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い方" sheetId="1" state="visible" r:id="rId3"/>
    <sheet name="01_因子設定" sheetId="2" state="visible" r:id="rId4"/>
    <sheet name="02_実験計画" sheetId="3" state="visible" r:id="rId5"/>
    <sheet name="03_実験結果" sheetId="4" state="visible" r:id="rId6"/>
    <sheet name="04_回帰ANOVA" sheetId="5" state="visible" r:id="rId7"/>
    <sheet name="05_残差診断" sheetId="6" state="visible" r:id="rId8"/>
    <sheet name="06_正準解析" sheetId="7" state="visible" r:id="rId9"/>
    <sheet name="07_最適化" sheetId="8" state="visible" r:id="rId10"/>
    <sheet name="08_工程窓" sheetId="9" state="visible" r:id="rId11"/>
    <sheet name="09_確認実験" sheetId="10" state="visible" r:id="rId12"/>
    <sheet name="_XtX" sheetId="11" state="visible" r:id="rId13"/>
    <sheet name="_grid" sheetId="12" state="visible" r:id="rId14"/>
    <sheet name="_eig" sheetId="13" state="visible" r:id="rId15"/>
    <sheet name="_slice" sheetId="14" state="visible" r:id="rId16"/>
    <sheet name="_win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<sst xmlns="http://schemas.openxmlformats.org/spreadsheetml/2006/main" count="603" uniqueCount="407">
  <si>
    <r>
      <rPr>
        <b val="true"/>
        <sz val="14"/>
        <color rgb="FF1F3864"/>
        <rFont val="Noto Sans CJK SC"/>
        <family val="2"/>
      </rPr>
      <t xml:space="preserve">応答曲面法（</t>
    </r>
    <r>
      <rPr>
        <b val="true"/>
        <sz val="14"/>
        <color rgb="FF1F3864"/>
        <rFont val="Meiryo UI"/>
        <family val="0"/>
        <charset val="1"/>
      </rPr>
      <t xml:space="preserve">RSM</t>
    </r>
    <r>
      <rPr>
        <b val="true"/>
        <sz val="14"/>
        <color rgb="FF1F3864"/>
        <rFont val="Noto Sans CJK SC"/>
        <family val="2"/>
      </rPr>
      <t xml:space="preserve">）ツール </t>
    </r>
    <r>
      <rPr>
        <b val="true"/>
        <sz val="14"/>
        <color rgb="FF1F3864"/>
        <rFont val="Meiryo UI"/>
        <family val="0"/>
        <charset val="1"/>
      </rPr>
      <t xml:space="preserve">v1.1 ── 4</t>
    </r>
    <r>
      <rPr>
        <b val="true"/>
        <sz val="14"/>
        <color rgb="FF1F3864"/>
        <rFont val="Noto Sans CJK SC"/>
        <family val="2"/>
      </rPr>
      <t xml:space="preserve">因子・</t>
    </r>
    <r>
      <rPr>
        <b val="true"/>
        <sz val="14"/>
        <color rgb="FF1F3864"/>
        <rFont val="Meiryo UI"/>
        <family val="0"/>
        <charset val="1"/>
      </rPr>
      <t xml:space="preserve">2</t>
    </r>
    <r>
      <rPr>
        <b val="true"/>
        <sz val="14"/>
        <color rgb="FF1F3864"/>
        <rFont val="Noto Sans CJK SC"/>
        <family val="2"/>
      </rPr>
      <t xml:space="preserve">次モデル</t>
    </r>
  </si>
  <si>
    <r>
      <rPr>
        <sz val="9"/>
        <color rgb="FF595959"/>
        <rFont val="Noto Sans CJK SC"/>
        <family val="2"/>
      </rPr>
      <t xml:space="preserve">作成日 </t>
    </r>
    <r>
      <rPr>
        <sz val="9"/>
        <color rgb="FF595959"/>
        <rFont val="Meiryo UI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　／　同梱データは架空の乾燥炉データ（検証用）　／　</t>
    </r>
    <r>
      <rPr>
        <sz val="9"/>
        <color rgb="FF595959"/>
        <rFont val="Meiryo UI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因子版・</t>
    </r>
    <r>
      <rPr>
        <sz val="9"/>
        <color rgb="FF595959"/>
        <rFont val="Meiryo UI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因子版・</t>
    </r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因子版は別ファイル</t>
    </r>
  </si>
  <si>
    <t xml:space="preserve">この版でできること</t>
  </si>
  <si>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因子の中心複合計画（面心／回転可能）・</t>
    </r>
    <r>
      <rPr>
        <sz val="10"/>
        <rFont val="Meiryo UI"/>
        <family val="0"/>
        <charset val="1"/>
      </rPr>
      <t xml:space="preserve">Box-Behnken</t>
    </r>
    <r>
      <rPr>
        <sz val="10"/>
        <rFont val="Noto Sans CJK SC"/>
        <family val="2"/>
      </rPr>
      <t xml:space="preserve">計画の生成、安全限界チェック、ランダマイズ（完全ランダム／変更困難因子でグループ化した順序生成）、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次回帰・</t>
    </r>
    <r>
      <rPr>
        <sz val="10"/>
        <rFont val="Meiryo UI"/>
        <family val="0"/>
        <charset val="1"/>
      </rPr>
      <t xml:space="preserve">ANOVA</t>
    </r>
    <r>
      <rPr>
        <sz val="10"/>
        <rFont val="Noto Sans CJK SC"/>
        <family val="2"/>
      </rPr>
      <t xml:space="preserve">・適合度の欠如・残差診断・モデル縮小、正準解析（停留点・固有値）、領域内の最適化（点予測／予測限界ベース）、工程窓の可視化と組合せチェック、確認実験の判定</t>
    </r>
  </si>
  <si>
    <t xml:space="preserve">手順と判断ゲート</t>
  </si>
  <si>
    <r>
      <rPr>
        <b val="true"/>
        <sz val="10"/>
        <rFont val="Meiryo UI"/>
        <family val="0"/>
        <charset val="1"/>
      </rPr>
      <t xml:space="preserve">① 01_</t>
    </r>
    <r>
      <rPr>
        <b val="true"/>
        <sz val="10"/>
        <rFont val="Noto Sans CJK SC"/>
        <family val="2"/>
      </rPr>
      <t xml:space="preserve">因子設定</t>
    </r>
  </si>
  <si>
    <r>
      <rPr>
        <sz val="10"/>
        <rFont val="Noto Sans CJK SC"/>
        <family val="2"/>
      </rPr>
      <t xml:space="preserve">因子名・単位・範囲（</t>
    </r>
    <r>
      <rPr>
        <sz val="10"/>
        <rFont val="Meiryo UI"/>
        <family val="0"/>
        <charset val="1"/>
      </rPr>
      <t xml:space="preserve">±1</t>
    </r>
    <r>
      <rPr>
        <sz val="10"/>
        <rFont val="Noto Sans CJK SC"/>
        <family val="2"/>
      </rPr>
      <t xml:space="preserve">）・安全限界、</t>
    </r>
    <r>
      <rPr>
        <sz val="10"/>
        <rFont val="Meiryo UI"/>
        <family val="0"/>
        <charset val="1"/>
      </rPr>
      <t xml:space="preserve">Y</t>
    </r>
    <r>
      <rPr>
        <sz val="10"/>
        <rFont val="Noto Sans CJK SC"/>
        <family val="2"/>
      </rPr>
      <t xml:space="preserve">の方向と規格、計画の種類、中心点数を入力。『安全限界チェック』が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の計画は実行不可。</t>
    </r>
  </si>
  <si>
    <r>
      <rPr>
        <b val="true"/>
        <sz val="10"/>
        <rFont val="Meiryo UI"/>
        <family val="0"/>
        <charset val="1"/>
      </rPr>
      <t xml:space="preserve">② 02_</t>
    </r>
    <r>
      <rPr>
        <b val="true"/>
        <sz val="10"/>
        <rFont val="Noto Sans CJK SC"/>
        <family val="2"/>
      </rPr>
      <t xml:space="preserve">実験計画</t>
    </r>
  </si>
  <si>
    <t xml:space="preserve">標準順の計画と実験順序を確認（通常は触らない）。順序を変えたいときは乱数キーを入れ替え。</t>
  </si>
  <si>
    <r>
      <rPr>
        <b val="true"/>
        <sz val="10"/>
        <rFont val="Meiryo UI"/>
        <family val="0"/>
        <charset val="1"/>
      </rPr>
      <t xml:space="preserve">③ 03_</t>
    </r>
    <r>
      <rPr>
        <b val="true"/>
        <sz val="10"/>
        <rFont val="Noto Sans CJK SC"/>
        <family val="2"/>
      </rPr>
      <t xml:space="preserve">実験結果</t>
    </r>
  </si>
  <si>
    <r>
      <rPr>
        <sz val="10"/>
        <rFont val="Noto Sans CJK SC"/>
        <family val="2"/>
      </rPr>
      <t xml:space="preserve">実験順に実施し、</t>
    </r>
    <r>
      <rPr>
        <sz val="10"/>
        <rFont val="Meiryo UI"/>
        <family val="0"/>
        <charset val="1"/>
      </rPr>
      <t xml:space="preserve">Y</t>
    </r>
    <r>
      <rPr>
        <sz val="10"/>
        <rFont val="Noto Sans CJK SC"/>
        <family val="2"/>
      </rPr>
      <t xml:space="preserve">を入力。異常があればメモ欄へ。</t>
    </r>
  </si>
  <si>
    <r>
      <rPr>
        <b val="true"/>
        <sz val="10"/>
        <rFont val="Meiryo UI"/>
        <family val="0"/>
        <charset val="1"/>
      </rPr>
      <t xml:space="preserve">④ 04_</t>
    </r>
    <r>
      <rPr>
        <b val="true"/>
        <sz val="10"/>
        <rFont val="Noto Sans CJK SC"/>
        <family val="2"/>
      </rPr>
      <t xml:space="preserve">回帰</t>
    </r>
    <r>
      <rPr>
        <b val="true"/>
        <sz val="10"/>
        <rFont val="Meiryo UI"/>
        <family val="0"/>
        <charset val="1"/>
      </rPr>
      <t xml:space="preserve">ANOVA</t>
    </r>
  </si>
  <si>
    <r>
      <rPr>
        <sz val="10"/>
        <rFont val="Noto Sans CJK SC"/>
        <family val="2"/>
      </rPr>
      <t xml:space="preserve">判断ゲートに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がないことを確認し、△は内容を理解して記録。不要項は</t>
    </r>
    <r>
      <rPr>
        <sz val="10"/>
        <rFont val="Meiryo UI"/>
        <family val="0"/>
        <charset val="1"/>
      </rPr>
      <t xml:space="preserve">B</t>
    </r>
    <r>
      <rPr>
        <sz val="10"/>
        <rFont val="Noto Sans CJK SC"/>
        <family val="2"/>
      </rPr>
      <t xml:space="preserve">列を</t>
    </r>
    <r>
      <rPr>
        <sz val="10"/>
        <rFont val="Meiryo UI"/>
        <family val="0"/>
        <charset val="1"/>
      </rPr>
      <t xml:space="preserve">0</t>
    </r>
    <r>
      <rPr>
        <sz val="10"/>
        <rFont val="Noto Sans CJK SC"/>
        <family val="2"/>
      </rPr>
      <t xml:space="preserve">にして除外（階層性に注意）。</t>
    </r>
  </si>
  <si>
    <r>
      <rPr>
        <b val="true"/>
        <sz val="10"/>
        <rFont val="Meiryo UI"/>
        <family val="0"/>
        <charset val="1"/>
      </rPr>
      <t xml:space="preserve">⑤ 05_</t>
    </r>
    <r>
      <rPr>
        <b val="true"/>
        <sz val="10"/>
        <rFont val="Noto Sans CJK SC"/>
        <family val="2"/>
      </rPr>
      <t xml:space="preserve">残差診断</t>
    </r>
  </si>
  <si>
    <t xml:space="preserve">グラフでパターン・外れ値を目視確認。外れ値は消す前に原因を調査。</t>
  </si>
  <si>
    <r>
      <rPr>
        <b val="true"/>
        <sz val="10"/>
        <rFont val="Meiryo UI"/>
        <family val="0"/>
        <charset val="1"/>
      </rPr>
      <t xml:space="preserve">⑥ 06_</t>
    </r>
    <r>
      <rPr>
        <b val="true"/>
        <sz val="10"/>
        <rFont val="Noto Sans CJK SC"/>
        <family val="2"/>
      </rPr>
      <t xml:space="preserve">正準解析</t>
    </r>
  </si>
  <si>
    <r>
      <rPr>
        <sz val="10"/>
        <rFont val="Noto Sans CJK SC"/>
        <family val="2"/>
      </rPr>
      <t xml:space="preserve">停留点が最大／最小／鞍点か、領域内か外かを確認。鞍点・領域外なら</t>
    </r>
    <r>
      <rPr>
        <sz val="10"/>
        <rFont val="Meiryo UI"/>
        <family val="0"/>
        <charset val="1"/>
      </rPr>
      <t xml:space="preserve">07</t>
    </r>
    <r>
      <rPr>
        <sz val="10"/>
        <rFont val="Noto Sans CJK SC"/>
        <family val="2"/>
      </rPr>
      <t xml:space="preserve">の探索結果を採用。</t>
    </r>
  </si>
  <si>
    <r>
      <rPr>
        <b val="true"/>
        <sz val="10"/>
        <rFont val="Meiryo UI"/>
        <family val="0"/>
        <charset val="1"/>
      </rPr>
      <t xml:space="preserve">⑦ 07_</t>
    </r>
    <r>
      <rPr>
        <b val="true"/>
        <sz val="10"/>
        <rFont val="Noto Sans CJK SC"/>
        <family val="2"/>
      </rPr>
      <t xml:space="preserve">最適化</t>
    </r>
  </si>
  <si>
    <r>
      <rPr>
        <sz val="10"/>
        <rFont val="Noto Sans CJK SC"/>
        <family val="2"/>
      </rPr>
      <t xml:space="preserve">ロバスト最適（規格側の予測限界と規格の差が最大）を推奨条件とする。必要なら</t>
    </r>
    <r>
      <rPr>
        <sz val="10"/>
        <rFont val="Meiryo UI"/>
        <family val="0"/>
        <charset val="1"/>
      </rPr>
      <t xml:space="preserve">Solver</t>
    </r>
    <r>
      <rPr>
        <sz val="10"/>
        <rFont val="Noto Sans CJK SC"/>
        <family val="2"/>
      </rPr>
      <t xml:space="preserve">で精密化。</t>
    </r>
  </si>
  <si>
    <r>
      <rPr>
        <b val="true"/>
        <sz val="10"/>
        <rFont val="Meiryo UI"/>
        <family val="0"/>
        <charset val="1"/>
      </rPr>
      <t xml:space="preserve">⑧ 08_</t>
    </r>
    <r>
      <rPr>
        <b val="true"/>
        <sz val="10"/>
        <rFont val="Noto Sans CJK SC"/>
        <family val="2"/>
      </rPr>
      <t xml:space="preserve">工程窓</t>
    </r>
  </si>
  <si>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因子断面の緑領域が工程窓。③の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因子窓は楽観的なので、④で運用範囲の全組合せを必ず確認。</t>
    </r>
  </si>
  <si>
    <r>
      <rPr>
        <b val="true"/>
        <sz val="10"/>
        <rFont val="Meiryo UI"/>
        <family val="0"/>
        <charset val="1"/>
      </rPr>
      <t xml:space="preserve">⑨ 09_</t>
    </r>
    <r>
      <rPr>
        <b val="true"/>
        <sz val="10"/>
        <rFont val="Noto Sans CJK SC"/>
        <family val="2"/>
      </rPr>
      <t xml:space="preserve">確認実験</t>
    </r>
  </si>
  <si>
    <t xml:space="preserve">推奨条件で確認実験。両側予測区間内なら採用、外れたら計画・モデルを見直す。</t>
  </si>
  <si>
    <t xml:space="preserve">セルの色</t>
  </si>
  <si>
    <t xml:space="preserve">黄色・青字</t>
  </si>
  <si>
    <t xml:space="preserve">入力セル。ほかは計算式なので編集しない。</t>
  </si>
  <si>
    <r>
      <rPr>
        <b val="true"/>
        <sz val="10"/>
        <rFont val="Noto Sans CJK SC"/>
        <family val="2"/>
      </rPr>
      <t xml:space="preserve">『</t>
    </r>
    <r>
      <rPr>
        <b val="true"/>
        <sz val="10"/>
        <rFont val="Meiryo UI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』で始まるシート</t>
    </r>
  </si>
  <si>
    <r>
      <rPr>
        <sz val="10"/>
        <rFont val="Noto Sans CJK SC"/>
        <family val="2"/>
      </rPr>
      <t xml:space="preserve">計算用（編集不要）。</t>
    </r>
    <r>
      <rPr>
        <sz val="10"/>
        <rFont val="Meiryo UI"/>
        <family val="0"/>
        <charset val="1"/>
      </rPr>
      <t xml:space="preserve">_XtX</t>
    </r>
    <r>
      <rPr>
        <sz val="10"/>
        <rFont val="Noto Sans CJK SC"/>
        <family val="2"/>
      </rPr>
      <t xml:space="preserve">＝回帰の行列計算、</t>
    </r>
    <r>
      <rPr>
        <sz val="10"/>
        <rFont val="Meiryo UI"/>
        <family val="0"/>
        <charset val="1"/>
      </rPr>
      <t xml:space="preserve">_grid</t>
    </r>
    <r>
      <rPr>
        <sz val="10"/>
        <rFont val="Noto Sans CJK SC"/>
        <family val="2"/>
      </rPr>
      <t xml:space="preserve">＝</t>
    </r>
    <r>
      <rPr>
        <sz val="10"/>
        <rFont val="Meiryo UI"/>
        <family val="0"/>
        <charset val="1"/>
      </rPr>
      <t xml:space="preserve">6561</t>
    </r>
    <r>
      <rPr>
        <sz val="10"/>
        <rFont val="Noto Sans CJK SC"/>
        <family val="2"/>
      </rPr>
      <t xml:space="preserve">点の探索、</t>
    </r>
    <r>
      <rPr>
        <sz val="10"/>
        <rFont val="Meiryo UI"/>
        <family val="0"/>
        <charset val="1"/>
      </rPr>
      <t xml:space="preserve">_eig</t>
    </r>
    <r>
      <rPr>
        <sz val="10"/>
        <rFont val="Noto Sans CJK SC"/>
        <family val="2"/>
      </rPr>
      <t xml:space="preserve">＝固有値、</t>
    </r>
    <r>
      <rPr>
        <sz val="10"/>
        <rFont val="Meiryo UI"/>
        <family val="0"/>
        <charset val="1"/>
      </rPr>
      <t xml:space="preserve">_slice</t>
    </r>
    <r>
      <rPr>
        <sz val="10"/>
        <rFont val="Noto Sans CJK SC"/>
        <family val="2"/>
      </rPr>
      <t xml:space="preserve">＝断面、</t>
    </r>
    <r>
      <rPr>
        <sz val="10"/>
        <rFont val="Meiryo UI"/>
        <family val="0"/>
        <charset val="1"/>
      </rPr>
      <t xml:space="preserve">_win</t>
    </r>
    <r>
      <rPr>
        <sz val="10"/>
        <rFont val="Noto Sans CJK SC"/>
        <family val="2"/>
      </rPr>
      <t xml:space="preserve">＝工程窓。</t>
    </r>
  </si>
  <si>
    <t xml:space="preserve">前提と限界（重要）</t>
  </si>
  <si>
    <t xml:space="preserve">コード化単位</t>
  </si>
  <si>
    <r>
      <rPr>
        <sz val="10"/>
        <rFont val="Noto Sans CJK SC"/>
        <family val="2"/>
      </rPr>
      <t xml:space="preserve">回帰係数は −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+1 </t>
    </r>
    <r>
      <rPr>
        <sz val="10"/>
        <rFont val="Noto Sans CJK SC"/>
        <family val="2"/>
      </rPr>
      <t xml:space="preserve">に正規化した単位。係数の大小がそのまま効果の大きさ比較になる。</t>
    </r>
  </si>
  <si>
    <t xml:space="preserve">予測限界の片側／両側</t>
  </si>
  <si>
    <r>
      <rPr>
        <sz val="10"/>
        <rFont val="Noto Sans CJK SC"/>
        <family val="2"/>
      </rPr>
      <t xml:space="preserve">工程窓・ロバスト最適は、最大化・最小化では片側の予測限界（信頼水準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なら下側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限界＝</t>
    </r>
    <r>
      <rPr>
        <sz val="10"/>
        <rFont val="Meiryo UI"/>
        <family val="0"/>
        <charset val="1"/>
      </rPr>
      <t xml:space="preserve">t0.95</t>
    </r>
    <r>
      <rPr>
        <sz val="10"/>
        <rFont val="Noto Sans CJK SC"/>
        <family val="2"/>
      </rPr>
      <t xml:space="preserve">）、目標値では両側予測区間（</t>
    </r>
    <r>
      <rPr>
        <sz val="10"/>
        <rFont val="Meiryo UI"/>
        <family val="0"/>
        <charset val="1"/>
      </rPr>
      <t xml:space="preserve">t0.975</t>
    </r>
    <r>
      <rPr>
        <sz val="10"/>
        <rFont val="Noto Sans CJK SC"/>
        <family val="2"/>
      </rPr>
      <t xml:space="preserve">）で判定。確認実験の判定は常に両側予測区間。</t>
    </r>
  </si>
  <si>
    <t xml:space="preserve">予測区間と許容区間</t>
  </si>
  <si>
    <r>
      <rPr>
        <sz val="10"/>
        <rFont val="Noto Sans CJK SC"/>
        <family val="2"/>
      </rPr>
      <t xml:space="preserve">予測区間が保証するのは『将来の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回の測定値』。量産で『ロットの大部分（例：</t>
    </r>
    <r>
      <rPr>
        <sz val="10"/>
        <rFont val="Meiryo UI"/>
        <family val="0"/>
        <charset val="1"/>
      </rPr>
      <t xml:space="preserve">99%</t>
    </r>
    <r>
      <rPr>
        <sz val="10"/>
        <rFont val="Noto Sans CJK SC"/>
        <family val="2"/>
      </rPr>
      <t xml:space="preserve">）が規格内』と言うには許容区間（</t>
    </r>
    <r>
      <rPr>
        <sz val="10"/>
        <rFont val="Meiryo UI"/>
        <family val="0"/>
        <charset val="1"/>
      </rPr>
      <t xml:space="preserve">Tolerance Interval</t>
    </r>
    <r>
      <rPr>
        <sz val="10"/>
        <rFont val="Noto Sans CJK SC"/>
        <family val="2"/>
      </rPr>
      <t xml:space="preserve">）が本来の指標で、予測区間より広くなる。この工程窓は量産の工程能力保証ではなく、条件設定の目安として使う。量産移行時は工程能力調査（</t>
    </r>
    <r>
      <rPr>
        <sz val="10"/>
        <rFont val="Meiryo UI"/>
        <family val="0"/>
        <charset val="1"/>
      </rPr>
      <t xml:space="preserve">Cpk</t>
    </r>
    <r>
      <rPr>
        <sz val="10"/>
        <rFont val="Noto Sans CJK SC"/>
        <family val="2"/>
      </rPr>
      <t xml:space="preserve">）で確認。</t>
    </r>
  </si>
  <si>
    <t xml:space="preserve">探索範囲</t>
  </si>
  <si>
    <r>
      <rPr>
        <sz val="10"/>
        <rFont val="Noto Sans CJK SC"/>
        <family val="2"/>
      </rPr>
      <t xml:space="preserve">最適化・工程窓は </t>
    </r>
    <r>
      <rPr>
        <sz val="10"/>
        <rFont val="Meiryo UI"/>
        <family val="0"/>
        <charset val="1"/>
      </rPr>
      <t xml:space="preserve">±1</t>
    </r>
    <r>
      <rPr>
        <sz val="10"/>
        <rFont val="Noto Sans CJK SC"/>
        <family val="2"/>
      </rPr>
      <t xml:space="preserve">（要因点の範囲）内のみ。外挿はしない。</t>
    </r>
    <r>
      <rPr>
        <sz val="10"/>
        <rFont val="Meiryo UI"/>
        <family val="0"/>
        <charset val="1"/>
      </rPr>
      <t xml:space="preserve">BBD</t>
    </r>
    <r>
      <rPr>
        <sz val="10"/>
        <rFont val="Noto Sans CJK SC"/>
        <family val="2"/>
      </rPr>
      <t xml:space="preserve">は頂点付近にデータがないため半径√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の球内に限定。</t>
    </r>
  </si>
  <si>
    <r>
      <rPr>
        <b val="true"/>
        <sz val="10"/>
        <rFont val="Noto Sans CJK SC"/>
        <family val="2"/>
      </rPr>
      <t xml:space="preserve">分割区画（</t>
    </r>
    <r>
      <rPr>
        <b val="true"/>
        <sz val="10"/>
        <rFont val="Meiryo UI"/>
        <family val="0"/>
        <charset val="1"/>
      </rPr>
      <t xml:space="preserve">Split-Plot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</si>
  <si>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v1</t>
    </r>
    <r>
      <rPr>
        <sz val="10"/>
        <rFont val="Noto Sans CJK SC"/>
        <family val="2"/>
      </rPr>
      <t xml:space="preserve">は分割区画の解析に対応していない。『変更困難因子でグループ化』は実験順序を作るだけで、解析は完全ランダムとみなした近似（変更困難因子の</t>
    </r>
    <r>
      <rPr>
        <sz val="10"/>
        <rFont val="Meiryo UI"/>
        <family val="0"/>
        <charset val="1"/>
      </rPr>
      <t xml:space="preserve">p</t>
    </r>
    <r>
      <rPr>
        <sz val="10"/>
        <rFont val="Noto Sans CJK SC"/>
        <family val="2"/>
      </rPr>
      <t xml:space="preserve">値は小さく出やすい）。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の判断ゲートに△を表示。正式な解析は</t>
    </r>
    <r>
      <rPr>
        <sz val="10"/>
        <rFont val="Meiryo UI"/>
        <family val="0"/>
        <charset val="1"/>
      </rPr>
      <t xml:space="preserve">JMP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R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lme4</t>
    </r>
    <r>
      <rPr>
        <sz val="10"/>
        <rFont val="Noto Sans CJK SC"/>
        <family val="2"/>
      </rPr>
      <t xml:space="preserve">等）で。</t>
    </r>
  </si>
  <si>
    <t xml:space="preserve">固有値</t>
  </si>
  <si>
    <r>
      <rPr>
        <sz val="10"/>
        <rFont val="Meiryo UI"/>
        <family val="0"/>
        <charset val="1"/>
      </rPr>
      <t xml:space="preserve">Jacobi</t>
    </r>
    <r>
      <rPr>
        <sz val="10"/>
        <rFont val="Noto Sans CJK SC"/>
        <family val="2"/>
      </rPr>
      <t xml:space="preserve">法の数値計算（</t>
    </r>
    <r>
      <rPr>
        <sz val="10"/>
        <rFont val="Meiryo UI"/>
        <family val="0"/>
        <charset val="1"/>
      </rPr>
      <t xml:space="preserve">48</t>
    </r>
    <r>
      <rPr>
        <sz val="10"/>
        <rFont val="Noto Sans CJK SC"/>
        <family val="2"/>
      </rPr>
      <t xml:space="preserve">回転）。</t>
    </r>
    <r>
      <rPr>
        <sz val="10"/>
        <rFont val="Meiryo UI"/>
        <family val="0"/>
        <charset val="1"/>
      </rPr>
      <t xml:space="preserve">4×4</t>
    </r>
    <r>
      <rPr>
        <sz val="10"/>
        <rFont val="Noto Sans CJK SC"/>
        <family val="2"/>
      </rPr>
      <t xml:space="preserve">行列では十分収束する。</t>
    </r>
  </si>
  <si>
    <t xml:space="preserve">この版にないもの</t>
  </si>
  <si>
    <r>
      <rPr>
        <sz val="10"/>
        <rFont val="Noto Sans CJK SC"/>
        <family val="2"/>
      </rPr>
      <t xml:space="preserve">スクリーニング（</t>
    </r>
    <r>
      <rPr>
        <sz val="10"/>
        <rFont val="Meiryo UI"/>
        <family val="0"/>
        <charset val="1"/>
      </rPr>
      <t xml:space="preserve">Plackett-Burman</t>
    </r>
    <r>
      <rPr>
        <sz val="10"/>
        <rFont val="Noto Sans CJK SC"/>
        <family val="2"/>
      </rPr>
      <t xml:space="preserve">）・曲率判定・最急上昇法（</t>
    </r>
    <r>
      <rPr>
        <sz val="10"/>
        <rFont val="Meiryo UI"/>
        <family val="0"/>
        <charset val="1"/>
      </rPr>
      <t xml:space="preserve">v2</t>
    </r>
    <r>
      <rPr>
        <sz val="10"/>
        <rFont val="Noto Sans CJK SC"/>
        <family val="2"/>
      </rPr>
      <t xml:space="preserve">予定）、多目的最適化（望ましさ関数）・モンテカルロ・分割区画の正式解析（</t>
    </r>
    <r>
      <rPr>
        <sz val="10"/>
        <rFont val="Meiryo UI"/>
        <family val="0"/>
        <charset val="1"/>
      </rPr>
      <t xml:space="preserve">v3</t>
    </r>
    <r>
      <rPr>
        <sz val="10"/>
        <rFont val="Noto Sans CJK SC"/>
        <family val="2"/>
      </rPr>
      <t xml:space="preserve">予定）。</t>
    </r>
  </si>
  <si>
    <t xml:space="preserve">動作環境</t>
  </si>
  <si>
    <r>
      <rPr>
        <sz val="10"/>
        <rFont val="Meiryo UI"/>
        <family val="0"/>
        <charset val="1"/>
      </rPr>
      <t xml:space="preserve">Excel 2019</t>
    </r>
    <r>
      <rPr>
        <sz val="10"/>
        <rFont val="Noto Sans CJK SC"/>
        <family val="2"/>
      </rPr>
      <t xml:space="preserve">以降または </t>
    </r>
    <r>
      <rPr>
        <sz val="10"/>
        <rFont val="Meiryo UI"/>
        <family val="0"/>
        <charset val="1"/>
      </rPr>
      <t xml:space="preserve">Microsoft 365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因子窓で </t>
    </r>
    <r>
      <rPr>
        <sz val="10"/>
        <rFont val="Meiryo UI"/>
        <family val="0"/>
        <charset val="1"/>
      </rPr>
      <t xml:space="preserve">MAXIFS/MINIFS </t>
    </r>
    <r>
      <rPr>
        <sz val="10"/>
        <rFont val="Noto Sans CJK SC"/>
        <family val="2"/>
      </rPr>
      <t xml:space="preserve">を使用）。マクロなし。</t>
    </r>
  </si>
  <si>
    <t xml:space="preserve">架空データについて</t>
  </si>
  <si>
    <r>
      <rPr>
        <sz val="10"/>
        <rFont val="Noto Sans CJK SC"/>
        <family val="2"/>
      </rPr>
      <t xml:space="preserve">炉温</t>
    </r>
    <r>
      <rPr>
        <sz val="10"/>
        <rFont val="Meiryo UI"/>
        <family val="0"/>
        <charset val="1"/>
      </rPr>
      <t xml:space="preserve">55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75℃</t>
    </r>
    <r>
      <rPr>
        <sz val="10"/>
        <rFont val="Noto Sans CJK SC"/>
        <family val="2"/>
      </rPr>
      <t xml:space="preserve">・乾燥時間</t>
    </r>
    <r>
      <rPr>
        <sz val="10"/>
        <rFont val="Meiryo UI"/>
        <family val="0"/>
        <charset val="1"/>
      </rPr>
      <t xml:space="preserve">20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40min</t>
    </r>
    <r>
      <rPr>
        <sz val="10"/>
        <rFont val="Noto Sans CJK SC"/>
        <family val="2"/>
      </rPr>
      <t xml:space="preserve">・循環風速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3m/s</t>
    </r>
    <r>
      <rPr>
        <sz val="10"/>
        <rFont val="Noto Sans CJK SC"/>
        <family val="2"/>
      </rPr>
      <t xml:space="preserve">・給気率</t>
    </r>
    <r>
      <rPr>
        <sz val="10"/>
        <rFont val="Meiryo UI"/>
        <family val="0"/>
        <charset val="1"/>
      </rPr>
      <t xml:space="preserve">20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60%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Y</t>
    </r>
    <r>
      <rPr>
        <sz val="10"/>
        <rFont val="Noto Sans CJK SC"/>
        <family val="2"/>
      </rPr>
      <t xml:space="preserve">＝剥離強度（最大化、</t>
    </r>
    <r>
      <rPr>
        <sz val="10"/>
        <rFont val="Meiryo UI"/>
        <family val="0"/>
        <charset val="1"/>
      </rPr>
      <t xml:space="preserve">LSL=46.5</t>
    </r>
    <r>
      <rPr>
        <sz val="10"/>
        <rFont val="Noto Sans CJK SC"/>
        <family val="2"/>
      </rPr>
      <t xml:space="preserve">）。数値はツール検証用の作り物。安全上限（炉温</t>
    </r>
    <r>
      <rPr>
        <sz val="10"/>
        <rFont val="Meiryo UI"/>
        <family val="0"/>
        <charset val="1"/>
      </rPr>
      <t xml:space="preserve">80℃</t>
    </r>
    <r>
      <rPr>
        <sz val="10"/>
        <rFont val="Noto Sans CJK SC"/>
        <family val="2"/>
      </rPr>
      <t xml:space="preserve">等）も仮値なので、実案件では必ず再設定。</t>
    </r>
    <r>
      <rPr>
        <sz val="10"/>
        <rFont val="Meiryo UI"/>
        <family val="0"/>
        <charset val="1"/>
      </rPr>
      <t xml:space="preserve">01</t>
    </r>
    <r>
      <rPr>
        <sz val="10"/>
        <rFont val="Noto Sans CJK SC"/>
        <family val="2"/>
      </rPr>
      <t xml:space="preserve">で回転可能</t>
    </r>
    <r>
      <rPr>
        <sz val="10"/>
        <rFont val="Meiryo UI"/>
        <family val="0"/>
        <charset val="1"/>
      </rPr>
      <t xml:space="preserve">CCD</t>
    </r>
    <r>
      <rPr>
        <sz val="10"/>
        <rFont val="Noto Sans CJK SC"/>
        <family val="2"/>
      </rPr>
      <t xml:space="preserve">を選ぶと炉温の軸点が</t>
    </r>
    <r>
      <rPr>
        <sz val="10"/>
        <rFont val="Meiryo UI"/>
        <family val="0"/>
        <charset val="1"/>
      </rPr>
      <t xml:space="preserve">85℃</t>
    </r>
    <r>
      <rPr>
        <sz val="10"/>
        <rFont val="Noto Sans CJK SC"/>
        <family val="2"/>
      </rPr>
      <t xml:space="preserve">になり、安全限界チェックが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になる例になっている。</t>
    </r>
  </si>
  <si>
    <r>
      <rPr>
        <b val="true"/>
        <sz val="14"/>
        <color rgb="FF1F3864"/>
        <rFont val="Meiryo UI"/>
        <family val="0"/>
        <charset val="1"/>
      </rPr>
      <t xml:space="preserve">01 </t>
    </r>
    <r>
      <rPr>
        <b val="true"/>
        <sz val="14"/>
        <color rgb="FF1F3864"/>
        <rFont val="Noto Sans CJK SC"/>
        <family val="2"/>
      </rPr>
      <t xml:space="preserve">因子と目的変数の設定（</t>
    </r>
    <r>
      <rPr>
        <b val="true"/>
        <sz val="14"/>
        <color rgb="FF1F3864"/>
        <rFont val="Meiryo UI"/>
        <family val="0"/>
        <charset val="1"/>
      </rPr>
      <t xml:space="preserve">4</t>
    </r>
    <r>
      <rPr>
        <b val="true"/>
        <sz val="14"/>
        <color rgb="FF1F3864"/>
        <rFont val="Noto Sans CJK SC"/>
        <family val="2"/>
      </rPr>
      <t xml:space="preserve">因子）</t>
    </r>
  </si>
  <si>
    <t xml:space="preserve">黄色セル（青字）が入力欄。架空の乾燥炉データ（接着剤塗布後の溶剤乾燥・バッチ式）を例として入れてあります。</t>
  </si>
  <si>
    <t xml:space="preserve">No</t>
  </si>
  <si>
    <t xml:space="preserve">因子名</t>
  </si>
  <si>
    <t xml:space="preserve">記号</t>
  </si>
  <si>
    <t xml:space="preserve">単位</t>
  </si>
  <si>
    <r>
      <rPr>
        <b val="true"/>
        <sz val="10"/>
        <color rgb="FFFFFFFF"/>
        <rFont val="Noto Sans CJK SC"/>
        <family val="2"/>
      </rPr>
      <t xml:space="preserve">下限</t>
    </r>
    <r>
      <rPr>
        <b val="true"/>
        <sz val="10"/>
        <color rgb="FFFFFFFF"/>
        <rFont val="Meiryo UI"/>
        <family val="0"/>
        <charset val="1"/>
      </rPr>
      <t xml:space="preserve">(-1)</t>
    </r>
  </si>
  <si>
    <r>
      <rPr>
        <b val="true"/>
        <sz val="10"/>
        <color rgb="FFFFFFFF"/>
        <rFont val="Noto Sans CJK SC"/>
        <family val="2"/>
      </rPr>
      <t xml:space="preserve">上限</t>
    </r>
    <r>
      <rPr>
        <b val="true"/>
        <sz val="10"/>
        <color rgb="FFFFFFFF"/>
        <rFont val="Meiryo UI"/>
        <family val="0"/>
        <charset val="1"/>
      </rPr>
      <t xml:space="preserve">(+1)</t>
    </r>
  </si>
  <si>
    <r>
      <rPr>
        <b val="true"/>
        <sz val="10"/>
        <color rgb="FFFFFFFF"/>
        <rFont val="Noto Sans CJK SC"/>
        <family val="2"/>
      </rPr>
      <t xml:space="preserve">中心</t>
    </r>
    <r>
      <rPr>
        <b val="true"/>
        <sz val="10"/>
        <color rgb="FFFFFFFF"/>
        <rFont val="Meiryo UI"/>
        <family val="0"/>
        <charset val="1"/>
      </rPr>
      <t xml:space="preserve">(0)</t>
    </r>
  </si>
  <si>
    <t xml:space="preserve">半幅</t>
  </si>
  <si>
    <t xml:space="preserve">安全下限</t>
  </si>
  <si>
    <t xml:space="preserve">安全上限</t>
  </si>
  <si>
    <t xml:space="preserve">変更困難</t>
  </si>
  <si>
    <r>
      <rPr>
        <b val="true"/>
        <sz val="10"/>
        <color rgb="FFFFFFFF"/>
        <rFont val="Noto Sans CJK SC"/>
        <family val="2"/>
      </rPr>
      <t xml:space="preserve">安全下限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</si>
  <si>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安全上限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</si>
  <si>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備考</t>
  </si>
  <si>
    <t xml:space="preserve">炉温</t>
  </si>
  <si>
    <t xml:space="preserve">X1</t>
  </si>
  <si>
    <t xml:space="preserve">℃</t>
  </si>
  <si>
    <t xml:space="preserve">○</t>
  </si>
  <si>
    <r>
      <rPr>
        <sz val="10"/>
        <rFont val="Noto Sans CJK SC"/>
        <family val="2"/>
      </rPr>
      <t xml:space="preserve">安全上限</t>
    </r>
    <r>
      <rPr>
        <sz val="10"/>
        <rFont val="Meiryo UI"/>
        <family val="0"/>
        <charset val="1"/>
      </rPr>
      <t xml:space="preserve">80℃</t>
    </r>
    <r>
      <rPr>
        <sz val="10"/>
        <rFont val="Noto Sans CJK SC"/>
        <family val="2"/>
      </rPr>
      <t xml:space="preserve">は仮値。溶剤の引火点・防爆の温度等級から必ず再設定</t>
    </r>
  </si>
  <si>
    <t xml:space="preserve">乾燥時間</t>
  </si>
  <si>
    <t xml:space="preserve">X2</t>
  </si>
  <si>
    <t xml:space="preserve">min</t>
  </si>
  <si>
    <t xml:space="preserve">循環風速</t>
  </si>
  <si>
    <t xml:space="preserve">X3</t>
  </si>
  <si>
    <t xml:space="preserve">m/s</t>
  </si>
  <si>
    <t xml:space="preserve">ファン能力の範囲</t>
  </si>
  <si>
    <t xml:space="preserve">給気率</t>
  </si>
  <si>
    <t xml:space="preserve">X4</t>
  </si>
  <si>
    <t xml:space="preserve">%</t>
  </si>
  <si>
    <t xml:space="preserve">防爆上、溶剤濃度を下げるため給気率下限あり（仮値）</t>
  </si>
  <si>
    <r>
      <rPr>
        <b val="true"/>
        <sz val="10"/>
        <rFont val="Noto Sans CJK SC"/>
        <family val="2"/>
      </rPr>
      <t xml:space="preserve">目的変数（</t>
    </r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）</t>
    </r>
  </si>
  <si>
    <t xml:space="preserve">名称</t>
  </si>
  <si>
    <t xml:space="preserve">剥離強度</t>
  </si>
  <si>
    <t xml:space="preserve">N/25mm</t>
  </si>
  <si>
    <t xml:space="preserve">最適化の方向</t>
  </si>
  <si>
    <t xml:space="preserve">最大化</t>
  </si>
  <si>
    <r>
      <rPr>
        <sz val="10"/>
        <rFont val="Noto Sans CJK SC"/>
        <family val="2"/>
      </rPr>
      <t xml:space="preserve">最大化→</t>
    </r>
    <r>
      <rPr>
        <sz val="10"/>
        <rFont val="Meiryo UI"/>
        <family val="0"/>
        <charset val="1"/>
      </rPr>
      <t xml:space="preserve">LSL</t>
    </r>
    <r>
      <rPr>
        <sz val="10"/>
        <rFont val="Noto Sans CJK SC"/>
        <family val="2"/>
      </rPr>
      <t xml:space="preserve">のみ使用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最小化→</t>
    </r>
    <r>
      <rPr>
        <sz val="10"/>
        <rFont val="Meiryo UI"/>
        <family val="0"/>
        <charset val="1"/>
      </rPr>
      <t xml:space="preserve">USL</t>
    </r>
    <r>
      <rPr>
        <sz val="10"/>
        <rFont val="Noto Sans CJK SC"/>
        <family val="2"/>
      </rPr>
      <t xml:space="preserve">のみ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目標値→</t>
    </r>
    <r>
      <rPr>
        <sz val="10"/>
        <rFont val="Meiryo UI"/>
        <family val="0"/>
        <charset val="1"/>
      </rPr>
      <t xml:space="preserve">LSL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USL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T </t>
    </r>
    <r>
      <rPr>
        <sz val="10"/>
        <rFont val="Noto Sans CJK SC"/>
        <family val="2"/>
      </rPr>
      <t xml:space="preserve">を使用</t>
    </r>
  </si>
  <si>
    <r>
      <rPr>
        <b val="true"/>
        <sz val="10"/>
        <rFont val="Noto Sans CJK SC"/>
        <family val="2"/>
      </rPr>
      <t xml:space="preserve">下限規格 </t>
    </r>
    <r>
      <rPr>
        <b val="true"/>
        <sz val="10"/>
        <rFont val="Meiryo UI"/>
        <family val="0"/>
        <charset val="1"/>
      </rPr>
      <t xml:space="preserve">LSL</t>
    </r>
  </si>
  <si>
    <r>
      <rPr>
        <b val="true"/>
        <sz val="10"/>
        <rFont val="Noto Sans CJK SC"/>
        <family val="2"/>
      </rPr>
      <t xml:space="preserve">上限規格 </t>
    </r>
    <r>
      <rPr>
        <b val="true"/>
        <sz val="10"/>
        <rFont val="Meiryo UI"/>
        <family val="0"/>
        <charset val="1"/>
      </rPr>
      <t xml:space="preserve">USL</t>
    </r>
  </si>
  <si>
    <r>
      <rPr>
        <b val="true"/>
        <sz val="10"/>
        <rFont val="Noto Sans CJK SC"/>
        <family val="2"/>
      </rPr>
      <t xml:space="preserve">目標値 </t>
    </r>
    <r>
      <rPr>
        <b val="true"/>
        <sz val="10"/>
        <rFont val="Meiryo UI"/>
        <family val="0"/>
        <charset val="1"/>
      </rPr>
      <t xml:space="preserve">T</t>
    </r>
  </si>
  <si>
    <t xml:space="preserve">予測区間の信頼水準</t>
  </si>
  <si>
    <r>
      <rPr>
        <sz val="10"/>
        <rFont val="Noto Sans CJK SC"/>
        <family val="2"/>
      </rPr>
      <t xml:space="preserve">最大化・最小化は片側の予測限界（例：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なら下側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限界）、目標値は両側の予測区間で工程窓を判定</t>
    </r>
  </si>
  <si>
    <t xml:space="preserve">実験計画</t>
  </si>
  <si>
    <t xml:space="preserve">計画の種類</t>
  </si>
  <si>
    <r>
      <rPr>
        <sz val="10"/>
        <color rgb="FF0000FF"/>
        <rFont val="Noto Sans CJK SC"/>
        <family val="2"/>
      </rPr>
      <t xml:space="preserve">面心</t>
    </r>
    <r>
      <rPr>
        <sz val="10"/>
        <color rgb="FF0000FF"/>
        <rFont val="Meiryo UI"/>
        <family val="0"/>
        <charset val="1"/>
      </rPr>
      <t xml:space="preserve">CCD(α=1)</t>
    </r>
  </si>
  <si>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因子</t>
    </r>
    <r>
      <rPr>
        <sz val="10"/>
        <rFont val="Meiryo UI"/>
        <family val="0"/>
        <charset val="1"/>
      </rPr>
      <t xml:space="preserve">: CCD=</t>
    </r>
    <r>
      <rPr>
        <sz val="10"/>
        <rFont val="Noto Sans CJK SC"/>
        <family val="2"/>
      </rPr>
      <t xml:space="preserve">要因</t>
    </r>
    <r>
      <rPr>
        <sz val="10"/>
        <rFont val="Meiryo UI"/>
        <family val="0"/>
        <charset val="1"/>
      </rPr>
      <t xml:space="preserve">16+</t>
    </r>
    <r>
      <rPr>
        <sz val="10"/>
        <rFont val="Noto Sans CJK SC"/>
        <family val="2"/>
      </rPr>
      <t xml:space="preserve">軸</t>
    </r>
    <r>
      <rPr>
        <sz val="10"/>
        <rFont val="Meiryo UI"/>
        <family val="0"/>
        <charset val="1"/>
      </rPr>
      <t xml:space="preserve">8+</t>
    </r>
    <r>
      <rPr>
        <sz val="10"/>
        <rFont val="Noto Sans CJK SC"/>
        <family val="2"/>
      </rPr>
      <t xml:space="preserve">中心、</t>
    </r>
    <r>
      <rPr>
        <sz val="10"/>
        <rFont val="Meiryo UI"/>
        <family val="0"/>
        <charset val="1"/>
      </rPr>
      <t xml:space="preserve">BBD=24+</t>
    </r>
    <r>
      <rPr>
        <sz val="10"/>
        <rFont val="Noto Sans CJK SC"/>
        <family val="2"/>
      </rPr>
      <t xml:space="preserve">中心。</t>
    </r>
    <r>
      <rPr>
        <sz val="10"/>
        <rFont val="Meiryo UI"/>
        <family val="0"/>
        <charset val="1"/>
      </rPr>
      <t xml:space="preserve">BBD</t>
    </r>
    <r>
      <rPr>
        <sz val="10"/>
        <rFont val="Noto Sans CJK SC"/>
        <family val="2"/>
      </rPr>
      <t xml:space="preserve">は全因子同時の極端条件（立方体の頂点）を含まない</t>
    </r>
  </si>
  <si>
    <t xml:space="preserve">中心点の数</t>
  </si>
  <si>
    <r>
      <rPr>
        <sz val="10"/>
        <rFont val="Noto Sans CJK SC"/>
        <family val="2"/>
      </rPr>
      <t xml:space="preserve">純誤差（適合度の欠如の検定）に使うため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以上。推奨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6</t>
    </r>
  </si>
  <si>
    <r>
      <rPr>
        <b val="true"/>
        <sz val="10"/>
        <rFont val="Meiryo UI"/>
        <family val="0"/>
        <charset val="1"/>
      </rPr>
      <t xml:space="preserve">α</t>
    </r>
    <r>
      <rPr>
        <b val="true"/>
        <sz val="10"/>
        <rFont val="Noto Sans CJK SC"/>
        <family val="2"/>
      </rPr>
      <t xml:space="preserve">（軸点距離）</t>
    </r>
  </si>
  <si>
    <r>
      <rPr>
        <b val="true"/>
        <sz val="10"/>
        <rFont val="Noto Sans CJK SC"/>
        <family val="2"/>
      </rPr>
      <t xml:space="preserve">総実験数 </t>
    </r>
    <r>
      <rPr>
        <b val="true"/>
        <sz val="10"/>
        <rFont val="Meiryo UI"/>
        <family val="0"/>
        <charset val="1"/>
      </rPr>
      <t xml:space="preserve">N</t>
    </r>
  </si>
  <si>
    <t xml:space="preserve">ランダマイズ方式</t>
  </si>
  <si>
    <t xml:space="preserve">完全ランダム</t>
  </si>
  <si>
    <r>
      <rPr>
        <sz val="10"/>
        <rFont val="Noto Sans CJK SC"/>
        <family val="2"/>
      </rPr>
      <t xml:space="preserve">グループ化＝変更困難因子の水準ごとに実験をまとめる順序生成のみ。解析は分割区画に対応していない（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に警告表示）</t>
    </r>
  </si>
  <si>
    <r>
      <rPr>
        <b val="true"/>
        <sz val="10"/>
        <rFont val="Noto Sans CJK SC"/>
        <family val="2"/>
      </rPr>
      <t xml:space="preserve">変更困難因子 </t>
    </r>
    <r>
      <rPr>
        <b val="true"/>
        <sz val="10"/>
        <rFont val="Meiryo UI"/>
        <family val="0"/>
        <charset val="1"/>
      </rPr>
      <t xml:space="preserve">No</t>
    </r>
  </si>
  <si>
    <t xml:space="preserve">計画点数（中心点除く）</t>
  </si>
  <si>
    <t xml:space="preserve">安全限界チェック（計画上の最小・最大の実値）</t>
  </si>
  <si>
    <t xml:space="preserve">因子</t>
  </si>
  <si>
    <t xml:space="preserve">計画の最小</t>
  </si>
  <si>
    <t xml:space="preserve">計画の最大</t>
  </si>
  <si>
    <t xml:space="preserve">判定</t>
  </si>
  <si>
    <t xml:space="preserve">総合判定</t>
  </si>
  <si>
    <r>
      <rPr>
        <b val="true"/>
        <sz val="14"/>
        <color rgb="FF1F3864"/>
        <rFont val="Meiryo UI"/>
        <family val="0"/>
        <charset val="1"/>
      </rPr>
      <t xml:space="preserve">02 </t>
    </r>
    <r>
      <rPr>
        <b val="true"/>
        <sz val="14"/>
        <color rgb="FF1F3864"/>
        <rFont val="Noto Sans CJK SC"/>
        <family val="2"/>
      </rPr>
      <t xml:space="preserve">実験計画（標準順）とランダマイズ</t>
    </r>
  </si>
  <si>
    <r>
      <rPr>
        <sz val="9"/>
        <color rgb="FF595959"/>
        <rFont val="Noto Sans CJK SC"/>
        <family val="2"/>
      </rPr>
      <t xml:space="preserve">計画の種類・中心点数は</t>
    </r>
    <r>
      <rPr>
        <sz val="9"/>
        <color rgb="FF595959"/>
        <rFont val="Meiryo UI"/>
        <family val="0"/>
        <charset val="1"/>
      </rPr>
      <t xml:space="preserve">01</t>
    </r>
    <r>
      <rPr>
        <sz val="9"/>
        <color rgb="FF595959"/>
        <rFont val="Noto Sans CJK SC"/>
        <family val="2"/>
      </rPr>
      <t xml:space="preserve">で選択。乱数キーを入れ替えると実験順序が変わります（</t>
    </r>
    <r>
      <rPr>
        <sz val="9"/>
        <color rgb="FF595959"/>
        <rFont val="Meiryo UI"/>
        <family val="0"/>
        <charset val="1"/>
      </rPr>
      <t xml:space="preserve">=RAND()</t>
    </r>
    <r>
      <rPr>
        <sz val="9"/>
        <color rgb="FF595959"/>
        <rFont val="Noto Sans CJK SC"/>
        <family val="2"/>
      </rPr>
      <t xml:space="preserve">を入れ→コピー→値貼り付け）。</t>
    </r>
  </si>
  <si>
    <t xml:space="preserve">標準順</t>
  </si>
  <si>
    <t xml:space="preserve">区分</t>
  </si>
  <si>
    <t xml:space="preserve">使用</t>
  </si>
  <si>
    <r>
      <rPr>
        <b val="true"/>
        <sz val="10"/>
        <color rgb="FFFFFFFF"/>
        <rFont val="Meiryo UI"/>
        <family val="0"/>
        <charset val="1"/>
      </rPr>
      <t xml:space="preserve">X1(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</si>
  <si>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X2(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</si>
  <si>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X3(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</si>
  <si>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X4(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</si>
  <si>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安全判定</t>
  </si>
  <si>
    <t xml:space="preserve">乱数キー</t>
  </si>
  <si>
    <t xml:space="preserve">並べ替えキー</t>
  </si>
  <si>
    <t xml:space="preserve">実験順序</t>
  </si>
  <si>
    <r>
      <rPr>
        <b val="true"/>
        <sz val="10"/>
        <color rgb="FFFFFFFF"/>
        <rFont val="Meiryo UI"/>
        <family val="0"/>
        <charset val="1"/>
      </rPr>
      <t xml:space="preserve">Y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Meiryo UI"/>
        <family val="0"/>
        <charset val="1"/>
      </rPr>
      <t xml:space="preserve">03</t>
    </r>
    <r>
      <rPr>
        <b val="true"/>
        <sz val="10"/>
        <color rgb="FFFFFFFF"/>
        <rFont val="Noto Sans CJK SC"/>
        <family val="2"/>
      </rPr>
      <t xml:space="preserve">から）</t>
    </r>
  </si>
  <si>
    <t xml:space="preserve">CCD1</t>
  </si>
  <si>
    <t xml:space="preserve">CCD2</t>
  </si>
  <si>
    <t xml:space="preserve">CCD3</t>
  </si>
  <si>
    <t xml:space="preserve">CCD4</t>
  </si>
  <si>
    <t xml:space="preserve">BBD1</t>
  </si>
  <si>
    <t xml:space="preserve">BBD2</t>
  </si>
  <si>
    <t xml:space="preserve">BBD3</t>
  </si>
  <si>
    <t xml:space="preserve">BBD4</t>
  </si>
  <si>
    <r>
      <rPr>
        <b val="true"/>
        <sz val="10"/>
        <color rgb="FFFFFFFF"/>
        <rFont val="Noto Sans CJK SC"/>
        <family val="2"/>
      </rPr>
      <t xml:space="preserve">水準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</si>
  <si>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グループ順位</t>
  </si>
  <si>
    <r>
      <rPr>
        <sz val="10"/>
        <rFont val="Noto Sans CJK SC"/>
        <family val="2"/>
      </rPr>
      <t xml:space="preserve">グループ順位＝変更困難因子の水準を実施する順番（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が最初）。入れ替え可</t>
    </r>
  </si>
  <si>
    <r>
      <rPr>
        <sz val="10"/>
        <rFont val="Noto Sans CJK SC"/>
        <family val="2"/>
      </rPr>
      <t xml:space="preserve">右側のパターン列：</t>
    </r>
    <r>
      <rPr>
        <sz val="10"/>
        <rFont val="Meiryo UI"/>
        <family val="0"/>
        <charset val="1"/>
      </rPr>
      <t xml:space="preserve">CCD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BBD</t>
    </r>
    <r>
      <rPr>
        <sz val="10"/>
        <rFont val="Noto Sans CJK SC"/>
        <family val="2"/>
      </rPr>
      <t xml:space="preserve">の基本パターン（編集不要）</t>
    </r>
  </si>
  <si>
    <r>
      <rPr>
        <b val="true"/>
        <sz val="14"/>
        <color rgb="FF1F3864"/>
        <rFont val="Meiryo UI"/>
        <family val="0"/>
        <charset val="1"/>
      </rPr>
      <t xml:space="preserve">03 </t>
    </r>
    <r>
      <rPr>
        <b val="true"/>
        <sz val="14"/>
        <color rgb="FF1F3864"/>
        <rFont val="Noto Sans CJK SC"/>
        <family val="2"/>
      </rPr>
      <t xml:space="preserve">実験指示書・結果入力（実験順）</t>
    </r>
  </si>
  <si>
    <r>
      <rPr>
        <sz val="9"/>
        <color rgb="FF595959"/>
        <rFont val="Noto Sans CJK SC"/>
        <family val="2"/>
      </rPr>
      <t xml:space="preserve">この順番で実験し、</t>
    </r>
    <r>
      <rPr>
        <sz val="9"/>
        <color rgb="FF595959"/>
        <rFont val="Meiryo UI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を入力。現在の</t>
    </r>
    <r>
      <rPr>
        <sz val="9"/>
        <color rgb="FF595959"/>
        <rFont val="Meiryo UI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は検証用の架空データ。計画を変えたら入れ直してください。</t>
    </r>
  </si>
  <si>
    <t xml:space="preserve">変更困難因子の水準</t>
  </si>
  <si>
    <t xml:space="preserve">メモ（異常・気付き）</t>
  </si>
  <si>
    <r>
      <rPr>
        <b val="true"/>
        <sz val="14"/>
        <color rgb="FF1F3864"/>
        <rFont val="Meiryo UI"/>
        <family val="0"/>
        <charset val="1"/>
      </rPr>
      <t xml:space="preserve">04 2</t>
    </r>
    <r>
      <rPr>
        <b val="true"/>
        <sz val="14"/>
        <color rgb="FF1F3864"/>
        <rFont val="Noto Sans CJK SC"/>
        <family val="2"/>
      </rPr>
      <t xml:space="preserve">次回帰モデルと</t>
    </r>
    <r>
      <rPr>
        <b val="true"/>
        <sz val="14"/>
        <color rgb="FF1F3864"/>
        <rFont val="Meiryo UI"/>
        <family val="0"/>
        <charset val="1"/>
      </rPr>
      <t xml:space="preserve">ANOVA</t>
    </r>
    <r>
      <rPr>
        <b val="true"/>
        <sz val="14"/>
        <color rgb="FF1F3864"/>
        <rFont val="Noto Sans CJK SC"/>
        <family val="2"/>
      </rPr>
      <t xml:space="preserve">（コード化単位）</t>
    </r>
  </si>
  <si>
    <r>
      <rPr>
        <sz val="9"/>
        <color rgb="FF595959"/>
        <rFont val="Meiryo UI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列を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にすると、その項を除外して再計算（モデル縮小）。切片は常に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</si>
  <si>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t xml:space="preserve">項</t>
  </si>
  <si>
    <r>
      <rPr>
        <b val="true"/>
        <sz val="10"/>
        <color rgb="FFFFFFFF"/>
        <rFont val="Noto Sans CJK SC"/>
        <family val="2"/>
      </rPr>
      <t xml:space="preserve">使用</t>
    </r>
    <r>
      <rPr>
        <b val="true"/>
        <sz val="10"/>
        <color rgb="FFFFFFFF"/>
        <rFont val="Meiryo UI"/>
        <family val="0"/>
        <charset val="1"/>
      </rPr>
      <t xml:space="preserve">(1/0)</t>
    </r>
  </si>
  <si>
    <t xml:space="preserve">係数</t>
  </si>
  <si>
    <t xml:space="preserve">標準誤差</t>
  </si>
  <si>
    <r>
      <rPr>
        <b val="true"/>
        <sz val="10"/>
        <color rgb="FFFFFFFF"/>
        <rFont val="Meiryo UI"/>
        <family val="0"/>
        <charset val="1"/>
      </rPr>
      <t xml:space="preserve">t</t>
    </r>
    <r>
      <rPr>
        <b val="true"/>
        <sz val="10"/>
        <color rgb="FFFFFFFF"/>
        <rFont val="Noto Sans CJK SC"/>
        <family val="2"/>
      </rPr>
      <t xml:space="preserve">値</t>
    </r>
  </si>
  <si>
    <r>
      <rPr>
        <b val="true"/>
        <sz val="10"/>
        <color rgb="FFFFFFFF"/>
        <rFont val="Meiryo UI"/>
        <family val="0"/>
        <charset val="1"/>
      </rPr>
      <t xml:space="preserve">p</t>
    </r>
    <r>
      <rPr>
        <b val="true"/>
        <sz val="10"/>
        <color rgb="FFFFFFFF"/>
        <rFont val="Noto Sans CJK SC"/>
        <family val="2"/>
      </rPr>
      <t xml:space="preserve">値</t>
    </r>
  </si>
  <si>
    <t xml:space="preserve">有意</t>
  </si>
  <si>
    <t xml:space="preserve">階層性チェック</t>
  </si>
  <si>
    <t xml:space="preserve">統計量</t>
  </si>
  <si>
    <t xml:space="preserve">値</t>
  </si>
  <si>
    <t xml:space="preserve">切片</t>
  </si>
  <si>
    <r>
      <rPr>
        <b val="true"/>
        <sz val="10"/>
        <rFont val="Meiryo UI"/>
        <family val="0"/>
        <charset val="1"/>
      </rPr>
      <t xml:space="preserve">n</t>
    </r>
    <r>
      <rPr>
        <b val="true"/>
        <sz val="10"/>
        <rFont val="Noto Sans CJK SC"/>
        <family val="2"/>
      </rPr>
      <t xml:space="preserve">（実験数）</t>
    </r>
  </si>
  <si>
    <r>
      <rPr>
        <b val="true"/>
        <sz val="10"/>
        <rFont val="Meiryo UI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（項数）</t>
    </r>
  </si>
  <si>
    <t xml:space="preserve">残差自由度</t>
  </si>
  <si>
    <t xml:space="preserve">SSE</t>
  </si>
  <si>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の平均</t>
    </r>
  </si>
  <si>
    <t xml:space="preserve">X1·X2</t>
  </si>
  <si>
    <t xml:space="preserve">SST</t>
  </si>
  <si>
    <t xml:space="preserve">X1·X3</t>
  </si>
  <si>
    <t xml:space="preserve">SSR</t>
  </si>
  <si>
    <t xml:space="preserve">X1·X4</t>
  </si>
  <si>
    <t xml:space="preserve">MSE</t>
  </si>
  <si>
    <t xml:space="preserve">X2·X3</t>
  </si>
  <si>
    <r>
      <rPr>
        <b val="true"/>
        <sz val="10"/>
        <rFont val="Meiryo UI"/>
        <family val="0"/>
        <charset val="1"/>
      </rPr>
      <t xml:space="preserve">s</t>
    </r>
    <r>
      <rPr>
        <b val="true"/>
        <sz val="10"/>
        <rFont val="Noto Sans CJK SC"/>
        <family val="2"/>
      </rPr>
      <t xml:space="preserve">（残差標準偏差）</t>
    </r>
  </si>
  <si>
    <t xml:space="preserve">X2·X4</t>
  </si>
  <si>
    <t xml:space="preserve">R²</t>
  </si>
  <si>
    <t xml:space="preserve">X3·X4</t>
  </si>
  <si>
    <r>
      <rPr>
        <b val="true"/>
        <sz val="10"/>
        <rFont val="Noto Sans CJK SC"/>
        <family val="2"/>
      </rPr>
      <t xml:space="preserve">調整済み</t>
    </r>
    <r>
      <rPr>
        <b val="true"/>
        <sz val="10"/>
        <rFont val="Meiryo UI"/>
        <family val="0"/>
        <charset val="1"/>
      </rPr>
      <t xml:space="preserve">R²</t>
    </r>
  </si>
  <si>
    <t xml:space="preserve">X1²</t>
  </si>
  <si>
    <t xml:space="preserve">PRESS</t>
  </si>
  <si>
    <t xml:space="preserve">X2²</t>
  </si>
  <si>
    <r>
      <rPr>
        <b val="true"/>
        <sz val="10"/>
        <rFont val="Noto Sans CJK SC"/>
        <family val="2"/>
      </rPr>
      <t xml:space="preserve">予測</t>
    </r>
    <r>
      <rPr>
        <b val="true"/>
        <sz val="10"/>
        <rFont val="Meiryo UI"/>
        <family val="0"/>
        <charset val="1"/>
      </rPr>
      <t xml:space="preserve">R²</t>
    </r>
  </si>
  <si>
    <t xml:space="preserve">X3²</t>
  </si>
  <si>
    <r>
      <rPr>
        <b val="true"/>
        <sz val="10"/>
        <rFont val="Meiryo UI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値（工程窓・最適化用）</t>
    </r>
  </si>
  <si>
    <t xml:space="preserve">X4²</t>
  </si>
  <si>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未入力数</t>
    </r>
  </si>
  <si>
    <r>
      <rPr>
        <sz val="10"/>
        <rFont val="Noto Sans CJK SC"/>
        <family val="2"/>
      </rPr>
      <t xml:space="preserve">有意：</t>
    </r>
    <r>
      <rPr>
        <sz val="10"/>
        <rFont val="Meiryo UI"/>
        <family val="0"/>
        <charset val="1"/>
      </rPr>
      <t xml:space="preserve">** p&lt;0.01</t>
    </r>
    <r>
      <rPr>
        <sz val="10"/>
        <rFont val="Noto Sans CJK SC"/>
        <family val="2"/>
      </rPr>
      <t xml:space="preserve">　</t>
    </r>
    <r>
      <rPr>
        <sz val="10"/>
        <rFont val="Meiryo UI"/>
        <family val="0"/>
        <charset val="1"/>
      </rPr>
      <t xml:space="preserve">* p&lt;0.05</t>
    </r>
    <r>
      <rPr>
        <sz val="10"/>
        <rFont val="Noto Sans CJK SC"/>
        <family val="2"/>
      </rPr>
      <t xml:space="preserve">　△ </t>
    </r>
    <r>
      <rPr>
        <sz val="10"/>
        <rFont val="Meiryo UI"/>
        <family val="0"/>
        <charset val="1"/>
      </rPr>
      <t xml:space="preserve">p&lt;0.1</t>
    </r>
    <r>
      <rPr>
        <sz val="10"/>
        <rFont val="Noto Sans CJK SC"/>
        <family val="2"/>
      </rPr>
      <t xml:space="preserve">。</t>
    </r>
    <r>
      <rPr>
        <sz val="10"/>
        <rFont val="Meiryo UI"/>
        <family val="0"/>
        <charset val="1"/>
      </rPr>
      <t xml:space="preserve">p</t>
    </r>
    <r>
      <rPr>
        <sz val="10"/>
        <rFont val="Noto Sans CJK SC"/>
        <family val="2"/>
      </rPr>
      <t xml:space="preserve">値だけで機械的に削らず、技術的な意味と階層性を優先。</t>
    </r>
  </si>
  <si>
    <r>
      <rPr>
        <b val="true"/>
        <sz val="10"/>
        <rFont val="Noto Sans CJK SC"/>
        <family val="2"/>
      </rPr>
      <t xml:space="preserve">中心点</t>
    </r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の平均</t>
    </r>
  </si>
  <si>
    <r>
      <rPr>
        <b val="true"/>
        <sz val="10"/>
        <rFont val="Meiryo UI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値（両側・確認実験用）</t>
    </r>
  </si>
  <si>
    <r>
      <rPr>
        <sz val="10"/>
        <rFont val="Noto Sans CJK SC"/>
        <family val="2"/>
      </rPr>
      <t xml:space="preserve">工程窓用</t>
    </r>
    <r>
      <rPr>
        <sz val="10"/>
        <rFont val="Meiryo UI"/>
        <family val="0"/>
        <charset val="1"/>
      </rPr>
      <t xml:space="preserve">t</t>
    </r>
    <r>
      <rPr>
        <sz val="10"/>
        <rFont val="Noto Sans CJK SC"/>
        <family val="2"/>
      </rPr>
      <t xml:space="preserve">：最大化・最小化＝片側（信頼水準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なら </t>
    </r>
    <r>
      <rPr>
        <sz val="10"/>
        <rFont val="Meiryo UI"/>
        <family val="0"/>
        <charset val="1"/>
      </rPr>
      <t xml:space="preserve">t0.95</t>
    </r>
    <r>
      <rPr>
        <sz val="10"/>
        <rFont val="Noto Sans CJK SC"/>
        <family val="2"/>
      </rPr>
      <t xml:space="preserve">）、目標値＝両側（</t>
    </r>
    <r>
      <rPr>
        <sz val="10"/>
        <rFont val="Meiryo UI"/>
        <family val="0"/>
        <charset val="1"/>
      </rPr>
      <t xml:space="preserve">t0.975</t>
    </r>
    <r>
      <rPr>
        <sz val="10"/>
        <rFont val="Noto Sans CJK SC"/>
        <family val="2"/>
      </rPr>
      <t xml:space="preserve">）</t>
    </r>
  </si>
  <si>
    <t xml:space="preserve">要因</t>
  </si>
  <si>
    <t xml:space="preserve">自由度</t>
  </si>
  <si>
    <t xml:space="preserve">平方和</t>
  </si>
  <si>
    <t xml:space="preserve">平均平方</t>
  </si>
  <si>
    <r>
      <rPr>
        <b val="true"/>
        <sz val="10"/>
        <color rgb="FFFFFFFF"/>
        <rFont val="Meiryo UI"/>
        <family val="0"/>
        <charset val="1"/>
      </rPr>
      <t xml:space="preserve">F</t>
    </r>
    <r>
      <rPr>
        <b val="true"/>
        <sz val="10"/>
        <color rgb="FFFFFFFF"/>
        <rFont val="Noto Sans CJK SC"/>
        <family val="2"/>
      </rPr>
      <t xml:space="preserve">値</t>
    </r>
  </si>
  <si>
    <t xml:space="preserve">回帰</t>
  </si>
  <si>
    <t xml:space="preserve">残差</t>
  </si>
  <si>
    <t xml:space="preserve">　適合度の欠如</t>
  </si>
  <si>
    <t xml:space="preserve">　純誤差</t>
  </si>
  <si>
    <t xml:space="preserve">合計</t>
  </si>
  <si>
    <t xml:space="preserve">判断ゲート</t>
  </si>
  <si>
    <t xml:space="preserve">計画の安全性</t>
  </si>
  <si>
    <t xml:space="preserve">ランダマイズ</t>
  </si>
  <si>
    <t xml:space="preserve">データ</t>
  </si>
  <si>
    <t xml:space="preserve">回帰の有意性</t>
  </si>
  <si>
    <t xml:space="preserve">適合度の欠如</t>
  </si>
  <si>
    <r>
      <rPr>
        <b val="true"/>
        <sz val="10"/>
        <rFont val="Meiryo UI"/>
        <family val="0"/>
        <charset val="1"/>
      </rPr>
      <t xml:space="preserve">R²</t>
    </r>
    <r>
      <rPr>
        <b val="true"/>
        <sz val="10"/>
        <rFont val="Noto Sans CJK SC"/>
        <family val="2"/>
      </rPr>
      <t xml:space="preserve">と予測</t>
    </r>
    <r>
      <rPr>
        <b val="true"/>
        <sz val="10"/>
        <rFont val="Meiryo UI"/>
        <family val="0"/>
        <charset val="1"/>
      </rPr>
      <t xml:space="preserve">R²</t>
    </r>
  </si>
  <si>
    <r>
      <rPr>
        <b val="true"/>
        <sz val="10"/>
        <rFont val="Meiryo UI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がなく、△の内容を理解・記録してから </t>
    </r>
    <r>
      <rPr>
        <b val="true"/>
        <sz val="10"/>
        <rFont val="Meiryo UI"/>
        <family val="0"/>
        <charset val="1"/>
      </rPr>
      <t xml:space="preserve">06</t>
    </r>
    <r>
      <rPr>
        <b val="true"/>
        <sz val="10"/>
        <rFont val="Noto Sans CJK SC"/>
        <family val="2"/>
      </rPr>
      <t xml:space="preserve">（正準解析）→</t>
    </r>
    <r>
      <rPr>
        <b val="true"/>
        <sz val="10"/>
        <rFont val="Meiryo UI"/>
        <family val="0"/>
        <charset val="1"/>
      </rPr>
      <t xml:space="preserve">07</t>
    </r>
    <r>
      <rPr>
        <b val="true"/>
        <sz val="10"/>
        <rFont val="Noto Sans CJK SC"/>
        <family val="2"/>
      </rPr>
      <t xml:space="preserve">（最適化）→</t>
    </r>
    <r>
      <rPr>
        <b val="true"/>
        <sz val="10"/>
        <rFont val="Meiryo UI"/>
        <family val="0"/>
        <charset val="1"/>
      </rPr>
      <t xml:space="preserve">08</t>
    </r>
    <r>
      <rPr>
        <b val="true"/>
        <sz val="10"/>
        <rFont val="Noto Sans CJK SC"/>
        <family val="2"/>
      </rPr>
      <t xml:space="preserve">（工程窓）へ進みます。</t>
    </r>
  </si>
  <si>
    <r>
      <rPr>
        <b val="true"/>
        <sz val="14"/>
        <color rgb="FF1F3864"/>
        <rFont val="Meiryo UI"/>
        <family val="0"/>
        <charset val="1"/>
      </rPr>
      <t xml:space="preserve">05 </t>
    </r>
    <r>
      <rPr>
        <b val="true"/>
        <sz val="14"/>
        <color rgb="FF1F3864"/>
        <rFont val="Noto Sans CJK SC"/>
        <family val="2"/>
      </rPr>
      <t xml:space="preserve">残差診断</t>
    </r>
  </si>
  <si>
    <r>
      <rPr>
        <sz val="9"/>
        <color rgb="FF595959"/>
        <rFont val="Noto Sans CJK SC"/>
        <family val="2"/>
      </rPr>
      <t xml:space="preserve">スチューデント化残差の絶対値が</t>
    </r>
    <r>
      <rPr>
        <sz val="9"/>
        <color rgb="FF595959"/>
        <rFont val="Meiryo UI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超は要確認（測定ミス・異常の可能性）。消す前に原因を調べる。</t>
    </r>
  </si>
  <si>
    <t xml:space="preserve">実験順</t>
  </si>
  <si>
    <r>
      <rPr>
        <b val="true"/>
        <sz val="10"/>
        <color rgb="FFFFFFFF"/>
        <rFont val="Meiryo UI"/>
        <family val="0"/>
        <charset val="1"/>
      </rPr>
      <t xml:space="preserve">Y</t>
    </r>
    <r>
      <rPr>
        <b val="true"/>
        <sz val="10"/>
        <color rgb="FFFFFFFF"/>
        <rFont val="Noto Sans CJK SC"/>
        <family val="2"/>
      </rPr>
      <t xml:space="preserve">実測</t>
    </r>
  </si>
  <si>
    <t xml:space="preserve">予測</t>
  </si>
  <si>
    <t xml:space="preserve">標準化残差</t>
  </si>
  <si>
    <r>
      <rPr>
        <b val="true"/>
        <sz val="10"/>
        <color rgb="FFFFFFFF"/>
        <rFont val="Noto Sans CJK SC"/>
        <family val="2"/>
      </rPr>
      <t xml:space="preserve">てこ比</t>
    </r>
    <r>
      <rPr>
        <b val="true"/>
        <sz val="10"/>
        <color rgb="FFFFFFFF"/>
        <rFont val="Meiryo UI"/>
        <family val="0"/>
        <charset val="1"/>
      </rPr>
      <t xml:space="preserve">h</t>
    </r>
  </si>
  <si>
    <t xml:space="preserve">スチューデント化残差</t>
  </si>
  <si>
    <t xml:space="preserve">k</t>
  </si>
  <si>
    <r>
      <rPr>
        <b val="true"/>
        <sz val="10"/>
        <color rgb="FFFFFFFF"/>
        <rFont val="Noto Sans CJK SC"/>
        <family val="2"/>
      </rPr>
      <t xml:space="preserve">採用</t>
    </r>
    <r>
      <rPr>
        <b val="true"/>
        <sz val="10"/>
        <color rgb="FFFFFFFF"/>
        <rFont val="Meiryo UI"/>
        <family val="0"/>
        <charset val="1"/>
      </rPr>
      <t xml:space="preserve">k</t>
    </r>
  </si>
  <si>
    <r>
      <rPr>
        <b val="true"/>
        <sz val="10"/>
        <color rgb="FFFFFFFF"/>
        <rFont val="Noto Sans CJK SC"/>
        <family val="2"/>
      </rPr>
      <t xml:space="preserve">残差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昇順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</si>
  <si>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理論分位点</t>
  </si>
  <si>
    <t xml:space="preserve">実測</t>
  </si>
  <si>
    <r>
      <rPr>
        <sz val="10"/>
        <rFont val="Noto Sans CJK SC"/>
        <family val="2"/>
      </rPr>
      <t xml:space="preserve">見方：①残差</t>
    </r>
    <r>
      <rPr>
        <sz val="10"/>
        <rFont val="Meiryo UI"/>
        <family val="0"/>
        <charset val="1"/>
      </rPr>
      <t xml:space="preserve">vs</t>
    </r>
    <r>
      <rPr>
        <sz val="10"/>
        <rFont val="Noto Sans CJK SC"/>
        <family val="2"/>
      </rPr>
      <t xml:space="preserve">予測に漏斗形・曲線パターンがない ②正規確率がほぼ直線 ③実験順に傾向（ドリフト）がない ④実測</t>
    </r>
    <r>
      <rPr>
        <sz val="10"/>
        <rFont val="Meiryo UI"/>
        <family val="0"/>
        <charset val="1"/>
      </rPr>
      <t xml:space="preserve">vs</t>
    </r>
    <r>
      <rPr>
        <sz val="10"/>
        <rFont val="Noto Sans CJK SC"/>
        <family val="2"/>
      </rPr>
      <t xml:space="preserve">予測が</t>
    </r>
    <r>
      <rPr>
        <sz val="10"/>
        <rFont val="Meiryo UI"/>
        <family val="0"/>
        <charset val="1"/>
      </rPr>
      <t xml:space="preserve">45°</t>
    </r>
    <r>
      <rPr>
        <sz val="10"/>
        <rFont val="Noto Sans CJK SC"/>
        <family val="2"/>
      </rPr>
      <t xml:space="preserve">線上</t>
    </r>
  </si>
  <si>
    <r>
      <rPr>
        <b val="true"/>
        <sz val="14"/>
        <color rgb="FF1F3864"/>
        <rFont val="Meiryo UI"/>
        <family val="0"/>
        <charset val="1"/>
      </rPr>
      <t xml:space="preserve">06 </t>
    </r>
    <r>
      <rPr>
        <b val="true"/>
        <sz val="14"/>
        <color rgb="FF1F3864"/>
        <rFont val="Noto Sans CJK SC"/>
        <family val="2"/>
      </rPr>
      <t xml:space="preserve">正準解析（停留点の種類と位置）</t>
    </r>
  </si>
  <si>
    <t xml:space="preserve">最適化の前に必ず確認：停留点が最大点・最小点・鞍点のどれか、実験領域の内か外か。</t>
  </si>
  <si>
    <r>
      <rPr>
        <b val="true"/>
        <sz val="10"/>
        <rFont val="Meiryo UI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次係数行列 </t>
    </r>
    <r>
      <rPr>
        <b val="true"/>
        <sz val="10"/>
        <rFont val="Meiryo UI"/>
        <family val="0"/>
        <charset val="1"/>
      </rPr>
      <t xml:space="preserve">B</t>
    </r>
  </si>
  <si>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次係数 </t>
    </r>
    <r>
      <rPr>
        <b val="true"/>
        <sz val="10"/>
        <rFont val="Meiryo UI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</si>
  <si>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停留点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</si>
  <si>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停留点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実値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</si>
  <si>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停留点での予測</t>
    </r>
    <r>
      <rPr>
        <b val="true"/>
        <sz val="10"/>
        <rFont val="Meiryo UI"/>
        <family val="0"/>
        <charset val="1"/>
      </rPr>
      <t xml:space="preserve">Y</t>
    </r>
  </si>
  <si>
    <t xml:space="preserve">中心からの距離</t>
  </si>
  <si>
    <t xml:space="preserve">実験領域内か</t>
  </si>
  <si>
    <t xml:space="preserve">λ1</t>
  </si>
  <si>
    <t xml:space="preserve">λ2</t>
  </si>
  <si>
    <t xml:space="preserve">λ3</t>
  </si>
  <si>
    <t xml:space="preserve">λ4</t>
  </si>
  <si>
    <t xml:space="preserve">停留点の種類</t>
  </si>
  <si>
    <t xml:space="preserve">尾根（リッジ）</t>
  </si>
  <si>
    <t xml:space="preserve">判断</t>
  </si>
  <si>
    <r>
      <rPr>
        <sz val="10"/>
        <rFont val="Noto Sans CJK SC"/>
        <family val="2"/>
      </rPr>
      <t xml:space="preserve">固有値は</t>
    </r>
    <r>
      <rPr>
        <sz val="10"/>
        <rFont val="Meiryo UI"/>
        <family val="0"/>
        <charset val="1"/>
      </rPr>
      <t xml:space="preserve">Jacobi</t>
    </r>
    <r>
      <rPr>
        <sz val="10"/>
        <rFont val="Noto Sans CJK SC"/>
        <family val="2"/>
      </rPr>
      <t xml:space="preserve">法で数値計算（</t>
    </r>
    <r>
      <rPr>
        <sz val="10"/>
        <rFont val="Meiryo UI"/>
        <family val="0"/>
        <charset val="1"/>
      </rPr>
      <t xml:space="preserve">_eig</t>
    </r>
    <r>
      <rPr>
        <sz val="10"/>
        <rFont val="Noto Sans CJK SC"/>
        <family val="2"/>
      </rPr>
      <t xml:space="preserve">シート）。</t>
    </r>
    <r>
      <rPr>
        <sz val="10"/>
        <rFont val="Meiryo UI"/>
        <family val="0"/>
        <charset val="1"/>
      </rPr>
      <t xml:space="preserve">λ</t>
    </r>
    <r>
      <rPr>
        <sz val="10"/>
        <rFont val="Noto Sans CJK SC"/>
        <family val="2"/>
      </rPr>
      <t xml:space="preserve">が全て負→最大点、全て正→最小点、正負混在→鞍点。</t>
    </r>
  </si>
  <si>
    <r>
      <rPr>
        <b val="true"/>
        <sz val="14"/>
        <color rgb="FF1F3864"/>
        <rFont val="Meiryo UI"/>
        <family val="0"/>
        <charset val="1"/>
      </rPr>
      <t xml:space="preserve">07 </t>
    </r>
    <r>
      <rPr>
        <b val="true"/>
        <sz val="14"/>
        <color rgb="FF1F3864"/>
        <rFont val="Noto Sans CJK SC"/>
        <family val="2"/>
      </rPr>
      <t xml:space="preserve">最適化（実験領域内の</t>
    </r>
    <r>
      <rPr>
        <b val="true"/>
        <sz val="14"/>
        <color rgb="FF1F3864"/>
        <rFont val="Meiryo UI"/>
        <family val="0"/>
        <charset val="1"/>
      </rPr>
      <t xml:space="preserve">4</t>
    </r>
    <r>
      <rPr>
        <b val="true"/>
        <sz val="14"/>
        <color rgb="FF1F3864"/>
        <rFont val="Noto Sans CJK SC"/>
        <family val="2"/>
      </rPr>
      <t xml:space="preserve">次元グリッド探索）</t>
    </r>
  </si>
  <si>
    <t xml:space="preserve">『点予測の最適』と『予測限界で規格への余裕が最大の条件（ロバスト最適）』を並べて表示します。</t>
  </si>
  <si>
    <t xml:space="preserve">項目</t>
  </si>
  <si>
    <t xml:space="preserve">ロバスト最適（推奨）</t>
  </si>
  <si>
    <t xml:space="preserve">点予測の最適</t>
  </si>
  <si>
    <t xml:space="preserve">説明</t>
  </si>
  <si>
    <t xml:space="preserve">グリッド行</t>
  </si>
  <si>
    <r>
      <rPr>
        <sz val="10"/>
        <rFont val="Noto Sans CJK SC"/>
        <family val="2"/>
      </rPr>
      <t xml:space="preserve">ロバスト最適：規格側の予測限界（最大化なら下側限界）と規格の差が最大の条件。ばらつきを考慮した推奨条件。
点予測の最適：予測値そのものが最大（最小・目標値に最も近い）条件。境界に張り付きやすく、区間は広め。
両者が大きく違う場合、点予測の最適は『予測のばらつきが大きい場所』にある。原則ロバスト最適を採用。
判定用下限・上限：最大化・最小化は片側、目標値は両側の予測限界（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の</t>
    </r>
    <r>
      <rPr>
        <sz val="10"/>
        <rFont val="Meiryo UI"/>
        <family val="0"/>
        <charset val="1"/>
      </rPr>
      <t xml:space="preserve">t</t>
    </r>
    <r>
      <rPr>
        <sz val="10"/>
        <rFont val="Noto Sans CJK SC"/>
        <family val="2"/>
      </rPr>
      <t xml:space="preserve">値を使用）。
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の場合：規格が厳しすぎる／因子範囲が不適切／モデル誤差が大きい。範囲を移して追加実験、</t>
    </r>
    <r>
      <rPr>
        <sz val="10"/>
        <rFont val="Meiryo UI"/>
        <family val="0"/>
        <charset val="1"/>
      </rPr>
      <t xml:space="preserve">s</t>
    </r>
    <r>
      <rPr>
        <sz val="10"/>
        <rFont val="Noto Sans CJK SC"/>
        <family val="2"/>
      </rPr>
      <t xml:space="preserve">の低減を検討。</t>
    </r>
  </si>
  <si>
    <r>
      <rPr>
        <b val="true"/>
        <sz val="10"/>
        <rFont val="Noto Sans CJK SC"/>
        <family val="2"/>
      </rPr>
      <t xml:space="preserve">予測</t>
    </r>
    <r>
      <rPr>
        <b val="true"/>
        <sz val="10"/>
        <rFont val="Meiryo UI"/>
        <family val="0"/>
        <charset val="1"/>
      </rPr>
      <t xml:space="preserve">Y</t>
    </r>
  </si>
  <si>
    <t xml:space="preserve">判定用下限</t>
  </si>
  <si>
    <t xml:space="preserve">判定用上限</t>
  </si>
  <si>
    <t xml:space="preserve">規格への余裕</t>
  </si>
  <si>
    <r>
      <rPr>
        <b val="true"/>
        <sz val="10"/>
        <rFont val="Noto Sans CJK SC"/>
        <family val="2"/>
      </rPr>
      <t xml:space="preserve">ロバスト最適の上位</t>
    </r>
    <r>
      <rPr>
        <b val="true"/>
        <sz val="10"/>
        <rFont val="Meiryo UI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候補（実値）</t>
    </r>
  </si>
  <si>
    <t xml:space="preserve">順位</t>
  </si>
  <si>
    <r>
      <rPr>
        <b val="true"/>
        <sz val="10"/>
        <color rgb="FFFFFFFF"/>
        <rFont val="Noto Sans CJK SC"/>
        <family val="2"/>
      </rPr>
      <t xml:space="preserve">予測</t>
    </r>
    <r>
      <rPr>
        <b val="true"/>
        <sz val="10"/>
        <color rgb="FFFFFFFF"/>
        <rFont val="Meiryo UI"/>
        <family val="0"/>
        <charset val="1"/>
      </rPr>
      <t xml:space="preserve">Y</t>
    </r>
  </si>
  <si>
    <t xml:space="preserve">余裕</t>
  </si>
  <si>
    <t xml:space="preserve">上位候補が近い値に集まっていれば最適点は安定。ばらばらなら平坦（尾根）で、工程窓を広く取れる可能性。</t>
  </si>
  <si>
    <r>
      <rPr>
        <b val="true"/>
        <sz val="10"/>
        <rFont val="Noto Sans CJK SC"/>
        <family val="2"/>
      </rPr>
      <t xml:space="preserve">（任意）</t>
    </r>
    <r>
      <rPr>
        <b val="true"/>
        <sz val="10"/>
        <rFont val="Meiryo UI"/>
        <family val="0"/>
        <charset val="1"/>
      </rPr>
      <t xml:space="preserve">Solver</t>
    </r>
    <r>
      <rPr>
        <b val="true"/>
        <sz val="10"/>
        <rFont val="Noto Sans CJK SC"/>
        <family val="2"/>
      </rPr>
      <t xml:space="preserve">で精密化</t>
    </r>
  </si>
  <si>
    <r>
      <rPr>
        <sz val="10"/>
        <rFont val="Noto Sans CJK SC"/>
        <family val="2"/>
      </rPr>
      <t xml:space="preserve">グリッドは</t>
    </r>
    <r>
      <rPr>
        <sz val="10"/>
        <rFont val="Meiryo UI"/>
        <family val="0"/>
        <charset val="1"/>
      </rPr>
      <t xml:space="preserve">0.250</t>
    </r>
    <r>
      <rPr>
        <sz val="10"/>
        <rFont val="Noto Sans CJK SC"/>
        <family val="2"/>
      </rPr>
      <t xml:space="preserve">刻み。細かく詰める場合は、下の黄色セルにロバスト最適のコード値を値貼り付け→データ→ソルバー：目的セル『余裕』を最大化、変数セルは黄色セル、制約は右の表示、解法『</t>
    </r>
    <r>
      <rPr>
        <sz val="10"/>
        <rFont val="Meiryo UI"/>
        <family val="0"/>
        <charset val="1"/>
      </rPr>
      <t xml:space="preserve">GRG</t>
    </r>
    <r>
      <rPr>
        <sz val="10"/>
        <rFont val="Noto Sans CJK SC"/>
        <family val="2"/>
      </rPr>
      <t xml:space="preserve">非線形』（マルチスタート推奨）。</t>
    </r>
  </si>
  <si>
    <t xml:space="preserve">q</t>
  </si>
  <si>
    <t xml:space="preserve">判定用下限／上限</t>
  </si>
  <si>
    <t xml:space="preserve">余裕（目的セル）</t>
  </si>
  <si>
    <r>
      <rPr>
        <b val="true"/>
        <sz val="14"/>
        <color rgb="FF1F3864"/>
        <rFont val="Meiryo UI"/>
        <family val="0"/>
        <charset val="1"/>
      </rPr>
      <t xml:space="preserve">08 </t>
    </r>
    <r>
      <rPr>
        <b val="true"/>
        <sz val="14"/>
        <color rgb="FF1F3864"/>
        <rFont val="Noto Sans CJK SC"/>
        <family val="2"/>
      </rPr>
      <t xml:space="preserve">工程窓（予測限界ベース）</t>
    </r>
  </si>
  <si>
    <r>
      <rPr>
        <sz val="9"/>
        <color rgb="FF595959"/>
        <rFont val="Meiryo UI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因子を軸にした断面で予測値と『規格への余裕』を表示。余裕≧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（緑）が工程窓。残りの因子は下で指定した値に固定。</t>
    </r>
  </si>
  <si>
    <t xml:space="preserve">横軸の因子</t>
  </si>
  <si>
    <t xml:space="preserve">縦軸の因子</t>
  </si>
  <si>
    <t xml:space="preserve">固定因子の値</t>
  </si>
  <si>
    <t xml:space="preserve">ロバスト最適点</t>
  </si>
  <si>
    <r>
      <rPr>
        <b val="true"/>
        <sz val="10"/>
        <color rgb="FFFFFFFF"/>
        <rFont val="Noto Sans CJK SC"/>
        <family val="2"/>
      </rPr>
      <t xml:space="preserve">手入力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</si>
  <si>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使用する固定値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</si>
  <si>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実値</t>
  </si>
  <si>
    <t xml:space="preserve">役割</t>
  </si>
  <si>
    <r>
      <rPr>
        <b val="true"/>
        <sz val="10"/>
        <rFont val="Noto Sans CJK SC"/>
        <family val="2"/>
      </rPr>
      <t xml:space="preserve">① 予測値 </t>
    </r>
    <r>
      <rPr>
        <b val="true"/>
        <sz val="10"/>
        <rFont val="Meiryo UI"/>
        <family val="0"/>
        <charset val="1"/>
      </rPr>
      <t xml:space="preserve">Ŷ</t>
    </r>
    <r>
      <rPr>
        <b val="true"/>
        <sz val="10"/>
        <rFont val="Noto Sans CJK SC"/>
        <family val="2"/>
      </rPr>
      <t xml:space="preserve">（点予測）</t>
    </r>
  </si>
  <si>
    <t xml:space="preserve">縦↓ 実値</t>
  </si>
  <si>
    <t xml:space="preserve">コード</t>
  </si>
  <si>
    <r>
      <rPr>
        <b val="true"/>
        <sz val="10"/>
        <rFont val="Noto Sans CJK SC"/>
        <family val="2"/>
      </rPr>
      <t xml:space="preserve">② 規格への余裕（予測限界ベース）　緑＝工程窓（余裕≧</t>
    </r>
    <r>
      <rPr>
        <b val="true"/>
        <sz val="10"/>
        <rFont val="Meiryo UI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）／赤＝規格外のおそれ／外＝安全限界・領域外</t>
    </r>
  </si>
  <si>
    <r>
      <rPr>
        <b val="true"/>
        <sz val="10"/>
        <rFont val="Meiryo UI"/>
        <family val="0"/>
        <charset val="1"/>
      </rPr>
      <t xml:space="preserve">③ 1</t>
    </r>
    <r>
      <rPr>
        <b val="true"/>
        <sz val="10"/>
        <rFont val="Noto Sans CJK SC"/>
        <family val="2"/>
      </rPr>
      <t xml:space="preserve">因子ずつの工程窓（他の因子はロバスト最適点に固定、</t>
    </r>
    <r>
      <rPr>
        <b val="true"/>
        <sz val="10"/>
        <rFont val="Meiryo UI"/>
        <family val="0"/>
        <charset val="1"/>
      </rPr>
      <t xml:space="preserve">0.05</t>
    </r>
    <r>
      <rPr>
        <b val="true"/>
        <sz val="10"/>
        <rFont val="Noto Sans CJK SC"/>
        <family val="2"/>
      </rPr>
      <t xml:space="preserve">刻み）</t>
    </r>
  </si>
  <si>
    <r>
      <rPr>
        <b val="true"/>
        <sz val="10"/>
        <color rgb="FFFFFFFF"/>
        <rFont val="Noto Sans CJK SC"/>
        <family val="2"/>
      </rPr>
      <t xml:space="preserve">最適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</si>
  <si>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</si>
  <si>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</si>
  <si>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実値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</si>
  <si>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実値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</si>
  <si>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C00000"/>
        <rFont val="Noto Sans CJK SC"/>
        <family val="2"/>
      </rPr>
      <t xml:space="preserve">注意：③は</t>
    </r>
    <r>
      <rPr>
        <b val="true"/>
        <sz val="10"/>
        <color rgb="FFC00000"/>
        <rFont val="Meiryo UI"/>
        <family val="0"/>
        <charset val="1"/>
      </rPr>
      <t xml:space="preserve">1</t>
    </r>
    <r>
      <rPr>
        <b val="true"/>
        <sz val="10"/>
        <color rgb="FFC00000"/>
        <rFont val="Noto Sans CJK SC"/>
        <family val="2"/>
      </rPr>
      <t xml:space="preserve">因子だけを動かした範囲なので楽観的。複数因子が同時にずれると外れることがある → ④で必ず組合せ確認。</t>
    </r>
  </si>
  <si>
    <r>
      <rPr>
        <b val="true"/>
        <sz val="10"/>
        <rFont val="Noto Sans CJK SC"/>
        <family val="2"/>
      </rPr>
      <t xml:space="preserve">④ 提案工程窓の組合せチェック（各因子の下限・中央・上限の全組合せ </t>
    </r>
    <r>
      <rPr>
        <b val="true"/>
        <sz val="10"/>
        <rFont val="Meiryo UI"/>
        <family val="0"/>
        <charset val="1"/>
      </rPr>
      <t xml:space="preserve">3^4=81</t>
    </r>
    <r>
      <rPr>
        <b val="true"/>
        <sz val="10"/>
        <rFont val="Noto Sans CJK SC"/>
        <family val="2"/>
      </rPr>
      <t xml:space="preserve">点を評価）</t>
    </r>
  </si>
  <si>
    <r>
      <rPr>
        <sz val="10"/>
        <rFont val="Noto Sans CJK SC"/>
        <family val="2"/>
      </rPr>
      <t xml:space="preserve">初期値は③の窓にリンク。実際に運用したい範囲（例：炉温</t>
    </r>
    <r>
      <rPr>
        <sz val="10"/>
        <rFont val="Meiryo UI"/>
        <family val="0"/>
        <charset val="1"/>
      </rPr>
      <t xml:space="preserve">65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70℃</t>
    </r>
    <r>
      <rPr>
        <sz val="10"/>
        <rFont val="Noto Sans CJK SC"/>
        <family val="2"/>
      </rPr>
      <t xml:space="preserve">）を数値で上書きして確認します。</t>
    </r>
  </si>
  <si>
    <t xml:space="preserve">評価点数</t>
  </si>
  <si>
    <t xml:space="preserve">安全限界・領域外の点</t>
  </si>
  <si>
    <t xml:space="preserve">規格外のおそれがある点</t>
  </si>
  <si>
    <t xml:space="preserve">最小の余裕</t>
  </si>
  <si>
    <t xml:space="preserve">最悪の組合せ（実値）</t>
  </si>
  <si>
    <r>
      <rPr>
        <b val="true"/>
        <sz val="14"/>
        <color rgb="FF1F3864"/>
        <rFont val="Meiryo UI"/>
        <family val="0"/>
        <charset val="1"/>
      </rPr>
      <t xml:space="preserve">09 </t>
    </r>
    <r>
      <rPr>
        <b val="true"/>
        <sz val="14"/>
        <color rgb="FF1F3864"/>
        <rFont val="Noto Sans CJK SC"/>
        <family val="2"/>
      </rPr>
      <t xml:space="preserve">確認実験（予測 </t>
    </r>
    <r>
      <rPr>
        <b val="true"/>
        <sz val="14"/>
        <color rgb="FF1F3864"/>
        <rFont val="Meiryo UI"/>
        <family val="0"/>
        <charset val="1"/>
      </rPr>
      <t xml:space="preserve">vs </t>
    </r>
    <r>
      <rPr>
        <b val="true"/>
        <sz val="14"/>
        <color rgb="FF1F3864"/>
        <rFont val="Noto Sans CJK SC"/>
        <family val="2"/>
      </rPr>
      <t xml:space="preserve">実測）</t>
    </r>
  </si>
  <si>
    <r>
      <rPr>
        <sz val="9"/>
        <color rgb="FF595959"/>
        <rFont val="Noto Sans CJK SC"/>
        <family val="2"/>
      </rPr>
      <t xml:space="preserve">推奨条件で確認実験を行い、実測値が両側予測区間に入るかを確認。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行目はロバスト最適にリンク済み（上書き可）。</t>
    </r>
  </si>
  <si>
    <r>
      <rPr>
        <b val="true"/>
        <sz val="10"/>
        <color rgb="FFFFFFFF"/>
        <rFont val="Noto Sans CJK SC"/>
        <family val="2"/>
      </rPr>
      <t xml:space="preserve">予測区間下限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両側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</si>
  <si>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予測区間上限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両側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</si>
  <si>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モデル判定</t>
  </si>
  <si>
    <t xml:space="preserve">規格判定</t>
  </si>
  <si>
    <t xml:space="preserve">X1c</t>
  </si>
  <si>
    <t xml:space="preserve">X2c</t>
  </si>
  <si>
    <t xml:space="preserve">X3c</t>
  </si>
  <si>
    <t xml:space="preserve">X4c</t>
  </si>
  <si>
    <r>
      <rPr>
        <sz val="10"/>
        <rFont val="Noto Sans CJK SC"/>
        <family val="2"/>
      </rPr>
      <t xml:space="preserve">確認実験は同条件で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回以上を推奨。平均が予測区間の中にあり、個々も区間内ならモデルを採用。外れたら</t>
    </r>
    <r>
      <rPr>
        <sz val="10"/>
        <rFont val="Meiryo UI"/>
        <family val="0"/>
        <charset val="1"/>
      </rPr>
      <t xml:space="preserve">02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へ戻る。</t>
    </r>
  </si>
  <si>
    <t xml:space="preserve">計算用：モデル行列・正規方程式（編集不要）</t>
  </si>
  <si>
    <t xml:space="preserve">使用項→</t>
  </si>
  <si>
    <t xml:space="preserve">Y</t>
  </si>
  <si>
    <r>
      <rPr>
        <b val="true"/>
        <sz val="10"/>
        <rFont val="Meiryo UI"/>
        <family val="0"/>
        <charset val="1"/>
      </rPr>
      <t xml:space="preserve">X'X</t>
    </r>
    <r>
      <rPr>
        <b val="true"/>
        <sz val="10"/>
        <rFont val="Noto Sans CJK SC"/>
        <family val="2"/>
      </rPr>
      <t xml:space="preserve">（除外項は単位行列扱い）</t>
    </r>
  </si>
  <si>
    <t xml:space="preserve">X'y</t>
  </si>
  <si>
    <t xml:space="preserve">(X'X)^-1</t>
  </si>
  <si>
    <r>
      <rPr>
        <b val="true"/>
        <sz val="10"/>
        <rFont val="Noto Sans CJK SC"/>
        <family val="2"/>
      </rPr>
      <t xml:space="preserve">係数</t>
    </r>
    <r>
      <rPr>
        <b val="true"/>
        <sz val="10"/>
        <rFont val="Meiryo UI"/>
        <family val="0"/>
        <charset val="1"/>
      </rPr>
      <t xml:space="preserve">b</t>
    </r>
  </si>
  <si>
    <r>
      <rPr>
        <b val="true"/>
        <sz val="10"/>
        <rFont val="Meiryo UI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（使用項のみの</t>
    </r>
    <r>
      <rPr>
        <b val="true"/>
        <sz val="10"/>
        <rFont val="Meiryo UI"/>
        <family val="0"/>
        <charset val="1"/>
      </rPr>
      <t xml:space="preserve">(X'X)^-1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</si>
  <si>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係数</t>
    </r>
    <r>
      <rPr>
        <b val="true"/>
        <sz val="10"/>
        <rFont val="Meiryo UI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（横並び）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</si>
  <si>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4</t>
    </r>
    <r>
      <rPr>
        <b val="true"/>
        <sz val="14"/>
        <color rgb="FF1F3864"/>
        <rFont val="Noto Sans CJK SC"/>
        <family val="2"/>
      </rPr>
      <t xml:space="preserve">次元グリッド探索（各因子 </t>
    </r>
    <r>
      <rPr>
        <b val="true"/>
        <sz val="14"/>
        <color rgb="FF1F3864"/>
        <rFont val="Meiryo UI"/>
        <family val="0"/>
        <charset val="1"/>
      </rPr>
      <t xml:space="preserve">-1</t>
    </r>
    <r>
      <rPr>
        <b val="true"/>
        <sz val="14"/>
        <color rgb="FF1F3864"/>
        <rFont val="Noto Sans CJK SC"/>
        <family val="2"/>
      </rPr>
      <t xml:space="preserve">〜</t>
    </r>
    <r>
      <rPr>
        <b val="true"/>
        <sz val="14"/>
        <color rgb="FF1F3864"/>
        <rFont val="Meiryo UI"/>
        <family val="0"/>
        <charset val="1"/>
      </rPr>
      <t xml:space="preserve">+1 </t>
    </r>
    <r>
      <rPr>
        <b val="true"/>
        <sz val="14"/>
        <color rgb="FF1F3864"/>
        <rFont val="Noto Sans CJK SC"/>
        <family val="2"/>
      </rPr>
      <t xml:space="preserve">を</t>
    </r>
    <r>
      <rPr>
        <b val="true"/>
        <sz val="14"/>
        <color rgb="FF1F3864"/>
        <rFont val="Meiryo UI"/>
        <family val="0"/>
        <charset val="1"/>
      </rPr>
      <t xml:space="preserve">0.250</t>
    </r>
    <r>
      <rPr>
        <b val="true"/>
        <sz val="14"/>
        <color rgb="FF1F3864"/>
        <rFont val="Noto Sans CJK SC"/>
        <family val="2"/>
      </rPr>
      <t xml:space="preserve">刻み、</t>
    </r>
    <r>
      <rPr>
        <b val="true"/>
        <sz val="14"/>
        <color rgb="FF1F3864"/>
        <rFont val="Meiryo UI"/>
        <family val="0"/>
        <charset val="1"/>
      </rPr>
      <t xml:space="preserve">9^4=6561</t>
    </r>
    <r>
      <rPr>
        <b val="true"/>
        <sz val="14"/>
        <color rgb="FF1F3864"/>
        <rFont val="Noto Sans CJK SC"/>
        <family val="2"/>
      </rPr>
      <t xml:space="preserve">点）</t>
    </r>
  </si>
  <si>
    <t xml:space="preserve">i1</t>
  </si>
  <si>
    <t xml:space="preserve">i2</t>
  </si>
  <si>
    <t xml:space="preserve">i3</t>
  </si>
  <si>
    <t xml:space="preserve">i4</t>
  </si>
  <si>
    <t xml:space="preserve">有効</t>
  </si>
  <si>
    <t xml:space="preserve">点予測スコア</t>
  </si>
  <si>
    <r>
      <rPr>
        <b val="true"/>
        <sz val="10"/>
        <color rgb="FFFFFFFF"/>
        <rFont val="Noto Sans CJK SC"/>
        <family val="2"/>
      </rPr>
      <t xml:space="preserve">順位用</t>
    </r>
    <r>
      <rPr>
        <b val="true"/>
        <sz val="10"/>
        <color rgb="FFFFFFFF"/>
        <rFont val="Meiryo UI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</si>
  <si>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順位用</t>
    </r>
    <r>
      <rPr>
        <b val="true"/>
        <sz val="10"/>
        <color rgb="FFFFFFFF"/>
        <rFont val="Meiryo UI"/>
        <family val="0"/>
        <charset val="1"/>
      </rPr>
      <t xml:space="preserve">2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</si>
  <si>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Jacobi</t>
    </r>
    <r>
      <rPr>
        <b val="true"/>
        <sz val="14"/>
        <color rgb="FF1F3864"/>
        <rFont val="Noto Sans CJK SC"/>
        <family val="2"/>
      </rPr>
      <t xml:space="preserve">法による固有値（編集不要）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</si>
  <si>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</si>
  <si>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</si>
  <si>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 (1,4)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</si>
  <si>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</si>
  <si>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5 (2,4)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</si>
  <si>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6 (3,4)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</si>
  <si>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7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</si>
  <si>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8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</si>
  <si>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9 (1,4)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</si>
  <si>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10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</si>
  <si>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11 (2,4)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</si>
  <si>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12 (3,4)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</si>
  <si>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13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</si>
  <si>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14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</si>
  <si>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15 (1,4)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</si>
  <si>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16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</si>
  <si>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17 (2,4)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</si>
  <si>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18 (3,4)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</si>
  <si>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19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</si>
  <si>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20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</si>
  <si>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21 (1,4)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</si>
  <si>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22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</si>
  <si>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23 (2,4)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</si>
  <si>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24 (3,4)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</si>
  <si>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25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</si>
  <si>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26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</si>
  <si>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27 (1,4)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</si>
  <si>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28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</si>
  <si>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29 (2,4)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</si>
  <si>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30 (3,4)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</si>
  <si>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31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</si>
  <si>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32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</si>
  <si>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33 (1,4)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</si>
  <si>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34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</si>
  <si>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35 (2,4)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</si>
  <si>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36 (3,4)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</si>
  <si>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37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</si>
  <si>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38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</si>
  <si>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39 (1,4)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</si>
  <si>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40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</si>
  <si>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41 (2,4)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</si>
  <si>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42 (3,4)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</si>
  <si>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43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</si>
  <si>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44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</si>
  <si>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45 (1,4)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</si>
  <si>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46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</si>
  <si>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47 (2,4)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</si>
  <si>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48 (3,4)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</si>
  <si>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2</t>
    </r>
    <r>
      <rPr>
        <b val="true"/>
        <sz val="14"/>
        <color rgb="FF1F3864"/>
        <rFont val="Noto Sans CJK SC"/>
        <family val="2"/>
      </rPr>
      <t xml:space="preserve">因子断面の多項式展開（編集不要）</t>
    </r>
  </si>
  <si>
    <r>
      <rPr>
        <b val="true"/>
        <sz val="10"/>
        <color rgb="FFFFFFFF"/>
        <rFont val="Noto Sans CJK SC"/>
        <family val="2"/>
      </rPr>
      <t xml:space="preserve">定数</t>
    </r>
    <r>
      <rPr>
        <b val="true"/>
        <sz val="10"/>
        <color rgb="FFFFFFFF"/>
        <rFont val="Meiryo UI"/>
        <family val="0"/>
        <charset val="1"/>
      </rPr>
      <t xml:space="preserve">c</t>
    </r>
  </si>
  <si>
    <r>
      <rPr>
        <b val="true"/>
        <sz val="10"/>
        <color rgb="FFFFFFFF"/>
        <rFont val="Meiryo UI"/>
        <family val="0"/>
        <charset val="1"/>
      </rPr>
      <t xml:space="preserve">α(</t>
    </r>
    <r>
      <rPr>
        <b val="true"/>
        <sz val="10"/>
        <color rgb="FFFFFFFF"/>
        <rFont val="Noto Sans CJK SC"/>
        <family val="2"/>
      </rPr>
      <t xml:space="preserve">横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</si>
  <si>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β(</t>
    </r>
    <r>
      <rPr>
        <b val="true"/>
        <sz val="10"/>
        <color rgb="FFFFFFFF"/>
        <rFont val="Noto Sans CJK SC"/>
        <family val="2"/>
      </rPr>
      <t xml:space="preserve">縦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</si>
  <si>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固定値</t>
    </r>
    <r>
      <rPr>
        <b val="true"/>
        <sz val="10"/>
        <color rgb="FFFFFFFF"/>
        <rFont val="Meiryo UI"/>
        <family val="0"/>
        <charset val="1"/>
      </rPr>
      <t xml:space="preserve">OK</t>
    </r>
  </si>
  <si>
    <r>
      <rPr>
        <sz val="10"/>
        <rFont val="Noto Sans CJK SC"/>
        <family val="2"/>
      </rPr>
      <t xml:space="preserve">固定値すべて</t>
    </r>
    <r>
      <rPr>
        <sz val="10"/>
        <rFont val="Meiryo UI"/>
        <family val="0"/>
        <charset val="1"/>
      </rPr>
      <t xml:space="preserve">OK</t>
    </r>
  </si>
  <si>
    <r>
      <rPr>
        <sz val="10"/>
        <rFont val="Noto Sans CJK SC"/>
        <family val="2"/>
      </rPr>
      <t xml:space="preserve">横軸 安全下限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</si>
  <si>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縦軸 安全下限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上限</t>
    </r>
  </si>
  <si>
    <t xml:space="preserve">固定値の二乗和</t>
  </si>
  <si>
    <t xml:space="preserve">1</t>
  </si>
  <si>
    <t xml:space="preserve">a</t>
  </si>
  <si>
    <t xml:space="preserve">b</t>
  </si>
  <si>
    <t xml:space="preserve">ab</t>
  </si>
  <si>
    <t xml:space="preserve">a²</t>
  </si>
  <si>
    <t xml:space="preserve">b²</t>
  </si>
  <si>
    <r>
      <rPr>
        <b val="true"/>
        <sz val="10"/>
        <rFont val="Meiryo UI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転置</t>
    </r>
  </si>
  <si>
    <t xml:space="preserve">C·M</t>
  </si>
  <si>
    <t xml:space="preserve">G=M'CM</t>
  </si>
  <si>
    <t xml:space="preserve">h=M'b</t>
  </si>
  <si>
    <t xml:space="preserve">単項式</t>
  </si>
  <si>
    <r>
      <rPr>
        <b val="true"/>
        <sz val="10"/>
        <color rgb="FFFFFFFF"/>
        <rFont val="Meiryo UI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の次数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</si>
  <si>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の次数</t>
    </r>
  </si>
  <si>
    <t xml:space="preserve">a^0 b^0</t>
  </si>
  <si>
    <t xml:space="preserve">a^0 b^1</t>
  </si>
  <si>
    <t xml:space="preserve">a^0 b^2</t>
  </si>
  <si>
    <t xml:space="preserve">a^0 b^3</t>
  </si>
  <si>
    <t xml:space="preserve">a^0 b^4</t>
  </si>
  <si>
    <t xml:space="preserve">a^1 b^0</t>
  </si>
  <si>
    <t xml:space="preserve">a^1 b^1</t>
  </si>
  <si>
    <t xml:space="preserve">a^1 b^2</t>
  </si>
  <si>
    <t xml:space="preserve">a^1 b^3</t>
  </si>
  <si>
    <t xml:space="preserve">a^2 b^0</t>
  </si>
  <si>
    <t xml:space="preserve">a^2 b^1</t>
  </si>
  <si>
    <t xml:space="preserve">a^2 b^2</t>
  </si>
  <si>
    <t xml:space="preserve">a^3 b^0</t>
  </si>
  <si>
    <t xml:space="preserve">a^3 b^1</t>
  </si>
  <si>
    <t xml:space="preserve">a^4 b^0</t>
  </si>
  <si>
    <r>
      <rPr>
        <b val="true"/>
        <sz val="10"/>
        <rFont val="Noto Sans CJK SC"/>
        <family val="2"/>
      </rPr>
      <t xml:space="preserve">予測</t>
    </r>
    <r>
      <rPr>
        <b val="true"/>
        <sz val="10"/>
        <rFont val="Meiryo UI"/>
        <family val="0"/>
        <charset val="1"/>
      </rPr>
      <t xml:space="preserve">Y </t>
    </r>
    <r>
      <rPr>
        <b val="true"/>
        <sz val="10"/>
        <rFont val="Noto Sans CJK SC"/>
        <family val="2"/>
      </rPr>
      <t xml:space="preserve">格子（行</t>
    </r>
    <r>
      <rPr>
        <b val="true"/>
        <sz val="10"/>
        <rFont val="Meiryo UI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縦軸</t>
    </r>
    <r>
      <rPr>
        <b val="true"/>
        <sz val="10"/>
        <rFont val="Meiryo UI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、列</t>
    </r>
    <r>
      <rPr>
        <b val="true"/>
        <sz val="10"/>
        <rFont val="Meiryo UI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横軸</t>
    </r>
    <r>
      <rPr>
        <b val="true"/>
        <sz val="10"/>
        <rFont val="Meiryo UI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</si>
  <si>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Meiryo UI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格子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</si>
  <si>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1</t>
    </r>
    <r>
      <rPr>
        <b val="true"/>
        <sz val="14"/>
        <color rgb="FF1F3864"/>
        <rFont val="Noto Sans CJK SC"/>
        <family val="2"/>
      </rPr>
      <t xml:space="preserve">因子ずつの窓（他因子はロバスト最適に固定）と、提案窓の組合せチェック</t>
    </r>
  </si>
  <si>
    <t xml:space="preserve">t</t>
  </si>
  <si>
    <t xml:space="preserve">下限</t>
  </si>
  <si>
    <t xml:space="preserve">上限</t>
  </si>
  <si>
    <t xml:space="preserve">合格</t>
  </si>
  <si>
    <r>
      <rPr>
        <b val="true"/>
        <sz val="10"/>
        <color rgb="FFFFFFFF"/>
        <rFont val="Meiryo UI"/>
        <family val="0"/>
        <charset val="1"/>
      </rPr>
      <t xml:space="preserve">X1</t>
    </r>
    <r>
      <rPr>
        <b val="true"/>
        <sz val="10"/>
        <color rgb="FFFFFFFF"/>
        <rFont val="Noto Sans CJK SC"/>
        <family val="2"/>
      </rPr>
      <t xml:space="preserve">実</t>
    </r>
  </si>
  <si>
    <r>
      <rPr>
        <b val="true"/>
        <sz val="10"/>
        <color rgb="FFFFFFFF"/>
        <rFont val="Meiryo UI"/>
        <family val="0"/>
        <charset val="1"/>
      </rPr>
      <t xml:space="preserve">X2</t>
    </r>
    <r>
      <rPr>
        <b val="true"/>
        <sz val="10"/>
        <color rgb="FFFFFFFF"/>
        <rFont val="Noto Sans CJK SC"/>
        <family val="2"/>
      </rPr>
      <t xml:space="preserve">実</t>
    </r>
  </si>
  <si>
    <r>
      <rPr>
        <b val="true"/>
        <sz val="10"/>
        <color rgb="FFFFFFFF"/>
        <rFont val="Meiryo UI"/>
        <family val="0"/>
        <charset val="1"/>
      </rPr>
      <t xml:space="preserve">X3</t>
    </r>
    <r>
      <rPr>
        <b val="true"/>
        <sz val="10"/>
        <color rgb="FFFFFFFF"/>
        <rFont val="Noto Sans CJK SC"/>
        <family val="2"/>
      </rPr>
      <t xml:space="preserve">実</t>
    </r>
  </si>
  <si>
    <r>
      <rPr>
        <b val="true"/>
        <sz val="10"/>
        <color rgb="FFFFFFFF"/>
        <rFont val="Meiryo UI"/>
        <family val="0"/>
        <charset val="1"/>
      </rPr>
      <t xml:space="preserve">X4</t>
    </r>
    <r>
      <rPr>
        <b val="true"/>
        <sz val="10"/>
        <color rgb="FFFFFFFF"/>
        <rFont val="Noto Sans CJK SC"/>
        <family val="2"/>
      </rPr>
      <t xml:space="preserve">実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</si>
</sst>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00"/>
    <numFmt numFmtId="167" formatCode="0.0"/>
    <numFmt numFmtId="168" formatCode="0%"/>
    <numFmt numFmtId="169" formatCode="General"/>
    <numFmt numFmtId="170" formatCode="0.000;\-0.000;0"/>
    <numFmt numFmtId="171" formatCode="0.000000"/>
    <numFmt numFmtId="172" formatCode="0.0000"/>
    <numFmt numFmtId="173" formatCode="0"/>
    <numFmt numFmtId="174" formatCode="0.00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Meiryo UI"/>
      <family val="0"/>
      <charset val="1"/>
    </font>
    <font>
      <sz val="9"/>
      <color rgb="FF595959"/>
      <name val="Noto Sans CJK SC"/>
      <family val="2"/>
    </font>
    <font>
      <sz val="9"/>
      <color rgb="FF595959"/>
      <name val="Meiryo U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Meiryo UI"/>
      <family val="0"/>
      <charset val="1"/>
    </font>
    <font>
      <sz val="10"/>
      <name val="Meiryo UI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color rgb="FFFFFFFF"/>
      <name val="Meiryo UI"/>
      <family val="0"/>
      <charset val="1"/>
    </font>
    <font>
      <sz val="10"/>
      <color rgb="FF0000FF"/>
      <name val="Noto Sans CJK SC"/>
      <family val="2"/>
    </font>
    <font>
      <sz val="10"/>
      <color rgb="FF0000FF"/>
      <name val="Meiryo UI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C00000"/>
      <name val="Meiryo UI"/>
      <family val="0"/>
      <charset val="1"/>
    </font>
    <font>
      <b val="true"/>
      <sz val="8"/>
      <color rgb="FFFFFFFF"/>
      <name val="Noto Sans CJK SC"/>
      <family val="2"/>
    </font>
    <font>
      <b val="true"/>
      <sz val="8"/>
      <color rgb="FFFFFFFF"/>
      <name val="Meiryo UI"/>
      <family val="0"/>
      <charset val="1"/>
    </font>
    <font>
      <sz val="8"/>
      <name val="Meiryo UI"/>
      <family val="0"/>
      <charset val="1"/>
    </font>
    <font>
      <b val="true"/>
      <sz val="10"/>
      <color rgb="FFC00000"/>
      <name val="Noto Sans CJK SC"/>
      <family val="2"/>
    </font>
    <font>
      <sz val="8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CBAD"/>
        </patternFill>
      </fill>
    </dxf>
    <dxf>
      <font>
        <color rgb="FFBFBFBF"/>
      </font>
    </dxf>
    <dxf>
      <font>
        <color rgb="FFBFBFBF"/>
      </font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  <dxf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E699"/>
      <rgbColor rgb="FFA9D08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残差 vs 予測値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"残差 vs 予測値"</c:f>
              <c:strCache>
                <c:ptCount val="1"/>
                <c:pt idx="0">
                  <c:v>残差 vs 予測値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05_残差診断!$O$5:$O$38</c:f>
              <c:numCache>
                <c:formatCode>0.00</c:formatCode>
                <c:ptCount val="34"/>
                <c:pt idx="0">
                  <c:v>47.907894736842</c:v>
                </c:pt>
                <c:pt idx="1">
                  <c:v>47.907894736842</c:v>
                </c:pt>
                <c:pt idx="2">
                  <c:v>39.9877923976609</c:v>
                </c:pt>
                <c:pt idx="3">
                  <c:v>39.4544590643276</c:v>
                </c:pt>
                <c:pt idx="4">
                  <c:v>37.1766812865498</c:v>
                </c:pt>
                <c:pt idx="5">
                  <c:v>39.2433479532164</c:v>
                </c:pt>
                <c:pt idx="6">
                  <c:v>47.1198830409357</c:v>
                </c:pt>
                <c:pt idx="7">
                  <c:v>48.2087719298245</c:v>
                </c:pt>
                <c:pt idx="8">
                  <c:v>40.8044590643276</c:v>
                </c:pt>
                <c:pt idx="9">
                  <c:v>43.3198830409357</c:v>
                </c:pt>
                <c:pt idx="10">
                  <c:v>47.3309941520468</c:v>
                </c:pt>
                <c:pt idx="11">
                  <c:v>40.898903508772</c:v>
                </c:pt>
                <c:pt idx="12">
                  <c:v>41.5155701754387</c:v>
                </c:pt>
                <c:pt idx="13">
                  <c:v>46.2877923976609</c:v>
                </c:pt>
                <c:pt idx="14">
                  <c:v>47.907894736842</c:v>
                </c:pt>
                <c:pt idx="15">
                  <c:v>38.4766812865498</c:v>
                </c:pt>
                <c:pt idx="16">
                  <c:v>46.2266812865498</c:v>
                </c:pt>
                <c:pt idx="17">
                  <c:v>46.9433479532164</c:v>
                </c:pt>
                <c:pt idx="18">
                  <c:v>43.2309941520467</c:v>
                </c:pt>
                <c:pt idx="19">
                  <c:v>46.2421052631578</c:v>
                </c:pt>
                <c:pt idx="20">
                  <c:v>47.9309941520468</c:v>
                </c:pt>
                <c:pt idx="21">
                  <c:v>42.2322368421053</c:v>
                </c:pt>
                <c:pt idx="22">
                  <c:v>38.9155701754387</c:v>
                </c:pt>
                <c:pt idx="23">
                  <c:v>47.4198830409356</c:v>
                </c:pt>
                <c:pt idx="24">
                  <c:v>47.907894736842</c:v>
                </c:pt>
                <c:pt idx="25">
                  <c:v>42.9433479532164</c:v>
                </c:pt>
                <c:pt idx="26">
                  <c:v>47.907894736842</c:v>
                </c:pt>
                <c:pt idx="27">
                  <c:v>47.907894736842</c:v>
                </c:pt>
                <c:pt idx="28">
                  <c:v>37.5877923976609</c:v>
                </c:pt>
                <c:pt idx="29">
                  <c:v>48.1544590643276</c:v>
                </c:pt>
                <c:pt idx="30">
                  <c:v>48.1544590643276</c:v>
                </c:pt>
                <c:pt idx="31">
                  <c:v>48.1544590643276</c:v>
                </c:pt>
                <c:pt idx="32">
                  <c:v>48.1544590643276</c:v>
                </c:pt>
                <c:pt idx="33">
                  <c:v>48.1544590643276</c:v>
                </c:pt>
              </c:numCache>
            </c:numRef>
          </c:xVal>
          <c:yVal>
            <c:numRef>
              <c:f>05_残差診断!$P$5:$P$38</c:f>
              <c:numCache>
                <c:formatCode>0.000</c:formatCode>
                <c:ptCount val="34"/>
                <c:pt idx="0">
                  <c:v>-0.207894736842036</c:v>
                </c:pt>
                <c:pt idx="1">
                  <c:v>-0.207894736842036</c:v>
                </c:pt>
                <c:pt idx="2">
                  <c:v>-0.587792397660884</c:v>
                </c:pt>
                <c:pt idx="3">
                  <c:v>0.64554093567245</c:v>
                </c:pt>
                <c:pt idx="4">
                  <c:v>0.52331871345023</c:v>
                </c:pt>
                <c:pt idx="5">
                  <c:v>-0.54334795321644</c:v>
                </c:pt>
                <c:pt idx="6">
                  <c:v>-0.419883040935645</c:v>
                </c:pt>
                <c:pt idx="7">
                  <c:v>0.0912280701754966</c:v>
                </c:pt>
                <c:pt idx="8">
                  <c:v>-0.10445906432755</c:v>
                </c:pt>
                <c:pt idx="9">
                  <c:v>0.280116959064301</c:v>
                </c:pt>
                <c:pt idx="10">
                  <c:v>0.369005847953197</c:v>
                </c:pt>
                <c:pt idx="11">
                  <c:v>-0.198903508771991</c:v>
                </c:pt>
                <c:pt idx="12">
                  <c:v>-0.215570175438664</c:v>
                </c:pt>
                <c:pt idx="13">
                  <c:v>0.112207602339119</c:v>
                </c:pt>
                <c:pt idx="14">
                  <c:v>-1.50789473684204</c:v>
                </c:pt>
                <c:pt idx="15">
                  <c:v>-0.376681286549776</c:v>
                </c:pt>
                <c:pt idx="16">
                  <c:v>0.373318713450225</c:v>
                </c:pt>
                <c:pt idx="17">
                  <c:v>-0.243347953216436</c:v>
                </c:pt>
                <c:pt idx="18">
                  <c:v>0.669005847953279</c:v>
                </c:pt>
                <c:pt idx="19">
                  <c:v>0.557894736842165</c:v>
                </c:pt>
                <c:pt idx="20">
                  <c:v>1.06900584795325</c:v>
                </c:pt>
                <c:pt idx="21">
                  <c:v>0.467763157894673</c:v>
                </c:pt>
                <c:pt idx="22">
                  <c:v>-0.215570175438664</c:v>
                </c:pt>
                <c:pt idx="23">
                  <c:v>-0.0198830409356034</c:v>
                </c:pt>
                <c:pt idx="24">
                  <c:v>0.0921052631579613</c:v>
                </c:pt>
                <c:pt idx="25">
                  <c:v>0.156652046783563</c:v>
                </c:pt>
                <c:pt idx="26">
                  <c:v>-0.907894736842039</c:v>
                </c:pt>
                <c:pt idx="27">
                  <c:v>0.792105263157964</c:v>
                </c:pt>
                <c:pt idx="28">
                  <c:v>-0.187792397660886</c:v>
                </c:pt>
                <c:pt idx="29">
                  <c:v>-0.254459064327548</c:v>
                </c:pt>
                <c:pt idx="30">
                  <c:v>-0.254459064327548</c:v>
                </c:pt>
                <c:pt idx="31">
                  <c:v>-0.254459064327548</c:v>
                </c:pt>
                <c:pt idx="32">
                  <c:v>-0.254459064327548</c:v>
                </c:pt>
                <c:pt idx="33">
                  <c:v>-0.254459064327548</c:v>
                </c:pt>
              </c:numCache>
            </c:numRef>
          </c:yVal>
          <c:smooth val="1"/>
        </c:ser>
        <c:axId val="80374021"/>
        <c:axId val="15817105"/>
      </c:scatterChart>
      <c:valAx>
        <c:axId val="803740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予測値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7105"/>
        <c:crosses val="autoZero"/>
        <c:crossBetween val="midCat"/>
      </c:valAx>
      <c:valAx>
        <c:axId val="15817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7402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正規確率プロット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"正規確率プロット"</c:f>
              <c:strCache>
                <c:ptCount val="1"/>
                <c:pt idx="0">
                  <c:v>正規確率プロット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05_残差診断!$R$5:$R$38</c:f>
              <c:numCache>
                <c:formatCode>0.000</c:formatCode>
                <c:ptCount val="34"/>
                <c:pt idx="0">
                  <c:v>-1.50789473684204</c:v>
                </c:pt>
                <c:pt idx="1">
                  <c:v>-0.907894736842039</c:v>
                </c:pt>
                <c:pt idx="2">
                  <c:v>-0.587792397660884</c:v>
                </c:pt>
                <c:pt idx="3">
                  <c:v>-0.54334795321644</c:v>
                </c:pt>
                <c:pt idx="4">
                  <c:v>-0.419883040935645</c:v>
                </c:pt>
                <c:pt idx="5">
                  <c:v>-0.376681286549776</c:v>
                </c:pt>
                <c:pt idx="6">
                  <c:v>-0.254459064327548</c:v>
                </c:pt>
                <c:pt idx="7">
                  <c:v>-0.243347953216436</c:v>
                </c:pt>
                <c:pt idx="8">
                  <c:v>-0.215570175438664</c:v>
                </c:pt>
                <c:pt idx="9">
                  <c:v>-0.215570175438664</c:v>
                </c:pt>
                <c:pt idx="10">
                  <c:v>-0.207894736842036</c:v>
                </c:pt>
                <c:pt idx="11">
                  <c:v>-0.207894736842036</c:v>
                </c:pt>
                <c:pt idx="12">
                  <c:v>-0.198903508771991</c:v>
                </c:pt>
                <c:pt idx="13">
                  <c:v>-0.187792397660886</c:v>
                </c:pt>
                <c:pt idx="14">
                  <c:v>-0.10445906432755</c:v>
                </c:pt>
                <c:pt idx="15">
                  <c:v>-0.0198830409356034</c:v>
                </c:pt>
                <c:pt idx="16">
                  <c:v>0.0912280701754966</c:v>
                </c:pt>
                <c:pt idx="17">
                  <c:v>0.0921052631579613</c:v>
                </c:pt>
                <c:pt idx="18">
                  <c:v>0.112207602339119</c:v>
                </c:pt>
                <c:pt idx="19">
                  <c:v>0.156652046783563</c:v>
                </c:pt>
                <c:pt idx="20">
                  <c:v>0.280116959064301</c:v>
                </c:pt>
                <c:pt idx="21">
                  <c:v>0.369005847953197</c:v>
                </c:pt>
                <c:pt idx="22">
                  <c:v>0.373318713450225</c:v>
                </c:pt>
                <c:pt idx="23">
                  <c:v>0.467763157894673</c:v>
                </c:pt>
                <c:pt idx="24">
                  <c:v>0.52331871345023</c:v>
                </c:pt>
                <c:pt idx="25">
                  <c:v>0.557894736842165</c:v>
                </c:pt>
                <c:pt idx="26">
                  <c:v>0.64554093567245</c:v>
                </c:pt>
                <c:pt idx="27">
                  <c:v>0.669005847953279</c:v>
                </c:pt>
                <c:pt idx="28">
                  <c:v>0.792105263157964</c:v>
                </c:pt>
                <c:pt idx="29">
                  <c:v>1.06900584795325</c:v>
                </c:pt>
                <c:pt idx="30">
                  <c:v>1.06900584795325</c:v>
                </c:pt>
                <c:pt idx="31">
                  <c:v>1.06900584795325</c:v>
                </c:pt>
                <c:pt idx="32">
                  <c:v>1.06900584795325</c:v>
                </c:pt>
                <c:pt idx="33">
                  <c:v>1.06900584795325</c:v>
                </c:pt>
              </c:numCache>
            </c:numRef>
          </c:xVal>
          <c:yVal>
            <c:numRef>
              <c:f>05_残差診断!$S$5:$S$38</c:f>
              <c:numCache>
                <c:formatCode>0.000</c:formatCode>
                <c:ptCount val="34"/>
                <c:pt idx="0">
                  <c:v>-2.04028132201041</c:v>
                </c:pt>
                <c:pt idx="1">
                  <c:v>-1.60981606718445</c:v>
                </c:pt>
                <c:pt idx="2">
                  <c:v>-1.36087334286719</c:v>
                </c:pt>
                <c:pt idx="3">
                  <c:v>-1.17581347255003</c:v>
                </c:pt>
                <c:pt idx="4">
                  <c:v>-1.02410618374162</c:v>
                </c:pt>
                <c:pt idx="5">
                  <c:v>-0.892918486444395</c:v>
                </c:pt>
                <c:pt idx="6">
                  <c:v>-0.775546958322378</c:v>
                </c:pt>
                <c:pt idx="7">
                  <c:v>-0.668002132269574</c:v>
                </c:pt>
                <c:pt idx="8">
                  <c:v>-0.56768639112746</c:v>
                </c:pt>
                <c:pt idx="9">
                  <c:v>-0.472789120992267</c:v>
                </c:pt>
                <c:pt idx="10">
                  <c:v>-0.381975767696542</c:v>
                </c:pt>
                <c:pt idx="11">
                  <c:v>-0.294213138930921</c:v>
                </c:pt>
                <c:pt idx="12">
                  <c:v>-0.208663745751155</c:v>
                </c:pt>
                <c:pt idx="13">
                  <c:v>-0.124617407947998</c:v>
                </c:pt>
                <c:pt idx="14">
                  <c:v>-0.0414437330939966</c:v>
                </c:pt>
                <c:pt idx="15">
                  <c:v>0.0414437330939965</c:v>
                </c:pt>
                <c:pt idx="16">
                  <c:v>0.124617407947998</c:v>
                </c:pt>
                <c:pt idx="17">
                  <c:v>0.208663745751154</c:v>
                </c:pt>
                <c:pt idx="18">
                  <c:v>0.294213138930921</c:v>
                </c:pt>
                <c:pt idx="19">
                  <c:v>0.381975767696542</c:v>
                </c:pt>
                <c:pt idx="20">
                  <c:v>0.472789120992267</c:v>
                </c:pt>
                <c:pt idx="21">
                  <c:v>0.56768639112746</c:v>
                </c:pt>
                <c:pt idx="22">
                  <c:v>0.668002132269573</c:v>
                </c:pt>
                <c:pt idx="23">
                  <c:v>0.775546958322378</c:v>
                </c:pt>
                <c:pt idx="24">
                  <c:v>0.892918486444395</c:v>
                </c:pt>
                <c:pt idx="25">
                  <c:v>1.02410618374162</c:v>
                </c:pt>
                <c:pt idx="26">
                  <c:v>1.17581347255003</c:v>
                </c:pt>
                <c:pt idx="27">
                  <c:v>1.36087334286719</c:v>
                </c:pt>
                <c:pt idx="28">
                  <c:v>1.60981606718445</c:v>
                </c:pt>
                <c:pt idx="29">
                  <c:v>2.04028132201041</c:v>
                </c:pt>
                <c:pt idx="30">
                  <c:v>2.04028132201041</c:v>
                </c:pt>
                <c:pt idx="31">
                  <c:v>2.04028132201041</c:v>
                </c:pt>
                <c:pt idx="32">
                  <c:v>2.04028132201041</c:v>
                </c:pt>
                <c:pt idx="33">
                  <c:v>2.04028132201041</c:v>
                </c:pt>
              </c:numCache>
            </c:numRef>
          </c:yVal>
          <c:smooth val="1"/>
        </c:ser>
        <c:axId val="79283160"/>
        <c:axId val="68121834"/>
      </c:scatterChart>
      <c:valAx>
        <c:axId val="792831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21834"/>
        <c:crosses val="autoZero"/>
        <c:crossBetween val="midCat"/>
      </c:valAx>
      <c:valAx>
        <c:axId val="68121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理論分位点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8316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残差 vs 実験順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"残差 vs 実験順"</c:f>
              <c:strCache>
                <c:ptCount val="1"/>
                <c:pt idx="0">
                  <c:v>残差 vs 実験順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05_残差診断!$Q$5:$Q$38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</c:numCache>
            </c:numRef>
          </c:xVal>
          <c:yVal>
            <c:numRef>
              <c:f>05_残差診断!$P$5:$P$38</c:f>
              <c:numCache>
                <c:formatCode>0.000</c:formatCode>
                <c:ptCount val="34"/>
                <c:pt idx="0">
                  <c:v>-0.207894736842036</c:v>
                </c:pt>
                <c:pt idx="1">
                  <c:v>-0.207894736842036</c:v>
                </c:pt>
                <c:pt idx="2">
                  <c:v>-0.587792397660884</c:v>
                </c:pt>
                <c:pt idx="3">
                  <c:v>0.64554093567245</c:v>
                </c:pt>
                <c:pt idx="4">
                  <c:v>0.52331871345023</c:v>
                </c:pt>
                <c:pt idx="5">
                  <c:v>-0.54334795321644</c:v>
                </c:pt>
                <c:pt idx="6">
                  <c:v>-0.419883040935645</c:v>
                </c:pt>
                <c:pt idx="7">
                  <c:v>0.0912280701754966</c:v>
                </c:pt>
                <c:pt idx="8">
                  <c:v>-0.10445906432755</c:v>
                </c:pt>
                <c:pt idx="9">
                  <c:v>0.280116959064301</c:v>
                </c:pt>
                <c:pt idx="10">
                  <c:v>0.369005847953197</c:v>
                </c:pt>
                <c:pt idx="11">
                  <c:v>-0.198903508771991</c:v>
                </c:pt>
                <c:pt idx="12">
                  <c:v>-0.215570175438664</c:v>
                </c:pt>
                <c:pt idx="13">
                  <c:v>0.112207602339119</c:v>
                </c:pt>
                <c:pt idx="14">
                  <c:v>-1.50789473684204</c:v>
                </c:pt>
                <c:pt idx="15">
                  <c:v>-0.376681286549776</c:v>
                </c:pt>
                <c:pt idx="16">
                  <c:v>0.373318713450225</c:v>
                </c:pt>
                <c:pt idx="17">
                  <c:v>-0.243347953216436</c:v>
                </c:pt>
                <c:pt idx="18">
                  <c:v>0.669005847953279</c:v>
                </c:pt>
                <c:pt idx="19">
                  <c:v>0.557894736842165</c:v>
                </c:pt>
                <c:pt idx="20">
                  <c:v>1.06900584795325</c:v>
                </c:pt>
                <c:pt idx="21">
                  <c:v>0.467763157894673</c:v>
                </c:pt>
                <c:pt idx="22">
                  <c:v>-0.215570175438664</c:v>
                </c:pt>
                <c:pt idx="23">
                  <c:v>-0.0198830409356034</c:v>
                </c:pt>
                <c:pt idx="24">
                  <c:v>0.0921052631579613</c:v>
                </c:pt>
                <c:pt idx="25">
                  <c:v>0.156652046783563</c:v>
                </c:pt>
                <c:pt idx="26">
                  <c:v>-0.907894736842039</c:v>
                </c:pt>
                <c:pt idx="27">
                  <c:v>0.792105263157964</c:v>
                </c:pt>
                <c:pt idx="28">
                  <c:v>-0.187792397660886</c:v>
                </c:pt>
                <c:pt idx="29">
                  <c:v>-0.254459064327548</c:v>
                </c:pt>
                <c:pt idx="30">
                  <c:v>-0.254459064327548</c:v>
                </c:pt>
                <c:pt idx="31">
                  <c:v>-0.254459064327548</c:v>
                </c:pt>
                <c:pt idx="32">
                  <c:v>-0.254459064327548</c:v>
                </c:pt>
                <c:pt idx="33">
                  <c:v>-0.254459064327548</c:v>
                </c:pt>
              </c:numCache>
            </c:numRef>
          </c:yVal>
          <c:smooth val="1"/>
        </c:ser>
        <c:axId val="3966215"/>
        <c:axId val="10196672"/>
      </c:scatterChart>
      <c:valAx>
        <c:axId val="39662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実験順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96672"/>
        <c:crosses val="autoZero"/>
        <c:crossBetween val="midCat"/>
      </c:valAx>
      <c:valAx>
        <c:axId val="10196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621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実測 vs 予測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"実測 vs 予測"</c:f>
              <c:strCache>
                <c:ptCount val="1"/>
                <c:pt idx="0">
                  <c:v>実測 vs 予測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05_残差診断!$O$5:$O$38</c:f>
              <c:numCache>
                <c:formatCode>0.00</c:formatCode>
                <c:ptCount val="34"/>
                <c:pt idx="0">
                  <c:v>47.907894736842</c:v>
                </c:pt>
                <c:pt idx="1">
                  <c:v>47.907894736842</c:v>
                </c:pt>
                <c:pt idx="2">
                  <c:v>39.9877923976609</c:v>
                </c:pt>
                <c:pt idx="3">
                  <c:v>39.4544590643276</c:v>
                </c:pt>
                <c:pt idx="4">
                  <c:v>37.1766812865498</c:v>
                </c:pt>
                <c:pt idx="5">
                  <c:v>39.2433479532164</c:v>
                </c:pt>
                <c:pt idx="6">
                  <c:v>47.1198830409357</c:v>
                </c:pt>
                <c:pt idx="7">
                  <c:v>48.2087719298245</c:v>
                </c:pt>
                <c:pt idx="8">
                  <c:v>40.8044590643276</c:v>
                </c:pt>
                <c:pt idx="9">
                  <c:v>43.3198830409357</c:v>
                </c:pt>
                <c:pt idx="10">
                  <c:v>47.3309941520468</c:v>
                </c:pt>
                <c:pt idx="11">
                  <c:v>40.898903508772</c:v>
                </c:pt>
                <c:pt idx="12">
                  <c:v>41.5155701754387</c:v>
                </c:pt>
                <c:pt idx="13">
                  <c:v>46.2877923976609</c:v>
                </c:pt>
                <c:pt idx="14">
                  <c:v>47.907894736842</c:v>
                </c:pt>
                <c:pt idx="15">
                  <c:v>38.4766812865498</c:v>
                </c:pt>
                <c:pt idx="16">
                  <c:v>46.2266812865498</c:v>
                </c:pt>
                <c:pt idx="17">
                  <c:v>46.9433479532164</c:v>
                </c:pt>
                <c:pt idx="18">
                  <c:v>43.2309941520467</c:v>
                </c:pt>
                <c:pt idx="19">
                  <c:v>46.2421052631578</c:v>
                </c:pt>
                <c:pt idx="20">
                  <c:v>47.9309941520468</c:v>
                </c:pt>
                <c:pt idx="21">
                  <c:v>42.2322368421053</c:v>
                </c:pt>
                <c:pt idx="22">
                  <c:v>38.9155701754387</c:v>
                </c:pt>
                <c:pt idx="23">
                  <c:v>47.4198830409356</c:v>
                </c:pt>
                <c:pt idx="24">
                  <c:v>47.907894736842</c:v>
                </c:pt>
                <c:pt idx="25">
                  <c:v>42.9433479532164</c:v>
                </c:pt>
                <c:pt idx="26">
                  <c:v>47.907894736842</c:v>
                </c:pt>
                <c:pt idx="27">
                  <c:v>47.907894736842</c:v>
                </c:pt>
                <c:pt idx="28">
                  <c:v>37.5877923976609</c:v>
                </c:pt>
                <c:pt idx="29">
                  <c:v>48.1544590643276</c:v>
                </c:pt>
                <c:pt idx="30">
                  <c:v>48.1544590643276</c:v>
                </c:pt>
                <c:pt idx="31">
                  <c:v>48.1544590643276</c:v>
                </c:pt>
                <c:pt idx="32">
                  <c:v>48.1544590643276</c:v>
                </c:pt>
                <c:pt idx="33">
                  <c:v>48.1544590643276</c:v>
                </c:pt>
              </c:numCache>
            </c:numRef>
          </c:xVal>
          <c:yVal>
            <c:numRef>
              <c:f>05_残差診断!$T$5:$T$38</c:f>
              <c:numCache>
                <c:formatCode>0.00</c:formatCode>
                <c:ptCount val="34"/>
                <c:pt idx="0">
                  <c:v>47.7</c:v>
                </c:pt>
                <c:pt idx="1">
                  <c:v>47.7</c:v>
                </c:pt>
                <c:pt idx="2">
                  <c:v>39.4</c:v>
                </c:pt>
                <c:pt idx="3">
                  <c:v>40.1</c:v>
                </c:pt>
                <c:pt idx="4">
                  <c:v>37.7</c:v>
                </c:pt>
                <c:pt idx="5">
                  <c:v>38.7</c:v>
                </c:pt>
                <c:pt idx="6">
                  <c:v>46.7</c:v>
                </c:pt>
                <c:pt idx="7">
                  <c:v>48.3</c:v>
                </c:pt>
                <c:pt idx="8">
                  <c:v>40.7</c:v>
                </c:pt>
                <c:pt idx="9">
                  <c:v>43.6</c:v>
                </c:pt>
                <c:pt idx="10">
                  <c:v>47.7</c:v>
                </c:pt>
                <c:pt idx="11">
                  <c:v>40.7</c:v>
                </c:pt>
                <c:pt idx="12">
                  <c:v>41.3</c:v>
                </c:pt>
                <c:pt idx="13">
                  <c:v>46.4</c:v>
                </c:pt>
                <c:pt idx="14">
                  <c:v>46.4</c:v>
                </c:pt>
                <c:pt idx="15">
                  <c:v>38.1</c:v>
                </c:pt>
                <c:pt idx="16">
                  <c:v>46.6</c:v>
                </c:pt>
                <c:pt idx="17">
                  <c:v>46.7</c:v>
                </c:pt>
                <c:pt idx="18">
                  <c:v>43.9</c:v>
                </c:pt>
                <c:pt idx="19">
                  <c:v>46.8</c:v>
                </c:pt>
                <c:pt idx="20">
                  <c:v>49</c:v>
                </c:pt>
                <c:pt idx="21">
                  <c:v>42.7</c:v>
                </c:pt>
                <c:pt idx="22">
                  <c:v>38.7</c:v>
                </c:pt>
                <c:pt idx="23">
                  <c:v>47.4</c:v>
                </c:pt>
                <c:pt idx="24">
                  <c:v>48</c:v>
                </c:pt>
                <c:pt idx="25">
                  <c:v>43.1</c:v>
                </c:pt>
                <c:pt idx="26">
                  <c:v>47</c:v>
                </c:pt>
                <c:pt idx="27">
                  <c:v>48.7</c:v>
                </c:pt>
                <c:pt idx="28">
                  <c:v>37.4</c:v>
                </c:pt>
                <c:pt idx="29">
                  <c:v>47.9</c:v>
                </c:pt>
                <c:pt idx="30">
                  <c:v>47.9</c:v>
                </c:pt>
                <c:pt idx="31">
                  <c:v>47.9</c:v>
                </c:pt>
                <c:pt idx="32">
                  <c:v>47.9</c:v>
                </c:pt>
                <c:pt idx="33">
                  <c:v>47.9</c:v>
                </c:pt>
              </c:numCache>
            </c:numRef>
          </c:yVal>
          <c:smooth val="1"/>
        </c:ser>
        <c:axId val="86805912"/>
        <c:axId val="21068510"/>
      </c:scatterChart>
      <c:valAx>
        <c:axId val="868059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予測値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68510"/>
        <c:crosses val="autoZero"/>
        <c:crossBetween val="midCat"/>
      </c:valAx>
      <c:valAx>
        <c:axId val="21068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実測値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0591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2</xdr:row>
      <xdr:rowOff>106920</xdr:rowOff>
    </xdr:from>
    <xdr:to>
      <xdr:col>28</xdr:col>
      <xdr:colOff>39240</xdr:colOff>
      <xdr:row>15</xdr:row>
      <xdr:rowOff>141480</xdr:rowOff>
    </xdr:to>
    <xdr:graphicFrame>
      <xdr:nvGraphicFramePr>
        <xdr:cNvPr id="0" name="Chart 1"/>
        <xdr:cNvGraphicFramePr/>
      </xdr:nvGraphicFramePr>
      <xdr:xfrm>
        <a:off x="12363480" y="571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0</xdr:colOff>
      <xdr:row>2</xdr:row>
      <xdr:rowOff>106920</xdr:rowOff>
    </xdr:from>
    <xdr:to>
      <xdr:col>36</xdr:col>
      <xdr:colOff>39240</xdr:colOff>
      <xdr:row>15</xdr:row>
      <xdr:rowOff>141480</xdr:rowOff>
    </xdr:to>
    <xdr:graphicFrame>
      <xdr:nvGraphicFramePr>
        <xdr:cNvPr id="1" name="Chart 2"/>
        <xdr:cNvGraphicFramePr/>
      </xdr:nvGraphicFramePr>
      <xdr:xfrm>
        <a:off x="17255520" y="571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0</xdr:colOff>
      <xdr:row>17</xdr:row>
      <xdr:rowOff>108360</xdr:rowOff>
    </xdr:from>
    <xdr:to>
      <xdr:col>28</xdr:col>
      <xdr:colOff>39240</xdr:colOff>
      <xdr:row>31</xdr:row>
      <xdr:rowOff>141120</xdr:rowOff>
    </xdr:to>
    <xdr:graphicFrame>
      <xdr:nvGraphicFramePr>
        <xdr:cNvPr id="2" name="Chart 3"/>
        <xdr:cNvGraphicFramePr/>
      </xdr:nvGraphicFramePr>
      <xdr:xfrm>
        <a:off x="12363480" y="3619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29</xdr:col>
      <xdr:colOff>0</xdr:colOff>
      <xdr:row>17</xdr:row>
      <xdr:rowOff>108360</xdr:rowOff>
    </xdr:from>
    <xdr:to>
      <xdr:col>36</xdr:col>
      <xdr:colOff>39240</xdr:colOff>
      <xdr:row>31</xdr:row>
      <xdr:rowOff>141120</xdr:rowOff>
    </xdr:to>
    <xdr:graphicFrame>
      <xdr:nvGraphicFramePr>
        <xdr:cNvPr id="3" name="Chart 4"/>
        <xdr:cNvGraphicFramePr/>
      </xdr:nvGraphicFramePr>
      <xdr:xfrm>
        <a:off x="17255520" y="3619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45" hidden="false" customHeight="true" outlineLevel="0" collapsed="false">
      <c r="A5" s="4"/>
      <c r="B5" s="5" t="s">
        <v>3</v>
      </c>
    </row>
    <row r="6" customFormat="false" ht="15" hidden="false" customHeight="false" outlineLevel="0" collapsed="false">
      <c r="A6" s="3" t="s">
        <v>4</v>
      </c>
      <c r="B6" s="3"/>
    </row>
    <row r="7" customFormat="false" ht="30" hidden="false" customHeight="true" outlineLevel="0" collapsed="false">
      <c r="A7" s="4" t="s">
        <v>5</v>
      </c>
      <c r="B7" s="6" t="s">
        <v>6</v>
      </c>
    </row>
    <row r="8" customFormat="false" ht="18" hidden="false" customHeight="true" outlineLevel="0" collapsed="false">
      <c r="A8" s="4" t="s">
        <v>7</v>
      </c>
      <c r="B8" s="6" t="s">
        <v>8</v>
      </c>
    </row>
    <row r="9" customFormat="false" ht="18" hidden="false" customHeight="true" outlineLevel="0" collapsed="false">
      <c r="A9" s="4" t="s">
        <v>9</v>
      </c>
      <c r="B9" s="6" t="s">
        <v>10</v>
      </c>
    </row>
    <row r="10" customFormat="false" ht="18" hidden="false" customHeight="true" outlineLevel="0" collapsed="false">
      <c r="A10" s="4" t="s">
        <v>11</v>
      </c>
      <c r="B10" s="6" t="s">
        <v>12</v>
      </c>
    </row>
    <row r="11" customFormat="false" ht="18" hidden="false" customHeight="true" outlineLevel="0" collapsed="false">
      <c r="A11" s="4" t="s">
        <v>13</v>
      </c>
      <c r="B11" s="6" t="s">
        <v>14</v>
      </c>
    </row>
    <row r="12" customFormat="false" ht="18" hidden="false" customHeight="true" outlineLevel="0" collapsed="false">
      <c r="A12" s="4" t="s">
        <v>15</v>
      </c>
      <c r="B12" s="6" t="s">
        <v>16</v>
      </c>
    </row>
    <row r="13" customFormat="false" ht="18" hidden="false" customHeight="true" outlineLevel="0" collapsed="false">
      <c r="A13" s="4" t="s">
        <v>17</v>
      </c>
      <c r="B13" s="6" t="s">
        <v>18</v>
      </c>
    </row>
    <row r="14" customFormat="false" ht="18" hidden="false" customHeight="true" outlineLevel="0" collapsed="false">
      <c r="A14" s="4" t="s">
        <v>19</v>
      </c>
      <c r="B14" s="5" t="s">
        <v>20</v>
      </c>
    </row>
    <row r="15" customFormat="false" ht="18" hidden="false" customHeight="true" outlineLevel="0" collapsed="false">
      <c r="A15" s="4" t="s">
        <v>21</v>
      </c>
      <c r="B15" s="6" t="s">
        <v>22</v>
      </c>
    </row>
    <row r="16" customFormat="false" ht="15" hidden="false" customHeight="false" outlineLevel="0" collapsed="false">
      <c r="A16" s="3" t="s">
        <v>23</v>
      </c>
      <c r="B16" s="3"/>
    </row>
    <row r="17" customFormat="false" ht="18" hidden="false" customHeight="true" outlineLevel="0" collapsed="false">
      <c r="A17" s="7" t="s">
        <v>24</v>
      </c>
      <c r="B17" s="6" t="s">
        <v>25</v>
      </c>
    </row>
    <row r="18" customFormat="false" ht="30" hidden="false" customHeight="true" outlineLevel="0" collapsed="false">
      <c r="A18" s="7" t="s">
        <v>26</v>
      </c>
      <c r="B18" s="6" t="s">
        <v>27</v>
      </c>
    </row>
    <row r="19" customFormat="false" ht="15" hidden="false" customHeight="false" outlineLevel="0" collapsed="false">
      <c r="A19" s="3" t="s">
        <v>28</v>
      </c>
      <c r="B19" s="3"/>
    </row>
    <row r="20" customFormat="false" ht="18" hidden="false" customHeight="true" outlineLevel="0" collapsed="false">
      <c r="A20" s="7" t="s">
        <v>29</v>
      </c>
      <c r="B20" s="6" t="s">
        <v>30</v>
      </c>
    </row>
    <row r="21" customFormat="false" ht="30" hidden="false" customHeight="true" outlineLevel="0" collapsed="false">
      <c r="A21" s="7" t="s">
        <v>31</v>
      </c>
      <c r="B21" s="6" t="s">
        <v>32</v>
      </c>
    </row>
    <row r="22" customFormat="false" ht="45" hidden="false" customHeight="true" outlineLevel="0" collapsed="false">
      <c r="A22" s="7" t="s">
        <v>33</v>
      </c>
      <c r="B22" s="6" t="s">
        <v>34</v>
      </c>
    </row>
    <row r="23" customFormat="false" ht="18" hidden="false" customHeight="true" outlineLevel="0" collapsed="false">
      <c r="A23" s="7" t="s">
        <v>35</v>
      </c>
      <c r="B23" s="6" t="s">
        <v>36</v>
      </c>
    </row>
    <row r="24" customFormat="false" ht="30" hidden="false" customHeight="true" outlineLevel="0" collapsed="false">
      <c r="A24" s="7" t="s">
        <v>37</v>
      </c>
      <c r="B24" s="5" t="s">
        <v>38</v>
      </c>
    </row>
    <row r="25" customFormat="false" ht="18" hidden="false" customHeight="true" outlineLevel="0" collapsed="false">
      <c r="A25" s="7" t="s">
        <v>39</v>
      </c>
      <c r="B25" s="5" t="s">
        <v>40</v>
      </c>
    </row>
    <row r="26" customFormat="false" ht="30" hidden="false" customHeight="true" outlineLevel="0" collapsed="false">
      <c r="A26" s="7" t="s">
        <v>41</v>
      </c>
      <c r="B26" s="6" t="s">
        <v>42</v>
      </c>
    </row>
    <row r="27" customFormat="false" ht="30" hidden="false" customHeight="true" outlineLevel="0" collapsed="false">
      <c r="A27" s="7" t="s">
        <v>43</v>
      </c>
      <c r="B27" s="5" t="s">
        <v>44</v>
      </c>
    </row>
    <row r="28" customFormat="false" ht="45" hidden="false" customHeight="true" outlineLevel="0" collapsed="false">
      <c r="A28" s="7" t="s">
        <v>45</v>
      </c>
      <c r="B28" s="6" t="s">
        <v>46</v>
      </c>
    </row>
  </sheetData>
  <mergeCells count="4">
    <mergeCell ref="A4:B4"/>
    <mergeCell ref="A6:B6"/>
    <mergeCell ref="A16:B16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1" min="9" style="0" width="9"/>
    <col collapsed="false" customWidth="true" hidden="false" outlineLevel="0" max="13" min="12" style="0" width="11"/>
    <col collapsed="false" customWidth="true" hidden="false" outlineLevel="0" max="14" min="14" style="0" width="46"/>
  </cols>
  <sheetData>
    <row r="1" customFormat="false" ht="21.6" hidden="false" customHeight="false" outlineLevel="0" collapsed="false">
      <c r="A1" s="8" t="s">
        <v>47</v>
      </c>
    </row>
    <row r="2" customFormat="false" ht="15" hidden="false" customHeight="false" outlineLevel="0" collapsed="false">
      <c r="A2" s="2" t="s">
        <v>48</v>
      </c>
    </row>
    <row r="4" customFormat="false" ht="29.85" hidden="false" customHeight="false" outlineLevel="0" collapsed="false">
      <c r="A4" s="9" t="s">
        <v>49</v>
      </c>
      <c r="B4" s="10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56</v>
      </c>
      <c r="I4" s="10" t="s">
        <v>57</v>
      </c>
      <c r="J4" s="10" t="s">
        <v>58</v>
      </c>
      <c r="K4" s="10" t="s">
        <v>59</v>
      </c>
      <c r="L4" s="10" t="s">
        <v>60</v>
      </c>
      <c r="M4" s="10" t="s">
        <v>61</v>
      </c>
      <c r="N4" s="10" t="s">
        <v>62</v>
      </c>
    </row>
    <row r="5" customFormat="false" ht="29.85" hidden="false" customHeight="false" outlineLevel="0" collapsed="false">
      <c r="A5" s="11" t="n">
        <v>1</v>
      </c>
      <c r="B5" s="12" t="s">
        <v>63</v>
      </c>
      <c r="C5" s="13" t="s">
        <v>64</v>
      </c>
      <c r="D5" s="14" t="s">
        <v>65</v>
      </c>
      <c r="E5" s="12" t="n">
        <v>55</v>
      </c>
      <c r="F5" s="12" t="n">
        <v>75</v>
      </c>
      <c r="G5" s="15" t="n">
        <f aca="false">(E5+F5)/2</f>
        <v>65</v>
      </c>
      <c r="H5" s="15" t="n">
        <f aca="false">(F5-E5)/2</f>
        <v>10</v>
      </c>
      <c r="I5" s="12"/>
      <c r="J5" s="12" t="n">
        <v>80</v>
      </c>
      <c r="K5" s="14" t="s">
        <v>66</v>
      </c>
      <c r="L5" s="16" t="n">
        <f aca="false">IF(I5="",-99,(I5-G5)/H5)</f>
        <v>-99</v>
      </c>
      <c r="M5" s="16" t="n">
        <f aca="false">IF(J5="",99,(J5-G5)/H5)</f>
        <v>1.5</v>
      </c>
      <c r="N5" s="6" t="s">
        <v>67</v>
      </c>
    </row>
    <row r="6" customFormat="false" ht="15" hidden="false" customHeight="false" outlineLevel="0" collapsed="false">
      <c r="A6" s="11" t="n">
        <v>2</v>
      </c>
      <c r="B6" s="12" t="s">
        <v>68</v>
      </c>
      <c r="C6" s="13" t="s">
        <v>69</v>
      </c>
      <c r="D6" s="14" t="s">
        <v>70</v>
      </c>
      <c r="E6" s="12" t="n">
        <v>20</v>
      </c>
      <c r="F6" s="12" t="n">
        <v>40</v>
      </c>
      <c r="G6" s="15" t="n">
        <f aca="false">(E6+F6)/2</f>
        <v>30</v>
      </c>
      <c r="H6" s="15" t="n">
        <f aca="false">(F6-E6)/2</f>
        <v>10</v>
      </c>
      <c r="I6" s="12" t="n">
        <v>10</v>
      </c>
      <c r="J6" s="12"/>
      <c r="K6" s="14"/>
      <c r="L6" s="16" t="n">
        <f aca="false">IF(I6="",-99,(I6-G6)/H6)</f>
        <v>-2</v>
      </c>
      <c r="M6" s="16" t="n">
        <f aca="false">IF(J6="",99,(J6-G6)/H6)</f>
        <v>99</v>
      </c>
      <c r="N6" s="5"/>
    </row>
    <row r="7" customFormat="false" ht="15" hidden="false" customHeight="false" outlineLevel="0" collapsed="false">
      <c r="A7" s="11" t="n">
        <v>3</v>
      </c>
      <c r="B7" s="12" t="s">
        <v>71</v>
      </c>
      <c r="C7" s="13" t="s">
        <v>72</v>
      </c>
      <c r="D7" s="14" t="s">
        <v>73</v>
      </c>
      <c r="E7" s="12" t="n">
        <v>1</v>
      </c>
      <c r="F7" s="12" t="n">
        <v>3</v>
      </c>
      <c r="G7" s="15" t="n">
        <f aca="false">(E7+F7)/2</f>
        <v>2</v>
      </c>
      <c r="H7" s="15" t="n">
        <f aca="false">(F7-E7)/2</f>
        <v>1</v>
      </c>
      <c r="I7" s="12" t="n">
        <v>0.5</v>
      </c>
      <c r="J7" s="12" t="n">
        <v>4</v>
      </c>
      <c r="K7" s="14"/>
      <c r="L7" s="16" t="n">
        <f aca="false">IF(I7="",-99,(I7-G7)/H7)</f>
        <v>-1.5</v>
      </c>
      <c r="M7" s="16" t="n">
        <f aca="false">IF(J7="",99,(J7-G7)/H7)</f>
        <v>2</v>
      </c>
      <c r="N7" s="6" t="s">
        <v>74</v>
      </c>
    </row>
    <row r="8" customFormat="false" ht="15" hidden="false" customHeight="false" outlineLevel="0" collapsed="false">
      <c r="A8" s="11" t="n">
        <v>4</v>
      </c>
      <c r="B8" s="12" t="s">
        <v>75</v>
      </c>
      <c r="C8" s="13" t="s">
        <v>76</v>
      </c>
      <c r="D8" s="14" t="s">
        <v>77</v>
      </c>
      <c r="E8" s="12" t="n">
        <v>20</v>
      </c>
      <c r="F8" s="12" t="n">
        <v>60</v>
      </c>
      <c r="G8" s="15" t="n">
        <f aca="false">(E8+F8)/2</f>
        <v>40</v>
      </c>
      <c r="H8" s="15" t="n">
        <f aca="false">(F8-E8)/2</f>
        <v>20</v>
      </c>
      <c r="I8" s="12" t="n">
        <v>20</v>
      </c>
      <c r="J8" s="12" t="n">
        <v>100</v>
      </c>
      <c r="K8" s="14"/>
      <c r="L8" s="16" t="n">
        <f aca="false">IF(I8="",-99,(I8-G8)/H8)</f>
        <v>-1</v>
      </c>
      <c r="M8" s="16" t="n">
        <f aca="false">IF(J8="",99,(J8-G8)/H8)</f>
        <v>3</v>
      </c>
      <c r="N8" s="6" t="s">
        <v>78</v>
      </c>
    </row>
    <row r="10" customFormat="false" ht="15" hidden="false" customHeight="false" outlineLevel="0" collapsed="false">
      <c r="A10" s="17" t="s">
        <v>79</v>
      </c>
    </row>
    <row r="11" customFormat="false" ht="15" hidden="false" customHeight="false" outlineLevel="0" collapsed="false">
      <c r="A11" s="18" t="s">
        <v>80</v>
      </c>
      <c r="B11" s="12" t="s">
        <v>81</v>
      </c>
    </row>
    <row r="12" customFormat="false" ht="15" hidden="false" customHeight="false" outlineLevel="0" collapsed="false">
      <c r="A12" s="18" t="s">
        <v>52</v>
      </c>
      <c r="B12" s="14" t="s">
        <v>82</v>
      </c>
    </row>
    <row r="13" customFormat="false" ht="15" hidden="false" customHeight="false" outlineLevel="0" collapsed="false">
      <c r="A13" s="18" t="s">
        <v>83</v>
      </c>
      <c r="B13" s="12" t="s">
        <v>84</v>
      </c>
      <c r="C13" s="19" t="s">
        <v>85</v>
      </c>
    </row>
    <row r="14" customFormat="false" ht="15" hidden="false" customHeight="false" outlineLevel="0" collapsed="false">
      <c r="A14" s="18" t="s">
        <v>86</v>
      </c>
      <c r="B14" s="20" t="n">
        <v>46.5</v>
      </c>
    </row>
    <row r="15" customFormat="false" ht="15" hidden="false" customHeight="false" outlineLevel="0" collapsed="false">
      <c r="A15" s="18" t="s">
        <v>87</v>
      </c>
      <c r="B15" s="20"/>
    </row>
    <row r="16" customFormat="false" ht="15" hidden="false" customHeight="false" outlineLevel="0" collapsed="false">
      <c r="A16" s="18" t="s">
        <v>88</v>
      </c>
      <c r="B16" s="20"/>
    </row>
    <row r="17" customFormat="false" ht="15" hidden="false" customHeight="false" outlineLevel="0" collapsed="false">
      <c r="A17" s="18" t="s">
        <v>89</v>
      </c>
      <c r="B17" s="21" t="n">
        <v>0.95</v>
      </c>
      <c r="C17" s="19" t="s">
        <v>90</v>
      </c>
    </row>
    <row r="19" customFormat="false" ht="15" hidden="false" customHeight="false" outlineLevel="0" collapsed="false">
      <c r="A19" s="17" t="s">
        <v>91</v>
      </c>
    </row>
    <row r="20" customFormat="false" ht="15" hidden="false" customHeight="false" outlineLevel="0" collapsed="false">
      <c r="A20" s="18" t="s">
        <v>92</v>
      </c>
      <c r="B20" s="12" t="s">
        <v>93</v>
      </c>
      <c r="C20" s="22" t="s">
        <v>94</v>
      </c>
    </row>
    <row r="21" customFormat="false" ht="15" hidden="false" customHeight="false" outlineLevel="0" collapsed="false">
      <c r="A21" s="18" t="s">
        <v>95</v>
      </c>
      <c r="B21" s="14" t="n">
        <v>6</v>
      </c>
      <c r="C21" s="19" t="s">
        <v>96</v>
      </c>
    </row>
    <row r="22" customFormat="false" ht="15" hidden="false" customHeight="false" outlineLevel="0" collapsed="false">
      <c r="A22" s="23" t="s">
        <v>97</v>
      </c>
      <c r="B22" s="16" t="n">
        <f aca="false">IF(B20="回転可能CCD(α=2.000)",2,1)</f>
        <v>1</v>
      </c>
    </row>
    <row r="23" customFormat="false" ht="15" hidden="false" customHeight="false" outlineLevel="0" collapsed="false">
      <c r="A23" s="18" t="s">
        <v>98</v>
      </c>
      <c r="B23" s="24" t="n">
        <f aca="false">B26+B21</f>
        <v>30</v>
      </c>
    </row>
    <row r="24" customFormat="false" ht="15" hidden="false" customHeight="false" outlineLevel="0" collapsed="false">
      <c r="A24" s="18" t="s">
        <v>99</v>
      </c>
      <c r="B24" s="12" t="s">
        <v>100</v>
      </c>
      <c r="C24" s="19" t="s">
        <v>101</v>
      </c>
    </row>
    <row r="25" customFormat="false" ht="15" hidden="false" customHeight="false" outlineLevel="0" collapsed="false">
      <c r="A25" s="18" t="s">
        <v>102</v>
      </c>
      <c r="B25" s="24" t="n">
        <f aca="false">IFERROR(MATCH("○",K5:K8,0),0)</f>
        <v>1</v>
      </c>
    </row>
    <row r="26" customFormat="false" ht="15" hidden="false" customHeight="false" outlineLevel="0" collapsed="false">
      <c r="A26" s="18" t="s">
        <v>103</v>
      </c>
      <c r="B26" s="24" t="n">
        <f aca="false">IF(B20="Box-Behnken",24,24)</f>
        <v>24</v>
      </c>
    </row>
    <row r="27" customFormat="false" ht="15" hidden="false" customHeight="false" outlineLevel="0" collapsed="false">
      <c r="A27" s="17" t="s">
        <v>104</v>
      </c>
    </row>
    <row r="28" customFormat="false" ht="29.85" hidden="false" customHeight="false" outlineLevel="0" collapsed="false">
      <c r="A28" s="10" t="s">
        <v>105</v>
      </c>
      <c r="B28" s="10" t="s">
        <v>106</v>
      </c>
      <c r="C28" s="10" t="s">
        <v>107</v>
      </c>
      <c r="D28" s="10" t="s">
        <v>57</v>
      </c>
      <c r="E28" s="10" t="s">
        <v>58</v>
      </c>
      <c r="F28" s="10" t="s">
        <v>108</v>
      </c>
    </row>
    <row r="29" customFormat="false" ht="15" hidden="false" customHeight="false" outlineLevel="0" collapsed="false">
      <c r="A29" s="24" t="str">
        <f aca="false">B5</f>
        <v>炉温</v>
      </c>
      <c r="B29" s="15" t="n">
        <f aca="false">G5-$B$22*H5</f>
        <v>55</v>
      </c>
      <c r="C29" s="15" t="n">
        <f aca="false">G5+$B$22*H5</f>
        <v>75</v>
      </c>
      <c r="D29" s="24" t="str">
        <f aca="false">IF(I5="","―",I5)</f>
        <v>―</v>
      </c>
      <c r="E29" s="24" t="n">
        <f aca="false">IF(J5="","―",J5)</f>
        <v>80</v>
      </c>
      <c r="F29" s="25" t="str">
        <f aca="false">IF(AND(OR(I5="",B29&gt;=I5),OR(J5="",C29&lt;=J5)),"OK","安全限界超過")</f>
        <v>OK</v>
      </c>
    </row>
    <row r="30" customFormat="false" ht="15" hidden="false" customHeight="false" outlineLevel="0" collapsed="false">
      <c r="A30" s="24" t="str">
        <f aca="false">B6</f>
        <v>乾燥時間</v>
      </c>
      <c r="B30" s="15" t="n">
        <f aca="false">G6-$B$22*H6</f>
        <v>20</v>
      </c>
      <c r="C30" s="15" t="n">
        <f aca="false">G6+$B$22*H6</f>
        <v>40</v>
      </c>
      <c r="D30" s="24" t="n">
        <f aca="false">IF(I6="","―",I6)</f>
        <v>10</v>
      </c>
      <c r="E30" s="24" t="str">
        <f aca="false">IF(J6="","―",J6)</f>
        <v>―</v>
      </c>
      <c r="F30" s="25" t="str">
        <f aca="false">IF(AND(OR(I6="",B30&gt;=I6),OR(J6="",C30&lt;=J6)),"OK","安全限界超過")</f>
        <v>OK</v>
      </c>
    </row>
    <row r="31" customFormat="false" ht="15" hidden="false" customHeight="false" outlineLevel="0" collapsed="false">
      <c r="A31" s="24" t="str">
        <f aca="false">B7</f>
        <v>循環風速</v>
      </c>
      <c r="B31" s="15" t="n">
        <f aca="false">G7-$B$22*H7</f>
        <v>1</v>
      </c>
      <c r="C31" s="15" t="n">
        <f aca="false">G7+$B$22*H7</f>
        <v>3</v>
      </c>
      <c r="D31" s="24" t="n">
        <f aca="false">IF(I7="","―",I7)</f>
        <v>0.5</v>
      </c>
      <c r="E31" s="24" t="n">
        <f aca="false">IF(J7="","―",J7)</f>
        <v>4</v>
      </c>
      <c r="F31" s="25" t="str">
        <f aca="false">IF(AND(OR(I7="",B31&gt;=I7),OR(J7="",C31&lt;=J7)),"OK","安全限界超過")</f>
        <v>OK</v>
      </c>
    </row>
    <row r="32" customFormat="false" ht="15" hidden="false" customHeight="false" outlineLevel="0" collapsed="false">
      <c r="A32" s="24" t="str">
        <f aca="false">B8</f>
        <v>給気率</v>
      </c>
      <c r="B32" s="15" t="n">
        <f aca="false">G8-$B$22*H8</f>
        <v>20</v>
      </c>
      <c r="C32" s="15" t="n">
        <f aca="false">G8+$B$22*H8</f>
        <v>60</v>
      </c>
      <c r="D32" s="24" t="n">
        <f aca="false">IF(I8="","―",I8)</f>
        <v>20</v>
      </c>
      <c r="E32" s="24" t="n">
        <f aca="false">IF(J8="","―",J8)</f>
        <v>100</v>
      </c>
      <c r="F32" s="25" t="str">
        <f aca="false">IF(AND(OR(I8="",B32&gt;=I8),OR(J8="",C32&lt;=J8)),"OK","安全限界超過")</f>
        <v>OK</v>
      </c>
    </row>
    <row r="33" customFormat="false" ht="15" hidden="false" customHeight="false" outlineLevel="0" collapsed="false">
      <c r="A33" s="18" t="s">
        <v>109</v>
      </c>
      <c r="B33" s="26" t="str">
        <f aca="false">IF(COUNTIF(F29:F32,"安全限界超過")&gt;0,"× 安全限界を超える実験点あり → この計画は実行不可。面心CCDかBox-Behnkenへ変更、または範囲を縮小","○ 全実験点が安全限界内")</f>
        <v>○ 全実験点が安全限界内</v>
      </c>
      <c r="C33" s="26"/>
      <c r="D33" s="26"/>
      <c r="E33" s="26"/>
      <c r="F33" s="26"/>
    </row>
  </sheetData>
  <mergeCells count="1">
    <mergeCell ref="B33:F33"/>
  </mergeCells>
  <conditionalFormatting sqref="F29:F32">
    <cfRule type="cellIs" priority="2" operator="equal" aboveAverage="0" equalAverage="0" bottom="0" percent="0" rank="0" text="" dxfId="0">
      <formula>"安全限界超過"</formula>
    </cfRule>
  </conditionalFormatting>
  <dataValidations count="5">
    <dataValidation allowBlank="true" errorStyle="stop" operator="between" showDropDown="false" showErrorMessage="false" showInputMessage="false" sqref="K5:K8" type="list">
      <formula1>"○"</formula1>
      <formula2>0</formula2>
    </dataValidation>
    <dataValidation allowBlank="false" errorStyle="stop" operator="between" showDropDown="false" showErrorMessage="false" showInputMessage="false" sqref="B13" type="list">
      <formula1>"最大化,最小化,目標値"</formula1>
      <formula2>0</formula2>
    </dataValidation>
    <dataValidation allowBlank="false" errorStyle="stop" operator="between" showDropDown="false" showErrorMessage="false" showInputMessage="false" sqref="B20" type="list">
      <formula1>"面心CCD(α=1),回転可能CCD(α=2.000),Box-Behnken"</formula1>
      <formula2>0</formula2>
    </dataValidation>
    <dataValidation allowBlank="false" errorStyle="stop" operator="between" showDropDown="false" showErrorMessage="false" showInputMessage="false" sqref="B21" type="whole">
      <formula1>3</formula1>
      <formula2>10</formula2>
    </dataValidation>
    <dataValidation allowBlank="false" errorStyle="stop" operator="between" showDropDown="false" showErrorMessage="false" showInputMessage="false" sqref="B24" type="list">
      <formula1>"完全ランダム,変更困難因子でグループ化"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AB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7" min="4" style="0" width="9"/>
    <col collapsed="false" customWidth="true" hidden="false" outlineLevel="0" max="11" min="8" style="0" width="13"/>
  </cols>
  <sheetData>
    <row r="1" customFormat="false" ht="21.6" hidden="false" customHeight="false" outlineLevel="0" collapsed="false">
      <c r="A1" s="8" t="s">
        <v>110</v>
      </c>
    </row>
    <row r="2" customFormat="false" ht="15" hidden="false" customHeight="false" outlineLevel="0" collapsed="false">
      <c r="A2" s="2" t="s">
        <v>111</v>
      </c>
    </row>
    <row r="4" customFormat="false" ht="29.85" hidden="false" customHeight="false" outlineLevel="0" collapsed="false">
      <c r="A4" s="10" t="s">
        <v>112</v>
      </c>
      <c r="B4" s="10" t="s">
        <v>113</v>
      </c>
      <c r="C4" s="10" t="s">
        <v>114</v>
      </c>
      <c r="D4" s="9" t="s">
        <v>115</v>
      </c>
      <c r="E4" s="9" t="s">
        <v>116</v>
      </c>
      <c r="F4" s="9" t="s">
        <v>117</v>
      </c>
      <c r="G4" s="9" t="s">
        <v>118</v>
      </c>
      <c r="H4" s="10" t="str">
        <f aca="false">"X1 "&amp;01_因子設定!B5&amp;"["&amp;01_因子設定!D5&amp;"]"</f>
        <v>X1 炉温[℃]</v>
      </c>
      <c r="I4" s="10" t="str">
        <f aca="false">"X2 "&amp;01_因子設定!B6&amp;"["&amp;01_因子設定!D6&amp;"]"</f>
        <v>X2 乾燥時間[min]</v>
      </c>
      <c r="J4" s="10" t="str">
        <f aca="false">"X3 "&amp;01_因子設定!B7&amp;"["&amp;01_因子設定!D7&amp;"]"</f>
        <v>X3 循環風速[m/s]</v>
      </c>
      <c r="K4" s="10" t="str">
        <f aca="false">"X4 "&amp;01_因子設定!B8&amp;"["&amp;01_因子設定!D8&amp;"]"</f>
        <v>X4 給気率[%]</v>
      </c>
      <c r="L4" s="10" t="s">
        <v>119</v>
      </c>
      <c r="M4" s="10" t="s">
        <v>120</v>
      </c>
      <c r="N4" s="10" t="s">
        <v>121</v>
      </c>
      <c r="O4" s="10" t="s">
        <v>122</v>
      </c>
      <c r="P4" s="9" t="s">
        <v>123</v>
      </c>
      <c r="R4" s="9" t="s">
        <v>124</v>
      </c>
      <c r="S4" s="9" t="s">
        <v>125</v>
      </c>
      <c r="T4" s="9" t="s">
        <v>126</v>
      </c>
      <c r="U4" s="9" t="s">
        <v>127</v>
      </c>
      <c r="V4" s="9" t="s">
        <v>128</v>
      </c>
      <c r="W4" s="9" t="s">
        <v>129</v>
      </c>
      <c r="X4" s="9" t="s">
        <v>130</v>
      </c>
      <c r="Y4" s="9" t="s">
        <v>131</v>
      </c>
      <c r="AA4" s="10" t="s">
        <v>132</v>
      </c>
      <c r="AB4" s="10" t="s">
        <v>133</v>
      </c>
    </row>
    <row r="5" customFormat="false" ht="15" hidden="false" customHeight="false" outlineLevel="0" collapsed="false">
      <c r="A5" s="11" t="n">
        <v>1</v>
      </c>
      <c r="B5" s="11" t="str">
        <f aca="false">IF(A5&gt;01_因子設定!$B$23,"未使用",IF(A5&gt;01_因子設定!$B$26,"中心点",IF(01_因子設定!$B$20="Box-Behnken","BBD点",IF(A5&lt;=16,"要因点","軸点"))))</f>
        <v>要因点</v>
      </c>
      <c r="C5" s="11" t="n">
        <f aca="false">IF(A5&lt;=01_因子設定!$B$23,1,0)</f>
        <v>1</v>
      </c>
      <c r="D5" s="27" t="n">
        <f aca="false">IF($C5=0,0,IF(01_因子設定!$B$20="Box-Behnken",V5,R5*IF($A5&gt;16,01_因子設定!$B$22,1)))</f>
        <v>-1</v>
      </c>
      <c r="E5" s="27" t="n">
        <f aca="false">IF($C5=0,0,IF(01_因子設定!$B$20="Box-Behnken",W5,S5*IF($A5&gt;16,01_因子設定!$B$22,1)))</f>
        <v>-1</v>
      </c>
      <c r="F5" s="27" t="n">
        <f aca="false">IF($C5=0,0,IF(01_因子設定!$B$20="Box-Behnken",X5,T5*IF($A5&gt;16,01_因子設定!$B$22,1)))</f>
        <v>-1</v>
      </c>
      <c r="G5" s="27" t="n">
        <f aca="false">IF($C5=0,0,IF(01_因子設定!$B$20="Box-Behnken",Y5,U5*IF($A5&gt;16,01_因子設定!$B$22,1)))</f>
        <v>-1</v>
      </c>
      <c r="H5" s="28" t="n">
        <f aca="false">IF($C5=1,01_因子設定!$G$5+D5*01_因子設定!$H$5,"")</f>
        <v>55</v>
      </c>
      <c r="I5" s="28" t="n">
        <f aca="false">IF($C5=1,01_因子設定!$G$6+E5*01_因子設定!$H$6,"")</f>
        <v>20</v>
      </c>
      <c r="J5" s="28" t="n">
        <f aca="false">IF($C5=1,01_因子設定!$G$7+F5*01_因子設定!$H$7,"")</f>
        <v>1</v>
      </c>
      <c r="K5" s="28" t="n">
        <f aca="false">IF($C5=1,01_因子設定!$G$8+G5*01_因子設定!$H$8,"")</f>
        <v>20</v>
      </c>
      <c r="L5" s="11" t="str">
        <f aca="false">IF(C5=0,"",IF(AND(OR(01_因子設定!$I$5="",H5&gt;=01_因子設定!$I$5),OR(01_因子設定!$J$5="",H5&lt;=01_因子設定!$J$5),OR(01_因子設定!$I$6="",I5&gt;=01_因子設定!$I$6),OR(01_因子設定!$J$6="",I5&lt;=01_因子設定!$J$6),OR(01_因子設定!$I$7="",J5&gt;=01_因子設定!$I$7),OR(01_因子設定!$J$7="",J5&lt;=01_因子設定!$J$7),OR(01_因子設定!$I$8="",K5&gt;=01_因子設定!$I$8),OR(01_因子設定!$J$8="",K5&lt;=01_因子設定!$J$8)),"OK","安全限界超過"))</f>
        <v>OK</v>
      </c>
      <c r="M5" s="29" t="n">
        <v>0.091432</v>
      </c>
      <c r="N5" s="30" t="n">
        <f aca="false">IF(C5=0,99,IF(AND(01_因子設定!$B$24="変更困難因子でグループ化",01_因子設定!$B$25&gt;0),VLOOKUP(ROUND(INDEX(D5:G5,01_因子設定!$B$25),6),$AA$5:$AB$9,2,FALSE())+M5*0.9,M5))</f>
        <v>0.091432</v>
      </c>
      <c r="O5" s="31" t="n">
        <f aca="false">IF(C5=1,SUMPRODUCT(($C$5:$C$38=1)*($N$5:$N$38&lt;N5))+1,"")</f>
        <v>5</v>
      </c>
      <c r="P5" s="28" t="n">
        <f aca="false">IF(C5=1,INDEX(03_実験結果!$I$5:$I$38,O5),0)</f>
        <v>37.7</v>
      </c>
      <c r="R5" s="32" t="n">
        <v>-1</v>
      </c>
      <c r="S5" s="32" t="n">
        <v>-1</v>
      </c>
      <c r="T5" s="32" t="n">
        <v>-1</v>
      </c>
      <c r="U5" s="32" t="n">
        <v>-1</v>
      </c>
      <c r="V5" s="32" t="n">
        <v>-1</v>
      </c>
      <c r="W5" s="32" t="n">
        <v>-1</v>
      </c>
      <c r="X5" s="32" t="n">
        <v>0</v>
      </c>
      <c r="Y5" s="32" t="n">
        <v>0</v>
      </c>
      <c r="AA5" s="33" t="n">
        <v>-2</v>
      </c>
      <c r="AB5" s="12" t="n">
        <v>3</v>
      </c>
    </row>
    <row r="6" customFormat="false" ht="15" hidden="false" customHeight="false" outlineLevel="0" collapsed="false">
      <c r="A6" s="11" t="n">
        <v>2</v>
      </c>
      <c r="B6" s="11" t="str">
        <f aca="false">IF(A6&gt;01_因子設定!$B$23,"未使用",IF(A6&gt;01_因子設定!$B$26,"中心点",IF(01_因子設定!$B$20="Box-Behnken","BBD点",IF(A6&lt;=16,"要因点","軸点"))))</f>
        <v>要因点</v>
      </c>
      <c r="C6" s="11" t="n">
        <f aca="false">IF(A6&lt;=01_因子設定!$B$23,1,0)</f>
        <v>1</v>
      </c>
      <c r="D6" s="27" t="n">
        <f aca="false">IF($C6=0,0,IF(01_因子設定!$B$20="Box-Behnken",V6,R6*IF($A6&gt;16,01_因子設定!$B$22,1)))</f>
        <v>1</v>
      </c>
      <c r="E6" s="27" t="n">
        <f aca="false">IF($C6=0,0,IF(01_因子設定!$B$20="Box-Behnken",W6,S6*IF($A6&gt;16,01_因子設定!$B$22,1)))</f>
        <v>-1</v>
      </c>
      <c r="F6" s="27" t="n">
        <f aca="false">IF($C6=0,0,IF(01_因子設定!$B$20="Box-Behnken",X6,T6*IF($A6&gt;16,01_因子設定!$B$22,1)))</f>
        <v>-1</v>
      </c>
      <c r="G6" s="27" t="n">
        <f aca="false">IF($C6=0,0,IF(01_因子設定!$B$20="Box-Behnken",Y6,U6*IF($A6&gt;16,01_因子設定!$B$22,1)))</f>
        <v>-1</v>
      </c>
      <c r="H6" s="28" t="n">
        <f aca="false">IF($C6=1,01_因子設定!$G$5+D6*01_因子設定!$H$5,"")</f>
        <v>75</v>
      </c>
      <c r="I6" s="28" t="n">
        <f aca="false">IF($C6=1,01_因子設定!$G$6+E6*01_因子設定!$H$6,"")</f>
        <v>20</v>
      </c>
      <c r="J6" s="28" t="n">
        <f aca="false">IF($C6=1,01_因子設定!$G$7+F6*01_因子設定!$H$7,"")</f>
        <v>1</v>
      </c>
      <c r="K6" s="28" t="n">
        <f aca="false">IF($C6=1,01_因子設定!$G$8+G6*01_因子設定!$H$8,"")</f>
        <v>20</v>
      </c>
      <c r="L6" s="11" t="str">
        <f aca="false">IF(C6=0,"",IF(AND(OR(01_因子設定!$I$5="",H6&gt;=01_因子設定!$I$5),OR(01_因子設定!$J$5="",H6&lt;=01_因子設定!$J$5),OR(01_因子設定!$I$6="",I6&gt;=01_因子設定!$I$6),OR(01_因子設定!$J$6="",I6&lt;=01_因子設定!$J$6),OR(01_因子設定!$I$7="",J6&gt;=01_因子設定!$I$7),OR(01_因子設定!$J$7="",J6&lt;=01_因子設定!$J$7),OR(01_因子設定!$I$8="",K6&gt;=01_因子設定!$I$8),OR(01_因子設定!$J$8="",K6&lt;=01_因子設定!$J$8)),"OK","安全限界超過"))</f>
        <v>OK</v>
      </c>
      <c r="M6" s="29" t="n">
        <v>0.069287</v>
      </c>
      <c r="N6" s="30" t="n">
        <f aca="false">IF(C6=0,99,IF(AND(01_因子設定!$B$24="変更困難因子でグループ化",01_因子設定!$B$25&gt;0),VLOOKUP(ROUND(INDEX(D6:G6,01_因子設定!$B$25),6),$AA$5:$AB$9,2,FALSE())+M6*0.9,M6))</f>
        <v>0.069287</v>
      </c>
      <c r="O6" s="31" t="n">
        <f aca="false">IF(C6=1,SUMPRODUCT(($C$5:$C$38=1)*($N$5:$N$38&lt;N6))+1,"")</f>
        <v>3</v>
      </c>
      <c r="P6" s="28" t="n">
        <f aca="false">IF(C6=1,INDEX(03_実験結果!$I$5:$I$38,O6),0)</f>
        <v>39.4</v>
      </c>
      <c r="R6" s="32" t="n">
        <v>1</v>
      </c>
      <c r="S6" s="32" t="n">
        <v>-1</v>
      </c>
      <c r="T6" s="32" t="n">
        <v>-1</v>
      </c>
      <c r="U6" s="32" t="n">
        <v>-1</v>
      </c>
      <c r="V6" s="32" t="n">
        <v>1</v>
      </c>
      <c r="W6" s="32" t="n">
        <v>-1</v>
      </c>
      <c r="X6" s="32" t="n">
        <v>0</v>
      </c>
      <c r="Y6" s="32" t="n">
        <v>0</v>
      </c>
      <c r="AA6" s="33" t="n">
        <v>-1</v>
      </c>
      <c r="AB6" s="12" t="n">
        <v>1</v>
      </c>
    </row>
    <row r="7" customFormat="false" ht="15" hidden="false" customHeight="false" outlineLevel="0" collapsed="false">
      <c r="A7" s="11" t="n">
        <v>3</v>
      </c>
      <c r="B7" s="11" t="str">
        <f aca="false">IF(A7&gt;01_因子設定!$B$23,"未使用",IF(A7&gt;01_因子設定!$B$26,"中心点",IF(01_因子設定!$B$20="Box-Behnken","BBD点",IF(A7&lt;=16,"要因点","軸点"))))</f>
        <v>要因点</v>
      </c>
      <c r="C7" s="11" t="n">
        <f aca="false">IF(A7&lt;=01_因子設定!$B$23,1,0)</f>
        <v>1</v>
      </c>
      <c r="D7" s="27" t="n">
        <f aca="false">IF($C7=0,0,IF(01_因子設定!$B$20="Box-Behnken",V7,R7*IF($A7&gt;16,01_因子設定!$B$22,1)))</f>
        <v>-1</v>
      </c>
      <c r="E7" s="27" t="n">
        <f aca="false">IF($C7=0,0,IF(01_因子設定!$B$20="Box-Behnken",W7,S7*IF($A7&gt;16,01_因子設定!$B$22,1)))</f>
        <v>1</v>
      </c>
      <c r="F7" s="27" t="n">
        <f aca="false">IF($C7=0,0,IF(01_因子設定!$B$20="Box-Behnken",X7,T7*IF($A7&gt;16,01_因子設定!$B$22,1)))</f>
        <v>-1</v>
      </c>
      <c r="G7" s="27" t="n">
        <f aca="false">IF($C7=0,0,IF(01_因子設定!$B$20="Box-Behnken",Y7,U7*IF($A7&gt;16,01_因子設定!$B$22,1)))</f>
        <v>-1</v>
      </c>
      <c r="H7" s="28" t="n">
        <f aca="false">IF($C7=1,01_因子設定!$G$5+D7*01_因子設定!$H$5,"")</f>
        <v>55</v>
      </c>
      <c r="I7" s="28" t="n">
        <f aca="false">IF($C7=1,01_因子設定!$G$6+E7*01_因子設定!$H$6,"")</f>
        <v>40</v>
      </c>
      <c r="J7" s="28" t="n">
        <f aca="false">IF($C7=1,01_因子設定!$G$7+F7*01_因子設定!$H$7,"")</f>
        <v>1</v>
      </c>
      <c r="K7" s="28" t="n">
        <f aca="false">IF($C7=1,01_因子設定!$G$8+G7*01_因子設定!$H$8,"")</f>
        <v>20</v>
      </c>
      <c r="L7" s="11" t="str">
        <f aca="false">IF(C7=0,"",IF(AND(OR(01_因子設定!$I$5="",H7&gt;=01_因子設定!$I$5),OR(01_因子設定!$J$5="",H7&lt;=01_因子設定!$J$5),OR(01_因子設定!$I$6="",I7&gt;=01_因子設定!$I$6),OR(01_因子設定!$J$6="",I7&lt;=01_因子設定!$J$6),OR(01_因子設定!$I$7="",J7&gt;=01_因子設定!$I$7),OR(01_因子設定!$J$7="",J7&lt;=01_因子設定!$J$7),OR(01_因子設定!$I$8="",K7&gt;=01_因子設定!$I$8),OR(01_因子設定!$J$8="",K7&lt;=01_因子設定!$J$8)),"OK","安全限界超過"))</f>
        <v>OK</v>
      </c>
      <c r="M7" s="29" t="n">
        <v>0.635644</v>
      </c>
      <c r="N7" s="30" t="n">
        <f aca="false">IF(C7=0,99,IF(AND(01_因子設定!$B$24="変更困難因子でグループ化",01_因子設定!$B$25&gt;0),VLOOKUP(ROUND(INDEX(D7:G7,01_因子設定!$B$25),6),$AA$5:$AB$9,2,FALSE())+M7*0.9,M7))</f>
        <v>0.635644</v>
      </c>
      <c r="O7" s="31" t="n">
        <f aca="false">IF(C7=1,SUMPRODUCT(($C$5:$C$38=1)*($N$5:$N$38&lt;N7))+1,"")</f>
        <v>23</v>
      </c>
      <c r="P7" s="28" t="n">
        <f aca="false">IF(C7=1,INDEX(03_実験結果!$I$5:$I$38,O7),0)</f>
        <v>38.7</v>
      </c>
      <c r="R7" s="32" t="n">
        <v>-1</v>
      </c>
      <c r="S7" s="32" t="n">
        <v>1</v>
      </c>
      <c r="T7" s="32" t="n">
        <v>-1</v>
      </c>
      <c r="U7" s="32" t="n">
        <v>-1</v>
      </c>
      <c r="V7" s="32" t="n">
        <v>-1</v>
      </c>
      <c r="W7" s="32" t="n">
        <v>1</v>
      </c>
      <c r="X7" s="32" t="n">
        <v>0</v>
      </c>
      <c r="Y7" s="32" t="n">
        <v>0</v>
      </c>
      <c r="AA7" s="33" t="n">
        <v>0</v>
      </c>
      <c r="AB7" s="12" t="n">
        <v>5</v>
      </c>
    </row>
    <row r="8" customFormat="false" ht="15" hidden="false" customHeight="false" outlineLevel="0" collapsed="false">
      <c r="A8" s="11" t="n">
        <v>4</v>
      </c>
      <c r="B8" s="11" t="str">
        <f aca="false">IF(A8&gt;01_因子設定!$B$23,"未使用",IF(A8&gt;01_因子設定!$B$26,"中心点",IF(01_因子設定!$B$20="Box-Behnken","BBD点",IF(A8&lt;=16,"要因点","軸点"))))</f>
        <v>要因点</v>
      </c>
      <c r="C8" s="11" t="n">
        <f aca="false">IF(A8&lt;=01_因子設定!$B$23,1,0)</f>
        <v>1</v>
      </c>
      <c r="D8" s="27" t="n">
        <f aca="false">IF($C8=0,0,IF(01_因子設定!$B$20="Box-Behnken",V8,R8*IF($A8&gt;16,01_因子設定!$B$22,1)))</f>
        <v>1</v>
      </c>
      <c r="E8" s="27" t="n">
        <f aca="false">IF($C8=0,0,IF(01_因子設定!$B$20="Box-Behnken",W8,S8*IF($A8&gt;16,01_因子設定!$B$22,1)))</f>
        <v>1</v>
      </c>
      <c r="F8" s="27" t="n">
        <f aca="false">IF($C8=0,0,IF(01_因子設定!$B$20="Box-Behnken",X8,T8*IF($A8&gt;16,01_因子設定!$B$22,1)))</f>
        <v>-1</v>
      </c>
      <c r="G8" s="27" t="n">
        <f aca="false">IF($C8=0,0,IF(01_因子設定!$B$20="Box-Behnken",Y8,U8*IF($A8&gt;16,01_因子設定!$B$22,1)))</f>
        <v>-1</v>
      </c>
      <c r="H8" s="28" t="n">
        <f aca="false">IF($C8=1,01_因子設定!$G$5+D8*01_因子設定!$H$5,"")</f>
        <v>75</v>
      </c>
      <c r="I8" s="28" t="n">
        <f aca="false">IF($C8=1,01_因子設定!$G$6+E8*01_因子設定!$H$6,"")</f>
        <v>40</v>
      </c>
      <c r="J8" s="28" t="n">
        <f aca="false">IF($C8=1,01_因子設定!$G$7+F8*01_因子設定!$H$7,"")</f>
        <v>1</v>
      </c>
      <c r="K8" s="28" t="n">
        <f aca="false">IF($C8=1,01_因子設定!$G$8+G8*01_因子設定!$H$8,"")</f>
        <v>20</v>
      </c>
      <c r="L8" s="11" t="str">
        <f aca="false">IF(C8=0,"",IF(AND(OR(01_因子設定!$I$5="",H8&gt;=01_因子設定!$I$5),OR(01_因子設定!$J$5="",H8&lt;=01_因子設定!$J$5),OR(01_因子設定!$I$6="",I8&gt;=01_因子設定!$I$6),OR(01_因子設定!$J$6="",I8&lt;=01_因子設定!$J$6),OR(01_因子設定!$I$7="",J8&gt;=01_因子設定!$I$7),OR(01_因子設定!$J$7="",J8&lt;=01_因子設定!$J$7),OR(01_因子設定!$I$8="",K8&gt;=01_因子設定!$I$8),OR(01_因子設定!$J$8="",K8&lt;=01_因子設定!$J$8)),"OK","安全限界超過"))</f>
        <v>OK</v>
      </c>
      <c r="M8" s="29" t="n">
        <v>0.367067</v>
      </c>
      <c r="N8" s="30" t="n">
        <f aca="false">IF(C8=0,99,IF(AND(01_因子設定!$B$24="変更困難因子でグループ化",01_因子設定!$B$25&gt;0),VLOOKUP(ROUND(INDEX(D8:G8,01_因子設定!$B$25),6),$AA$5:$AB$9,2,FALSE())+M8*0.9,M8))</f>
        <v>0.367067</v>
      </c>
      <c r="O8" s="31" t="n">
        <f aca="false">IF(C8=1,SUMPRODUCT(($C$5:$C$38=1)*($N$5:$N$38&lt;N8))+1,"")</f>
        <v>17</v>
      </c>
      <c r="P8" s="28" t="n">
        <f aca="false">IF(C8=1,INDEX(03_実験結果!$I$5:$I$38,O8),0)</f>
        <v>46.6</v>
      </c>
      <c r="R8" s="32" t="n">
        <v>1</v>
      </c>
      <c r="S8" s="32" t="n">
        <v>1</v>
      </c>
      <c r="T8" s="32" t="n">
        <v>-1</v>
      </c>
      <c r="U8" s="32" t="n">
        <v>-1</v>
      </c>
      <c r="V8" s="32" t="n">
        <v>1</v>
      </c>
      <c r="W8" s="32" t="n">
        <v>1</v>
      </c>
      <c r="X8" s="32" t="n">
        <v>0</v>
      </c>
      <c r="Y8" s="32" t="n">
        <v>0</v>
      </c>
      <c r="AA8" s="33" t="n">
        <v>1</v>
      </c>
      <c r="AB8" s="12" t="n">
        <v>2</v>
      </c>
    </row>
    <row r="9" customFormat="false" ht="15" hidden="false" customHeight="false" outlineLevel="0" collapsed="false">
      <c r="A9" s="11" t="n">
        <v>5</v>
      </c>
      <c r="B9" s="11" t="str">
        <f aca="false">IF(A9&gt;01_因子設定!$B$23,"未使用",IF(A9&gt;01_因子設定!$B$26,"中心点",IF(01_因子設定!$B$20="Box-Behnken","BBD点",IF(A9&lt;=16,"要因点","軸点"))))</f>
        <v>要因点</v>
      </c>
      <c r="C9" s="11" t="n">
        <f aca="false">IF(A9&lt;=01_因子設定!$B$23,1,0)</f>
        <v>1</v>
      </c>
      <c r="D9" s="27" t="n">
        <f aca="false">IF($C9=0,0,IF(01_因子設定!$B$20="Box-Behnken",V9,R9*IF($A9&gt;16,01_因子設定!$B$22,1)))</f>
        <v>-1</v>
      </c>
      <c r="E9" s="27" t="n">
        <f aca="false">IF($C9=0,0,IF(01_因子設定!$B$20="Box-Behnken",W9,S9*IF($A9&gt;16,01_因子設定!$B$22,1)))</f>
        <v>-1</v>
      </c>
      <c r="F9" s="27" t="n">
        <f aca="false">IF($C9=0,0,IF(01_因子設定!$B$20="Box-Behnken",X9,T9*IF($A9&gt;16,01_因子設定!$B$22,1)))</f>
        <v>1</v>
      </c>
      <c r="G9" s="27" t="n">
        <f aca="false">IF($C9=0,0,IF(01_因子設定!$B$20="Box-Behnken",Y9,U9*IF($A9&gt;16,01_因子設定!$B$22,1)))</f>
        <v>-1</v>
      </c>
      <c r="H9" s="28" t="n">
        <f aca="false">IF($C9=1,01_因子設定!$G$5+D9*01_因子設定!$H$5,"")</f>
        <v>55</v>
      </c>
      <c r="I9" s="28" t="n">
        <f aca="false">IF($C9=1,01_因子設定!$G$6+E9*01_因子設定!$H$6,"")</f>
        <v>20</v>
      </c>
      <c r="J9" s="28" t="n">
        <f aca="false">IF($C9=1,01_因子設定!$G$7+F9*01_因子設定!$H$7,"")</f>
        <v>3</v>
      </c>
      <c r="K9" s="28" t="n">
        <f aca="false">IF($C9=1,01_因子設定!$G$8+G9*01_因子設定!$H$8,"")</f>
        <v>20</v>
      </c>
      <c r="L9" s="11" t="str">
        <f aca="false">IF(C9=0,"",IF(AND(OR(01_因子設定!$I$5="",H9&gt;=01_因子設定!$I$5),OR(01_因子設定!$J$5="",H9&lt;=01_因子設定!$J$5),OR(01_因子設定!$I$6="",I9&gt;=01_因子設定!$I$6),OR(01_因子設定!$J$6="",I9&lt;=01_因子設定!$J$6),OR(01_因子設定!$I$7="",J9&gt;=01_因子設定!$I$7),OR(01_因子設定!$J$7="",J9&lt;=01_因子設定!$J$7),OR(01_因子設定!$I$8="",K9&gt;=01_因子設定!$I$8),OR(01_因子設定!$J$8="",K9&lt;=01_因子設定!$J$8)),"OK","安全限界超過"))</f>
        <v>OK</v>
      </c>
      <c r="M9" s="29" t="n">
        <v>0.101094</v>
      </c>
      <c r="N9" s="30" t="n">
        <f aca="false">IF(C9=0,99,IF(AND(01_因子設定!$B$24="変更困難因子でグループ化",01_因子設定!$B$25&gt;0),VLOOKUP(ROUND(INDEX(D9:G9,01_因子設定!$B$25),6),$AA$5:$AB$9,2,FALSE())+M9*0.9,M9))</f>
        <v>0.101094</v>
      </c>
      <c r="O9" s="31" t="n">
        <f aca="false">IF(C9=1,SUMPRODUCT(($C$5:$C$38=1)*($N$5:$N$38&lt;N9))+1,"")</f>
        <v>6</v>
      </c>
      <c r="P9" s="28" t="n">
        <f aca="false">IF(C9=1,INDEX(03_実験結果!$I$5:$I$38,O9),0)</f>
        <v>38.7</v>
      </c>
      <c r="R9" s="32" t="n">
        <v>-1</v>
      </c>
      <c r="S9" s="32" t="n">
        <v>-1</v>
      </c>
      <c r="T9" s="32" t="n">
        <v>1</v>
      </c>
      <c r="U9" s="32" t="n">
        <v>-1</v>
      </c>
      <c r="V9" s="32" t="n">
        <v>-1</v>
      </c>
      <c r="W9" s="32" t="n">
        <v>0</v>
      </c>
      <c r="X9" s="32" t="n">
        <v>-1</v>
      </c>
      <c r="Y9" s="32" t="n">
        <v>0</v>
      </c>
      <c r="AA9" s="33" t="n">
        <v>2</v>
      </c>
      <c r="AB9" s="12" t="n">
        <v>4</v>
      </c>
    </row>
    <row r="10" customFormat="false" ht="15" hidden="false" customHeight="false" outlineLevel="0" collapsed="false">
      <c r="A10" s="11" t="n">
        <v>6</v>
      </c>
      <c r="B10" s="11" t="str">
        <f aca="false">IF(A10&gt;01_因子設定!$B$23,"未使用",IF(A10&gt;01_因子設定!$B$26,"中心点",IF(01_因子設定!$B$20="Box-Behnken","BBD点",IF(A10&lt;=16,"要因点","軸点"))))</f>
        <v>要因点</v>
      </c>
      <c r="C10" s="11" t="n">
        <f aca="false">IF(A10&lt;=01_因子設定!$B$23,1,0)</f>
        <v>1</v>
      </c>
      <c r="D10" s="27" t="n">
        <f aca="false">IF($C10=0,0,IF(01_因子設定!$B$20="Box-Behnken",V10,R10*IF($A10&gt;16,01_因子設定!$B$22,1)))</f>
        <v>1</v>
      </c>
      <c r="E10" s="27" t="n">
        <f aca="false">IF($C10=0,0,IF(01_因子設定!$B$20="Box-Behnken",W10,S10*IF($A10&gt;16,01_因子設定!$B$22,1)))</f>
        <v>-1</v>
      </c>
      <c r="F10" s="27" t="n">
        <f aca="false">IF($C10=0,0,IF(01_因子設定!$B$20="Box-Behnken",X10,T10*IF($A10&gt;16,01_因子設定!$B$22,1)))</f>
        <v>1</v>
      </c>
      <c r="G10" s="27" t="n">
        <f aca="false">IF($C10=0,0,IF(01_因子設定!$B$20="Box-Behnken",Y10,U10*IF($A10&gt;16,01_因子設定!$B$22,1)))</f>
        <v>-1</v>
      </c>
      <c r="H10" s="28" t="n">
        <f aca="false">IF($C10=1,01_因子設定!$G$5+D10*01_因子設定!$H$5,"")</f>
        <v>75</v>
      </c>
      <c r="I10" s="28" t="n">
        <f aca="false">IF($C10=1,01_因子設定!$G$6+E10*01_因子設定!$H$6,"")</f>
        <v>20</v>
      </c>
      <c r="J10" s="28" t="n">
        <f aca="false">IF($C10=1,01_因子設定!$G$7+F10*01_因子設定!$H$7,"")</f>
        <v>3</v>
      </c>
      <c r="K10" s="28" t="n">
        <f aca="false">IF($C10=1,01_因子設定!$G$8+G10*01_因子設定!$H$8,"")</f>
        <v>20</v>
      </c>
      <c r="L10" s="11" t="str">
        <f aca="false">IF(C10=0,"",IF(AND(OR(01_因子設定!$I$5="",H10&gt;=01_因子設定!$I$5),OR(01_因子設定!$J$5="",H10&lt;=01_因子設定!$J$5),OR(01_因子設定!$I$6="",I10&gt;=01_因子設定!$I$6),OR(01_因子設定!$J$6="",I10&lt;=01_因子設定!$J$6),OR(01_因子設定!$I$7="",J10&gt;=01_因子設定!$I$7),OR(01_因子設定!$J$7="",J10&lt;=01_因子設定!$J$7),OR(01_因子設定!$I$8="",K10&gt;=01_因子設定!$I$8),OR(01_因子設定!$J$8="",K10&lt;=01_因子設定!$J$8)),"OK","安全限界超過"))</f>
        <v>OK</v>
      </c>
      <c r="M10" s="29" t="n">
        <v>0.090437</v>
      </c>
      <c r="N10" s="30" t="n">
        <f aca="false">IF(C10=0,99,IF(AND(01_因子設定!$B$24="変更困難因子でグループ化",01_因子設定!$B$25&gt;0),VLOOKUP(ROUND(INDEX(D10:G10,01_因子設定!$B$25),6),$AA$5:$AB$9,2,FALSE())+M10*0.9,M10))</f>
        <v>0.090437</v>
      </c>
      <c r="O10" s="31" t="n">
        <f aca="false">IF(C10=1,SUMPRODUCT(($C$5:$C$38=1)*($N$5:$N$38&lt;N10))+1,"")</f>
        <v>4</v>
      </c>
      <c r="P10" s="28" t="n">
        <f aca="false">IF(C10=1,INDEX(03_実験結果!$I$5:$I$38,O10),0)</f>
        <v>40.1</v>
      </c>
      <c r="R10" s="32" t="n">
        <v>1</v>
      </c>
      <c r="S10" s="32" t="n">
        <v>-1</v>
      </c>
      <c r="T10" s="32" t="n">
        <v>1</v>
      </c>
      <c r="U10" s="32" t="n">
        <v>-1</v>
      </c>
      <c r="V10" s="32" t="n">
        <v>1</v>
      </c>
      <c r="W10" s="32" t="n">
        <v>0</v>
      </c>
      <c r="X10" s="32" t="n">
        <v>-1</v>
      </c>
      <c r="Y10" s="32" t="n">
        <v>0</v>
      </c>
    </row>
    <row r="11" customFormat="false" ht="15" hidden="false" customHeight="false" outlineLevel="0" collapsed="false">
      <c r="A11" s="11" t="n">
        <v>7</v>
      </c>
      <c r="B11" s="11" t="str">
        <f aca="false">IF(A11&gt;01_因子設定!$B$23,"未使用",IF(A11&gt;01_因子設定!$B$26,"中心点",IF(01_因子設定!$B$20="Box-Behnken","BBD点",IF(A11&lt;=16,"要因点","軸点"))))</f>
        <v>要因点</v>
      </c>
      <c r="C11" s="11" t="n">
        <f aca="false">IF(A11&lt;=01_因子設定!$B$23,1,0)</f>
        <v>1</v>
      </c>
      <c r="D11" s="27" t="n">
        <f aca="false">IF($C11=0,0,IF(01_因子設定!$B$20="Box-Behnken",V11,R11*IF($A11&gt;16,01_因子設定!$B$22,1)))</f>
        <v>-1</v>
      </c>
      <c r="E11" s="27" t="n">
        <f aca="false">IF($C11=0,0,IF(01_因子設定!$B$20="Box-Behnken",W11,S11*IF($A11&gt;16,01_因子設定!$B$22,1)))</f>
        <v>1</v>
      </c>
      <c r="F11" s="27" t="n">
        <f aca="false">IF($C11=0,0,IF(01_因子設定!$B$20="Box-Behnken",X11,T11*IF($A11&gt;16,01_因子設定!$B$22,1)))</f>
        <v>1</v>
      </c>
      <c r="G11" s="27" t="n">
        <f aca="false">IF($C11=0,0,IF(01_因子設定!$B$20="Box-Behnken",Y11,U11*IF($A11&gt;16,01_因子設定!$B$22,1)))</f>
        <v>-1</v>
      </c>
      <c r="H11" s="28" t="n">
        <f aca="false">IF($C11=1,01_因子設定!$G$5+D11*01_因子設定!$H$5,"")</f>
        <v>55</v>
      </c>
      <c r="I11" s="28" t="n">
        <f aca="false">IF($C11=1,01_因子設定!$G$6+E11*01_因子設定!$H$6,"")</f>
        <v>40</v>
      </c>
      <c r="J11" s="28" t="n">
        <f aca="false">IF($C11=1,01_因子設定!$G$7+F11*01_因子設定!$H$7,"")</f>
        <v>3</v>
      </c>
      <c r="K11" s="28" t="n">
        <f aca="false">IF($C11=1,01_因子設定!$G$8+G11*01_因子設定!$H$8,"")</f>
        <v>20</v>
      </c>
      <c r="L11" s="11" t="str">
        <f aca="false">IF(C11=0,"",IF(AND(OR(01_因子設定!$I$5="",H11&gt;=01_因子設定!$I$5),OR(01_因子設定!$J$5="",H11&lt;=01_因子設定!$J$5),OR(01_因子設定!$I$6="",I11&gt;=01_因子設定!$I$6),OR(01_因子設定!$J$6="",I11&lt;=01_因子設定!$J$6),OR(01_因子設定!$I$7="",J11&gt;=01_因子設定!$I$7),OR(01_因子設定!$J$7="",J11&lt;=01_因子設定!$J$7),OR(01_因子設定!$I$8="",K11&gt;=01_因子設定!$I$8),OR(01_因子設定!$J$8="",K11&lt;=01_因子設定!$J$8)),"OK","安全限界超過"))</f>
        <v>OK</v>
      </c>
      <c r="M11" s="29" t="n">
        <v>0.588757</v>
      </c>
      <c r="N11" s="30" t="n">
        <f aca="false">IF(C11=0,99,IF(AND(01_因子設定!$B$24="変更困難因子でグループ化",01_因子設定!$B$25&gt;0),VLOOKUP(ROUND(INDEX(D11:G11,01_因子設定!$B$25),6),$AA$5:$AB$9,2,FALSE())+M11*0.9,M11))</f>
        <v>0.588757</v>
      </c>
      <c r="O11" s="31" t="n">
        <f aca="false">IF(C11=1,SUMPRODUCT(($C$5:$C$38=1)*($N$5:$N$38&lt;N11))+1,"")</f>
        <v>22</v>
      </c>
      <c r="P11" s="28" t="n">
        <f aca="false">IF(C11=1,INDEX(03_実験結果!$I$5:$I$38,O11),0)</f>
        <v>42.7</v>
      </c>
      <c r="R11" s="32" t="n">
        <v>-1</v>
      </c>
      <c r="S11" s="32" t="n">
        <v>1</v>
      </c>
      <c r="T11" s="32" t="n">
        <v>1</v>
      </c>
      <c r="U11" s="32" t="n">
        <v>-1</v>
      </c>
      <c r="V11" s="32" t="n">
        <v>-1</v>
      </c>
      <c r="W11" s="32" t="n">
        <v>0</v>
      </c>
      <c r="X11" s="32" t="n">
        <v>1</v>
      </c>
      <c r="Y11" s="32" t="n">
        <v>0</v>
      </c>
      <c r="AA11" s="19" t="s">
        <v>134</v>
      </c>
    </row>
    <row r="12" customFormat="false" ht="15" hidden="false" customHeight="false" outlineLevel="0" collapsed="false">
      <c r="A12" s="11" t="n">
        <v>8</v>
      </c>
      <c r="B12" s="11" t="str">
        <f aca="false">IF(A12&gt;01_因子設定!$B$23,"未使用",IF(A12&gt;01_因子設定!$B$26,"中心点",IF(01_因子設定!$B$20="Box-Behnken","BBD点",IF(A12&lt;=16,"要因点","軸点"))))</f>
        <v>要因点</v>
      </c>
      <c r="C12" s="11" t="n">
        <f aca="false">IF(A12&lt;=01_因子設定!$B$23,1,0)</f>
        <v>1</v>
      </c>
      <c r="D12" s="27" t="n">
        <f aca="false">IF($C12=0,0,IF(01_因子設定!$B$20="Box-Behnken",V12,R12*IF($A12&gt;16,01_因子設定!$B$22,1)))</f>
        <v>1</v>
      </c>
      <c r="E12" s="27" t="n">
        <f aca="false">IF($C12=0,0,IF(01_因子設定!$B$20="Box-Behnken",W12,S12*IF($A12&gt;16,01_因子設定!$B$22,1)))</f>
        <v>1</v>
      </c>
      <c r="F12" s="27" t="n">
        <f aca="false">IF($C12=0,0,IF(01_因子設定!$B$20="Box-Behnken",X12,T12*IF($A12&gt;16,01_因子設定!$B$22,1)))</f>
        <v>1</v>
      </c>
      <c r="G12" s="27" t="n">
        <f aca="false">IF($C12=0,0,IF(01_因子設定!$B$20="Box-Behnken",Y12,U12*IF($A12&gt;16,01_因子設定!$B$22,1)))</f>
        <v>-1</v>
      </c>
      <c r="H12" s="28" t="n">
        <f aca="false">IF($C12=1,01_因子設定!$G$5+D12*01_因子設定!$H$5,"")</f>
        <v>75</v>
      </c>
      <c r="I12" s="28" t="n">
        <f aca="false">IF($C12=1,01_因子設定!$G$6+E12*01_因子設定!$H$6,"")</f>
        <v>40</v>
      </c>
      <c r="J12" s="28" t="n">
        <f aca="false">IF($C12=1,01_因子設定!$G$7+F12*01_因子設定!$H$7,"")</f>
        <v>3</v>
      </c>
      <c r="K12" s="28" t="n">
        <f aca="false">IF($C12=1,01_因子設定!$G$8+G12*01_因子設定!$H$8,"")</f>
        <v>20</v>
      </c>
      <c r="L12" s="11" t="str">
        <f aca="false">IF(C12=0,"",IF(AND(OR(01_因子設定!$I$5="",H12&gt;=01_因子設定!$I$5),OR(01_因子設定!$J$5="",H12&lt;=01_因子設定!$J$5),OR(01_因子設定!$I$6="",I12&gt;=01_因子設定!$I$6),OR(01_因子設定!$J$6="",I12&lt;=01_因子設定!$J$6),OR(01_因子設定!$I$7="",J12&gt;=01_因子設定!$I$7),OR(01_因子設定!$J$7="",J12&lt;=01_因子設定!$J$7),OR(01_因子設定!$I$8="",K12&gt;=01_因子設定!$I$8),OR(01_因子設定!$J$8="",K12&lt;=01_因子設定!$J$8)),"OK","安全限界超過"))</f>
        <v>OK</v>
      </c>
      <c r="M12" s="29" t="n">
        <v>0.395521</v>
      </c>
      <c r="N12" s="30" t="n">
        <f aca="false">IF(C12=0,99,IF(AND(01_因子設定!$B$24="変更困難因子でグループ化",01_因子設定!$B$25&gt;0),VLOOKUP(ROUND(INDEX(D12:G12,01_因子設定!$B$25),6),$AA$5:$AB$9,2,FALSE())+M12*0.9,M12))</f>
        <v>0.395521</v>
      </c>
      <c r="O12" s="31" t="n">
        <f aca="false">IF(C12=1,SUMPRODUCT(($C$5:$C$38=1)*($N$5:$N$38&lt;N12))+1,"")</f>
        <v>18</v>
      </c>
      <c r="P12" s="28" t="n">
        <f aca="false">IF(C12=1,INDEX(03_実験結果!$I$5:$I$38,O12),0)</f>
        <v>46.7</v>
      </c>
      <c r="R12" s="32" t="n">
        <v>1</v>
      </c>
      <c r="S12" s="32" t="n">
        <v>1</v>
      </c>
      <c r="T12" s="32" t="n">
        <v>1</v>
      </c>
      <c r="U12" s="32" t="n">
        <v>-1</v>
      </c>
      <c r="V12" s="32" t="n">
        <v>1</v>
      </c>
      <c r="W12" s="32" t="n">
        <v>0</v>
      </c>
      <c r="X12" s="32" t="n">
        <v>1</v>
      </c>
      <c r="Y12" s="32" t="n">
        <v>0</v>
      </c>
    </row>
    <row r="13" customFormat="false" ht="15" hidden="false" customHeight="false" outlineLevel="0" collapsed="false">
      <c r="A13" s="11" t="n">
        <v>9</v>
      </c>
      <c r="B13" s="11" t="str">
        <f aca="false">IF(A13&gt;01_因子設定!$B$23,"未使用",IF(A13&gt;01_因子設定!$B$26,"中心点",IF(01_因子設定!$B$20="Box-Behnken","BBD点",IF(A13&lt;=16,"要因点","軸点"))))</f>
        <v>要因点</v>
      </c>
      <c r="C13" s="11" t="n">
        <f aca="false">IF(A13&lt;=01_因子設定!$B$23,1,0)</f>
        <v>1</v>
      </c>
      <c r="D13" s="27" t="n">
        <f aca="false">IF($C13=0,0,IF(01_因子設定!$B$20="Box-Behnken",V13,R13*IF($A13&gt;16,01_因子設定!$B$22,1)))</f>
        <v>-1</v>
      </c>
      <c r="E13" s="27" t="n">
        <f aca="false">IF($C13=0,0,IF(01_因子設定!$B$20="Box-Behnken",W13,S13*IF($A13&gt;16,01_因子設定!$B$22,1)))</f>
        <v>-1</v>
      </c>
      <c r="F13" s="27" t="n">
        <f aca="false">IF($C13=0,0,IF(01_因子設定!$B$20="Box-Behnken",X13,T13*IF($A13&gt;16,01_因子設定!$B$22,1)))</f>
        <v>-1</v>
      </c>
      <c r="G13" s="27" t="n">
        <f aca="false">IF($C13=0,0,IF(01_因子設定!$B$20="Box-Behnken",Y13,U13*IF($A13&gt;16,01_因子設定!$B$22,1)))</f>
        <v>1</v>
      </c>
      <c r="H13" s="28" t="n">
        <f aca="false">IF($C13=1,01_因子設定!$G$5+D13*01_因子設定!$H$5,"")</f>
        <v>55</v>
      </c>
      <c r="I13" s="28" t="n">
        <f aca="false">IF($C13=1,01_因子設定!$G$6+E13*01_因子設定!$H$6,"")</f>
        <v>20</v>
      </c>
      <c r="J13" s="28" t="n">
        <f aca="false">IF($C13=1,01_因子設定!$G$7+F13*01_因子設定!$H$7,"")</f>
        <v>1</v>
      </c>
      <c r="K13" s="28" t="n">
        <f aca="false">IF($C13=1,01_因子設定!$G$8+G13*01_因子設定!$H$8,"")</f>
        <v>60</v>
      </c>
      <c r="L13" s="11" t="str">
        <f aca="false">IF(C13=0,"",IF(AND(OR(01_因子設定!$I$5="",H13&gt;=01_因子設定!$I$5),OR(01_因子設定!$J$5="",H13&lt;=01_因子設定!$J$5),OR(01_因子設定!$I$6="",I13&gt;=01_因子設定!$I$6),OR(01_因子設定!$J$6="",I13&lt;=01_因子設定!$J$6),OR(01_因子設定!$I$7="",J13&gt;=01_因子設定!$I$7),OR(01_因子設定!$J$7="",J13&lt;=01_因子設定!$J$7),OR(01_因子設定!$I$8="",K13&gt;=01_因子設定!$I$8),OR(01_因子設定!$J$8="",K13&lt;=01_因子設定!$J$8)),"OK","安全限界超過"))</f>
        <v>OK</v>
      </c>
      <c r="M13" s="29" t="n">
        <v>0.955168</v>
      </c>
      <c r="N13" s="30" t="n">
        <f aca="false">IF(C13=0,99,IF(AND(01_因子設定!$B$24="変更困難因子でグループ化",01_因子設定!$B$25&gt;0),VLOOKUP(ROUND(INDEX(D13:G13,01_因子設定!$B$25),6),$AA$5:$AB$9,2,FALSE())+M13*0.9,M13))</f>
        <v>0.955168</v>
      </c>
      <c r="O13" s="31" t="n">
        <f aca="false">IF(C13=1,SUMPRODUCT(($C$5:$C$38=1)*($N$5:$N$38&lt;N13))+1,"")</f>
        <v>29</v>
      </c>
      <c r="P13" s="28" t="n">
        <f aca="false">IF(C13=1,INDEX(03_実験結果!$I$5:$I$38,O13),0)</f>
        <v>37.4</v>
      </c>
      <c r="R13" s="32" t="n">
        <v>-1</v>
      </c>
      <c r="S13" s="32" t="n">
        <v>-1</v>
      </c>
      <c r="T13" s="32" t="n">
        <v>-1</v>
      </c>
      <c r="U13" s="32" t="n">
        <v>1</v>
      </c>
      <c r="V13" s="32" t="n">
        <v>-1</v>
      </c>
      <c r="W13" s="32" t="n">
        <v>0</v>
      </c>
      <c r="X13" s="32" t="n">
        <v>0</v>
      </c>
      <c r="Y13" s="32" t="n">
        <v>-1</v>
      </c>
    </row>
    <row r="14" customFormat="false" ht="15" hidden="false" customHeight="false" outlineLevel="0" collapsed="false">
      <c r="A14" s="11" t="n">
        <v>10</v>
      </c>
      <c r="B14" s="11" t="str">
        <f aca="false">IF(A14&gt;01_因子設定!$B$23,"未使用",IF(A14&gt;01_因子設定!$B$26,"中心点",IF(01_因子設定!$B$20="Box-Behnken","BBD点",IF(A14&lt;=16,"要因点","軸点"))))</f>
        <v>要因点</v>
      </c>
      <c r="C14" s="11" t="n">
        <f aca="false">IF(A14&lt;=01_因子設定!$B$23,1,0)</f>
        <v>1</v>
      </c>
      <c r="D14" s="27" t="n">
        <f aca="false">IF($C14=0,0,IF(01_因子設定!$B$20="Box-Behnken",V14,R14*IF($A14&gt;16,01_因子設定!$B$22,1)))</f>
        <v>1</v>
      </c>
      <c r="E14" s="27" t="n">
        <f aca="false">IF($C14=0,0,IF(01_因子設定!$B$20="Box-Behnken",W14,S14*IF($A14&gt;16,01_因子設定!$B$22,1)))</f>
        <v>-1</v>
      </c>
      <c r="F14" s="27" t="n">
        <f aca="false">IF($C14=0,0,IF(01_因子設定!$B$20="Box-Behnken",X14,T14*IF($A14&gt;16,01_因子設定!$B$22,1)))</f>
        <v>-1</v>
      </c>
      <c r="G14" s="27" t="n">
        <f aca="false">IF($C14=0,0,IF(01_因子設定!$B$20="Box-Behnken",Y14,U14*IF($A14&gt;16,01_因子設定!$B$22,1)))</f>
        <v>1</v>
      </c>
      <c r="H14" s="28" t="n">
        <f aca="false">IF($C14=1,01_因子設定!$G$5+D14*01_因子設定!$H$5,"")</f>
        <v>75</v>
      </c>
      <c r="I14" s="28" t="n">
        <f aca="false">IF($C14=1,01_因子設定!$G$6+E14*01_因子設定!$H$6,"")</f>
        <v>20</v>
      </c>
      <c r="J14" s="28" t="n">
        <f aca="false">IF($C14=1,01_因子設定!$G$7+F14*01_因子設定!$H$7,"")</f>
        <v>1</v>
      </c>
      <c r="K14" s="28" t="n">
        <f aca="false">IF($C14=1,01_因子設定!$G$8+G14*01_因子設定!$H$8,"")</f>
        <v>60</v>
      </c>
      <c r="L14" s="11" t="str">
        <f aca="false">IF(C14=0,"",IF(AND(OR(01_因子設定!$I$5="",H14&gt;=01_因子設定!$I$5),OR(01_因子設定!$J$5="",H14&lt;=01_因子設定!$J$5),OR(01_因子設定!$I$6="",I14&gt;=01_因子設定!$I$6),OR(01_因子設定!$J$6="",I14&lt;=01_因子設定!$J$6),OR(01_因子設定!$I$7="",J14&gt;=01_因子設定!$I$7),OR(01_因子設定!$J$7="",J14&lt;=01_因子設定!$J$7),OR(01_因子設定!$I$8="",K14&gt;=01_因子設定!$I$8),OR(01_因子設定!$J$8="",K14&lt;=01_因子設定!$J$8)),"OK","安全限界超過"))</f>
        <v>OK</v>
      </c>
      <c r="M14" s="29" t="n">
        <v>0.232974</v>
      </c>
      <c r="N14" s="30" t="n">
        <f aca="false">IF(C14=0,99,IF(AND(01_因子設定!$B$24="変更困難因子でグループ化",01_因子設定!$B$25&gt;0),VLOOKUP(ROUND(INDEX(D14:G14,01_因子設定!$B$25),6),$AA$5:$AB$9,2,FALSE())+M14*0.9,M14))</f>
        <v>0.232974</v>
      </c>
      <c r="O14" s="31" t="n">
        <f aca="false">IF(C14=1,SUMPRODUCT(($C$5:$C$38=1)*($N$5:$N$38&lt;N14))+1,"")</f>
        <v>12</v>
      </c>
      <c r="P14" s="28" t="n">
        <f aca="false">IF(C14=1,INDEX(03_実験結果!$I$5:$I$38,O14),0)</f>
        <v>40.7</v>
      </c>
      <c r="R14" s="32" t="n">
        <v>1</v>
      </c>
      <c r="S14" s="32" t="n">
        <v>-1</v>
      </c>
      <c r="T14" s="32" t="n">
        <v>-1</v>
      </c>
      <c r="U14" s="32" t="n">
        <v>1</v>
      </c>
      <c r="V14" s="32" t="n">
        <v>1</v>
      </c>
      <c r="W14" s="32" t="n">
        <v>0</v>
      </c>
      <c r="X14" s="32" t="n">
        <v>0</v>
      </c>
      <c r="Y14" s="32" t="n">
        <v>-1</v>
      </c>
    </row>
    <row r="15" customFormat="false" ht="15" hidden="false" customHeight="false" outlineLevel="0" collapsed="false">
      <c r="A15" s="11" t="n">
        <v>11</v>
      </c>
      <c r="B15" s="11" t="str">
        <f aca="false">IF(A15&gt;01_因子設定!$B$23,"未使用",IF(A15&gt;01_因子設定!$B$26,"中心点",IF(01_因子設定!$B$20="Box-Behnken","BBD点",IF(A15&lt;=16,"要因点","軸点"))))</f>
        <v>要因点</v>
      </c>
      <c r="C15" s="11" t="n">
        <f aca="false">IF(A15&lt;=01_因子設定!$B$23,1,0)</f>
        <v>1</v>
      </c>
      <c r="D15" s="27" t="n">
        <f aca="false">IF($C15=0,0,IF(01_因子設定!$B$20="Box-Behnken",V15,R15*IF($A15&gt;16,01_因子設定!$B$22,1)))</f>
        <v>-1</v>
      </c>
      <c r="E15" s="27" t="n">
        <f aca="false">IF($C15=0,0,IF(01_因子設定!$B$20="Box-Behnken",W15,S15*IF($A15&gt;16,01_因子設定!$B$22,1)))</f>
        <v>1</v>
      </c>
      <c r="F15" s="27" t="n">
        <f aca="false">IF($C15=0,0,IF(01_因子設定!$B$20="Box-Behnken",X15,T15*IF($A15&gt;16,01_因子設定!$B$22,1)))</f>
        <v>-1</v>
      </c>
      <c r="G15" s="27" t="n">
        <f aca="false">IF($C15=0,0,IF(01_因子設定!$B$20="Box-Behnken",Y15,U15*IF($A15&gt;16,01_因子設定!$B$22,1)))</f>
        <v>1</v>
      </c>
      <c r="H15" s="28" t="n">
        <f aca="false">IF($C15=1,01_因子設定!$G$5+D15*01_因子設定!$H$5,"")</f>
        <v>55</v>
      </c>
      <c r="I15" s="28" t="n">
        <f aca="false">IF($C15=1,01_因子設定!$G$6+E15*01_因子設定!$H$6,"")</f>
        <v>40</v>
      </c>
      <c r="J15" s="28" t="n">
        <f aca="false">IF($C15=1,01_因子設定!$G$7+F15*01_因子設定!$H$7,"")</f>
        <v>1</v>
      </c>
      <c r="K15" s="28" t="n">
        <f aca="false">IF($C15=1,01_因子設定!$G$8+G15*01_因子設定!$H$8,"")</f>
        <v>60</v>
      </c>
      <c r="L15" s="11" t="str">
        <f aca="false">IF(C15=0,"",IF(AND(OR(01_因子設定!$I$5="",H15&gt;=01_因子設定!$I$5),OR(01_因子設定!$J$5="",H15&lt;=01_因子設定!$J$5),OR(01_因子設定!$I$6="",I15&gt;=01_因子設定!$I$6),OR(01_因子設定!$J$6="",I15&lt;=01_因子設定!$J$6),OR(01_因子設定!$I$7="",J15&gt;=01_因子設定!$I$7),OR(01_因子設定!$J$7="",J15&lt;=01_因子設定!$J$7),OR(01_因子設定!$I$8="",K15&gt;=01_因子設定!$I$8),OR(01_因子設定!$J$8="",K15&lt;=01_因子設定!$J$8)),"OK","安全限界超過"))</f>
        <v>OK</v>
      </c>
      <c r="M15" s="29" t="n">
        <v>0.337461</v>
      </c>
      <c r="N15" s="30" t="n">
        <f aca="false">IF(C15=0,99,IF(AND(01_因子設定!$B$24="変更困難因子でグループ化",01_因子設定!$B$25&gt;0),VLOOKUP(ROUND(INDEX(D15:G15,01_因子設定!$B$25),6),$AA$5:$AB$9,2,FALSE())+M15*0.9,M15))</f>
        <v>0.337461</v>
      </c>
      <c r="O15" s="31" t="n">
        <f aca="false">IF(C15=1,SUMPRODUCT(($C$5:$C$38=1)*($N$5:$N$38&lt;N15))+1,"")</f>
        <v>16</v>
      </c>
      <c r="P15" s="28" t="n">
        <f aca="false">IF(C15=1,INDEX(03_実験結果!$I$5:$I$38,O15),0)</f>
        <v>38.1</v>
      </c>
      <c r="R15" s="32" t="n">
        <v>-1</v>
      </c>
      <c r="S15" s="32" t="n">
        <v>1</v>
      </c>
      <c r="T15" s="32" t="n">
        <v>-1</v>
      </c>
      <c r="U15" s="32" t="n">
        <v>1</v>
      </c>
      <c r="V15" s="32" t="n">
        <v>-1</v>
      </c>
      <c r="W15" s="32" t="n">
        <v>0</v>
      </c>
      <c r="X15" s="32" t="n">
        <v>0</v>
      </c>
      <c r="Y15" s="32" t="n">
        <v>1</v>
      </c>
    </row>
    <row r="16" customFormat="false" ht="15" hidden="false" customHeight="false" outlineLevel="0" collapsed="false">
      <c r="A16" s="11" t="n">
        <v>12</v>
      </c>
      <c r="B16" s="11" t="str">
        <f aca="false">IF(A16&gt;01_因子設定!$B$23,"未使用",IF(A16&gt;01_因子設定!$B$26,"中心点",IF(01_因子設定!$B$20="Box-Behnken","BBD点",IF(A16&lt;=16,"要因点","軸点"))))</f>
        <v>要因点</v>
      </c>
      <c r="C16" s="11" t="n">
        <f aca="false">IF(A16&lt;=01_因子設定!$B$23,1,0)</f>
        <v>1</v>
      </c>
      <c r="D16" s="27" t="n">
        <f aca="false">IF($C16=0,0,IF(01_因子設定!$B$20="Box-Behnken",V16,R16*IF($A16&gt;16,01_因子設定!$B$22,1)))</f>
        <v>1</v>
      </c>
      <c r="E16" s="27" t="n">
        <f aca="false">IF($C16=0,0,IF(01_因子設定!$B$20="Box-Behnken",W16,S16*IF($A16&gt;16,01_因子設定!$B$22,1)))</f>
        <v>1</v>
      </c>
      <c r="F16" s="27" t="n">
        <f aca="false">IF($C16=0,0,IF(01_因子設定!$B$20="Box-Behnken",X16,T16*IF($A16&gt;16,01_因子設定!$B$22,1)))</f>
        <v>-1</v>
      </c>
      <c r="G16" s="27" t="n">
        <f aca="false">IF($C16=0,0,IF(01_因子設定!$B$20="Box-Behnken",Y16,U16*IF($A16&gt;16,01_因子設定!$B$22,1)))</f>
        <v>1</v>
      </c>
      <c r="H16" s="28" t="n">
        <f aca="false">IF($C16=1,01_因子設定!$G$5+D16*01_因子設定!$H$5,"")</f>
        <v>75</v>
      </c>
      <c r="I16" s="28" t="n">
        <f aca="false">IF($C16=1,01_因子設定!$G$6+E16*01_因子設定!$H$6,"")</f>
        <v>40</v>
      </c>
      <c r="J16" s="28" t="n">
        <f aca="false">IF($C16=1,01_因子設定!$G$7+F16*01_因子設定!$H$7,"")</f>
        <v>1</v>
      </c>
      <c r="K16" s="28" t="n">
        <f aca="false">IF($C16=1,01_因子設定!$G$8+G16*01_因子設定!$H$8,"")</f>
        <v>60</v>
      </c>
      <c r="L16" s="11" t="str">
        <f aca="false">IF(C16=0,"",IF(AND(OR(01_因子設定!$I$5="",H16&gt;=01_因子設定!$I$5),OR(01_因子設定!$J$5="",H16&lt;=01_因子設定!$J$5),OR(01_因子設定!$I$6="",I16&gt;=01_因子設定!$I$6),OR(01_因子設定!$J$6="",I16&lt;=01_因子設定!$J$6),OR(01_因子設定!$I$7="",J16&gt;=01_因子設定!$I$7),OR(01_因子設定!$J$7="",J16&lt;=01_因子設定!$J$7),OR(01_因子設定!$I$8="",K16&gt;=01_因子設定!$I$8),OR(01_因子設定!$J$8="",K16&lt;=01_因子設定!$J$8)),"OK","安全限界超過"))</f>
        <v>OK</v>
      </c>
      <c r="M16" s="29" t="n">
        <v>0.262412</v>
      </c>
      <c r="N16" s="30" t="n">
        <f aca="false">IF(C16=0,99,IF(AND(01_因子設定!$B$24="変更困難因子でグループ化",01_因子設定!$B$25&gt;0),VLOOKUP(ROUND(INDEX(D16:G16,01_因子設定!$B$25),6),$AA$5:$AB$9,2,FALSE())+M16*0.9,M16))</f>
        <v>0.262412</v>
      </c>
      <c r="O16" s="31" t="n">
        <f aca="false">IF(C16=1,SUMPRODUCT(($C$5:$C$38=1)*($N$5:$N$38&lt;N16))+1,"")</f>
        <v>14</v>
      </c>
      <c r="P16" s="28" t="n">
        <f aca="false">IF(C16=1,INDEX(03_実験結果!$I$5:$I$38,O16),0)</f>
        <v>46.4</v>
      </c>
      <c r="R16" s="32" t="n">
        <v>1</v>
      </c>
      <c r="S16" s="32" t="n">
        <v>1</v>
      </c>
      <c r="T16" s="32" t="n">
        <v>-1</v>
      </c>
      <c r="U16" s="32" t="n">
        <v>1</v>
      </c>
      <c r="V16" s="32" t="n">
        <v>1</v>
      </c>
      <c r="W16" s="32" t="n">
        <v>0</v>
      </c>
      <c r="X16" s="32" t="n">
        <v>0</v>
      </c>
      <c r="Y16" s="32" t="n">
        <v>1</v>
      </c>
    </row>
    <row r="17" customFormat="false" ht="15" hidden="false" customHeight="false" outlineLevel="0" collapsed="false">
      <c r="A17" s="11" t="n">
        <v>13</v>
      </c>
      <c r="B17" s="11" t="str">
        <f aca="false">IF(A17&gt;01_因子設定!$B$23,"未使用",IF(A17&gt;01_因子設定!$B$26,"中心点",IF(01_因子設定!$B$20="Box-Behnken","BBD点",IF(A17&lt;=16,"要因点","軸点"))))</f>
        <v>要因点</v>
      </c>
      <c r="C17" s="11" t="n">
        <f aca="false">IF(A17&lt;=01_因子設定!$B$23,1,0)</f>
        <v>1</v>
      </c>
      <c r="D17" s="27" t="n">
        <f aca="false">IF($C17=0,0,IF(01_因子設定!$B$20="Box-Behnken",V17,R17*IF($A17&gt;16,01_因子設定!$B$22,1)))</f>
        <v>-1</v>
      </c>
      <c r="E17" s="27" t="n">
        <f aca="false">IF($C17=0,0,IF(01_因子設定!$B$20="Box-Behnken",W17,S17*IF($A17&gt;16,01_因子設定!$B$22,1)))</f>
        <v>-1</v>
      </c>
      <c r="F17" s="27" t="n">
        <f aca="false">IF($C17=0,0,IF(01_因子設定!$B$20="Box-Behnken",X17,T17*IF($A17&gt;16,01_因子設定!$B$22,1)))</f>
        <v>1</v>
      </c>
      <c r="G17" s="27" t="n">
        <f aca="false">IF($C17=0,0,IF(01_因子設定!$B$20="Box-Behnken",Y17,U17*IF($A17&gt;16,01_因子設定!$B$22,1)))</f>
        <v>1</v>
      </c>
      <c r="H17" s="28" t="n">
        <f aca="false">IF($C17=1,01_因子設定!$G$5+D17*01_因子設定!$H$5,"")</f>
        <v>55</v>
      </c>
      <c r="I17" s="28" t="n">
        <f aca="false">IF($C17=1,01_因子設定!$G$6+E17*01_因子設定!$H$6,"")</f>
        <v>20</v>
      </c>
      <c r="J17" s="28" t="n">
        <f aca="false">IF($C17=1,01_因子設定!$G$7+F17*01_因子設定!$H$7,"")</f>
        <v>3</v>
      </c>
      <c r="K17" s="28" t="n">
        <f aca="false">IF($C17=1,01_因子設定!$G$8+G17*01_因子設定!$H$8,"")</f>
        <v>60</v>
      </c>
      <c r="L17" s="11" t="str">
        <f aca="false">IF(C17=0,"",IF(AND(OR(01_因子設定!$I$5="",H17&gt;=01_因子設定!$I$5),OR(01_因子設定!$J$5="",H17&lt;=01_因子設定!$J$5),OR(01_因子設定!$I$6="",I17&gt;=01_因子設定!$I$6),OR(01_因子設定!$J$6="",I17&lt;=01_因子設定!$J$6),OR(01_因子設定!$I$7="",J17&gt;=01_因子設定!$I$7),OR(01_因子設定!$J$7="",J17&lt;=01_因子設定!$J$7),OR(01_因子設定!$I$8="",K17&gt;=01_因子設定!$I$8),OR(01_因子設定!$J$8="",K17&lt;=01_因子設定!$J$8)),"OK","安全限界超過"))</f>
        <v>OK</v>
      </c>
      <c r="M17" s="29" t="n">
        <v>0.180005</v>
      </c>
      <c r="N17" s="30" t="n">
        <f aca="false">IF(C17=0,99,IF(AND(01_因子設定!$B$24="変更困難因子でグループ化",01_因子設定!$B$25&gt;0),VLOOKUP(ROUND(INDEX(D17:G17,01_因子設定!$B$25),6),$AA$5:$AB$9,2,FALSE())+M17*0.9,M17))</f>
        <v>0.180005</v>
      </c>
      <c r="O17" s="31" t="n">
        <f aca="false">IF(C17=1,SUMPRODUCT(($C$5:$C$38=1)*($N$5:$N$38&lt;N17))+1,"")</f>
        <v>9</v>
      </c>
      <c r="P17" s="28" t="n">
        <f aca="false">IF(C17=1,INDEX(03_実験結果!$I$5:$I$38,O17),0)</f>
        <v>40.7</v>
      </c>
      <c r="R17" s="32" t="n">
        <v>-1</v>
      </c>
      <c r="S17" s="32" t="n">
        <v>-1</v>
      </c>
      <c r="T17" s="32" t="n">
        <v>1</v>
      </c>
      <c r="U17" s="32" t="n">
        <v>1</v>
      </c>
      <c r="V17" s="32" t="n">
        <v>0</v>
      </c>
      <c r="W17" s="32" t="n">
        <v>-1</v>
      </c>
      <c r="X17" s="32" t="n">
        <v>-1</v>
      </c>
      <c r="Y17" s="32" t="n">
        <v>0</v>
      </c>
    </row>
    <row r="18" customFormat="false" ht="15" hidden="false" customHeight="false" outlineLevel="0" collapsed="false">
      <c r="A18" s="11" t="n">
        <v>14</v>
      </c>
      <c r="B18" s="11" t="str">
        <f aca="false">IF(A18&gt;01_因子設定!$B$23,"未使用",IF(A18&gt;01_因子設定!$B$26,"中心点",IF(01_因子設定!$B$20="Box-Behnken","BBD点",IF(A18&lt;=16,"要因点","軸点"))))</f>
        <v>要因点</v>
      </c>
      <c r="C18" s="11" t="n">
        <f aca="false">IF(A18&lt;=01_因子設定!$B$23,1,0)</f>
        <v>1</v>
      </c>
      <c r="D18" s="27" t="n">
        <f aca="false">IF($C18=0,0,IF(01_因子設定!$B$20="Box-Behnken",V18,R18*IF($A18&gt;16,01_因子設定!$B$22,1)))</f>
        <v>1</v>
      </c>
      <c r="E18" s="27" t="n">
        <f aca="false">IF($C18=0,0,IF(01_因子設定!$B$20="Box-Behnken",W18,S18*IF($A18&gt;16,01_因子設定!$B$22,1)))</f>
        <v>-1</v>
      </c>
      <c r="F18" s="27" t="n">
        <f aca="false">IF($C18=0,0,IF(01_因子設定!$B$20="Box-Behnken",X18,T18*IF($A18&gt;16,01_因子設定!$B$22,1)))</f>
        <v>1</v>
      </c>
      <c r="G18" s="27" t="n">
        <f aca="false">IF($C18=0,0,IF(01_因子設定!$B$20="Box-Behnken",Y18,U18*IF($A18&gt;16,01_因子設定!$B$22,1)))</f>
        <v>1</v>
      </c>
      <c r="H18" s="28" t="n">
        <f aca="false">IF($C18=1,01_因子設定!$G$5+D18*01_因子設定!$H$5,"")</f>
        <v>75</v>
      </c>
      <c r="I18" s="28" t="n">
        <f aca="false">IF($C18=1,01_因子設定!$G$6+E18*01_因子設定!$H$6,"")</f>
        <v>20</v>
      </c>
      <c r="J18" s="28" t="n">
        <f aca="false">IF($C18=1,01_因子設定!$G$7+F18*01_因子設定!$H$7,"")</f>
        <v>3</v>
      </c>
      <c r="K18" s="28" t="n">
        <f aca="false">IF($C18=1,01_因子設定!$G$8+G18*01_因子設定!$H$8,"")</f>
        <v>60</v>
      </c>
      <c r="L18" s="11" t="str">
        <f aca="false">IF(C18=0,"",IF(AND(OR(01_因子設定!$I$5="",H18&gt;=01_因子設定!$I$5),OR(01_因子設定!$J$5="",H18&lt;=01_因子設定!$J$5),OR(01_因子設定!$I$6="",I18&gt;=01_因子設定!$I$6),OR(01_因子設定!$J$6="",I18&lt;=01_因子設定!$J$6),OR(01_因子設定!$I$7="",J18&gt;=01_因子設定!$I$7),OR(01_因子設定!$J$7="",J18&lt;=01_因子設定!$J$7),OR(01_因子設定!$I$8="",K18&gt;=01_因子設定!$I$8),OR(01_因子設定!$J$8="",K18&lt;=01_因子設定!$J$8)),"OK","安全限界超過"))</f>
        <v>OK</v>
      </c>
      <c r="M18" s="29" t="n">
        <v>0.24259</v>
      </c>
      <c r="N18" s="30" t="n">
        <f aca="false">IF(C18=0,99,IF(AND(01_因子設定!$B$24="変更困難因子でグループ化",01_因子設定!$B$25&gt;0),VLOOKUP(ROUND(INDEX(D18:G18,01_因子設定!$B$25),6),$AA$5:$AB$9,2,FALSE())+M18*0.9,M18))</f>
        <v>0.24259</v>
      </c>
      <c r="O18" s="31" t="n">
        <f aca="false">IF(C18=1,SUMPRODUCT(($C$5:$C$38=1)*($N$5:$N$38&lt;N18))+1,"")</f>
        <v>13</v>
      </c>
      <c r="P18" s="28" t="n">
        <f aca="false">IF(C18=1,INDEX(03_実験結果!$I$5:$I$38,O18),0)</f>
        <v>41.3</v>
      </c>
      <c r="R18" s="32" t="n">
        <v>1</v>
      </c>
      <c r="S18" s="32" t="n">
        <v>-1</v>
      </c>
      <c r="T18" s="32" t="n">
        <v>1</v>
      </c>
      <c r="U18" s="32" t="n">
        <v>1</v>
      </c>
      <c r="V18" s="32" t="n">
        <v>0</v>
      </c>
      <c r="W18" s="32" t="n">
        <v>1</v>
      </c>
      <c r="X18" s="32" t="n">
        <v>-1</v>
      </c>
      <c r="Y18" s="32" t="n">
        <v>0</v>
      </c>
    </row>
    <row r="19" customFormat="false" ht="15" hidden="false" customHeight="false" outlineLevel="0" collapsed="false">
      <c r="A19" s="11" t="n">
        <v>15</v>
      </c>
      <c r="B19" s="11" t="str">
        <f aca="false">IF(A19&gt;01_因子設定!$B$23,"未使用",IF(A19&gt;01_因子設定!$B$26,"中心点",IF(01_因子設定!$B$20="Box-Behnken","BBD点",IF(A19&lt;=16,"要因点","軸点"))))</f>
        <v>要因点</v>
      </c>
      <c r="C19" s="11" t="n">
        <f aca="false">IF(A19&lt;=01_因子設定!$B$23,1,0)</f>
        <v>1</v>
      </c>
      <c r="D19" s="27" t="n">
        <f aca="false">IF($C19=0,0,IF(01_因子設定!$B$20="Box-Behnken",V19,R19*IF($A19&gt;16,01_因子設定!$B$22,1)))</f>
        <v>-1</v>
      </c>
      <c r="E19" s="27" t="n">
        <f aca="false">IF($C19=0,0,IF(01_因子設定!$B$20="Box-Behnken",W19,S19*IF($A19&gt;16,01_因子設定!$B$22,1)))</f>
        <v>1</v>
      </c>
      <c r="F19" s="27" t="n">
        <f aca="false">IF($C19=0,0,IF(01_因子設定!$B$20="Box-Behnken",X19,T19*IF($A19&gt;16,01_因子設定!$B$22,1)))</f>
        <v>1</v>
      </c>
      <c r="G19" s="27" t="n">
        <f aca="false">IF($C19=0,0,IF(01_因子設定!$B$20="Box-Behnken",Y19,U19*IF($A19&gt;16,01_因子設定!$B$22,1)))</f>
        <v>1</v>
      </c>
      <c r="H19" s="28" t="n">
        <f aca="false">IF($C19=1,01_因子設定!$G$5+D19*01_因子設定!$H$5,"")</f>
        <v>55</v>
      </c>
      <c r="I19" s="28" t="n">
        <f aca="false">IF($C19=1,01_因子設定!$G$6+E19*01_因子設定!$H$6,"")</f>
        <v>40</v>
      </c>
      <c r="J19" s="28" t="n">
        <f aca="false">IF($C19=1,01_因子設定!$G$7+F19*01_因子設定!$H$7,"")</f>
        <v>3</v>
      </c>
      <c r="K19" s="28" t="n">
        <f aca="false">IF($C19=1,01_因子設定!$G$8+G19*01_因子設定!$H$8,"")</f>
        <v>60</v>
      </c>
      <c r="L19" s="11" t="str">
        <f aca="false">IF(C19=0,"",IF(AND(OR(01_因子設定!$I$5="",H19&gt;=01_因子設定!$I$5),OR(01_因子設定!$J$5="",H19&lt;=01_因子設定!$J$5),OR(01_因子設定!$I$6="",I19&gt;=01_因子設定!$I$6),OR(01_因子設定!$J$6="",I19&lt;=01_因子設定!$J$6),OR(01_因子設定!$I$7="",J19&gt;=01_因子設定!$I$7),OR(01_因子設定!$J$7="",J19&lt;=01_因子設定!$J$7),OR(01_因子設定!$I$8="",K19&gt;=01_因子設定!$I$8),OR(01_因子設定!$J$8="",K19&lt;=01_因子設定!$J$8)),"OK","安全限界超過"))</f>
        <v>OK</v>
      </c>
      <c r="M19" s="29" t="n">
        <v>0.854317</v>
      </c>
      <c r="N19" s="30" t="n">
        <f aca="false">IF(C19=0,99,IF(AND(01_因子設定!$B$24="変更困難因子でグループ化",01_因子設定!$B$25&gt;0),VLOOKUP(ROUND(INDEX(D19:G19,01_因子設定!$B$25),6),$AA$5:$AB$9,2,FALSE())+M19*0.9,M19))</f>
        <v>0.854317</v>
      </c>
      <c r="O19" s="31" t="n">
        <f aca="false">IF(C19=1,SUMPRODUCT(($C$5:$C$38=1)*($N$5:$N$38&lt;N19))+1,"")</f>
        <v>26</v>
      </c>
      <c r="P19" s="28" t="n">
        <f aca="false">IF(C19=1,INDEX(03_実験結果!$I$5:$I$38,O19),0)</f>
        <v>43.1</v>
      </c>
      <c r="R19" s="32" t="n">
        <v>-1</v>
      </c>
      <c r="S19" s="32" t="n">
        <v>1</v>
      </c>
      <c r="T19" s="32" t="n">
        <v>1</v>
      </c>
      <c r="U19" s="32" t="n">
        <v>1</v>
      </c>
      <c r="V19" s="32" t="n">
        <v>0</v>
      </c>
      <c r="W19" s="32" t="n">
        <v>-1</v>
      </c>
      <c r="X19" s="32" t="n">
        <v>1</v>
      </c>
      <c r="Y19" s="32" t="n">
        <v>0</v>
      </c>
    </row>
    <row r="20" customFormat="false" ht="15" hidden="false" customHeight="false" outlineLevel="0" collapsed="false">
      <c r="A20" s="11" t="n">
        <v>16</v>
      </c>
      <c r="B20" s="11" t="str">
        <f aca="false">IF(A20&gt;01_因子設定!$B$23,"未使用",IF(A20&gt;01_因子設定!$B$26,"中心点",IF(01_因子設定!$B$20="Box-Behnken","BBD点",IF(A20&lt;=16,"要因点","軸点"))))</f>
        <v>要因点</v>
      </c>
      <c r="C20" s="11" t="n">
        <f aca="false">IF(A20&lt;=01_因子設定!$B$23,1,0)</f>
        <v>1</v>
      </c>
      <c r="D20" s="27" t="n">
        <f aca="false">IF($C20=0,0,IF(01_因子設定!$B$20="Box-Behnken",V20,R20*IF($A20&gt;16,01_因子設定!$B$22,1)))</f>
        <v>1</v>
      </c>
      <c r="E20" s="27" t="n">
        <f aca="false">IF($C20=0,0,IF(01_因子設定!$B$20="Box-Behnken",W20,S20*IF($A20&gt;16,01_因子設定!$B$22,1)))</f>
        <v>1</v>
      </c>
      <c r="F20" s="27" t="n">
        <f aca="false">IF($C20=0,0,IF(01_因子設定!$B$20="Box-Behnken",X20,T20*IF($A20&gt;16,01_因子設定!$B$22,1)))</f>
        <v>1</v>
      </c>
      <c r="G20" s="27" t="n">
        <f aca="false">IF($C20=0,0,IF(01_因子設定!$B$20="Box-Behnken",Y20,U20*IF($A20&gt;16,01_因子設定!$B$22,1)))</f>
        <v>1</v>
      </c>
      <c r="H20" s="28" t="n">
        <f aca="false">IF($C20=1,01_因子設定!$G$5+D20*01_因子設定!$H$5,"")</f>
        <v>75</v>
      </c>
      <c r="I20" s="28" t="n">
        <f aca="false">IF($C20=1,01_因子設定!$G$6+E20*01_因子設定!$H$6,"")</f>
        <v>40</v>
      </c>
      <c r="J20" s="28" t="n">
        <f aca="false">IF($C20=1,01_因子設定!$G$7+F20*01_因子設定!$H$7,"")</f>
        <v>3</v>
      </c>
      <c r="K20" s="28" t="n">
        <f aca="false">IF($C20=1,01_因子設定!$G$8+G20*01_因子設定!$H$8,"")</f>
        <v>60</v>
      </c>
      <c r="L20" s="11" t="str">
        <f aca="false">IF(C20=0,"",IF(AND(OR(01_因子設定!$I$5="",H20&gt;=01_因子設定!$I$5),OR(01_因子設定!$J$5="",H20&lt;=01_因子設定!$J$5),OR(01_因子設定!$I$6="",I20&gt;=01_因子設定!$I$6),OR(01_因子設定!$J$6="",I20&lt;=01_因子設定!$J$6),OR(01_因子設定!$I$7="",J20&gt;=01_因子設定!$I$7),OR(01_因子設定!$J$7="",J20&lt;=01_因子設定!$J$7),OR(01_因子設定!$I$8="",K20&gt;=01_因子設定!$I$8),OR(01_因子設定!$J$8="",K20&lt;=01_因子設定!$J$8)),"OK","安全限界超過"))</f>
        <v>OK</v>
      </c>
      <c r="M20" s="29" t="n">
        <v>0.962463</v>
      </c>
      <c r="N20" s="30" t="n">
        <f aca="false">IF(C20=0,99,IF(AND(01_因子設定!$B$24="変更困難因子でグループ化",01_因子設定!$B$25&gt;0),VLOOKUP(ROUND(INDEX(D20:G20,01_因子設定!$B$25),6),$AA$5:$AB$9,2,FALSE())+M20*0.9,M20))</f>
        <v>0.962463</v>
      </c>
      <c r="O20" s="31" t="n">
        <f aca="false">IF(C20=1,SUMPRODUCT(($C$5:$C$38=1)*($N$5:$N$38&lt;N20))+1,"")</f>
        <v>30</v>
      </c>
      <c r="P20" s="28" t="n">
        <f aca="false">IF(C20=1,INDEX(03_実験結果!$I$5:$I$38,O20),0)</f>
        <v>47.9</v>
      </c>
      <c r="R20" s="32" t="n">
        <v>1</v>
      </c>
      <c r="S20" s="32" t="n">
        <v>1</v>
      </c>
      <c r="T20" s="32" t="n">
        <v>1</v>
      </c>
      <c r="U20" s="32" t="n">
        <v>1</v>
      </c>
      <c r="V20" s="32" t="n">
        <v>0</v>
      </c>
      <c r="W20" s="32" t="n">
        <v>1</v>
      </c>
      <c r="X20" s="32" t="n">
        <v>1</v>
      </c>
      <c r="Y20" s="32" t="n">
        <v>0</v>
      </c>
    </row>
    <row r="21" customFormat="false" ht="15" hidden="false" customHeight="false" outlineLevel="0" collapsed="false">
      <c r="A21" s="11" t="n">
        <v>17</v>
      </c>
      <c r="B21" s="11" t="str">
        <f aca="false">IF(A21&gt;01_因子設定!$B$23,"未使用",IF(A21&gt;01_因子設定!$B$26,"中心点",IF(01_因子設定!$B$20="Box-Behnken","BBD点",IF(A21&lt;=16,"要因点","軸点"))))</f>
        <v>軸点</v>
      </c>
      <c r="C21" s="11" t="n">
        <f aca="false">IF(A21&lt;=01_因子設定!$B$23,1,0)</f>
        <v>1</v>
      </c>
      <c r="D21" s="27" t="n">
        <f aca="false">IF($C21=0,0,IF(01_因子設定!$B$20="Box-Behnken",V21,R21*IF($A21&gt;16,01_因子設定!$B$22,1)))</f>
        <v>-1</v>
      </c>
      <c r="E21" s="27" t="n">
        <f aca="false">IF($C21=0,0,IF(01_因子設定!$B$20="Box-Behnken",W21,S21*IF($A21&gt;16,01_因子設定!$B$22,1)))</f>
        <v>0</v>
      </c>
      <c r="F21" s="27" t="n">
        <f aca="false">IF($C21=0,0,IF(01_因子設定!$B$20="Box-Behnken",X21,T21*IF($A21&gt;16,01_因子設定!$B$22,1)))</f>
        <v>0</v>
      </c>
      <c r="G21" s="27" t="n">
        <f aca="false">IF($C21=0,0,IF(01_因子設定!$B$20="Box-Behnken",Y21,U21*IF($A21&gt;16,01_因子設定!$B$22,1)))</f>
        <v>0</v>
      </c>
      <c r="H21" s="28" t="n">
        <f aca="false">IF($C21=1,01_因子設定!$G$5+D21*01_因子設定!$H$5,"")</f>
        <v>55</v>
      </c>
      <c r="I21" s="28" t="n">
        <f aca="false">IF($C21=1,01_因子設定!$G$6+E21*01_因子設定!$H$6,"")</f>
        <v>30</v>
      </c>
      <c r="J21" s="28" t="n">
        <f aca="false">IF($C21=1,01_因子設定!$G$7+F21*01_因子設定!$H$7,"")</f>
        <v>2</v>
      </c>
      <c r="K21" s="28" t="n">
        <f aca="false">IF($C21=1,01_因子設定!$G$8+G21*01_因子設定!$H$8,"")</f>
        <v>40</v>
      </c>
      <c r="L21" s="11" t="str">
        <f aca="false">IF(C21=0,"",IF(AND(OR(01_因子設定!$I$5="",H21&gt;=01_因子設定!$I$5),OR(01_因子設定!$J$5="",H21&lt;=01_因子設定!$J$5),OR(01_因子設定!$I$6="",I21&gt;=01_因子設定!$I$6),OR(01_因子設定!$J$6="",I21&lt;=01_因子設定!$J$6),OR(01_因子設定!$I$7="",J21&gt;=01_因子設定!$I$7),OR(01_因子設定!$J$7="",J21&lt;=01_因子設定!$J$7),OR(01_因子設定!$I$8="",K21&gt;=01_因子設定!$I$8),OR(01_因子設定!$J$8="",K21&lt;=01_因子設定!$J$8)),"OK","安全限界超過"))</f>
        <v>OK</v>
      </c>
      <c r="M21" s="29" t="n">
        <v>0.182583</v>
      </c>
      <c r="N21" s="30" t="n">
        <f aca="false">IF(C21=0,99,IF(AND(01_因子設定!$B$24="変更困難因子でグループ化",01_因子設定!$B$25&gt;0),VLOOKUP(ROUND(INDEX(D21:G21,01_因子設定!$B$25),6),$AA$5:$AB$9,2,FALSE())+M21*0.9,M21))</f>
        <v>0.182583</v>
      </c>
      <c r="O21" s="31" t="n">
        <f aca="false">IF(C21=1,SUMPRODUCT(($C$5:$C$38=1)*($N$5:$N$38&lt;N21))+1,"")</f>
        <v>10</v>
      </c>
      <c r="P21" s="28" t="n">
        <f aca="false">IF(C21=1,INDEX(03_実験結果!$I$5:$I$38,O21),0)</f>
        <v>43.6</v>
      </c>
      <c r="R21" s="32" t="n">
        <v>-1</v>
      </c>
      <c r="S21" s="32" t="n">
        <v>0</v>
      </c>
      <c r="T21" s="32" t="n">
        <v>0</v>
      </c>
      <c r="U21" s="32" t="n">
        <v>0</v>
      </c>
      <c r="V21" s="32" t="n">
        <v>0</v>
      </c>
      <c r="W21" s="32" t="n">
        <v>-1</v>
      </c>
      <c r="X21" s="32" t="n">
        <v>0</v>
      </c>
      <c r="Y21" s="32" t="n">
        <v>-1</v>
      </c>
    </row>
    <row r="22" customFormat="false" ht="15" hidden="false" customHeight="false" outlineLevel="0" collapsed="false">
      <c r="A22" s="11" t="n">
        <v>18</v>
      </c>
      <c r="B22" s="11" t="str">
        <f aca="false">IF(A22&gt;01_因子設定!$B$23,"未使用",IF(A22&gt;01_因子設定!$B$26,"中心点",IF(01_因子設定!$B$20="Box-Behnken","BBD点",IF(A22&lt;=16,"要因点","軸点"))))</f>
        <v>軸点</v>
      </c>
      <c r="C22" s="11" t="n">
        <f aca="false">IF(A22&lt;=01_因子設定!$B$23,1,0)</f>
        <v>1</v>
      </c>
      <c r="D22" s="27" t="n">
        <f aca="false">IF($C22=0,0,IF(01_因子設定!$B$20="Box-Behnken",V22,R22*IF($A22&gt;16,01_因子設定!$B$22,1)))</f>
        <v>1</v>
      </c>
      <c r="E22" s="27" t="n">
        <f aca="false">IF($C22=0,0,IF(01_因子設定!$B$20="Box-Behnken",W22,S22*IF($A22&gt;16,01_因子設定!$B$22,1)))</f>
        <v>0</v>
      </c>
      <c r="F22" s="27" t="n">
        <f aca="false">IF($C22=0,0,IF(01_因子設定!$B$20="Box-Behnken",X22,T22*IF($A22&gt;16,01_因子設定!$B$22,1)))</f>
        <v>0</v>
      </c>
      <c r="G22" s="27" t="n">
        <f aca="false">IF($C22=0,0,IF(01_因子設定!$B$20="Box-Behnken",Y22,U22*IF($A22&gt;16,01_因子設定!$B$22,1)))</f>
        <v>0</v>
      </c>
      <c r="H22" s="28" t="n">
        <f aca="false">IF($C22=1,01_因子設定!$G$5+D22*01_因子設定!$H$5,"")</f>
        <v>75</v>
      </c>
      <c r="I22" s="28" t="n">
        <f aca="false">IF($C22=1,01_因子設定!$G$6+E22*01_因子設定!$H$6,"")</f>
        <v>30</v>
      </c>
      <c r="J22" s="28" t="n">
        <f aca="false">IF($C22=1,01_因子設定!$G$7+F22*01_因子設定!$H$7,"")</f>
        <v>2</v>
      </c>
      <c r="K22" s="28" t="n">
        <f aca="false">IF($C22=1,01_因子設定!$G$8+G22*01_因子設定!$H$8,"")</f>
        <v>40</v>
      </c>
      <c r="L22" s="11" t="str">
        <f aca="false">IF(C22=0,"",IF(AND(OR(01_因子設定!$I$5="",H22&gt;=01_因子設定!$I$5),OR(01_因子設定!$J$5="",H22&lt;=01_因子設定!$J$5),OR(01_因子設定!$I$6="",I22&gt;=01_因子設定!$I$6),OR(01_因子設定!$J$6="",I22&lt;=01_因子設定!$J$6),OR(01_因子設定!$I$7="",J22&gt;=01_因子設定!$I$7),OR(01_因子設定!$J$7="",J22&lt;=01_因子設定!$J$7),OR(01_因子設定!$I$8="",K22&gt;=01_因子設定!$I$8),OR(01_因子設定!$J$8="",K22&lt;=01_因子設定!$J$8)),"OK","安全限界超過"))</f>
        <v>OK</v>
      </c>
      <c r="M22" s="29" t="n">
        <v>0.18503</v>
      </c>
      <c r="N22" s="30" t="n">
        <f aca="false">IF(C22=0,99,IF(AND(01_因子設定!$B$24="変更困難因子でグループ化",01_因子設定!$B$25&gt;0),VLOOKUP(ROUND(INDEX(D22:G22,01_因子設定!$B$25),6),$AA$5:$AB$9,2,FALSE())+M22*0.9,M22))</f>
        <v>0.18503</v>
      </c>
      <c r="O22" s="31" t="n">
        <f aca="false">IF(C22=1,SUMPRODUCT(($C$5:$C$38=1)*($N$5:$N$38&lt;N22))+1,"")</f>
        <v>11</v>
      </c>
      <c r="P22" s="28" t="n">
        <f aca="false">IF(C22=1,INDEX(03_実験結果!$I$5:$I$38,O22),0)</f>
        <v>47.7</v>
      </c>
      <c r="R22" s="32" t="n">
        <v>1</v>
      </c>
      <c r="S22" s="32" t="n">
        <v>0</v>
      </c>
      <c r="T22" s="32" t="n">
        <v>0</v>
      </c>
      <c r="U22" s="32" t="n">
        <v>0</v>
      </c>
      <c r="V22" s="32" t="n">
        <v>0</v>
      </c>
      <c r="W22" s="32" t="n">
        <v>1</v>
      </c>
      <c r="X22" s="32" t="n">
        <v>0</v>
      </c>
      <c r="Y22" s="32" t="n">
        <v>-1</v>
      </c>
    </row>
    <row r="23" customFormat="false" ht="15" hidden="false" customHeight="false" outlineLevel="0" collapsed="false">
      <c r="A23" s="11" t="n">
        <v>19</v>
      </c>
      <c r="B23" s="11" t="str">
        <f aca="false">IF(A23&gt;01_因子設定!$B$23,"未使用",IF(A23&gt;01_因子設定!$B$26,"中心点",IF(01_因子設定!$B$20="Box-Behnken","BBD点",IF(A23&lt;=16,"要因点","軸点"))))</f>
        <v>軸点</v>
      </c>
      <c r="C23" s="11" t="n">
        <f aca="false">IF(A23&lt;=01_因子設定!$B$23,1,0)</f>
        <v>1</v>
      </c>
      <c r="D23" s="27" t="n">
        <f aca="false">IF($C23=0,0,IF(01_因子設定!$B$20="Box-Behnken",V23,R23*IF($A23&gt;16,01_因子設定!$B$22,1)))</f>
        <v>0</v>
      </c>
      <c r="E23" s="27" t="n">
        <f aca="false">IF($C23=0,0,IF(01_因子設定!$B$20="Box-Behnken",W23,S23*IF($A23&gt;16,01_因子設定!$B$22,1)))</f>
        <v>-1</v>
      </c>
      <c r="F23" s="27" t="n">
        <f aca="false">IF($C23=0,0,IF(01_因子設定!$B$20="Box-Behnken",X23,T23*IF($A23&gt;16,01_因子設定!$B$22,1)))</f>
        <v>0</v>
      </c>
      <c r="G23" s="27" t="n">
        <f aca="false">IF($C23=0,0,IF(01_因子設定!$B$20="Box-Behnken",Y23,U23*IF($A23&gt;16,01_因子設定!$B$22,1)))</f>
        <v>0</v>
      </c>
      <c r="H23" s="28" t="n">
        <f aca="false">IF($C23=1,01_因子設定!$G$5+D23*01_因子設定!$H$5,"")</f>
        <v>65</v>
      </c>
      <c r="I23" s="28" t="n">
        <f aca="false">IF($C23=1,01_因子設定!$G$6+E23*01_因子設定!$H$6,"")</f>
        <v>20</v>
      </c>
      <c r="J23" s="28" t="n">
        <f aca="false">IF($C23=1,01_因子設定!$G$7+F23*01_因子設定!$H$7,"")</f>
        <v>2</v>
      </c>
      <c r="K23" s="28" t="n">
        <f aca="false">IF($C23=1,01_因子設定!$G$8+G23*01_因子設定!$H$8,"")</f>
        <v>40</v>
      </c>
      <c r="L23" s="11" t="str">
        <f aca="false">IF(C23=0,"",IF(AND(OR(01_因子設定!$I$5="",H23&gt;=01_因子設定!$I$5),OR(01_因子設定!$J$5="",H23&lt;=01_因子設定!$J$5),OR(01_因子設定!$I$6="",I23&gt;=01_因子設定!$I$6),OR(01_因子設定!$J$6="",I23&lt;=01_因子設定!$J$6),OR(01_因子設定!$I$7="",J23&gt;=01_因子設定!$I$7),OR(01_因子設定!$J$7="",J23&lt;=01_因子設定!$J$7),OR(01_因子設定!$I$8="",K23&gt;=01_因子設定!$I$8),OR(01_因子設定!$J$8="",K23&lt;=01_因子設定!$J$8)),"OK","安全限界超過"))</f>
        <v>OK</v>
      </c>
      <c r="M23" s="29" t="n">
        <v>0.492097</v>
      </c>
      <c r="N23" s="30" t="n">
        <f aca="false">IF(C23=0,99,IF(AND(01_因子設定!$B$24="変更困難因子でグループ化",01_因子設定!$B$25&gt;0),VLOOKUP(ROUND(INDEX(D23:G23,01_因子設定!$B$25),6),$AA$5:$AB$9,2,FALSE())+M23*0.9,M23))</f>
        <v>0.492097</v>
      </c>
      <c r="O23" s="31" t="n">
        <f aca="false">IF(C23=1,SUMPRODUCT(($C$5:$C$38=1)*($N$5:$N$38&lt;N23))+1,"")</f>
        <v>19</v>
      </c>
      <c r="P23" s="28" t="n">
        <f aca="false">IF(C23=1,INDEX(03_実験結果!$I$5:$I$38,O23),0)</f>
        <v>43.9</v>
      </c>
      <c r="R23" s="32" t="n">
        <v>0</v>
      </c>
      <c r="S23" s="32" t="n">
        <v>-1</v>
      </c>
      <c r="T23" s="32" t="n">
        <v>0</v>
      </c>
      <c r="U23" s="32" t="n">
        <v>0</v>
      </c>
      <c r="V23" s="32" t="n">
        <v>0</v>
      </c>
      <c r="W23" s="32" t="n">
        <v>-1</v>
      </c>
      <c r="X23" s="32" t="n">
        <v>0</v>
      </c>
      <c r="Y23" s="32" t="n">
        <v>1</v>
      </c>
    </row>
    <row r="24" customFormat="false" ht="15" hidden="false" customHeight="false" outlineLevel="0" collapsed="false">
      <c r="A24" s="11" t="n">
        <v>20</v>
      </c>
      <c r="B24" s="11" t="str">
        <f aca="false">IF(A24&gt;01_因子設定!$B$23,"未使用",IF(A24&gt;01_因子設定!$B$26,"中心点",IF(01_因子設定!$B$20="Box-Behnken","BBD点",IF(A24&lt;=16,"要因点","軸点"))))</f>
        <v>軸点</v>
      </c>
      <c r="C24" s="11" t="n">
        <f aca="false">IF(A24&lt;=01_因子設定!$B$23,1,0)</f>
        <v>1</v>
      </c>
      <c r="D24" s="27" t="n">
        <f aca="false">IF($C24=0,0,IF(01_因子設定!$B$20="Box-Behnken",V24,R24*IF($A24&gt;16,01_因子設定!$B$22,1)))</f>
        <v>0</v>
      </c>
      <c r="E24" s="27" t="n">
        <f aca="false">IF($C24=0,0,IF(01_因子設定!$B$20="Box-Behnken",W24,S24*IF($A24&gt;16,01_因子設定!$B$22,1)))</f>
        <v>1</v>
      </c>
      <c r="F24" s="27" t="n">
        <f aca="false">IF($C24=0,0,IF(01_因子設定!$B$20="Box-Behnken",X24,T24*IF($A24&gt;16,01_因子設定!$B$22,1)))</f>
        <v>0</v>
      </c>
      <c r="G24" s="27" t="n">
        <f aca="false">IF($C24=0,0,IF(01_因子設定!$B$20="Box-Behnken",Y24,U24*IF($A24&gt;16,01_因子設定!$B$22,1)))</f>
        <v>0</v>
      </c>
      <c r="H24" s="28" t="n">
        <f aca="false">IF($C24=1,01_因子設定!$G$5+D24*01_因子設定!$H$5,"")</f>
        <v>65</v>
      </c>
      <c r="I24" s="28" t="n">
        <f aca="false">IF($C24=1,01_因子設定!$G$6+E24*01_因子設定!$H$6,"")</f>
        <v>40</v>
      </c>
      <c r="J24" s="28" t="n">
        <f aca="false">IF($C24=1,01_因子設定!$G$7+F24*01_因子設定!$H$7,"")</f>
        <v>2</v>
      </c>
      <c r="K24" s="28" t="n">
        <f aca="false">IF($C24=1,01_因子設定!$G$8+G24*01_因子設定!$H$8,"")</f>
        <v>40</v>
      </c>
      <c r="L24" s="11" t="str">
        <f aca="false">IF(C24=0,"",IF(AND(OR(01_因子設定!$I$5="",H24&gt;=01_因子設定!$I$5),OR(01_因子設定!$J$5="",H24&lt;=01_因子設定!$J$5),OR(01_因子設定!$I$6="",I24&gt;=01_因子設定!$I$6),OR(01_因子設定!$J$6="",I24&lt;=01_因子設定!$J$6),OR(01_因子設定!$I$7="",J24&gt;=01_因子設定!$I$7),OR(01_因子設定!$J$7="",J24&lt;=01_因子設定!$J$7),OR(01_因子設定!$I$8="",K24&gt;=01_因子設定!$I$8),OR(01_因子設定!$J$8="",K24&lt;=01_因子設定!$J$8)),"OK","安全限界超過"))</f>
        <v>OK</v>
      </c>
      <c r="M24" s="29" t="n">
        <v>0.709916</v>
      </c>
      <c r="N24" s="30" t="n">
        <f aca="false">IF(C24=0,99,IF(AND(01_因子設定!$B$24="変更困難因子でグループ化",01_因子設定!$B$25&gt;0),VLOOKUP(ROUND(INDEX(D24:G24,01_因子設定!$B$25),6),$AA$5:$AB$9,2,FALSE())+M24*0.9,M24))</f>
        <v>0.709916</v>
      </c>
      <c r="O24" s="31" t="n">
        <f aca="false">IF(C24=1,SUMPRODUCT(($C$5:$C$38=1)*($N$5:$N$38&lt;N24))+1,"")</f>
        <v>24</v>
      </c>
      <c r="P24" s="28" t="n">
        <f aca="false">IF(C24=1,INDEX(03_実験結果!$I$5:$I$38,O24),0)</f>
        <v>47.4</v>
      </c>
      <c r="R24" s="32" t="n">
        <v>0</v>
      </c>
      <c r="S24" s="32" t="n">
        <v>1</v>
      </c>
      <c r="T24" s="32" t="n">
        <v>0</v>
      </c>
      <c r="U24" s="32" t="n">
        <v>0</v>
      </c>
      <c r="V24" s="32" t="n">
        <v>0</v>
      </c>
      <c r="W24" s="32" t="n">
        <v>1</v>
      </c>
      <c r="X24" s="32" t="n">
        <v>0</v>
      </c>
      <c r="Y24" s="32" t="n">
        <v>1</v>
      </c>
    </row>
    <row r="25" customFormat="false" ht="15" hidden="false" customHeight="false" outlineLevel="0" collapsed="false">
      <c r="A25" s="11" t="n">
        <v>21</v>
      </c>
      <c r="B25" s="11" t="str">
        <f aca="false">IF(A25&gt;01_因子設定!$B$23,"未使用",IF(A25&gt;01_因子設定!$B$26,"中心点",IF(01_因子設定!$B$20="Box-Behnken","BBD点",IF(A25&lt;=16,"要因点","軸点"))))</f>
        <v>軸点</v>
      </c>
      <c r="C25" s="11" t="n">
        <f aca="false">IF(A25&lt;=01_因子設定!$B$23,1,0)</f>
        <v>1</v>
      </c>
      <c r="D25" s="27" t="n">
        <f aca="false">IF($C25=0,0,IF(01_因子設定!$B$20="Box-Behnken",V25,R25*IF($A25&gt;16,01_因子設定!$B$22,1)))</f>
        <v>0</v>
      </c>
      <c r="E25" s="27" t="n">
        <f aca="false">IF($C25=0,0,IF(01_因子設定!$B$20="Box-Behnken",W25,S25*IF($A25&gt;16,01_因子設定!$B$22,1)))</f>
        <v>0</v>
      </c>
      <c r="F25" s="27" t="n">
        <f aca="false">IF($C25=0,0,IF(01_因子設定!$B$20="Box-Behnken",X25,T25*IF($A25&gt;16,01_因子設定!$B$22,1)))</f>
        <v>-1</v>
      </c>
      <c r="G25" s="27" t="n">
        <f aca="false">IF($C25=0,0,IF(01_因子設定!$B$20="Box-Behnken",Y25,U25*IF($A25&gt;16,01_因子設定!$B$22,1)))</f>
        <v>0</v>
      </c>
      <c r="H25" s="28" t="n">
        <f aca="false">IF($C25=1,01_因子設定!$G$5+D25*01_因子設定!$H$5,"")</f>
        <v>65</v>
      </c>
      <c r="I25" s="28" t="n">
        <f aca="false">IF($C25=1,01_因子設定!$G$6+E25*01_因子設定!$H$6,"")</f>
        <v>30</v>
      </c>
      <c r="J25" s="28" t="n">
        <f aca="false">IF($C25=1,01_因子設定!$G$7+F25*01_因子設定!$H$7,"")</f>
        <v>1</v>
      </c>
      <c r="K25" s="28" t="n">
        <f aca="false">IF($C25=1,01_因子設定!$G$8+G25*01_因子設定!$H$8,"")</f>
        <v>40</v>
      </c>
      <c r="L25" s="11" t="str">
        <f aca="false">IF(C25=0,"",IF(AND(OR(01_因子設定!$I$5="",H25&gt;=01_因子設定!$I$5),OR(01_因子設定!$J$5="",H25&lt;=01_因子設定!$J$5),OR(01_因子設定!$I$6="",I25&gt;=01_因子設定!$I$6),OR(01_因子設定!$J$6="",I25&lt;=01_因子設定!$J$6),OR(01_因子設定!$I$7="",J25&gt;=01_因子設定!$I$7),OR(01_因子設定!$J$7="",J25&lt;=01_因子設定!$J$7),OR(01_因子設定!$I$8="",K25&gt;=01_因子設定!$I$8),OR(01_因子設定!$J$8="",K25&lt;=01_因子設定!$J$8)),"OK","安全限界超過"))</f>
        <v>OK</v>
      </c>
      <c r="M25" s="29" t="n">
        <v>0.549881</v>
      </c>
      <c r="N25" s="30" t="n">
        <f aca="false">IF(C25=0,99,IF(AND(01_因子設定!$B$24="変更困難因子でグループ化",01_因子設定!$B$25&gt;0),VLOOKUP(ROUND(INDEX(D25:G25,01_因子設定!$B$25),6),$AA$5:$AB$9,2,FALSE())+M25*0.9,M25))</f>
        <v>0.549881</v>
      </c>
      <c r="O25" s="31" t="n">
        <f aca="false">IF(C25=1,SUMPRODUCT(($C$5:$C$38=1)*($N$5:$N$38&lt;N25))+1,"")</f>
        <v>20</v>
      </c>
      <c r="P25" s="28" t="n">
        <f aca="false">IF(C25=1,INDEX(03_実験結果!$I$5:$I$38,O25),0)</f>
        <v>46.8</v>
      </c>
      <c r="R25" s="32" t="n">
        <v>0</v>
      </c>
      <c r="S25" s="32" t="n">
        <v>0</v>
      </c>
      <c r="T25" s="32" t="n">
        <v>-1</v>
      </c>
      <c r="U25" s="32" t="n">
        <v>0</v>
      </c>
      <c r="V25" s="32" t="n">
        <v>0</v>
      </c>
      <c r="W25" s="32" t="n">
        <v>0</v>
      </c>
      <c r="X25" s="32" t="n">
        <v>-1</v>
      </c>
      <c r="Y25" s="32" t="n">
        <v>-1</v>
      </c>
    </row>
    <row r="26" customFormat="false" ht="15" hidden="false" customHeight="false" outlineLevel="0" collapsed="false">
      <c r="A26" s="11" t="n">
        <v>22</v>
      </c>
      <c r="B26" s="11" t="str">
        <f aca="false">IF(A26&gt;01_因子設定!$B$23,"未使用",IF(A26&gt;01_因子設定!$B$26,"中心点",IF(01_因子設定!$B$20="Box-Behnken","BBD点",IF(A26&lt;=16,"要因点","軸点"))))</f>
        <v>軸点</v>
      </c>
      <c r="C26" s="11" t="n">
        <f aca="false">IF(A26&lt;=01_因子設定!$B$23,1,0)</f>
        <v>1</v>
      </c>
      <c r="D26" s="27" t="n">
        <f aca="false">IF($C26=0,0,IF(01_因子設定!$B$20="Box-Behnken",V26,R26*IF($A26&gt;16,01_因子設定!$B$22,1)))</f>
        <v>0</v>
      </c>
      <c r="E26" s="27" t="n">
        <f aca="false">IF($C26=0,0,IF(01_因子設定!$B$20="Box-Behnken",W26,S26*IF($A26&gt;16,01_因子設定!$B$22,1)))</f>
        <v>0</v>
      </c>
      <c r="F26" s="27" t="n">
        <f aca="false">IF($C26=0,0,IF(01_因子設定!$B$20="Box-Behnken",X26,T26*IF($A26&gt;16,01_因子設定!$B$22,1)))</f>
        <v>1</v>
      </c>
      <c r="G26" s="27" t="n">
        <f aca="false">IF($C26=0,0,IF(01_因子設定!$B$20="Box-Behnken",Y26,U26*IF($A26&gt;16,01_因子設定!$B$22,1)))</f>
        <v>0</v>
      </c>
      <c r="H26" s="28" t="n">
        <f aca="false">IF($C26=1,01_因子設定!$G$5+D26*01_因子設定!$H$5,"")</f>
        <v>65</v>
      </c>
      <c r="I26" s="28" t="n">
        <f aca="false">IF($C26=1,01_因子設定!$G$6+E26*01_因子設定!$H$6,"")</f>
        <v>30</v>
      </c>
      <c r="J26" s="28" t="n">
        <f aca="false">IF($C26=1,01_因子設定!$G$7+F26*01_因子設定!$H$7,"")</f>
        <v>3</v>
      </c>
      <c r="K26" s="28" t="n">
        <f aca="false">IF($C26=1,01_因子設定!$G$8+G26*01_因子設定!$H$8,"")</f>
        <v>40</v>
      </c>
      <c r="L26" s="11" t="str">
        <f aca="false">IF(C26=0,"",IF(AND(OR(01_因子設定!$I$5="",H26&gt;=01_因子設定!$I$5),OR(01_因子設定!$J$5="",H26&lt;=01_因子設定!$J$5),OR(01_因子設定!$I$6="",I26&gt;=01_因子設定!$I$6),OR(01_因子設定!$J$6="",I26&lt;=01_因子設定!$J$6),OR(01_因子設定!$I$7="",J26&gt;=01_因子設定!$I$7),OR(01_因子設定!$J$7="",J26&lt;=01_因子設定!$J$7),OR(01_因子設定!$I$8="",K26&gt;=01_因子設定!$I$8),OR(01_因子設定!$J$8="",K26&lt;=01_因子設定!$J$8)),"OK","安全限界超過"))</f>
        <v>OK</v>
      </c>
      <c r="M26" s="29" t="n">
        <v>0.177774</v>
      </c>
      <c r="N26" s="30" t="n">
        <f aca="false">IF(C26=0,99,IF(AND(01_因子設定!$B$24="変更困難因子でグループ化",01_因子設定!$B$25&gt;0),VLOOKUP(ROUND(INDEX(D26:G26,01_因子設定!$B$25),6),$AA$5:$AB$9,2,FALSE())+M26*0.9,M26))</f>
        <v>0.177774</v>
      </c>
      <c r="O26" s="31" t="n">
        <f aca="false">IF(C26=1,SUMPRODUCT(($C$5:$C$38=1)*($N$5:$N$38&lt;N26))+1,"")</f>
        <v>8</v>
      </c>
      <c r="P26" s="28" t="n">
        <f aca="false">IF(C26=1,INDEX(03_実験結果!$I$5:$I$38,O26),0)</f>
        <v>48.3</v>
      </c>
      <c r="R26" s="32" t="n">
        <v>0</v>
      </c>
      <c r="S26" s="32" t="n">
        <v>0</v>
      </c>
      <c r="T26" s="32" t="n">
        <v>1</v>
      </c>
      <c r="U26" s="32" t="n">
        <v>0</v>
      </c>
      <c r="V26" s="32" t="n">
        <v>0</v>
      </c>
      <c r="W26" s="32" t="n">
        <v>0</v>
      </c>
      <c r="X26" s="32" t="n">
        <v>1</v>
      </c>
      <c r="Y26" s="32" t="n">
        <v>-1</v>
      </c>
    </row>
    <row r="27" customFormat="false" ht="15" hidden="false" customHeight="false" outlineLevel="0" collapsed="false">
      <c r="A27" s="11" t="n">
        <v>23</v>
      </c>
      <c r="B27" s="11" t="str">
        <f aca="false">IF(A27&gt;01_因子設定!$B$23,"未使用",IF(A27&gt;01_因子設定!$B$26,"中心点",IF(01_因子設定!$B$20="Box-Behnken","BBD点",IF(A27&lt;=16,"要因点","軸点"))))</f>
        <v>軸点</v>
      </c>
      <c r="C27" s="11" t="n">
        <f aca="false">IF(A27&lt;=01_因子設定!$B$23,1,0)</f>
        <v>1</v>
      </c>
      <c r="D27" s="27" t="n">
        <f aca="false">IF($C27=0,0,IF(01_因子設定!$B$20="Box-Behnken",V27,R27*IF($A27&gt;16,01_因子設定!$B$22,1)))</f>
        <v>0</v>
      </c>
      <c r="E27" s="27" t="n">
        <f aca="false">IF($C27=0,0,IF(01_因子設定!$B$20="Box-Behnken",W27,S27*IF($A27&gt;16,01_因子設定!$B$22,1)))</f>
        <v>0</v>
      </c>
      <c r="F27" s="27" t="n">
        <f aca="false">IF($C27=0,0,IF(01_因子設定!$B$20="Box-Behnken",X27,T27*IF($A27&gt;16,01_因子設定!$B$22,1)))</f>
        <v>0</v>
      </c>
      <c r="G27" s="27" t="n">
        <f aca="false">IF($C27=0,0,IF(01_因子設定!$B$20="Box-Behnken",Y27,U27*IF($A27&gt;16,01_因子設定!$B$22,1)))</f>
        <v>-1</v>
      </c>
      <c r="H27" s="28" t="n">
        <f aca="false">IF($C27=1,01_因子設定!$G$5+D27*01_因子設定!$H$5,"")</f>
        <v>65</v>
      </c>
      <c r="I27" s="28" t="n">
        <f aca="false">IF($C27=1,01_因子設定!$G$6+E27*01_因子設定!$H$6,"")</f>
        <v>30</v>
      </c>
      <c r="J27" s="28" t="n">
        <f aca="false">IF($C27=1,01_因子設定!$G$7+F27*01_因子設定!$H$7,"")</f>
        <v>2</v>
      </c>
      <c r="K27" s="28" t="n">
        <f aca="false">IF($C27=1,01_因子設定!$G$8+G27*01_因子設定!$H$8,"")</f>
        <v>20</v>
      </c>
      <c r="L27" s="11" t="str">
        <f aca="false">IF(C27=0,"",IF(AND(OR(01_因子設定!$I$5="",H27&gt;=01_因子設定!$I$5),OR(01_因子設定!$J$5="",H27&lt;=01_因子設定!$J$5),OR(01_因子設定!$I$6="",I27&gt;=01_因子設定!$I$6),OR(01_因子設定!$J$6="",I27&lt;=01_因子設定!$J$6),OR(01_因子設定!$I$7="",J27&gt;=01_因子設定!$I$7),OR(01_因子設定!$J$7="",J27&lt;=01_因子設定!$J$7),OR(01_因子設定!$I$8="",K27&gt;=01_因子設定!$I$8),OR(01_因子設定!$J$8="",K27&lt;=01_因子設定!$J$8)),"OK","安全限界超過"))</f>
        <v>OK</v>
      </c>
      <c r="M27" s="29" t="n">
        <v>0.14476</v>
      </c>
      <c r="N27" s="30" t="n">
        <f aca="false">IF(C27=0,99,IF(AND(01_因子設定!$B$24="変更困難因子でグループ化",01_因子設定!$B$25&gt;0),VLOOKUP(ROUND(INDEX(D27:G27,01_因子設定!$B$25),6),$AA$5:$AB$9,2,FALSE())+M27*0.9,M27))</f>
        <v>0.14476</v>
      </c>
      <c r="O27" s="31" t="n">
        <f aca="false">IF(C27=1,SUMPRODUCT(($C$5:$C$38=1)*($N$5:$N$38&lt;N27))+1,"")</f>
        <v>7</v>
      </c>
      <c r="P27" s="28" t="n">
        <f aca="false">IF(C27=1,INDEX(03_実験結果!$I$5:$I$38,O27),0)</f>
        <v>46.7</v>
      </c>
      <c r="R27" s="32" t="n">
        <v>0</v>
      </c>
      <c r="S27" s="32" t="n">
        <v>0</v>
      </c>
      <c r="T27" s="32" t="n">
        <v>0</v>
      </c>
      <c r="U27" s="32" t="n">
        <v>-1</v>
      </c>
      <c r="V27" s="32" t="n">
        <v>0</v>
      </c>
      <c r="W27" s="32" t="n">
        <v>0</v>
      </c>
      <c r="X27" s="32" t="n">
        <v>-1</v>
      </c>
      <c r="Y27" s="32" t="n">
        <v>1</v>
      </c>
    </row>
    <row r="28" customFormat="false" ht="15" hidden="false" customHeight="false" outlineLevel="0" collapsed="false">
      <c r="A28" s="11" t="n">
        <v>24</v>
      </c>
      <c r="B28" s="11" t="str">
        <f aca="false">IF(A28&gt;01_因子設定!$B$23,"未使用",IF(A28&gt;01_因子設定!$B$26,"中心点",IF(01_因子設定!$B$20="Box-Behnken","BBD点",IF(A28&lt;=16,"要因点","軸点"))))</f>
        <v>軸点</v>
      </c>
      <c r="C28" s="11" t="n">
        <f aca="false">IF(A28&lt;=01_因子設定!$B$23,1,0)</f>
        <v>1</v>
      </c>
      <c r="D28" s="27" t="n">
        <f aca="false">IF($C28=0,0,IF(01_因子設定!$B$20="Box-Behnken",V28,R28*IF($A28&gt;16,01_因子設定!$B$22,1)))</f>
        <v>0</v>
      </c>
      <c r="E28" s="27" t="n">
        <f aca="false">IF($C28=0,0,IF(01_因子設定!$B$20="Box-Behnken",W28,S28*IF($A28&gt;16,01_因子設定!$B$22,1)))</f>
        <v>0</v>
      </c>
      <c r="F28" s="27" t="n">
        <f aca="false">IF($C28=0,0,IF(01_因子設定!$B$20="Box-Behnken",X28,T28*IF($A28&gt;16,01_因子設定!$B$22,1)))</f>
        <v>0</v>
      </c>
      <c r="G28" s="27" t="n">
        <f aca="false">IF($C28=0,0,IF(01_因子設定!$B$20="Box-Behnken",Y28,U28*IF($A28&gt;16,01_因子設定!$B$22,1)))</f>
        <v>1</v>
      </c>
      <c r="H28" s="28" t="n">
        <f aca="false">IF($C28=1,01_因子設定!$G$5+D28*01_因子設定!$H$5,"")</f>
        <v>65</v>
      </c>
      <c r="I28" s="28" t="n">
        <f aca="false">IF($C28=1,01_因子設定!$G$6+E28*01_因子設定!$H$6,"")</f>
        <v>30</v>
      </c>
      <c r="J28" s="28" t="n">
        <f aca="false">IF($C28=1,01_因子設定!$G$7+F28*01_因子設定!$H$7,"")</f>
        <v>2</v>
      </c>
      <c r="K28" s="28" t="n">
        <f aca="false">IF($C28=1,01_因子設定!$G$8+G28*01_因子設定!$H$8,"")</f>
        <v>60</v>
      </c>
      <c r="L28" s="11" t="str">
        <f aca="false">IF(C28=0,"",IF(AND(OR(01_因子設定!$I$5="",H28&gt;=01_因子設定!$I$5),OR(01_因子設定!$J$5="",H28&lt;=01_因子設定!$J$5),OR(01_因子設定!$I$6="",I28&gt;=01_因子設定!$I$6),OR(01_因子設定!$J$6="",I28&lt;=01_因子設定!$J$6),OR(01_因子設定!$I$7="",J28&gt;=01_因子設定!$I$7),OR(01_因子設定!$J$7="",J28&lt;=01_因子設定!$J$7),OR(01_因子設定!$I$8="",K28&gt;=01_因子設定!$I$8),OR(01_因子設定!$J$8="",K28&lt;=01_因子設定!$J$8)),"OK","安全限界超過"))</f>
        <v>OK</v>
      </c>
      <c r="M28" s="29" t="n">
        <v>0.559586</v>
      </c>
      <c r="N28" s="30" t="n">
        <f aca="false">IF(C28=0,99,IF(AND(01_因子設定!$B$24="変更困難因子でグループ化",01_因子設定!$B$25&gt;0),VLOOKUP(ROUND(INDEX(D28:G28,01_因子設定!$B$25),6),$AA$5:$AB$9,2,FALSE())+M28*0.9,M28))</f>
        <v>0.559586</v>
      </c>
      <c r="O28" s="31" t="n">
        <f aca="false">IF(C28=1,SUMPRODUCT(($C$5:$C$38=1)*($N$5:$N$38&lt;N28))+1,"")</f>
        <v>21</v>
      </c>
      <c r="P28" s="28" t="n">
        <f aca="false">IF(C28=1,INDEX(03_実験結果!$I$5:$I$38,O28),0)</f>
        <v>49</v>
      </c>
      <c r="R28" s="32" t="n">
        <v>0</v>
      </c>
      <c r="S28" s="32" t="n">
        <v>0</v>
      </c>
      <c r="T28" s="32" t="n">
        <v>0</v>
      </c>
      <c r="U28" s="32" t="n">
        <v>1</v>
      </c>
      <c r="V28" s="32" t="n">
        <v>0</v>
      </c>
      <c r="W28" s="32" t="n">
        <v>0</v>
      </c>
      <c r="X28" s="32" t="n">
        <v>1</v>
      </c>
      <c r="Y28" s="32" t="n">
        <v>1</v>
      </c>
    </row>
    <row r="29" customFormat="false" ht="15" hidden="false" customHeight="false" outlineLevel="0" collapsed="false">
      <c r="A29" s="11" t="n">
        <v>25</v>
      </c>
      <c r="B29" s="11" t="str">
        <f aca="false">IF(A29&gt;01_因子設定!$B$23,"未使用",IF(A29&gt;01_因子設定!$B$26,"中心点",IF(01_因子設定!$B$20="Box-Behnken","BBD点",IF(A29&lt;=16,"要因点","軸点"))))</f>
        <v>中心点</v>
      </c>
      <c r="C29" s="11" t="n">
        <f aca="false">IF(A29&lt;=01_因子設定!$B$23,1,0)</f>
        <v>1</v>
      </c>
      <c r="D29" s="27" t="n">
        <f aca="false">IF($C29=0,0,IF(01_因子設定!$B$20="Box-Behnken",V29,R29*IF($A29&gt;16,01_因子設定!$B$22,1)))</f>
        <v>0</v>
      </c>
      <c r="E29" s="27" t="n">
        <f aca="false">IF($C29=0,0,IF(01_因子設定!$B$20="Box-Behnken",W29,S29*IF($A29&gt;16,01_因子設定!$B$22,1)))</f>
        <v>0</v>
      </c>
      <c r="F29" s="27" t="n">
        <f aca="false">IF($C29=0,0,IF(01_因子設定!$B$20="Box-Behnken",X29,T29*IF($A29&gt;16,01_因子設定!$B$22,1)))</f>
        <v>0</v>
      </c>
      <c r="G29" s="27" t="n">
        <f aca="false">IF($C29=0,0,IF(01_因子設定!$B$20="Box-Behnken",Y29,U29*IF($A29&gt;16,01_因子設定!$B$22,1)))</f>
        <v>0</v>
      </c>
      <c r="H29" s="28" t="n">
        <f aca="false">IF($C29=1,01_因子設定!$G$5+D29*01_因子設定!$H$5,"")</f>
        <v>65</v>
      </c>
      <c r="I29" s="28" t="n">
        <f aca="false">IF($C29=1,01_因子設定!$G$6+E29*01_因子設定!$H$6,"")</f>
        <v>30</v>
      </c>
      <c r="J29" s="28" t="n">
        <f aca="false">IF($C29=1,01_因子設定!$G$7+F29*01_因子設定!$H$7,"")</f>
        <v>2</v>
      </c>
      <c r="K29" s="28" t="n">
        <f aca="false">IF($C29=1,01_因子設定!$G$8+G29*01_因子設定!$H$8,"")</f>
        <v>40</v>
      </c>
      <c r="L29" s="11" t="str">
        <f aca="false">IF(C29=0,"",IF(AND(OR(01_因子設定!$I$5="",H29&gt;=01_因子設定!$I$5),OR(01_因子設定!$J$5="",H29&lt;=01_因子設定!$J$5),OR(01_因子設定!$I$6="",I29&gt;=01_因子設定!$I$6),OR(01_因子設定!$J$6="",I29&lt;=01_因子設定!$J$6),OR(01_因子設定!$I$7="",J29&gt;=01_因子設定!$I$7),OR(01_因子設定!$J$7="",J29&lt;=01_因子設定!$J$7),OR(01_因子設定!$I$8="",K29&gt;=01_因子設定!$I$8),OR(01_因子設定!$J$8="",K29&lt;=01_因子設定!$J$8)),"OK","安全限界超過"))</f>
        <v>OK</v>
      </c>
      <c r="M29" s="29" t="n">
        <v>0.843551</v>
      </c>
      <c r="N29" s="30" t="n">
        <f aca="false">IF(C29=0,99,IF(AND(01_因子設定!$B$24="変更困難因子でグループ化",01_因子設定!$B$25&gt;0),VLOOKUP(ROUND(INDEX(D29:G29,01_因子設定!$B$25),6),$AA$5:$AB$9,2,FALSE())+M29*0.9,M29))</f>
        <v>0.843551</v>
      </c>
      <c r="O29" s="31" t="n">
        <f aca="false">IF(C29=1,SUMPRODUCT(($C$5:$C$38=1)*($N$5:$N$38&lt;N29))+1,"")</f>
        <v>25</v>
      </c>
      <c r="P29" s="28" t="n">
        <f aca="false">IF(C29=1,INDEX(03_実験結果!$I$5:$I$38,O29),0)</f>
        <v>48</v>
      </c>
      <c r="R29" s="32" t="n">
        <v>0</v>
      </c>
      <c r="S29" s="32" t="n">
        <v>0</v>
      </c>
      <c r="T29" s="32" t="n">
        <v>0</v>
      </c>
      <c r="U29" s="32" t="n">
        <v>0</v>
      </c>
      <c r="V29" s="32" t="n">
        <v>0</v>
      </c>
      <c r="W29" s="32" t="n">
        <v>0</v>
      </c>
      <c r="X29" s="32" t="n">
        <v>0</v>
      </c>
      <c r="Y29" s="32" t="n">
        <v>0</v>
      </c>
    </row>
    <row r="30" customFormat="false" ht="15" hidden="false" customHeight="false" outlineLevel="0" collapsed="false">
      <c r="A30" s="11" t="n">
        <v>26</v>
      </c>
      <c r="B30" s="11" t="str">
        <f aca="false">IF(A30&gt;01_因子設定!$B$23,"未使用",IF(A30&gt;01_因子設定!$B$26,"中心点",IF(01_因子設定!$B$20="Box-Behnken","BBD点",IF(A30&lt;=16,"要因点","軸点"))))</f>
        <v>中心点</v>
      </c>
      <c r="C30" s="11" t="n">
        <f aca="false">IF(A30&lt;=01_因子設定!$B$23,1,0)</f>
        <v>1</v>
      </c>
      <c r="D30" s="27" t="n">
        <f aca="false">IF($C30=0,0,IF(01_因子設定!$B$20="Box-Behnken",V30,R30*IF($A30&gt;16,01_因子設定!$B$22,1)))</f>
        <v>0</v>
      </c>
      <c r="E30" s="27" t="n">
        <f aca="false">IF($C30=0,0,IF(01_因子設定!$B$20="Box-Behnken",W30,S30*IF($A30&gt;16,01_因子設定!$B$22,1)))</f>
        <v>0</v>
      </c>
      <c r="F30" s="27" t="n">
        <f aca="false">IF($C30=0,0,IF(01_因子設定!$B$20="Box-Behnken",X30,T30*IF($A30&gt;16,01_因子設定!$B$22,1)))</f>
        <v>0</v>
      </c>
      <c r="G30" s="27" t="n">
        <f aca="false">IF($C30=0,0,IF(01_因子設定!$B$20="Box-Behnken",Y30,U30*IF($A30&gt;16,01_因子設定!$B$22,1)))</f>
        <v>0</v>
      </c>
      <c r="H30" s="28" t="n">
        <f aca="false">IF($C30=1,01_因子設定!$G$5+D30*01_因子設定!$H$5,"")</f>
        <v>65</v>
      </c>
      <c r="I30" s="28" t="n">
        <f aca="false">IF($C30=1,01_因子設定!$G$6+E30*01_因子設定!$H$6,"")</f>
        <v>30</v>
      </c>
      <c r="J30" s="28" t="n">
        <f aca="false">IF($C30=1,01_因子設定!$G$7+F30*01_因子設定!$H$7,"")</f>
        <v>2</v>
      </c>
      <c r="K30" s="28" t="n">
        <f aca="false">IF($C30=1,01_因子設定!$G$8+G30*01_因子設定!$H$8,"")</f>
        <v>40</v>
      </c>
      <c r="L30" s="11" t="str">
        <f aca="false">IF(C30=0,"",IF(AND(OR(01_因子設定!$I$5="",H30&gt;=01_因子設定!$I$5),OR(01_因子設定!$J$5="",H30&lt;=01_因子設定!$J$5),OR(01_因子設定!$I$6="",I30&gt;=01_因子設定!$I$6),OR(01_因子設定!$J$6="",I30&lt;=01_因子設定!$J$6),OR(01_因子設定!$I$7="",J30&gt;=01_因子設定!$I$7),OR(01_因子設定!$J$7="",J30&lt;=01_因子設定!$J$7),OR(01_因子設定!$I$8="",K30&gt;=01_因子設定!$I$8),OR(01_因子設定!$J$8="",K30&lt;=01_因子設定!$J$8)),"OK","安全限界超過"))</f>
        <v>OK</v>
      </c>
      <c r="M30" s="29" t="n">
        <v>0.893709</v>
      </c>
      <c r="N30" s="30" t="n">
        <f aca="false">IF(C30=0,99,IF(AND(01_因子設定!$B$24="変更困難因子でグループ化",01_因子設定!$B$25&gt;0),VLOOKUP(ROUND(INDEX(D30:G30,01_因子設定!$B$25),6),$AA$5:$AB$9,2,FALSE())+M30*0.9,M30))</f>
        <v>0.893709</v>
      </c>
      <c r="O30" s="31" t="n">
        <f aca="false">IF(C30=1,SUMPRODUCT(($C$5:$C$38=1)*($N$5:$N$38&lt;N30))+1,"")</f>
        <v>27</v>
      </c>
      <c r="P30" s="28" t="n">
        <f aca="false">IF(C30=1,INDEX(03_実験結果!$I$5:$I$38,O30),0)</f>
        <v>47</v>
      </c>
      <c r="R30" s="32" t="n">
        <v>0</v>
      </c>
      <c r="S30" s="32" t="n">
        <v>0</v>
      </c>
      <c r="T30" s="32" t="n">
        <v>0</v>
      </c>
      <c r="U30" s="32" t="n">
        <v>0</v>
      </c>
      <c r="V30" s="32" t="n">
        <v>0</v>
      </c>
      <c r="W30" s="32" t="n">
        <v>0</v>
      </c>
      <c r="X30" s="32" t="n">
        <v>0</v>
      </c>
      <c r="Y30" s="32" t="n">
        <v>0</v>
      </c>
    </row>
    <row r="31" customFormat="false" ht="15" hidden="false" customHeight="false" outlineLevel="0" collapsed="false">
      <c r="A31" s="11" t="n">
        <v>27</v>
      </c>
      <c r="B31" s="11" t="str">
        <f aca="false">IF(A31&gt;01_因子設定!$B$23,"未使用",IF(A31&gt;01_因子設定!$B$26,"中心点",IF(01_因子設定!$B$20="Box-Behnken","BBD点",IF(A31&lt;=16,"要因点","軸点"))))</f>
        <v>中心点</v>
      </c>
      <c r="C31" s="11" t="n">
        <f aca="false">IF(A31&lt;=01_因子設定!$B$23,1,0)</f>
        <v>1</v>
      </c>
      <c r="D31" s="27" t="n">
        <f aca="false">IF($C31=0,0,IF(01_因子設定!$B$20="Box-Behnken",V31,R31*IF($A31&gt;16,01_因子設定!$B$22,1)))</f>
        <v>0</v>
      </c>
      <c r="E31" s="27" t="n">
        <f aca="false">IF($C31=0,0,IF(01_因子設定!$B$20="Box-Behnken",W31,S31*IF($A31&gt;16,01_因子設定!$B$22,1)))</f>
        <v>0</v>
      </c>
      <c r="F31" s="27" t="n">
        <f aca="false">IF($C31=0,0,IF(01_因子設定!$B$20="Box-Behnken",X31,T31*IF($A31&gt;16,01_因子設定!$B$22,1)))</f>
        <v>0</v>
      </c>
      <c r="G31" s="27" t="n">
        <f aca="false">IF($C31=0,0,IF(01_因子設定!$B$20="Box-Behnken",Y31,U31*IF($A31&gt;16,01_因子設定!$B$22,1)))</f>
        <v>0</v>
      </c>
      <c r="H31" s="28" t="n">
        <f aca="false">IF($C31=1,01_因子設定!$G$5+D31*01_因子設定!$H$5,"")</f>
        <v>65</v>
      </c>
      <c r="I31" s="28" t="n">
        <f aca="false">IF($C31=1,01_因子設定!$G$6+E31*01_因子設定!$H$6,"")</f>
        <v>30</v>
      </c>
      <c r="J31" s="28" t="n">
        <f aca="false">IF($C31=1,01_因子設定!$G$7+F31*01_因子設定!$H$7,"")</f>
        <v>2</v>
      </c>
      <c r="K31" s="28" t="n">
        <f aca="false">IF($C31=1,01_因子設定!$G$8+G31*01_因子設定!$H$8,"")</f>
        <v>40</v>
      </c>
      <c r="L31" s="11" t="str">
        <f aca="false">IF(C31=0,"",IF(AND(OR(01_因子設定!$I$5="",H31&gt;=01_因子設定!$I$5),OR(01_因子設定!$J$5="",H31&lt;=01_因子設定!$J$5),OR(01_因子設定!$I$6="",I31&gt;=01_因子設定!$I$6),OR(01_因子設定!$J$6="",I31&lt;=01_因子設定!$J$6),OR(01_因子設定!$I$7="",J31&gt;=01_因子設定!$I$7),OR(01_因子設定!$J$7="",J31&lt;=01_因子設定!$J$7),OR(01_因子設定!$I$8="",K31&gt;=01_因子設定!$I$8),OR(01_因子設定!$J$8="",K31&lt;=01_因子設定!$J$8)),"OK","安全限界超過"))</f>
        <v>OK</v>
      </c>
      <c r="M31" s="29" t="n">
        <v>0.04339</v>
      </c>
      <c r="N31" s="30" t="n">
        <f aca="false">IF(C31=0,99,IF(AND(01_因子設定!$B$24="変更困難因子でグループ化",01_因子設定!$B$25&gt;0),VLOOKUP(ROUND(INDEX(D31:G31,01_因子設定!$B$25),6),$AA$5:$AB$9,2,FALSE())+M31*0.9,M31))</f>
        <v>0.04339</v>
      </c>
      <c r="O31" s="31" t="n">
        <f aca="false">IF(C31=1,SUMPRODUCT(($C$5:$C$38=1)*($N$5:$N$38&lt;N31))+1,"")</f>
        <v>2</v>
      </c>
      <c r="P31" s="28" t="n">
        <f aca="false">IF(C31=1,INDEX(03_実験結果!$I$5:$I$38,O31),0)</f>
        <v>47.7</v>
      </c>
      <c r="R31" s="32" t="n">
        <v>0</v>
      </c>
      <c r="S31" s="32" t="n">
        <v>0</v>
      </c>
      <c r="T31" s="32" t="n">
        <v>0</v>
      </c>
      <c r="U31" s="32" t="n">
        <v>0</v>
      </c>
      <c r="V31" s="32" t="n">
        <v>0</v>
      </c>
      <c r="W31" s="32" t="n">
        <v>0</v>
      </c>
      <c r="X31" s="32" t="n">
        <v>0</v>
      </c>
      <c r="Y31" s="32" t="n">
        <v>0</v>
      </c>
    </row>
    <row r="32" customFormat="false" ht="15" hidden="false" customHeight="false" outlineLevel="0" collapsed="false">
      <c r="A32" s="11" t="n">
        <v>28</v>
      </c>
      <c r="B32" s="11" t="str">
        <f aca="false">IF(A32&gt;01_因子設定!$B$23,"未使用",IF(A32&gt;01_因子設定!$B$26,"中心点",IF(01_因子設定!$B$20="Box-Behnken","BBD点",IF(A32&lt;=16,"要因点","軸点"))))</f>
        <v>中心点</v>
      </c>
      <c r="C32" s="11" t="n">
        <f aca="false">IF(A32&lt;=01_因子設定!$B$23,1,0)</f>
        <v>1</v>
      </c>
      <c r="D32" s="27" t="n">
        <f aca="false">IF($C32=0,0,IF(01_因子設定!$B$20="Box-Behnken",V32,R32*IF($A32&gt;16,01_因子設定!$B$22,1)))</f>
        <v>0</v>
      </c>
      <c r="E32" s="27" t="n">
        <f aca="false">IF($C32=0,0,IF(01_因子設定!$B$20="Box-Behnken",W32,S32*IF($A32&gt;16,01_因子設定!$B$22,1)))</f>
        <v>0</v>
      </c>
      <c r="F32" s="27" t="n">
        <f aca="false">IF($C32=0,0,IF(01_因子設定!$B$20="Box-Behnken",X32,T32*IF($A32&gt;16,01_因子設定!$B$22,1)))</f>
        <v>0</v>
      </c>
      <c r="G32" s="27" t="n">
        <f aca="false">IF($C32=0,0,IF(01_因子設定!$B$20="Box-Behnken",Y32,U32*IF($A32&gt;16,01_因子設定!$B$22,1)))</f>
        <v>0</v>
      </c>
      <c r="H32" s="28" t="n">
        <f aca="false">IF($C32=1,01_因子設定!$G$5+D32*01_因子設定!$H$5,"")</f>
        <v>65</v>
      </c>
      <c r="I32" s="28" t="n">
        <f aca="false">IF($C32=1,01_因子設定!$G$6+E32*01_因子設定!$H$6,"")</f>
        <v>30</v>
      </c>
      <c r="J32" s="28" t="n">
        <f aca="false">IF($C32=1,01_因子設定!$G$7+F32*01_因子設定!$H$7,"")</f>
        <v>2</v>
      </c>
      <c r="K32" s="28" t="n">
        <f aca="false">IF($C32=1,01_因子設定!$G$8+G32*01_因子設定!$H$8,"")</f>
        <v>40</v>
      </c>
      <c r="L32" s="11" t="str">
        <f aca="false">IF(C32=0,"",IF(AND(OR(01_因子設定!$I$5="",H32&gt;=01_因子設定!$I$5),OR(01_因子設定!$J$5="",H32&lt;=01_因子設定!$J$5),OR(01_因子設定!$I$6="",I32&gt;=01_因子設定!$I$6),OR(01_因子設定!$J$6="",I32&lt;=01_因子設定!$J$6),OR(01_因子設定!$I$7="",J32&gt;=01_因子設定!$I$7),OR(01_因子設定!$J$7="",J32&lt;=01_因子設定!$J$7),OR(01_因子設定!$I$8="",K32&gt;=01_因子設定!$I$8),OR(01_因子設定!$J$8="",K32&lt;=01_因子設定!$J$8)),"OK","安全限界超過"))</f>
        <v>OK</v>
      </c>
      <c r="M32" s="29" t="n">
        <v>0.336364</v>
      </c>
      <c r="N32" s="30" t="n">
        <f aca="false">IF(C32=0,99,IF(AND(01_因子設定!$B$24="変更困難因子でグループ化",01_因子設定!$B$25&gt;0),VLOOKUP(ROUND(INDEX(D32:G32,01_因子設定!$B$25),6),$AA$5:$AB$9,2,FALSE())+M32*0.9,M32))</f>
        <v>0.336364</v>
      </c>
      <c r="O32" s="31" t="n">
        <f aca="false">IF(C32=1,SUMPRODUCT(($C$5:$C$38=1)*($N$5:$N$38&lt;N32))+1,"")</f>
        <v>15</v>
      </c>
      <c r="P32" s="28" t="n">
        <f aca="false">IF(C32=1,INDEX(03_実験結果!$I$5:$I$38,O32),0)</f>
        <v>46.4</v>
      </c>
      <c r="R32" s="32" t="n">
        <v>0</v>
      </c>
      <c r="S32" s="32" t="n">
        <v>0</v>
      </c>
      <c r="T32" s="32" t="n">
        <v>0</v>
      </c>
      <c r="U32" s="32" t="n">
        <v>0</v>
      </c>
      <c r="V32" s="32" t="n">
        <v>0</v>
      </c>
      <c r="W32" s="32" t="n">
        <v>0</v>
      </c>
      <c r="X32" s="32" t="n">
        <v>0</v>
      </c>
      <c r="Y32" s="32" t="n">
        <v>0</v>
      </c>
    </row>
    <row r="33" customFormat="false" ht="15" hidden="false" customHeight="false" outlineLevel="0" collapsed="false">
      <c r="A33" s="11" t="n">
        <v>29</v>
      </c>
      <c r="B33" s="11" t="str">
        <f aca="false">IF(A33&gt;01_因子設定!$B$23,"未使用",IF(A33&gt;01_因子設定!$B$26,"中心点",IF(01_因子設定!$B$20="Box-Behnken","BBD点",IF(A33&lt;=16,"要因点","軸点"))))</f>
        <v>中心点</v>
      </c>
      <c r="C33" s="11" t="n">
        <f aca="false">IF(A33&lt;=01_因子設定!$B$23,1,0)</f>
        <v>1</v>
      </c>
      <c r="D33" s="27" t="n">
        <f aca="false">IF($C33=0,0,IF(01_因子設定!$B$20="Box-Behnken",V33,R33*IF($A33&gt;16,01_因子設定!$B$22,1)))</f>
        <v>0</v>
      </c>
      <c r="E33" s="27" t="n">
        <f aca="false">IF($C33=0,0,IF(01_因子設定!$B$20="Box-Behnken",W33,S33*IF($A33&gt;16,01_因子設定!$B$22,1)))</f>
        <v>0</v>
      </c>
      <c r="F33" s="27" t="n">
        <f aca="false">IF($C33=0,0,IF(01_因子設定!$B$20="Box-Behnken",X33,T33*IF($A33&gt;16,01_因子設定!$B$22,1)))</f>
        <v>0</v>
      </c>
      <c r="G33" s="27" t="n">
        <f aca="false">IF($C33=0,0,IF(01_因子設定!$B$20="Box-Behnken",Y33,U33*IF($A33&gt;16,01_因子設定!$B$22,1)))</f>
        <v>0</v>
      </c>
      <c r="H33" s="28" t="n">
        <f aca="false">IF($C33=1,01_因子設定!$G$5+D33*01_因子設定!$H$5,"")</f>
        <v>65</v>
      </c>
      <c r="I33" s="28" t="n">
        <f aca="false">IF($C33=1,01_因子設定!$G$6+E33*01_因子設定!$H$6,"")</f>
        <v>30</v>
      </c>
      <c r="J33" s="28" t="n">
        <f aca="false">IF($C33=1,01_因子設定!$G$7+F33*01_因子設定!$H$7,"")</f>
        <v>2</v>
      </c>
      <c r="K33" s="28" t="n">
        <f aca="false">IF($C33=1,01_因子設定!$G$8+G33*01_因子設定!$H$8,"")</f>
        <v>40</v>
      </c>
      <c r="L33" s="11" t="str">
        <f aca="false">IF(C33=0,"",IF(AND(OR(01_因子設定!$I$5="",H33&gt;=01_因子設定!$I$5),OR(01_因子設定!$J$5="",H33&lt;=01_因子設定!$J$5),OR(01_因子設定!$I$6="",I33&gt;=01_因子設定!$I$6),OR(01_因子設定!$J$6="",I33&lt;=01_因子設定!$J$6),OR(01_因子設定!$I$7="",J33&gt;=01_因子設定!$I$7),OR(01_因子設定!$J$7="",J33&lt;=01_因子設定!$J$7),OR(01_因子設定!$I$8="",K33&gt;=01_因子設定!$I$8),OR(01_因子設定!$J$8="",K33&lt;=01_因子設定!$J$8)),"OK","安全限界超過"))</f>
        <v>OK</v>
      </c>
      <c r="M33" s="29" t="n">
        <v>0.9171</v>
      </c>
      <c r="N33" s="30" t="n">
        <f aca="false">IF(C33=0,99,IF(AND(01_因子設定!$B$24="変更困難因子でグループ化",01_因子設定!$B$25&gt;0),VLOOKUP(ROUND(INDEX(D33:G33,01_因子設定!$B$25),6),$AA$5:$AB$9,2,FALSE())+M33*0.9,M33))</f>
        <v>0.9171</v>
      </c>
      <c r="O33" s="31" t="n">
        <f aca="false">IF(C33=1,SUMPRODUCT(($C$5:$C$38=1)*($N$5:$N$38&lt;N33))+1,"")</f>
        <v>28</v>
      </c>
      <c r="P33" s="28" t="n">
        <f aca="false">IF(C33=1,INDEX(03_実験結果!$I$5:$I$38,O33),0)</f>
        <v>48.7</v>
      </c>
      <c r="R33" s="32" t="n">
        <v>0</v>
      </c>
      <c r="S33" s="32" t="n">
        <v>0</v>
      </c>
      <c r="T33" s="32" t="n">
        <v>0</v>
      </c>
      <c r="U33" s="32" t="n">
        <v>0</v>
      </c>
      <c r="V33" s="32" t="n">
        <v>0</v>
      </c>
      <c r="W33" s="32" t="n">
        <v>0</v>
      </c>
      <c r="X33" s="32" t="n">
        <v>0</v>
      </c>
      <c r="Y33" s="32" t="n">
        <v>0</v>
      </c>
    </row>
    <row r="34" customFormat="false" ht="15" hidden="false" customHeight="false" outlineLevel="0" collapsed="false">
      <c r="A34" s="11" t="n">
        <v>30</v>
      </c>
      <c r="B34" s="11" t="str">
        <f aca="false">IF(A34&gt;01_因子設定!$B$23,"未使用",IF(A34&gt;01_因子設定!$B$26,"中心点",IF(01_因子設定!$B$20="Box-Behnken","BBD点",IF(A34&lt;=16,"要因点","軸点"))))</f>
        <v>中心点</v>
      </c>
      <c r="C34" s="11" t="n">
        <f aca="false">IF(A34&lt;=01_因子設定!$B$23,1,0)</f>
        <v>1</v>
      </c>
      <c r="D34" s="27" t="n">
        <f aca="false">IF($C34=0,0,IF(01_因子設定!$B$20="Box-Behnken",V34,R34*IF($A34&gt;16,01_因子設定!$B$22,1)))</f>
        <v>0</v>
      </c>
      <c r="E34" s="27" t="n">
        <f aca="false">IF($C34=0,0,IF(01_因子設定!$B$20="Box-Behnken",W34,S34*IF($A34&gt;16,01_因子設定!$B$22,1)))</f>
        <v>0</v>
      </c>
      <c r="F34" s="27" t="n">
        <f aca="false">IF($C34=0,0,IF(01_因子設定!$B$20="Box-Behnken",X34,T34*IF($A34&gt;16,01_因子設定!$B$22,1)))</f>
        <v>0</v>
      </c>
      <c r="G34" s="27" t="n">
        <f aca="false">IF($C34=0,0,IF(01_因子設定!$B$20="Box-Behnken",Y34,U34*IF($A34&gt;16,01_因子設定!$B$22,1)))</f>
        <v>0</v>
      </c>
      <c r="H34" s="28" t="n">
        <f aca="false">IF($C34=1,01_因子設定!$G$5+D34*01_因子設定!$H$5,"")</f>
        <v>65</v>
      </c>
      <c r="I34" s="28" t="n">
        <f aca="false">IF($C34=1,01_因子設定!$G$6+E34*01_因子設定!$H$6,"")</f>
        <v>30</v>
      </c>
      <c r="J34" s="28" t="n">
        <f aca="false">IF($C34=1,01_因子設定!$G$7+F34*01_因子設定!$H$7,"")</f>
        <v>2</v>
      </c>
      <c r="K34" s="28" t="n">
        <f aca="false">IF($C34=1,01_因子設定!$G$8+G34*01_因子設定!$H$8,"")</f>
        <v>40</v>
      </c>
      <c r="L34" s="11" t="str">
        <f aca="false">IF(C34=0,"",IF(AND(OR(01_因子設定!$I$5="",H34&gt;=01_因子設定!$I$5),OR(01_因子設定!$J$5="",H34&lt;=01_因子設定!$J$5),OR(01_因子設定!$I$6="",I34&gt;=01_因子設定!$I$6),OR(01_因子設定!$J$6="",I34&lt;=01_因子設定!$J$6),OR(01_因子設定!$I$7="",J34&gt;=01_因子設定!$I$7),OR(01_因子設定!$J$7="",J34&lt;=01_因子設定!$J$7),OR(01_因子設定!$I$8="",K34&gt;=01_因子設定!$I$8),OR(01_因子設定!$J$8="",K34&lt;=01_因子設定!$J$8)),"OK","安全限界超過"))</f>
        <v>OK</v>
      </c>
      <c r="M34" s="29" t="n">
        <v>0.030982</v>
      </c>
      <c r="N34" s="30" t="n">
        <f aca="false">IF(C34=0,99,IF(AND(01_因子設定!$B$24="変更困難因子でグループ化",01_因子設定!$B$25&gt;0),VLOOKUP(ROUND(INDEX(D34:G34,01_因子設定!$B$25),6),$AA$5:$AB$9,2,FALSE())+M34*0.9,M34))</f>
        <v>0.030982</v>
      </c>
      <c r="O34" s="31" t="n">
        <f aca="false">IF(C34=1,SUMPRODUCT(($C$5:$C$38=1)*($N$5:$N$38&lt;N34))+1,"")</f>
        <v>1</v>
      </c>
      <c r="P34" s="28" t="n">
        <f aca="false">IF(C34=1,INDEX(03_実験結果!$I$5:$I$38,O34),0)</f>
        <v>47.7</v>
      </c>
      <c r="R34" s="32" t="n">
        <v>0</v>
      </c>
      <c r="S34" s="32" t="n">
        <v>0</v>
      </c>
      <c r="T34" s="32" t="n">
        <v>0</v>
      </c>
      <c r="U34" s="32" t="n">
        <v>0</v>
      </c>
      <c r="V34" s="32" t="n">
        <v>0</v>
      </c>
      <c r="W34" s="32" t="n">
        <v>0</v>
      </c>
      <c r="X34" s="32" t="n">
        <v>0</v>
      </c>
      <c r="Y34" s="32" t="n">
        <v>0</v>
      </c>
    </row>
    <row r="35" customFormat="false" ht="15" hidden="false" customHeight="false" outlineLevel="0" collapsed="false">
      <c r="A35" s="11" t="n">
        <v>31</v>
      </c>
      <c r="B35" s="11" t="str">
        <f aca="false">IF(A35&gt;01_因子設定!$B$23,"未使用",IF(A35&gt;01_因子設定!$B$26,"中心点",IF(01_因子設定!$B$20="Box-Behnken","BBD点",IF(A35&lt;=16,"要因点","軸点"))))</f>
        <v>未使用</v>
      </c>
      <c r="C35" s="11" t="n">
        <f aca="false">IF(A35&lt;=01_因子設定!$B$23,1,0)</f>
        <v>0</v>
      </c>
      <c r="D35" s="27" t="n">
        <f aca="false">IF($C35=0,0,IF(01_因子設定!$B$20="Box-Behnken",V35,R35*IF($A35&gt;16,01_因子設定!$B$22,1)))</f>
        <v>0</v>
      </c>
      <c r="E35" s="27" t="n">
        <f aca="false">IF($C35=0,0,IF(01_因子設定!$B$20="Box-Behnken",W35,S35*IF($A35&gt;16,01_因子設定!$B$22,1)))</f>
        <v>0</v>
      </c>
      <c r="F35" s="27" t="n">
        <f aca="false">IF($C35=0,0,IF(01_因子設定!$B$20="Box-Behnken",X35,T35*IF($A35&gt;16,01_因子設定!$B$22,1)))</f>
        <v>0</v>
      </c>
      <c r="G35" s="27" t="n">
        <f aca="false">IF($C35=0,0,IF(01_因子設定!$B$20="Box-Behnken",Y35,U35*IF($A35&gt;16,01_因子設定!$B$22,1)))</f>
        <v>0</v>
      </c>
      <c r="H35" s="28" t="str">
        <f aca="false">IF($C35=1,01_因子設定!$G$5+D35*01_因子設定!$H$5,"")</f>
        <v/>
      </c>
      <c r="I35" s="28" t="str">
        <f aca="false">IF($C35=1,01_因子設定!$G$6+E35*01_因子設定!$H$6,"")</f>
        <v/>
      </c>
      <c r="J35" s="28" t="str">
        <f aca="false">IF($C35=1,01_因子設定!$G$7+F35*01_因子設定!$H$7,"")</f>
        <v/>
      </c>
      <c r="K35" s="28" t="str">
        <f aca="false">IF($C35=1,01_因子設定!$G$8+G35*01_因子設定!$H$8,"")</f>
        <v/>
      </c>
      <c r="L35" s="11" t="str">
        <f aca="false">IF(C35=0,"",IF(AND(OR(01_因子設定!$I$5="",H35&gt;=01_因子設定!$I$5),OR(01_因子設定!$J$5="",H35&lt;=01_因子設定!$J$5),OR(01_因子設定!$I$6="",I35&gt;=01_因子設定!$I$6),OR(01_因子設定!$J$6="",I35&lt;=01_因子設定!$J$6),OR(01_因子設定!$I$7="",J35&gt;=01_因子設定!$I$7),OR(01_因子設定!$J$7="",J35&lt;=01_因子設定!$J$7),OR(01_因子設定!$I$8="",K35&gt;=01_因子設定!$I$8),OR(01_因子設定!$J$8="",K35&lt;=01_因子設定!$J$8)),"OK","安全限界超過"))</f>
        <v/>
      </c>
      <c r="M35" s="29" t="n">
        <v>0.515399</v>
      </c>
      <c r="N35" s="30" t="n">
        <f aca="false">IF(C35=0,99,IF(AND(01_因子設定!$B$24="変更困難因子でグループ化",01_因子設定!$B$25&gt;0),VLOOKUP(ROUND(INDEX(D35:G35,01_因子設定!$B$25),6),$AA$5:$AB$9,2,FALSE())+M35*0.9,M35))</f>
        <v>99</v>
      </c>
      <c r="O35" s="31" t="str">
        <f aca="false">IF(C35=1,SUMPRODUCT(($C$5:$C$38=1)*($N$5:$N$38&lt;N35))+1,"")</f>
        <v/>
      </c>
      <c r="P35" s="28" t="n">
        <f aca="false">IF(C35=1,INDEX(03_実験結果!$I$5:$I$38,O35),0)</f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0</v>
      </c>
      <c r="W35" s="32" t="n">
        <v>0</v>
      </c>
      <c r="X35" s="32" t="n">
        <v>0</v>
      </c>
      <c r="Y35" s="32" t="n">
        <v>0</v>
      </c>
    </row>
    <row r="36" customFormat="false" ht="15" hidden="false" customHeight="false" outlineLevel="0" collapsed="false">
      <c r="A36" s="11" t="n">
        <v>32</v>
      </c>
      <c r="B36" s="11" t="str">
        <f aca="false">IF(A36&gt;01_因子設定!$B$23,"未使用",IF(A36&gt;01_因子設定!$B$26,"中心点",IF(01_因子設定!$B$20="Box-Behnken","BBD点",IF(A36&lt;=16,"要因点","軸点"))))</f>
        <v>未使用</v>
      </c>
      <c r="C36" s="11" t="n">
        <f aca="false">IF(A36&lt;=01_因子設定!$B$23,1,0)</f>
        <v>0</v>
      </c>
      <c r="D36" s="27" t="n">
        <f aca="false">IF($C36=0,0,IF(01_因子設定!$B$20="Box-Behnken",V36,R36*IF($A36&gt;16,01_因子設定!$B$22,1)))</f>
        <v>0</v>
      </c>
      <c r="E36" s="27" t="n">
        <f aca="false">IF($C36=0,0,IF(01_因子設定!$B$20="Box-Behnken",W36,S36*IF($A36&gt;16,01_因子設定!$B$22,1)))</f>
        <v>0</v>
      </c>
      <c r="F36" s="27" t="n">
        <f aca="false">IF($C36=0,0,IF(01_因子設定!$B$20="Box-Behnken",X36,T36*IF($A36&gt;16,01_因子設定!$B$22,1)))</f>
        <v>0</v>
      </c>
      <c r="G36" s="27" t="n">
        <f aca="false">IF($C36=0,0,IF(01_因子設定!$B$20="Box-Behnken",Y36,U36*IF($A36&gt;16,01_因子設定!$B$22,1)))</f>
        <v>0</v>
      </c>
      <c r="H36" s="28" t="str">
        <f aca="false">IF($C36=1,01_因子設定!$G$5+D36*01_因子設定!$H$5,"")</f>
        <v/>
      </c>
      <c r="I36" s="28" t="str">
        <f aca="false">IF($C36=1,01_因子設定!$G$6+E36*01_因子設定!$H$6,"")</f>
        <v/>
      </c>
      <c r="J36" s="28" t="str">
        <f aca="false">IF($C36=1,01_因子設定!$G$7+F36*01_因子設定!$H$7,"")</f>
        <v/>
      </c>
      <c r="K36" s="28" t="str">
        <f aca="false">IF($C36=1,01_因子設定!$G$8+G36*01_因子設定!$H$8,"")</f>
        <v/>
      </c>
      <c r="L36" s="11" t="str">
        <f aca="false">IF(C36=0,"",IF(AND(OR(01_因子設定!$I$5="",H36&gt;=01_因子設定!$I$5),OR(01_因子設定!$J$5="",H36&lt;=01_因子設定!$J$5),OR(01_因子設定!$I$6="",I36&gt;=01_因子設定!$I$6),OR(01_因子設定!$J$6="",I36&lt;=01_因子設定!$J$6),OR(01_因子設定!$I$7="",J36&gt;=01_因子設定!$I$7),OR(01_因子設定!$J$7="",J36&lt;=01_因子設定!$J$7),OR(01_因子設定!$I$8="",K36&gt;=01_因子設定!$I$8),OR(01_因子設定!$J$8="",K36&lt;=01_因子設定!$J$8)),"OK","安全限界超過"))</f>
        <v/>
      </c>
      <c r="M36" s="29" t="n">
        <v>0.282623</v>
      </c>
      <c r="N36" s="30" t="n">
        <f aca="false">IF(C36=0,99,IF(AND(01_因子設定!$B$24="変更困難因子でグループ化",01_因子設定!$B$25&gt;0),VLOOKUP(ROUND(INDEX(D36:G36,01_因子設定!$B$25),6),$AA$5:$AB$9,2,FALSE())+M36*0.9,M36))</f>
        <v>99</v>
      </c>
      <c r="O36" s="31" t="str">
        <f aca="false">IF(C36=1,SUMPRODUCT(($C$5:$C$38=1)*($N$5:$N$38&lt;N36))+1,"")</f>
        <v/>
      </c>
      <c r="P36" s="28" t="n">
        <f aca="false">IF(C36=1,INDEX(03_実験結果!$I$5:$I$38,O36),0)</f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32" t="n">
        <v>0</v>
      </c>
      <c r="W36" s="32" t="n">
        <v>0</v>
      </c>
      <c r="X36" s="32" t="n">
        <v>0</v>
      </c>
      <c r="Y36" s="32" t="n">
        <v>0</v>
      </c>
    </row>
    <row r="37" customFormat="false" ht="15" hidden="false" customHeight="false" outlineLevel="0" collapsed="false">
      <c r="A37" s="11" t="n">
        <v>33</v>
      </c>
      <c r="B37" s="11" t="str">
        <f aca="false">IF(A37&gt;01_因子設定!$B$23,"未使用",IF(A37&gt;01_因子設定!$B$26,"中心点",IF(01_因子設定!$B$20="Box-Behnken","BBD点",IF(A37&lt;=16,"要因点","軸点"))))</f>
        <v>未使用</v>
      </c>
      <c r="C37" s="11" t="n">
        <f aca="false">IF(A37&lt;=01_因子設定!$B$23,1,0)</f>
        <v>0</v>
      </c>
      <c r="D37" s="27" t="n">
        <f aca="false">IF($C37=0,0,IF(01_因子設定!$B$20="Box-Behnken",V37,R37*IF($A37&gt;16,01_因子設定!$B$22,1)))</f>
        <v>0</v>
      </c>
      <c r="E37" s="27" t="n">
        <f aca="false">IF($C37=0,0,IF(01_因子設定!$B$20="Box-Behnken",W37,S37*IF($A37&gt;16,01_因子設定!$B$22,1)))</f>
        <v>0</v>
      </c>
      <c r="F37" s="27" t="n">
        <f aca="false">IF($C37=0,0,IF(01_因子設定!$B$20="Box-Behnken",X37,T37*IF($A37&gt;16,01_因子設定!$B$22,1)))</f>
        <v>0</v>
      </c>
      <c r="G37" s="27" t="n">
        <f aca="false">IF($C37=0,0,IF(01_因子設定!$B$20="Box-Behnken",Y37,U37*IF($A37&gt;16,01_因子設定!$B$22,1)))</f>
        <v>0</v>
      </c>
      <c r="H37" s="28" t="str">
        <f aca="false">IF($C37=1,01_因子設定!$G$5+D37*01_因子設定!$H$5,"")</f>
        <v/>
      </c>
      <c r="I37" s="28" t="str">
        <f aca="false">IF($C37=1,01_因子設定!$G$6+E37*01_因子設定!$H$6,"")</f>
        <v/>
      </c>
      <c r="J37" s="28" t="str">
        <f aca="false">IF($C37=1,01_因子設定!$G$7+F37*01_因子設定!$H$7,"")</f>
        <v/>
      </c>
      <c r="K37" s="28" t="str">
        <f aca="false">IF($C37=1,01_因子設定!$G$8+G37*01_因子設定!$H$8,"")</f>
        <v/>
      </c>
      <c r="L37" s="11" t="str">
        <f aca="false">IF(C37=0,"",IF(AND(OR(01_因子設定!$I$5="",H37&gt;=01_因子設定!$I$5),OR(01_因子設定!$J$5="",H37&lt;=01_因子設定!$J$5),OR(01_因子設定!$I$6="",I37&gt;=01_因子設定!$I$6),OR(01_因子設定!$J$6="",I37&lt;=01_因子設定!$J$6),OR(01_因子設定!$I$7="",J37&gt;=01_因子設定!$I$7),OR(01_因子設定!$J$7="",J37&lt;=01_因子設定!$J$7),OR(01_因子設定!$I$8="",K37&gt;=01_因子設定!$I$8),OR(01_因子設定!$J$8="",K37&lt;=01_因子設定!$J$8)),"OK","安全限界超過"))</f>
        <v/>
      </c>
      <c r="M37" s="29" t="n">
        <v>0.847226</v>
      </c>
      <c r="N37" s="30" t="n">
        <f aca="false">IF(C37=0,99,IF(AND(01_因子設定!$B$24="変更困難因子でグループ化",01_因子設定!$B$25&gt;0),VLOOKUP(ROUND(INDEX(D37:G37,01_因子設定!$B$25),6),$AA$5:$AB$9,2,FALSE())+M37*0.9,M37))</f>
        <v>99</v>
      </c>
      <c r="O37" s="31" t="str">
        <f aca="false">IF(C37=1,SUMPRODUCT(($C$5:$C$38=1)*($N$5:$N$38&lt;N37))+1,"")</f>
        <v/>
      </c>
      <c r="P37" s="28" t="n">
        <f aca="false">IF(C37=1,INDEX(03_実験結果!$I$5:$I$38,O37),0)</f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32" t="n">
        <v>0</v>
      </c>
      <c r="W37" s="32" t="n">
        <v>0</v>
      </c>
      <c r="X37" s="32" t="n">
        <v>0</v>
      </c>
      <c r="Y37" s="32" t="n">
        <v>0</v>
      </c>
    </row>
    <row r="38" customFormat="false" ht="15" hidden="false" customHeight="false" outlineLevel="0" collapsed="false">
      <c r="A38" s="11" t="n">
        <v>34</v>
      </c>
      <c r="B38" s="11" t="str">
        <f aca="false">IF(A38&gt;01_因子設定!$B$23,"未使用",IF(A38&gt;01_因子設定!$B$26,"中心点",IF(01_因子設定!$B$20="Box-Behnken","BBD点",IF(A38&lt;=16,"要因点","軸点"))))</f>
        <v>未使用</v>
      </c>
      <c r="C38" s="11" t="n">
        <f aca="false">IF(A38&lt;=01_因子設定!$B$23,1,0)</f>
        <v>0</v>
      </c>
      <c r="D38" s="27" t="n">
        <f aca="false">IF($C38=0,0,IF(01_因子設定!$B$20="Box-Behnken",V38,R38*IF($A38&gt;16,01_因子設定!$B$22,1)))</f>
        <v>0</v>
      </c>
      <c r="E38" s="27" t="n">
        <f aca="false">IF($C38=0,0,IF(01_因子設定!$B$20="Box-Behnken",W38,S38*IF($A38&gt;16,01_因子設定!$B$22,1)))</f>
        <v>0</v>
      </c>
      <c r="F38" s="27" t="n">
        <f aca="false">IF($C38=0,0,IF(01_因子設定!$B$20="Box-Behnken",X38,T38*IF($A38&gt;16,01_因子設定!$B$22,1)))</f>
        <v>0</v>
      </c>
      <c r="G38" s="27" t="n">
        <f aca="false">IF($C38=0,0,IF(01_因子設定!$B$20="Box-Behnken",Y38,U38*IF($A38&gt;16,01_因子設定!$B$22,1)))</f>
        <v>0</v>
      </c>
      <c r="H38" s="28" t="str">
        <f aca="false">IF($C38=1,01_因子設定!$G$5+D38*01_因子設定!$H$5,"")</f>
        <v/>
      </c>
      <c r="I38" s="28" t="str">
        <f aca="false">IF($C38=1,01_因子設定!$G$6+E38*01_因子設定!$H$6,"")</f>
        <v/>
      </c>
      <c r="J38" s="28" t="str">
        <f aca="false">IF($C38=1,01_因子設定!$G$7+F38*01_因子設定!$H$7,"")</f>
        <v/>
      </c>
      <c r="K38" s="28" t="str">
        <f aca="false">IF($C38=1,01_因子設定!$G$8+G38*01_因子設定!$H$8,"")</f>
        <v/>
      </c>
      <c r="L38" s="11" t="str">
        <f aca="false">IF(C38=0,"",IF(AND(OR(01_因子設定!$I$5="",H38&gt;=01_因子設定!$I$5),OR(01_因子設定!$J$5="",H38&lt;=01_因子設定!$J$5),OR(01_因子設定!$I$6="",I38&gt;=01_因子設定!$I$6),OR(01_因子設定!$J$6="",I38&lt;=01_因子設定!$J$6),OR(01_因子設定!$I$7="",J38&gt;=01_因子設定!$I$7),OR(01_因子設定!$J$7="",J38&lt;=01_因子設定!$J$7),OR(01_因子設定!$I$8="",K38&gt;=01_因子設定!$I$8),OR(01_因子設定!$J$8="",K38&lt;=01_因子設定!$J$8)),"OK","安全限界超過"))</f>
        <v/>
      </c>
      <c r="M38" s="29" t="n">
        <v>0.908461</v>
      </c>
      <c r="N38" s="30" t="n">
        <f aca="false">IF(C38=0,99,IF(AND(01_因子設定!$B$24="変更困難因子でグループ化",01_因子設定!$B$25&gt;0),VLOOKUP(ROUND(INDEX(D38:G38,01_因子設定!$B$25),6),$AA$5:$AB$9,2,FALSE())+M38*0.9,M38))</f>
        <v>99</v>
      </c>
      <c r="O38" s="31" t="str">
        <f aca="false">IF(C38=1,SUMPRODUCT(($C$5:$C$38=1)*($N$5:$N$38&lt;N38))+1,"")</f>
        <v/>
      </c>
      <c r="P38" s="28" t="n">
        <f aca="false">IF(C38=1,INDEX(03_実験結果!$I$5:$I$38,O38),0)</f>
        <v>0</v>
      </c>
      <c r="R38" s="32" t="n">
        <v>0</v>
      </c>
      <c r="S38" s="32" t="n">
        <v>0</v>
      </c>
      <c r="T38" s="32" t="n">
        <v>0</v>
      </c>
      <c r="U38" s="32" t="n">
        <v>0</v>
      </c>
      <c r="V38" s="32" t="n">
        <v>0</v>
      </c>
      <c r="W38" s="32" t="n">
        <v>0</v>
      </c>
      <c r="X38" s="32" t="n">
        <v>0</v>
      </c>
      <c r="Y38" s="32" t="n">
        <v>0</v>
      </c>
    </row>
    <row r="40" customFormat="false" ht="15" hidden="false" customHeight="false" outlineLevel="0" collapsed="false">
      <c r="R40" s="19" t="s">
        <v>135</v>
      </c>
    </row>
  </sheetData>
  <conditionalFormatting sqref="L5:L38">
    <cfRule type="cellIs" priority="2" operator="equal" aboveAverage="0" equalAverage="0" bottom="0" percent="0" rank="0" text="" dxfId="0">
      <formula>"安全限界超過"</formula>
    </cfRule>
  </conditionalFormatting>
  <conditionalFormatting sqref="A5:P38">
    <cfRule type="expression" priority="3" aboveAverage="0" equalAverage="0" bottom="0" percent="0" rank="0" text="" dxfId="1">
      <formula>$C5=0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8" min="4" style="0" width="12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21.6" hidden="false" customHeight="false" outlineLevel="0" collapsed="false">
      <c r="A1" s="8" t="s">
        <v>136</v>
      </c>
    </row>
    <row r="2" customFormat="false" ht="15" hidden="false" customHeight="false" outlineLevel="0" collapsed="false">
      <c r="A2" s="2" t="s">
        <v>137</v>
      </c>
    </row>
    <row r="4" customFormat="false" ht="29.85" hidden="false" customHeight="false" outlineLevel="0" collapsed="false">
      <c r="A4" s="10" t="s">
        <v>122</v>
      </c>
      <c r="B4" s="10" t="s">
        <v>112</v>
      </c>
      <c r="C4" s="10" t="s">
        <v>113</v>
      </c>
      <c r="D4" s="10" t="str">
        <f aca="false">01_因子設定!B5&amp;"["&amp;01_因子設定!D5&amp;"]"</f>
        <v>炉温[℃]</v>
      </c>
      <c r="E4" s="10" t="str">
        <f aca="false">01_因子設定!B6&amp;"["&amp;01_因子設定!D6&amp;"]"</f>
        <v>乾燥時間[min]</v>
      </c>
      <c r="F4" s="10" t="str">
        <f aca="false">01_因子設定!B7&amp;"["&amp;01_因子設定!D7&amp;"]"</f>
        <v>循環風速[m/s]</v>
      </c>
      <c r="G4" s="10" t="str">
        <f aca="false">01_因子設定!B8&amp;"["&amp;01_因子設定!D8&amp;"]"</f>
        <v>給気率[%]</v>
      </c>
      <c r="H4" s="10" t="s">
        <v>138</v>
      </c>
      <c r="I4" s="10" t="str">
        <f aca="false">"Y："&amp;01_因子設定!B11&amp;"["&amp;01_因子設定!B12&amp;"]"</f>
        <v>Y：剥離強度[N/25mm]</v>
      </c>
      <c r="J4" s="10" t="s">
        <v>139</v>
      </c>
    </row>
    <row r="5" customFormat="false" ht="15" hidden="false" customHeight="false" outlineLevel="0" collapsed="false">
      <c r="A5" s="13" t="n">
        <v>1</v>
      </c>
      <c r="B5" s="34" t="n">
        <f aca="false">IF(A5&lt;=01_因子設定!$B$23,INDEX(02_実験計画!$A$5:$A$38,MATCH(A5,02_実験計画!$O$5:$O$38,0)),"")</f>
        <v>30</v>
      </c>
      <c r="C5" s="34" t="str">
        <f aca="false">IF(B5="","",INDEX(02_実験計画!$B$5:$B$38,B5))</f>
        <v>中心点</v>
      </c>
      <c r="D5" s="28" t="n">
        <f aca="false">IF($B5="","",INDEX(02_実験計画!$H$5:$H$38,$B5))</f>
        <v>65</v>
      </c>
      <c r="E5" s="28" t="n">
        <f aca="false">IF($B5="","",INDEX(02_実験計画!$I$5:$I$38,$B5))</f>
        <v>30</v>
      </c>
      <c r="F5" s="28" t="n">
        <f aca="false">IF($B5="","",INDEX(02_実験計画!$J$5:$J$38,$B5))</f>
        <v>2</v>
      </c>
      <c r="G5" s="28" t="n">
        <f aca="false">IF($B5="","",INDEX(02_実験計画!$K$5:$K$38,$B5))</f>
        <v>40</v>
      </c>
      <c r="H5" s="28" t="n">
        <f aca="false">IF(OR(B5="",01_因子設定!$B$25=0),"",INDEX(D5:G5,01_因子設定!$B$25))</f>
        <v>65</v>
      </c>
      <c r="I5" s="20" t="n">
        <v>47.7</v>
      </c>
      <c r="J5" s="14"/>
    </row>
    <row r="6" customFormat="false" ht="15" hidden="false" customHeight="false" outlineLevel="0" collapsed="false">
      <c r="A6" s="13" t="n">
        <v>2</v>
      </c>
      <c r="B6" s="34" t="n">
        <f aca="false">IF(A6&lt;=01_因子設定!$B$23,INDEX(02_実験計画!$A$5:$A$38,MATCH(A6,02_実験計画!$O$5:$O$38,0)),"")</f>
        <v>27</v>
      </c>
      <c r="C6" s="34" t="str">
        <f aca="false">IF(B6="","",INDEX(02_実験計画!$B$5:$B$38,B6))</f>
        <v>中心点</v>
      </c>
      <c r="D6" s="28" t="n">
        <f aca="false">IF($B6="","",INDEX(02_実験計画!$H$5:$H$38,$B6))</f>
        <v>65</v>
      </c>
      <c r="E6" s="28" t="n">
        <f aca="false">IF($B6="","",INDEX(02_実験計画!$I$5:$I$38,$B6))</f>
        <v>30</v>
      </c>
      <c r="F6" s="28" t="n">
        <f aca="false">IF($B6="","",INDEX(02_実験計画!$J$5:$J$38,$B6))</f>
        <v>2</v>
      </c>
      <c r="G6" s="28" t="n">
        <f aca="false">IF($B6="","",INDEX(02_実験計画!$K$5:$K$38,$B6))</f>
        <v>40</v>
      </c>
      <c r="H6" s="28" t="n">
        <f aca="false">IF(OR(B6="",01_因子設定!$B$25=0),"",INDEX(D6:G6,01_因子設定!$B$25))</f>
        <v>65</v>
      </c>
      <c r="I6" s="20" t="n">
        <v>47.7</v>
      </c>
      <c r="J6" s="14"/>
    </row>
    <row r="7" customFormat="false" ht="15" hidden="false" customHeight="false" outlineLevel="0" collapsed="false">
      <c r="A7" s="13" t="n">
        <v>3</v>
      </c>
      <c r="B7" s="34" t="n">
        <f aca="false">IF(A7&lt;=01_因子設定!$B$23,INDEX(02_実験計画!$A$5:$A$38,MATCH(A7,02_実験計画!$O$5:$O$38,0)),"")</f>
        <v>2</v>
      </c>
      <c r="C7" s="34" t="str">
        <f aca="false">IF(B7="","",INDEX(02_実験計画!$B$5:$B$38,B7))</f>
        <v>要因点</v>
      </c>
      <c r="D7" s="28" t="n">
        <f aca="false">IF($B7="","",INDEX(02_実験計画!$H$5:$H$38,$B7))</f>
        <v>75</v>
      </c>
      <c r="E7" s="28" t="n">
        <f aca="false">IF($B7="","",INDEX(02_実験計画!$I$5:$I$38,$B7))</f>
        <v>20</v>
      </c>
      <c r="F7" s="28" t="n">
        <f aca="false">IF($B7="","",INDEX(02_実験計画!$J$5:$J$38,$B7))</f>
        <v>1</v>
      </c>
      <c r="G7" s="28" t="n">
        <f aca="false">IF($B7="","",INDEX(02_実験計画!$K$5:$K$38,$B7))</f>
        <v>20</v>
      </c>
      <c r="H7" s="28" t="n">
        <f aca="false">IF(OR(B7="",01_因子設定!$B$25=0),"",INDEX(D7:G7,01_因子設定!$B$25))</f>
        <v>75</v>
      </c>
      <c r="I7" s="20" t="n">
        <v>39.4</v>
      </c>
      <c r="J7" s="14"/>
    </row>
    <row r="8" customFormat="false" ht="15" hidden="false" customHeight="false" outlineLevel="0" collapsed="false">
      <c r="A8" s="13" t="n">
        <v>4</v>
      </c>
      <c r="B8" s="34" t="n">
        <f aca="false">IF(A8&lt;=01_因子設定!$B$23,INDEX(02_実験計画!$A$5:$A$38,MATCH(A8,02_実験計画!$O$5:$O$38,0)),"")</f>
        <v>6</v>
      </c>
      <c r="C8" s="34" t="str">
        <f aca="false">IF(B8="","",INDEX(02_実験計画!$B$5:$B$38,B8))</f>
        <v>要因点</v>
      </c>
      <c r="D8" s="28" t="n">
        <f aca="false">IF($B8="","",INDEX(02_実験計画!$H$5:$H$38,$B8))</f>
        <v>75</v>
      </c>
      <c r="E8" s="28" t="n">
        <f aca="false">IF($B8="","",INDEX(02_実験計画!$I$5:$I$38,$B8))</f>
        <v>20</v>
      </c>
      <c r="F8" s="28" t="n">
        <f aca="false">IF($B8="","",INDEX(02_実験計画!$J$5:$J$38,$B8))</f>
        <v>3</v>
      </c>
      <c r="G8" s="28" t="n">
        <f aca="false">IF($B8="","",INDEX(02_実験計画!$K$5:$K$38,$B8))</f>
        <v>20</v>
      </c>
      <c r="H8" s="28" t="n">
        <f aca="false">IF(OR(B8="",01_因子設定!$B$25=0),"",INDEX(D8:G8,01_因子設定!$B$25))</f>
        <v>75</v>
      </c>
      <c r="I8" s="20" t="n">
        <v>40.1</v>
      </c>
      <c r="J8" s="14"/>
    </row>
    <row r="9" customFormat="false" ht="15" hidden="false" customHeight="false" outlineLevel="0" collapsed="false">
      <c r="A9" s="13" t="n">
        <v>5</v>
      </c>
      <c r="B9" s="34" t="n">
        <f aca="false">IF(A9&lt;=01_因子設定!$B$23,INDEX(02_実験計画!$A$5:$A$38,MATCH(A9,02_実験計画!$O$5:$O$38,0)),"")</f>
        <v>1</v>
      </c>
      <c r="C9" s="34" t="str">
        <f aca="false">IF(B9="","",INDEX(02_実験計画!$B$5:$B$38,B9))</f>
        <v>要因点</v>
      </c>
      <c r="D9" s="28" t="n">
        <f aca="false">IF($B9="","",INDEX(02_実験計画!$H$5:$H$38,$B9))</f>
        <v>55</v>
      </c>
      <c r="E9" s="28" t="n">
        <f aca="false">IF($B9="","",INDEX(02_実験計画!$I$5:$I$38,$B9))</f>
        <v>20</v>
      </c>
      <c r="F9" s="28" t="n">
        <f aca="false">IF($B9="","",INDEX(02_実験計画!$J$5:$J$38,$B9))</f>
        <v>1</v>
      </c>
      <c r="G9" s="28" t="n">
        <f aca="false">IF($B9="","",INDEX(02_実験計画!$K$5:$K$38,$B9))</f>
        <v>20</v>
      </c>
      <c r="H9" s="28" t="n">
        <f aca="false">IF(OR(B9="",01_因子設定!$B$25=0),"",INDEX(D9:G9,01_因子設定!$B$25))</f>
        <v>55</v>
      </c>
      <c r="I9" s="20" t="n">
        <v>37.7</v>
      </c>
      <c r="J9" s="14"/>
    </row>
    <row r="10" customFormat="false" ht="15" hidden="false" customHeight="false" outlineLevel="0" collapsed="false">
      <c r="A10" s="13" t="n">
        <v>6</v>
      </c>
      <c r="B10" s="34" t="n">
        <f aca="false">IF(A10&lt;=01_因子設定!$B$23,INDEX(02_実験計画!$A$5:$A$38,MATCH(A10,02_実験計画!$O$5:$O$38,0)),"")</f>
        <v>5</v>
      </c>
      <c r="C10" s="34" t="str">
        <f aca="false">IF(B10="","",INDEX(02_実験計画!$B$5:$B$38,B10))</f>
        <v>要因点</v>
      </c>
      <c r="D10" s="28" t="n">
        <f aca="false">IF($B10="","",INDEX(02_実験計画!$H$5:$H$38,$B10))</f>
        <v>55</v>
      </c>
      <c r="E10" s="28" t="n">
        <f aca="false">IF($B10="","",INDEX(02_実験計画!$I$5:$I$38,$B10))</f>
        <v>20</v>
      </c>
      <c r="F10" s="28" t="n">
        <f aca="false">IF($B10="","",INDEX(02_実験計画!$J$5:$J$38,$B10))</f>
        <v>3</v>
      </c>
      <c r="G10" s="28" t="n">
        <f aca="false">IF($B10="","",INDEX(02_実験計画!$K$5:$K$38,$B10))</f>
        <v>20</v>
      </c>
      <c r="H10" s="28" t="n">
        <f aca="false">IF(OR(B10="",01_因子設定!$B$25=0),"",INDEX(D10:G10,01_因子設定!$B$25))</f>
        <v>55</v>
      </c>
      <c r="I10" s="20" t="n">
        <v>38.7</v>
      </c>
      <c r="J10" s="14"/>
    </row>
    <row r="11" customFormat="false" ht="15" hidden="false" customHeight="false" outlineLevel="0" collapsed="false">
      <c r="A11" s="13" t="n">
        <v>7</v>
      </c>
      <c r="B11" s="34" t="n">
        <f aca="false">IF(A11&lt;=01_因子設定!$B$23,INDEX(02_実験計画!$A$5:$A$38,MATCH(A11,02_実験計画!$O$5:$O$38,0)),"")</f>
        <v>23</v>
      </c>
      <c r="C11" s="34" t="str">
        <f aca="false">IF(B11="","",INDEX(02_実験計画!$B$5:$B$38,B11))</f>
        <v>軸点</v>
      </c>
      <c r="D11" s="28" t="n">
        <f aca="false">IF($B11="","",INDEX(02_実験計画!$H$5:$H$38,$B11))</f>
        <v>65</v>
      </c>
      <c r="E11" s="28" t="n">
        <f aca="false">IF($B11="","",INDEX(02_実験計画!$I$5:$I$38,$B11))</f>
        <v>30</v>
      </c>
      <c r="F11" s="28" t="n">
        <f aca="false">IF($B11="","",INDEX(02_実験計画!$J$5:$J$38,$B11))</f>
        <v>2</v>
      </c>
      <c r="G11" s="28" t="n">
        <f aca="false">IF($B11="","",INDEX(02_実験計画!$K$5:$K$38,$B11))</f>
        <v>20</v>
      </c>
      <c r="H11" s="28" t="n">
        <f aca="false">IF(OR(B11="",01_因子設定!$B$25=0),"",INDEX(D11:G11,01_因子設定!$B$25))</f>
        <v>65</v>
      </c>
      <c r="I11" s="20" t="n">
        <v>46.7</v>
      </c>
      <c r="J11" s="14"/>
    </row>
    <row r="12" customFormat="false" ht="15" hidden="false" customHeight="false" outlineLevel="0" collapsed="false">
      <c r="A12" s="13" t="n">
        <v>8</v>
      </c>
      <c r="B12" s="34" t="n">
        <f aca="false">IF(A12&lt;=01_因子設定!$B$23,INDEX(02_実験計画!$A$5:$A$38,MATCH(A12,02_実験計画!$O$5:$O$38,0)),"")</f>
        <v>22</v>
      </c>
      <c r="C12" s="34" t="str">
        <f aca="false">IF(B12="","",INDEX(02_実験計画!$B$5:$B$38,B12))</f>
        <v>軸点</v>
      </c>
      <c r="D12" s="28" t="n">
        <f aca="false">IF($B12="","",INDEX(02_実験計画!$H$5:$H$38,$B12))</f>
        <v>65</v>
      </c>
      <c r="E12" s="28" t="n">
        <f aca="false">IF($B12="","",INDEX(02_実験計画!$I$5:$I$38,$B12))</f>
        <v>30</v>
      </c>
      <c r="F12" s="28" t="n">
        <f aca="false">IF($B12="","",INDEX(02_実験計画!$J$5:$J$38,$B12))</f>
        <v>3</v>
      </c>
      <c r="G12" s="28" t="n">
        <f aca="false">IF($B12="","",INDEX(02_実験計画!$K$5:$K$38,$B12))</f>
        <v>40</v>
      </c>
      <c r="H12" s="28" t="n">
        <f aca="false">IF(OR(B12="",01_因子設定!$B$25=0),"",INDEX(D12:G12,01_因子設定!$B$25))</f>
        <v>65</v>
      </c>
      <c r="I12" s="20" t="n">
        <v>48.3</v>
      </c>
      <c r="J12" s="14"/>
    </row>
    <row r="13" customFormat="false" ht="15" hidden="false" customHeight="false" outlineLevel="0" collapsed="false">
      <c r="A13" s="13" t="n">
        <v>9</v>
      </c>
      <c r="B13" s="34" t="n">
        <f aca="false">IF(A13&lt;=01_因子設定!$B$23,INDEX(02_実験計画!$A$5:$A$38,MATCH(A13,02_実験計画!$O$5:$O$38,0)),"")</f>
        <v>13</v>
      </c>
      <c r="C13" s="34" t="str">
        <f aca="false">IF(B13="","",INDEX(02_実験計画!$B$5:$B$38,B13))</f>
        <v>要因点</v>
      </c>
      <c r="D13" s="28" t="n">
        <f aca="false">IF($B13="","",INDEX(02_実験計画!$H$5:$H$38,$B13))</f>
        <v>55</v>
      </c>
      <c r="E13" s="28" t="n">
        <f aca="false">IF($B13="","",INDEX(02_実験計画!$I$5:$I$38,$B13))</f>
        <v>20</v>
      </c>
      <c r="F13" s="28" t="n">
        <f aca="false">IF($B13="","",INDEX(02_実験計画!$J$5:$J$38,$B13))</f>
        <v>3</v>
      </c>
      <c r="G13" s="28" t="n">
        <f aca="false">IF($B13="","",INDEX(02_実験計画!$K$5:$K$38,$B13))</f>
        <v>60</v>
      </c>
      <c r="H13" s="28" t="n">
        <f aca="false">IF(OR(B13="",01_因子設定!$B$25=0),"",INDEX(D13:G13,01_因子設定!$B$25))</f>
        <v>55</v>
      </c>
      <c r="I13" s="20" t="n">
        <v>40.7</v>
      </c>
      <c r="J13" s="14"/>
    </row>
    <row r="14" customFormat="false" ht="15" hidden="false" customHeight="false" outlineLevel="0" collapsed="false">
      <c r="A14" s="13" t="n">
        <v>10</v>
      </c>
      <c r="B14" s="34" t="n">
        <f aca="false">IF(A14&lt;=01_因子設定!$B$23,INDEX(02_実験計画!$A$5:$A$38,MATCH(A14,02_実験計画!$O$5:$O$38,0)),"")</f>
        <v>17</v>
      </c>
      <c r="C14" s="34" t="str">
        <f aca="false">IF(B14="","",INDEX(02_実験計画!$B$5:$B$38,B14))</f>
        <v>軸点</v>
      </c>
      <c r="D14" s="28" t="n">
        <f aca="false">IF($B14="","",INDEX(02_実験計画!$H$5:$H$38,$B14))</f>
        <v>55</v>
      </c>
      <c r="E14" s="28" t="n">
        <f aca="false">IF($B14="","",INDEX(02_実験計画!$I$5:$I$38,$B14))</f>
        <v>30</v>
      </c>
      <c r="F14" s="28" t="n">
        <f aca="false">IF($B14="","",INDEX(02_実験計画!$J$5:$J$38,$B14))</f>
        <v>2</v>
      </c>
      <c r="G14" s="28" t="n">
        <f aca="false">IF($B14="","",INDEX(02_実験計画!$K$5:$K$38,$B14))</f>
        <v>40</v>
      </c>
      <c r="H14" s="28" t="n">
        <f aca="false">IF(OR(B14="",01_因子設定!$B$25=0),"",INDEX(D14:G14,01_因子設定!$B$25))</f>
        <v>55</v>
      </c>
      <c r="I14" s="20" t="n">
        <v>43.6</v>
      </c>
      <c r="J14" s="14"/>
    </row>
    <row r="15" customFormat="false" ht="15" hidden="false" customHeight="false" outlineLevel="0" collapsed="false">
      <c r="A15" s="13" t="n">
        <v>11</v>
      </c>
      <c r="B15" s="34" t="n">
        <f aca="false">IF(A15&lt;=01_因子設定!$B$23,INDEX(02_実験計画!$A$5:$A$38,MATCH(A15,02_実験計画!$O$5:$O$38,0)),"")</f>
        <v>18</v>
      </c>
      <c r="C15" s="34" t="str">
        <f aca="false">IF(B15="","",INDEX(02_実験計画!$B$5:$B$38,B15))</f>
        <v>軸点</v>
      </c>
      <c r="D15" s="28" t="n">
        <f aca="false">IF($B15="","",INDEX(02_実験計画!$H$5:$H$38,$B15))</f>
        <v>75</v>
      </c>
      <c r="E15" s="28" t="n">
        <f aca="false">IF($B15="","",INDEX(02_実験計画!$I$5:$I$38,$B15))</f>
        <v>30</v>
      </c>
      <c r="F15" s="28" t="n">
        <f aca="false">IF($B15="","",INDEX(02_実験計画!$J$5:$J$38,$B15))</f>
        <v>2</v>
      </c>
      <c r="G15" s="28" t="n">
        <f aca="false">IF($B15="","",INDEX(02_実験計画!$K$5:$K$38,$B15))</f>
        <v>40</v>
      </c>
      <c r="H15" s="28" t="n">
        <f aca="false">IF(OR(B15="",01_因子設定!$B$25=0),"",INDEX(D15:G15,01_因子設定!$B$25))</f>
        <v>75</v>
      </c>
      <c r="I15" s="20" t="n">
        <v>47.7</v>
      </c>
      <c r="J15" s="14"/>
    </row>
    <row r="16" customFormat="false" ht="15" hidden="false" customHeight="false" outlineLevel="0" collapsed="false">
      <c r="A16" s="13" t="n">
        <v>12</v>
      </c>
      <c r="B16" s="34" t="n">
        <f aca="false">IF(A16&lt;=01_因子設定!$B$23,INDEX(02_実験計画!$A$5:$A$38,MATCH(A16,02_実験計画!$O$5:$O$38,0)),"")</f>
        <v>10</v>
      </c>
      <c r="C16" s="34" t="str">
        <f aca="false">IF(B16="","",INDEX(02_実験計画!$B$5:$B$38,B16))</f>
        <v>要因点</v>
      </c>
      <c r="D16" s="28" t="n">
        <f aca="false">IF($B16="","",INDEX(02_実験計画!$H$5:$H$38,$B16))</f>
        <v>75</v>
      </c>
      <c r="E16" s="28" t="n">
        <f aca="false">IF($B16="","",INDEX(02_実験計画!$I$5:$I$38,$B16))</f>
        <v>20</v>
      </c>
      <c r="F16" s="28" t="n">
        <f aca="false">IF($B16="","",INDEX(02_実験計画!$J$5:$J$38,$B16))</f>
        <v>1</v>
      </c>
      <c r="G16" s="28" t="n">
        <f aca="false">IF($B16="","",INDEX(02_実験計画!$K$5:$K$38,$B16))</f>
        <v>60</v>
      </c>
      <c r="H16" s="28" t="n">
        <f aca="false">IF(OR(B16="",01_因子設定!$B$25=0),"",INDEX(D16:G16,01_因子設定!$B$25))</f>
        <v>75</v>
      </c>
      <c r="I16" s="20" t="n">
        <v>40.7</v>
      </c>
      <c r="J16" s="14"/>
    </row>
    <row r="17" customFormat="false" ht="15" hidden="false" customHeight="false" outlineLevel="0" collapsed="false">
      <c r="A17" s="13" t="n">
        <v>13</v>
      </c>
      <c r="B17" s="34" t="n">
        <f aca="false">IF(A17&lt;=01_因子設定!$B$23,INDEX(02_実験計画!$A$5:$A$38,MATCH(A17,02_実験計画!$O$5:$O$38,0)),"")</f>
        <v>14</v>
      </c>
      <c r="C17" s="34" t="str">
        <f aca="false">IF(B17="","",INDEX(02_実験計画!$B$5:$B$38,B17))</f>
        <v>要因点</v>
      </c>
      <c r="D17" s="28" t="n">
        <f aca="false">IF($B17="","",INDEX(02_実験計画!$H$5:$H$38,$B17))</f>
        <v>75</v>
      </c>
      <c r="E17" s="28" t="n">
        <f aca="false">IF($B17="","",INDEX(02_実験計画!$I$5:$I$38,$B17))</f>
        <v>20</v>
      </c>
      <c r="F17" s="28" t="n">
        <f aca="false">IF($B17="","",INDEX(02_実験計画!$J$5:$J$38,$B17))</f>
        <v>3</v>
      </c>
      <c r="G17" s="28" t="n">
        <f aca="false">IF($B17="","",INDEX(02_実験計画!$K$5:$K$38,$B17))</f>
        <v>60</v>
      </c>
      <c r="H17" s="28" t="n">
        <f aca="false">IF(OR(B17="",01_因子設定!$B$25=0),"",INDEX(D17:G17,01_因子設定!$B$25))</f>
        <v>75</v>
      </c>
      <c r="I17" s="20" t="n">
        <v>41.3</v>
      </c>
      <c r="J17" s="14"/>
    </row>
    <row r="18" customFormat="false" ht="15" hidden="false" customHeight="false" outlineLevel="0" collapsed="false">
      <c r="A18" s="13" t="n">
        <v>14</v>
      </c>
      <c r="B18" s="34" t="n">
        <f aca="false">IF(A18&lt;=01_因子設定!$B$23,INDEX(02_実験計画!$A$5:$A$38,MATCH(A18,02_実験計画!$O$5:$O$38,0)),"")</f>
        <v>12</v>
      </c>
      <c r="C18" s="34" t="str">
        <f aca="false">IF(B18="","",INDEX(02_実験計画!$B$5:$B$38,B18))</f>
        <v>要因点</v>
      </c>
      <c r="D18" s="28" t="n">
        <f aca="false">IF($B18="","",INDEX(02_実験計画!$H$5:$H$38,$B18))</f>
        <v>75</v>
      </c>
      <c r="E18" s="28" t="n">
        <f aca="false">IF($B18="","",INDEX(02_実験計画!$I$5:$I$38,$B18))</f>
        <v>40</v>
      </c>
      <c r="F18" s="28" t="n">
        <f aca="false">IF($B18="","",INDEX(02_実験計画!$J$5:$J$38,$B18))</f>
        <v>1</v>
      </c>
      <c r="G18" s="28" t="n">
        <f aca="false">IF($B18="","",INDEX(02_実験計画!$K$5:$K$38,$B18))</f>
        <v>60</v>
      </c>
      <c r="H18" s="28" t="n">
        <f aca="false">IF(OR(B18="",01_因子設定!$B$25=0),"",INDEX(D18:G18,01_因子設定!$B$25))</f>
        <v>75</v>
      </c>
      <c r="I18" s="20" t="n">
        <v>46.4</v>
      </c>
      <c r="J18" s="14"/>
    </row>
    <row r="19" customFormat="false" ht="15" hidden="false" customHeight="false" outlineLevel="0" collapsed="false">
      <c r="A19" s="13" t="n">
        <v>15</v>
      </c>
      <c r="B19" s="34" t="n">
        <f aca="false">IF(A19&lt;=01_因子設定!$B$23,INDEX(02_実験計画!$A$5:$A$38,MATCH(A19,02_実験計画!$O$5:$O$38,0)),"")</f>
        <v>28</v>
      </c>
      <c r="C19" s="34" t="str">
        <f aca="false">IF(B19="","",INDEX(02_実験計画!$B$5:$B$38,B19))</f>
        <v>中心点</v>
      </c>
      <c r="D19" s="28" t="n">
        <f aca="false">IF($B19="","",INDEX(02_実験計画!$H$5:$H$38,$B19))</f>
        <v>65</v>
      </c>
      <c r="E19" s="28" t="n">
        <f aca="false">IF($B19="","",INDEX(02_実験計画!$I$5:$I$38,$B19))</f>
        <v>30</v>
      </c>
      <c r="F19" s="28" t="n">
        <f aca="false">IF($B19="","",INDEX(02_実験計画!$J$5:$J$38,$B19))</f>
        <v>2</v>
      </c>
      <c r="G19" s="28" t="n">
        <f aca="false">IF($B19="","",INDEX(02_実験計画!$K$5:$K$38,$B19))</f>
        <v>40</v>
      </c>
      <c r="H19" s="28" t="n">
        <f aca="false">IF(OR(B19="",01_因子設定!$B$25=0),"",INDEX(D19:G19,01_因子設定!$B$25))</f>
        <v>65</v>
      </c>
      <c r="I19" s="20" t="n">
        <v>46.4</v>
      </c>
      <c r="J19" s="14"/>
    </row>
    <row r="20" customFormat="false" ht="15" hidden="false" customHeight="false" outlineLevel="0" collapsed="false">
      <c r="A20" s="13" t="n">
        <v>16</v>
      </c>
      <c r="B20" s="34" t="n">
        <f aca="false">IF(A20&lt;=01_因子設定!$B$23,INDEX(02_実験計画!$A$5:$A$38,MATCH(A20,02_実験計画!$O$5:$O$38,0)),"")</f>
        <v>11</v>
      </c>
      <c r="C20" s="34" t="str">
        <f aca="false">IF(B20="","",INDEX(02_実験計画!$B$5:$B$38,B20))</f>
        <v>要因点</v>
      </c>
      <c r="D20" s="28" t="n">
        <f aca="false">IF($B20="","",INDEX(02_実験計画!$H$5:$H$38,$B20))</f>
        <v>55</v>
      </c>
      <c r="E20" s="28" t="n">
        <f aca="false">IF($B20="","",INDEX(02_実験計画!$I$5:$I$38,$B20))</f>
        <v>40</v>
      </c>
      <c r="F20" s="28" t="n">
        <f aca="false">IF($B20="","",INDEX(02_実験計画!$J$5:$J$38,$B20))</f>
        <v>1</v>
      </c>
      <c r="G20" s="28" t="n">
        <f aca="false">IF($B20="","",INDEX(02_実験計画!$K$5:$K$38,$B20))</f>
        <v>60</v>
      </c>
      <c r="H20" s="28" t="n">
        <f aca="false">IF(OR(B20="",01_因子設定!$B$25=0),"",INDEX(D20:G20,01_因子設定!$B$25))</f>
        <v>55</v>
      </c>
      <c r="I20" s="20" t="n">
        <v>38.1</v>
      </c>
      <c r="J20" s="14"/>
    </row>
    <row r="21" customFormat="false" ht="15" hidden="false" customHeight="false" outlineLevel="0" collapsed="false">
      <c r="A21" s="13" t="n">
        <v>17</v>
      </c>
      <c r="B21" s="34" t="n">
        <f aca="false">IF(A21&lt;=01_因子設定!$B$23,INDEX(02_実験計画!$A$5:$A$38,MATCH(A21,02_実験計画!$O$5:$O$38,0)),"")</f>
        <v>4</v>
      </c>
      <c r="C21" s="34" t="str">
        <f aca="false">IF(B21="","",INDEX(02_実験計画!$B$5:$B$38,B21))</f>
        <v>要因点</v>
      </c>
      <c r="D21" s="28" t="n">
        <f aca="false">IF($B21="","",INDEX(02_実験計画!$H$5:$H$38,$B21))</f>
        <v>75</v>
      </c>
      <c r="E21" s="28" t="n">
        <f aca="false">IF($B21="","",INDEX(02_実験計画!$I$5:$I$38,$B21))</f>
        <v>40</v>
      </c>
      <c r="F21" s="28" t="n">
        <f aca="false">IF($B21="","",INDEX(02_実験計画!$J$5:$J$38,$B21))</f>
        <v>1</v>
      </c>
      <c r="G21" s="28" t="n">
        <f aca="false">IF($B21="","",INDEX(02_実験計画!$K$5:$K$38,$B21))</f>
        <v>20</v>
      </c>
      <c r="H21" s="28" t="n">
        <f aca="false">IF(OR(B21="",01_因子設定!$B$25=0),"",INDEX(D21:G21,01_因子設定!$B$25))</f>
        <v>75</v>
      </c>
      <c r="I21" s="20" t="n">
        <v>46.6</v>
      </c>
      <c r="J21" s="14"/>
    </row>
    <row r="22" customFormat="false" ht="15" hidden="false" customHeight="false" outlineLevel="0" collapsed="false">
      <c r="A22" s="13" t="n">
        <v>18</v>
      </c>
      <c r="B22" s="34" t="n">
        <f aca="false">IF(A22&lt;=01_因子設定!$B$23,INDEX(02_実験計画!$A$5:$A$38,MATCH(A22,02_実験計画!$O$5:$O$38,0)),"")</f>
        <v>8</v>
      </c>
      <c r="C22" s="34" t="str">
        <f aca="false">IF(B22="","",INDEX(02_実験計画!$B$5:$B$38,B22))</f>
        <v>要因点</v>
      </c>
      <c r="D22" s="28" t="n">
        <f aca="false">IF($B22="","",INDEX(02_実験計画!$H$5:$H$38,$B22))</f>
        <v>75</v>
      </c>
      <c r="E22" s="28" t="n">
        <f aca="false">IF($B22="","",INDEX(02_実験計画!$I$5:$I$38,$B22))</f>
        <v>40</v>
      </c>
      <c r="F22" s="28" t="n">
        <f aca="false">IF($B22="","",INDEX(02_実験計画!$J$5:$J$38,$B22))</f>
        <v>3</v>
      </c>
      <c r="G22" s="28" t="n">
        <f aca="false">IF($B22="","",INDEX(02_実験計画!$K$5:$K$38,$B22))</f>
        <v>20</v>
      </c>
      <c r="H22" s="28" t="n">
        <f aca="false">IF(OR(B22="",01_因子設定!$B$25=0),"",INDEX(D22:G22,01_因子設定!$B$25))</f>
        <v>75</v>
      </c>
      <c r="I22" s="20" t="n">
        <v>46.7</v>
      </c>
      <c r="J22" s="14"/>
    </row>
    <row r="23" customFormat="false" ht="15" hidden="false" customHeight="false" outlineLevel="0" collapsed="false">
      <c r="A23" s="13" t="n">
        <v>19</v>
      </c>
      <c r="B23" s="34" t="n">
        <f aca="false">IF(A23&lt;=01_因子設定!$B$23,INDEX(02_実験計画!$A$5:$A$38,MATCH(A23,02_実験計画!$O$5:$O$38,0)),"")</f>
        <v>19</v>
      </c>
      <c r="C23" s="34" t="str">
        <f aca="false">IF(B23="","",INDEX(02_実験計画!$B$5:$B$38,B23))</f>
        <v>軸点</v>
      </c>
      <c r="D23" s="28" t="n">
        <f aca="false">IF($B23="","",INDEX(02_実験計画!$H$5:$H$38,$B23))</f>
        <v>65</v>
      </c>
      <c r="E23" s="28" t="n">
        <f aca="false">IF($B23="","",INDEX(02_実験計画!$I$5:$I$38,$B23))</f>
        <v>20</v>
      </c>
      <c r="F23" s="28" t="n">
        <f aca="false">IF($B23="","",INDEX(02_実験計画!$J$5:$J$38,$B23))</f>
        <v>2</v>
      </c>
      <c r="G23" s="28" t="n">
        <f aca="false">IF($B23="","",INDEX(02_実験計画!$K$5:$K$38,$B23))</f>
        <v>40</v>
      </c>
      <c r="H23" s="28" t="n">
        <f aca="false">IF(OR(B23="",01_因子設定!$B$25=0),"",INDEX(D23:G23,01_因子設定!$B$25))</f>
        <v>65</v>
      </c>
      <c r="I23" s="20" t="n">
        <v>43.9</v>
      </c>
      <c r="J23" s="14"/>
    </row>
    <row r="24" customFormat="false" ht="15" hidden="false" customHeight="false" outlineLevel="0" collapsed="false">
      <c r="A24" s="13" t="n">
        <v>20</v>
      </c>
      <c r="B24" s="34" t="n">
        <f aca="false">IF(A24&lt;=01_因子設定!$B$23,INDEX(02_実験計画!$A$5:$A$38,MATCH(A24,02_実験計画!$O$5:$O$38,0)),"")</f>
        <v>21</v>
      </c>
      <c r="C24" s="34" t="str">
        <f aca="false">IF(B24="","",INDEX(02_実験計画!$B$5:$B$38,B24))</f>
        <v>軸点</v>
      </c>
      <c r="D24" s="28" t="n">
        <f aca="false">IF($B24="","",INDEX(02_実験計画!$H$5:$H$38,$B24))</f>
        <v>65</v>
      </c>
      <c r="E24" s="28" t="n">
        <f aca="false">IF($B24="","",INDEX(02_実験計画!$I$5:$I$38,$B24))</f>
        <v>30</v>
      </c>
      <c r="F24" s="28" t="n">
        <f aca="false">IF($B24="","",INDEX(02_実験計画!$J$5:$J$38,$B24))</f>
        <v>1</v>
      </c>
      <c r="G24" s="28" t="n">
        <f aca="false">IF($B24="","",INDEX(02_実験計画!$K$5:$K$38,$B24))</f>
        <v>40</v>
      </c>
      <c r="H24" s="28" t="n">
        <f aca="false">IF(OR(B24="",01_因子設定!$B$25=0),"",INDEX(D24:G24,01_因子設定!$B$25))</f>
        <v>65</v>
      </c>
      <c r="I24" s="20" t="n">
        <v>46.8</v>
      </c>
      <c r="J24" s="14"/>
    </row>
    <row r="25" customFormat="false" ht="15" hidden="false" customHeight="false" outlineLevel="0" collapsed="false">
      <c r="A25" s="13" t="n">
        <v>21</v>
      </c>
      <c r="B25" s="34" t="n">
        <f aca="false">IF(A25&lt;=01_因子設定!$B$23,INDEX(02_実験計画!$A$5:$A$38,MATCH(A25,02_実験計画!$O$5:$O$38,0)),"")</f>
        <v>24</v>
      </c>
      <c r="C25" s="34" t="str">
        <f aca="false">IF(B25="","",INDEX(02_実験計画!$B$5:$B$38,B25))</f>
        <v>軸点</v>
      </c>
      <c r="D25" s="28" t="n">
        <f aca="false">IF($B25="","",INDEX(02_実験計画!$H$5:$H$38,$B25))</f>
        <v>65</v>
      </c>
      <c r="E25" s="28" t="n">
        <f aca="false">IF($B25="","",INDEX(02_実験計画!$I$5:$I$38,$B25))</f>
        <v>30</v>
      </c>
      <c r="F25" s="28" t="n">
        <f aca="false">IF($B25="","",INDEX(02_実験計画!$J$5:$J$38,$B25))</f>
        <v>2</v>
      </c>
      <c r="G25" s="28" t="n">
        <f aca="false">IF($B25="","",INDEX(02_実験計画!$K$5:$K$38,$B25))</f>
        <v>60</v>
      </c>
      <c r="H25" s="28" t="n">
        <f aca="false">IF(OR(B25="",01_因子設定!$B$25=0),"",INDEX(D25:G25,01_因子設定!$B$25))</f>
        <v>65</v>
      </c>
      <c r="I25" s="20" t="n">
        <v>49</v>
      </c>
      <c r="J25" s="14"/>
    </row>
    <row r="26" customFormat="false" ht="15" hidden="false" customHeight="false" outlineLevel="0" collapsed="false">
      <c r="A26" s="13" t="n">
        <v>22</v>
      </c>
      <c r="B26" s="34" t="n">
        <f aca="false">IF(A26&lt;=01_因子設定!$B$23,INDEX(02_実験計画!$A$5:$A$38,MATCH(A26,02_実験計画!$O$5:$O$38,0)),"")</f>
        <v>7</v>
      </c>
      <c r="C26" s="34" t="str">
        <f aca="false">IF(B26="","",INDEX(02_実験計画!$B$5:$B$38,B26))</f>
        <v>要因点</v>
      </c>
      <c r="D26" s="28" t="n">
        <f aca="false">IF($B26="","",INDEX(02_実験計画!$H$5:$H$38,$B26))</f>
        <v>55</v>
      </c>
      <c r="E26" s="28" t="n">
        <f aca="false">IF($B26="","",INDEX(02_実験計画!$I$5:$I$38,$B26))</f>
        <v>40</v>
      </c>
      <c r="F26" s="28" t="n">
        <f aca="false">IF($B26="","",INDEX(02_実験計画!$J$5:$J$38,$B26))</f>
        <v>3</v>
      </c>
      <c r="G26" s="28" t="n">
        <f aca="false">IF($B26="","",INDEX(02_実験計画!$K$5:$K$38,$B26))</f>
        <v>20</v>
      </c>
      <c r="H26" s="28" t="n">
        <f aca="false">IF(OR(B26="",01_因子設定!$B$25=0),"",INDEX(D26:G26,01_因子設定!$B$25))</f>
        <v>55</v>
      </c>
      <c r="I26" s="20" t="n">
        <v>42.7</v>
      </c>
      <c r="J26" s="14"/>
    </row>
    <row r="27" customFormat="false" ht="15" hidden="false" customHeight="false" outlineLevel="0" collapsed="false">
      <c r="A27" s="13" t="n">
        <v>23</v>
      </c>
      <c r="B27" s="34" t="n">
        <f aca="false">IF(A27&lt;=01_因子設定!$B$23,INDEX(02_実験計画!$A$5:$A$38,MATCH(A27,02_実験計画!$O$5:$O$38,0)),"")</f>
        <v>3</v>
      </c>
      <c r="C27" s="34" t="str">
        <f aca="false">IF(B27="","",INDEX(02_実験計画!$B$5:$B$38,B27))</f>
        <v>要因点</v>
      </c>
      <c r="D27" s="28" t="n">
        <f aca="false">IF($B27="","",INDEX(02_実験計画!$H$5:$H$38,$B27))</f>
        <v>55</v>
      </c>
      <c r="E27" s="28" t="n">
        <f aca="false">IF($B27="","",INDEX(02_実験計画!$I$5:$I$38,$B27))</f>
        <v>40</v>
      </c>
      <c r="F27" s="28" t="n">
        <f aca="false">IF($B27="","",INDEX(02_実験計画!$J$5:$J$38,$B27))</f>
        <v>1</v>
      </c>
      <c r="G27" s="28" t="n">
        <f aca="false">IF($B27="","",INDEX(02_実験計画!$K$5:$K$38,$B27))</f>
        <v>20</v>
      </c>
      <c r="H27" s="28" t="n">
        <f aca="false">IF(OR(B27="",01_因子設定!$B$25=0),"",INDEX(D27:G27,01_因子設定!$B$25))</f>
        <v>55</v>
      </c>
      <c r="I27" s="20" t="n">
        <v>38.7</v>
      </c>
      <c r="J27" s="14"/>
    </row>
    <row r="28" customFormat="false" ht="15" hidden="false" customHeight="false" outlineLevel="0" collapsed="false">
      <c r="A28" s="13" t="n">
        <v>24</v>
      </c>
      <c r="B28" s="34" t="n">
        <f aca="false">IF(A28&lt;=01_因子設定!$B$23,INDEX(02_実験計画!$A$5:$A$38,MATCH(A28,02_実験計画!$O$5:$O$38,0)),"")</f>
        <v>20</v>
      </c>
      <c r="C28" s="34" t="str">
        <f aca="false">IF(B28="","",INDEX(02_実験計画!$B$5:$B$38,B28))</f>
        <v>軸点</v>
      </c>
      <c r="D28" s="28" t="n">
        <f aca="false">IF($B28="","",INDEX(02_実験計画!$H$5:$H$38,$B28))</f>
        <v>65</v>
      </c>
      <c r="E28" s="28" t="n">
        <f aca="false">IF($B28="","",INDEX(02_実験計画!$I$5:$I$38,$B28))</f>
        <v>40</v>
      </c>
      <c r="F28" s="28" t="n">
        <f aca="false">IF($B28="","",INDEX(02_実験計画!$J$5:$J$38,$B28))</f>
        <v>2</v>
      </c>
      <c r="G28" s="28" t="n">
        <f aca="false">IF($B28="","",INDEX(02_実験計画!$K$5:$K$38,$B28))</f>
        <v>40</v>
      </c>
      <c r="H28" s="28" t="n">
        <f aca="false">IF(OR(B28="",01_因子設定!$B$25=0),"",INDEX(D28:G28,01_因子設定!$B$25))</f>
        <v>65</v>
      </c>
      <c r="I28" s="20" t="n">
        <v>47.4</v>
      </c>
      <c r="J28" s="14"/>
    </row>
    <row r="29" customFormat="false" ht="15" hidden="false" customHeight="false" outlineLevel="0" collapsed="false">
      <c r="A29" s="13" t="n">
        <v>25</v>
      </c>
      <c r="B29" s="34" t="n">
        <f aca="false">IF(A29&lt;=01_因子設定!$B$23,INDEX(02_実験計画!$A$5:$A$38,MATCH(A29,02_実験計画!$O$5:$O$38,0)),"")</f>
        <v>25</v>
      </c>
      <c r="C29" s="34" t="str">
        <f aca="false">IF(B29="","",INDEX(02_実験計画!$B$5:$B$38,B29))</f>
        <v>中心点</v>
      </c>
      <c r="D29" s="28" t="n">
        <f aca="false">IF($B29="","",INDEX(02_実験計画!$H$5:$H$38,$B29))</f>
        <v>65</v>
      </c>
      <c r="E29" s="28" t="n">
        <f aca="false">IF($B29="","",INDEX(02_実験計画!$I$5:$I$38,$B29))</f>
        <v>30</v>
      </c>
      <c r="F29" s="28" t="n">
        <f aca="false">IF($B29="","",INDEX(02_実験計画!$J$5:$J$38,$B29))</f>
        <v>2</v>
      </c>
      <c r="G29" s="28" t="n">
        <f aca="false">IF($B29="","",INDEX(02_実験計画!$K$5:$K$38,$B29))</f>
        <v>40</v>
      </c>
      <c r="H29" s="28" t="n">
        <f aca="false">IF(OR(B29="",01_因子設定!$B$25=0),"",INDEX(D29:G29,01_因子設定!$B$25))</f>
        <v>65</v>
      </c>
      <c r="I29" s="20" t="n">
        <v>48</v>
      </c>
      <c r="J29" s="14"/>
    </row>
    <row r="30" customFormat="false" ht="15" hidden="false" customHeight="false" outlineLevel="0" collapsed="false">
      <c r="A30" s="13" t="n">
        <v>26</v>
      </c>
      <c r="B30" s="34" t="n">
        <f aca="false">IF(A30&lt;=01_因子設定!$B$23,INDEX(02_実験計画!$A$5:$A$38,MATCH(A30,02_実験計画!$O$5:$O$38,0)),"")</f>
        <v>15</v>
      </c>
      <c r="C30" s="34" t="str">
        <f aca="false">IF(B30="","",INDEX(02_実験計画!$B$5:$B$38,B30))</f>
        <v>要因点</v>
      </c>
      <c r="D30" s="28" t="n">
        <f aca="false">IF($B30="","",INDEX(02_実験計画!$H$5:$H$38,$B30))</f>
        <v>55</v>
      </c>
      <c r="E30" s="28" t="n">
        <f aca="false">IF($B30="","",INDEX(02_実験計画!$I$5:$I$38,$B30))</f>
        <v>40</v>
      </c>
      <c r="F30" s="28" t="n">
        <f aca="false">IF($B30="","",INDEX(02_実験計画!$J$5:$J$38,$B30))</f>
        <v>3</v>
      </c>
      <c r="G30" s="28" t="n">
        <f aca="false">IF($B30="","",INDEX(02_実験計画!$K$5:$K$38,$B30))</f>
        <v>60</v>
      </c>
      <c r="H30" s="28" t="n">
        <f aca="false">IF(OR(B30="",01_因子設定!$B$25=0),"",INDEX(D30:G30,01_因子設定!$B$25))</f>
        <v>55</v>
      </c>
      <c r="I30" s="20" t="n">
        <v>43.1</v>
      </c>
      <c r="J30" s="14"/>
    </row>
    <row r="31" customFormat="false" ht="15" hidden="false" customHeight="false" outlineLevel="0" collapsed="false">
      <c r="A31" s="13" t="n">
        <v>27</v>
      </c>
      <c r="B31" s="34" t="n">
        <f aca="false">IF(A31&lt;=01_因子設定!$B$23,INDEX(02_実験計画!$A$5:$A$38,MATCH(A31,02_実験計画!$O$5:$O$38,0)),"")</f>
        <v>26</v>
      </c>
      <c r="C31" s="34" t="str">
        <f aca="false">IF(B31="","",INDEX(02_実験計画!$B$5:$B$38,B31))</f>
        <v>中心点</v>
      </c>
      <c r="D31" s="28" t="n">
        <f aca="false">IF($B31="","",INDEX(02_実験計画!$H$5:$H$38,$B31))</f>
        <v>65</v>
      </c>
      <c r="E31" s="28" t="n">
        <f aca="false">IF($B31="","",INDEX(02_実験計画!$I$5:$I$38,$B31))</f>
        <v>30</v>
      </c>
      <c r="F31" s="28" t="n">
        <f aca="false">IF($B31="","",INDEX(02_実験計画!$J$5:$J$38,$B31))</f>
        <v>2</v>
      </c>
      <c r="G31" s="28" t="n">
        <f aca="false">IF($B31="","",INDEX(02_実験計画!$K$5:$K$38,$B31))</f>
        <v>40</v>
      </c>
      <c r="H31" s="28" t="n">
        <f aca="false">IF(OR(B31="",01_因子設定!$B$25=0),"",INDEX(D31:G31,01_因子設定!$B$25))</f>
        <v>65</v>
      </c>
      <c r="I31" s="20" t="n">
        <v>47</v>
      </c>
      <c r="J31" s="14"/>
    </row>
    <row r="32" customFormat="false" ht="15" hidden="false" customHeight="false" outlineLevel="0" collapsed="false">
      <c r="A32" s="13" t="n">
        <v>28</v>
      </c>
      <c r="B32" s="34" t="n">
        <f aca="false">IF(A32&lt;=01_因子設定!$B$23,INDEX(02_実験計画!$A$5:$A$38,MATCH(A32,02_実験計画!$O$5:$O$38,0)),"")</f>
        <v>29</v>
      </c>
      <c r="C32" s="34" t="str">
        <f aca="false">IF(B32="","",INDEX(02_実験計画!$B$5:$B$38,B32))</f>
        <v>中心点</v>
      </c>
      <c r="D32" s="28" t="n">
        <f aca="false">IF($B32="","",INDEX(02_実験計画!$H$5:$H$38,$B32))</f>
        <v>65</v>
      </c>
      <c r="E32" s="28" t="n">
        <f aca="false">IF($B32="","",INDEX(02_実験計画!$I$5:$I$38,$B32))</f>
        <v>30</v>
      </c>
      <c r="F32" s="28" t="n">
        <f aca="false">IF($B32="","",INDEX(02_実験計画!$J$5:$J$38,$B32))</f>
        <v>2</v>
      </c>
      <c r="G32" s="28" t="n">
        <f aca="false">IF($B32="","",INDEX(02_実験計画!$K$5:$K$38,$B32))</f>
        <v>40</v>
      </c>
      <c r="H32" s="28" t="n">
        <f aca="false">IF(OR(B32="",01_因子設定!$B$25=0),"",INDEX(D32:G32,01_因子設定!$B$25))</f>
        <v>65</v>
      </c>
      <c r="I32" s="20" t="n">
        <v>48.7</v>
      </c>
      <c r="J32" s="14"/>
    </row>
    <row r="33" customFormat="false" ht="15" hidden="false" customHeight="false" outlineLevel="0" collapsed="false">
      <c r="A33" s="13" t="n">
        <v>29</v>
      </c>
      <c r="B33" s="34" t="n">
        <f aca="false">IF(A33&lt;=01_因子設定!$B$23,INDEX(02_実験計画!$A$5:$A$38,MATCH(A33,02_実験計画!$O$5:$O$38,0)),"")</f>
        <v>9</v>
      </c>
      <c r="C33" s="34" t="str">
        <f aca="false">IF(B33="","",INDEX(02_実験計画!$B$5:$B$38,B33))</f>
        <v>要因点</v>
      </c>
      <c r="D33" s="28" t="n">
        <f aca="false">IF($B33="","",INDEX(02_実験計画!$H$5:$H$38,$B33))</f>
        <v>55</v>
      </c>
      <c r="E33" s="28" t="n">
        <f aca="false">IF($B33="","",INDEX(02_実験計画!$I$5:$I$38,$B33))</f>
        <v>20</v>
      </c>
      <c r="F33" s="28" t="n">
        <f aca="false">IF($B33="","",INDEX(02_実験計画!$J$5:$J$38,$B33))</f>
        <v>1</v>
      </c>
      <c r="G33" s="28" t="n">
        <f aca="false">IF($B33="","",INDEX(02_実験計画!$K$5:$K$38,$B33))</f>
        <v>60</v>
      </c>
      <c r="H33" s="28" t="n">
        <f aca="false">IF(OR(B33="",01_因子設定!$B$25=0),"",INDEX(D33:G33,01_因子設定!$B$25))</f>
        <v>55</v>
      </c>
      <c r="I33" s="20" t="n">
        <v>37.4</v>
      </c>
      <c r="J33" s="14"/>
    </row>
    <row r="34" customFormat="false" ht="15" hidden="false" customHeight="false" outlineLevel="0" collapsed="false">
      <c r="A34" s="13" t="n">
        <v>30</v>
      </c>
      <c r="B34" s="34" t="n">
        <f aca="false">IF(A34&lt;=01_因子設定!$B$23,INDEX(02_実験計画!$A$5:$A$38,MATCH(A34,02_実験計画!$O$5:$O$38,0)),"")</f>
        <v>16</v>
      </c>
      <c r="C34" s="34" t="str">
        <f aca="false">IF(B34="","",INDEX(02_実験計画!$B$5:$B$38,B34))</f>
        <v>要因点</v>
      </c>
      <c r="D34" s="28" t="n">
        <f aca="false">IF($B34="","",INDEX(02_実験計画!$H$5:$H$38,$B34))</f>
        <v>75</v>
      </c>
      <c r="E34" s="28" t="n">
        <f aca="false">IF($B34="","",INDEX(02_実験計画!$I$5:$I$38,$B34))</f>
        <v>40</v>
      </c>
      <c r="F34" s="28" t="n">
        <f aca="false">IF($B34="","",INDEX(02_実験計画!$J$5:$J$38,$B34))</f>
        <v>3</v>
      </c>
      <c r="G34" s="28" t="n">
        <f aca="false">IF($B34="","",INDEX(02_実験計画!$K$5:$K$38,$B34))</f>
        <v>60</v>
      </c>
      <c r="H34" s="28" t="n">
        <f aca="false">IF(OR(B34="",01_因子設定!$B$25=0),"",INDEX(D34:G34,01_因子設定!$B$25))</f>
        <v>75</v>
      </c>
      <c r="I34" s="20" t="n">
        <v>47.9</v>
      </c>
      <c r="J34" s="14"/>
    </row>
    <row r="35" customFormat="false" ht="15" hidden="false" customHeight="false" outlineLevel="0" collapsed="false">
      <c r="A35" s="13" t="n">
        <v>31</v>
      </c>
      <c r="B35" s="34" t="str">
        <f aca="false">IF(A35&lt;=01_因子設定!$B$23,INDEX(02_実験計画!$A$5:$A$38,MATCH(A35,02_実験計画!$O$5:$O$38,0)),"")</f>
        <v/>
      </c>
      <c r="C35" s="34" t="str">
        <f aca="false">IF(B35="","",INDEX(02_実験計画!$B$5:$B$38,B35))</f>
        <v/>
      </c>
      <c r="D35" s="28" t="str">
        <f aca="false">IF($B35="","",INDEX(02_実験計画!$H$5:$H$38,$B35))</f>
        <v/>
      </c>
      <c r="E35" s="28" t="str">
        <f aca="false">IF($B35="","",INDEX(02_実験計画!$I$5:$I$38,$B35))</f>
        <v/>
      </c>
      <c r="F35" s="28" t="str">
        <f aca="false">IF($B35="","",INDEX(02_実験計画!$J$5:$J$38,$B35))</f>
        <v/>
      </c>
      <c r="G35" s="28" t="str">
        <f aca="false">IF($B35="","",INDEX(02_実験計画!$K$5:$K$38,$B35))</f>
        <v/>
      </c>
      <c r="H35" s="28" t="str">
        <f aca="false">IF(OR(B35="",01_因子設定!$B$25=0),"",INDEX(D35:G35,01_因子設定!$B$25))</f>
        <v/>
      </c>
      <c r="I35" s="20"/>
      <c r="J35" s="14"/>
    </row>
    <row r="36" customFormat="false" ht="15" hidden="false" customHeight="false" outlineLevel="0" collapsed="false">
      <c r="A36" s="13" t="n">
        <v>32</v>
      </c>
      <c r="B36" s="34" t="str">
        <f aca="false">IF(A36&lt;=01_因子設定!$B$23,INDEX(02_実験計画!$A$5:$A$38,MATCH(A36,02_実験計画!$O$5:$O$38,0)),"")</f>
        <v/>
      </c>
      <c r="C36" s="34" t="str">
        <f aca="false">IF(B36="","",INDEX(02_実験計画!$B$5:$B$38,B36))</f>
        <v/>
      </c>
      <c r="D36" s="28" t="str">
        <f aca="false">IF($B36="","",INDEX(02_実験計画!$H$5:$H$38,$B36))</f>
        <v/>
      </c>
      <c r="E36" s="28" t="str">
        <f aca="false">IF($B36="","",INDEX(02_実験計画!$I$5:$I$38,$B36))</f>
        <v/>
      </c>
      <c r="F36" s="28" t="str">
        <f aca="false">IF($B36="","",INDEX(02_実験計画!$J$5:$J$38,$B36))</f>
        <v/>
      </c>
      <c r="G36" s="28" t="str">
        <f aca="false">IF($B36="","",INDEX(02_実験計画!$K$5:$K$38,$B36))</f>
        <v/>
      </c>
      <c r="H36" s="28" t="str">
        <f aca="false">IF(OR(B36="",01_因子設定!$B$25=0),"",INDEX(D36:G36,01_因子設定!$B$25))</f>
        <v/>
      </c>
      <c r="I36" s="20"/>
      <c r="J36" s="14"/>
    </row>
    <row r="37" customFormat="false" ht="15" hidden="false" customHeight="false" outlineLevel="0" collapsed="false">
      <c r="A37" s="13" t="n">
        <v>33</v>
      </c>
      <c r="B37" s="34" t="str">
        <f aca="false">IF(A37&lt;=01_因子設定!$B$23,INDEX(02_実験計画!$A$5:$A$38,MATCH(A37,02_実験計画!$O$5:$O$38,0)),"")</f>
        <v/>
      </c>
      <c r="C37" s="34" t="str">
        <f aca="false">IF(B37="","",INDEX(02_実験計画!$B$5:$B$38,B37))</f>
        <v/>
      </c>
      <c r="D37" s="28" t="str">
        <f aca="false">IF($B37="","",INDEX(02_実験計画!$H$5:$H$38,$B37))</f>
        <v/>
      </c>
      <c r="E37" s="28" t="str">
        <f aca="false">IF($B37="","",INDEX(02_実験計画!$I$5:$I$38,$B37))</f>
        <v/>
      </c>
      <c r="F37" s="28" t="str">
        <f aca="false">IF($B37="","",INDEX(02_実験計画!$J$5:$J$38,$B37))</f>
        <v/>
      </c>
      <c r="G37" s="28" t="str">
        <f aca="false">IF($B37="","",INDEX(02_実験計画!$K$5:$K$38,$B37))</f>
        <v/>
      </c>
      <c r="H37" s="28" t="str">
        <f aca="false">IF(OR(B37="",01_因子設定!$B$25=0),"",INDEX(D37:G37,01_因子設定!$B$25))</f>
        <v/>
      </c>
      <c r="I37" s="20"/>
      <c r="J37" s="14"/>
    </row>
    <row r="38" customFormat="false" ht="15" hidden="false" customHeight="false" outlineLevel="0" collapsed="false">
      <c r="A38" s="13" t="n">
        <v>34</v>
      </c>
      <c r="B38" s="34" t="str">
        <f aca="false">IF(A38&lt;=01_因子設定!$B$23,INDEX(02_実験計画!$A$5:$A$38,MATCH(A38,02_実験計画!$O$5:$O$38,0)),"")</f>
        <v/>
      </c>
      <c r="C38" s="34" t="str">
        <f aca="false">IF(B38="","",INDEX(02_実験計画!$B$5:$B$38,B38))</f>
        <v/>
      </c>
      <c r="D38" s="28" t="str">
        <f aca="false">IF($B38="","",INDEX(02_実験計画!$H$5:$H$38,$B38))</f>
        <v/>
      </c>
      <c r="E38" s="28" t="str">
        <f aca="false">IF($B38="","",INDEX(02_実験計画!$I$5:$I$38,$B38))</f>
        <v/>
      </c>
      <c r="F38" s="28" t="str">
        <f aca="false">IF($B38="","",INDEX(02_実験計画!$J$5:$J$38,$B38))</f>
        <v/>
      </c>
      <c r="G38" s="28" t="str">
        <f aca="false">IF($B38="","",INDEX(02_実験計画!$K$5:$K$38,$B38))</f>
        <v/>
      </c>
      <c r="H38" s="28" t="str">
        <f aca="false">IF(OR(B38="",01_因子設定!$B$25=0),"",INDEX(D38:G38,01_因子設定!$B$25))</f>
        <v/>
      </c>
      <c r="I38" s="20"/>
      <c r="J38" s="14"/>
    </row>
  </sheetData>
  <conditionalFormatting sqref="A5:J38">
    <cfRule type="expression" priority="2" aboveAverage="0" equalAverage="0" bottom="0" percent="0" rank="0" text="" dxfId="2">
      <formula>$B5=""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21.6" hidden="false" customHeight="false" outlineLevel="0" collapsed="false">
      <c r="A1" s="8" t="s">
        <v>140</v>
      </c>
    </row>
    <row r="2" customFormat="false" ht="15" hidden="false" customHeight="false" outlineLevel="0" collapsed="false">
      <c r="A2" s="35" t="s">
        <v>141</v>
      </c>
    </row>
    <row r="5" customFormat="false" ht="15" hidden="false" customHeight="false" outlineLevel="0" collapsed="false">
      <c r="A5" s="10" t="s">
        <v>142</v>
      </c>
      <c r="B5" s="10" t="s">
        <v>143</v>
      </c>
      <c r="C5" s="10" t="s">
        <v>144</v>
      </c>
      <c r="D5" s="10" t="s">
        <v>145</v>
      </c>
      <c r="E5" s="9" t="s">
        <v>146</v>
      </c>
      <c r="F5" s="9" t="s">
        <v>147</v>
      </c>
      <c r="G5" s="10" t="s">
        <v>148</v>
      </c>
      <c r="H5" s="10" t="s">
        <v>149</v>
      </c>
      <c r="J5" s="3" t="s">
        <v>150</v>
      </c>
      <c r="K5" s="3" t="s">
        <v>151</v>
      </c>
    </row>
    <row r="6" customFormat="false" ht="15" hidden="false" customHeight="false" outlineLevel="0" collapsed="false">
      <c r="A6" s="36" t="s">
        <v>152</v>
      </c>
      <c r="B6" s="11" t="n">
        <v>1</v>
      </c>
      <c r="C6" s="30" t="n">
        <f aca="false">IF(B6=1,_XtX!R60,0)</f>
        <v>47.907894736842</v>
      </c>
      <c r="D6" s="30" t="n">
        <f aca="false">IF(B6=1,SQRT($K$13*INDEX(_XtX!$B$78:$P$92,1,1)),"")</f>
        <v>0.23096592839643</v>
      </c>
      <c r="E6" s="15" t="n">
        <f aca="false">IF(B6=1,C6/D6,"")</f>
        <v>207.424077955831</v>
      </c>
      <c r="F6" s="30" t="n">
        <f aca="false">IF(B6=1,TDIST(ABS(E6),$K$8,2),"")</f>
        <v>2.36259807333356E-027</v>
      </c>
      <c r="G6" s="13" t="str">
        <f aca="false">IF(F6="","",IF(F6&lt;0.01,"**",IF(F6&lt;0.05,"*",IF(F6&lt;0.1,"△",""))))</f>
        <v>**</v>
      </c>
      <c r="H6" s="24"/>
      <c r="J6" s="23" t="s">
        <v>153</v>
      </c>
      <c r="K6" s="37" t="n">
        <f aca="false">SUM(_XtX!A5:A38)</f>
        <v>30</v>
      </c>
    </row>
    <row r="7" customFormat="false" ht="15" hidden="false" customHeight="false" outlineLevel="0" collapsed="false">
      <c r="A7" s="13" t="s">
        <v>64</v>
      </c>
      <c r="B7" s="14" t="n">
        <v>1</v>
      </c>
      <c r="C7" s="30" t="n">
        <f aca="false">IF(B7=1,_XtX!R61,0)</f>
        <v>2.00555555555555</v>
      </c>
      <c r="D7" s="30" t="n">
        <f aca="false">IF(B7=1,SQRT($K$13*INDEX(_XtX!$B$78:$P$92,2,2)),"")</f>
        <v>0.175253923270871</v>
      </c>
      <c r="E7" s="15" t="n">
        <f aca="false">IF(B7=1,C7/D7,"")</f>
        <v>11.443712746195</v>
      </c>
      <c r="F7" s="30" t="n">
        <f aca="false">IF(B7=1,TDIST(ABS(E7),$K$8,2),"")</f>
        <v>8.24684523212498E-009</v>
      </c>
      <c r="G7" s="13" t="str">
        <f aca="false">IF(F7="","",IF(F7&lt;0.01,"**",IF(F7&lt;0.05,"*",IF(F7&lt;0.1,"△",""))))</f>
        <v>**</v>
      </c>
      <c r="H7" s="24"/>
      <c r="J7" s="23" t="s">
        <v>154</v>
      </c>
      <c r="K7" s="37" t="n">
        <f aca="false">SUM($B$6:$B$20)</f>
        <v>15</v>
      </c>
    </row>
    <row r="8" customFormat="false" ht="15" hidden="false" customHeight="false" outlineLevel="0" collapsed="false">
      <c r="A8" s="13" t="s">
        <v>69</v>
      </c>
      <c r="B8" s="14" t="n">
        <v>1</v>
      </c>
      <c r="C8" s="30" t="n">
        <f aca="false">IF(B8=1,_XtX!R62,0)</f>
        <v>2.09444444444444</v>
      </c>
      <c r="D8" s="30" t="n">
        <f aca="false">IF(B8=1,SQRT($K$13*INDEX(_XtX!$B$78:$P$92,3,3)),"")</f>
        <v>0.175253923270871</v>
      </c>
      <c r="E8" s="15" t="n">
        <f aca="false">IF(B8=1,C8/D8,"")</f>
        <v>11.9509133111233</v>
      </c>
      <c r="F8" s="30" t="n">
        <f aca="false">IF(B8=1,TDIST(ABS(E8),$K$8,2),"")</f>
        <v>4.57171918530932E-009</v>
      </c>
      <c r="G8" s="13" t="str">
        <f aca="false">IF(F8="","",IF(F8&lt;0.01,"**",IF(F8&lt;0.05,"*",IF(F8&lt;0.1,"△",""))))</f>
        <v>**</v>
      </c>
      <c r="H8" s="24"/>
      <c r="J8" s="18" t="s">
        <v>155</v>
      </c>
      <c r="K8" s="37" t="n">
        <f aca="false">K6-K7</f>
        <v>15</v>
      </c>
    </row>
    <row r="9" customFormat="false" ht="15" hidden="false" customHeight="false" outlineLevel="0" collapsed="false">
      <c r="A9" s="13" t="s">
        <v>72</v>
      </c>
      <c r="B9" s="14" t="n">
        <v>1</v>
      </c>
      <c r="C9" s="30" t="n">
        <f aca="false">IF(B9=1,_XtX!R63,0)</f>
        <v>0.983333333333333</v>
      </c>
      <c r="D9" s="30" t="n">
        <f aca="false">IF(B9=1,SQRT($K$13*INDEX(_XtX!$B$78:$P$92,4,4)),"")</f>
        <v>0.175253923270871</v>
      </c>
      <c r="E9" s="15" t="n">
        <f aca="false">IF(B9=1,C9/D9,"")</f>
        <v>5.61090624951945</v>
      </c>
      <c r="F9" s="30" t="n">
        <f aca="false">IF(B9=1,TDIST(ABS(E9),$K$8,2),"")</f>
        <v>4.9636779781577E-005</v>
      </c>
      <c r="G9" s="13" t="str">
        <f aca="false">IF(F9="","",IF(F9&lt;0.01,"**",IF(F9&lt;0.05,"*",IF(F9&lt;0.1,"△",""))))</f>
        <v>**</v>
      </c>
      <c r="H9" s="24"/>
      <c r="J9" s="23" t="s">
        <v>156</v>
      </c>
      <c r="K9" s="16" t="n">
        <f aca="false">SUMSQ(_XtX!U5:U38)</f>
        <v>8.29276315789475</v>
      </c>
    </row>
    <row r="10" customFormat="false" ht="15" hidden="false" customHeight="false" outlineLevel="0" collapsed="false">
      <c r="A10" s="13" t="s">
        <v>76</v>
      </c>
      <c r="B10" s="14" t="n">
        <v>1</v>
      </c>
      <c r="C10" s="30" t="n">
        <f aca="false">IF(B10=1,_XtX!R64,0)</f>
        <v>0.405555555555555</v>
      </c>
      <c r="D10" s="30" t="n">
        <f aca="false">IF(B10=1,SQRT($K$13*INDEX(_XtX!$B$78:$P$92,5,5)),"")</f>
        <v>0.175253923270871</v>
      </c>
      <c r="E10" s="15" t="n">
        <f aca="false">IF(B10=1,C10/D10,"")</f>
        <v>2.31410257748542</v>
      </c>
      <c r="F10" s="30" t="n">
        <f aca="false">IF(B10=1,TDIST(ABS(E10),$K$8,2),"")</f>
        <v>0.0352494612004216</v>
      </c>
      <c r="G10" s="13" t="str">
        <f aca="false">IF(F10="","",IF(F10&lt;0.01,"**",IF(F10&lt;0.05,"*",IF(F10&lt;0.1,"△",""))))</f>
        <v>*</v>
      </c>
      <c r="H10" s="24"/>
      <c r="J10" s="23" t="s">
        <v>157</v>
      </c>
      <c r="K10" s="16" t="n">
        <f aca="false">SUMPRODUCT(_XtX!Q5:Q38,_XtX!A5:A38)/K6</f>
        <v>44.17</v>
      </c>
    </row>
    <row r="11" customFormat="false" ht="15" hidden="false" customHeight="false" outlineLevel="0" collapsed="false">
      <c r="A11" s="13" t="s">
        <v>158</v>
      </c>
      <c r="B11" s="14" t="n">
        <v>1</v>
      </c>
      <c r="C11" s="30" t="n">
        <f aca="false">IF(B11=1,_XtX!R65,0)</f>
        <v>1.125</v>
      </c>
      <c r="D11" s="30" t="n">
        <f aca="false">IF(B11=1,SQRT($K$13*INDEX(_XtX!$B$78:$P$92,6,6)),"")</f>
        <v>0.18588485636157</v>
      </c>
      <c r="E11" s="15" t="n">
        <f aca="false">IF(B11=1,C11/D11,"")</f>
        <v>6.05213368114146</v>
      </c>
      <c r="F11" s="30" t="n">
        <f aca="false">IF(B11=1,TDIST(ABS(E11),$K$8,2),"")</f>
        <v>2.21443997321139E-005</v>
      </c>
      <c r="G11" s="13" t="str">
        <f aca="false">IF(F11="","",IF(F11&lt;0.01,"**",IF(F11&lt;0.05,"*",IF(F11&lt;0.1,"△",""))))</f>
        <v>**</v>
      </c>
      <c r="H11" s="24" t="str">
        <f aca="false">IF(AND(B11=1,OR($B$7=0,$B$8=0)),"主効果が除外されています","")</f>
        <v/>
      </c>
      <c r="J11" s="23" t="s">
        <v>159</v>
      </c>
      <c r="K11" s="16" t="n">
        <f aca="false">SUMPRODUCT(_XtX!A5:A38,(_XtX!Q5:Q38-K10)^2)</f>
        <v>440.603</v>
      </c>
    </row>
    <row r="12" customFormat="false" ht="15" hidden="false" customHeight="false" outlineLevel="0" collapsed="false">
      <c r="A12" s="13" t="s">
        <v>160</v>
      </c>
      <c r="B12" s="14" t="n">
        <v>1</v>
      </c>
      <c r="C12" s="30" t="n">
        <f aca="false">IF(B12=1,_XtX!R66,0)</f>
        <v>-0.65</v>
      </c>
      <c r="D12" s="30" t="n">
        <f aca="false">IF(B12=1,SQRT($K$13*INDEX(_XtX!$B$78:$P$92,7,7)),"")</f>
        <v>0.18588485636157</v>
      </c>
      <c r="E12" s="15" t="n">
        <f aca="false">IF(B12=1,C12/D12,"")</f>
        <v>-3.49678834910396</v>
      </c>
      <c r="F12" s="30" t="n">
        <f aca="false">IF(B12=1,TDIST(ABS(E12),$K$8,2),"")</f>
        <v>0.00324484506543403</v>
      </c>
      <c r="G12" s="13" t="str">
        <f aca="false">IF(F12="","",IF(F12&lt;0.01,"**",IF(F12&lt;0.05,"*",IF(F12&lt;0.1,"△",""))))</f>
        <v>**</v>
      </c>
      <c r="H12" s="24" t="str">
        <f aca="false">IF(AND(B12=1,OR($B$7=0,$B$9=0)),"主効果が除外されています","")</f>
        <v/>
      </c>
      <c r="J12" s="23" t="s">
        <v>161</v>
      </c>
      <c r="K12" s="16" t="n">
        <f aca="false">K11-K9</f>
        <v>432.310236842105</v>
      </c>
    </row>
    <row r="13" customFormat="false" ht="15" hidden="false" customHeight="false" outlineLevel="0" collapsed="false">
      <c r="A13" s="13" t="s">
        <v>162</v>
      </c>
      <c r="B13" s="14" t="n">
        <v>1</v>
      </c>
      <c r="C13" s="30" t="n">
        <f aca="false">IF(B13=1,_XtX!R67,0)</f>
        <v>0.125</v>
      </c>
      <c r="D13" s="30" t="n">
        <f aca="false">IF(B13=1,SQRT($K$13*INDEX(_XtX!$B$78:$P$92,8,8)),"")</f>
        <v>0.18588485636157</v>
      </c>
      <c r="E13" s="15" t="n">
        <f aca="false">IF(B13=1,C13/D13,"")</f>
        <v>0.672459297904607</v>
      </c>
      <c r="F13" s="30" t="n">
        <f aca="false">IF(B13=1,TDIST(ABS(E13),$K$8,2),"")</f>
        <v>0.511517938797526</v>
      </c>
      <c r="G13" s="13" t="str">
        <f aca="false">IF(F13="","",IF(F13&lt;0.01,"**",IF(F13&lt;0.05,"*",IF(F13&lt;0.1,"△",""))))</f>
        <v/>
      </c>
      <c r="H13" s="24" t="str">
        <f aca="false">IF(AND(B13=1,OR($B$7=0,$B$10=0)),"主効果が除外されています","")</f>
        <v/>
      </c>
      <c r="J13" s="23" t="s">
        <v>163</v>
      </c>
      <c r="K13" s="30" t="n">
        <f aca="false">K9/K8</f>
        <v>0.552850877192984</v>
      </c>
    </row>
    <row r="14" customFormat="false" ht="15" hidden="false" customHeight="false" outlineLevel="0" collapsed="false">
      <c r="A14" s="13" t="s">
        <v>164</v>
      </c>
      <c r="B14" s="14" t="n">
        <v>1</v>
      </c>
      <c r="C14" s="30" t="n">
        <f aca="false">IF(B14=1,_XtX!R68,0)</f>
        <v>0.3125</v>
      </c>
      <c r="D14" s="30" t="n">
        <f aca="false">IF(B14=1,SQRT($K$13*INDEX(_XtX!$B$78:$P$92,9,9)),"")</f>
        <v>0.18588485636157</v>
      </c>
      <c r="E14" s="15" t="n">
        <f aca="false">IF(B14=1,C14/D14,"")</f>
        <v>1.68114824476152</v>
      </c>
      <c r="F14" s="30" t="n">
        <f aca="false">IF(B14=1,TDIST(ABS(E14),$K$8,2),"")</f>
        <v>0.113431678354187</v>
      </c>
      <c r="G14" s="13" t="str">
        <f aca="false">IF(F14="","",IF(F14&lt;0.01,"**",IF(F14&lt;0.05,"*",IF(F14&lt;0.1,"△",""))))</f>
        <v/>
      </c>
      <c r="H14" s="24" t="str">
        <f aca="false">IF(AND(B14=1,OR($B$8=0,$B$9=0)),"主効果が除外されています","")</f>
        <v/>
      </c>
      <c r="J14" s="23" t="s">
        <v>165</v>
      </c>
      <c r="K14" s="16" t="n">
        <f aca="false">SQRT(K13)</f>
        <v>0.74353942544628</v>
      </c>
    </row>
    <row r="15" customFormat="false" ht="15" hidden="false" customHeight="false" outlineLevel="0" collapsed="false">
      <c r="A15" s="13" t="s">
        <v>166</v>
      </c>
      <c r="B15" s="14" t="n">
        <v>1</v>
      </c>
      <c r="C15" s="30" t="n">
        <f aca="false">IF(B15=1,_XtX!R69,0)</f>
        <v>-0.2125</v>
      </c>
      <c r="D15" s="30" t="n">
        <f aca="false">IF(B15=1,SQRT($K$13*INDEX(_XtX!$B$78:$P$92,10,10)),"")</f>
        <v>0.18588485636157</v>
      </c>
      <c r="E15" s="15" t="n">
        <f aca="false">IF(B15=1,C15/D15,"")</f>
        <v>-1.14318080643783</v>
      </c>
      <c r="F15" s="30" t="n">
        <f aca="false">IF(B15=1,TDIST(ABS(E15),$K$8,2),"")</f>
        <v>0.270881499945996</v>
      </c>
      <c r="G15" s="13" t="str">
        <f aca="false">IF(F15="","",IF(F15&lt;0.01,"**",IF(F15&lt;0.05,"*",IF(F15&lt;0.1,"△",""))))</f>
        <v/>
      </c>
      <c r="H15" s="24" t="str">
        <f aca="false">IF(AND(B15=1,OR($B$8=0,$B$10=0)),"主効果が除外されています","")</f>
        <v/>
      </c>
      <c r="J15" s="23" t="s">
        <v>167</v>
      </c>
      <c r="K15" s="16" t="n">
        <f aca="false">1-K9/K11</f>
        <v>0.981178604871291</v>
      </c>
    </row>
    <row r="16" customFormat="false" ht="15" hidden="false" customHeight="false" outlineLevel="0" collapsed="false">
      <c r="A16" s="13" t="s">
        <v>168</v>
      </c>
      <c r="B16" s="14" t="n">
        <v>1</v>
      </c>
      <c r="C16" s="30" t="n">
        <f aca="false">IF(B16=1,_XtX!R70,0)</f>
        <v>0.2875</v>
      </c>
      <c r="D16" s="30" t="n">
        <f aca="false">IF(B16=1,SQRT($K$13*INDEX(_XtX!$B$78:$P$92,11,11)),"")</f>
        <v>0.18588485636157</v>
      </c>
      <c r="E16" s="15" t="n">
        <f aca="false">IF(B16=1,C16/D16,"")</f>
        <v>1.54665638518059</v>
      </c>
      <c r="F16" s="30" t="n">
        <f aca="false">IF(B16=1,TDIST(ABS(E16),$K$8,2),"")</f>
        <v>0.14278127469696</v>
      </c>
      <c r="G16" s="13" t="str">
        <f aca="false">IF(F16="","",IF(F16&lt;0.01,"**",IF(F16&lt;0.05,"*",IF(F16&lt;0.1,"△",""))))</f>
        <v/>
      </c>
      <c r="H16" s="24" t="str">
        <f aca="false">IF(AND(B16=1,OR($B$9=0,$B$10=0)),"主効果が除外されています","")</f>
        <v/>
      </c>
      <c r="J16" s="18" t="s">
        <v>169</v>
      </c>
      <c r="K16" s="16" t="n">
        <f aca="false">1-(K9/K8)/(K11/(K6-1))</f>
        <v>0.963611969417829</v>
      </c>
    </row>
    <row r="17" customFormat="false" ht="15" hidden="false" customHeight="false" outlineLevel="0" collapsed="false">
      <c r="A17" s="13" t="s">
        <v>170</v>
      </c>
      <c r="B17" s="14" t="n">
        <v>1</v>
      </c>
      <c r="C17" s="30" t="n">
        <f aca="false">IF(B17=1,_XtX!R71,0)</f>
        <v>-2.58245614035079</v>
      </c>
      <c r="D17" s="30" t="n">
        <f aca="false">IF(B17=1,SQRT($K$13*INDEX(_XtX!$B$78:$P$92,12,12)),"")</f>
        <v>0.46193185679286</v>
      </c>
      <c r="E17" s="15" t="n">
        <f aca="false">IF(B17=1,C17/D17,"")</f>
        <v>-5.59055649090861</v>
      </c>
      <c r="F17" s="30" t="n">
        <f aca="false">IF(B17=1,TDIST(ABS(E17),$K$8,2),"")</f>
        <v>5.15522001486775E-005</v>
      </c>
      <c r="G17" s="13" t="str">
        <f aca="false">IF(F17="","",IF(F17&lt;0.01,"**",IF(F17&lt;0.05,"*",IF(F17&lt;0.1,"△",""))))</f>
        <v>**</v>
      </c>
      <c r="H17" s="24" t="str">
        <f aca="false">IF(AND(B17=1,OR($B$7=0)),"主効果が除外されています","")</f>
        <v/>
      </c>
      <c r="J17" s="23" t="s">
        <v>171</v>
      </c>
      <c r="K17" s="16" t="n">
        <f aca="false">SUMPRODUCT(_XtX!A5:A38,(_XtX!U5:U38/(1-_XtX!S5:S38))^2)</f>
        <v>31.9999862755686</v>
      </c>
    </row>
    <row r="18" customFormat="false" ht="15" hidden="false" customHeight="false" outlineLevel="0" collapsed="false">
      <c r="A18" s="13" t="s">
        <v>172</v>
      </c>
      <c r="B18" s="14" t="n">
        <v>1</v>
      </c>
      <c r="C18" s="30" t="n">
        <f aca="false">IF(B18=1,_XtX!R72,0)</f>
        <v>-2.58245614035088</v>
      </c>
      <c r="D18" s="30" t="n">
        <f aca="false">IF(B18=1,SQRT($K$13*INDEX(_XtX!$B$78:$P$92,13,13)),"")</f>
        <v>0.46193185679286</v>
      </c>
      <c r="E18" s="15" t="n">
        <f aca="false">IF(B18=1,C18/D18,"")</f>
        <v>-5.59055649090881</v>
      </c>
      <c r="F18" s="30" t="n">
        <f aca="false">IF(B18=1,TDIST(ABS(E18),$K$8,2),"")</f>
        <v>5.15522001486582E-005</v>
      </c>
      <c r="G18" s="13" t="str">
        <f aca="false">IF(F18="","",IF(F18&lt;0.01,"**",IF(F18&lt;0.05,"*",IF(F18&lt;0.1,"△",""))))</f>
        <v>**</v>
      </c>
      <c r="H18" s="24" t="str">
        <f aca="false">IF(AND(B18=1,OR($B$8=0)),"主効果が除外されています","")</f>
        <v/>
      </c>
      <c r="J18" s="18" t="s">
        <v>173</v>
      </c>
      <c r="K18" s="16" t="n">
        <f aca="false">1-K17/K11</f>
        <v>0.927372291437942</v>
      </c>
    </row>
    <row r="19" customFormat="false" ht="15" hidden="false" customHeight="false" outlineLevel="0" collapsed="false">
      <c r="A19" s="13" t="s">
        <v>174</v>
      </c>
      <c r="B19" s="14" t="n">
        <v>1</v>
      </c>
      <c r="C19" s="30" t="n">
        <f aca="false">IF(B19=1,_XtX!R73,0)</f>
        <v>-0.682456140350872</v>
      </c>
      <c r="D19" s="30" t="n">
        <f aca="false">IF(B19=1,SQRT($K$13*INDEX(_XtX!$B$78:$P$92,14,14)),"")</f>
        <v>0.46193185679286</v>
      </c>
      <c r="E19" s="15" t="n">
        <f aca="false">IF(B19=1,C19/D19,"")</f>
        <v>-1.47739570310021</v>
      </c>
      <c r="F19" s="30" t="n">
        <f aca="false">IF(B19=1,TDIST(ABS(E19),$K$8,2),"")</f>
        <v>0.160256952801552</v>
      </c>
      <c r="G19" s="13" t="str">
        <f aca="false">IF(F19="","",IF(F19&lt;0.01,"**",IF(F19&lt;0.05,"*",IF(F19&lt;0.1,"△",""))))</f>
        <v/>
      </c>
      <c r="H19" s="24" t="str">
        <f aca="false">IF(AND(B19=1,OR($B$9=0)),"主効果が除外されています","")</f>
        <v/>
      </c>
      <c r="J19" s="23" t="s">
        <v>175</v>
      </c>
      <c r="K19" s="16" t="n">
        <f aca="false">IF(01_因子設定!$B$13="目標値",TINV(1-01_因子設定!B17,K8),TINV(2*(1-01_因子設定!B17),K8))</f>
        <v>1.75305035569257</v>
      </c>
    </row>
    <row r="20" customFormat="false" ht="15" hidden="false" customHeight="false" outlineLevel="0" collapsed="false">
      <c r="A20" s="13" t="s">
        <v>176</v>
      </c>
      <c r="B20" s="14" t="n">
        <v>1</v>
      </c>
      <c r="C20" s="30" t="n">
        <f aca="false">IF(B20=1,_XtX!R74,0)</f>
        <v>-0.38245614035084</v>
      </c>
      <c r="D20" s="30" t="n">
        <f aca="false">IF(B20=1,SQRT($K$13*INDEX(_XtX!$B$78:$P$92,15,15)),"")</f>
        <v>0.46193185679286</v>
      </c>
      <c r="E20" s="15" t="n">
        <f aca="false">IF(B20=1,C20/D20,"")</f>
        <v>-0.827949262919837</v>
      </c>
      <c r="F20" s="30" t="n">
        <f aca="false">IF(B20=1,TDIST(ABS(E20),$K$8,2),"")</f>
        <v>0.420677524010617</v>
      </c>
      <c r="G20" s="13" t="str">
        <f aca="false">IF(F20="","",IF(F20&lt;0.01,"**",IF(F20&lt;0.05,"*",IF(F20&lt;0.1,"△",""))))</f>
        <v/>
      </c>
      <c r="H20" s="24" t="str">
        <f aca="false">IF(AND(B20=1,OR($B$10=0)),"主効果が除外されています","")</f>
        <v/>
      </c>
      <c r="J20" s="23" t="s">
        <v>177</v>
      </c>
      <c r="K20" s="37" t="n">
        <f aca="false">SUMPRODUCT((03_実験結果!$A$5:$A$38&lt;=01_因子設定!$B$23)*(03_実験結果!$I$5:$I$38=""))</f>
        <v>0</v>
      </c>
    </row>
    <row r="21" customFormat="false" ht="15" hidden="false" customHeight="false" outlineLevel="0" collapsed="false">
      <c r="J21" s="18" t="s">
        <v>95</v>
      </c>
      <c r="K21" s="37" t="n">
        <f aca="false">COUNTIF(02_実験計画!B5:B38,"中心点")</f>
        <v>6</v>
      </c>
    </row>
    <row r="22" customFormat="false" ht="15" hidden="false" customHeight="false" outlineLevel="0" collapsed="false">
      <c r="A22" s="19" t="s">
        <v>178</v>
      </c>
      <c r="J22" s="18" t="s">
        <v>179</v>
      </c>
      <c r="K22" s="16" t="n">
        <f aca="false">IFERROR(AVERAGEIF(02_実験計画!B5:B38,"中心点",02_実験計画!$P$5:$P$38),0)</f>
        <v>47.5833333333333</v>
      </c>
    </row>
    <row r="23" customFormat="false" ht="15" hidden="false" customHeight="false" outlineLevel="0" collapsed="false">
      <c r="J23" s="23" t="s">
        <v>180</v>
      </c>
      <c r="K23" s="16" t="n">
        <f aca="false">TINV(1-01_因子設定!B17,K8)</f>
        <v>2.13144954555977</v>
      </c>
    </row>
    <row r="24" customFormat="false" ht="15" hidden="false" customHeight="false" outlineLevel="0" collapsed="false">
      <c r="J24" s="19" t="s">
        <v>181</v>
      </c>
    </row>
    <row r="25" customFormat="false" ht="15" hidden="false" customHeight="false" outlineLevel="0" collapsed="false">
      <c r="A25" s="10" t="s">
        <v>182</v>
      </c>
      <c r="B25" s="10" t="s">
        <v>183</v>
      </c>
      <c r="C25" s="10" t="s">
        <v>184</v>
      </c>
      <c r="D25" s="10" t="s">
        <v>185</v>
      </c>
      <c r="E25" s="9" t="s">
        <v>186</v>
      </c>
      <c r="F25" s="9" t="s">
        <v>147</v>
      </c>
      <c r="G25" s="10" t="s">
        <v>108</v>
      </c>
    </row>
    <row r="26" customFormat="false" ht="15" hidden="false" customHeight="false" outlineLevel="0" collapsed="false">
      <c r="A26" s="26" t="s">
        <v>187</v>
      </c>
      <c r="B26" s="37" t="n">
        <f aca="false">K7-1</f>
        <v>14</v>
      </c>
      <c r="C26" s="16" t="n">
        <f aca="false">K12</f>
        <v>432.310236842105</v>
      </c>
      <c r="D26" s="30" t="n">
        <f aca="false">C26/B26</f>
        <v>30.8793026315789</v>
      </c>
      <c r="E26" s="15" t="n">
        <f aca="false">D26/D27</f>
        <v>55.8546687822292</v>
      </c>
      <c r="F26" s="30" t="n">
        <f aca="false">FDIST(E26,B26,B27)</f>
        <v>2.37256485961887E-010</v>
      </c>
      <c r="G26" s="26" t="str">
        <f aca="false">IF(F26&lt;0.05,"有意","有意でない")</f>
        <v>有意</v>
      </c>
    </row>
    <row r="27" customFormat="false" ht="15" hidden="false" customHeight="false" outlineLevel="0" collapsed="false">
      <c r="A27" s="26" t="s">
        <v>188</v>
      </c>
      <c r="B27" s="37" t="n">
        <f aca="false">K8</f>
        <v>15</v>
      </c>
      <c r="C27" s="16" t="n">
        <f aca="false">K9</f>
        <v>8.29276315789475</v>
      </c>
      <c r="D27" s="30" t="n">
        <f aca="false">K13</f>
        <v>0.552850877192984</v>
      </c>
      <c r="E27" s="15"/>
      <c r="F27" s="30"/>
    </row>
    <row r="28" customFormat="false" ht="15" hidden="false" customHeight="false" outlineLevel="0" collapsed="false">
      <c r="A28" s="26" t="s">
        <v>189</v>
      </c>
      <c r="B28" s="37" t="n">
        <f aca="false">B27-B29</f>
        <v>10</v>
      </c>
      <c r="C28" s="16" t="n">
        <f aca="false">C27-C29</f>
        <v>5.10442982456141</v>
      </c>
      <c r="D28" s="30" t="n">
        <f aca="false">IF(B28&gt;0,C28/B28,"")</f>
        <v>0.510442982456141</v>
      </c>
      <c r="E28" s="15" t="n">
        <f aca="false">IF(AND(B28&gt;0,B29&gt;0),D28/D29,"")</f>
        <v>0.800485597160699</v>
      </c>
      <c r="F28" s="30" t="n">
        <f aca="false">IF(E28="","",FDIST(E28,B28,B29))</f>
        <v>0.643618753528311</v>
      </c>
      <c r="G28" s="26" t="str">
        <f aca="false">IF(F28="","検定不可",IF(F28&lt;0.05,"有意（不適合）","有意でない（適合）"))</f>
        <v>有意でない（適合）</v>
      </c>
    </row>
    <row r="29" customFormat="false" ht="15" hidden="false" customHeight="false" outlineLevel="0" collapsed="false">
      <c r="A29" s="26" t="s">
        <v>190</v>
      </c>
      <c r="B29" s="37" t="n">
        <f aca="false">MAX(K21-1,0)</f>
        <v>5</v>
      </c>
      <c r="C29" s="16" t="n">
        <f aca="false">SUMPRODUCT((02_実験計画!$B$5:$B$38="中心点")*(02_実験計画!$P$5:$P$38-K22)^2)</f>
        <v>3.18833333333334</v>
      </c>
      <c r="D29" s="30" t="n">
        <f aca="false">IF(B29&gt;0,C29/B29,"")</f>
        <v>0.637666666666669</v>
      </c>
      <c r="E29" s="15"/>
      <c r="F29" s="30"/>
    </row>
    <row r="30" customFormat="false" ht="15" hidden="false" customHeight="false" outlineLevel="0" collapsed="false">
      <c r="A30" s="26" t="s">
        <v>191</v>
      </c>
      <c r="B30" s="37" t="n">
        <f aca="false">K6-1</f>
        <v>29</v>
      </c>
      <c r="C30" s="16" t="n">
        <f aca="false">K11</f>
        <v>440.603</v>
      </c>
      <c r="D30" s="30"/>
      <c r="E30" s="15"/>
      <c r="F30" s="30"/>
    </row>
    <row r="33" customFormat="false" ht="15" hidden="false" customHeight="false" outlineLevel="0" collapsed="false">
      <c r="A33" s="17" t="s">
        <v>192</v>
      </c>
    </row>
    <row r="34" customFormat="false" ht="30" hidden="false" customHeight="true" outlineLevel="0" collapsed="false">
      <c r="A34" s="18" t="s">
        <v>193</v>
      </c>
      <c r="B34" s="6" t="str">
        <f aca="false">IF(LEFT(01_因子設定!$B$33,1)="×","× 計画が安全限界を超過（01参照）→ 計画を変更してから実験する","○ 全実験点が安全限界内")</f>
        <v>○ 全実験点が安全限界内</v>
      </c>
      <c r="C34" s="6"/>
      <c r="D34" s="6"/>
      <c r="E34" s="6"/>
      <c r="F34" s="6"/>
      <c r="G34" s="6"/>
      <c r="H34" s="6"/>
    </row>
    <row r="35" customFormat="false" ht="30" hidden="false" customHeight="true" outlineLevel="0" collapsed="false">
      <c r="A35" s="18" t="s">
        <v>194</v>
      </c>
      <c r="B35" s="6" t="str">
        <f aca="false">IF(01_因子設定!$B$24="変更困難因子でグループ化",IF(01_因子設定!$B$25&gt;0,"△ 分割区画の順序で実施。この解析は完全ランダムとみなした近似で、変更困難因子のp値は小さく（有意に）出やすい → 正式にはJMP/R等で分割区画解析","△ グループ化を選んでいるが変更困難因子に○がない（完全ランダムとして生成）"),IF(01_因子設定!$B$25&gt;0,"△ 変更困難因子に○があるが完全ランダムで生成。現場で実施できるか確認（できなければグループ化＋正式解析はJMP/R等）","○ 完全ランダム"))</f>
        <v>△ 変更困難因子に○があるが完全ランダムで生成。現場で実施できるか確認（できなければグループ化＋正式解析はJMP/R等）</v>
      </c>
      <c r="C35" s="6"/>
      <c r="D35" s="6"/>
      <c r="E35" s="6"/>
      <c r="F35" s="6"/>
      <c r="G35" s="6"/>
      <c r="H35" s="6"/>
    </row>
    <row r="36" customFormat="false" ht="30" hidden="false" customHeight="true" outlineLevel="0" collapsed="false">
      <c r="A36" s="18" t="s">
        <v>195</v>
      </c>
      <c r="B36" s="6" t="str">
        <f aca="false">IF(K20&gt;0,"× Yが"&amp;K20&amp;"件未入力 → 結果は無効","○ 全件入力済")</f>
        <v>○ 全件入力済</v>
      </c>
      <c r="C36" s="6"/>
      <c r="D36" s="6"/>
      <c r="E36" s="6"/>
      <c r="F36" s="6"/>
      <c r="G36" s="6"/>
      <c r="H36" s="6"/>
    </row>
    <row r="37" customFormat="false" ht="30" hidden="false" customHeight="true" outlineLevel="0" collapsed="false">
      <c r="A37" s="18" t="s">
        <v>196</v>
      </c>
      <c r="B37" s="6" t="str">
        <f aca="false">IF(F26&lt;0.05,"○ 回帰は有意","× 有意でない → 因子・範囲の見直し。最適化に進まない")</f>
        <v>○ 回帰は有意</v>
      </c>
      <c r="C37" s="6"/>
      <c r="D37" s="6"/>
      <c r="E37" s="6"/>
      <c r="F37" s="6"/>
      <c r="G37" s="6"/>
      <c r="H37" s="6"/>
    </row>
    <row r="38" customFormat="false" ht="30" hidden="false" customHeight="true" outlineLevel="0" collapsed="false">
      <c r="A38" s="18" t="s">
        <v>197</v>
      </c>
      <c r="B38" s="6" t="str">
        <f aca="false">IF(F28="","－ 純誤差がないため検定不可（中心点を増やす）",IF(F28&lt;0.05,"× 2次モデルで説明しきれない → 変換・領域縮小・因子追加を検討","○ 2次モデルで説明できている"))</f>
        <v>○ 2次モデルで説明できている</v>
      </c>
      <c r="C38" s="6"/>
      <c r="D38" s="6"/>
      <c r="E38" s="6"/>
      <c r="F38" s="6"/>
      <c r="G38" s="6"/>
      <c r="H38" s="6"/>
    </row>
    <row r="39" customFormat="false" ht="30" hidden="false" customHeight="true" outlineLevel="0" collapsed="false">
      <c r="A39" s="23" t="s">
        <v>198</v>
      </c>
      <c r="B39" s="6" t="str">
        <f aca="false">IF(K15-K18&gt;0.2,"△ 差が0.2超 → 過学習の可能性。不要項の除外を検討","○ 差は0.2以内")</f>
        <v>○ 差は0.2以内</v>
      </c>
      <c r="C39" s="6"/>
      <c r="D39" s="6"/>
      <c r="E39" s="6"/>
      <c r="F39" s="6"/>
      <c r="G39" s="6"/>
      <c r="H39" s="6"/>
    </row>
    <row r="40" customFormat="false" ht="30" hidden="false" customHeight="true" outlineLevel="0" collapsed="false">
      <c r="A40" s="18" t="s">
        <v>188</v>
      </c>
      <c r="B40" s="6" t="str">
        <f aca="false">"05_残差診断のグラフで、パターン・外れ値がないことを目視確認"</f>
        <v>05_残差診断のグラフで、パターン・外れ値がないことを目視確認</v>
      </c>
      <c r="C40" s="6"/>
      <c r="D40" s="6"/>
      <c r="E40" s="6"/>
      <c r="F40" s="6"/>
      <c r="G40" s="6"/>
      <c r="H40" s="6"/>
    </row>
    <row r="42" customFormat="false" ht="15" hidden="false" customHeight="false" outlineLevel="0" collapsed="false">
      <c r="A42" s="38" t="s">
        <v>199</v>
      </c>
    </row>
  </sheetData>
  <mergeCells count="7">
    <mergeCell ref="B34:H34"/>
    <mergeCell ref="B35:H35"/>
    <mergeCell ref="B36:H36"/>
    <mergeCell ref="B37:H37"/>
    <mergeCell ref="B38:H38"/>
    <mergeCell ref="B39:H39"/>
    <mergeCell ref="B40:H40"/>
  </mergeCells>
  <conditionalFormatting sqref="B34:B40">
    <cfRule type="expression" priority="2" aboveAverage="0" equalAverage="0" bottom="0" percent="0" rank="0" text="" dxfId="0">
      <formula>LEFT(B34,1)="×"</formula>
    </cfRule>
    <cfRule type="expression" priority="3" aboveAverage="0" equalAverage="0" bottom="0" percent="0" rank="0" text="" dxfId="3">
      <formula>LEFT(B34,1)="△"</formula>
    </cfRule>
  </conditionalFormatting>
  <dataValidations count="1">
    <dataValidation allowBlank="false" errorStyle="stop" operator="between" showDropDown="false" showErrorMessage="false" showInputMessage="false" sqref="B7:B20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V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5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2" min="12" style="0" width="5"/>
    <col collapsed="false" customWidth="true" hidden="false" outlineLevel="0" max="13" min="13" style="0" width="6"/>
    <col collapsed="false" customWidth="true" hidden="false" outlineLevel="0" max="14" min="14" style="0" width="7"/>
  </cols>
  <sheetData>
    <row r="1" customFormat="false" ht="21.6" hidden="false" customHeight="false" outlineLevel="0" collapsed="false">
      <c r="A1" s="8" t="s">
        <v>200</v>
      </c>
    </row>
    <row r="2" customFormat="false" ht="15" hidden="false" customHeight="false" outlineLevel="0" collapsed="false">
      <c r="A2" s="2" t="s">
        <v>201</v>
      </c>
    </row>
    <row r="4" customFormat="false" ht="29.85" hidden="false" customHeight="false" outlineLevel="0" collapsed="false">
      <c r="A4" s="10" t="s">
        <v>112</v>
      </c>
      <c r="B4" s="10" t="s">
        <v>202</v>
      </c>
      <c r="C4" s="10" t="s">
        <v>114</v>
      </c>
      <c r="D4" s="9" t="s">
        <v>203</v>
      </c>
      <c r="E4" s="10" t="s">
        <v>204</v>
      </c>
      <c r="F4" s="10" t="s">
        <v>188</v>
      </c>
      <c r="G4" s="10" t="s">
        <v>205</v>
      </c>
      <c r="H4" s="10" t="s">
        <v>206</v>
      </c>
      <c r="I4" s="10" t="s">
        <v>207</v>
      </c>
      <c r="J4" s="10" t="s">
        <v>108</v>
      </c>
      <c r="L4" s="9" t="s">
        <v>208</v>
      </c>
      <c r="M4" s="10" t="s">
        <v>209</v>
      </c>
      <c r="N4" s="10" t="s">
        <v>112</v>
      </c>
      <c r="O4" s="10" t="s">
        <v>204</v>
      </c>
      <c r="P4" s="10" t="s">
        <v>188</v>
      </c>
      <c r="Q4" s="10" t="s">
        <v>202</v>
      </c>
      <c r="R4" s="10" t="s">
        <v>210</v>
      </c>
      <c r="S4" s="10" t="s">
        <v>211</v>
      </c>
      <c r="T4" s="10" t="s">
        <v>212</v>
      </c>
    </row>
    <row r="5" customFormat="false" ht="15" hidden="false" customHeight="false" outlineLevel="0" collapsed="false">
      <c r="A5" s="11" t="n">
        <v>1</v>
      </c>
      <c r="B5" s="11" t="n">
        <f aca="false">02_実験計画!O5</f>
        <v>5</v>
      </c>
      <c r="C5" s="11" t="n">
        <f aca="false">02_実験計画!C5</f>
        <v>1</v>
      </c>
      <c r="D5" s="15" t="n">
        <f aca="false">IF(C5=1,_XtX!Q5,"")</f>
        <v>37.7</v>
      </c>
      <c r="E5" s="15" t="n">
        <f aca="false">IF(C5=1,_XtX!T5,"")</f>
        <v>37.1766812865498</v>
      </c>
      <c r="F5" s="16" t="n">
        <f aca="false">IF(C5=1,D5-E5,"")</f>
        <v>0.52331871345023</v>
      </c>
      <c r="G5" s="15" t="n">
        <f aca="false">IF(C5=1,F5/04_回帰ANOVA!$K$14,"")</f>
        <v>0.703821069254168</v>
      </c>
      <c r="H5" s="16" t="n">
        <f aca="false">IF(C5=1,_XtX!S5,"")</f>
        <v>0.658625730994152</v>
      </c>
      <c r="I5" s="15" t="n">
        <f aca="false">IF(C5=1,IF(H5&lt;0.9999,F5/(04_回帰ANOVA!$K$14*SQRT(1-H5)),0),"")</f>
        <v>1.20461113116869</v>
      </c>
      <c r="J5" s="25" t="str">
        <f aca="false">IF(C5=1,IF(ABS(I5)&gt;3,"要確認",IF(ABS(I5)&gt;2,"注意","")),"")</f>
        <v/>
      </c>
      <c r="L5" s="24" t="n">
        <v>1</v>
      </c>
      <c r="M5" s="24" t="n">
        <f aca="false">MIN(L5,04_回帰ANOVA!$K$6)</f>
        <v>1</v>
      </c>
      <c r="N5" s="24" t="n">
        <f aca="false">MATCH(M5,$B$5:$B$38,0)</f>
        <v>30</v>
      </c>
      <c r="O5" s="15" t="n">
        <f aca="false">INDEX($E$5:$E$38,N5)</f>
        <v>47.907894736842</v>
      </c>
      <c r="P5" s="16" t="n">
        <f aca="false">INDEX($F$5:$F$38,N5)</f>
        <v>-0.207894736842036</v>
      </c>
      <c r="Q5" s="24" t="n">
        <f aca="false">M5</f>
        <v>1</v>
      </c>
      <c r="R5" s="16" t="n">
        <f aca="false">SMALL($F$5:$F$38,M5)</f>
        <v>-1.50789473684204</v>
      </c>
      <c r="S5" s="16" t="n">
        <f aca="false">NORMSINV((M5-0.375)/(04_回帰ANOVA!$K$6+0.25))</f>
        <v>-2.04028132201041</v>
      </c>
      <c r="T5" s="15" t="n">
        <f aca="false">INDEX($D$5:$D$38,N5)</f>
        <v>47.7</v>
      </c>
    </row>
    <row r="6" customFormat="false" ht="15" hidden="false" customHeight="false" outlineLevel="0" collapsed="false">
      <c r="A6" s="11" t="n">
        <v>2</v>
      </c>
      <c r="B6" s="11" t="n">
        <f aca="false">02_実験計画!O6</f>
        <v>3</v>
      </c>
      <c r="C6" s="11" t="n">
        <f aca="false">02_実験計画!C6</f>
        <v>1</v>
      </c>
      <c r="D6" s="15" t="n">
        <f aca="false">IF(C6=1,_XtX!Q6,"")</f>
        <v>39.4</v>
      </c>
      <c r="E6" s="15" t="n">
        <f aca="false">IF(C6=1,_XtX!T6,"")</f>
        <v>39.9877923976609</v>
      </c>
      <c r="F6" s="16" t="n">
        <f aca="false">IF(C6=1,D6-E6,"")</f>
        <v>-0.587792397660884</v>
      </c>
      <c r="G6" s="15" t="n">
        <f aca="false">IF(C6=1,F6/04_回帰ANOVA!$K$14,"")</f>
        <v>-0.790532926089407</v>
      </c>
      <c r="H6" s="16" t="n">
        <f aca="false">IF(C6=1,_XtX!S6,"")</f>
        <v>0.658625730994152</v>
      </c>
      <c r="I6" s="15" t="n">
        <f aca="false">IF(C6=1,IF(H6&lt;0.9999,F6/(04_回帰ANOVA!$K$14*SQRT(1-H6)),0),"")</f>
        <v>-1.3530211071001</v>
      </c>
      <c r="J6" s="25" t="str">
        <f aca="false">IF(C6=1,IF(ABS(I6)&gt;3,"要確認",IF(ABS(I6)&gt;2,"注意","")),"")</f>
        <v/>
      </c>
      <c r="L6" s="24" t="n">
        <v>2</v>
      </c>
      <c r="M6" s="24" t="n">
        <f aca="false">MIN(L6,04_回帰ANOVA!$K$6)</f>
        <v>2</v>
      </c>
      <c r="N6" s="24" t="n">
        <f aca="false">MATCH(M6,$B$5:$B$38,0)</f>
        <v>27</v>
      </c>
      <c r="O6" s="15" t="n">
        <f aca="false">INDEX($E$5:$E$38,N6)</f>
        <v>47.907894736842</v>
      </c>
      <c r="P6" s="16" t="n">
        <f aca="false">INDEX($F$5:$F$38,N6)</f>
        <v>-0.207894736842036</v>
      </c>
      <c r="Q6" s="24" t="n">
        <f aca="false">M6</f>
        <v>2</v>
      </c>
      <c r="R6" s="16" t="n">
        <f aca="false">SMALL($F$5:$F$38,M6)</f>
        <v>-0.907894736842039</v>
      </c>
      <c r="S6" s="16" t="n">
        <f aca="false">NORMSINV((M6-0.375)/(04_回帰ANOVA!$K$6+0.25))</f>
        <v>-1.60981606718445</v>
      </c>
      <c r="T6" s="15" t="n">
        <f aca="false">INDEX($D$5:$D$38,N6)</f>
        <v>47.7</v>
      </c>
    </row>
    <row r="7" customFormat="false" ht="15" hidden="false" customHeight="false" outlineLevel="0" collapsed="false">
      <c r="A7" s="11" t="n">
        <v>3</v>
      </c>
      <c r="B7" s="11" t="n">
        <f aca="false">02_実験計画!O7</f>
        <v>23</v>
      </c>
      <c r="C7" s="11" t="n">
        <f aca="false">02_実験計画!C7</f>
        <v>1</v>
      </c>
      <c r="D7" s="15" t="n">
        <f aca="false">IF(C7=1,_XtX!Q7,"")</f>
        <v>38.7</v>
      </c>
      <c r="E7" s="15" t="n">
        <f aca="false">IF(C7=1,_XtX!T7,"")</f>
        <v>38.9155701754387</v>
      </c>
      <c r="F7" s="16" t="n">
        <f aca="false">IF(C7=1,D7-E7,"")</f>
        <v>-0.215570175438664</v>
      </c>
      <c r="G7" s="15" t="n">
        <f aca="false">IF(C7=1,F7/04_回帰ANOVA!$K$14,"")</f>
        <v>-0.289924337649314</v>
      </c>
      <c r="H7" s="16" t="n">
        <f aca="false">IF(C7=1,_XtX!S7,"")</f>
        <v>0.658625730994152</v>
      </c>
      <c r="I7" s="15" t="n">
        <f aca="false">IF(C7=1,IF(H7&lt;0.9999,F7/(04_回帰ANOVA!$K$14*SQRT(1-H7)),0),"")</f>
        <v>-0.496214307280065</v>
      </c>
      <c r="J7" s="25" t="str">
        <f aca="false">IF(C7=1,IF(ABS(I7)&gt;3,"要確認",IF(ABS(I7)&gt;2,"注意","")),"")</f>
        <v/>
      </c>
      <c r="L7" s="24" t="n">
        <v>3</v>
      </c>
      <c r="M7" s="24" t="n">
        <f aca="false">MIN(L7,04_回帰ANOVA!$K$6)</f>
        <v>3</v>
      </c>
      <c r="N7" s="24" t="n">
        <f aca="false">MATCH(M7,$B$5:$B$38,0)</f>
        <v>2</v>
      </c>
      <c r="O7" s="15" t="n">
        <f aca="false">INDEX($E$5:$E$38,N7)</f>
        <v>39.9877923976609</v>
      </c>
      <c r="P7" s="16" t="n">
        <f aca="false">INDEX($F$5:$F$38,N7)</f>
        <v>-0.587792397660884</v>
      </c>
      <c r="Q7" s="24" t="n">
        <f aca="false">M7</f>
        <v>3</v>
      </c>
      <c r="R7" s="16" t="n">
        <f aca="false">SMALL($F$5:$F$38,M7)</f>
        <v>-0.587792397660884</v>
      </c>
      <c r="S7" s="16" t="n">
        <f aca="false">NORMSINV((M7-0.375)/(04_回帰ANOVA!$K$6+0.25))</f>
        <v>-1.36087334286719</v>
      </c>
      <c r="T7" s="15" t="n">
        <f aca="false">INDEX($D$5:$D$38,N7)</f>
        <v>39.4</v>
      </c>
    </row>
    <row r="8" customFormat="false" ht="15" hidden="false" customHeight="false" outlineLevel="0" collapsed="false">
      <c r="A8" s="11" t="n">
        <v>4</v>
      </c>
      <c r="B8" s="11" t="n">
        <f aca="false">02_実験計画!O8</f>
        <v>17</v>
      </c>
      <c r="C8" s="11" t="n">
        <f aca="false">02_実験計画!C8</f>
        <v>1</v>
      </c>
      <c r="D8" s="15" t="n">
        <f aca="false">IF(C8=1,_XtX!Q8,"")</f>
        <v>46.6</v>
      </c>
      <c r="E8" s="15" t="n">
        <f aca="false">IF(C8=1,_XtX!T8,"")</f>
        <v>46.2266812865498</v>
      </c>
      <c r="F8" s="16" t="n">
        <f aca="false">IF(C8=1,D8-E8,"")</f>
        <v>0.373318713450225</v>
      </c>
      <c r="G8" s="15" t="n">
        <f aca="false">IF(C8=1,F8/04_回帰ANOVA!$K$14,"")</f>
        <v>0.502083279882778</v>
      </c>
      <c r="H8" s="16" t="n">
        <f aca="false">IF(C8=1,_XtX!S8,"")</f>
        <v>0.658625730994152</v>
      </c>
      <c r="I8" s="15" t="n">
        <f aca="false">IF(C8=1,IF(H8&lt;0.9999,F8/(04_回帰ANOVA!$K$14*SQRT(1-H8)),0),"")</f>
        <v>0.859330779002387</v>
      </c>
      <c r="J8" s="25" t="str">
        <f aca="false">IF(C8=1,IF(ABS(I8)&gt;3,"要確認",IF(ABS(I8)&gt;2,"注意","")),"")</f>
        <v/>
      </c>
      <c r="L8" s="24" t="n">
        <v>4</v>
      </c>
      <c r="M8" s="24" t="n">
        <f aca="false">MIN(L8,04_回帰ANOVA!$K$6)</f>
        <v>4</v>
      </c>
      <c r="N8" s="24" t="n">
        <f aca="false">MATCH(M8,$B$5:$B$38,0)</f>
        <v>6</v>
      </c>
      <c r="O8" s="15" t="n">
        <f aca="false">INDEX($E$5:$E$38,N8)</f>
        <v>39.4544590643276</v>
      </c>
      <c r="P8" s="16" t="n">
        <f aca="false">INDEX($F$5:$F$38,N8)</f>
        <v>0.64554093567245</v>
      </c>
      <c r="Q8" s="24" t="n">
        <f aca="false">M8</f>
        <v>4</v>
      </c>
      <c r="R8" s="16" t="n">
        <f aca="false">SMALL($F$5:$F$38,M8)</f>
        <v>-0.54334795321644</v>
      </c>
      <c r="S8" s="16" t="n">
        <f aca="false">NORMSINV((M8-0.375)/(04_回帰ANOVA!$K$6+0.25))</f>
        <v>-1.17581347255003</v>
      </c>
      <c r="T8" s="15" t="n">
        <f aca="false">INDEX($D$5:$D$38,N8)</f>
        <v>40.1</v>
      </c>
    </row>
    <row r="9" customFormat="false" ht="15" hidden="false" customHeight="false" outlineLevel="0" collapsed="false">
      <c r="A9" s="11" t="n">
        <v>5</v>
      </c>
      <c r="B9" s="11" t="n">
        <f aca="false">02_実験計画!O9</f>
        <v>6</v>
      </c>
      <c r="C9" s="11" t="n">
        <f aca="false">02_実験計画!C9</f>
        <v>1</v>
      </c>
      <c r="D9" s="15" t="n">
        <f aca="false">IF(C9=1,_XtX!Q9,"")</f>
        <v>38.7</v>
      </c>
      <c r="E9" s="15" t="n">
        <f aca="false">IF(C9=1,_XtX!T9,"")</f>
        <v>39.2433479532164</v>
      </c>
      <c r="F9" s="16" t="n">
        <f aca="false">IF(C9=1,D9-E9,"")</f>
        <v>-0.54334795321644</v>
      </c>
      <c r="G9" s="15" t="n">
        <f aca="false">IF(C9=1,F9/04_回帰ANOVA!$K$14,"")</f>
        <v>-0.730758766275665</v>
      </c>
      <c r="H9" s="16" t="n">
        <f aca="false">IF(C9=1,_XtX!S9,"")</f>
        <v>0.658625730994152</v>
      </c>
      <c r="I9" s="15" t="n">
        <f aca="false">IF(C9=1,IF(H9&lt;0.9999,F9/(04_回帰ANOVA!$K$14*SQRT(1-H9)),0),"")</f>
        <v>-1.25071581756935</v>
      </c>
      <c r="J9" s="25" t="str">
        <f aca="false">IF(C9=1,IF(ABS(I9)&gt;3,"要確認",IF(ABS(I9)&gt;2,"注意","")),"")</f>
        <v/>
      </c>
      <c r="L9" s="24" t="n">
        <v>5</v>
      </c>
      <c r="M9" s="24" t="n">
        <f aca="false">MIN(L9,04_回帰ANOVA!$K$6)</f>
        <v>5</v>
      </c>
      <c r="N9" s="24" t="n">
        <f aca="false">MATCH(M9,$B$5:$B$38,0)</f>
        <v>1</v>
      </c>
      <c r="O9" s="15" t="n">
        <f aca="false">INDEX($E$5:$E$38,N9)</f>
        <v>37.1766812865498</v>
      </c>
      <c r="P9" s="16" t="n">
        <f aca="false">INDEX($F$5:$F$38,N9)</f>
        <v>0.52331871345023</v>
      </c>
      <c r="Q9" s="24" t="n">
        <f aca="false">M9</f>
        <v>5</v>
      </c>
      <c r="R9" s="16" t="n">
        <f aca="false">SMALL($F$5:$F$38,M9)</f>
        <v>-0.419883040935645</v>
      </c>
      <c r="S9" s="16" t="n">
        <f aca="false">NORMSINV((M9-0.375)/(04_回帰ANOVA!$K$6+0.25))</f>
        <v>-1.02410618374162</v>
      </c>
      <c r="T9" s="15" t="n">
        <f aca="false">INDEX($D$5:$D$38,N9)</f>
        <v>37.7</v>
      </c>
    </row>
    <row r="10" customFormat="false" ht="15" hidden="false" customHeight="false" outlineLevel="0" collapsed="false">
      <c r="A10" s="11" t="n">
        <v>6</v>
      </c>
      <c r="B10" s="11" t="n">
        <f aca="false">02_実験計画!O10</f>
        <v>4</v>
      </c>
      <c r="C10" s="11" t="n">
        <f aca="false">02_実験計画!C10</f>
        <v>1</v>
      </c>
      <c r="D10" s="15" t="n">
        <f aca="false">IF(C10=1,_XtX!Q10,"")</f>
        <v>40.1</v>
      </c>
      <c r="E10" s="15" t="n">
        <f aca="false">IF(C10=1,_XtX!T10,"")</f>
        <v>39.4544590643276</v>
      </c>
      <c r="F10" s="16" t="n">
        <f aca="false">IF(C10=1,D10-E10,"")</f>
        <v>0.64554093567245</v>
      </c>
      <c r="G10" s="15" t="n">
        <f aca="false">IF(C10=1,F10/04_回帰ANOVA!$K$14,"")</f>
        <v>0.868200008741958</v>
      </c>
      <c r="H10" s="16" t="n">
        <f aca="false">IF(C10=1,_XtX!S10,"")</f>
        <v>0.658625730994152</v>
      </c>
      <c r="I10" s="15" t="n">
        <f aca="false">IF(C10=1,IF(H10&lt;0.9999,F10/(04_回帰ANOVA!$K$14*SQRT(1-H10)),0),"")</f>
        <v>1.48595067737825</v>
      </c>
      <c r="J10" s="25" t="str">
        <f aca="false">IF(C10=1,IF(ABS(I10)&gt;3,"要確認",IF(ABS(I10)&gt;2,"注意","")),"")</f>
        <v/>
      </c>
      <c r="L10" s="24" t="n">
        <v>6</v>
      </c>
      <c r="M10" s="24" t="n">
        <f aca="false">MIN(L10,04_回帰ANOVA!$K$6)</f>
        <v>6</v>
      </c>
      <c r="N10" s="24" t="n">
        <f aca="false">MATCH(M10,$B$5:$B$38,0)</f>
        <v>5</v>
      </c>
      <c r="O10" s="15" t="n">
        <f aca="false">INDEX($E$5:$E$38,N10)</f>
        <v>39.2433479532164</v>
      </c>
      <c r="P10" s="16" t="n">
        <f aca="false">INDEX($F$5:$F$38,N10)</f>
        <v>-0.54334795321644</v>
      </c>
      <c r="Q10" s="24" t="n">
        <f aca="false">M10</f>
        <v>6</v>
      </c>
      <c r="R10" s="16" t="n">
        <f aca="false">SMALL($F$5:$F$38,M10)</f>
        <v>-0.376681286549776</v>
      </c>
      <c r="S10" s="16" t="n">
        <f aca="false">NORMSINV((M10-0.375)/(04_回帰ANOVA!$K$6+0.25))</f>
        <v>-0.892918486444395</v>
      </c>
      <c r="T10" s="15" t="n">
        <f aca="false">INDEX($D$5:$D$38,N10)</f>
        <v>38.7</v>
      </c>
    </row>
    <row r="11" customFormat="false" ht="15" hidden="false" customHeight="false" outlineLevel="0" collapsed="false">
      <c r="A11" s="11" t="n">
        <v>7</v>
      </c>
      <c r="B11" s="11" t="n">
        <f aca="false">02_実験計画!O11</f>
        <v>22</v>
      </c>
      <c r="C11" s="11" t="n">
        <f aca="false">02_実験計画!C11</f>
        <v>1</v>
      </c>
      <c r="D11" s="15" t="n">
        <f aca="false">IF(C11=1,_XtX!Q11,"")</f>
        <v>42.7</v>
      </c>
      <c r="E11" s="15" t="n">
        <f aca="false">IF(C11=1,_XtX!T11,"")</f>
        <v>42.2322368421053</v>
      </c>
      <c r="F11" s="16" t="n">
        <f aca="false">IF(C11=1,D11-E11,"")</f>
        <v>0.467763157894673</v>
      </c>
      <c r="G11" s="15" t="n">
        <f aca="false">IF(C11=1,F11/04_回帰ANOVA!$K$14,"")</f>
        <v>0.629103369486987</v>
      </c>
      <c r="H11" s="16" t="n">
        <f aca="false">IF(C11=1,_XtX!S11,"")</f>
        <v>0.658625730994152</v>
      </c>
      <c r="I11" s="15" t="n">
        <f aca="false">IF(C11=1,IF(H11&lt;0.9999,F11/(04_回帰ANOVA!$K$14*SQRT(1-H11)),0),"")</f>
        <v>1.07672951925524</v>
      </c>
      <c r="J11" s="25" t="str">
        <f aca="false">IF(C11=1,IF(ABS(I11)&gt;3,"要確認",IF(ABS(I11)&gt;2,"注意","")),"")</f>
        <v/>
      </c>
      <c r="L11" s="24" t="n">
        <v>7</v>
      </c>
      <c r="M11" s="24" t="n">
        <f aca="false">MIN(L11,04_回帰ANOVA!$K$6)</f>
        <v>7</v>
      </c>
      <c r="N11" s="24" t="n">
        <f aca="false">MATCH(M11,$B$5:$B$38,0)</f>
        <v>23</v>
      </c>
      <c r="O11" s="15" t="n">
        <f aca="false">INDEX($E$5:$E$38,N11)</f>
        <v>47.1198830409357</v>
      </c>
      <c r="P11" s="16" t="n">
        <f aca="false">INDEX($F$5:$F$38,N11)</f>
        <v>-0.419883040935645</v>
      </c>
      <c r="Q11" s="24" t="n">
        <f aca="false">M11</f>
        <v>7</v>
      </c>
      <c r="R11" s="16" t="n">
        <f aca="false">SMALL($F$5:$F$38,M11)</f>
        <v>-0.254459064327548</v>
      </c>
      <c r="S11" s="16" t="n">
        <f aca="false">NORMSINV((M11-0.375)/(04_回帰ANOVA!$K$6+0.25))</f>
        <v>-0.775546958322378</v>
      </c>
      <c r="T11" s="15" t="n">
        <f aca="false">INDEX($D$5:$D$38,N11)</f>
        <v>46.7</v>
      </c>
    </row>
    <row r="12" customFormat="false" ht="15" hidden="false" customHeight="false" outlineLevel="0" collapsed="false">
      <c r="A12" s="11" t="n">
        <v>8</v>
      </c>
      <c r="B12" s="11" t="n">
        <f aca="false">02_実験計画!O12</f>
        <v>18</v>
      </c>
      <c r="C12" s="11" t="n">
        <f aca="false">02_実験計画!C12</f>
        <v>1</v>
      </c>
      <c r="D12" s="15" t="n">
        <f aca="false">IF(C12=1,_XtX!Q12,"")</f>
        <v>46.7</v>
      </c>
      <c r="E12" s="15" t="n">
        <f aca="false">IF(C12=1,_XtX!T12,"")</f>
        <v>46.9433479532164</v>
      </c>
      <c r="F12" s="16" t="n">
        <f aca="false">IF(C12=1,D12-E12,"")</f>
        <v>-0.243347953216436</v>
      </c>
      <c r="G12" s="15" t="n">
        <f aca="false">IF(C12=1,F12/04_回帰ANOVA!$K$14,"")</f>
        <v>-0.327283187532895</v>
      </c>
      <c r="H12" s="16" t="n">
        <f aca="false">IF(C12=1,_XtX!S12,"")</f>
        <v>0.658625730994152</v>
      </c>
      <c r="I12" s="15" t="n">
        <f aca="false">IF(C12=1,IF(H12&lt;0.9999,F12/(04_回帰ANOVA!$K$14*SQRT(1-H12)),0),"")</f>
        <v>-0.56015511323677</v>
      </c>
      <c r="J12" s="25" t="str">
        <f aca="false">IF(C12=1,IF(ABS(I12)&gt;3,"要確認",IF(ABS(I12)&gt;2,"注意","")),"")</f>
        <v/>
      </c>
      <c r="L12" s="24" t="n">
        <v>8</v>
      </c>
      <c r="M12" s="24" t="n">
        <f aca="false">MIN(L12,04_回帰ANOVA!$K$6)</f>
        <v>8</v>
      </c>
      <c r="N12" s="24" t="n">
        <f aca="false">MATCH(M12,$B$5:$B$38,0)</f>
        <v>22</v>
      </c>
      <c r="O12" s="15" t="n">
        <f aca="false">INDEX($E$5:$E$38,N12)</f>
        <v>48.2087719298245</v>
      </c>
      <c r="P12" s="16" t="n">
        <f aca="false">INDEX($F$5:$F$38,N12)</f>
        <v>0.0912280701754966</v>
      </c>
      <c r="Q12" s="24" t="n">
        <f aca="false">M12</f>
        <v>8</v>
      </c>
      <c r="R12" s="16" t="n">
        <f aca="false">SMALL($F$5:$F$38,M12)</f>
        <v>-0.243347953216436</v>
      </c>
      <c r="S12" s="16" t="n">
        <f aca="false">NORMSINV((M12-0.375)/(04_回帰ANOVA!$K$6+0.25))</f>
        <v>-0.668002132269574</v>
      </c>
      <c r="T12" s="15" t="n">
        <f aca="false">INDEX($D$5:$D$38,N12)</f>
        <v>48.3</v>
      </c>
    </row>
    <row r="13" customFormat="false" ht="15" hidden="false" customHeight="false" outlineLevel="0" collapsed="false">
      <c r="A13" s="11" t="n">
        <v>9</v>
      </c>
      <c r="B13" s="11" t="n">
        <f aca="false">02_実験計画!O13</f>
        <v>29</v>
      </c>
      <c r="C13" s="11" t="n">
        <f aca="false">02_実験計画!C13</f>
        <v>1</v>
      </c>
      <c r="D13" s="15" t="n">
        <f aca="false">IF(C13=1,_XtX!Q13,"")</f>
        <v>37.4</v>
      </c>
      <c r="E13" s="15" t="n">
        <f aca="false">IF(C13=1,_XtX!T13,"")</f>
        <v>37.5877923976609</v>
      </c>
      <c r="F13" s="16" t="n">
        <f aca="false">IF(C13=1,D13-E13,"")</f>
        <v>-0.187792397660886</v>
      </c>
      <c r="G13" s="15" t="n">
        <f aca="false">IF(C13=1,F13/04_回帰ANOVA!$K$14,"")</f>
        <v>-0.252565487765724</v>
      </c>
      <c r="H13" s="16" t="n">
        <f aca="false">IF(C13=1,_XtX!S13,"")</f>
        <v>0.658625730994152</v>
      </c>
      <c r="I13" s="15" t="n">
        <f aca="false">IF(C13=1,IF(H13&lt;0.9999,F13/(04_回帰ANOVA!$K$14*SQRT(1-H13)),0),"")</f>
        <v>-0.432273501323344</v>
      </c>
      <c r="J13" s="25" t="str">
        <f aca="false">IF(C13=1,IF(ABS(I13)&gt;3,"要確認",IF(ABS(I13)&gt;2,"注意","")),"")</f>
        <v/>
      </c>
      <c r="L13" s="24" t="n">
        <v>9</v>
      </c>
      <c r="M13" s="24" t="n">
        <f aca="false">MIN(L13,04_回帰ANOVA!$K$6)</f>
        <v>9</v>
      </c>
      <c r="N13" s="24" t="n">
        <f aca="false">MATCH(M13,$B$5:$B$38,0)</f>
        <v>13</v>
      </c>
      <c r="O13" s="15" t="n">
        <f aca="false">INDEX($E$5:$E$38,N13)</f>
        <v>40.8044590643276</v>
      </c>
      <c r="P13" s="16" t="n">
        <f aca="false">INDEX($F$5:$F$38,N13)</f>
        <v>-0.10445906432755</v>
      </c>
      <c r="Q13" s="24" t="n">
        <f aca="false">M13</f>
        <v>9</v>
      </c>
      <c r="R13" s="16" t="n">
        <f aca="false">SMALL($F$5:$F$38,M13)</f>
        <v>-0.215570175438664</v>
      </c>
      <c r="S13" s="16" t="n">
        <f aca="false">NORMSINV((M13-0.375)/(04_回帰ANOVA!$K$6+0.25))</f>
        <v>-0.56768639112746</v>
      </c>
      <c r="T13" s="15" t="n">
        <f aca="false">INDEX($D$5:$D$38,N13)</f>
        <v>40.7</v>
      </c>
    </row>
    <row r="14" customFormat="false" ht="15" hidden="false" customHeight="false" outlineLevel="0" collapsed="false">
      <c r="A14" s="11" t="n">
        <v>10</v>
      </c>
      <c r="B14" s="11" t="n">
        <f aca="false">02_実験計画!O14</f>
        <v>12</v>
      </c>
      <c r="C14" s="11" t="n">
        <f aca="false">02_実験計画!C14</f>
        <v>1</v>
      </c>
      <c r="D14" s="15" t="n">
        <f aca="false">IF(C14=1,_XtX!Q14,"")</f>
        <v>40.7</v>
      </c>
      <c r="E14" s="15" t="n">
        <f aca="false">IF(C14=1,_XtX!T14,"")</f>
        <v>40.898903508772</v>
      </c>
      <c r="F14" s="16" t="n">
        <f aca="false">IF(C14=1,D14-E14,"")</f>
        <v>-0.198903508771991</v>
      </c>
      <c r="G14" s="15" t="n">
        <f aca="false">IF(C14=1,F14/04_回帰ANOVA!$K$14,"")</f>
        <v>-0.267509027719152</v>
      </c>
      <c r="H14" s="16" t="n">
        <f aca="false">IF(C14=1,_XtX!S14,"")</f>
        <v>0.658625730994152</v>
      </c>
      <c r="I14" s="15" t="n">
        <f aca="false">IF(C14=1,IF(H14&lt;0.9999,F14/(04_回帰ANOVA!$K$14*SQRT(1-H14)),0),"")</f>
        <v>-0.45784982370602</v>
      </c>
      <c r="J14" s="25" t="str">
        <f aca="false">IF(C14=1,IF(ABS(I14)&gt;3,"要確認",IF(ABS(I14)&gt;2,"注意","")),"")</f>
        <v/>
      </c>
      <c r="L14" s="24" t="n">
        <v>10</v>
      </c>
      <c r="M14" s="24" t="n">
        <f aca="false">MIN(L14,04_回帰ANOVA!$K$6)</f>
        <v>10</v>
      </c>
      <c r="N14" s="24" t="n">
        <f aca="false">MATCH(M14,$B$5:$B$38,0)</f>
        <v>17</v>
      </c>
      <c r="O14" s="15" t="n">
        <f aca="false">INDEX($E$5:$E$38,N14)</f>
        <v>43.3198830409357</v>
      </c>
      <c r="P14" s="16" t="n">
        <f aca="false">INDEX($F$5:$F$38,N14)</f>
        <v>0.280116959064301</v>
      </c>
      <c r="Q14" s="24" t="n">
        <f aca="false">M14</f>
        <v>10</v>
      </c>
      <c r="R14" s="16" t="n">
        <f aca="false">SMALL($F$5:$F$38,M14)</f>
        <v>-0.215570175438664</v>
      </c>
      <c r="S14" s="16" t="n">
        <f aca="false">NORMSINV((M14-0.375)/(04_回帰ANOVA!$K$6+0.25))</f>
        <v>-0.472789120992267</v>
      </c>
      <c r="T14" s="15" t="n">
        <f aca="false">INDEX($D$5:$D$38,N14)</f>
        <v>43.6</v>
      </c>
    </row>
    <row r="15" customFormat="false" ht="15" hidden="false" customHeight="false" outlineLevel="0" collapsed="false">
      <c r="A15" s="11" t="n">
        <v>11</v>
      </c>
      <c r="B15" s="11" t="n">
        <f aca="false">02_実験計画!O15</f>
        <v>16</v>
      </c>
      <c r="C15" s="11" t="n">
        <f aca="false">02_実験計画!C15</f>
        <v>1</v>
      </c>
      <c r="D15" s="15" t="n">
        <f aca="false">IF(C15=1,_XtX!Q15,"")</f>
        <v>38.1</v>
      </c>
      <c r="E15" s="15" t="n">
        <f aca="false">IF(C15=1,_XtX!T15,"")</f>
        <v>38.4766812865498</v>
      </c>
      <c r="F15" s="16" t="n">
        <f aca="false">IF(C15=1,D15-E15,"")</f>
        <v>-0.376681286549776</v>
      </c>
      <c r="G15" s="15" t="n">
        <f aca="false">IF(C15=1,F15/04_回帰ANOVA!$K$14,"")</f>
        <v>-0.506605666974132</v>
      </c>
      <c r="H15" s="16" t="n">
        <f aca="false">IF(C15=1,_XtX!S15,"")</f>
        <v>0.658625730994152</v>
      </c>
      <c r="I15" s="15" t="n">
        <f aca="false">IF(C15=1,IF(H15&lt;0.9999,F15/(04_回帰ANOVA!$K$14*SQRT(1-H15)),0),"")</f>
        <v>-0.867070981829039</v>
      </c>
      <c r="J15" s="25" t="str">
        <f aca="false">IF(C15=1,IF(ABS(I15)&gt;3,"要確認",IF(ABS(I15)&gt;2,"注意","")),"")</f>
        <v/>
      </c>
      <c r="L15" s="24" t="n">
        <v>11</v>
      </c>
      <c r="M15" s="24" t="n">
        <f aca="false">MIN(L15,04_回帰ANOVA!$K$6)</f>
        <v>11</v>
      </c>
      <c r="N15" s="24" t="n">
        <f aca="false">MATCH(M15,$B$5:$B$38,0)</f>
        <v>18</v>
      </c>
      <c r="O15" s="15" t="n">
        <f aca="false">INDEX($E$5:$E$38,N15)</f>
        <v>47.3309941520468</v>
      </c>
      <c r="P15" s="16" t="n">
        <f aca="false">INDEX($F$5:$F$38,N15)</f>
        <v>0.369005847953197</v>
      </c>
      <c r="Q15" s="24" t="n">
        <f aca="false">M15</f>
        <v>11</v>
      </c>
      <c r="R15" s="16" t="n">
        <f aca="false">SMALL($F$5:$F$38,M15)</f>
        <v>-0.207894736842036</v>
      </c>
      <c r="S15" s="16" t="n">
        <f aca="false">NORMSINV((M15-0.375)/(04_回帰ANOVA!$K$6+0.25))</f>
        <v>-0.381975767696542</v>
      </c>
      <c r="T15" s="15" t="n">
        <f aca="false">INDEX($D$5:$D$38,N15)</f>
        <v>47.7</v>
      </c>
    </row>
    <row r="16" customFormat="false" ht="15" hidden="false" customHeight="false" outlineLevel="0" collapsed="false">
      <c r="A16" s="11" t="n">
        <v>12</v>
      </c>
      <c r="B16" s="11" t="n">
        <f aca="false">02_実験計画!O16</f>
        <v>14</v>
      </c>
      <c r="C16" s="11" t="n">
        <f aca="false">02_実験計画!C16</f>
        <v>1</v>
      </c>
      <c r="D16" s="15" t="n">
        <f aca="false">IF(C16=1,_XtX!Q16,"")</f>
        <v>46.4</v>
      </c>
      <c r="E16" s="15" t="n">
        <f aca="false">IF(C16=1,_XtX!T16,"")</f>
        <v>46.2877923976609</v>
      </c>
      <c r="F16" s="16" t="n">
        <f aca="false">IF(C16=1,D16-E16,"")</f>
        <v>0.112207602339119</v>
      </c>
      <c r="G16" s="15" t="n">
        <f aca="false">IF(C16=1,F16/04_回帰ANOVA!$K$14,"")</f>
        <v>0.150910090977046</v>
      </c>
      <c r="H16" s="16" t="n">
        <f aca="false">IF(C16=1,_XtX!S16,"")</f>
        <v>0.658625730994152</v>
      </c>
      <c r="I16" s="15" t="n">
        <f aca="false">IF(C16=1,IF(H16&lt;0.9999,F16/(04_回帰ANOVA!$K$14*SQRT(1-H16)),0),"")</f>
        <v>0.258287203009236</v>
      </c>
      <c r="J16" s="25" t="str">
        <f aca="false">IF(C16=1,IF(ABS(I16)&gt;3,"要確認",IF(ABS(I16)&gt;2,"注意","")),"")</f>
        <v/>
      </c>
      <c r="L16" s="24" t="n">
        <v>12</v>
      </c>
      <c r="M16" s="24" t="n">
        <f aca="false">MIN(L16,04_回帰ANOVA!$K$6)</f>
        <v>12</v>
      </c>
      <c r="N16" s="24" t="n">
        <f aca="false">MATCH(M16,$B$5:$B$38,0)</f>
        <v>10</v>
      </c>
      <c r="O16" s="15" t="n">
        <f aca="false">INDEX($E$5:$E$38,N16)</f>
        <v>40.898903508772</v>
      </c>
      <c r="P16" s="16" t="n">
        <f aca="false">INDEX($F$5:$F$38,N16)</f>
        <v>-0.198903508771991</v>
      </c>
      <c r="Q16" s="24" t="n">
        <f aca="false">M16</f>
        <v>12</v>
      </c>
      <c r="R16" s="16" t="n">
        <f aca="false">SMALL($F$5:$F$38,M16)</f>
        <v>-0.207894736842036</v>
      </c>
      <c r="S16" s="16" t="n">
        <f aca="false">NORMSINV((M16-0.375)/(04_回帰ANOVA!$K$6+0.25))</f>
        <v>-0.294213138930921</v>
      </c>
      <c r="T16" s="15" t="n">
        <f aca="false">INDEX($D$5:$D$38,N16)</f>
        <v>40.7</v>
      </c>
    </row>
    <row r="17" customFormat="false" ht="15" hidden="false" customHeight="false" outlineLevel="0" collapsed="false">
      <c r="A17" s="11" t="n">
        <v>13</v>
      </c>
      <c r="B17" s="11" t="n">
        <f aca="false">02_実験計画!O17</f>
        <v>9</v>
      </c>
      <c r="C17" s="11" t="n">
        <f aca="false">02_実験計画!C17</f>
        <v>1</v>
      </c>
      <c r="D17" s="15" t="n">
        <f aca="false">IF(C17=1,_XtX!Q17,"")</f>
        <v>40.7</v>
      </c>
      <c r="E17" s="15" t="n">
        <f aca="false">IF(C17=1,_XtX!T17,"")</f>
        <v>40.8044590643276</v>
      </c>
      <c r="F17" s="16" t="n">
        <f aca="false">IF(C17=1,D17-E17,"")</f>
        <v>-0.10445906432755</v>
      </c>
      <c r="G17" s="15" t="n">
        <f aca="false">IF(C17=1,F17/04_回帰ANOVA!$K$14,"")</f>
        <v>-0.140488938114953</v>
      </c>
      <c r="H17" s="16" t="n">
        <f aca="false">IF(C17=1,_XtX!S17,"")</f>
        <v>0.658625730994152</v>
      </c>
      <c r="I17" s="15" t="n">
        <f aca="false">IF(C17=1,IF(H17&lt;0.9999,F17/(04_回帰ANOVA!$K$14*SQRT(1-H17)),0),"")</f>
        <v>-0.24045108345318</v>
      </c>
      <c r="J17" s="25" t="str">
        <f aca="false">IF(C17=1,IF(ABS(I17)&gt;3,"要確認",IF(ABS(I17)&gt;2,"注意","")),"")</f>
        <v/>
      </c>
      <c r="L17" s="24" t="n">
        <v>13</v>
      </c>
      <c r="M17" s="24" t="n">
        <f aca="false">MIN(L17,04_回帰ANOVA!$K$6)</f>
        <v>13</v>
      </c>
      <c r="N17" s="24" t="n">
        <f aca="false">MATCH(M17,$B$5:$B$38,0)</f>
        <v>14</v>
      </c>
      <c r="O17" s="15" t="n">
        <f aca="false">INDEX($E$5:$E$38,N17)</f>
        <v>41.5155701754387</v>
      </c>
      <c r="P17" s="16" t="n">
        <f aca="false">INDEX($F$5:$F$38,N17)</f>
        <v>-0.215570175438664</v>
      </c>
      <c r="Q17" s="24" t="n">
        <f aca="false">M17</f>
        <v>13</v>
      </c>
      <c r="R17" s="16" t="n">
        <f aca="false">SMALL($F$5:$F$38,M17)</f>
        <v>-0.198903508771991</v>
      </c>
      <c r="S17" s="16" t="n">
        <f aca="false">NORMSINV((M17-0.375)/(04_回帰ANOVA!$K$6+0.25))</f>
        <v>-0.208663745751155</v>
      </c>
      <c r="T17" s="15" t="n">
        <f aca="false">INDEX($D$5:$D$38,N17)</f>
        <v>41.3</v>
      </c>
    </row>
    <row r="18" customFormat="false" ht="15" hidden="false" customHeight="false" outlineLevel="0" collapsed="false">
      <c r="A18" s="11" t="n">
        <v>14</v>
      </c>
      <c r="B18" s="11" t="n">
        <f aca="false">02_実験計画!O18</f>
        <v>13</v>
      </c>
      <c r="C18" s="11" t="n">
        <f aca="false">02_実験計画!C18</f>
        <v>1</v>
      </c>
      <c r="D18" s="15" t="n">
        <f aca="false">IF(C18=1,_XtX!Q18,"")</f>
        <v>41.3</v>
      </c>
      <c r="E18" s="15" t="n">
        <f aca="false">IF(C18=1,_XtX!T18,"")</f>
        <v>41.5155701754387</v>
      </c>
      <c r="F18" s="16" t="n">
        <f aca="false">IF(C18=1,D18-E18,"")</f>
        <v>-0.215570175438664</v>
      </c>
      <c r="G18" s="15" t="n">
        <f aca="false">IF(C18=1,F18/04_回帰ANOVA!$K$14,"")</f>
        <v>-0.289924337649314</v>
      </c>
      <c r="H18" s="16" t="n">
        <f aca="false">IF(C18=1,_XtX!S18,"")</f>
        <v>0.658625730994152</v>
      </c>
      <c r="I18" s="15" t="n">
        <f aca="false">IF(C18=1,IF(H18&lt;0.9999,F18/(04_回帰ANOVA!$K$14*SQRT(1-H18)),0),"")</f>
        <v>-0.496214307280065</v>
      </c>
      <c r="J18" s="25" t="str">
        <f aca="false">IF(C18=1,IF(ABS(I18)&gt;3,"要確認",IF(ABS(I18)&gt;2,"注意","")),"")</f>
        <v/>
      </c>
      <c r="L18" s="24" t="n">
        <v>14</v>
      </c>
      <c r="M18" s="24" t="n">
        <f aca="false">MIN(L18,04_回帰ANOVA!$K$6)</f>
        <v>14</v>
      </c>
      <c r="N18" s="24" t="n">
        <f aca="false">MATCH(M18,$B$5:$B$38,0)</f>
        <v>12</v>
      </c>
      <c r="O18" s="15" t="n">
        <f aca="false">INDEX($E$5:$E$38,N18)</f>
        <v>46.2877923976609</v>
      </c>
      <c r="P18" s="16" t="n">
        <f aca="false">INDEX($F$5:$F$38,N18)</f>
        <v>0.112207602339119</v>
      </c>
      <c r="Q18" s="24" t="n">
        <f aca="false">M18</f>
        <v>14</v>
      </c>
      <c r="R18" s="16" t="n">
        <f aca="false">SMALL($F$5:$F$38,M18)</f>
        <v>-0.187792397660886</v>
      </c>
      <c r="S18" s="16" t="n">
        <f aca="false">NORMSINV((M18-0.375)/(04_回帰ANOVA!$K$6+0.25))</f>
        <v>-0.124617407947998</v>
      </c>
      <c r="T18" s="15" t="n">
        <f aca="false">INDEX($D$5:$D$38,N18)</f>
        <v>46.4</v>
      </c>
    </row>
    <row r="19" customFormat="false" ht="15" hidden="false" customHeight="false" outlineLevel="0" collapsed="false">
      <c r="A19" s="11" t="n">
        <v>15</v>
      </c>
      <c r="B19" s="11" t="n">
        <f aca="false">02_実験計画!O19</f>
        <v>26</v>
      </c>
      <c r="C19" s="11" t="n">
        <f aca="false">02_実験計画!C19</f>
        <v>1</v>
      </c>
      <c r="D19" s="15" t="n">
        <f aca="false">IF(C19=1,_XtX!Q19,"")</f>
        <v>43.1</v>
      </c>
      <c r="E19" s="15" t="n">
        <f aca="false">IF(C19=1,_XtX!T19,"")</f>
        <v>42.9433479532164</v>
      </c>
      <c r="F19" s="16" t="n">
        <f aca="false">IF(C19=1,D19-E19,"")</f>
        <v>0.156652046783563</v>
      </c>
      <c r="G19" s="15" t="n">
        <f aca="false">IF(C19=1,F19/04_回帰ANOVA!$K$14,"")</f>
        <v>0.210684250790789</v>
      </c>
      <c r="H19" s="16" t="n">
        <f aca="false">IF(C19=1,_XtX!S19,"")</f>
        <v>0.658625730994152</v>
      </c>
      <c r="I19" s="15" t="n">
        <f aca="false">IF(C19=1,IF(H19&lt;0.9999,F19/(04_回帰ANOVA!$K$14*SQRT(1-H19)),0),"")</f>
        <v>0.360592492539987</v>
      </c>
      <c r="J19" s="25" t="str">
        <f aca="false">IF(C19=1,IF(ABS(I19)&gt;3,"要確認",IF(ABS(I19)&gt;2,"注意","")),"")</f>
        <v/>
      </c>
      <c r="L19" s="24" t="n">
        <v>15</v>
      </c>
      <c r="M19" s="24" t="n">
        <f aca="false">MIN(L19,04_回帰ANOVA!$K$6)</f>
        <v>15</v>
      </c>
      <c r="N19" s="24" t="n">
        <f aca="false">MATCH(M19,$B$5:$B$38,0)</f>
        <v>28</v>
      </c>
      <c r="O19" s="15" t="n">
        <f aca="false">INDEX($E$5:$E$38,N19)</f>
        <v>47.907894736842</v>
      </c>
      <c r="P19" s="16" t="n">
        <f aca="false">INDEX($F$5:$F$38,N19)</f>
        <v>-1.50789473684204</v>
      </c>
      <c r="Q19" s="24" t="n">
        <f aca="false">M19</f>
        <v>15</v>
      </c>
      <c r="R19" s="16" t="n">
        <f aca="false">SMALL($F$5:$F$38,M19)</f>
        <v>-0.10445906432755</v>
      </c>
      <c r="S19" s="16" t="n">
        <f aca="false">NORMSINV((M19-0.375)/(04_回帰ANOVA!$K$6+0.25))</f>
        <v>-0.0414437330939966</v>
      </c>
      <c r="T19" s="15" t="n">
        <f aca="false">INDEX($D$5:$D$38,N19)</f>
        <v>46.4</v>
      </c>
    </row>
    <row r="20" customFormat="false" ht="15" hidden="false" customHeight="false" outlineLevel="0" collapsed="false">
      <c r="A20" s="11" t="n">
        <v>16</v>
      </c>
      <c r="B20" s="11" t="n">
        <f aca="false">02_実験計画!O20</f>
        <v>30</v>
      </c>
      <c r="C20" s="11" t="n">
        <f aca="false">02_実験計画!C20</f>
        <v>1</v>
      </c>
      <c r="D20" s="15" t="n">
        <f aca="false">IF(C20=1,_XtX!Q20,"")</f>
        <v>47.9</v>
      </c>
      <c r="E20" s="15" t="n">
        <f aca="false">IF(C20=1,_XtX!T20,"")</f>
        <v>48.1544590643276</v>
      </c>
      <c r="F20" s="16" t="n">
        <f aca="false">IF(C20=1,D20-E20,"")</f>
        <v>-0.254459064327548</v>
      </c>
      <c r="G20" s="15" t="n">
        <f aca="false">IF(C20=1,F20/04_回帰ANOVA!$K$14,"")</f>
        <v>-0.342226727486333</v>
      </c>
      <c r="H20" s="16" t="n">
        <f aca="false">IF(C20=1,_XtX!S20,"")</f>
        <v>0.658625730994152</v>
      </c>
      <c r="I20" s="15" t="n">
        <f aca="false">IF(C20=1,IF(H20&lt;0.9999,F20/(04_回帰ANOVA!$K$14*SQRT(1-H20)),0),"")</f>
        <v>-0.585731435619462</v>
      </c>
      <c r="J20" s="25" t="str">
        <f aca="false">IF(C20=1,IF(ABS(I20)&gt;3,"要確認",IF(ABS(I20)&gt;2,"注意","")),"")</f>
        <v/>
      </c>
      <c r="L20" s="24" t="n">
        <v>16</v>
      </c>
      <c r="M20" s="24" t="n">
        <f aca="false">MIN(L20,04_回帰ANOVA!$K$6)</f>
        <v>16</v>
      </c>
      <c r="N20" s="24" t="n">
        <f aca="false">MATCH(M20,$B$5:$B$38,0)</f>
        <v>11</v>
      </c>
      <c r="O20" s="15" t="n">
        <f aca="false">INDEX($E$5:$E$38,N20)</f>
        <v>38.4766812865498</v>
      </c>
      <c r="P20" s="16" t="n">
        <f aca="false">INDEX($F$5:$F$38,N20)</f>
        <v>-0.376681286549776</v>
      </c>
      <c r="Q20" s="24" t="n">
        <f aca="false">M20</f>
        <v>16</v>
      </c>
      <c r="R20" s="16" t="n">
        <f aca="false">SMALL($F$5:$F$38,M20)</f>
        <v>-0.0198830409356034</v>
      </c>
      <c r="S20" s="16" t="n">
        <f aca="false">NORMSINV((M20-0.375)/(04_回帰ANOVA!$K$6+0.25))</f>
        <v>0.0414437330939965</v>
      </c>
      <c r="T20" s="15" t="n">
        <f aca="false">INDEX($D$5:$D$38,N20)</f>
        <v>38.1</v>
      </c>
    </row>
    <row r="21" customFormat="false" ht="15" hidden="false" customHeight="false" outlineLevel="0" collapsed="false">
      <c r="A21" s="11" t="n">
        <v>17</v>
      </c>
      <c r="B21" s="11" t="n">
        <f aca="false">02_実験計画!O21</f>
        <v>10</v>
      </c>
      <c r="C21" s="11" t="n">
        <f aca="false">02_実験計画!C21</f>
        <v>1</v>
      </c>
      <c r="D21" s="15" t="n">
        <f aca="false">IF(C21=1,_XtX!Q21,"")</f>
        <v>43.6</v>
      </c>
      <c r="E21" s="15" t="n">
        <f aca="false">IF(C21=1,_XtX!T21,"")</f>
        <v>43.3198830409357</v>
      </c>
      <c r="F21" s="16" t="n">
        <f aca="false">IF(C21=1,D21-E21,"")</f>
        <v>0.280116959064301</v>
      </c>
      <c r="G21" s="15" t="n">
        <f aca="false">IF(C21=1,F21/04_回帰ANOVA!$K$14,"")</f>
        <v>0.376734507247107</v>
      </c>
      <c r="H21" s="16" t="n">
        <f aca="false">IF(C21=1,_XtX!S21,"")</f>
        <v>0.485380116959064</v>
      </c>
      <c r="I21" s="15" t="n">
        <f aca="false">IF(C21=1,IF(H21&lt;0.9999,F21/(04_回帰ANOVA!$K$14*SQRT(1-H21)),0),"")</f>
        <v>0.525160581616506</v>
      </c>
      <c r="J21" s="25" t="str">
        <f aca="false">IF(C21=1,IF(ABS(I21)&gt;3,"要確認",IF(ABS(I21)&gt;2,"注意","")),"")</f>
        <v/>
      </c>
      <c r="L21" s="24" t="n">
        <v>17</v>
      </c>
      <c r="M21" s="24" t="n">
        <f aca="false">MIN(L21,04_回帰ANOVA!$K$6)</f>
        <v>17</v>
      </c>
      <c r="N21" s="24" t="n">
        <f aca="false">MATCH(M21,$B$5:$B$38,0)</f>
        <v>4</v>
      </c>
      <c r="O21" s="15" t="n">
        <f aca="false">INDEX($E$5:$E$38,N21)</f>
        <v>46.2266812865498</v>
      </c>
      <c r="P21" s="16" t="n">
        <f aca="false">INDEX($F$5:$F$38,N21)</f>
        <v>0.373318713450225</v>
      </c>
      <c r="Q21" s="24" t="n">
        <f aca="false">M21</f>
        <v>17</v>
      </c>
      <c r="R21" s="16" t="n">
        <f aca="false">SMALL($F$5:$F$38,M21)</f>
        <v>0.0912280701754966</v>
      </c>
      <c r="S21" s="16" t="n">
        <f aca="false">NORMSINV((M21-0.375)/(04_回帰ANOVA!$K$6+0.25))</f>
        <v>0.124617407947998</v>
      </c>
      <c r="T21" s="15" t="n">
        <f aca="false">INDEX($D$5:$D$38,N21)</f>
        <v>46.6</v>
      </c>
    </row>
    <row r="22" customFormat="false" ht="15" hidden="false" customHeight="false" outlineLevel="0" collapsed="false">
      <c r="A22" s="11" t="n">
        <v>18</v>
      </c>
      <c r="B22" s="11" t="n">
        <f aca="false">02_実験計画!O22</f>
        <v>11</v>
      </c>
      <c r="C22" s="11" t="n">
        <f aca="false">02_実験計画!C22</f>
        <v>1</v>
      </c>
      <c r="D22" s="15" t="n">
        <f aca="false">IF(C22=1,_XtX!Q22,"")</f>
        <v>47.7</v>
      </c>
      <c r="E22" s="15" t="n">
        <f aca="false">IF(C22=1,_XtX!T22,"")</f>
        <v>47.3309941520468</v>
      </c>
      <c r="F22" s="16" t="n">
        <f aca="false">IF(C22=1,D22-E22,"")</f>
        <v>0.369005847953197</v>
      </c>
      <c r="G22" s="15" t="n">
        <f aca="false">IF(C22=1,F22/04_回帰ANOVA!$K$14,"")</f>
        <v>0.496282826874602</v>
      </c>
      <c r="H22" s="16" t="n">
        <f aca="false">IF(C22=1,_XtX!S22,"")</f>
        <v>0.485380116959064</v>
      </c>
      <c r="I22" s="15" t="n">
        <f aca="false">IF(C22=1,IF(H22&lt;0.9999,F22/(04_回帰ANOVA!$K$14*SQRT(1-H22)),0),"")</f>
        <v>0.691808615866449</v>
      </c>
      <c r="J22" s="25" t="str">
        <f aca="false">IF(C22=1,IF(ABS(I22)&gt;3,"要確認",IF(ABS(I22)&gt;2,"注意","")),"")</f>
        <v/>
      </c>
      <c r="L22" s="24" t="n">
        <v>18</v>
      </c>
      <c r="M22" s="24" t="n">
        <f aca="false">MIN(L22,04_回帰ANOVA!$K$6)</f>
        <v>18</v>
      </c>
      <c r="N22" s="24" t="n">
        <f aca="false">MATCH(M22,$B$5:$B$38,0)</f>
        <v>8</v>
      </c>
      <c r="O22" s="15" t="n">
        <f aca="false">INDEX($E$5:$E$38,N22)</f>
        <v>46.9433479532164</v>
      </c>
      <c r="P22" s="16" t="n">
        <f aca="false">INDEX($F$5:$F$38,N22)</f>
        <v>-0.243347953216436</v>
      </c>
      <c r="Q22" s="24" t="n">
        <f aca="false">M22</f>
        <v>18</v>
      </c>
      <c r="R22" s="16" t="n">
        <f aca="false">SMALL($F$5:$F$38,M22)</f>
        <v>0.0921052631579613</v>
      </c>
      <c r="S22" s="16" t="n">
        <f aca="false">NORMSINV((M22-0.375)/(04_回帰ANOVA!$K$6+0.25))</f>
        <v>0.208663745751154</v>
      </c>
      <c r="T22" s="15" t="n">
        <f aca="false">INDEX($D$5:$D$38,N22)</f>
        <v>46.7</v>
      </c>
    </row>
    <row r="23" customFormat="false" ht="15" hidden="false" customHeight="false" outlineLevel="0" collapsed="false">
      <c r="A23" s="11" t="n">
        <v>19</v>
      </c>
      <c r="B23" s="11" t="n">
        <f aca="false">02_実験計画!O23</f>
        <v>19</v>
      </c>
      <c r="C23" s="11" t="n">
        <f aca="false">02_実験計画!C23</f>
        <v>1</v>
      </c>
      <c r="D23" s="15" t="n">
        <f aca="false">IF(C23=1,_XtX!Q23,"")</f>
        <v>43.9</v>
      </c>
      <c r="E23" s="15" t="n">
        <f aca="false">IF(C23=1,_XtX!T23,"")</f>
        <v>43.2309941520467</v>
      </c>
      <c r="F23" s="16" t="n">
        <f aca="false">IF(C23=1,D23-E23,"")</f>
        <v>0.669005847953279</v>
      </c>
      <c r="G23" s="15" t="n">
        <f aca="false">IF(C23=1,F23/04_回帰ANOVA!$K$14,"")</f>
        <v>0.899758405617477</v>
      </c>
      <c r="H23" s="16" t="n">
        <f aca="false">IF(C23=1,_XtX!S23,"")</f>
        <v>0.485380116959065</v>
      </c>
      <c r="I23" s="15" t="n">
        <f aca="false">IF(C23=1,IF(H23&lt;0.9999,F23/(04_回帰ANOVA!$K$14*SQRT(1-H23)),0),"")</f>
        <v>1.25424573146012</v>
      </c>
      <c r="J23" s="25" t="str">
        <f aca="false">IF(C23=1,IF(ABS(I23)&gt;3,"要確認",IF(ABS(I23)&gt;2,"注意","")),"")</f>
        <v/>
      </c>
      <c r="L23" s="24" t="n">
        <v>19</v>
      </c>
      <c r="M23" s="24" t="n">
        <f aca="false">MIN(L23,04_回帰ANOVA!$K$6)</f>
        <v>19</v>
      </c>
      <c r="N23" s="24" t="n">
        <f aca="false">MATCH(M23,$B$5:$B$38,0)</f>
        <v>19</v>
      </c>
      <c r="O23" s="15" t="n">
        <f aca="false">INDEX($E$5:$E$38,N23)</f>
        <v>43.2309941520467</v>
      </c>
      <c r="P23" s="16" t="n">
        <f aca="false">INDEX($F$5:$F$38,N23)</f>
        <v>0.669005847953279</v>
      </c>
      <c r="Q23" s="24" t="n">
        <f aca="false">M23</f>
        <v>19</v>
      </c>
      <c r="R23" s="16" t="n">
        <f aca="false">SMALL($F$5:$F$38,M23)</f>
        <v>0.112207602339119</v>
      </c>
      <c r="S23" s="16" t="n">
        <f aca="false">NORMSINV((M23-0.375)/(04_回帰ANOVA!$K$6+0.25))</f>
        <v>0.294213138930921</v>
      </c>
      <c r="T23" s="15" t="n">
        <f aca="false">INDEX($D$5:$D$38,N23)</f>
        <v>43.9</v>
      </c>
    </row>
    <row r="24" customFormat="false" ht="15" hidden="false" customHeight="false" outlineLevel="0" collapsed="false">
      <c r="A24" s="11" t="n">
        <v>20</v>
      </c>
      <c r="B24" s="11" t="n">
        <f aca="false">02_実験計画!O24</f>
        <v>24</v>
      </c>
      <c r="C24" s="11" t="n">
        <f aca="false">02_実験計画!C24</f>
        <v>1</v>
      </c>
      <c r="D24" s="15" t="n">
        <f aca="false">IF(C24=1,_XtX!Q24,"")</f>
        <v>47.4</v>
      </c>
      <c r="E24" s="15" t="n">
        <f aca="false">IF(C24=1,_XtX!T24,"")</f>
        <v>47.4198830409356</v>
      </c>
      <c r="F24" s="16" t="n">
        <f aca="false">IF(C24=1,D24-E24,"")</f>
        <v>-0.0198830409356034</v>
      </c>
      <c r="G24" s="15" t="n">
        <f aca="false">IF(C24=1,F24/04_回帰ANOVA!$K$14,"")</f>
        <v>-0.0267410714955289</v>
      </c>
      <c r="H24" s="16" t="n">
        <f aca="false">IF(C24=1,_XtX!S24,"")</f>
        <v>0.485380116959065</v>
      </c>
      <c r="I24" s="15" t="n">
        <f aca="false">IF(C24=1,IF(H24&lt;0.9999,F24/(04_回帰ANOVA!$K$14*SQRT(1-H24)),0),"")</f>
        <v>-0.0372765339768285</v>
      </c>
      <c r="J24" s="25" t="str">
        <f aca="false">IF(C24=1,IF(ABS(I24)&gt;3,"要確認",IF(ABS(I24)&gt;2,"注意","")),"")</f>
        <v/>
      </c>
      <c r="L24" s="24" t="n">
        <v>20</v>
      </c>
      <c r="M24" s="24" t="n">
        <f aca="false">MIN(L24,04_回帰ANOVA!$K$6)</f>
        <v>20</v>
      </c>
      <c r="N24" s="24" t="n">
        <f aca="false">MATCH(M24,$B$5:$B$38,0)</f>
        <v>21</v>
      </c>
      <c r="O24" s="15" t="n">
        <f aca="false">INDEX($E$5:$E$38,N24)</f>
        <v>46.2421052631578</v>
      </c>
      <c r="P24" s="16" t="n">
        <f aca="false">INDEX($F$5:$F$38,N24)</f>
        <v>0.557894736842165</v>
      </c>
      <c r="Q24" s="24" t="n">
        <f aca="false">M24</f>
        <v>20</v>
      </c>
      <c r="R24" s="16" t="n">
        <f aca="false">SMALL($F$5:$F$38,M24)</f>
        <v>0.156652046783563</v>
      </c>
      <c r="S24" s="16" t="n">
        <f aca="false">NORMSINV((M24-0.375)/(04_回帰ANOVA!$K$6+0.25))</f>
        <v>0.381975767696542</v>
      </c>
      <c r="T24" s="15" t="n">
        <f aca="false">INDEX($D$5:$D$38,N24)</f>
        <v>46.8</v>
      </c>
    </row>
    <row r="25" customFormat="false" ht="15" hidden="false" customHeight="false" outlineLevel="0" collapsed="false">
      <c r="A25" s="11" t="n">
        <v>21</v>
      </c>
      <c r="B25" s="11" t="n">
        <f aca="false">02_実験計画!O25</f>
        <v>20</v>
      </c>
      <c r="C25" s="11" t="n">
        <f aca="false">02_実験計画!C25</f>
        <v>1</v>
      </c>
      <c r="D25" s="15" t="n">
        <f aca="false">IF(C25=1,_XtX!Q25,"")</f>
        <v>46.8</v>
      </c>
      <c r="E25" s="15" t="n">
        <f aca="false">IF(C25=1,_XtX!T25,"")</f>
        <v>46.2421052631578</v>
      </c>
      <c r="F25" s="16" t="n">
        <f aca="false">IF(C25=1,D25-E25,"")</f>
        <v>0.557894736842165</v>
      </c>
      <c r="G25" s="15" t="n">
        <f aca="false">IF(C25=1,F25/04_回帰ANOVA!$K$14,"")</f>
        <v>0.750323006083116</v>
      </c>
      <c r="H25" s="16" t="n">
        <f aca="false">IF(C25=1,_XtX!S25,"")</f>
        <v>0.485380116959065</v>
      </c>
      <c r="I25" s="15" t="n">
        <f aca="false">IF(C25=1,IF(H25&lt;0.9999,F25/(04_回帰ANOVA!$K$14*SQRT(1-H25)),0),"")</f>
        <v>1.0459356886477</v>
      </c>
      <c r="J25" s="25" t="str">
        <f aca="false">IF(C25=1,IF(ABS(I25)&gt;3,"要確認",IF(ABS(I25)&gt;2,"注意","")),"")</f>
        <v/>
      </c>
      <c r="L25" s="24" t="n">
        <v>21</v>
      </c>
      <c r="M25" s="24" t="n">
        <f aca="false">MIN(L25,04_回帰ANOVA!$K$6)</f>
        <v>21</v>
      </c>
      <c r="N25" s="24" t="n">
        <f aca="false">MATCH(M25,$B$5:$B$38,0)</f>
        <v>24</v>
      </c>
      <c r="O25" s="15" t="n">
        <f aca="false">INDEX($E$5:$E$38,N25)</f>
        <v>47.9309941520468</v>
      </c>
      <c r="P25" s="16" t="n">
        <f aca="false">INDEX($F$5:$F$38,N25)</f>
        <v>1.06900584795325</v>
      </c>
      <c r="Q25" s="24" t="n">
        <f aca="false">M25</f>
        <v>21</v>
      </c>
      <c r="R25" s="16" t="n">
        <f aca="false">SMALL($F$5:$F$38,M25)</f>
        <v>0.280116959064301</v>
      </c>
      <c r="S25" s="16" t="n">
        <f aca="false">NORMSINV((M25-0.375)/(04_回帰ANOVA!$K$6+0.25))</f>
        <v>0.472789120992267</v>
      </c>
      <c r="T25" s="15" t="n">
        <f aca="false">INDEX($D$5:$D$38,N25)</f>
        <v>49</v>
      </c>
    </row>
    <row r="26" customFormat="false" ht="15" hidden="false" customHeight="false" outlineLevel="0" collapsed="false">
      <c r="A26" s="11" t="n">
        <v>22</v>
      </c>
      <c r="B26" s="11" t="n">
        <f aca="false">02_実験計画!O26</f>
        <v>8</v>
      </c>
      <c r="C26" s="11" t="n">
        <f aca="false">02_実験計画!C26</f>
        <v>1</v>
      </c>
      <c r="D26" s="15" t="n">
        <f aca="false">IF(C26=1,_XtX!Q26,"")</f>
        <v>48.3</v>
      </c>
      <c r="E26" s="15" t="n">
        <f aca="false">IF(C26=1,_XtX!T26,"")</f>
        <v>48.2087719298245</v>
      </c>
      <c r="F26" s="16" t="n">
        <f aca="false">IF(C26=1,D26-E26,"")</f>
        <v>0.0912280701754966</v>
      </c>
      <c r="G26" s="15" t="n">
        <f aca="false">IF(C26=1,F26/04_回帰ANOVA!$K$14,"")</f>
        <v>0.122694328038813</v>
      </c>
      <c r="H26" s="16" t="n">
        <f aca="false">IF(C26=1,_XtX!S26,"")</f>
        <v>0.485380116959065</v>
      </c>
      <c r="I26" s="15" t="n">
        <f aca="false">IF(C26=1,IF(H26&lt;0.9999,F26/(04_回帰ANOVA!$K$14*SQRT(1-H26)),0),"")</f>
        <v>0.171033508835563</v>
      </c>
      <c r="J26" s="25" t="str">
        <f aca="false">IF(C26=1,IF(ABS(I26)&gt;3,"要確認",IF(ABS(I26)&gt;2,"注意","")),"")</f>
        <v/>
      </c>
      <c r="L26" s="24" t="n">
        <v>22</v>
      </c>
      <c r="M26" s="24" t="n">
        <f aca="false">MIN(L26,04_回帰ANOVA!$K$6)</f>
        <v>22</v>
      </c>
      <c r="N26" s="24" t="n">
        <f aca="false">MATCH(M26,$B$5:$B$38,0)</f>
        <v>7</v>
      </c>
      <c r="O26" s="15" t="n">
        <f aca="false">INDEX($E$5:$E$38,N26)</f>
        <v>42.2322368421053</v>
      </c>
      <c r="P26" s="16" t="n">
        <f aca="false">INDEX($F$5:$F$38,N26)</f>
        <v>0.467763157894673</v>
      </c>
      <c r="Q26" s="24" t="n">
        <f aca="false">M26</f>
        <v>22</v>
      </c>
      <c r="R26" s="16" t="n">
        <f aca="false">SMALL($F$5:$F$38,M26)</f>
        <v>0.369005847953197</v>
      </c>
      <c r="S26" s="16" t="n">
        <f aca="false">NORMSINV((M26-0.375)/(04_回帰ANOVA!$K$6+0.25))</f>
        <v>0.56768639112746</v>
      </c>
      <c r="T26" s="15" t="n">
        <f aca="false">INDEX($D$5:$D$38,N26)</f>
        <v>42.7</v>
      </c>
    </row>
    <row r="27" customFormat="false" ht="15" hidden="false" customHeight="false" outlineLevel="0" collapsed="false">
      <c r="A27" s="11" t="n">
        <v>23</v>
      </c>
      <c r="B27" s="11" t="n">
        <f aca="false">02_実験計画!O27</f>
        <v>7</v>
      </c>
      <c r="C27" s="11" t="n">
        <f aca="false">02_実験計画!C27</f>
        <v>1</v>
      </c>
      <c r="D27" s="15" t="n">
        <f aca="false">IF(C27=1,_XtX!Q27,"")</f>
        <v>46.7</v>
      </c>
      <c r="E27" s="15" t="n">
        <f aca="false">IF(C27=1,_XtX!T27,"")</f>
        <v>47.1198830409357</v>
      </c>
      <c r="F27" s="16" t="n">
        <f aca="false">IF(C27=1,D27-E27,"")</f>
        <v>-0.419883040935645</v>
      </c>
      <c r="G27" s="15" t="n">
        <f aca="false">IF(C27=1,F27/04_回帰ANOVA!$K$14,"")</f>
        <v>-0.56470850981927</v>
      </c>
      <c r="H27" s="16" t="n">
        <f aca="false">IF(C27=1,_XtX!S27,"")</f>
        <v>0.485380116959065</v>
      </c>
      <c r="I27" s="15" t="n">
        <f aca="false">IF(C27=1,IF(H27&lt;0.9999,F27/(04_回帰ANOVA!$K$14*SQRT(1-H27)),0),"")</f>
        <v>-0.78719268810159</v>
      </c>
      <c r="J27" s="25" t="str">
        <f aca="false">IF(C27=1,IF(ABS(I27)&gt;3,"要確認",IF(ABS(I27)&gt;2,"注意","")),"")</f>
        <v/>
      </c>
      <c r="L27" s="24" t="n">
        <v>23</v>
      </c>
      <c r="M27" s="24" t="n">
        <f aca="false">MIN(L27,04_回帰ANOVA!$K$6)</f>
        <v>23</v>
      </c>
      <c r="N27" s="24" t="n">
        <f aca="false">MATCH(M27,$B$5:$B$38,0)</f>
        <v>3</v>
      </c>
      <c r="O27" s="15" t="n">
        <f aca="false">INDEX($E$5:$E$38,N27)</f>
        <v>38.9155701754387</v>
      </c>
      <c r="P27" s="16" t="n">
        <f aca="false">INDEX($F$5:$F$38,N27)</f>
        <v>-0.215570175438664</v>
      </c>
      <c r="Q27" s="24" t="n">
        <f aca="false">M27</f>
        <v>23</v>
      </c>
      <c r="R27" s="16" t="n">
        <f aca="false">SMALL($F$5:$F$38,M27)</f>
        <v>0.373318713450225</v>
      </c>
      <c r="S27" s="16" t="n">
        <f aca="false">NORMSINV((M27-0.375)/(04_回帰ANOVA!$K$6+0.25))</f>
        <v>0.668002132269573</v>
      </c>
      <c r="T27" s="15" t="n">
        <f aca="false">INDEX($D$5:$D$38,N27)</f>
        <v>38.7</v>
      </c>
    </row>
    <row r="28" customFormat="false" ht="15" hidden="false" customHeight="false" outlineLevel="0" collapsed="false">
      <c r="A28" s="11" t="n">
        <v>24</v>
      </c>
      <c r="B28" s="11" t="n">
        <f aca="false">02_実験計画!O28</f>
        <v>21</v>
      </c>
      <c r="C28" s="11" t="n">
        <f aca="false">02_実験計画!C28</f>
        <v>1</v>
      </c>
      <c r="D28" s="15" t="n">
        <f aca="false">IF(C28=1,_XtX!Q28,"")</f>
        <v>49</v>
      </c>
      <c r="E28" s="15" t="n">
        <f aca="false">IF(C28=1,_XtX!T28,"")</f>
        <v>47.9309941520468</v>
      </c>
      <c r="F28" s="16" t="n">
        <f aca="false">IF(C28=1,D28-E28,"")</f>
        <v>1.06900584795325</v>
      </c>
      <c r="G28" s="15" t="n">
        <f aca="false">IF(C28=1,F28/04_回帰ANOVA!$K$14,"")</f>
        <v>1.43772584394112</v>
      </c>
      <c r="H28" s="16" t="n">
        <f aca="false">IF(C28=1,_XtX!S28,"")</f>
        <v>0.485380116959065</v>
      </c>
      <c r="I28" s="15" t="n">
        <f aca="false">IF(C28=1,IF(H28&lt;0.9999,F28/(04_回帰ANOVA!$K$14*SQRT(1-H28)),0),"")</f>
        <v>2.00416188558474</v>
      </c>
      <c r="J28" s="25" t="str">
        <f aca="false">IF(C28=1,IF(ABS(I28)&gt;3,"要確認",IF(ABS(I28)&gt;2,"注意","")),"")</f>
        <v>注意</v>
      </c>
      <c r="L28" s="24" t="n">
        <v>24</v>
      </c>
      <c r="M28" s="24" t="n">
        <f aca="false">MIN(L28,04_回帰ANOVA!$K$6)</f>
        <v>24</v>
      </c>
      <c r="N28" s="24" t="n">
        <f aca="false">MATCH(M28,$B$5:$B$38,0)</f>
        <v>20</v>
      </c>
      <c r="O28" s="15" t="n">
        <f aca="false">INDEX($E$5:$E$38,N28)</f>
        <v>47.4198830409356</v>
      </c>
      <c r="P28" s="16" t="n">
        <f aca="false">INDEX($F$5:$F$38,N28)</f>
        <v>-0.0198830409356034</v>
      </c>
      <c r="Q28" s="24" t="n">
        <f aca="false">M28</f>
        <v>24</v>
      </c>
      <c r="R28" s="16" t="n">
        <f aca="false">SMALL($F$5:$F$38,M28)</f>
        <v>0.467763157894673</v>
      </c>
      <c r="S28" s="16" t="n">
        <f aca="false">NORMSINV((M28-0.375)/(04_回帰ANOVA!$K$6+0.25))</f>
        <v>0.775546958322378</v>
      </c>
      <c r="T28" s="15" t="n">
        <f aca="false">INDEX($D$5:$D$38,N28)</f>
        <v>47.4</v>
      </c>
    </row>
    <row r="29" customFormat="false" ht="15" hidden="false" customHeight="false" outlineLevel="0" collapsed="false">
      <c r="A29" s="11" t="n">
        <v>25</v>
      </c>
      <c r="B29" s="11" t="n">
        <f aca="false">02_実験計画!O29</f>
        <v>25</v>
      </c>
      <c r="C29" s="11" t="n">
        <f aca="false">02_実験計画!C29</f>
        <v>1</v>
      </c>
      <c r="D29" s="15" t="n">
        <f aca="false">IF(C29=1,_XtX!Q29,"")</f>
        <v>48</v>
      </c>
      <c r="E29" s="15" t="n">
        <f aca="false">IF(C29=1,_XtX!T29,"")</f>
        <v>47.907894736842</v>
      </c>
      <c r="F29" s="16" t="n">
        <f aca="false">IF(C29=1,D29-E29,"")</f>
        <v>0.0921052631579613</v>
      </c>
      <c r="G29" s="15" t="n">
        <f aca="false">IF(C29=1,F29/04_回帰ANOVA!$K$14,"")</f>
        <v>0.123874081193043</v>
      </c>
      <c r="H29" s="16" t="n">
        <f aca="false">IF(C29=1,_XtX!S29,"")</f>
        <v>0.0964912280701755</v>
      </c>
      <c r="I29" s="15" t="n">
        <f aca="false">IF(C29=1,IF(H29&lt;0.9999,F29/(04_回帰ANOVA!$K$14*SQRT(1-H29)),0),"")</f>
        <v>0.130320956708792</v>
      </c>
      <c r="J29" s="25" t="str">
        <f aca="false">IF(C29=1,IF(ABS(I29)&gt;3,"要確認",IF(ABS(I29)&gt;2,"注意","")),"")</f>
        <v/>
      </c>
      <c r="L29" s="24" t="n">
        <v>25</v>
      </c>
      <c r="M29" s="24" t="n">
        <f aca="false">MIN(L29,04_回帰ANOVA!$K$6)</f>
        <v>25</v>
      </c>
      <c r="N29" s="24" t="n">
        <f aca="false">MATCH(M29,$B$5:$B$38,0)</f>
        <v>25</v>
      </c>
      <c r="O29" s="15" t="n">
        <f aca="false">INDEX($E$5:$E$38,N29)</f>
        <v>47.907894736842</v>
      </c>
      <c r="P29" s="16" t="n">
        <f aca="false">INDEX($F$5:$F$38,N29)</f>
        <v>0.0921052631579613</v>
      </c>
      <c r="Q29" s="24" t="n">
        <f aca="false">M29</f>
        <v>25</v>
      </c>
      <c r="R29" s="16" t="n">
        <f aca="false">SMALL($F$5:$F$38,M29)</f>
        <v>0.52331871345023</v>
      </c>
      <c r="S29" s="16" t="n">
        <f aca="false">NORMSINV((M29-0.375)/(04_回帰ANOVA!$K$6+0.25))</f>
        <v>0.892918486444395</v>
      </c>
      <c r="T29" s="15" t="n">
        <f aca="false">INDEX($D$5:$D$38,N29)</f>
        <v>48</v>
      </c>
    </row>
    <row r="30" customFormat="false" ht="15" hidden="false" customHeight="false" outlineLevel="0" collapsed="false">
      <c r="A30" s="11" t="n">
        <v>26</v>
      </c>
      <c r="B30" s="11" t="n">
        <f aca="false">02_実験計画!O30</f>
        <v>27</v>
      </c>
      <c r="C30" s="11" t="n">
        <f aca="false">02_実験計画!C30</f>
        <v>1</v>
      </c>
      <c r="D30" s="15" t="n">
        <f aca="false">IF(C30=1,_XtX!Q30,"")</f>
        <v>47</v>
      </c>
      <c r="E30" s="15" t="n">
        <f aca="false">IF(C30=1,_XtX!T30,"")</f>
        <v>47.907894736842</v>
      </c>
      <c r="F30" s="16" t="n">
        <f aca="false">IF(C30=1,D30-E30,"")</f>
        <v>-0.907894736842039</v>
      </c>
      <c r="G30" s="15" t="n">
        <f aca="false">IF(C30=1,F30/04_回帰ANOVA!$K$14,"")</f>
        <v>-1.22104451461617</v>
      </c>
      <c r="H30" s="16" t="n">
        <f aca="false">IF(C30=1,_XtX!S30,"")</f>
        <v>0.0964912280701755</v>
      </c>
      <c r="I30" s="15" t="n">
        <f aca="false">IF(C30=1,IF(H30&lt;0.9999,F30/(04_回帰ANOVA!$K$14*SQRT(1-H30)),0),"")</f>
        <v>-1.28459228755707</v>
      </c>
      <c r="J30" s="25" t="str">
        <f aca="false">IF(C30=1,IF(ABS(I30)&gt;3,"要確認",IF(ABS(I30)&gt;2,"注意","")),"")</f>
        <v/>
      </c>
      <c r="L30" s="24" t="n">
        <v>26</v>
      </c>
      <c r="M30" s="24" t="n">
        <f aca="false">MIN(L30,04_回帰ANOVA!$K$6)</f>
        <v>26</v>
      </c>
      <c r="N30" s="24" t="n">
        <f aca="false">MATCH(M30,$B$5:$B$38,0)</f>
        <v>15</v>
      </c>
      <c r="O30" s="15" t="n">
        <f aca="false">INDEX($E$5:$E$38,N30)</f>
        <v>42.9433479532164</v>
      </c>
      <c r="P30" s="16" t="n">
        <f aca="false">INDEX($F$5:$F$38,N30)</f>
        <v>0.156652046783563</v>
      </c>
      <c r="Q30" s="24" t="n">
        <f aca="false">M30</f>
        <v>26</v>
      </c>
      <c r="R30" s="16" t="n">
        <f aca="false">SMALL($F$5:$F$38,M30)</f>
        <v>0.557894736842165</v>
      </c>
      <c r="S30" s="16" t="n">
        <f aca="false">NORMSINV((M30-0.375)/(04_回帰ANOVA!$K$6+0.25))</f>
        <v>1.02410618374162</v>
      </c>
      <c r="T30" s="15" t="n">
        <f aca="false">INDEX($D$5:$D$38,N30)</f>
        <v>43.1</v>
      </c>
    </row>
    <row r="31" customFormat="false" ht="15" hidden="false" customHeight="false" outlineLevel="0" collapsed="false">
      <c r="A31" s="11" t="n">
        <v>27</v>
      </c>
      <c r="B31" s="11" t="n">
        <f aca="false">02_実験計画!O31</f>
        <v>2</v>
      </c>
      <c r="C31" s="11" t="n">
        <f aca="false">02_実験計画!C31</f>
        <v>1</v>
      </c>
      <c r="D31" s="15" t="n">
        <f aca="false">IF(C31=1,_XtX!Q31,"")</f>
        <v>47.7</v>
      </c>
      <c r="E31" s="15" t="n">
        <f aca="false">IF(C31=1,_XtX!T31,"")</f>
        <v>47.907894736842</v>
      </c>
      <c r="F31" s="16" t="n">
        <f aca="false">IF(C31=1,D31-E31,"")</f>
        <v>-0.207894736842036</v>
      </c>
      <c r="G31" s="15" t="n">
        <f aca="false">IF(C31=1,F31/04_回帰ANOVA!$K$14,"")</f>
        <v>-0.279601497549717</v>
      </c>
      <c r="H31" s="16" t="n">
        <f aca="false">IF(C31=1,_XtX!S31,"")</f>
        <v>0.0964912280701755</v>
      </c>
      <c r="I31" s="15" t="n">
        <f aca="false">IF(C31=1,IF(H31&lt;0.9999,F31/(04_回帰ANOVA!$K$14*SQRT(1-H31)),0),"")</f>
        <v>-0.294153016570962</v>
      </c>
      <c r="J31" s="25" t="str">
        <f aca="false">IF(C31=1,IF(ABS(I31)&gt;3,"要確認",IF(ABS(I31)&gt;2,"注意","")),"")</f>
        <v/>
      </c>
      <c r="L31" s="24" t="n">
        <v>27</v>
      </c>
      <c r="M31" s="24" t="n">
        <f aca="false">MIN(L31,04_回帰ANOVA!$K$6)</f>
        <v>27</v>
      </c>
      <c r="N31" s="24" t="n">
        <f aca="false">MATCH(M31,$B$5:$B$38,0)</f>
        <v>26</v>
      </c>
      <c r="O31" s="15" t="n">
        <f aca="false">INDEX($E$5:$E$38,N31)</f>
        <v>47.907894736842</v>
      </c>
      <c r="P31" s="16" t="n">
        <f aca="false">INDEX($F$5:$F$38,N31)</f>
        <v>-0.907894736842039</v>
      </c>
      <c r="Q31" s="24" t="n">
        <f aca="false">M31</f>
        <v>27</v>
      </c>
      <c r="R31" s="16" t="n">
        <f aca="false">SMALL($F$5:$F$38,M31)</f>
        <v>0.64554093567245</v>
      </c>
      <c r="S31" s="16" t="n">
        <f aca="false">NORMSINV((M31-0.375)/(04_回帰ANOVA!$K$6+0.25))</f>
        <v>1.17581347255003</v>
      </c>
      <c r="T31" s="15" t="n">
        <f aca="false">INDEX($D$5:$D$38,N31)</f>
        <v>47</v>
      </c>
    </row>
    <row r="32" customFormat="false" ht="15" hidden="false" customHeight="false" outlineLevel="0" collapsed="false">
      <c r="A32" s="11" t="n">
        <v>28</v>
      </c>
      <c r="B32" s="11" t="n">
        <f aca="false">02_実験計画!O32</f>
        <v>15</v>
      </c>
      <c r="C32" s="11" t="n">
        <f aca="false">02_実験計画!C32</f>
        <v>1</v>
      </c>
      <c r="D32" s="15" t="n">
        <f aca="false">IF(C32=1,_XtX!Q32,"")</f>
        <v>46.4</v>
      </c>
      <c r="E32" s="15" t="n">
        <f aca="false">IF(C32=1,_XtX!T32,"")</f>
        <v>47.907894736842</v>
      </c>
      <c r="F32" s="16" t="n">
        <f aca="false">IF(C32=1,D32-E32,"")</f>
        <v>-1.50789473684204</v>
      </c>
      <c r="G32" s="15" t="n">
        <f aca="false">IF(C32=1,F32/04_回帰ANOVA!$K$14,"")</f>
        <v>-2.0279956721017</v>
      </c>
      <c r="H32" s="16" t="n">
        <f aca="false">IF(C32=1,_XtX!S32,"")</f>
        <v>0.0964912280701755</v>
      </c>
      <c r="I32" s="15" t="n">
        <f aca="false">IF(C32=1,IF(H32&lt;0.9999,F32/(04_回帰ANOVA!$K$14*SQRT(1-H32)),0),"")</f>
        <v>-2.13354023411659</v>
      </c>
      <c r="J32" s="25" t="str">
        <f aca="false">IF(C32=1,IF(ABS(I32)&gt;3,"要確認",IF(ABS(I32)&gt;2,"注意","")),"")</f>
        <v>注意</v>
      </c>
      <c r="L32" s="24" t="n">
        <v>28</v>
      </c>
      <c r="M32" s="24" t="n">
        <f aca="false">MIN(L32,04_回帰ANOVA!$K$6)</f>
        <v>28</v>
      </c>
      <c r="N32" s="24" t="n">
        <f aca="false">MATCH(M32,$B$5:$B$38,0)</f>
        <v>29</v>
      </c>
      <c r="O32" s="15" t="n">
        <f aca="false">INDEX($E$5:$E$38,N32)</f>
        <v>47.907894736842</v>
      </c>
      <c r="P32" s="16" t="n">
        <f aca="false">INDEX($F$5:$F$38,N32)</f>
        <v>0.792105263157964</v>
      </c>
      <c r="Q32" s="24" t="n">
        <f aca="false">M32</f>
        <v>28</v>
      </c>
      <c r="R32" s="16" t="n">
        <f aca="false">SMALL($F$5:$F$38,M32)</f>
        <v>0.669005847953279</v>
      </c>
      <c r="S32" s="16" t="n">
        <f aca="false">NORMSINV((M32-0.375)/(04_回帰ANOVA!$K$6+0.25))</f>
        <v>1.36087334286719</v>
      </c>
      <c r="T32" s="15" t="n">
        <f aca="false">INDEX($D$5:$D$38,N32)</f>
        <v>48.7</v>
      </c>
    </row>
    <row r="33" customFormat="false" ht="15" hidden="false" customHeight="false" outlineLevel="0" collapsed="false">
      <c r="A33" s="11" t="n">
        <v>29</v>
      </c>
      <c r="B33" s="11" t="n">
        <f aca="false">02_実験計画!O33</f>
        <v>28</v>
      </c>
      <c r="C33" s="11" t="n">
        <f aca="false">02_実験計画!C33</f>
        <v>1</v>
      </c>
      <c r="D33" s="15" t="n">
        <f aca="false">IF(C33=1,_XtX!Q33,"")</f>
        <v>48.7</v>
      </c>
      <c r="E33" s="15" t="n">
        <f aca="false">IF(C33=1,_XtX!T33,"")</f>
        <v>47.907894736842</v>
      </c>
      <c r="F33" s="16" t="n">
        <f aca="false">IF(C33=1,D33-E33,"")</f>
        <v>0.792105263157964</v>
      </c>
      <c r="G33" s="15" t="n">
        <f aca="false">IF(C33=1,F33/04_回帰ANOVA!$K$14,"")</f>
        <v>1.0653170982595</v>
      </c>
      <c r="H33" s="16" t="n">
        <f aca="false">IF(C33=1,_XtX!S33,"")</f>
        <v>0.0964912280701755</v>
      </c>
      <c r="I33" s="15" t="n">
        <f aca="false">IF(C33=1,IF(H33&lt;0.9999,F33/(04_回帰ANOVA!$K$14*SQRT(1-H33)),0),"")</f>
        <v>1.1207602276949</v>
      </c>
      <c r="J33" s="25" t="str">
        <f aca="false">IF(C33=1,IF(ABS(I33)&gt;3,"要確認",IF(ABS(I33)&gt;2,"注意","")),"")</f>
        <v/>
      </c>
      <c r="L33" s="24" t="n">
        <v>29</v>
      </c>
      <c r="M33" s="24" t="n">
        <f aca="false">MIN(L33,04_回帰ANOVA!$K$6)</f>
        <v>29</v>
      </c>
      <c r="N33" s="24" t="n">
        <f aca="false">MATCH(M33,$B$5:$B$38,0)</f>
        <v>9</v>
      </c>
      <c r="O33" s="15" t="n">
        <f aca="false">INDEX($E$5:$E$38,N33)</f>
        <v>37.5877923976609</v>
      </c>
      <c r="P33" s="16" t="n">
        <f aca="false">INDEX($F$5:$F$38,N33)</f>
        <v>-0.187792397660886</v>
      </c>
      <c r="Q33" s="24" t="n">
        <f aca="false">M33</f>
        <v>29</v>
      </c>
      <c r="R33" s="16" t="n">
        <f aca="false">SMALL($F$5:$F$38,M33)</f>
        <v>0.792105263157964</v>
      </c>
      <c r="S33" s="16" t="n">
        <f aca="false">NORMSINV((M33-0.375)/(04_回帰ANOVA!$K$6+0.25))</f>
        <v>1.60981606718445</v>
      </c>
      <c r="T33" s="15" t="n">
        <f aca="false">INDEX($D$5:$D$38,N33)</f>
        <v>37.4</v>
      </c>
    </row>
    <row r="34" customFormat="false" ht="15" hidden="false" customHeight="false" outlineLevel="0" collapsed="false">
      <c r="A34" s="11" t="n">
        <v>30</v>
      </c>
      <c r="B34" s="11" t="n">
        <f aca="false">02_実験計画!O34</f>
        <v>1</v>
      </c>
      <c r="C34" s="11" t="n">
        <f aca="false">02_実験計画!C34</f>
        <v>1</v>
      </c>
      <c r="D34" s="15" t="n">
        <f aca="false">IF(C34=1,_XtX!Q34,"")</f>
        <v>47.7</v>
      </c>
      <c r="E34" s="15" t="n">
        <f aca="false">IF(C34=1,_XtX!T34,"")</f>
        <v>47.907894736842</v>
      </c>
      <c r="F34" s="16" t="n">
        <f aca="false">IF(C34=1,D34-E34,"")</f>
        <v>-0.207894736842036</v>
      </c>
      <c r="G34" s="15" t="n">
        <f aca="false">IF(C34=1,F34/04_回帰ANOVA!$K$14,"")</f>
        <v>-0.279601497549717</v>
      </c>
      <c r="H34" s="16" t="n">
        <f aca="false">IF(C34=1,_XtX!S34,"")</f>
        <v>0.0964912280701755</v>
      </c>
      <c r="I34" s="15" t="n">
        <f aca="false">IF(C34=1,IF(H34&lt;0.9999,F34/(04_回帰ANOVA!$K$14*SQRT(1-H34)),0),"")</f>
        <v>-0.294153016570962</v>
      </c>
      <c r="J34" s="25" t="str">
        <f aca="false">IF(C34=1,IF(ABS(I34)&gt;3,"要確認",IF(ABS(I34)&gt;2,"注意","")),"")</f>
        <v/>
      </c>
      <c r="L34" s="24" t="n">
        <v>30</v>
      </c>
      <c r="M34" s="24" t="n">
        <f aca="false">MIN(L34,04_回帰ANOVA!$K$6)</f>
        <v>30</v>
      </c>
      <c r="N34" s="24" t="n">
        <f aca="false">MATCH(M34,$B$5:$B$38,0)</f>
        <v>16</v>
      </c>
      <c r="O34" s="15" t="n">
        <f aca="false">INDEX($E$5:$E$38,N34)</f>
        <v>48.1544590643276</v>
      </c>
      <c r="P34" s="16" t="n">
        <f aca="false">INDEX($F$5:$F$38,N34)</f>
        <v>-0.254459064327548</v>
      </c>
      <c r="Q34" s="24" t="n">
        <f aca="false">M34</f>
        <v>30</v>
      </c>
      <c r="R34" s="16" t="n">
        <f aca="false">SMALL($F$5:$F$38,M34)</f>
        <v>1.06900584795325</v>
      </c>
      <c r="S34" s="16" t="n">
        <f aca="false">NORMSINV((M34-0.375)/(04_回帰ANOVA!$K$6+0.25))</f>
        <v>2.04028132201041</v>
      </c>
      <c r="T34" s="15" t="n">
        <f aca="false">INDEX($D$5:$D$38,N34)</f>
        <v>47.9</v>
      </c>
    </row>
    <row r="35" customFormat="false" ht="15" hidden="false" customHeight="false" outlineLevel="0" collapsed="false">
      <c r="A35" s="11" t="n">
        <v>31</v>
      </c>
      <c r="B35" s="11" t="str">
        <f aca="false">02_実験計画!O35</f>
        <v/>
      </c>
      <c r="C35" s="11" t="n">
        <f aca="false">02_実験計画!C35</f>
        <v>0</v>
      </c>
      <c r="D35" s="15" t="str">
        <f aca="false">IF(C35=1,_XtX!Q35,"")</f>
        <v/>
      </c>
      <c r="E35" s="15" t="str">
        <f aca="false">IF(C35=1,_XtX!T35,"")</f>
        <v/>
      </c>
      <c r="F35" s="16" t="str">
        <f aca="false">IF(C35=1,D35-E35,"")</f>
        <v/>
      </c>
      <c r="G35" s="15" t="str">
        <f aca="false">IF(C35=1,F35/04_回帰ANOVA!$K$14,"")</f>
        <v/>
      </c>
      <c r="H35" s="16" t="str">
        <f aca="false">IF(C35=1,_XtX!S35,"")</f>
        <v/>
      </c>
      <c r="I35" s="15" t="str">
        <f aca="false">IF(C35=1,IF(H35&lt;0.9999,F35/(04_回帰ANOVA!$K$14*SQRT(1-H35)),0),"")</f>
        <v/>
      </c>
      <c r="J35" s="25" t="str">
        <f aca="false">IF(C35=1,IF(ABS(I35)&gt;3,"要確認",IF(ABS(I35)&gt;2,"注意","")),"")</f>
        <v/>
      </c>
      <c r="L35" s="24" t="n">
        <v>31</v>
      </c>
      <c r="M35" s="24" t="n">
        <f aca="false">MIN(L35,04_回帰ANOVA!$K$6)</f>
        <v>30</v>
      </c>
      <c r="N35" s="24" t="n">
        <f aca="false">MATCH(M35,$B$5:$B$38,0)</f>
        <v>16</v>
      </c>
      <c r="O35" s="15" t="n">
        <f aca="false">INDEX($E$5:$E$38,N35)</f>
        <v>48.1544590643276</v>
      </c>
      <c r="P35" s="16" t="n">
        <f aca="false">INDEX($F$5:$F$38,N35)</f>
        <v>-0.254459064327548</v>
      </c>
      <c r="Q35" s="24" t="n">
        <f aca="false">M35</f>
        <v>30</v>
      </c>
      <c r="R35" s="16" t="n">
        <f aca="false">SMALL($F$5:$F$38,M35)</f>
        <v>1.06900584795325</v>
      </c>
      <c r="S35" s="16" t="n">
        <f aca="false">NORMSINV((M35-0.375)/(04_回帰ANOVA!$K$6+0.25))</f>
        <v>2.04028132201041</v>
      </c>
      <c r="T35" s="15" t="n">
        <f aca="false">INDEX($D$5:$D$38,N35)</f>
        <v>47.9</v>
      </c>
    </row>
    <row r="36" customFormat="false" ht="15" hidden="false" customHeight="false" outlineLevel="0" collapsed="false">
      <c r="A36" s="11" t="n">
        <v>32</v>
      </c>
      <c r="B36" s="11" t="str">
        <f aca="false">02_実験計画!O36</f>
        <v/>
      </c>
      <c r="C36" s="11" t="n">
        <f aca="false">02_実験計画!C36</f>
        <v>0</v>
      </c>
      <c r="D36" s="15" t="str">
        <f aca="false">IF(C36=1,_XtX!Q36,"")</f>
        <v/>
      </c>
      <c r="E36" s="15" t="str">
        <f aca="false">IF(C36=1,_XtX!T36,"")</f>
        <v/>
      </c>
      <c r="F36" s="16" t="str">
        <f aca="false">IF(C36=1,D36-E36,"")</f>
        <v/>
      </c>
      <c r="G36" s="15" t="str">
        <f aca="false">IF(C36=1,F36/04_回帰ANOVA!$K$14,"")</f>
        <v/>
      </c>
      <c r="H36" s="16" t="str">
        <f aca="false">IF(C36=1,_XtX!S36,"")</f>
        <v/>
      </c>
      <c r="I36" s="15" t="str">
        <f aca="false">IF(C36=1,IF(H36&lt;0.9999,F36/(04_回帰ANOVA!$K$14*SQRT(1-H36)),0),"")</f>
        <v/>
      </c>
      <c r="J36" s="25" t="str">
        <f aca="false">IF(C36=1,IF(ABS(I36)&gt;3,"要確認",IF(ABS(I36)&gt;2,"注意","")),"")</f>
        <v/>
      </c>
      <c r="L36" s="24" t="n">
        <v>32</v>
      </c>
      <c r="M36" s="24" t="n">
        <f aca="false">MIN(L36,04_回帰ANOVA!$K$6)</f>
        <v>30</v>
      </c>
      <c r="N36" s="24" t="n">
        <f aca="false">MATCH(M36,$B$5:$B$38,0)</f>
        <v>16</v>
      </c>
      <c r="O36" s="15" t="n">
        <f aca="false">INDEX($E$5:$E$38,N36)</f>
        <v>48.1544590643276</v>
      </c>
      <c r="P36" s="16" t="n">
        <f aca="false">INDEX($F$5:$F$38,N36)</f>
        <v>-0.254459064327548</v>
      </c>
      <c r="Q36" s="24" t="n">
        <f aca="false">M36</f>
        <v>30</v>
      </c>
      <c r="R36" s="16" t="n">
        <f aca="false">SMALL($F$5:$F$38,M36)</f>
        <v>1.06900584795325</v>
      </c>
      <c r="S36" s="16" t="n">
        <f aca="false">NORMSINV((M36-0.375)/(04_回帰ANOVA!$K$6+0.25))</f>
        <v>2.04028132201041</v>
      </c>
      <c r="T36" s="15" t="n">
        <f aca="false">INDEX($D$5:$D$38,N36)</f>
        <v>47.9</v>
      </c>
    </row>
    <row r="37" customFormat="false" ht="15" hidden="false" customHeight="false" outlineLevel="0" collapsed="false">
      <c r="A37" s="11" t="n">
        <v>33</v>
      </c>
      <c r="B37" s="11" t="str">
        <f aca="false">02_実験計画!O37</f>
        <v/>
      </c>
      <c r="C37" s="11" t="n">
        <f aca="false">02_実験計画!C37</f>
        <v>0</v>
      </c>
      <c r="D37" s="15" t="str">
        <f aca="false">IF(C37=1,_XtX!Q37,"")</f>
        <v/>
      </c>
      <c r="E37" s="15" t="str">
        <f aca="false">IF(C37=1,_XtX!T37,"")</f>
        <v/>
      </c>
      <c r="F37" s="16" t="str">
        <f aca="false">IF(C37=1,D37-E37,"")</f>
        <v/>
      </c>
      <c r="G37" s="15" t="str">
        <f aca="false">IF(C37=1,F37/04_回帰ANOVA!$K$14,"")</f>
        <v/>
      </c>
      <c r="H37" s="16" t="str">
        <f aca="false">IF(C37=1,_XtX!S37,"")</f>
        <v/>
      </c>
      <c r="I37" s="15" t="str">
        <f aca="false">IF(C37=1,IF(H37&lt;0.9999,F37/(04_回帰ANOVA!$K$14*SQRT(1-H37)),0),"")</f>
        <v/>
      </c>
      <c r="J37" s="25" t="str">
        <f aca="false">IF(C37=1,IF(ABS(I37)&gt;3,"要確認",IF(ABS(I37)&gt;2,"注意","")),"")</f>
        <v/>
      </c>
      <c r="L37" s="24" t="n">
        <v>33</v>
      </c>
      <c r="M37" s="24" t="n">
        <f aca="false">MIN(L37,04_回帰ANOVA!$K$6)</f>
        <v>30</v>
      </c>
      <c r="N37" s="24" t="n">
        <f aca="false">MATCH(M37,$B$5:$B$38,0)</f>
        <v>16</v>
      </c>
      <c r="O37" s="15" t="n">
        <f aca="false">INDEX($E$5:$E$38,N37)</f>
        <v>48.1544590643276</v>
      </c>
      <c r="P37" s="16" t="n">
        <f aca="false">INDEX($F$5:$F$38,N37)</f>
        <v>-0.254459064327548</v>
      </c>
      <c r="Q37" s="24" t="n">
        <f aca="false">M37</f>
        <v>30</v>
      </c>
      <c r="R37" s="16" t="n">
        <f aca="false">SMALL($F$5:$F$38,M37)</f>
        <v>1.06900584795325</v>
      </c>
      <c r="S37" s="16" t="n">
        <f aca="false">NORMSINV((M37-0.375)/(04_回帰ANOVA!$K$6+0.25))</f>
        <v>2.04028132201041</v>
      </c>
      <c r="T37" s="15" t="n">
        <f aca="false">INDEX($D$5:$D$38,N37)</f>
        <v>47.9</v>
      </c>
      <c r="V37" s="19" t="s">
        <v>213</v>
      </c>
    </row>
    <row r="38" customFormat="false" ht="15" hidden="false" customHeight="false" outlineLevel="0" collapsed="false">
      <c r="A38" s="11" t="n">
        <v>34</v>
      </c>
      <c r="B38" s="11" t="str">
        <f aca="false">02_実験計画!O38</f>
        <v/>
      </c>
      <c r="C38" s="11" t="n">
        <f aca="false">02_実験計画!C38</f>
        <v>0</v>
      </c>
      <c r="D38" s="15" t="str">
        <f aca="false">IF(C38=1,_XtX!Q38,"")</f>
        <v/>
      </c>
      <c r="E38" s="15" t="str">
        <f aca="false">IF(C38=1,_XtX!T38,"")</f>
        <v/>
      </c>
      <c r="F38" s="16" t="str">
        <f aca="false">IF(C38=1,D38-E38,"")</f>
        <v/>
      </c>
      <c r="G38" s="15" t="str">
        <f aca="false">IF(C38=1,F38/04_回帰ANOVA!$K$14,"")</f>
        <v/>
      </c>
      <c r="H38" s="16" t="str">
        <f aca="false">IF(C38=1,_XtX!S38,"")</f>
        <v/>
      </c>
      <c r="I38" s="15" t="str">
        <f aca="false">IF(C38=1,IF(H38&lt;0.9999,F38/(04_回帰ANOVA!$K$14*SQRT(1-H38)),0),"")</f>
        <v/>
      </c>
      <c r="J38" s="25" t="str">
        <f aca="false">IF(C38=1,IF(ABS(I38)&gt;3,"要確認",IF(ABS(I38)&gt;2,"注意","")),"")</f>
        <v/>
      </c>
      <c r="L38" s="24" t="n">
        <v>34</v>
      </c>
      <c r="M38" s="24" t="n">
        <f aca="false">MIN(L38,04_回帰ANOVA!$K$6)</f>
        <v>30</v>
      </c>
      <c r="N38" s="24" t="n">
        <f aca="false">MATCH(M38,$B$5:$B$38,0)</f>
        <v>16</v>
      </c>
      <c r="O38" s="15" t="n">
        <f aca="false">INDEX($E$5:$E$38,N38)</f>
        <v>48.1544590643276</v>
      </c>
      <c r="P38" s="16" t="n">
        <f aca="false">INDEX($F$5:$F$38,N38)</f>
        <v>-0.254459064327548</v>
      </c>
      <c r="Q38" s="24" t="n">
        <f aca="false">M38</f>
        <v>30</v>
      </c>
      <c r="R38" s="16" t="n">
        <f aca="false">SMALL($F$5:$F$38,M38)</f>
        <v>1.06900584795325</v>
      </c>
      <c r="S38" s="16" t="n">
        <f aca="false">NORMSINV((M38-0.375)/(04_回帰ANOVA!$K$6+0.25))</f>
        <v>2.04028132201041</v>
      </c>
      <c r="T38" s="15" t="n">
        <f aca="false">INDEX($D$5:$D$38,N38)</f>
        <v>47.9</v>
      </c>
    </row>
  </sheetData>
  <conditionalFormatting sqref="J5:J38">
    <cfRule type="cellIs" priority="2" operator="equal" aboveAverage="0" equalAverage="0" bottom="0" percent="0" rank="0" text="" dxfId="0">
      <formula>"要確認"</formula>
    </cfRule>
    <cfRule type="cellIs" priority="3" operator="equal" aboveAverage="0" equalAverage="0" bottom="0" percent="0" rank="0" text="" dxfId="3">
      <formula>"注意"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7" min="5" style="0" width="12"/>
  </cols>
  <sheetData>
    <row r="1" customFormat="false" ht="21.6" hidden="false" customHeight="false" outlineLevel="0" collapsed="false">
      <c r="A1" s="8" t="s">
        <v>214</v>
      </c>
    </row>
    <row r="2" customFormat="false" ht="15" hidden="false" customHeight="false" outlineLevel="0" collapsed="false">
      <c r="A2" s="2" t="s">
        <v>215</v>
      </c>
    </row>
    <row r="5" customFormat="false" ht="15" hidden="false" customHeight="false" outlineLevel="0" collapsed="false">
      <c r="A5" s="38" t="s">
        <v>216</v>
      </c>
      <c r="G5" s="38" t="s">
        <v>217</v>
      </c>
    </row>
    <row r="6" customFormat="false" ht="15" hidden="false" customHeight="false" outlineLevel="0" collapsed="false">
      <c r="A6" s="23" t="s">
        <v>64</v>
      </c>
      <c r="B6" s="30" t="n">
        <f aca="false">04_回帰ANOVA!C17</f>
        <v>-2.58245614035079</v>
      </c>
      <c r="C6" s="30" t="n">
        <f aca="false">04_回帰ANOVA!C11/2</f>
        <v>0.5625</v>
      </c>
      <c r="D6" s="30" t="n">
        <f aca="false">04_回帰ANOVA!C12/2</f>
        <v>-0.325</v>
      </c>
      <c r="E6" s="30" t="n">
        <f aca="false">04_回帰ANOVA!C13/2</f>
        <v>0.0625</v>
      </c>
      <c r="G6" s="30" t="n">
        <f aca="false">04_回帰ANOVA!C7</f>
        <v>2.00555555555555</v>
      </c>
    </row>
    <row r="7" customFormat="false" ht="15" hidden="false" customHeight="false" outlineLevel="0" collapsed="false">
      <c r="A7" s="23" t="s">
        <v>69</v>
      </c>
      <c r="B7" s="30" t="n">
        <f aca="false">04_回帰ANOVA!C11/2</f>
        <v>0.5625</v>
      </c>
      <c r="C7" s="30" t="n">
        <f aca="false">04_回帰ANOVA!C18</f>
        <v>-2.58245614035088</v>
      </c>
      <c r="D7" s="30" t="n">
        <f aca="false">04_回帰ANOVA!C14/2</f>
        <v>0.15625</v>
      </c>
      <c r="E7" s="30" t="n">
        <f aca="false">04_回帰ANOVA!C15/2</f>
        <v>-0.10625</v>
      </c>
      <c r="G7" s="30" t="n">
        <f aca="false">04_回帰ANOVA!C8</f>
        <v>2.09444444444444</v>
      </c>
    </row>
    <row r="8" customFormat="false" ht="15" hidden="false" customHeight="false" outlineLevel="0" collapsed="false">
      <c r="A8" s="23" t="s">
        <v>72</v>
      </c>
      <c r="B8" s="30" t="n">
        <f aca="false">04_回帰ANOVA!C12/2</f>
        <v>-0.325</v>
      </c>
      <c r="C8" s="30" t="n">
        <f aca="false">04_回帰ANOVA!C14/2</f>
        <v>0.15625</v>
      </c>
      <c r="D8" s="30" t="n">
        <f aca="false">04_回帰ANOVA!C19</f>
        <v>-0.682456140350872</v>
      </c>
      <c r="E8" s="30" t="n">
        <f aca="false">04_回帰ANOVA!C16/2</f>
        <v>0.14375</v>
      </c>
      <c r="G8" s="30" t="n">
        <f aca="false">04_回帰ANOVA!C9</f>
        <v>0.983333333333333</v>
      </c>
    </row>
    <row r="9" customFormat="false" ht="15" hidden="false" customHeight="false" outlineLevel="0" collapsed="false">
      <c r="A9" s="23" t="s">
        <v>76</v>
      </c>
      <c r="B9" s="30" t="n">
        <f aca="false">04_回帰ANOVA!C13/2</f>
        <v>0.0625</v>
      </c>
      <c r="C9" s="30" t="n">
        <f aca="false">04_回帰ANOVA!C15/2</f>
        <v>-0.10625</v>
      </c>
      <c r="D9" s="30" t="n">
        <f aca="false">04_回帰ANOVA!C16/2</f>
        <v>0.14375</v>
      </c>
      <c r="E9" s="30" t="n">
        <f aca="false">04_回帰ANOVA!C20</f>
        <v>-0.38245614035084</v>
      </c>
      <c r="G9" s="30" t="n">
        <f aca="false">04_回帰ANOVA!C10</f>
        <v>0.405555555555555</v>
      </c>
    </row>
    <row r="12" customFormat="false" ht="15" hidden="false" customHeight="false" outlineLevel="0" collapsed="false">
      <c r="A12" s="10" t="s">
        <v>105</v>
      </c>
      <c r="B12" s="10" t="s">
        <v>218</v>
      </c>
      <c r="C12" s="10" t="s">
        <v>219</v>
      </c>
      <c r="D12" s="10" t="s">
        <v>52</v>
      </c>
    </row>
    <row r="13" customFormat="false" ht="15" hidden="false" customHeight="false" outlineLevel="0" collapsed="false">
      <c r="A13" s="26" t="str">
        <f aca="false">01_因子設定!B5</f>
        <v>炉温</v>
      </c>
      <c r="B13" s="16" t="n">
        <f aca="false">IFERROR(-0.5*INDEX(MMULT(MINVERSE($B$6:$E$9),$G$6:$G$9),1,1),"算出不可")</f>
        <v>0.418052757215603</v>
      </c>
      <c r="C13" s="15" t="n">
        <f aca="false">IF(ISNUMBER(B13),01_因子設定!G5+B13*01_因子設定!H5,"")</f>
        <v>69.180527572156</v>
      </c>
      <c r="D13" s="24" t="str">
        <f aca="false">01_因子設定!D5</f>
        <v>℃</v>
      </c>
    </row>
    <row r="14" customFormat="false" ht="15" hidden="false" customHeight="false" outlineLevel="0" collapsed="false">
      <c r="A14" s="26" t="str">
        <f aca="false">01_因子設定!B6</f>
        <v>乾燥時間</v>
      </c>
      <c r="B14" s="16" t="n">
        <f aca="false">IFERROR(-0.5*INDEX(MMULT(MINVERSE($B$6:$E$9),$G$6:$G$9),2,1),"算出不可")</f>
        <v>0.513770400184594</v>
      </c>
      <c r="C14" s="15" t="n">
        <f aca="false">IF(ISNUMBER(B14),01_因子設定!G6+B14*01_因子設定!H6,"")</f>
        <v>35.137704001846</v>
      </c>
      <c r="D14" s="24" t="str">
        <f aca="false">01_因子設定!D6</f>
        <v>min</v>
      </c>
    </row>
    <row r="15" customFormat="false" ht="15" hidden="false" customHeight="false" outlineLevel="0" collapsed="false">
      <c r="A15" s="26" t="str">
        <f aca="false">01_因子設定!B7</f>
        <v>循環風速</v>
      </c>
      <c r="B15" s="16" t="n">
        <f aca="false">IFERROR(-0.5*INDEX(MMULT(MINVERSE($B$6:$E$9),$G$6:$G$9),3,1),"算出不可")</f>
        <v>0.798176893633026</v>
      </c>
      <c r="C15" s="15" t="n">
        <f aca="false">IF(ISNUMBER(B15),01_因子設定!G7+B15*01_因子設定!H7,"")</f>
        <v>2.79817689363303</v>
      </c>
      <c r="D15" s="24" t="str">
        <f aca="false">01_因子設定!D7</f>
        <v>m/s</v>
      </c>
    </row>
    <row r="16" customFormat="false" ht="15" hidden="false" customHeight="false" outlineLevel="0" collapsed="false">
      <c r="A16" s="26" t="str">
        <f aca="false">01_因子設定!B8</f>
        <v>給気率</v>
      </c>
      <c r="B16" s="16" t="n">
        <f aca="false">IFERROR(-0.5*INDEX(MMULT(MINVERSE($B$6:$E$9),$G$6:$G$9),4,1),"算出不可")</f>
        <v>0.755788358578126</v>
      </c>
      <c r="C16" s="15" t="n">
        <f aca="false">IF(ISNUMBER(B16),01_因子設定!G8+B16*01_因子設定!H8,"")</f>
        <v>55.1157671715625</v>
      </c>
      <c r="D16" s="24" t="str">
        <f aca="false">01_因子設定!D8</f>
        <v>%</v>
      </c>
    </row>
    <row r="18" customFormat="false" ht="15" hidden="false" customHeight="false" outlineLevel="0" collapsed="false">
      <c r="A18" s="18" t="s">
        <v>220</v>
      </c>
      <c r="B18" s="15" t="n">
        <f aca="false">IF(ISNUMBER(B13),04_回帰ANOVA!C6+0.5*SUMPRODUCT(G6:G9,B13:B16),"")</f>
        <v>49.4108345884356</v>
      </c>
    </row>
    <row r="19" customFormat="false" ht="15" hidden="false" customHeight="false" outlineLevel="0" collapsed="false">
      <c r="A19" s="18" t="s">
        <v>221</v>
      </c>
      <c r="B19" s="16" t="n">
        <f aca="false">IF(ISNUMBER(B13),SQRT(SUMSQ(B13:B16)),"")</f>
        <v>1.28336687210372</v>
      </c>
    </row>
    <row r="20" customFormat="false" ht="15" hidden="false" customHeight="false" outlineLevel="0" collapsed="false">
      <c r="A20" s="18" t="s">
        <v>222</v>
      </c>
      <c r="B20" s="26" t="str">
        <f aca="false">IF(NOT(ISNUMBER(B13)),"－",IF(01_因子設定!$B$20="Box-Behnken",IF(B19&lt;=SQRT(2),"領域内","領域外（外挿）"),IF(01_因子設定!$B$20="回転可能CCD(α=2.000)",IF(B19&lt;=2,"領域内","領域外（外挿）"),IF(MAX(ABS(B13),ABS(B14),ABS(B15),ABS(B16))&lt;=1,"領域内","領域外（外挿）"))))</f>
        <v>領域内</v>
      </c>
    </row>
    <row r="22" customFormat="false" ht="15" hidden="false" customHeight="false" outlineLevel="0" collapsed="false">
      <c r="A22" s="10" t="s">
        <v>39</v>
      </c>
      <c r="B22" s="10" t="s">
        <v>151</v>
      </c>
    </row>
    <row r="23" customFormat="false" ht="15" hidden="false" customHeight="false" outlineLevel="0" collapsed="false">
      <c r="A23" s="23" t="s">
        <v>223</v>
      </c>
      <c r="B23" s="30" t="n">
        <f aca="false">SMALL((_eig!B293~_eig!C294~_eig!D295~_eig!E296),1)</f>
        <v>-3.19803965056632</v>
      </c>
    </row>
    <row r="24" customFormat="false" ht="15" hidden="false" customHeight="false" outlineLevel="0" collapsed="false">
      <c r="A24" s="23" t="s">
        <v>224</v>
      </c>
      <c r="B24" s="30" t="n">
        <f aca="false">SMALL((_eig!B293~_eig!C294~_eig!D295~_eig!E296),2)</f>
        <v>-2.03006158630089</v>
      </c>
    </row>
    <row r="25" customFormat="false" ht="15" hidden="false" customHeight="false" outlineLevel="0" collapsed="false">
      <c r="A25" s="23" t="s">
        <v>225</v>
      </c>
      <c r="B25" s="30" t="n">
        <f aca="false">SMALL((_eig!B293~_eig!C294~_eig!D295~_eig!E296),3)</f>
        <v>-0.680382456658851</v>
      </c>
    </row>
    <row r="26" customFormat="false" ht="15" hidden="false" customHeight="false" outlineLevel="0" collapsed="false">
      <c r="A26" s="23" t="s">
        <v>226</v>
      </c>
      <c r="B26" s="30" t="n">
        <f aca="false">SMALL((_eig!B293~_eig!C294~_eig!D295~_eig!E296),4)</f>
        <v>-0.321340867877317</v>
      </c>
    </row>
    <row r="28" customFormat="false" ht="15" hidden="false" customHeight="false" outlineLevel="0" collapsed="false">
      <c r="A28" s="18" t="s">
        <v>227</v>
      </c>
      <c r="B28" s="26" t="str">
        <f aca="false">IF(MAX(B23:B26)&lt;0,"最大点",IF(MIN(B23:B26)&gt;0,"最小点","鞍点"))</f>
        <v>最大点</v>
      </c>
      <c r="C28" s="26"/>
      <c r="D28" s="26"/>
      <c r="E28" s="26"/>
      <c r="F28" s="26"/>
      <c r="G28" s="26"/>
      <c r="H28" s="26"/>
    </row>
    <row r="29" customFormat="false" ht="15" hidden="false" customHeight="false" outlineLevel="0" collapsed="false">
      <c r="A29" s="18" t="s">
        <v>228</v>
      </c>
      <c r="B29" s="39" t="str">
        <f aca="false">IF(MIN(ABS(B23),ABS(B24),ABS(B25),ABS(B26))&lt;0.1*MAX(ABS(B23),ABS(B24),ABS(B25),ABS(B26)),"あり：ほぼ平らな方向がある → その方向には工程窓を広く取れる可能性","なし：全方向に明確な曲率")</f>
        <v>なし：全方向に明確な曲率</v>
      </c>
      <c r="C29" s="39"/>
      <c r="D29" s="39"/>
      <c r="E29" s="39"/>
      <c r="F29" s="39"/>
      <c r="G29" s="39"/>
      <c r="H29" s="39"/>
    </row>
    <row r="30" customFormat="false" ht="15" hidden="false" customHeight="false" outlineLevel="0" collapsed="false">
      <c r="A30" s="18" t="s">
        <v>229</v>
      </c>
      <c r="B30" s="26" t="str">
        <f aca="false">IF(NOT(ISNUMBER(B13)),"停留点を算出できない（2次項を除外している等）→ 07の探索結果を使う",IF(B20&lt;&gt;"領域内","停留点は実験領域外。外挿値は信用しない → 07の領域内探索結果を採用し、必要なら領域を移して追加実験",IF(OR(AND(01_因子設定!$B$13="最大化",B28="最大点"),AND(01_因子設定!$B$13="最小化",B28="最小点")),"停留点が領域内の最適点候補。07の結果と一致するか確認",IF(B28="鞍点","鞍点のため停留点は最適点ではない → 07の探索結果（領域境界上になりやすい）を採用","停留点は目的と逆向きの極値 → 07の探索結果を採用"))))</f>
        <v>停留点が領域内の最適点候補。07の結果と一致するか確認</v>
      </c>
      <c r="C30" s="26"/>
      <c r="D30" s="26"/>
      <c r="E30" s="26"/>
      <c r="F30" s="26"/>
      <c r="G30" s="26"/>
      <c r="H30" s="26"/>
    </row>
    <row r="32" customFormat="false" ht="15" hidden="false" customHeight="false" outlineLevel="0" collapsed="false">
      <c r="A32" s="19" t="s">
        <v>230</v>
      </c>
    </row>
  </sheetData>
  <mergeCells count="3"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AA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10" min="7" style="0" width="10"/>
  </cols>
  <sheetData>
    <row r="1" customFormat="false" ht="21.6" hidden="false" customHeight="false" outlineLevel="0" collapsed="false">
      <c r="A1" s="8" t="s">
        <v>231</v>
      </c>
    </row>
    <row r="2" customFormat="false" ht="15" hidden="false" customHeight="false" outlineLevel="0" collapsed="false">
      <c r="A2" s="2" t="s">
        <v>232</v>
      </c>
    </row>
    <row r="4" customFormat="false" ht="29.85" hidden="false" customHeight="false" outlineLevel="0" collapsed="false">
      <c r="A4" s="10" t="s">
        <v>233</v>
      </c>
      <c r="B4" s="10" t="s">
        <v>234</v>
      </c>
      <c r="C4" s="10" t="s">
        <v>235</v>
      </c>
      <c r="D4" s="10"/>
      <c r="E4" s="10" t="s">
        <v>236</v>
      </c>
    </row>
    <row r="5" customFormat="false" ht="15" hidden="false" customHeight="true" outlineLevel="0" collapsed="false">
      <c r="A5" s="18" t="s">
        <v>237</v>
      </c>
      <c r="B5" s="24" t="n">
        <f aca="false">MATCH(MAX(_grid!$AF$5:$AF$6565),_grid!$AF$5:$AF$6565,0)</f>
        <v>4921</v>
      </c>
      <c r="C5" s="24" t="n">
        <f aca="false">MATCH(MAX(_grid!$AG$5:$AG$6565),_grid!$AG$5:$AG$6565,0)</f>
        <v>4931</v>
      </c>
      <c r="E5" s="40" t="s">
        <v>238</v>
      </c>
      <c r="F5" s="40"/>
      <c r="G5" s="40"/>
      <c r="H5" s="40"/>
      <c r="I5" s="40"/>
      <c r="J5" s="40"/>
      <c r="K5" s="40"/>
    </row>
    <row r="6" customFormat="false" ht="15" hidden="false" customHeight="false" outlineLevel="0" collapsed="false">
      <c r="A6" s="23" t="str">
        <f aca="false">01_因子設定!B5&amp;"（コード）"</f>
        <v>炉温（コード）</v>
      </c>
      <c r="B6" s="16" t="n">
        <f aca="false">INDEX(_grid!$E$5:$E$6565,B$5)</f>
        <v>0.5</v>
      </c>
      <c r="C6" s="16" t="n">
        <f aca="false">INDEX(_grid!$E$5:$E$6565,C$5)</f>
        <v>0.5</v>
      </c>
      <c r="E6" s="40"/>
      <c r="F6" s="40"/>
      <c r="G6" s="40"/>
      <c r="H6" s="40"/>
      <c r="I6" s="40"/>
      <c r="J6" s="40"/>
      <c r="K6" s="40"/>
    </row>
    <row r="7" customFormat="false" ht="15" hidden="false" customHeight="false" outlineLevel="0" collapsed="false">
      <c r="A7" s="23" t="str">
        <f aca="false">01_因子設定!B6&amp;"（コード）"</f>
        <v>乾燥時間（コード）</v>
      </c>
      <c r="B7" s="16" t="n">
        <f aca="false">INDEX(_grid!$F$5:$F$6565,B$5)</f>
        <v>0.5</v>
      </c>
      <c r="C7" s="16" t="n">
        <f aca="false">INDEX(_grid!$F$5:$F$6565,C$5)</f>
        <v>0.5</v>
      </c>
      <c r="E7" s="40"/>
      <c r="F7" s="40"/>
      <c r="G7" s="40"/>
      <c r="H7" s="40"/>
      <c r="I7" s="40"/>
      <c r="J7" s="40"/>
      <c r="K7" s="40"/>
    </row>
    <row r="8" customFormat="false" ht="15" hidden="false" customHeight="false" outlineLevel="0" collapsed="false">
      <c r="A8" s="23" t="str">
        <f aca="false">01_因子設定!B7&amp;"（コード）"</f>
        <v>循環風速（コード）</v>
      </c>
      <c r="B8" s="16" t="n">
        <f aca="false">INDEX(_grid!$G$5:$G$6565,B$5)</f>
        <v>0.5</v>
      </c>
      <c r="C8" s="16" t="n">
        <f aca="false">INDEX(_grid!$G$5:$G$6565,C$5)</f>
        <v>0.75</v>
      </c>
      <c r="E8" s="40"/>
      <c r="F8" s="40"/>
      <c r="G8" s="40"/>
      <c r="H8" s="40"/>
      <c r="I8" s="40"/>
      <c r="J8" s="40"/>
      <c r="K8" s="40"/>
    </row>
    <row r="9" customFormat="false" ht="15" hidden="false" customHeight="false" outlineLevel="0" collapsed="false">
      <c r="A9" s="23" t="str">
        <f aca="false">01_因子設定!B8&amp;"（コード）"</f>
        <v>給気率（コード）</v>
      </c>
      <c r="B9" s="16" t="n">
        <f aca="false">INDEX(_grid!$H$5:$H$6565,B$5)</f>
        <v>0.5</v>
      </c>
      <c r="C9" s="16" t="n">
        <f aca="false">INDEX(_grid!$H$5:$H$6565,C$5)</f>
        <v>0.75</v>
      </c>
      <c r="E9" s="40"/>
      <c r="F9" s="40"/>
      <c r="G9" s="40"/>
      <c r="H9" s="40"/>
      <c r="I9" s="40"/>
      <c r="J9" s="40"/>
      <c r="K9" s="40"/>
    </row>
    <row r="10" customFormat="false" ht="15" hidden="false" customHeight="false" outlineLevel="0" collapsed="false">
      <c r="A10" s="23" t="str">
        <f aca="false">01_因子設定!B5&amp;"["&amp;01_因子設定!D5&amp;"]"</f>
        <v>炉温[℃]</v>
      </c>
      <c r="B10" s="41" t="n">
        <f aca="false">01_因子設定!$G$5+B6*01_因子設定!$H$5</f>
        <v>70</v>
      </c>
      <c r="C10" s="41" t="n">
        <f aca="false">01_因子設定!$G$5+C6*01_因子設定!$H$5</f>
        <v>70</v>
      </c>
      <c r="E10" s="40"/>
      <c r="F10" s="40"/>
      <c r="G10" s="40"/>
      <c r="H10" s="40"/>
      <c r="I10" s="40"/>
      <c r="J10" s="40"/>
      <c r="K10" s="40"/>
    </row>
    <row r="11" customFormat="false" ht="15" hidden="false" customHeight="false" outlineLevel="0" collapsed="false">
      <c r="A11" s="23" t="str">
        <f aca="false">01_因子設定!B6&amp;"["&amp;01_因子設定!D6&amp;"]"</f>
        <v>乾燥時間[min]</v>
      </c>
      <c r="B11" s="41" t="n">
        <f aca="false">01_因子設定!$G$6+B7*01_因子設定!$H$6</f>
        <v>35</v>
      </c>
      <c r="C11" s="41" t="n">
        <f aca="false">01_因子設定!$G$6+C7*01_因子設定!$H$6</f>
        <v>35</v>
      </c>
      <c r="E11" s="40"/>
      <c r="F11" s="40"/>
      <c r="G11" s="40"/>
      <c r="H11" s="40"/>
      <c r="I11" s="40"/>
      <c r="J11" s="40"/>
      <c r="K11" s="40"/>
    </row>
    <row r="12" customFormat="false" ht="15" hidden="false" customHeight="false" outlineLevel="0" collapsed="false">
      <c r="A12" s="23" t="str">
        <f aca="false">01_因子設定!B7&amp;"["&amp;01_因子設定!D7&amp;"]"</f>
        <v>循環風速[m/s]</v>
      </c>
      <c r="B12" s="41" t="n">
        <f aca="false">01_因子設定!$G$7+B8*01_因子設定!$H$7</f>
        <v>2.5</v>
      </c>
      <c r="C12" s="41" t="n">
        <f aca="false">01_因子設定!$G$7+C8*01_因子設定!$H$7</f>
        <v>2.75</v>
      </c>
      <c r="E12" s="40"/>
      <c r="F12" s="40"/>
      <c r="G12" s="40"/>
      <c r="H12" s="40"/>
      <c r="I12" s="40"/>
      <c r="J12" s="40"/>
      <c r="K12" s="40"/>
    </row>
    <row r="13" customFormat="false" ht="15" hidden="false" customHeight="false" outlineLevel="0" collapsed="false">
      <c r="A13" s="23" t="str">
        <f aca="false">01_因子設定!B8&amp;"["&amp;01_因子設定!D8&amp;"]"</f>
        <v>給気率[%]</v>
      </c>
      <c r="B13" s="41" t="n">
        <f aca="false">01_因子設定!$G$8+B9*01_因子設定!$H$8</f>
        <v>50</v>
      </c>
      <c r="C13" s="41" t="n">
        <f aca="false">01_因子設定!$G$8+C9*01_因子設定!$H$8</f>
        <v>55</v>
      </c>
      <c r="E13" s="40"/>
      <c r="F13" s="40"/>
      <c r="G13" s="40"/>
      <c r="H13" s="40"/>
      <c r="I13" s="40"/>
      <c r="J13" s="40"/>
      <c r="K13" s="40"/>
    </row>
    <row r="14" customFormat="false" ht="15" hidden="false" customHeight="false" outlineLevel="0" collapsed="false">
      <c r="A14" s="18" t="s">
        <v>239</v>
      </c>
      <c r="B14" s="15" t="n">
        <f aca="false">INDEX(_grid!$X$5:$X$6565,B$5)</f>
        <v>49.3417580409356</v>
      </c>
      <c r="C14" s="15" t="n">
        <f aca="false">INDEX(_grid!$X$5:$X$6565,C$5)</f>
        <v>49.3929139254386</v>
      </c>
      <c r="E14" s="40"/>
      <c r="F14" s="40"/>
      <c r="G14" s="40"/>
      <c r="H14" s="40"/>
      <c r="I14" s="40"/>
      <c r="J14" s="40"/>
      <c r="K14" s="40"/>
    </row>
    <row r="15" customFormat="false" ht="15" hidden="false" customHeight="false" outlineLevel="0" collapsed="false">
      <c r="A15" s="18" t="s">
        <v>240</v>
      </c>
      <c r="B15" s="15" t="n">
        <f aca="false">INDEX(_grid!$AA$5:$AA$6565,B$5)</f>
        <v>47.9538202752368</v>
      </c>
      <c r="C15" s="15" t="n">
        <f aca="false">INDEX(_grid!$AA$5:$AA$6565,C$5)</f>
        <v>47.942691318351</v>
      </c>
      <c r="E15" s="40"/>
      <c r="F15" s="40"/>
      <c r="G15" s="40"/>
      <c r="H15" s="40"/>
      <c r="I15" s="40"/>
      <c r="J15" s="40"/>
      <c r="K15" s="40"/>
    </row>
    <row r="16" customFormat="false" ht="15" hidden="false" customHeight="false" outlineLevel="0" collapsed="false">
      <c r="A16" s="18" t="s">
        <v>241</v>
      </c>
      <c r="B16" s="15" t="n">
        <f aca="false">INDEX(_grid!$AB$5:$AB$6565,B$5)</f>
        <v>50.7296958066345</v>
      </c>
      <c r="C16" s="15" t="n">
        <f aca="false">INDEX(_grid!$AB$5:$AB$6565,C$5)</f>
        <v>50.8431365325261</v>
      </c>
      <c r="E16" s="40"/>
      <c r="F16" s="40"/>
      <c r="G16" s="40"/>
      <c r="H16" s="40"/>
      <c r="I16" s="40"/>
      <c r="J16" s="40"/>
      <c r="K16" s="40"/>
    </row>
    <row r="17" customFormat="false" ht="15" hidden="false" customHeight="false" outlineLevel="0" collapsed="false">
      <c r="A17" s="18" t="s">
        <v>242</v>
      </c>
      <c r="B17" s="15" t="n">
        <f aca="false">INDEX(_grid!$AD$5:$AD$6565,B$5)</f>
        <v>1.45382027523677</v>
      </c>
      <c r="C17" s="15" t="n">
        <f aca="false">INDEX(_grid!$AD$5:$AD$6565,C$5)</f>
        <v>1.44269131835102</v>
      </c>
      <c r="E17" s="40"/>
      <c r="F17" s="40"/>
      <c r="G17" s="40"/>
      <c r="H17" s="40"/>
      <c r="I17" s="40"/>
      <c r="J17" s="40"/>
      <c r="K17" s="40"/>
    </row>
    <row r="18" customFormat="false" ht="15" hidden="false" customHeight="false" outlineLevel="0" collapsed="false">
      <c r="A18" s="18" t="s">
        <v>108</v>
      </c>
      <c r="B18" s="26" t="str">
        <f aca="false">IF(B17&lt;-1E+029,"有効な点なし（安全限界・領域を確認）",IF(B17&gt;=0,"○ 予測限界でも規格を満たす","× 予測限界では規格を満たせない"))</f>
        <v>○ 予測限界でも規格を満たす</v>
      </c>
      <c r="C18" s="26" t="str">
        <f aca="false">IF(C17&lt;-1E+029,"有効な点なし（安全限界・領域を確認）",IF(C17&gt;=0,"○ 予測限界でも規格を満たす","× 予測限界では規格を満たせない"))</f>
        <v>○ 予測限界でも規格を満たす</v>
      </c>
      <c r="E18" s="40"/>
      <c r="F18" s="40"/>
      <c r="G18" s="40"/>
      <c r="H18" s="40"/>
      <c r="I18" s="40"/>
      <c r="J18" s="40"/>
      <c r="K18" s="40"/>
    </row>
    <row r="21" customFormat="false" ht="15" hidden="false" customHeight="false" outlineLevel="0" collapsed="false">
      <c r="A21" s="17" t="s">
        <v>243</v>
      </c>
    </row>
    <row r="22" customFormat="false" ht="15" hidden="false" customHeight="false" outlineLevel="0" collapsed="false">
      <c r="A22" s="10" t="s">
        <v>244</v>
      </c>
      <c r="B22" s="10" t="s">
        <v>237</v>
      </c>
      <c r="C22" s="10" t="str">
        <f aca="false">01_因子設定!B5</f>
        <v>炉温</v>
      </c>
      <c r="D22" s="10" t="str">
        <f aca="false">01_因子設定!B6</f>
        <v>乾燥時間</v>
      </c>
      <c r="E22" s="10" t="str">
        <f aca="false">01_因子設定!B7</f>
        <v>循環風速</v>
      </c>
      <c r="F22" s="10" t="str">
        <f aca="false">01_因子設定!B8</f>
        <v>給気率</v>
      </c>
      <c r="G22" s="10" t="s">
        <v>245</v>
      </c>
      <c r="H22" s="10" t="s">
        <v>240</v>
      </c>
      <c r="I22" s="10" t="s">
        <v>241</v>
      </c>
      <c r="J22" s="10" t="s">
        <v>246</v>
      </c>
    </row>
    <row r="23" customFormat="false" ht="15" hidden="false" customHeight="false" outlineLevel="0" collapsed="false">
      <c r="A23" s="11" t="n">
        <v>1</v>
      </c>
      <c r="B23" s="24" t="n">
        <f aca="false">MATCH(LARGE(_grid!$AF$5:$AF$6565,1),_grid!$AF$5:$AF$6565,0)</f>
        <v>4921</v>
      </c>
      <c r="C23" s="15" t="n">
        <f aca="false">01_因子設定!$G$5+INDEX(_grid!$E$5:$E$6565,$B23)*01_因子設定!$H$5</f>
        <v>70</v>
      </c>
      <c r="D23" s="15" t="n">
        <f aca="false">01_因子設定!$G$6+INDEX(_grid!$F$5:$F$6565,$B23)*01_因子設定!$H$6</f>
        <v>35</v>
      </c>
      <c r="E23" s="15" t="n">
        <f aca="false">01_因子設定!$G$7+INDEX(_grid!$G$5:$G$6565,$B23)*01_因子設定!$H$7</f>
        <v>2.5</v>
      </c>
      <c r="F23" s="15" t="n">
        <f aca="false">01_因子設定!$G$8+INDEX(_grid!$H$5:$H$6565,$B23)*01_因子設定!$H$8</f>
        <v>50</v>
      </c>
      <c r="G23" s="15" t="n">
        <f aca="false">INDEX(_grid!$X$5:$X$6565,$B23)</f>
        <v>49.3417580409356</v>
      </c>
      <c r="H23" s="15" t="n">
        <f aca="false">INDEX(_grid!$AA$5:$AA$6565,$B23)</f>
        <v>47.9538202752368</v>
      </c>
      <c r="I23" s="15" t="n">
        <f aca="false">INDEX(_grid!$AB$5:$AB$6565,$B23)</f>
        <v>50.7296958066345</v>
      </c>
      <c r="J23" s="15" t="n">
        <f aca="false">INDEX(_grid!$AD$5:$AD$6565,$B23)</f>
        <v>1.45382027523677</v>
      </c>
    </row>
    <row r="24" customFormat="false" ht="15" hidden="false" customHeight="false" outlineLevel="0" collapsed="false">
      <c r="A24" s="11" t="n">
        <v>2</v>
      </c>
      <c r="B24" s="24" t="n">
        <f aca="false">MATCH(LARGE(_grid!$AF$5:$AF$6565,2),_grid!$AF$5:$AF$6565,0)</f>
        <v>4930</v>
      </c>
      <c r="C24" s="15" t="n">
        <f aca="false">01_因子設定!$G$5+INDEX(_grid!$E$5:$E$6565,$B24)*01_因子設定!$H$5</f>
        <v>70</v>
      </c>
      <c r="D24" s="15" t="n">
        <f aca="false">01_因子設定!$G$6+INDEX(_grid!$F$5:$F$6565,$B24)*01_因子設定!$H$6</f>
        <v>35</v>
      </c>
      <c r="E24" s="15" t="n">
        <f aca="false">01_因子設定!$G$7+INDEX(_grid!$G$5:$G$6565,$B24)*01_因子設定!$H$7</f>
        <v>2.75</v>
      </c>
      <c r="F24" s="15" t="n">
        <f aca="false">01_因子設定!$G$8+INDEX(_grid!$H$5:$H$6565,$B24)*01_因子設定!$H$8</f>
        <v>50</v>
      </c>
      <c r="G24" s="15" t="n">
        <f aca="false">INDEX(_grid!$X$5:$X$6565,$B24)</f>
        <v>49.3680738304093</v>
      </c>
      <c r="H24" s="15" t="n">
        <f aca="false">INDEX(_grid!$AA$5:$AA$6565,$B24)</f>
        <v>47.9438217224177</v>
      </c>
      <c r="I24" s="15" t="n">
        <f aca="false">INDEX(_grid!$AB$5:$AB$6565,$B24)</f>
        <v>50.7923259384009</v>
      </c>
      <c r="J24" s="15" t="n">
        <f aca="false">INDEX(_grid!$AD$5:$AD$6565,$B24)</f>
        <v>1.44382172241772</v>
      </c>
    </row>
    <row r="25" customFormat="false" ht="15" hidden="false" customHeight="false" outlineLevel="0" collapsed="false">
      <c r="A25" s="11" t="n">
        <v>3</v>
      </c>
      <c r="B25" s="24" t="n">
        <f aca="false">MATCH(LARGE(_grid!$AF$5:$AF$6565,3),_grid!$AF$5:$AF$6565,0)</f>
        <v>4931</v>
      </c>
      <c r="C25" s="15" t="n">
        <f aca="false">01_因子設定!$G$5+INDEX(_grid!$E$5:$E$6565,$B25)*01_因子設定!$H$5</f>
        <v>70</v>
      </c>
      <c r="D25" s="15" t="n">
        <f aca="false">01_因子設定!$G$6+INDEX(_grid!$F$5:$F$6565,$B25)*01_因子設定!$H$6</f>
        <v>35</v>
      </c>
      <c r="E25" s="15" t="n">
        <f aca="false">01_因子設定!$G$7+INDEX(_grid!$G$5:$G$6565,$B25)*01_因子設定!$H$7</f>
        <v>2.75</v>
      </c>
      <c r="F25" s="15" t="n">
        <f aca="false">01_因子設定!$G$8+INDEX(_grid!$H$5:$H$6565,$B25)*01_因子設定!$H$8</f>
        <v>55</v>
      </c>
      <c r="G25" s="15" t="n">
        <f aca="false">INDEX(_grid!$X$5:$X$6565,$B25)</f>
        <v>49.3929139254386</v>
      </c>
      <c r="H25" s="15" t="n">
        <f aca="false">INDEX(_grid!$AA$5:$AA$6565,$B25)</f>
        <v>47.942691318351</v>
      </c>
      <c r="I25" s="15" t="n">
        <f aca="false">INDEX(_grid!$AB$5:$AB$6565,$B25)</f>
        <v>50.8431365325261</v>
      </c>
      <c r="J25" s="15" t="n">
        <f aca="false">INDEX(_grid!$AD$5:$AD$6565,$B25)</f>
        <v>1.44269131835102</v>
      </c>
    </row>
    <row r="26" customFormat="false" ht="15" hidden="false" customHeight="false" outlineLevel="0" collapsed="false">
      <c r="A26" s="11" t="n">
        <v>4</v>
      </c>
      <c r="B26" s="24" t="n">
        <f aca="false">MATCH(LARGE(_grid!$AF$5:$AF$6565,4),_grid!$AF$5:$AF$6565,0)</f>
        <v>4922</v>
      </c>
      <c r="C26" s="15" t="n">
        <f aca="false">01_因子設定!$G$5+INDEX(_grid!$E$5:$E$6565,$B26)*01_因子設定!$H$5</f>
        <v>70</v>
      </c>
      <c r="D26" s="15" t="n">
        <f aca="false">01_因子設定!$G$6+INDEX(_grid!$F$5:$F$6565,$B26)*01_因子設定!$H$6</f>
        <v>35</v>
      </c>
      <c r="E26" s="15" t="n">
        <f aca="false">01_因子設定!$G$7+INDEX(_grid!$G$5:$G$6565,$B26)*01_因子設定!$H$7</f>
        <v>2.5</v>
      </c>
      <c r="F26" s="15" t="n">
        <f aca="false">01_因子設定!$G$8+INDEX(_grid!$H$5:$H$6565,$B26)*01_因子設定!$H$8</f>
        <v>55</v>
      </c>
      <c r="G26" s="15" t="n">
        <f aca="false">INDEX(_grid!$X$5:$X$6565,$B26)</f>
        <v>49.3486293859649</v>
      </c>
      <c r="H26" s="15" t="n">
        <f aca="false">INDEX(_grid!$AA$5:$AA$6565,$B26)</f>
        <v>47.9243772779733</v>
      </c>
      <c r="I26" s="15" t="n">
        <f aca="false">INDEX(_grid!$AB$5:$AB$6565,$B26)</f>
        <v>50.7728814939565</v>
      </c>
      <c r="J26" s="15" t="n">
        <f aca="false">INDEX(_grid!$AD$5:$AD$6565,$B26)</f>
        <v>1.42437727797329</v>
      </c>
    </row>
    <row r="27" customFormat="false" ht="15" hidden="false" customHeight="false" outlineLevel="0" collapsed="false">
      <c r="A27" s="11" t="n">
        <v>5</v>
      </c>
      <c r="B27" s="24" t="n">
        <f aca="false">MATCH(LARGE(_grid!$AF$5:$AF$6565,5),_grid!$AF$5:$AF$6565,0)</f>
        <v>4920</v>
      </c>
      <c r="C27" s="15" t="n">
        <f aca="false">01_因子設定!$G$5+INDEX(_grid!$E$5:$E$6565,$B27)*01_因子設定!$H$5</f>
        <v>70</v>
      </c>
      <c r="D27" s="15" t="n">
        <f aca="false">01_因子設定!$G$6+INDEX(_grid!$F$5:$F$6565,$B27)*01_因子設定!$H$6</f>
        <v>35</v>
      </c>
      <c r="E27" s="15" t="n">
        <f aca="false">01_因子設定!$G$7+INDEX(_grid!$G$5:$G$6565,$B27)*01_因子設定!$H$7</f>
        <v>2.5</v>
      </c>
      <c r="F27" s="15" t="n">
        <f aca="false">01_因子設定!$G$8+INDEX(_grid!$H$5:$H$6565,$B27)*01_因子設定!$H$8</f>
        <v>45</v>
      </c>
      <c r="G27" s="15" t="n">
        <f aca="false">INDEX(_grid!$X$5:$X$6565,$B27)</f>
        <v>49.2870796783625</v>
      </c>
      <c r="H27" s="15" t="n">
        <f aca="false">INDEX(_grid!$AA$5:$AA$6565,$B27)</f>
        <v>47.8990685105543</v>
      </c>
      <c r="I27" s="15" t="n">
        <f aca="false">INDEX(_grid!$AB$5:$AB$6565,$B27)</f>
        <v>50.6750908461708</v>
      </c>
      <c r="J27" s="15" t="n">
        <f aca="false">INDEX(_grid!$AD$5:$AD$6565,$B27)</f>
        <v>1.39906851055428</v>
      </c>
    </row>
    <row r="28" customFormat="false" ht="15" hidden="false" customHeight="false" outlineLevel="0" collapsed="false">
      <c r="A28" s="19" t="s">
        <v>247</v>
      </c>
    </row>
    <row r="30" customFormat="false" ht="15" hidden="false" customHeight="false" outlineLevel="0" collapsed="false">
      <c r="A30" s="17" t="s">
        <v>248</v>
      </c>
    </row>
    <row r="31" customFormat="false" ht="42" hidden="false" customHeight="true" outlineLevel="0" collapsed="false">
      <c r="A31" s="40" t="s">
        <v>249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customFormat="false" ht="15" hidden="false" customHeight="false" outlineLevel="0" collapsed="false">
      <c r="A32" s="23" t="str">
        <f aca="false">01_因子設定!B5&amp;"（コード）"</f>
        <v>炉温（コード）</v>
      </c>
      <c r="B32" s="42" t="n">
        <v>0</v>
      </c>
      <c r="C32" s="24" t="str">
        <f aca="false">"制約："&amp;TEXT(MAX(-1,01_因子設定!L5),"0.00")&amp;" ≦ B32 ≦ "&amp;TEXT(MIN(1,01_因子設定!M5),"0.00")</f>
        <v>制約：-1.00 ≦ B32 ≦ 1.00</v>
      </c>
      <c r="D32" s="15" t="n">
        <f aca="false">01_因子設定!$G$5+B32*01_因子設定!$H$5</f>
        <v>65</v>
      </c>
      <c r="M32" s="10" t="s">
        <v>152</v>
      </c>
      <c r="N32" s="9" t="s">
        <v>64</v>
      </c>
      <c r="O32" s="9" t="s">
        <v>69</v>
      </c>
      <c r="P32" s="9" t="s">
        <v>72</v>
      </c>
      <c r="Q32" s="9" t="s">
        <v>76</v>
      </c>
      <c r="R32" s="9" t="s">
        <v>158</v>
      </c>
      <c r="S32" s="9" t="s">
        <v>160</v>
      </c>
      <c r="T32" s="9" t="s">
        <v>162</v>
      </c>
      <c r="U32" s="9" t="s">
        <v>164</v>
      </c>
      <c r="V32" s="9" t="s">
        <v>166</v>
      </c>
      <c r="W32" s="9" t="s">
        <v>168</v>
      </c>
      <c r="X32" s="9" t="s">
        <v>170</v>
      </c>
      <c r="Y32" s="9" t="s">
        <v>172</v>
      </c>
      <c r="Z32" s="9" t="s">
        <v>174</v>
      </c>
      <c r="AA32" s="9" t="s">
        <v>176</v>
      </c>
    </row>
    <row r="33" customFormat="false" ht="15" hidden="false" customHeight="false" outlineLevel="0" collapsed="false">
      <c r="A33" s="23" t="str">
        <f aca="false">01_因子設定!B6&amp;"（コード）"</f>
        <v>乾燥時間（コード）</v>
      </c>
      <c r="B33" s="42" t="n">
        <v>0</v>
      </c>
      <c r="C33" s="24" t="str">
        <f aca="false">"制約："&amp;TEXT(MAX(-1,01_因子設定!L6),"0.00")&amp;" ≦ B33 ≦ "&amp;TEXT(MIN(1,01_因子設定!M6),"0.00")</f>
        <v>制約：-1.00 ≦ B33 ≦ 1.00</v>
      </c>
      <c r="D33" s="15" t="n">
        <f aca="false">01_因子設定!$G$6+B33*01_因子設定!$H$6</f>
        <v>30</v>
      </c>
      <c r="M33" s="16" t="n">
        <f aca="false">1</f>
        <v>1</v>
      </c>
      <c r="N33" s="16" t="n">
        <f aca="false">$B$32</f>
        <v>0</v>
      </c>
      <c r="O33" s="16" t="n">
        <f aca="false">$B$33</f>
        <v>0</v>
      </c>
      <c r="P33" s="16" t="n">
        <f aca="false">$B$34</f>
        <v>0</v>
      </c>
      <c r="Q33" s="16" t="n">
        <f aca="false">$B$35</f>
        <v>0</v>
      </c>
      <c r="R33" s="16" t="n">
        <f aca="false">$B$32*$B$33</f>
        <v>0</v>
      </c>
      <c r="S33" s="16" t="n">
        <f aca="false">$B$32*$B$34</f>
        <v>0</v>
      </c>
      <c r="T33" s="16" t="n">
        <f aca="false">$B$32*$B$35</f>
        <v>0</v>
      </c>
      <c r="U33" s="16" t="n">
        <f aca="false">$B$33*$B$34</f>
        <v>0</v>
      </c>
      <c r="V33" s="16" t="n">
        <f aca="false">$B$33*$B$35</f>
        <v>0</v>
      </c>
      <c r="W33" s="16" t="n">
        <f aca="false">$B$34*$B$35</f>
        <v>0</v>
      </c>
      <c r="X33" s="16" t="n">
        <f aca="false">$B$32*$B$32</f>
        <v>0</v>
      </c>
      <c r="Y33" s="16" t="n">
        <f aca="false">$B$33*$B$33</f>
        <v>0</v>
      </c>
      <c r="Z33" s="16" t="n">
        <f aca="false">$B$34*$B$34</f>
        <v>0</v>
      </c>
      <c r="AA33" s="16" t="n">
        <f aca="false">$B$35*$B$35</f>
        <v>0</v>
      </c>
    </row>
    <row r="34" customFormat="false" ht="15" hidden="false" customHeight="false" outlineLevel="0" collapsed="false">
      <c r="A34" s="23" t="str">
        <f aca="false">01_因子設定!B7&amp;"（コード）"</f>
        <v>循環風速（コード）</v>
      </c>
      <c r="B34" s="42" t="n">
        <v>0</v>
      </c>
      <c r="C34" s="24" t="str">
        <f aca="false">"制約："&amp;TEXT(MAX(-1,01_因子設定!L7),"0.00")&amp;" ≦ B34 ≦ "&amp;TEXT(MIN(1,01_因子設定!M7),"0.00")</f>
        <v>制約：-1.00 ≦ B34 ≦ 1.00</v>
      </c>
      <c r="D34" s="15" t="n">
        <f aca="false">01_因子設定!$G$7+B34*01_因子設定!$H$7</f>
        <v>2</v>
      </c>
    </row>
    <row r="35" customFormat="false" ht="15" hidden="false" customHeight="false" outlineLevel="0" collapsed="false">
      <c r="A35" s="23" t="str">
        <f aca="false">01_因子設定!B8&amp;"（コード）"</f>
        <v>給気率（コード）</v>
      </c>
      <c r="B35" s="42" t="n">
        <v>0</v>
      </c>
      <c r="C35" s="24" t="str">
        <f aca="false">"制約："&amp;TEXT(MAX(-1,01_因子設定!L8),"0.00")&amp;" ≦ B35 ≦ "&amp;TEXT(MIN(1,01_因子設定!M8),"0.00")</f>
        <v>制約：-1.00 ≦ B35 ≦ 1.00</v>
      </c>
      <c r="D35" s="15" t="n">
        <f aca="false">01_因子設定!$G$8+B35*01_因子設定!$H$8</f>
        <v>40</v>
      </c>
    </row>
    <row r="37" customFormat="false" ht="15" hidden="false" customHeight="false" outlineLevel="0" collapsed="false">
      <c r="A37" s="18" t="s">
        <v>239</v>
      </c>
      <c r="B37" s="15" t="n">
        <f aca="false">SUMPRODUCT(M33:AA33,_XtX!$B$96:$P$96)</f>
        <v>47.907894736842</v>
      </c>
    </row>
    <row r="38" customFormat="false" ht="15" hidden="false" customHeight="false" outlineLevel="0" collapsed="false">
      <c r="A38" s="23" t="s">
        <v>250</v>
      </c>
      <c r="B38" s="30" t="n">
        <f aca="false">SUMPRODUCT(MMULT(M33:AA33,_XtX!$B$78:$P$92),M33:AA33)</f>
        <v>0.0964912280701755</v>
      </c>
    </row>
    <row r="39" customFormat="false" ht="15" hidden="false" customHeight="false" outlineLevel="0" collapsed="false">
      <c r="A39" s="18" t="s">
        <v>251</v>
      </c>
      <c r="B39" s="15" t="n">
        <f aca="false">B37-04_回帰ANOVA!$K$19*04_回帰ANOVA!$K$14*SQRT(1+B38)</f>
        <v>46.5429942975106</v>
      </c>
      <c r="C39" s="15" t="n">
        <f aca="false">B37+04_回帰ANOVA!$K$19*04_回帰ANOVA!$K$14*SQRT(1+B38)</f>
        <v>49.2727951761734</v>
      </c>
    </row>
    <row r="40" customFormat="false" ht="15" hidden="false" customHeight="false" outlineLevel="0" collapsed="false">
      <c r="A40" s="18" t="s">
        <v>252</v>
      </c>
      <c r="B40" s="43" t="n">
        <f aca="false">IF(01_因子設定!$B$13="最大化",B39-01_因子設定!$B$14,IF(01_因子設定!$B$13="最小化",01_因子設定!$B$15-C39,MIN(B39-01_因子設定!$B$14,01_因子設定!$B$15-C39)))</f>
        <v>0.0429942975106457</v>
      </c>
      <c r="C40" s="24" t="str">
        <f aca="false">IF(01_因子設定!$B$20="Box-Behnken","BBDの場合は制約『黄色セルの二乗和≦2』も追加","")</f>
        <v/>
      </c>
    </row>
  </sheetData>
  <mergeCells count="2">
    <mergeCell ref="E5:K18"/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W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23" min="3" style="0" width="5.2"/>
  </cols>
  <sheetData>
    <row r="1" customFormat="false" ht="21.6" hidden="false" customHeight="false" outlineLevel="0" collapsed="false">
      <c r="A1" s="8" t="s">
        <v>253</v>
      </c>
    </row>
    <row r="2" customFormat="false" ht="15" hidden="false" customHeight="false" outlineLevel="0" collapsed="false">
      <c r="A2" s="35" t="s">
        <v>254</v>
      </c>
    </row>
    <row r="4" customFormat="false" ht="15" hidden="false" customHeight="false" outlineLevel="0" collapsed="false">
      <c r="A4" s="18" t="s">
        <v>255</v>
      </c>
      <c r="B4" s="14" t="s">
        <v>64</v>
      </c>
      <c r="C4" s="24" t="n">
        <f aca="false">VALUE(RIGHT(B4,1))</f>
        <v>1</v>
      </c>
      <c r="D4" s="26" t="str">
        <f aca="false">INDEX(01_因子設定!$B$5:$B$8,C4)&amp;"["&amp;INDEX(01_因子設定!$D$5:$D$8,C4)&amp;"]"</f>
        <v>炉温[℃]</v>
      </c>
      <c r="E4" s="44" t="str">
        <f aca="false">IF(C4=C5,"× 横軸と縦軸に同じ因子は指定できません","")</f>
        <v/>
      </c>
    </row>
    <row r="5" customFormat="false" ht="15" hidden="false" customHeight="false" outlineLevel="0" collapsed="false">
      <c r="A5" s="18" t="s">
        <v>256</v>
      </c>
      <c r="B5" s="14" t="s">
        <v>69</v>
      </c>
      <c r="C5" s="24" t="n">
        <f aca="false">VALUE(RIGHT(B5,1))</f>
        <v>2</v>
      </c>
      <c r="D5" s="26" t="str">
        <f aca="false">INDEX(01_因子設定!$B$5:$B$8,C5)&amp;"["&amp;INDEX(01_因子設定!$D$5:$D$8,C5)&amp;"]"</f>
        <v>乾燥時間[min]</v>
      </c>
    </row>
    <row r="6" customFormat="false" ht="15" hidden="false" customHeight="false" outlineLevel="0" collapsed="false">
      <c r="A6" s="18" t="s">
        <v>257</v>
      </c>
      <c r="B6" s="12" t="s">
        <v>258</v>
      </c>
    </row>
    <row r="8" customFormat="false" ht="72.35" hidden="false" customHeight="false" outlineLevel="0" collapsed="false">
      <c r="A8" s="10" t="s">
        <v>105</v>
      </c>
      <c r="B8" s="10" t="s">
        <v>259</v>
      </c>
      <c r="C8" s="10" t="s">
        <v>260</v>
      </c>
      <c r="D8" s="10" t="s">
        <v>261</v>
      </c>
      <c r="E8" s="10" t="s">
        <v>262</v>
      </c>
    </row>
    <row r="9" customFormat="false" ht="15" hidden="false" customHeight="false" outlineLevel="0" collapsed="false">
      <c r="A9" s="26" t="str">
        <f aca="false">01_因子設定!B5</f>
        <v>炉温</v>
      </c>
      <c r="B9" s="45" t="n">
        <v>0</v>
      </c>
      <c r="C9" s="15" t="n">
        <f aca="false">IF($B$6="手入力",B9,IF($B$6="点予測最適点",07_最適化!$C$6,07_最適化!$B$6))</f>
        <v>0.5</v>
      </c>
      <c r="D9" s="15" t="n">
        <f aca="false">01_因子設定!G5+C9*01_因子設定!H5</f>
        <v>70</v>
      </c>
      <c r="E9" s="11" t="str">
        <f aca="false">IF($C$4=1,"横軸",IF($C$5=1,"縦軸","固定"))</f>
        <v>横軸</v>
      </c>
    </row>
    <row r="10" customFormat="false" ht="15" hidden="false" customHeight="false" outlineLevel="0" collapsed="false">
      <c r="A10" s="26" t="str">
        <f aca="false">01_因子設定!B6</f>
        <v>乾燥時間</v>
      </c>
      <c r="B10" s="45" t="n">
        <v>0</v>
      </c>
      <c r="C10" s="15" t="n">
        <f aca="false">IF($B$6="手入力",B10,IF($B$6="点予測最適点",07_最適化!$C$7,07_最適化!$B$7))</f>
        <v>0.5</v>
      </c>
      <c r="D10" s="15" t="n">
        <f aca="false">01_因子設定!G6+C10*01_因子設定!H6</f>
        <v>35</v>
      </c>
      <c r="E10" s="11" t="str">
        <f aca="false">IF($C$4=2,"横軸",IF($C$5=2,"縦軸","固定"))</f>
        <v>縦軸</v>
      </c>
    </row>
    <row r="11" customFormat="false" ht="15" hidden="false" customHeight="false" outlineLevel="0" collapsed="false">
      <c r="A11" s="26" t="str">
        <f aca="false">01_因子設定!B7</f>
        <v>循環風速</v>
      </c>
      <c r="B11" s="45" t="n">
        <v>0</v>
      </c>
      <c r="C11" s="15" t="n">
        <f aca="false">IF($B$6="手入力",B11,IF($B$6="点予測最適点",07_最適化!$C$8,07_最適化!$B$8))</f>
        <v>0.5</v>
      </c>
      <c r="D11" s="15" t="n">
        <f aca="false">01_因子設定!G7+C11*01_因子設定!H7</f>
        <v>2.5</v>
      </c>
      <c r="E11" s="11" t="str">
        <f aca="false">IF($C$4=3,"横軸",IF($C$5=3,"縦軸","固定"))</f>
        <v>固定</v>
      </c>
    </row>
    <row r="12" customFormat="false" ht="15" hidden="false" customHeight="false" outlineLevel="0" collapsed="false">
      <c r="A12" s="26" t="str">
        <f aca="false">01_因子設定!B8</f>
        <v>給気率</v>
      </c>
      <c r="B12" s="45" t="n">
        <v>0</v>
      </c>
      <c r="C12" s="15" t="n">
        <f aca="false">IF($B$6="手入力",B12,IF($B$6="点予測最適点",07_最適化!$C$9,07_最適化!$B$9))</f>
        <v>0.5</v>
      </c>
      <c r="D12" s="15" t="n">
        <f aca="false">01_因子設定!G8+C12*01_因子設定!H8</f>
        <v>50</v>
      </c>
      <c r="E12" s="11" t="str">
        <f aca="false">IF($C$4=4,"横軸",IF($C$5=4,"縦軸","固定"))</f>
        <v>固定</v>
      </c>
    </row>
    <row r="14" customFormat="false" ht="15" hidden="false" customHeight="false" outlineLevel="0" collapsed="false">
      <c r="A14" s="17" t="s">
        <v>263</v>
      </c>
    </row>
    <row r="15" customFormat="false" ht="15" hidden="false" customHeight="false" outlineLevel="0" collapsed="false">
      <c r="A15" s="10" t="s">
        <v>264</v>
      </c>
      <c r="B15" s="10" t="s">
        <v>265</v>
      </c>
      <c r="C15" s="46" t="n">
        <v>-1</v>
      </c>
      <c r="D15" s="46" t="n">
        <v>-0.9</v>
      </c>
      <c r="E15" s="46" t="n">
        <v>-0.8</v>
      </c>
      <c r="F15" s="46" t="n">
        <v>-0.7</v>
      </c>
      <c r="G15" s="46" t="n">
        <v>-0.6</v>
      </c>
      <c r="H15" s="46" t="n">
        <v>-0.5</v>
      </c>
      <c r="I15" s="46" t="n">
        <v>-0.4</v>
      </c>
      <c r="J15" s="46" t="n">
        <v>-0.3</v>
      </c>
      <c r="K15" s="46" t="n">
        <v>-0.2</v>
      </c>
      <c r="L15" s="46" t="n">
        <v>-0.1</v>
      </c>
      <c r="M15" s="46" t="n">
        <v>0</v>
      </c>
      <c r="N15" s="46" t="n">
        <v>0.1</v>
      </c>
      <c r="O15" s="46" t="n">
        <v>0.2</v>
      </c>
      <c r="P15" s="46" t="n">
        <v>0.3</v>
      </c>
      <c r="Q15" s="46" t="n">
        <v>0.4</v>
      </c>
      <c r="R15" s="46" t="n">
        <v>0.5</v>
      </c>
      <c r="S15" s="46" t="n">
        <v>0.6</v>
      </c>
      <c r="T15" s="46" t="n">
        <v>0.7</v>
      </c>
      <c r="U15" s="46" t="n">
        <v>0.8</v>
      </c>
      <c r="V15" s="46" t="n">
        <v>0.9</v>
      </c>
      <c r="W15" s="46" t="n">
        <v>1</v>
      </c>
    </row>
    <row r="16" customFormat="false" ht="23.1" hidden="false" customHeight="false" outlineLevel="0" collapsed="false">
      <c r="A16" s="47" t="str">
        <f aca="false">"縦↓ "&amp;$D$5</f>
        <v>縦↓ 乾燥時間[min]</v>
      </c>
      <c r="B16" s="10" t="str">
        <f aca="false">"横→ "&amp;$D$4</f>
        <v>横→ 炉温[℃]</v>
      </c>
      <c r="C16" s="48" t="n">
        <f aca="false">INDEX(01_因子設定!$G$5:$G$8,$C$4)+C15*INDEX(01_因子設定!$H$5:$H$8,$C$4)</f>
        <v>55</v>
      </c>
      <c r="D16" s="48" t="n">
        <f aca="false">INDEX(01_因子設定!$G$5:$G$8,$C$4)+D15*INDEX(01_因子設定!$H$5:$H$8,$C$4)</f>
        <v>56</v>
      </c>
      <c r="E16" s="48" t="n">
        <f aca="false">INDEX(01_因子設定!$G$5:$G$8,$C$4)+E15*INDEX(01_因子設定!$H$5:$H$8,$C$4)</f>
        <v>57</v>
      </c>
      <c r="F16" s="48" t="n">
        <f aca="false">INDEX(01_因子設定!$G$5:$G$8,$C$4)+F15*INDEX(01_因子設定!$H$5:$H$8,$C$4)</f>
        <v>58</v>
      </c>
      <c r="G16" s="48" t="n">
        <f aca="false">INDEX(01_因子設定!$G$5:$G$8,$C$4)+G15*INDEX(01_因子設定!$H$5:$H$8,$C$4)</f>
        <v>59</v>
      </c>
      <c r="H16" s="48" t="n">
        <f aca="false">INDEX(01_因子設定!$G$5:$G$8,$C$4)+H15*INDEX(01_因子設定!$H$5:$H$8,$C$4)</f>
        <v>60</v>
      </c>
      <c r="I16" s="48" t="n">
        <f aca="false">INDEX(01_因子設定!$G$5:$G$8,$C$4)+I15*INDEX(01_因子設定!$H$5:$H$8,$C$4)</f>
        <v>61</v>
      </c>
      <c r="J16" s="48" t="n">
        <f aca="false">INDEX(01_因子設定!$G$5:$G$8,$C$4)+J15*INDEX(01_因子設定!$H$5:$H$8,$C$4)</f>
        <v>62</v>
      </c>
      <c r="K16" s="48" t="n">
        <f aca="false">INDEX(01_因子設定!$G$5:$G$8,$C$4)+K15*INDEX(01_因子設定!$H$5:$H$8,$C$4)</f>
        <v>63</v>
      </c>
      <c r="L16" s="48" t="n">
        <f aca="false">INDEX(01_因子設定!$G$5:$G$8,$C$4)+L15*INDEX(01_因子設定!$H$5:$H$8,$C$4)</f>
        <v>64</v>
      </c>
      <c r="M16" s="48" t="n">
        <f aca="false">INDEX(01_因子設定!$G$5:$G$8,$C$4)+M15*INDEX(01_因子設定!$H$5:$H$8,$C$4)</f>
        <v>65</v>
      </c>
      <c r="N16" s="48" t="n">
        <f aca="false">INDEX(01_因子設定!$G$5:$G$8,$C$4)+N15*INDEX(01_因子設定!$H$5:$H$8,$C$4)</f>
        <v>66</v>
      </c>
      <c r="O16" s="48" t="n">
        <f aca="false">INDEX(01_因子設定!$G$5:$G$8,$C$4)+O15*INDEX(01_因子設定!$H$5:$H$8,$C$4)</f>
        <v>67</v>
      </c>
      <c r="P16" s="48" t="n">
        <f aca="false">INDEX(01_因子設定!$G$5:$G$8,$C$4)+P15*INDEX(01_因子設定!$H$5:$H$8,$C$4)</f>
        <v>68</v>
      </c>
      <c r="Q16" s="48" t="n">
        <f aca="false">INDEX(01_因子設定!$G$5:$G$8,$C$4)+Q15*INDEX(01_因子設定!$H$5:$H$8,$C$4)</f>
        <v>69</v>
      </c>
      <c r="R16" s="48" t="n">
        <f aca="false">INDEX(01_因子設定!$G$5:$G$8,$C$4)+R15*INDEX(01_因子設定!$H$5:$H$8,$C$4)</f>
        <v>70</v>
      </c>
      <c r="S16" s="48" t="n">
        <f aca="false">INDEX(01_因子設定!$G$5:$G$8,$C$4)+S15*INDEX(01_因子設定!$H$5:$H$8,$C$4)</f>
        <v>71</v>
      </c>
      <c r="T16" s="48" t="n">
        <f aca="false">INDEX(01_因子設定!$G$5:$G$8,$C$4)+T15*INDEX(01_因子設定!$H$5:$H$8,$C$4)</f>
        <v>72</v>
      </c>
      <c r="U16" s="48" t="n">
        <f aca="false">INDEX(01_因子設定!$G$5:$G$8,$C$4)+U15*INDEX(01_因子設定!$H$5:$H$8,$C$4)</f>
        <v>73</v>
      </c>
      <c r="V16" s="48" t="n">
        <f aca="false">INDEX(01_因子設定!$G$5:$G$8,$C$4)+V15*INDEX(01_因子設定!$H$5:$H$8,$C$4)</f>
        <v>74</v>
      </c>
      <c r="W16" s="48" t="n">
        <f aca="false">INDEX(01_因子設定!$G$5:$G$8,$C$4)+W15*INDEX(01_因子設定!$H$5:$H$8,$C$4)</f>
        <v>75</v>
      </c>
    </row>
    <row r="17" customFormat="false" ht="15" hidden="false" customHeight="false" outlineLevel="0" collapsed="false">
      <c r="A17" s="49" t="n">
        <f aca="false">INDEX(01_因子設定!$G$5:$G$8,$C$5)+B17*INDEX(01_因子設定!$H$5:$H$8,$C$5)</f>
        <v>40</v>
      </c>
      <c r="B17" s="49" t="n">
        <v>1</v>
      </c>
      <c r="C17" s="50" t="n">
        <f aca="false">IF(AND(_slice!$H$5=1,C$15&gt;=_slice!$H$6-0.000000001,C$15&lt;=_slice!$I$6+0.000000001,$B17&gt;=_slice!$H$7-0.000000001,$B17&lt;=_slice!$I$7+0.000000001,IF(01_因子設定!$B$20="Box-Behnken",C$15^2+$B17^2+_slice!$H$8&lt;=2+0.000000001,TRUE())),_slice!C84,"外")</f>
        <v>42.5194627192983</v>
      </c>
      <c r="D17" s="50" t="n">
        <f aca="false">IF(AND(_slice!$H$5=1,D$15&gt;=_slice!$H$6-0.000000001,D$15&lt;=_slice!$I$6+0.000000001,$B17&gt;=_slice!$H$7-0.000000001,$B17&lt;=_slice!$I$7+0.000000001,IF(01_因子設定!$B$20="Box-Behnken",D$15^2+$B17^2+_slice!$H$8&lt;=2+0.000000001,TRUE())),_slice!D84,"外")</f>
        <v>43.2969349415205</v>
      </c>
      <c r="E17" s="50" t="n">
        <f aca="false">IF(AND(_slice!$H$5=1,E$15&gt;=_slice!$H$6-0.000000001,E$15&lt;=_slice!$I$6+0.000000001,$B17&gt;=_slice!$H$7-0.000000001,$B17&lt;=_slice!$I$7+0.000000001,IF(01_因子設定!$B$20="Box-Behnken",E$15^2+$B17^2+_slice!$H$8&lt;=2+0.000000001,TRUE())),_slice!E84,"外")</f>
        <v>44.0227580409357</v>
      </c>
      <c r="F17" s="50" t="n">
        <f aca="false">IF(AND(_slice!$H$5=1,F$15&gt;=_slice!$H$6-0.000000001,F$15&lt;=_slice!$I$6+0.000000001,$B17&gt;=_slice!$H$7-0.000000001,$B17&lt;=_slice!$I$7+0.000000001,IF(01_因子設定!$B$20="Box-Behnken",F$15^2+$B17^2+_slice!$H$8&lt;=2+0.000000001,TRUE())),_slice!F84,"外")</f>
        <v>44.6969320175439</v>
      </c>
      <c r="G17" s="50" t="n">
        <f aca="false">IF(AND(_slice!$H$5=1,G$15&gt;=_slice!$H$6-0.000000001,G$15&lt;=_slice!$I$6+0.000000001,$B17&gt;=_slice!$H$7-0.000000001,$B17&lt;=_slice!$I$7+0.000000001,IF(01_因子設定!$B$20="Box-Behnken",G$15^2+$B17^2+_slice!$H$8&lt;=2+0.000000001,TRUE())),_slice!G84,"外")</f>
        <v>45.319456871345</v>
      </c>
      <c r="H17" s="50" t="n">
        <f aca="false">IF(AND(_slice!$H$5=1,H$15&gt;=_slice!$H$6-0.000000001,H$15&lt;=_slice!$I$6+0.000000001,$B17&gt;=_slice!$H$7-0.000000001,$B17&lt;=_slice!$I$7+0.000000001,IF(01_因子設定!$B$20="Box-Behnken",H$15^2+$B17^2+_slice!$H$8&lt;=2+0.000000001,TRUE())),_slice!H84,"外")</f>
        <v>45.8903326023392</v>
      </c>
      <c r="I17" s="50" t="n">
        <f aca="false">IF(AND(_slice!$H$5=1,I$15&gt;=_slice!$H$6-0.000000001,I$15&lt;=_slice!$I$6+0.000000001,$B17&gt;=_slice!$H$7-0.000000001,$B17&lt;=_slice!$I$7+0.000000001,IF(01_因子設定!$B$20="Box-Behnken",I$15^2+$B17^2+_slice!$H$8&lt;=2+0.000000001,TRUE())),_slice!I84,"外")</f>
        <v>46.4095592105263</v>
      </c>
      <c r="J17" s="50" t="n">
        <f aca="false">IF(AND(_slice!$H$5=1,J$15&gt;=_slice!$H$6-0.000000001,J$15&lt;=_slice!$I$6+0.000000001,$B17&gt;=_slice!$H$7-0.000000001,$B17&lt;=_slice!$I$7+0.000000001,IF(01_因子設定!$B$20="Box-Behnken",J$15^2+$B17^2+_slice!$H$8&lt;=2+0.000000001,TRUE())),_slice!J84,"外")</f>
        <v>46.8771366959064</v>
      </c>
      <c r="K17" s="50" t="n">
        <f aca="false">IF(AND(_slice!$H$5=1,K$15&gt;=_slice!$H$6-0.000000001,K$15&lt;=_slice!$I$6+0.000000001,$B17&gt;=_slice!$H$7-0.000000001,$B17&lt;=_slice!$I$7+0.000000001,IF(01_因子設定!$B$20="Box-Behnken",K$15^2+$B17^2+_slice!$H$8&lt;=2+0.000000001,TRUE())),_slice!K84,"外")</f>
        <v>47.2930650584795</v>
      </c>
      <c r="L17" s="50" t="n">
        <f aca="false">IF(AND(_slice!$H$5=1,L$15&gt;=_slice!$H$6-0.000000001,L$15&lt;=_slice!$I$6+0.000000001,$B17&gt;=_slice!$H$7-0.000000001,$B17&lt;=_slice!$I$7+0.000000001,IF(01_因子設定!$B$20="Box-Behnken",L$15^2+$B17^2+_slice!$H$8&lt;=2+0.000000001,TRUE())),_slice!L84,"外")</f>
        <v>47.6573442982456</v>
      </c>
      <c r="M17" s="50" t="n">
        <f aca="false">IF(AND(_slice!$H$5=1,M$15&gt;=_slice!$H$6-0.000000001,M$15&lt;=_slice!$I$6+0.000000001,$B17&gt;=_slice!$H$7-0.000000001,$B17&lt;=_slice!$I$7+0.000000001,IF(01_因子設定!$B$20="Box-Behnken",M$15^2+$B17^2+_slice!$H$8&lt;=2+0.000000001,TRUE())),_slice!M84,"外")</f>
        <v>47.9699744152046</v>
      </c>
      <c r="N17" s="50" t="n">
        <f aca="false">IF(AND(_slice!$H$5=1,N$15&gt;=_slice!$H$6-0.000000001,N$15&lt;=_slice!$I$6+0.000000001,$B17&gt;=_slice!$H$7-0.000000001,$B17&lt;=_slice!$I$7+0.000000001,IF(01_因子設定!$B$20="Box-Behnken",N$15^2+$B17^2+_slice!$H$8&lt;=2+0.000000001,TRUE())),_slice!N84,"外")</f>
        <v>48.2309554093567</v>
      </c>
      <c r="O17" s="50" t="n">
        <f aca="false">IF(AND(_slice!$H$5=1,O$15&gt;=_slice!$H$6-0.000000001,O$15&lt;=_slice!$I$6+0.000000001,$B17&gt;=_slice!$H$7-0.000000001,$B17&lt;=_slice!$I$7+0.000000001,IF(01_因子設定!$B$20="Box-Behnken",O$15^2+$B17^2+_slice!$H$8&lt;=2+0.000000001,TRUE())),_slice!O84,"外")</f>
        <v>48.4402872807017</v>
      </c>
      <c r="P17" s="50" t="n">
        <f aca="false">IF(AND(_slice!$H$5=1,P$15&gt;=_slice!$H$6-0.000000001,P$15&lt;=_slice!$I$6+0.000000001,$B17&gt;=_slice!$H$7-0.000000001,$B17&lt;=_slice!$I$7+0.000000001,IF(01_因子設定!$B$20="Box-Behnken",P$15^2+$B17^2+_slice!$H$8&lt;=2+0.000000001,TRUE())),_slice!P84,"外")</f>
        <v>48.5979700292397</v>
      </c>
      <c r="Q17" s="50" t="n">
        <f aca="false">IF(AND(_slice!$H$5=1,Q$15&gt;=_slice!$H$6-0.000000001,Q$15&lt;=_slice!$I$6+0.000000001,$B17&gt;=_slice!$H$7-0.000000001,$B17&lt;=_slice!$I$7+0.000000001,IF(01_因子設定!$B$20="Box-Behnken",Q$15^2+$B17^2+_slice!$H$8&lt;=2+0.000000001,TRUE())),_slice!Q84,"外")</f>
        <v>48.7040036549707</v>
      </c>
      <c r="R17" s="50" t="n">
        <f aca="false">IF(AND(_slice!$H$5=1,R$15&gt;=_slice!$H$6-0.000000001,R$15&lt;=_slice!$I$6+0.000000001,$B17&gt;=_slice!$H$7-0.000000001,$B17&lt;=_slice!$I$7+0.000000001,IF(01_因子設定!$B$20="Box-Behnken",R$15^2+$B17^2+_slice!$H$8&lt;=2+0.000000001,TRUE())),_slice!R84,"外")</f>
        <v>48.7583881578947</v>
      </c>
      <c r="S17" s="50" t="n">
        <f aca="false">IF(AND(_slice!$H$5=1,S$15&gt;=_slice!$H$6-0.000000001,S$15&lt;=_slice!$I$6+0.000000001,$B17&gt;=_slice!$H$7-0.000000001,$B17&lt;=_slice!$I$7+0.000000001,IF(01_因子設定!$B$20="Box-Behnken",S$15^2+$B17^2+_slice!$H$8&lt;=2+0.000000001,TRUE())),_slice!S84,"外")</f>
        <v>48.7611235380117</v>
      </c>
      <c r="T17" s="50" t="n">
        <f aca="false">IF(AND(_slice!$H$5=1,T$15&gt;=_slice!$H$6-0.000000001,T$15&lt;=_slice!$I$6+0.000000001,$B17&gt;=_slice!$H$7-0.000000001,$B17&lt;=_slice!$I$7+0.000000001,IF(01_因子設定!$B$20="Box-Behnken",T$15^2+$B17^2+_slice!$H$8&lt;=2+0.000000001,TRUE())),_slice!T84,"外")</f>
        <v>48.7122097953216</v>
      </c>
      <c r="U17" s="50" t="n">
        <f aca="false">IF(AND(_slice!$H$5=1,U$15&gt;=_slice!$H$6-0.000000001,U$15&lt;=_slice!$I$6+0.000000001,$B17&gt;=_slice!$H$7-0.000000001,$B17&lt;=_slice!$I$7+0.000000001,IF(01_因子設定!$B$20="Box-Behnken",U$15^2+$B17^2+_slice!$H$8&lt;=2+0.000000001,TRUE())),_slice!U84,"外")</f>
        <v>48.6116469298246</v>
      </c>
      <c r="V17" s="50" t="n">
        <f aca="false">IF(AND(_slice!$H$5=1,V$15&gt;=_slice!$H$6-0.000000001,V$15&lt;=_slice!$I$6+0.000000001,$B17&gt;=_slice!$H$7-0.000000001,$B17&lt;=_slice!$I$7+0.000000001,IF(01_因子設定!$B$20="Box-Behnken",V$15^2+$B17^2+_slice!$H$8&lt;=2+0.000000001,TRUE())),_slice!V84,"外")</f>
        <v>48.4594349415205</v>
      </c>
      <c r="W17" s="50" t="n">
        <f aca="false">IF(AND(_slice!$H$5=1,W$15&gt;=_slice!$H$6-0.000000001,W$15&lt;=_slice!$I$6+0.000000001,$B17&gt;=_slice!$H$7-0.000000001,$B17&lt;=_slice!$I$7+0.000000001,IF(01_因子設定!$B$20="Box-Behnken",W$15^2+$B17^2+_slice!$H$8&lt;=2+0.000000001,TRUE())),_slice!W84,"外")</f>
        <v>48.2555738304094</v>
      </c>
    </row>
    <row r="18" customFormat="false" ht="15" hidden="false" customHeight="false" outlineLevel="0" collapsed="false">
      <c r="A18" s="49" t="n">
        <f aca="false">INDEX(01_因子設定!$G$5:$G$8,$C$5)+B18*INDEX(01_因子設定!$H$5:$H$8,$C$5)</f>
        <v>39</v>
      </c>
      <c r="B18" s="49" t="n">
        <v>0.9</v>
      </c>
      <c r="C18" s="50" t="n">
        <f aca="false">IF(AND(_slice!$H$5=1,C$15&gt;=_slice!$H$6-0.000000001,C$15&lt;=_slice!$I$6+0.000000001,$B18&gt;=_slice!$H$7-0.000000001,$B18&lt;=_slice!$I$7+0.000000001,IF(01_因子設定!$B$20="Box-Behnken",C$15^2+$B18^2+_slice!$H$8&lt;=2+0.000000001,TRUE())),_slice!C85,"外")</f>
        <v>42.9081849415205</v>
      </c>
      <c r="D18" s="50" t="n">
        <f aca="false">IF(AND(_slice!$H$5=1,D$15&gt;=_slice!$H$6-0.000000001,D$15&lt;=_slice!$I$6+0.000000001,$B18&gt;=_slice!$H$7-0.000000001,$B18&lt;=_slice!$I$7+0.000000001,IF(01_因子設定!$B$20="Box-Behnken",D$15^2+$B18^2+_slice!$H$8&lt;=2+0.000000001,TRUE())),_slice!D85,"外")</f>
        <v>43.6744071637427</v>
      </c>
      <c r="E18" s="50" t="n">
        <f aca="false">IF(AND(_slice!$H$5=1,E$15&gt;=_slice!$H$6-0.000000001,E$15&lt;=_slice!$I$6+0.000000001,$B18&gt;=_slice!$H$7-0.000000001,$B18&lt;=_slice!$I$7+0.000000001,IF(01_因子設定!$B$20="Box-Behnken",E$15^2+$B18^2+_slice!$H$8&lt;=2+0.000000001,TRUE())),_slice!E85,"外")</f>
        <v>44.3889802631579</v>
      </c>
      <c r="F18" s="50" t="n">
        <f aca="false">IF(AND(_slice!$H$5=1,F$15&gt;=_slice!$H$6-0.000000001,F$15&lt;=_slice!$I$6+0.000000001,$B18&gt;=_slice!$H$7-0.000000001,$B18&lt;=_slice!$I$7+0.000000001,IF(01_因子設定!$B$20="Box-Behnken",F$15^2+$B18^2+_slice!$H$8&lt;=2+0.000000001,TRUE())),_slice!F85,"外")</f>
        <v>45.0519042397661</v>
      </c>
      <c r="G18" s="50" t="n">
        <f aca="false">IF(AND(_slice!$H$5=1,G$15&gt;=_slice!$H$6-0.000000001,G$15&lt;=_slice!$I$6+0.000000001,$B18&gt;=_slice!$H$7-0.000000001,$B18&lt;=_slice!$I$7+0.000000001,IF(01_因子設定!$B$20="Box-Behnken",G$15^2+$B18^2+_slice!$H$8&lt;=2+0.000000001,TRUE())),_slice!G85,"外")</f>
        <v>45.6631790935672</v>
      </c>
      <c r="H18" s="50" t="n">
        <f aca="false">IF(AND(_slice!$H$5=1,H$15&gt;=_slice!$H$6-0.000000001,H$15&lt;=_slice!$I$6+0.000000001,$B18&gt;=_slice!$H$7-0.000000001,$B18&lt;=_slice!$I$7+0.000000001,IF(01_因子設定!$B$20="Box-Behnken",H$15^2+$B18^2+_slice!$H$8&lt;=2+0.000000001,TRUE())),_slice!H85,"外")</f>
        <v>46.2228048245614</v>
      </c>
      <c r="I18" s="50" t="n">
        <f aca="false">IF(AND(_slice!$H$5=1,I$15&gt;=_slice!$H$6-0.000000001,I$15&lt;=_slice!$I$6+0.000000001,$B18&gt;=_slice!$H$7-0.000000001,$B18&lt;=_slice!$I$7+0.000000001,IF(01_因子設定!$B$20="Box-Behnken",I$15^2+$B18^2+_slice!$H$8&lt;=2+0.000000001,TRUE())),_slice!I85,"外")</f>
        <v>46.7307814327485</v>
      </c>
      <c r="J18" s="50" t="n">
        <f aca="false">IF(AND(_slice!$H$5=1,J$15&gt;=_slice!$H$6-0.000000001,J$15&lt;=_slice!$I$6+0.000000001,$B18&gt;=_slice!$H$7-0.000000001,$B18&lt;=_slice!$I$7+0.000000001,IF(01_因子設定!$B$20="Box-Behnken",J$15^2+$B18^2+_slice!$H$8&lt;=2+0.000000001,TRUE())),_slice!J85,"外")</f>
        <v>47.1871089181286</v>
      </c>
      <c r="K18" s="50" t="n">
        <f aca="false">IF(AND(_slice!$H$5=1,K$15&gt;=_slice!$H$6-0.000000001,K$15&lt;=_slice!$I$6+0.000000001,$B18&gt;=_slice!$H$7-0.000000001,$B18&lt;=_slice!$I$7+0.000000001,IF(01_因子設定!$B$20="Box-Behnken",K$15^2+$B18^2+_slice!$H$8&lt;=2+0.000000001,TRUE())),_slice!K85,"外")</f>
        <v>47.5917872807017</v>
      </c>
      <c r="L18" s="50" t="n">
        <f aca="false">IF(AND(_slice!$H$5=1,L$15&gt;=_slice!$H$6-0.000000001,L$15&lt;=_slice!$I$6+0.000000001,$B18&gt;=_slice!$H$7-0.000000001,$B18&lt;=_slice!$I$7+0.000000001,IF(01_因子設定!$B$20="Box-Behnken",L$15^2+$B18^2+_slice!$H$8&lt;=2+0.000000001,TRUE())),_slice!L85,"外")</f>
        <v>47.9448165204678</v>
      </c>
      <c r="M18" s="50" t="n">
        <f aca="false">IF(AND(_slice!$H$5=1,M$15&gt;=_slice!$H$6-0.000000001,M$15&lt;=_slice!$I$6+0.000000001,$B18&gt;=_slice!$H$7-0.000000001,$B18&lt;=_slice!$I$7+0.000000001,IF(01_因子設定!$B$20="Box-Behnken",M$15^2+$B18^2+_slice!$H$8&lt;=2+0.000000001,TRUE())),_slice!M85,"外")</f>
        <v>48.2461966374269</v>
      </c>
      <c r="N18" s="50" t="n">
        <f aca="false">IF(AND(_slice!$H$5=1,N$15&gt;=_slice!$H$6-0.000000001,N$15&lt;=_slice!$I$6+0.000000001,$B18&gt;=_slice!$H$7-0.000000001,$B18&lt;=_slice!$I$7+0.000000001,IF(01_因子設定!$B$20="Box-Behnken",N$15^2+$B18^2+_slice!$H$8&lt;=2+0.000000001,TRUE())),_slice!N85,"外")</f>
        <v>48.4959276315789</v>
      </c>
      <c r="O18" s="50" t="n">
        <f aca="false">IF(AND(_slice!$H$5=1,O$15&gt;=_slice!$H$6-0.000000001,O$15&lt;=_slice!$I$6+0.000000001,$B18&gt;=_slice!$H$7-0.000000001,$B18&lt;=_slice!$I$7+0.000000001,IF(01_因子設定!$B$20="Box-Behnken",O$15^2+$B18^2+_slice!$H$8&lt;=2+0.000000001,TRUE())),_slice!O85,"外")</f>
        <v>48.6940095029239</v>
      </c>
      <c r="P18" s="50" t="n">
        <f aca="false">IF(AND(_slice!$H$5=1,P$15&gt;=_slice!$H$6-0.000000001,P$15&lt;=_slice!$I$6+0.000000001,$B18&gt;=_slice!$H$7-0.000000001,$B18&lt;=_slice!$I$7+0.000000001,IF(01_因子設定!$B$20="Box-Behnken",P$15^2+$B18^2+_slice!$H$8&lt;=2+0.000000001,TRUE())),_slice!P85,"外")</f>
        <v>48.8404422514619</v>
      </c>
      <c r="Q18" s="50" t="n">
        <f aca="false">IF(AND(_slice!$H$5=1,Q$15&gt;=_slice!$H$6-0.000000001,Q$15&lt;=_slice!$I$6+0.000000001,$B18&gt;=_slice!$H$7-0.000000001,$B18&lt;=_slice!$I$7+0.000000001,IF(01_因子設定!$B$20="Box-Behnken",Q$15^2+$B18^2+_slice!$H$8&lt;=2+0.000000001,TRUE())),_slice!Q85,"外")</f>
        <v>48.935225877193</v>
      </c>
      <c r="R18" s="50" t="n">
        <f aca="false">IF(AND(_slice!$H$5=1,R$15&gt;=_slice!$H$6-0.000000001,R$15&lt;=_slice!$I$6+0.000000001,$B18&gt;=_slice!$H$7-0.000000001,$B18&lt;=_slice!$I$7+0.000000001,IF(01_因子設定!$B$20="Box-Behnken",R$15^2+$B18^2+_slice!$H$8&lt;=2+0.000000001,TRUE())),_slice!R85,"外")</f>
        <v>48.9783603801169</v>
      </c>
      <c r="S18" s="50" t="n">
        <f aca="false">IF(AND(_slice!$H$5=1,S$15&gt;=_slice!$H$6-0.000000001,S$15&lt;=_slice!$I$6+0.000000001,$B18&gt;=_slice!$H$7-0.000000001,$B18&lt;=_slice!$I$7+0.000000001,IF(01_因子設定!$B$20="Box-Behnken",S$15^2+$B18^2+_slice!$H$8&lt;=2+0.000000001,TRUE())),_slice!S85,"外")</f>
        <v>48.9698457602339</v>
      </c>
      <c r="T18" s="50" t="n">
        <f aca="false">IF(AND(_slice!$H$5=1,T$15&gt;=_slice!$H$6-0.000000001,T$15&lt;=_slice!$I$6+0.000000001,$B18&gt;=_slice!$H$7-0.000000001,$B18&lt;=_slice!$I$7+0.000000001,IF(01_因子設定!$B$20="Box-Behnken",T$15^2+$B18^2+_slice!$H$8&lt;=2+0.000000001,TRUE())),_slice!T85,"外")</f>
        <v>48.9096820175439</v>
      </c>
      <c r="U18" s="50" t="n">
        <f aca="false">IF(AND(_slice!$H$5=1,U$15&gt;=_slice!$H$6-0.000000001,U$15&lt;=_slice!$I$6+0.000000001,$B18&gt;=_slice!$H$7-0.000000001,$B18&lt;=_slice!$I$7+0.000000001,IF(01_因子設定!$B$20="Box-Behnken",U$15^2+$B18^2+_slice!$H$8&lt;=2+0.000000001,TRUE())),_slice!U85,"外")</f>
        <v>48.7978691520468</v>
      </c>
      <c r="V18" s="50" t="n">
        <f aca="false">IF(AND(_slice!$H$5=1,V$15&gt;=_slice!$H$6-0.000000001,V$15&lt;=_slice!$I$6+0.000000001,$B18&gt;=_slice!$H$7-0.000000001,$B18&lt;=_slice!$I$7+0.000000001,IF(01_因子設定!$B$20="Box-Behnken",V$15^2+$B18^2+_slice!$H$8&lt;=2+0.000000001,TRUE())),_slice!V85,"外")</f>
        <v>48.6344071637427</v>
      </c>
      <c r="W18" s="50" t="n">
        <f aca="false">IF(AND(_slice!$H$5=1,W$15&gt;=_slice!$H$6-0.000000001,W$15&lt;=_slice!$I$6+0.000000001,$B18&gt;=_slice!$H$7-0.000000001,$B18&lt;=_slice!$I$7+0.000000001,IF(01_因子設定!$B$20="Box-Behnken",W$15^2+$B18^2+_slice!$H$8&lt;=2+0.000000001,TRUE())),_slice!W85,"外")</f>
        <v>48.4192960526316</v>
      </c>
    </row>
    <row r="19" customFormat="false" ht="15" hidden="false" customHeight="false" outlineLevel="0" collapsed="false">
      <c r="A19" s="49" t="n">
        <f aca="false">INDEX(01_因子設定!$G$5:$G$8,$C$5)+B19*INDEX(01_因子設定!$H$5:$H$8,$C$5)</f>
        <v>38</v>
      </c>
      <c r="B19" s="49" t="n">
        <v>0.8</v>
      </c>
      <c r="C19" s="50" t="n">
        <f aca="false">IF(AND(_slice!$H$5=1,C$15&gt;=_slice!$H$6-0.000000001,C$15&lt;=_slice!$I$6+0.000000001,$B19&gt;=_slice!$H$7-0.000000001,$B19&lt;=_slice!$I$7+0.000000001,IF(01_因子設定!$B$20="Box-Behnken",C$15^2+$B19^2+_slice!$H$8&lt;=2+0.000000001,TRUE())),_slice!C86,"外")</f>
        <v>43.2452580409357</v>
      </c>
      <c r="D19" s="50" t="n">
        <f aca="false">IF(AND(_slice!$H$5=1,D$15&gt;=_slice!$H$6-0.000000001,D$15&lt;=_slice!$I$6+0.000000001,$B19&gt;=_slice!$H$7-0.000000001,$B19&lt;=_slice!$I$7+0.000000001,IF(01_因子設定!$B$20="Box-Behnken",D$15^2+$B19^2+_slice!$H$8&lt;=2+0.000000001,TRUE())),_slice!D86,"外")</f>
        <v>44.0002302631579</v>
      </c>
      <c r="E19" s="50" t="n">
        <f aca="false">IF(AND(_slice!$H$5=1,E$15&gt;=_slice!$H$6-0.000000001,E$15&lt;=_slice!$I$6+0.000000001,$B19&gt;=_slice!$H$7-0.000000001,$B19&lt;=_slice!$I$7+0.000000001,IF(01_因子設定!$B$20="Box-Behnken",E$15^2+$B19^2+_slice!$H$8&lt;=2+0.000000001,TRUE())),_slice!E86,"外")</f>
        <v>44.7035533625731</v>
      </c>
      <c r="F19" s="50" t="n">
        <f aca="false">IF(AND(_slice!$H$5=1,F$15&gt;=_slice!$H$6-0.000000001,F$15&lt;=_slice!$I$6+0.000000001,$B19&gt;=_slice!$H$7-0.000000001,$B19&lt;=_slice!$I$7+0.000000001,IF(01_因子設定!$B$20="Box-Behnken",F$15^2+$B19^2+_slice!$H$8&lt;=2+0.000000001,TRUE())),_slice!F86,"外")</f>
        <v>45.3552273391813</v>
      </c>
      <c r="G19" s="50" t="n">
        <f aca="false">IF(AND(_slice!$H$5=1,G$15&gt;=_slice!$H$6-0.000000001,G$15&lt;=_slice!$I$6+0.000000001,$B19&gt;=_slice!$H$7-0.000000001,$B19&lt;=_slice!$I$7+0.000000001,IF(01_因子設定!$B$20="Box-Behnken",G$15^2+$B19^2+_slice!$H$8&lt;=2+0.000000001,TRUE())),_slice!G86,"外")</f>
        <v>45.9552521929824</v>
      </c>
      <c r="H19" s="50" t="n">
        <f aca="false">IF(AND(_slice!$H$5=1,H$15&gt;=_slice!$H$6-0.000000001,H$15&lt;=_slice!$I$6+0.000000001,$B19&gt;=_slice!$H$7-0.000000001,$B19&lt;=_slice!$I$7+0.000000001,IF(01_因子設定!$B$20="Box-Behnken",H$15^2+$B19^2+_slice!$H$8&lt;=2+0.000000001,TRUE())),_slice!H86,"外")</f>
        <v>46.5036279239766</v>
      </c>
      <c r="I19" s="50" t="n">
        <f aca="false">IF(AND(_slice!$H$5=1,I$15&gt;=_slice!$H$6-0.000000001,I$15&lt;=_slice!$I$6+0.000000001,$B19&gt;=_slice!$H$7-0.000000001,$B19&lt;=_slice!$I$7+0.000000001,IF(01_因子設定!$B$20="Box-Behnken",I$15^2+$B19^2+_slice!$H$8&lt;=2+0.000000001,TRUE())),_slice!I86,"外")</f>
        <v>47.0003545321637</v>
      </c>
      <c r="J19" s="50" t="n">
        <f aca="false">IF(AND(_slice!$H$5=1,J$15&gt;=_slice!$H$6-0.000000001,J$15&lt;=_slice!$I$6+0.000000001,$B19&gt;=_slice!$H$7-0.000000001,$B19&lt;=_slice!$I$7+0.000000001,IF(01_因子設定!$B$20="Box-Behnken",J$15^2+$B19^2+_slice!$H$8&lt;=2+0.000000001,TRUE())),_slice!J86,"外")</f>
        <v>47.4454320175438</v>
      </c>
      <c r="K19" s="50" t="n">
        <f aca="false">IF(AND(_slice!$H$5=1,K$15&gt;=_slice!$H$6-0.000000001,K$15&lt;=_slice!$I$6+0.000000001,$B19&gt;=_slice!$H$7-0.000000001,$B19&lt;=_slice!$I$7+0.000000001,IF(01_因子設定!$B$20="Box-Behnken",K$15^2+$B19^2+_slice!$H$8&lt;=2+0.000000001,TRUE())),_slice!K86,"外")</f>
        <v>47.8388603801169</v>
      </c>
      <c r="L19" s="50" t="n">
        <f aca="false">IF(AND(_slice!$H$5=1,L$15&gt;=_slice!$H$6-0.000000001,L$15&lt;=_slice!$I$6+0.000000001,$B19&gt;=_slice!$H$7-0.000000001,$B19&lt;=_slice!$I$7+0.000000001,IF(01_因子設定!$B$20="Box-Behnken",L$15^2+$B19^2+_slice!$H$8&lt;=2+0.000000001,TRUE())),_slice!L86,"外")</f>
        <v>48.180639619883</v>
      </c>
      <c r="M19" s="50" t="n">
        <f aca="false">IF(AND(_slice!$H$5=1,M$15&gt;=_slice!$H$6-0.000000001,M$15&lt;=_slice!$I$6+0.000000001,$B19&gt;=_slice!$H$7-0.000000001,$B19&lt;=_slice!$I$7+0.000000001,IF(01_因子設定!$B$20="Box-Behnken",M$15^2+$B19^2+_slice!$H$8&lt;=2+0.000000001,TRUE())),_slice!M86,"外")</f>
        <v>48.4707697368421</v>
      </c>
      <c r="N19" s="50" t="n">
        <f aca="false">IF(AND(_slice!$H$5=1,N$15&gt;=_slice!$H$6-0.000000001,N$15&lt;=_slice!$I$6+0.000000001,$B19&gt;=_slice!$H$7-0.000000001,$B19&lt;=_slice!$I$7+0.000000001,IF(01_因子設定!$B$20="Box-Behnken",N$15^2+$B19^2+_slice!$H$8&lt;=2+0.000000001,TRUE())),_slice!N86,"外")</f>
        <v>48.7092507309941</v>
      </c>
      <c r="O19" s="50" t="n">
        <f aca="false">IF(AND(_slice!$H$5=1,O$15&gt;=_slice!$H$6-0.000000001,O$15&lt;=_slice!$I$6+0.000000001,$B19&gt;=_slice!$H$7-0.000000001,$B19&lt;=_slice!$I$7+0.000000001,IF(01_因子設定!$B$20="Box-Behnken",O$15^2+$B19^2+_slice!$H$8&lt;=2+0.000000001,TRUE())),_slice!O86,"外")</f>
        <v>48.8960826023391</v>
      </c>
      <c r="P19" s="50" t="n">
        <f aca="false">IF(AND(_slice!$H$5=1,P$15&gt;=_slice!$H$6-0.000000001,P$15&lt;=_slice!$I$6+0.000000001,$B19&gt;=_slice!$H$7-0.000000001,$B19&lt;=_slice!$I$7+0.000000001,IF(01_因子設定!$B$20="Box-Behnken",P$15^2+$B19^2+_slice!$H$8&lt;=2+0.000000001,TRUE())),_slice!P86,"外")</f>
        <v>49.0312653508772</v>
      </c>
      <c r="Q19" s="50" t="n">
        <f aca="false">IF(AND(_slice!$H$5=1,Q$15&gt;=_slice!$H$6-0.000000001,Q$15&lt;=_slice!$I$6+0.000000001,$B19&gt;=_slice!$H$7-0.000000001,$B19&lt;=_slice!$I$7+0.000000001,IF(01_因子設定!$B$20="Box-Behnken",Q$15^2+$B19^2+_slice!$H$8&lt;=2+0.000000001,TRUE())),_slice!Q86,"外")</f>
        <v>49.1147989766082</v>
      </c>
      <c r="R19" s="50" t="n">
        <f aca="false">IF(AND(_slice!$H$5=1,R$15&gt;=_slice!$H$6-0.000000001,R$15&lt;=_slice!$I$6+0.000000001,$B19&gt;=_slice!$H$7-0.000000001,$B19&lt;=_slice!$I$7+0.000000001,IF(01_因子設定!$B$20="Box-Behnken",R$15^2+$B19^2+_slice!$H$8&lt;=2+0.000000001,TRUE())),_slice!R86,"外")</f>
        <v>49.1466834795321</v>
      </c>
      <c r="S19" s="50" t="n">
        <f aca="false">IF(AND(_slice!$H$5=1,S$15&gt;=_slice!$H$6-0.000000001,S$15&lt;=_slice!$I$6+0.000000001,$B19&gt;=_slice!$H$7-0.000000001,$B19&lt;=_slice!$I$7+0.000000001,IF(01_因子設定!$B$20="Box-Behnken",S$15^2+$B19^2+_slice!$H$8&lt;=2+0.000000001,TRUE())),_slice!S86,"外")</f>
        <v>49.1269188596491</v>
      </c>
      <c r="T19" s="50" t="n">
        <f aca="false">IF(AND(_slice!$H$5=1,T$15&gt;=_slice!$H$6-0.000000001,T$15&lt;=_slice!$I$6+0.000000001,$B19&gt;=_slice!$H$7-0.000000001,$B19&lt;=_slice!$I$7+0.000000001,IF(01_因子設定!$B$20="Box-Behnken",T$15^2+$B19^2+_slice!$H$8&lt;=2+0.000000001,TRUE())),_slice!T86,"外")</f>
        <v>49.0555051169591</v>
      </c>
      <c r="U19" s="50" t="n">
        <f aca="false">IF(AND(_slice!$H$5=1,U$15&gt;=_slice!$H$6-0.000000001,U$15&lt;=_slice!$I$6+0.000000001,$B19&gt;=_slice!$H$7-0.000000001,$B19&lt;=_slice!$I$7+0.000000001,IF(01_因子設定!$B$20="Box-Behnken",U$15^2+$B19^2+_slice!$H$8&lt;=2+0.000000001,TRUE())),_slice!U86,"外")</f>
        <v>48.932442251462</v>
      </c>
      <c r="V19" s="50" t="n">
        <f aca="false">IF(AND(_slice!$H$5=1,V$15&gt;=_slice!$H$6-0.000000001,V$15&lt;=_slice!$I$6+0.000000001,$B19&gt;=_slice!$H$7-0.000000001,$B19&lt;=_slice!$I$7+0.000000001,IF(01_因子設定!$B$20="Box-Behnken",V$15^2+$B19^2+_slice!$H$8&lt;=2+0.000000001,TRUE())),_slice!V86,"外")</f>
        <v>48.7577302631579</v>
      </c>
      <c r="W19" s="50" t="n">
        <f aca="false">IF(AND(_slice!$H$5=1,W$15&gt;=_slice!$H$6-0.000000001,W$15&lt;=_slice!$I$6+0.000000001,$B19&gt;=_slice!$H$7-0.000000001,$B19&lt;=_slice!$I$7+0.000000001,IF(01_因子設定!$B$20="Box-Behnken",W$15^2+$B19^2+_slice!$H$8&lt;=2+0.000000001,TRUE())),_slice!W86,"外")</f>
        <v>48.5313691520468</v>
      </c>
    </row>
    <row r="20" customFormat="false" ht="15" hidden="false" customHeight="false" outlineLevel="0" collapsed="false">
      <c r="A20" s="49" t="n">
        <f aca="false">INDEX(01_因子設定!$G$5:$G$8,$C$5)+B20*INDEX(01_因子設定!$H$5:$H$8,$C$5)</f>
        <v>37</v>
      </c>
      <c r="B20" s="49" t="n">
        <v>0.7</v>
      </c>
      <c r="C20" s="50" t="n">
        <f aca="false">IF(AND(_slice!$H$5=1,C$15&gt;=_slice!$H$6-0.000000001,C$15&lt;=_slice!$I$6+0.000000001,$B20&gt;=_slice!$H$7-0.000000001,$B20&lt;=_slice!$I$7+0.000000001,IF(01_因子設定!$B$20="Box-Behnken",C$15^2+$B20^2+_slice!$H$8&lt;=2+0.000000001,TRUE())),_slice!C87,"外")</f>
        <v>43.5306820175439</v>
      </c>
      <c r="D20" s="50" t="n">
        <f aca="false">IF(AND(_slice!$H$5=1,D$15&gt;=_slice!$H$6-0.000000001,D$15&lt;=_slice!$I$6+0.000000001,$B20&gt;=_slice!$H$7-0.000000001,$B20&lt;=_slice!$I$7+0.000000001,IF(01_因子設定!$B$20="Box-Behnken",D$15^2+$B20^2+_slice!$H$8&lt;=2+0.000000001,TRUE())),_slice!D87,"外")</f>
        <v>44.2744042397661</v>
      </c>
      <c r="E20" s="50" t="n">
        <f aca="false">IF(AND(_slice!$H$5=1,E$15&gt;=_slice!$H$6-0.000000001,E$15&lt;=_slice!$I$6+0.000000001,$B20&gt;=_slice!$H$7-0.000000001,$B20&lt;=_slice!$I$7+0.000000001,IF(01_因子設定!$B$20="Box-Behnken",E$15^2+$B20^2+_slice!$H$8&lt;=2+0.000000001,TRUE())),_slice!E87,"外")</f>
        <v>44.9664773391813</v>
      </c>
      <c r="F20" s="50" t="n">
        <f aca="false">IF(AND(_slice!$H$5=1,F$15&gt;=_slice!$H$6-0.000000001,F$15&lt;=_slice!$I$6+0.000000001,$B20&gt;=_slice!$H$7-0.000000001,$B20&lt;=_slice!$I$7+0.000000001,IF(01_因子設定!$B$20="Box-Behnken",F$15^2+$B20^2+_slice!$H$8&lt;=2+0.000000001,TRUE())),_slice!F87,"外")</f>
        <v>45.6069013157895</v>
      </c>
      <c r="G20" s="50" t="n">
        <f aca="false">IF(AND(_slice!$H$5=1,G$15&gt;=_slice!$H$6-0.000000001,G$15&lt;=_slice!$I$6+0.000000001,$B20&gt;=_slice!$H$7-0.000000001,$B20&lt;=_slice!$I$7+0.000000001,IF(01_因子設定!$B$20="Box-Behnken",G$15^2+$B20^2+_slice!$H$8&lt;=2+0.000000001,TRUE())),_slice!G87,"外")</f>
        <v>46.1956761695906</v>
      </c>
      <c r="H20" s="50" t="n">
        <f aca="false">IF(AND(_slice!$H$5=1,H$15&gt;=_slice!$H$6-0.000000001,H$15&lt;=_slice!$I$6+0.000000001,$B20&gt;=_slice!$H$7-0.000000001,$B20&lt;=_slice!$I$7+0.000000001,IF(01_因子設定!$B$20="Box-Behnken",H$15^2+$B20^2+_slice!$H$8&lt;=2+0.000000001,TRUE())),_slice!H87,"外")</f>
        <v>46.7328019005848</v>
      </c>
      <c r="I20" s="50" t="n">
        <f aca="false">IF(AND(_slice!$H$5=1,I$15&gt;=_slice!$H$6-0.000000001,I$15&lt;=_slice!$I$6+0.000000001,$B20&gt;=_slice!$H$7-0.000000001,$B20&lt;=_slice!$I$7+0.000000001,IF(01_因子設定!$B$20="Box-Behnken",I$15^2+$B20^2+_slice!$H$8&lt;=2+0.000000001,TRUE())),_slice!I87,"外")</f>
        <v>47.2182785087719</v>
      </c>
      <c r="J20" s="50" t="n">
        <f aca="false">IF(AND(_slice!$H$5=1,J$15&gt;=_slice!$H$6-0.000000001,J$15&lt;=_slice!$I$6+0.000000001,$B20&gt;=_slice!$H$7-0.000000001,$B20&lt;=_slice!$I$7+0.000000001,IF(01_因子設定!$B$20="Box-Behnken",J$15^2+$B20^2+_slice!$H$8&lt;=2+0.000000001,TRUE())),_slice!J87,"外")</f>
        <v>47.652105994152</v>
      </c>
      <c r="K20" s="50" t="n">
        <f aca="false">IF(AND(_slice!$H$5=1,K$15&gt;=_slice!$H$6-0.000000001,K$15&lt;=_slice!$I$6+0.000000001,$B20&gt;=_slice!$H$7-0.000000001,$B20&lt;=_slice!$I$7+0.000000001,IF(01_因子設定!$B$20="Box-Behnken",K$15^2+$B20^2+_slice!$H$8&lt;=2+0.000000001,TRUE())),_slice!K87,"外")</f>
        <v>48.0342843567251</v>
      </c>
      <c r="L20" s="50" t="n">
        <f aca="false">IF(AND(_slice!$H$5=1,L$15&gt;=_slice!$H$6-0.000000001,L$15&lt;=_slice!$I$6+0.000000001,$B20&gt;=_slice!$H$7-0.000000001,$B20&lt;=_slice!$I$7+0.000000001,IF(01_因子設定!$B$20="Box-Behnken",L$15^2+$B20^2+_slice!$H$8&lt;=2+0.000000001,TRUE())),_slice!L87,"外")</f>
        <v>48.3648135964912</v>
      </c>
      <c r="M20" s="50" t="n">
        <f aca="false">IF(AND(_slice!$H$5=1,M$15&gt;=_slice!$H$6-0.000000001,M$15&lt;=_slice!$I$6+0.000000001,$B20&gt;=_slice!$H$7-0.000000001,$B20&lt;=_slice!$I$7+0.000000001,IF(01_因子設定!$B$20="Box-Behnken",M$15^2+$B20^2+_slice!$H$8&lt;=2+0.000000001,TRUE())),_slice!M87,"外")</f>
        <v>48.6436937134502</v>
      </c>
      <c r="N20" s="50" t="n">
        <f aca="false">IF(AND(_slice!$H$5=1,N$15&gt;=_slice!$H$6-0.000000001,N$15&lt;=_slice!$I$6+0.000000001,$B20&gt;=_slice!$H$7-0.000000001,$B20&lt;=_slice!$I$7+0.000000001,IF(01_因子設定!$B$20="Box-Behnken",N$15^2+$B20^2+_slice!$H$8&lt;=2+0.000000001,TRUE())),_slice!N87,"外")</f>
        <v>48.8709247076023</v>
      </c>
      <c r="O20" s="50" t="n">
        <f aca="false">IF(AND(_slice!$H$5=1,O$15&gt;=_slice!$H$6-0.000000001,O$15&lt;=_slice!$I$6+0.000000001,$B20&gt;=_slice!$H$7-0.000000001,$B20&lt;=_slice!$I$7+0.000000001,IF(01_因子設定!$B$20="Box-Behnken",O$15^2+$B20^2+_slice!$H$8&lt;=2+0.000000001,TRUE())),_slice!O87,"外")</f>
        <v>49.0465065789473</v>
      </c>
      <c r="P20" s="50" t="n">
        <f aca="false">IF(AND(_slice!$H$5=1,P$15&gt;=_slice!$H$6-0.000000001,P$15&lt;=_slice!$I$6+0.000000001,$B20&gt;=_slice!$H$7-0.000000001,$B20&lt;=_slice!$I$7+0.000000001,IF(01_因子設定!$B$20="Box-Behnken",P$15^2+$B20^2+_slice!$H$8&lt;=2+0.000000001,TRUE())),_slice!P87,"外")</f>
        <v>49.1704393274853</v>
      </c>
      <c r="Q20" s="50" t="n">
        <f aca="false">IF(AND(_slice!$H$5=1,Q$15&gt;=_slice!$H$6-0.000000001,Q$15&lt;=_slice!$I$6+0.000000001,$B20&gt;=_slice!$H$7-0.000000001,$B20&lt;=_slice!$I$7+0.000000001,IF(01_因子設定!$B$20="Box-Behnken",Q$15^2+$B20^2+_slice!$H$8&lt;=2+0.000000001,TRUE())),_slice!Q87,"外")</f>
        <v>49.2427229532163</v>
      </c>
      <c r="R20" s="50" t="n">
        <f aca="false">IF(AND(_slice!$H$5=1,R$15&gt;=_slice!$H$6-0.000000001,R$15&lt;=_slice!$I$6+0.000000001,$B20&gt;=_slice!$H$7-0.000000001,$B20&lt;=_slice!$I$7+0.000000001,IF(01_因子設定!$B$20="Box-Behnken",R$15^2+$B20^2+_slice!$H$8&lt;=2+0.000000001,TRUE())),_slice!R87,"外")</f>
        <v>49.2633574561403</v>
      </c>
      <c r="S20" s="50" t="n">
        <f aca="false">IF(AND(_slice!$H$5=1,S$15&gt;=_slice!$H$6-0.000000001,S$15&lt;=_slice!$I$6+0.000000001,$B20&gt;=_slice!$H$7-0.000000001,$B20&lt;=_slice!$I$7+0.000000001,IF(01_因子設定!$B$20="Box-Behnken",S$15^2+$B20^2+_slice!$H$8&lt;=2+0.000000001,TRUE())),_slice!S87,"外")</f>
        <v>49.2323428362573</v>
      </c>
      <c r="T20" s="50" t="n">
        <f aca="false">IF(AND(_slice!$H$5=1,T$15&gt;=_slice!$H$6-0.000000001,T$15&lt;=_slice!$I$6+0.000000001,$B20&gt;=_slice!$H$7-0.000000001,$B20&lt;=_slice!$I$7+0.000000001,IF(01_因子設定!$B$20="Box-Behnken",T$15^2+$B20^2+_slice!$H$8&lt;=2+0.000000001,TRUE())),_slice!T87,"外")</f>
        <v>49.1496790935672</v>
      </c>
      <c r="U20" s="50" t="n">
        <f aca="false">IF(AND(_slice!$H$5=1,U$15&gt;=_slice!$H$6-0.000000001,U$15&lt;=_slice!$I$6+0.000000001,$B20&gt;=_slice!$H$7-0.000000001,$B20&lt;=_slice!$I$7+0.000000001,IF(01_因子設定!$B$20="Box-Behnken",U$15^2+$B20^2+_slice!$H$8&lt;=2+0.000000001,TRUE())),_slice!U87,"外")</f>
        <v>49.0153662280702</v>
      </c>
      <c r="V20" s="50" t="n">
        <f aca="false">IF(AND(_slice!$H$5=1,V$15&gt;=_slice!$H$6-0.000000001,V$15&lt;=_slice!$I$6+0.000000001,$B20&gt;=_slice!$H$7-0.000000001,$B20&lt;=_slice!$I$7+0.000000001,IF(01_因子設定!$B$20="Box-Behnken",V$15^2+$B20^2+_slice!$H$8&lt;=2+0.000000001,TRUE())),_slice!V87,"外")</f>
        <v>48.8294042397661</v>
      </c>
      <c r="W20" s="50" t="n">
        <f aca="false">IF(AND(_slice!$H$5=1,W$15&gt;=_slice!$H$6-0.000000001,W$15&lt;=_slice!$I$6+0.000000001,$B20&gt;=_slice!$H$7-0.000000001,$B20&lt;=_slice!$I$7+0.000000001,IF(01_因子設定!$B$20="Box-Behnken",W$15^2+$B20^2+_slice!$H$8&lt;=2+0.000000001,TRUE())),_slice!W87,"外")</f>
        <v>48.591793128655</v>
      </c>
    </row>
    <row r="21" customFormat="false" ht="15" hidden="false" customHeight="false" outlineLevel="0" collapsed="false">
      <c r="A21" s="49" t="n">
        <f aca="false">INDEX(01_因子設定!$G$5:$G$8,$C$5)+B21*INDEX(01_因子設定!$H$5:$H$8,$C$5)</f>
        <v>36</v>
      </c>
      <c r="B21" s="49" t="n">
        <v>0.6</v>
      </c>
      <c r="C21" s="50" t="n">
        <f aca="false">IF(AND(_slice!$H$5=1,C$15&gt;=_slice!$H$6-0.000000001,C$15&lt;=_slice!$I$6+0.000000001,$B21&gt;=_slice!$H$7-0.000000001,$B21&lt;=_slice!$I$7+0.000000001,IF(01_因子設定!$B$20="Box-Behnken",C$15^2+$B21^2+_slice!$H$8&lt;=2+0.000000001,TRUE())),_slice!C88,"外")</f>
        <v>43.7644568713451</v>
      </c>
      <c r="D21" s="50" t="n">
        <f aca="false">IF(AND(_slice!$H$5=1,D$15&gt;=_slice!$H$6-0.000000001,D$15&lt;=_slice!$I$6+0.000000001,$B21&gt;=_slice!$H$7-0.000000001,$B21&lt;=_slice!$I$7+0.000000001,IF(01_因子設定!$B$20="Box-Behnken",D$15^2+$B21^2+_slice!$H$8&lt;=2+0.000000001,TRUE())),_slice!D88,"外")</f>
        <v>44.4969290935673</v>
      </c>
      <c r="E21" s="50" t="n">
        <f aca="false">IF(AND(_slice!$H$5=1,E$15&gt;=_slice!$H$6-0.000000001,E$15&lt;=_slice!$I$6+0.000000001,$B21&gt;=_slice!$H$7-0.000000001,$B21&lt;=_slice!$I$7+0.000000001,IF(01_因子設定!$B$20="Box-Behnken",E$15^2+$B21^2+_slice!$H$8&lt;=2+0.000000001,TRUE())),_slice!E88,"外")</f>
        <v>45.1777521929825</v>
      </c>
      <c r="F21" s="50" t="n">
        <f aca="false">IF(AND(_slice!$H$5=1,F$15&gt;=_slice!$H$6-0.000000001,F$15&lt;=_slice!$I$6+0.000000001,$B21&gt;=_slice!$H$7-0.000000001,$B21&lt;=_slice!$I$7+0.000000001,IF(01_因子設定!$B$20="Box-Behnken",F$15^2+$B21^2+_slice!$H$8&lt;=2+0.000000001,TRUE())),_slice!F88,"外")</f>
        <v>45.8069261695906</v>
      </c>
      <c r="G21" s="50" t="n">
        <f aca="false">IF(AND(_slice!$H$5=1,G$15&gt;=_slice!$H$6-0.000000001,G$15&lt;=_slice!$I$6+0.000000001,$B21&gt;=_slice!$H$7-0.000000001,$B21&lt;=_slice!$I$7+0.000000001,IF(01_因子設定!$B$20="Box-Behnken",G$15^2+$B21^2+_slice!$H$8&lt;=2+0.000000001,TRUE())),_slice!G88,"外")</f>
        <v>46.3844510233918</v>
      </c>
      <c r="H21" s="50" t="n">
        <f aca="false">IF(AND(_slice!$H$5=1,H$15&gt;=_slice!$H$6-0.000000001,H$15&lt;=_slice!$I$6+0.000000001,$B21&gt;=_slice!$H$7-0.000000001,$B21&lt;=_slice!$I$7+0.000000001,IF(01_因子設定!$B$20="Box-Behnken",H$15^2+$B21^2+_slice!$H$8&lt;=2+0.000000001,TRUE())),_slice!H88,"外")</f>
        <v>46.9103267543859</v>
      </c>
      <c r="I21" s="50" t="n">
        <f aca="false">IF(AND(_slice!$H$5=1,I$15&gt;=_slice!$H$6-0.000000001,I$15&lt;=_slice!$I$6+0.000000001,$B21&gt;=_slice!$H$7-0.000000001,$B21&lt;=_slice!$I$7+0.000000001,IF(01_因子設定!$B$20="Box-Behnken",I$15^2+$B21^2+_slice!$H$8&lt;=2+0.000000001,TRUE())),_slice!I88,"外")</f>
        <v>47.3845533625731</v>
      </c>
      <c r="J21" s="50" t="n">
        <f aca="false">IF(AND(_slice!$H$5=1,J$15&gt;=_slice!$H$6-0.000000001,J$15&lt;=_slice!$I$6+0.000000001,$B21&gt;=_slice!$H$7-0.000000001,$B21&lt;=_slice!$I$7+0.000000001,IF(01_因子設定!$B$20="Box-Behnken",J$15^2+$B21^2+_slice!$H$8&lt;=2+0.000000001,TRUE())),_slice!J88,"外")</f>
        <v>47.8071308479532</v>
      </c>
      <c r="K21" s="50" t="n">
        <f aca="false">IF(AND(_slice!$H$5=1,K$15&gt;=_slice!$H$6-0.000000001,K$15&lt;=_slice!$I$6+0.000000001,$B21&gt;=_slice!$H$7-0.000000001,$B21&lt;=_slice!$I$7+0.000000001,IF(01_因子設定!$B$20="Box-Behnken",K$15^2+$B21^2+_slice!$H$8&lt;=2+0.000000001,TRUE())),_slice!K88,"外")</f>
        <v>48.1780592105263</v>
      </c>
      <c r="L21" s="50" t="n">
        <f aca="false">IF(AND(_slice!$H$5=1,L$15&gt;=_slice!$H$6-0.000000001,L$15&lt;=_slice!$I$6+0.000000001,$B21&gt;=_slice!$H$7-0.000000001,$B21&lt;=_slice!$I$7+0.000000001,IF(01_因子設定!$B$20="Box-Behnken",L$15^2+$B21^2+_slice!$H$8&lt;=2+0.000000001,TRUE())),_slice!L88,"外")</f>
        <v>48.4973384502923</v>
      </c>
      <c r="M21" s="50" t="n">
        <f aca="false">IF(AND(_slice!$H$5=1,M$15&gt;=_slice!$H$6-0.000000001,M$15&lt;=_slice!$I$6+0.000000001,$B21&gt;=_slice!$H$7-0.000000001,$B21&lt;=_slice!$I$7+0.000000001,IF(01_因子設定!$B$20="Box-Behnken",M$15^2+$B21^2+_slice!$H$8&lt;=2+0.000000001,TRUE())),_slice!M88,"外")</f>
        <v>48.7649685672514</v>
      </c>
      <c r="N21" s="50" t="n">
        <f aca="false">IF(AND(_slice!$H$5=1,N$15&gt;=_slice!$H$6-0.000000001,N$15&lt;=_slice!$I$6+0.000000001,$B21&gt;=_slice!$H$7-0.000000001,$B21&lt;=_slice!$I$7+0.000000001,IF(01_因子設定!$B$20="Box-Behnken",N$15^2+$B21^2+_slice!$H$8&lt;=2+0.000000001,TRUE())),_slice!N88,"外")</f>
        <v>48.9809495614035</v>
      </c>
      <c r="O21" s="50" t="n">
        <f aca="false">IF(AND(_slice!$H$5=1,O$15&gt;=_slice!$H$6-0.000000001,O$15&lt;=_slice!$I$6+0.000000001,$B21&gt;=_slice!$H$7-0.000000001,$B21&lt;=_slice!$I$7+0.000000001,IF(01_因子設定!$B$20="Box-Behnken",O$15^2+$B21^2+_slice!$H$8&lt;=2+0.000000001,TRUE())),_slice!O88,"外")</f>
        <v>49.1452814327485</v>
      </c>
      <c r="P21" s="50" t="n">
        <f aca="false">IF(AND(_slice!$H$5=1,P$15&gt;=_slice!$H$6-0.000000001,P$15&lt;=_slice!$I$6+0.000000001,$B21&gt;=_slice!$H$7-0.000000001,$B21&lt;=_slice!$I$7+0.000000001,IF(01_因子設定!$B$20="Box-Behnken",P$15^2+$B21^2+_slice!$H$8&lt;=2+0.000000001,TRUE())),_slice!P88,"外")</f>
        <v>49.2579641812865</v>
      </c>
      <c r="Q21" s="50" t="n">
        <f aca="false">IF(AND(_slice!$H$5=1,Q$15&gt;=_slice!$H$6-0.000000001,Q$15&lt;=_slice!$I$6+0.000000001,$B21&gt;=_slice!$H$7-0.000000001,$B21&lt;=_slice!$I$7+0.000000001,IF(01_因子設定!$B$20="Box-Behnken",Q$15^2+$B21^2+_slice!$H$8&lt;=2+0.000000001,TRUE())),_slice!Q88,"外")</f>
        <v>49.3189978070175</v>
      </c>
      <c r="R21" s="50" t="n">
        <f aca="false">IF(AND(_slice!$H$5=1,R$15&gt;=_slice!$H$6-0.000000001,R$15&lt;=_slice!$I$6+0.000000001,$B21&gt;=_slice!$H$7-0.000000001,$B21&lt;=_slice!$I$7+0.000000001,IF(01_因子設定!$B$20="Box-Behnken",R$15^2+$B21^2+_slice!$H$8&lt;=2+0.000000001,TRUE())),_slice!R88,"外")</f>
        <v>49.3283823099415</v>
      </c>
      <c r="S21" s="50" t="n">
        <f aca="false">IF(AND(_slice!$H$5=1,S$15&gt;=_slice!$H$6-0.000000001,S$15&lt;=_slice!$I$6+0.000000001,$B21&gt;=_slice!$H$7-0.000000001,$B21&lt;=_slice!$I$7+0.000000001,IF(01_因子設定!$B$20="Box-Behnken",S$15^2+$B21^2+_slice!$H$8&lt;=2+0.000000001,TRUE())),_slice!S88,"外")</f>
        <v>49.2861176900585</v>
      </c>
      <c r="T21" s="50" t="n">
        <f aca="false">IF(AND(_slice!$H$5=1,T$15&gt;=_slice!$H$6-0.000000001,T$15&lt;=_slice!$I$6+0.000000001,$B21&gt;=_slice!$H$7-0.000000001,$B21&lt;=_slice!$I$7+0.000000001,IF(01_因子設定!$B$20="Box-Behnken",T$15^2+$B21^2+_slice!$H$8&lt;=2+0.000000001,TRUE())),_slice!T88,"外")</f>
        <v>49.1922039473684</v>
      </c>
      <c r="U21" s="50" t="n">
        <f aca="false">IF(AND(_slice!$H$5=1,U$15&gt;=_slice!$H$6-0.000000001,U$15&lt;=_slice!$I$6+0.000000001,$B21&gt;=_slice!$H$7-0.000000001,$B21&lt;=_slice!$I$7+0.000000001,IF(01_因子設定!$B$20="Box-Behnken",U$15^2+$B21^2+_slice!$H$8&lt;=2+0.000000001,TRUE())),_slice!U88,"外")</f>
        <v>49.0466410818714</v>
      </c>
      <c r="V21" s="50" t="n">
        <f aca="false">IF(AND(_slice!$H$5=1,V$15&gt;=_slice!$H$6-0.000000001,V$15&lt;=_slice!$I$6+0.000000001,$B21&gt;=_slice!$H$7-0.000000001,$B21&lt;=_slice!$I$7+0.000000001,IF(01_因子設定!$B$20="Box-Behnken",V$15^2+$B21^2+_slice!$H$8&lt;=2+0.000000001,TRUE())),_slice!V88,"外")</f>
        <v>48.8494290935673</v>
      </c>
      <c r="W21" s="50" t="n">
        <f aca="false">IF(AND(_slice!$H$5=1,W$15&gt;=_slice!$H$6-0.000000001,W$15&lt;=_slice!$I$6+0.000000001,$B21&gt;=_slice!$H$7-0.000000001,$B21&lt;=_slice!$I$7+0.000000001,IF(01_因子設定!$B$20="Box-Behnken",W$15^2+$B21^2+_slice!$H$8&lt;=2+0.000000001,TRUE())),_slice!W88,"外")</f>
        <v>48.6005679824562</v>
      </c>
    </row>
    <row r="22" customFormat="false" ht="15" hidden="false" customHeight="false" outlineLevel="0" collapsed="false">
      <c r="A22" s="49" t="n">
        <f aca="false">INDEX(01_因子設定!$G$5:$G$8,$C$5)+B22*INDEX(01_因子設定!$H$5:$H$8,$C$5)</f>
        <v>35</v>
      </c>
      <c r="B22" s="49" t="n">
        <v>0.5</v>
      </c>
      <c r="C22" s="50" t="n">
        <f aca="false">IF(AND(_slice!$H$5=1,C$15&gt;=_slice!$H$6-0.000000001,C$15&lt;=_slice!$I$6+0.000000001,$B22&gt;=_slice!$H$7-0.000000001,$B22&lt;=_slice!$I$7+0.000000001,IF(01_因子設定!$B$20="Box-Behnken",C$15^2+$B22^2+_slice!$H$8&lt;=2+0.000000001,TRUE())),_slice!C89,"外")</f>
        <v>43.9465826023392</v>
      </c>
      <c r="D22" s="50" t="n">
        <f aca="false">IF(AND(_slice!$H$5=1,D$15&gt;=_slice!$H$6-0.000000001,D$15&lt;=_slice!$I$6+0.000000001,$B22&gt;=_slice!$H$7-0.000000001,$B22&lt;=_slice!$I$7+0.000000001,IF(01_因子設定!$B$20="Box-Behnken",D$15^2+$B22^2+_slice!$H$8&lt;=2+0.000000001,TRUE())),_slice!D89,"外")</f>
        <v>44.6678048245614</v>
      </c>
      <c r="E22" s="50" t="n">
        <f aca="false">IF(AND(_slice!$H$5=1,E$15&gt;=_slice!$H$6-0.000000001,E$15&lt;=_slice!$I$6+0.000000001,$B22&gt;=_slice!$H$7-0.000000001,$B22&lt;=_slice!$I$7+0.000000001,IF(01_因子設定!$B$20="Box-Behnken",E$15^2+$B22^2+_slice!$H$8&lt;=2+0.000000001,TRUE())),_slice!E89,"外")</f>
        <v>45.3373779239766</v>
      </c>
      <c r="F22" s="50" t="n">
        <f aca="false">IF(AND(_slice!$H$5=1,F$15&gt;=_slice!$H$6-0.000000001,F$15&lt;=_slice!$I$6+0.000000001,$B22&gt;=_slice!$H$7-0.000000001,$B22&lt;=_slice!$I$7+0.000000001,IF(01_因子設定!$B$20="Box-Behnken",F$15^2+$B22^2+_slice!$H$8&lt;=2+0.000000001,TRUE())),_slice!F89,"外")</f>
        <v>45.9553019005848</v>
      </c>
      <c r="G22" s="50" t="n">
        <f aca="false">IF(AND(_slice!$H$5=1,G$15&gt;=_slice!$H$6-0.000000001,G$15&lt;=_slice!$I$6+0.000000001,$B22&gt;=_slice!$H$7-0.000000001,$B22&lt;=_slice!$I$7+0.000000001,IF(01_因子設定!$B$20="Box-Behnken",G$15^2+$B22^2+_slice!$H$8&lt;=2+0.000000001,TRUE())),_slice!G89,"外")</f>
        <v>46.521576754386</v>
      </c>
      <c r="H22" s="50" t="n">
        <f aca="false">IF(AND(_slice!$H$5=1,H$15&gt;=_slice!$H$6-0.000000001,H$15&lt;=_slice!$I$6+0.000000001,$B22&gt;=_slice!$H$7-0.000000001,$B22&lt;=_slice!$I$7+0.000000001,IF(01_因子設定!$B$20="Box-Behnken",H$15^2+$B22^2+_slice!$H$8&lt;=2+0.000000001,TRUE())),_slice!H89,"外")</f>
        <v>47.0362024853801</v>
      </c>
      <c r="I22" s="50" t="n">
        <f aca="false">IF(AND(_slice!$H$5=1,I$15&gt;=_slice!$H$6-0.000000001,I$15&lt;=_slice!$I$6+0.000000001,$B22&gt;=_slice!$H$7-0.000000001,$B22&lt;=_slice!$I$7+0.000000001,IF(01_因子設定!$B$20="Box-Behnken",I$15^2+$B22^2+_slice!$H$8&lt;=2+0.000000001,TRUE())),_slice!I89,"外")</f>
        <v>47.4991790935672</v>
      </c>
      <c r="J22" s="50" t="n">
        <f aca="false">IF(AND(_slice!$H$5=1,J$15&gt;=_slice!$H$6-0.000000001,J$15&lt;=_slice!$I$6+0.000000001,$B22&gt;=_slice!$H$7-0.000000001,$B22&lt;=_slice!$I$7+0.000000001,IF(01_因子設定!$B$20="Box-Behnken",J$15^2+$B22^2+_slice!$H$8&lt;=2+0.000000001,TRUE())),_slice!J89,"外")</f>
        <v>47.9105065789473</v>
      </c>
      <c r="K22" s="50" t="n">
        <f aca="false">IF(AND(_slice!$H$5=1,K$15&gt;=_slice!$H$6-0.000000001,K$15&lt;=_slice!$I$6+0.000000001,$B22&gt;=_slice!$H$7-0.000000001,$B22&lt;=_slice!$I$7+0.000000001,IF(01_因子設定!$B$20="Box-Behnken",K$15^2+$B22^2+_slice!$H$8&lt;=2+0.000000001,TRUE())),_slice!K89,"外")</f>
        <v>48.2701849415204</v>
      </c>
      <c r="L22" s="50" t="n">
        <f aca="false">IF(AND(_slice!$H$5=1,L$15&gt;=_slice!$H$6-0.000000001,L$15&lt;=_slice!$I$6+0.000000001,$B22&gt;=_slice!$H$7-0.000000001,$B22&lt;=_slice!$I$7+0.000000001,IF(01_因子設定!$B$20="Box-Behnken",L$15^2+$B22^2+_slice!$H$8&lt;=2+0.000000001,TRUE())),_slice!L89,"外")</f>
        <v>48.5782141812865</v>
      </c>
      <c r="M22" s="50" t="n">
        <f aca="false">IF(AND(_slice!$H$5=1,M$15&gt;=_slice!$H$6-0.000000001,M$15&lt;=_slice!$I$6+0.000000001,$B22&gt;=_slice!$H$7-0.000000001,$B22&lt;=_slice!$I$7+0.000000001,IF(01_因子設定!$B$20="Box-Behnken",M$15^2+$B22^2+_slice!$H$8&lt;=2+0.000000001,TRUE())),_slice!M89,"外")</f>
        <v>48.8345942982456</v>
      </c>
      <c r="N22" s="50" t="n">
        <f aca="false">IF(AND(_slice!$H$5=1,N$15&gt;=_slice!$H$6-0.000000001,N$15&lt;=_slice!$I$6+0.000000001,$B22&gt;=_slice!$H$7-0.000000001,$B22&lt;=_slice!$I$7+0.000000001,IF(01_因子設定!$B$20="Box-Behnken",N$15^2+$B22^2+_slice!$H$8&lt;=2+0.000000001,TRUE())),_slice!N89,"外")</f>
        <v>49.0393252923976</v>
      </c>
      <c r="O22" s="50" t="n">
        <f aca="false">IF(AND(_slice!$H$5=1,O$15&gt;=_slice!$H$6-0.000000001,O$15&lt;=_slice!$I$6+0.000000001,$B22&gt;=_slice!$H$7-0.000000001,$B22&lt;=_slice!$I$7+0.000000001,IF(01_因子設定!$B$20="Box-Behnken",O$15^2+$B22^2+_slice!$H$8&lt;=2+0.000000001,TRUE())),_slice!O89,"外")</f>
        <v>49.1924071637426</v>
      </c>
      <c r="P22" s="50" t="n">
        <f aca="false">IF(AND(_slice!$H$5=1,P$15&gt;=_slice!$H$6-0.000000001,P$15&lt;=_slice!$I$6+0.000000001,$B22&gt;=_slice!$H$7-0.000000001,$B22&lt;=_slice!$I$7+0.000000001,IF(01_因子設定!$B$20="Box-Behnken",P$15^2+$B22^2+_slice!$H$8&lt;=2+0.000000001,TRUE())),_slice!P89,"外")</f>
        <v>49.2938399122807</v>
      </c>
      <c r="Q22" s="50" t="n">
        <f aca="false">IF(AND(_slice!$H$5=1,Q$15&gt;=_slice!$H$6-0.000000001,Q$15&lt;=_slice!$I$6+0.000000001,$B22&gt;=_slice!$H$7-0.000000001,$B22&lt;=_slice!$I$7+0.000000001,IF(01_因子設定!$B$20="Box-Behnken",Q$15^2+$B22^2+_slice!$H$8&lt;=2+0.000000001,TRUE())),_slice!Q89,"外")</f>
        <v>49.3436235380117</v>
      </c>
      <c r="R22" s="50" t="n">
        <f aca="false">IF(AND(_slice!$H$5=1,R$15&gt;=_slice!$H$6-0.000000001,R$15&lt;=_slice!$I$6+0.000000001,$B22&gt;=_slice!$H$7-0.000000001,$B22&lt;=_slice!$I$7+0.000000001,IF(01_因子設定!$B$20="Box-Behnken",R$15^2+$B22^2+_slice!$H$8&lt;=2+0.000000001,TRUE())),_slice!R89,"外")</f>
        <v>49.3417580409356</v>
      </c>
      <c r="S22" s="50" t="n">
        <f aca="false">IF(AND(_slice!$H$5=1,S$15&gt;=_slice!$H$6-0.000000001,S$15&lt;=_slice!$I$6+0.000000001,$B22&gt;=_slice!$H$7-0.000000001,$B22&lt;=_slice!$I$7+0.000000001,IF(01_因子設定!$B$20="Box-Behnken",S$15^2+$B22^2+_slice!$H$8&lt;=2+0.000000001,TRUE())),_slice!S89,"外")</f>
        <v>49.2882434210526</v>
      </c>
      <c r="T22" s="50" t="n">
        <f aca="false">IF(AND(_slice!$H$5=1,T$15&gt;=_slice!$H$6-0.000000001,T$15&lt;=_slice!$I$6+0.000000001,$B22&gt;=_slice!$H$7-0.000000001,$B22&lt;=_slice!$I$7+0.000000001,IF(01_因子設定!$B$20="Box-Behnken",T$15^2+$B22^2+_slice!$H$8&lt;=2+0.000000001,TRUE())),_slice!T89,"外")</f>
        <v>49.1830796783626</v>
      </c>
      <c r="U22" s="50" t="n">
        <f aca="false">IF(AND(_slice!$H$5=1,U$15&gt;=_slice!$H$6-0.000000001,U$15&lt;=_slice!$I$6+0.000000001,$B22&gt;=_slice!$H$7-0.000000001,$B22&lt;=_slice!$I$7+0.000000001,IF(01_因子設定!$B$20="Box-Behnken",U$15^2+$B22^2+_slice!$H$8&lt;=2+0.000000001,TRUE())),_slice!U89,"外")</f>
        <v>49.0262668128655</v>
      </c>
      <c r="V22" s="50" t="n">
        <f aca="false">IF(AND(_slice!$H$5=1,V$15&gt;=_slice!$H$6-0.000000001,V$15&lt;=_slice!$I$6+0.000000001,$B22&gt;=_slice!$H$7-0.000000001,$B22&lt;=_slice!$I$7+0.000000001,IF(01_因子設定!$B$20="Box-Behnken",V$15^2+$B22^2+_slice!$H$8&lt;=2+0.000000001,TRUE())),_slice!V89,"外")</f>
        <v>48.8178048245614</v>
      </c>
      <c r="W22" s="50" t="n">
        <f aca="false">IF(AND(_slice!$H$5=1,W$15&gt;=_slice!$H$6-0.000000001,W$15&lt;=_slice!$I$6+0.000000001,$B22&gt;=_slice!$H$7-0.000000001,$B22&lt;=_slice!$I$7+0.000000001,IF(01_因子設定!$B$20="Box-Behnken",W$15^2+$B22^2+_slice!$H$8&lt;=2+0.000000001,TRUE())),_slice!W89,"外")</f>
        <v>48.5576937134503</v>
      </c>
    </row>
    <row r="23" customFormat="false" ht="15" hidden="false" customHeight="false" outlineLevel="0" collapsed="false">
      <c r="A23" s="49" t="n">
        <f aca="false">INDEX(01_因子設定!$G$5:$G$8,$C$5)+B23*INDEX(01_因子設定!$H$5:$H$8,$C$5)</f>
        <v>34</v>
      </c>
      <c r="B23" s="49" t="n">
        <v>0.4</v>
      </c>
      <c r="C23" s="50" t="n">
        <f aca="false">IF(AND(_slice!$H$5=1,C$15&gt;=_slice!$H$6-0.000000001,C$15&lt;=_slice!$I$6+0.000000001,$B23&gt;=_slice!$H$7-0.000000001,$B23&lt;=_slice!$I$7+0.000000001,IF(01_因子設定!$B$20="Box-Behnken",C$15^2+$B23^2+_slice!$H$8&lt;=2+0.000000001,TRUE())),_slice!C90,"外")</f>
        <v>44.0770592105264</v>
      </c>
      <c r="D23" s="50" t="n">
        <f aca="false">IF(AND(_slice!$H$5=1,D$15&gt;=_slice!$H$6-0.000000001,D$15&lt;=_slice!$I$6+0.000000001,$B23&gt;=_slice!$H$7-0.000000001,$B23&lt;=_slice!$I$7+0.000000001,IF(01_因子設定!$B$20="Box-Behnken",D$15^2+$B23^2+_slice!$H$8&lt;=2+0.000000001,TRUE())),_slice!D90,"外")</f>
        <v>44.7870314327486</v>
      </c>
      <c r="E23" s="50" t="n">
        <f aca="false">IF(AND(_slice!$H$5=1,E$15&gt;=_slice!$H$6-0.000000001,E$15&lt;=_slice!$I$6+0.000000001,$B23&gt;=_slice!$H$7-0.000000001,$B23&lt;=_slice!$I$7+0.000000001,IF(01_因子設定!$B$20="Box-Behnken",E$15^2+$B23^2+_slice!$H$8&lt;=2+0.000000001,TRUE())),_slice!E90,"外")</f>
        <v>45.4453545321638</v>
      </c>
      <c r="F23" s="50" t="n">
        <f aca="false">IF(AND(_slice!$H$5=1,F$15&gt;=_slice!$H$6-0.000000001,F$15&lt;=_slice!$I$6+0.000000001,$B23&gt;=_slice!$H$7-0.000000001,$B23&lt;=_slice!$I$7+0.000000001,IF(01_因子設定!$B$20="Box-Behnken",F$15^2+$B23^2+_slice!$H$8&lt;=2+0.000000001,TRUE())),_slice!F90,"外")</f>
        <v>46.0520285087719</v>
      </c>
      <c r="G23" s="50" t="n">
        <f aca="false">IF(AND(_slice!$H$5=1,G$15&gt;=_slice!$H$6-0.000000001,G$15&lt;=_slice!$I$6+0.000000001,$B23&gt;=_slice!$H$7-0.000000001,$B23&lt;=_slice!$I$7+0.000000001,IF(01_因子設定!$B$20="Box-Behnken",G$15^2+$B23^2+_slice!$H$8&lt;=2+0.000000001,TRUE())),_slice!G90,"外")</f>
        <v>46.6070533625731</v>
      </c>
      <c r="H23" s="50" t="n">
        <f aca="false">IF(AND(_slice!$H$5=1,H$15&gt;=_slice!$H$6-0.000000001,H$15&lt;=_slice!$I$6+0.000000001,$B23&gt;=_slice!$H$7-0.000000001,$B23&lt;=_slice!$I$7+0.000000001,IF(01_因子設定!$B$20="Box-Behnken",H$15^2+$B23^2+_slice!$H$8&lt;=2+0.000000001,TRUE())),_slice!H90,"外")</f>
        <v>47.1104290935672</v>
      </c>
      <c r="I23" s="50" t="n">
        <f aca="false">IF(AND(_slice!$H$5=1,I$15&gt;=_slice!$H$6-0.000000001,I$15&lt;=_slice!$I$6+0.000000001,$B23&gt;=_slice!$H$7-0.000000001,$B23&lt;=_slice!$I$7+0.000000001,IF(01_因子設定!$B$20="Box-Behnken",I$15^2+$B23^2+_slice!$H$8&lt;=2+0.000000001,TRUE())),_slice!I90,"外")</f>
        <v>47.5621557017544</v>
      </c>
      <c r="J23" s="50" t="n">
        <f aca="false">IF(AND(_slice!$H$5=1,J$15&gt;=_slice!$H$6-0.000000001,J$15&lt;=_slice!$I$6+0.000000001,$B23&gt;=_slice!$H$7-0.000000001,$B23&lt;=_slice!$I$7+0.000000001,IF(01_因子設定!$B$20="Box-Behnken",J$15^2+$B23^2+_slice!$H$8&lt;=2+0.000000001,TRUE())),_slice!J90,"外")</f>
        <v>47.9622331871345</v>
      </c>
      <c r="K23" s="50" t="n">
        <f aca="false">IF(AND(_slice!$H$5=1,K$15&gt;=_slice!$H$6-0.000000001,K$15&lt;=_slice!$I$6+0.000000001,$B23&gt;=_slice!$H$7-0.000000001,$B23&lt;=_slice!$I$7+0.000000001,IF(01_因子設定!$B$20="Box-Behnken",K$15^2+$B23^2+_slice!$H$8&lt;=2+0.000000001,TRUE())),_slice!K90,"外")</f>
        <v>48.3106615497076</v>
      </c>
      <c r="L23" s="50" t="n">
        <f aca="false">IF(AND(_slice!$H$5=1,L$15&gt;=_slice!$H$6-0.000000001,L$15&lt;=_slice!$I$6+0.000000001,$B23&gt;=_slice!$H$7-0.000000001,$B23&lt;=_slice!$I$7+0.000000001,IF(01_因子設定!$B$20="Box-Behnken",L$15^2+$B23^2+_slice!$H$8&lt;=2+0.000000001,TRUE())),_slice!L90,"外")</f>
        <v>48.6074407894736</v>
      </c>
      <c r="M23" s="50" t="n">
        <f aca="false">IF(AND(_slice!$H$5=1,M$15&gt;=_slice!$H$6-0.000000001,M$15&lt;=_slice!$I$6+0.000000001,$B23&gt;=_slice!$H$7-0.000000001,$B23&lt;=_slice!$I$7+0.000000001,IF(01_因子設定!$B$20="Box-Behnken",M$15^2+$B23^2+_slice!$H$8&lt;=2+0.000000001,TRUE())),_slice!M90,"外")</f>
        <v>48.8525709064327</v>
      </c>
      <c r="N23" s="50" t="n">
        <f aca="false">IF(AND(_slice!$H$5=1,N$15&gt;=_slice!$H$6-0.000000001,N$15&lt;=_slice!$I$6+0.000000001,$B23&gt;=_slice!$H$7-0.000000001,$B23&lt;=_slice!$I$7+0.000000001,IF(01_因子設定!$B$20="Box-Behnken",N$15^2+$B23^2+_slice!$H$8&lt;=2+0.000000001,TRUE())),_slice!N90,"外")</f>
        <v>49.0460519005847</v>
      </c>
      <c r="O23" s="50" t="n">
        <f aca="false">IF(AND(_slice!$H$5=1,O$15&gt;=_slice!$H$6-0.000000001,O$15&lt;=_slice!$I$6+0.000000001,$B23&gt;=_slice!$H$7-0.000000001,$B23&lt;=_slice!$I$7+0.000000001,IF(01_因子設定!$B$20="Box-Behnken",O$15^2+$B23^2+_slice!$H$8&lt;=2+0.000000001,TRUE())),_slice!O90,"外")</f>
        <v>49.1878837719298</v>
      </c>
      <c r="P23" s="50" t="n">
        <f aca="false">IF(AND(_slice!$H$5=1,P$15&gt;=_slice!$H$6-0.000000001,P$15&lt;=_slice!$I$6+0.000000001,$B23&gt;=_slice!$H$7-0.000000001,$B23&lt;=_slice!$I$7+0.000000001,IF(01_因子設定!$B$20="Box-Behnken",P$15^2+$B23^2+_slice!$H$8&lt;=2+0.000000001,TRUE())),_slice!P90,"外")</f>
        <v>49.2780665204678</v>
      </c>
      <c r="Q23" s="50" t="n">
        <f aca="false">IF(AND(_slice!$H$5=1,Q$15&gt;=_slice!$H$6-0.000000001,Q$15&lt;=_slice!$I$6+0.000000001,$B23&gt;=_slice!$H$7-0.000000001,$B23&lt;=_slice!$I$7+0.000000001,IF(01_因子設定!$B$20="Box-Behnken",Q$15^2+$B23^2+_slice!$H$8&lt;=2+0.000000001,TRUE())),_slice!Q90,"外")</f>
        <v>49.3166001461988</v>
      </c>
      <c r="R23" s="50" t="n">
        <f aca="false">IF(AND(_slice!$H$5=1,R$15&gt;=_slice!$H$6-0.000000001,R$15&lt;=_slice!$I$6+0.000000001,$B23&gt;=_slice!$H$7-0.000000001,$B23&lt;=_slice!$I$7+0.000000001,IF(01_因子設定!$B$20="Box-Behnken",R$15^2+$B23^2+_slice!$H$8&lt;=2+0.000000001,TRUE())),_slice!R90,"外")</f>
        <v>49.3034846491228</v>
      </c>
      <c r="S23" s="50" t="n">
        <f aca="false">IF(AND(_slice!$H$5=1,S$15&gt;=_slice!$H$6-0.000000001,S$15&lt;=_slice!$I$6+0.000000001,$B23&gt;=_slice!$H$7-0.000000001,$B23&lt;=_slice!$I$7+0.000000001,IF(01_因子設定!$B$20="Box-Behnken",S$15^2+$B23^2+_slice!$H$8&lt;=2+0.000000001,TRUE())),_slice!S90,"外")</f>
        <v>49.2387200292398</v>
      </c>
      <c r="T23" s="50" t="n">
        <f aca="false">IF(AND(_slice!$H$5=1,T$15&gt;=_slice!$H$6-0.000000001,T$15&lt;=_slice!$I$6+0.000000001,$B23&gt;=_slice!$H$7-0.000000001,$B23&lt;=_slice!$I$7+0.000000001,IF(01_因子設定!$B$20="Box-Behnken",T$15^2+$B23^2+_slice!$H$8&lt;=2+0.000000001,TRUE())),_slice!T90,"外")</f>
        <v>49.1223062865497</v>
      </c>
      <c r="U23" s="50" t="n">
        <f aca="false">IF(AND(_slice!$H$5=1,U$15&gt;=_slice!$H$6-0.000000001,U$15&lt;=_slice!$I$6+0.000000001,$B23&gt;=_slice!$H$7-0.000000001,$B23&lt;=_slice!$I$7+0.000000001,IF(01_因子設定!$B$20="Box-Behnken",U$15^2+$B23^2+_slice!$H$8&lt;=2+0.000000001,TRUE())),_slice!U90,"外")</f>
        <v>48.9542434210526</v>
      </c>
      <c r="V23" s="50" t="n">
        <f aca="false">IF(AND(_slice!$H$5=1,V$15&gt;=_slice!$H$6-0.000000001,V$15&lt;=_slice!$I$6+0.000000001,$B23&gt;=_slice!$H$7-0.000000001,$B23&lt;=_slice!$I$7+0.000000001,IF(01_因子設定!$B$20="Box-Behnken",V$15^2+$B23^2+_slice!$H$8&lt;=2+0.000000001,TRUE())),_slice!V90,"外")</f>
        <v>48.7345314327486</v>
      </c>
      <c r="W23" s="50" t="n">
        <f aca="false">IF(AND(_slice!$H$5=1,W$15&gt;=_slice!$H$6-0.000000001,W$15&lt;=_slice!$I$6+0.000000001,$B23&gt;=_slice!$H$7-0.000000001,$B23&lt;=_slice!$I$7+0.000000001,IF(01_因子設定!$B$20="Box-Behnken",W$15^2+$B23^2+_slice!$H$8&lt;=2+0.000000001,TRUE())),_slice!W90,"外")</f>
        <v>48.4631703216375</v>
      </c>
    </row>
    <row r="24" customFormat="false" ht="15" hidden="false" customHeight="false" outlineLevel="0" collapsed="false">
      <c r="A24" s="49" t="n">
        <f aca="false">INDEX(01_因子設定!$G$5:$G$8,$C$5)+B24*INDEX(01_因子設定!$H$5:$H$8,$C$5)</f>
        <v>33</v>
      </c>
      <c r="B24" s="49" t="n">
        <v>0.3</v>
      </c>
      <c r="C24" s="50" t="n">
        <f aca="false">IF(AND(_slice!$H$5=1,C$15&gt;=_slice!$H$6-0.000000001,C$15&lt;=_slice!$I$6+0.000000001,$B24&gt;=_slice!$H$7-0.000000001,$B24&lt;=_slice!$I$7+0.000000001,IF(01_因子設定!$B$20="Box-Behnken",C$15^2+$B24^2+_slice!$H$8&lt;=2+0.000000001,TRUE())),_slice!C91,"外")</f>
        <v>44.1558866959065</v>
      </c>
      <c r="D24" s="50" t="n">
        <f aca="false">IF(AND(_slice!$H$5=1,D$15&gt;=_slice!$H$6-0.000000001,D$15&lt;=_slice!$I$6+0.000000001,$B24&gt;=_slice!$H$7-0.000000001,$B24&lt;=_slice!$I$7+0.000000001,IF(01_因子設定!$B$20="Box-Behnken",D$15^2+$B24^2+_slice!$H$8&lt;=2+0.000000001,TRUE())),_slice!D91,"外")</f>
        <v>44.8546089181287</v>
      </c>
      <c r="E24" s="50" t="n">
        <f aca="false">IF(AND(_slice!$H$5=1,E$15&gt;=_slice!$H$6-0.000000001,E$15&lt;=_slice!$I$6+0.000000001,$B24&gt;=_slice!$H$7-0.000000001,$B24&lt;=_slice!$I$7+0.000000001,IF(01_因子設定!$B$20="Box-Behnken",E$15^2+$B24^2+_slice!$H$8&lt;=2+0.000000001,TRUE())),_slice!E91,"外")</f>
        <v>45.5016820175439</v>
      </c>
      <c r="F24" s="50" t="n">
        <f aca="false">IF(AND(_slice!$H$5=1,F$15&gt;=_slice!$H$6-0.000000001,F$15&lt;=_slice!$I$6+0.000000001,$B24&gt;=_slice!$H$7-0.000000001,$B24&lt;=_slice!$I$7+0.000000001,IF(01_因子設定!$B$20="Box-Behnken",F$15^2+$B24^2+_slice!$H$8&lt;=2+0.000000001,TRUE())),_slice!F91,"外")</f>
        <v>46.097105994152</v>
      </c>
      <c r="G24" s="50" t="n">
        <f aca="false">IF(AND(_slice!$H$5=1,G$15&gt;=_slice!$H$6-0.000000001,G$15&lt;=_slice!$I$6+0.000000001,$B24&gt;=_slice!$H$7-0.000000001,$B24&lt;=_slice!$I$7+0.000000001,IF(01_因子設定!$B$20="Box-Behnken",G$15^2+$B24^2+_slice!$H$8&lt;=2+0.000000001,TRUE())),_slice!G91,"外")</f>
        <v>46.6408808479532</v>
      </c>
      <c r="H24" s="50" t="n">
        <f aca="false">IF(AND(_slice!$H$5=1,H$15&gt;=_slice!$H$6-0.000000001,H$15&lt;=_slice!$I$6+0.000000001,$B24&gt;=_slice!$H$7-0.000000001,$B24&lt;=_slice!$I$7+0.000000001,IF(01_因子設定!$B$20="Box-Behnken",H$15^2+$B24^2+_slice!$H$8&lt;=2+0.000000001,TRUE())),_slice!H91,"外")</f>
        <v>47.1330065789473</v>
      </c>
      <c r="I24" s="50" t="n">
        <f aca="false">IF(AND(_slice!$H$5=1,I$15&gt;=_slice!$H$6-0.000000001,I$15&lt;=_slice!$I$6+0.000000001,$B24&gt;=_slice!$H$7-0.000000001,$B24&lt;=_slice!$I$7+0.000000001,IF(01_因子設定!$B$20="Box-Behnken",I$15^2+$B24^2+_slice!$H$8&lt;=2+0.000000001,TRUE())),_slice!I91,"外")</f>
        <v>47.5734831871345</v>
      </c>
      <c r="J24" s="50" t="n">
        <f aca="false">IF(AND(_slice!$H$5=1,J$15&gt;=_slice!$H$6-0.000000001,J$15&lt;=_slice!$I$6+0.000000001,$B24&gt;=_slice!$H$7-0.000000001,$B24&lt;=_slice!$I$7+0.000000001,IF(01_因子設定!$B$20="Box-Behnken",J$15^2+$B24^2+_slice!$H$8&lt;=2+0.000000001,TRUE())),_slice!J91,"外")</f>
        <v>47.9623106725146</v>
      </c>
      <c r="K24" s="50" t="n">
        <f aca="false">IF(AND(_slice!$H$5=1,K$15&gt;=_slice!$H$6-0.000000001,K$15&lt;=_slice!$I$6+0.000000001,$B24&gt;=_slice!$H$7-0.000000001,$B24&lt;=_slice!$I$7+0.000000001,IF(01_因子設定!$B$20="Box-Behnken",K$15^2+$B24^2+_slice!$H$8&lt;=2+0.000000001,TRUE())),_slice!K91,"外")</f>
        <v>48.2994890350877</v>
      </c>
      <c r="L24" s="50" t="n">
        <f aca="false">IF(AND(_slice!$H$5=1,L$15&gt;=_slice!$H$6-0.000000001,L$15&lt;=_slice!$I$6+0.000000001,$B24&gt;=_slice!$H$7-0.000000001,$B24&lt;=_slice!$I$7+0.000000001,IF(01_因子設定!$B$20="Box-Behnken",L$15^2+$B24^2+_slice!$H$8&lt;=2+0.000000001,TRUE())),_slice!L91,"外")</f>
        <v>48.5850182748537</v>
      </c>
      <c r="M24" s="50" t="n">
        <f aca="false">IF(AND(_slice!$H$5=1,M$15&gt;=_slice!$H$6-0.000000001,M$15&lt;=_slice!$I$6+0.000000001,$B24&gt;=_slice!$H$7-0.000000001,$B24&lt;=_slice!$I$7+0.000000001,IF(01_因子設定!$B$20="Box-Behnken",M$15^2+$B24^2+_slice!$H$8&lt;=2+0.000000001,TRUE())),_slice!M91,"外")</f>
        <v>48.8188983918128</v>
      </c>
      <c r="N24" s="50" t="n">
        <f aca="false">IF(AND(_slice!$H$5=1,N$15&gt;=_slice!$H$6-0.000000001,N$15&lt;=_slice!$I$6+0.000000001,$B24&gt;=_slice!$H$7-0.000000001,$B24&lt;=_slice!$I$7+0.000000001,IF(01_因子設定!$B$20="Box-Behnken",N$15^2+$B24^2+_slice!$H$8&lt;=2+0.000000001,TRUE())),_slice!N91,"外")</f>
        <v>49.0011293859649</v>
      </c>
      <c r="O24" s="50" t="n">
        <f aca="false">IF(AND(_slice!$H$5=1,O$15&gt;=_slice!$H$6-0.000000001,O$15&lt;=_slice!$I$6+0.000000001,$B24&gt;=_slice!$H$7-0.000000001,$B24&lt;=_slice!$I$7+0.000000001,IF(01_因子設定!$B$20="Box-Behnken",O$15^2+$B24^2+_slice!$H$8&lt;=2+0.000000001,TRUE())),_slice!O91,"外")</f>
        <v>49.1317112573099</v>
      </c>
      <c r="P24" s="50" t="n">
        <f aca="false">IF(AND(_slice!$H$5=1,P$15&gt;=_slice!$H$6-0.000000001,P$15&lt;=_slice!$I$6+0.000000001,$B24&gt;=_slice!$H$7-0.000000001,$B24&lt;=_slice!$I$7+0.000000001,IF(01_因子設定!$B$20="Box-Behnken",P$15^2+$B24^2+_slice!$H$8&lt;=2+0.000000001,TRUE())),_slice!P91,"外")</f>
        <v>49.2106440058479</v>
      </c>
      <c r="Q24" s="50" t="n">
        <f aca="false">IF(AND(_slice!$H$5=1,Q$15&gt;=_slice!$H$6-0.000000001,Q$15&lt;=_slice!$I$6+0.000000001,$B24&gt;=_slice!$H$7-0.000000001,$B24&lt;=_slice!$I$7+0.000000001,IF(01_因子設定!$B$20="Box-Behnken",Q$15^2+$B24^2+_slice!$H$8&lt;=2+0.000000001,TRUE())),_slice!Q91,"外")</f>
        <v>49.2379276315789</v>
      </c>
      <c r="R24" s="50" t="n">
        <f aca="false">IF(AND(_slice!$H$5=1,R$15&gt;=_slice!$H$6-0.000000001,R$15&lt;=_slice!$I$6+0.000000001,$B24&gt;=_slice!$H$7-0.000000001,$B24&lt;=_slice!$I$7+0.000000001,IF(01_因子設定!$B$20="Box-Behnken",R$15^2+$B24^2+_slice!$H$8&lt;=2+0.000000001,TRUE())),_slice!R91,"外")</f>
        <v>49.2135621345029</v>
      </c>
      <c r="S24" s="50" t="n">
        <f aca="false">IF(AND(_slice!$H$5=1,S$15&gt;=_slice!$H$6-0.000000001,S$15&lt;=_slice!$I$6+0.000000001,$B24&gt;=_slice!$H$7-0.000000001,$B24&lt;=_slice!$I$7+0.000000001,IF(01_因子設定!$B$20="Box-Behnken",S$15^2+$B24^2+_slice!$H$8&lt;=2+0.000000001,TRUE())),_slice!S91,"外")</f>
        <v>49.1375475146199</v>
      </c>
      <c r="T24" s="50" t="n">
        <f aca="false">IF(AND(_slice!$H$5=1,T$15&gt;=_slice!$H$6-0.000000001,T$15&lt;=_slice!$I$6+0.000000001,$B24&gt;=_slice!$H$7-0.000000001,$B24&lt;=_slice!$I$7+0.000000001,IF(01_因子設定!$B$20="Box-Behnken",T$15^2+$B24^2+_slice!$H$8&lt;=2+0.000000001,TRUE())),_slice!T91,"外")</f>
        <v>49.0098837719298</v>
      </c>
      <c r="U24" s="50" t="n">
        <f aca="false">IF(AND(_slice!$H$5=1,U$15&gt;=_slice!$H$6-0.000000001,U$15&lt;=_slice!$I$6+0.000000001,$B24&gt;=_slice!$H$7-0.000000001,$B24&lt;=_slice!$I$7+0.000000001,IF(01_因子設定!$B$20="Box-Behnken",U$15^2+$B24^2+_slice!$H$8&lt;=2+0.000000001,TRUE())),_slice!U91,"外")</f>
        <v>48.8305709064328</v>
      </c>
      <c r="V24" s="50" t="n">
        <f aca="false">IF(AND(_slice!$H$5=1,V$15&gt;=_slice!$H$6-0.000000001,V$15&lt;=_slice!$I$6+0.000000001,$B24&gt;=_slice!$H$7-0.000000001,$B24&lt;=_slice!$I$7+0.000000001,IF(01_因子設定!$B$20="Box-Behnken",V$15^2+$B24^2+_slice!$H$8&lt;=2+0.000000001,TRUE())),_slice!V91,"外")</f>
        <v>48.5996089181287</v>
      </c>
      <c r="W24" s="50" t="n">
        <f aca="false">IF(AND(_slice!$H$5=1,W$15&gt;=_slice!$H$6-0.000000001,W$15&lt;=_slice!$I$6+0.000000001,$B24&gt;=_slice!$H$7-0.000000001,$B24&lt;=_slice!$I$7+0.000000001,IF(01_因子設定!$B$20="Box-Behnken",W$15^2+$B24^2+_slice!$H$8&lt;=2+0.000000001,TRUE())),_slice!W91,"外")</f>
        <v>48.3169978070176</v>
      </c>
    </row>
    <row r="25" customFormat="false" ht="15" hidden="false" customHeight="false" outlineLevel="0" collapsed="false">
      <c r="A25" s="49" t="n">
        <f aca="false">INDEX(01_因子設定!$G$5:$G$8,$C$5)+B25*INDEX(01_因子設定!$H$5:$H$8,$C$5)</f>
        <v>32</v>
      </c>
      <c r="B25" s="49" t="n">
        <v>0.2</v>
      </c>
      <c r="C25" s="50" t="n">
        <f aca="false">IF(AND(_slice!$H$5=1,C$15&gt;=_slice!$H$6-0.000000001,C$15&lt;=_slice!$I$6+0.000000001,$B25&gt;=_slice!$H$7-0.000000001,$B25&lt;=_slice!$I$7+0.000000001,IF(01_因子設定!$B$20="Box-Behnken",C$15^2+$B25^2+_slice!$H$8&lt;=2+0.000000001,TRUE())),_slice!C92,"外")</f>
        <v>44.1830650584796</v>
      </c>
      <c r="D25" s="50" t="n">
        <f aca="false">IF(AND(_slice!$H$5=1,D$15&gt;=_slice!$H$6-0.000000001,D$15&lt;=_slice!$I$6+0.000000001,$B25&gt;=_slice!$H$7-0.000000001,$B25&lt;=_slice!$I$7+0.000000001,IF(01_因子設定!$B$20="Box-Behnken",D$15^2+$B25^2+_slice!$H$8&lt;=2+0.000000001,TRUE())),_slice!D92,"外")</f>
        <v>44.8705372807018</v>
      </c>
      <c r="E25" s="50" t="n">
        <f aca="false">IF(AND(_slice!$H$5=1,E$15&gt;=_slice!$H$6-0.000000001,E$15&lt;=_slice!$I$6+0.000000001,$B25&gt;=_slice!$H$7-0.000000001,$B25&lt;=_slice!$I$7+0.000000001,IF(01_因子設定!$B$20="Box-Behnken",E$15^2+$B25^2+_slice!$H$8&lt;=2+0.000000001,TRUE())),_slice!E92,"外")</f>
        <v>45.506360380117</v>
      </c>
      <c r="F25" s="50" t="n">
        <f aca="false">IF(AND(_slice!$H$5=1,F$15&gt;=_slice!$H$6-0.000000001,F$15&lt;=_slice!$I$6+0.000000001,$B25&gt;=_slice!$H$7-0.000000001,$B25&lt;=_slice!$I$7+0.000000001,IF(01_因子設定!$B$20="Box-Behnken",F$15^2+$B25^2+_slice!$H$8&lt;=2+0.000000001,TRUE())),_slice!F92,"外")</f>
        <v>46.0905343567251</v>
      </c>
      <c r="G25" s="50" t="n">
        <f aca="false">IF(AND(_slice!$H$5=1,G$15&gt;=_slice!$H$6-0.000000001,G$15&lt;=_slice!$I$6+0.000000001,$B25&gt;=_slice!$H$7-0.000000001,$B25&lt;=_slice!$I$7+0.000000001,IF(01_因子設定!$B$20="Box-Behnken",G$15^2+$B25^2+_slice!$H$8&lt;=2+0.000000001,TRUE())),_slice!G92,"外")</f>
        <v>46.6230592105263</v>
      </c>
      <c r="H25" s="50" t="n">
        <f aca="false">IF(AND(_slice!$H$5=1,H$15&gt;=_slice!$H$6-0.000000001,H$15&lt;=_slice!$I$6+0.000000001,$B25&gt;=_slice!$H$7-0.000000001,$B25&lt;=_slice!$I$7+0.000000001,IF(01_因子設定!$B$20="Box-Behnken",H$15^2+$B25^2+_slice!$H$8&lt;=2+0.000000001,TRUE())),_slice!H92,"外")</f>
        <v>47.1039349415204</v>
      </c>
      <c r="I25" s="50" t="n">
        <f aca="false">IF(AND(_slice!$H$5=1,I$15&gt;=_slice!$H$6-0.000000001,I$15&lt;=_slice!$I$6+0.000000001,$B25&gt;=_slice!$H$7-0.000000001,$B25&lt;=_slice!$I$7+0.000000001,IF(01_因子設定!$B$20="Box-Behnken",I$15^2+$B25^2+_slice!$H$8&lt;=2+0.000000001,TRUE())),_slice!I92,"外")</f>
        <v>47.5331615497076</v>
      </c>
      <c r="J25" s="50" t="n">
        <f aca="false">IF(AND(_slice!$H$5=1,J$15&gt;=_slice!$H$6-0.000000001,J$15&lt;=_slice!$I$6+0.000000001,$B25&gt;=_slice!$H$7-0.000000001,$B25&lt;=_slice!$I$7+0.000000001,IF(01_因子設定!$B$20="Box-Behnken",J$15^2+$B25^2+_slice!$H$8&lt;=2+0.000000001,TRUE())),_slice!J92,"外")</f>
        <v>47.9107390350877</v>
      </c>
      <c r="K25" s="50" t="n">
        <f aca="false">IF(AND(_slice!$H$5=1,K$15&gt;=_slice!$H$6-0.000000001,K$15&lt;=_slice!$I$6+0.000000001,$B25&gt;=_slice!$H$7-0.000000001,$B25&lt;=_slice!$I$7+0.000000001,IF(01_因子設定!$B$20="Box-Behnken",K$15^2+$B25^2+_slice!$H$8&lt;=2+0.000000001,TRUE())),_slice!K92,"外")</f>
        <v>48.2366673976608</v>
      </c>
      <c r="L25" s="50" t="n">
        <f aca="false">IF(AND(_slice!$H$5=1,L$15&gt;=_slice!$H$6-0.000000001,L$15&lt;=_slice!$I$6+0.000000001,$B25&gt;=_slice!$H$7-0.000000001,$B25&lt;=_slice!$I$7+0.000000001,IF(01_因子設定!$B$20="Box-Behnken",L$15^2+$B25^2+_slice!$H$8&lt;=2+0.000000001,TRUE())),_slice!L92,"外")</f>
        <v>48.5109466374269</v>
      </c>
      <c r="M25" s="50" t="n">
        <f aca="false">IF(AND(_slice!$H$5=1,M$15&gt;=_slice!$H$6-0.000000001,M$15&lt;=_slice!$I$6+0.000000001,$B25&gt;=_slice!$H$7-0.000000001,$B25&lt;=_slice!$I$7+0.000000001,IF(01_因子設定!$B$20="Box-Behnken",M$15^2+$B25^2+_slice!$H$8&lt;=2+0.000000001,TRUE())),_slice!M92,"外")</f>
        <v>48.7335767543859</v>
      </c>
      <c r="N25" s="50" t="n">
        <f aca="false">IF(AND(_slice!$H$5=1,N$15&gt;=_slice!$H$6-0.000000001,N$15&lt;=_slice!$I$6+0.000000001,$B25&gt;=_slice!$H$7-0.000000001,$B25&lt;=_slice!$I$7+0.000000001,IF(01_因子設定!$B$20="Box-Behnken",N$15^2+$B25^2+_slice!$H$8&lt;=2+0.000000001,TRUE())),_slice!N92,"外")</f>
        <v>48.904557748538</v>
      </c>
      <c r="O25" s="50" t="n">
        <f aca="false">IF(AND(_slice!$H$5=1,O$15&gt;=_slice!$H$6-0.000000001,O$15&lt;=_slice!$I$6+0.000000001,$B25&gt;=_slice!$H$7-0.000000001,$B25&lt;=_slice!$I$7+0.000000001,IF(01_因子設定!$B$20="Box-Behnken",O$15^2+$B25^2+_slice!$H$8&lt;=2+0.000000001,TRUE())),_slice!O92,"外")</f>
        <v>49.023889619883</v>
      </c>
      <c r="P25" s="50" t="n">
        <f aca="false">IF(AND(_slice!$H$5=1,P$15&gt;=_slice!$H$6-0.000000001,P$15&lt;=_slice!$I$6+0.000000001,$B25&gt;=_slice!$H$7-0.000000001,$B25&lt;=_slice!$I$7+0.000000001,IF(01_因子設定!$B$20="Box-Behnken",P$15^2+$B25^2+_slice!$H$8&lt;=2+0.000000001,TRUE())),_slice!P92,"外")</f>
        <v>49.091572368421</v>
      </c>
      <c r="Q25" s="50" t="n">
        <f aca="false">IF(AND(_slice!$H$5=1,Q$15&gt;=_slice!$H$6-0.000000001,Q$15&lt;=_slice!$I$6+0.000000001,$B25&gt;=_slice!$H$7-0.000000001,$B25&lt;=_slice!$I$7+0.000000001,IF(01_因子設定!$B$20="Box-Behnken",Q$15^2+$B25^2+_slice!$H$8&lt;=2+0.000000001,TRUE())),_slice!Q92,"外")</f>
        <v>49.107605994152</v>
      </c>
      <c r="R25" s="50" t="n">
        <f aca="false">IF(AND(_slice!$H$5=1,R$15&gt;=_slice!$H$6-0.000000001,R$15&lt;=_slice!$I$6+0.000000001,$B25&gt;=_slice!$H$7-0.000000001,$B25&lt;=_slice!$I$7+0.000000001,IF(01_因子設定!$B$20="Box-Behnken",R$15^2+$B25^2+_slice!$H$8&lt;=2+0.000000001,TRUE())),_slice!R92,"外")</f>
        <v>49.071990497076</v>
      </c>
      <c r="S25" s="50" t="n">
        <f aca="false">IF(AND(_slice!$H$5=1,S$15&gt;=_slice!$H$6-0.000000001,S$15&lt;=_slice!$I$6+0.000000001,$B25&gt;=_slice!$H$7-0.000000001,$B25&lt;=_slice!$I$7+0.000000001,IF(01_因子設定!$B$20="Box-Behnken",S$15^2+$B25^2+_slice!$H$8&lt;=2+0.000000001,TRUE())),_slice!S92,"外")</f>
        <v>48.984725877193</v>
      </c>
      <c r="T25" s="50" t="n">
        <f aca="false">IF(AND(_slice!$H$5=1,T$15&gt;=_slice!$H$6-0.000000001,T$15&lt;=_slice!$I$6+0.000000001,$B25&gt;=_slice!$H$7-0.000000001,$B25&lt;=_slice!$I$7+0.000000001,IF(01_因子設定!$B$20="Box-Behnken",T$15^2+$B25^2+_slice!$H$8&lt;=2+0.000000001,TRUE())),_slice!T92,"外")</f>
        <v>48.8458121345029</v>
      </c>
      <c r="U25" s="50" t="n">
        <f aca="false">IF(AND(_slice!$H$5=1,U$15&gt;=_slice!$H$6-0.000000001,U$15&lt;=_slice!$I$6+0.000000001,$B25&gt;=_slice!$H$7-0.000000001,$B25&lt;=_slice!$I$7+0.000000001,IF(01_因子設定!$B$20="Box-Behnken",U$15^2+$B25^2+_slice!$H$8&lt;=2+0.000000001,TRUE())),_slice!U92,"外")</f>
        <v>48.6552492690059</v>
      </c>
      <c r="V25" s="50" t="n">
        <f aca="false">IF(AND(_slice!$H$5=1,V$15&gt;=_slice!$H$6-0.000000001,V$15&lt;=_slice!$I$6+0.000000001,$B25&gt;=_slice!$H$7-0.000000001,$B25&lt;=_slice!$I$7+0.000000001,IF(01_因子設定!$B$20="Box-Behnken",V$15^2+$B25^2+_slice!$H$8&lt;=2+0.000000001,TRUE())),_slice!V92,"外")</f>
        <v>48.4130372807018</v>
      </c>
      <c r="W25" s="50" t="n">
        <f aca="false">IF(AND(_slice!$H$5=1,W$15&gt;=_slice!$H$6-0.000000001,W$15&lt;=_slice!$I$6+0.000000001,$B25&gt;=_slice!$H$7-0.000000001,$B25&lt;=_slice!$I$7+0.000000001,IF(01_因子設定!$B$20="Box-Behnken",W$15^2+$B25^2+_slice!$H$8&lt;=2+0.000000001,TRUE())),_slice!W92,"外")</f>
        <v>48.1191761695907</v>
      </c>
    </row>
    <row r="26" customFormat="false" ht="15" hidden="false" customHeight="false" outlineLevel="0" collapsed="false">
      <c r="A26" s="49" t="n">
        <f aca="false">INDEX(01_因子設定!$G$5:$G$8,$C$5)+B26*INDEX(01_因子設定!$H$5:$H$8,$C$5)</f>
        <v>31</v>
      </c>
      <c r="B26" s="49" t="n">
        <v>0.1</v>
      </c>
      <c r="C26" s="50" t="n">
        <f aca="false">IF(AND(_slice!$H$5=1,C$15&gt;=_slice!$H$6-0.000000001,C$15&lt;=_slice!$I$6+0.000000001,$B26&gt;=_slice!$H$7-0.000000001,$B26&lt;=_slice!$I$7+0.000000001,IF(01_因子設定!$B$20="Box-Behnken",C$15^2+$B26^2+_slice!$H$8&lt;=2+0.000000001,TRUE())),_slice!C93,"外")</f>
        <v>44.1585942982457</v>
      </c>
      <c r="D26" s="50" t="n">
        <f aca="false">IF(AND(_slice!$H$5=1,D$15&gt;=_slice!$H$6-0.000000001,D$15&lt;=_slice!$I$6+0.000000001,$B26&gt;=_slice!$H$7-0.000000001,$B26&lt;=_slice!$I$7+0.000000001,IF(01_因子設定!$B$20="Box-Behnken",D$15^2+$B26^2+_slice!$H$8&lt;=2+0.000000001,TRUE())),_slice!D93,"外")</f>
        <v>44.8348165204679</v>
      </c>
      <c r="E26" s="50" t="n">
        <f aca="false">IF(AND(_slice!$H$5=1,E$15&gt;=_slice!$H$6-0.000000001,E$15&lt;=_slice!$I$6+0.000000001,$B26&gt;=_slice!$H$7-0.000000001,$B26&lt;=_slice!$I$7+0.000000001,IF(01_因子設定!$B$20="Box-Behnken",E$15^2+$B26^2+_slice!$H$8&lt;=2+0.000000001,TRUE())),_slice!E93,"外")</f>
        <v>45.459389619883</v>
      </c>
      <c r="F26" s="50" t="n">
        <f aca="false">IF(AND(_slice!$H$5=1,F$15&gt;=_slice!$H$6-0.000000001,F$15&lt;=_slice!$I$6+0.000000001,$B26&gt;=_slice!$H$7-0.000000001,$B26&lt;=_slice!$I$7+0.000000001,IF(01_因子設定!$B$20="Box-Behnken",F$15^2+$B26^2+_slice!$H$8&lt;=2+0.000000001,TRUE())),_slice!F93,"外")</f>
        <v>46.0323135964912</v>
      </c>
      <c r="G26" s="50" t="n">
        <f aca="false">IF(AND(_slice!$H$5=1,G$15&gt;=_slice!$H$6-0.000000001,G$15&lt;=_slice!$I$6+0.000000001,$B26&gt;=_slice!$H$7-0.000000001,$B26&lt;=_slice!$I$7+0.000000001,IF(01_因子設定!$B$20="Box-Behnken",G$15^2+$B26^2+_slice!$H$8&lt;=2+0.000000001,TRUE())),_slice!G93,"外")</f>
        <v>46.5535884502924</v>
      </c>
      <c r="H26" s="50" t="n">
        <f aca="false">IF(AND(_slice!$H$5=1,H$15&gt;=_slice!$H$6-0.000000001,H$15&lt;=_slice!$I$6+0.000000001,$B26&gt;=_slice!$H$7-0.000000001,$B26&lt;=_slice!$I$7+0.000000001,IF(01_因子設定!$B$20="Box-Behnken",H$15^2+$B26^2+_slice!$H$8&lt;=2+0.000000001,TRUE())),_slice!H93,"外")</f>
        <v>47.0232141812865</v>
      </c>
      <c r="I26" s="50" t="n">
        <f aca="false">IF(AND(_slice!$H$5=1,I$15&gt;=_slice!$H$6-0.000000001,I$15&lt;=_slice!$I$6+0.000000001,$B26&gt;=_slice!$H$7-0.000000001,$B26&lt;=_slice!$I$7+0.000000001,IF(01_因子設定!$B$20="Box-Behnken",I$15^2+$B26^2+_slice!$H$8&lt;=2+0.000000001,TRUE())),_slice!I93,"外")</f>
        <v>47.4411907894736</v>
      </c>
      <c r="J26" s="50" t="n">
        <f aca="false">IF(AND(_slice!$H$5=1,J$15&gt;=_slice!$H$6-0.000000001,J$15&lt;=_slice!$I$6+0.000000001,$B26&gt;=_slice!$H$7-0.000000001,$B26&lt;=_slice!$I$7+0.000000001,IF(01_因子設定!$B$20="Box-Behnken",J$15^2+$B26^2+_slice!$H$8&lt;=2+0.000000001,TRUE())),_slice!J93,"外")</f>
        <v>47.8075182748538</v>
      </c>
      <c r="K26" s="50" t="n">
        <f aca="false">IF(AND(_slice!$H$5=1,K$15&gt;=_slice!$H$6-0.000000001,K$15&lt;=_slice!$I$6+0.000000001,$B26&gt;=_slice!$H$7-0.000000001,$B26&lt;=_slice!$I$7+0.000000001,IF(01_因子設定!$B$20="Box-Behnken",K$15^2+$B26^2+_slice!$H$8&lt;=2+0.000000001,TRUE())),_slice!K93,"外")</f>
        <v>48.1221966374268</v>
      </c>
      <c r="L26" s="50" t="n">
        <f aca="false">IF(AND(_slice!$H$5=1,L$15&gt;=_slice!$H$6-0.000000001,L$15&lt;=_slice!$I$6+0.000000001,$B26&gt;=_slice!$H$7-0.000000001,$B26&lt;=_slice!$I$7+0.000000001,IF(01_因子設定!$B$20="Box-Behnken",L$15^2+$B26^2+_slice!$H$8&lt;=2+0.000000001,TRUE())),_slice!L93,"外")</f>
        <v>48.3852258771929</v>
      </c>
      <c r="M26" s="50" t="n">
        <f aca="false">IF(AND(_slice!$H$5=1,M$15&gt;=_slice!$H$6-0.000000001,M$15&lt;=_slice!$I$6+0.000000001,$B26&gt;=_slice!$H$7-0.000000001,$B26&lt;=_slice!$I$7+0.000000001,IF(01_因子設定!$B$20="Box-Behnken",M$15^2+$B26^2+_slice!$H$8&lt;=2+0.000000001,TRUE())),_slice!M93,"外")</f>
        <v>48.596605994152</v>
      </c>
      <c r="N26" s="50" t="n">
        <f aca="false">IF(AND(_slice!$H$5=1,N$15&gt;=_slice!$H$6-0.000000001,N$15&lt;=_slice!$I$6+0.000000001,$B26&gt;=_slice!$H$7-0.000000001,$B26&lt;=_slice!$I$7+0.000000001,IF(01_因子設定!$B$20="Box-Behnken",N$15^2+$B26^2+_slice!$H$8&lt;=2+0.000000001,TRUE())),_slice!N93,"外")</f>
        <v>48.756336988304</v>
      </c>
      <c r="O26" s="50" t="n">
        <f aca="false">IF(AND(_slice!$H$5=1,O$15&gt;=_slice!$H$6-0.000000001,O$15&lt;=_slice!$I$6+0.000000001,$B26&gt;=_slice!$H$7-0.000000001,$B26&lt;=_slice!$I$7+0.000000001,IF(01_因子設定!$B$20="Box-Behnken",O$15^2+$B26^2+_slice!$H$8&lt;=2+0.000000001,TRUE())),_slice!O93,"外")</f>
        <v>48.8644188596491</v>
      </c>
      <c r="P26" s="50" t="n">
        <f aca="false">IF(AND(_slice!$H$5=1,P$15&gt;=_slice!$H$6-0.000000001,P$15&lt;=_slice!$I$6+0.000000001,$B26&gt;=_slice!$H$7-0.000000001,$B26&lt;=_slice!$I$7+0.000000001,IF(01_因子設定!$B$20="Box-Behnken",P$15^2+$B26^2+_slice!$H$8&lt;=2+0.000000001,TRUE())),_slice!P93,"外")</f>
        <v>48.9208516081871</v>
      </c>
      <c r="Q26" s="50" t="n">
        <f aca="false">IF(AND(_slice!$H$5=1,Q$15&gt;=_slice!$H$6-0.000000001,Q$15&lt;=_slice!$I$6+0.000000001,$B26&gt;=_slice!$H$7-0.000000001,$B26&lt;=_slice!$I$7+0.000000001,IF(01_因子設定!$B$20="Box-Behnken",Q$15^2+$B26^2+_slice!$H$8&lt;=2+0.000000001,TRUE())),_slice!Q93,"外")</f>
        <v>48.9256352339181</v>
      </c>
      <c r="R26" s="50" t="n">
        <f aca="false">IF(AND(_slice!$H$5=1,R$15&gt;=_slice!$H$6-0.000000001,R$15&lt;=_slice!$I$6+0.000000001,$B26&gt;=_slice!$H$7-0.000000001,$B26&lt;=_slice!$I$7+0.000000001,IF(01_因子設定!$B$20="Box-Behnken",R$15^2+$B26^2+_slice!$H$8&lt;=2+0.000000001,TRUE())),_slice!R93,"外")</f>
        <v>48.8787697368421</v>
      </c>
      <c r="S26" s="50" t="n">
        <f aca="false">IF(AND(_slice!$H$5=1,S$15&gt;=_slice!$H$6-0.000000001,S$15&lt;=_slice!$I$6+0.000000001,$B26&gt;=_slice!$H$7-0.000000001,$B26&lt;=_slice!$I$7+0.000000001,IF(01_因子設定!$B$20="Box-Behnken",S$15^2+$B26^2+_slice!$H$8&lt;=2+0.000000001,TRUE())),_slice!S93,"外")</f>
        <v>48.7802551169591</v>
      </c>
      <c r="T26" s="50" t="n">
        <f aca="false">IF(AND(_slice!$H$5=1,T$15&gt;=_slice!$H$6-0.000000001,T$15&lt;=_slice!$I$6+0.000000001,$B26&gt;=_slice!$H$7-0.000000001,$B26&lt;=_slice!$I$7+0.000000001,IF(01_因子設定!$B$20="Box-Behnken",T$15^2+$B26^2+_slice!$H$8&lt;=2+0.000000001,TRUE())),_slice!T93,"外")</f>
        <v>48.630091374269</v>
      </c>
      <c r="U26" s="50" t="n">
        <f aca="false">IF(AND(_slice!$H$5=1,U$15&gt;=_slice!$H$6-0.000000001,U$15&lt;=_slice!$I$6+0.000000001,$B26&gt;=_slice!$H$7-0.000000001,$B26&lt;=_slice!$I$7+0.000000001,IF(01_因子設定!$B$20="Box-Behnken",U$15^2+$B26^2+_slice!$H$8&lt;=2+0.000000001,TRUE())),_slice!U93,"外")</f>
        <v>48.4282785087719</v>
      </c>
      <c r="V26" s="50" t="n">
        <f aca="false">IF(AND(_slice!$H$5=1,V$15&gt;=_slice!$H$6-0.000000001,V$15&lt;=_slice!$I$6+0.000000001,$B26&gt;=_slice!$H$7-0.000000001,$B26&lt;=_slice!$I$7+0.000000001,IF(01_因子設定!$B$20="Box-Behnken",V$15^2+$B26^2+_slice!$H$8&lt;=2+0.000000001,TRUE())),_slice!V93,"外")</f>
        <v>48.1748165204679</v>
      </c>
      <c r="W26" s="50" t="n">
        <f aca="false">IF(AND(_slice!$H$5=1,W$15&gt;=_slice!$H$6-0.000000001,W$15&lt;=_slice!$I$6+0.000000001,$B26&gt;=_slice!$H$7-0.000000001,$B26&lt;=_slice!$I$7+0.000000001,IF(01_因子設定!$B$20="Box-Behnken",W$15^2+$B26^2+_slice!$H$8&lt;=2+0.000000001,TRUE())),_slice!W93,"外")</f>
        <v>47.8697054093568</v>
      </c>
    </row>
    <row r="27" customFormat="false" ht="15" hidden="false" customHeight="false" outlineLevel="0" collapsed="false">
      <c r="A27" s="49" t="n">
        <f aca="false">INDEX(01_因子設定!$G$5:$G$8,$C$5)+B27*INDEX(01_因子設定!$H$5:$H$8,$C$5)</f>
        <v>30</v>
      </c>
      <c r="B27" s="49" t="n">
        <v>0</v>
      </c>
      <c r="C27" s="50" t="n">
        <f aca="false">IF(AND(_slice!$H$5=1,C$15&gt;=_slice!$H$6-0.000000001,C$15&lt;=_slice!$I$6+0.000000001,$B27&gt;=_slice!$H$7-0.000000001,$B27&lt;=_slice!$I$7+0.000000001,IF(01_因子設定!$B$20="Box-Behnken",C$15^2+$B27^2+_slice!$H$8&lt;=2+0.000000001,TRUE())),_slice!C94,"外")</f>
        <v>44.0824744152047</v>
      </c>
      <c r="D27" s="50" t="n">
        <f aca="false">IF(AND(_slice!$H$5=1,D$15&gt;=_slice!$H$6-0.000000001,D$15&lt;=_slice!$I$6+0.000000001,$B27&gt;=_slice!$H$7-0.000000001,$B27&lt;=_slice!$I$7+0.000000001,IF(01_因子設定!$B$20="Box-Behnken",D$15^2+$B27^2+_slice!$H$8&lt;=2+0.000000001,TRUE())),_slice!D94,"外")</f>
        <v>44.7474466374269</v>
      </c>
      <c r="E27" s="50" t="n">
        <f aca="false">IF(AND(_slice!$H$5=1,E$15&gt;=_slice!$H$6-0.000000001,E$15&lt;=_slice!$I$6+0.000000001,$B27&gt;=_slice!$H$7-0.000000001,$B27&lt;=_slice!$I$7+0.000000001,IF(01_因子設定!$B$20="Box-Behnken",E$15^2+$B27^2+_slice!$H$8&lt;=2+0.000000001,TRUE())),_slice!E94,"外")</f>
        <v>45.3607697368421</v>
      </c>
      <c r="F27" s="50" t="n">
        <f aca="false">IF(AND(_slice!$H$5=1,F$15&gt;=_slice!$H$6-0.000000001,F$15&lt;=_slice!$I$6+0.000000001,$B27&gt;=_slice!$H$7-0.000000001,$B27&lt;=_slice!$I$7+0.000000001,IF(01_因子設定!$B$20="Box-Behnken",F$15^2+$B27^2+_slice!$H$8&lt;=2+0.000000001,TRUE())),_slice!F94,"外")</f>
        <v>45.9224437134503</v>
      </c>
      <c r="G27" s="50" t="n">
        <f aca="false">IF(AND(_slice!$H$5=1,G$15&gt;=_slice!$H$6-0.000000001,G$15&lt;=_slice!$I$6+0.000000001,$B27&gt;=_slice!$H$7-0.000000001,$B27&lt;=_slice!$I$7+0.000000001,IF(01_因子設定!$B$20="Box-Behnken",G$15^2+$B27^2+_slice!$H$8&lt;=2+0.000000001,TRUE())),_slice!G94,"外")</f>
        <v>46.4324685672514</v>
      </c>
      <c r="H27" s="50" t="n">
        <f aca="false">IF(AND(_slice!$H$5=1,H$15&gt;=_slice!$H$6-0.000000001,H$15&lt;=_slice!$I$6+0.000000001,$B27&gt;=_slice!$H$7-0.000000001,$B27&lt;=_slice!$I$7+0.000000001,IF(01_因子設定!$B$20="Box-Behnken",H$15^2+$B27^2+_slice!$H$8&lt;=2+0.000000001,TRUE())),_slice!H94,"外")</f>
        <v>46.8908442982456</v>
      </c>
      <c r="I27" s="50" t="n">
        <f aca="false">IF(AND(_slice!$H$5=1,I$15&gt;=_slice!$H$6-0.000000001,I$15&lt;=_slice!$I$6+0.000000001,$B27&gt;=_slice!$H$7-0.000000001,$B27&lt;=_slice!$I$7+0.000000001,IF(01_因子設定!$B$20="Box-Behnken",I$15^2+$B27^2+_slice!$H$8&lt;=2+0.000000001,TRUE())),_slice!I94,"外")</f>
        <v>47.2975709064327</v>
      </c>
      <c r="J27" s="50" t="n">
        <f aca="false">IF(AND(_slice!$H$5=1,J$15&gt;=_slice!$H$6-0.000000001,J$15&lt;=_slice!$I$6+0.000000001,$B27&gt;=_slice!$H$7-0.000000001,$B27&lt;=_slice!$I$7+0.000000001,IF(01_因子設定!$B$20="Box-Behnken",J$15^2+$B27^2+_slice!$H$8&lt;=2+0.000000001,TRUE())),_slice!J94,"外")</f>
        <v>47.6526483918128</v>
      </c>
      <c r="K27" s="50" t="n">
        <f aca="false">IF(AND(_slice!$H$5=1,K$15&gt;=_slice!$H$6-0.000000001,K$15&lt;=_slice!$I$6+0.000000001,$B27&gt;=_slice!$H$7-0.000000001,$B27&lt;=_slice!$I$7+0.000000001,IF(01_因子設定!$B$20="Box-Behnken",K$15^2+$B27^2+_slice!$H$8&lt;=2+0.000000001,TRUE())),_slice!K94,"外")</f>
        <v>47.9560767543859</v>
      </c>
      <c r="L27" s="50" t="n">
        <f aca="false">IF(AND(_slice!$H$5=1,L$15&gt;=_slice!$H$6-0.000000001,L$15&lt;=_slice!$I$6+0.000000001,$B27&gt;=_slice!$H$7-0.000000001,$B27&lt;=_slice!$I$7+0.000000001,IF(01_因子設定!$B$20="Box-Behnken",L$15^2+$B27^2+_slice!$H$8&lt;=2+0.000000001,TRUE())),_slice!L94,"外")</f>
        <v>48.207855994152</v>
      </c>
      <c r="M27" s="50" t="n">
        <f aca="false">IF(AND(_slice!$H$5=1,M$15&gt;=_slice!$H$6-0.000000001,M$15&lt;=_slice!$I$6+0.000000001,$B27&gt;=_slice!$H$7-0.000000001,$B27&lt;=_slice!$I$7+0.000000001,IF(01_因子設定!$B$20="Box-Behnken",M$15^2+$B27^2+_slice!$H$8&lt;=2+0.000000001,TRUE())),_slice!M94,"外")</f>
        <v>48.4079861111111</v>
      </c>
      <c r="N27" s="50" t="n">
        <f aca="false">IF(AND(_slice!$H$5=1,N$15&gt;=_slice!$H$6-0.000000001,N$15&lt;=_slice!$I$6+0.000000001,$B27&gt;=_slice!$H$7-0.000000001,$B27&lt;=_slice!$I$7+0.000000001,IF(01_因子設定!$B$20="Box-Behnken",N$15^2+$B27^2+_slice!$H$8&lt;=2+0.000000001,TRUE())),_slice!N94,"外")</f>
        <v>48.5564671052631</v>
      </c>
      <c r="O27" s="50" t="n">
        <f aca="false">IF(AND(_slice!$H$5=1,O$15&gt;=_slice!$H$6-0.000000001,O$15&lt;=_slice!$I$6+0.000000001,$B27&gt;=_slice!$H$7-0.000000001,$B27&lt;=_slice!$I$7+0.000000001,IF(01_因子設定!$B$20="Box-Behnken",O$15^2+$B27^2+_slice!$H$8&lt;=2+0.000000001,TRUE())),_slice!O94,"外")</f>
        <v>48.6532989766081</v>
      </c>
      <c r="P27" s="50" t="n">
        <f aca="false">IF(AND(_slice!$H$5=1,P$15&gt;=_slice!$H$6-0.000000001,P$15&lt;=_slice!$I$6+0.000000001,$B27&gt;=_slice!$H$7-0.000000001,$B27&lt;=_slice!$I$7+0.000000001,IF(01_因子設定!$B$20="Box-Behnken",P$15^2+$B27^2+_slice!$H$8&lt;=2+0.000000001,TRUE())),_slice!P94,"外")</f>
        <v>48.6984817251462</v>
      </c>
      <c r="Q27" s="50" t="n">
        <f aca="false">IF(AND(_slice!$H$5=1,Q$15&gt;=_slice!$H$6-0.000000001,Q$15&lt;=_slice!$I$6+0.000000001,$B27&gt;=_slice!$H$7-0.000000001,$B27&lt;=_slice!$I$7+0.000000001,IF(01_因子設定!$B$20="Box-Behnken",Q$15^2+$B27^2+_slice!$H$8&lt;=2+0.000000001,TRUE())),_slice!Q94,"外")</f>
        <v>48.6920153508772</v>
      </c>
      <c r="R27" s="50" t="n">
        <f aca="false">IF(AND(_slice!$H$5=1,R$15&gt;=_slice!$H$6-0.000000001,R$15&lt;=_slice!$I$6+0.000000001,$B27&gt;=_slice!$H$7-0.000000001,$B27&lt;=_slice!$I$7+0.000000001,IF(01_因子設定!$B$20="Box-Behnken",R$15^2+$B27^2+_slice!$H$8&lt;=2+0.000000001,TRUE())),_slice!R94,"外")</f>
        <v>48.6338998538011</v>
      </c>
      <c r="S27" s="50" t="n">
        <f aca="false">IF(AND(_slice!$H$5=1,S$15&gt;=_slice!$H$6-0.000000001,S$15&lt;=_slice!$I$6+0.000000001,$B27&gt;=_slice!$H$7-0.000000001,$B27&lt;=_slice!$I$7+0.000000001,IF(01_因子設定!$B$20="Box-Behnken",S$15^2+$B27^2+_slice!$H$8&lt;=2+0.000000001,TRUE())),_slice!S94,"外")</f>
        <v>48.5241352339181</v>
      </c>
      <c r="T27" s="50" t="n">
        <f aca="false">IF(AND(_slice!$H$5=1,T$15&gt;=_slice!$H$6-0.000000001,T$15&lt;=_slice!$I$6+0.000000001,$B27&gt;=_slice!$H$7-0.000000001,$B27&lt;=_slice!$I$7+0.000000001,IF(01_因子設定!$B$20="Box-Behnken",T$15^2+$B27^2+_slice!$H$8&lt;=2+0.000000001,TRUE())),_slice!T94,"外")</f>
        <v>48.3627214912281</v>
      </c>
      <c r="U27" s="50" t="n">
        <f aca="false">IF(AND(_slice!$H$5=1,U$15&gt;=_slice!$H$6-0.000000001,U$15&lt;=_slice!$I$6+0.000000001,$B27&gt;=_slice!$H$7-0.000000001,$B27&lt;=_slice!$I$7+0.000000001,IF(01_因子設定!$B$20="Box-Behnken",U$15^2+$B27^2+_slice!$H$8&lt;=2+0.000000001,TRUE())),_slice!U94,"外")</f>
        <v>48.149658625731</v>
      </c>
      <c r="V27" s="50" t="n">
        <f aca="false">IF(AND(_slice!$H$5=1,V$15&gt;=_slice!$H$6-0.000000001,V$15&lt;=_slice!$I$6+0.000000001,$B27&gt;=_slice!$H$7-0.000000001,$B27&lt;=_slice!$I$7+0.000000001,IF(01_因子設定!$B$20="Box-Behnken",V$15^2+$B27^2+_slice!$H$8&lt;=2+0.000000001,TRUE())),_slice!V94,"外")</f>
        <v>47.8849466374269</v>
      </c>
      <c r="W27" s="50" t="n">
        <f aca="false">IF(AND(_slice!$H$5=1,W$15&gt;=_slice!$H$6-0.000000001,W$15&lt;=_slice!$I$6+0.000000001,$B27&gt;=_slice!$H$7-0.000000001,$B27&lt;=_slice!$I$7+0.000000001,IF(01_因子設定!$B$20="Box-Behnken",W$15^2+$B27^2+_slice!$H$8&lt;=2+0.000000001,TRUE())),_slice!W94,"外")</f>
        <v>47.5685855263158</v>
      </c>
    </row>
    <row r="28" customFormat="false" ht="15" hidden="false" customHeight="false" outlineLevel="0" collapsed="false">
      <c r="A28" s="49" t="n">
        <f aca="false">INDEX(01_因子設定!$G$5:$G$8,$C$5)+B28*INDEX(01_因子設定!$H$5:$H$8,$C$5)</f>
        <v>29</v>
      </c>
      <c r="B28" s="49" t="n">
        <v>-0.1</v>
      </c>
      <c r="C28" s="50" t="n">
        <f aca="false">IF(AND(_slice!$H$5=1,C$15&gt;=_slice!$H$6-0.000000001,C$15&lt;=_slice!$I$6+0.000000001,$B28&gt;=_slice!$H$7-0.000000001,$B28&lt;=_slice!$I$7+0.000000001,IF(01_因子設定!$B$20="Box-Behnken",C$15^2+$B28^2+_slice!$H$8&lt;=2+0.000000001,TRUE())),_slice!C95,"外")</f>
        <v>43.9547054093568</v>
      </c>
      <c r="D28" s="50" t="n">
        <f aca="false">IF(AND(_slice!$H$5=1,D$15&gt;=_slice!$H$6-0.000000001,D$15&lt;=_slice!$I$6+0.000000001,$B28&gt;=_slice!$H$7-0.000000001,$B28&lt;=_slice!$I$7+0.000000001,IF(01_因子設定!$B$20="Box-Behnken",D$15^2+$B28^2+_slice!$H$8&lt;=2+0.000000001,TRUE())),_slice!D95,"外")</f>
        <v>44.608427631579</v>
      </c>
      <c r="E28" s="50" t="n">
        <f aca="false">IF(AND(_slice!$H$5=1,E$15&gt;=_slice!$H$6-0.000000001,E$15&lt;=_slice!$I$6+0.000000001,$B28&gt;=_slice!$H$7-0.000000001,$B28&lt;=_slice!$I$7+0.000000001,IF(01_因子設定!$B$20="Box-Behnken",E$15^2+$B28^2+_slice!$H$8&lt;=2+0.000000001,TRUE())),_slice!E95,"外")</f>
        <v>45.2105007309942</v>
      </c>
      <c r="F28" s="50" t="n">
        <f aca="false">IF(AND(_slice!$H$5=1,F$15&gt;=_slice!$H$6-0.000000001,F$15&lt;=_slice!$I$6+0.000000001,$B28&gt;=_slice!$H$7-0.000000001,$B28&lt;=_slice!$I$7+0.000000001,IF(01_因子設定!$B$20="Box-Behnken",F$15^2+$B28^2+_slice!$H$8&lt;=2+0.000000001,TRUE())),_slice!F95,"外")</f>
        <v>45.7609247076023</v>
      </c>
      <c r="G28" s="50" t="n">
        <f aca="false">IF(AND(_slice!$H$5=1,G$15&gt;=_slice!$H$6-0.000000001,G$15&lt;=_slice!$I$6+0.000000001,$B28&gt;=_slice!$H$7-0.000000001,$B28&lt;=_slice!$I$7+0.000000001,IF(01_因子設定!$B$20="Box-Behnken",G$15^2+$B28^2+_slice!$H$8&lt;=2+0.000000001,TRUE())),_slice!G95,"外")</f>
        <v>46.2596995614035</v>
      </c>
      <c r="H28" s="50" t="n">
        <f aca="false">IF(AND(_slice!$H$5=1,H$15&gt;=_slice!$H$6-0.000000001,H$15&lt;=_slice!$I$6+0.000000001,$B28&gt;=_slice!$H$7-0.000000001,$B28&lt;=_slice!$I$7+0.000000001,IF(01_因子設定!$B$20="Box-Behnken",H$15^2+$B28^2+_slice!$H$8&lt;=2+0.000000001,TRUE())),_slice!H95,"外")</f>
        <v>46.7068252923976</v>
      </c>
      <c r="I28" s="50" t="n">
        <f aca="false">IF(AND(_slice!$H$5=1,I$15&gt;=_slice!$H$6-0.000000001,I$15&lt;=_slice!$I$6+0.000000001,$B28&gt;=_slice!$H$7-0.000000001,$B28&lt;=_slice!$I$7+0.000000001,IF(01_因子設定!$B$20="Box-Behnken",I$15^2+$B28^2+_slice!$H$8&lt;=2+0.000000001,TRUE())),_slice!I95,"外")</f>
        <v>47.1023019005848</v>
      </c>
      <c r="J28" s="50" t="n">
        <f aca="false">IF(AND(_slice!$H$5=1,J$15&gt;=_slice!$H$6-0.000000001,J$15&lt;=_slice!$I$6+0.000000001,$B28&gt;=_slice!$H$7-0.000000001,$B28&lt;=_slice!$I$7+0.000000001,IF(01_因子設定!$B$20="Box-Behnken",J$15^2+$B28^2+_slice!$H$8&lt;=2+0.000000001,TRUE())),_slice!J95,"外")</f>
        <v>47.4461293859649</v>
      </c>
      <c r="K28" s="50" t="n">
        <f aca="false">IF(AND(_slice!$H$5=1,K$15&gt;=_slice!$H$6-0.000000001,K$15&lt;=_slice!$I$6+0.000000001,$B28&gt;=_slice!$H$7-0.000000001,$B28&lt;=_slice!$I$7+0.000000001,IF(01_因子設定!$B$20="Box-Behnken",K$15^2+$B28^2+_slice!$H$8&lt;=2+0.000000001,TRUE())),_slice!K95,"外")</f>
        <v>47.738307748538</v>
      </c>
      <c r="L28" s="50" t="n">
        <f aca="false">IF(AND(_slice!$H$5=1,L$15&gt;=_slice!$H$6-0.000000001,L$15&lt;=_slice!$I$6+0.000000001,$B28&gt;=_slice!$H$7-0.000000001,$B28&lt;=_slice!$I$7+0.000000001,IF(01_因子設定!$B$20="Box-Behnken",L$15^2+$B28^2+_slice!$H$8&lt;=2+0.000000001,TRUE())),_slice!L95,"外")</f>
        <v>47.978836988304</v>
      </c>
      <c r="M28" s="50" t="n">
        <f aca="false">IF(AND(_slice!$H$5=1,M$15&gt;=_slice!$H$6-0.000000001,M$15&lt;=_slice!$I$6+0.000000001,$B28&gt;=_slice!$H$7-0.000000001,$B28&lt;=_slice!$I$7+0.000000001,IF(01_因子設定!$B$20="Box-Behnken",M$15^2+$B28^2+_slice!$H$8&lt;=2+0.000000001,TRUE())),_slice!M95,"外")</f>
        <v>48.1677171052631</v>
      </c>
      <c r="N28" s="50" t="n">
        <f aca="false">IF(AND(_slice!$H$5=1,N$15&gt;=_slice!$H$6-0.000000001,N$15&lt;=_slice!$I$6+0.000000001,$B28&gt;=_slice!$H$7-0.000000001,$B28&lt;=_slice!$I$7+0.000000001,IF(01_因子設定!$B$20="Box-Behnken",N$15^2+$B28^2+_slice!$H$8&lt;=2+0.000000001,TRUE())),_slice!N95,"外")</f>
        <v>48.3049480994152</v>
      </c>
      <c r="O28" s="50" t="n">
        <f aca="false">IF(AND(_slice!$H$5=1,O$15&gt;=_slice!$H$6-0.000000001,O$15&lt;=_slice!$I$6+0.000000001,$B28&gt;=_slice!$H$7-0.000000001,$B28&lt;=_slice!$I$7+0.000000001,IF(01_因子設定!$B$20="Box-Behnken",O$15^2+$B28^2+_slice!$H$8&lt;=2+0.000000001,TRUE())),_slice!O95,"外")</f>
        <v>48.3905299707602</v>
      </c>
      <c r="P28" s="50" t="n">
        <f aca="false">IF(AND(_slice!$H$5=1,P$15&gt;=_slice!$H$6-0.000000001,P$15&lt;=_slice!$I$6+0.000000001,$B28&gt;=_slice!$H$7-0.000000001,$B28&lt;=_slice!$I$7+0.000000001,IF(01_因子設定!$B$20="Box-Behnken",P$15^2+$B28^2+_slice!$H$8&lt;=2+0.000000001,TRUE())),_slice!P95,"外")</f>
        <v>48.4244627192982</v>
      </c>
      <c r="Q28" s="50" t="n">
        <f aca="false">IF(AND(_slice!$H$5=1,Q$15&gt;=_slice!$H$6-0.000000001,Q$15&lt;=_slice!$I$6+0.000000001,$B28&gt;=_slice!$H$7-0.000000001,$B28&lt;=_slice!$I$7+0.000000001,IF(01_因子設定!$B$20="Box-Behnken",Q$15^2+$B28^2+_slice!$H$8&lt;=2+0.000000001,TRUE())),_slice!Q95,"外")</f>
        <v>48.4067463450292</v>
      </c>
      <c r="R28" s="50" t="n">
        <f aca="false">IF(AND(_slice!$H$5=1,R$15&gt;=_slice!$H$6-0.000000001,R$15&lt;=_slice!$I$6+0.000000001,$B28&gt;=_slice!$H$7-0.000000001,$B28&lt;=_slice!$I$7+0.000000001,IF(01_因子設定!$B$20="Box-Behnken",R$15^2+$B28^2+_slice!$H$8&lt;=2+0.000000001,TRUE())),_slice!R95,"外")</f>
        <v>48.3373808479532</v>
      </c>
      <c r="S28" s="50" t="n">
        <f aca="false">IF(AND(_slice!$H$5=1,S$15&gt;=_slice!$H$6-0.000000001,S$15&lt;=_slice!$I$6+0.000000001,$B28&gt;=_slice!$H$7-0.000000001,$B28&lt;=_slice!$I$7+0.000000001,IF(01_因子設定!$B$20="Box-Behnken",S$15^2+$B28^2+_slice!$H$8&lt;=2+0.000000001,TRUE())),_slice!S95,"外")</f>
        <v>48.2163662280702</v>
      </c>
      <c r="T28" s="50" t="n">
        <f aca="false">IF(AND(_slice!$H$5=1,T$15&gt;=_slice!$H$6-0.000000001,T$15&lt;=_slice!$I$6+0.000000001,$B28&gt;=_slice!$H$7-0.000000001,$B28&lt;=_slice!$I$7+0.000000001,IF(01_因子設定!$B$20="Box-Behnken",T$15^2+$B28^2+_slice!$H$8&lt;=2+0.000000001,TRUE())),_slice!T95,"外")</f>
        <v>48.0437024853801</v>
      </c>
      <c r="U28" s="50" t="n">
        <f aca="false">IF(AND(_slice!$H$5=1,U$15&gt;=_slice!$H$6-0.000000001,U$15&lt;=_slice!$I$6+0.000000001,$B28&gt;=_slice!$H$7-0.000000001,$B28&lt;=_slice!$I$7+0.000000001,IF(01_因子設定!$B$20="Box-Behnken",U$15^2+$B28^2+_slice!$H$8&lt;=2+0.000000001,TRUE())),_slice!U95,"外")</f>
        <v>47.819389619883</v>
      </c>
      <c r="V28" s="50" t="n">
        <f aca="false">IF(AND(_slice!$H$5=1,V$15&gt;=_slice!$H$6-0.000000001,V$15&lt;=_slice!$I$6+0.000000001,$B28&gt;=_slice!$H$7-0.000000001,$B28&lt;=_slice!$I$7+0.000000001,IF(01_因子設定!$B$20="Box-Behnken",V$15^2+$B28^2+_slice!$H$8&lt;=2+0.000000001,TRUE())),_slice!V95,"外")</f>
        <v>47.543427631579</v>
      </c>
      <c r="W28" s="50" t="n">
        <f aca="false">IF(AND(_slice!$H$5=1,W$15&gt;=_slice!$H$6-0.000000001,W$15&lt;=_slice!$I$6+0.000000001,$B28&gt;=_slice!$H$7-0.000000001,$B28&lt;=_slice!$I$7+0.000000001,IF(01_因子設定!$B$20="Box-Behnken",W$15^2+$B28^2+_slice!$H$8&lt;=2+0.000000001,TRUE())),_slice!W95,"外")</f>
        <v>47.2158165204679</v>
      </c>
    </row>
    <row r="29" customFormat="false" ht="15" hidden="false" customHeight="false" outlineLevel="0" collapsed="false">
      <c r="A29" s="49" t="n">
        <f aca="false">INDEX(01_因子設定!$G$5:$G$8,$C$5)+B29*INDEX(01_因子設定!$H$5:$H$8,$C$5)</f>
        <v>28</v>
      </c>
      <c r="B29" s="49" t="n">
        <v>-0.2</v>
      </c>
      <c r="C29" s="50" t="n">
        <f aca="false">IF(AND(_slice!$H$5=1,C$15&gt;=_slice!$H$6-0.000000001,C$15&lt;=_slice!$I$6+0.000000001,$B29&gt;=_slice!$H$7-0.000000001,$B29&lt;=_slice!$I$7+0.000000001,IF(01_因子設定!$B$20="Box-Behnken",C$15^2+$B29^2+_slice!$H$8&lt;=2+0.000000001,TRUE())),_slice!C96,"外")</f>
        <v>43.7752872807018</v>
      </c>
      <c r="D29" s="50" t="n">
        <f aca="false">IF(AND(_slice!$H$5=1,D$15&gt;=_slice!$H$6-0.000000001,D$15&lt;=_slice!$I$6+0.000000001,$B29&gt;=_slice!$H$7-0.000000001,$B29&lt;=_slice!$I$7+0.000000001,IF(01_因子設定!$B$20="Box-Behnken",D$15^2+$B29^2+_slice!$H$8&lt;=2+0.000000001,TRUE())),_slice!D96,"外")</f>
        <v>44.417759502924</v>
      </c>
      <c r="E29" s="50" t="n">
        <f aca="false">IF(AND(_slice!$H$5=1,E$15&gt;=_slice!$H$6-0.000000001,E$15&lt;=_slice!$I$6+0.000000001,$B29&gt;=_slice!$H$7-0.000000001,$B29&lt;=_slice!$I$7+0.000000001,IF(01_因子設定!$B$20="Box-Behnken",E$15^2+$B29^2+_slice!$H$8&lt;=2+0.000000001,TRUE())),_slice!E96,"外")</f>
        <v>45.0085826023392</v>
      </c>
      <c r="F29" s="50" t="n">
        <f aca="false">IF(AND(_slice!$H$5=1,F$15&gt;=_slice!$H$6-0.000000001,F$15&lt;=_slice!$I$6+0.000000001,$B29&gt;=_slice!$H$7-0.000000001,$B29&lt;=_slice!$I$7+0.000000001,IF(01_因子設定!$B$20="Box-Behnken",F$15^2+$B29^2+_slice!$H$8&lt;=2+0.000000001,TRUE())),_slice!F96,"外")</f>
        <v>45.5477565789474</v>
      </c>
      <c r="G29" s="50" t="n">
        <f aca="false">IF(AND(_slice!$H$5=1,G$15&gt;=_slice!$H$6-0.000000001,G$15&lt;=_slice!$I$6+0.000000001,$B29&gt;=_slice!$H$7-0.000000001,$B29&lt;=_slice!$I$7+0.000000001,IF(01_因子設定!$B$20="Box-Behnken",G$15^2+$B29^2+_slice!$H$8&lt;=2+0.000000001,TRUE())),_slice!G96,"外")</f>
        <v>46.0352814327485</v>
      </c>
      <c r="H29" s="50" t="n">
        <f aca="false">IF(AND(_slice!$H$5=1,H$15&gt;=_slice!$H$6-0.000000001,H$15&lt;=_slice!$I$6+0.000000001,$B29&gt;=_slice!$H$7-0.000000001,$B29&lt;=_slice!$I$7+0.000000001,IF(01_因子設定!$B$20="Box-Behnken",H$15^2+$B29^2+_slice!$H$8&lt;=2+0.000000001,TRUE())),_slice!H96,"外")</f>
        <v>46.4711571637427</v>
      </c>
      <c r="I29" s="50" t="n">
        <f aca="false">IF(AND(_slice!$H$5=1,I$15&gt;=_slice!$H$6-0.000000001,I$15&lt;=_slice!$I$6+0.000000001,$B29&gt;=_slice!$H$7-0.000000001,$B29&lt;=_slice!$I$7+0.000000001,IF(01_因子設定!$B$20="Box-Behnken",I$15^2+$B29^2+_slice!$H$8&lt;=2+0.000000001,TRUE())),_slice!I96,"外")</f>
        <v>46.8553837719298</v>
      </c>
      <c r="J29" s="50" t="n">
        <f aca="false">IF(AND(_slice!$H$5=1,J$15&gt;=_slice!$H$6-0.000000001,J$15&lt;=_slice!$I$6+0.000000001,$B29&gt;=_slice!$H$7-0.000000001,$B29&lt;=_slice!$I$7+0.000000001,IF(01_因子設定!$B$20="Box-Behnken",J$15^2+$B29^2+_slice!$H$8&lt;=2+0.000000001,TRUE())),_slice!J96,"外")</f>
        <v>47.1879612573099</v>
      </c>
      <c r="K29" s="50" t="n">
        <f aca="false">IF(AND(_slice!$H$5=1,K$15&gt;=_slice!$H$6-0.000000001,K$15&lt;=_slice!$I$6+0.000000001,$B29&gt;=_slice!$H$7-0.000000001,$B29&lt;=_slice!$I$7+0.000000001,IF(01_因子設定!$B$20="Box-Behnken",K$15^2+$B29^2+_slice!$H$8&lt;=2+0.000000001,TRUE())),_slice!K96,"外")</f>
        <v>47.468889619883</v>
      </c>
      <c r="L29" s="50" t="n">
        <f aca="false">IF(AND(_slice!$H$5=1,L$15&gt;=_slice!$H$6-0.000000001,L$15&lt;=_slice!$I$6+0.000000001,$B29&gt;=_slice!$H$7-0.000000001,$B29&lt;=_slice!$I$7+0.000000001,IF(01_因子設定!$B$20="Box-Behnken",L$15^2+$B29^2+_slice!$H$8&lt;=2+0.000000001,TRUE())),_slice!L96,"外")</f>
        <v>47.6981688596491</v>
      </c>
      <c r="M29" s="50" t="n">
        <f aca="false">IF(AND(_slice!$H$5=1,M$15&gt;=_slice!$H$6-0.000000001,M$15&lt;=_slice!$I$6+0.000000001,$B29&gt;=_slice!$H$7-0.000000001,$B29&lt;=_slice!$I$7+0.000000001,IF(01_因子設定!$B$20="Box-Behnken",M$15^2+$B29^2+_slice!$H$8&lt;=2+0.000000001,TRUE())),_slice!M96,"外")</f>
        <v>47.8757989766081</v>
      </c>
      <c r="N29" s="50" t="n">
        <f aca="false">IF(AND(_slice!$H$5=1,N$15&gt;=_slice!$H$6-0.000000001,N$15&lt;=_slice!$I$6+0.000000001,$B29&gt;=_slice!$H$7-0.000000001,$B29&lt;=_slice!$I$7+0.000000001,IF(01_因子設定!$B$20="Box-Behnken",N$15^2+$B29^2+_slice!$H$8&lt;=2+0.000000001,TRUE())),_slice!N96,"外")</f>
        <v>48.0017799707602</v>
      </c>
      <c r="O29" s="50" t="n">
        <f aca="false">IF(AND(_slice!$H$5=1,O$15&gt;=_slice!$H$6-0.000000001,O$15&lt;=_slice!$I$6+0.000000001,$B29&gt;=_slice!$H$7-0.000000001,$B29&lt;=_slice!$I$7+0.000000001,IF(01_因子設定!$B$20="Box-Behnken",O$15^2+$B29^2+_slice!$H$8&lt;=2+0.000000001,TRUE())),_slice!O96,"外")</f>
        <v>48.0761118421052</v>
      </c>
      <c r="P29" s="50" t="n">
        <f aca="false">IF(AND(_slice!$H$5=1,P$15&gt;=_slice!$H$6-0.000000001,P$15&lt;=_slice!$I$6+0.000000001,$B29&gt;=_slice!$H$7-0.000000001,$B29&lt;=_slice!$I$7+0.000000001,IF(01_因子設定!$B$20="Box-Behnken",P$15^2+$B29^2+_slice!$H$8&lt;=2+0.000000001,TRUE())),_slice!P96,"外")</f>
        <v>48.0987945906432</v>
      </c>
      <c r="Q29" s="50" t="n">
        <f aca="false">IF(AND(_slice!$H$5=1,Q$15&gt;=_slice!$H$6-0.000000001,Q$15&lt;=_slice!$I$6+0.000000001,$B29&gt;=_slice!$H$7-0.000000001,$B29&lt;=_slice!$I$7+0.000000001,IF(01_因子設定!$B$20="Box-Behnken",Q$15^2+$B29^2+_slice!$H$8&lt;=2+0.000000001,TRUE())),_slice!Q96,"外")</f>
        <v>48.0698282163742</v>
      </c>
      <c r="R29" s="50" t="n">
        <f aca="false">IF(AND(_slice!$H$5=1,R$15&gt;=_slice!$H$6-0.000000001,R$15&lt;=_slice!$I$6+0.000000001,$B29&gt;=_slice!$H$7-0.000000001,$B29&lt;=_slice!$I$7+0.000000001,IF(01_因子設定!$B$20="Box-Behnken",R$15^2+$B29^2+_slice!$H$8&lt;=2+0.000000001,TRUE())),_slice!R96,"外")</f>
        <v>47.9892127192982</v>
      </c>
      <c r="S29" s="50" t="n">
        <f aca="false">IF(AND(_slice!$H$5=1,S$15&gt;=_slice!$H$6-0.000000001,S$15&lt;=_slice!$I$6+0.000000001,$B29&gt;=_slice!$H$7-0.000000001,$B29&lt;=_slice!$I$7+0.000000001,IF(01_因子設定!$B$20="Box-Behnken",S$15^2+$B29^2+_slice!$H$8&lt;=2+0.000000001,TRUE())),_slice!S96,"外")</f>
        <v>47.8569480994152</v>
      </c>
      <c r="T29" s="50" t="n">
        <f aca="false">IF(AND(_slice!$H$5=1,T$15&gt;=_slice!$H$6-0.000000001,T$15&lt;=_slice!$I$6+0.000000001,$B29&gt;=_slice!$H$7-0.000000001,$B29&lt;=_slice!$I$7+0.000000001,IF(01_因子設定!$B$20="Box-Behnken",T$15^2+$B29^2+_slice!$H$8&lt;=2+0.000000001,TRUE())),_slice!T96,"外")</f>
        <v>47.6730343567251</v>
      </c>
      <c r="U29" s="50" t="n">
        <f aca="false">IF(AND(_slice!$H$5=1,U$15&gt;=_slice!$H$6-0.000000001,U$15&lt;=_slice!$I$6+0.000000001,$B29&gt;=_slice!$H$7-0.000000001,$B29&lt;=_slice!$I$7+0.000000001,IF(01_因子設定!$B$20="Box-Behnken",U$15^2+$B29^2+_slice!$H$8&lt;=2+0.000000001,TRUE())),_slice!U96,"外")</f>
        <v>47.4374714912281</v>
      </c>
      <c r="V29" s="50" t="n">
        <f aca="false">IF(AND(_slice!$H$5=1,V$15&gt;=_slice!$H$6-0.000000001,V$15&lt;=_slice!$I$6+0.000000001,$B29&gt;=_slice!$H$7-0.000000001,$B29&lt;=_slice!$I$7+0.000000001,IF(01_因子設定!$B$20="Box-Behnken",V$15^2+$B29^2+_slice!$H$8&lt;=2+0.000000001,TRUE())),_slice!V96,"外")</f>
        <v>47.150259502924</v>
      </c>
      <c r="W29" s="50" t="n">
        <f aca="false">IF(AND(_slice!$H$5=1,W$15&gt;=_slice!$H$6-0.000000001,W$15&lt;=_slice!$I$6+0.000000001,$B29&gt;=_slice!$H$7-0.000000001,$B29&lt;=_slice!$I$7+0.000000001,IF(01_因子設定!$B$20="Box-Behnken",W$15^2+$B29^2+_slice!$H$8&lt;=2+0.000000001,TRUE())),_slice!W96,"外")</f>
        <v>46.8113983918129</v>
      </c>
    </row>
    <row r="30" customFormat="false" ht="15" hidden="false" customHeight="false" outlineLevel="0" collapsed="false">
      <c r="A30" s="49" t="n">
        <f aca="false">INDEX(01_因子設定!$G$5:$G$8,$C$5)+B30*INDEX(01_因子設定!$H$5:$H$8,$C$5)</f>
        <v>27</v>
      </c>
      <c r="B30" s="49" t="n">
        <v>-0.3</v>
      </c>
      <c r="C30" s="50" t="n">
        <f aca="false">IF(AND(_slice!$H$5=1,C$15&gt;=_slice!$H$6-0.000000001,C$15&lt;=_slice!$I$6+0.000000001,$B30&gt;=_slice!$H$7-0.000000001,$B30&lt;=_slice!$I$7+0.000000001,IF(01_因子設定!$B$20="Box-Behnken",C$15^2+$B30^2+_slice!$H$8&lt;=2+0.000000001,TRUE())),_slice!C97,"外")</f>
        <v>43.5442200292398</v>
      </c>
      <c r="D30" s="50" t="n">
        <f aca="false">IF(AND(_slice!$H$5=1,D$15&gt;=_slice!$H$6-0.000000001,D$15&lt;=_slice!$I$6+0.000000001,$B30&gt;=_slice!$H$7-0.000000001,$B30&lt;=_slice!$I$7+0.000000001,IF(01_因子設定!$B$20="Box-Behnken",D$15^2+$B30^2+_slice!$H$8&lt;=2+0.000000001,TRUE())),_slice!D97,"外")</f>
        <v>44.175442251462</v>
      </c>
      <c r="E30" s="50" t="n">
        <f aca="false">IF(AND(_slice!$H$5=1,E$15&gt;=_slice!$H$6-0.000000001,E$15&lt;=_slice!$I$6+0.000000001,$B30&gt;=_slice!$H$7-0.000000001,$B30&lt;=_slice!$I$7+0.000000001,IF(01_因子設定!$B$20="Box-Behnken",E$15^2+$B30^2+_slice!$H$8&lt;=2+0.000000001,TRUE())),_slice!E97,"外")</f>
        <v>44.7550153508772</v>
      </c>
      <c r="F30" s="50" t="n">
        <f aca="false">IF(AND(_slice!$H$5=1,F$15&gt;=_slice!$H$6-0.000000001,F$15&lt;=_slice!$I$6+0.000000001,$B30&gt;=_slice!$H$7-0.000000001,$B30&lt;=_slice!$I$7+0.000000001,IF(01_因子設定!$B$20="Box-Behnken",F$15^2+$B30^2+_slice!$H$8&lt;=2+0.000000001,TRUE())),_slice!F97,"外")</f>
        <v>45.2829393274854</v>
      </c>
      <c r="G30" s="50" t="n">
        <f aca="false">IF(AND(_slice!$H$5=1,G$15&gt;=_slice!$H$6-0.000000001,G$15&lt;=_slice!$I$6+0.000000001,$B30&gt;=_slice!$H$7-0.000000001,$B30&lt;=_slice!$I$7+0.000000001,IF(01_因子設定!$B$20="Box-Behnken",G$15^2+$B30^2+_slice!$H$8&lt;=2+0.000000001,TRUE())),_slice!G97,"外")</f>
        <v>45.7592141812865</v>
      </c>
      <c r="H30" s="50" t="n">
        <f aca="false">IF(AND(_slice!$H$5=1,H$15&gt;=_slice!$H$6-0.000000001,H$15&lt;=_slice!$I$6+0.000000001,$B30&gt;=_slice!$H$7-0.000000001,$B30&lt;=_slice!$I$7+0.000000001,IF(01_因子設定!$B$20="Box-Behnken",H$15^2+$B30^2+_slice!$H$8&lt;=2+0.000000001,TRUE())),_slice!H97,"外")</f>
        <v>46.1838399122807</v>
      </c>
      <c r="I30" s="50" t="n">
        <f aca="false">IF(AND(_slice!$H$5=1,I$15&gt;=_slice!$H$6-0.000000001,I$15&lt;=_slice!$I$6+0.000000001,$B30&gt;=_slice!$H$7-0.000000001,$B30&lt;=_slice!$I$7+0.000000001,IF(01_因子設定!$B$20="Box-Behnken",I$15^2+$B30^2+_slice!$H$8&lt;=2+0.000000001,TRUE())),_slice!I97,"外")</f>
        <v>46.5568165204678</v>
      </c>
      <c r="J30" s="50" t="n">
        <f aca="false">IF(AND(_slice!$H$5=1,J$15&gt;=_slice!$H$6-0.000000001,J$15&lt;=_slice!$I$6+0.000000001,$B30&gt;=_slice!$H$7-0.000000001,$B30&lt;=_slice!$I$7+0.000000001,IF(01_因子設定!$B$20="Box-Behnken",J$15^2+$B30^2+_slice!$H$8&lt;=2+0.000000001,TRUE())),_slice!J97,"外")</f>
        <v>46.8781440058479</v>
      </c>
      <c r="K30" s="50" t="n">
        <f aca="false">IF(AND(_slice!$H$5=1,K$15&gt;=_slice!$H$6-0.000000001,K$15&lt;=_slice!$I$6+0.000000001,$B30&gt;=_slice!$H$7-0.000000001,$B30&lt;=_slice!$I$7+0.000000001,IF(01_因子設定!$B$20="Box-Behnken",K$15^2+$B30^2+_slice!$H$8&lt;=2+0.000000001,TRUE())),_slice!K97,"外")</f>
        <v>47.147822368421</v>
      </c>
      <c r="L30" s="50" t="n">
        <f aca="false">IF(AND(_slice!$H$5=1,L$15&gt;=_slice!$H$6-0.000000001,L$15&lt;=_slice!$I$6+0.000000001,$B30&gt;=_slice!$H$7-0.000000001,$B30&lt;=_slice!$I$7+0.000000001,IF(01_因子設定!$B$20="Box-Behnken",L$15^2+$B30^2+_slice!$H$8&lt;=2+0.000000001,TRUE())),_slice!L97,"外")</f>
        <v>47.3658516081871</v>
      </c>
      <c r="M30" s="50" t="n">
        <f aca="false">IF(AND(_slice!$H$5=1,M$15&gt;=_slice!$H$6-0.000000001,M$15&lt;=_slice!$I$6+0.000000001,$B30&gt;=_slice!$H$7-0.000000001,$B30&lt;=_slice!$I$7+0.000000001,IF(01_因子設定!$B$20="Box-Behnken",M$15^2+$B30^2+_slice!$H$8&lt;=2+0.000000001,TRUE())),_slice!M97,"外")</f>
        <v>47.5322317251462</v>
      </c>
      <c r="N30" s="50" t="n">
        <f aca="false">IF(AND(_slice!$H$5=1,N$15&gt;=_slice!$H$6-0.000000001,N$15&lt;=_slice!$I$6+0.000000001,$B30&gt;=_slice!$H$7-0.000000001,$B30&lt;=_slice!$I$7+0.000000001,IF(01_因子設定!$B$20="Box-Behnken",N$15^2+$B30^2+_slice!$H$8&lt;=2+0.000000001,TRUE())),_slice!N97,"外")</f>
        <v>47.6469627192982</v>
      </c>
      <c r="O30" s="50" t="n">
        <f aca="false">IF(AND(_slice!$H$5=1,O$15&gt;=_slice!$H$6-0.000000001,O$15&lt;=_slice!$I$6+0.000000001,$B30&gt;=_slice!$H$7-0.000000001,$B30&lt;=_slice!$I$7+0.000000001,IF(01_因子設定!$B$20="Box-Behnken",O$15^2+$B30^2+_slice!$H$8&lt;=2+0.000000001,TRUE())),_slice!O97,"外")</f>
        <v>47.7100445906432</v>
      </c>
      <c r="P30" s="50" t="n">
        <f aca="false">IF(AND(_slice!$H$5=1,P$15&gt;=_slice!$H$6-0.000000001,P$15&lt;=_slice!$I$6+0.000000001,$B30&gt;=_slice!$H$7-0.000000001,$B30&lt;=_slice!$I$7+0.000000001,IF(01_因子設定!$B$20="Box-Behnken",P$15^2+$B30^2+_slice!$H$8&lt;=2+0.000000001,TRUE())),_slice!P97,"外")</f>
        <v>47.7214773391812</v>
      </c>
      <c r="Q30" s="50" t="n">
        <f aca="false">IF(AND(_slice!$H$5=1,Q$15&gt;=_slice!$H$6-0.000000001,Q$15&lt;=_slice!$I$6+0.000000001,$B30&gt;=_slice!$H$7-0.000000001,$B30&lt;=_slice!$I$7+0.000000001,IF(01_因子設定!$B$20="Box-Behnken",Q$15^2+$B30^2+_slice!$H$8&lt;=2+0.000000001,TRUE())),_slice!Q97,"外")</f>
        <v>47.6812609649123</v>
      </c>
      <c r="R30" s="50" t="n">
        <f aca="false">IF(AND(_slice!$H$5=1,R$15&gt;=_slice!$H$6-0.000000001,R$15&lt;=_slice!$I$6+0.000000001,$B30&gt;=_slice!$H$7-0.000000001,$B30&lt;=_slice!$I$7+0.000000001,IF(01_因子設定!$B$20="Box-Behnken",R$15^2+$B30^2+_slice!$H$8&lt;=2+0.000000001,TRUE())),_slice!R97,"外")</f>
        <v>47.5893954678362</v>
      </c>
      <c r="S30" s="50" t="n">
        <f aca="false">IF(AND(_slice!$H$5=1,S$15&gt;=_slice!$H$6-0.000000001,S$15&lt;=_slice!$I$6+0.000000001,$B30&gt;=_slice!$H$7-0.000000001,$B30&lt;=_slice!$I$7+0.000000001,IF(01_因子設定!$B$20="Box-Behnken",S$15^2+$B30^2+_slice!$H$8&lt;=2+0.000000001,TRUE())),_slice!S97,"外")</f>
        <v>47.4458808479532</v>
      </c>
      <c r="T30" s="50" t="n">
        <f aca="false">IF(AND(_slice!$H$5=1,T$15&gt;=_slice!$H$6-0.000000001,T$15&lt;=_slice!$I$6+0.000000001,$B30&gt;=_slice!$H$7-0.000000001,$B30&lt;=_slice!$I$7+0.000000001,IF(01_因子設定!$B$20="Box-Behnken",T$15^2+$B30^2+_slice!$H$8&lt;=2+0.000000001,TRUE())),_slice!T97,"外")</f>
        <v>47.2507171052632</v>
      </c>
      <c r="U30" s="50" t="n">
        <f aca="false">IF(AND(_slice!$H$5=1,U$15&gt;=_slice!$H$6-0.000000001,U$15&lt;=_slice!$I$6+0.000000001,$B30&gt;=_slice!$H$7-0.000000001,$B30&lt;=_slice!$I$7+0.000000001,IF(01_因子設定!$B$20="Box-Behnken",U$15^2+$B30^2+_slice!$H$8&lt;=2+0.000000001,TRUE())),_slice!U97,"外")</f>
        <v>47.0039042397661</v>
      </c>
      <c r="V30" s="50" t="n">
        <f aca="false">IF(AND(_slice!$H$5=1,V$15&gt;=_slice!$H$6-0.000000001,V$15&lt;=_slice!$I$6+0.000000001,$B30&gt;=_slice!$H$7-0.000000001,$B30&lt;=_slice!$I$7+0.000000001,IF(01_因子設定!$B$20="Box-Behnken",V$15^2+$B30^2+_slice!$H$8&lt;=2+0.000000001,TRUE())),_slice!V97,"外")</f>
        <v>46.705442251462</v>
      </c>
      <c r="W30" s="50" t="n">
        <f aca="false">IF(AND(_slice!$H$5=1,W$15&gt;=_slice!$H$6-0.000000001,W$15&lt;=_slice!$I$6+0.000000001,$B30&gt;=_slice!$H$7-0.000000001,$B30&lt;=_slice!$I$7+0.000000001,IF(01_因子設定!$B$20="Box-Behnken",W$15^2+$B30^2+_slice!$H$8&lt;=2+0.000000001,TRUE())),_slice!W97,"外")</f>
        <v>46.3553311403509</v>
      </c>
    </row>
    <row r="31" customFormat="false" ht="15" hidden="false" customHeight="false" outlineLevel="0" collapsed="false">
      <c r="A31" s="49" t="n">
        <f aca="false">INDEX(01_因子設定!$G$5:$G$8,$C$5)+B31*INDEX(01_因子設定!$H$5:$H$8,$C$5)</f>
        <v>26</v>
      </c>
      <c r="B31" s="49" t="n">
        <v>-0.4</v>
      </c>
      <c r="C31" s="50" t="n">
        <f aca="false">IF(AND(_slice!$H$5=1,C$15&gt;=_slice!$H$6-0.000000001,C$15&lt;=_slice!$I$6+0.000000001,$B31&gt;=_slice!$H$7-0.000000001,$B31&lt;=_slice!$I$7+0.000000001,IF(01_因子設定!$B$20="Box-Behnken",C$15^2+$B31^2+_slice!$H$8&lt;=2+0.000000001,TRUE())),_slice!C98,"外")</f>
        <v>43.2615036549708</v>
      </c>
      <c r="D31" s="50" t="n">
        <f aca="false">IF(AND(_slice!$H$5=1,D$15&gt;=_slice!$H$6-0.000000001,D$15&lt;=_slice!$I$6+0.000000001,$B31&gt;=_slice!$H$7-0.000000001,$B31&lt;=_slice!$I$7+0.000000001,IF(01_因子設定!$B$20="Box-Behnken",D$15^2+$B31^2+_slice!$H$8&lt;=2+0.000000001,TRUE())),_slice!D98,"外")</f>
        <v>43.881475877193</v>
      </c>
      <c r="E31" s="50" t="n">
        <f aca="false">IF(AND(_slice!$H$5=1,E$15&gt;=_slice!$H$6-0.000000001,E$15&lt;=_slice!$I$6+0.000000001,$B31&gt;=_slice!$H$7-0.000000001,$B31&lt;=_slice!$I$7+0.000000001,IF(01_因子設定!$B$20="Box-Behnken",E$15^2+$B31^2+_slice!$H$8&lt;=2+0.000000001,TRUE())),_slice!E98,"外")</f>
        <v>44.4497989766082</v>
      </c>
      <c r="F31" s="50" t="n">
        <f aca="false">IF(AND(_slice!$H$5=1,F$15&gt;=_slice!$H$6-0.000000001,F$15&lt;=_slice!$I$6+0.000000001,$B31&gt;=_slice!$H$7-0.000000001,$B31&lt;=_slice!$I$7+0.000000001,IF(01_因子設定!$B$20="Box-Behnken",F$15^2+$B31^2+_slice!$H$8&lt;=2+0.000000001,TRUE())),_slice!F98,"外")</f>
        <v>44.9664729532164</v>
      </c>
      <c r="G31" s="50" t="n">
        <f aca="false">IF(AND(_slice!$H$5=1,G$15&gt;=_slice!$H$6-0.000000001,G$15&lt;=_slice!$I$6+0.000000001,$B31&gt;=_slice!$H$7-0.000000001,$B31&lt;=_slice!$I$7+0.000000001,IF(01_因子設定!$B$20="Box-Behnken",G$15^2+$B31^2+_slice!$H$8&lt;=2+0.000000001,TRUE())),_slice!G98,"外")</f>
        <v>45.4314978070175</v>
      </c>
      <c r="H31" s="50" t="n">
        <f aca="false">IF(AND(_slice!$H$5=1,H$15&gt;=_slice!$H$6-0.000000001,H$15&lt;=_slice!$I$6+0.000000001,$B31&gt;=_slice!$H$7-0.000000001,$B31&lt;=_slice!$I$7+0.000000001,IF(01_因子設定!$B$20="Box-Behnken",H$15^2+$B31^2+_slice!$H$8&lt;=2+0.000000001,TRUE())),_slice!H98,"外")</f>
        <v>45.8448735380117</v>
      </c>
      <c r="I31" s="50" t="n">
        <f aca="false">IF(AND(_slice!$H$5=1,I$15&gt;=_slice!$H$6-0.000000001,I$15&lt;=_slice!$I$6+0.000000001,$B31&gt;=_slice!$H$7-0.000000001,$B31&lt;=_slice!$I$7+0.000000001,IF(01_因子設定!$B$20="Box-Behnken",I$15^2+$B31^2+_slice!$H$8&lt;=2+0.000000001,TRUE())),_slice!I98,"外")</f>
        <v>46.2066001461988</v>
      </c>
      <c r="J31" s="50" t="n">
        <f aca="false">IF(AND(_slice!$H$5=1,J$15&gt;=_slice!$H$6-0.000000001,J$15&lt;=_slice!$I$6+0.000000001,$B31&gt;=_slice!$H$7-0.000000001,$B31&lt;=_slice!$I$7+0.000000001,IF(01_因子設定!$B$20="Box-Behnken",J$15^2+$B31^2+_slice!$H$8&lt;=2+0.000000001,TRUE())),_slice!J98,"外")</f>
        <v>46.5166776315789</v>
      </c>
      <c r="K31" s="50" t="n">
        <f aca="false">IF(AND(_slice!$H$5=1,K$15&gt;=_slice!$H$6-0.000000001,K$15&lt;=_slice!$I$6+0.000000001,$B31&gt;=_slice!$H$7-0.000000001,$B31&lt;=_slice!$I$7+0.000000001,IF(01_因子設定!$B$20="Box-Behnken",K$15^2+$B31^2+_slice!$H$8&lt;=2+0.000000001,TRUE())),_slice!K98,"外")</f>
        <v>46.775105994152</v>
      </c>
      <c r="L31" s="50" t="n">
        <f aca="false">IF(AND(_slice!$H$5=1,L$15&gt;=_slice!$H$6-0.000000001,L$15&lt;=_slice!$I$6+0.000000001,$B31&gt;=_slice!$H$7-0.000000001,$B31&lt;=_slice!$I$7+0.000000001,IF(01_因子設定!$B$20="Box-Behnken",L$15^2+$B31^2+_slice!$H$8&lt;=2+0.000000001,TRUE())),_slice!L98,"外")</f>
        <v>46.9818852339181</v>
      </c>
      <c r="M31" s="50" t="n">
        <f aca="false">IF(AND(_slice!$H$5=1,M$15&gt;=_slice!$H$6-0.000000001,M$15&lt;=_slice!$I$6+0.000000001,$B31&gt;=_slice!$H$7-0.000000001,$B31&lt;=_slice!$I$7+0.000000001,IF(01_因子設定!$B$20="Box-Behnken",M$15^2+$B31^2+_slice!$H$8&lt;=2+0.000000001,TRUE())),_slice!M98,"外")</f>
        <v>47.1370153508771</v>
      </c>
      <c r="N31" s="50" t="n">
        <f aca="false">IF(AND(_slice!$H$5=1,N$15&gt;=_slice!$H$6-0.000000001,N$15&lt;=_slice!$I$6+0.000000001,$B31&gt;=_slice!$H$7-0.000000001,$B31&lt;=_slice!$I$7+0.000000001,IF(01_因子設定!$B$20="Box-Behnken",N$15^2+$B31^2+_slice!$H$8&lt;=2+0.000000001,TRUE())),_slice!N98,"外")</f>
        <v>47.2404963450292</v>
      </c>
      <c r="O31" s="50" t="n">
        <f aca="false">IF(AND(_slice!$H$5=1,O$15&gt;=_slice!$H$6-0.000000001,O$15&lt;=_slice!$I$6+0.000000001,$B31&gt;=_slice!$H$7-0.000000001,$B31&lt;=_slice!$I$7+0.000000001,IF(01_因子設定!$B$20="Box-Behnken",O$15^2+$B31^2+_slice!$H$8&lt;=2+0.000000001,TRUE())),_slice!O98,"外")</f>
        <v>47.2923282163742</v>
      </c>
      <c r="P31" s="50" t="n">
        <f aca="false">IF(AND(_slice!$H$5=1,P$15&gt;=_slice!$H$6-0.000000001,P$15&lt;=_slice!$I$6+0.000000001,$B31&gt;=_slice!$H$7-0.000000001,$B31&lt;=_slice!$I$7+0.000000001,IF(01_因子設定!$B$20="Box-Behnken",P$15^2+$B31^2+_slice!$H$8&lt;=2+0.000000001,TRUE())),_slice!P98,"外")</f>
        <v>47.2925109649122</v>
      </c>
      <c r="Q31" s="50" t="n">
        <f aca="false">IF(AND(_slice!$H$5=1,Q$15&gt;=_slice!$H$6-0.000000001,Q$15&lt;=_slice!$I$6+0.000000001,$B31&gt;=_slice!$H$7-0.000000001,$B31&lt;=_slice!$I$7+0.000000001,IF(01_因子設定!$B$20="Box-Behnken",Q$15^2+$B31^2+_slice!$H$8&lt;=2+0.000000001,TRUE())),_slice!Q98,"外")</f>
        <v>47.2410445906432</v>
      </c>
      <c r="R31" s="50" t="n">
        <f aca="false">IF(AND(_slice!$H$5=1,R$15&gt;=_slice!$H$6-0.000000001,R$15&lt;=_slice!$I$6+0.000000001,$B31&gt;=_slice!$H$7-0.000000001,$B31&lt;=_slice!$I$7+0.000000001,IF(01_因子設定!$B$20="Box-Behnken",R$15^2+$B31^2+_slice!$H$8&lt;=2+0.000000001,TRUE())),_slice!R98,"外")</f>
        <v>47.1379290935672</v>
      </c>
      <c r="S31" s="50" t="n">
        <f aca="false">IF(AND(_slice!$H$5=1,S$15&gt;=_slice!$H$6-0.000000001,S$15&lt;=_slice!$I$6+0.000000001,$B31&gt;=_slice!$H$7-0.000000001,$B31&lt;=_slice!$I$7+0.000000001,IF(01_因子設定!$B$20="Box-Behnken",S$15^2+$B31^2+_slice!$H$8&lt;=2+0.000000001,TRUE())),_slice!S98,"外")</f>
        <v>46.9831644736842</v>
      </c>
      <c r="T31" s="50" t="n">
        <f aca="false">IF(AND(_slice!$H$5=1,T$15&gt;=_slice!$H$6-0.000000001,T$15&lt;=_slice!$I$6+0.000000001,$B31&gt;=_slice!$H$7-0.000000001,$B31&lt;=_slice!$I$7+0.000000001,IF(01_因子設定!$B$20="Box-Behnken",T$15^2+$B31^2+_slice!$H$8&lt;=2+0.000000001,TRUE())),_slice!T98,"外")</f>
        <v>46.7767507309942</v>
      </c>
      <c r="U31" s="50" t="n">
        <f aca="false">IF(AND(_slice!$H$5=1,U$15&gt;=_slice!$H$6-0.000000001,U$15&lt;=_slice!$I$6+0.000000001,$B31&gt;=_slice!$H$7-0.000000001,$B31&lt;=_slice!$I$7+0.000000001,IF(01_因子設定!$B$20="Box-Behnken",U$15^2+$B31^2+_slice!$H$8&lt;=2+0.000000001,TRUE())),_slice!U98,"外")</f>
        <v>46.5186878654971</v>
      </c>
      <c r="V31" s="50" t="n">
        <f aca="false">IF(AND(_slice!$H$5=1,V$15&gt;=_slice!$H$6-0.000000001,V$15&lt;=_slice!$I$6+0.000000001,$B31&gt;=_slice!$H$7-0.000000001,$B31&lt;=_slice!$I$7+0.000000001,IF(01_因子設定!$B$20="Box-Behnken",V$15^2+$B31^2+_slice!$H$8&lt;=2+0.000000001,TRUE())),_slice!V98,"外")</f>
        <v>46.208975877193</v>
      </c>
      <c r="W31" s="50" t="n">
        <f aca="false">IF(AND(_slice!$H$5=1,W$15&gt;=_slice!$H$6-0.000000001,W$15&lt;=_slice!$I$6+0.000000001,$B31&gt;=_slice!$H$7-0.000000001,$B31&lt;=_slice!$I$7+0.000000001,IF(01_因子設定!$B$20="Box-Behnken",W$15^2+$B31^2+_slice!$H$8&lt;=2+0.000000001,TRUE())),_slice!W98,"外")</f>
        <v>45.8476147660819</v>
      </c>
    </row>
    <row r="32" customFormat="false" ht="15" hidden="false" customHeight="false" outlineLevel="0" collapsed="false">
      <c r="A32" s="49" t="n">
        <f aca="false">INDEX(01_因子設定!$G$5:$G$8,$C$5)+B32*INDEX(01_因子設定!$H$5:$H$8,$C$5)</f>
        <v>25</v>
      </c>
      <c r="B32" s="49" t="n">
        <v>-0.5</v>
      </c>
      <c r="C32" s="50" t="n">
        <f aca="false">IF(AND(_slice!$H$5=1,C$15&gt;=_slice!$H$6-0.000000001,C$15&lt;=_slice!$I$6+0.000000001,$B32&gt;=_slice!$H$7-0.000000001,$B32&lt;=_slice!$I$7+0.000000001,IF(01_因子設定!$B$20="Box-Behnken",C$15^2+$B32^2+_slice!$H$8&lt;=2+0.000000001,TRUE())),_slice!C99,"外")</f>
        <v>42.9271381578948</v>
      </c>
      <c r="D32" s="50" t="n">
        <f aca="false">IF(AND(_slice!$H$5=1,D$15&gt;=_slice!$H$6-0.000000001,D$15&lt;=_slice!$I$6+0.000000001,$B32&gt;=_slice!$H$7-0.000000001,$B32&lt;=_slice!$I$7+0.000000001,IF(01_因子設定!$B$20="Box-Behnken",D$15^2+$B32^2+_slice!$H$8&lt;=2+0.000000001,TRUE())),_slice!D99,"外")</f>
        <v>43.535860380117</v>
      </c>
      <c r="E32" s="50" t="n">
        <f aca="false">IF(AND(_slice!$H$5=1,E$15&gt;=_slice!$H$6-0.000000001,E$15&lt;=_slice!$I$6+0.000000001,$B32&gt;=_slice!$H$7-0.000000001,$B32&lt;=_slice!$I$7+0.000000001,IF(01_因子設定!$B$20="Box-Behnken",E$15^2+$B32^2+_slice!$H$8&lt;=2+0.000000001,TRUE())),_slice!E99,"外")</f>
        <v>44.0929334795322</v>
      </c>
      <c r="F32" s="50" t="n">
        <f aca="false">IF(AND(_slice!$H$5=1,F$15&gt;=_slice!$H$6-0.000000001,F$15&lt;=_slice!$I$6+0.000000001,$B32&gt;=_slice!$H$7-0.000000001,$B32&lt;=_slice!$I$7+0.000000001,IF(01_因子設定!$B$20="Box-Behnken",F$15^2+$B32^2+_slice!$H$8&lt;=2+0.000000001,TRUE())),_slice!F99,"外")</f>
        <v>44.5983574561403</v>
      </c>
      <c r="G32" s="50" t="n">
        <f aca="false">IF(AND(_slice!$H$5=1,G$15&gt;=_slice!$H$6-0.000000001,G$15&lt;=_slice!$I$6+0.000000001,$B32&gt;=_slice!$H$7-0.000000001,$B32&lt;=_slice!$I$7+0.000000001,IF(01_因子設定!$B$20="Box-Behnken",G$15^2+$B32^2+_slice!$H$8&lt;=2+0.000000001,TRUE())),_slice!G99,"外")</f>
        <v>45.0521323099415</v>
      </c>
      <c r="H32" s="50" t="n">
        <f aca="false">IF(AND(_slice!$H$5=1,H$15&gt;=_slice!$H$6-0.000000001,H$15&lt;=_slice!$I$6+0.000000001,$B32&gt;=_slice!$H$7-0.000000001,$B32&lt;=_slice!$I$7+0.000000001,IF(01_因子設定!$B$20="Box-Behnken",H$15^2+$B32^2+_slice!$H$8&lt;=2+0.000000001,TRUE())),_slice!H99,"外")</f>
        <v>45.4542580409356</v>
      </c>
      <c r="I32" s="50" t="n">
        <f aca="false">IF(AND(_slice!$H$5=1,I$15&gt;=_slice!$H$6-0.000000001,I$15&lt;=_slice!$I$6+0.000000001,$B32&gt;=_slice!$H$7-0.000000001,$B32&lt;=_slice!$I$7+0.000000001,IF(01_因子設定!$B$20="Box-Behnken",I$15^2+$B32^2+_slice!$H$8&lt;=2+0.000000001,TRUE())),_slice!I99,"外")</f>
        <v>45.8047346491228</v>
      </c>
      <c r="J32" s="50" t="n">
        <f aca="false">IF(AND(_slice!$H$5=1,J$15&gt;=_slice!$H$6-0.000000001,J$15&lt;=_slice!$I$6+0.000000001,$B32&gt;=_slice!$H$7-0.000000001,$B32&lt;=_slice!$I$7+0.000000001,IF(01_因子設定!$B$20="Box-Behnken",J$15^2+$B32^2+_slice!$H$8&lt;=2+0.000000001,TRUE())),_slice!J99,"外")</f>
        <v>46.1035621345029</v>
      </c>
      <c r="K32" s="50" t="n">
        <f aca="false">IF(AND(_slice!$H$5=1,K$15&gt;=_slice!$H$6-0.000000001,K$15&lt;=_slice!$I$6+0.000000001,$B32&gt;=_slice!$H$7-0.000000001,$B32&lt;=_slice!$I$7+0.000000001,IF(01_因子設定!$B$20="Box-Behnken",K$15^2+$B32^2+_slice!$H$8&lt;=2+0.000000001,TRUE())),_slice!K99,"外")</f>
        <v>46.350740497076</v>
      </c>
      <c r="L32" s="50" t="n">
        <f aca="false">IF(AND(_slice!$H$5=1,L$15&gt;=_slice!$H$6-0.000000001,L$15&lt;=_slice!$I$6+0.000000001,$B32&gt;=_slice!$H$7-0.000000001,$B32&lt;=_slice!$I$7+0.000000001,IF(01_因子設定!$B$20="Box-Behnken",L$15^2+$B32^2+_slice!$H$8&lt;=2+0.000000001,TRUE())),_slice!L99,"外")</f>
        <v>46.5462697368421</v>
      </c>
      <c r="M32" s="50" t="n">
        <f aca="false">IF(AND(_slice!$H$5=1,M$15&gt;=_slice!$H$6-0.000000001,M$15&lt;=_slice!$I$6+0.000000001,$B32&gt;=_slice!$H$7-0.000000001,$B32&lt;=_slice!$I$7+0.000000001,IF(01_因子設定!$B$20="Box-Behnken",M$15^2+$B32^2+_slice!$H$8&lt;=2+0.000000001,TRUE())),_slice!M99,"外")</f>
        <v>46.6901498538011</v>
      </c>
      <c r="N32" s="50" t="n">
        <f aca="false">IF(AND(_slice!$H$5=1,N$15&gt;=_slice!$H$6-0.000000001,N$15&lt;=_slice!$I$6+0.000000001,$B32&gt;=_slice!$H$7-0.000000001,$B32&lt;=_slice!$I$7+0.000000001,IF(01_因子設定!$B$20="Box-Behnken",N$15^2+$B32^2+_slice!$H$8&lt;=2+0.000000001,TRUE())),_slice!N99,"外")</f>
        <v>46.7823808479532</v>
      </c>
      <c r="O32" s="50" t="n">
        <f aca="false">IF(AND(_slice!$H$5=1,O$15&gt;=_slice!$H$6-0.000000001,O$15&lt;=_slice!$I$6+0.000000001,$B32&gt;=_slice!$H$7-0.000000001,$B32&lt;=_slice!$I$7+0.000000001,IF(01_因子設定!$B$20="Box-Behnken",O$15^2+$B32^2+_slice!$H$8&lt;=2+0.000000001,TRUE())),_slice!O99,"外")</f>
        <v>46.8229627192982</v>
      </c>
      <c r="P32" s="50" t="n">
        <f aca="false">IF(AND(_slice!$H$5=1,P$15&gt;=_slice!$H$6-0.000000001,P$15&lt;=_slice!$I$6+0.000000001,$B32&gt;=_slice!$H$7-0.000000001,$B32&lt;=_slice!$I$7+0.000000001,IF(01_因子設定!$B$20="Box-Behnken",P$15^2+$B32^2+_slice!$H$8&lt;=2+0.000000001,TRUE())),_slice!P99,"外")</f>
        <v>46.8118954678362</v>
      </c>
      <c r="Q32" s="50" t="n">
        <f aca="false">IF(AND(_slice!$H$5=1,Q$15&gt;=_slice!$H$6-0.000000001,Q$15&lt;=_slice!$I$6+0.000000001,$B32&gt;=_slice!$H$7-0.000000001,$B32&lt;=_slice!$I$7+0.000000001,IF(01_因子設定!$B$20="Box-Behnken",Q$15^2+$B32^2+_slice!$H$8&lt;=2+0.000000001,TRUE())),_slice!Q99,"外")</f>
        <v>46.7491790935672</v>
      </c>
      <c r="R32" s="50" t="n">
        <f aca="false">IF(AND(_slice!$H$5=1,R$15&gt;=_slice!$H$6-0.000000001,R$15&lt;=_slice!$I$6+0.000000001,$B32&gt;=_slice!$H$7-0.000000001,$B32&lt;=_slice!$I$7+0.000000001,IF(01_因子設定!$B$20="Box-Behnken",R$15^2+$B32^2+_slice!$H$8&lt;=2+0.000000001,TRUE())),_slice!R99,"外")</f>
        <v>46.6348135964912</v>
      </c>
      <c r="S32" s="50" t="n">
        <f aca="false">IF(AND(_slice!$H$5=1,S$15&gt;=_slice!$H$6-0.000000001,S$15&lt;=_slice!$I$6+0.000000001,$B32&gt;=_slice!$H$7-0.000000001,$B32&lt;=_slice!$I$7+0.000000001,IF(01_因子設定!$B$20="Box-Behnken",S$15^2+$B32^2+_slice!$H$8&lt;=2+0.000000001,TRUE())),_slice!S99,"外")</f>
        <v>46.4687989766082</v>
      </c>
      <c r="T32" s="50" t="n">
        <f aca="false">IF(AND(_slice!$H$5=1,T$15&gt;=_slice!$H$6-0.000000001,T$15&lt;=_slice!$I$6+0.000000001,$B32&gt;=_slice!$H$7-0.000000001,$B32&lt;=_slice!$I$7+0.000000001,IF(01_因子設定!$B$20="Box-Behnken",T$15^2+$B32^2+_slice!$H$8&lt;=2+0.000000001,TRUE())),_slice!T99,"外")</f>
        <v>46.2511352339181</v>
      </c>
      <c r="U32" s="50" t="n">
        <f aca="false">IF(AND(_slice!$H$5=1,U$15&gt;=_slice!$H$6-0.000000001,U$15&lt;=_slice!$I$6+0.000000001,$B32&gt;=_slice!$H$7-0.000000001,$B32&lt;=_slice!$I$7+0.000000001,IF(01_因子設定!$B$20="Box-Behnken",U$15^2+$B32^2+_slice!$H$8&lt;=2+0.000000001,TRUE())),_slice!U99,"外")</f>
        <v>45.9818223684211</v>
      </c>
      <c r="V32" s="50" t="n">
        <f aca="false">IF(AND(_slice!$H$5=1,V$15&gt;=_slice!$H$6-0.000000001,V$15&lt;=_slice!$I$6+0.000000001,$B32&gt;=_slice!$H$7-0.000000001,$B32&lt;=_slice!$I$7+0.000000001,IF(01_因子設定!$B$20="Box-Behnken",V$15^2+$B32^2+_slice!$H$8&lt;=2+0.000000001,TRUE())),_slice!V99,"外")</f>
        <v>45.660860380117</v>
      </c>
      <c r="W32" s="50" t="n">
        <f aca="false">IF(AND(_slice!$H$5=1,W$15&gt;=_slice!$H$6-0.000000001,W$15&lt;=_slice!$I$6+0.000000001,$B32&gt;=_slice!$H$7-0.000000001,$B32&lt;=_slice!$I$7+0.000000001,IF(01_因子設定!$B$20="Box-Behnken",W$15^2+$B32^2+_slice!$H$8&lt;=2+0.000000001,TRUE())),_slice!W99,"外")</f>
        <v>45.2882492690059</v>
      </c>
    </row>
    <row r="33" customFormat="false" ht="15" hidden="false" customHeight="false" outlineLevel="0" collapsed="false">
      <c r="A33" s="49" t="n">
        <f aca="false">INDEX(01_因子設定!$G$5:$G$8,$C$5)+B33*INDEX(01_因子設定!$H$5:$H$8,$C$5)</f>
        <v>24</v>
      </c>
      <c r="B33" s="49" t="n">
        <v>-0.6</v>
      </c>
      <c r="C33" s="50" t="n">
        <f aca="false">IF(AND(_slice!$H$5=1,C$15&gt;=_slice!$H$6-0.000000001,C$15&lt;=_slice!$I$6+0.000000001,$B33&gt;=_slice!$H$7-0.000000001,$B33&lt;=_slice!$I$7+0.000000001,IF(01_因子設定!$B$20="Box-Behnken",C$15^2+$B33^2+_slice!$H$8&lt;=2+0.000000001,TRUE())),_slice!C100,"外")</f>
        <v>42.5411235380117</v>
      </c>
      <c r="D33" s="50" t="n">
        <f aca="false">IF(AND(_slice!$H$5=1,D$15&gt;=_slice!$H$6-0.000000001,D$15&lt;=_slice!$I$6+0.000000001,$B33&gt;=_slice!$H$7-0.000000001,$B33&lt;=_slice!$I$7+0.000000001,IF(01_因子設定!$B$20="Box-Behnken",D$15^2+$B33^2+_slice!$H$8&lt;=2+0.000000001,TRUE())),_slice!D100,"外")</f>
        <v>43.1385957602339</v>
      </c>
      <c r="E33" s="50" t="n">
        <f aca="false">IF(AND(_slice!$H$5=1,E$15&gt;=_slice!$H$6-0.000000001,E$15&lt;=_slice!$I$6+0.000000001,$B33&gt;=_slice!$H$7-0.000000001,$B33&lt;=_slice!$I$7+0.000000001,IF(01_因子設定!$B$20="Box-Behnken",E$15^2+$B33^2+_slice!$H$8&lt;=2+0.000000001,TRUE())),_slice!E100,"外")</f>
        <v>43.6844188596491</v>
      </c>
      <c r="F33" s="50" t="n">
        <f aca="false">IF(AND(_slice!$H$5=1,F$15&gt;=_slice!$H$6-0.000000001,F$15&lt;=_slice!$I$6+0.000000001,$B33&gt;=_slice!$H$7-0.000000001,$B33&lt;=_slice!$I$7+0.000000001,IF(01_因子設定!$B$20="Box-Behnken",F$15^2+$B33^2+_slice!$H$8&lt;=2+0.000000001,TRUE())),_slice!F100,"外")</f>
        <v>44.1785928362573</v>
      </c>
      <c r="G33" s="50" t="n">
        <f aca="false">IF(AND(_slice!$H$5=1,G$15&gt;=_slice!$H$6-0.000000001,G$15&lt;=_slice!$I$6+0.000000001,$B33&gt;=_slice!$H$7-0.000000001,$B33&lt;=_slice!$I$7+0.000000001,IF(01_因子設定!$B$20="Box-Behnken",G$15^2+$B33^2+_slice!$H$8&lt;=2+0.000000001,TRUE())),_slice!G100,"外")</f>
        <v>44.6211176900585</v>
      </c>
      <c r="H33" s="50" t="n">
        <f aca="false">IF(AND(_slice!$H$5=1,H$15&gt;=_slice!$H$6-0.000000001,H$15&lt;=_slice!$I$6+0.000000001,$B33&gt;=_slice!$H$7-0.000000001,$B33&lt;=_slice!$I$7+0.000000001,IF(01_因子設定!$B$20="Box-Behnken",H$15^2+$B33^2+_slice!$H$8&lt;=2+0.000000001,TRUE())),_slice!H100,"外")</f>
        <v>45.0119934210526</v>
      </c>
      <c r="I33" s="50" t="n">
        <f aca="false">IF(AND(_slice!$H$5=1,I$15&gt;=_slice!$H$6-0.000000001,I$15&lt;=_slice!$I$6+0.000000001,$B33&gt;=_slice!$H$7-0.000000001,$B33&lt;=_slice!$I$7+0.000000001,IF(01_因子設定!$B$20="Box-Behnken",I$15^2+$B33^2+_slice!$H$8&lt;=2+0.000000001,TRUE())),_slice!I100,"外")</f>
        <v>45.3512200292397</v>
      </c>
      <c r="J33" s="50" t="n">
        <f aca="false">IF(AND(_slice!$H$5=1,J$15&gt;=_slice!$H$6-0.000000001,J$15&lt;=_slice!$I$6+0.000000001,$B33&gt;=_slice!$H$7-0.000000001,$B33&lt;=_slice!$I$7+0.000000001,IF(01_因子設定!$B$20="Box-Behnken",J$15^2+$B33^2+_slice!$H$8&lt;=2+0.000000001,TRUE())),_slice!J100,"外")</f>
        <v>45.6387975146198</v>
      </c>
      <c r="K33" s="50" t="n">
        <f aca="false">IF(AND(_slice!$H$5=1,K$15&gt;=_slice!$H$6-0.000000001,K$15&lt;=_slice!$I$6+0.000000001,$B33&gt;=_slice!$H$7-0.000000001,$B33&lt;=_slice!$I$7+0.000000001,IF(01_因子設定!$B$20="Box-Behnken",K$15^2+$B33^2+_slice!$H$8&lt;=2+0.000000001,TRUE())),_slice!K100,"外")</f>
        <v>45.8747258771929</v>
      </c>
      <c r="L33" s="50" t="n">
        <f aca="false">IF(AND(_slice!$H$5=1,L$15&gt;=_slice!$H$6-0.000000001,L$15&lt;=_slice!$I$6+0.000000001,$B33&gt;=_slice!$H$7-0.000000001,$B33&lt;=_slice!$I$7+0.000000001,IF(01_因子設定!$B$20="Box-Behnken",L$15^2+$B33^2+_slice!$H$8&lt;=2+0.000000001,TRUE())),_slice!L100,"外")</f>
        <v>46.059005116959</v>
      </c>
      <c r="M33" s="50" t="n">
        <f aca="false">IF(AND(_slice!$H$5=1,M$15&gt;=_slice!$H$6-0.000000001,M$15&lt;=_slice!$I$6+0.000000001,$B33&gt;=_slice!$H$7-0.000000001,$B33&lt;=_slice!$I$7+0.000000001,IF(01_因子設定!$B$20="Box-Behnken",M$15^2+$B33^2+_slice!$H$8&lt;=2+0.000000001,TRUE())),_slice!M100,"外")</f>
        <v>46.1916352339181</v>
      </c>
      <c r="N33" s="50" t="n">
        <f aca="false">IF(AND(_slice!$H$5=1,N$15&gt;=_slice!$H$6-0.000000001,N$15&lt;=_slice!$I$6+0.000000001,$B33&gt;=_slice!$H$7-0.000000001,$B33&lt;=_slice!$I$7+0.000000001,IF(01_因子設定!$B$20="Box-Behnken",N$15^2+$B33^2+_slice!$H$8&lt;=2+0.000000001,TRUE())),_slice!N100,"外")</f>
        <v>46.2726162280701</v>
      </c>
      <c r="O33" s="50" t="n">
        <f aca="false">IF(AND(_slice!$H$5=1,O$15&gt;=_slice!$H$6-0.000000001,O$15&lt;=_slice!$I$6+0.000000001,$B33&gt;=_slice!$H$7-0.000000001,$B33&lt;=_slice!$I$7+0.000000001,IF(01_因子設定!$B$20="Box-Behnken",O$15^2+$B33^2+_slice!$H$8&lt;=2+0.000000001,TRUE())),_slice!O100,"外")</f>
        <v>46.3019480994152</v>
      </c>
      <c r="P33" s="50" t="n">
        <f aca="false">IF(AND(_slice!$H$5=1,P$15&gt;=_slice!$H$6-0.000000001,P$15&lt;=_slice!$I$6+0.000000001,$B33&gt;=_slice!$H$7-0.000000001,$B33&lt;=_slice!$I$7+0.000000001,IF(01_因子設定!$B$20="Box-Behnken",P$15^2+$B33^2+_slice!$H$8&lt;=2+0.000000001,TRUE())),_slice!P100,"外")</f>
        <v>46.2796308479532</v>
      </c>
      <c r="Q33" s="50" t="n">
        <f aca="false">IF(AND(_slice!$H$5=1,Q$15&gt;=_slice!$H$6-0.000000001,Q$15&lt;=_slice!$I$6+0.000000001,$B33&gt;=_slice!$H$7-0.000000001,$B33&lt;=_slice!$I$7+0.000000001,IF(01_因子設定!$B$20="Box-Behnken",Q$15^2+$B33^2+_slice!$H$8&lt;=2+0.000000001,TRUE())),_slice!Q100,"外")</f>
        <v>46.2056644736842</v>
      </c>
      <c r="R33" s="50" t="n">
        <f aca="false">IF(AND(_slice!$H$5=1,R$15&gt;=_slice!$H$6-0.000000001,R$15&lt;=_slice!$I$6+0.000000001,$B33&gt;=_slice!$H$7-0.000000001,$B33&lt;=_slice!$I$7+0.000000001,IF(01_因子設定!$B$20="Box-Behnken",R$15^2+$B33^2+_slice!$H$8&lt;=2+0.000000001,TRUE())),_slice!R100,"外")</f>
        <v>46.0800489766082</v>
      </c>
      <c r="S33" s="50" t="n">
        <f aca="false">IF(AND(_slice!$H$5=1,S$15&gt;=_slice!$H$6-0.000000001,S$15&lt;=_slice!$I$6+0.000000001,$B33&gt;=_slice!$H$7-0.000000001,$B33&lt;=_slice!$I$7+0.000000001,IF(01_因子設定!$B$20="Box-Behnken",S$15^2+$B33^2+_slice!$H$8&lt;=2+0.000000001,TRUE())),_slice!S100,"外")</f>
        <v>45.9027843567251</v>
      </c>
      <c r="T33" s="50" t="n">
        <f aca="false">IF(AND(_slice!$H$5=1,T$15&gt;=_slice!$H$6-0.000000001,T$15&lt;=_slice!$I$6+0.000000001,$B33&gt;=_slice!$H$7-0.000000001,$B33&lt;=_slice!$I$7+0.000000001,IF(01_因子設定!$B$20="Box-Behnken",T$15^2+$B33^2+_slice!$H$8&lt;=2+0.000000001,TRUE())),_slice!T100,"外")</f>
        <v>45.6738706140351</v>
      </c>
      <c r="U33" s="50" t="n">
        <f aca="false">IF(AND(_slice!$H$5=1,U$15&gt;=_slice!$H$6-0.000000001,U$15&lt;=_slice!$I$6+0.000000001,$B33&gt;=_slice!$H$7-0.000000001,$B33&lt;=_slice!$I$7+0.000000001,IF(01_因子設定!$B$20="Box-Behnken",U$15^2+$B33^2+_slice!$H$8&lt;=2+0.000000001,TRUE())),_slice!U100,"外")</f>
        <v>45.393307748538</v>
      </c>
      <c r="V33" s="50" t="n">
        <f aca="false">IF(AND(_slice!$H$5=1,V$15&gt;=_slice!$H$6-0.000000001,V$15&lt;=_slice!$I$6+0.000000001,$B33&gt;=_slice!$H$7-0.000000001,$B33&lt;=_slice!$I$7+0.000000001,IF(01_因子設定!$B$20="Box-Behnken",V$15^2+$B33^2+_slice!$H$8&lt;=2+0.000000001,TRUE())),_slice!V100,"外")</f>
        <v>45.0610957602339</v>
      </c>
      <c r="W33" s="50" t="n">
        <f aca="false">IF(AND(_slice!$H$5=1,W$15&gt;=_slice!$H$6-0.000000001,W$15&lt;=_slice!$I$6+0.000000001,$B33&gt;=_slice!$H$7-0.000000001,$B33&lt;=_slice!$I$7+0.000000001,IF(01_因子設定!$B$20="Box-Behnken",W$15^2+$B33^2+_slice!$H$8&lt;=2+0.000000001,TRUE())),_slice!W100,"外")</f>
        <v>44.6772346491228</v>
      </c>
    </row>
    <row r="34" customFormat="false" ht="15" hidden="false" customHeight="false" outlineLevel="0" collapsed="false">
      <c r="A34" s="49" t="n">
        <f aca="false">INDEX(01_因子設定!$G$5:$G$8,$C$5)+B34*INDEX(01_因子設定!$H$5:$H$8,$C$5)</f>
        <v>23</v>
      </c>
      <c r="B34" s="49" t="n">
        <v>-0.7</v>
      </c>
      <c r="C34" s="50" t="n">
        <f aca="false">IF(AND(_slice!$H$5=1,C$15&gt;=_slice!$H$6-0.000000001,C$15&lt;=_slice!$I$6+0.000000001,$B34&gt;=_slice!$H$7-0.000000001,$B34&lt;=_slice!$I$7+0.000000001,IF(01_因子設定!$B$20="Box-Behnken",C$15^2+$B34^2+_slice!$H$8&lt;=2+0.000000001,TRUE())),_slice!C101,"外")</f>
        <v>42.1034597953217</v>
      </c>
      <c r="D34" s="50" t="n">
        <f aca="false">IF(AND(_slice!$H$5=1,D$15&gt;=_slice!$H$6-0.000000001,D$15&lt;=_slice!$I$6+0.000000001,$B34&gt;=_slice!$H$7-0.000000001,$B34&lt;=_slice!$I$7+0.000000001,IF(01_因子設定!$B$20="Box-Behnken",D$15^2+$B34^2+_slice!$H$8&lt;=2+0.000000001,TRUE())),_slice!D101,"外")</f>
        <v>42.6896820175439</v>
      </c>
      <c r="E34" s="50" t="n">
        <f aca="false">IF(AND(_slice!$H$5=1,E$15&gt;=_slice!$H$6-0.000000001,E$15&lt;=_slice!$I$6+0.000000001,$B34&gt;=_slice!$H$7-0.000000001,$B34&lt;=_slice!$I$7+0.000000001,IF(01_因子設定!$B$20="Box-Behnken",E$15^2+$B34^2+_slice!$H$8&lt;=2+0.000000001,TRUE())),_slice!E101,"外")</f>
        <v>43.2242551169591</v>
      </c>
      <c r="F34" s="50" t="n">
        <f aca="false">IF(AND(_slice!$H$5=1,F$15&gt;=_slice!$H$6-0.000000001,F$15&lt;=_slice!$I$6+0.000000001,$B34&gt;=_slice!$H$7-0.000000001,$B34&lt;=_slice!$I$7+0.000000001,IF(01_因子設定!$B$20="Box-Behnken",F$15^2+$B34^2+_slice!$H$8&lt;=2+0.000000001,TRUE())),_slice!F101,"外")</f>
        <v>43.7071790935673</v>
      </c>
      <c r="G34" s="50" t="n">
        <f aca="false">IF(AND(_slice!$H$5=1,G$15&gt;=_slice!$H$6-0.000000001,G$15&lt;=_slice!$I$6+0.000000001,$B34&gt;=_slice!$H$7-0.000000001,$B34&lt;=_slice!$I$7+0.000000001,IF(01_因子設定!$B$20="Box-Behnken",G$15^2+$B34^2+_slice!$H$8&lt;=2+0.000000001,TRUE())),_slice!G101,"外")</f>
        <v>44.1384539473684</v>
      </c>
      <c r="H34" s="50" t="n">
        <f aca="false">IF(AND(_slice!$H$5=1,H$15&gt;=_slice!$H$6-0.000000001,H$15&lt;=_slice!$I$6+0.000000001,$B34&gt;=_slice!$H$7-0.000000001,$B34&lt;=_slice!$I$7+0.000000001,IF(01_因子設定!$B$20="Box-Behnken",H$15^2+$B34^2+_slice!$H$8&lt;=2+0.000000001,TRUE())),_slice!H101,"外")</f>
        <v>44.5180796783625</v>
      </c>
      <c r="I34" s="50" t="n">
        <f aca="false">IF(AND(_slice!$H$5=1,I$15&gt;=_slice!$H$6-0.000000001,I$15&lt;=_slice!$I$6+0.000000001,$B34&gt;=_slice!$H$7-0.000000001,$B34&lt;=_slice!$I$7+0.000000001,IF(01_因子設定!$B$20="Box-Behnken",I$15^2+$B34^2+_slice!$H$8&lt;=2+0.000000001,TRUE())),_slice!I101,"外")</f>
        <v>44.8460562865497</v>
      </c>
      <c r="J34" s="50" t="n">
        <f aca="false">IF(AND(_slice!$H$5=1,J$15&gt;=_slice!$H$6-0.000000001,J$15&lt;=_slice!$I$6+0.000000001,$B34&gt;=_slice!$H$7-0.000000001,$B34&lt;=_slice!$I$7+0.000000001,IF(01_因子設定!$B$20="Box-Behnken",J$15^2+$B34^2+_slice!$H$8&lt;=2+0.000000001,TRUE())),_slice!J101,"外")</f>
        <v>45.1223837719298</v>
      </c>
      <c r="K34" s="50" t="n">
        <f aca="false">IF(AND(_slice!$H$5=1,K$15&gt;=_slice!$H$6-0.000000001,K$15&lt;=_slice!$I$6+0.000000001,$B34&gt;=_slice!$H$7-0.000000001,$B34&lt;=_slice!$I$7+0.000000001,IF(01_因子設定!$B$20="Box-Behnken",K$15^2+$B34^2+_slice!$H$8&lt;=2+0.000000001,TRUE())),_slice!K101,"外")</f>
        <v>45.3470621345029</v>
      </c>
      <c r="L34" s="50" t="n">
        <f aca="false">IF(AND(_slice!$H$5=1,L$15&gt;=_slice!$H$6-0.000000001,L$15&lt;=_slice!$I$6+0.000000001,$B34&gt;=_slice!$H$7-0.000000001,$B34&lt;=_slice!$I$7+0.000000001,IF(01_因子設定!$B$20="Box-Behnken",L$15^2+$B34^2+_slice!$H$8&lt;=2+0.000000001,TRUE())),_slice!L101,"外")</f>
        <v>45.520091374269</v>
      </c>
      <c r="M34" s="50" t="n">
        <f aca="false">IF(AND(_slice!$H$5=1,M$15&gt;=_slice!$H$6-0.000000001,M$15&lt;=_slice!$I$6+0.000000001,$B34&gt;=_slice!$H$7-0.000000001,$B34&lt;=_slice!$I$7+0.000000001,IF(01_因子設定!$B$20="Box-Behnken",M$15^2+$B34^2+_slice!$H$8&lt;=2+0.000000001,TRUE())),_slice!M101,"外")</f>
        <v>45.641471491228</v>
      </c>
      <c r="N34" s="50" t="n">
        <f aca="false">IF(AND(_slice!$H$5=1,N$15&gt;=_slice!$H$6-0.000000001,N$15&lt;=_slice!$I$6+0.000000001,$B34&gt;=_slice!$H$7-0.000000001,$B34&lt;=_slice!$I$7+0.000000001,IF(01_因子設定!$B$20="Box-Behnken",N$15^2+$B34^2+_slice!$H$8&lt;=2+0.000000001,TRUE())),_slice!N101,"外")</f>
        <v>45.7112024853801</v>
      </c>
      <c r="O34" s="50" t="n">
        <f aca="false">IF(AND(_slice!$H$5=1,O$15&gt;=_slice!$H$6-0.000000001,O$15&lt;=_slice!$I$6+0.000000001,$B34&gt;=_slice!$H$7-0.000000001,$B34&lt;=_slice!$I$7+0.000000001,IF(01_因子設定!$B$20="Box-Behnken",O$15^2+$B34^2+_slice!$H$8&lt;=2+0.000000001,TRUE())),_slice!O101,"外")</f>
        <v>45.7292843567251</v>
      </c>
      <c r="P34" s="50" t="n">
        <f aca="false">IF(AND(_slice!$H$5=1,P$15&gt;=_slice!$H$6-0.000000001,P$15&lt;=_slice!$I$6+0.000000001,$B34&gt;=_slice!$H$7-0.000000001,$B34&lt;=_slice!$I$7+0.000000001,IF(01_因子設定!$B$20="Box-Behnken",P$15^2+$B34^2+_slice!$H$8&lt;=2+0.000000001,TRUE())),_slice!P101,"外")</f>
        <v>45.6957171052631</v>
      </c>
      <c r="Q34" s="50" t="n">
        <f aca="false">IF(AND(_slice!$H$5=1,Q$15&gt;=_slice!$H$6-0.000000001,Q$15&lt;=_slice!$I$6+0.000000001,$B34&gt;=_slice!$H$7-0.000000001,$B34&lt;=_slice!$I$7+0.000000001,IF(01_因子設定!$B$20="Box-Behnken",Q$15^2+$B34^2+_slice!$H$8&lt;=2+0.000000001,TRUE())),_slice!Q101,"外")</f>
        <v>45.6105007309941</v>
      </c>
      <c r="R34" s="50" t="n">
        <f aca="false">IF(AND(_slice!$H$5=1,R$15&gt;=_slice!$H$6-0.000000001,R$15&lt;=_slice!$I$6+0.000000001,$B34&gt;=_slice!$H$7-0.000000001,$B34&lt;=_slice!$I$7+0.000000001,IF(01_因子設定!$B$20="Box-Behnken",R$15^2+$B34^2+_slice!$H$8&lt;=2+0.000000001,TRUE())),_slice!R101,"外")</f>
        <v>45.4736352339181</v>
      </c>
      <c r="S34" s="50" t="n">
        <f aca="false">IF(AND(_slice!$H$5=1,S$15&gt;=_slice!$H$6-0.000000001,S$15&lt;=_slice!$I$6+0.000000001,$B34&gt;=_slice!$H$7-0.000000001,$B34&lt;=_slice!$I$7+0.000000001,IF(01_因子設定!$B$20="Box-Behnken",S$15^2+$B34^2+_slice!$H$8&lt;=2+0.000000001,TRUE())),_slice!S101,"外")</f>
        <v>45.2851206140351</v>
      </c>
      <c r="T34" s="50" t="n">
        <f aca="false">IF(AND(_slice!$H$5=1,T$15&gt;=_slice!$H$6-0.000000001,T$15&lt;=_slice!$I$6+0.000000001,$B34&gt;=_slice!$H$7-0.000000001,$B34&lt;=_slice!$I$7+0.000000001,IF(01_因子設定!$B$20="Box-Behnken",T$15^2+$B34^2+_slice!$H$8&lt;=2+0.000000001,TRUE())),_slice!T101,"外")</f>
        <v>45.044956871345</v>
      </c>
      <c r="U34" s="50" t="n">
        <f aca="false">IF(AND(_slice!$H$5=1,U$15&gt;=_slice!$H$6-0.000000001,U$15&lt;=_slice!$I$6+0.000000001,$B34&gt;=_slice!$H$7-0.000000001,$B34&lt;=_slice!$I$7+0.000000001,IF(01_因子設定!$B$20="Box-Behnken",U$15^2+$B34^2+_slice!$H$8&lt;=2+0.000000001,TRUE())),_slice!U101,"外")</f>
        <v>44.753144005848</v>
      </c>
      <c r="V34" s="50" t="n">
        <f aca="false">IF(AND(_slice!$H$5=1,V$15&gt;=_slice!$H$6-0.000000001,V$15&lt;=_slice!$I$6+0.000000001,$B34&gt;=_slice!$H$7-0.000000001,$B34&lt;=_slice!$I$7+0.000000001,IF(01_因子設定!$B$20="Box-Behnken",V$15^2+$B34^2+_slice!$H$8&lt;=2+0.000000001,TRUE())),_slice!V101,"外")</f>
        <v>44.4096820175439</v>
      </c>
      <c r="W34" s="50" t="n">
        <f aca="false">IF(AND(_slice!$H$5=1,W$15&gt;=_slice!$H$6-0.000000001,W$15&lt;=_slice!$I$6+0.000000001,$B34&gt;=_slice!$H$7-0.000000001,$B34&lt;=_slice!$I$7+0.000000001,IF(01_因子設定!$B$20="Box-Behnken",W$15^2+$B34^2+_slice!$H$8&lt;=2+0.000000001,TRUE())),_slice!W101,"外")</f>
        <v>44.0145709064328</v>
      </c>
    </row>
    <row r="35" customFormat="false" ht="15" hidden="false" customHeight="false" outlineLevel="0" collapsed="false">
      <c r="A35" s="49" t="n">
        <f aca="false">INDEX(01_因子設定!$G$5:$G$8,$C$5)+B35*INDEX(01_因子設定!$H$5:$H$8,$C$5)</f>
        <v>22</v>
      </c>
      <c r="B35" s="49" t="n">
        <v>-0.8</v>
      </c>
      <c r="C35" s="50" t="n">
        <f aca="false">IF(AND(_slice!$H$5=1,C$15&gt;=_slice!$H$6-0.000000001,C$15&lt;=_slice!$I$6+0.000000001,$B35&gt;=_slice!$H$7-0.000000001,$B35&lt;=_slice!$I$7+0.000000001,IF(01_因子設定!$B$20="Box-Behnken",C$15^2+$B35^2+_slice!$H$8&lt;=2+0.000000001,TRUE())),_slice!C102,"外")</f>
        <v>41.6141469298246</v>
      </c>
      <c r="D35" s="50" t="n">
        <f aca="false">IF(AND(_slice!$H$5=1,D$15&gt;=_slice!$H$6-0.000000001,D$15&lt;=_slice!$I$6+0.000000001,$B35&gt;=_slice!$H$7-0.000000001,$B35&lt;=_slice!$I$7+0.000000001,IF(01_因子設定!$B$20="Box-Behnken",D$15^2+$B35^2+_slice!$H$8&lt;=2+0.000000001,TRUE())),_slice!D102,"外")</f>
        <v>42.1891191520468</v>
      </c>
      <c r="E35" s="50" t="n">
        <f aca="false">IF(AND(_slice!$H$5=1,E$15&gt;=_slice!$H$6-0.000000001,E$15&lt;=_slice!$I$6+0.000000001,$B35&gt;=_slice!$H$7-0.000000001,$B35&lt;=_slice!$I$7+0.000000001,IF(01_因子設定!$B$20="Box-Behnken",E$15^2+$B35^2+_slice!$H$8&lt;=2+0.000000001,TRUE())),_slice!E102,"外")</f>
        <v>42.712442251462</v>
      </c>
      <c r="F35" s="50" t="n">
        <f aca="false">IF(AND(_slice!$H$5=1,F$15&gt;=_slice!$H$6-0.000000001,F$15&lt;=_slice!$I$6+0.000000001,$B35&gt;=_slice!$H$7-0.000000001,$B35&lt;=_slice!$I$7+0.000000001,IF(01_因子設定!$B$20="Box-Behnken",F$15^2+$B35^2+_slice!$H$8&lt;=2+0.000000001,TRUE())),_slice!F102,"外")</f>
        <v>43.1841162280702</v>
      </c>
      <c r="G35" s="50" t="n">
        <f aca="false">IF(AND(_slice!$H$5=1,G$15&gt;=_slice!$H$6-0.000000001,G$15&lt;=_slice!$I$6+0.000000001,$B35&gt;=_slice!$H$7-0.000000001,$B35&lt;=_slice!$I$7+0.000000001,IF(01_因子設定!$B$20="Box-Behnken",G$15^2+$B35^2+_slice!$H$8&lt;=2+0.000000001,TRUE())),_slice!G102,"外")</f>
        <v>43.6041410818713</v>
      </c>
      <c r="H35" s="50" t="n">
        <f aca="false">IF(AND(_slice!$H$5=1,H$15&gt;=_slice!$H$6-0.000000001,H$15&lt;=_slice!$I$6+0.000000001,$B35&gt;=_slice!$H$7-0.000000001,$B35&lt;=_slice!$I$7+0.000000001,IF(01_因子設定!$B$20="Box-Behnken",H$15^2+$B35^2+_slice!$H$8&lt;=2+0.000000001,TRUE())),_slice!H102,"外")</f>
        <v>43.9725168128655</v>
      </c>
      <c r="I35" s="50" t="n">
        <f aca="false">IF(AND(_slice!$H$5=1,I$15&gt;=_slice!$H$6-0.000000001,I$15&lt;=_slice!$I$6+0.000000001,$B35&gt;=_slice!$H$7-0.000000001,$B35&lt;=_slice!$I$7+0.000000001,IF(01_因子設定!$B$20="Box-Behnken",I$15^2+$B35^2+_slice!$H$8&lt;=2+0.000000001,TRUE())),_slice!I102,"外")</f>
        <v>44.2892434210526</v>
      </c>
      <c r="J35" s="50" t="n">
        <f aca="false">IF(AND(_slice!$H$5=1,J$15&gt;=_slice!$H$6-0.000000001,J$15&lt;=_slice!$I$6+0.000000001,$B35&gt;=_slice!$H$7-0.000000001,$B35&lt;=_slice!$I$7+0.000000001,IF(01_因子設定!$B$20="Box-Behnken",J$15^2+$B35^2+_slice!$H$8&lt;=2+0.000000001,TRUE())),_slice!J102,"外")</f>
        <v>44.5543209064327</v>
      </c>
      <c r="K35" s="50" t="n">
        <f aca="false">IF(AND(_slice!$H$5=1,K$15&gt;=_slice!$H$6-0.000000001,K$15&lt;=_slice!$I$6+0.000000001,$B35&gt;=_slice!$H$7-0.000000001,$B35&lt;=_slice!$I$7+0.000000001,IF(01_因子設定!$B$20="Box-Behnken",K$15^2+$B35^2+_slice!$H$8&lt;=2+0.000000001,TRUE())),_slice!K102,"外")</f>
        <v>44.7677492690058</v>
      </c>
      <c r="L35" s="50" t="n">
        <f aca="false">IF(AND(_slice!$H$5=1,L$15&gt;=_slice!$H$6-0.000000001,L$15&lt;=_slice!$I$6+0.000000001,$B35&gt;=_slice!$H$7-0.000000001,$B35&lt;=_slice!$I$7+0.000000001,IF(01_因子設定!$B$20="Box-Behnken",L$15^2+$B35^2+_slice!$H$8&lt;=2+0.000000001,TRUE())),_slice!L102,"外")</f>
        <v>44.9295285087719</v>
      </c>
      <c r="M35" s="50" t="n">
        <f aca="false">IF(AND(_slice!$H$5=1,M$15&gt;=_slice!$H$6-0.000000001,M$15&lt;=_slice!$I$6+0.000000001,$B35&gt;=_slice!$H$7-0.000000001,$B35&lt;=_slice!$I$7+0.000000001,IF(01_因子設定!$B$20="Box-Behnken",M$15^2+$B35^2+_slice!$H$8&lt;=2+0.000000001,TRUE())),_slice!M102,"外")</f>
        <v>45.0396586257309</v>
      </c>
      <c r="N35" s="50" t="n">
        <f aca="false">IF(AND(_slice!$H$5=1,N$15&gt;=_slice!$H$6-0.000000001,N$15&lt;=_slice!$I$6+0.000000001,$B35&gt;=_slice!$H$7-0.000000001,$B35&lt;=_slice!$I$7+0.000000001,IF(01_因子設定!$B$20="Box-Behnken",N$15^2+$B35^2+_slice!$H$8&lt;=2+0.000000001,TRUE())),_slice!N102,"外")</f>
        <v>45.098139619883</v>
      </c>
      <c r="O35" s="50" t="n">
        <f aca="false">IF(AND(_slice!$H$5=1,O$15&gt;=_slice!$H$6-0.000000001,O$15&lt;=_slice!$I$6+0.000000001,$B35&gt;=_slice!$H$7-0.000000001,$B35&lt;=_slice!$I$7+0.000000001,IF(01_因子設定!$B$20="Box-Behnken",O$15^2+$B35^2+_slice!$H$8&lt;=2+0.000000001,TRUE())),_slice!O102,"外")</f>
        <v>45.104971491228</v>
      </c>
      <c r="P35" s="50" t="n">
        <f aca="false">IF(AND(_slice!$H$5=1,P$15&gt;=_slice!$H$6-0.000000001,P$15&lt;=_slice!$I$6+0.000000001,$B35&gt;=_slice!$H$7-0.000000001,$B35&lt;=_slice!$I$7+0.000000001,IF(01_因子設定!$B$20="Box-Behnken",P$15^2+$B35^2+_slice!$H$8&lt;=2+0.000000001,TRUE())),_slice!P102,"外")</f>
        <v>45.060154239766</v>
      </c>
      <c r="Q35" s="50" t="n">
        <f aca="false">IF(AND(_slice!$H$5=1,Q$15&gt;=_slice!$H$6-0.000000001,Q$15&lt;=_slice!$I$6+0.000000001,$B35&gt;=_slice!$H$7-0.000000001,$B35&lt;=_slice!$I$7+0.000000001,IF(01_因子設定!$B$20="Box-Behnken",Q$15^2+$B35^2+_slice!$H$8&lt;=2+0.000000001,TRUE())),_slice!Q102,"外")</f>
        <v>44.963687865497</v>
      </c>
      <c r="R35" s="50" t="n">
        <f aca="false">IF(AND(_slice!$H$5=1,R$15&gt;=_slice!$H$6-0.000000001,R$15&lt;=_slice!$I$6+0.000000001,$B35&gt;=_slice!$H$7-0.000000001,$B35&lt;=_slice!$I$7+0.000000001,IF(01_因子設定!$B$20="Box-Behnken",R$15^2+$B35^2+_slice!$H$8&lt;=2+0.000000001,TRUE())),_slice!R102,"外")</f>
        <v>44.815572368421</v>
      </c>
      <c r="S35" s="50" t="n">
        <f aca="false">IF(AND(_slice!$H$5=1,S$15&gt;=_slice!$H$6-0.000000001,S$15&lt;=_slice!$I$6+0.000000001,$B35&gt;=_slice!$H$7-0.000000001,$B35&lt;=_slice!$I$7+0.000000001,IF(01_因子設定!$B$20="Box-Behnken",S$15^2+$B35^2+_slice!$H$8&lt;=2+0.000000001,TRUE())),_slice!S102,"外")</f>
        <v>44.615807748538</v>
      </c>
      <c r="T35" s="50" t="n">
        <f aca="false">IF(AND(_slice!$H$5=1,T$15&gt;=_slice!$H$6-0.000000001,T$15&lt;=_slice!$I$6+0.000000001,$B35&gt;=_slice!$H$7-0.000000001,$B35&lt;=_slice!$I$7+0.000000001,IF(01_因子設定!$B$20="Box-Behnken",T$15^2+$B35^2+_slice!$H$8&lt;=2+0.000000001,TRUE())),_slice!T102,"外")</f>
        <v>44.364394005848</v>
      </c>
      <c r="U35" s="50" t="n">
        <f aca="false">IF(AND(_slice!$H$5=1,U$15&gt;=_slice!$H$6-0.000000001,U$15&lt;=_slice!$I$6+0.000000001,$B35&gt;=_slice!$H$7-0.000000001,$B35&lt;=_slice!$I$7+0.000000001,IF(01_因子設定!$B$20="Box-Behnken",U$15^2+$B35^2+_slice!$H$8&lt;=2+0.000000001,TRUE())),_slice!U102,"外")</f>
        <v>44.0613311403509</v>
      </c>
      <c r="V35" s="50" t="n">
        <f aca="false">IF(AND(_slice!$H$5=1,V$15&gt;=_slice!$H$6-0.000000001,V$15&lt;=_slice!$I$6+0.000000001,$B35&gt;=_slice!$H$7-0.000000001,$B35&lt;=_slice!$I$7+0.000000001,IF(01_因子設定!$B$20="Box-Behnken",V$15^2+$B35^2+_slice!$H$8&lt;=2+0.000000001,TRUE())),_slice!V102,"外")</f>
        <v>43.7066191520468</v>
      </c>
      <c r="W35" s="50" t="n">
        <f aca="false">IF(AND(_slice!$H$5=1,W$15&gt;=_slice!$H$6-0.000000001,W$15&lt;=_slice!$I$6+0.000000001,$B35&gt;=_slice!$H$7-0.000000001,$B35&lt;=_slice!$I$7+0.000000001,IF(01_因子設定!$B$20="Box-Behnken",W$15^2+$B35^2+_slice!$H$8&lt;=2+0.000000001,TRUE())),_slice!W102,"外")</f>
        <v>43.3002580409357</v>
      </c>
    </row>
    <row r="36" customFormat="false" ht="15" hidden="false" customHeight="false" outlineLevel="0" collapsed="false">
      <c r="A36" s="49" t="n">
        <f aca="false">INDEX(01_因子設定!$G$5:$G$8,$C$5)+B36*INDEX(01_因子設定!$H$5:$H$8,$C$5)</f>
        <v>21</v>
      </c>
      <c r="B36" s="49" t="n">
        <v>-0.9</v>
      </c>
      <c r="C36" s="50" t="n">
        <f aca="false">IF(AND(_slice!$H$5=1,C$15&gt;=_slice!$H$6-0.000000001,C$15&lt;=_slice!$I$6+0.000000001,$B36&gt;=_slice!$H$7-0.000000001,$B36&lt;=_slice!$I$7+0.000000001,IF(01_因子設定!$B$20="Box-Behnken",C$15^2+$B36^2+_slice!$H$8&lt;=2+0.000000001,TRUE())),_slice!C103,"外")</f>
        <v>41.0731849415205</v>
      </c>
      <c r="D36" s="50" t="n">
        <f aca="false">IF(AND(_slice!$H$5=1,D$15&gt;=_slice!$H$6-0.000000001,D$15&lt;=_slice!$I$6+0.000000001,$B36&gt;=_slice!$H$7-0.000000001,$B36&lt;=_slice!$I$7+0.000000001,IF(01_因子設定!$B$20="Box-Behnken",D$15^2+$B36^2+_slice!$H$8&lt;=2+0.000000001,TRUE())),_slice!D103,"外")</f>
        <v>41.6369071637427</v>
      </c>
      <c r="E36" s="50" t="n">
        <f aca="false">IF(AND(_slice!$H$5=1,E$15&gt;=_slice!$H$6-0.000000001,E$15&lt;=_slice!$I$6+0.000000001,$B36&gt;=_slice!$H$7-0.000000001,$B36&lt;=_slice!$I$7+0.000000001,IF(01_因子設定!$B$20="Box-Behnken",E$15^2+$B36^2+_slice!$H$8&lt;=2+0.000000001,TRUE())),_slice!E103,"外")</f>
        <v>42.1489802631579</v>
      </c>
      <c r="F36" s="50" t="n">
        <f aca="false">IF(AND(_slice!$H$5=1,F$15&gt;=_slice!$H$6-0.000000001,F$15&lt;=_slice!$I$6+0.000000001,$B36&gt;=_slice!$H$7-0.000000001,$B36&lt;=_slice!$I$7+0.000000001,IF(01_因子設定!$B$20="Box-Behnken",F$15^2+$B36^2+_slice!$H$8&lt;=2+0.000000001,TRUE())),_slice!F103,"外")</f>
        <v>42.6094042397661</v>
      </c>
      <c r="G36" s="50" t="n">
        <f aca="false">IF(AND(_slice!$H$5=1,G$15&gt;=_slice!$H$6-0.000000001,G$15&lt;=_slice!$I$6+0.000000001,$B36&gt;=_slice!$H$7-0.000000001,$B36&lt;=_slice!$I$7+0.000000001,IF(01_因子設定!$B$20="Box-Behnken",G$15^2+$B36^2+_slice!$H$8&lt;=2+0.000000001,TRUE())),_slice!G103,"外")</f>
        <v>43.0181790935672</v>
      </c>
      <c r="H36" s="50" t="n">
        <f aca="false">IF(AND(_slice!$H$5=1,H$15&gt;=_slice!$H$6-0.000000001,H$15&lt;=_slice!$I$6+0.000000001,$B36&gt;=_slice!$H$7-0.000000001,$B36&lt;=_slice!$I$7+0.000000001,IF(01_因子設定!$B$20="Box-Behnken",H$15^2+$B36^2+_slice!$H$8&lt;=2+0.000000001,TRUE())),_slice!H103,"外")</f>
        <v>43.3753048245614</v>
      </c>
      <c r="I36" s="50" t="n">
        <f aca="false">IF(AND(_slice!$H$5=1,I$15&gt;=_slice!$H$6-0.000000001,I$15&lt;=_slice!$I$6+0.000000001,$B36&gt;=_slice!$H$7-0.000000001,$B36&lt;=_slice!$I$7+0.000000001,IF(01_因子設定!$B$20="Box-Behnken",I$15^2+$B36^2+_slice!$H$8&lt;=2+0.000000001,TRUE())),_slice!I103,"外")</f>
        <v>43.6807814327485</v>
      </c>
      <c r="J36" s="50" t="n">
        <f aca="false">IF(AND(_slice!$H$5=1,J$15&gt;=_slice!$H$6-0.000000001,J$15&lt;=_slice!$I$6+0.000000001,$B36&gt;=_slice!$H$7-0.000000001,$B36&lt;=_slice!$I$7+0.000000001,IF(01_因子設定!$B$20="Box-Behnken",J$15^2+$B36^2+_slice!$H$8&lt;=2+0.000000001,TRUE())),_slice!J103,"外")</f>
        <v>43.9346089181286</v>
      </c>
      <c r="K36" s="50" t="n">
        <f aca="false">IF(AND(_slice!$H$5=1,K$15&gt;=_slice!$H$6-0.000000001,K$15&lt;=_slice!$I$6+0.000000001,$B36&gt;=_slice!$H$7-0.000000001,$B36&lt;=_slice!$I$7+0.000000001,IF(01_因子設定!$B$20="Box-Behnken",K$15^2+$B36^2+_slice!$H$8&lt;=2+0.000000001,TRUE())),_slice!K103,"外")</f>
        <v>44.1367872807017</v>
      </c>
      <c r="L36" s="50" t="n">
        <f aca="false">IF(AND(_slice!$H$5=1,L$15&gt;=_slice!$H$6-0.000000001,L$15&lt;=_slice!$I$6+0.000000001,$B36&gt;=_slice!$H$7-0.000000001,$B36&lt;=_slice!$I$7+0.000000001,IF(01_因子設定!$B$20="Box-Behnken",L$15^2+$B36^2+_slice!$H$8&lt;=2+0.000000001,TRUE())),_slice!L103,"外")</f>
        <v>44.2873165204678</v>
      </c>
      <c r="M36" s="50" t="n">
        <f aca="false">IF(AND(_slice!$H$5=1,M$15&gt;=_slice!$H$6-0.000000001,M$15&lt;=_slice!$I$6+0.000000001,$B36&gt;=_slice!$H$7-0.000000001,$B36&lt;=_slice!$I$7+0.000000001,IF(01_因子設定!$B$20="Box-Behnken",M$15^2+$B36^2+_slice!$H$8&lt;=2+0.000000001,TRUE())),_slice!M103,"外")</f>
        <v>44.3861966374269</v>
      </c>
      <c r="N36" s="50" t="n">
        <f aca="false">IF(AND(_slice!$H$5=1,N$15&gt;=_slice!$H$6-0.000000001,N$15&lt;=_slice!$I$6+0.000000001,$B36&gt;=_slice!$H$7-0.000000001,$B36&lt;=_slice!$I$7+0.000000001,IF(01_因子設定!$B$20="Box-Behnken",N$15^2+$B36^2+_slice!$H$8&lt;=2+0.000000001,TRUE())),_slice!N103,"外")</f>
        <v>44.4334276315789</v>
      </c>
      <c r="O36" s="50" t="n">
        <f aca="false">IF(AND(_slice!$H$5=1,O$15&gt;=_slice!$H$6-0.000000001,O$15&lt;=_slice!$I$6+0.000000001,$B36&gt;=_slice!$H$7-0.000000001,$B36&lt;=_slice!$I$7+0.000000001,IF(01_因子設定!$B$20="Box-Behnken",O$15^2+$B36^2+_slice!$H$8&lt;=2+0.000000001,TRUE())),_slice!O103,"外")</f>
        <v>44.4290095029239</v>
      </c>
      <c r="P36" s="50" t="n">
        <f aca="false">IF(AND(_slice!$H$5=1,P$15&gt;=_slice!$H$6-0.000000001,P$15&lt;=_slice!$I$6+0.000000001,$B36&gt;=_slice!$H$7-0.000000001,$B36&lt;=_slice!$I$7+0.000000001,IF(01_因子設定!$B$20="Box-Behnken",P$15^2+$B36^2+_slice!$H$8&lt;=2+0.000000001,TRUE())),_slice!P103,"外")</f>
        <v>44.3729422514619</v>
      </c>
      <c r="Q36" s="50" t="n">
        <f aca="false">IF(AND(_slice!$H$5=1,Q$15&gt;=_slice!$H$6-0.000000001,Q$15&lt;=_slice!$I$6+0.000000001,$B36&gt;=_slice!$H$7-0.000000001,$B36&lt;=_slice!$I$7+0.000000001,IF(01_因子設定!$B$20="Box-Behnken",Q$15^2+$B36^2+_slice!$H$8&lt;=2+0.000000001,TRUE())),_slice!Q103,"外")</f>
        <v>44.265225877193</v>
      </c>
      <c r="R36" s="50" t="n">
        <f aca="false">IF(AND(_slice!$H$5=1,R$15&gt;=_slice!$H$6-0.000000001,R$15&lt;=_slice!$I$6+0.000000001,$B36&gt;=_slice!$H$7-0.000000001,$B36&lt;=_slice!$I$7+0.000000001,IF(01_因子設定!$B$20="Box-Behnken",R$15^2+$B36^2+_slice!$H$8&lt;=2+0.000000001,TRUE())),_slice!R103,"外")</f>
        <v>44.1058603801169</v>
      </c>
      <c r="S36" s="50" t="n">
        <f aca="false">IF(AND(_slice!$H$5=1,S$15&gt;=_slice!$H$6-0.000000001,S$15&lt;=_slice!$I$6+0.000000001,$B36&gt;=_slice!$H$7-0.000000001,$B36&lt;=_slice!$I$7+0.000000001,IF(01_因子設定!$B$20="Box-Behnken",S$15^2+$B36^2+_slice!$H$8&lt;=2+0.000000001,TRUE())),_slice!S103,"外")</f>
        <v>43.8948457602339</v>
      </c>
      <c r="T36" s="50" t="n">
        <f aca="false">IF(AND(_slice!$H$5=1,T$15&gt;=_slice!$H$6-0.000000001,T$15&lt;=_slice!$I$6+0.000000001,$B36&gt;=_slice!$H$7-0.000000001,$B36&lt;=_slice!$I$7+0.000000001,IF(01_因子設定!$B$20="Box-Behnken",T$15^2+$B36^2+_slice!$H$8&lt;=2+0.000000001,TRUE())),_slice!T103,"外")</f>
        <v>43.6321820175439</v>
      </c>
      <c r="U36" s="50" t="n">
        <f aca="false">IF(AND(_slice!$H$5=1,U$15&gt;=_slice!$H$6-0.000000001,U$15&lt;=_slice!$I$6+0.000000001,$B36&gt;=_slice!$H$7-0.000000001,$B36&lt;=_slice!$I$7+0.000000001,IF(01_因子設定!$B$20="Box-Behnken",U$15^2+$B36^2+_slice!$H$8&lt;=2+0.000000001,TRUE())),_slice!U103,"外")</f>
        <v>43.3178691520468</v>
      </c>
      <c r="V36" s="50" t="n">
        <f aca="false">IF(AND(_slice!$H$5=1,V$15&gt;=_slice!$H$6-0.000000001,V$15&lt;=_slice!$I$6+0.000000001,$B36&gt;=_slice!$H$7-0.000000001,$B36&lt;=_slice!$I$7+0.000000001,IF(01_因子設定!$B$20="Box-Behnken",V$15^2+$B36^2+_slice!$H$8&lt;=2+0.000000001,TRUE())),_slice!V103,"外")</f>
        <v>42.9519071637427</v>
      </c>
      <c r="W36" s="50" t="n">
        <f aca="false">IF(AND(_slice!$H$5=1,W$15&gt;=_slice!$H$6-0.000000001,W$15&lt;=_slice!$I$6+0.000000001,$B36&gt;=_slice!$H$7-0.000000001,$B36&lt;=_slice!$I$7+0.000000001,IF(01_因子設定!$B$20="Box-Behnken",W$15^2+$B36^2+_slice!$H$8&lt;=2+0.000000001,TRUE())),_slice!W103,"外")</f>
        <v>42.5342960526316</v>
      </c>
    </row>
    <row r="37" customFormat="false" ht="15" hidden="false" customHeight="false" outlineLevel="0" collapsed="false">
      <c r="A37" s="49" t="n">
        <f aca="false">INDEX(01_因子設定!$G$5:$G$8,$C$5)+B37*INDEX(01_因子設定!$H$5:$H$8,$C$5)</f>
        <v>20</v>
      </c>
      <c r="B37" s="49" t="n">
        <v>-1</v>
      </c>
      <c r="C37" s="50" t="n">
        <f aca="false">IF(AND(_slice!$H$5=1,C$15&gt;=_slice!$H$6-0.000000001,C$15&lt;=_slice!$I$6+0.000000001,$B37&gt;=_slice!$H$7-0.000000001,$B37&lt;=_slice!$I$7+0.000000001,IF(01_因子設定!$B$20="Box-Behnken",C$15^2+$B37^2+_slice!$H$8&lt;=2+0.000000001,TRUE())),_slice!C104,"外")</f>
        <v>40.4805738304094</v>
      </c>
      <c r="D37" s="50" t="n">
        <f aca="false">IF(AND(_slice!$H$5=1,D$15&gt;=_slice!$H$6-0.000000001,D$15&lt;=_slice!$I$6+0.000000001,$B37&gt;=_slice!$H$7-0.000000001,$B37&lt;=_slice!$I$7+0.000000001,IF(01_因子設定!$B$20="Box-Behnken",D$15^2+$B37^2+_slice!$H$8&lt;=2+0.000000001,TRUE())),_slice!D104,"外")</f>
        <v>41.0330460526316</v>
      </c>
      <c r="E37" s="50" t="n">
        <f aca="false">IF(AND(_slice!$H$5=1,E$15&gt;=_slice!$H$6-0.000000001,E$15&lt;=_slice!$I$6+0.000000001,$B37&gt;=_slice!$H$7-0.000000001,$B37&lt;=_slice!$I$7+0.000000001,IF(01_因子設定!$B$20="Box-Behnken",E$15^2+$B37^2+_slice!$H$8&lt;=2+0.000000001,TRUE())),_slice!E104,"外")</f>
        <v>41.5338691520468</v>
      </c>
      <c r="F37" s="50" t="n">
        <f aca="false">IF(AND(_slice!$H$5=1,F$15&gt;=_slice!$H$6-0.000000001,F$15&lt;=_slice!$I$6+0.000000001,$B37&gt;=_slice!$H$7-0.000000001,$B37&lt;=_slice!$I$7+0.000000001,IF(01_因子設定!$B$20="Box-Behnken",F$15^2+$B37^2+_slice!$H$8&lt;=2+0.000000001,TRUE())),_slice!F104,"外")</f>
        <v>41.983043128655</v>
      </c>
      <c r="G37" s="50" t="n">
        <f aca="false">IF(AND(_slice!$H$5=1,G$15&gt;=_slice!$H$6-0.000000001,G$15&lt;=_slice!$I$6+0.000000001,$B37&gt;=_slice!$H$7-0.000000001,$B37&lt;=_slice!$I$7+0.000000001,IF(01_因子設定!$B$20="Box-Behnken",G$15^2+$B37^2+_slice!$H$8&lt;=2+0.000000001,TRUE())),_slice!G104,"外")</f>
        <v>42.3805679824561</v>
      </c>
      <c r="H37" s="50" t="n">
        <f aca="false">IF(AND(_slice!$H$5=1,H$15&gt;=_slice!$H$6-0.000000001,H$15&lt;=_slice!$I$6+0.000000001,$B37&gt;=_slice!$H$7-0.000000001,$B37&lt;=_slice!$I$7+0.000000001,IF(01_因子設定!$B$20="Box-Behnken",H$15^2+$B37^2+_slice!$H$8&lt;=2+0.000000001,TRUE())),_slice!H104,"外")</f>
        <v>42.7264437134503</v>
      </c>
      <c r="I37" s="50" t="n">
        <f aca="false">IF(AND(_slice!$H$5=1,I$15&gt;=_slice!$H$6-0.000000001,I$15&lt;=_slice!$I$6+0.000000001,$B37&gt;=_slice!$H$7-0.000000001,$B37&lt;=_slice!$I$7+0.000000001,IF(01_因子設定!$B$20="Box-Behnken",I$15^2+$B37^2+_slice!$H$8&lt;=2+0.000000001,TRUE())),_slice!I104,"外")</f>
        <v>43.0206703216374</v>
      </c>
      <c r="J37" s="50" t="n">
        <f aca="false">IF(AND(_slice!$H$5=1,J$15&gt;=_slice!$H$6-0.000000001,J$15&lt;=_slice!$I$6+0.000000001,$B37&gt;=_slice!$H$7-0.000000001,$B37&lt;=_slice!$I$7+0.000000001,IF(01_因子設定!$B$20="Box-Behnken",J$15^2+$B37^2+_slice!$H$8&lt;=2+0.000000001,TRUE())),_slice!J104,"外")</f>
        <v>43.2632478070175</v>
      </c>
      <c r="K37" s="50" t="n">
        <f aca="false">IF(AND(_slice!$H$5=1,K$15&gt;=_slice!$H$6-0.000000001,K$15&lt;=_slice!$I$6+0.000000001,$B37&gt;=_slice!$H$7-0.000000001,$B37&lt;=_slice!$I$7+0.000000001,IF(01_因子設定!$B$20="Box-Behnken",K$15^2+$B37^2+_slice!$H$8&lt;=2+0.000000001,TRUE())),_slice!K104,"外")</f>
        <v>43.4541761695906</v>
      </c>
      <c r="L37" s="50" t="n">
        <f aca="false">IF(AND(_slice!$H$5=1,L$15&gt;=_slice!$H$6-0.000000001,L$15&lt;=_slice!$I$6+0.000000001,$B37&gt;=_slice!$H$7-0.000000001,$B37&lt;=_slice!$I$7+0.000000001,IF(01_因子設定!$B$20="Box-Behnken",L$15^2+$B37^2+_slice!$H$8&lt;=2+0.000000001,TRUE())),_slice!L104,"外")</f>
        <v>43.5934554093567</v>
      </c>
      <c r="M37" s="50" t="n">
        <f aca="false">IF(AND(_slice!$H$5=1,M$15&gt;=_slice!$H$6-0.000000001,M$15&lt;=_slice!$I$6+0.000000001,$B37&gt;=_slice!$H$7-0.000000001,$B37&lt;=_slice!$I$7+0.000000001,IF(01_因子設定!$B$20="Box-Behnken",M$15^2+$B37^2+_slice!$H$8&lt;=2+0.000000001,TRUE())),_slice!M104,"外")</f>
        <v>43.6810855263157</v>
      </c>
      <c r="N37" s="50" t="n">
        <f aca="false">IF(AND(_slice!$H$5=1,N$15&gt;=_slice!$H$6-0.000000001,N$15&lt;=_slice!$I$6+0.000000001,$B37&gt;=_slice!$H$7-0.000000001,$B37&lt;=_slice!$I$7+0.000000001,IF(01_因子設定!$B$20="Box-Behnken",N$15^2+$B37^2+_slice!$H$8&lt;=2+0.000000001,TRUE())),_slice!N104,"外")</f>
        <v>43.7170665204678</v>
      </c>
      <c r="O37" s="50" t="n">
        <f aca="false">IF(AND(_slice!$H$5=1,O$15&gt;=_slice!$H$6-0.000000001,O$15&lt;=_slice!$I$6+0.000000001,$B37&gt;=_slice!$H$7-0.000000001,$B37&lt;=_slice!$I$7+0.000000001,IF(01_因子設定!$B$20="Box-Behnken",O$15^2+$B37^2+_slice!$H$8&lt;=2+0.000000001,TRUE())),_slice!O104,"外")</f>
        <v>43.7013983918128</v>
      </c>
      <c r="P37" s="50" t="n">
        <f aca="false">IF(AND(_slice!$H$5=1,P$15&gt;=_slice!$H$6-0.000000001,P$15&lt;=_slice!$I$6+0.000000001,$B37&gt;=_slice!$H$7-0.000000001,$B37&lt;=_slice!$I$7+0.000000001,IF(01_因子設定!$B$20="Box-Behnken",P$15^2+$B37^2+_slice!$H$8&lt;=2+0.000000001,TRUE())),_slice!P104,"外")</f>
        <v>43.6340811403508</v>
      </c>
      <c r="Q37" s="50" t="n">
        <f aca="false">IF(AND(_slice!$H$5=1,Q$15&gt;=_slice!$H$6-0.000000001,Q$15&lt;=_slice!$I$6+0.000000001,$B37&gt;=_slice!$H$7-0.000000001,$B37&lt;=_slice!$I$7+0.000000001,IF(01_因子設定!$B$20="Box-Behnken",Q$15^2+$B37^2+_slice!$H$8&lt;=2+0.000000001,TRUE())),_slice!Q104,"外")</f>
        <v>43.5151147660818</v>
      </c>
      <c r="R37" s="50" t="n">
        <f aca="false">IF(AND(_slice!$H$5=1,R$15&gt;=_slice!$H$6-0.000000001,R$15&lt;=_slice!$I$6+0.000000001,$B37&gt;=_slice!$H$7-0.000000001,$B37&lt;=_slice!$I$7+0.000000001,IF(01_因子設定!$B$20="Box-Behnken",R$15^2+$B37^2+_slice!$H$8&lt;=2+0.000000001,TRUE())),_slice!R104,"外")</f>
        <v>43.3444992690058</v>
      </c>
      <c r="S37" s="50" t="n">
        <f aca="false">IF(AND(_slice!$H$5=1,S$15&gt;=_slice!$H$6-0.000000001,S$15&lt;=_slice!$I$6+0.000000001,$B37&gt;=_slice!$H$7-0.000000001,$B37&lt;=_slice!$I$7+0.000000001,IF(01_因子設定!$B$20="Box-Behnken",S$15^2+$B37^2+_slice!$H$8&lt;=2+0.000000001,TRUE())),_slice!S104,"外")</f>
        <v>43.1222346491228</v>
      </c>
      <c r="T37" s="50" t="n">
        <f aca="false">IF(AND(_slice!$H$5=1,T$15&gt;=_slice!$H$6-0.000000001,T$15&lt;=_slice!$I$6+0.000000001,$B37&gt;=_slice!$H$7-0.000000001,$B37&lt;=_slice!$I$7+0.000000001,IF(01_因子設定!$B$20="Box-Behnken",T$15^2+$B37^2+_slice!$H$8&lt;=2+0.000000001,TRUE())),_slice!T104,"外")</f>
        <v>42.8483209064327</v>
      </c>
      <c r="U37" s="50" t="n">
        <f aca="false">IF(AND(_slice!$H$5=1,U$15&gt;=_slice!$H$6-0.000000001,U$15&lt;=_slice!$I$6+0.000000001,$B37&gt;=_slice!$H$7-0.000000001,$B37&lt;=_slice!$I$7+0.000000001,IF(01_因子設定!$B$20="Box-Behnken",U$15^2+$B37^2+_slice!$H$8&lt;=2+0.000000001,TRUE())),_slice!U104,"外")</f>
        <v>42.5227580409357</v>
      </c>
      <c r="V37" s="50" t="n">
        <f aca="false">IF(AND(_slice!$H$5=1,V$15&gt;=_slice!$H$6-0.000000001,V$15&lt;=_slice!$I$6+0.000000001,$B37&gt;=_slice!$H$7-0.000000001,$B37&lt;=_slice!$I$7+0.000000001,IF(01_因子設定!$B$20="Box-Behnken",V$15^2+$B37^2+_slice!$H$8&lt;=2+0.000000001,TRUE())),_slice!V104,"外")</f>
        <v>42.1455460526316</v>
      </c>
      <c r="W37" s="50" t="n">
        <f aca="false">IF(AND(_slice!$H$5=1,W$15&gt;=_slice!$H$6-0.000000001,W$15&lt;=_slice!$I$6+0.000000001,$B37&gt;=_slice!$H$7-0.000000001,$B37&lt;=_slice!$I$7+0.000000001,IF(01_因子設定!$B$20="Box-Behnken",W$15^2+$B37^2+_slice!$H$8&lt;=2+0.000000001,TRUE())),_slice!W104,"外")</f>
        <v>41.7166849415205</v>
      </c>
    </row>
    <row r="40" customFormat="false" ht="15" hidden="false" customHeight="false" outlineLevel="0" collapsed="false">
      <c r="A40" s="17" t="s">
        <v>266</v>
      </c>
    </row>
    <row r="41" customFormat="false" ht="15" hidden="false" customHeight="false" outlineLevel="0" collapsed="false">
      <c r="A41" s="10" t="s">
        <v>264</v>
      </c>
      <c r="B41" s="10" t="s">
        <v>265</v>
      </c>
      <c r="C41" s="46" t="n">
        <v>-1</v>
      </c>
      <c r="D41" s="46" t="n">
        <v>-0.9</v>
      </c>
      <c r="E41" s="46" t="n">
        <v>-0.8</v>
      </c>
      <c r="F41" s="46" t="n">
        <v>-0.7</v>
      </c>
      <c r="G41" s="46" t="n">
        <v>-0.6</v>
      </c>
      <c r="H41" s="46" t="n">
        <v>-0.5</v>
      </c>
      <c r="I41" s="46" t="n">
        <v>-0.4</v>
      </c>
      <c r="J41" s="46" t="n">
        <v>-0.3</v>
      </c>
      <c r="K41" s="46" t="n">
        <v>-0.2</v>
      </c>
      <c r="L41" s="46" t="n">
        <v>-0.1</v>
      </c>
      <c r="M41" s="46" t="n">
        <v>0</v>
      </c>
      <c r="N41" s="46" t="n">
        <v>0.1</v>
      </c>
      <c r="O41" s="46" t="n">
        <v>0.2</v>
      </c>
      <c r="P41" s="46" t="n">
        <v>0.3</v>
      </c>
      <c r="Q41" s="46" t="n">
        <v>0.4</v>
      </c>
      <c r="R41" s="46" t="n">
        <v>0.5</v>
      </c>
      <c r="S41" s="46" t="n">
        <v>0.6</v>
      </c>
      <c r="T41" s="46" t="n">
        <v>0.7</v>
      </c>
      <c r="U41" s="46" t="n">
        <v>0.8</v>
      </c>
      <c r="V41" s="46" t="n">
        <v>0.9</v>
      </c>
      <c r="W41" s="46" t="n">
        <v>1</v>
      </c>
    </row>
    <row r="42" customFormat="false" ht="23.1" hidden="false" customHeight="false" outlineLevel="0" collapsed="false">
      <c r="A42" s="47" t="str">
        <f aca="false">"縦↓ "&amp;$D$5</f>
        <v>縦↓ 乾燥時間[min]</v>
      </c>
      <c r="B42" s="10" t="str">
        <f aca="false">"横→ "&amp;$D$4</f>
        <v>横→ 炉温[℃]</v>
      </c>
      <c r="C42" s="48" t="n">
        <f aca="false">INDEX(01_因子設定!$G$5:$G$8,$C$4)+C41*INDEX(01_因子設定!$H$5:$H$8,$C$4)</f>
        <v>55</v>
      </c>
      <c r="D42" s="48" t="n">
        <f aca="false">INDEX(01_因子設定!$G$5:$G$8,$C$4)+D41*INDEX(01_因子設定!$H$5:$H$8,$C$4)</f>
        <v>56</v>
      </c>
      <c r="E42" s="48" t="n">
        <f aca="false">INDEX(01_因子設定!$G$5:$G$8,$C$4)+E41*INDEX(01_因子設定!$H$5:$H$8,$C$4)</f>
        <v>57</v>
      </c>
      <c r="F42" s="48" t="n">
        <f aca="false">INDEX(01_因子設定!$G$5:$G$8,$C$4)+F41*INDEX(01_因子設定!$H$5:$H$8,$C$4)</f>
        <v>58</v>
      </c>
      <c r="G42" s="48" t="n">
        <f aca="false">INDEX(01_因子設定!$G$5:$G$8,$C$4)+G41*INDEX(01_因子設定!$H$5:$H$8,$C$4)</f>
        <v>59</v>
      </c>
      <c r="H42" s="48" t="n">
        <f aca="false">INDEX(01_因子設定!$G$5:$G$8,$C$4)+H41*INDEX(01_因子設定!$H$5:$H$8,$C$4)</f>
        <v>60</v>
      </c>
      <c r="I42" s="48" t="n">
        <f aca="false">INDEX(01_因子設定!$G$5:$G$8,$C$4)+I41*INDEX(01_因子設定!$H$5:$H$8,$C$4)</f>
        <v>61</v>
      </c>
      <c r="J42" s="48" t="n">
        <f aca="false">INDEX(01_因子設定!$G$5:$G$8,$C$4)+J41*INDEX(01_因子設定!$H$5:$H$8,$C$4)</f>
        <v>62</v>
      </c>
      <c r="K42" s="48" t="n">
        <f aca="false">INDEX(01_因子設定!$G$5:$G$8,$C$4)+K41*INDEX(01_因子設定!$H$5:$H$8,$C$4)</f>
        <v>63</v>
      </c>
      <c r="L42" s="48" t="n">
        <f aca="false">INDEX(01_因子設定!$G$5:$G$8,$C$4)+L41*INDEX(01_因子設定!$H$5:$H$8,$C$4)</f>
        <v>64</v>
      </c>
      <c r="M42" s="48" t="n">
        <f aca="false">INDEX(01_因子設定!$G$5:$G$8,$C$4)+M41*INDEX(01_因子設定!$H$5:$H$8,$C$4)</f>
        <v>65</v>
      </c>
      <c r="N42" s="48" t="n">
        <f aca="false">INDEX(01_因子設定!$G$5:$G$8,$C$4)+N41*INDEX(01_因子設定!$H$5:$H$8,$C$4)</f>
        <v>66</v>
      </c>
      <c r="O42" s="48" t="n">
        <f aca="false">INDEX(01_因子設定!$G$5:$G$8,$C$4)+O41*INDEX(01_因子設定!$H$5:$H$8,$C$4)</f>
        <v>67</v>
      </c>
      <c r="P42" s="48" t="n">
        <f aca="false">INDEX(01_因子設定!$G$5:$G$8,$C$4)+P41*INDEX(01_因子設定!$H$5:$H$8,$C$4)</f>
        <v>68</v>
      </c>
      <c r="Q42" s="48" t="n">
        <f aca="false">INDEX(01_因子設定!$G$5:$G$8,$C$4)+Q41*INDEX(01_因子設定!$H$5:$H$8,$C$4)</f>
        <v>69</v>
      </c>
      <c r="R42" s="48" t="n">
        <f aca="false">INDEX(01_因子設定!$G$5:$G$8,$C$4)+R41*INDEX(01_因子設定!$H$5:$H$8,$C$4)</f>
        <v>70</v>
      </c>
      <c r="S42" s="48" t="n">
        <f aca="false">INDEX(01_因子設定!$G$5:$G$8,$C$4)+S41*INDEX(01_因子設定!$H$5:$H$8,$C$4)</f>
        <v>71</v>
      </c>
      <c r="T42" s="48" t="n">
        <f aca="false">INDEX(01_因子設定!$G$5:$G$8,$C$4)+T41*INDEX(01_因子設定!$H$5:$H$8,$C$4)</f>
        <v>72</v>
      </c>
      <c r="U42" s="48" t="n">
        <f aca="false">INDEX(01_因子設定!$G$5:$G$8,$C$4)+U41*INDEX(01_因子設定!$H$5:$H$8,$C$4)</f>
        <v>73</v>
      </c>
      <c r="V42" s="48" t="n">
        <f aca="false">INDEX(01_因子設定!$G$5:$G$8,$C$4)+V41*INDEX(01_因子設定!$H$5:$H$8,$C$4)</f>
        <v>74</v>
      </c>
      <c r="W42" s="48" t="n">
        <f aca="false">INDEX(01_因子設定!$G$5:$G$8,$C$4)+W41*INDEX(01_因子設定!$H$5:$H$8,$C$4)</f>
        <v>75</v>
      </c>
    </row>
    <row r="43" customFormat="false" ht="15" hidden="false" customHeight="false" outlineLevel="0" collapsed="false">
      <c r="A43" s="49" t="n">
        <f aca="false">INDEX(01_因子設定!$G$5:$G$8,$C$5)+B43*INDEX(01_因子設定!$H$5:$H$8,$C$5)</f>
        <v>40</v>
      </c>
      <c r="B43" s="49" t="n">
        <v>1</v>
      </c>
      <c r="C43" s="50" t="n">
        <f aca="false">IF(AND(_slice!$H$5=1,C$41&gt;=_slice!$H$6-0.000000001,C$41&lt;=_slice!$I$6+0.000000001,$B43&gt;=_slice!$H$7-0.000000001,$B43&lt;=_slice!$I$7+0.000000001,IF(01_因子設定!$B$20="Box-Behnken",C$41^2+$B43^2+_slice!$H$8&lt;=2+0.000000001,TRUE())),IF(01_因子設定!$B$13="最大化",(_slice!C84-04_回帰ANOVA!$K$19*04_回帰ANOVA!$K$14*SQRT(1+_slice!C109))-01_因子設定!$B$14,IF(01_因子設定!$B$13="最小化",01_因子設定!$B$15-(_slice!C84+04_回帰ANOVA!$K$19*04_回帰ANOVA!$K$14*SQRT(1+_slice!C109)),MIN((_slice!C84-04_回帰ANOVA!$K$19*04_回帰ANOVA!$K$14*SQRT(1+_slice!C109))-01_因子設定!$B$14,01_因子設定!$B$15-(_slice!C84+04_回帰ANOVA!$K$19*04_回帰ANOVA!$K$14*SQRT(1+_slice!C109))))),"外")</f>
        <v>-5.62025323408459</v>
      </c>
      <c r="D43" s="50" t="n">
        <f aca="false">IF(AND(_slice!$H$5=1,D$41&gt;=_slice!$H$6-0.000000001,D$41&lt;=_slice!$I$6+0.000000001,$B43&gt;=_slice!$H$7-0.000000001,$B43&lt;=_slice!$I$7+0.000000001,IF(01_因子設定!$B$20="Box-Behnken",D$41^2+$B43^2+_slice!$H$8&lt;=2+0.000000001,TRUE())),IF(01_因子設定!$B$13="最大化",(_slice!D84-04_回帰ANOVA!$K$19*04_回帰ANOVA!$K$14*SQRT(1+_slice!D109))-01_因子設定!$B$14,IF(01_因子設定!$B$13="最小化",01_因子設定!$B$15-(_slice!D84+04_回帰ANOVA!$K$19*04_回帰ANOVA!$K$14*SQRT(1+_slice!D109)),MIN((_slice!D84-04_回帰ANOVA!$K$19*04_回帰ANOVA!$K$14*SQRT(1+_slice!D109))-01_因子設定!$B$14,01_因子設定!$B$15-(_slice!D84+04_回帰ANOVA!$K$19*04_回帰ANOVA!$K$14*SQRT(1+_slice!D109))))),"外")</f>
        <v>-4.79754961487826</v>
      </c>
      <c r="E43" s="50" t="n">
        <f aca="false">IF(AND(_slice!$H$5=1,E$41&gt;=_slice!$H$6-0.000000001,E$41&lt;=_slice!$I$6+0.000000001,$B43&gt;=_slice!$H$7-0.000000001,$B43&lt;=_slice!$I$7+0.000000001,IF(01_因子設定!$B$20="Box-Behnken",E$41^2+$B43^2+_slice!$H$8&lt;=2+0.000000001,TRUE())),IF(01_因子設定!$B$13="最大化",(_slice!E84-04_回帰ANOVA!$K$19*04_回帰ANOVA!$K$14*SQRT(1+_slice!E109))-01_因子設定!$B$14,IF(01_因子設定!$B$13="最小化",01_因子設定!$B$15-(_slice!E84+04_回帰ANOVA!$K$19*04_回帰ANOVA!$K$14*SQRT(1+_slice!E109)),MIN((_slice!E84-04_回帰ANOVA!$K$19*04_回帰ANOVA!$K$14*SQRT(1+_slice!E109))-01_因子設定!$B$14,01_因子設定!$B$15-(_slice!E84+04_回帰ANOVA!$K$19*04_回帰ANOVA!$K$14*SQRT(1+_slice!E109))))),"外")</f>
        <v>-4.04300846498596</v>
      </c>
      <c r="F43" s="50" t="n">
        <f aca="false">IF(AND(_slice!$H$5=1,F$41&gt;=_slice!$H$6-0.000000001,F$41&lt;=_slice!$I$6+0.000000001,$B43&gt;=_slice!$H$7-0.000000001,$B43&lt;=_slice!$I$7+0.000000001,IF(01_因子設定!$B$20="Box-Behnken",F$41^2+$B43^2+_slice!$H$8&lt;=2+0.000000001,TRUE())),IF(01_因子設定!$B$13="最大化",(_slice!F84-04_回帰ANOVA!$K$19*04_回帰ANOVA!$K$14*SQRT(1+_slice!F109))-01_因子設定!$B$14,IF(01_因子設定!$B$13="最小化",01_因子設定!$B$15-(_slice!F84+04_回帰ANOVA!$K$19*04_回帰ANOVA!$K$14*SQRT(1+_slice!F109)),MIN((_slice!F84-04_回帰ANOVA!$K$19*04_回帰ANOVA!$K$14*SQRT(1+_slice!F109))-01_因子設定!$B$14,01_因子設定!$B$15-(_slice!F84+04_回帰ANOVA!$K$19*04_回帰ANOVA!$K$14*SQRT(1+_slice!F109))))),"外")</f>
        <v>-3.35323641355935</v>
      </c>
      <c r="G43" s="50" t="n">
        <f aca="false">IF(AND(_slice!$H$5=1,G$41&gt;=_slice!$H$6-0.000000001,G$41&lt;=_slice!$I$6+0.000000001,$B43&gt;=_slice!$H$7-0.000000001,$B43&lt;=_slice!$I$7+0.000000001,IF(01_因子設定!$B$20="Box-Behnken",G$41^2+$B43^2+_slice!$H$8&lt;=2+0.000000001,TRUE())),IF(01_因子設定!$B$13="最大化",(_slice!G84-04_回帰ANOVA!$K$19*04_回帰ANOVA!$K$14*SQRT(1+_slice!G109))-01_因子設定!$B$14,IF(01_因子設定!$B$13="最小化",01_因子設定!$B$15-(_slice!G84+04_回帰ANOVA!$K$19*04_回帰ANOVA!$K$14*SQRT(1+_slice!G109)),MIN((_slice!G84-04_回帰ANOVA!$K$19*04_回帰ANOVA!$K$14*SQRT(1+_slice!G109))-01_因子設定!$B$14,01_因子設定!$B$15-(_slice!G84+04_回帰ANOVA!$K$19*04_回帰ANOVA!$K$14*SQRT(1+_slice!G109))))),"外")</f>
        <v>-2.72481304360793</v>
      </c>
      <c r="H43" s="50" t="n">
        <f aca="false">IF(AND(_slice!$H$5=1,H$41&gt;=_slice!$H$6-0.000000001,H$41&lt;=_slice!$I$6+0.000000001,$B43&gt;=_slice!$H$7-0.000000001,$B43&lt;=_slice!$I$7+0.000000001,IF(01_因子設定!$B$20="Box-Behnken",H$41^2+$B43^2+_slice!$H$8&lt;=2+0.000000001,TRUE())),IF(01_因子設定!$B$13="最大化",(_slice!H84-04_回帰ANOVA!$K$19*04_回帰ANOVA!$K$14*SQRT(1+_slice!H109))-01_因子設定!$B$14,IF(01_因子設定!$B$13="最小化",01_因子設定!$B$15-(_slice!H84+04_回帰ANOVA!$K$19*04_回帰ANOVA!$K$14*SQRT(1+_slice!H109)),MIN((_slice!H84-04_回帰ANOVA!$K$19*04_回帰ANOVA!$K$14*SQRT(1+_slice!H109))-01_因子設定!$B$14,01_因子設定!$B$15-(_slice!H84+04_回帰ANOVA!$K$19*04_回帰ANOVA!$K$14*SQRT(1+_slice!H109))))),"外")</f>
        <v>-2.15454186463953</v>
      </c>
      <c r="I43" s="50" t="n">
        <f aca="false">IF(AND(_slice!$H$5=1,I$41&gt;=_slice!$H$6-0.000000001,I$41&lt;=_slice!$I$6+0.000000001,$B43&gt;=_slice!$H$7-0.000000001,$B43&lt;=_slice!$I$7+0.000000001,IF(01_因子設定!$B$20="Box-Behnken",I$41^2+$B43^2+_slice!$H$8&lt;=2+0.000000001,TRUE())),IF(01_因子設定!$B$13="最大化",(_slice!I84-04_回帰ANOVA!$K$19*04_回帰ANOVA!$K$14*SQRT(1+_slice!I109))-01_因子設定!$B$14,IF(01_因子設定!$B$13="最小化",01_因子設定!$B$15-(_slice!I84+04_回帰ANOVA!$K$19*04_回帰ANOVA!$K$14*SQRT(1+_slice!I109)),MIN((_slice!I84-04_回帰ANOVA!$K$19*04_回帰ANOVA!$K$14*SQRT(1+_slice!I109))-01_因子設定!$B$14,01_因子設定!$B$15-(_slice!I84+04_回帰ANOVA!$K$19*04_回帰ANOVA!$K$14*SQRT(1+_slice!I109))))),"外")</f>
        <v>-1.63962405315783</v>
      </c>
      <c r="J43" s="50" t="n">
        <f aca="false">IF(AND(_slice!$H$5=1,J$41&gt;=_slice!$H$6-0.000000001,J$41&lt;=_slice!$I$6+0.000000001,$B43&gt;=_slice!$H$7-0.000000001,$B43&lt;=_slice!$I$7+0.000000001,IF(01_因子設定!$B$20="Box-Behnken",J$41^2+$B43^2+_slice!$H$8&lt;=2+0.000000001,TRUE())),IF(01_因子設定!$B$13="最大化",(_slice!J84-04_回帰ANOVA!$K$19*04_回帰ANOVA!$K$14*SQRT(1+_slice!J109))-01_因子設定!$B$14,IF(01_因子設定!$B$13="最小化",01_因子設定!$B$15-(_slice!J84+04_回帰ANOVA!$K$19*04_回帰ANOVA!$K$14*SQRT(1+_slice!J109)),MIN((_slice!J84-04_回帰ANOVA!$K$19*04_回帰ANOVA!$K$14*SQRT(1+_slice!J109))-01_因子設定!$B$14,01_因子設定!$B$15-(_slice!J84+04_回帰ANOVA!$K$19*04_回帰ANOVA!$K$14*SQRT(1+_slice!J109))))),"外")</f>
        <v>-1.17775312802882</v>
      </c>
      <c r="K43" s="50" t="n">
        <f aca="false">IF(AND(_slice!$H$5=1,K$41&gt;=_slice!$H$6-0.000000001,K$41&lt;=_slice!$I$6+0.000000001,$B43&gt;=_slice!$H$7-0.000000001,$B43&lt;=_slice!$I$7+0.000000001,IF(01_因子設定!$B$20="Box-Behnken",K$41^2+$B43^2+_slice!$H$8&lt;=2+0.000000001,TRUE())),IF(01_因子設定!$B$13="最大化",(_slice!K84-04_回帰ANOVA!$K$19*04_回帰ANOVA!$K$14*SQRT(1+_slice!K109))-01_因子設定!$B$14,IF(01_因子設定!$B$13="最小化",01_因子設定!$B$15-(_slice!K84+04_回帰ANOVA!$K$19*04_回帰ANOVA!$K$14*SQRT(1+_slice!K109)),MIN((_slice!K84-04_回帰ANOVA!$K$19*04_回帰ANOVA!$K$14*SQRT(1+_slice!K109))-01_因子設定!$B$14,01_因子設定!$B$15-(_slice!K84+04_回帰ANOVA!$K$19*04_回帰ANOVA!$K$14*SQRT(1+_slice!K109))))),"外")</f>
        <v>-0.767149503357558</v>
      </c>
      <c r="L43" s="50" t="n">
        <f aca="false">IF(AND(_slice!$H$5=1,L$41&gt;=_slice!$H$6-0.000000001,L$41&lt;=_slice!$I$6+0.000000001,$B43&gt;=_slice!$H$7-0.000000001,$B43&lt;=_slice!$I$7+0.000000001,IF(01_因子設定!$B$20="Box-Behnken",L$41^2+$B43^2+_slice!$H$8&lt;=2+0.000000001,TRUE())),IF(01_因子設定!$B$13="最大化",(_slice!L84-04_回帰ANOVA!$K$19*04_回帰ANOVA!$K$14*SQRT(1+_slice!L109))-01_因子設定!$B$14,IF(01_因子設定!$B$13="最小化",01_因子設定!$B$15-(_slice!L84+04_回帰ANOVA!$K$19*04_回帰ANOVA!$K$14*SQRT(1+_slice!L109)),MIN((_slice!L84-04_回帰ANOVA!$K$19*04_回帰ANOVA!$K$14*SQRT(1+_slice!L109))-01_因子設定!$B$14,01_因子設定!$B$15-(_slice!L84+04_回帰ANOVA!$K$19*04_回帰ANOVA!$K$14*SQRT(1+_slice!L109))))),"外")</f>
        <v>-0.406559653560365</v>
      </c>
      <c r="M43" s="50" t="n">
        <f aca="false">IF(AND(_slice!$H$5=1,M$41&gt;=_slice!$H$6-0.000000001,M$41&lt;=_slice!$I$6+0.000000001,$B43&gt;=_slice!$H$7-0.000000001,$B43&lt;=_slice!$I$7+0.000000001,IF(01_因子設定!$B$20="Box-Behnken",M$41^2+$B43^2+_slice!$H$8&lt;=2+0.000000001,TRUE())),IF(01_因子設定!$B$13="最大化",(_slice!M84-04_回帰ANOVA!$K$19*04_回帰ANOVA!$K$14*SQRT(1+_slice!M109))-01_因子設定!$B$14,IF(01_因子設定!$B$13="最小化",01_因子設定!$B$15-(_slice!M84+04_回帰ANOVA!$K$19*04_回帰ANOVA!$K$14*SQRT(1+_slice!M109)),MIN((_slice!M84-04_回帰ANOVA!$K$19*04_回帰ANOVA!$K$14*SQRT(1+_slice!M109))-01_因子設定!$B$14,01_因子設定!$B$15-(_slice!M84+04_回帰ANOVA!$K$19*04_回帰ANOVA!$K$14*SQRT(1+_slice!M109))))),"外")</f>
        <v>-0.0952411944760385</v>
      </c>
      <c r="N43" s="50" t="n">
        <f aca="false">IF(AND(_slice!$H$5=1,N$41&gt;=_slice!$H$6-0.000000001,N$41&lt;=_slice!$I$6+0.000000001,$B43&gt;=_slice!$H$7-0.000000001,$B43&lt;=_slice!$I$7+0.000000001,IF(01_因子設定!$B$20="Box-Behnken",N$41^2+$B43^2+_slice!$H$8&lt;=2+0.000000001,TRUE())),IF(01_因子設定!$B$13="最大化",(_slice!N84-04_回帰ANOVA!$K$19*04_回帰ANOVA!$K$14*SQRT(1+_slice!N109))-01_因子設定!$B$14,IF(01_因子設定!$B$13="最小化",01_因子設定!$B$15-(_slice!N84+04_回帰ANOVA!$K$19*04_回帰ANOVA!$K$14*SQRT(1+_slice!N109)),MIN((_slice!N84-04_回帰ANOVA!$K$19*04_回帰ANOVA!$K$14*SQRT(1+_slice!N109))-01_因子設定!$B$14,01_因子設定!$B$15-(_slice!N84+04_回帰ANOVA!$K$19*04_回帰ANOVA!$K$14*SQRT(1+_slice!N109))))),"外")</f>
        <v>0.167051457550741</v>
      </c>
      <c r="O43" s="50" t="n">
        <f aca="false">IF(AND(_slice!$H$5=1,O$41&gt;=_slice!$H$6-0.000000001,O$41&lt;=_slice!$I$6+0.000000001,$B43&gt;=_slice!$H$7-0.000000001,$B43&lt;=_slice!$I$7+0.000000001,IF(01_因子設定!$B$20="Box-Behnken",O$41^2+$B43^2+_slice!$H$8&lt;=2+0.000000001,TRUE())),IF(01_因子設定!$B$13="最大化",(_slice!O84-04_回帰ANOVA!$K$19*04_回帰ANOVA!$K$14*SQRT(1+_slice!O109))-01_因子設定!$B$14,IF(01_因子設定!$B$13="最小化",01_因子設定!$B$15-(_slice!O84+04_回帰ANOVA!$K$19*04_回帰ANOVA!$K$14*SQRT(1+_slice!O109)),MIN((_slice!O84-04_回帰ANOVA!$K$19*04_回帰ANOVA!$K$14*SQRT(1+_slice!O109))-01_因子設定!$B$14,01_因子設定!$B$15-(_slice!O84+04_回帰ANOVA!$K$19*04_回帰ANOVA!$K$14*SQRT(1+_slice!O109))))),"外")</f>
        <v>0.380072718864668</v>
      </c>
      <c r="P43" s="50" t="n">
        <f aca="false">IF(AND(_slice!$H$5=1,P$41&gt;=_slice!$H$6-0.000000001,P$41&lt;=_slice!$I$6+0.000000001,$B43&gt;=_slice!$H$7-0.000000001,$B43&lt;=_slice!$I$7+0.000000001,IF(01_因子設定!$B$20="Box-Behnken",P$41^2+$B43^2+_slice!$H$8&lt;=2+0.000000001,TRUE())),IF(01_因子設定!$B$13="最大化",(_slice!P84-04_回帰ANOVA!$K$19*04_回帰ANOVA!$K$14*SQRT(1+_slice!P109))-01_因子設定!$B$14,IF(01_因子設定!$B$13="最小化",01_因子設定!$B$15-(_slice!P84+04_回帰ANOVA!$K$19*04_回帰ANOVA!$K$14*SQRT(1+_slice!P109)),MIN((_slice!P84-04_回帰ANOVA!$K$19*04_回帰ANOVA!$K$14*SQRT(1+_slice!P109))-01_因子設定!$B$14,01_因子設定!$B$15-(_slice!P84+04_回帰ANOVA!$K$19*04_回帰ANOVA!$K$14*SQRT(1+_slice!P109))))),"外")</f>
        <v>0.543080205304513</v>
      </c>
      <c r="Q43" s="50" t="n">
        <f aca="false">IF(AND(_slice!$H$5=1,Q$41&gt;=_slice!$H$6-0.000000001,Q$41&lt;=_slice!$I$6+0.000000001,$B43&gt;=_slice!$H$7-0.000000001,$B43&lt;=_slice!$I$7+0.000000001,IF(01_因子設定!$B$20="Box-Behnken",Q$41^2+$B43^2+_slice!$H$8&lt;=2+0.000000001,TRUE())),IF(01_因子設定!$B$13="最大化",(_slice!Q84-04_回帰ANOVA!$K$19*04_回帰ANOVA!$K$14*SQRT(1+_slice!Q109))-01_因子設定!$B$14,IF(01_因子設定!$B$13="最小化",01_因子設定!$B$15-(_slice!Q84+04_回帰ANOVA!$K$19*04_回帰ANOVA!$K$14*SQRT(1+_slice!Q109)),MIN((_slice!Q84-04_回帰ANOVA!$K$19*04_回帰ANOVA!$K$14*SQRT(1+_slice!Q109))-01_因子設定!$B$14,01_因子設定!$B$15-(_slice!Q84+04_回帰ANOVA!$K$19*04_回帰ANOVA!$K$14*SQRT(1+_slice!Q109))))),"外")</f>
        <v>0.65482039128662</v>
      </c>
      <c r="R43" s="50" t="n">
        <f aca="false">IF(AND(_slice!$H$5=1,R$41&gt;=_slice!$H$6-0.000000001,R$41&lt;=_slice!$I$6+0.000000001,$B43&gt;=_slice!$H$7-0.000000001,$B43&lt;=_slice!$I$7+0.000000001,IF(01_因子設定!$B$20="Box-Behnken",R$41^2+$B43^2+_slice!$H$8&lt;=2+0.000000001,TRUE())),IF(01_因子設定!$B$13="最大化",(_slice!R84-04_回帰ANOVA!$K$19*04_回帰ANOVA!$K$14*SQRT(1+_slice!R109))-01_因子設定!$B$14,IF(01_因子設定!$B$13="最小化",01_因子設定!$B$15-(_slice!R84+04_回帰ANOVA!$K$19*04_回帰ANOVA!$K$14*SQRT(1+_slice!R109)),MIN((_slice!R84-04_回帰ANOVA!$K$19*04_回帰ANOVA!$K$14*SQRT(1+_slice!R109))-01_因子設定!$B$14,01_因子設定!$B$15-(_slice!R84+04_回帰ANOVA!$K$19*04_回帰ANOVA!$K$14*SQRT(1+_slice!R109))))),"外")</f>
        <v>0.713513690916031</v>
      </c>
      <c r="S43" s="50" t="n">
        <f aca="false">IF(AND(_slice!$H$5=1,S$41&gt;=_slice!$H$6-0.000000001,S$41&lt;=_slice!$I$6+0.000000001,$B43&gt;=_slice!$H$7-0.000000001,$B43&lt;=_slice!$I$7+0.000000001,IF(01_因子設定!$B$20="Box-Behnken",S$41^2+$B43^2+_slice!$H$8&lt;=2+0.000000001,TRUE())),IF(01_因子設定!$B$13="最大化",(_slice!S84-04_回帰ANOVA!$K$19*04_回帰ANOVA!$K$14*SQRT(1+_slice!S109))-01_因子設定!$B$14,IF(01_因子設定!$B$13="最小化",01_因子設定!$B$15-(_slice!S84+04_回帰ANOVA!$K$19*04_回帰ANOVA!$K$14*SQRT(1+_slice!S109)),MIN((_slice!S84-04_回帰ANOVA!$K$19*04_回帰ANOVA!$K$14*SQRT(1+_slice!S109))-01_因子設定!$B$14,01_因子設定!$B$15-(_slice!S84+04_回帰ANOVA!$K$19*04_回帰ANOVA!$K$14*SQRT(1+_slice!S109))))),"外")</f>
        <v>0.716853623058732</v>
      </c>
      <c r="T43" s="50" t="n">
        <f aca="false">IF(AND(_slice!$H$5=1,T$41&gt;=_slice!$H$6-0.000000001,T$41&lt;=_slice!$I$6+0.000000001,$B43&gt;=_slice!$H$7-0.000000001,$B43&lt;=_slice!$I$7+0.000000001,IF(01_因子設定!$B$20="Box-Behnken",T$41^2+$B43^2+_slice!$H$8&lt;=2+0.000000001,TRUE())),IF(01_因子設定!$B$13="最大化",(_slice!T84-04_回帰ANOVA!$K$19*04_回帰ANOVA!$K$14*SQRT(1+_slice!T109))-01_因子設定!$B$14,IF(01_因子設定!$B$13="最小化",01_因子設定!$B$15-(_slice!T84+04_回帰ANOVA!$K$19*04_回帰ANOVA!$K$14*SQRT(1+_slice!T109)),MIN((_slice!T84-04_回帰ANOVA!$K$19*04_回帰ANOVA!$K$14*SQRT(1+_slice!T109))-01_因子設定!$B$14,01_因子設定!$B$15-(_slice!T84+04_回帰ANOVA!$K$19*04_回帰ANOVA!$K$14*SQRT(1+_slice!T109))))),"外")</f>
        <v>0.662041364218432</v>
      </c>
      <c r="U43" s="50" t="n">
        <f aca="false">IF(AND(_slice!$H$5=1,U$41&gt;=_slice!$H$6-0.000000001,U$41&lt;=_slice!$I$6+0.000000001,$B43&gt;=_slice!$H$7-0.000000001,$B43&lt;=_slice!$I$7+0.000000001,IF(01_因子設定!$B$20="Box-Behnken",U$41^2+$B43^2+_slice!$H$8&lt;=2+0.000000001,TRUE())),IF(01_因子設定!$B$13="最大化",(_slice!U84-04_回帰ANOVA!$K$19*04_回帰ANOVA!$K$14*SQRT(1+_slice!U109))-01_因子設定!$B$14,IF(01_因子設定!$B$13="最小化",01_因子設定!$B$15-(_slice!U84+04_回帰ANOVA!$K$19*04_回帰ANOVA!$K$14*SQRT(1+_slice!U109)),MIN((_slice!U84-04_回帰ANOVA!$K$19*04_回帰ANOVA!$K$14*SQRT(1+_slice!U109))-01_因子設定!$B$14,01_因子設定!$B$15-(_slice!U84+04_回帰ANOVA!$K$19*04_回帰ANOVA!$K$14*SQRT(1+_slice!U109))))),"外")</f>
        <v>0.545880423902929</v>
      </c>
      <c r="V43" s="50" t="n">
        <f aca="false">IF(AND(_slice!$H$5=1,V$41&gt;=_slice!$H$6-0.000000001,V$41&lt;=_slice!$I$6+0.000000001,$B43&gt;=_slice!$H$7-0.000000001,$B43&lt;=_slice!$I$7+0.000000001,IF(01_因子設定!$B$20="Box-Behnken",V$41^2+$B43^2+_slice!$H$8&lt;=2+0.000000001,TRUE())),IF(01_因子設定!$B$13="最大化",(_slice!V84-04_回帰ANOVA!$K$19*04_回帰ANOVA!$K$14*SQRT(1+_slice!V109))-01_因子設定!$B$14,IF(01_因子設定!$B$13="最小化",01_因子設定!$B$15-(_slice!V84+04_回帰ANOVA!$K$19*04_回帰ANOVA!$K$14*SQRT(1+_slice!V109)),MIN((_slice!V84-04_回帰ANOVA!$K$19*04_回帰ANOVA!$K$14*SQRT(1+_slice!V109))-01_因子設定!$B$14,01_因子設定!$B$15-(_slice!V84+04_回帰ANOVA!$K$19*04_回帰ANOVA!$K$14*SQRT(1+_slice!V109))))),"外")</f>
        <v>0.364950385121752</v>
      </c>
      <c r="W43" s="50" t="n">
        <f aca="false">IF(AND(_slice!$H$5=1,W$41&gt;=_slice!$H$6-0.000000001,W$41&lt;=_slice!$I$6+0.000000001,$B43&gt;=_slice!$H$7-0.000000001,$B43&lt;=_slice!$I$7+0.000000001,IF(01_因子設定!$B$20="Box-Behnken",W$41^2+$B43^2+_slice!$H$8&lt;=2+0.000000001,TRUE())),IF(01_因子設定!$B$13="最大化",(_slice!W84-04_回帰ANOVA!$K$19*04_回帰ANOVA!$K$14*SQRT(1+_slice!W109))-01_因子設定!$B$14,IF(01_因子設定!$B$13="最小化",01_因子設定!$B$15-(_slice!W84+04_回帰ANOVA!$K$19*04_回帰ANOVA!$K$14*SQRT(1+_slice!W109)),MIN((_slice!W84-04_回帰ANOVA!$K$19*04_回帰ANOVA!$K$14*SQRT(1+_slice!W109))-01_因子設定!$B$14,01_因子設定!$B$15-(_slice!W84+04_回帰ANOVA!$K$19*04_回帰ANOVA!$K$14*SQRT(1+_slice!W109))))),"外")</f>
        <v>0.115857877026528</v>
      </c>
    </row>
    <row r="44" customFormat="false" ht="15" hidden="false" customHeight="false" outlineLevel="0" collapsed="false">
      <c r="A44" s="49" t="n">
        <f aca="false">INDEX(01_因子設定!$G$5:$G$8,$C$5)+B44*INDEX(01_因子設定!$H$5:$H$8,$C$5)</f>
        <v>39</v>
      </c>
      <c r="B44" s="49" t="n">
        <v>0.9</v>
      </c>
      <c r="C44" s="50" t="n">
        <f aca="false">IF(AND(_slice!$H$5=1,C$41&gt;=_slice!$H$6-0.000000001,C$41&lt;=_slice!$I$6+0.000000001,$B44&gt;=_slice!$H$7-0.000000001,$B44&lt;=_slice!$I$7+0.000000001,IF(01_因子設定!$B$20="Box-Behnken",C$41^2+$B44^2+_slice!$H$8&lt;=2+0.000000001,TRUE())),IF(01_因子設定!$B$13="最大化",(_slice!C85-04_回帰ANOVA!$K$19*04_回帰ANOVA!$K$14*SQRT(1+_slice!C110))-01_因子設定!$B$14,IF(01_因子設定!$B$13="最小化",01_因子設定!$B$15-(_slice!C85+04_回帰ANOVA!$K$19*04_回帰ANOVA!$K$14*SQRT(1+_slice!C110)),MIN((_slice!C85-04_回帰ANOVA!$K$19*04_回帰ANOVA!$K$14*SQRT(1+_slice!C110))-01_因子設定!$B$14,01_因子設定!$B$15-(_slice!C85+04_回帰ANOVA!$K$19*04_回帰ANOVA!$K$14*SQRT(1+_slice!C110))))),"外")</f>
        <v>-5.18629961487824</v>
      </c>
      <c r="D44" s="50" t="n">
        <f aca="false">IF(AND(_slice!$H$5=1,D$41&gt;=_slice!$H$6-0.000000001,D$41&lt;=_slice!$I$6+0.000000001,$B44&gt;=_slice!$H$7-0.000000001,$B44&lt;=_slice!$I$7+0.000000001,IF(01_因子設定!$B$20="Box-Behnken",D$41^2+$B44^2+_slice!$H$8&lt;=2+0.000000001,TRUE())),IF(01_因子設定!$B$13="最大化",(_slice!D85-04_回帰ANOVA!$K$19*04_回帰ANOVA!$K$14*SQRT(1+_slice!D110))-01_因子設定!$B$14,IF(01_因子設定!$B$13="最小化",01_因子設定!$B$15-(_slice!D85+04_回帰ANOVA!$K$19*04_回帰ANOVA!$K$14*SQRT(1+_slice!D110)),MIN((_slice!D85-04_回帰ANOVA!$K$19*04_回帰ANOVA!$K$14*SQRT(1+_slice!D110))-01_因子設定!$B$14,01_因子設定!$B$15-(_slice!D85+04_回帰ANOVA!$K$19*04_回帰ANOVA!$K$14*SQRT(1+_slice!D110))))),"外")</f>
        <v>-4.37024116166043</v>
      </c>
      <c r="E44" s="50" t="n">
        <f aca="false">IF(AND(_slice!$H$5=1,E$41&gt;=_slice!$H$6-0.000000001,E$41&lt;=_slice!$I$6+0.000000001,$B44&gt;=_slice!$H$7-0.000000001,$B44&lt;=_slice!$I$7+0.000000001,IF(01_因子設定!$B$20="Box-Behnken",E$41^2+$B44^2+_slice!$H$8&lt;=2+0.000000001,TRUE())),IF(01_因子設定!$B$13="最大化",(_slice!E85-04_回帰ANOVA!$K$19*04_回帰ANOVA!$K$14*SQRT(1+_slice!E110))-01_因子設定!$B$14,IF(01_因子設定!$B$13="最小化",01_因子設定!$B$15-(_slice!E85+04_回帰ANOVA!$K$19*04_回帰ANOVA!$K$14*SQRT(1+_slice!E110)),MIN((_slice!E85-04_回帰ANOVA!$K$19*04_回帰ANOVA!$K$14*SQRT(1+_slice!E110))-01_因子設定!$B$14,01_因子設定!$B$15-(_slice!E85+04_回帰ANOVA!$K$19*04_回帰ANOVA!$K$14*SQRT(1+_slice!E110))))),"外")</f>
        <v>-3.62300386968049</v>
      </c>
      <c r="F44" s="50" t="n">
        <f aca="false">IF(AND(_slice!$H$5=1,F$41&gt;=_slice!$H$6-0.000000001,F$41&lt;=_slice!$I$6+0.000000001,$B44&gt;=_slice!$H$7-0.000000001,$B44&lt;=_slice!$I$7+0.000000001,IF(01_因子設定!$B$20="Box-Behnken",F$41^2+$B44^2+_slice!$H$8&lt;=2+0.000000001,TRUE())),IF(01_因子設定!$B$13="最大化",(_slice!F85-04_回帰ANOVA!$K$19*04_回帰ANOVA!$K$14*SQRT(1+_slice!F110))-01_因子設定!$B$14,IF(01_因子設定!$B$13="最小化",01_因子設定!$B$15-(_slice!F85+04_回帰ANOVA!$K$19*04_回帰ANOVA!$K$14*SQRT(1+_slice!F110)),MIN((_slice!F85-04_回帰ANOVA!$K$19*04_回帰ANOVA!$K$14*SQRT(1+_slice!F110))-01_因子設定!$B$14,01_因子設定!$B$15-(_slice!F85+04_回帰ANOVA!$K$19*04_回帰ANOVA!$K$14*SQRT(1+_slice!F110))))),"外")</f>
        <v>-2.94123882522863</v>
      </c>
      <c r="G44" s="50" t="n">
        <f aca="false">IF(AND(_slice!$H$5=1,G$41&gt;=_slice!$H$6-0.000000001,G$41&lt;=_slice!$I$6+0.000000001,$B44&gt;=_slice!$H$7-0.000000001,$B44&lt;=_slice!$I$7+0.000000001,IF(01_因子設定!$B$20="Box-Behnken",G$41^2+$B44^2+_slice!$H$8&lt;=2+0.000000001,TRUE())),IF(01_因子設定!$B$13="最大化",(_slice!G85-04_回帰ANOVA!$K$19*04_回帰ANOVA!$K$14*SQRT(1+_slice!G110))-01_因子設定!$B$14,IF(01_因子設定!$B$13="最小化",01_因子設定!$B$15-(_slice!G85+04_回帰ANOVA!$K$19*04_回帰ANOVA!$K$14*SQRT(1+_slice!G110)),MIN((_slice!G85-04_回帰ANOVA!$K$19*04_回帰ANOVA!$K$14*SQRT(1+_slice!G110))-01_因子設定!$B$14,01_因子設定!$B$15-(_slice!G85+04_回帰ANOVA!$K$19*04_回帰ANOVA!$K$14*SQRT(1+_slice!G110))))),"外")</f>
        <v>-2.32150112836506</v>
      </c>
      <c r="H44" s="50" t="n">
        <f aca="false">IF(AND(_slice!$H$5=1,H$41&gt;=_slice!$H$6-0.000000001,H$41&lt;=_slice!$I$6+0.000000001,$B44&gt;=_slice!$H$7-0.000000001,$B44&lt;=_slice!$I$7+0.000000001,IF(01_因子設定!$B$20="Box-Behnken",H$41^2+$B44^2+_slice!$H$8&lt;=2+0.000000001,TRUE())),IF(01_因子設定!$B$13="最大化",(_slice!H85-04_回帰ANOVA!$K$19*04_回帰ANOVA!$K$14*SQRT(1+_slice!H110))-01_因子設定!$B$14,IF(01_因子設定!$B$13="最小化",01_因子設定!$B$15-(_slice!H85+04_回帰ANOVA!$K$19*04_回帰ANOVA!$K$14*SQRT(1+_slice!H110)),MIN((_slice!H85-04_回帰ANOVA!$K$19*04_回帰ANOVA!$K$14*SQRT(1+_slice!H110))-01_因子設定!$B$14,01_因子設定!$B$15-(_slice!H85+04_回帰ANOVA!$K$19*04_回帰ANOVA!$K$14*SQRT(1+_slice!H110))))),"外")</f>
        <v>-1.76052373508332</v>
      </c>
      <c r="I44" s="50" t="n">
        <f aca="false">IF(AND(_slice!$H$5=1,I$41&gt;=_slice!$H$6-0.000000001,I$41&lt;=_slice!$I$6+0.000000001,$B44&gt;=_slice!$H$7-0.000000001,$B44&lt;=_slice!$I$7+0.000000001,IF(01_因子設定!$B$20="Box-Behnken",I$41^2+$B44^2+_slice!$H$8&lt;=2+0.000000001,TRUE())),IF(01_因子設定!$B$13="最大化",(_slice!I85-04_回帰ANOVA!$K$19*04_回帰ANOVA!$K$14*SQRT(1+_slice!I110))-01_因子設定!$B$14,IF(01_因子設定!$B$13="最小化",01_因子設定!$B$15-(_slice!I85+04_回帰ANOVA!$K$19*04_回帰ANOVA!$K$14*SQRT(1+_slice!I110)),MIN((_slice!I85-04_回帰ANOVA!$K$19*04_回帰ANOVA!$K$14*SQRT(1+_slice!I110))-01_因子設定!$B$14,01_因子設定!$B$15-(_slice!I85+04_回帰ANOVA!$K$19*04_回帰ANOVA!$K$14*SQRT(1+_slice!I110))))),"外")</f>
        <v>-1.25541672030249</v>
      </c>
      <c r="J44" s="50" t="n">
        <f aca="false">IF(AND(_slice!$H$5=1,J$41&gt;=_slice!$H$6-0.000000001,J$41&lt;=_slice!$I$6+0.000000001,$B44&gt;=_slice!$H$7-0.000000001,$B44&lt;=_slice!$I$7+0.000000001,IF(01_因子設定!$B$20="Box-Behnken",J$41^2+$B44^2+_slice!$H$8&lt;=2+0.000000001,TRUE())),IF(01_因子設定!$B$13="最大化",(_slice!J85-04_回帰ANOVA!$K$19*04_回帰ANOVA!$K$14*SQRT(1+_slice!J110))-01_因子設定!$B$14,IF(01_因子設定!$B$13="最小化",01_因子設定!$B$15-(_slice!J85+04_回帰ANOVA!$K$19*04_回帰ANOVA!$K$14*SQRT(1+_slice!J110)),MIN((_slice!J85-04_回帰ANOVA!$K$19*04_回帰ANOVA!$K$14*SQRT(1+_slice!J110))-01_因子設定!$B$14,01_因子設定!$B$15-(_slice!J85+04_回帰ANOVA!$K$19*04_回帰ANOVA!$K$14*SQRT(1+_slice!J110))))),"外")</f>
        <v>-0.803782480096054</v>
      </c>
      <c r="K44" s="50" t="n">
        <f aca="false">IF(AND(_slice!$H$5=1,K$41&gt;=_slice!$H$6-0.000000001,K$41&lt;=_slice!$I$6+0.000000001,$B44&gt;=_slice!$H$7-0.000000001,$B44&lt;=_slice!$I$7+0.000000001,IF(01_因子設定!$B$20="Box-Behnken",K$41^2+$B44^2+_slice!$H$8&lt;=2+0.000000001,TRUE())),IF(01_因子設定!$B$13="最大化",(_slice!K85-04_回帰ANOVA!$K$19*04_回帰ANOVA!$K$14*SQRT(1+_slice!K110))-01_因子設定!$B$14,IF(01_因子設定!$B$13="最小化",01_因子設定!$B$15-(_slice!K85+04_回帰ANOVA!$K$19*04_回帰ANOVA!$K$14*SQRT(1+_slice!K110)),MIN((_slice!K85-04_回帰ANOVA!$K$19*04_回帰ANOVA!$K$14*SQRT(1+_slice!K110))-01_因子設定!$B$14,01_因子設定!$B$15-(_slice!K85+04_回帰ANOVA!$K$19*04_回帰ANOVA!$K$14*SQRT(1+_slice!K110))))),"外")</f>
        <v>-0.40376341028562</v>
      </c>
      <c r="L44" s="50" t="n">
        <f aca="false">IF(AND(_slice!$H$5=1,L$41&gt;=_slice!$H$6-0.000000001,L$41&lt;=_slice!$I$6+0.000000001,$B44&gt;=_slice!$H$7-0.000000001,$B44&lt;=_slice!$I$7+0.000000001,IF(01_因子設定!$B$20="Box-Behnken",L$41^2+$B44^2+_slice!$H$8&lt;=2+0.000000001,TRUE())),IF(01_因子設定!$B$13="最大化",(_slice!L85-04_回帰ANOVA!$K$19*04_回帰ANOVA!$K$14*SQRT(1+_slice!L110))-01_因子設定!$B$14,IF(01_因子設定!$B$13="最小化",01_因子設定!$B$15-(_slice!L85+04_回帰ANOVA!$K$19*04_回帰ANOVA!$K$14*SQRT(1+_slice!L110)),MIN((_slice!L85-04_回帰ANOVA!$K$19*04_回帰ANOVA!$K$14*SQRT(1+_slice!L110))-01_因子設定!$B$14,01_因子設定!$B$15-(_slice!L85+04_回帰ANOVA!$K$19*04_回帰ANOVA!$K$14*SQRT(1+_slice!L110))))),"外")</f>
        <v>-0.0540478886737787</v>
      </c>
      <c r="M44" s="50" t="n">
        <f aca="false">IF(AND(_slice!$H$5=1,M$41&gt;=_slice!$H$6-0.000000001,M$41&lt;=_slice!$I$6+0.000000001,$B44&gt;=_slice!$H$7-0.000000001,$B44&lt;=_slice!$I$7+0.000000001,IF(01_因子設定!$B$20="Box-Behnken",M$41^2+$B44^2+_slice!$H$8&lt;=2+0.000000001,TRUE())),IF(01_因子設定!$B$13="最大化",(_slice!M85-04_回帰ANOVA!$K$19*04_回帰ANOVA!$K$14*SQRT(1+_slice!M110))-01_因子設定!$B$14,IF(01_因子設定!$B$13="最小化",01_因子設定!$B$15-(_slice!M85+04_回帰ANOVA!$K$19*04_回帰ANOVA!$K$14*SQRT(1+_slice!M110)),MIN((_slice!M85-04_回帰ANOVA!$K$19*04_回帰ANOVA!$K$14*SQRT(1+_slice!M110))-01_因子設定!$B$14,01_因子設定!$B$15-(_slice!M85+04_回帰ANOVA!$K$19*04_回帰ANOVA!$K$14*SQRT(1+_slice!M110))))),"外")</f>
        <v>0.246141848417679</v>
      </c>
      <c r="N44" s="50" t="n">
        <f aca="false">IF(AND(_slice!$H$5=1,N$41&gt;=_slice!$H$6-0.000000001,N$41&lt;=_slice!$I$6+0.000000001,$B44&gt;=_slice!$H$7-0.000000001,$B44&lt;=_slice!$I$7+0.000000001,IF(01_因子設定!$B$20="Box-Behnken",N$41^2+$B44^2+_slice!$H$8&lt;=2+0.000000001,TRUE())),IF(01_因子設定!$B$13="最大化",(_slice!N85-04_回帰ANOVA!$K$19*04_回帰ANOVA!$K$14*SQRT(1+_slice!N110))-01_因子設定!$B$14,IF(01_因子設定!$B$13="最小化",01_因子設定!$B$15-(_slice!N85+04_回帰ANOVA!$K$19*04_回帰ANOVA!$K$14*SQRT(1+_slice!N110)),MIN((_slice!N85-04_回帰ANOVA!$K$19*04_回帰ANOVA!$K$14*SQRT(1+_slice!N110))-01_因子設定!$B$14,01_因子設定!$B$15-(_slice!N85+04_回帰ANOVA!$K$19*04_回帰ANOVA!$K$14*SQRT(1+_slice!N110))))),"外")</f>
        <v>0.497063222437333</v>
      </c>
      <c r="O44" s="50" t="n">
        <f aca="false">IF(AND(_slice!$H$5=1,O$41&gt;=_slice!$H$6-0.000000001,O$41&lt;=_slice!$I$6+0.000000001,$B44&gt;=_slice!$H$7-0.000000001,$B44&lt;=_slice!$I$7+0.000000001,IF(01_因子設定!$B$20="Box-Behnken",O$41^2+$B44^2+_slice!$H$8&lt;=2+0.000000001,TRUE())),IF(01_因子設定!$B$13="最大化",(_slice!O85-04_回帰ANOVA!$K$19*04_回帰ANOVA!$K$14*SQRT(1+_slice!O110))-01_因子設定!$B$14,IF(01_因子設定!$B$13="最小化",01_因子設定!$B$15-(_slice!O85+04_回帰ANOVA!$K$19*04_回帰ANOVA!$K$14*SQRT(1+_slice!O110)),MIN((_slice!O85-04_回帰ANOVA!$K$19*04_回帰ANOVA!$K$14*SQRT(1+_slice!O110))-01_因子設定!$B$14,01_因子設定!$B$15-(_slice!O85+04_回帰ANOVA!$K$19*04_回帰ANOVA!$K$14*SQRT(1+_slice!O110))))),"外")</f>
        <v>0.698458811936604</v>
      </c>
      <c r="P44" s="50" t="n">
        <f aca="false">IF(AND(_slice!$H$5=1,P$41&gt;=_slice!$H$6-0.000000001,P$41&lt;=_slice!$I$6+0.000000001,$B44&gt;=_slice!$H$7-0.000000001,$B44&lt;=_slice!$I$7+0.000000001,IF(01_因子設定!$B$20="Box-Behnken",P$41^2+$B44^2+_slice!$H$8&lt;=2+0.000000001,TRUE())),IF(01_因子設定!$B$13="最大化",(_slice!P85-04_回帰ANOVA!$K$19*04_回帰ANOVA!$K$14*SQRT(1+_slice!P110))-01_因子設定!$B$14,IF(01_因子設定!$B$13="最小化",01_因子設定!$B$15-(_slice!P85+04_回帰ANOVA!$K$19*04_回帰ANOVA!$K$14*SQRT(1+_slice!P110)),MIN((_slice!P85-04_回帰ANOVA!$K$19*04_回帰ANOVA!$K$14*SQRT(1+_slice!P110))-01_因子設定!$B$14,01_因子設定!$B$15-(_slice!P85+04_回帰ANOVA!$K$19*04_回帰ANOVA!$K$14*SQRT(1+_slice!P110))))),"外")</f>
        <v>0.849550853237282</v>
      </c>
      <c r="Q44" s="50" t="n">
        <f aca="false">IF(AND(_slice!$H$5=1,Q$41&gt;=_slice!$H$6-0.000000001,Q$41&lt;=_slice!$I$6+0.000000001,$B44&gt;=_slice!$H$7-0.000000001,$B44&lt;=_slice!$I$7+0.000000001,IF(01_因子設定!$B$20="Box-Behnken",Q$41^2+$B44^2+_slice!$H$8&lt;=2+0.000000001,TRUE())),IF(01_因子設定!$B$13="最大化",(_slice!Q85-04_回帰ANOVA!$K$19*04_回帰ANOVA!$K$14*SQRT(1+_slice!Q110))-01_因子設定!$B$14,IF(01_因子設定!$B$13="最小化",01_因子設定!$B$15-(_slice!Q85+04_回帰ANOVA!$K$19*04_回帰ANOVA!$K$14*SQRT(1+_slice!Q110)),MIN((_slice!Q85-04_回帰ANOVA!$K$19*04_回帰ANOVA!$K$14*SQRT(1+_slice!Q110))-01_因子設定!$B$14,01_因子設定!$B$15-(_slice!Q85+04_回帰ANOVA!$K$19*04_回帰ANOVA!$K$14*SQRT(1+_slice!Q110))))),"外")</f>
        <v>0.949027724141956</v>
      </c>
      <c r="R44" s="50" t="n">
        <f aca="false">IF(AND(_slice!$H$5=1,R$41&gt;=_slice!$H$6-0.000000001,R$41&lt;=_slice!$I$6+0.000000001,$B44&gt;=_slice!$H$7-0.000000001,$B44&lt;=_slice!$I$7+0.000000001,IF(01_因子設定!$B$20="Box-Behnken",R$41^2+$B44^2+_slice!$H$8&lt;=2+0.000000001,TRUE())),IF(01_因子設定!$B$13="最大化",(_slice!R85-04_回帰ANOVA!$K$19*04_回帰ANOVA!$K$14*SQRT(1+_slice!R110))-01_因子設定!$B$14,IF(01_因子設定!$B$13="最小化",01_因子設定!$B$15-(_slice!R85+04_回帰ANOVA!$K$19*04_回帰ANOVA!$K$14*SQRT(1+_slice!R110)),MIN((_slice!R85-04_回帰ANOVA!$K$19*04_回帰ANOVA!$K$14*SQRT(1+_slice!R110))-01_因子設定!$B$14,01_因子設定!$B$15-(_slice!R85+04_回帰ANOVA!$K$19*04_回帰ANOVA!$K$14*SQRT(1+_slice!R110))))),"外")</f>
        <v>0.995031820472242</v>
      </c>
      <c r="S44" s="50" t="n">
        <f aca="false">IF(AND(_slice!$H$5=1,S$41&gt;=_slice!$H$6-0.000000001,S$41&lt;=_slice!$I$6+0.000000001,$B44&gt;=_slice!$H$7-0.000000001,$B44&lt;=_slice!$I$7+0.000000001,IF(01_因子設定!$B$20="Box-Behnken",S$41^2+$B44^2+_slice!$H$8&lt;=2+0.000000001,TRUE())),IF(01_因子設定!$B$13="最大化",(_slice!S85-04_回帰ANOVA!$K$19*04_回帰ANOVA!$K$14*SQRT(1+_slice!S110))-01_因子設定!$B$14,IF(01_因子設定!$B$13="最小化",01_因子設定!$B$15-(_slice!S85+04_回帰ANOVA!$K$19*04_回帰ANOVA!$K$14*SQRT(1+_slice!S110)),MIN((_slice!S85-04_回帰ANOVA!$K$19*04_回帰ANOVA!$K$14*SQRT(1+_slice!S110))-01_因子設定!$B$14,01_因子設定!$B$15-(_slice!S85+04_回帰ANOVA!$K$19*04_回帰ANOVA!$K$14*SQRT(1+_slice!S110))))),"外")</f>
        <v>0.985165538301615</v>
      </c>
      <c r="T44" s="50" t="n">
        <f aca="false">IF(AND(_slice!$H$5=1,T$41&gt;=_slice!$H$6-0.000000001,T$41&lt;=_slice!$I$6+0.000000001,$B44&gt;=_slice!$H$7-0.000000001,$B44&lt;=_slice!$I$7+0.000000001,IF(01_因子設定!$B$20="Box-Behnken",T$41^2+$B44^2+_slice!$H$8&lt;=2+0.000000001,TRUE())),IF(01_因子設定!$B$13="最大化",(_slice!T85-04_回帰ANOVA!$K$19*04_回帰ANOVA!$K$14*SQRT(1+_slice!T110))-01_因子設定!$B$14,IF(01_因子設定!$B$13="最小化",01_因子設定!$B$15-(_slice!T85+04_回帰ANOVA!$K$19*04_回帰ANOVA!$K$14*SQRT(1+_slice!T110)),MIN((_slice!T85-04_回帰ANOVA!$K$19*04_回帰ANOVA!$K$14*SQRT(1+_slice!T110))-01_因子設定!$B$14,01_因子設定!$B$15-(_slice!T85+04_回帰ANOVA!$K$19*04_回帰ANOVA!$K$14*SQRT(1+_slice!T110))))),"外")</f>
        <v>0.916538952549153</v>
      </c>
      <c r="U44" s="50" t="n">
        <f aca="false">IF(AND(_slice!$H$5=1,U$41&gt;=_slice!$H$6-0.000000001,U$41&lt;=_slice!$I$6+0.000000001,$B44&gt;=_slice!$H$7-0.000000001,$B44&lt;=_slice!$I$7+0.000000001,IF(01_因子設定!$B$20="Box-Behnken",U$41^2+$B44^2+_slice!$H$8&lt;=2+0.000000001,TRUE())),IF(01_因子設定!$B$13="最大化",(_slice!U85-04_回帰ANOVA!$K$19*04_回帰ANOVA!$K$14*SQRT(1+_slice!U110))-01_因子設定!$B$14,IF(01_因子設定!$B$13="最小化",01_因子設定!$B$15-(_slice!U85+04_回帰ANOVA!$K$19*04_回帰ANOVA!$K$14*SQRT(1+_slice!U110)),MIN((_slice!U85-04_回帰ANOVA!$K$19*04_回帰ANOVA!$K$14*SQRT(1+_slice!U110))-01_因子設定!$B$14,01_因子設定!$B$15-(_slice!U85+04_回帰ANOVA!$K$19*04_回帰ANOVA!$K$14*SQRT(1+_slice!U110))))),"外")</f>
        <v>0.785885019208408</v>
      </c>
      <c r="V44" s="50" t="n">
        <f aca="false">IF(AND(_slice!$H$5=1,V$41&gt;=_slice!$H$6-0.000000001,V$41&lt;=_slice!$I$6+0.000000001,$B44&gt;=_slice!$H$7-0.000000001,$B44&lt;=_slice!$I$7+0.000000001,IF(01_因子設定!$B$20="Box-Behnken",V$41^2+$B44^2+_slice!$H$8&lt;=2+0.000000001,TRUE())),IF(01_因子設定!$B$13="最大化",(_slice!V85-04_回帰ANOVA!$K$19*04_回帰ANOVA!$K$14*SQRT(1+_slice!V110))-01_因子設定!$B$14,IF(01_因子設定!$B$13="最小化",01_因子設定!$B$15-(_slice!V85+04_回帰ANOVA!$K$19*04_回帰ANOVA!$K$14*SQRT(1+_slice!V110)),MIN((_slice!V85-04_回帰ANOVA!$K$19*04_回帰ANOVA!$K$14*SQRT(1+_slice!V110))-01_因子設定!$B$14,01_因子設定!$B$15-(_slice!V85+04_回帰ANOVA!$K$19*04_回帰ANOVA!$K$14*SQRT(1+_slice!V110))))),"外")</f>
        <v>0.589758838339577</v>
      </c>
      <c r="W44" s="50" t="n">
        <f aca="false">IF(AND(_slice!$H$5=1,W$41&gt;=_slice!$H$6-0.000000001,W$41&lt;=_slice!$I$6+0.000000001,$B44&gt;=_slice!$H$7-0.000000001,$B44&lt;=_slice!$I$7+0.000000001,IF(01_因子設定!$B$20="Box-Behnken",W$41^2+$B44^2+_slice!$H$8&lt;=2+0.000000001,TRUE())),IF(01_因子設定!$B$13="最大化",(_slice!W85-04_回帰ANOVA!$K$19*04_回帰ANOVA!$K$14*SQRT(1+_slice!W110))-01_因子設定!$B$14,IF(01_因子設定!$B$13="最小化",01_因子設定!$B$15-(_slice!W85+04_回帰ANOVA!$K$19*04_回帰ANOVA!$K$14*SQRT(1+_slice!W110)),MIN((_slice!W85-04_回帰ANOVA!$K$19*04_回帰ANOVA!$K$14*SQRT(1+_slice!W110))-01_因子設定!$B$14,01_因子設定!$B$15-(_slice!W85+04_回帰ANOVA!$K$19*04_回帰ANOVA!$K$14*SQRT(1+_slice!W110))))),"外")</f>
        <v>0.324811496232883</v>
      </c>
    </row>
    <row r="45" customFormat="false" ht="15" hidden="false" customHeight="false" outlineLevel="0" collapsed="false">
      <c r="A45" s="49" t="n">
        <f aca="false">INDEX(01_因子設定!$G$5:$G$8,$C$5)+B45*INDEX(01_因子設定!$H$5:$H$8,$C$5)</f>
        <v>38</v>
      </c>
      <c r="B45" s="49" t="n">
        <v>0.8</v>
      </c>
      <c r="C45" s="50" t="n">
        <f aca="false">IF(AND(_slice!$H$5=1,C$41&gt;=_slice!$H$6-0.000000001,C$41&lt;=_slice!$I$6+0.000000001,$B45&gt;=_slice!$H$7-0.000000001,$B45&lt;=_slice!$I$7+0.000000001,IF(01_因子設定!$B$20="Box-Behnken",C$41^2+$B45^2+_slice!$H$8&lt;=2+0.000000001,TRUE())),IF(01_因子設定!$B$13="最大化",(_slice!C86-04_回帰ANOVA!$K$19*04_回帰ANOVA!$K$14*SQRT(1+_slice!C111))-01_因子設定!$B$14,IF(01_因子設定!$B$13="最小化",01_因子設定!$B$15-(_slice!C86+04_回帰ANOVA!$K$19*04_回帰ANOVA!$K$14*SQRT(1+_slice!C111)),MIN((_slice!C86-04_回帰ANOVA!$K$19*04_回帰ANOVA!$K$14*SQRT(1+_slice!C111))-01_因子設定!$B$14,01_因子設定!$B$15-(_slice!C86+04_回帰ANOVA!$K$19*04_回帰ANOVA!$K$14*SQRT(1+_slice!C111))))),"外")</f>
        <v>-4.82050846498593</v>
      </c>
      <c r="D45" s="50" t="n">
        <f aca="false">IF(AND(_slice!$H$5=1,D$41&gt;=_slice!$H$6-0.000000001,D$41&lt;=_slice!$I$6+0.000000001,$B45&gt;=_slice!$H$7-0.000000001,$B45&lt;=_slice!$I$7+0.000000001,IF(01_因子設定!$B$20="Box-Behnken",D$41^2+$B45^2+_slice!$H$8&lt;=2+0.000000001,TRUE())),IF(01_因子設定!$B$13="最大化",(_slice!D86-04_回帰ANOVA!$K$19*04_回帰ANOVA!$K$14*SQRT(1+_slice!D111))-01_因子設定!$B$14,IF(01_因子設定!$B$13="最小化",01_因子設定!$B$15-(_slice!D86+04_回帰ANOVA!$K$19*04_回帰ANOVA!$K$14*SQRT(1+_slice!D111)),MIN((_slice!D86-04_回帰ANOVA!$K$19*04_回帰ANOVA!$K$14*SQRT(1+_slice!D111))-01_因子設定!$B$14,01_因子設定!$B$15-(_slice!D86+04_回帰ANOVA!$K$19*04_回帰ANOVA!$K$14*SQRT(1+_slice!D111))))),"外")</f>
        <v>-4.01175386968048</v>
      </c>
      <c r="E45" s="50" t="n">
        <f aca="false">IF(AND(_slice!$H$5=1,E$41&gt;=_slice!$H$6-0.000000001,E$41&lt;=_slice!$I$6+0.000000001,$B45&gt;=_slice!$H$7-0.000000001,$B45&lt;=_slice!$I$7+0.000000001,IF(01_因子設定!$B$20="Box-Behnken",E$41^2+$B45^2+_slice!$H$8&lt;=2+0.000000001,TRUE())),IF(01_因子設定!$B$13="最大化",(_slice!E86-04_回帰ANOVA!$K$19*04_回帰ANOVA!$K$14*SQRT(1+_slice!E111))-01_因子設定!$B$14,IF(01_因子設定!$B$13="最小化",01_因子設定!$B$15-(_slice!E86+04_回帰ANOVA!$K$19*04_回帰ANOVA!$K$14*SQRT(1+_slice!E111)),MIN((_slice!E86-04_回帰ANOVA!$K$19*04_回帰ANOVA!$K$14*SQRT(1+_slice!E111))-01_因子設定!$B$14,01_因子設定!$B$15-(_slice!E86+04_回帰ANOVA!$K$19*04_回帰ANOVA!$K$14*SQRT(1+_slice!E111))))),"外")</f>
        <v>-3.27229346051842</v>
      </c>
      <c r="F45" s="50" t="n">
        <f aca="false">IF(AND(_slice!$H$5=1,F$41&gt;=_slice!$H$6-0.000000001,F$41&lt;=_slice!$I$6+0.000000001,$B45&gt;=_slice!$H$7-0.000000001,$B45&lt;=_slice!$I$7+0.000000001,IF(01_因子設定!$B$20="Box-Behnken",F$41^2+$B45^2+_slice!$H$8&lt;=2+0.000000001,TRUE())),IF(01_因子設定!$B$13="最大化",(_slice!F86-04_回帰ANOVA!$K$19*04_回帰ANOVA!$K$14*SQRT(1+_slice!F111))-01_因子設定!$B$14,IF(01_因子設定!$B$13="最小化",01_因子設定!$B$15-(_slice!F86+04_回帰ANOVA!$K$19*04_回帰ANOVA!$K$14*SQRT(1+_slice!F111)),MIN((_slice!F86-04_回帰ANOVA!$K$19*04_回帰ANOVA!$K$14*SQRT(1+_slice!F111))-01_因子設定!$B$14,01_因子設定!$B$15-(_slice!F86+04_回帰ANOVA!$K$19*04_回帰ANOVA!$K$14*SQRT(1+_slice!F111))))),"外")</f>
        <v>-2.59884650298896</v>
      </c>
      <c r="G45" s="50" t="n">
        <f aca="false">IF(AND(_slice!$H$5=1,G$41&gt;=_slice!$H$6-0.000000001,G$41&lt;=_slice!$I$6+0.000000001,$B45&gt;=_slice!$H$7-0.000000001,$B45&lt;=_slice!$I$7+0.000000001,IF(01_因子設定!$B$20="Box-Behnken",G$41^2+$B45^2+_slice!$H$8&lt;=2+0.000000001,TRUE())),IF(01_因子設定!$B$13="最大化",(_slice!G86-04_回帰ANOVA!$K$19*04_回帰ANOVA!$K$14*SQRT(1+_slice!G111))-01_因子設定!$B$14,IF(01_因子設定!$B$13="最小化",01_因子設定!$B$15-(_slice!G86+04_回帰ANOVA!$K$19*04_回帰ANOVA!$K$14*SQRT(1+_slice!G111)),MIN((_slice!G86-04_回帰ANOVA!$K$19*04_回帰ANOVA!$K$14*SQRT(1+_slice!G111))-01_因子設定!$B$14,01_因子設定!$B$15-(_slice!G86+04_回帰ANOVA!$K$19*04_回帰ANOVA!$K$14*SQRT(1+_slice!G111))))),"外")</f>
        <v>-1.98797787397992</v>
      </c>
      <c r="H45" s="50" t="n">
        <f aca="false">IF(AND(_slice!$H$5=1,H$41&gt;=_slice!$H$6-0.000000001,H$41&lt;=_slice!$I$6+0.000000001,$B45&gt;=_slice!$H$7-0.000000001,$B45&lt;=_slice!$I$7+0.000000001,IF(01_因子設定!$B$20="Box-Behnken",H$41^2+$B45^2+_slice!$H$8&lt;=2+0.000000001,TRUE())),IF(01_因子設定!$B$13="最大化",(_slice!H86-04_回帰ANOVA!$K$19*04_回帰ANOVA!$K$14*SQRT(1+_slice!H111))-01_因子設定!$B$14,IF(01_因子設定!$B$13="最小化",01_因子設定!$B$15-(_slice!H86+04_回帰ANOVA!$K$19*04_回帰ANOVA!$K$14*SQRT(1+_slice!H111)),MIN((_slice!H86-04_回帰ANOVA!$K$19*04_回帰ANOVA!$K$14*SQRT(1+_slice!H111))-01_因子設定!$B$14,01_因子設定!$B$15-(_slice!H86+04_回帰ANOVA!$K$19*04_回帰ANOVA!$K$14*SQRT(1+_slice!H111))))),"外")</f>
        <v>-1.43638626333818</v>
      </c>
      <c r="I45" s="50" t="n">
        <f aca="false">IF(AND(_slice!$H$5=1,I$41&gt;=_slice!$H$6-0.000000001,I$41&lt;=_slice!$I$6+0.000000001,$B45&gt;=_slice!$H$7-0.000000001,$B45&lt;=_slice!$I$7+0.000000001,IF(01_因子設定!$B$20="Box-Behnken",I$41^2+$B45^2+_slice!$H$8&lt;=2+0.000000001,TRUE())),IF(01_因子設定!$B$13="最大化",(_slice!I86-04_回帰ANOVA!$K$19*04_回帰ANOVA!$K$14*SQRT(1+_slice!I111))-01_因子設定!$B$14,IF(01_因子設定!$B$13="最小化",01_因子設定!$B$15-(_slice!I86+04_回帰ANOVA!$K$19*04_回帰ANOVA!$K$14*SQRT(1+_slice!I111)),MIN((_slice!I86-04_回帰ANOVA!$K$19*04_回帰ANOVA!$K$14*SQRT(1+_slice!I111))-01_因子設定!$B$14,01_因子設定!$B$15-(_slice!I86+04_回帰ANOVA!$K$19*04_回帰ANOVA!$K$14*SQRT(1+_slice!I111))))),"外")</f>
        <v>-0.941123255782728</v>
      </c>
      <c r="J45" s="50" t="n">
        <f aca="false">IF(AND(_slice!$H$5=1,J$41&gt;=_slice!$H$6-0.000000001,J$41&lt;=_slice!$I$6+0.000000001,$B45&gt;=_slice!$H$7-0.000000001,$B45&lt;=_slice!$I$7+0.000000001,IF(01_因子設定!$B$20="Box-Behnken",J$41^2+$B45^2+_slice!$H$8&lt;=2+0.000000001,TRUE())),IF(01_因子設定!$B$13="最大化",(_slice!J86-04_回帰ANOVA!$K$19*04_回帰ANOVA!$K$14*SQRT(1+_slice!J111))-01_因子設定!$B$14,IF(01_因子設定!$B$13="最小化",01_因子設定!$B$15-(_slice!J86+04_回帰ANOVA!$K$19*04_回帰ANOVA!$K$14*SQRT(1+_slice!J111)),MIN((_slice!J86-04_回帰ANOVA!$K$19*04_回帰ANOVA!$K$14*SQRT(1+_slice!J111))-01_因子設定!$B$14,01_因子設定!$B$15-(_slice!J86+04_回帰ANOVA!$K$19*04_回帰ANOVA!$K$14*SQRT(1+_slice!J111))))),"外")</f>
        <v>-0.499726411033926</v>
      </c>
      <c r="K45" s="50" t="n">
        <f aca="false">IF(AND(_slice!$H$5=1,K$41&gt;=_slice!$H$6-0.000000001,K$41&lt;=_slice!$I$6+0.000000001,$B45&gt;=_slice!$H$7-0.000000001,$B45&lt;=_slice!$I$7+0.000000001,IF(01_因子設定!$B$20="Box-Behnken",K$41^2+$B45^2+_slice!$H$8&lt;=2+0.000000001,TRUE())),IF(01_因子設定!$B$13="最大化",(_slice!K86-04_回帰ANOVA!$K$19*04_回帰ANOVA!$K$14*SQRT(1+_slice!K111))-01_因子設定!$B$14,IF(01_因子設定!$B$13="最小化",01_因子設定!$B$15-(_slice!K86+04_回帰ANOVA!$K$19*04_回帰ANOVA!$K$14*SQRT(1+_slice!K111)),MIN((_slice!K86-04_回帰ANOVA!$K$19*04_回帰ANOVA!$K$14*SQRT(1+_slice!K111))-01_因子設定!$B$14,01_因子設定!$B$15-(_slice!K86+04_回帰ANOVA!$K$19*04_回帰ANOVA!$K$14*SQRT(1+_slice!K111))))),"外")</f>
        <v>-0.110279534196934</v>
      </c>
      <c r="L45" s="50" t="n">
        <f aca="false">IF(AND(_slice!$H$5=1,L$41&gt;=_slice!$H$6-0.000000001,L$41&lt;=_slice!$I$6+0.000000001,$B45&gt;=_slice!$H$7-0.000000001,$B45&lt;=_slice!$I$7+0.000000001,IF(01_因子設定!$B$20="Box-Behnken",L$41^2+$B45^2+_slice!$H$8&lt;=2+0.000000001,TRUE())),IF(01_因子設定!$B$13="最大化",(_slice!L86-04_回帰ANOVA!$K$19*04_回帰ANOVA!$K$14*SQRT(1+_slice!L111))-01_因子設定!$B$14,IF(01_因子設定!$B$13="最小化",01_因子設定!$B$15-(_slice!L86+04_回帰ANOVA!$K$19*04_回帰ANOVA!$K$14*SQRT(1+_slice!L111)),MIN((_slice!L86-04_回帰ANOVA!$K$19*04_回帰ANOVA!$K$14*SQRT(1+_slice!L111))-01_因子設定!$B$14,01_因子設定!$B$15-(_slice!L86+04_回帰ANOVA!$K$19*04_回帰ANOVA!$K$14*SQRT(1+_slice!L111))))),"外")</f>
        <v>0.22857402953602</v>
      </c>
      <c r="M45" s="50" t="n">
        <f aca="false">IF(AND(_slice!$H$5=1,M$41&gt;=_slice!$H$6-0.000000001,M$41&lt;=_slice!$I$6+0.000000001,$B45&gt;=_slice!$H$7-0.000000001,$B45&lt;=_slice!$I$7+0.000000001,IF(01_因子設定!$B$20="Box-Behnken",M$41^2+$B45^2+_slice!$H$8&lt;=2+0.000000001,TRUE())),IF(01_因子設定!$B$13="最大化",(_slice!M86-04_回帰ANOVA!$K$19*04_回帰ANOVA!$K$14*SQRT(1+_slice!M111))-01_因子設定!$B$14,IF(01_因子設定!$B$13="最小化",01_因子設定!$B$15-(_slice!M86+04_回帰ANOVA!$K$19*04_回帰ANOVA!$K$14*SQRT(1+_slice!M111)),MIN((_slice!M86-04_回帰ANOVA!$K$19*04_回帰ANOVA!$K$14*SQRT(1+_slice!M111))-01_因子設定!$B$14,01_因子設定!$B$15-(_slice!M86+04_回帰ANOVA!$K$19*04_回帰ANOVA!$K$14*SQRT(1+_slice!M111))))),"外")</f>
        <v>0.5176399726369</v>
      </c>
      <c r="N45" s="50" t="n">
        <f aca="false">IF(AND(_slice!$H$5=1,N$41&gt;=_slice!$H$6-0.000000001,N$41&lt;=_slice!$I$6+0.000000001,$B45&gt;=_slice!$H$7-0.000000001,$B45&lt;=_slice!$I$7+0.000000001,IF(01_因子設定!$B$20="Box-Behnken",N$41^2+$B45^2+_slice!$H$8&lt;=2+0.000000001,TRUE())),IF(01_因子設定!$B$13="最大化",(_slice!N86-04_回帰ANOVA!$K$19*04_回帰ANOVA!$K$14*SQRT(1+_slice!N111))-01_因子設定!$B$14,IF(01_因子設定!$B$13="最小化",01_因子設定!$B$15-(_slice!N86+04_回帰ANOVA!$K$19*04_回帰ANOVA!$K$14*SQRT(1+_slice!N111)),MIN((_slice!N86-04_回帰ANOVA!$K$19*04_回帰ANOVA!$K$14*SQRT(1+_slice!N111))-01_因子設定!$B$14,01_因子設定!$B$15-(_slice!N86+04_回帰ANOVA!$K$19*04_回帰ANOVA!$K$14*SQRT(1+_slice!N111))))),"外")</f>
        <v>0.757185140647138</v>
      </c>
      <c r="O45" s="50" t="n">
        <f aca="false">IF(AND(_slice!$H$5=1,O$41&gt;=_slice!$H$6-0.000000001,O$41&lt;=_slice!$I$6+0.000000001,$B45&gt;=_slice!$H$7-0.000000001,$B45&lt;=_slice!$I$7+0.000000001,IF(01_因子設定!$B$20="Box-Behnken",O$41^2+$B45^2+_slice!$H$8&lt;=2+0.000000001,TRUE())),IF(01_因子設定!$B$13="最大化",(_slice!O86-04_回帰ANOVA!$K$19*04_回帰ANOVA!$K$14*SQRT(1+_slice!O111))-01_因子設定!$B$14,IF(01_因子設定!$B$13="最小化",01_因子設定!$B$15-(_slice!O86+04_回帰ANOVA!$K$19*04_回帰ANOVA!$K$14*SQRT(1+_slice!O111)),MIN((_slice!O86-04_回帰ANOVA!$K$19*04_回帰ANOVA!$K$14*SQRT(1+_slice!O111))-01_因子設定!$B$14,01_因子設定!$B$15-(_slice!O86+04_回帰ANOVA!$K$19*04_回帰ANOVA!$K$14*SQRT(1+_slice!O111))))),"外")</f>
        <v>0.946942688025288</v>
      </c>
      <c r="P45" s="50" t="n">
        <f aca="false">IF(AND(_slice!$H$5=1,P$41&gt;=_slice!$H$6-0.000000001,P$41&lt;=_slice!$I$6+0.000000001,$B45&gt;=_slice!$H$7-0.000000001,$B45&lt;=_slice!$I$7+0.000000001,IF(01_因子設定!$B$20="Box-Behnken",P$41^2+$B45^2+_slice!$H$8&lt;=2+0.000000001,TRUE())),IF(01_因子設定!$B$13="最大化",(_slice!P86-04_回帰ANOVA!$K$19*04_回帰ANOVA!$K$14*SQRT(1+_slice!P111))-01_因子設定!$B$14,IF(01_因子設定!$B$13="最小化",01_因子設定!$B$15-(_slice!P86+04_回帰ANOVA!$K$19*04_回帰ANOVA!$K$14*SQRT(1+_slice!P111)),MIN((_slice!P86-04_回帰ANOVA!$K$19*04_回帰ANOVA!$K$14*SQRT(1+_slice!P111))-01_因子設定!$B$14,01_因子設定!$B$15-(_slice!P86+04_回帰ANOVA!$K$19*04_回帰ANOVA!$K$14*SQRT(1+_slice!P111))))),"外")</f>
        <v>1.08610692229941</v>
      </c>
      <c r="Q45" s="50" t="n">
        <f aca="false">IF(AND(_slice!$H$5=1,Q$41&gt;=_slice!$H$6-0.000000001,Q$41&lt;=_slice!$I$6+0.000000001,$B45&gt;=_slice!$H$7-0.000000001,$B45&lt;=_slice!$I$7+0.000000001,IF(01_因子設定!$B$20="Box-Behnken",Q$41^2+$B45^2+_slice!$H$8&lt;=2+0.000000001,TRUE())),IF(01_因子設定!$B$13="最大化",(_slice!Q86-04_回帰ANOVA!$K$19*04_回帰ANOVA!$K$14*SQRT(1+_slice!Q111))-01_因子設定!$B$14,IF(01_因子設定!$B$13="最小化",01_因子設定!$B$15-(_slice!Q86+04_回帰ANOVA!$K$19*04_回帰ANOVA!$K$14*SQRT(1+_slice!Q111)),MIN((_slice!Q86-04_回帰ANOVA!$K$19*04_回帰ANOVA!$K$14*SQRT(1+_slice!Q111))-01_因子設定!$B$14,01_因子設定!$B$15-(_slice!Q86+04_回帰ANOVA!$K$19*04_回帰ANOVA!$K$14*SQRT(1+_slice!Q111))))),"外")</f>
        <v>1.17332118866172</v>
      </c>
      <c r="R45" s="50" t="n">
        <f aca="false">IF(AND(_slice!$H$5=1,R$41&gt;=_slice!$H$6-0.000000001,R$41&lt;=_slice!$I$6+0.000000001,$B45&gt;=_slice!$H$7-0.000000001,$B45&lt;=_slice!$I$7+0.000000001,IF(01_因子設定!$B$20="Box-Behnken",R$41^2+$B45^2+_slice!$H$8&lt;=2+0.000000001,TRUE())),IF(01_因子設定!$B$13="最大化",(_slice!R86-04_回帰ANOVA!$K$19*04_回帰ANOVA!$K$14*SQRT(1+_slice!R111))-01_因子設定!$B$14,IF(01_因子設定!$B$13="最小化",01_因子設定!$B$15-(_slice!R86+04_回帰ANOVA!$K$19*04_回帰ANOVA!$K$14*SQRT(1+_slice!R111)),MIN((_slice!R86-04_回帰ANOVA!$K$19*04_回帰ANOVA!$K$14*SQRT(1+_slice!R111))-01_因子設定!$B$14,01_因子設定!$B$15-(_slice!R86+04_回帰ANOVA!$K$19*04_回帰ANOVA!$K$14*SQRT(1+_slice!R111))))),"外")</f>
        <v>1.20666929221738</v>
      </c>
      <c r="S45" s="50" t="n">
        <f aca="false">IF(AND(_slice!$H$5=1,S$41&gt;=_slice!$H$6-0.000000001,S$41&lt;=_slice!$I$6+0.000000001,$B45&gt;=_slice!$H$7-0.000000001,$B45&lt;=_slice!$I$7+0.000000001,IF(01_因子設定!$B$20="Box-Behnken",S$41^2+$B45^2+_slice!$H$8&lt;=2+0.000000001,TRUE())),IF(01_因子設定!$B$13="最大化",(_slice!S86-04_回帰ANOVA!$K$19*04_回帰ANOVA!$K$14*SQRT(1+_slice!S111))-01_因子設定!$B$14,IF(01_因子設定!$B$13="最小化",01_因子設定!$B$15-(_slice!S86+04_回帰ANOVA!$K$19*04_回帰ANOVA!$K$14*SQRT(1+_slice!S111)),MIN((_slice!S86-04_回帰ANOVA!$K$19*04_回帰ANOVA!$K$14*SQRT(1+_slice!S111))-01_因子設定!$B$14,01_因子設定!$B$15-(_slice!S86+04_回帰ANOVA!$K$19*04_回帰ANOVA!$K$14*SQRT(1+_slice!S111))))),"外")</f>
        <v>1.18368879268675</v>
      </c>
      <c r="T45" s="50" t="n">
        <f aca="false">IF(AND(_slice!$H$5=1,T$41&gt;=_slice!$H$6-0.000000001,T$41&lt;=_slice!$I$6+0.000000001,$B45&gt;=_slice!$H$7-0.000000001,$B45&lt;=_slice!$I$7+0.000000001,IF(01_因子設定!$B$20="Box-Behnken",T$41^2+$B45^2+_slice!$H$8&lt;=2+0.000000001,TRUE())),IF(01_因子設定!$B$13="最大化",(_slice!T86-04_回帰ANOVA!$K$19*04_回帰ANOVA!$K$14*SQRT(1+_slice!T111))-01_因子設定!$B$14,IF(01_因子設定!$B$13="最小化",01_因子設定!$B$15-(_slice!T86+04_回帰ANOVA!$K$19*04_回帰ANOVA!$K$14*SQRT(1+_slice!T111)),MIN((_slice!T86-04_回帰ANOVA!$K$19*04_回帰ANOVA!$K$14*SQRT(1+_slice!T111))-01_因子設定!$B$14,01_因子設定!$B$15-(_slice!T86+04_回帰ANOVA!$K$19*04_回帰ANOVA!$K$14*SQRT(1+_slice!T111))))),"外")</f>
        <v>1.10143127478882</v>
      </c>
      <c r="U45" s="50" t="n">
        <f aca="false">IF(AND(_slice!$H$5=1,U$41&gt;=_slice!$H$6-0.000000001,U$41&lt;=_slice!$I$6+0.000000001,$B45&gt;=_slice!$H$7-0.000000001,$B45&lt;=_slice!$I$7+0.000000001,IF(01_因子設定!$B$20="Box-Behnken",U$41^2+$B45^2+_slice!$H$8&lt;=2+0.000000001,TRUE())),IF(01_因子設定!$B$13="最大化",(_slice!U86-04_回帰ANOVA!$K$19*04_回帰ANOVA!$K$14*SQRT(1+_slice!U111))-01_因子設定!$B$14,IF(01_因子設定!$B$13="最小化",01_因子設定!$B$15-(_slice!U86+04_回帰ANOVA!$K$19*04_回帰ANOVA!$K$14*SQRT(1+_slice!U111)),MIN((_slice!U86-04_回帰ANOVA!$K$19*04_回帰ANOVA!$K$14*SQRT(1+_slice!U111))-01_因子設定!$B$14,01_因子設定!$B$15-(_slice!U86+04_回帰ANOVA!$K$19*04_回帰ANOVA!$K$14*SQRT(1+_slice!U111))))),"外")</f>
        <v>0.95659542837047</v>
      </c>
      <c r="V45" s="50" t="n">
        <f aca="false">IF(AND(_slice!$H$5=1,V$41&gt;=_slice!$H$6-0.000000001,V$41&lt;=_slice!$I$6+0.000000001,$B45&gt;=_slice!$H$7-0.000000001,$B45&lt;=_slice!$I$7+0.000000001,IF(01_因子設定!$B$20="Box-Behnken",V$41^2+$B45^2+_slice!$H$8&lt;=2+0.000000001,TRUE())),IF(01_因子設定!$B$13="最大化",(_slice!V86-04_回帰ANOVA!$K$19*04_回帰ANOVA!$K$14*SQRT(1+_slice!V111))-01_因子設定!$B$14,IF(01_因子設定!$B$13="最小化",01_因子設定!$B$15-(_slice!V86+04_回帰ANOVA!$K$19*04_回帰ANOVA!$K$14*SQRT(1+_slice!V111)),MIN((_slice!V86-04_回帰ANOVA!$K$19*04_回帰ANOVA!$K$14*SQRT(1+_slice!V111))-01_因子設定!$B$14,01_因子設定!$B$15-(_slice!V86+04_回帰ANOVA!$K$19*04_回帰ANOVA!$K$14*SQRT(1+_slice!V111))))),"外")</f>
        <v>0.745746130319532</v>
      </c>
      <c r="W45" s="50" t="n">
        <f aca="false">IF(AND(_slice!$H$5=1,W$41&gt;=_slice!$H$6-0.000000001,W$41&lt;=_slice!$I$6+0.000000001,$B45&gt;=_slice!$H$7-0.000000001,$B45&lt;=_slice!$I$7+0.000000001,IF(01_因子設定!$B$20="Box-Behnken",W$41^2+$B45^2+_slice!$H$8&lt;=2+0.000000001,TRUE())),IF(01_因子設定!$B$13="最大化",(_slice!W86-04_回帰ANOVA!$K$19*04_回帰ANOVA!$K$14*SQRT(1+_slice!W111))-01_因子設定!$B$14,IF(01_因子設定!$B$13="最小化",01_因子設定!$B$15-(_slice!W86+04_回帰ANOVA!$K$19*04_回帰ANOVA!$K$14*SQRT(1+_slice!W111)),MIN((_slice!W86-04_回帰ANOVA!$K$19*04_回帰ANOVA!$K$14*SQRT(1+_slice!W111))-01_因子設定!$B$14,01_因子設定!$B$15-(_slice!W86+04_回帰ANOVA!$K$19*04_回帰ANOVA!$K$14*SQRT(1+_slice!W111))))),"外")</f>
        <v>0.465602646125184</v>
      </c>
    </row>
    <row r="46" customFormat="false" ht="15" hidden="false" customHeight="false" outlineLevel="0" collapsed="false">
      <c r="A46" s="49" t="n">
        <f aca="false">INDEX(01_因子設定!$G$5:$G$8,$C$5)+B46*INDEX(01_因子設定!$H$5:$H$8,$C$5)</f>
        <v>37</v>
      </c>
      <c r="B46" s="49" t="n">
        <v>0.7</v>
      </c>
      <c r="C46" s="50" t="n">
        <f aca="false">IF(AND(_slice!$H$5=1,C$41&gt;=_slice!$H$6-0.000000001,C$41&lt;=_slice!$I$6+0.000000001,$B46&gt;=_slice!$H$7-0.000000001,$B46&lt;=_slice!$I$7+0.000000001,IF(01_因子設定!$B$20="Box-Behnken",C$41^2+$B46^2+_slice!$H$8&lt;=2+0.000000001,TRUE())),IF(01_因子設定!$B$13="最大化",(_slice!C87-04_回帰ANOVA!$K$19*04_回帰ANOVA!$K$14*SQRT(1+_slice!C112))-01_因子設定!$B$14,IF(01_因子設定!$B$13="最小化",01_因子設定!$B$15-(_slice!C87+04_回帰ANOVA!$K$19*04_回帰ANOVA!$K$14*SQRT(1+_slice!C112)),MIN((_slice!C87-04_回帰ANOVA!$K$19*04_回帰ANOVA!$K$14*SQRT(1+_slice!C112))-01_因子設定!$B$14,01_因子設定!$B$15-(_slice!C87+04_回帰ANOVA!$K$19*04_回帰ANOVA!$K$14*SQRT(1+_slice!C112))))),"外")</f>
        <v>-4.51948641355931</v>
      </c>
      <c r="D46" s="50" t="n">
        <f aca="false">IF(AND(_slice!$H$5=1,D$41&gt;=_slice!$H$6-0.000000001,D$41&lt;=_slice!$I$6+0.000000001,$B46&gt;=_slice!$H$7-0.000000001,$B46&lt;=_slice!$I$7+0.000000001,IF(01_因子設定!$B$20="Box-Behnken",D$41^2+$B46^2+_slice!$H$8&lt;=2+0.000000001,TRUE())),IF(01_因子設定!$B$13="最大化",(_slice!D87-04_回帰ANOVA!$K$19*04_回帰ANOVA!$K$14*SQRT(1+_slice!D112))-01_因子設定!$B$14,IF(01_因子設定!$B$13="最小化",01_因子設定!$B$15-(_slice!D87+04_回帰ANOVA!$K$19*04_回帰ANOVA!$K$14*SQRT(1+_slice!D112)),MIN((_slice!D87-04_回帰ANOVA!$K$19*04_回帰ANOVA!$K$14*SQRT(1+_slice!D112))-01_因子設定!$B$14,01_因子設定!$B$15-(_slice!D87+04_回帰ANOVA!$K$19*04_回帰ANOVA!$K$14*SQRT(1+_slice!D112))))),"外")</f>
        <v>-3.71873882522861</v>
      </c>
      <c r="E46" s="50" t="n">
        <f aca="false">IF(AND(_slice!$H$5=1,E$41&gt;=_slice!$H$6-0.000000001,E$41&lt;=_slice!$I$6+0.000000001,$B46&gt;=_slice!$H$7-0.000000001,$B46&lt;=_slice!$I$7+0.000000001,IF(01_因子設定!$B$20="Box-Behnken",E$41^2+$B46^2+_slice!$H$8&lt;=2+0.000000001,TRUE())),IF(01_因子設定!$B$13="最大化",(_slice!E87-04_回帰ANOVA!$K$19*04_回帰ANOVA!$K$14*SQRT(1+_slice!E112))-01_因子設定!$B$14,IF(01_因子設定!$B$13="最小化",01_因子設定!$B$15-(_slice!E87+04_回帰ANOVA!$K$19*04_回帰ANOVA!$K$14*SQRT(1+_slice!E112)),MIN((_slice!E87-04_回帰ANOVA!$K$19*04_回帰ANOVA!$K$14*SQRT(1+_slice!E112))-01_因子設定!$B$14,01_因子設定!$B$15-(_slice!E87+04_回帰ANOVA!$K$19*04_回帰ANOVA!$K$14*SQRT(1+_slice!E112))))),"外")</f>
        <v>-2.98759650298896</v>
      </c>
      <c r="F46" s="50" t="n">
        <f aca="false">IF(AND(_slice!$H$5=1,F$41&gt;=_slice!$H$6-0.000000001,F$41&lt;=_slice!$I$6+0.000000001,$B46&gt;=_slice!$H$7-0.000000001,$B46&lt;=_slice!$I$7+0.000000001,IF(01_因子設定!$B$20="Box-Behnken",F$41^2+$B46^2+_slice!$H$8&lt;=2+0.000000001,TRUE())),IF(01_因子設定!$B$13="最大化",(_slice!F87-04_回帰ANOVA!$K$19*04_回帰ANOVA!$K$14*SQRT(1+_slice!F112))-01_因子設定!$B$14,IF(01_因子設定!$B$13="最小化",01_因子設定!$B$15-(_slice!F87+04_回帰ANOVA!$K$19*04_回帰ANOVA!$K$14*SQRT(1+_slice!F112)),MIN((_slice!F87-04_回帰ANOVA!$K$19*04_回帰ANOVA!$K$14*SQRT(1+_slice!F112))-01_因子設定!$B$14,01_因子設定!$B$15-(_slice!F87+04_回帰ANOVA!$K$19*04_回帰ANOVA!$K$14*SQRT(1+_slice!F112))))),"外")</f>
        <v>-2.32285679249654</v>
      </c>
      <c r="G46" s="50" t="n">
        <f aca="false">IF(AND(_slice!$H$5=1,G$41&gt;=_slice!$H$6-0.000000001,G$41&lt;=_slice!$I$6+0.000000001,$B46&gt;=_slice!$H$7-0.000000001,$B46&lt;=_slice!$I$7+0.000000001,IF(01_因子設定!$B$20="Box-Behnken",G$41^2+$B46^2+_slice!$H$8&lt;=2+0.000000001,TRUE())),IF(01_因子設定!$B$13="最大化",(_slice!G87-04_回帰ANOVA!$K$19*04_回帰ANOVA!$K$14*SQRT(1+_slice!G112))-01_因子設定!$B$14,IF(01_因子設定!$B$13="最小化",01_因子設定!$B$15-(_slice!G87+04_回帰ANOVA!$K$19*04_回帰ANOVA!$K$14*SQRT(1+_slice!G112)),MIN((_slice!G87-04_回帰ANOVA!$K$19*04_回帰ANOVA!$K$14*SQRT(1+_slice!G112))-01_因子設定!$B$14,01_因子設定!$B$15-(_slice!G87+04_回帰ANOVA!$K$19*04_回帰ANOVA!$K$14*SQRT(1+_slice!G112))))),"外")</f>
        <v>-1.72111777103209</v>
      </c>
      <c r="H46" s="50" t="n">
        <f aca="false">IF(AND(_slice!$H$5=1,H$41&gt;=_slice!$H$6-0.000000001,H$41&lt;=_slice!$I$6+0.000000001,$B46&gt;=_slice!$H$7-0.000000001,$B46&lt;=_slice!$I$7+0.000000001,IF(01_因子設定!$B$20="Box-Behnken",H$41^2+$B46^2+_slice!$H$8&lt;=2+0.000000001,TRUE())),IF(01_因子設定!$B$13="最大化",(_slice!H87-04_回帰ANOVA!$K$19*04_回帰ANOVA!$K$14*SQRT(1+_slice!H112))-01_因子設定!$B$14,IF(01_因子設定!$B$13="最小化",01_因子設定!$B$15-(_slice!H87+04_回帰ANOVA!$K$19*04_回帰ANOVA!$K$14*SQRT(1+_slice!H112)),MIN((_slice!H87-04_回帰ANOVA!$K$19*04_回帰ANOVA!$K$14*SQRT(1+_slice!H112))-01_因子設定!$B$14,01_因子設定!$B$15-(_slice!H87+04_回帰ANOVA!$K$19*04_回帰ANOVA!$K$14*SQRT(1+_slice!H112))))),"外")</f>
        <v>-1.17907321986602</v>
      </c>
      <c r="I46" s="50" t="n">
        <f aca="false">IF(AND(_slice!$H$5=1,I$41&gt;=_slice!$H$6-0.000000001,I$41&lt;=_slice!$I$6+0.000000001,$B46&gt;=_slice!$H$7-0.000000001,$B46&lt;=_slice!$I$7+0.000000001,IF(01_因子設定!$B$20="Box-Behnken",I$41^2+$B46^2+_slice!$H$8&lt;=2+0.000000001,TRUE())),IF(01_因子設定!$B$13="最大化",(_slice!I87-04_回帰ANOVA!$K$19*04_回帰ANOVA!$K$14*SQRT(1+_slice!I112))-01_因子設定!$B$14,IF(01_因子設定!$B$13="最小化",01_因子設定!$B$15-(_slice!I87+04_回帰ANOVA!$K$19*04_回帰ANOVA!$K$14*SQRT(1+_slice!I112)),MIN((_slice!I87-04_回帰ANOVA!$K$19*04_回帰ANOVA!$K$14*SQRT(1+_slice!I112))-01_因子設定!$B$14,01_因子設定!$B$15-(_slice!I87+04_回帰ANOVA!$K$19*04_回帰ANOVA!$K$14*SQRT(1+_slice!I112))))),"外")</f>
        <v>-0.69374524425281</v>
      </c>
      <c r="J46" s="50" t="n">
        <f aca="false">IF(AND(_slice!$H$5=1,J$41&gt;=_slice!$H$6-0.000000001,J$41&lt;=_slice!$I$6+0.000000001,$B46&gt;=_slice!$H$7-0.000000001,$B46&lt;=_slice!$I$7+0.000000001,IF(01_因子設定!$B$20="Box-Behnken",J$41^2+$B46^2+_slice!$H$8&lt;=2+0.000000001,TRUE())),IF(01_因子設定!$B$13="最大化",(_slice!J87-04_回帰ANOVA!$K$19*04_回帰ANOVA!$K$14*SQRT(1+_slice!J112))-01_因子設定!$B$14,IF(01_因子設定!$B$13="最小化",01_因子設定!$B$15-(_slice!J87+04_回帰ANOVA!$K$19*04_回帰ANOVA!$K$14*SQRT(1+_slice!J112)),MIN((_slice!J87-04_回帰ANOVA!$K$19*04_回帰ANOVA!$K$14*SQRT(1+_slice!J112))-01_因子設定!$B$14,01_因子設定!$B$15-(_slice!J87+04_回帰ANOVA!$K$19*04_回帰ANOVA!$K$14*SQRT(1+_slice!J112))))),"外")</f>
        <v>-0.262631450513609</v>
      </c>
      <c r="K46" s="50" t="n">
        <f aca="false">IF(AND(_slice!$H$5=1,K$41&gt;=_slice!$H$6-0.000000001,K$41&lt;=_slice!$I$6+0.000000001,$B46&gt;=_slice!$H$7-0.000000001,$B46&lt;=_slice!$I$7+0.000000001,IF(01_因子設定!$B$20="Box-Behnken",K$41^2+$B46^2+_slice!$H$8&lt;=2+0.000000001,TRUE())),IF(01_因子設定!$B$13="最大化",(_slice!K87-04_回帰ANOVA!$K$19*04_回帰ANOVA!$K$14*SQRT(1+_slice!K112))-01_因子設定!$B$14,IF(01_因子設定!$B$13="最小化",01_因子設定!$B$15-(_slice!K87+04_回帰ANOVA!$K$19*04_回帰ANOVA!$K$14*SQRT(1+_slice!K112)),MIN((_slice!K87-04_回帰ANOVA!$K$19*04_回帰ANOVA!$K$14*SQRT(1+_slice!K112))-01_因子設定!$B$14,01_因子設定!$B$15-(_slice!K87+04_回帰ANOVA!$K$19*04_回帰ANOVA!$K$14*SQRT(1+_slice!K112))))),"外")</f>
        <v>0.116223761969813</v>
      </c>
      <c r="L46" s="50" t="n">
        <f aca="false">IF(AND(_slice!$H$5=1,L$41&gt;=_slice!$H$6-0.000000001,L$41&lt;=_slice!$I$6+0.000000001,$B46&gt;=_slice!$H$7-0.000000001,$B46&lt;=_slice!$I$7+0.000000001,IF(01_因子設定!$B$20="Box-Behnken",L$41^2+$B46^2+_slice!$H$8&lt;=2+0.000000001,TRUE())),IF(01_因子設定!$B$13="最大化",(_slice!L87-04_回帰ANOVA!$K$19*04_回帰ANOVA!$K$14*SQRT(1+_slice!L112))-01_因子設定!$B$14,IF(01_因子設定!$B$13="最小化",01_因子設定!$B$15-(_slice!L87+04_回帰ANOVA!$K$19*04_回帰ANOVA!$K$14*SQRT(1+_slice!L112)),MIN((_slice!L87-04_回帰ANOVA!$K$19*04_回帰ANOVA!$K$14*SQRT(1+_slice!L112))-01_因子設定!$B$14,01_因子設定!$B$15-(_slice!L87+04_回帰ANOVA!$K$19*04_回帰ANOVA!$K$14*SQRT(1+_slice!L112))))),"外")</f>
        <v>0.444208809400777</v>
      </c>
      <c r="M46" s="50" t="n">
        <f aca="false">IF(AND(_slice!$H$5=1,M$41&gt;=_slice!$H$6-0.000000001,M$41&lt;=_slice!$I$6+0.000000001,$B46&gt;=_slice!$H$7-0.000000001,$B46&lt;=_slice!$I$7+0.000000001,IF(01_因子設定!$B$20="Box-Behnken",M$41^2+$B46^2+_slice!$H$8&lt;=2+0.000000001,TRUE())),IF(01_因子設定!$B$13="最大化",(_slice!M87-04_回帰ANOVA!$K$19*04_回帰ANOVA!$K$14*SQRT(1+_slice!M112))-01_因子設定!$B$14,IF(01_因子設定!$B$13="最小化",01_因子設定!$B$15-(_slice!M87+04_回帰ANOVA!$K$19*04_回帰ANOVA!$K$14*SQRT(1+_slice!M112)),MIN((_slice!M87-04_回帰ANOVA!$K$19*04_回帰ANOVA!$K$14*SQRT(1+_slice!M112))-01_因子設定!$B$14,01_因子設定!$B$15-(_slice!M87+04_回帰ANOVA!$K$19*04_回帰ANOVA!$K$14*SQRT(1+_slice!M112))))),"外")</f>
        <v>0.722149611020946</v>
      </c>
      <c r="N46" s="50" t="n">
        <f aca="false">IF(AND(_slice!$H$5=1,N$41&gt;=_slice!$H$6-0.000000001,N$41&lt;=_slice!$I$6+0.000000001,$B46&gt;=_slice!$H$7-0.000000001,$B46&lt;=_slice!$I$7+0.000000001,IF(01_因子設定!$B$20="Box-Behnken",N$41^2+$B46^2+_slice!$H$8&lt;=2+0.000000001,TRUE())),IF(01_因子設定!$B$13="最大化",(_slice!N87-04_回帰ANOVA!$K$19*04_回帰ANOVA!$K$14*SQRT(1+_slice!N112))-01_因子設定!$B$14,IF(01_因子設定!$B$13="最小化",01_因子設定!$B$15-(_slice!N87+04_回帰ANOVA!$K$19*04_回帰ANOVA!$K$14*SQRT(1+_slice!N112)),MIN((_slice!N87-04_回帰ANOVA!$K$19*04_回帰ANOVA!$K$14*SQRT(1+_slice!N112))-01_因子設定!$B$14,01_因子設定!$B$15-(_slice!N87+04_回帰ANOVA!$K$19*04_回帰ANOVA!$K$14*SQRT(1+_slice!N112))))),"外")</f>
        <v>0.950319920511888</v>
      </c>
      <c r="O46" s="50" t="n">
        <f aca="false">IF(AND(_slice!$H$5=1,O$41&gt;=_slice!$H$6-0.000000001,O$41&lt;=_slice!$I$6+0.000000001,$B46&gt;=_slice!$H$7-0.000000001,$B46&lt;=_slice!$I$7+0.000000001,IF(01_因子設定!$B$20="Box-Behnken",O$41^2+$B46^2+_slice!$H$8&lt;=2+0.000000001,TRUE())),IF(01_因子設定!$B$13="最大化",(_slice!O87-04_回帰ANOVA!$K$19*04_回帰ANOVA!$K$14*SQRT(1+_slice!O112))-01_因子設定!$B$14,IF(01_因子設定!$B$13="最小化",01_因子設定!$B$15-(_slice!O87+04_回帰ANOVA!$K$19*04_回帰ANOVA!$K$14*SQRT(1+_slice!O112)),MIN((_slice!O87-04_回帰ANOVA!$K$19*04_回帰ANOVA!$K$14*SQRT(1+_slice!O112))-01_因子設定!$B$14,01_因子設定!$B$15-(_slice!O87+04_回帰ANOVA!$K$19*04_回帰ANOVA!$K$14*SQRT(1+_slice!O112))))),"外")</f>
        <v>1.12844598419203</v>
      </c>
      <c r="P46" s="50" t="n">
        <f aca="false">IF(AND(_slice!$H$5=1,P$41&gt;=_slice!$H$6-0.000000001,P$41&lt;=_slice!$I$6+0.000000001,$B46&gt;=_slice!$H$7-0.000000001,$B46&lt;=_slice!$I$7+0.000000001,IF(01_因子設定!$B$20="Box-Behnken",P$41^2+$B46^2+_slice!$H$8&lt;=2+0.000000001,TRUE())),IF(01_因子設定!$B$13="最大化",(_slice!P87-04_回帰ANOVA!$K$19*04_回帰ANOVA!$K$14*SQRT(1+_slice!P112))-01_因子設定!$B$14,IF(01_因子設定!$B$13="最小化",01_因子設定!$B$15-(_slice!P87+04_回帰ANOVA!$K$19*04_回帰ANOVA!$K$14*SQRT(1+_slice!P112)),MIN((_slice!P87-04_回帰ANOVA!$K$19*04_回帰ANOVA!$K$14*SQRT(1+_slice!P112))-01_因子設定!$B$14,01_因子設定!$B$15-(_slice!P87+04_回帰ANOVA!$K$19*04_回帰ANOVA!$K$14*SQRT(1+_slice!P112))))),"外")</f>
        <v>1.25570188281972</v>
      </c>
      <c r="Q46" s="50" t="n">
        <f aca="false">IF(AND(_slice!$H$5=1,Q$41&gt;=_slice!$H$6-0.000000001,Q$41&lt;=_slice!$I$6+0.000000001,$B46&gt;=_slice!$H$7-0.000000001,$B46&lt;=_slice!$I$7+0.000000001,IF(01_因子設定!$B$20="Box-Behnken",Q$41^2+$B46^2+_slice!$H$8&lt;=2+0.000000001,TRUE())),IF(01_因子設定!$B$13="最大化",(_slice!Q87-04_回帰ANOVA!$K$19*04_回帰ANOVA!$K$14*SQRT(1+_slice!Q112))-01_因子設定!$B$14,IF(01_因子設定!$B$13="最小化",01_因子設定!$B$15-(_slice!Q87+04_回帰ANOVA!$K$19*04_回帰ANOVA!$K$14*SQRT(1+_slice!Q112)),MIN((_slice!Q87-04_回帰ANOVA!$K$19*04_回帰ANOVA!$K$14*SQRT(1+_slice!Q112))-01_因子設定!$B$14,01_因子設定!$B$15-(_slice!Q87+04_回帰ANOVA!$K$19*04_回帰ANOVA!$K$14*SQRT(1+_slice!Q112))))),"外")</f>
        <v>1.33069920019163</v>
      </c>
      <c r="R46" s="50" t="n">
        <f aca="false">IF(AND(_slice!$H$5=1,R$41&gt;=_slice!$H$6-0.000000001,R$41&lt;=_slice!$I$6+0.000000001,$B46&gt;=_slice!$H$7-0.000000001,$B46&lt;=_slice!$I$7+0.000000001,IF(01_因子設定!$B$20="Box-Behnken",R$41^2+$B46^2+_slice!$H$8&lt;=2+0.000000001,TRUE())),IF(01_因子設定!$B$13="最大化",(_slice!R87-04_回帰ANOVA!$K$19*04_回帰ANOVA!$K$14*SQRT(1+_slice!R112))-01_因子設定!$B$14,IF(01_因子設定!$B$13="最小化",01_因子設定!$B$15-(_slice!R87+04_回帰ANOVA!$K$19*04_回帰ANOVA!$K$14*SQRT(1+_slice!R112)),MIN((_slice!R87-04_回帰ANOVA!$K$19*04_回帰ANOVA!$K$14*SQRT(1+_slice!R112))-01_因子設定!$B$14,01_因子設定!$B$15-(_slice!R87+04_回帰ANOVA!$K$19*04_回帰ANOVA!$K$14*SQRT(1+_slice!R112))))),"外")</f>
        <v>1.35148233568953</v>
      </c>
      <c r="S46" s="50" t="n">
        <f aca="false">IF(AND(_slice!$H$5=1,S$41&gt;=_slice!$H$6-0.000000001,S$41&lt;=_slice!$I$6+0.000000001,$B46&gt;=_slice!$H$7-0.000000001,$B46&lt;=_slice!$I$7+0.000000001,IF(01_因子設定!$B$20="Box-Behnken",S$41^2+$B46^2+_slice!$H$8&lt;=2+0.000000001,TRUE())),IF(01_因子設定!$B$13="最大化",(_slice!S87-04_回帰ANOVA!$K$19*04_回帰ANOVA!$K$14*SQRT(1+_slice!S112))-01_因子設定!$B$14,IF(01_因子設定!$B$13="最小化",01_因子設定!$B$15-(_slice!S87+04_回帰ANOVA!$K$19*04_回帰ANOVA!$K$14*SQRT(1+_slice!S112)),MIN((_slice!S87-04_回帰ANOVA!$K$19*04_回帰ANOVA!$K$14*SQRT(1+_slice!S112))-01_因子設定!$B$14,01_因子設定!$B$15-(_slice!S87+04_回帰ANOVA!$K$19*04_回帰ANOVA!$K$14*SQRT(1+_slice!S112))))),"外")</f>
        <v>1.31554889563457</v>
      </c>
      <c r="T46" s="50" t="n">
        <f aca="false">IF(AND(_slice!$H$5=1,T$41&gt;=_slice!$H$6-0.000000001,T$41&lt;=_slice!$I$6+0.000000001,$B46&gt;=_slice!$H$7-0.000000001,$B46&lt;=_slice!$I$7+0.000000001,IF(01_因子設定!$B$20="Box-Behnken",T$41^2+$B46^2+_slice!$H$8&lt;=2+0.000000001,TRUE())),IF(01_因子設定!$B$13="最大化",(_slice!T87-04_回帰ANOVA!$K$19*04_回帰ANOVA!$K$14*SQRT(1+_slice!T112))-01_因子設定!$B$14,IF(01_因子設定!$B$13="最小化",01_因子設定!$B$15-(_slice!T87+04_回帰ANOVA!$K$19*04_回帰ANOVA!$K$14*SQRT(1+_slice!T112)),MIN((_slice!T87-04_回帰ANOVA!$K$19*04_回帰ANOVA!$K$14*SQRT(1+_slice!T112))-01_因子設定!$B$14,01_因子設定!$B$15-(_slice!T87+04_回帰ANOVA!$K$19*04_回帰ANOVA!$K$14*SQRT(1+_slice!T112))))),"外")</f>
        <v>1.21992098528125</v>
      </c>
      <c r="U46" s="50" t="n">
        <f aca="false">IF(AND(_slice!$H$5=1,U$41&gt;=_slice!$H$6-0.000000001,U$41&lt;=_slice!$I$6+0.000000001,$B46&gt;=_slice!$H$7-0.000000001,$B46&lt;=_slice!$I$7+0.000000001,IF(01_因子設定!$B$20="Box-Behnken",U$41^2+$B46^2+_slice!$H$8&lt;=2+0.000000001,TRUE())),IF(01_因子設定!$B$13="最大化",(_slice!U87-04_回帰ANOVA!$K$19*04_回帰ANOVA!$K$14*SQRT(1+_slice!U112))-01_因子設定!$B$14,IF(01_因子設定!$B$13="最小化",01_因子設定!$B$15-(_slice!U87+04_回帰ANOVA!$K$19*04_回帰ANOVA!$K$14*SQRT(1+_slice!U112)),MIN((_slice!U87-04_回帰ANOVA!$K$19*04_回帰ANOVA!$K$14*SQRT(1+_slice!U112))-01_因子設定!$B$14,01_因子設定!$B$15-(_slice!U87+04_回帰ANOVA!$K$19*04_回帰ANOVA!$K$14*SQRT(1+_slice!U112))))),"外")</f>
        <v>1.06129238589994</v>
      </c>
      <c r="V46" s="50" t="n">
        <f aca="false">IF(AND(_slice!$H$5=1,V$41&gt;=_slice!$H$6-0.000000001,V$41&lt;=_slice!$I$6+0.000000001,$B46&gt;=_slice!$H$7-0.000000001,$B46&lt;=_slice!$I$7+0.000000001,IF(01_因子設定!$B$20="Box-Behnken",V$41^2+$B46^2+_slice!$H$8&lt;=2+0.000000001,TRUE())),IF(01_因子設定!$B$13="最大化",(_slice!V87-04_回帰ANOVA!$K$19*04_回帰ANOVA!$K$14*SQRT(1+_slice!V112))-01_因子設定!$B$14,IF(01_因子設定!$B$13="最小化",01_因子設定!$B$15-(_slice!V87+04_回帰ANOVA!$K$19*04_回帰ANOVA!$K$14*SQRT(1+_slice!V112)),MIN((_slice!V87-04_回帰ANOVA!$K$19*04_回帰ANOVA!$K$14*SQRT(1+_slice!V112))-01_因子設定!$B$14,01_因子設定!$B$15-(_slice!V87+04_回帰ANOVA!$K$19*04_回帰ANOVA!$K$14*SQRT(1+_slice!V112))))),"外")</f>
        <v>0.836261174771394</v>
      </c>
      <c r="W46" s="50" t="n">
        <f aca="false">IF(AND(_slice!$H$5=1,W$41&gt;=_slice!$H$6-0.000000001,W$41&lt;=_slice!$I$6+0.000000001,$B46&gt;=_slice!$H$7-0.000000001,$B46&lt;=_slice!$I$7+0.000000001,IF(01_因子設定!$B$20="Box-Behnken",W$41^2+$B46^2+_slice!$H$8&lt;=2+0.000000001,TRUE())),IF(01_因子設定!$B$13="最大化",(_slice!W87-04_回帰ANOVA!$K$19*04_回帰ANOVA!$K$14*SQRT(1+_slice!W112))-01_因子設定!$B$14,IF(01_因子設定!$B$13="最小化",01_因子設定!$B$15-(_slice!W87+04_回帰ANOVA!$K$19*04_回帰ANOVA!$K$14*SQRT(1+_slice!W112)),MIN((_slice!W87-04_回帰ANOVA!$K$19*04_回帰ANOVA!$K$14*SQRT(1+_slice!W112))-01_因子設定!$B$14,01_因子設定!$B$15-(_slice!W87+04_回帰ANOVA!$K$19*04_回帰ANOVA!$K$14*SQRT(1+_slice!W112))))),"外")</f>
        <v>0.541624697551804</v>
      </c>
    </row>
    <row r="47" customFormat="false" ht="15" hidden="false" customHeight="false" outlineLevel="0" collapsed="false">
      <c r="A47" s="49" t="n">
        <f aca="false">INDEX(01_因子設定!$G$5:$G$8,$C$5)+B47*INDEX(01_因子設定!$H$5:$H$8,$C$5)</f>
        <v>36</v>
      </c>
      <c r="B47" s="49" t="n">
        <v>0.6</v>
      </c>
      <c r="C47" s="50" t="n">
        <f aca="false">IF(AND(_slice!$H$5=1,C$41&gt;=_slice!$H$6-0.000000001,C$41&lt;=_slice!$I$6+0.000000001,$B47&gt;=_slice!$H$7-0.000000001,$B47&lt;=_slice!$I$7+0.000000001,IF(01_因子設定!$B$20="Box-Behnken",C$41^2+$B47^2+_slice!$H$8&lt;=2+0.000000001,TRUE())),IF(01_因子設定!$B$13="最大化",(_slice!C88-04_回帰ANOVA!$K$19*04_回帰ANOVA!$K$14*SQRT(1+_slice!C113))-01_因子設定!$B$14,IF(01_因子設定!$B$13="最小化",01_因子設定!$B$15-(_slice!C88+04_回帰ANOVA!$K$19*04_回帰ANOVA!$K$14*SQRT(1+_slice!C113)),MIN((_slice!C88-04_回帰ANOVA!$K$19*04_回帰ANOVA!$K$14*SQRT(1+_slice!C113))-01_因子設定!$B$14,01_因子設定!$B$15-(_slice!C88+04_回帰ANOVA!$K$19*04_回帰ANOVA!$K$14*SQRT(1+_slice!C113))))),"外")</f>
        <v>-4.27981304360787</v>
      </c>
      <c r="D47" s="50" t="n">
        <f aca="false">IF(AND(_slice!$H$5=1,D$41&gt;=_slice!$H$6-0.000000001,D$41&lt;=_slice!$I$6+0.000000001,$B47&gt;=_slice!$H$7-0.000000001,$B47&lt;=_slice!$I$7+0.000000001,IF(01_因子設定!$B$20="Box-Behnken",D$41^2+$B47^2+_slice!$H$8&lt;=2+0.000000001,TRUE())),IF(01_因子設定!$B$13="最大化",(_slice!D88-04_回帰ANOVA!$K$19*04_回帰ANOVA!$K$14*SQRT(1+_slice!D113))-01_因子設定!$B$14,IF(01_因子設定!$B$13="最小化",01_因子設定!$B$15-(_slice!D88+04_回帰ANOVA!$K$19*04_回帰ANOVA!$K$14*SQRT(1+_slice!D113)),MIN((_slice!D88-04_回帰ANOVA!$K$19*04_回帰ANOVA!$K$14*SQRT(1+_slice!D113))-01_因子設定!$B$14,01_因子設定!$B$15-(_slice!D88+04_回帰ANOVA!$K$19*04_回帰ANOVA!$K$14*SQRT(1+_slice!D113))))),"外")</f>
        <v>-3.48775112836502</v>
      </c>
      <c r="E47" s="50" t="n">
        <f aca="false">IF(AND(_slice!$H$5=1,E$41&gt;=_slice!$H$6-0.000000001,E$41&lt;=_slice!$I$6+0.000000001,$B47&gt;=_slice!$H$7-0.000000001,$B47&lt;=_slice!$I$7+0.000000001,IF(01_因子設定!$B$20="Box-Behnken",E$41^2+$B47^2+_slice!$H$8&lt;=2+0.000000001,TRUE())),IF(01_因子設定!$B$13="最大化",(_slice!E88-04_回帰ANOVA!$K$19*04_回帰ANOVA!$K$14*SQRT(1+_slice!E113))-01_因子設定!$B$14,IF(01_因子設定!$B$13="最小化",01_因子設定!$B$15-(_slice!E88+04_回帰ANOVA!$K$19*04_回帰ANOVA!$K$14*SQRT(1+_slice!E113)),MIN((_slice!E88-04_回帰ANOVA!$K$19*04_回帰ANOVA!$K$14*SQRT(1+_slice!E113))-01_因子設定!$B$14,01_因子設定!$B$15-(_slice!E88+04_回帰ANOVA!$K$19*04_回帰ANOVA!$K$14*SQRT(1+_slice!E113))))),"外")</f>
        <v>-2.76547787397989</v>
      </c>
      <c r="F47" s="50" t="n">
        <f aca="false">IF(AND(_slice!$H$5=1,F$41&gt;=_slice!$H$6-0.000000001,F$41&lt;=_slice!$I$6+0.000000001,$B47&gt;=_slice!$H$7-0.000000001,$B47&lt;=_slice!$I$7+0.000000001,IF(01_因子設定!$B$20="Box-Behnken",F$41^2+$B47^2+_slice!$H$8&lt;=2+0.000000001,TRUE())),IF(01_因子設定!$B$13="最大化",(_slice!F88-04_回帰ANOVA!$K$19*04_回帰ANOVA!$K$14*SQRT(1+_slice!F113))-01_因子設定!$B$14,IF(01_因子設定!$B$13="最小化",01_因子設定!$B$15-(_slice!F88+04_回帰ANOVA!$K$19*04_回帰ANOVA!$K$14*SQRT(1+_slice!F113)),MIN((_slice!F88-04_回帰ANOVA!$K$19*04_回帰ANOVA!$K$14*SQRT(1+_slice!F113))-01_因子設定!$B$14,01_因子設定!$B$15-(_slice!F88+04_回帰ANOVA!$K$19*04_回帰ANOVA!$K$14*SQRT(1+_slice!F113))))),"外")</f>
        <v>-2.10986777103207</v>
      </c>
      <c r="G47" s="50" t="n">
        <f aca="false">IF(AND(_slice!$H$5=1,G$41&gt;=_slice!$H$6-0.000000001,G$41&lt;=_slice!$I$6+0.000000001,$B47&gt;=_slice!$H$7-0.000000001,$B47&lt;=_slice!$I$7+0.000000001,IF(01_因子設定!$B$20="Box-Behnken",G$41^2+$B47^2+_slice!$H$8&lt;=2+0.000000001,TRUE())),IF(01_因子設定!$B$13="最大化",(_slice!G88-04_回帰ANOVA!$K$19*04_回帰ANOVA!$K$14*SQRT(1+_slice!G113))-01_因子設定!$B$14,IF(01_因子設定!$B$13="最小化",01_因子設定!$B$15-(_slice!G88+04_回帰ANOVA!$K$19*04_回帰ANOVA!$K$14*SQRT(1+_slice!G113)),MIN((_slice!G88-04_回帰ANOVA!$K$19*04_回帰ANOVA!$K$14*SQRT(1+_slice!G113))-01_因子設定!$B$14,01_因子設定!$B$15-(_slice!G88+04_回帰ANOVA!$K$19*04_回帰ANOVA!$K$14*SQRT(1+_slice!G113))))),"外")</f>
        <v>-1.51756460486138</v>
      </c>
      <c r="H47" s="50" t="n">
        <f aca="false">IF(AND(_slice!$H$5=1,H$41&gt;=_slice!$H$6-0.000000001,H$41&lt;=_slice!$I$6+0.000000001,$B47&gt;=_slice!$H$7-0.000000001,$B47&lt;=_slice!$I$7+0.000000001,IF(01_因子設定!$B$20="Box-Behnken",H$41^2+$B47^2+_slice!$H$8&lt;=2+0.000000001,TRUE())),IF(01_因子設定!$B$13="最大化",(_slice!H88-04_回帰ANOVA!$K$19*04_回帰ANOVA!$K$14*SQRT(1+_slice!H113))-01_因子設定!$B$14,IF(01_因子設定!$B$13="最小化",01_因子設定!$B$15-(_slice!H88+04_回帰ANOVA!$K$19*04_回帰ANOVA!$K$14*SQRT(1+_slice!H113)),MIN((_slice!H88-04_回帰ANOVA!$K$19*04_回帰ANOVA!$K$14*SQRT(1+_slice!H113))-01_因子設定!$B$14,01_因子設定!$B$15-(_slice!H88+04_回帰ANOVA!$K$19*04_回帰ANOVA!$K$14*SQRT(1+_slice!H113))))),"外")</f>
        <v>-0.985277570830917</v>
      </c>
      <c r="I47" s="50" t="n">
        <f aca="false">IF(AND(_slice!$H$5=1,I$41&gt;=_slice!$H$6-0.000000001,I$41&lt;=_slice!$I$6+0.000000001,$B47&gt;=_slice!$H$7-0.000000001,$B47&lt;=_slice!$I$7+0.000000001,IF(01_因子設定!$B$20="Box-Behnken",I$41^2+$B47^2+_slice!$H$8&lt;=2+0.000000001,TRUE())),IF(01_因子設定!$B$13="最大化",(_slice!I88-04_回帰ANOVA!$K$19*04_回帰ANOVA!$K$14*SQRT(1+_slice!I113))-01_因子設定!$B$14,IF(01_因子設定!$B$13="最小化",01_因子設定!$B$15-(_slice!I88+04_回帰ANOVA!$K$19*04_回帰ANOVA!$K$14*SQRT(1+_slice!I113)),MIN((_slice!I88-04_回帰ANOVA!$K$19*04_回帰ANOVA!$K$14*SQRT(1+_slice!I113))-01_因子設定!$B$14,01_因子設定!$B$15-(_slice!I88+04_回帰ANOVA!$K$19*04_回帰ANOVA!$K$14*SQRT(1+_slice!I113))))),"外")</f>
        <v>-0.510021797282874</v>
      </c>
      <c r="J47" s="50" t="n">
        <f aca="false">IF(AND(_slice!$H$5=1,J$41&gt;=_slice!$H$6-0.000000001,J$41&lt;=_slice!$I$6+0.000000001,$B47&gt;=_slice!$H$7-0.000000001,$B47&lt;=_slice!$I$7+0.000000001,IF(01_因子設定!$B$20="Box-Behnken",J$41^2+$B47^2+_slice!$H$8&lt;=2+0.000000001,TRUE())),IF(01_因子設定!$B$13="最大化",(_slice!J88-04_回帰ANOVA!$K$19*04_回帰ANOVA!$K$14*SQRT(1+_slice!J113))-01_因子設定!$B$14,IF(01_因子設定!$B$13="最小化",01_因子設定!$B$15-(_slice!J88+04_回帰ANOVA!$K$19*04_回帰ANOVA!$K$14*SQRT(1+_slice!J113)),MIN((_slice!J88-04_回帰ANOVA!$K$19*04_回帰ANOVA!$K$14*SQRT(1+_slice!J113))-01_因子設定!$B$14,01_因子設定!$B$15-(_slice!J88+04_回帰ANOVA!$K$19*04_回帰ANOVA!$K$14*SQRT(1+_slice!J113))))),"外")</f>
        <v>-0.0892755938521219</v>
      </c>
      <c r="K47" s="50" t="n">
        <f aca="false">IF(AND(_slice!$H$5=1,K$41&gt;=_slice!$H$6-0.000000001,K$41&lt;=_slice!$I$6+0.000000001,$B47&gt;=_slice!$H$7-0.000000001,$B47&lt;=_slice!$I$7+0.000000001,IF(01_因子設定!$B$20="Box-Behnken",K$41^2+$B47^2+_slice!$H$8&lt;=2+0.000000001,TRUE())),IF(01_因子設定!$B$13="最大化",(_slice!K88-04_回帰ANOVA!$K$19*04_回帰ANOVA!$K$14*SQRT(1+_slice!K113))-01_因子設定!$B$14,IF(01_因子設定!$B$13="最小化",01_因子設定!$B$15-(_slice!K88+04_回帰ANOVA!$K$19*04_回帰ANOVA!$K$14*SQRT(1+_slice!K113)),MIN((_slice!K88-04_回帰ANOVA!$K$19*04_回帰ANOVA!$K$14*SQRT(1+_slice!K113))-01_因子設定!$B$14,01_因子設定!$B$15-(_slice!K88+04_回帰ANOVA!$K$19*04_回帰ANOVA!$K$14*SQRT(1+_slice!K113))))),"外")</f>
        <v>0.278939388924435</v>
      </c>
      <c r="L47" s="50" t="n">
        <f aca="false">IF(AND(_slice!$H$5=1,L$41&gt;=_slice!$H$6-0.000000001,L$41&lt;=_slice!$I$6+0.000000001,$B47&gt;=_slice!$H$7-0.000000001,$B47&lt;=_slice!$I$7+0.000000001,IF(01_因子設定!$B$20="Box-Behnken",L$41^2+$B47^2+_slice!$H$8&lt;=2+0.000000001,TRUE())),IF(01_因子設定!$B$13="最大化",(_slice!L88-04_回帰ANOVA!$K$19*04_回帰ANOVA!$K$14*SQRT(1+_slice!L113))-01_因子設定!$B$14,IF(01_因子設定!$B$13="最小化",01_因子設定!$B$15-(_slice!L88+04_回帰ANOVA!$K$19*04_回帰ANOVA!$K$14*SQRT(1+_slice!L113)),MIN((_slice!L88-04_回帰ANOVA!$K$19*04_回帰ANOVA!$K$14*SQRT(1+_slice!L113))-01_因子設定!$B$14,01_因子設定!$B$15-(_slice!L88+04_回帰ANOVA!$K$19*04_回帰ANOVA!$K$14*SQRT(1+_slice!L113))))),"外")</f>
        <v>0.596031455818746</v>
      </c>
      <c r="M47" s="50" t="n">
        <f aca="false">IF(AND(_slice!$H$5=1,M$41&gt;=_slice!$H$6-0.000000001,M$41&lt;=_slice!$I$6+0.000000001,$B47&gt;=_slice!$H$7-0.000000001,$B47&lt;=_slice!$I$7+0.000000001,IF(01_因子設定!$B$20="Box-Behnken",M$41^2+$B47^2+_slice!$H$8&lt;=2+0.000000001,TRUE())),IF(01_因子設定!$B$13="最大化",(_slice!M88-04_回帰ANOVA!$K$19*04_回帰ANOVA!$K$14*SQRT(1+_slice!M113))-01_因子設定!$B$14,IF(01_因子設定!$B$13="最小化",01_因子設定!$B$15-(_slice!M88+04_回帰ANOVA!$K$19*04_回帰ANOVA!$K$14*SQRT(1+_slice!M113)),MIN((_slice!M88-04_回帰ANOVA!$K$19*04_回帰ANOVA!$K$14*SQRT(1+_slice!M113))-01_因子設定!$B$14,01_因子設定!$B$15-(_slice!M88+04_回帰ANOVA!$K$19*04_回帰ANOVA!$K$14*SQRT(1+_slice!M113))))),"外")</f>
        <v>0.862839732552907</v>
      </c>
      <c r="N47" s="50" t="n">
        <f aca="false">IF(AND(_slice!$H$5=1,N$41&gt;=_slice!$H$6-0.000000001,N$41&lt;=_slice!$I$6+0.000000001,$B47&gt;=_slice!$H$7-0.000000001,$B47&lt;=_slice!$I$7+0.000000001,IF(01_因子設定!$B$20="Box-Behnken",N$41^2+$B47^2+_slice!$H$8&lt;=2+0.000000001,TRUE())),IF(01_因子設定!$B$13="最大化",(_slice!N88-04_回帰ANOVA!$K$19*04_回帰ANOVA!$K$14*SQRT(1+_slice!N113))-01_因子設定!$B$14,IF(01_因子設定!$B$13="最小化",01_因子設定!$B$15-(_slice!N88+04_回帰ANOVA!$K$19*04_回帰ANOVA!$K$14*SQRT(1+_slice!N113)),MIN((_slice!N88-04_回帰ANOVA!$K$19*04_回帰ANOVA!$K$14*SQRT(1+_slice!N113))-01_因子設定!$B$14,01_因子設定!$B$15-(_slice!N88+04_回帰ANOVA!$K$19*04_回帰ANOVA!$K$14*SQRT(1+_slice!N113))))),"外")</f>
        <v>1.07964256692986</v>
      </c>
      <c r="O47" s="50" t="n">
        <f aca="false">IF(AND(_slice!$H$5=1,O$41&gt;=_slice!$H$6-0.000000001,O$41&lt;=_slice!$I$6+0.000000001,$B47&gt;=_slice!$H$7-0.000000001,$B47&lt;=_slice!$I$7+0.000000001,IF(01_因子設定!$B$20="Box-Behnken",O$41^2+$B47^2+_slice!$H$8&lt;=2+0.000000001,TRUE())),IF(01_因子設定!$B$13="最大化",(_slice!O88-04_回帰ANOVA!$K$19*04_回帰ANOVA!$K$14*SQRT(1+_slice!O113))-01_因子設定!$B$14,IF(01_因子設定!$B$13="最小化",01_因子設定!$B$15-(_slice!O88+04_回帰ANOVA!$K$19*04_回帰ANOVA!$K$14*SQRT(1+_slice!O113)),MIN((_slice!O88-04_回帰ANOVA!$K$19*04_回帰ANOVA!$K$14*SQRT(1+_slice!O113))-01_因子設定!$B$14,01_因子設定!$B$15-(_slice!O88+04_回帰ANOVA!$K$19*04_回帰ANOVA!$K$14*SQRT(1+_slice!O113))))),"外")</f>
        <v>1.24616161114665</v>
      </c>
      <c r="P47" s="50" t="n">
        <f aca="false">IF(AND(_slice!$H$5=1,P$41&gt;=_slice!$H$6-0.000000001,P$41&lt;=_slice!$I$6+0.000000001,$B47&gt;=_slice!$H$7-0.000000001,$B47&lt;=_slice!$I$7+0.000000001,IF(01_因子設定!$B$20="Box-Behnken",P$41^2+$B47^2+_slice!$H$8&lt;=2+0.000000001,TRUE())),IF(01_因子設定!$B$13="最大化",(_slice!P88-04_回帰ANOVA!$K$19*04_回帰ANOVA!$K$14*SQRT(1+_slice!P113))-01_因子設定!$B$14,IF(01_因子設定!$B$13="最小化",01_因子設定!$B$15-(_slice!P88+04_回帰ANOVA!$K$19*04_回帰ANOVA!$K$14*SQRT(1+_slice!P113)),MIN((_slice!P88-04_回帰ANOVA!$K$19*04_回帰ANOVA!$K$14*SQRT(1+_slice!P113))-01_因子設定!$B$14,01_因子設定!$B$15-(_slice!P88+04_回帰ANOVA!$K$19*04_回帰ANOVA!$K$14*SQRT(1+_slice!P113))))),"外")</f>
        <v>1.36155773948121</v>
      </c>
      <c r="Q47" s="50" t="n">
        <f aca="false">IF(AND(_slice!$H$5=1,Q$41&gt;=_slice!$H$6-0.000000001,Q$41&lt;=_slice!$I$6+0.000000001,$B47&gt;=_slice!$H$7-0.000000001,$B47&lt;=_slice!$I$7+0.000000001,IF(01_因子設定!$B$20="Box-Behnken",Q$41^2+$B47^2+_slice!$H$8&lt;=2+0.000000001,TRUE())),IF(01_因子設定!$B$13="最大化",(_slice!Q88-04_回帰ANOVA!$K$19*04_回帰ANOVA!$K$14*SQRT(1+_slice!Q113))-01_因子設定!$B$14,IF(01_因子設定!$B$13="最小化",01_因子設定!$B$15-(_slice!Q88+04_回帰ANOVA!$K$19*04_回帰ANOVA!$K$14*SQRT(1+_slice!Q113)),MIN((_slice!Q88-04_回帰ANOVA!$K$19*04_回帰ANOVA!$K$14*SQRT(1+_slice!Q113))-01_因子設定!$B$14,01_因子設定!$B$15-(_slice!Q88+04_回帰ANOVA!$K$19*04_回帰ANOVA!$K$14*SQRT(1+_slice!Q113))))),"外")</f>
        <v>1.42442264716158</v>
      </c>
      <c r="R47" s="50" t="n">
        <f aca="false">IF(AND(_slice!$H$5=1,R$41&gt;=_slice!$H$6-0.000000001,R$41&lt;=_slice!$I$6+0.000000001,$B47&gt;=_slice!$H$7-0.000000001,$B47&lt;=_slice!$I$7+0.000000001,IF(01_因子設定!$B$20="Box-Behnken",R$41^2+$B47^2+_slice!$H$8&lt;=2+0.000000001,TRUE())),IF(01_因子設定!$B$13="最大化",(_slice!R88-04_回帰ANOVA!$K$19*04_回帰ANOVA!$K$14*SQRT(1+_slice!R113))-01_因子設定!$B$14,IF(01_因子設定!$B$13="最小化",01_因子設定!$B$15-(_slice!R88+04_回帰ANOVA!$K$19*04_回帰ANOVA!$K$14*SQRT(1+_slice!R113)),MIN((_slice!R88-04_回帰ANOVA!$K$19*04_回帰ANOVA!$K$14*SQRT(1+_slice!R113))-01_因子設定!$B$14,01_因子設定!$B$15-(_slice!R88+04_回帰ANOVA!$K$19*04_回帰ANOVA!$K$14*SQRT(1+_slice!R113))))),"外")</f>
        <v>1.43277798472464</v>
      </c>
      <c r="S47" s="50" t="n">
        <f aca="false">IF(AND(_slice!$H$5=1,S$41&gt;=_slice!$H$6-0.000000001,S$41&lt;=_slice!$I$6+0.000000001,$B47&gt;=_slice!$H$7-0.000000001,$B47&lt;=_slice!$I$7+0.000000001,IF(01_因子設定!$B$20="Box-Behnken",S$41^2+$B47^2+_slice!$H$8&lt;=2+0.000000001,TRUE())),IF(01_因子設定!$B$13="最大化",(_slice!S88-04_回帰ANOVA!$K$19*04_回帰ANOVA!$K$14*SQRT(1+_slice!S113))-01_因子設定!$B$14,IF(01_因子設定!$B$13="最小化",01_因子設定!$B$15-(_slice!S88+04_回帰ANOVA!$K$19*04_回帰ANOVA!$K$14*SQRT(1+_slice!S113)),MIN((_slice!S88-04_回帰ANOVA!$K$19*04_回帰ANOVA!$K$14*SQRT(1+_slice!S113))-01_因子設定!$B$14,01_因子設定!$B$15-(_slice!S88+04_回帰ANOVA!$K$19*04_回帰ANOVA!$K$14*SQRT(1+_slice!S113))))),"外")</f>
        <v>1.38410206180529</v>
      </c>
      <c r="T47" s="50" t="n">
        <f aca="false">IF(AND(_slice!$H$5=1,T$41&gt;=_slice!$H$6-0.000000001,T$41&lt;=_slice!$I$6+0.000000001,$B47&gt;=_slice!$H$7-0.000000001,$B47&lt;=_slice!$I$7+0.000000001,IF(01_因子設定!$B$20="Box-Behnken",T$41^2+$B47^2+_slice!$H$8&lt;=2+0.000000001,TRUE())),IF(01_因子設定!$B$13="最大化",(_slice!T88-04_回帰ANOVA!$K$19*04_回帰ANOVA!$K$14*SQRT(1+_slice!T113))-01_因子設定!$B$14,IF(01_因子設定!$B$13="最小化",01_因子設定!$B$15-(_slice!T88+04_回帰ANOVA!$K$19*04_回帰ANOVA!$K$14*SQRT(1+_slice!T113)),MIN((_slice!T88-04_回帰ANOVA!$K$19*04_回帰ANOVA!$K$14*SQRT(1+_slice!T113))-01_因子設定!$B$14,01_因子設定!$B$15-(_slice!T88+04_回帰ANOVA!$K$19*04_回帰ANOVA!$K$14*SQRT(1+_slice!T113))))),"外")</f>
        <v>1.2754100067457</v>
      </c>
      <c r="U47" s="50" t="n">
        <f aca="false">IF(AND(_slice!$H$5=1,U$41&gt;=_slice!$H$6-0.000000001,U$41&lt;=_slice!$I$6+0.000000001,$B47&gt;=_slice!$H$7-0.000000001,$B47&lt;=_slice!$I$7+0.000000001,IF(01_因子設定!$B$20="Box-Behnken",U$41^2+$B47^2+_slice!$H$8&lt;=2+0.000000001,TRUE())),IF(01_因子設定!$B$13="最大化",(_slice!U88-04_回帰ANOVA!$K$19*04_回帰ANOVA!$K$14*SQRT(1+_slice!U113))-01_因子設定!$B$14,IF(01_因子設定!$B$13="最小化",01_因子設定!$B$15-(_slice!U88+04_回帰ANOVA!$K$19*04_回帰ANOVA!$K$14*SQRT(1+_slice!U113)),MIN((_slice!U88-04_回帰ANOVA!$K$19*04_回帰ANOVA!$K$14*SQRT(1+_slice!U113))-01_因子設定!$B$14,01_因子設定!$B$15-(_slice!U88+04_回帰ANOVA!$K$19*04_回帰ANOVA!$K$14*SQRT(1+_slice!U113))))),"外")</f>
        <v>1.103411014909</v>
      </c>
      <c r="V47" s="50" t="n">
        <f aca="false">IF(AND(_slice!$H$5=1,V$41&gt;=_slice!$H$6-0.000000001,V$41&lt;=_slice!$I$6+0.000000001,$B47&gt;=_slice!$H$7-0.000000001,$B47&lt;=_slice!$I$7+0.000000001,IF(01_因子設定!$B$20="Box-Behnken",V$41^2+$B47^2+_slice!$H$8&lt;=2+0.000000001,TRUE())),IF(01_因子設定!$B$13="最大化",(_slice!V88-04_回帰ANOVA!$K$19*04_回帰ANOVA!$K$14*SQRT(1+_slice!V113))-01_因子設定!$B$14,IF(01_因子設定!$B$13="最小化",01_因子設定!$B$15-(_slice!V88+04_回帰ANOVA!$K$19*04_回帰ANOVA!$K$14*SQRT(1+_slice!V113)),MIN((_slice!V88-04_回帰ANOVA!$K$19*04_回帰ANOVA!$K$14*SQRT(1+_slice!V113))-01_因子設定!$B$14,01_因子設定!$B$15-(_slice!V88+04_回帰ANOVA!$K$19*04_回帰ANOVA!$K$14*SQRT(1+_slice!V113))))),"外")</f>
        <v>0.864748871634987</v>
      </c>
      <c r="W47" s="50" t="n">
        <f aca="false">IF(AND(_slice!$H$5=1,W$41&gt;=_slice!$H$6-0.000000001,W$41&lt;=_slice!$I$6+0.000000001,$B47&gt;=_slice!$H$7-0.000000001,$B47&lt;=_slice!$I$7+0.000000001,IF(01_因子設定!$B$20="Box-Behnken",W$41^2+$B47^2+_slice!$H$8&lt;=2+0.000000001,TRUE())),IF(01_因子設定!$B$13="最大化",(_slice!W88-04_回帰ANOVA!$K$19*04_回帰ANOVA!$K$14*SQRT(1+_slice!W113))-01_因子設定!$B$14,IF(01_因子設定!$B$13="最小化",01_因子設定!$B$15-(_slice!W88+04_回帰ANOVA!$K$19*04_回帰ANOVA!$K$14*SQRT(1+_slice!W113)),MIN((_slice!W88-04_回帰ANOVA!$K$19*04_回帰ANOVA!$K$14*SQRT(1+_slice!W113))-01_因子設定!$B$14,01_因子設定!$B$15-(_slice!W88+04_回帰ANOVA!$K$19*04_回帰ANOVA!$K$14*SQRT(1+_slice!W113))))),"外")</f>
        <v>0.556298067503235</v>
      </c>
    </row>
    <row r="48" customFormat="false" ht="15" hidden="false" customHeight="false" outlineLevel="0" collapsed="false">
      <c r="A48" s="49" t="n">
        <f aca="false">INDEX(01_因子設定!$G$5:$G$8,$C$5)+B48*INDEX(01_因子設定!$H$5:$H$8,$C$5)</f>
        <v>35</v>
      </c>
      <c r="B48" s="49" t="n">
        <v>0.5</v>
      </c>
      <c r="C48" s="50" t="n">
        <f aca="false">IF(AND(_slice!$H$5=1,C$41&gt;=_slice!$H$6-0.000000001,C$41&lt;=_slice!$I$6+0.000000001,$B48&gt;=_slice!$H$7-0.000000001,$B48&lt;=_slice!$I$7+0.000000001,IF(01_因子設定!$B$20="Box-Behnken",C$41^2+$B48^2+_slice!$H$8&lt;=2+0.000000001,TRUE())),IF(01_因子設定!$B$13="最大化",(_slice!C89-04_回帰ANOVA!$K$19*04_回帰ANOVA!$K$14*SQRT(1+_slice!C114))-01_因子設定!$B$14,IF(01_因子設定!$B$13="最小化",01_因子設定!$B$15-(_slice!C89+04_回帰ANOVA!$K$19*04_回帰ANOVA!$K$14*SQRT(1+_slice!C114)),MIN((_slice!C89-04_回帰ANOVA!$K$19*04_回帰ANOVA!$K$14*SQRT(1+_slice!C114))-01_因子設定!$B$14,01_因子設定!$B$15-(_slice!C89+04_回帰ANOVA!$K$19*04_回帰ANOVA!$K$14*SQRT(1+_slice!C114))))),"外")</f>
        <v>-4.09829186463946</v>
      </c>
      <c r="D48" s="50" t="n">
        <f aca="false">IF(AND(_slice!$H$5=1,D$41&gt;=_slice!$H$6-0.000000001,D$41&lt;=_slice!$I$6+0.000000001,$B48&gt;=_slice!$H$7-0.000000001,$B48&lt;=_slice!$I$7+0.000000001,IF(01_因子設定!$B$20="Box-Behnken",D$41^2+$B48^2+_slice!$H$8&lt;=2+0.000000001,TRUE())),IF(01_因子設定!$B$13="最大化",(_slice!D89-04_回帰ANOVA!$K$19*04_回帰ANOVA!$K$14*SQRT(1+_slice!D114))-01_因子設定!$B$14,IF(01_因子設定!$B$13="最小化",01_因子設定!$B$15-(_slice!D89+04_回帰ANOVA!$K$19*04_回帰ANOVA!$K$14*SQRT(1+_slice!D114)),MIN((_slice!D89-04_回帰ANOVA!$K$19*04_回帰ANOVA!$K$14*SQRT(1+_slice!D114))-01_因子設定!$B$14,01_因子設定!$B$15-(_slice!D89+04_回帰ANOVA!$K$19*04_回帰ANOVA!$K$14*SQRT(1+_slice!D114))))),"外")</f>
        <v>-3.31552373508327</v>
      </c>
      <c r="E48" s="50" t="n">
        <f aca="false">IF(AND(_slice!$H$5=1,E$41&gt;=_slice!$H$6-0.000000001,E$41&lt;=_slice!$I$6+0.000000001,$B48&gt;=_slice!$H$7-0.000000001,$B48&lt;=_slice!$I$7+0.000000001,IF(01_因子設定!$B$20="Box-Behnken",E$41^2+$B48^2+_slice!$H$8&lt;=2+0.000000001,TRUE())),IF(01_因子設定!$B$13="最大化",(_slice!E89-04_回帰ANOVA!$K$19*04_回帰ANOVA!$K$14*SQRT(1+_slice!E114))-01_因子設定!$B$14,IF(01_因子設定!$B$13="最小化",01_因子設定!$B$15-(_slice!E89+04_回帰ANOVA!$K$19*04_回帰ANOVA!$K$14*SQRT(1+_slice!E114)),MIN((_slice!E89-04_回帰ANOVA!$K$19*04_回帰ANOVA!$K$14*SQRT(1+_slice!E114))-01_因子設定!$B$14,01_因子設定!$B$15-(_slice!E89+04_回帰ANOVA!$K$19*04_回帰ANOVA!$K$14*SQRT(1+_slice!E114))))),"外")</f>
        <v>-2.60263626333814</v>
      </c>
      <c r="F48" s="50" t="n">
        <f aca="false">IF(AND(_slice!$H$5=1,F$41&gt;=_slice!$H$6-0.000000001,F$41&lt;=_slice!$I$6+0.000000001,$B48&gt;=_slice!$H$7-0.000000001,$B48&lt;=_slice!$I$7+0.000000001,IF(01_因子設定!$B$20="Box-Behnken",F$41^2+$B48^2+_slice!$H$8&lt;=2+0.000000001,TRUE())),IF(01_因子設定!$B$13="最大化",(_slice!F89-04_回帰ANOVA!$K$19*04_回帰ANOVA!$K$14*SQRT(1+_slice!F114))-01_因子設定!$B$14,IF(01_因子設定!$B$13="最小化",01_因子設定!$B$15-(_slice!F89+04_回帰ANOVA!$K$19*04_回帰ANOVA!$K$14*SQRT(1+_slice!F114)),MIN((_slice!F89-04_回帰ANOVA!$K$19*04_回帰ANOVA!$K$14*SQRT(1+_slice!F114))-01_因子設定!$B$14,01_因子設定!$B$15-(_slice!F89+04_回帰ANOVA!$K$19*04_回帰ANOVA!$K$14*SQRT(1+_slice!F114))))),"外")</f>
        <v>-1.95657321986599</v>
      </c>
      <c r="G48" s="50" t="n">
        <f aca="false">IF(AND(_slice!$H$5=1,G$41&gt;=_slice!$H$6-0.000000001,G$41&lt;=_slice!$I$6+0.000000001,$B48&gt;=_slice!$H$7-0.000000001,$B48&lt;=_slice!$I$7+0.000000001,IF(01_因子設定!$B$20="Box-Behnken",G$41^2+$B48^2+_slice!$H$8&lt;=2+0.000000001,TRUE())),IF(01_因子設定!$B$13="最大化",(_slice!G89-04_回帰ANOVA!$K$19*04_回帰ANOVA!$K$14*SQRT(1+_slice!G114))-01_因子設定!$B$14,IF(01_因子設定!$B$13="最小化",01_因子設定!$B$15-(_slice!G89+04_回帰ANOVA!$K$19*04_回帰ANOVA!$K$14*SQRT(1+_slice!G114)),MIN((_slice!G89-04_回帰ANOVA!$K$19*04_回帰ANOVA!$K$14*SQRT(1+_slice!G114))-01_因子設定!$B$14,01_因子設定!$B$15-(_slice!G89+04_回帰ANOVA!$K$19*04_回帰ANOVA!$K$14*SQRT(1+_slice!G114))))),"外")</f>
        <v>-1.3740275708309</v>
      </c>
      <c r="H48" s="50" t="n">
        <f aca="false">IF(AND(_slice!$H$5=1,H$41&gt;=_slice!$H$6-0.000000001,H$41&lt;=_slice!$I$6+0.000000001,$B48&gt;=_slice!$H$7-0.000000001,$B48&lt;=_slice!$I$7+0.000000001,IF(01_因子設定!$B$20="Box-Behnken",H$41^2+$B48^2+_slice!$H$8&lt;=2+0.000000001,TRUE())),IF(01_因子設定!$B$13="最大化",(_slice!H89-04_回帰ANOVA!$K$19*04_回帰ANOVA!$K$14*SQRT(1+_slice!H114))-01_因子設定!$B$14,IF(01_因子設定!$B$13="最小化",01_因子設定!$B$15-(_slice!H89+04_回帰ANOVA!$K$19*04_回帰ANOVA!$K$14*SQRT(1+_slice!H114)),MIN((_slice!H89-04_回帰ANOVA!$K$19*04_回帰ANOVA!$K$14*SQRT(1+_slice!H114))-01_因子設定!$B$14,01_因子設定!$B$15-(_slice!H89+04_回帰ANOVA!$K$19*04_回帰ANOVA!$K$14*SQRT(1+_slice!H114))))),"外")</f>
        <v>-0.851735280318778</v>
      </c>
      <c r="I48" s="50" t="n">
        <f aca="false">IF(AND(_slice!$H$5=1,I$41&gt;=_slice!$H$6-0.000000001,I$41&lt;=_slice!$I$6+0.000000001,$B48&gt;=_slice!$H$7-0.000000001,$B48&lt;=_slice!$I$7+0.000000001,IF(01_因子設定!$B$20="Box-Behnken",I$41^2+$B48^2+_slice!$H$8&lt;=2+0.000000001,TRUE())),IF(01_因子設定!$B$13="最大化",(_slice!I89-04_回帰ANOVA!$K$19*04_回帰ANOVA!$K$14*SQRT(1+_slice!I114))-01_因子設定!$B$14,IF(01_因子設定!$B$13="最小化",01_因子設定!$B$15-(_slice!I89+04_回帰ANOVA!$K$19*04_回帰ANOVA!$K$14*SQRT(1+_slice!I114)),MIN((_slice!I89-04_回帰ANOVA!$K$19*04_回帰ANOVA!$K$14*SQRT(1+_slice!I114))-01_因子設定!$B$14,01_因子設定!$B$15-(_slice!I89+04_回帰ANOVA!$K$19*04_回帰ANOVA!$K$14*SQRT(1+_slice!I114))))),"外")</f>
        <v>-0.386719444069584</v>
      </c>
      <c r="J48" s="50" t="n">
        <f aca="false">IF(AND(_slice!$H$5=1,J$41&gt;=_slice!$H$6-0.000000001,J$41&lt;=_slice!$I$6+0.000000001,$B48&gt;=_slice!$H$7-0.000000001,$B48&lt;=_slice!$I$7+0.000000001,IF(01_因子設定!$B$20="Box-Behnken",J$41^2+$B48^2+_slice!$H$8&lt;=2+0.000000001,TRUE())),IF(01_因子設定!$B$13="最大化",(_slice!J89-04_回帰ANOVA!$K$19*04_回帰ANOVA!$K$14*SQRT(1+_slice!J114))-01_因子設定!$B$14,IF(01_因子設定!$B$13="最小化",01_因子設定!$B$15-(_slice!J89+04_回帰ANOVA!$K$19*04_回帰ANOVA!$K$14*SQRT(1+_slice!J114)),MIN((_slice!J89-04_回帰ANOVA!$K$19*04_回帰ANOVA!$K$14*SQRT(1+_slice!J114))-01_因子設定!$B$14,01_因子設定!$B$15-(_slice!J89+04_回帰ANOVA!$K$19*04_回帰ANOVA!$K$14*SQRT(1+_slice!J114))))),"外")</f>
        <v>0.0235459539995588</v>
      </c>
      <c r="K48" s="50" t="n">
        <f aca="false">IF(AND(_slice!$H$5=1,K$41&gt;=_slice!$H$6-0.000000001,K$41&lt;=_slice!$I$6+0.000000001,$B48&gt;=_slice!$H$7-0.000000001,$B48&lt;=_slice!$I$7+0.000000001,IF(01_因子設定!$B$20="Box-Behnken",K$41^2+$B48^2+_slice!$H$8&lt;=2+0.000000001,TRUE())),IF(01_因子設定!$B$13="最大化",(_slice!K89-04_回帰ANOVA!$K$19*04_回帰ANOVA!$K$14*SQRT(1+_slice!K114))-01_因子設定!$B$14,IF(01_因子設定!$B$13="最小化",01_因子設定!$B$15-(_slice!K89+04_回帰ANOVA!$K$19*04_回帰ANOVA!$K$14*SQRT(1+_slice!K114)),MIN((_slice!K89-04_回帰ANOVA!$K$19*04_回帰ANOVA!$K$14*SQRT(1+_slice!K114))-01_因子設定!$B$14,01_因子設定!$B$15-(_slice!K89+04_回帰ANOVA!$K$19*04_回帰ANOVA!$K$14*SQRT(1+_slice!K114))))),"外")</f>
        <v>0.381049268881135</v>
      </c>
      <c r="L48" s="50" t="n">
        <f aca="false">IF(AND(_slice!$H$5=1,L$41&gt;=_slice!$H$6-0.000000001,L$41&lt;=_slice!$I$6+0.000000001,$B48&gt;=_slice!$H$7-0.000000001,$B48&lt;=_slice!$I$7+0.000000001,IF(01_因子設定!$B$20="Box-Behnken",L$41^2+$B48^2+_slice!$H$8&lt;=2+0.000000001,TRUE())),IF(01_因子設定!$B$13="最大化",(_slice!L89-04_回帰ANOVA!$K$19*04_回帰ANOVA!$K$14*SQRT(1+_slice!L114))-01_因子設定!$B$14,IF(01_因子設定!$B$13="最小化",01_因子設定!$B$15-(_slice!L89+04_回帰ANOVA!$K$19*04_回帰ANOVA!$K$14*SQRT(1+_slice!L114)),MIN((_slice!L89-04_回帰ANOVA!$K$19*04_回帰ANOVA!$K$14*SQRT(1+_slice!L114))-01_因子設定!$B$14,01_因子設定!$B$15-(_slice!L89+04_回帰ANOVA!$K$19*04_回帰ANOVA!$K$14*SQRT(1+_slice!L114))))),"外")</f>
        <v>0.687209283747926</v>
      </c>
      <c r="M48" s="50" t="n">
        <f aca="false">IF(AND(_slice!$H$5=1,M$41&gt;=_slice!$H$6-0.000000001,M$41&lt;=_slice!$I$6+0.000000001,$B48&gt;=_slice!$H$7-0.000000001,$B48&lt;=_slice!$I$7+0.000000001,IF(01_因子設定!$B$20="Box-Behnken",M$41^2+$B48^2+_slice!$H$8&lt;=2+0.000000001,TRUE())),IF(01_因子設定!$B$13="最大化",(_slice!M89-04_回帰ANOVA!$K$19*04_回帰ANOVA!$K$14*SQRT(1+_slice!M114))-01_因子設定!$B$14,IF(01_因子設定!$B$13="最小化",01_因子設定!$B$15-(_slice!M89+04_回帰ANOVA!$K$19*04_回帰ANOVA!$K$14*SQRT(1+_slice!M114)),MIN((_slice!M89-04_回帰ANOVA!$K$19*04_回帰ANOVA!$K$14*SQRT(1+_slice!M114))-01_因子設定!$B$14,01_因子設定!$B$15-(_slice!M89+04_回帰ANOVA!$K$19*04_回帰ANOVA!$K$14*SQRT(1+_slice!M114))))),"外")</f>
        <v>0.942872643322929</v>
      </c>
      <c r="N48" s="50" t="n">
        <f aca="false">IF(AND(_slice!$H$5=1,N$41&gt;=_slice!$H$6-0.000000001,N$41&lt;=_slice!$I$6+0.000000001,$B48&gt;=_slice!$H$7-0.000000001,$B48&lt;=_slice!$I$7+0.000000001,IF(01_因子設定!$B$20="Box-Behnken",N$41^2+$B48^2+_slice!$H$8&lt;=2+0.000000001,TRUE())),IF(01_因子設定!$B$13="最大化",(_slice!N89-04_回帰ANOVA!$K$19*04_回帰ANOVA!$K$14*SQRT(1+_slice!N114))-01_因子設定!$B$14,IF(01_因子設定!$B$13="最小化",01_因子設定!$B$15-(_slice!N89+04_回帰ANOVA!$K$19*04_回帰ANOVA!$K$14*SQRT(1+_slice!N114)),MIN((_slice!N89-04_回帰ANOVA!$K$19*04_回帰ANOVA!$K$14*SQRT(1+_slice!N114))-01_因子設定!$B$14,01_因子設定!$B$15-(_slice!N89+04_回帰ANOVA!$K$19*04_回帰ANOVA!$K$14*SQRT(1+_slice!N114))))),"外")</f>
        <v>1.14832039485903</v>
      </c>
      <c r="O48" s="50" t="n">
        <f aca="false">IF(AND(_slice!$H$5=1,O$41&gt;=_slice!$H$6-0.000000001,O$41&lt;=_slice!$I$6+0.000000001,$B48&gt;=_slice!$H$7-0.000000001,$B48&lt;=_slice!$I$7+0.000000001,IF(01_因子設定!$B$20="Box-Behnken",O$41^2+$B48^2+_slice!$H$8&lt;=2+0.000000001,TRUE())),IF(01_因子設定!$B$13="最大化",(_slice!O89-04_回帰ANOVA!$K$19*04_回帰ANOVA!$K$14*SQRT(1+_slice!O114))-01_因子設定!$B$14,IF(01_因子設定!$B$13="最小化",01_因子設定!$B$15-(_slice!O89+04_回帰ANOVA!$K$19*04_回帰ANOVA!$K$14*SQRT(1+_slice!O114)),MIN((_slice!O89-04_回帰ANOVA!$K$19*04_回帰ANOVA!$K$14*SQRT(1+_slice!O114))-01_因子設定!$B$14,01_因子設定!$B$15-(_slice!O89+04_回帰ANOVA!$K$19*04_回帰ANOVA!$K$14*SQRT(1+_slice!O114))))),"外")</f>
        <v>1.30327149110335</v>
      </c>
      <c r="P48" s="50" t="n">
        <f aca="false">IF(AND(_slice!$H$5=1,P$41&gt;=_slice!$H$6-0.000000001,P$41&lt;=_slice!$I$6+0.000000001,$B48&gt;=_slice!$H$7-0.000000001,$B48&lt;=_slice!$I$7+0.000000001,IF(01_因子設定!$B$20="Box-Behnken",P$41^2+$B48^2+_slice!$H$8&lt;=2+0.000000001,TRUE())),IF(01_因子設定!$B$13="最大化",(_slice!P89-04_回帰ANOVA!$K$19*04_回帰ANOVA!$K$14*SQRT(1+_slice!P114))-01_因子設定!$B$14,IF(01_因子設定!$B$13="最小化",01_因子設定!$B$15-(_slice!P89+04_回帰ANOVA!$K$19*04_回帰ANOVA!$K$14*SQRT(1+_slice!P114)),MIN((_slice!P89-04_回帰ANOVA!$K$19*04_回帰ANOVA!$K$14*SQRT(1+_slice!P114))-01_因子設定!$B$14,01_因子設定!$B$15-(_slice!P89+04_回帰ANOVA!$K$19*04_回帰ANOVA!$K$14*SQRT(1+_slice!P114))))),"外")</f>
        <v>1.4068792873329</v>
      </c>
      <c r="Q48" s="50" t="n">
        <f aca="false">IF(AND(_slice!$H$5=1,Q$41&gt;=_slice!$H$6-0.000000001,Q$41&lt;=_slice!$I$6+0.000000001,$B48&gt;=_slice!$H$7-0.000000001,$B48&lt;=_slice!$I$7+0.000000001,IF(01_因子設定!$B$20="Box-Behnken",Q$41^2+$B48^2+_slice!$H$8&lt;=2+0.000000001,TRUE())),IF(01_因子設定!$B$13="最大化",(_slice!Q89-04_回帰ANOVA!$K$19*04_回帰ANOVA!$K$14*SQRT(1+_slice!Q114))-01_因子設定!$B$14,IF(01_因子設定!$B$13="最小化",01_因子設定!$B$15-(_slice!Q89+04_回帰ANOVA!$K$19*04_回帰ANOVA!$K$14*SQRT(1+_slice!Q114)),MIN((_slice!Q89-04_回帰ANOVA!$K$19*04_回帰ANOVA!$K$14*SQRT(1+_slice!Q114))-01_因子設定!$B$14,01_因子設定!$B$15-(_slice!Q89+04_回帰ANOVA!$K$19*04_回帰ANOVA!$K$14*SQRT(1+_slice!Q114))))),"外")</f>
        <v>1.45772500037486</v>
      </c>
      <c r="R48" s="50" t="n">
        <f aca="false">IF(AND(_slice!$H$5=1,R$41&gt;=_slice!$H$6-0.000000001,R$41&lt;=_slice!$I$6+0.000000001,$B48&gt;=_slice!$H$7-0.000000001,$B48&lt;=_slice!$I$7+0.000000001,IF(01_因子設定!$B$20="Box-Behnken",R$41^2+$B48^2+_slice!$H$8&lt;=2+0.000000001,TRUE())),IF(01_因子設定!$B$13="最大化",(_slice!R89-04_回帰ANOVA!$K$19*04_回帰ANOVA!$K$14*SQRT(1+_slice!R114))-01_因子設定!$B$14,IF(01_因子設定!$B$13="最小化",01_因子設定!$B$15-(_slice!R89+04_回帰ANOVA!$K$19*04_回帰ANOVA!$K$14*SQRT(1+_slice!R114)),MIN((_slice!R89-04_回帰ANOVA!$K$19*04_回帰ANOVA!$K$14*SQRT(1+_slice!R114))-01_因子設定!$B$14,01_因子設定!$B$15-(_slice!R89+04_回帰ANOVA!$K$19*04_回帰ANOVA!$K$14*SQRT(1+_slice!R114))))),"外")</f>
        <v>1.45382027523678</v>
      </c>
      <c r="S48" s="50" t="n">
        <f aca="false">IF(AND(_slice!$H$5=1,S$41&gt;=_slice!$H$6-0.000000001,S$41&lt;=_slice!$I$6+0.000000001,$B48&gt;=_slice!$H$7-0.000000001,$B48&lt;=_slice!$I$7+0.000000001,IF(01_因子設定!$B$20="Box-Behnken",S$41^2+$B48^2+_slice!$H$8&lt;=2+0.000000001,TRUE())),IF(01_因子設定!$B$13="最大化",(_slice!S89-04_回帰ANOVA!$K$19*04_回帰ANOVA!$K$14*SQRT(1+_slice!S114))-01_因子設定!$B$14,IF(01_因子設定!$B$13="最小化",01_因子設定!$B$15-(_slice!S89+04_回帰ANOVA!$K$19*04_回帰ANOVA!$K$14*SQRT(1+_slice!S114)),MIN((_slice!S89-04_回帰ANOVA!$K$19*04_回帰ANOVA!$K$14*SQRT(1+_slice!S114))-01_因子設定!$B$14,01_因子設定!$B$15-(_slice!S89+04_回帰ANOVA!$K$19*04_回帰ANOVA!$K$14*SQRT(1+_slice!S114))))),"外")</f>
        <v>1.39263909583576</v>
      </c>
      <c r="T48" s="50" t="n">
        <f aca="false">IF(AND(_slice!$H$5=1,T$41&gt;=_slice!$H$6-0.000000001,T$41&lt;=_slice!$I$6+0.000000001,$B48&gt;=_slice!$H$7-0.000000001,$B48&lt;=_slice!$I$7+0.000000001,IF(01_因子設定!$B$20="Box-Behnken",T$41^2+$B48^2+_slice!$H$8&lt;=2+0.000000001,TRUE())),IF(01_因子設定!$B$13="最大化",(_slice!T89-04_回帰ANOVA!$K$19*04_回帰ANOVA!$K$14*SQRT(1+_slice!T114))-01_因子設定!$B$14,IF(01_因子設定!$B$13="最小化",01_因子設定!$B$15-(_slice!T89+04_回帰ANOVA!$K$19*04_回帰ANOVA!$K$14*SQRT(1+_slice!T114)),MIN((_slice!T89-04_回帰ANOVA!$K$19*04_回帰ANOVA!$K$14*SQRT(1+_slice!T114))-01_因子設定!$B$14,01_因子設定!$B$15-(_slice!T89+04_回帰ANOVA!$K$19*04_回帰ANOVA!$K$14*SQRT(1+_slice!T114))))),"外")</f>
        <v>1.27120455791179</v>
      </c>
      <c r="U48" s="50" t="n">
        <f aca="false">IF(AND(_slice!$H$5=1,U$41&gt;=_slice!$H$6-0.000000001,U$41&lt;=_slice!$I$6+0.000000001,$B48&gt;=_slice!$H$7-0.000000001,$B48&lt;=_slice!$I$7+0.000000001,IF(01_因子設定!$B$20="Box-Behnken",U$41^2+$B48^2+_slice!$H$8&lt;=2+0.000000001,TRUE())),IF(01_因子設定!$B$13="最大化",(_slice!U89-04_回帰ANOVA!$K$19*04_回帰ANOVA!$K$14*SQRT(1+_slice!U114))-01_因子設定!$B$14,IF(01_因子設定!$B$13="最小化",01_因子設定!$B$15-(_slice!U89+04_回帰ANOVA!$K$19*04_回帰ANOVA!$K$14*SQRT(1+_slice!U114)),MIN((_slice!U89-04_回帰ANOVA!$K$19*04_回帰ANOVA!$K$14*SQRT(1+_slice!U114))-01_因子設定!$B$14,01_因子設定!$B$15-(_slice!U89+04_回帰ANOVA!$K$19*04_回帰ANOVA!$K$14*SQRT(1+_slice!U114))))),"外")</f>
        <v>1.08625262555076</v>
      </c>
      <c r="V48" s="50" t="n">
        <f aca="false">IF(AND(_slice!$H$5=1,V$41&gt;=_slice!$H$6-0.000000001,V$41&lt;=_slice!$I$6+0.000000001,$B48&gt;=_slice!$H$7-0.000000001,$B48&lt;=_slice!$I$7+0.000000001,IF(01_因子設定!$B$20="Box-Behnken",V$41^2+$B48^2+_slice!$H$8&lt;=2+0.000000001,TRUE())),IF(01_因子設定!$B$13="最大化",(_slice!V89-04_回帰ANOVA!$K$19*04_回帰ANOVA!$K$14*SQRT(1+_slice!V114))-01_因子設定!$B$14,IF(01_因子設定!$B$13="最小化",01_因子設定!$B$15-(_slice!V89+04_回帰ANOVA!$K$19*04_回帰ANOVA!$K$14*SQRT(1+_slice!V114)),MIN((_slice!V89-04_回帰ANOVA!$K$19*04_回帰ANOVA!$K$14*SQRT(1+_slice!V114))-01_因子設定!$B$14,01_因子設定!$B$15-(_slice!V89+04_回帰ANOVA!$K$19*04_回帰ANOVA!$K$14*SQRT(1+_slice!V114))))),"外")</f>
        <v>0.834476264916738</v>
      </c>
      <c r="W48" s="50" t="n">
        <f aca="false">IF(AND(_slice!$H$5=1,W$41&gt;=_slice!$H$6-0.000000001,W$41&lt;=_slice!$I$6+0.000000001,$B48&gt;=_slice!$H$7-0.000000001,$B48&lt;=_slice!$I$7+0.000000001,IF(01_因子設定!$B$20="Box-Behnken",W$41^2+$B48^2+_slice!$H$8&lt;=2+0.000000001,TRUE())),IF(01_因子設定!$B$13="最大化",(_slice!W89-04_回帰ANOVA!$K$19*04_回帰ANOVA!$K$14*SQRT(1+_slice!W114))-01_因子設定!$B$14,IF(01_因子設定!$B$13="最小化",01_因子設定!$B$15-(_slice!W89+04_回帰ANOVA!$K$19*04_回帰ANOVA!$K$14*SQRT(1+_slice!W114)),MIN((_slice!W89-04_回帰ANOVA!$K$19*04_回帰ANOVA!$K$14*SQRT(1+_slice!W114))-01_因子設定!$B$14,01_因子設定!$B$15-(_slice!W89+04_回帰ANOVA!$K$19*04_回帰ANOVA!$K$14*SQRT(1+_slice!W114))))),"外")</f>
        <v>0.512819246471658</v>
      </c>
    </row>
    <row r="49" customFormat="false" ht="15" hidden="false" customHeight="false" outlineLevel="0" collapsed="false">
      <c r="A49" s="49" t="n">
        <f aca="false">INDEX(01_因子設定!$G$5:$G$8,$C$5)+B49*INDEX(01_因子設定!$H$5:$H$8,$C$5)</f>
        <v>34</v>
      </c>
      <c r="B49" s="49" t="n">
        <v>0.4</v>
      </c>
      <c r="C49" s="50" t="n">
        <f aca="false">IF(AND(_slice!$H$5=1,C$41&gt;=_slice!$H$6-0.000000001,C$41&lt;=_slice!$I$6+0.000000001,$B49&gt;=_slice!$H$7-0.000000001,$B49&lt;=_slice!$I$7+0.000000001,IF(01_因子設定!$B$20="Box-Behnken",C$41^2+$B49^2+_slice!$H$8&lt;=2+0.000000001,TRUE())),IF(01_因子設定!$B$13="最大化",(_slice!C90-04_回帰ANOVA!$K$19*04_回帰ANOVA!$K$14*SQRT(1+_slice!C115))-01_因子設定!$B$14,IF(01_因子設定!$B$13="最小化",01_因子設定!$B$15-(_slice!C90+04_回帰ANOVA!$K$19*04_回帰ANOVA!$K$14*SQRT(1+_slice!C115)),MIN((_slice!C90-04_回帰ANOVA!$K$19*04_回帰ANOVA!$K$14*SQRT(1+_slice!C115))-01_因子設定!$B$14,01_因子設定!$B$15-(_slice!C90+04_回帰ANOVA!$K$19*04_回帰ANOVA!$K$14*SQRT(1+_slice!C115))))),"外")</f>
        <v>-3.97212405315776</v>
      </c>
      <c r="D49" s="50" t="n">
        <f aca="false">IF(AND(_slice!$H$5=1,D$41&gt;=_slice!$H$6-0.000000001,D$41&lt;=_slice!$I$6+0.000000001,$B49&gt;=_slice!$H$7-0.000000001,$B49&lt;=_slice!$I$7+0.000000001,IF(01_因子設定!$B$20="Box-Behnken",D$41^2+$B49^2+_slice!$H$8&lt;=2+0.000000001,TRUE())),IF(01_因子設定!$B$13="最大化",(_slice!D90-04_回帰ANOVA!$K$19*04_回帰ANOVA!$K$14*SQRT(1+_slice!D115))-01_因子設定!$B$14,IF(01_因子設定!$B$13="最小化",01_因子設定!$B$15-(_slice!D90+04_回帰ANOVA!$K$19*04_回帰ANOVA!$K$14*SQRT(1+_slice!D115)),MIN((_slice!D90-04_回帰ANOVA!$K$19*04_回帰ANOVA!$K$14*SQRT(1+_slice!D115))-01_因子設定!$B$14,01_因子設定!$B$15-(_slice!D90+04_回帰ANOVA!$K$19*04_回帰ANOVA!$K$14*SQRT(1+_slice!D115))))),"外")</f>
        <v>-3.19916672030244</v>
      </c>
      <c r="E49" s="50" t="n">
        <f aca="false">IF(AND(_slice!$H$5=1,E$41&gt;=_slice!$H$6-0.000000001,E$41&lt;=_slice!$I$6+0.000000001,$B49&gt;=_slice!$H$7-0.000000001,$B49&lt;=_slice!$I$7+0.000000001,IF(01_因子設定!$B$20="Box-Behnken",E$41^2+$B49^2+_slice!$H$8&lt;=2+0.000000001,TRUE())),IF(01_因子設定!$B$13="最大化",(_slice!E90-04_回帰ANOVA!$K$19*04_回帰ANOVA!$K$14*SQRT(1+_slice!E115))-01_因子設定!$B$14,IF(01_因子設定!$B$13="最小化",01_因子設定!$B$15-(_slice!E90+04_回帰ANOVA!$K$19*04_回帰ANOVA!$K$14*SQRT(1+_slice!E115)),MIN((_slice!E90-04_回帰ANOVA!$K$19*04_回帰ANOVA!$K$14*SQRT(1+_slice!E115))-01_因子設定!$B$14,01_因子設定!$B$15-(_slice!E90+04_回帰ANOVA!$K$19*04_回帰ANOVA!$K$14*SQRT(1+_slice!E115))))),"外")</f>
        <v>-2.49612325578268</v>
      </c>
      <c r="F49" s="50" t="n">
        <f aca="false">IF(AND(_slice!$H$5=1,F$41&gt;=_slice!$H$6-0.000000001,F$41&lt;=_slice!$I$6+0.000000001,$B49&gt;=_slice!$H$7-0.000000001,$B49&lt;=_slice!$I$7+0.000000001,IF(01_因子設定!$B$20="Box-Behnken",F$41^2+$B49^2+_slice!$H$8&lt;=2+0.000000001,TRUE())),IF(01_因子設定!$B$13="最大化",(_slice!F90-04_回帰ANOVA!$K$19*04_回帰ANOVA!$K$14*SQRT(1+_slice!F115))-01_因子設定!$B$14,IF(01_因子設定!$B$13="最小化",01_因子設定!$B$15-(_slice!F90+04_回帰ANOVA!$K$19*04_回帰ANOVA!$K$14*SQRT(1+_slice!F115)),MIN((_slice!F90-04_回帰ANOVA!$K$19*04_回帰ANOVA!$K$14*SQRT(1+_slice!F115))-01_因子設定!$B$14,01_因子設定!$B$15-(_slice!F90+04_回帰ANOVA!$K$19*04_回帰ANOVA!$K$14*SQRT(1+_slice!F115))))),"外")</f>
        <v>-1.85999524425277</v>
      </c>
      <c r="G49" s="50" t="n">
        <f aca="false">IF(AND(_slice!$H$5=1,G$41&gt;=_slice!$H$6-0.000000001,G$41&lt;=_slice!$I$6+0.000000001,$B49&gt;=_slice!$H$7-0.000000001,$B49&lt;=_slice!$I$7+0.000000001,IF(01_因子設定!$B$20="Box-Behnken",G$41^2+$B49^2+_slice!$H$8&lt;=2+0.000000001,TRUE())),IF(01_因子設定!$B$13="最大化",(_slice!G90-04_回帰ANOVA!$K$19*04_回帰ANOVA!$K$14*SQRT(1+_slice!G115))-01_因子設定!$B$14,IF(01_因子設定!$B$13="最小化",01_因子設定!$B$15-(_slice!G90+04_回帰ANOVA!$K$19*04_回帰ANOVA!$K$14*SQRT(1+_slice!G115)),MIN((_slice!G90-04_回帰ANOVA!$K$19*04_回帰ANOVA!$K$14*SQRT(1+_slice!G115))-01_因子設定!$B$14,01_因子設定!$B$15-(_slice!G90+04_回帰ANOVA!$K$19*04_回帰ANOVA!$K$14*SQRT(1+_slice!G115))))),"外")</f>
        <v>-1.28752179728286</v>
      </c>
      <c r="H49" s="50" t="n">
        <f aca="false">IF(AND(_slice!$H$5=1,H$41&gt;=_slice!$H$6-0.000000001,H$41&lt;=_slice!$I$6+0.000000001,$B49&gt;=_slice!$H$7-0.000000001,$B49&lt;=_slice!$I$7+0.000000001,IF(01_因子設定!$B$20="Box-Behnken",H$41^2+$B49^2+_slice!$H$8&lt;=2+0.000000001,TRUE())),IF(01_因子設定!$B$13="最大化",(_slice!H90-04_回帰ANOVA!$K$19*04_回帰ANOVA!$K$14*SQRT(1+_slice!H115))-01_因子設定!$B$14,IF(01_因子設定!$B$13="最小化",01_因子設定!$B$15-(_slice!H90+04_回帰ANOVA!$K$19*04_回帰ANOVA!$K$14*SQRT(1+_slice!H115)),MIN((_slice!H90-04_回帰ANOVA!$K$19*04_回帰ANOVA!$K$14*SQRT(1+_slice!H115))-01_因子設定!$B$14,01_因子設定!$B$15-(_slice!H90+04_回帰ANOVA!$K$19*04_回帰ANOVA!$K$14*SQRT(1+_slice!H115))))),"外")</f>
        <v>-0.775469444069579</v>
      </c>
      <c r="I49" s="50" t="n">
        <f aca="false">IF(AND(_slice!$H$5=1,I$41&gt;=_slice!$H$6-0.000000001,I$41&lt;=_slice!$I$6+0.000000001,$B49&gt;=_slice!$H$7-0.000000001,$B49&lt;=_slice!$I$7+0.000000001,IF(01_因子設定!$B$20="Box-Behnken",I$41^2+$B49^2+_slice!$H$8&lt;=2+0.000000001,TRUE())),IF(01_因子設定!$B$13="最大化",(_slice!I90-04_回帰ANOVA!$K$19*04_回帰ANOVA!$K$14*SQRT(1+_slice!I115))-01_因子設定!$B$14,IF(01_因子設定!$B$13="最小化",01_因子設定!$B$15-(_slice!I90+04_回帰ANOVA!$K$19*04_回帰ANOVA!$K$14*SQRT(1+_slice!I115)),MIN((_slice!I90-04_回帰ANOVA!$K$19*04_回帰ANOVA!$K$14*SQRT(1+_slice!I115))-01_因子設定!$B$14,01_因子設定!$B$15-(_slice!I90+04_回帰ANOVA!$K$19*04_回帰ANOVA!$K$14*SQRT(1+_slice!I115))))),"外")</f>
        <v>-0.320877086622041</v>
      </c>
      <c r="J49" s="50" t="n">
        <f aca="false">IF(AND(_slice!$H$5=1,J$41&gt;=_slice!$H$6-0.000000001,J$41&lt;=_slice!$I$6+0.000000001,$B49&gt;=_slice!$H$7-0.000000001,$B49&lt;=_slice!$I$7+0.000000001,IF(01_因子設定!$B$20="Box-Behnken",J$41^2+$B49^2+_slice!$H$8&lt;=2+0.000000001,TRUE())),IF(01_因子設定!$B$13="最大化",(_slice!J90-04_回帰ANOVA!$K$19*04_回帰ANOVA!$K$14*SQRT(1+_slice!J115))-01_因子設定!$B$14,IF(01_因子設定!$B$13="最小化",01_因子設定!$B$15-(_slice!J90+04_回帰ANOVA!$K$19*04_回帰ANOVA!$K$14*SQRT(1+_slice!J115)),MIN((_slice!J90-04_回帰ANOVA!$K$19*04_回帰ANOVA!$K$14*SQRT(1+_slice!J115))-01_因子設定!$B$14,01_因子設定!$B$15-(_slice!J90+04_回帰ANOVA!$K$19*04_回帰ANOVA!$K$14*SQRT(1+_slice!J115))))),"外")</f>
        <v>0.0787764711986654</v>
      </c>
      <c r="K49" s="50" t="n">
        <f aca="false">IF(AND(_slice!$H$5=1,K$41&gt;=_slice!$H$6-0.000000001,K$41&lt;=_slice!$I$6+0.000000001,$B49&gt;=_slice!$H$7-0.000000001,$B49&lt;=_slice!$I$7+0.000000001,IF(01_因子設定!$B$20="Box-Behnken",K$41^2+$B49^2+_slice!$H$8&lt;=2+0.000000001,TRUE())),IF(01_因子設定!$B$13="最大化",(_slice!K90-04_回帰ANOVA!$K$19*04_回帰ANOVA!$K$14*SQRT(1+_slice!K115))-01_因子設定!$B$14,IF(01_因子設定!$B$13="最小化",01_因子設定!$B$15-(_slice!K90+04_回帰ANOVA!$K$19*04_回帰ANOVA!$K$14*SQRT(1+_slice!K115)),MIN((_slice!K90-04_回帰ANOVA!$K$19*04_回帰ANOVA!$K$14*SQRT(1+_slice!K115))-01_因子設定!$B$14,01_因子設定!$B$15-(_slice!K90+04_回帰ANOVA!$K$19*04_回帰ANOVA!$K$14*SQRT(1+_slice!K115))))),"外")</f>
        <v>0.425481146292292</v>
      </c>
      <c r="L49" s="50" t="n">
        <f aca="false">IF(AND(_slice!$H$5=1,L$41&gt;=_slice!$H$6-0.000000001,L$41&lt;=_slice!$I$6+0.000000001,$B49&gt;=_slice!$H$7-0.000000001,$B49&lt;=_slice!$I$7+0.000000001,IF(01_因子設定!$B$20="Box-Behnken",L$41^2+$B49^2+_slice!$H$8&lt;=2+0.000000001,TRUE())),IF(01_因子設定!$B$13="最大化",(_slice!L90-04_回帰ANOVA!$K$19*04_回帰ANOVA!$K$14*SQRT(1+_slice!L115))-01_因子設定!$B$14,IF(01_因子設定!$B$13="最小化",01_因子設定!$B$15-(_slice!L90+04_回帰ANOVA!$K$19*04_回帰ANOVA!$K$14*SQRT(1+_slice!L115)),MIN((_slice!L90-04_回帰ANOVA!$K$19*04_回帰ANOVA!$K$14*SQRT(1+_slice!L115))-01_因子設定!$B$14,01_因子設定!$B$15-(_slice!L90+04_回帰ANOVA!$K$19*04_回帰ANOVA!$K$14*SQRT(1+_slice!L115))))),"外")</f>
        <v>0.72065964886076</v>
      </c>
      <c r="M49" s="50" t="n">
        <f aca="false">IF(AND(_slice!$H$5=1,M$41&gt;=_slice!$H$6-0.000000001,M$41&lt;=_slice!$I$6+0.000000001,$B49&gt;=_slice!$H$7-0.000000001,$B49&lt;=_slice!$I$7+0.000000001,IF(01_因子設定!$B$20="Box-Behnken",M$41^2+$B49^2+_slice!$H$8&lt;=2+0.000000001,TRUE())),IF(01_因子設定!$B$13="最大化",(_slice!M90-04_回帰ANOVA!$K$19*04_回帰ANOVA!$K$14*SQRT(1+_slice!M115))-01_因子設定!$B$14,IF(01_因子設定!$B$13="最小化",01_因子設定!$B$15-(_slice!M90+04_回帰ANOVA!$K$19*04_回帰ANOVA!$K$14*SQRT(1+_slice!M115)),MIN((_slice!M90-04_回帰ANOVA!$K$19*04_回帰ANOVA!$K$14*SQRT(1+_slice!M115))-01_因子設定!$B$14,01_因子設定!$B$15-(_slice!M90+04_回帰ANOVA!$K$19*04_回帰ANOVA!$K$14*SQRT(1+_slice!M115))))),"外")</f>
        <v>0.96516206386945</v>
      </c>
      <c r="N49" s="50" t="n">
        <f aca="false">IF(AND(_slice!$H$5=1,N$41&gt;=_slice!$H$6-0.000000001,N$41&lt;=_slice!$I$6+0.000000001,$B49&gt;=_slice!$H$7-0.000000001,$B49&lt;=_slice!$I$7+0.000000001,IF(01_因子設定!$B$20="Box-Behnken",N$41^2+$B49^2+_slice!$H$8&lt;=2+0.000000001,TRUE())),IF(01_因子設定!$B$13="最大化",(_slice!N90-04_回帰ANOVA!$K$19*04_回帰ANOVA!$K$14*SQRT(1+_slice!N115))-01_因子設定!$B$14,IF(01_因子設定!$B$13="最小化",01_因子設定!$B$15-(_slice!N90+04_回帰ANOVA!$K$19*04_回帰ANOVA!$K$14*SQRT(1+_slice!N115)),MIN((_slice!N90-04_回帰ANOVA!$K$19*04_回帰ANOVA!$K$14*SQRT(1+_slice!N115))-01_因子設定!$B$14,01_因子設定!$B$15-(_slice!N90+04_回帰ANOVA!$K$19*04_回帰ANOVA!$K$14*SQRT(1+_slice!N115))))),"外")</f>
        <v>1.15927075997188</v>
      </c>
      <c r="O49" s="50" t="n">
        <f aca="false">IF(AND(_slice!$H$5=1,O$41&gt;=_slice!$H$6-0.000000001,O$41&lt;=_slice!$I$6+0.000000001,$B49&gt;=_slice!$H$7-0.000000001,$B49&lt;=_slice!$I$7+0.000000001,IF(01_因子設定!$B$20="Box-Behnken",O$41^2+$B49^2+_slice!$H$8&lt;=2+0.000000001,TRUE())),IF(01_因子設定!$B$13="最大化",(_slice!O90-04_回帰ANOVA!$K$19*04_回帰ANOVA!$K$14*SQRT(1+_slice!O115))-01_因子設定!$B$14,IF(01_因子設定!$B$13="最小化",01_因子設定!$B$15-(_slice!O90+04_回帰ANOVA!$K$19*04_回帰ANOVA!$K$14*SQRT(1+_slice!O115)),MIN((_slice!O90-04_回帰ANOVA!$K$19*04_回帰ANOVA!$K$14*SQRT(1+_slice!O115))-01_因子設定!$B$14,01_因子設定!$B$15-(_slice!O90+04_回帰ANOVA!$K$19*04_回帰ANOVA!$K$14*SQRT(1+_slice!O115))))),"外")</f>
        <v>1.30270336851452</v>
      </c>
      <c r="P49" s="50" t="n">
        <f aca="false">IF(AND(_slice!$H$5=1,P$41&gt;=_slice!$H$6-0.000000001,P$41&lt;=_slice!$I$6+0.000000001,$B49&gt;=_slice!$H$7-0.000000001,$B49&lt;=_slice!$I$7+0.000000001,IF(01_因子設定!$B$20="Box-Behnken",P$41^2+$B49^2+_slice!$H$8&lt;=2+0.000000001,TRUE())),IF(01_因子設定!$B$13="最大化",(_slice!P90-04_回帰ANOVA!$K$19*04_回帰ANOVA!$K$14*SQRT(1+_slice!P115))-01_因子設定!$B$14,IF(01_因子設定!$B$13="最小化",01_因子設定!$B$15-(_slice!P90+04_回帰ANOVA!$K$19*04_回帰ANOVA!$K$14*SQRT(1+_slice!P115)),MIN((_slice!P90-04_回帰ANOVA!$K$19*04_回帰ANOVA!$K$14*SQRT(1+_slice!P115))-01_因子設定!$B$14,01_因子設定!$B$15-(_slice!P90+04_回帰ANOVA!$K$19*04_回帰ANOVA!$K$14*SQRT(1+_slice!P115))))),"外")</f>
        <v>1.394609804532</v>
      </c>
      <c r="Q49" s="50" t="n">
        <f aca="false">IF(AND(_slice!$H$5=1,Q$41&gt;=_slice!$H$6-0.000000001,Q$41&lt;=_slice!$I$6+0.000000001,$B49&gt;=_slice!$H$7-0.000000001,$B49&lt;=_slice!$I$7+0.000000001,IF(01_因子設定!$B$20="Box-Behnken",Q$41^2+$B49^2+_slice!$H$8&lt;=2+0.000000001,TRUE())),IF(01_因子設定!$B$13="最大化",(_slice!Q90-04_回帰ANOVA!$K$19*04_回帰ANOVA!$K$14*SQRT(1+_slice!Q115))-01_因子設定!$B$14,IF(01_因子設定!$B$13="最小化",01_因子設定!$B$15-(_slice!Q90+04_回帰ANOVA!$K$19*04_回帰ANOVA!$K$14*SQRT(1+_slice!Q115)),MIN((_slice!Q90-04_回帰ANOVA!$K$19*04_回帰ANOVA!$K$14*SQRT(1+_slice!Q115))-01_因子設定!$B$14,01_因子設定!$B$15-(_slice!Q90+04_回帰ANOVA!$K$19*04_回帰ANOVA!$K$14*SQRT(1+_slice!Q115))))),"外")</f>
        <v>1.4335673578224</v>
      </c>
      <c r="R49" s="50" t="n">
        <f aca="false">IF(AND(_slice!$H$5=1,R$41&gt;=_slice!$H$6-0.000000001,R$41&lt;=_slice!$I$6+0.000000001,$B49&gt;=_slice!$H$7-0.000000001,$B49&lt;=_slice!$I$7+0.000000001,IF(01_因子設定!$B$20="Box-Behnken",R$41^2+$B49^2+_slice!$H$8&lt;=2+0.000000001,TRUE())),IF(01_因子設定!$B$13="最大化",(_slice!R90-04_回帰ANOVA!$K$19*04_回帰ANOVA!$K$14*SQRT(1+_slice!R115))-01_因子設定!$B$14,IF(01_因子設定!$B$13="最小化",01_因子設定!$B$15-(_slice!R90+04_回帰ANOVA!$K$19*04_回帰ANOVA!$K$14*SQRT(1+_slice!R115)),MIN((_slice!R90-04_回帰ANOVA!$K$19*04_回帰ANOVA!$K$14*SQRT(1+_slice!R115))-01_因子設定!$B$14,01_因子設定!$B$15-(_slice!R90+04_回帰ANOVA!$K$19*04_回帰ANOVA!$K$14*SQRT(1+_slice!R115))))),"外")</f>
        <v>1.41758611148598</v>
      </c>
      <c r="S49" s="50" t="n">
        <f aca="false">IF(AND(_slice!$H$5=1,S$41&gt;=_slice!$H$6-0.000000001,S$41&lt;=_slice!$I$6+0.000000001,$B49&gt;=_slice!$H$7-0.000000001,$B49&lt;=_slice!$I$7+0.000000001,IF(01_因子設定!$B$20="Box-Behnken",S$41^2+$B49^2+_slice!$H$8&lt;=2+0.000000001,TRUE())),IF(01_因子設定!$B$13="最大化",(_slice!S90-04_回帰ANOVA!$K$19*04_回帰ANOVA!$K$14*SQRT(1+_slice!S115))-01_因子設定!$B$14,IF(01_因子設定!$B$13="最小化",01_因子設定!$B$15-(_slice!S90+04_回帰ANOVA!$K$19*04_回帰ANOVA!$K$14*SQRT(1+_slice!S115)),MIN((_slice!S90-04_回帰ANOVA!$K$19*04_回帰ANOVA!$K$14*SQRT(1+_slice!S115))-01_因子設定!$B$14,01_因子設定!$B$15-(_slice!S90+04_回帰ANOVA!$K$19*04_回帰ANOVA!$K$14*SQRT(1+_slice!S115))))),"外")</f>
        <v>1.34414486938382</v>
      </c>
      <c r="T49" s="50" t="n">
        <f aca="false">IF(AND(_slice!$H$5=1,T$41&gt;=_slice!$H$6-0.000000001,T$41&lt;=_slice!$I$6+0.000000001,$B49&gt;=_slice!$H$7-0.000000001,$B49&lt;=_slice!$I$7+0.000000001,IF(01_因子設定!$B$20="Box-Behnken",T$41^2+$B49^2+_slice!$H$8&lt;=2+0.000000001,TRUE())),IF(01_因子設定!$B$13="最大化",(_slice!T90-04_回帰ANOVA!$K$19*04_回帰ANOVA!$K$14*SQRT(1+_slice!T115))-01_因子設定!$B$14,IF(01_因子設定!$B$13="最小化",01_因子設定!$B$15-(_slice!T90+04_回帰ANOVA!$K$19*04_回帰ANOVA!$K$14*SQRT(1+_slice!T115)),MIN((_slice!T90-04_回帰ANOVA!$K$19*04_回帰ANOVA!$K$14*SQRT(1+_slice!T115))-01_因子設定!$B$14,01_因子設定!$B$15-(_slice!T90+04_回帰ANOVA!$K$19*04_回帰ANOVA!$K$14*SQRT(1+_slice!T115))))),"外")</f>
        <v>1.210282533525</v>
      </c>
      <c r="U49" s="50" t="n">
        <f aca="false">IF(AND(_slice!$H$5=1,U$41&gt;=_slice!$H$6-0.000000001,U$41&lt;=_slice!$I$6+0.000000001,$B49&gt;=_slice!$H$7-0.000000001,$B49&lt;=_slice!$I$7+0.000000001,IF(01_因子設定!$B$20="Box-Behnken",U$41^2+$B49^2+_slice!$H$8&lt;=2+0.000000001,TRUE())),IF(01_因子設定!$B$13="最大化",(_slice!U90-04_回帰ANOVA!$K$19*04_回帰ANOVA!$K$14*SQRT(1+_slice!U115))-01_因子設定!$B$14,IF(01_因子設定!$B$13="最小化",01_因子設定!$B$15-(_slice!U90+04_回帰ANOVA!$K$19*04_回帰ANOVA!$K$14*SQRT(1+_slice!U115)),MIN((_slice!U90-04_回帰ANOVA!$K$19*04_回帰ANOVA!$K$14*SQRT(1+_slice!U115))-01_因子設定!$B$14,01_因子設定!$B$15-(_slice!U90+04_回帰ANOVA!$K$19*04_回帰ANOVA!$K$14*SQRT(1+_slice!U115))))),"外")</f>
        <v>1.01276563310621</v>
      </c>
      <c r="V49" s="50" t="n">
        <f aca="false">IF(AND(_slice!$H$5=1,V$41&gt;=_slice!$H$6-0.000000001,V$41&lt;=_slice!$I$6+0.000000001,$B49&gt;=_slice!$H$7-0.000000001,$B49&lt;=_slice!$I$7+0.000000001,IF(01_因子設定!$B$20="Box-Behnken",V$41^2+$B49^2+_slice!$H$8&lt;=2+0.000000001,TRUE())),IF(01_因子設定!$B$13="最大化",(_slice!V90-04_回帰ANOVA!$K$19*04_回帰ANOVA!$K$14*SQRT(1+_slice!V115))-01_因子設定!$B$14,IF(01_因子設定!$B$13="最小化",01_因子設定!$B$15-(_slice!V90+04_回帰ANOVA!$K$19*04_回帰ANOVA!$K$14*SQRT(1+_slice!V115)),MIN((_slice!V90-04_回帰ANOVA!$K$19*04_回帰ANOVA!$K$14*SQRT(1+_slice!V115))-01_因子設定!$B$14,01_因子設定!$B$15-(_slice!V90+04_回帰ANOVA!$K$19*04_回帰ANOVA!$K$14*SQRT(1+_slice!V115))))),"外")</f>
        <v>0.748333279697569</v>
      </c>
      <c r="W49" s="50" t="n">
        <f aca="false">IF(AND(_slice!$H$5=1,W$41&gt;=_slice!$H$6-0.000000001,W$41&lt;=_slice!$I$6+0.000000001,$B49&gt;=_slice!$H$7-0.000000001,$B49&lt;=_slice!$I$7+0.000000001,IF(01_因子設定!$B$20="Box-Behnken",W$41^2+$B49^2+_slice!$H$8&lt;=2+0.000000001,TRUE())),IF(01_因子設定!$B$13="最大化",(_slice!W90-04_回帰ANOVA!$K$19*04_回帰ANOVA!$K$14*SQRT(1+_slice!W115))-01_因子設定!$B$14,IF(01_因子設定!$B$13="最小化",01_因子設定!$B$15-(_slice!W90+04_回帰ANOVA!$K$19*04_回帰ANOVA!$K$14*SQRT(1+_slice!W115)),MIN((_slice!W90-04_回帰ANOVA!$K$19*04_回帰ANOVA!$K$14*SQRT(1+_slice!W115))-01_因子設定!$B$14,01_因子設定!$B$15-(_slice!W90+04_回帰ANOVA!$K$19*04_回帰ANOVA!$K$14*SQRT(1+_slice!W115))))),"外")</f>
        <v>0.413987057953364</v>
      </c>
    </row>
    <row r="50" customFormat="false" ht="15" hidden="false" customHeight="false" outlineLevel="0" collapsed="false">
      <c r="A50" s="49" t="n">
        <f aca="false">INDEX(01_因子設定!$G$5:$G$8,$C$5)+B50*INDEX(01_因子設定!$H$5:$H$8,$C$5)</f>
        <v>33</v>
      </c>
      <c r="B50" s="49" t="n">
        <v>0.3</v>
      </c>
      <c r="C50" s="50" t="n">
        <f aca="false">IF(AND(_slice!$H$5=1,C$41&gt;=_slice!$H$6-0.000000001,C$41&lt;=_slice!$I$6+0.000000001,$B50&gt;=_slice!$H$7-0.000000001,$B50&lt;=_slice!$I$7+0.000000001,IF(01_因子設定!$B$20="Box-Behnken",C$41^2+$B50^2+_slice!$H$8&lt;=2+0.000000001,TRUE())),IF(01_因子設定!$B$13="最大化",(_slice!C91-04_回帰ANOVA!$K$19*04_回帰ANOVA!$K$14*SQRT(1+_slice!C116))-01_因子設定!$B$14,IF(01_因子設定!$B$13="最小化",01_因子設定!$B$15-(_slice!C91+04_回帰ANOVA!$K$19*04_回帰ANOVA!$K$14*SQRT(1+_slice!C116)),MIN((_slice!C91-04_回帰ANOVA!$K$19*04_回帰ANOVA!$K$14*SQRT(1+_slice!C116))-01_因子設定!$B$14,01_因子設定!$B$15-(_slice!C91+04_回帰ANOVA!$K$19*04_回帰ANOVA!$K$14*SQRT(1+_slice!C116))))),"外")</f>
        <v>-3.89900312802874</v>
      </c>
      <c r="D50" s="50" t="n">
        <f aca="false">IF(AND(_slice!$H$5=1,D$41&gt;=_slice!$H$6-0.000000001,D$41&lt;=_slice!$I$6+0.000000001,$B50&gt;=_slice!$H$7-0.000000001,$B50&lt;=_slice!$I$7+0.000000001,IF(01_因子設定!$B$20="Box-Behnken",D$41^2+$B50^2+_slice!$H$8&lt;=2+0.000000001,TRUE())),IF(01_因子設定!$B$13="最大化",(_slice!D91-04_回帰ANOVA!$K$19*04_回帰ANOVA!$K$14*SQRT(1+_slice!D116))-01_因子設定!$B$14,IF(01_因子設定!$B$13="最小化",01_因子設定!$B$15-(_slice!D91+04_回帰ANOVA!$K$19*04_回帰ANOVA!$K$14*SQRT(1+_slice!D116)),MIN((_slice!D91-04_回帰ANOVA!$K$19*04_回帰ANOVA!$K$14*SQRT(1+_slice!D116))-01_因子設定!$B$14,01_因子設定!$B$15-(_slice!D91+04_回帰ANOVA!$K$19*04_回帰ANOVA!$K$14*SQRT(1+_slice!D116))))),"外")</f>
        <v>-3.13628248009599</v>
      </c>
      <c r="E50" s="50" t="n">
        <f aca="false">IF(AND(_slice!$H$5=1,E$41&gt;=_slice!$H$6-0.000000001,E$41&lt;=_slice!$I$6+0.000000001,$B50&gt;=_slice!$H$7-0.000000001,$B50&lt;=_slice!$I$7+0.000000001,IF(01_因子設定!$B$20="Box-Behnken",E$41^2+$B50^2+_slice!$H$8&lt;=2+0.000000001,TRUE())),IF(01_因子設定!$B$13="最大化",(_slice!E91-04_回帰ANOVA!$K$19*04_回帰ANOVA!$K$14*SQRT(1+_slice!E116))-01_因子設定!$B$14,IF(01_因子設定!$B$13="最小化",01_因子設定!$B$15-(_slice!E91+04_回帰ANOVA!$K$19*04_回帰ANOVA!$K$14*SQRT(1+_slice!E116)),MIN((_slice!E91-04_回帰ANOVA!$K$19*04_回帰ANOVA!$K$14*SQRT(1+_slice!E116))-01_因子設定!$B$14,01_因子設定!$B$15-(_slice!E91+04_回帰ANOVA!$K$19*04_回帰ANOVA!$K$14*SQRT(1+_slice!E116))))),"外")</f>
        <v>-2.44347641103388</v>
      </c>
      <c r="F50" s="50" t="n">
        <f aca="false">IF(AND(_slice!$H$5=1,F$41&gt;=_slice!$H$6-0.000000001,F$41&lt;=_slice!$I$6+0.000000001,$B50&gt;=_slice!$H$7-0.000000001,$B50&lt;=_slice!$I$7+0.000000001,IF(01_因子設定!$B$20="Box-Behnken",F$41^2+$B50^2+_slice!$H$8&lt;=2+0.000000001,TRUE())),IF(01_因子設定!$B$13="最大化",(_slice!F91-04_回帰ANOVA!$K$19*04_回帰ANOVA!$K$14*SQRT(1+_slice!F116))-01_因子設定!$B$14,IF(01_因子設定!$B$13="最小化",01_因子設定!$B$15-(_slice!F91+04_回帰ANOVA!$K$19*04_回帰ANOVA!$K$14*SQRT(1+_slice!F116)),MIN((_slice!F91-04_回帰ANOVA!$K$19*04_回帰ANOVA!$K$14*SQRT(1+_slice!F116))-01_因子設定!$B$14,01_因子設定!$B$15-(_slice!F91+04_回帰ANOVA!$K$19*04_回帰ANOVA!$K$14*SQRT(1+_slice!F116))))),"外")</f>
        <v>-1.81763145051357</v>
      </c>
      <c r="G50" s="50" t="n">
        <f aca="false">IF(AND(_slice!$H$5=1,G$41&gt;=_slice!$H$6-0.000000001,G$41&lt;=_slice!$I$6+0.000000001,$B50&gt;=_slice!$H$7-0.000000001,$B50&lt;=_slice!$I$7+0.000000001,IF(01_因子設定!$B$20="Box-Behnken",G$41^2+$B50^2+_slice!$H$8&lt;=2+0.000000001,TRUE())),IF(01_因子設定!$B$13="最大化",(_slice!G91-04_回帰ANOVA!$K$19*04_回帰ANOVA!$K$14*SQRT(1+_slice!G116))-01_因子設定!$B$14,IF(01_因子設定!$B$13="最小化",01_因子設定!$B$15-(_slice!G91+04_回帰ANOVA!$K$19*04_回帰ANOVA!$K$14*SQRT(1+_slice!G116)),MIN((_slice!G91-04_回帰ANOVA!$K$19*04_回帰ANOVA!$K$14*SQRT(1+_slice!G116))-01_因子設定!$B$14,01_因子設定!$B$15-(_slice!G91+04_回帰ANOVA!$K$19*04_回帰ANOVA!$K$14*SQRT(1+_slice!G116))))),"外")</f>
        <v>-1.2555255938521</v>
      </c>
      <c r="H50" s="50" t="n">
        <f aca="false">IF(AND(_slice!$H$5=1,H$41&gt;=_slice!$H$6-0.000000001,H$41&lt;=_slice!$I$6+0.000000001,$B50&gt;=_slice!$H$7-0.000000001,$B50&lt;=_slice!$I$7+0.000000001,IF(01_因子設定!$B$20="Box-Behnken",H$41^2+$B50^2+_slice!$H$8&lt;=2+0.000000001,TRUE())),IF(01_因子設定!$B$13="最大化",(_slice!H91-04_回帰ANOVA!$K$19*04_回帰ANOVA!$K$14*SQRT(1+_slice!H116))-01_因子設定!$B$14,IF(01_因子設定!$B$13="最小化",01_因子設定!$B$15-(_slice!H91+04_回帰ANOVA!$K$19*04_回帰ANOVA!$K$14*SQRT(1+_slice!H116)),MIN((_slice!H91-04_回帰ANOVA!$K$19*04_回帰ANOVA!$K$14*SQRT(1+_slice!H116))-01_因子設定!$B$14,01_因子設定!$B$15-(_slice!H91+04_回帰ANOVA!$K$19*04_回帰ANOVA!$K$14*SQRT(1+_slice!H116))))),"外")</f>
        <v>-0.75395404600043</v>
      </c>
      <c r="I50" s="50" t="n">
        <f aca="false">IF(AND(_slice!$H$5=1,I$41&gt;=_slice!$H$6-0.000000001,I$41&lt;=_slice!$I$6+0.000000001,$B50&gt;=_slice!$H$7-0.000000001,$B50&lt;=_slice!$I$7+0.000000001,IF(01_因子設定!$B$20="Box-Behnken",I$41^2+$B50^2+_slice!$H$8&lt;=2+0.000000001,TRUE())),IF(01_因子設定!$B$13="最大化",(_slice!I91-04_回帰ANOVA!$K$19*04_回帰ANOVA!$K$14*SQRT(1+_slice!I116))-01_因子設定!$B$14,IF(01_因子設定!$B$13="最小化",01_因子設定!$B$15-(_slice!I91+04_回帰ANOVA!$K$19*04_回帰ANOVA!$K$14*SQRT(1+_slice!I116)),MIN((_slice!I91-04_回帰ANOVA!$K$19*04_回帰ANOVA!$K$14*SQRT(1+_slice!I116))-01_因子設定!$B$14,01_因子設定!$B$15-(_slice!I91+04_回帰ANOVA!$K$19*04_回帰ANOVA!$K$14*SQRT(1+_slice!I116))))),"外")</f>
        <v>-0.309973528801329</v>
      </c>
      <c r="J50" s="50" t="n">
        <f aca="false">IF(AND(_slice!$H$5=1,J$41&gt;=_slice!$H$6-0.000000001,J$41&lt;=_slice!$I$6+0.000000001,$B50&gt;=_slice!$H$7-0.000000001,$B50&lt;=_slice!$I$7+0.000000001,IF(01_因子設定!$B$20="Box-Behnken",J$41^2+$B50^2+_slice!$H$8&lt;=2+0.000000001,TRUE())),IF(01_因子設定!$B$13="最大化",(_slice!J91-04_回帰ANOVA!$K$19*04_回帰ANOVA!$K$14*SQRT(1+_slice!J116))-01_因子設定!$B$14,IF(01_因子設定!$B$13="最小化",01_因子設定!$B$15-(_slice!J91+04_回帰ANOVA!$K$19*04_回帰ANOVA!$K$14*SQRT(1+_slice!J116)),MIN((_slice!J91-04_回帰ANOVA!$K$19*04_回帰ANOVA!$K$14*SQRT(1+_slice!J116))-01_因子設定!$B$14,01_因子設定!$B$15-(_slice!J91+04_回帰ANOVA!$K$19*04_回帰ANOVA!$K$14*SQRT(1+_slice!J116))))),"外")</f>
        <v>0.0789282680681396</v>
      </c>
      <c r="K50" s="50" t="n">
        <f aca="false">IF(AND(_slice!$H$5=1,K$41&gt;=_slice!$H$6-0.000000001,K$41&lt;=_slice!$I$6+0.000000001,$B50&gt;=_slice!$H$7-0.000000001,$B50&lt;=_slice!$I$7+0.000000001,IF(01_因子設定!$B$20="Box-Behnken",K$41^2+$B50^2+_slice!$H$8&lt;=2+0.000000001,TRUE())),IF(01_因子設定!$B$13="最大化",(_slice!K91-04_回帰ANOVA!$K$19*04_回帰ANOVA!$K$14*SQRT(1+_slice!K116))-01_因子設定!$B$14,IF(01_因子設定!$B$13="最小化",01_因子設定!$B$15-(_slice!K91+04_回帰ANOVA!$K$19*04_回帰ANOVA!$K$14*SQRT(1+_slice!K116)),MIN((_slice!K91-04_回帰ANOVA!$K$19*04_回帰ANOVA!$K$14*SQRT(1+_slice!K116))-01_因子設定!$B$14,01_因子設定!$B$15-(_slice!K91+04_回帰ANOVA!$K$19*04_回帰ANOVA!$K$14*SQRT(1+_slice!K116))))),"外")</f>
        <v>0.414738309758846</v>
      </c>
      <c r="L50" s="50" t="n">
        <f aca="false">IF(AND(_slice!$H$5=1,L$41&gt;=_slice!$H$6-0.000000001,L$41&lt;=_slice!$I$6+0.000000001,$B50&gt;=_slice!$H$7-0.000000001,$B50&lt;=_slice!$I$7+0.000000001,IF(01_因子設定!$B$20="Box-Behnken",L$41^2+$B50^2+_slice!$H$8&lt;=2+0.000000001,TRUE())),IF(01_因子設定!$B$13="最大化",(_slice!L91-04_回帰ANOVA!$K$19*04_回帰ANOVA!$K$14*SQRT(1+_slice!L116))-01_因子設定!$B$14,IF(01_因子設定!$B$13="最小化",01_因子設定!$B$15-(_slice!L91+04_回帰ANOVA!$K$19*04_回帰ANOVA!$K$14*SQRT(1+_slice!L116)),MIN((_slice!L91-04_回帰ANOVA!$K$19*04_回帰ANOVA!$K$14*SQRT(1+_slice!L116))-01_因子設定!$B$14,01_因子設定!$B$15-(_slice!L91+04_回帰ANOVA!$K$19*04_回帰ANOVA!$K$14*SQRT(1+_slice!L116))))),"外")</f>
        <v>0.698879389031013</v>
      </c>
      <c r="M50" s="50" t="n">
        <f aca="false">IF(AND(_slice!$H$5=1,M$41&gt;=_slice!$H$6-0.000000001,M$41&lt;=_slice!$I$6+0.000000001,$B50&gt;=_slice!$H$7-0.000000001,$B50&lt;=_slice!$I$7+0.000000001,IF(01_因子設定!$B$20="Box-Behnken",M$41^2+$B50^2+_slice!$H$8&lt;=2+0.000000001,TRUE())),IF(01_因子設定!$B$13="最大化",(_slice!M91-04_回帰ANOVA!$K$19*04_回帰ANOVA!$K$14*SQRT(1+_slice!M116))-01_因子設定!$B$14,IF(01_因子設定!$B$13="最小化",01_因子設定!$B$15-(_slice!M91+04_回帰ANOVA!$K$19*04_回帰ANOVA!$K$14*SQRT(1+_slice!M116)),MIN((_slice!M91-04_回帰ANOVA!$K$19*04_回帰ANOVA!$K$14*SQRT(1+_slice!M116))-01_因子設定!$B$14,01_因子設定!$B$15-(_slice!M91+04_回帰ANOVA!$K$19*04_回帰ANOVA!$K$14*SQRT(1+_slice!M116))))),"外")</f>
        <v>0.932202512717893</v>
      </c>
      <c r="N50" s="50" t="n">
        <f aca="false">IF(AND(_slice!$H$5=1,N$41&gt;=_slice!$H$6-0.000000001,N$41&lt;=_slice!$I$6+0.000000001,$B50&gt;=_slice!$H$7-0.000000001,$B50&lt;=_slice!$I$7+0.000000001,IF(01_因子設定!$B$20="Box-Behnken",N$41^2+$B50^2+_slice!$H$8&lt;=2+0.000000001,TRUE())),IF(01_因子設定!$B$13="最大化",(_slice!N91-04_回帰ANOVA!$K$19*04_回帰ANOVA!$K$14*SQRT(1+_slice!N116))-01_因子設定!$B$14,IF(01_因子設定!$B$13="最小化",01_因子設定!$B$15-(_slice!N91+04_回帰ANOVA!$K$19*04_回帰ANOVA!$K$14*SQRT(1+_slice!N116)),MIN((_slice!N91-04_回帰ANOVA!$K$19*04_回帰ANOVA!$K$14*SQRT(1+_slice!N116))-01_因子設定!$B$14,01_因子設定!$B$15-(_slice!N91+04_回帰ANOVA!$K$19*04_回帰ANOVA!$K$14*SQRT(1+_slice!N116))))),"外")</f>
        <v>1.11499050014212</v>
      </c>
      <c r="O50" s="50" t="n">
        <f aca="false">IF(AND(_slice!$H$5=1,O$41&gt;=_slice!$H$6-0.000000001,O$41&lt;=_slice!$I$6+0.000000001,$B50&gt;=_slice!$H$7-0.000000001,$B50&lt;=_slice!$I$7+0.000000001,IF(01_因子設定!$B$20="Box-Behnken",O$41^2+$B50^2+_slice!$H$8&lt;=2+0.000000001,TRUE())),IF(01_因子設定!$B$13="最大化",(_slice!O91-04_回帰ANOVA!$K$19*04_回帰ANOVA!$K$14*SQRT(1+_slice!O116))-01_因子設定!$B$14,IF(01_因子設定!$B$13="最小化",01_因子設定!$B$15-(_slice!O91+04_回帰ANOVA!$K$19*04_回帰ANOVA!$K$14*SQRT(1+_slice!O116)),MIN((_slice!O91-04_回帰ANOVA!$K$19*04_回帰ANOVA!$K$14*SQRT(1+_slice!O116))-01_因子設定!$B$14,01_因子設定!$B$15-(_slice!O91+04_回帰ANOVA!$K$19*04_回帰ANOVA!$K$14*SQRT(1+_slice!O116))))),"外")</f>
        <v>1.24696053198107</v>
      </c>
      <c r="P50" s="50" t="n">
        <f aca="false">IF(AND(_slice!$H$5=1,P$41&gt;=_slice!$H$6-0.000000001,P$41&lt;=_slice!$I$6+0.000000001,$B50&gt;=_slice!$H$7-0.000000001,$B50&lt;=_slice!$I$7+0.000000001,IF(01_因子設定!$B$20="Box-Behnken",P$41^2+$B50^2+_slice!$H$8&lt;=2+0.000000001,TRUE())),IF(01_因子設定!$B$13="最大化",(_slice!P91-04_回帰ANOVA!$K$19*04_回帰ANOVA!$K$14*SQRT(1+_slice!P116))-01_因子設定!$B$14,IF(01_因子設定!$B$13="最小化",01_因子設定!$B$15-(_slice!P91+04_回帰ANOVA!$K$19*04_回帰ANOVA!$K$14*SQRT(1+_slice!P116)),MIN((_slice!P91-04_回帰ANOVA!$K$19*04_回帰ANOVA!$K$14*SQRT(1+_slice!P116))-01_因子設定!$B$14,01_因子設定!$B$15-(_slice!P91+04_回帰ANOVA!$K$19*04_回帰ANOVA!$K$14*SQRT(1+_slice!P116))))),"外")</f>
        <v>1.32726160140147</v>
      </c>
      <c r="Q50" s="50" t="n">
        <f aca="false">IF(AND(_slice!$H$5=1,Q$41&gt;=_slice!$H$6-0.000000001,Q$41&lt;=_slice!$I$6+0.000000001,$B50&gt;=_slice!$H$7-0.000000001,$B50&lt;=_slice!$I$7+0.000000001,IF(01_因子設定!$B$20="Box-Behnken",Q$41^2+$B50^2+_slice!$H$8&lt;=2+0.000000001,TRUE())),IF(01_因子設定!$B$13="最大化",(_slice!Q91-04_回帰ANOVA!$K$19*04_回帰ANOVA!$K$14*SQRT(1+_slice!Q116))-01_因子設定!$B$14,IF(01_因子設定!$B$13="最小化",01_因子設定!$B$15-(_slice!Q91+04_回帰ANOVA!$K$19*04_回帰ANOVA!$K$14*SQRT(1+_slice!Q116)),MIN((_slice!Q91-04_回帰ANOVA!$K$19*04_回帰ANOVA!$K$14*SQRT(1+_slice!Q116))-01_因子設定!$B$14,01_因子設定!$B$15-(_slice!Q91+04_回帰ANOVA!$K$19*04_回帰ANOVA!$K$14*SQRT(1+_slice!Q116))))),"外")</f>
        <v>1.35447091564311</v>
      </c>
      <c r="R50" s="50" t="n">
        <f aca="false">IF(AND(_slice!$H$5=1,R$41&gt;=_slice!$H$6-0.000000001,R$41&lt;=_slice!$I$6+0.000000001,$B50&gt;=_slice!$H$7-0.000000001,$B50&lt;=_slice!$I$7+0.000000001,IF(01_因子設定!$B$20="Box-Behnken",R$41^2+$B50^2+_slice!$H$8&lt;=2+0.000000001,TRUE())),IF(01_因子設定!$B$13="最大化",(_slice!R91-04_回帰ANOVA!$K$19*04_回帰ANOVA!$K$14*SQRT(1+_slice!R116))-01_因子設定!$B$14,IF(01_因子設定!$B$13="最小化",01_因子設定!$B$15-(_slice!R91+04_回帰ANOVA!$K$19*04_回帰ANOVA!$K$14*SQRT(1+_slice!R116)),MIN((_slice!R91-04_回帰ANOVA!$K$19*04_回帰ANOVA!$K$14*SQRT(1+_slice!R116))-01_因子設定!$B$14,01_因子設定!$B$15-(_slice!R91+04_回帰ANOVA!$K$19*04_回帰ANOVA!$K$14*SQRT(1+_slice!R116))))),"外")</f>
        <v>1.32660150955513</v>
      </c>
      <c r="S50" s="50" t="n">
        <f aca="false">IF(AND(_slice!$H$5=1,S$41&gt;=_slice!$H$6-0.000000001,S$41&lt;=_slice!$I$6+0.000000001,$B50&gt;=_slice!$H$7-0.000000001,$B50&lt;=_slice!$I$7+0.000000001,IF(01_因子設定!$B$20="Box-Behnken",S$41^2+$B50^2+_slice!$H$8&lt;=2+0.000000001,TRUE())),IF(01_因子設定!$B$13="最大化",(_slice!S91-04_回帰ANOVA!$K$19*04_回帰ANOVA!$K$14*SQRT(1+_slice!S116))-01_因子設定!$B$14,IF(01_因子設定!$B$13="最小化",01_因子設定!$B$15-(_slice!S91+04_回帰ANOVA!$K$19*04_回帰ANOVA!$K$14*SQRT(1+_slice!S116)),MIN((_slice!S91-04_回帰ANOVA!$K$19*04_回帰ANOVA!$K$14*SQRT(1+_slice!S116))-01_因子設定!$B$14,01_因子設定!$B$15-(_slice!S91+04_回帰ANOVA!$K$19*04_回帰ANOVA!$K$14*SQRT(1+_slice!S116))))),"外")</f>
        <v>1.24114107281457</v>
      </c>
      <c r="T50" s="50" t="n">
        <f aca="false">IF(AND(_slice!$H$5=1,T$41&gt;=_slice!$H$6-0.000000001,T$41&lt;=_slice!$I$6+0.000000001,$B50&gt;=_slice!$H$7-0.000000001,$B50&lt;=_slice!$I$7+0.000000001,IF(01_因子設定!$B$20="Box-Behnken",T$41^2+$B50^2+_slice!$H$8&lt;=2+0.000000001,TRUE())),IF(01_因子設定!$B$13="最大化",(_slice!T91-04_回帰ANOVA!$K$19*04_回帰ANOVA!$K$14*SQRT(1+_slice!T116))-01_因子設定!$B$14,IF(01_因子設定!$B$13="最小化",01_因子設定!$B$15-(_slice!T91+04_回帰ANOVA!$K$19*04_回帰ANOVA!$K$14*SQRT(1+_slice!T116)),MIN((_slice!T91-04_回帰ANOVA!$K$19*04_回帰ANOVA!$K$14*SQRT(1+_slice!T116))-01_因子設定!$B$14,01_因子設定!$B$15-(_slice!T91+04_回帰ANOVA!$K$19*04_回帰ANOVA!$K$14*SQRT(1+_slice!T116))))),"外")</f>
        <v>1.09514632726421</v>
      </c>
      <c r="U50" s="50" t="n">
        <f aca="false">IF(AND(_slice!$H$5=1,U$41&gt;=_slice!$H$6-0.000000001,U$41&lt;=_slice!$I$6+0.000000001,$B50&gt;=_slice!$H$7-0.000000001,$B50&lt;=_slice!$I$7+0.000000001,IF(01_因子設定!$B$20="Box-Behnken",U$41^2+$B50^2+_slice!$H$8&lt;=2+0.000000001,TRUE())),IF(01_因子設定!$B$13="最大化",(_slice!U91-04_回帰ANOVA!$K$19*04_回帰ANOVA!$K$14*SQRT(1+_slice!U116))-01_因子設定!$B$14,IF(01_因子設定!$B$13="最小化",01_因子設定!$B$15-(_slice!U91+04_回帰ANOVA!$K$19*04_回帰ANOVA!$K$14*SQRT(1+_slice!U116)),MIN((_slice!U91-04_回帰ANOVA!$K$19*04_回帰ANOVA!$K$14*SQRT(1+_slice!U116))-01_因子設定!$B$14,01_因子設定!$B$15-(_slice!U91+04_回帰ANOVA!$K$19*04_回帰ANOVA!$K$14*SQRT(1+_slice!U116))))),"外")</f>
        <v>0.88541247785502</v>
      </c>
      <c r="V50" s="50" t="n">
        <f aca="false">IF(AND(_slice!$H$5=1,V$41&gt;=_slice!$H$6-0.000000001,V$41&lt;=_slice!$I$6+0.000000001,$B50&gt;=_slice!$H$7-0.000000001,$B50&lt;=_slice!$I$7+0.000000001,IF(01_因子設定!$B$20="Box-Behnken",V$41^2+$B50^2+_slice!$H$8&lt;=2+0.000000001,TRUE())),IF(01_因子設定!$B$13="最大化",(_slice!V91-04_回帰ANOVA!$K$19*04_回帰ANOVA!$K$14*SQRT(1+_slice!V116))-01_因子設定!$B$14,IF(01_因子設定!$B$13="最小化",01_因子設定!$B$15-(_slice!V91+04_回帰ANOVA!$K$19*04_回帰ANOVA!$K$14*SQRT(1+_slice!V116)),MIN((_slice!V91-04_回帰ANOVA!$K$19*04_回帰ANOVA!$K$14*SQRT(1+_slice!V116))-01_因子設定!$B$14,01_因子設定!$B$15-(_slice!V91+04_回帰ANOVA!$K$19*04_回帰ANOVA!$K$14*SQRT(1+_slice!V116))))),"外")</f>
        <v>0.608717519904012</v>
      </c>
      <c r="W50" s="50" t="n">
        <f aca="false">IF(AND(_slice!$H$5=1,W$41&gt;=_slice!$H$6-0.000000001,W$41&lt;=_slice!$I$6+0.000000001,$B50&gt;=_slice!$H$7-0.000000001,$B50&lt;=_slice!$I$7+0.000000001,IF(01_因子設定!$B$20="Box-Behnken",W$41^2+$B50^2+_slice!$H$8&lt;=2+0.000000001,TRUE())),IF(01_因子設定!$B$13="最大化",(_slice!W91-04_回帰ANOVA!$K$19*04_回帰ANOVA!$K$14*SQRT(1+_slice!W116))-01_因子設定!$B$14,IF(01_因子設定!$B$13="最小化",01_因子設定!$B$15-(_slice!W91+04_回帰ANOVA!$K$19*04_回帰ANOVA!$K$14*SQRT(1+_slice!W116)),MIN((_slice!W91-04_回帰ANOVA!$K$19*04_回帰ANOVA!$K$14*SQRT(1+_slice!W116))-01_因子設定!$B$14,01_因子設定!$B$15-(_slice!W91+04_回帰ANOVA!$K$19*04_回帰ANOVA!$K$14*SQRT(1+_slice!W116))))),"外")</f>
        <v>0.262107983082373</v>
      </c>
    </row>
    <row r="51" customFormat="false" ht="15" hidden="false" customHeight="false" outlineLevel="0" collapsed="false">
      <c r="A51" s="49" t="n">
        <f aca="false">INDEX(01_因子設定!$G$5:$G$8,$C$5)+B51*INDEX(01_因子設定!$H$5:$H$8,$C$5)</f>
        <v>32</v>
      </c>
      <c r="B51" s="49" t="n">
        <v>0.2</v>
      </c>
      <c r="C51" s="50" t="n">
        <f aca="false">IF(AND(_slice!$H$5=1,C$41&gt;=_slice!$H$6-0.000000001,C$41&lt;=_slice!$I$6+0.000000001,$B51&gt;=_slice!$H$7-0.000000001,$B51&lt;=_slice!$I$7+0.000000001,IF(01_因子設定!$B$20="Box-Behnken",C$41^2+$B51^2+_slice!$H$8&lt;=2+0.000000001,TRUE())),IF(01_因子設定!$B$13="最大化",(_slice!C92-04_回帰ANOVA!$K$19*04_回帰ANOVA!$K$14*SQRT(1+_slice!C117))-01_因子設定!$B$14,IF(01_因子設定!$B$13="最小化",01_因子設定!$B$15-(_slice!C92+04_回帰ANOVA!$K$19*04_回帰ANOVA!$K$14*SQRT(1+_slice!C117)),MIN((_slice!C92-04_回帰ANOVA!$K$19*04_回帰ANOVA!$K$14*SQRT(1+_slice!C117))-01_因子設定!$B$14,01_因子設定!$B$15-(_slice!C92+04_回帰ANOVA!$K$19*04_回帰ANOVA!$K$14*SQRT(1+_slice!C117))))),"外")</f>
        <v>-3.87714950335747</v>
      </c>
      <c r="D51" s="50" t="n">
        <f aca="false">IF(AND(_slice!$H$5=1,D$41&gt;=_slice!$H$6-0.000000001,D$41&lt;=_slice!$I$6+0.000000001,$B51&gt;=_slice!$H$7-0.000000001,$B51&lt;=_slice!$I$7+0.000000001,IF(01_因子設定!$B$20="Box-Behnken",D$41^2+$B51^2+_slice!$H$8&lt;=2+0.000000001,TRUE())),IF(01_因子設定!$B$13="最大化",(_slice!D92-04_回帰ANOVA!$K$19*04_回帰ANOVA!$K$14*SQRT(1+_slice!D117))-01_因子設定!$B$14,IF(01_因子設定!$B$13="最小化",01_因子設定!$B$15-(_slice!D92+04_回帰ANOVA!$K$19*04_回帰ANOVA!$K$14*SQRT(1+_slice!D117)),MIN((_slice!D92-04_回帰ANOVA!$K$19*04_回帰ANOVA!$K$14*SQRT(1+_slice!D117))-01_因子設定!$B$14,01_因子設定!$B$15-(_slice!D92+04_回帰ANOVA!$K$19*04_回帰ANOVA!$K$14*SQRT(1+_slice!D117))))),"外")</f>
        <v>-3.12501341028555</v>
      </c>
      <c r="E51" s="50" t="n">
        <f aca="false">IF(AND(_slice!$H$5=1,E$41&gt;=_slice!$H$6-0.000000001,E$41&lt;=_slice!$I$6+0.000000001,$B51&gt;=_slice!$H$7-0.000000001,$B51&lt;=_slice!$I$7+0.000000001,IF(01_因子設定!$B$20="Box-Behnken",E$41^2+$B51^2+_slice!$H$8&lt;=2+0.000000001,TRUE())),IF(01_因子設定!$B$13="最大化",(_slice!E92-04_回帰ANOVA!$K$19*04_回帰ANOVA!$K$14*SQRT(1+_slice!E117))-01_因子設定!$B$14,IF(01_因子設定!$B$13="最小化",01_因子設定!$B$15-(_slice!E92+04_回帰ANOVA!$K$19*04_回帰ANOVA!$K$14*SQRT(1+_slice!E117)),MIN((_slice!E92-04_回帰ANOVA!$K$19*04_回帰ANOVA!$K$14*SQRT(1+_slice!E117))-01_因子設定!$B$14,01_因子設定!$B$15-(_slice!E92+04_回帰ANOVA!$K$19*04_回帰ANOVA!$K$14*SQRT(1+_slice!E117))))),"外")</f>
        <v>-2.44277953419687</v>
      </c>
      <c r="F51" s="50" t="n">
        <f aca="false">IF(AND(_slice!$H$5=1,F$41&gt;=_slice!$H$6-0.000000001,F$41&lt;=_slice!$I$6+0.000000001,$B51&gt;=_slice!$H$7-0.000000001,$B51&lt;=_slice!$I$7+0.000000001,IF(01_因子設定!$B$20="Box-Behnken",F$41^2+$B51^2+_slice!$H$8&lt;=2+0.000000001,TRUE())),IF(01_因子設定!$B$13="最大化",(_slice!F92-04_回帰ANOVA!$K$19*04_回帰ANOVA!$K$14*SQRT(1+_slice!F117))-01_因子設定!$B$14,IF(01_因子設定!$B$13="最小化",01_因子設定!$B$15-(_slice!F92+04_回帰ANOVA!$K$19*04_回帰ANOVA!$K$14*SQRT(1+_slice!F117)),MIN((_slice!F92-04_回帰ANOVA!$K$19*04_回帰ANOVA!$K$14*SQRT(1+_slice!F117))-01_因子設定!$B$14,01_因子設定!$B$15-(_slice!F92+04_回帰ANOVA!$K$19*04_回帰ANOVA!$K$14*SQRT(1+_slice!F117))))),"外")</f>
        <v>-1.82752623803013</v>
      </c>
      <c r="G51" s="50" t="n">
        <f aca="false">IF(AND(_slice!$H$5=1,G$41&gt;=_slice!$H$6-0.000000001,G$41&lt;=_slice!$I$6+0.000000001,$B51&gt;=_slice!$H$7-0.000000001,$B51&lt;=_slice!$I$7+0.000000001,IF(01_因子設定!$B$20="Box-Behnken",G$41^2+$B51^2+_slice!$H$8&lt;=2+0.000000001,TRUE())),IF(01_因子設定!$B$13="最大化",(_slice!G92-04_回帰ANOVA!$K$19*04_回帰ANOVA!$K$14*SQRT(1+_slice!G117))-01_因子設定!$B$14,IF(01_因子設定!$B$13="最小化",01_因子設定!$B$15-(_slice!G92+04_回帰ANOVA!$K$19*04_回帰ANOVA!$K$14*SQRT(1+_slice!G117)),MIN((_slice!G92-04_回帰ANOVA!$K$19*04_回帰ANOVA!$K$14*SQRT(1+_slice!G117))-01_因子設定!$B$14,01_因子設定!$B$15-(_slice!G92+04_回帰ANOVA!$K$19*04_回帰ANOVA!$K$14*SQRT(1+_slice!G117))))),"外")</f>
        <v>-1.27606061107553</v>
      </c>
      <c r="H51" s="50" t="n">
        <f aca="false">IF(AND(_slice!$H$5=1,H$41&gt;=_slice!$H$6-0.000000001,H$41&lt;=_slice!$I$6+0.000000001,$B51&gt;=_slice!$H$7-0.000000001,$B51&lt;=_slice!$I$7+0.000000001,IF(01_因子設定!$B$20="Box-Behnken",H$41^2+$B51^2+_slice!$H$8&lt;=2+0.000000001,TRUE())),IF(01_因子設定!$B$13="最大化",(_slice!H92-04_回帰ANOVA!$K$19*04_回帰ANOVA!$K$14*SQRT(1+_slice!H117))-01_因子設定!$B$14,IF(01_因子設定!$B$13="最小化",01_因子設定!$B$15-(_slice!H92+04_回帰ANOVA!$K$19*04_回帰ANOVA!$K$14*SQRT(1+_slice!H117)),MIN((_slice!H92-04_回帰ANOVA!$K$19*04_回帰ANOVA!$K$14*SQRT(1+_slice!H117))-01_因子設定!$B$14,01_因子設定!$B$15-(_slice!H92+04_回帰ANOVA!$K$19*04_回帰ANOVA!$K$14*SQRT(1+_slice!H117))))),"外")</f>
        <v>-0.785200731118842</v>
      </c>
      <c r="I51" s="50" t="n">
        <f aca="false">IF(AND(_slice!$H$5=1,I$41&gt;=_slice!$H$6-0.000000001,I$41&lt;=_slice!$I$6+0.000000001,$B51&gt;=_slice!$H$7-0.000000001,$B51&lt;=_slice!$I$7+0.000000001,IF(01_因子設定!$B$20="Box-Behnken",I$41^2+$B51^2+_slice!$H$8&lt;=2+0.000000001,TRUE())),IF(01_因子設定!$B$13="最大化",(_slice!I92-04_回帰ANOVA!$K$19*04_回帰ANOVA!$K$14*SQRT(1+_slice!I117))-01_因子設定!$B$14,IF(01_因子設定!$B$13="最小化",01_因子設定!$B$15-(_slice!I92+04_回帰ANOVA!$K$19*04_回帰ANOVA!$K$14*SQRT(1+_slice!I117)),MIN((_slice!I92-04_回帰ANOVA!$K$19*04_回帰ANOVA!$K$14*SQRT(1+_slice!I117))-01_因子設定!$B$14,01_因子設定!$B$15-(_slice!I92+04_回帰ANOVA!$K$19*04_回帰ANOVA!$K$14*SQRT(1+_slice!I117))))),"外")</f>
        <v>-0.352018853707691</v>
      </c>
      <c r="J51" s="50" t="n">
        <f aca="false">IF(AND(_slice!$H$5=1,J$41&gt;=_slice!$H$6-0.000000001,J$41&lt;=_slice!$I$6+0.000000001,$B51&gt;=_slice!$H$7-0.000000001,$B51&lt;=_slice!$I$7+0.000000001,IF(01_因子設定!$B$20="Box-Behnken",J$41^2+$B51^2+_slice!$H$8&lt;=2+0.000000001,TRUE())),IF(01_因子設定!$B$13="最大化",(_slice!J92-04_回帰ANOVA!$K$19*04_回帰ANOVA!$K$14*SQRT(1+_slice!J117))-01_因子設定!$B$14,IF(01_因子設定!$B$13="最小化",01_因子設定!$B$15-(_slice!J92+04_回帰ANOVA!$K$19*04_回帰ANOVA!$K$14*SQRT(1+_slice!J117)),MIN((_slice!J92-04_回帰ANOVA!$K$19*04_回帰ANOVA!$K$14*SQRT(1+_slice!J117))-01_因子設定!$B$14,01_因子設定!$B$15-(_slice!J92+04_回帰ANOVA!$K$19*04_回帰ANOVA!$K$14*SQRT(1+_slice!J117))))),"外")</f>
        <v>0.0259883097588585</v>
      </c>
      <c r="K51" s="50" t="n">
        <f aca="false">IF(AND(_slice!$H$5=1,K$41&gt;=_slice!$H$6-0.000000001,K$41&lt;=_slice!$I$6+0.000000001,$B51&gt;=_slice!$H$7-0.000000001,$B51&lt;=_slice!$I$7+0.000000001,IF(01_因子設定!$B$20="Box-Behnken",K$41^2+$B51^2+_slice!$H$8&lt;=2+0.000000001,TRUE())),IF(01_因子設定!$B$13="最大化",(_slice!K92-04_回帰ANOVA!$K$19*04_回帰ANOVA!$K$14*SQRT(1+_slice!K117))-01_因子設定!$B$14,IF(01_因子設定!$B$13="最小化",01_因子設定!$B$15-(_slice!K92+04_回帰ANOVA!$K$19*04_回帰ANOVA!$K$14*SQRT(1+_slice!K117)),MIN((_slice!K92-04_回帰ANOVA!$K$19*04_回帰ANOVA!$K$14*SQRT(1+_slice!K117))-01_因子設定!$B$14,01_因子設定!$B$15-(_slice!K92+04_回帰ANOVA!$K$19*04_回帰ANOVA!$K$14*SQRT(1+_slice!K117))))),"外")</f>
        <v>0.350803406921109</v>
      </c>
      <c r="L51" s="50" t="n">
        <f aca="false">IF(AND(_slice!$H$5=1,L$41&gt;=_slice!$H$6-0.000000001,L$41&lt;=_slice!$I$6+0.000000001,$B51&gt;=_slice!$H$7-0.000000001,$B51&lt;=_slice!$I$7+0.000000001,IF(01_因子設定!$B$20="Box-Behnken",L$41^2+$B51^2+_slice!$H$8&lt;=2+0.000000001,TRUE())),IF(01_因子設定!$B$13="最大化",(_slice!L92-04_回帰ANOVA!$K$19*04_回帰ANOVA!$K$14*SQRT(1+_slice!L117))-01_因子設定!$B$14,IF(01_因子設定!$B$13="最小化",01_因子設定!$B$15-(_slice!L92+04_回帰ANOVA!$K$19*04_回帰ANOVA!$K$14*SQRT(1+_slice!L117)),MIN((_slice!L92-04_回帰ANOVA!$K$19*04_回帰ANOVA!$K$14*SQRT(1+_slice!L117))-01_因子設定!$B$14,01_因子設定!$B$15-(_slice!L92+04_回帰ANOVA!$K$19*04_回帰ANOVA!$K$14*SQRT(1+_slice!L117))))),"外")</f>
        <v>0.623847693076385</v>
      </c>
      <c r="M51" s="50" t="n">
        <f aca="false">IF(AND(_slice!$H$5=1,M$41&gt;=_slice!$H$6-0.000000001,M$41&lt;=_slice!$I$6+0.000000001,$B51&gt;=_slice!$H$7-0.000000001,$B51&lt;=_slice!$I$7+0.000000001,IF(01_因子設定!$B$20="Box-Behnken",M$41^2+$B51^2+_slice!$H$8&lt;=2+0.000000001,TRUE())),IF(01_因子設定!$B$13="最大化",(_slice!M92-04_回帰ANOVA!$K$19*04_回帰ANOVA!$K$14*SQRT(1+_slice!M117))-01_因子設定!$B$14,IF(01_因子設定!$B$13="最小化",01_因子設定!$B$15-(_slice!M92+04_回帰ANOVA!$K$19*04_回帰ANOVA!$K$14*SQRT(1+_slice!M117)),MIN((_slice!M92-04_回帰ANOVA!$K$19*04_回帰ANOVA!$K$14*SQRT(1+_slice!M117))-01_因子設定!$B$14,01_因子設定!$B$15-(_slice!M92+04_回帰ANOVA!$K$19*04_回帰ANOVA!$K$14*SQRT(1+_slice!M117))))),"外")</f>
        <v>0.845971883120392</v>
      </c>
      <c r="N51" s="50" t="n">
        <f aca="false">IF(AND(_slice!$H$5=1,N$41&gt;=_slice!$H$6-0.000000001,N$41&lt;=_slice!$I$6+0.000000001,$B51&gt;=_slice!$H$7-0.000000001,$B51&lt;=_slice!$I$7+0.000000001,IF(01_因子設定!$B$20="Box-Behnken",N$41^2+$B51^2+_slice!$H$8&lt;=2+0.000000001,TRUE())),IF(01_因子設定!$B$13="最大化",(_slice!N92-04_回帰ANOVA!$K$19*04_回帰ANOVA!$K$14*SQRT(1+_slice!N117))-01_因子設定!$B$14,IF(01_因子設定!$B$13="最小化",01_因子設定!$B$15-(_slice!N92+04_回帰ANOVA!$K$19*04_回帰ANOVA!$K$14*SQRT(1+_slice!N117)),MIN((_slice!N92-04_回帰ANOVA!$K$19*04_回帰ANOVA!$K$14*SQRT(1+_slice!N117))-01_因子設定!$B$14,01_因子設定!$B$15-(_slice!N92+04_回帰ANOVA!$K$19*04_回帰ANOVA!$K$14*SQRT(1+_slice!N117))))),"外")</f>
        <v>1.0174588041875</v>
      </c>
      <c r="O51" s="50" t="n">
        <f aca="false">IF(AND(_slice!$H$5=1,O$41&gt;=_slice!$H$6-0.000000001,O$41&lt;=_slice!$I$6+0.000000001,$B51&gt;=_slice!$H$7-0.000000001,$B51&lt;=_slice!$I$7+0.000000001,IF(01_因子設定!$B$20="Box-Behnken",O$41^2+$B51^2+_slice!$H$8&lt;=2+0.000000001,TRUE())),IF(01_因子設定!$B$13="最大化",(_slice!O92-04_回帰ANOVA!$K$19*04_回帰ANOVA!$K$14*SQRT(1+_slice!O117))-01_因子設定!$B$14,IF(01_因子設定!$B$13="最小化",01_因子設定!$B$15-(_slice!O92+04_回帰ANOVA!$K$19*04_回帰ANOVA!$K$14*SQRT(1+_slice!O117)),MIN((_slice!O92-04_回帰ANOVA!$K$19*04_回帰ANOVA!$K$14*SQRT(1+_slice!O117))-01_因子設定!$B$14,01_因子設定!$B$15-(_slice!O92+04_回帰ANOVA!$K$19*04_回帰ANOVA!$K$14*SQRT(1+_slice!O117))))),"外")</f>
        <v>1.13802562914334</v>
      </c>
      <c r="P51" s="50" t="n">
        <f aca="false">IF(AND(_slice!$H$5=1,P$41&gt;=_slice!$H$6-0.000000001,P$41&lt;=_slice!$I$6+0.000000001,$B51&gt;=_slice!$H$7-0.000000001,$B51&lt;=_slice!$I$7+0.000000001,IF(01_因子設定!$B$20="Box-Behnken",P$41^2+$B51^2+_slice!$H$8&lt;=2+0.000000001,TRUE())),IF(01_因子設定!$B$13="最大化",(_slice!P92-04_回帰ANOVA!$K$19*04_回帰ANOVA!$K$14*SQRT(1+_slice!P117))-01_因子設定!$B$14,IF(01_因子設定!$B$13="最小化",01_因子設定!$B$15-(_slice!P92+04_回帰ANOVA!$K$19*04_回帰ANOVA!$K$14*SQRT(1+_slice!P117)),MIN((_slice!P92-04_回帰ANOVA!$K$19*04_回帰ANOVA!$K$14*SQRT(1+_slice!P117))-01_因子設定!$B$14,01_因子設定!$B$15-(_slice!P92+04_回帰ANOVA!$K$19*04_回帰ANOVA!$K$14*SQRT(1+_slice!P117))))),"外")</f>
        <v>1.2068216430922</v>
      </c>
      <c r="Q51" s="50" t="n">
        <f aca="false">IF(AND(_slice!$H$5=1,Q$41&gt;=_slice!$H$6-0.000000001,Q$41&lt;=_slice!$I$6+0.000000001,$B51&gt;=_slice!$H$7-0.000000001,$B51&lt;=_slice!$I$7+0.000000001,IF(01_因子設定!$B$20="Box-Behnken",Q$41^2+$B51^2+_slice!$H$8&lt;=2+0.000000001,TRUE())),IF(01_因子設定!$B$13="最大化",(_slice!Q92-04_回帰ANOVA!$K$19*04_回帰ANOVA!$K$14*SQRT(1+_slice!Q117))-01_因子設定!$B$14,IF(01_因子設定!$B$13="最小化",01_因子設定!$B$15-(_slice!Q92+04_回帰ANOVA!$K$19*04_回帰ANOVA!$K$14*SQRT(1+_slice!Q117)),MIN((_slice!Q92-04_回帰ANOVA!$K$19*04_回帰ANOVA!$K$14*SQRT(1+_slice!Q117))-01_因子設定!$B$14,01_因子設定!$B$15-(_slice!Q92+04_回帰ANOVA!$K$19*04_回帰ANOVA!$K$14*SQRT(1+_slice!Q117))))),"外")</f>
        <v>1.22242559073676</v>
      </c>
      <c r="R51" s="50" t="n">
        <f aca="false">IF(AND(_slice!$H$5=1,R$41&gt;=_slice!$H$6-0.000000001,R$41&lt;=_slice!$I$6+0.000000001,$B51&gt;=_slice!$H$7-0.000000001,$B51&lt;=_slice!$I$7+0.000000001,IF(01_因子設定!$B$20="Box-Behnken",R$41^2+$B51^2+_slice!$H$8&lt;=2+0.000000001,TRUE())),IF(01_因子設定!$B$13="最大化",(_slice!R92-04_回帰ANOVA!$K$19*04_回帰ANOVA!$K$14*SQRT(1+_slice!R117))-01_因子設定!$B$14,IF(01_因子設定!$B$13="最小化",01_因子設定!$B$15-(_slice!R92+04_回帰ANOVA!$K$19*04_回帰ANOVA!$K$14*SQRT(1+_slice!R117)),MIN((_slice!R92-04_回帰ANOVA!$K$19*04_回帰ANOVA!$K$14*SQRT(1+_slice!R117))-01_因子設定!$B$14,01_因子設定!$B$15-(_slice!R92+04_回帰ANOVA!$K$19*04_回帰ANOVA!$K$14*SQRT(1+_slice!R117))))),"外")</f>
        <v>1.18285482443671</v>
      </c>
      <c r="S51" s="50" t="n">
        <f aca="false">IF(AND(_slice!$H$5=1,S$41&gt;=_slice!$H$6-0.000000001,S$41&lt;=_slice!$I$6+0.000000001,$B51&gt;=_slice!$H$7-0.000000001,$B51&lt;=_slice!$I$7+0.000000001,IF(01_因子設定!$B$20="Box-Behnken",S$41^2+$B51^2+_slice!$H$8&lt;=2+0.000000001,TRUE())),IF(01_因子設定!$B$13="最大化",(_slice!S92-04_回帰ANOVA!$K$19*04_回帰ANOVA!$K$14*SQRT(1+_slice!S117))-01_因子設定!$B$14,IF(01_因子設定!$B$13="最小化",01_因子設定!$B$15-(_slice!S92+04_回帰ANOVA!$K$19*04_回帰ANOVA!$K$14*SQRT(1+_slice!S117)),MIN((_slice!S92-04_回帰ANOVA!$K$19*04_回帰ANOVA!$K$14*SQRT(1+_slice!S117))-01_因子設定!$B$14,01_因子設定!$B$15-(_slice!S92+04_回帰ANOVA!$K$19*04_回帰ANOVA!$K$14*SQRT(1+_slice!S117))))),"外")</f>
        <v>1.08560605559114</v>
      </c>
      <c r="T51" s="50" t="n">
        <f aca="false">IF(AND(_slice!$H$5=1,T$41&gt;=_slice!$H$6-0.000000001,T$41&lt;=_slice!$I$6+0.000000001,$B51&gt;=_slice!$H$7-0.000000001,$B51&lt;=_slice!$I$7+0.000000001,IF(01_因子設定!$B$20="Box-Behnken",T$41^2+$B51^2+_slice!$H$8&lt;=2+0.000000001,TRUE())),IF(01_因子設定!$B$13="最大化",(_slice!T92-04_回帰ANOVA!$K$19*04_回帰ANOVA!$K$14*SQRT(1+_slice!T117))-01_因子設定!$B$14,IF(01_因子設定!$B$13="最小化",01_因子設定!$B$15-(_slice!T92+04_回帰ANOVA!$K$19*04_回帰ANOVA!$K$14*SQRT(1+_slice!T117)),MIN((_slice!T92-04_回帰ANOVA!$K$19*04_回帰ANOVA!$K$14*SQRT(1+_slice!T117))-01_因子設定!$B$14,01_因子設定!$B$15-(_slice!T92+04_回帰ANOVA!$K$19*04_回帰ANOVA!$K$14*SQRT(1+_slice!T117))))),"外")</f>
        <v>0.927751539747646</v>
      </c>
      <c r="U51" s="50" t="n">
        <f aca="false">IF(AND(_slice!$H$5=1,U$41&gt;=_slice!$H$6-0.000000001,U$41&lt;=_slice!$I$6+0.000000001,$B51&gt;=_slice!$H$7-0.000000001,$B51&lt;=_slice!$I$7+0.000000001,IF(01_因子設定!$B$20="Box-Behnken",U$41^2+$B51^2+_slice!$H$8&lt;=2+0.000000001,TRUE())),IF(01_因子設定!$B$13="最大化",(_slice!U92-04_回帰ANOVA!$K$19*04_回帰ANOVA!$K$14*SQRT(1+_slice!U117))-01_因子設定!$B$14,IF(01_因子設定!$B$13="最小化",01_因子設定!$B$15-(_slice!U92+04_回帰ANOVA!$K$19*04_回帰ANOVA!$K$14*SQRT(1+_slice!U117)),MIN((_slice!U92-04_回帰ANOVA!$K$19*04_回帰ANOVA!$K$14*SQRT(1+_slice!U117))-01_因子設定!$B$14,01_因子設定!$B$15-(_slice!U92+04_回帰ANOVA!$K$19*04_回帰ANOVA!$K$14*SQRT(1+_slice!U117))))),"外")</f>
        <v>0.706109354692018</v>
      </c>
      <c r="V51" s="50" t="n">
        <f aca="false">IF(AND(_slice!$H$5=1,V$41&gt;=_slice!$H$6-0.000000001,V$41&lt;=_slice!$I$6+0.000000001,$B51&gt;=_slice!$H$7-0.000000001,$B51&lt;=_slice!$I$7+0.000000001,IF(01_因子設定!$B$20="Box-Behnken",V$41^2+$B51^2+_slice!$H$8&lt;=2+0.000000001,TRUE())),IF(01_因子設定!$B$13="最大化",(_slice!V92-04_回帰ANOVA!$K$19*04_回帰ANOVA!$K$14*SQRT(1+_slice!V117))-01_因子設定!$B$14,IF(01_因子設定!$B$13="最小化",01_因子設定!$B$15-(_slice!V92+04_回帰ANOVA!$K$19*04_回帰ANOVA!$K$14*SQRT(1+_slice!V117)),MIN((_slice!V92-04_回帰ANOVA!$K$19*04_回帰ANOVA!$K$14*SQRT(1+_slice!V117))-01_因子設定!$B$14,01_因子設定!$B$15-(_slice!V92+04_回帰ANOVA!$K$19*04_回帰ANOVA!$K$14*SQRT(1+_slice!V117))))),"外")</f>
        <v>0.417486589714457</v>
      </c>
      <c r="W51" s="50" t="n">
        <f aca="false">IF(AND(_slice!$H$5=1,W$41&gt;=_slice!$H$6-0.000000001,W$41&lt;=_slice!$I$6+0.000000001,$B51&gt;=_slice!$H$7-0.000000001,$B51&lt;=_slice!$I$7+0.000000001,IF(01_因子設定!$B$20="Box-Behnken",W$41^2+$B51^2+_slice!$H$8&lt;=2+0.000000001,TRUE())),IF(01_因子設定!$B$13="最大化",(_slice!W92-04_回帰ANOVA!$K$19*04_回帰ANOVA!$K$14*SQRT(1+_slice!W117))-01_因子設定!$B$14,IF(01_因子設定!$B$13="最小化",01_因子設定!$B$15-(_slice!W92+04_回帰ANOVA!$K$19*04_回帰ANOVA!$K$14*SQRT(1+_slice!W117)),MIN((_slice!W92-04_回帰ANOVA!$K$19*04_回帰ANOVA!$K$14*SQRT(1+_slice!W117))-01_因子設定!$B$14,01_因子設定!$B$15-(_slice!W92+04_回帰ANOVA!$K$19*04_回帰ANOVA!$K$14*SQRT(1+_slice!W117))))),"外")</f>
        <v>0.0589616077536519</v>
      </c>
    </row>
    <row r="52" customFormat="false" ht="15" hidden="false" customHeight="false" outlineLevel="0" collapsed="false">
      <c r="A52" s="49" t="n">
        <f aca="false">INDEX(01_因子設定!$G$5:$G$8,$C$5)+B52*INDEX(01_因子設定!$H$5:$H$8,$C$5)</f>
        <v>31</v>
      </c>
      <c r="B52" s="49" t="n">
        <v>0.1</v>
      </c>
      <c r="C52" s="50" t="n">
        <f aca="false">IF(AND(_slice!$H$5=1,C$41&gt;=_slice!$H$6-0.000000001,C$41&lt;=_slice!$I$6+0.000000001,$B52&gt;=_slice!$H$7-0.000000001,$B52&lt;=_slice!$I$7+0.000000001,IF(01_因子設定!$B$20="Box-Behnken",C$41^2+$B52^2+_slice!$H$8&lt;=2+0.000000001,TRUE())),IF(01_因子設定!$B$13="最大化",(_slice!C93-04_回帰ANOVA!$K$19*04_回帰ANOVA!$K$14*SQRT(1+_slice!C118))-01_因子設定!$B$14,IF(01_因子設定!$B$13="最小化",01_因子設定!$B$15-(_slice!C93+04_回帰ANOVA!$K$19*04_回帰ANOVA!$K$14*SQRT(1+_slice!C118)),MIN((_slice!C93-04_回帰ANOVA!$K$19*04_回帰ANOVA!$K$14*SQRT(1+_slice!C118))-01_因子設定!$B$14,01_因子設定!$B$15-(_slice!C93+04_回帰ANOVA!$K$19*04_回帰ANOVA!$K$14*SQRT(1+_slice!C118))))),"外")</f>
        <v>-3.90530965356027</v>
      </c>
      <c r="D52" s="50" t="n">
        <f aca="false">IF(AND(_slice!$H$5=1,D$41&gt;=_slice!$H$6-0.000000001,D$41&lt;=_slice!$I$6+0.000000001,$B52&gt;=_slice!$H$7-0.000000001,$B52&lt;=_slice!$I$7+0.000000001,IF(01_因子設定!$B$20="Box-Behnken",D$41^2+$B52^2+_slice!$H$8&lt;=2+0.000000001,TRUE())),IF(01_因子設定!$B$13="最大化",(_slice!D93-04_回帰ANOVA!$K$19*04_回帰ANOVA!$K$14*SQRT(1+_slice!D118))-01_因子設定!$B$14,IF(01_因子設定!$B$13="最小化",01_因子設定!$B$15-(_slice!D93+04_回帰ANOVA!$K$19*04_回帰ANOVA!$K$14*SQRT(1+_slice!D118)),MIN((_slice!D93-04_回帰ANOVA!$K$19*04_回帰ANOVA!$K$14*SQRT(1+_slice!D118))-01_因子設定!$B$14,01_因子設定!$B$15-(_slice!D93+04_回帰ANOVA!$K$19*04_回帰ANOVA!$K$14*SQRT(1+_slice!D118))))),"外")</f>
        <v>-3.16404788867371</v>
      </c>
      <c r="E52" s="50" t="n">
        <f aca="false">IF(AND(_slice!$H$5=1,E$41&gt;=_slice!$H$6-0.000000001,E$41&lt;=_slice!$I$6+0.000000001,$B52&gt;=_slice!$H$7-0.000000001,$B52&lt;=_slice!$I$7+0.000000001,IF(01_因子設定!$B$20="Box-Behnken",E$41^2+$B52^2+_slice!$H$8&lt;=2+0.000000001,TRUE())),IF(01_因子設定!$B$13="最大化",(_slice!E93-04_回帰ANOVA!$K$19*04_回帰ANOVA!$K$14*SQRT(1+_slice!E118))-01_因子設定!$B$14,IF(01_因子設定!$B$13="最小化",01_因子設定!$B$15-(_slice!E93+04_回帰ANOVA!$K$19*04_回帰ANOVA!$K$14*SQRT(1+_slice!E118)),MIN((_slice!E93-04_回帰ANOVA!$K$19*04_回帰ANOVA!$K$14*SQRT(1+_slice!E118))-01_因子設定!$B$14,01_因子設定!$B$15-(_slice!E93+04_回帰ANOVA!$K$19*04_回帰ANOVA!$K$14*SQRT(1+_slice!E118))))),"外")</f>
        <v>-2.49267597046392</v>
      </c>
      <c r="F52" s="50" t="n">
        <f aca="false">IF(AND(_slice!$H$5=1,F$41&gt;=_slice!$H$6-0.000000001,F$41&lt;=_slice!$I$6+0.000000001,$B52&gt;=_slice!$H$7-0.000000001,$B52&lt;=_slice!$I$7+0.000000001,IF(01_因子設定!$B$20="Box-Behnken",F$41^2+$B52^2+_slice!$H$8&lt;=2+0.000000001,TRUE())),IF(01_因子設定!$B$13="最大化",(_slice!F93-04_回帰ANOVA!$K$19*04_回帰ANOVA!$K$14*SQRT(1+_slice!F118))-01_因子設定!$B$14,IF(01_因子設定!$B$13="最小化",01_因子設定!$B$15-(_slice!F93+04_回帰ANOVA!$K$19*04_回帰ANOVA!$K$14*SQRT(1+_slice!F118)),MIN((_slice!F93-04_回帰ANOVA!$K$19*04_回帰ANOVA!$K$14*SQRT(1+_slice!F118))-01_因子設定!$B$14,01_因子設定!$B$15-(_slice!F93+04_回帰ANOVA!$K$19*04_回帰ANOVA!$K$14*SQRT(1+_slice!F118))))),"外")</f>
        <v>-1.88829119059917</v>
      </c>
      <c r="G52" s="50" t="n">
        <f aca="false">IF(AND(_slice!$H$5=1,G$41&gt;=_slice!$H$6-0.000000001,G$41&lt;=_slice!$I$6+0.000000001,$B52&gt;=_slice!$H$7-0.000000001,$B52&lt;=_slice!$I$7+0.000000001,IF(01_因子設定!$B$20="Box-Behnken",G$41^2+$B52^2+_slice!$H$8&lt;=2+0.000000001,TRUE())),IF(01_因子設定!$B$13="最大化",(_slice!G93-04_回帰ANOVA!$K$19*04_回帰ANOVA!$K$14*SQRT(1+_slice!G118))-01_因子設定!$B$14,IF(01_因子設定!$B$13="最小化",01_因子設定!$B$15-(_slice!G93+04_回帰ANOVA!$K$19*04_回帰ANOVA!$K$14*SQRT(1+_slice!G118)),MIN((_slice!G93-04_回帰ANOVA!$K$19*04_回帰ANOVA!$K$14*SQRT(1+_slice!G118))-01_因子設定!$B$14,01_因子設定!$B$15-(_slice!G93+04_回帰ANOVA!$K$19*04_回帰ANOVA!$K$14*SQRT(1+_slice!G118))))),"外")</f>
        <v>-1.34771854418122</v>
      </c>
      <c r="H52" s="50" t="n">
        <f aca="false">IF(AND(_slice!$H$5=1,H$41&gt;=_slice!$H$6-0.000000001,H$41&lt;=_slice!$I$6+0.000000001,$B52&gt;=_slice!$H$7-0.000000001,$B52&lt;=_slice!$I$7+0.000000001,IF(01_因子設定!$B$20="Box-Behnken",H$41^2+$B52^2+_slice!$H$8&lt;=2+0.000000001,TRUE())),IF(01_因子設定!$B$13="最大化",(_slice!H93-04_回帰ANOVA!$K$19*04_回帰ANOVA!$K$14*SQRT(1+_slice!H118))-01_因子設定!$B$14,IF(01_因子設定!$B$13="最小化",01_因子設定!$B$15-(_slice!H93+04_回帰ANOVA!$K$19*04_回帰ANOVA!$K$14*SQRT(1+_slice!H118)),MIN((_slice!H93-04_回帰ANOVA!$K$19*04_回帰ANOVA!$K$14*SQRT(1+_slice!H118))-01_因子設定!$B$14,01_因子設定!$B$15-(_slice!H93+04_回帰ANOVA!$K$19*04_回帰ANOVA!$K$14*SQRT(1+_slice!H118))))),"外")</f>
        <v>-0.867790716252053</v>
      </c>
      <c r="I52" s="50" t="n">
        <f aca="false">IF(AND(_slice!$H$5=1,I$41&gt;=_slice!$H$6-0.000000001,I$41&lt;=_slice!$I$6+0.000000001,$B52&gt;=_slice!$H$7-0.000000001,$B52&lt;=_slice!$I$7+0.000000001,IF(01_因子設定!$B$20="Box-Behnken",I$41^2+$B52^2+_slice!$H$8&lt;=2+0.000000001,TRUE())),IF(01_因子設定!$B$13="最大化",(_slice!I93-04_回帰ANOVA!$K$19*04_回帰ANOVA!$K$14*SQRT(1+_slice!I118))-01_因子設定!$B$14,IF(01_因子設定!$B$13="最小化",01_因子設定!$B$15-(_slice!I93+04_回帰ANOVA!$K$19*04_回帰ANOVA!$K$14*SQRT(1+_slice!I118)),MIN((_slice!I93-04_回帰ANOVA!$K$19*04_回帰ANOVA!$K$14*SQRT(1+_slice!I118))-01_因子設定!$B$14,01_因子設定!$B$15-(_slice!I93+04_回帰ANOVA!$K$19*04_回帰ANOVA!$K$14*SQRT(1+_slice!I118))))),"外")</f>
        <v>-0.445590351139224</v>
      </c>
      <c r="J52" s="50" t="n">
        <f aca="false">IF(AND(_slice!$H$5=1,J$41&gt;=_slice!$H$6-0.000000001,J$41&lt;=_slice!$I$6+0.000000001,$B52&gt;=_slice!$H$7-0.000000001,$B52&lt;=_slice!$I$7+0.000000001,IF(01_因子設定!$B$20="Box-Behnken",J$41^2+$B52^2+_slice!$H$8&lt;=2+0.000000001,TRUE())),IF(01_因子設定!$B$13="最大化",(_slice!J93-04_回帰ANOVA!$K$19*04_回帰ANOVA!$K$14*SQRT(1+_slice!J118))-01_因子設定!$B$14,IF(01_因子設定!$B$13="最小化",01_因子設定!$B$15-(_slice!J93+04_回帰ANOVA!$K$19*04_回帰ANOVA!$K$14*SQRT(1+_slice!J118)),MIN((_slice!J93-04_回帰ANOVA!$K$19*04_回帰ANOVA!$K$14*SQRT(1+_slice!J118))-01_因子設定!$B$14,01_因子設定!$B$15-(_slice!J93+04_回帰ANOVA!$K$19*04_回帰ANOVA!$K$14*SQRT(1+_slice!J118))))),"外")</f>
        <v>-0.0786206109689758</v>
      </c>
      <c r="K52" s="50" t="n">
        <f aca="false">IF(AND(_slice!$H$5=1,K$41&gt;=_slice!$H$6-0.000000001,K$41&lt;=_slice!$I$6+0.000000001,$B52&gt;=_slice!$H$7-0.000000001,$B52&lt;=_slice!$I$7+0.000000001,IF(01_因子設定!$B$20="Box-Behnken",K$41^2+$B52^2+_slice!$H$8&lt;=2+0.000000001,TRUE())),IF(01_因子設定!$B$13="最大化",(_slice!K93-04_回帰ANOVA!$K$19*04_回帰ANOVA!$K$14*SQRT(1+_slice!K118))-01_因子設定!$B$14,IF(01_因子設定!$B$13="最小化",01_因子設定!$B$15-(_slice!K93+04_回帰ANOVA!$K$19*04_回帰ANOVA!$K$14*SQRT(1+_slice!K118)),MIN((_slice!K93-04_回帰ANOVA!$K$19*04_回帰ANOVA!$K$14*SQRT(1+_slice!K118))-01_因子設定!$B$14,01_因子設定!$B$15-(_slice!K93+04_回帰ANOVA!$K$19*04_回帰ANOVA!$K$14*SQRT(1+_slice!K118))))),"外")</f>
        <v>0.235097693076384</v>
      </c>
      <c r="L52" s="50" t="n">
        <f aca="false">IF(AND(_slice!$H$5=1,L$41&gt;=_slice!$H$6-0.000000001,L$41&lt;=_slice!$I$6+0.000000001,$B52&gt;=_slice!$H$7-0.000000001,$B52&lt;=_slice!$I$7+0.000000001,IF(01_因子設定!$B$20="Box-Behnken",L$41^2+$B52^2+_slice!$H$8&lt;=2+0.000000001,TRUE())),IF(01_因子設定!$B$13="最大化",(_slice!L93-04_回帰ANOVA!$K$19*04_回帰ANOVA!$K$14*SQRT(1+_slice!L118))-01_因子設定!$B$14,IF(01_因子設定!$B$13="最小化",01_因子設定!$B$15-(_slice!L93+04_回帰ANOVA!$K$19*04_回帰ANOVA!$K$14*SQRT(1+_slice!L118)),MIN((_slice!L93-04_回帰ANOVA!$K$19*04_回帰ANOVA!$K$14*SQRT(1+_slice!L118))-01_因子設定!$B$14,01_因子設定!$B$15-(_slice!L93+04_回帰ANOVA!$K$19*04_回帰ANOVA!$K$14*SQRT(1+_slice!L118))))),"外")</f>
        <v>0.496984260374617</v>
      </c>
      <c r="M52" s="50" t="n">
        <f aca="false">IF(AND(_slice!$H$5=1,M$41&gt;=_slice!$H$6-0.000000001,M$41&lt;=_slice!$I$6+0.000000001,$B52&gt;=_slice!$H$7-0.000000001,$B52&lt;=_slice!$I$7+0.000000001,IF(01_因子設定!$B$20="Box-Behnken",M$41^2+$B52^2+_slice!$H$8&lt;=2+0.000000001,TRUE())),IF(01_因子設定!$B$13="最大化",(_slice!M93-04_回帰ANOVA!$K$19*04_回帰ANOVA!$K$14*SQRT(1+_slice!M118))-01_因子設定!$B$14,IF(01_因子設定!$B$13="最小化",01_因子設定!$B$15-(_slice!M93+04_回帰ANOVA!$K$19*04_回帰ANOVA!$K$14*SQRT(1+_slice!M118)),MIN((_slice!M93-04_回帰ANOVA!$K$19*04_回帰ANOVA!$K$14*SQRT(1+_slice!M118))-01_因子設定!$B$14,01_因子設定!$B$15-(_slice!M93+04_回帰ANOVA!$K$19*04_回帰ANOVA!$K$14*SQRT(1+_slice!M118))))),"外")</f>
        <v>0.707889251173931</v>
      </c>
      <c r="N52" s="50" t="n">
        <f aca="false">IF(AND(_slice!$H$5=1,N$41&gt;=_slice!$H$6-0.000000001,N$41&lt;=_slice!$I$6+0.000000001,$B52&gt;=_slice!$H$7-0.000000001,$B52&lt;=_slice!$I$7+0.000000001,IF(01_因子設定!$B$20="Box-Behnken",N$41^2+$B52^2+_slice!$H$8&lt;=2+0.000000001,TRUE())),IF(01_因子設定!$B$13="最大化",(_slice!N93-04_回帰ANOVA!$K$19*04_回帰ANOVA!$K$14*SQRT(1+_slice!N118))-01_因子設定!$B$14,IF(01_因子設定!$B$13="最小化",01_因子設定!$B$15-(_slice!N93+04_回帰ANOVA!$K$19*04_回帰ANOVA!$K$14*SQRT(1+_slice!N118)),MIN((_slice!N93-04_回帰ANOVA!$K$19*04_回帰ANOVA!$K$14*SQRT(1+_slice!N118))-01_因子設定!$B$14,01_因子設定!$B$15-(_slice!N93+04_回帰ANOVA!$K$19*04_回帰ANOVA!$K$14*SQRT(1+_slice!N118))))),"外")</f>
        <v>0.868095371485723</v>
      </c>
      <c r="O52" s="50" t="n">
        <f aca="false">IF(AND(_slice!$H$5=1,O$41&gt;=_slice!$H$6-0.000000001,O$41&lt;=_slice!$I$6+0.000000001,$B52&gt;=_slice!$H$7-0.000000001,$B52&lt;=_slice!$I$7+0.000000001,IF(01_因子設定!$B$20="Box-Behnken",O$41^2+$B52^2+_slice!$H$8&lt;=2+0.000000001,TRUE())),IF(01_因子設定!$B$13="最大化",(_slice!O93-04_回帰ANOVA!$K$19*04_回帰ANOVA!$K$14*SQRT(1+_slice!O118))-01_因子設定!$B$14,IF(01_因子設定!$B$13="最小化",01_因子設定!$B$15-(_slice!O93+04_回帰ANOVA!$K$19*04_回帰ANOVA!$K$14*SQRT(1+_slice!O118)),MIN((_slice!O93-04_回帰ANOVA!$K$19*04_回帰ANOVA!$K$14*SQRT(1+_slice!O118))-01_因子設定!$B$14,01_因子設定!$B$15-(_slice!O93+04_回帰ANOVA!$K$19*04_回帰ANOVA!$K$14*SQRT(1+_slice!O118))))),"外")</f>
        <v>0.977319915298608</v>
      </c>
      <c r="P52" s="50" t="n">
        <f aca="false">IF(AND(_slice!$H$5=1,P$41&gt;=_slice!$H$6-0.000000001,P$41&lt;=_slice!$I$6+0.000000001,$B52&gt;=_slice!$H$7-0.000000001,$B52&lt;=_slice!$I$7+0.000000001,IF(01_因子設定!$B$20="Box-Behnken",P$41^2+$B52^2+_slice!$H$8&lt;=2+0.000000001,TRUE())),IF(01_因子設定!$B$13="最大化",(_slice!P93-04_回帰ANOVA!$K$19*04_回帰ANOVA!$K$14*SQRT(1+_slice!P118))-01_因子設定!$B$14,IF(01_因子設定!$B$13="最小化",01_因子設定!$B$15-(_slice!P93+04_回帰ANOVA!$K$19*04_回帰ANOVA!$K$14*SQRT(1+_slice!P118)),MIN((_slice!P93-04_回帰ANOVA!$K$19*04_回帰ANOVA!$K$14*SQRT(1+_slice!P118))-01_因子設定!$B$14,01_因子設定!$B$15-(_slice!P93+04_回帰ANOVA!$K$19*04_回帰ANOVA!$K$14*SQRT(1+_slice!P118))))),"外")</f>
        <v>1.03471272236435</v>
      </c>
      <c r="Q52" s="50" t="n">
        <f aca="false">IF(AND(_slice!$H$5=1,Q$41&gt;=_slice!$H$6-0.000000001,Q$41&lt;=_slice!$I$6+0.000000001,$B52&gt;=_slice!$H$7-0.000000001,$B52&lt;=_slice!$I$7+0.000000001,IF(01_因子設定!$B$20="Box-Behnken",Q$41^2+$B52^2+_slice!$H$8&lt;=2+0.000000001,TRUE())),IF(01_因子設定!$B$13="最大化",(_slice!Q93-04_回帰ANOVA!$K$19*04_回帰ANOVA!$K$14*SQRT(1+_slice!Q118))-01_因子設定!$B$14,IF(01_因子設定!$B$13="最小化",01_因子設定!$B$15-(_slice!Q93+04_回帰ANOVA!$K$19*04_回帰ANOVA!$K$14*SQRT(1+_slice!Q118)),MIN((_slice!Q93-04_回帰ANOVA!$K$19*04_回帰ANOVA!$K$14*SQRT(1+_slice!Q118))-01_因子設定!$B$14,01_因子設定!$B$15-(_slice!Q93+04_回帰ANOVA!$K$19*04_回帰ANOVA!$K$14*SQRT(1+_slice!Q118))))),"外")</f>
        <v>1.03885409330523</v>
      </c>
      <c r="R52" s="50" t="n">
        <f aca="false">IF(AND(_slice!$H$5=1,R$41&gt;=_slice!$H$6-0.000000001,R$41&lt;=_slice!$I$6+0.000000001,$B52&gt;=_slice!$H$7-0.000000001,$B52&lt;=_slice!$I$7+0.000000001,IF(01_因子設定!$B$20="Box-Behnken",R$41^2+$B52^2+_slice!$H$8&lt;=2+0.000000001,TRUE())),IF(01_因子設定!$B$13="最大化",(_slice!R93-04_回帰ANOVA!$K$19*04_回帰ANOVA!$K$14*SQRT(1+_slice!R118))-01_因子設定!$B$14,IF(01_因子設定!$B$13="最小化",01_因子設定!$B$15-(_slice!R93+04_回帰ANOVA!$K$19*04_回帰ANOVA!$K$14*SQRT(1+_slice!R118)),MIN((_slice!R93-04_回帰ANOVA!$K$19*04_回帰ANOVA!$K$14*SQRT(1+_slice!R118))-01_因子設定!$B$14,01_因子設定!$B$15-(_slice!R93+04_回帰ANOVA!$K$19*04_回帰ANOVA!$K$14*SQRT(1+_slice!R118))))),"外")</f>
        <v>0.987764839303502</v>
      </c>
      <c r="S52" s="50" t="n">
        <f aca="false">IF(AND(_slice!$H$5=1,S$41&gt;=_slice!$H$6-0.000000001,S$41&lt;=_slice!$I$6+0.000000001,$B52&gt;=_slice!$H$7-0.000000001,$B52&lt;=_slice!$I$7+0.000000001,IF(01_因子設定!$B$20="Box-Behnken",S$41^2+$B52^2+_slice!$H$8&lt;=2+0.000000001,TRUE())),IF(01_因子設定!$B$13="最大化",(_slice!S93-04_回帰ANOVA!$K$19*04_回帰ANOVA!$K$14*SQRT(1+_slice!S118))-01_因子設定!$B$14,IF(01_因子設定!$B$13="最小化",01_因子設定!$B$15-(_slice!S93+04_回帰ANOVA!$K$19*04_回帰ANOVA!$K$14*SQRT(1+_slice!S118)),MIN((_slice!S93-04_回帰ANOVA!$K$19*04_回帰ANOVA!$K$14*SQRT(1+_slice!S118))-01_因子設定!$B$14,01_因子設定!$B$15-(_slice!S93+04_回帰ANOVA!$K$19*04_回帰ANOVA!$K$14*SQRT(1+_slice!S118))))),"外")</f>
        <v>0.878948122485454</v>
      </c>
      <c r="T52" s="50" t="n">
        <f aca="false">IF(AND(_slice!$H$5=1,T$41&gt;=_slice!$H$6-0.000000001,T$41&lt;=_slice!$I$6+0.000000001,$B52&gt;=_slice!$H$7-0.000000001,$B52&lt;=_slice!$I$7+0.000000001,IF(01_因子設定!$B$20="Box-Behnken",T$41^2+$B52^2+_slice!$H$8&lt;=2+0.000000001,TRUE())),IF(01_因子設定!$B$13="最大化",(_slice!T93-04_回帰ANOVA!$K$19*04_回帰ANOVA!$K$14*SQRT(1+_slice!T118))-01_因子設定!$B$14,IF(01_因子設定!$B$13="最小化",01_因子設定!$B$15-(_slice!T93+04_回帰ANOVA!$K$19*04_回帰ANOVA!$K$14*SQRT(1+_slice!T118)),MIN((_slice!T93-04_回帰ANOVA!$K$19*04_回帰ANOVA!$K$14*SQRT(1+_slice!T118))-01_因子設定!$B$14,01_因子設定!$B$15-(_slice!T93+04_回帰ANOVA!$K$19*04_回帰ANOVA!$K$14*SQRT(1+_slice!T118))))),"外")</f>
        <v>0.70948658717861</v>
      </c>
      <c r="U52" s="50" t="n">
        <f aca="false">IF(AND(_slice!$H$5=1,U$41&gt;=_slice!$H$6-0.000000001,U$41&lt;=_slice!$I$6+0.000000001,$B52&gt;=_slice!$H$7-0.000000001,$B52&lt;=_slice!$I$7+0.000000001,IF(01_因子設定!$B$20="Box-Behnken",U$41^2+$B52^2+_slice!$H$8&lt;=2+0.000000001,TRUE())),IF(01_因子設定!$B$13="最大化",(_slice!U93-04_回帰ANOVA!$K$19*04_回帰ANOVA!$K$14*SQRT(1+_slice!U118))-01_因子設定!$B$14,IF(01_因子設定!$B$13="最小化",01_因子設定!$B$15-(_slice!U93+04_回帰ANOVA!$K$19*04_回帰ANOVA!$K$14*SQRT(1+_slice!U118)),MIN((_slice!U93-04_回帰ANOVA!$K$19*04_回帰ANOVA!$K$14*SQRT(1+_slice!U118))-01_因子設定!$B$14,01_因子設定!$B$15-(_slice!U93+04_回帰ANOVA!$K$19*04_回帰ANOVA!$K$14*SQRT(1+_slice!U118))))),"外")</f>
        <v>0.476212918424977</v>
      </c>
      <c r="V52" s="50" t="n">
        <f aca="false">IF(AND(_slice!$H$5=1,V$41&gt;=_slice!$H$6-0.000000001,V$41&lt;=_slice!$I$6+0.000000001,$B52&gt;=_slice!$H$7-0.000000001,$B52&lt;=_slice!$I$7+0.000000001,IF(01_因子設定!$B$20="Box-Behnken",V$41^2+$B52^2+_slice!$H$8&lt;=2+0.000000001,TRUE())),IF(01_因子設定!$B$13="最大化",(_slice!V93-04_回帰ANOVA!$K$19*04_回帰ANOVA!$K$14*SQRT(1+_slice!V118))-01_因子設定!$B$14,IF(01_因子設定!$B$13="最小化",01_因子設定!$B$15-(_slice!V93+04_回帰ANOVA!$K$19*04_回帰ANOVA!$K$14*SQRT(1+_slice!V118)),MIN((_slice!V93-04_回帰ANOVA!$K$19*04_回帰ANOVA!$K$14*SQRT(1+_slice!V118))-01_因子設定!$B$14,01_因子設定!$B$15-(_slice!V93+04_回帰ANOVA!$K$19*04_回帰ANOVA!$K$14*SQRT(1+_slice!V118))))),"外")</f>
        <v>0.175952111326296</v>
      </c>
      <c r="W52" s="50" t="n">
        <f aca="false">IF(AND(_slice!$H$5=1,W$41&gt;=_slice!$H$6-0.000000001,W$41&lt;=_slice!$I$6+0.000000001,$B52&gt;=_slice!$H$7-0.000000001,$B52&lt;=_slice!$I$7+0.000000001,IF(01_因子設定!$B$20="Box-Behnken",W$41^2+$B52^2+_slice!$H$8&lt;=2+0.000000001,TRUE())),IF(01_因子設定!$B$13="最大化",(_slice!W93-04_回帰ANOVA!$K$19*04_回帰ANOVA!$K$14*SQRT(1+_slice!W118))-01_因子設定!$B$14,IF(01_因子設定!$B$13="最小化",01_因子設定!$B$15-(_slice!W93+04_回帰ANOVA!$K$19*04_回帰ANOVA!$K$14*SQRT(1+_slice!W118)),MIN((_slice!W93-04_回帰ANOVA!$K$19*04_回帰ANOVA!$K$14*SQRT(1+_slice!W118))-01_因子設定!$B$14,01_因子設定!$B$15-(_slice!W93+04_回帰ANOVA!$K$19*04_回帰ANOVA!$K$14*SQRT(1+_slice!W118))))),"外")</f>
        <v>-0.194198542449165</v>
      </c>
    </row>
    <row r="53" customFormat="false" ht="15" hidden="false" customHeight="false" outlineLevel="0" collapsed="false">
      <c r="A53" s="49" t="n">
        <f aca="false">INDEX(01_因子設定!$G$5:$G$8,$C$5)+B53*INDEX(01_因子設定!$H$5:$H$8,$C$5)</f>
        <v>30</v>
      </c>
      <c r="B53" s="49" t="n">
        <v>0</v>
      </c>
      <c r="C53" s="50" t="n">
        <f aca="false">IF(AND(_slice!$H$5=1,C$41&gt;=_slice!$H$6-0.000000001,C$41&lt;=_slice!$I$6+0.000000001,$B53&gt;=_slice!$H$7-0.000000001,$B53&lt;=_slice!$I$7+0.000000001,IF(01_因子設定!$B$20="Box-Behnken",C$41^2+$B53^2+_slice!$H$8&lt;=2+0.000000001,TRUE())),IF(01_因子設定!$B$13="最大化",(_slice!C94-04_回帰ANOVA!$K$19*04_回帰ANOVA!$K$14*SQRT(1+_slice!C119))-01_因子設定!$B$14,IF(01_因子設定!$B$13="最小化",01_因子設定!$B$15-(_slice!C94+04_回帰ANOVA!$K$19*04_回帰ANOVA!$K$14*SQRT(1+_slice!C119)),MIN((_slice!C94-04_回帰ANOVA!$K$19*04_回帰ANOVA!$K$14*SQRT(1+_slice!C119))-01_因子設定!$B$14,01_因子設定!$B$15-(_slice!C94+04_回帰ANOVA!$K$19*04_回帰ANOVA!$K$14*SQRT(1+_slice!C119))))),"外")</f>
        <v>-3.98274119447595</v>
      </c>
      <c r="D53" s="50" t="n">
        <f aca="false">IF(AND(_slice!$H$5=1,D$41&gt;=_slice!$H$6-0.000000001,D$41&lt;=_slice!$I$6+0.000000001,$B53&gt;=_slice!$H$7-0.000000001,$B53&lt;=_slice!$I$7+0.000000001,IF(01_因子設定!$B$20="Box-Behnken",D$41^2+$B53^2+_slice!$H$8&lt;=2+0.000000001,TRUE())),IF(01_因子設定!$B$13="最大化",(_slice!D94-04_回帰ANOVA!$K$19*04_回帰ANOVA!$K$14*SQRT(1+_slice!D119))-01_因子設定!$B$14,IF(01_因子設定!$B$13="最小化",01_因子設定!$B$15-(_slice!D94+04_回帰ANOVA!$K$19*04_回帰ANOVA!$K$14*SQRT(1+_slice!D119)),MIN((_slice!D94-04_回帰ANOVA!$K$19*04_回帰ANOVA!$K$14*SQRT(1+_slice!D119))-01_因子設定!$B$14,01_因子設定!$B$15-(_slice!D94+04_回帰ANOVA!$K$19*04_回帰ANOVA!$K$14*SQRT(1+_slice!D119))))),"外")</f>
        <v>-3.25260815158225</v>
      </c>
      <c r="E53" s="50" t="n">
        <f aca="false">IF(AND(_slice!$H$5=1,E$41&gt;=_slice!$H$6-0.000000001,E$41&lt;=_slice!$I$6+0.000000001,$B53&gt;=_slice!$H$7-0.000000001,$B53&lt;=_slice!$I$7+0.000000001,IF(01_因子設定!$B$20="Box-Behnken",E$41^2+$B53^2+_slice!$H$8&lt;=2+0.000000001,TRUE())),IF(01_因子設定!$B$13="最大化",(_slice!E94-04_回帰ANOVA!$K$19*04_回帰ANOVA!$K$14*SQRT(1+_slice!E119))-01_因子設定!$B$14,IF(01_因子設定!$B$13="最小化",01_因子設定!$B$15-(_slice!E94+04_回帰ANOVA!$K$19*04_回帰ANOVA!$K$14*SQRT(1+_slice!E119)),MIN((_slice!E94-04_回帰ANOVA!$K$19*04_回帰ANOVA!$K$14*SQRT(1+_slice!E119))-01_因子設定!$B$14,01_因子設定!$B$15-(_slice!E94+04_回帰ANOVA!$K$19*04_回帰ANOVA!$K$14*SQRT(1+_slice!E119))))),"外")</f>
        <v>-2.59236002736304</v>
      </c>
      <c r="F53" s="50" t="n">
        <f aca="false">IF(AND(_slice!$H$5=1,F$41&gt;=_slice!$H$6-0.000000001,F$41&lt;=_slice!$I$6+0.000000001,$B53&gt;=_slice!$H$7-0.000000001,$B53&lt;=_slice!$I$7+0.000000001,IF(01_因子設定!$B$20="Box-Behnken",F$41^2+$B53^2+_slice!$H$8&lt;=2+0.000000001,TRUE())),IF(01_因子設定!$B$13="最大化",(_slice!F94-04_回帰ANOVA!$K$19*04_回帰ANOVA!$K$14*SQRT(1+_slice!F119))-01_因子設定!$B$14,IF(01_因子設定!$B$13="最小化",01_因子設定!$B$15-(_slice!F94+04_回帰ANOVA!$K$19*04_回帰ANOVA!$K$14*SQRT(1+_slice!F119)),MIN((_slice!F94-04_回帰ANOVA!$K$19*04_回帰ANOVA!$K$14*SQRT(1+_slice!F119))-01_因子設定!$B$14,01_因子設定!$B$15-(_slice!F94+04_回帰ANOVA!$K$19*04_回帰ANOVA!$K$14*SQRT(1+_slice!F119))))),"外")</f>
        <v>-1.999100388979</v>
      </c>
      <c r="G53" s="50" t="n">
        <f aca="false">IF(AND(_slice!$H$5=1,G$41&gt;=_slice!$H$6-0.000000001,G$41&lt;=_slice!$I$6+0.000000001,$B53&gt;=_slice!$H$7-0.000000001,$B53&lt;=_slice!$I$7+0.000000001,IF(01_因子設定!$B$20="Box-Behnken",G$41^2+$B53^2+_slice!$H$8&lt;=2+0.000000001,TRUE())),IF(01_因子設定!$B$13="最大化",(_slice!G94-04_回帰ANOVA!$K$19*04_回帰ANOVA!$K$14*SQRT(1+_slice!G119))-01_因子設定!$B$14,IF(01_因子設定!$B$13="最小化",01_因子設定!$B$15-(_slice!G94+04_回帰ANOVA!$K$19*04_回帰ANOVA!$K$14*SQRT(1+_slice!G119)),MIN((_slice!G94-04_回帰ANOVA!$K$19*04_回帰ANOVA!$K$14*SQRT(1+_slice!G119))-01_因子設定!$B$14,01_因子設定!$B$15-(_slice!G94+04_回帰ANOVA!$K$19*04_回帰ANOVA!$K$14*SQRT(1+_slice!G119))))),"外")</f>
        <v>-1.46966026744706</v>
      </c>
      <c r="H53" s="50" t="n">
        <f aca="false">IF(AND(_slice!$H$5=1,H$41&gt;=_slice!$H$6-0.000000001,H$41&lt;=_slice!$I$6+0.000000001,$B53&gt;=_slice!$H$7-0.000000001,$B53&lt;=_slice!$I$7+0.000000001,IF(01_因子設定!$B$20="Box-Behnken",H$41^2+$B53^2+_slice!$H$8&lt;=2+0.000000001,TRUE())),IF(01_因子設定!$B$13="最大化",(_slice!H94-04_回帰ANOVA!$K$19*04_回帰ANOVA!$K$14*SQRT(1+_slice!H119))-01_因子設定!$B$14,IF(01_因子設定!$B$13="最小化",01_因子設定!$B$15-(_slice!H94+04_回帰ANOVA!$K$19*04_回帰ANOVA!$K$14*SQRT(1+_slice!H119)),MIN((_slice!H94-04_回帰ANOVA!$K$19*04_回帰ANOVA!$K$14*SQRT(1+_slice!H119))-01_因子設定!$B$14,01_因子設定!$B$15-(_slice!H94+04_回帰ANOVA!$K$19*04_回帰ANOVA!$K$14*SQRT(1+_slice!H119))))),"外")</f>
        <v>-1.00087735667705</v>
      </c>
      <c r="I53" s="50" t="n">
        <f aca="false">IF(AND(_slice!$H$5=1,I$41&gt;=_slice!$H$6-0.000000001,I$41&lt;=_slice!$I$6+0.000000001,$B53&gt;=_slice!$H$7-0.000000001,$B53&lt;=_slice!$I$7+0.000000001,IF(01_因子設定!$B$20="Box-Behnken",I$41^2+$B53^2+_slice!$H$8&lt;=2+0.000000001,TRUE())),IF(01_因子設定!$B$13="最大化",(_slice!I94-04_回帰ANOVA!$K$19*04_回帰ANOVA!$K$14*SQRT(1+_slice!I119))-01_因子設定!$B$14,IF(01_因子設定!$B$13="最小化",01_因子設定!$B$15-(_slice!I94+04_回帰ANOVA!$K$19*04_回帰ANOVA!$K$14*SQRT(1+_slice!I119)),MIN((_slice!I94-04_回帰ANOVA!$K$19*04_回帰ANOVA!$K$14*SQRT(1+_slice!I119))-01_因子設定!$B$14,01_因子設定!$B$15-(_slice!I94+04_回帰ANOVA!$K$19*04_回帰ANOVA!$K$14*SQRT(1+_slice!I119))))),"外")</f>
        <v>-0.589837936130536</v>
      </c>
      <c r="J53" s="50" t="n">
        <f aca="false">IF(AND(_slice!$H$5=1,J$41&gt;=_slice!$H$6-0.000000001,J$41&lt;=_slice!$I$6+0.000000001,$B53&gt;=_slice!$H$7-0.000000001,$B53&lt;=_slice!$I$7+0.000000001,IF(01_因子設定!$B$20="Box-Behnken",J$41^2+$B53^2+_slice!$H$8&lt;=2+0.000000001,TRUE())),IF(01_因子設定!$B$13="最大化",(_slice!J94-04_回帰ANOVA!$K$19*04_回帰ANOVA!$K$14*SQRT(1+_slice!J119))-01_因子設定!$B$14,IF(01_因子設定!$B$13="最小化",01_因子設定!$B$15-(_slice!J94+04_回帰ANOVA!$K$19*04_回帰ANOVA!$K$14*SQRT(1+_slice!J119)),MIN((_slice!J94-04_回帰ANOVA!$K$19*04_回帰ANOVA!$K$14*SQRT(1+_slice!J119))-01_因子設定!$B$14,01_因子設定!$B$15-(_slice!J94+04_回帰ANOVA!$K$19*04_回帰ANOVA!$K$14*SQRT(1+_slice!J119))))),"外")</f>
        <v>-0.234047487282098</v>
      </c>
      <c r="K53" s="50" t="n">
        <f aca="false">IF(AND(_slice!$H$5=1,K$41&gt;=_slice!$H$6-0.000000001,K$41&lt;=_slice!$I$6+0.000000001,$B53&gt;=_slice!$H$7-0.000000001,$B53&lt;=_slice!$I$7+0.000000001,IF(01_因子設定!$B$20="Box-Behnken",K$41^2+$B53^2+_slice!$H$8&lt;=2+0.000000001,TRUE())),IF(01_因子設定!$B$13="最大化",(_slice!K94-04_回帰ANOVA!$K$19*04_回帰ANOVA!$K$14*SQRT(1+_slice!K119))-01_因子設定!$B$14,IF(01_因子設定!$B$13="最小化",01_因子設定!$B$15-(_slice!K94+04_回帰ANOVA!$K$19*04_回帰ANOVA!$K$14*SQRT(1+_slice!K119)),MIN((_slice!K94-04_回帰ANOVA!$K$19*04_回帰ANOVA!$K$14*SQRT(1+_slice!K119))-01_因子設定!$B$14,01_因子設定!$B$15-(_slice!K94+04_回帰ANOVA!$K$19*04_回帰ANOVA!$K$14*SQRT(1+_slice!K119))))),"外")</f>
        <v>0.0684718831203881</v>
      </c>
      <c r="L53" s="50" t="n">
        <f aca="false">IF(AND(_slice!$H$5=1,L$41&gt;=_slice!$H$6-0.000000001,L$41&lt;=_slice!$I$6+0.000000001,$B53&gt;=_slice!$H$7-0.000000001,$B53&lt;=_slice!$I$7+0.000000001,IF(01_因子設定!$B$20="Box-Behnken",L$41^2+$B53^2+_slice!$H$8&lt;=2+0.000000001,TRUE())),IF(01_因子設定!$B$13="最大化",(_slice!L94-04_回帰ANOVA!$K$19*04_回帰ANOVA!$K$14*SQRT(1+_slice!L119))-01_因子設定!$B$14,IF(01_因子設定!$B$13="最小化",01_因子設定!$B$15-(_slice!L94+04_回帰ANOVA!$K$19*04_回帰ANOVA!$K$14*SQRT(1+_slice!L119)),MIN((_slice!L94-04_回帰ANOVA!$K$19*04_回帰ANOVA!$K$14*SQRT(1+_slice!L119))-01_因子設定!$B$14,01_因子設定!$B$15-(_slice!L94+04_回帰ANOVA!$K$19*04_回帰ANOVA!$K$14*SQRT(1+_slice!L119))))),"外")</f>
        <v>0.31913925117393</v>
      </c>
      <c r="M53" s="50" t="n">
        <f aca="false">IF(AND(_slice!$H$5=1,M$41&gt;=_slice!$H$6-0.000000001,M$41&lt;=_slice!$I$6+0.000000001,$B53&gt;=_slice!$H$7-0.000000001,$B53&lt;=_slice!$I$7+0.000000001,IF(01_因子設定!$B$20="Box-Behnken",M$41^2+$B53^2+_slice!$H$8&lt;=2+0.000000001,TRUE())),IF(01_因子設定!$B$13="最大化",(_slice!M94-04_回帰ANOVA!$K$19*04_回帰ANOVA!$K$14*SQRT(1+_slice!M119))-01_因子設定!$B$14,IF(01_因子設定!$B$13="最小化",01_因子設定!$B$15-(_slice!M94+04_回帰ANOVA!$K$19*04_回帰ANOVA!$K$14*SQRT(1+_slice!M119)),MIN((_slice!M94-04_回帰ANOVA!$K$19*04_回帰ANOVA!$K$14*SQRT(1+_slice!M119))-01_因子設定!$B$14,01_因子設定!$B$15-(_slice!M94+04_回帰ANOVA!$K$19*04_回帰ANOVA!$K$14*SQRT(1+_slice!M119))))),"外")</f>
        <v>0.518804529317166</v>
      </c>
      <c r="N53" s="50" t="n">
        <f aca="false">IF(AND(_slice!$H$5=1,N$41&gt;=_slice!$H$6-0.000000001,N$41&lt;=_slice!$I$6+0.000000001,$B53&gt;=_slice!$H$7-0.000000001,$B53&lt;=_slice!$I$7+0.000000001,IF(01_因子設定!$B$20="Box-Behnken",N$41^2+$B53^2+_slice!$H$8&lt;=2+0.000000001,TRUE())),IF(01_因子設定!$B$13="最大化",(_slice!N94-04_回帰ANOVA!$K$19*04_回帰ANOVA!$K$14*SQRT(1+_slice!N119))-01_因子設定!$B$14,IF(01_因子設定!$B$13="最小化",01_因子設定!$B$15-(_slice!N94+04_回帰ANOVA!$K$19*04_回帰ANOVA!$K$14*SQRT(1+_slice!N119)),MIN((_slice!N94-04_回帰ANOVA!$K$19*04_回帰ANOVA!$K$14*SQRT(1+_slice!N119))-01_因子設定!$B$14,01_因子設定!$B$15-(_slice!N94+04_回帰ANOVA!$K$19*04_回帰ANOVA!$K$14*SQRT(1+_slice!N119))))),"外")</f>
        <v>0.667750362285041</v>
      </c>
      <c r="O53" s="50" t="n">
        <f aca="false">IF(AND(_slice!$H$5=1,O$41&gt;=_slice!$H$6-0.000000001,O$41&lt;=_slice!$I$6+0.000000001,$B53&gt;=_slice!$H$7-0.000000001,$B53&lt;=_slice!$I$7+0.000000001,IF(01_因子設定!$B$20="Box-Behnken",O$41^2+$B53^2+_slice!$H$8&lt;=2+0.000000001,TRUE())),IF(01_因子設定!$B$13="最大化",(_slice!O94-04_回帰ANOVA!$K$19*04_回帰ANOVA!$K$14*SQRT(1+_slice!O119))-01_因子設定!$B$14,IF(01_因子設定!$B$13="最小化",01_因子設定!$B$15-(_slice!O94+04_回帰ANOVA!$K$19*04_回帰ANOVA!$K$14*SQRT(1+_slice!O119)),MIN((_slice!O94-04_回帰ANOVA!$K$19*04_回帰ANOVA!$K$14*SQRT(1+_slice!O119))-01_因子設定!$B$14,01_因子設定!$B$15-(_slice!O94+04_回帰ANOVA!$K$19*04_回帰ANOVA!$K$14*SQRT(1+_slice!O119))))),"外")</f>
        <v>0.765694105342611</v>
      </c>
      <c r="P53" s="50" t="n">
        <f aca="false">IF(AND(_slice!$H$5=1,P$41&gt;=_slice!$H$6-0.000000001,P$41&lt;=_slice!$I$6+0.000000001,$B53&gt;=_slice!$H$7-0.000000001,$B53&lt;=_slice!$I$7+0.000000001,IF(01_因子設定!$B$20="Box-Behnken",P$41^2+$B53^2+_slice!$H$8&lt;=2+0.000000001,TRUE())),IF(01_因子設定!$B$13="最大化",(_slice!P94-04_回帰ANOVA!$K$19*04_回帰ANOVA!$K$14*SQRT(1+_slice!P119))-01_因子設定!$B$14,IF(01_因子設定!$B$13="最小化",01_因子設定!$B$15-(_slice!P94+04_回帰ANOVA!$K$19*04_回帰ANOVA!$K$14*SQRT(1+_slice!P119)),MIN((_slice!P94-04_回帰ANOVA!$K$19*04_回帰ANOVA!$K$14*SQRT(1+_slice!P119))-01_因子設定!$B$14,01_因子設定!$B$15-(_slice!P94+04_回帰ANOVA!$K$19*04_回帰ANOVA!$K$14*SQRT(1+_slice!P119))))),"外")</f>
        <v>0.811785846051237</v>
      </c>
      <c r="Q53" s="50" t="n">
        <f aca="false">IF(AND(_slice!$H$5=1,Q$41&gt;=_slice!$H$6-0.000000001,Q$41&lt;=_slice!$I$6+0.000000001,$B53&gt;=_slice!$H$7-0.000000001,$B53&lt;=_slice!$I$7+0.000000001,IF(01_因子設定!$B$20="Box-Behnken",Q$41^2+$B53^2+_slice!$H$8&lt;=2+0.000000001,TRUE())),IF(01_因子設定!$B$13="最大化",(_slice!Q94-04_回帰ANOVA!$K$19*04_回帰ANOVA!$K$14*SQRT(1+_slice!Q119))-01_因子設定!$B$14,IF(01_因子設定!$B$13="最小化",01_因子設定!$B$15-(_slice!Q94+04_回帰ANOVA!$K$19*04_回帰ANOVA!$K$14*SQRT(1+_slice!Q119)),MIN((_slice!Q94-04_回帰ANOVA!$K$19*04_回帰ANOVA!$K$14*SQRT(1+_slice!Q119))-01_因子設定!$B$14,01_因子設定!$B$15-(_slice!Q94+04_回帰ANOVA!$K$19*04_回帰ANOVA!$K$14*SQRT(1+_slice!Q119))))),"外")</f>
        <v>0.80460650831391</v>
      </c>
      <c r="R53" s="50" t="n">
        <f aca="false">IF(AND(_slice!$H$5=1,R$41&gt;=_slice!$H$6-0.000000001,R$41&lt;=_slice!$I$6+0.000000001,$B53&gt;=_slice!$H$7-0.000000001,$B53&lt;=_slice!$I$7+0.000000001,IF(01_因子設定!$B$20="Box-Behnken",R$41^2+$B53^2+_slice!$H$8&lt;=2+0.000000001,TRUE())),IF(01_因子設定!$B$13="最大化",(_slice!R94-04_回帰ANOVA!$K$19*04_回帰ANOVA!$K$14*SQRT(1+_slice!R119))-01_因子設定!$B$14,IF(01_因子設定!$B$13="最小化",01_因子設定!$B$15-(_slice!R94+04_回帰ANOVA!$K$19*04_回帰ANOVA!$K$14*SQRT(1+_slice!R119)),MIN((_slice!R94-04_回帰ANOVA!$K$19*04_回帰ANOVA!$K$14*SQRT(1+_slice!R119))-01_因子設定!$B$14,01_因子設定!$B$15-(_slice!R94+04_回帰ANOVA!$K$19*04_回帰ANOVA!$K$14*SQRT(1+_slice!R119))))),"外")</f>
        <v>0.742178198878506</v>
      </c>
      <c r="S53" s="50" t="n">
        <f aca="false">IF(AND(_slice!$H$5=1,S$41&gt;=_slice!$H$6-0.000000001,S$41&lt;=_slice!$I$6+0.000000001,$B53&gt;=_slice!$H$7-0.000000001,$B53&lt;=_slice!$I$7+0.000000001,IF(01_因子設定!$B$20="Box-Behnken",S$41^2+$B53^2+_slice!$H$8&lt;=2+0.000000001,TRUE())),IF(01_因子設定!$B$13="最大化",(_slice!S94-04_回帰ANOVA!$K$19*04_回帰ANOVA!$K$14*SQRT(1+_slice!S119))-01_因子設定!$B$14,IF(01_因子設定!$B$13="最小化",01_因子設定!$B$15-(_slice!S94+04_回帰ANOVA!$K$19*04_回帰ANOVA!$K$14*SQRT(1+_slice!S119)),MIN((_slice!S94-04_回帰ANOVA!$K$19*04_回帰ANOVA!$K$14*SQRT(1+_slice!S119))-01_因子設定!$B$14,01_因子設定!$B$15-(_slice!S94+04_回帰ANOVA!$K$19*04_回帰ANOVA!$K$14*SQRT(1+_slice!S119))))),"外")</f>
        <v>0.622006399219607</v>
      </c>
      <c r="T53" s="50" t="n">
        <f aca="false">IF(AND(_slice!$H$5=1,T$41&gt;=_slice!$H$6-0.000000001,T$41&lt;=_slice!$I$6+0.000000001,$B53&gt;=_slice!$H$7-0.000000001,$B53&lt;=_slice!$I$7+0.000000001,IF(01_因子設定!$B$20="Box-Behnken",T$41^2+$B53^2+_slice!$H$8&lt;=2+0.000000001,TRUE())),IF(01_因子設定!$B$13="最大化",(_slice!T94-04_回帰ANOVA!$K$19*04_回帰ANOVA!$K$14*SQRT(1+_slice!T119))-01_因子設定!$B$14,IF(01_因子設定!$B$13="最小化",01_因子設定!$B$15-(_slice!T94+04_回帰ANOVA!$K$19*04_回帰ANOVA!$K$14*SQRT(1+_slice!T119)),MIN((_slice!T94-04_回帰ANOVA!$K$19*04_回帰ANOVA!$K$14*SQRT(1+_slice!T119))-01_因子設定!$B$14,01_因子設定!$B$15-(_slice!T94+04_回帰ANOVA!$K$19*04_回帰ANOVA!$K$14*SQRT(1+_slice!T119))))),"外")</f>
        <v>0.441177388798778</v>
      </c>
      <c r="U53" s="50" t="n">
        <f aca="false">IF(AND(_slice!$H$5=1,U$41&gt;=_slice!$H$6-0.000000001,U$41&lt;=_slice!$I$6+0.000000001,$B53&gt;=_slice!$H$7-0.000000001,$B53&lt;=_slice!$I$7+0.000000001,IF(01_因子設定!$B$20="Box-Behnken",U$41^2+$B53^2+_slice!$H$8&lt;=2+0.000000001,TRUE())),IF(01_因子設定!$B$13="最大化",(_slice!U94-04_回帰ANOVA!$K$19*04_回帰ANOVA!$K$14*SQRT(1+_slice!U119))-01_因子設定!$B$14,IF(01_因子設定!$B$13="最小化",01_因子設定!$B$15-(_slice!U94+04_回帰ANOVA!$K$19*04_回帰ANOVA!$K$14*SQRT(1+_slice!U119)),MIN((_slice!U94-04_回帰ANOVA!$K$19*04_回帰ANOVA!$K$14*SQRT(1+_slice!U119))-01_因子設定!$B$14,01_因子設定!$B$15-(_slice!U94+04_回帰ANOVA!$K$19*04_回帰ANOVA!$K$14*SQRT(1+_slice!U119))))),"外")</f>
        <v>0.196528861525849</v>
      </c>
      <c r="V53" s="50" t="n">
        <f aca="false">IF(AND(_slice!$H$5=1,V$41&gt;=_slice!$H$6-0.000000001,V$41&lt;=_slice!$I$6+0.000000001,$B53&gt;=_slice!$H$7-0.000000001,$B53&lt;=_slice!$I$7+0.000000001,IF(01_因子設定!$B$20="Box-Behnken",V$41^2+$B53^2+_slice!$H$8&lt;=2+0.000000001,TRUE())),IF(01_因子設定!$B$13="最大化",(_slice!V94-04_回帰ANOVA!$K$19*04_回帰ANOVA!$K$14*SQRT(1+_slice!V119))-01_因子設定!$B$14,IF(01_因子設定!$B$13="最小化",01_因子設定!$B$15-(_slice!V94+04_回帰ANOVA!$K$19*04_回帰ANOVA!$K$14*SQRT(1+_slice!V119)),MIN((_slice!V94-04_回帰ANOVA!$K$19*04_回帰ANOVA!$K$14*SQRT(1+_slice!V119))-01_因子設定!$B$14,01_因子設定!$B$15-(_slice!V94+04_回帰ANOVA!$K$19*04_回帰ANOVA!$K$14*SQRT(1+_slice!V119))))),"外")</f>
        <v>-0.115108151582248</v>
      </c>
      <c r="W53" s="50" t="n">
        <f aca="false">IF(AND(_slice!$H$5=1,W$41&gt;=_slice!$H$6-0.000000001,W$41&lt;=_slice!$I$6+0.000000001,$B53&gt;=_slice!$H$7-0.000000001,$B53&lt;=_slice!$I$7+0.000000001,IF(01_因子設定!$B$20="Box-Behnken",W$41^2+$B53^2+_slice!$H$8&lt;=2+0.000000001,TRUE())),IF(01_因子設定!$B$13="最大化",(_slice!W94-04_回帰ANOVA!$K$19*04_回帰ANOVA!$K$14*SQRT(1+_slice!W119))-01_因子設定!$B$14,IF(01_因子設定!$B$13="最小化",01_因子設定!$B$15-(_slice!W94+04_回帰ANOVA!$K$19*04_回帰ANOVA!$K$14*SQRT(1+_slice!W119)),MIN((_slice!W94-04_回帰ANOVA!$K$19*04_回帰ANOVA!$K$14*SQRT(1+_slice!W119))-01_因子設定!$B$14,01_因子設定!$B$15-(_slice!W94+04_回帰ANOVA!$K$19*04_回帰ANOVA!$K$14*SQRT(1+_slice!W119))))),"外")</f>
        <v>-0.496630083364835</v>
      </c>
    </row>
    <row r="54" customFormat="false" ht="15" hidden="false" customHeight="false" outlineLevel="0" collapsed="false">
      <c r="A54" s="49" t="n">
        <f aca="false">INDEX(01_因子設定!$G$5:$G$8,$C$5)+B54*INDEX(01_因子設定!$H$5:$H$8,$C$5)</f>
        <v>29</v>
      </c>
      <c r="B54" s="49" t="n">
        <v>-0.1</v>
      </c>
      <c r="C54" s="50" t="n">
        <f aca="false">IF(AND(_slice!$H$5=1,C$41&gt;=_slice!$H$6-0.000000001,C$41&lt;=_slice!$I$6+0.000000001,$B54&gt;=_slice!$H$7-0.000000001,$B54&lt;=_slice!$I$7+0.000000001,IF(01_因子設定!$B$20="Box-Behnken",C$41^2+$B54^2+_slice!$H$8&lt;=2+0.000000001,TRUE())),IF(01_因子設定!$B$13="最大化",(_slice!C95-04_回帰ANOVA!$K$19*04_回帰ANOVA!$K$14*SQRT(1+_slice!C120))-01_因子設定!$B$14,IF(01_因子設定!$B$13="最小化",01_因子設定!$B$15-(_slice!C95+04_回帰ANOVA!$K$19*04_回帰ANOVA!$K$14*SQRT(1+_slice!C120)),MIN((_slice!C95-04_回帰ANOVA!$K$19*04_回帰ANOVA!$K$14*SQRT(1+_slice!C120))-01_因子設定!$B$14,01_因子設定!$B$15-(_slice!C95+04_回帰ANOVA!$K$19*04_回帰ANOVA!$K$14*SQRT(1+_slice!C120))))),"外")</f>
        <v>-4.10919854244917</v>
      </c>
      <c r="D54" s="50" t="n">
        <f aca="false">IF(AND(_slice!$H$5=1,D$41&gt;=_slice!$H$6-0.000000001,D$41&lt;=_slice!$I$6+0.000000001,$B54&gt;=_slice!$H$7-0.000000001,$B54&lt;=_slice!$I$7+0.000000001,IF(01_因子設定!$B$20="Box-Behnken",D$41^2+$B54^2+_slice!$H$8&lt;=2+0.000000001,TRUE())),IF(01_因子設定!$B$13="最大化",(_slice!D95-04_回帰ANOVA!$K$19*04_回帰ANOVA!$K$14*SQRT(1+_slice!D120))-01_因子設定!$B$14,IF(01_因子設定!$B$13="最小化",01_因子設定!$B$15-(_slice!D95+04_回帰ANOVA!$K$19*04_回帰ANOVA!$K$14*SQRT(1+_slice!D120)),MIN((_slice!D95-04_回帰ANOVA!$K$19*04_回帰ANOVA!$K$14*SQRT(1+_slice!D120))-01_因子設定!$B$14,01_因子設定!$B$15-(_slice!D95+04_回帰ANOVA!$K$19*04_回帰ANOVA!$K$14*SQRT(1+_slice!D120))))),"外")</f>
        <v>-3.3904367775626</v>
      </c>
      <c r="E54" s="50" t="n">
        <f aca="false">IF(AND(_slice!$H$5=1,E$41&gt;=_slice!$H$6-0.000000001,E$41&lt;=_slice!$I$6+0.000000001,$B54&gt;=_slice!$H$7-0.000000001,$B54&lt;=_slice!$I$7+0.000000001,IF(01_因子設定!$B$20="Box-Behnken",E$41^2+$B54^2+_slice!$H$8&lt;=2+0.000000001,TRUE())),IF(01_因子設定!$B$13="最大化",(_slice!E95-04_回帰ANOVA!$K$19*04_回帰ANOVA!$K$14*SQRT(1+_slice!E120))-01_因子設定!$B$14,IF(01_因子設定!$B$13="最小化",01_因子設定!$B$15-(_slice!E95+04_回帰ANOVA!$K$19*04_回帰ANOVA!$K$14*SQRT(1+_slice!E120)),MIN((_slice!E95-04_回帰ANOVA!$K$19*04_回帰ANOVA!$K$14*SQRT(1+_slice!E120))-01_因子設定!$B$14,01_因子設定!$B$15-(_slice!E95+04_回帰ANOVA!$K$19*04_回帰ANOVA!$K$14*SQRT(1+_slice!E120))))),"外")</f>
        <v>-2.74156485935281</v>
      </c>
      <c r="F54" s="50" t="n">
        <f aca="false">IF(AND(_slice!$H$5=1,F$41&gt;=_slice!$H$6-0.000000001,F$41&lt;=_slice!$I$6+0.000000001,$B54&gt;=_slice!$H$7-0.000000001,$B54&lt;=_slice!$I$7+0.000000001,IF(01_因子設定!$B$20="Box-Behnken",F$41^2+$B54^2+_slice!$H$8&lt;=2+0.000000001,TRUE())),IF(01_因子設定!$B$13="最大化",(_slice!F95-04_回帰ANOVA!$K$19*04_回帰ANOVA!$K$14*SQRT(1+_slice!F120))-01_因子設定!$B$14,IF(01_因子設定!$B$13="最小化",01_因子設定!$B$15-(_slice!F95+04_回帰ANOVA!$K$19*04_回帰ANOVA!$K$14*SQRT(1+_slice!F120)),MIN((_slice!F95-04_回帰ANOVA!$K$19*04_回帰ANOVA!$K$14*SQRT(1+_slice!F120))-01_因子設定!$B$14,01_因子設定!$B$15-(_slice!F95+04_回帰ANOVA!$K$19*04_回帰ANOVA!$K$14*SQRT(1+_slice!F120))))),"外")</f>
        <v>-2.15968007948806</v>
      </c>
      <c r="G54" s="50" t="n">
        <f aca="false">IF(AND(_slice!$H$5=1,G$41&gt;=_slice!$H$6-0.000000001,G$41&lt;=_slice!$I$6+0.000000001,$B54&gt;=_slice!$H$7-0.000000001,$B54&lt;=_slice!$I$7+0.000000001,IF(01_因子設定!$B$20="Box-Behnken",G$41^2+$B54^2+_slice!$H$8&lt;=2+0.000000001,TRUE())),IF(01_因子設定!$B$13="最大化",(_slice!G95-04_回帰ANOVA!$K$19*04_回帰ANOVA!$K$14*SQRT(1+_slice!G120))-01_因子設定!$B$14,IF(01_因子設定!$B$13="最小化",01_因子設定!$B$15-(_slice!G95+04_回帰ANOVA!$K$19*04_回帰ANOVA!$K$14*SQRT(1+_slice!G120)),MIN((_slice!G95-04_回帰ANOVA!$K$19*04_回帰ANOVA!$K$14*SQRT(1+_slice!G120))-01_因子設定!$B$14,01_因子設定!$B$15-(_slice!G95+04_回帰ANOVA!$K$19*04_回帰ANOVA!$K$14*SQRT(1+_slice!G120))))),"外")</f>
        <v>-1.64160743307011</v>
      </c>
      <c r="H54" s="50" t="n">
        <f aca="false">IF(AND(_slice!$H$5=1,H$41&gt;=_slice!$H$6-0.000000001,H$41&lt;=_slice!$I$6+0.000000001,$B54&gt;=_slice!$H$7-0.000000001,$B54&lt;=_slice!$I$7+0.000000001,IF(01_因子設定!$B$20="Box-Behnken",H$41^2+$B54^2+_slice!$H$8&lt;=2+0.000000001,TRUE())),IF(01_因子設定!$B$13="最大化",(_slice!H95-04_回帰ANOVA!$K$19*04_回帰ANOVA!$K$14*SQRT(1+_slice!H120))-01_因子設定!$B$14,IF(01_因子設定!$B$13="最小化",01_因子設定!$B$15-(_slice!H95+04_回帰ANOVA!$K$19*04_回帰ANOVA!$K$14*SQRT(1+_slice!H120)),MIN((_slice!H95-04_回帰ANOVA!$K$19*04_回帰ANOVA!$K$14*SQRT(1+_slice!H120))-01_因子設定!$B$14,01_因子設定!$B$15-(_slice!H95+04_回帰ANOVA!$K$19*04_回帰ANOVA!$K$14*SQRT(1+_slice!H120))))),"外")</f>
        <v>-1.18417960514095</v>
      </c>
      <c r="I54" s="50" t="n">
        <f aca="false">IF(AND(_slice!$H$5=1,I$41&gt;=_slice!$H$6-0.000000001,I$41&lt;=_slice!$I$6+0.000000001,$B54&gt;=_slice!$H$7-0.000000001,$B54&lt;=_slice!$I$7+0.000000001,IF(01_因子設定!$B$20="Box-Behnken",I$41^2+$B54^2+_slice!$H$8&lt;=2+0.000000001,TRUE())),IF(01_因子設定!$B$13="最大化",(_slice!I95-04_回帰ANOVA!$K$19*04_回帰ANOVA!$K$14*SQRT(1+_slice!I120))-01_因子設定!$B$14,IF(01_因子設定!$B$13="最小化",01_因子設定!$B$15-(_slice!I95+04_回帰ANOVA!$K$19*04_回帰ANOVA!$K$14*SQRT(1+_slice!I120)),MIN((_slice!I95-04_回帰ANOVA!$K$19*04_回帰ANOVA!$K$14*SQRT(1+_slice!I120))-01_因子設定!$B$14,01_因子設定!$B$15-(_slice!I95+04_回帰ANOVA!$K$19*04_回帰ANOVA!$K$14*SQRT(1+_slice!I120))))),"外")</f>
        <v>-0.784479240028112</v>
      </c>
      <c r="J54" s="50" t="n">
        <f aca="false">IF(AND(_slice!$H$5=1,J$41&gt;=_slice!$H$6-0.000000001,J$41&lt;=_slice!$I$6+0.000000001,$B54&gt;=_slice!$H$7-0.000000001,$B54&lt;=_slice!$I$7+0.000000001,IF(01_因子設定!$B$20="Box-Behnken",J$41^2+$B54^2+_slice!$H$8&lt;=2+0.000000001,TRUE())),IF(01_因子設定!$B$13="最大化",(_slice!J95-04_回帰ANOVA!$K$19*04_回帰ANOVA!$K$14*SQRT(1+_slice!J120))-01_因子設定!$B$14,IF(01_因子設定!$B$13="最小化",01_因子設定!$B$15-(_slice!J95+04_回帰ANOVA!$K$19*04_回帰ANOVA!$K$14*SQRT(1+_slice!J120)),MIN((_slice!J95-04_回帰ANOVA!$K$19*04_回帰ANOVA!$K$14*SQRT(1+_slice!J120))-01_因子設定!$B$14,01_因子設定!$B$15-(_slice!J95+04_回帰ANOVA!$K$19*04_回帰ANOVA!$K$14*SQRT(1+_slice!J120))))),"外")</f>
        <v>-0.440009499857872</v>
      </c>
      <c r="K54" s="50" t="n">
        <f aca="false">IF(AND(_slice!$H$5=1,K$41&gt;=_slice!$H$6-0.000000001,K$41&lt;=_slice!$I$6+0.000000001,$B54&gt;=_slice!$H$7-0.000000001,$B54&lt;=_slice!$I$7+0.000000001,IF(01_因子設定!$B$20="Box-Behnken",K$41^2+$B54^2+_slice!$H$8&lt;=2+0.000000001,TRUE())),IF(01_因子設定!$B$13="最大化",(_slice!K95-04_回帰ANOVA!$K$19*04_回帰ANOVA!$K$14*SQRT(1+_slice!K120))-01_因子設定!$B$14,IF(01_因子設定!$B$13="最小化",01_因子設定!$B$15-(_slice!K95+04_回帰ANOVA!$K$19*04_回帰ANOVA!$K$14*SQRT(1+_slice!K120)),MIN((_slice!K95-04_回帰ANOVA!$K$19*04_回帰ANOVA!$K$14*SQRT(1+_slice!K120))-01_因子設定!$B$14,01_因子設定!$B$15-(_slice!K95+04_回帰ANOVA!$K$19*04_回帰ANOVA!$K$14*SQRT(1+_slice!K120))))),"外")</f>
        <v>-0.148791195812507</v>
      </c>
      <c r="L54" s="50" t="n">
        <f aca="false">IF(AND(_slice!$H$5=1,L$41&gt;=_slice!$H$6-0.000000001,L$41&lt;=_slice!$I$6+0.000000001,$B54&gt;=_slice!$H$7-0.000000001,$B54&lt;=_slice!$I$7+0.000000001,IF(01_因子設定!$B$20="Box-Behnken",L$41^2+$B54^2+_slice!$H$8&lt;=2+0.000000001,TRUE())),IF(01_因子設定!$B$13="最大化",(_slice!L95-04_回帰ANOVA!$K$19*04_回帰ANOVA!$K$14*SQRT(1+_slice!L120))-01_因子設定!$B$14,IF(01_因子設定!$B$13="最小化",01_因子設定!$B$15-(_slice!L95+04_回帰ANOVA!$K$19*04_回帰ANOVA!$K$14*SQRT(1+_slice!L120)),MIN((_slice!L95-04_回帰ANOVA!$K$19*04_回帰ANOVA!$K$14*SQRT(1+_slice!L120))-01_因子設定!$B$14,01_因子設定!$B$15-(_slice!L95+04_回帰ANOVA!$K$19*04_回帰ANOVA!$K$14*SQRT(1+_slice!L120))))),"外")</f>
        <v>0.0905953714857191</v>
      </c>
      <c r="M54" s="50" t="n">
        <f aca="false">IF(AND(_slice!$H$5=1,M$41&gt;=_slice!$H$6-0.000000001,M$41&lt;=_slice!$I$6+0.000000001,$B54&gt;=_slice!$H$7-0.000000001,$B54&lt;=_slice!$I$7+0.000000001,IF(01_因子設定!$B$20="Box-Behnken",M$41^2+$B54^2+_slice!$H$8&lt;=2+0.000000001,TRUE())),IF(01_因子設定!$B$13="最大化",(_slice!M95-04_回帰ANOVA!$K$19*04_回帰ANOVA!$K$14*SQRT(1+_slice!M120))-01_因子設定!$B$14,IF(01_因子設定!$B$13="最小化",01_因子設定!$B$15-(_slice!M95+04_回帰ANOVA!$K$19*04_回帰ANOVA!$K$14*SQRT(1+_slice!M120)),MIN((_slice!M95-04_回帰ANOVA!$K$19*04_回帰ANOVA!$K$14*SQRT(1+_slice!M120))-01_因子設定!$B$14,01_因子設定!$B$15-(_slice!M95+04_回帰ANOVA!$K$19*04_回帰ANOVA!$K$14*SQRT(1+_slice!M120))))),"外")</f>
        <v>0.279000362285039</v>
      </c>
      <c r="N54" s="50" t="n">
        <f aca="false">IF(AND(_slice!$H$5=1,N$41&gt;=_slice!$H$6-0.000000001,N$41&lt;=_slice!$I$6+0.000000001,$B54&gt;=_slice!$H$7-0.000000001,$B54&lt;=_slice!$I$7+0.000000001,IF(01_因子設定!$B$20="Box-Behnken",N$41^2+$B54^2+_slice!$H$8&lt;=2+0.000000001,TRUE())),IF(01_因子設定!$B$13="最大化",(_slice!N95-04_回帰ANOVA!$K$19*04_回帰ANOVA!$K$14*SQRT(1+_slice!N120))-01_因子設定!$B$14,IF(01_因子設定!$B$13="最小化",01_因子設定!$B$15-(_slice!N95+04_回帰ANOVA!$K$19*04_回帰ANOVA!$K$14*SQRT(1+_slice!N120)),MIN((_slice!N95-04_回帰ANOVA!$K$19*04_回帰ANOVA!$K$14*SQRT(1+_slice!N120))-01_因子設定!$B$14,01_因子設定!$B$15-(_slice!N95+04_回帰ANOVA!$K$19*04_回帰ANOVA!$K$14*SQRT(1+_slice!N120))))),"外")</f>
        <v>0.416706482596837</v>
      </c>
      <c r="O54" s="50" t="n">
        <f aca="false">IF(AND(_slice!$H$5=1,O$41&gt;=_slice!$H$6-0.000000001,O$41&lt;=_slice!$I$6+0.000000001,$B54&gt;=_slice!$H$7-0.000000001,$B54&lt;=_slice!$I$7+0.000000001,IF(01_因子設定!$B$20="Box-Behnken",O$41^2+$B54^2+_slice!$H$8&lt;=2+0.000000001,TRUE())),IF(01_因子設定!$B$13="最大化",(_slice!O95-04_回帰ANOVA!$K$19*04_回帰ANOVA!$K$14*SQRT(1+_slice!O120))-01_因子設定!$B$14,IF(01_因子設定!$B$13="最小化",01_因子設定!$B$15-(_slice!O95+04_回帰ANOVA!$K$19*04_回帰ANOVA!$K$14*SQRT(1+_slice!O120)),MIN((_slice!O95-04_回帰ANOVA!$K$19*04_回帰ANOVA!$K$14*SQRT(1+_slice!O120))-01_因子設定!$B$14,01_因子設定!$B$15-(_slice!O95+04_回帰ANOVA!$K$19*04_回帰ANOVA!$K$14*SQRT(1+_slice!O120))))),"外")</f>
        <v>0.503431026409714</v>
      </c>
      <c r="P54" s="50" t="n">
        <f aca="false">IF(AND(_slice!$H$5=1,P$41&gt;=_slice!$H$6-0.000000001,P$41&lt;=_slice!$I$6+0.000000001,$B54&gt;=_slice!$H$7-0.000000001,$B54&lt;=_slice!$I$7+0.000000001,IF(01_因子設定!$B$20="Box-Behnken",P$41^2+$B54^2+_slice!$H$8&lt;=2+0.000000001,TRUE())),IF(01_因子設定!$B$13="最大化",(_slice!P95-04_回帰ANOVA!$K$19*04_回帰ANOVA!$K$14*SQRT(1+_slice!P120))-01_因子設定!$B$14,IF(01_因子設定!$B$13="最小化",01_因子設定!$B$15-(_slice!P95+04_回帰ANOVA!$K$19*04_回帰ANOVA!$K$14*SQRT(1+_slice!P120)),MIN((_slice!P95-04_回帰ANOVA!$K$19*04_回帰ANOVA!$K$14*SQRT(1+_slice!P120))-01_因子設定!$B$14,01_因子設定!$B$15-(_slice!P95+04_回帰ANOVA!$K$19*04_回帰ANOVA!$K$14*SQRT(1+_slice!P120))))),"外")</f>
        <v>0.538323833475467</v>
      </c>
      <c r="Q54" s="50" t="n">
        <f aca="false">IF(AND(_slice!$H$5=1,Q$41&gt;=_slice!$H$6-0.000000001,Q$41&lt;=_slice!$I$6+0.000000001,$B54&gt;=_slice!$H$7-0.000000001,$B54&lt;=_slice!$I$7+0.000000001,IF(01_因子設定!$B$20="Box-Behnken",Q$41^2+$B54^2+_slice!$H$8&lt;=2+0.000000001,TRUE())),IF(01_因子設定!$B$13="最大化",(_slice!Q95-04_回帰ANOVA!$K$19*04_回帰ANOVA!$K$14*SQRT(1+_slice!Q120))-01_因子設定!$B$14,IF(01_因子設定!$B$13="最小化",01_因子設定!$B$15-(_slice!Q95+04_回帰ANOVA!$K$19*04_回帰ANOVA!$K$14*SQRT(1+_slice!Q120)),MIN((_slice!Q95-04_回帰ANOVA!$K$19*04_回帰ANOVA!$K$14*SQRT(1+_slice!Q120))-01_因子設定!$B$14,01_因子設定!$B$15-(_slice!Q95+04_回帰ANOVA!$K$19*04_回帰ANOVA!$K$14*SQRT(1+_slice!Q120))))),"外")</f>
        <v>0.51996520441633</v>
      </c>
      <c r="R54" s="50" t="n">
        <f aca="false">IF(AND(_slice!$H$5=1,R$41&gt;=_slice!$H$6-0.000000001,R$41&lt;=_slice!$I$6+0.000000001,$B54&gt;=_slice!$H$7-0.000000001,$B54&lt;=_slice!$I$7+0.000000001,IF(01_因子設定!$B$20="Box-Behnken",R$41^2+$B54^2+_slice!$H$8&lt;=2+0.000000001,TRUE())),IF(01_因子設定!$B$13="最大化",(_slice!R95-04_回帰ANOVA!$K$19*04_回帰ANOVA!$K$14*SQRT(1+_slice!R120))-01_因子設定!$B$14,IF(01_因子設定!$B$13="最小化",01_因子設定!$B$15-(_slice!R95+04_回帰ANOVA!$K$19*04_回帰ANOVA!$K$14*SQRT(1+_slice!R120)),MIN((_slice!R95-04_回帰ANOVA!$K$19*04_回帰ANOVA!$K$14*SQRT(1+_slice!R120))-01_因子設定!$B$14,01_因子設定!$B$15-(_slice!R95+04_回帰ANOVA!$K$19*04_回帰ANOVA!$K$14*SQRT(1+_slice!R120))))),"外")</f>
        <v>0.446375950414613</v>
      </c>
      <c r="S54" s="50" t="n">
        <f aca="false">IF(AND(_slice!$H$5=1,S$41&gt;=_slice!$H$6-0.000000001,S$41&lt;=_slice!$I$6+0.000000001,$B54&gt;=_slice!$H$7-0.000000001,$B54&lt;=_slice!$I$7+0.000000001,IF(01_因子設定!$B$20="Box-Behnken",S$41^2+$B54^2+_slice!$H$8&lt;=2+0.000000001,TRUE())),IF(01_因子設定!$B$13="最大化",(_slice!S95-04_回帰ANOVA!$K$19*04_回帰ANOVA!$K$14*SQRT(1+_slice!S120))-01_因子設定!$B$14,IF(01_因子設定!$B$13="最小化",01_因子設定!$B$15-(_slice!S95+04_回帰ANOVA!$K$19*04_回帰ANOVA!$K$14*SQRT(1+_slice!S120)),MIN((_slice!S95-04_回帰ANOVA!$K$19*04_回帰ANOVA!$K$14*SQRT(1+_slice!S120))-01_因子設定!$B$14,01_因子設定!$B$15-(_slice!S95+04_回帰ANOVA!$K$19*04_回帰ANOVA!$K$14*SQRT(1+_slice!S120))))),"外")</f>
        <v>0.315059233596557</v>
      </c>
      <c r="T54" s="50" t="n">
        <f aca="false">IF(AND(_slice!$H$5=1,T$41&gt;=_slice!$H$6-0.000000001,T$41&lt;=_slice!$I$6+0.000000001,$B54&gt;=_slice!$H$7-0.000000001,$B54&lt;=_slice!$I$7+0.000000001,IF(01_因子設定!$B$20="Box-Behnken",T$41^2+$B54^2+_slice!$H$8&lt;=2+0.000000001,TRUE())),IF(01_因子設定!$B$13="最大化",(_slice!T95-04_回帰ANOVA!$K$19*04_回帰ANOVA!$K$14*SQRT(1+_slice!T120))-01_因子設定!$B$14,IF(01_因子設定!$B$13="最小化",01_因子設定!$B$15-(_slice!T95+04_回帰ANOVA!$K$19*04_回帰ANOVA!$K$14*SQRT(1+_slice!T120)),MIN((_slice!T95-04_回帰ANOVA!$K$19*04_回帰ANOVA!$K$14*SQRT(1+_slice!T120))-01_因子設定!$B$14,01_因子設定!$B$15-(_slice!T95+04_回帰ANOVA!$K$19*04_回帰ANOVA!$K$14*SQRT(1+_slice!T120))))),"外")</f>
        <v>0.123097698289719</v>
      </c>
      <c r="U54" s="50" t="n">
        <f aca="false">IF(AND(_slice!$H$5=1,U$41&gt;=_slice!$H$6-0.000000001,U$41&lt;=_slice!$I$6+0.000000001,$B54&gt;=_slice!$H$7-0.000000001,$B54&lt;=_slice!$I$7+0.000000001,IF(01_因子設定!$B$20="Box-Behnken",U$41^2+$B54^2+_slice!$H$8&lt;=2+0.000000001,TRUE())),IF(01_因子設定!$B$13="最大化",(_slice!U95-04_回帰ANOVA!$K$19*04_回帰ANOVA!$K$14*SQRT(1+_slice!U120))-01_因子設定!$B$14,IF(01_因子設定!$B$13="最小化",01_因子設定!$B$15-(_slice!U95+04_回帰ANOVA!$K$19*04_回帰ANOVA!$K$14*SQRT(1+_slice!U120)),MIN((_slice!U95-04_回帰ANOVA!$K$19*04_回帰ANOVA!$K$14*SQRT(1+_slice!U120))-01_因子設定!$B$14,01_因子設定!$B$15-(_slice!U95+04_回帰ANOVA!$K$19*04_回帰ANOVA!$K$14*SQRT(1+_slice!U120))))),"外")</f>
        <v>-0.132675970463922</v>
      </c>
      <c r="V54" s="50" t="n">
        <f aca="false">IF(AND(_slice!$H$5=1,V$41&gt;=_slice!$H$6-0.000000001,V$41&lt;=_slice!$I$6+0.000000001,$B54&gt;=_slice!$H$7-0.000000001,$B54&lt;=_slice!$I$7+0.000000001,IF(01_因子設定!$B$20="Box-Behnken",V$41^2+$B54^2+_slice!$H$8&lt;=2+0.000000001,TRUE())),IF(01_因子設定!$B$13="最大化",(_slice!V95-04_回帰ANOVA!$K$19*04_回帰ANOVA!$K$14*SQRT(1+_slice!V120))-01_因子設定!$B$14,IF(01_因子設定!$B$13="最小化",01_因子設定!$B$15-(_slice!V95+04_回帰ANOVA!$K$19*04_回帰ANOVA!$K$14*SQRT(1+_slice!V120)),MIN((_slice!V95-04_回帰ANOVA!$K$19*04_回帰ANOVA!$K$14*SQRT(1+_slice!V120))-01_因子設定!$B$14,01_因子設定!$B$15-(_slice!V95+04_回帰ANOVA!$K$19*04_回帰ANOVA!$K$14*SQRT(1+_slice!V120))))),"外")</f>
        <v>-0.455436777562596</v>
      </c>
      <c r="W54" s="50" t="n">
        <f aca="false">IF(AND(_slice!$H$5=1,W$41&gt;=_slice!$H$6-0.000000001,W$41&lt;=_slice!$I$6+0.000000001,$B54&gt;=_slice!$H$7-0.000000001,$B54&lt;=_slice!$I$7+0.000000001,IF(01_因子設定!$B$20="Box-Behnken",W$41^2+$B54^2+_slice!$H$8&lt;=2+0.000000001,TRUE())),IF(01_因子設定!$B$13="最大化",(_slice!W95-04_回帰ANOVA!$K$19*04_回帰ANOVA!$K$14*SQRT(1+_slice!W120))-01_因子設定!$B$14,IF(01_因子設定!$B$13="最小化",01_因子設定!$B$15-(_slice!W95+04_回帰ANOVA!$K$19*04_回帰ANOVA!$K$14*SQRT(1+_slice!W120)),MIN((_slice!W95-04_回帰ANOVA!$K$19*04_回帰ANOVA!$K$14*SQRT(1+_slice!W120))-01_因子設定!$B$14,01_因子設定!$B$15-(_slice!W95+04_回帰ANOVA!$K$19*04_回帰ANOVA!$K$14*SQRT(1+_slice!W120))))),"外")</f>
        <v>-0.848087431338051</v>
      </c>
    </row>
    <row r="55" customFormat="false" ht="15" hidden="false" customHeight="false" outlineLevel="0" collapsed="false">
      <c r="A55" s="49" t="n">
        <f aca="false">INDEX(01_因子設定!$G$5:$G$8,$C$5)+B55*INDEX(01_因子設定!$H$5:$H$8,$C$5)</f>
        <v>28</v>
      </c>
      <c r="B55" s="49" t="n">
        <v>-0.2</v>
      </c>
      <c r="C55" s="50" t="n">
        <f aca="false">IF(AND(_slice!$H$5=1,C$41&gt;=_slice!$H$6-0.000000001,C$41&lt;=_slice!$I$6+0.000000001,$B55&gt;=_slice!$H$7-0.000000001,$B55&lt;=_slice!$I$7+0.000000001,IF(01_因子設定!$B$20="Box-Behnken",C$41^2+$B55^2+_slice!$H$8&lt;=2+0.000000001,TRUE())),IF(01_因子設定!$B$13="最大化",(_slice!C96-04_回帰ANOVA!$K$19*04_回帰ANOVA!$K$14*SQRT(1+_slice!C121))-01_因子設定!$B$14,IF(01_因子設定!$B$13="最小化",01_因子設定!$B$15-(_slice!C96+04_回帰ANOVA!$K$19*04_回帰ANOVA!$K$14*SQRT(1+_slice!C121)),MIN((_slice!C96-04_回帰ANOVA!$K$19*04_回帰ANOVA!$K$14*SQRT(1+_slice!C121))-01_因子設定!$B$14,01_因子設定!$B$15-(_slice!C96+04_回帰ANOVA!$K$19*04_回帰ANOVA!$K$14*SQRT(1+_slice!C121))))),"外")</f>
        <v>-4.28492728113525</v>
      </c>
      <c r="D55" s="50" t="n">
        <f aca="false">IF(AND(_slice!$H$5=1,D$41&gt;=_slice!$H$6-0.000000001,D$41&lt;=_slice!$I$6+0.000000001,$B55&gt;=_slice!$H$7-0.000000001,$B55&lt;=_slice!$I$7+0.000000001,IF(01_因子設定!$B$20="Box-Behnken",D$41^2+$B55^2+_slice!$H$8&lt;=2+0.000000001,TRUE())),IF(01_因子設定!$B$13="最大化",(_slice!D96-04_回帰ANOVA!$K$19*04_回帰ANOVA!$K$14*SQRT(1+_slice!D121))-01_因子設定!$B$14,IF(01_因子設定!$B$13="最小化",01_因子設定!$B$15-(_slice!D96+04_回帰ANOVA!$K$19*04_回帰ANOVA!$K$14*SQRT(1+_slice!D121)),MIN((_slice!D96-04_回帰ANOVA!$K$19*04_回帰ANOVA!$K$14*SQRT(1+_slice!D121))-01_因子設定!$B$14,01_因子設定!$B$15-(_slice!D96+04_回帰ANOVA!$K$19*04_回帰ANOVA!$K$14*SQRT(1+_slice!D121))))),"外")</f>
        <v>-3.57779118806333</v>
      </c>
      <c r="E55" s="50" t="n">
        <f aca="false">IF(AND(_slice!$H$5=1,E$41&gt;=_slice!$H$6-0.000000001,E$41&lt;=_slice!$I$6+0.000000001,$B55&gt;=_slice!$H$7-0.000000001,$B55&lt;=_slice!$I$7+0.000000001,IF(01_因子設定!$B$20="Box-Behnken",E$41^2+$B55^2+_slice!$H$8&lt;=2+0.000000001,TRUE())),IF(01_因子設定!$B$13="最大化",(_slice!E96-04_回帰ANOVA!$K$19*04_回帰ANOVA!$K$14*SQRT(1+_slice!E121))-01_因子設定!$B$14,IF(01_因子設定!$B$13="最小化",01_因子設定!$B$15-(_slice!E96+04_回帰ANOVA!$K$19*04_回帰ANOVA!$K$14*SQRT(1+_slice!E121)),MIN((_slice!E96-04_回帰ANOVA!$K$19*04_回帰ANOVA!$K$14*SQRT(1+_slice!E121))-01_因子設定!$B$14,01_因子設定!$B$15-(_slice!E96+04_回帰ANOVA!$K$19*04_回帰ANOVA!$K$14*SQRT(1+_slice!E121))))),"外")</f>
        <v>-2.94055731197466</v>
      </c>
      <c r="F55" s="50" t="n">
        <f aca="false">IF(AND(_slice!$H$5=1,F$41&gt;=_slice!$H$6-0.000000001,F$41&lt;=_slice!$I$6+0.000000001,$B55&gt;=_slice!$H$7-0.000000001,$B55&lt;=_slice!$I$7+0.000000001,IF(01_因子設定!$B$20="Box-Behnken",F$41^2+$B55^2+_slice!$H$8&lt;=2+0.000000001,TRUE())),IF(01_因子設定!$B$13="最大化",(_slice!F96-04_回帰ANOVA!$K$19*04_回帰ANOVA!$K$14*SQRT(1+_slice!F121))-01_因子設定!$B$14,IF(01_因子設定!$B$13="最小化",01_因子設定!$B$15-(_slice!F96+04_回帰ANOVA!$K$19*04_回帰ANOVA!$K$14*SQRT(1+_slice!F121)),MIN((_slice!F96-04_回帰ANOVA!$K$19*04_回帰ANOVA!$K$14*SQRT(1+_slice!F121))-01_因子設定!$B$14,01_因子設定!$B$15-(_slice!F96+04_回帰ANOVA!$K$19*04_回帰ANOVA!$K$14*SQRT(1+_slice!F121))))),"外")</f>
        <v>-2.37030401580792</v>
      </c>
      <c r="G55" s="50" t="n">
        <f aca="false">IF(AND(_slice!$H$5=1,G$41&gt;=_slice!$H$6-0.000000001,G$41&lt;=_slice!$I$6+0.000000001,$B55&gt;=_slice!$H$7-0.000000001,$B55&lt;=_slice!$I$7+0.000000001,IF(01_因子設定!$B$20="Box-Behnken",G$41^2+$B55^2+_slice!$H$8&lt;=2+0.000000001,TRUE())),IF(01_因子設定!$B$13="最大化",(_slice!G96-04_回帰ANOVA!$K$19*04_回帰ANOVA!$K$14*SQRT(1+_slice!G121))-01_因子設定!$B$14,IF(01_因子設定!$B$13="最小化",01_因子設定!$B$15-(_slice!G96+04_回帰ANOVA!$K$19*04_回帰ANOVA!$K$14*SQRT(1+_slice!G121)),MIN((_slice!G96-04_回帰ANOVA!$K$19*04_回帰ANOVA!$K$14*SQRT(1+_slice!G121))-01_因子設定!$B$14,01_因子設定!$B$15-(_slice!G96+04_回帰ANOVA!$K$19*04_回帰ANOVA!$K$14*SQRT(1+_slice!G121))))),"外")</f>
        <v>-1.86383838885332</v>
      </c>
      <c r="H55" s="50" t="n">
        <f aca="false">IF(AND(_slice!$H$5=1,H$41&gt;=_slice!$H$6-0.000000001,H$41&lt;=_slice!$I$6+0.000000001,$B55&gt;=_slice!$H$7-0.000000001,$B55&lt;=_slice!$I$7+0.000000001,IF(01_因子設定!$B$20="Box-Behnken",H$41^2+$B55^2+_slice!$H$8&lt;=2+0.000000001,TRUE())),IF(01_因子設定!$B$13="最大化",(_slice!H96-04_回帰ANOVA!$K$19*04_回帰ANOVA!$K$14*SQRT(1+_slice!H121))-01_因子設定!$B$14,IF(01_因子設定!$B$13="最小化",01_因子設定!$B$15-(_slice!H96+04_回帰ANOVA!$K$19*04_回帰ANOVA!$K$14*SQRT(1+_slice!H121)),MIN((_slice!H96-04_回帰ANOVA!$K$19*04_回帰ANOVA!$K$14*SQRT(1+_slice!H121))-01_因子設定!$B$14,01_因子設定!$B$15-(_slice!H96+04_回帰ANOVA!$K$19*04_回帰ANOVA!$K$14*SQRT(1+_slice!H121))))),"外")</f>
        <v>-1.41797850889663</v>
      </c>
      <c r="I55" s="50" t="n">
        <f aca="false">IF(AND(_slice!$H$5=1,I$41&gt;=_slice!$H$6-0.000000001,I$41&lt;=_slice!$I$6+0.000000001,$B55&gt;=_slice!$H$7-0.000000001,$B55&lt;=_slice!$I$7+0.000000001,IF(01_因子設定!$B$20="Box-Behnken",I$41^2+$B55^2+_slice!$H$8&lt;=2+0.000000001,TRUE())),IF(01_因子設定!$B$13="最大化",(_slice!I96-04_回帰ANOVA!$K$19*04_回帰ANOVA!$K$14*SQRT(1+_slice!I121))-01_因子設定!$B$14,IF(01_因子設定!$B$13="最小化",01_因子設定!$B$15-(_slice!I96+04_回帰ANOVA!$K$19*04_回帰ANOVA!$K$14*SQRT(1+_slice!I121)),MIN((_slice!I96-04_回帰ANOVA!$K$19*04_回帰ANOVA!$K$14*SQRT(1+_slice!I121))-01_因子設定!$B$14,01_因子設定!$B$15-(_slice!I96+04_回帰ANOVA!$K$19*04_回帰ANOVA!$K$14*SQRT(1+_slice!I121))))),"外")</f>
        <v>-1.02979663148547</v>
      </c>
      <c r="J55" s="50" t="n">
        <f aca="false">IF(AND(_slice!$H$5=1,J$41&gt;=_slice!$H$6-0.000000001,J$41&lt;=_slice!$I$6+0.000000001,$B55&gt;=_slice!$H$7-0.000000001,$B55&lt;=_slice!$I$7+0.000000001,IF(01_因子設定!$B$20="Box-Behnken",J$41^2+$B55^2+_slice!$H$8&lt;=2+0.000000001,TRUE())),IF(01_因子設定!$B$13="最大化",(_slice!J96-04_回帰ANOVA!$K$19*04_回帰ANOVA!$K$14*SQRT(1+_slice!J121))-01_因子設定!$B$14,IF(01_因子設定!$B$13="最小化",01_因子設定!$B$15-(_slice!J96+04_回帰ANOVA!$K$19*04_回帰ANOVA!$K$14*SQRT(1+_slice!J121)),MIN((_slice!J96-04_回帰ANOVA!$K$19*04_回帰ANOVA!$K$14*SQRT(1+_slice!J121))-01_因子設定!$B$14,01_因子設定!$B$15-(_slice!J96+04_回帰ANOVA!$K$19*04_回帰ANOVA!$K$14*SQRT(1+_slice!J121))))),"外")</f>
        <v>-0.69678946801892</v>
      </c>
      <c r="K55" s="50" t="n">
        <f aca="false">IF(AND(_slice!$H$5=1,K$41&gt;=_slice!$H$6-0.000000001,K$41&lt;=_slice!$I$6+0.000000001,$B55&gt;=_slice!$H$7-0.000000001,$B55&lt;=_slice!$I$7+0.000000001,IF(01_因子設定!$B$20="Box-Behnken",K$41^2+$B55^2+_slice!$H$8&lt;=2+0.000000001,TRUE())),IF(01_因子設定!$B$13="最大化",(_slice!K96-04_回帰ANOVA!$K$19*04_回帰ANOVA!$K$14*SQRT(1+_slice!K121))-01_因子設定!$B$14,IF(01_因子設定!$B$13="最小化",01_因子設定!$B$15-(_slice!K96+04_回帰ANOVA!$K$19*04_回帰ANOVA!$K$14*SQRT(1+_slice!K121)),MIN((_slice!K96-04_回帰ANOVA!$K$19*04_回帰ANOVA!$K$14*SQRT(1+_slice!K121))-01_因子設定!$B$14,01_因子設定!$B$15-(_slice!K96+04_回帰ANOVA!$K$19*04_回帰ANOVA!$K$14*SQRT(1+_slice!K121))))),"外")</f>
        <v>-0.416974370856671</v>
      </c>
      <c r="L55" s="50" t="n">
        <f aca="false">IF(AND(_slice!$H$5=1,L$41&gt;=_slice!$H$6-0.000000001,L$41&lt;=_slice!$I$6+0.000000001,$B55&gt;=_slice!$H$7-0.000000001,$B55&lt;=_slice!$I$7+0.000000001,IF(01_因子設定!$B$20="Box-Behnken",L$41^2+$B55^2+_slice!$H$8&lt;=2+0.000000001,TRUE())),IF(01_因子設定!$B$13="最大化",(_slice!L96-04_回帰ANOVA!$K$19*04_回帰ANOVA!$K$14*SQRT(1+_slice!L121))-01_因子設定!$B$14,IF(01_因子設定!$B$13="最小化",01_因子設定!$B$15-(_slice!L96+04_回帰ANOVA!$K$19*04_回帰ANOVA!$K$14*SQRT(1+_slice!L121)),MIN((_slice!L96-04_回帰ANOVA!$K$19*04_回帰ANOVA!$K$14*SQRT(1+_slice!L121))-01_因子設定!$B$14,01_因子設定!$B$15-(_slice!L96+04_回帰ANOVA!$K$19*04_回帰ANOVA!$K$14*SQRT(1+_slice!L121))))),"外")</f>
        <v>-0.188930084701397</v>
      </c>
      <c r="M55" s="50" t="n">
        <f aca="false">IF(AND(_slice!$H$5=1,M$41&gt;=_slice!$H$6-0.000000001,M$41&lt;=_slice!$I$6+0.000000001,$B55&gt;=_slice!$H$7-0.000000001,$B55&lt;=_slice!$I$7+0.000000001,IF(01_因子設定!$B$20="Box-Behnken",M$41^2+$B55^2+_slice!$H$8&lt;=2+0.000000001,TRUE())),IF(01_因子設定!$B$13="最大化",(_slice!M96-04_回帰ANOVA!$K$19*04_回帰ANOVA!$K$14*SQRT(1+_slice!M121))-01_因子設定!$B$14,IF(01_因子設定!$B$13="最小化",01_因子設定!$B$15-(_slice!M96+04_回帰ANOVA!$K$19*04_回帰ANOVA!$K$14*SQRT(1+_slice!M121)),MIN((_slice!M96-04_回帰ANOVA!$K$19*04_回帰ANOVA!$K$14*SQRT(1+_slice!M121))-01_因子設定!$B$14,01_因子設定!$B$15-(_slice!M96+04_回帰ANOVA!$K$19*04_回帰ANOVA!$K$14*SQRT(1+_slice!M121))))),"外")</f>
        <v>-0.0118058946573925</v>
      </c>
      <c r="N55" s="50" t="n">
        <f aca="false">IF(AND(_slice!$H$5=1,N$41&gt;=_slice!$H$6-0.000000001,N$41&lt;=_slice!$I$6+0.000000001,$B55&gt;=_slice!$H$7-0.000000001,$B55&lt;=_slice!$I$7+0.000000001,IF(01_因子設定!$B$20="Box-Behnken",N$41^2+$B55^2+_slice!$H$8&lt;=2+0.000000001,TRUE())),IF(01_因子設定!$B$13="最大化",(_slice!N96-04_回帰ANOVA!$K$19*04_回帰ANOVA!$K$14*SQRT(1+_slice!N121))-01_因子設定!$B$14,IF(01_因子設定!$B$13="最小化",01_因子設定!$B$15-(_slice!N96+04_回帰ANOVA!$K$19*04_回帰ANOVA!$K$14*SQRT(1+_slice!N121)),MIN((_slice!N96-04_回帰ANOVA!$K$19*04_回帰ANOVA!$K$14*SQRT(1+_slice!N121))-01_因子設定!$B$14,01_因子設定!$B$15-(_slice!N96+04_回帰ANOVA!$K$19*04_回帰ANOVA!$K$14*SQRT(1+_slice!N121))))),"外")</f>
        <v>0.114681026409713</v>
      </c>
      <c r="O55" s="50" t="n">
        <f aca="false">IF(AND(_slice!$H$5=1,O$41&gt;=_slice!$H$6-0.000000001,O$41&lt;=_slice!$I$6+0.000000001,$B55&gt;=_slice!$H$7-0.000000001,$B55&lt;=_slice!$I$7+0.000000001,IF(01_因子設定!$B$20="Box-Behnken",O$41^2+$B55^2+_slice!$H$8&lt;=2+0.000000001,TRUE())),IF(01_因子設定!$B$13="最大化",(_slice!O96-04_回帰ANOVA!$K$19*04_回帰ANOVA!$K$14*SQRT(1+_slice!O121))-01_因子設定!$B$14,IF(01_因子設定!$B$13="最小化",01_因子設定!$B$15-(_slice!O96+04_回帰ANOVA!$K$19*04_回帰ANOVA!$K$14*SQRT(1+_slice!O121)),MIN((_slice!O96-04_回帰ANOVA!$K$19*04_回帰ANOVA!$K$14*SQRT(1+_slice!O121))-01_因子設定!$B$14,01_因子設定!$B$15-(_slice!O96+04_回帰ANOVA!$K$19*04_回帰ANOVA!$K$14*SQRT(1+_slice!O121))))),"外")</f>
        <v>0.190247851365548</v>
      </c>
      <c r="P55" s="50" t="n">
        <f aca="false">IF(AND(_slice!$H$5=1,P$41&gt;=_slice!$H$6-0.000000001,P$41&lt;=_slice!$I$6+0.000000001,$B55&gt;=_slice!$H$7-0.000000001,$B55&lt;=_slice!$I$7+0.000000001,IF(01_因子設定!$B$20="Box-Behnken",P$41^2+$B55^2+_slice!$H$8&lt;=2+0.000000001,TRUE())),IF(01_因子設定!$B$13="最大化",(_slice!P96-04_回帰ANOVA!$K$19*04_回帰ANOVA!$K$14*SQRT(1+_slice!P121))-01_因子設定!$B$14,IF(01_因子設定!$B$13="最小化",01_因子設定!$B$15-(_slice!P96+04_回帰ANOVA!$K$19*04_回帰ANOVA!$K$14*SQRT(1+_slice!P121)),MIN((_slice!P96-04_回帰ANOVA!$K$19*04_回帰ANOVA!$K$14*SQRT(1+_slice!P121))-01_因子設定!$B$14,01_因子設定!$B$15-(_slice!P96+04_回帰ANOVA!$K$19*04_回帰ANOVA!$K$14*SQRT(1+_slice!P121))))),"外")</f>
        <v>0.214043865314409</v>
      </c>
      <c r="Q55" s="50" t="n">
        <f aca="false">IF(AND(_slice!$H$5=1,Q$41&gt;=_slice!$H$6-0.000000001,Q$41&lt;=_slice!$I$6+0.000000001,$B55&gt;=_slice!$H$7-0.000000001,$B55&lt;=_slice!$I$7+0.000000001,IF(01_因子設定!$B$20="Box-Behnken",Q$41^2+$B55^2+_slice!$H$8&lt;=2+0.000000001,TRUE())),IF(01_因子設定!$B$13="最大化",(_slice!Q96-04_回帰ANOVA!$K$19*04_回帰ANOVA!$K$14*SQRT(1+_slice!Q121))-01_因子設定!$B$14,IF(01_因子設定!$B$13="最小化",01_因子設定!$B$15-(_slice!Q96+04_回帰ANOVA!$K$19*04_回帰ANOVA!$K$14*SQRT(1+_slice!Q121)),MIN((_slice!Q96-04_回帰ANOVA!$K$19*04_回帰ANOVA!$K$14*SQRT(1+_slice!Q121))-01_因子設定!$B$14,01_因子設定!$B$15-(_slice!Q96+04_回帰ANOVA!$K$19*04_回帰ANOVA!$K$14*SQRT(1+_slice!Q121))))),"外")</f>
        <v>0.184647812958971</v>
      </c>
      <c r="R55" s="50" t="n">
        <f aca="false">IF(AND(_slice!$H$5=1,R$41&gt;=_slice!$H$6-0.000000001,R$41&lt;=_slice!$I$6+0.000000001,$B55&gt;=_slice!$H$7-0.000000001,$B55&lt;=_slice!$I$7+0.000000001,IF(01_因子設定!$B$20="Box-Behnken",R$41^2+$B55^2+_slice!$H$8&lt;=2+0.000000001,TRUE())),IF(01_因子設定!$B$13="最大化",(_slice!R96-04_回帰ANOVA!$K$19*04_回帰ANOVA!$K$14*SQRT(1+_slice!R121))-01_因子設定!$B$14,IF(01_因子設定!$B$13="最小化",01_因子設定!$B$15-(_slice!R96+04_回帰ANOVA!$K$19*04_回帰ANOVA!$K$14*SQRT(1+_slice!R121)),MIN((_slice!R96-04_回帰ANOVA!$K$19*04_回帰ANOVA!$K$14*SQRT(1+_slice!R121))-01_因子設定!$B$14,01_因子設定!$B$15-(_slice!R96+04_回帰ANOVA!$K$19*04_回帰ANOVA!$K$14*SQRT(1+_slice!R121))))),"外")</f>
        <v>0.100077046658932</v>
      </c>
      <c r="S55" s="50" t="n">
        <f aca="false">IF(AND(_slice!$H$5=1,S$41&gt;=_slice!$H$6-0.000000001,S$41&lt;=_slice!$I$6+0.000000001,$B55&gt;=_slice!$H$7-0.000000001,$B55&lt;=_slice!$I$7+0.000000001,IF(01_因子設定!$B$20="Box-Behnken",S$41^2+$B55^2+_slice!$H$8&lt;=2+0.000000001,TRUE())),IF(01_因子設定!$B$13="最大化",(_slice!S96-04_回帰ANOVA!$K$19*04_回帰ANOVA!$K$14*SQRT(1+_slice!S121))-01_因子設定!$B$14,IF(01_因子設定!$B$13="最小化",01_因子設定!$B$15-(_slice!S96+04_回帰ANOVA!$K$19*04_回帰ANOVA!$K$14*SQRT(1+_slice!S121)),MIN((_slice!S96-04_回帰ANOVA!$K$19*04_回帰ANOVA!$K$14*SQRT(1+_slice!S121))-01_因子設定!$B$14,01_因子設定!$B$15-(_slice!S96+04_回帰ANOVA!$K$19*04_回帰ANOVA!$K$14*SQRT(1+_slice!S121))))),"外")</f>
        <v>-0.0421717221866444</v>
      </c>
      <c r="T55" s="50" t="n">
        <f aca="false">IF(AND(_slice!$H$5=1,T$41&gt;=_slice!$H$6-0.000000001,T$41&lt;=_slice!$I$6+0.000000001,$B55&gt;=_slice!$H$7-0.000000001,$B55&lt;=_slice!$I$7+0.000000001,IF(01_因子設定!$B$20="Box-Behnken",T$41^2+$B55^2+_slice!$H$8&lt;=2+0.000000001,TRUE())),IF(01_因子設定!$B$13="最大化",(_slice!T96-04_回帰ANOVA!$K$19*04_回帰ANOVA!$K$14*SQRT(1+_slice!T121))-01_因子設定!$B$14,IF(01_因子設定!$B$13="最小化",01_因子設定!$B$15-(_slice!T96+04_回帰ANOVA!$K$19*04_回帰ANOVA!$K$14*SQRT(1+_slice!T121)),MIN((_slice!T96-04_回帰ANOVA!$K$19*04_回帰ANOVA!$K$14*SQRT(1+_slice!T121))-01_因子設定!$B$14,01_因子設定!$B$15-(_slice!T96+04_回帰ANOVA!$K$19*04_回帰ANOVA!$K$14*SQRT(1+_slice!T121))))),"外")</f>
        <v>-0.245026238030135</v>
      </c>
      <c r="U55" s="50" t="n">
        <f aca="false">IF(AND(_slice!$H$5=1,U$41&gt;=_slice!$H$6-0.000000001,U$41&lt;=_slice!$I$6+0.000000001,$B55&gt;=_slice!$H$7-0.000000001,$B55&lt;=_slice!$I$7+0.000000001,IF(01_因子設定!$B$20="Box-Behnken",U$41^2+$B55^2+_slice!$H$8&lt;=2+0.000000001,TRUE())),IF(01_因子設定!$B$13="最大化",(_slice!U96-04_回帰ANOVA!$K$19*04_回帰ANOVA!$K$14*SQRT(1+_slice!U121))-01_因子設定!$B$14,IF(01_因子設定!$B$13="最小化",01_因子設定!$B$15-(_slice!U96+04_回帰ANOVA!$K$19*04_回帰ANOVA!$K$14*SQRT(1+_slice!U121)),MIN((_slice!U96-04_回帰ANOVA!$K$19*04_回帰ANOVA!$K$14*SQRT(1+_slice!U121))-01_因子設定!$B$14,01_因子設定!$B$15-(_slice!U96+04_回帰ANOVA!$K$19*04_回帰ANOVA!$K$14*SQRT(1+_slice!U121))))),"外")</f>
        <v>-0.511668423085766</v>
      </c>
      <c r="V55" s="50" t="n">
        <f aca="false">IF(AND(_slice!$H$5=1,V$41&gt;=_slice!$H$6-0.000000001,V$41&lt;=_slice!$I$6+0.000000001,$B55&gt;=_slice!$H$7-0.000000001,$B55&lt;=_slice!$I$7+0.000000001,IF(01_因子設定!$B$20="Box-Behnken",V$41^2+$B55^2+_slice!$H$8&lt;=2+0.000000001,TRUE())),IF(01_因子設定!$B$13="最大化",(_slice!V96-04_回帰ANOVA!$K$19*04_回帰ANOVA!$K$14*SQRT(1+_slice!V121))-01_因子設定!$B$14,IF(01_因子設定!$B$13="最小化",01_因子設定!$B$15-(_slice!V96+04_回帰ANOVA!$K$19*04_回帰ANOVA!$K$14*SQRT(1+_slice!V121)),MIN((_slice!V96-04_回帰ANOVA!$K$19*04_回帰ANOVA!$K$14*SQRT(1+_slice!V121))-01_因子設定!$B$14,01_因子設定!$B$15-(_slice!V96+04_回帰ANOVA!$K$19*04_回帰ANOVA!$K$14*SQRT(1+_slice!V121))))),"外")</f>
        <v>-0.845291188063328</v>
      </c>
      <c r="W55" s="50" t="n">
        <f aca="false">IF(AND(_slice!$H$5=1,W$41&gt;=_slice!$H$6-0.000000001,W$41&lt;=_slice!$I$6+0.000000001,$B55&gt;=_slice!$H$7-0.000000001,$B55&lt;=_slice!$I$7+0.000000001,IF(01_因子設定!$B$20="Box-Behnken",W$41^2+$B55^2+_slice!$H$8&lt;=2+0.000000001,TRUE())),IF(01_因子設定!$B$13="最大化",(_slice!W96-04_回帰ANOVA!$K$19*04_回帰ANOVA!$K$14*SQRT(1+_slice!W121))-01_因子設定!$B$14,IF(01_因子設定!$B$13="最小化",01_因子設定!$B$15-(_slice!W96+04_回帰ANOVA!$K$19*04_回帰ANOVA!$K$14*SQRT(1+_slice!W121)),MIN((_slice!W96-04_回帰ANOVA!$K$19*04_回帰ANOVA!$K$14*SQRT(1+_slice!W121))-01_因子設定!$B$14,01_因子設定!$B$15-(_slice!W96+04_回帰ANOVA!$K$19*04_回帰ANOVA!$K$14*SQRT(1+_slice!W121))))),"外")</f>
        <v>-1.24881617002414</v>
      </c>
    </row>
    <row r="56" customFormat="false" ht="15" hidden="false" customHeight="false" outlineLevel="0" collapsed="false">
      <c r="A56" s="49" t="n">
        <f aca="false">INDEX(01_因子設定!$G$5:$G$8,$C$5)+B56*INDEX(01_因子設定!$H$5:$H$8,$C$5)</f>
        <v>27</v>
      </c>
      <c r="B56" s="49" t="n">
        <v>-0.3</v>
      </c>
      <c r="C56" s="50" t="n">
        <f aca="false">IF(AND(_slice!$H$5=1,C$41&gt;=_slice!$H$6-0.000000001,C$41&lt;=_slice!$I$6+0.000000001,$B56&gt;=_slice!$H$7-0.000000001,$B56&lt;=_slice!$I$7+0.000000001,IF(01_因子設定!$B$20="Box-Behnken",C$41^2+$B56^2+_slice!$H$8&lt;=2+0.000000001,TRUE())),IF(01_因子設定!$B$13="最大化",(_slice!C97-04_回帰ANOVA!$K$19*04_回帰ANOVA!$K$14*SQRT(1+_slice!C122))-01_因子設定!$B$14,IF(01_因子設定!$B$13="最小化",01_因子設定!$B$15-(_slice!C97+04_回帰ANOVA!$K$19*04_回帰ANOVA!$K$14*SQRT(1+_slice!C122)),MIN((_slice!C97-04_回帰ANOVA!$K$19*04_回帰ANOVA!$K$14*SQRT(1+_slice!C122))-01_因子設定!$B$14,01_因子設定!$B$15-(_slice!C97+04_回帰ANOVA!$K$19*04_回帰ANOVA!$K$14*SQRT(1+_slice!C122))))),"外")</f>
        <v>-4.5106697946954</v>
      </c>
      <c r="D56" s="50" t="n">
        <f aca="false">IF(AND(_slice!$H$5=1,D$41&gt;=_slice!$H$6-0.000000001,D$41&lt;=_slice!$I$6+0.000000001,$B56&gt;=_slice!$H$7-0.000000001,$B56&lt;=_slice!$I$7+0.000000001,IF(01_因子設定!$B$20="Box-Behnken",D$41^2+$B56^2+_slice!$H$8&lt;=2+0.000000001,TRUE())),IF(01_因子設定!$B$13="最大化",(_slice!D97-04_回帰ANOVA!$K$19*04_回帰ANOVA!$K$14*SQRT(1+_slice!D122))-01_因子設定!$B$14,IF(01_因子設定!$B$13="最小化",01_因子設定!$B$15-(_slice!D97+04_回帰ANOVA!$K$19*04_回帰ANOVA!$K$14*SQRT(1+_slice!D122)),MIN((_slice!D97-04_回帰ANOVA!$K$19*04_回帰ANOVA!$K$14*SQRT(1+_slice!D122))-01_因子設定!$B$14,01_因子設定!$B$15-(_slice!D97+04_回帰ANOVA!$K$19*04_回帰ANOVA!$K$14*SQRT(1+_slice!D122))))),"外")</f>
        <v>-3.81544914676265</v>
      </c>
      <c r="E56" s="50" t="n">
        <f aca="false">IF(AND(_slice!$H$5=1,E$41&gt;=_slice!$H$6-0.000000001,E$41&lt;=_slice!$I$6+0.000000001,$B56&gt;=_slice!$H$7-0.000000001,$B56&lt;=_slice!$I$7+0.000000001,IF(01_因子設定!$B$20="Box-Behnken",E$41^2+$B56^2+_slice!$H$8&lt;=2+0.000000001,TRUE())),IF(01_因子設定!$B$13="最大化",(_slice!E97-04_回帰ANOVA!$K$19*04_回帰ANOVA!$K$14*SQRT(1+_slice!E122))-01_因子設定!$B$14,IF(01_因子設定!$B$13="最小化",01_因子設定!$B$15-(_slice!E97+04_回帰ANOVA!$K$19*04_回帰ANOVA!$K$14*SQRT(1+_slice!E122)),MIN((_slice!E97-04_回帰ANOVA!$K$19*04_回帰ANOVA!$K$14*SQRT(1+_slice!E122))-01_因子設定!$B$14,01_因子設定!$B$15-(_slice!E97+04_回帰ANOVA!$K$19*04_回帰ANOVA!$K$14*SQRT(1+_slice!E122))))),"外")</f>
        <v>-3.19014307770053</v>
      </c>
      <c r="F56" s="50" t="n">
        <f aca="false">IF(AND(_slice!$H$5=1,F$41&gt;=_slice!$H$6-0.000000001,F$41&lt;=_slice!$I$6+0.000000001,$B56&gt;=_slice!$H$7-0.000000001,$B56&lt;=_slice!$I$7+0.000000001,IF(01_因子設定!$B$20="Box-Behnken",F$41^2+$B56^2+_slice!$H$8&lt;=2+0.000000001,TRUE())),IF(01_因子設定!$B$13="最大化",(_slice!F97-04_回帰ANOVA!$K$19*04_回帰ANOVA!$K$14*SQRT(1+_slice!F122))-01_因子設定!$B$14,IF(01_因子設定!$B$13="最小化",01_因子設定!$B$15-(_slice!F97+04_回帰ANOVA!$K$19*04_回帰ANOVA!$K$14*SQRT(1+_slice!F122)),MIN((_slice!F97-04_回帰ANOVA!$K$19*04_回帰ANOVA!$K$14*SQRT(1+_slice!F122))-01_因子設定!$B$14,01_因子設定!$B$15-(_slice!F97+04_回帰ANOVA!$K$19*04_回帰ANOVA!$K$14*SQRT(1+_slice!F122))))),"外")</f>
        <v>-2.63179811718023</v>
      </c>
      <c r="G56" s="50" t="n">
        <f aca="false">IF(AND(_slice!$H$5=1,G$41&gt;=_slice!$H$6-0.000000001,G$41&lt;=_slice!$I$6+0.000000001,$B56&gt;=_slice!$H$7-0.000000001,$B56&lt;=_slice!$I$7+0.000000001,IF(01_因子設定!$B$20="Box-Behnken",G$41^2+$B56^2+_slice!$H$8&lt;=2+0.000000001,TRUE())),IF(01_因子設定!$B$13="最大化",(_slice!G97-04_回帰ANOVA!$K$19*04_回帰ANOVA!$K$14*SQRT(1+_slice!G122))-01_因子設定!$B$14,IF(01_因子設定!$B$13="最小化",01_因子設定!$B$15-(_slice!G97+04_回帰ANOVA!$K$19*04_回帰ANOVA!$K$14*SQRT(1+_slice!G122)),MIN((_slice!G97-04_回帰ANOVA!$K$19*04_回帰ANOVA!$K$14*SQRT(1+_slice!G122))-01_因子設定!$B$14,01_因子設定!$B$15-(_slice!G97+04_回帰ANOVA!$K$19*04_回帰ANOVA!$K$14*SQRT(1+_slice!G122))))),"外")</f>
        <v>-2.13719226051876</v>
      </c>
      <c r="H56" s="50" t="n">
        <f aca="false">IF(AND(_slice!$H$5=1,H$41&gt;=_slice!$H$6-0.000000001,H$41&lt;=_slice!$I$6+0.000000001,$B56&gt;=_slice!$H$7-0.000000001,$B56&lt;=_slice!$I$7+0.000000001,IF(01_因子設定!$B$20="Box-Behnken",H$41^2+$B56^2+_slice!$H$8&lt;=2+0.000000001,TRUE())),IF(01_因子設定!$B$13="最大化",(_slice!H97-04_回帰ANOVA!$K$19*04_回帰ANOVA!$K$14*SQRT(1+_slice!H122))-01_因子設定!$B$14,IF(01_因子設定!$B$13="最小化",01_因子設定!$B$15-(_slice!H97+04_回帰ANOVA!$K$19*04_回帰ANOVA!$K$14*SQRT(1+_slice!H122)),MIN((_slice!H97-04_回帰ANOVA!$K$19*04_回帰ANOVA!$K$14*SQRT(1+_slice!H122))-01_因子設定!$B$14,01_因子設定!$B$15-(_slice!H97+04_回帰ANOVA!$K$19*04_回帰ANOVA!$K$14*SQRT(1+_slice!H122))))),"外")</f>
        <v>-1.70312071266709</v>
      </c>
      <c r="I56" s="50" t="n">
        <f aca="false">IF(AND(_slice!$H$5=1,I$41&gt;=_slice!$H$6-0.000000001,I$41&lt;=_slice!$I$6+0.000000001,$B56&gt;=_slice!$H$7-0.000000001,$B56&lt;=_slice!$I$7+0.000000001,IF(01_因子設定!$B$20="Box-Behnken",I$41^2+$B56^2+_slice!$H$8&lt;=2+0.000000001,TRUE())),IF(01_因子設定!$B$13="最大化",(_slice!I97-04_回帰ANOVA!$K$19*04_回帰ANOVA!$K$14*SQRT(1+_slice!I122))-01_因子設定!$B$14,IF(01_因子設定!$B$13="最小化",01_因子設定!$B$15-(_slice!I97+04_回帰ANOVA!$K$19*04_回帰ANOVA!$K$14*SQRT(1+_slice!I122)),MIN((_slice!I97-04_回帰ANOVA!$K$19*04_回帰ANOVA!$K$14*SQRT(1+_slice!I122))-01_因子設定!$B$14,01_因子設定!$B$15-(_slice!I97+04_回帰ANOVA!$K$19*04_回帰ANOVA!$K$14*SQRT(1+_slice!I122))))),"外")</f>
        <v>-1.326640195468</v>
      </c>
      <c r="J56" s="50" t="n">
        <f aca="false">IF(AND(_slice!$H$5=1,J$41&gt;=_slice!$H$6-0.000000001,J$41&lt;=_slice!$I$6+0.000000001,$B56&gt;=_slice!$H$7-0.000000001,$B56&lt;=_slice!$I$7+0.000000001,IF(01_因子設定!$B$20="Box-Behnken",J$41^2+$B56^2+_slice!$H$8&lt;=2+0.000000001,TRUE())),IF(01_因子設定!$B$13="最大化",(_slice!J97-04_回帰ANOVA!$K$19*04_回帰ANOVA!$K$14*SQRT(1+_slice!J122))-01_因子設定!$B$14,IF(01_因子設定!$B$13="最小化",01_因子設定!$B$15-(_slice!J97+04_回帰ANOVA!$K$19*04_回帰ANOVA!$K$14*SQRT(1+_slice!J122)),MIN((_slice!J97-04_回帰ANOVA!$K$19*04_回帰ANOVA!$K$14*SQRT(1+_slice!J122))-01_因子設定!$B$14,01_因子設定!$B$15-(_slice!J97+04_回帰ANOVA!$K$19*04_回帰ANOVA!$K$14*SQRT(1+_slice!J122))))),"外")</f>
        <v>-1.00523839859852</v>
      </c>
      <c r="K56" s="50" t="n">
        <f aca="false">IF(AND(_slice!$H$5=1,K$41&gt;=_slice!$H$6-0.000000001,K$41&lt;=_slice!$I$6+0.000000001,$B56&gt;=_slice!$H$7-0.000000001,$B56&lt;=_slice!$I$7+0.000000001,IF(01_因子設定!$B$20="Box-Behnken",K$41^2+$B56^2+_slice!$H$8&lt;=2+0.000000001,TRUE())),IF(01_因子設定!$B$13="最大化",(_slice!K97-04_回帰ANOVA!$K$19*04_回帰ANOVA!$K$14*SQRT(1+_slice!K122))-01_因子設定!$B$14,IF(01_因子設定!$B$13="最小化",01_因子設定!$B$15-(_slice!K97+04_回帰ANOVA!$K$19*04_回帰ANOVA!$K$14*SQRT(1+_slice!K122)),MIN((_slice!K97-04_回帰ANOVA!$K$19*04_回帰ANOVA!$K$14*SQRT(1+_slice!K122))-01_因子設定!$B$14,01_因子設定!$B$15-(_slice!K97+04_回帰ANOVA!$K$19*04_回帰ANOVA!$K$14*SQRT(1+_slice!K122))))),"外")</f>
        <v>-0.736928356907811</v>
      </c>
      <c r="L56" s="50" t="n">
        <f aca="false">IF(AND(_slice!$H$5=1,L$41&gt;=_slice!$H$6-0.000000001,L$41&lt;=_slice!$I$6+0.000000001,$B56&gt;=_slice!$H$7-0.000000001,$B56&lt;=_slice!$I$7+0.000000001,IF(01_因子設定!$B$20="Box-Behnken",L$41^2+$B56^2+_slice!$H$8&lt;=2+0.000000001,TRUE())),IF(01_因子設定!$B$13="最大化",(_slice!L97-04_回帰ANOVA!$K$19*04_回帰ANOVA!$K$14*SQRT(1+_slice!L122))-01_因子設定!$B$14,IF(01_因子設定!$B$13="最小化",01_因子設定!$B$15-(_slice!L97+04_回帰ANOVA!$K$19*04_回帰ANOVA!$K$14*SQRT(1+_slice!L122)),MIN((_slice!L97-04_回帰ANOVA!$K$19*04_回帰ANOVA!$K$14*SQRT(1+_slice!L122))-01_因子設定!$B$14,01_因子設定!$B$15-(_slice!L97+04_回帰ANOVA!$K$19*04_回帰ANOVA!$K$14*SQRT(1+_slice!L122))))),"外")</f>
        <v>-0.520287277635653</v>
      </c>
      <c r="M56" s="50" t="n">
        <f aca="false">IF(AND(_slice!$H$5=1,M$41&gt;=_slice!$H$6-0.000000001,M$41&lt;=_slice!$I$6+0.000000001,$B56&gt;=_slice!$H$7-0.000000001,$B56&lt;=_slice!$I$7+0.000000001,IF(01_因子設定!$B$20="Box-Behnken",M$41^2+$B56^2+_slice!$H$8&lt;=2+0.000000001,TRUE())),IF(01_因子設定!$B$13="最大化",(_slice!M97-04_回帰ANOVA!$K$19*04_回帰ANOVA!$K$14*SQRT(1+_slice!M122))-01_因子設定!$B$14,IF(01_因子設定!$B$13="最小化",01_因子設定!$B$15-(_slice!M97+04_回帰ANOVA!$K$19*04_回帰ANOVA!$K$14*SQRT(1+_slice!M122)),MIN((_slice!M97-04_回帰ANOVA!$K$19*04_回帰ANOVA!$K$14*SQRT(1+_slice!M122))-01_因子設定!$B$14,01_因子設定!$B$15-(_slice!M97+04_回帰ANOVA!$K$19*04_回帰ANOVA!$K$14*SQRT(1+_slice!M122))))),"外")</f>
        <v>-0.354464153948769</v>
      </c>
      <c r="N56" s="50" t="n">
        <f aca="false">IF(AND(_slice!$H$5=1,N$41&gt;=_slice!$H$6-0.000000001,N$41&lt;=_slice!$I$6+0.000000001,$B56&gt;=_slice!$H$7-0.000000001,$B56&lt;=_slice!$I$7+0.000000001,IF(01_因子設定!$B$20="Box-Behnken",N$41^2+$B56^2+_slice!$H$8&lt;=2+0.000000001,TRUE())),IF(01_因子設定!$B$13="最大化",(_slice!N97-04_回帰ANOVA!$K$19*04_回帰ANOVA!$K$14*SQRT(1+_slice!N122))-01_因子設定!$B$14,IF(01_因子設定!$B$13="最小化",01_因子設定!$B$15-(_slice!N97+04_回帰ANOVA!$K$19*04_回帰ANOVA!$K$14*SQRT(1+_slice!N122)),MIN((_slice!N97-04_回帰ANOVA!$K$19*04_回帰ANOVA!$K$14*SQRT(1+_slice!N122))-01_因子設定!$B$14,01_因子設定!$B$15-(_slice!N97+04_回帰ANOVA!$K$19*04_回帰ANOVA!$K$14*SQRT(1+_slice!N122))))),"外")</f>
        <v>-0.239176166524537</v>
      </c>
      <c r="O56" s="50" t="n">
        <f aca="false">IF(AND(_slice!$H$5=1,O$41&gt;=_slice!$H$6-0.000000001,O$41&lt;=_slice!$I$6+0.000000001,$B56&gt;=_slice!$H$7-0.000000001,$B56&lt;=_slice!$I$7+0.000000001,IF(01_因子設定!$B$20="Box-Behnken",O$41^2+$B56^2+_slice!$H$8&lt;=2+0.000000001,TRUE())),IF(01_因子設定!$B$13="最大化",(_slice!O97-04_回帰ANOVA!$K$19*04_回帰ANOVA!$K$14*SQRT(1+_slice!O122))-01_因子設定!$B$14,IF(01_因子設定!$B$13="最小化",01_因子設定!$B$15-(_slice!O97+04_回帰ANOVA!$K$19*04_回帰ANOVA!$K$14*SQRT(1+_slice!O122)),MIN((_slice!O97-04_回帰ANOVA!$K$19*04_回帰ANOVA!$K$14*SQRT(1+_slice!O122))-01_因子設定!$B$14,01_因子設定!$B$15-(_slice!O97+04_回帰ANOVA!$K$19*04_回帰ANOVA!$K$14*SQRT(1+_slice!O122))))),"外")</f>
        <v>-0.174706134685593</v>
      </c>
      <c r="P56" s="50" t="n">
        <f aca="false">IF(AND(_slice!$H$5=1,P$41&gt;=_slice!$H$6-0.000000001,P$41&lt;=_slice!$I$6+0.000000001,$B56&gt;=_slice!$H$7-0.000000001,$B56&lt;=_slice!$I$7+0.000000001,IF(01_因子設定!$B$20="Box-Behnken",P$41^2+$B56^2+_slice!$H$8&lt;=2+0.000000001,TRUE())),IF(01_因子設定!$B$13="最大化",(_slice!P97-04_回帰ANOVA!$K$19*04_回帰ANOVA!$K$14*SQRT(1+_slice!P122))-01_因子設定!$B$14,IF(01_因子設定!$B$13="最小化",01_因子設定!$B$15-(_slice!P97+04_回帰ANOVA!$K$19*04_回帰ANOVA!$K$14*SQRT(1+_slice!P122)),MIN((_slice!P97-04_回帰ANOVA!$K$19*04_回帰ANOVA!$K$14*SQRT(1+_slice!P122))-01_因子設定!$B$14,01_因子設定!$B$15-(_slice!P97+04_回帰ANOVA!$K$19*04_回帰ANOVA!$K$14*SQRT(1+_slice!P122))))),"外")</f>
        <v>-0.161905065265188</v>
      </c>
      <c r="Q56" s="50" t="n">
        <f aca="false">IF(AND(_slice!$H$5=1,Q$41&gt;=_slice!$H$6-0.000000001,Q$41&lt;=_slice!$I$6+0.000000001,$B56&gt;=_slice!$H$7-0.000000001,$B56&lt;=_slice!$I$7+0.000000001,IF(01_因子設定!$B$20="Box-Behnken",Q$41^2+$B56^2+_slice!$H$8&lt;=2+0.000000001,TRUE())),IF(01_因子設定!$B$13="最大化",(_slice!Q97-04_回帰ANOVA!$K$19*04_回帰ANOVA!$K$14*SQRT(1+_slice!Q122))-01_因子設定!$B$14,IF(01_因子設定!$B$13="最小化",01_因子設定!$B$15-(_slice!Q97+04_回帰ANOVA!$K$19*04_回帰ANOVA!$K$14*SQRT(1+_slice!Q122)),MIN((_slice!Q97-04_回帰ANOVA!$K$19*04_回帰ANOVA!$K$14*SQRT(1+_slice!Q122))-01_因子設定!$B$14,01_因子設定!$B$15-(_slice!Q97+04_回帰ANOVA!$K$19*04_回帰ANOVA!$K$14*SQRT(1+_slice!Q122))))),"外")</f>
        <v>-0.202195751023545</v>
      </c>
      <c r="R56" s="50" t="n">
        <f aca="false">IF(AND(_slice!$H$5=1,R$41&gt;=_slice!$H$6-0.000000001,R$41&lt;=_slice!$I$6+0.000000001,$B56&gt;=_slice!$H$7-0.000000001,$B56&lt;=_slice!$I$7+0.000000001,IF(01_因子設定!$B$20="Box-Behnken",R$41^2+$B56^2+_slice!$H$8&lt;=2+0.000000001,TRUE())),IF(01_因子設定!$B$13="最大化",(_slice!R97-04_回帰ANOVA!$K$19*04_回帰ANOVA!$K$14*SQRT(1+_slice!R122))-01_因子設定!$B$14,IF(01_因子設定!$B$13="最小化",01_因子設定!$B$15-(_slice!R97+04_回帰ANOVA!$K$19*04_回帰ANOVA!$K$14*SQRT(1+_slice!R122)),MIN((_slice!R97-04_回帰ANOVA!$K$19*04_回帰ANOVA!$K$14*SQRT(1+_slice!R122))-01_因子設定!$B$14,01_因子設定!$B$15-(_slice!R97+04_回帰ANOVA!$K$19*04_回帰ANOVA!$K$14*SQRT(1+_slice!R122))))),"外")</f>
        <v>-0.297565157111535</v>
      </c>
      <c r="S56" s="50" t="n">
        <f aca="false">IF(AND(_slice!$H$5=1,S$41&gt;=_slice!$H$6-0.000000001,S$41&lt;=_slice!$I$6+0.000000001,$B56&gt;=_slice!$H$7-0.000000001,$B56&lt;=_slice!$I$7+0.000000001,IF(01_因子設定!$B$20="Box-Behnken",S$41^2+$B56^2+_slice!$H$8&lt;=2+0.000000001,TRUE())),IF(01_因子設定!$B$13="最大化",(_slice!S97-04_回帰ANOVA!$K$19*04_回帰ANOVA!$K$14*SQRT(1+_slice!S122))-01_因子設定!$B$14,IF(01_因子設定!$B$13="最小化",01_因子設定!$B$15-(_slice!S97+04_回帰ANOVA!$K$19*04_回帰ANOVA!$K$14*SQRT(1+_slice!S122)),MIN((_slice!S97-04_回帰ANOVA!$K$19*04_回帰ANOVA!$K$14*SQRT(1+_slice!S122))-01_因子設定!$B$14,01_因子設定!$B$15-(_slice!S97+04_回帰ANOVA!$K$19*04_回帰ANOVA!$K$14*SQRT(1+_slice!S122))))),"外")</f>
        <v>-0.450525593852092</v>
      </c>
      <c r="T56" s="50" t="n">
        <f aca="false">IF(AND(_slice!$H$5=1,T$41&gt;=_slice!$H$6-0.000000001,T$41&lt;=_slice!$I$6+0.000000001,$B56&gt;=_slice!$H$7-0.000000001,$B56&lt;=_slice!$I$7+0.000000001,IF(01_因子設定!$B$20="Box-Behnken",T$41^2+$B56^2+_slice!$H$8&lt;=2+0.000000001,TRUE())),IF(01_因子設定!$B$13="最大化",(_slice!T97-04_回帰ANOVA!$K$19*04_回帰ANOVA!$K$14*SQRT(1+_slice!T122))-01_因子設定!$B$14,IF(01_因子設定!$B$13="最小化",01_因子設定!$B$15-(_slice!T97+04_回帰ANOVA!$K$19*04_回帰ANOVA!$K$14*SQRT(1+_slice!T122)),MIN((_slice!T97-04_回帰ANOVA!$K$19*04_回帰ANOVA!$K$14*SQRT(1+_slice!T122))-01_因子設定!$B$14,01_因子設定!$B$15-(_slice!T97+04_回帰ANOVA!$K$19*04_回帰ANOVA!$K$14*SQRT(1+_slice!T122))))),"外")</f>
        <v>-0.664020339402448</v>
      </c>
      <c r="U56" s="50" t="n">
        <f aca="false">IF(AND(_slice!$H$5=1,U$41&gt;=_slice!$H$6-0.000000001,U$41&lt;=_slice!$I$6+0.000000001,$B56&gt;=_slice!$H$7-0.000000001,$B56&lt;=_slice!$I$7+0.000000001,IF(01_因子設定!$B$20="Box-Behnken",U$41^2+$B56^2+_slice!$H$8&lt;=2+0.000000001,TRUE())),IF(01_因子設定!$B$13="最大化",(_slice!U97-04_回帰ANOVA!$K$19*04_回帰ANOVA!$K$14*SQRT(1+_slice!U122))-01_因子設定!$B$14,IF(01_因子設定!$B$13="最小化",01_因子設定!$B$15-(_slice!U97+04_回帰ANOVA!$K$19*04_回帰ANOVA!$K$14*SQRT(1+_slice!U122)),MIN((_slice!U97-04_回帰ANOVA!$K$19*04_回帰ANOVA!$K$14*SQRT(1+_slice!U122))-01_因子設定!$B$14,01_因子設定!$B$15-(_slice!U97+04_回帰ANOVA!$K$19*04_回帰ANOVA!$K$14*SQRT(1+_slice!U122))))),"外")</f>
        <v>-0.941254188811648</v>
      </c>
      <c r="V56" s="50" t="n">
        <f aca="false">IF(AND(_slice!$H$5=1,V$41&gt;=_slice!$H$6-0.000000001,V$41&lt;=_slice!$I$6+0.000000001,$B56&gt;=_slice!$H$7-0.000000001,$B56&lt;=_slice!$I$7+0.000000001,IF(01_因子設定!$B$20="Box-Behnken",V$41^2+$B56^2+_slice!$H$8&lt;=2+0.000000001,TRUE())),IF(01_因子設定!$B$13="最大化",(_slice!V97-04_回帰ANOVA!$K$19*04_回帰ANOVA!$K$14*SQRT(1+_slice!V122))-01_因子設定!$B$14,IF(01_因子設定!$B$13="最小化",01_因子設定!$B$15-(_slice!V97+04_回帰ANOVA!$K$19*04_回帰ANOVA!$K$14*SQRT(1+_slice!V122)),MIN((_slice!V97-04_回帰ANOVA!$K$19*04_回帰ANOVA!$K$14*SQRT(1+_slice!V122))-01_因子設定!$B$14,01_因子設定!$B$15-(_slice!V97+04_回帰ANOVA!$K$19*04_回帰ANOVA!$K$14*SQRT(1+_slice!V122))))),"外")</f>
        <v>-1.28544914676265</v>
      </c>
      <c r="W56" s="50" t="n">
        <f aca="false">IF(AND(_slice!$H$5=1,W$41&gt;=_slice!$H$6-0.000000001,W$41&lt;=_slice!$I$6+0.000000001,$B56&gt;=_slice!$H$7-0.000000001,$B56&lt;=_slice!$I$7+0.000000001,IF(01_因子設定!$B$20="Box-Behnken",W$41^2+$B56^2+_slice!$H$8&lt;=2+0.000000001,TRUE())),IF(01_因子設定!$B$13="最大化",(_slice!W97-04_回帰ANOVA!$K$19*04_回帰ANOVA!$K$14*SQRT(1+_slice!W122))-01_因子設定!$B$14,IF(01_因子設定!$B$13="最小化",01_因子設定!$B$15-(_slice!W97+04_回帰ANOVA!$K$19*04_回帰ANOVA!$K$14*SQRT(1+_slice!W122)),MIN((_slice!W97-04_回帰ANOVA!$K$19*04_回帰ANOVA!$K$14*SQRT(1+_slice!W122))-01_因子設定!$B$14,01_因子設定!$B$15-(_slice!W97+04_回帰ANOVA!$K$19*04_回帰ANOVA!$K$14*SQRT(1+_slice!W122))))),"外")</f>
        <v>-1.69955868358429</v>
      </c>
    </row>
    <row r="57" customFormat="false" ht="15" hidden="false" customHeight="false" outlineLevel="0" collapsed="false">
      <c r="A57" s="49" t="n">
        <f aca="false">INDEX(01_因子設定!$G$5:$G$8,$C$5)+B57*INDEX(01_因子設定!$H$5:$H$8,$C$5)</f>
        <v>26</v>
      </c>
      <c r="B57" s="49" t="n">
        <v>-0.4</v>
      </c>
      <c r="C57" s="50" t="n">
        <f aca="false">IF(AND(_slice!$H$5=1,C$41&gt;=_slice!$H$6-0.000000001,C$41&lt;=_slice!$I$6+0.000000001,$B57&gt;=_slice!$H$7-0.000000001,$B57&lt;=_slice!$I$7+0.000000001,IF(01_因子設定!$B$20="Box-Behnken",C$41^2+$B57^2+_slice!$H$8&lt;=2+0.000000001,TRUE())),IF(01_因子設定!$B$13="最大化",(_slice!C98-04_回帰ANOVA!$K$19*04_回帰ANOVA!$K$14*SQRT(1+_slice!C123))-01_因子設定!$B$14,IF(01_因子設定!$B$13="最小化",01_因子設定!$B$15-(_slice!C98+04_回帰ANOVA!$K$19*04_回帰ANOVA!$K$14*SQRT(1+_slice!C123)),MIN((_slice!C98-04_回帰ANOVA!$K$19*04_回帰ANOVA!$K$14*SQRT(1+_slice!C123))-01_因子設定!$B$14,01_因子設定!$B$15-(_slice!C98+04_回帰ANOVA!$K$19*04_回帰ANOVA!$K$14*SQRT(1+_slice!C123))))),"外")</f>
        <v>-4.7876796087133</v>
      </c>
      <c r="D57" s="50" t="n">
        <f aca="false">IF(AND(_slice!$H$5=1,D$41&gt;=_slice!$H$6-0.000000001,D$41&lt;=_slice!$I$6+0.000000001,$B57&gt;=_slice!$H$7-0.000000001,$B57&lt;=_slice!$I$7+0.000000001,IF(01_因子設定!$B$20="Box-Behnken",D$41^2+$B57^2+_slice!$H$8&lt;=2+0.000000001,TRUE())),IF(01_因子設定!$B$13="最大化",(_slice!D98-04_回帰ANOVA!$K$19*04_回帰ANOVA!$K$14*SQRT(1+_slice!D123))-01_因子設定!$B$14,IF(01_因子設定!$B$13="最小化",01_因子設定!$B$15-(_slice!D98+04_回帰ANOVA!$K$19*04_回帰ANOVA!$K$14*SQRT(1+_slice!D123)),MIN((_slice!D98-04_回帰ANOVA!$K$19*04_回帰ANOVA!$K$14*SQRT(1+_slice!D123))-01_因子設定!$B$14,01_因子設定!$B$15-(_slice!D98+04_回帰ANOVA!$K$19*04_回帰ANOVA!$K$14*SQRT(1+_slice!D123))))),"外")</f>
        <v>-4.10472227585799</v>
      </c>
      <c r="E57" s="50" t="n">
        <f aca="false">IF(AND(_slice!$H$5=1,E$41&gt;=_slice!$H$6-0.000000001,E$41&lt;=_slice!$I$6+0.000000001,$B57&gt;=_slice!$H$7-0.000000001,$B57&lt;=_slice!$I$7+0.000000001,IF(01_因子設定!$B$20="Box-Behnken",E$41^2+$B57^2+_slice!$H$8&lt;=2+0.000000001,TRUE())),IF(01_因子設定!$B$13="最大化",(_slice!E98-04_回帰ANOVA!$K$19*04_回帰ANOVA!$K$14*SQRT(1+_slice!E123))-01_因子設定!$B$14,IF(01_因子設定!$B$13="最小化",01_因子設定!$B$15-(_slice!E98+04_回帰ANOVA!$K$19*04_回帰ANOVA!$K$14*SQRT(1+_slice!E123)),MIN((_slice!E98-04_回帰ANOVA!$K$19*04_回帰ANOVA!$K$14*SQRT(1+_slice!E123))-01_因子設定!$B$14,01_因子設定!$B$15-(_slice!E98+04_回帰ANOVA!$K$19*04_回帰ANOVA!$K$14*SQRT(1+_slice!E123))))),"外")</f>
        <v>-3.49167881133824</v>
      </c>
      <c r="F57" s="50" t="n">
        <f aca="false">IF(AND(_slice!$H$5=1,F$41&gt;=_slice!$H$6-0.000000001,F$41&lt;=_slice!$I$6+0.000000001,$B57&gt;=_slice!$H$7-0.000000001,$B57&lt;=_slice!$I$7+0.000000001,IF(01_因子設定!$B$20="Box-Behnken",F$41^2+$B57^2+_slice!$H$8&lt;=2+0.000000001,TRUE())),IF(01_因子設定!$B$13="最大化",(_slice!F98-04_回帰ANOVA!$K$19*04_回帰ANOVA!$K$14*SQRT(1+_slice!F123))-01_因子設定!$B$14,IF(01_因子設定!$B$13="最小化",01_因子設定!$B$15-(_slice!F98+04_回帰ANOVA!$K$19*04_回帰ANOVA!$K$14*SQRT(1+_slice!F123)),MIN((_slice!F98-04_回帰ANOVA!$K$19*04_回帰ANOVA!$K$14*SQRT(1+_slice!F123))-01_因子設定!$B$14,01_因子設定!$B$15-(_slice!F98+04_回帰ANOVA!$K$19*04_回帰ANOVA!$K$14*SQRT(1+_slice!F123))))),"外")</f>
        <v>-2.94555079980833</v>
      </c>
      <c r="G57" s="50" t="n">
        <f aca="false">IF(AND(_slice!$H$5=1,G$41&gt;=_slice!$H$6-0.000000001,G$41&lt;=_slice!$I$6+0.000000001,$B57&gt;=_slice!$H$7-0.000000001,$B57&lt;=_slice!$I$7+0.000000001,IF(01_因子設定!$B$20="Box-Behnken",G$41^2+$B57^2+_slice!$H$8&lt;=2+0.000000001,TRUE())),IF(01_因子設定!$B$13="最大化",(_slice!G98-04_回帰ANOVA!$K$19*04_回帰ANOVA!$K$14*SQRT(1+_slice!G123))-01_因子設定!$B$14,IF(01_因子設定!$B$13="最小化",01_因子設定!$B$15-(_slice!G98+04_回帰ANOVA!$K$19*04_回帰ANOVA!$K$14*SQRT(1+_slice!G123)),MIN((_slice!G98-04_回帰ANOVA!$K$19*04_回帰ANOVA!$K$14*SQRT(1+_slice!G123))-01_因子設定!$B$14,01_因子設定!$B$15-(_slice!G98+04_回帰ANOVA!$K$19*04_回帰ANOVA!$K$14*SQRT(1+_slice!G123))))),"外")</f>
        <v>-2.4630773528384</v>
      </c>
      <c r="H57" s="50" t="n">
        <f aca="false">IF(AND(_slice!$H$5=1,H$41&gt;=_slice!$H$6-0.000000001,H$41&lt;=_slice!$I$6+0.000000001,$B57&gt;=_slice!$H$7-0.000000001,$B57&lt;=_slice!$I$7+0.000000001,IF(01_因子設定!$B$20="Box-Behnken",H$41^2+$B57^2+_slice!$H$8&lt;=2+0.000000001,TRUE())),IF(01_因子設定!$B$13="最大化",(_slice!H98-04_回帰ANOVA!$K$19*04_回帰ANOVA!$K$14*SQRT(1+_slice!H123))-01_因子設定!$B$14,IF(01_因子設定!$B$13="最小化",01_因子設定!$B$15-(_slice!H98+04_回帰ANOVA!$K$19*04_回帰ANOVA!$K$14*SQRT(1+_slice!H123)),MIN((_slice!H98-04_回帰ANOVA!$K$19*04_回帰ANOVA!$K$14*SQRT(1+_slice!H123))-01_因子設定!$B$14,01_因子設定!$B$15-(_slice!H98+04_回帰ANOVA!$K$19*04_回帰ANOVA!$K$14*SQRT(1+_slice!H123))))),"外")</f>
        <v>-2.04102499962513</v>
      </c>
      <c r="I57" s="50" t="n">
        <f aca="false">IF(AND(_slice!$H$5=1,I$41&gt;=_slice!$H$6-0.000000001,I$41&lt;=_slice!$I$6+0.000000001,$B57&gt;=_slice!$H$7-0.000000001,$B57&lt;=_slice!$I$7+0.000000001,IF(01_因子設定!$B$20="Box-Behnken",I$41^2+$B57^2+_slice!$H$8&lt;=2+0.000000001,TRUE())),IF(01_因子設定!$B$13="最大化",(_slice!I98-04_回帰ANOVA!$K$19*04_回帰ANOVA!$K$14*SQRT(1+_slice!I123))-01_因子設定!$B$14,IF(01_因子設定!$B$13="最小化",01_因子設定!$B$15-(_slice!I98+04_回帰ANOVA!$K$19*04_回帰ANOVA!$K$14*SQRT(1+_slice!I123)),MIN((_slice!I98-04_回帰ANOVA!$K$19*04_回帰ANOVA!$K$14*SQRT(1+_slice!I123))-01_因子設定!$B$14,01_因子設定!$B$15-(_slice!I98+04_回帰ANOVA!$K$19*04_回帰ANOVA!$K$14*SQRT(1+_slice!I123))))),"外")</f>
        <v>-1.67643264217759</v>
      </c>
      <c r="J57" s="50" t="n">
        <f aca="false">IF(AND(_slice!$H$5=1,J$41&gt;=_slice!$H$6-0.000000001,J$41&lt;=_slice!$I$6+0.000000001,$B57&gt;=_slice!$H$7-0.000000001,$B57&lt;=_slice!$I$7+0.000000001,IF(01_因子設定!$B$20="Box-Behnken",J$41^2+$B57^2+_slice!$H$8&lt;=2+0.000000001,TRUE())),IF(01_因子設定!$B$13="最大化",(_slice!J98-04_回帰ANOVA!$K$19*04_回帰ANOVA!$K$14*SQRT(1+_slice!J123))-01_因子設定!$B$14,IF(01_因子設定!$B$13="最小化",01_因子設定!$B$15-(_slice!J98+04_回帰ANOVA!$K$19*04_回帰ANOVA!$K$14*SQRT(1+_slice!J123)),MIN((_slice!J98-04_回帰ANOVA!$K$19*04_回帰ANOVA!$K$14*SQRT(1+_slice!J123))-01_因子設定!$B$14,01_因子設定!$B$15-(_slice!J98+04_回帰ANOVA!$K$19*04_回帰ANOVA!$K$14*SQRT(1+_slice!J123))))),"外")</f>
        <v>-1.36677908435689</v>
      </c>
      <c r="K57" s="50" t="n">
        <f aca="false">IF(AND(_slice!$H$5=1,K$41&gt;=_slice!$H$6-0.000000001,K$41&lt;=_slice!$I$6+0.000000001,$B57&gt;=_slice!$H$7-0.000000001,$B57&lt;=_slice!$I$7+0.000000001,IF(01_因子設定!$B$20="Box-Behnken",K$41^2+$B57^2+_slice!$H$8&lt;=2+0.000000001,TRUE())),IF(01_因子設定!$B$13="最大化",(_slice!K98-04_回帰ANOVA!$K$19*04_回帰ANOVA!$K$14*SQRT(1+_slice!K123))-01_因子設定!$B$14,IF(01_因子設定!$B$13="最小化",01_因子設定!$B$15-(_slice!K98+04_回帰ANOVA!$K$19*04_回帰ANOVA!$K$14*SQRT(1+_slice!K123)),MIN((_slice!K98-04_回帰ANOVA!$K$19*04_回帰ANOVA!$K$14*SQRT(1+_slice!K123))-01_因子設定!$B$14,01_因子設定!$B$15-(_slice!K98+04_回帰ANOVA!$K$19*04_回帰ANOVA!$K$14*SQRT(1+_slice!K123))))),"外")</f>
        <v>-1.11007440926326</v>
      </c>
      <c r="L57" s="50" t="n">
        <f aca="false">IF(AND(_slice!$H$5=1,L$41&gt;=_slice!$H$6-0.000000001,L$41&lt;=_slice!$I$6+0.000000001,$B57&gt;=_slice!$H$7-0.000000001,$B57&lt;=_slice!$I$7+0.000000001,IF(01_因子設定!$B$20="Box-Behnken",L$41^2+$B57^2+_slice!$H$8&lt;=2+0.000000001,TRUE())),IF(01_因子設定!$B$13="最大化",(_slice!L98-04_回帰ANOVA!$K$19*04_回帰ANOVA!$K$14*SQRT(1+_slice!L123))-01_因子設定!$B$14,IF(01_因子設定!$B$13="最小化",01_因子設定!$B$15-(_slice!L98+04_回帰ANOVA!$K$19*04_回帰ANOVA!$K$14*SQRT(1+_slice!L123)),MIN((_slice!L98-04_回帰ANOVA!$K$19*04_回帰ANOVA!$K$14*SQRT(1+_slice!L123))-01_因子設定!$B$14,01_因子設定!$B$15-(_slice!L98+04_回帰ANOVA!$K$19*04_回帰ANOVA!$K$14*SQRT(1+_slice!L123))))),"外")</f>
        <v>-0.90489590669479</v>
      </c>
      <c r="M57" s="50" t="n">
        <f aca="false">IF(AND(_slice!$H$5=1,M$41&gt;=_slice!$H$6-0.000000001,M$41&lt;=_slice!$I$6+0.000000001,$B57&gt;=_slice!$H$7-0.000000001,$B57&lt;=_slice!$I$7+0.000000001,IF(01_因子設定!$B$20="Box-Behnken",M$41^2+$B57^2+_slice!$H$8&lt;=2+0.000000001,TRUE())),IF(01_因子設定!$B$13="最大化",(_slice!M98-04_回帰ANOVA!$K$19*04_回帰ANOVA!$K$14*SQRT(1+_slice!M123))-01_因子設定!$B$14,IF(01_因子設定!$B$13="最小化",01_因子設定!$B$15-(_slice!M98+04_回帰ANOVA!$K$19*04_回帰ANOVA!$K$14*SQRT(1+_slice!M123)),MIN((_slice!M98-04_回帰ANOVA!$K$19*04_回帰ANOVA!$K$14*SQRT(1+_slice!M123))-01_因子設定!$B$14,01_因子設定!$B$15-(_slice!M98+04_回帰ANOVA!$K$19*04_回帰ANOVA!$K$14*SQRT(1+_slice!M123))))),"外")</f>
        <v>-0.750393491686104</v>
      </c>
      <c r="N57" s="50" t="n">
        <f aca="false">IF(AND(_slice!$H$5=1,N$41&gt;=_slice!$H$6-0.000000001,N$41&lt;=_slice!$I$6+0.000000001,$B57&gt;=_slice!$H$7-0.000000001,$B57&lt;=_slice!$I$7+0.000000001,IF(01_因子設定!$B$20="Box-Behnken",N$41^2+$B57^2+_slice!$H$8&lt;=2+0.000000001,TRUE())),IF(01_因子設定!$B$13="最大化",(_slice!N98-04_回帰ANOVA!$K$19*04_回帰ANOVA!$K$14*SQRT(1+_slice!N123))-01_因子設定!$B$14,IF(01_因子設定!$B$13="最小化",01_因子設定!$B$15-(_slice!N98+04_回帰ANOVA!$K$19*04_回帰ANOVA!$K$14*SQRT(1+_slice!N123)),MIN((_slice!N98-04_回帰ANOVA!$K$19*04_回帰ANOVA!$K$14*SQRT(1+_slice!N123))-01_因子設定!$B$14,01_因子設定!$B$15-(_slice!N98+04_回帰ANOVA!$K$19*04_回帰ANOVA!$K$14*SQRT(1+_slice!N123))))),"外")</f>
        <v>-0.646284795583682</v>
      </c>
      <c r="O57" s="50" t="n">
        <f aca="false">IF(AND(_slice!$H$5=1,O$41&gt;=_slice!$H$6-0.000000001,O$41&lt;=_slice!$I$6+0.000000001,$B57&gt;=_slice!$H$7-0.000000001,$B57&lt;=_slice!$I$7+0.000000001,IF(01_因子設定!$B$20="Box-Behnken",O$41^2+$B57^2+_slice!$H$8&lt;=2+0.000000001,TRUE())),IF(01_因子設定!$B$13="最大化",(_slice!O98-04_回帰ANOVA!$K$19*04_回帰ANOVA!$K$14*SQRT(1+_slice!O123))-01_因子設定!$B$14,IF(01_因子設定!$B$13="最小化",01_因子設定!$B$15-(_slice!O98+04_回帰ANOVA!$K$19*04_回帰ANOVA!$K$14*SQRT(1+_slice!O123)),MIN((_slice!O98-04_回帰ANOVA!$K$19*04_回帰ANOVA!$K$14*SQRT(1+_slice!O123))-01_因子設定!$B$14,01_因子設定!$B$15-(_slice!O98+04_回帰ANOVA!$K$19*04_回帰ANOVA!$K$14*SQRT(1+_slice!O123))))),"外")</f>
        <v>-0.592852187041039</v>
      </c>
      <c r="P57" s="50" t="n">
        <f aca="false">IF(AND(_slice!$H$5=1,P$41&gt;=_slice!$H$6-0.000000001,P$41&lt;=_slice!$I$6+0.000000001,$B57&gt;=_slice!$H$7-0.000000001,$B57&lt;=_slice!$I$7+0.000000001,IF(01_因子設定!$B$20="Box-Behnken",P$41^2+$B57^2+_slice!$H$8&lt;=2+0.000000001,TRUE())),IF(01_因子設定!$B$13="最大化",(_slice!P98-04_回帰ANOVA!$K$19*04_回帰ANOVA!$K$14*SQRT(1+_slice!P123))-01_因子設定!$B$14,IF(01_因子設定!$B$13="最小化",01_因子設定!$B$15-(_slice!P98+04_回帰ANOVA!$K$19*04_回帰ANOVA!$K$14*SQRT(1+_slice!P123)),MIN((_slice!P98-04_回帰ANOVA!$K$19*04_回帰ANOVA!$K$14*SQRT(1+_slice!P123))-01_因子設定!$B$14,01_因子設定!$B$15-(_slice!P98+04_回帰ANOVA!$K$19*04_回帰ANOVA!$K$14*SQRT(1+_slice!P123))))),"外")</f>
        <v>-0.590945751023554</v>
      </c>
      <c r="Q57" s="50" t="n">
        <f aca="false">IF(AND(_slice!$H$5=1,Q$41&gt;=_slice!$H$6-0.000000001,Q$41&lt;=_slice!$I$6+0.000000001,$B57&gt;=_slice!$H$7-0.000000001,$B57&lt;=_slice!$I$7+0.000000001,IF(01_因子設定!$B$20="Box-Behnken",Q$41^2+$B57^2+_slice!$H$8&lt;=2+0.000000001,TRUE())),IF(01_因子設定!$B$13="最大化",(_slice!Q98-04_回帰ANOVA!$K$19*04_回帰ANOVA!$K$14*SQRT(1+_slice!Q123))-01_因子設定!$B$14,IF(01_因子設定!$B$13="最小化",01_因子設定!$B$15-(_slice!Q98+04_回帰ANOVA!$K$19*04_回帰ANOVA!$K$14*SQRT(1+_slice!Q123)),MIN((_slice!Q98-04_回帰ANOVA!$K$19*04_回帰ANOVA!$K$14*SQRT(1+_slice!Q123))-01_因子設定!$B$14,01_因子設定!$B$15-(_slice!Q98+04_回帰ANOVA!$K$19*04_回帰ANOVA!$K$14*SQRT(1+_slice!Q123))))),"外")</f>
        <v>-0.641988197733149</v>
      </c>
      <c r="R57" s="50" t="n">
        <f aca="false">IF(AND(_slice!$H$5=1,R$41&gt;=_slice!$H$6-0.000000001,R$41&lt;=_slice!$I$6+0.000000001,$B57&gt;=_slice!$H$7-0.000000001,$B57&lt;=_slice!$I$7+0.000000001,IF(01_因子設定!$B$20="Box-Behnken",R$41^2+$B57^2+_slice!$H$8&lt;=2+0.000000001,TRUE())),IF(01_因子設定!$B$13="最大化",(_slice!R98-04_回帰ANOVA!$K$19*04_回帰ANOVA!$K$14*SQRT(1+_slice!R123))-01_因子設定!$B$14,IF(01_因子設定!$B$13="最小化",01_因子設定!$B$15-(_slice!R98+04_回帰ANOVA!$K$19*04_回帰ANOVA!$K$14*SQRT(1+_slice!R123)),MIN((_slice!R98-04_回帰ANOVA!$K$19*04_回帰ANOVA!$K$14*SQRT(1+_slice!R123))-01_因子設定!$B$14,01_因子設定!$B$15-(_slice!R98+04_回帰ANOVA!$K$19*04_回帰ANOVA!$K$14*SQRT(1+_slice!R123))))),"外")</f>
        <v>-0.747969444069575</v>
      </c>
      <c r="S57" s="50" t="n">
        <f aca="false">IF(AND(_slice!$H$5=1,S$41&gt;=_slice!$H$6-0.000000001,S$41&lt;=_slice!$I$6+0.000000001,$B57&gt;=_slice!$H$7-0.000000001,$B57&lt;=_slice!$I$7+0.000000001,IF(01_因子設定!$B$20="Box-Behnken",S$41^2+$B57^2+_slice!$H$8&lt;=2+0.000000001,TRUE())),IF(01_因子設定!$B$13="最大化",(_slice!S98-04_回帰ANOVA!$K$19*04_回帰ANOVA!$K$14*SQRT(1+_slice!S123))-01_因子設定!$B$14,IF(01_因子設定!$B$13="最小化",01_因子設定!$B$15-(_slice!S98+04_回帰ANOVA!$K$19*04_回帰ANOVA!$K$14*SQRT(1+_slice!S123)),MIN((_slice!S98-04_回帰ANOVA!$K$19*04_回帰ANOVA!$K$14*SQRT(1+_slice!S123))-01_因子設定!$B$14,01_因子設定!$B$15-(_slice!S98+04_回帰ANOVA!$K$19*04_回帰ANOVA!$K$14*SQRT(1+_slice!S123))))),"外")</f>
        <v>-0.911410686171742</v>
      </c>
      <c r="T57" s="50" t="n">
        <f aca="false">IF(AND(_slice!$H$5=1,T$41&gt;=_slice!$H$6-0.000000001,T$41&lt;=_slice!$I$6+0.000000001,$B57&gt;=_slice!$H$7-0.000000001,$B57&lt;=_slice!$I$7+0.000000001,IF(01_因子設定!$B$20="Box-Behnken",T$41^2+$B57^2+_slice!$H$8&lt;=2+0.000000001,TRUE())),IF(01_因子設定!$B$13="最大化",(_slice!T98-04_回帰ANOVA!$K$19*04_回帰ANOVA!$K$14*SQRT(1+_slice!T123))-01_因子設定!$B$14,IF(01_因子設定!$B$13="最小化",01_因子設定!$B$15-(_slice!T98+04_回帰ANOVA!$K$19*04_回帰ANOVA!$K$14*SQRT(1+_slice!T123)),MIN((_slice!T98-04_回帰ANOVA!$K$19*04_回帰ANOVA!$K$14*SQRT(1+_slice!T123))-01_因子設定!$B$14,01_因子設定!$B$15-(_slice!T98+04_回帰ANOVA!$K$19*04_回帰ANOVA!$K$14*SQRT(1+_slice!T123))))),"外")</f>
        <v>-1.13527302203055</v>
      </c>
      <c r="U57" s="50" t="n">
        <f aca="false">IF(AND(_slice!$H$5=1,U$41&gt;=_slice!$H$6-0.000000001,U$41&lt;=_slice!$I$6+0.000000001,$B57&gt;=_slice!$H$7-0.000000001,$B57&lt;=_slice!$I$7+0.000000001,IF(01_因子設定!$B$20="Box-Behnken",U$41^2+$B57^2+_slice!$H$8&lt;=2+0.000000001,TRUE())),IF(01_因子設定!$B$13="最大化",(_slice!U98-04_回帰ANOVA!$K$19*04_回帰ANOVA!$K$14*SQRT(1+_slice!U123))-01_因子設定!$B$14,IF(01_因子設定!$B$13="最小化",01_因子設定!$B$15-(_slice!U98+04_回帰ANOVA!$K$19*04_回帰ANOVA!$K$14*SQRT(1+_slice!U123)),MIN((_slice!U98-04_回帰ANOVA!$K$19*04_回帰ANOVA!$K$14*SQRT(1+_slice!U123))-01_因子設定!$B$14,01_因子設定!$B$15-(_slice!U98+04_回帰ANOVA!$K$19*04_回帰ANOVA!$K$14*SQRT(1+_slice!U123))))),"外")</f>
        <v>-1.42278992244935</v>
      </c>
      <c r="V57" s="50" t="n">
        <f aca="false">IF(AND(_slice!$H$5=1,V$41&gt;=_slice!$H$6-0.000000001,V$41&lt;=_slice!$I$6+0.000000001,$B57&gt;=_slice!$H$7-0.000000001,$B57&lt;=_slice!$I$7+0.000000001,IF(01_因子設定!$B$20="Box-Behnken",V$41^2+$B57^2+_slice!$H$8&lt;=2+0.000000001,TRUE())),IF(01_因子設定!$B$13="最大化",(_slice!V98-04_回帰ANOVA!$K$19*04_回帰ANOVA!$K$14*SQRT(1+_slice!V123))-01_因子設定!$B$14,IF(01_因子設定!$B$13="最小化",01_因子設定!$B$15-(_slice!V98+04_回帰ANOVA!$K$19*04_回帰ANOVA!$K$14*SQRT(1+_slice!V123)),MIN((_slice!V98-04_回帰ANOVA!$K$19*04_回帰ANOVA!$K$14*SQRT(1+_slice!V123))-01_因子設定!$B$14,01_因子設定!$B$15-(_slice!V98+04_回帰ANOVA!$K$19*04_回帰ANOVA!$K$14*SQRT(1+_slice!V123))))),"外")</f>
        <v>-1.77722227585799</v>
      </c>
      <c r="W57" s="50" t="n">
        <f aca="false">IF(AND(_slice!$H$5=1,W$41&gt;=_slice!$H$6-0.000000001,W$41&lt;=_slice!$I$6+0.000000001,$B57&gt;=_slice!$H$7-0.000000001,$B57&lt;=_slice!$I$7+0.000000001,IF(01_因子設定!$B$20="Box-Behnken",W$41^2+$B57^2+_slice!$H$8&lt;=2+0.000000001,TRUE())),IF(01_因子設定!$B$13="最大化",(_slice!W98-04_回帰ANOVA!$K$19*04_回帰ANOVA!$K$14*SQRT(1+_slice!W123))-01_因子設定!$B$14,IF(01_因子設定!$B$13="最小化",01_因子設定!$B$15-(_slice!W98+04_回帰ANOVA!$K$19*04_回帰ANOVA!$K$14*SQRT(1+_slice!W123)),MIN((_slice!W98-04_回帰ANOVA!$K$19*04_回帰ANOVA!$K$14*SQRT(1+_slice!W123))-01_因子設定!$B$14,01_因子設定!$B$15-(_slice!W98+04_回帰ANOVA!$K$19*04_回帰ANOVA!$K$14*SQRT(1+_slice!W123))))),"外")</f>
        <v>-2.2015684976022</v>
      </c>
    </row>
    <row r="58" customFormat="false" ht="15" hidden="false" customHeight="false" outlineLevel="0" collapsed="false">
      <c r="A58" s="49" t="n">
        <f aca="false">INDEX(01_因子設定!$G$5:$G$8,$C$5)+B58*INDEX(01_因子設定!$H$5:$H$8,$C$5)</f>
        <v>25</v>
      </c>
      <c r="B58" s="49" t="n">
        <v>-0.5</v>
      </c>
      <c r="C58" s="50" t="n">
        <f aca="false">IF(AND(_slice!$H$5=1,C$41&gt;=_slice!$H$6-0.000000001,C$41&lt;=_slice!$I$6+0.000000001,$B58&gt;=_slice!$H$7-0.000000001,$B58&lt;=_slice!$I$7+0.000000001,IF(01_因子設定!$B$20="Box-Behnken",C$41^2+$B58^2+_slice!$H$8&lt;=2+0.000000001,TRUE())),IF(01_因子設定!$B$13="最大化",(_slice!C99-04_回帰ANOVA!$K$19*04_回帰ANOVA!$K$14*SQRT(1+_slice!C124))-01_因子設定!$B$14,IF(01_因子設定!$B$13="最小化",01_因子設定!$B$15-(_slice!C99+04_回帰ANOVA!$K$19*04_回帰ANOVA!$K$14*SQRT(1+_slice!C124)),MIN((_slice!C99-04_回帰ANOVA!$K$19*04_回帰ANOVA!$K$14*SQRT(1+_slice!C124))-01_因子設定!$B$14,01_因子設定!$B$15-(_slice!C99+04_回帰ANOVA!$K$19*04_回帰ANOVA!$K$14*SQRT(1+_slice!C124))))),"外")</f>
        <v>-5.1177363090839</v>
      </c>
      <c r="D58" s="50" t="n">
        <f aca="false">IF(AND(_slice!$H$5=1,D$41&gt;=_slice!$H$6-0.000000001,D$41&lt;=_slice!$I$6+0.000000001,$B58&gt;=_slice!$H$7-0.000000001,$B58&lt;=_slice!$I$7+0.000000001,IF(01_因子設定!$B$20="Box-Behnken",D$41^2+$B58^2+_slice!$H$8&lt;=2+0.000000001,TRUE())),IF(01_因子設定!$B$13="最大化",(_slice!D99-04_回帰ANOVA!$K$19*04_回帰ANOVA!$K$14*SQRT(1+_slice!D124))-01_因子設定!$B$14,IF(01_因子設定!$B$13="最小化",01_因子設定!$B$15-(_slice!D99+04_回帰ANOVA!$K$19*04_回帰ANOVA!$K$14*SQRT(1+_slice!D124)),MIN((_slice!D99-04_回帰ANOVA!$K$19*04_回帰ANOVA!$K$14*SQRT(1+_slice!D124))-01_因子設定!$B$14,01_因子設定!$B$15-(_slice!D99+04_回帰ANOVA!$K$19*04_回帰ANOVA!$K$14*SQRT(1+_slice!D124))))),"外")</f>
        <v>-4.44746817952771</v>
      </c>
      <c r="E58" s="50" t="n">
        <f aca="false">IF(AND(_slice!$H$5=1,E$41&gt;=_slice!$H$6-0.000000001,E$41&lt;=_slice!$I$6+0.000000001,$B58&gt;=_slice!$H$7-0.000000001,$B58&lt;=_slice!$I$7+0.000000001,IF(01_因子設定!$B$20="Box-Behnken",E$41^2+$B58^2+_slice!$H$8&lt;=2+0.000000001,TRUE())),IF(01_因子設定!$B$13="最大化",(_slice!E99-04_回帰ANOVA!$K$19*04_回帰ANOVA!$K$14*SQRT(1+_slice!E124))-01_因子設定!$B$14,IF(01_因子設定!$B$13="最小化",01_因子設定!$B$15-(_slice!E99+04_回帰ANOVA!$K$19*04_回帰ANOVA!$K$14*SQRT(1+_slice!E124)),MIN((_slice!E99-04_回帰ANOVA!$K$19*04_回帰ANOVA!$K$14*SQRT(1+_slice!E124))-01_因子設定!$B$14,01_因子設定!$B$15-(_slice!E99+04_回帰ANOVA!$K$19*04_回帰ANOVA!$K$14*SQRT(1+_slice!E124))))),"外")</f>
        <v>-3.84708070778258</v>
      </c>
      <c r="F58" s="50" t="n">
        <f aca="false">IF(AND(_slice!$H$5=1,F$41&gt;=_slice!$H$6-0.000000001,F$41&lt;=_slice!$I$6+0.000000001,$B58&gt;=_slice!$H$7-0.000000001,$B58&lt;=_slice!$I$7+0.000000001,IF(01_因子設定!$B$20="Box-Behnken",F$41^2+$B58^2+_slice!$H$8&lt;=2+0.000000001,TRUE())),IF(01_因子設定!$B$13="最大化",(_slice!F99-04_回帰ANOVA!$K$19*04_回帰ANOVA!$K$14*SQRT(1+_slice!F124))-01_因子設定!$B$14,IF(01_因子設定!$B$13="最小化",01_因子設定!$B$15-(_slice!F99+04_回帰ANOVA!$K$19*04_回帰ANOVA!$K$14*SQRT(1+_slice!F124)),MIN((_slice!F99-04_回帰ANOVA!$K$19*04_回帰ANOVA!$K$14*SQRT(1+_slice!F124))-01_因子設定!$B$14,01_因子設定!$B$15-(_slice!F99+04_回帰ANOVA!$K$19*04_回帰ANOVA!$K$14*SQRT(1+_slice!F124))))),"外")</f>
        <v>-3.31351766431044</v>
      </c>
      <c r="G58" s="50" t="n">
        <f aca="false">IF(AND(_slice!$H$5=1,G$41&gt;=_slice!$H$6-0.000000001,G$41&lt;=_slice!$I$6+0.000000001,$B58&gt;=_slice!$H$7-0.000000001,$B58&lt;=_slice!$I$7+0.000000001,IF(01_因子設定!$B$20="Box-Behnken",G$41^2+$B58^2+_slice!$H$8&lt;=2+0.000000001,TRUE())),IF(01_因子設定!$B$13="最大化",(_slice!G99-04_回帰ANOVA!$K$19*04_回帰ANOVA!$K$14*SQRT(1+_slice!G124))-01_因子設定!$B$14,IF(01_因子設定!$B$13="最小化",01_因子設定!$B$15-(_slice!G99+04_回帰ANOVA!$K$19*04_回帰ANOVA!$K$14*SQRT(1+_slice!G124)),MIN((_slice!G99-04_回帰ANOVA!$K$19*04_回帰ANOVA!$K$14*SQRT(1+_slice!G124))-01_因子設定!$B$14,01_因子設定!$B$15-(_slice!G99+04_回帰ANOVA!$K$19*04_回帰ANOVA!$K$14*SQRT(1+_slice!G124))))),"外")</f>
        <v>-2.84347201527535</v>
      </c>
      <c r="H58" s="50" t="n">
        <f aca="false">IF(AND(_slice!$H$5=1,H$41&gt;=_slice!$H$6-0.000000001,H$41&lt;=_slice!$I$6+0.000000001,$B58&gt;=_slice!$H$7-0.000000001,$B58&lt;=_slice!$I$7+0.000000001,IF(01_因子設定!$B$20="Box-Behnken",H$41^2+$B58^2+_slice!$H$8&lt;=2+0.000000001,TRUE())),IF(01_因子設定!$B$13="最大化",(_slice!H99-04_回帰ANOVA!$K$19*04_回帰ANOVA!$K$14*SQRT(1+_slice!H124))-01_因子設定!$B$14,IF(01_因子設定!$B$13="最小化",01_因子設定!$B$15-(_slice!H99+04_回帰ANOVA!$K$19*04_回帰ANOVA!$K$14*SQRT(1+_slice!H124)),MIN((_slice!H99-04_回帰ANOVA!$K$19*04_回帰ANOVA!$K$14*SQRT(1+_slice!H124))-01_因子設定!$B$14,01_因子設定!$B$15-(_slice!H99+04_回帰ANOVA!$K$19*04_回帰ANOVA!$K$14*SQRT(1+_slice!H124))))),"外")</f>
        <v>-2.43367972476322</v>
      </c>
      <c r="I58" s="50" t="n">
        <f aca="false">IF(AND(_slice!$H$5=1,I$41&gt;=_slice!$H$6-0.000000001,I$41&lt;=_slice!$I$6+0.000000001,$B58&gt;=_slice!$H$7-0.000000001,$B58&lt;=_slice!$I$7+0.000000001,IF(01_因子設定!$B$20="Box-Behnken",I$41^2+$B58^2+_slice!$H$8&lt;=2+0.000000001,TRUE())),IF(01_因子設定!$B$13="最大化",(_slice!I99-04_回帰ANOVA!$K$19*04_回帰ANOVA!$K$14*SQRT(1+_slice!I124))-01_因子設定!$B$14,IF(01_因子設定!$B$13="最小化",01_因子設定!$B$15-(_slice!I99+04_回帰ANOVA!$K$19*04_回帰ANOVA!$K$14*SQRT(1+_slice!I124)),MIN((_slice!I99-04_回帰ANOVA!$K$19*04_回帰ANOVA!$K$14*SQRT(1+_slice!I124))-01_因子設定!$B$14,01_因子設定!$B$15-(_slice!I99+04_回帰ANOVA!$K$19*04_回帰ANOVA!$K$14*SQRT(1+_slice!I124))))),"外")</f>
        <v>-2.08116388851403</v>
      </c>
      <c r="J58" s="50" t="n">
        <f aca="false">IF(AND(_slice!$H$5=1,J$41&gt;=_slice!$H$6-0.000000001,J$41&lt;=_slice!$I$6+0.000000001,$B58&gt;=_slice!$H$7-0.000000001,$B58&lt;=_slice!$I$7+0.000000001,IF(01_因子設定!$B$20="Box-Behnken",J$41^2+$B58^2+_slice!$H$8&lt;=2+0.000000001,TRUE())),IF(01_因子設定!$B$13="最大化",(_slice!J99-04_回帰ANOVA!$K$19*04_回帰ANOVA!$K$14*SQRT(1+_slice!J124))-01_因子設定!$B$14,IF(01_因子設定!$B$13="最小化",01_因子設定!$B$15-(_slice!J99+04_回帰ANOVA!$K$19*04_回帰ANOVA!$K$14*SQRT(1+_slice!J124)),MIN((_slice!J99-04_回帰ANOVA!$K$19*04_回帰ANOVA!$K$14*SQRT(1+_slice!J124))-01_因子設定!$B$14,01_因子設定!$B$15-(_slice!J99+04_回帰ANOVA!$K$19*04_回帰ANOVA!$K$14*SQRT(1+_slice!J124))))),"外")</f>
        <v>-1.78339849044488</v>
      </c>
      <c r="K58" s="50" t="n">
        <f aca="false">IF(AND(_slice!$H$5=1,K$41&gt;=_slice!$H$6-0.000000001,K$41&lt;=_slice!$I$6+0.000000001,$B58&gt;=_slice!$H$7-0.000000001,$B58&lt;=_slice!$I$7+0.000000001,IF(01_因子設定!$B$20="Box-Behnken",K$41^2+$B58^2+_slice!$H$8&lt;=2+0.000000001,TRUE())),IF(01_因子設定!$B$13="最大化",(_slice!K99-04_回帰ANOVA!$K$19*04_回帰ANOVA!$K$14*SQRT(1+_slice!K124))-01_因子設定!$B$14,IF(01_因子設定!$B$13="最小化",01_因子設定!$B$15-(_slice!K99+04_回帰ANOVA!$K$19*04_回帰ANOVA!$K$14*SQRT(1+_slice!K124)),MIN((_slice!K99-04_回帰ANOVA!$K$19*04_回帰ANOVA!$K$14*SQRT(1+_slice!K124))-01_因子設定!$B$14,01_因子設定!$B$15-(_slice!K99+04_回帰ANOVA!$K$19*04_回帰ANOVA!$K$14*SQRT(1+_slice!K124))))),"外")</f>
        <v>-1.53839517556332</v>
      </c>
      <c r="L58" s="50" t="n">
        <f aca="false">IF(AND(_slice!$H$5=1,L$41&gt;=_slice!$H$6-0.000000001,L$41&lt;=_slice!$I$6+0.000000001,$B58&gt;=_slice!$H$7-0.000000001,$B58&lt;=_slice!$I$7+0.000000001,IF(01_因子設定!$B$20="Box-Behnken",L$41^2+$B58^2+_slice!$H$8&lt;=2+0.000000001,TRUE())),IF(01_因子設定!$B$13="最大化",(_slice!L99-04_回帰ANOVA!$K$19*04_回帰ANOVA!$K$14*SQRT(1+_slice!L124))-01_因子設定!$B$14,IF(01_因子設定!$B$13="最小化",01_因子設定!$B$15-(_slice!L99+04_回帰ANOVA!$K$19*04_回帰ANOVA!$K$14*SQRT(1+_slice!L124)),MIN((_slice!L99-04_回帰ANOVA!$K$19*04_回帰ANOVA!$K$14*SQRT(1+_slice!L124))-01_因子設定!$B$14,01_因子設定!$B$15-(_slice!L99+04_回帰ANOVA!$K$19*04_回帰ANOVA!$K$14*SQRT(1+_slice!L124))))),"外")</f>
        <v>-1.34473516069652</v>
      </c>
      <c r="M58" s="50" t="n">
        <f aca="false">IF(AND(_slice!$H$5=1,M$41&gt;=_slice!$H$6-0.000000001,M$41&lt;=_slice!$I$6+0.000000001,$B58&gt;=_slice!$H$7-0.000000001,$B58&lt;=_slice!$I$7+0.000000001,IF(01_因子設定!$B$20="Box-Behnken",M$41^2+$B58^2+_slice!$H$8&lt;=2+0.000000001,TRUE())),IF(01_因子設定!$B$13="最大化",(_slice!M99-04_回帰ANOVA!$K$19*04_回帰ANOVA!$K$14*SQRT(1+_slice!M124))-01_因子設定!$B$14,IF(01_因子設定!$B$13="最小化",01_因子設定!$B$15-(_slice!M99+04_回帰ANOVA!$K$19*04_回帰ANOVA!$K$14*SQRT(1+_slice!M124)),MIN((_slice!M99-04_回帰ANOVA!$K$19*04_回帰ANOVA!$K$14*SQRT(1+_slice!M124))-01_因子設定!$B$14,01_因子設定!$B$15-(_slice!M99+04_回帰ANOVA!$K$19*04_回帰ANOVA!$K$14*SQRT(1+_slice!M124))))),"外")</f>
        <v>-1.20157180112152</v>
      </c>
      <c r="N58" s="50" t="n">
        <f aca="false">IF(AND(_slice!$H$5=1,N$41&gt;=_slice!$H$6-0.000000001,N$41&lt;=_slice!$I$6+0.000000001,$B58&gt;=_slice!$H$7-0.000000001,$B58&lt;=_slice!$I$7+0.000000001,IF(01_因子設定!$B$20="Box-Behnken",N$41^2+$B58^2+_slice!$H$8&lt;=2+0.000000001,TRUE())),IF(01_因子設定!$B$13="最大化",(_slice!N99-04_回帰ANOVA!$K$19*04_回帰ANOVA!$K$14*SQRT(1+_slice!N124))-01_因子設定!$B$14,IF(01_因子設定!$B$13="最小化",01_因子設定!$B$15-(_slice!N99+04_回帰ANOVA!$K$19*04_回帰ANOVA!$K$14*SQRT(1+_slice!N124)),MIN((_slice!N99-04_回帰ANOVA!$K$19*04_回帰ANOVA!$K$14*SQRT(1+_slice!N124))-01_因子設定!$B$14,01_因子設定!$B$15-(_slice!N99+04_回帰ANOVA!$K$19*04_回帰ANOVA!$K$14*SQRT(1+_slice!N124))))),"外")</f>
        <v>-1.10862404958541</v>
      </c>
      <c r="O58" s="50" t="n">
        <f aca="false">IF(AND(_slice!$H$5=1,O$41&gt;=_slice!$H$6-0.000000001,O$41&lt;=_slice!$I$6+0.000000001,$B58&gt;=_slice!$H$7-0.000000001,$B58&lt;=_slice!$I$7+0.000000001,IF(01_因子設定!$B$20="Box-Behnken",O$41^2+$B58^2+_slice!$H$8&lt;=2+0.000000001,TRUE())),IF(01_因子設定!$B$13="最大化",(_slice!O99-04_回帰ANOVA!$K$19*04_回帰ANOVA!$K$14*SQRT(1+_slice!O124))-01_因子設定!$B$14,IF(01_因子設定!$B$13="最小化",01_因子設定!$B$15-(_slice!O99+04_回帰ANOVA!$K$19*04_回帰ANOVA!$K$14*SQRT(1+_slice!O124)),MIN((_slice!O99-04_回帰ANOVA!$K$19*04_回帰ANOVA!$K$14*SQRT(1+_slice!O124))-01_因子設定!$B$14,01_因子設定!$B$15-(_slice!O99+04_回帰ANOVA!$K$19*04_回帰ANOVA!$K$14*SQRT(1+_slice!O124))))),"外")</f>
        <v>-1.06617295334109</v>
      </c>
      <c r="P58" s="50" t="n">
        <f aca="false">IF(AND(_slice!$H$5=1,P$41&gt;=_slice!$H$6-0.000000001,P$41&lt;=_slice!$I$6+0.000000001,$B58&gt;=_slice!$H$7-0.000000001,$B58&lt;=_slice!$I$7+0.000000001,IF(01_因子設定!$B$20="Box-Behnken",P$41^2+$B58^2+_slice!$H$8&lt;=2+0.000000001,TRUE())),IF(01_因子設定!$B$13="最大化",(_slice!P99-04_回帰ANOVA!$K$19*04_回帰ANOVA!$K$14*SQRT(1+_slice!P124))-01_因子設定!$B$14,IF(01_因子設定!$B$13="最小化",01_因子設定!$B$15-(_slice!P99+04_回帰ANOVA!$K$19*04_回帰ANOVA!$K$14*SQRT(1+_slice!P124)),MIN((_slice!P99-04_回帰ANOVA!$K$19*04_回帰ANOVA!$K$14*SQRT(1+_slice!P124))-01_因子設定!$B$14,01_因子設定!$B$15-(_slice!P99+04_回帰ANOVA!$K$19*04_回帰ANOVA!$K$14*SQRT(1+_slice!P124))))),"外")</f>
        <v>-1.07506515711155</v>
      </c>
      <c r="Q58" s="50" t="n">
        <f aca="false">IF(AND(_slice!$H$5=1,Q$41&gt;=_slice!$H$6-0.000000001,Q$41&lt;=_slice!$I$6+0.000000001,$B58&gt;=_slice!$H$7-0.000000001,$B58&lt;=_slice!$I$7+0.000000001,IF(01_因子設定!$B$20="Box-Behnken",Q$41^2+$B58^2+_slice!$H$8&lt;=2+0.000000001,TRUE())),IF(01_因子設定!$B$13="最大化",(_slice!Q99-04_回帰ANOVA!$K$19*04_回帰ANOVA!$K$14*SQRT(1+_slice!Q124))-01_因子設定!$B$14,IF(01_因子設定!$B$13="最小化",01_因子設定!$B$15-(_slice!Q99+04_回帰ANOVA!$K$19*04_回帰ANOVA!$K$14*SQRT(1+_slice!Q124)),MIN((_slice!Q99-04_回帰ANOVA!$K$19*04_回帰ANOVA!$K$14*SQRT(1+_slice!Q124))-01_因子設定!$B$14,01_因子設定!$B$15-(_slice!Q99+04_回帰ANOVA!$K$19*04_回帰ANOVA!$K$14*SQRT(1+_slice!Q124))))),"外")</f>
        <v>-1.13671944406958</v>
      </c>
      <c r="R58" s="50" t="n">
        <f aca="false">IF(AND(_slice!$H$5=1,R$41&gt;=_slice!$H$6-0.000000001,R$41&lt;=_slice!$I$6+0.000000001,$B58&gt;=_slice!$H$7-0.000000001,$B58&lt;=_slice!$I$7+0.000000001,IF(01_因子設定!$B$20="Box-Behnken",R$41^2+$B58^2+_slice!$H$8&lt;=2+0.000000001,TRUE())),IF(01_因子設定!$B$13="最大化",(_slice!R99-04_回帰ANOVA!$K$19*04_回帰ANOVA!$K$14*SQRT(1+_slice!R124))-01_因子設定!$B$14,IF(01_因子設定!$B$13="最小化",01_因子設定!$B$15-(_slice!R99+04_回帰ANOVA!$K$19*04_回帰ANOVA!$K$14*SQRT(1+_slice!R124)),MIN((_slice!R99-04_回帰ANOVA!$K$19*04_回帰ANOVA!$K$14*SQRT(1+_slice!R124))-01_因子設定!$B$14,01_因子設定!$B$15-(_slice!R99+04_回帰ANOVA!$K$19*04_回帰ANOVA!$K$14*SQRT(1+_slice!R124))))),"外")</f>
        <v>-1.25312416920767</v>
      </c>
      <c r="S58" s="50" t="n">
        <f aca="false">IF(AND(_slice!$H$5=1,S$41&gt;=_slice!$H$6-0.000000001,S$41&lt;=_slice!$I$6+0.000000001,$B58&gt;=_slice!$H$7-0.000000001,$B58&lt;=_slice!$I$7+0.000000001,IF(01_因子設定!$B$20="Box-Behnken",S$41^2+$B58^2+_slice!$H$8&lt;=2+0.000000001,TRUE())),IF(01_因子設定!$B$13="最大化",(_slice!S99-04_回帰ANOVA!$K$19*04_回帰ANOVA!$K$14*SQRT(1+_slice!S124))-01_因子設定!$B$14,IF(01_因子設定!$B$13="最小化",01_因子設定!$B$15-(_slice!S99+04_回帰ANOVA!$K$19*04_回帰ANOVA!$K$14*SQRT(1+_slice!S124)),MIN((_slice!S99-04_回帰ANOVA!$K$19*04_回帰ANOVA!$K$14*SQRT(1+_slice!S124))-01_因子設定!$B$14,01_因子設定!$B$15-(_slice!S99+04_回帰ANOVA!$K$19*04_回帰ANOVA!$K$14*SQRT(1+_slice!S124))))),"外")</f>
        <v>-1.42680534860868</v>
      </c>
      <c r="T58" s="50" t="n">
        <f aca="false">IF(AND(_slice!$H$5=1,T$41&gt;=_slice!$H$6-0.000000001,T$41&lt;=_slice!$I$6+0.000000001,$B58&gt;=_slice!$H$7-0.000000001,$B58&lt;=_slice!$I$7+0.000000001,IF(01_因子設定!$B$20="Box-Behnken",T$41^2+$B58^2+_slice!$H$8&lt;=2+0.000000001,TRUE())),IF(01_因子設定!$B$13="最大化",(_slice!T99-04_回帰ANOVA!$K$19*04_回帰ANOVA!$K$14*SQRT(1+_slice!T124))-01_因子設定!$B$14,IF(01_因子設定!$B$13="最小化",01_因子設定!$B$15-(_slice!T99+04_回帰ANOVA!$K$19*04_回帰ANOVA!$K$14*SQRT(1+_slice!T124)),MIN((_slice!T99-04_回帰ANOVA!$K$19*04_回帰ANOVA!$K$14*SQRT(1+_slice!T124))-01_因子設定!$B$14,01_因子設定!$B$15-(_slice!T99+04_回帰ANOVA!$K$19*04_回帰ANOVA!$K$14*SQRT(1+_slice!T124))))),"外")</f>
        <v>-1.66073988653265</v>
      </c>
      <c r="U58" s="50" t="n">
        <f aca="false">IF(AND(_slice!$H$5=1,U$41&gt;=_slice!$H$6-0.000000001,U$41&lt;=_slice!$I$6+0.000000001,$B58&gt;=_slice!$H$7-0.000000001,$B58&lt;=_slice!$I$7+0.000000001,IF(01_因子設定!$B$20="Box-Behnken",U$41^2+$B58^2+_slice!$H$8&lt;=2+0.000000001,TRUE())),IF(01_因子設定!$B$13="最大化",(_slice!U99-04_回帰ANOVA!$K$19*04_回帰ANOVA!$K$14*SQRT(1+_slice!U124))-01_因子設定!$B$14,IF(01_因子設定!$B$13="最小化",01_因子設定!$B$15-(_slice!U99+04_回帰ANOVA!$K$19*04_回帰ANOVA!$K$14*SQRT(1+_slice!U124)),MIN((_slice!U99-04_回帰ANOVA!$K$19*04_回帰ANOVA!$K$14*SQRT(1+_slice!U124))-01_因子設定!$B$14,01_因子設定!$B$15-(_slice!U99+04_回帰ANOVA!$K$19*04_回帰ANOVA!$K$14*SQRT(1+_slice!U124))))),"外")</f>
        <v>-1.9581918188937</v>
      </c>
      <c r="V58" s="50" t="n">
        <f aca="false">IF(AND(_slice!$H$5=1,V$41&gt;=_slice!$H$6-0.000000001,V$41&lt;=_slice!$I$6+0.000000001,$B58&gt;=_slice!$H$7-0.000000001,$B58&lt;=_slice!$I$7+0.000000001,IF(01_因子設定!$B$20="Box-Behnken",V$41^2+$B58^2+_slice!$H$8&lt;=2+0.000000001,TRUE())),IF(01_因子設定!$B$13="最大化",(_slice!V99-04_回帰ANOVA!$K$19*04_回帰ANOVA!$K$14*SQRT(1+_slice!V124))-01_因子設定!$B$14,IF(01_因子設定!$B$13="最小化",01_因子設定!$B$15-(_slice!V99+04_回帰ANOVA!$K$19*04_回帰ANOVA!$K$14*SQRT(1+_slice!V124)),MIN((_slice!V99-04_回帰ANOVA!$K$19*04_回帰ANOVA!$K$14*SQRT(1+_slice!V124))-01_因子設定!$B$14,01_因子設定!$B$15-(_slice!V99+04_回帰ANOVA!$K$19*04_回帰ANOVA!$K$14*SQRT(1+_slice!V124))))),"外")</f>
        <v>-2.32246817952771</v>
      </c>
      <c r="W58" s="50" t="n">
        <f aca="false">IF(AND(_slice!$H$5=1,W$41&gt;=_slice!$H$6-0.000000001,W$41&lt;=_slice!$I$6+0.000000001,$B58&gt;=_slice!$H$7-0.000000001,$B58&lt;=_slice!$I$7+0.000000001,IF(01_因子設定!$B$20="Box-Behnken",W$41^2+$B58^2+_slice!$H$8&lt;=2+0.000000001,TRUE())),IF(01_因子設定!$B$13="最大化",(_slice!W99-04_回帰ANOVA!$K$19*04_回帰ANOVA!$K$14*SQRT(1+_slice!W124))-01_因子設定!$B$14,IF(01_因子設定!$B$13="最小化",01_因子設定!$B$15-(_slice!W99+04_回帰ANOVA!$K$19*04_回帰ANOVA!$K$14*SQRT(1+_slice!W124)),MIN((_slice!W99-04_回帰ANOVA!$K$19*04_回帰ANOVA!$K$14*SQRT(1+_slice!W124))-01_因子設定!$B$14,01_因子設定!$B$15-(_slice!W99+04_回帰ANOVA!$K$19*04_回帰ANOVA!$K$14*SQRT(1+_slice!W124))))),"外")</f>
        <v>-2.75662519797279</v>
      </c>
    </row>
    <row r="59" customFormat="false" ht="15" hidden="false" customHeight="false" outlineLevel="0" collapsed="false">
      <c r="A59" s="49" t="n">
        <f aca="false">INDEX(01_因子設定!$G$5:$G$8,$C$5)+B59*INDEX(01_因子設定!$H$5:$H$8,$C$5)</f>
        <v>24</v>
      </c>
      <c r="B59" s="49" t="n">
        <v>-0.6</v>
      </c>
      <c r="C59" s="50" t="n">
        <f aca="false">IF(AND(_slice!$H$5=1,C$41&gt;=_slice!$H$6-0.000000001,C$41&lt;=_slice!$I$6+0.000000001,$B59&gt;=_slice!$H$7-0.000000001,$B59&lt;=_slice!$I$7+0.000000001,IF(01_因子設定!$B$20="Box-Behnken",C$41^2+$B59^2+_slice!$H$8&lt;=2+0.000000001,TRUE())),IF(01_因子設定!$B$13="最大化",(_slice!C100-04_回帰ANOVA!$K$19*04_回帰ANOVA!$K$14*SQRT(1+_slice!C125))-01_因子設定!$B$14,IF(01_因子設定!$B$13="最小化",01_因子設定!$B$15-(_slice!C100+04_回帰ANOVA!$K$19*04_回帰ANOVA!$K$14*SQRT(1+_slice!C125)),MIN((_slice!C100-04_回帰ANOVA!$K$19*04_回帰ANOVA!$K$14*SQRT(1+_slice!C125))-01_因子設定!$B$14,01_因子設定!$B$15-(_slice!C100+04_回帰ANOVA!$K$19*04_回帰ANOVA!$K$14*SQRT(1+_slice!C125))))),"外")</f>
        <v>-5.50314637694122</v>
      </c>
      <c r="D59" s="50" t="n">
        <f aca="false">IF(AND(_slice!$H$5=1,D$41&gt;=_slice!$H$6-0.000000001,D$41&lt;=_slice!$I$6+0.000000001,$B59&gt;=_slice!$H$7-0.000000001,$B59&lt;=_slice!$I$7+0.000000001,IF(01_因子設定!$B$20="Box-Behnken",D$41^2+$B59^2+_slice!$H$8&lt;=2+0.000000001,TRUE())),IF(01_因子設定!$B$13="最大化",(_slice!D100-04_回帰ANOVA!$K$19*04_回帰ANOVA!$K$14*SQRT(1+_slice!D125))-01_因子設定!$B$14,IF(01_因子設定!$B$13="最小化",01_因子設定!$B$15-(_slice!D100+04_回帰ANOVA!$K$19*04_回帰ANOVA!$K$14*SQRT(1+_slice!D125)),MIN((_slice!D100-04_回帰ANOVA!$K$19*04_回帰ANOVA!$K$14*SQRT(1+_slice!D125))-01_因子設定!$B$14,01_因子設定!$B$15-(_slice!D100+04_回帰ANOVA!$K$19*04_回帰ANOVA!$K$14*SQRT(1+_slice!D125))))),"外")</f>
        <v>-4.84608446169835</v>
      </c>
      <c r="E59" s="50" t="n">
        <f aca="false">IF(AND(_slice!$H$5=1,E$41&gt;=_slice!$H$6-0.000000001,E$41&lt;=_slice!$I$6+0.000000001,$B59&gt;=_slice!$H$7-0.000000001,$B59&lt;=_slice!$I$7+0.000000001,IF(01_因子設定!$B$20="Box-Behnken",E$41^2+$B59^2+_slice!$H$8&lt;=2+0.000000001,TRUE())),IF(01_因子設定!$B$13="最大化",(_slice!E100-04_回帰ANOVA!$K$19*04_回帰ANOVA!$K$14*SQRT(1+_slice!E125))-01_因子設定!$B$14,IF(01_因子設定!$B$13="最小化",01_因子設定!$B$15-(_slice!E100+04_回帰ANOVA!$K$19*04_回帰ANOVA!$K$14*SQRT(1+_slice!E125)),MIN((_slice!E100-04_回帰ANOVA!$K$19*04_回帰ANOVA!$K$14*SQRT(1+_slice!E125))-01_因子設定!$B$14,01_因子設定!$B$15-(_slice!E100+04_回帰ANOVA!$K$19*04_回帰ANOVA!$K$14*SQRT(1+_slice!E125))))),"外")</f>
        <v>-4.25881120731323</v>
      </c>
      <c r="F59" s="50" t="n">
        <f aca="false">IF(AND(_slice!$H$5=1,F$41&gt;=_slice!$H$6-0.000000001,F$41&lt;=_slice!$I$6+0.000000001,$B59&gt;=_slice!$H$7-0.000000001,$B59&lt;=_slice!$I$7+0.000000001,IF(01_因子設定!$B$20="Box-Behnken",F$41^2+$B59^2+_slice!$H$8&lt;=2+0.000000001,TRUE())),IF(01_因子設定!$B$13="最大化",(_slice!F100-04_回帰ANOVA!$K$19*04_回帰ANOVA!$K$14*SQRT(1+_slice!F125))-01_因子設定!$B$14,IF(01_因子設定!$B$13="最小化",01_因子設定!$B$15-(_slice!F100+04_回帰ANOVA!$K$19*04_回帰ANOVA!$K$14*SQRT(1+_slice!F125)),MIN((_slice!F100-04_回帰ANOVA!$K$19*04_回帰ANOVA!$K$14*SQRT(1+_slice!F125))-01_因子設定!$B$14,01_因子設定!$B$15-(_slice!F100+04_回帰ANOVA!$K$19*04_回帰ANOVA!$K$14*SQRT(1+_slice!F125))))),"外")</f>
        <v>-3.73820110436542</v>
      </c>
      <c r="G59" s="50" t="n">
        <f aca="false">IF(AND(_slice!$H$5=1,G$41&gt;=_slice!$H$6-0.000000001,G$41&lt;=_slice!$I$6+0.000000001,$B59&gt;=_slice!$H$7-0.000000001,$B59&lt;=_slice!$I$7+0.000000001,IF(01_因子設定!$B$20="Box-Behnken",G$41^2+$B59^2+_slice!$H$8&lt;=2+0.000000001,TRUE())),IF(01_因子設定!$B$13="最大化",(_slice!G100-04_回帰ANOVA!$K$19*04_回帰ANOVA!$K$14*SQRT(1+_slice!G125))-01_因子設定!$B$14,IF(01_因子設定!$B$13="最小化",01_因子設定!$B$15-(_slice!G100+04_回帰ANOVA!$K$19*04_回帰ANOVA!$K$14*SQRT(1+_slice!G125)),MIN((_slice!G100-04_回帰ANOVA!$K$19*04_回帰ANOVA!$K$14*SQRT(1+_slice!G125))-01_因子設定!$B$14,01_因子設定!$B$15-(_slice!G100+04_回帰ANOVA!$K$19*04_回帰ANOVA!$K$14*SQRT(1+_slice!G125))))),"外")</f>
        <v>-3.28089793819471</v>
      </c>
      <c r="H59" s="50" t="n">
        <f aca="false">IF(AND(_slice!$H$5=1,H$41&gt;=_slice!$H$6-0.000000001,H$41&lt;=_slice!$I$6+0.000000001,$B59&gt;=_slice!$H$7-0.000000001,$B59&lt;=_slice!$I$7+0.000000001,IF(01_因子設定!$B$20="Box-Behnken",H$41^2+$B59^2+_slice!$H$8&lt;=2+0.000000001,TRUE())),IF(01_因子設定!$B$13="最大化",(_slice!H100-04_回帰ANOVA!$K$19*04_回帰ANOVA!$K$14*SQRT(1+_slice!H125))-01_因子設定!$B$14,IF(01_因子設定!$B$13="最小化",01_因子設定!$B$15-(_slice!H100+04_回帰ANOVA!$K$19*04_回帰ANOVA!$K$14*SQRT(1+_slice!H125)),MIN((_slice!H100-04_回帰ANOVA!$K$19*04_回帰ANOVA!$K$14*SQRT(1+_slice!H125))-01_因子設定!$B$14,01_因子設定!$B$15-(_slice!H100+04_回帰ANOVA!$K$19*04_回帰ANOVA!$K$14*SQRT(1+_slice!H125))))),"外")</f>
        <v>-2.88361090416426</v>
      </c>
      <c r="I59" s="50" t="n">
        <f aca="false">IF(AND(_slice!$H$5=1,I$41&gt;=_slice!$H$6-0.000000001,I$41&lt;=_slice!$I$6+0.000000001,$B59&gt;=_slice!$H$7-0.000000001,$B59&lt;=_slice!$I$7+0.000000001,IF(01_因子設定!$B$20="Box-Behnken",I$41^2+$B59^2+_slice!$H$8&lt;=2+0.000000001,TRUE())),IF(01_因子設定!$B$13="最大化",(_slice!I100-04_回帰ANOVA!$K$19*04_回帰ANOVA!$K$14*SQRT(1+_slice!I125))-01_因子設定!$B$14,IF(01_因子設定!$B$13="最小化",01_因子設定!$B$15-(_slice!I100+04_回帰ANOVA!$K$19*04_回帰ANOVA!$K$14*SQRT(1+_slice!I125)),MIN((_slice!I100-04_回帰ANOVA!$K$19*04_回帰ANOVA!$K$14*SQRT(1+_slice!I125))-01_因子設定!$B$14,01_因子設定!$B$15-(_slice!I100+04_回帰ANOVA!$K$19*04_回帰ANOVA!$K$14*SQRT(1+_slice!I125))))),"外")</f>
        <v>-2.54335513061621</v>
      </c>
      <c r="J59" s="50" t="n">
        <f aca="false">IF(AND(_slice!$H$5=1,J$41&gt;=_slice!$H$6-0.000000001,J$41&lt;=_slice!$I$6+0.000000001,$B59&gt;=_slice!$H$7-0.000000001,$B59&lt;=_slice!$I$7+0.000000001,IF(01_因子設定!$B$20="Box-Behnken",J$41^2+$B59^2+_slice!$H$8&lt;=2+0.000000001,TRUE())),IF(01_因子設定!$B$13="最大化",(_slice!J100-04_回帰ANOVA!$K$19*04_回帰ANOVA!$K$14*SQRT(1+_slice!J125))-01_因子設定!$B$14,IF(01_因子設定!$B$13="最小化",01_因子設定!$B$15-(_slice!J100+04_回帰ANOVA!$K$19*04_回帰ANOVA!$K$14*SQRT(1+_slice!J125)),MIN((_slice!J100-04_回帰ANOVA!$K$19*04_回帰ANOVA!$K$14*SQRT(1+_slice!J125))-01_因子設定!$B$14,01_因子設定!$B$15-(_slice!J100+04_回帰ANOVA!$K$19*04_回帰ANOVA!$K$14*SQRT(1+_slice!J125))))),"外")</f>
        <v>-2.25760892718546</v>
      </c>
      <c r="K59" s="50" t="n">
        <f aca="false">IF(AND(_slice!$H$5=1,K$41&gt;=_slice!$H$6-0.000000001,K$41&lt;=_slice!$I$6+0.000000001,$B59&gt;=_slice!$H$7-0.000000001,$B59&lt;=_slice!$I$7+0.000000001,IF(01_因子設定!$B$20="Box-Behnken",K$41^2+$B59^2+_slice!$H$8&lt;=2+0.000000001,TRUE())),IF(01_因子設定!$B$13="最大化",(_slice!K100-04_回帰ANOVA!$K$19*04_回帰ANOVA!$K$14*SQRT(1+_slice!K125))-01_因子設定!$B$14,IF(01_因子設定!$B$13="最小化",01_因子設定!$B$15-(_slice!K100+04_回帰ANOVA!$K$19*04_回帰ANOVA!$K$14*SQRT(1+_slice!K125)),MIN((_slice!K100-04_回帰ANOVA!$K$19*04_回帰ANOVA!$K$14*SQRT(1+_slice!K125))-01_因子設定!$B$14,01_因子設定!$B$15-(_slice!K100+04_回帰ANOVA!$K$19*04_回帰ANOVA!$K$14*SQRT(1+_slice!K125))))),"外")</f>
        <v>-2.02439394440891</v>
      </c>
      <c r="L59" s="50" t="n">
        <f aca="false">IF(AND(_slice!$H$5=1,L$41&gt;=_slice!$H$6-0.000000001,L$41&lt;=_slice!$I$6+0.000000001,$B59&gt;=_slice!$H$7-0.000000001,$B59&lt;=_slice!$I$7+0.000000001,IF(01_因子設定!$B$20="Box-Behnken",L$41^2+$B59^2+_slice!$H$8&lt;=2+0.000000001,TRUE())),IF(01_因子設定!$B$13="最大化",(_slice!L100-04_回帰ANOVA!$K$19*04_回帰ANOVA!$K$14*SQRT(1+_slice!L125))-01_因子設定!$B$14,IF(01_因子設定!$B$13="最小化",01_因子設定!$B$15-(_slice!L100+04_回帰ANOVA!$K$19*04_回帰ANOVA!$K$14*SQRT(1+_slice!L125)),MIN((_slice!L100-04_回帰ANOVA!$K$19*04_回帰ANOVA!$K$14*SQRT(1+_slice!L125))-01_因子設定!$B$14,01_因子設定!$B$15-(_slice!L100+04_回帰ANOVA!$K$19*04_回帰ANOVA!$K$14*SQRT(1+_slice!L125))))),"外")</f>
        <v>-1.84230187751459</v>
      </c>
      <c r="M59" s="50" t="n">
        <f aca="false">IF(AND(_slice!$H$5=1,M$41&gt;=_slice!$H$6-0.000000001,M$41&lt;=_slice!$I$6+0.000000001,$B59&gt;=_slice!$H$7-0.000000001,$B59&lt;=_slice!$I$7+0.000000001,IF(01_因子設定!$B$20="Box-Behnken",M$41^2+$B59^2+_slice!$H$8&lt;=2+0.000000001,TRUE())),IF(01_因子設定!$B$13="最大化",(_slice!M100-04_回帰ANOVA!$K$19*04_回帰ANOVA!$K$14*SQRT(1+_slice!M125))-01_因子設定!$B$14,IF(01_因子設定!$B$13="最小化",01_因子設定!$B$15-(_slice!M100+04_回帰ANOVA!$K$19*04_回帰ANOVA!$K$14*SQRT(1+_slice!M125)),MIN((_slice!M100-04_回帰ANOVA!$K$19*04_回帰ANOVA!$K$14*SQRT(1+_slice!M125))-01_因子設定!$B$14,01_因子設定!$B$15-(_slice!M100+04_回帰ANOVA!$K$19*04_回帰ANOVA!$K$14*SQRT(1+_slice!M125))))),"外")</f>
        <v>-1.71049360078043</v>
      </c>
      <c r="N59" s="50" t="n">
        <f aca="false">IF(AND(_slice!$H$5=1,N$41&gt;=_slice!$H$6-0.000000001,N$41&lt;=_slice!$I$6+0.000000001,$B59&gt;=_slice!$H$7-0.000000001,$B59&lt;=_slice!$I$7+0.000000001,IF(01_因子設定!$B$20="Box-Behnken",N$41^2+$B59^2+_slice!$H$8&lt;=2+0.000000001,TRUE())),IF(01_因子設定!$B$13="最大化",(_slice!N100-04_回帰ANOVA!$K$19*04_回帰ANOVA!$K$14*SQRT(1+_slice!N125))-01_因子設定!$B$14,IF(01_因子設定!$B$13="最小化",01_因子設定!$B$15-(_slice!N100+04_回帰ANOVA!$K$19*04_回帰ANOVA!$K$14*SQRT(1+_slice!N125)),MIN((_slice!N100-04_回帰ANOVA!$K$19*04_回帰ANOVA!$K$14*SQRT(1+_slice!N125))-01_因子設定!$B$14,01_因子設定!$B$15-(_slice!N100+04_回帰ANOVA!$K$19*04_回帰ANOVA!$K$14*SQRT(1+_slice!N125))))),"外")</f>
        <v>-1.62869076640348</v>
      </c>
      <c r="O59" s="50" t="n">
        <f aca="false">IF(AND(_slice!$H$5=1,O$41&gt;=_slice!$H$6-0.000000001,O$41&lt;=_slice!$I$6+0.000000001,$B59&gt;=_slice!$H$7-0.000000001,$B59&lt;=_slice!$I$7+0.000000001,IF(01_因子設定!$B$20="Box-Behnken",O$41^2+$B59^2+_slice!$H$8&lt;=2+0.000000001,TRUE())),IF(01_因子設定!$B$13="最大化",(_slice!O100-04_回帰ANOVA!$K$19*04_回帰ANOVA!$K$14*SQRT(1+_slice!O125))-01_因子設定!$B$14,IF(01_因子設定!$B$13="最小化",01_因子設定!$B$15-(_slice!O100+04_回帰ANOVA!$K$19*04_回帰ANOVA!$K$14*SQRT(1+_slice!O125)),MIN((_slice!O100-04_回帰ANOVA!$K$19*04_回帰ANOVA!$K$14*SQRT(1+_slice!O125))-01_因子設定!$B$14,01_因子設定!$B$15-(_slice!O100+04_回帰ANOVA!$K$19*04_回帰ANOVA!$K$14*SQRT(1+_slice!O125))))),"外")</f>
        <v>-1.59717172218668</v>
      </c>
      <c r="P59" s="50" t="n">
        <f aca="false">IF(AND(_slice!$H$5=1,P$41&gt;=_slice!$H$6-0.000000001,P$41&lt;=_slice!$I$6+0.000000001,$B59&gt;=_slice!$H$7-0.000000001,$B59&lt;=_slice!$I$7+0.000000001,IF(01_因子設定!$B$20="Box-Behnken",P$41^2+$B59^2+_slice!$H$8&lt;=2+0.000000001,TRUE())),IF(01_因子設定!$B$13="最大化",(_slice!P100-04_回帰ANOVA!$K$19*04_回帰ANOVA!$K$14*SQRT(1+_slice!P125))-01_因子設定!$B$14,IF(01_因子設定!$B$13="最小化",01_因子設定!$B$15-(_slice!P100+04_回帰ANOVA!$K$19*04_回帰ANOVA!$K$14*SQRT(1+_slice!P125)),MIN((_slice!P100-04_回帰ANOVA!$K$19*04_回帰ANOVA!$K$14*SQRT(1+_slice!P125))-01_因子設定!$B$14,01_因子設定!$B$15-(_slice!P100+04_回帰ANOVA!$K$19*04_回帰ANOVA!$K$14*SQRT(1+_slice!P125))))),"外")</f>
        <v>-1.61677559385213</v>
      </c>
      <c r="Q59" s="50" t="n">
        <f aca="false">IF(AND(_slice!$H$5=1,Q$41&gt;=_slice!$H$6-0.000000001,Q$41&lt;=_slice!$I$6+0.000000001,$B59&gt;=_slice!$H$7-0.000000001,$B59&lt;=_slice!$I$7+0.000000001,IF(01_因子設定!$B$20="Box-Behnken",Q$41^2+$B59^2+_slice!$H$8&lt;=2+0.000000001,TRUE())),IF(01_因子設定!$B$13="最大化",(_slice!Q100-04_回帰ANOVA!$K$19*04_回帰ANOVA!$K$14*SQRT(1+_slice!Q125))-01_因子設定!$B$14,IF(01_因子設定!$B$13="最小化",01_因子設定!$B$15-(_slice!Q100+04_回帰ANOVA!$K$19*04_回帰ANOVA!$K$14*SQRT(1+_slice!Q125)),MIN((_slice!Q100-04_回帰ANOVA!$K$19*04_回帰ANOVA!$K$14*SQRT(1+_slice!Q125))-01_因子設定!$B$14,01_因子設定!$B$15-(_slice!Q100+04_回帰ANOVA!$K$19*04_回帰ANOVA!$K$14*SQRT(1+_slice!Q125))))),"外")</f>
        <v>-1.68891068617177</v>
      </c>
      <c r="R59" s="50" t="n">
        <f aca="false">IF(AND(_slice!$H$5=1,R$41&gt;=_slice!$H$6-0.000000001,R$41&lt;=_slice!$I$6+0.000000001,$B59&gt;=_slice!$H$7-0.000000001,$B59&lt;=_slice!$I$7+0.000000001,IF(01_因子設定!$B$20="Box-Behnken",R$41^2+$B59^2+_slice!$H$8&lt;=2+0.000000001,TRUE())),IF(01_因子設定!$B$13="最大化",(_slice!R100-04_回帰ANOVA!$K$19*04_回帰ANOVA!$K$14*SQRT(1+_slice!R125))-01_因子設定!$B$14,IF(01_因子設定!$B$13="最小化",01_因子設定!$B$15-(_slice!R100+04_回帰ANOVA!$K$19*04_回帰ANOVA!$K$14*SQRT(1+_slice!R125)),MIN((_slice!R100-04_回帰ANOVA!$K$19*04_回帰ANOVA!$K$14*SQRT(1+_slice!R125))-01_因子設定!$B$14,01_因子設定!$B$15-(_slice!R100+04_回帰ANOVA!$K$19*04_回帰ANOVA!$K$14*SQRT(1+_slice!R125))))),"外")</f>
        <v>-1.8155553486087</v>
      </c>
      <c r="S59" s="50" t="n">
        <f aca="false">IF(AND(_slice!$H$5=1,S$41&gt;=_slice!$H$6-0.000000001,S$41&lt;=_slice!$I$6+0.000000001,$B59&gt;=_slice!$H$7-0.000000001,$B59&lt;=_slice!$I$7+0.000000001,IF(01_因子設定!$B$20="Box-Behnken",S$41^2+$B59^2+_slice!$H$8&lt;=2+0.000000001,TRUE())),IF(01_因子設定!$B$13="最大化",(_slice!S100-04_回帰ANOVA!$K$19*04_回帰ANOVA!$K$14*SQRT(1+_slice!S125))-01_因子設定!$B$14,IF(01_因子設定!$B$13="最小化",01_因子設定!$B$15-(_slice!S100+04_回帰ANOVA!$K$19*04_回帰ANOVA!$K$14*SQRT(1+_slice!S125)),MIN((_slice!S100-04_回帰ANOVA!$K$19*04_回帰ANOVA!$K$14*SQRT(1+_slice!S125))-01_因子設定!$B$14,01_因子設定!$B$15-(_slice!S100+04_回帰ANOVA!$K$19*04_回帰ANOVA!$K$14*SQRT(1+_slice!S125))))),"外")</f>
        <v>-1.99923127152805</v>
      </c>
      <c r="T59" s="50" t="n">
        <f aca="false">IF(AND(_slice!$H$5=1,T$41&gt;=_slice!$H$6-0.000000001,T$41&lt;=_slice!$I$6+0.000000001,$B59&gt;=_slice!$H$7-0.000000001,$B59&lt;=_slice!$I$7+0.000000001,IF(01_因子設定!$B$20="Box-Behnken",T$41^2+$B59^2+_slice!$H$8&lt;=2+0.000000001,TRUE())),IF(01_因子設定!$B$13="最大化",(_slice!T100-04_回帰ANOVA!$K$19*04_回帰ANOVA!$K$14*SQRT(1+_slice!T125))-01_因子設定!$B$14,IF(01_因子設定!$B$13="最小化",01_因子設定!$B$15-(_slice!T100+04_回帰ANOVA!$K$19*04_回帰ANOVA!$K$14*SQRT(1+_slice!T125)),MIN((_slice!T100-04_回帰ANOVA!$K$19*04_回帰ANOVA!$K$14*SQRT(1+_slice!T125))-01_因子設定!$B$14,01_因子設定!$B$15-(_slice!T100+04_回帰ANOVA!$K$19*04_回帰ANOVA!$K$14*SQRT(1+_slice!T125))))),"外")</f>
        <v>-2.24292332658763</v>
      </c>
      <c r="U59" s="50" t="n">
        <f aca="false">IF(AND(_slice!$H$5=1,U$41&gt;=_slice!$H$6-0.000000001,U$41&lt;=_slice!$I$6+0.000000001,$B59&gt;=_slice!$H$7-0.000000001,$B59&lt;=_slice!$I$7+0.000000001,IF(01_因子設定!$B$20="Box-Behnken",U$41^2+$B59^2+_slice!$H$8&lt;=2+0.000000001,TRUE())),IF(01_因子設定!$B$13="最大化",(_slice!U100-04_回帰ANOVA!$K$19*04_回帰ANOVA!$K$14*SQRT(1+_slice!U125))-01_因子設定!$B$14,IF(01_因子設定!$B$13="最小化",01_因子設定!$B$15-(_slice!U100+04_回帰ANOVA!$K$19*04_回帰ANOVA!$K$14*SQRT(1+_slice!U125)),MIN((_slice!U100-04_回帰ANOVA!$K$19*04_回帰ANOVA!$K$14*SQRT(1+_slice!U125))-01_因子設定!$B$14,01_因子設定!$B$15-(_slice!U100+04_回帰ANOVA!$K$19*04_回帰ANOVA!$K$14*SQRT(1+_slice!U125))))),"外")</f>
        <v>-2.54992231842434</v>
      </c>
      <c r="V59" s="50" t="n">
        <f aca="false">IF(AND(_slice!$H$5=1,V$41&gt;=_slice!$H$6-0.000000001,V$41&lt;=_slice!$I$6+0.000000001,$B59&gt;=_slice!$H$7-0.000000001,$B59&lt;=_slice!$I$7+0.000000001,IF(01_因子設定!$B$20="Box-Behnken",V$41^2+$B59^2+_slice!$H$8&lt;=2+0.000000001,TRUE())),IF(01_因子設定!$B$13="最大化",(_slice!V100-04_回帰ANOVA!$K$19*04_回帰ANOVA!$K$14*SQRT(1+_slice!V125))-01_因子設定!$B$14,IF(01_因子設定!$B$13="最小化",01_因子設定!$B$15-(_slice!V100+04_回帰ANOVA!$K$19*04_回帰ANOVA!$K$14*SQRT(1+_slice!V125)),MIN((_slice!V100-04_回帰ANOVA!$K$19*04_回帰ANOVA!$K$14*SQRT(1+_slice!V125))-01_因子設定!$B$14,01_因子設定!$B$15-(_slice!V100+04_回帰ANOVA!$K$19*04_回帰ANOVA!$K$14*SQRT(1+_slice!V125))))),"外")</f>
        <v>-2.92358446169835</v>
      </c>
      <c r="W59" s="50" t="n">
        <f aca="false">IF(AND(_slice!$H$5=1,W$41&gt;=_slice!$H$6-0.000000001,W$41&lt;=_slice!$I$6+0.000000001,$B59&gt;=_slice!$H$7-0.000000001,$B59&lt;=_slice!$I$7+0.000000001,IF(01_因子設定!$B$20="Box-Behnken",W$41^2+$B59^2+_slice!$H$8&lt;=2+0.000000001,TRUE())),IF(01_因子設定!$B$13="最大化",(_slice!W100-04_回帰ANOVA!$K$19*04_回帰ANOVA!$K$14*SQRT(1+_slice!W125))-01_因子設定!$B$14,IF(01_因子設定!$B$13="最小化",01_因子設定!$B$15-(_slice!W100+04_回帰ANOVA!$K$19*04_回帰ANOVA!$K$14*SQRT(1+_slice!W125)),MIN((_slice!W100-04_回帰ANOVA!$K$19*04_回帰ANOVA!$K$14*SQRT(1+_slice!W125))-01_因子設定!$B$14,01_因子設定!$B$15-(_slice!W100+04_回帰ANOVA!$K$19*04_回帰ANOVA!$K$14*SQRT(1+_slice!W125))))),"外")</f>
        <v>-3.3670352658301</v>
      </c>
    </row>
    <row r="60" customFormat="false" ht="15" hidden="false" customHeight="false" outlineLevel="0" collapsed="false">
      <c r="A60" s="49" t="n">
        <f aca="false">INDEX(01_因子設定!$G$5:$G$8,$C$5)+B60*INDEX(01_因子設定!$H$5:$H$8,$C$5)</f>
        <v>23</v>
      </c>
      <c r="B60" s="49" t="n">
        <v>-0.7</v>
      </c>
      <c r="C60" s="50" t="n">
        <f aca="false">IF(AND(_slice!$H$5=1,C$41&gt;=_slice!$H$6-0.000000001,C$41&lt;=_slice!$I$6+0.000000001,$B60&gt;=_slice!$H$7-0.000000001,$B60&lt;=_slice!$I$7+0.000000001,IF(01_因子設定!$B$20="Box-Behnken",C$41^2+$B60^2+_slice!$H$8&lt;=2+0.000000001,TRUE())),IF(01_因子設定!$B$13="最大化",(_slice!C101-04_回帰ANOVA!$K$19*04_回帰ANOVA!$K$14*SQRT(1+_slice!C126))-01_因子設定!$B$14,IF(01_因子設定!$B$13="最小化",01_因子設定!$B$15-(_slice!C101+04_回帰ANOVA!$K$19*04_回帰ANOVA!$K$14*SQRT(1+_slice!C126)),MIN((_slice!C101-04_回帰ANOVA!$K$19*04_回帰ANOVA!$K$14*SQRT(1+_slice!C126))-01_因子設定!$B$14,01_因子設定!$B$15-(_slice!C101+04_回帰ANOVA!$K$19*04_回帰ANOVA!$K$14*SQRT(1+_slice!C126))))),"外")</f>
        <v>-5.94670863578153</v>
      </c>
      <c r="D60" s="50" t="n">
        <f aca="false">IF(AND(_slice!$H$5=1,D$41&gt;=_slice!$H$6-0.000000001,D$41&lt;=_slice!$I$6+0.000000001,$B60&gt;=_slice!$H$7-0.000000001,$B60&lt;=_slice!$I$7+0.000000001,IF(01_因子設定!$B$20="Box-Behnken",D$41^2+$B60^2+_slice!$H$8&lt;=2+0.000000001,TRUE())),IF(01_因子設定!$B$13="最大化",(_slice!D101-04_回帰ANOVA!$K$19*04_回帰ANOVA!$K$14*SQRT(1+_slice!D126))-01_因子設定!$B$14,IF(01_因子設定!$B$13="最小化",01_因子設定!$B$15-(_slice!D101+04_回帰ANOVA!$K$19*04_回帰ANOVA!$K$14*SQRT(1+_slice!D126)),MIN((_slice!D101-04_回帰ANOVA!$K$19*04_回帰ANOVA!$K$14*SQRT(1+_slice!D126))-01_因子設定!$B$14,01_因子設定!$B$15-(_slice!D101+04_回帰ANOVA!$K$19*04_回帰ANOVA!$K$14*SQRT(1+_slice!D126))))),"外")</f>
        <v>-5.30346104745082</v>
      </c>
      <c r="E60" s="50" t="n">
        <f aca="false">IF(AND(_slice!$H$5=1,E$41&gt;=_slice!$H$6-0.000000001,E$41&lt;=_slice!$I$6+0.000000001,$B60&gt;=_slice!$H$7-0.000000001,$B60&lt;=_slice!$I$7+0.000000001,IF(01_因子設定!$B$20="Box-Behnken",E$41^2+$B60^2+_slice!$H$8&lt;=2+0.000000001,TRUE())),IF(01_因子設定!$B$13="最大化",(_slice!E101-04_回帰ANOVA!$K$19*04_回帰ANOVA!$K$14*SQRT(1+_slice!E126))-01_因子設定!$B$14,IF(01_因子設定!$B$13="最小化",01_因子設定!$B$15-(_slice!E101+04_回帰ANOVA!$K$19*04_回帰ANOVA!$K$14*SQRT(1+_slice!E126)),MIN((_slice!E101-04_回帰ANOVA!$K$19*04_回帰ANOVA!$K$14*SQRT(1+_slice!E126))-01_因子設定!$B$14,01_因子設定!$B$15-(_slice!E101+04_回帰ANOVA!$K$19*04_回帰ANOVA!$K$14*SQRT(1+_slice!E126))))),"外")</f>
        <v>-4.72981872521117</v>
      </c>
      <c r="F60" s="50" t="n">
        <f aca="false">IF(AND(_slice!$H$5=1,F$41&gt;=_slice!$H$6-0.000000001,F$41&lt;=_slice!$I$6+0.000000001,$B60&gt;=_slice!$H$7-0.000000001,$B60&lt;=_slice!$I$7+0.000000001,IF(01_因子設定!$B$20="Box-Behnken",F$41^2+$B60^2+_slice!$H$8&lt;=2+0.000000001,TRUE())),IF(01_因子設定!$B$13="最大化",(_slice!F101-04_回帰ANOVA!$K$19*04_回帰ANOVA!$K$14*SQRT(1+_slice!F126))-01_因子設定!$B$14,IF(01_因子設定!$B$13="最小化",01_因子設定!$B$15-(_slice!F101+04_回帰ANOVA!$K$19*04_回帰ANOVA!$K$14*SQRT(1+_slice!F126)),MIN((_slice!F101-04_回帰ANOVA!$K$19*04_回帰ANOVA!$K$14*SQRT(1+_slice!F126))-01_因子設定!$B$14,01_因子設定!$B$15-(_slice!F101+04_回帰ANOVA!$K$19*04_回帰ANOVA!$K$14*SQRT(1+_slice!F126))))),"外")</f>
        <v>-4.22257901471875</v>
      </c>
      <c r="G60" s="50" t="n">
        <f aca="false">IF(AND(_slice!$H$5=1,G$41&gt;=_slice!$H$6-0.000000001,G$41&lt;=_slice!$I$6+0.000000001,$B60&gt;=_slice!$H$7-0.000000001,$B60&lt;=_slice!$I$7+0.000000001,IF(01_因子設定!$B$20="Box-Behnken",G$41^2+$B60^2+_slice!$H$8&lt;=2+0.000000001,TRUE())),IF(01_因子設定!$B$13="最大化",(_slice!G101-04_回帰ANOVA!$K$19*04_回帰ANOVA!$K$14*SQRT(1+_slice!G126))-01_因子設定!$B$14,IF(01_因子設定!$B$13="最小化",01_因子設定!$B$15-(_slice!G101+04_回帰ANOVA!$K$19*04_回帰ANOVA!$K$14*SQRT(1+_slice!G126)),MIN((_slice!G101-04_回帰ANOVA!$K$19*04_回帰ANOVA!$K$14*SQRT(1+_slice!G126))-01_因子設定!$B$14,01_因子設定!$B$15-(_slice!G101+04_回帰ANOVA!$K$19*04_回帰ANOVA!$K$14*SQRT(1+_slice!G126))))),"外")</f>
        <v>-3.77833999325431</v>
      </c>
      <c r="H60" s="50" t="n">
        <f aca="false">IF(AND(_slice!$H$5=1,H$41&gt;=_slice!$H$6-0.000000001,H$41&lt;=_slice!$I$6+0.000000001,$B60&gt;=_slice!$H$7-0.000000001,$B60&lt;=_slice!$I$7+0.000000001,IF(01_因子設定!$B$20="Box-Behnken",H$41^2+$B60^2+_slice!$H$8&lt;=2+0.000000001,TRUE())),IF(01_因子設定!$B$13="最大化",(_slice!H101-04_回帰ANOVA!$K$19*04_回帰ANOVA!$K$14*SQRT(1+_slice!H126))-01_因子設定!$B$14,IF(01_因子設定!$B$13="最小化",01_因子設定!$B$15-(_slice!H101+04_回帰ANOVA!$K$19*04_回帰ANOVA!$K$14*SQRT(1+_slice!H126)),MIN((_slice!H101-04_回帰ANOVA!$K$19*04_回帰ANOVA!$K$14*SQRT(1+_slice!H126))-01_因子設定!$B$14,01_因子設定!$B$15-(_slice!H101+04_回帰ANOVA!$K$19*04_回帰ANOVA!$K$14*SQRT(1+_slice!H126))))),"外")</f>
        <v>-3.39379544208824</v>
      </c>
      <c r="I60" s="50" t="n">
        <f aca="false">IF(AND(_slice!$H$5=1,I$41&gt;=_slice!$H$6-0.000000001,I$41&lt;=_slice!$I$6+0.000000001,$B60&gt;=_slice!$H$7-0.000000001,$B60&lt;=_slice!$I$7+0.000000001,IF(01_因子設定!$B$20="Box-Behnken",I$41^2+$B60^2+_slice!$H$8&lt;=2+0.000000001,TRUE())),IF(01_因子設定!$B$13="最大化",(_slice!I101-04_回帰ANOVA!$K$19*04_回帰ANOVA!$K$14*SQRT(1+_slice!I126))-01_因子設定!$B$14,IF(01_因子設定!$B$13="最小化",01_因子設定!$B$15-(_slice!I101+04_回帰ANOVA!$K$19*04_回帰ANOVA!$K$14*SQRT(1+_slice!I126)),MIN((_slice!I101-04_回帰ANOVA!$K$19*04_回帰ANOVA!$K$14*SQRT(1+_slice!I126))-01_因子設定!$B$14,01_因子設定!$B$15-(_slice!I101+04_回帰ANOVA!$K$19*04_回帰ANOVA!$K$14*SQRT(1+_slice!I126))))),"外")</f>
        <v>-3.06596746647503</v>
      </c>
      <c r="J60" s="50" t="n">
        <f aca="false">IF(AND(_slice!$H$5=1,J$41&gt;=_slice!$H$6-0.000000001,J$41&lt;=_slice!$I$6+0.000000001,$B60&gt;=_slice!$H$7-0.000000001,$B60&lt;=_slice!$I$7+0.000000001,IF(01_因子設定!$B$20="Box-Behnken",J$41^2+$B60^2+_slice!$H$8&lt;=2+0.000000001,TRUE())),IF(01_因子設定!$B$13="最大化",(_slice!J101-04_回帰ANOVA!$K$19*04_回帰ANOVA!$K$14*SQRT(1+_slice!J126))-01_因子設定!$B$14,IF(01_因子設定!$B$13="最小化",01_因子設定!$B$15-(_slice!J101+04_回帰ANOVA!$K$19*04_回帰ANOVA!$K$14*SQRT(1+_slice!J126)),MIN((_slice!J101-04_回帰ANOVA!$K$19*04_回帰ANOVA!$K$14*SQRT(1+_slice!J126))-01_因子設定!$B$14,01_因子設定!$B$15-(_slice!J101+04_回帰ANOVA!$K$19*04_回帰ANOVA!$K$14*SQRT(1+_slice!J126))))),"外")</f>
        <v>-2.79235367273583</v>
      </c>
      <c r="K60" s="50" t="n">
        <f aca="false">IF(AND(_slice!$H$5=1,K$41&gt;=_slice!$H$6-0.000000001,K$41&lt;=_slice!$I$6+0.000000001,$B60&gt;=_slice!$H$7-0.000000001,$B60&lt;=_slice!$I$7+0.000000001,IF(01_因子設定!$B$20="Box-Behnken",K$41^2+$B60^2+_slice!$H$8&lt;=2+0.000000001,TRUE())),IF(01_因子設定!$B$13="最大化",(_slice!K101-04_回帰ANOVA!$K$19*04_回帰ANOVA!$K$14*SQRT(1+_slice!K126))-01_因子設定!$B$14,IF(01_因子設定!$B$13="最小化",01_因子設定!$B$15-(_slice!K101+04_回帰ANOVA!$K$19*04_回帰ANOVA!$K$14*SQRT(1+_slice!K126)),MIN((_slice!K101-04_回帰ANOVA!$K$19*04_回帰ANOVA!$K$14*SQRT(1+_slice!K126))-01_因子設定!$B$14,01_因子設定!$B$15-(_slice!K101+04_回帰ANOVA!$K$19*04_回帰ANOVA!$K$14*SQRT(1+_slice!K126))))),"外")</f>
        <v>-2.5709984602524</v>
      </c>
      <c r="L60" s="50" t="n">
        <f aca="false">IF(AND(_slice!$H$5=1,L$41&gt;=_slice!$H$6-0.000000001,L$41&lt;=_slice!$I$6+0.000000001,$B60&gt;=_slice!$H$7-0.000000001,$B60&lt;=_slice!$I$7+0.000000001,IF(01_因子設定!$B$20="Box-Behnken",L$41^2+$B60^2+_slice!$H$8&lt;=2+0.000000001,TRUE())),IF(01_因子設定!$B$13="最大化",(_slice!L101-04_回帰ANOVA!$K$19*04_回帰ANOVA!$K$14*SQRT(1+_slice!L126))-01_因子設定!$B$14,IF(01_因子設定!$B$13="最小化",01_因子設定!$B$15-(_slice!L101+04_回帰ANOVA!$K$19*04_回帰ANOVA!$K$14*SQRT(1+_slice!L126)),MIN((_slice!L101-04_回帰ANOVA!$K$19*04_回帰ANOVA!$K$14*SQRT(1+_slice!L126))-01_因子設定!$B$14,01_因子設定!$B$15-(_slice!L101+04_回帰ANOVA!$K$19*04_回帰ANOVA!$K$14*SQRT(1+_slice!L126))))),"外")</f>
        <v>-2.40051341282144</v>
      </c>
      <c r="M60" s="50" t="n">
        <f aca="false">IF(AND(_slice!$H$5=1,M$41&gt;=_slice!$H$6-0.000000001,M$41&lt;=_slice!$I$6+0.000000001,$B60&gt;=_slice!$H$7-0.000000001,$B60&lt;=_slice!$I$7+0.000000001,IF(01_因子設定!$B$20="Box-Behnken",M$41^2+$B60^2+_slice!$H$8&lt;=2+0.000000001,TRUE())),IF(01_因子設定!$B$13="最大化",(_slice!M101-04_回帰ANOVA!$K$19*04_回帰ANOVA!$K$14*SQRT(1+_slice!M126))-01_因子設定!$B$14,IF(01_因子設定!$B$13="最小化",01_因子設定!$B$15-(_slice!M101+04_回帰ANOVA!$K$19*04_回帰ANOVA!$K$14*SQRT(1+_slice!M126)),MIN((_slice!M101-04_回帰ANOVA!$K$19*04_回帰ANOVA!$K$14*SQRT(1+_slice!M126))-01_因子設定!$B$14,01_因子設定!$B$15-(_slice!M101+04_回帰ANOVA!$K$19*04_回帰ANOVA!$K$14*SQRT(1+_slice!M126))))),"外")</f>
        <v>-2.28007261120127</v>
      </c>
      <c r="N60" s="50" t="n">
        <f aca="false">IF(AND(_slice!$H$5=1,N$41&gt;=_slice!$H$6-0.000000001,N$41&lt;=_slice!$I$6+0.000000001,$B60&gt;=_slice!$H$7-0.000000001,$B60&lt;=_slice!$I$7+0.000000001,IF(01_因子設定!$B$20="Box-Behnken",N$41^2+$B60^2+_slice!$H$8&lt;=2+0.000000001,TRUE())),IF(01_因子設定!$B$13="最大化",(_slice!N101-04_回帰ANOVA!$K$19*04_回帰ANOVA!$K$14*SQRT(1+_slice!N126))-01_因子設定!$B$14,IF(01_因子設定!$B$13="最小化",01_因子設定!$B$15-(_slice!N101+04_回帰ANOVA!$K$19*04_回帰ANOVA!$K$14*SQRT(1+_slice!N126)),MIN((_slice!N101-04_回帰ANOVA!$K$19*04_回帰ANOVA!$K$14*SQRT(1+_slice!N126))-01_因子設定!$B$14,01_因子設定!$B$15-(_slice!N101+04_回帰ANOVA!$K$19*04_回帰ANOVA!$K$14*SQRT(1+_slice!N126))))),"外")</f>
        <v>-2.20940230171033</v>
      </c>
      <c r="O60" s="50" t="n">
        <f aca="false">IF(AND(_slice!$H$5=1,O$41&gt;=_slice!$H$6-0.000000001,O$41&lt;=_slice!$I$6+0.000000001,$B60&gt;=_slice!$H$7-0.000000001,$B60&lt;=_slice!$I$7+0.000000001,IF(01_因子設定!$B$20="Box-Behnken",O$41^2+$B60^2+_slice!$H$8&lt;=2+0.000000001,TRUE())),IF(01_因子設定!$B$13="最大化",(_slice!O101-04_回帰ANOVA!$K$19*04_回帰ANOVA!$K$14*SQRT(1+_slice!O126))-01_因子設定!$B$14,IF(01_因子設定!$B$13="最小化",01_因子設定!$B$15-(_slice!O101+04_回帰ANOVA!$K$19*04_回帰ANOVA!$K$14*SQRT(1+_slice!O126)),MIN((_slice!O101-04_回帰ANOVA!$K$19*04_回帰ANOVA!$K$14*SQRT(1+_slice!O126))-01_因子設定!$B$14,01_因子設定!$B$15-(_slice!O101+04_回帰ANOVA!$K$19*04_回帰ANOVA!$K$14*SQRT(1+_slice!O126))))),"外")</f>
        <v>-2.18877623803018</v>
      </c>
      <c r="P60" s="50" t="n">
        <f aca="false">IF(AND(_slice!$H$5=1,P$41&gt;=_slice!$H$6-0.000000001,P$41&lt;=_slice!$I$6+0.000000001,$B60&gt;=_slice!$H$7-0.000000001,$B60&lt;=_slice!$I$7+0.000000001,IF(01_因子設定!$B$20="Box-Behnken",P$41^2+$B60^2+_slice!$H$8&lt;=2+0.000000001,TRUE())),IF(01_因子設定!$B$13="最大化",(_slice!P101-04_回帰ANOVA!$K$19*04_回帰ANOVA!$K$14*SQRT(1+_slice!P126))-01_因子設定!$B$14,IF(01_因子設定!$B$13="最小化",01_因子設定!$B$15-(_slice!P101+04_回帰ANOVA!$K$19*04_回帰ANOVA!$K$14*SQRT(1+_slice!P126)),MIN((_slice!P101-04_回帰ANOVA!$K$19*04_回帰ANOVA!$K$14*SQRT(1+_slice!P126))-01_因子設定!$B$14,01_因子設定!$B$15-(_slice!P101+04_回帰ANOVA!$K$19*04_回帰ANOVA!$K$14*SQRT(1+_slice!P126))))),"外")</f>
        <v>-2.21902033940249</v>
      </c>
      <c r="Q60" s="50" t="n">
        <f aca="false">IF(AND(_slice!$H$5=1,Q$41&gt;=_slice!$H$6-0.000000001,Q$41&lt;=_slice!$I$6+0.000000001,$B60&gt;=_slice!$H$7-0.000000001,$B60&lt;=_slice!$I$7+0.000000001,IF(01_因子設定!$B$20="Box-Behnken",Q$41^2+$B60^2+_slice!$H$8&lt;=2+0.000000001,TRUE())),IF(01_因子設定!$B$13="最大化",(_slice!Q101-04_回帰ANOVA!$K$19*04_回帰ANOVA!$K$14*SQRT(1+_slice!Q126))-01_因子設定!$B$14,IF(01_因子設定!$B$13="最小化",01_因子設定!$B$15-(_slice!Q101+04_回帰ANOVA!$K$19*04_回帰ANOVA!$K$14*SQRT(1+_slice!Q126)),MIN((_slice!Q101-04_回帰ANOVA!$K$19*04_回帰ANOVA!$K$14*SQRT(1+_slice!Q126))-01_因子設定!$B$14,01_因子設定!$B$15-(_slice!Q101+04_回帰ANOVA!$K$19*04_回帰ANOVA!$K$14*SQRT(1+_slice!Q126))))),"外")</f>
        <v>-2.30152302203058</v>
      </c>
      <c r="R60" s="50" t="n">
        <f aca="false">IF(AND(_slice!$H$5=1,R$41&gt;=_slice!$H$6-0.000000001,R$41&lt;=_slice!$I$6+0.000000001,$B60&gt;=_slice!$H$7-0.000000001,$B60&lt;=_slice!$I$7+0.000000001,IF(01_因子設定!$B$20="Box-Behnken",R$41^2+$B60^2+_slice!$H$8&lt;=2+0.000000001,TRUE())),IF(01_因子設定!$B$13="最大化",(_slice!R101-04_回帰ANOVA!$K$19*04_回帰ANOVA!$K$14*SQRT(1+_slice!R126))-01_因子設定!$B$14,IF(01_因子設定!$B$13="最小化",01_因子設定!$B$15-(_slice!R101+04_回帰ANOVA!$K$19*04_回帰ANOVA!$K$14*SQRT(1+_slice!R126)),MIN((_slice!R101-04_回帰ANOVA!$K$19*04_回帰ANOVA!$K$14*SQRT(1+_slice!R126))-01_因子設定!$B$14,01_因子設定!$B$15-(_slice!R101+04_回帰ANOVA!$K$19*04_回帰ANOVA!$K$14*SQRT(1+_slice!R126))))),"外")</f>
        <v>-2.43823988653268</v>
      </c>
      <c r="S60" s="50" t="n">
        <f aca="false">IF(AND(_slice!$H$5=1,S$41&gt;=_slice!$H$6-0.000000001,S$41&lt;=_slice!$I$6+0.000000001,$B60&gt;=_slice!$H$7-0.000000001,$B60&lt;=_slice!$I$7+0.000000001,IF(01_因子設定!$B$20="Box-Behnken",S$41^2+$B60^2+_slice!$H$8&lt;=2+0.000000001,TRUE())),IF(01_因子設定!$B$13="最大化",(_slice!S101-04_回帰ANOVA!$K$19*04_回帰ANOVA!$K$14*SQRT(1+_slice!S126))-01_因子設定!$B$14,IF(01_因子設定!$B$13="最小化",01_因子設定!$B$15-(_slice!S101+04_回帰ANOVA!$K$19*04_回帰ANOVA!$K$14*SQRT(1+_slice!S126)),MIN((_slice!S101-04_回帰ANOVA!$K$19*04_回帰ANOVA!$K$14*SQRT(1+_slice!S126))-01_因子設定!$B$14,01_因子設定!$B$15-(_slice!S101+04_回帰ANOVA!$K$19*04_回帰ANOVA!$K$14*SQRT(1+_slice!S126))))),"外")</f>
        <v>-2.63167332658764</v>
      </c>
      <c r="T60" s="50" t="n">
        <f aca="false">IF(AND(_slice!$H$5=1,T$41&gt;=_slice!$H$6-0.000000001,T$41&lt;=_slice!$I$6+0.000000001,$B60&gt;=_slice!$H$7-0.000000001,$B60&lt;=_slice!$I$7+0.000000001,IF(01_因子設定!$B$20="Box-Behnken",T$41^2+$B60^2+_slice!$H$8&lt;=2+0.000000001,TRUE())),IF(01_因子設定!$B$13="最大化",(_slice!T101-04_回帰ANOVA!$K$19*04_回帰ANOVA!$K$14*SQRT(1+_slice!T126))-01_因子設定!$B$14,IF(01_因子設定!$B$13="最小化",01_因子設定!$B$15-(_slice!T101+04_回帰ANOVA!$K$19*04_回帰ANOVA!$K$14*SQRT(1+_slice!T126)),MIN((_slice!T101-04_回帰ANOVA!$K$19*04_回帰ANOVA!$K$14*SQRT(1+_slice!T126))-01_因子設定!$B$14,01_因子設定!$B$15-(_slice!T101+04_回帰ANOVA!$K$19*04_回帰ANOVA!$K$14*SQRT(1+_slice!T126))))),"外")</f>
        <v>-2.88480123694097</v>
      </c>
      <c r="U60" s="50" t="n">
        <f aca="false">IF(AND(_slice!$H$5=1,U$41&gt;=_slice!$H$6-0.000000001,U$41&lt;=_slice!$I$6+0.000000001,$B60&gt;=_slice!$H$7-0.000000001,$B60&lt;=_slice!$I$7+0.000000001,IF(01_因子設定!$B$20="Box-Behnken",U$41^2+$B60^2+_slice!$H$8&lt;=2+0.000000001,TRUE())),IF(01_因子設定!$B$13="最大化",(_slice!U101-04_回帰ANOVA!$K$19*04_回帰ANOVA!$K$14*SQRT(1+_slice!U126))-01_因子設定!$B$14,IF(01_因子設定!$B$13="最小化",01_因子設定!$B$15-(_slice!U101+04_回帰ANOVA!$K$19*04_回帰ANOVA!$K$14*SQRT(1+_slice!U126)),MIN((_slice!U101-04_回帰ANOVA!$K$19*04_回帰ANOVA!$K$14*SQRT(1+_slice!U126))-01_因子設定!$B$14,01_因子設定!$B$15-(_slice!U101+04_回帰ANOVA!$K$19*04_回帰ANOVA!$K$14*SQRT(1+_slice!U126))))),"外")</f>
        <v>-3.20092983632228</v>
      </c>
      <c r="V60" s="50" t="n">
        <f aca="false">IF(AND(_slice!$H$5=1,V$41&gt;=_slice!$H$6-0.000000001,V$41&lt;=_slice!$I$6+0.000000001,$B60&gt;=_slice!$H$7-0.000000001,$B60&lt;=_slice!$I$7+0.000000001,IF(01_因子設定!$B$20="Box-Behnken",V$41^2+$B60^2+_slice!$H$8&lt;=2+0.000000001,TRUE())),IF(01_因子設定!$B$13="最大化",(_slice!V101-04_回帰ANOVA!$K$19*04_回帰ANOVA!$K$14*SQRT(1+_slice!V126))-01_因子設定!$B$14,IF(01_因子設定!$B$13="最小化",01_因子設定!$B$15-(_slice!V101+04_回帰ANOVA!$K$19*04_回帰ANOVA!$K$14*SQRT(1+_slice!V126)),MIN((_slice!V101-04_回帰ANOVA!$K$19*04_回帰ANOVA!$K$14*SQRT(1+_slice!V126))-01_因子設定!$B$14,01_因子設定!$B$15-(_slice!V101+04_回帰ANOVA!$K$19*04_回帰ANOVA!$K$14*SQRT(1+_slice!V126))))),"外")</f>
        <v>-3.58346104745083</v>
      </c>
      <c r="W60" s="50" t="n">
        <f aca="false">IF(AND(_slice!$H$5=1,W$41&gt;=_slice!$H$6-0.000000001,W$41&lt;=_slice!$I$6+0.000000001,$B60&gt;=_slice!$H$7-0.000000001,$B60&lt;=_slice!$I$7+0.000000001,IF(01_因子設定!$B$20="Box-Behnken",W$41^2+$B60^2+_slice!$H$8&lt;=2+0.000000001,TRUE())),IF(01_因子設定!$B$13="最大化",(_slice!W101-04_回帰ANOVA!$K$19*04_回帰ANOVA!$K$14*SQRT(1+_slice!W126))-01_因子設定!$B$14,IF(01_因子設定!$B$13="最小化",01_因子設定!$B$15-(_slice!W101+04_回帰ANOVA!$K$19*04_回帰ANOVA!$K$14*SQRT(1+_slice!W126)),MIN((_slice!W101-04_回帰ANOVA!$K$19*04_回帰ANOVA!$K$14*SQRT(1+_slice!W126))-01_因子設定!$B$14,01_因子設定!$B$15-(_slice!W101+04_回帰ANOVA!$K$19*04_回帰ANOVA!$K$14*SQRT(1+_slice!W126))))),"外")</f>
        <v>-4.03559752467042</v>
      </c>
    </row>
    <row r="61" customFormat="false" ht="15" hidden="false" customHeight="false" outlineLevel="0" collapsed="false">
      <c r="A61" s="49" t="n">
        <f aca="false">INDEX(01_因子設定!$G$5:$G$8,$C$5)+B61*INDEX(01_因子設定!$H$5:$H$8,$C$5)</f>
        <v>22</v>
      </c>
      <c r="B61" s="49" t="n">
        <v>-0.8</v>
      </c>
      <c r="C61" s="50" t="n">
        <f aca="false">IF(AND(_slice!$H$5=1,C$41&gt;=_slice!$H$6-0.000000001,C$41&lt;=_slice!$I$6+0.000000001,$B61&gt;=_slice!$H$7-0.000000001,$B61&lt;=_slice!$I$7+0.000000001,IF(01_因子設定!$B$20="Box-Behnken",C$41^2+$B61^2+_slice!$H$8&lt;=2+0.000000001,TRUE())),IF(01_因子設定!$B$13="最大化",(_slice!C102-04_回帰ANOVA!$K$19*04_回帰ANOVA!$K$14*SQRT(1+_slice!C127))-01_因子設定!$B$14,IF(01_因子設定!$B$13="最小化",01_因子設定!$B$15-(_slice!C102+04_回帰ANOVA!$K$19*04_回帰ANOVA!$K$14*SQRT(1+_slice!C127)),MIN((_slice!C102-04_回帰ANOVA!$K$19*04_回帰ANOVA!$K$14*SQRT(1+_slice!C127))-01_因子設定!$B$14,01_因子設定!$B$15-(_slice!C102+04_回帰ANOVA!$K$19*04_回帰ANOVA!$K$14*SQRT(1+_slice!C127))))),"外")</f>
        <v>-6.45161957609704</v>
      </c>
      <c r="D61" s="50" t="n">
        <f aca="false">IF(AND(_slice!$H$5=1,D$41&gt;=_slice!$H$6-0.000000001,D$41&lt;=_slice!$I$6+0.000000001,$B61&gt;=_slice!$H$7-0.000000001,$B61&lt;=_slice!$I$7+0.000000001,IF(01_因子設定!$B$20="Box-Behnken",D$41^2+$B61^2+_slice!$H$8&lt;=2+0.000000001,TRUE())),IF(01_因子設定!$B$13="最大化",(_slice!D102-04_回帰ANOVA!$K$19*04_回帰ANOVA!$K$14*SQRT(1+_slice!D127))-01_因子設定!$B$14,IF(01_因子設定!$B$13="最小化",01_因子設定!$B$15-(_slice!D102+04_回帰ANOVA!$K$19*04_回帰ANOVA!$K$14*SQRT(1+_slice!D127)),MIN((_slice!D102-04_回帰ANOVA!$K$19*04_回帰ANOVA!$K$14*SQRT(1+_slice!D127))-01_因子設定!$B$14,01_因子設定!$B$15-(_slice!D102+04_回帰ANOVA!$K$19*04_回帰ANOVA!$K$14*SQRT(1+_slice!D127))))),"外")</f>
        <v>-5.82286498079158</v>
      </c>
      <c r="E61" s="50" t="n">
        <f aca="false">IF(AND(_slice!$H$5=1,E$41&gt;=_slice!$H$6-0.000000001,E$41&lt;=_slice!$I$6+0.000000001,$B61&gt;=_slice!$H$7-0.000000001,$B61&lt;=_slice!$I$7+0.000000001,IF(01_因子設定!$B$20="Box-Behnken",E$41^2+$B61^2+_slice!$H$8&lt;=2+0.000000001,TRUE())),IF(01_因子設定!$B$13="最大化",(_slice!E102-04_回帰ANOVA!$K$19*04_回帰ANOVA!$K$14*SQRT(1+_slice!E127))-01_因子設定!$B$14,IF(01_因子設定!$B$13="最小化",01_因子設定!$B$15-(_slice!E102+04_回帰ANOVA!$K$19*04_回帰ANOVA!$K$14*SQRT(1+_slice!E127)),MIN((_slice!E102-04_回帰ANOVA!$K$19*04_回帰ANOVA!$K$14*SQRT(1+_slice!E127))-01_因子設定!$B$14,01_因子設定!$B$15-(_slice!E102+04_回帰ANOVA!$K$19*04_回帰ANOVA!$K$14*SQRT(1+_slice!E127))))),"外")</f>
        <v>-5.26340457162953</v>
      </c>
      <c r="F61" s="50" t="n">
        <f aca="false">IF(AND(_slice!$H$5=1,F$41&gt;=_slice!$H$6-0.000000001,F$41&lt;=_slice!$I$6+0.000000001,$B61&gt;=_slice!$H$7-0.000000001,$B61&lt;=_slice!$I$7+0.000000001,IF(01_因子設定!$B$20="Box-Behnken",F$41^2+$B61^2+_slice!$H$8&lt;=2+0.000000001,TRUE())),IF(01_因子設定!$B$13="最大化",(_slice!F102-04_回帰ANOVA!$K$19*04_回帰ANOVA!$K$14*SQRT(1+_slice!F127))-01_因子設定!$B$14,IF(01_因子設定!$B$13="最小化",01_因子設定!$B$15-(_slice!F102+04_回帰ANOVA!$K$19*04_回帰ANOVA!$K$14*SQRT(1+_slice!F127)),MIN((_slice!F102-04_回帰ANOVA!$K$19*04_回帰ANOVA!$K$14*SQRT(1+_slice!F127))-01_因子設定!$B$14,01_因子設定!$B$15-(_slice!F102+04_回帰ANOVA!$K$19*04_回帰ANOVA!$K$14*SQRT(1+_slice!F127))))),"外")</f>
        <v>-4.76995761410007</v>
      </c>
      <c r="G61" s="50" t="n">
        <f aca="false">IF(AND(_slice!$H$5=1,G$41&gt;=_slice!$H$6-0.000000001,G$41&lt;=_slice!$I$6+0.000000001,$B61&gt;=_slice!$H$7-0.000000001,$B61&lt;=_slice!$I$7+0.000000001,IF(01_因子設定!$B$20="Box-Behnken",G$41^2+$B61^2+_slice!$H$8&lt;=2+0.000000001,TRUE())),IF(01_因子設定!$B$13="最大化",(_slice!G102-04_回帰ANOVA!$K$19*04_回帰ANOVA!$K$14*SQRT(1+_slice!G127))-01_因子設定!$B$14,IF(01_因子設定!$B$13="最小化",01_因子設定!$B$15-(_slice!G102+04_回帰ANOVA!$K$19*04_回帰ANOVA!$K$14*SQRT(1+_slice!G127)),MIN((_slice!G102-04_回帰ANOVA!$K$19*04_回帰ANOVA!$K$14*SQRT(1+_slice!G127))-01_因子設定!$B$14,01_因子設定!$B$15-(_slice!G102+04_回帰ANOVA!$K$19*04_回帰ANOVA!$K$14*SQRT(1+_slice!G127))))),"外")</f>
        <v>-4.33908898509102</v>
      </c>
      <c r="H61" s="50" t="n">
        <f aca="false">IF(AND(_slice!$H$5=1,H$41&gt;=_slice!$H$6-0.000000001,H$41&lt;=_slice!$I$6+0.000000001,$B61&gt;=_slice!$H$7-0.000000001,$B61&lt;=_slice!$I$7+0.000000001,IF(01_因子設定!$B$20="Box-Behnken",H$41^2+$B61^2+_slice!$H$8&lt;=2+0.000000001,TRUE())),IF(01_因子設定!$B$13="最大化",(_slice!H102-04_回帰ANOVA!$K$19*04_回帰ANOVA!$K$14*SQRT(1+_slice!H127))-01_因子設定!$B$14,IF(01_因子設定!$B$13="最小化",01_因子設定!$B$15-(_slice!H102+04_回帰ANOVA!$K$19*04_回帰ANOVA!$K$14*SQRT(1+_slice!H127)),MIN((_slice!H102-04_回帰ANOVA!$K$19*04_回帰ANOVA!$K$14*SQRT(1+_slice!H127))-01_因子設定!$B$14,01_因子設定!$B$15-(_slice!H102+04_回帰ANOVA!$K$19*04_回帰ANOVA!$K$14*SQRT(1+_slice!H127))))),"外")</f>
        <v>-3.96749737444928</v>
      </c>
      <c r="I61" s="50" t="n">
        <f aca="false">IF(AND(_slice!$H$5=1,I$41&gt;=_slice!$H$6-0.000000001,I$41&lt;=_slice!$I$6+0.000000001,$B61&gt;=_slice!$H$7-0.000000001,$B61&lt;=_slice!$I$7+0.000000001,IF(01_因子設定!$B$20="Box-Behnken",I$41^2+$B61^2+_slice!$H$8&lt;=2+0.000000001,TRUE())),IF(01_因子設定!$B$13="最大化",(_slice!I102-04_回帰ANOVA!$K$19*04_回帰ANOVA!$K$14*SQRT(1+_slice!I127))-01_因子設定!$B$14,IF(01_因子設定!$B$13="最小化",01_因子設定!$B$15-(_slice!I102+04_回帰ANOVA!$K$19*04_回帰ANOVA!$K$14*SQRT(1+_slice!I127)),MIN((_slice!I102-04_回帰ANOVA!$K$19*04_回帰ANOVA!$K$14*SQRT(1+_slice!I127))-01_因子設定!$B$14,01_因子設定!$B$15-(_slice!I102+04_回帰ANOVA!$K$19*04_回帰ANOVA!$K$14*SQRT(1+_slice!I127))))),"外")</f>
        <v>-3.65223436689384</v>
      </c>
      <c r="J61" s="50" t="n">
        <f aca="false">IF(AND(_slice!$H$5=1,J$41&gt;=_slice!$H$6-0.000000001,J$41&lt;=_slice!$I$6+0.000000001,$B61&gt;=_slice!$H$7-0.000000001,$B61&lt;=_slice!$I$7+0.000000001,IF(01_因子設定!$B$20="Box-Behnken",J$41^2+$B61^2+_slice!$H$8&lt;=2+0.000000001,TRUE())),IF(01_因子設定!$B$13="最大化",(_slice!J102-04_回帰ANOVA!$K$19*04_回帰ANOVA!$K$14*SQRT(1+_slice!J127))-01_因子設定!$B$14,IF(01_因子設定!$B$13="最小化",01_因子設定!$B$15-(_slice!J102+04_回帰ANOVA!$K$19*04_回帰ANOVA!$K$14*SQRT(1+_slice!J127)),MIN((_slice!J102-04_回帰ANOVA!$K$19*04_回帰ANOVA!$K$14*SQRT(1+_slice!J127))-01_因子設定!$B$14,01_因子設定!$B$15-(_slice!J102+04_回帰ANOVA!$K$19*04_回帰ANOVA!$K$14*SQRT(1+_slice!J127))))),"外")</f>
        <v>-3.39083752214503</v>
      </c>
      <c r="K61" s="50" t="n">
        <f aca="false">IF(AND(_slice!$H$5=1,K$41&gt;=_slice!$H$6-0.000000001,K$41&lt;=_slice!$I$6+0.000000001,$B61&gt;=_slice!$H$7-0.000000001,$B61&lt;=_slice!$I$7+0.000000001,IF(01_因子設定!$B$20="Box-Behnken",K$41^2+$B61^2+_slice!$H$8&lt;=2+0.000000001,TRUE())),IF(01_因子設定!$B$13="最大化",(_slice!K102-04_回帰ANOVA!$K$19*04_回帰ANOVA!$K$14*SQRT(1+_slice!K127))-01_因子設定!$B$14,IF(01_因子設定!$B$13="最小化",01_因子設定!$B$15-(_slice!K102+04_回帰ANOVA!$K$19*04_回帰ANOVA!$K$14*SQRT(1+_slice!K127)),MIN((_slice!K102-04_回帰ANOVA!$K$19*04_回帰ANOVA!$K$14*SQRT(1+_slice!K127))-01_因子設定!$B$14,01_因子設定!$B$15-(_slice!K102+04_回帰ANOVA!$K$19*04_回帰ANOVA!$K$14*SQRT(1+_slice!K127))))),"外")</f>
        <v>-3.18139064530804</v>
      </c>
      <c r="L61" s="50" t="n">
        <f aca="false">IF(AND(_slice!$H$5=1,L$41&gt;=_slice!$H$6-0.000000001,L$41&lt;=_slice!$I$6+0.000000001,$B61&gt;=_slice!$H$7-0.000000001,$B61&lt;=_slice!$I$7+0.000000001,IF(01_因子設定!$B$20="Box-Behnken",L$41^2+$B61^2+_slice!$H$8&lt;=2+0.000000001,TRUE())),IF(01_因子設定!$B$13="最大化",(_slice!L102-04_回帰ANOVA!$K$19*04_回帰ANOVA!$K$14*SQRT(1+_slice!L127))-01_因子設定!$B$14,IF(01_因子設定!$B$13="最小化",01_因子設定!$B$15-(_slice!L102+04_回帰ANOVA!$K$19*04_回帰ANOVA!$K$14*SQRT(1+_slice!L127)),MIN((_slice!L102-04_回帰ANOVA!$K$19*04_回帰ANOVA!$K$14*SQRT(1+_slice!L127))-01_因子設定!$B$14,01_因子設定!$B$15-(_slice!L102+04_回帰ANOVA!$K$19*04_回帰ANOVA!$K$14*SQRT(1+_slice!L127))))),"外")</f>
        <v>-3.02253708157508</v>
      </c>
      <c r="M61" s="50" t="n">
        <f aca="false">IF(AND(_slice!$H$5=1,M$41&gt;=_slice!$H$6-0.000000001,M$41&lt;=_slice!$I$6+0.000000001,$B61&gt;=_slice!$H$7-0.000000001,$B61&lt;=_slice!$I$7+0.000000001,IF(01_因子設定!$B$20="Box-Behnken",M$41^2+$B61^2+_slice!$H$8&lt;=2+0.000000001,TRUE())),IF(01_因子設定!$B$13="最大化",(_slice!M102-04_回帰ANOVA!$K$19*04_回帰ANOVA!$K$14*SQRT(1+_slice!M127))-01_因子設定!$B$14,IF(01_因子設定!$B$13="最小化",01_因子設定!$B$15-(_slice!M102+04_回帰ANOVA!$K$19*04_回帰ANOVA!$K$14*SQRT(1+_slice!M127)),MIN((_slice!M102-04_回帰ANOVA!$K$19*04_回帰ANOVA!$K$14*SQRT(1+_slice!M127))-01_因子設定!$B$14,01_因子設定!$B$15-(_slice!M102+04_回帰ANOVA!$K$19*04_回帰ANOVA!$K$14*SQRT(1+_slice!M127))))),"外")</f>
        <v>-2.91347113847421</v>
      </c>
      <c r="N61" s="50" t="n">
        <f aca="false">IF(AND(_slice!$H$5=1,N$41&gt;=_slice!$H$6-0.000000001,N$41&lt;=_slice!$I$6+0.000000001,$B61&gt;=_slice!$H$7-0.000000001,$B61&lt;=_slice!$I$7+0.000000001,IF(01_因子設定!$B$20="Box-Behnken",N$41^2+$B61^2+_slice!$H$8&lt;=2+0.000000001,TRUE())),IF(01_因子設定!$B$13="最大化",(_slice!N102-04_回帰ANOVA!$K$19*04_回帰ANOVA!$K$14*SQRT(1+_slice!N127))-01_因子設定!$B$14,IF(01_因子設定!$B$13="最小化",01_因子設定!$B$15-(_slice!N102+04_回帰ANOVA!$K$19*04_回帰ANOVA!$K$14*SQRT(1+_slice!N127)),MIN((_slice!N102-04_回帰ANOVA!$K$19*04_回帰ANOVA!$K$14*SQRT(1+_slice!N127))-01_因子設定!$B$14,01_因子設定!$B$15-(_slice!N102+04_回帰ANOVA!$K$19*04_回帰ANOVA!$K$14*SQRT(1+_slice!N127))))),"外")</f>
        <v>-2.85392597046398</v>
      </c>
      <c r="O61" s="50" t="n">
        <f aca="false">IF(AND(_slice!$H$5=1,O$41&gt;=_slice!$H$6-0.000000001,O$41&lt;=_slice!$I$6+0.000000001,$B61&gt;=_slice!$H$7-0.000000001,$B61&lt;=_slice!$I$7+0.000000001,IF(01_因子設定!$B$20="Box-Behnken",O$41^2+$B61^2+_slice!$H$8&lt;=2+0.000000001,TRUE())),IF(01_因子設定!$B$13="最大化",(_slice!O102-04_回帰ANOVA!$K$19*04_回帰ANOVA!$K$14*SQRT(1+_slice!O127))-01_因子設定!$B$14,IF(01_因子設定!$B$13="最小化",01_因子設定!$B$15-(_slice!O102+04_回帰ANOVA!$K$19*04_回帰ANOVA!$K$14*SQRT(1+_slice!O127)),MIN((_slice!O102-04_回帰ANOVA!$K$19*04_回帰ANOVA!$K$14*SQRT(1+_slice!O127))-01_因子設定!$B$14,01_因子設定!$B$15-(_slice!O102+04_回帰ANOVA!$K$19*04_回帰ANOVA!$K$14*SQRT(1+_slice!O127))))),"外")</f>
        <v>-2.84416842308582</v>
      </c>
      <c r="P61" s="50" t="n">
        <f aca="false">IF(AND(_slice!$H$5=1,P$41&gt;=_slice!$H$6-0.000000001,P$41&lt;=_slice!$I$6+0.000000001,$B61&gt;=_slice!$H$7-0.000000001,$B61&lt;=_slice!$I$7+0.000000001,IF(01_因子設定!$B$20="Box-Behnken",P$41^2+$B61^2+_slice!$H$8&lt;=2+0.000000001,TRUE())),IF(01_因子設定!$B$13="最大化",(_slice!P102-04_回帰ANOVA!$K$19*04_回帰ANOVA!$K$14*SQRT(1+_slice!P127))-01_因子設定!$B$14,IF(01_因子設定!$B$13="最小化",01_因子設定!$B$15-(_slice!P102+04_回帰ANOVA!$K$19*04_回帰ANOVA!$K$14*SQRT(1+_slice!P127)),MIN((_slice!P102-04_回帰ANOVA!$K$19*04_回帰ANOVA!$K$14*SQRT(1+_slice!P127))-01_因子設定!$B$14,01_因子設定!$B$15-(_slice!P102+04_回帰ANOVA!$K$19*04_回帰ANOVA!$K$14*SQRT(1+_slice!P127))))),"外")</f>
        <v>-2.8850041888117</v>
      </c>
      <c r="Q61" s="50" t="n">
        <f aca="false">IF(AND(_slice!$H$5=1,Q$41&gt;=_slice!$H$6-0.000000001,Q$41&lt;=_slice!$I$6+0.000000001,$B61&gt;=_slice!$H$7-0.000000001,$B61&lt;=_slice!$I$7+0.000000001,IF(01_因子設定!$B$20="Box-Behnken",Q$41^2+$B61^2+_slice!$H$8&lt;=2+0.000000001,TRUE())),IF(01_因子設定!$B$13="最大化",(_slice!Q102-04_回帰ANOVA!$K$19*04_回帰ANOVA!$K$14*SQRT(1+_slice!Q127))-01_因子設定!$B$14,IF(01_因子設定!$B$13="最小化",01_因子設定!$B$15-(_slice!Q102+04_回帰ANOVA!$K$19*04_回帰ANOVA!$K$14*SQRT(1+_slice!Q127)),MIN((_slice!Q102-04_回帰ANOVA!$K$19*04_回帰ANOVA!$K$14*SQRT(1+_slice!Q127))-01_因子設定!$B$14,01_因子設定!$B$15-(_slice!Q102+04_回帰ANOVA!$K$19*04_回帰ANOVA!$K$14*SQRT(1+_slice!Q127))))),"外")</f>
        <v>-2.97778992244939</v>
      </c>
      <c r="R61" s="50" t="n">
        <f aca="false">IF(AND(_slice!$H$5=1,R$41&gt;=_slice!$H$6-0.000000001,R$41&lt;=_slice!$I$6+0.000000001,$B61&gt;=_slice!$H$7-0.000000001,$B61&lt;=_slice!$I$7+0.000000001,IF(01_因子設定!$B$20="Box-Behnken",R$41^2+$B61^2+_slice!$H$8&lt;=2+0.000000001,TRUE())),IF(01_因子設定!$B$13="最大化",(_slice!R102-04_回帰ANOVA!$K$19*04_回帰ANOVA!$K$14*SQRT(1+_slice!R127))-01_因子設定!$B$14,IF(01_因子設定!$B$13="最小化",01_因子設定!$B$15-(_slice!R102+04_回帰ANOVA!$K$19*04_回帰ANOVA!$K$14*SQRT(1+_slice!R127)),MIN((_slice!R102-04_回帰ANOVA!$K$19*04_回帰ANOVA!$K$14*SQRT(1+_slice!R127))-01_因子設定!$B$14,01_因子設定!$B$15-(_slice!R102+04_回帰ANOVA!$K$19*04_回帰ANOVA!$K$14*SQRT(1+_slice!R127))))),"外")</f>
        <v>-3.12444181889373</v>
      </c>
      <c r="S61" s="50" t="n">
        <f aca="false">IF(AND(_slice!$H$5=1,S$41&gt;=_slice!$H$6-0.000000001,S$41&lt;=_slice!$I$6+0.000000001,$B61&gt;=_slice!$H$7-0.000000001,$B61&lt;=_slice!$I$7+0.000000001,IF(01_因子設定!$B$20="Box-Behnken",S$41^2+$B61^2+_slice!$H$8&lt;=2+0.000000001,TRUE())),IF(01_因子設定!$B$13="最大化",(_slice!S102-04_回帰ANOVA!$K$19*04_回帰ANOVA!$K$14*SQRT(1+_slice!S127))-01_因子設定!$B$14,IF(01_因子設定!$B$13="最小化",01_因子設定!$B$15-(_slice!S102+04_回帰ANOVA!$K$19*04_回帰ANOVA!$K$14*SQRT(1+_slice!S127)),MIN((_slice!S102-04_回帰ANOVA!$K$19*04_回帰ANOVA!$K$14*SQRT(1+_slice!S127))-01_因子設定!$B$14,01_因子設定!$B$15-(_slice!S102+04_回帰ANOVA!$K$19*04_回帰ANOVA!$K$14*SQRT(1+_slice!S127))))),"外")</f>
        <v>-3.32742231842435</v>
      </c>
      <c r="T61" s="50" t="n">
        <f aca="false">IF(AND(_slice!$H$5=1,T$41&gt;=_slice!$H$6-0.000000001,T$41&lt;=_slice!$I$6+0.000000001,$B61&gt;=_slice!$H$7-0.000000001,$B61&lt;=_slice!$I$7+0.000000001,IF(01_因子設定!$B$20="Box-Behnken",T$41^2+$B61^2+_slice!$H$8&lt;=2+0.000000001,TRUE())),IF(01_因子設定!$B$13="最大化",(_slice!T102-04_回帰ANOVA!$K$19*04_回帰ANOVA!$K$14*SQRT(1+_slice!T127))-01_因子設定!$B$14,IF(01_因子設定!$B$13="最小化",01_因子設定!$B$15-(_slice!T102+04_回帰ANOVA!$K$19*04_回帰ANOVA!$K$14*SQRT(1+_slice!T127)),MIN((_slice!T102-04_回帰ANOVA!$K$19*04_回帰ANOVA!$K$14*SQRT(1+_slice!T127))-01_因子設定!$B$14,01_因子設定!$B$15-(_slice!T102+04_回帰ANOVA!$K$19*04_回帰ANOVA!$K$14*SQRT(1+_slice!T127))))),"外")</f>
        <v>-3.58967983632229</v>
      </c>
      <c r="U61" s="50" t="n">
        <f aca="false">IF(AND(_slice!$H$5=1,U$41&gt;=_slice!$H$6-0.000000001,U$41&lt;=_slice!$I$6+0.000000001,$B61&gt;=_slice!$H$7-0.000000001,$B61&lt;=_slice!$I$7+0.000000001,IF(01_因子設定!$B$20="Box-Behnken",U$41^2+$B61^2+_slice!$H$8&lt;=2+0.000000001,TRUE())),IF(01_因子設定!$B$13="最大化",(_slice!U102-04_回帰ANOVA!$K$19*04_回帰ANOVA!$K$14*SQRT(1+_slice!U127))-01_因子設定!$B$14,IF(01_因子設定!$B$13="最小化",01_因子設定!$B$15-(_slice!U102+04_回帰ANOVA!$K$19*04_回帰ANOVA!$K$14*SQRT(1+_slice!U127)),MIN((_slice!U102-04_回帰ANOVA!$K$19*04_回帰ANOVA!$K$14*SQRT(1+_slice!U127))-01_因子設定!$B$14,01_因子設定!$B$15-(_slice!U102+04_回帰ANOVA!$K$19*04_回帰ANOVA!$K$14*SQRT(1+_slice!U127))))),"外")</f>
        <v>-3.91451568274064</v>
      </c>
      <c r="V61" s="50" t="n">
        <f aca="false">IF(AND(_slice!$H$5=1,V$41&gt;=_slice!$H$6-0.000000001,V$41&lt;=_slice!$I$6+0.000000001,$B61&gt;=_slice!$H$7-0.000000001,$B61&lt;=_slice!$I$7+0.000000001,IF(01_因子設定!$B$20="Box-Behnken",V$41^2+$B61^2+_slice!$H$8&lt;=2+0.000000001,TRUE())),IF(01_因子設定!$B$13="最大化",(_slice!V102-04_回帰ANOVA!$K$19*04_回帰ANOVA!$K$14*SQRT(1+_slice!V127))-01_因子設定!$B$14,IF(01_因子設定!$B$13="最小化",01_因子設定!$B$15-(_slice!V102+04_回帰ANOVA!$K$19*04_回帰ANOVA!$K$14*SQRT(1+_slice!V127)),MIN((_slice!V102-04_回帰ANOVA!$K$19*04_回帰ANOVA!$K$14*SQRT(1+_slice!V127))-01_因子設定!$B$14,01_因子設定!$B$15-(_slice!V102+04_回帰ANOVA!$K$19*04_回帰ANOVA!$K$14*SQRT(1+_slice!V127))))),"外")</f>
        <v>-4.30536498079158</v>
      </c>
      <c r="W61" s="50" t="n">
        <f aca="false">IF(AND(_slice!$H$5=1,W$41&gt;=_slice!$H$6-0.000000001,W$41&lt;=_slice!$I$6+0.000000001,$B61&gt;=_slice!$H$7-0.000000001,$B61&lt;=_slice!$I$7+0.000000001,IF(01_因子設定!$B$20="Box-Behnken",W$41^2+$B61^2+_slice!$H$8&lt;=2+0.000000001,TRUE())),IF(01_因子設定!$B$13="最大化",(_slice!W102-04_回帰ANOVA!$K$19*04_回帰ANOVA!$K$14*SQRT(1+_slice!W127))-01_因子設定!$B$14,IF(01_因子設定!$B$13="最小化",01_因子設定!$B$15-(_slice!W102+04_回帰ANOVA!$K$19*04_回帰ANOVA!$K$14*SQRT(1+_slice!W127)),MIN((_slice!W102-04_回帰ANOVA!$K$19*04_回帰ANOVA!$K$14*SQRT(1+_slice!W127))-01_因子設定!$B$14,01_因子設定!$B$15-(_slice!W102+04_回帰ANOVA!$K$19*04_回帰ANOVA!$K$14*SQRT(1+_slice!W127))))),"外")</f>
        <v>-4.76550846498592</v>
      </c>
    </row>
    <row r="62" customFormat="false" ht="15" hidden="false" customHeight="false" outlineLevel="0" collapsed="false">
      <c r="A62" s="49" t="n">
        <f aca="false">INDEX(01_因子設定!$G$5:$G$8,$C$5)+B62*INDEX(01_因子設定!$H$5:$H$8,$C$5)</f>
        <v>21</v>
      </c>
      <c r="B62" s="49" t="n">
        <v>-0.9</v>
      </c>
      <c r="C62" s="50" t="n">
        <f aca="false">IF(AND(_slice!$H$5=1,C$41&gt;=_slice!$H$6-0.000000001,C$41&lt;=_slice!$I$6+0.000000001,$B62&gt;=_slice!$H$7-0.000000001,$B62&lt;=_slice!$I$7+0.000000001,IF(01_因子設定!$B$20="Box-Behnken",C$41^2+$B62^2+_slice!$H$8&lt;=2+0.000000001,TRUE())),IF(01_因子設定!$B$13="最大化",(_slice!C103-04_回帰ANOVA!$K$19*04_回帰ANOVA!$K$14*SQRT(1+_slice!C128))-01_因子設定!$B$14,IF(01_因子設定!$B$13="最小化",01_因子設定!$B$15-(_slice!C103+04_回帰ANOVA!$K$19*04_回帰ANOVA!$K$14*SQRT(1+_slice!C128)),MIN((_slice!C103-04_回帰ANOVA!$K$19*04_回帰ANOVA!$K$14*SQRT(1+_slice!C128))-01_因子設定!$B$14,01_因子設定!$B$15-(_slice!C103+04_回帰ANOVA!$K$19*04_回帰ANOVA!$K$14*SQRT(1+_slice!C128))))),"外")</f>
        <v>-7.02129961487823</v>
      </c>
      <c r="D62" s="50" t="n">
        <f aca="false">IF(AND(_slice!$H$5=1,D$41&gt;=_slice!$H$6-0.000000001,D$41&lt;=_slice!$I$6+0.000000001,$B62&gt;=_slice!$H$7-0.000000001,$B62&lt;=_slice!$I$7+0.000000001,IF(01_因子設定!$B$20="Box-Behnken",D$41^2+$B62^2+_slice!$H$8&lt;=2+0.000000001,TRUE())),IF(01_因子設定!$B$13="最大化",(_slice!D103-04_回帰ANOVA!$K$19*04_回帰ANOVA!$K$14*SQRT(1+_slice!D128))-01_因子設定!$B$14,IF(01_因子設定!$B$13="最小化",01_因子設定!$B$15-(_slice!D103+04_回帰ANOVA!$K$19*04_回帰ANOVA!$K$14*SQRT(1+_slice!D128)),MIN((_slice!D103-04_回帰ANOVA!$K$19*04_回帰ANOVA!$K$14*SQRT(1+_slice!D128))-01_因子設定!$B$14,01_因子設定!$B$15-(_slice!D103+04_回帰ANOVA!$K$19*04_回帰ANOVA!$K$14*SQRT(1+_slice!D128))))),"外")</f>
        <v>-6.40774116166043</v>
      </c>
      <c r="E62" s="50" t="n">
        <f aca="false">IF(AND(_slice!$H$5=1,E$41&gt;=_slice!$H$6-0.000000001,E$41&lt;=_slice!$I$6+0.000000001,$B62&gt;=_slice!$H$7-0.000000001,$B62&lt;=_slice!$I$7+0.000000001,IF(01_因子設定!$B$20="Box-Behnken",E$41^2+$B62^2+_slice!$H$8&lt;=2+0.000000001,TRUE())),IF(01_因子設定!$B$13="最大化",(_slice!E103-04_回帰ANOVA!$K$19*04_回帰ANOVA!$K$14*SQRT(1+_slice!E128))-01_因子設定!$B$14,IF(01_因子設定!$B$13="最小化",01_因子設定!$B$15-(_slice!E103+04_回帰ANOVA!$K$19*04_回帰ANOVA!$K$14*SQRT(1+_slice!E128)),MIN((_slice!E103-04_回帰ANOVA!$K$19*04_回帰ANOVA!$K$14*SQRT(1+_slice!E128))-01_因子設定!$B$14,01_因子設定!$B$15-(_slice!E103+04_回帰ANOVA!$K$19*04_回帰ANOVA!$K$14*SQRT(1+_slice!E128))))),"外")</f>
        <v>-5.86300386968048</v>
      </c>
      <c r="F62" s="50" t="n">
        <f aca="false">IF(AND(_slice!$H$5=1,F$41&gt;=_slice!$H$6-0.000000001,F$41&lt;=_slice!$I$6+0.000000001,$B62&gt;=_slice!$H$7-0.000000001,$B62&lt;=_slice!$I$7+0.000000001,IF(01_因子設定!$B$20="Box-Behnken",F$41^2+$B62^2+_slice!$H$8&lt;=2+0.000000001,TRUE())),IF(01_因子設定!$B$13="最大化",(_slice!F103-04_回帰ANOVA!$K$19*04_回帰ANOVA!$K$14*SQRT(1+_slice!F128))-01_因子設定!$B$14,IF(01_因子設定!$B$13="最小化",01_因子設定!$B$15-(_slice!F103+04_回帰ANOVA!$K$19*04_回帰ANOVA!$K$14*SQRT(1+_slice!F128)),MIN((_slice!F103-04_回帰ANOVA!$K$19*04_回帰ANOVA!$K$14*SQRT(1+_slice!F128))-01_因子設定!$B$14,01_因子設定!$B$15-(_slice!F103+04_回帰ANOVA!$K$19*04_回帰ANOVA!$K$14*SQRT(1+_slice!F128))))),"外")</f>
        <v>-5.38373882522863</v>
      </c>
      <c r="G62" s="50" t="n">
        <f aca="false">IF(AND(_slice!$H$5=1,G$41&gt;=_slice!$H$6-0.000000001,G$41&lt;=_slice!$I$6+0.000000001,$B62&gt;=_slice!$H$7-0.000000001,$B62&lt;=_slice!$I$7+0.000000001,IF(01_因子設定!$B$20="Box-Behnken",G$41^2+$B62^2+_slice!$H$8&lt;=2+0.000000001,TRUE())),IF(01_因子設定!$B$13="最大化",(_slice!G103-04_回帰ANOVA!$K$19*04_回帰ANOVA!$K$14*SQRT(1+_slice!G128))-01_因子設定!$B$14,IF(01_因子設定!$B$13="最小化",01_因子設定!$B$15-(_slice!G103+04_回帰ANOVA!$K$19*04_回帰ANOVA!$K$14*SQRT(1+_slice!G128)),MIN((_slice!G103-04_回帰ANOVA!$K$19*04_回帰ANOVA!$K$14*SQRT(1+_slice!G128))-01_因子設定!$B$14,01_因子設定!$B$15-(_slice!G103+04_回帰ANOVA!$K$19*04_回帰ANOVA!$K$14*SQRT(1+_slice!G128))))),"外")</f>
        <v>-4.96650112836505</v>
      </c>
      <c r="H62" s="50" t="n">
        <f aca="false">IF(AND(_slice!$H$5=1,H$41&gt;=_slice!$H$6-0.000000001,H$41&lt;=_slice!$I$6+0.000000001,$B62&gt;=_slice!$H$7-0.000000001,$B62&lt;=_slice!$I$7+0.000000001,IF(01_因子設定!$B$20="Box-Behnken",H$41^2+$B62^2+_slice!$H$8&lt;=2+0.000000001,TRUE())),IF(01_因子設定!$B$13="最大化",(_slice!H103-04_回帰ANOVA!$K$19*04_回帰ANOVA!$K$14*SQRT(1+_slice!H128))-01_因子設定!$B$14,IF(01_因子設定!$B$13="最小化",01_因子設定!$B$15-(_slice!H103+04_回帰ANOVA!$K$19*04_回帰ANOVA!$K$14*SQRT(1+_slice!H128)),MIN((_slice!H103-04_回帰ANOVA!$K$19*04_回帰ANOVA!$K$14*SQRT(1+_slice!H128))-01_因子設定!$B$14,01_因子設定!$B$15-(_slice!H103+04_回帰ANOVA!$K$19*04_回帰ANOVA!$K$14*SQRT(1+_slice!H128))))),"外")</f>
        <v>-4.60802373508331</v>
      </c>
      <c r="I62" s="50" t="n">
        <f aca="false">IF(AND(_slice!$H$5=1,I$41&gt;=_slice!$H$6-0.000000001,I$41&lt;=_slice!$I$6+0.000000001,$B62&gt;=_slice!$H$7-0.000000001,$B62&lt;=_slice!$I$7+0.000000001,IF(01_因子設定!$B$20="Box-Behnken",I$41^2+$B62^2+_slice!$H$8&lt;=2+0.000000001,TRUE())),IF(01_因子設定!$B$13="最大化",(_slice!I103-04_回帰ANOVA!$K$19*04_回帰ANOVA!$K$14*SQRT(1+_slice!I128))-01_因子設定!$B$14,IF(01_因子設定!$B$13="最小化",01_因子設定!$B$15-(_slice!I103+04_回帰ANOVA!$K$19*04_回帰ANOVA!$K$14*SQRT(1+_slice!I128)),MIN((_slice!I103-04_回帰ANOVA!$K$19*04_回帰ANOVA!$K$14*SQRT(1+_slice!I128))-01_因子設定!$B$14,01_因子設定!$B$15-(_slice!I103+04_回帰ANOVA!$K$19*04_回帰ANOVA!$K$14*SQRT(1+_slice!I128))))),"外")</f>
        <v>-4.30541672030249</v>
      </c>
      <c r="J62" s="50" t="n">
        <f aca="false">IF(AND(_slice!$H$5=1,J$41&gt;=_slice!$H$6-0.000000001,J$41&lt;=_slice!$I$6+0.000000001,$B62&gt;=_slice!$H$7-0.000000001,$B62&lt;=_slice!$I$7+0.000000001,IF(01_因子設定!$B$20="Box-Behnken",J$41^2+$B62^2+_slice!$H$8&lt;=2+0.000000001,TRUE())),IF(01_因子設定!$B$13="最大化",(_slice!J103-04_回帰ANOVA!$K$19*04_回帰ANOVA!$K$14*SQRT(1+_slice!J128))-01_因子設定!$B$14,IF(01_因子設定!$B$13="最小化",01_因子設定!$B$15-(_slice!J103+04_回帰ANOVA!$K$19*04_回帰ANOVA!$K$14*SQRT(1+_slice!J128)),MIN((_slice!J103-04_回帰ANOVA!$K$19*04_回帰ANOVA!$K$14*SQRT(1+_slice!J128))-01_因子設定!$B$14,01_因子設定!$B$15-(_slice!J103+04_回帰ANOVA!$K$19*04_回帰ANOVA!$K$14*SQRT(1+_slice!J128))))),"外")</f>
        <v>-4.05628248009605</v>
      </c>
      <c r="K62" s="50" t="n">
        <f aca="false">IF(AND(_slice!$H$5=1,K$41&gt;=_slice!$H$6-0.000000001,K$41&lt;=_slice!$I$6+0.000000001,$B62&gt;=_slice!$H$7-0.000000001,$B62&lt;=_slice!$I$7+0.000000001,IF(01_因子設定!$B$20="Box-Behnken",K$41^2+$B62^2+_slice!$H$8&lt;=2+0.000000001,TRUE())),IF(01_因子設定!$B$13="最大化",(_slice!K103-04_回帰ANOVA!$K$19*04_回帰ANOVA!$K$14*SQRT(1+_slice!K128))-01_因子設定!$B$14,IF(01_因子設定!$B$13="最小化",01_因子設定!$B$15-(_slice!K103+04_回帰ANOVA!$K$19*04_回帰ANOVA!$K$14*SQRT(1+_slice!K128)),MIN((_slice!K103-04_回帰ANOVA!$K$19*04_回帰ANOVA!$K$14*SQRT(1+_slice!K128))-01_因子設定!$B$14,01_因子設定!$B$15-(_slice!K103+04_回帰ANOVA!$K$19*04_回帰ANOVA!$K$14*SQRT(1+_slice!K128))))),"外")</f>
        <v>-3.85876341028562</v>
      </c>
      <c r="L62" s="50" t="n">
        <f aca="false">IF(AND(_slice!$H$5=1,L$41&gt;=_slice!$H$6-0.000000001,L$41&lt;=_slice!$I$6+0.000000001,$B62&gt;=_slice!$H$7-0.000000001,$B62&lt;=_slice!$I$7+0.000000001,IF(01_因子設定!$B$20="Box-Behnken",L$41^2+$B62^2+_slice!$H$8&lt;=2+0.000000001,TRUE())),IF(01_因子設定!$B$13="最大化",(_slice!L103-04_回帰ANOVA!$K$19*04_回帰ANOVA!$K$14*SQRT(1+_slice!L128))-01_因子設定!$B$14,IF(01_因子設定!$B$13="最小化",01_因子設定!$B$15-(_slice!L103+04_回帰ANOVA!$K$19*04_回帰ANOVA!$K$14*SQRT(1+_slice!L128)),MIN((_slice!L103-04_回帰ANOVA!$K$19*04_回帰ANOVA!$K$14*SQRT(1+_slice!L128))-01_因子設定!$B$14,01_因子設定!$B$15-(_slice!L103+04_回帰ANOVA!$K$19*04_回帰ANOVA!$K$14*SQRT(1+_slice!L128))))),"外")</f>
        <v>-3.71154788867378</v>
      </c>
      <c r="M62" s="50" t="n">
        <f aca="false">IF(AND(_slice!$H$5=1,M$41&gt;=_slice!$H$6-0.000000001,M$41&lt;=_slice!$I$6+0.000000001,$B62&gt;=_slice!$H$7-0.000000001,$B62&lt;=_slice!$I$7+0.000000001,IF(01_因子設定!$B$20="Box-Behnken",M$41^2+$B62^2+_slice!$H$8&lt;=2+0.000000001,TRUE())),IF(01_因子設定!$B$13="最大化",(_slice!M103-04_回帰ANOVA!$K$19*04_回帰ANOVA!$K$14*SQRT(1+_slice!M128))-01_因子設定!$B$14,IF(01_因子設定!$B$13="最小化",01_因子設定!$B$15-(_slice!M103+04_回帰ANOVA!$K$19*04_回帰ANOVA!$K$14*SQRT(1+_slice!M128)),MIN((_slice!M103-04_回帰ANOVA!$K$19*04_回帰ANOVA!$K$14*SQRT(1+_slice!M128))-01_因子設定!$B$14,01_因子設定!$B$15-(_slice!M103+04_回帰ANOVA!$K$19*04_回帰ANOVA!$K$14*SQRT(1+_slice!M128))))),"外")</f>
        <v>-3.61385815158232</v>
      </c>
      <c r="N62" s="50" t="n">
        <f aca="false">IF(AND(_slice!$H$5=1,N$41&gt;=_slice!$H$6-0.000000001,N$41&lt;=_slice!$I$6+0.000000001,$B62&gt;=_slice!$H$7-0.000000001,$B62&lt;=_slice!$I$7+0.000000001,IF(01_因子設定!$B$20="Box-Behnken",N$41^2+$B62^2+_slice!$H$8&lt;=2+0.000000001,TRUE())),IF(01_因子設定!$B$13="最大化",(_slice!N103-04_回帰ANOVA!$K$19*04_回帰ANOVA!$K$14*SQRT(1+_slice!N128))-01_因子設定!$B$14,IF(01_因子設定!$B$13="最小化",01_因子設定!$B$15-(_slice!N103+04_回帰ANOVA!$K$19*04_回帰ANOVA!$K$14*SQRT(1+_slice!N128)),MIN((_slice!N103-04_回帰ANOVA!$K$19*04_回帰ANOVA!$K$14*SQRT(1+_slice!N128))-01_因子設定!$B$14,01_因子設定!$B$15-(_slice!N103+04_回帰ANOVA!$K$19*04_回帰ANOVA!$K$14*SQRT(1+_slice!N128))))),"外")</f>
        <v>-3.56543677756267</v>
      </c>
      <c r="O62" s="50" t="n">
        <f aca="false">IF(AND(_slice!$H$5=1,O$41&gt;=_slice!$H$6-0.000000001,O$41&lt;=_slice!$I$6+0.000000001,$B62&gt;=_slice!$H$7-0.000000001,$B62&lt;=_slice!$I$7+0.000000001,IF(01_因子設定!$B$20="Box-Behnken",O$41^2+$B62^2+_slice!$H$8&lt;=2+0.000000001,TRUE())),IF(01_因子設定!$B$13="最大化",(_slice!O103-04_回帰ANOVA!$K$19*04_回帰ANOVA!$K$14*SQRT(1+_slice!O128))-01_因子設定!$B$14,IF(01_因子設定!$B$13="最小化",01_因子設定!$B$15-(_slice!O103+04_回帰ANOVA!$K$19*04_回帰ANOVA!$K$14*SQRT(1+_slice!O128)),MIN((_slice!O103-04_回帰ANOVA!$K$19*04_回帰ANOVA!$K$14*SQRT(1+_slice!O128))-01_因子設定!$B$14,01_因子設定!$B$15-(_slice!O103+04_回帰ANOVA!$K$19*04_回帰ANOVA!$K$14*SQRT(1+_slice!O128))))),"外")</f>
        <v>-3.5665411880634</v>
      </c>
      <c r="P62" s="50" t="n">
        <f aca="false">IF(AND(_slice!$H$5=1,P$41&gt;=_slice!$H$6-0.000000001,P$41&lt;=_slice!$I$6+0.000000001,$B62&gt;=_slice!$H$7-0.000000001,$B62&lt;=_slice!$I$7+0.000000001,IF(01_因子設定!$B$20="Box-Behnken",P$41^2+$B62^2+_slice!$H$8&lt;=2+0.000000001,TRUE())),IF(01_因子設定!$B$13="最大化",(_slice!P103-04_回帰ANOVA!$K$19*04_回帰ANOVA!$K$14*SQRT(1+_slice!P128))-01_因子設定!$B$14,IF(01_因子設定!$B$13="最小化",01_因子設定!$B$15-(_slice!P103+04_回帰ANOVA!$K$19*04_回帰ANOVA!$K$14*SQRT(1+_slice!P128)),MIN((_slice!P103-04_回帰ANOVA!$K$19*04_回帰ANOVA!$K$14*SQRT(1+_slice!P128))-01_因子設定!$B$14,01_因子設定!$B$15-(_slice!P103+04_回帰ANOVA!$K$19*04_回帰ANOVA!$K$14*SQRT(1+_slice!P128))))),"外")</f>
        <v>-3.61794914676272</v>
      </c>
      <c r="Q62" s="50" t="n">
        <f aca="false">IF(AND(_slice!$H$5=1,Q$41&gt;=_slice!$H$6-0.000000001,Q$41&lt;=_slice!$I$6+0.000000001,$B62&gt;=_slice!$H$7-0.000000001,$B62&lt;=_slice!$I$7+0.000000001,IF(01_因子設定!$B$20="Box-Behnken",Q$41^2+$B62^2+_slice!$H$8&lt;=2+0.000000001,TRUE())),IF(01_因子設定!$B$13="最大化",(_slice!Q103-04_回帰ANOVA!$K$19*04_回帰ANOVA!$K$14*SQRT(1+_slice!Q128))-01_因子設定!$B$14,IF(01_因子設定!$B$13="最小化",01_因子設定!$B$15-(_slice!Q103+04_回帰ANOVA!$K$19*04_回帰ANOVA!$K$14*SQRT(1+_slice!Q128)),MIN((_slice!Q103-04_回帰ANOVA!$K$19*04_回帰ANOVA!$K$14*SQRT(1+_slice!Q128))-01_因子設定!$B$14,01_因子設定!$B$15-(_slice!Q103+04_回帰ANOVA!$K$19*04_回帰ANOVA!$K$14*SQRT(1+_slice!Q128))))),"外")</f>
        <v>-3.72097227585805</v>
      </c>
      <c r="R62" s="50" t="n">
        <f aca="false">IF(AND(_slice!$H$5=1,R$41&gt;=_slice!$H$6-0.000000001,R$41&lt;=_slice!$I$6+0.000000001,$B62&gt;=_slice!$H$7-0.000000001,$B62&lt;=_slice!$I$7+0.000000001,IF(01_因子設定!$B$20="Box-Behnken",R$41^2+$B62^2+_slice!$H$8&lt;=2+0.000000001,TRUE())),IF(01_因子設定!$B$13="最大化",(_slice!R103-04_回帰ANOVA!$K$19*04_回帰ANOVA!$K$14*SQRT(1+_slice!R128))-01_因子設定!$B$14,IF(01_因子設定!$B$13="最小化",01_因子設定!$B$15-(_slice!R103+04_回帰ANOVA!$K$19*04_回帰ANOVA!$K$14*SQRT(1+_slice!R128)),MIN((_slice!R103-04_回帰ANOVA!$K$19*04_回帰ANOVA!$K$14*SQRT(1+_slice!R128))-01_因子設定!$B$14,01_因子設定!$B$15-(_slice!R103+04_回帰ANOVA!$K$19*04_回帰ANOVA!$K$14*SQRT(1+_slice!R128))))),"外")</f>
        <v>-3.87746817952776</v>
      </c>
      <c r="S62" s="50" t="n">
        <f aca="false">IF(AND(_slice!$H$5=1,S$41&gt;=_slice!$H$6-0.000000001,S$41&lt;=_slice!$I$6+0.000000001,$B62&gt;=_slice!$H$7-0.000000001,$B62&lt;=_slice!$I$7+0.000000001,IF(01_因子設定!$B$20="Box-Behnken",S$41^2+$B62^2+_slice!$H$8&lt;=2+0.000000001,TRUE())),IF(01_因子設定!$B$13="最大化",(_slice!S103-04_回帰ANOVA!$K$19*04_回帰ANOVA!$K$14*SQRT(1+_slice!S128))-01_因子設定!$B$14,IF(01_因子設定!$B$13="最小化",01_因子設定!$B$15-(_slice!S103+04_回帰ANOVA!$K$19*04_回帰ANOVA!$K$14*SQRT(1+_slice!S128)),MIN((_slice!S103-04_回帰ANOVA!$K$19*04_回帰ANOVA!$K$14*SQRT(1+_slice!S128))-01_因子設定!$B$14,01_因子設定!$B$15-(_slice!S103+04_回帰ANOVA!$K$19*04_回帰ANOVA!$K$14*SQRT(1+_slice!S128))))),"外")</f>
        <v>-4.08983446169839</v>
      </c>
      <c r="T62" s="50" t="n">
        <f aca="false">IF(AND(_slice!$H$5=1,T$41&gt;=_slice!$H$6-0.000000001,T$41&lt;=_slice!$I$6+0.000000001,$B62&gt;=_slice!$H$7-0.000000001,$B62&lt;=_slice!$I$7+0.000000001,IF(01_因子設定!$B$20="Box-Behnken",T$41^2+$B62^2+_slice!$H$8&lt;=2+0.000000001,TRUE())),IF(01_因子設定!$B$13="最大化",(_slice!T103-04_回帰ANOVA!$K$19*04_回帰ANOVA!$K$14*SQRT(1+_slice!T128))-01_因子設定!$B$14,IF(01_因子設定!$B$13="最小化",01_因子設定!$B$15-(_slice!T103+04_回帰ANOVA!$K$19*04_回帰ANOVA!$K$14*SQRT(1+_slice!T128)),MIN((_slice!T103-04_回帰ANOVA!$K$19*04_回帰ANOVA!$K$14*SQRT(1+_slice!T128))-01_因子設定!$B$14,01_因子設定!$B$15-(_slice!T103+04_回帰ANOVA!$K$19*04_回帰ANOVA!$K$14*SQRT(1+_slice!T128))))),"外")</f>
        <v>-4.36096104745085</v>
      </c>
      <c r="U62" s="50" t="n">
        <f aca="false">IF(AND(_slice!$H$5=1,U$41&gt;=_slice!$H$6-0.000000001,U$41&lt;=_slice!$I$6+0.000000001,$B62&gt;=_slice!$H$7-0.000000001,$B62&lt;=_slice!$I$7+0.000000001,IF(01_因子設定!$B$20="Box-Behnken",U$41^2+$B62^2+_slice!$H$8&lt;=2+0.000000001,TRUE())),IF(01_因子設定!$B$13="最大化",(_slice!U103-04_回帰ANOVA!$K$19*04_回帰ANOVA!$K$14*SQRT(1+_slice!U128))-01_因子設定!$B$14,IF(01_因子設定!$B$13="最小化",01_因子設定!$B$15-(_slice!U103+04_回帰ANOVA!$K$19*04_回帰ANOVA!$K$14*SQRT(1+_slice!U128)),MIN((_slice!U103-04_回帰ANOVA!$K$19*04_回帰ANOVA!$K$14*SQRT(1+_slice!U128))-01_因子設定!$B$14,01_因子設定!$B$15-(_slice!U103+04_回帰ANOVA!$K$19*04_回帰ANOVA!$K$14*SQRT(1+_slice!U128))))),"外")</f>
        <v>-4.6941149807916</v>
      </c>
      <c r="V62" s="50" t="n">
        <f aca="false">IF(AND(_slice!$H$5=1,V$41&gt;=_slice!$H$6-0.000000001,V$41&lt;=_slice!$I$6+0.000000001,$B62&gt;=_slice!$H$7-0.000000001,$B62&lt;=_slice!$I$7+0.000000001,IF(01_因子設定!$B$20="Box-Behnken",V$41^2+$B62^2+_slice!$H$8&lt;=2+0.000000001,TRUE())),IF(01_因子設定!$B$13="最大化",(_slice!V103-04_回帰ANOVA!$K$19*04_回帰ANOVA!$K$14*SQRT(1+_slice!V128))-01_因子設定!$B$14,IF(01_因子設定!$B$13="最小化",01_因子設定!$B$15-(_slice!V103+04_回帰ANOVA!$K$19*04_回帰ANOVA!$K$14*SQRT(1+_slice!V128)),MIN((_slice!V103-04_回帰ANOVA!$K$19*04_回帰ANOVA!$K$14*SQRT(1+_slice!V128))-01_因子設定!$B$14,01_因子設定!$B$15-(_slice!V103+04_回帰ANOVA!$K$19*04_回帰ANOVA!$K$14*SQRT(1+_slice!V128))))),"外")</f>
        <v>-5.09274116166043</v>
      </c>
      <c r="W62" s="50" t="n">
        <f aca="false">IF(AND(_slice!$H$5=1,W$41&gt;=_slice!$H$6-0.000000001,W$41&lt;=_slice!$I$6+0.000000001,$B62&gt;=_slice!$H$7-0.000000001,$B62&lt;=_slice!$I$7+0.000000001,IF(01_因子設定!$B$20="Box-Behnken",W$41^2+$B62^2+_slice!$H$8&lt;=2+0.000000001,TRUE())),IF(01_因子設定!$B$13="最大化",(_slice!W103-04_回帰ANOVA!$K$19*04_回帰ANOVA!$K$14*SQRT(1+_slice!W128))-01_因子設定!$B$14,IF(01_因子設定!$B$13="最小化",01_因子設定!$B$15-(_slice!W103+04_回帰ANOVA!$K$19*04_回帰ANOVA!$K$14*SQRT(1+_slice!W128)),MIN((_slice!W103-04_回帰ANOVA!$K$19*04_回帰ANOVA!$K$14*SQRT(1+_slice!W128))-01_因子設定!$B$14,01_因子設定!$B$15-(_slice!W103+04_回帰ANOVA!$K$19*04_回帰ANOVA!$K$14*SQRT(1+_slice!W128))))),"外")</f>
        <v>-5.56018850376712</v>
      </c>
    </row>
    <row r="63" customFormat="false" ht="15" hidden="false" customHeight="false" outlineLevel="0" collapsed="false">
      <c r="A63" s="49" t="n">
        <f aca="false">INDEX(01_因子設定!$G$5:$G$8,$C$5)+B63*INDEX(01_因子設定!$H$5:$H$8,$C$5)</f>
        <v>20</v>
      </c>
      <c r="B63" s="49" t="n">
        <v>-1</v>
      </c>
      <c r="C63" s="50" t="n">
        <f aca="false">IF(AND(_slice!$H$5=1,C$41&gt;=_slice!$H$6-0.000000001,C$41&lt;=_slice!$I$6+0.000000001,$B63&gt;=_slice!$H$7-0.000000001,$B63&lt;=_slice!$I$7+0.000000001,IF(01_因子設定!$B$20="Box-Behnken",C$41^2+$B63^2+_slice!$H$8&lt;=2+0.000000001,TRUE())),IF(01_因子設定!$B$13="最大化",(_slice!C104-04_回帰ANOVA!$K$19*04_回帰ANOVA!$K$14*SQRT(1+_slice!C129))-01_因子設定!$B$14,IF(01_因子設定!$B$13="最小化",01_因子設定!$B$15-(_slice!C104+04_回帰ANOVA!$K$19*04_回帰ANOVA!$K$14*SQRT(1+_slice!C129)),MIN((_slice!C104-04_回帰ANOVA!$K$19*04_回帰ANOVA!$K$14*SQRT(1+_slice!C129))-01_因子設定!$B$14,01_因子設定!$B$15-(_slice!C104+04_回帰ANOVA!$K$19*04_回帰ANOVA!$K$14*SQRT(1+_slice!C129))))),"外")</f>
        <v>-7.65914212297348</v>
      </c>
      <c r="D63" s="50" t="n">
        <f aca="false">IF(AND(_slice!$H$5=1,D$41&gt;=_slice!$H$6-0.000000001,D$41&lt;=_slice!$I$6+0.000000001,$B63&gt;=_slice!$H$7-0.000000001,$B63&lt;=_slice!$I$7+0.000000001,IF(01_因子設定!$B$20="Box-Behnken",D$41^2+$B63^2+_slice!$H$8&lt;=2+0.000000001,TRUE())),IF(01_因子設定!$B$13="最大化",(_slice!D104-04_回帰ANOVA!$K$19*04_回帰ANOVA!$K$14*SQRT(1+_slice!D129))-01_因子設定!$B$14,IF(01_因子設定!$B$13="最小化",01_因子設定!$B$15-(_slice!D104+04_回帰ANOVA!$K$19*04_回帰ANOVA!$K$14*SQRT(1+_slice!D129)),MIN((_slice!D104-04_回帰ANOVA!$K$19*04_回帰ANOVA!$K$14*SQRT(1+_slice!D129))-01_因子設定!$B$14,01_因子設定!$B$15-(_slice!D104+04_回帰ANOVA!$K$19*04_回帰ANOVA!$K$14*SQRT(1+_slice!D129))))),"外")</f>
        <v>-7.06143850376714</v>
      </c>
      <c r="E63" s="50" t="n">
        <f aca="false">IF(AND(_slice!$H$5=1,E$41&gt;=_slice!$H$6-0.000000001,E$41&lt;=_slice!$I$6+0.000000001,$B63&gt;=_slice!$H$7-0.000000001,$B63&lt;=_slice!$I$7+0.000000001,IF(01_因子設定!$B$20="Box-Behnken",E$41^2+$B63^2+_slice!$H$8&lt;=2+0.000000001,TRUE())),IF(01_因子設定!$B$13="最大化",(_slice!E104-04_回帰ANOVA!$K$19*04_回帰ANOVA!$K$14*SQRT(1+_slice!E129))-01_因子設定!$B$14,IF(01_因子設定!$B$13="最小化",01_因子設定!$B$15-(_slice!E104+04_回帰ANOVA!$K$19*04_回帰ANOVA!$K$14*SQRT(1+_slice!E129)),MIN((_slice!E104-04_回帰ANOVA!$K$19*04_回帰ANOVA!$K$14*SQRT(1+_slice!E129))-01_因子設定!$B$14,01_因子設定!$B$15-(_slice!E104+04_回帰ANOVA!$K$19*04_回帰ANOVA!$K$14*SQRT(1+_slice!E129))))),"外")</f>
        <v>-6.53189735387485</v>
      </c>
      <c r="F63" s="50" t="n">
        <f aca="false">IF(AND(_slice!$H$5=1,F$41&gt;=_slice!$H$6-0.000000001,F$41&lt;=_slice!$I$6+0.000000001,$B63&gt;=_slice!$H$7-0.000000001,$B63&lt;=_slice!$I$7+0.000000001,IF(01_因子設定!$B$20="Box-Behnken",F$41^2+$B63^2+_slice!$H$8&lt;=2+0.000000001,TRUE())),IF(01_因子設定!$B$13="最大化",(_slice!F104-04_回帰ANOVA!$K$19*04_回帰ANOVA!$K$14*SQRT(1+_slice!F129))-01_因子設定!$B$14,IF(01_因子設定!$B$13="最小化",01_因子設定!$B$15-(_slice!F104+04_回帰ANOVA!$K$19*04_回帰ANOVA!$K$14*SQRT(1+_slice!F129)),MIN((_slice!F104-04_回帰ANOVA!$K$19*04_回帰ANOVA!$K$14*SQRT(1+_slice!F129))-01_因子設定!$B$14,01_因子設定!$B$15-(_slice!F104+04_回帰ANOVA!$K$19*04_回帰ANOVA!$K$14*SQRT(1+_slice!F129))))),"外")</f>
        <v>-6.06712530244824</v>
      </c>
      <c r="G63" s="50" t="n">
        <f aca="false">IF(AND(_slice!$H$5=1,G$41&gt;=_slice!$H$6-0.000000001,G$41&lt;=_slice!$I$6+0.000000001,$B63&gt;=_slice!$H$7-0.000000001,$B63&lt;=_slice!$I$7+0.000000001,IF(01_因子設定!$B$20="Box-Behnken",G$41^2+$B63^2+_slice!$H$8&lt;=2+0.000000001,TRUE())),IF(01_因子設定!$B$13="最大化",(_slice!G104-04_回帰ANOVA!$K$19*04_回帰ANOVA!$K$14*SQRT(1+_slice!G129))-01_因子設定!$B$14,IF(01_因子設定!$B$13="最小化",01_因子設定!$B$15-(_slice!G104+04_回帰ANOVA!$K$19*04_回帰ANOVA!$K$14*SQRT(1+_slice!G129)),MIN((_slice!G104-04_回帰ANOVA!$K$19*04_回帰ANOVA!$K$14*SQRT(1+_slice!G129))-01_因子設定!$B$14,01_因子設定!$B$15-(_slice!G104+04_回帰ANOVA!$K$19*04_回帰ANOVA!$K$14*SQRT(1+_slice!G129))))),"外")</f>
        <v>-5.66370193249683</v>
      </c>
      <c r="H63" s="50" t="n">
        <f aca="false">IF(AND(_slice!$H$5=1,H$41&gt;=_slice!$H$6-0.000000001,H$41&lt;=_slice!$I$6+0.000000001,$B63&gt;=_slice!$H$7-0.000000001,$B63&lt;=_slice!$I$7+0.000000001,IF(01_因子設定!$B$20="Box-Behnken",H$41^2+$B63^2+_slice!$H$8&lt;=2+0.000000001,TRUE())),IF(01_因子設定!$B$13="最大化",(_slice!H104-04_回帰ANOVA!$K$19*04_回帰ANOVA!$K$14*SQRT(1+_slice!H129))-01_因子設定!$B$14,IF(01_因子設定!$B$13="最小化",01_因子設定!$B$15-(_slice!H104+04_回帰ANOVA!$K$19*04_回帰ANOVA!$K$14*SQRT(1+_slice!H129)),MIN((_slice!H104-04_回帰ANOVA!$K$19*04_回帰ANOVA!$K$14*SQRT(1+_slice!H129))-01_因子設定!$B$14,01_因子設定!$B$15-(_slice!H104+04_回帰ANOVA!$K$19*04_回帰ANOVA!$K$14*SQRT(1+_slice!H129))))),"外")</f>
        <v>-5.31843075352842</v>
      </c>
      <c r="I63" s="50" t="n">
        <f aca="false">IF(AND(_slice!$H$5=1,I$41&gt;=_slice!$H$6-0.000000001,I$41&lt;=_slice!$I$6+0.000000001,$B63&gt;=_slice!$H$7-0.000000001,$B63&lt;=_slice!$I$7+0.000000001,IF(01_因子設定!$B$20="Box-Behnken",I$41^2+$B63^2+_slice!$H$8&lt;=2+0.000000001,TRUE())),IF(01_因子設定!$B$13="最大化",(_slice!I104-04_回帰ANOVA!$K$19*04_回帰ANOVA!$K$14*SQRT(1+_slice!I129))-01_因子設定!$B$14,IF(01_因子設定!$B$13="最小化",01_因子設定!$B$15-(_slice!I104+04_回帰ANOVA!$K$19*04_回帰ANOVA!$K$14*SQRT(1+_slice!I129)),MIN((_slice!I104-04_回帰ANOVA!$K$19*04_回帰ANOVA!$K$14*SQRT(1+_slice!I129))-01_因子設定!$B$14,01_因子設定!$B$15-(_slice!I104+04_回帰ANOVA!$K$19*04_回帰ANOVA!$K$14*SQRT(1+_slice!I129))))),"外")</f>
        <v>-5.02851294204672</v>
      </c>
      <c r="J63" s="50" t="n">
        <f aca="false">IF(AND(_slice!$H$5=1,J$41&gt;=_slice!$H$6-0.000000001,J$41&lt;=_slice!$I$6+0.000000001,$B63&gt;=_slice!$H$7-0.000000001,$B63&lt;=_slice!$I$7+0.000000001,IF(01_因子設定!$B$20="Box-Behnken",J$41^2+$B63^2+_slice!$H$8&lt;=2+0.000000001,TRUE())),IF(01_因子設定!$B$13="最大化",(_slice!J104-04_回帰ANOVA!$K$19*04_回帰ANOVA!$K$14*SQRT(1+_slice!J129))-01_因子設定!$B$14,IF(01_因子設定!$B$13="最小化",01_因子設定!$B$15-(_slice!J104+04_回帰ANOVA!$K$19*04_回帰ANOVA!$K$14*SQRT(1+_slice!J129)),MIN((_slice!J104-04_回帰ANOVA!$K$19*04_回帰ANOVA!$K$14*SQRT(1+_slice!J129))-01_因子設定!$B$14,01_因子設定!$B$15-(_slice!J104+04_回帰ANOVA!$K$19*04_回帰ANOVA!$K$14*SQRT(1+_slice!J129))))),"外")</f>
        <v>-4.79164201691771</v>
      </c>
      <c r="K63" s="50" t="n">
        <f aca="false">IF(AND(_slice!$H$5=1,K$41&gt;=_slice!$H$6-0.000000001,K$41&lt;=_slice!$I$6+0.000000001,$B63&gt;=_slice!$H$7-0.000000001,$B63&lt;=_slice!$I$7+0.000000001,IF(01_因子設定!$B$20="Box-Behnken",K$41^2+$B63^2+_slice!$H$8&lt;=2+0.000000001,TRUE())),IF(01_因子設定!$B$13="最大化",(_slice!K104-04_回帰ANOVA!$K$19*04_回帰ANOVA!$K$14*SQRT(1+_slice!K129))-01_因子設定!$B$14,IF(01_因子設定!$B$13="最小化",01_因子設定!$B$15-(_slice!K104+04_回帰ANOVA!$K$19*04_回帰ANOVA!$K$14*SQRT(1+_slice!K129)),MIN((_slice!K104-04_回帰ANOVA!$K$19*04_回帰ANOVA!$K$14*SQRT(1+_slice!K129))-01_因子設定!$B$14,01_因子設定!$B$15-(_slice!K104+04_回帰ANOVA!$K$19*04_回帰ANOVA!$K$14*SQRT(1+_slice!K129))))),"外")</f>
        <v>-4.60603839224645</v>
      </c>
      <c r="L63" s="50" t="n">
        <f aca="false">IF(AND(_slice!$H$5=1,L$41&gt;=_slice!$H$6-0.000000001,L$41&lt;=_slice!$I$6+0.000000001,$B63&gt;=_slice!$H$7-0.000000001,$B63&lt;=_slice!$I$7+0.000000001,IF(01_因子設定!$B$20="Box-Behnken",L$41^2+$B63^2+_slice!$H$8&lt;=2+0.000000001,TRUE())),IF(01_因子設定!$B$13="最大化",(_slice!L104-04_回帰ANOVA!$K$19*04_回帰ANOVA!$K$14*SQRT(1+_slice!L129))-01_因子設定!$B$14,IF(01_因子設定!$B$13="最小化",01_因子設定!$B$15-(_slice!L104+04_回帰ANOVA!$K$19*04_回帰ANOVA!$K$14*SQRT(1+_slice!L129)),MIN((_slice!L104-04_回帰ANOVA!$K$19*04_回帰ANOVA!$K$14*SQRT(1+_slice!L129))-01_因子設定!$B$14,01_因子設定!$B$15-(_slice!L104+04_回帰ANOVA!$K$19*04_回帰ANOVA!$K$14*SQRT(1+_slice!L129))))),"外")</f>
        <v>-4.47044854244926</v>
      </c>
      <c r="M63" s="50" t="n">
        <f aca="false">IF(AND(_slice!$H$5=1,M$41&gt;=_slice!$H$6-0.000000001,M$41&lt;=_slice!$I$6+0.000000001,$B63&gt;=_slice!$H$7-0.000000001,$B63&lt;=_slice!$I$7+0.000000001,IF(01_因子設定!$B$20="Box-Behnken",M$41^2+$B63^2+_slice!$H$8&lt;=2+0.000000001,TRUE())),IF(01_因子設定!$B$13="最大化",(_slice!M104-04_回帰ANOVA!$K$19*04_回帰ANOVA!$K$14*SQRT(1+_slice!M129))-01_因子設定!$B$14,IF(01_因子設定!$B$13="最小化",01_因子設定!$B$15-(_slice!M104+04_回帰ANOVA!$K$19*04_回帰ANOVA!$K$14*SQRT(1+_slice!M129)),MIN((_slice!M104-04_回帰ANOVA!$K$19*04_回帰ANOVA!$K$14*SQRT(1+_slice!M129))-01_因子設定!$B$14,01_因子設定!$B$15-(_slice!M104+04_回帰ANOVA!$K$19*04_回帰ANOVA!$K$14*SQRT(1+_slice!M129))))),"外")</f>
        <v>-4.38413008336493</v>
      </c>
      <c r="N63" s="50" t="n">
        <f aca="false">IF(AND(_slice!$H$5=1,N$41&gt;=_slice!$H$6-0.000000001,N$41&lt;=_slice!$I$6+0.000000001,$B63&gt;=_slice!$H$7-0.000000001,$B63&lt;=_slice!$I$7+0.000000001,IF(01_因子設定!$B$20="Box-Behnken",N$41^2+$B63^2+_slice!$H$8&lt;=2+0.000000001,TRUE())),IF(01_因子設定!$B$13="最大化",(_slice!N104-04_回帰ANOVA!$K$19*04_回帰ANOVA!$K$14*SQRT(1+_slice!N129))-01_因子設定!$B$14,IF(01_因子設定!$B$13="最小化",01_因子設定!$B$15-(_slice!N104+04_回帰ANOVA!$K$19*04_回帰ANOVA!$K$14*SQRT(1+_slice!N129)),MIN((_slice!N104-04_回帰ANOVA!$K$19*04_回帰ANOVA!$K$14*SQRT(1+_slice!N129))-01_因子設定!$B$14,01_因子設定!$B$15-(_slice!N104+04_回帰ANOVA!$K$19*04_回帰ANOVA!$K$14*SQRT(1+_slice!N129))))),"外")</f>
        <v>-4.34683743133815</v>
      </c>
      <c r="O63" s="50" t="n">
        <f aca="false">IF(AND(_slice!$H$5=1,O$41&gt;=_slice!$H$6-0.000000001,O$41&lt;=_slice!$I$6+0.000000001,$B63&gt;=_slice!$H$7-0.000000001,$B63&lt;=_slice!$I$7+0.000000001,IF(01_因子設定!$B$20="Box-Behnken",O$41^2+$B63^2+_slice!$H$8&lt;=2+0.000000001,TRUE())),IF(01_因子設定!$B$13="最大化",(_slice!O104-04_回帰ANOVA!$K$19*04_回帰ANOVA!$K$14*SQRT(1+_slice!O129))-01_因子設定!$B$14,IF(01_因子設定!$B$13="最小化",01_因子設定!$B$15-(_slice!O104+04_回帰ANOVA!$K$19*04_回帰ANOVA!$K$14*SQRT(1+_slice!O129)),MIN((_slice!O104-04_回帰ANOVA!$K$19*04_回帰ANOVA!$K$14*SQRT(1+_slice!O129))-01_因子設定!$B$14,01_因子設定!$B$15-(_slice!O104+04_回帰ANOVA!$K$19*04_回帰ANOVA!$K$14*SQRT(1+_slice!O129))))),"外")</f>
        <v>-4.35881617002423</v>
      </c>
      <c r="P63" s="50" t="n">
        <f aca="false">IF(AND(_slice!$H$5=1,P$41&gt;=_slice!$H$6-0.000000001,P$41&lt;=_slice!$I$6+0.000000001,$B63&gt;=_slice!$H$7-0.000000001,$B63&lt;=_slice!$I$7+0.000000001,IF(01_因子設定!$B$20="Box-Behnken",P$41^2+$B63^2+_slice!$H$8&lt;=2+0.000000001,TRUE())),IF(01_因子設定!$B$13="最大化",(_slice!P104-04_回帰ANOVA!$K$19*04_回帰ANOVA!$K$14*SQRT(1+_slice!P129))-01_因子設定!$B$14,IF(01_因子設定!$B$13="最小化",01_因子設定!$B$15-(_slice!P104+04_回帰ANOVA!$K$19*04_回帰ANOVA!$K$14*SQRT(1+_slice!P129)),MIN((_slice!P104-04_回帰ANOVA!$K$19*04_回帰ANOVA!$K$14*SQRT(1+_slice!P129))-01_因子設定!$B$14,01_因子設定!$B$15-(_slice!P104+04_回帰ANOVA!$K$19*04_回帰ANOVA!$K$14*SQRT(1+_slice!P129))))),"外")</f>
        <v>-4.42080868358438</v>
      </c>
      <c r="Q63" s="50" t="n">
        <f aca="false">IF(AND(_slice!$H$5=1,Q$41&gt;=_slice!$H$6-0.000000001,Q$41&lt;=_slice!$I$6+0.000000001,$B63&gt;=_slice!$H$7-0.000000001,$B63&lt;=_slice!$I$7+0.000000001,IF(01_因子設定!$B$20="Box-Behnken",Q$41^2+$B63^2+_slice!$H$8&lt;=2+0.000000001,TRUE())),IF(01_因子設定!$B$13="最大化",(_slice!Q104-04_回帰ANOVA!$K$19*04_回帰ANOVA!$K$14*SQRT(1+_slice!Q129))-01_因子設定!$B$14,IF(01_因子設定!$B$13="最小化",01_因子設定!$B$15-(_slice!Q104+04_回帰ANOVA!$K$19*04_回帰ANOVA!$K$14*SQRT(1+_slice!Q129)),MIN((_slice!Q104-04_回帰ANOVA!$K$19*04_回帰ANOVA!$K$14*SQRT(1+_slice!Q129))-01_因子設定!$B$14,01_因子設定!$B$15-(_slice!Q104+04_回帰ANOVA!$K$19*04_回帰ANOVA!$K$14*SQRT(1+_slice!Q129))))),"外")</f>
        <v>-4.53406849760228</v>
      </c>
      <c r="R63" s="50" t="n">
        <f aca="false">IF(AND(_slice!$H$5=1,R$41&gt;=_slice!$H$6-0.000000001,R$41&lt;=_slice!$I$6+0.000000001,$B63&gt;=_slice!$H$7-0.000000001,$B63&lt;=_slice!$I$7+0.000000001,IF(01_因子設定!$B$20="Box-Behnken",R$41^2+$B63^2+_slice!$H$8&lt;=2+0.000000001,TRUE())),IF(01_因子設定!$B$13="最大化",(_slice!R104-04_回帰ANOVA!$K$19*04_回帰ANOVA!$K$14*SQRT(1+_slice!R129))-01_因子設定!$B$14,IF(01_因子設定!$B$13="最小化",01_因子設定!$B$15-(_slice!R104+04_回帰ANOVA!$K$19*04_回帰ANOVA!$K$14*SQRT(1+_slice!R129)),MIN((_slice!R104-04_回帰ANOVA!$K$19*04_回帰ANOVA!$K$14*SQRT(1+_slice!R129))-01_因子設定!$B$14,01_因子設定!$B$15-(_slice!R104+04_回帰ANOVA!$K$19*04_回帰ANOVA!$K$14*SQRT(1+_slice!R129))))),"外")</f>
        <v>-4.70037519797286</v>
      </c>
      <c r="S63" s="50" t="n">
        <f aca="false">IF(AND(_slice!$H$5=1,S$41&gt;=_slice!$H$6-0.000000001,S$41&lt;=_slice!$I$6+0.000000001,$B63&gt;=_slice!$H$7-0.000000001,$B63&lt;=_slice!$I$7+0.000000001,IF(01_因子設定!$B$20="Box-Behnken",S$41^2+$B63^2+_slice!$H$8&lt;=2+0.000000001,TRUE())),IF(01_因子設定!$B$13="最大化",(_slice!S104-04_回帰ANOVA!$K$19*04_回帰ANOVA!$K$14*SQRT(1+_slice!S129))-01_因子設定!$B$14,IF(01_因子設定!$B$13="最小化",01_因子設定!$B$15-(_slice!S104+04_回帰ANOVA!$K$19*04_回帰ANOVA!$K$14*SQRT(1+_slice!S129)),MIN((_slice!S104-04_回帰ANOVA!$K$19*04_回帰ANOVA!$K$14*SQRT(1+_slice!S129))-01_因子設定!$B$14,01_因子設定!$B$15-(_slice!S104+04_回帰ANOVA!$K$19*04_回帰ANOVA!$K$14*SQRT(1+_slice!S129))))),"外")</f>
        <v>-4.92203526583015</v>
      </c>
      <c r="T63" s="50" t="n">
        <f aca="false">IF(AND(_slice!$H$5=1,T$41&gt;=_slice!$H$6-0.000000001,T$41&lt;=_slice!$I$6+0.000000001,$B63&gt;=_slice!$H$7-0.000000001,$B63&lt;=_slice!$I$7+0.000000001,IF(01_因子設定!$B$20="Box-Behnken",T$41^2+$B63^2+_slice!$H$8&lt;=2+0.000000001,TRUE())),IF(01_因子設定!$B$13="最大化",(_slice!T104-04_回帰ANOVA!$K$19*04_回帰ANOVA!$K$14*SQRT(1+_slice!T129))-01_因子設定!$B$14,IF(01_因子設定!$B$13="最小化",01_因子設定!$B$15-(_slice!T104+04_回帰ANOVA!$K$19*04_回帰ANOVA!$K$14*SQRT(1+_slice!T129)),MIN((_slice!T104-04_回帰ANOVA!$K$19*04_回帰ANOVA!$K$14*SQRT(1+_slice!T129))-01_因子設定!$B$14,01_因子設定!$B$15-(_slice!T104+04_回帰ANOVA!$K$19*04_回帰ANOVA!$K$14*SQRT(1+_slice!T129))))),"外")</f>
        <v>-5.20184752467046</v>
      </c>
      <c r="U63" s="50" t="n">
        <f aca="false">IF(AND(_slice!$H$5=1,U$41&gt;=_slice!$H$6-0.000000001,U$41&lt;=_slice!$I$6+0.000000001,$B63&gt;=_slice!$H$7-0.000000001,$B63&lt;=_slice!$I$7+0.000000001,IF(01_因子設定!$B$20="Box-Behnken",U$41^2+$B63^2+_slice!$H$8&lt;=2+0.000000001,TRUE())),IF(01_因子設定!$B$13="最大化",(_slice!U104-04_回帰ANOVA!$K$19*04_回帰ANOVA!$K$14*SQRT(1+_slice!U129))-01_因子設定!$B$14,IF(01_因子設定!$B$13="最小化",01_因子設定!$B$15-(_slice!U104+04_回帰ANOVA!$K$19*04_回帰ANOVA!$K$14*SQRT(1+_slice!U129)),MIN((_slice!U104-04_回帰ANOVA!$K$19*04_回帰ANOVA!$K$14*SQRT(1+_slice!U129))-01_因子設定!$B$14,01_因子設定!$B$15-(_slice!U104+04_回帰ANOVA!$K$19*04_回帰ANOVA!$K$14*SQRT(1+_slice!U129))))),"外")</f>
        <v>-5.54300846498596</v>
      </c>
      <c r="V63" s="50" t="n">
        <f aca="false">IF(AND(_slice!$H$5=1,V$41&gt;=_slice!$H$6-0.000000001,V$41&lt;=_slice!$I$6+0.000000001,$B63&gt;=_slice!$H$7-0.000000001,$B63&lt;=_slice!$I$7+0.000000001,IF(01_因子設定!$B$20="Box-Behnken",V$41^2+$B63^2+_slice!$H$8&lt;=2+0.000000001,TRUE())),IF(01_因子設定!$B$13="最大化",(_slice!V104-04_回帰ANOVA!$K$19*04_回帰ANOVA!$K$14*SQRT(1+_slice!V129))-01_因子設定!$B$14,IF(01_因子設定!$B$13="最小化",01_因子設定!$B$15-(_slice!V104+04_回帰ANOVA!$K$19*04_回帰ANOVA!$K$14*SQRT(1+_slice!V129)),MIN((_slice!V104-04_回帰ANOVA!$K$19*04_回帰ANOVA!$K$14*SQRT(1+_slice!V129))-01_因子設定!$B$14,01_因子設定!$B$15-(_slice!V104+04_回帰ANOVA!$K$19*04_回帰ANOVA!$K$14*SQRT(1+_slice!V129))))),"外")</f>
        <v>-5.94893850376715</v>
      </c>
      <c r="W63" s="50" t="n">
        <f aca="false">IF(AND(_slice!$H$5=1,W$41&gt;=_slice!$H$6-0.000000001,W$41&lt;=_slice!$I$6+0.000000001,$B63&gt;=_slice!$H$7-0.000000001,$B63&lt;=_slice!$I$7+0.000000001,IF(01_因子設定!$B$20="Box-Behnken",W$41^2+$B63^2+_slice!$H$8&lt;=2+0.000000001,TRUE())),IF(01_因子設定!$B$13="最大化",(_slice!W104-04_回帰ANOVA!$K$19*04_回帰ANOVA!$K$14*SQRT(1+_slice!W129))-01_因子設定!$B$14,IF(01_因子設定!$B$13="最小化",01_因子設定!$B$15-(_slice!W104+04_回帰ANOVA!$K$19*04_回帰ANOVA!$K$14*SQRT(1+_slice!W129)),MIN((_slice!W104-04_回帰ANOVA!$K$19*04_回帰ANOVA!$K$14*SQRT(1+_slice!W129))-01_因子設定!$B$14,01_因子設定!$B$15-(_slice!W104+04_回帰ANOVA!$K$19*04_回帰ANOVA!$K$14*SQRT(1+_slice!W129))))),"外")</f>
        <v>-6.42303101186236</v>
      </c>
    </row>
    <row r="65" customFormat="false" ht="15" hidden="false" customHeight="false" outlineLevel="0" collapsed="false">
      <c r="A65" s="38" t="s">
        <v>267</v>
      </c>
    </row>
    <row r="66" customFormat="false" ht="44" hidden="false" customHeight="false" outlineLevel="0" collapsed="false">
      <c r="A66" s="10" t="s">
        <v>105</v>
      </c>
      <c r="B66" s="10" t="s">
        <v>268</v>
      </c>
      <c r="C66" s="10" t="s">
        <v>269</v>
      </c>
      <c r="D66" s="10" t="s">
        <v>270</v>
      </c>
      <c r="E66" s="10" t="s">
        <v>271</v>
      </c>
      <c r="F66" s="10" t="s">
        <v>272</v>
      </c>
      <c r="G66" s="10" t="s">
        <v>52</v>
      </c>
    </row>
    <row r="67" customFormat="false" ht="15" hidden="false" customHeight="false" outlineLevel="0" collapsed="false">
      <c r="A67" s="26" t="str">
        <f aca="false">01_因子設定!B5</f>
        <v>炉温</v>
      </c>
      <c r="B67" s="15" t="n">
        <f aca="false">07_最適化!$B$6</f>
        <v>0.5</v>
      </c>
      <c r="C67" s="15" t="n">
        <f aca="false">IF(SUMIFS(_win!$AB$5:$AB$168,_win!$A$5:$A$168,1,_win!$B$5:$B$168,"&gt;"&amp;(B67-0.0001),_win!$B$5:$B$168,"&lt;"&amp;(B67+0.0001))=0,"該当なし",IF(COUNTIFS(_win!$A$5:$A$168,1,_win!$B$5:$B$168,"&lt;="&amp;(B67+0.0001),_win!$AB$5:$AB$168,0)=0,-1,ROUND(_xlfn.MAXIFS(_win!$B$5:$B$168,_win!$A$5:$A$168,1,_win!$B$5:$B$168,"&lt;="&amp;(B67+0.0001),_win!$AB$5:$AB$168,0)+0.05,4)))</f>
        <v>-0.3</v>
      </c>
      <c r="D67" s="15" t="n">
        <f aca="false">IF(SUMIFS(_win!$AB$5:$AB$168,_win!$A$5:$A$168,1,_win!$B$5:$B$168,"&gt;"&amp;(B67-0.0001),_win!$B$5:$B$168,"&lt;"&amp;(B67+0.0001))=0,"該当なし",IF(COUNTIFS(_win!$A$5:$A$168,1,_win!$B$5:$B$168,"&gt;="&amp;(B67-0.0001),_win!$AB$5:$AB$168,0)=0,1,ROUND(_xlfn.MINIFS(_win!$B$5:$B$168,_win!$A$5:$A$168,1,_win!$B$5:$B$168,"&gt;="&amp;(B67-0.0001),_win!$AB$5:$AB$168,0)-0.05,4)))</f>
        <v>1</v>
      </c>
      <c r="E67" s="41" t="n">
        <f aca="false">IF(ISNUMBER(C67),01_因子設定!G5+C67*01_因子設定!H5,"")</f>
        <v>62</v>
      </c>
      <c r="F67" s="41" t="n">
        <f aca="false">IF(ISNUMBER(D67),01_因子設定!G5+D67*01_因子設定!H5,"")</f>
        <v>75</v>
      </c>
      <c r="G67" s="24" t="str">
        <f aca="false">01_因子設定!D5</f>
        <v>℃</v>
      </c>
    </row>
    <row r="68" customFormat="false" ht="15" hidden="false" customHeight="false" outlineLevel="0" collapsed="false">
      <c r="A68" s="26" t="str">
        <f aca="false">01_因子設定!B6</f>
        <v>乾燥時間</v>
      </c>
      <c r="B68" s="15" t="n">
        <f aca="false">07_最適化!$B$7</f>
        <v>0.5</v>
      </c>
      <c r="C68" s="15" t="n">
        <f aca="false">IF(SUMIFS(_win!$AB$5:$AB$168,_win!$A$5:$A$168,2,_win!$B$5:$B$168,"&gt;"&amp;(B68-0.0001),_win!$B$5:$B$168,"&lt;"&amp;(B68+0.0001))=0,"該当なし",IF(COUNTIFS(_win!$A$5:$A$168,2,_win!$B$5:$B$168,"&lt;="&amp;(B68+0.0001),_win!$AB$5:$AB$168,0)=0,-1,ROUND(_xlfn.MAXIFS(_win!$B$5:$B$168,_win!$A$5:$A$168,2,_win!$B$5:$B$168,"&lt;="&amp;(B68+0.0001),_win!$AB$5:$AB$168,0)+0.05,4)))</f>
        <v>-0.2</v>
      </c>
      <c r="D68" s="15" t="n">
        <f aca="false">IF(SUMIFS(_win!$AB$5:$AB$168,_win!$A$5:$A$168,2,_win!$B$5:$B$168,"&gt;"&amp;(B68-0.0001),_win!$B$5:$B$168,"&lt;"&amp;(B68+0.0001))=0,"該当なし",IF(COUNTIFS(_win!$A$5:$A$168,2,_win!$B$5:$B$168,"&gt;="&amp;(B68-0.0001),_win!$AB$5:$AB$168,0)=0,1,ROUND(_xlfn.MINIFS(_win!$B$5:$B$168,_win!$A$5:$A$168,2,_win!$B$5:$B$168,"&gt;="&amp;(B68-0.0001),_win!$AB$5:$AB$168,0)-0.05,4)))</f>
        <v>1</v>
      </c>
      <c r="E68" s="41" t="n">
        <f aca="false">IF(ISNUMBER(C68),01_因子設定!G6+C68*01_因子設定!H6,"")</f>
        <v>28</v>
      </c>
      <c r="F68" s="41" t="n">
        <f aca="false">IF(ISNUMBER(D68),01_因子設定!G6+D68*01_因子設定!H6,"")</f>
        <v>40</v>
      </c>
      <c r="G68" s="24" t="str">
        <f aca="false">01_因子設定!D6</f>
        <v>min</v>
      </c>
    </row>
    <row r="69" customFormat="false" ht="15" hidden="false" customHeight="false" outlineLevel="0" collapsed="false">
      <c r="A69" s="26" t="str">
        <f aca="false">01_因子設定!B7</f>
        <v>循環風速</v>
      </c>
      <c r="B69" s="15" t="n">
        <f aca="false">07_最適化!$B$8</f>
        <v>0.5</v>
      </c>
      <c r="C69" s="15" t="n">
        <f aca="false">IF(SUMIFS(_win!$AB$5:$AB$168,_win!$A$5:$A$168,3,_win!$B$5:$B$168,"&gt;"&amp;(B69-0.0001),_win!$B$5:$B$168,"&lt;"&amp;(B69+0.0001))=0,"該当なし",IF(COUNTIFS(_win!$A$5:$A$168,3,_win!$B$5:$B$168,"&lt;="&amp;(B69+0.0001),_win!$AB$5:$AB$168,0)=0,-1,ROUND(_xlfn.MAXIFS(_win!$B$5:$B$168,_win!$A$5:$A$168,3,_win!$B$5:$B$168,"&lt;="&amp;(B69+0.0001),_win!$AB$5:$AB$168,0)+0.05,4)))</f>
        <v>-0.75</v>
      </c>
      <c r="D69" s="15" t="n">
        <f aca="false">IF(SUMIFS(_win!$AB$5:$AB$168,_win!$A$5:$A$168,3,_win!$B$5:$B$168,"&gt;"&amp;(B69-0.0001),_win!$B$5:$B$168,"&lt;"&amp;(B69+0.0001))=0,"該当なし",IF(COUNTIFS(_win!$A$5:$A$168,3,_win!$B$5:$B$168,"&gt;="&amp;(B69-0.0001),_win!$AB$5:$AB$168,0)=0,1,ROUND(_xlfn.MINIFS(_win!$B$5:$B$168,_win!$A$5:$A$168,3,_win!$B$5:$B$168,"&gt;="&amp;(B69-0.0001),_win!$AB$5:$AB$168,0)-0.05,4)))</f>
        <v>1</v>
      </c>
      <c r="E69" s="41" t="n">
        <f aca="false">IF(ISNUMBER(C69),01_因子設定!G7+C69*01_因子設定!H7,"")</f>
        <v>1.25</v>
      </c>
      <c r="F69" s="41" t="n">
        <f aca="false">IF(ISNUMBER(D69),01_因子設定!G7+D69*01_因子設定!H7,"")</f>
        <v>3</v>
      </c>
      <c r="G69" s="24" t="str">
        <f aca="false">01_因子設定!D7</f>
        <v>m/s</v>
      </c>
    </row>
    <row r="70" customFormat="false" ht="15" hidden="false" customHeight="false" outlineLevel="0" collapsed="false">
      <c r="A70" s="26" t="str">
        <f aca="false">01_因子設定!B8</f>
        <v>給気率</v>
      </c>
      <c r="B70" s="15" t="n">
        <f aca="false">07_最適化!$B$9</f>
        <v>0.5</v>
      </c>
      <c r="C70" s="15" t="n">
        <f aca="false">IF(SUMIFS(_win!$AB$5:$AB$168,_win!$A$5:$A$168,4,_win!$B$5:$B$168,"&gt;"&amp;(B70-0.0001),_win!$B$5:$B$168,"&lt;"&amp;(B70+0.0001))=0,"該当なし",IF(COUNTIFS(_win!$A$5:$A$168,4,_win!$B$5:$B$168,"&lt;="&amp;(B70+0.0001),_win!$AB$5:$AB$168,0)=0,-1,ROUND(_xlfn.MAXIFS(_win!$B$5:$B$168,_win!$A$5:$A$168,4,_win!$B$5:$B$168,"&lt;="&amp;(B70+0.0001),_win!$AB$5:$AB$168,0)+0.05,4)))</f>
        <v>-1</v>
      </c>
      <c r="D70" s="15" t="n">
        <f aca="false">IF(SUMIFS(_win!$AB$5:$AB$168,_win!$A$5:$A$168,4,_win!$B$5:$B$168,"&gt;"&amp;(B70-0.0001),_win!$B$5:$B$168,"&lt;"&amp;(B70+0.0001))=0,"該当なし",IF(COUNTIFS(_win!$A$5:$A$168,4,_win!$B$5:$B$168,"&gt;="&amp;(B70-0.0001),_win!$AB$5:$AB$168,0)=0,1,ROUND(_xlfn.MINIFS(_win!$B$5:$B$168,_win!$A$5:$A$168,4,_win!$B$5:$B$168,"&gt;="&amp;(B70-0.0001),_win!$AB$5:$AB$168,0)-0.05,4)))</f>
        <v>1</v>
      </c>
      <c r="E70" s="41" t="n">
        <f aca="false">IF(ISNUMBER(C70),01_因子設定!G8+C70*01_因子設定!H8,"")</f>
        <v>20</v>
      </c>
      <c r="F70" s="41" t="n">
        <f aca="false">IF(ISNUMBER(D70),01_因子設定!G8+D70*01_因子設定!H8,"")</f>
        <v>60</v>
      </c>
      <c r="G70" s="24" t="str">
        <f aca="false">01_因子設定!D8</f>
        <v>%</v>
      </c>
    </row>
    <row r="71" customFormat="false" ht="15" hidden="false" customHeight="false" outlineLevel="0" collapsed="false">
      <c r="A71" s="51" t="s">
        <v>273</v>
      </c>
    </row>
    <row r="74" customFormat="false" ht="15" hidden="false" customHeight="false" outlineLevel="0" collapsed="false">
      <c r="A74" s="17" t="s">
        <v>274</v>
      </c>
    </row>
    <row r="75" customFormat="false" ht="44" hidden="false" customHeight="false" outlineLevel="0" collapsed="false">
      <c r="A75" s="10" t="s">
        <v>105</v>
      </c>
      <c r="B75" s="10"/>
      <c r="C75" s="10" t="s">
        <v>271</v>
      </c>
      <c r="D75" s="10" t="s">
        <v>272</v>
      </c>
      <c r="E75" s="10" t="s">
        <v>52</v>
      </c>
    </row>
    <row r="76" customFormat="false" ht="15" hidden="false" customHeight="false" outlineLevel="0" collapsed="false">
      <c r="A76" s="26" t="str">
        <f aca="false">01_因子設定!B5</f>
        <v>炉温</v>
      </c>
      <c r="C76" s="45" t="n">
        <f aca="false">IF(ISNUMBER(E67),E67,01_因子設定!G5)</f>
        <v>62</v>
      </c>
      <c r="D76" s="45" t="n">
        <f aca="false">IF(ISNUMBER(F67),F67,01_因子設定!G5)</f>
        <v>75</v>
      </c>
      <c r="E76" s="24" t="str">
        <f aca="false">01_因子設定!D5</f>
        <v>℃</v>
      </c>
      <c r="F76" s="19" t="s">
        <v>275</v>
      </c>
    </row>
    <row r="77" customFormat="false" ht="15" hidden="false" customHeight="false" outlineLevel="0" collapsed="false">
      <c r="A77" s="26" t="str">
        <f aca="false">01_因子設定!B6</f>
        <v>乾燥時間</v>
      </c>
      <c r="C77" s="45" t="n">
        <f aca="false">IF(ISNUMBER(E68),E68,01_因子設定!G6)</f>
        <v>28</v>
      </c>
      <c r="D77" s="45" t="n">
        <f aca="false">IF(ISNUMBER(F68),F68,01_因子設定!G6)</f>
        <v>40</v>
      </c>
      <c r="E77" s="24" t="str">
        <f aca="false">01_因子設定!D6</f>
        <v>min</v>
      </c>
    </row>
    <row r="78" customFormat="false" ht="15" hidden="false" customHeight="false" outlineLevel="0" collapsed="false">
      <c r="A78" s="26" t="str">
        <f aca="false">01_因子設定!B7</f>
        <v>循環風速</v>
      </c>
      <c r="C78" s="45" t="n">
        <f aca="false">IF(ISNUMBER(E69),E69,01_因子設定!G7)</f>
        <v>1.25</v>
      </c>
      <c r="D78" s="45" t="n">
        <f aca="false">IF(ISNUMBER(F69),F69,01_因子設定!G7)</f>
        <v>3</v>
      </c>
      <c r="E78" s="24" t="str">
        <f aca="false">01_因子設定!D7</f>
        <v>m/s</v>
      </c>
    </row>
    <row r="79" customFormat="false" ht="15" hidden="false" customHeight="false" outlineLevel="0" collapsed="false">
      <c r="A79" s="26" t="str">
        <f aca="false">01_因子設定!B8</f>
        <v>給気率</v>
      </c>
      <c r="C79" s="45" t="n">
        <f aca="false">IF(ISNUMBER(E70),E70,01_因子設定!G8)</f>
        <v>20</v>
      </c>
      <c r="D79" s="45" t="n">
        <f aca="false">IF(ISNUMBER(F70),F70,01_因子設定!G8)</f>
        <v>60</v>
      </c>
      <c r="E79" s="24" t="str">
        <f aca="false">01_因子設定!D8</f>
        <v>%</v>
      </c>
    </row>
    <row r="81" customFormat="false" ht="15" hidden="false" customHeight="false" outlineLevel="0" collapsed="false">
      <c r="A81" s="18" t="s">
        <v>276</v>
      </c>
      <c r="C81" s="24" t="n">
        <f aca="false">COUNT(_win!AG173:AG253)</f>
        <v>81</v>
      </c>
    </row>
    <row r="82" customFormat="false" ht="15" hidden="false" customHeight="false" outlineLevel="0" collapsed="false">
      <c r="A82" s="18" t="s">
        <v>277</v>
      </c>
      <c r="C82" s="24" t="n">
        <f aca="false">COUNTIF(_win!AF173:AF253,FALSE())</f>
        <v>0</v>
      </c>
    </row>
    <row r="83" customFormat="false" ht="15" hidden="false" customHeight="false" outlineLevel="0" collapsed="false">
      <c r="A83" s="18" t="s">
        <v>278</v>
      </c>
      <c r="C83" s="24" t="n">
        <f aca="false">COUNTIF(_win!AG173:AG253,"&lt;0")</f>
        <v>68</v>
      </c>
    </row>
    <row r="84" customFormat="false" ht="15" hidden="false" customHeight="false" outlineLevel="0" collapsed="false">
      <c r="A84" s="18" t="s">
        <v>279</v>
      </c>
      <c r="C84" s="15" t="n">
        <f aca="false">MIN(_win!AG173:AG253)</f>
        <v>-3.85086560147574</v>
      </c>
    </row>
    <row r="85" customFormat="false" ht="15" hidden="false" customHeight="false" outlineLevel="0" collapsed="false">
      <c r="A85" s="18" t="s">
        <v>280</v>
      </c>
      <c r="C85" s="15" t="n">
        <f aca="false">INDEX(_win!E173:E253,MATCH(MIN(_win!AG173:AG253),_win!AG173:AG253,0))</f>
        <v>62</v>
      </c>
      <c r="D85" s="15" t="n">
        <f aca="false">INDEX(_win!F173:F253,MATCH(MIN(_win!AG173:AG253),_win!AG173:AG253,0))</f>
        <v>40</v>
      </c>
      <c r="E85" s="15" t="n">
        <f aca="false">INDEX(_win!G173:G253,MATCH(MIN(_win!AG173:AG253),_win!AG173:AG253,0))</f>
        <v>1.25</v>
      </c>
      <c r="F85" s="15" t="n">
        <f aca="false">INDEX(_win!H173:H253,MATCH(MIN(_win!AG173:AG253),_win!AG173:AG253,0))</f>
        <v>60</v>
      </c>
    </row>
    <row r="86" customFormat="false" ht="25.35" hidden="false" customHeight="false" outlineLevel="0" collapsed="false">
      <c r="C86" s="52" t="str">
        <f aca="false">01_因子設定!B5</f>
        <v>炉温</v>
      </c>
      <c r="D86" s="52" t="str">
        <f aca="false">01_因子設定!B6</f>
        <v>乾燥時間</v>
      </c>
      <c r="E86" s="52" t="str">
        <f aca="false">01_因子設定!B7</f>
        <v>循環風速</v>
      </c>
      <c r="F86" s="52" t="str">
        <f aca="false">01_因子設定!B8</f>
        <v>給気率</v>
      </c>
    </row>
    <row r="87" customFormat="false" ht="15" hidden="false" customHeight="false" outlineLevel="0" collapsed="false">
      <c r="A87" s="18" t="s">
        <v>108</v>
      </c>
      <c r="C87" s="25" t="str">
        <f aca="false">IF(C82&gt;0,"× 安全限界・領域外の条件を含む → 窓を狭める",IF(C83=0,"○ 提案窓の全組合せで、予測限界でも規格を満たす","× "&amp;C83&amp;"点で規格外のおそれ → 最悪の組合せの方向を狭める"))</f>
        <v>× 68点で規格外のおそれ → 最悪の組合せの方向を狭める</v>
      </c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</sheetData>
  <mergeCells count="1">
    <mergeCell ref="C87:P87"/>
  </mergeCells>
  <conditionalFormatting sqref="C17:W37">
    <cfRule type="colorScale" priority="2">
      <colorScale>
        <cfvo type="min" val="0"/>
        <cfvo type="percentile" val="50"/>
        <cfvo type="max" val="0"/>
        <color rgb="FF5B9BD5"/>
        <color rgb="FFFFFFFF"/>
        <color rgb="FFF4B183"/>
      </colorScale>
    </cfRule>
  </conditionalFormatting>
  <conditionalFormatting sqref="C43:W63">
    <cfRule type="expression" priority="3" aboveAverage="0" equalAverage="0" bottom="0" percent="0" rank="0" text="" dxfId="4">
      <formula>ISTEXT(C43)</formula>
    </cfRule>
    <cfRule type="cellIs" priority="4" operator="greaterThanOrEqual" aboveAverage="0" equalAverage="0" bottom="0" percent="0" rank="0" text="" dxfId="5">
      <formula>0</formula>
    </cfRule>
    <cfRule type="cellIs" priority="5" operator="lessThan" aboveAverage="0" equalAverage="0" bottom="0" percent="0" rank="0" text="" dxfId="0">
      <formula>0</formula>
    </cfRule>
  </conditionalFormatting>
  <dataValidations count="2">
    <dataValidation allowBlank="false" errorStyle="stop" operator="between" showDropDown="false" showErrorMessage="false" showInputMessage="false" sqref="B4:B5" type="list">
      <formula1>"X1,X2,X3,X4"</formula1>
      <formula2>0</formula2>
    </dataValidation>
    <dataValidation allowBlank="false" errorStyle="stop" operator="between" showDropDown="false" showErrorMessage="false" showInputMessage="false" sqref="B6" type="list">
      <formula1>"ロバスト最適点,点予測最適点,手入力"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A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5" min="2" style="0" width="12"/>
    <col collapsed="false" customWidth="true" hidden="false" outlineLevel="0" max="7" min="6" style="0" width="10"/>
    <col collapsed="false" customWidth="true" hidden="false" outlineLevel="0" max="9" min="8" style="0" width="14"/>
    <col collapsed="false" customWidth="true" hidden="false" outlineLevel="0" max="10" min="10" style="0" width="30"/>
    <col collapsed="false" customWidth="true" hidden="false" outlineLevel="0" max="11" min="11" style="0" width="10"/>
  </cols>
  <sheetData>
    <row r="1" customFormat="false" ht="21.6" hidden="false" customHeight="false" outlineLevel="0" collapsed="false">
      <c r="A1" s="8" t="s">
        <v>281</v>
      </c>
    </row>
    <row r="2" customFormat="false" ht="15" hidden="false" customHeight="false" outlineLevel="0" collapsed="false">
      <c r="A2" s="2" t="s">
        <v>282</v>
      </c>
    </row>
    <row r="4" customFormat="false" ht="29.85" hidden="false" customHeight="false" outlineLevel="0" collapsed="false">
      <c r="A4" s="9" t="s">
        <v>49</v>
      </c>
      <c r="B4" s="10" t="str">
        <f aca="false">01_因子設定!B5&amp;"["&amp;01_因子設定!D5&amp;"]"</f>
        <v>炉温[℃]</v>
      </c>
      <c r="C4" s="10" t="str">
        <f aca="false">01_因子設定!B6&amp;"["&amp;01_因子設定!D6&amp;"]"</f>
        <v>乾燥時間[min]</v>
      </c>
      <c r="D4" s="10" t="str">
        <f aca="false">01_因子設定!B7&amp;"["&amp;01_因子設定!D7&amp;"]"</f>
        <v>循環風速[m/s]</v>
      </c>
      <c r="E4" s="10" t="str">
        <f aca="false">01_因子設定!B8&amp;"["&amp;01_因子設定!D8&amp;"]"</f>
        <v>給気率[%]</v>
      </c>
      <c r="F4" s="9" t="s">
        <v>203</v>
      </c>
      <c r="G4" s="10" t="s">
        <v>245</v>
      </c>
      <c r="H4" s="10" t="s">
        <v>283</v>
      </c>
      <c r="I4" s="10" t="s">
        <v>284</v>
      </c>
      <c r="J4" s="10" t="s">
        <v>285</v>
      </c>
      <c r="K4" s="10" t="s">
        <v>286</v>
      </c>
      <c r="N4" s="9" t="s">
        <v>287</v>
      </c>
      <c r="O4" s="9" t="s">
        <v>288</v>
      </c>
      <c r="P4" s="9" t="s">
        <v>289</v>
      </c>
      <c r="Q4" s="9" t="s">
        <v>290</v>
      </c>
      <c r="R4" s="10"/>
      <c r="S4" s="10" t="s">
        <v>152</v>
      </c>
      <c r="T4" s="9" t="s">
        <v>64</v>
      </c>
      <c r="U4" s="9" t="s">
        <v>69</v>
      </c>
      <c r="V4" s="9" t="s">
        <v>72</v>
      </c>
      <c r="W4" s="9" t="s">
        <v>76</v>
      </c>
      <c r="X4" s="9" t="s">
        <v>158</v>
      </c>
      <c r="Y4" s="9" t="s">
        <v>160</v>
      </c>
      <c r="Z4" s="9" t="s">
        <v>162</v>
      </c>
      <c r="AA4" s="9" t="s">
        <v>164</v>
      </c>
      <c r="AB4" s="9" t="s">
        <v>166</v>
      </c>
      <c r="AC4" s="9" t="s">
        <v>168</v>
      </c>
      <c r="AD4" s="9" t="s">
        <v>170</v>
      </c>
      <c r="AE4" s="9" t="s">
        <v>172</v>
      </c>
      <c r="AF4" s="9" t="s">
        <v>174</v>
      </c>
      <c r="AG4" s="9" t="s">
        <v>176</v>
      </c>
      <c r="AH4" s="9" t="s">
        <v>250</v>
      </c>
    </row>
    <row r="5" customFormat="false" ht="15" hidden="false" customHeight="false" outlineLevel="0" collapsed="false">
      <c r="A5" s="11" t="n">
        <v>1</v>
      </c>
      <c r="B5" s="45" t="n">
        <f aca="false">07_最適化!$B$10</f>
        <v>70</v>
      </c>
      <c r="C5" s="45" t="n">
        <f aca="false">07_最適化!$B$11</f>
        <v>35</v>
      </c>
      <c r="D5" s="45" t="n">
        <f aca="false">07_最適化!$B$12</f>
        <v>2.5</v>
      </c>
      <c r="E5" s="45" t="n">
        <f aca="false">07_最適化!$B$13</f>
        <v>50</v>
      </c>
      <c r="F5" s="20"/>
      <c r="G5" s="15" t="n">
        <f aca="false">IF(B5="","",SUMPRODUCT(S5:AG5,_XtX!$B$96:$P$96))</f>
        <v>49.3417580409356</v>
      </c>
      <c r="H5" s="15" t="n">
        <f aca="false">IF(B5="","",G5-04_回帰ANOVA!$K$23*04_回帰ANOVA!$K$14*SQRT(1+AH5))</f>
        <v>47.6542313190946</v>
      </c>
      <c r="I5" s="15" t="n">
        <f aca="false">IF(B5="","",G5+04_回帰ANOVA!$K$23*04_回帰ANOVA!$K$14*SQRT(1+AH5))</f>
        <v>51.0292847627767</v>
      </c>
      <c r="J5" s="26" t="str">
        <f aca="false">IF(OR(B5="",F5=""),"",IF(AND(F5&gt;=H5,F5&lt;=I5),"○ 予測区間内","× 区間外 → 原因調査・モデル再検討"))</f>
        <v/>
      </c>
      <c r="K5" s="26" t="str">
        <f aca="false">IF(F5="","",IF(OR(AND(01_因子設定!$B$14&lt;&gt;"",F5&lt;01_因子設定!$B$14),AND(01_因子設定!$B$15&lt;&gt;"",F5&gt;01_因子設定!$B$15)),"規格外","規格内"))</f>
        <v/>
      </c>
      <c r="N5" s="16" t="n">
        <f aca="false">IF(B5="","",(B5-01_因子設定!$G$5)/01_因子設定!$H$5)</f>
        <v>0.5</v>
      </c>
      <c r="O5" s="16" t="n">
        <f aca="false">IF(C5="","",(C5-01_因子設定!$G$6)/01_因子設定!$H$6)</f>
        <v>0.5</v>
      </c>
      <c r="P5" s="16" t="n">
        <f aca="false">IF(D5="","",(D5-01_因子設定!$G$7)/01_因子設定!$H$7)</f>
        <v>0.5</v>
      </c>
      <c r="Q5" s="16" t="n">
        <f aca="false">IF(E5="","",(E5-01_因子設定!$G$8)/01_因子設定!$H$8)</f>
        <v>0.5</v>
      </c>
      <c r="S5" s="16" t="n">
        <f aca="false">IF($B5="",0,1)</f>
        <v>1</v>
      </c>
      <c r="T5" s="16" t="n">
        <f aca="false">IF($B5="",0,N5)</f>
        <v>0.5</v>
      </c>
      <c r="U5" s="16" t="n">
        <f aca="false">IF($B5="",0,O5)</f>
        <v>0.5</v>
      </c>
      <c r="V5" s="16" t="n">
        <f aca="false">IF($B5="",0,P5)</f>
        <v>0.5</v>
      </c>
      <c r="W5" s="16" t="n">
        <f aca="false">IF($B5="",0,Q5)</f>
        <v>0.5</v>
      </c>
      <c r="X5" s="16" t="n">
        <f aca="false">IF($B5="",0,N5*O5)</f>
        <v>0.25</v>
      </c>
      <c r="Y5" s="16" t="n">
        <f aca="false">IF($B5="",0,N5*P5)</f>
        <v>0.25</v>
      </c>
      <c r="Z5" s="16" t="n">
        <f aca="false">IF($B5="",0,N5*Q5)</f>
        <v>0.25</v>
      </c>
      <c r="AA5" s="16" t="n">
        <f aca="false">IF($B5="",0,O5*P5)</f>
        <v>0.25</v>
      </c>
      <c r="AB5" s="16" t="n">
        <f aca="false">IF($B5="",0,O5*Q5)</f>
        <v>0.25</v>
      </c>
      <c r="AC5" s="16" t="n">
        <f aca="false">IF($B5="",0,P5*Q5)</f>
        <v>0.25</v>
      </c>
      <c r="AD5" s="16" t="n">
        <f aca="false">IF($B5="",0,N5*N5)</f>
        <v>0.25</v>
      </c>
      <c r="AE5" s="16" t="n">
        <f aca="false">IF($B5="",0,O5*O5)</f>
        <v>0.25</v>
      </c>
      <c r="AF5" s="16" t="n">
        <f aca="false">IF($B5="",0,P5*P5)</f>
        <v>0.25</v>
      </c>
      <c r="AG5" s="16" t="n">
        <f aca="false">IF($B5="",0,Q5*Q5)</f>
        <v>0.25</v>
      </c>
      <c r="AH5" s="30" t="n">
        <f aca="false">SUMPRODUCT(MMULT(S5:AG5,_XtX!$B$78:$P$92),S5:AG5)</f>
        <v>0.133817616959064</v>
      </c>
    </row>
    <row r="6" customFormat="false" ht="15" hidden="false" customHeight="false" outlineLevel="0" collapsed="false">
      <c r="A6" s="11" t="n">
        <v>2</v>
      </c>
      <c r="B6" s="45"/>
      <c r="C6" s="45"/>
      <c r="D6" s="45"/>
      <c r="E6" s="45"/>
      <c r="F6" s="20"/>
      <c r="G6" s="15" t="str">
        <f aca="false">IF(B6="","",SUMPRODUCT(S6:AG6,_XtX!$B$96:$P$96))</f>
        <v/>
      </c>
      <c r="H6" s="15" t="str">
        <f aca="false">IF(B6="","",G6-04_回帰ANOVA!$K$23*04_回帰ANOVA!$K$14*SQRT(1+AH6))</f>
        <v/>
      </c>
      <c r="I6" s="15" t="str">
        <f aca="false">IF(B6="","",G6+04_回帰ANOVA!$K$23*04_回帰ANOVA!$K$14*SQRT(1+AH6))</f>
        <v/>
      </c>
      <c r="J6" s="26" t="str">
        <f aca="false">IF(OR(B6="",F6=""),"",IF(AND(F6&gt;=H6,F6&lt;=I6),"○ 予測区間内","× 区間外 → 原因調査・モデル再検討"))</f>
        <v/>
      </c>
      <c r="K6" s="26" t="str">
        <f aca="false">IF(F6="","",IF(OR(AND(01_因子設定!$B$14&lt;&gt;"",F6&lt;01_因子設定!$B$14),AND(01_因子設定!$B$15&lt;&gt;"",F6&gt;01_因子設定!$B$15)),"規格外","規格内"))</f>
        <v/>
      </c>
      <c r="N6" s="16" t="str">
        <f aca="false">IF(B6="","",(B6-01_因子設定!$G$5)/01_因子設定!$H$5)</f>
        <v/>
      </c>
      <c r="O6" s="16" t="str">
        <f aca="false">IF(C6="","",(C6-01_因子設定!$G$6)/01_因子設定!$H$6)</f>
        <v/>
      </c>
      <c r="P6" s="16" t="str">
        <f aca="false">IF(D6="","",(D6-01_因子設定!$G$7)/01_因子設定!$H$7)</f>
        <v/>
      </c>
      <c r="Q6" s="16" t="str">
        <f aca="false">IF(E6="","",(E6-01_因子設定!$G$8)/01_因子設定!$H$8)</f>
        <v/>
      </c>
      <c r="S6" s="16" t="n">
        <f aca="false">IF($B6="",0,1)</f>
        <v>0</v>
      </c>
      <c r="T6" s="16" t="n">
        <f aca="false">IF($B6="",0,N6)</f>
        <v>0</v>
      </c>
      <c r="U6" s="16" t="n">
        <f aca="false">IF($B6="",0,O6)</f>
        <v>0</v>
      </c>
      <c r="V6" s="16" t="n">
        <f aca="false">IF($B6="",0,P6)</f>
        <v>0</v>
      </c>
      <c r="W6" s="16" t="n">
        <f aca="false">IF($B6="",0,Q6)</f>
        <v>0</v>
      </c>
      <c r="X6" s="16" t="n">
        <f aca="false">IF($B6="",0,N6*O6)</f>
        <v>0</v>
      </c>
      <c r="Y6" s="16" t="n">
        <f aca="false">IF($B6="",0,N6*P6)</f>
        <v>0</v>
      </c>
      <c r="Z6" s="16" t="n">
        <f aca="false">IF($B6="",0,N6*Q6)</f>
        <v>0</v>
      </c>
      <c r="AA6" s="16" t="n">
        <f aca="false">IF($B6="",0,O6*P6)</f>
        <v>0</v>
      </c>
      <c r="AB6" s="16" t="n">
        <f aca="false">IF($B6="",0,O6*Q6)</f>
        <v>0</v>
      </c>
      <c r="AC6" s="16" t="n">
        <f aca="false">IF($B6="",0,P6*Q6)</f>
        <v>0</v>
      </c>
      <c r="AD6" s="16" t="n">
        <f aca="false">IF($B6="",0,N6*N6)</f>
        <v>0</v>
      </c>
      <c r="AE6" s="16" t="n">
        <f aca="false">IF($B6="",0,O6*O6)</f>
        <v>0</v>
      </c>
      <c r="AF6" s="16" t="n">
        <f aca="false">IF($B6="",0,P6*P6)</f>
        <v>0</v>
      </c>
      <c r="AG6" s="16" t="n">
        <f aca="false">IF($B6="",0,Q6*Q6)</f>
        <v>0</v>
      </c>
      <c r="AH6" s="30" t="n">
        <f aca="false">SUMPRODUCT(MMULT(S6:AG6,_XtX!$B$78:$P$92),S6:AG6)</f>
        <v>0</v>
      </c>
    </row>
    <row r="7" customFormat="false" ht="15" hidden="false" customHeight="false" outlineLevel="0" collapsed="false">
      <c r="A7" s="11" t="n">
        <v>3</v>
      </c>
      <c r="B7" s="45"/>
      <c r="C7" s="45"/>
      <c r="D7" s="45"/>
      <c r="E7" s="45"/>
      <c r="F7" s="20"/>
      <c r="G7" s="15" t="str">
        <f aca="false">IF(B7="","",SUMPRODUCT(S7:AG7,_XtX!$B$96:$P$96))</f>
        <v/>
      </c>
      <c r="H7" s="15" t="str">
        <f aca="false">IF(B7="","",G7-04_回帰ANOVA!$K$23*04_回帰ANOVA!$K$14*SQRT(1+AH7))</f>
        <v/>
      </c>
      <c r="I7" s="15" t="str">
        <f aca="false">IF(B7="","",G7+04_回帰ANOVA!$K$23*04_回帰ANOVA!$K$14*SQRT(1+AH7))</f>
        <v/>
      </c>
      <c r="J7" s="26" t="str">
        <f aca="false">IF(OR(B7="",F7=""),"",IF(AND(F7&gt;=H7,F7&lt;=I7),"○ 予測区間内","× 区間外 → 原因調査・モデル再検討"))</f>
        <v/>
      </c>
      <c r="K7" s="26" t="str">
        <f aca="false">IF(F7="","",IF(OR(AND(01_因子設定!$B$14&lt;&gt;"",F7&lt;01_因子設定!$B$14),AND(01_因子設定!$B$15&lt;&gt;"",F7&gt;01_因子設定!$B$15)),"規格外","規格内"))</f>
        <v/>
      </c>
      <c r="N7" s="16" t="str">
        <f aca="false">IF(B7="","",(B7-01_因子設定!$G$5)/01_因子設定!$H$5)</f>
        <v/>
      </c>
      <c r="O7" s="16" t="str">
        <f aca="false">IF(C7="","",(C7-01_因子設定!$G$6)/01_因子設定!$H$6)</f>
        <v/>
      </c>
      <c r="P7" s="16" t="str">
        <f aca="false">IF(D7="","",(D7-01_因子設定!$G$7)/01_因子設定!$H$7)</f>
        <v/>
      </c>
      <c r="Q7" s="16" t="str">
        <f aca="false">IF(E7="","",(E7-01_因子設定!$G$8)/01_因子設定!$H$8)</f>
        <v/>
      </c>
      <c r="S7" s="16" t="n">
        <f aca="false">IF($B7="",0,1)</f>
        <v>0</v>
      </c>
      <c r="T7" s="16" t="n">
        <f aca="false">IF($B7="",0,N7)</f>
        <v>0</v>
      </c>
      <c r="U7" s="16" t="n">
        <f aca="false">IF($B7="",0,O7)</f>
        <v>0</v>
      </c>
      <c r="V7" s="16" t="n">
        <f aca="false">IF($B7="",0,P7)</f>
        <v>0</v>
      </c>
      <c r="W7" s="16" t="n">
        <f aca="false">IF($B7="",0,Q7)</f>
        <v>0</v>
      </c>
      <c r="X7" s="16" t="n">
        <f aca="false">IF($B7="",0,N7*O7)</f>
        <v>0</v>
      </c>
      <c r="Y7" s="16" t="n">
        <f aca="false">IF($B7="",0,N7*P7)</f>
        <v>0</v>
      </c>
      <c r="Z7" s="16" t="n">
        <f aca="false">IF($B7="",0,N7*Q7)</f>
        <v>0</v>
      </c>
      <c r="AA7" s="16" t="n">
        <f aca="false">IF($B7="",0,O7*P7)</f>
        <v>0</v>
      </c>
      <c r="AB7" s="16" t="n">
        <f aca="false">IF($B7="",0,O7*Q7)</f>
        <v>0</v>
      </c>
      <c r="AC7" s="16" t="n">
        <f aca="false">IF($B7="",0,P7*Q7)</f>
        <v>0</v>
      </c>
      <c r="AD7" s="16" t="n">
        <f aca="false">IF($B7="",0,N7*N7)</f>
        <v>0</v>
      </c>
      <c r="AE7" s="16" t="n">
        <f aca="false">IF($B7="",0,O7*O7)</f>
        <v>0</v>
      </c>
      <c r="AF7" s="16" t="n">
        <f aca="false">IF($B7="",0,P7*P7)</f>
        <v>0</v>
      </c>
      <c r="AG7" s="16" t="n">
        <f aca="false">IF($B7="",0,Q7*Q7)</f>
        <v>0</v>
      </c>
      <c r="AH7" s="30" t="n">
        <f aca="false">SUMPRODUCT(MMULT(S7:AG7,_XtX!$B$78:$P$92),S7:AG7)</f>
        <v>0</v>
      </c>
    </row>
    <row r="8" customFormat="false" ht="15" hidden="false" customHeight="false" outlineLevel="0" collapsed="false">
      <c r="A8" s="11" t="n">
        <v>4</v>
      </c>
      <c r="B8" s="45"/>
      <c r="C8" s="45"/>
      <c r="D8" s="45"/>
      <c r="E8" s="45"/>
      <c r="F8" s="20"/>
      <c r="G8" s="15" t="str">
        <f aca="false">IF(B8="","",SUMPRODUCT(S8:AG8,_XtX!$B$96:$P$96))</f>
        <v/>
      </c>
      <c r="H8" s="15" t="str">
        <f aca="false">IF(B8="","",G8-04_回帰ANOVA!$K$23*04_回帰ANOVA!$K$14*SQRT(1+AH8))</f>
        <v/>
      </c>
      <c r="I8" s="15" t="str">
        <f aca="false">IF(B8="","",G8+04_回帰ANOVA!$K$23*04_回帰ANOVA!$K$14*SQRT(1+AH8))</f>
        <v/>
      </c>
      <c r="J8" s="26" t="str">
        <f aca="false">IF(OR(B8="",F8=""),"",IF(AND(F8&gt;=H8,F8&lt;=I8),"○ 予測区間内","× 区間外 → 原因調査・モデル再検討"))</f>
        <v/>
      </c>
      <c r="K8" s="26" t="str">
        <f aca="false">IF(F8="","",IF(OR(AND(01_因子設定!$B$14&lt;&gt;"",F8&lt;01_因子設定!$B$14),AND(01_因子設定!$B$15&lt;&gt;"",F8&gt;01_因子設定!$B$15)),"規格外","規格内"))</f>
        <v/>
      </c>
      <c r="N8" s="16" t="str">
        <f aca="false">IF(B8="","",(B8-01_因子設定!$G$5)/01_因子設定!$H$5)</f>
        <v/>
      </c>
      <c r="O8" s="16" t="str">
        <f aca="false">IF(C8="","",(C8-01_因子設定!$G$6)/01_因子設定!$H$6)</f>
        <v/>
      </c>
      <c r="P8" s="16" t="str">
        <f aca="false">IF(D8="","",(D8-01_因子設定!$G$7)/01_因子設定!$H$7)</f>
        <v/>
      </c>
      <c r="Q8" s="16" t="str">
        <f aca="false">IF(E8="","",(E8-01_因子設定!$G$8)/01_因子設定!$H$8)</f>
        <v/>
      </c>
      <c r="S8" s="16" t="n">
        <f aca="false">IF($B8="",0,1)</f>
        <v>0</v>
      </c>
      <c r="T8" s="16" t="n">
        <f aca="false">IF($B8="",0,N8)</f>
        <v>0</v>
      </c>
      <c r="U8" s="16" t="n">
        <f aca="false">IF($B8="",0,O8)</f>
        <v>0</v>
      </c>
      <c r="V8" s="16" t="n">
        <f aca="false">IF($B8="",0,P8)</f>
        <v>0</v>
      </c>
      <c r="W8" s="16" t="n">
        <f aca="false">IF($B8="",0,Q8)</f>
        <v>0</v>
      </c>
      <c r="X8" s="16" t="n">
        <f aca="false">IF($B8="",0,N8*O8)</f>
        <v>0</v>
      </c>
      <c r="Y8" s="16" t="n">
        <f aca="false">IF($B8="",0,N8*P8)</f>
        <v>0</v>
      </c>
      <c r="Z8" s="16" t="n">
        <f aca="false">IF($B8="",0,N8*Q8)</f>
        <v>0</v>
      </c>
      <c r="AA8" s="16" t="n">
        <f aca="false">IF($B8="",0,O8*P8)</f>
        <v>0</v>
      </c>
      <c r="AB8" s="16" t="n">
        <f aca="false">IF($B8="",0,O8*Q8)</f>
        <v>0</v>
      </c>
      <c r="AC8" s="16" t="n">
        <f aca="false">IF($B8="",0,P8*Q8)</f>
        <v>0</v>
      </c>
      <c r="AD8" s="16" t="n">
        <f aca="false">IF($B8="",0,N8*N8)</f>
        <v>0</v>
      </c>
      <c r="AE8" s="16" t="n">
        <f aca="false">IF($B8="",0,O8*O8)</f>
        <v>0</v>
      </c>
      <c r="AF8" s="16" t="n">
        <f aca="false">IF($B8="",0,P8*P8)</f>
        <v>0</v>
      </c>
      <c r="AG8" s="16" t="n">
        <f aca="false">IF($B8="",0,Q8*Q8)</f>
        <v>0</v>
      </c>
      <c r="AH8" s="30" t="n">
        <f aca="false">SUMPRODUCT(MMULT(S8:AG8,_XtX!$B$78:$P$92),S8:AG8)</f>
        <v>0</v>
      </c>
    </row>
    <row r="9" customFormat="false" ht="15" hidden="false" customHeight="false" outlineLevel="0" collapsed="false">
      <c r="A9" s="11" t="n">
        <v>5</v>
      </c>
      <c r="B9" s="45"/>
      <c r="C9" s="45"/>
      <c r="D9" s="45"/>
      <c r="E9" s="45"/>
      <c r="F9" s="20"/>
      <c r="G9" s="15" t="str">
        <f aca="false">IF(B9="","",SUMPRODUCT(S9:AG9,_XtX!$B$96:$P$96))</f>
        <v/>
      </c>
      <c r="H9" s="15" t="str">
        <f aca="false">IF(B9="","",G9-04_回帰ANOVA!$K$23*04_回帰ANOVA!$K$14*SQRT(1+AH9))</f>
        <v/>
      </c>
      <c r="I9" s="15" t="str">
        <f aca="false">IF(B9="","",G9+04_回帰ANOVA!$K$23*04_回帰ANOVA!$K$14*SQRT(1+AH9))</f>
        <v/>
      </c>
      <c r="J9" s="26" t="str">
        <f aca="false">IF(OR(B9="",F9=""),"",IF(AND(F9&gt;=H9,F9&lt;=I9),"○ 予測区間内","× 区間外 → 原因調査・モデル再検討"))</f>
        <v/>
      </c>
      <c r="K9" s="26" t="str">
        <f aca="false">IF(F9="","",IF(OR(AND(01_因子設定!$B$14&lt;&gt;"",F9&lt;01_因子設定!$B$14),AND(01_因子設定!$B$15&lt;&gt;"",F9&gt;01_因子設定!$B$15)),"規格外","規格内"))</f>
        <v/>
      </c>
      <c r="N9" s="16" t="str">
        <f aca="false">IF(B9="","",(B9-01_因子設定!$G$5)/01_因子設定!$H$5)</f>
        <v/>
      </c>
      <c r="O9" s="16" t="str">
        <f aca="false">IF(C9="","",(C9-01_因子設定!$G$6)/01_因子設定!$H$6)</f>
        <v/>
      </c>
      <c r="P9" s="16" t="str">
        <f aca="false">IF(D9="","",(D9-01_因子設定!$G$7)/01_因子設定!$H$7)</f>
        <v/>
      </c>
      <c r="Q9" s="16" t="str">
        <f aca="false">IF(E9="","",(E9-01_因子設定!$G$8)/01_因子設定!$H$8)</f>
        <v/>
      </c>
      <c r="S9" s="16" t="n">
        <f aca="false">IF($B9="",0,1)</f>
        <v>0</v>
      </c>
      <c r="T9" s="16" t="n">
        <f aca="false">IF($B9="",0,N9)</f>
        <v>0</v>
      </c>
      <c r="U9" s="16" t="n">
        <f aca="false">IF($B9="",0,O9)</f>
        <v>0</v>
      </c>
      <c r="V9" s="16" t="n">
        <f aca="false">IF($B9="",0,P9)</f>
        <v>0</v>
      </c>
      <c r="W9" s="16" t="n">
        <f aca="false">IF($B9="",0,Q9)</f>
        <v>0</v>
      </c>
      <c r="X9" s="16" t="n">
        <f aca="false">IF($B9="",0,N9*O9)</f>
        <v>0</v>
      </c>
      <c r="Y9" s="16" t="n">
        <f aca="false">IF($B9="",0,N9*P9)</f>
        <v>0</v>
      </c>
      <c r="Z9" s="16" t="n">
        <f aca="false">IF($B9="",0,N9*Q9)</f>
        <v>0</v>
      </c>
      <c r="AA9" s="16" t="n">
        <f aca="false">IF($B9="",0,O9*P9)</f>
        <v>0</v>
      </c>
      <c r="AB9" s="16" t="n">
        <f aca="false">IF($B9="",0,O9*Q9)</f>
        <v>0</v>
      </c>
      <c r="AC9" s="16" t="n">
        <f aca="false">IF($B9="",0,P9*Q9)</f>
        <v>0</v>
      </c>
      <c r="AD9" s="16" t="n">
        <f aca="false">IF($B9="",0,N9*N9)</f>
        <v>0</v>
      </c>
      <c r="AE9" s="16" t="n">
        <f aca="false">IF($B9="",0,O9*O9)</f>
        <v>0</v>
      </c>
      <c r="AF9" s="16" t="n">
        <f aca="false">IF($B9="",0,P9*P9)</f>
        <v>0</v>
      </c>
      <c r="AG9" s="16" t="n">
        <f aca="false">IF($B9="",0,Q9*Q9)</f>
        <v>0</v>
      </c>
      <c r="AH9" s="30" t="n">
        <f aca="false">SUMPRODUCT(MMULT(S9:AG9,_XtX!$B$78:$P$92),S9:AG9)</f>
        <v>0</v>
      </c>
    </row>
    <row r="11" customFormat="false" ht="15" hidden="false" customHeight="false" outlineLevel="0" collapsed="false">
      <c r="A11" s="19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U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292</v>
      </c>
    </row>
    <row r="3" customFormat="false" ht="15" hidden="false" customHeight="false" outlineLevel="0" collapsed="false">
      <c r="A3" s="17" t="s">
        <v>293</v>
      </c>
      <c r="B3" s="24" t="n">
        <f aca="false">INDEX(04_回帰ANOVA!$B$6:$B$20,1)</f>
        <v>1</v>
      </c>
      <c r="C3" s="24" t="n">
        <f aca="false">INDEX(04_回帰ANOVA!$B$6:$B$20,2)</f>
        <v>1</v>
      </c>
      <c r="D3" s="24" t="n">
        <f aca="false">INDEX(04_回帰ANOVA!$B$6:$B$20,3)</f>
        <v>1</v>
      </c>
      <c r="E3" s="24" t="n">
        <f aca="false">INDEX(04_回帰ANOVA!$B$6:$B$20,4)</f>
        <v>1</v>
      </c>
      <c r="F3" s="24" t="n">
        <f aca="false">INDEX(04_回帰ANOVA!$B$6:$B$20,5)</f>
        <v>1</v>
      </c>
      <c r="G3" s="24" t="n">
        <f aca="false">INDEX(04_回帰ANOVA!$B$6:$B$20,6)</f>
        <v>1</v>
      </c>
      <c r="H3" s="24" t="n">
        <f aca="false">INDEX(04_回帰ANOVA!$B$6:$B$20,7)</f>
        <v>1</v>
      </c>
      <c r="I3" s="24" t="n">
        <f aca="false">INDEX(04_回帰ANOVA!$B$6:$B$20,8)</f>
        <v>1</v>
      </c>
      <c r="J3" s="24" t="n">
        <f aca="false">INDEX(04_回帰ANOVA!$B$6:$B$20,9)</f>
        <v>1</v>
      </c>
      <c r="K3" s="24" t="n">
        <f aca="false">INDEX(04_回帰ANOVA!$B$6:$B$20,10)</f>
        <v>1</v>
      </c>
      <c r="L3" s="24" t="n">
        <f aca="false">INDEX(04_回帰ANOVA!$B$6:$B$20,11)</f>
        <v>1</v>
      </c>
      <c r="M3" s="24" t="n">
        <f aca="false">INDEX(04_回帰ANOVA!$B$6:$B$20,12)</f>
        <v>1</v>
      </c>
      <c r="N3" s="24" t="n">
        <f aca="false">INDEX(04_回帰ANOVA!$B$6:$B$20,13)</f>
        <v>1</v>
      </c>
      <c r="O3" s="24" t="n">
        <f aca="false">INDEX(04_回帰ANOVA!$B$6:$B$20,14)</f>
        <v>1</v>
      </c>
      <c r="P3" s="24" t="n">
        <f aca="false">INDEX(04_回帰ANOVA!$B$6:$B$20,15)</f>
        <v>1</v>
      </c>
    </row>
    <row r="4" customFormat="false" ht="15" hidden="false" customHeight="false" outlineLevel="0" collapsed="false">
      <c r="A4" s="10" t="s">
        <v>114</v>
      </c>
      <c r="B4" s="10" t="s">
        <v>152</v>
      </c>
      <c r="C4" s="9" t="s">
        <v>64</v>
      </c>
      <c r="D4" s="9" t="s">
        <v>69</v>
      </c>
      <c r="E4" s="9" t="s">
        <v>72</v>
      </c>
      <c r="F4" s="9" t="s">
        <v>76</v>
      </c>
      <c r="G4" s="9" t="s">
        <v>158</v>
      </c>
      <c r="H4" s="9" t="s">
        <v>160</v>
      </c>
      <c r="I4" s="9" t="s">
        <v>162</v>
      </c>
      <c r="J4" s="9" t="s">
        <v>164</v>
      </c>
      <c r="K4" s="9" t="s">
        <v>166</v>
      </c>
      <c r="L4" s="9" t="s">
        <v>168</v>
      </c>
      <c r="M4" s="9" t="s">
        <v>170</v>
      </c>
      <c r="N4" s="9" t="s">
        <v>172</v>
      </c>
      <c r="O4" s="9" t="s">
        <v>174</v>
      </c>
      <c r="P4" s="9" t="s">
        <v>176</v>
      </c>
      <c r="Q4" s="9" t="s">
        <v>294</v>
      </c>
      <c r="R4" s="10"/>
      <c r="S4" s="10" t="s">
        <v>206</v>
      </c>
      <c r="T4" s="10" t="s">
        <v>204</v>
      </c>
      <c r="U4" s="10" t="s">
        <v>188</v>
      </c>
    </row>
    <row r="5" customFormat="false" ht="15" hidden="false" customHeight="false" outlineLevel="0" collapsed="false">
      <c r="A5" s="24" t="n">
        <f aca="false">02_実験計画!C5</f>
        <v>1</v>
      </c>
      <c r="B5" s="16" t="n">
        <f aca="false">$A5</f>
        <v>1</v>
      </c>
      <c r="C5" s="16" t="n">
        <f aca="false">02_実験計画!D5</f>
        <v>-1</v>
      </c>
      <c r="D5" s="16" t="n">
        <f aca="false">02_実験計画!E5</f>
        <v>-1</v>
      </c>
      <c r="E5" s="16" t="n">
        <f aca="false">02_実験計画!F5</f>
        <v>-1</v>
      </c>
      <c r="F5" s="16" t="n">
        <f aca="false">02_実験計画!G5</f>
        <v>-1</v>
      </c>
      <c r="G5" s="16" t="n">
        <f aca="false">02_実験計画!D5*02_実験計画!E5</f>
        <v>1</v>
      </c>
      <c r="H5" s="16" t="n">
        <f aca="false">02_実験計画!D5*02_実験計画!F5</f>
        <v>1</v>
      </c>
      <c r="I5" s="16" t="n">
        <f aca="false">02_実験計画!D5*02_実験計画!G5</f>
        <v>1</v>
      </c>
      <c r="J5" s="16" t="n">
        <f aca="false">02_実験計画!E5*02_実験計画!F5</f>
        <v>1</v>
      </c>
      <c r="K5" s="16" t="n">
        <f aca="false">02_実験計画!E5*02_実験計画!G5</f>
        <v>1</v>
      </c>
      <c r="L5" s="16" t="n">
        <f aca="false">02_実験計画!F5*02_実験計画!G5</f>
        <v>1</v>
      </c>
      <c r="M5" s="16" t="n">
        <f aca="false">02_実験計画!D5*02_実験計画!D5</f>
        <v>1</v>
      </c>
      <c r="N5" s="16" t="n">
        <f aca="false">02_実験計画!E5*02_実験計画!E5</f>
        <v>1</v>
      </c>
      <c r="O5" s="16" t="n">
        <f aca="false">02_実験計画!F5*02_実験計画!F5</f>
        <v>1</v>
      </c>
      <c r="P5" s="16" t="n">
        <f aca="false">02_実験計画!G5*02_実験計画!G5</f>
        <v>1</v>
      </c>
      <c r="Q5" s="15" t="n">
        <f aca="false">02_実験計画!P5*A5</f>
        <v>37.7</v>
      </c>
      <c r="S5" s="30" t="n">
        <f aca="false">IF(A5=1,SUMPRODUCT(MMULT(B5:P5,$B$78:$P$92),B5:P5),0)</f>
        <v>0.658625730994152</v>
      </c>
      <c r="T5" s="16" t="n">
        <f aca="false">IF(A5=1,SUMPRODUCT(B5:P5,$B$96:$P$96),0)</f>
        <v>37.1766812865498</v>
      </c>
      <c r="U5" s="16" t="n">
        <f aca="false">IF(A5=1,Q5-T5,0)</f>
        <v>0.52331871345023</v>
      </c>
    </row>
    <row r="6" customFormat="false" ht="15" hidden="false" customHeight="false" outlineLevel="0" collapsed="false">
      <c r="A6" s="24" t="n">
        <f aca="false">02_実験計画!C6</f>
        <v>1</v>
      </c>
      <c r="B6" s="16" t="n">
        <f aca="false">$A6</f>
        <v>1</v>
      </c>
      <c r="C6" s="16" t="n">
        <f aca="false">02_実験計画!D6</f>
        <v>1</v>
      </c>
      <c r="D6" s="16" t="n">
        <f aca="false">02_実験計画!E6</f>
        <v>-1</v>
      </c>
      <c r="E6" s="16" t="n">
        <f aca="false">02_実験計画!F6</f>
        <v>-1</v>
      </c>
      <c r="F6" s="16" t="n">
        <f aca="false">02_実験計画!G6</f>
        <v>-1</v>
      </c>
      <c r="G6" s="16" t="n">
        <f aca="false">02_実験計画!D6*02_実験計画!E6</f>
        <v>-1</v>
      </c>
      <c r="H6" s="16" t="n">
        <f aca="false">02_実験計画!D6*02_実験計画!F6</f>
        <v>-1</v>
      </c>
      <c r="I6" s="16" t="n">
        <f aca="false">02_実験計画!D6*02_実験計画!G6</f>
        <v>-1</v>
      </c>
      <c r="J6" s="16" t="n">
        <f aca="false">02_実験計画!E6*02_実験計画!F6</f>
        <v>1</v>
      </c>
      <c r="K6" s="16" t="n">
        <f aca="false">02_実験計画!E6*02_実験計画!G6</f>
        <v>1</v>
      </c>
      <c r="L6" s="16" t="n">
        <f aca="false">02_実験計画!F6*02_実験計画!G6</f>
        <v>1</v>
      </c>
      <c r="M6" s="16" t="n">
        <f aca="false">02_実験計画!D6*02_実験計画!D6</f>
        <v>1</v>
      </c>
      <c r="N6" s="16" t="n">
        <f aca="false">02_実験計画!E6*02_実験計画!E6</f>
        <v>1</v>
      </c>
      <c r="O6" s="16" t="n">
        <f aca="false">02_実験計画!F6*02_実験計画!F6</f>
        <v>1</v>
      </c>
      <c r="P6" s="16" t="n">
        <f aca="false">02_実験計画!G6*02_実験計画!G6</f>
        <v>1</v>
      </c>
      <c r="Q6" s="15" t="n">
        <f aca="false">02_実験計画!P6*A6</f>
        <v>39.4</v>
      </c>
      <c r="S6" s="30" t="n">
        <f aca="false">IF(A6=1,SUMPRODUCT(MMULT(B6:P6,$B$78:$P$92),B6:P6),0)</f>
        <v>0.658625730994152</v>
      </c>
      <c r="T6" s="16" t="n">
        <f aca="false">IF(A6=1,SUMPRODUCT(B6:P6,$B$96:$P$96),0)</f>
        <v>39.9877923976609</v>
      </c>
      <c r="U6" s="16" t="n">
        <f aca="false">IF(A6=1,Q6-T6,0)</f>
        <v>-0.587792397660884</v>
      </c>
    </row>
    <row r="7" customFormat="false" ht="15" hidden="false" customHeight="false" outlineLevel="0" collapsed="false">
      <c r="A7" s="24" t="n">
        <f aca="false">02_実験計画!C7</f>
        <v>1</v>
      </c>
      <c r="B7" s="16" t="n">
        <f aca="false">$A7</f>
        <v>1</v>
      </c>
      <c r="C7" s="16" t="n">
        <f aca="false">02_実験計画!D7</f>
        <v>-1</v>
      </c>
      <c r="D7" s="16" t="n">
        <f aca="false">02_実験計画!E7</f>
        <v>1</v>
      </c>
      <c r="E7" s="16" t="n">
        <f aca="false">02_実験計画!F7</f>
        <v>-1</v>
      </c>
      <c r="F7" s="16" t="n">
        <f aca="false">02_実験計画!G7</f>
        <v>-1</v>
      </c>
      <c r="G7" s="16" t="n">
        <f aca="false">02_実験計画!D7*02_実験計画!E7</f>
        <v>-1</v>
      </c>
      <c r="H7" s="16" t="n">
        <f aca="false">02_実験計画!D7*02_実験計画!F7</f>
        <v>1</v>
      </c>
      <c r="I7" s="16" t="n">
        <f aca="false">02_実験計画!D7*02_実験計画!G7</f>
        <v>1</v>
      </c>
      <c r="J7" s="16" t="n">
        <f aca="false">02_実験計画!E7*02_実験計画!F7</f>
        <v>-1</v>
      </c>
      <c r="K7" s="16" t="n">
        <f aca="false">02_実験計画!E7*02_実験計画!G7</f>
        <v>-1</v>
      </c>
      <c r="L7" s="16" t="n">
        <f aca="false">02_実験計画!F7*02_実験計画!G7</f>
        <v>1</v>
      </c>
      <c r="M7" s="16" t="n">
        <f aca="false">02_実験計画!D7*02_実験計画!D7</f>
        <v>1</v>
      </c>
      <c r="N7" s="16" t="n">
        <f aca="false">02_実験計画!E7*02_実験計画!E7</f>
        <v>1</v>
      </c>
      <c r="O7" s="16" t="n">
        <f aca="false">02_実験計画!F7*02_実験計画!F7</f>
        <v>1</v>
      </c>
      <c r="P7" s="16" t="n">
        <f aca="false">02_実験計画!G7*02_実験計画!G7</f>
        <v>1</v>
      </c>
      <c r="Q7" s="15" t="n">
        <f aca="false">02_実験計画!P7*A7</f>
        <v>38.7</v>
      </c>
      <c r="S7" s="30" t="n">
        <f aca="false">IF(A7=1,SUMPRODUCT(MMULT(B7:P7,$B$78:$P$92),B7:P7),0)</f>
        <v>0.658625730994152</v>
      </c>
      <c r="T7" s="16" t="n">
        <f aca="false">IF(A7=1,SUMPRODUCT(B7:P7,$B$96:$P$96),0)</f>
        <v>38.9155701754387</v>
      </c>
      <c r="U7" s="16" t="n">
        <f aca="false">IF(A7=1,Q7-T7,0)</f>
        <v>-0.215570175438664</v>
      </c>
    </row>
    <row r="8" customFormat="false" ht="15" hidden="false" customHeight="false" outlineLevel="0" collapsed="false">
      <c r="A8" s="24" t="n">
        <f aca="false">02_実験計画!C8</f>
        <v>1</v>
      </c>
      <c r="B8" s="16" t="n">
        <f aca="false">$A8</f>
        <v>1</v>
      </c>
      <c r="C8" s="16" t="n">
        <f aca="false">02_実験計画!D8</f>
        <v>1</v>
      </c>
      <c r="D8" s="16" t="n">
        <f aca="false">02_実験計画!E8</f>
        <v>1</v>
      </c>
      <c r="E8" s="16" t="n">
        <f aca="false">02_実験計画!F8</f>
        <v>-1</v>
      </c>
      <c r="F8" s="16" t="n">
        <f aca="false">02_実験計画!G8</f>
        <v>-1</v>
      </c>
      <c r="G8" s="16" t="n">
        <f aca="false">02_実験計画!D8*02_実験計画!E8</f>
        <v>1</v>
      </c>
      <c r="H8" s="16" t="n">
        <f aca="false">02_実験計画!D8*02_実験計画!F8</f>
        <v>-1</v>
      </c>
      <c r="I8" s="16" t="n">
        <f aca="false">02_実験計画!D8*02_実験計画!G8</f>
        <v>-1</v>
      </c>
      <c r="J8" s="16" t="n">
        <f aca="false">02_実験計画!E8*02_実験計画!F8</f>
        <v>-1</v>
      </c>
      <c r="K8" s="16" t="n">
        <f aca="false">02_実験計画!E8*02_実験計画!G8</f>
        <v>-1</v>
      </c>
      <c r="L8" s="16" t="n">
        <f aca="false">02_実験計画!F8*02_実験計画!G8</f>
        <v>1</v>
      </c>
      <c r="M8" s="16" t="n">
        <f aca="false">02_実験計画!D8*02_実験計画!D8</f>
        <v>1</v>
      </c>
      <c r="N8" s="16" t="n">
        <f aca="false">02_実験計画!E8*02_実験計画!E8</f>
        <v>1</v>
      </c>
      <c r="O8" s="16" t="n">
        <f aca="false">02_実験計画!F8*02_実験計画!F8</f>
        <v>1</v>
      </c>
      <c r="P8" s="16" t="n">
        <f aca="false">02_実験計画!G8*02_実験計画!G8</f>
        <v>1</v>
      </c>
      <c r="Q8" s="15" t="n">
        <f aca="false">02_実験計画!P8*A8</f>
        <v>46.6</v>
      </c>
      <c r="S8" s="30" t="n">
        <f aca="false">IF(A8=1,SUMPRODUCT(MMULT(B8:P8,$B$78:$P$92),B8:P8),0)</f>
        <v>0.658625730994152</v>
      </c>
      <c r="T8" s="16" t="n">
        <f aca="false">IF(A8=1,SUMPRODUCT(B8:P8,$B$96:$P$96),0)</f>
        <v>46.2266812865498</v>
      </c>
      <c r="U8" s="16" t="n">
        <f aca="false">IF(A8=1,Q8-T8,0)</f>
        <v>0.373318713450225</v>
      </c>
    </row>
    <row r="9" customFormat="false" ht="15" hidden="false" customHeight="false" outlineLevel="0" collapsed="false">
      <c r="A9" s="24" t="n">
        <f aca="false">02_実験計画!C9</f>
        <v>1</v>
      </c>
      <c r="B9" s="16" t="n">
        <f aca="false">$A9</f>
        <v>1</v>
      </c>
      <c r="C9" s="16" t="n">
        <f aca="false">02_実験計画!D9</f>
        <v>-1</v>
      </c>
      <c r="D9" s="16" t="n">
        <f aca="false">02_実験計画!E9</f>
        <v>-1</v>
      </c>
      <c r="E9" s="16" t="n">
        <f aca="false">02_実験計画!F9</f>
        <v>1</v>
      </c>
      <c r="F9" s="16" t="n">
        <f aca="false">02_実験計画!G9</f>
        <v>-1</v>
      </c>
      <c r="G9" s="16" t="n">
        <f aca="false">02_実験計画!D9*02_実験計画!E9</f>
        <v>1</v>
      </c>
      <c r="H9" s="16" t="n">
        <f aca="false">02_実験計画!D9*02_実験計画!F9</f>
        <v>-1</v>
      </c>
      <c r="I9" s="16" t="n">
        <f aca="false">02_実験計画!D9*02_実験計画!G9</f>
        <v>1</v>
      </c>
      <c r="J9" s="16" t="n">
        <f aca="false">02_実験計画!E9*02_実験計画!F9</f>
        <v>-1</v>
      </c>
      <c r="K9" s="16" t="n">
        <f aca="false">02_実験計画!E9*02_実験計画!G9</f>
        <v>1</v>
      </c>
      <c r="L9" s="16" t="n">
        <f aca="false">02_実験計画!F9*02_実験計画!G9</f>
        <v>-1</v>
      </c>
      <c r="M9" s="16" t="n">
        <f aca="false">02_実験計画!D9*02_実験計画!D9</f>
        <v>1</v>
      </c>
      <c r="N9" s="16" t="n">
        <f aca="false">02_実験計画!E9*02_実験計画!E9</f>
        <v>1</v>
      </c>
      <c r="O9" s="16" t="n">
        <f aca="false">02_実験計画!F9*02_実験計画!F9</f>
        <v>1</v>
      </c>
      <c r="P9" s="16" t="n">
        <f aca="false">02_実験計画!G9*02_実験計画!G9</f>
        <v>1</v>
      </c>
      <c r="Q9" s="15" t="n">
        <f aca="false">02_実験計画!P9*A9</f>
        <v>38.7</v>
      </c>
      <c r="S9" s="30" t="n">
        <f aca="false">IF(A9=1,SUMPRODUCT(MMULT(B9:P9,$B$78:$P$92),B9:P9),0)</f>
        <v>0.658625730994152</v>
      </c>
      <c r="T9" s="16" t="n">
        <f aca="false">IF(A9=1,SUMPRODUCT(B9:P9,$B$96:$P$96),0)</f>
        <v>39.2433479532164</v>
      </c>
      <c r="U9" s="16" t="n">
        <f aca="false">IF(A9=1,Q9-T9,0)</f>
        <v>-0.54334795321644</v>
      </c>
    </row>
    <row r="10" customFormat="false" ht="15" hidden="false" customHeight="false" outlineLevel="0" collapsed="false">
      <c r="A10" s="24" t="n">
        <f aca="false">02_実験計画!C10</f>
        <v>1</v>
      </c>
      <c r="B10" s="16" t="n">
        <f aca="false">$A10</f>
        <v>1</v>
      </c>
      <c r="C10" s="16" t="n">
        <f aca="false">02_実験計画!D10</f>
        <v>1</v>
      </c>
      <c r="D10" s="16" t="n">
        <f aca="false">02_実験計画!E10</f>
        <v>-1</v>
      </c>
      <c r="E10" s="16" t="n">
        <f aca="false">02_実験計画!F10</f>
        <v>1</v>
      </c>
      <c r="F10" s="16" t="n">
        <f aca="false">02_実験計画!G10</f>
        <v>-1</v>
      </c>
      <c r="G10" s="16" t="n">
        <f aca="false">02_実験計画!D10*02_実験計画!E10</f>
        <v>-1</v>
      </c>
      <c r="H10" s="16" t="n">
        <f aca="false">02_実験計画!D10*02_実験計画!F10</f>
        <v>1</v>
      </c>
      <c r="I10" s="16" t="n">
        <f aca="false">02_実験計画!D10*02_実験計画!G10</f>
        <v>-1</v>
      </c>
      <c r="J10" s="16" t="n">
        <f aca="false">02_実験計画!E10*02_実験計画!F10</f>
        <v>-1</v>
      </c>
      <c r="K10" s="16" t="n">
        <f aca="false">02_実験計画!E10*02_実験計画!G10</f>
        <v>1</v>
      </c>
      <c r="L10" s="16" t="n">
        <f aca="false">02_実験計画!F10*02_実験計画!G10</f>
        <v>-1</v>
      </c>
      <c r="M10" s="16" t="n">
        <f aca="false">02_実験計画!D10*02_実験計画!D10</f>
        <v>1</v>
      </c>
      <c r="N10" s="16" t="n">
        <f aca="false">02_実験計画!E10*02_実験計画!E10</f>
        <v>1</v>
      </c>
      <c r="O10" s="16" t="n">
        <f aca="false">02_実験計画!F10*02_実験計画!F10</f>
        <v>1</v>
      </c>
      <c r="P10" s="16" t="n">
        <f aca="false">02_実験計画!G10*02_実験計画!G10</f>
        <v>1</v>
      </c>
      <c r="Q10" s="15" t="n">
        <f aca="false">02_実験計画!P10*A10</f>
        <v>40.1</v>
      </c>
      <c r="S10" s="30" t="n">
        <f aca="false">IF(A10=1,SUMPRODUCT(MMULT(B10:P10,$B$78:$P$92),B10:P10),0)</f>
        <v>0.658625730994152</v>
      </c>
      <c r="T10" s="16" t="n">
        <f aca="false">IF(A10=1,SUMPRODUCT(B10:P10,$B$96:$P$96),0)</f>
        <v>39.4544590643276</v>
      </c>
      <c r="U10" s="16" t="n">
        <f aca="false">IF(A10=1,Q10-T10,0)</f>
        <v>0.64554093567245</v>
      </c>
    </row>
    <row r="11" customFormat="false" ht="15" hidden="false" customHeight="false" outlineLevel="0" collapsed="false">
      <c r="A11" s="24" t="n">
        <f aca="false">02_実験計画!C11</f>
        <v>1</v>
      </c>
      <c r="B11" s="16" t="n">
        <f aca="false">$A11</f>
        <v>1</v>
      </c>
      <c r="C11" s="16" t="n">
        <f aca="false">02_実験計画!D11</f>
        <v>-1</v>
      </c>
      <c r="D11" s="16" t="n">
        <f aca="false">02_実験計画!E11</f>
        <v>1</v>
      </c>
      <c r="E11" s="16" t="n">
        <f aca="false">02_実験計画!F11</f>
        <v>1</v>
      </c>
      <c r="F11" s="16" t="n">
        <f aca="false">02_実験計画!G11</f>
        <v>-1</v>
      </c>
      <c r="G11" s="16" t="n">
        <f aca="false">02_実験計画!D11*02_実験計画!E11</f>
        <v>-1</v>
      </c>
      <c r="H11" s="16" t="n">
        <f aca="false">02_実験計画!D11*02_実験計画!F11</f>
        <v>-1</v>
      </c>
      <c r="I11" s="16" t="n">
        <f aca="false">02_実験計画!D11*02_実験計画!G11</f>
        <v>1</v>
      </c>
      <c r="J11" s="16" t="n">
        <f aca="false">02_実験計画!E11*02_実験計画!F11</f>
        <v>1</v>
      </c>
      <c r="K11" s="16" t="n">
        <f aca="false">02_実験計画!E11*02_実験計画!G11</f>
        <v>-1</v>
      </c>
      <c r="L11" s="16" t="n">
        <f aca="false">02_実験計画!F11*02_実験計画!G11</f>
        <v>-1</v>
      </c>
      <c r="M11" s="16" t="n">
        <f aca="false">02_実験計画!D11*02_実験計画!D11</f>
        <v>1</v>
      </c>
      <c r="N11" s="16" t="n">
        <f aca="false">02_実験計画!E11*02_実験計画!E11</f>
        <v>1</v>
      </c>
      <c r="O11" s="16" t="n">
        <f aca="false">02_実験計画!F11*02_実験計画!F11</f>
        <v>1</v>
      </c>
      <c r="P11" s="16" t="n">
        <f aca="false">02_実験計画!G11*02_実験計画!G11</f>
        <v>1</v>
      </c>
      <c r="Q11" s="15" t="n">
        <f aca="false">02_実験計画!P11*A11</f>
        <v>42.7</v>
      </c>
      <c r="S11" s="30" t="n">
        <f aca="false">IF(A11=1,SUMPRODUCT(MMULT(B11:P11,$B$78:$P$92),B11:P11),0)</f>
        <v>0.658625730994152</v>
      </c>
      <c r="T11" s="16" t="n">
        <f aca="false">IF(A11=1,SUMPRODUCT(B11:P11,$B$96:$P$96),0)</f>
        <v>42.2322368421053</v>
      </c>
      <c r="U11" s="16" t="n">
        <f aca="false">IF(A11=1,Q11-T11,0)</f>
        <v>0.467763157894673</v>
      </c>
    </row>
    <row r="12" customFormat="false" ht="15" hidden="false" customHeight="false" outlineLevel="0" collapsed="false">
      <c r="A12" s="24" t="n">
        <f aca="false">02_実験計画!C12</f>
        <v>1</v>
      </c>
      <c r="B12" s="16" t="n">
        <f aca="false">$A12</f>
        <v>1</v>
      </c>
      <c r="C12" s="16" t="n">
        <f aca="false">02_実験計画!D12</f>
        <v>1</v>
      </c>
      <c r="D12" s="16" t="n">
        <f aca="false">02_実験計画!E12</f>
        <v>1</v>
      </c>
      <c r="E12" s="16" t="n">
        <f aca="false">02_実験計画!F12</f>
        <v>1</v>
      </c>
      <c r="F12" s="16" t="n">
        <f aca="false">02_実験計画!G12</f>
        <v>-1</v>
      </c>
      <c r="G12" s="16" t="n">
        <f aca="false">02_実験計画!D12*02_実験計画!E12</f>
        <v>1</v>
      </c>
      <c r="H12" s="16" t="n">
        <f aca="false">02_実験計画!D12*02_実験計画!F12</f>
        <v>1</v>
      </c>
      <c r="I12" s="16" t="n">
        <f aca="false">02_実験計画!D12*02_実験計画!G12</f>
        <v>-1</v>
      </c>
      <c r="J12" s="16" t="n">
        <f aca="false">02_実験計画!E12*02_実験計画!F12</f>
        <v>1</v>
      </c>
      <c r="K12" s="16" t="n">
        <f aca="false">02_実験計画!E12*02_実験計画!G12</f>
        <v>-1</v>
      </c>
      <c r="L12" s="16" t="n">
        <f aca="false">02_実験計画!F12*02_実験計画!G12</f>
        <v>-1</v>
      </c>
      <c r="M12" s="16" t="n">
        <f aca="false">02_実験計画!D12*02_実験計画!D12</f>
        <v>1</v>
      </c>
      <c r="N12" s="16" t="n">
        <f aca="false">02_実験計画!E12*02_実験計画!E12</f>
        <v>1</v>
      </c>
      <c r="O12" s="16" t="n">
        <f aca="false">02_実験計画!F12*02_実験計画!F12</f>
        <v>1</v>
      </c>
      <c r="P12" s="16" t="n">
        <f aca="false">02_実験計画!G12*02_実験計画!G12</f>
        <v>1</v>
      </c>
      <c r="Q12" s="15" t="n">
        <f aca="false">02_実験計画!P12*A12</f>
        <v>46.7</v>
      </c>
      <c r="S12" s="30" t="n">
        <f aca="false">IF(A12=1,SUMPRODUCT(MMULT(B12:P12,$B$78:$P$92),B12:P12),0)</f>
        <v>0.658625730994152</v>
      </c>
      <c r="T12" s="16" t="n">
        <f aca="false">IF(A12=1,SUMPRODUCT(B12:P12,$B$96:$P$96),0)</f>
        <v>46.9433479532164</v>
      </c>
      <c r="U12" s="16" t="n">
        <f aca="false">IF(A12=1,Q12-T12,0)</f>
        <v>-0.243347953216436</v>
      </c>
    </row>
    <row r="13" customFormat="false" ht="15" hidden="false" customHeight="false" outlineLevel="0" collapsed="false">
      <c r="A13" s="24" t="n">
        <f aca="false">02_実験計画!C13</f>
        <v>1</v>
      </c>
      <c r="B13" s="16" t="n">
        <f aca="false">$A13</f>
        <v>1</v>
      </c>
      <c r="C13" s="16" t="n">
        <f aca="false">02_実験計画!D13</f>
        <v>-1</v>
      </c>
      <c r="D13" s="16" t="n">
        <f aca="false">02_実験計画!E13</f>
        <v>-1</v>
      </c>
      <c r="E13" s="16" t="n">
        <f aca="false">02_実験計画!F13</f>
        <v>-1</v>
      </c>
      <c r="F13" s="16" t="n">
        <f aca="false">02_実験計画!G13</f>
        <v>1</v>
      </c>
      <c r="G13" s="16" t="n">
        <f aca="false">02_実験計画!D13*02_実験計画!E13</f>
        <v>1</v>
      </c>
      <c r="H13" s="16" t="n">
        <f aca="false">02_実験計画!D13*02_実験計画!F13</f>
        <v>1</v>
      </c>
      <c r="I13" s="16" t="n">
        <f aca="false">02_実験計画!D13*02_実験計画!G13</f>
        <v>-1</v>
      </c>
      <c r="J13" s="16" t="n">
        <f aca="false">02_実験計画!E13*02_実験計画!F13</f>
        <v>1</v>
      </c>
      <c r="K13" s="16" t="n">
        <f aca="false">02_実験計画!E13*02_実験計画!G13</f>
        <v>-1</v>
      </c>
      <c r="L13" s="16" t="n">
        <f aca="false">02_実験計画!F13*02_実験計画!G13</f>
        <v>-1</v>
      </c>
      <c r="M13" s="16" t="n">
        <f aca="false">02_実験計画!D13*02_実験計画!D13</f>
        <v>1</v>
      </c>
      <c r="N13" s="16" t="n">
        <f aca="false">02_実験計画!E13*02_実験計画!E13</f>
        <v>1</v>
      </c>
      <c r="O13" s="16" t="n">
        <f aca="false">02_実験計画!F13*02_実験計画!F13</f>
        <v>1</v>
      </c>
      <c r="P13" s="16" t="n">
        <f aca="false">02_実験計画!G13*02_実験計画!G13</f>
        <v>1</v>
      </c>
      <c r="Q13" s="15" t="n">
        <f aca="false">02_実験計画!P13*A13</f>
        <v>37.4</v>
      </c>
      <c r="S13" s="30" t="n">
        <f aca="false">IF(A13=1,SUMPRODUCT(MMULT(B13:P13,$B$78:$P$92),B13:P13),0)</f>
        <v>0.658625730994152</v>
      </c>
      <c r="T13" s="16" t="n">
        <f aca="false">IF(A13=1,SUMPRODUCT(B13:P13,$B$96:$P$96),0)</f>
        <v>37.5877923976609</v>
      </c>
      <c r="U13" s="16" t="n">
        <f aca="false">IF(A13=1,Q13-T13,0)</f>
        <v>-0.187792397660886</v>
      </c>
    </row>
    <row r="14" customFormat="false" ht="15" hidden="false" customHeight="false" outlineLevel="0" collapsed="false">
      <c r="A14" s="24" t="n">
        <f aca="false">02_実験計画!C14</f>
        <v>1</v>
      </c>
      <c r="B14" s="16" t="n">
        <f aca="false">$A14</f>
        <v>1</v>
      </c>
      <c r="C14" s="16" t="n">
        <f aca="false">02_実験計画!D14</f>
        <v>1</v>
      </c>
      <c r="D14" s="16" t="n">
        <f aca="false">02_実験計画!E14</f>
        <v>-1</v>
      </c>
      <c r="E14" s="16" t="n">
        <f aca="false">02_実験計画!F14</f>
        <v>-1</v>
      </c>
      <c r="F14" s="16" t="n">
        <f aca="false">02_実験計画!G14</f>
        <v>1</v>
      </c>
      <c r="G14" s="16" t="n">
        <f aca="false">02_実験計画!D14*02_実験計画!E14</f>
        <v>-1</v>
      </c>
      <c r="H14" s="16" t="n">
        <f aca="false">02_実験計画!D14*02_実験計画!F14</f>
        <v>-1</v>
      </c>
      <c r="I14" s="16" t="n">
        <f aca="false">02_実験計画!D14*02_実験計画!G14</f>
        <v>1</v>
      </c>
      <c r="J14" s="16" t="n">
        <f aca="false">02_実験計画!E14*02_実験計画!F14</f>
        <v>1</v>
      </c>
      <c r="K14" s="16" t="n">
        <f aca="false">02_実験計画!E14*02_実験計画!G14</f>
        <v>-1</v>
      </c>
      <c r="L14" s="16" t="n">
        <f aca="false">02_実験計画!F14*02_実験計画!G14</f>
        <v>-1</v>
      </c>
      <c r="M14" s="16" t="n">
        <f aca="false">02_実験計画!D14*02_実験計画!D14</f>
        <v>1</v>
      </c>
      <c r="N14" s="16" t="n">
        <f aca="false">02_実験計画!E14*02_実験計画!E14</f>
        <v>1</v>
      </c>
      <c r="O14" s="16" t="n">
        <f aca="false">02_実験計画!F14*02_実験計画!F14</f>
        <v>1</v>
      </c>
      <c r="P14" s="16" t="n">
        <f aca="false">02_実験計画!G14*02_実験計画!G14</f>
        <v>1</v>
      </c>
      <c r="Q14" s="15" t="n">
        <f aca="false">02_実験計画!P14*A14</f>
        <v>40.7</v>
      </c>
      <c r="S14" s="30" t="n">
        <f aca="false">IF(A14=1,SUMPRODUCT(MMULT(B14:P14,$B$78:$P$92),B14:P14),0)</f>
        <v>0.658625730994152</v>
      </c>
      <c r="T14" s="16" t="n">
        <f aca="false">IF(A14=1,SUMPRODUCT(B14:P14,$B$96:$P$96),0)</f>
        <v>40.898903508772</v>
      </c>
      <c r="U14" s="16" t="n">
        <f aca="false">IF(A14=1,Q14-T14,0)</f>
        <v>-0.198903508771991</v>
      </c>
    </row>
    <row r="15" customFormat="false" ht="15" hidden="false" customHeight="false" outlineLevel="0" collapsed="false">
      <c r="A15" s="24" t="n">
        <f aca="false">02_実験計画!C15</f>
        <v>1</v>
      </c>
      <c r="B15" s="16" t="n">
        <f aca="false">$A15</f>
        <v>1</v>
      </c>
      <c r="C15" s="16" t="n">
        <f aca="false">02_実験計画!D15</f>
        <v>-1</v>
      </c>
      <c r="D15" s="16" t="n">
        <f aca="false">02_実験計画!E15</f>
        <v>1</v>
      </c>
      <c r="E15" s="16" t="n">
        <f aca="false">02_実験計画!F15</f>
        <v>-1</v>
      </c>
      <c r="F15" s="16" t="n">
        <f aca="false">02_実験計画!G15</f>
        <v>1</v>
      </c>
      <c r="G15" s="16" t="n">
        <f aca="false">02_実験計画!D15*02_実験計画!E15</f>
        <v>-1</v>
      </c>
      <c r="H15" s="16" t="n">
        <f aca="false">02_実験計画!D15*02_実験計画!F15</f>
        <v>1</v>
      </c>
      <c r="I15" s="16" t="n">
        <f aca="false">02_実験計画!D15*02_実験計画!G15</f>
        <v>-1</v>
      </c>
      <c r="J15" s="16" t="n">
        <f aca="false">02_実験計画!E15*02_実験計画!F15</f>
        <v>-1</v>
      </c>
      <c r="K15" s="16" t="n">
        <f aca="false">02_実験計画!E15*02_実験計画!G15</f>
        <v>1</v>
      </c>
      <c r="L15" s="16" t="n">
        <f aca="false">02_実験計画!F15*02_実験計画!G15</f>
        <v>-1</v>
      </c>
      <c r="M15" s="16" t="n">
        <f aca="false">02_実験計画!D15*02_実験計画!D15</f>
        <v>1</v>
      </c>
      <c r="N15" s="16" t="n">
        <f aca="false">02_実験計画!E15*02_実験計画!E15</f>
        <v>1</v>
      </c>
      <c r="O15" s="16" t="n">
        <f aca="false">02_実験計画!F15*02_実験計画!F15</f>
        <v>1</v>
      </c>
      <c r="P15" s="16" t="n">
        <f aca="false">02_実験計画!G15*02_実験計画!G15</f>
        <v>1</v>
      </c>
      <c r="Q15" s="15" t="n">
        <f aca="false">02_実験計画!P15*A15</f>
        <v>38.1</v>
      </c>
      <c r="S15" s="30" t="n">
        <f aca="false">IF(A15=1,SUMPRODUCT(MMULT(B15:P15,$B$78:$P$92),B15:P15),0)</f>
        <v>0.658625730994152</v>
      </c>
      <c r="T15" s="16" t="n">
        <f aca="false">IF(A15=1,SUMPRODUCT(B15:P15,$B$96:$P$96),0)</f>
        <v>38.4766812865498</v>
      </c>
      <c r="U15" s="16" t="n">
        <f aca="false">IF(A15=1,Q15-T15,0)</f>
        <v>-0.376681286549776</v>
      </c>
    </row>
    <row r="16" customFormat="false" ht="15" hidden="false" customHeight="false" outlineLevel="0" collapsed="false">
      <c r="A16" s="24" t="n">
        <f aca="false">02_実験計画!C16</f>
        <v>1</v>
      </c>
      <c r="B16" s="16" t="n">
        <f aca="false">$A16</f>
        <v>1</v>
      </c>
      <c r="C16" s="16" t="n">
        <f aca="false">02_実験計画!D16</f>
        <v>1</v>
      </c>
      <c r="D16" s="16" t="n">
        <f aca="false">02_実験計画!E16</f>
        <v>1</v>
      </c>
      <c r="E16" s="16" t="n">
        <f aca="false">02_実験計画!F16</f>
        <v>-1</v>
      </c>
      <c r="F16" s="16" t="n">
        <f aca="false">02_実験計画!G16</f>
        <v>1</v>
      </c>
      <c r="G16" s="16" t="n">
        <f aca="false">02_実験計画!D16*02_実験計画!E16</f>
        <v>1</v>
      </c>
      <c r="H16" s="16" t="n">
        <f aca="false">02_実験計画!D16*02_実験計画!F16</f>
        <v>-1</v>
      </c>
      <c r="I16" s="16" t="n">
        <f aca="false">02_実験計画!D16*02_実験計画!G16</f>
        <v>1</v>
      </c>
      <c r="J16" s="16" t="n">
        <f aca="false">02_実験計画!E16*02_実験計画!F16</f>
        <v>-1</v>
      </c>
      <c r="K16" s="16" t="n">
        <f aca="false">02_実験計画!E16*02_実験計画!G16</f>
        <v>1</v>
      </c>
      <c r="L16" s="16" t="n">
        <f aca="false">02_実験計画!F16*02_実験計画!G16</f>
        <v>-1</v>
      </c>
      <c r="M16" s="16" t="n">
        <f aca="false">02_実験計画!D16*02_実験計画!D16</f>
        <v>1</v>
      </c>
      <c r="N16" s="16" t="n">
        <f aca="false">02_実験計画!E16*02_実験計画!E16</f>
        <v>1</v>
      </c>
      <c r="O16" s="16" t="n">
        <f aca="false">02_実験計画!F16*02_実験計画!F16</f>
        <v>1</v>
      </c>
      <c r="P16" s="16" t="n">
        <f aca="false">02_実験計画!G16*02_実験計画!G16</f>
        <v>1</v>
      </c>
      <c r="Q16" s="15" t="n">
        <f aca="false">02_実験計画!P16*A16</f>
        <v>46.4</v>
      </c>
      <c r="S16" s="30" t="n">
        <f aca="false">IF(A16=1,SUMPRODUCT(MMULT(B16:P16,$B$78:$P$92),B16:P16),0)</f>
        <v>0.658625730994152</v>
      </c>
      <c r="T16" s="16" t="n">
        <f aca="false">IF(A16=1,SUMPRODUCT(B16:P16,$B$96:$P$96),0)</f>
        <v>46.2877923976609</v>
      </c>
      <c r="U16" s="16" t="n">
        <f aca="false">IF(A16=1,Q16-T16,0)</f>
        <v>0.112207602339119</v>
      </c>
    </row>
    <row r="17" customFormat="false" ht="15" hidden="false" customHeight="false" outlineLevel="0" collapsed="false">
      <c r="A17" s="24" t="n">
        <f aca="false">02_実験計画!C17</f>
        <v>1</v>
      </c>
      <c r="B17" s="16" t="n">
        <f aca="false">$A17</f>
        <v>1</v>
      </c>
      <c r="C17" s="16" t="n">
        <f aca="false">02_実験計画!D17</f>
        <v>-1</v>
      </c>
      <c r="D17" s="16" t="n">
        <f aca="false">02_実験計画!E17</f>
        <v>-1</v>
      </c>
      <c r="E17" s="16" t="n">
        <f aca="false">02_実験計画!F17</f>
        <v>1</v>
      </c>
      <c r="F17" s="16" t="n">
        <f aca="false">02_実験計画!G17</f>
        <v>1</v>
      </c>
      <c r="G17" s="16" t="n">
        <f aca="false">02_実験計画!D17*02_実験計画!E17</f>
        <v>1</v>
      </c>
      <c r="H17" s="16" t="n">
        <f aca="false">02_実験計画!D17*02_実験計画!F17</f>
        <v>-1</v>
      </c>
      <c r="I17" s="16" t="n">
        <f aca="false">02_実験計画!D17*02_実験計画!G17</f>
        <v>-1</v>
      </c>
      <c r="J17" s="16" t="n">
        <f aca="false">02_実験計画!E17*02_実験計画!F17</f>
        <v>-1</v>
      </c>
      <c r="K17" s="16" t="n">
        <f aca="false">02_実験計画!E17*02_実験計画!G17</f>
        <v>-1</v>
      </c>
      <c r="L17" s="16" t="n">
        <f aca="false">02_実験計画!F17*02_実験計画!G17</f>
        <v>1</v>
      </c>
      <c r="M17" s="16" t="n">
        <f aca="false">02_実験計画!D17*02_実験計画!D17</f>
        <v>1</v>
      </c>
      <c r="N17" s="16" t="n">
        <f aca="false">02_実験計画!E17*02_実験計画!E17</f>
        <v>1</v>
      </c>
      <c r="O17" s="16" t="n">
        <f aca="false">02_実験計画!F17*02_実験計画!F17</f>
        <v>1</v>
      </c>
      <c r="P17" s="16" t="n">
        <f aca="false">02_実験計画!G17*02_実験計画!G17</f>
        <v>1</v>
      </c>
      <c r="Q17" s="15" t="n">
        <f aca="false">02_実験計画!P17*A17</f>
        <v>40.7</v>
      </c>
      <c r="S17" s="30" t="n">
        <f aca="false">IF(A17=1,SUMPRODUCT(MMULT(B17:P17,$B$78:$P$92),B17:P17),0)</f>
        <v>0.658625730994152</v>
      </c>
      <c r="T17" s="16" t="n">
        <f aca="false">IF(A17=1,SUMPRODUCT(B17:P17,$B$96:$P$96),0)</f>
        <v>40.8044590643276</v>
      </c>
      <c r="U17" s="16" t="n">
        <f aca="false">IF(A17=1,Q17-T17,0)</f>
        <v>-0.10445906432755</v>
      </c>
    </row>
    <row r="18" customFormat="false" ht="15" hidden="false" customHeight="false" outlineLevel="0" collapsed="false">
      <c r="A18" s="24" t="n">
        <f aca="false">02_実験計画!C18</f>
        <v>1</v>
      </c>
      <c r="B18" s="16" t="n">
        <f aca="false">$A18</f>
        <v>1</v>
      </c>
      <c r="C18" s="16" t="n">
        <f aca="false">02_実験計画!D18</f>
        <v>1</v>
      </c>
      <c r="D18" s="16" t="n">
        <f aca="false">02_実験計画!E18</f>
        <v>-1</v>
      </c>
      <c r="E18" s="16" t="n">
        <f aca="false">02_実験計画!F18</f>
        <v>1</v>
      </c>
      <c r="F18" s="16" t="n">
        <f aca="false">02_実験計画!G18</f>
        <v>1</v>
      </c>
      <c r="G18" s="16" t="n">
        <f aca="false">02_実験計画!D18*02_実験計画!E18</f>
        <v>-1</v>
      </c>
      <c r="H18" s="16" t="n">
        <f aca="false">02_実験計画!D18*02_実験計画!F18</f>
        <v>1</v>
      </c>
      <c r="I18" s="16" t="n">
        <f aca="false">02_実験計画!D18*02_実験計画!G18</f>
        <v>1</v>
      </c>
      <c r="J18" s="16" t="n">
        <f aca="false">02_実験計画!E18*02_実験計画!F18</f>
        <v>-1</v>
      </c>
      <c r="K18" s="16" t="n">
        <f aca="false">02_実験計画!E18*02_実験計画!G18</f>
        <v>-1</v>
      </c>
      <c r="L18" s="16" t="n">
        <f aca="false">02_実験計画!F18*02_実験計画!G18</f>
        <v>1</v>
      </c>
      <c r="M18" s="16" t="n">
        <f aca="false">02_実験計画!D18*02_実験計画!D18</f>
        <v>1</v>
      </c>
      <c r="N18" s="16" t="n">
        <f aca="false">02_実験計画!E18*02_実験計画!E18</f>
        <v>1</v>
      </c>
      <c r="O18" s="16" t="n">
        <f aca="false">02_実験計画!F18*02_実験計画!F18</f>
        <v>1</v>
      </c>
      <c r="P18" s="16" t="n">
        <f aca="false">02_実験計画!G18*02_実験計画!G18</f>
        <v>1</v>
      </c>
      <c r="Q18" s="15" t="n">
        <f aca="false">02_実験計画!P18*A18</f>
        <v>41.3</v>
      </c>
      <c r="S18" s="30" t="n">
        <f aca="false">IF(A18=1,SUMPRODUCT(MMULT(B18:P18,$B$78:$P$92),B18:P18),0)</f>
        <v>0.658625730994152</v>
      </c>
      <c r="T18" s="16" t="n">
        <f aca="false">IF(A18=1,SUMPRODUCT(B18:P18,$B$96:$P$96),0)</f>
        <v>41.5155701754387</v>
      </c>
      <c r="U18" s="16" t="n">
        <f aca="false">IF(A18=1,Q18-T18,0)</f>
        <v>-0.215570175438664</v>
      </c>
    </row>
    <row r="19" customFormat="false" ht="15" hidden="false" customHeight="false" outlineLevel="0" collapsed="false">
      <c r="A19" s="24" t="n">
        <f aca="false">02_実験計画!C19</f>
        <v>1</v>
      </c>
      <c r="B19" s="16" t="n">
        <f aca="false">$A19</f>
        <v>1</v>
      </c>
      <c r="C19" s="16" t="n">
        <f aca="false">02_実験計画!D19</f>
        <v>-1</v>
      </c>
      <c r="D19" s="16" t="n">
        <f aca="false">02_実験計画!E19</f>
        <v>1</v>
      </c>
      <c r="E19" s="16" t="n">
        <f aca="false">02_実験計画!F19</f>
        <v>1</v>
      </c>
      <c r="F19" s="16" t="n">
        <f aca="false">02_実験計画!G19</f>
        <v>1</v>
      </c>
      <c r="G19" s="16" t="n">
        <f aca="false">02_実験計画!D19*02_実験計画!E19</f>
        <v>-1</v>
      </c>
      <c r="H19" s="16" t="n">
        <f aca="false">02_実験計画!D19*02_実験計画!F19</f>
        <v>-1</v>
      </c>
      <c r="I19" s="16" t="n">
        <f aca="false">02_実験計画!D19*02_実験計画!G19</f>
        <v>-1</v>
      </c>
      <c r="J19" s="16" t="n">
        <f aca="false">02_実験計画!E19*02_実験計画!F19</f>
        <v>1</v>
      </c>
      <c r="K19" s="16" t="n">
        <f aca="false">02_実験計画!E19*02_実験計画!G19</f>
        <v>1</v>
      </c>
      <c r="L19" s="16" t="n">
        <f aca="false">02_実験計画!F19*02_実験計画!G19</f>
        <v>1</v>
      </c>
      <c r="M19" s="16" t="n">
        <f aca="false">02_実験計画!D19*02_実験計画!D19</f>
        <v>1</v>
      </c>
      <c r="N19" s="16" t="n">
        <f aca="false">02_実験計画!E19*02_実験計画!E19</f>
        <v>1</v>
      </c>
      <c r="O19" s="16" t="n">
        <f aca="false">02_実験計画!F19*02_実験計画!F19</f>
        <v>1</v>
      </c>
      <c r="P19" s="16" t="n">
        <f aca="false">02_実験計画!G19*02_実験計画!G19</f>
        <v>1</v>
      </c>
      <c r="Q19" s="15" t="n">
        <f aca="false">02_実験計画!P19*A19</f>
        <v>43.1</v>
      </c>
      <c r="S19" s="30" t="n">
        <f aca="false">IF(A19=1,SUMPRODUCT(MMULT(B19:P19,$B$78:$P$92),B19:P19),0)</f>
        <v>0.658625730994152</v>
      </c>
      <c r="T19" s="16" t="n">
        <f aca="false">IF(A19=1,SUMPRODUCT(B19:P19,$B$96:$P$96),0)</f>
        <v>42.9433479532164</v>
      </c>
      <c r="U19" s="16" t="n">
        <f aca="false">IF(A19=1,Q19-T19,0)</f>
        <v>0.156652046783563</v>
      </c>
    </row>
    <row r="20" customFormat="false" ht="15" hidden="false" customHeight="false" outlineLevel="0" collapsed="false">
      <c r="A20" s="24" t="n">
        <f aca="false">02_実験計画!C20</f>
        <v>1</v>
      </c>
      <c r="B20" s="16" t="n">
        <f aca="false">$A20</f>
        <v>1</v>
      </c>
      <c r="C20" s="16" t="n">
        <f aca="false">02_実験計画!D20</f>
        <v>1</v>
      </c>
      <c r="D20" s="16" t="n">
        <f aca="false">02_実験計画!E20</f>
        <v>1</v>
      </c>
      <c r="E20" s="16" t="n">
        <f aca="false">02_実験計画!F20</f>
        <v>1</v>
      </c>
      <c r="F20" s="16" t="n">
        <f aca="false">02_実験計画!G20</f>
        <v>1</v>
      </c>
      <c r="G20" s="16" t="n">
        <f aca="false">02_実験計画!D20*02_実験計画!E20</f>
        <v>1</v>
      </c>
      <c r="H20" s="16" t="n">
        <f aca="false">02_実験計画!D20*02_実験計画!F20</f>
        <v>1</v>
      </c>
      <c r="I20" s="16" t="n">
        <f aca="false">02_実験計画!D20*02_実験計画!G20</f>
        <v>1</v>
      </c>
      <c r="J20" s="16" t="n">
        <f aca="false">02_実験計画!E20*02_実験計画!F20</f>
        <v>1</v>
      </c>
      <c r="K20" s="16" t="n">
        <f aca="false">02_実験計画!E20*02_実験計画!G20</f>
        <v>1</v>
      </c>
      <c r="L20" s="16" t="n">
        <f aca="false">02_実験計画!F20*02_実験計画!G20</f>
        <v>1</v>
      </c>
      <c r="M20" s="16" t="n">
        <f aca="false">02_実験計画!D20*02_実験計画!D20</f>
        <v>1</v>
      </c>
      <c r="N20" s="16" t="n">
        <f aca="false">02_実験計画!E20*02_実験計画!E20</f>
        <v>1</v>
      </c>
      <c r="O20" s="16" t="n">
        <f aca="false">02_実験計画!F20*02_実験計画!F20</f>
        <v>1</v>
      </c>
      <c r="P20" s="16" t="n">
        <f aca="false">02_実験計画!G20*02_実験計画!G20</f>
        <v>1</v>
      </c>
      <c r="Q20" s="15" t="n">
        <f aca="false">02_実験計画!P20*A20</f>
        <v>47.9</v>
      </c>
      <c r="S20" s="30" t="n">
        <f aca="false">IF(A20=1,SUMPRODUCT(MMULT(B20:P20,$B$78:$P$92),B20:P20),0)</f>
        <v>0.658625730994152</v>
      </c>
      <c r="T20" s="16" t="n">
        <f aca="false">IF(A20=1,SUMPRODUCT(B20:P20,$B$96:$P$96),0)</f>
        <v>48.1544590643276</v>
      </c>
      <c r="U20" s="16" t="n">
        <f aca="false">IF(A20=1,Q20-T20,0)</f>
        <v>-0.254459064327548</v>
      </c>
    </row>
    <row r="21" customFormat="false" ht="15" hidden="false" customHeight="false" outlineLevel="0" collapsed="false">
      <c r="A21" s="24" t="n">
        <f aca="false">02_実験計画!C21</f>
        <v>1</v>
      </c>
      <c r="B21" s="16" t="n">
        <f aca="false">$A21</f>
        <v>1</v>
      </c>
      <c r="C21" s="16" t="n">
        <f aca="false">02_実験計画!D21</f>
        <v>-1</v>
      </c>
      <c r="D21" s="16" t="n">
        <f aca="false">02_実験計画!E21</f>
        <v>0</v>
      </c>
      <c r="E21" s="16" t="n">
        <f aca="false">02_実験計画!F21</f>
        <v>0</v>
      </c>
      <c r="F21" s="16" t="n">
        <f aca="false">02_実験計画!G21</f>
        <v>0</v>
      </c>
      <c r="G21" s="16" t="n">
        <f aca="false">02_実験計画!D21*02_実験計画!E21</f>
        <v>-0</v>
      </c>
      <c r="H21" s="16" t="n">
        <f aca="false">02_実験計画!D21*02_実験計画!F21</f>
        <v>-0</v>
      </c>
      <c r="I21" s="16" t="n">
        <f aca="false">02_実験計画!D21*02_実験計画!G21</f>
        <v>-0</v>
      </c>
      <c r="J21" s="16" t="n">
        <f aca="false">02_実験計画!E21*02_実験計画!F21</f>
        <v>0</v>
      </c>
      <c r="K21" s="16" t="n">
        <f aca="false">02_実験計画!E21*02_実験計画!G21</f>
        <v>0</v>
      </c>
      <c r="L21" s="16" t="n">
        <f aca="false">02_実験計画!F21*02_実験計画!G21</f>
        <v>0</v>
      </c>
      <c r="M21" s="16" t="n">
        <f aca="false">02_実験計画!D21*02_実験計画!D21</f>
        <v>1</v>
      </c>
      <c r="N21" s="16" t="n">
        <f aca="false">02_実験計画!E21*02_実験計画!E21</f>
        <v>0</v>
      </c>
      <c r="O21" s="16" t="n">
        <f aca="false">02_実験計画!F21*02_実験計画!F21</f>
        <v>0</v>
      </c>
      <c r="P21" s="16" t="n">
        <f aca="false">02_実験計画!G21*02_実験計画!G21</f>
        <v>0</v>
      </c>
      <c r="Q21" s="15" t="n">
        <f aca="false">02_実験計画!P21*A21</f>
        <v>43.6</v>
      </c>
      <c r="S21" s="30" t="n">
        <f aca="false">IF(A21=1,SUMPRODUCT(MMULT(B21:P21,$B$78:$P$92),B21:P21),0)</f>
        <v>0.485380116959064</v>
      </c>
      <c r="T21" s="16" t="n">
        <f aca="false">IF(A21=1,SUMPRODUCT(B21:P21,$B$96:$P$96),0)</f>
        <v>43.3198830409357</v>
      </c>
      <c r="U21" s="16" t="n">
        <f aca="false">IF(A21=1,Q21-T21,0)</f>
        <v>0.280116959064301</v>
      </c>
    </row>
    <row r="22" customFormat="false" ht="15" hidden="false" customHeight="false" outlineLevel="0" collapsed="false">
      <c r="A22" s="24" t="n">
        <f aca="false">02_実験計画!C22</f>
        <v>1</v>
      </c>
      <c r="B22" s="16" t="n">
        <f aca="false">$A22</f>
        <v>1</v>
      </c>
      <c r="C22" s="16" t="n">
        <f aca="false">02_実験計画!D22</f>
        <v>1</v>
      </c>
      <c r="D22" s="16" t="n">
        <f aca="false">02_実験計画!E22</f>
        <v>0</v>
      </c>
      <c r="E22" s="16" t="n">
        <f aca="false">02_実験計画!F22</f>
        <v>0</v>
      </c>
      <c r="F22" s="16" t="n">
        <f aca="false">02_実験計画!G22</f>
        <v>0</v>
      </c>
      <c r="G22" s="16" t="n">
        <f aca="false">02_実験計画!D22*02_実験計画!E22</f>
        <v>0</v>
      </c>
      <c r="H22" s="16" t="n">
        <f aca="false">02_実験計画!D22*02_実験計画!F22</f>
        <v>0</v>
      </c>
      <c r="I22" s="16" t="n">
        <f aca="false">02_実験計画!D22*02_実験計画!G22</f>
        <v>0</v>
      </c>
      <c r="J22" s="16" t="n">
        <f aca="false">02_実験計画!E22*02_実験計画!F22</f>
        <v>0</v>
      </c>
      <c r="K22" s="16" t="n">
        <f aca="false">02_実験計画!E22*02_実験計画!G22</f>
        <v>0</v>
      </c>
      <c r="L22" s="16" t="n">
        <f aca="false">02_実験計画!F22*02_実験計画!G22</f>
        <v>0</v>
      </c>
      <c r="M22" s="16" t="n">
        <f aca="false">02_実験計画!D22*02_実験計画!D22</f>
        <v>1</v>
      </c>
      <c r="N22" s="16" t="n">
        <f aca="false">02_実験計画!E22*02_実験計画!E22</f>
        <v>0</v>
      </c>
      <c r="O22" s="16" t="n">
        <f aca="false">02_実験計画!F22*02_実験計画!F22</f>
        <v>0</v>
      </c>
      <c r="P22" s="16" t="n">
        <f aca="false">02_実験計画!G22*02_実験計画!G22</f>
        <v>0</v>
      </c>
      <c r="Q22" s="15" t="n">
        <f aca="false">02_実験計画!P22*A22</f>
        <v>47.7</v>
      </c>
      <c r="S22" s="30" t="n">
        <f aca="false">IF(A22=1,SUMPRODUCT(MMULT(B22:P22,$B$78:$P$92),B22:P22),0)</f>
        <v>0.485380116959064</v>
      </c>
      <c r="T22" s="16" t="n">
        <f aca="false">IF(A22=1,SUMPRODUCT(B22:P22,$B$96:$P$96),0)</f>
        <v>47.3309941520468</v>
      </c>
      <c r="U22" s="16" t="n">
        <f aca="false">IF(A22=1,Q22-T22,0)</f>
        <v>0.369005847953197</v>
      </c>
    </row>
    <row r="23" customFormat="false" ht="15" hidden="false" customHeight="false" outlineLevel="0" collapsed="false">
      <c r="A23" s="24" t="n">
        <f aca="false">02_実験計画!C23</f>
        <v>1</v>
      </c>
      <c r="B23" s="16" t="n">
        <f aca="false">$A23</f>
        <v>1</v>
      </c>
      <c r="C23" s="16" t="n">
        <f aca="false">02_実験計画!D23</f>
        <v>0</v>
      </c>
      <c r="D23" s="16" t="n">
        <f aca="false">02_実験計画!E23</f>
        <v>-1</v>
      </c>
      <c r="E23" s="16" t="n">
        <f aca="false">02_実験計画!F23</f>
        <v>0</v>
      </c>
      <c r="F23" s="16" t="n">
        <f aca="false">02_実験計画!G23</f>
        <v>0</v>
      </c>
      <c r="G23" s="16" t="n">
        <f aca="false">02_実験計画!D23*02_実験計画!E23</f>
        <v>-0</v>
      </c>
      <c r="H23" s="16" t="n">
        <f aca="false">02_実験計画!D23*02_実験計画!F23</f>
        <v>0</v>
      </c>
      <c r="I23" s="16" t="n">
        <f aca="false">02_実験計画!D23*02_実験計画!G23</f>
        <v>0</v>
      </c>
      <c r="J23" s="16" t="n">
        <f aca="false">02_実験計画!E23*02_実験計画!F23</f>
        <v>-0</v>
      </c>
      <c r="K23" s="16" t="n">
        <f aca="false">02_実験計画!E23*02_実験計画!G23</f>
        <v>-0</v>
      </c>
      <c r="L23" s="16" t="n">
        <f aca="false">02_実験計画!F23*02_実験計画!G23</f>
        <v>0</v>
      </c>
      <c r="M23" s="16" t="n">
        <f aca="false">02_実験計画!D23*02_実験計画!D23</f>
        <v>0</v>
      </c>
      <c r="N23" s="16" t="n">
        <f aca="false">02_実験計画!E23*02_実験計画!E23</f>
        <v>1</v>
      </c>
      <c r="O23" s="16" t="n">
        <f aca="false">02_実験計画!F23*02_実験計画!F23</f>
        <v>0</v>
      </c>
      <c r="P23" s="16" t="n">
        <f aca="false">02_実験計画!G23*02_実験計画!G23</f>
        <v>0</v>
      </c>
      <c r="Q23" s="15" t="n">
        <f aca="false">02_実験計画!P23*A23</f>
        <v>43.9</v>
      </c>
      <c r="S23" s="30" t="n">
        <f aca="false">IF(A23=1,SUMPRODUCT(MMULT(B23:P23,$B$78:$P$92),B23:P23),0)</f>
        <v>0.485380116959065</v>
      </c>
      <c r="T23" s="16" t="n">
        <f aca="false">IF(A23=1,SUMPRODUCT(B23:P23,$B$96:$P$96),0)</f>
        <v>43.2309941520467</v>
      </c>
      <c r="U23" s="16" t="n">
        <f aca="false">IF(A23=1,Q23-T23,0)</f>
        <v>0.669005847953279</v>
      </c>
    </row>
    <row r="24" customFormat="false" ht="15" hidden="false" customHeight="false" outlineLevel="0" collapsed="false">
      <c r="A24" s="24" t="n">
        <f aca="false">02_実験計画!C24</f>
        <v>1</v>
      </c>
      <c r="B24" s="16" t="n">
        <f aca="false">$A24</f>
        <v>1</v>
      </c>
      <c r="C24" s="16" t="n">
        <f aca="false">02_実験計画!D24</f>
        <v>0</v>
      </c>
      <c r="D24" s="16" t="n">
        <f aca="false">02_実験計画!E24</f>
        <v>1</v>
      </c>
      <c r="E24" s="16" t="n">
        <f aca="false">02_実験計画!F24</f>
        <v>0</v>
      </c>
      <c r="F24" s="16" t="n">
        <f aca="false">02_実験計画!G24</f>
        <v>0</v>
      </c>
      <c r="G24" s="16" t="n">
        <f aca="false">02_実験計画!D24*02_実験計画!E24</f>
        <v>0</v>
      </c>
      <c r="H24" s="16" t="n">
        <f aca="false">02_実験計画!D24*02_実験計画!F24</f>
        <v>0</v>
      </c>
      <c r="I24" s="16" t="n">
        <f aca="false">02_実験計画!D24*02_実験計画!G24</f>
        <v>0</v>
      </c>
      <c r="J24" s="16" t="n">
        <f aca="false">02_実験計画!E24*02_実験計画!F24</f>
        <v>0</v>
      </c>
      <c r="K24" s="16" t="n">
        <f aca="false">02_実験計画!E24*02_実験計画!G24</f>
        <v>0</v>
      </c>
      <c r="L24" s="16" t="n">
        <f aca="false">02_実験計画!F24*02_実験計画!G24</f>
        <v>0</v>
      </c>
      <c r="M24" s="16" t="n">
        <f aca="false">02_実験計画!D24*02_実験計画!D24</f>
        <v>0</v>
      </c>
      <c r="N24" s="16" t="n">
        <f aca="false">02_実験計画!E24*02_実験計画!E24</f>
        <v>1</v>
      </c>
      <c r="O24" s="16" t="n">
        <f aca="false">02_実験計画!F24*02_実験計画!F24</f>
        <v>0</v>
      </c>
      <c r="P24" s="16" t="n">
        <f aca="false">02_実験計画!G24*02_実験計画!G24</f>
        <v>0</v>
      </c>
      <c r="Q24" s="15" t="n">
        <f aca="false">02_実験計画!P24*A24</f>
        <v>47.4</v>
      </c>
      <c r="S24" s="30" t="n">
        <f aca="false">IF(A24=1,SUMPRODUCT(MMULT(B24:P24,$B$78:$P$92),B24:P24),0)</f>
        <v>0.485380116959065</v>
      </c>
      <c r="T24" s="16" t="n">
        <f aca="false">IF(A24=1,SUMPRODUCT(B24:P24,$B$96:$P$96),0)</f>
        <v>47.4198830409356</v>
      </c>
      <c r="U24" s="16" t="n">
        <f aca="false">IF(A24=1,Q24-T24,0)</f>
        <v>-0.0198830409356034</v>
      </c>
    </row>
    <row r="25" customFormat="false" ht="15" hidden="false" customHeight="false" outlineLevel="0" collapsed="false">
      <c r="A25" s="24" t="n">
        <f aca="false">02_実験計画!C25</f>
        <v>1</v>
      </c>
      <c r="B25" s="16" t="n">
        <f aca="false">$A25</f>
        <v>1</v>
      </c>
      <c r="C25" s="16" t="n">
        <f aca="false">02_実験計画!D25</f>
        <v>0</v>
      </c>
      <c r="D25" s="16" t="n">
        <f aca="false">02_実験計画!E25</f>
        <v>0</v>
      </c>
      <c r="E25" s="16" t="n">
        <f aca="false">02_実験計画!F25</f>
        <v>-1</v>
      </c>
      <c r="F25" s="16" t="n">
        <f aca="false">02_実験計画!G25</f>
        <v>0</v>
      </c>
      <c r="G25" s="16" t="n">
        <f aca="false">02_実験計画!D25*02_実験計画!E25</f>
        <v>0</v>
      </c>
      <c r="H25" s="16" t="n">
        <f aca="false">02_実験計画!D25*02_実験計画!F25</f>
        <v>-0</v>
      </c>
      <c r="I25" s="16" t="n">
        <f aca="false">02_実験計画!D25*02_実験計画!G25</f>
        <v>0</v>
      </c>
      <c r="J25" s="16" t="n">
        <f aca="false">02_実験計画!E25*02_実験計画!F25</f>
        <v>-0</v>
      </c>
      <c r="K25" s="16" t="n">
        <f aca="false">02_実験計画!E25*02_実験計画!G25</f>
        <v>0</v>
      </c>
      <c r="L25" s="16" t="n">
        <f aca="false">02_実験計画!F25*02_実験計画!G25</f>
        <v>-0</v>
      </c>
      <c r="M25" s="16" t="n">
        <f aca="false">02_実験計画!D25*02_実験計画!D25</f>
        <v>0</v>
      </c>
      <c r="N25" s="16" t="n">
        <f aca="false">02_実験計画!E25*02_実験計画!E25</f>
        <v>0</v>
      </c>
      <c r="O25" s="16" t="n">
        <f aca="false">02_実験計画!F25*02_実験計画!F25</f>
        <v>1</v>
      </c>
      <c r="P25" s="16" t="n">
        <f aca="false">02_実験計画!G25*02_実験計画!G25</f>
        <v>0</v>
      </c>
      <c r="Q25" s="15" t="n">
        <f aca="false">02_実験計画!P25*A25</f>
        <v>46.8</v>
      </c>
      <c r="S25" s="30" t="n">
        <f aca="false">IF(A25=1,SUMPRODUCT(MMULT(B25:P25,$B$78:$P$92),B25:P25),0)</f>
        <v>0.485380116959065</v>
      </c>
      <c r="T25" s="16" t="n">
        <f aca="false">IF(A25=1,SUMPRODUCT(B25:P25,$B$96:$P$96),0)</f>
        <v>46.2421052631578</v>
      </c>
      <c r="U25" s="16" t="n">
        <f aca="false">IF(A25=1,Q25-T25,0)</f>
        <v>0.557894736842165</v>
      </c>
    </row>
    <row r="26" customFormat="false" ht="15" hidden="false" customHeight="false" outlineLevel="0" collapsed="false">
      <c r="A26" s="24" t="n">
        <f aca="false">02_実験計画!C26</f>
        <v>1</v>
      </c>
      <c r="B26" s="16" t="n">
        <f aca="false">$A26</f>
        <v>1</v>
      </c>
      <c r="C26" s="16" t="n">
        <f aca="false">02_実験計画!D26</f>
        <v>0</v>
      </c>
      <c r="D26" s="16" t="n">
        <f aca="false">02_実験計画!E26</f>
        <v>0</v>
      </c>
      <c r="E26" s="16" t="n">
        <f aca="false">02_実験計画!F26</f>
        <v>1</v>
      </c>
      <c r="F26" s="16" t="n">
        <f aca="false">02_実験計画!G26</f>
        <v>0</v>
      </c>
      <c r="G26" s="16" t="n">
        <f aca="false">02_実験計画!D26*02_実験計画!E26</f>
        <v>0</v>
      </c>
      <c r="H26" s="16" t="n">
        <f aca="false">02_実験計画!D26*02_実験計画!F26</f>
        <v>0</v>
      </c>
      <c r="I26" s="16" t="n">
        <f aca="false">02_実験計画!D26*02_実験計画!G26</f>
        <v>0</v>
      </c>
      <c r="J26" s="16" t="n">
        <f aca="false">02_実験計画!E26*02_実験計画!F26</f>
        <v>0</v>
      </c>
      <c r="K26" s="16" t="n">
        <f aca="false">02_実験計画!E26*02_実験計画!G26</f>
        <v>0</v>
      </c>
      <c r="L26" s="16" t="n">
        <f aca="false">02_実験計画!F26*02_実験計画!G26</f>
        <v>0</v>
      </c>
      <c r="M26" s="16" t="n">
        <f aca="false">02_実験計画!D26*02_実験計画!D26</f>
        <v>0</v>
      </c>
      <c r="N26" s="16" t="n">
        <f aca="false">02_実験計画!E26*02_実験計画!E26</f>
        <v>0</v>
      </c>
      <c r="O26" s="16" t="n">
        <f aca="false">02_実験計画!F26*02_実験計画!F26</f>
        <v>1</v>
      </c>
      <c r="P26" s="16" t="n">
        <f aca="false">02_実験計画!G26*02_実験計画!G26</f>
        <v>0</v>
      </c>
      <c r="Q26" s="15" t="n">
        <f aca="false">02_実験計画!P26*A26</f>
        <v>48.3</v>
      </c>
      <c r="S26" s="30" t="n">
        <f aca="false">IF(A26=1,SUMPRODUCT(MMULT(B26:P26,$B$78:$P$92),B26:P26),0)</f>
        <v>0.485380116959065</v>
      </c>
      <c r="T26" s="16" t="n">
        <f aca="false">IF(A26=1,SUMPRODUCT(B26:P26,$B$96:$P$96),0)</f>
        <v>48.2087719298245</v>
      </c>
      <c r="U26" s="16" t="n">
        <f aca="false">IF(A26=1,Q26-T26,0)</f>
        <v>0.0912280701754966</v>
      </c>
    </row>
    <row r="27" customFormat="false" ht="15" hidden="false" customHeight="false" outlineLevel="0" collapsed="false">
      <c r="A27" s="24" t="n">
        <f aca="false">02_実験計画!C27</f>
        <v>1</v>
      </c>
      <c r="B27" s="16" t="n">
        <f aca="false">$A27</f>
        <v>1</v>
      </c>
      <c r="C27" s="16" t="n">
        <f aca="false">02_実験計画!D27</f>
        <v>0</v>
      </c>
      <c r="D27" s="16" t="n">
        <f aca="false">02_実験計画!E27</f>
        <v>0</v>
      </c>
      <c r="E27" s="16" t="n">
        <f aca="false">02_実験計画!F27</f>
        <v>0</v>
      </c>
      <c r="F27" s="16" t="n">
        <f aca="false">02_実験計画!G27</f>
        <v>-1</v>
      </c>
      <c r="G27" s="16" t="n">
        <f aca="false">02_実験計画!D27*02_実験計画!E27</f>
        <v>0</v>
      </c>
      <c r="H27" s="16" t="n">
        <f aca="false">02_実験計画!D27*02_実験計画!F27</f>
        <v>0</v>
      </c>
      <c r="I27" s="16" t="n">
        <f aca="false">02_実験計画!D27*02_実験計画!G27</f>
        <v>-0</v>
      </c>
      <c r="J27" s="16" t="n">
        <f aca="false">02_実験計画!E27*02_実験計画!F27</f>
        <v>0</v>
      </c>
      <c r="K27" s="16" t="n">
        <f aca="false">02_実験計画!E27*02_実験計画!G27</f>
        <v>-0</v>
      </c>
      <c r="L27" s="16" t="n">
        <f aca="false">02_実験計画!F27*02_実験計画!G27</f>
        <v>-0</v>
      </c>
      <c r="M27" s="16" t="n">
        <f aca="false">02_実験計画!D27*02_実験計画!D27</f>
        <v>0</v>
      </c>
      <c r="N27" s="16" t="n">
        <f aca="false">02_実験計画!E27*02_実験計画!E27</f>
        <v>0</v>
      </c>
      <c r="O27" s="16" t="n">
        <f aca="false">02_実験計画!F27*02_実験計画!F27</f>
        <v>0</v>
      </c>
      <c r="P27" s="16" t="n">
        <f aca="false">02_実験計画!G27*02_実験計画!G27</f>
        <v>1</v>
      </c>
      <c r="Q27" s="15" t="n">
        <f aca="false">02_実験計画!P27*A27</f>
        <v>46.7</v>
      </c>
      <c r="S27" s="30" t="n">
        <f aca="false">IF(A27=1,SUMPRODUCT(MMULT(B27:P27,$B$78:$P$92),B27:P27),0)</f>
        <v>0.485380116959065</v>
      </c>
      <c r="T27" s="16" t="n">
        <f aca="false">IF(A27=1,SUMPRODUCT(B27:P27,$B$96:$P$96),0)</f>
        <v>47.1198830409357</v>
      </c>
      <c r="U27" s="16" t="n">
        <f aca="false">IF(A27=1,Q27-T27,0)</f>
        <v>-0.419883040935645</v>
      </c>
    </row>
    <row r="28" customFormat="false" ht="15" hidden="false" customHeight="false" outlineLevel="0" collapsed="false">
      <c r="A28" s="24" t="n">
        <f aca="false">02_実験計画!C28</f>
        <v>1</v>
      </c>
      <c r="B28" s="16" t="n">
        <f aca="false">$A28</f>
        <v>1</v>
      </c>
      <c r="C28" s="16" t="n">
        <f aca="false">02_実験計画!D28</f>
        <v>0</v>
      </c>
      <c r="D28" s="16" t="n">
        <f aca="false">02_実験計画!E28</f>
        <v>0</v>
      </c>
      <c r="E28" s="16" t="n">
        <f aca="false">02_実験計画!F28</f>
        <v>0</v>
      </c>
      <c r="F28" s="16" t="n">
        <f aca="false">02_実験計画!G28</f>
        <v>1</v>
      </c>
      <c r="G28" s="16" t="n">
        <f aca="false">02_実験計画!D28*02_実験計画!E28</f>
        <v>0</v>
      </c>
      <c r="H28" s="16" t="n">
        <f aca="false">02_実験計画!D28*02_実験計画!F28</f>
        <v>0</v>
      </c>
      <c r="I28" s="16" t="n">
        <f aca="false">02_実験計画!D28*02_実験計画!G28</f>
        <v>0</v>
      </c>
      <c r="J28" s="16" t="n">
        <f aca="false">02_実験計画!E28*02_実験計画!F28</f>
        <v>0</v>
      </c>
      <c r="K28" s="16" t="n">
        <f aca="false">02_実験計画!E28*02_実験計画!G28</f>
        <v>0</v>
      </c>
      <c r="L28" s="16" t="n">
        <f aca="false">02_実験計画!F28*02_実験計画!G28</f>
        <v>0</v>
      </c>
      <c r="M28" s="16" t="n">
        <f aca="false">02_実験計画!D28*02_実験計画!D28</f>
        <v>0</v>
      </c>
      <c r="N28" s="16" t="n">
        <f aca="false">02_実験計画!E28*02_実験計画!E28</f>
        <v>0</v>
      </c>
      <c r="O28" s="16" t="n">
        <f aca="false">02_実験計画!F28*02_実験計画!F28</f>
        <v>0</v>
      </c>
      <c r="P28" s="16" t="n">
        <f aca="false">02_実験計画!G28*02_実験計画!G28</f>
        <v>1</v>
      </c>
      <c r="Q28" s="15" t="n">
        <f aca="false">02_実験計画!P28*A28</f>
        <v>49</v>
      </c>
      <c r="S28" s="30" t="n">
        <f aca="false">IF(A28=1,SUMPRODUCT(MMULT(B28:P28,$B$78:$P$92),B28:P28),0)</f>
        <v>0.485380116959065</v>
      </c>
      <c r="T28" s="16" t="n">
        <f aca="false">IF(A28=1,SUMPRODUCT(B28:P28,$B$96:$P$96),0)</f>
        <v>47.9309941520468</v>
      </c>
      <c r="U28" s="16" t="n">
        <f aca="false">IF(A28=1,Q28-T28,0)</f>
        <v>1.06900584795325</v>
      </c>
    </row>
    <row r="29" customFormat="false" ht="15" hidden="false" customHeight="false" outlineLevel="0" collapsed="false">
      <c r="A29" s="24" t="n">
        <f aca="false">02_実験計画!C29</f>
        <v>1</v>
      </c>
      <c r="B29" s="16" t="n">
        <f aca="false">$A29</f>
        <v>1</v>
      </c>
      <c r="C29" s="16" t="n">
        <f aca="false">02_実験計画!D29</f>
        <v>0</v>
      </c>
      <c r="D29" s="16" t="n">
        <f aca="false">02_実験計画!E29</f>
        <v>0</v>
      </c>
      <c r="E29" s="16" t="n">
        <f aca="false">02_実験計画!F29</f>
        <v>0</v>
      </c>
      <c r="F29" s="16" t="n">
        <f aca="false">02_実験計画!G29</f>
        <v>0</v>
      </c>
      <c r="G29" s="16" t="n">
        <f aca="false">02_実験計画!D29*02_実験計画!E29</f>
        <v>0</v>
      </c>
      <c r="H29" s="16" t="n">
        <f aca="false">02_実験計画!D29*02_実験計画!F29</f>
        <v>0</v>
      </c>
      <c r="I29" s="16" t="n">
        <f aca="false">02_実験計画!D29*02_実験計画!G29</f>
        <v>0</v>
      </c>
      <c r="J29" s="16" t="n">
        <f aca="false">02_実験計画!E29*02_実験計画!F29</f>
        <v>0</v>
      </c>
      <c r="K29" s="16" t="n">
        <f aca="false">02_実験計画!E29*02_実験計画!G29</f>
        <v>0</v>
      </c>
      <c r="L29" s="16" t="n">
        <f aca="false">02_実験計画!F29*02_実験計画!G29</f>
        <v>0</v>
      </c>
      <c r="M29" s="16" t="n">
        <f aca="false">02_実験計画!D29*02_実験計画!D29</f>
        <v>0</v>
      </c>
      <c r="N29" s="16" t="n">
        <f aca="false">02_実験計画!E29*02_実験計画!E29</f>
        <v>0</v>
      </c>
      <c r="O29" s="16" t="n">
        <f aca="false">02_実験計画!F29*02_実験計画!F29</f>
        <v>0</v>
      </c>
      <c r="P29" s="16" t="n">
        <f aca="false">02_実験計画!G29*02_実験計画!G29</f>
        <v>0</v>
      </c>
      <c r="Q29" s="15" t="n">
        <f aca="false">02_実験計画!P29*A29</f>
        <v>48</v>
      </c>
      <c r="S29" s="30" t="n">
        <f aca="false">IF(A29=1,SUMPRODUCT(MMULT(B29:P29,$B$78:$P$92),B29:P29),0)</f>
        <v>0.0964912280701755</v>
      </c>
      <c r="T29" s="16" t="n">
        <f aca="false">IF(A29=1,SUMPRODUCT(B29:P29,$B$96:$P$96),0)</f>
        <v>47.907894736842</v>
      </c>
      <c r="U29" s="16" t="n">
        <f aca="false">IF(A29=1,Q29-T29,0)</f>
        <v>0.0921052631579613</v>
      </c>
    </row>
    <row r="30" customFormat="false" ht="15" hidden="false" customHeight="false" outlineLevel="0" collapsed="false">
      <c r="A30" s="24" t="n">
        <f aca="false">02_実験計画!C30</f>
        <v>1</v>
      </c>
      <c r="B30" s="16" t="n">
        <f aca="false">$A30</f>
        <v>1</v>
      </c>
      <c r="C30" s="16" t="n">
        <f aca="false">02_実験計画!D30</f>
        <v>0</v>
      </c>
      <c r="D30" s="16" t="n">
        <f aca="false">02_実験計画!E30</f>
        <v>0</v>
      </c>
      <c r="E30" s="16" t="n">
        <f aca="false">02_実験計画!F30</f>
        <v>0</v>
      </c>
      <c r="F30" s="16" t="n">
        <f aca="false">02_実験計画!G30</f>
        <v>0</v>
      </c>
      <c r="G30" s="16" t="n">
        <f aca="false">02_実験計画!D30*02_実験計画!E30</f>
        <v>0</v>
      </c>
      <c r="H30" s="16" t="n">
        <f aca="false">02_実験計画!D30*02_実験計画!F30</f>
        <v>0</v>
      </c>
      <c r="I30" s="16" t="n">
        <f aca="false">02_実験計画!D30*02_実験計画!G30</f>
        <v>0</v>
      </c>
      <c r="J30" s="16" t="n">
        <f aca="false">02_実験計画!E30*02_実験計画!F30</f>
        <v>0</v>
      </c>
      <c r="K30" s="16" t="n">
        <f aca="false">02_実験計画!E30*02_実験計画!G30</f>
        <v>0</v>
      </c>
      <c r="L30" s="16" t="n">
        <f aca="false">02_実験計画!F30*02_実験計画!G30</f>
        <v>0</v>
      </c>
      <c r="M30" s="16" t="n">
        <f aca="false">02_実験計画!D30*02_実験計画!D30</f>
        <v>0</v>
      </c>
      <c r="N30" s="16" t="n">
        <f aca="false">02_実験計画!E30*02_実験計画!E30</f>
        <v>0</v>
      </c>
      <c r="O30" s="16" t="n">
        <f aca="false">02_実験計画!F30*02_実験計画!F30</f>
        <v>0</v>
      </c>
      <c r="P30" s="16" t="n">
        <f aca="false">02_実験計画!G30*02_実験計画!G30</f>
        <v>0</v>
      </c>
      <c r="Q30" s="15" t="n">
        <f aca="false">02_実験計画!P30*A30</f>
        <v>47</v>
      </c>
      <c r="S30" s="30" t="n">
        <f aca="false">IF(A30=1,SUMPRODUCT(MMULT(B30:P30,$B$78:$P$92),B30:P30),0)</f>
        <v>0.0964912280701755</v>
      </c>
      <c r="T30" s="16" t="n">
        <f aca="false">IF(A30=1,SUMPRODUCT(B30:P30,$B$96:$P$96),0)</f>
        <v>47.907894736842</v>
      </c>
      <c r="U30" s="16" t="n">
        <f aca="false">IF(A30=1,Q30-T30,0)</f>
        <v>-0.907894736842039</v>
      </c>
    </row>
    <row r="31" customFormat="false" ht="15" hidden="false" customHeight="false" outlineLevel="0" collapsed="false">
      <c r="A31" s="24" t="n">
        <f aca="false">02_実験計画!C31</f>
        <v>1</v>
      </c>
      <c r="B31" s="16" t="n">
        <f aca="false">$A31</f>
        <v>1</v>
      </c>
      <c r="C31" s="16" t="n">
        <f aca="false">02_実験計画!D31</f>
        <v>0</v>
      </c>
      <c r="D31" s="16" t="n">
        <f aca="false">02_実験計画!E31</f>
        <v>0</v>
      </c>
      <c r="E31" s="16" t="n">
        <f aca="false">02_実験計画!F31</f>
        <v>0</v>
      </c>
      <c r="F31" s="16" t="n">
        <f aca="false">02_実験計画!G31</f>
        <v>0</v>
      </c>
      <c r="G31" s="16" t="n">
        <f aca="false">02_実験計画!D31*02_実験計画!E31</f>
        <v>0</v>
      </c>
      <c r="H31" s="16" t="n">
        <f aca="false">02_実験計画!D31*02_実験計画!F31</f>
        <v>0</v>
      </c>
      <c r="I31" s="16" t="n">
        <f aca="false">02_実験計画!D31*02_実験計画!G31</f>
        <v>0</v>
      </c>
      <c r="J31" s="16" t="n">
        <f aca="false">02_実験計画!E31*02_実験計画!F31</f>
        <v>0</v>
      </c>
      <c r="K31" s="16" t="n">
        <f aca="false">02_実験計画!E31*02_実験計画!G31</f>
        <v>0</v>
      </c>
      <c r="L31" s="16" t="n">
        <f aca="false">02_実験計画!F31*02_実験計画!G31</f>
        <v>0</v>
      </c>
      <c r="M31" s="16" t="n">
        <f aca="false">02_実験計画!D31*02_実験計画!D31</f>
        <v>0</v>
      </c>
      <c r="N31" s="16" t="n">
        <f aca="false">02_実験計画!E31*02_実験計画!E31</f>
        <v>0</v>
      </c>
      <c r="O31" s="16" t="n">
        <f aca="false">02_実験計画!F31*02_実験計画!F31</f>
        <v>0</v>
      </c>
      <c r="P31" s="16" t="n">
        <f aca="false">02_実験計画!G31*02_実験計画!G31</f>
        <v>0</v>
      </c>
      <c r="Q31" s="15" t="n">
        <f aca="false">02_実験計画!P31*A31</f>
        <v>47.7</v>
      </c>
      <c r="S31" s="30" t="n">
        <f aca="false">IF(A31=1,SUMPRODUCT(MMULT(B31:P31,$B$78:$P$92),B31:P31),0)</f>
        <v>0.0964912280701755</v>
      </c>
      <c r="T31" s="16" t="n">
        <f aca="false">IF(A31=1,SUMPRODUCT(B31:P31,$B$96:$P$96),0)</f>
        <v>47.907894736842</v>
      </c>
      <c r="U31" s="16" t="n">
        <f aca="false">IF(A31=1,Q31-T31,0)</f>
        <v>-0.207894736842036</v>
      </c>
    </row>
    <row r="32" customFormat="false" ht="15" hidden="false" customHeight="false" outlineLevel="0" collapsed="false">
      <c r="A32" s="24" t="n">
        <f aca="false">02_実験計画!C32</f>
        <v>1</v>
      </c>
      <c r="B32" s="16" t="n">
        <f aca="false">$A32</f>
        <v>1</v>
      </c>
      <c r="C32" s="16" t="n">
        <f aca="false">02_実験計画!D32</f>
        <v>0</v>
      </c>
      <c r="D32" s="16" t="n">
        <f aca="false">02_実験計画!E32</f>
        <v>0</v>
      </c>
      <c r="E32" s="16" t="n">
        <f aca="false">02_実験計画!F32</f>
        <v>0</v>
      </c>
      <c r="F32" s="16" t="n">
        <f aca="false">02_実験計画!G32</f>
        <v>0</v>
      </c>
      <c r="G32" s="16" t="n">
        <f aca="false">02_実験計画!D32*02_実験計画!E32</f>
        <v>0</v>
      </c>
      <c r="H32" s="16" t="n">
        <f aca="false">02_実験計画!D32*02_実験計画!F32</f>
        <v>0</v>
      </c>
      <c r="I32" s="16" t="n">
        <f aca="false">02_実験計画!D32*02_実験計画!G32</f>
        <v>0</v>
      </c>
      <c r="J32" s="16" t="n">
        <f aca="false">02_実験計画!E32*02_実験計画!F32</f>
        <v>0</v>
      </c>
      <c r="K32" s="16" t="n">
        <f aca="false">02_実験計画!E32*02_実験計画!G32</f>
        <v>0</v>
      </c>
      <c r="L32" s="16" t="n">
        <f aca="false">02_実験計画!F32*02_実験計画!G32</f>
        <v>0</v>
      </c>
      <c r="M32" s="16" t="n">
        <f aca="false">02_実験計画!D32*02_実験計画!D32</f>
        <v>0</v>
      </c>
      <c r="N32" s="16" t="n">
        <f aca="false">02_実験計画!E32*02_実験計画!E32</f>
        <v>0</v>
      </c>
      <c r="O32" s="16" t="n">
        <f aca="false">02_実験計画!F32*02_実験計画!F32</f>
        <v>0</v>
      </c>
      <c r="P32" s="16" t="n">
        <f aca="false">02_実験計画!G32*02_実験計画!G32</f>
        <v>0</v>
      </c>
      <c r="Q32" s="15" t="n">
        <f aca="false">02_実験計画!P32*A32</f>
        <v>46.4</v>
      </c>
      <c r="S32" s="30" t="n">
        <f aca="false">IF(A32=1,SUMPRODUCT(MMULT(B32:P32,$B$78:$P$92),B32:P32),0)</f>
        <v>0.0964912280701755</v>
      </c>
      <c r="T32" s="16" t="n">
        <f aca="false">IF(A32=1,SUMPRODUCT(B32:P32,$B$96:$P$96),0)</f>
        <v>47.907894736842</v>
      </c>
      <c r="U32" s="16" t="n">
        <f aca="false">IF(A32=1,Q32-T32,0)</f>
        <v>-1.50789473684204</v>
      </c>
    </row>
    <row r="33" customFormat="false" ht="15" hidden="false" customHeight="false" outlineLevel="0" collapsed="false">
      <c r="A33" s="24" t="n">
        <f aca="false">02_実験計画!C33</f>
        <v>1</v>
      </c>
      <c r="B33" s="16" t="n">
        <f aca="false">$A33</f>
        <v>1</v>
      </c>
      <c r="C33" s="16" t="n">
        <f aca="false">02_実験計画!D33</f>
        <v>0</v>
      </c>
      <c r="D33" s="16" t="n">
        <f aca="false">02_実験計画!E33</f>
        <v>0</v>
      </c>
      <c r="E33" s="16" t="n">
        <f aca="false">02_実験計画!F33</f>
        <v>0</v>
      </c>
      <c r="F33" s="16" t="n">
        <f aca="false">02_実験計画!G33</f>
        <v>0</v>
      </c>
      <c r="G33" s="16" t="n">
        <f aca="false">02_実験計画!D33*02_実験計画!E33</f>
        <v>0</v>
      </c>
      <c r="H33" s="16" t="n">
        <f aca="false">02_実験計画!D33*02_実験計画!F33</f>
        <v>0</v>
      </c>
      <c r="I33" s="16" t="n">
        <f aca="false">02_実験計画!D33*02_実験計画!G33</f>
        <v>0</v>
      </c>
      <c r="J33" s="16" t="n">
        <f aca="false">02_実験計画!E33*02_実験計画!F33</f>
        <v>0</v>
      </c>
      <c r="K33" s="16" t="n">
        <f aca="false">02_実験計画!E33*02_実験計画!G33</f>
        <v>0</v>
      </c>
      <c r="L33" s="16" t="n">
        <f aca="false">02_実験計画!F33*02_実験計画!G33</f>
        <v>0</v>
      </c>
      <c r="M33" s="16" t="n">
        <f aca="false">02_実験計画!D33*02_実験計画!D33</f>
        <v>0</v>
      </c>
      <c r="N33" s="16" t="n">
        <f aca="false">02_実験計画!E33*02_実験計画!E33</f>
        <v>0</v>
      </c>
      <c r="O33" s="16" t="n">
        <f aca="false">02_実験計画!F33*02_実験計画!F33</f>
        <v>0</v>
      </c>
      <c r="P33" s="16" t="n">
        <f aca="false">02_実験計画!G33*02_実験計画!G33</f>
        <v>0</v>
      </c>
      <c r="Q33" s="15" t="n">
        <f aca="false">02_実験計画!P33*A33</f>
        <v>48.7</v>
      </c>
      <c r="S33" s="30" t="n">
        <f aca="false">IF(A33=1,SUMPRODUCT(MMULT(B33:P33,$B$78:$P$92),B33:P33),0)</f>
        <v>0.0964912280701755</v>
      </c>
      <c r="T33" s="16" t="n">
        <f aca="false">IF(A33=1,SUMPRODUCT(B33:P33,$B$96:$P$96),0)</f>
        <v>47.907894736842</v>
      </c>
      <c r="U33" s="16" t="n">
        <f aca="false">IF(A33=1,Q33-T33,0)</f>
        <v>0.792105263157964</v>
      </c>
    </row>
    <row r="34" customFormat="false" ht="15" hidden="false" customHeight="false" outlineLevel="0" collapsed="false">
      <c r="A34" s="24" t="n">
        <f aca="false">02_実験計画!C34</f>
        <v>1</v>
      </c>
      <c r="B34" s="16" t="n">
        <f aca="false">$A34</f>
        <v>1</v>
      </c>
      <c r="C34" s="16" t="n">
        <f aca="false">02_実験計画!D34</f>
        <v>0</v>
      </c>
      <c r="D34" s="16" t="n">
        <f aca="false">02_実験計画!E34</f>
        <v>0</v>
      </c>
      <c r="E34" s="16" t="n">
        <f aca="false">02_実験計画!F34</f>
        <v>0</v>
      </c>
      <c r="F34" s="16" t="n">
        <f aca="false">02_実験計画!G34</f>
        <v>0</v>
      </c>
      <c r="G34" s="16" t="n">
        <f aca="false">02_実験計画!D34*02_実験計画!E34</f>
        <v>0</v>
      </c>
      <c r="H34" s="16" t="n">
        <f aca="false">02_実験計画!D34*02_実験計画!F34</f>
        <v>0</v>
      </c>
      <c r="I34" s="16" t="n">
        <f aca="false">02_実験計画!D34*02_実験計画!G34</f>
        <v>0</v>
      </c>
      <c r="J34" s="16" t="n">
        <f aca="false">02_実験計画!E34*02_実験計画!F34</f>
        <v>0</v>
      </c>
      <c r="K34" s="16" t="n">
        <f aca="false">02_実験計画!E34*02_実験計画!G34</f>
        <v>0</v>
      </c>
      <c r="L34" s="16" t="n">
        <f aca="false">02_実験計画!F34*02_実験計画!G34</f>
        <v>0</v>
      </c>
      <c r="M34" s="16" t="n">
        <f aca="false">02_実験計画!D34*02_実験計画!D34</f>
        <v>0</v>
      </c>
      <c r="N34" s="16" t="n">
        <f aca="false">02_実験計画!E34*02_実験計画!E34</f>
        <v>0</v>
      </c>
      <c r="O34" s="16" t="n">
        <f aca="false">02_実験計画!F34*02_実験計画!F34</f>
        <v>0</v>
      </c>
      <c r="P34" s="16" t="n">
        <f aca="false">02_実験計画!G34*02_実験計画!G34</f>
        <v>0</v>
      </c>
      <c r="Q34" s="15" t="n">
        <f aca="false">02_実験計画!P34*A34</f>
        <v>47.7</v>
      </c>
      <c r="S34" s="30" t="n">
        <f aca="false">IF(A34=1,SUMPRODUCT(MMULT(B34:P34,$B$78:$P$92),B34:P34),0)</f>
        <v>0.0964912280701755</v>
      </c>
      <c r="T34" s="16" t="n">
        <f aca="false">IF(A34=1,SUMPRODUCT(B34:P34,$B$96:$P$96),0)</f>
        <v>47.907894736842</v>
      </c>
      <c r="U34" s="16" t="n">
        <f aca="false">IF(A34=1,Q34-T34,0)</f>
        <v>-0.207894736842036</v>
      </c>
    </row>
    <row r="35" customFormat="false" ht="15" hidden="false" customHeight="false" outlineLevel="0" collapsed="false">
      <c r="A35" s="24" t="n">
        <f aca="false">02_実験計画!C35</f>
        <v>0</v>
      </c>
      <c r="B35" s="16" t="n">
        <f aca="false">$A35</f>
        <v>0</v>
      </c>
      <c r="C35" s="16" t="n">
        <f aca="false">02_実験計画!D35</f>
        <v>0</v>
      </c>
      <c r="D35" s="16" t="n">
        <f aca="false">02_実験計画!E35</f>
        <v>0</v>
      </c>
      <c r="E35" s="16" t="n">
        <f aca="false">02_実験計画!F35</f>
        <v>0</v>
      </c>
      <c r="F35" s="16" t="n">
        <f aca="false">02_実験計画!G35</f>
        <v>0</v>
      </c>
      <c r="G35" s="16" t="n">
        <f aca="false">02_実験計画!D35*02_実験計画!E35</f>
        <v>0</v>
      </c>
      <c r="H35" s="16" t="n">
        <f aca="false">02_実験計画!D35*02_実験計画!F35</f>
        <v>0</v>
      </c>
      <c r="I35" s="16" t="n">
        <f aca="false">02_実験計画!D35*02_実験計画!G35</f>
        <v>0</v>
      </c>
      <c r="J35" s="16" t="n">
        <f aca="false">02_実験計画!E35*02_実験計画!F35</f>
        <v>0</v>
      </c>
      <c r="K35" s="16" t="n">
        <f aca="false">02_実験計画!E35*02_実験計画!G35</f>
        <v>0</v>
      </c>
      <c r="L35" s="16" t="n">
        <f aca="false">02_実験計画!F35*02_実験計画!G35</f>
        <v>0</v>
      </c>
      <c r="M35" s="16" t="n">
        <f aca="false">02_実験計画!D35*02_実験計画!D35</f>
        <v>0</v>
      </c>
      <c r="N35" s="16" t="n">
        <f aca="false">02_実験計画!E35*02_実験計画!E35</f>
        <v>0</v>
      </c>
      <c r="O35" s="16" t="n">
        <f aca="false">02_実験計画!F35*02_実験計画!F35</f>
        <v>0</v>
      </c>
      <c r="P35" s="16" t="n">
        <f aca="false">02_実験計画!G35*02_実験計画!G35</f>
        <v>0</v>
      </c>
      <c r="Q35" s="15" t="n">
        <f aca="false">02_実験計画!P35*A35</f>
        <v>0</v>
      </c>
      <c r="S35" s="30" t="n">
        <f aca="false">IF(A35=1,SUMPRODUCT(MMULT(B35:P35,$B$78:$P$92),B35:P35),0)</f>
        <v>0</v>
      </c>
      <c r="T35" s="16" t="n">
        <f aca="false">IF(A35=1,SUMPRODUCT(B35:P35,$B$96:$P$96),0)</f>
        <v>0</v>
      </c>
      <c r="U35" s="16" t="n">
        <f aca="false">IF(A35=1,Q35-T35,0)</f>
        <v>0</v>
      </c>
    </row>
    <row r="36" customFormat="false" ht="15" hidden="false" customHeight="false" outlineLevel="0" collapsed="false">
      <c r="A36" s="24" t="n">
        <f aca="false">02_実験計画!C36</f>
        <v>0</v>
      </c>
      <c r="B36" s="16" t="n">
        <f aca="false">$A36</f>
        <v>0</v>
      </c>
      <c r="C36" s="16" t="n">
        <f aca="false">02_実験計画!D36</f>
        <v>0</v>
      </c>
      <c r="D36" s="16" t="n">
        <f aca="false">02_実験計画!E36</f>
        <v>0</v>
      </c>
      <c r="E36" s="16" t="n">
        <f aca="false">02_実験計画!F36</f>
        <v>0</v>
      </c>
      <c r="F36" s="16" t="n">
        <f aca="false">02_実験計画!G36</f>
        <v>0</v>
      </c>
      <c r="G36" s="16" t="n">
        <f aca="false">02_実験計画!D36*02_実験計画!E36</f>
        <v>0</v>
      </c>
      <c r="H36" s="16" t="n">
        <f aca="false">02_実験計画!D36*02_実験計画!F36</f>
        <v>0</v>
      </c>
      <c r="I36" s="16" t="n">
        <f aca="false">02_実験計画!D36*02_実験計画!G36</f>
        <v>0</v>
      </c>
      <c r="J36" s="16" t="n">
        <f aca="false">02_実験計画!E36*02_実験計画!F36</f>
        <v>0</v>
      </c>
      <c r="K36" s="16" t="n">
        <f aca="false">02_実験計画!E36*02_実験計画!G36</f>
        <v>0</v>
      </c>
      <c r="L36" s="16" t="n">
        <f aca="false">02_実験計画!F36*02_実験計画!G36</f>
        <v>0</v>
      </c>
      <c r="M36" s="16" t="n">
        <f aca="false">02_実験計画!D36*02_実験計画!D36</f>
        <v>0</v>
      </c>
      <c r="N36" s="16" t="n">
        <f aca="false">02_実験計画!E36*02_実験計画!E36</f>
        <v>0</v>
      </c>
      <c r="O36" s="16" t="n">
        <f aca="false">02_実験計画!F36*02_実験計画!F36</f>
        <v>0</v>
      </c>
      <c r="P36" s="16" t="n">
        <f aca="false">02_実験計画!G36*02_実験計画!G36</f>
        <v>0</v>
      </c>
      <c r="Q36" s="15" t="n">
        <f aca="false">02_実験計画!P36*A36</f>
        <v>0</v>
      </c>
      <c r="S36" s="30" t="n">
        <f aca="false">IF(A36=1,SUMPRODUCT(MMULT(B36:P36,$B$78:$P$92),B36:P36),0)</f>
        <v>0</v>
      </c>
      <c r="T36" s="16" t="n">
        <f aca="false">IF(A36=1,SUMPRODUCT(B36:P36,$B$96:$P$96),0)</f>
        <v>0</v>
      </c>
      <c r="U36" s="16" t="n">
        <f aca="false">IF(A36=1,Q36-T36,0)</f>
        <v>0</v>
      </c>
    </row>
    <row r="37" customFormat="false" ht="15" hidden="false" customHeight="false" outlineLevel="0" collapsed="false">
      <c r="A37" s="24" t="n">
        <f aca="false">02_実験計画!C37</f>
        <v>0</v>
      </c>
      <c r="B37" s="16" t="n">
        <f aca="false">$A37</f>
        <v>0</v>
      </c>
      <c r="C37" s="16" t="n">
        <f aca="false">02_実験計画!D37</f>
        <v>0</v>
      </c>
      <c r="D37" s="16" t="n">
        <f aca="false">02_実験計画!E37</f>
        <v>0</v>
      </c>
      <c r="E37" s="16" t="n">
        <f aca="false">02_実験計画!F37</f>
        <v>0</v>
      </c>
      <c r="F37" s="16" t="n">
        <f aca="false">02_実験計画!G37</f>
        <v>0</v>
      </c>
      <c r="G37" s="16" t="n">
        <f aca="false">02_実験計画!D37*02_実験計画!E37</f>
        <v>0</v>
      </c>
      <c r="H37" s="16" t="n">
        <f aca="false">02_実験計画!D37*02_実験計画!F37</f>
        <v>0</v>
      </c>
      <c r="I37" s="16" t="n">
        <f aca="false">02_実験計画!D37*02_実験計画!G37</f>
        <v>0</v>
      </c>
      <c r="J37" s="16" t="n">
        <f aca="false">02_実験計画!E37*02_実験計画!F37</f>
        <v>0</v>
      </c>
      <c r="K37" s="16" t="n">
        <f aca="false">02_実験計画!E37*02_実験計画!G37</f>
        <v>0</v>
      </c>
      <c r="L37" s="16" t="n">
        <f aca="false">02_実験計画!F37*02_実験計画!G37</f>
        <v>0</v>
      </c>
      <c r="M37" s="16" t="n">
        <f aca="false">02_実験計画!D37*02_実験計画!D37</f>
        <v>0</v>
      </c>
      <c r="N37" s="16" t="n">
        <f aca="false">02_実験計画!E37*02_実験計画!E37</f>
        <v>0</v>
      </c>
      <c r="O37" s="16" t="n">
        <f aca="false">02_実験計画!F37*02_実験計画!F37</f>
        <v>0</v>
      </c>
      <c r="P37" s="16" t="n">
        <f aca="false">02_実験計画!G37*02_実験計画!G37</f>
        <v>0</v>
      </c>
      <c r="Q37" s="15" t="n">
        <f aca="false">02_実験計画!P37*A37</f>
        <v>0</v>
      </c>
      <c r="S37" s="30" t="n">
        <f aca="false">IF(A37=1,SUMPRODUCT(MMULT(B37:P37,$B$78:$P$92),B37:P37),0)</f>
        <v>0</v>
      </c>
      <c r="T37" s="16" t="n">
        <f aca="false">IF(A37=1,SUMPRODUCT(B37:P37,$B$96:$P$96),0)</f>
        <v>0</v>
      </c>
      <c r="U37" s="16" t="n">
        <f aca="false">IF(A37=1,Q37-T37,0)</f>
        <v>0</v>
      </c>
    </row>
    <row r="38" customFormat="false" ht="15" hidden="false" customHeight="false" outlineLevel="0" collapsed="false">
      <c r="A38" s="24" t="n">
        <f aca="false">02_実験計画!C38</f>
        <v>0</v>
      </c>
      <c r="B38" s="16" t="n">
        <f aca="false">$A38</f>
        <v>0</v>
      </c>
      <c r="C38" s="16" t="n">
        <f aca="false">02_実験計画!D38</f>
        <v>0</v>
      </c>
      <c r="D38" s="16" t="n">
        <f aca="false">02_実験計画!E38</f>
        <v>0</v>
      </c>
      <c r="E38" s="16" t="n">
        <f aca="false">02_実験計画!F38</f>
        <v>0</v>
      </c>
      <c r="F38" s="16" t="n">
        <f aca="false">02_実験計画!G38</f>
        <v>0</v>
      </c>
      <c r="G38" s="16" t="n">
        <f aca="false">02_実験計画!D38*02_実験計画!E38</f>
        <v>0</v>
      </c>
      <c r="H38" s="16" t="n">
        <f aca="false">02_実験計画!D38*02_実験計画!F38</f>
        <v>0</v>
      </c>
      <c r="I38" s="16" t="n">
        <f aca="false">02_実験計画!D38*02_実験計画!G38</f>
        <v>0</v>
      </c>
      <c r="J38" s="16" t="n">
        <f aca="false">02_実験計画!E38*02_実験計画!F38</f>
        <v>0</v>
      </c>
      <c r="K38" s="16" t="n">
        <f aca="false">02_実験計画!E38*02_実験計画!G38</f>
        <v>0</v>
      </c>
      <c r="L38" s="16" t="n">
        <f aca="false">02_実験計画!F38*02_実験計画!G38</f>
        <v>0</v>
      </c>
      <c r="M38" s="16" t="n">
        <f aca="false">02_実験計画!D38*02_実験計画!D38</f>
        <v>0</v>
      </c>
      <c r="N38" s="16" t="n">
        <f aca="false">02_実験計画!E38*02_実験計画!E38</f>
        <v>0</v>
      </c>
      <c r="O38" s="16" t="n">
        <f aca="false">02_実験計画!F38*02_実験計画!F38</f>
        <v>0</v>
      </c>
      <c r="P38" s="16" t="n">
        <f aca="false">02_実験計画!G38*02_実験計画!G38</f>
        <v>0</v>
      </c>
      <c r="Q38" s="15" t="n">
        <f aca="false">02_実験計画!P38*A38</f>
        <v>0</v>
      </c>
      <c r="S38" s="30" t="n">
        <f aca="false">IF(A38=1,SUMPRODUCT(MMULT(B38:P38,$B$78:$P$92),B38:P38),0)</f>
        <v>0</v>
      </c>
      <c r="T38" s="16" t="n">
        <f aca="false">IF(A38=1,SUMPRODUCT(B38:P38,$B$96:$P$96),0)</f>
        <v>0</v>
      </c>
      <c r="U38" s="16" t="n">
        <f aca="false">IF(A38=1,Q38-T38,0)</f>
        <v>0</v>
      </c>
    </row>
    <row r="41" customFormat="false" ht="15" hidden="false" customHeight="false" outlineLevel="0" collapsed="false">
      <c r="A41" s="38" t="s">
        <v>295</v>
      </c>
      <c r="R41" s="38" t="s">
        <v>296</v>
      </c>
    </row>
    <row r="42" customFormat="false" ht="15" hidden="false" customHeight="false" outlineLevel="0" collapsed="false">
      <c r="B42" s="15" t="n">
        <f aca="false">IF(AND(B$3=1,B$3=1),SUMPRODUCT(B$5:B$38,B$5:B$38),1)</f>
        <v>30</v>
      </c>
      <c r="C42" s="15" t="n">
        <f aca="false">IF(AND(B$3=1,C$3=1),SUMPRODUCT(B$5:B$38,C$5:C$38),0)</f>
        <v>0</v>
      </c>
      <c r="D42" s="15" t="n">
        <f aca="false">IF(AND(B$3=1,D$3=1),SUMPRODUCT(B$5:B$38,D$5:D$38),0)</f>
        <v>0</v>
      </c>
      <c r="E42" s="15" t="n">
        <f aca="false">IF(AND(B$3=1,E$3=1),SUMPRODUCT(B$5:B$38,E$5:E$38),0)</f>
        <v>0</v>
      </c>
      <c r="F42" s="15" t="n">
        <f aca="false">IF(AND(B$3=1,F$3=1),SUMPRODUCT(B$5:B$38,F$5:F$38),0)</f>
        <v>0</v>
      </c>
      <c r="G42" s="15" t="n">
        <f aca="false">IF(AND(B$3=1,G$3=1),SUMPRODUCT(B$5:B$38,G$5:G$38),0)</f>
        <v>0</v>
      </c>
      <c r="H42" s="15" t="n">
        <f aca="false">IF(AND(B$3=1,H$3=1),SUMPRODUCT(B$5:B$38,H$5:H$38),0)</f>
        <v>0</v>
      </c>
      <c r="I42" s="15" t="n">
        <f aca="false">IF(AND(B$3=1,I$3=1),SUMPRODUCT(B$5:B$38,I$5:I$38),0)</f>
        <v>0</v>
      </c>
      <c r="J42" s="15" t="n">
        <f aca="false">IF(AND(B$3=1,J$3=1),SUMPRODUCT(B$5:B$38,J$5:J$38),0)</f>
        <v>0</v>
      </c>
      <c r="K42" s="15" t="n">
        <f aca="false">IF(AND(B$3=1,K$3=1),SUMPRODUCT(B$5:B$38,K$5:K$38),0)</f>
        <v>0</v>
      </c>
      <c r="L42" s="15" t="n">
        <f aca="false">IF(AND(B$3=1,L$3=1),SUMPRODUCT(B$5:B$38,L$5:L$38),0)</f>
        <v>0</v>
      </c>
      <c r="M42" s="15" t="n">
        <f aca="false">IF(AND(B$3=1,M$3=1),SUMPRODUCT(B$5:B$38,M$5:M$38),0)</f>
        <v>18</v>
      </c>
      <c r="N42" s="15" t="n">
        <f aca="false">IF(AND(B$3=1,N$3=1),SUMPRODUCT(B$5:B$38,N$5:N$38),0)</f>
        <v>18</v>
      </c>
      <c r="O42" s="15" t="n">
        <f aca="false">IF(AND(B$3=1,O$3=1),SUMPRODUCT(B$5:B$38,O$5:O$38),0)</f>
        <v>18</v>
      </c>
      <c r="P42" s="15" t="n">
        <f aca="false">IF(AND(B$3=1,P$3=1),SUMPRODUCT(B$5:B$38,P$5:P$38),0)</f>
        <v>18</v>
      </c>
      <c r="R42" s="16" t="n">
        <f aca="false">IF(B$3=1,SUMPRODUCT(B$5:B$38,$Q$5:$Q$38),0)</f>
        <v>1325.1</v>
      </c>
    </row>
    <row r="43" customFormat="false" ht="15" hidden="false" customHeight="false" outlineLevel="0" collapsed="false">
      <c r="B43" s="15" t="n">
        <f aca="false">IF(AND(C$3=1,B$3=1),SUMPRODUCT(C$5:C$38,B$5:B$38),0)</f>
        <v>0</v>
      </c>
      <c r="C43" s="15" t="n">
        <f aca="false">IF(AND(C$3=1,C$3=1),SUMPRODUCT(C$5:C$38,C$5:C$38),1)</f>
        <v>18</v>
      </c>
      <c r="D43" s="15" t="n">
        <f aca="false">IF(AND(C$3=1,D$3=1),SUMPRODUCT(C$5:C$38,D$5:D$38),0)</f>
        <v>0</v>
      </c>
      <c r="E43" s="15" t="n">
        <f aca="false">IF(AND(C$3=1,E$3=1),SUMPRODUCT(C$5:C$38,E$5:E$38),0)</f>
        <v>0</v>
      </c>
      <c r="F43" s="15" t="n">
        <f aca="false">IF(AND(C$3=1,F$3=1),SUMPRODUCT(C$5:C$38,F$5:F$38),0)</f>
        <v>0</v>
      </c>
      <c r="G43" s="15" t="n">
        <f aca="false">IF(AND(C$3=1,G$3=1),SUMPRODUCT(C$5:C$38,G$5:G$38),0)</f>
        <v>0</v>
      </c>
      <c r="H43" s="15" t="n">
        <f aca="false">IF(AND(C$3=1,H$3=1),SUMPRODUCT(C$5:C$38,H$5:H$38),0)</f>
        <v>0</v>
      </c>
      <c r="I43" s="15" t="n">
        <f aca="false">IF(AND(C$3=1,I$3=1),SUMPRODUCT(C$5:C$38,I$5:I$38),0)</f>
        <v>0</v>
      </c>
      <c r="J43" s="15" t="n">
        <f aca="false">IF(AND(C$3=1,J$3=1),SUMPRODUCT(C$5:C$38,J$5:J$38),0)</f>
        <v>0</v>
      </c>
      <c r="K43" s="15" t="n">
        <f aca="false">IF(AND(C$3=1,K$3=1),SUMPRODUCT(C$5:C$38,K$5:K$38),0)</f>
        <v>0</v>
      </c>
      <c r="L43" s="15" t="n">
        <f aca="false">IF(AND(C$3=1,L$3=1),SUMPRODUCT(C$5:C$38,L$5:L$38),0)</f>
        <v>0</v>
      </c>
      <c r="M43" s="15" t="n">
        <f aca="false">IF(AND(C$3=1,M$3=1),SUMPRODUCT(C$5:C$38,M$5:M$38),0)</f>
        <v>0</v>
      </c>
      <c r="N43" s="15" t="n">
        <f aca="false">IF(AND(C$3=1,N$3=1),SUMPRODUCT(C$5:C$38,N$5:N$38),0)</f>
        <v>0</v>
      </c>
      <c r="O43" s="15" t="n">
        <f aca="false">IF(AND(C$3=1,O$3=1),SUMPRODUCT(C$5:C$38,O$5:O$38),0)</f>
        <v>0</v>
      </c>
      <c r="P43" s="15" t="n">
        <f aca="false">IF(AND(C$3=1,P$3=1),SUMPRODUCT(C$5:C$38,P$5:P$38),0)</f>
        <v>0</v>
      </c>
      <c r="R43" s="16" t="n">
        <f aca="false">IF(C$3=1,SUMPRODUCT(C$5:C$38,$Q$5:$Q$38),0)</f>
        <v>36.1</v>
      </c>
    </row>
    <row r="44" customFormat="false" ht="15" hidden="false" customHeight="false" outlineLevel="0" collapsed="false">
      <c r="B44" s="15" t="n">
        <f aca="false">IF(AND(D$3=1,B$3=1),SUMPRODUCT(D$5:D$38,B$5:B$38),0)</f>
        <v>0</v>
      </c>
      <c r="C44" s="15" t="n">
        <f aca="false">IF(AND(D$3=1,C$3=1),SUMPRODUCT(D$5:D$38,C$5:C$38),0)</f>
        <v>0</v>
      </c>
      <c r="D44" s="15" t="n">
        <f aca="false">IF(AND(D$3=1,D$3=1),SUMPRODUCT(D$5:D$38,D$5:D$38),1)</f>
        <v>18</v>
      </c>
      <c r="E44" s="15" t="n">
        <f aca="false">IF(AND(D$3=1,E$3=1),SUMPRODUCT(D$5:D$38,E$5:E$38),0)</f>
        <v>0</v>
      </c>
      <c r="F44" s="15" t="n">
        <f aca="false">IF(AND(D$3=1,F$3=1),SUMPRODUCT(D$5:D$38,F$5:F$38),0)</f>
        <v>0</v>
      </c>
      <c r="G44" s="15" t="n">
        <f aca="false">IF(AND(D$3=1,G$3=1),SUMPRODUCT(D$5:D$38,G$5:G$38),0)</f>
        <v>0</v>
      </c>
      <c r="H44" s="15" t="n">
        <f aca="false">IF(AND(D$3=1,H$3=1),SUMPRODUCT(D$5:D$38,H$5:H$38),0)</f>
        <v>0</v>
      </c>
      <c r="I44" s="15" t="n">
        <f aca="false">IF(AND(D$3=1,I$3=1),SUMPRODUCT(D$5:D$38,I$5:I$38),0)</f>
        <v>0</v>
      </c>
      <c r="J44" s="15" t="n">
        <f aca="false">IF(AND(D$3=1,J$3=1),SUMPRODUCT(D$5:D$38,J$5:J$38),0)</f>
        <v>0</v>
      </c>
      <c r="K44" s="15" t="n">
        <f aca="false">IF(AND(D$3=1,K$3=1),SUMPRODUCT(D$5:D$38,K$5:K$38),0)</f>
        <v>0</v>
      </c>
      <c r="L44" s="15" t="n">
        <f aca="false">IF(AND(D$3=1,L$3=1),SUMPRODUCT(D$5:D$38,L$5:L$38),0)</f>
        <v>0</v>
      </c>
      <c r="M44" s="15" t="n">
        <f aca="false">IF(AND(D$3=1,M$3=1),SUMPRODUCT(D$5:D$38,M$5:M$38),0)</f>
        <v>0</v>
      </c>
      <c r="N44" s="15" t="n">
        <f aca="false">IF(AND(D$3=1,N$3=1),SUMPRODUCT(D$5:D$38,N$5:N$38),0)</f>
        <v>0</v>
      </c>
      <c r="O44" s="15" t="n">
        <f aca="false">IF(AND(D$3=1,O$3=1),SUMPRODUCT(D$5:D$38,O$5:O$38),0)</f>
        <v>0</v>
      </c>
      <c r="P44" s="15" t="n">
        <f aca="false">IF(AND(D$3=1,P$3=1),SUMPRODUCT(D$5:D$38,P$5:P$38),0)</f>
        <v>0</v>
      </c>
      <c r="R44" s="16" t="n">
        <f aca="false">IF(D$3=1,SUMPRODUCT(D$5:D$38,$Q$5:$Q$38),0)</f>
        <v>37.7</v>
      </c>
    </row>
    <row r="45" customFormat="false" ht="15" hidden="false" customHeight="false" outlineLevel="0" collapsed="false">
      <c r="B45" s="15" t="n">
        <f aca="false">IF(AND(E$3=1,B$3=1),SUMPRODUCT(E$5:E$38,B$5:B$38),0)</f>
        <v>0</v>
      </c>
      <c r="C45" s="15" t="n">
        <f aca="false">IF(AND(E$3=1,C$3=1),SUMPRODUCT(E$5:E$38,C$5:C$38),0)</f>
        <v>0</v>
      </c>
      <c r="D45" s="15" t="n">
        <f aca="false">IF(AND(E$3=1,D$3=1),SUMPRODUCT(E$5:E$38,D$5:D$38),0)</f>
        <v>0</v>
      </c>
      <c r="E45" s="15" t="n">
        <f aca="false">IF(AND(E$3=1,E$3=1),SUMPRODUCT(E$5:E$38,E$5:E$38),1)</f>
        <v>18</v>
      </c>
      <c r="F45" s="15" t="n">
        <f aca="false">IF(AND(E$3=1,F$3=1),SUMPRODUCT(E$5:E$38,F$5:F$38),0)</f>
        <v>0</v>
      </c>
      <c r="G45" s="15" t="n">
        <f aca="false">IF(AND(E$3=1,G$3=1),SUMPRODUCT(E$5:E$38,G$5:G$38),0)</f>
        <v>0</v>
      </c>
      <c r="H45" s="15" t="n">
        <f aca="false">IF(AND(E$3=1,H$3=1),SUMPRODUCT(E$5:E$38,H$5:H$38),0)</f>
        <v>0</v>
      </c>
      <c r="I45" s="15" t="n">
        <f aca="false">IF(AND(E$3=1,I$3=1),SUMPRODUCT(E$5:E$38,I$5:I$38),0)</f>
        <v>0</v>
      </c>
      <c r="J45" s="15" t="n">
        <f aca="false">IF(AND(E$3=1,J$3=1),SUMPRODUCT(E$5:E$38,J$5:J$38),0)</f>
        <v>0</v>
      </c>
      <c r="K45" s="15" t="n">
        <f aca="false">IF(AND(E$3=1,K$3=1),SUMPRODUCT(E$5:E$38,K$5:K$38),0)</f>
        <v>0</v>
      </c>
      <c r="L45" s="15" t="n">
        <f aca="false">IF(AND(E$3=1,L$3=1),SUMPRODUCT(E$5:E$38,L$5:L$38),0)</f>
        <v>0</v>
      </c>
      <c r="M45" s="15" t="n">
        <f aca="false">IF(AND(E$3=1,M$3=1),SUMPRODUCT(E$5:E$38,M$5:M$38),0)</f>
        <v>0</v>
      </c>
      <c r="N45" s="15" t="n">
        <f aca="false">IF(AND(E$3=1,N$3=1),SUMPRODUCT(E$5:E$38,N$5:N$38),0)</f>
        <v>0</v>
      </c>
      <c r="O45" s="15" t="n">
        <f aca="false">IF(AND(E$3=1,O$3=1),SUMPRODUCT(E$5:E$38,O$5:O$38),0)</f>
        <v>0</v>
      </c>
      <c r="P45" s="15" t="n">
        <f aca="false">IF(AND(E$3=1,P$3=1),SUMPRODUCT(E$5:E$38,P$5:P$38),0)</f>
        <v>0</v>
      </c>
      <c r="R45" s="16" t="n">
        <f aca="false">IF(E$3=1,SUMPRODUCT(E$5:E$38,$Q$5:$Q$38),0)</f>
        <v>17.7</v>
      </c>
    </row>
    <row r="46" customFormat="false" ht="15" hidden="false" customHeight="false" outlineLevel="0" collapsed="false">
      <c r="B46" s="15" t="n">
        <f aca="false">IF(AND(F$3=1,B$3=1),SUMPRODUCT(F$5:F$38,B$5:B$38),0)</f>
        <v>0</v>
      </c>
      <c r="C46" s="15" t="n">
        <f aca="false">IF(AND(F$3=1,C$3=1),SUMPRODUCT(F$5:F$38,C$5:C$38),0)</f>
        <v>0</v>
      </c>
      <c r="D46" s="15" t="n">
        <f aca="false">IF(AND(F$3=1,D$3=1),SUMPRODUCT(F$5:F$38,D$5:D$38),0)</f>
        <v>0</v>
      </c>
      <c r="E46" s="15" t="n">
        <f aca="false">IF(AND(F$3=1,E$3=1),SUMPRODUCT(F$5:F$38,E$5:E$38),0)</f>
        <v>0</v>
      </c>
      <c r="F46" s="15" t="n">
        <f aca="false">IF(AND(F$3=1,F$3=1),SUMPRODUCT(F$5:F$38,F$5:F$38),1)</f>
        <v>18</v>
      </c>
      <c r="G46" s="15" t="n">
        <f aca="false">IF(AND(F$3=1,G$3=1),SUMPRODUCT(F$5:F$38,G$5:G$38),0)</f>
        <v>0</v>
      </c>
      <c r="H46" s="15" t="n">
        <f aca="false">IF(AND(F$3=1,H$3=1),SUMPRODUCT(F$5:F$38,H$5:H$38),0)</f>
        <v>0</v>
      </c>
      <c r="I46" s="15" t="n">
        <f aca="false">IF(AND(F$3=1,I$3=1),SUMPRODUCT(F$5:F$38,I$5:I$38),0)</f>
        <v>0</v>
      </c>
      <c r="J46" s="15" t="n">
        <f aca="false">IF(AND(F$3=1,J$3=1),SUMPRODUCT(F$5:F$38,J$5:J$38),0)</f>
        <v>0</v>
      </c>
      <c r="K46" s="15" t="n">
        <f aca="false">IF(AND(F$3=1,K$3=1),SUMPRODUCT(F$5:F$38,K$5:K$38),0)</f>
        <v>0</v>
      </c>
      <c r="L46" s="15" t="n">
        <f aca="false">IF(AND(F$3=1,L$3=1),SUMPRODUCT(F$5:F$38,L$5:L$38),0)</f>
        <v>0</v>
      </c>
      <c r="M46" s="15" t="n">
        <f aca="false">IF(AND(F$3=1,M$3=1),SUMPRODUCT(F$5:F$38,M$5:M$38),0)</f>
        <v>0</v>
      </c>
      <c r="N46" s="15" t="n">
        <f aca="false">IF(AND(F$3=1,N$3=1),SUMPRODUCT(F$5:F$38,N$5:N$38),0)</f>
        <v>0</v>
      </c>
      <c r="O46" s="15" t="n">
        <f aca="false">IF(AND(F$3=1,O$3=1),SUMPRODUCT(F$5:F$38,O$5:O$38),0)</f>
        <v>0</v>
      </c>
      <c r="P46" s="15" t="n">
        <f aca="false">IF(AND(F$3=1,P$3=1),SUMPRODUCT(F$5:F$38,P$5:P$38),0)</f>
        <v>0</v>
      </c>
      <c r="R46" s="16" t="n">
        <f aca="false">IF(F$3=1,SUMPRODUCT(F$5:F$38,$Q$5:$Q$38),0)</f>
        <v>7.29999999999998</v>
      </c>
    </row>
    <row r="47" customFormat="false" ht="15" hidden="false" customHeight="false" outlineLevel="0" collapsed="false">
      <c r="B47" s="15" t="n">
        <f aca="false">IF(AND(G$3=1,B$3=1),SUMPRODUCT(G$5:G$38,B$5:B$38),0)</f>
        <v>0</v>
      </c>
      <c r="C47" s="15" t="n">
        <f aca="false">IF(AND(G$3=1,C$3=1),SUMPRODUCT(G$5:G$38,C$5:C$38),0)</f>
        <v>0</v>
      </c>
      <c r="D47" s="15" t="n">
        <f aca="false">IF(AND(G$3=1,D$3=1),SUMPRODUCT(G$5:G$38,D$5:D$38),0)</f>
        <v>0</v>
      </c>
      <c r="E47" s="15" t="n">
        <f aca="false">IF(AND(G$3=1,E$3=1),SUMPRODUCT(G$5:G$38,E$5:E$38),0)</f>
        <v>0</v>
      </c>
      <c r="F47" s="15" t="n">
        <f aca="false">IF(AND(G$3=1,F$3=1),SUMPRODUCT(G$5:G$38,F$5:F$38),0)</f>
        <v>0</v>
      </c>
      <c r="G47" s="15" t="n">
        <f aca="false">IF(AND(G$3=1,G$3=1),SUMPRODUCT(G$5:G$38,G$5:G$38),1)</f>
        <v>16</v>
      </c>
      <c r="H47" s="15" t="n">
        <f aca="false">IF(AND(G$3=1,H$3=1),SUMPRODUCT(G$5:G$38,H$5:H$38),0)</f>
        <v>0</v>
      </c>
      <c r="I47" s="15" t="n">
        <f aca="false">IF(AND(G$3=1,I$3=1),SUMPRODUCT(G$5:G$38,I$5:I$38),0)</f>
        <v>0</v>
      </c>
      <c r="J47" s="15" t="n">
        <f aca="false">IF(AND(G$3=1,J$3=1),SUMPRODUCT(G$5:G$38,J$5:J$38),0)</f>
        <v>0</v>
      </c>
      <c r="K47" s="15" t="n">
        <f aca="false">IF(AND(G$3=1,K$3=1),SUMPRODUCT(G$5:G$38,K$5:K$38),0)</f>
        <v>0</v>
      </c>
      <c r="L47" s="15" t="n">
        <f aca="false">IF(AND(G$3=1,L$3=1),SUMPRODUCT(G$5:G$38,L$5:L$38),0)</f>
        <v>0</v>
      </c>
      <c r="M47" s="15" t="n">
        <f aca="false">IF(AND(G$3=1,M$3=1),SUMPRODUCT(G$5:G$38,M$5:M$38),0)</f>
        <v>0</v>
      </c>
      <c r="N47" s="15" t="n">
        <f aca="false">IF(AND(G$3=1,N$3=1),SUMPRODUCT(G$5:G$38,N$5:N$38),0)</f>
        <v>0</v>
      </c>
      <c r="O47" s="15" t="n">
        <f aca="false">IF(AND(G$3=1,O$3=1),SUMPRODUCT(G$5:G$38,O$5:O$38),0)</f>
        <v>0</v>
      </c>
      <c r="P47" s="15" t="n">
        <f aca="false">IF(AND(G$3=1,P$3=1),SUMPRODUCT(G$5:G$38,P$5:P$38),0)</f>
        <v>0</v>
      </c>
      <c r="R47" s="16" t="n">
        <f aca="false">IF(G$3=1,SUMPRODUCT(G$5:G$38,$Q$5:$Q$38),0)</f>
        <v>18</v>
      </c>
    </row>
    <row r="48" customFormat="false" ht="15" hidden="false" customHeight="false" outlineLevel="0" collapsed="false">
      <c r="B48" s="15" t="n">
        <f aca="false">IF(AND(H$3=1,B$3=1),SUMPRODUCT(H$5:H$38,B$5:B$38),0)</f>
        <v>0</v>
      </c>
      <c r="C48" s="15" t="n">
        <f aca="false">IF(AND(H$3=1,C$3=1),SUMPRODUCT(H$5:H$38,C$5:C$38),0)</f>
        <v>0</v>
      </c>
      <c r="D48" s="15" t="n">
        <f aca="false">IF(AND(H$3=1,D$3=1),SUMPRODUCT(H$5:H$38,D$5:D$38),0)</f>
        <v>0</v>
      </c>
      <c r="E48" s="15" t="n">
        <f aca="false">IF(AND(H$3=1,E$3=1),SUMPRODUCT(H$5:H$38,E$5:E$38),0)</f>
        <v>0</v>
      </c>
      <c r="F48" s="15" t="n">
        <f aca="false">IF(AND(H$3=1,F$3=1),SUMPRODUCT(H$5:H$38,F$5:F$38),0)</f>
        <v>0</v>
      </c>
      <c r="G48" s="15" t="n">
        <f aca="false">IF(AND(H$3=1,G$3=1),SUMPRODUCT(H$5:H$38,G$5:G$38),0)</f>
        <v>0</v>
      </c>
      <c r="H48" s="15" t="n">
        <f aca="false">IF(AND(H$3=1,H$3=1),SUMPRODUCT(H$5:H$38,H$5:H$38),1)</f>
        <v>16</v>
      </c>
      <c r="I48" s="15" t="n">
        <f aca="false">IF(AND(H$3=1,I$3=1),SUMPRODUCT(H$5:H$38,I$5:I$38),0)</f>
        <v>0</v>
      </c>
      <c r="J48" s="15" t="n">
        <f aca="false">IF(AND(H$3=1,J$3=1),SUMPRODUCT(H$5:H$38,J$5:J$38),0)</f>
        <v>0</v>
      </c>
      <c r="K48" s="15" t="n">
        <f aca="false">IF(AND(H$3=1,K$3=1),SUMPRODUCT(H$5:H$38,K$5:K$38),0)</f>
        <v>0</v>
      </c>
      <c r="L48" s="15" t="n">
        <f aca="false">IF(AND(H$3=1,L$3=1),SUMPRODUCT(H$5:H$38,L$5:L$38),0)</f>
        <v>0</v>
      </c>
      <c r="M48" s="15" t="n">
        <f aca="false">IF(AND(H$3=1,M$3=1),SUMPRODUCT(H$5:H$38,M$5:M$38),0)</f>
        <v>0</v>
      </c>
      <c r="N48" s="15" t="n">
        <f aca="false">IF(AND(H$3=1,N$3=1),SUMPRODUCT(H$5:H$38,N$5:N$38),0)</f>
        <v>0</v>
      </c>
      <c r="O48" s="15" t="n">
        <f aca="false">IF(AND(H$3=1,O$3=1),SUMPRODUCT(H$5:H$38,O$5:O$38),0)</f>
        <v>0</v>
      </c>
      <c r="P48" s="15" t="n">
        <f aca="false">IF(AND(H$3=1,P$3=1),SUMPRODUCT(H$5:H$38,P$5:P$38),0)</f>
        <v>0</v>
      </c>
      <c r="R48" s="16" t="n">
        <f aca="false">IF(H$3=1,SUMPRODUCT(H$5:H$38,$Q$5:$Q$38),0)</f>
        <v>-10.4</v>
      </c>
    </row>
    <row r="49" customFormat="false" ht="15" hidden="false" customHeight="false" outlineLevel="0" collapsed="false">
      <c r="B49" s="15" t="n">
        <f aca="false">IF(AND(I$3=1,B$3=1),SUMPRODUCT(I$5:I$38,B$5:B$38),0)</f>
        <v>0</v>
      </c>
      <c r="C49" s="15" t="n">
        <f aca="false">IF(AND(I$3=1,C$3=1),SUMPRODUCT(I$5:I$38,C$5:C$38),0)</f>
        <v>0</v>
      </c>
      <c r="D49" s="15" t="n">
        <f aca="false">IF(AND(I$3=1,D$3=1),SUMPRODUCT(I$5:I$38,D$5:D$38),0)</f>
        <v>0</v>
      </c>
      <c r="E49" s="15" t="n">
        <f aca="false">IF(AND(I$3=1,E$3=1),SUMPRODUCT(I$5:I$38,E$5:E$38),0)</f>
        <v>0</v>
      </c>
      <c r="F49" s="15" t="n">
        <f aca="false">IF(AND(I$3=1,F$3=1),SUMPRODUCT(I$5:I$38,F$5:F$38),0)</f>
        <v>0</v>
      </c>
      <c r="G49" s="15" t="n">
        <f aca="false">IF(AND(I$3=1,G$3=1),SUMPRODUCT(I$5:I$38,G$5:G$38),0)</f>
        <v>0</v>
      </c>
      <c r="H49" s="15" t="n">
        <f aca="false">IF(AND(I$3=1,H$3=1),SUMPRODUCT(I$5:I$38,H$5:H$38),0)</f>
        <v>0</v>
      </c>
      <c r="I49" s="15" t="n">
        <f aca="false">IF(AND(I$3=1,I$3=1),SUMPRODUCT(I$5:I$38,I$5:I$38),1)</f>
        <v>16</v>
      </c>
      <c r="J49" s="15" t="n">
        <f aca="false">IF(AND(I$3=1,J$3=1),SUMPRODUCT(I$5:I$38,J$5:J$38),0)</f>
        <v>0</v>
      </c>
      <c r="K49" s="15" t="n">
        <f aca="false">IF(AND(I$3=1,K$3=1),SUMPRODUCT(I$5:I$38,K$5:K$38),0)</f>
        <v>0</v>
      </c>
      <c r="L49" s="15" t="n">
        <f aca="false">IF(AND(I$3=1,L$3=1),SUMPRODUCT(I$5:I$38,L$5:L$38),0)</f>
        <v>0</v>
      </c>
      <c r="M49" s="15" t="n">
        <f aca="false">IF(AND(I$3=1,M$3=1),SUMPRODUCT(I$5:I$38,M$5:M$38),0)</f>
        <v>0</v>
      </c>
      <c r="N49" s="15" t="n">
        <f aca="false">IF(AND(I$3=1,N$3=1),SUMPRODUCT(I$5:I$38,N$5:N$38),0)</f>
        <v>0</v>
      </c>
      <c r="O49" s="15" t="n">
        <f aca="false">IF(AND(I$3=1,O$3=1),SUMPRODUCT(I$5:I$38,O$5:O$38),0)</f>
        <v>0</v>
      </c>
      <c r="P49" s="15" t="n">
        <f aca="false">IF(AND(I$3=1,P$3=1),SUMPRODUCT(I$5:I$38,P$5:P$38),0)</f>
        <v>0</v>
      </c>
      <c r="R49" s="16" t="n">
        <f aca="false">IF(I$3=1,SUMPRODUCT(I$5:I$38,$Q$5:$Q$38),0)</f>
        <v>2</v>
      </c>
    </row>
    <row r="50" customFormat="false" ht="15" hidden="false" customHeight="false" outlineLevel="0" collapsed="false">
      <c r="B50" s="15" t="n">
        <f aca="false">IF(AND(J$3=1,B$3=1),SUMPRODUCT(J$5:J$38,B$5:B$38),0)</f>
        <v>0</v>
      </c>
      <c r="C50" s="15" t="n">
        <f aca="false">IF(AND(J$3=1,C$3=1),SUMPRODUCT(J$5:J$38,C$5:C$38),0)</f>
        <v>0</v>
      </c>
      <c r="D50" s="15" t="n">
        <f aca="false">IF(AND(J$3=1,D$3=1),SUMPRODUCT(J$5:J$38,D$5:D$38),0)</f>
        <v>0</v>
      </c>
      <c r="E50" s="15" t="n">
        <f aca="false">IF(AND(J$3=1,E$3=1),SUMPRODUCT(J$5:J$38,E$5:E$38),0)</f>
        <v>0</v>
      </c>
      <c r="F50" s="15" t="n">
        <f aca="false">IF(AND(J$3=1,F$3=1),SUMPRODUCT(J$5:J$38,F$5:F$38),0)</f>
        <v>0</v>
      </c>
      <c r="G50" s="15" t="n">
        <f aca="false">IF(AND(J$3=1,G$3=1),SUMPRODUCT(J$5:J$38,G$5:G$38),0)</f>
        <v>0</v>
      </c>
      <c r="H50" s="15" t="n">
        <f aca="false">IF(AND(J$3=1,H$3=1),SUMPRODUCT(J$5:J$38,H$5:H$38),0)</f>
        <v>0</v>
      </c>
      <c r="I50" s="15" t="n">
        <f aca="false">IF(AND(J$3=1,I$3=1),SUMPRODUCT(J$5:J$38,I$5:I$38),0)</f>
        <v>0</v>
      </c>
      <c r="J50" s="15" t="n">
        <f aca="false">IF(AND(J$3=1,J$3=1),SUMPRODUCT(J$5:J$38,J$5:J$38),1)</f>
        <v>16</v>
      </c>
      <c r="K50" s="15" t="n">
        <f aca="false">IF(AND(J$3=1,K$3=1),SUMPRODUCT(J$5:J$38,K$5:K$38),0)</f>
        <v>0</v>
      </c>
      <c r="L50" s="15" t="n">
        <f aca="false">IF(AND(J$3=1,L$3=1),SUMPRODUCT(J$5:J$38,L$5:L$38),0)</f>
        <v>0</v>
      </c>
      <c r="M50" s="15" t="n">
        <f aca="false">IF(AND(J$3=1,M$3=1),SUMPRODUCT(J$5:J$38,M$5:M$38),0)</f>
        <v>0</v>
      </c>
      <c r="N50" s="15" t="n">
        <f aca="false">IF(AND(J$3=1,N$3=1),SUMPRODUCT(J$5:J$38,N$5:N$38),0)</f>
        <v>0</v>
      </c>
      <c r="O50" s="15" t="n">
        <f aca="false">IF(AND(J$3=1,O$3=1),SUMPRODUCT(J$5:J$38,O$5:O$38),0)</f>
        <v>0</v>
      </c>
      <c r="P50" s="15" t="n">
        <f aca="false">IF(AND(J$3=1,P$3=1),SUMPRODUCT(J$5:J$38,P$5:P$38),0)</f>
        <v>0</v>
      </c>
      <c r="R50" s="16" t="n">
        <f aca="false">IF(J$3=1,SUMPRODUCT(J$5:J$38,$Q$5:$Q$38),0)</f>
        <v>5</v>
      </c>
    </row>
    <row r="51" customFormat="false" ht="15" hidden="false" customHeight="false" outlineLevel="0" collapsed="false">
      <c r="B51" s="15" t="n">
        <f aca="false">IF(AND(K$3=1,B$3=1),SUMPRODUCT(K$5:K$38,B$5:B$38),0)</f>
        <v>0</v>
      </c>
      <c r="C51" s="15" t="n">
        <f aca="false">IF(AND(K$3=1,C$3=1),SUMPRODUCT(K$5:K$38,C$5:C$38),0)</f>
        <v>0</v>
      </c>
      <c r="D51" s="15" t="n">
        <f aca="false">IF(AND(K$3=1,D$3=1),SUMPRODUCT(K$5:K$38,D$5:D$38),0)</f>
        <v>0</v>
      </c>
      <c r="E51" s="15" t="n">
        <f aca="false">IF(AND(K$3=1,E$3=1),SUMPRODUCT(K$5:K$38,E$5:E$38),0)</f>
        <v>0</v>
      </c>
      <c r="F51" s="15" t="n">
        <f aca="false">IF(AND(K$3=1,F$3=1),SUMPRODUCT(K$5:K$38,F$5:F$38),0)</f>
        <v>0</v>
      </c>
      <c r="G51" s="15" t="n">
        <f aca="false">IF(AND(K$3=1,G$3=1),SUMPRODUCT(K$5:K$38,G$5:G$38),0)</f>
        <v>0</v>
      </c>
      <c r="H51" s="15" t="n">
        <f aca="false">IF(AND(K$3=1,H$3=1),SUMPRODUCT(K$5:K$38,H$5:H$38),0)</f>
        <v>0</v>
      </c>
      <c r="I51" s="15" t="n">
        <f aca="false">IF(AND(K$3=1,I$3=1),SUMPRODUCT(K$5:K$38,I$5:I$38),0)</f>
        <v>0</v>
      </c>
      <c r="J51" s="15" t="n">
        <f aca="false">IF(AND(K$3=1,J$3=1),SUMPRODUCT(K$5:K$38,J$5:J$38),0)</f>
        <v>0</v>
      </c>
      <c r="K51" s="15" t="n">
        <f aca="false">IF(AND(K$3=1,K$3=1),SUMPRODUCT(K$5:K$38,K$5:K$38),1)</f>
        <v>16</v>
      </c>
      <c r="L51" s="15" t="n">
        <f aca="false">IF(AND(K$3=1,L$3=1),SUMPRODUCT(K$5:K$38,L$5:L$38),0)</f>
        <v>0</v>
      </c>
      <c r="M51" s="15" t="n">
        <f aca="false">IF(AND(K$3=1,M$3=1),SUMPRODUCT(K$5:K$38,M$5:M$38),0)</f>
        <v>0</v>
      </c>
      <c r="N51" s="15" t="n">
        <f aca="false">IF(AND(K$3=1,N$3=1),SUMPRODUCT(K$5:K$38,N$5:N$38),0)</f>
        <v>0</v>
      </c>
      <c r="O51" s="15" t="n">
        <f aca="false">IF(AND(K$3=1,O$3=1),SUMPRODUCT(K$5:K$38,O$5:O$38),0)</f>
        <v>0</v>
      </c>
      <c r="P51" s="15" t="n">
        <f aca="false">IF(AND(K$3=1,P$3=1),SUMPRODUCT(K$5:K$38,P$5:P$38),0)</f>
        <v>0</v>
      </c>
      <c r="R51" s="16" t="n">
        <f aca="false">IF(K$3=1,SUMPRODUCT(K$5:K$38,$Q$5:$Q$38),0)</f>
        <v>-3.40000000000001</v>
      </c>
    </row>
    <row r="52" customFormat="false" ht="15" hidden="false" customHeight="false" outlineLevel="0" collapsed="false">
      <c r="B52" s="15" t="n">
        <f aca="false">IF(AND(L$3=1,B$3=1),SUMPRODUCT(L$5:L$38,B$5:B$38),0)</f>
        <v>0</v>
      </c>
      <c r="C52" s="15" t="n">
        <f aca="false">IF(AND(L$3=1,C$3=1),SUMPRODUCT(L$5:L$38,C$5:C$38),0)</f>
        <v>0</v>
      </c>
      <c r="D52" s="15" t="n">
        <f aca="false">IF(AND(L$3=1,D$3=1),SUMPRODUCT(L$5:L$38,D$5:D$38),0)</f>
        <v>0</v>
      </c>
      <c r="E52" s="15" t="n">
        <f aca="false">IF(AND(L$3=1,E$3=1),SUMPRODUCT(L$5:L$38,E$5:E$38),0)</f>
        <v>0</v>
      </c>
      <c r="F52" s="15" t="n">
        <f aca="false">IF(AND(L$3=1,F$3=1),SUMPRODUCT(L$5:L$38,F$5:F$38),0)</f>
        <v>0</v>
      </c>
      <c r="G52" s="15" t="n">
        <f aca="false">IF(AND(L$3=1,G$3=1),SUMPRODUCT(L$5:L$38,G$5:G$38),0)</f>
        <v>0</v>
      </c>
      <c r="H52" s="15" t="n">
        <f aca="false">IF(AND(L$3=1,H$3=1),SUMPRODUCT(L$5:L$38,H$5:H$38),0)</f>
        <v>0</v>
      </c>
      <c r="I52" s="15" t="n">
        <f aca="false">IF(AND(L$3=1,I$3=1),SUMPRODUCT(L$5:L$38,I$5:I$38),0)</f>
        <v>0</v>
      </c>
      <c r="J52" s="15" t="n">
        <f aca="false">IF(AND(L$3=1,J$3=1),SUMPRODUCT(L$5:L$38,J$5:J$38),0)</f>
        <v>0</v>
      </c>
      <c r="K52" s="15" t="n">
        <f aca="false">IF(AND(L$3=1,K$3=1),SUMPRODUCT(L$5:L$38,K$5:K$38),0)</f>
        <v>0</v>
      </c>
      <c r="L52" s="15" t="n">
        <f aca="false">IF(AND(L$3=1,L$3=1),SUMPRODUCT(L$5:L$38,L$5:L$38),1)</f>
        <v>16</v>
      </c>
      <c r="M52" s="15" t="n">
        <f aca="false">IF(AND(L$3=1,M$3=1),SUMPRODUCT(L$5:L$38,M$5:M$38),0)</f>
        <v>0</v>
      </c>
      <c r="N52" s="15" t="n">
        <f aca="false">IF(AND(L$3=1,N$3=1),SUMPRODUCT(L$5:L$38,N$5:N$38),0)</f>
        <v>0</v>
      </c>
      <c r="O52" s="15" t="n">
        <f aca="false">IF(AND(L$3=1,O$3=1),SUMPRODUCT(L$5:L$38,O$5:O$38),0)</f>
        <v>0</v>
      </c>
      <c r="P52" s="15" t="n">
        <f aca="false">IF(AND(L$3=1,P$3=1),SUMPRODUCT(L$5:L$38,P$5:P$38),0)</f>
        <v>0</v>
      </c>
      <c r="R52" s="16" t="n">
        <f aca="false">IF(L$3=1,SUMPRODUCT(L$5:L$38,$Q$5:$Q$38),0)</f>
        <v>4.59999999999999</v>
      </c>
    </row>
    <row r="53" customFormat="false" ht="15" hidden="false" customHeight="false" outlineLevel="0" collapsed="false">
      <c r="B53" s="15" t="n">
        <f aca="false">IF(AND(M$3=1,B$3=1),SUMPRODUCT(M$5:M$38,B$5:B$38),0)</f>
        <v>18</v>
      </c>
      <c r="C53" s="15" t="n">
        <f aca="false">IF(AND(M$3=1,C$3=1),SUMPRODUCT(M$5:M$38,C$5:C$38),0)</f>
        <v>0</v>
      </c>
      <c r="D53" s="15" t="n">
        <f aca="false">IF(AND(M$3=1,D$3=1),SUMPRODUCT(M$5:M$38,D$5:D$38),0)</f>
        <v>0</v>
      </c>
      <c r="E53" s="15" t="n">
        <f aca="false">IF(AND(M$3=1,E$3=1),SUMPRODUCT(M$5:M$38,E$5:E$38),0)</f>
        <v>0</v>
      </c>
      <c r="F53" s="15" t="n">
        <f aca="false">IF(AND(M$3=1,F$3=1),SUMPRODUCT(M$5:M$38,F$5:F$38),0)</f>
        <v>0</v>
      </c>
      <c r="G53" s="15" t="n">
        <f aca="false">IF(AND(M$3=1,G$3=1),SUMPRODUCT(M$5:M$38,G$5:G$38),0)</f>
        <v>0</v>
      </c>
      <c r="H53" s="15" t="n">
        <f aca="false">IF(AND(M$3=1,H$3=1),SUMPRODUCT(M$5:M$38,H$5:H$38),0)</f>
        <v>0</v>
      </c>
      <c r="I53" s="15" t="n">
        <f aca="false">IF(AND(M$3=1,I$3=1),SUMPRODUCT(M$5:M$38,I$5:I$38),0)</f>
        <v>0</v>
      </c>
      <c r="J53" s="15" t="n">
        <f aca="false">IF(AND(M$3=1,J$3=1),SUMPRODUCT(M$5:M$38,J$5:J$38),0)</f>
        <v>0</v>
      </c>
      <c r="K53" s="15" t="n">
        <f aca="false">IF(AND(M$3=1,K$3=1),SUMPRODUCT(M$5:M$38,K$5:K$38),0)</f>
        <v>0</v>
      </c>
      <c r="L53" s="15" t="n">
        <f aca="false">IF(AND(M$3=1,L$3=1),SUMPRODUCT(M$5:M$38,L$5:L$38),0)</f>
        <v>0</v>
      </c>
      <c r="M53" s="15" t="n">
        <f aca="false">IF(AND(M$3=1,M$3=1),SUMPRODUCT(M$5:M$38,M$5:M$38),1)</f>
        <v>18</v>
      </c>
      <c r="N53" s="15" t="n">
        <f aca="false">IF(AND(M$3=1,N$3=1),SUMPRODUCT(M$5:M$38,N$5:N$38),0)</f>
        <v>16</v>
      </c>
      <c r="O53" s="15" t="n">
        <f aca="false">IF(AND(M$3=1,O$3=1),SUMPRODUCT(M$5:M$38,O$5:O$38),0)</f>
        <v>16</v>
      </c>
      <c r="P53" s="15" t="n">
        <f aca="false">IF(AND(M$3=1,P$3=1),SUMPRODUCT(M$5:M$38,P$5:P$38),0)</f>
        <v>16</v>
      </c>
      <c r="R53" s="16" t="n">
        <f aca="false">IF(M$3=1,SUMPRODUCT(M$5:M$38,$Q$5:$Q$38),0)</f>
        <v>757.5</v>
      </c>
    </row>
    <row r="54" customFormat="false" ht="15" hidden="false" customHeight="false" outlineLevel="0" collapsed="false">
      <c r="B54" s="15" t="n">
        <f aca="false">IF(AND(N$3=1,B$3=1),SUMPRODUCT(N$5:N$38,B$5:B$38),0)</f>
        <v>18</v>
      </c>
      <c r="C54" s="15" t="n">
        <f aca="false">IF(AND(N$3=1,C$3=1),SUMPRODUCT(N$5:N$38,C$5:C$38),0)</f>
        <v>0</v>
      </c>
      <c r="D54" s="15" t="n">
        <f aca="false">IF(AND(N$3=1,D$3=1),SUMPRODUCT(N$5:N$38,D$5:D$38),0)</f>
        <v>0</v>
      </c>
      <c r="E54" s="15" t="n">
        <f aca="false">IF(AND(N$3=1,E$3=1),SUMPRODUCT(N$5:N$38,E$5:E$38),0)</f>
        <v>0</v>
      </c>
      <c r="F54" s="15" t="n">
        <f aca="false">IF(AND(N$3=1,F$3=1),SUMPRODUCT(N$5:N$38,F$5:F$38),0)</f>
        <v>0</v>
      </c>
      <c r="G54" s="15" t="n">
        <f aca="false">IF(AND(N$3=1,G$3=1),SUMPRODUCT(N$5:N$38,G$5:G$38),0)</f>
        <v>0</v>
      </c>
      <c r="H54" s="15" t="n">
        <f aca="false">IF(AND(N$3=1,H$3=1),SUMPRODUCT(N$5:N$38,H$5:H$38),0)</f>
        <v>0</v>
      </c>
      <c r="I54" s="15" t="n">
        <f aca="false">IF(AND(N$3=1,I$3=1),SUMPRODUCT(N$5:N$38,I$5:I$38),0)</f>
        <v>0</v>
      </c>
      <c r="J54" s="15" t="n">
        <f aca="false">IF(AND(N$3=1,J$3=1),SUMPRODUCT(N$5:N$38,J$5:J$38),0)</f>
        <v>0</v>
      </c>
      <c r="K54" s="15" t="n">
        <f aca="false">IF(AND(N$3=1,K$3=1),SUMPRODUCT(N$5:N$38,K$5:K$38),0)</f>
        <v>0</v>
      </c>
      <c r="L54" s="15" t="n">
        <f aca="false">IF(AND(N$3=1,L$3=1),SUMPRODUCT(N$5:N$38,L$5:L$38),0)</f>
        <v>0</v>
      </c>
      <c r="M54" s="15" t="n">
        <f aca="false">IF(AND(N$3=1,M$3=1),SUMPRODUCT(N$5:N$38,M$5:M$38),0)</f>
        <v>16</v>
      </c>
      <c r="N54" s="15" t="n">
        <f aca="false">IF(AND(N$3=1,N$3=1),SUMPRODUCT(N$5:N$38,N$5:N$38),1)</f>
        <v>18</v>
      </c>
      <c r="O54" s="15" t="n">
        <f aca="false">IF(AND(N$3=1,O$3=1),SUMPRODUCT(N$5:N$38,O$5:O$38),0)</f>
        <v>16</v>
      </c>
      <c r="P54" s="15" t="n">
        <f aca="false">IF(AND(N$3=1,P$3=1),SUMPRODUCT(N$5:N$38,P$5:P$38),0)</f>
        <v>16</v>
      </c>
      <c r="R54" s="16" t="n">
        <f aca="false">IF(N$3=1,SUMPRODUCT(N$5:N$38,$Q$5:$Q$38),0)</f>
        <v>757.5</v>
      </c>
    </row>
    <row r="55" customFormat="false" ht="15" hidden="false" customHeight="false" outlineLevel="0" collapsed="false">
      <c r="B55" s="15" t="n">
        <f aca="false">IF(AND(O$3=1,B$3=1),SUMPRODUCT(O$5:O$38,B$5:B$38),0)</f>
        <v>18</v>
      </c>
      <c r="C55" s="15" t="n">
        <f aca="false">IF(AND(O$3=1,C$3=1),SUMPRODUCT(O$5:O$38,C$5:C$38),0)</f>
        <v>0</v>
      </c>
      <c r="D55" s="15" t="n">
        <f aca="false">IF(AND(O$3=1,D$3=1),SUMPRODUCT(O$5:O$38,D$5:D$38),0)</f>
        <v>0</v>
      </c>
      <c r="E55" s="15" t="n">
        <f aca="false">IF(AND(O$3=1,E$3=1),SUMPRODUCT(O$5:O$38,E$5:E$38),0)</f>
        <v>0</v>
      </c>
      <c r="F55" s="15" t="n">
        <f aca="false">IF(AND(O$3=1,F$3=1),SUMPRODUCT(O$5:O$38,F$5:F$38),0)</f>
        <v>0</v>
      </c>
      <c r="G55" s="15" t="n">
        <f aca="false">IF(AND(O$3=1,G$3=1),SUMPRODUCT(O$5:O$38,G$5:G$38),0)</f>
        <v>0</v>
      </c>
      <c r="H55" s="15" t="n">
        <f aca="false">IF(AND(O$3=1,H$3=1),SUMPRODUCT(O$5:O$38,H$5:H$38),0)</f>
        <v>0</v>
      </c>
      <c r="I55" s="15" t="n">
        <f aca="false">IF(AND(O$3=1,I$3=1),SUMPRODUCT(O$5:O$38,I$5:I$38),0)</f>
        <v>0</v>
      </c>
      <c r="J55" s="15" t="n">
        <f aca="false">IF(AND(O$3=1,J$3=1),SUMPRODUCT(O$5:O$38,J$5:J$38),0)</f>
        <v>0</v>
      </c>
      <c r="K55" s="15" t="n">
        <f aca="false">IF(AND(O$3=1,K$3=1),SUMPRODUCT(O$5:O$38,K$5:K$38),0)</f>
        <v>0</v>
      </c>
      <c r="L55" s="15" t="n">
        <f aca="false">IF(AND(O$3=1,L$3=1),SUMPRODUCT(O$5:O$38,L$5:L$38),0)</f>
        <v>0</v>
      </c>
      <c r="M55" s="15" t="n">
        <f aca="false">IF(AND(O$3=1,M$3=1),SUMPRODUCT(O$5:O$38,M$5:M$38),0)</f>
        <v>16</v>
      </c>
      <c r="N55" s="15" t="n">
        <f aca="false">IF(AND(O$3=1,N$3=1),SUMPRODUCT(O$5:O$38,N$5:N$38),0)</f>
        <v>16</v>
      </c>
      <c r="O55" s="15" t="n">
        <f aca="false">IF(AND(O$3=1,O$3=1),SUMPRODUCT(O$5:O$38,O$5:O$38),1)</f>
        <v>18</v>
      </c>
      <c r="P55" s="15" t="n">
        <f aca="false">IF(AND(O$3=1,P$3=1),SUMPRODUCT(O$5:O$38,P$5:P$38),0)</f>
        <v>16</v>
      </c>
      <c r="R55" s="16" t="n">
        <f aca="false">IF(O$3=1,SUMPRODUCT(O$5:O$38,$Q$5:$Q$38),0)</f>
        <v>761.3</v>
      </c>
    </row>
    <row r="56" customFormat="false" ht="15" hidden="false" customHeight="false" outlineLevel="0" collapsed="false">
      <c r="B56" s="15" t="n">
        <f aca="false">IF(AND(P$3=1,B$3=1),SUMPRODUCT(P$5:P$38,B$5:B$38),0)</f>
        <v>18</v>
      </c>
      <c r="C56" s="15" t="n">
        <f aca="false">IF(AND(P$3=1,C$3=1),SUMPRODUCT(P$5:P$38,C$5:C$38),0)</f>
        <v>0</v>
      </c>
      <c r="D56" s="15" t="n">
        <f aca="false">IF(AND(P$3=1,D$3=1),SUMPRODUCT(P$5:P$38,D$5:D$38),0)</f>
        <v>0</v>
      </c>
      <c r="E56" s="15" t="n">
        <f aca="false">IF(AND(P$3=1,E$3=1),SUMPRODUCT(P$5:P$38,E$5:E$38),0)</f>
        <v>0</v>
      </c>
      <c r="F56" s="15" t="n">
        <f aca="false">IF(AND(P$3=1,F$3=1),SUMPRODUCT(P$5:P$38,F$5:F$38),0)</f>
        <v>0</v>
      </c>
      <c r="G56" s="15" t="n">
        <f aca="false">IF(AND(P$3=1,G$3=1),SUMPRODUCT(P$5:P$38,G$5:G$38),0)</f>
        <v>0</v>
      </c>
      <c r="H56" s="15" t="n">
        <f aca="false">IF(AND(P$3=1,H$3=1),SUMPRODUCT(P$5:P$38,H$5:H$38),0)</f>
        <v>0</v>
      </c>
      <c r="I56" s="15" t="n">
        <f aca="false">IF(AND(P$3=1,I$3=1),SUMPRODUCT(P$5:P$38,I$5:I$38),0)</f>
        <v>0</v>
      </c>
      <c r="J56" s="15" t="n">
        <f aca="false">IF(AND(P$3=1,J$3=1),SUMPRODUCT(P$5:P$38,J$5:J$38),0)</f>
        <v>0</v>
      </c>
      <c r="K56" s="15" t="n">
        <f aca="false">IF(AND(P$3=1,K$3=1),SUMPRODUCT(P$5:P$38,K$5:K$38),0)</f>
        <v>0</v>
      </c>
      <c r="L56" s="15" t="n">
        <f aca="false">IF(AND(P$3=1,L$3=1),SUMPRODUCT(P$5:P$38,L$5:L$38),0)</f>
        <v>0</v>
      </c>
      <c r="M56" s="15" t="n">
        <f aca="false">IF(AND(P$3=1,M$3=1),SUMPRODUCT(P$5:P$38,M$5:M$38),0)</f>
        <v>16</v>
      </c>
      <c r="N56" s="15" t="n">
        <f aca="false">IF(AND(P$3=1,N$3=1),SUMPRODUCT(P$5:P$38,N$5:N$38),0)</f>
        <v>16</v>
      </c>
      <c r="O56" s="15" t="n">
        <f aca="false">IF(AND(P$3=1,O$3=1),SUMPRODUCT(P$5:P$38,O$5:O$38),0)</f>
        <v>16</v>
      </c>
      <c r="P56" s="15" t="n">
        <f aca="false">IF(AND(P$3=1,P$3=1),SUMPRODUCT(P$5:P$38,P$5:P$38),1)</f>
        <v>18</v>
      </c>
      <c r="R56" s="16" t="n">
        <f aca="false">IF(P$3=1,SUMPRODUCT(P$5:P$38,$Q$5:$Q$38),0)</f>
        <v>761.9</v>
      </c>
    </row>
    <row r="59" customFormat="false" ht="15" hidden="false" customHeight="false" outlineLevel="0" collapsed="false">
      <c r="A59" s="38" t="s">
        <v>297</v>
      </c>
      <c r="R59" s="17" t="s">
        <v>298</v>
      </c>
    </row>
    <row r="60" customFormat="false" ht="15" hidden="false" customHeight="false" outlineLevel="0" collapsed="false">
      <c r="B60" s="53" t="n">
        <f aca="false">INDEX(MINVERSE($B$42:$P$56),1,1)</f>
        <v>0.0964912280701755</v>
      </c>
      <c r="C60" s="53" t="n">
        <f aca="false">INDEX(MINVERSE($B$42:$P$56),1,2)</f>
        <v>0</v>
      </c>
      <c r="D60" s="53" t="n">
        <f aca="false">INDEX(MINVERSE($B$42:$P$56),1,3)</f>
        <v>0</v>
      </c>
      <c r="E60" s="53" t="n">
        <f aca="false">INDEX(MINVERSE($B$42:$P$56),1,4)</f>
        <v>0</v>
      </c>
      <c r="F60" s="53" t="n">
        <f aca="false">INDEX(MINVERSE($B$42:$P$56),1,5)</f>
        <v>0</v>
      </c>
      <c r="G60" s="53" t="n">
        <f aca="false">INDEX(MINVERSE($B$42:$P$56),1,6)</f>
        <v>0</v>
      </c>
      <c r="H60" s="53" t="n">
        <f aca="false">INDEX(MINVERSE($B$42:$P$56),1,7)</f>
        <v>0</v>
      </c>
      <c r="I60" s="53" t="n">
        <f aca="false">INDEX(MINVERSE($B$42:$P$56),1,8)</f>
        <v>0</v>
      </c>
      <c r="J60" s="53" t="n">
        <f aca="false">INDEX(MINVERSE($B$42:$P$56),1,9)</f>
        <v>0</v>
      </c>
      <c r="K60" s="53" t="n">
        <f aca="false">INDEX(MINVERSE($B$42:$P$56),1,10)</f>
        <v>0</v>
      </c>
      <c r="L60" s="53" t="n">
        <f aca="false">INDEX(MINVERSE($B$42:$P$56),1,11)</f>
        <v>0</v>
      </c>
      <c r="M60" s="53" t="n">
        <f aca="false">INDEX(MINVERSE($B$42:$P$56),1,12)</f>
        <v>-0.0263157894736842</v>
      </c>
      <c r="N60" s="53" t="n">
        <f aca="false">INDEX(MINVERSE($B$42:$P$56),1,13)</f>
        <v>-0.0263157894736842</v>
      </c>
      <c r="O60" s="53" t="n">
        <f aca="false">INDEX(MINVERSE($B$42:$P$56),1,14)</f>
        <v>-0.0263157894736842</v>
      </c>
      <c r="P60" s="53" t="n">
        <f aca="false">INDEX(MINVERSE($B$42:$P$56),1,15)</f>
        <v>-0.0263157894736842</v>
      </c>
      <c r="R60" s="53" t="n">
        <f aca="false">INDEX(MMULT($B$60:$P$74,$R$42:$R$56),1,1)</f>
        <v>47.907894736842</v>
      </c>
    </row>
    <row r="61" customFormat="false" ht="15" hidden="false" customHeight="false" outlineLevel="0" collapsed="false">
      <c r="B61" s="53" t="n">
        <f aca="false">INDEX(MINVERSE($B$42:$P$56),2,1)</f>
        <v>0</v>
      </c>
      <c r="C61" s="53" t="n">
        <f aca="false">INDEX(MINVERSE($B$42:$P$56),2,2)</f>
        <v>0.0555555555555556</v>
      </c>
      <c r="D61" s="53" t="n">
        <f aca="false">INDEX(MINVERSE($B$42:$P$56),2,3)</f>
        <v>0</v>
      </c>
      <c r="E61" s="53" t="n">
        <f aca="false">INDEX(MINVERSE($B$42:$P$56),2,4)</f>
        <v>0</v>
      </c>
      <c r="F61" s="53" t="n">
        <f aca="false">INDEX(MINVERSE($B$42:$P$56),2,5)</f>
        <v>0</v>
      </c>
      <c r="G61" s="53" t="n">
        <f aca="false">INDEX(MINVERSE($B$42:$P$56),2,6)</f>
        <v>0</v>
      </c>
      <c r="H61" s="53" t="n">
        <f aca="false">INDEX(MINVERSE($B$42:$P$56),2,7)</f>
        <v>0</v>
      </c>
      <c r="I61" s="53" t="n">
        <f aca="false">INDEX(MINVERSE($B$42:$P$56),2,8)</f>
        <v>0</v>
      </c>
      <c r="J61" s="53" t="n">
        <f aca="false">INDEX(MINVERSE($B$42:$P$56),2,9)</f>
        <v>0</v>
      </c>
      <c r="K61" s="53" t="n">
        <f aca="false">INDEX(MINVERSE($B$42:$P$56),2,10)</f>
        <v>0</v>
      </c>
      <c r="L61" s="53" t="n">
        <f aca="false">INDEX(MINVERSE($B$42:$P$56),2,11)</f>
        <v>0</v>
      </c>
      <c r="M61" s="53" t="n">
        <f aca="false">INDEX(MINVERSE($B$42:$P$56),2,12)</f>
        <v>0</v>
      </c>
      <c r="N61" s="53" t="n">
        <f aca="false">INDEX(MINVERSE($B$42:$P$56),2,13)</f>
        <v>0</v>
      </c>
      <c r="O61" s="53" t="n">
        <f aca="false">INDEX(MINVERSE($B$42:$P$56),2,14)</f>
        <v>0</v>
      </c>
      <c r="P61" s="53" t="n">
        <f aca="false">INDEX(MINVERSE($B$42:$P$56),2,15)</f>
        <v>0</v>
      </c>
      <c r="R61" s="53" t="n">
        <f aca="false">INDEX(MMULT($B$60:$P$74,$R$42:$R$56),2,1)</f>
        <v>2.00555555555555</v>
      </c>
    </row>
    <row r="62" customFormat="false" ht="15" hidden="false" customHeight="false" outlineLevel="0" collapsed="false">
      <c r="B62" s="53" t="n">
        <f aca="false">INDEX(MINVERSE($B$42:$P$56),3,1)</f>
        <v>0</v>
      </c>
      <c r="C62" s="53" t="n">
        <f aca="false">INDEX(MINVERSE($B$42:$P$56),3,2)</f>
        <v>0</v>
      </c>
      <c r="D62" s="53" t="n">
        <f aca="false">INDEX(MINVERSE($B$42:$P$56),3,3)</f>
        <v>0.0555555555555556</v>
      </c>
      <c r="E62" s="53" t="n">
        <f aca="false">INDEX(MINVERSE($B$42:$P$56),3,4)</f>
        <v>0</v>
      </c>
      <c r="F62" s="53" t="n">
        <f aca="false">INDEX(MINVERSE($B$42:$P$56),3,5)</f>
        <v>0</v>
      </c>
      <c r="G62" s="53" t="n">
        <f aca="false">INDEX(MINVERSE($B$42:$P$56),3,6)</f>
        <v>0</v>
      </c>
      <c r="H62" s="53" t="n">
        <f aca="false">INDEX(MINVERSE($B$42:$P$56),3,7)</f>
        <v>0</v>
      </c>
      <c r="I62" s="53" t="n">
        <f aca="false">INDEX(MINVERSE($B$42:$P$56),3,8)</f>
        <v>0</v>
      </c>
      <c r="J62" s="53" t="n">
        <f aca="false">INDEX(MINVERSE($B$42:$P$56),3,9)</f>
        <v>0</v>
      </c>
      <c r="K62" s="53" t="n">
        <f aca="false">INDEX(MINVERSE($B$42:$P$56),3,10)</f>
        <v>0</v>
      </c>
      <c r="L62" s="53" t="n">
        <f aca="false">INDEX(MINVERSE($B$42:$P$56),3,11)</f>
        <v>0</v>
      </c>
      <c r="M62" s="53" t="n">
        <f aca="false">INDEX(MINVERSE($B$42:$P$56),3,12)</f>
        <v>0</v>
      </c>
      <c r="N62" s="53" t="n">
        <f aca="false">INDEX(MINVERSE($B$42:$P$56),3,13)</f>
        <v>0</v>
      </c>
      <c r="O62" s="53" t="n">
        <f aca="false">INDEX(MINVERSE($B$42:$P$56),3,14)</f>
        <v>0</v>
      </c>
      <c r="P62" s="53" t="n">
        <f aca="false">INDEX(MINVERSE($B$42:$P$56),3,15)</f>
        <v>0</v>
      </c>
      <c r="R62" s="53" t="n">
        <f aca="false">INDEX(MMULT($B$60:$P$74,$R$42:$R$56),3,1)</f>
        <v>2.09444444444444</v>
      </c>
    </row>
    <row r="63" customFormat="false" ht="15" hidden="false" customHeight="false" outlineLevel="0" collapsed="false">
      <c r="B63" s="53" t="n">
        <f aca="false">INDEX(MINVERSE($B$42:$P$56),4,1)</f>
        <v>0</v>
      </c>
      <c r="C63" s="53" t="n">
        <f aca="false">INDEX(MINVERSE($B$42:$P$56),4,2)</f>
        <v>0</v>
      </c>
      <c r="D63" s="53" t="n">
        <f aca="false">INDEX(MINVERSE($B$42:$P$56),4,3)</f>
        <v>0</v>
      </c>
      <c r="E63" s="53" t="n">
        <f aca="false">INDEX(MINVERSE($B$42:$P$56),4,4)</f>
        <v>0.0555555555555556</v>
      </c>
      <c r="F63" s="53" t="n">
        <f aca="false">INDEX(MINVERSE($B$42:$P$56),4,5)</f>
        <v>0</v>
      </c>
      <c r="G63" s="53" t="n">
        <f aca="false">INDEX(MINVERSE($B$42:$P$56),4,6)</f>
        <v>0</v>
      </c>
      <c r="H63" s="53" t="n">
        <f aca="false">INDEX(MINVERSE($B$42:$P$56),4,7)</f>
        <v>0</v>
      </c>
      <c r="I63" s="53" t="n">
        <f aca="false">INDEX(MINVERSE($B$42:$P$56),4,8)</f>
        <v>0</v>
      </c>
      <c r="J63" s="53" t="n">
        <f aca="false">INDEX(MINVERSE($B$42:$P$56),4,9)</f>
        <v>0</v>
      </c>
      <c r="K63" s="53" t="n">
        <f aca="false">INDEX(MINVERSE($B$42:$P$56),4,10)</f>
        <v>0</v>
      </c>
      <c r="L63" s="53" t="n">
        <f aca="false">INDEX(MINVERSE($B$42:$P$56),4,11)</f>
        <v>0</v>
      </c>
      <c r="M63" s="53" t="n">
        <f aca="false">INDEX(MINVERSE($B$42:$P$56),4,12)</f>
        <v>0</v>
      </c>
      <c r="N63" s="53" t="n">
        <f aca="false">INDEX(MINVERSE($B$42:$P$56),4,13)</f>
        <v>0</v>
      </c>
      <c r="O63" s="53" t="n">
        <f aca="false">INDEX(MINVERSE($B$42:$P$56),4,14)</f>
        <v>0</v>
      </c>
      <c r="P63" s="53" t="n">
        <f aca="false">INDEX(MINVERSE($B$42:$P$56),4,15)</f>
        <v>0</v>
      </c>
      <c r="R63" s="53" t="n">
        <f aca="false">INDEX(MMULT($B$60:$P$74,$R$42:$R$56),4,1)</f>
        <v>0.983333333333333</v>
      </c>
    </row>
    <row r="64" customFormat="false" ht="15" hidden="false" customHeight="false" outlineLevel="0" collapsed="false">
      <c r="B64" s="53" t="n">
        <f aca="false">INDEX(MINVERSE($B$42:$P$56),5,1)</f>
        <v>0</v>
      </c>
      <c r="C64" s="53" t="n">
        <f aca="false">INDEX(MINVERSE($B$42:$P$56),5,2)</f>
        <v>0</v>
      </c>
      <c r="D64" s="53" t="n">
        <f aca="false">INDEX(MINVERSE($B$42:$P$56),5,3)</f>
        <v>0</v>
      </c>
      <c r="E64" s="53" t="n">
        <f aca="false">INDEX(MINVERSE($B$42:$P$56),5,4)</f>
        <v>0</v>
      </c>
      <c r="F64" s="53" t="n">
        <f aca="false">INDEX(MINVERSE($B$42:$P$56),5,5)</f>
        <v>0.0555555555555556</v>
      </c>
      <c r="G64" s="53" t="n">
        <f aca="false">INDEX(MINVERSE($B$42:$P$56),5,6)</f>
        <v>0</v>
      </c>
      <c r="H64" s="53" t="n">
        <f aca="false">INDEX(MINVERSE($B$42:$P$56),5,7)</f>
        <v>0</v>
      </c>
      <c r="I64" s="53" t="n">
        <f aca="false">INDEX(MINVERSE($B$42:$P$56),5,8)</f>
        <v>0</v>
      </c>
      <c r="J64" s="53" t="n">
        <f aca="false">INDEX(MINVERSE($B$42:$P$56),5,9)</f>
        <v>0</v>
      </c>
      <c r="K64" s="53" t="n">
        <f aca="false">INDEX(MINVERSE($B$42:$P$56),5,10)</f>
        <v>0</v>
      </c>
      <c r="L64" s="53" t="n">
        <f aca="false">INDEX(MINVERSE($B$42:$P$56),5,11)</f>
        <v>0</v>
      </c>
      <c r="M64" s="53" t="n">
        <f aca="false">INDEX(MINVERSE($B$42:$P$56),5,12)</f>
        <v>0</v>
      </c>
      <c r="N64" s="53" t="n">
        <f aca="false">INDEX(MINVERSE($B$42:$P$56),5,13)</f>
        <v>0</v>
      </c>
      <c r="O64" s="53" t="n">
        <f aca="false">INDEX(MINVERSE($B$42:$P$56),5,14)</f>
        <v>0</v>
      </c>
      <c r="P64" s="53" t="n">
        <f aca="false">INDEX(MINVERSE($B$42:$P$56),5,15)</f>
        <v>0</v>
      </c>
      <c r="R64" s="53" t="n">
        <f aca="false">INDEX(MMULT($B$60:$P$74,$R$42:$R$56),5,1)</f>
        <v>0.405555555555555</v>
      </c>
    </row>
    <row r="65" customFormat="false" ht="15" hidden="false" customHeight="false" outlineLevel="0" collapsed="false">
      <c r="B65" s="53" t="n">
        <f aca="false">INDEX(MINVERSE($B$42:$P$56),6,1)</f>
        <v>0</v>
      </c>
      <c r="C65" s="53" t="n">
        <f aca="false">INDEX(MINVERSE($B$42:$P$56),6,2)</f>
        <v>0</v>
      </c>
      <c r="D65" s="53" t="n">
        <f aca="false">INDEX(MINVERSE($B$42:$P$56),6,3)</f>
        <v>0</v>
      </c>
      <c r="E65" s="53" t="n">
        <f aca="false">INDEX(MINVERSE($B$42:$P$56),6,4)</f>
        <v>0</v>
      </c>
      <c r="F65" s="53" t="n">
        <f aca="false">INDEX(MINVERSE($B$42:$P$56),6,5)</f>
        <v>0</v>
      </c>
      <c r="G65" s="53" t="n">
        <f aca="false">INDEX(MINVERSE($B$42:$P$56),6,6)</f>
        <v>0.0625</v>
      </c>
      <c r="H65" s="53" t="n">
        <f aca="false">INDEX(MINVERSE($B$42:$P$56),6,7)</f>
        <v>0</v>
      </c>
      <c r="I65" s="53" t="n">
        <f aca="false">INDEX(MINVERSE($B$42:$P$56),6,8)</f>
        <v>0</v>
      </c>
      <c r="J65" s="53" t="n">
        <f aca="false">INDEX(MINVERSE($B$42:$P$56),6,9)</f>
        <v>0</v>
      </c>
      <c r="K65" s="53" t="n">
        <f aca="false">INDEX(MINVERSE($B$42:$P$56),6,10)</f>
        <v>0</v>
      </c>
      <c r="L65" s="53" t="n">
        <f aca="false">INDEX(MINVERSE($B$42:$P$56),6,11)</f>
        <v>0</v>
      </c>
      <c r="M65" s="53" t="n">
        <f aca="false">INDEX(MINVERSE($B$42:$P$56),6,12)</f>
        <v>0</v>
      </c>
      <c r="N65" s="53" t="n">
        <f aca="false">INDEX(MINVERSE($B$42:$P$56),6,13)</f>
        <v>0</v>
      </c>
      <c r="O65" s="53" t="n">
        <f aca="false">INDEX(MINVERSE($B$42:$P$56),6,14)</f>
        <v>0</v>
      </c>
      <c r="P65" s="53" t="n">
        <f aca="false">INDEX(MINVERSE($B$42:$P$56),6,15)</f>
        <v>0</v>
      </c>
      <c r="R65" s="53" t="n">
        <f aca="false">INDEX(MMULT($B$60:$P$74,$R$42:$R$56),6,1)</f>
        <v>1.125</v>
      </c>
    </row>
    <row r="66" customFormat="false" ht="15" hidden="false" customHeight="false" outlineLevel="0" collapsed="false">
      <c r="B66" s="53" t="n">
        <f aca="false">INDEX(MINVERSE($B$42:$P$56),7,1)</f>
        <v>0</v>
      </c>
      <c r="C66" s="53" t="n">
        <f aca="false">INDEX(MINVERSE($B$42:$P$56),7,2)</f>
        <v>0</v>
      </c>
      <c r="D66" s="53" t="n">
        <f aca="false">INDEX(MINVERSE($B$42:$P$56),7,3)</f>
        <v>0</v>
      </c>
      <c r="E66" s="53" t="n">
        <f aca="false">INDEX(MINVERSE($B$42:$P$56),7,4)</f>
        <v>0</v>
      </c>
      <c r="F66" s="53" t="n">
        <f aca="false">INDEX(MINVERSE($B$42:$P$56),7,5)</f>
        <v>0</v>
      </c>
      <c r="G66" s="53" t="n">
        <f aca="false">INDEX(MINVERSE($B$42:$P$56),7,6)</f>
        <v>0</v>
      </c>
      <c r="H66" s="53" t="n">
        <f aca="false">INDEX(MINVERSE($B$42:$P$56),7,7)</f>
        <v>0.0625</v>
      </c>
      <c r="I66" s="53" t="n">
        <f aca="false">INDEX(MINVERSE($B$42:$P$56),7,8)</f>
        <v>0</v>
      </c>
      <c r="J66" s="53" t="n">
        <f aca="false">INDEX(MINVERSE($B$42:$P$56),7,9)</f>
        <v>0</v>
      </c>
      <c r="K66" s="53" t="n">
        <f aca="false">INDEX(MINVERSE($B$42:$P$56),7,10)</f>
        <v>0</v>
      </c>
      <c r="L66" s="53" t="n">
        <f aca="false">INDEX(MINVERSE($B$42:$P$56),7,11)</f>
        <v>0</v>
      </c>
      <c r="M66" s="53" t="n">
        <f aca="false">INDEX(MINVERSE($B$42:$P$56),7,12)</f>
        <v>0</v>
      </c>
      <c r="N66" s="53" t="n">
        <f aca="false">INDEX(MINVERSE($B$42:$P$56),7,13)</f>
        <v>0</v>
      </c>
      <c r="O66" s="53" t="n">
        <f aca="false">INDEX(MINVERSE($B$42:$P$56),7,14)</f>
        <v>0</v>
      </c>
      <c r="P66" s="53" t="n">
        <f aca="false">INDEX(MINVERSE($B$42:$P$56),7,15)</f>
        <v>0</v>
      </c>
      <c r="R66" s="53" t="n">
        <f aca="false">INDEX(MMULT($B$60:$P$74,$R$42:$R$56),7,1)</f>
        <v>-0.65</v>
      </c>
    </row>
    <row r="67" customFormat="false" ht="15" hidden="false" customHeight="false" outlineLevel="0" collapsed="false">
      <c r="B67" s="53" t="n">
        <f aca="false">INDEX(MINVERSE($B$42:$P$56),8,1)</f>
        <v>0</v>
      </c>
      <c r="C67" s="53" t="n">
        <f aca="false">INDEX(MINVERSE($B$42:$P$56),8,2)</f>
        <v>0</v>
      </c>
      <c r="D67" s="53" t="n">
        <f aca="false">INDEX(MINVERSE($B$42:$P$56),8,3)</f>
        <v>0</v>
      </c>
      <c r="E67" s="53" t="n">
        <f aca="false">INDEX(MINVERSE($B$42:$P$56),8,4)</f>
        <v>0</v>
      </c>
      <c r="F67" s="53" t="n">
        <f aca="false">INDEX(MINVERSE($B$42:$P$56),8,5)</f>
        <v>0</v>
      </c>
      <c r="G67" s="53" t="n">
        <f aca="false">INDEX(MINVERSE($B$42:$P$56),8,6)</f>
        <v>0</v>
      </c>
      <c r="H67" s="53" t="n">
        <f aca="false">INDEX(MINVERSE($B$42:$P$56),8,7)</f>
        <v>0</v>
      </c>
      <c r="I67" s="53" t="n">
        <f aca="false">INDEX(MINVERSE($B$42:$P$56),8,8)</f>
        <v>0.0625</v>
      </c>
      <c r="J67" s="53" t="n">
        <f aca="false">INDEX(MINVERSE($B$42:$P$56),8,9)</f>
        <v>0</v>
      </c>
      <c r="K67" s="53" t="n">
        <f aca="false">INDEX(MINVERSE($B$42:$P$56),8,10)</f>
        <v>0</v>
      </c>
      <c r="L67" s="53" t="n">
        <f aca="false">INDEX(MINVERSE($B$42:$P$56),8,11)</f>
        <v>0</v>
      </c>
      <c r="M67" s="53" t="n">
        <f aca="false">INDEX(MINVERSE($B$42:$P$56),8,12)</f>
        <v>0</v>
      </c>
      <c r="N67" s="53" t="n">
        <f aca="false">INDEX(MINVERSE($B$42:$P$56),8,13)</f>
        <v>0</v>
      </c>
      <c r="O67" s="53" t="n">
        <f aca="false">INDEX(MINVERSE($B$42:$P$56),8,14)</f>
        <v>0</v>
      </c>
      <c r="P67" s="53" t="n">
        <f aca="false">INDEX(MINVERSE($B$42:$P$56),8,15)</f>
        <v>0</v>
      </c>
      <c r="R67" s="53" t="n">
        <f aca="false">INDEX(MMULT($B$60:$P$74,$R$42:$R$56),8,1)</f>
        <v>0.125</v>
      </c>
    </row>
    <row r="68" customFormat="false" ht="15" hidden="false" customHeight="false" outlineLevel="0" collapsed="false">
      <c r="B68" s="53" t="n">
        <f aca="false">INDEX(MINVERSE($B$42:$P$56),9,1)</f>
        <v>0</v>
      </c>
      <c r="C68" s="53" t="n">
        <f aca="false">INDEX(MINVERSE($B$42:$P$56),9,2)</f>
        <v>0</v>
      </c>
      <c r="D68" s="53" t="n">
        <f aca="false">INDEX(MINVERSE($B$42:$P$56),9,3)</f>
        <v>0</v>
      </c>
      <c r="E68" s="53" t="n">
        <f aca="false">INDEX(MINVERSE($B$42:$P$56),9,4)</f>
        <v>0</v>
      </c>
      <c r="F68" s="53" t="n">
        <f aca="false">INDEX(MINVERSE($B$42:$P$56),9,5)</f>
        <v>0</v>
      </c>
      <c r="G68" s="53" t="n">
        <f aca="false">INDEX(MINVERSE($B$42:$P$56),9,6)</f>
        <v>0</v>
      </c>
      <c r="H68" s="53" t="n">
        <f aca="false">INDEX(MINVERSE($B$42:$P$56),9,7)</f>
        <v>0</v>
      </c>
      <c r="I68" s="53" t="n">
        <f aca="false">INDEX(MINVERSE($B$42:$P$56),9,8)</f>
        <v>0</v>
      </c>
      <c r="J68" s="53" t="n">
        <f aca="false">INDEX(MINVERSE($B$42:$P$56),9,9)</f>
        <v>0.0625</v>
      </c>
      <c r="K68" s="53" t="n">
        <f aca="false">INDEX(MINVERSE($B$42:$P$56),9,10)</f>
        <v>0</v>
      </c>
      <c r="L68" s="53" t="n">
        <f aca="false">INDEX(MINVERSE($B$42:$P$56),9,11)</f>
        <v>0</v>
      </c>
      <c r="M68" s="53" t="n">
        <f aca="false">INDEX(MINVERSE($B$42:$P$56),9,12)</f>
        <v>0</v>
      </c>
      <c r="N68" s="53" t="n">
        <f aca="false">INDEX(MINVERSE($B$42:$P$56),9,13)</f>
        <v>0</v>
      </c>
      <c r="O68" s="53" t="n">
        <f aca="false">INDEX(MINVERSE($B$42:$P$56),9,14)</f>
        <v>0</v>
      </c>
      <c r="P68" s="53" t="n">
        <f aca="false">INDEX(MINVERSE($B$42:$P$56),9,15)</f>
        <v>0</v>
      </c>
      <c r="R68" s="53" t="n">
        <f aca="false">INDEX(MMULT($B$60:$P$74,$R$42:$R$56),9,1)</f>
        <v>0.3125</v>
      </c>
    </row>
    <row r="69" customFormat="false" ht="15" hidden="false" customHeight="false" outlineLevel="0" collapsed="false">
      <c r="B69" s="53" t="n">
        <f aca="false">INDEX(MINVERSE($B$42:$P$56),10,1)</f>
        <v>0</v>
      </c>
      <c r="C69" s="53" t="n">
        <f aca="false">INDEX(MINVERSE($B$42:$P$56),10,2)</f>
        <v>0</v>
      </c>
      <c r="D69" s="53" t="n">
        <f aca="false">INDEX(MINVERSE($B$42:$P$56),10,3)</f>
        <v>0</v>
      </c>
      <c r="E69" s="53" t="n">
        <f aca="false">INDEX(MINVERSE($B$42:$P$56),10,4)</f>
        <v>0</v>
      </c>
      <c r="F69" s="53" t="n">
        <f aca="false">INDEX(MINVERSE($B$42:$P$56),10,5)</f>
        <v>0</v>
      </c>
      <c r="G69" s="53" t="n">
        <f aca="false">INDEX(MINVERSE($B$42:$P$56),10,6)</f>
        <v>0</v>
      </c>
      <c r="H69" s="53" t="n">
        <f aca="false">INDEX(MINVERSE($B$42:$P$56),10,7)</f>
        <v>0</v>
      </c>
      <c r="I69" s="53" t="n">
        <f aca="false">INDEX(MINVERSE($B$42:$P$56),10,8)</f>
        <v>0</v>
      </c>
      <c r="J69" s="53" t="n">
        <f aca="false">INDEX(MINVERSE($B$42:$P$56),10,9)</f>
        <v>0</v>
      </c>
      <c r="K69" s="53" t="n">
        <f aca="false">INDEX(MINVERSE($B$42:$P$56),10,10)</f>
        <v>0.0625</v>
      </c>
      <c r="L69" s="53" t="n">
        <f aca="false">INDEX(MINVERSE($B$42:$P$56),10,11)</f>
        <v>0</v>
      </c>
      <c r="M69" s="53" t="n">
        <f aca="false">INDEX(MINVERSE($B$42:$P$56),10,12)</f>
        <v>0</v>
      </c>
      <c r="N69" s="53" t="n">
        <f aca="false">INDEX(MINVERSE($B$42:$P$56),10,13)</f>
        <v>0</v>
      </c>
      <c r="O69" s="53" t="n">
        <f aca="false">INDEX(MINVERSE($B$42:$P$56),10,14)</f>
        <v>0</v>
      </c>
      <c r="P69" s="53" t="n">
        <f aca="false">INDEX(MINVERSE($B$42:$P$56),10,15)</f>
        <v>0</v>
      </c>
      <c r="R69" s="53" t="n">
        <f aca="false">INDEX(MMULT($B$60:$P$74,$R$42:$R$56),10,1)</f>
        <v>-0.2125</v>
      </c>
    </row>
    <row r="70" customFormat="false" ht="15" hidden="false" customHeight="false" outlineLevel="0" collapsed="false">
      <c r="B70" s="53" t="n">
        <f aca="false">INDEX(MINVERSE($B$42:$P$56),11,1)</f>
        <v>0</v>
      </c>
      <c r="C70" s="53" t="n">
        <f aca="false">INDEX(MINVERSE($B$42:$P$56),11,2)</f>
        <v>0</v>
      </c>
      <c r="D70" s="53" t="n">
        <f aca="false">INDEX(MINVERSE($B$42:$P$56),11,3)</f>
        <v>0</v>
      </c>
      <c r="E70" s="53" t="n">
        <f aca="false">INDEX(MINVERSE($B$42:$P$56),11,4)</f>
        <v>0</v>
      </c>
      <c r="F70" s="53" t="n">
        <f aca="false">INDEX(MINVERSE($B$42:$P$56),11,5)</f>
        <v>0</v>
      </c>
      <c r="G70" s="53" t="n">
        <f aca="false">INDEX(MINVERSE($B$42:$P$56),11,6)</f>
        <v>0</v>
      </c>
      <c r="H70" s="53" t="n">
        <f aca="false">INDEX(MINVERSE($B$42:$P$56),11,7)</f>
        <v>0</v>
      </c>
      <c r="I70" s="53" t="n">
        <f aca="false">INDEX(MINVERSE($B$42:$P$56),11,8)</f>
        <v>0</v>
      </c>
      <c r="J70" s="53" t="n">
        <f aca="false">INDEX(MINVERSE($B$42:$P$56),11,9)</f>
        <v>0</v>
      </c>
      <c r="K70" s="53" t="n">
        <f aca="false">INDEX(MINVERSE($B$42:$P$56),11,10)</f>
        <v>0</v>
      </c>
      <c r="L70" s="53" t="n">
        <f aca="false">INDEX(MINVERSE($B$42:$P$56),11,11)</f>
        <v>0.0625</v>
      </c>
      <c r="M70" s="53" t="n">
        <f aca="false">INDEX(MINVERSE($B$42:$P$56),11,12)</f>
        <v>0</v>
      </c>
      <c r="N70" s="53" t="n">
        <f aca="false">INDEX(MINVERSE($B$42:$P$56),11,13)</f>
        <v>0</v>
      </c>
      <c r="O70" s="53" t="n">
        <f aca="false">INDEX(MINVERSE($B$42:$P$56),11,14)</f>
        <v>0</v>
      </c>
      <c r="P70" s="53" t="n">
        <f aca="false">INDEX(MINVERSE($B$42:$P$56),11,15)</f>
        <v>0</v>
      </c>
      <c r="R70" s="53" t="n">
        <f aca="false">INDEX(MMULT($B$60:$P$74,$R$42:$R$56),11,1)</f>
        <v>0.2875</v>
      </c>
    </row>
    <row r="71" customFormat="false" ht="15" hidden="false" customHeight="false" outlineLevel="0" collapsed="false">
      <c r="B71" s="53" t="n">
        <f aca="false">INDEX(MINVERSE($B$42:$P$56),12,1)</f>
        <v>-0.0263157894736842</v>
      </c>
      <c r="C71" s="53" t="n">
        <f aca="false">INDEX(MINVERSE($B$42:$P$56),12,2)</f>
        <v>0</v>
      </c>
      <c r="D71" s="53" t="n">
        <f aca="false">INDEX(MINVERSE($B$42:$P$56),12,3)</f>
        <v>0</v>
      </c>
      <c r="E71" s="53" t="n">
        <f aca="false">INDEX(MINVERSE($B$42:$P$56),12,4)</f>
        <v>0</v>
      </c>
      <c r="F71" s="53" t="n">
        <f aca="false">INDEX(MINVERSE($B$42:$P$56),12,5)</f>
        <v>0</v>
      </c>
      <c r="G71" s="53" t="n">
        <f aca="false">INDEX(MINVERSE($B$42:$P$56),12,6)</f>
        <v>0</v>
      </c>
      <c r="H71" s="53" t="n">
        <f aca="false">INDEX(MINVERSE($B$42:$P$56),12,7)</f>
        <v>0</v>
      </c>
      <c r="I71" s="53" t="n">
        <f aca="false">INDEX(MINVERSE($B$42:$P$56),12,8)</f>
        <v>0</v>
      </c>
      <c r="J71" s="53" t="n">
        <f aca="false">INDEX(MINVERSE($B$42:$P$56),12,9)</f>
        <v>0</v>
      </c>
      <c r="K71" s="53" t="n">
        <f aca="false">INDEX(MINVERSE($B$42:$P$56),12,10)</f>
        <v>0</v>
      </c>
      <c r="L71" s="53" t="n">
        <f aca="false">INDEX(MINVERSE($B$42:$P$56),12,11)</f>
        <v>0</v>
      </c>
      <c r="M71" s="53" t="n">
        <f aca="false">INDEX(MINVERSE($B$42:$P$56),12,12)</f>
        <v>0.385964912280702</v>
      </c>
      <c r="N71" s="53" t="n">
        <f aca="false">INDEX(MINVERSE($B$42:$P$56),12,13)</f>
        <v>-0.114035087719298</v>
      </c>
      <c r="O71" s="53" t="n">
        <f aca="false">INDEX(MINVERSE($B$42:$P$56),12,14)</f>
        <v>-0.114035087719298</v>
      </c>
      <c r="P71" s="53" t="n">
        <f aca="false">INDEX(MINVERSE($B$42:$P$56),12,15)</f>
        <v>-0.114035087719298</v>
      </c>
      <c r="R71" s="53" t="n">
        <f aca="false">INDEX(MMULT($B$60:$P$74,$R$42:$R$56),12,1)</f>
        <v>-2.58245614035079</v>
      </c>
    </row>
    <row r="72" customFormat="false" ht="15" hidden="false" customHeight="false" outlineLevel="0" collapsed="false">
      <c r="B72" s="53" t="n">
        <f aca="false">INDEX(MINVERSE($B$42:$P$56),13,1)</f>
        <v>-0.0263157894736842</v>
      </c>
      <c r="C72" s="53" t="n">
        <f aca="false">INDEX(MINVERSE($B$42:$P$56),13,2)</f>
        <v>0</v>
      </c>
      <c r="D72" s="53" t="n">
        <f aca="false">INDEX(MINVERSE($B$42:$P$56),13,3)</f>
        <v>0</v>
      </c>
      <c r="E72" s="53" t="n">
        <f aca="false">INDEX(MINVERSE($B$42:$P$56),13,4)</f>
        <v>0</v>
      </c>
      <c r="F72" s="53" t="n">
        <f aca="false">INDEX(MINVERSE($B$42:$P$56),13,5)</f>
        <v>0</v>
      </c>
      <c r="G72" s="53" t="n">
        <f aca="false">INDEX(MINVERSE($B$42:$P$56),13,6)</f>
        <v>0</v>
      </c>
      <c r="H72" s="53" t="n">
        <f aca="false">INDEX(MINVERSE($B$42:$P$56),13,7)</f>
        <v>0</v>
      </c>
      <c r="I72" s="53" t="n">
        <f aca="false">INDEX(MINVERSE($B$42:$P$56),13,8)</f>
        <v>0</v>
      </c>
      <c r="J72" s="53" t="n">
        <f aca="false">INDEX(MINVERSE($B$42:$P$56),13,9)</f>
        <v>0</v>
      </c>
      <c r="K72" s="53" t="n">
        <f aca="false">INDEX(MINVERSE($B$42:$P$56),13,10)</f>
        <v>0</v>
      </c>
      <c r="L72" s="53" t="n">
        <f aca="false">INDEX(MINVERSE($B$42:$P$56),13,11)</f>
        <v>0</v>
      </c>
      <c r="M72" s="53" t="n">
        <f aca="false">INDEX(MINVERSE($B$42:$P$56),13,12)</f>
        <v>-0.114035087719298</v>
      </c>
      <c r="N72" s="53" t="n">
        <f aca="false">INDEX(MINVERSE($B$42:$P$56),13,13)</f>
        <v>0.385964912280702</v>
      </c>
      <c r="O72" s="53" t="n">
        <f aca="false">INDEX(MINVERSE($B$42:$P$56),13,14)</f>
        <v>-0.114035087719298</v>
      </c>
      <c r="P72" s="53" t="n">
        <f aca="false">INDEX(MINVERSE($B$42:$P$56),13,15)</f>
        <v>-0.114035087719298</v>
      </c>
      <c r="R72" s="53" t="n">
        <f aca="false">INDEX(MMULT($B$60:$P$74,$R$42:$R$56),13,1)</f>
        <v>-2.58245614035088</v>
      </c>
    </row>
    <row r="73" customFormat="false" ht="15" hidden="false" customHeight="false" outlineLevel="0" collapsed="false">
      <c r="B73" s="53" t="n">
        <f aca="false">INDEX(MINVERSE($B$42:$P$56),14,1)</f>
        <v>-0.0263157894736842</v>
      </c>
      <c r="C73" s="53" t="n">
        <f aca="false">INDEX(MINVERSE($B$42:$P$56),14,2)</f>
        <v>0</v>
      </c>
      <c r="D73" s="53" t="n">
        <f aca="false">INDEX(MINVERSE($B$42:$P$56),14,3)</f>
        <v>0</v>
      </c>
      <c r="E73" s="53" t="n">
        <f aca="false">INDEX(MINVERSE($B$42:$P$56),14,4)</f>
        <v>0</v>
      </c>
      <c r="F73" s="53" t="n">
        <f aca="false">INDEX(MINVERSE($B$42:$P$56),14,5)</f>
        <v>0</v>
      </c>
      <c r="G73" s="53" t="n">
        <f aca="false">INDEX(MINVERSE($B$42:$P$56),14,6)</f>
        <v>0</v>
      </c>
      <c r="H73" s="53" t="n">
        <f aca="false">INDEX(MINVERSE($B$42:$P$56),14,7)</f>
        <v>0</v>
      </c>
      <c r="I73" s="53" t="n">
        <f aca="false">INDEX(MINVERSE($B$42:$P$56),14,8)</f>
        <v>0</v>
      </c>
      <c r="J73" s="53" t="n">
        <f aca="false">INDEX(MINVERSE($B$42:$P$56),14,9)</f>
        <v>0</v>
      </c>
      <c r="K73" s="53" t="n">
        <f aca="false">INDEX(MINVERSE($B$42:$P$56),14,10)</f>
        <v>0</v>
      </c>
      <c r="L73" s="53" t="n">
        <f aca="false">INDEX(MINVERSE($B$42:$P$56),14,11)</f>
        <v>0</v>
      </c>
      <c r="M73" s="53" t="n">
        <f aca="false">INDEX(MINVERSE($B$42:$P$56),14,12)</f>
        <v>-0.114035087719298</v>
      </c>
      <c r="N73" s="53" t="n">
        <f aca="false">INDEX(MINVERSE($B$42:$P$56),14,13)</f>
        <v>-0.114035087719298</v>
      </c>
      <c r="O73" s="53" t="n">
        <f aca="false">INDEX(MINVERSE($B$42:$P$56),14,14)</f>
        <v>0.385964912280702</v>
      </c>
      <c r="P73" s="53" t="n">
        <f aca="false">INDEX(MINVERSE($B$42:$P$56),14,15)</f>
        <v>-0.114035087719298</v>
      </c>
      <c r="R73" s="53" t="n">
        <f aca="false">INDEX(MMULT($B$60:$P$74,$R$42:$R$56),14,1)</f>
        <v>-0.682456140350872</v>
      </c>
    </row>
    <row r="74" customFormat="false" ht="15" hidden="false" customHeight="false" outlineLevel="0" collapsed="false">
      <c r="B74" s="53" t="n">
        <f aca="false">INDEX(MINVERSE($B$42:$P$56),15,1)</f>
        <v>-0.0263157894736842</v>
      </c>
      <c r="C74" s="53" t="n">
        <f aca="false">INDEX(MINVERSE($B$42:$P$56),15,2)</f>
        <v>0</v>
      </c>
      <c r="D74" s="53" t="n">
        <f aca="false">INDEX(MINVERSE($B$42:$P$56),15,3)</f>
        <v>0</v>
      </c>
      <c r="E74" s="53" t="n">
        <f aca="false">INDEX(MINVERSE($B$42:$P$56),15,4)</f>
        <v>0</v>
      </c>
      <c r="F74" s="53" t="n">
        <f aca="false">INDEX(MINVERSE($B$42:$P$56),15,5)</f>
        <v>0</v>
      </c>
      <c r="G74" s="53" t="n">
        <f aca="false">INDEX(MINVERSE($B$42:$P$56),15,6)</f>
        <v>0</v>
      </c>
      <c r="H74" s="53" t="n">
        <f aca="false">INDEX(MINVERSE($B$42:$P$56),15,7)</f>
        <v>0</v>
      </c>
      <c r="I74" s="53" t="n">
        <f aca="false">INDEX(MINVERSE($B$42:$P$56),15,8)</f>
        <v>0</v>
      </c>
      <c r="J74" s="53" t="n">
        <f aca="false">INDEX(MINVERSE($B$42:$P$56),15,9)</f>
        <v>0</v>
      </c>
      <c r="K74" s="53" t="n">
        <f aca="false">INDEX(MINVERSE($B$42:$P$56),15,10)</f>
        <v>0</v>
      </c>
      <c r="L74" s="53" t="n">
        <f aca="false">INDEX(MINVERSE($B$42:$P$56),15,11)</f>
        <v>0</v>
      </c>
      <c r="M74" s="53" t="n">
        <f aca="false">INDEX(MINVERSE($B$42:$P$56),15,12)</f>
        <v>-0.114035087719298</v>
      </c>
      <c r="N74" s="53" t="n">
        <f aca="false">INDEX(MINVERSE($B$42:$P$56),15,13)</f>
        <v>-0.114035087719298</v>
      </c>
      <c r="O74" s="53" t="n">
        <f aca="false">INDEX(MINVERSE($B$42:$P$56),15,14)</f>
        <v>-0.114035087719298</v>
      </c>
      <c r="P74" s="53" t="n">
        <f aca="false">INDEX(MINVERSE($B$42:$P$56),15,15)</f>
        <v>0.385964912280702</v>
      </c>
      <c r="R74" s="53" t="n">
        <f aca="false">INDEX(MMULT($B$60:$P$74,$R$42:$R$56),15,1)</f>
        <v>-0.38245614035084</v>
      </c>
    </row>
    <row r="77" customFormat="false" ht="15" hidden="false" customHeight="false" outlineLevel="0" collapsed="false">
      <c r="A77" s="38" t="s">
        <v>299</v>
      </c>
    </row>
    <row r="78" customFormat="false" ht="15" hidden="false" customHeight="false" outlineLevel="0" collapsed="false">
      <c r="B78" s="53" t="n">
        <f aca="false">IF(AND(B$3=1,B$3=1),B60,0)</f>
        <v>0.0964912280701755</v>
      </c>
      <c r="C78" s="53" t="n">
        <f aca="false">IF(AND(B$3=1,C$3=1),C60,0)</f>
        <v>0</v>
      </c>
      <c r="D78" s="53" t="n">
        <f aca="false">IF(AND(B$3=1,D$3=1),D60,0)</f>
        <v>0</v>
      </c>
      <c r="E78" s="53" t="n">
        <f aca="false">IF(AND(B$3=1,E$3=1),E60,0)</f>
        <v>0</v>
      </c>
      <c r="F78" s="53" t="n">
        <f aca="false">IF(AND(B$3=1,F$3=1),F60,0)</f>
        <v>0</v>
      </c>
      <c r="G78" s="53" t="n">
        <f aca="false">IF(AND(B$3=1,G$3=1),G60,0)</f>
        <v>0</v>
      </c>
      <c r="H78" s="53" t="n">
        <f aca="false">IF(AND(B$3=1,H$3=1),H60,0)</f>
        <v>0</v>
      </c>
      <c r="I78" s="53" t="n">
        <f aca="false">IF(AND(B$3=1,I$3=1),I60,0)</f>
        <v>0</v>
      </c>
      <c r="J78" s="53" t="n">
        <f aca="false">IF(AND(B$3=1,J$3=1),J60,0)</f>
        <v>0</v>
      </c>
      <c r="K78" s="53" t="n">
        <f aca="false">IF(AND(B$3=1,K$3=1),K60,0)</f>
        <v>0</v>
      </c>
      <c r="L78" s="53" t="n">
        <f aca="false">IF(AND(B$3=1,L$3=1),L60,0)</f>
        <v>0</v>
      </c>
      <c r="M78" s="53" t="n">
        <f aca="false">IF(AND(B$3=1,M$3=1),M60,0)</f>
        <v>-0.0263157894736842</v>
      </c>
      <c r="N78" s="53" t="n">
        <f aca="false">IF(AND(B$3=1,N$3=1),N60,0)</f>
        <v>-0.0263157894736842</v>
      </c>
      <c r="O78" s="53" t="n">
        <f aca="false">IF(AND(B$3=1,O$3=1),O60,0)</f>
        <v>-0.0263157894736842</v>
      </c>
      <c r="P78" s="53" t="n">
        <f aca="false">IF(AND(B$3=1,P$3=1),P60,0)</f>
        <v>-0.0263157894736842</v>
      </c>
    </row>
    <row r="79" customFormat="false" ht="15" hidden="false" customHeight="false" outlineLevel="0" collapsed="false">
      <c r="B79" s="53" t="n">
        <f aca="false">IF(AND(C$3=1,B$3=1),B61,0)</f>
        <v>0</v>
      </c>
      <c r="C79" s="53" t="n">
        <f aca="false">IF(AND(C$3=1,C$3=1),C61,0)</f>
        <v>0.0555555555555556</v>
      </c>
      <c r="D79" s="53" t="n">
        <f aca="false">IF(AND(C$3=1,D$3=1),D61,0)</f>
        <v>0</v>
      </c>
      <c r="E79" s="53" t="n">
        <f aca="false">IF(AND(C$3=1,E$3=1),E61,0)</f>
        <v>0</v>
      </c>
      <c r="F79" s="53" t="n">
        <f aca="false">IF(AND(C$3=1,F$3=1),F61,0)</f>
        <v>0</v>
      </c>
      <c r="G79" s="53" t="n">
        <f aca="false">IF(AND(C$3=1,G$3=1),G61,0)</f>
        <v>0</v>
      </c>
      <c r="H79" s="53" t="n">
        <f aca="false">IF(AND(C$3=1,H$3=1),H61,0)</f>
        <v>0</v>
      </c>
      <c r="I79" s="53" t="n">
        <f aca="false">IF(AND(C$3=1,I$3=1),I61,0)</f>
        <v>0</v>
      </c>
      <c r="J79" s="53" t="n">
        <f aca="false">IF(AND(C$3=1,J$3=1),J61,0)</f>
        <v>0</v>
      </c>
      <c r="K79" s="53" t="n">
        <f aca="false">IF(AND(C$3=1,K$3=1),K61,0)</f>
        <v>0</v>
      </c>
      <c r="L79" s="53" t="n">
        <f aca="false">IF(AND(C$3=1,L$3=1),L61,0)</f>
        <v>0</v>
      </c>
      <c r="M79" s="53" t="n">
        <f aca="false">IF(AND(C$3=1,M$3=1),M61,0)</f>
        <v>0</v>
      </c>
      <c r="N79" s="53" t="n">
        <f aca="false">IF(AND(C$3=1,N$3=1),N61,0)</f>
        <v>0</v>
      </c>
      <c r="O79" s="53" t="n">
        <f aca="false">IF(AND(C$3=1,O$3=1),O61,0)</f>
        <v>0</v>
      </c>
      <c r="P79" s="53" t="n">
        <f aca="false">IF(AND(C$3=1,P$3=1),P61,0)</f>
        <v>0</v>
      </c>
    </row>
    <row r="80" customFormat="false" ht="15" hidden="false" customHeight="false" outlineLevel="0" collapsed="false">
      <c r="B80" s="53" t="n">
        <f aca="false">IF(AND(D$3=1,B$3=1),B62,0)</f>
        <v>0</v>
      </c>
      <c r="C80" s="53" t="n">
        <f aca="false">IF(AND(D$3=1,C$3=1),C62,0)</f>
        <v>0</v>
      </c>
      <c r="D80" s="53" t="n">
        <f aca="false">IF(AND(D$3=1,D$3=1),D62,0)</f>
        <v>0.0555555555555556</v>
      </c>
      <c r="E80" s="53" t="n">
        <f aca="false">IF(AND(D$3=1,E$3=1),E62,0)</f>
        <v>0</v>
      </c>
      <c r="F80" s="53" t="n">
        <f aca="false">IF(AND(D$3=1,F$3=1),F62,0)</f>
        <v>0</v>
      </c>
      <c r="G80" s="53" t="n">
        <f aca="false">IF(AND(D$3=1,G$3=1),G62,0)</f>
        <v>0</v>
      </c>
      <c r="H80" s="53" t="n">
        <f aca="false">IF(AND(D$3=1,H$3=1),H62,0)</f>
        <v>0</v>
      </c>
      <c r="I80" s="53" t="n">
        <f aca="false">IF(AND(D$3=1,I$3=1),I62,0)</f>
        <v>0</v>
      </c>
      <c r="J80" s="53" t="n">
        <f aca="false">IF(AND(D$3=1,J$3=1),J62,0)</f>
        <v>0</v>
      </c>
      <c r="K80" s="53" t="n">
        <f aca="false">IF(AND(D$3=1,K$3=1),K62,0)</f>
        <v>0</v>
      </c>
      <c r="L80" s="53" t="n">
        <f aca="false">IF(AND(D$3=1,L$3=1),L62,0)</f>
        <v>0</v>
      </c>
      <c r="M80" s="53" t="n">
        <f aca="false">IF(AND(D$3=1,M$3=1),M62,0)</f>
        <v>0</v>
      </c>
      <c r="N80" s="53" t="n">
        <f aca="false">IF(AND(D$3=1,N$3=1),N62,0)</f>
        <v>0</v>
      </c>
      <c r="O80" s="53" t="n">
        <f aca="false">IF(AND(D$3=1,O$3=1),O62,0)</f>
        <v>0</v>
      </c>
      <c r="P80" s="53" t="n">
        <f aca="false">IF(AND(D$3=1,P$3=1),P62,0)</f>
        <v>0</v>
      </c>
    </row>
    <row r="81" customFormat="false" ht="15" hidden="false" customHeight="false" outlineLevel="0" collapsed="false">
      <c r="B81" s="53" t="n">
        <f aca="false">IF(AND(E$3=1,B$3=1),B63,0)</f>
        <v>0</v>
      </c>
      <c r="C81" s="53" t="n">
        <f aca="false">IF(AND(E$3=1,C$3=1),C63,0)</f>
        <v>0</v>
      </c>
      <c r="D81" s="53" t="n">
        <f aca="false">IF(AND(E$3=1,D$3=1),D63,0)</f>
        <v>0</v>
      </c>
      <c r="E81" s="53" t="n">
        <f aca="false">IF(AND(E$3=1,E$3=1),E63,0)</f>
        <v>0.0555555555555556</v>
      </c>
      <c r="F81" s="53" t="n">
        <f aca="false">IF(AND(E$3=1,F$3=1),F63,0)</f>
        <v>0</v>
      </c>
      <c r="G81" s="53" t="n">
        <f aca="false">IF(AND(E$3=1,G$3=1),G63,0)</f>
        <v>0</v>
      </c>
      <c r="H81" s="53" t="n">
        <f aca="false">IF(AND(E$3=1,H$3=1),H63,0)</f>
        <v>0</v>
      </c>
      <c r="I81" s="53" t="n">
        <f aca="false">IF(AND(E$3=1,I$3=1),I63,0)</f>
        <v>0</v>
      </c>
      <c r="J81" s="53" t="n">
        <f aca="false">IF(AND(E$3=1,J$3=1),J63,0)</f>
        <v>0</v>
      </c>
      <c r="K81" s="53" t="n">
        <f aca="false">IF(AND(E$3=1,K$3=1),K63,0)</f>
        <v>0</v>
      </c>
      <c r="L81" s="53" t="n">
        <f aca="false">IF(AND(E$3=1,L$3=1),L63,0)</f>
        <v>0</v>
      </c>
      <c r="M81" s="53" t="n">
        <f aca="false">IF(AND(E$3=1,M$3=1),M63,0)</f>
        <v>0</v>
      </c>
      <c r="N81" s="53" t="n">
        <f aca="false">IF(AND(E$3=1,N$3=1),N63,0)</f>
        <v>0</v>
      </c>
      <c r="O81" s="53" t="n">
        <f aca="false">IF(AND(E$3=1,O$3=1),O63,0)</f>
        <v>0</v>
      </c>
      <c r="P81" s="53" t="n">
        <f aca="false">IF(AND(E$3=1,P$3=1),P63,0)</f>
        <v>0</v>
      </c>
    </row>
    <row r="82" customFormat="false" ht="15" hidden="false" customHeight="false" outlineLevel="0" collapsed="false">
      <c r="B82" s="53" t="n">
        <f aca="false">IF(AND(F$3=1,B$3=1),B64,0)</f>
        <v>0</v>
      </c>
      <c r="C82" s="53" t="n">
        <f aca="false">IF(AND(F$3=1,C$3=1),C64,0)</f>
        <v>0</v>
      </c>
      <c r="D82" s="53" t="n">
        <f aca="false">IF(AND(F$3=1,D$3=1),D64,0)</f>
        <v>0</v>
      </c>
      <c r="E82" s="53" t="n">
        <f aca="false">IF(AND(F$3=1,E$3=1),E64,0)</f>
        <v>0</v>
      </c>
      <c r="F82" s="53" t="n">
        <f aca="false">IF(AND(F$3=1,F$3=1),F64,0)</f>
        <v>0.0555555555555556</v>
      </c>
      <c r="G82" s="53" t="n">
        <f aca="false">IF(AND(F$3=1,G$3=1),G64,0)</f>
        <v>0</v>
      </c>
      <c r="H82" s="53" t="n">
        <f aca="false">IF(AND(F$3=1,H$3=1),H64,0)</f>
        <v>0</v>
      </c>
      <c r="I82" s="53" t="n">
        <f aca="false">IF(AND(F$3=1,I$3=1),I64,0)</f>
        <v>0</v>
      </c>
      <c r="J82" s="53" t="n">
        <f aca="false">IF(AND(F$3=1,J$3=1),J64,0)</f>
        <v>0</v>
      </c>
      <c r="K82" s="53" t="n">
        <f aca="false">IF(AND(F$3=1,K$3=1),K64,0)</f>
        <v>0</v>
      </c>
      <c r="L82" s="53" t="n">
        <f aca="false">IF(AND(F$3=1,L$3=1),L64,0)</f>
        <v>0</v>
      </c>
      <c r="M82" s="53" t="n">
        <f aca="false">IF(AND(F$3=1,M$3=1),M64,0)</f>
        <v>0</v>
      </c>
      <c r="N82" s="53" t="n">
        <f aca="false">IF(AND(F$3=1,N$3=1),N64,0)</f>
        <v>0</v>
      </c>
      <c r="O82" s="53" t="n">
        <f aca="false">IF(AND(F$3=1,O$3=1),O64,0)</f>
        <v>0</v>
      </c>
      <c r="P82" s="53" t="n">
        <f aca="false">IF(AND(F$3=1,P$3=1),P64,0)</f>
        <v>0</v>
      </c>
    </row>
    <row r="83" customFormat="false" ht="15" hidden="false" customHeight="false" outlineLevel="0" collapsed="false">
      <c r="B83" s="53" t="n">
        <f aca="false">IF(AND(G$3=1,B$3=1),B65,0)</f>
        <v>0</v>
      </c>
      <c r="C83" s="53" t="n">
        <f aca="false">IF(AND(G$3=1,C$3=1),C65,0)</f>
        <v>0</v>
      </c>
      <c r="D83" s="53" t="n">
        <f aca="false">IF(AND(G$3=1,D$3=1),D65,0)</f>
        <v>0</v>
      </c>
      <c r="E83" s="53" t="n">
        <f aca="false">IF(AND(G$3=1,E$3=1),E65,0)</f>
        <v>0</v>
      </c>
      <c r="F83" s="53" t="n">
        <f aca="false">IF(AND(G$3=1,F$3=1),F65,0)</f>
        <v>0</v>
      </c>
      <c r="G83" s="53" t="n">
        <f aca="false">IF(AND(G$3=1,G$3=1),G65,0)</f>
        <v>0.0625</v>
      </c>
      <c r="H83" s="53" t="n">
        <f aca="false">IF(AND(G$3=1,H$3=1),H65,0)</f>
        <v>0</v>
      </c>
      <c r="I83" s="53" t="n">
        <f aca="false">IF(AND(G$3=1,I$3=1),I65,0)</f>
        <v>0</v>
      </c>
      <c r="J83" s="53" t="n">
        <f aca="false">IF(AND(G$3=1,J$3=1),J65,0)</f>
        <v>0</v>
      </c>
      <c r="K83" s="53" t="n">
        <f aca="false">IF(AND(G$3=1,K$3=1),K65,0)</f>
        <v>0</v>
      </c>
      <c r="L83" s="53" t="n">
        <f aca="false">IF(AND(G$3=1,L$3=1),L65,0)</f>
        <v>0</v>
      </c>
      <c r="M83" s="53" t="n">
        <f aca="false">IF(AND(G$3=1,M$3=1),M65,0)</f>
        <v>0</v>
      </c>
      <c r="N83" s="53" t="n">
        <f aca="false">IF(AND(G$3=1,N$3=1),N65,0)</f>
        <v>0</v>
      </c>
      <c r="O83" s="53" t="n">
        <f aca="false">IF(AND(G$3=1,O$3=1),O65,0)</f>
        <v>0</v>
      </c>
      <c r="P83" s="53" t="n">
        <f aca="false">IF(AND(G$3=1,P$3=1),P65,0)</f>
        <v>0</v>
      </c>
    </row>
    <row r="84" customFormat="false" ht="15" hidden="false" customHeight="false" outlineLevel="0" collapsed="false">
      <c r="B84" s="53" t="n">
        <f aca="false">IF(AND(H$3=1,B$3=1),B66,0)</f>
        <v>0</v>
      </c>
      <c r="C84" s="53" t="n">
        <f aca="false">IF(AND(H$3=1,C$3=1),C66,0)</f>
        <v>0</v>
      </c>
      <c r="D84" s="53" t="n">
        <f aca="false">IF(AND(H$3=1,D$3=1),D66,0)</f>
        <v>0</v>
      </c>
      <c r="E84" s="53" t="n">
        <f aca="false">IF(AND(H$3=1,E$3=1),E66,0)</f>
        <v>0</v>
      </c>
      <c r="F84" s="53" t="n">
        <f aca="false">IF(AND(H$3=1,F$3=1),F66,0)</f>
        <v>0</v>
      </c>
      <c r="G84" s="53" t="n">
        <f aca="false">IF(AND(H$3=1,G$3=1),G66,0)</f>
        <v>0</v>
      </c>
      <c r="H84" s="53" t="n">
        <f aca="false">IF(AND(H$3=1,H$3=1),H66,0)</f>
        <v>0.0625</v>
      </c>
      <c r="I84" s="53" t="n">
        <f aca="false">IF(AND(H$3=1,I$3=1),I66,0)</f>
        <v>0</v>
      </c>
      <c r="J84" s="53" t="n">
        <f aca="false">IF(AND(H$3=1,J$3=1),J66,0)</f>
        <v>0</v>
      </c>
      <c r="K84" s="53" t="n">
        <f aca="false">IF(AND(H$3=1,K$3=1),K66,0)</f>
        <v>0</v>
      </c>
      <c r="L84" s="53" t="n">
        <f aca="false">IF(AND(H$3=1,L$3=1),L66,0)</f>
        <v>0</v>
      </c>
      <c r="M84" s="53" t="n">
        <f aca="false">IF(AND(H$3=1,M$3=1),M66,0)</f>
        <v>0</v>
      </c>
      <c r="N84" s="53" t="n">
        <f aca="false">IF(AND(H$3=1,N$3=1),N66,0)</f>
        <v>0</v>
      </c>
      <c r="O84" s="53" t="n">
        <f aca="false">IF(AND(H$3=1,O$3=1),O66,0)</f>
        <v>0</v>
      </c>
      <c r="P84" s="53" t="n">
        <f aca="false">IF(AND(H$3=1,P$3=1),P66,0)</f>
        <v>0</v>
      </c>
    </row>
    <row r="85" customFormat="false" ht="15" hidden="false" customHeight="false" outlineLevel="0" collapsed="false">
      <c r="B85" s="53" t="n">
        <f aca="false">IF(AND(I$3=1,B$3=1),B67,0)</f>
        <v>0</v>
      </c>
      <c r="C85" s="53" t="n">
        <f aca="false">IF(AND(I$3=1,C$3=1),C67,0)</f>
        <v>0</v>
      </c>
      <c r="D85" s="53" t="n">
        <f aca="false">IF(AND(I$3=1,D$3=1),D67,0)</f>
        <v>0</v>
      </c>
      <c r="E85" s="53" t="n">
        <f aca="false">IF(AND(I$3=1,E$3=1),E67,0)</f>
        <v>0</v>
      </c>
      <c r="F85" s="53" t="n">
        <f aca="false">IF(AND(I$3=1,F$3=1),F67,0)</f>
        <v>0</v>
      </c>
      <c r="G85" s="53" t="n">
        <f aca="false">IF(AND(I$3=1,G$3=1),G67,0)</f>
        <v>0</v>
      </c>
      <c r="H85" s="53" t="n">
        <f aca="false">IF(AND(I$3=1,H$3=1),H67,0)</f>
        <v>0</v>
      </c>
      <c r="I85" s="53" t="n">
        <f aca="false">IF(AND(I$3=1,I$3=1),I67,0)</f>
        <v>0.0625</v>
      </c>
      <c r="J85" s="53" t="n">
        <f aca="false">IF(AND(I$3=1,J$3=1),J67,0)</f>
        <v>0</v>
      </c>
      <c r="K85" s="53" t="n">
        <f aca="false">IF(AND(I$3=1,K$3=1),K67,0)</f>
        <v>0</v>
      </c>
      <c r="L85" s="53" t="n">
        <f aca="false">IF(AND(I$3=1,L$3=1),L67,0)</f>
        <v>0</v>
      </c>
      <c r="M85" s="53" t="n">
        <f aca="false">IF(AND(I$3=1,M$3=1),M67,0)</f>
        <v>0</v>
      </c>
      <c r="N85" s="53" t="n">
        <f aca="false">IF(AND(I$3=1,N$3=1),N67,0)</f>
        <v>0</v>
      </c>
      <c r="O85" s="53" t="n">
        <f aca="false">IF(AND(I$3=1,O$3=1),O67,0)</f>
        <v>0</v>
      </c>
      <c r="P85" s="53" t="n">
        <f aca="false">IF(AND(I$3=1,P$3=1),P67,0)</f>
        <v>0</v>
      </c>
    </row>
    <row r="86" customFormat="false" ht="15" hidden="false" customHeight="false" outlineLevel="0" collapsed="false">
      <c r="B86" s="53" t="n">
        <f aca="false">IF(AND(J$3=1,B$3=1),B68,0)</f>
        <v>0</v>
      </c>
      <c r="C86" s="53" t="n">
        <f aca="false">IF(AND(J$3=1,C$3=1),C68,0)</f>
        <v>0</v>
      </c>
      <c r="D86" s="53" t="n">
        <f aca="false">IF(AND(J$3=1,D$3=1),D68,0)</f>
        <v>0</v>
      </c>
      <c r="E86" s="53" t="n">
        <f aca="false">IF(AND(J$3=1,E$3=1),E68,0)</f>
        <v>0</v>
      </c>
      <c r="F86" s="53" t="n">
        <f aca="false">IF(AND(J$3=1,F$3=1),F68,0)</f>
        <v>0</v>
      </c>
      <c r="G86" s="53" t="n">
        <f aca="false">IF(AND(J$3=1,G$3=1),G68,0)</f>
        <v>0</v>
      </c>
      <c r="H86" s="53" t="n">
        <f aca="false">IF(AND(J$3=1,H$3=1),H68,0)</f>
        <v>0</v>
      </c>
      <c r="I86" s="53" t="n">
        <f aca="false">IF(AND(J$3=1,I$3=1),I68,0)</f>
        <v>0</v>
      </c>
      <c r="J86" s="53" t="n">
        <f aca="false">IF(AND(J$3=1,J$3=1),J68,0)</f>
        <v>0.0625</v>
      </c>
      <c r="K86" s="53" t="n">
        <f aca="false">IF(AND(J$3=1,K$3=1),K68,0)</f>
        <v>0</v>
      </c>
      <c r="L86" s="53" t="n">
        <f aca="false">IF(AND(J$3=1,L$3=1),L68,0)</f>
        <v>0</v>
      </c>
      <c r="M86" s="53" t="n">
        <f aca="false">IF(AND(J$3=1,M$3=1),M68,0)</f>
        <v>0</v>
      </c>
      <c r="N86" s="53" t="n">
        <f aca="false">IF(AND(J$3=1,N$3=1),N68,0)</f>
        <v>0</v>
      </c>
      <c r="O86" s="53" t="n">
        <f aca="false">IF(AND(J$3=1,O$3=1),O68,0)</f>
        <v>0</v>
      </c>
      <c r="P86" s="53" t="n">
        <f aca="false">IF(AND(J$3=1,P$3=1),P68,0)</f>
        <v>0</v>
      </c>
    </row>
    <row r="87" customFormat="false" ht="15" hidden="false" customHeight="false" outlineLevel="0" collapsed="false">
      <c r="B87" s="53" t="n">
        <f aca="false">IF(AND(K$3=1,B$3=1),B69,0)</f>
        <v>0</v>
      </c>
      <c r="C87" s="53" t="n">
        <f aca="false">IF(AND(K$3=1,C$3=1),C69,0)</f>
        <v>0</v>
      </c>
      <c r="D87" s="53" t="n">
        <f aca="false">IF(AND(K$3=1,D$3=1),D69,0)</f>
        <v>0</v>
      </c>
      <c r="E87" s="53" t="n">
        <f aca="false">IF(AND(K$3=1,E$3=1),E69,0)</f>
        <v>0</v>
      </c>
      <c r="F87" s="53" t="n">
        <f aca="false">IF(AND(K$3=1,F$3=1),F69,0)</f>
        <v>0</v>
      </c>
      <c r="G87" s="53" t="n">
        <f aca="false">IF(AND(K$3=1,G$3=1),G69,0)</f>
        <v>0</v>
      </c>
      <c r="H87" s="53" t="n">
        <f aca="false">IF(AND(K$3=1,H$3=1),H69,0)</f>
        <v>0</v>
      </c>
      <c r="I87" s="53" t="n">
        <f aca="false">IF(AND(K$3=1,I$3=1),I69,0)</f>
        <v>0</v>
      </c>
      <c r="J87" s="53" t="n">
        <f aca="false">IF(AND(K$3=1,J$3=1),J69,0)</f>
        <v>0</v>
      </c>
      <c r="K87" s="53" t="n">
        <f aca="false">IF(AND(K$3=1,K$3=1),K69,0)</f>
        <v>0.0625</v>
      </c>
      <c r="L87" s="53" t="n">
        <f aca="false">IF(AND(K$3=1,L$3=1),L69,0)</f>
        <v>0</v>
      </c>
      <c r="M87" s="53" t="n">
        <f aca="false">IF(AND(K$3=1,M$3=1),M69,0)</f>
        <v>0</v>
      </c>
      <c r="N87" s="53" t="n">
        <f aca="false">IF(AND(K$3=1,N$3=1),N69,0)</f>
        <v>0</v>
      </c>
      <c r="O87" s="53" t="n">
        <f aca="false">IF(AND(K$3=1,O$3=1),O69,0)</f>
        <v>0</v>
      </c>
      <c r="P87" s="53" t="n">
        <f aca="false">IF(AND(K$3=1,P$3=1),P69,0)</f>
        <v>0</v>
      </c>
    </row>
    <row r="88" customFormat="false" ht="15" hidden="false" customHeight="false" outlineLevel="0" collapsed="false">
      <c r="B88" s="53" t="n">
        <f aca="false">IF(AND(L$3=1,B$3=1),B70,0)</f>
        <v>0</v>
      </c>
      <c r="C88" s="53" t="n">
        <f aca="false">IF(AND(L$3=1,C$3=1),C70,0)</f>
        <v>0</v>
      </c>
      <c r="D88" s="53" t="n">
        <f aca="false">IF(AND(L$3=1,D$3=1),D70,0)</f>
        <v>0</v>
      </c>
      <c r="E88" s="53" t="n">
        <f aca="false">IF(AND(L$3=1,E$3=1),E70,0)</f>
        <v>0</v>
      </c>
      <c r="F88" s="53" t="n">
        <f aca="false">IF(AND(L$3=1,F$3=1),F70,0)</f>
        <v>0</v>
      </c>
      <c r="G88" s="53" t="n">
        <f aca="false">IF(AND(L$3=1,G$3=1),G70,0)</f>
        <v>0</v>
      </c>
      <c r="H88" s="53" t="n">
        <f aca="false">IF(AND(L$3=1,H$3=1),H70,0)</f>
        <v>0</v>
      </c>
      <c r="I88" s="53" t="n">
        <f aca="false">IF(AND(L$3=1,I$3=1),I70,0)</f>
        <v>0</v>
      </c>
      <c r="J88" s="53" t="n">
        <f aca="false">IF(AND(L$3=1,J$3=1),J70,0)</f>
        <v>0</v>
      </c>
      <c r="K88" s="53" t="n">
        <f aca="false">IF(AND(L$3=1,K$3=1),K70,0)</f>
        <v>0</v>
      </c>
      <c r="L88" s="53" t="n">
        <f aca="false">IF(AND(L$3=1,L$3=1),L70,0)</f>
        <v>0.0625</v>
      </c>
      <c r="M88" s="53" t="n">
        <f aca="false">IF(AND(L$3=1,M$3=1),M70,0)</f>
        <v>0</v>
      </c>
      <c r="N88" s="53" t="n">
        <f aca="false">IF(AND(L$3=1,N$3=1),N70,0)</f>
        <v>0</v>
      </c>
      <c r="O88" s="53" t="n">
        <f aca="false">IF(AND(L$3=1,O$3=1),O70,0)</f>
        <v>0</v>
      </c>
      <c r="P88" s="53" t="n">
        <f aca="false">IF(AND(L$3=1,P$3=1),P70,0)</f>
        <v>0</v>
      </c>
    </row>
    <row r="89" customFormat="false" ht="15" hidden="false" customHeight="false" outlineLevel="0" collapsed="false">
      <c r="B89" s="53" t="n">
        <f aca="false">IF(AND(M$3=1,B$3=1),B71,0)</f>
        <v>-0.0263157894736842</v>
      </c>
      <c r="C89" s="53" t="n">
        <f aca="false">IF(AND(M$3=1,C$3=1),C71,0)</f>
        <v>0</v>
      </c>
      <c r="D89" s="53" t="n">
        <f aca="false">IF(AND(M$3=1,D$3=1),D71,0)</f>
        <v>0</v>
      </c>
      <c r="E89" s="53" t="n">
        <f aca="false">IF(AND(M$3=1,E$3=1),E71,0)</f>
        <v>0</v>
      </c>
      <c r="F89" s="53" t="n">
        <f aca="false">IF(AND(M$3=1,F$3=1),F71,0)</f>
        <v>0</v>
      </c>
      <c r="G89" s="53" t="n">
        <f aca="false">IF(AND(M$3=1,G$3=1),G71,0)</f>
        <v>0</v>
      </c>
      <c r="H89" s="53" t="n">
        <f aca="false">IF(AND(M$3=1,H$3=1),H71,0)</f>
        <v>0</v>
      </c>
      <c r="I89" s="53" t="n">
        <f aca="false">IF(AND(M$3=1,I$3=1),I71,0)</f>
        <v>0</v>
      </c>
      <c r="J89" s="53" t="n">
        <f aca="false">IF(AND(M$3=1,J$3=1),J71,0)</f>
        <v>0</v>
      </c>
      <c r="K89" s="53" t="n">
        <f aca="false">IF(AND(M$3=1,K$3=1),K71,0)</f>
        <v>0</v>
      </c>
      <c r="L89" s="53" t="n">
        <f aca="false">IF(AND(M$3=1,L$3=1),L71,0)</f>
        <v>0</v>
      </c>
      <c r="M89" s="53" t="n">
        <f aca="false">IF(AND(M$3=1,M$3=1),M71,0)</f>
        <v>0.385964912280702</v>
      </c>
      <c r="N89" s="53" t="n">
        <f aca="false">IF(AND(M$3=1,N$3=1),N71,0)</f>
        <v>-0.114035087719298</v>
      </c>
      <c r="O89" s="53" t="n">
        <f aca="false">IF(AND(M$3=1,O$3=1),O71,0)</f>
        <v>-0.114035087719298</v>
      </c>
      <c r="P89" s="53" t="n">
        <f aca="false">IF(AND(M$3=1,P$3=1),P71,0)</f>
        <v>-0.114035087719298</v>
      </c>
    </row>
    <row r="90" customFormat="false" ht="15" hidden="false" customHeight="false" outlineLevel="0" collapsed="false">
      <c r="B90" s="53" t="n">
        <f aca="false">IF(AND(N$3=1,B$3=1),B72,0)</f>
        <v>-0.0263157894736842</v>
      </c>
      <c r="C90" s="53" t="n">
        <f aca="false">IF(AND(N$3=1,C$3=1),C72,0)</f>
        <v>0</v>
      </c>
      <c r="D90" s="53" t="n">
        <f aca="false">IF(AND(N$3=1,D$3=1),D72,0)</f>
        <v>0</v>
      </c>
      <c r="E90" s="53" t="n">
        <f aca="false">IF(AND(N$3=1,E$3=1),E72,0)</f>
        <v>0</v>
      </c>
      <c r="F90" s="53" t="n">
        <f aca="false">IF(AND(N$3=1,F$3=1),F72,0)</f>
        <v>0</v>
      </c>
      <c r="G90" s="53" t="n">
        <f aca="false">IF(AND(N$3=1,G$3=1),G72,0)</f>
        <v>0</v>
      </c>
      <c r="H90" s="53" t="n">
        <f aca="false">IF(AND(N$3=1,H$3=1),H72,0)</f>
        <v>0</v>
      </c>
      <c r="I90" s="53" t="n">
        <f aca="false">IF(AND(N$3=1,I$3=1),I72,0)</f>
        <v>0</v>
      </c>
      <c r="J90" s="53" t="n">
        <f aca="false">IF(AND(N$3=1,J$3=1),J72,0)</f>
        <v>0</v>
      </c>
      <c r="K90" s="53" t="n">
        <f aca="false">IF(AND(N$3=1,K$3=1),K72,0)</f>
        <v>0</v>
      </c>
      <c r="L90" s="53" t="n">
        <f aca="false">IF(AND(N$3=1,L$3=1),L72,0)</f>
        <v>0</v>
      </c>
      <c r="M90" s="53" t="n">
        <f aca="false">IF(AND(N$3=1,M$3=1),M72,0)</f>
        <v>-0.114035087719298</v>
      </c>
      <c r="N90" s="53" t="n">
        <f aca="false">IF(AND(N$3=1,N$3=1),N72,0)</f>
        <v>0.385964912280702</v>
      </c>
      <c r="O90" s="53" t="n">
        <f aca="false">IF(AND(N$3=1,O$3=1),O72,0)</f>
        <v>-0.114035087719298</v>
      </c>
      <c r="P90" s="53" t="n">
        <f aca="false">IF(AND(N$3=1,P$3=1),P72,0)</f>
        <v>-0.114035087719298</v>
      </c>
    </row>
    <row r="91" customFormat="false" ht="15" hidden="false" customHeight="false" outlineLevel="0" collapsed="false">
      <c r="B91" s="53" t="n">
        <f aca="false">IF(AND(O$3=1,B$3=1),B73,0)</f>
        <v>-0.0263157894736842</v>
      </c>
      <c r="C91" s="53" t="n">
        <f aca="false">IF(AND(O$3=1,C$3=1),C73,0)</f>
        <v>0</v>
      </c>
      <c r="D91" s="53" t="n">
        <f aca="false">IF(AND(O$3=1,D$3=1),D73,0)</f>
        <v>0</v>
      </c>
      <c r="E91" s="53" t="n">
        <f aca="false">IF(AND(O$3=1,E$3=1),E73,0)</f>
        <v>0</v>
      </c>
      <c r="F91" s="53" t="n">
        <f aca="false">IF(AND(O$3=1,F$3=1),F73,0)</f>
        <v>0</v>
      </c>
      <c r="G91" s="53" t="n">
        <f aca="false">IF(AND(O$3=1,G$3=1),G73,0)</f>
        <v>0</v>
      </c>
      <c r="H91" s="53" t="n">
        <f aca="false">IF(AND(O$3=1,H$3=1),H73,0)</f>
        <v>0</v>
      </c>
      <c r="I91" s="53" t="n">
        <f aca="false">IF(AND(O$3=1,I$3=1),I73,0)</f>
        <v>0</v>
      </c>
      <c r="J91" s="53" t="n">
        <f aca="false">IF(AND(O$3=1,J$3=1),J73,0)</f>
        <v>0</v>
      </c>
      <c r="K91" s="53" t="n">
        <f aca="false">IF(AND(O$3=1,K$3=1),K73,0)</f>
        <v>0</v>
      </c>
      <c r="L91" s="53" t="n">
        <f aca="false">IF(AND(O$3=1,L$3=1),L73,0)</f>
        <v>0</v>
      </c>
      <c r="M91" s="53" t="n">
        <f aca="false">IF(AND(O$3=1,M$3=1),M73,0)</f>
        <v>-0.114035087719298</v>
      </c>
      <c r="N91" s="53" t="n">
        <f aca="false">IF(AND(O$3=1,N$3=1),N73,0)</f>
        <v>-0.114035087719298</v>
      </c>
      <c r="O91" s="53" t="n">
        <f aca="false">IF(AND(O$3=1,O$3=1),O73,0)</f>
        <v>0.385964912280702</v>
      </c>
      <c r="P91" s="53" t="n">
        <f aca="false">IF(AND(O$3=1,P$3=1),P73,0)</f>
        <v>-0.114035087719298</v>
      </c>
    </row>
    <row r="92" customFormat="false" ht="15" hidden="false" customHeight="false" outlineLevel="0" collapsed="false">
      <c r="B92" s="53" t="n">
        <f aca="false">IF(AND(P$3=1,B$3=1),B74,0)</f>
        <v>-0.0263157894736842</v>
      </c>
      <c r="C92" s="53" t="n">
        <f aca="false">IF(AND(P$3=1,C$3=1),C74,0)</f>
        <v>0</v>
      </c>
      <c r="D92" s="53" t="n">
        <f aca="false">IF(AND(P$3=1,D$3=1),D74,0)</f>
        <v>0</v>
      </c>
      <c r="E92" s="53" t="n">
        <f aca="false">IF(AND(P$3=1,E$3=1),E74,0)</f>
        <v>0</v>
      </c>
      <c r="F92" s="53" t="n">
        <f aca="false">IF(AND(P$3=1,F$3=1),F74,0)</f>
        <v>0</v>
      </c>
      <c r="G92" s="53" t="n">
        <f aca="false">IF(AND(P$3=1,G$3=1),G74,0)</f>
        <v>0</v>
      </c>
      <c r="H92" s="53" t="n">
        <f aca="false">IF(AND(P$3=1,H$3=1),H74,0)</f>
        <v>0</v>
      </c>
      <c r="I92" s="53" t="n">
        <f aca="false">IF(AND(P$3=1,I$3=1),I74,0)</f>
        <v>0</v>
      </c>
      <c r="J92" s="53" t="n">
        <f aca="false">IF(AND(P$3=1,J$3=1),J74,0)</f>
        <v>0</v>
      </c>
      <c r="K92" s="53" t="n">
        <f aca="false">IF(AND(P$3=1,K$3=1),K74,0)</f>
        <v>0</v>
      </c>
      <c r="L92" s="53" t="n">
        <f aca="false">IF(AND(P$3=1,L$3=1),L74,0)</f>
        <v>0</v>
      </c>
      <c r="M92" s="53" t="n">
        <f aca="false">IF(AND(P$3=1,M$3=1),M74,0)</f>
        <v>-0.114035087719298</v>
      </c>
      <c r="N92" s="53" t="n">
        <f aca="false">IF(AND(P$3=1,N$3=1),N74,0)</f>
        <v>-0.114035087719298</v>
      </c>
      <c r="O92" s="53" t="n">
        <f aca="false">IF(AND(P$3=1,O$3=1),O74,0)</f>
        <v>-0.114035087719298</v>
      </c>
      <c r="P92" s="53" t="n">
        <f aca="false">IF(AND(P$3=1,P$3=1),P74,0)</f>
        <v>0.385964912280702</v>
      </c>
    </row>
    <row r="95" customFormat="false" ht="15" hidden="false" customHeight="false" outlineLevel="0" collapsed="false">
      <c r="A95" s="17" t="s">
        <v>300</v>
      </c>
    </row>
    <row r="96" customFormat="false" ht="15" hidden="false" customHeight="false" outlineLevel="0" collapsed="false">
      <c r="B96" s="53" t="n">
        <f aca="false">INDEX($R$60:$R$74,1)</f>
        <v>47.907894736842</v>
      </c>
      <c r="C96" s="53" t="n">
        <f aca="false">INDEX($R$60:$R$74,2)</f>
        <v>2.00555555555555</v>
      </c>
      <c r="D96" s="53" t="n">
        <f aca="false">INDEX($R$60:$R$74,3)</f>
        <v>2.09444444444444</v>
      </c>
      <c r="E96" s="53" t="n">
        <f aca="false">INDEX($R$60:$R$74,4)</f>
        <v>0.983333333333333</v>
      </c>
      <c r="F96" s="53" t="n">
        <f aca="false">INDEX($R$60:$R$74,5)</f>
        <v>0.405555555555555</v>
      </c>
      <c r="G96" s="53" t="n">
        <f aca="false">INDEX($R$60:$R$74,6)</f>
        <v>1.125</v>
      </c>
      <c r="H96" s="53" t="n">
        <f aca="false">INDEX($R$60:$R$74,7)</f>
        <v>-0.65</v>
      </c>
      <c r="I96" s="53" t="n">
        <f aca="false">INDEX($R$60:$R$74,8)</f>
        <v>0.125</v>
      </c>
      <c r="J96" s="53" t="n">
        <f aca="false">INDEX($R$60:$R$74,9)</f>
        <v>0.3125</v>
      </c>
      <c r="K96" s="53" t="n">
        <f aca="false">INDEX($R$60:$R$74,10)</f>
        <v>-0.2125</v>
      </c>
      <c r="L96" s="53" t="n">
        <f aca="false">INDEX($R$60:$R$74,11)</f>
        <v>0.2875</v>
      </c>
      <c r="M96" s="53" t="n">
        <f aca="false">INDEX($R$60:$R$74,12)</f>
        <v>-2.58245614035079</v>
      </c>
      <c r="N96" s="53" t="n">
        <f aca="false">INDEX($R$60:$R$74,13)</f>
        <v>-2.58245614035088</v>
      </c>
      <c r="O96" s="53" t="n">
        <f aca="false">INDEX($R$60:$R$74,14)</f>
        <v>-0.682456140350872</v>
      </c>
      <c r="P96" s="53" t="n">
        <f aca="false">INDEX($R$60:$R$74,15)</f>
        <v>-0.38245614035084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G65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301</v>
      </c>
    </row>
    <row r="4" customFormat="false" ht="29.85" hidden="false" customHeight="false" outlineLevel="0" collapsed="false">
      <c r="A4" s="9" t="s">
        <v>302</v>
      </c>
      <c r="B4" s="9" t="s">
        <v>303</v>
      </c>
      <c r="C4" s="9" t="s">
        <v>304</v>
      </c>
      <c r="D4" s="9" t="s">
        <v>305</v>
      </c>
      <c r="E4" s="9" t="s">
        <v>64</v>
      </c>
      <c r="F4" s="9" t="s">
        <v>69</v>
      </c>
      <c r="G4" s="9" t="s">
        <v>72</v>
      </c>
      <c r="H4" s="9" t="s">
        <v>76</v>
      </c>
      <c r="I4" s="10" t="s">
        <v>152</v>
      </c>
      <c r="J4" s="9" t="s">
        <v>64</v>
      </c>
      <c r="K4" s="9" t="s">
        <v>69</v>
      </c>
      <c r="L4" s="9" t="s">
        <v>72</v>
      </c>
      <c r="M4" s="9" t="s">
        <v>76</v>
      </c>
      <c r="N4" s="9" t="s">
        <v>158</v>
      </c>
      <c r="O4" s="9" t="s">
        <v>160</v>
      </c>
      <c r="P4" s="9" t="s">
        <v>162</v>
      </c>
      <c r="Q4" s="9" t="s">
        <v>164</v>
      </c>
      <c r="R4" s="9" t="s">
        <v>166</v>
      </c>
      <c r="S4" s="9" t="s">
        <v>168</v>
      </c>
      <c r="T4" s="9" t="s">
        <v>170</v>
      </c>
      <c r="U4" s="9" t="s">
        <v>172</v>
      </c>
      <c r="V4" s="9" t="s">
        <v>174</v>
      </c>
      <c r="W4" s="9" t="s">
        <v>176</v>
      </c>
      <c r="X4" s="10" t="s">
        <v>245</v>
      </c>
      <c r="Y4" s="9" t="s">
        <v>250</v>
      </c>
      <c r="Z4" s="10" t="s">
        <v>56</v>
      </c>
      <c r="AA4" s="10" t="s">
        <v>240</v>
      </c>
      <c r="AB4" s="10" t="s">
        <v>241</v>
      </c>
      <c r="AC4" s="10" t="s">
        <v>306</v>
      </c>
      <c r="AD4" s="10" t="s">
        <v>246</v>
      </c>
      <c r="AE4" s="10" t="s">
        <v>307</v>
      </c>
      <c r="AF4" s="10" t="s">
        <v>308</v>
      </c>
      <c r="AG4" s="10" t="s">
        <v>309</v>
      </c>
    </row>
    <row r="5" customFormat="false" ht="15" hidden="false" customHeight="false" outlineLevel="0" collapsed="false">
      <c r="A5" s="0" t="n">
        <v>0</v>
      </c>
      <c r="B5" s="0" t="n">
        <v>0</v>
      </c>
      <c r="C5" s="0" t="n">
        <v>0</v>
      </c>
      <c r="D5" s="0" t="n">
        <v>0</v>
      </c>
      <c r="E5" s="0" t="n">
        <f aca="false">-1+A5*0.25</f>
        <v>-1</v>
      </c>
      <c r="F5" s="0" t="n">
        <f aca="false">-1+B5*0.25</f>
        <v>-1</v>
      </c>
      <c r="G5" s="0" t="n">
        <f aca="false">-1+C5*0.25</f>
        <v>-1</v>
      </c>
      <c r="H5" s="0" t="n">
        <f aca="false">-1+D5*0.25</f>
        <v>-1</v>
      </c>
      <c r="I5" s="0" t="n">
        <f aca="false">1</f>
        <v>1</v>
      </c>
      <c r="J5" s="0" t="n">
        <f aca="false">E5</f>
        <v>-1</v>
      </c>
      <c r="K5" s="0" t="n">
        <f aca="false">F5</f>
        <v>-1</v>
      </c>
      <c r="L5" s="0" t="n">
        <f aca="false">G5</f>
        <v>-1</v>
      </c>
      <c r="M5" s="0" t="n">
        <f aca="false">H5</f>
        <v>-1</v>
      </c>
      <c r="N5" s="0" t="n">
        <f aca="false">E5*F5</f>
        <v>1</v>
      </c>
      <c r="O5" s="0" t="n">
        <f aca="false">E5*G5</f>
        <v>1</v>
      </c>
      <c r="P5" s="0" t="n">
        <f aca="false">E5*H5</f>
        <v>1</v>
      </c>
      <c r="Q5" s="0" t="n">
        <f aca="false">F5*G5</f>
        <v>1</v>
      </c>
      <c r="R5" s="0" t="n">
        <f aca="false">F5*H5</f>
        <v>1</v>
      </c>
      <c r="S5" s="0" t="n">
        <f aca="false">G5*H5</f>
        <v>1</v>
      </c>
      <c r="T5" s="0" t="n">
        <f aca="false">E5*E5</f>
        <v>1</v>
      </c>
      <c r="U5" s="0" t="n">
        <f aca="false">F5*F5</f>
        <v>1</v>
      </c>
      <c r="V5" s="0" t="n">
        <f aca="false">G5*G5</f>
        <v>1</v>
      </c>
      <c r="W5" s="0" t="n">
        <f aca="false">H5*H5</f>
        <v>1</v>
      </c>
      <c r="X5" s="0" t="n">
        <f aca="false">SUMPRODUCT(I5:W5,_XtX!$B$96:$P$96)</f>
        <v>37.1766812865498</v>
      </c>
      <c r="Y5" s="0" t="n">
        <f aca="false">SUMPRODUCT(MMULT(I5:W5,_XtX!$B$78:$P$92),I5:W5)</f>
        <v>0.658625730994152</v>
      </c>
      <c r="Z5" s="0" t="n">
        <f aca="false">04_回帰ANOVA!$K$19*04_回帰ANOVA!$K$14*SQRT(1+Y5)</f>
        <v>1.67869807328422</v>
      </c>
      <c r="AA5" s="0" t="n">
        <f aca="false">X5-Z5</f>
        <v>35.4979832132656</v>
      </c>
      <c r="AB5" s="0" t="n">
        <f aca="false">X5+Z5</f>
        <v>38.855379359834</v>
      </c>
      <c r="AC5" s="54" t="b">
        <f aca="false">AND(E5&gt;=01_因子設定!$L$5-0.000000001,E5&lt;=01_因子設定!$M$5+0.000000001,F5&gt;=01_因子設定!$L$6-0.000000001,F5&lt;=01_因子設定!$M$6+0.000000001,G5&gt;=01_因子設定!$L$7-0.000000001,G5&lt;=01_因子設定!$M$7+0.000000001,H5&gt;=01_因子設定!$L$8-0.000000001,H5&lt;=01_因子設定!$M$8+0.000000001,IF(01_因子設定!$B$20="Box-Behnken",E5^2+F5^2+G5^2+H5^2&lt;=2+0.000000001,TRUE()))</f>
        <v>1</v>
      </c>
      <c r="AD5" s="55" t="n">
        <f aca="false">IF(AC5,IF(01_因子設定!$B$13="最大化",AA5-01_因子設定!$B$14,IF(01_因子設定!$B$13="最小化",01_因子設定!$B$15-AB5,MIN(AA5-01_因子設定!$B$14,01_因子設定!$B$15-AB5))),-1E+030)</f>
        <v>-11.0020167867345</v>
      </c>
      <c r="AE5" s="55" t="n">
        <f aca="false">IF(AC5,IF(01_因子設定!$B$13="最大化",X5,IF(01_因子設定!$B$13="最小化",-X5,-ABS(X5-01_因子設定!$B$16))),-1E+030)</f>
        <v>37.1766812865498</v>
      </c>
      <c r="AF5" s="55" t="n">
        <f aca="false">AD5+ROW()*0.000000001</f>
        <v>-11.0020167817345</v>
      </c>
      <c r="AG5" s="55" t="n">
        <f aca="false">AE5+ROW()*0.000000001</f>
        <v>37.1766812915498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n">
        <v>0</v>
      </c>
      <c r="D6" s="0" t="n">
        <v>1</v>
      </c>
      <c r="E6" s="0" t="n">
        <f aca="false">-1+A6*0.25</f>
        <v>-1</v>
      </c>
      <c r="F6" s="0" t="n">
        <f aca="false">-1+B6*0.25</f>
        <v>-1</v>
      </c>
      <c r="G6" s="0" t="n">
        <f aca="false">-1+C6*0.25</f>
        <v>-1</v>
      </c>
      <c r="H6" s="0" t="n">
        <f aca="false">-1+D6*0.25</f>
        <v>-0.75</v>
      </c>
      <c r="I6" s="0" t="n">
        <f aca="false">1</f>
        <v>1</v>
      </c>
      <c r="J6" s="0" t="n">
        <f aca="false">E6</f>
        <v>-1</v>
      </c>
      <c r="K6" s="0" t="n">
        <f aca="false">F6</f>
        <v>-1</v>
      </c>
      <c r="L6" s="0" t="n">
        <f aca="false">G6</f>
        <v>-1</v>
      </c>
      <c r="M6" s="0" t="n">
        <f aca="false">H6</f>
        <v>-0.75</v>
      </c>
      <c r="N6" s="0" t="n">
        <f aca="false">E6*F6</f>
        <v>1</v>
      </c>
      <c r="O6" s="0" t="n">
        <f aca="false">E6*G6</f>
        <v>1</v>
      </c>
      <c r="P6" s="0" t="n">
        <f aca="false">E6*H6</f>
        <v>0.75</v>
      </c>
      <c r="Q6" s="0" t="n">
        <f aca="false">F6*G6</f>
        <v>1</v>
      </c>
      <c r="R6" s="0" t="n">
        <f aca="false">F6*H6</f>
        <v>0.75</v>
      </c>
      <c r="S6" s="0" t="n">
        <f aca="false">G6*H6</f>
        <v>0.75</v>
      </c>
      <c r="T6" s="0" t="n">
        <f aca="false">E6*E6</f>
        <v>1</v>
      </c>
      <c r="U6" s="0" t="n">
        <f aca="false">F6*F6</f>
        <v>1</v>
      </c>
      <c r="V6" s="0" t="n">
        <f aca="false">G6*G6</f>
        <v>1</v>
      </c>
      <c r="W6" s="0" t="n">
        <f aca="false">H6*H6</f>
        <v>0.5625</v>
      </c>
      <c r="X6" s="0" t="n">
        <f aca="false">SUMPRODUCT(I6:W6,_XtX!$B$96:$P$96)</f>
        <v>37.3953947368422</v>
      </c>
      <c r="Y6" s="0" t="n">
        <f aca="false">SUMPRODUCT(MMULT(I6:W6,_XtX!$B$78:$P$92),I6:W6)</f>
        <v>0.610814144736842</v>
      </c>
      <c r="Z6" s="0" t="n">
        <f aca="false">04_回帰ANOVA!$K$19*04_回帰ANOVA!$K$14*SQRT(1+Y6)</f>
        <v>1.6543260558361</v>
      </c>
      <c r="AA6" s="0" t="n">
        <f aca="false">X6-Z6</f>
        <v>35.7410686810061</v>
      </c>
      <c r="AB6" s="0" t="n">
        <f aca="false">X6+Z6</f>
        <v>39.0497207926783</v>
      </c>
      <c r="AC6" s="54" t="b">
        <f aca="false">AND(E6&gt;=01_因子設定!$L$5-0.000000001,E6&lt;=01_因子設定!$M$5+0.000000001,F6&gt;=01_因子設定!$L$6-0.000000001,F6&lt;=01_因子設定!$M$6+0.000000001,G6&gt;=01_因子設定!$L$7-0.000000001,G6&lt;=01_因子設定!$M$7+0.000000001,H6&gt;=01_因子設定!$L$8-0.000000001,H6&lt;=01_因子設定!$M$8+0.000000001,IF(01_因子設定!$B$20="Box-Behnken",E6^2+F6^2+G6^2+H6^2&lt;=2+0.000000001,TRUE()))</f>
        <v>1</v>
      </c>
      <c r="AD6" s="55" t="n">
        <f aca="false">IF(AC6,IF(01_因子設定!$B$13="最大化",AA6-01_因子設定!$B$14,IF(01_因子設定!$B$13="最小化",01_因子設定!$B$15-AB6,MIN(AA6-01_因子設定!$B$14,01_因子設定!$B$15-AB6))),-1E+030)</f>
        <v>-10.7589313189939</v>
      </c>
      <c r="AE6" s="55" t="n">
        <f aca="false">IF(AC6,IF(01_因子設定!$B$13="最大化",X6,IF(01_因子設定!$B$13="最小化",-X6,-ABS(X6-01_因子設定!$B$16))),-1E+030)</f>
        <v>37.3953947368422</v>
      </c>
      <c r="AF6" s="55" t="n">
        <f aca="false">AD6+ROW()*0.000000001</f>
        <v>-10.7589313129939</v>
      </c>
      <c r="AG6" s="55" t="n">
        <f aca="false">AE6+ROW()*0.000000001</f>
        <v>37.3953947428422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n">
        <v>0</v>
      </c>
      <c r="D7" s="0" t="n">
        <v>2</v>
      </c>
      <c r="E7" s="0" t="n">
        <f aca="false">-1+A7*0.25</f>
        <v>-1</v>
      </c>
      <c r="F7" s="0" t="n">
        <f aca="false">-1+B7*0.25</f>
        <v>-1</v>
      </c>
      <c r="G7" s="0" t="n">
        <f aca="false">-1+C7*0.25</f>
        <v>-1</v>
      </c>
      <c r="H7" s="0" t="n">
        <f aca="false">-1+D7*0.25</f>
        <v>-0.5</v>
      </c>
      <c r="I7" s="0" t="n">
        <f aca="false">1</f>
        <v>1</v>
      </c>
      <c r="J7" s="0" t="n">
        <f aca="false">E7</f>
        <v>-1</v>
      </c>
      <c r="K7" s="0" t="n">
        <f aca="false">F7</f>
        <v>-1</v>
      </c>
      <c r="L7" s="0" t="n">
        <f aca="false">G7</f>
        <v>-1</v>
      </c>
      <c r="M7" s="0" t="n">
        <f aca="false">H7</f>
        <v>-0.5</v>
      </c>
      <c r="N7" s="0" t="n">
        <f aca="false">E7*F7</f>
        <v>1</v>
      </c>
      <c r="O7" s="0" t="n">
        <f aca="false">E7*G7</f>
        <v>1</v>
      </c>
      <c r="P7" s="0" t="n">
        <f aca="false">E7*H7</f>
        <v>0.5</v>
      </c>
      <c r="Q7" s="0" t="n">
        <f aca="false">F7*G7</f>
        <v>1</v>
      </c>
      <c r="R7" s="0" t="n">
        <f aca="false">F7*H7</f>
        <v>0.5</v>
      </c>
      <c r="S7" s="0" t="n">
        <f aca="false">G7*H7</f>
        <v>0.5</v>
      </c>
      <c r="T7" s="0" t="n">
        <f aca="false">E7*E7</f>
        <v>1</v>
      </c>
      <c r="U7" s="0" t="n">
        <f aca="false">F7*F7</f>
        <v>1</v>
      </c>
      <c r="V7" s="0" t="n">
        <f aca="false">G7*G7</f>
        <v>1</v>
      </c>
      <c r="W7" s="0" t="n">
        <f aca="false">H7*H7</f>
        <v>0.25</v>
      </c>
      <c r="X7" s="0" t="n">
        <f aca="false">SUMPRODUCT(I7:W7,_XtX!$B$96:$P$96)</f>
        <v>37.5663011695907</v>
      </c>
      <c r="Y7" s="0" t="n">
        <f aca="false">SUMPRODUCT(MMULT(I7:W7,_XtX!$B$78:$P$92),I7:W7)</f>
        <v>0.667123538011696</v>
      </c>
      <c r="Z7" s="0" t="n">
        <f aca="false">04_回帰ANOVA!$K$19*04_回帰ANOVA!$K$14*SQRT(1+Y7)</f>
        <v>1.68299290213005</v>
      </c>
      <c r="AA7" s="0" t="n">
        <f aca="false">X7-Z7</f>
        <v>35.8833082674606</v>
      </c>
      <c r="AB7" s="0" t="n">
        <f aca="false">X7+Z7</f>
        <v>39.2492940717207</v>
      </c>
      <c r="AC7" s="54" t="b">
        <f aca="false">AND(E7&gt;=01_因子設定!$L$5-0.000000001,E7&lt;=01_因子設定!$M$5+0.000000001,F7&gt;=01_因子設定!$L$6-0.000000001,F7&lt;=01_因子設定!$M$6+0.000000001,G7&gt;=01_因子設定!$L$7-0.000000001,G7&lt;=01_因子設定!$M$7+0.000000001,H7&gt;=01_因子設定!$L$8-0.000000001,H7&lt;=01_因子設定!$M$8+0.000000001,IF(01_因子設定!$B$20="Box-Behnken",E7^2+F7^2+G7^2+H7^2&lt;=2+0.000000001,TRUE()))</f>
        <v>1</v>
      </c>
      <c r="AD7" s="55" t="n">
        <f aca="false">IF(AC7,IF(01_因子設定!$B$13="最大化",AA7-01_因子設定!$B$14,IF(01_因子設定!$B$13="最小化",01_因子設定!$B$15-AB7,MIN(AA7-01_因子設定!$B$14,01_因子設定!$B$15-AB7))),-1E+030)</f>
        <v>-10.6166917325394</v>
      </c>
      <c r="AE7" s="55" t="n">
        <f aca="false">IF(AC7,IF(01_因子設定!$B$13="最大化",X7,IF(01_因子設定!$B$13="最小化",-X7,-ABS(X7-01_因子設定!$B$16))),-1E+030)</f>
        <v>37.5663011695907</v>
      </c>
      <c r="AF7" s="55" t="n">
        <f aca="false">AD7+ROW()*0.000000001</f>
        <v>-10.6166917255394</v>
      </c>
      <c r="AG7" s="55" t="n">
        <f aca="false">AE7+ROW()*0.000000001</f>
        <v>37.5663011765907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3</v>
      </c>
      <c r="E8" s="0" t="n">
        <f aca="false">-1+A8*0.25</f>
        <v>-1</v>
      </c>
      <c r="F8" s="0" t="n">
        <f aca="false">-1+B8*0.25</f>
        <v>-1</v>
      </c>
      <c r="G8" s="0" t="n">
        <f aca="false">-1+C8*0.25</f>
        <v>-1</v>
      </c>
      <c r="H8" s="0" t="n">
        <f aca="false">-1+D8*0.25</f>
        <v>-0.25</v>
      </c>
      <c r="I8" s="0" t="n">
        <f aca="false">1</f>
        <v>1</v>
      </c>
      <c r="J8" s="0" t="n">
        <f aca="false">E8</f>
        <v>-1</v>
      </c>
      <c r="K8" s="0" t="n">
        <f aca="false">F8</f>
        <v>-1</v>
      </c>
      <c r="L8" s="0" t="n">
        <f aca="false">G8</f>
        <v>-1</v>
      </c>
      <c r="M8" s="0" t="n">
        <f aca="false">H8</f>
        <v>-0.25</v>
      </c>
      <c r="N8" s="0" t="n">
        <f aca="false">E8*F8</f>
        <v>1</v>
      </c>
      <c r="O8" s="0" t="n">
        <f aca="false">E8*G8</f>
        <v>1</v>
      </c>
      <c r="P8" s="0" t="n">
        <f aca="false">E8*H8</f>
        <v>0.25</v>
      </c>
      <c r="Q8" s="0" t="n">
        <f aca="false">F8*G8</f>
        <v>1</v>
      </c>
      <c r="R8" s="0" t="n">
        <f aca="false">F8*H8</f>
        <v>0.25</v>
      </c>
      <c r="S8" s="0" t="n">
        <f aca="false">G8*H8</f>
        <v>0.25</v>
      </c>
      <c r="T8" s="0" t="n">
        <f aca="false">E8*E8</f>
        <v>1</v>
      </c>
      <c r="U8" s="0" t="n">
        <f aca="false">F8*F8</f>
        <v>1</v>
      </c>
      <c r="V8" s="0" t="n">
        <f aca="false">G8*G8</f>
        <v>1</v>
      </c>
      <c r="W8" s="0" t="n">
        <f aca="false">H8*H8</f>
        <v>0.0625</v>
      </c>
      <c r="X8" s="0" t="n">
        <f aca="false">SUMPRODUCT(I8:W8,_XtX!$B$96:$P$96)</f>
        <v>37.6894005847954</v>
      </c>
      <c r="Y8" s="0" t="n">
        <f aca="false">SUMPRODUCT(MMULT(I8:W8,_XtX!$B$78:$P$92),I8:W8)</f>
        <v>0.737093384502924</v>
      </c>
      <c r="Z8" s="0" t="n">
        <f aca="false">04_回帰ANOVA!$K$19*04_回帰ANOVA!$K$14*SQRT(1+Y8)</f>
        <v>1.71794784853551</v>
      </c>
      <c r="AA8" s="0" t="n">
        <f aca="false">X8-Z8</f>
        <v>35.9714527362599</v>
      </c>
      <c r="AB8" s="0" t="n">
        <f aca="false">X8+Z8</f>
        <v>39.4073484333309</v>
      </c>
      <c r="AC8" s="54" t="b">
        <f aca="false">AND(E8&gt;=01_因子設定!$L$5-0.000000001,E8&lt;=01_因子設定!$M$5+0.000000001,F8&gt;=01_因子設定!$L$6-0.000000001,F8&lt;=01_因子設定!$M$6+0.000000001,G8&gt;=01_因子設定!$L$7-0.000000001,G8&lt;=01_因子設定!$M$7+0.000000001,H8&gt;=01_因子設定!$L$8-0.000000001,H8&lt;=01_因子設定!$M$8+0.000000001,IF(01_因子設定!$B$20="Box-Behnken",E8^2+F8^2+G8^2+H8^2&lt;=2+0.000000001,TRUE()))</f>
        <v>1</v>
      </c>
      <c r="AD8" s="55" t="n">
        <f aca="false">IF(AC8,IF(01_因子設定!$B$13="最大化",AA8-01_因子設定!$B$14,IF(01_因子設定!$B$13="最小化",01_因子設定!$B$15-AB8,MIN(AA8-01_因子設定!$B$14,01_因子設定!$B$15-AB8))),-1E+030)</f>
        <v>-10.5285472637402</v>
      </c>
      <c r="AE8" s="55" t="n">
        <f aca="false">IF(AC8,IF(01_因子設定!$B$13="最大化",X8,IF(01_因子設定!$B$13="最小化",-X8,-ABS(X8-01_因子設定!$B$16))),-1E+030)</f>
        <v>37.6894005847954</v>
      </c>
      <c r="AF8" s="55" t="n">
        <f aca="false">AD8+ROW()*0.000000001</f>
        <v>-10.5285472557402</v>
      </c>
      <c r="AG8" s="55" t="n">
        <f aca="false">AE8+ROW()*0.000000001</f>
        <v>37.6894005927954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4</v>
      </c>
      <c r="E9" s="0" t="n">
        <f aca="false">-1+A9*0.25</f>
        <v>-1</v>
      </c>
      <c r="F9" s="0" t="n">
        <f aca="false">-1+B9*0.25</f>
        <v>-1</v>
      </c>
      <c r="G9" s="0" t="n">
        <f aca="false">-1+C9*0.25</f>
        <v>-1</v>
      </c>
      <c r="H9" s="0" t="n">
        <f aca="false">-1+D9*0.25</f>
        <v>0</v>
      </c>
      <c r="I9" s="0" t="n">
        <f aca="false">1</f>
        <v>1</v>
      </c>
      <c r="J9" s="0" t="n">
        <f aca="false">E9</f>
        <v>-1</v>
      </c>
      <c r="K9" s="0" t="n">
        <f aca="false">F9</f>
        <v>-1</v>
      </c>
      <c r="L9" s="0" t="n">
        <f aca="false">G9</f>
        <v>-1</v>
      </c>
      <c r="M9" s="0" t="n">
        <f aca="false">H9</f>
        <v>0</v>
      </c>
      <c r="N9" s="0" t="n">
        <f aca="false">E9*F9</f>
        <v>1</v>
      </c>
      <c r="O9" s="0" t="n">
        <f aca="false">E9*G9</f>
        <v>1</v>
      </c>
      <c r="P9" s="0" t="n">
        <f aca="false">E9*H9</f>
        <v>-0</v>
      </c>
      <c r="Q9" s="0" t="n">
        <f aca="false">F9*G9</f>
        <v>1</v>
      </c>
      <c r="R9" s="0" t="n">
        <f aca="false">F9*H9</f>
        <v>-0</v>
      </c>
      <c r="S9" s="0" t="n">
        <f aca="false">G9*H9</f>
        <v>-0</v>
      </c>
      <c r="T9" s="0" t="n">
        <f aca="false">E9*E9</f>
        <v>1</v>
      </c>
      <c r="U9" s="0" t="n">
        <f aca="false">F9*F9</f>
        <v>1</v>
      </c>
      <c r="V9" s="0" t="n">
        <f aca="false">G9*G9</f>
        <v>1</v>
      </c>
      <c r="W9" s="0" t="n">
        <f aca="false">H9*H9</f>
        <v>0</v>
      </c>
      <c r="X9" s="0" t="n">
        <f aca="false">SUMPRODUCT(I9:W9,_XtX!$B$96:$P$96)</f>
        <v>37.7646929824562</v>
      </c>
      <c r="Y9" s="0" t="n">
        <f aca="false">SUMPRODUCT(MMULT(I9:W9,_XtX!$B$78:$P$92),I9:W9)</f>
        <v>0.766447368421053</v>
      </c>
      <c r="Z9" s="0" t="n">
        <f aca="false">04_回帰ANOVA!$K$19*04_回帰ANOVA!$K$14*SQRT(1+Y9)</f>
        <v>1.7324022685743</v>
      </c>
      <c r="AA9" s="0" t="n">
        <f aca="false">X9-Z9</f>
        <v>36.0322907138819</v>
      </c>
      <c r="AB9" s="0" t="n">
        <f aca="false">X9+Z9</f>
        <v>39.4970952510305</v>
      </c>
      <c r="AC9" s="54" t="b">
        <f aca="false">AND(E9&gt;=01_因子設定!$L$5-0.000000001,E9&lt;=01_因子設定!$M$5+0.000000001,F9&gt;=01_因子設定!$L$6-0.000000001,F9&lt;=01_因子設定!$M$6+0.000000001,G9&gt;=01_因子設定!$L$7-0.000000001,G9&lt;=01_因子設定!$M$7+0.000000001,H9&gt;=01_因子設定!$L$8-0.000000001,H9&lt;=01_因子設定!$M$8+0.000000001,IF(01_因子設定!$B$20="Box-Behnken",E9^2+F9^2+G9^2+H9^2&lt;=2+0.000000001,TRUE()))</f>
        <v>1</v>
      </c>
      <c r="AD9" s="55" t="n">
        <f aca="false">IF(AC9,IF(01_因子設定!$B$13="最大化",AA9-01_因子設定!$B$14,IF(01_因子設定!$B$13="最小化",01_因子設定!$B$15-AB9,MIN(AA9-01_因子設定!$B$14,01_因子設定!$B$15-AB9))),-1E+030)</f>
        <v>-10.4677092861181</v>
      </c>
      <c r="AE9" s="55" t="n">
        <f aca="false">IF(AC9,IF(01_因子設定!$B$13="最大化",X9,IF(01_因子設定!$B$13="最小化",-X9,-ABS(X9-01_因子設定!$B$16))),-1E+030)</f>
        <v>37.7646929824562</v>
      </c>
      <c r="AF9" s="55" t="n">
        <f aca="false">AD9+ROW()*0.000000001</f>
        <v>-10.4677092771181</v>
      </c>
      <c r="AG9" s="55" t="n">
        <f aca="false">AE9+ROW()*0.000000001</f>
        <v>37.7646929914562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0</v>
      </c>
      <c r="D10" s="0" t="n">
        <v>5</v>
      </c>
      <c r="E10" s="0" t="n">
        <f aca="false">-1+A10*0.25</f>
        <v>-1</v>
      </c>
      <c r="F10" s="0" t="n">
        <f aca="false">-1+B10*0.25</f>
        <v>-1</v>
      </c>
      <c r="G10" s="0" t="n">
        <f aca="false">-1+C10*0.25</f>
        <v>-1</v>
      </c>
      <c r="H10" s="0" t="n">
        <f aca="false">-1+D10*0.25</f>
        <v>0.25</v>
      </c>
      <c r="I10" s="0" t="n">
        <f aca="false">1</f>
        <v>1</v>
      </c>
      <c r="J10" s="0" t="n">
        <f aca="false">E10</f>
        <v>-1</v>
      </c>
      <c r="K10" s="0" t="n">
        <f aca="false">F10</f>
        <v>-1</v>
      </c>
      <c r="L10" s="0" t="n">
        <f aca="false">G10</f>
        <v>-1</v>
      </c>
      <c r="M10" s="0" t="n">
        <f aca="false">H10</f>
        <v>0.25</v>
      </c>
      <c r="N10" s="0" t="n">
        <f aca="false">E10*F10</f>
        <v>1</v>
      </c>
      <c r="O10" s="0" t="n">
        <f aca="false">E10*G10</f>
        <v>1</v>
      </c>
      <c r="P10" s="0" t="n">
        <f aca="false">E10*H10</f>
        <v>-0.25</v>
      </c>
      <c r="Q10" s="0" t="n">
        <f aca="false">F10*G10</f>
        <v>1</v>
      </c>
      <c r="R10" s="0" t="n">
        <f aca="false">F10*H10</f>
        <v>-0.25</v>
      </c>
      <c r="S10" s="0" t="n">
        <f aca="false">G10*H10</f>
        <v>-0.25</v>
      </c>
      <c r="T10" s="0" t="n">
        <f aca="false">E10*E10</f>
        <v>1</v>
      </c>
      <c r="U10" s="0" t="n">
        <f aca="false">F10*F10</f>
        <v>1</v>
      </c>
      <c r="V10" s="0" t="n">
        <f aca="false">G10*G10</f>
        <v>1</v>
      </c>
      <c r="W10" s="0" t="n">
        <f aca="false">H10*H10</f>
        <v>0.0625</v>
      </c>
      <c r="X10" s="0" t="n">
        <f aca="false">SUMPRODUCT(I10:W10,_XtX!$B$96:$P$96)</f>
        <v>37.7921783625731</v>
      </c>
      <c r="Y10" s="0" t="n">
        <f aca="false">SUMPRODUCT(MMULT(I10:W10,_XtX!$B$78:$P$92),I10:W10)</f>
        <v>0.737093384502924</v>
      </c>
      <c r="Z10" s="0" t="n">
        <f aca="false">04_回帰ANOVA!$K$19*04_回帰ANOVA!$K$14*SQRT(1+Y10)</f>
        <v>1.71794784853551</v>
      </c>
      <c r="AA10" s="0" t="n">
        <f aca="false">X10-Z10</f>
        <v>36.0742305140376</v>
      </c>
      <c r="AB10" s="0" t="n">
        <f aca="false">X10+Z10</f>
        <v>39.5101262111086</v>
      </c>
      <c r="AC10" s="54" t="b">
        <f aca="false">AND(E10&gt;=01_因子設定!$L$5-0.000000001,E10&lt;=01_因子設定!$M$5+0.000000001,F10&gt;=01_因子設定!$L$6-0.000000001,F10&lt;=01_因子設定!$M$6+0.000000001,G10&gt;=01_因子設定!$L$7-0.000000001,G10&lt;=01_因子設定!$M$7+0.000000001,H10&gt;=01_因子設定!$L$8-0.000000001,H10&lt;=01_因子設定!$M$8+0.000000001,IF(01_因子設定!$B$20="Box-Behnken",E10^2+F10^2+G10^2+H10^2&lt;=2+0.000000001,TRUE()))</f>
        <v>1</v>
      </c>
      <c r="AD10" s="55" t="n">
        <f aca="false">IF(AC10,IF(01_因子設定!$B$13="最大化",AA10-01_因子設定!$B$14,IF(01_因子設定!$B$13="最小化",01_因子設定!$B$15-AB10,MIN(AA10-01_因子設定!$B$14,01_因子設定!$B$15-AB10))),-1E+030)</f>
        <v>-10.4257694859624</v>
      </c>
      <c r="AE10" s="55" t="n">
        <f aca="false">IF(AC10,IF(01_因子設定!$B$13="最大化",X10,IF(01_因子設定!$B$13="最小化",-X10,-ABS(X10-01_因子設定!$B$16))),-1E+030)</f>
        <v>37.7921783625731</v>
      </c>
      <c r="AF10" s="55" t="n">
        <f aca="false">AD10+ROW()*0.000000001</f>
        <v>-10.4257694759624</v>
      </c>
      <c r="AG10" s="55" t="n">
        <f aca="false">AE10+ROW()*0.000000001</f>
        <v>37.7921783725731</v>
      </c>
    </row>
    <row r="11" customFormat="false" ht="15" hidden="false" customHeight="false" outlineLevel="0" collapsed="false">
      <c r="A11" s="0" t="n">
        <v>0</v>
      </c>
      <c r="B11" s="0" t="n">
        <v>0</v>
      </c>
      <c r="C11" s="0" t="n">
        <v>0</v>
      </c>
      <c r="D11" s="0" t="n">
        <v>6</v>
      </c>
      <c r="E11" s="0" t="n">
        <f aca="false">-1+A11*0.25</f>
        <v>-1</v>
      </c>
      <c r="F11" s="0" t="n">
        <f aca="false">-1+B11*0.25</f>
        <v>-1</v>
      </c>
      <c r="G11" s="0" t="n">
        <f aca="false">-1+C11*0.25</f>
        <v>-1</v>
      </c>
      <c r="H11" s="0" t="n">
        <f aca="false">-1+D11*0.25</f>
        <v>0.5</v>
      </c>
      <c r="I11" s="0" t="n">
        <f aca="false">1</f>
        <v>1</v>
      </c>
      <c r="J11" s="0" t="n">
        <f aca="false">E11</f>
        <v>-1</v>
      </c>
      <c r="K11" s="0" t="n">
        <f aca="false">F11</f>
        <v>-1</v>
      </c>
      <c r="L11" s="0" t="n">
        <f aca="false">G11</f>
        <v>-1</v>
      </c>
      <c r="M11" s="0" t="n">
        <f aca="false">H11</f>
        <v>0.5</v>
      </c>
      <c r="N11" s="0" t="n">
        <f aca="false">E11*F11</f>
        <v>1</v>
      </c>
      <c r="O11" s="0" t="n">
        <f aca="false">E11*G11</f>
        <v>1</v>
      </c>
      <c r="P11" s="0" t="n">
        <f aca="false">E11*H11</f>
        <v>-0.5</v>
      </c>
      <c r="Q11" s="0" t="n">
        <f aca="false">F11*G11</f>
        <v>1</v>
      </c>
      <c r="R11" s="0" t="n">
        <f aca="false">F11*H11</f>
        <v>-0.5</v>
      </c>
      <c r="S11" s="0" t="n">
        <f aca="false">G11*H11</f>
        <v>-0.5</v>
      </c>
      <c r="T11" s="0" t="n">
        <f aca="false">E11*E11</f>
        <v>1</v>
      </c>
      <c r="U11" s="0" t="n">
        <f aca="false">F11*F11</f>
        <v>1</v>
      </c>
      <c r="V11" s="0" t="n">
        <f aca="false">G11*G11</f>
        <v>1</v>
      </c>
      <c r="W11" s="0" t="n">
        <f aca="false">H11*H11</f>
        <v>0.25</v>
      </c>
      <c r="X11" s="0" t="n">
        <f aca="false">SUMPRODUCT(I11:W11,_XtX!$B$96:$P$96)</f>
        <v>37.7718567251462</v>
      </c>
      <c r="Y11" s="0" t="n">
        <f aca="false">SUMPRODUCT(MMULT(I11:W11,_XtX!$B$78:$P$92),I11:W11)</f>
        <v>0.667123538011696</v>
      </c>
      <c r="Z11" s="0" t="n">
        <f aca="false">04_回帰ANOVA!$K$19*04_回帰ANOVA!$K$14*SQRT(1+Y11)</f>
        <v>1.68299290213005</v>
      </c>
      <c r="AA11" s="0" t="n">
        <f aca="false">X11-Z11</f>
        <v>36.0888638230162</v>
      </c>
      <c r="AB11" s="0" t="n">
        <f aca="false">X11+Z11</f>
        <v>39.4548496272763</v>
      </c>
      <c r="AC11" s="54" t="b">
        <f aca="false">AND(E11&gt;=01_因子設定!$L$5-0.000000001,E11&lt;=01_因子設定!$M$5+0.000000001,F11&gt;=01_因子設定!$L$6-0.000000001,F11&lt;=01_因子設定!$M$6+0.000000001,G11&gt;=01_因子設定!$L$7-0.000000001,G11&lt;=01_因子設定!$M$7+0.000000001,H11&gt;=01_因子設定!$L$8-0.000000001,H11&lt;=01_因子設定!$M$8+0.000000001,IF(01_因子設定!$B$20="Box-Behnken",E11^2+F11^2+G11^2+H11^2&lt;=2+0.000000001,TRUE()))</f>
        <v>1</v>
      </c>
      <c r="AD11" s="55" t="n">
        <f aca="false">IF(AC11,IF(01_因子設定!$B$13="最大化",AA11-01_因子設定!$B$14,IF(01_因子設定!$B$13="最小化",01_因子設定!$B$15-AB11,MIN(AA11-01_因子設定!$B$14,01_因子設定!$B$15-AB11))),-1E+030)</f>
        <v>-10.4111361769838</v>
      </c>
      <c r="AE11" s="55" t="n">
        <f aca="false">IF(AC11,IF(01_因子設定!$B$13="最大化",X11,IF(01_因子設定!$B$13="最小化",-X11,-ABS(X11-01_因子設定!$B$16))),-1E+030)</f>
        <v>37.7718567251462</v>
      </c>
      <c r="AF11" s="55" t="n">
        <f aca="false">AD11+ROW()*0.000000001</f>
        <v>-10.4111361659838</v>
      </c>
      <c r="AG11" s="55" t="n">
        <f aca="false">AE11+ROW()*0.000000001</f>
        <v>37.7718567361462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n">
        <v>0</v>
      </c>
      <c r="D12" s="0" t="n">
        <v>7</v>
      </c>
      <c r="E12" s="0" t="n">
        <f aca="false">-1+A12*0.25</f>
        <v>-1</v>
      </c>
      <c r="F12" s="0" t="n">
        <f aca="false">-1+B12*0.25</f>
        <v>-1</v>
      </c>
      <c r="G12" s="0" t="n">
        <f aca="false">-1+C12*0.25</f>
        <v>-1</v>
      </c>
      <c r="H12" s="0" t="n">
        <f aca="false">-1+D12*0.25</f>
        <v>0.75</v>
      </c>
      <c r="I12" s="0" t="n">
        <f aca="false">1</f>
        <v>1</v>
      </c>
      <c r="J12" s="0" t="n">
        <f aca="false">E12</f>
        <v>-1</v>
      </c>
      <c r="K12" s="0" t="n">
        <f aca="false">F12</f>
        <v>-1</v>
      </c>
      <c r="L12" s="0" t="n">
        <f aca="false">G12</f>
        <v>-1</v>
      </c>
      <c r="M12" s="0" t="n">
        <f aca="false">H12</f>
        <v>0.75</v>
      </c>
      <c r="N12" s="0" t="n">
        <f aca="false">E12*F12</f>
        <v>1</v>
      </c>
      <c r="O12" s="0" t="n">
        <f aca="false">E12*G12</f>
        <v>1</v>
      </c>
      <c r="P12" s="0" t="n">
        <f aca="false">E12*H12</f>
        <v>-0.75</v>
      </c>
      <c r="Q12" s="0" t="n">
        <f aca="false">F12*G12</f>
        <v>1</v>
      </c>
      <c r="R12" s="0" t="n">
        <f aca="false">F12*H12</f>
        <v>-0.75</v>
      </c>
      <c r="S12" s="0" t="n">
        <f aca="false">G12*H12</f>
        <v>-0.75</v>
      </c>
      <c r="T12" s="0" t="n">
        <f aca="false">E12*E12</f>
        <v>1</v>
      </c>
      <c r="U12" s="0" t="n">
        <f aca="false">F12*F12</f>
        <v>1</v>
      </c>
      <c r="V12" s="0" t="n">
        <f aca="false">G12*G12</f>
        <v>1</v>
      </c>
      <c r="W12" s="0" t="n">
        <f aca="false">H12*H12</f>
        <v>0.5625</v>
      </c>
      <c r="X12" s="0" t="n">
        <f aca="false">SUMPRODUCT(I12:W12,_XtX!$B$96:$P$96)</f>
        <v>37.7037280701755</v>
      </c>
      <c r="Y12" s="0" t="n">
        <f aca="false">SUMPRODUCT(MMULT(I12:W12,_XtX!$B$78:$P$92),I12:W12)</f>
        <v>0.610814144736842</v>
      </c>
      <c r="Z12" s="0" t="n">
        <f aca="false">04_回帰ANOVA!$K$19*04_回帰ANOVA!$K$14*SQRT(1+Y12)</f>
        <v>1.6543260558361</v>
      </c>
      <c r="AA12" s="0" t="n">
        <f aca="false">X12-Z12</f>
        <v>36.0494020143394</v>
      </c>
      <c r="AB12" s="0" t="n">
        <f aca="false">X12+Z12</f>
        <v>39.3580541260116</v>
      </c>
      <c r="AC12" s="54" t="b">
        <f aca="false">AND(E12&gt;=01_因子設定!$L$5-0.000000001,E12&lt;=01_因子設定!$M$5+0.000000001,F12&gt;=01_因子設定!$L$6-0.000000001,F12&lt;=01_因子設定!$M$6+0.000000001,G12&gt;=01_因子設定!$L$7-0.000000001,G12&lt;=01_因子設定!$M$7+0.000000001,H12&gt;=01_因子設定!$L$8-0.000000001,H12&lt;=01_因子設定!$M$8+0.000000001,IF(01_因子設定!$B$20="Box-Behnken",E12^2+F12^2+G12^2+H12^2&lt;=2+0.000000001,TRUE()))</f>
        <v>1</v>
      </c>
      <c r="AD12" s="55" t="n">
        <f aca="false">IF(AC12,IF(01_因子設定!$B$13="最大化",AA12-01_因子設定!$B$14,IF(01_因子設定!$B$13="最小化",01_因子設定!$B$15-AB12,MIN(AA12-01_因子設定!$B$14,01_因子設定!$B$15-AB12))),-1E+030)</f>
        <v>-10.4505979856606</v>
      </c>
      <c r="AE12" s="55" t="n">
        <f aca="false">IF(AC12,IF(01_因子設定!$B$13="最大化",X12,IF(01_因子設定!$B$13="最小化",-X12,-ABS(X12-01_因子設定!$B$16))),-1E+030)</f>
        <v>37.7037280701755</v>
      </c>
      <c r="AF12" s="55" t="n">
        <f aca="false">AD12+ROW()*0.000000001</f>
        <v>-10.4505979736606</v>
      </c>
      <c r="AG12" s="55" t="n">
        <f aca="false">AE12+ROW()*0.000000001</f>
        <v>37.7037280821755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0</v>
      </c>
      <c r="D13" s="0" t="n">
        <v>8</v>
      </c>
      <c r="E13" s="0" t="n">
        <f aca="false">-1+A13*0.25</f>
        <v>-1</v>
      </c>
      <c r="F13" s="0" t="n">
        <f aca="false">-1+B13*0.25</f>
        <v>-1</v>
      </c>
      <c r="G13" s="0" t="n">
        <f aca="false">-1+C13*0.25</f>
        <v>-1</v>
      </c>
      <c r="H13" s="0" t="n">
        <f aca="false">-1+D13*0.25</f>
        <v>1</v>
      </c>
      <c r="I13" s="0" t="n">
        <f aca="false">1</f>
        <v>1</v>
      </c>
      <c r="J13" s="0" t="n">
        <f aca="false">E13</f>
        <v>-1</v>
      </c>
      <c r="K13" s="0" t="n">
        <f aca="false">F13</f>
        <v>-1</v>
      </c>
      <c r="L13" s="0" t="n">
        <f aca="false">G13</f>
        <v>-1</v>
      </c>
      <c r="M13" s="0" t="n">
        <f aca="false">H13</f>
        <v>1</v>
      </c>
      <c r="N13" s="0" t="n">
        <f aca="false">E13*F13</f>
        <v>1</v>
      </c>
      <c r="O13" s="0" t="n">
        <f aca="false">E13*G13</f>
        <v>1</v>
      </c>
      <c r="P13" s="0" t="n">
        <f aca="false">E13*H13</f>
        <v>-1</v>
      </c>
      <c r="Q13" s="0" t="n">
        <f aca="false">F13*G13</f>
        <v>1</v>
      </c>
      <c r="R13" s="0" t="n">
        <f aca="false">F13*H13</f>
        <v>-1</v>
      </c>
      <c r="S13" s="0" t="n">
        <f aca="false">G13*H13</f>
        <v>-1</v>
      </c>
      <c r="T13" s="0" t="n">
        <f aca="false">E13*E13</f>
        <v>1</v>
      </c>
      <c r="U13" s="0" t="n">
        <f aca="false">F13*F13</f>
        <v>1</v>
      </c>
      <c r="V13" s="0" t="n">
        <f aca="false">G13*G13</f>
        <v>1</v>
      </c>
      <c r="W13" s="0" t="n">
        <f aca="false">H13*H13</f>
        <v>1</v>
      </c>
      <c r="X13" s="0" t="n">
        <f aca="false">SUMPRODUCT(I13:W13,_XtX!$B$96:$P$96)</f>
        <v>37.5877923976609</v>
      </c>
      <c r="Y13" s="0" t="n">
        <f aca="false">SUMPRODUCT(MMULT(I13:W13,_XtX!$B$78:$P$92),I13:W13)</f>
        <v>0.658625730994152</v>
      </c>
      <c r="Z13" s="0" t="n">
        <f aca="false">04_回帰ANOVA!$K$19*04_回帰ANOVA!$K$14*SQRT(1+Y13)</f>
        <v>1.67869807328422</v>
      </c>
      <c r="AA13" s="0" t="n">
        <f aca="false">X13-Z13</f>
        <v>35.9090943243767</v>
      </c>
      <c r="AB13" s="0" t="n">
        <f aca="false">X13+Z13</f>
        <v>39.2664904709451</v>
      </c>
      <c r="AC13" s="54" t="b">
        <f aca="false">AND(E13&gt;=01_因子設定!$L$5-0.000000001,E13&lt;=01_因子設定!$M$5+0.000000001,F13&gt;=01_因子設定!$L$6-0.000000001,F13&lt;=01_因子設定!$M$6+0.000000001,G13&gt;=01_因子設定!$L$7-0.000000001,G13&lt;=01_因子設定!$M$7+0.000000001,H13&gt;=01_因子設定!$L$8-0.000000001,H13&lt;=01_因子設定!$M$8+0.000000001,IF(01_因子設定!$B$20="Box-Behnken",E13^2+F13^2+G13^2+H13^2&lt;=2+0.000000001,TRUE()))</f>
        <v>1</v>
      </c>
      <c r="AD13" s="55" t="n">
        <f aca="false">IF(AC13,IF(01_因子設定!$B$13="最大化",AA13-01_因子設定!$B$14,IF(01_因子設定!$B$13="最小化",01_因子設定!$B$15-AB13,MIN(AA13-01_因子設定!$B$14,01_因子設定!$B$15-AB13))),-1E+030)</f>
        <v>-10.5909056756233</v>
      </c>
      <c r="AE13" s="55" t="n">
        <f aca="false">IF(AC13,IF(01_因子設定!$B$13="最大化",X13,IF(01_因子設定!$B$13="最小化",-X13,-ABS(X13-01_因子設定!$B$16))),-1E+030)</f>
        <v>37.5877923976609</v>
      </c>
      <c r="AF13" s="55" t="n">
        <f aca="false">AD13+ROW()*0.000000001</f>
        <v>-10.5909056626233</v>
      </c>
      <c r="AG13" s="55" t="n">
        <f aca="false">AE13+ROW()*0.000000001</f>
        <v>37.5877924106609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1</v>
      </c>
      <c r="D14" s="0" t="n">
        <v>0</v>
      </c>
      <c r="E14" s="0" t="n">
        <f aca="false">-1+A14*0.25</f>
        <v>-1</v>
      </c>
      <c r="F14" s="0" t="n">
        <f aca="false">-1+B14*0.25</f>
        <v>-1</v>
      </c>
      <c r="G14" s="0" t="n">
        <f aca="false">-1+C14*0.25</f>
        <v>-0.75</v>
      </c>
      <c r="H14" s="0" t="n">
        <f aca="false">-1+D14*0.25</f>
        <v>-1</v>
      </c>
      <c r="I14" s="0" t="n">
        <f aca="false">1</f>
        <v>1</v>
      </c>
      <c r="J14" s="0" t="n">
        <f aca="false">E14</f>
        <v>-1</v>
      </c>
      <c r="K14" s="0" t="n">
        <f aca="false">F14</f>
        <v>-1</v>
      </c>
      <c r="L14" s="0" t="n">
        <f aca="false">G14</f>
        <v>-0.75</v>
      </c>
      <c r="M14" s="0" t="n">
        <f aca="false">H14</f>
        <v>-1</v>
      </c>
      <c r="N14" s="0" t="n">
        <f aca="false">E14*F14</f>
        <v>1</v>
      </c>
      <c r="O14" s="0" t="n">
        <f aca="false">E14*G14</f>
        <v>0.75</v>
      </c>
      <c r="P14" s="0" t="n">
        <f aca="false">E14*H14</f>
        <v>1</v>
      </c>
      <c r="Q14" s="0" t="n">
        <f aca="false">F14*G14</f>
        <v>0.75</v>
      </c>
      <c r="R14" s="0" t="n">
        <f aca="false">F14*H14</f>
        <v>1</v>
      </c>
      <c r="S14" s="0" t="n">
        <f aca="false">G14*H14</f>
        <v>0.75</v>
      </c>
      <c r="T14" s="0" t="n">
        <f aca="false">E14*E14</f>
        <v>1</v>
      </c>
      <c r="U14" s="0" t="n">
        <f aca="false">F14*F14</f>
        <v>1</v>
      </c>
      <c r="V14" s="0" t="n">
        <f aca="false">G14*G14</f>
        <v>0.5625</v>
      </c>
      <c r="W14" s="0" t="n">
        <f aca="false">H14*H14</f>
        <v>1</v>
      </c>
      <c r="X14" s="0" t="n">
        <f aca="false">SUMPRODUCT(I14:W14,_XtX!$B$96:$P$96)</f>
        <v>37.7335891812866</v>
      </c>
      <c r="Y14" s="0" t="n">
        <f aca="false">SUMPRODUCT(MMULT(I14:W14,_XtX!$B$78:$P$92),I14:W14)</f>
        <v>0.610814144736842</v>
      </c>
      <c r="Z14" s="0" t="n">
        <f aca="false">04_回帰ANOVA!$K$19*04_回帰ANOVA!$K$14*SQRT(1+Y14)</f>
        <v>1.6543260558361</v>
      </c>
      <c r="AA14" s="0" t="n">
        <f aca="false">X14-Z14</f>
        <v>36.0792631254505</v>
      </c>
      <c r="AB14" s="0" t="n">
        <f aca="false">X14+Z14</f>
        <v>39.3879152371227</v>
      </c>
      <c r="AC14" s="54" t="b">
        <f aca="false">AND(E14&gt;=01_因子設定!$L$5-0.000000001,E14&lt;=01_因子設定!$M$5+0.000000001,F14&gt;=01_因子設定!$L$6-0.000000001,F14&lt;=01_因子設定!$M$6+0.000000001,G14&gt;=01_因子設定!$L$7-0.000000001,G14&lt;=01_因子設定!$M$7+0.000000001,H14&gt;=01_因子設定!$L$8-0.000000001,H14&lt;=01_因子設定!$M$8+0.000000001,IF(01_因子設定!$B$20="Box-Behnken",E14^2+F14^2+G14^2+H14^2&lt;=2+0.000000001,TRUE()))</f>
        <v>1</v>
      </c>
      <c r="AD14" s="55" t="n">
        <f aca="false">IF(AC14,IF(01_因子設定!$B$13="最大化",AA14-01_因子設定!$B$14,IF(01_因子設定!$B$13="最小化",01_因子設定!$B$15-AB14,MIN(AA14-01_因子設定!$B$14,01_因子設定!$B$15-AB14))),-1E+030)</f>
        <v>-10.4207368745495</v>
      </c>
      <c r="AE14" s="55" t="n">
        <f aca="false">IF(AC14,IF(01_因子設定!$B$13="最大化",X14,IF(01_因子設定!$B$13="最小化",-X14,-ABS(X14-01_因子設定!$B$16))),-1E+030)</f>
        <v>37.7335891812866</v>
      </c>
      <c r="AF14" s="55" t="n">
        <f aca="false">AD14+ROW()*0.000000001</f>
        <v>-10.4207368605495</v>
      </c>
      <c r="AG14" s="55" t="n">
        <f aca="false">AE14+ROW()*0.000000001</f>
        <v>37.7335891952866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1</v>
      </c>
      <c r="D15" s="0" t="n">
        <v>1</v>
      </c>
      <c r="E15" s="0" t="n">
        <f aca="false">-1+A15*0.25</f>
        <v>-1</v>
      </c>
      <c r="F15" s="0" t="n">
        <f aca="false">-1+B15*0.25</f>
        <v>-1</v>
      </c>
      <c r="G15" s="0" t="n">
        <f aca="false">-1+C15*0.25</f>
        <v>-0.75</v>
      </c>
      <c r="H15" s="0" t="n">
        <f aca="false">-1+D15*0.25</f>
        <v>-0.75</v>
      </c>
      <c r="I15" s="0" t="n">
        <f aca="false">1</f>
        <v>1</v>
      </c>
      <c r="J15" s="0" t="n">
        <f aca="false">E15</f>
        <v>-1</v>
      </c>
      <c r="K15" s="0" t="n">
        <f aca="false">F15</f>
        <v>-1</v>
      </c>
      <c r="L15" s="0" t="n">
        <f aca="false">G15</f>
        <v>-0.75</v>
      </c>
      <c r="M15" s="0" t="n">
        <f aca="false">H15</f>
        <v>-0.75</v>
      </c>
      <c r="N15" s="0" t="n">
        <f aca="false">E15*F15</f>
        <v>1</v>
      </c>
      <c r="O15" s="0" t="n">
        <f aca="false">E15*G15</f>
        <v>0.75</v>
      </c>
      <c r="P15" s="0" t="n">
        <f aca="false">E15*H15</f>
        <v>0.75</v>
      </c>
      <c r="Q15" s="0" t="n">
        <f aca="false">F15*G15</f>
        <v>0.75</v>
      </c>
      <c r="R15" s="0" t="n">
        <f aca="false">F15*H15</f>
        <v>0.75</v>
      </c>
      <c r="S15" s="0" t="n">
        <f aca="false">G15*H15</f>
        <v>0.5625</v>
      </c>
      <c r="T15" s="0" t="n">
        <f aca="false">E15*E15</f>
        <v>1</v>
      </c>
      <c r="U15" s="0" t="n">
        <f aca="false">F15*F15</f>
        <v>1</v>
      </c>
      <c r="V15" s="0" t="n">
        <f aca="false">G15*G15</f>
        <v>0.5625</v>
      </c>
      <c r="W15" s="0" t="n">
        <f aca="false">H15*H15</f>
        <v>0.5625</v>
      </c>
      <c r="X15" s="0" t="n">
        <f aca="false">SUMPRODUCT(I15:W15,_XtX!$B$96:$P$96)</f>
        <v>37.970271381579</v>
      </c>
      <c r="Y15" s="0" t="n">
        <f aca="false">SUMPRODUCT(MMULT(I15:W15,_XtX!$B$78:$P$92),I15:W15)</f>
        <v>0.531311392086988</v>
      </c>
      <c r="Z15" s="0" t="n">
        <f aca="false">04_回帰ANOVA!$K$19*04_回帰ANOVA!$K$14*SQRT(1+Y15)</f>
        <v>1.61298433431428</v>
      </c>
      <c r="AA15" s="0" t="n">
        <f aca="false">X15-Z15</f>
        <v>36.3572870472647</v>
      </c>
      <c r="AB15" s="0" t="n">
        <f aca="false">X15+Z15</f>
        <v>39.5832557158933</v>
      </c>
      <c r="AC15" s="54" t="b">
        <f aca="false">AND(E15&gt;=01_因子設定!$L$5-0.000000001,E15&lt;=01_因子設定!$M$5+0.000000001,F15&gt;=01_因子設定!$L$6-0.000000001,F15&lt;=01_因子設定!$M$6+0.000000001,G15&gt;=01_因子設定!$L$7-0.000000001,G15&lt;=01_因子設定!$M$7+0.000000001,H15&gt;=01_因子設定!$L$8-0.000000001,H15&lt;=01_因子設定!$M$8+0.000000001,IF(01_因子設定!$B$20="Box-Behnken",E15^2+F15^2+G15^2+H15^2&lt;=2+0.000000001,TRUE()))</f>
        <v>1</v>
      </c>
      <c r="AD15" s="55" t="n">
        <f aca="false">IF(AC15,IF(01_因子設定!$B$13="最大化",AA15-01_因子設定!$B$14,IF(01_因子設定!$B$13="最小化",01_因子設定!$B$15-AB15,MIN(AA15-01_因子設定!$B$14,01_因子設定!$B$15-AB15))),-1E+030)</f>
        <v>-10.1427129527353</v>
      </c>
      <c r="AE15" s="55" t="n">
        <f aca="false">IF(AC15,IF(01_因子設定!$B$13="最大化",X15,IF(01_因子設定!$B$13="最小化",-X15,-ABS(X15-01_因子設定!$B$16))),-1E+030)</f>
        <v>37.970271381579</v>
      </c>
      <c r="AF15" s="55" t="n">
        <f aca="false">AD15+ROW()*0.000000001</f>
        <v>-10.1427129377353</v>
      </c>
      <c r="AG15" s="55" t="n">
        <f aca="false">AE15+ROW()*0.000000001</f>
        <v>37.970271396579</v>
      </c>
    </row>
    <row r="16" customFormat="false" ht="15" hidden="false" customHeight="false" outlineLevel="0" collapsed="false">
      <c r="A16" s="0" t="n">
        <v>0</v>
      </c>
      <c r="B16" s="0" t="n">
        <v>0</v>
      </c>
      <c r="C16" s="0" t="n">
        <v>1</v>
      </c>
      <c r="D16" s="0" t="n">
        <v>2</v>
      </c>
      <c r="E16" s="0" t="n">
        <f aca="false">-1+A16*0.25</f>
        <v>-1</v>
      </c>
      <c r="F16" s="0" t="n">
        <f aca="false">-1+B16*0.25</f>
        <v>-1</v>
      </c>
      <c r="G16" s="0" t="n">
        <f aca="false">-1+C16*0.25</f>
        <v>-0.75</v>
      </c>
      <c r="H16" s="0" t="n">
        <f aca="false">-1+D16*0.25</f>
        <v>-0.5</v>
      </c>
      <c r="I16" s="0" t="n">
        <f aca="false">1</f>
        <v>1</v>
      </c>
      <c r="J16" s="0" t="n">
        <f aca="false">E16</f>
        <v>-1</v>
      </c>
      <c r="K16" s="0" t="n">
        <f aca="false">F16</f>
        <v>-1</v>
      </c>
      <c r="L16" s="0" t="n">
        <f aca="false">G16</f>
        <v>-0.75</v>
      </c>
      <c r="M16" s="0" t="n">
        <f aca="false">H16</f>
        <v>-0.5</v>
      </c>
      <c r="N16" s="0" t="n">
        <f aca="false">E16*F16</f>
        <v>1</v>
      </c>
      <c r="O16" s="0" t="n">
        <f aca="false">E16*G16</f>
        <v>0.75</v>
      </c>
      <c r="P16" s="0" t="n">
        <f aca="false">E16*H16</f>
        <v>0.5</v>
      </c>
      <c r="Q16" s="0" t="n">
        <f aca="false">F16*G16</f>
        <v>0.75</v>
      </c>
      <c r="R16" s="0" t="n">
        <f aca="false">F16*H16</f>
        <v>0.5</v>
      </c>
      <c r="S16" s="0" t="n">
        <f aca="false">G16*H16</f>
        <v>0.375</v>
      </c>
      <c r="T16" s="0" t="n">
        <f aca="false">E16*E16</f>
        <v>1</v>
      </c>
      <c r="U16" s="0" t="n">
        <f aca="false">F16*F16</f>
        <v>1</v>
      </c>
      <c r="V16" s="0" t="n">
        <f aca="false">G16*G16</f>
        <v>0.5625</v>
      </c>
      <c r="W16" s="0" t="n">
        <f aca="false">H16*H16</f>
        <v>0.25</v>
      </c>
      <c r="X16" s="0" t="n">
        <f aca="false">SUMPRODUCT(I16:W16,_XtX!$B$96:$P$96)</f>
        <v>38.1591465643275</v>
      </c>
      <c r="Y16" s="0" t="n">
        <f aca="false">SUMPRODUCT(MMULT(I16:W16,_XtX!$B$78:$P$92),I16:W16)</f>
        <v>0.564984237938597</v>
      </c>
      <c r="Z16" s="0" t="n">
        <f aca="false">04_回帰ANOVA!$K$19*04_回帰ANOVA!$K$14*SQRT(1+Y16)</f>
        <v>1.63062229734503</v>
      </c>
      <c r="AA16" s="0" t="n">
        <f aca="false">X16-Z16</f>
        <v>36.5285242669825</v>
      </c>
      <c r="AB16" s="0" t="n">
        <f aca="false">X16+Z16</f>
        <v>39.7897688616726</v>
      </c>
      <c r="AC16" s="54" t="b">
        <f aca="false">AND(E16&gt;=01_因子設定!$L$5-0.000000001,E16&lt;=01_因子設定!$M$5+0.000000001,F16&gt;=01_因子設定!$L$6-0.000000001,F16&lt;=01_因子設定!$M$6+0.000000001,G16&gt;=01_因子設定!$L$7-0.000000001,G16&lt;=01_因子設定!$M$7+0.000000001,H16&gt;=01_因子設定!$L$8-0.000000001,H16&lt;=01_因子設定!$M$8+0.000000001,IF(01_因子設定!$B$20="Box-Behnken",E16^2+F16^2+G16^2+H16^2&lt;=2+0.000000001,TRUE()))</f>
        <v>1</v>
      </c>
      <c r="AD16" s="55" t="n">
        <f aca="false">IF(AC16,IF(01_因子設定!$B$13="最大化",AA16-01_因子設定!$B$14,IF(01_因子設定!$B$13="最小化",01_因子設定!$B$15-AB16,MIN(AA16-01_因子設定!$B$14,01_因子設定!$B$15-AB16))),-1E+030)</f>
        <v>-9.97147573301751</v>
      </c>
      <c r="AE16" s="55" t="n">
        <f aca="false">IF(AC16,IF(01_因子設定!$B$13="最大化",X16,IF(01_因子設定!$B$13="最小化",-X16,-ABS(X16-01_因子設定!$B$16))),-1E+030)</f>
        <v>38.1591465643275</v>
      </c>
      <c r="AF16" s="55" t="n">
        <f aca="false">AD16+ROW()*0.000000001</f>
        <v>-9.97147571701751</v>
      </c>
      <c r="AG16" s="55" t="n">
        <f aca="false">AE16+ROW()*0.000000001</f>
        <v>38.1591465803275</v>
      </c>
    </row>
    <row r="17" customFormat="false" ht="15" hidden="false" customHeight="false" outlineLevel="0" collapsed="false">
      <c r="A17" s="0" t="n">
        <v>0</v>
      </c>
      <c r="B17" s="0" t="n">
        <v>0</v>
      </c>
      <c r="C17" s="0" t="n">
        <v>1</v>
      </c>
      <c r="D17" s="0" t="n">
        <v>3</v>
      </c>
      <c r="E17" s="0" t="n">
        <f aca="false">-1+A17*0.25</f>
        <v>-1</v>
      </c>
      <c r="F17" s="0" t="n">
        <f aca="false">-1+B17*0.25</f>
        <v>-1</v>
      </c>
      <c r="G17" s="0" t="n">
        <f aca="false">-1+C17*0.25</f>
        <v>-0.75</v>
      </c>
      <c r="H17" s="0" t="n">
        <f aca="false">-1+D17*0.25</f>
        <v>-0.25</v>
      </c>
      <c r="I17" s="0" t="n">
        <f aca="false">1</f>
        <v>1</v>
      </c>
      <c r="J17" s="0" t="n">
        <f aca="false">E17</f>
        <v>-1</v>
      </c>
      <c r="K17" s="0" t="n">
        <f aca="false">F17</f>
        <v>-1</v>
      </c>
      <c r="L17" s="0" t="n">
        <f aca="false">G17</f>
        <v>-0.75</v>
      </c>
      <c r="M17" s="0" t="n">
        <f aca="false">H17</f>
        <v>-0.25</v>
      </c>
      <c r="N17" s="0" t="n">
        <f aca="false">E17*F17</f>
        <v>1</v>
      </c>
      <c r="O17" s="0" t="n">
        <f aca="false">E17*G17</f>
        <v>0.75</v>
      </c>
      <c r="P17" s="0" t="n">
        <f aca="false">E17*H17</f>
        <v>0.25</v>
      </c>
      <c r="Q17" s="0" t="n">
        <f aca="false">F17*G17</f>
        <v>0.75</v>
      </c>
      <c r="R17" s="0" t="n">
        <f aca="false">F17*H17</f>
        <v>0.25</v>
      </c>
      <c r="S17" s="0" t="n">
        <f aca="false">G17*H17</f>
        <v>0.1875</v>
      </c>
      <c r="T17" s="0" t="n">
        <f aca="false">E17*E17</f>
        <v>1</v>
      </c>
      <c r="U17" s="0" t="n">
        <f aca="false">F17*F17</f>
        <v>1</v>
      </c>
      <c r="V17" s="0" t="n">
        <f aca="false">G17*G17</f>
        <v>0.5625</v>
      </c>
      <c r="W17" s="0" t="n">
        <f aca="false">H17*H17</f>
        <v>0.0625</v>
      </c>
      <c r="X17" s="0" t="n">
        <f aca="false">SUMPRODUCT(I17:W17,_XtX!$B$96:$P$96)</f>
        <v>38.3002147295322</v>
      </c>
      <c r="Y17" s="0" t="n">
        <f aca="false">SUMPRODUCT(MMULT(I17:W17,_XtX!$B$78:$P$92),I17:W17)</f>
        <v>0.621372155975877</v>
      </c>
      <c r="Z17" s="0" t="n">
        <f aca="false">04_回帰ANOVA!$K$19*04_回帰ANOVA!$K$14*SQRT(1+Y17)</f>
        <v>1.65973880499872</v>
      </c>
      <c r="AA17" s="0" t="n">
        <f aca="false">X17-Z17</f>
        <v>36.6404759245335</v>
      </c>
      <c r="AB17" s="0" t="n">
        <f aca="false">X17+Z17</f>
        <v>39.9599535345309</v>
      </c>
      <c r="AC17" s="54" t="b">
        <f aca="false">AND(E17&gt;=01_因子設定!$L$5-0.000000001,E17&lt;=01_因子設定!$M$5+0.000000001,F17&gt;=01_因子設定!$L$6-0.000000001,F17&lt;=01_因子設定!$M$6+0.000000001,G17&gt;=01_因子設定!$L$7-0.000000001,G17&lt;=01_因子設定!$M$7+0.000000001,H17&gt;=01_因子設定!$L$8-0.000000001,H17&lt;=01_因子設定!$M$8+0.000000001,IF(01_因子設定!$B$20="Box-Behnken",E17^2+F17^2+G17^2+H17^2&lt;=2+0.000000001,TRUE()))</f>
        <v>1</v>
      </c>
      <c r="AD17" s="55" t="n">
        <f aca="false">IF(AC17,IF(01_因子設定!$B$13="最大化",AA17-01_因子設定!$B$14,IF(01_因子設定!$B$13="最小化",01_因子設定!$B$15-AB17,MIN(AA17-01_因子設定!$B$14,01_因子設定!$B$15-AB17))),-1E+030)</f>
        <v>-9.85952407546652</v>
      </c>
      <c r="AE17" s="55" t="n">
        <f aca="false">IF(AC17,IF(01_因子設定!$B$13="最大化",X17,IF(01_因子設定!$B$13="最小化",-X17,-ABS(X17-01_因子設定!$B$16))),-1E+030)</f>
        <v>38.3002147295322</v>
      </c>
      <c r="AF17" s="55" t="n">
        <f aca="false">AD17+ROW()*0.000000001</f>
        <v>-9.85952405846652</v>
      </c>
      <c r="AG17" s="55" t="n">
        <f aca="false">AE17+ROW()*0.000000001</f>
        <v>38.3002147465322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1</v>
      </c>
      <c r="D18" s="0" t="n">
        <v>4</v>
      </c>
      <c r="E18" s="0" t="n">
        <f aca="false">-1+A18*0.25</f>
        <v>-1</v>
      </c>
      <c r="F18" s="0" t="n">
        <f aca="false">-1+B18*0.25</f>
        <v>-1</v>
      </c>
      <c r="G18" s="0" t="n">
        <f aca="false">-1+C18*0.25</f>
        <v>-0.75</v>
      </c>
      <c r="H18" s="0" t="n">
        <f aca="false">-1+D18*0.25</f>
        <v>0</v>
      </c>
      <c r="I18" s="0" t="n">
        <f aca="false">1</f>
        <v>1</v>
      </c>
      <c r="J18" s="0" t="n">
        <f aca="false">E18</f>
        <v>-1</v>
      </c>
      <c r="K18" s="0" t="n">
        <f aca="false">F18</f>
        <v>-1</v>
      </c>
      <c r="L18" s="0" t="n">
        <f aca="false">G18</f>
        <v>-0.75</v>
      </c>
      <c r="M18" s="0" t="n">
        <f aca="false">H18</f>
        <v>0</v>
      </c>
      <c r="N18" s="0" t="n">
        <f aca="false">E18*F18</f>
        <v>1</v>
      </c>
      <c r="O18" s="0" t="n">
        <f aca="false">E18*G18</f>
        <v>0.75</v>
      </c>
      <c r="P18" s="0" t="n">
        <f aca="false">E18*H18</f>
        <v>-0</v>
      </c>
      <c r="Q18" s="0" t="n">
        <f aca="false">F18*G18</f>
        <v>0.75</v>
      </c>
      <c r="R18" s="0" t="n">
        <f aca="false">F18*H18</f>
        <v>-0</v>
      </c>
      <c r="S18" s="0" t="n">
        <f aca="false">G18*H18</f>
        <v>-0</v>
      </c>
      <c r="T18" s="0" t="n">
        <f aca="false">E18*E18</f>
        <v>1</v>
      </c>
      <c r="U18" s="0" t="n">
        <f aca="false">F18*F18</f>
        <v>1</v>
      </c>
      <c r="V18" s="0" t="n">
        <f aca="false">G18*G18</f>
        <v>0.5625</v>
      </c>
      <c r="W18" s="0" t="n">
        <f aca="false">H18*H18</f>
        <v>0</v>
      </c>
      <c r="X18" s="0" t="n">
        <f aca="false">SUMPRODUCT(I18:W18,_XtX!$B$96:$P$96)</f>
        <v>38.393475877193</v>
      </c>
      <c r="Y18" s="0" t="n">
        <f aca="false">SUMPRODUCT(MMULT(I18:W18,_XtX!$B$78:$P$92),I18:W18)</f>
        <v>0.646198830409357</v>
      </c>
      <c r="Z18" s="0" t="n">
        <f aca="false">04_回帰ANOVA!$K$19*04_回帰ANOVA!$K$14*SQRT(1+Y18)</f>
        <v>1.67239760569756</v>
      </c>
      <c r="AA18" s="0" t="n">
        <f aca="false">X18-Z18</f>
        <v>36.7210782714955</v>
      </c>
      <c r="AB18" s="0" t="n">
        <f aca="false">X18+Z18</f>
        <v>40.0658734828906</v>
      </c>
      <c r="AC18" s="54" t="b">
        <f aca="false">AND(E18&gt;=01_因子設定!$L$5-0.000000001,E18&lt;=01_因子設定!$M$5+0.000000001,F18&gt;=01_因子設定!$L$6-0.000000001,F18&lt;=01_因子設定!$M$6+0.000000001,G18&gt;=01_因子設定!$L$7-0.000000001,G18&lt;=01_因子設定!$M$7+0.000000001,H18&gt;=01_因子設定!$L$8-0.000000001,H18&lt;=01_因子設定!$M$8+0.000000001,IF(01_因子設定!$B$20="Box-Behnken",E18^2+F18^2+G18^2+H18^2&lt;=2+0.000000001,TRUE()))</f>
        <v>1</v>
      </c>
      <c r="AD18" s="55" t="n">
        <f aca="false">IF(AC18,IF(01_因子設定!$B$13="最大化",AA18-01_因子設定!$B$14,IF(01_因子設定!$B$13="最小化",01_因子設定!$B$15-AB18,MIN(AA18-01_因子設定!$B$14,01_因子設定!$B$15-AB18))),-1E+030)</f>
        <v>-9.77892172850454</v>
      </c>
      <c r="AE18" s="55" t="n">
        <f aca="false">IF(AC18,IF(01_因子設定!$B$13="最大化",X18,IF(01_因子設定!$B$13="最小化",-X18,-ABS(X18-01_因子設定!$B$16))),-1E+030)</f>
        <v>38.393475877193</v>
      </c>
      <c r="AF18" s="55" t="n">
        <f aca="false">AD18+ROW()*0.000000001</f>
        <v>-9.77892171050454</v>
      </c>
      <c r="AG18" s="55" t="n">
        <f aca="false">AE18+ROW()*0.000000001</f>
        <v>38.393475895193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1</v>
      </c>
      <c r="D19" s="0" t="n">
        <v>5</v>
      </c>
      <c r="E19" s="0" t="n">
        <f aca="false">-1+A19*0.25</f>
        <v>-1</v>
      </c>
      <c r="F19" s="0" t="n">
        <f aca="false">-1+B19*0.25</f>
        <v>-1</v>
      </c>
      <c r="G19" s="0" t="n">
        <f aca="false">-1+C19*0.25</f>
        <v>-0.75</v>
      </c>
      <c r="H19" s="0" t="n">
        <f aca="false">-1+D19*0.25</f>
        <v>0.25</v>
      </c>
      <c r="I19" s="0" t="n">
        <f aca="false">1</f>
        <v>1</v>
      </c>
      <c r="J19" s="0" t="n">
        <f aca="false">E19</f>
        <v>-1</v>
      </c>
      <c r="K19" s="0" t="n">
        <f aca="false">F19</f>
        <v>-1</v>
      </c>
      <c r="L19" s="0" t="n">
        <f aca="false">G19</f>
        <v>-0.75</v>
      </c>
      <c r="M19" s="0" t="n">
        <f aca="false">H19</f>
        <v>0.25</v>
      </c>
      <c r="N19" s="0" t="n">
        <f aca="false">E19*F19</f>
        <v>1</v>
      </c>
      <c r="O19" s="0" t="n">
        <f aca="false">E19*G19</f>
        <v>0.75</v>
      </c>
      <c r="P19" s="0" t="n">
        <f aca="false">E19*H19</f>
        <v>-0.25</v>
      </c>
      <c r="Q19" s="0" t="n">
        <f aca="false">F19*G19</f>
        <v>0.75</v>
      </c>
      <c r="R19" s="0" t="n">
        <f aca="false">F19*H19</f>
        <v>-0.25</v>
      </c>
      <c r="S19" s="0" t="n">
        <f aca="false">G19*H19</f>
        <v>-0.1875</v>
      </c>
      <c r="T19" s="0" t="n">
        <f aca="false">E19*E19</f>
        <v>1</v>
      </c>
      <c r="U19" s="0" t="n">
        <f aca="false">F19*F19</f>
        <v>1</v>
      </c>
      <c r="V19" s="0" t="n">
        <f aca="false">G19*G19</f>
        <v>0.5625</v>
      </c>
      <c r="W19" s="0" t="n">
        <f aca="false">H19*H19</f>
        <v>0.0625</v>
      </c>
      <c r="X19" s="0" t="n">
        <f aca="false">SUMPRODUCT(I19:W19,_XtX!$B$96:$P$96)</f>
        <v>38.43893000731</v>
      </c>
      <c r="Y19" s="0" t="n">
        <f aca="false">SUMPRODUCT(MMULT(I19:W19,_XtX!$B$78:$P$92),I19:W19)</f>
        <v>0.621372155975877</v>
      </c>
      <c r="Z19" s="0" t="n">
        <f aca="false">04_回帰ANOVA!$K$19*04_回帰ANOVA!$K$14*SQRT(1+Y19)</f>
        <v>1.65973880499872</v>
      </c>
      <c r="AA19" s="0" t="n">
        <f aca="false">X19-Z19</f>
        <v>36.7791912023113</v>
      </c>
      <c r="AB19" s="0" t="n">
        <f aca="false">X19+Z19</f>
        <v>40.0986688123087</v>
      </c>
      <c r="AC19" s="54" t="b">
        <f aca="false">AND(E19&gt;=01_因子設定!$L$5-0.000000001,E19&lt;=01_因子設定!$M$5+0.000000001,F19&gt;=01_因子設定!$L$6-0.000000001,F19&lt;=01_因子設定!$M$6+0.000000001,G19&gt;=01_因子設定!$L$7-0.000000001,G19&lt;=01_因子設定!$M$7+0.000000001,H19&gt;=01_因子設定!$L$8-0.000000001,H19&lt;=01_因子設定!$M$8+0.000000001,IF(01_因子設定!$B$20="Box-Behnken",E19^2+F19^2+G19^2+H19^2&lt;=2+0.000000001,TRUE()))</f>
        <v>1</v>
      </c>
      <c r="AD19" s="55" t="n">
        <f aca="false">IF(AC19,IF(01_因子設定!$B$13="最大化",AA19-01_因子設定!$B$14,IF(01_因子設定!$B$13="最小化",01_因子設定!$B$15-AB19,MIN(AA19-01_因子設定!$B$14,01_因子設定!$B$15-AB19))),-1E+030)</f>
        <v>-9.72080879768875</v>
      </c>
      <c r="AE19" s="55" t="n">
        <f aca="false">IF(AC19,IF(01_因子設定!$B$13="最大化",X19,IF(01_因子設定!$B$13="最小化",-X19,-ABS(X19-01_因子設定!$B$16))),-1E+030)</f>
        <v>38.43893000731</v>
      </c>
      <c r="AF19" s="55" t="n">
        <f aca="false">AD19+ROW()*0.000000001</f>
        <v>-9.72080877868875</v>
      </c>
      <c r="AG19" s="55" t="n">
        <f aca="false">AE19+ROW()*0.000000001</f>
        <v>38.43893002631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1</v>
      </c>
      <c r="D20" s="0" t="n">
        <v>6</v>
      </c>
      <c r="E20" s="0" t="n">
        <f aca="false">-1+A20*0.25</f>
        <v>-1</v>
      </c>
      <c r="F20" s="0" t="n">
        <f aca="false">-1+B20*0.25</f>
        <v>-1</v>
      </c>
      <c r="G20" s="0" t="n">
        <f aca="false">-1+C20*0.25</f>
        <v>-0.75</v>
      </c>
      <c r="H20" s="0" t="n">
        <f aca="false">-1+D20*0.25</f>
        <v>0.5</v>
      </c>
      <c r="I20" s="0" t="n">
        <f aca="false">1</f>
        <v>1</v>
      </c>
      <c r="J20" s="0" t="n">
        <f aca="false">E20</f>
        <v>-1</v>
      </c>
      <c r="K20" s="0" t="n">
        <f aca="false">F20</f>
        <v>-1</v>
      </c>
      <c r="L20" s="0" t="n">
        <f aca="false">G20</f>
        <v>-0.75</v>
      </c>
      <c r="M20" s="0" t="n">
        <f aca="false">H20</f>
        <v>0.5</v>
      </c>
      <c r="N20" s="0" t="n">
        <f aca="false">E20*F20</f>
        <v>1</v>
      </c>
      <c r="O20" s="0" t="n">
        <f aca="false">E20*G20</f>
        <v>0.75</v>
      </c>
      <c r="P20" s="0" t="n">
        <f aca="false">E20*H20</f>
        <v>-0.5</v>
      </c>
      <c r="Q20" s="0" t="n">
        <f aca="false">F20*G20</f>
        <v>0.75</v>
      </c>
      <c r="R20" s="0" t="n">
        <f aca="false">F20*H20</f>
        <v>-0.5</v>
      </c>
      <c r="S20" s="0" t="n">
        <f aca="false">G20*H20</f>
        <v>-0.375</v>
      </c>
      <c r="T20" s="0" t="n">
        <f aca="false">E20*E20</f>
        <v>1</v>
      </c>
      <c r="U20" s="0" t="n">
        <f aca="false">F20*F20</f>
        <v>1</v>
      </c>
      <c r="V20" s="0" t="n">
        <f aca="false">G20*G20</f>
        <v>0.5625</v>
      </c>
      <c r="W20" s="0" t="n">
        <f aca="false">H20*H20</f>
        <v>0.25</v>
      </c>
      <c r="X20" s="0" t="n">
        <f aca="false">SUMPRODUCT(I20:W20,_XtX!$B$96:$P$96)</f>
        <v>38.4365771198831</v>
      </c>
      <c r="Y20" s="0" t="n">
        <f aca="false">SUMPRODUCT(MMULT(I20:W20,_XtX!$B$78:$P$92),I20:W20)</f>
        <v>0.564984237938597</v>
      </c>
      <c r="Z20" s="0" t="n">
        <f aca="false">04_回帰ANOVA!$K$19*04_回帰ANOVA!$K$14*SQRT(1+Y20)</f>
        <v>1.63062229734503</v>
      </c>
      <c r="AA20" s="0" t="n">
        <f aca="false">X20-Z20</f>
        <v>36.805954822538</v>
      </c>
      <c r="AB20" s="0" t="n">
        <f aca="false">X20+Z20</f>
        <v>40.0671994172281</v>
      </c>
      <c r="AC20" s="54" t="b">
        <f aca="false">AND(E20&gt;=01_因子設定!$L$5-0.000000001,E20&lt;=01_因子設定!$M$5+0.000000001,F20&gt;=01_因子設定!$L$6-0.000000001,F20&lt;=01_因子設定!$M$6+0.000000001,G20&gt;=01_因子設定!$L$7-0.000000001,G20&lt;=01_因子設定!$M$7+0.000000001,H20&gt;=01_因子設定!$L$8-0.000000001,H20&lt;=01_因子設定!$M$8+0.000000001,IF(01_因子設定!$B$20="Box-Behnken",E20^2+F20^2+G20^2+H20^2&lt;=2+0.000000001,TRUE()))</f>
        <v>1</v>
      </c>
      <c r="AD20" s="55" t="n">
        <f aca="false">IF(AC20,IF(01_因子設定!$B$13="最大化",AA20-01_因子設定!$B$14,IF(01_因子設定!$B$13="最小化",01_因子設定!$B$15-AB20,MIN(AA20-01_因子設定!$B$14,01_因子設定!$B$15-AB20))),-1E+030)</f>
        <v>-9.69404517746196</v>
      </c>
      <c r="AE20" s="55" t="n">
        <f aca="false">IF(AC20,IF(01_因子設定!$B$13="最大化",X20,IF(01_因子設定!$B$13="最小化",-X20,-ABS(X20-01_因子設定!$B$16))),-1E+030)</f>
        <v>38.4365771198831</v>
      </c>
      <c r="AF20" s="55" t="n">
        <f aca="false">AD20+ROW()*0.000000001</f>
        <v>-9.69404515746196</v>
      </c>
      <c r="AG20" s="55" t="n">
        <f aca="false">AE20+ROW()*0.000000001</f>
        <v>38.4365771398831</v>
      </c>
    </row>
    <row r="21" customFormat="false" ht="15" hidden="false" customHeight="false" outlineLevel="0" collapsed="false">
      <c r="A21" s="0" t="n">
        <v>0</v>
      </c>
      <c r="B21" s="0" t="n">
        <v>0</v>
      </c>
      <c r="C21" s="0" t="n">
        <v>1</v>
      </c>
      <c r="D21" s="0" t="n">
        <v>7</v>
      </c>
      <c r="E21" s="0" t="n">
        <f aca="false">-1+A21*0.25</f>
        <v>-1</v>
      </c>
      <c r="F21" s="0" t="n">
        <f aca="false">-1+B21*0.25</f>
        <v>-1</v>
      </c>
      <c r="G21" s="0" t="n">
        <f aca="false">-1+C21*0.25</f>
        <v>-0.75</v>
      </c>
      <c r="H21" s="0" t="n">
        <f aca="false">-1+D21*0.25</f>
        <v>0.75</v>
      </c>
      <c r="I21" s="0" t="n">
        <f aca="false">1</f>
        <v>1</v>
      </c>
      <c r="J21" s="0" t="n">
        <f aca="false">E21</f>
        <v>-1</v>
      </c>
      <c r="K21" s="0" t="n">
        <f aca="false">F21</f>
        <v>-1</v>
      </c>
      <c r="L21" s="0" t="n">
        <f aca="false">G21</f>
        <v>-0.75</v>
      </c>
      <c r="M21" s="0" t="n">
        <f aca="false">H21</f>
        <v>0.75</v>
      </c>
      <c r="N21" s="0" t="n">
        <f aca="false">E21*F21</f>
        <v>1</v>
      </c>
      <c r="O21" s="0" t="n">
        <f aca="false">E21*G21</f>
        <v>0.75</v>
      </c>
      <c r="P21" s="0" t="n">
        <f aca="false">E21*H21</f>
        <v>-0.75</v>
      </c>
      <c r="Q21" s="0" t="n">
        <f aca="false">F21*G21</f>
        <v>0.75</v>
      </c>
      <c r="R21" s="0" t="n">
        <f aca="false">F21*H21</f>
        <v>-0.75</v>
      </c>
      <c r="S21" s="0" t="n">
        <f aca="false">G21*H21</f>
        <v>-0.5625</v>
      </c>
      <c r="T21" s="0" t="n">
        <f aca="false">E21*E21</f>
        <v>1</v>
      </c>
      <c r="U21" s="0" t="n">
        <f aca="false">F21*F21</f>
        <v>1</v>
      </c>
      <c r="V21" s="0" t="n">
        <f aca="false">G21*G21</f>
        <v>0.5625</v>
      </c>
      <c r="W21" s="0" t="n">
        <f aca="false">H21*H21</f>
        <v>0.5625</v>
      </c>
      <c r="X21" s="0" t="n">
        <f aca="false">SUMPRODUCT(I21:W21,_XtX!$B$96:$P$96)</f>
        <v>38.3864172149123</v>
      </c>
      <c r="Y21" s="0" t="n">
        <f aca="false">SUMPRODUCT(MMULT(I21:W21,_XtX!$B$78:$P$92),I21:W21)</f>
        <v>0.531311392086988</v>
      </c>
      <c r="Z21" s="0" t="n">
        <f aca="false">04_回帰ANOVA!$K$19*04_回帰ANOVA!$K$14*SQRT(1+Y21)</f>
        <v>1.61298433431428</v>
      </c>
      <c r="AA21" s="0" t="n">
        <f aca="false">X21-Z21</f>
        <v>36.773432880598</v>
      </c>
      <c r="AB21" s="0" t="n">
        <f aca="false">X21+Z21</f>
        <v>39.9994015492266</v>
      </c>
      <c r="AC21" s="54" t="b">
        <f aca="false">AND(E21&gt;=01_因子設定!$L$5-0.000000001,E21&lt;=01_因子設定!$M$5+0.000000001,F21&gt;=01_因子設定!$L$6-0.000000001,F21&lt;=01_因子設定!$M$6+0.000000001,G21&gt;=01_因子設定!$L$7-0.000000001,G21&lt;=01_因子設定!$M$7+0.000000001,H21&gt;=01_因子設定!$L$8-0.000000001,H21&lt;=01_因子設定!$M$8+0.000000001,IF(01_因子設定!$B$20="Box-Behnken",E21^2+F21^2+G21^2+H21^2&lt;=2+0.000000001,TRUE()))</f>
        <v>1</v>
      </c>
      <c r="AD21" s="55" t="n">
        <f aca="false">IF(AC21,IF(01_因子設定!$B$13="最大化",AA21-01_因子設定!$B$14,IF(01_因子設定!$B$13="最小化",01_因子設定!$B$15-AB21,MIN(AA21-01_因子設定!$B$14,01_因子設定!$B$15-AB21))),-1E+030)</f>
        <v>-9.72656711940196</v>
      </c>
      <c r="AE21" s="55" t="n">
        <f aca="false">IF(AC21,IF(01_因子設定!$B$13="最大化",X21,IF(01_因子設定!$B$13="最小化",-X21,-ABS(X21-01_因子設定!$B$16))),-1E+030)</f>
        <v>38.3864172149123</v>
      </c>
      <c r="AF21" s="55" t="n">
        <f aca="false">AD21+ROW()*0.000000001</f>
        <v>-9.72656709840196</v>
      </c>
      <c r="AG21" s="55" t="n">
        <f aca="false">AE21+ROW()*0.000000001</f>
        <v>38.3864172359123</v>
      </c>
    </row>
    <row r="22" customFormat="false" ht="15" hidden="false" customHeight="false" outlineLevel="0" collapsed="false">
      <c r="A22" s="0" t="n">
        <v>0</v>
      </c>
      <c r="B22" s="0" t="n">
        <v>0</v>
      </c>
      <c r="C22" s="0" t="n">
        <v>1</v>
      </c>
      <c r="D22" s="0" t="n">
        <v>8</v>
      </c>
      <c r="E22" s="0" t="n">
        <f aca="false">-1+A22*0.25</f>
        <v>-1</v>
      </c>
      <c r="F22" s="0" t="n">
        <f aca="false">-1+B22*0.25</f>
        <v>-1</v>
      </c>
      <c r="G22" s="0" t="n">
        <f aca="false">-1+C22*0.25</f>
        <v>-0.75</v>
      </c>
      <c r="H22" s="0" t="n">
        <f aca="false">-1+D22*0.25</f>
        <v>1</v>
      </c>
      <c r="I22" s="0" t="n">
        <f aca="false">1</f>
        <v>1</v>
      </c>
      <c r="J22" s="0" t="n">
        <f aca="false">E22</f>
        <v>-1</v>
      </c>
      <c r="K22" s="0" t="n">
        <f aca="false">F22</f>
        <v>-1</v>
      </c>
      <c r="L22" s="0" t="n">
        <f aca="false">G22</f>
        <v>-0.75</v>
      </c>
      <c r="M22" s="0" t="n">
        <f aca="false">H22</f>
        <v>1</v>
      </c>
      <c r="N22" s="0" t="n">
        <f aca="false">E22*F22</f>
        <v>1</v>
      </c>
      <c r="O22" s="0" t="n">
        <f aca="false">E22*G22</f>
        <v>0.75</v>
      </c>
      <c r="P22" s="0" t="n">
        <f aca="false">E22*H22</f>
        <v>-1</v>
      </c>
      <c r="Q22" s="0" t="n">
        <f aca="false">F22*G22</f>
        <v>0.75</v>
      </c>
      <c r="R22" s="0" t="n">
        <f aca="false">F22*H22</f>
        <v>-1</v>
      </c>
      <c r="S22" s="0" t="n">
        <f aca="false">G22*H22</f>
        <v>-0.75</v>
      </c>
      <c r="T22" s="0" t="n">
        <f aca="false">E22*E22</f>
        <v>1</v>
      </c>
      <c r="U22" s="0" t="n">
        <f aca="false">F22*F22</f>
        <v>1</v>
      </c>
      <c r="V22" s="0" t="n">
        <f aca="false">G22*G22</f>
        <v>0.5625</v>
      </c>
      <c r="W22" s="0" t="n">
        <f aca="false">H22*H22</f>
        <v>1</v>
      </c>
      <c r="X22" s="0" t="n">
        <f aca="false">SUMPRODUCT(I22:W22,_XtX!$B$96:$P$96)</f>
        <v>38.2884502923977</v>
      </c>
      <c r="Y22" s="0" t="n">
        <f aca="false">SUMPRODUCT(MMULT(I22:W22,_XtX!$B$78:$P$92),I22:W22)</f>
        <v>0.610814144736842</v>
      </c>
      <c r="Z22" s="0" t="n">
        <f aca="false">04_回帰ANOVA!$K$19*04_回帰ANOVA!$K$14*SQRT(1+Y22)</f>
        <v>1.6543260558361</v>
      </c>
      <c r="AA22" s="0" t="n">
        <f aca="false">X22-Z22</f>
        <v>36.6341242365616</v>
      </c>
      <c r="AB22" s="0" t="n">
        <f aca="false">X22+Z22</f>
        <v>39.9427763482338</v>
      </c>
      <c r="AC22" s="54" t="b">
        <f aca="false">AND(E22&gt;=01_因子設定!$L$5-0.000000001,E22&lt;=01_因子設定!$M$5+0.000000001,F22&gt;=01_因子設定!$L$6-0.000000001,F22&lt;=01_因子設定!$M$6+0.000000001,G22&gt;=01_因子設定!$L$7-0.000000001,G22&lt;=01_因子設定!$M$7+0.000000001,H22&gt;=01_因子設定!$L$8-0.000000001,H22&lt;=01_因子設定!$M$8+0.000000001,IF(01_因子設定!$B$20="Box-Behnken",E22^2+F22^2+G22^2+H22^2&lt;=2+0.000000001,TRUE()))</f>
        <v>1</v>
      </c>
      <c r="AD22" s="55" t="n">
        <f aca="false">IF(AC22,IF(01_因子設定!$B$13="最大化",AA22-01_因子設定!$B$14,IF(01_因子設定!$B$13="最小化",01_因子設定!$B$15-AB22,MIN(AA22-01_因子設定!$B$14,01_因子設定!$B$15-AB22))),-1E+030)</f>
        <v>-9.86587576343837</v>
      </c>
      <c r="AE22" s="55" t="n">
        <f aca="false">IF(AC22,IF(01_因子設定!$B$13="最大化",X22,IF(01_因子設定!$B$13="最小化",-X22,-ABS(X22-01_因子設定!$B$16))),-1E+030)</f>
        <v>38.2884502923977</v>
      </c>
      <c r="AF22" s="55" t="n">
        <f aca="false">AD22+ROW()*0.000000001</f>
        <v>-9.86587574143837</v>
      </c>
      <c r="AG22" s="55" t="n">
        <f aca="false">AE22+ROW()*0.000000001</f>
        <v>38.2884503143977</v>
      </c>
    </row>
    <row r="23" customFormat="false" ht="15" hidden="false" customHeight="false" outlineLevel="0" collapsed="false">
      <c r="A23" s="0" t="n">
        <v>0</v>
      </c>
      <c r="B23" s="0" t="n">
        <v>0</v>
      </c>
      <c r="C23" s="0" t="n">
        <v>2</v>
      </c>
      <c r="D23" s="0" t="n">
        <v>0</v>
      </c>
      <c r="E23" s="0" t="n">
        <f aca="false">-1+A23*0.25</f>
        <v>-1</v>
      </c>
      <c r="F23" s="0" t="n">
        <f aca="false">-1+B23*0.25</f>
        <v>-1</v>
      </c>
      <c r="G23" s="0" t="n">
        <f aca="false">-1+C23*0.25</f>
        <v>-0.5</v>
      </c>
      <c r="H23" s="0" t="n">
        <f aca="false">-1+D23*0.25</f>
        <v>-1</v>
      </c>
      <c r="I23" s="0" t="n">
        <f aca="false">1</f>
        <v>1</v>
      </c>
      <c r="J23" s="0" t="n">
        <f aca="false">E23</f>
        <v>-1</v>
      </c>
      <c r="K23" s="0" t="n">
        <f aca="false">F23</f>
        <v>-1</v>
      </c>
      <c r="L23" s="0" t="n">
        <f aca="false">G23</f>
        <v>-0.5</v>
      </c>
      <c r="M23" s="0" t="n">
        <f aca="false">H23</f>
        <v>-1</v>
      </c>
      <c r="N23" s="0" t="n">
        <f aca="false">E23*F23</f>
        <v>1</v>
      </c>
      <c r="O23" s="0" t="n">
        <f aca="false">E23*G23</f>
        <v>0.5</v>
      </c>
      <c r="P23" s="0" t="n">
        <f aca="false">E23*H23</f>
        <v>1</v>
      </c>
      <c r="Q23" s="0" t="n">
        <f aca="false">F23*G23</f>
        <v>0.5</v>
      </c>
      <c r="R23" s="0" t="n">
        <f aca="false">F23*H23</f>
        <v>1</v>
      </c>
      <c r="S23" s="0" t="n">
        <f aca="false">G23*H23</f>
        <v>0.5</v>
      </c>
      <c r="T23" s="0" t="n">
        <f aca="false">E23*E23</f>
        <v>1</v>
      </c>
      <c r="U23" s="0" t="n">
        <f aca="false">F23*F23</f>
        <v>1</v>
      </c>
      <c r="V23" s="0" t="n">
        <f aca="false">G23*G23</f>
        <v>0.25</v>
      </c>
      <c r="W23" s="0" t="n">
        <f aca="false">H23*H23</f>
        <v>1</v>
      </c>
      <c r="X23" s="0" t="n">
        <f aca="false">SUMPRODUCT(I23:W23,_XtX!$B$96:$P$96)</f>
        <v>38.2051900584796</v>
      </c>
      <c r="Y23" s="0" t="n">
        <f aca="false">SUMPRODUCT(MMULT(I23:W23,_XtX!$B$78:$P$92),I23:W23)</f>
        <v>0.667123538011696</v>
      </c>
      <c r="Z23" s="0" t="n">
        <f aca="false">04_回帰ANOVA!$K$19*04_回帰ANOVA!$K$14*SQRT(1+Y23)</f>
        <v>1.68299290213005</v>
      </c>
      <c r="AA23" s="0" t="n">
        <f aca="false">X23-Z23</f>
        <v>36.5221971563495</v>
      </c>
      <c r="AB23" s="0" t="n">
        <f aca="false">X23+Z23</f>
        <v>39.8881829606097</v>
      </c>
      <c r="AC23" s="54" t="b">
        <f aca="false">AND(E23&gt;=01_因子設定!$L$5-0.000000001,E23&lt;=01_因子設定!$M$5+0.000000001,F23&gt;=01_因子設定!$L$6-0.000000001,F23&lt;=01_因子設定!$M$6+0.000000001,G23&gt;=01_因子設定!$L$7-0.000000001,G23&lt;=01_因子設定!$M$7+0.000000001,H23&gt;=01_因子設定!$L$8-0.000000001,H23&lt;=01_因子設定!$M$8+0.000000001,IF(01_因子設定!$B$20="Box-Behnken",E23^2+F23^2+G23^2+H23^2&lt;=2+0.000000001,TRUE()))</f>
        <v>1</v>
      </c>
      <c r="AD23" s="55" t="n">
        <f aca="false">IF(AC23,IF(01_因子設定!$B$13="最大化",AA23-01_因子設定!$B$14,IF(01_因子設定!$B$13="最小化",01_因子設定!$B$15-AB23,MIN(AA23-01_因子設定!$B$14,01_因子設定!$B$15-AB23))),-1E+030)</f>
        <v>-9.97780284365046</v>
      </c>
      <c r="AE23" s="55" t="n">
        <f aca="false">IF(AC23,IF(01_因子設定!$B$13="最大化",X23,IF(01_因子設定!$B$13="最小化",-X23,-ABS(X23-01_因子設定!$B$16))),-1E+030)</f>
        <v>38.2051900584796</v>
      </c>
      <c r="AF23" s="55" t="n">
        <f aca="false">AD23+ROW()*0.000000001</f>
        <v>-9.97780282065046</v>
      </c>
      <c r="AG23" s="55" t="n">
        <f aca="false">AE23+ROW()*0.000000001</f>
        <v>38.2051900814796</v>
      </c>
    </row>
    <row r="24" customFormat="false" ht="15" hidden="false" customHeight="false" outlineLevel="0" collapsed="false">
      <c r="A24" s="0" t="n">
        <v>0</v>
      </c>
      <c r="B24" s="0" t="n">
        <v>0</v>
      </c>
      <c r="C24" s="0" t="n">
        <v>2</v>
      </c>
      <c r="D24" s="0" t="n">
        <v>1</v>
      </c>
      <c r="E24" s="0" t="n">
        <f aca="false">-1+A24*0.25</f>
        <v>-1</v>
      </c>
      <c r="F24" s="0" t="n">
        <f aca="false">-1+B24*0.25</f>
        <v>-1</v>
      </c>
      <c r="G24" s="0" t="n">
        <f aca="false">-1+C24*0.25</f>
        <v>-0.5</v>
      </c>
      <c r="H24" s="0" t="n">
        <f aca="false">-1+D24*0.25</f>
        <v>-0.75</v>
      </c>
      <c r="I24" s="0" t="n">
        <f aca="false">1</f>
        <v>1</v>
      </c>
      <c r="J24" s="0" t="n">
        <f aca="false">E24</f>
        <v>-1</v>
      </c>
      <c r="K24" s="0" t="n">
        <f aca="false">F24</f>
        <v>-1</v>
      </c>
      <c r="L24" s="0" t="n">
        <f aca="false">G24</f>
        <v>-0.5</v>
      </c>
      <c r="M24" s="0" t="n">
        <f aca="false">H24</f>
        <v>-0.75</v>
      </c>
      <c r="N24" s="0" t="n">
        <f aca="false">E24*F24</f>
        <v>1</v>
      </c>
      <c r="O24" s="0" t="n">
        <f aca="false">E24*G24</f>
        <v>0.5</v>
      </c>
      <c r="P24" s="0" t="n">
        <f aca="false">E24*H24</f>
        <v>0.75</v>
      </c>
      <c r="Q24" s="0" t="n">
        <f aca="false">F24*G24</f>
        <v>0.5</v>
      </c>
      <c r="R24" s="0" t="n">
        <f aca="false">F24*H24</f>
        <v>0.75</v>
      </c>
      <c r="S24" s="0" t="n">
        <f aca="false">G24*H24</f>
        <v>0.375</v>
      </c>
      <c r="T24" s="0" t="n">
        <f aca="false">E24*E24</f>
        <v>1</v>
      </c>
      <c r="U24" s="0" t="n">
        <f aca="false">F24*F24</f>
        <v>1</v>
      </c>
      <c r="V24" s="0" t="n">
        <f aca="false">G24*G24</f>
        <v>0.25</v>
      </c>
      <c r="W24" s="0" t="n">
        <f aca="false">H24*H24</f>
        <v>0.5625</v>
      </c>
      <c r="X24" s="0" t="n">
        <f aca="false">SUMPRODUCT(I24:W24,_XtX!$B$96:$P$96)</f>
        <v>38.459841008772</v>
      </c>
      <c r="Y24" s="0" t="n">
        <f aca="false">SUMPRODUCT(MMULT(I24:W24,_XtX!$B$78:$P$92),I24:W24)</f>
        <v>0.564984237938597</v>
      </c>
      <c r="Z24" s="0" t="n">
        <f aca="false">04_回帰ANOVA!$K$19*04_回帰ANOVA!$K$14*SQRT(1+Y24)</f>
        <v>1.63062229734503</v>
      </c>
      <c r="AA24" s="0" t="n">
        <f aca="false">X24-Z24</f>
        <v>36.8292187114269</v>
      </c>
      <c r="AB24" s="0" t="n">
        <f aca="false">X24+Z24</f>
        <v>40.090463306117</v>
      </c>
      <c r="AC24" s="54" t="b">
        <f aca="false">AND(E24&gt;=01_因子設定!$L$5-0.000000001,E24&lt;=01_因子設定!$M$5+0.000000001,F24&gt;=01_因子設定!$L$6-0.000000001,F24&lt;=01_因子設定!$M$6+0.000000001,G24&gt;=01_因子設定!$L$7-0.000000001,G24&lt;=01_因子設定!$M$7+0.000000001,H24&gt;=01_因子設定!$L$8-0.000000001,H24&lt;=01_因子設定!$M$8+0.000000001,IF(01_因子設定!$B$20="Box-Behnken",E24^2+F24^2+G24^2+H24^2&lt;=2+0.000000001,TRUE()))</f>
        <v>1</v>
      </c>
      <c r="AD24" s="55" t="n">
        <f aca="false">IF(AC24,IF(01_因子設定!$B$13="最大化",AA24-01_因子設定!$B$14,IF(01_因子設定!$B$13="最小化",01_因子設定!$B$15-AB24,MIN(AA24-01_因子設定!$B$14,01_因子設定!$B$15-AB24))),-1E+030)</f>
        <v>-9.67078128857306</v>
      </c>
      <c r="AE24" s="55" t="n">
        <f aca="false">IF(AC24,IF(01_因子設定!$B$13="最大化",X24,IF(01_因子設定!$B$13="最小化",-X24,-ABS(X24-01_因子設定!$B$16))),-1E+030)</f>
        <v>38.459841008772</v>
      </c>
      <c r="AF24" s="55" t="n">
        <f aca="false">AD24+ROW()*0.000000001</f>
        <v>-9.67078126457306</v>
      </c>
      <c r="AG24" s="55" t="n">
        <f aca="false">AE24+ROW()*0.000000001</f>
        <v>38.459841032772</v>
      </c>
    </row>
    <row r="25" customFormat="false" ht="15" hidden="false" customHeight="false" outlineLevel="0" collapsed="false">
      <c r="A25" s="0" t="n">
        <v>0</v>
      </c>
      <c r="B25" s="0" t="n">
        <v>0</v>
      </c>
      <c r="C25" s="0" t="n">
        <v>2</v>
      </c>
      <c r="D25" s="0" t="n">
        <v>2</v>
      </c>
      <c r="E25" s="0" t="n">
        <f aca="false">-1+A25*0.25</f>
        <v>-1</v>
      </c>
      <c r="F25" s="0" t="n">
        <f aca="false">-1+B25*0.25</f>
        <v>-1</v>
      </c>
      <c r="G25" s="0" t="n">
        <f aca="false">-1+C25*0.25</f>
        <v>-0.5</v>
      </c>
      <c r="H25" s="0" t="n">
        <f aca="false">-1+D25*0.25</f>
        <v>-0.5</v>
      </c>
      <c r="I25" s="0" t="n">
        <f aca="false">1</f>
        <v>1</v>
      </c>
      <c r="J25" s="0" t="n">
        <f aca="false">E25</f>
        <v>-1</v>
      </c>
      <c r="K25" s="0" t="n">
        <f aca="false">F25</f>
        <v>-1</v>
      </c>
      <c r="L25" s="0" t="n">
        <f aca="false">G25</f>
        <v>-0.5</v>
      </c>
      <c r="M25" s="0" t="n">
        <f aca="false">H25</f>
        <v>-0.5</v>
      </c>
      <c r="N25" s="0" t="n">
        <f aca="false">E25*F25</f>
        <v>1</v>
      </c>
      <c r="O25" s="0" t="n">
        <f aca="false">E25*G25</f>
        <v>0.5</v>
      </c>
      <c r="P25" s="0" t="n">
        <f aca="false">E25*H25</f>
        <v>0.5</v>
      </c>
      <c r="Q25" s="0" t="n">
        <f aca="false">F25*G25</f>
        <v>0.5</v>
      </c>
      <c r="R25" s="0" t="n">
        <f aca="false">F25*H25</f>
        <v>0.5</v>
      </c>
      <c r="S25" s="0" t="n">
        <f aca="false">G25*H25</f>
        <v>0.25</v>
      </c>
      <c r="T25" s="0" t="n">
        <f aca="false">E25*E25</f>
        <v>1</v>
      </c>
      <c r="U25" s="0" t="n">
        <f aca="false">F25*F25</f>
        <v>1</v>
      </c>
      <c r="V25" s="0" t="n">
        <f aca="false">G25*G25</f>
        <v>0.25</v>
      </c>
      <c r="W25" s="0" t="n">
        <f aca="false">H25*H25</f>
        <v>0.25</v>
      </c>
      <c r="X25" s="0" t="n">
        <f aca="false">SUMPRODUCT(I25:W25,_XtX!$B$96:$P$96)</f>
        <v>38.6666849415205</v>
      </c>
      <c r="Y25" s="0" t="n">
        <f aca="false">SUMPRODUCT(MMULT(I25:W25,_XtX!$B$78:$P$92),I25:W25)</f>
        <v>0.582488121345029</v>
      </c>
      <c r="Z25" s="0" t="n">
        <f aca="false">04_回帰ANOVA!$K$19*04_回帰ANOVA!$K$14*SQRT(1+Y25)</f>
        <v>1.63971595338287</v>
      </c>
      <c r="AA25" s="0" t="n">
        <f aca="false">X25-Z25</f>
        <v>37.0269689881376</v>
      </c>
      <c r="AB25" s="0" t="n">
        <f aca="false">X25+Z25</f>
        <v>40.3064008949034</v>
      </c>
      <c r="AC25" s="54" t="b">
        <f aca="false">AND(E25&gt;=01_因子設定!$L$5-0.000000001,E25&lt;=01_因子設定!$M$5+0.000000001,F25&gt;=01_因子設定!$L$6-0.000000001,F25&lt;=01_因子設定!$M$6+0.000000001,G25&gt;=01_因子設定!$L$7-0.000000001,G25&lt;=01_因子設定!$M$7+0.000000001,H25&gt;=01_因子設定!$L$8-0.000000001,H25&lt;=01_因子設定!$M$8+0.000000001,IF(01_因子設定!$B$20="Box-Behnken",E25^2+F25^2+G25^2+H25^2&lt;=2+0.000000001,TRUE()))</f>
        <v>1</v>
      </c>
      <c r="AD25" s="55" t="n">
        <f aca="false">IF(AC25,IF(01_因子設定!$B$13="最大化",AA25-01_因子設定!$B$14,IF(01_因子設定!$B$13="最小化",01_因子設定!$B$15-AB25,MIN(AA25-01_因子設定!$B$14,01_因子設定!$B$15-AB25))),-1E+030)</f>
        <v>-9.47303101186237</v>
      </c>
      <c r="AE25" s="55" t="n">
        <f aca="false">IF(AC25,IF(01_因子設定!$B$13="最大化",X25,IF(01_因子設定!$B$13="最小化",-X25,-ABS(X25-01_因子設定!$B$16))),-1E+030)</f>
        <v>38.6666849415205</v>
      </c>
      <c r="AF25" s="55" t="n">
        <f aca="false">AD25+ROW()*0.000000001</f>
        <v>-9.47303098686237</v>
      </c>
      <c r="AG25" s="55" t="n">
        <f aca="false">AE25+ROW()*0.000000001</f>
        <v>38.6666849665205</v>
      </c>
    </row>
    <row r="26" customFormat="false" ht="15" hidden="false" customHeight="false" outlineLevel="0" collapsed="false">
      <c r="A26" s="0" t="n">
        <v>0</v>
      </c>
      <c r="B26" s="0" t="n">
        <v>0</v>
      </c>
      <c r="C26" s="0" t="n">
        <v>2</v>
      </c>
      <c r="D26" s="0" t="n">
        <v>3</v>
      </c>
      <c r="E26" s="0" t="n">
        <f aca="false">-1+A26*0.25</f>
        <v>-1</v>
      </c>
      <c r="F26" s="0" t="n">
        <f aca="false">-1+B26*0.25</f>
        <v>-1</v>
      </c>
      <c r="G26" s="0" t="n">
        <f aca="false">-1+C26*0.25</f>
        <v>-0.5</v>
      </c>
      <c r="H26" s="0" t="n">
        <f aca="false">-1+D26*0.25</f>
        <v>-0.25</v>
      </c>
      <c r="I26" s="0" t="n">
        <f aca="false">1</f>
        <v>1</v>
      </c>
      <c r="J26" s="0" t="n">
        <f aca="false">E26</f>
        <v>-1</v>
      </c>
      <c r="K26" s="0" t="n">
        <f aca="false">F26</f>
        <v>-1</v>
      </c>
      <c r="L26" s="0" t="n">
        <f aca="false">G26</f>
        <v>-0.5</v>
      </c>
      <c r="M26" s="0" t="n">
        <f aca="false">H26</f>
        <v>-0.25</v>
      </c>
      <c r="N26" s="0" t="n">
        <f aca="false">E26*F26</f>
        <v>1</v>
      </c>
      <c r="O26" s="0" t="n">
        <f aca="false">E26*G26</f>
        <v>0.5</v>
      </c>
      <c r="P26" s="0" t="n">
        <f aca="false">E26*H26</f>
        <v>0.25</v>
      </c>
      <c r="Q26" s="0" t="n">
        <f aca="false">F26*G26</f>
        <v>0.5</v>
      </c>
      <c r="R26" s="0" t="n">
        <f aca="false">F26*H26</f>
        <v>0.25</v>
      </c>
      <c r="S26" s="0" t="n">
        <f aca="false">G26*H26</f>
        <v>0.125</v>
      </c>
      <c r="T26" s="0" t="n">
        <f aca="false">E26*E26</f>
        <v>1</v>
      </c>
      <c r="U26" s="0" t="n">
        <f aca="false">F26*F26</f>
        <v>1</v>
      </c>
      <c r="V26" s="0" t="n">
        <f aca="false">G26*G26</f>
        <v>0.25</v>
      </c>
      <c r="W26" s="0" t="n">
        <f aca="false">H26*H26</f>
        <v>0.0625</v>
      </c>
      <c r="X26" s="0" t="n">
        <f aca="false">SUMPRODUCT(I26:W26,_XtX!$B$96:$P$96)</f>
        <v>38.8257218567252</v>
      </c>
      <c r="Y26" s="0" t="n">
        <f aca="false">SUMPRODUCT(MMULT(I26:W26,_XtX!$B$78:$P$92),I26:W26)</f>
        <v>0.629174661915205</v>
      </c>
      <c r="Z26" s="0" t="n">
        <f aca="false">04_回帰ANOVA!$K$19*04_回帰ANOVA!$K$14*SQRT(1+Y26)</f>
        <v>1.66372758058297</v>
      </c>
      <c r="AA26" s="0" t="n">
        <f aca="false">X26-Z26</f>
        <v>37.1619942761422</v>
      </c>
      <c r="AB26" s="0" t="n">
        <f aca="false">X26+Z26</f>
        <v>40.4894494373081</v>
      </c>
      <c r="AC26" s="54" t="b">
        <f aca="false">AND(E26&gt;=01_因子設定!$L$5-0.000000001,E26&lt;=01_因子設定!$M$5+0.000000001,F26&gt;=01_因子設定!$L$6-0.000000001,F26&lt;=01_因子設定!$M$6+0.000000001,G26&gt;=01_因子設定!$L$7-0.000000001,G26&lt;=01_因子設定!$M$7+0.000000001,H26&gt;=01_因子設定!$L$8-0.000000001,H26&lt;=01_因子設定!$M$8+0.000000001,IF(01_因子設定!$B$20="Box-Behnken",E26^2+F26^2+G26^2+H26^2&lt;=2+0.000000001,TRUE()))</f>
        <v>1</v>
      </c>
      <c r="AD26" s="55" t="n">
        <f aca="false">IF(AC26,IF(01_因子設定!$B$13="最大化",AA26-01_因子設定!$B$14,IF(01_因子設定!$B$13="最小化",01_因子設定!$B$15-AB26,MIN(AA26-01_因子設定!$B$14,01_因子設定!$B$15-AB26))),-1E+030)</f>
        <v>-9.3380057238578</v>
      </c>
      <c r="AE26" s="55" t="n">
        <f aca="false">IF(AC26,IF(01_因子設定!$B$13="最大化",X26,IF(01_因子設定!$B$13="最小化",-X26,-ABS(X26-01_因子設定!$B$16))),-1E+030)</f>
        <v>38.8257218567252</v>
      </c>
      <c r="AF26" s="55" t="n">
        <f aca="false">AD26+ROW()*0.000000001</f>
        <v>-9.3380056978578</v>
      </c>
      <c r="AG26" s="55" t="n">
        <f aca="false">AE26+ROW()*0.000000001</f>
        <v>38.8257218827252</v>
      </c>
    </row>
    <row r="27" customFormat="false" ht="15" hidden="false" customHeight="false" outlineLevel="0" collapsed="false">
      <c r="A27" s="0" t="n">
        <v>0</v>
      </c>
      <c r="B27" s="0" t="n">
        <v>0</v>
      </c>
      <c r="C27" s="0" t="n">
        <v>2</v>
      </c>
      <c r="D27" s="0" t="n">
        <v>4</v>
      </c>
      <c r="E27" s="0" t="n">
        <f aca="false">-1+A27*0.25</f>
        <v>-1</v>
      </c>
      <c r="F27" s="0" t="n">
        <f aca="false">-1+B27*0.25</f>
        <v>-1</v>
      </c>
      <c r="G27" s="0" t="n">
        <f aca="false">-1+C27*0.25</f>
        <v>-0.5</v>
      </c>
      <c r="H27" s="0" t="n">
        <f aca="false">-1+D27*0.25</f>
        <v>0</v>
      </c>
      <c r="I27" s="0" t="n">
        <f aca="false">1</f>
        <v>1</v>
      </c>
      <c r="J27" s="0" t="n">
        <f aca="false">E27</f>
        <v>-1</v>
      </c>
      <c r="K27" s="0" t="n">
        <f aca="false">F27</f>
        <v>-1</v>
      </c>
      <c r="L27" s="0" t="n">
        <f aca="false">G27</f>
        <v>-0.5</v>
      </c>
      <c r="M27" s="0" t="n">
        <f aca="false">H27</f>
        <v>0</v>
      </c>
      <c r="N27" s="0" t="n">
        <f aca="false">E27*F27</f>
        <v>1</v>
      </c>
      <c r="O27" s="0" t="n">
        <f aca="false">E27*G27</f>
        <v>0.5</v>
      </c>
      <c r="P27" s="0" t="n">
        <f aca="false">E27*H27</f>
        <v>-0</v>
      </c>
      <c r="Q27" s="0" t="n">
        <f aca="false">F27*G27</f>
        <v>0.5</v>
      </c>
      <c r="R27" s="0" t="n">
        <f aca="false">F27*H27</f>
        <v>-0</v>
      </c>
      <c r="S27" s="0" t="n">
        <f aca="false">G27*H27</f>
        <v>-0</v>
      </c>
      <c r="T27" s="0" t="n">
        <f aca="false">E27*E27</f>
        <v>1</v>
      </c>
      <c r="U27" s="0" t="n">
        <f aca="false">F27*F27</f>
        <v>1</v>
      </c>
      <c r="V27" s="0" t="n">
        <f aca="false">G27*G27</f>
        <v>0.25</v>
      </c>
      <c r="W27" s="0" t="n">
        <f aca="false">H27*H27</f>
        <v>0</v>
      </c>
      <c r="X27" s="0" t="n">
        <f aca="false">SUMPRODUCT(I27:W27,_XtX!$B$96:$P$96)</f>
        <v>38.936951754386</v>
      </c>
      <c r="Y27" s="0" t="n">
        <f aca="false">SUMPRODUCT(MMULT(I27:W27,_XtX!$B$78:$P$92),I27:W27)</f>
        <v>0.650767543859649</v>
      </c>
      <c r="Z27" s="0" t="n">
        <f aca="false">04_回帰ANOVA!$K$19*04_回帰ANOVA!$K$14*SQRT(1+Y27)</f>
        <v>1.67471670935165</v>
      </c>
      <c r="AA27" s="0" t="n">
        <f aca="false">X27-Z27</f>
        <v>37.2622350450343</v>
      </c>
      <c r="AB27" s="0" t="n">
        <f aca="false">X27+Z27</f>
        <v>40.6116684637376</v>
      </c>
      <c r="AC27" s="54" t="b">
        <f aca="false">AND(E27&gt;=01_因子設定!$L$5-0.000000001,E27&lt;=01_因子設定!$M$5+0.000000001,F27&gt;=01_因子設定!$L$6-0.000000001,F27&lt;=01_因子設定!$M$6+0.000000001,G27&gt;=01_因子設定!$L$7-0.000000001,G27&lt;=01_因子設定!$M$7+0.000000001,H27&gt;=01_因子設定!$L$8-0.000000001,H27&lt;=01_因子設定!$M$8+0.000000001,IF(01_因子設定!$B$20="Box-Behnken",E27^2+F27^2+G27^2+H27^2&lt;=2+0.000000001,TRUE()))</f>
        <v>1</v>
      </c>
      <c r="AD27" s="55" t="n">
        <f aca="false">IF(AC27,IF(01_因子設定!$B$13="最大化",AA27-01_因子設定!$B$14,IF(01_因子設定!$B$13="最小化",01_因子設定!$B$15-AB27,MIN(AA27-01_因子設定!$B$14,01_因子設定!$B$15-AB27))),-1E+030)</f>
        <v>-9.23776495496566</v>
      </c>
      <c r="AE27" s="55" t="n">
        <f aca="false">IF(AC27,IF(01_因子設定!$B$13="最大化",X27,IF(01_因子設定!$B$13="最小化",-X27,-ABS(X27-01_因子設定!$B$16))),-1E+030)</f>
        <v>38.936951754386</v>
      </c>
      <c r="AF27" s="55" t="n">
        <f aca="false">AD27+ROW()*0.000000001</f>
        <v>-9.23776492796566</v>
      </c>
      <c r="AG27" s="55" t="n">
        <f aca="false">AE27+ROW()*0.000000001</f>
        <v>38.936951781386</v>
      </c>
    </row>
    <row r="28" customFormat="false" ht="15" hidden="false" customHeight="false" outlineLevel="0" collapsed="false">
      <c r="A28" s="0" t="n">
        <v>0</v>
      </c>
      <c r="B28" s="0" t="n">
        <v>0</v>
      </c>
      <c r="C28" s="0" t="n">
        <v>2</v>
      </c>
      <c r="D28" s="0" t="n">
        <v>5</v>
      </c>
      <c r="E28" s="0" t="n">
        <f aca="false">-1+A28*0.25</f>
        <v>-1</v>
      </c>
      <c r="F28" s="0" t="n">
        <f aca="false">-1+B28*0.25</f>
        <v>-1</v>
      </c>
      <c r="G28" s="0" t="n">
        <f aca="false">-1+C28*0.25</f>
        <v>-0.5</v>
      </c>
      <c r="H28" s="0" t="n">
        <f aca="false">-1+D28*0.25</f>
        <v>0.25</v>
      </c>
      <c r="I28" s="0" t="n">
        <f aca="false">1</f>
        <v>1</v>
      </c>
      <c r="J28" s="0" t="n">
        <f aca="false">E28</f>
        <v>-1</v>
      </c>
      <c r="K28" s="0" t="n">
        <f aca="false">F28</f>
        <v>-1</v>
      </c>
      <c r="L28" s="0" t="n">
        <f aca="false">G28</f>
        <v>-0.5</v>
      </c>
      <c r="M28" s="0" t="n">
        <f aca="false">H28</f>
        <v>0.25</v>
      </c>
      <c r="N28" s="0" t="n">
        <f aca="false">E28*F28</f>
        <v>1</v>
      </c>
      <c r="O28" s="0" t="n">
        <f aca="false">E28*G28</f>
        <v>0.5</v>
      </c>
      <c r="P28" s="0" t="n">
        <f aca="false">E28*H28</f>
        <v>-0.25</v>
      </c>
      <c r="Q28" s="0" t="n">
        <f aca="false">F28*G28</f>
        <v>0.5</v>
      </c>
      <c r="R28" s="0" t="n">
        <f aca="false">F28*H28</f>
        <v>-0.25</v>
      </c>
      <c r="S28" s="0" t="n">
        <f aca="false">G28*H28</f>
        <v>-0.125</v>
      </c>
      <c r="T28" s="0" t="n">
        <f aca="false">E28*E28</f>
        <v>1</v>
      </c>
      <c r="U28" s="0" t="n">
        <f aca="false">F28*F28</f>
        <v>1</v>
      </c>
      <c r="V28" s="0" t="n">
        <f aca="false">G28*G28</f>
        <v>0.25</v>
      </c>
      <c r="W28" s="0" t="n">
        <f aca="false">H28*H28</f>
        <v>0.0625</v>
      </c>
      <c r="X28" s="0" t="n">
        <f aca="false">SUMPRODUCT(I28:W28,_XtX!$B$96:$P$96)</f>
        <v>39.000374634503</v>
      </c>
      <c r="Y28" s="0" t="n">
        <f aca="false">SUMPRODUCT(MMULT(I28:W28,_XtX!$B$78:$P$92),I28:W28)</f>
        <v>0.629174661915205</v>
      </c>
      <c r="Z28" s="0" t="n">
        <f aca="false">04_回帰ANOVA!$K$19*04_回帰ANOVA!$K$14*SQRT(1+Y28)</f>
        <v>1.66372758058297</v>
      </c>
      <c r="AA28" s="0" t="n">
        <f aca="false">X28-Z28</f>
        <v>37.33664705392</v>
      </c>
      <c r="AB28" s="0" t="n">
        <f aca="false">X28+Z28</f>
        <v>40.6641022150859</v>
      </c>
      <c r="AC28" s="54" t="b">
        <f aca="false">AND(E28&gt;=01_因子設定!$L$5-0.000000001,E28&lt;=01_因子設定!$M$5+0.000000001,F28&gt;=01_因子設定!$L$6-0.000000001,F28&lt;=01_因子設定!$M$6+0.000000001,G28&gt;=01_因子設定!$L$7-0.000000001,G28&lt;=01_因子設定!$M$7+0.000000001,H28&gt;=01_因子設定!$L$8-0.000000001,H28&lt;=01_因子設定!$M$8+0.000000001,IF(01_因子設定!$B$20="Box-Behnken",E28^2+F28^2+G28^2+H28^2&lt;=2+0.000000001,TRUE()))</f>
        <v>1</v>
      </c>
      <c r="AD28" s="55" t="n">
        <f aca="false">IF(AC28,IF(01_因子設定!$B$13="最大化",AA28-01_因子設定!$B$14,IF(01_因子設定!$B$13="最小化",01_因子設定!$B$15-AB28,MIN(AA28-01_因子設定!$B$14,01_因子設定!$B$15-AB28))),-1E+030)</f>
        <v>-9.16335294608002</v>
      </c>
      <c r="AE28" s="55" t="n">
        <f aca="false">IF(AC28,IF(01_因子設定!$B$13="最大化",X28,IF(01_因子設定!$B$13="最小化",-X28,-ABS(X28-01_因子設定!$B$16))),-1E+030)</f>
        <v>39.000374634503</v>
      </c>
      <c r="AF28" s="55" t="n">
        <f aca="false">AD28+ROW()*0.000000001</f>
        <v>-9.16335291808002</v>
      </c>
      <c r="AG28" s="55" t="n">
        <f aca="false">AE28+ROW()*0.000000001</f>
        <v>39.000374662503</v>
      </c>
    </row>
    <row r="29" customFormat="false" ht="15" hidden="false" customHeight="false" outlineLevel="0" collapsed="false">
      <c r="A29" s="0" t="n">
        <v>0</v>
      </c>
      <c r="B29" s="0" t="n">
        <v>0</v>
      </c>
      <c r="C29" s="0" t="n">
        <v>2</v>
      </c>
      <c r="D29" s="0" t="n">
        <v>6</v>
      </c>
      <c r="E29" s="0" t="n">
        <f aca="false">-1+A29*0.25</f>
        <v>-1</v>
      </c>
      <c r="F29" s="0" t="n">
        <f aca="false">-1+B29*0.25</f>
        <v>-1</v>
      </c>
      <c r="G29" s="0" t="n">
        <f aca="false">-1+C29*0.25</f>
        <v>-0.5</v>
      </c>
      <c r="H29" s="0" t="n">
        <f aca="false">-1+D29*0.25</f>
        <v>0.5</v>
      </c>
      <c r="I29" s="0" t="n">
        <f aca="false">1</f>
        <v>1</v>
      </c>
      <c r="J29" s="0" t="n">
        <f aca="false">E29</f>
        <v>-1</v>
      </c>
      <c r="K29" s="0" t="n">
        <f aca="false">F29</f>
        <v>-1</v>
      </c>
      <c r="L29" s="0" t="n">
        <f aca="false">G29</f>
        <v>-0.5</v>
      </c>
      <c r="M29" s="0" t="n">
        <f aca="false">H29</f>
        <v>0.5</v>
      </c>
      <c r="N29" s="0" t="n">
        <f aca="false">E29*F29</f>
        <v>1</v>
      </c>
      <c r="O29" s="0" t="n">
        <f aca="false">E29*G29</f>
        <v>0.5</v>
      </c>
      <c r="P29" s="0" t="n">
        <f aca="false">E29*H29</f>
        <v>-0.5</v>
      </c>
      <c r="Q29" s="0" t="n">
        <f aca="false">F29*G29</f>
        <v>0.5</v>
      </c>
      <c r="R29" s="0" t="n">
        <f aca="false">F29*H29</f>
        <v>-0.5</v>
      </c>
      <c r="S29" s="0" t="n">
        <f aca="false">G29*H29</f>
        <v>-0.25</v>
      </c>
      <c r="T29" s="0" t="n">
        <f aca="false">E29*E29</f>
        <v>1</v>
      </c>
      <c r="U29" s="0" t="n">
        <f aca="false">F29*F29</f>
        <v>1</v>
      </c>
      <c r="V29" s="0" t="n">
        <f aca="false">G29*G29</f>
        <v>0.25</v>
      </c>
      <c r="W29" s="0" t="n">
        <f aca="false">H29*H29</f>
        <v>0.25</v>
      </c>
      <c r="X29" s="0" t="n">
        <f aca="false">SUMPRODUCT(I29:W29,_XtX!$B$96:$P$96)</f>
        <v>39.0159904970761</v>
      </c>
      <c r="Y29" s="0" t="n">
        <f aca="false">SUMPRODUCT(MMULT(I29:W29,_XtX!$B$78:$P$92),I29:W29)</f>
        <v>0.582488121345029</v>
      </c>
      <c r="Z29" s="0" t="n">
        <f aca="false">04_回帰ANOVA!$K$19*04_回帰ANOVA!$K$14*SQRT(1+Y29)</f>
        <v>1.63971595338287</v>
      </c>
      <c r="AA29" s="0" t="n">
        <f aca="false">X29-Z29</f>
        <v>37.3762745436932</v>
      </c>
      <c r="AB29" s="0" t="n">
        <f aca="false">X29+Z29</f>
        <v>40.6557064504589</v>
      </c>
      <c r="AC29" s="54" t="b">
        <f aca="false">AND(E29&gt;=01_因子設定!$L$5-0.000000001,E29&lt;=01_因子設定!$M$5+0.000000001,F29&gt;=01_因子設定!$L$6-0.000000001,F29&lt;=01_因子設定!$M$6+0.000000001,G29&gt;=01_因子設定!$L$7-0.000000001,G29&lt;=01_因子設定!$M$7+0.000000001,H29&gt;=01_因子設定!$L$8-0.000000001,H29&lt;=01_因子設定!$M$8+0.000000001,IF(01_因子設定!$B$20="Box-Behnken",E29^2+F29^2+G29^2+H29^2&lt;=2+0.000000001,TRUE()))</f>
        <v>1</v>
      </c>
      <c r="AD29" s="55" t="n">
        <f aca="false">IF(AC29,IF(01_因子設定!$B$13="最大化",AA29-01_因子設定!$B$14,IF(01_因子設定!$B$13="最小化",01_因子設定!$B$15-AB29,MIN(AA29-01_因子設定!$B$14,01_因子設定!$B$15-AB29))),-1E+030)</f>
        <v>-9.12372545630681</v>
      </c>
      <c r="AE29" s="55" t="n">
        <f aca="false">IF(AC29,IF(01_因子設定!$B$13="最大化",X29,IF(01_因子設定!$B$13="最小化",-X29,-ABS(X29-01_因子設定!$B$16))),-1E+030)</f>
        <v>39.0159904970761</v>
      </c>
      <c r="AF29" s="55" t="n">
        <f aca="false">AD29+ROW()*0.000000001</f>
        <v>-9.12372542730681</v>
      </c>
      <c r="AG29" s="55" t="n">
        <f aca="false">AE29+ROW()*0.000000001</f>
        <v>39.0159905260761</v>
      </c>
    </row>
    <row r="30" customFormat="false" ht="15" hidden="false" customHeight="false" outlineLevel="0" collapsed="false">
      <c r="A30" s="0" t="n">
        <v>0</v>
      </c>
      <c r="B30" s="0" t="n">
        <v>0</v>
      </c>
      <c r="C30" s="0" t="n">
        <v>2</v>
      </c>
      <c r="D30" s="0" t="n">
        <v>7</v>
      </c>
      <c r="E30" s="0" t="n">
        <f aca="false">-1+A30*0.25</f>
        <v>-1</v>
      </c>
      <c r="F30" s="0" t="n">
        <f aca="false">-1+B30*0.25</f>
        <v>-1</v>
      </c>
      <c r="G30" s="0" t="n">
        <f aca="false">-1+C30*0.25</f>
        <v>-0.5</v>
      </c>
      <c r="H30" s="0" t="n">
        <f aca="false">-1+D30*0.25</f>
        <v>0.75</v>
      </c>
      <c r="I30" s="0" t="n">
        <f aca="false">1</f>
        <v>1</v>
      </c>
      <c r="J30" s="0" t="n">
        <f aca="false">E30</f>
        <v>-1</v>
      </c>
      <c r="K30" s="0" t="n">
        <f aca="false">F30</f>
        <v>-1</v>
      </c>
      <c r="L30" s="0" t="n">
        <f aca="false">G30</f>
        <v>-0.5</v>
      </c>
      <c r="M30" s="0" t="n">
        <f aca="false">H30</f>
        <v>0.75</v>
      </c>
      <c r="N30" s="0" t="n">
        <f aca="false">E30*F30</f>
        <v>1</v>
      </c>
      <c r="O30" s="0" t="n">
        <f aca="false">E30*G30</f>
        <v>0.5</v>
      </c>
      <c r="P30" s="0" t="n">
        <f aca="false">E30*H30</f>
        <v>-0.75</v>
      </c>
      <c r="Q30" s="0" t="n">
        <f aca="false">F30*G30</f>
        <v>0.5</v>
      </c>
      <c r="R30" s="0" t="n">
        <f aca="false">F30*H30</f>
        <v>-0.75</v>
      </c>
      <c r="S30" s="0" t="n">
        <f aca="false">G30*H30</f>
        <v>-0.375</v>
      </c>
      <c r="T30" s="0" t="n">
        <f aca="false">E30*E30</f>
        <v>1</v>
      </c>
      <c r="U30" s="0" t="n">
        <f aca="false">F30*F30</f>
        <v>1</v>
      </c>
      <c r="V30" s="0" t="n">
        <f aca="false">G30*G30</f>
        <v>0.25</v>
      </c>
      <c r="W30" s="0" t="n">
        <f aca="false">H30*H30</f>
        <v>0.5625</v>
      </c>
      <c r="X30" s="0" t="n">
        <f aca="false">SUMPRODUCT(I30:W30,_XtX!$B$96:$P$96)</f>
        <v>38.9837993421053</v>
      </c>
      <c r="Y30" s="0" t="n">
        <f aca="false">SUMPRODUCT(MMULT(I30:W30,_XtX!$B$78:$P$92),I30:W30)</f>
        <v>0.564984237938597</v>
      </c>
      <c r="Z30" s="0" t="n">
        <f aca="false">04_回帰ANOVA!$K$19*04_回帰ANOVA!$K$14*SQRT(1+Y30)</f>
        <v>1.63062229734503</v>
      </c>
      <c r="AA30" s="0" t="n">
        <f aca="false">X30-Z30</f>
        <v>37.3531770447603</v>
      </c>
      <c r="AB30" s="0" t="n">
        <f aca="false">X30+Z30</f>
        <v>40.6144216394503</v>
      </c>
      <c r="AC30" s="54" t="b">
        <f aca="false">AND(E30&gt;=01_因子設定!$L$5-0.000000001,E30&lt;=01_因子設定!$M$5+0.000000001,F30&gt;=01_因子設定!$L$6-0.000000001,F30&lt;=01_因子設定!$M$6+0.000000001,G30&gt;=01_因子設定!$L$7-0.000000001,G30&lt;=01_因子設定!$M$7+0.000000001,H30&gt;=01_因子設定!$L$8-0.000000001,H30&lt;=01_因子設定!$M$8+0.000000001,IF(01_因子設定!$B$20="Box-Behnken",E30^2+F30^2+G30^2+H30^2&lt;=2+0.000000001,TRUE()))</f>
        <v>1</v>
      </c>
      <c r="AD30" s="55" t="n">
        <f aca="false">IF(AC30,IF(01_因子設定!$B$13="最大化",AA30-01_因子設定!$B$14,IF(01_因子設定!$B$13="最小化",01_因子設定!$B$15-AB30,MIN(AA30-01_因子設定!$B$14,01_因子設定!$B$15-AB30))),-1E+030)</f>
        <v>-9.14682295523973</v>
      </c>
      <c r="AE30" s="55" t="n">
        <f aca="false">IF(AC30,IF(01_因子設定!$B$13="最大化",X30,IF(01_因子設定!$B$13="最小化",-X30,-ABS(X30-01_因子設定!$B$16))),-1E+030)</f>
        <v>38.9837993421053</v>
      </c>
      <c r="AF30" s="55" t="n">
        <f aca="false">AD30+ROW()*0.000000001</f>
        <v>-9.14682292523973</v>
      </c>
      <c r="AG30" s="55" t="n">
        <f aca="false">AE30+ROW()*0.000000001</f>
        <v>38.9837993721053</v>
      </c>
    </row>
    <row r="31" customFormat="false" ht="15" hidden="false" customHeight="false" outlineLevel="0" collapsed="false">
      <c r="A31" s="0" t="n">
        <v>0</v>
      </c>
      <c r="B31" s="0" t="n">
        <v>0</v>
      </c>
      <c r="C31" s="0" t="n">
        <v>2</v>
      </c>
      <c r="D31" s="0" t="n">
        <v>8</v>
      </c>
      <c r="E31" s="0" t="n">
        <f aca="false">-1+A31*0.25</f>
        <v>-1</v>
      </c>
      <c r="F31" s="0" t="n">
        <f aca="false">-1+B31*0.25</f>
        <v>-1</v>
      </c>
      <c r="G31" s="0" t="n">
        <f aca="false">-1+C31*0.25</f>
        <v>-0.5</v>
      </c>
      <c r="H31" s="0" t="n">
        <f aca="false">-1+D31*0.25</f>
        <v>1</v>
      </c>
      <c r="I31" s="0" t="n">
        <f aca="false">1</f>
        <v>1</v>
      </c>
      <c r="J31" s="0" t="n">
        <f aca="false">E31</f>
        <v>-1</v>
      </c>
      <c r="K31" s="0" t="n">
        <f aca="false">F31</f>
        <v>-1</v>
      </c>
      <c r="L31" s="0" t="n">
        <f aca="false">G31</f>
        <v>-0.5</v>
      </c>
      <c r="M31" s="0" t="n">
        <f aca="false">H31</f>
        <v>1</v>
      </c>
      <c r="N31" s="0" t="n">
        <f aca="false">E31*F31</f>
        <v>1</v>
      </c>
      <c r="O31" s="0" t="n">
        <f aca="false">E31*G31</f>
        <v>0.5</v>
      </c>
      <c r="P31" s="0" t="n">
        <f aca="false">E31*H31</f>
        <v>-1</v>
      </c>
      <c r="Q31" s="0" t="n">
        <f aca="false">F31*G31</f>
        <v>0.5</v>
      </c>
      <c r="R31" s="0" t="n">
        <f aca="false">F31*H31</f>
        <v>-1</v>
      </c>
      <c r="S31" s="0" t="n">
        <f aca="false">G31*H31</f>
        <v>-0.5</v>
      </c>
      <c r="T31" s="0" t="n">
        <f aca="false">E31*E31</f>
        <v>1</v>
      </c>
      <c r="U31" s="0" t="n">
        <f aca="false">F31*F31</f>
        <v>1</v>
      </c>
      <c r="V31" s="0" t="n">
        <f aca="false">G31*G31</f>
        <v>0.25</v>
      </c>
      <c r="W31" s="0" t="n">
        <f aca="false">H31*H31</f>
        <v>1</v>
      </c>
      <c r="X31" s="0" t="n">
        <f aca="false">SUMPRODUCT(I31:W31,_XtX!$B$96:$P$96)</f>
        <v>38.9038011695907</v>
      </c>
      <c r="Y31" s="0" t="n">
        <f aca="false">SUMPRODUCT(MMULT(I31:W31,_XtX!$B$78:$P$92),I31:W31)</f>
        <v>0.667123538011696</v>
      </c>
      <c r="Z31" s="0" t="n">
        <f aca="false">04_回帰ANOVA!$K$19*04_回帰ANOVA!$K$14*SQRT(1+Y31)</f>
        <v>1.68299290213005</v>
      </c>
      <c r="AA31" s="0" t="n">
        <f aca="false">X31-Z31</f>
        <v>37.2208082674607</v>
      </c>
      <c r="AB31" s="0" t="n">
        <f aca="false">X31+Z31</f>
        <v>40.5867940717208</v>
      </c>
      <c r="AC31" s="54" t="b">
        <f aca="false">AND(E31&gt;=01_因子設定!$L$5-0.000000001,E31&lt;=01_因子設定!$M$5+0.000000001,F31&gt;=01_因子設定!$L$6-0.000000001,F31&lt;=01_因子設定!$M$6+0.000000001,G31&gt;=01_因子設定!$L$7-0.000000001,G31&lt;=01_因子設定!$M$7+0.000000001,H31&gt;=01_因子設定!$L$8-0.000000001,H31&lt;=01_因子設定!$M$8+0.000000001,IF(01_因子設定!$B$20="Box-Behnken",E31^2+F31^2+G31^2+H31^2&lt;=2+0.000000001,TRUE()))</f>
        <v>1</v>
      </c>
      <c r="AD31" s="55" t="n">
        <f aca="false">IF(AC31,IF(01_因子設定!$B$13="最大化",AA31-01_因子設定!$B$14,IF(01_因子設定!$B$13="最小化",01_因子設定!$B$15-AB31,MIN(AA31-01_因子設定!$B$14,01_因子設定!$B$15-AB31))),-1E+030)</f>
        <v>-9.27919173253935</v>
      </c>
      <c r="AE31" s="55" t="n">
        <f aca="false">IF(AC31,IF(01_因子設定!$B$13="最大化",X31,IF(01_因子設定!$B$13="最小化",-X31,-ABS(X31-01_因子設定!$B$16))),-1E+030)</f>
        <v>38.9038011695907</v>
      </c>
      <c r="AF31" s="55" t="n">
        <f aca="false">AD31+ROW()*0.000000001</f>
        <v>-9.27919170153935</v>
      </c>
      <c r="AG31" s="55" t="n">
        <f aca="false">AE31+ROW()*0.000000001</f>
        <v>38.9038012005907</v>
      </c>
    </row>
    <row r="32" customFormat="false" ht="15" hidden="false" customHeight="false" outlineLevel="0" collapsed="false">
      <c r="A32" s="0" t="n">
        <v>0</v>
      </c>
      <c r="B32" s="0" t="n">
        <v>0</v>
      </c>
      <c r="C32" s="0" t="n">
        <v>3</v>
      </c>
      <c r="D32" s="0" t="n">
        <v>0</v>
      </c>
      <c r="E32" s="0" t="n">
        <f aca="false">-1+A32*0.25</f>
        <v>-1</v>
      </c>
      <c r="F32" s="0" t="n">
        <f aca="false">-1+B32*0.25</f>
        <v>-1</v>
      </c>
      <c r="G32" s="0" t="n">
        <f aca="false">-1+C32*0.25</f>
        <v>-0.25</v>
      </c>
      <c r="H32" s="0" t="n">
        <f aca="false">-1+D32*0.25</f>
        <v>-1</v>
      </c>
      <c r="I32" s="0" t="n">
        <f aca="false">1</f>
        <v>1</v>
      </c>
      <c r="J32" s="0" t="n">
        <f aca="false">E32</f>
        <v>-1</v>
      </c>
      <c r="K32" s="0" t="n">
        <f aca="false">F32</f>
        <v>-1</v>
      </c>
      <c r="L32" s="0" t="n">
        <f aca="false">G32</f>
        <v>-0.25</v>
      </c>
      <c r="M32" s="0" t="n">
        <f aca="false">H32</f>
        <v>-1</v>
      </c>
      <c r="N32" s="0" t="n">
        <f aca="false">E32*F32</f>
        <v>1</v>
      </c>
      <c r="O32" s="0" t="n">
        <f aca="false">E32*G32</f>
        <v>0.25</v>
      </c>
      <c r="P32" s="0" t="n">
        <f aca="false">E32*H32</f>
        <v>1</v>
      </c>
      <c r="Q32" s="0" t="n">
        <f aca="false">F32*G32</f>
        <v>0.25</v>
      </c>
      <c r="R32" s="0" t="n">
        <f aca="false">F32*H32</f>
        <v>1</v>
      </c>
      <c r="S32" s="0" t="n">
        <f aca="false">G32*H32</f>
        <v>0.25</v>
      </c>
      <c r="T32" s="0" t="n">
        <f aca="false">E32*E32</f>
        <v>1</v>
      </c>
      <c r="U32" s="0" t="n">
        <f aca="false">F32*F32</f>
        <v>1</v>
      </c>
      <c r="V32" s="0" t="n">
        <f aca="false">G32*G32</f>
        <v>0.0625</v>
      </c>
      <c r="W32" s="0" t="n">
        <f aca="false">H32*H32</f>
        <v>1</v>
      </c>
      <c r="X32" s="0" t="n">
        <f aca="false">SUMPRODUCT(I32:W32,_XtX!$B$96:$P$96)</f>
        <v>38.5914839181287</v>
      </c>
      <c r="Y32" s="0" t="n">
        <f aca="false">SUMPRODUCT(MMULT(I32:W32,_XtX!$B$78:$P$92),I32:W32)</f>
        <v>0.737093384502924</v>
      </c>
      <c r="Z32" s="0" t="n">
        <f aca="false">04_回帰ANOVA!$K$19*04_回帰ANOVA!$K$14*SQRT(1+Y32)</f>
        <v>1.71794784853551</v>
      </c>
      <c r="AA32" s="0" t="n">
        <f aca="false">X32-Z32</f>
        <v>36.8735360695932</v>
      </c>
      <c r="AB32" s="0" t="n">
        <f aca="false">X32+Z32</f>
        <v>40.3094317666642</v>
      </c>
      <c r="AC32" s="54" t="b">
        <f aca="false">AND(E32&gt;=01_因子設定!$L$5-0.000000001,E32&lt;=01_因子設定!$M$5+0.000000001,F32&gt;=01_因子設定!$L$6-0.000000001,F32&lt;=01_因子設定!$M$6+0.000000001,G32&gt;=01_因子設定!$L$7-0.000000001,G32&lt;=01_因子設定!$M$7+0.000000001,H32&gt;=01_因子設定!$L$8-0.000000001,H32&lt;=01_因子設定!$M$8+0.000000001,IF(01_因子設定!$B$20="Box-Behnken",E32^2+F32^2+G32^2+H32^2&lt;=2+0.000000001,TRUE()))</f>
        <v>1</v>
      </c>
      <c r="AD32" s="55" t="n">
        <f aca="false">IF(AC32,IF(01_因子設定!$B$13="最大化",AA32-01_因子設定!$B$14,IF(01_因子設定!$B$13="最小化",01_因子設定!$B$15-AB32,MIN(AA32-01_因子設定!$B$14,01_因子設定!$B$15-AB32))),-1E+030)</f>
        <v>-9.62646393040679</v>
      </c>
      <c r="AE32" s="55" t="n">
        <f aca="false">IF(AC32,IF(01_因子設定!$B$13="最大化",X32,IF(01_因子設定!$B$13="最小化",-X32,-ABS(X32-01_因子設定!$B$16))),-1E+030)</f>
        <v>38.5914839181287</v>
      </c>
      <c r="AF32" s="55" t="n">
        <f aca="false">AD32+ROW()*0.000000001</f>
        <v>-9.62646389840679</v>
      </c>
      <c r="AG32" s="55" t="n">
        <f aca="false">AE32+ROW()*0.000000001</f>
        <v>38.5914839501287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3</v>
      </c>
      <c r="D33" s="0" t="n">
        <v>1</v>
      </c>
      <c r="E33" s="0" t="n">
        <f aca="false">-1+A33*0.25</f>
        <v>-1</v>
      </c>
      <c r="F33" s="0" t="n">
        <f aca="false">-1+B33*0.25</f>
        <v>-1</v>
      </c>
      <c r="G33" s="0" t="n">
        <f aca="false">-1+C33*0.25</f>
        <v>-0.25</v>
      </c>
      <c r="H33" s="0" t="n">
        <f aca="false">-1+D33*0.25</f>
        <v>-0.75</v>
      </c>
      <c r="I33" s="0" t="n">
        <f aca="false">1</f>
        <v>1</v>
      </c>
      <c r="J33" s="0" t="n">
        <f aca="false">E33</f>
        <v>-1</v>
      </c>
      <c r="K33" s="0" t="n">
        <f aca="false">F33</f>
        <v>-1</v>
      </c>
      <c r="L33" s="0" t="n">
        <f aca="false">G33</f>
        <v>-0.25</v>
      </c>
      <c r="M33" s="0" t="n">
        <f aca="false">H33</f>
        <v>-0.75</v>
      </c>
      <c r="N33" s="0" t="n">
        <f aca="false">E33*F33</f>
        <v>1</v>
      </c>
      <c r="O33" s="0" t="n">
        <f aca="false">E33*G33</f>
        <v>0.25</v>
      </c>
      <c r="P33" s="0" t="n">
        <f aca="false">E33*H33</f>
        <v>0.75</v>
      </c>
      <c r="Q33" s="0" t="n">
        <f aca="false">F33*G33</f>
        <v>0.25</v>
      </c>
      <c r="R33" s="0" t="n">
        <f aca="false">F33*H33</f>
        <v>0.75</v>
      </c>
      <c r="S33" s="0" t="n">
        <f aca="false">G33*H33</f>
        <v>0.1875</v>
      </c>
      <c r="T33" s="0" t="n">
        <f aca="false">E33*E33</f>
        <v>1</v>
      </c>
      <c r="U33" s="0" t="n">
        <f aca="false">F33*F33</f>
        <v>1</v>
      </c>
      <c r="V33" s="0" t="n">
        <f aca="false">G33*G33</f>
        <v>0.0625</v>
      </c>
      <c r="W33" s="0" t="n">
        <f aca="false">H33*H33</f>
        <v>0.5625</v>
      </c>
      <c r="X33" s="0" t="n">
        <f aca="false">SUMPRODUCT(I33:W33,_XtX!$B$96:$P$96)</f>
        <v>38.8641036184211</v>
      </c>
      <c r="Y33" s="0" t="n">
        <f aca="false">SUMPRODUCT(MMULT(I33:W33,_XtX!$B$78:$P$92),I33:W33)</f>
        <v>0.621372155975877</v>
      </c>
      <c r="Z33" s="0" t="n">
        <f aca="false">04_回帰ANOVA!$K$19*04_回帰ANOVA!$K$14*SQRT(1+Y33)</f>
        <v>1.65973880499872</v>
      </c>
      <c r="AA33" s="0" t="n">
        <f aca="false">X33-Z33</f>
        <v>37.2043648134224</v>
      </c>
      <c r="AB33" s="0" t="n">
        <f aca="false">X33+Z33</f>
        <v>40.5238424234198</v>
      </c>
      <c r="AC33" s="54" t="b">
        <f aca="false">AND(E33&gt;=01_因子設定!$L$5-0.000000001,E33&lt;=01_因子設定!$M$5+0.000000001,F33&gt;=01_因子設定!$L$6-0.000000001,F33&lt;=01_因子設定!$M$6+0.000000001,G33&gt;=01_因子設定!$L$7-0.000000001,G33&lt;=01_因子設定!$M$7+0.000000001,H33&gt;=01_因子設定!$L$8-0.000000001,H33&lt;=01_因子設定!$M$8+0.000000001,IF(01_因子設定!$B$20="Box-Behnken",E33^2+F33^2+G33^2+H33^2&lt;=2+0.000000001,TRUE()))</f>
        <v>1</v>
      </c>
      <c r="AD33" s="55" t="n">
        <f aca="false">IF(AC33,IF(01_因子設定!$B$13="最大化",AA33-01_因子設定!$B$14,IF(01_因子設定!$B$13="最小化",01_因子設定!$B$15-AB33,MIN(AA33-01_因子設定!$B$14,01_因子設定!$B$15-AB33))),-1E+030)</f>
        <v>-9.29563518657762</v>
      </c>
      <c r="AE33" s="55" t="n">
        <f aca="false">IF(AC33,IF(01_因子設定!$B$13="最大化",X33,IF(01_因子設定!$B$13="最小化",-X33,-ABS(X33-01_因子設定!$B$16))),-1E+030)</f>
        <v>38.8641036184211</v>
      </c>
      <c r="AF33" s="55" t="n">
        <f aca="false">AD33+ROW()*0.000000001</f>
        <v>-9.29563515357762</v>
      </c>
      <c r="AG33" s="55" t="n">
        <f aca="false">AE33+ROW()*0.000000001</f>
        <v>38.8641036514211</v>
      </c>
    </row>
    <row r="34" customFormat="false" ht="15" hidden="false" customHeight="false" outlineLevel="0" collapsed="false">
      <c r="A34" s="0" t="n">
        <v>0</v>
      </c>
      <c r="B34" s="0" t="n">
        <v>0</v>
      </c>
      <c r="C34" s="0" t="n">
        <v>3</v>
      </c>
      <c r="D34" s="0" t="n">
        <v>2</v>
      </c>
      <c r="E34" s="0" t="n">
        <f aca="false">-1+A34*0.25</f>
        <v>-1</v>
      </c>
      <c r="F34" s="0" t="n">
        <f aca="false">-1+B34*0.25</f>
        <v>-1</v>
      </c>
      <c r="G34" s="0" t="n">
        <f aca="false">-1+C34*0.25</f>
        <v>-0.25</v>
      </c>
      <c r="H34" s="0" t="n">
        <f aca="false">-1+D34*0.25</f>
        <v>-0.5</v>
      </c>
      <c r="I34" s="0" t="n">
        <f aca="false">1</f>
        <v>1</v>
      </c>
      <c r="J34" s="0" t="n">
        <f aca="false">E34</f>
        <v>-1</v>
      </c>
      <c r="K34" s="0" t="n">
        <f aca="false">F34</f>
        <v>-1</v>
      </c>
      <c r="L34" s="0" t="n">
        <f aca="false">G34</f>
        <v>-0.25</v>
      </c>
      <c r="M34" s="0" t="n">
        <f aca="false">H34</f>
        <v>-0.5</v>
      </c>
      <c r="N34" s="0" t="n">
        <f aca="false">E34*F34</f>
        <v>1</v>
      </c>
      <c r="O34" s="0" t="n">
        <f aca="false">E34*G34</f>
        <v>0.25</v>
      </c>
      <c r="P34" s="0" t="n">
        <f aca="false">E34*H34</f>
        <v>0.5</v>
      </c>
      <c r="Q34" s="0" t="n">
        <f aca="false">F34*G34</f>
        <v>0.25</v>
      </c>
      <c r="R34" s="0" t="n">
        <f aca="false">F34*H34</f>
        <v>0.5</v>
      </c>
      <c r="S34" s="0" t="n">
        <f aca="false">G34*H34</f>
        <v>0.125</v>
      </c>
      <c r="T34" s="0" t="n">
        <f aca="false">E34*E34</f>
        <v>1</v>
      </c>
      <c r="U34" s="0" t="n">
        <f aca="false">F34*F34</f>
        <v>1</v>
      </c>
      <c r="V34" s="0" t="n">
        <f aca="false">G34*G34</f>
        <v>0.0625</v>
      </c>
      <c r="W34" s="0" t="n">
        <f aca="false">H34*H34</f>
        <v>0.25</v>
      </c>
      <c r="X34" s="0" t="n">
        <f aca="false">SUMPRODUCT(I34:W34,_XtX!$B$96:$P$96)</f>
        <v>39.0889163011696</v>
      </c>
      <c r="Y34" s="0" t="n">
        <f aca="false">SUMPRODUCT(MMULT(I34:W34,_XtX!$B$78:$P$92),I34:W34)</f>
        <v>0.629174661915205</v>
      </c>
      <c r="Z34" s="0" t="n">
        <f aca="false">04_回帰ANOVA!$K$19*04_回帰ANOVA!$K$14*SQRT(1+Y34)</f>
        <v>1.66372758058297</v>
      </c>
      <c r="AA34" s="0" t="n">
        <f aca="false">X34-Z34</f>
        <v>37.4251887205867</v>
      </c>
      <c r="AB34" s="0" t="n">
        <f aca="false">X34+Z34</f>
        <v>40.7526438817526</v>
      </c>
      <c r="AC34" s="54" t="b">
        <f aca="false">AND(E34&gt;=01_因子設定!$L$5-0.000000001,E34&lt;=01_因子設定!$M$5+0.000000001,F34&gt;=01_因子設定!$L$6-0.000000001,F34&lt;=01_因子設定!$M$6+0.000000001,G34&gt;=01_因子設定!$L$7-0.000000001,G34&lt;=01_因子設定!$M$7+0.000000001,H34&gt;=01_因子設定!$L$8-0.000000001,H34&lt;=01_因子設定!$M$8+0.000000001,IF(01_因子設定!$B$20="Box-Behnken",E34^2+F34^2+G34^2+H34^2&lt;=2+0.000000001,TRUE()))</f>
        <v>1</v>
      </c>
      <c r="AD34" s="55" t="n">
        <f aca="false">IF(AC34,IF(01_因子設定!$B$13="最大化",AA34-01_因子設定!$B$14,IF(01_因子設定!$B$13="最小化",01_因子設定!$B$15-AB34,MIN(AA34-01_因子設定!$B$14,01_因子設定!$B$15-AB34))),-1E+030)</f>
        <v>-9.07481127941335</v>
      </c>
      <c r="AE34" s="55" t="n">
        <f aca="false">IF(AC34,IF(01_因子設定!$B$13="最大化",X34,IF(01_因子設定!$B$13="最小化",-X34,-ABS(X34-01_因子設定!$B$16))),-1E+030)</f>
        <v>39.0889163011696</v>
      </c>
      <c r="AF34" s="55" t="n">
        <f aca="false">AD34+ROW()*0.000000001</f>
        <v>-9.07481124541335</v>
      </c>
      <c r="AG34" s="55" t="n">
        <f aca="false">AE34+ROW()*0.000000001</f>
        <v>39.0889163351696</v>
      </c>
    </row>
    <row r="35" customFormat="false" ht="15" hidden="false" customHeight="false" outlineLevel="0" collapsed="false">
      <c r="A35" s="0" t="n">
        <v>0</v>
      </c>
      <c r="B35" s="0" t="n">
        <v>0</v>
      </c>
      <c r="C35" s="0" t="n">
        <v>3</v>
      </c>
      <c r="D35" s="0" t="n">
        <v>3</v>
      </c>
      <c r="E35" s="0" t="n">
        <f aca="false">-1+A35*0.25</f>
        <v>-1</v>
      </c>
      <c r="F35" s="0" t="n">
        <f aca="false">-1+B35*0.25</f>
        <v>-1</v>
      </c>
      <c r="G35" s="0" t="n">
        <f aca="false">-1+C35*0.25</f>
        <v>-0.25</v>
      </c>
      <c r="H35" s="0" t="n">
        <f aca="false">-1+D35*0.25</f>
        <v>-0.25</v>
      </c>
      <c r="I35" s="0" t="n">
        <f aca="false">1</f>
        <v>1</v>
      </c>
      <c r="J35" s="0" t="n">
        <f aca="false">E35</f>
        <v>-1</v>
      </c>
      <c r="K35" s="0" t="n">
        <f aca="false">F35</f>
        <v>-1</v>
      </c>
      <c r="L35" s="0" t="n">
        <f aca="false">G35</f>
        <v>-0.25</v>
      </c>
      <c r="M35" s="0" t="n">
        <f aca="false">H35</f>
        <v>-0.25</v>
      </c>
      <c r="N35" s="0" t="n">
        <f aca="false">E35*F35</f>
        <v>1</v>
      </c>
      <c r="O35" s="0" t="n">
        <f aca="false">E35*G35</f>
        <v>0.25</v>
      </c>
      <c r="P35" s="0" t="n">
        <f aca="false">E35*H35</f>
        <v>0.25</v>
      </c>
      <c r="Q35" s="0" t="n">
        <f aca="false">F35*G35</f>
        <v>0.25</v>
      </c>
      <c r="R35" s="0" t="n">
        <f aca="false">F35*H35</f>
        <v>0.25</v>
      </c>
      <c r="S35" s="0" t="n">
        <f aca="false">G35*H35</f>
        <v>0.0625</v>
      </c>
      <c r="T35" s="0" t="n">
        <f aca="false">E35*E35</f>
        <v>1</v>
      </c>
      <c r="U35" s="0" t="n">
        <f aca="false">F35*F35</f>
        <v>1</v>
      </c>
      <c r="V35" s="0" t="n">
        <f aca="false">G35*G35</f>
        <v>0.0625</v>
      </c>
      <c r="W35" s="0" t="n">
        <f aca="false">H35*H35</f>
        <v>0.0625</v>
      </c>
      <c r="X35" s="0" t="n">
        <f aca="false">SUMPRODUCT(I35:W35,_XtX!$B$96:$P$96)</f>
        <v>39.2659219663743</v>
      </c>
      <c r="Y35" s="0" t="n">
        <f aca="false">SUMPRODUCT(MMULT(I35:W35,_XtX!$B$78:$P$92),I35:W35)</f>
        <v>0.670040376005117</v>
      </c>
      <c r="Z35" s="0" t="n">
        <f aca="false">04_回帰ANOVA!$K$19*04_回帰ANOVA!$K$14*SQRT(1+Y35)</f>
        <v>1.68446456039992</v>
      </c>
      <c r="AA35" s="0" t="n">
        <f aca="false">X35-Z35</f>
        <v>37.5814574059744</v>
      </c>
      <c r="AB35" s="0" t="n">
        <f aca="false">X35+Z35</f>
        <v>40.9503865267742</v>
      </c>
      <c r="AC35" s="54" t="b">
        <f aca="false">AND(E35&gt;=01_因子設定!$L$5-0.000000001,E35&lt;=01_因子設定!$M$5+0.000000001,F35&gt;=01_因子設定!$L$6-0.000000001,F35&lt;=01_因子設定!$M$6+0.000000001,G35&gt;=01_因子設定!$L$7-0.000000001,G35&lt;=01_因子設定!$M$7+0.000000001,H35&gt;=01_因子設定!$L$8-0.000000001,H35&lt;=01_因子設定!$M$8+0.000000001,IF(01_因子設定!$B$20="Box-Behnken",E35^2+F35^2+G35^2+H35^2&lt;=2+0.000000001,TRUE()))</f>
        <v>1</v>
      </c>
      <c r="AD35" s="55" t="n">
        <f aca="false">IF(AC35,IF(01_因子設定!$B$13="最大化",AA35-01_因子設定!$B$14,IF(01_因子設定!$B$13="最小化",01_因子設定!$B$15-AB35,MIN(AA35-01_因子設定!$B$14,01_因子設定!$B$15-AB35))),-1E+030)</f>
        <v>-8.91854259402562</v>
      </c>
      <c r="AE35" s="55" t="n">
        <f aca="false">IF(AC35,IF(01_因子設定!$B$13="最大化",X35,IF(01_因子設定!$B$13="最小化",-X35,-ABS(X35-01_因子設定!$B$16))),-1E+030)</f>
        <v>39.2659219663743</v>
      </c>
      <c r="AF35" s="55" t="n">
        <f aca="false">AD35+ROW()*0.000000001</f>
        <v>-8.91854255902562</v>
      </c>
      <c r="AG35" s="55" t="n">
        <f aca="false">AE35+ROW()*0.000000001</f>
        <v>39.2659220013743</v>
      </c>
    </row>
    <row r="36" customFormat="false" ht="15" hidden="false" customHeight="false" outlineLevel="0" collapsed="false">
      <c r="A36" s="0" t="n">
        <v>0</v>
      </c>
      <c r="B36" s="0" t="n">
        <v>0</v>
      </c>
      <c r="C36" s="0" t="n">
        <v>3</v>
      </c>
      <c r="D36" s="0" t="n">
        <v>4</v>
      </c>
      <c r="E36" s="0" t="n">
        <f aca="false">-1+A36*0.25</f>
        <v>-1</v>
      </c>
      <c r="F36" s="0" t="n">
        <f aca="false">-1+B36*0.25</f>
        <v>-1</v>
      </c>
      <c r="G36" s="0" t="n">
        <f aca="false">-1+C36*0.25</f>
        <v>-0.25</v>
      </c>
      <c r="H36" s="0" t="n">
        <f aca="false">-1+D36*0.25</f>
        <v>0</v>
      </c>
      <c r="I36" s="0" t="n">
        <f aca="false">1</f>
        <v>1</v>
      </c>
      <c r="J36" s="0" t="n">
        <f aca="false">E36</f>
        <v>-1</v>
      </c>
      <c r="K36" s="0" t="n">
        <f aca="false">F36</f>
        <v>-1</v>
      </c>
      <c r="L36" s="0" t="n">
        <f aca="false">G36</f>
        <v>-0.25</v>
      </c>
      <c r="M36" s="0" t="n">
        <f aca="false">H36</f>
        <v>0</v>
      </c>
      <c r="N36" s="0" t="n">
        <f aca="false">E36*F36</f>
        <v>1</v>
      </c>
      <c r="O36" s="0" t="n">
        <f aca="false">E36*G36</f>
        <v>0.25</v>
      </c>
      <c r="P36" s="0" t="n">
        <f aca="false">E36*H36</f>
        <v>-0</v>
      </c>
      <c r="Q36" s="0" t="n">
        <f aca="false">F36*G36</f>
        <v>0.25</v>
      </c>
      <c r="R36" s="0" t="n">
        <f aca="false">F36*H36</f>
        <v>-0</v>
      </c>
      <c r="S36" s="0" t="n">
        <f aca="false">G36*H36</f>
        <v>-0</v>
      </c>
      <c r="T36" s="0" t="n">
        <f aca="false">E36*E36</f>
        <v>1</v>
      </c>
      <c r="U36" s="0" t="n">
        <f aca="false">F36*F36</f>
        <v>1</v>
      </c>
      <c r="V36" s="0" t="n">
        <f aca="false">G36*G36</f>
        <v>0.0625</v>
      </c>
      <c r="W36" s="0" t="n">
        <f aca="false">H36*H36</f>
        <v>0</v>
      </c>
      <c r="X36" s="0" t="n">
        <f aca="false">SUMPRODUCT(I36:W36,_XtX!$B$96:$P$96)</f>
        <v>39.3951206140351</v>
      </c>
      <c r="Y36" s="0" t="n">
        <f aca="false">SUMPRODUCT(MMULT(I36:W36,_XtX!$B$78:$P$92),I36:W36)</f>
        <v>0.689692982456141</v>
      </c>
      <c r="Z36" s="0" t="n">
        <f aca="false">04_回帰ANOVA!$K$19*04_回帰ANOVA!$K$14*SQRT(1+Y36)</f>
        <v>1.69434674594998</v>
      </c>
      <c r="AA36" s="0" t="n">
        <f aca="false">X36-Z36</f>
        <v>37.7007738680851</v>
      </c>
      <c r="AB36" s="0" t="n">
        <f aca="false">X36+Z36</f>
        <v>41.0894673599851</v>
      </c>
      <c r="AC36" s="54" t="b">
        <f aca="false">AND(E36&gt;=01_因子設定!$L$5-0.000000001,E36&lt;=01_因子設定!$M$5+0.000000001,F36&gt;=01_因子設定!$L$6-0.000000001,F36&lt;=01_因子設定!$M$6+0.000000001,G36&gt;=01_因子設定!$L$7-0.000000001,G36&lt;=01_因子設定!$M$7+0.000000001,H36&gt;=01_因子設定!$L$8-0.000000001,H36&lt;=01_因子設定!$M$8+0.000000001,IF(01_因子設定!$B$20="Box-Behnken",E36^2+F36^2+G36^2+H36^2&lt;=2+0.000000001,TRUE()))</f>
        <v>1</v>
      </c>
      <c r="AD36" s="55" t="n">
        <f aca="false">IF(AC36,IF(01_因子設定!$B$13="最大化",AA36-01_因子設定!$B$14,IF(01_因子設定!$B$13="最小化",01_因子設定!$B$15-AB36,MIN(AA36-01_因子設定!$B$14,01_因子設定!$B$15-AB36))),-1E+030)</f>
        <v>-8.79922613191487</v>
      </c>
      <c r="AE36" s="55" t="n">
        <f aca="false">IF(AC36,IF(01_因子設定!$B$13="最大化",X36,IF(01_因子設定!$B$13="最小化",-X36,-ABS(X36-01_因子設定!$B$16))),-1E+030)</f>
        <v>39.3951206140351</v>
      </c>
      <c r="AF36" s="55" t="n">
        <f aca="false">AD36+ROW()*0.000000001</f>
        <v>-8.79922609591487</v>
      </c>
      <c r="AG36" s="55" t="n">
        <f aca="false">AE36+ROW()*0.000000001</f>
        <v>39.3951206500351</v>
      </c>
    </row>
    <row r="37" customFormat="false" ht="15" hidden="false" customHeight="false" outlineLevel="0" collapsed="false">
      <c r="A37" s="0" t="n">
        <v>0</v>
      </c>
      <c r="B37" s="0" t="n">
        <v>0</v>
      </c>
      <c r="C37" s="0" t="n">
        <v>3</v>
      </c>
      <c r="D37" s="0" t="n">
        <v>5</v>
      </c>
      <c r="E37" s="0" t="n">
        <f aca="false">-1+A37*0.25</f>
        <v>-1</v>
      </c>
      <c r="F37" s="0" t="n">
        <f aca="false">-1+B37*0.25</f>
        <v>-1</v>
      </c>
      <c r="G37" s="0" t="n">
        <f aca="false">-1+C37*0.25</f>
        <v>-0.25</v>
      </c>
      <c r="H37" s="0" t="n">
        <f aca="false">-1+D37*0.25</f>
        <v>0.25</v>
      </c>
      <c r="I37" s="0" t="n">
        <f aca="false">1</f>
        <v>1</v>
      </c>
      <c r="J37" s="0" t="n">
        <f aca="false">E37</f>
        <v>-1</v>
      </c>
      <c r="K37" s="0" t="n">
        <f aca="false">F37</f>
        <v>-1</v>
      </c>
      <c r="L37" s="0" t="n">
        <f aca="false">G37</f>
        <v>-0.25</v>
      </c>
      <c r="M37" s="0" t="n">
        <f aca="false">H37</f>
        <v>0.25</v>
      </c>
      <c r="N37" s="0" t="n">
        <f aca="false">E37*F37</f>
        <v>1</v>
      </c>
      <c r="O37" s="0" t="n">
        <f aca="false">E37*G37</f>
        <v>0.25</v>
      </c>
      <c r="P37" s="0" t="n">
        <f aca="false">E37*H37</f>
        <v>-0.25</v>
      </c>
      <c r="Q37" s="0" t="n">
        <f aca="false">F37*G37</f>
        <v>0.25</v>
      </c>
      <c r="R37" s="0" t="n">
        <f aca="false">F37*H37</f>
        <v>-0.25</v>
      </c>
      <c r="S37" s="0" t="n">
        <f aca="false">G37*H37</f>
        <v>-0.0625</v>
      </c>
      <c r="T37" s="0" t="n">
        <f aca="false">E37*E37</f>
        <v>1</v>
      </c>
      <c r="U37" s="0" t="n">
        <f aca="false">F37*F37</f>
        <v>1</v>
      </c>
      <c r="V37" s="0" t="n">
        <f aca="false">G37*G37</f>
        <v>0.0625</v>
      </c>
      <c r="W37" s="0" t="n">
        <f aca="false">H37*H37</f>
        <v>0.0625</v>
      </c>
      <c r="X37" s="0" t="n">
        <f aca="false">SUMPRODUCT(I37:W37,_XtX!$B$96:$P$96)</f>
        <v>39.4765122441521</v>
      </c>
      <c r="Y37" s="0" t="n">
        <f aca="false">SUMPRODUCT(MMULT(I37:W37,_XtX!$B$78:$P$92),I37:W37)</f>
        <v>0.670040376005117</v>
      </c>
      <c r="Z37" s="0" t="n">
        <f aca="false">04_回帰ANOVA!$K$19*04_回帰ANOVA!$K$14*SQRT(1+Y37)</f>
        <v>1.68446456039992</v>
      </c>
      <c r="AA37" s="0" t="n">
        <f aca="false">X37-Z37</f>
        <v>37.7920476837522</v>
      </c>
      <c r="AB37" s="0" t="n">
        <f aca="false">X37+Z37</f>
        <v>41.160976804552</v>
      </c>
      <c r="AC37" s="54" t="b">
        <f aca="false">AND(E37&gt;=01_因子設定!$L$5-0.000000001,E37&lt;=01_因子設定!$M$5+0.000000001,F37&gt;=01_因子設定!$L$6-0.000000001,F37&lt;=01_因子設定!$M$6+0.000000001,G37&gt;=01_因子設定!$L$7-0.000000001,G37&lt;=01_因子設定!$M$7+0.000000001,H37&gt;=01_因子設定!$L$8-0.000000001,H37&lt;=01_因子設定!$M$8+0.000000001,IF(01_因子設定!$B$20="Box-Behnken",E37^2+F37^2+G37^2+H37^2&lt;=2+0.000000001,TRUE()))</f>
        <v>1</v>
      </c>
      <c r="AD37" s="55" t="n">
        <f aca="false">IF(AC37,IF(01_因子設定!$B$13="最大化",AA37-01_因子設定!$B$14,IF(01_因子設定!$B$13="最小化",01_因子設定!$B$15-AB37,MIN(AA37-01_因子設定!$B$14,01_因子設定!$B$15-AB37))),-1E+030)</f>
        <v>-8.70795231624784</v>
      </c>
      <c r="AE37" s="55" t="n">
        <f aca="false">IF(AC37,IF(01_因子設定!$B$13="最大化",X37,IF(01_因子設定!$B$13="最小化",-X37,-ABS(X37-01_因子設定!$B$16))),-1E+030)</f>
        <v>39.4765122441521</v>
      </c>
      <c r="AF37" s="55" t="n">
        <f aca="false">AD37+ROW()*0.000000001</f>
        <v>-8.70795227924784</v>
      </c>
      <c r="AG37" s="55" t="n">
        <f aca="false">AE37+ROW()*0.000000001</f>
        <v>39.4765122811521</v>
      </c>
    </row>
    <row r="38" customFormat="false" ht="15" hidden="false" customHeight="false" outlineLevel="0" collapsed="false">
      <c r="A38" s="0" t="n">
        <v>0</v>
      </c>
      <c r="B38" s="0" t="n">
        <v>0</v>
      </c>
      <c r="C38" s="0" t="n">
        <v>3</v>
      </c>
      <c r="D38" s="0" t="n">
        <v>6</v>
      </c>
      <c r="E38" s="0" t="n">
        <f aca="false">-1+A38*0.25</f>
        <v>-1</v>
      </c>
      <c r="F38" s="0" t="n">
        <f aca="false">-1+B38*0.25</f>
        <v>-1</v>
      </c>
      <c r="G38" s="0" t="n">
        <f aca="false">-1+C38*0.25</f>
        <v>-0.25</v>
      </c>
      <c r="H38" s="0" t="n">
        <f aca="false">-1+D38*0.25</f>
        <v>0.5</v>
      </c>
      <c r="I38" s="0" t="n">
        <f aca="false">1</f>
        <v>1</v>
      </c>
      <c r="J38" s="0" t="n">
        <f aca="false">E38</f>
        <v>-1</v>
      </c>
      <c r="K38" s="0" t="n">
        <f aca="false">F38</f>
        <v>-1</v>
      </c>
      <c r="L38" s="0" t="n">
        <f aca="false">G38</f>
        <v>-0.25</v>
      </c>
      <c r="M38" s="0" t="n">
        <f aca="false">H38</f>
        <v>0.5</v>
      </c>
      <c r="N38" s="0" t="n">
        <f aca="false">E38*F38</f>
        <v>1</v>
      </c>
      <c r="O38" s="0" t="n">
        <f aca="false">E38*G38</f>
        <v>0.25</v>
      </c>
      <c r="P38" s="0" t="n">
        <f aca="false">E38*H38</f>
        <v>-0.5</v>
      </c>
      <c r="Q38" s="0" t="n">
        <f aca="false">F38*G38</f>
        <v>0.25</v>
      </c>
      <c r="R38" s="0" t="n">
        <f aca="false">F38*H38</f>
        <v>-0.5</v>
      </c>
      <c r="S38" s="0" t="n">
        <f aca="false">G38*H38</f>
        <v>-0.125</v>
      </c>
      <c r="T38" s="0" t="n">
        <f aca="false">E38*E38</f>
        <v>1</v>
      </c>
      <c r="U38" s="0" t="n">
        <f aca="false">F38*F38</f>
        <v>1</v>
      </c>
      <c r="V38" s="0" t="n">
        <f aca="false">G38*G38</f>
        <v>0.0625</v>
      </c>
      <c r="W38" s="0" t="n">
        <f aca="false">H38*H38</f>
        <v>0.25</v>
      </c>
      <c r="X38" s="0" t="n">
        <f aca="false">SUMPRODUCT(I38:W38,_XtX!$B$96:$P$96)</f>
        <v>39.5100968567252</v>
      </c>
      <c r="Y38" s="0" t="n">
        <f aca="false">SUMPRODUCT(MMULT(I38:W38,_XtX!$B$78:$P$92),I38:W38)</f>
        <v>0.629174661915205</v>
      </c>
      <c r="Z38" s="0" t="n">
        <f aca="false">04_回帰ANOVA!$K$19*04_回帰ANOVA!$K$14*SQRT(1+Y38)</f>
        <v>1.66372758058297</v>
      </c>
      <c r="AA38" s="0" t="n">
        <f aca="false">X38-Z38</f>
        <v>37.8463692761422</v>
      </c>
      <c r="AB38" s="0" t="n">
        <f aca="false">X38+Z38</f>
        <v>41.1738244373082</v>
      </c>
      <c r="AC38" s="54" t="b">
        <f aca="false">AND(E38&gt;=01_因子設定!$L$5-0.000000001,E38&lt;=01_因子設定!$M$5+0.000000001,F38&gt;=01_因子設定!$L$6-0.000000001,F38&lt;=01_因子設定!$M$6+0.000000001,G38&gt;=01_因子設定!$L$7-0.000000001,G38&lt;=01_因子設定!$M$7+0.000000001,H38&gt;=01_因子設定!$L$8-0.000000001,H38&lt;=01_因子設定!$M$8+0.000000001,IF(01_因子設定!$B$20="Box-Behnken",E38^2+F38^2+G38^2+H38^2&lt;=2+0.000000001,TRUE()))</f>
        <v>1</v>
      </c>
      <c r="AD38" s="55" t="n">
        <f aca="false">IF(AC38,IF(01_因子設定!$B$13="最大化",AA38-01_因子設定!$B$14,IF(01_因子設定!$B$13="最小化",01_因子設定!$B$15-AB38,MIN(AA38-01_因子設定!$B$14,01_因子設定!$B$15-AB38))),-1E+030)</f>
        <v>-8.6536307238578</v>
      </c>
      <c r="AE38" s="55" t="n">
        <f aca="false">IF(AC38,IF(01_因子設定!$B$13="最大化",X38,IF(01_因子設定!$B$13="最小化",-X38,-ABS(X38-01_因子設定!$B$16))),-1E+030)</f>
        <v>39.5100968567252</v>
      </c>
      <c r="AF38" s="55" t="n">
        <f aca="false">AD38+ROW()*0.000000001</f>
        <v>-8.6536306858578</v>
      </c>
      <c r="AG38" s="55" t="n">
        <f aca="false">AE38+ROW()*0.000000001</f>
        <v>39.5100968947252</v>
      </c>
    </row>
    <row r="39" customFormat="false" ht="15" hidden="false" customHeight="false" outlineLevel="0" collapsed="false">
      <c r="A39" s="0" t="n">
        <v>0</v>
      </c>
      <c r="B39" s="0" t="n">
        <v>0</v>
      </c>
      <c r="C39" s="0" t="n">
        <v>3</v>
      </c>
      <c r="D39" s="0" t="n">
        <v>7</v>
      </c>
      <c r="E39" s="0" t="n">
        <f aca="false">-1+A39*0.25</f>
        <v>-1</v>
      </c>
      <c r="F39" s="0" t="n">
        <f aca="false">-1+B39*0.25</f>
        <v>-1</v>
      </c>
      <c r="G39" s="0" t="n">
        <f aca="false">-1+C39*0.25</f>
        <v>-0.25</v>
      </c>
      <c r="H39" s="0" t="n">
        <f aca="false">-1+D39*0.25</f>
        <v>0.75</v>
      </c>
      <c r="I39" s="0" t="n">
        <f aca="false">1</f>
        <v>1</v>
      </c>
      <c r="J39" s="0" t="n">
        <f aca="false">E39</f>
        <v>-1</v>
      </c>
      <c r="K39" s="0" t="n">
        <f aca="false">F39</f>
        <v>-1</v>
      </c>
      <c r="L39" s="0" t="n">
        <f aca="false">G39</f>
        <v>-0.25</v>
      </c>
      <c r="M39" s="0" t="n">
        <f aca="false">H39</f>
        <v>0.75</v>
      </c>
      <c r="N39" s="0" t="n">
        <f aca="false">E39*F39</f>
        <v>1</v>
      </c>
      <c r="O39" s="0" t="n">
        <f aca="false">E39*G39</f>
        <v>0.25</v>
      </c>
      <c r="P39" s="0" t="n">
        <f aca="false">E39*H39</f>
        <v>-0.75</v>
      </c>
      <c r="Q39" s="0" t="n">
        <f aca="false">F39*G39</f>
        <v>0.25</v>
      </c>
      <c r="R39" s="0" t="n">
        <f aca="false">F39*H39</f>
        <v>-0.75</v>
      </c>
      <c r="S39" s="0" t="n">
        <f aca="false">G39*H39</f>
        <v>-0.1875</v>
      </c>
      <c r="T39" s="0" t="n">
        <f aca="false">E39*E39</f>
        <v>1</v>
      </c>
      <c r="U39" s="0" t="n">
        <f aca="false">F39*F39</f>
        <v>1</v>
      </c>
      <c r="V39" s="0" t="n">
        <f aca="false">G39*G39</f>
        <v>0.0625</v>
      </c>
      <c r="W39" s="0" t="n">
        <f aca="false">H39*H39</f>
        <v>0.5625</v>
      </c>
      <c r="X39" s="0" t="n">
        <f aca="false">SUMPRODUCT(I39:W39,_XtX!$B$96:$P$96)</f>
        <v>39.4958744517544</v>
      </c>
      <c r="Y39" s="0" t="n">
        <f aca="false">SUMPRODUCT(MMULT(I39:W39,_XtX!$B$78:$P$92),I39:W39)</f>
        <v>0.621372155975877</v>
      </c>
      <c r="Z39" s="0" t="n">
        <f aca="false">04_回帰ANOVA!$K$19*04_回帰ANOVA!$K$14*SQRT(1+Y39)</f>
        <v>1.65973880499872</v>
      </c>
      <c r="AA39" s="0" t="n">
        <f aca="false">X39-Z39</f>
        <v>37.8361356467557</v>
      </c>
      <c r="AB39" s="0" t="n">
        <f aca="false">X39+Z39</f>
        <v>41.1556132567532</v>
      </c>
      <c r="AC39" s="54" t="b">
        <f aca="false">AND(E39&gt;=01_因子設定!$L$5-0.000000001,E39&lt;=01_因子設定!$M$5+0.000000001,F39&gt;=01_因子設定!$L$6-0.000000001,F39&lt;=01_因子設定!$M$6+0.000000001,G39&gt;=01_因子設定!$L$7-0.000000001,G39&lt;=01_因子設定!$M$7+0.000000001,H39&gt;=01_因子設定!$L$8-0.000000001,H39&lt;=01_因子設定!$M$8+0.000000001,IF(01_因子設定!$B$20="Box-Behnken",E39^2+F39^2+G39^2+H39^2&lt;=2+0.000000001,TRUE()))</f>
        <v>1</v>
      </c>
      <c r="AD39" s="55" t="n">
        <f aca="false">IF(AC39,IF(01_因子設定!$B$13="最大化",AA39-01_因子設定!$B$14,IF(01_因子設定!$B$13="最小化",01_因子設定!$B$15-AB39,MIN(AA39-01_因子設定!$B$14,01_因子設定!$B$15-AB39))),-1E+030)</f>
        <v>-8.66386435324429</v>
      </c>
      <c r="AE39" s="55" t="n">
        <f aca="false">IF(AC39,IF(01_因子設定!$B$13="最大化",X39,IF(01_因子設定!$B$13="最小化",-X39,-ABS(X39-01_因子設定!$B$16))),-1E+030)</f>
        <v>39.4958744517544</v>
      </c>
      <c r="AF39" s="55" t="n">
        <f aca="false">AD39+ROW()*0.000000001</f>
        <v>-8.66386431424429</v>
      </c>
      <c r="AG39" s="55" t="n">
        <f aca="false">AE39+ROW()*0.000000001</f>
        <v>39.4958744907544</v>
      </c>
    </row>
    <row r="40" customFormat="false" ht="15" hidden="false" customHeight="false" outlineLevel="0" collapsed="false">
      <c r="A40" s="0" t="n">
        <v>0</v>
      </c>
      <c r="B40" s="0" t="n">
        <v>0</v>
      </c>
      <c r="C40" s="0" t="n">
        <v>3</v>
      </c>
      <c r="D40" s="0" t="n">
        <v>8</v>
      </c>
      <c r="E40" s="0" t="n">
        <f aca="false">-1+A40*0.25</f>
        <v>-1</v>
      </c>
      <c r="F40" s="0" t="n">
        <f aca="false">-1+B40*0.25</f>
        <v>-1</v>
      </c>
      <c r="G40" s="0" t="n">
        <f aca="false">-1+C40*0.25</f>
        <v>-0.25</v>
      </c>
      <c r="H40" s="0" t="n">
        <f aca="false">-1+D40*0.25</f>
        <v>1</v>
      </c>
      <c r="I40" s="0" t="n">
        <f aca="false">1</f>
        <v>1</v>
      </c>
      <c r="J40" s="0" t="n">
        <f aca="false">E40</f>
        <v>-1</v>
      </c>
      <c r="K40" s="0" t="n">
        <f aca="false">F40</f>
        <v>-1</v>
      </c>
      <c r="L40" s="0" t="n">
        <f aca="false">G40</f>
        <v>-0.25</v>
      </c>
      <c r="M40" s="0" t="n">
        <f aca="false">H40</f>
        <v>1</v>
      </c>
      <c r="N40" s="0" t="n">
        <f aca="false">E40*F40</f>
        <v>1</v>
      </c>
      <c r="O40" s="0" t="n">
        <f aca="false">E40*G40</f>
        <v>0.25</v>
      </c>
      <c r="P40" s="0" t="n">
        <f aca="false">E40*H40</f>
        <v>-1</v>
      </c>
      <c r="Q40" s="0" t="n">
        <f aca="false">F40*G40</f>
        <v>0.25</v>
      </c>
      <c r="R40" s="0" t="n">
        <f aca="false">F40*H40</f>
        <v>-1</v>
      </c>
      <c r="S40" s="0" t="n">
        <f aca="false">G40*H40</f>
        <v>-0.25</v>
      </c>
      <c r="T40" s="0" t="n">
        <f aca="false">E40*E40</f>
        <v>1</v>
      </c>
      <c r="U40" s="0" t="n">
        <f aca="false">F40*F40</f>
        <v>1</v>
      </c>
      <c r="V40" s="0" t="n">
        <f aca="false">G40*G40</f>
        <v>0.0625</v>
      </c>
      <c r="W40" s="0" t="n">
        <f aca="false">H40*H40</f>
        <v>1</v>
      </c>
      <c r="X40" s="0" t="n">
        <f aca="false">SUMPRODUCT(I40:W40,_XtX!$B$96:$P$96)</f>
        <v>39.4338450292398</v>
      </c>
      <c r="Y40" s="0" t="n">
        <f aca="false">SUMPRODUCT(MMULT(I40:W40,_XtX!$B$78:$P$92),I40:W40)</f>
        <v>0.737093384502924</v>
      </c>
      <c r="Z40" s="0" t="n">
        <f aca="false">04_回帰ANOVA!$K$19*04_回帰ANOVA!$K$14*SQRT(1+Y40)</f>
        <v>1.71794784853551</v>
      </c>
      <c r="AA40" s="0" t="n">
        <f aca="false">X40-Z40</f>
        <v>37.7158971807043</v>
      </c>
      <c r="AB40" s="0" t="n">
        <f aca="false">X40+Z40</f>
        <v>41.1517928777753</v>
      </c>
      <c r="AC40" s="54" t="b">
        <f aca="false">AND(E40&gt;=01_因子設定!$L$5-0.000000001,E40&lt;=01_因子設定!$M$5+0.000000001,F40&gt;=01_因子設定!$L$6-0.000000001,F40&lt;=01_因子設定!$M$6+0.000000001,G40&gt;=01_因子設定!$L$7-0.000000001,G40&lt;=01_因子設定!$M$7+0.000000001,H40&gt;=01_因子設定!$L$8-0.000000001,H40&lt;=01_因子設定!$M$8+0.000000001,IF(01_因子設定!$B$20="Box-Behnken",E40^2+F40^2+G40^2+H40^2&lt;=2+0.000000001,TRUE()))</f>
        <v>1</v>
      </c>
      <c r="AD40" s="55" t="n">
        <f aca="false">IF(AC40,IF(01_因子設定!$B$13="最大化",AA40-01_因子設定!$B$14,IF(01_因子設定!$B$13="最小化",01_因子設定!$B$15-AB40,MIN(AA40-01_因子設定!$B$14,01_因子設定!$B$15-AB40))),-1E+030)</f>
        <v>-8.78410281929568</v>
      </c>
      <c r="AE40" s="55" t="n">
        <f aca="false">IF(AC40,IF(01_因子設定!$B$13="最大化",X40,IF(01_因子設定!$B$13="最小化",-X40,-ABS(X40-01_因子設定!$B$16))),-1E+030)</f>
        <v>39.4338450292398</v>
      </c>
      <c r="AF40" s="55" t="n">
        <f aca="false">AD40+ROW()*0.000000001</f>
        <v>-8.78410277929568</v>
      </c>
      <c r="AG40" s="55" t="n">
        <f aca="false">AE40+ROW()*0.000000001</f>
        <v>39.4338450692398</v>
      </c>
    </row>
    <row r="41" customFormat="false" ht="15" hidden="false" customHeight="false" outlineLevel="0" collapsed="false">
      <c r="A41" s="0" t="n">
        <v>0</v>
      </c>
      <c r="B41" s="0" t="n">
        <v>0</v>
      </c>
      <c r="C41" s="0" t="n">
        <v>4</v>
      </c>
      <c r="D41" s="0" t="n">
        <v>0</v>
      </c>
      <c r="E41" s="0" t="n">
        <f aca="false">-1+A41*0.25</f>
        <v>-1</v>
      </c>
      <c r="F41" s="0" t="n">
        <f aca="false">-1+B41*0.25</f>
        <v>-1</v>
      </c>
      <c r="G41" s="0" t="n">
        <f aca="false">-1+C41*0.25</f>
        <v>0</v>
      </c>
      <c r="H41" s="0" t="n">
        <f aca="false">-1+D41*0.25</f>
        <v>-1</v>
      </c>
      <c r="I41" s="0" t="n">
        <f aca="false">1</f>
        <v>1</v>
      </c>
      <c r="J41" s="0" t="n">
        <f aca="false">E41</f>
        <v>-1</v>
      </c>
      <c r="K41" s="0" t="n">
        <f aca="false">F41</f>
        <v>-1</v>
      </c>
      <c r="L41" s="0" t="n">
        <f aca="false">G41</f>
        <v>0</v>
      </c>
      <c r="M41" s="0" t="n">
        <f aca="false">H41</f>
        <v>-1</v>
      </c>
      <c r="N41" s="0" t="n">
        <f aca="false">E41*F41</f>
        <v>1</v>
      </c>
      <c r="O41" s="0" t="n">
        <f aca="false">E41*G41</f>
        <v>-0</v>
      </c>
      <c r="P41" s="0" t="n">
        <f aca="false">E41*H41</f>
        <v>1</v>
      </c>
      <c r="Q41" s="0" t="n">
        <f aca="false">F41*G41</f>
        <v>-0</v>
      </c>
      <c r="R41" s="0" t="n">
        <f aca="false">F41*H41</f>
        <v>1</v>
      </c>
      <c r="S41" s="0" t="n">
        <f aca="false">G41*H41</f>
        <v>-0</v>
      </c>
      <c r="T41" s="0" t="n">
        <f aca="false">E41*E41</f>
        <v>1</v>
      </c>
      <c r="U41" s="0" t="n">
        <f aca="false">F41*F41</f>
        <v>1</v>
      </c>
      <c r="V41" s="0" t="n">
        <f aca="false">G41*G41</f>
        <v>0</v>
      </c>
      <c r="W41" s="0" t="n">
        <f aca="false">H41*H41</f>
        <v>1</v>
      </c>
      <c r="X41" s="0" t="n">
        <f aca="false">SUMPRODUCT(I41:W41,_XtX!$B$96:$P$96)</f>
        <v>38.892470760234</v>
      </c>
      <c r="Y41" s="0" t="n">
        <f aca="false">SUMPRODUCT(MMULT(I41:W41,_XtX!$B$78:$P$92),I41:W41)</f>
        <v>0.766447368421053</v>
      </c>
      <c r="Z41" s="0" t="n">
        <f aca="false">04_回帰ANOVA!$K$19*04_回帰ANOVA!$K$14*SQRT(1+Y41)</f>
        <v>1.7324022685743</v>
      </c>
      <c r="AA41" s="0" t="n">
        <f aca="false">X41-Z41</f>
        <v>37.1600684916597</v>
      </c>
      <c r="AB41" s="0" t="n">
        <f aca="false">X41+Z41</f>
        <v>40.6248730288083</v>
      </c>
      <c r="AC41" s="54" t="b">
        <f aca="false">AND(E41&gt;=01_因子設定!$L$5-0.000000001,E41&lt;=01_因子設定!$M$5+0.000000001,F41&gt;=01_因子設定!$L$6-0.000000001,F41&lt;=01_因子設定!$M$6+0.000000001,G41&gt;=01_因子設定!$L$7-0.000000001,G41&lt;=01_因子設定!$M$7+0.000000001,H41&gt;=01_因子設定!$L$8-0.000000001,H41&lt;=01_因子設定!$M$8+0.000000001,IF(01_因子設定!$B$20="Box-Behnken",E41^2+F41^2+G41^2+H41^2&lt;=2+0.000000001,TRUE()))</f>
        <v>1</v>
      </c>
      <c r="AD41" s="55" t="n">
        <f aca="false">IF(AC41,IF(01_因子設定!$B$13="最大化",AA41-01_因子設定!$B$14,IF(01_因子設定!$B$13="最小化",01_因子設定!$B$15-AB41,MIN(AA41-01_因子設定!$B$14,01_因子設定!$B$15-AB41))),-1E+030)</f>
        <v>-9.33993150834032</v>
      </c>
      <c r="AE41" s="55" t="n">
        <f aca="false">IF(AC41,IF(01_因子設定!$B$13="最大化",X41,IF(01_因子設定!$B$13="最小化",-X41,-ABS(X41-01_因子設定!$B$16))),-1E+030)</f>
        <v>38.892470760234</v>
      </c>
      <c r="AF41" s="55" t="n">
        <f aca="false">AD41+ROW()*0.000000001</f>
        <v>-9.33993146734032</v>
      </c>
      <c r="AG41" s="55" t="n">
        <f aca="false">AE41+ROW()*0.000000001</f>
        <v>38.892470801234</v>
      </c>
    </row>
    <row r="42" customFormat="false" ht="15" hidden="false" customHeight="false" outlineLevel="0" collapsed="false">
      <c r="A42" s="0" t="n">
        <v>0</v>
      </c>
      <c r="B42" s="0" t="n">
        <v>0</v>
      </c>
      <c r="C42" s="0" t="n">
        <v>4</v>
      </c>
      <c r="D42" s="0" t="n">
        <v>1</v>
      </c>
      <c r="E42" s="0" t="n">
        <f aca="false">-1+A42*0.25</f>
        <v>-1</v>
      </c>
      <c r="F42" s="0" t="n">
        <f aca="false">-1+B42*0.25</f>
        <v>-1</v>
      </c>
      <c r="G42" s="0" t="n">
        <f aca="false">-1+C42*0.25</f>
        <v>0</v>
      </c>
      <c r="H42" s="0" t="n">
        <f aca="false">-1+D42*0.25</f>
        <v>-0.75</v>
      </c>
      <c r="I42" s="0" t="n">
        <f aca="false">1</f>
        <v>1</v>
      </c>
      <c r="J42" s="0" t="n">
        <f aca="false">E42</f>
        <v>-1</v>
      </c>
      <c r="K42" s="0" t="n">
        <f aca="false">F42</f>
        <v>-1</v>
      </c>
      <c r="L42" s="0" t="n">
        <f aca="false">G42</f>
        <v>0</v>
      </c>
      <c r="M42" s="0" t="n">
        <f aca="false">H42</f>
        <v>-0.75</v>
      </c>
      <c r="N42" s="0" t="n">
        <f aca="false">E42*F42</f>
        <v>1</v>
      </c>
      <c r="O42" s="0" t="n">
        <f aca="false">E42*G42</f>
        <v>-0</v>
      </c>
      <c r="P42" s="0" t="n">
        <f aca="false">E42*H42</f>
        <v>0.75</v>
      </c>
      <c r="Q42" s="0" t="n">
        <f aca="false">F42*G42</f>
        <v>-0</v>
      </c>
      <c r="R42" s="0" t="n">
        <f aca="false">F42*H42</f>
        <v>0.75</v>
      </c>
      <c r="S42" s="0" t="n">
        <f aca="false">G42*H42</f>
        <v>-0</v>
      </c>
      <c r="T42" s="0" t="n">
        <f aca="false">E42*E42</f>
        <v>1</v>
      </c>
      <c r="U42" s="0" t="n">
        <f aca="false">F42*F42</f>
        <v>1</v>
      </c>
      <c r="V42" s="0" t="n">
        <f aca="false">G42*G42</f>
        <v>0</v>
      </c>
      <c r="W42" s="0" t="n">
        <f aca="false">H42*H42</f>
        <v>0.5625</v>
      </c>
      <c r="X42" s="0" t="n">
        <f aca="false">SUMPRODUCT(I42:W42,_XtX!$B$96:$P$96)</f>
        <v>39.1830592105264</v>
      </c>
      <c r="Y42" s="0" t="n">
        <f aca="false">SUMPRODUCT(MMULT(I42:W42,_XtX!$B$78:$P$92),I42:W42)</f>
        <v>0.646198830409357</v>
      </c>
      <c r="Z42" s="0" t="n">
        <f aca="false">04_回帰ANOVA!$K$19*04_回帰ANOVA!$K$14*SQRT(1+Y42)</f>
        <v>1.67239760569756</v>
      </c>
      <c r="AA42" s="0" t="n">
        <f aca="false">X42-Z42</f>
        <v>37.5106616048288</v>
      </c>
      <c r="AB42" s="0" t="n">
        <f aca="false">X42+Z42</f>
        <v>40.8554568162239</v>
      </c>
      <c r="AC42" s="54" t="b">
        <f aca="false">AND(E42&gt;=01_因子設定!$L$5-0.000000001,E42&lt;=01_因子設定!$M$5+0.000000001,F42&gt;=01_因子設定!$L$6-0.000000001,F42&lt;=01_因子設定!$M$6+0.000000001,G42&gt;=01_因子設定!$L$7-0.000000001,G42&lt;=01_因子設定!$M$7+0.000000001,H42&gt;=01_因子設定!$L$8-0.000000001,H42&lt;=01_因子設定!$M$8+0.000000001,IF(01_因子設定!$B$20="Box-Behnken",E42^2+F42^2+G42^2+H42^2&lt;=2+0.000000001,TRUE()))</f>
        <v>1</v>
      </c>
      <c r="AD42" s="55" t="n">
        <f aca="false">IF(AC42,IF(01_因子設定!$B$13="最大化",AA42-01_因子設定!$B$14,IF(01_因子設定!$B$13="最小化",01_因子設定!$B$15-AB42,MIN(AA42-01_因子設定!$B$14,01_因子設定!$B$15-AB42))),-1E+030)</f>
        <v>-8.9893383951712</v>
      </c>
      <c r="AE42" s="55" t="n">
        <f aca="false">IF(AC42,IF(01_因子設定!$B$13="最大化",X42,IF(01_因子設定!$B$13="最小化",-X42,-ABS(X42-01_因子設定!$B$16))),-1E+030)</f>
        <v>39.1830592105264</v>
      </c>
      <c r="AF42" s="55" t="n">
        <f aca="false">AD42+ROW()*0.000000001</f>
        <v>-8.9893383531712</v>
      </c>
      <c r="AG42" s="55" t="n">
        <f aca="false">AE42+ROW()*0.000000001</f>
        <v>39.1830592525264</v>
      </c>
    </row>
    <row r="43" customFormat="false" ht="15" hidden="false" customHeight="false" outlineLevel="0" collapsed="false">
      <c r="A43" s="0" t="n">
        <v>0</v>
      </c>
      <c r="B43" s="0" t="n">
        <v>0</v>
      </c>
      <c r="C43" s="0" t="n">
        <v>4</v>
      </c>
      <c r="D43" s="0" t="n">
        <v>2</v>
      </c>
      <c r="E43" s="0" t="n">
        <f aca="false">-1+A43*0.25</f>
        <v>-1</v>
      </c>
      <c r="F43" s="0" t="n">
        <f aca="false">-1+B43*0.25</f>
        <v>-1</v>
      </c>
      <c r="G43" s="0" t="n">
        <f aca="false">-1+C43*0.25</f>
        <v>0</v>
      </c>
      <c r="H43" s="0" t="n">
        <f aca="false">-1+D43*0.25</f>
        <v>-0.5</v>
      </c>
      <c r="I43" s="0" t="n">
        <f aca="false">1</f>
        <v>1</v>
      </c>
      <c r="J43" s="0" t="n">
        <f aca="false">E43</f>
        <v>-1</v>
      </c>
      <c r="K43" s="0" t="n">
        <f aca="false">F43</f>
        <v>-1</v>
      </c>
      <c r="L43" s="0" t="n">
        <f aca="false">G43</f>
        <v>0</v>
      </c>
      <c r="M43" s="0" t="n">
        <f aca="false">H43</f>
        <v>-0.5</v>
      </c>
      <c r="N43" s="0" t="n">
        <f aca="false">E43*F43</f>
        <v>1</v>
      </c>
      <c r="O43" s="0" t="n">
        <f aca="false">E43*G43</f>
        <v>-0</v>
      </c>
      <c r="P43" s="0" t="n">
        <f aca="false">E43*H43</f>
        <v>0.5</v>
      </c>
      <c r="Q43" s="0" t="n">
        <f aca="false">F43*G43</f>
        <v>-0</v>
      </c>
      <c r="R43" s="0" t="n">
        <f aca="false">F43*H43</f>
        <v>0.5</v>
      </c>
      <c r="S43" s="0" t="n">
        <f aca="false">G43*H43</f>
        <v>-0</v>
      </c>
      <c r="T43" s="0" t="n">
        <f aca="false">E43*E43</f>
        <v>1</v>
      </c>
      <c r="U43" s="0" t="n">
        <f aca="false">F43*F43</f>
        <v>1</v>
      </c>
      <c r="V43" s="0" t="n">
        <f aca="false">G43*G43</f>
        <v>0</v>
      </c>
      <c r="W43" s="0" t="n">
        <f aca="false">H43*H43</f>
        <v>0.25</v>
      </c>
      <c r="X43" s="0" t="n">
        <f aca="false">SUMPRODUCT(I43:W43,_XtX!$B$96:$P$96)</f>
        <v>39.4258406432749</v>
      </c>
      <c r="Y43" s="0" t="n">
        <f aca="false">SUMPRODUCT(MMULT(I43:W43,_XtX!$B$78:$P$92),I43:W43)</f>
        <v>0.650767543859649</v>
      </c>
      <c r="Z43" s="0" t="n">
        <f aca="false">04_回帰ANOVA!$K$19*04_回帰ANOVA!$K$14*SQRT(1+Y43)</f>
        <v>1.67471670935165</v>
      </c>
      <c r="AA43" s="0" t="n">
        <f aca="false">X43-Z43</f>
        <v>37.7511239339232</v>
      </c>
      <c r="AB43" s="0" t="n">
        <f aca="false">X43+Z43</f>
        <v>41.1005573526265</v>
      </c>
      <c r="AC43" s="54" t="b">
        <f aca="false">AND(E43&gt;=01_因子設定!$L$5-0.000000001,E43&lt;=01_因子設定!$M$5+0.000000001,F43&gt;=01_因子設定!$L$6-0.000000001,F43&lt;=01_因子設定!$M$6+0.000000001,G43&gt;=01_因子設定!$L$7-0.000000001,G43&lt;=01_因子設定!$M$7+0.000000001,H43&gt;=01_因子設定!$L$8-0.000000001,H43&lt;=01_因子設定!$M$8+0.000000001,IF(01_因子設定!$B$20="Box-Behnken",E43^2+F43^2+G43^2+H43^2&lt;=2+0.000000001,TRUE()))</f>
        <v>1</v>
      </c>
      <c r="AD43" s="55" t="n">
        <f aca="false">IF(AC43,IF(01_因子設定!$B$13="最大化",AA43-01_因子設定!$B$14,IF(01_因子設定!$B$13="最小化",01_因子設定!$B$15-AB43,MIN(AA43-01_因子設定!$B$14,01_因子設定!$B$15-AB43))),-1E+030)</f>
        <v>-8.74887606607676</v>
      </c>
      <c r="AE43" s="55" t="n">
        <f aca="false">IF(AC43,IF(01_因子設定!$B$13="最大化",X43,IF(01_因子設定!$B$13="最小化",-X43,-ABS(X43-01_因子設定!$B$16))),-1E+030)</f>
        <v>39.4258406432749</v>
      </c>
      <c r="AF43" s="55" t="n">
        <f aca="false">AD43+ROW()*0.000000001</f>
        <v>-8.74887602307676</v>
      </c>
      <c r="AG43" s="55" t="n">
        <f aca="false">AE43+ROW()*0.000000001</f>
        <v>39.4258406862749</v>
      </c>
    </row>
    <row r="44" customFormat="false" ht="15" hidden="false" customHeight="false" outlineLevel="0" collapsed="false">
      <c r="A44" s="0" t="n">
        <v>0</v>
      </c>
      <c r="B44" s="0" t="n">
        <v>0</v>
      </c>
      <c r="C44" s="0" t="n">
        <v>4</v>
      </c>
      <c r="D44" s="0" t="n">
        <v>3</v>
      </c>
      <c r="E44" s="0" t="n">
        <f aca="false">-1+A44*0.25</f>
        <v>-1</v>
      </c>
      <c r="F44" s="0" t="n">
        <f aca="false">-1+B44*0.25</f>
        <v>-1</v>
      </c>
      <c r="G44" s="0" t="n">
        <f aca="false">-1+C44*0.25</f>
        <v>0</v>
      </c>
      <c r="H44" s="0" t="n">
        <f aca="false">-1+D44*0.25</f>
        <v>-0.25</v>
      </c>
      <c r="I44" s="0" t="n">
        <f aca="false">1</f>
        <v>1</v>
      </c>
      <c r="J44" s="0" t="n">
        <f aca="false">E44</f>
        <v>-1</v>
      </c>
      <c r="K44" s="0" t="n">
        <f aca="false">F44</f>
        <v>-1</v>
      </c>
      <c r="L44" s="0" t="n">
        <f aca="false">G44</f>
        <v>0</v>
      </c>
      <c r="M44" s="0" t="n">
        <f aca="false">H44</f>
        <v>-0.25</v>
      </c>
      <c r="N44" s="0" t="n">
        <f aca="false">E44*F44</f>
        <v>1</v>
      </c>
      <c r="O44" s="0" t="n">
        <f aca="false">E44*G44</f>
        <v>-0</v>
      </c>
      <c r="P44" s="0" t="n">
        <f aca="false">E44*H44</f>
        <v>0.25</v>
      </c>
      <c r="Q44" s="0" t="n">
        <f aca="false">F44*G44</f>
        <v>-0</v>
      </c>
      <c r="R44" s="0" t="n">
        <f aca="false">F44*H44</f>
        <v>0.25</v>
      </c>
      <c r="S44" s="0" t="n">
        <f aca="false">G44*H44</f>
        <v>-0</v>
      </c>
      <c r="T44" s="0" t="n">
        <f aca="false">E44*E44</f>
        <v>1</v>
      </c>
      <c r="U44" s="0" t="n">
        <f aca="false">F44*F44</f>
        <v>1</v>
      </c>
      <c r="V44" s="0" t="n">
        <f aca="false">G44*G44</f>
        <v>0</v>
      </c>
      <c r="W44" s="0" t="n">
        <f aca="false">H44*H44</f>
        <v>0.0625</v>
      </c>
      <c r="X44" s="0" t="n">
        <f aca="false">SUMPRODUCT(I44:W44,_XtX!$B$96:$P$96)</f>
        <v>39.6208150584796</v>
      </c>
      <c r="Y44" s="0" t="n">
        <f aca="false">SUMPRODUCT(MMULT(I44:W44,_XtX!$B$78:$P$92),I44:W44)</f>
        <v>0.689692982456141</v>
      </c>
      <c r="Z44" s="0" t="n">
        <f aca="false">04_回帰ANOVA!$K$19*04_回帰ANOVA!$K$14*SQRT(1+Y44)</f>
        <v>1.69434674594998</v>
      </c>
      <c r="AA44" s="0" t="n">
        <f aca="false">X44-Z44</f>
        <v>37.9264683125296</v>
      </c>
      <c r="AB44" s="0" t="n">
        <f aca="false">X44+Z44</f>
        <v>41.3151618044295</v>
      </c>
      <c r="AC44" s="54" t="b">
        <f aca="false">AND(E44&gt;=01_因子設定!$L$5-0.000000001,E44&lt;=01_因子設定!$M$5+0.000000001,F44&gt;=01_因子設定!$L$6-0.000000001,F44&lt;=01_因子設定!$M$6+0.000000001,G44&gt;=01_因子設定!$L$7-0.000000001,G44&lt;=01_因子設定!$M$7+0.000000001,H44&gt;=01_因子設定!$L$8-0.000000001,H44&lt;=01_因子設定!$M$8+0.000000001,IF(01_因子設定!$B$20="Box-Behnken",E44^2+F44^2+G44^2+H44^2&lt;=2+0.000000001,TRUE()))</f>
        <v>1</v>
      </c>
      <c r="AD44" s="55" t="n">
        <f aca="false">IF(AC44,IF(01_因子設定!$B$13="最大化",AA44-01_因子設定!$B$14,IF(01_因子設定!$B$13="最小化",01_因子設定!$B$15-AB44,MIN(AA44-01_因子設定!$B$14,01_因子設定!$B$15-AB44))),-1E+030)</f>
        <v>-8.57353168747043</v>
      </c>
      <c r="AE44" s="55" t="n">
        <f aca="false">IF(AC44,IF(01_因子設定!$B$13="最大化",X44,IF(01_因子設定!$B$13="最小化",-X44,-ABS(X44-01_因子設定!$B$16))),-1E+030)</f>
        <v>39.6208150584796</v>
      </c>
      <c r="AF44" s="55" t="n">
        <f aca="false">AD44+ROW()*0.000000001</f>
        <v>-8.57353164347043</v>
      </c>
      <c r="AG44" s="55" t="n">
        <f aca="false">AE44+ROW()*0.000000001</f>
        <v>39.6208151024796</v>
      </c>
    </row>
    <row r="45" customFormat="false" ht="15" hidden="false" customHeight="false" outlineLevel="0" collapsed="false">
      <c r="A45" s="0" t="n">
        <v>0</v>
      </c>
      <c r="B45" s="0" t="n">
        <v>0</v>
      </c>
      <c r="C45" s="0" t="n">
        <v>4</v>
      </c>
      <c r="D45" s="0" t="n">
        <v>4</v>
      </c>
      <c r="E45" s="0" t="n">
        <f aca="false">-1+A45*0.25</f>
        <v>-1</v>
      </c>
      <c r="F45" s="0" t="n">
        <f aca="false">-1+B45*0.25</f>
        <v>-1</v>
      </c>
      <c r="G45" s="0" t="n">
        <f aca="false">-1+C45*0.25</f>
        <v>0</v>
      </c>
      <c r="H45" s="0" t="n">
        <f aca="false">-1+D45*0.25</f>
        <v>0</v>
      </c>
      <c r="I45" s="0" t="n">
        <f aca="false">1</f>
        <v>1</v>
      </c>
      <c r="J45" s="0" t="n">
        <f aca="false">E45</f>
        <v>-1</v>
      </c>
      <c r="K45" s="0" t="n">
        <f aca="false">F45</f>
        <v>-1</v>
      </c>
      <c r="L45" s="0" t="n">
        <f aca="false">G45</f>
        <v>0</v>
      </c>
      <c r="M45" s="0" t="n">
        <f aca="false">H45</f>
        <v>0</v>
      </c>
      <c r="N45" s="0" t="n">
        <f aca="false">E45*F45</f>
        <v>1</v>
      </c>
      <c r="O45" s="0" t="n">
        <f aca="false">E45*G45</f>
        <v>-0</v>
      </c>
      <c r="P45" s="0" t="n">
        <f aca="false">E45*H45</f>
        <v>-0</v>
      </c>
      <c r="Q45" s="0" t="n">
        <f aca="false">F45*G45</f>
        <v>-0</v>
      </c>
      <c r="R45" s="0" t="n">
        <f aca="false">F45*H45</f>
        <v>-0</v>
      </c>
      <c r="S45" s="0" t="n">
        <f aca="false">G45*H45</f>
        <v>0</v>
      </c>
      <c r="T45" s="0" t="n">
        <f aca="false">E45*E45</f>
        <v>1</v>
      </c>
      <c r="U45" s="0" t="n">
        <f aca="false">F45*F45</f>
        <v>1</v>
      </c>
      <c r="V45" s="0" t="n">
        <f aca="false">G45*G45</f>
        <v>0</v>
      </c>
      <c r="W45" s="0" t="n">
        <f aca="false">H45*H45</f>
        <v>0</v>
      </c>
      <c r="X45" s="0" t="n">
        <f aca="false">SUMPRODUCT(I45:W45,_XtX!$B$96:$P$96)</f>
        <v>39.7679824561404</v>
      </c>
      <c r="Y45" s="0" t="n">
        <f aca="false">SUMPRODUCT(MMULT(I45:W45,_XtX!$B$78:$P$92),I45:W45)</f>
        <v>0.708698830409357</v>
      </c>
      <c r="Z45" s="0" t="n">
        <f aca="false">04_回帰ANOVA!$K$19*04_回帰ANOVA!$K$14*SQRT(1+Y45)</f>
        <v>1.70384919651719</v>
      </c>
      <c r="AA45" s="0" t="n">
        <f aca="false">X45-Z45</f>
        <v>38.0641332596232</v>
      </c>
      <c r="AB45" s="0" t="n">
        <f aca="false">X45+Z45</f>
        <v>41.4718316526576</v>
      </c>
      <c r="AC45" s="54" t="b">
        <f aca="false">AND(E45&gt;=01_因子設定!$L$5-0.000000001,E45&lt;=01_因子設定!$M$5+0.000000001,F45&gt;=01_因子設定!$L$6-0.000000001,F45&lt;=01_因子設定!$M$6+0.000000001,G45&gt;=01_因子設定!$L$7-0.000000001,G45&lt;=01_因子設定!$M$7+0.000000001,H45&gt;=01_因子設定!$L$8-0.000000001,H45&lt;=01_因子設定!$M$8+0.000000001,IF(01_因子設定!$B$20="Box-Behnken",E45^2+F45^2+G45^2+H45^2&lt;=2+0.000000001,TRUE()))</f>
        <v>1</v>
      </c>
      <c r="AD45" s="55" t="n">
        <f aca="false">IF(AC45,IF(01_因子設定!$B$13="最大化",AA45-01_因子設定!$B$14,IF(01_因子設定!$B$13="最小化",01_因子設定!$B$15-AB45,MIN(AA45-01_因子設定!$B$14,01_因子設定!$B$15-AB45))),-1E+030)</f>
        <v>-8.43586674037682</v>
      </c>
      <c r="AE45" s="55" t="n">
        <f aca="false">IF(AC45,IF(01_因子設定!$B$13="最大化",X45,IF(01_因子設定!$B$13="最小化",-X45,-ABS(X45-01_因子設定!$B$16))),-1E+030)</f>
        <v>39.7679824561404</v>
      </c>
      <c r="AF45" s="55" t="n">
        <f aca="false">AD45+ROW()*0.000000001</f>
        <v>-8.43586669537682</v>
      </c>
      <c r="AG45" s="55" t="n">
        <f aca="false">AE45+ROW()*0.000000001</f>
        <v>39.7679825011404</v>
      </c>
    </row>
    <row r="46" customFormat="false" ht="15" hidden="false" customHeight="false" outlineLevel="0" collapsed="false">
      <c r="A46" s="0" t="n">
        <v>0</v>
      </c>
      <c r="B46" s="0" t="n">
        <v>0</v>
      </c>
      <c r="C46" s="0" t="n">
        <v>4</v>
      </c>
      <c r="D46" s="0" t="n">
        <v>5</v>
      </c>
      <c r="E46" s="0" t="n">
        <f aca="false">-1+A46*0.25</f>
        <v>-1</v>
      </c>
      <c r="F46" s="0" t="n">
        <f aca="false">-1+B46*0.25</f>
        <v>-1</v>
      </c>
      <c r="G46" s="0" t="n">
        <f aca="false">-1+C46*0.25</f>
        <v>0</v>
      </c>
      <c r="H46" s="0" t="n">
        <f aca="false">-1+D46*0.25</f>
        <v>0.25</v>
      </c>
      <c r="I46" s="0" t="n">
        <f aca="false">1</f>
        <v>1</v>
      </c>
      <c r="J46" s="0" t="n">
        <f aca="false">E46</f>
        <v>-1</v>
      </c>
      <c r="K46" s="0" t="n">
        <f aca="false">F46</f>
        <v>-1</v>
      </c>
      <c r="L46" s="0" t="n">
        <f aca="false">G46</f>
        <v>0</v>
      </c>
      <c r="M46" s="0" t="n">
        <f aca="false">H46</f>
        <v>0.25</v>
      </c>
      <c r="N46" s="0" t="n">
        <f aca="false">E46*F46</f>
        <v>1</v>
      </c>
      <c r="O46" s="0" t="n">
        <f aca="false">E46*G46</f>
        <v>-0</v>
      </c>
      <c r="P46" s="0" t="n">
        <f aca="false">E46*H46</f>
        <v>-0.25</v>
      </c>
      <c r="Q46" s="0" t="n">
        <f aca="false">F46*G46</f>
        <v>-0</v>
      </c>
      <c r="R46" s="0" t="n">
        <f aca="false">F46*H46</f>
        <v>-0.25</v>
      </c>
      <c r="S46" s="0" t="n">
        <f aca="false">G46*H46</f>
        <v>0</v>
      </c>
      <c r="T46" s="0" t="n">
        <f aca="false">E46*E46</f>
        <v>1</v>
      </c>
      <c r="U46" s="0" t="n">
        <f aca="false">F46*F46</f>
        <v>1</v>
      </c>
      <c r="V46" s="0" t="n">
        <f aca="false">G46*G46</f>
        <v>0</v>
      </c>
      <c r="W46" s="0" t="n">
        <f aca="false">H46*H46</f>
        <v>0.0625</v>
      </c>
      <c r="X46" s="0" t="n">
        <f aca="false">SUMPRODUCT(I46:W46,_XtX!$B$96:$P$96)</f>
        <v>39.8673428362573</v>
      </c>
      <c r="Y46" s="0" t="n">
        <f aca="false">SUMPRODUCT(MMULT(I46:W46,_XtX!$B$78:$P$92),I46:W46)</f>
        <v>0.689692982456141</v>
      </c>
      <c r="Z46" s="0" t="n">
        <f aca="false">04_回帰ANOVA!$K$19*04_回帰ANOVA!$K$14*SQRT(1+Y46)</f>
        <v>1.69434674594998</v>
      </c>
      <c r="AA46" s="0" t="n">
        <f aca="false">X46-Z46</f>
        <v>38.1729960903074</v>
      </c>
      <c r="AB46" s="0" t="n">
        <f aca="false">X46+Z46</f>
        <v>41.5616895822073</v>
      </c>
      <c r="AC46" s="54" t="b">
        <f aca="false">AND(E46&gt;=01_因子設定!$L$5-0.000000001,E46&lt;=01_因子設定!$M$5+0.000000001,F46&gt;=01_因子設定!$L$6-0.000000001,F46&lt;=01_因子設定!$M$6+0.000000001,G46&gt;=01_因子設定!$L$7-0.000000001,G46&lt;=01_因子設定!$M$7+0.000000001,H46&gt;=01_因子設定!$L$8-0.000000001,H46&lt;=01_因子設定!$M$8+0.000000001,IF(01_因子設定!$B$20="Box-Behnken",E46^2+F46^2+G46^2+H46^2&lt;=2+0.000000001,TRUE()))</f>
        <v>1</v>
      </c>
      <c r="AD46" s="55" t="n">
        <f aca="false">IF(AC46,IF(01_因子設定!$B$13="最大化",AA46-01_因子設定!$B$14,IF(01_因子設定!$B$13="最小化",01_因子設定!$B$15-AB46,MIN(AA46-01_因子設定!$B$14,01_因子設定!$B$15-AB46))),-1E+030)</f>
        <v>-8.32700390969265</v>
      </c>
      <c r="AE46" s="55" t="n">
        <f aca="false">IF(AC46,IF(01_因子設定!$B$13="最大化",X46,IF(01_因子設定!$B$13="最小化",-X46,-ABS(X46-01_因子設定!$B$16))),-1E+030)</f>
        <v>39.8673428362573</v>
      </c>
      <c r="AF46" s="55" t="n">
        <f aca="false">AD46+ROW()*0.000000001</f>
        <v>-8.32700386369265</v>
      </c>
      <c r="AG46" s="55" t="n">
        <f aca="false">AE46+ROW()*0.000000001</f>
        <v>39.8673428822573</v>
      </c>
    </row>
    <row r="47" customFormat="false" ht="15" hidden="false" customHeight="false" outlineLevel="0" collapsed="false">
      <c r="A47" s="0" t="n">
        <v>0</v>
      </c>
      <c r="B47" s="0" t="n">
        <v>0</v>
      </c>
      <c r="C47" s="0" t="n">
        <v>4</v>
      </c>
      <c r="D47" s="0" t="n">
        <v>6</v>
      </c>
      <c r="E47" s="0" t="n">
        <f aca="false">-1+A47*0.25</f>
        <v>-1</v>
      </c>
      <c r="F47" s="0" t="n">
        <f aca="false">-1+B47*0.25</f>
        <v>-1</v>
      </c>
      <c r="G47" s="0" t="n">
        <f aca="false">-1+C47*0.25</f>
        <v>0</v>
      </c>
      <c r="H47" s="0" t="n">
        <f aca="false">-1+D47*0.25</f>
        <v>0.5</v>
      </c>
      <c r="I47" s="0" t="n">
        <f aca="false">1</f>
        <v>1</v>
      </c>
      <c r="J47" s="0" t="n">
        <f aca="false">E47</f>
        <v>-1</v>
      </c>
      <c r="K47" s="0" t="n">
        <f aca="false">F47</f>
        <v>-1</v>
      </c>
      <c r="L47" s="0" t="n">
        <f aca="false">G47</f>
        <v>0</v>
      </c>
      <c r="M47" s="0" t="n">
        <f aca="false">H47</f>
        <v>0.5</v>
      </c>
      <c r="N47" s="0" t="n">
        <f aca="false">E47*F47</f>
        <v>1</v>
      </c>
      <c r="O47" s="0" t="n">
        <f aca="false">E47*G47</f>
        <v>-0</v>
      </c>
      <c r="P47" s="0" t="n">
        <f aca="false">E47*H47</f>
        <v>-0.5</v>
      </c>
      <c r="Q47" s="0" t="n">
        <f aca="false">F47*G47</f>
        <v>-0</v>
      </c>
      <c r="R47" s="0" t="n">
        <f aca="false">F47*H47</f>
        <v>-0.5</v>
      </c>
      <c r="S47" s="0" t="n">
        <f aca="false">G47*H47</f>
        <v>0</v>
      </c>
      <c r="T47" s="0" t="n">
        <f aca="false">E47*E47</f>
        <v>1</v>
      </c>
      <c r="U47" s="0" t="n">
        <f aca="false">F47*F47</f>
        <v>1</v>
      </c>
      <c r="V47" s="0" t="n">
        <f aca="false">G47*G47</f>
        <v>0</v>
      </c>
      <c r="W47" s="0" t="n">
        <f aca="false">H47*H47</f>
        <v>0.25</v>
      </c>
      <c r="X47" s="0" t="n">
        <f aca="false">SUMPRODUCT(I47:W47,_XtX!$B$96:$P$96)</f>
        <v>39.9188961988304</v>
      </c>
      <c r="Y47" s="0" t="n">
        <f aca="false">SUMPRODUCT(MMULT(I47:W47,_XtX!$B$78:$P$92),I47:W47)</f>
        <v>0.650767543859649</v>
      </c>
      <c r="Z47" s="0" t="n">
        <f aca="false">04_回帰ANOVA!$K$19*04_回帰ANOVA!$K$14*SQRT(1+Y47)</f>
        <v>1.67471670935165</v>
      </c>
      <c r="AA47" s="0" t="n">
        <f aca="false">X47-Z47</f>
        <v>38.2441794894788</v>
      </c>
      <c r="AB47" s="0" t="n">
        <f aca="false">X47+Z47</f>
        <v>41.5936129081821</v>
      </c>
      <c r="AC47" s="54" t="b">
        <f aca="false">AND(E47&gt;=01_因子設定!$L$5-0.000000001,E47&lt;=01_因子設定!$M$5+0.000000001,F47&gt;=01_因子設定!$L$6-0.000000001,F47&lt;=01_因子設定!$M$6+0.000000001,G47&gt;=01_因子設定!$L$7-0.000000001,G47&lt;=01_因子設定!$M$7+0.000000001,H47&gt;=01_因子設定!$L$8-0.000000001,H47&lt;=01_因子設定!$M$8+0.000000001,IF(01_因子設定!$B$20="Box-Behnken",E47^2+F47^2+G47^2+H47^2&lt;=2+0.000000001,TRUE()))</f>
        <v>1</v>
      </c>
      <c r="AD47" s="55" t="n">
        <f aca="false">IF(AC47,IF(01_因子設定!$B$13="最大化",AA47-01_因子設定!$B$14,IF(01_因子設定!$B$13="最小化",01_因子設定!$B$15-AB47,MIN(AA47-01_因子設定!$B$14,01_因子設定!$B$15-AB47))),-1E+030)</f>
        <v>-8.2558205105212</v>
      </c>
      <c r="AE47" s="55" t="n">
        <f aca="false">IF(AC47,IF(01_因子設定!$B$13="最大化",X47,IF(01_因子設定!$B$13="最小化",-X47,-ABS(X47-01_因子設定!$B$16))),-1E+030)</f>
        <v>39.9188961988304</v>
      </c>
      <c r="AF47" s="55" t="n">
        <f aca="false">AD47+ROW()*0.000000001</f>
        <v>-8.2558204635212</v>
      </c>
      <c r="AG47" s="55" t="n">
        <f aca="false">AE47+ROW()*0.000000001</f>
        <v>39.9188962458304</v>
      </c>
    </row>
    <row r="48" customFormat="false" ht="15" hidden="false" customHeight="false" outlineLevel="0" collapsed="false">
      <c r="A48" s="0" t="n">
        <v>0</v>
      </c>
      <c r="B48" s="0" t="n">
        <v>0</v>
      </c>
      <c r="C48" s="0" t="n">
        <v>4</v>
      </c>
      <c r="D48" s="0" t="n">
        <v>7</v>
      </c>
      <c r="E48" s="0" t="n">
        <f aca="false">-1+A48*0.25</f>
        <v>-1</v>
      </c>
      <c r="F48" s="0" t="n">
        <f aca="false">-1+B48*0.25</f>
        <v>-1</v>
      </c>
      <c r="G48" s="0" t="n">
        <f aca="false">-1+C48*0.25</f>
        <v>0</v>
      </c>
      <c r="H48" s="0" t="n">
        <f aca="false">-1+D48*0.25</f>
        <v>0.75</v>
      </c>
      <c r="I48" s="0" t="n">
        <f aca="false">1</f>
        <v>1</v>
      </c>
      <c r="J48" s="0" t="n">
        <f aca="false">E48</f>
        <v>-1</v>
      </c>
      <c r="K48" s="0" t="n">
        <f aca="false">F48</f>
        <v>-1</v>
      </c>
      <c r="L48" s="0" t="n">
        <f aca="false">G48</f>
        <v>0</v>
      </c>
      <c r="M48" s="0" t="n">
        <f aca="false">H48</f>
        <v>0.75</v>
      </c>
      <c r="N48" s="0" t="n">
        <f aca="false">E48*F48</f>
        <v>1</v>
      </c>
      <c r="O48" s="0" t="n">
        <f aca="false">E48*G48</f>
        <v>-0</v>
      </c>
      <c r="P48" s="0" t="n">
        <f aca="false">E48*H48</f>
        <v>-0.75</v>
      </c>
      <c r="Q48" s="0" t="n">
        <f aca="false">F48*G48</f>
        <v>-0</v>
      </c>
      <c r="R48" s="0" t="n">
        <f aca="false">F48*H48</f>
        <v>-0.75</v>
      </c>
      <c r="S48" s="0" t="n">
        <f aca="false">G48*H48</f>
        <v>0</v>
      </c>
      <c r="T48" s="0" t="n">
        <f aca="false">E48*E48</f>
        <v>1</v>
      </c>
      <c r="U48" s="0" t="n">
        <f aca="false">F48*F48</f>
        <v>1</v>
      </c>
      <c r="V48" s="0" t="n">
        <f aca="false">G48*G48</f>
        <v>0</v>
      </c>
      <c r="W48" s="0" t="n">
        <f aca="false">H48*H48</f>
        <v>0.5625</v>
      </c>
      <c r="X48" s="0" t="n">
        <f aca="false">SUMPRODUCT(I48:W48,_XtX!$B$96:$P$96)</f>
        <v>39.9226425438597</v>
      </c>
      <c r="Y48" s="0" t="n">
        <f aca="false">SUMPRODUCT(MMULT(I48:W48,_XtX!$B$78:$P$92),I48:W48)</f>
        <v>0.646198830409357</v>
      </c>
      <c r="Z48" s="0" t="n">
        <f aca="false">04_回帰ANOVA!$K$19*04_回帰ANOVA!$K$14*SQRT(1+Y48)</f>
        <v>1.67239760569756</v>
      </c>
      <c r="AA48" s="0" t="n">
        <f aca="false">X48-Z48</f>
        <v>38.2502449381621</v>
      </c>
      <c r="AB48" s="0" t="n">
        <f aca="false">X48+Z48</f>
        <v>41.5950401495573</v>
      </c>
      <c r="AC48" s="54" t="b">
        <f aca="false">AND(E48&gt;=01_因子設定!$L$5-0.000000001,E48&lt;=01_因子設定!$M$5+0.000000001,F48&gt;=01_因子設定!$L$6-0.000000001,F48&lt;=01_因子設定!$M$6+0.000000001,G48&gt;=01_因子設定!$L$7-0.000000001,G48&lt;=01_因子設定!$M$7+0.000000001,H48&gt;=01_因子設定!$L$8-0.000000001,H48&lt;=01_因子設定!$M$8+0.000000001,IF(01_因子設定!$B$20="Box-Behnken",E48^2+F48^2+G48^2+H48^2&lt;=2+0.000000001,TRUE()))</f>
        <v>1</v>
      </c>
      <c r="AD48" s="55" t="n">
        <f aca="false">IF(AC48,IF(01_因子設定!$B$13="最大化",AA48-01_因子設定!$B$14,IF(01_因子設定!$B$13="最小化",01_因子設定!$B$15-AB48,MIN(AA48-01_因子設定!$B$14,01_因子設定!$B$15-AB48))),-1E+030)</f>
        <v>-8.24975506183786</v>
      </c>
      <c r="AE48" s="55" t="n">
        <f aca="false">IF(AC48,IF(01_因子設定!$B$13="最大化",X48,IF(01_因子設定!$B$13="最小化",-X48,-ABS(X48-01_因子設定!$B$16))),-1E+030)</f>
        <v>39.9226425438597</v>
      </c>
      <c r="AF48" s="55" t="n">
        <f aca="false">AD48+ROW()*0.000000001</f>
        <v>-8.24975501383786</v>
      </c>
      <c r="AG48" s="55" t="n">
        <f aca="false">AE48+ROW()*0.000000001</f>
        <v>39.9226425918597</v>
      </c>
    </row>
    <row r="49" customFormat="false" ht="15" hidden="false" customHeight="false" outlineLevel="0" collapsed="false">
      <c r="A49" s="0" t="n">
        <v>0</v>
      </c>
      <c r="B49" s="0" t="n">
        <v>0</v>
      </c>
      <c r="C49" s="0" t="n">
        <v>4</v>
      </c>
      <c r="D49" s="0" t="n">
        <v>8</v>
      </c>
      <c r="E49" s="0" t="n">
        <f aca="false">-1+A49*0.25</f>
        <v>-1</v>
      </c>
      <c r="F49" s="0" t="n">
        <f aca="false">-1+B49*0.25</f>
        <v>-1</v>
      </c>
      <c r="G49" s="0" t="n">
        <f aca="false">-1+C49*0.25</f>
        <v>0</v>
      </c>
      <c r="H49" s="0" t="n">
        <f aca="false">-1+D49*0.25</f>
        <v>1</v>
      </c>
      <c r="I49" s="0" t="n">
        <f aca="false">1</f>
        <v>1</v>
      </c>
      <c r="J49" s="0" t="n">
        <f aca="false">E49</f>
        <v>-1</v>
      </c>
      <c r="K49" s="0" t="n">
        <f aca="false">F49</f>
        <v>-1</v>
      </c>
      <c r="L49" s="0" t="n">
        <f aca="false">G49</f>
        <v>0</v>
      </c>
      <c r="M49" s="0" t="n">
        <f aca="false">H49</f>
        <v>1</v>
      </c>
      <c r="N49" s="0" t="n">
        <f aca="false">E49*F49</f>
        <v>1</v>
      </c>
      <c r="O49" s="0" t="n">
        <f aca="false">E49*G49</f>
        <v>-0</v>
      </c>
      <c r="P49" s="0" t="n">
        <f aca="false">E49*H49</f>
        <v>-1</v>
      </c>
      <c r="Q49" s="0" t="n">
        <f aca="false">F49*G49</f>
        <v>-0</v>
      </c>
      <c r="R49" s="0" t="n">
        <f aca="false">F49*H49</f>
        <v>-1</v>
      </c>
      <c r="S49" s="0" t="n">
        <f aca="false">G49*H49</f>
        <v>0</v>
      </c>
      <c r="T49" s="0" t="n">
        <f aca="false">E49*E49</f>
        <v>1</v>
      </c>
      <c r="U49" s="0" t="n">
        <f aca="false">F49*F49</f>
        <v>1</v>
      </c>
      <c r="V49" s="0" t="n">
        <f aca="false">G49*G49</f>
        <v>0</v>
      </c>
      <c r="W49" s="0" t="n">
        <f aca="false">H49*H49</f>
        <v>1</v>
      </c>
      <c r="X49" s="0" t="n">
        <f aca="false">SUMPRODUCT(I49:W49,_XtX!$B$96:$P$96)</f>
        <v>39.8785818713451</v>
      </c>
      <c r="Y49" s="0" t="n">
        <f aca="false">SUMPRODUCT(MMULT(I49:W49,_XtX!$B$78:$P$92),I49:W49)</f>
        <v>0.766447368421053</v>
      </c>
      <c r="Z49" s="0" t="n">
        <f aca="false">04_回帰ANOVA!$K$19*04_回帰ANOVA!$K$14*SQRT(1+Y49)</f>
        <v>1.7324022685743</v>
      </c>
      <c r="AA49" s="0" t="n">
        <f aca="false">X49-Z49</f>
        <v>38.1461796027708</v>
      </c>
      <c r="AB49" s="0" t="n">
        <f aca="false">X49+Z49</f>
        <v>41.6109841399194</v>
      </c>
      <c r="AC49" s="54" t="b">
        <f aca="false">AND(E49&gt;=01_因子設定!$L$5-0.000000001,E49&lt;=01_因子設定!$M$5+0.000000001,F49&gt;=01_因子設定!$L$6-0.000000001,F49&lt;=01_因子設定!$M$6+0.000000001,G49&gt;=01_因子設定!$L$7-0.000000001,G49&lt;=01_因子設定!$M$7+0.000000001,H49&gt;=01_因子設定!$L$8-0.000000001,H49&lt;=01_因子設定!$M$8+0.000000001,IF(01_因子設定!$B$20="Box-Behnken",E49^2+F49^2+G49^2+H49^2&lt;=2+0.000000001,TRUE()))</f>
        <v>1</v>
      </c>
      <c r="AD49" s="55" t="n">
        <f aca="false">IF(AC49,IF(01_因子設定!$B$13="最大化",AA49-01_因子設定!$B$14,IF(01_因子設定!$B$13="最小化",01_因子設定!$B$15-AB49,MIN(AA49-01_因子設定!$B$14,01_因子設定!$B$15-AB49))),-1E+030)</f>
        <v>-8.35382039722921</v>
      </c>
      <c r="AE49" s="55" t="n">
        <f aca="false">IF(AC49,IF(01_因子設定!$B$13="最大化",X49,IF(01_因子設定!$B$13="最小化",-X49,-ABS(X49-01_因子設定!$B$16))),-1E+030)</f>
        <v>39.8785818713451</v>
      </c>
      <c r="AF49" s="55" t="n">
        <f aca="false">AD49+ROW()*0.000000001</f>
        <v>-8.35382034822921</v>
      </c>
      <c r="AG49" s="55" t="n">
        <f aca="false">AE49+ROW()*0.000000001</f>
        <v>39.8785819203451</v>
      </c>
    </row>
    <row r="50" customFormat="false" ht="15" hidden="false" customHeight="false" outlineLevel="0" collapsed="false">
      <c r="A50" s="0" t="n">
        <v>0</v>
      </c>
      <c r="B50" s="0" t="n">
        <v>0</v>
      </c>
      <c r="C50" s="0" t="n">
        <v>5</v>
      </c>
      <c r="D50" s="0" t="n">
        <v>0</v>
      </c>
      <c r="E50" s="0" t="n">
        <f aca="false">-1+A50*0.25</f>
        <v>-1</v>
      </c>
      <c r="F50" s="0" t="n">
        <f aca="false">-1+B50*0.25</f>
        <v>-1</v>
      </c>
      <c r="G50" s="0" t="n">
        <f aca="false">-1+C50*0.25</f>
        <v>0.25</v>
      </c>
      <c r="H50" s="0" t="n">
        <f aca="false">-1+D50*0.25</f>
        <v>-1</v>
      </c>
      <c r="I50" s="0" t="n">
        <f aca="false">1</f>
        <v>1</v>
      </c>
      <c r="J50" s="0" t="n">
        <f aca="false">E50</f>
        <v>-1</v>
      </c>
      <c r="K50" s="0" t="n">
        <f aca="false">F50</f>
        <v>-1</v>
      </c>
      <c r="L50" s="0" t="n">
        <f aca="false">G50</f>
        <v>0.25</v>
      </c>
      <c r="M50" s="0" t="n">
        <f aca="false">H50</f>
        <v>-1</v>
      </c>
      <c r="N50" s="0" t="n">
        <f aca="false">E50*F50</f>
        <v>1</v>
      </c>
      <c r="O50" s="0" t="n">
        <f aca="false">E50*G50</f>
        <v>-0.25</v>
      </c>
      <c r="P50" s="0" t="n">
        <f aca="false">E50*H50</f>
        <v>1</v>
      </c>
      <c r="Q50" s="0" t="n">
        <f aca="false">F50*G50</f>
        <v>-0.25</v>
      </c>
      <c r="R50" s="0" t="n">
        <f aca="false">F50*H50</f>
        <v>1</v>
      </c>
      <c r="S50" s="0" t="n">
        <f aca="false">G50*H50</f>
        <v>-0.25</v>
      </c>
      <c r="T50" s="0" t="n">
        <f aca="false">E50*E50</f>
        <v>1</v>
      </c>
      <c r="U50" s="0" t="n">
        <f aca="false">F50*F50</f>
        <v>1</v>
      </c>
      <c r="V50" s="0" t="n">
        <f aca="false">G50*G50</f>
        <v>0.0625</v>
      </c>
      <c r="W50" s="0" t="n">
        <f aca="false">H50*H50</f>
        <v>1</v>
      </c>
      <c r="X50" s="0" t="n">
        <f aca="false">SUMPRODUCT(I50:W50,_XtX!$B$96:$P$96)</f>
        <v>39.1081505847954</v>
      </c>
      <c r="Y50" s="0" t="n">
        <f aca="false">SUMPRODUCT(MMULT(I50:W50,_XtX!$B$78:$P$92),I50:W50)</f>
        <v>0.737093384502924</v>
      </c>
      <c r="Z50" s="0" t="n">
        <f aca="false">04_回帰ANOVA!$K$19*04_回帰ANOVA!$K$14*SQRT(1+Y50)</f>
        <v>1.71794784853551</v>
      </c>
      <c r="AA50" s="0" t="n">
        <f aca="false">X50-Z50</f>
        <v>37.3902027362599</v>
      </c>
      <c r="AB50" s="0" t="n">
        <f aca="false">X50+Z50</f>
        <v>40.8260984333309</v>
      </c>
      <c r="AC50" s="54" t="b">
        <f aca="false">AND(E50&gt;=01_因子設定!$L$5-0.000000001,E50&lt;=01_因子設定!$M$5+0.000000001,F50&gt;=01_因子設定!$L$6-0.000000001,F50&lt;=01_因子設定!$M$6+0.000000001,G50&gt;=01_因子設定!$L$7-0.000000001,G50&lt;=01_因子設定!$M$7+0.000000001,H50&gt;=01_因子設定!$L$8-0.000000001,H50&lt;=01_因子設定!$M$8+0.000000001,IF(01_因子設定!$B$20="Box-Behnken",E50^2+F50^2+G50^2+H50^2&lt;=2+0.000000001,TRUE()))</f>
        <v>1</v>
      </c>
      <c r="AD50" s="55" t="n">
        <f aca="false">IF(AC50,IF(01_因子設定!$B$13="最大化",AA50-01_因子設定!$B$14,IF(01_因子設定!$B$13="最小化",01_因子設定!$B$15-AB50,MIN(AA50-01_因子設定!$B$14,01_因子設定!$B$15-AB50))),-1E+030)</f>
        <v>-9.10979726374012</v>
      </c>
      <c r="AE50" s="55" t="n">
        <f aca="false">IF(AC50,IF(01_因子設定!$B$13="最大化",X50,IF(01_因子設定!$B$13="最小化",-X50,-ABS(X50-01_因子設定!$B$16))),-1E+030)</f>
        <v>39.1081505847954</v>
      </c>
      <c r="AF50" s="55" t="n">
        <f aca="false">AD50+ROW()*0.000000001</f>
        <v>-9.10979721374012</v>
      </c>
      <c r="AG50" s="55" t="n">
        <f aca="false">AE50+ROW()*0.000000001</f>
        <v>39.1081506347954</v>
      </c>
    </row>
    <row r="51" customFormat="false" ht="15" hidden="false" customHeight="false" outlineLevel="0" collapsed="false">
      <c r="A51" s="0" t="n">
        <v>0</v>
      </c>
      <c r="B51" s="0" t="n">
        <v>0</v>
      </c>
      <c r="C51" s="0" t="n">
        <v>5</v>
      </c>
      <c r="D51" s="0" t="n">
        <v>1</v>
      </c>
      <c r="E51" s="0" t="n">
        <f aca="false">-1+A51*0.25</f>
        <v>-1</v>
      </c>
      <c r="F51" s="0" t="n">
        <f aca="false">-1+B51*0.25</f>
        <v>-1</v>
      </c>
      <c r="G51" s="0" t="n">
        <f aca="false">-1+C51*0.25</f>
        <v>0.25</v>
      </c>
      <c r="H51" s="0" t="n">
        <f aca="false">-1+D51*0.25</f>
        <v>-0.75</v>
      </c>
      <c r="I51" s="0" t="n">
        <f aca="false">1</f>
        <v>1</v>
      </c>
      <c r="J51" s="0" t="n">
        <f aca="false">E51</f>
        <v>-1</v>
      </c>
      <c r="K51" s="0" t="n">
        <f aca="false">F51</f>
        <v>-1</v>
      </c>
      <c r="L51" s="0" t="n">
        <f aca="false">G51</f>
        <v>0.25</v>
      </c>
      <c r="M51" s="0" t="n">
        <f aca="false">H51</f>
        <v>-0.75</v>
      </c>
      <c r="N51" s="0" t="n">
        <f aca="false">E51*F51</f>
        <v>1</v>
      </c>
      <c r="O51" s="0" t="n">
        <f aca="false">E51*G51</f>
        <v>-0.25</v>
      </c>
      <c r="P51" s="0" t="n">
        <f aca="false">E51*H51</f>
        <v>0.75</v>
      </c>
      <c r="Q51" s="0" t="n">
        <f aca="false">F51*G51</f>
        <v>-0.25</v>
      </c>
      <c r="R51" s="0" t="n">
        <f aca="false">F51*H51</f>
        <v>0.75</v>
      </c>
      <c r="S51" s="0" t="n">
        <f aca="false">G51*H51</f>
        <v>-0.1875</v>
      </c>
      <c r="T51" s="0" t="n">
        <f aca="false">E51*E51</f>
        <v>1</v>
      </c>
      <c r="U51" s="0" t="n">
        <f aca="false">F51*F51</f>
        <v>1</v>
      </c>
      <c r="V51" s="0" t="n">
        <f aca="false">G51*G51</f>
        <v>0.0625</v>
      </c>
      <c r="W51" s="0" t="n">
        <f aca="false">H51*H51</f>
        <v>0.5625</v>
      </c>
      <c r="X51" s="0" t="n">
        <f aca="false">SUMPRODUCT(I51:W51,_XtX!$B$96:$P$96)</f>
        <v>39.4167077850878</v>
      </c>
      <c r="Y51" s="0" t="n">
        <f aca="false">SUMPRODUCT(MMULT(I51:W51,_XtX!$B$78:$P$92),I51:W51)</f>
        <v>0.621372155975877</v>
      </c>
      <c r="Z51" s="0" t="n">
        <f aca="false">04_回帰ANOVA!$K$19*04_回帰ANOVA!$K$14*SQRT(1+Y51)</f>
        <v>1.65973880499872</v>
      </c>
      <c r="AA51" s="0" t="n">
        <f aca="false">X51-Z51</f>
        <v>37.7569689800891</v>
      </c>
      <c r="AB51" s="0" t="n">
        <f aca="false">X51+Z51</f>
        <v>41.0764465900865</v>
      </c>
      <c r="AC51" s="54" t="b">
        <f aca="false">AND(E51&gt;=01_因子設定!$L$5-0.000000001,E51&lt;=01_因子設定!$M$5+0.000000001,F51&gt;=01_因子設定!$L$6-0.000000001,F51&lt;=01_因子設定!$M$6+0.000000001,G51&gt;=01_因子設定!$L$7-0.000000001,G51&lt;=01_因子設定!$M$7+0.000000001,H51&gt;=01_因子設定!$L$8-0.000000001,H51&lt;=01_因子設定!$M$8+0.000000001,IF(01_因子設定!$B$20="Box-Behnken",E51^2+F51^2+G51^2+H51^2&lt;=2+0.000000001,TRUE()))</f>
        <v>1</v>
      </c>
      <c r="AD51" s="55" t="n">
        <f aca="false">IF(AC51,IF(01_因子設定!$B$13="最大化",AA51-01_因子設定!$B$14,IF(01_因子設定!$B$13="最小化",01_因子設定!$B$15-AB51,MIN(AA51-01_因子設定!$B$14,01_因子設定!$B$15-AB51))),-1E+030)</f>
        <v>-8.74303101991095</v>
      </c>
      <c r="AE51" s="55" t="n">
        <f aca="false">IF(AC51,IF(01_因子設定!$B$13="最大化",X51,IF(01_因子設定!$B$13="最小化",-X51,-ABS(X51-01_因子設定!$B$16))),-1E+030)</f>
        <v>39.4167077850878</v>
      </c>
      <c r="AF51" s="55" t="n">
        <f aca="false">AD51+ROW()*0.000000001</f>
        <v>-8.74303096891095</v>
      </c>
      <c r="AG51" s="55" t="n">
        <f aca="false">AE51+ROW()*0.000000001</f>
        <v>39.4167078360878</v>
      </c>
    </row>
    <row r="52" customFormat="false" ht="15" hidden="false" customHeight="false" outlineLevel="0" collapsed="false">
      <c r="A52" s="0" t="n">
        <v>0</v>
      </c>
      <c r="B52" s="0" t="n">
        <v>0</v>
      </c>
      <c r="C52" s="0" t="n">
        <v>5</v>
      </c>
      <c r="D52" s="0" t="n">
        <v>2</v>
      </c>
      <c r="E52" s="0" t="n">
        <f aca="false">-1+A52*0.25</f>
        <v>-1</v>
      </c>
      <c r="F52" s="0" t="n">
        <f aca="false">-1+B52*0.25</f>
        <v>-1</v>
      </c>
      <c r="G52" s="0" t="n">
        <f aca="false">-1+C52*0.25</f>
        <v>0.25</v>
      </c>
      <c r="H52" s="0" t="n">
        <f aca="false">-1+D52*0.25</f>
        <v>-0.5</v>
      </c>
      <c r="I52" s="0" t="n">
        <f aca="false">1</f>
        <v>1</v>
      </c>
      <c r="J52" s="0" t="n">
        <f aca="false">E52</f>
        <v>-1</v>
      </c>
      <c r="K52" s="0" t="n">
        <f aca="false">F52</f>
        <v>-1</v>
      </c>
      <c r="L52" s="0" t="n">
        <f aca="false">G52</f>
        <v>0.25</v>
      </c>
      <c r="M52" s="0" t="n">
        <f aca="false">H52</f>
        <v>-0.5</v>
      </c>
      <c r="N52" s="0" t="n">
        <f aca="false">E52*F52</f>
        <v>1</v>
      </c>
      <c r="O52" s="0" t="n">
        <f aca="false">E52*G52</f>
        <v>-0.25</v>
      </c>
      <c r="P52" s="0" t="n">
        <f aca="false">E52*H52</f>
        <v>0.5</v>
      </c>
      <c r="Q52" s="0" t="n">
        <f aca="false">F52*G52</f>
        <v>-0.25</v>
      </c>
      <c r="R52" s="0" t="n">
        <f aca="false">F52*H52</f>
        <v>0.5</v>
      </c>
      <c r="S52" s="0" t="n">
        <f aca="false">G52*H52</f>
        <v>-0.125</v>
      </c>
      <c r="T52" s="0" t="n">
        <f aca="false">E52*E52</f>
        <v>1</v>
      </c>
      <c r="U52" s="0" t="n">
        <f aca="false">F52*F52</f>
        <v>1</v>
      </c>
      <c r="V52" s="0" t="n">
        <f aca="false">G52*G52</f>
        <v>0.0625</v>
      </c>
      <c r="W52" s="0" t="n">
        <f aca="false">H52*H52</f>
        <v>0.25</v>
      </c>
      <c r="X52" s="0" t="n">
        <f aca="false">SUMPRODUCT(I52:W52,_XtX!$B$96:$P$96)</f>
        <v>39.6774579678363</v>
      </c>
      <c r="Y52" s="0" t="n">
        <f aca="false">SUMPRODUCT(MMULT(I52:W52,_XtX!$B$78:$P$92),I52:W52)</f>
        <v>0.629174661915205</v>
      </c>
      <c r="Z52" s="0" t="n">
        <f aca="false">04_回帰ANOVA!$K$19*04_回帰ANOVA!$K$14*SQRT(1+Y52)</f>
        <v>1.66372758058297</v>
      </c>
      <c r="AA52" s="0" t="n">
        <f aca="false">X52-Z52</f>
        <v>38.0137303872533</v>
      </c>
      <c r="AB52" s="0" t="n">
        <f aca="false">X52+Z52</f>
        <v>41.3411855484193</v>
      </c>
      <c r="AC52" s="54" t="b">
        <f aca="false">AND(E52&gt;=01_因子設定!$L$5-0.000000001,E52&lt;=01_因子設定!$M$5+0.000000001,F52&gt;=01_因子設定!$L$6-0.000000001,F52&lt;=01_因子設定!$M$6+0.000000001,G52&gt;=01_因子設定!$L$7-0.000000001,G52&lt;=01_因子設定!$M$7+0.000000001,H52&gt;=01_因子設定!$L$8-0.000000001,H52&lt;=01_因子設定!$M$8+0.000000001,IF(01_因子設定!$B$20="Box-Behnken",E52^2+F52^2+G52^2+H52^2&lt;=2+0.000000001,TRUE()))</f>
        <v>1</v>
      </c>
      <c r="AD52" s="55" t="n">
        <f aca="false">IF(AC52,IF(01_因子設定!$B$13="最大化",AA52-01_因子設定!$B$14,IF(01_因子設定!$B$13="最小化",01_因子設定!$B$15-AB52,MIN(AA52-01_因子設定!$B$14,01_因子設定!$B$15-AB52))),-1E+030)</f>
        <v>-8.48626961274668</v>
      </c>
      <c r="AE52" s="55" t="n">
        <f aca="false">IF(AC52,IF(01_因子設定!$B$13="最大化",X52,IF(01_因子設定!$B$13="最小化",-X52,-ABS(X52-01_因子設定!$B$16))),-1E+030)</f>
        <v>39.6774579678363</v>
      </c>
      <c r="AF52" s="55" t="n">
        <f aca="false">AD52+ROW()*0.000000001</f>
        <v>-8.48626956074668</v>
      </c>
      <c r="AG52" s="55" t="n">
        <f aca="false">AE52+ROW()*0.000000001</f>
        <v>39.6774580198363</v>
      </c>
    </row>
    <row r="53" customFormat="false" ht="15" hidden="false" customHeight="false" outlineLevel="0" collapsed="false">
      <c r="A53" s="0" t="n">
        <v>0</v>
      </c>
      <c r="B53" s="0" t="n">
        <v>0</v>
      </c>
      <c r="C53" s="0" t="n">
        <v>5</v>
      </c>
      <c r="D53" s="0" t="n">
        <v>3</v>
      </c>
      <c r="E53" s="0" t="n">
        <f aca="false">-1+A53*0.25</f>
        <v>-1</v>
      </c>
      <c r="F53" s="0" t="n">
        <f aca="false">-1+B53*0.25</f>
        <v>-1</v>
      </c>
      <c r="G53" s="0" t="n">
        <f aca="false">-1+C53*0.25</f>
        <v>0.25</v>
      </c>
      <c r="H53" s="0" t="n">
        <f aca="false">-1+D53*0.25</f>
        <v>-0.25</v>
      </c>
      <c r="I53" s="0" t="n">
        <f aca="false">1</f>
        <v>1</v>
      </c>
      <c r="J53" s="0" t="n">
        <f aca="false">E53</f>
        <v>-1</v>
      </c>
      <c r="K53" s="0" t="n">
        <f aca="false">F53</f>
        <v>-1</v>
      </c>
      <c r="L53" s="0" t="n">
        <f aca="false">G53</f>
        <v>0.25</v>
      </c>
      <c r="M53" s="0" t="n">
        <f aca="false">H53</f>
        <v>-0.25</v>
      </c>
      <c r="N53" s="0" t="n">
        <f aca="false">E53*F53</f>
        <v>1</v>
      </c>
      <c r="O53" s="0" t="n">
        <f aca="false">E53*G53</f>
        <v>-0.25</v>
      </c>
      <c r="P53" s="0" t="n">
        <f aca="false">E53*H53</f>
        <v>0.25</v>
      </c>
      <c r="Q53" s="0" t="n">
        <f aca="false">F53*G53</f>
        <v>-0.25</v>
      </c>
      <c r="R53" s="0" t="n">
        <f aca="false">F53*H53</f>
        <v>0.25</v>
      </c>
      <c r="S53" s="0" t="n">
        <f aca="false">G53*H53</f>
        <v>-0.0625</v>
      </c>
      <c r="T53" s="0" t="n">
        <f aca="false">E53*E53</f>
        <v>1</v>
      </c>
      <c r="U53" s="0" t="n">
        <f aca="false">F53*F53</f>
        <v>1</v>
      </c>
      <c r="V53" s="0" t="n">
        <f aca="false">G53*G53</f>
        <v>0.0625</v>
      </c>
      <c r="W53" s="0" t="n">
        <f aca="false">H53*H53</f>
        <v>0.0625</v>
      </c>
      <c r="X53" s="0" t="n">
        <f aca="false">SUMPRODUCT(I53:W53,_XtX!$B$96:$P$96)</f>
        <v>39.890401133041</v>
      </c>
      <c r="Y53" s="0" t="n">
        <f aca="false">SUMPRODUCT(MMULT(I53:W53,_XtX!$B$78:$P$92),I53:W53)</f>
        <v>0.670040376005117</v>
      </c>
      <c r="Z53" s="0" t="n">
        <f aca="false">04_回帰ANOVA!$K$19*04_回帰ANOVA!$K$14*SQRT(1+Y53)</f>
        <v>1.68446456039992</v>
      </c>
      <c r="AA53" s="0" t="n">
        <f aca="false">X53-Z53</f>
        <v>38.205936572641</v>
      </c>
      <c r="AB53" s="0" t="n">
        <f aca="false">X53+Z53</f>
        <v>41.5748656934409</v>
      </c>
      <c r="AC53" s="54" t="b">
        <f aca="false">AND(E53&gt;=01_因子設定!$L$5-0.000000001,E53&lt;=01_因子設定!$M$5+0.000000001,F53&gt;=01_因子設定!$L$6-0.000000001,F53&lt;=01_因子設定!$M$6+0.000000001,G53&gt;=01_因子設定!$L$7-0.000000001,G53&lt;=01_因子設定!$M$7+0.000000001,H53&gt;=01_因子設定!$L$8-0.000000001,H53&lt;=01_因子設定!$M$8+0.000000001,IF(01_因子設定!$B$20="Box-Behnken",E53^2+F53^2+G53^2+H53^2&lt;=2+0.000000001,TRUE()))</f>
        <v>1</v>
      </c>
      <c r="AD53" s="55" t="n">
        <f aca="false">IF(AC53,IF(01_因子設定!$B$13="最大化",AA53-01_因子設定!$B$14,IF(01_因子設定!$B$13="最小化",01_因子設定!$B$15-AB53,MIN(AA53-01_因子設定!$B$14,01_因子設定!$B$15-AB53))),-1E+030)</f>
        <v>-8.29406342735896</v>
      </c>
      <c r="AE53" s="55" t="n">
        <f aca="false">IF(AC53,IF(01_因子設定!$B$13="最大化",X53,IF(01_因子設定!$B$13="最小化",-X53,-ABS(X53-01_因子設定!$B$16))),-1E+030)</f>
        <v>39.890401133041</v>
      </c>
      <c r="AF53" s="55" t="n">
        <f aca="false">AD53+ROW()*0.000000001</f>
        <v>-8.29406337435896</v>
      </c>
      <c r="AG53" s="55" t="n">
        <f aca="false">AE53+ROW()*0.000000001</f>
        <v>39.890401186041</v>
      </c>
    </row>
    <row r="54" customFormat="false" ht="15" hidden="false" customHeight="false" outlineLevel="0" collapsed="false">
      <c r="A54" s="0" t="n">
        <v>0</v>
      </c>
      <c r="B54" s="0" t="n">
        <v>0</v>
      </c>
      <c r="C54" s="0" t="n">
        <v>5</v>
      </c>
      <c r="D54" s="0" t="n">
        <v>4</v>
      </c>
      <c r="E54" s="0" t="n">
        <f aca="false">-1+A54*0.25</f>
        <v>-1</v>
      </c>
      <c r="F54" s="0" t="n">
        <f aca="false">-1+B54*0.25</f>
        <v>-1</v>
      </c>
      <c r="G54" s="0" t="n">
        <f aca="false">-1+C54*0.25</f>
        <v>0.25</v>
      </c>
      <c r="H54" s="0" t="n">
        <f aca="false">-1+D54*0.25</f>
        <v>0</v>
      </c>
      <c r="I54" s="0" t="n">
        <f aca="false">1</f>
        <v>1</v>
      </c>
      <c r="J54" s="0" t="n">
        <f aca="false">E54</f>
        <v>-1</v>
      </c>
      <c r="K54" s="0" t="n">
        <f aca="false">F54</f>
        <v>-1</v>
      </c>
      <c r="L54" s="0" t="n">
        <f aca="false">G54</f>
        <v>0.25</v>
      </c>
      <c r="M54" s="0" t="n">
        <f aca="false">H54</f>
        <v>0</v>
      </c>
      <c r="N54" s="0" t="n">
        <f aca="false">E54*F54</f>
        <v>1</v>
      </c>
      <c r="O54" s="0" t="n">
        <f aca="false">E54*G54</f>
        <v>-0.25</v>
      </c>
      <c r="P54" s="0" t="n">
        <f aca="false">E54*H54</f>
        <v>-0</v>
      </c>
      <c r="Q54" s="0" t="n">
        <f aca="false">F54*G54</f>
        <v>-0.25</v>
      </c>
      <c r="R54" s="0" t="n">
        <f aca="false">F54*H54</f>
        <v>-0</v>
      </c>
      <c r="S54" s="0" t="n">
        <f aca="false">G54*H54</f>
        <v>0</v>
      </c>
      <c r="T54" s="0" t="n">
        <f aca="false">E54*E54</f>
        <v>1</v>
      </c>
      <c r="U54" s="0" t="n">
        <f aca="false">F54*F54</f>
        <v>1</v>
      </c>
      <c r="V54" s="0" t="n">
        <f aca="false">G54*G54</f>
        <v>0.0625</v>
      </c>
      <c r="W54" s="0" t="n">
        <f aca="false">H54*H54</f>
        <v>0</v>
      </c>
      <c r="X54" s="0" t="n">
        <f aca="false">SUMPRODUCT(I54:W54,_XtX!$B$96:$P$96)</f>
        <v>40.0555372807018</v>
      </c>
      <c r="Y54" s="0" t="n">
        <f aca="false">SUMPRODUCT(MMULT(I54:W54,_XtX!$B$78:$P$92),I54:W54)</f>
        <v>0.689692982456141</v>
      </c>
      <c r="Z54" s="0" t="n">
        <f aca="false">04_回帰ANOVA!$K$19*04_回帰ANOVA!$K$14*SQRT(1+Y54)</f>
        <v>1.69434674594998</v>
      </c>
      <c r="AA54" s="0" t="n">
        <f aca="false">X54-Z54</f>
        <v>38.3611905347518</v>
      </c>
      <c r="AB54" s="0" t="n">
        <f aca="false">X54+Z54</f>
        <v>41.7498840266518</v>
      </c>
      <c r="AC54" s="54" t="b">
        <f aca="false">AND(E54&gt;=01_因子設定!$L$5-0.000000001,E54&lt;=01_因子設定!$M$5+0.000000001,F54&gt;=01_因子設定!$L$6-0.000000001,F54&lt;=01_因子設定!$M$6+0.000000001,G54&gt;=01_因子設定!$L$7-0.000000001,G54&lt;=01_因子設定!$M$7+0.000000001,H54&gt;=01_因子設定!$L$8-0.000000001,H54&lt;=01_因子設定!$M$8+0.000000001,IF(01_因子設定!$B$20="Box-Behnken",E54^2+F54^2+G54^2+H54^2&lt;=2+0.000000001,TRUE()))</f>
        <v>1</v>
      </c>
      <c r="AD54" s="55" t="n">
        <f aca="false">IF(AC54,IF(01_因子設定!$B$13="最大化",AA54-01_因子設定!$B$14,IF(01_因子設定!$B$13="最小化",01_因子設定!$B$15-AB54,MIN(AA54-01_因子設定!$B$14,01_因子設定!$B$15-AB54))),-1E+030)</f>
        <v>-8.13880946524821</v>
      </c>
      <c r="AE54" s="55" t="n">
        <f aca="false">IF(AC54,IF(01_因子設定!$B$13="最大化",X54,IF(01_因子設定!$B$13="最小化",-X54,-ABS(X54-01_因子設定!$B$16))),-1E+030)</f>
        <v>40.0555372807018</v>
      </c>
      <c r="AF54" s="55" t="n">
        <f aca="false">AD54+ROW()*0.000000001</f>
        <v>-8.13880941124821</v>
      </c>
      <c r="AG54" s="55" t="n">
        <f aca="false">AE54+ROW()*0.000000001</f>
        <v>40.0555373347018</v>
      </c>
    </row>
    <row r="55" customFormat="false" ht="15" hidden="false" customHeight="false" outlineLevel="0" collapsed="false">
      <c r="A55" s="0" t="n">
        <v>0</v>
      </c>
      <c r="B55" s="0" t="n">
        <v>0</v>
      </c>
      <c r="C55" s="0" t="n">
        <v>5</v>
      </c>
      <c r="D55" s="0" t="n">
        <v>5</v>
      </c>
      <c r="E55" s="0" t="n">
        <f aca="false">-1+A55*0.25</f>
        <v>-1</v>
      </c>
      <c r="F55" s="0" t="n">
        <f aca="false">-1+B55*0.25</f>
        <v>-1</v>
      </c>
      <c r="G55" s="0" t="n">
        <f aca="false">-1+C55*0.25</f>
        <v>0.25</v>
      </c>
      <c r="H55" s="0" t="n">
        <f aca="false">-1+D55*0.25</f>
        <v>0.25</v>
      </c>
      <c r="I55" s="0" t="n">
        <f aca="false">1</f>
        <v>1</v>
      </c>
      <c r="J55" s="0" t="n">
        <f aca="false">E55</f>
        <v>-1</v>
      </c>
      <c r="K55" s="0" t="n">
        <f aca="false">F55</f>
        <v>-1</v>
      </c>
      <c r="L55" s="0" t="n">
        <f aca="false">G55</f>
        <v>0.25</v>
      </c>
      <c r="M55" s="0" t="n">
        <f aca="false">H55</f>
        <v>0.25</v>
      </c>
      <c r="N55" s="0" t="n">
        <f aca="false">E55*F55</f>
        <v>1</v>
      </c>
      <c r="O55" s="0" t="n">
        <f aca="false">E55*G55</f>
        <v>-0.25</v>
      </c>
      <c r="P55" s="0" t="n">
        <f aca="false">E55*H55</f>
        <v>-0.25</v>
      </c>
      <c r="Q55" s="0" t="n">
        <f aca="false">F55*G55</f>
        <v>-0.25</v>
      </c>
      <c r="R55" s="0" t="n">
        <f aca="false">F55*H55</f>
        <v>-0.25</v>
      </c>
      <c r="S55" s="0" t="n">
        <f aca="false">G55*H55</f>
        <v>0.0625</v>
      </c>
      <c r="T55" s="0" t="n">
        <f aca="false">E55*E55</f>
        <v>1</v>
      </c>
      <c r="U55" s="0" t="n">
        <f aca="false">F55*F55</f>
        <v>1</v>
      </c>
      <c r="V55" s="0" t="n">
        <f aca="false">G55*G55</f>
        <v>0.0625</v>
      </c>
      <c r="W55" s="0" t="n">
        <f aca="false">H55*H55</f>
        <v>0.0625</v>
      </c>
      <c r="X55" s="0" t="n">
        <f aca="false">SUMPRODUCT(I55:W55,_XtX!$B$96:$P$96)</f>
        <v>40.1728664108187</v>
      </c>
      <c r="Y55" s="0" t="n">
        <f aca="false">SUMPRODUCT(MMULT(I55:W55,_XtX!$B$78:$P$92),I55:W55)</f>
        <v>0.670040376005117</v>
      </c>
      <c r="Z55" s="0" t="n">
        <f aca="false">04_回帰ANOVA!$K$19*04_回帰ANOVA!$K$14*SQRT(1+Y55)</f>
        <v>1.68446456039992</v>
      </c>
      <c r="AA55" s="0" t="n">
        <f aca="false">X55-Z55</f>
        <v>38.4884018504188</v>
      </c>
      <c r="AB55" s="0" t="n">
        <f aca="false">X55+Z55</f>
        <v>41.8573309712187</v>
      </c>
      <c r="AC55" s="54" t="b">
        <f aca="false">AND(E55&gt;=01_因子設定!$L$5-0.000000001,E55&lt;=01_因子設定!$M$5+0.000000001,F55&gt;=01_因子設定!$L$6-0.000000001,F55&lt;=01_因子設定!$M$6+0.000000001,G55&gt;=01_因子設定!$L$7-0.000000001,G55&lt;=01_因子設定!$M$7+0.000000001,H55&gt;=01_因子設定!$L$8-0.000000001,H55&lt;=01_因子設定!$M$8+0.000000001,IF(01_因子設定!$B$20="Box-Behnken",E55^2+F55^2+G55^2+H55^2&lt;=2+0.000000001,TRUE()))</f>
        <v>1</v>
      </c>
      <c r="AD55" s="55" t="n">
        <f aca="false">IF(AC55,IF(01_因子設定!$B$13="最大化",AA55-01_因子設定!$B$14,IF(01_因子設定!$B$13="最小化",01_因子設定!$B$15-AB55,MIN(AA55-01_因子設定!$B$14,01_因子設定!$B$15-AB55))),-1E+030)</f>
        <v>-8.01159814958118</v>
      </c>
      <c r="AE55" s="55" t="n">
        <f aca="false">IF(AC55,IF(01_因子設定!$B$13="最大化",X55,IF(01_因子設定!$B$13="最小化",-X55,-ABS(X55-01_因子設定!$B$16))),-1E+030)</f>
        <v>40.1728664108187</v>
      </c>
      <c r="AF55" s="55" t="n">
        <f aca="false">AD55+ROW()*0.000000001</f>
        <v>-8.01159809458118</v>
      </c>
      <c r="AG55" s="55" t="n">
        <f aca="false">AE55+ROW()*0.000000001</f>
        <v>40.1728664658187</v>
      </c>
    </row>
    <row r="56" customFormat="false" ht="15" hidden="false" customHeight="false" outlineLevel="0" collapsed="false">
      <c r="A56" s="0" t="n">
        <v>0</v>
      </c>
      <c r="B56" s="0" t="n">
        <v>0</v>
      </c>
      <c r="C56" s="0" t="n">
        <v>5</v>
      </c>
      <c r="D56" s="0" t="n">
        <v>6</v>
      </c>
      <c r="E56" s="0" t="n">
        <f aca="false">-1+A56*0.25</f>
        <v>-1</v>
      </c>
      <c r="F56" s="0" t="n">
        <f aca="false">-1+B56*0.25</f>
        <v>-1</v>
      </c>
      <c r="G56" s="0" t="n">
        <f aca="false">-1+C56*0.25</f>
        <v>0.25</v>
      </c>
      <c r="H56" s="0" t="n">
        <f aca="false">-1+D56*0.25</f>
        <v>0.5</v>
      </c>
      <c r="I56" s="0" t="n">
        <f aca="false">1</f>
        <v>1</v>
      </c>
      <c r="J56" s="0" t="n">
        <f aca="false">E56</f>
        <v>-1</v>
      </c>
      <c r="K56" s="0" t="n">
        <f aca="false">F56</f>
        <v>-1</v>
      </c>
      <c r="L56" s="0" t="n">
        <f aca="false">G56</f>
        <v>0.25</v>
      </c>
      <c r="M56" s="0" t="n">
        <f aca="false">H56</f>
        <v>0.5</v>
      </c>
      <c r="N56" s="0" t="n">
        <f aca="false">E56*F56</f>
        <v>1</v>
      </c>
      <c r="O56" s="0" t="n">
        <f aca="false">E56*G56</f>
        <v>-0.25</v>
      </c>
      <c r="P56" s="0" t="n">
        <f aca="false">E56*H56</f>
        <v>-0.5</v>
      </c>
      <c r="Q56" s="0" t="n">
        <f aca="false">F56*G56</f>
        <v>-0.25</v>
      </c>
      <c r="R56" s="0" t="n">
        <f aca="false">F56*H56</f>
        <v>-0.5</v>
      </c>
      <c r="S56" s="0" t="n">
        <f aca="false">G56*H56</f>
        <v>0.125</v>
      </c>
      <c r="T56" s="0" t="n">
        <f aca="false">E56*E56</f>
        <v>1</v>
      </c>
      <c r="U56" s="0" t="n">
        <f aca="false">F56*F56</f>
        <v>1</v>
      </c>
      <c r="V56" s="0" t="n">
        <f aca="false">G56*G56</f>
        <v>0.0625</v>
      </c>
      <c r="W56" s="0" t="n">
        <f aca="false">H56*H56</f>
        <v>0.25</v>
      </c>
      <c r="X56" s="0" t="n">
        <f aca="false">SUMPRODUCT(I56:W56,_XtX!$B$96:$P$96)</f>
        <v>40.2423885233918</v>
      </c>
      <c r="Y56" s="0" t="n">
        <f aca="false">SUMPRODUCT(MMULT(I56:W56,_XtX!$B$78:$P$92),I56:W56)</f>
        <v>0.629174661915205</v>
      </c>
      <c r="Z56" s="0" t="n">
        <f aca="false">04_回帰ANOVA!$K$19*04_回帰ANOVA!$K$14*SQRT(1+Y56)</f>
        <v>1.66372758058297</v>
      </c>
      <c r="AA56" s="0" t="n">
        <f aca="false">X56-Z56</f>
        <v>38.5786609428089</v>
      </c>
      <c r="AB56" s="0" t="n">
        <f aca="false">X56+Z56</f>
        <v>41.9061161039748</v>
      </c>
      <c r="AC56" s="54" t="b">
        <f aca="false">AND(E56&gt;=01_因子設定!$L$5-0.000000001,E56&lt;=01_因子設定!$M$5+0.000000001,F56&gt;=01_因子設定!$L$6-0.000000001,F56&lt;=01_因子設定!$M$6+0.000000001,G56&gt;=01_因子設定!$L$7-0.000000001,G56&lt;=01_因子設定!$M$7+0.000000001,H56&gt;=01_因子設定!$L$8-0.000000001,H56&lt;=01_因子設定!$M$8+0.000000001,IF(01_因子設定!$B$20="Box-Behnken",E56^2+F56^2+G56^2+H56^2&lt;=2+0.000000001,TRUE()))</f>
        <v>1</v>
      </c>
      <c r="AD56" s="55" t="n">
        <f aca="false">IF(AC56,IF(01_因子設定!$B$13="最大化",AA56-01_因子設定!$B$14,IF(01_因子設定!$B$13="最小化",01_因子設定!$B$15-AB56,MIN(AA56-01_因子設定!$B$14,01_因子設定!$B$15-AB56))),-1E+030)</f>
        <v>-7.92133905719113</v>
      </c>
      <c r="AE56" s="55" t="n">
        <f aca="false">IF(AC56,IF(01_因子設定!$B$13="最大化",X56,IF(01_因子設定!$B$13="最小化",-X56,-ABS(X56-01_因子設定!$B$16))),-1E+030)</f>
        <v>40.2423885233918</v>
      </c>
      <c r="AF56" s="55" t="n">
        <f aca="false">AD56+ROW()*0.000000001</f>
        <v>-7.92133900119113</v>
      </c>
      <c r="AG56" s="55" t="n">
        <f aca="false">AE56+ROW()*0.000000001</f>
        <v>40.2423885793918</v>
      </c>
    </row>
    <row r="57" customFormat="false" ht="15" hidden="false" customHeight="false" outlineLevel="0" collapsed="false">
      <c r="A57" s="0" t="n">
        <v>0</v>
      </c>
      <c r="B57" s="0" t="n">
        <v>0</v>
      </c>
      <c r="C57" s="0" t="n">
        <v>5</v>
      </c>
      <c r="D57" s="0" t="n">
        <v>7</v>
      </c>
      <c r="E57" s="0" t="n">
        <f aca="false">-1+A57*0.25</f>
        <v>-1</v>
      </c>
      <c r="F57" s="0" t="n">
        <f aca="false">-1+B57*0.25</f>
        <v>-1</v>
      </c>
      <c r="G57" s="0" t="n">
        <f aca="false">-1+C57*0.25</f>
        <v>0.25</v>
      </c>
      <c r="H57" s="0" t="n">
        <f aca="false">-1+D57*0.25</f>
        <v>0.75</v>
      </c>
      <c r="I57" s="0" t="n">
        <f aca="false">1</f>
        <v>1</v>
      </c>
      <c r="J57" s="0" t="n">
        <f aca="false">E57</f>
        <v>-1</v>
      </c>
      <c r="K57" s="0" t="n">
        <f aca="false">F57</f>
        <v>-1</v>
      </c>
      <c r="L57" s="0" t="n">
        <f aca="false">G57</f>
        <v>0.25</v>
      </c>
      <c r="M57" s="0" t="n">
        <f aca="false">H57</f>
        <v>0.75</v>
      </c>
      <c r="N57" s="0" t="n">
        <f aca="false">E57*F57</f>
        <v>1</v>
      </c>
      <c r="O57" s="0" t="n">
        <f aca="false">E57*G57</f>
        <v>-0.25</v>
      </c>
      <c r="P57" s="0" t="n">
        <f aca="false">E57*H57</f>
        <v>-0.75</v>
      </c>
      <c r="Q57" s="0" t="n">
        <f aca="false">F57*G57</f>
        <v>-0.25</v>
      </c>
      <c r="R57" s="0" t="n">
        <f aca="false">F57*H57</f>
        <v>-0.75</v>
      </c>
      <c r="S57" s="0" t="n">
        <f aca="false">G57*H57</f>
        <v>0.1875</v>
      </c>
      <c r="T57" s="0" t="n">
        <f aca="false">E57*E57</f>
        <v>1</v>
      </c>
      <c r="U57" s="0" t="n">
        <f aca="false">F57*F57</f>
        <v>1</v>
      </c>
      <c r="V57" s="0" t="n">
        <f aca="false">G57*G57</f>
        <v>0.0625</v>
      </c>
      <c r="W57" s="0" t="n">
        <f aca="false">H57*H57</f>
        <v>0.5625</v>
      </c>
      <c r="X57" s="0" t="n">
        <f aca="false">SUMPRODUCT(I57:W57,_XtX!$B$96:$P$96)</f>
        <v>40.2641036184211</v>
      </c>
      <c r="Y57" s="0" t="n">
        <f aca="false">SUMPRODUCT(MMULT(I57:W57,_XtX!$B$78:$P$92),I57:W57)</f>
        <v>0.621372155975877</v>
      </c>
      <c r="Z57" s="0" t="n">
        <f aca="false">04_回帰ANOVA!$K$19*04_回帰ANOVA!$K$14*SQRT(1+Y57)</f>
        <v>1.65973880499872</v>
      </c>
      <c r="AA57" s="0" t="n">
        <f aca="false">X57-Z57</f>
        <v>38.6043648134224</v>
      </c>
      <c r="AB57" s="0" t="n">
        <f aca="false">X57+Z57</f>
        <v>41.9238424234198</v>
      </c>
      <c r="AC57" s="54" t="b">
        <f aca="false">AND(E57&gt;=01_因子設定!$L$5-0.000000001,E57&lt;=01_因子設定!$M$5+0.000000001,F57&gt;=01_因子設定!$L$6-0.000000001,F57&lt;=01_因子設定!$M$6+0.000000001,G57&gt;=01_因子設定!$L$7-0.000000001,G57&lt;=01_因子設定!$M$7+0.000000001,H57&gt;=01_因子設定!$L$8-0.000000001,H57&lt;=01_因子設定!$M$8+0.000000001,IF(01_因子設定!$B$20="Box-Behnken",E57^2+F57^2+G57^2+H57^2&lt;=2+0.000000001,TRUE()))</f>
        <v>1</v>
      </c>
      <c r="AD57" s="55" t="n">
        <f aca="false">IF(AC57,IF(01_因子設定!$B$13="最大化",AA57-01_因子設定!$B$14,IF(01_因子設定!$B$13="最小化",01_因子設定!$B$15-AB57,MIN(AA57-01_因子設定!$B$14,01_因子設定!$B$15-AB57))),-1E+030)</f>
        <v>-7.89563518657762</v>
      </c>
      <c r="AE57" s="55" t="n">
        <f aca="false">IF(AC57,IF(01_因子設定!$B$13="最大化",X57,IF(01_因子設定!$B$13="最小化",-X57,-ABS(X57-01_因子設定!$B$16))),-1E+030)</f>
        <v>40.2641036184211</v>
      </c>
      <c r="AF57" s="55" t="n">
        <f aca="false">AD57+ROW()*0.000000001</f>
        <v>-7.89563512957762</v>
      </c>
      <c r="AG57" s="55" t="n">
        <f aca="false">AE57+ROW()*0.000000001</f>
        <v>40.2641036754211</v>
      </c>
    </row>
    <row r="58" customFormat="false" ht="15" hidden="false" customHeight="false" outlineLevel="0" collapsed="false">
      <c r="A58" s="0" t="n">
        <v>0</v>
      </c>
      <c r="B58" s="0" t="n">
        <v>0</v>
      </c>
      <c r="C58" s="0" t="n">
        <v>5</v>
      </c>
      <c r="D58" s="0" t="n">
        <v>8</v>
      </c>
      <c r="E58" s="0" t="n">
        <f aca="false">-1+A58*0.25</f>
        <v>-1</v>
      </c>
      <c r="F58" s="0" t="n">
        <f aca="false">-1+B58*0.25</f>
        <v>-1</v>
      </c>
      <c r="G58" s="0" t="n">
        <f aca="false">-1+C58*0.25</f>
        <v>0.25</v>
      </c>
      <c r="H58" s="0" t="n">
        <f aca="false">-1+D58*0.25</f>
        <v>1</v>
      </c>
      <c r="I58" s="0" t="n">
        <f aca="false">1</f>
        <v>1</v>
      </c>
      <c r="J58" s="0" t="n">
        <f aca="false">E58</f>
        <v>-1</v>
      </c>
      <c r="K58" s="0" t="n">
        <f aca="false">F58</f>
        <v>-1</v>
      </c>
      <c r="L58" s="0" t="n">
        <f aca="false">G58</f>
        <v>0.25</v>
      </c>
      <c r="M58" s="0" t="n">
        <f aca="false">H58</f>
        <v>1</v>
      </c>
      <c r="N58" s="0" t="n">
        <f aca="false">E58*F58</f>
        <v>1</v>
      </c>
      <c r="O58" s="0" t="n">
        <f aca="false">E58*G58</f>
        <v>-0.25</v>
      </c>
      <c r="P58" s="0" t="n">
        <f aca="false">E58*H58</f>
        <v>-1</v>
      </c>
      <c r="Q58" s="0" t="n">
        <f aca="false">F58*G58</f>
        <v>-0.25</v>
      </c>
      <c r="R58" s="0" t="n">
        <f aca="false">F58*H58</f>
        <v>-1</v>
      </c>
      <c r="S58" s="0" t="n">
        <f aca="false">G58*H58</f>
        <v>0.25</v>
      </c>
      <c r="T58" s="0" t="n">
        <f aca="false">E58*E58</f>
        <v>1</v>
      </c>
      <c r="U58" s="0" t="n">
        <f aca="false">F58*F58</f>
        <v>1</v>
      </c>
      <c r="V58" s="0" t="n">
        <f aca="false">G58*G58</f>
        <v>0.0625</v>
      </c>
      <c r="W58" s="0" t="n">
        <f aca="false">H58*H58</f>
        <v>1</v>
      </c>
      <c r="X58" s="0" t="n">
        <f aca="false">SUMPRODUCT(I58:W58,_XtX!$B$96:$P$96)</f>
        <v>40.2380116959065</v>
      </c>
      <c r="Y58" s="0" t="n">
        <f aca="false">SUMPRODUCT(MMULT(I58:W58,_XtX!$B$78:$P$92),I58:W58)</f>
        <v>0.737093384502924</v>
      </c>
      <c r="Z58" s="0" t="n">
        <f aca="false">04_回帰ANOVA!$K$19*04_回帰ANOVA!$K$14*SQRT(1+Y58)</f>
        <v>1.71794784853551</v>
      </c>
      <c r="AA58" s="0" t="n">
        <f aca="false">X58-Z58</f>
        <v>38.520063847371</v>
      </c>
      <c r="AB58" s="0" t="n">
        <f aca="false">X58+Z58</f>
        <v>41.955959544442</v>
      </c>
      <c r="AC58" s="54" t="b">
        <f aca="false">AND(E58&gt;=01_因子設定!$L$5-0.000000001,E58&lt;=01_因子設定!$M$5+0.000000001,F58&gt;=01_因子設定!$L$6-0.000000001,F58&lt;=01_因子設定!$M$6+0.000000001,G58&gt;=01_因子設定!$L$7-0.000000001,G58&lt;=01_因子設定!$M$7+0.000000001,H58&gt;=01_因子設定!$L$8-0.000000001,H58&lt;=01_因子設定!$M$8+0.000000001,IF(01_因子設定!$B$20="Box-Behnken",E58^2+F58^2+G58^2+H58^2&lt;=2+0.000000001,TRUE()))</f>
        <v>1</v>
      </c>
      <c r="AD58" s="55" t="n">
        <f aca="false">IF(AC58,IF(01_因子設定!$B$13="最大化",AA58-01_因子設定!$B$14,IF(01_因子設定!$B$13="最小化",01_因子設定!$B$15-AB58,MIN(AA58-01_因子設定!$B$14,01_因子設定!$B$15-AB58))),-1E+030)</f>
        <v>-7.97993615262901</v>
      </c>
      <c r="AE58" s="55" t="n">
        <f aca="false">IF(AC58,IF(01_因子設定!$B$13="最大化",X58,IF(01_因子設定!$B$13="最小化",-X58,-ABS(X58-01_因子設定!$B$16))),-1E+030)</f>
        <v>40.2380116959065</v>
      </c>
      <c r="AF58" s="55" t="n">
        <f aca="false">AD58+ROW()*0.000000001</f>
        <v>-7.97993609462901</v>
      </c>
      <c r="AG58" s="55" t="n">
        <f aca="false">AE58+ROW()*0.000000001</f>
        <v>40.2380117539065</v>
      </c>
    </row>
    <row r="59" customFormat="false" ht="15" hidden="false" customHeight="false" outlineLevel="0" collapsed="false">
      <c r="A59" s="0" t="n">
        <v>0</v>
      </c>
      <c r="B59" s="0" t="n">
        <v>0</v>
      </c>
      <c r="C59" s="0" t="n">
        <v>6</v>
      </c>
      <c r="D59" s="0" t="n">
        <v>0</v>
      </c>
      <c r="E59" s="0" t="n">
        <f aca="false">-1+A59*0.25</f>
        <v>-1</v>
      </c>
      <c r="F59" s="0" t="n">
        <f aca="false">-1+B59*0.25</f>
        <v>-1</v>
      </c>
      <c r="G59" s="0" t="n">
        <f aca="false">-1+C59*0.25</f>
        <v>0.5</v>
      </c>
      <c r="H59" s="0" t="n">
        <f aca="false">-1+D59*0.25</f>
        <v>-1</v>
      </c>
      <c r="I59" s="0" t="n">
        <f aca="false">1</f>
        <v>1</v>
      </c>
      <c r="J59" s="0" t="n">
        <f aca="false">E59</f>
        <v>-1</v>
      </c>
      <c r="K59" s="0" t="n">
        <f aca="false">F59</f>
        <v>-1</v>
      </c>
      <c r="L59" s="0" t="n">
        <f aca="false">G59</f>
        <v>0.5</v>
      </c>
      <c r="M59" s="0" t="n">
        <f aca="false">H59</f>
        <v>-1</v>
      </c>
      <c r="N59" s="0" t="n">
        <f aca="false">E59*F59</f>
        <v>1</v>
      </c>
      <c r="O59" s="0" t="n">
        <f aca="false">E59*G59</f>
        <v>-0.5</v>
      </c>
      <c r="P59" s="0" t="n">
        <f aca="false">E59*H59</f>
        <v>1</v>
      </c>
      <c r="Q59" s="0" t="n">
        <f aca="false">F59*G59</f>
        <v>-0.5</v>
      </c>
      <c r="R59" s="0" t="n">
        <f aca="false">F59*H59</f>
        <v>1</v>
      </c>
      <c r="S59" s="0" t="n">
        <f aca="false">G59*H59</f>
        <v>-0.5</v>
      </c>
      <c r="T59" s="0" t="n">
        <f aca="false">E59*E59</f>
        <v>1</v>
      </c>
      <c r="U59" s="0" t="n">
        <f aca="false">F59*F59</f>
        <v>1</v>
      </c>
      <c r="V59" s="0" t="n">
        <f aca="false">G59*G59</f>
        <v>0.25</v>
      </c>
      <c r="W59" s="0" t="n">
        <f aca="false">H59*H59</f>
        <v>1</v>
      </c>
      <c r="X59" s="0" t="n">
        <f aca="false">SUMPRODUCT(I59:W59,_XtX!$B$96:$P$96)</f>
        <v>39.2385233918129</v>
      </c>
      <c r="Y59" s="0" t="n">
        <f aca="false">SUMPRODUCT(MMULT(I59:W59,_XtX!$B$78:$P$92),I59:W59)</f>
        <v>0.667123538011696</v>
      </c>
      <c r="Z59" s="0" t="n">
        <f aca="false">04_回帰ANOVA!$K$19*04_回帰ANOVA!$K$14*SQRT(1+Y59)</f>
        <v>1.68299290213005</v>
      </c>
      <c r="AA59" s="0" t="n">
        <f aca="false">X59-Z59</f>
        <v>37.5555304896829</v>
      </c>
      <c r="AB59" s="0" t="n">
        <f aca="false">X59+Z59</f>
        <v>40.921516293943</v>
      </c>
      <c r="AC59" s="54" t="b">
        <f aca="false">AND(E59&gt;=01_因子設定!$L$5-0.000000001,E59&lt;=01_因子設定!$M$5+0.000000001,F59&gt;=01_因子設定!$L$6-0.000000001,F59&lt;=01_因子設定!$M$6+0.000000001,G59&gt;=01_因子設定!$L$7-0.000000001,G59&lt;=01_因子設定!$M$7+0.000000001,H59&gt;=01_因子設定!$L$8-0.000000001,H59&lt;=01_因子設定!$M$8+0.000000001,IF(01_因子設定!$B$20="Box-Behnken",E59^2+F59^2+G59^2+H59^2&lt;=2+0.000000001,TRUE()))</f>
        <v>1</v>
      </c>
      <c r="AD59" s="55" t="n">
        <f aca="false">IF(AC59,IF(01_因子設定!$B$13="最大化",AA59-01_因子設定!$B$14,IF(01_因子設定!$B$13="最小化",01_因子設定!$B$15-AB59,MIN(AA59-01_因子設定!$B$14,01_因子設定!$B$15-AB59))),-1E+030)</f>
        <v>-8.94446951031712</v>
      </c>
      <c r="AE59" s="55" t="n">
        <f aca="false">IF(AC59,IF(01_因子設定!$B$13="最大化",X59,IF(01_因子設定!$B$13="最小化",-X59,-ABS(X59-01_因子設定!$B$16))),-1E+030)</f>
        <v>39.2385233918129</v>
      </c>
      <c r="AF59" s="55" t="n">
        <f aca="false">AD59+ROW()*0.000000001</f>
        <v>-8.94446945131712</v>
      </c>
      <c r="AG59" s="55" t="n">
        <f aca="false">AE59+ROW()*0.000000001</f>
        <v>39.2385234508129</v>
      </c>
    </row>
    <row r="60" customFormat="false" ht="15" hidden="false" customHeight="false" outlineLevel="0" collapsed="false">
      <c r="A60" s="0" t="n">
        <v>0</v>
      </c>
      <c r="B60" s="0" t="n">
        <v>0</v>
      </c>
      <c r="C60" s="0" t="n">
        <v>6</v>
      </c>
      <c r="D60" s="0" t="n">
        <v>1</v>
      </c>
      <c r="E60" s="0" t="n">
        <f aca="false">-1+A60*0.25</f>
        <v>-1</v>
      </c>
      <c r="F60" s="0" t="n">
        <f aca="false">-1+B60*0.25</f>
        <v>-1</v>
      </c>
      <c r="G60" s="0" t="n">
        <f aca="false">-1+C60*0.25</f>
        <v>0.5</v>
      </c>
      <c r="H60" s="0" t="n">
        <f aca="false">-1+D60*0.25</f>
        <v>-0.75</v>
      </c>
      <c r="I60" s="0" t="n">
        <f aca="false">1</f>
        <v>1</v>
      </c>
      <c r="J60" s="0" t="n">
        <f aca="false">E60</f>
        <v>-1</v>
      </c>
      <c r="K60" s="0" t="n">
        <f aca="false">F60</f>
        <v>-1</v>
      </c>
      <c r="L60" s="0" t="n">
        <f aca="false">G60</f>
        <v>0.5</v>
      </c>
      <c r="M60" s="0" t="n">
        <f aca="false">H60</f>
        <v>-0.75</v>
      </c>
      <c r="N60" s="0" t="n">
        <f aca="false">E60*F60</f>
        <v>1</v>
      </c>
      <c r="O60" s="0" t="n">
        <f aca="false">E60*G60</f>
        <v>-0.5</v>
      </c>
      <c r="P60" s="0" t="n">
        <f aca="false">E60*H60</f>
        <v>0.75</v>
      </c>
      <c r="Q60" s="0" t="n">
        <f aca="false">F60*G60</f>
        <v>-0.5</v>
      </c>
      <c r="R60" s="0" t="n">
        <f aca="false">F60*H60</f>
        <v>0.75</v>
      </c>
      <c r="S60" s="0" t="n">
        <f aca="false">G60*H60</f>
        <v>-0.375</v>
      </c>
      <c r="T60" s="0" t="n">
        <f aca="false">E60*E60</f>
        <v>1</v>
      </c>
      <c r="U60" s="0" t="n">
        <f aca="false">F60*F60</f>
        <v>1</v>
      </c>
      <c r="V60" s="0" t="n">
        <f aca="false">G60*G60</f>
        <v>0.25</v>
      </c>
      <c r="W60" s="0" t="n">
        <f aca="false">H60*H60</f>
        <v>0.5625</v>
      </c>
      <c r="X60" s="0" t="n">
        <f aca="false">SUMPRODUCT(I60:W60,_XtX!$B$96:$P$96)</f>
        <v>39.5650493421053</v>
      </c>
      <c r="Y60" s="0" t="n">
        <f aca="false">SUMPRODUCT(MMULT(I60:W60,_XtX!$B$78:$P$92),I60:W60)</f>
        <v>0.564984237938597</v>
      </c>
      <c r="Z60" s="0" t="n">
        <f aca="false">04_回帰ANOVA!$K$19*04_回帰ANOVA!$K$14*SQRT(1+Y60)</f>
        <v>1.63062229734503</v>
      </c>
      <c r="AA60" s="0" t="n">
        <f aca="false">X60-Z60</f>
        <v>37.9344270447603</v>
      </c>
      <c r="AB60" s="0" t="n">
        <f aca="false">X60+Z60</f>
        <v>41.1956716394503</v>
      </c>
      <c r="AC60" s="54" t="b">
        <f aca="false">AND(E60&gt;=01_因子設定!$L$5-0.000000001,E60&lt;=01_因子設定!$M$5+0.000000001,F60&gt;=01_因子設定!$L$6-0.000000001,F60&lt;=01_因子設定!$M$6+0.000000001,G60&gt;=01_因子設定!$L$7-0.000000001,G60&lt;=01_因子設定!$M$7+0.000000001,H60&gt;=01_因子設定!$L$8-0.000000001,H60&lt;=01_因子設定!$M$8+0.000000001,IF(01_因子設定!$B$20="Box-Behnken",E60^2+F60^2+G60^2+H60^2&lt;=2+0.000000001,TRUE()))</f>
        <v>1</v>
      </c>
      <c r="AD60" s="55" t="n">
        <f aca="false">IF(AC60,IF(01_因子設定!$B$13="最大化",AA60-01_因子設定!$B$14,IF(01_因子設定!$B$13="最小化",01_因子設定!$B$15-AB60,MIN(AA60-01_因子設定!$B$14,01_因子設定!$B$15-AB60))),-1E+030)</f>
        <v>-8.56557295523972</v>
      </c>
      <c r="AE60" s="55" t="n">
        <f aca="false">IF(AC60,IF(01_因子設定!$B$13="最大化",X60,IF(01_因子設定!$B$13="最小化",-X60,-ABS(X60-01_因子設定!$B$16))),-1E+030)</f>
        <v>39.5650493421053</v>
      </c>
      <c r="AF60" s="55" t="n">
        <f aca="false">AD60+ROW()*0.000000001</f>
        <v>-8.56557289523972</v>
      </c>
      <c r="AG60" s="55" t="n">
        <f aca="false">AE60+ROW()*0.000000001</f>
        <v>39.5650494021053</v>
      </c>
    </row>
    <row r="61" customFormat="false" ht="15" hidden="false" customHeight="false" outlineLevel="0" collapsed="false">
      <c r="A61" s="0" t="n">
        <v>0</v>
      </c>
      <c r="B61" s="0" t="n">
        <v>0</v>
      </c>
      <c r="C61" s="0" t="n">
        <v>6</v>
      </c>
      <c r="D61" s="0" t="n">
        <v>2</v>
      </c>
      <c r="E61" s="0" t="n">
        <f aca="false">-1+A61*0.25</f>
        <v>-1</v>
      </c>
      <c r="F61" s="0" t="n">
        <f aca="false">-1+B61*0.25</f>
        <v>-1</v>
      </c>
      <c r="G61" s="0" t="n">
        <f aca="false">-1+C61*0.25</f>
        <v>0.5</v>
      </c>
      <c r="H61" s="0" t="n">
        <f aca="false">-1+D61*0.25</f>
        <v>-0.5</v>
      </c>
      <c r="I61" s="0" t="n">
        <f aca="false">1</f>
        <v>1</v>
      </c>
      <c r="J61" s="0" t="n">
        <f aca="false">E61</f>
        <v>-1</v>
      </c>
      <c r="K61" s="0" t="n">
        <f aca="false">F61</f>
        <v>-1</v>
      </c>
      <c r="L61" s="0" t="n">
        <f aca="false">G61</f>
        <v>0.5</v>
      </c>
      <c r="M61" s="0" t="n">
        <f aca="false">H61</f>
        <v>-0.5</v>
      </c>
      <c r="N61" s="0" t="n">
        <f aca="false">E61*F61</f>
        <v>1</v>
      </c>
      <c r="O61" s="0" t="n">
        <f aca="false">E61*G61</f>
        <v>-0.5</v>
      </c>
      <c r="P61" s="0" t="n">
        <f aca="false">E61*H61</f>
        <v>0.5</v>
      </c>
      <c r="Q61" s="0" t="n">
        <f aca="false">F61*G61</f>
        <v>-0.5</v>
      </c>
      <c r="R61" s="0" t="n">
        <f aca="false">F61*H61</f>
        <v>0.5</v>
      </c>
      <c r="S61" s="0" t="n">
        <f aca="false">G61*H61</f>
        <v>-0.25</v>
      </c>
      <c r="T61" s="0" t="n">
        <f aca="false">E61*E61</f>
        <v>1</v>
      </c>
      <c r="U61" s="0" t="n">
        <f aca="false">F61*F61</f>
        <v>1</v>
      </c>
      <c r="V61" s="0" t="n">
        <f aca="false">G61*G61</f>
        <v>0.25</v>
      </c>
      <c r="W61" s="0" t="n">
        <f aca="false">H61*H61</f>
        <v>0.25</v>
      </c>
      <c r="X61" s="0" t="n">
        <f aca="false">SUMPRODUCT(I61:W61,_XtX!$B$96:$P$96)</f>
        <v>39.8437682748538</v>
      </c>
      <c r="Y61" s="0" t="n">
        <f aca="false">SUMPRODUCT(MMULT(I61:W61,_XtX!$B$78:$P$92),I61:W61)</f>
        <v>0.582488121345029</v>
      </c>
      <c r="Z61" s="0" t="n">
        <f aca="false">04_回帰ANOVA!$K$19*04_回帰ANOVA!$K$14*SQRT(1+Y61)</f>
        <v>1.63971595338287</v>
      </c>
      <c r="AA61" s="0" t="n">
        <f aca="false">X61-Z61</f>
        <v>38.204052321471</v>
      </c>
      <c r="AB61" s="0" t="n">
        <f aca="false">X61+Z61</f>
        <v>41.4834842282367</v>
      </c>
      <c r="AC61" s="54" t="b">
        <f aca="false">AND(E61&gt;=01_因子設定!$L$5-0.000000001,E61&lt;=01_因子設定!$M$5+0.000000001,F61&gt;=01_因子設定!$L$6-0.000000001,F61&lt;=01_因子設定!$M$6+0.000000001,G61&gt;=01_因子設定!$L$7-0.000000001,G61&lt;=01_因子設定!$M$7+0.000000001,H61&gt;=01_因子設定!$L$8-0.000000001,H61&lt;=01_因子設定!$M$8+0.000000001,IF(01_因子設定!$B$20="Box-Behnken",E61^2+F61^2+G61^2+H61^2&lt;=2+0.000000001,TRUE()))</f>
        <v>1</v>
      </c>
      <c r="AD61" s="55" t="n">
        <f aca="false">IF(AC61,IF(01_因子設定!$B$13="最大化",AA61-01_因子設定!$B$14,IF(01_因子設定!$B$13="最小化",01_因子設定!$B$15-AB61,MIN(AA61-01_因子設定!$B$14,01_因子設定!$B$15-AB61))),-1E+030)</f>
        <v>-8.29594767852903</v>
      </c>
      <c r="AE61" s="55" t="n">
        <f aca="false">IF(AC61,IF(01_因子設定!$B$13="最大化",X61,IF(01_因子設定!$B$13="最小化",-X61,-ABS(X61-01_因子設定!$B$16))),-1E+030)</f>
        <v>39.8437682748538</v>
      </c>
      <c r="AF61" s="55" t="n">
        <f aca="false">AD61+ROW()*0.000000001</f>
        <v>-8.29594761752903</v>
      </c>
      <c r="AG61" s="55" t="n">
        <f aca="false">AE61+ROW()*0.000000001</f>
        <v>39.8437683358538</v>
      </c>
    </row>
    <row r="62" customFormat="false" ht="15" hidden="false" customHeight="false" outlineLevel="0" collapsed="false">
      <c r="A62" s="0" t="n">
        <v>0</v>
      </c>
      <c r="B62" s="0" t="n">
        <v>0</v>
      </c>
      <c r="C62" s="0" t="n">
        <v>6</v>
      </c>
      <c r="D62" s="0" t="n">
        <v>3</v>
      </c>
      <c r="E62" s="0" t="n">
        <f aca="false">-1+A62*0.25</f>
        <v>-1</v>
      </c>
      <c r="F62" s="0" t="n">
        <f aca="false">-1+B62*0.25</f>
        <v>-1</v>
      </c>
      <c r="G62" s="0" t="n">
        <f aca="false">-1+C62*0.25</f>
        <v>0.5</v>
      </c>
      <c r="H62" s="0" t="n">
        <f aca="false">-1+D62*0.25</f>
        <v>-0.25</v>
      </c>
      <c r="I62" s="0" t="n">
        <f aca="false">1</f>
        <v>1</v>
      </c>
      <c r="J62" s="0" t="n">
        <f aca="false">E62</f>
        <v>-1</v>
      </c>
      <c r="K62" s="0" t="n">
        <f aca="false">F62</f>
        <v>-1</v>
      </c>
      <c r="L62" s="0" t="n">
        <f aca="false">G62</f>
        <v>0.5</v>
      </c>
      <c r="M62" s="0" t="n">
        <f aca="false">H62</f>
        <v>-0.25</v>
      </c>
      <c r="N62" s="0" t="n">
        <f aca="false">E62*F62</f>
        <v>1</v>
      </c>
      <c r="O62" s="0" t="n">
        <f aca="false">E62*G62</f>
        <v>-0.5</v>
      </c>
      <c r="P62" s="0" t="n">
        <f aca="false">E62*H62</f>
        <v>0.25</v>
      </c>
      <c r="Q62" s="0" t="n">
        <f aca="false">F62*G62</f>
        <v>-0.5</v>
      </c>
      <c r="R62" s="0" t="n">
        <f aca="false">F62*H62</f>
        <v>0.25</v>
      </c>
      <c r="S62" s="0" t="n">
        <f aca="false">G62*H62</f>
        <v>-0.125</v>
      </c>
      <c r="T62" s="0" t="n">
        <f aca="false">E62*E62</f>
        <v>1</v>
      </c>
      <c r="U62" s="0" t="n">
        <f aca="false">F62*F62</f>
        <v>1</v>
      </c>
      <c r="V62" s="0" t="n">
        <f aca="false">G62*G62</f>
        <v>0.25</v>
      </c>
      <c r="W62" s="0" t="n">
        <f aca="false">H62*H62</f>
        <v>0.0625</v>
      </c>
      <c r="X62" s="0" t="n">
        <f aca="false">SUMPRODUCT(I62:W62,_XtX!$B$96:$P$96)</f>
        <v>40.0746801900585</v>
      </c>
      <c r="Y62" s="0" t="n">
        <f aca="false">SUMPRODUCT(MMULT(I62:W62,_XtX!$B$78:$P$92),I62:W62)</f>
        <v>0.629174661915205</v>
      </c>
      <c r="Z62" s="0" t="n">
        <f aca="false">04_回帰ANOVA!$K$19*04_回帰ANOVA!$K$14*SQRT(1+Y62)</f>
        <v>1.66372758058297</v>
      </c>
      <c r="AA62" s="0" t="n">
        <f aca="false">X62-Z62</f>
        <v>38.4109526094755</v>
      </c>
      <c r="AB62" s="0" t="n">
        <f aca="false">X62+Z62</f>
        <v>41.7384077706415</v>
      </c>
      <c r="AC62" s="54" t="b">
        <f aca="false">AND(E62&gt;=01_因子設定!$L$5-0.000000001,E62&lt;=01_因子設定!$M$5+0.000000001,F62&gt;=01_因子設定!$L$6-0.000000001,F62&lt;=01_因子設定!$M$6+0.000000001,G62&gt;=01_因子設定!$L$7-0.000000001,G62&lt;=01_因子設定!$M$7+0.000000001,H62&gt;=01_因子設定!$L$8-0.000000001,H62&lt;=01_因子設定!$M$8+0.000000001,IF(01_因子設定!$B$20="Box-Behnken",E62^2+F62^2+G62^2+H62^2&lt;=2+0.000000001,TRUE()))</f>
        <v>1</v>
      </c>
      <c r="AD62" s="55" t="n">
        <f aca="false">IF(AC62,IF(01_因子設定!$B$13="最大化",AA62-01_因子設定!$B$14,IF(01_因子設定!$B$13="最小化",01_因子設定!$B$15-AB62,MIN(AA62-01_因子設定!$B$14,01_因子設定!$B$15-AB62))),-1E+030)</f>
        <v>-8.08904739052446</v>
      </c>
      <c r="AE62" s="55" t="n">
        <f aca="false">IF(AC62,IF(01_因子設定!$B$13="最大化",X62,IF(01_因子設定!$B$13="最小化",-X62,-ABS(X62-01_因子設定!$B$16))),-1E+030)</f>
        <v>40.0746801900585</v>
      </c>
      <c r="AF62" s="55" t="n">
        <f aca="false">AD62+ROW()*0.000000001</f>
        <v>-8.08904732852446</v>
      </c>
      <c r="AG62" s="55" t="n">
        <f aca="false">AE62+ROW()*0.000000001</f>
        <v>40.0746802520585</v>
      </c>
    </row>
    <row r="63" customFormat="false" ht="15" hidden="false" customHeight="false" outlineLevel="0" collapsed="false">
      <c r="A63" s="0" t="n">
        <v>0</v>
      </c>
      <c r="B63" s="0" t="n">
        <v>0</v>
      </c>
      <c r="C63" s="0" t="n">
        <v>6</v>
      </c>
      <c r="D63" s="0" t="n">
        <v>4</v>
      </c>
      <c r="E63" s="0" t="n">
        <f aca="false">-1+A63*0.25</f>
        <v>-1</v>
      </c>
      <c r="F63" s="0" t="n">
        <f aca="false">-1+B63*0.25</f>
        <v>-1</v>
      </c>
      <c r="G63" s="0" t="n">
        <f aca="false">-1+C63*0.25</f>
        <v>0.5</v>
      </c>
      <c r="H63" s="0" t="n">
        <f aca="false">-1+D63*0.25</f>
        <v>0</v>
      </c>
      <c r="I63" s="0" t="n">
        <f aca="false">1</f>
        <v>1</v>
      </c>
      <c r="J63" s="0" t="n">
        <f aca="false">E63</f>
        <v>-1</v>
      </c>
      <c r="K63" s="0" t="n">
        <f aca="false">F63</f>
        <v>-1</v>
      </c>
      <c r="L63" s="0" t="n">
        <f aca="false">G63</f>
        <v>0.5</v>
      </c>
      <c r="M63" s="0" t="n">
        <f aca="false">H63</f>
        <v>0</v>
      </c>
      <c r="N63" s="0" t="n">
        <f aca="false">E63*F63</f>
        <v>1</v>
      </c>
      <c r="O63" s="0" t="n">
        <f aca="false">E63*G63</f>
        <v>-0.5</v>
      </c>
      <c r="P63" s="0" t="n">
        <f aca="false">E63*H63</f>
        <v>-0</v>
      </c>
      <c r="Q63" s="0" t="n">
        <f aca="false">F63*G63</f>
        <v>-0.5</v>
      </c>
      <c r="R63" s="0" t="n">
        <f aca="false">F63*H63</f>
        <v>-0</v>
      </c>
      <c r="S63" s="0" t="n">
        <f aca="false">G63*H63</f>
        <v>0</v>
      </c>
      <c r="T63" s="0" t="n">
        <f aca="false">E63*E63</f>
        <v>1</v>
      </c>
      <c r="U63" s="0" t="n">
        <f aca="false">F63*F63</f>
        <v>1</v>
      </c>
      <c r="V63" s="0" t="n">
        <f aca="false">G63*G63</f>
        <v>0.25</v>
      </c>
      <c r="W63" s="0" t="n">
        <f aca="false">H63*H63</f>
        <v>0</v>
      </c>
      <c r="X63" s="0" t="n">
        <f aca="false">SUMPRODUCT(I63:W63,_XtX!$B$96:$P$96)</f>
        <v>40.2577850877193</v>
      </c>
      <c r="Y63" s="0" t="n">
        <f aca="false">SUMPRODUCT(MMULT(I63:W63,_XtX!$B$78:$P$92),I63:W63)</f>
        <v>0.650767543859649</v>
      </c>
      <c r="Z63" s="0" t="n">
        <f aca="false">04_回帰ANOVA!$K$19*04_回帰ANOVA!$K$14*SQRT(1+Y63)</f>
        <v>1.67471670935165</v>
      </c>
      <c r="AA63" s="0" t="n">
        <f aca="false">X63-Z63</f>
        <v>38.5830683783677</v>
      </c>
      <c r="AB63" s="0" t="n">
        <f aca="false">X63+Z63</f>
        <v>41.932501797071</v>
      </c>
      <c r="AC63" s="54" t="b">
        <f aca="false">AND(E63&gt;=01_因子設定!$L$5-0.000000001,E63&lt;=01_因子設定!$M$5+0.000000001,F63&gt;=01_因子設定!$L$6-0.000000001,F63&lt;=01_因子設定!$M$6+0.000000001,G63&gt;=01_因子設定!$L$7-0.000000001,G63&lt;=01_因子設定!$M$7+0.000000001,H63&gt;=01_因子設定!$L$8-0.000000001,H63&lt;=01_因子設定!$M$8+0.000000001,IF(01_因子設定!$B$20="Box-Behnken",E63^2+F63^2+G63^2+H63^2&lt;=2+0.000000001,TRUE()))</f>
        <v>1</v>
      </c>
      <c r="AD63" s="55" t="n">
        <f aca="false">IF(AC63,IF(01_因子設定!$B$13="最大化",AA63-01_因子設定!$B$14,IF(01_因子設定!$B$13="最小化",01_因子設定!$B$15-AB63,MIN(AA63-01_因子設定!$B$14,01_因子設定!$B$15-AB63))),-1E+030)</f>
        <v>-7.91693162163232</v>
      </c>
      <c r="AE63" s="55" t="n">
        <f aca="false">IF(AC63,IF(01_因子設定!$B$13="最大化",X63,IF(01_因子設定!$B$13="最小化",-X63,-ABS(X63-01_因子設定!$B$16))),-1E+030)</f>
        <v>40.2577850877193</v>
      </c>
      <c r="AF63" s="55" t="n">
        <f aca="false">AD63+ROW()*0.000000001</f>
        <v>-7.91693155863232</v>
      </c>
      <c r="AG63" s="55" t="n">
        <f aca="false">AE63+ROW()*0.000000001</f>
        <v>40.2577851507193</v>
      </c>
    </row>
    <row r="64" customFormat="false" ht="15" hidden="false" customHeight="false" outlineLevel="0" collapsed="false">
      <c r="A64" s="0" t="n">
        <v>0</v>
      </c>
      <c r="B64" s="0" t="n">
        <v>0</v>
      </c>
      <c r="C64" s="0" t="n">
        <v>6</v>
      </c>
      <c r="D64" s="0" t="n">
        <v>5</v>
      </c>
      <c r="E64" s="0" t="n">
        <f aca="false">-1+A64*0.25</f>
        <v>-1</v>
      </c>
      <c r="F64" s="0" t="n">
        <f aca="false">-1+B64*0.25</f>
        <v>-1</v>
      </c>
      <c r="G64" s="0" t="n">
        <f aca="false">-1+C64*0.25</f>
        <v>0.5</v>
      </c>
      <c r="H64" s="0" t="n">
        <f aca="false">-1+D64*0.25</f>
        <v>0.25</v>
      </c>
      <c r="I64" s="0" t="n">
        <f aca="false">1</f>
        <v>1</v>
      </c>
      <c r="J64" s="0" t="n">
        <f aca="false">E64</f>
        <v>-1</v>
      </c>
      <c r="K64" s="0" t="n">
        <f aca="false">F64</f>
        <v>-1</v>
      </c>
      <c r="L64" s="0" t="n">
        <f aca="false">G64</f>
        <v>0.5</v>
      </c>
      <c r="M64" s="0" t="n">
        <f aca="false">H64</f>
        <v>0.25</v>
      </c>
      <c r="N64" s="0" t="n">
        <f aca="false">E64*F64</f>
        <v>1</v>
      </c>
      <c r="O64" s="0" t="n">
        <f aca="false">E64*G64</f>
        <v>-0.5</v>
      </c>
      <c r="P64" s="0" t="n">
        <f aca="false">E64*H64</f>
        <v>-0.25</v>
      </c>
      <c r="Q64" s="0" t="n">
        <f aca="false">F64*G64</f>
        <v>-0.5</v>
      </c>
      <c r="R64" s="0" t="n">
        <f aca="false">F64*H64</f>
        <v>-0.25</v>
      </c>
      <c r="S64" s="0" t="n">
        <f aca="false">G64*H64</f>
        <v>0.125</v>
      </c>
      <c r="T64" s="0" t="n">
        <f aca="false">E64*E64</f>
        <v>1</v>
      </c>
      <c r="U64" s="0" t="n">
        <f aca="false">F64*F64</f>
        <v>1</v>
      </c>
      <c r="V64" s="0" t="n">
        <f aca="false">G64*G64</f>
        <v>0.25</v>
      </c>
      <c r="W64" s="0" t="n">
        <f aca="false">H64*H64</f>
        <v>0.0625</v>
      </c>
      <c r="X64" s="0" t="n">
        <f aca="false">SUMPRODUCT(I64:W64,_XtX!$B$96:$P$96)</f>
        <v>40.3930829678363</v>
      </c>
      <c r="Y64" s="0" t="n">
        <f aca="false">SUMPRODUCT(MMULT(I64:W64,_XtX!$B$78:$P$92),I64:W64)</f>
        <v>0.629174661915205</v>
      </c>
      <c r="Z64" s="0" t="n">
        <f aca="false">04_回帰ANOVA!$K$19*04_回帰ANOVA!$K$14*SQRT(1+Y64)</f>
        <v>1.66372758058297</v>
      </c>
      <c r="AA64" s="0" t="n">
        <f aca="false">X64-Z64</f>
        <v>38.7293553872533</v>
      </c>
      <c r="AB64" s="0" t="n">
        <f aca="false">X64+Z64</f>
        <v>42.0568105484193</v>
      </c>
      <c r="AC64" s="54" t="b">
        <f aca="false">AND(E64&gt;=01_因子設定!$L$5-0.000000001,E64&lt;=01_因子設定!$M$5+0.000000001,F64&gt;=01_因子設定!$L$6-0.000000001,F64&lt;=01_因子設定!$M$6+0.000000001,G64&gt;=01_因子設定!$L$7-0.000000001,G64&lt;=01_因子設定!$M$7+0.000000001,H64&gt;=01_因子設定!$L$8-0.000000001,H64&lt;=01_因子設定!$M$8+0.000000001,IF(01_因子設定!$B$20="Box-Behnken",E64^2+F64^2+G64^2+H64^2&lt;=2+0.000000001,TRUE()))</f>
        <v>1</v>
      </c>
      <c r="AD64" s="55" t="n">
        <f aca="false">IF(AC64,IF(01_因子設定!$B$13="最大化",AA64-01_因子設定!$B$14,IF(01_因子設定!$B$13="最小化",01_因子設定!$B$15-AB64,MIN(AA64-01_因子設定!$B$14,01_因子設定!$B$15-AB64))),-1E+030)</f>
        <v>-7.77064461274669</v>
      </c>
      <c r="AE64" s="55" t="n">
        <f aca="false">IF(AC64,IF(01_因子設定!$B$13="最大化",X64,IF(01_因子設定!$B$13="最小化",-X64,-ABS(X64-01_因子設定!$B$16))),-1E+030)</f>
        <v>40.3930829678363</v>
      </c>
      <c r="AF64" s="55" t="n">
        <f aca="false">AD64+ROW()*0.000000001</f>
        <v>-7.77064454874669</v>
      </c>
      <c r="AG64" s="55" t="n">
        <f aca="false">AE64+ROW()*0.000000001</f>
        <v>40.3930830318363</v>
      </c>
    </row>
    <row r="65" customFormat="false" ht="15" hidden="false" customHeight="false" outlineLevel="0" collapsed="false">
      <c r="A65" s="0" t="n">
        <v>0</v>
      </c>
      <c r="B65" s="0" t="n">
        <v>0</v>
      </c>
      <c r="C65" s="0" t="n">
        <v>6</v>
      </c>
      <c r="D65" s="0" t="n">
        <v>6</v>
      </c>
      <c r="E65" s="0" t="n">
        <f aca="false">-1+A65*0.25</f>
        <v>-1</v>
      </c>
      <c r="F65" s="0" t="n">
        <f aca="false">-1+B65*0.25</f>
        <v>-1</v>
      </c>
      <c r="G65" s="0" t="n">
        <f aca="false">-1+C65*0.25</f>
        <v>0.5</v>
      </c>
      <c r="H65" s="0" t="n">
        <f aca="false">-1+D65*0.25</f>
        <v>0.5</v>
      </c>
      <c r="I65" s="0" t="n">
        <f aca="false">1</f>
        <v>1</v>
      </c>
      <c r="J65" s="0" t="n">
        <f aca="false">E65</f>
        <v>-1</v>
      </c>
      <c r="K65" s="0" t="n">
        <f aca="false">F65</f>
        <v>-1</v>
      </c>
      <c r="L65" s="0" t="n">
        <f aca="false">G65</f>
        <v>0.5</v>
      </c>
      <c r="M65" s="0" t="n">
        <f aca="false">H65</f>
        <v>0.5</v>
      </c>
      <c r="N65" s="0" t="n">
        <f aca="false">E65*F65</f>
        <v>1</v>
      </c>
      <c r="O65" s="0" t="n">
        <f aca="false">E65*G65</f>
        <v>-0.5</v>
      </c>
      <c r="P65" s="0" t="n">
        <f aca="false">E65*H65</f>
        <v>-0.5</v>
      </c>
      <c r="Q65" s="0" t="n">
        <f aca="false">F65*G65</f>
        <v>-0.5</v>
      </c>
      <c r="R65" s="0" t="n">
        <f aca="false">F65*H65</f>
        <v>-0.5</v>
      </c>
      <c r="S65" s="0" t="n">
        <f aca="false">G65*H65</f>
        <v>0.25</v>
      </c>
      <c r="T65" s="0" t="n">
        <f aca="false">E65*E65</f>
        <v>1</v>
      </c>
      <c r="U65" s="0" t="n">
        <f aca="false">F65*F65</f>
        <v>1</v>
      </c>
      <c r="V65" s="0" t="n">
        <f aca="false">G65*G65</f>
        <v>0.25</v>
      </c>
      <c r="W65" s="0" t="n">
        <f aca="false">H65*H65</f>
        <v>0.25</v>
      </c>
      <c r="X65" s="0" t="n">
        <f aca="false">SUMPRODUCT(I65:W65,_XtX!$B$96:$P$96)</f>
        <v>40.4805738304094</v>
      </c>
      <c r="Y65" s="0" t="n">
        <f aca="false">SUMPRODUCT(MMULT(I65:W65,_XtX!$B$78:$P$92),I65:W65)</f>
        <v>0.582488121345029</v>
      </c>
      <c r="Z65" s="0" t="n">
        <f aca="false">04_回帰ANOVA!$K$19*04_回帰ANOVA!$K$14*SQRT(1+Y65)</f>
        <v>1.63971595338287</v>
      </c>
      <c r="AA65" s="0" t="n">
        <f aca="false">X65-Z65</f>
        <v>38.8408578770265</v>
      </c>
      <c r="AB65" s="0" t="n">
        <f aca="false">X65+Z65</f>
        <v>42.1202897837923</v>
      </c>
      <c r="AC65" s="54" t="b">
        <f aca="false">AND(E65&gt;=01_因子設定!$L$5-0.000000001,E65&lt;=01_因子設定!$M$5+0.000000001,F65&gt;=01_因子設定!$L$6-0.000000001,F65&lt;=01_因子設定!$M$6+0.000000001,G65&gt;=01_因子設定!$L$7-0.000000001,G65&lt;=01_因子設定!$M$7+0.000000001,H65&gt;=01_因子設定!$L$8-0.000000001,H65&lt;=01_因子設定!$M$8+0.000000001,IF(01_因子設定!$B$20="Box-Behnken",E65^2+F65^2+G65^2+H65^2&lt;=2+0.000000001,TRUE()))</f>
        <v>1</v>
      </c>
      <c r="AD65" s="55" t="n">
        <f aca="false">IF(AC65,IF(01_因子設定!$B$13="最大化",AA65-01_因子設定!$B$14,IF(01_因子設定!$B$13="最小化",01_因子設定!$B$15-AB65,MIN(AA65-01_因子設定!$B$14,01_因子設定!$B$15-AB65))),-1E+030)</f>
        <v>-7.65914212297348</v>
      </c>
      <c r="AE65" s="55" t="n">
        <f aca="false">IF(AC65,IF(01_因子設定!$B$13="最大化",X65,IF(01_因子設定!$B$13="最小化",-X65,-ABS(X65-01_因子設定!$B$16))),-1E+030)</f>
        <v>40.4805738304094</v>
      </c>
      <c r="AF65" s="55" t="n">
        <f aca="false">AD65+ROW()*0.000000001</f>
        <v>-7.65914205797348</v>
      </c>
      <c r="AG65" s="55" t="n">
        <f aca="false">AE65+ROW()*0.000000001</f>
        <v>40.4805738954094</v>
      </c>
    </row>
    <row r="66" customFormat="false" ht="15" hidden="false" customHeight="false" outlineLevel="0" collapsed="false">
      <c r="A66" s="0" t="n">
        <v>0</v>
      </c>
      <c r="B66" s="0" t="n">
        <v>0</v>
      </c>
      <c r="C66" s="0" t="n">
        <v>6</v>
      </c>
      <c r="D66" s="0" t="n">
        <v>7</v>
      </c>
      <c r="E66" s="0" t="n">
        <f aca="false">-1+A66*0.25</f>
        <v>-1</v>
      </c>
      <c r="F66" s="0" t="n">
        <f aca="false">-1+B66*0.25</f>
        <v>-1</v>
      </c>
      <c r="G66" s="0" t="n">
        <f aca="false">-1+C66*0.25</f>
        <v>0.5</v>
      </c>
      <c r="H66" s="0" t="n">
        <f aca="false">-1+D66*0.25</f>
        <v>0.75</v>
      </c>
      <c r="I66" s="0" t="n">
        <f aca="false">1</f>
        <v>1</v>
      </c>
      <c r="J66" s="0" t="n">
        <f aca="false">E66</f>
        <v>-1</v>
      </c>
      <c r="K66" s="0" t="n">
        <f aca="false">F66</f>
        <v>-1</v>
      </c>
      <c r="L66" s="0" t="n">
        <f aca="false">G66</f>
        <v>0.5</v>
      </c>
      <c r="M66" s="0" t="n">
        <f aca="false">H66</f>
        <v>0.75</v>
      </c>
      <c r="N66" s="0" t="n">
        <f aca="false">E66*F66</f>
        <v>1</v>
      </c>
      <c r="O66" s="0" t="n">
        <f aca="false">E66*G66</f>
        <v>-0.5</v>
      </c>
      <c r="P66" s="0" t="n">
        <f aca="false">E66*H66</f>
        <v>-0.75</v>
      </c>
      <c r="Q66" s="0" t="n">
        <f aca="false">F66*G66</f>
        <v>-0.5</v>
      </c>
      <c r="R66" s="0" t="n">
        <f aca="false">F66*H66</f>
        <v>-0.75</v>
      </c>
      <c r="S66" s="0" t="n">
        <f aca="false">G66*H66</f>
        <v>0.375</v>
      </c>
      <c r="T66" s="0" t="n">
        <f aca="false">E66*E66</f>
        <v>1</v>
      </c>
      <c r="U66" s="0" t="n">
        <f aca="false">F66*F66</f>
        <v>1</v>
      </c>
      <c r="V66" s="0" t="n">
        <f aca="false">G66*G66</f>
        <v>0.25</v>
      </c>
      <c r="W66" s="0" t="n">
        <f aca="false">H66*H66</f>
        <v>0.5625</v>
      </c>
      <c r="X66" s="0" t="n">
        <f aca="false">SUMPRODUCT(I66:W66,_XtX!$B$96:$P$96)</f>
        <v>40.5202576754386</v>
      </c>
      <c r="Y66" s="0" t="n">
        <f aca="false">SUMPRODUCT(MMULT(I66:W66,_XtX!$B$78:$P$92),I66:W66)</f>
        <v>0.564984237938597</v>
      </c>
      <c r="Z66" s="0" t="n">
        <f aca="false">04_回帰ANOVA!$K$19*04_回帰ANOVA!$K$14*SQRT(1+Y66)</f>
        <v>1.63062229734503</v>
      </c>
      <c r="AA66" s="0" t="n">
        <f aca="false">X66-Z66</f>
        <v>38.8896353780936</v>
      </c>
      <c r="AB66" s="0" t="n">
        <f aca="false">X66+Z66</f>
        <v>42.1508799727837</v>
      </c>
      <c r="AC66" s="54" t="b">
        <f aca="false">AND(E66&gt;=01_因子設定!$L$5-0.000000001,E66&lt;=01_因子設定!$M$5+0.000000001,F66&gt;=01_因子設定!$L$6-0.000000001,F66&lt;=01_因子設定!$M$6+0.000000001,G66&gt;=01_因子設定!$L$7-0.000000001,G66&lt;=01_因子設定!$M$7+0.000000001,H66&gt;=01_因子設定!$L$8-0.000000001,H66&lt;=01_因子設定!$M$8+0.000000001,IF(01_因子設定!$B$20="Box-Behnken",E66^2+F66^2+G66^2+H66^2&lt;=2+0.000000001,TRUE()))</f>
        <v>1</v>
      </c>
      <c r="AD66" s="55" t="n">
        <f aca="false">IF(AC66,IF(01_因子設定!$B$13="最大化",AA66-01_因子設定!$B$14,IF(01_因子設定!$B$13="最小化",01_因子設定!$B$15-AB66,MIN(AA66-01_因子設定!$B$14,01_因子設定!$B$15-AB66))),-1E+030)</f>
        <v>-7.61036462190639</v>
      </c>
      <c r="AE66" s="55" t="n">
        <f aca="false">IF(AC66,IF(01_因子設定!$B$13="最大化",X66,IF(01_因子設定!$B$13="最小化",-X66,-ABS(X66-01_因子設定!$B$16))),-1E+030)</f>
        <v>40.5202576754386</v>
      </c>
      <c r="AF66" s="55" t="n">
        <f aca="false">AD66+ROW()*0.000000001</f>
        <v>-7.61036455590639</v>
      </c>
      <c r="AG66" s="55" t="n">
        <f aca="false">AE66+ROW()*0.000000001</f>
        <v>40.5202577414386</v>
      </c>
    </row>
    <row r="67" customFormat="false" ht="15" hidden="false" customHeight="false" outlineLevel="0" collapsed="false">
      <c r="A67" s="0" t="n">
        <v>0</v>
      </c>
      <c r="B67" s="0" t="n">
        <v>0</v>
      </c>
      <c r="C67" s="0" t="n">
        <v>6</v>
      </c>
      <c r="D67" s="0" t="n">
        <v>8</v>
      </c>
      <c r="E67" s="0" t="n">
        <f aca="false">-1+A67*0.25</f>
        <v>-1</v>
      </c>
      <c r="F67" s="0" t="n">
        <f aca="false">-1+B67*0.25</f>
        <v>-1</v>
      </c>
      <c r="G67" s="0" t="n">
        <f aca="false">-1+C67*0.25</f>
        <v>0.5</v>
      </c>
      <c r="H67" s="0" t="n">
        <f aca="false">-1+D67*0.25</f>
        <v>1</v>
      </c>
      <c r="I67" s="0" t="n">
        <f aca="false">1</f>
        <v>1</v>
      </c>
      <c r="J67" s="0" t="n">
        <f aca="false">E67</f>
        <v>-1</v>
      </c>
      <c r="K67" s="0" t="n">
        <f aca="false">F67</f>
        <v>-1</v>
      </c>
      <c r="L67" s="0" t="n">
        <f aca="false">G67</f>
        <v>0.5</v>
      </c>
      <c r="M67" s="0" t="n">
        <f aca="false">H67</f>
        <v>1</v>
      </c>
      <c r="N67" s="0" t="n">
        <f aca="false">E67*F67</f>
        <v>1</v>
      </c>
      <c r="O67" s="0" t="n">
        <f aca="false">E67*G67</f>
        <v>-0.5</v>
      </c>
      <c r="P67" s="0" t="n">
        <f aca="false">E67*H67</f>
        <v>-1</v>
      </c>
      <c r="Q67" s="0" t="n">
        <f aca="false">F67*G67</f>
        <v>-0.5</v>
      </c>
      <c r="R67" s="0" t="n">
        <f aca="false">F67*H67</f>
        <v>-1</v>
      </c>
      <c r="S67" s="0" t="n">
        <f aca="false">G67*H67</f>
        <v>0.5</v>
      </c>
      <c r="T67" s="0" t="n">
        <f aca="false">E67*E67</f>
        <v>1</v>
      </c>
      <c r="U67" s="0" t="n">
        <f aca="false">F67*F67</f>
        <v>1</v>
      </c>
      <c r="V67" s="0" t="n">
        <f aca="false">G67*G67</f>
        <v>0.25</v>
      </c>
      <c r="W67" s="0" t="n">
        <f aca="false">H67*H67</f>
        <v>1</v>
      </c>
      <c r="X67" s="0" t="n">
        <f aca="false">SUMPRODUCT(I67:W67,_XtX!$B$96:$P$96)</f>
        <v>40.512134502924</v>
      </c>
      <c r="Y67" s="0" t="n">
        <f aca="false">SUMPRODUCT(MMULT(I67:W67,_XtX!$B$78:$P$92),I67:W67)</f>
        <v>0.667123538011696</v>
      </c>
      <c r="Z67" s="0" t="n">
        <f aca="false">04_回帰ANOVA!$K$19*04_回帰ANOVA!$K$14*SQRT(1+Y67)</f>
        <v>1.68299290213005</v>
      </c>
      <c r="AA67" s="0" t="n">
        <f aca="false">X67-Z67</f>
        <v>38.829141600794</v>
      </c>
      <c r="AB67" s="0" t="n">
        <f aca="false">X67+Z67</f>
        <v>42.1951274050541</v>
      </c>
      <c r="AC67" s="54" t="b">
        <f aca="false">AND(E67&gt;=01_因子設定!$L$5-0.000000001,E67&lt;=01_因子設定!$M$5+0.000000001,F67&gt;=01_因子設定!$L$6-0.000000001,F67&lt;=01_因子設定!$M$6+0.000000001,G67&gt;=01_因子設定!$L$7-0.000000001,G67&lt;=01_因子設定!$M$7+0.000000001,H67&gt;=01_因子設定!$L$8-0.000000001,H67&lt;=01_因子設定!$M$8+0.000000001,IF(01_因子設定!$B$20="Box-Behnken",E67^2+F67^2+G67^2+H67^2&lt;=2+0.000000001,TRUE()))</f>
        <v>1</v>
      </c>
      <c r="AD67" s="55" t="n">
        <f aca="false">IF(AC67,IF(01_因子設定!$B$13="最大化",AA67-01_因子設定!$B$14,IF(01_因子設定!$B$13="最小化",01_因子設定!$B$15-AB67,MIN(AA67-01_因子設定!$B$14,01_因子設定!$B$15-AB67))),-1E+030)</f>
        <v>-7.67085839920601</v>
      </c>
      <c r="AE67" s="55" t="n">
        <f aca="false">IF(AC67,IF(01_因子設定!$B$13="最大化",X67,IF(01_因子設定!$B$13="最小化",-X67,-ABS(X67-01_因子設定!$B$16))),-1E+030)</f>
        <v>40.512134502924</v>
      </c>
      <c r="AF67" s="55" t="n">
        <f aca="false">AD67+ROW()*0.000000001</f>
        <v>-7.67085833220601</v>
      </c>
      <c r="AG67" s="55" t="n">
        <f aca="false">AE67+ROW()*0.000000001</f>
        <v>40.512134569924</v>
      </c>
    </row>
    <row r="68" customFormat="false" ht="15" hidden="false" customHeight="false" outlineLevel="0" collapsed="false">
      <c r="A68" s="0" t="n">
        <v>0</v>
      </c>
      <c r="B68" s="0" t="n">
        <v>0</v>
      </c>
      <c r="C68" s="0" t="n">
        <v>7</v>
      </c>
      <c r="D68" s="0" t="n">
        <v>0</v>
      </c>
      <c r="E68" s="0" t="n">
        <f aca="false">-1+A68*0.25</f>
        <v>-1</v>
      </c>
      <c r="F68" s="0" t="n">
        <f aca="false">-1+B68*0.25</f>
        <v>-1</v>
      </c>
      <c r="G68" s="0" t="n">
        <f aca="false">-1+C68*0.25</f>
        <v>0.75</v>
      </c>
      <c r="H68" s="0" t="n">
        <f aca="false">-1+D68*0.25</f>
        <v>-1</v>
      </c>
      <c r="I68" s="0" t="n">
        <f aca="false">1</f>
        <v>1</v>
      </c>
      <c r="J68" s="0" t="n">
        <f aca="false">E68</f>
        <v>-1</v>
      </c>
      <c r="K68" s="0" t="n">
        <f aca="false">F68</f>
        <v>-1</v>
      </c>
      <c r="L68" s="0" t="n">
        <f aca="false">G68</f>
        <v>0.75</v>
      </c>
      <c r="M68" s="0" t="n">
        <f aca="false">H68</f>
        <v>-1</v>
      </c>
      <c r="N68" s="0" t="n">
        <f aca="false">E68*F68</f>
        <v>1</v>
      </c>
      <c r="O68" s="0" t="n">
        <f aca="false">E68*G68</f>
        <v>-0.75</v>
      </c>
      <c r="P68" s="0" t="n">
        <f aca="false">E68*H68</f>
        <v>1</v>
      </c>
      <c r="Q68" s="0" t="n">
        <f aca="false">F68*G68</f>
        <v>-0.75</v>
      </c>
      <c r="R68" s="0" t="n">
        <f aca="false">F68*H68</f>
        <v>1</v>
      </c>
      <c r="S68" s="0" t="n">
        <f aca="false">G68*H68</f>
        <v>-0.75</v>
      </c>
      <c r="T68" s="0" t="n">
        <f aca="false">E68*E68</f>
        <v>1</v>
      </c>
      <c r="U68" s="0" t="n">
        <f aca="false">F68*F68</f>
        <v>1</v>
      </c>
      <c r="V68" s="0" t="n">
        <f aca="false">G68*G68</f>
        <v>0.5625</v>
      </c>
      <c r="W68" s="0" t="n">
        <f aca="false">H68*H68</f>
        <v>1</v>
      </c>
      <c r="X68" s="0" t="n">
        <f aca="false">SUMPRODUCT(I68:W68,_XtX!$B$96:$P$96)</f>
        <v>39.2835891812866</v>
      </c>
      <c r="Y68" s="0" t="n">
        <f aca="false">SUMPRODUCT(MMULT(I68:W68,_XtX!$B$78:$P$92),I68:W68)</f>
        <v>0.610814144736842</v>
      </c>
      <c r="Z68" s="0" t="n">
        <f aca="false">04_回帰ANOVA!$K$19*04_回帰ANOVA!$K$14*SQRT(1+Y68)</f>
        <v>1.6543260558361</v>
      </c>
      <c r="AA68" s="0" t="n">
        <f aca="false">X68-Z68</f>
        <v>37.6292631254505</v>
      </c>
      <c r="AB68" s="0" t="n">
        <f aca="false">X68+Z68</f>
        <v>40.9379152371227</v>
      </c>
      <c r="AC68" s="54" t="b">
        <f aca="false">AND(E68&gt;=01_因子設定!$L$5-0.000000001,E68&lt;=01_因子設定!$M$5+0.000000001,F68&gt;=01_因子設定!$L$6-0.000000001,F68&lt;=01_因子設定!$M$6+0.000000001,G68&gt;=01_因子設定!$L$7-0.000000001,G68&lt;=01_因子設定!$M$7+0.000000001,H68&gt;=01_因子設定!$L$8-0.000000001,H68&lt;=01_因子設定!$M$8+0.000000001,IF(01_因子設定!$B$20="Box-Behnken",E68^2+F68^2+G68^2+H68^2&lt;=2+0.000000001,TRUE()))</f>
        <v>1</v>
      </c>
      <c r="AD68" s="55" t="n">
        <f aca="false">IF(AC68,IF(01_因子設定!$B$13="最大化",AA68-01_因子設定!$B$14,IF(01_因子設定!$B$13="最小化",01_因子設定!$B$15-AB68,MIN(AA68-01_因子設定!$B$14,01_因子設定!$B$15-AB68))),-1E+030)</f>
        <v>-8.87073687454948</v>
      </c>
      <c r="AE68" s="55" t="n">
        <f aca="false">IF(AC68,IF(01_因子設定!$B$13="最大化",X68,IF(01_因子設定!$B$13="最小化",-X68,-ABS(X68-01_因子設定!$B$16))),-1E+030)</f>
        <v>39.2835891812866</v>
      </c>
      <c r="AF68" s="55" t="n">
        <f aca="false">AD68+ROW()*0.000000001</f>
        <v>-8.87073680654948</v>
      </c>
      <c r="AG68" s="55" t="n">
        <f aca="false">AE68+ROW()*0.000000001</f>
        <v>39.2835892492866</v>
      </c>
    </row>
    <row r="69" customFormat="false" ht="15" hidden="false" customHeight="false" outlineLevel="0" collapsed="false">
      <c r="A69" s="0" t="n">
        <v>0</v>
      </c>
      <c r="B69" s="0" t="n">
        <v>0</v>
      </c>
      <c r="C69" s="0" t="n">
        <v>7</v>
      </c>
      <c r="D69" s="0" t="n">
        <v>1</v>
      </c>
      <c r="E69" s="0" t="n">
        <f aca="false">-1+A69*0.25</f>
        <v>-1</v>
      </c>
      <c r="F69" s="0" t="n">
        <f aca="false">-1+B69*0.25</f>
        <v>-1</v>
      </c>
      <c r="G69" s="0" t="n">
        <f aca="false">-1+C69*0.25</f>
        <v>0.75</v>
      </c>
      <c r="H69" s="0" t="n">
        <f aca="false">-1+D69*0.25</f>
        <v>-0.75</v>
      </c>
      <c r="I69" s="0" t="n">
        <f aca="false">1</f>
        <v>1</v>
      </c>
      <c r="J69" s="0" t="n">
        <f aca="false">E69</f>
        <v>-1</v>
      </c>
      <c r="K69" s="0" t="n">
        <f aca="false">F69</f>
        <v>-1</v>
      </c>
      <c r="L69" s="0" t="n">
        <f aca="false">G69</f>
        <v>0.75</v>
      </c>
      <c r="M69" s="0" t="n">
        <f aca="false">H69</f>
        <v>-0.75</v>
      </c>
      <c r="N69" s="0" t="n">
        <f aca="false">E69*F69</f>
        <v>1</v>
      </c>
      <c r="O69" s="0" t="n">
        <f aca="false">E69*G69</f>
        <v>-0.75</v>
      </c>
      <c r="P69" s="0" t="n">
        <f aca="false">E69*H69</f>
        <v>0.75</v>
      </c>
      <c r="Q69" s="0" t="n">
        <f aca="false">F69*G69</f>
        <v>-0.75</v>
      </c>
      <c r="R69" s="0" t="n">
        <f aca="false">F69*H69</f>
        <v>0.75</v>
      </c>
      <c r="S69" s="0" t="n">
        <f aca="false">G69*H69</f>
        <v>-0.5625</v>
      </c>
      <c r="T69" s="0" t="n">
        <f aca="false">E69*E69</f>
        <v>1</v>
      </c>
      <c r="U69" s="0" t="n">
        <f aca="false">F69*F69</f>
        <v>1</v>
      </c>
      <c r="V69" s="0" t="n">
        <f aca="false">G69*G69</f>
        <v>0.5625</v>
      </c>
      <c r="W69" s="0" t="n">
        <f aca="false">H69*H69</f>
        <v>0.5625</v>
      </c>
      <c r="X69" s="0" t="n">
        <f aca="false">SUMPRODUCT(I69:W69,_XtX!$B$96:$P$96)</f>
        <v>39.628083881579</v>
      </c>
      <c r="Y69" s="0" t="n">
        <f aca="false">SUMPRODUCT(MMULT(I69:W69,_XtX!$B$78:$P$92),I69:W69)</f>
        <v>0.531311392086988</v>
      </c>
      <c r="Z69" s="0" t="n">
        <f aca="false">04_回帰ANOVA!$K$19*04_回帰ANOVA!$K$14*SQRT(1+Y69)</f>
        <v>1.61298433431428</v>
      </c>
      <c r="AA69" s="0" t="n">
        <f aca="false">X69-Z69</f>
        <v>38.0150995472647</v>
      </c>
      <c r="AB69" s="0" t="n">
        <f aca="false">X69+Z69</f>
        <v>41.2410682158933</v>
      </c>
      <c r="AC69" s="54" t="b">
        <f aca="false">AND(E69&gt;=01_因子設定!$L$5-0.000000001,E69&lt;=01_因子設定!$M$5+0.000000001,F69&gt;=01_因子設定!$L$6-0.000000001,F69&lt;=01_因子設定!$M$6+0.000000001,G69&gt;=01_因子設定!$L$7-0.000000001,G69&lt;=01_因子設定!$M$7+0.000000001,H69&gt;=01_因子設定!$L$8-0.000000001,H69&lt;=01_因子設定!$M$8+0.000000001,IF(01_因子設定!$B$20="Box-Behnken",E69^2+F69^2+G69^2+H69^2&lt;=2+0.000000001,TRUE()))</f>
        <v>1</v>
      </c>
      <c r="AD69" s="55" t="n">
        <f aca="false">IF(AC69,IF(01_因子設定!$B$13="最大化",AA69-01_因子設定!$B$14,IF(01_因子設定!$B$13="最小化",01_因子設定!$B$15-AB69,MIN(AA69-01_因子設定!$B$14,01_因子設定!$B$15-AB69))),-1E+030)</f>
        <v>-8.48490045273529</v>
      </c>
      <c r="AE69" s="55" t="n">
        <f aca="false">IF(AC69,IF(01_因子設定!$B$13="最大化",X69,IF(01_因子設定!$B$13="最小化",-X69,-ABS(X69-01_因子設定!$B$16))),-1E+030)</f>
        <v>39.628083881579</v>
      </c>
      <c r="AF69" s="55" t="n">
        <f aca="false">AD69+ROW()*0.000000001</f>
        <v>-8.48490038373529</v>
      </c>
      <c r="AG69" s="55" t="n">
        <f aca="false">AE69+ROW()*0.000000001</f>
        <v>39.628083950579</v>
      </c>
    </row>
    <row r="70" customFormat="false" ht="15" hidden="false" customHeight="false" outlineLevel="0" collapsed="false">
      <c r="A70" s="0" t="n">
        <v>0</v>
      </c>
      <c r="B70" s="0" t="n">
        <v>0</v>
      </c>
      <c r="C70" s="0" t="n">
        <v>7</v>
      </c>
      <c r="D70" s="0" t="n">
        <v>2</v>
      </c>
      <c r="E70" s="0" t="n">
        <f aca="false">-1+A70*0.25</f>
        <v>-1</v>
      </c>
      <c r="F70" s="0" t="n">
        <f aca="false">-1+B70*0.25</f>
        <v>-1</v>
      </c>
      <c r="G70" s="0" t="n">
        <f aca="false">-1+C70*0.25</f>
        <v>0.75</v>
      </c>
      <c r="H70" s="0" t="n">
        <f aca="false">-1+D70*0.25</f>
        <v>-0.5</v>
      </c>
      <c r="I70" s="0" t="n">
        <f aca="false">1</f>
        <v>1</v>
      </c>
      <c r="J70" s="0" t="n">
        <f aca="false">E70</f>
        <v>-1</v>
      </c>
      <c r="K70" s="0" t="n">
        <f aca="false">F70</f>
        <v>-1</v>
      </c>
      <c r="L70" s="0" t="n">
        <f aca="false">G70</f>
        <v>0.75</v>
      </c>
      <c r="M70" s="0" t="n">
        <f aca="false">H70</f>
        <v>-0.5</v>
      </c>
      <c r="N70" s="0" t="n">
        <f aca="false">E70*F70</f>
        <v>1</v>
      </c>
      <c r="O70" s="0" t="n">
        <f aca="false">E70*G70</f>
        <v>-0.75</v>
      </c>
      <c r="P70" s="0" t="n">
        <f aca="false">E70*H70</f>
        <v>0.5</v>
      </c>
      <c r="Q70" s="0" t="n">
        <f aca="false">F70*G70</f>
        <v>-0.75</v>
      </c>
      <c r="R70" s="0" t="n">
        <f aca="false">F70*H70</f>
        <v>0.5</v>
      </c>
      <c r="S70" s="0" t="n">
        <f aca="false">G70*H70</f>
        <v>-0.375</v>
      </c>
      <c r="T70" s="0" t="n">
        <f aca="false">E70*E70</f>
        <v>1</v>
      </c>
      <c r="U70" s="0" t="n">
        <f aca="false">F70*F70</f>
        <v>1</v>
      </c>
      <c r="V70" s="0" t="n">
        <f aca="false">G70*G70</f>
        <v>0.5625</v>
      </c>
      <c r="W70" s="0" t="n">
        <f aca="false">H70*H70</f>
        <v>0.25</v>
      </c>
      <c r="X70" s="0" t="n">
        <f aca="false">SUMPRODUCT(I70:W70,_XtX!$B$96:$P$96)</f>
        <v>39.9247715643275</v>
      </c>
      <c r="Y70" s="0" t="n">
        <f aca="false">SUMPRODUCT(MMULT(I70:W70,_XtX!$B$78:$P$92),I70:W70)</f>
        <v>0.564984237938597</v>
      </c>
      <c r="Z70" s="0" t="n">
        <f aca="false">04_回帰ANOVA!$K$19*04_回帰ANOVA!$K$14*SQRT(1+Y70)</f>
        <v>1.63062229734503</v>
      </c>
      <c r="AA70" s="0" t="n">
        <f aca="false">X70-Z70</f>
        <v>38.2941492669825</v>
      </c>
      <c r="AB70" s="0" t="n">
        <f aca="false">X70+Z70</f>
        <v>41.5553938616726</v>
      </c>
      <c r="AC70" s="54" t="b">
        <f aca="false">AND(E70&gt;=01_因子設定!$L$5-0.000000001,E70&lt;=01_因子設定!$M$5+0.000000001,F70&gt;=01_因子設定!$L$6-0.000000001,F70&lt;=01_因子設定!$M$6+0.000000001,G70&gt;=01_因子設定!$L$7-0.000000001,G70&lt;=01_因子設定!$M$7+0.000000001,H70&gt;=01_因子設定!$L$8-0.000000001,H70&lt;=01_因子設定!$M$8+0.000000001,IF(01_因子設定!$B$20="Box-Behnken",E70^2+F70^2+G70^2+H70^2&lt;=2+0.000000001,TRUE()))</f>
        <v>1</v>
      </c>
      <c r="AD70" s="55" t="n">
        <f aca="false">IF(AC70,IF(01_因子設定!$B$13="最大化",AA70-01_因子設定!$B$14,IF(01_因子設定!$B$13="最小化",01_因子設定!$B$15-AB70,MIN(AA70-01_因子設定!$B$14,01_因子設定!$B$15-AB70))),-1E+030)</f>
        <v>-8.20585073301751</v>
      </c>
      <c r="AE70" s="55" t="n">
        <f aca="false">IF(AC70,IF(01_因子設定!$B$13="最大化",X70,IF(01_因子設定!$B$13="最小化",-X70,-ABS(X70-01_因子設定!$B$16))),-1E+030)</f>
        <v>39.9247715643275</v>
      </c>
      <c r="AF70" s="55" t="n">
        <f aca="false">AD70+ROW()*0.000000001</f>
        <v>-8.20585066301751</v>
      </c>
      <c r="AG70" s="55" t="n">
        <f aca="false">AE70+ROW()*0.000000001</f>
        <v>39.9247716343275</v>
      </c>
    </row>
    <row r="71" customFormat="false" ht="15" hidden="false" customHeight="false" outlineLevel="0" collapsed="false">
      <c r="A71" s="0" t="n">
        <v>0</v>
      </c>
      <c r="B71" s="0" t="n">
        <v>0</v>
      </c>
      <c r="C71" s="0" t="n">
        <v>7</v>
      </c>
      <c r="D71" s="0" t="n">
        <v>3</v>
      </c>
      <c r="E71" s="0" t="n">
        <f aca="false">-1+A71*0.25</f>
        <v>-1</v>
      </c>
      <c r="F71" s="0" t="n">
        <f aca="false">-1+B71*0.25</f>
        <v>-1</v>
      </c>
      <c r="G71" s="0" t="n">
        <f aca="false">-1+C71*0.25</f>
        <v>0.75</v>
      </c>
      <c r="H71" s="0" t="n">
        <f aca="false">-1+D71*0.25</f>
        <v>-0.25</v>
      </c>
      <c r="I71" s="0" t="n">
        <f aca="false">1</f>
        <v>1</v>
      </c>
      <c r="J71" s="0" t="n">
        <f aca="false">E71</f>
        <v>-1</v>
      </c>
      <c r="K71" s="0" t="n">
        <f aca="false">F71</f>
        <v>-1</v>
      </c>
      <c r="L71" s="0" t="n">
        <f aca="false">G71</f>
        <v>0.75</v>
      </c>
      <c r="M71" s="0" t="n">
        <f aca="false">H71</f>
        <v>-0.25</v>
      </c>
      <c r="N71" s="0" t="n">
        <f aca="false">E71*F71</f>
        <v>1</v>
      </c>
      <c r="O71" s="0" t="n">
        <f aca="false">E71*G71</f>
        <v>-0.75</v>
      </c>
      <c r="P71" s="0" t="n">
        <f aca="false">E71*H71</f>
        <v>0.25</v>
      </c>
      <c r="Q71" s="0" t="n">
        <f aca="false">F71*G71</f>
        <v>-0.75</v>
      </c>
      <c r="R71" s="0" t="n">
        <f aca="false">F71*H71</f>
        <v>0.25</v>
      </c>
      <c r="S71" s="0" t="n">
        <f aca="false">G71*H71</f>
        <v>-0.1875</v>
      </c>
      <c r="T71" s="0" t="n">
        <f aca="false">E71*E71</f>
        <v>1</v>
      </c>
      <c r="U71" s="0" t="n">
        <f aca="false">F71*F71</f>
        <v>1</v>
      </c>
      <c r="V71" s="0" t="n">
        <f aca="false">G71*G71</f>
        <v>0.5625</v>
      </c>
      <c r="W71" s="0" t="n">
        <f aca="false">H71*H71</f>
        <v>0.0625</v>
      </c>
      <c r="X71" s="0" t="n">
        <f aca="false">SUMPRODUCT(I71:W71,_XtX!$B$96:$P$96)</f>
        <v>40.1736522295322</v>
      </c>
      <c r="Y71" s="0" t="n">
        <f aca="false">SUMPRODUCT(MMULT(I71:W71,_XtX!$B$78:$P$92),I71:W71)</f>
        <v>0.621372155975877</v>
      </c>
      <c r="Z71" s="0" t="n">
        <f aca="false">04_回帰ANOVA!$K$19*04_回帰ANOVA!$K$14*SQRT(1+Y71)</f>
        <v>1.65973880499872</v>
      </c>
      <c r="AA71" s="0" t="n">
        <f aca="false">X71-Z71</f>
        <v>38.5139134245335</v>
      </c>
      <c r="AB71" s="0" t="n">
        <f aca="false">X71+Z71</f>
        <v>41.8333910345309</v>
      </c>
      <c r="AC71" s="54" t="b">
        <f aca="false">AND(E71&gt;=01_因子設定!$L$5-0.000000001,E71&lt;=01_因子設定!$M$5+0.000000001,F71&gt;=01_因子設定!$L$6-0.000000001,F71&lt;=01_因子設定!$M$6+0.000000001,G71&gt;=01_因子設定!$L$7-0.000000001,G71&lt;=01_因子設定!$M$7+0.000000001,H71&gt;=01_因子設定!$L$8-0.000000001,H71&lt;=01_因子設定!$M$8+0.000000001,IF(01_因子設定!$B$20="Box-Behnken",E71^2+F71^2+G71^2+H71^2&lt;=2+0.000000001,TRUE()))</f>
        <v>1</v>
      </c>
      <c r="AD71" s="55" t="n">
        <f aca="false">IF(AC71,IF(01_因子設定!$B$13="最大化",AA71-01_因子設定!$B$14,IF(01_因子設定!$B$13="最小化",01_因子設定!$B$15-AB71,MIN(AA71-01_因子設定!$B$14,01_因子設定!$B$15-AB71))),-1E+030)</f>
        <v>-7.98608657546652</v>
      </c>
      <c r="AE71" s="55" t="n">
        <f aca="false">IF(AC71,IF(01_因子設定!$B$13="最大化",X71,IF(01_因子設定!$B$13="最小化",-X71,-ABS(X71-01_因子設定!$B$16))),-1E+030)</f>
        <v>40.1736522295322</v>
      </c>
      <c r="AF71" s="55" t="n">
        <f aca="false">AD71+ROW()*0.000000001</f>
        <v>-7.98608650446652</v>
      </c>
      <c r="AG71" s="55" t="n">
        <f aca="false">AE71+ROW()*0.000000001</f>
        <v>40.1736523005322</v>
      </c>
    </row>
    <row r="72" customFormat="false" ht="15" hidden="false" customHeight="false" outlineLevel="0" collapsed="false">
      <c r="A72" s="0" t="n">
        <v>0</v>
      </c>
      <c r="B72" s="0" t="n">
        <v>0</v>
      </c>
      <c r="C72" s="0" t="n">
        <v>7</v>
      </c>
      <c r="D72" s="0" t="n">
        <v>4</v>
      </c>
      <c r="E72" s="0" t="n">
        <f aca="false">-1+A72*0.25</f>
        <v>-1</v>
      </c>
      <c r="F72" s="0" t="n">
        <f aca="false">-1+B72*0.25</f>
        <v>-1</v>
      </c>
      <c r="G72" s="0" t="n">
        <f aca="false">-1+C72*0.25</f>
        <v>0.75</v>
      </c>
      <c r="H72" s="0" t="n">
        <f aca="false">-1+D72*0.25</f>
        <v>0</v>
      </c>
      <c r="I72" s="0" t="n">
        <f aca="false">1</f>
        <v>1</v>
      </c>
      <c r="J72" s="0" t="n">
        <f aca="false">E72</f>
        <v>-1</v>
      </c>
      <c r="K72" s="0" t="n">
        <f aca="false">F72</f>
        <v>-1</v>
      </c>
      <c r="L72" s="0" t="n">
        <f aca="false">G72</f>
        <v>0.75</v>
      </c>
      <c r="M72" s="0" t="n">
        <f aca="false">H72</f>
        <v>0</v>
      </c>
      <c r="N72" s="0" t="n">
        <f aca="false">E72*F72</f>
        <v>1</v>
      </c>
      <c r="O72" s="0" t="n">
        <f aca="false">E72*G72</f>
        <v>-0.75</v>
      </c>
      <c r="P72" s="0" t="n">
        <f aca="false">E72*H72</f>
        <v>-0</v>
      </c>
      <c r="Q72" s="0" t="n">
        <f aca="false">F72*G72</f>
        <v>-0.75</v>
      </c>
      <c r="R72" s="0" t="n">
        <f aca="false">F72*H72</f>
        <v>-0</v>
      </c>
      <c r="S72" s="0" t="n">
        <f aca="false">G72*H72</f>
        <v>0</v>
      </c>
      <c r="T72" s="0" t="n">
        <f aca="false">E72*E72</f>
        <v>1</v>
      </c>
      <c r="U72" s="0" t="n">
        <f aca="false">F72*F72</f>
        <v>1</v>
      </c>
      <c r="V72" s="0" t="n">
        <f aca="false">G72*G72</f>
        <v>0.5625</v>
      </c>
      <c r="W72" s="0" t="n">
        <f aca="false">H72*H72</f>
        <v>0</v>
      </c>
      <c r="X72" s="0" t="n">
        <f aca="false">SUMPRODUCT(I72:W72,_XtX!$B$96:$P$96)</f>
        <v>40.374725877193</v>
      </c>
      <c r="Y72" s="0" t="n">
        <f aca="false">SUMPRODUCT(MMULT(I72:W72,_XtX!$B$78:$P$92),I72:W72)</f>
        <v>0.646198830409357</v>
      </c>
      <c r="Z72" s="0" t="n">
        <f aca="false">04_回帰ANOVA!$K$19*04_回帰ANOVA!$K$14*SQRT(1+Y72)</f>
        <v>1.67239760569756</v>
      </c>
      <c r="AA72" s="0" t="n">
        <f aca="false">X72-Z72</f>
        <v>38.7023282714955</v>
      </c>
      <c r="AB72" s="0" t="n">
        <f aca="false">X72+Z72</f>
        <v>42.0471234828906</v>
      </c>
      <c r="AC72" s="54" t="b">
        <f aca="false">AND(E72&gt;=01_因子設定!$L$5-0.000000001,E72&lt;=01_因子設定!$M$5+0.000000001,F72&gt;=01_因子設定!$L$6-0.000000001,F72&lt;=01_因子設定!$M$6+0.000000001,G72&gt;=01_因子設定!$L$7-0.000000001,G72&lt;=01_因子設定!$M$7+0.000000001,H72&gt;=01_因子設定!$L$8-0.000000001,H72&lt;=01_因子設定!$M$8+0.000000001,IF(01_因子設定!$B$20="Box-Behnken",E72^2+F72^2+G72^2+H72^2&lt;=2+0.000000001,TRUE()))</f>
        <v>1</v>
      </c>
      <c r="AD72" s="55" t="n">
        <f aca="false">IF(AC72,IF(01_因子設定!$B$13="最大化",AA72-01_因子設定!$B$14,IF(01_因子設定!$B$13="最小化",01_因子設定!$B$15-AB72,MIN(AA72-01_因子設定!$B$14,01_因子設定!$B$15-AB72))),-1E+030)</f>
        <v>-7.79767172850455</v>
      </c>
      <c r="AE72" s="55" t="n">
        <f aca="false">IF(AC72,IF(01_因子設定!$B$13="最大化",X72,IF(01_因子設定!$B$13="最小化",-X72,-ABS(X72-01_因子設定!$B$16))),-1E+030)</f>
        <v>40.374725877193</v>
      </c>
      <c r="AF72" s="55" t="n">
        <f aca="false">AD72+ROW()*0.000000001</f>
        <v>-7.79767165650455</v>
      </c>
      <c r="AG72" s="55" t="n">
        <f aca="false">AE72+ROW()*0.000000001</f>
        <v>40.374725949193</v>
      </c>
    </row>
    <row r="73" customFormat="false" ht="15" hidden="false" customHeight="false" outlineLevel="0" collapsed="false">
      <c r="A73" s="0" t="n">
        <v>0</v>
      </c>
      <c r="B73" s="0" t="n">
        <v>0</v>
      </c>
      <c r="C73" s="0" t="n">
        <v>7</v>
      </c>
      <c r="D73" s="0" t="n">
        <v>5</v>
      </c>
      <c r="E73" s="0" t="n">
        <f aca="false">-1+A73*0.25</f>
        <v>-1</v>
      </c>
      <c r="F73" s="0" t="n">
        <f aca="false">-1+B73*0.25</f>
        <v>-1</v>
      </c>
      <c r="G73" s="0" t="n">
        <f aca="false">-1+C73*0.25</f>
        <v>0.75</v>
      </c>
      <c r="H73" s="0" t="n">
        <f aca="false">-1+D73*0.25</f>
        <v>0.25</v>
      </c>
      <c r="I73" s="0" t="n">
        <f aca="false">1</f>
        <v>1</v>
      </c>
      <c r="J73" s="0" t="n">
        <f aca="false">E73</f>
        <v>-1</v>
      </c>
      <c r="K73" s="0" t="n">
        <f aca="false">F73</f>
        <v>-1</v>
      </c>
      <c r="L73" s="0" t="n">
        <f aca="false">G73</f>
        <v>0.75</v>
      </c>
      <c r="M73" s="0" t="n">
        <f aca="false">H73</f>
        <v>0.25</v>
      </c>
      <c r="N73" s="0" t="n">
        <f aca="false">E73*F73</f>
        <v>1</v>
      </c>
      <c r="O73" s="0" t="n">
        <f aca="false">E73*G73</f>
        <v>-0.75</v>
      </c>
      <c r="P73" s="0" t="n">
        <f aca="false">E73*H73</f>
        <v>-0.25</v>
      </c>
      <c r="Q73" s="0" t="n">
        <f aca="false">F73*G73</f>
        <v>-0.75</v>
      </c>
      <c r="R73" s="0" t="n">
        <f aca="false">F73*H73</f>
        <v>-0.25</v>
      </c>
      <c r="S73" s="0" t="n">
        <f aca="false">G73*H73</f>
        <v>0.1875</v>
      </c>
      <c r="T73" s="0" t="n">
        <f aca="false">E73*E73</f>
        <v>1</v>
      </c>
      <c r="U73" s="0" t="n">
        <f aca="false">F73*F73</f>
        <v>1</v>
      </c>
      <c r="V73" s="0" t="n">
        <f aca="false">G73*G73</f>
        <v>0.5625</v>
      </c>
      <c r="W73" s="0" t="n">
        <f aca="false">H73*H73</f>
        <v>0.0625</v>
      </c>
      <c r="X73" s="0" t="n">
        <f aca="false">SUMPRODUCT(I73:W73,_XtX!$B$96:$P$96)</f>
        <v>40.52799250731</v>
      </c>
      <c r="Y73" s="0" t="n">
        <f aca="false">SUMPRODUCT(MMULT(I73:W73,_XtX!$B$78:$P$92),I73:W73)</f>
        <v>0.621372155975877</v>
      </c>
      <c r="Z73" s="0" t="n">
        <f aca="false">04_回帰ANOVA!$K$19*04_回帰ANOVA!$K$14*SQRT(1+Y73)</f>
        <v>1.65973880499872</v>
      </c>
      <c r="AA73" s="0" t="n">
        <f aca="false">X73-Z73</f>
        <v>38.8682537023113</v>
      </c>
      <c r="AB73" s="0" t="n">
        <f aca="false">X73+Z73</f>
        <v>42.1877313123087</v>
      </c>
      <c r="AC73" s="54" t="b">
        <f aca="false">AND(E73&gt;=01_因子設定!$L$5-0.000000001,E73&lt;=01_因子設定!$M$5+0.000000001,F73&gt;=01_因子設定!$L$6-0.000000001,F73&lt;=01_因子設定!$M$6+0.000000001,G73&gt;=01_因子設定!$L$7-0.000000001,G73&lt;=01_因子設定!$M$7+0.000000001,H73&gt;=01_因子設定!$L$8-0.000000001,H73&lt;=01_因子設定!$M$8+0.000000001,IF(01_因子設定!$B$20="Box-Behnken",E73^2+F73^2+G73^2+H73^2&lt;=2+0.000000001,TRUE()))</f>
        <v>1</v>
      </c>
      <c r="AD73" s="55" t="n">
        <f aca="false">IF(AC73,IF(01_因子設定!$B$13="最大化",AA73-01_因子設定!$B$14,IF(01_因子設定!$B$13="最小化",01_因子設定!$B$15-AB73,MIN(AA73-01_因子設定!$B$14,01_因子設定!$B$15-AB73))),-1E+030)</f>
        <v>-7.63174629768874</v>
      </c>
      <c r="AE73" s="55" t="n">
        <f aca="false">IF(AC73,IF(01_因子設定!$B$13="最大化",X73,IF(01_因子設定!$B$13="最小化",-X73,-ABS(X73-01_因子設定!$B$16))),-1E+030)</f>
        <v>40.52799250731</v>
      </c>
      <c r="AF73" s="55" t="n">
        <f aca="false">AD73+ROW()*0.000000001</f>
        <v>-7.63174622468874</v>
      </c>
      <c r="AG73" s="55" t="n">
        <f aca="false">AE73+ROW()*0.000000001</f>
        <v>40.52799258031</v>
      </c>
    </row>
    <row r="74" customFormat="false" ht="15" hidden="false" customHeight="false" outlineLevel="0" collapsed="false">
      <c r="A74" s="0" t="n">
        <v>0</v>
      </c>
      <c r="B74" s="0" t="n">
        <v>0</v>
      </c>
      <c r="C74" s="0" t="n">
        <v>7</v>
      </c>
      <c r="D74" s="0" t="n">
        <v>6</v>
      </c>
      <c r="E74" s="0" t="n">
        <f aca="false">-1+A74*0.25</f>
        <v>-1</v>
      </c>
      <c r="F74" s="0" t="n">
        <f aca="false">-1+B74*0.25</f>
        <v>-1</v>
      </c>
      <c r="G74" s="0" t="n">
        <f aca="false">-1+C74*0.25</f>
        <v>0.75</v>
      </c>
      <c r="H74" s="0" t="n">
        <f aca="false">-1+D74*0.25</f>
        <v>0.5</v>
      </c>
      <c r="I74" s="0" t="n">
        <f aca="false">1</f>
        <v>1</v>
      </c>
      <c r="J74" s="0" t="n">
        <f aca="false">E74</f>
        <v>-1</v>
      </c>
      <c r="K74" s="0" t="n">
        <f aca="false">F74</f>
        <v>-1</v>
      </c>
      <c r="L74" s="0" t="n">
        <f aca="false">G74</f>
        <v>0.75</v>
      </c>
      <c r="M74" s="0" t="n">
        <f aca="false">H74</f>
        <v>0.5</v>
      </c>
      <c r="N74" s="0" t="n">
        <f aca="false">E74*F74</f>
        <v>1</v>
      </c>
      <c r="O74" s="0" t="n">
        <f aca="false">E74*G74</f>
        <v>-0.75</v>
      </c>
      <c r="P74" s="0" t="n">
        <f aca="false">E74*H74</f>
        <v>-0.5</v>
      </c>
      <c r="Q74" s="0" t="n">
        <f aca="false">F74*G74</f>
        <v>-0.75</v>
      </c>
      <c r="R74" s="0" t="n">
        <f aca="false">F74*H74</f>
        <v>-0.5</v>
      </c>
      <c r="S74" s="0" t="n">
        <f aca="false">G74*H74</f>
        <v>0.375</v>
      </c>
      <c r="T74" s="0" t="n">
        <f aca="false">E74*E74</f>
        <v>1</v>
      </c>
      <c r="U74" s="0" t="n">
        <f aca="false">F74*F74</f>
        <v>1</v>
      </c>
      <c r="V74" s="0" t="n">
        <f aca="false">G74*G74</f>
        <v>0.5625</v>
      </c>
      <c r="W74" s="0" t="n">
        <f aca="false">H74*H74</f>
        <v>0.25</v>
      </c>
      <c r="X74" s="0" t="n">
        <f aca="false">SUMPRODUCT(I74:W74,_XtX!$B$96:$P$96)</f>
        <v>40.6334521198831</v>
      </c>
      <c r="Y74" s="0" t="n">
        <f aca="false">SUMPRODUCT(MMULT(I74:W74,_XtX!$B$78:$P$92),I74:W74)</f>
        <v>0.564984237938597</v>
      </c>
      <c r="Z74" s="0" t="n">
        <f aca="false">04_回帰ANOVA!$K$19*04_回帰ANOVA!$K$14*SQRT(1+Y74)</f>
        <v>1.63062229734503</v>
      </c>
      <c r="AA74" s="0" t="n">
        <f aca="false">X74-Z74</f>
        <v>39.002829822538</v>
      </c>
      <c r="AB74" s="0" t="n">
        <f aca="false">X74+Z74</f>
        <v>42.2640744172281</v>
      </c>
      <c r="AC74" s="54" t="b">
        <f aca="false">AND(E74&gt;=01_因子設定!$L$5-0.000000001,E74&lt;=01_因子設定!$M$5+0.000000001,F74&gt;=01_因子設定!$L$6-0.000000001,F74&lt;=01_因子設定!$M$6+0.000000001,G74&gt;=01_因子設定!$L$7-0.000000001,G74&lt;=01_因子設定!$M$7+0.000000001,H74&gt;=01_因子設定!$L$8-0.000000001,H74&lt;=01_因子設定!$M$8+0.000000001,IF(01_因子設定!$B$20="Box-Behnken",E74^2+F74^2+G74^2+H74^2&lt;=2+0.000000001,TRUE()))</f>
        <v>1</v>
      </c>
      <c r="AD74" s="55" t="n">
        <f aca="false">IF(AC74,IF(01_因子設定!$B$13="最大化",AA74-01_因子設定!$B$14,IF(01_因子設定!$B$13="最小化",01_因子設定!$B$15-AB74,MIN(AA74-01_因子設定!$B$14,01_因子設定!$B$15-AB74))),-1E+030)</f>
        <v>-7.49717017746196</v>
      </c>
      <c r="AE74" s="55" t="n">
        <f aca="false">IF(AC74,IF(01_因子設定!$B$13="最大化",X74,IF(01_因子設定!$B$13="最小化",-X74,-ABS(X74-01_因子設定!$B$16))),-1E+030)</f>
        <v>40.6334521198831</v>
      </c>
      <c r="AF74" s="55" t="n">
        <f aca="false">AD74+ROW()*0.000000001</f>
        <v>-7.49717010346196</v>
      </c>
      <c r="AG74" s="55" t="n">
        <f aca="false">AE74+ROW()*0.000000001</f>
        <v>40.6334521938831</v>
      </c>
    </row>
    <row r="75" customFormat="false" ht="15" hidden="false" customHeight="false" outlineLevel="0" collapsed="false">
      <c r="A75" s="0" t="n">
        <v>0</v>
      </c>
      <c r="B75" s="0" t="n">
        <v>0</v>
      </c>
      <c r="C75" s="0" t="n">
        <v>7</v>
      </c>
      <c r="D75" s="0" t="n">
        <v>7</v>
      </c>
      <c r="E75" s="0" t="n">
        <f aca="false">-1+A75*0.25</f>
        <v>-1</v>
      </c>
      <c r="F75" s="0" t="n">
        <f aca="false">-1+B75*0.25</f>
        <v>-1</v>
      </c>
      <c r="G75" s="0" t="n">
        <f aca="false">-1+C75*0.25</f>
        <v>0.75</v>
      </c>
      <c r="H75" s="0" t="n">
        <f aca="false">-1+D75*0.25</f>
        <v>0.75</v>
      </c>
      <c r="I75" s="0" t="n">
        <f aca="false">1</f>
        <v>1</v>
      </c>
      <c r="J75" s="0" t="n">
        <f aca="false">E75</f>
        <v>-1</v>
      </c>
      <c r="K75" s="0" t="n">
        <f aca="false">F75</f>
        <v>-1</v>
      </c>
      <c r="L75" s="0" t="n">
        <f aca="false">G75</f>
        <v>0.75</v>
      </c>
      <c r="M75" s="0" t="n">
        <f aca="false">H75</f>
        <v>0.75</v>
      </c>
      <c r="N75" s="0" t="n">
        <f aca="false">E75*F75</f>
        <v>1</v>
      </c>
      <c r="O75" s="0" t="n">
        <f aca="false">E75*G75</f>
        <v>-0.75</v>
      </c>
      <c r="P75" s="0" t="n">
        <f aca="false">E75*H75</f>
        <v>-0.75</v>
      </c>
      <c r="Q75" s="0" t="n">
        <f aca="false">F75*G75</f>
        <v>-0.75</v>
      </c>
      <c r="R75" s="0" t="n">
        <f aca="false">F75*H75</f>
        <v>-0.75</v>
      </c>
      <c r="S75" s="0" t="n">
        <f aca="false">G75*H75</f>
        <v>0.5625</v>
      </c>
      <c r="T75" s="0" t="n">
        <f aca="false">E75*E75</f>
        <v>1</v>
      </c>
      <c r="U75" s="0" t="n">
        <f aca="false">F75*F75</f>
        <v>1</v>
      </c>
      <c r="V75" s="0" t="n">
        <f aca="false">G75*G75</f>
        <v>0.5625</v>
      </c>
      <c r="W75" s="0" t="n">
        <f aca="false">H75*H75</f>
        <v>0.5625</v>
      </c>
      <c r="X75" s="0" t="n">
        <f aca="false">SUMPRODUCT(I75:W75,_XtX!$B$96:$P$96)</f>
        <v>40.6911047149123</v>
      </c>
      <c r="Y75" s="0" t="n">
        <f aca="false">SUMPRODUCT(MMULT(I75:W75,_XtX!$B$78:$P$92),I75:W75)</f>
        <v>0.531311392086988</v>
      </c>
      <c r="Z75" s="0" t="n">
        <f aca="false">04_回帰ANOVA!$K$19*04_回帰ANOVA!$K$14*SQRT(1+Y75)</f>
        <v>1.61298433431428</v>
      </c>
      <c r="AA75" s="0" t="n">
        <f aca="false">X75-Z75</f>
        <v>39.078120380598</v>
      </c>
      <c r="AB75" s="0" t="n">
        <f aca="false">X75+Z75</f>
        <v>42.3040890492266</v>
      </c>
      <c r="AC75" s="54" t="b">
        <f aca="false">AND(E75&gt;=01_因子設定!$L$5-0.000000001,E75&lt;=01_因子設定!$M$5+0.000000001,F75&gt;=01_因子設定!$L$6-0.000000001,F75&lt;=01_因子設定!$M$6+0.000000001,G75&gt;=01_因子設定!$L$7-0.000000001,G75&lt;=01_因子設定!$M$7+0.000000001,H75&gt;=01_因子設定!$L$8-0.000000001,H75&lt;=01_因子設定!$M$8+0.000000001,IF(01_因子設定!$B$20="Box-Behnken",E75^2+F75^2+G75^2+H75^2&lt;=2+0.000000001,TRUE()))</f>
        <v>1</v>
      </c>
      <c r="AD75" s="55" t="n">
        <f aca="false">IF(AC75,IF(01_因子設定!$B$13="最大化",AA75-01_因子設定!$B$14,IF(01_因子設定!$B$13="最小化",01_因子設定!$B$15-AB75,MIN(AA75-01_因子設定!$B$14,01_因子設定!$B$15-AB75))),-1E+030)</f>
        <v>-7.42187961940196</v>
      </c>
      <c r="AE75" s="55" t="n">
        <f aca="false">IF(AC75,IF(01_因子設定!$B$13="最大化",X75,IF(01_因子設定!$B$13="最小化",-X75,-ABS(X75-01_因子設定!$B$16))),-1E+030)</f>
        <v>40.6911047149123</v>
      </c>
      <c r="AF75" s="55" t="n">
        <f aca="false">AD75+ROW()*0.000000001</f>
        <v>-7.42187954440196</v>
      </c>
      <c r="AG75" s="55" t="n">
        <f aca="false">AE75+ROW()*0.000000001</f>
        <v>40.6911047899123</v>
      </c>
    </row>
    <row r="76" customFormat="false" ht="15" hidden="false" customHeight="false" outlineLevel="0" collapsed="false">
      <c r="A76" s="0" t="n">
        <v>0</v>
      </c>
      <c r="B76" s="0" t="n">
        <v>0</v>
      </c>
      <c r="C76" s="0" t="n">
        <v>7</v>
      </c>
      <c r="D76" s="0" t="n">
        <v>8</v>
      </c>
      <c r="E76" s="0" t="n">
        <f aca="false">-1+A76*0.25</f>
        <v>-1</v>
      </c>
      <c r="F76" s="0" t="n">
        <f aca="false">-1+B76*0.25</f>
        <v>-1</v>
      </c>
      <c r="G76" s="0" t="n">
        <f aca="false">-1+C76*0.25</f>
        <v>0.75</v>
      </c>
      <c r="H76" s="0" t="n">
        <f aca="false">-1+D76*0.25</f>
        <v>1</v>
      </c>
      <c r="I76" s="0" t="n">
        <f aca="false">1</f>
        <v>1</v>
      </c>
      <c r="J76" s="0" t="n">
        <f aca="false">E76</f>
        <v>-1</v>
      </c>
      <c r="K76" s="0" t="n">
        <f aca="false">F76</f>
        <v>-1</v>
      </c>
      <c r="L76" s="0" t="n">
        <f aca="false">G76</f>
        <v>0.75</v>
      </c>
      <c r="M76" s="0" t="n">
        <f aca="false">H76</f>
        <v>1</v>
      </c>
      <c r="N76" s="0" t="n">
        <f aca="false">E76*F76</f>
        <v>1</v>
      </c>
      <c r="O76" s="0" t="n">
        <f aca="false">E76*G76</f>
        <v>-0.75</v>
      </c>
      <c r="P76" s="0" t="n">
        <f aca="false">E76*H76</f>
        <v>-1</v>
      </c>
      <c r="Q76" s="0" t="n">
        <f aca="false">F76*G76</f>
        <v>-0.75</v>
      </c>
      <c r="R76" s="0" t="n">
        <f aca="false">F76*H76</f>
        <v>-1</v>
      </c>
      <c r="S76" s="0" t="n">
        <f aca="false">G76*H76</f>
        <v>0.75</v>
      </c>
      <c r="T76" s="0" t="n">
        <f aca="false">E76*E76</f>
        <v>1</v>
      </c>
      <c r="U76" s="0" t="n">
        <f aca="false">F76*F76</f>
        <v>1</v>
      </c>
      <c r="V76" s="0" t="n">
        <f aca="false">G76*G76</f>
        <v>0.5625</v>
      </c>
      <c r="W76" s="0" t="n">
        <f aca="false">H76*H76</f>
        <v>1</v>
      </c>
      <c r="X76" s="0" t="n">
        <f aca="false">SUMPRODUCT(I76:W76,_XtX!$B$96:$P$96)</f>
        <v>40.7009502923977</v>
      </c>
      <c r="Y76" s="0" t="n">
        <f aca="false">SUMPRODUCT(MMULT(I76:W76,_XtX!$B$78:$P$92),I76:W76)</f>
        <v>0.610814144736842</v>
      </c>
      <c r="Z76" s="0" t="n">
        <f aca="false">04_回帰ANOVA!$K$19*04_回帰ANOVA!$K$14*SQRT(1+Y76)</f>
        <v>1.6543260558361</v>
      </c>
      <c r="AA76" s="0" t="n">
        <f aca="false">X76-Z76</f>
        <v>39.0466242365616</v>
      </c>
      <c r="AB76" s="0" t="n">
        <f aca="false">X76+Z76</f>
        <v>42.3552763482338</v>
      </c>
      <c r="AC76" s="54" t="b">
        <f aca="false">AND(E76&gt;=01_因子設定!$L$5-0.000000001,E76&lt;=01_因子設定!$M$5+0.000000001,F76&gt;=01_因子設定!$L$6-0.000000001,F76&lt;=01_因子設定!$M$6+0.000000001,G76&gt;=01_因子設定!$L$7-0.000000001,G76&lt;=01_因子設定!$M$7+0.000000001,H76&gt;=01_因子設定!$L$8-0.000000001,H76&lt;=01_因子設定!$M$8+0.000000001,IF(01_因子設定!$B$20="Box-Behnken",E76^2+F76^2+G76^2+H76^2&lt;=2+0.000000001,TRUE()))</f>
        <v>1</v>
      </c>
      <c r="AD76" s="55" t="n">
        <f aca="false">IF(AC76,IF(01_因子設定!$B$13="最大化",AA76-01_因子設定!$B$14,IF(01_因子設定!$B$13="最小化",01_因子設定!$B$15-AB76,MIN(AA76-01_因子設定!$B$14,01_因子設定!$B$15-AB76))),-1E+030)</f>
        <v>-7.45337576343837</v>
      </c>
      <c r="AE76" s="55" t="n">
        <f aca="false">IF(AC76,IF(01_因子設定!$B$13="最大化",X76,IF(01_因子設定!$B$13="最小化",-X76,-ABS(X76-01_因子設定!$B$16))),-1E+030)</f>
        <v>40.7009502923977</v>
      </c>
      <c r="AF76" s="55" t="n">
        <f aca="false">AD76+ROW()*0.000000001</f>
        <v>-7.45337568743837</v>
      </c>
      <c r="AG76" s="55" t="n">
        <f aca="false">AE76+ROW()*0.000000001</f>
        <v>40.7009503683977</v>
      </c>
    </row>
    <row r="77" customFormat="false" ht="15" hidden="false" customHeight="false" outlineLevel="0" collapsed="false">
      <c r="A77" s="0" t="n">
        <v>0</v>
      </c>
      <c r="B77" s="0" t="n">
        <v>0</v>
      </c>
      <c r="C77" s="0" t="n">
        <v>8</v>
      </c>
      <c r="D77" s="0" t="n">
        <v>0</v>
      </c>
      <c r="E77" s="0" t="n">
        <f aca="false">-1+A77*0.25</f>
        <v>-1</v>
      </c>
      <c r="F77" s="0" t="n">
        <f aca="false">-1+B77*0.25</f>
        <v>-1</v>
      </c>
      <c r="G77" s="0" t="n">
        <f aca="false">-1+C77*0.25</f>
        <v>1</v>
      </c>
      <c r="H77" s="0" t="n">
        <f aca="false">-1+D77*0.25</f>
        <v>-1</v>
      </c>
      <c r="I77" s="0" t="n">
        <f aca="false">1</f>
        <v>1</v>
      </c>
      <c r="J77" s="0" t="n">
        <f aca="false">E77</f>
        <v>-1</v>
      </c>
      <c r="K77" s="0" t="n">
        <f aca="false">F77</f>
        <v>-1</v>
      </c>
      <c r="L77" s="0" t="n">
        <f aca="false">G77</f>
        <v>1</v>
      </c>
      <c r="M77" s="0" t="n">
        <f aca="false">H77</f>
        <v>-1</v>
      </c>
      <c r="N77" s="0" t="n">
        <f aca="false">E77*F77</f>
        <v>1</v>
      </c>
      <c r="O77" s="0" t="n">
        <f aca="false">E77*G77</f>
        <v>-1</v>
      </c>
      <c r="P77" s="0" t="n">
        <f aca="false">E77*H77</f>
        <v>1</v>
      </c>
      <c r="Q77" s="0" t="n">
        <f aca="false">F77*G77</f>
        <v>-1</v>
      </c>
      <c r="R77" s="0" t="n">
        <f aca="false">F77*H77</f>
        <v>1</v>
      </c>
      <c r="S77" s="0" t="n">
        <f aca="false">G77*H77</f>
        <v>-1</v>
      </c>
      <c r="T77" s="0" t="n">
        <f aca="false">E77*E77</f>
        <v>1</v>
      </c>
      <c r="U77" s="0" t="n">
        <f aca="false">F77*F77</f>
        <v>1</v>
      </c>
      <c r="V77" s="0" t="n">
        <f aca="false">G77*G77</f>
        <v>1</v>
      </c>
      <c r="W77" s="0" t="n">
        <f aca="false">H77*H77</f>
        <v>1</v>
      </c>
      <c r="X77" s="0" t="n">
        <f aca="false">SUMPRODUCT(I77:W77,_XtX!$B$96:$P$96)</f>
        <v>39.2433479532164</v>
      </c>
      <c r="Y77" s="0" t="n">
        <f aca="false">SUMPRODUCT(MMULT(I77:W77,_XtX!$B$78:$P$92),I77:W77)</f>
        <v>0.658625730994152</v>
      </c>
      <c r="Z77" s="0" t="n">
        <f aca="false">04_回帰ANOVA!$K$19*04_回帰ANOVA!$K$14*SQRT(1+Y77)</f>
        <v>1.67869807328422</v>
      </c>
      <c r="AA77" s="0" t="n">
        <f aca="false">X77-Z77</f>
        <v>37.5646498799322</v>
      </c>
      <c r="AB77" s="0" t="n">
        <f aca="false">X77+Z77</f>
        <v>40.9220460265007</v>
      </c>
      <c r="AC77" s="54" t="b">
        <f aca="false">AND(E77&gt;=01_因子設定!$L$5-0.000000001,E77&lt;=01_因子設定!$M$5+0.000000001,F77&gt;=01_因子設定!$L$6-0.000000001,F77&lt;=01_因子設定!$M$6+0.000000001,G77&gt;=01_因子設定!$L$7-0.000000001,G77&lt;=01_因子設定!$M$7+0.000000001,H77&gt;=01_因子設定!$L$8-0.000000001,H77&lt;=01_因子設定!$M$8+0.000000001,IF(01_因子設定!$B$20="Box-Behnken",E77^2+F77^2+G77^2+H77^2&lt;=2+0.000000001,TRUE()))</f>
        <v>1</v>
      </c>
      <c r="AD77" s="55" t="n">
        <f aca="false">IF(AC77,IF(01_因子設定!$B$13="最大化",AA77-01_因子設定!$B$14,IF(01_因子設定!$B$13="最小化",01_因子設定!$B$15-AB77,MIN(AA77-01_因子設定!$B$14,01_因子設定!$B$15-AB77))),-1E+030)</f>
        <v>-8.93535012006778</v>
      </c>
      <c r="AE77" s="55" t="n">
        <f aca="false">IF(AC77,IF(01_因子設定!$B$13="最大化",X77,IF(01_因子設定!$B$13="最小化",-X77,-ABS(X77-01_因子設定!$B$16))),-1E+030)</f>
        <v>39.2433479532164</v>
      </c>
      <c r="AF77" s="55" t="n">
        <f aca="false">AD77+ROW()*0.000000001</f>
        <v>-8.93535004306778</v>
      </c>
      <c r="AG77" s="55" t="n">
        <f aca="false">AE77+ROW()*0.000000001</f>
        <v>39.2433480302164</v>
      </c>
    </row>
    <row r="78" customFormat="false" ht="15" hidden="false" customHeight="false" outlineLevel="0" collapsed="false">
      <c r="A78" s="0" t="n">
        <v>0</v>
      </c>
      <c r="B78" s="0" t="n">
        <v>0</v>
      </c>
      <c r="C78" s="0" t="n">
        <v>8</v>
      </c>
      <c r="D78" s="0" t="n">
        <v>1</v>
      </c>
      <c r="E78" s="0" t="n">
        <f aca="false">-1+A78*0.25</f>
        <v>-1</v>
      </c>
      <c r="F78" s="0" t="n">
        <f aca="false">-1+B78*0.25</f>
        <v>-1</v>
      </c>
      <c r="G78" s="0" t="n">
        <f aca="false">-1+C78*0.25</f>
        <v>1</v>
      </c>
      <c r="H78" s="0" t="n">
        <f aca="false">-1+D78*0.25</f>
        <v>-0.75</v>
      </c>
      <c r="I78" s="0" t="n">
        <f aca="false">1</f>
        <v>1</v>
      </c>
      <c r="J78" s="0" t="n">
        <f aca="false">E78</f>
        <v>-1</v>
      </c>
      <c r="K78" s="0" t="n">
        <f aca="false">F78</f>
        <v>-1</v>
      </c>
      <c r="L78" s="0" t="n">
        <f aca="false">G78</f>
        <v>1</v>
      </c>
      <c r="M78" s="0" t="n">
        <f aca="false">H78</f>
        <v>-0.75</v>
      </c>
      <c r="N78" s="0" t="n">
        <f aca="false">E78*F78</f>
        <v>1</v>
      </c>
      <c r="O78" s="0" t="n">
        <f aca="false">E78*G78</f>
        <v>-1</v>
      </c>
      <c r="P78" s="0" t="n">
        <f aca="false">E78*H78</f>
        <v>0.75</v>
      </c>
      <c r="Q78" s="0" t="n">
        <f aca="false">F78*G78</f>
        <v>-1</v>
      </c>
      <c r="R78" s="0" t="n">
        <f aca="false">F78*H78</f>
        <v>0.75</v>
      </c>
      <c r="S78" s="0" t="n">
        <f aca="false">G78*H78</f>
        <v>-0.75</v>
      </c>
      <c r="T78" s="0" t="n">
        <f aca="false">E78*E78</f>
        <v>1</v>
      </c>
      <c r="U78" s="0" t="n">
        <f aca="false">F78*F78</f>
        <v>1</v>
      </c>
      <c r="V78" s="0" t="n">
        <f aca="false">G78*G78</f>
        <v>1</v>
      </c>
      <c r="W78" s="0" t="n">
        <f aca="false">H78*H78</f>
        <v>0.5625</v>
      </c>
      <c r="X78" s="0" t="n">
        <f aca="false">SUMPRODUCT(I78:W78,_XtX!$B$96:$P$96)</f>
        <v>39.6058114035088</v>
      </c>
      <c r="Y78" s="0" t="n">
        <f aca="false">SUMPRODUCT(MMULT(I78:W78,_XtX!$B$78:$P$92),I78:W78)</f>
        <v>0.610814144736842</v>
      </c>
      <c r="Z78" s="0" t="n">
        <f aca="false">04_回帰ANOVA!$K$19*04_回帰ANOVA!$K$14*SQRT(1+Y78)</f>
        <v>1.6543260558361</v>
      </c>
      <c r="AA78" s="0" t="n">
        <f aca="false">X78-Z78</f>
        <v>37.9514853476727</v>
      </c>
      <c r="AB78" s="0" t="n">
        <f aca="false">X78+Z78</f>
        <v>41.2601374593449</v>
      </c>
      <c r="AC78" s="54" t="b">
        <f aca="false">AND(E78&gt;=01_因子設定!$L$5-0.000000001,E78&lt;=01_因子設定!$M$5+0.000000001,F78&gt;=01_因子設定!$L$6-0.000000001,F78&lt;=01_因子設定!$M$6+0.000000001,G78&gt;=01_因子設定!$L$7-0.000000001,G78&lt;=01_因子設定!$M$7+0.000000001,H78&gt;=01_因子設定!$L$8-0.000000001,H78&lt;=01_因子設定!$M$8+0.000000001,IF(01_因子設定!$B$20="Box-Behnken",E78^2+F78^2+G78^2+H78^2&lt;=2+0.000000001,TRUE()))</f>
        <v>1</v>
      </c>
      <c r="AD78" s="55" t="n">
        <f aca="false">IF(AC78,IF(01_因子設定!$B$13="最大化",AA78-01_因子設定!$B$14,IF(01_因子設定!$B$13="最小化",01_因子設定!$B$15-AB78,MIN(AA78-01_因子設定!$B$14,01_因子設定!$B$15-AB78))),-1E+030)</f>
        <v>-8.54851465232727</v>
      </c>
      <c r="AE78" s="55" t="n">
        <f aca="false">IF(AC78,IF(01_因子設定!$B$13="最大化",X78,IF(01_因子設定!$B$13="最小化",-X78,-ABS(X78-01_因子設定!$B$16))),-1E+030)</f>
        <v>39.6058114035088</v>
      </c>
      <c r="AF78" s="55" t="n">
        <f aca="false">AD78+ROW()*0.000000001</f>
        <v>-8.54851457432727</v>
      </c>
      <c r="AG78" s="55" t="n">
        <f aca="false">AE78+ROW()*0.000000001</f>
        <v>39.6058114815088</v>
      </c>
    </row>
    <row r="79" customFormat="false" ht="15" hidden="false" customHeight="false" outlineLevel="0" collapsed="false">
      <c r="A79" s="0" t="n">
        <v>0</v>
      </c>
      <c r="B79" s="0" t="n">
        <v>0</v>
      </c>
      <c r="C79" s="0" t="n">
        <v>8</v>
      </c>
      <c r="D79" s="0" t="n">
        <v>2</v>
      </c>
      <c r="E79" s="0" t="n">
        <f aca="false">-1+A79*0.25</f>
        <v>-1</v>
      </c>
      <c r="F79" s="0" t="n">
        <f aca="false">-1+B79*0.25</f>
        <v>-1</v>
      </c>
      <c r="G79" s="0" t="n">
        <f aca="false">-1+C79*0.25</f>
        <v>1</v>
      </c>
      <c r="H79" s="0" t="n">
        <f aca="false">-1+D79*0.25</f>
        <v>-0.5</v>
      </c>
      <c r="I79" s="0" t="n">
        <f aca="false">1</f>
        <v>1</v>
      </c>
      <c r="J79" s="0" t="n">
        <f aca="false">E79</f>
        <v>-1</v>
      </c>
      <c r="K79" s="0" t="n">
        <f aca="false">F79</f>
        <v>-1</v>
      </c>
      <c r="L79" s="0" t="n">
        <f aca="false">G79</f>
        <v>1</v>
      </c>
      <c r="M79" s="0" t="n">
        <f aca="false">H79</f>
        <v>-0.5</v>
      </c>
      <c r="N79" s="0" t="n">
        <f aca="false">E79*F79</f>
        <v>1</v>
      </c>
      <c r="O79" s="0" t="n">
        <f aca="false">E79*G79</f>
        <v>-1</v>
      </c>
      <c r="P79" s="0" t="n">
        <f aca="false">E79*H79</f>
        <v>0.5</v>
      </c>
      <c r="Q79" s="0" t="n">
        <f aca="false">F79*G79</f>
        <v>-1</v>
      </c>
      <c r="R79" s="0" t="n">
        <f aca="false">F79*H79</f>
        <v>0.5</v>
      </c>
      <c r="S79" s="0" t="n">
        <f aca="false">G79*H79</f>
        <v>-0.5</v>
      </c>
      <c r="T79" s="0" t="n">
        <f aca="false">E79*E79</f>
        <v>1</v>
      </c>
      <c r="U79" s="0" t="n">
        <f aca="false">F79*F79</f>
        <v>1</v>
      </c>
      <c r="V79" s="0" t="n">
        <f aca="false">G79*G79</f>
        <v>1</v>
      </c>
      <c r="W79" s="0" t="n">
        <f aca="false">H79*H79</f>
        <v>0.25</v>
      </c>
      <c r="X79" s="0" t="n">
        <f aca="false">SUMPRODUCT(I79:W79,_XtX!$B$96:$P$96)</f>
        <v>39.9204678362574</v>
      </c>
      <c r="Y79" s="0" t="n">
        <f aca="false">SUMPRODUCT(MMULT(I79:W79,_XtX!$B$78:$P$92),I79:W79)</f>
        <v>0.667123538011696</v>
      </c>
      <c r="Z79" s="0" t="n">
        <f aca="false">04_回帰ANOVA!$K$19*04_回帰ANOVA!$K$14*SQRT(1+Y79)</f>
        <v>1.68299290213005</v>
      </c>
      <c r="AA79" s="0" t="n">
        <f aca="false">X79-Z79</f>
        <v>38.2374749341273</v>
      </c>
      <c r="AB79" s="0" t="n">
        <f aca="false">X79+Z79</f>
        <v>41.6034607383874</v>
      </c>
      <c r="AC79" s="54" t="b">
        <f aca="false">AND(E79&gt;=01_因子設定!$L$5-0.000000001,E79&lt;=01_因子設定!$M$5+0.000000001,F79&gt;=01_因子設定!$L$6-0.000000001,F79&lt;=01_因子設定!$M$6+0.000000001,G79&gt;=01_因子設定!$L$7-0.000000001,G79&lt;=01_因子設定!$M$7+0.000000001,H79&gt;=01_因子設定!$L$8-0.000000001,H79&lt;=01_因子設定!$M$8+0.000000001,IF(01_因子設定!$B$20="Box-Behnken",E79^2+F79^2+G79^2+H79^2&lt;=2+0.000000001,TRUE()))</f>
        <v>1</v>
      </c>
      <c r="AD79" s="55" t="n">
        <f aca="false">IF(AC79,IF(01_因子設定!$B$13="最大化",AA79-01_因子設定!$B$14,IF(01_因子設定!$B$13="最小化",01_因子設定!$B$15-AB79,MIN(AA79-01_因子設定!$B$14,01_因子設定!$B$15-AB79))),-1E+030)</f>
        <v>-8.2625250658727</v>
      </c>
      <c r="AE79" s="55" t="n">
        <f aca="false">IF(AC79,IF(01_因子設定!$B$13="最大化",X79,IF(01_因子設定!$B$13="最小化",-X79,-ABS(X79-01_因子設定!$B$16))),-1E+030)</f>
        <v>39.9204678362574</v>
      </c>
      <c r="AF79" s="55" t="n">
        <f aca="false">AD79+ROW()*0.000000001</f>
        <v>-8.2625249868727</v>
      </c>
      <c r="AG79" s="55" t="n">
        <f aca="false">AE79+ROW()*0.000000001</f>
        <v>39.9204679152574</v>
      </c>
    </row>
    <row r="80" customFormat="false" ht="15" hidden="false" customHeight="false" outlineLevel="0" collapsed="false">
      <c r="A80" s="0" t="n">
        <v>0</v>
      </c>
      <c r="B80" s="0" t="n">
        <v>0</v>
      </c>
      <c r="C80" s="0" t="n">
        <v>8</v>
      </c>
      <c r="D80" s="0" t="n">
        <v>3</v>
      </c>
      <c r="E80" s="0" t="n">
        <f aca="false">-1+A80*0.25</f>
        <v>-1</v>
      </c>
      <c r="F80" s="0" t="n">
        <f aca="false">-1+B80*0.25</f>
        <v>-1</v>
      </c>
      <c r="G80" s="0" t="n">
        <f aca="false">-1+C80*0.25</f>
        <v>1</v>
      </c>
      <c r="H80" s="0" t="n">
        <f aca="false">-1+D80*0.25</f>
        <v>-0.25</v>
      </c>
      <c r="I80" s="0" t="n">
        <f aca="false">1</f>
        <v>1</v>
      </c>
      <c r="J80" s="0" t="n">
        <f aca="false">E80</f>
        <v>-1</v>
      </c>
      <c r="K80" s="0" t="n">
        <f aca="false">F80</f>
        <v>-1</v>
      </c>
      <c r="L80" s="0" t="n">
        <f aca="false">G80</f>
        <v>1</v>
      </c>
      <c r="M80" s="0" t="n">
        <f aca="false">H80</f>
        <v>-0.25</v>
      </c>
      <c r="N80" s="0" t="n">
        <f aca="false">E80*F80</f>
        <v>1</v>
      </c>
      <c r="O80" s="0" t="n">
        <f aca="false">E80*G80</f>
        <v>-1</v>
      </c>
      <c r="P80" s="0" t="n">
        <f aca="false">E80*H80</f>
        <v>0.25</v>
      </c>
      <c r="Q80" s="0" t="n">
        <f aca="false">F80*G80</f>
        <v>-1</v>
      </c>
      <c r="R80" s="0" t="n">
        <f aca="false">F80*H80</f>
        <v>0.25</v>
      </c>
      <c r="S80" s="0" t="n">
        <f aca="false">G80*H80</f>
        <v>-0.25</v>
      </c>
      <c r="T80" s="0" t="n">
        <f aca="false">E80*E80</f>
        <v>1</v>
      </c>
      <c r="U80" s="0" t="n">
        <f aca="false">F80*F80</f>
        <v>1</v>
      </c>
      <c r="V80" s="0" t="n">
        <f aca="false">G80*G80</f>
        <v>1</v>
      </c>
      <c r="W80" s="0" t="n">
        <f aca="false">H80*H80</f>
        <v>0.0625</v>
      </c>
      <c r="X80" s="0" t="n">
        <f aca="false">SUMPRODUCT(I80:W80,_XtX!$B$96:$P$96)</f>
        <v>40.187317251462</v>
      </c>
      <c r="Y80" s="0" t="n">
        <f aca="false">SUMPRODUCT(MMULT(I80:W80,_XtX!$B$78:$P$92),I80:W80)</f>
        <v>0.737093384502924</v>
      </c>
      <c r="Z80" s="0" t="n">
        <f aca="false">04_回帰ANOVA!$K$19*04_回帰ANOVA!$K$14*SQRT(1+Y80)</f>
        <v>1.71794784853551</v>
      </c>
      <c r="AA80" s="0" t="n">
        <f aca="false">X80-Z80</f>
        <v>38.4693694029265</v>
      </c>
      <c r="AB80" s="0" t="n">
        <f aca="false">X80+Z80</f>
        <v>41.9052650999975</v>
      </c>
      <c r="AC80" s="54" t="b">
        <f aca="false">AND(E80&gt;=01_因子設定!$L$5-0.000000001,E80&lt;=01_因子設定!$M$5+0.000000001,F80&gt;=01_因子設定!$L$6-0.000000001,F80&lt;=01_因子設定!$M$6+0.000000001,G80&gt;=01_因子設定!$L$7-0.000000001,G80&lt;=01_因子設定!$M$7+0.000000001,H80&gt;=01_因子設定!$L$8-0.000000001,H80&lt;=01_因子設定!$M$8+0.000000001,IF(01_因子設定!$B$20="Box-Behnken",E80^2+F80^2+G80^2+H80^2&lt;=2+0.000000001,TRUE()))</f>
        <v>1</v>
      </c>
      <c r="AD80" s="55" t="n">
        <f aca="false">IF(AC80,IF(01_因子設定!$B$13="最大化",AA80-01_因子設定!$B$14,IF(01_因子設定!$B$13="最小化",01_因子設定!$B$15-AB80,MIN(AA80-01_因子設定!$B$14,01_因子設定!$B$15-AB80))),-1E+030)</f>
        <v>-8.03063059707348</v>
      </c>
      <c r="AE80" s="55" t="n">
        <f aca="false">IF(AC80,IF(01_因子設定!$B$13="最大化",X80,IF(01_因子設定!$B$13="最小化",-X80,-ABS(X80-01_因子設定!$B$16))),-1E+030)</f>
        <v>40.187317251462</v>
      </c>
      <c r="AF80" s="55" t="n">
        <f aca="false">AD80+ROW()*0.000000001</f>
        <v>-8.03063051707348</v>
      </c>
      <c r="AG80" s="55" t="n">
        <f aca="false">AE80+ROW()*0.000000001</f>
        <v>40.187317331462</v>
      </c>
    </row>
    <row r="81" customFormat="false" ht="15" hidden="false" customHeight="false" outlineLevel="0" collapsed="false">
      <c r="A81" s="0" t="n">
        <v>0</v>
      </c>
      <c r="B81" s="0" t="n">
        <v>0</v>
      </c>
      <c r="C81" s="0" t="n">
        <v>8</v>
      </c>
      <c r="D81" s="0" t="n">
        <v>4</v>
      </c>
      <c r="E81" s="0" t="n">
        <f aca="false">-1+A81*0.25</f>
        <v>-1</v>
      </c>
      <c r="F81" s="0" t="n">
        <f aca="false">-1+B81*0.25</f>
        <v>-1</v>
      </c>
      <c r="G81" s="0" t="n">
        <f aca="false">-1+C81*0.25</f>
        <v>1</v>
      </c>
      <c r="H81" s="0" t="n">
        <f aca="false">-1+D81*0.25</f>
        <v>0</v>
      </c>
      <c r="I81" s="0" t="n">
        <f aca="false">1</f>
        <v>1</v>
      </c>
      <c r="J81" s="0" t="n">
        <f aca="false">E81</f>
        <v>-1</v>
      </c>
      <c r="K81" s="0" t="n">
        <f aca="false">F81</f>
        <v>-1</v>
      </c>
      <c r="L81" s="0" t="n">
        <f aca="false">G81</f>
        <v>1</v>
      </c>
      <c r="M81" s="0" t="n">
        <f aca="false">H81</f>
        <v>0</v>
      </c>
      <c r="N81" s="0" t="n">
        <f aca="false">E81*F81</f>
        <v>1</v>
      </c>
      <c r="O81" s="0" t="n">
        <f aca="false">E81*G81</f>
        <v>-1</v>
      </c>
      <c r="P81" s="0" t="n">
        <f aca="false">E81*H81</f>
        <v>-0</v>
      </c>
      <c r="Q81" s="0" t="n">
        <f aca="false">F81*G81</f>
        <v>-1</v>
      </c>
      <c r="R81" s="0" t="n">
        <f aca="false">F81*H81</f>
        <v>-0</v>
      </c>
      <c r="S81" s="0" t="n">
        <f aca="false">G81*H81</f>
        <v>0</v>
      </c>
      <c r="T81" s="0" t="n">
        <f aca="false">E81*E81</f>
        <v>1</v>
      </c>
      <c r="U81" s="0" t="n">
        <f aca="false">F81*F81</f>
        <v>1</v>
      </c>
      <c r="V81" s="0" t="n">
        <f aca="false">G81*G81</f>
        <v>1</v>
      </c>
      <c r="W81" s="0" t="n">
        <f aca="false">H81*H81</f>
        <v>0</v>
      </c>
      <c r="X81" s="0" t="n">
        <f aca="false">SUMPRODUCT(I81:W81,_XtX!$B$96:$P$96)</f>
        <v>40.4063596491228</v>
      </c>
      <c r="Y81" s="0" t="n">
        <f aca="false">SUMPRODUCT(MMULT(I81:W81,_XtX!$B$78:$P$92),I81:W81)</f>
        <v>0.766447368421053</v>
      </c>
      <c r="Z81" s="0" t="n">
        <f aca="false">04_回帰ANOVA!$K$19*04_回帰ANOVA!$K$14*SQRT(1+Y81)</f>
        <v>1.7324022685743</v>
      </c>
      <c r="AA81" s="0" t="n">
        <f aca="false">X81-Z81</f>
        <v>38.6739573805485</v>
      </c>
      <c r="AB81" s="0" t="n">
        <f aca="false">X81+Z81</f>
        <v>42.1387619176971</v>
      </c>
      <c r="AC81" s="54" t="b">
        <f aca="false">AND(E81&gt;=01_因子設定!$L$5-0.000000001,E81&lt;=01_因子設定!$M$5+0.000000001,F81&gt;=01_因子設定!$L$6-0.000000001,F81&lt;=01_因子設定!$M$6+0.000000001,G81&gt;=01_因子設定!$L$7-0.000000001,G81&lt;=01_因子設定!$M$7+0.000000001,H81&gt;=01_因子設定!$L$8-0.000000001,H81&lt;=01_因子設定!$M$8+0.000000001,IF(01_因子設定!$B$20="Box-Behnken",E81^2+F81^2+G81^2+H81^2&lt;=2+0.000000001,TRUE()))</f>
        <v>1</v>
      </c>
      <c r="AD81" s="55" t="n">
        <f aca="false">IF(AC81,IF(01_因子設定!$B$13="最大化",AA81-01_因子設定!$B$14,IF(01_因子設定!$B$13="最小化",01_因子設定!$B$15-AB81,MIN(AA81-01_因子設定!$B$14,01_因子設定!$B$15-AB81))),-1E+030)</f>
        <v>-7.82604261945147</v>
      </c>
      <c r="AE81" s="55" t="n">
        <f aca="false">IF(AC81,IF(01_因子設定!$B$13="最大化",X81,IF(01_因子設定!$B$13="最小化",-X81,-ABS(X81-01_因子設定!$B$16))),-1E+030)</f>
        <v>40.4063596491228</v>
      </c>
      <c r="AF81" s="55" t="n">
        <f aca="false">AD81+ROW()*0.000000001</f>
        <v>-7.82604253845147</v>
      </c>
      <c r="AG81" s="55" t="n">
        <f aca="false">AE81+ROW()*0.000000001</f>
        <v>40.4063597301228</v>
      </c>
    </row>
    <row r="82" customFormat="false" ht="15" hidden="false" customHeight="false" outlineLevel="0" collapsed="false">
      <c r="A82" s="0" t="n">
        <v>0</v>
      </c>
      <c r="B82" s="0" t="n">
        <v>0</v>
      </c>
      <c r="C82" s="0" t="n">
        <v>8</v>
      </c>
      <c r="D82" s="0" t="n">
        <v>5</v>
      </c>
      <c r="E82" s="0" t="n">
        <f aca="false">-1+A82*0.25</f>
        <v>-1</v>
      </c>
      <c r="F82" s="0" t="n">
        <f aca="false">-1+B82*0.25</f>
        <v>-1</v>
      </c>
      <c r="G82" s="0" t="n">
        <f aca="false">-1+C82*0.25</f>
        <v>1</v>
      </c>
      <c r="H82" s="0" t="n">
        <f aca="false">-1+D82*0.25</f>
        <v>0.25</v>
      </c>
      <c r="I82" s="0" t="n">
        <f aca="false">1</f>
        <v>1</v>
      </c>
      <c r="J82" s="0" t="n">
        <f aca="false">E82</f>
        <v>-1</v>
      </c>
      <c r="K82" s="0" t="n">
        <f aca="false">F82</f>
        <v>-1</v>
      </c>
      <c r="L82" s="0" t="n">
        <f aca="false">G82</f>
        <v>1</v>
      </c>
      <c r="M82" s="0" t="n">
        <f aca="false">H82</f>
        <v>0.25</v>
      </c>
      <c r="N82" s="0" t="n">
        <f aca="false">E82*F82</f>
        <v>1</v>
      </c>
      <c r="O82" s="0" t="n">
        <f aca="false">E82*G82</f>
        <v>-1</v>
      </c>
      <c r="P82" s="0" t="n">
        <f aca="false">E82*H82</f>
        <v>-0.25</v>
      </c>
      <c r="Q82" s="0" t="n">
        <f aca="false">F82*G82</f>
        <v>-1</v>
      </c>
      <c r="R82" s="0" t="n">
        <f aca="false">F82*H82</f>
        <v>-0.25</v>
      </c>
      <c r="S82" s="0" t="n">
        <f aca="false">G82*H82</f>
        <v>0.25</v>
      </c>
      <c r="T82" s="0" t="n">
        <f aca="false">E82*E82</f>
        <v>1</v>
      </c>
      <c r="U82" s="0" t="n">
        <f aca="false">F82*F82</f>
        <v>1</v>
      </c>
      <c r="V82" s="0" t="n">
        <f aca="false">G82*G82</f>
        <v>1</v>
      </c>
      <c r="W82" s="0" t="n">
        <f aca="false">H82*H82</f>
        <v>0.0625</v>
      </c>
      <c r="X82" s="0" t="n">
        <f aca="false">SUMPRODUCT(I82:W82,_XtX!$B$96:$P$96)</f>
        <v>40.5775950292398</v>
      </c>
      <c r="Y82" s="0" t="n">
        <f aca="false">SUMPRODUCT(MMULT(I82:W82,_XtX!$B$78:$P$92),I82:W82)</f>
        <v>0.737093384502924</v>
      </c>
      <c r="Z82" s="0" t="n">
        <f aca="false">04_回帰ANOVA!$K$19*04_回帰ANOVA!$K$14*SQRT(1+Y82)</f>
        <v>1.71794784853551</v>
      </c>
      <c r="AA82" s="0" t="n">
        <f aca="false">X82-Z82</f>
        <v>38.8596471807043</v>
      </c>
      <c r="AB82" s="0" t="n">
        <f aca="false">X82+Z82</f>
        <v>42.2955428777753</v>
      </c>
      <c r="AC82" s="54" t="b">
        <f aca="false">AND(E82&gt;=01_因子設定!$L$5-0.000000001,E82&lt;=01_因子設定!$M$5+0.000000001,F82&gt;=01_因子設定!$L$6-0.000000001,F82&lt;=01_因子設定!$M$6+0.000000001,G82&gt;=01_因子設定!$L$7-0.000000001,G82&lt;=01_因子設定!$M$7+0.000000001,H82&gt;=01_因子設定!$L$8-0.000000001,H82&lt;=01_因子設定!$M$8+0.000000001,IF(01_因子設定!$B$20="Box-Behnken",E82^2+F82^2+G82^2+H82^2&lt;=2+0.000000001,TRUE()))</f>
        <v>1</v>
      </c>
      <c r="AD82" s="55" t="n">
        <f aca="false">IF(AC82,IF(01_因子設定!$B$13="最大化",AA82-01_因子設定!$B$14,IF(01_因子設定!$B$13="最小化",01_因子設定!$B$15-AB82,MIN(AA82-01_因子設定!$B$14,01_因子設定!$B$15-AB82))),-1E+030)</f>
        <v>-7.64035281929571</v>
      </c>
      <c r="AE82" s="55" t="n">
        <f aca="false">IF(AC82,IF(01_因子設定!$B$13="最大化",X82,IF(01_因子設定!$B$13="最小化",-X82,-ABS(X82-01_因子設定!$B$16))),-1E+030)</f>
        <v>40.5775950292398</v>
      </c>
      <c r="AF82" s="55" t="n">
        <f aca="false">AD82+ROW()*0.000000001</f>
        <v>-7.64035273729571</v>
      </c>
      <c r="AG82" s="55" t="n">
        <f aca="false">AE82+ROW()*0.000000001</f>
        <v>40.5775951112398</v>
      </c>
    </row>
    <row r="83" customFormat="false" ht="15" hidden="false" customHeight="false" outlineLevel="0" collapsed="false">
      <c r="A83" s="0" t="n">
        <v>0</v>
      </c>
      <c r="B83" s="0" t="n">
        <v>0</v>
      </c>
      <c r="C83" s="0" t="n">
        <v>8</v>
      </c>
      <c r="D83" s="0" t="n">
        <v>6</v>
      </c>
      <c r="E83" s="0" t="n">
        <f aca="false">-1+A83*0.25</f>
        <v>-1</v>
      </c>
      <c r="F83" s="0" t="n">
        <f aca="false">-1+B83*0.25</f>
        <v>-1</v>
      </c>
      <c r="G83" s="0" t="n">
        <f aca="false">-1+C83*0.25</f>
        <v>1</v>
      </c>
      <c r="H83" s="0" t="n">
        <f aca="false">-1+D83*0.25</f>
        <v>0.5</v>
      </c>
      <c r="I83" s="0" t="n">
        <f aca="false">1</f>
        <v>1</v>
      </c>
      <c r="J83" s="0" t="n">
        <f aca="false">E83</f>
        <v>-1</v>
      </c>
      <c r="K83" s="0" t="n">
        <f aca="false">F83</f>
        <v>-1</v>
      </c>
      <c r="L83" s="0" t="n">
        <f aca="false">G83</f>
        <v>1</v>
      </c>
      <c r="M83" s="0" t="n">
        <f aca="false">H83</f>
        <v>0.5</v>
      </c>
      <c r="N83" s="0" t="n">
        <f aca="false">E83*F83</f>
        <v>1</v>
      </c>
      <c r="O83" s="0" t="n">
        <f aca="false">E83*G83</f>
        <v>-1</v>
      </c>
      <c r="P83" s="0" t="n">
        <f aca="false">E83*H83</f>
        <v>-0.5</v>
      </c>
      <c r="Q83" s="0" t="n">
        <f aca="false">F83*G83</f>
        <v>-1</v>
      </c>
      <c r="R83" s="0" t="n">
        <f aca="false">F83*H83</f>
        <v>-0.5</v>
      </c>
      <c r="S83" s="0" t="n">
        <f aca="false">G83*H83</f>
        <v>0.5</v>
      </c>
      <c r="T83" s="0" t="n">
        <f aca="false">E83*E83</f>
        <v>1</v>
      </c>
      <c r="U83" s="0" t="n">
        <f aca="false">F83*F83</f>
        <v>1</v>
      </c>
      <c r="V83" s="0" t="n">
        <f aca="false">G83*G83</f>
        <v>1</v>
      </c>
      <c r="W83" s="0" t="n">
        <f aca="false">H83*H83</f>
        <v>0.25</v>
      </c>
      <c r="X83" s="0" t="n">
        <f aca="false">SUMPRODUCT(I83:W83,_XtX!$B$96:$P$96)</f>
        <v>40.7010233918129</v>
      </c>
      <c r="Y83" s="0" t="n">
        <f aca="false">SUMPRODUCT(MMULT(I83:W83,_XtX!$B$78:$P$92),I83:W83)</f>
        <v>0.667123538011696</v>
      </c>
      <c r="Z83" s="0" t="n">
        <f aca="false">04_回帰ANOVA!$K$19*04_回帰ANOVA!$K$14*SQRT(1+Y83)</f>
        <v>1.68299290213005</v>
      </c>
      <c r="AA83" s="0" t="n">
        <f aca="false">X83-Z83</f>
        <v>39.0180304896829</v>
      </c>
      <c r="AB83" s="0" t="n">
        <f aca="false">X83+Z83</f>
        <v>42.384016293943</v>
      </c>
      <c r="AC83" s="54" t="b">
        <f aca="false">AND(E83&gt;=01_因子設定!$L$5-0.000000001,E83&lt;=01_因子設定!$M$5+0.000000001,F83&gt;=01_因子設定!$L$6-0.000000001,F83&lt;=01_因子設定!$M$6+0.000000001,G83&gt;=01_因子設定!$L$7-0.000000001,G83&lt;=01_因子設定!$M$7+0.000000001,H83&gt;=01_因子設定!$L$8-0.000000001,H83&lt;=01_因子設定!$M$8+0.000000001,IF(01_因子設定!$B$20="Box-Behnken",E83^2+F83^2+G83^2+H83^2&lt;=2+0.000000001,TRUE()))</f>
        <v>1</v>
      </c>
      <c r="AD83" s="55" t="n">
        <f aca="false">IF(AC83,IF(01_因子設定!$B$13="最大化",AA83-01_因子設定!$B$14,IF(01_因子設定!$B$13="最小化",01_因子設定!$B$15-AB83,MIN(AA83-01_因子設定!$B$14,01_因子設定!$B$15-AB83))),-1E+030)</f>
        <v>-7.48196951031715</v>
      </c>
      <c r="AE83" s="55" t="n">
        <f aca="false">IF(AC83,IF(01_因子設定!$B$13="最大化",X83,IF(01_因子設定!$B$13="最小化",-X83,-ABS(X83-01_因子設定!$B$16))),-1E+030)</f>
        <v>40.7010233918129</v>
      </c>
      <c r="AF83" s="55" t="n">
        <f aca="false">AD83+ROW()*0.000000001</f>
        <v>-7.48196942731715</v>
      </c>
      <c r="AG83" s="55" t="n">
        <f aca="false">AE83+ROW()*0.000000001</f>
        <v>40.7010234748129</v>
      </c>
    </row>
    <row r="84" customFormat="false" ht="15" hidden="false" customHeight="false" outlineLevel="0" collapsed="false">
      <c r="A84" s="0" t="n">
        <v>0</v>
      </c>
      <c r="B84" s="0" t="n">
        <v>0</v>
      </c>
      <c r="C84" s="0" t="n">
        <v>8</v>
      </c>
      <c r="D84" s="0" t="n">
        <v>7</v>
      </c>
      <c r="E84" s="0" t="n">
        <f aca="false">-1+A84*0.25</f>
        <v>-1</v>
      </c>
      <c r="F84" s="0" t="n">
        <f aca="false">-1+B84*0.25</f>
        <v>-1</v>
      </c>
      <c r="G84" s="0" t="n">
        <f aca="false">-1+C84*0.25</f>
        <v>1</v>
      </c>
      <c r="H84" s="0" t="n">
        <f aca="false">-1+D84*0.25</f>
        <v>0.75</v>
      </c>
      <c r="I84" s="0" t="n">
        <f aca="false">1</f>
        <v>1</v>
      </c>
      <c r="J84" s="0" t="n">
        <f aca="false">E84</f>
        <v>-1</v>
      </c>
      <c r="K84" s="0" t="n">
        <f aca="false">F84</f>
        <v>-1</v>
      </c>
      <c r="L84" s="0" t="n">
        <f aca="false">G84</f>
        <v>1</v>
      </c>
      <c r="M84" s="0" t="n">
        <f aca="false">H84</f>
        <v>0.75</v>
      </c>
      <c r="N84" s="0" t="n">
        <f aca="false">E84*F84</f>
        <v>1</v>
      </c>
      <c r="O84" s="0" t="n">
        <f aca="false">E84*G84</f>
        <v>-1</v>
      </c>
      <c r="P84" s="0" t="n">
        <f aca="false">E84*H84</f>
        <v>-0.75</v>
      </c>
      <c r="Q84" s="0" t="n">
        <f aca="false">F84*G84</f>
        <v>-1</v>
      </c>
      <c r="R84" s="0" t="n">
        <f aca="false">F84*H84</f>
        <v>-0.75</v>
      </c>
      <c r="S84" s="0" t="n">
        <f aca="false">G84*H84</f>
        <v>0.75</v>
      </c>
      <c r="T84" s="0" t="n">
        <f aca="false">E84*E84</f>
        <v>1</v>
      </c>
      <c r="U84" s="0" t="n">
        <f aca="false">F84*F84</f>
        <v>1</v>
      </c>
      <c r="V84" s="0" t="n">
        <f aca="false">G84*G84</f>
        <v>1</v>
      </c>
      <c r="W84" s="0" t="n">
        <f aca="false">H84*H84</f>
        <v>0.5625</v>
      </c>
      <c r="X84" s="0" t="n">
        <f aca="false">SUMPRODUCT(I84:W84,_XtX!$B$96:$P$96)</f>
        <v>40.7766447368422</v>
      </c>
      <c r="Y84" s="0" t="n">
        <f aca="false">SUMPRODUCT(MMULT(I84:W84,_XtX!$B$78:$P$92),I84:W84)</f>
        <v>0.610814144736842</v>
      </c>
      <c r="Z84" s="0" t="n">
        <f aca="false">04_回帰ANOVA!$K$19*04_回帰ANOVA!$K$14*SQRT(1+Y84)</f>
        <v>1.6543260558361</v>
      </c>
      <c r="AA84" s="0" t="n">
        <f aca="false">X84-Z84</f>
        <v>39.1223186810061</v>
      </c>
      <c r="AB84" s="0" t="n">
        <f aca="false">X84+Z84</f>
        <v>42.4309707926783</v>
      </c>
      <c r="AC84" s="54" t="b">
        <f aca="false">AND(E84&gt;=01_因子設定!$L$5-0.000000001,E84&lt;=01_因子設定!$M$5+0.000000001,F84&gt;=01_因子設定!$L$6-0.000000001,F84&lt;=01_因子設定!$M$6+0.000000001,G84&gt;=01_因子設定!$L$7-0.000000001,G84&lt;=01_因子設定!$M$7+0.000000001,H84&gt;=01_因子設定!$L$8-0.000000001,H84&lt;=01_因子設定!$M$8+0.000000001,IF(01_因子設定!$B$20="Box-Behnken",E84^2+F84^2+G84^2+H84^2&lt;=2+0.000000001,TRUE()))</f>
        <v>1</v>
      </c>
      <c r="AD84" s="55" t="n">
        <f aca="false">IF(AC84,IF(01_因子設定!$B$13="最大化",AA84-01_因子設定!$B$14,IF(01_因子設定!$B$13="最小化",01_因子設定!$B$15-AB84,MIN(AA84-01_因子設定!$B$14,01_因子設定!$B$15-AB84))),-1E+030)</f>
        <v>-7.37768131899394</v>
      </c>
      <c r="AE84" s="55" t="n">
        <f aca="false">IF(AC84,IF(01_因子設定!$B$13="最大化",X84,IF(01_因子設定!$B$13="最小化",-X84,-ABS(X84-01_因子設定!$B$16))),-1E+030)</f>
        <v>40.7766447368422</v>
      </c>
      <c r="AF84" s="55" t="n">
        <f aca="false">AD84+ROW()*0.000000001</f>
        <v>-7.37768123499394</v>
      </c>
      <c r="AG84" s="55" t="n">
        <f aca="false">AE84+ROW()*0.000000001</f>
        <v>40.7766448208422</v>
      </c>
    </row>
    <row r="85" customFormat="false" ht="15" hidden="false" customHeight="false" outlineLevel="0" collapsed="false">
      <c r="A85" s="0" t="n">
        <v>0</v>
      </c>
      <c r="B85" s="0" t="n">
        <v>0</v>
      </c>
      <c r="C85" s="0" t="n">
        <v>8</v>
      </c>
      <c r="D85" s="0" t="n">
        <v>8</v>
      </c>
      <c r="E85" s="0" t="n">
        <f aca="false">-1+A85*0.25</f>
        <v>-1</v>
      </c>
      <c r="F85" s="0" t="n">
        <f aca="false">-1+B85*0.25</f>
        <v>-1</v>
      </c>
      <c r="G85" s="0" t="n">
        <f aca="false">-1+C85*0.25</f>
        <v>1</v>
      </c>
      <c r="H85" s="0" t="n">
        <f aca="false">-1+D85*0.25</f>
        <v>1</v>
      </c>
      <c r="I85" s="0" t="n">
        <f aca="false">1</f>
        <v>1</v>
      </c>
      <c r="J85" s="0" t="n">
        <f aca="false">E85</f>
        <v>-1</v>
      </c>
      <c r="K85" s="0" t="n">
        <f aca="false">F85</f>
        <v>-1</v>
      </c>
      <c r="L85" s="0" t="n">
        <f aca="false">G85</f>
        <v>1</v>
      </c>
      <c r="M85" s="0" t="n">
        <f aca="false">H85</f>
        <v>1</v>
      </c>
      <c r="N85" s="0" t="n">
        <f aca="false">E85*F85</f>
        <v>1</v>
      </c>
      <c r="O85" s="0" t="n">
        <f aca="false">E85*G85</f>
        <v>-1</v>
      </c>
      <c r="P85" s="0" t="n">
        <f aca="false">E85*H85</f>
        <v>-1</v>
      </c>
      <c r="Q85" s="0" t="n">
        <f aca="false">F85*G85</f>
        <v>-1</v>
      </c>
      <c r="R85" s="0" t="n">
        <f aca="false">F85*H85</f>
        <v>-1</v>
      </c>
      <c r="S85" s="0" t="n">
        <f aca="false">G85*H85</f>
        <v>1</v>
      </c>
      <c r="T85" s="0" t="n">
        <f aca="false">E85*E85</f>
        <v>1</v>
      </c>
      <c r="U85" s="0" t="n">
        <f aca="false">F85*F85</f>
        <v>1</v>
      </c>
      <c r="V85" s="0" t="n">
        <f aca="false">G85*G85</f>
        <v>1</v>
      </c>
      <c r="W85" s="0" t="n">
        <f aca="false">H85*H85</f>
        <v>1</v>
      </c>
      <c r="X85" s="0" t="n">
        <f aca="false">SUMPRODUCT(I85:W85,_XtX!$B$96:$P$96)</f>
        <v>40.8044590643276</v>
      </c>
      <c r="Y85" s="0" t="n">
        <f aca="false">SUMPRODUCT(MMULT(I85:W85,_XtX!$B$78:$P$92),I85:W85)</f>
        <v>0.658625730994152</v>
      </c>
      <c r="Z85" s="0" t="n">
        <f aca="false">04_回帰ANOVA!$K$19*04_回帰ANOVA!$K$14*SQRT(1+Y85)</f>
        <v>1.67869807328422</v>
      </c>
      <c r="AA85" s="0" t="n">
        <f aca="false">X85-Z85</f>
        <v>39.1257609910433</v>
      </c>
      <c r="AB85" s="0" t="n">
        <f aca="false">X85+Z85</f>
        <v>42.4831571376118</v>
      </c>
      <c r="AC85" s="54" t="b">
        <f aca="false">AND(E85&gt;=01_因子設定!$L$5-0.000000001,E85&lt;=01_因子設定!$M$5+0.000000001,F85&gt;=01_因子設定!$L$6-0.000000001,F85&lt;=01_因子設定!$M$6+0.000000001,G85&gt;=01_因子設定!$L$7-0.000000001,G85&lt;=01_因子設定!$M$7+0.000000001,H85&gt;=01_因子設定!$L$8-0.000000001,H85&lt;=01_因子設定!$M$8+0.000000001,IF(01_因子設定!$B$20="Box-Behnken",E85^2+F85^2+G85^2+H85^2&lt;=2+0.000000001,TRUE()))</f>
        <v>1</v>
      </c>
      <c r="AD85" s="55" t="n">
        <f aca="false">IF(AC85,IF(01_因子設定!$B$13="最大化",AA85-01_因子設定!$B$14,IF(01_因子設定!$B$13="最小化",01_因子設定!$B$15-AB85,MIN(AA85-01_因子設定!$B$14,01_因子設定!$B$15-AB85))),-1E+030)</f>
        <v>-7.37423900895667</v>
      </c>
      <c r="AE85" s="55" t="n">
        <f aca="false">IF(AC85,IF(01_因子設定!$B$13="最大化",X85,IF(01_因子設定!$B$13="最小化",-X85,-ABS(X85-01_因子設定!$B$16))),-1E+030)</f>
        <v>40.8044590643276</v>
      </c>
      <c r="AF85" s="55" t="n">
        <f aca="false">AD85+ROW()*0.000000001</f>
        <v>-7.37423892395667</v>
      </c>
      <c r="AG85" s="55" t="n">
        <f aca="false">AE85+ROW()*0.000000001</f>
        <v>40.8044591493276</v>
      </c>
    </row>
    <row r="86" customFormat="false" ht="15" hidden="false" customHeight="false" outlineLevel="0" collapsed="false">
      <c r="A86" s="0" t="n">
        <v>0</v>
      </c>
      <c r="B86" s="0" t="n">
        <v>1</v>
      </c>
      <c r="C86" s="0" t="n">
        <v>0</v>
      </c>
      <c r="D86" s="0" t="n">
        <v>0</v>
      </c>
      <c r="E86" s="0" t="n">
        <f aca="false">-1+A86*0.25</f>
        <v>-1</v>
      </c>
      <c r="F86" s="0" t="n">
        <f aca="false">-1+B86*0.25</f>
        <v>-0.75</v>
      </c>
      <c r="G86" s="0" t="n">
        <f aca="false">-1+C86*0.25</f>
        <v>-1</v>
      </c>
      <c r="H86" s="0" t="n">
        <f aca="false">-1+D86*0.25</f>
        <v>-1</v>
      </c>
      <c r="I86" s="0" t="n">
        <f aca="false">1</f>
        <v>1</v>
      </c>
      <c r="J86" s="0" t="n">
        <f aca="false">E86</f>
        <v>-1</v>
      </c>
      <c r="K86" s="0" t="n">
        <f aca="false">F86</f>
        <v>-0.75</v>
      </c>
      <c r="L86" s="0" t="n">
        <f aca="false">G86</f>
        <v>-1</v>
      </c>
      <c r="M86" s="0" t="n">
        <f aca="false">H86</f>
        <v>-1</v>
      </c>
      <c r="N86" s="0" t="n">
        <f aca="false">E86*F86</f>
        <v>0.75</v>
      </c>
      <c r="O86" s="0" t="n">
        <f aca="false">E86*G86</f>
        <v>1</v>
      </c>
      <c r="P86" s="0" t="n">
        <f aca="false">E86*H86</f>
        <v>1</v>
      </c>
      <c r="Q86" s="0" t="n">
        <f aca="false">F86*G86</f>
        <v>0.75</v>
      </c>
      <c r="R86" s="0" t="n">
        <f aca="false">F86*H86</f>
        <v>0.75</v>
      </c>
      <c r="S86" s="0" t="n">
        <f aca="false">G86*H86</f>
        <v>1</v>
      </c>
      <c r="T86" s="0" t="n">
        <f aca="false">E86*E86</f>
        <v>1</v>
      </c>
      <c r="U86" s="0" t="n">
        <f aca="false">F86*F86</f>
        <v>0.5625</v>
      </c>
      <c r="V86" s="0" t="n">
        <f aca="false">G86*G86</f>
        <v>1</v>
      </c>
      <c r="W86" s="0" t="n">
        <f aca="false">H86*H86</f>
        <v>1</v>
      </c>
      <c r="X86" s="0" t="n">
        <f aca="false">SUMPRODUCT(I86:W86,_XtX!$B$96:$P$96)</f>
        <v>38.5238669590644</v>
      </c>
      <c r="Y86" s="0" t="n">
        <f aca="false">SUMPRODUCT(MMULT(I86:W86,_XtX!$B$78:$P$92),I86:W86)</f>
        <v>0.610814144736842</v>
      </c>
      <c r="Z86" s="0" t="n">
        <f aca="false">04_回帰ANOVA!$K$19*04_回帰ANOVA!$K$14*SQRT(1+Y86)</f>
        <v>1.6543260558361</v>
      </c>
      <c r="AA86" s="0" t="n">
        <f aca="false">X86-Z86</f>
        <v>36.8695409032283</v>
      </c>
      <c r="AB86" s="0" t="n">
        <f aca="false">X86+Z86</f>
        <v>40.1781930149005</v>
      </c>
      <c r="AC86" s="54" t="b">
        <f aca="false">AND(E86&gt;=01_因子設定!$L$5-0.000000001,E86&lt;=01_因子設定!$M$5+0.000000001,F86&gt;=01_因子設定!$L$6-0.000000001,F86&lt;=01_因子設定!$M$6+0.000000001,G86&gt;=01_因子設定!$L$7-0.000000001,G86&lt;=01_因子設定!$M$7+0.000000001,H86&gt;=01_因子設定!$L$8-0.000000001,H86&lt;=01_因子設定!$M$8+0.000000001,IF(01_因子設定!$B$20="Box-Behnken",E86^2+F86^2+G86^2+H86^2&lt;=2+0.000000001,TRUE()))</f>
        <v>1</v>
      </c>
      <c r="AD86" s="55" t="n">
        <f aca="false">IF(AC86,IF(01_因子設定!$B$13="最大化",AA86-01_因子設定!$B$14,IF(01_因子設定!$B$13="最小化",01_因子設定!$B$15-AB86,MIN(AA86-01_因子設定!$B$14,01_因子設定!$B$15-AB86))),-1E+030)</f>
        <v>-9.6304590967717</v>
      </c>
      <c r="AE86" s="55" t="n">
        <f aca="false">IF(AC86,IF(01_因子設定!$B$13="最大化",X86,IF(01_因子設定!$B$13="最小化",-X86,-ABS(X86-01_因子設定!$B$16))),-1E+030)</f>
        <v>38.5238669590644</v>
      </c>
      <c r="AF86" s="55" t="n">
        <f aca="false">AD86+ROW()*0.000000001</f>
        <v>-9.6304590107717</v>
      </c>
      <c r="AG86" s="55" t="n">
        <f aca="false">AE86+ROW()*0.000000001</f>
        <v>38.5238670450644</v>
      </c>
    </row>
    <row r="87" customFormat="false" ht="15" hidden="false" customHeight="false" outlineLevel="0" collapsed="false">
      <c r="A87" s="0" t="n">
        <v>0</v>
      </c>
      <c r="B87" s="0" t="n">
        <v>1</v>
      </c>
      <c r="C87" s="0" t="n">
        <v>0</v>
      </c>
      <c r="D87" s="0" t="n">
        <v>1</v>
      </c>
      <c r="E87" s="0" t="n">
        <f aca="false">-1+A87*0.25</f>
        <v>-1</v>
      </c>
      <c r="F87" s="0" t="n">
        <f aca="false">-1+B87*0.25</f>
        <v>-0.75</v>
      </c>
      <c r="G87" s="0" t="n">
        <f aca="false">-1+C87*0.25</f>
        <v>-1</v>
      </c>
      <c r="H87" s="0" t="n">
        <f aca="false">-1+D87*0.25</f>
        <v>-0.75</v>
      </c>
      <c r="I87" s="0" t="n">
        <f aca="false">1</f>
        <v>1</v>
      </c>
      <c r="J87" s="0" t="n">
        <f aca="false">E87</f>
        <v>-1</v>
      </c>
      <c r="K87" s="0" t="n">
        <f aca="false">F87</f>
        <v>-0.75</v>
      </c>
      <c r="L87" s="0" t="n">
        <f aca="false">G87</f>
        <v>-1</v>
      </c>
      <c r="M87" s="0" t="n">
        <f aca="false">H87</f>
        <v>-0.75</v>
      </c>
      <c r="N87" s="0" t="n">
        <f aca="false">E87*F87</f>
        <v>0.75</v>
      </c>
      <c r="O87" s="0" t="n">
        <f aca="false">E87*G87</f>
        <v>1</v>
      </c>
      <c r="P87" s="0" t="n">
        <f aca="false">E87*H87</f>
        <v>0.75</v>
      </c>
      <c r="Q87" s="0" t="n">
        <f aca="false">F87*G87</f>
        <v>0.75</v>
      </c>
      <c r="R87" s="0" t="n">
        <f aca="false">F87*H87</f>
        <v>0.5625</v>
      </c>
      <c r="S87" s="0" t="n">
        <f aca="false">G87*H87</f>
        <v>0.75</v>
      </c>
      <c r="T87" s="0" t="n">
        <f aca="false">E87*E87</f>
        <v>1</v>
      </c>
      <c r="U87" s="0" t="n">
        <f aca="false">F87*F87</f>
        <v>0.5625</v>
      </c>
      <c r="V87" s="0" t="n">
        <f aca="false">G87*G87</f>
        <v>1</v>
      </c>
      <c r="W87" s="0" t="n">
        <f aca="false">H87*H87</f>
        <v>0.5625</v>
      </c>
      <c r="X87" s="0" t="n">
        <f aca="false">SUMPRODUCT(I87:W87,_XtX!$B$96:$P$96)</f>
        <v>38.7292991593568</v>
      </c>
      <c r="Y87" s="0" t="n">
        <f aca="false">SUMPRODUCT(MMULT(I87:W87,_XtX!$B$78:$P$92),I87:W87)</f>
        <v>0.531311392086988</v>
      </c>
      <c r="Z87" s="0" t="n">
        <f aca="false">04_回帰ANOVA!$K$19*04_回帰ANOVA!$K$14*SQRT(1+Y87)</f>
        <v>1.61298433431428</v>
      </c>
      <c r="AA87" s="0" t="n">
        <f aca="false">X87-Z87</f>
        <v>37.1163148250425</v>
      </c>
      <c r="AB87" s="0" t="n">
        <f aca="false">X87+Z87</f>
        <v>40.3422834936711</v>
      </c>
      <c r="AC87" s="54" t="b">
        <f aca="false">AND(E87&gt;=01_因子設定!$L$5-0.000000001,E87&lt;=01_因子設定!$M$5+0.000000001,F87&gt;=01_因子設定!$L$6-0.000000001,F87&lt;=01_因子設定!$M$6+0.000000001,G87&gt;=01_因子設定!$L$7-0.000000001,G87&lt;=01_因子設定!$M$7+0.000000001,H87&gt;=01_因子設定!$L$8-0.000000001,H87&lt;=01_因子設定!$M$8+0.000000001,IF(01_因子設定!$B$20="Box-Behnken",E87^2+F87^2+G87^2+H87^2&lt;=2+0.000000001,TRUE()))</f>
        <v>1</v>
      </c>
      <c r="AD87" s="55" t="n">
        <f aca="false">IF(AC87,IF(01_因子設定!$B$13="最大化",AA87-01_因子設定!$B$14,IF(01_因子設定!$B$13="最小化",01_因子設定!$B$15-AB87,MIN(AA87-01_因子設定!$B$14,01_因子設定!$B$15-AB87))),-1E+030)</f>
        <v>-9.38368517495751</v>
      </c>
      <c r="AE87" s="55" t="n">
        <f aca="false">IF(AC87,IF(01_因子設定!$B$13="最大化",X87,IF(01_因子設定!$B$13="最小化",-X87,-ABS(X87-01_因子設定!$B$16))),-1E+030)</f>
        <v>38.7292991593568</v>
      </c>
      <c r="AF87" s="55" t="n">
        <f aca="false">AD87+ROW()*0.000000001</f>
        <v>-9.38368508795751</v>
      </c>
      <c r="AG87" s="55" t="n">
        <f aca="false">AE87+ROW()*0.000000001</f>
        <v>38.7292992463568</v>
      </c>
    </row>
    <row r="88" customFormat="false" ht="15" hidden="false" customHeight="false" outlineLevel="0" collapsed="false">
      <c r="A88" s="0" t="n">
        <v>0</v>
      </c>
      <c r="B88" s="0" t="n">
        <v>1</v>
      </c>
      <c r="C88" s="0" t="n">
        <v>0</v>
      </c>
      <c r="D88" s="0" t="n">
        <v>2</v>
      </c>
      <c r="E88" s="0" t="n">
        <f aca="false">-1+A88*0.25</f>
        <v>-1</v>
      </c>
      <c r="F88" s="0" t="n">
        <f aca="false">-1+B88*0.25</f>
        <v>-0.75</v>
      </c>
      <c r="G88" s="0" t="n">
        <f aca="false">-1+C88*0.25</f>
        <v>-1</v>
      </c>
      <c r="H88" s="0" t="n">
        <f aca="false">-1+D88*0.25</f>
        <v>-0.5</v>
      </c>
      <c r="I88" s="0" t="n">
        <f aca="false">1</f>
        <v>1</v>
      </c>
      <c r="J88" s="0" t="n">
        <f aca="false">E88</f>
        <v>-1</v>
      </c>
      <c r="K88" s="0" t="n">
        <f aca="false">F88</f>
        <v>-0.75</v>
      </c>
      <c r="L88" s="0" t="n">
        <f aca="false">G88</f>
        <v>-1</v>
      </c>
      <c r="M88" s="0" t="n">
        <f aca="false">H88</f>
        <v>-0.5</v>
      </c>
      <c r="N88" s="0" t="n">
        <f aca="false">E88*F88</f>
        <v>0.75</v>
      </c>
      <c r="O88" s="0" t="n">
        <f aca="false">E88*G88</f>
        <v>1</v>
      </c>
      <c r="P88" s="0" t="n">
        <f aca="false">E88*H88</f>
        <v>0.5</v>
      </c>
      <c r="Q88" s="0" t="n">
        <f aca="false">F88*G88</f>
        <v>0.75</v>
      </c>
      <c r="R88" s="0" t="n">
        <f aca="false">F88*H88</f>
        <v>0.375</v>
      </c>
      <c r="S88" s="0" t="n">
        <f aca="false">G88*H88</f>
        <v>0.5</v>
      </c>
      <c r="T88" s="0" t="n">
        <f aca="false">E88*E88</f>
        <v>1</v>
      </c>
      <c r="U88" s="0" t="n">
        <f aca="false">F88*F88</f>
        <v>0.5625</v>
      </c>
      <c r="V88" s="0" t="n">
        <f aca="false">G88*G88</f>
        <v>1</v>
      </c>
      <c r="W88" s="0" t="n">
        <f aca="false">H88*H88</f>
        <v>0.25</v>
      </c>
      <c r="X88" s="0" t="n">
        <f aca="false">SUMPRODUCT(I88:W88,_XtX!$B$96:$P$96)</f>
        <v>38.8869243421053</v>
      </c>
      <c r="Y88" s="0" t="n">
        <f aca="false">SUMPRODUCT(MMULT(I88:W88,_XtX!$B$78:$P$92),I88:W88)</f>
        <v>0.564984237938597</v>
      </c>
      <c r="Z88" s="0" t="n">
        <f aca="false">04_回帰ANOVA!$K$19*04_回帰ANOVA!$K$14*SQRT(1+Y88)</f>
        <v>1.63062229734503</v>
      </c>
      <c r="AA88" s="0" t="n">
        <f aca="false">X88-Z88</f>
        <v>37.2563020447603</v>
      </c>
      <c r="AB88" s="0" t="n">
        <f aca="false">X88+Z88</f>
        <v>40.5175466394503</v>
      </c>
      <c r="AC88" s="54" t="b">
        <f aca="false">AND(E88&gt;=01_因子設定!$L$5-0.000000001,E88&lt;=01_因子設定!$M$5+0.000000001,F88&gt;=01_因子設定!$L$6-0.000000001,F88&lt;=01_因子設定!$M$6+0.000000001,G88&gt;=01_因子設定!$L$7-0.000000001,G88&lt;=01_因子設定!$M$7+0.000000001,H88&gt;=01_因子設定!$L$8-0.000000001,H88&lt;=01_因子設定!$M$8+0.000000001,IF(01_因子設定!$B$20="Box-Behnken",E88^2+F88^2+G88^2+H88^2&lt;=2+0.000000001,TRUE()))</f>
        <v>1</v>
      </c>
      <c r="AD88" s="55" t="n">
        <f aca="false">IF(AC88,IF(01_因子設定!$B$13="最大化",AA88-01_因子設定!$B$14,IF(01_因子設定!$B$13="最小化",01_因子設定!$B$15-AB88,MIN(AA88-01_因子設定!$B$14,01_因子設定!$B$15-AB88))),-1E+030)</f>
        <v>-9.24369795523973</v>
      </c>
      <c r="AE88" s="55" t="n">
        <f aca="false">IF(AC88,IF(01_因子設定!$B$13="最大化",X88,IF(01_因子設定!$B$13="最小化",-X88,-ABS(X88-01_因子設定!$B$16))),-1E+030)</f>
        <v>38.8869243421053</v>
      </c>
      <c r="AF88" s="55" t="n">
        <f aca="false">AD88+ROW()*0.000000001</f>
        <v>-9.24369786723973</v>
      </c>
      <c r="AG88" s="55" t="n">
        <f aca="false">AE88+ROW()*0.000000001</f>
        <v>38.8869244301053</v>
      </c>
    </row>
    <row r="89" customFormat="false" ht="15" hidden="false" customHeight="false" outlineLevel="0" collapsed="false">
      <c r="A89" s="0" t="n">
        <v>0</v>
      </c>
      <c r="B89" s="0" t="n">
        <v>1</v>
      </c>
      <c r="C89" s="0" t="n">
        <v>0</v>
      </c>
      <c r="D89" s="0" t="n">
        <v>3</v>
      </c>
      <c r="E89" s="0" t="n">
        <f aca="false">-1+A89*0.25</f>
        <v>-1</v>
      </c>
      <c r="F89" s="0" t="n">
        <f aca="false">-1+B89*0.25</f>
        <v>-0.75</v>
      </c>
      <c r="G89" s="0" t="n">
        <f aca="false">-1+C89*0.25</f>
        <v>-1</v>
      </c>
      <c r="H89" s="0" t="n">
        <f aca="false">-1+D89*0.25</f>
        <v>-0.25</v>
      </c>
      <c r="I89" s="0" t="n">
        <f aca="false">1</f>
        <v>1</v>
      </c>
      <c r="J89" s="0" t="n">
        <f aca="false">E89</f>
        <v>-1</v>
      </c>
      <c r="K89" s="0" t="n">
        <f aca="false">F89</f>
        <v>-0.75</v>
      </c>
      <c r="L89" s="0" t="n">
        <f aca="false">G89</f>
        <v>-1</v>
      </c>
      <c r="M89" s="0" t="n">
        <f aca="false">H89</f>
        <v>-0.25</v>
      </c>
      <c r="N89" s="0" t="n">
        <f aca="false">E89*F89</f>
        <v>0.75</v>
      </c>
      <c r="O89" s="0" t="n">
        <f aca="false">E89*G89</f>
        <v>1</v>
      </c>
      <c r="P89" s="0" t="n">
        <f aca="false">E89*H89</f>
        <v>0.25</v>
      </c>
      <c r="Q89" s="0" t="n">
        <f aca="false">F89*G89</f>
        <v>0.75</v>
      </c>
      <c r="R89" s="0" t="n">
        <f aca="false">F89*H89</f>
        <v>0.1875</v>
      </c>
      <c r="S89" s="0" t="n">
        <f aca="false">G89*H89</f>
        <v>0.25</v>
      </c>
      <c r="T89" s="0" t="n">
        <f aca="false">E89*E89</f>
        <v>1</v>
      </c>
      <c r="U89" s="0" t="n">
        <f aca="false">F89*F89</f>
        <v>0.5625</v>
      </c>
      <c r="V89" s="0" t="n">
        <f aca="false">G89*G89</f>
        <v>1</v>
      </c>
      <c r="W89" s="0" t="n">
        <f aca="false">H89*H89</f>
        <v>0.0625</v>
      </c>
      <c r="X89" s="0" t="n">
        <f aca="false">SUMPRODUCT(I89:W89,_XtX!$B$96:$P$96)</f>
        <v>38.99674250731</v>
      </c>
      <c r="Y89" s="0" t="n">
        <f aca="false">SUMPRODUCT(MMULT(I89:W89,_XtX!$B$78:$P$92),I89:W89)</f>
        <v>0.621372155975877</v>
      </c>
      <c r="Z89" s="0" t="n">
        <f aca="false">04_回帰ANOVA!$K$19*04_回帰ANOVA!$K$14*SQRT(1+Y89)</f>
        <v>1.65973880499872</v>
      </c>
      <c r="AA89" s="0" t="n">
        <f aca="false">X89-Z89</f>
        <v>37.3370037023113</v>
      </c>
      <c r="AB89" s="0" t="n">
        <f aca="false">X89+Z89</f>
        <v>40.6564813123087</v>
      </c>
      <c r="AC89" s="54" t="b">
        <f aca="false">AND(E89&gt;=01_因子設定!$L$5-0.000000001,E89&lt;=01_因子設定!$M$5+0.000000001,F89&gt;=01_因子設定!$L$6-0.000000001,F89&lt;=01_因子設定!$M$6+0.000000001,G89&gt;=01_因子設定!$L$7-0.000000001,G89&lt;=01_因子設定!$M$7+0.000000001,H89&gt;=01_因子設定!$L$8-0.000000001,H89&lt;=01_因子設定!$M$8+0.000000001,IF(01_因子設定!$B$20="Box-Behnken",E89^2+F89^2+G89^2+H89^2&lt;=2+0.000000001,TRUE()))</f>
        <v>1</v>
      </c>
      <c r="AD89" s="55" t="n">
        <f aca="false">IF(AC89,IF(01_因子設定!$B$13="最大化",AA89-01_因子設定!$B$14,IF(01_因子設定!$B$13="最小化",01_因子設定!$B$15-AB89,MIN(AA89-01_因子設定!$B$14,01_因子設定!$B$15-AB89))),-1E+030)</f>
        <v>-9.16299629768874</v>
      </c>
      <c r="AE89" s="55" t="n">
        <f aca="false">IF(AC89,IF(01_因子設定!$B$13="最大化",X89,IF(01_因子設定!$B$13="最小化",-X89,-ABS(X89-01_因子設定!$B$16))),-1E+030)</f>
        <v>38.99674250731</v>
      </c>
      <c r="AF89" s="55" t="n">
        <f aca="false">AD89+ROW()*0.000000001</f>
        <v>-9.16299620868874</v>
      </c>
      <c r="AG89" s="55" t="n">
        <f aca="false">AE89+ROW()*0.000000001</f>
        <v>38.99674259631</v>
      </c>
    </row>
    <row r="90" customFormat="false" ht="15" hidden="false" customHeight="false" outlineLevel="0" collapsed="false">
      <c r="A90" s="0" t="n">
        <v>0</v>
      </c>
      <c r="B90" s="0" t="n">
        <v>1</v>
      </c>
      <c r="C90" s="0" t="n">
        <v>0</v>
      </c>
      <c r="D90" s="0" t="n">
        <v>4</v>
      </c>
      <c r="E90" s="0" t="n">
        <f aca="false">-1+A90*0.25</f>
        <v>-1</v>
      </c>
      <c r="F90" s="0" t="n">
        <f aca="false">-1+B90*0.25</f>
        <v>-0.75</v>
      </c>
      <c r="G90" s="0" t="n">
        <f aca="false">-1+C90*0.25</f>
        <v>-1</v>
      </c>
      <c r="H90" s="0" t="n">
        <f aca="false">-1+D90*0.25</f>
        <v>0</v>
      </c>
      <c r="I90" s="0" t="n">
        <f aca="false">1</f>
        <v>1</v>
      </c>
      <c r="J90" s="0" t="n">
        <f aca="false">E90</f>
        <v>-1</v>
      </c>
      <c r="K90" s="0" t="n">
        <f aca="false">F90</f>
        <v>-0.75</v>
      </c>
      <c r="L90" s="0" t="n">
        <f aca="false">G90</f>
        <v>-1</v>
      </c>
      <c r="M90" s="0" t="n">
        <f aca="false">H90</f>
        <v>0</v>
      </c>
      <c r="N90" s="0" t="n">
        <f aca="false">E90*F90</f>
        <v>0.75</v>
      </c>
      <c r="O90" s="0" t="n">
        <f aca="false">E90*G90</f>
        <v>1</v>
      </c>
      <c r="P90" s="0" t="n">
        <f aca="false">E90*H90</f>
        <v>-0</v>
      </c>
      <c r="Q90" s="0" t="n">
        <f aca="false">F90*G90</f>
        <v>0.75</v>
      </c>
      <c r="R90" s="0" t="n">
        <f aca="false">F90*H90</f>
        <v>-0</v>
      </c>
      <c r="S90" s="0" t="n">
        <f aca="false">G90*H90</f>
        <v>-0</v>
      </c>
      <c r="T90" s="0" t="n">
        <f aca="false">E90*E90</f>
        <v>1</v>
      </c>
      <c r="U90" s="0" t="n">
        <f aca="false">F90*F90</f>
        <v>0.5625</v>
      </c>
      <c r="V90" s="0" t="n">
        <f aca="false">G90*G90</f>
        <v>1</v>
      </c>
      <c r="W90" s="0" t="n">
        <f aca="false">H90*H90</f>
        <v>0</v>
      </c>
      <c r="X90" s="0" t="n">
        <f aca="false">SUMPRODUCT(I90:W90,_XtX!$B$96:$P$96)</f>
        <v>39.0587536549708</v>
      </c>
      <c r="Y90" s="0" t="n">
        <f aca="false">SUMPRODUCT(MMULT(I90:W90,_XtX!$B$78:$P$92),I90:W90)</f>
        <v>0.646198830409357</v>
      </c>
      <c r="Z90" s="0" t="n">
        <f aca="false">04_回帰ANOVA!$K$19*04_回帰ANOVA!$K$14*SQRT(1+Y90)</f>
        <v>1.67239760569756</v>
      </c>
      <c r="AA90" s="0" t="n">
        <f aca="false">X90-Z90</f>
        <v>37.3863560492732</v>
      </c>
      <c r="AB90" s="0" t="n">
        <f aca="false">X90+Z90</f>
        <v>40.7311512606683</v>
      </c>
      <c r="AC90" s="54" t="b">
        <f aca="false">AND(E90&gt;=01_因子設定!$L$5-0.000000001,E90&lt;=01_因子設定!$M$5+0.000000001,F90&gt;=01_因子設定!$L$6-0.000000001,F90&lt;=01_因子設定!$M$6+0.000000001,G90&gt;=01_因子設定!$L$7-0.000000001,G90&lt;=01_因子設定!$M$7+0.000000001,H90&gt;=01_因子設定!$L$8-0.000000001,H90&lt;=01_因子設定!$M$8+0.000000001,IF(01_因子設定!$B$20="Box-Behnken",E90^2+F90^2+G90^2+H90^2&lt;=2+0.000000001,TRUE()))</f>
        <v>1</v>
      </c>
      <c r="AD90" s="55" t="n">
        <f aca="false">IF(AC90,IF(01_因子設定!$B$13="最大化",AA90-01_因子設定!$B$14,IF(01_因子設定!$B$13="最小化",01_因子設定!$B$15-AB90,MIN(AA90-01_因子設定!$B$14,01_因子設定!$B$15-AB90))),-1E+030)</f>
        <v>-9.11364395072677</v>
      </c>
      <c r="AE90" s="55" t="n">
        <f aca="false">IF(AC90,IF(01_因子設定!$B$13="最大化",X90,IF(01_因子設定!$B$13="最小化",-X90,-ABS(X90-01_因子設定!$B$16))),-1E+030)</f>
        <v>39.0587536549708</v>
      </c>
      <c r="AF90" s="55" t="n">
        <f aca="false">AD90+ROW()*0.000000001</f>
        <v>-9.11364386072677</v>
      </c>
      <c r="AG90" s="55" t="n">
        <f aca="false">AE90+ROW()*0.000000001</f>
        <v>39.0587537449708</v>
      </c>
    </row>
    <row r="91" customFormat="false" ht="15" hidden="false" customHeight="false" outlineLevel="0" collapsed="false">
      <c r="A91" s="0" t="n">
        <v>0</v>
      </c>
      <c r="B91" s="0" t="n">
        <v>1</v>
      </c>
      <c r="C91" s="0" t="n">
        <v>0</v>
      </c>
      <c r="D91" s="0" t="n">
        <v>5</v>
      </c>
      <c r="E91" s="0" t="n">
        <f aca="false">-1+A91*0.25</f>
        <v>-1</v>
      </c>
      <c r="F91" s="0" t="n">
        <f aca="false">-1+B91*0.25</f>
        <v>-0.75</v>
      </c>
      <c r="G91" s="0" t="n">
        <f aca="false">-1+C91*0.25</f>
        <v>-1</v>
      </c>
      <c r="H91" s="0" t="n">
        <f aca="false">-1+D91*0.25</f>
        <v>0.25</v>
      </c>
      <c r="I91" s="0" t="n">
        <f aca="false">1</f>
        <v>1</v>
      </c>
      <c r="J91" s="0" t="n">
        <f aca="false">E91</f>
        <v>-1</v>
      </c>
      <c r="K91" s="0" t="n">
        <f aca="false">F91</f>
        <v>-0.75</v>
      </c>
      <c r="L91" s="0" t="n">
        <f aca="false">G91</f>
        <v>-1</v>
      </c>
      <c r="M91" s="0" t="n">
        <f aca="false">H91</f>
        <v>0.25</v>
      </c>
      <c r="N91" s="0" t="n">
        <f aca="false">E91*F91</f>
        <v>0.75</v>
      </c>
      <c r="O91" s="0" t="n">
        <f aca="false">E91*G91</f>
        <v>1</v>
      </c>
      <c r="P91" s="0" t="n">
        <f aca="false">E91*H91</f>
        <v>-0.25</v>
      </c>
      <c r="Q91" s="0" t="n">
        <f aca="false">F91*G91</f>
        <v>0.75</v>
      </c>
      <c r="R91" s="0" t="n">
        <f aca="false">F91*H91</f>
        <v>-0.1875</v>
      </c>
      <c r="S91" s="0" t="n">
        <f aca="false">G91*H91</f>
        <v>-0.25</v>
      </c>
      <c r="T91" s="0" t="n">
        <f aca="false">E91*E91</f>
        <v>1</v>
      </c>
      <c r="U91" s="0" t="n">
        <f aca="false">F91*F91</f>
        <v>0.5625</v>
      </c>
      <c r="V91" s="0" t="n">
        <f aca="false">G91*G91</f>
        <v>1</v>
      </c>
      <c r="W91" s="0" t="n">
        <f aca="false">H91*H91</f>
        <v>0.0625</v>
      </c>
      <c r="X91" s="0" t="n">
        <f aca="false">SUMPRODUCT(I91:W91,_XtX!$B$96:$P$96)</f>
        <v>39.0729577850878</v>
      </c>
      <c r="Y91" s="0" t="n">
        <f aca="false">SUMPRODUCT(MMULT(I91:W91,_XtX!$B$78:$P$92),I91:W91)</f>
        <v>0.621372155975877</v>
      </c>
      <c r="Z91" s="0" t="n">
        <f aca="false">04_回帰ANOVA!$K$19*04_回帰ANOVA!$K$14*SQRT(1+Y91)</f>
        <v>1.65973880499872</v>
      </c>
      <c r="AA91" s="0" t="n">
        <f aca="false">X91-Z91</f>
        <v>37.413218980089</v>
      </c>
      <c r="AB91" s="0" t="n">
        <f aca="false">X91+Z91</f>
        <v>40.7326965900865</v>
      </c>
      <c r="AC91" s="54" t="b">
        <f aca="false">AND(E91&gt;=01_因子設定!$L$5-0.000000001,E91&lt;=01_因子設定!$M$5+0.000000001,F91&gt;=01_因子設定!$L$6-0.000000001,F91&lt;=01_因子設定!$M$6+0.000000001,G91&gt;=01_因子設定!$L$7-0.000000001,G91&lt;=01_因子設定!$M$7+0.000000001,H91&gt;=01_因子設定!$L$8-0.000000001,H91&lt;=01_因子設定!$M$8+0.000000001,IF(01_因子設定!$B$20="Box-Behnken",E91^2+F91^2+G91^2+H91^2&lt;=2+0.000000001,TRUE()))</f>
        <v>1</v>
      </c>
      <c r="AD91" s="55" t="n">
        <f aca="false">IF(AC91,IF(01_因子設定!$B$13="最大化",AA91-01_因子設定!$B$14,IF(01_因子設定!$B$13="最小化",01_因子設定!$B$15-AB91,MIN(AA91-01_因子設定!$B$14,01_因子設定!$B$15-AB91))),-1E+030)</f>
        <v>-9.08678101991097</v>
      </c>
      <c r="AE91" s="55" t="n">
        <f aca="false">IF(AC91,IF(01_因子設定!$B$13="最大化",X91,IF(01_因子設定!$B$13="最小化",-X91,-ABS(X91-01_因子設定!$B$16))),-1E+030)</f>
        <v>39.0729577850878</v>
      </c>
      <c r="AF91" s="55" t="n">
        <f aca="false">AD91+ROW()*0.000000001</f>
        <v>-9.08678092891097</v>
      </c>
      <c r="AG91" s="55" t="n">
        <f aca="false">AE91+ROW()*0.000000001</f>
        <v>39.0729578760878</v>
      </c>
    </row>
    <row r="92" customFormat="false" ht="15" hidden="false" customHeight="false" outlineLevel="0" collapsed="false">
      <c r="A92" s="0" t="n">
        <v>0</v>
      </c>
      <c r="B92" s="0" t="n">
        <v>1</v>
      </c>
      <c r="C92" s="0" t="n">
        <v>0</v>
      </c>
      <c r="D92" s="0" t="n">
        <v>6</v>
      </c>
      <c r="E92" s="0" t="n">
        <f aca="false">-1+A92*0.25</f>
        <v>-1</v>
      </c>
      <c r="F92" s="0" t="n">
        <f aca="false">-1+B92*0.25</f>
        <v>-0.75</v>
      </c>
      <c r="G92" s="0" t="n">
        <f aca="false">-1+C92*0.25</f>
        <v>-1</v>
      </c>
      <c r="H92" s="0" t="n">
        <f aca="false">-1+D92*0.25</f>
        <v>0.5</v>
      </c>
      <c r="I92" s="0" t="n">
        <f aca="false">1</f>
        <v>1</v>
      </c>
      <c r="J92" s="0" t="n">
        <f aca="false">E92</f>
        <v>-1</v>
      </c>
      <c r="K92" s="0" t="n">
        <f aca="false">F92</f>
        <v>-0.75</v>
      </c>
      <c r="L92" s="0" t="n">
        <f aca="false">G92</f>
        <v>-1</v>
      </c>
      <c r="M92" s="0" t="n">
        <f aca="false">H92</f>
        <v>0.5</v>
      </c>
      <c r="N92" s="0" t="n">
        <f aca="false">E92*F92</f>
        <v>0.75</v>
      </c>
      <c r="O92" s="0" t="n">
        <f aca="false">E92*G92</f>
        <v>1</v>
      </c>
      <c r="P92" s="0" t="n">
        <f aca="false">E92*H92</f>
        <v>-0.5</v>
      </c>
      <c r="Q92" s="0" t="n">
        <f aca="false">F92*G92</f>
        <v>0.75</v>
      </c>
      <c r="R92" s="0" t="n">
        <f aca="false">F92*H92</f>
        <v>-0.375</v>
      </c>
      <c r="S92" s="0" t="n">
        <f aca="false">G92*H92</f>
        <v>-0.5</v>
      </c>
      <c r="T92" s="0" t="n">
        <f aca="false">E92*E92</f>
        <v>1</v>
      </c>
      <c r="U92" s="0" t="n">
        <f aca="false">F92*F92</f>
        <v>0.5625</v>
      </c>
      <c r="V92" s="0" t="n">
        <f aca="false">G92*G92</f>
        <v>1</v>
      </c>
      <c r="W92" s="0" t="n">
        <f aca="false">H92*H92</f>
        <v>0.25</v>
      </c>
      <c r="X92" s="0" t="n">
        <f aca="false">SUMPRODUCT(I92:W92,_XtX!$B$96:$P$96)</f>
        <v>39.0393548976609</v>
      </c>
      <c r="Y92" s="0" t="n">
        <f aca="false">SUMPRODUCT(MMULT(I92:W92,_XtX!$B$78:$P$92),I92:W92)</f>
        <v>0.564984237938597</v>
      </c>
      <c r="Z92" s="0" t="n">
        <f aca="false">04_回帰ANOVA!$K$19*04_回帰ANOVA!$K$14*SQRT(1+Y92)</f>
        <v>1.63062229734503</v>
      </c>
      <c r="AA92" s="0" t="n">
        <f aca="false">X92-Z92</f>
        <v>37.4087326003158</v>
      </c>
      <c r="AB92" s="0" t="n">
        <f aca="false">X92+Z92</f>
        <v>40.6699771950059</v>
      </c>
      <c r="AC92" s="54" t="b">
        <f aca="false">AND(E92&gt;=01_因子設定!$L$5-0.000000001,E92&lt;=01_因子設定!$M$5+0.000000001,F92&gt;=01_因子設定!$L$6-0.000000001,F92&lt;=01_因子設定!$M$6+0.000000001,G92&gt;=01_因子設定!$L$7-0.000000001,G92&lt;=01_因子設定!$M$7+0.000000001,H92&gt;=01_因子設定!$L$8-0.000000001,H92&lt;=01_因子設定!$M$8+0.000000001,IF(01_因子設定!$B$20="Box-Behnken",E92^2+F92^2+G92^2+H92^2&lt;=2+0.000000001,TRUE()))</f>
        <v>1</v>
      </c>
      <c r="AD92" s="55" t="n">
        <f aca="false">IF(AC92,IF(01_因子設定!$B$13="最大化",AA92-01_因子設定!$B$14,IF(01_因子設定!$B$13="最小化",01_因子設定!$B$15-AB92,MIN(AA92-01_因子設定!$B$14,01_因子設定!$B$15-AB92))),-1E+030)</f>
        <v>-9.09126739968418</v>
      </c>
      <c r="AE92" s="55" t="n">
        <f aca="false">IF(AC92,IF(01_因子設定!$B$13="最大化",X92,IF(01_因子設定!$B$13="最小化",-X92,-ABS(X92-01_因子設定!$B$16))),-1E+030)</f>
        <v>39.0393548976609</v>
      </c>
      <c r="AF92" s="55" t="n">
        <f aca="false">AD92+ROW()*0.000000001</f>
        <v>-9.09126730768418</v>
      </c>
      <c r="AG92" s="55" t="n">
        <f aca="false">AE92+ROW()*0.000000001</f>
        <v>39.0393549896609</v>
      </c>
    </row>
    <row r="93" customFormat="false" ht="15" hidden="false" customHeight="false" outlineLevel="0" collapsed="false">
      <c r="A93" s="0" t="n">
        <v>0</v>
      </c>
      <c r="B93" s="0" t="n">
        <v>1</v>
      </c>
      <c r="C93" s="0" t="n">
        <v>0</v>
      </c>
      <c r="D93" s="0" t="n">
        <v>7</v>
      </c>
      <c r="E93" s="0" t="n">
        <f aca="false">-1+A93*0.25</f>
        <v>-1</v>
      </c>
      <c r="F93" s="0" t="n">
        <f aca="false">-1+B93*0.25</f>
        <v>-0.75</v>
      </c>
      <c r="G93" s="0" t="n">
        <f aca="false">-1+C93*0.25</f>
        <v>-1</v>
      </c>
      <c r="H93" s="0" t="n">
        <f aca="false">-1+D93*0.25</f>
        <v>0.75</v>
      </c>
      <c r="I93" s="0" t="n">
        <f aca="false">1</f>
        <v>1</v>
      </c>
      <c r="J93" s="0" t="n">
        <f aca="false">E93</f>
        <v>-1</v>
      </c>
      <c r="K93" s="0" t="n">
        <f aca="false">F93</f>
        <v>-0.75</v>
      </c>
      <c r="L93" s="0" t="n">
        <f aca="false">G93</f>
        <v>-1</v>
      </c>
      <c r="M93" s="0" t="n">
        <f aca="false">H93</f>
        <v>0.75</v>
      </c>
      <c r="N93" s="0" t="n">
        <f aca="false">E93*F93</f>
        <v>0.75</v>
      </c>
      <c r="O93" s="0" t="n">
        <f aca="false">E93*G93</f>
        <v>1</v>
      </c>
      <c r="P93" s="0" t="n">
        <f aca="false">E93*H93</f>
        <v>-0.75</v>
      </c>
      <c r="Q93" s="0" t="n">
        <f aca="false">F93*G93</f>
        <v>0.75</v>
      </c>
      <c r="R93" s="0" t="n">
        <f aca="false">F93*H93</f>
        <v>-0.5625</v>
      </c>
      <c r="S93" s="0" t="n">
        <f aca="false">G93*H93</f>
        <v>-0.75</v>
      </c>
      <c r="T93" s="0" t="n">
        <f aca="false">E93*E93</f>
        <v>1</v>
      </c>
      <c r="U93" s="0" t="n">
        <f aca="false">F93*F93</f>
        <v>0.5625</v>
      </c>
      <c r="V93" s="0" t="n">
        <f aca="false">G93*G93</f>
        <v>1</v>
      </c>
      <c r="W93" s="0" t="n">
        <f aca="false">H93*H93</f>
        <v>0.5625</v>
      </c>
      <c r="X93" s="0" t="n">
        <f aca="false">SUMPRODUCT(I93:W93,_XtX!$B$96:$P$96)</f>
        <v>38.9579449926901</v>
      </c>
      <c r="Y93" s="0" t="n">
        <f aca="false">SUMPRODUCT(MMULT(I93:W93,_XtX!$B$78:$P$92),I93:W93)</f>
        <v>0.531311392086988</v>
      </c>
      <c r="Z93" s="0" t="n">
        <f aca="false">04_回帰ANOVA!$K$19*04_回帰ANOVA!$K$14*SQRT(1+Y93)</f>
        <v>1.61298433431428</v>
      </c>
      <c r="AA93" s="0" t="n">
        <f aca="false">X93-Z93</f>
        <v>37.3449606583758</v>
      </c>
      <c r="AB93" s="0" t="n">
        <f aca="false">X93+Z93</f>
        <v>40.5709293270044</v>
      </c>
      <c r="AC93" s="54" t="b">
        <f aca="false">AND(E93&gt;=01_因子設定!$L$5-0.000000001,E93&lt;=01_因子設定!$M$5+0.000000001,F93&gt;=01_因子設定!$L$6-0.000000001,F93&lt;=01_因子設定!$M$6+0.000000001,G93&gt;=01_因子設定!$L$7-0.000000001,G93&lt;=01_因子設定!$M$7+0.000000001,H93&gt;=01_因子設定!$L$8-0.000000001,H93&lt;=01_因子設定!$M$8+0.000000001,IF(01_因子設定!$B$20="Box-Behnken",E93^2+F93^2+G93^2+H93^2&lt;=2+0.000000001,TRUE()))</f>
        <v>1</v>
      </c>
      <c r="AD93" s="55" t="n">
        <f aca="false">IF(AC93,IF(01_因子設定!$B$13="最大化",AA93-01_因子設定!$B$14,IF(01_因子設定!$B$13="最小化",01_因子設定!$B$15-AB93,MIN(AA93-01_因子設定!$B$14,01_因子設定!$B$15-AB93))),-1E+030)</f>
        <v>-9.15503934162418</v>
      </c>
      <c r="AE93" s="55" t="n">
        <f aca="false">IF(AC93,IF(01_因子設定!$B$13="最大化",X93,IF(01_因子設定!$B$13="最小化",-X93,-ABS(X93-01_因子設定!$B$16))),-1E+030)</f>
        <v>38.9579449926901</v>
      </c>
      <c r="AF93" s="55" t="n">
        <f aca="false">AD93+ROW()*0.000000001</f>
        <v>-9.15503924862417</v>
      </c>
      <c r="AG93" s="55" t="n">
        <f aca="false">AE93+ROW()*0.000000001</f>
        <v>38.9579450856901</v>
      </c>
    </row>
    <row r="94" customFormat="false" ht="15" hidden="false" customHeight="false" outlineLevel="0" collapsed="false">
      <c r="A94" s="0" t="n">
        <v>0</v>
      </c>
      <c r="B94" s="0" t="n">
        <v>1</v>
      </c>
      <c r="C94" s="0" t="n">
        <v>0</v>
      </c>
      <c r="D94" s="0" t="n">
        <v>8</v>
      </c>
      <c r="E94" s="0" t="n">
        <f aca="false">-1+A94*0.25</f>
        <v>-1</v>
      </c>
      <c r="F94" s="0" t="n">
        <f aca="false">-1+B94*0.25</f>
        <v>-0.75</v>
      </c>
      <c r="G94" s="0" t="n">
        <f aca="false">-1+C94*0.25</f>
        <v>-1</v>
      </c>
      <c r="H94" s="0" t="n">
        <f aca="false">-1+D94*0.25</f>
        <v>1</v>
      </c>
      <c r="I94" s="0" t="n">
        <f aca="false">1</f>
        <v>1</v>
      </c>
      <c r="J94" s="0" t="n">
        <f aca="false">E94</f>
        <v>-1</v>
      </c>
      <c r="K94" s="0" t="n">
        <f aca="false">F94</f>
        <v>-0.75</v>
      </c>
      <c r="L94" s="0" t="n">
        <f aca="false">G94</f>
        <v>-1</v>
      </c>
      <c r="M94" s="0" t="n">
        <f aca="false">H94</f>
        <v>1</v>
      </c>
      <c r="N94" s="0" t="n">
        <f aca="false">E94*F94</f>
        <v>0.75</v>
      </c>
      <c r="O94" s="0" t="n">
        <f aca="false">E94*G94</f>
        <v>1</v>
      </c>
      <c r="P94" s="0" t="n">
        <f aca="false">E94*H94</f>
        <v>-1</v>
      </c>
      <c r="Q94" s="0" t="n">
        <f aca="false">F94*G94</f>
        <v>0.75</v>
      </c>
      <c r="R94" s="0" t="n">
        <f aca="false">F94*H94</f>
        <v>-0.75</v>
      </c>
      <c r="S94" s="0" t="n">
        <f aca="false">G94*H94</f>
        <v>-1</v>
      </c>
      <c r="T94" s="0" t="n">
        <f aca="false">E94*E94</f>
        <v>1</v>
      </c>
      <c r="U94" s="0" t="n">
        <f aca="false">F94*F94</f>
        <v>0.5625</v>
      </c>
      <c r="V94" s="0" t="n">
        <f aca="false">G94*G94</f>
        <v>1</v>
      </c>
      <c r="W94" s="0" t="n">
        <f aca="false">H94*H94</f>
        <v>1</v>
      </c>
      <c r="X94" s="0" t="n">
        <f aca="false">SUMPRODUCT(I94:W94,_XtX!$B$96:$P$96)</f>
        <v>38.8287280701755</v>
      </c>
      <c r="Y94" s="0" t="n">
        <f aca="false">SUMPRODUCT(MMULT(I94:W94,_XtX!$B$78:$P$92),I94:W94)</f>
        <v>0.610814144736842</v>
      </c>
      <c r="Z94" s="0" t="n">
        <f aca="false">04_回帰ANOVA!$K$19*04_回帰ANOVA!$K$14*SQRT(1+Y94)</f>
        <v>1.6543260558361</v>
      </c>
      <c r="AA94" s="0" t="n">
        <f aca="false">X94-Z94</f>
        <v>37.1744020143394</v>
      </c>
      <c r="AB94" s="0" t="n">
        <f aca="false">X94+Z94</f>
        <v>40.4830541260116</v>
      </c>
      <c r="AC94" s="54" t="b">
        <f aca="false">AND(E94&gt;=01_因子設定!$L$5-0.000000001,E94&lt;=01_因子設定!$M$5+0.000000001,F94&gt;=01_因子設定!$L$6-0.000000001,F94&lt;=01_因子設定!$M$6+0.000000001,G94&gt;=01_因子設定!$L$7-0.000000001,G94&lt;=01_因子設定!$M$7+0.000000001,H94&gt;=01_因子設定!$L$8-0.000000001,H94&lt;=01_因子設定!$M$8+0.000000001,IF(01_因子設定!$B$20="Box-Behnken",E94^2+F94^2+G94^2+H94^2&lt;=2+0.000000001,TRUE()))</f>
        <v>1</v>
      </c>
      <c r="AD94" s="55" t="n">
        <f aca="false">IF(AC94,IF(01_因子設定!$B$13="最大化",AA94-01_因子設定!$B$14,IF(01_因子設定!$B$13="最小化",01_因子設定!$B$15-AB94,MIN(AA94-01_因子設定!$B$14,01_因子設定!$B$15-AB94))),-1E+030)</f>
        <v>-9.32559798566059</v>
      </c>
      <c r="AE94" s="55" t="n">
        <f aca="false">IF(AC94,IF(01_因子設定!$B$13="最大化",X94,IF(01_因子設定!$B$13="最小化",-X94,-ABS(X94-01_因子設定!$B$16))),-1E+030)</f>
        <v>38.8287280701755</v>
      </c>
      <c r="AF94" s="55" t="n">
        <f aca="false">AD94+ROW()*0.000000001</f>
        <v>-9.32559789166059</v>
      </c>
      <c r="AG94" s="55" t="n">
        <f aca="false">AE94+ROW()*0.000000001</f>
        <v>38.8287281641755</v>
      </c>
    </row>
    <row r="95" customFormat="false" ht="15" hidden="false" customHeight="false" outlineLevel="0" collapsed="false">
      <c r="A95" s="0" t="n">
        <v>0</v>
      </c>
      <c r="B95" s="0" t="n">
        <v>1</v>
      </c>
      <c r="C95" s="0" t="n">
        <v>1</v>
      </c>
      <c r="D95" s="0" t="n">
        <v>0</v>
      </c>
      <c r="E95" s="0" t="n">
        <f aca="false">-1+A95*0.25</f>
        <v>-1</v>
      </c>
      <c r="F95" s="0" t="n">
        <f aca="false">-1+B95*0.25</f>
        <v>-0.75</v>
      </c>
      <c r="G95" s="0" t="n">
        <f aca="false">-1+C95*0.25</f>
        <v>-0.75</v>
      </c>
      <c r="H95" s="0" t="n">
        <f aca="false">-1+D95*0.25</f>
        <v>-1</v>
      </c>
      <c r="I95" s="0" t="n">
        <f aca="false">1</f>
        <v>1</v>
      </c>
      <c r="J95" s="0" t="n">
        <f aca="false">E95</f>
        <v>-1</v>
      </c>
      <c r="K95" s="0" t="n">
        <f aca="false">F95</f>
        <v>-0.75</v>
      </c>
      <c r="L95" s="0" t="n">
        <f aca="false">G95</f>
        <v>-0.75</v>
      </c>
      <c r="M95" s="0" t="n">
        <f aca="false">H95</f>
        <v>-1</v>
      </c>
      <c r="N95" s="0" t="n">
        <f aca="false">E95*F95</f>
        <v>0.75</v>
      </c>
      <c r="O95" s="0" t="n">
        <f aca="false">E95*G95</f>
        <v>0.75</v>
      </c>
      <c r="P95" s="0" t="n">
        <f aca="false">E95*H95</f>
        <v>1</v>
      </c>
      <c r="Q95" s="0" t="n">
        <f aca="false">F95*G95</f>
        <v>0.5625</v>
      </c>
      <c r="R95" s="0" t="n">
        <f aca="false">F95*H95</f>
        <v>0.75</v>
      </c>
      <c r="S95" s="0" t="n">
        <f aca="false">G95*H95</f>
        <v>0.75</v>
      </c>
      <c r="T95" s="0" t="n">
        <f aca="false">E95*E95</f>
        <v>1</v>
      </c>
      <c r="U95" s="0" t="n">
        <f aca="false">F95*F95</f>
        <v>0.5625</v>
      </c>
      <c r="V95" s="0" t="n">
        <f aca="false">G95*G95</f>
        <v>0.5625</v>
      </c>
      <c r="W95" s="0" t="n">
        <f aca="false">H95*H95</f>
        <v>1</v>
      </c>
      <c r="X95" s="0" t="n">
        <f aca="false">SUMPRODUCT(I95:W95,_XtX!$B$96:$P$96)</f>
        <v>39.1003061038012</v>
      </c>
      <c r="Y95" s="0" t="n">
        <f aca="false">SUMPRODUCT(MMULT(I95:W95,_XtX!$B$78:$P$92),I95:W95)</f>
        <v>0.531311392086988</v>
      </c>
      <c r="Z95" s="0" t="n">
        <f aca="false">04_回帰ANOVA!$K$19*04_回帰ANOVA!$K$14*SQRT(1+Y95)</f>
        <v>1.61298433431428</v>
      </c>
      <c r="AA95" s="0" t="n">
        <f aca="false">X95-Z95</f>
        <v>37.487321769487</v>
      </c>
      <c r="AB95" s="0" t="n">
        <f aca="false">X95+Z95</f>
        <v>40.7132904381155</v>
      </c>
      <c r="AC95" s="54" t="b">
        <f aca="false">AND(E95&gt;=01_因子設定!$L$5-0.000000001,E95&lt;=01_因子設定!$M$5+0.000000001,F95&gt;=01_因子設定!$L$6-0.000000001,F95&lt;=01_因子設定!$M$6+0.000000001,G95&gt;=01_因子設定!$L$7-0.000000001,G95&lt;=01_因子設定!$M$7+0.000000001,H95&gt;=01_因子設定!$L$8-0.000000001,H95&lt;=01_因子設定!$M$8+0.000000001,IF(01_因子設定!$B$20="Box-Behnken",E95^2+F95^2+G95^2+H95^2&lt;=2+0.000000001,TRUE()))</f>
        <v>1</v>
      </c>
      <c r="AD95" s="55" t="n">
        <f aca="false">IF(AC95,IF(01_因子設定!$B$13="最大化",AA95-01_因子設定!$B$14,IF(01_因子設定!$B$13="最小化",01_因子設定!$B$15-AB95,MIN(AA95-01_因子設定!$B$14,01_因子設定!$B$15-AB95))),-1E+030)</f>
        <v>-9.01267823051305</v>
      </c>
      <c r="AE95" s="55" t="n">
        <f aca="false">IF(AC95,IF(01_因子設定!$B$13="最大化",X95,IF(01_因子設定!$B$13="最小化",-X95,-ABS(X95-01_因子設定!$B$16))),-1E+030)</f>
        <v>39.1003061038012</v>
      </c>
      <c r="AF95" s="55" t="n">
        <f aca="false">AD95+ROW()*0.000000001</f>
        <v>-9.01267813551305</v>
      </c>
      <c r="AG95" s="55" t="n">
        <f aca="false">AE95+ROW()*0.000000001</f>
        <v>39.1003061988012</v>
      </c>
    </row>
    <row r="96" customFormat="false" ht="15" hidden="false" customHeight="false" outlineLevel="0" collapsed="false">
      <c r="A96" s="0" t="n">
        <v>0</v>
      </c>
      <c r="B96" s="0" t="n">
        <v>1</v>
      </c>
      <c r="C96" s="0" t="n">
        <v>1</v>
      </c>
      <c r="D96" s="0" t="n">
        <v>1</v>
      </c>
      <c r="E96" s="0" t="n">
        <f aca="false">-1+A96*0.25</f>
        <v>-1</v>
      </c>
      <c r="F96" s="0" t="n">
        <f aca="false">-1+B96*0.25</f>
        <v>-0.75</v>
      </c>
      <c r="G96" s="0" t="n">
        <f aca="false">-1+C96*0.25</f>
        <v>-0.75</v>
      </c>
      <c r="H96" s="0" t="n">
        <f aca="false">-1+D96*0.25</f>
        <v>-0.75</v>
      </c>
      <c r="I96" s="0" t="n">
        <f aca="false">1</f>
        <v>1</v>
      </c>
      <c r="J96" s="0" t="n">
        <f aca="false">E96</f>
        <v>-1</v>
      </c>
      <c r="K96" s="0" t="n">
        <f aca="false">F96</f>
        <v>-0.75</v>
      </c>
      <c r="L96" s="0" t="n">
        <f aca="false">G96</f>
        <v>-0.75</v>
      </c>
      <c r="M96" s="0" t="n">
        <f aca="false">H96</f>
        <v>-0.75</v>
      </c>
      <c r="N96" s="0" t="n">
        <f aca="false">E96*F96</f>
        <v>0.75</v>
      </c>
      <c r="O96" s="0" t="n">
        <f aca="false">E96*G96</f>
        <v>0.75</v>
      </c>
      <c r="P96" s="0" t="n">
        <f aca="false">E96*H96</f>
        <v>0.75</v>
      </c>
      <c r="Q96" s="0" t="n">
        <f aca="false">F96*G96</f>
        <v>0.5625</v>
      </c>
      <c r="R96" s="0" t="n">
        <f aca="false">F96*H96</f>
        <v>0.5625</v>
      </c>
      <c r="S96" s="0" t="n">
        <f aca="false">G96*H96</f>
        <v>0.5625</v>
      </c>
      <c r="T96" s="0" t="n">
        <f aca="false">E96*E96</f>
        <v>1</v>
      </c>
      <c r="U96" s="0" t="n">
        <f aca="false">F96*F96</f>
        <v>0.5625</v>
      </c>
      <c r="V96" s="0" t="n">
        <f aca="false">G96*G96</f>
        <v>0.5625</v>
      </c>
      <c r="W96" s="0" t="n">
        <f aca="false">H96*H96</f>
        <v>0.5625</v>
      </c>
      <c r="X96" s="0" t="n">
        <f aca="false">SUMPRODUCT(I96:W96,_XtX!$B$96:$P$96)</f>
        <v>39.3237070540936</v>
      </c>
      <c r="Y96" s="0" t="n">
        <f aca="false">SUMPRODUCT(MMULT(I96:W96,_XtX!$B$78:$P$92),I96:W96)</f>
        <v>0.420117473044591</v>
      </c>
      <c r="Z96" s="0" t="n">
        <f aca="false">04_回帰ANOVA!$K$19*04_回帰ANOVA!$K$14*SQRT(1+Y96)</f>
        <v>1.55331854827765</v>
      </c>
      <c r="AA96" s="0" t="n">
        <f aca="false">X96-Z96</f>
        <v>37.770388505816</v>
      </c>
      <c r="AB96" s="0" t="n">
        <f aca="false">X96+Z96</f>
        <v>40.8770256023713</v>
      </c>
      <c r="AC96" s="54" t="b">
        <f aca="false">AND(E96&gt;=01_因子設定!$L$5-0.000000001,E96&lt;=01_因子設定!$M$5+0.000000001,F96&gt;=01_因子設定!$L$6-0.000000001,F96&lt;=01_因子設定!$M$6+0.000000001,G96&gt;=01_因子設定!$L$7-0.000000001,G96&lt;=01_因子設定!$M$7+0.000000001,H96&gt;=01_因子設定!$L$8-0.000000001,H96&lt;=01_因子設定!$M$8+0.000000001,IF(01_因子設定!$B$20="Box-Behnken",E96^2+F96^2+G96^2+H96^2&lt;=2+0.000000001,TRUE()))</f>
        <v>1</v>
      </c>
      <c r="AD96" s="55" t="n">
        <f aca="false">IF(AC96,IF(01_因子設定!$B$13="最大化",AA96-01_因子設定!$B$14,IF(01_因子設定!$B$13="最小化",01_因子設定!$B$15-AB96,MIN(AA96-01_因子設定!$B$14,01_因子設定!$B$15-AB96))),-1E+030)</f>
        <v>-8.72961149418403</v>
      </c>
      <c r="AE96" s="55" t="n">
        <f aca="false">IF(AC96,IF(01_因子設定!$B$13="最大化",X96,IF(01_因子設定!$B$13="最小化",-X96,-ABS(X96-01_因子設定!$B$16))),-1E+030)</f>
        <v>39.3237070540936</v>
      </c>
      <c r="AF96" s="55" t="n">
        <f aca="false">AD96+ROW()*0.000000001</f>
        <v>-8.72961139818403</v>
      </c>
      <c r="AG96" s="55" t="n">
        <f aca="false">AE96+ROW()*0.000000001</f>
        <v>39.3237071500936</v>
      </c>
    </row>
    <row r="97" customFormat="false" ht="15" hidden="false" customHeight="false" outlineLevel="0" collapsed="false">
      <c r="A97" s="0" t="n">
        <v>0</v>
      </c>
      <c r="B97" s="0" t="n">
        <v>1</v>
      </c>
      <c r="C97" s="0" t="n">
        <v>1</v>
      </c>
      <c r="D97" s="0" t="n">
        <v>2</v>
      </c>
      <c r="E97" s="0" t="n">
        <f aca="false">-1+A97*0.25</f>
        <v>-1</v>
      </c>
      <c r="F97" s="0" t="n">
        <f aca="false">-1+B97*0.25</f>
        <v>-0.75</v>
      </c>
      <c r="G97" s="0" t="n">
        <f aca="false">-1+C97*0.25</f>
        <v>-0.75</v>
      </c>
      <c r="H97" s="0" t="n">
        <f aca="false">-1+D97*0.25</f>
        <v>-0.5</v>
      </c>
      <c r="I97" s="0" t="n">
        <f aca="false">1</f>
        <v>1</v>
      </c>
      <c r="J97" s="0" t="n">
        <f aca="false">E97</f>
        <v>-1</v>
      </c>
      <c r="K97" s="0" t="n">
        <f aca="false">F97</f>
        <v>-0.75</v>
      </c>
      <c r="L97" s="0" t="n">
        <f aca="false">G97</f>
        <v>-0.75</v>
      </c>
      <c r="M97" s="0" t="n">
        <f aca="false">H97</f>
        <v>-0.5</v>
      </c>
      <c r="N97" s="0" t="n">
        <f aca="false">E97*F97</f>
        <v>0.75</v>
      </c>
      <c r="O97" s="0" t="n">
        <f aca="false">E97*G97</f>
        <v>0.75</v>
      </c>
      <c r="P97" s="0" t="n">
        <f aca="false">E97*H97</f>
        <v>0.5</v>
      </c>
      <c r="Q97" s="0" t="n">
        <f aca="false">F97*G97</f>
        <v>0.5625</v>
      </c>
      <c r="R97" s="0" t="n">
        <f aca="false">F97*H97</f>
        <v>0.375</v>
      </c>
      <c r="S97" s="0" t="n">
        <f aca="false">G97*H97</f>
        <v>0.375</v>
      </c>
      <c r="T97" s="0" t="n">
        <f aca="false">E97*E97</f>
        <v>1</v>
      </c>
      <c r="U97" s="0" t="n">
        <f aca="false">F97*F97</f>
        <v>0.5625</v>
      </c>
      <c r="V97" s="0" t="n">
        <f aca="false">G97*G97</f>
        <v>0.5625</v>
      </c>
      <c r="W97" s="0" t="n">
        <f aca="false">H97*H97</f>
        <v>0.25</v>
      </c>
      <c r="X97" s="0" t="n">
        <f aca="false">SUMPRODUCT(I97:W97,_XtX!$B$96:$P$96)</f>
        <v>39.4993009868421</v>
      </c>
      <c r="Y97" s="0" t="n">
        <f aca="false">SUMPRODUCT(MMULT(I97:W97,_XtX!$B$78:$P$92),I97:W97)</f>
        <v>0.431153771472953</v>
      </c>
      <c r="Z97" s="0" t="n">
        <f aca="false">04_回帰ANOVA!$K$19*04_回帰ANOVA!$K$14*SQRT(1+Y97)</f>
        <v>1.55934259562563</v>
      </c>
      <c r="AA97" s="0" t="n">
        <f aca="false">X97-Z97</f>
        <v>37.9399583912165</v>
      </c>
      <c r="AB97" s="0" t="n">
        <f aca="false">X97+Z97</f>
        <v>41.0586435824678</v>
      </c>
      <c r="AC97" s="54" t="b">
        <f aca="false">AND(E97&gt;=01_因子設定!$L$5-0.000000001,E97&lt;=01_因子設定!$M$5+0.000000001,F97&gt;=01_因子設定!$L$6-0.000000001,F97&lt;=01_因子設定!$M$6+0.000000001,G97&gt;=01_因子設定!$L$7-0.000000001,G97&lt;=01_因子設定!$M$7+0.000000001,H97&gt;=01_因子設定!$L$8-0.000000001,H97&lt;=01_因子設定!$M$8+0.000000001,IF(01_因子設定!$B$20="Box-Behnken",E97^2+F97^2+G97^2+H97^2&lt;=2+0.000000001,TRUE()))</f>
        <v>1</v>
      </c>
      <c r="AD97" s="55" t="n">
        <f aca="false">IF(AC97,IF(01_因子設定!$B$13="最大化",AA97-01_因子設定!$B$14,IF(01_因子設定!$B$13="最小化",01_因子設定!$B$15-AB97,MIN(AA97-01_因子設定!$B$14,01_因子設定!$B$15-AB97))),-1E+030)</f>
        <v>-8.56004160878349</v>
      </c>
      <c r="AE97" s="55" t="n">
        <f aca="false">IF(AC97,IF(01_因子設定!$B$13="最大化",X97,IF(01_因子設定!$B$13="最小化",-X97,-ABS(X97-01_因子設定!$B$16))),-1E+030)</f>
        <v>39.4993009868421</v>
      </c>
      <c r="AF97" s="55" t="n">
        <f aca="false">AD97+ROW()*0.000000001</f>
        <v>-8.56004151178349</v>
      </c>
      <c r="AG97" s="55" t="n">
        <f aca="false">AE97+ROW()*0.000000001</f>
        <v>39.4993010838421</v>
      </c>
    </row>
    <row r="98" customFormat="false" ht="15" hidden="false" customHeight="false" outlineLevel="0" collapsed="false">
      <c r="A98" s="0" t="n">
        <v>0</v>
      </c>
      <c r="B98" s="0" t="n">
        <v>1</v>
      </c>
      <c r="C98" s="0" t="n">
        <v>1</v>
      </c>
      <c r="D98" s="0" t="n">
        <v>3</v>
      </c>
      <c r="E98" s="0" t="n">
        <f aca="false">-1+A98*0.25</f>
        <v>-1</v>
      </c>
      <c r="F98" s="0" t="n">
        <f aca="false">-1+B98*0.25</f>
        <v>-0.75</v>
      </c>
      <c r="G98" s="0" t="n">
        <f aca="false">-1+C98*0.25</f>
        <v>-0.75</v>
      </c>
      <c r="H98" s="0" t="n">
        <f aca="false">-1+D98*0.25</f>
        <v>-0.25</v>
      </c>
      <c r="I98" s="0" t="n">
        <f aca="false">1</f>
        <v>1</v>
      </c>
      <c r="J98" s="0" t="n">
        <f aca="false">E98</f>
        <v>-1</v>
      </c>
      <c r="K98" s="0" t="n">
        <f aca="false">F98</f>
        <v>-0.75</v>
      </c>
      <c r="L98" s="0" t="n">
        <f aca="false">G98</f>
        <v>-0.75</v>
      </c>
      <c r="M98" s="0" t="n">
        <f aca="false">H98</f>
        <v>-0.25</v>
      </c>
      <c r="N98" s="0" t="n">
        <f aca="false">E98*F98</f>
        <v>0.75</v>
      </c>
      <c r="O98" s="0" t="n">
        <f aca="false">E98*G98</f>
        <v>0.75</v>
      </c>
      <c r="P98" s="0" t="n">
        <f aca="false">E98*H98</f>
        <v>0.25</v>
      </c>
      <c r="Q98" s="0" t="n">
        <f aca="false">F98*G98</f>
        <v>0.5625</v>
      </c>
      <c r="R98" s="0" t="n">
        <f aca="false">F98*H98</f>
        <v>0.1875</v>
      </c>
      <c r="S98" s="0" t="n">
        <f aca="false">G98*H98</f>
        <v>0.1875</v>
      </c>
      <c r="T98" s="0" t="n">
        <f aca="false">E98*E98</f>
        <v>1</v>
      </c>
      <c r="U98" s="0" t="n">
        <f aca="false">F98*F98</f>
        <v>0.5625</v>
      </c>
      <c r="V98" s="0" t="n">
        <f aca="false">G98*G98</f>
        <v>0.5625</v>
      </c>
      <c r="W98" s="0" t="n">
        <f aca="false">H98*H98</f>
        <v>0.0625</v>
      </c>
      <c r="X98" s="0" t="n">
        <f aca="false">SUMPRODUCT(I98:W98,_XtX!$B$96:$P$96)</f>
        <v>39.6270879020468</v>
      </c>
      <c r="Y98" s="0" t="n">
        <f aca="false">SUMPRODUCT(MMULT(I98:W98,_XtX!$B$78:$P$92),I98:W98)</f>
        <v>0.473959761056287</v>
      </c>
      <c r="Z98" s="0" t="n">
        <f aca="false">04_回帰ANOVA!$K$19*04_回帰ANOVA!$K$14*SQRT(1+Y98)</f>
        <v>1.58249084588329</v>
      </c>
      <c r="AA98" s="0" t="n">
        <f aca="false">X98-Z98</f>
        <v>38.0445970561635</v>
      </c>
      <c r="AB98" s="0" t="n">
        <f aca="false">X98+Z98</f>
        <v>41.2095787479301</v>
      </c>
      <c r="AC98" s="54" t="b">
        <f aca="false">AND(E98&gt;=01_因子設定!$L$5-0.000000001,E98&lt;=01_因子設定!$M$5+0.000000001,F98&gt;=01_因子設定!$L$6-0.000000001,F98&lt;=01_因子設定!$M$6+0.000000001,G98&gt;=01_因子設定!$L$7-0.000000001,G98&lt;=01_因子設定!$M$7+0.000000001,H98&gt;=01_因子設定!$L$8-0.000000001,H98&lt;=01_因子設定!$M$8+0.000000001,IF(01_因子設定!$B$20="Box-Behnken",E98^2+F98^2+G98^2+H98^2&lt;=2+0.000000001,TRUE()))</f>
        <v>1</v>
      </c>
      <c r="AD98" s="55" t="n">
        <f aca="false">IF(AC98,IF(01_因子設定!$B$13="最大化",AA98-01_因子設定!$B$14,IF(01_因子設定!$B$13="最小化",01_因子設定!$B$15-AB98,MIN(AA98-01_因子設定!$B$14,01_因子設定!$B$15-AB98))),-1E+030)</f>
        <v>-8.45540294383647</v>
      </c>
      <c r="AE98" s="55" t="n">
        <f aca="false">IF(AC98,IF(01_因子設定!$B$13="最大化",X98,IF(01_因子設定!$B$13="最小化",-X98,-ABS(X98-01_因子設定!$B$16))),-1E+030)</f>
        <v>39.6270879020468</v>
      </c>
      <c r="AF98" s="55" t="n">
        <f aca="false">AD98+ROW()*0.000000001</f>
        <v>-8.45540284583647</v>
      </c>
      <c r="AG98" s="55" t="n">
        <f aca="false">AE98+ROW()*0.000000001</f>
        <v>39.6270880000468</v>
      </c>
    </row>
    <row r="99" customFormat="false" ht="15" hidden="false" customHeight="false" outlineLevel="0" collapsed="false">
      <c r="A99" s="0" t="n">
        <v>0</v>
      </c>
      <c r="B99" s="0" t="n">
        <v>1</v>
      </c>
      <c r="C99" s="0" t="n">
        <v>1</v>
      </c>
      <c r="D99" s="0" t="n">
        <v>4</v>
      </c>
      <c r="E99" s="0" t="n">
        <f aca="false">-1+A99*0.25</f>
        <v>-1</v>
      </c>
      <c r="F99" s="0" t="n">
        <f aca="false">-1+B99*0.25</f>
        <v>-0.75</v>
      </c>
      <c r="G99" s="0" t="n">
        <f aca="false">-1+C99*0.25</f>
        <v>-0.75</v>
      </c>
      <c r="H99" s="0" t="n">
        <f aca="false">-1+D99*0.25</f>
        <v>0</v>
      </c>
      <c r="I99" s="0" t="n">
        <f aca="false">1</f>
        <v>1</v>
      </c>
      <c r="J99" s="0" t="n">
        <f aca="false">E99</f>
        <v>-1</v>
      </c>
      <c r="K99" s="0" t="n">
        <f aca="false">F99</f>
        <v>-0.75</v>
      </c>
      <c r="L99" s="0" t="n">
        <f aca="false">G99</f>
        <v>-0.75</v>
      </c>
      <c r="M99" s="0" t="n">
        <f aca="false">H99</f>
        <v>0</v>
      </c>
      <c r="N99" s="0" t="n">
        <f aca="false">E99*F99</f>
        <v>0.75</v>
      </c>
      <c r="O99" s="0" t="n">
        <f aca="false">E99*G99</f>
        <v>0.75</v>
      </c>
      <c r="P99" s="0" t="n">
        <f aca="false">E99*H99</f>
        <v>-0</v>
      </c>
      <c r="Q99" s="0" t="n">
        <f aca="false">F99*G99</f>
        <v>0.5625</v>
      </c>
      <c r="R99" s="0" t="n">
        <f aca="false">F99*H99</f>
        <v>-0</v>
      </c>
      <c r="S99" s="0" t="n">
        <f aca="false">G99*H99</f>
        <v>-0</v>
      </c>
      <c r="T99" s="0" t="n">
        <f aca="false">E99*E99</f>
        <v>1</v>
      </c>
      <c r="U99" s="0" t="n">
        <f aca="false">F99*F99</f>
        <v>0.5625</v>
      </c>
      <c r="V99" s="0" t="n">
        <f aca="false">G99*G99</f>
        <v>0.5625</v>
      </c>
      <c r="W99" s="0" t="n">
        <f aca="false">H99*H99</f>
        <v>0</v>
      </c>
      <c r="X99" s="0" t="n">
        <f aca="false">SUMPRODUCT(I99:W99,_XtX!$B$96:$P$96)</f>
        <v>39.7070677997076</v>
      </c>
      <c r="Y99" s="0" t="n">
        <f aca="false">SUMPRODUCT(MMULT(I99:W99,_XtX!$B$78:$P$92),I99:W99)</f>
        <v>0.494259126005117</v>
      </c>
      <c r="Z99" s="0" t="n">
        <f aca="false">04_回帰ANOVA!$K$19*04_回帰ANOVA!$K$14*SQRT(1+Y99)</f>
        <v>1.59335061078203</v>
      </c>
      <c r="AA99" s="0" t="n">
        <f aca="false">X99-Z99</f>
        <v>38.1137171889256</v>
      </c>
      <c r="AB99" s="0" t="n">
        <f aca="false">X99+Z99</f>
        <v>41.3004184104897</v>
      </c>
      <c r="AC99" s="54" t="b">
        <f aca="false">AND(E99&gt;=01_因子設定!$L$5-0.000000001,E99&lt;=01_因子設定!$M$5+0.000000001,F99&gt;=01_因子設定!$L$6-0.000000001,F99&lt;=01_因子設定!$M$6+0.000000001,G99&gt;=01_因子設定!$L$7-0.000000001,G99&lt;=01_因子設定!$M$7+0.000000001,H99&gt;=01_因子設定!$L$8-0.000000001,H99&lt;=01_因子設定!$M$8+0.000000001,IF(01_因子設定!$B$20="Box-Behnken",E99^2+F99^2+G99^2+H99^2&lt;=2+0.000000001,TRUE()))</f>
        <v>1</v>
      </c>
      <c r="AD99" s="55" t="n">
        <f aca="false">IF(AC99,IF(01_因子設定!$B$13="最大化",AA99-01_因子設定!$B$14,IF(01_因子設定!$B$13="最小化",01_因子設定!$B$15-AB99,MIN(AA99-01_因子設定!$B$14,01_因子設定!$B$15-AB99))),-1E+030)</f>
        <v>-8.3862828110744</v>
      </c>
      <c r="AE99" s="55" t="n">
        <f aca="false">IF(AC99,IF(01_因子設定!$B$13="最大化",X99,IF(01_因子設定!$B$13="最小化",-X99,-ABS(X99-01_因子設定!$B$16))),-1E+030)</f>
        <v>39.7070677997076</v>
      </c>
      <c r="AF99" s="55" t="n">
        <f aca="false">AD99+ROW()*0.000000001</f>
        <v>-8.3862827120744</v>
      </c>
      <c r="AG99" s="55" t="n">
        <f aca="false">AE99+ROW()*0.000000001</f>
        <v>39.7070678987076</v>
      </c>
    </row>
    <row r="100" customFormat="false" ht="15" hidden="false" customHeight="false" outlineLevel="0" collapsed="false">
      <c r="A100" s="0" t="n">
        <v>0</v>
      </c>
      <c r="B100" s="0" t="n">
        <v>1</v>
      </c>
      <c r="C100" s="0" t="n">
        <v>1</v>
      </c>
      <c r="D100" s="0" t="n">
        <v>5</v>
      </c>
      <c r="E100" s="0" t="n">
        <f aca="false">-1+A100*0.25</f>
        <v>-1</v>
      </c>
      <c r="F100" s="0" t="n">
        <f aca="false">-1+B100*0.25</f>
        <v>-0.75</v>
      </c>
      <c r="G100" s="0" t="n">
        <f aca="false">-1+C100*0.25</f>
        <v>-0.75</v>
      </c>
      <c r="H100" s="0" t="n">
        <f aca="false">-1+D100*0.25</f>
        <v>0.25</v>
      </c>
      <c r="I100" s="0" t="n">
        <f aca="false">1</f>
        <v>1</v>
      </c>
      <c r="J100" s="0" t="n">
        <f aca="false">E100</f>
        <v>-1</v>
      </c>
      <c r="K100" s="0" t="n">
        <f aca="false">F100</f>
        <v>-0.75</v>
      </c>
      <c r="L100" s="0" t="n">
        <f aca="false">G100</f>
        <v>-0.75</v>
      </c>
      <c r="M100" s="0" t="n">
        <f aca="false">H100</f>
        <v>0.25</v>
      </c>
      <c r="N100" s="0" t="n">
        <f aca="false">E100*F100</f>
        <v>0.75</v>
      </c>
      <c r="O100" s="0" t="n">
        <f aca="false">E100*G100</f>
        <v>0.75</v>
      </c>
      <c r="P100" s="0" t="n">
        <f aca="false">E100*H100</f>
        <v>-0.25</v>
      </c>
      <c r="Q100" s="0" t="n">
        <f aca="false">F100*G100</f>
        <v>0.5625</v>
      </c>
      <c r="R100" s="0" t="n">
        <f aca="false">F100*H100</f>
        <v>-0.1875</v>
      </c>
      <c r="S100" s="0" t="n">
        <f aca="false">G100*H100</f>
        <v>-0.1875</v>
      </c>
      <c r="T100" s="0" t="n">
        <f aca="false">E100*E100</f>
        <v>1</v>
      </c>
      <c r="U100" s="0" t="n">
        <f aca="false">F100*F100</f>
        <v>0.5625</v>
      </c>
      <c r="V100" s="0" t="n">
        <f aca="false">G100*G100</f>
        <v>0.5625</v>
      </c>
      <c r="W100" s="0" t="n">
        <f aca="false">H100*H100</f>
        <v>0.0625</v>
      </c>
      <c r="X100" s="0" t="n">
        <f aca="false">SUMPRODUCT(I100:W100,_XtX!$B$96:$P$96)</f>
        <v>39.7392406798246</v>
      </c>
      <c r="Y100" s="0" t="n">
        <f aca="false">SUMPRODUCT(MMULT(I100:W100,_XtX!$B$78:$P$92),I100:W100)</f>
        <v>0.473959761056287</v>
      </c>
      <c r="Z100" s="0" t="n">
        <f aca="false">04_回帰ANOVA!$K$19*04_回帰ANOVA!$K$14*SQRT(1+Y100)</f>
        <v>1.58249084588329</v>
      </c>
      <c r="AA100" s="0" t="n">
        <f aca="false">X100-Z100</f>
        <v>38.1567498339413</v>
      </c>
      <c r="AB100" s="0" t="n">
        <f aca="false">X100+Z100</f>
        <v>41.3217315257079</v>
      </c>
      <c r="AC100" s="54" t="b">
        <f aca="false">AND(E100&gt;=01_因子設定!$L$5-0.000000001,E100&lt;=01_因子設定!$M$5+0.000000001,F100&gt;=01_因子設定!$L$6-0.000000001,F100&lt;=01_因子設定!$M$6+0.000000001,G100&gt;=01_因子設定!$L$7-0.000000001,G100&lt;=01_因子設定!$M$7+0.000000001,H100&gt;=01_因子設定!$L$8-0.000000001,H100&lt;=01_因子設定!$M$8+0.000000001,IF(01_因子設定!$B$20="Box-Behnken",E100^2+F100^2+G100^2+H100^2&lt;=2+0.000000001,TRUE()))</f>
        <v>1</v>
      </c>
      <c r="AD100" s="55" t="n">
        <f aca="false">IF(AC100,IF(01_因子設定!$B$13="最大化",AA100-01_因子設定!$B$14,IF(01_因子設定!$B$13="最小化",01_因子設定!$B$15-AB100,MIN(AA100-01_因子設定!$B$14,01_因子設定!$B$15-AB100))),-1E+030)</f>
        <v>-8.3432501660587</v>
      </c>
      <c r="AE100" s="55" t="n">
        <f aca="false">IF(AC100,IF(01_因子設定!$B$13="最大化",X100,IF(01_因子設定!$B$13="最小化",-X100,-ABS(X100-01_因子設定!$B$16))),-1E+030)</f>
        <v>39.7392406798246</v>
      </c>
      <c r="AF100" s="55" t="n">
        <f aca="false">AD100+ROW()*0.000000001</f>
        <v>-8.3432500660587</v>
      </c>
      <c r="AG100" s="55" t="n">
        <f aca="false">AE100+ROW()*0.000000001</f>
        <v>39.7392407798246</v>
      </c>
    </row>
    <row r="101" customFormat="false" ht="15" hidden="false" customHeight="false" outlineLevel="0" collapsed="false">
      <c r="A101" s="0" t="n">
        <v>0</v>
      </c>
      <c r="B101" s="0" t="n">
        <v>1</v>
      </c>
      <c r="C101" s="0" t="n">
        <v>1</v>
      </c>
      <c r="D101" s="0" t="n">
        <v>6</v>
      </c>
      <c r="E101" s="0" t="n">
        <f aca="false">-1+A101*0.25</f>
        <v>-1</v>
      </c>
      <c r="F101" s="0" t="n">
        <f aca="false">-1+B101*0.25</f>
        <v>-0.75</v>
      </c>
      <c r="G101" s="0" t="n">
        <f aca="false">-1+C101*0.25</f>
        <v>-0.75</v>
      </c>
      <c r="H101" s="0" t="n">
        <f aca="false">-1+D101*0.25</f>
        <v>0.5</v>
      </c>
      <c r="I101" s="0" t="n">
        <f aca="false">1</f>
        <v>1</v>
      </c>
      <c r="J101" s="0" t="n">
        <f aca="false">E101</f>
        <v>-1</v>
      </c>
      <c r="K101" s="0" t="n">
        <f aca="false">F101</f>
        <v>-0.75</v>
      </c>
      <c r="L101" s="0" t="n">
        <f aca="false">G101</f>
        <v>-0.75</v>
      </c>
      <c r="M101" s="0" t="n">
        <f aca="false">H101</f>
        <v>0.5</v>
      </c>
      <c r="N101" s="0" t="n">
        <f aca="false">E101*F101</f>
        <v>0.75</v>
      </c>
      <c r="O101" s="0" t="n">
        <f aca="false">E101*G101</f>
        <v>0.75</v>
      </c>
      <c r="P101" s="0" t="n">
        <f aca="false">E101*H101</f>
        <v>-0.5</v>
      </c>
      <c r="Q101" s="0" t="n">
        <f aca="false">F101*G101</f>
        <v>0.5625</v>
      </c>
      <c r="R101" s="0" t="n">
        <f aca="false">F101*H101</f>
        <v>-0.375</v>
      </c>
      <c r="S101" s="0" t="n">
        <f aca="false">G101*H101</f>
        <v>-0.375</v>
      </c>
      <c r="T101" s="0" t="n">
        <f aca="false">E101*E101</f>
        <v>1</v>
      </c>
      <c r="U101" s="0" t="n">
        <f aca="false">F101*F101</f>
        <v>0.5625</v>
      </c>
      <c r="V101" s="0" t="n">
        <f aca="false">G101*G101</f>
        <v>0.5625</v>
      </c>
      <c r="W101" s="0" t="n">
        <f aca="false">H101*H101</f>
        <v>0.25</v>
      </c>
      <c r="X101" s="0" t="n">
        <f aca="false">SUMPRODUCT(I101:W101,_XtX!$B$96:$P$96)</f>
        <v>39.7236065423977</v>
      </c>
      <c r="Y101" s="0" t="n">
        <f aca="false">SUMPRODUCT(MMULT(I101:W101,_XtX!$B$78:$P$92),I101:W101)</f>
        <v>0.431153771472953</v>
      </c>
      <c r="Z101" s="0" t="n">
        <f aca="false">04_回帰ANOVA!$K$19*04_回帰ANOVA!$K$14*SQRT(1+Y101)</f>
        <v>1.55934259562563</v>
      </c>
      <c r="AA101" s="0" t="n">
        <f aca="false">X101-Z101</f>
        <v>38.1642639467721</v>
      </c>
      <c r="AB101" s="0" t="n">
        <f aca="false">X101+Z101</f>
        <v>41.2829491380233</v>
      </c>
      <c r="AC101" s="54" t="b">
        <f aca="false">AND(E101&gt;=01_因子設定!$L$5-0.000000001,E101&lt;=01_因子設定!$M$5+0.000000001,F101&gt;=01_因子設定!$L$6-0.000000001,F101&lt;=01_因子設定!$M$6+0.000000001,G101&gt;=01_因子設定!$L$7-0.000000001,G101&lt;=01_因子設定!$M$7+0.000000001,H101&gt;=01_因子設定!$L$8-0.000000001,H101&lt;=01_因子設定!$M$8+0.000000001,IF(01_因子設定!$B$20="Box-Behnken",E101^2+F101^2+G101^2+H101^2&lt;=2+0.000000001,TRUE()))</f>
        <v>1</v>
      </c>
      <c r="AD101" s="55" t="n">
        <f aca="false">IF(AC101,IF(01_因子設定!$B$13="最大化",AA101-01_因子設定!$B$14,IF(01_因子設定!$B$13="最小化",01_因子設定!$B$15-AB101,MIN(AA101-01_因子設定!$B$14,01_因子設定!$B$15-AB101))),-1E+030)</f>
        <v>-8.33573605322793</v>
      </c>
      <c r="AE101" s="55" t="n">
        <f aca="false">IF(AC101,IF(01_因子設定!$B$13="最大化",X101,IF(01_因子設定!$B$13="最小化",-X101,-ABS(X101-01_因子設定!$B$16))),-1E+030)</f>
        <v>39.7236065423977</v>
      </c>
      <c r="AF101" s="55" t="n">
        <f aca="false">AD101+ROW()*0.000000001</f>
        <v>-8.33573595222793</v>
      </c>
      <c r="AG101" s="55" t="n">
        <f aca="false">AE101+ROW()*0.000000001</f>
        <v>39.7236066433977</v>
      </c>
    </row>
    <row r="102" customFormat="false" ht="15" hidden="false" customHeight="false" outlineLevel="0" collapsed="false">
      <c r="A102" s="0" t="n">
        <v>0</v>
      </c>
      <c r="B102" s="0" t="n">
        <v>1</v>
      </c>
      <c r="C102" s="0" t="n">
        <v>1</v>
      </c>
      <c r="D102" s="0" t="n">
        <v>7</v>
      </c>
      <c r="E102" s="0" t="n">
        <f aca="false">-1+A102*0.25</f>
        <v>-1</v>
      </c>
      <c r="F102" s="0" t="n">
        <f aca="false">-1+B102*0.25</f>
        <v>-0.75</v>
      </c>
      <c r="G102" s="0" t="n">
        <f aca="false">-1+C102*0.25</f>
        <v>-0.75</v>
      </c>
      <c r="H102" s="0" t="n">
        <f aca="false">-1+D102*0.25</f>
        <v>0.75</v>
      </c>
      <c r="I102" s="0" t="n">
        <f aca="false">1</f>
        <v>1</v>
      </c>
      <c r="J102" s="0" t="n">
        <f aca="false">E102</f>
        <v>-1</v>
      </c>
      <c r="K102" s="0" t="n">
        <f aca="false">F102</f>
        <v>-0.75</v>
      </c>
      <c r="L102" s="0" t="n">
        <f aca="false">G102</f>
        <v>-0.75</v>
      </c>
      <c r="M102" s="0" t="n">
        <f aca="false">H102</f>
        <v>0.75</v>
      </c>
      <c r="N102" s="0" t="n">
        <f aca="false">E102*F102</f>
        <v>0.75</v>
      </c>
      <c r="O102" s="0" t="n">
        <f aca="false">E102*G102</f>
        <v>0.75</v>
      </c>
      <c r="P102" s="0" t="n">
        <f aca="false">E102*H102</f>
        <v>-0.75</v>
      </c>
      <c r="Q102" s="0" t="n">
        <f aca="false">F102*G102</f>
        <v>0.5625</v>
      </c>
      <c r="R102" s="0" t="n">
        <f aca="false">F102*H102</f>
        <v>-0.5625</v>
      </c>
      <c r="S102" s="0" t="n">
        <f aca="false">G102*H102</f>
        <v>-0.5625</v>
      </c>
      <c r="T102" s="0" t="n">
        <f aca="false">E102*E102</f>
        <v>1</v>
      </c>
      <c r="U102" s="0" t="n">
        <f aca="false">F102*F102</f>
        <v>0.5625</v>
      </c>
      <c r="V102" s="0" t="n">
        <f aca="false">G102*G102</f>
        <v>0.5625</v>
      </c>
      <c r="W102" s="0" t="n">
        <f aca="false">H102*H102</f>
        <v>0.5625</v>
      </c>
      <c r="X102" s="0" t="n">
        <f aca="false">SUMPRODUCT(I102:W102,_XtX!$B$96:$P$96)</f>
        <v>39.660165387427</v>
      </c>
      <c r="Y102" s="0" t="n">
        <f aca="false">SUMPRODUCT(MMULT(I102:W102,_XtX!$B$78:$P$92),I102:W102)</f>
        <v>0.420117473044591</v>
      </c>
      <c r="Z102" s="0" t="n">
        <f aca="false">04_回帰ANOVA!$K$19*04_回帰ANOVA!$K$14*SQRT(1+Y102)</f>
        <v>1.55331854827765</v>
      </c>
      <c r="AA102" s="0" t="n">
        <f aca="false">X102-Z102</f>
        <v>38.1068468391493</v>
      </c>
      <c r="AB102" s="0" t="n">
        <f aca="false">X102+Z102</f>
        <v>41.2134839357046</v>
      </c>
      <c r="AC102" s="54" t="b">
        <f aca="false">AND(E102&gt;=01_因子設定!$L$5-0.000000001,E102&lt;=01_因子設定!$M$5+0.000000001,F102&gt;=01_因子設定!$L$6-0.000000001,F102&lt;=01_因子設定!$M$6+0.000000001,G102&gt;=01_因子設定!$L$7-0.000000001,G102&lt;=01_因子設定!$M$7+0.000000001,H102&gt;=01_因子設定!$L$8-0.000000001,H102&lt;=01_因子設定!$M$8+0.000000001,IF(01_因子設定!$B$20="Box-Behnken",E102^2+F102^2+G102^2+H102^2&lt;=2+0.000000001,TRUE()))</f>
        <v>1</v>
      </c>
      <c r="AD102" s="55" t="n">
        <f aca="false">IF(AC102,IF(01_因子設定!$B$13="最大化",AA102-01_因子設定!$B$14,IF(01_因子設定!$B$13="最小化",01_因子設定!$B$15-AB102,MIN(AA102-01_因子設定!$B$14,01_因子設定!$B$15-AB102))),-1E+030)</f>
        <v>-8.39315316085069</v>
      </c>
      <c r="AE102" s="55" t="n">
        <f aca="false">IF(AC102,IF(01_因子設定!$B$13="最大化",X102,IF(01_因子設定!$B$13="最小化",-X102,-ABS(X102-01_因子設定!$B$16))),-1E+030)</f>
        <v>39.660165387427</v>
      </c>
      <c r="AF102" s="55" t="n">
        <f aca="false">AD102+ROW()*0.000000001</f>
        <v>-8.3931530588507</v>
      </c>
      <c r="AG102" s="55" t="n">
        <f aca="false">AE102+ROW()*0.000000001</f>
        <v>39.660165489427</v>
      </c>
    </row>
    <row r="103" customFormat="false" ht="15" hidden="false" customHeight="false" outlineLevel="0" collapsed="false">
      <c r="A103" s="0" t="n">
        <v>0</v>
      </c>
      <c r="B103" s="0" t="n">
        <v>1</v>
      </c>
      <c r="C103" s="0" t="n">
        <v>1</v>
      </c>
      <c r="D103" s="0" t="n">
        <v>8</v>
      </c>
      <c r="E103" s="0" t="n">
        <f aca="false">-1+A103*0.25</f>
        <v>-1</v>
      </c>
      <c r="F103" s="0" t="n">
        <f aca="false">-1+B103*0.25</f>
        <v>-0.75</v>
      </c>
      <c r="G103" s="0" t="n">
        <f aca="false">-1+C103*0.25</f>
        <v>-0.75</v>
      </c>
      <c r="H103" s="0" t="n">
        <f aca="false">-1+D103*0.25</f>
        <v>1</v>
      </c>
      <c r="I103" s="0" t="n">
        <f aca="false">1</f>
        <v>1</v>
      </c>
      <c r="J103" s="0" t="n">
        <f aca="false">E103</f>
        <v>-1</v>
      </c>
      <c r="K103" s="0" t="n">
        <f aca="false">F103</f>
        <v>-0.75</v>
      </c>
      <c r="L103" s="0" t="n">
        <f aca="false">G103</f>
        <v>-0.75</v>
      </c>
      <c r="M103" s="0" t="n">
        <f aca="false">H103</f>
        <v>1</v>
      </c>
      <c r="N103" s="0" t="n">
        <f aca="false">E103*F103</f>
        <v>0.75</v>
      </c>
      <c r="O103" s="0" t="n">
        <f aca="false">E103*G103</f>
        <v>0.75</v>
      </c>
      <c r="P103" s="0" t="n">
        <f aca="false">E103*H103</f>
        <v>-1</v>
      </c>
      <c r="Q103" s="0" t="n">
        <f aca="false">F103*G103</f>
        <v>0.5625</v>
      </c>
      <c r="R103" s="0" t="n">
        <f aca="false">F103*H103</f>
        <v>-0.75</v>
      </c>
      <c r="S103" s="0" t="n">
        <f aca="false">G103*H103</f>
        <v>-0.75</v>
      </c>
      <c r="T103" s="0" t="n">
        <f aca="false">E103*E103</f>
        <v>1</v>
      </c>
      <c r="U103" s="0" t="n">
        <f aca="false">F103*F103</f>
        <v>0.5625</v>
      </c>
      <c r="V103" s="0" t="n">
        <f aca="false">G103*G103</f>
        <v>0.5625</v>
      </c>
      <c r="W103" s="0" t="n">
        <f aca="false">H103*H103</f>
        <v>1</v>
      </c>
      <c r="X103" s="0" t="n">
        <f aca="false">SUMPRODUCT(I103:W103,_XtX!$B$96:$P$96)</f>
        <v>39.5489172149123</v>
      </c>
      <c r="Y103" s="0" t="n">
        <f aca="false">SUMPRODUCT(MMULT(I103:W103,_XtX!$B$78:$P$92),I103:W103)</f>
        <v>0.531311392086988</v>
      </c>
      <c r="Z103" s="0" t="n">
        <f aca="false">04_回帰ANOVA!$K$19*04_回帰ANOVA!$K$14*SQRT(1+Y103)</f>
        <v>1.61298433431428</v>
      </c>
      <c r="AA103" s="0" t="n">
        <f aca="false">X103-Z103</f>
        <v>37.9359328805981</v>
      </c>
      <c r="AB103" s="0" t="n">
        <f aca="false">X103+Z103</f>
        <v>41.1619015492266</v>
      </c>
      <c r="AC103" s="54" t="b">
        <f aca="false">AND(E103&gt;=01_因子設定!$L$5-0.000000001,E103&lt;=01_因子設定!$M$5+0.000000001,F103&gt;=01_因子設定!$L$6-0.000000001,F103&lt;=01_因子設定!$M$6+0.000000001,G103&gt;=01_因子設定!$L$7-0.000000001,G103&lt;=01_因子設定!$M$7+0.000000001,H103&gt;=01_因子設定!$L$8-0.000000001,H103&lt;=01_因子設定!$M$8+0.000000001,IF(01_因子設定!$B$20="Box-Behnken",E103^2+F103^2+G103^2+H103^2&lt;=2+0.000000001,TRUE()))</f>
        <v>1</v>
      </c>
      <c r="AD103" s="55" t="n">
        <f aca="false">IF(AC103,IF(01_因子設定!$B$13="最大化",AA103-01_因子設定!$B$14,IF(01_因子設定!$B$13="最小化",01_因子設定!$B$15-AB103,MIN(AA103-01_因子設定!$B$14,01_因子設定!$B$15-AB103))),-1E+030)</f>
        <v>-8.56406711940194</v>
      </c>
      <c r="AE103" s="55" t="n">
        <f aca="false">IF(AC103,IF(01_因子設定!$B$13="最大化",X103,IF(01_因子設定!$B$13="最小化",-X103,-ABS(X103-01_因子設定!$B$16))),-1E+030)</f>
        <v>39.5489172149123</v>
      </c>
      <c r="AF103" s="55" t="n">
        <f aca="false">AD103+ROW()*0.000000001</f>
        <v>-8.56406701640194</v>
      </c>
      <c r="AG103" s="55" t="n">
        <f aca="false">AE103+ROW()*0.000000001</f>
        <v>39.5489173179123</v>
      </c>
    </row>
    <row r="104" customFormat="false" ht="15" hidden="false" customHeight="false" outlineLevel="0" collapsed="false">
      <c r="A104" s="0" t="n">
        <v>0</v>
      </c>
      <c r="B104" s="0" t="n">
        <v>1</v>
      </c>
      <c r="C104" s="0" t="n">
        <v>2</v>
      </c>
      <c r="D104" s="0" t="n">
        <v>0</v>
      </c>
      <c r="E104" s="0" t="n">
        <f aca="false">-1+A104*0.25</f>
        <v>-1</v>
      </c>
      <c r="F104" s="0" t="n">
        <f aca="false">-1+B104*0.25</f>
        <v>-0.75</v>
      </c>
      <c r="G104" s="0" t="n">
        <f aca="false">-1+C104*0.25</f>
        <v>-0.5</v>
      </c>
      <c r="H104" s="0" t="n">
        <f aca="false">-1+D104*0.25</f>
        <v>-1</v>
      </c>
      <c r="I104" s="0" t="n">
        <f aca="false">1</f>
        <v>1</v>
      </c>
      <c r="J104" s="0" t="n">
        <f aca="false">E104</f>
        <v>-1</v>
      </c>
      <c r="K104" s="0" t="n">
        <f aca="false">F104</f>
        <v>-0.75</v>
      </c>
      <c r="L104" s="0" t="n">
        <f aca="false">G104</f>
        <v>-0.5</v>
      </c>
      <c r="M104" s="0" t="n">
        <f aca="false">H104</f>
        <v>-1</v>
      </c>
      <c r="N104" s="0" t="n">
        <f aca="false">E104*F104</f>
        <v>0.75</v>
      </c>
      <c r="O104" s="0" t="n">
        <f aca="false">E104*G104</f>
        <v>0.5</v>
      </c>
      <c r="P104" s="0" t="n">
        <f aca="false">E104*H104</f>
        <v>1</v>
      </c>
      <c r="Q104" s="0" t="n">
        <f aca="false">F104*G104</f>
        <v>0.375</v>
      </c>
      <c r="R104" s="0" t="n">
        <f aca="false">F104*H104</f>
        <v>0.75</v>
      </c>
      <c r="S104" s="0" t="n">
        <f aca="false">G104*H104</f>
        <v>0.5</v>
      </c>
      <c r="T104" s="0" t="n">
        <f aca="false">E104*E104</f>
        <v>1</v>
      </c>
      <c r="U104" s="0" t="n">
        <f aca="false">F104*F104</f>
        <v>0.5625</v>
      </c>
      <c r="V104" s="0" t="n">
        <f aca="false">G104*G104</f>
        <v>0.25</v>
      </c>
      <c r="W104" s="0" t="n">
        <f aca="false">H104*H104</f>
        <v>1</v>
      </c>
      <c r="X104" s="0" t="n">
        <f aca="false">SUMPRODUCT(I104:W104,_XtX!$B$96:$P$96)</f>
        <v>39.5914382309942</v>
      </c>
      <c r="Y104" s="0" t="n">
        <f aca="false">SUMPRODUCT(MMULT(I104:W104,_XtX!$B$78:$P$92),I104:W104)</f>
        <v>0.564984237938597</v>
      </c>
      <c r="Z104" s="0" t="n">
        <f aca="false">04_回帰ANOVA!$K$19*04_回帰ANOVA!$K$14*SQRT(1+Y104)</f>
        <v>1.63062229734503</v>
      </c>
      <c r="AA104" s="0" t="n">
        <f aca="false">X104-Z104</f>
        <v>37.9608159336492</v>
      </c>
      <c r="AB104" s="0" t="n">
        <f aca="false">X104+Z104</f>
        <v>41.2220605283393</v>
      </c>
      <c r="AC104" s="54" t="b">
        <f aca="false">AND(E104&gt;=01_因子設定!$L$5-0.000000001,E104&lt;=01_因子設定!$M$5+0.000000001,F104&gt;=01_因子設定!$L$6-0.000000001,F104&lt;=01_因子設定!$M$6+0.000000001,G104&gt;=01_因子設定!$L$7-0.000000001,G104&lt;=01_因子設定!$M$7+0.000000001,H104&gt;=01_因子設定!$L$8-0.000000001,H104&lt;=01_因子設定!$M$8+0.000000001,IF(01_因子設定!$B$20="Box-Behnken",E104^2+F104^2+G104^2+H104^2&lt;=2+0.000000001,TRUE()))</f>
        <v>1</v>
      </c>
      <c r="AD104" s="55" t="n">
        <f aca="false">IF(AC104,IF(01_因子設定!$B$13="最大化",AA104-01_因子設定!$B$14,IF(01_因子設定!$B$13="最小化",01_因子設定!$B$15-AB104,MIN(AA104-01_因子設定!$B$14,01_因子設定!$B$15-AB104))),-1E+030)</f>
        <v>-8.53918406635082</v>
      </c>
      <c r="AE104" s="55" t="n">
        <f aca="false">IF(AC104,IF(01_因子設定!$B$13="最大化",X104,IF(01_因子設定!$B$13="最小化",-X104,-ABS(X104-01_因子設定!$B$16))),-1E+030)</f>
        <v>39.5914382309942</v>
      </c>
      <c r="AF104" s="55" t="n">
        <f aca="false">AD104+ROW()*0.000000001</f>
        <v>-8.53918396235082</v>
      </c>
      <c r="AG104" s="55" t="n">
        <f aca="false">AE104+ROW()*0.000000001</f>
        <v>39.5914383349942</v>
      </c>
    </row>
    <row r="105" customFormat="false" ht="15" hidden="false" customHeight="false" outlineLevel="0" collapsed="false">
      <c r="A105" s="0" t="n">
        <v>0</v>
      </c>
      <c r="B105" s="0" t="n">
        <v>1</v>
      </c>
      <c r="C105" s="0" t="n">
        <v>2</v>
      </c>
      <c r="D105" s="0" t="n">
        <v>1</v>
      </c>
      <c r="E105" s="0" t="n">
        <f aca="false">-1+A105*0.25</f>
        <v>-1</v>
      </c>
      <c r="F105" s="0" t="n">
        <f aca="false">-1+B105*0.25</f>
        <v>-0.75</v>
      </c>
      <c r="G105" s="0" t="n">
        <f aca="false">-1+C105*0.25</f>
        <v>-0.5</v>
      </c>
      <c r="H105" s="0" t="n">
        <f aca="false">-1+D105*0.25</f>
        <v>-0.75</v>
      </c>
      <c r="I105" s="0" t="n">
        <f aca="false">1</f>
        <v>1</v>
      </c>
      <c r="J105" s="0" t="n">
        <f aca="false">E105</f>
        <v>-1</v>
      </c>
      <c r="K105" s="0" t="n">
        <f aca="false">F105</f>
        <v>-0.75</v>
      </c>
      <c r="L105" s="0" t="n">
        <f aca="false">G105</f>
        <v>-0.5</v>
      </c>
      <c r="M105" s="0" t="n">
        <f aca="false">H105</f>
        <v>-0.75</v>
      </c>
      <c r="N105" s="0" t="n">
        <f aca="false">E105*F105</f>
        <v>0.75</v>
      </c>
      <c r="O105" s="0" t="n">
        <f aca="false">E105*G105</f>
        <v>0.5</v>
      </c>
      <c r="P105" s="0" t="n">
        <f aca="false">E105*H105</f>
        <v>0.75</v>
      </c>
      <c r="Q105" s="0" t="n">
        <f aca="false">F105*G105</f>
        <v>0.375</v>
      </c>
      <c r="R105" s="0" t="n">
        <f aca="false">F105*H105</f>
        <v>0.5625</v>
      </c>
      <c r="S105" s="0" t="n">
        <f aca="false">G105*H105</f>
        <v>0.375</v>
      </c>
      <c r="T105" s="0" t="n">
        <f aca="false">E105*E105</f>
        <v>1</v>
      </c>
      <c r="U105" s="0" t="n">
        <f aca="false">F105*F105</f>
        <v>0.5625</v>
      </c>
      <c r="V105" s="0" t="n">
        <f aca="false">G105*G105</f>
        <v>0.25</v>
      </c>
      <c r="W105" s="0" t="n">
        <f aca="false">H105*H105</f>
        <v>0.5625</v>
      </c>
      <c r="X105" s="0" t="n">
        <f aca="false">SUMPRODUCT(I105:W105,_XtX!$B$96:$P$96)</f>
        <v>39.8328079312866</v>
      </c>
      <c r="Y105" s="0" t="n">
        <f aca="false">SUMPRODUCT(MMULT(I105:W105,_XtX!$B$78:$P$92),I105:W105)</f>
        <v>0.431153771472953</v>
      </c>
      <c r="Z105" s="0" t="n">
        <f aca="false">04_回帰ANOVA!$K$19*04_回帰ANOVA!$K$14*SQRT(1+Y105)</f>
        <v>1.55934259562563</v>
      </c>
      <c r="AA105" s="0" t="n">
        <f aca="false">X105-Z105</f>
        <v>38.273465335661</v>
      </c>
      <c r="AB105" s="0" t="n">
        <f aca="false">X105+Z105</f>
        <v>41.3921505269122</v>
      </c>
      <c r="AC105" s="54" t="b">
        <f aca="false">AND(E105&gt;=01_因子設定!$L$5-0.000000001,E105&lt;=01_因子設定!$M$5+0.000000001,F105&gt;=01_因子設定!$L$6-0.000000001,F105&lt;=01_因子設定!$M$6+0.000000001,G105&gt;=01_因子設定!$L$7-0.000000001,G105&lt;=01_因子設定!$M$7+0.000000001,H105&gt;=01_因子設定!$L$8-0.000000001,H105&lt;=01_因子設定!$M$8+0.000000001,IF(01_因子設定!$B$20="Box-Behnken",E105^2+F105^2+G105^2+H105^2&lt;=2+0.000000001,TRUE()))</f>
        <v>1</v>
      </c>
      <c r="AD105" s="55" t="n">
        <f aca="false">IF(AC105,IF(01_因子設定!$B$13="最大化",AA105-01_因子設定!$B$14,IF(01_因子設定!$B$13="最小化",01_因子設定!$B$15-AB105,MIN(AA105-01_因子設定!$B$14,01_因子設定!$B$15-AB105))),-1E+030)</f>
        <v>-8.22653466433903</v>
      </c>
      <c r="AE105" s="55" t="n">
        <f aca="false">IF(AC105,IF(01_因子設定!$B$13="最大化",X105,IF(01_因子設定!$B$13="最小化",-X105,-ABS(X105-01_因子設定!$B$16))),-1E+030)</f>
        <v>39.8328079312866</v>
      </c>
      <c r="AF105" s="55" t="n">
        <f aca="false">AD105+ROW()*0.000000001</f>
        <v>-8.22653455933904</v>
      </c>
      <c r="AG105" s="55" t="n">
        <f aca="false">AE105+ROW()*0.000000001</f>
        <v>39.8328080362866</v>
      </c>
    </row>
    <row r="106" customFormat="false" ht="15" hidden="false" customHeight="false" outlineLevel="0" collapsed="false">
      <c r="A106" s="0" t="n">
        <v>0</v>
      </c>
      <c r="B106" s="0" t="n">
        <v>1</v>
      </c>
      <c r="C106" s="0" t="n">
        <v>2</v>
      </c>
      <c r="D106" s="0" t="n">
        <v>2</v>
      </c>
      <c r="E106" s="0" t="n">
        <f aca="false">-1+A106*0.25</f>
        <v>-1</v>
      </c>
      <c r="F106" s="0" t="n">
        <f aca="false">-1+B106*0.25</f>
        <v>-0.75</v>
      </c>
      <c r="G106" s="0" t="n">
        <f aca="false">-1+C106*0.25</f>
        <v>-0.5</v>
      </c>
      <c r="H106" s="0" t="n">
        <f aca="false">-1+D106*0.25</f>
        <v>-0.5</v>
      </c>
      <c r="I106" s="0" t="n">
        <f aca="false">1</f>
        <v>1</v>
      </c>
      <c r="J106" s="0" t="n">
        <f aca="false">E106</f>
        <v>-1</v>
      </c>
      <c r="K106" s="0" t="n">
        <f aca="false">F106</f>
        <v>-0.75</v>
      </c>
      <c r="L106" s="0" t="n">
        <f aca="false">G106</f>
        <v>-0.5</v>
      </c>
      <c r="M106" s="0" t="n">
        <f aca="false">H106</f>
        <v>-0.5</v>
      </c>
      <c r="N106" s="0" t="n">
        <f aca="false">E106*F106</f>
        <v>0.75</v>
      </c>
      <c r="O106" s="0" t="n">
        <f aca="false">E106*G106</f>
        <v>0.5</v>
      </c>
      <c r="P106" s="0" t="n">
        <f aca="false">E106*H106</f>
        <v>0.5</v>
      </c>
      <c r="Q106" s="0" t="n">
        <f aca="false">F106*G106</f>
        <v>0.375</v>
      </c>
      <c r="R106" s="0" t="n">
        <f aca="false">F106*H106</f>
        <v>0.375</v>
      </c>
      <c r="S106" s="0" t="n">
        <f aca="false">G106*H106</f>
        <v>0.25</v>
      </c>
      <c r="T106" s="0" t="n">
        <f aca="false">E106*E106</f>
        <v>1</v>
      </c>
      <c r="U106" s="0" t="n">
        <f aca="false">F106*F106</f>
        <v>0.5625</v>
      </c>
      <c r="V106" s="0" t="n">
        <f aca="false">G106*G106</f>
        <v>0.25</v>
      </c>
      <c r="W106" s="0" t="n">
        <f aca="false">H106*H106</f>
        <v>0.25</v>
      </c>
      <c r="X106" s="0" t="n">
        <f aca="false">SUMPRODUCT(I106:W106,_XtX!$B$96:$P$96)</f>
        <v>40.0263706140351</v>
      </c>
      <c r="Y106" s="0" t="n">
        <f aca="false">SUMPRODUCT(MMULT(I106:W106,_XtX!$B$78:$P$92),I106:W106)</f>
        <v>0.42602110745614</v>
      </c>
      <c r="Z106" s="0" t="n">
        <f aca="false">04_回帰ANOVA!$K$19*04_回帰ANOVA!$K$14*SQRT(1+Y106)</f>
        <v>1.55654388501114</v>
      </c>
      <c r="AA106" s="0" t="n">
        <f aca="false">X106-Z106</f>
        <v>38.469826729024</v>
      </c>
      <c r="AB106" s="0" t="n">
        <f aca="false">X106+Z106</f>
        <v>41.5829144990463</v>
      </c>
      <c r="AC106" s="54" t="b">
        <f aca="false">AND(E106&gt;=01_因子設定!$L$5-0.000000001,E106&lt;=01_因子設定!$M$5+0.000000001,F106&gt;=01_因子設定!$L$6-0.000000001,F106&lt;=01_因子設定!$M$6+0.000000001,G106&gt;=01_因子設定!$L$7-0.000000001,G106&lt;=01_因子設定!$M$7+0.000000001,H106&gt;=01_因子設定!$L$8-0.000000001,H106&lt;=01_因子設定!$M$8+0.000000001,IF(01_因子設定!$B$20="Box-Behnken",E106^2+F106^2+G106^2+H106^2&lt;=2+0.000000001,TRUE()))</f>
        <v>1</v>
      </c>
      <c r="AD106" s="55" t="n">
        <f aca="false">IF(AC106,IF(01_因子設定!$B$13="最大化",AA106-01_因子設定!$B$14,IF(01_因子設定!$B$13="最小化",01_因子設定!$B$15-AB106,MIN(AA106-01_因子設定!$B$14,01_因子設定!$B$15-AB106))),-1E+030)</f>
        <v>-8.03017327097602</v>
      </c>
      <c r="AE106" s="55" t="n">
        <f aca="false">IF(AC106,IF(01_因子設定!$B$13="最大化",X106,IF(01_因子設定!$B$13="最小化",-X106,-ABS(X106-01_因子設定!$B$16))),-1E+030)</f>
        <v>40.0263706140351</v>
      </c>
      <c r="AF106" s="55" t="n">
        <f aca="false">AD106+ROW()*0.000000001</f>
        <v>-8.03017316497602</v>
      </c>
      <c r="AG106" s="55" t="n">
        <f aca="false">AE106+ROW()*0.000000001</f>
        <v>40.0263707200351</v>
      </c>
    </row>
    <row r="107" customFormat="false" ht="15" hidden="false" customHeight="false" outlineLevel="0" collapsed="false">
      <c r="A107" s="0" t="n">
        <v>0</v>
      </c>
      <c r="B107" s="0" t="n">
        <v>1</v>
      </c>
      <c r="C107" s="0" t="n">
        <v>2</v>
      </c>
      <c r="D107" s="0" t="n">
        <v>3</v>
      </c>
      <c r="E107" s="0" t="n">
        <f aca="false">-1+A107*0.25</f>
        <v>-1</v>
      </c>
      <c r="F107" s="0" t="n">
        <f aca="false">-1+B107*0.25</f>
        <v>-0.75</v>
      </c>
      <c r="G107" s="0" t="n">
        <f aca="false">-1+C107*0.25</f>
        <v>-0.5</v>
      </c>
      <c r="H107" s="0" t="n">
        <f aca="false">-1+D107*0.25</f>
        <v>-0.25</v>
      </c>
      <c r="I107" s="0" t="n">
        <f aca="false">1</f>
        <v>1</v>
      </c>
      <c r="J107" s="0" t="n">
        <f aca="false">E107</f>
        <v>-1</v>
      </c>
      <c r="K107" s="0" t="n">
        <f aca="false">F107</f>
        <v>-0.75</v>
      </c>
      <c r="L107" s="0" t="n">
        <f aca="false">G107</f>
        <v>-0.5</v>
      </c>
      <c r="M107" s="0" t="n">
        <f aca="false">H107</f>
        <v>-0.25</v>
      </c>
      <c r="N107" s="0" t="n">
        <f aca="false">E107*F107</f>
        <v>0.75</v>
      </c>
      <c r="O107" s="0" t="n">
        <f aca="false">E107*G107</f>
        <v>0.5</v>
      </c>
      <c r="P107" s="0" t="n">
        <f aca="false">E107*H107</f>
        <v>0.25</v>
      </c>
      <c r="Q107" s="0" t="n">
        <f aca="false">F107*G107</f>
        <v>0.375</v>
      </c>
      <c r="R107" s="0" t="n">
        <f aca="false">F107*H107</f>
        <v>0.1875</v>
      </c>
      <c r="S107" s="0" t="n">
        <f aca="false">G107*H107</f>
        <v>0.125</v>
      </c>
      <c r="T107" s="0" t="n">
        <f aca="false">E107*E107</f>
        <v>1</v>
      </c>
      <c r="U107" s="0" t="n">
        <f aca="false">F107*F107</f>
        <v>0.5625</v>
      </c>
      <c r="V107" s="0" t="n">
        <f aca="false">G107*G107</f>
        <v>0.25</v>
      </c>
      <c r="W107" s="0" t="n">
        <f aca="false">H107*H107</f>
        <v>0.0625</v>
      </c>
      <c r="X107" s="0" t="n">
        <f aca="false">SUMPRODUCT(I107:W107,_XtX!$B$96:$P$96)</f>
        <v>40.1721262792398</v>
      </c>
      <c r="Y107" s="0" t="n">
        <f aca="false">SUMPRODUCT(MMULT(I107:W107,_XtX!$B$78:$P$92),I107:W107)</f>
        <v>0.459125719572369</v>
      </c>
      <c r="Z107" s="0" t="n">
        <f aca="false">04_回帰ANOVA!$K$19*04_回帰ANOVA!$K$14*SQRT(1+Y107)</f>
        <v>1.57450755575573</v>
      </c>
      <c r="AA107" s="0" t="n">
        <f aca="false">X107-Z107</f>
        <v>38.5976187234841</v>
      </c>
      <c r="AB107" s="0" t="n">
        <f aca="false">X107+Z107</f>
        <v>41.7466338349955</v>
      </c>
      <c r="AC107" s="54" t="b">
        <f aca="false">AND(E107&gt;=01_因子設定!$L$5-0.000000001,E107&lt;=01_因子設定!$M$5+0.000000001,F107&gt;=01_因子設定!$L$6-0.000000001,F107&lt;=01_因子設定!$M$6+0.000000001,G107&gt;=01_因子設定!$L$7-0.000000001,G107&lt;=01_因子設定!$M$7+0.000000001,H107&gt;=01_因子設定!$L$8-0.000000001,H107&lt;=01_因子設定!$M$8+0.000000001,IF(01_因子設定!$B$20="Box-Behnken",E107^2+F107^2+G107^2+H107^2&lt;=2+0.000000001,TRUE()))</f>
        <v>1</v>
      </c>
      <c r="AD107" s="55" t="n">
        <f aca="false">IF(AC107,IF(01_因子設定!$B$13="最大化",AA107-01_因子設定!$B$14,IF(01_因子設定!$B$13="最小化",01_因子設定!$B$15-AB107,MIN(AA107-01_因子設定!$B$14,01_因子設定!$B$15-AB107))),-1E+030)</f>
        <v>-7.90238127651593</v>
      </c>
      <c r="AE107" s="55" t="n">
        <f aca="false">IF(AC107,IF(01_因子設定!$B$13="最大化",X107,IF(01_因子設定!$B$13="最小化",-X107,-ABS(X107-01_因子設定!$B$16))),-1E+030)</f>
        <v>40.1721262792398</v>
      </c>
      <c r="AF107" s="55" t="n">
        <f aca="false">AD107+ROW()*0.000000001</f>
        <v>-7.90238116951593</v>
      </c>
      <c r="AG107" s="55" t="n">
        <f aca="false">AE107+ROW()*0.000000001</f>
        <v>40.1721263862398</v>
      </c>
    </row>
    <row r="108" customFormat="false" ht="15" hidden="false" customHeight="false" outlineLevel="0" collapsed="false">
      <c r="A108" s="0" t="n">
        <v>0</v>
      </c>
      <c r="B108" s="0" t="n">
        <v>1</v>
      </c>
      <c r="C108" s="0" t="n">
        <v>2</v>
      </c>
      <c r="D108" s="0" t="n">
        <v>4</v>
      </c>
      <c r="E108" s="0" t="n">
        <f aca="false">-1+A108*0.25</f>
        <v>-1</v>
      </c>
      <c r="F108" s="0" t="n">
        <f aca="false">-1+B108*0.25</f>
        <v>-0.75</v>
      </c>
      <c r="G108" s="0" t="n">
        <f aca="false">-1+C108*0.25</f>
        <v>-0.5</v>
      </c>
      <c r="H108" s="0" t="n">
        <f aca="false">-1+D108*0.25</f>
        <v>0</v>
      </c>
      <c r="I108" s="0" t="n">
        <f aca="false">1</f>
        <v>1</v>
      </c>
      <c r="J108" s="0" t="n">
        <f aca="false">E108</f>
        <v>-1</v>
      </c>
      <c r="K108" s="0" t="n">
        <f aca="false">F108</f>
        <v>-0.75</v>
      </c>
      <c r="L108" s="0" t="n">
        <f aca="false">G108</f>
        <v>-0.5</v>
      </c>
      <c r="M108" s="0" t="n">
        <f aca="false">H108</f>
        <v>0</v>
      </c>
      <c r="N108" s="0" t="n">
        <f aca="false">E108*F108</f>
        <v>0.75</v>
      </c>
      <c r="O108" s="0" t="n">
        <f aca="false">E108*G108</f>
        <v>0.5</v>
      </c>
      <c r="P108" s="0" t="n">
        <f aca="false">E108*H108</f>
        <v>-0</v>
      </c>
      <c r="Q108" s="0" t="n">
        <f aca="false">F108*G108</f>
        <v>0.375</v>
      </c>
      <c r="R108" s="0" t="n">
        <f aca="false">F108*H108</f>
        <v>-0</v>
      </c>
      <c r="S108" s="0" t="n">
        <f aca="false">G108*H108</f>
        <v>-0</v>
      </c>
      <c r="T108" s="0" t="n">
        <f aca="false">E108*E108</f>
        <v>1</v>
      </c>
      <c r="U108" s="0" t="n">
        <f aca="false">F108*F108</f>
        <v>0.5625</v>
      </c>
      <c r="V108" s="0" t="n">
        <f aca="false">G108*G108</f>
        <v>0.25</v>
      </c>
      <c r="W108" s="0" t="n">
        <f aca="false">H108*H108</f>
        <v>0</v>
      </c>
      <c r="X108" s="0" t="n">
        <f aca="false">SUMPRODUCT(I108:W108,_XtX!$B$96:$P$96)</f>
        <v>40.2700749269006</v>
      </c>
      <c r="Y108" s="0" t="n">
        <f aca="false">SUMPRODUCT(MMULT(I108:W108,_XtX!$B$78:$P$92),I108:W108)</f>
        <v>0.476191292032164</v>
      </c>
      <c r="Z108" s="0" t="n">
        <f aca="false">04_回帰ANOVA!$K$19*04_回帰ANOVA!$K$14*SQRT(1+Y108)</f>
        <v>1.58368831471718</v>
      </c>
      <c r="AA108" s="0" t="n">
        <f aca="false">X108-Z108</f>
        <v>38.6863866121834</v>
      </c>
      <c r="AB108" s="0" t="n">
        <f aca="false">X108+Z108</f>
        <v>41.8537632416178</v>
      </c>
      <c r="AC108" s="54" t="b">
        <f aca="false">AND(E108&gt;=01_因子設定!$L$5-0.000000001,E108&lt;=01_因子設定!$M$5+0.000000001,F108&gt;=01_因子設定!$L$6-0.000000001,F108&lt;=01_因子設定!$M$6+0.000000001,G108&gt;=01_因子設定!$L$7-0.000000001,G108&lt;=01_因子設定!$M$7+0.000000001,H108&gt;=01_因子設定!$L$8-0.000000001,H108&lt;=01_因子設定!$M$8+0.000000001,IF(01_因子設定!$B$20="Box-Behnken",E108^2+F108^2+G108^2+H108^2&lt;=2+0.000000001,TRUE()))</f>
        <v>1</v>
      </c>
      <c r="AD108" s="55" t="n">
        <f aca="false">IF(AC108,IF(01_因子設定!$B$13="最大化",AA108-01_因子設定!$B$14,IF(01_因子設定!$B$13="最小化",01_因子設定!$B$15-AB108,MIN(AA108-01_因子設定!$B$14,01_因子設定!$B$15-AB108))),-1E+030)</f>
        <v>-7.81361338781657</v>
      </c>
      <c r="AE108" s="55" t="n">
        <f aca="false">IF(AC108,IF(01_因子設定!$B$13="最大化",X108,IF(01_因子設定!$B$13="最小化",-X108,-ABS(X108-01_因子設定!$B$16))),-1E+030)</f>
        <v>40.2700749269006</v>
      </c>
      <c r="AF108" s="55" t="n">
        <f aca="false">AD108+ROW()*0.000000001</f>
        <v>-7.81361327981657</v>
      </c>
      <c r="AG108" s="55" t="n">
        <f aca="false">AE108+ROW()*0.000000001</f>
        <v>40.2700750349006</v>
      </c>
    </row>
    <row r="109" customFormat="false" ht="15" hidden="false" customHeight="false" outlineLevel="0" collapsed="false">
      <c r="A109" s="0" t="n">
        <v>0</v>
      </c>
      <c r="B109" s="0" t="n">
        <v>1</v>
      </c>
      <c r="C109" s="0" t="n">
        <v>2</v>
      </c>
      <c r="D109" s="0" t="n">
        <v>5</v>
      </c>
      <c r="E109" s="0" t="n">
        <f aca="false">-1+A109*0.25</f>
        <v>-1</v>
      </c>
      <c r="F109" s="0" t="n">
        <f aca="false">-1+B109*0.25</f>
        <v>-0.75</v>
      </c>
      <c r="G109" s="0" t="n">
        <f aca="false">-1+C109*0.25</f>
        <v>-0.5</v>
      </c>
      <c r="H109" s="0" t="n">
        <f aca="false">-1+D109*0.25</f>
        <v>0.25</v>
      </c>
      <c r="I109" s="0" t="n">
        <f aca="false">1</f>
        <v>1</v>
      </c>
      <c r="J109" s="0" t="n">
        <f aca="false">E109</f>
        <v>-1</v>
      </c>
      <c r="K109" s="0" t="n">
        <f aca="false">F109</f>
        <v>-0.75</v>
      </c>
      <c r="L109" s="0" t="n">
        <f aca="false">G109</f>
        <v>-0.5</v>
      </c>
      <c r="M109" s="0" t="n">
        <f aca="false">H109</f>
        <v>0.25</v>
      </c>
      <c r="N109" s="0" t="n">
        <f aca="false">E109*F109</f>
        <v>0.75</v>
      </c>
      <c r="O109" s="0" t="n">
        <f aca="false">E109*G109</f>
        <v>0.5</v>
      </c>
      <c r="P109" s="0" t="n">
        <f aca="false">E109*H109</f>
        <v>-0.25</v>
      </c>
      <c r="Q109" s="0" t="n">
        <f aca="false">F109*G109</f>
        <v>0.375</v>
      </c>
      <c r="R109" s="0" t="n">
        <f aca="false">F109*H109</f>
        <v>-0.1875</v>
      </c>
      <c r="S109" s="0" t="n">
        <f aca="false">G109*H109</f>
        <v>-0.125</v>
      </c>
      <c r="T109" s="0" t="n">
        <f aca="false">E109*E109</f>
        <v>1</v>
      </c>
      <c r="U109" s="0" t="n">
        <f aca="false">F109*F109</f>
        <v>0.5625</v>
      </c>
      <c r="V109" s="0" t="n">
        <f aca="false">G109*G109</f>
        <v>0.25</v>
      </c>
      <c r="W109" s="0" t="n">
        <f aca="false">H109*H109</f>
        <v>0.0625</v>
      </c>
      <c r="X109" s="0" t="n">
        <f aca="false">SUMPRODUCT(I109:W109,_XtX!$B$96:$P$96)</f>
        <v>40.3202165570176</v>
      </c>
      <c r="Y109" s="0" t="n">
        <f aca="false">SUMPRODUCT(MMULT(I109:W109,_XtX!$B$78:$P$92),I109:W109)</f>
        <v>0.459125719572369</v>
      </c>
      <c r="Z109" s="0" t="n">
        <f aca="false">04_回帰ANOVA!$K$19*04_回帰ANOVA!$K$14*SQRT(1+Y109)</f>
        <v>1.57450755575573</v>
      </c>
      <c r="AA109" s="0" t="n">
        <f aca="false">X109-Z109</f>
        <v>38.7457090012618</v>
      </c>
      <c r="AB109" s="0" t="n">
        <f aca="false">X109+Z109</f>
        <v>41.8947241127733</v>
      </c>
      <c r="AC109" s="54" t="b">
        <f aca="false">AND(E109&gt;=01_因子設定!$L$5-0.000000001,E109&lt;=01_因子設定!$M$5+0.000000001,F109&gt;=01_因子設定!$L$6-0.000000001,F109&lt;=01_因子設定!$M$6+0.000000001,G109&gt;=01_因子設定!$L$7-0.000000001,G109&lt;=01_因子設定!$M$7+0.000000001,H109&gt;=01_因子設定!$L$8-0.000000001,H109&lt;=01_因子設定!$M$8+0.000000001,IF(01_因子設定!$B$20="Box-Behnken",E109^2+F109^2+G109^2+H109^2&lt;=2+0.000000001,TRUE()))</f>
        <v>1</v>
      </c>
      <c r="AD109" s="55" t="n">
        <f aca="false">IF(AC109,IF(01_因子設定!$B$13="最大化",AA109-01_因子設定!$B$14,IF(01_因子設定!$B$13="最小化",01_因子設定!$B$15-AB109,MIN(AA109-01_因子設定!$B$14,01_因子設定!$B$15-AB109))),-1E+030)</f>
        <v>-7.75429099873816</v>
      </c>
      <c r="AE109" s="55" t="n">
        <f aca="false">IF(AC109,IF(01_因子設定!$B$13="最大化",X109,IF(01_因子設定!$B$13="最小化",-X109,-ABS(X109-01_因子設定!$B$16))),-1E+030)</f>
        <v>40.3202165570176</v>
      </c>
      <c r="AF109" s="55" t="n">
        <f aca="false">AD109+ROW()*0.000000001</f>
        <v>-7.75429088973816</v>
      </c>
      <c r="AG109" s="55" t="n">
        <f aca="false">AE109+ROW()*0.000000001</f>
        <v>40.3202166660176</v>
      </c>
    </row>
    <row r="110" customFormat="false" ht="15" hidden="false" customHeight="false" outlineLevel="0" collapsed="false">
      <c r="A110" s="0" t="n">
        <v>0</v>
      </c>
      <c r="B110" s="0" t="n">
        <v>1</v>
      </c>
      <c r="C110" s="0" t="n">
        <v>2</v>
      </c>
      <c r="D110" s="0" t="n">
        <v>6</v>
      </c>
      <c r="E110" s="0" t="n">
        <f aca="false">-1+A110*0.25</f>
        <v>-1</v>
      </c>
      <c r="F110" s="0" t="n">
        <f aca="false">-1+B110*0.25</f>
        <v>-0.75</v>
      </c>
      <c r="G110" s="0" t="n">
        <f aca="false">-1+C110*0.25</f>
        <v>-0.5</v>
      </c>
      <c r="H110" s="0" t="n">
        <f aca="false">-1+D110*0.25</f>
        <v>0.5</v>
      </c>
      <c r="I110" s="0" t="n">
        <f aca="false">1</f>
        <v>1</v>
      </c>
      <c r="J110" s="0" t="n">
        <f aca="false">E110</f>
        <v>-1</v>
      </c>
      <c r="K110" s="0" t="n">
        <f aca="false">F110</f>
        <v>-0.75</v>
      </c>
      <c r="L110" s="0" t="n">
        <f aca="false">G110</f>
        <v>-0.5</v>
      </c>
      <c r="M110" s="0" t="n">
        <f aca="false">H110</f>
        <v>0.5</v>
      </c>
      <c r="N110" s="0" t="n">
        <f aca="false">E110*F110</f>
        <v>0.75</v>
      </c>
      <c r="O110" s="0" t="n">
        <f aca="false">E110*G110</f>
        <v>0.5</v>
      </c>
      <c r="P110" s="0" t="n">
        <f aca="false">E110*H110</f>
        <v>-0.5</v>
      </c>
      <c r="Q110" s="0" t="n">
        <f aca="false">F110*G110</f>
        <v>0.375</v>
      </c>
      <c r="R110" s="0" t="n">
        <f aca="false">F110*H110</f>
        <v>-0.375</v>
      </c>
      <c r="S110" s="0" t="n">
        <f aca="false">G110*H110</f>
        <v>-0.25</v>
      </c>
      <c r="T110" s="0" t="n">
        <f aca="false">E110*E110</f>
        <v>1</v>
      </c>
      <c r="U110" s="0" t="n">
        <f aca="false">F110*F110</f>
        <v>0.5625</v>
      </c>
      <c r="V110" s="0" t="n">
        <f aca="false">G110*G110</f>
        <v>0.25</v>
      </c>
      <c r="W110" s="0" t="n">
        <f aca="false">H110*H110</f>
        <v>0.25</v>
      </c>
      <c r="X110" s="0" t="n">
        <f aca="false">SUMPRODUCT(I110:W110,_XtX!$B$96:$P$96)</f>
        <v>40.3225511695907</v>
      </c>
      <c r="Y110" s="0" t="n">
        <f aca="false">SUMPRODUCT(MMULT(I110:W110,_XtX!$B$78:$P$92),I110:W110)</f>
        <v>0.42602110745614</v>
      </c>
      <c r="Z110" s="0" t="n">
        <f aca="false">04_回帰ANOVA!$K$19*04_回帰ANOVA!$K$14*SQRT(1+Y110)</f>
        <v>1.55654388501114</v>
      </c>
      <c r="AA110" s="0" t="n">
        <f aca="false">X110-Z110</f>
        <v>38.7660072845795</v>
      </c>
      <c r="AB110" s="0" t="n">
        <f aca="false">X110+Z110</f>
        <v>41.8790950546018</v>
      </c>
      <c r="AC110" s="54" t="b">
        <f aca="false">AND(E110&gt;=01_因子設定!$L$5-0.000000001,E110&lt;=01_因子設定!$M$5+0.000000001,F110&gt;=01_因子設定!$L$6-0.000000001,F110&lt;=01_因子設定!$M$6+0.000000001,G110&gt;=01_因子設定!$L$7-0.000000001,G110&lt;=01_因子設定!$M$7+0.000000001,H110&gt;=01_因子設定!$L$8-0.000000001,H110&lt;=01_因子設定!$M$8+0.000000001,IF(01_因子設定!$B$20="Box-Behnken",E110^2+F110^2+G110^2+H110^2&lt;=2+0.000000001,TRUE()))</f>
        <v>1</v>
      </c>
      <c r="AD110" s="55" t="n">
        <f aca="false">IF(AC110,IF(01_因子設定!$B$13="最大化",AA110-01_因子設定!$B$14,IF(01_因子設定!$B$13="最小化",01_因子設定!$B$15-AB110,MIN(AA110-01_因子設定!$B$14,01_因子設定!$B$15-AB110))),-1E+030)</f>
        <v>-7.73399271542046</v>
      </c>
      <c r="AE110" s="55" t="n">
        <f aca="false">IF(AC110,IF(01_因子設定!$B$13="最大化",X110,IF(01_因子設定!$B$13="最小化",-X110,-ABS(X110-01_因子設定!$B$16))),-1E+030)</f>
        <v>40.3225511695907</v>
      </c>
      <c r="AF110" s="55" t="n">
        <f aca="false">AD110+ROW()*0.000000001</f>
        <v>-7.73399260542046</v>
      </c>
      <c r="AG110" s="55" t="n">
        <f aca="false">AE110+ROW()*0.000000001</f>
        <v>40.3225512795907</v>
      </c>
    </row>
    <row r="111" customFormat="false" ht="15" hidden="false" customHeight="false" outlineLevel="0" collapsed="false">
      <c r="A111" s="0" t="n">
        <v>0</v>
      </c>
      <c r="B111" s="0" t="n">
        <v>1</v>
      </c>
      <c r="C111" s="0" t="n">
        <v>2</v>
      </c>
      <c r="D111" s="0" t="n">
        <v>7</v>
      </c>
      <c r="E111" s="0" t="n">
        <f aca="false">-1+A111*0.25</f>
        <v>-1</v>
      </c>
      <c r="F111" s="0" t="n">
        <f aca="false">-1+B111*0.25</f>
        <v>-0.75</v>
      </c>
      <c r="G111" s="0" t="n">
        <f aca="false">-1+C111*0.25</f>
        <v>-0.5</v>
      </c>
      <c r="H111" s="0" t="n">
        <f aca="false">-1+D111*0.25</f>
        <v>0.75</v>
      </c>
      <c r="I111" s="0" t="n">
        <f aca="false">1</f>
        <v>1</v>
      </c>
      <c r="J111" s="0" t="n">
        <f aca="false">E111</f>
        <v>-1</v>
      </c>
      <c r="K111" s="0" t="n">
        <f aca="false">F111</f>
        <v>-0.75</v>
      </c>
      <c r="L111" s="0" t="n">
        <f aca="false">G111</f>
        <v>-0.5</v>
      </c>
      <c r="M111" s="0" t="n">
        <f aca="false">H111</f>
        <v>0.75</v>
      </c>
      <c r="N111" s="0" t="n">
        <f aca="false">E111*F111</f>
        <v>0.75</v>
      </c>
      <c r="O111" s="0" t="n">
        <f aca="false">E111*G111</f>
        <v>0.5</v>
      </c>
      <c r="P111" s="0" t="n">
        <f aca="false">E111*H111</f>
        <v>-0.75</v>
      </c>
      <c r="Q111" s="0" t="n">
        <f aca="false">F111*G111</f>
        <v>0.375</v>
      </c>
      <c r="R111" s="0" t="n">
        <f aca="false">F111*H111</f>
        <v>-0.5625</v>
      </c>
      <c r="S111" s="0" t="n">
        <f aca="false">G111*H111</f>
        <v>-0.375</v>
      </c>
      <c r="T111" s="0" t="n">
        <f aca="false">E111*E111</f>
        <v>1</v>
      </c>
      <c r="U111" s="0" t="n">
        <f aca="false">F111*F111</f>
        <v>0.5625</v>
      </c>
      <c r="V111" s="0" t="n">
        <f aca="false">G111*G111</f>
        <v>0.25</v>
      </c>
      <c r="W111" s="0" t="n">
        <f aca="false">H111*H111</f>
        <v>0.5625</v>
      </c>
      <c r="X111" s="0" t="n">
        <f aca="false">SUMPRODUCT(I111:W111,_XtX!$B$96:$P$96)</f>
        <v>40.2770787646199</v>
      </c>
      <c r="Y111" s="0" t="n">
        <f aca="false">SUMPRODUCT(MMULT(I111:W111,_XtX!$B$78:$P$92),I111:W111)</f>
        <v>0.431153771472953</v>
      </c>
      <c r="Z111" s="0" t="n">
        <f aca="false">04_回帰ANOVA!$K$19*04_回帰ANOVA!$K$14*SQRT(1+Y111)</f>
        <v>1.55934259562563</v>
      </c>
      <c r="AA111" s="0" t="n">
        <f aca="false">X111-Z111</f>
        <v>38.7177361689943</v>
      </c>
      <c r="AB111" s="0" t="n">
        <f aca="false">X111+Z111</f>
        <v>41.8364213602456</v>
      </c>
      <c r="AC111" s="54" t="b">
        <f aca="false">AND(E111&gt;=01_因子設定!$L$5-0.000000001,E111&lt;=01_因子設定!$M$5+0.000000001,F111&gt;=01_因子設定!$L$6-0.000000001,F111&lt;=01_因子設定!$M$6+0.000000001,G111&gt;=01_因子設定!$L$7-0.000000001,G111&lt;=01_因子設定!$M$7+0.000000001,H111&gt;=01_因子設定!$L$8-0.000000001,H111&lt;=01_因子設定!$M$8+0.000000001,IF(01_因子設定!$B$20="Box-Behnken",E111^2+F111^2+G111^2+H111^2&lt;=2+0.000000001,TRUE()))</f>
        <v>1</v>
      </c>
      <c r="AD111" s="55" t="n">
        <f aca="false">IF(AC111,IF(01_因子設定!$B$13="最大化",AA111-01_因子設定!$B$14,IF(01_因子設定!$B$13="最小化",01_因子設定!$B$15-AB111,MIN(AA111-01_因子設定!$B$14,01_因子設定!$B$15-AB111))),-1E+030)</f>
        <v>-7.7822638310057</v>
      </c>
      <c r="AE111" s="55" t="n">
        <f aca="false">IF(AC111,IF(01_因子設定!$B$13="最大化",X111,IF(01_因子設定!$B$13="最小化",-X111,-ABS(X111-01_因子設定!$B$16))),-1E+030)</f>
        <v>40.2770787646199</v>
      </c>
      <c r="AF111" s="55" t="n">
        <f aca="false">AD111+ROW()*0.000000001</f>
        <v>-7.7822637200057</v>
      </c>
      <c r="AG111" s="55" t="n">
        <f aca="false">AE111+ROW()*0.000000001</f>
        <v>40.2770788756199</v>
      </c>
    </row>
    <row r="112" customFormat="false" ht="15" hidden="false" customHeight="false" outlineLevel="0" collapsed="false">
      <c r="A112" s="0" t="n">
        <v>0</v>
      </c>
      <c r="B112" s="0" t="n">
        <v>1</v>
      </c>
      <c r="C112" s="0" t="n">
        <v>2</v>
      </c>
      <c r="D112" s="0" t="n">
        <v>8</v>
      </c>
      <c r="E112" s="0" t="n">
        <f aca="false">-1+A112*0.25</f>
        <v>-1</v>
      </c>
      <c r="F112" s="0" t="n">
        <f aca="false">-1+B112*0.25</f>
        <v>-0.75</v>
      </c>
      <c r="G112" s="0" t="n">
        <f aca="false">-1+C112*0.25</f>
        <v>-0.5</v>
      </c>
      <c r="H112" s="0" t="n">
        <f aca="false">-1+D112*0.25</f>
        <v>1</v>
      </c>
      <c r="I112" s="0" t="n">
        <f aca="false">1</f>
        <v>1</v>
      </c>
      <c r="J112" s="0" t="n">
        <f aca="false">E112</f>
        <v>-1</v>
      </c>
      <c r="K112" s="0" t="n">
        <f aca="false">F112</f>
        <v>-0.75</v>
      </c>
      <c r="L112" s="0" t="n">
        <f aca="false">G112</f>
        <v>-0.5</v>
      </c>
      <c r="M112" s="0" t="n">
        <f aca="false">H112</f>
        <v>1</v>
      </c>
      <c r="N112" s="0" t="n">
        <f aca="false">E112*F112</f>
        <v>0.75</v>
      </c>
      <c r="O112" s="0" t="n">
        <f aca="false">E112*G112</f>
        <v>0.5</v>
      </c>
      <c r="P112" s="0" t="n">
        <f aca="false">E112*H112</f>
        <v>-1</v>
      </c>
      <c r="Q112" s="0" t="n">
        <f aca="false">F112*G112</f>
        <v>0.375</v>
      </c>
      <c r="R112" s="0" t="n">
        <f aca="false">F112*H112</f>
        <v>-0.75</v>
      </c>
      <c r="S112" s="0" t="n">
        <f aca="false">G112*H112</f>
        <v>-0.5</v>
      </c>
      <c r="T112" s="0" t="n">
        <f aca="false">E112*E112</f>
        <v>1</v>
      </c>
      <c r="U112" s="0" t="n">
        <f aca="false">F112*F112</f>
        <v>0.5625</v>
      </c>
      <c r="V112" s="0" t="n">
        <f aca="false">G112*G112</f>
        <v>0.25</v>
      </c>
      <c r="W112" s="0" t="n">
        <f aca="false">H112*H112</f>
        <v>1</v>
      </c>
      <c r="X112" s="0" t="n">
        <f aca="false">SUMPRODUCT(I112:W112,_XtX!$B$96:$P$96)</f>
        <v>40.1837993421053</v>
      </c>
      <c r="Y112" s="0" t="n">
        <f aca="false">SUMPRODUCT(MMULT(I112:W112,_XtX!$B$78:$P$92),I112:W112)</f>
        <v>0.564984237938597</v>
      </c>
      <c r="Z112" s="0" t="n">
        <f aca="false">04_回帰ANOVA!$K$19*04_回帰ANOVA!$K$14*SQRT(1+Y112)</f>
        <v>1.63062229734503</v>
      </c>
      <c r="AA112" s="0" t="n">
        <f aca="false">X112-Z112</f>
        <v>38.5531770447603</v>
      </c>
      <c r="AB112" s="0" t="n">
        <f aca="false">X112+Z112</f>
        <v>41.8144216394504</v>
      </c>
      <c r="AC112" s="54" t="b">
        <f aca="false">AND(E112&gt;=01_因子設定!$L$5-0.000000001,E112&lt;=01_因子設定!$M$5+0.000000001,F112&gt;=01_因子設定!$L$6-0.000000001,F112&lt;=01_因子設定!$M$6+0.000000001,G112&gt;=01_因子設定!$L$7-0.000000001,G112&lt;=01_因子設定!$M$7+0.000000001,H112&gt;=01_因子設定!$L$8-0.000000001,H112&lt;=01_因子設定!$M$8+0.000000001,IF(01_因子設定!$B$20="Box-Behnken",E112^2+F112^2+G112^2+H112^2&lt;=2+0.000000001,TRUE()))</f>
        <v>1</v>
      </c>
      <c r="AD112" s="55" t="n">
        <f aca="false">IF(AC112,IF(01_因子設定!$B$13="最大化",AA112-01_因子設定!$B$14,IF(01_因子設定!$B$13="最小化",01_因子設定!$B$15-AB112,MIN(AA112-01_因子設定!$B$14,01_因子設定!$B$15-AB112))),-1E+030)</f>
        <v>-7.94682295523971</v>
      </c>
      <c r="AE112" s="55" t="n">
        <f aca="false">IF(AC112,IF(01_因子設定!$B$13="最大化",X112,IF(01_因子設定!$B$13="最小化",-X112,-ABS(X112-01_因子設定!$B$16))),-1E+030)</f>
        <v>40.1837993421053</v>
      </c>
      <c r="AF112" s="55" t="n">
        <f aca="false">AD112+ROW()*0.000000001</f>
        <v>-7.94682284323971</v>
      </c>
      <c r="AG112" s="55" t="n">
        <f aca="false">AE112+ROW()*0.000000001</f>
        <v>40.1837994541053</v>
      </c>
    </row>
    <row r="113" customFormat="false" ht="15" hidden="false" customHeight="false" outlineLevel="0" collapsed="false">
      <c r="A113" s="0" t="n">
        <v>0</v>
      </c>
      <c r="B113" s="0" t="n">
        <v>1</v>
      </c>
      <c r="C113" s="0" t="n">
        <v>3</v>
      </c>
      <c r="D113" s="0" t="n">
        <v>0</v>
      </c>
      <c r="E113" s="0" t="n">
        <f aca="false">-1+A113*0.25</f>
        <v>-1</v>
      </c>
      <c r="F113" s="0" t="n">
        <f aca="false">-1+B113*0.25</f>
        <v>-0.75</v>
      </c>
      <c r="G113" s="0" t="n">
        <f aca="false">-1+C113*0.25</f>
        <v>-0.25</v>
      </c>
      <c r="H113" s="0" t="n">
        <f aca="false">-1+D113*0.25</f>
        <v>-1</v>
      </c>
      <c r="I113" s="0" t="n">
        <f aca="false">1</f>
        <v>1</v>
      </c>
      <c r="J113" s="0" t="n">
        <f aca="false">E113</f>
        <v>-1</v>
      </c>
      <c r="K113" s="0" t="n">
        <f aca="false">F113</f>
        <v>-0.75</v>
      </c>
      <c r="L113" s="0" t="n">
        <f aca="false">G113</f>
        <v>-0.25</v>
      </c>
      <c r="M113" s="0" t="n">
        <f aca="false">H113</f>
        <v>-1</v>
      </c>
      <c r="N113" s="0" t="n">
        <f aca="false">E113*F113</f>
        <v>0.75</v>
      </c>
      <c r="O113" s="0" t="n">
        <f aca="false">E113*G113</f>
        <v>0.25</v>
      </c>
      <c r="P113" s="0" t="n">
        <f aca="false">E113*H113</f>
        <v>1</v>
      </c>
      <c r="Q113" s="0" t="n">
        <f aca="false">F113*G113</f>
        <v>0.1875</v>
      </c>
      <c r="R113" s="0" t="n">
        <f aca="false">F113*H113</f>
        <v>0.75</v>
      </c>
      <c r="S113" s="0" t="n">
        <f aca="false">G113*H113</f>
        <v>0.25</v>
      </c>
      <c r="T113" s="0" t="n">
        <f aca="false">E113*E113</f>
        <v>1</v>
      </c>
      <c r="U113" s="0" t="n">
        <f aca="false">F113*F113</f>
        <v>0.5625</v>
      </c>
      <c r="V113" s="0" t="n">
        <f aca="false">G113*G113</f>
        <v>0.0625</v>
      </c>
      <c r="W113" s="0" t="n">
        <f aca="false">H113*H113</f>
        <v>1</v>
      </c>
      <c r="X113" s="0" t="n">
        <f aca="false">SUMPRODUCT(I113:W113,_XtX!$B$96:$P$96)</f>
        <v>39.9972633406433</v>
      </c>
      <c r="Y113" s="0" t="n">
        <f aca="false">SUMPRODUCT(MMULT(I113:W113,_XtX!$B$78:$P$92),I113:W113)</f>
        <v>0.621372155975877</v>
      </c>
      <c r="Z113" s="0" t="n">
        <f aca="false">04_回帰ANOVA!$K$19*04_回帰ANOVA!$K$14*SQRT(1+Y113)</f>
        <v>1.65973880499872</v>
      </c>
      <c r="AA113" s="0" t="n">
        <f aca="false">X113-Z113</f>
        <v>38.3375245356446</v>
      </c>
      <c r="AB113" s="0" t="n">
        <f aca="false">X113+Z113</f>
        <v>41.6570021456421</v>
      </c>
      <c r="AC113" s="54" t="b">
        <f aca="false">AND(E113&gt;=01_因子設定!$L$5-0.000000001,E113&lt;=01_因子設定!$M$5+0.000000001,F113&gt;=01_因子設定!$L$6-0.000000001,F113&lt;=01_因子設定!$M$6+0.000000001,G113&gt;=01_因子設定!$L$7-0.000000001,G113&lt;=01_因子設定!$M$7+0.000000001,H113&gt;=01_因子設定!$L$8-0.000000001,H113&lt;=01_因子設定!$M$8+0.000000001,IF(01_因子設定!$B$20="Box-Behnken",E113^2+F113^2+G113^2+H113^2&lt;=2+0.000000001,TRUE()))</f>
        <v>1</v>
      </c>
      <c r="AD113" s="55" t="n">
        <f aca="false">IF(AC113,IF(01_因子設定!$B$13="最大化",AA113-01_因子設定!$B$14,IF(01_因子設定!$B$13="最小化",01_因子設定!$B$15-AB113,MIN(AA113-01_因子設定!$B$14,01_因子設定!$B$15-AB113))),-1E+030)</f>
        <v>-8.16247546435538</v>
      </c>
      <c r="AE113" s="55" t="n">
        <f aca="false">IF(AC113,IF(01_因子設定!$B$13="最大化",X113,IF(01_因子設定!$B$13="最小化",-X113,-ABS(X113-01_因子設定!$B$16))),-1E+030)</f>
        <v>39.9972633406433</v>
      </c>
      <c r="AF113" s="55" t="n">
        <f aca="false">AD113+ROW()*0.000000001</f>
        <v>-8.16247535135538</v>
      </c>
      <c r="AG113" s="55" t="n">
        <f aca="false">AE113+ROW()*0.000000001</f>
        <v>39.9972634536433</v>
      </c>
    </row>
    <row r="114" customFormat="false" ht="15" hidden="false" customHeight="false" outlineLevel="0" collapsed="false">
      <c r="A114" s="0" t="n">
        <v>0</v>
      </c>
      <c r="B114" s="0" t="n">
        <v>1</v>
      </c>
      <c r="C114" s="0" t="n">
        <v>3</v>
      </c>
      <c r="D114" s="0" t="n">
        <v>1</v>
      </c>
      <c r="E114" s="0" t="n">
        <f aca="false">-1+A114*0.25</f>
        <v>-1</v>
      </c>
      <c r="F114" s="0" t="n">
        <f aca="false">-1+B114*0.25</f>
        <v>-0.75</v>
      </c>
      <c r="G114" s="0" t="n">
        <f aca="false">-1+C114*0.25</f>
        <v>-0.25</v>
      </c>
      <c r="H114" s="0" t="n">
        <f aca="false">-1+D114*0.25</f>
        <v>-0.75</v>
      </c>
      <c r="I114" s="0" t="n">
        <f aca="false">1</f>
        <v>1</v>
      </c>
      <c r="J114" s="0" t="n">
        <f aca="false">E114</f>
        <v>-1</v>
      </c>
      <c r="K114" s="0" t="n">
        <f aca="false">F114</f>
        <v>-0.75</v>
      </c>
      <c r="L114" s="0" t="n">
        <f aca="false">G114</f>
        <v>-0.25</v>
      </c>
      <c r="M114" s="0" t="n">
        <f aca="false">H114</f>
        <v>-0.75</v>
      </c>
      <c r="N114" s="0" t="n">
        <f aca="false">E114*F114</f>
        <v>0.75</v>
      </c>
      <c r="O114" s="0" t="n">
        <f aca="false">E114*G114</f>
        <v>0.25</v>
      </c>
      <c r="P114" s="0" t="n">
        <f aca="false">E114*H114</f>
        <v>0.75</v>
      </c>
      <c r="Q114" s="0" t="n">
        <f aca="false">F114*G114</f>
        <v>0.1875</v>
      </c>
      <c r="R114" s="0" t="n">
        <f aca="false">F114*H114</f>
        <v>0.5625</v>
      </c>
      <c r="S114" s="0" t="n">
        <f aca="false">G114*H114</f>
        <v>0.1875</v>
      </c>
      <c r="T114" s="0" t="n">
        <f aca="false">E114*E114</f>
        <v>1</v>
      </c>
      <c r="U114" s="0" t="n">
        <f aca="false">F114*F114</f>
        <v>0.5625</v>
      </c>
      <c r="V114" s="0" t="n">
        <f aca="false">G114*G114</f>
        <v>0.0625</v>
      </c>
      <c r="W114" s="0" t="n">
        <f aca="false">H114*H114</f>
        <v>0.5625</v>
      </c>
      <c r="X114" s="0" t="n">
        <f aca="false">SUMPRODUCT(I114:W114,_XtX!$B$96:$P$96)</f>
        <v>40.2566017909357</v>
      </c>
      <c r="Y114" s="0" t="n">
        <f aca="false">SUMPRODUCT(MMULT(I114:W114,_XtX!$B$78:$P$92),I114:W114)</f>
        <v>0.473959761056287</v>
      </c>
      <c r="Z114" s="0" t="n">
        <f aca="false">04_回帰ANOVA!$K$19*04_回帰ANOVA!$K$14*SQRT(1+Y114)</f>
        <v>1.58249084588329</v>
      </c>
      <c r="AA114" s="0" t="n">
        <f aca="false">X114-Z114</f>
        <v>38.6741109450524</v>
      </c>
      <c r="AB114" s="0" t="n">
        <f aca="false">X114+Z114</f>
        <v>41.839092636819</v>
      </c>
      <c r="AC114" s="54" t="b">
        <f aca="false">AND(E114&gt;=01_因子設定!$L$5-0.000000001,E114&lt;=01_因子設定!$M$5+0.000000001,F114&gt;=01_因子設定!$L$6-0.000000001,F114&lt;=01_因子設定!$M$6+0.000000001,G114&gt;=01_因子設定!$L$7-0.000000001,G114&lt;=01_因子設定!$M$7+0.000000001,H114&gt;=01_因子設定!$L$8-0.000000001,H114&lt;=01_因子設定!$M$8+0.000000001,IF(01_因子設定!$B$20="Box-Behnken",E114^2+F114^2+G114^2+H114^2&lt;=2+0.000000001,TRUE()))</f>
        <v>1</v>
      </c>
      <c r="AD114" s="55" t="n">
        <f aca="false">IF(AC114,IF(01_因子設定!$B$13="最大化",AA114-01_因子設定!$B$14,IF(01_因子設定!$B$13="最小化",01_因子設定!$B$15-AB114,MIN(AA114-01_因子設定!$B$14,01_因子設定!$B$15-AB114))),-1E+030)</f>
        <v>-7.82588905494757</v>
      </c>
      <c r="AE114" s="55" t="n">
        <f aca="false">IF(AC114,IF(01_因子設定!$B$13="最大化",X114,IF(01_因子設定!$B$13="最小化",-X114,-ABS(X114-01_因子設定!$B$16))),-1E+030)</f>
        <v>40.2566017909357</v>
      </c>
      <c r="AF114" s="55" t="n">
        <f aca="false">AD114+ROW()*0.000000001</f>
        <v>-7.82588894094757</v>
      </c>
      <c r="AG114" s="55" t="n">
        <f aca="false">AE114+ROW()*0.000000001</f>
        <v>40.2566019049357</v>
      </c>
    </row>
    <row r="115" customFormat="false" ht="15" hidden="false" customHeight="false" outlineLevel="0" collapsed="false">
      <c r="A115" s="0" t="n">
        <v>0</v>
      </c>
      <c r="B115" s="0" t="n">
        <v>1</v>
      </c>
      <c r="C115" s="0" t="n">
        <v>3</v>
      </c>
      <c r="D115" s="0" t="n">
        <v>2</v>
      </c>
      <c r="E115" s="0" t="n">
        <f aca="false">-1+A115*0.25</f>
        <v>-1</v>
      </c>
      <c r="F115" s="0" t="n">
        <f aca="false">-1+B115*0.25</f>
        <v>-0.75</v>
      </c>
      <c r="G115" s="0" t="n">
        <f aca="false">-1+C115*0.25</f>
        <v>-0.25</v>
      </c>
      <c r="H115" s="0" t="n">
        <f aca="false">-1+D115*0.25</f>
        <v>-0.5</v>
      </c>
      <c r="I115" s="0" t="n">
        <f aca="false">1</f>
        <v>1</v>
      </c>
      <c r="J115" s="0" t="n">
        <f aca="false">E115</f>
        <v>-1</v>
      </c>
      <c r="K115" s="0" t="n">
        <f aca="false">F115</f>
        <v>-0.75</v>
      </c>
      <c r="L115" s="0" t="n">
        <f aca="false">G115</f>
        <v>-0.25</v>
      </c>
      <c r="M115" s="0" t="n">
        <f aca="false">H115</f>
        <v>-0.5</v>
      </c>
      <c r="N115" s="0" t="n">
        <f aca="false">E115*F115</f>
        <v>0.75</v>
      </c>
      <c r="O115" s="0" t="n">
        <f aca="false">E115*G115</f>
        <v>0.25</v>
      </c>
      <c r="P115" s="0" t="n">
        <f aca="false">E115*H115</f>
        <v>0.5</v>
      </c>
      <c r="Q115" s="0" t="n">
        <f aca="false">F115*G115</f>
        <v>0.1875</v>
      </c>
      <c r="R115" s="0" t="n">
        <f aca="false">F115*H115</f>
        <v>0.375</v>
      </c>
      <c r="S115" s="0" t="n">
        <f aca="false">G115*H115</f>
        <v>0.125</v>
      </c>
      <c r="T115" s="0" t="n">
        <f aca="false">E115*E115</f>
        <v>1</v>
      </c>
      <c r="U115" s="0" t="n">
        <f aca="false">F115*F115</f>
        <v>0.5625</v>
      </c>
      <c r="V115" s="0" t="n">
        <f aca="false">G115*G115</f>
        <v>0.0625</v>
      </c>
      <c r="W115" s="0" t="n">
        <f aca="false">H115*H115</f>
        <v>0.25</v>
      </c>
      <c r="X115" s="0" t="n">
        <f aca="false">SUMPRODUCT(I115:W115,_XtX!$B$96:$P$96)</f>
        <v>40.4681332236843</v>
      </c>
      <c r="Y115" s="0" t="n">
        <f aca="false">SUMPRODUCT(MMULT(I115:W115,_XtX!$B$78:$P$92),I115:W115)</f>
        <v>0.459125719572369</v>
      </c>
      <c r="Z115" s="0" t="n">
        <f aca="false">04_回帰ANOVA!$K$19*04_回帰ANOVA!$K$14*SQRT(1+Y115)</f>
        <v>1.57450755575573</v>
      </c>
      <c r="AA115" s="0" t="n">
        <f aca="false">X115-Z115</f>
        <v>38.8936256679285</v>
      </c>
      <c r="AB115" s="0" t="n">
        <f aca="false">X115+Z115</f>
        <v>42.04264077944</v>
      </c>
      <c r="AC115" s="54" t="b">
        <f aca="false">AND(E115&gt;=01_因子設定!$L$5-0.000000001,E115&lt;=01_因子設定!$M$5+0.000000001,F115&gt;=01_因子設定!$L$6-0.000000001,F115&lt;=01_因子設定!$M$6+0.000000001,G115&gt;=01_因子設定!$L$7-0.000000001,G115&lt;=01_因子設定!$M$7+0.000000001,H115&gt;=01_因子設定!$L$8-0.000000001,H115&lt;=01_因子設定!$M$8+0.000000001,IF(01_因子設定!$B$20="Box-Behnken",E115^2+F115^2+G115^2+H115^2&lt;=2+0.000000001,TRUE()))</f>
        <v>1</v>
      </c>
      <c r="AD115" s="55" t="n">
        <f aca="false">IF(AC115,IF(01_因子設定!$B$13="最大化",AA115-01_因子設定!$B$14,IF(01_因子設定!$B$13="最小化",01_因子設定!$B$15-AB115,MIN(AA115-01_因子設定!$B$14,01_因子設定!$B$15-AB115))),-1E+030)</f>
        <v>-7.60637433207148</v>
      </c>
      <c r="AE115" s="55" t="n">
        <f aca="false">IF(AC115,IF(01_因子設定!$B$13="最大化",X115,IF(01_因子設定!$B$13="最小化",-X115,-ABS(X115-01_因子設定!$B$16))),-1E+030)</f>
        <v>40.4681332236843</v>
      </c>
      <c r="AF115" s="55" t="n">
        <f aca="false">AD115+ROW()*0.000000001</f>
        <v>-7.60637421707148</v>
      </c>
      <c r="AG115" s="55" t="n">
        <f aca="false">AE115+ROW()*0.000000001</f>
        <v>40.4681333386843</v>
      </c>
    </row>
    <row r="116" customFormat="false" ht="15" hidden="false" customHeight="false" outlineLevel="0" collapsed="false">
      <c r="A116" s="0" t="n">
        <v>0</v>
      </c>
      <c r="B116" s="0" t="n">
        <v>1</v>
      </c>
      <c r="C116" s="0" t="n">
        <v>3</v>
      </c>
      <c r="D116" s="0" t="n">
        <v>3</v>
      </c>
      <c r="E116" s="0" t="n">
        <f aca="false">-1+A116*0.25</f>
        <v>-1</v>
      </c>
      <c r="F116" s="0" t="n">
        <f aca="false">-1+B116*0.25</f>
        <v>-0.75</v>
      </c>
      <c r="G116" s="0" t="n">
        <f aca="false">-1+C116*0.25</f>
        <v>-0.25</v>
      </c>
      <c r="H116" s="0" t="n">
        <f aca="false">-1+D116*0.25</f>
        <v>-0.25</v>
      </c>
      <c r="I116" s="0" t="n">
        <f aca="false">1</f>
        <v>1</v>
      </c>
      <c r="J116" s="0" t="n">
        <f aca="false">E116</f>
        <v>-1</v>
      </c>
      <c r="K116" s="0" t="n">
        <f aca="false">F116</f>
        <v>-0.75</v>
      </c>
      <c r="L116" s="0" t="n">
        <f aca="false">G116</f>
        <v>-0.25</v>
      </c>
      <c r="M116" s="0" t="n">
        <f aca="false">H116</f>
        <v>-0.25</v>
      </c>
      <c r="N116" s="0" t="n">
        <f aca="false">E116*F116</f>
        <v>0.75</v>
      </c>
      <c r="O116" s="0" t="n">
        <f aca="false">E116*G116</f>
        <v>0.25</v>
      </c>
      <c r="P116" s="0" t="n">
        <f aca="false">E116*H116</f>
        <v>0.25</v>
      </c>
      <c r="Q116" s="0" t="n">
        <f aca="false">F116*G116</f>
        <v>0.1875</v>
      </c>
      <c r="R116" s="0" t="n">
        <f aca="false">F116*H116</f>
        <v>0.1875</v>
      </c>
      <c r="S116" s="0" t="n">
        <f aca="false">G116*H116</f>
        <v>0.0625</v>
      </c>
      <c r="T116" s="0" t="n">
        <f aca="false">E116*E116</f>
        <v>1</v>
      </c>
      <c r="U116" s="0" t="n">
        <f aca="false">F116*F116</f>
        <v>0.5625</v>
      </c>
      <c r="V116" s="0" t="n">
        <f aca="false">G116*G116</f>
        <v>0.0625</v>
      </c>
      <c r="W116" s="0" t="n">
        <f aca="false">H116*H116</f>
        <v>0.0625</v>
      </c>
      <c r="X116" s="0" t="n">
        <f aca="false">SUMPRODUCT(I116:W116,_XtX!$B$96:$P$96)</f>
        <v>40.6318576388889</v>
      </c>
      <c r="Y116" s="0" t="n">
        <f aca="false">SUMPRODUCT(MMULT(I116:W116,_XtX!$B$78:$P$92),I116:W116)</f>
        <v>0.486409505208334</v>
      </c>
      <c r="Z116" s="0" t="n">
        <f aca="false">04_回帰ANOVA!$K$19*04_回帰ANOVA!$K$14*SQRT(1+Y116)</f>
        <v>1.58916001665498</v>
      </c>
      <c r="AA116" s="0" t="n">
        <f aca="false">X116-Z116</f>
        <v>39.0426976222339</v>
      </c>
      <c r="AB116" s="0" t="n">
        <f aca="false">X116+Z116</f>
        <v>42.2210176555439</v>
      </c>
      <c r="AC116" s="54" t="b">
        <f aca="false">AND(E116&gt;=01_因子設定!$L$5-0.000000001,E116&lt;=01_因子設定!$M$5+0.000000001,F116&gt;=01_因子設定!$L$6-0.000000001,F116&lt;=01_因子設定!$M$6+0.000000001,G116&gt;=01_因子設定!$L$7-0.000000001,G116&lt;=01_因子設定!$M$7+0.000000001,H116&gt;=01_因子設定!$L$8-0.000000001,H116&lt;=01_因子設定!$M$8+0.000000001,IF(01_因子設定!$B$20="Box-Behnken",E116^2+F116^2+G116^2+H116^2&lt;=2+0.000000001,TRUE()))</f>
        <v>1</v>
      </c>
      <c r="AD116" s="55" t="n">
        <f aca="false">IF(AC116,IF(01_因子設定!$B$13="最大化",AA116-01_因子設定!$B$14,IF(01_因子設定!$B$13="最小化",01_因子設定!$B$15-AB116,MIN(AA116-01_因子設定!$B$14,01_因子設定!$B$15-AB116))),-1E+030)</f>
        <v>-7.45730237776606</v>
      </c>
      <c r="AE116" s="55" t="n">
        <f aca="false">IF(AC116,IF(01_因子設定!$B$13="最大化",X116,IF(01_因子設定!$B$13="最小化",-X116,-ABS(X116-01_因子設定!$B$16))),-1E+030)</f>
        <v>40.6318576388889</v>
      </c>
      <c r="AF116" s="55" t="n">
        <f aca="false">AD116+ROW()*0.000000001</f>
        <v>-7.45730226176606</v>
      </c>
      <c r="AG116" s="55" t="n">
        <f aca="false">AE116+ROW()*0.000000001</f>
        <v>40.6318577548889</v>
      </c>
    </row>
    <row r="117" customFormat="false" ht="15" hidden="false" customHeight="false" outlineLevel="0" collapsed="false">
      <c r="A117" s="0" t="n">
        <v>0</v>
      </c>
      <c r="B117" s="0" t="n">
        <v>1</v>
      </c>
      <c r="C117" s="0" t="n">
        <v>3</v>
      </c>
      <c r="D117" s="0" t="n">
        <v>4</v>
      </c>
      <c r="E117" s="0" t="n">
        <f aca="false">-1+A117*0.25</f>
        <v>-1</v>
      </c>
      <c r="F117" s="0" t="n">
        <f aca="false">-1+B117*0.25</f>
        <v>-0.75</v>
      </c>
      <c r="G117" s="0" t="n">
        <f aca="false">-1+C117*0.25</f>
        <v>-0.25</v>
      </c>
      <c r="H117" s="0" t="n">
        <f aca="false">-1+D117*0.25</f>
        <v>0</v>
      </c>
      <c r="I117" s="0" t="n">
        <f aca="false">1</f>
        <v>1</v>
      </c>
      <c r="J117" s="0" t="n">
        <f aca="false">E117</f>
        <v>-1</v>
      </c>
      <c r="K117" s="0" t="n">
        <f aca="false">F117</f>
        <v>-0.75</v>
      </c>
      <c r="L117" s="0" t="n">
        <f aca="false">G117</f>
        <v>-0.25</v>
      </c>
      <c r="M117" s="0" t="n">
        <f aca="false">H117</f>
        <v>0</v>
      </c>
      <c r="N117" s="0" t="n">
        <f aca="false">E117*F117</f>
        <v>0.75</v>
      </c>
      <c r="O117" s="0" t="n">
        <f aca="false">E117*G117</f>
        <v>0.25</v>
      </c>
      <c r="P117" s="0" t="n">
        <f aca="false">E117*H117</f>
        <v>-0</v>
      </c>
      <c r="Q117" s="0" t="n">
        <f aca="false">F117*G117</f>
        <v>0.1875</v>
      </c>
      <c r="R117" s="0" t="n">
        <f aca="false">F117*H117</f>
        <v>-0</v>
      </c>
      <c r="S117" s="0" t="n">
        <f aca="false">G117*H117</f>
        <v>-0</v>
      </c>
      <c r="T117" s="0" t="n">
        <f aca="false">E117*E117</f>
        <v>1</v>
      </c>
      <c r="U117" s="0" t="n">
        <f aca="false">F117*F117</f>
        <v>0.5625</v>
      </c>
      <c r="V117" s="0" t="n">
        <f aca="false">G117*G117</f>
        <v>0.0625</v>
      </c>
      <c r="W117" s="0" t="n">
        <f aca="false">H117*H117</f>
        <v>0</v>
      </c>
      <c r="X117" s="0" t="n">
        <f aca="false">SUMPRODUCT(I117:W117,_XtX!$B$96:$P$96)</f>
        <v>40.7477750365497</v>
      </c>
      <c r="Y117" s="0" t="n">
        <f aca="false">SUMPRODUCT(MMULT(I117:W117,_XtX!$B$78:$P$92),I117:W117)</f>
        <v>0.501534802174708</v>
      </c>
      <c r="Z117" s="0" t="n">
        <f aca="false">04_回帰ANOVA!$K$19*04_回帰ANOVA!$K$14*SQRT(1+Y117)</f>
        <v>1.59722498091333</v>
      </c>
      <c r="AA117" s="0" t="n">
        <f aca="false">X117-Z117</f>
        <v>39.1505500556364</v>
      </c>
      <c r="AB117" s="0" t="n">
        <f aca="false">X117+Z117</f>
        <v>42.3450000174631</v>
      </c>
      <c r="AC117" s="54" t="b">
        <f aca="false">AND(E117&gt;=01_因子設定!$L$5-0.000000001,E117&lt;=01_因子設定!$M$5+0.000000001,F117&gt;=01_因子設定!$L$6-0.000000001,F117&lt;=01_因子設定!$M$6+0.000000001,G117&gt;=01_因子設定!$L$7-0.000000001,G117&lt;=01_因子設定!$M$7+0.000000001,H117&gt;=01_因子設定!$L$8-0.000000001,H117&lt;=01_因子設定!$M$8+0.000000001,IF(01_因子設定!$B$20="Box-Behnken",E117^2+F117^2+G117^2+H117^2&lt;=2+0.000000001,TRUE()))</f>
        <v>1</v>
      </c>
      <c r="AD117" s="55" t="n">
        <f aca="false">IF(AC117,IF(01_因子設定!$B$13="最大化",AA117-01_因子設定!$B$14,IF(01_因子設定!$B$13="最小化",01_因子設定!$B$15-AB117,MIN(AA117-01_因子設定!$B$14,01_因子設定!$B$15-AB117))),-1E+030)</f>
        <v>-7.3494499443636</v>
      </c>
      <c r="AE117" s="55" t="n">
        <f aca="false">IF(AC117,IF(01_因子設定!$B$13="最大化",X117,IF(01_因子設定!$B$13="最小化",-X117,-ABS(X117-01_因子設定!$B$16))),-1E+030)</f>
        <v>40.7477750365497</v>
      </c>
      <c r="AF117" s="55" t="n">
        <f aca="false">AD117+ROW()*0.000000001</f>
        <v>-7.3494498273636</v>
      </c>
      <c r="AG117" s="55" t="n">
        <f aca="false">AE117+ROW()*0.000000001</f>
        <v>40.7477751535497</v>
      </c>
    </row>
    <row r="118" customFormat="false" ht="15" hidden="false" customHeight="false" outlineLevel="0" collapsed="false">
      <c r="A118" s="0" t="n">
        <v>0</v>
      </c>
      <c r="B118" s="0" t="n">
        <v>1</v>
      </c>
      <c r="C118" s="0" t="n">
        <v>3</v>
      </c>
      <c r="D118" s="0" t="n">
        <v>5</v>
      </c>
      <c r="E118" s="0" t="n">
        <f aca="false">-1+A118*0.25</f>
        <v>-1</v>
      </c>
      <c r="F118" s="0" t="n">
        <f aca="false">-1+B118*0.25</f>
        <v>-0.75</v>
      </c>
      <c r="G118" s="0" t="n">
        <f aca="false">-1+C118*0.25</f>
        <v>-0.25</v>
      </c>
      <c r="H118" s="0" t="n">
        <f aca="false">-1+D118*0.25</f>
        <v>0.25</v>
      </c>
      <c r="I118" s="0" t="n">
        <f aca="false">1</f>
        <v>1</v>
      </c>
      <c r="J118" s="0" t="n">
        <f aca="false">E118</f>
        <v>-1</v>
      </c>
      <c r="K118" s="0" t="n">
        <f aca="false">F118</f>
        <v>-0.75</v>
      </c>
      <c r="L118" s="0" t="n">
        <f aca="false">G118</f>
        <v>-0.25</v>
      </c>
      <c r="M118" s="0" t="n">
        <f aca="false">H118</f>
        <v>0.25</v>
      </c>
      <c r="N118" s="0" t="n">
        <f aca="false">E118*F118</f>
        <v>0.75</v>
      </c>
      <c r="O118" s="0" t="n">
        <f aca="false">E118*G118</f>
        <v>0.25</v>
      </c>
      <c r="P118" s="0" t="n">
        <f aca="false">E118*H118</f>
        <v>-0.25</v>
      </c>
      <c r="Q118" s="0" t="n">
        <f aca="false">F118*G118</f>
        <v>0.1875</v>
      </c>
      <c r="R118" s="0" t="n">
        <f aca="false">F118*H118</f>
        <v>-0.1875</v>
      </c>
      <c r="S118" s="0" t="n">
        <f aca="false">G118*H118</f>
        <v>-0.0625</v>
      </c>
      <c r="T118" s="0" t="n">
        <f aca="false">E118*E118</f>
        <v>1</v>
      </c>
      <c r="U118" s="0" t="n">
        <f aca="false">F118*F118</f>
        <v>0.5625</v>
      </c>
      <c r="V118" s="0" t="n">
        <f aca="false">G118*G118</f>
        <v>0.0625</v>
      </c>
      <c r="W118" s="0" t="n">
        <f aca="false">H118*H118</f>
        <v>0.0625</v>
      </c>
      <c r="X118" s="0" t="n">
        <f aca="false">SUMPRODUCT(I118:W118,_XtX!$B$96:$P$96)</f>
        <v>40.8158854166667</v>
      </c>
      <c r="Y118" s="0" t="n">
        <f aca="false">SUMPRODUCT(MMULT(I118:W118,_XtX!$B$78:$P$92),I118:W118)</f>
        <v>0.486409505208334</v>
      </c>
      <c r="Z118" s="0" t="n">
        <f aca="false">04_回帰ANOVA!$K$19*04_回帰ANOVA!$K$14*SQRT(1+Y118)</f>
        <v>1.58916001665498</v>
      </c>
      <c r="AA118" s="0" t="n">
        <f aca="false">X118-Z118</f>
        <v>39.2267254000117</v>
      </c>
      <c r="AB118" s="0" t="n">
        <f aca="false">X118+Z118</f>
        <v>42.4050454333217</v>
      </c>
      <c r="AC118" s="54" t="b">
        <f aca="false">AND(E118&gt;=01_因子設定!$L$5-0.000000001,E118&lt;=01_因子設定!$M$5+0.000000001,F118&gt;=01_因子設定!$L$6-0.000000001,F118&lt;=01_因子設定!$M$6+0.000000001,G118&gt;=01_因子設定!$L$7-0.000000001,G118&lt;=01_因子設定!$M$7+0.000000001,H118&gt;=01_因子設定!$L$8-0.000000001,H118&lt;=01_因子設定!$M$8+0.000000001,IF(01_因子設定!$B$20="Box-Behnken",E118^2+F118^2+G118^2+H118^2&lt;=2+0.000000001,TRUE()))</f>
        <v>1</v>
      </c>
      <c r="AD118" s="55" t="n">
        <f aca="false">IF(AC118,IF(01_因子設定!$B$13="最大化",AA118-01_因子設定!$B$14,IF(01_因子設定!$B$13="最小化",01_因子設定!$B$15-AB118,MIN(AA118-01_因子設定!$B$14,01_因子設定!$B$15-AB118))),-1E+030)</f>
        <v>-7.27327459998828</v>
      </c>
      <c r="AE118" s="55" t="n">
        <f aca="false">IF(AC118,IF(01_因子設定!$B$13="最大化",X118,IF(01_因子設定!$B$13="最小化",-X118,-ABS(X118-01_因子設定!$B$16))),-1E+030)</f>
        <v>40.8158854166667</v>
      </c>
      <c r="AF118" s="55" t="n">
        <f aca="false">AD118+ROW()*0.000000001</f>
        <v>-7.27327448198828</v>
      </c>
      <c r="AG118" s="55" t="n">
        <f aca="false">AE118+ROW()*0.000000001</f>
        <v>40.8158855346667</v>
      </c>
    </row>
    <row r="119" customFormat="false" ht="15" hidden="false" customHeight="false" outlineLevel="0" collapsed="false">
      <c r="A119" s="0" t="n">
        <v>0</v>
      </c>
      <c r="B119" s="0" t="n">
        <v>1</v>
      </c>
      <c r="C119" s="0" t="n">
        <v>3</v>
      </c>
      <c r="D119" s="0" t="n">
        <v>6</v>
      </c>
      <c r="E119" s="0" t="n">
        <f aca="false">-1+A119*0.25</f>
        <v>-1</v>
      </c>
      <c r="F119" s="0" t="n">
        <f aca="false">-1+B119*0.25</f>
        <v>-0.75</v>
      </c>
      <c r="G119" s="0" t="n">
        <f aca="false">-1+C119*0.25</f>
        <v>-0.25</v>
      </c>
      <c r="H119" s="0" t="n">
        <f aca="false">-1+D119*0.25</f>
        <v>0.5</v>
      </c>
      <c r="I119" s="0" t="n">
        <f aca="false">1</f>
        <v>1</v>
      </c>
      <c r="J119" s="0" t="n">
        <f aca="false">E119</f>
        <v>-1</v>
      </c>
      <c r="K119" s="0" t="n">
        <f aca="false">F119</f>
        <v>-0.75</v>
      </c>
      <c r="L119" s="0" t="n">
        <f aca="false">G119</f>
        <v>-0.25</v>
      </c>
      <c r="M119" s="0" t="n">
        <f aca="false">H119</f>
        <v>0.5</v>
      </c>
      <c r="N119" s="0" t="n">
        <f aca="false">E119*F119</f>
        <v>0.75</v>
      </c>
      <c r="O119" s="0" t="n">
        <f aca="false">E119*G119</f>
        <v>0.25</v>
      </c>
      <c r="P119" s="0" t="n">
        <f aca="false">E119*H119</f>
        <v>-0.5</v>
      </c>
      <c r="Q119" s="0" t="n">
        <f aca="false">F119*G119</f>
        <v>0.1875</v>
      </c>
      <c r="R119" s="0" t="n">
        <f aca="false">F119*H119</f>
        <v>-0.375</v>
      </c>
      <c r="S119" s="0" t="n">
        <f aca="false">G119*H119</f>
        <v>-0.125</v>
      </c>
      <c r="T119" s="0" t="n">
        <f aca="false">E119*E119</f>
        <v>1</v>
      </c>
      <c r="U119" s="0" t="n">
        <f aca="false">F119*F119</f>
        <v>0.5625</v>
      </c>
      <c r="V119" s="0" t="n">
        <f aca="false">G119*G119</f>
        <v>0.0625</v>
      </c>
      <c r="W119" s="0" t="n">
        <f aca="false">H119*H119</f>
        <v>0.25</v>
      </c>
      <c r="X119" s="0" t="n">
        <f aca="false">SUMPRODUCT(I119:W119,_XtX!$B$96:$P$96)</f>
        <v>40.8361887792398</v>
      </c>
      <c r="Y119" s="0" t="n">
        <f aca="false">SUMPRODUCT(MMULT(I119:W119,_XtX!$B$78:$P$92),I119:W119)</f>
        <v>0.459125719572369</v>
      </c>
      <c r="Z119" s="0" t="n">
        <f aca="false">04_回帰ANOVA!$K$19*04_回帰ANOVA!$K$14*SQRT(1+Y119)</f>
        <v>1.57450755575573</v>
      </c>
      <c r="AA119" s="0" t="n">
        <f aca="false">X119-Z119</f>
        <v>39.2616812234841</v>
      </c>
      <c r="AB119" s="0" t="n">
        <f aca="false">X119+Z119</f>
        <v>42.4106963349955</v>
      </c>
      <c r="AC119" s="54" t="b">
        <f aca="false">AND(E119&gt;=01_因子設定!$L$5-0.000000001,E119&lt;=01_因子設定!$M$5+0.000000001,F119&gt;=01_因子設定!$L$6-0.000000001,F119&lt;=01_因子設定!$M$6+0.000000001,G119&gt;=01_因子設定!$L$7-0.000000001,G119&lt;=01_因子設定!$M$7+0.000000001,H119&gt;=01_因子設定!$L$8-0.000000001,H119&lt;=01_因子設定!$M$8+0.000000001,IF(01_因子設定!$B$20="Box-Behnken",E119^2+F119^2+G119^2+H119^2&lt;=2+0.000000001,TRUE()))</f>
        <v>1</v>
      </c>
      <c r="AD119" s="55" t="n">
        <f aca="false">IF(AC119,IF(01_因子設定!$B$13="最大化",AA119-01_因子設定!$B$14,IF(01_因子設定!$B$13="最小化",01_因子設定!$B$15-AB119,MIN(AA119-01_因子設定!$B$14,01_因子設定!$B$15-AB119))),-1E+030)</f>
        <v>-7.23831877651593</v>
      </c>
      <c r="AE119" s="55" t="n">
        <f aca="false">IF(AC119,IF(01_因子設定!$B$13="最大化",X119,IF(01_因子設定!$B$13="最小化",-X119,-ABS(X119-01_因子設定!$B$16))),-1E+030)</f>
        <v>40.8361887792398</v>
      </c>
      <c r="AF119" s="55" t="n">
        <f aca="false">AD119+ROW()*0.000000001</f>
        <v>-7.23831865751593</v>
      </c>
      <c r="AG119" s="55" t="n">
        <f aca="false">AE119+ROW()*0.000000001</f>
        <v>40.8361888982398</v>
      </c>
    </row>
    <row r="120" customFormat="false" ht="15" hidden="false" customHeight="false" outlineLevel="0" collapsed="false">
      <c r="A120" s="0" t="n">
        <v>0</v>
      </c>
      <c r="B120" s="0" t="n">
        <v>1</v>
      </c>
      <c r="C120" s="0" t="n">
        <v>3</v>
      </c>
      <c r="D120" s="0" t="n">
        <v>7</v>
      </c>
      <c r="E120" s="0" t="n">
        <f aca="false">-1+A120*0.25</f>
        <v>-1</v>
      </c>
      <c r="F120" s="0" t="n">
        <f aca="false">-1+B120*0.25</f>
        <v>-0.75</v>
      </c>
      <c r="G120" s="0" t="n">
        <f aca="false">-1+C120*0.25</f>
        <v>-0.25</v>
      </c>
      <c r="H120" s="0" t="n">
        <f aca="false">-1+D120*0.25</f>
        <v>0.75</v>
      </c>
      <c r="I120" s="0" t="n">
        <f aca="false">1</f>
        <v>1</v>
      </c>
      <c r="J120" s="0" t="n">
        <f aca="false">E120</f>
        <v>-1</v>
      </c>
      <c r="K120" s="0" t="n">
        <f aca="false">F120</f>
        <v>-0.75</v>
      </c>
      <c r="L120" s="0" t="n">
        <f aca="false">G120</f>
        <v>-0.25</v>
      </c>
      <c r="M120" s="0" t="n">
        <f aca="false">H120</f>
        <v>0.75</v>
      </c>
      <c r="N120" s="0" t="n">
        <f aca="false">E120*F120</f>
        <v>0.75</v>
      </c>
      <c r="O120" s="0" t="n">
        <f aca="false">E120*G120</f>
        <v>0.25</v>
      </c>
      <c r="P120" s="0" t="n">
        <f aca="false">E120*H120</f>
        <v>-0.75</v>
      </c>
      <c r="Q120" s="0" t="n">
        <f aca="false">F120*G120</f>
        <v>0.1875</v>
      </c>
      <c r="R120" s="0" t="n">
        <f aca="false">F120*H120</f>
        <v>-0.5625</v>
      </c>
      <c r="S120" s="0" t="n">
        <f aca="false">G120*H120</f>
        <v>-0.1875</v>
      </c>
      <c r="T120" s="0" t="n">
        <f aca="false">E120*E120</f>
        <v>1</v>
      </c>
      <c r="U120" s="0" t="n">
        <f aca="false">F120*F120</f>
        <v>0.5625</v>
      </c>
      <c r="V120" s="0" t="n">
        <f aca="false">G120*G120</f>
        <v>0.0625</v>
      </c>
      <c r="W120" s="0" t="n">
        <f aca="false">H120*H120</f>
        <v>0.5625</v>
      </c>
      <c r="X120" s="0" t="n">
        <f aca="false">SUMPRODUCT(I120:W120,_XtX!$B$96:$P$96)</f>
        <v>40.8086851242691</v>
      </c>
      <c r="Y120" s="0" t="n">
        <f aca="false">SUMPRODUCT(MMULT(I120:W120,_XtX!$B$78:$P$92),I120:W120)</f>
        <v>0.473959761056287</v>
      </c>
      <c r="Z120" s="0" t="n">
        <f aca="false">04_回帰ANOVA!$K$19*04_回帰ANOVA!$K$14*SQRT(1+Y120)</f>
        <v>1.58249084588329</v>
      </c>
      <c r="AA120" s="0" t="n">
        <f aca="false">X120-Z120</f>
        <v>39.2261942783858</v>
      </c>
      <c r="AB120" s="0" t="n">
        <f aca="false">X120+Z120</f>
        <v>42.3911759701523</v>
      </c>
      <c r="AC120" s="54" t="b">
        <f aca="false">AND(E120&gt;=01_因子設定!$L$5-0.000000001,E120&lt;=01_因子設定!$M$5+0.000000001,F120&gt;=01_因子設定!$L$6-0.000000001,F120&lt;=01_因子設定!$M$6+0.000000001,G120&gt;=01_因子設定!$L$7-0.000000001,G120&lt;=01_因子設定!$M$7+0.000000001,H120&gt;=01_因子設定!$L$8-0.000000001,H120&lt;=01_因子設定!$M$8+0.000000001,IF(01_因子設定!$B$20="Box-Behnken",E120^2+F120^2+G120^2+H120^2&lt;=2+0.000000001,TRUE()))</f>
        <v>1</v>
      </c>
      <c r="AD120" s="55" t="n">
        <f aca="false">IF(AC120,IF(01_因子設定!$B$13="最大化",AA120-01_因子設定!$B$14,IF(01_因子設定!$B$13="最小化",01_因子設定!$B$15-AB120,MIN(AA120-01_因子設定!$B$14,01_因子設定!$B$15-AB120))),-1E+030)</f>
        <v>-7.27380572161423</v>
      </c>
      <c r="AE120" s="55" t="n">
        <f aca="false">IF(AC120,IF(01_因子設定!$B$13="最大化",X120,IF(01_因子設定!$B$13="最小化",-X120,-ABS(X120-01_因子設定!$B$16))),-1E+030)</f>
        <v>40.8086851242691</v>
      </c>
      <c r="AF120" s="55" t="n">
        <f aca="false">AD120+ROW()*0.000000001</f>
        <v>-7.27380560161423</v>
      </c>
      <c r="AG120" s="55" t="n">
        <f aca="false">AE120+ROW()*0.000000001</f>
        <v>40.8086852442691</v>
      </c>
    </row>
    <row r="121" customFormat="false" ht="15" hidden="false" customHeight="false" outlineLevel="0" collapsed="false">
      <c r="A121" s="0" t="n">
        <v>0</v>
      </c>
      <c r="B121" s="0" t="n">
        <v>1</v>
      </c>
      <c r="C121" s="0" t="n">
        <v>3</v>
      </c>
      <c r="D121" s="0" t="n">
        <v>8</v>
      </c>
      <c r="E121" s="0" t="n">
        <f aca="false">-1+A121*0.25</f>
        <v>-1</v>
      </c>
      <c r="F121" s="0" t="n">
        <f aca="false">-1+B121*0.25</f>
        <v>-0.75</v>
      </c>
      <c r="G121" s="0" t="n">
        <f aca="false">-1+C121*0.25</f>
        <v>-0.25</v>
      </c>
      <c r="H121" s="0" t="n">
        <f aca="false">-1+D121*0.25</f>
        <v>1</v>
      </c>
      <c r="I121" s="0" t="n">
        <f aca="false">1</f>
        <v>1</v>
      </c>
      <c r="J121" s="0" t="n">
        <f aca="false">E121</f>
        <v>-1</v>
      </c>
      <c r="K121" s="0" t="n">
        <f aca="false">F121</f>
        <v>-0.75</v>
      </c>
      <c r="L121" s="0" t="n">
        <f aca="false">G121</f>
        <v>-0.25</v>
      </c>
      <c r="M121" s="0" t="n">
        <f aca="false">H121</f>
        <v>1</v>
      </c>
      <c r="N121" s="0" t="n">
        <f aca="false">E121*F121</f>
        <v>0.75</v>
      </c>
      <c r="O121" s="0" t="n">
        <f aca="false">E121*G121</f>
        <v>0.25</v>
      </c>
      <c r="P121" s="0" t="n">
        <f aca="false">E121*H121</f>
        <v>-1</v>
      </c>
      <c r="Q121" s="0" t="n">
        <f aca="false">F121*G121</f>
        <v>0.1875</v>
      </c>
      <c r="R121" s="0" t="n">
        <f aca="false">F121*H121</f>
        <v>-0.75</v>
      </c>
      <c r="S121" s="0" t="n">
        <f aca="false">G121*H121</f>
        <v>-0.25</v>
      </c>
      <c r="T121" s="0" t="n">
        <f aca="false">E121*E121</f>
        <v>1</v>
      </c>
      <c r="U121" s="0" t="n">
        <f aca="false">F121*F121</f>
        <v>0.5625</v>
      </c>
      <c r="V121" s="0" t="n">
        <f aca="false">G121*G121</f>
        <v>0.0625</v>
      </c>
      <c r="W121" s="0" t="n">
        <f aca="false">H121*H121</f>
        <v>1</v>
      </c>
      <c r="X121" s="0" t="n">
        <f aca="false">SUMPRODUCT(I121:W121,_XtX!$B$96:$P$96)</f>
        <v>40.7333744517545</v>
      </c>
      <c r="Y121" s="0" t="n">
        <f aca="false">SUMPRODUCT(MMULT(I121:W121,_XtX!$B$78:$P$92),I121:W121)</f>
        <v>0.621372155975877</v>
      </c>
      <c r="Z121" s="0" t="n">
        <f aca="false">04_回帰ANOVA!$K$19*04_回帰ANOVA!$K$14*SQRT(1+Y121)</f>
        <v>1.65973880499872</v>
      </c>
      <c r="AA121" s="0" t="n">
        <f aca="false">X121-Z121</f>
        <v>39.0736356467557</v>
      </c>
      <c r="AB121" s="0" t="n">
        <f aca="false">X121+Z121</f>
        <v>42.3931132567532</v>
      </c>
      <c r="AC121" s="54" t="b">
        <f aca="false">AND(E121&gt;=01_因子設定!$L$5-0.000000001,E121&lt;=01_因子設定!$M$5+0.000000001,F121&gt;=01_因子設定!$L$6-0.000000001,F121&lt;=01_因子設定!$M$6+0.000000001,G121&gt;=01_因子設定!$L$7-0.000000001,G121&lt;=01_因子設定!$M$7+0.000000001,H121&gt;=01_因子設定!$L$8-0.000000001,H121&lt;=01_因子設定!$M$8+0.000000001,IF(01_因子設定!$B$20="Box-Behnken",E121^2+F121^2+G121^2+H121^2&lt;=2+0.000000001,TRUE()))</f>
        <v>1</v>
      </c>
      <c r="AD121" s="55" t="n">
        <f aca="false">IF(AC121,IF(01_因子設定!$B$13="最大化",AA121-01_因子設定!$B$14,IF(01_因子設定!$B$13="最小化",01_因子設定!$B$15-AB121,MIN(AA121-01_因子設定!$B$14,01_因子設定!$B$15-AB121))),-1E+030)</f>
        <v>-7.42636435324427</v>
      </c>
      <c r="AE121" s="55" t="n">
        <f aca="false">IF(AC121,IF(01_因子設定!$B$13="最大化",X121,IF(01_因子設定!$B$13="最小化",-X121,-ABS(X121-01_因子設定!$B$16))),-1E+030)</f>
        <v>40.7333744517545</v>
      </c>
      <c r="AF121" s="55" t="n">
        <f aca="false">AD121+ROW()*0.000000001</f>
        <v>-7.42636423224427</v>
      </c>
      <c r="AG121" s="55" t="n">
        <f aca="false">AE121+ROW()*0.000000001</f>
        <v>40.7333745727545</v>
      </c>
    </row>
    <row r="122" customFormat="false" ht="15" hidden="false" customHeight="false" outlineLevel="0" collapsed="false">
      <c r="A122" s="0" t="n">
        <v>0</v>
      </c>
      <c r="B122" s="0" t="n">
        <v>1</v>
      </c>
      <c r="C122" s="0" t="n">
        <v>4</v>
      </c>
      <c r="D122" s="0" t="n">
        <v>0</v>
      </c>
      <c r="E122" s="0" t="n">
        <f aca="false">-1+A122*0.25</f>
        <v>-1</v>
      </c>
      <c r="F122" s="0" t="n">
        <f aca="false">-1+B122*0.25</f>
        <v>-0.75</v>
      </c>
      <c r="G122" s="0" t="n">
        <f aca="false">-1+C122*0.25</f>
        <v>0</v>
      </c>
      <c r="H122" s="0" t="n">
        <f aca="false">-1+D122*0.25</f>
        <v>-1</v>
      </c>
      <c r="I122" s="0" t="n">
        <f aca="false">1</f>
        <v>1</v>
      </c>
      <c r="J122" s="0" t="n">
        <f aca="false">E122</f>
        <v>-1</v>
      </c>
      <c r="K122" s="0" t="n">
        <f aca="false">F122</f>
        <v>-0.75</v>
      </c>
      <c r="L122" s="0" t="n">
        <f aca="false">G122</f>
        <v>0</v>
      </c>
      <c r="M122" s="0" t="n">
        <f aca="false">H122</f>
        <v>-1</v>
      </c>
      <c r="N122" s="0" t="n">
        <f aca="false">E122*F122</f>
        <v>0.75</v>
      </c>
      <c r="O122" s="0" t="n">
        <f aca="false">E122*G122</f>
        <v>-0</v>
      </c>
      <c r="P122" s="0" t="n">
        <f aca="false">E122*H122</f>
        <v>1</v>
      </c>
      <c r="Q122" s="0" t="n">
        <f aca="false">F122*G122</f>
        <v>-0</v>
      </c>
      <c r="R122" s="0" t="n">
        <f aca="false">F122*H122</f>
        <v>0.75</v>
      </c>
      <c r="S122" s="0" t="n">
        <f aca="false">G122*H122</f>
        <v>-0</v>
      </c>
      <c r="T122" s="0" t="n">
        <f aca="false">E122*E122</f>
        <v>1</v>
      </c>
      <c r="U122" s="0" t="n">
        <f aca="false">F122*F122</f>
        <v>0.5625</v>
      </c>
      <c r="V122" s="0" t="n">
        <f aca="false">G122*G122</f>
        <v>0</v>
      </c>
      <c r="W122" s="0" t="n">
        <f aca="false">H122*H122</f>
        <v>1</v>
      </c>
      <c r="X122" s="0" t="n">
        <f aca="false">SUMPRODUCT(I122:W122,_XtX!$B$96:$P$96)</f>
        <v>40.3177814327486</v>
      </c>
      <c r="Y122" s="0" t="n">
        <f aca="false">SUMPRODUCT(MMULT(I122:W122,_XtX!$B$78:$P$92),I122:W122)</f>
        <v>0.646198830409357</v>
      </c>
      <c r="Z122" s="0" t="n">
        <f aca="false">04_回帰ANOVA!$K$19*04_回帰ANOVA!$K$14*SQRT(1+Y122)</f>
        <v>1.67239760569756</v>
      </c>
      <c r="AA122" s="0" t="n">
        <f aca="false">X122-Z122</f>
        <v>38.6453838270511</v>
      </c>
      <c r="AB122" s="0" t="n">
        <f aca="false">X122+Z122</f>
        <v>41.9901790384462</v>
      </c>
      <c r="AC122" s="54" t="b">
        <f aca="false">AND(E122&gt;=01_因子設定!$L$5-0.000000001,E122&lt;=01_因子設定!$M$5+0.000000001,F122&gt;=01_因子設定!$L$6-0.000000001,F122&lt;=01_因子設定!$M$6+0.000000001,G122&gt;=01_因子設定!$L$7-0.000000001,G122&lt;=01_因子設定!$M$7+0.000000001,H122&gt;=01_因子設定!$L$8-0.000000001,H122&lt;=01_因子設定!$M$8+0.000000001,IF(01_因子設定!$B$20="Box-Behnken",E122^2+F122^2+G122^2+H122^2&lt;=2+0.000000001,TRUE()))</f>
        <v>1</v>
      </c>
      <c r="AD122" s="55" t="n">
        <f aca="false">IF(AC122,IF(01_因子設定!$B$13="最大化",AA122-01_因子設定!$B$14,IF(01_因子設定!$B$13="最小化",01_因子設定!$B$15-AB122,MIN(AA122-01_因子設定!$B$14,01_因子設定!$B$15-AB122))),-1E+030)</f>
        <v>-7.85461617294895</v>
      </c>
      <c r="AE122" s="55" t="n">
        <f aca="false">IF(AC122,IF(01_因子設定!$B$13="最大化",X122,IF(01_因子設定!$B$13="最小化",-X122,-ABS(X122-01_因子設定!$B$16))),-1E+030)</f>
        <v>40.3177814327486</v>
      </c>
      <c r="AF122" s="55" t="n">
        <f aca="false">AD122+ROW()*0.000000001</f>
        <v>-7.85461605094895</v>
      </c>
      <c r="AG122" s="55" t="n">
        <f aca="false">AE122+ROW()*0.000000001</f>
        <v>40.3177815547486</v>
      </c>
    </row>
    <row r="123" customFormat="false" ht="15" hidden="false" customHeight="false" outlineLevel="0" collapsed="false">
      <c r="A123" s="0" t="n">
        <v>0</v>
      </c>
      <c r="B123" s="0" t="n">
        <v>1</v>
      </c>
      <c r="C123" s="0" t="n">
        <v>4</v>
      </c>
      <c r="D123" s="0" t="n">
        <v>1</v>
      </c>
      <c r="E123" s="0" t="n">
        <f aca="false">-1+A123*0.25</f>
        <v>-1</v>
      </c>
      <c r="F123" s="0" t="n">
        <f aca="false">-1+B123*0.25</f>
        <v>-0.75</v>
      </c>
      <c r="G123" s="0" t="n">
        <f aca="false">-1+C123*0.25</f>
        <v>0</v>
      </c>
      <c r="H123" s="0" t="n">
        <f aca="false">-1+D123*0.25</f>
        <v>-0.75</v>
      </c>
      <c r="I123" s="0" t="n">
        <f aca="false">1</f>
        <v>1</v>
      </c>
      <c r="J123" s="0" t="n">
        <f aca="false">E123</f>
        <v>-1</v>
      </c>
      <c r="K123" s="0" t="n">
        <f aca="false">F123</f>
        <v>-0.75</v>
      </c>
      <c r="L123" s="0" t="n">
        <f aca="false">G123</f>
        <v>0</v>
      </c>
      <c r="M123" s="0" t="n">
        <f aca="false">H123</f>
        <v>-0.75</v>
      </c>
      <c r="N123" s="0" t="n">
        <f aca="false">E123*F123</f>
        <v>0.75</v>
      </c>
      <c r="O123" s="0" t="n">
        <f aca="false">E123*G123</f>
        <v>-0</v>
      </c>
      <c r="P123" s="0" t="n">
        <f aca="false">E123*H123</f>
        <v>0.75</v>
      </c>
      <c r="Q123" s="0" t="n">
        <f aca="false">F123*G123</f>
        <v>-0</v>
      </c>
      <c r="R123" s="0" t="n">
        <f aca="false">F123*H123</f>
        <v>0.5625</v>
      </c>
      <c r="S123" s="0" t="n">
        <f aca="false">G123*H123</f>
        <v>-0</v>
      </c>
      <c r="T123" s="0" t="n">
        <f aca="false">E123*E123</f>
        <v>1</v>
      </c>
      <c r="U123" s="0" t="n">
        <f aca="false">F123*F123</f>
        <v>0.5625</v>
      </c>
      <c r="V123" s="0" t="n">
        <f aca="false">G123*G123</f>
        <v>0</v>
      </c>
      <c r="W123" s="0" t="n">
        <f aca="false">H123*H123</f>
        <v>0.5625</v>
      </c>
      <c r="X123" s="0" t="n">
        <f aca="false">SUMPRODUCT(I123:W123,_XtX!$B$96:$P$96)</f>
        <v>40.595088633041</v>
      </c>
      <c r="Y123" s="0" t="n">
        <f aca="false">SUMPRODUCT(MMULT(I123:W123,_XtX!$B$78:$P$92),I123:W123)</f>
        <v>0.494259126005117</v>
      </c>
      <c r="Z123" s="0" t="n">
        <f aca="false">04_回帰ANOVA!$K$19*04_回帰ANOVA!$K$14*SQRT(1+Y123)</f>
        <v>1.59335061078203</v>
      </c>
      <c r="AA123" s="0" t="n">
        <f aca="false">X123-Z123</f>
        <v>39.001738022259</v>
      </c>
      <c r="AB123" s="0" t="n">
        <f aca="false">X123+Z123</f>
        <v>42.188439243823</v>
      </c>
      <c r="AC123" s="54" t="b">
        <f aca="false">AND(E123&gt;=01_因子設定!$L$5-0.000000001,E123&lt;=01_因子設定!$M$5+0.000000001,F123&gt;=01_因子設定!$L$6-0.000000001,F123&lt;=01_因子設定!$M$6+0.000000001,G123&gt;=01_因子設定!$L$7-0.000000001,G123&lt;=01_因子設定!$M$7+0.000000001,H123&gt;=01_因子設定!$L$8-0.000000001,H123&lt;=01_因子設定!$M$8+0.000000001,IF(01_因子設定!$B$20="Box-Behnken",E123^2+F123^2+G123^2+H123^2&lt;=2+0.000000001,TRUE()))</f>
        <v>1</v>
      </c>
      <c r="AD123" s="55" t="n">
        <f aca="false">IF(AC123,IF(01_因子設定!$B$13="最大化",AA123-01_因子設定!$B$14,IF(01_因子設定!$B$13="最小化",01_因子設定!$B$15-AB123,MIN(AA123-01_因子設定!$B$14,01_因子設定!$B$15-AB123))),-1E+030)</f>
        <v>-7.49826197774105</v>
      </c>
      <c r="AE123" s="55" t="n">
        <f aca="false">IF(AC123,IF(01_因子設定!$B$13="最大化",X123,IF(01_因子設定!$B$13="最小化",-X123,-ABS(X123-01_因子設定!$B$16))),-1E+030)</f>
        <v>40.595088633041</v>
      </c>
      <c r="AF123" s="55" t="n">
        <f aca="false">AD123+ROW()*0.000000001</f>
        <v>-7.49826185474104</v>
      </c>
      <c r="AG123" s="55" t="n">
        <f aca="false">AE123+ROW()*0.000000001</f>
        <v>40.595088756041</v>
      </c>
    </row>
    <row r="124" customFormat="false" ht="15" hidden="false" customHeight="false" outlineLevel="0" collapsed="false">
      <c r="A124" s="0" t="n">
        <v>0</v>
      </c>
      <c r="B124" s="0" t="n">
        <v>1</v>
      </c>
      <c r="C124" s="0" t="n">
        <v>4</v>
      </c>
      <c r="D124" s="0" t="n">
        <v>2</v>
      </c>
      <c r="E124" s="0" t="n">
        <f aca="false">-1+A124*0.25</f>
        <v>-1</v>
      </c>
      <c r="F124" s="0" t="n">
        <f aca="false">-1+B124*0.25</f>
        <v>-0.75</v>
      </c>
      <c r="G124" s="0" t="n">
        <f aca="false">-1+C124*0.25</f>
        <v>0</v>
      </c>
      <c r="H124" s="0" t="n">
        <f aca="false">-1+D124*0.25</f>
        <v>-0.5</v>
      </c>
      <c r="I124" s="0" t="n">
        <f aca="false">1</f>
        <v>1</v>
      </c>
      <c r="J124" s="0" t="n">
        <f aca="false">E124</f>
        <v>-1</v>
      </c>
      <c r="K124" s="0" t="n">
        <f aca="false">F124</f>
        <v>-0.75</v>
      </c>
      <c r="L124" s="0" t="n">
        <f aca="false">G124</f>
        <v>0</v>
      </c>
      <c r="M124" s="0" t="n">
        <f aca="false">H124</f>
        <v>-0.5</v>
      </c>
      <c r="N124" s="0" t="n">
        <f aca="false">E124*F124</f>
        <v>0.75</v>
      </c>
      <c r="O124" s="0" t="n">
        <f aca="false">E124*G124</f>
        <v>-0</v>
      </c>
      <c r="P124" s="0" t="n">
        <f aca="false">E124*H124</f>
        <v>0.5</v>
      </c>
      <c r="Q124" s="0" t="n">
        <f aca="false">F124*G124</f>
        <v>-0</v>
      </c>
      <c r="R124" s="0" t="n">
        <f aca="false">F124*H124</f>
        <v>0.375</v>
      </c>
      <c r="S124" s="0" t="n">
        <f aca="false">G124*H124</f>
        <v>-0</v>
      </c>
      <c r="T124" s="0" t="n">
        <f aca="false">E124*E124</f>
        <v>1</v>
      </c>
      <c r="U124" s="0" t="n">
        <f aca="false">F124*F124</f>
        <v>0.5625</v>
      </c>
      <c r="V124" s="0" t="n">
        <f aca="false">G124*G124</f>
        <v>0</v>
      </c>
      <c r="W124" s="0" t="n">
        <f aca="false">H124*H124</f>
        <v>0.25</v>
      </c>
      <c r="X124" s="0" t="n">
        <f aca="false">SUMPRODUCT(I124:W124,_XtX!$B$96:$P$96)</f>
        <v>40.8245888157895</v>
      </c>
      <c r="Y124" s="0" t="n">
        <f aca="false">SUMPRODUCT(MMULT(I124:W124,_XtX!$B$78:$P$92),I124:W124)</f>
        <v>0.476191292032164</v>
      </c>
      <c r="Z124" s="0" t="n">
        <f aca="false">04_回帰ANOVA!$K$19*04_回帰ANOVA!$K$14*SQRT(1+Y124)</f>
        <v>1.58368831471718</v>
      </c>
      <c r="AA124" s="0" t="n">
        <f aca="false">X124-Z124</f>
        <v>39.2409005010723</v>
      </c>
      <c r="AB124" s="0" t="n">
        <f aca="false">X124+Z124</f>
        <v>42.4082771305067</v>
      </c>
      <c r="AC124" s="54" t="b">
        <f aca="false">AND(E124&gt;=01_因子設定!$L$5-0.000000001,E124&lt;=01_因子設定!$M$5+0.000000001,F124&gt;=01_因子設定!$L$6-0.000000001,F124&lt;=01_因子設定!$M$6+0.000000001,G124&gt;=01_因子設定!$L$7-0.000000001,G124&lt;=01_因子設定!$M$7+0.000000001,H124&gt;=01_因子設定!$L$8-0.000000001,H124&lt;=01_因子設定!$M$8+0.000000001,IF(01_因子設定!$B$20="Box-Behnken",E124^2+F124^2+G124^2+H124^2&lt;=2+0.000000001,TRUE()))</f>
        <v>1</v>
      </c>
      <c r="AD124" s="55" t="n">
        <f aca="false">IF(AC124,IF(01_因子設定!$B$13="最大化",AA124-01_因子設定!$B$14,IF(01_因子設定!$B$13="最小化",01_因子設定!$B$15-AB124,MIN(AA124-01_因子設定!$B$14,01_因子設定!$B$15-AB124))),-1E+030)</f>
        <v>-7.25909949892767</v>
      </c>
      <c r="AE124" s="55" t="n">
        <f aca="false">IF(AC124,IF(01_因子設定!$B$13="最大化",X124,IF(01_因子設定!$B$13="最小化",-X124,-ABS(X124-01_因子設定!$B$16))),-1E+030)</f>
        <v>40.8245888157895</v>
      </c>
      <c r="AF124" s="55" t="n">
        <f aca="false">AD124+ROW()*0.000000001</f>
        <v>-7.25909937492767</v>
      </c>
      <c r="AG124" s="55" t="n">
        <f aca="false">AE124+ROW()*0.000000001</f>
        <v>40.8245889397895</v>
      </c>
    </row>
    <row r="125" customFormat="false" ht="15" hidden="false" customHeight="false" outlineLevel="0" collapsed="false">
      <c r="A125" s="0" t="n">
        <v>0</v>
      </c>
      <c r="B125" s="0" t="n">
        <v>1</v>
      </c>
      <c r="C125" s="0" t="n">
        <v>4</v>
      </c>
      <c r="D125" s="0" t="n">
        <v>3</v>
      </c>
      <c r="E125" s="0" t="n">
        <f aca="false">-1+A125*0.25</f>
        <v>-1</v>
      </c>
      <c r="F125" s="0" t="n">
        <f aca="false">-1+B125*0.25</f>
        <v>-0.75</v>
      </c>
      <c r="G125" s="0" t="n">
        <f aca="false">-1+C125*0.25</f>
        <v>0</v>
      </c>
      <c r="H125" s="0" t="n">
        <f aca="false">-1+D125*0.25</f>
        <v>-0.25</v>
      </c>
      <c r="I125" s="0" t="n">
        <f aca="false">1</f>
        <v>1</v>
      </c>
      <c r="J125" s="0" t="n">
        <f aca="false">E125</f>
        <v>-1</v>
      </c>
      <c r="K125" s="0" t="n">
        <f aca="false">F125</f>
        <v>-0.75</v>
      </c>
      <c r="L125" s="0" t="n">
        <f aca="false">G125</f>
        <v>0</v>
      </c>
      <c r="M125" s="0" t="n">
        <f aca="false">H125</f>
        <v>-0.25</v>
      </c>
      <c r="N125" s="0" t="n">
        <f aca="false">E125*F125</f>
        <v>0.75</v>
      </c>
      <c r="O125" s="0" t="n">
        <f aca="false">E125*G125</f>
        <v>-0</v>
      </c>
      <c r="P125" s="0" t="n">
        <f aca="false">E125*H125</f>
        <v>0.25</v>
      </c>
      <c r="Q125" s="0" t="n">
        <f aca="false">F125*G125</f>
        <v>-0</v>
      </c>
      <c r="R125" s="0" t="n">
        <f aca="false">F125*H125</f>
        <v>0.1875</v>
      </c>
      <c r="S125" s="0" t="n">
        <f aca="false">G125*H125</f>
        <v>-0</v>
      </c>
      <c r="T125" s="0" t="n">
        <f aca="false">E125*E125</f>
        <v>1</v>
      </c>
      <c r="U125" s="0" t="n">
        <f aca="false">F125*F125</f>
        <v>0.5625</v>
      </c>
      <c r="V125" s="0" t="n">
        <f aca="false">G125*G125</f>
        <v>0</v>
      </c>
      <c r="W125" s="0" t="n">
        <f aca="false">H125*H125</f>
        <v>0.0625</v>
      </c>
      <c r="X125" s="0" t="n">
        <f aca="false">SUMPRODUCT(I125:W125,_XtX!$B$96:$P$96)</f>
        <v>41.0062819809942</v>
      </c>
      <c r="Y125" s="0" t="n">
        <f aca="false">SUMPRODUCT(MMULT(I125:W125,_XtX!$B$78:$P$92),I125:W125)</f>
        <v>0.501534802174708</v>
      </c>
      <c r="Z125" s="0" t="n">
        <f aca="false">04_回帰ANOVA!$K$19*04_回帰ANOVA!$K$14*SQRT(1+Y125)</f>
        <v>1.59722498091333</v>
      </c>
      <c r="AA125" s="0" t="n">
        <f aca="false">X125-Z125</f>
        <v>39.4090570000809</v>
      </c>
      <c r="AB125" s="0" t="n">
        <f aca="false">X125+Z125</f>
        <v>42.6035069619075</v>
      </c>
      <c r="AC125" s="54" t="b">
        <f aca="false">AND(E125&gt;=01_因子設定!$L$5-0.000000001,E125&lt;=01_因子設定!$M$5+0.000000001,F125&gt;=01_因子設定!$L$6-0.000000001,F125&lt;=01_因子設定!$M$6+0.000000001,G125&gt;=01_因子設定!$L$7-0.000000001,G125&lt;=01_因子設定!$M$7+0.000000001,H125&gt;=01_因子設定!$L$8-0.000000001,H125&lt;=01_因子設定!$M$8+0.000000001,IF(01_因子設定!$B$20="Box-Behnken",E125^2+F125^2+G125^2+H125^2&lt;=2+0.000000001,TRUE()))</f>
        <v>1</v>
      </c>
      <c r="AD125" s="55" t="n">
        <f aca="false">IF(AC125,IF(01_因子設定!$B$13="最大化",AA125-01_因子設定!$B$14,IF(01_因子設定!$B$13="最小化",01_因子設定!$B$15-AB125,MIN(AA125-01_因子設定!$B$14,01_因子設定!$B$15-AB125))),-1E+030)</f>
        <v>-7.09094299991915</v>
      </c>
      <c r="AE125" s="55" t="n">
        <f aca="false">IF(AC125,IF(01_因子設定!$B$13="最大化",X125,IF(01_因子設定!$B$13="最小化",-X125,-ABS(X125-01_因子設定!$B$16))),-1E+030)</f>
        <v>41.0062819809942</v>
      </c>
      <c r="AF125" s="55" t="n">
        <f aca="false">AD125+ROW()*0.000000001</f>
        <v>-7.09094287491915</v>
      </c>
      <c r="AG125" s="55" t="n">
        <f aca="false">AE125+ROW()*0.000000001</f>
        <v>41.0062821059942</v>
      </c>
    </row>
    <row r="126" customFormat="false" ht="15" hidden="false" customHeight="false" outlineLevel="0" collapsed="false">
      <c r="A126" s="0" t="n">
        <v>0</v>
      </c>
      <c r="B126" s="0" t="n">
        <v>1</v>
      </c>
      <c r="C126" s="0" t="n">
        <v>4</v>
      </c>
      <c r="D126" s="0" t="n">
        <v>4</v>
      </c>
      <c r="E126" s="0" t="n">
        <f aca="false">-1+A126*0.25</f>
        <v>-1</v>
      </c>
      <c r="F126" s="0" t="n">
        <f aca="false">-1+B126*0.25</f>
        <v>-0.75</v>
      </c>
      <c r="G126" s="0" t="n">
        <f aca="false">-1+C126*0.25</f>
        <v>0</v>
      </c>
      <c r="H126" s="0" t="n">
        <f aca="false">-1+D126*0.25</f>
        <v>0</v>
      </c>
      <c r="I126" s="0" t="n">
        <f aca="false">1</f>
        <v>1</v>
      </c>
      <c r="J126" s="0" t="n">
        <f aca="false">E126</f>
        <v>-1</v>
      </c>
      <c r="K126" s="0" t="n">
        <f aca="false">F126</f>
        <v>-0.75</v>
      </c>
      <c r="L126" s="0" t="n">
        <f aca="false">G126</f>
        <v>0</v>
      </c>
      <c r="M126" s="0" t="n">
        <f aca="false">H126</f>
        <v>0</v>
      </c>
      <c r="N126" s="0" t="n">
        <f aca="false">E126*F126</f>
        <v>0.75</v>
      </c>
      <c r="O126" s="0" t="n">
        <f aca="false">E126*G126</f>
        <v>-0</v>
      </c>
      <c r="P126" s="0" t="n">
        <f aca="false">E126*H126</f>
        <v>-0</v>
      </c>
      <c r="Q126" s="0" t="n">
        <f aca="false">F126*G126</f>
        <v>-0</v>
      </c>
      <c r="R126" s="0" t="n">
        <f aca="false">F126*H126</f>
        <v>-0</v>
      </c>
      <c r="S126" s="0" t="n">
        <f aca="false">G126*H126</f>
        <v>0</v>
      </c>
      <c r="T126" s="0" t="n">
        <f aca="false">E126*E126</f>
        <v>1</v>
      </c>
      <c r="U126" s="0" t="n">
        <f aca="false">F126*F126</f>
        <v>0.5625</v>
      </c>
      <c r="V126" s="0" t="n">
        <f aca="false">G126*G126</f>
        <v>0</v>
      </c>
      <c r="W126" s="0" t="n">
        <f aca="false">H126*H126</f>
        <v>0</v>
      </c>
      <c r="X126" s="0" t="n">
        <f aca="false">SUMPRODUCT(I126:W126,_XtX!$B$96:$P$96)</f>
        <v>41.140168128655</v>
      </c>
      <c r="Y126" s="0" t="n">
        <f aca="false">SUMPRODUCT(MMULT(I126:W126,_XtX!$B$78:$P$92),I126:W126)</f>
        <v>0.516013340643275</v>
      </c>
      <c r="Z126" s="0" t="n">
        <f aca="false">04_回帰ANOVA!$K$19*04_回帰ANOVA!$K$14*SQRT(1+Y126)</f>
        <v>1.60490712175667</v>
      </c>
      <c r="AA126" s="0" t="n">
        <f aca="false">X126-Z126</f>
        <v>39.5352610068983</v>
      </c>
      <c r="AB126" s="0" t="n">
        <f aca="false">X126+Z126</f>
        <v>42.7450752504117</v>
      </c>
      <c r="AC126" s="54" t="b">
        <f aca="false">AND(E126&gt;=01_因子設定!$L$5-0.000000001,E126&lt;=01_因子設定!$M$5+0.000000001,F126&gt;=01_因子設定!$L$6-0.000000001,F126&lt;=01_因子設定!$M$6+0.000000001,G126&gt;=01_因子設定!$L$7-0.000000001,G126&lt;=01_因子設定!$M$7+0.000000001,H126&gt;=01_因子設定!$L$8-0.000000001,H126&lt;=01_因子設定!$M$8+0.000000001,IF(01_因子設定!$B$20="Box-Behnken",E126^2+F126^2+G126^2+H126^2&lt;=2+0.000000001,TRUE()))</f>
        <v>1</v>
      </c>
      <c r="AD126" s="55" t="n">
        <f aca="false">IF(AC126,IF(01_因子設定!$B$13="最大化",AA126-01_因子設定!$B$14,IF(01_因子設定!$B$13="最小化",01_因子設定!$B$15-AB126,MIN(AA126-01_因子設定!$B$14,01_因子設定!$B$15-AB126))),-1E+030)</f>
        <v>-6.96473899310167</v>
      </c>
      <c r="AE126" s="55" t="n">
        <f aca="false">IF(AC126,IF(01_因子設定!$B$13="最大化",X126,IF(01_因子設定!$B$13="最小化",-X126,-ABS(X126-01_因子設定!$B$16))),-1E+030)</f>
        <v>41.140168128655</v>
      </c>
      <c r="AF126" s="55" t="n">
        <f aca="false">AD126+ROW()*0.000000001</f>
        <v>-6.96473886710167</v>
      </c>
      <c r="AG126" s="55" t="n">
        <f aca="false">AE126+ROW()*0.000000001</f>
        <v>41.140168254655</v>
      </c>
    </row>
    <row r="127" customFormat="false" ht="15" hidden="false" customHeight="false" outlineLevel="0" collapsed="false">
      <c r="A127" s="0" t="n">
        <v>0</v>
      </c>
      <c r="B127" s="0" t="n">
        <v>1</v>
      </c>
      <c r="C127" s="0" t="n">
        <v>4</v>
      </c>
      <c r="D127" s="0" t="n">
        <v>5</v>
      </c>
      <c r="E127" s="0" t="n">
        <f aca="false">-1+A127*0.25</f>
        <v>-1</v>
      </c>
      <c r="F127" s="0" t="n">
        <f aca="false">-1+B127*0.25</f>
        <v>-0.75</v>
      </c>
      <c r="G127" s="0" t="n">
        <f aca="false">-1+C127*0.25</f>
        <v>0</v>
      </c>
      <c r="H127" s="0" t="n">
        <f aca="false">-1+D127*0.25</f>
        <v>0.25</v>
      </c>
      <c r="I127" s="0" t="n">
        <f aca="false">1</f>
        <v>1</v>
      </c>
      <c r="J127" s="0" t="n">
        <f aca="false">E127</f>
        <v>-1</v>
      </c>
      <c r="K127" s="0" t="n">
        <f aca="false">F127</f>
        <v>-0.75</v>
      </c>
      <c r="L127" s="0" t="n">
        <f aca="false">G127</f>
        <v>0</v>
      </c>
      <c r="M127" s="0" t="n">
        <f aca="false">H127</f>
        <v>0.25</v>
      </c>
      <c r="N127" s="0" t="n">
        <f aca="false">E127*F127</f>
        <v>0.75</v>
      </c>
      <c r="O127" s="0" t="n">
        <f aca="false">E127*G127</f>
        <v>-0</v>
      </c>
      <c r="P127" s="0" t="n">
        <f aca="false">E127*H127</f>
        <v>-0.25</v>
      </c>
      <c r="Q127" s="0" t="n">
        <f aca="false">F127*G127</f>
        <v>-0</v>
      </c>
      <c r="R127" s="0" t="n">
        <f aca="false">F127*H127</f>
        <v>-0.1875</v>
      </c>
      <c r="S127" s="0" t="n">
        <f aca="false">G127*H127</f>
        <v>0</v>
      </c>
      <c r="T127" s="0" t="n">
        <f aca="false">E127*E127</f>
        <v>1</v>
      </c>
      <c r="U127" s="0" t="n">
        <f aca="false">F127*F127</f>
        <v>0.5625</v>
      </c>
      <c r="V127" s="0" t="n">
        <f aca="false">G127*G127</f>
        <v>0</v>
      </c>
      <c r="W127" s="0" t="n">
        <f aca="false">H127*H127</f>
        <v>0.0625</v>
      </c>
      <c r="X127" s="0" t="n">
        <f aca="false">SUMPRODUCT(I127:W127,_XtX!$B$96:$P$96)</f>
        <v>41.226247258772</v>
      </c>
      <c r="Y127" s="0" t="n">
        <f aca="false">SUMPRODUCT(MMULT(I127:W127,_XtX!$B$78:$P$92),I127:W127)</f>
        <v>0.501534802174708</v>
      </c>
      <c r="Z127" s="0" t="n">
        <f aca="false">04_回帰ANOVA!$K$19*04_回帰ANOVA!$K$14*SQRT(1+Y127)</f>
        <v>1.59722498091333</v>
      </c>
      <c r="AA127" s="0" t="n">
        <f aca="false">X127-Z127</f>
        <v>39.6290222778586</v>
      </c>
      <c r="AB127" s="0" t="n">
        <f aca="false">X127+Z127</f>
        <v>42.8234722396853</v>
      </c>
      <c r="AC127" s="54" t="b">
        <f aca="false">AND(E127&gt;=01_因子設定!$L$5-0.000000001,E127&lt;=01_因子設定!$M$5+0.000000001,F127&gt;=01_因子設定!$L$6-0.000000001,F127&lt;=01_因子設定!$M$6+0.000000001,G127&gt;=01_因子設定!$L$7-0.000000001,G127&lt;=01_因子設定!$M$7+0.000000001,H127&gt;=01_因子設定!$L$8-0.000000001,H127&lt;=01_因子設定!$M$8+0.000000001,IF(01_因子設定!$B$20="Box-Behnken",E127^2+F127^2+G127^2+H127^2&lt;=2+0.000000001,TRUE()))</f>
        <v>1</v>
      </c>
      <c r="AD127" s="55" t="n">
        <f aca="false">IF(AC127,IF(01_因子設定!$B$13="最大化",AA127-01_因子設定!$B$14,IF(01_因子設定!$B$13="最小化",01_因子設定!$B$15-AB127,MIN(AA127-01_因子設定!$B$14,01_因子設定!$B$15-AB127))),-1E+030)</f>
        <v>-6.87097772214138</v>
      </c>
      <c r="AE127" s="55" t="n">
        <f aca="false">IF(AC127,IF(01_因子設定!$B$13="最大化",X127,IF(01_因子設定!$B$13="最小化",-X127,-ABS(X127-01_因子設定!$B$16))),-1E+030)</f>
        <v>41.226247258772</v>
      </c>
      <c r="AF127" s="55" t="n">
        <f aca="false">AD127+ROW()*0.000000001</f>
        <v>-6.87097759514138</v>
      </c>
      <c r="AG127" s="55" t="n">
        <f aca="false">AE127+ROW()*0.000000001</f>
        <v>41.226247385772</v>
      </c>
    </row>
    <row r="128" customFormat="false" ht="15" hidden="false" customHeight="false" outlineLevel="0" collapsed="false">
      <c r="A128" s="0" t="n">
        <v>0</v>
      </c>
      <c r="B128" s="0" t="n">
        <v>1</v>
      </c>
      <c r="C128" s="0" t="n">
        <v>4</v>
      </c>
      <c r="D128" s="0" t="n">
        <v>6</v>
      </c>
      <c r="E128" s="0" t="n">
        <f aca="false">-1+A128*0.25</f>
        <v>-1</v>
      </c>
      <c r="F128" s="0" t="n">
        <f aca="false">-1+B128*0.25</f>
        <v>-0.75</v>
      </c>
      <c r="G128" s="0" t="n">
        <f aca="false">-1+C128*0.25</f>
        <v>0</v>
      </c>
      <c r="H128" s="0" t="n">
        <f aca="false">-1+D128*0.25</f>
        <v>0.5</v>
      </c>
      <c r="I128" s="0" t="n">
        <f aca="false">1</f>
        <v>1</v>
      </c>
      <c r="J128" s="0" t="n">
        <f aca="false">E128</f>
        <v>-1</v>
      </c>
      <c r="K128" s="0" t="n">
        <f aca="false">F128</f>
        <v>-0.75</v>
      </c>
      <c r="L128" s="0" t="n">
        <f aca="false">G128</f>
        <v>0</v>
      </c>
      <c r="M128" s="0" t="n">
        <f aca="false">H128</f>
        <v>0.5</v>
      </c>
      <c r="N128" s="0" t="n">
        <f aca="false">E128*F128</f>
        <v>0.75</v>
      </c>
      <c r="O128" s="0" t="n">
        <f aca="false">E128*G128</f>
        <v>-0</v>
      </c>
      <c r="P128" s="0" t="n">
        <f aca="false">E128*H128</f>
        <v>-0.5</v>
      </c>
      <c r="Q128" s="0" t="n">
        <f aca="false">F128*G128</f>
        <v>-0</v>
      </c>
      <c r="R128" s="0" t="n">
        <f aca="false">F128*H128</f>
        <v>-0.375</v>
      </c>
      <c r="S128" s="0" t="n">
        <f aca="false">G128*H128</f>
        <v>0</v>
      </c>
      <c r="T128" s="0" t="n">
        <f aca="false">E128*E128</f>
        <v>1</v>
      </c>
      <c r="U128" s="0" t="n">
        <f aca="false">F128*F128</f>
        <v>0.5625</v>
      </c>
      <c r="V128" s="0" t="n">
        <f aca="false">G128*G128</f>
        <v>0</v>
      </c>
      <c r="W128" s="0" t="n">
        <f aca="false">H128*H128</f>
        <v>0.25</v>
      </c>
      <c r="X128" s="0" t="n">
        <f aca="false">SUMPRODUCT(I128:W128,_XtX!$B$96:$P$96)</f>
        <v>41.2645193713451</v>
      </c>
      <c r="Y128" s="0" t="n">
        <f aca="false">SUMPRODUCT(MMULT(I128:W128,_XtX!$B$78:$P$92),I128:W128)</f>
        <v>0.476191292032164</v>
      </c>
      <c r="Z128" s="0" t="n">
        <f aca="false">04_回帰ANOVA!$K$19*04_回帰ANOVA!$K$14*SQRT(1+Y128)</f>
        <v>1.58368831471718</v>
      </c>
      <c r="AA128" s="0" t="n">
        <f aca="false">X128-Z128</f>
        <v>39.6808310566279</v>
      </c>
      <c r="AB128" s="0" t="n">
        <f aca="false">X128+Z128</f>
        <v>42.8482076860622</v>
      </c>
      <c r="AC128" s="54" t="b">
        <f aca="false">AND(E128&gt;=01_因子設定!$L$5-0.000000001,E128&lt;=01_因子設定!$M$5+0.000000001,F128&gt;=01_因子設定!$L$6-0.000000001,F128&lt;=01_因子設定!$M$6+0.000000001,G128&gt;=01_因子設定!$L$7-0.000000001,G128&lt;=01_因子設定!$M$7+0.000000001,H128&gt;=01_因子設定!$L$8-0.000000001,H128&lt;=01_因子設定!$M$8+0.000000001,IF(01_因子設定!$B$20="Box-Behnken",E128^2+F128^2+G128^2+H128^2&lt;=2+0.000000001,TRUE()))</f>
        <v>1</v>
      </c>
      <c r="AD128" s="55" t="n">
        <f aca="false">IF(AC128,IF(01_因子設定!$B$13="最大化",AA128-01_因子設定!$B$14,IF(01_因子設定!$B$13="最小化",01_因子設定!$B$15-AB128,MIN(AA128-01_因子設定!$B$14,01_因子設定!$B$15-AB128))),-1E+030)</f>
        <v>-6.81916894337211</v>
      </c>
      <c r="AE128" s="55" t="n">
        <f aca="false">IF(AC128,IF(01_因子設定!$B$13="最大化",X128,IF(01_因子設定!$B$13="最小化",-X128,-ABS(X128-01_因子設定!$B$16))),-1E+030)</f>
        <v>41.2645193713451</v>
      </c>
      <c r="AF128" s="55" t="n">
        <f aca="false">AD128+ROW()*0.000000001</f>
        <v>-6.81916881537211</v>
      </c>
      <c r="AG128" s="55" t="n">
        <f aca="false">AE128+ROW()*0.000000001</f>
        <v>41.2645194993451</v>
      </c>
    </row>
    <row r="129" customFormat="false" ht="15" hidden="false" customHeight="false" outlineLevel="0" collapsed="false">
      <c r="A129" s="0" t="n">
        <v>0</v>
      </c>
      <c r="B129" s="0" t="n">
        <v>1</v>
      </c>
      <c r="C129" s="0" t="n">
        <v>4</v>
      </c>
      <c r="D129" s="0" t="n">
        <v>7</v>
      </c>
      <c r="E129" s="0" t="n">
        <f aca="false">-1+A129*0.25</f>
        <v>-1</v>
      </c>
      <c r="F129" s="0" t="n">
        <f aca="false">-1+B129*0.25</f>
        <v>-0.75</v>
      </c>
      <c r="G129" s="0" t="n">
        <f aca="false">-1+C129*0.25</f>
        <v>0</v>
      </c>
      <c r="H129" s="0" t="n">
        <f aca="false">-1+D129*0.25</f>
        <v>0.75</v>
      </c>
      <c r="I129" s="0" t="n">
        <f aca="false">1</f>
        <v>1</v>
      </c>
      <c r="J129" s="0" t="n">
        <f aca="false">E129</f>
        <v>-1</v>
      </c>
      <c r="K129" s="0" t="n">
        <f aca="false">F129</f>
        <v>-0.75</v>
      </c>
      <c r="L129" s="0" t="n">
        <f aca="false">G129</f>
        <v>0</v>
      </c>
      <c r="M129" s="0" t="n">
        <f aca="false">H129</f>
        <v>0.75</v>
      </c>
      <c r="N129" s="0" t="n">
        <f aca="false">E129*F129</f>
        <v>0.75</v>
      </c>
      <c r="O129" s="0" t="n">
        <f aca="false">E129*G129</f>
        <v>-0</v>
      </c>
      <c r="P129" s="0" t="n">
        <f aca="false">E129*H129</f>
        <v>-0.75</v>
      </c>
      <c r="Q129" s="0" t="n">
        <f aca="false">F129*G129</f>
        <v>-0</v>
      </c>
      <c r="R129" s="0" t="n">
        <f aca="false">F129*H129</f>
        <v>-0.5625</v>
      </c>
      <c r="S129" s="0" t="n">
        <f aca="false">G129*H129</f>
        <v>0</v>
      </c>
      <c r="T129" s="0" t="n">
        <f aca="false">E129*E129</f>
        <v>1</v>
      </c>
      <c r="U129" s="0" t="n">
        <f aca="false">F129*F129</f>
        <v>0.5625</v>
      </c>
      <c r="V129" s="0" t="n">
        <f aca="false">G129*G129</f>
        <v>0</v>
      </c>
      <c r="W129" s="0" t="n">
        <f aca="false">H129*H129</f>
        <v>0.5625</v>
      </c>
      <c r="X129" s="0" t="n">
        <f aca="false">SUMPRODUCT(I129:W129,_XtX!$B$96:$P$96)</f>
        <v>41.2549844663743</v>
      </c>
      <c r="Y129" s="0" t="n">
        <f aca="false">SUMPRODUCT(MMULT(I129:W129,_XtX!$B$78:$P$92),I129:W129)</f>
        <v>0.494259126005117</v>
      </c>
      <c r="Z129" s="0" t="n">
        <f aca="false">04_回帰ANOVA!$K$19*04_回帰ANOVA!$K$14*SQRT(1+Y129)</f>
        <v>1.59335061078203</v>
      </c>
      <c r="AA129" s="0" t="n">
        <f aca="false">X129-Z129</f>
        <v>39.6616338555923</v>
      </c>
      <c r="AB129" s="0" t="n">
        <f aca="false">X129+Z129</f>
        <v>42.8483350771563</v>
      </c>
      <c r="AC129" s="54" t="b">
        <f aca="false">AND(E129&gt;=01_因子設定!$L$5-0.000000001,E129&lt;=01_因子設定!$M$5+0.000000001,F129&gt;=01_因子設定!$L$6-0.000000001,F129&lt;=01_因子設定!$M$6+0.000000001,G129&gt;=01_因子設定!$L$7-0.000000001,G129&lt;=01_因子設定!$M$7+0.000000001,H129&gt;=01_因子設定!$L$8-0.000000001,H129&lt;=01_因子設定!$M$8+0.000000001,IF(01_因子設定!$B$20="Box-Behnken",E129^2+F129^2+G129^2+H129^2&lt;=2+0.000000001,TRUE()))</f>
        <v>1</v>
      </c>
      <c r="AD129" s="55" t="n">
        <f aca="false">IF(AC129,IF(01_因子設定!$B$13="最大化",AA129-01_因子設定!$B$14,IF(01_因子設定!$B$13="最小化",01_因子設定!$B$15-AB129,MIN(AA129-01_因子設定!$B$14,01_因子設定!$B$15-AB129))),-1E+030)</f>
        <v>-6.83836614440771</v>
      </c>
      <c r="AE129" s="55" t="n">
        <f aca="false">IF(AC129,IF(01_因子設定!$B$13="最大化",X129,IF(01_因子設定!$B$13="最小化",-X129,-ABS(X129-01_因子設定!$B$16))),-1E+030)</f>
        <v>41.2549844663743</v>
      </c>
      <c r="AF129" s="55" t="n">
        <f aca="false">AD129+ROW()*0.000000001</f>
        <v>-6.83836601540771</v>
      </c>
      <c r="AG129" s="55" t="n">
        <f aca="false">AE129+ROW()*0.000000001</f>
        <v>41.2549845953743</v>
      </c>
    </row>
    <row r="130" customFormat="false" ht="15" hidden="false" customHeight="false" outlineLevel="0" collapsed="false">
      <c r="A130" s="0" t="n">
        <v>0</v>
      </c>
      <c r="B130" s="0" t="n">
        <v>1</v>
      </c>
      <c r="C130" s="0" t="n">
        <v>4</v>
      </c>
      <c r="D130" s="0" t="n">
        <v>8</v>
      </c>
      <c r="E130" s="0" t="n">
        <f aca="false">-1+A130*0.25</f>
        <v>-1</v>
      </c>
      <c r="F130" s="0" t="n">
        <f aca="false">-1+B130*0.25</f>
        <v>-0.75</v>
      </c>
      <c r="G130" s="0" t="n">
        <f aca="false">-1+C130*0.25</f>
        <v>0</v>
      </c>
      <c r="H130" s="0" t="n">
        <f aca="false">-1+D130*0.25</f>
        <v>1</v>
      </c>
      <c r="I130" s="0" t="n">
        <f aca="false">1</f>
        <v>1</v>
      </c>
      <c r="J130" s="0" t="n">
        <f aca="false">E130</f>
        <v>-1</v>
      </c>
      <c r="K130" s="0" t="n">
        <f aca="false">F130</f>
        <v>-0.75</v>
      </c>
      <c r="L130" s="0" t="n">
        <f aca="false">G130</f>
        <v>0</v>
      </c>
      <c r="M130" s="0" t="n">
        <f aca="false">H130</f>
        <v>1</v>
      </c>
      <c r="N130" s="0" t="n">
        <f aca="false">E130*F130</f>
        <v>0.75</v>
      </c>
      <c r="O130" s="0" t="n">
        <f aca="false">E130*G130</f>
        <v>-0</v>
      </c>
      <c r="P130" s="0" t="n">
        <f aca="false">E130*H130</f>
        <v>-1</v>
      </c>
      <c r="Q130" s="0" t="n">
        <f aca="false">F130*G130</f>
        <v>-0</v>
      </c>
      <c r="R130" s="0" t="n">
        <f aca="false">F130*H130</f>
        <v>-0.75</v>
      </c>
      <c r="S130" s="0" t="n">
        <f aca="false">G130*H130</f>
        <v>0</v>
      </c>
      <c r="T130" s="0" t="n">
        <f aca="false">E130*E130</f>
        <v>1</v>
      </c>
      <c r="U130" s="0" t="n">
        <f aca="false">F130*F130</f>
        <v>0.5625</v>
      </c>
      <c r="V130" s="0" t="n">
        <f aca="false">G130*G130</f>
        <v>0</v>
      </c>
      <c r="W130" s="0" t="n">
        <f aca="false">H130*H130</f>
        <v>1</v>
      </c>
      <c r="X130" s="0" t="n">
        <f aca="false">SUMPRODUCT(I130:W130,_XtX!$B$96:$P$96)</f>
        <v>41.1976425438597</v>
      </c>
      <c r="Y130" s="0" t="n">
        <f aca="false">SUMPRODUCT(MMULT(I130:W130,_XtX!$B$78:$P$92),I130:W130)</f>
        <v>0.646198830409357</v>
      </c>
      <c r="Z130" s="0" t="n">
        <f aca="false">04_回帰ANOVA!$K$19*04_回帰ANOVA!$K$14*SQRT(1+Y130)</f>
        <v>1.67239760569756</v>
      </c>
      <c r="AA130" s="0" t="n">
        <f aca="false">X130-Z130</f>
        <v>39.5252449381622</v>
      </c>
      <c r="AB130" s="0" t="n">
        <f aca="false">X130+Z130</f>
        <v>42.8700401495573</v>
      </c>
      <c r="AC130" s="54" t="b">
        <f aca="false">AND(E130&gt;=01_因子設定!$L$5-0.000000001,E130&lt;=01_因子設定!$M$5+0.000000001,F130&gt;=01_因子設定!$L$6-0.000000001,F130&lt;=01_因子設定!$M$6+0.000000001,G130&gt;=01_因子設定!$L$7-0.000000001,G130&lt;=01_因子設定!$M$7+0.000000001,H130&gt;=01_因子設定!$L$8-0.000000001,H130&lt;=01_因子設定!$M$8+0.000000001,IF(01_因子設定!$B$20="Box-Behnken",E130^2+F130^2+G130^2+H130^2&lt;=2+0.000000001,TRUE()))</f>
        <v>1</v>
      </c>
      <c r="AD130" s="55" t="n">
        <f aca="false">IF(AC130,IF(01_因子設定!$B$13="最大化",AA130-01_因子設定!$B$14,IF(01_因子設定!$B$13="最小化",01_因子設定!$B$15-AB130,MIN(AA130-01_因子設定!$B$14,01_因子設定!$B$15-AB130))),-1E+030)</f>
        <v>-6.97475506183784</v>
      </c>
      <c r="AE130" s="55" t="n">
        <f aca="false">IF(AC130,IF(01_因子設定!$B$13="最大化",X130,IF(01_因子設定!$B$13="最小化",-X130,-ABS(X130-01_因子設定!$B$16))),-1E+030)</f>
        <v>41.1976425438597</v>
      </c>
      <c r="AF130" s="55" t="n">
        <f aca="false">AD130+ROW()*0.000000001</f>
        <v>-6.97475493183784</v>
      </c>
      <c r="AG130" s="55" t="n">
        <f aca="false">AE130+ROW()*0.000000001</f>
        <v>41.1976426738597</v>
      </c>
    </row>
    <row r="131" customFormat="false" ht="15" hidden="false" customHeight="false" outlineLevel="0" collapsed="false">
      <c r="A131" s="0" t="n">
        <v>0</v>
      </c>
      <c r="B131" s="0" t="n">
        <v>1</v>
      </c>
      <c r="C131" s="0" t="n">
        <v>5</v>
      </c>
      <c r="D131" s="0" t="n">
        <v>0</v>
      </c>
      <c r="E131" s="0" t="n">
        <f aca="false">-1+A131*0.25</f>
        <v>-1</v>
      </c>
      <c r="F131" s="0" t="n">
        <f aca="false">-1+B131*0.25</f>
        <v>-0.75</v>
      </c>
      <c r="G131" s="0" t="n">
        <f aca="false">-1+C131*0.25</f>
        <v>0.25</v>
      </c>
      <c r="H131" s="0" t="n">
        <f aca="false">-1+D131*0.25</f>
        <v>-1</v>
      </c>
      <c r="I131" s="0" t="n">
        <f aca="false">1</f>
        <v>1</v>
      </c>
      <c r="J131" s="0" t="n">
        <f aca="false">E131</f>
        <v>-1</v>
      </c>
      <c r="K131" s="0" t="n">
        <f aca="false">F131</f>
        <v>-0.75</v>
      </c>
      <c r="L131" s="0" t="n">
        <f aca="false">G131</f>
        <v>0.25</v>
      </c>
      <c r="M131" s="0" t="n">
        <f aca="false">H131</f>
        <v>-1</v>
      </c>
      <c r="N131" s="0" t="n">
        <f aca="false">E131*F131</f>
        <v>0.75</v>
      </c>
      <c r="O131" s="0" t="n">
        <f aca="false">E131*G131</f>
        <v>-0.25</v>
      </c>
      <c r="P131" s="0" t="n">
        <f aca="false">E131*H131</f>
        <v>1</v>
      </c>
      <c r="Q131" s="0" t="n">
        <f aca="false">F131*G131</f>
        <v>-0.1875</v>
      </c>
      <c r="R131" s="0" t="n">
        <f aca="false">F131*H131</f>
        <v>0.75</v>
      </c>
      <c r="S131" s="0" t="n">
        <f aca="false">G131*H131</f>
        <v>-0.25</v>
      </c>
      <c r="T131" s="0" t="n">
        <f aca="false">E131*E131</f>
        <v>1</v>
      </c>
      <c r="U131" s="0" t="n">
        <f aca="false">F131*F131</f>
        <v>0.5625</v>
      </c>
      <c r="V131" s="0" t="n">
        <f aca="false">G131*G131</f>
        <v>0.0625</v>
      </c>
      <c r="W131" s="0" t="n">
        <f aca="false">H131*H131</f>
        <v>1</v>
      </c>
      <c r="X131" s="0" t="n">
        <f aca="false">SUMPRODUCT(I131:W131,_XtX!$B$96:$P$96)</f>
        <v>40.55299250731</v>
      </c>
      <c r="Y131" s="0" t="n">
        <f aca="false">SUMPRODUCT(MMULT(I131:W131,_XtX!$B$78:$P$92),I131:W131)</f>
        <v>0.621372155975877</v>
      </c>
      <c r="Z131" s="0" t="n">
        <f aca="false">04_回帰ANOVA!$K$19*04_回帰ANOVA!$K$14*SQRT(1+Y131)</f>
        <v>1.65973880499872</v>
      </c>
      <c r="AA131" s="0" t="n">
        <f aca="false">X131-Z131</f>
        <v>38.8932537023113</v>
      </c>
      <c r="AB131" s="0" t="n">
        <f aca="false">X131+Z131</f>
        <v>42.2127313123087</v>
      </c>
      <c r="AC131" s="54" t="b">
        <f aca="false">AND(E131&gt;=01_因子設定!$L$5-0.000000001,E131&lt;=01_因子設定!$M$5+0.000000001,F131&gt;=01_因子設定!$L$6-0.000000001,F131&lt;=01_因子設定!$M$6+0.000000001,G131&gt;=01_因子設定!$L$7-0.000000001,G131&lt;=01_因子設定!$M$7+0.000000001,H131&gt;=01_因子設定!$L$8-0.000000001,H131&lt;=01_因子設定!$M$8+0.000000001,IF(01_因子設定!$B$20="Box-Behnken",E131^2+F131^2+G131^2+H131^2&lt;=2+0.000000001,TRUE()))</f>
        <v>1</v>
      </c>
      <c r="AD131" s="55" t="n">
        <f aca="false">IF(AC131,IF(01_因子設定!$B$13="最大化",AA131-01_因子設定!$B$14,IF(01_因子設定!$B$13="最小化",01_因子設定!$B$15-AB131,MIN(AA131-01_因子設定!$B$14,01_因子設定!$B$15-AB131))),-1E+030)</f>
        <v>-7.60674629768871</v>
      </c>
      <c r="AE131" s="55" t="n">
        <f aca="false">IF(AC131,IF(01_因子設定!$B$13="最大化",X131,IF(01_因子設定!$B$13="最小化",-X131,-ABS(X131-01_因子設定!$B$16))),-1E+030)</f>
        <v>40.55299250731</v>
      </c>
      <c r="AF131" s="55" t="n">
        <f aca="false">AD131+ROW()*0.000000001</f>
        <v>-7.60674616668871</v>
      </c>
      <c r="AG131" s="55" t="n">
        <f aca="false">AE131+ROW()*0.000000001</f>
        <v>40.55299263831</v>
      </c>
    </row>
    <row r="132" customFormat="false" ht="15" hidden="false" customHeight="false" outlineLevel="0" collapsed="false">
      <c r="A132" s="0" t="n">
        <v>0</v>
      </c>
      <c r="B132" s="0" t="n">
        <v>1</v>
      </c>
      <c r="C132" s="0" t="n">
        <v>5</v>
      </c>
      <c r="D132" s="0" t="n">
        <v>1</v>
      </c>
      <c r="E132" s="0" t="n">
        <f aca="false">-1+A132*0.25</f>
        <v>-1</v>
      </c>
      <c r="F132" s="0" t="n">
        <f aca="false">-1+B132*0.25</f>
        <v>-0.75</v>
      </c>
      <c r="G132" s="0" t="n">
        <f aca="false">-1+C132*0.25</f>
        <v>0.25</v>
      </c>
      <c r="H132" s="0" t="n">
        <f aca="false">-1+D132*0.25</f>
        <v>-0.75</v>
      </c>
      <c r="I132" s="0" t="n">
        <f aca="false">1</f>
        <v>1</v>
      </c>
      <c r="J132" s="0" t="n">
        <f aca="false">E132</f>
        <v>-1</v>
      </c>
      <c r="K132" s="0" t="n">
        <f aca="false">F132</f>
        <v>-0.75</v>
      </c>
      <c r="L132" s="0" t="n">
        <f aca="false">G132</f>
        <v>0.25</v>
      </c>
      <c r="M132" s="0" t="n">
        <f aca="false">H132</f>
        <v>-0.75</v>
      </c>
      <c r="N132" s="0" t="n">
        <f aca="false">E132*F132</f>
        <v>0.75</v>
      </c>
      <c r="O132" s="0" t="n">
        <f aca="false">E132*G132</f>
        <v>-0.25</v>
      </c>
      <c r="P132" s="0" t="n">
        <f aca="false">E132*H132</f>
        <v>0.75</v>
      </c>
      <c r="Q132" s="0" t="n">
        <f aca="false">F132*G132</f>
        <v>-0.1875</v>
      </c>
      <c r="R132" s="0" t="n">
        <f aca="false">F132*H132</f>
        <v>0.5625</v>
      </c>
      <c r="S132" s="0" t="n">
        <f aca="false">G132*H132</f>
        <v>-0.1875</v>
      </c>
      <c r="T132" s="0" t="n">
        <f aca="false">E132*E132</f>
        <v>1</v>
      </c>
      <c r="U132" s="0" t="n">
        <f aca="false">F132*F132</f>
        <v>0.5625</v>
      </c>
      <c r="V132" s="0" t="n">
        <f aca="false">G132*G132</f>
        <v>0.0625</v>
      </c>
      <c r="W132" s="0" t="n">
        <f aca="false">H132*H132</f>
        <v>0.5625</v>
      </c>
      <c r="X132" s="0" t="n">
        <f aca="false">SUMPRODUCT(I132:W132,_XtX!$B$96:$P$96)</f>
        <v>40.8482684576024</v>
      </c>
      <c r="Y132" s="0" t="n">
        <f aca="false">SUMPRODUCT(MMULT(I132:W132,_XtX!$B$78:$P$92),I132:W132)</f>
        <v>0.473959761056287</v>
      </c>
      <c r="Z132" s="0" t="n">
        <f aca="false">04_回帰ANOVA!$K$19*04_回帰ANOVA!$K$14*SQRT(1+Y132)</f>
        <v>1.58249084588329</v>
      </c>
      <c r="AA132" s="0" t="n">
        <f aca="false">X132-Z132</f>
        <v>39.2657776117191</v>
      </c>
      <c r="AB132" s="0" t="n">
        <f aca="false">X132+Z132</f>
        <v>42.4307593034857</v>
      </c>
      <c r="AC132" s="54" t="b">
        <f aca="false">AND(E132&gt;=01_因子設定!$L$5-0.000000001,E132&lt;=01_因子設定!$M$5+0.000000001,F132&gt;=01_因子設定!$L$6-0.000000001,F132&lt;=01_因子設定!$M$6+0.000000001,G132&gt;=01_因子設定!$L$7-0.000000001,G132&lt;=01_因子設定!$M$7+0.000000001,H132&gt;=01_因子設定!$L$8-0.000000001,H132&lt;=01_因子設定!$M$8+0.000000001,IF(01_因子設定!$B$20="Box-Behnken",E132^2+F132^2+G132^2+H132^2&lt;=2+0.000000001,TRUE()))</f>
        <v>1</v>
      </c>
      <c r="AD132" s="55" t="n">
        <f aca="false">IF(AC132,IF(01_因子設定!$B$13="最大化",AA132-01_因子設定!$B$14,IF(01_因子設定!$B$13="最小化",01_因子設定!$B$15-AB132,MIN(AA132-01_因子設定!$B$14,01_因子設定!$B$15-AB132))),-1E+030)</f>
        <v>-7.2342223882809</v>
      </c>
      <c r="AE132" s="55" t="n">
        <f aca="false">IF(AC132,IF(01_因子設定!$B$13="最大化",X132,IF(01_因子設定!$B$13="最小化",-X132,-ABS(X132-01_因子設定!$B$16))),-1E+030)</f>
        <v>40.8482684576024</v>
      </c>
      <c r="AF132" s="55" t="n">
        <f aca="false">AD132+ROW()*0.000000001</f>
        <v>-7.2342222562809</v>
      </c>
      <c r="AG132" s="55" t="n">
        <f aca="false">AE132+ROW()*0.000000001</f>
        <v>40.8482685896024</v>
      </c>
    </row>
    <row r="133" customFormat="false" ht="15" hidden="false" customHeight="false" outlineLevel="0" collapsed="false">
      <c r="A133" s="0" t="n">
        <v>0</v>
      </c>
      <c r="B133" s="0" t="n">
        <v>1</v>
      </c>
      <c r="C133" s="0" t="n">
        <v>5</v>
      </c>
      <c r="D133" s="0" t="n">
        <v>2</v>
      </c>
      <c r="E133" s="0" t="n">
        <f aca="false">-1+A133*0.25</f>
        <v>-1</v>
      </c>
      <c r="F133" s="0" t="n">
        <f aca="false">-1+B133*0.25</f>
        <v>-0.75</v>
      </c>
      <c r="G133" s="0" t="n">
        <f aca="false">-1+C133*0.25</f>
        <v>0.25</v>
      </c>
      <c r="H133" s="0" t="n">
        <f aca="false">-1+D133*0.25</f>
        <v>-0.5</v>
      </c>
      <c r="I133" s="0" t="n">
        <f aca="false">1</f>
        <v>1</v>
      </c>
      <c r="J133" s="0" t="n">
        <f aca="false">E133</f>
        <v>-1</v>
      </c>
      <c r="K133" s="0" t="n">
        <f aca="false">F133</f>
        <v>-0.75</v>
      </c>
      <c r="L133" s="0" t="n">
        <f aca="false">G133</f>
        <v>0.25</v>
      </c>
      <c r="M133" s="0" t="n">
        <f aca="false">H133</f>
        <v>-0.5</v>
      </c>
      <c r="N133" s="0" t="n">
        <f aca="false">E133*F133</f>
        <v>0.75</v>
      </c>
      <c r="O133" s="0" t="n">
        <f aca="false">E133*G133</f>
        <v>-0.25</v>
      </c>
      <c r="P133" s="0" t="n">
        <f aca="false">E133*H133</f>
        <v>0.5</v>
      </c>
      <c r="Q133" s="0" t="n">
        <f aca="false">F133*G133</f>
        <v>-0.1875</v>
      </c>
      <c r="R133" s="0" t="n">
        <f aca="false">F133*H133</f>
        <v>0.375</v>
      </c>
      <c r="S133" s="0" t="n">
        <f aca="false">G133*H133</f>
        <v>-0.125</v>
      </c>
      <c r="T133" s="0" t="n">
        <f aca="false">E133*E133</f>
        <v>1</v>
      </c>
      <c r="U133" s="0" t="n">
        <f aca="false">F133*F133</f>
        <v>0.5625</v>
      </c>
      <c r="V133" s="0" t="n">
        <f aca="false">G133*G133</f>
        <v>0.0625</v>
      </c>
      <c r="W133" s="0" t="n">
        <f aca="false">H133*H133</f>
        <v>0.25</v>
      </c>
      <c r="X133" s="0" t="n">
        <f aca="false">SUMPRODUCT(I133:W133,_XtX!$B$96:$P$96)</f>
        <v>41.0957373903509</v>
      </c>
      <c r="Y133" s="0" t="n">
        <f aca="false">SUMPRODUCT(MMULT(I133:W133,_XtX!$B$78:$P$92),I133:W133)</f>
        <v>0.459125719572369</v>
      </c>
      <c r="Z133" s="0" t="n">
        <f aca="false">04_回帰ANOVA!$K$19*04_回帰ANOVA!$K$14*SQRT(1+Y133)</f>
        <v>1.57450755575573</v>
      </c>
      <c r="AA133" s="0" t="n">
        <f aca="false">X133-Z133</f>
        <v>39.5212298345952</v>
      </c>
      <c r="AB133" s="0" t="n">
        <f aca="false">X133+Z133</f>
        <v>42.6702449461066</v>
      </c>
      <c r="AC133" s="54" t="b">
        <f aca="false">AND(E133&gt;=01_因子設定!$L$5-0.000000001,E133&lt;=01_因子設定!$M$5+0.000000001,F133&gt;=01_因子設定!$L$6-0.000000001,F133&lt;=01_因子設定!$M$6+0.000000001,G133&gt;=01_因子設定!$L$7-0.000000001,G133&lt;=01_因子設定!$M$7+0.000000001,H133&gt;=01_因子設定!$L$8-0.000000001,H133&lt;=01_因子設定!$M$8+0.000000001,IF(01_因子設定!$B$20="Box-Behnken",E133^2+F133^2+G133^2+H133^2&lt;=2+0.000000001,TRUE()))</f>
        <v>1</v>
      </c>
      <c r="AD133" s="55" t="n">
        <f aca="false">IF(AC133,IF(01_因子設定!$B$13="最大化",AA133-01_因子設定!$B$14,IF(01_因子設定!$B$13="最小化",01_因子設定!$B$15-AB133,MIN(AA133-01_因子設定!$B$14,01_因子設定!$B$15-AB133))),-1E+030)</f>
        <v>-6.97877016540482</v>
      </c>
      <c r="AE133" s="55" t="n">
        <f aca="false">IF(AC133,IF(01_因子設定!$B$13="最大化",X133,IF(01_因子設定!$B$13="最小化",-X133,-ABS(X133-01_因子設定!$B$16))),-1E+030)</f>
        <v>41.0957373903509</v>
      </c>
      <c r="AF133" s="55" t="n">
        <f aca="false">AD133+ROW()*0.000000001</f>
        <v>-6.97877003240482</v>
      </c>
      <c r="AG133" s="55" t="n">
        <f aca="false">AE133+ROW()*0.000000001</f>
        <v>41.0957375233509</v>
      </c>
    </row>
    <row r="134" customFormat="false" ht="15" hidden="false" customHeight="false" outlineLevel="0" collapsed="false">
      <c r="A134" s="0" t="n">
        <v>0</v>
      </c>
      <c r="B134" s="0" t="n">
        <v>1</v>
      </c>
      <c r="C134" s="0" t="n">
        <v>5</v>
      </c>
      <c r="D134" s="0" t="n">
        <v>3</v>
      </c>
      <c r="E134" s="0" t="n">
        <f aca="false">-1+A134*0.25</f>
        <v>-1</v>
      </c>
      <c r="F134" s="0" t="n">
        <f aca="false">-1+B134*0.25</f>
        <v>-0.75</v>
      </c>
      <c r="G134" s="0" t="n">
        <f aca="false">-1+C134*0.25</f>
        <v>0.25</v>
      </c>
      <c r="H134" s="0" t="n">
        <f aca="false">-1+D134*0.25</f>
        <v>-0.25</v>
      </c>
      <c r="I134" s="0" t="n">
        <f aca="false">1</f>
        <v>1</v>
      </c>
      <c r="J134" s="0" t="n">
        <f aca="false">E134</f>
        <v>-1</v>
      </c>
      <c r="K134" s="0" t="n">
        <f aca="false">F134</f>
        <v>-0.75</v>
      </c>
      <c r="L134" s="0" t="n">
        <f aca="false">G134</f>
        <v>0.25</v>
      </c>
      <c r="M134" s="0" t="n">
        <f aca="false">H134</f>
        <v>-0.25</v>
      </c>
      <c r="N134" s="0" t="n">
        <f aca="false">E134*F134</f>
        <v>0.75</v>
      </c>
      <c r="O134" s="0" t="n">
        <f aca="false">E134*G134</f>
        <v>-0.25</v>
      </c>
      <c r="P134" s="0" t="n">
        <f aca="false">E134*H134</f>
        <v>0.25</v>
      </c>
      <c r="Q134" s="0" t="n">
        <f aca="false">F134*G134</f>
        <v>-0.1875</v>
      </c>
      <c r="R134" s="0" t="n">
        <f aca="false">F134*H134</f>
        <v>0.1875</v>
      </c>
      <c r="S134" s="0" t="n">
        <f aca="false">G134*H134</f>
        <v>-0.0625</v>
      </c>
      <c r="T134" s="0" t="n">
        <f aca="false">E134*E134</f>
        <v>1</v>
      </c>
      <c r="U134" s="0" t="n">
        <f aca="false">F134*F134</f>
        <v>0.5625</v>
      </c>
      <c r="V134" s="0" t="n">
        <f aca="false">G134*G134</f>
        <v>0.0625</v>
      </c>
      <c r="W134" s="0" t="n">
        <f aca="false">H134*H134</f>
        <v>0.0625</v>
      </c>
      <c r="X134" s="0" t="n">
        <f aca="false">SUMPRODUCT(I134:W134,_XtX!$B$96:$P$96)</f>
        <v>41.2953993055556</v>
      </c>
      <c r="Y134" s="0" t="n">
        <f aca="false">SUMPRODUCT(MMULT(I134:W134,_XtX!$B$78:$P$92),I134:W134)</f>
        <v>0.486409505208334</v>
      </c>
      <c r="Z134" s="0" t="n">
        <f aca="false">04_回帰ANOVA!$K$19*04_回帰ANOVA!$K$14*SQRT(1+Y134)</f>
        <v>1.58916001665498</v>
      </c>
      <c r="AA134" s="0" t="n">
        <f aca="false">X134-Z134</f>
        <v>39.7062392889006</v>
      </c>
      <c r="AB134" s="0" t="n">
        <f aca="false">X134+Z134</f>
        <v>42.8845593222106</v>
      </c>
      <c r="AC134" s="54" t="b">
        <f aca="false">AND(E134&gt;=01_因子設定!$L$5-0.000000001,E134&lt;=01_因子設定!$M$5+0.000000001,F134&gt;=01_因子設定!$L$6-0.000000001,F134&lt;=01_因子設定!$M$6+0.000000001,G134&gt;=01_因子設定!$L$7-0.000000001,G134&lt;=01_因子設定!$M$7+0.000000001,H134&gt;=01_因子設定!$L$8-0.000000001,H134&lt;=01_因子設定!$M$8+0.000000001,IF(01_因子設定!$B$20="Box-Behnken",E134^2+F134^2+G134^2+H134^2&lt;=2+0.000000001,TRUE()))</f>
        <v>1</v>
      </c>
      <c r="AD134" s="55" t="n">
        <f aca="false">IF(AC134,IF(01_因子設定!$B$13="最大化",AA134-01_因子設定!$B$14,IF(01_因子設定!$B$13="最小化",01_因子設定!$B$15-AB134,MIN(AA134-01_因子設定!$B$14,01_因子設定!$B$15-AB134))),-1E+030)</f>
        <v>-6.7937607110994</v>
      </c>
      <c r="AE134" s="55" t="n">
        <f aca="false">IF(AC134,IF(01_因子設定!$B$13="最大化",X134,IF(01_因子設定!$B$13="最小化",-X134,-ABS(X134-01_因子設定!$B$16))),-1E+030)</f>
        <v>41.2953993055556</v>
      </c>
      <c r="AF134" s="55" t="n">
        <f aca="false">AD134+ROW()*0.000000001</f>
        <v>-6.7937605770994</v>
      </c>
      <c r="AG134" s="55" t="n">
        <f aca="false">AE134+ROW()*0.000000001</f>
        <v>41.2953994395556</v>
      </c>
    </row>
    <row r="135" customFormat="false" ht="15" hidden="false" customHeight="false" outlineLevel="0" collapsed="false">
      <c r="A135" s="0" t="n">
        <v>0</v>
      </c>
      <c r="B135" s="0" t="n">
        <v>1</v>
      </c>
      <c r="C135" s="0" t="n">
        <v>5</v>
      </c>
      <c r="D135" s="0" t="n">
        <v>4</v>
      </c>
      <c r="E135" s="0" t="n">
        <f aca="false">-1+A135*0.25</f>
        <v>-1</v>
      </c>
      <c r="F135" s="0" t="n">
        <f aca="false">-1+B135*0.25</f>
        <v>-0.75</v>
      </c>
      <c r="G135" s="0" t="n">
        <f aca="false">-1+C135*0.25</f>
        <v>0.25</v>
      </c>
      <c r="H135" s="0" t="n">
        <f aca="false">-1+D135*0.25</f>
        <v>0</v>
      </c>
      <c r="I135" s="0" t="n">
        <f aca="false">1</f>
        <v>1</v>
      </c>
      <c r="J135" s="0" t="n">
        <f aca="false">E135</f>
        <v>-1</v>
      </c>
      <c r="K135" s="0" t="n">
        <f aca="false">F135</f>
        <v>-0.75</v>
      </c>
      <c r="L135" s="0" t="n">
        <f aca="false">G135</f>
        <v>0.25</v>
      </c>
      <c r="M135" s="0" t="n">
        <f aca="false">H135</f>
        <v>0</v>
      </c>
      <c r="N135" s="0" t="n">
        <f aca="false">E135*F135</f>
        <v>0.75</v>
      </c>
      <c r="O135" s="0" t="n">
        <f aca="false">E135*G135</f>
        <v>-0.25</v>
      </c>
      <c r="P135" s="0" t="n">
        <f aca="false">E135*H135</f>
        <v>-0</v>
      </c>
      <c r="Q135" s="0" t="n">
        <f aca="false">F135*G135</f>
        <v>-0.1875</v>
      </c>
      <c r="R135" s="0" t="n">
        <f aca="false">F135*H135</f>
        <v>-0</v>
      </c>
      <c r="S135" s="0" t="n">
        <f aca="false">G135*H135</f>
        <v>0</v>
      </c>
      <c r="T135" s="0" t="n">
        <f aca="false">E135*E135</f>
        <v>1</v>
      </c>
      <c r="U135" s="0" t="n">
        <f aca="false">F135*F135</f>
        <v>0.5625</v>
      </c>
      <c r="V135" s="0" t="n">
        <f aca="false">G135*G135</f>
        <v>0.0625</v>
      </c>
      <c r="W135" s="0" t="n">
        <f aca="false">H135*H135</f>
        <v>0</v>
      </c>
      <c r="X135" s="0" t="n">
        <f aca="false">SUMPRODUCT(I135:W135,_XtX!$B$96:$P$96)</f>
        <v>41.4472542032164</v>
      </c>
      <c r="Y135" s="0" t="n">
        <f aca="false">SUMPRODUCT(MMULT(I135:W135,_XtX!$B$78:$P$92),I135:W135)</f>
        <v>0.501534802174708</v>
      </c>
      <c r="Z135" s="0" t="n">
        <f aca="false">04_回帰ANOVA!$K$19*04_回帰ANOVA!$K$14*SQRT(1+Y135)</f>
        <v>1.59722498091333</v>
      </c>
      <c r="AA135" s="0" t="n">
        <f aca="false">X135-Z135</f>
        <v>39.8500292223031</v>
      </c>
      <c r="AB135" s="0" t="n">
        <f aca="false">X135+Z135</f>
        <v>43.0444791841297</v>
      </c>
      <c r="AC135" s="54" t="b">
        <f aca="false">AND(E135&gt;=01_因子設定!$L$5-0.000000001,E135&lt;=01_因子設定!$M$5+0.000000001,F135&gt;=01_因子設定!$L$6-0.000000001,F135&lt;=01_因子設定!$M$6+0.000000001,G135&gt;=01_因子設定!$L$7-0.000000001,G135&lt;=01_因子設定!$M$7+0.000000001,H135&gt;=01_因子設定!$L$8-0.000000001,H135&lt;=01_因子設定!$M$8+0.000000001,IF(01_因子設定!$B$20="Box-Behnken",E135^2+F135^2+G135^2+H135^2&lt;=2+0.000000001,TRUE()))</f>
        <v>1</v>
      </c>
      <c r="AD135" s="55" t="n">
        <f aca="false">IF(AC135,IF(01_因子設定!$B$13="最大化",AA135-01_因子設定!$B$14,IF(01_因子設定!$B$13="最小化",01_因子設定!$B$15-AB135,MIN(AA135-01_因子設定!$B$14,01_因子設定!$B$15-AB135))),-1E+030)</f>
        <v>-6.64997077769693</v>
      </c>
      <c r="AE135" s="55" t="n">
        <f aca="false">IF(AC135,IF(01_因子設定!$B$13="最大化",X135,IF(01_因子設定!$B$13="最小化",-X135,-ABS(X135-01_因子設定!$B$16))),-1E+030)</f>
        <v>41.4472542032164</v>
      </c>
      <c r="AF135" s="55" t="n">
        <f aca="false">AD135+ROW()*0.000000001</f>
        <v>-6.64997064269693</v>
      </c>
      <c r="AG135" s="55" t="n">
        <f aca="false">AE135+ROW()*0.000000001</f>
        <v>41.4472543382164</v>
      </c>
    </row>
    <row r="136" customFormat="false" ht="15" hidden="false" customHeight="false" outlineLevel="0" collapsed="false">
      <c r="A136" s="0" t="n">
        <v>0</v>
      </c>
      <c r="B136" s="0" t="n">
        <v>1</v>
      </c>
      <c r="C136" s="0" t="n">
        <v>5</v>
      </c>
      <c r="D136" s="0" t="n">
        <v>5</v>
      </c>
      <c r="E136" s="0" t="n">
        <f aca="false">-1+A136*0.25</f>
        <v>-1</v>
      </c>
      <c r="F136" s="0" t="n">
        <f aca="false">-1+B136*0.25</f>
        <v>-0.75</v>
      </c>
      <c r="G136" s="0" t="n">
        <f aca="false">-1+C136*0.25</f>
        <v>0.25</v>
      </c>
      <c r="H136" s="0" t="n">
        <f aca="false">-1+D136*0.25</f>
        <v>0.25</v>
      </c>
      <c r="I136" s="0" t="n">
        <f aca="false">1</f>
        <v>1</v>
      </c>
      <c r="J136" s="0" t="n">
        <f aca="false">E136</f>
        <v>-1</v>
      </c>
      <c r="K136" s="0" t="n">
        <f aca="false">F136</f>
        <v>-0.75</v>
      </c>
      <c r="L136" s="0" t="n">
        <f aca="false">G136</f>
        <v>0.25</v>
      </c>
      <c r="M136" s="0" t="n">
        <f aca="false">H136</f>
        <v>0.25</v>
      </c>
      <c r="N136" s="0" t="n">
        <f aca="false">E136*F136</f>
        <v>0.75</v>
      </c>
      <c r="O136" s="0" t="n">
        <f aca="false">E136*G136</f>
        <v>-0.25</v>
      </c>
      <c r="P136" s="0" t="n">
        <f aca="false">E136*H136</f>
        <v>-0.25</v>
      </c>
      <c r="Q136" s="0" t="n">
        <f aca="false">F136*G136</f>
        <v>-0.1875</v>
      </c>
      <c r="R136" s="0" t="n">
        <f aca="false">F136*H136</f>
        <v>-0.1875</v>
      </c>
      <c r="S136" s="0" t="n">
        <f aca="false">G136*H136</f>
        <v>0.0625</v>
      </c>
      <c r="T136" s="0" t="n">
        <f aca="false">E136*E136</f>
        <v>1</v>
      </c>
      <c r="U136" s="0" t="n">
        <f aca="false">F136*F136</f>
        <v>0.5625</v>
      </c>
      <c r="V136" s="0" t="n">
        <f aca="false">G136*G136</f>
        <v>0.0625</v>
      </c>
      <c r="W136" s="0" t="n">
        <f aca="false">H136*H136</f>
        <v>0.0625</v>
      </c>
      <c r="X136" s="0" t="n">
        <f aca="false">SUMPRODUCT(I136:W136,_XtX!$B$96:$P$96)</f>
        <v>41.5513020833334</v>
      </c>
      <c r="Y136" s="0" t="n">
        <f aca="false">SUMPRODUCT(MMULT(I136:W136,_XtX!$B$78:$P$92),I136:W136)</f>
        <v>0.486409505208334</v>
      </c>
      <c r="Z136" s="0" t="n">
        <f aca="false">04_回帰ANOVA!$K$19*04_回帰ANOVA!$K$14*SQRT(1+Y136)</f>
        <v>1.58916001665498</v>
      </c>
      <c r="AA136" s="0" t="n">
        <f aca="false">X136-Z136</f>
        <v>39.9621420666784</v>
      </c>
      <c r="AB136" s="0" t="n">
        <f aca="false">X136+Z136</f>
        <v>43.1404620999883</v>
      </c>
      <c r="AC136" s="54" t="b">
        <f aca="false">AND(E136&gt;=01_因子設定!$L$5-0.000000001,E136&lt;=01_因子設定!$M$5+0.000000001,F136&gt;=01_因子設定!$L$6-0.000000001,F136&lt;=01_因子設定!$M$6+0.000000001,G136&gt;=01_因子設定!$L$7-0.000000001,G136&lt;=01_因子設定!$M$7+0.000000001,H136&gt;=01_因子設定!$L$8-0.000000001,H136&lt;=01_因子設定!$M$8+0.000000001,IF(01_因子設定!$B$20="Box-Behnken",E136^2+F136^2+G136^2+H136^2&lt;=2+0.000000001,TRUE()))</f>
        <v>1</v>
      </c>
      <c r="AD136" s="55" t="n">
        <f aca="false">IF(AC136,IF(01_因子設定!$B$13="最大化",AA136-01_因子設定!$B$14,IF(01_因子設定!$B$13="最小化",01_因子設定!$B$15-AB136,MIN(AA136-01_因子設定!$B$14,01_因子設定!$B$15-AB136))),-1E+030)</f>
        <v>-6.53785793332162</v>
      </c>
      <c r="AE136" s="55" t="n">
        <f aca="false">IF(AC136,IF(01_因子設定!$B$13="最大化",X136,IF(01_因子設定!$B$13="最小化",-X136,-ABS(X136-01_因子設定!$B$16))),-1E+030)</f>
        <v>41.5513020833334</v>
      </c>
      <c r="AF136" s="55" t="n">
        <f aca="false">AD136+ROW()*0.000000001</f>
        <v>-6.53785779732162</v>
      </c>
      <c r="AG136" s="55" t="n">
        <f aca="false">AE136+ROW()*0.000000001</f>
        <v>41.5513022193334</v>
      </c>
    </row>
    <row r="137" customFormat="false" ht="15" hidden="false" customHeight="false" outlineLevel="0" collapsed="false">
      <c r="A137" s="0" t="n">
        <v>0</v>
      </c>
      <c r="B137" s="0" t="n">
        <v>1</v>
      </c>
      <c r="C137" s="0" t="n">
        <v>5</v>
      </c>
      <c r="D137" s="0" t="n">
        <v>6</v>
      </c>
      <c r="E137" s="0" t="n">
        <f aca="false">-1+A137*0.25</f>
        <v>-1</v>
      </c>
      <c r="F137" s="0" t="n">
        <f aca="false">-1+B137*0.25</f>
        <v>-0.75</v>
      </c>
      <c r="G137" s="0" t="n">
        <f aca="false">-1+C137*0.25</f>
        <v>0.25</v>
      </c>
      <c r="H137" s="0" t="n">
        <f aca="false">-1+D137*0.25</f>
        <v>0.5</v>
      </c>
      <c r="I137" s="0" t="n">
        <f aca="false">1</f>
        <v>1</v>
      </c>
      <c r="J137" s="0" t="n">
        <f aca="false">E137</f>
        <v>-1</v>
      </c>
      <c r="K137" s="0" t="n">
        <f aca="false">F137</f>
        <v>-0.75</v>
      </c>
      <c r="L137" s="0" t="n">
        <f aca="false">G137</f>
        <v>0.25</v>
      </c>
      <c r="M137" s="0" t="n">
        <f aca="false">H137</f>
        <v>0.5</v>
      </c>
      <c r="N137" s="0" t="n">
        <f aca="false">E137*F137</f>
        <v>0.75</v>
      </c>
      <c r="O137" s="0" t="n">
        <f aca="false">E137*G137</f>
        <v>-0.25</v>
      </c>
      <c r="P137" s="0" t="n">
        <f aca="false">E137*H137</f>
        <v>-0.5</v>
      </c>
      <c r="Q137" s="0" t="n">
        <f aca="false">F137*G137</f>
        <v>-0.1875</v>
      </c>
      <c r="R137" s="0" t="n">
        <f aca="false">F137*H137</f>
        <v>-0.375</v>
      </c>
      <c r="S137" s="0" t="n">
        <f aca="false">G137*H137</f>
        <v>0.125</v>
      </c>
      <c r="T137" s="0" t="n">
        <f aca="false">E137*E137</f>
        <v>1</v>
      </c>
      <c r="U137" s="0" t="n">
        <f aca="false">F137*F137</f>
        <v>0.5625</v>
      </c>
      <c r="V137" s="0" t="n">
        <f aca="false">G137*G137</f>
        <v>0.0625</v>
      </c>
      <c r="W137" s="0" t="n">
        <f aca="false">H137*H137</f>
        <v>0.25</v>
      </c>
      <c r="X137" s="0" t="n">
        <f aca="false">SUMPRODUCT(I137:W137,_XtX!$B$96:$P$96)</f>
        <v>41.6075429459065</v>
      </c>
      <c r="Y137" s="0" t="n">
        <f aca="false">SUMPRODUCT(MMULT(I137:W137,_XtX!$B$78:$P$92),I137:W137)</f>
        <v>0.459125719572369</v>
      </c>
      <c r="Z137" s="0" t="n">
        <f aca="false">04_回帰ANOVA!$K$19*04_回帰ANOVA!$K$14*SQRT(1+Y137)</f>
        <v>1.57450755575573</v>
      </c>
      <c r="AA137" s="0" t="n">
        <f aca="false">X137-Z137</f>
        <v>40.0330353901507</v>
      </c>
      <c r="AB137" s="0" t="n">
        <f aca="false">X137+Z137</f>
        <v>43.1820505016622</v>
      </c>
      <c r="AC137" s="54" t="b">
        <f aca="false">AND(E137&gt;=01_因子設定!$L$5-0.000000001,E137&lt;=01_因子設定!$M$5+0.000000001,F137&gt;=01_因子設定!$L$6-0.000000001,F137&lt;=01_因子設定!$M$6+0.000000001,G137&gt;=01_因子設定!$L$7-0.000000001,G137&lt;=01_因子設定!$M$7+0.000000001,H137&gt;=01_因子設定!$L$8-0.000000001,H137&lt;=01_因子設定!$M$8+0.000000001,IF(01_因子設定!$B$20="Box-Behnken",E137^2+F137^2+G137^2+H137^2&lt;=2+0.000000001,TRUE()))</f>
        <v>1</v>
      </c>
      <c r="AD137" s="55" t="n">
        <f aca="false">IF(AC137,IF(01_因子設定!$B$13="最大化",AA137-01_因子設定!$B$14,IF(01_因子設定!$B$13="最小化",01_因子設定!$B$15-AB137,MIN(AA137-01_因子設定!$B$14,01_因子設定!$B$15-AB137))),-1E+030)</f>
        <v>-6.46696460984926</v>
      </c>
      <c r="AE137" s="55" t="n">
        <f aca="false">IF(AC137,IF(01_因子設定!$B$13="最大化",X137,IF(01_因子設定!$B$13="最小化",-X137,-ABS(X137-01_因子設定!$B$16))),-1E+030)</f>
        <v>41.6075429459065</v>
      </c>
      <c r="AF137" s="55" t="n">
        <f aca="false">AD137+ROW()*0.000000001</f>
        <v>-6.46696447284926</v>
      </c>
      <c r="AG137" s="55" t="n">
        <f aca="false">AE137+ROW()*0.000000001</f>
        <v>41.6075430829065</v>
      </c>
    </row>
    <row r="138" customFormat="false" ht="15" hidden="false" customHeight="false" outlineLevel="0" collapsed="false">
      <c r="A138" s="0" t="n">
        <v>0</v>
      </c>
      <c r="B138" s="0" t="n">
        <v>1</v>
      </c>
      <c r="C138" s="0" t="n">
        <v>5</v>
      </c>
      <c r="D138" s="0" t="n">
        <v>7</v>
      </c>
      <c r="E138" s="0" t="n">
        <f aca="false">-1+A138*0.25</f>
        <v>-1</v>
      </c>
      <c r="F138" s="0" t="n">
        <f aca="false">-1+B138*0.25</f>
        <v>-0.75</v>
      </c>
      <c r="G138" s="0" t="n">
        <f aca="false">-1+C138*0.25</f>
        <v>0.25</v>
      </c>
      <c r="H138" s="0" t="n">
        <f aca="false">-1+D138*0.25</f>
        <v>0.75</v>
      </c>
      <c r="I138" s="0" t="n">
        <f aca="false">1</f>
        <v>1</v>
      </c>
      <c r="J138" s="0" t="n">
        <f aca="false">E138</f>
        <v>-1</v>
      </c>
      <c r="K138" s="0" t="n">
        <f aca="false">F138</f>
        <v>-0.75</v>
      </c>
      <c r="L138" s="0" t="n">
        <f aca="false">G138</f>
        <v>0.25</v>
      </c>
      <c r="M138" s="0" t="n">
        <f aca="false">H138</f>
        <v>0.75</v>
      </c>
      <c r="N138" s="0" t="n">
        <f aca="false">E138*F138</f>
        <v>0.75</v>
      </c>
      <c r="O138" s="0" t="n">
        <f aca="false">E138*G138</f>
        <v>-0.25</v>
      </c>
      <c r="P138" s="0" t="n">
        <f aca="false">E138*H138</f>
        <v>-0.75</v>
      </c>
      <c r="Q138" s="0" t="n">
        <f aca="false">F138*G138</f>
        <v>-0.1875</v>
      </c>
      <c r="R138" s="0" t="n">
        <f aca="false">F138*H138</f>
        <v>-0.5625</v>
      </c>
      <c r="S138" s="0" t="n">
        <f aca="false">G138*H138</f>
        <v>0.1875</v>
      </c>
      <c r="T138" s="0" t="n">
        <f aca="false">E138*E138</f>
        <v>1</v>
      </c>
      <c r="U138" s="0" t="n">
        <f aca="false">F138*F138</f>
        <v>0.5625</v>
      </c>
      <c r="V138" s="0" t="n">
        <f aca="false">G138*G138</f>
        <v>0.0625</v>
      </c>
      <c r="W138" s="0" t="n">
        <f aca="false">H138*H138</f>
        <v>0.5625</v>
      </c>
      <c r="X138" s="0" t="n">
        <f aca="false">SUMPRODUCT(I138:W138,_XtX!$B$96:$P$96)</f>
        <v>41.6159767909357</v>
      </c>
      <c r="Y138" s="0" t="n">
        <f aca="false">SUMPRODUCT(MMULT(I138:W138,_XtX!$B$78:$P$92),I138:W138)</f>
        <v>0.473959761056287</v>
      </c>
      <c r="Z138" s="0" t="n">
        <f aca="false">04_回帰ANOVA!$K$19*04_回帰ANOVA!$K$14*SQRT(1+Y138)</f>
        <v>1.58249084588329</v>
      </c>
      <c r="AA138" s="0" t="n">
        <f aca="false">X138-Z138</f>
        <v>40.0334859450524</v>
      </c>
      <c r="AB138" s="0" t="n">
        <f aca="false">X138+Z138</f>
        <v>43.198467636819</v>
      </c>
      <c r="AC138" s="54" t="b">
        <f aca="false">AND(E138&gt;=01_因子設定!$L$5-0.000000001,E138&lt;=01_因子設定!$M$5+0.000000001,F138&gt;=01_因子設定!$L$6-0.000000001,F138&lt;=01_因子設定!$M$6+0.000000001,G138&gt;=01_因子設定!$L$7-0.000000001,G138&lt;=01_因子設定!$M$7+0.000000001,H138&gt;=01_因子設定!$L$8-0.000000001,H138&lt;=01_因子設定!$M$8+0.000000001,IF(01_因子設定!$B$20="Box-Behnken",E138^2+F138^2+G138^2+H138^2&lt;=2+0.000000001,TRUE()))</f>
        <v>1</v>
      </c>
      <c r="AD138" s="55" t="n">
        <f aca="false">IF(AC138,IF(01_因子設定!$B$13="最大化",AA138-01_因子設定!$B$14,IF(01_因子設定!$B$13="最小化",01_因子設定!$B$15-AB138,MIN(AA138-01_因子設定!$B$14,01_因子設定!$B$15-AB138))),-1E+030)</f>
        <v>-6.46651405494757</v>
      </c>
      <c r="AE138" s="55" t="n">
        <f aca="false">IF(AC138,IF(01_因子設定!$B$13="最大化",X138,IF(01_因子設定!$B$13="最小化",-X138,-ABS(X138-01_因子設定!$B$16))),-1E+030)</f>
        <v>41.6159767909357</v>
      </c>
      <c r="AF138" s="55" t="n">
        <f aca="false">AD138+ROW()*0.000000001</f>
        <v>-6.46651391694757</v>
      </c>
      <c r="AG138" s="55" t="n">
        <f aca="false">AE138+ROW()*0.000000001</f>
        <v>41.6159769289357</v>
      </c>
    </row>
    <row r="139" customFormat="false" ht="15" hidden="false" customHeight="false" outlineLevel="0" collapsed="false">
      <c r="A139" s="0" t="n">
        <v>0</v>
      </c>
      <c r="B139" s="0" t="n">
        <v>1</v>
      </c>
      <c r="C139" s="0" t="n">
        <v>5</v>
      </c>
      <c r="D139" s="0" t="n">
        <v>8</v>
      </c>
      <c r="E139" s="0" t="n">
        <f aca="false">-1+A139*0.25</f>
        <v>-1</v>
      </c>
      <c r="F139" s="0" t="n">
        <f aca="false">-1+B139*0.25</f>
        <v>-0.75</v>
      </c>
      <c r="G139" s="0" t="n">
        <f aca="false">-1+C139*0.25</f>
        <v>0.25</v>
      </c>
      <c r="H139" s="0" t="n">
        <f aca="false">-1+D139*0.25</f>
        <v>1</v>
      </c>
      <c r="I139" s="0" t="n">
        <f aca="false">1</f>
        <v>1</v>
      </c>
      <c r="J139" s="0" t="n">
        <f aca="false">E139</f>
        <v>-1</v>
      </c>
      <c r="K139" s="0" t="n">
        <f aca="false">F139</f>
        <v>-0.75</v>
      </c>
      <c r="L139" s="0" t="n">
        <f aca="false">G139</f>
        <v>0.25</v>
      </c>
      <c r="M139" s="0" t="n">
        <f aca="false">H139</f>
        <v>1</v>
      </c>
      <c r="N139" s="0" t="n">
        <f aca="false">E139*F139</f>
        <v>0.75</v>
      </c>
      <c r="O139" s="0" t="n">
        <f aca="false">E139*G139</f>
        <v>-0.25</v>
      </c>
      <c r="P139" s="0" t="n">
        <f aca="false">E139*H139</f>
        <v>-1</v>
      </c>
      <c r="Q139" s="0" t="n">
        <f aca="false">F139*G139</f>
        <v>-0.1875</v>
      </c>
      <c r="R139" s="0" t="n">
        <f aca="false">F139*H139</f>
        <v>-0.75</v>
      </c>
      <c r="S139" s="0" t="n">
        <f aca="false">G139*H139</f>
        <v>0.25</v>
      </c>
      <c r="T139" s="0" t="n">
        <f aca="false">E139*E139</f>
        <v>1</v>
      </c>
      <c r="U139" s="0" t="n">
        <f aca="false">F139*F139</f>
        <v>0.5625</v>
      </c>
      <c r="V139" s="0" t="n">
        <f aca="false">G139*G139</f>
        <v>0.0625</v>
      </c>
      <c r="W139" s="0" t="n">
        <f aca="false">H139*H139</f>
        <v>1</v>
      </c>
      <c r="X139" s="0" t="n">
        <f aca="false">SUMPRODUCT(I139:W139,_XtX!$B$96:$P$96)</f>
        <v>41.5766036184211</v>
      </c>
      <c r="Y139" s="0" t="n">
        <f aca="false">SUMPRODUCT(MMULT(I139:W139,_XtX!$B$78:$P$92),I139:W139)</f>
        <v>0.621372155975877</v>
      </c>
      <c r="Z139" s="0" t="n">
        <f aca="false">04_回帰ANOVA!$K$19*04_回帰ANOVA!$K$14*SQRT(1+Y139)</f>
        <v>1.65973880499872</v>
      </c>
      <c r="AA139" s="0" t="n">
        <f aca="false">X139-Z139</f>
        <v>39.9168648134224</v>
      </c>
      <c r="AB139" s="0" t="n">
        <f aca="false">X139+Z139</f>
        <v>43.2363424234198</v>
      </c>
      <c r="AC139" s="54" t="b">
        <f aca="false">AND(E139&gt;=01_因子設定!$L$5-0.000000001,E139&lt;=01_因子設定!$M$5+0.000000001,F139&gt;=01_因子設定!$L$6-0.000000001,F139&lt;=01_因子設定!$M$6+0.000000001,G139&gt;=01_因子設定!$L$7-0.000000001,G139&lt;=01_因子設定!$M$7+0.000000001,H139&gt;=01_因子設定!$L$8-0.000000001,H139&lt;=01_因子設定!$M$8+0.000000001,IF(01_因子設定!$B$20="Box-Behnken",E139^2+F139^2+G139^2+H139^2&lt;=2+0.000000001,TRUE()))</f>
        <v>1</v>
      </c>
      <c r="AD139" s="55" t="n">
        <f aca="false">IF(AC139,IF(01_因子設定!$B$13="最大化",AA139-01_因子設定!$B$14,IF(01_因子設定!$B$13="最小化",01_因子設定!$B$15-AB139,MIN(AA139-01_因子設定!$B$14,01_因子設定!$B$15-AB139))),-1E+030)</f>
        <v>-6.5831351865776</v>
      </c>
      <c r="AE139" s="55" t="n">
        <f aca="false">IF(AC139,IF(01_因子設定!$B$13="最大化",X139,IF(01_因子設定!$B$13="最小化",-X139,-ABS(X139-01_因子設定!$B$16))),-1E+030)</f>
        <v>41.5766036184211</v>
      </c>
      <c r="AF139" s="55" t="n">
        <f aca="false">AD139+ROW()*0.000000001</f>
        <v>-6.5831350475776</v>
      </c>
      <c r="AG139" s="55" t="n">
        <f aca="false">AE139+ROW()*0.000000001</f>
        <v>41.5766037574211</v>
      </c>
    </row>
    <row r="140" customFormat="false" ht="15" hidden="false" customHeight="false" outlineLevel="0" collapsed="false">
      <c r="A140" s="0" t="n">
        <v>0</v>
      </c>
      <c r="B140" s="0" t="n">
        <v>1</v>
      </c>
      <c r="C140" s="0" t="n">
        <v>6</v>
      </c>
      <c r="D140" s="0" t="n">
        <v>0</v>
      </c>
      <c r="E140" s="0" t="n">
        <f aca="false">-1+A140*0.25</f>
        <v>-1</v>
      </c>
      <c r="F140" s="0" t="n">
        <f aca="false">-1+B140*0.25</f>
        <v>-0.75</v>
      </c>
      <c r="G140" s="0" t="n">
        <f aca="false">-1+C140*0.25</f>
        <v>0.5</v>
      </c>
      <c r="H140" s="0" t="n">
        <f aca="false">-1+D140*0.25</f>
        <v>-1</v>
      </c>
      <c r="I140" s="0" t="n">
        <f aca="false">1</f>
        <v>1</v>
      </c>
      <c r="J140" s="0" t="n">
        <f aca="false">E140</f>
        <v>-1</v>
      </c>
      <c r="K140" s="0" t="n">
        <f aca="false">F140</f>
        <v>-0.75</v>
      </c>
      <c r="L140" s="0" t="n">
        <f aca="false">G140</f>
        <v>0.5</v>
      </c>
      <c r="M140" s="0" t="n">
        <f aca="false">H140</f>
        <v>-1</v>
      </c>
      <c r="N140" s="0" t="n">
        <f aca="false">E140*F140</f>
        <v>0.75</v>
      </c>
      <c r="O140" s="0" t="n">
        <f aca="false">E140*G140</f>
        <v>-0.5</v>
      </c>
      <c r="P140" s="0" t="n">
        <f aca="false">E140*H140</f>
        <v>1</v>
      </c>
      <c r="Q140" s="0" t="n">
        <f aca="false">F140*G140</f>
        <v>-0.375</v>
      </c>
      <c r="R140" s="0" t="n">
        <f aca="false">F140*H140</f>
        <v>0.75</v>
      </c>
      <c r="S140" s="0" t="n">
        <f aca="false">G140*H140</f>
        <v>-0.5</v>
      </c>
      <c r="T140" s="0" t="n">
        <f aca="false">E140*E140</f>
        <v>1</v>
      </c>
      <c r="U140" s="0" t="n">
        <f aca="false">F140*F140</f>
        <v>0.5625</v>
      </c>
      <c r="V140" s="0" t="n">
        <f aca="false">G140*G140</f>
        <v>0.25</v>
      </c>
      <c r="W140" s="0" t="n">
        <f aca="false">H140*H140</f>
        <v>1</v>
      </c>
      <c r="X140" s="0" t="n">
        <f aca="false">SUMPRODUCT(I140:W140,_XtX!$B$96:$P$96)</f>
        <v>40.7028965643276</v>
      </c>
      <c r="Y140" s="0" t="n">
        <f aca="false">SUMPRODUCT(MMULT(I140:W140,_XtX!$B$78:$P$92),I140:W140)</f>
        <v>0.564984237938597</v>
      </c>
      <c r="Z140" s="0" t="n">
        <f aca="false">04_回帰ANOVA!$K$19*04_回帰ANOVA!$K$14*SQRT(1+Y140)</f>
        <v>1.63062229734503</v>
      </c>
      <c r="AA140" s="0" t="n">
        <f aca="false">X140-Z140</f>
        <v>39.0722742669825</v>
      </c>
      <c r="AB140" s="0" t="n">
        <f aca="false">X140+Z140</f>
        <v>42.3335188616726</v>
      </c>
      <c r="AC140" s="54" t="b">
        <f aca="false">AND(E140&gt;=01_因子設定!$L$5-0.000000001,E140&lt;=01_因子設定!$M$5+0.000000001,F140&gt;=01_因子設定!$L$6-0.000000001,F140&lt;=01_因子設定!$M$6+0.000000001,G140&gt;=01_因子設定!$L$7-0.000000001,G140&lt;=01_因子設定!$M$7+0.000000001,H140&gt;=01_因子設定!$L$8-0.000000001,H140&lt;=01_因子設定!$M$8+0.000000001,IF(01_因子設定!$B$20="Box-Behnken",E140^2+F140^2+G140^2+H140^2&lt;=2+0.000000001,TRUE()))</f>
        <v>1</v>
      </c>
      <c r="AD140" s="55" t="n">
        <f aca="false">IF(AC140,IF(01_因子設定!$B$13="最大化",AA140-01_因子設定!$B$14,IF(01_因子設定!$B$13="最小化",01_因子設定!$B$15-AB140,MIN(AA140-01_因子設定!$B$14,01_因子設定!$B$15-AB140))),-1E+030)</f>
        <v>-7.42772573301748</v>
      </c>
      <c r="AE140" s="55" t="n">
        <f aca="false">IF(AC140,IF(01_因子設定!$B$13="最大化",X140,IF(01_因子設定!$B$13="最小化",-X140,-ABS(X140-01_因子設定!$B$16))),-1E+030)</f>
        <v>40.7028965643276</v>
      </c>
      <c r="AF140" s="55" t="n">
        <f aca="false">AD140+ROW()*0.000000001</f>
        <v>-7.42772559301748</v>
      </c>
      <c r="AG140" s="55" t="n">
        <f aca="false">AE140+ROW()*0.000000001</f>
        <v>40.7028967043276</v>
      </c>
    </row>
    <row r="141" customFormat="false" ht="15" hidden="false" customHeight="false" outlineLevel="0" collapsed="false">
      <c r="A141" s="0" t="n">
        <v>0</v>
      </c>
      <c r="B141" s="0" t="n">
        <v>1</v>
      </c>
      <c r="C141" s="0" t="n">
        <v>6</v>
      </c>
      <c r="D141" s="0" t="n">
        <v>1</v>
      </c>
      <c r="E141" s="0" t="n">
        <f aca="false">-1+A141*0.25</f>
        <v>-1</v>
      </c>
      <c r="F141" s="0" t="n">
        <f aca="false">-1+B141*0.25</f>
        <v>-0.75</v>
      </c>
      <c r="G141" s="0" t="n">
        <f aca="false">-1+C141*0.25</f>
        <v>0.5</v>
      </c>
      <c r="H141" s="0" t="n">
        <f aca="false">-1+D141*0.25</f>
        <v>-0.75</v>
      </c>
      <c r="I141" s="0" t="n">
        <f aca="false">1</f>
        <v>1</v>
      </c>
      <c r="J141" s="0" t="n">
        <f aca="false">E141</f>
        <v>-1</v>
      </c>
      <c r="K141" s="0" t="n">
        <f aca="false">F141</f>
        <v>-0.75</v>
      </c>
      <c r="L141" s="0" t="n">
        <f aca="false">G141</f>
        <v>0.5</v>
      </c>
      <c r="M141" s="0" t="n">
        <f aca="false">H141</f>
        <v>-0.75</v>
      </c>
      <c r="N141" s="0" t="n">
        <f aca="false">E141*F141</f>
        <v>0.75</v>
      </c>
      <c r="O141" s="0" t="n">
        <f aca="false">E141*G141</f>
        <v>-0.5</v>
      </c>
      <c r="P141" s="0" t="n">
        <f aca="false">E141*H141</f>
        <v>0.75</v>
      </c>
      <c r="Q141" s="0" t="n">
        <f aca="false">F141*G141</f>
        <v>-0.375</v>
      </c>
      <c r="R141" s="0" t="n">
        <f aca="false">F141*H141</f>
        <v>0.5625</v>
      </c>
      <c r="S141" s="0" t="n">
        <f aca="false">G141*H141</f>
        <v>-0.375</v>
      </c>
      <c r="T141" s="0" t="n">
        <f aca="false">E141*E141</f>
        <v>1</v>
      </c>
      <c r="U141" s="0" t="n">
        <f aca="false">F141*F141</f>
        <v>0.5625</v>
      </c>
      <c r="V141" s="0" t="n">
        <f aca="false">G141*G141</f>
        <v>0.25</v>
      </c>
      <c r="W141" s="0" t="n">
        <f aca="false">H141*H141</f>
        <v>0.5625</v>
      </c>
      <c r="X141" s="0" t="n">
        <f aca="false">SUMPRODUCT(I141:W141,_XtX!$B$96:$P$96)</f>
        <v>41.0161412646199</v>
      </c>
      <c r="Y141" s="0" t="n">
        <f aca="false">SUMPRODUCT(MMULT(I141:W141,_XtX!$B$78:$P$92),I141:W141)</f>
        <v>0.431153771472953</v>
      </c>
      <c r="Z141" s="0" t="n">
        <f aca="false">04_回帰ANOVA!$K$19*04_回帰ANOVA!$K$14*SQRT(1+Y141)</f>
        <v>1.55934259562563</v>
      </c>
      <c r="AA141" s="0" t="n">
        <f aca="false">X141-Z141</f>
        <v>39.4567986689943</v>
      </c>
      <c r="AB141" s="0" t="n">
        <f aca="false">X141+Z141</f>
        <v>42.5754838602456</v>
      </c>
      <c r="AC141" s="54" t="b">
        <f aca="false">AND(E141&gt;=01_因子設定!$L$5-0.000000001,E141&lt;=01_因子設定!$M$5+0.000000001,F141&gt;=01_因子設定!$L$6-0.000000001,F141&lt;=01_因子設定!$M$6+0.000000001,G141&gt;=01_因子設定!$L$7-0.000000001,G141&lt;=01_因子設定!$M$7+0.000000001,H141&gt;=01_因子設定!$L$8-0.000000001,H141&lt;=01_因子設定!$M$8+0.000000001,IF(01_因子設定!$B$20="Box-Behnken",E141^2+F141^2+G141^2+H141^2&lt;=2+0.000000001,TRUE()))</f>
        <v>1</v>
      </c>
      <c r="AD141" s="55" t="n">
        <f aca="false">IF(AC141,IF(01_因子設定!$B$13="最大化",AA141-01_因子設定!$B$14,IF(01_因子設定!$B$13="最小化",01_因子設定!$B$15-AB141,MIN(AA141-01_因子設定!$B$14,01_因子設定!$B$15-AB141))),-1E+030)</f>
        <v>-7.0432013310057</v>
      </c>
      <c r="AE141" s="55" t="n">
        <f aca="false">IF(AC141,IF(01_因子設定!$B$13="最大化",X141,IF(01_因子設定!$B$13="最小化",-X141,-ABS(X141-01_因子設定!$B$16))),-1E+030)</f>
        <v>41.0161412646199</v>
      </c>
      <c r="AF141" s="55" t="n">
        <f aca="false">AD141+ROW()*0.000000001</f>
        <v>-7.0432011900057</v>
      </c>
      <c r="AG141" s="55" t="n">
        <f aca="false">AE141+ROW()*0.000000001</f>
        <v>41.0161414056199</v>
      </c>
    </row>
    <row r="142" customFormat="false" ht="15" hidden="false" customHeight="false" outlineLevel="0" collapsed="false">
      <c r="A142" s="0" t="n">
        <v>0</v>
      </c>
      <c r="B142" s="0" t="n">
        <v>1</v>
      </c>
      <c r="C142" s="0" t="n">
        <v>6</v>
      </c>
      <c r="D142" s="0" t="n">
        <v>2</v>
      </c>
      <c r="E142" s="0" t="n">
        <f aca="false">-1+A142*0.25</f>
        <v>-1</v>
      </c>
      <c r="F142" s="0" t="n">
        <f aca="false">-1+B142*0.25</f>
        <v>-0.75</v>
      </c>
      <c r="G142" s="0" t="n">
        <f aca="false">-1+C142*0.25</f>
        <v>0.5</v>
      </c>
      <c r="H142" s="0" t="n">
        <f aca="false">-1+D142*0.25</f>
        <v>-0.5</v>
      </c>
      <c r="I142" s="0" t="n">
        <f aca="false">1</f>
        <v>1</v>
      </c>
      <c r="J142" s="0" t="n">
        <f aca="false">E142</f>
        <v>-1</v>
      </c>
      <c r="K142" s="0" t="n">
        <f aca="false">F142</f>
        <v>-0.75</v>
      </c>
      <c r="L142" s="0" t="n">
        <f aca="false">G142</f>
        <v>0.5</v>
      </c>
      <c r="M142" s="0" t="n">
        <f aca="false">H142</f>
        <v>-0.5</v>
      </c>
      <c r="N142" s="0" t="n">
        <f aca="false">E142*F142</f>
        <v>0.75</v>
      </c>
      <c r="O142" s="0" t="n">
        <f aca="false">E142*G142</f>
        <v>-0.5</v>
      </c>
      <c r="P142" s="0" t="n">
        <f aca="false">E142*H142</f>
        <v>0.5</v>
      </c>
      <c r="Q142" s="0" t="n">
        <f aca="false">F142*G142</f>
        <v>-0.375</v>
      </c>
      <c r="R142" s="0" t="n">
        <f aca="false">F142*H142</f>
        <v>0.375</v>
      </c>
      <c r="S142" s="0" t="n">
        <f aca="false">G142*H142</f>
        <v>-0.25</v>
      </c>
      <c r="T142" s="0" t="n">
        <f aca="false">E142*E142</f>
        <v>1</v>
      </c>
      <c r="U142" s="0" t="n">
        <f aca="false">F142*F142</f>
        <v>0.5625</v>
      </c>
      <c r="V142" s="0" t="n">
        <f aca="false">G142*G142</f>
        <v>0.25</v>
      </c>
      <c r="W142" s="0" t="n">
        <f aca="false">H142*H142</f>
        <v>0.25</v>
      </c>
      <c r="X142" s="0" t="n">
        <f aca="false">SUMPRODUCT(I142:W142,_XtX!$B$96:$P$96)</f>
        <v>41.2815789473685</v>
      </c>
      <c r="Y142" s="0" t="n">
        <f aca="false">SUMPRODUCT(MMULT(I142:W142,_XtX!$B$78:$P$92),I142:W142)</f>
        <v>0.42602110745614</v>
      </c>
      <c r="Z142" s="0" t="n">
        <f aca="false">04_回帰ANOVA!$K$19*04_回帰ANOVA!$K$14*SQRT(1+Y142)</f>
        <v>1.55654388501114</v>
      </c>
      <c r="AA142" s="0" t="n">
        <f aca="false">X142-Z142</f>
        <v>39.7250350623573</v>
      </c>
      <c r="AB142" s="0" t="n">
        <f aca="false">X142+Z142</f>
        <v>42.8381228323796</v>
      </c>
      <c r="AC142" s="54" t="b">
        <f aca="false">AND(E142&gt;=01_因子設定!$L$5-0.000000001,E142&lt;=01_因子設定!$M$5+0.000000001,F142&gt;=01_因子設定!$L$6-0.000000001,F142&lt;=01_因子設定!$M$6+0.000000001,G142&gt;=01_因子設定!$L$7-0.000000001,G142&lt;=01_因子設定!$M$7+0.000000001,H142&gt;=01_因子設定!$L$8-0.000000001,H142&lt;=01_因子設定!$M$8+0.000000001,IF(01_因子設定!$B$20="Box-Behnken",E142^2+F142^2+G142^2+H142^2&lt;=2+0.000000001,TRUE()))</f>
        <v>1</v>
      </c>
      <c r="AD142" s="55" t="n">
        <f aca="false">IF(AC142,IF(01_因子設定!$B$13="最大化",AA142-01_因子設定!$B$14,IF(01_因子設定!$B$13="最小化",01_因子設定!$B$15-AB142,MIN(AA142-01_因子設定!$B$14,01_因子設定!$B$15-AB142))),-1E+030)</f>
        <v>-6.77496493764268</v>
      </c>
      <c r="AE142" s="55" t="n">
        <f aca="false">IF(AC142,IF(01_因子設定!$B$13="最大化",X142,IF(01_因子設定!$B$13="最小化",-X142,-ABS(X142-01_因子設定!$B$16))),-1E+030)</f>
        <v>41.2815789473685</v>
      </c>
      <c r="AF142" s="55" t="n">
        <f aca="false">AD142+ROW()*0.000000001</f>
        <v>-6.77496479564268</v>
      </c>
      <c r="AG142" s="55" t="n">
        <f aca="false">AE142+ROW()*0.000000001</f>
        <v>41.2815790893685</v>
      </c>
    </row>
    <row r="143" customFormat="false" ht="15" hidden="false" customHeight="false" outlineLevel="0" collapsed="false">
      <c r="A143" s="0" t="n">
        <v>0</v>
      </c>
      <c r="B143" s="0" t="n">
        <v>1</v>
      </c>
      <c r="C143" s="0" t="n">
        <v>6</v>
      </c>
      <c r="D143" s="0" t="n">
        <v>3</v>
      </c>
      <c r="E143" s="0" t="n">
        <f aca="false">-1+A143*0.25</f>
        <v>-1</v>
      </c>
      <c r="F143" s="0" t="n">
        <f aca="false">-1+B143*0.25</f>
        <v>-0.75</v>
      </c>
      <c r="G143" s="0" t="n">
        <f aca="false">-1+C143*0.25</f>
        <v>0.5</v>
      </c>
      <c r="H143" s="0" t="n">
        <f aca="false">-1+D143*0.25</f>
        <v>-0.25</v>
      </c>
      <c r="I143" s="0" t="n">
        <f aca="false">1</f>
        <v>1</v>
      </c>
      <c r="J143" s="0" t="n">
        <f aca="false">E143</f>
        <v>-1</v>
      </c>
      <c r="K143" s="0" t="n">
        <f aca="false">F143</f>
        <v>-0.75</v>
      </c>
      <c r="L143" s="0" t="n">
        <f aca="false">G143</f>
        <v>0.5</v>
      </c>
      <c r="M143" s="0" t="n">
        <f aca="false">H143</f>
        <v>-0.25</v>
      </c>
      <c r="N143" s="0" t="n">
        <f aca="false">E143*F143</f>
        <v>0.75</v>
      </c>
      <c r="O143" s="0" t="n">
        <f aca="false">E143*G143</f>
        <v>-0.5</v>
      </c>
      <c r="P143" s="0" t="n">
        <f aca="false">E143*H143</f>
        <v>0.25</v>
      </c>
      <c r="Q143" s="0" t="n">
        <f aca="false">F143*G143</f>
        <v>-0.375</v>
      </c>
      <c r="R143" s="0" t="n">
        <f aca="false">F143*H143</f>
        <v>0.1875</v>
      </c>
      <c r="S143" s="0" t="n">
        <f aca="false">G143*H143</f>
        <v>-0.125</v>
      </c>
      <c r="T143" s="0" t="n">
        <f aca="false">E143*E143</f>
        <v>1</v>
      </c>
      <c r="U143" s="0" t="n">
        <f aca="false">F143*F143</f>
        <v>0.5625</v>
      </c>
      <c r="V143" s="0" t="n">
        <f aca="false">G143*G143</f>
        <v>0.25</v>
      </c>
      <c r="W143" s="0" t="n">
        <f aca="false">H143*H143</f>
        <v>0.0625</v>
      </c>
      <c r="X143" s="0" t="n">
        <f aca="false">SUMPRODUCT(I143:W143,_XtX!$B$96:$P$96)</f>
        <v>41.4992096125731</v>
      </c>
      <c r="Y143" s="0" t="n">
        <f aca="false">SUMPRODUCT(MMULT(I143:W143,_XtX!$B$78:$P$92),I143:W143)</f>
        <v>0.459125719572369</v>
      </c>
      <c r="Z143" s="0" t="n">
        <f aca="false">04_回帰ANOVA!$K$19*04_回帰ANOVA!$K$14*SQRT(1+Y143)</f>
        <v>1.57450755575573</v>
      </c>
      <c r="AA143" s="0" t="n">
        <f aca="false">X143-Z143</f>
        <v>39.9247020568174</v>
      </c>
      <c r="AB143" s="0" t="n">
        <f aca="false">X143+Z143</f>
        <v>43.0737171683289</v>
      </c>
      <c r="AC143" s="54" t="b">
        <f aca="false">AND(E143&gt;=01_因子設定!$L$5-0.000000001,E143&lt;=01_因子設定!$M$5+0.000000001,F143&gt;=01_因子設定!$L$6-0.000000001,F143&lt;=01_因子設定!$M$6+0.000000001,G143&gt;=01_因子設定!$L$7-0.000000001,G143&lt;=01_因子設定!$M$7+0.000000001,H143&gt;=01_因子設定!$L$8-0.000000001,H143&lt;=01_因子設定!$M$8+0.000000001,IF(01_因子設定!$B$20="Box-Behnken",E143^2+F143^2+G143^2+H143^2&lt;=2+0.000000001,TRUE()))</f>
        <v>1</v>
      </c>
      <c r="AD143" s="55" t="n">
        <f aca="false">IF(AC143,IF(01_因子設定!$B$13="最大化",AA143-01_因子設定!$B$14,IF(01_因子設定!$B$13="最小化",01_因子設定!$B$15-AB143,MIN(AA143-01_因子設定!$B$14,01_因子設定!$B$15-AB143))),-1E+030)</f>
        <v>-6.57529794318261</v>
      </c>
      <c r="AE143" s="55" t="n">
        <f aca="false">IF(AC143,IF(01_因子設定!$B$13="最大化",X143,IF(01_因子設定!$B$13="最小化",-X143,-ABS(X143-01_因子設定!$B$16))),-1E+030)</f>
        <v>41.4992096125731</v>
      </c>
      <c r="AF143" s="55" t="n">
        <f aca="false">AD143+ROW()*0.000000001</f>
        <v>-6.57529780018261</v>
      </c>
      <c r="AG143" s="55" t="n">
        <f aca="false">AE143+ROW()*0.000000001</f>
        <v>41.4992097555731</v>
      </c>
    </row>
    <row r="144" customFormat="false" ht="15" hidden="false" customHeight="false" outlineLevel="0" collapsed="false">
      <c r="A144" s="0" t="n">
        <v>0</v>
      </c>
      <c r="B144" s="0" t="n">
        <v>1</v>
      </c>
      <c r="C144" s="0" t="n">
        <v>6</v>
      </c>
      <c r="D144" s="0" t="n">
        <v>4</v>
      </c>
      <c r="E144" s="0" t="n">
        <f aca="false">-1+A144*0.25</f>
        <v>-1</v>
      </c>
      <c r="F144" s="0" t="n">
        <f aca="false">-1+B144*0.25</f>
        <v>-0.75</v>
      </c>
      <c r="G144" s="0" t="n">
        <f aca="false">-1+C144*0.25</f>
        <v>0.5</v>
      </c>
      <c r="H144" s="0" t="n">
        <f aca="false">-1+D144*0.25</f>
        <v>0</v>
      </c>
      <c r="I144" s="0" t="n">
        <f aca="false">1</f>
        <v>1</v>
      </c>
      <c r="J144" s="0" t="n">
        <f aca="false">E144</f>
        <v>-1</v>
      </c>
      <c r="K144" s="0" t="n">
        <f aca="false">F144</f>
        <v>-0.75</v>
      </c>
      <c r="L144" s="0" t="n">
        <f aca="false">G144</f>
        <v>0.5</v>
      </c>
      <c r="M144" s="0" t="n">
        <f aca="false">H144</f>
        <v>0</v>
      </c>
      <c r="N144" s="0" t="n">
        <f aca="false">E144*F144</f>
        <v>0.75</v>
      </c>
      <c r="O144" s="0" t="n">
        <f aca="false">E144*G144</f>
        <v>-0.5</v>
      </c>
      <c r="P144" s="0" t="n">
        <f aca="false">E144*H144</f>
        <v>-0</v>
      </c>
      <c r="Q144" s="0" t="n">
        <f aca="false">F144*G144</f>
        <v>-0.375</v>
      </c>
      <c r="R144" s="0" t="n">
        <f aca="false">F144*H144</f>
        <v>-0</v>
      </c>
      <c r="S144" s="0" t="n">
        <f aca="false">G144*H144</f>
        <v>0</v>
      </c>
      <c r="T144" s="0" t="n">
        <f aca="false">E144*E144</f>
        <v>1</v>
      </c>
      <c r="U144" s="0" t="n">
        <f aca="false">F144*F144</f>
        <v>0.5625</v>
      </c>
      <c r="V144" s="0" t="n">
        <f aca="false">G144*G144</f>
        <v>0.25</v>
      </c>
      <c r="W144" s="0" t="n">
        <f aca="false">H144*H144</f>
        <v>0</v>
      </c>
      <c r="X144" s="0" t="n">
        <f aca="false">SUMPRODUCT(I144:W144,_XtX!$B$96:$P$96)</f>
        <v>41.6690332602339</v>
      </c>
      <c r="Y144" s="0" t="n">
        <f aca="false">SUMPRODUCT(MMULT(I144:W144,_XtX!$B$78:$P$92),I144:W144)</f>
        <v>0.476191292032164</v>
      </c>
      <c r="Z144" s="0" t="n">
        <f aca="false">04_回帰ANOVA!$K$19*04_回帰ANOVA!$K$14*SQRT(1+Y144)</f>
        <v>1.58368831471718</v>
      </c>
      <c r="AA144" s="0" t="n">
        <f aca="false">X144-Z144</f>
        <v>40.0853449455168</v>
      </c>
      <c r="AB144" s="0" t="n">
        <f aca="false">X144+Z144</f>
        <v>43.2527215749511</v>
      </c>
      <c r="AC144" s="54" t="b">
        <f aca="false">AND(E144&gt;=01_因子設定!$L$5-0.000000001,E144&lt;=01_因子設定!$M$5+0.000000001,F144&gt;=01_因子設定!$L$6-0.000000001,F144&lt;=01_因子設定!$M$6+0.000000001,G144&gt;=01_因子設定!$L$7-0.000000001,G144&lt;=01_因子設定!$M$7+0.000000001,H144&gt;=01_因子設定!$L$8-0.000000001,H144&lt;=01_因子設定!$M$8+0.000000001,IF(01_因子設定!$B$20="Box-Behnken",E144^2+F144^2+G144^2+H144^2&lt;=2+0.000000001,TRUE()))</f>
        <v>1</v>
      </c>
      <c r="AD144" s="55" t="n">
        <f aca="false">IF(AC144,IF(01_因子設定!$B$13="最大化",AA144-01_因子設定!$B$14,IF(01_因子設定!$B$13="最小化",01_因子設定!$B$15-AB144,MIN(AA144-01_因子設定!$B$14,01_因子設定!$B$15-AB144))),-1E+030)</f>
        <v>-6.41465505448323</v>
      </c>
      <c r="AE144" s="55" t="n">
        <f aca="false">IF(AC144,IF(01_因子設定!$B$13="最大化",X144,IF(01_因子設定!$B$13="最小化",-X144,-ABS(X144-01_因子設定!$B$16))),-1E+030)</f>
        <v>41.6690332602339</v>
      </c>
      <c r="AF144" s="55" t="n">
        <f aca="false">AD144+ROW()*0.000000001</f>
        <v>-6.41465491048323</v>
      </c>
      <c r="AG144" s="55" t="n">
        <f aca="false">AE144+ROW()*0.000000001</f>
        <v>41.6690334042339</v>
      </c>
    </row>
    <row r="145" customFormat="false" ht="15" hidden="false" customHeight="false" outlineLevel="0" collapsed="false">
      <c r="A145" s="0" t="n">
        <v>0</v>
      </c>
      <c r="B145" s="0" t="n">
        <v>1</v>
      </c>
      <c r="C145" s="0" t="n">
        <v>6</v>
      </c>
      <c r="D145" s="0" t="n">
        <v>5</v>
      </c>
      <c r="E145" s="0" t="n">
        <f aca="false">-1+A145*0.25</f>
        <v>-1</v>
      </c>
      <c r="F145" s="0" t="n">
        <f aca="false">-1+B145*0.25</f>
        <v>-0.75</v>
      </c>
      <c r="G145" s="0" t="n">
        <f aca="false">-1+C145*0.25</f>
        <v>0.5</v>
      </c>
      <c r="H145" s="0" t="n">
        <f aca="false">-1+D145*0.25</f>
        <v>0.25</v>
      </c>
      <c r="I145" s="0" t="n">
        <f aca="false">1</f>
        <v>1</v>
      </c>
      <c r="J145" s="0" t="n">
        <f aca="false">E145</f>
        <v>-1</v>
      </c>
      <c r="K145" s="0" t="n">
        <f aca="false">F145</f>
        <v>-0.75</v>
      </c>
      <c r="L145" s="0" t="n">
        <f aca="false">G145</f>
        <v>0.5</v>
      </c>
      <c r="M145" s="0" t="n">
        <f aca="false">H145</f>
        <v>0.25</v>
      </c>
      <c r="N145" s="0" t="n">
        <f aca="false">E145*F145</f>
        <v>0.75</v>
      </c>
      <c r="O145" s="0" t="n">
        <f aca="false">E145*G145</f>
        <v>-0.5</v>
      </c>
      <c r="P145" s="0" t="n">
        <f aca="false">E145*H145</f>
        <v>-0.25</v>
      </c>
      <c r="Q145" s="0" t="n">
        <f aca="false">F145*G145</f>
        <v>-0.375</v>
      </c>
      <c r="R145" s="0" t="n">
        <f aca="false">F145*H145</f>
        <v>-0.1875</v>
      </c>
      <c r="S145" s="0" t="n">
        <f aca="false">G145*H145</f>
        <v>0.125</v>
      </c>
      <c r="T145" s="0" t="n">
        <f aca="false">E145*E145</f>
        <v>1</v>
      </c>
      <c r="U145" s="0" t="n">
        <f aca="false">F145*F145</f>
        <v>0.5625</v>
      </c>
      <c r="V145" s="0" t="n">
        <f aca="false">G145*G145</f>
        <v>0.25</v>
      </c>
      <c r="W145" s="0" t="n">
        <f aca="false">H145*H145</f>
        <v>0.0625</v>
      </c>
      <c r="X145" s="0" t="n">
        <f aca="false">SUMPRODUCT(I145:W145,_XtX!$B$96:$P$96)</f>
        <v>41.7910498903509</v>
      </c>
      <c r="Y145" s="0" t="n">
        <f aca="false">SUMPRODUCT(MMULT(I145:W145,_XtX!$B$78:$P$92),I145:W145)</f>
        <v>0.459125719572369</v>
      </c>
      <c r="Z145" s="0" t="n">
        <f aca="false">04_回帰ANOVA!$K$19*04_回帰ANOVA!$K$14*SQRT(1+Y145)</f>
        <v>1.57450755575573</v>
      </c>
      <c r="AA145" s="0" t="n">
        <f aca="false">X145-Z145</f>
        <v>40.2165423345952</v>
      </c>
      <c r="AB145" s="0" t="n">
        <f aca="false">X145+Z145</f>
        <v>43.3655574461066</v>
      </c>
      <c r="AC145" s="54" t="b">
        <f aca="false">AND(E145&gt;=01_因子設定!$L$5-0.000000001,E145&lt;=01_因子設定!$M$5+0.000000001,F145&gt;=01_因子設定!$L$6-0.000000001,F145&lt;=01_因子設定!$M$6+0.000000001,G145&gt;=01_因子設定!$L$7-0.000000001,G145&lt;=01_因子設定!$M$7+0.000000001,H145&gt;=01_因子設定!$L$8-0.000000001,H145&lt;=01_因子設定!$M$8+0.000000001,IF(01_因子設定!$B$20="Box-Behnken",E145^2+F145^2+G145^2+H145^2&lt;=2+0.000000001,TRUE()))</f>
        <v>1</v>
      </c>
      <c r="AD145" s="55" t="n">
        <f aca="false">IF(AC145,IF(01_因子設定!$B$13="最大化",AA145-01_因子設定!$B$14,IF(01_因子設定!$B$13="最小化",01_因子設定!$B$15-AB145,MIN(AA145-01_因子設定!$B$14,01_因子設定!$B$15-AB145))),-1E+030)</f>
        <v>-6.28345766540483</v>
      </c>
      <c r="AE145" s="55" t="n">
        <f aca="false">IF(AC145,IF(01_因子設定!$B$13="最大化",X145,IF(01_因子設定!$B$13="最小化",-X145,-ABS(X145-01_因子設定!$B$16))),-1E+030)</f>
        <v>41.7910498903509</v>
      </c>
      <c r="AF145" s="55" t="n">
        <f aca="false">AD145+ROW()*0.000000001</f>
        <v>-6.28345752040483</v>
      </c>
      <c r="AG145" s="55" t="n">
        <f aca="false">AE145+ROW()*0.000000001</f>
        <v>41.7910500353509</v>
      </c>
    </row>
    <row r="146" customFormat="false" ht="15" hidden="false" customHeight="false" outlineLevel="0" collapsed="false">
      <c r="A146" s="0" t="n">
        <v>0</v>
      </c>
      <c r="B146" s="0" t="n">
        <v>1</v>
      </c>
      <c r="C146" s="0" t="n">
        <v>6</v>
      </c>
      <c r="D146" s="0" t="n">
        <v>6</v>
      </c>
      <c r="E146" s="0" t="n">
        <f aca="false">-1+A146*0.25</f>
        <v>-1</v>
      </c>
      <c r="F146" s="0" t="n">
        <f aca="false">-1+B146*0.25</f>
        <v>-0.75</v>
      </c>
      <c r="G146" s="0" t="n">
        <f aca="false">-1+C146*0.25</f>
        <v>0.5</v>
      </c>
      <c r="H146" s="0" t="n">
        <f aca="false">-1+D146*0.25</f>
        <v>0.5</v>
      </c>
      <c r="I146" s="0" t="n">
        <f aca="false">1</f>
        <v>1</v>
      </c>
      <c r="J146" s="0" t="n">
        <f aca="false">E146</f>
        <v>-1</v>
      </c>
      <c r="K146" s="0" t="n">
        <f aca="false">F146</f>
        <v>-0.75</v>
      </c>
      <c r="L146" s="0" t="n">
        <f aca="false">G146</f>
        <v>0.5</v>
      </c>
      <c r="M146" s="0" t="n">
        <f aca="false">H146</f>
        <v>0.5</v>
      </c>
      <c r="N146" s="0" t="n">
        <f aca="false">E146*F146</f>
        <v>0.75</v>
      </c>
      <c r="O146" s="0" t="n">
        <f aca="false">E146*G146</f>
        <v>-0.5</v>
      </c>
      <c r="P146" s="0" t="n">
        <f aca="false">E146*H146</f>
        <v>-0.5</v>
      </c>
      <c r="Q146" s="0" t="n">
        <f aca="false">F146*G146</f>
        <v>-0.375</v>
      </c>
      <c r="R146" s="0" t="n">
        <f aca="false">F146*H146</f>
        <v>-0.375</v>
      </c>
      <c r="S146" s="0" t="n">
        <f aca="false">G146*H146</f>
        <v>0.25</v>
      </c>
      <c r="T146" s="0" t="n">
        <f aca="false">E146*E146</f>
        <v>1</v>
      </c>
      <c r="U146" s="0" t="n">
        <f aca="false">F146*F146</f>
        <v>0.5625</v>
      </c>
      <c r="V146" s="0" t="n">
        <f aca="false">G146*G146</f>
        <v>0.25</v>
      </c>
      <c r="W146" s="0" t="n">
        <f aca="false">H146*H146</f>
        <v>0.25</v>
      </c>
      <c r="X146" s="0" t="n">
        <f aca="false">SUMPRODUCT(I146:W146,_XtX!$B$96:$P$96)</f>
        <v>41.865259502924</v>
      </c>
      <c r="Y146" s="0" t="n">
        <f aca="false">SUMPRODUCT(MMULT(I146:W146,_XtX!$B$78:$P$92),I146:W146)</f>
        <v>0.42602110745614</v>
      </c>
      <c r="Z146" s="0" t="n">
        <f aca="false">04_回帰ANOVA!$K$19*04_回帰ANOVA!$K$14*SQRT(1+Y146)</f>
        <v>1.55654388501114</v>
      </c>
      <c r="AA146" s="0" t="n">
        <f aca="false">X146-Z146</f>
        <v>40.3087156179129</v>
      </c>
      <c r="AB146" s="0" t="n">
        <f aca="false">X146+Z146</f>
        <v>43.4218033879352</v>
      </c>
      <c r="AC146" s="54" t="b">
        <f aca="false">AND(E146&gt;=01_因子設定!$L$5-0.000000001,E146&lt;=01_因子設定!$M$5+0.000000001,F146&gt;=01_因子設定!$L$6-0.000000001,F146&lt;=01_因子設定!$M$6+0.000000001,G146&gt;=01_因子設定!$L$7-0.000000001,G146&lt;=01_因子設定!$M$7+0.000000001,H146&gt;=01_因子設定!$L$8-0.000000001,H146&lt;=01_因子設定!$M$8+0.000000001,IF(01_因子設定!$B$20="Box-Behnken",E146^2+F146^2+G146^2+H146^2&lt;=2+0.000000001,TRUE()))</f>
        <v>1</v>
      </c>
      <c r="AD146" s="55" t="n">
        <f aca="false">IF(AC146,IF(01_因子設定!$B$13="最大化",AA146-01_因子設定!$B$14,IF(01_因子設定!$B$13="最小化",01_因子設定!$B$15-AB146,MIN(AA146-01_因子設定!$B$14,01_因子設定!$B$15-AB146))),-1E+030)</f>
        <v>-6.19128438208713</v>
      </c>
      <c r="AE146" s="55" t="n">
        <f aca="false">IF(AC146,IF(01_因子設定!$B$13="最大化",X146,IF(01_因子設定!$B$13="最小化",-X146,-ABS(X146-01_因子設定!$B$16))),-1E+030)</f>
        <v>41.865259502924</v>
      </c>
      <c r="AF146" s="55" t="n">
        <f aca="false">AD146+ROW()*0.000000001</f>
        <v>-6.19128423608713</v>
      </c>
      <c r="AG146" s="55" t="n">
        <f aca="false">AE146+ROW()*0.000000001</f>
        <v>41.865259648924</v>
      </c>
    </row>
    <row r="147" customFormat="false" ht="15" hidden="false" customHeight="false" outlineLevel="0" collapsed="false">
      <c r="A147" s="0" t="n">
        <v>0</v>
      </c>
      <c r="B147" s="0" t="n">
        <v>1</v>
      </c>
      <c r="C147" s="0" t="n">
        <v>6</v>
      </c>
      <c r="D147" s="0" t="n">
        <v>7</v>
      </c>
      <c r="E147" s="0" t="n">
        <f aca="false">-1+A147*0.25</f>
        <v>-1</v>
      </c>
      <c r="F147" s="0" t="n">
        <f aca="false">-1+B147*0.25</f>
        <v>-0.75</v>
      </c>
      <c r="G147" s="0" t="n">
        <f aca="false">-1+C147*0.25</f>
        <v>0.5</v>
      </c>
      <c r="H147" s="0" t="n">
        <f aca="false">-1+D147*0.25</f>
        <v>0.75</v>
      </c>
      <c r="I147" s="0" t="n">
        <f aca="false">1</f>
        <v>1</v>
      </c>
      <c r="J147" s="0" t="n">
        <f aca="false">E147</f>
        <v>-1</v>
      </c>
      <c r="K147" s="0" t="n">
        <f aca="false">F147</f>
        <v>-0.75</v>
      </c>
      <c r="L147" s="0" t="n">
        <f aca="false">G147</f>
        <v>0.5</v>
      </c>
      <c r="M147" s="0" t="n">
        <f aca="false">H147</f>
        <v>0.75</v>
      </c>
      <c r="N147" s="0" t="n">
        <f aca="false">E147*F147</f>
        <v>0.75</v>
      </c>
      <c r="O147" s="0" t="n">
        <f aca="false">E147*G147</f>
        <v>-0.5</v>
      </c>
      <c r="P147" s="0" t="n">
        <f aca="false">E147*H147</f>
        <v>-0.75</v>
      </c>
      <c r="Q147" s="0" t="n">
        <f aca="false">F147*G147</f>
        <v>-0.375</v>
      </c>
      <c r="R147" s="0" t="n">
        <f aca="false">F147*H147</f>
        <v>-0.5625</v>
      </c>
      <c r="S147" s="0" t="n">
        <f aca="false">G147*H147</f>
        <v>0.375</v>
      </c>
      <c r="T147" s="0" t="n">
        <f aca="false">E147*E147</f>
        <v>1</v>
      </c>
      <c r="U147" s="0" t="n">
        <f aca="false">F147*F147</f>
        <v>0.5625</v>
      </c>
      <c r="V147" s="0" t="n">
        <f aca="false">G147*G147</f>
        <v>0.25</v>
      </c>
      <c r="W147" s="0" t="n">
        <f aca="false">H147*H147</f>
        <v>0.5625</v>
      </c>
      <c r="X147" s="0" t="n">
        <f aca="false">SUMPRODUCT(I147:W147,_XtX!$B$96:$P$96)</f>
        <v>41.8916620979533</v>
      </c>
      <c r="Y147" s="0" t="n">
        <f aca="false">SUMPRODUCT(MMULT(I147:W147,_XtX!$B$78:$P$92),I147:W147)</f>
        <v>0.431153771472953</v>
      </c>
      <c r="Z147" s="0" t="n">
        <f aca="false">04_回帰ANOVA!$K$19*04_回帰ANOVA!$K$14*SQRT(1+Y147)</f>
        <v>1.55934259562563</v>
      </c>
      <c r="AA147" s="0" t="n">
        <f aca="false">X147-Z147</f>
        <v>40.3323195023276</v>
      </c>
      <c r="AB147" s="0" t="n">
        <f aca="false">X147+Z147</f>
        <v>43.4510046935789</v>
      </c>
      <c r="AC147" s="54" t="b">
        <f aca="false">AND(E147&gt;=01_因子設定!$L$5-0.000000001,E147&lt;=01_因子設定!$M$5+0.000000001,F147&gt;=01_因子設定!$L$6-0.000000001,F147&lt;=01_因子設定!$M$6+0.000000001,G147&gt;=01_因子設定!$L$7-0.000000001,G147&lt;=01_因子設定!$M$7+0.000000001,H147&gt;=01_因子設定!$L$8-0.000000001,H147&lt;=01_因子設定!$M$8+0.000000001,IF(01_因子設定!$B$20="Box-Behnken",E147^2+F147^2+G147^2+H147^2&lt;=2+0.000000001,TRUE()))</f>
        <v>1</v>
      </c>
      <c r="AD147" s="55" t="n">
        <f aca="false">IF(AC147,IF(01_因子設定!$B$13="最大化",AA147-01_因子設定!$B$14,IF(01_因子設定!$B$13="最小化",01_因子設定!$B$15-AB147,MIN(AA147-01_因子設定!$B$14,01_因子設定!$B$15-AB147))),-1E+030)</f>
        <v>-6.16768049767236</v>
      </c>
      <c r="AE147" s="55" t="n">
        <f aca="false">IF(AC147,IF(01_因子設定!$B$13="最大化",X147,IF(01_因子設定!$B$13="最小化",-X147,-ABS(X147-01_因子設定!$B$16))),-1E+030)</f>
        <v>41.8916620979533</v>
      </c>
      <c r="AF147" s="55" t="n">
        <f aca="false">AD147+ROW()*0.000000001</f>
        <v>-6.16768035067237</v>
      </c>
      <c r="AG147" s="55" t="n">
        <f aca="false">AE147+ROW()*0.000000001</f>
        <v>41.8916622449533</v>
      </c>
    </row>
    <row r="148" customFormat="false" ht="15" hidden="false" customHeight="false" outlineLevel="0" collapsed="false">
      <c r="A148" s="0" t="n">
        <v>0</v>
      </c>
      <c r="B148" s="0" t="n">
        <v>1</v>
      </c>
      <c r="C148" s="0" t="n">
        <v>6</v>
      </c>
      <c r="D148" s="0" t="n">
        <v>8</v>
      </c>
      <c r="E148" s="0" t="n">
        <f aca="false">-1+A148*0.25</f>
        <v>-1</v>
      </c>
      <c r="F148" s="0" t="n">
        <f aca="false">-1+B148*0.25</f>
        <v>-0.75</v>
      </c>
      <c r="G148" s="0" t="n">
        <f aca="false">-1+C148*0.25</f>
        <v>0.5</v>
      </c>
      <c r="H148" s="0" t="n">
        <f aca="false">-1+D148*0.25</f>
        <v>1</v>
      </c>
      <c r="I148" s="0" t="n">
        <f aca="false">1</f>
        <v>1</v>
      </c>
      <c r="J148" s="0" t="n">
        <f aca="false">E148</f>
        <v>-1</v>
      </c>
      <c r="K148" s="0" t="n">
        <f aca="false">F148</f>
        <v>-0.75</v>
      </c>
      <c r="L148" s="0" t="n">
        <f aca="false">G148</f>
        <v>0.5</v>
      </c>
      <c r="M148" s="0" t="n">
        <f aca="false">H148</f>
        <v>1</v>
      </c>
      <c r="N148" s="0" t="n">
        <f aca="false">E148*F148</f>
        <v>0.75</v>
      </c>
      <c r="O148" s="0" t="n">
        <f aca="false">E148*G148</f>
        <v>-0.5</v>
      </c>
      <c r="P148" s="0" t="n">
        <f aca="false">E148*H148</f>
        <v>-1</v>
      </c>
      <c r="Q148" s="0" t="n">
        <f aca="false">F148*G148</f>
        <v>-0.375</v>
      </c>
      <c r="R148" s="0" t="n">
        <f aca="false">F148*H148</f>
        <v>-0.75</v>
      </c>
      <c r="S148" s="0" t="n">
        <f aca="false">G148*H148</f>
        <v>0.5</v>
      </c>
      <c r="T148" s="0" t="n">
        <f aca="false">E148*E148</f>
        <v>1</v>
      </c>
      <c r="U148" s="0" t="n">
        <f aca="false">F148*F148</f>
        <v>0.5625</v>
      </c>
      <c r="V148" s="0" t="n">
        <f aca="false">G148*G148</f>
        <v>0.25</v>
      </c>
      <c r="W148" s="0" t="n">
        <f aca="false">H148*H148</f>
        <v>1</v>
      </c>
      <c r="X148" s="0" t="n">
        <f aca="false">SUMPRODUCT(I148:W148,_XtX!$B$96:$P$96)</f>
        <v>41.8702576754387</v>
      </c>
      <c r="Y148" s="0" t="n">
        <f aca="false">SUMPRODUCT(MMULT(I148:W148,_XtX!$B$78:$P$92),I148:W148)</f>
        <v>0.564984237938597</v>
      </c>
      <c r="Z148" s="0" t="n">
        <f aca="false">04_回帰ANOVA!$K$19*04_回帰ANOVA!$K$14*SQRT(1+Y148)</f>
        <v>1.63062229734503</v>
      </c>
      <c r="AA148" s="0" t="n">
        <f aca="false">X148-Z148</f>
        <v>40.2396353780936</v>
      </c>
      <c r="AB148" s="0" t="n">
        <f aca="false">X148+Z148</f>
        <v>43.5008799727837</v>
      </c>
      <c r="AC148" s="54" t="b">
        <f aca="false">AND(E148&gt;=01_因子設定!$L$5-0.000000001,E148&lt;=01_因子設定!$M$5+0.000000001,F148&gt;=01_因子設定!$L$6-0.000000001,F148&lt;=01_因子設定!$M$6+0.000000001,G148&gt;=01_因子設定!$L$7-0.000000001,G148&lt;=01_因子設定!$M$7+0.000000001,H148&gt;=01_因子設定!$L$8-0.000000001,H148&lt;=01_因子設定!$M$8+0.000000001,IF(01_因子設定!$B$20="Box-Behnken",E148^2+F148^2+G148^2+H148^2&lt;=2+0.000000001,TRUE()))</f>
        <v>1</v>
      </c>
      <c r="AD148" s="55" t="n">
        <f aca="false">IF(AC148,IF(01_因子設定!$B$13="最大化",AA148-01_因子設定!$B$14,IF(01_因子設定!$B$13="最小化",01_因子設定!$B$15-AB148,MIN(AA148-01_因子設定!$B$14,01_因子設定!$B$15-AB148))),-1E+030)</f>
        <v>-6.26036462190638</v>
      </c>
      <c r="AE148" s="55" t="n">
        <f aca="false">IF(AC148,IF(01_因子設定!$B$13="最大化",X148,IF(01_因子設定!$B$13="最小化",-X148,-ABS(X148-01_因子設定!$B$16))),-1E+030)</f>
        <v>41.8702576754387</v>
      </c>
      <c r="AF148" s="55" t="n">
        <f aca="false">AD148+ROW()*0.000000001</f>
        <v>-6.26036447390638</v>
      </c>
      <c r="AG148" s="55" t="n">
        <f aca="false">AE148+ROW()*0.000000001</f>
        <v>41.8702578234387</v>
      </c>
    </row>
    <row r="149" customFormat="false" ht="15" hidden="false" customHeight="false" outlineLevel="0" collapsed="false">
      <c r="A149" s="0" t="n">
        <v>0</v>
      </c>
      <c r="B149" s="0" t="n">
        <v>1</v>
      </c>
      <c r="C149" s="0" t="n">
        <v>7</v>
      </c>
      <c r="D149" s="0" t="n">
        <v>0</v>
      </c>
      <c r="E149" s="0" t="n">
        <f aca="false">-1+A149*0.25</f>
        <v>-1</v>
      </c>
      <c r="F149" s="0" t="n">
        <f aca="false">-1+B149*0.25</f>
        <v>-0.75</v>
      </c>
      <c r="G149" s="0" t="n">
        <f aca="false">-1+C149*0.25</f>
        <v>0.75</v>
      </c>
      <c r="H149" s="0" t="n">
        <f aca="false">-1+D149*0.25</f>
        <v>-1</v>
      </c>
      <c r="I149" s="0" t="n">
        <f aca="false">1</f>
        <v>1</v>
      </c>
      <c r="J149" s="0" t="n">
        <f aca="false">E149</f>
        <v>-1</v>
      </c>
      <c r="K149" s="0" t="n">
        <f aca="false">F149</f>
        <v>-0.75</v>
      </c>
      <c r="L149" s="0" t="n">
        <f aca="false">G149</f>
        <v>0.75</v>
      </c>
      <c r="M149" s="0" t="n">
        <f aca="false">H149</f>
        <v>-1</v>
      </c>
      <c r="N149" s="0" t="n">
        <f aca="false">E149*F149</f>
        <v>0.75</v>
      </c>
      <c r="O149" s="0" t="n">
        <f aca="false">E149*G149</f>
        <v>-0.75</v>
      </c>
      <c r="P149" s="0" t="n">
        <f aca="false">E149*H149</f>
        <v>1</v>
      </c>
      <c r="Q149" s="0" t="n">
        <f aca="false">F149*G149</f>
        <v>-0.5625</v>
      </c>
      <c r="R149" s="0" t="n">
        <f aca="false">F149*H149</f>
        <v>0.75</v>
      </c>
      <c r="S149" s="0" t="n">
        <f aca="false">G149*H149</f>
        <v>-0.75</v>
      </c>
      <c r="T149" s="0" t="n">
        <f aca="false">E149*E149</f>
        <v>1</v>
      </c>
      <c r="U149" s="0" t="n">
        <f aca="false">F149*F149</f>
        <v>0.5625</v>
      </c>
      <c r="V149" s="0" t="n">
        <f aca="false">G149*G149</f>
        <v>0.5625</v>
      </c>
      <c r="W149" s="0" t="n">
        <f aca="false">H149*H149</f>
        <v>1</v>
      </c>
      <c r="X149" s="0" t="n">
        <f aca="false">SUMPRODUCT(I149:W149,_XtX!$B$96:$P$96)</f>
        <v>40.7674936038012</v>
      </c>
      <c r="Y149" s="0" t="n">
        <f aca="false">SUMPRODUCT(MMULT(I149:W149,_XtX!$B$78:$P$92),I149:W149)</f>
        <v>0.531311392086988</v>
      </c>
      <c r="Z149" s="0" t="n">
        <f aca="false">04_回帰ANOVA!$K$19*04_回帰ANOVA!$K$14*SQRT(1+Y149)</f>
        <v>1.61298433431428</v>
      </c>
      <c r="AA149" s="0" t="n">
        <f aca="false">X149-Z149</f>
        <v>39.154509269487</v>
      </c>
      <c r="AB149" s="0" t="n">
        <f aca="false">X149+Z149</f>
        <v>42.3804779381155</v>
      </c>
      <c r="AC149" s="54" t="b">
        <f aca="false">AND(E149&gt;=01_因子設定!$L$5-0.000000001,E149&lt;=01_因子設定!$M$5+0.000000001,F149&gt;=01_因子設定!$L$6-0.000000001,F149&lt;=01_因子設定!$M$6+0.000000001,G149&gt;=01_因子設定!$L$7-0.000000001,G149&lt;=01_因子設定!$M$7+0.000000001,H149&gt;=01_因子設定!$L$8-0.000000001,H149&lt;=01_因子設定!$M$8+0.000000001,IF(01_因子設定!$B$20="Box-Behnken",E149^2+F149^2+G149^2+H149^2&lt;=2+0.000000001,TRUE()))</f>
        <v>1</v>
      </c>
      <c r="AD149" s="55" t="n">
        <f aca="false">IF(AC149,IF(01_因子設定!$B$13="最大化",AA149-01_因子設定!$B$14,IF(01_因子設定!$B$13="最小化",01_因子設定!$B$15-AB149,MIN(AA149-01_因子設定!$B$14,01_因子設定!$B$15-AB149))),-1E+030)</f>
        <v>-7.34549073051305</v>
      </c>
      <c r="AE149" s="55" t="n">
        <f aca="false">IF(AC149,IF(01_因子設定!$B$13="最大化",X149,IF(01_因子設定!$B$13="最小化",-X149,-ABS(X149-01_因子設定!$B$16))),-1E+030)</f>
        <v>40.7674936038012</v>
      </c>
      <c r="AF149" s="55" t="n">
        <f aca="false">AD149+ROW()*0.000000001</f>
        <v>-7.34549058151305</v>
      </c>
      <c r="AG149" s="55" t="n">
        <f aca="false">AE149+ROW()*0.000000001</f>
        <v>40.7674937528012</v>
      </c>
    </row>
    <row r="150" customFormat="false" ht="15" hidden="false" customHeight="false" outlineLevel="0" collapsed="false">
      <c r="A150" s="0" t="n">
        <v>0</v>
      </c>
      <c r="B150" s="0" t="n">
        <v>1</v>
      </c>
      <c r="C150" s="0" t="n">
        <v>7</v>
      </c>
      <c r="D150" s="0" t="n">
        <v>1</v>
      </c>
      <c r="E150" s="0" t="n">
        <f aca="false">-1+A150*0.25</f>
        <v>-1</v>
      </c>
      <c r="F150" s="0" t="n">
        <f aca="false">-1+B150*0.25</f>
        <v>-0.75</v>
      </c>
      <c r="G150" s="0" t="n">
        <f aca="false">-1+C150*0.25</f>
        <v>0.75</v>
      </c>
      <c r="H150" s="0" t="n">
        <f aca="false">-1+D150*0.25</f>
        <v>-0.75</v>
      </c>
      <c r="I150" s="0" t="n">
        <f aca="false">1</f>
        <v>1</v>
      </c>
      <c r="J150" s="0" t="n">
        <f aca="false">E150</f>
        <v>-1</v>
      </c>
      <c r="K150" s="0" t="n">
        <f aca="false">F150</f>
        <v>-0.75</v>
      </c>
      <c r="L150" s="0" t="n">
        <f aca="false">G150</f>
        <v>0.75</v>
      </c>
      <c r="M150" s="0" t="n">
        <f aca="false">H150</f>
        <v>-0.75</v>
      </c>
      <c r="N150" s="0" t="n">
        <f aca="false">E150*F150</f>
        <v>0.75</v>
      </c>
      <c r="O150" s="0" t="n">
        <f aca="false">E150*G150</f>
        <v>-0.75</v>
      </c>
      <c r="P150" s="0" t="n">
        <f aca="false">E150*H150</f>
        <v>0.75</v>
      </c>
      <c r="Q150" s="0" t="n">
        <f aca="false">F150*G150</f>
        <v>-0.5625</v>
      </c>
      <c r="R150" s="0" t="n">
        <f aca="false">F150*H150</f>
        <v>0.5625</v>
      </c>
      <c r="S150" s="0" t="n">
        <f aca="false">G150*H150</f>
        <v>-0.5625</v>
      </c>
      <c r="T150" s="0" t="n">
        <f aca="false">E150*E150</f>
        <v>1</v>
      </c>
      <c r="U150" s="0" t="n">
        <f aca="false">F150*F150</f>
        <v>0.5625</v>
      </c>
      <c r="V150" s="0" t="n">
        <f aca="false">G150*G150</f>
        <v>0.5625</v>
      </c>
      <c r="W150" s="0" t="n">
        <f aca="false">H150*H150</f>
        <v>0.5625</v>
      </c>
      <c r="X150" s="0" t="n">
        <f aca="false">SUMPRODUCT(I150:W150,_XtX!$B$96:$P$96)</f>
        <v>41.0987070540936</v>
      </c>
      <c r="Y150" s="0" t="n">
        <f aca="false">SUMPRODUCT(MMULT(I150:W150,_XtX!$B$78:$P$92),I150:W150)</f>
        <v>0.420117473044591</v>
      </c>
      <c r="Z150" s="0" t="n">
        <f aca="false">04_回帰ANOVA!$K$19*04_回帰ANOVA!$K$14*SQRT(1+Y150)</f>
        <v>1.55331854827765</v>
      </c>
      <c r="AA150" s="0" t="n">
        <f aca="false">X150-Z150</f>
        <v>39.545388505816</v>
      </c>
      <c r="AB150" s="0" t="n">
        <f aca="false">X150+Z150</f>
        <v>42.6520256023713</v>
      </c>
      <c r="AC150" s="54" t="b">
        <f aca="false">AND(E150&gt;=01_因子設定!$L$5-0.000000001,E150&lt;=01_因子設定!$M$5+0.000000001,F150&gt;=01_因子設定!$L$6-0.000000001,F150&lt;=01_因子設定!$M$6+0.000000001,G150&gt;=01_因子設定!$L$7-0.000000001,G150&lt;=01_因子設定!$M$7+0.000000001,H150&gt;=01_因子設定!$L$8-0.000000001,H150&lt;=01_因子設定!$M$8+0.000000001,IF(01_因子設定!$B$20="Box-Behnken",E150^2+F150^2+G150^2+H150^2&lt;=2+0.000000001,TRUE()))</f>
        <v>1</v>
      </c>
      <c r="AD150" s="55" t="n">
        <f aca="false">IF(AC150,IF(01_因子設定!$B$13="最大化",AA150-01_因子設定!$B$14,IF(01_因子設定!$B$13="最小化",01_因子設定!$B$15-AB150,MIN(AA150-01_因子設定!$B$14,01_因子設定!$B$15-AB150))),-1E+030)</f>
        <v>-6.95461149418403</v>
      </c>
      <c r="AE150" s="55" t="n">
        <f aca="false">IF(AC150,IF(01_因子設定!$B$13="最大化",X150,IF(01_因子設定!$B$13="最小化",-X150,-ABS(X150-01_因子設定!$B$16))),-1E+030)</f>
        <v>41.0987070540936</v>
      </c>
      <c r="AF150" s="55" t="n">
        <f aca="false">AD150+ROW()*0.000000001</f>
        <v>-6.95461134418403</v>
      </c>
      <c r="AG150" s="55" t="n">
        <f aca="false">AE150+ROW()*0.000000001</f>
        <v>41.0987072040936</v>
      </c>
    </row>
    <row r="151" customFormat="false" ht="15" hidden="false" customHeight="false" outlineLevel="0" collapsed="false">
      <c r="A151" s="0" t="n">
        <v>0</v>
      </c>
      <c r="B151" s="0" t="n">
        <v>1</v>
      </c>
      <c r="C151" s="0" t="n">
        <v>7</v>
      </c>
      <c r="D151" s="0" t="n">
        <v>2</v>
      </c>
      <c r="E151" s="0" t="n">
        <f aca="false">-1+A151*0.25</f>
        <v>-1</v>
      </c>
      <c r="F151" s="0" t="n">
        <f aca="false">-1+B151*0.25</f>
        <v>-0.75</v>
      </c>
      <c r="G151" s="0" t="n">
        <f aca="false">-1+C151*0.25</f>
        <v>0.75</v>
      </c>
      <c r="H151" s="0" t="n">
        <f aca="false">-1+D151*0.25</f>
        <v>-0.5</v>
      </c>
      <c r="I151" s="0" t="n">
        <f aca="false">1</f>
        <v>1</v>
      </c>
      <c r="J151" s="0" t="n">
        <f aca="false">E151</f>
        <v>-1</v>
      </c>
      <c r="K151" s="0" t="n">
        <f aca="false">F151</f>
        <v>-0.75</v>
      </c>
      <c r="L151" s="0" t="n">
        <f aca="false">G151</f>
        <v>0.75</v>
      </c>
      <c r="M151" s="0" t="n">
        <f aca="false">H151</f>
        <v>-0.5</v>
      </c>
      <c r="N151" s="0" t="n">
        <f aca="false">E151*F151</f>
        <v>0.75</v>
      </c>
      <c r="O151" s="0" t="n">
        <f aca="false">E151*G151</f>
        <v>-0.75</v>
      </c>
      <c r="P151" s="0" t="n">
        <f aca="false">E151*H151</f>
        <v>0.5</v>
      </c>
      <c r="Q151" s="0" t="n">
        <f aca="false">F151*G151</f>
        <v>-0.5625</v>
      </c>
      <c r="R151" s="0" t="n">
        <f aca="false">F151*H151</f>
        <v>0.375</v>
      </c>
      <c r="S151" s="0" t="n">
        <f aca="false">G151*H151</f>
        <v>-0.375</v>
      </c>
      <c r="T151" s="0" t="n">
        <f aca="false">E151*E151</f>
        <v>1</v>
      </c>
      <c r="U151" s="0" t="n">
        <f aca="false">F151*F151</f>
        <v>0.5625</v>
      </c>
      <c r="V151" s="0" t="n">
        <f aca="false">G151*G151</f>
        <v>0.5625</v>
      </c>
      <c r="W151" s="0" t="n">
        <f aca="false">H151*H151</f>
        <v>0.25</v>
      </c>
      <c r="X151" s="0" t="n">
        <f aca="false">SUMPRODUCT(I151:W151,_XtX!$B$96:$P$96)</f>
        <v>41.3821134868421</v>
      </c>
      <c r="Y151" s="0" t="n">
        <f aca="false">SUMPRODUCT(MMULT(I151:W151,_XtX!$B$78:$P$92),I151:W151)</f>
        <v>0.431153771472953</v>
      </c>
      <c r="Z151" s="0" t="n">
        <f aca="false">04_回帰ANOVA!$K$19*04_回帰ANOVA!$K$14*SQRT(1+Y151)</f>
        <v>1.55934259562563</v>
      </c>
      <c r="AA151" s="0" t="n">
        <f aca="false">X151-Z151</f>
        <v>39.8227708912165</v>
      </c>
      <c r="AB151" s="0" t="n">
        <f aca="false">X151+Z151</f>
        <v>42.9414560824678</v>
      </c>
      <c r="AC151" s="54" t="b">
        <f aca="false">AND(E151&gt;=01_因子設定!$L$5-0.000000001,E151&lt;=01_因子設定!$M$5+0.000000001,F151&gt;=01_因子設定!$L$6-0.000000001,F151&lt;=01_因子設定!$M$6+0.000000001,G151&gt;=01_因子設定!$L$7-0.000000001,G151&lt;=01_因子設定!$M$7+0.000000001,H151&gt;=01_因子設定!$L$8-0.000000001,H151&lt;=01_因子設定!$M$8+0.000000001,IF(01_因子設定!$B$20="Box-Behnken",E151^2+F151^2+G151^2+H151^2&lt;=2+0.000000001,TRUE()))</f>
        <v>1</v>
      </c>
      <c r="AD151" s="55" t="n">
        <f aca="false">IF(AC151,IF(01_因子設定!$B$13="最大化",AA151-01_因子設定!$B$14,IF(01_因子設定!$B$13="最小化",01_因子設定!$B$15-AB151,MIN(AA151-01_因子設定!$B$14,01_因子設定!$B$15-AB151))),-1E+030)</f>
        <v>-6.67722910878349</v>
      </c>
      <c r="AE151" s="55" t="n">
        <f aca="false">IF(AC151,IF(01_因子設定!$B$13="最大化",X151,IF(01_因子設定!$B$13="最小化",-X151,-ABS(X151-01_因子設定!$B$16))),-1E+030)</f>
        <v>41.3821134868421</v>
      </c>
      <c r="AF151" s="55" t="n">
        <f aca="false">AD151+ROW()*0.000000001</f>
        <v>-6.67722895778349</v>
      </c>
      <c r="AG151" s="55" t="n">
        <f aca="false">AE151+ROW()*0.000000001</f>
        <v>41.3821136378421</v>
      </c>
    </row>
    <row r="152" customFormat="false" ht="15" hidden="false" customHeight="false" outlineLevel="0" collapsed="false">
      <c r="A152" s="0" t="n">
        <v>0</v>
      </c>
      <c r="B152" s="0" t="n">
        <v>1</v>
      </c>
      <c r="C152" s="0" t="n">
        <v>7</v>
      </c>
      <c r="D152" s="0" t="n">
        <v>3</v>
      </c>
      <c r="E152" s="0" t="n">
        <f aca="false">-1+A152*0.25</f>
        <v>-1</v>
      </c>
      <c r="F152" s="0" t="n">
        <f aca="false">-1+B152*0.25</f>
        <v>-0.75</v>
      </c>
      <c r="G152" s="0" t="n">
        <f aca="false">-1+C152*0.25</f>
        <v>0.75</v>
      </c>
      <c r="H152" s="0" t="n">
        <f aca="false">-1+D152*0.25</f>
        <v>-0.25</v>
      </c>
      <c r="I152" s="0" t="n">
        <f aca="false">1</f>
        <v>1</v>
      </c>
      <c r="J152" s="0" t="n">
        <f aca="false">E152</f>
        <v>-1</v>
      </c>
      <c r="K152" s="0" t="n">
        <f aca="false">F152</f>
        <v>-0.75</v>
      </c>
      <c r="L152" s="0" t="n">
        <f aca="false">G152</f>
        <v>0.75</v>
      </c>
      <c r="M152" s="0" t="n">
        <f aca="false">H152</f>
        <v>-0.25</v>
      </c>
      <c r="N152" s="0" t="n">
        <f aca="false">E152*F152</f>
        <v>0.75</v>
      </c>
      <c r="O152" s="0" t="n">
        <f aca="false">E152*G152</f>
        <v>-0.75</v>
      </c>
      <c r="P152" s="0" t="n">
        <f aca="false">E152*H152</f>
        <v>0.25</v>
      </c>
      <c r="Q152" s="0" t="n">
        <f aca="false">F152*G152</f>
        <v>-0.5625</v>
      </c>
      <c r="R152" s="0" t="n">
        <f aca="false">F152*H152</f>
        <v>0.1875</v>
      </c>
      <c r="S152" s="0" t="n">
        <f aca="false">G152*H152</f>
        <v>-0.1875</v>
      </c>
      <c r="T152" s="0" t="n">
        <f aca="false">E152*E152</f>
        <v>1</v>
      </c>
      <c r="U152" s="0" t="n">
        <f aca="false">F152*F152</f>
        <v>0.5625</v>
      </c>
      <c r="V152" s="0" t="n">
        <f aca="false">G152*G152</f>
        <v>0.5625</v>
      </c>
      <c r="W152" s="0" t="n">
        <f aca="false">H152*H152</f>
        <v>0.0625</v>
      </c>
      <c r="X152" s="0" t="n">
        <f aca="false">SUMPRODUCT(I152:W152,_XtX!$B$96:$P$96)</f>
        <v>41.6177129020468</v>
      </c>
      <c r="Y152" s="0" t="n">
        <f aca="false">SUMPRODUCT(MMULT(I152:W152,_XtX!$B$78:$P$92),I152:W152)</f>
        <v>0.473959761056287</v>
      </c>
      <c r="Z152" s="0" t="n">
        <f aca="false">04_回帰ANOVA!$K$19*04_回帰ANOVA!$K$14*SQRT(1+Y152)</f>
        <v>1.58249084588329</v>
      </c>
      <c r="AA152" s="0" t="n">
        <f aca="false">X152-Z152</f>
        <v>40.0352220561635</v>
      </c>
      <c r="AB152" s="0" t="n">
        <f aca="false">X152+Z152</f>
        <v>43.2002037479301</v>
      </c>
      <c r="AC152" s="54" t="b">
        <f aca="false">AND(E152&gt;=01_因子設定!$L$5-0.000000001,E152&lt;=01_因子設定!$M$5+0.000000001,F152&gt;=01_因子設定!$L$6-0.000000001,F152&lt;=01_因子設定!$M$6+0.000000001,G152&gt;=01_因子設定!$L$7-0.000000001,G152&lt;=01_因子設定!$M$7+0.000000001,H152&gt;=01_因子設定!$L$8-0.000000001,H152&lt;=01_因子設定!$M$8+0.000000001,IF(01_因子設定!$B$20="Box-Behnken",E152^2+F152^2+G152^2+H152^2&lt;=2+0.000000001,TRUE()))</f>
        <v>1</v>
      </c>
      <c r="AD152" s="55" t="n">
        <f aca="false">IF(AC152,IF(01_因子設定!$B$13="最大化",AA152-01_因子設定!$B$14,IF(01_因子設定!$B$13="最小化",01_因子設定!$B$15-AB152,MIN(AA152-01_因子設定!$B$14,01_因子設定!$B$15-AB152))),-1E+030)</f>
        <v>-6.46477794383647</v>
      </c>
      <c r="AE152" s="55" t="n">
        <f aca="false">IF(AC152,IF(01_因子設定!$B$13="最大化",X152,IF(01_因子設定!$B$13="最小化",-X152,-ABS(X152-01_因子設定!$B$16))),-1E+030)</f>
        <v>41.6177129020468</v>
      </c>
      <c r="AF152" s="55" t="n">
        <f aca="false">AD152+ROW()*0.000000001</f>
        <v>-6.46477779183647</v>
      </c>
      <c r="AG152" s="55" t="n">
        <f aca="false">AE152+ROW()*0.000000001</f>
        <v>41.6177130540468</v>
      </c>
    </row>
    <row r="153" customFormat="false" ht="15" hidden="false" customHeight="false" outlineLevel="0" collapsed="false">
      <c r="A153" s="0" t="n">
        <v>0</v>
      </c>
      <c r="B153" s="0" t="n">
        <v>1</v>
      </c>
      <c r="C153" s="0" t="n">
        <v>7</v>
      </c>
      <c r="D153" s="0" t="n">
        <v>4</v>
      </c>
      <c r="E153" s="0" t="n">
        <f aca="false">-1+A153*0.25</f>
        <v>-1</v>
      </c>
      <c r="F153" s="0" t="n">
        <f aca="false">-1+B153*0.25</f>
        <v>-0.75</v>
      </c>
      <c r="G153" s="0" t="n">
        <f aca="false">-1+C153*0.25</f>
        <v>0.75</v>
      </c>
      <c r="H153" s="0" t="n">
        <f aca="false">-1+D153*0.25</f>
        <v>0</v>
      </c>
      <c r="I153" s="0" t="n">
        <f aca="false">1</f>
        <v>1</v>
      </c>
      <c r="J153" s="0" t="n">
        <f aca="false">E153</f>
        <v>-1</v>
      </c>
      <c r="K153" s="0" t="n">
        <f aca="false">F153</f>
        <v>-0.75</v>
      </c>
      <c r="L153" s="0" t="n">
        <f aca="false">G153</f>
        <v>0.75</v>
      </c>
      <c r="M153" s="0" t="n">
        <f aca="false">H153</f>
        <v>0</v>
      </c>
      <c r="N153" s="0" t="n">
        <f aca="false">E153*F153</f>
        <v>0.75</v>
      </c>
      <c r="O153" s="0" t="n">
        <f aca="false">E153*G153</f>
        <v>-0.75</v>
      </c>
      <c r="P153" s="0" t="n">
        <f aca="false">E153*H153</f>
        <v>-0</v>
      </c>
      <c r="Q153" s="0" t="n">
        <f aca="false">F153*G153</f>
        <v>-0.5625</v>
      </c>
      <c r="R153" s="0" t="n">
        <f aca="false">F153*H153</f>
        <v>-0</v>
      </c>
      <c r="S153" s="0" t="n">
        <f aca="false">G153*H153</f>
        <v>0</v>
      </c>
      <c r="T153" s="0" t="n">
        <f aca="false">E153*E153</f>
        <v>1</v>
      </c>
      <c r="U153" s="0" t="n">
        <f aca="false">F153*F153</f>
        <v>0.5625</v>
      </c>
      <c r="V153" s="0" t="n">
        <f aca="false">G153*G153</f>
        <v>0.5625</v>
      </c>
      <c r="W153" s="0" t="n">
        <f aca="false">H153*H153</f>
        <v>0</v>
      </c>
      <c r="X153" s="0" t="n">
        <f aca="false">SUMPRODUCT(I153:W153,_XtX!$B$96:$P$96)</f>
        <v>41.8055052997076</v>
      </c>
      <c r="Y153" s="0" t="n">
        <f aca="false">SUMPRODUCT(MMULT(I153:W153,_XtX!$B$78:$P$92),I153:W153)</f>
        <v>0.494259126005117</v>
      </c>
      <c r="Z153" s="0" t="n">
        <f aca="false">04_回帰ANOVA!$K$19*04_回帰ANOVA!$K$14*SQRT(1+Y153)</f>
        <v>1.59335061078203</v>
      </c>
      <c r="AA153" s="0" t="n">
        <f aca="false">X153-Z153</f>
        <v>40.2121546889256</v>
      </c>
      <c r="AB153" s="0" t="n">
        <f aca="false">X153+Z153</f>
        <v>43.3988559104897</v>
      </c>
      <c r="AC153" s="54" t="b">
        <f aca="false">AND(E153&gt;=01_因子設定!$L$5-0.000000001,E153&lt;=01_因子設定!$M$5+0.000000001,F153&gt;=01_因子設定!$L$6-0.000000001,F153&lt;=01_因子設定!$M$6+0.000000001,G153&gt;=01_因子設定!$L$7-0.000000001,G153&lt;=01_因子設定!$M$7+0.000000001,H153&gt;=01_因子設定!$L$8-0.000000001,H153&lt;=01_因子設定!$M$8+0.000000001,IF(01_因子設定!$B$20="Box-Behnken",E153^2+F153^2+G153^2+H153^2&lt;=2+0.000000001,TRUE()))</f>
        <v>1</v>
      </c>
      <c r="AD153" s="55" t="n">
        <f aca="false">IF(AC153,IF(01_因子設定!$B$13="最大化",AA153-01_因子設定!$B$14,IF(01_因子設定!$B$13="最小化",01_因子設定!$B$15-AB153,MIN(AA153-01_因子設定!$B$14,01_因子設定!$B$15-AB153))),-1E+030)</f>
        <v>-6.28784531107439</v>
      </c>
      <c r="AE153" s="55" t="n">
        <f aca="false">IF(AC153,IF(01_因子設定!$B$13="最大化",X153,IF(01_因子設定!$B$13="最小化",-X153,-ABS(X153-01_因子設定!$B$16))),-1E+030)</f>
        <v>41.8055052997076</v>
      </c>
      <c r="AF153" s="55" t="n">
        <f aca="false">AD153+ROW()*0.000000001</f>
        <v>-6.28784515807439</v>
      </c>
      <c r="AG153" s="55" t="n">
        <f aca="false">AE153+ROW()*0.000000001</f>
        <v>41.8055054527076</v>
      </c>
    </row>
    <row r="154" customFormat="false" ht="15" hidden="false" customHeight="false" outlineLevel="0" collapsed="false">
      <c r="A154" s="0" t="n">
        <v>0</v>
      </c>
      <c r="B154" s="0" t="n">
        <v>1</v>
      </c>
      <c r="C154" s="0" t="n">
        <v>7</v>
      </c>
      <c r="D154" s="0" t="n">
        <v>5</v>
      </c>
      <c r="E154" s="0" t="n">
        <f aca="false">-1+A154*0.25</f>
        <v>-1</v>
      </c>
      <c r="F154" s="0" t="n">
        <f aca="false">-1+B154*0.25</f>
        <v>-0.75</v>
      </c>
      <c r="G154" s="0" t="n">
        <f aca="false">-1+C154*0.25</f>
        <v>0.75</v>
      </c>
      <c r="H154" s="0" t="n">
        <f aca="false">-1+D154*0.25</f>
        <v>0.25</v>
      </c>
      <c r="I154" s="0" t="n">
        <f aca="false">1</f>
        <v>1</v>
      </c>
      <c r="J154" s="0" t="n">
        <f aca="false">E154</f>
        <v>-1</v>
      </c>
      <c r="K154" s="0" t="n">
        <f aca="false">F154</f>
        <v>-0.75</v>
      </c>
      <c r="L154" s="0" t="n">
        <f aca="false">G154</f>
        <v>0.75</v>
      </c>
      <c r="M154" s="0" t="n">
        <f aca="false">H154</f>
        <v>0.25</v>
      </c>
      <c r="N154" s="0" t="n">
        <f aca="false">E154*F154</f>
        <v>0.75</v>
      </c>
      <c r="O154" s="0" t="n">
        <f aca="false">E154*G154</f>
        <v>-0.75</v>
      </c>
      <c r="P154" s="0" t="n">
        <f aca="false">E154*H154</f>
        <v>-0.25</v>
      </c>
      <c r="Q154" s="0" t="n">
        <f aca="false">F154*G154</f>
        <v>-0.5625</v>
      </c>
      <c r="R154" s="0" t="n">
        <f aca="false">F154*H154</f>
        <v>-0.1875</v>
      </c>
      <c r="S154" s="0" t="n">
        <f aca="false">G154*H154</f>
        <v>0.1875</v>
      </c>
      <c r="T154" s="0" t="n">
        <f aca="false">E154*E154</f>
        <v>1</v>
      </c>
      <c r="U154" s="0" t="n">
        <f aca="false">F154*F154</f>
        <v>0.5625</v>
      </c>
      <c r="V154" s="0" t="n">
        <f aca="false">G154*G154</f>
        <v>0.5625</v>
      </c>
      <c r="W154" s="0" t="n">
        <f aca="false">H154*H154</f>
        <v>0.0625</v>
      </c>
      <c r="X154" s="0" t="n">
        <f aca="false">SUMPRODUCT(I154:W154,_XtX!$B$96:$P$96)</f>
        <v>41.9454906798246</v>
      </c>
      <c r="Y154" s="0" t="n">
        <f aca="false">SUMPRODUCT(MMULT(I154:W154,_XtX!$B$78:$P$92),I154:W154)</f>
        <v>0.473959761056287</v>
      </c>
      <c r="Z154" s="0" t="n">
        <f aca="false">04_回帰ANOVA!$K$19*04_回帰ANOVA!$K$14*SQRT(1+Y154)</f>
        <v>1.58249084588329</v>
      </c>
      <c r="AA154" s="0" t="n">
        <f aca="false">X154-Z154</f>
        <v>40.3629998339413</v>
      </c>
      <c r="AB154" s="0" t="n">
        <f aca="false">X154+Z154</f>
        <v>43.5279815257079</v>
      </c>
      <c r="AC154" s="54" t="b">
        <f aca="false">AND(E154&gt;=01_因子設定!$L$5-0.000000001,E154&lt;=01_因子設定!$M$5+0.000000001,F154&gt;=01_因子設定!$L$6-0.000000001,F154&lt;=01_因子設定!$M$6+0.000000001,G154&gt;=01_因子設定!$L$7-0.000000001,G154&lt;=01_因子設定!$M$7+0.000000001,H154&gt;=01_因子設定!$L$8-0.000000001,H154&lt;=01_因子設定!$M$8+0.000000001,IF(01_因子設定!$B$20="Box-Behnken",E154^2+F154^2+G154^2+H154^2&lt;=2+0.000000001,TRUE()))</f>
        <v>1</v>
      </c>
      <c r="AD154" s="55" t="n">
        <f aca="false">IF(AC154,IF(01_因子設定!$B$13="最大化",AA154-01_因子設定!$B$14,IF(01_因子設定!$B$13="最小化",01_因子設定!$B$15-AB154,MIN(AA154-01_因子設定!$B$14,01_因子設定!$B$15-AB154))),-1E+030)</f>
        <v>-6.13700016605869</v>
      </c>
      <c r="AE154" s="55" t="n">
        <f aca="false">IF(AC154,IF(01_因子設定!$B$13="最大化",X154,IF(01_因子設定!$B$13="最小化",-X154,-ABS(X154-01_因子設定!$B$16))),-1E+030)</f>
        <v>41.9454906798246</v>
      </c>
      <c r="AF154" s="55" t="n">
        <f aca="false">AD154+ROW()*0.000000001</f>
        <v>-6.13700001205869</v>
      </c>
      <c r="AG154" s="55" t="n">
        <f aca="false">AE154+ROW()*0.000000001</f>
        <v>41.9454908338246</v>
      </c>
    </row>
    <row r="155" customFormat="false" ht="15" hidden="false" customHeight="false" outlineLevel="0" collapsed="false">
      <c r="A155" s="0" t="n">
        <v>0</v>
      </c>
      <c r="B155" s="0" t="n">
        <v>1</v>
      </c>
      <c r="C155" s="0" t="n">
        <v>7</v>
      </c>
      <c r="D155" s="0" t="n">
        <v>6</v>
      </c>
      <c r="E155" s="0" t="n">
        <f aca="false">-1+A155*0.25</f>
        <v>-1</v>
      </c>
      <c r="F155" s="0" t="n">
        <f aca="false">-1+B155*0.25</f>
        <v>-0.75</v>
      </c>
      <c r="G155" s="0" t="n">
        <f aca="false">-1+C155*0.25</f>
        <v>0.75</v>
      </c>
      <c r="H155" s="0" t="n">
        <f aca="false">-1+D155*0.25</f>
        <v>0.5</v>
      </c>
      <c r="I155" s="0" t="n">
        <f aca="false">1</f>
        <v>1</v>
      </c>
      <c r="J155" s="0" t="n">
        <f aca="false">E155</f>
        <v>-1</v>
      </c>
      <c r="K155" s="0" t="n">
        <f aca="false">F155</f>
        <v>-0.75</v>
      </c>
      <c r="L155" s="0" t="n">
        <f aca="false">G155</f>
        <v>0.75</v>
      </c>
      <c r="M155" s="0" t="n">
        <f aca="false">H155</f>
        <v>0.5</v>
      </c>
      <c r="N155" s="0" t="n">
        <f aca="false">E155*F155</f>
        <v>0.75</v>
      </c>
      <c r="O155" s="0" t="n">
        <f aca="false">E155*G155</f>
        <v>-0.75</v>
      </c>
      <c r="P155" s="0" t="n">
        <f aca="false">E155*H155</f>
        <v>-0.5</v>
      </c>
      <c r="Q155" s="0" t="n">
        <f aca="false">F155*G155</f>
        <v>-0.5625</v>
      </c>
      <c r="R155" s="0" t="n">
        <f aca="false">F155*H155</f>
        <v>-0.375</v>
      </c>
      <c r="S155" s="0" t="n">
        <f aca="false">G155*H155</f>
        <v>0.375</v>
      </c>
      <c r="T155" s="0" t="n">
        <f aca="false">E155*E155</f>
        <v>1</v>
      </c>
      <c r="U155" s="0" t="n">
        <f aca="false">F155*F155</f>
        <v>0.5625</v>
      </c>
      <c r="V155" s="0" t="n">
        <f aca="false">G155*G155</f>
        <v>0.5625</v>
      </c>
      <c r="W155" s="0" t="n">
        <f aca="false">H155*H155</f>
        <v>0.25</v>
      </c>
      <c r="X155" s="0" t="n">
        <f aca="false">SUMPRODUCT(I155:W155,_XtX!$B$96:$P$96)</f>
        <v>42.0376690423977</v>
      </c>
      <c r="Y155" s="0" t="n">
        <f aca="false">SUMPRODUCT(MMULT(I155:W155,_XtX!$B$78:$P$92),I155:W155)</f>
        <v>0.431153771472953</v>
      </c>
      <c r="Z155" s="0" t="n">
        <f aca="false">04_回帰ANOVA!$K$19*04_回帰ANOVA!$K$14*SQRT(1+Y155)</f>
        <v>1.55934259562563</v>
      </c>
      <c r="AA155" s="0" t="n">
        <f aca="false">X155-Z155</f>
        <v>40.4783264467721</v>
      </c>
      <c r="AB155" s="0" t="n">
        <f aca="false">X155+Z155</f>
        <v>43.5970116380233</v>
      </c>
      <c r="AC155" s="54" t="b">
        <f aca="false">AND(E155&gt;=01_因子設定!$L$5-0.000000001,E155&lt;=01_因子設定!$M$5+0.000000001,F155&gt;=01_因子設定!$L$6-0.000000001,F155&lt;=01_因子設定!$M$6+0.000000001,G155&gt;=01_因子設定!$L$7-0.000000001,G155&lt;=01_因子設定!$M$7+0.000000001,H155&gt;=01_因子設定!$L$8-0.000000001,H155&lt;=01_因子設定!$M$8+0.000000001,IF(01_因子設定!$B$20="Box-Behnken",E155^2+F155^2+G155^2+H155^2&lt;=2+0.000000001,TRUE()))</f>
        <v>1</v>
      </c>
      <c r="AD155" s="55" t="n">
        <f aca="false">IF(AC155,IF(01_因子設定!$B$13="最大化",AA155-01_因子設定!$B$14,IF(01_因子設定!$B$13="最小化",01_因子設定!$B$15-AB155,MIN(AA155-01_因子設定!$B$14,01_因子設定!$B$15-AB155))),-1E+030)</f>
        <v>-6.02167355322793</v>
      </c>
      <c r="AE155" s="55" t="n">
        <f aca="false">IF(AC155,IF(01_因子設定!$B$13="最大化",X155,IF(01_因子設定!$B$13="最小化",-X155,-ABS(X155-01_因子設定!$B$16))),-1E+030)</f>
        <v>42.0376690423977</v>
      </c>
      <c r="AF155" s="55" t="n">
        <f aca="false">AD155+ROW()*0.000000001</f>
        <v>-6.02167339822793</v>
      </c>
      <c r="AG155" s="55" t="n">
        <f aca="false">AE155+ROW()*0.000000001</f>
        <v>42.0376691973977</v>
      </c>
    </row>
    <row r="156" customFormat="false" ht="15" hidden="false" customHeight="false" outlineLevel="0" collapsed="false">
      <c r="A156" s="0" t="n">
        <v>0</v>
      </c>
      <c r="B156" s="0" t="n">
        <v>1</v>
      </c>
      <c r="C156" s="0" t="n">
        <v>7</v>
      </c>
      <c r="D156" s="0" t="n">
        <v>7</v>
      </c>
      <c r="E156" s="0" t="n">
        <f aca="false">-1+A156*0.25</f>
        <v>-1</v>
      </c>
      <c r="F156" s="0" t="n">
        <f aca="false">-1+B156*0.25</f>
        <v>-0.75</v>
      </c>
      <c r="G156" s="0" t="n">
        <f aca="false">-1+C156*0.25</f>
        <v>0.75</v>
      </c>
      <c r="H156" s="0" t="n">
        <f aca="false">-1+D156*0.25</f>
        <v>0.75</v>
      </c>
      <c r="I156" s="0" t="n">
        <f aca="false">1</f>
        <v>1</v>
      </c>
      <c r="J156" s="0" t="n">
        <f aca="false">E156</f>
        <v>-1</v>
      </c>
      <c r="K156" s="0" t="n">
        <f aca="false">F156</f>
        <v>-0.75</v>
      </c>
      <c r="L156" s="0" t="n">
        <f aca="false">G156</f>
        <v>0.75</v>
      </c>
      <c r="M156" s="0" t="n">
        <f aca="false">H156</f>
        <v>0.75</v>
      </c>
      <c r="N156" s="0" t="n">
        <f aca="false">E156*F156</f>
        <v>0.75</v>
      </c>
      <c r="O156" s="0" t="n">
        <f aca="false">E156*G156</f>
        <v>-0.75</v>
      </c>
      <c r="P156" s="0" t="n">
        <f aca="false">E156*H156</f>
        <v>-0.75</v>
      </c>
      <c r="Q156" s="0" t="n">
        <f aca="false">F156*G156</f>
        <v>-0.5625</v>
      </c>
      <c r="R156" s="0" t="n">
        <f aca="false">F156*H156</f>
        <v>-0.5625</v>
      </c>
      <c r="S156" s="0" t="n">
        <f aca="false">G156*H156</f>
        <v>0.5625</v>
      </c>
      <c r="T156" s="0" t="n">
        <f aca="false">E156*E156</f>
        <v>1</v>
      </c>
      <c r="U156" s="0" t="n">
        <f aca="false">F156*F156</f>
        <v>0.5625</v>
      </c>
      <c r="V156" s="0" t="n">
        <f aca="false">G156*G156</f>
        <v>0.5625</v>
      </c>
      <c r="W156" s="0" t="n">
        <f aca="false">H156*H156</f>
        <v>0.5625</v>
      </c>
      <c r="X156" s="0" t="n">
        <f aca="false">SUMPRODUCT(I156:W156,_XtX!$B$96:$P$96)</f>
        <v>42.082040387427</v>
      </c>
      <c r="Y156" s="0" t="n">
        <f aca="false">SUMPRODUCT(MMULT(I156:W156,_XtX!$B$78:$P$92),I156:W156)</f>
        <v>0.420117473044591</v>
      </c>
      <c r="Z156" s="0" t="n">
        <f aca="false">04_回帰ANOVA!$K$19*04_回帰ANOVA!$K$14*SQRT(1+Y156)</f>
        <v>1.55331854827765</v>
      </c>
      <c r="AA156" s="0" t="n">
        <f aca="false">X156-Z156</f>
        <v>40.5287218391493</v>
      </c>
      <c r="AB156" s="0" t="n">
        <f aca="false">X156+Z156</f>
        <v>43.6353589357046</v>
      </c>
      <c r="AC156" s="54" t="b">
        <f aca="false">AND(E156&gt;=01_因子設定!$L$5-0.000000001,E156&lt;=01_因子設定!$M$5+0.000000001,F156&gt;=01_因子設定!$L$6-0.000000001,F156&lt;=01_因子設定!$M$6+0.000000001,G156&gt;=01_因子設定!$L$7-0.000000001,G156&lt;=01_因子設定!$M$7+0.000000001,H156&gt;=01_因子設定!$L$8-0.000000001,H156&lt;=01_因子設定!$M$8+0.000000001,IF(01_因子設定!$B$20="Box-Behnken",E156^2+F156^2+G156^2+H156^2&lt;=2+0.000000001,TRUE()))</f>
        <v>1</v>
      </c>
      <c r="AD156" s="55" t="n">
        <f aca="false">IF(AC156,IF(01_因子設定!$B$13="最大化",AA156-01_因子設定!$B$14,IF(01_因子設定!$B$13="最小化",01_因子設定!$B$15-AB156,MIN(AA156-01_因子設定!$B$14,01_因子設定!$B$15-AB156))),-1E+030)</f>
        <v>-5.97127816085069</v>
      </c>
      <c r="AE156" s="55" t="n">
        <f aca="false">IF(AC156,IF(01_因子設定!$B$13="最大化",X156,IF(01_因子設定!$B$13="最小化",-X156,-ABS(X156-01_因子設定!$B$16))),-1E+030)</f>
        <v>42.082040387427</v>
      </c>
      <c r="AF156" s="55" t="n">
        <f aca="false">AD156+ROW()*0.000000001</f>
        <v>-5.9712780048507</v>
      </c>
      <c r="AG156" s="55" t="n">
        <f aca="false">AE156+ROW()*0.000000001</f>
        <v>42.082040543427</v>
      </c>
    </row>
    <row r="157" customFormat="false" ht="15" hidden="false" customHeight="false" outlineLevel="0" collapsed="false">
      <c r="A157" s="0" t="n">
        <v>0</v>
      </c>
      <c r="B157" s="0" t="n">
        <v>1</v>
      </c>
      <c r="C157" s="0" t="n">
        <v>7</v>
      </c>
      <c r="D157" s="0" t="n">
        <v>8</v>
      </c>
      <c r="E157" s="0" t="n">
        <f aca="false">-1+A157*0.25</f>
        <v>-1</v>
      </c>
      <c r="F157" s="0" t="n">
        <f aca="false">-1+B157*0.25</f>
        <v>-0.75</v>
      </c>
      <c r="G157" s="0" t="n">
        <f aca="false">-1+C157*0.25</f>
        <v>0.75</v>
      </c>
      <c r="H157" s="0" t="n">
        <f aca="false">-1+D157*0.25</f>
        <v>1</v>
      </c>
      <c r="I157" s="0" t="n">
        <f aca="false">1</f>
        <v>1</v>
      </c>
      <c r="J157" s="0" t="n">
        <f aca="false">E157</f>
        <v>-1</v>
      </c>
      <c r="K157" s="0" t="n">
        <f aca="false">F157</f>
        <v>-0.75</v>
      </c>
      <c r="L157" s="0" t="n">
        <f aca="false">G157</f>
        <v>0.75</v>
      </c>
      <c r="M157" s="0" t="n">
        <f aca="false">H157</f>
        <v>1</v>
      </c>
      <c r="N157" s="0" t="n">
        <f aca="false">E157*F157</f>
        <v>0.75</v>
      </c>
      <c r="O157" s="0" t="n">
        <f aca="false">E157*G157</f>
        <v>-0.75</v>
      </c>
      <c r="P157" s="0" t="n">
        <f aca="false">E157*H157</f>
        <v>-1</v>
      </c>
      <c r="Q157" s="0" t="n">
        <f aca="false">F157*G157</f>
        <v>-0.5625</v>
      </c>
      <c r="R157" s="0" t="n">
        <f aca="false">F157*H157</f>
        <v>-0.75</v>
      </c>
      <c r="S157" s="0" t="n">
        <f aca="false">G157*H157</f>
        <v>0.75</v>
      </c>
      <c r="T157" s="0" t="n">
        <f aca="false">E157*E157</f>
        <v>1</v>
      </c>
      <c r="U157" s="0" t="n">
        <f aca="false">F157*F157</f>
        <v>0.5625</v>
      </c>
      <c r="V157" s="0" t="n">
        <f aca="false">G157*G157</f>
        <v>0.5625</v>
      </c>
      <c r="W157" s="0" t="n">
        <f aca="false">H157*H157</f>
        <v>1</v>
      </c>
      <c r="X157" s="0" t="n">
        <f aca="false">SUMPRODUCT(I157:W157,_XtX!$B$96:$P$96)</f>
        <v>42.0786047149123</v>
      </c>
      <c r="Y157" s="0" t="n">
        <f aca="false">SUMPRODUCT(MMULT(I157:W157,_XtX!$B$78:$P$92),I157:W157)</f>
        <v>0.531311392086988</v>
      </c>
      <c r="Z157" s="0" t="n">
        <f aca="false">04_回帰ANOVA!$K$19*04_回帰ANOVA!$K$14*SQRT(1+Y157)</f>
        <v>1.61298433431428</v>
      </c>
      <c r="AA157" s="0" t="n">
        <f aca="false">X157-Z157</f>
        <v>40.4656203805981</v>
      </c>
      <c r="AB157" s="0" t="n">
        <f aca="false">X157+Z157</f>
        <v>43.6915890492266</v>
      </c>
      <c r="AC157" s="54" t="b">
        <f aca="false">AND(E157&gt;=01_因子設定!$L$5-0.000000001,E157&lt;=01_因子設定!$M$5+0.000000001,F157&gt;=01_因子設定!$L$6-0.000000001,F157&lt;=01_因子設定!$M$6+0.000000001,G157&gt;=01_因子設定!$L$7-0.000000001,G157&lt;=01_因子設定!$M$7+0.000000001,H157&gt;=01_因子設定!$L$8-0.000000001,H157&lt;=01_因子設定!$M$8+0.000000001,IF(01_因子設定!$B$20="Box-Behnken",E157^2+F157^2+G157^2+H157^2&lt;=2+0.000000001,TRUE()))</f>
        <v>1</v>
      </c>
      <c r="AD157" s="55" t="n">
        <f aca="false">IF(AC157,IF(01_因子設定!$B$13="最大化",AA157-01_因子設定!$B$14,IF(01_因子設定!$B$13="最小化",01_因子設定!$B$15-AB157,MIN(AA157-01_因子設定!$B$14,01_因子設定!$B$15-AB157))),-1E+030)</f>
        <v>-6.03437961940194</v>
      </c>
      <c r="AE157" s="55" t="n">
        <f aca="false">IF(AC157,IF(01_因子設定!$B$13="最大化",X157,IF(01_因子設定!$B$13="最小化",-X157,-ABS(X157-01_因子設定!$B$16))),-1E+030)</f>
        <v>42.0786047149123</v>
      </c>
      <c r="AF157" s="55" t="n">
        <f aca="false">AD157+ROW()*0.000000001</f>
        <v>-6.03437946240194</v>
      </c>
      <c r="AG157" s="55" t="n">
        <f aca="false">AE157+ROW()*0.000000001</f>
        <v>42.0786048719124</v>
      </c>
    </row>
    <row r="158" customFormat="false" ht="15" hidden="false" customHeight="false" outlineLevel="0" collapsed="false">
      <c r="A158" s="0" t="n">
        <v>0</v>
      </c>
      <c r="B158" s="0" t="n">
        <v>1</v>
      </c>
      <c r="C158" s="0" t="n">
        <v>8</v>
      </c>
      <c r="D158" s="0" t="n">
        <v>0</v>
      </c>
      <c r="E158" s="0" t="n">
        <f aca="false">-1+A158*0.25</f>
        <v>-1</v>
      </c>
      <c r="F158" s="0" t="n">
        <f aca="false">-1+B158*0.25</f>
        <v>-0.75</v>
      </c>
      <c r="G158" s="0" t="n">
        <f aca="false">-1+C158*0.25</f>
        <v>1</v>
      </c>
      <c r="H158" s="0" t="n">
        <f aca="false">-1+D158*0.25</f>
        <v>-1</v>
      </c>
      <c r="I158" s="0" t="n">
        <f aca="false">1</f>
        <v>1</v>
      </c>
      <c r="J158" s="0" t="n">
        <f aca="false">E158</f>
        <v>-1</v>
      </c>
      <c r="K158" s="0" t="n">
        <f aca="false">F158</f>
        <v>-0.75</v>
      </c>
      <c r="L158" s="0" t="n">
        <f aca="false">G158</f>
        <v>1</v>
      </c>
      <c r="M158" s="0" t="n">
        <f aca="false">H158</f>
        <v>-1</v>
      </c>
      <c r="N158" s="0" t="n">
        <f aca="false">E158*F158</f>
        <v>0.75</v>
      </c>
      <c r="O158" s="0" t="n">
        <f aca="false">E158*G158</f>
        <v>-1</v>
      </c>
      <c r="P158" s="0" t="n">
        <f aca="false">E158*H158</f>
        <v>1</v>
      </c>
      <c r="Q158" s="0" t="n">
        <f aca="false">F158*G158</f>
        <v>-0.75</v>
      </c>
      <c r="R158" s="0" t="n">
        <f aca="false">F158*H158</f>
        <v>0.75</v>
      </c>
      <c r="S158" s="0" t="n">
        <f aca="false">G158*H158</f>
        <v>-1</v>
      </c>
      <c r="T158" s="0" t="n">
        <f aca="false">E158*E158</f>
        <v>1</v>
      </c>
      <c r="U158" s="0" t="n">
        <f aca="false">F158*F158</f>
        <v>0.5625</v>
      </c>
      <c r="V158" s="0" t="n">
        <f aca="false">G158*G158</f>
        <v>1</v>
      </c>
      <c r="W158" s="0" t="n">
        <f aca="false">H158*H158</f>
        <v>1</v>
      </c>
      <c r="X158" s="0" t="n">
        <f aca="false">SUMPRODUCT(I158:W158,_XtX!$B$96:$P$96)</f>
        <v>40.7467836257311</v>
      </c>
      <c r="Y158" s="0" t="n">
        <f aca="false">SUMPRODUCT(MMULT(I158:W158,_XtX!$B$78:$P$92),I158:W158)</f>
        <v>0.610814144736842</v>
      </c>
      <c r="Z158" s="0" t="n">
        <f aca="false">04_回帰ANOVA!$K$19*04_回帰ANOVA!$K$14*SQRT(1+Y158)</f>
        <v>1.6543260558361</v>
      </c>
      <c r="AA158" s="0" t="n">
        <f aca="false">X158-Z158</f>
        <v>39.092457569895</v>
      </c>
      <c r="AB158" s="0" t="n">
        <f aca="false">X158+Z158</f>
        <v>42.4011096815672</v>
      </c>
      <c r="AC158" s="54" t="b">
        <f aca="false">AND(E158&gt;=01_因子設定!$L$5-0.000000001,E158&lt;=01_因子設定!$M$5+0.000000001,F158&gt;=01_因子設定!$L$6-0.000000001,F158&lt;=01_因子設定!$M$6+0.000000001,G158&gt;=01_因子設定!$L$7-0.000000001,G158&lt;=01_因子設定!$M$7+0.000000001,H158&gt;=01_因子設定!$L$8-0.000000001,H158&lt;=01_因子設定!$M$8+0.000000001,IF(01_因子設定!$B$20="Box-Behnken",E158^2+F158^2+G158^2+H158^2&lt;=2+0.000000001,TRUE()))</f>
        <v>1</v>
      </c>
      <c r="AD158" s="55" t="n">
        <f aca="false">IF(AC158,IF(01_因子設定!$B$13="最大化",AA158-01_因子設定!$B$14,IF(01_因子設定!$B$13="最小化",01_因子設定!$B$15-AB158,MIN(AA158-01_因子設定!$B$14,01_因子設定!$B$15-AB158))),-1E+030)</f>
        <v>-7.40754243010503</v>
      </c>
      <c r="AE158" s="55" t="n">
        <f aca="false">IF(AC158,IF(01_因子設定!$B$13="最大化",X158,IF(01_因子設定!$B$13="最小化",-X158,-ABS(X158-01_因子設定!$B$16))),-1E+030)</f>
        <v>40.7467836257311</v>
      </c>
      <c r="AF158" s="55" t="n">
        <f aca="false">AD158+ROW()*0.000000001</f>
        <v>-7.40754227210503</v>
      </c>
      <c r="AG158" s="55" t="n">
        <f aca="false">AE158+ROW()*0.000000001</f>
        <v>40.7467837837311</v>
      </c>
    </row>
    <row r="159" customFormat="false" ht="15" hidden="false" customHeight="false" outlineLevel="0" collapsed="false">
      <c r="A159" s="0" t="n">
        <v>0</v>
      </c>
      <c r="B159" s="0" t="n">
        <v>1</v>
      </c>
      <c r="C159" s="0" t="n">
        <v>8</v>
      </c>
      <c r="D159" s="0" t="n">
        <v>1</v>
      </c>
      <c r="E159" s="0" t="n">
        <f aca="false">-1+A159*0.25</f>
        <v>-1</v>
      </c>
      <c r="F159" s="0" t="n">
        <f aca="false">-1+B159*0.25</f>
        <v>-0.75</v>
      </c>
      <c r="G159" s="0" t="n">
        <f aca="false">-1+C159*0.25</f>
        <v>1</v>
      </c>
      <c r="H159" s="0" t="n">
        <f aca="false">-1+D159*0.25</f>
        <v>-0.75</v>
      </c>
      <c r="I159" s="0" t="n">
        <f aca="false">1</f>
        <v>1</v>
      </c>
      <c r="J159" s="0" t="n">
        <f aca="false">E159</f>
        <v>-1</v>
      </c>
      <c r="K159" s="0" t="n">
        <f aca="false">F159</f>
        <v>-0.75</v>
      </c>
      <c r="L159" s="0" t="n">
        <f aca="false">G159</f>
        <v>1</v>
      </c>
      <c r="M159" s="0" t="n">
        <f aca="false">H159</f>
        <v>-0.75</v>
      </c>
      <c r="N159" s="0" t="n">
        <f aca="false">E159*F159</f>
        <v>0.75</v>
      </c>
      <c r="O159" s="0" t="n">
        <f aca="false">E159*G159</f>
        <v>-1</v>
      </c>
      <c r="P159" s="0" t="n">
        <f aca="false">E159*H159</f>
        <v>0.75</v>
      </c>
      <c r="Q159" s="0" t="n">
        <f aca="false">F159*G159</f>
        <v>-0.75</v>
      </c>
      <c r="R159" s="0" t="n">
        <f aca="false">F159*H159</f>
        <v>0.5625</v>
      </c>
      <c r="S159" s="0" t="n">
        <f aca="false">G159*H159</f>
        <v>-0.75</v>
      </c>
      <c r="T159" s="0" t="n">
        <f aca="false">E159*E159</f>
        <v>1</v>
      </c>
      <c r="U159" s="0" t="n">
        <f aca="false">F159*F159</f>
        <v>0.5625</v>
      </c>
      <c r="V159" s="0" t="n">
        <f aca="false">G159*G159</f>
        <v>1</v>
      </c>
      <c r="W159" s="0" t="n">
        <f aca="false">H159*H159</f>
        <v>0.5625</v>
      </c>
      <c r="X159" s="0" t="n">
        <f aca="false">SUMPRODUCT(I159:W159,_XtX!$B$96:$P$96)</f>
        <v>41.0959658260234</v>
      </c>
      <c r="Y159" s="0" t="n">
        <f aca="false">SUMPRODUCT(MMULT(I159:W159,_XtX!$B$78:$P$92),I159:W159)</f>
        <v>0.531311392086988</v>
      </c>
      <c r="Z159" s="0" t="n">
        <f aca="false">04_回帰ANOVA!$K$19*04_回帰ANOVA!$K$14*SQRT(1+Y159)</f>
        <v>1.61298433431428</v>
      </c>
      <c r="AA159" s="0" t="n">
        <f aca="false">X159-Z159</f>
        <v>39.4829814917092</v>
      </c>
      <c r="AB159" s="0" t="n">
        <f aca="false">X159+Z159</f>
        <v>42.7089501603377</v>
      </c>
      <c r="AC159" s="54" t="b">
        <f aca="false">AND(E159&gt;=01_因子設定!$L$5-0.000000001,E159&lt;=01_因子設定!$M$5+0.000000001,F159&gt;=01_因子設定!$L$6-0.000000001,F159&lt;=01_因子設定!$M$6+0.000000001,G159&gt;=01_因子設定!$L$7-0.000000001,G159&lt;=01_因子設定!$M$7+0.000000001,H159&gt;=01_因子設定!$L$8-0.000000001,H159&lt;=01_因子設定!$M$8+0.000000001,IF(01_因子設定!$B$20="Box-Behnken",E159^2+F159^2+G159^2+H159^2&lt;=2+0.000000001,TRUE()))</f>
        <v>1</v>
      </c>
      <c r="AD159" s="55" t="n">
        <f aca="false">IF(AC159,IF(01_因子設定!$B$13="最大化",AA159-01_因子設定!$B$14,IF(01_因子設定!$B$13="最小化",01_因子設定!$B$15-AB159,MIN(AA159-01_因子設定!$B$14,01_因子設定!$B$15-AB159))),-1E+030)</f>
        <v>-7.01701850829084</v>
      </c>
      <c r="AE159" s="55" t="n">
        <f aca="false">IF(AC159,IF(01_因子設定!$B$13="最大化",X159,IF(01_因子設定!$B$13="最小化",-X159,-ABS(X159-01_因子設定!$B$16))),-1E+030)</f>
        <v>41.0959658260234</v>
      </c>
      <c r="AF159" s="55" t="n">
        <f aca="false">AD159+ROW()*0.000000001</f>
        <v>-7.01701834929084</v>
      </c>
      <c r="AG159" s="55" t="n">
        <f aca="false">AE159+ROW()*0.000000001</f>
        <v>41.0959659850235</v>
      </c>
    </row>
    <row r="160" customFormat="false" ht="15" hidden="false" customHeight="false" outlineLevel="0" collapsed="false">
      <c r="A160" s="0" t="n">
        <v>0</v>
      </c>
      <c r="B160" s="0" t="n">
        <v>1</v>
      </c>
      <c r="C160" s="0" t="n">
        <v>8</v>
      </c>
      <c r="D160" s="0" t="n">
        <v>2</v>
      </c>
      <c r="E160" s="0" t="n">
        <f aca="false">-1+A160*0.25</f>
        <v>-1</v>
      </c>
      <c r="F160" s="0" t="n">
        <f aca="false">-1+B160*0.25</f>
        <v>-0.75</v>
      </c>
      <c r="G160" s="0" t="n">
        <f aca="false">-1+C160*0.25</f>
        <v>1</v>
      </c>
      <c r="H160" s="0" t="n">
        <f aca="false">-1+D160*0.25</f>
        <v>-0.5</v>
      </c>
      <c r="I160" s="0" t="n">
        <f aca="false">1</f>
        <v>1</v>
      </c>
      <c r="J160" s="0" t="n">
        <f aca="false">E160</f>
        <v>-1</v>
      </c>
      <c r="K160" s="0" t="n">
        <f aca="false">F160</f>
        <v>-0.75</v>
      </c>
      <c r="L160" s="0" t="n">
        <f aca="false">G160</f>
        <v>1</v>
      </c>
      <c r="M160" s="0" t="n">
        <f aca="false">H160</f>
        <v>-0.5</v>
      </c>
      <c r="N160" s="0" t="n">
        <f aca="false">E160*F160</f>
        <v>0.75</v>
      </c>
      <c r="O160" s="0" t="n">
        <f aca="false">E160*G160</f>
        <v>-1</v>
      </c>
      <c r="P160" s="0" t="n">
        <f aca="false">E160*H160</f>
        <v>0.5</v>
      </c>
      <c r="Q160" s="0" t="n">
        <f aca="false">F160*G160</f>
        <v>-0.75</v>
      </c>
      <c r="R160" s="0" t="n">
        <f aca="false">F160*H160</f>
        <v>0.375</v>
      </c>
      <c r="S160" s="0" t="n">
        <f aca="false">G160*H160</f>
        <v>-0.5</v>
      </c>
      <c r="T160" s="0" t="n">
        <f aca="false">E160*E160</f>
        <v>1</v>
      </c>
      <c r="U160" s="0" t="n">
        <f aca="false">F160*F160</f>
        <v>0.5625</v>
      </c>
      <c r="V160" s="0" t="n">
        <f aca="false">G160*G160</f>
        <v>1</v>
      </c>
      <c r="W160" s="0" t="n">
        <f aca="false">H160*H160</f>
        <v>0.25</v>
      </c>
      <c r="X160" s="0" t="n">
        <f aca="false">SUMPRODUCT(I160:W160,_XtX!$B$96:$P$96)</f>
        <v>41.397341008772</v>
      </c>
      <c r="Y160" s="0" t="n">
        <f aca="false">SUMPRODUCT(MMULT(I160:W160,_XtX!$B$78:$P$92),I160:W160)</f>
        <v>0.564984237938597</v>
      </c>
      <c r="Z160" s="0" t="n">
        <f aca="false">04_回帰ANOVA!$K$19*04_回帰ANOVA!$K$14*SQRT(1+Y160)</f>
        <v>1.63062229734503</v>
      </c>
      <c r="AA160" s="0" t="n">
        <f aca="false">X160-Z160</f>
        <v>39.7667187114269</v>
      </c>
      <c r="AB160" s="0" t="n">
        <f aca="false">X160+Z160</f>
        <v>43.027963306117</v>
      </c>
      <c r="AC160" s="54" t="b">
        <f aca="false">AND(E160&gt;=01_因子設定!$L$5-0.000000001,E160&lt;=01_因子設定!$M$5+0.000000001,F160&gt;=01_因子設定!$L$6-0.000000001,F160&lt;=01_因子設定!$M$6+0.000000001,G160&gt;=01_因子設定!$L$7-0.000000001,G160&lt;=01_因子設定!$M$7+0.000000001,H160&gt;=01_因子設定!$L$8-0.000000001,H160&lt;=01_因子設定!$M$8+0.000000001,IF(01_因子設定!$B$20="Box-Behnken",E160^2+F160^2+G160^2+H160^2&lt;=2+0.000000001,TRUE()))</f>
        <v>1</v>
      </c>
      <c r="AD160" s="55" t="n">
        <f aca="false">IF(AC160,IF(01_因子設定!$B$13="最大化",AA160-01_因子設定!$B$14,IF(01_因子設定!$B$13="最小化",01_因子設定!$B$15-AB160,MIN(AA160-01_因子設定!$B$14,01_因子設定!$B$15-AB160))),-1E+030)</f>
        <v>-6.73328128857307</v>
      </c>
      <c r="AE160" s="55" t="n">
        <f aca="false">IF(AC160,IF(01_因子設定!$B$13="最大化",X160,IF(01_因子設定!$B$13="最小化",-X160,-ABS(X160-01_因子設定!$B$16))),-1E+030)</f>
        <v>41.397341008772</v>
      </c>
      <c r="AF160" s="55" t="n">
        <f aca="false">AD160+ROW()*0.000000001</f>
        <v>-6.73328112857307</v>
      </c>
      <c r="AG160" s="55" t="n">
        <f aca="false">AE160+ROW()*0.000000001</f>
        <v>41.397341168772</v>
      </c>
    </row>
    <row r="161" customFormat="false" ht="15" hidden="false" customHeight="false" outlineLevel="0" collapsed="false">
      <c r="A161" s="0" t="n">
        <v>0</v>
      </c>
      <c r="B161" s="0" t="n">
        <v>1</v>
      </c>
      <c r="C161" s="0" t="n">
        <v>8</v>
      </c>
      <c r="D161" s="0" t="n">
        <v>3</v>
      </c>
      <c r="E161" s="0" t="n">
        <f aca="false">-1+A161*0.25</f>
        <v>-1</v>
      </c>
      <c r="F161" s="0" t="n">
        <f aca="false">-1+B161*0.25</f>
        <v>-0.75</v>
      </c>
      <c r="G161" s="0" t="n">
        <f aca="false">-1+C161*0.25</f>
        <v>1</v>
      </c>
      <c r="H161" s="0" t="n">
        <f aca="false">-1+D161*0.25</f>
        <v>-0.25</v>
      </c>
      <c r="I161" s="0" t="n">
        <f aca="false">1</f>
        <v>1</v>
      </c>
      <c r="J161" s="0" t="n">
        <f aca="false">E161</f>
        <v>-1</v>
      </c>
      <c r="K161" s="0" t="n">
        <f aca="false">F161</f>
        <v>-0.75</v>
      </c>
      <c r="L161" s="0" t="n">
        <f aca="false">G161</f>
        <v>1</v>
      </c>
      <c r="M161" s="0" t="n">
        <f aca="false">H161</f>
        <v>-0.25</v>
      </c>
      <c r="N161" s="0" t="n">
        <f aca="false">E161*F161</f>
        <v>0.75</v>
      </c>
      <c r="O161" s="0" t="n">
        <f aca="false">E161*G161</f>
        <v>-1</v>
      </c>
      <c r="P161" s="0" t="n">
        <f aca="false">E161*H161</f>
        <v>0.25</v>
      </c>
      <c r="Q161" s="0" t="n">
        <f aca="false">F161*G161</f>
        <v>-0.75</v>
      </c>
      <c r="R161" s="0" t="n">
        <f aca="false">F161*H161</f>
        <v>0.1875</v>
      </c>
      <c r="S161" s="0" t="n">
        <f aca="false">G161*H161</f>
        <v>-0.25</v>
      </c>
      <c r="T161" s="0" t="n">
        <f aca="false">E161*E161</f>
        <v>1</v>
      </c>
      <c r="U161" s="0" t="n">
        <f aca="false">F161*F161</f>
        <v>0.5625</v>
      </c>
      <c r="V161" s="0" t="n">
        <f aca="false">G161*G161</f>
        <v>1</v>
      </c>
      <c r="W161" s="0" t="n">
        <f aca="false">H161*H161</f>
        <v>0.0625</v>
      </c>
      <c r="X161" s="0" t="n">
        <f aca="false">SUMPRODUCT(I161:W161,_XtX!$B$96:$P$96)</f>
        <v>41.6509091739766</v>
      </c>
      <c r="Y161" s="0" t="n">
        <f aca="false">SUMPRODUCT(MMULT(I161:W161,_XtX!$B$78:$P$92),I161:W161)</f>
        <v>0.621372155975877</v>
      </c>
      <c r="Z161" s="0" t="n">
        <f aca="false">04_回帰ANOVA!$K$19*04_回帰ANOVA!$K$14*SQRT(1+Y161)</f>
        <v>1.65973880499872</v>
      </c>
      <c r="AA161" s="0" t="n">
        <f aca="false">X161-Z161</f>
        <v>39.9911703689779</v>
      </c>
      <c r="AB161" s="0" t="n">
        <f aca="false">X161+Z161</f>
        <v>43.3106479789754</v>
      </c>
      <c r="AC161" s="54" t="b">
        <f aca="false">AND(E161&gt;=01_因子設定!$L$5-0.000000001,E161&lt;=01_因子設定!$M$5+0.000000001,F161&gt;=01_因子設定!$L$6-0.000000001,F161&lt;=01_因子設定!$M$6+0.000000001,G161&gt;=01_因子設定!$L$7-0.000000001,G161&lt;=01_因子設定!$M$7+0.000000001,H161&gt;=01_因子設定!$L$8-0.000000001,H161&lt;=01_因子設定!$M$8+0.000000001,IF(01_因子設定!$B$20="Box-Behnken",E161^2+F161^2+G161^2+H161^2&lt;=2+0.000000001,TRUE()))</f>
        <v>1</v>
      </c>
      <c r="AD161" s="55" t="n">
        <f aca="false">IF(AC161,IF(01_因子設定!$B$13="最大化",AA161-01_因子設定!$B$14,IF(01_因子設定!$B$13="最小化",01_因子設定!$B$15-AB161,MIN(AA161-01_因子設定!$B$14,01_因子設定!$B$15-AB161))),-1E+030)</f>
        <v>-6.50882963102207</v>
      </c>
      <c r="AE161" s="55" t="n">
        <f aca="false">IF(AC161,IF(01_因子設定!$B$13="最大化",X161,IF(01_因子設定!$B$13="最小化",-X161,-ABS(X161-01_因子設定!$B$16))),-1E+030)</f>
        <v>41.6509091739766</v>
      </c>
      <c r="AF161" s="55" t="n">
        <f aca="false">AD161+ROW()*0.000000001</f>
        <v>-6.50882947002207</v>
      </c>
      <c r="AG161" s="55" t="n">
        <f aca="false">AE161+ROW()*0.000000001</f>
        <v>41.6509093349766</v>
      </c>
    </row>
    <row r="162" customFormat="false" ht="15" hidden="false" customHeight="false" outlineLevel="0" collapsed="false">
      <c r="A162" s="0" t="n">
        <v>0</v>
      </c>
      <c r="B162" s="0" t="n">
        <v>1</v>
      </c>
      <c r="C162" s="0" t="n">
        <v>8</v>
      </c>
      <c r="D162" s="0" t="n">
        <v>4</v>
      </c>
      <c r="E162" s="0" t="n">
        <f aca="false">-1+A162*0.25</f>
        <v>-1</v>
      </c>
      <c r="F162" s="0" t="n">
        <f aca="false">-1+B162*0.25</f>
        <v>-0.75</v>
      </c>
      <c r="G162" s="0" t="n">
        <f aca="false">-1+C162*0.25</f>
        <v>1</v>
      </c>
      <c r="H162" s="0" t="n">
        <f aca="false">-1+D162*0.25</f>
        <v>0</v>
      </c>
      <c r="I162" s="0" t="n">
        <f aca="false">1</f>
        <v>1</v>
      </c>
      <c r="J162" s="0" t="n">
        <f aca="false">E162</f>
        <v>-1</v>
      </c>
      <c r="K162" s="0" t="n">
        <f aca="false">F162</f>
        <v>-0.75</v>
      </c>
      <c r="L162" s="0" t="n">
        <f aca="false">G162</f>
        <v>1</v>
      </c>
      <c r="M162" s="0" t="n">
        <f aca="false">H162</f>
        <v>0</v>
      </c>
      <c r="N162" s="0" t="n">
        <f aca="false">E162*F162</f>
        <v>0.75</v>
      </c>
      <c r="O162" s="0" t="n">
        <f aca="false">E162*G162</f>
        <v>-1</v>
      </c>
      <c r="P162" s="0" t="n">
        <f aca="false">E162*H162</f>
        <v>-0</v>
      </c>
      <c r="Q162" s="0" t="n">
        <f aca="false">F162*G162</f>
        <v>-0.75</v>
      </c>
      <c r="R162" s="0" t="n">
        <f aca="false">F162*H162</f>
        <v>-0</v>
      </c>
      <c r="S162" s="0" t="n">
        <f aca="false">G162*H162</f>
        <v>0</v>
      </c>
      <c r="T162" s="0" t="n">
        <f aca="false">E162*E162</f>
        <v>1</v>
      </c>
      <c r="U162" s="0" t="n">
        <f aca="false">F162*F162</f>
        <v>0.5625</v>
      </c>
      <c r="V162" s="0" t="n">
        <f aca="false">G162*G162</f>
        <v>1</v>
      </c>
      <c r="W162" s="0" t="n">
        <f aca="false">H162*H162</f>
        <v>0</v>
      </c>
      <c r="X162" s="0" t="n">
        <f aca="false">SUMPRODUCT(I162:W162,_XtX!$B$96:$P$96)</f>
        <v>41.8566703216375</v>
      </c>
      <c r="Y162" s="0" t="n">
        <f aca="false">SUMPRODUCT(MMULT(I162:W162,_XtX!$B$78:$P$92),I162:W162)</f>
        <v>0.646198830409357</v>
      </c>
      <c r="Z162" s="0" t="n">
        <f aca="false">04_回帰ANOVA!$K$19*04_回帰ANOVA!$K$14*SQRT(1+Y162)</f>
        <v>1.67239760569756</v>
      </c>
      <c r="AA162" s="0" t="n">
        <f aca="false">X162-Z162</f>
        <v>40.1842727159399</v>
      </c>
      <c r="AB162" s="0" t="n">
        <f aca="false">X162+Z162</f>
        <v>43.529067927335</v>
      </c>
      <c r="AC162" s="54" t="b">
        <f aca="false">AND(E162&gt;=01_因子設定!$L$5-0.000000001,E162&lt;=01_因子設定!$M$5+0.000000001,F162&gt;=01_因子設定!$L$6-0.000000001,F162&lt;=01_因子設定!$M$6+0.000000001,G162&gt;=01_因子設定!$L$7-0.000000001,G162&lt;=01_因子設定!$M$7+0.000000001,H162&gt;=01_因子設定!$L$8-0.000000001,H162&lt;=01_因子設定!$M$8+0.000000001,IF(01_因子設定!$B$20="Box-Behnken",E162^2+F162^2+G162^2+H162^2&lt;=2+0.000000001,TRUE()))</f>
        <v>1</v>
      </c>
      <c r="AD162" s="55" t="n">
        <f aca="false">IF(AC162,IF(01_因子設定!$B$13="最大化",AA162-01_因子設定!$B$14,IF(01_因子設定!$B$13="最小化",01_因子設定!$B$15-AB162,MIN(AA162-01_因子設定!$B$14,01_因子設定!$B$15-AB162))),-1E+030)</f>
        <v>-6.3157272840601</v>
      </c>
      <c r="AE162" s="55" t="n">
        <f aca="false">IF(AC162,IF(01_因子設定!$B$13="最大化",X162,IF(01_因子設定!$B$13="最小化",-X162,-ABS(X162-01_因子設定!$B$16))),-1E+030)</f>
        <v>41.8566703216375</v>
      </c>
      <c r="AF162" s="55" t="n">
        <f aca="false">AD162+ROW()*0.000000001</f>
        <v>-6.3157271220601</v>
      </c>
      <c r="AG162" s="55" t="n">
        <f aca="false">AE162+ROW()*0.000000001</f>
        <v>41.8566704836375</v>
      </c>
    </row>
    <row r="163" customFormat="false" ht="15" hidden="false" customHeight="false" outlineLevel="0" collapsed="false">
      <c r="A163" s="0" t="n">
        <v>0</v>
      </c>
      <c r="B163" s="0" t="n">
        <v>1</v>
      </c>
      <c r="C163" s="0" t="n">
        <v>8</v>
      </c>
      <c r="D163" s="0" t="n">
        <v>5</v>
      </c>
      <c r="E163" s="0" t="n">
        <f aca="false">-1+A163*0.25</f>
        <v>-1</v>
      </c>
      <c r="F163" s="0" t="n">
        <f aca="false">-1+B163*0.25</f>
        <v>-0.75</v>
      </c>
      <c r="G163" s="0" t="n">
        <f aca="false">-1+C163*0.25</f>
        <v>1</v>
      </c>
      <c r="H163" s="0" t="n">
        <f aca="false">-1+D163*0.25</f>
        <v>0.25</v>
      </c>
      <c r="I163" s="0" t="n">
        <f aca="false">1</f>
        <v>1</v>
      </c>
      <c r="J163" s="0" t="n">
        <f aca="false">E163</f>
        <v>-1</v>
      </c>
      <c r="K163" s="0" t="n">
        <f aca="false">F163</f>
        <v>-0.75</v>
      </c>
      <c r="L163" s="0" t="n">
        <f aca="false">G163</f>
        <v>1</v>
      </c>
      <c r="M163" s="0" t="n">
        <f aca="false">H163</f>
        <v>0.25</v>
      </c>
      <c r="N163" s="0" t="n">
        <f aca="false">E163*F163</f>
        <v>0.75</v>
      </c>
      <c r="O163" s="0" t="n">
        <f aca="false">E163*G163</f>
        <v>-1</v>
      </c>
      <c r="P163" s="0" t="n">
        <f aca="false">E163*H163</f>
        <v>-0.25</v>
      </c>
      <c r="Q163" s="0" t="n">
        <f aca="false">F163*G163</f>
        <v>-0.75</v>
      </c>
      <c r="R163" s="0" t="n">
        <f aca="false">F163*H163</f>
        <v>-0.1875</v>
      </c>
      <c r="S163" s="0" t="n">
        <f aca="false">G163*H163</f>
        <v>0.25</v>
      </c>
      <c r="T163" s="0" t="n">
        <f aca="false">E163*E163</f>
        <v>1</v>
      </c>
      <c r="U163" s="0" t="n">
        <f aca="false">F163*F163</f>
        <v>0.5625</v>
      </c>
      <c r="V163" s="0" t="n">
        <f aca="false">G163*G163</f>
        <v>1</v>
      </c>
      <c r="W163" s="0" t="n">
        <f aca="false">H163*H163</f>
        <v>0.0625</v>
      </c>
      <c r="X163" s="0" t="n">
        <f aca="false">SUMPRODUCT(I163:W163,_XtX!$B$96:$P$96)</f>
        <v>42.0146244517544</v>
      </c>
      <c r="Y163" s="0" t="n">
        <f aca="false">SUMPRODUCT(MMULT(I163:W163,_XtX!$B$78:$P$92),I163:W163)</f>
        <v>0.621372155975877</v>
      </c>
      <c r="Z163" s="0" t="n">
        <f aca="false">04_回帰ANOVA!$K$19*04_回帰ANOVA!$K$14*SQRT(1+Y163)</f>
        <v>1.65973880499872</v>
      </c>
      <c r="AA163" s="0" t="n">
        <f aca="false">X163-Z163</f>
        <v>40.3548856467557</v>
      </c>
      <c r="AB163" s="0" t="n">
        <f aca="false">X163+Z163</f>
        <v>43.6743632567531</v>
      </c>
      <c r="AC163" s="54" t="b">
        <f aca="false">AND(E163&gt;=01_因子設定!$L$5-0.000000001,E163&lt;=01_因子設定!$M$5+0.000000001,F163&gt;=01_因子設定!$L$6-0.000000001,F163&lt;=01_因子設定!$M$6+0.000000001,G163&gt;=01_因子設定!$L$7-0.000000001,G163&lt;=01_因子設定!$M$7+0.000000001,H163&gt;=01_因子設定!$L$8-0.000000001,H163&lt;=01_因子設定!$M$8+0.000000001,IF(01_因子設定!$B$20="Box-Behnken",E163^2+F163^2+G163^2+H163^2&lt;=2+0.000000001,TRUE()))</f>
        <v>1</v>
      </c>
      <c r="AD163" s="55" t="n">
        <f aca="false">IF(AC163,IF(01_因子設定!$B$13="最大化",AA163-01_因子設定!$B$14,IF(01_因子設定!$B$13="最小化",01_因子設定!$B$15-AB163,MIN(AA163-01_因子設定!$B$14,01_因子設定!$B$15-AB163))),-1E+030)</f>
        <v>-6.1451143532443</v>
      </c>
      <c r="AE163" s="55" t="n">
        <f aca="false">IF(AC163,IF(01_因子設定!$B$13="最大化",X163,IF(01_因子設定!$B$13="最小化",-X163,-ABS(X163-01_因子設定!$B$16))),-1E+030)</f>
        <v>42.0146244517544</v>
      </c>
      <c r="AF163" s="55" t="n">
        <f aca="false">AD163+ROW()*0.000000001</f>
        <v>-6.1451141902443</v>
      </c>
      <c r="AG163" s="55" t="n">
        <f aca="false">AE163+ROW()*0.000000001</f>
        <v>42.0146246147544</v>
      </c>
    </row>
    <row r="164" customFormat="false" ht="15" hidden="false" customHeight="false" outlineLevel="0" collapsed="false">
      <c r="A164" s="0" t="n">
        <v>0</v>
      </c>
      <c r="B164" s="0" t="n">
        <v>1</v>
      </c>
      <c r="C164" s="0" t="n">
        <v>8</v>
      </c>
      <c r="D164" s="0" t="n">
        <v>6</v>
      </c>
      <c r="E164" s="0" t="n">
        <f aca="false">-1+A164*0.25</f>
        <v>-1</v>
      </c>
      <c r="F164" s="0" t="n">
        <f aca="false">-1+B164*0.25</f>
        <v>-0.75</v>
      </c>
      <c r="G164" s="0" t="n">
        <f aca="false">-1+C164*0.25</f>
        <v>1</v>
      </c>
      <c r="H164" s="0" t="n">
        <f aca="false">-1+D164*0.25</f>
        <v>0.5</v>
      </c>
      <c r="I164" s="0" t="n">
        <f aca="false">1</f>
        <v>1</v>
      </c>
      <c r="J164" s="0" t="n">
        <f aca="false">E164</f>
        <v>-1</v>
      </c>
      <c r="K164" s="0" t="n">
        <f aca="false">F164</f>
        <v>-0.75</v>
      </c>
      <c r="L164" s="0" t="n">
        <f aca="false">G164</f>
        <v>1</v>
      </c>
      <c r="M164" s="0" t="n">
        <f aca="false">H164</f>
        <v>0.5</v>
      </c>
      <c r="N164" s="0" t="n">
        <f aca="false">E164*F164</f>
        <v>0.75</v>
      </c>
      <c r="O164" s="0" t="n">
        <f aca="false">E164*G164</f>
        <v>-1</v>
      </c>
      <c r="P164" s="0" t="n">
        <f aca="false">E164*H164</f>
        <v>-0.5</v>
      </c>
      <c r="Q164" s="0" t="n">
        <f aca="false">F164*G164</f>
        <v>-0.75</v>
      </c>
      <c r="R164" s="0" t="n">
        <f aca="false">F164*H164</f>
        <v>-0.375</v>
      </c>
      <c r="S164" s="0" t="n">
        <f aca="false">G164*H164</f>
        <v>0.5</v>
      </c>
      <c r="T164" s="0" t="n">
        <f aca="false">E164*E164</f>
        <v>1</v>
      </c>
      <c r="U164" s="0" t="n">
        <f aca="false">F164*F164</f>
        <v>0.5625</v>
      </c>
      <c r="V164" s="0" t="n">
        <f aca="false">G164*G164</f>
        <v>1</v>
      </c>
      <c r="W164" s="0" t="n">
        <f aca="false">H164*H164</f>
        <v>0.25</v>
      </c>
      <c r="X164" s="0" t="n">
        <f aca="false">SUMPRODUCT(I164:W164,_XtX!$B$96:$P$96)</f>
        <v>42.1247715643275</v>
      </c>
      <c r="Y164" s="0" t="n">
        <f aca="false">SUMPRODUCT(MMULT(I164:W164,_XtX!$B$78:$P$92),I164:W164)</f>
        <v>0.564984237938597</v>
      </c>
      <c r="Z164" s="0" t="n">
        <f aca="false">04_回帰ANOVA!$K$19*04_回帰ANOVA!$K$14*SQRT(1+Y164)</f>
        <v>1.63062229734503</v>
      </c>
      <c r="AA164" s="0" t="n">
        <f aca="false">X164-Z164</f>
        <v>40.4941492669825</v>
      </c>
      <c r="AB164" s="0" t="n">
        <f aca="false">X164+Z164</f>
        <v>43.7553938616726</v>
      </c>
      <c r="AC164" s="54" t="b">
        <f aca="false">AND(E164&gt;=01_因子設定!$L$5-0.000000001,E164&lt;=01_因子設定!$M$5+0.000000001,F164&gt;=01_因子設定!$L$6-0.000000001,F164&lt;=01_因子設定!$M$6+0.000000001,G164&gt;=01_因子設定!$L$7-0.000000001,G164&lt;=01_因子設定!$M$7+0.000000001,H164&gt;=01_因子設定!$L$8-0.000000001,H164&lt;=01_因子設定!$M$8+0.000000001,IF(01_因子設定!$B$20="Box-Behnken",E164^2+F164^2+G164^2+H164^2&lt;=2+0.000000001,TRUE()))</f>
        <v>1</v>
      </c>
      <c r="AD164" s="55" t="n">
        <f aca="false">IF(AC164,IF(01_因子設定!$B$13="最大化",AA164-01_因子設定!$B$14,IF(01_因子設定!$B$13="最小化",01_因子設定!$B$15-AB164,MIN(AA164-01_因子設定!$B$14,01_因子設定!$B$15-AB164))),-1E+030)</f>
        <v>-6.00585073301751</v>
      </c>
      <c r="AE164" s="55" t="n">
        <f aca="false">IF(AC164,IF(01_因子設定!$B$13="最大化",X164,IF(01_因子設定!$B$13="最小化",-X164,-ABS(X164-01_因子設定!$B$16))),-1E+030)</f>
        <v>42.1247715643275</v>
      </c>
      <c r="AF164" s="55" t="n">
        <f aca="false">AD164+ROW()*0.000000001</f>
        <v>-6.00585056901751</v>
      </c>
      <c r="AG164" s="55" t="n">
        <f aca="false">AE164+ROW()*0.000000001</f>
        <v>42.1247717283275</v>
      </c>
    </row>
    <row r="165" customFormat="false" ht="15" hidden="false" customHeight="false" outlineLevel="0" collapsed="false">
      <c r="A165" s="0" t="n">
        <v>0</v>
      </c>
      <c r="B165" s="0" t="n">
        <v>1</v>
      </c>
      <c r="C165" s="0" t="n">
        <v>8</v>
      </c>
      <c r="D165" s="0" t="n">
        <v>7</v>
      </c>
      <c r="E165" s="0" t="n">
        <f aca="false">-1+A165*0.25</f>
        <v>-1</v>
      </c>
      <c r="F165" s="0" t="n">
        <f aca="false">-1+B165*0.25</f>
        <v>-0.75</v>
      </c>
      <c r="G165" s="0" t="n">
        <f aca="false">-1+C165*0.25</f>
        <v>1</v>
      </c>
      <c r="H165" s="0" t="n">
        <f aca="false">-1+D165*0.25</f>
        <v>0.75</v>
      </c>
      <c r="I165" s="0" t="n">
        <f aca="false">1</f>
        <v>1</v>
      </c>
      <c r="J165" s="0" t="n">
        <f aca="false">E165</f>
        <v>-1</v>
      </c>
      <c r="K165" s="0" t="n">
        <f aca="false">F165</f>
        <v>-0.75</v>
      </c>
      <c r="L165" s="0" t="n">
        <f aca="false">G165</f>
        <v>1</v>
      </c>
      <c r="M165" s="0" t="n">
        <f aca="false">H165</f>
        <v>0.75</v>
      </c>
      <c r="N165" s="0" t="n">
        <f aca="false">E165*F165</f>
        <v>0.75</v>
      </c>
      <c r="O165" s="0" t="n">
        <f aca="false">E165*G165</f>
        <v>-1</v>
      </c>
      <c r="P165" s="0" t="n">
        <f aca="false">E165*H165</f>
        <v>-0.75</v>
      </c>
      <c r="Q165" s="0" t="n">
        <f aca="false">F165*G165</f>
        <v>-0.75</v>
      </c>
      <c r="R165" s="0" t="n">
        <f aca="false">F165*H165</f>
        <v>-0.5625</v>
      </c>
      <c r="S165" s="0" t="n">
        <f aca="false">G165*H165</f>
        <v>0.75</v>
      </c>
      <c r="T165" s="0" t="n">
        <f aca="false">E165*E165</f>
        <v>1</v>
      </c>
      <c r="U165" s="0" t="n">
        <f aca="false">F165*F165</f>
        <v>0.5625</v>
      </c>
      <c r="V165" s="0" t="n">
        <f aca="false">G165*G165</f>
        <v>1</v>
      </c>
      <c r="W165" s="0" t="n">
        <f aca="false">H165*H165</f>
        <v>0.5625</v>
      </c>
      <c r="X165" s="0" t="n">
        <f aca="false">SUMPRODUCT(I165:W165,_XtX!$B$96:$P$96)</f>
        <v>42.1871116593568</v>
      </c>
      <c r="Y165" s="0" t="n">
        <f aca="false">SUMPRODUCT(MMULT(I165:W165,_XtX!$B$78:$P$92),I165:W165)</f>
        <v>0.531311392086988</v>
      </c>
      <c r="Z165" s="0" t="n">
        <f aca="false">04_回帰ANOVA!$K$19*04_回帰ANOVA!$K$14*SQRT(1+Y165)</f>
        <v>1.61298433431428</v>
      </c>
      <c r="AA165" s="0" t="n">
        <f aca="false">X165-Z165</f>
        <v>40.5741273250425</v>
      </c>
      <c r="AB165" s="0" t="n">
        <f aca="false">X165+Z165</f>
        <v>43.8000959936711</v>
      </c>
      <c r="AC165" s="54" t="b">
        <f aca="false">AND(E165&gt;=01_因子設定!$L$5-0.000000001,E165&lt;=01_因子設定!$M$5+0.000000001,F165&gt;=01_因子設定!$L$6-0.000000001,F165&lt;=01_因子設定!$M$6+0.000000001,G165&gt;=01_因子設定!$L$7-0.000000001,G165&lt;=01_因子設定!$M$7+0.000000001,H165&gt;=01_因子設定!$L$8-0.000000001,H165&lt;=01_因子設定!$M$8+0.000000001,IF(01_因子設定!$B$20="Box-Behnken",E165^2+F165^2+G165^2+H165^2&lt;=2+0.000000001,TRUE()))</f>
        <v>1</v>
      </c>
      <c r="AD165" s="55" t="n">
        <f aca="false">IF(AC165,IF(01_因子設定!$B$13="最大化",AA165-01_因子設定!$B$14,IF(01_因子設定!$B$13="最小化",01_因子設定!$B$15-AB165,MIN(AA165-01_因子設定!$B$14,01_因子設定!$B$15-AB165))),-1E+030)</f>
        <v>-5.92587267495751</v>
      </c>
      <c r="AE165" s="55" t="n">
        <f aca="false">IF(AC165,IF(01_因子設定!$B$13="最大化",X165,IF(01_因子設定!$B$13="最小化",-X165,-ABS(X165-01_因子設定!$B$16))),-1E+030)</f>
        <v>42.1871116593568</v>
      </c>
      <c r="AF165" s="55" t="n">
        <f aca="false">AD165+ROW()*0.000000001</f>
        <v>-5.92587250995751</v>
      </c>
      <c r="AG165" s="55" t="n">
        <f aca="false">AE165+ROW()*0.000000001</f>
        <v>42.1871118243568</v>
      </c>
    </row>
    <row r="166" customFormat="false" ht="15" hidden="false" customHeight="false" outlineLevel="0" collapsed="false">
      <c r="A166" s="0" t="n">
        <v>0</v>
      </c>
      <c r="B166" s="0" t="n">
        <v>1</v>
      </c>
      <c r="C166" s="0" t="n">
        <v>8</v>
      </c>
      <c r="D166" s="0" t="n">
        <v>8</v>
      </c>
      <c r="E166" s="0" t="n">
        <f aca="false">-1+A166*0.25</f>
        <v>-1</v>
      </c>
      <c r="F166" s="0" t="n">
        <f aca="false">-1+B166*0.25</f>
        <v>-0.75</v>
      </c>
      <c r="G166" s="0" t="n">
        <f aca="false">-1+C166*0.25</f>
        <v>1</v>
      </c>
      <c r="H166" s="0" t="n">
        <f aca="false">-1+D166*0.25</f>
        <v>1</v>
      </c>
      <c r="I166" s="0" t="n">
        <f aca="false">1</f>
        <v>1</v>
      </c>
      <c r="J166" s="0" t="n">
        <f aca="false">E166</f>
        <v>-1</v>
      </c>
      <c r="K166" s="0" t="n">
        <f aca="false">F166</f>
        <v>-0.75</v>
      </c>
      <c r="L166" s="0" t="n">
        <f aca="false">G166</f>
        <v>1</v>
      </c>
      <c r="M166" s="0" t="n">
        <f aca="false">H166</f>
        <v>1</v>
      </c>
      <c r="N166" s="0" t="n">
        <f aca="false">E166*F166</f>
        <v>0.75</v>
      </c>
      <c r="O166" s="0" t="n">
        <f aca="false">E166*G166</f>
        <v>-1</v>
      </c>
      <c r="P166" s="0" t="n">
        <f aca="false">E166*H166</f>
        <v>-1</v>
      </c>
      <c r="Q166" s="0" t="n">
        <f aca="false">F166*G166</f>
        <v>-0.75</v>
      </c>
      <c r="R166" s="0" t="n">
        <f aca="false">F166*H166</f>
        <v>-0.75</v>
      </c>
      <c r="S166" s="0" t="n">
        <f aca="false">G166*H166</f>
        <v>1</v>
      </c>
      <c r="T166" s="0" t="n">
        <f aca="false">E166*E166</f>
        <v>1</v>
      </c>
      <c r="U166" s="0" t="n">
        <f aca="false">F166*F166</f>
        <v>0.5625</v>
      </c>
      <c r="V166" s="0" t="n">
        <f aca="false">G166*G166</f>
        <v>1</v>
      </c>
      <c r="W166" s="0" t="n">
        <f aca="false">H166*H166</f>
        <v>1</v>
      </c>
      <c r="X166" s="0" t="n">
        <f aca="false">SUMPRODUCT(I166:W166,_XtX!$B$96:$P$96)</f>
        <v>42.2016447368422</v>
      </c>
      <c r="Y166" s="0" t="n">
        <f aca="false">SUMPRODUCT(MMULT(I166:W166,_XtX!$B$78:$P$92),I166:W166)</f>
        <v>0.610814144736842</v>
      </c>
      <c r="Z166" s="0" t="n">
        <f aca="false">04_回帰ANOVA!$K$19*04_回帰ANOVA!$K$14*SQRT(1+Y166)</f>
        <v>1.6543260558361</v>
      </c>
      <c r="AA166" s="0" t="n">
        <f aca="false">X166-Z166</f>
        <v>40.5473186810061</v>
      </c>
      <c r="AB166" s="0" t="n">
        <f aca="false">X166+Z166</f>
        <v>43.8559707926783</v>
      </c>
      <c r="AC166" s="54" t="b">
        <f aca="false">AND(E166&gt;=01_因子設定!$L$5-0.000000001,E166&lt;=01_因子設定!$M$5+0.000000001,F166&gt;=01_因子設定!$L$6-0.000000001,F166&lt;=01_因子設定!$M$6+0.000000001,G166&gt;=01_因子設定!$L$7-0.000000001,G166&lt;=01_因子設定!$M$7+0.000000001,H166&gt;=01_因子設定!$L$8-0.000000001,H166&lt;=01_因子設定!$M$8+0.000000001,IF(01_因子設定!$B$20="Box-Behnken",E166^2+F166^2+G166^2+H166^2&lt;=2+0.000000001,TRUE()))</f>
        <v>1</v>
      </c>
      <c r="AD166" s="55" t="n">
        <f aca="false">IF(AC166,IF(01_因子設定!$B$13="最大化",AA166-01_因子設定!$B$14,IF(01_因子設定!$B$13="最小化",01_因子設定!$B$15-AB166,MIN(AA166-01_因子設定!$B$14,01_因子設定!$B$15-AB166))),-1E+030)</f>
        <v>-5.95268131899393</v>
      </c>
      <c r="AE166" s="55" t="n">
        <f aca="false">IF(AC166,IF(01_因子設定!$B$13="最大化",X166,IF(01_因子設定!$B$13="最小化",-X166,-ABS(X166-01_因子設定!$B$16))),-1E+030)</f>
        <v>42.2016447368422</v>
      </c>
      <c r="AF166" s="55" t="n">
        <f aca="false">AD166+ROW()*0.000000001</f>
        <v>-5.95268115299392</v>
      </c>
      <c r="AG166" s="55" t="n">
        <f aca="false">AE166+ROW()*0.000000001</f>
        <v>42.2016449028422</v>
      </c>
    </row>
    <row r="167" customFormat="false" ht="15" hidden="false" customHeight="false" outlineLevel="0" collapsed="false">
      <c r="A167" s="0" t="n">
        <v>0</v>
      </c>
      <c r="B167" s="0" t="n">
        <v>2</v>
      </c>
      <c r="C167" s="0" t="n">
        <v>0</v>
      </c>
      <c r="D167" s="0" t="n">
        <v>0</v>
      </c>
      <c r="E167" s="0" t="n">
        <f aca="false">-1+A167*0.25</f>
        <v>-1</v>
      </c>
      <c r="F167" s="0" t="n">
        <f aca="false">-1+B167*0.25</f>
        <v>-0.5</v>
      </c>
      <c r="G167" s="0" t="n">
        <f aca="false">-1+C167*0.25</f>
        <v>-1</v>
      </c>
      <c r="H167" s="0" t="n">
        <f aca="false">-1+D167*0.25</f>
        <v>-1</v>
      </c>
      <c r="I167" s="0" t="n">
        <f aca="false">1</f>
        <v>1</v>
      </c>
      <c r="J167" s="0" t="n">
        <f aca="false">E167</f>
        <v>-1</v>
      </c>
      <c r="K167" s="0" t="n">
        <f aca="false">F167</f>
        <v>-0.5</v>
      </c>
      <c r="L167" s="0" t="n">
        <f aca="false">G167</f>
        <v>-1</v>
      </c>
      <c r="M167" s="0" t="n">
        <f aca="false">H167</f>
        <v>-1</v>
      </c>
      <c r="N167" s="0" t="n">
        <f aca="false">E167*F167</f>
        <v>0.5</v>
      </c>
      <c r="O167" s="0" t="n">
        <f aca="false">E167*G167</f>
        <v>1</v>
      </c>
      <c r="P167" s="0" t="n">
        <f aca="false">E167*H167</f>
        <v>1</v>
      </c>
      <c r="Q167" s="0" t="n">
        <f aca="false">F167*G167</f>
        <v>0.5</v>
      </c>
      <c r="R167" s="0" t="n">
        <f aca="false">F167*H167</f>
        <v>0.5</v>
      </c>
      <c r="S167" s="0" t="n">
        <f aca="false">G167*H167</f>
        <v>1</v>
      </c>
      <c r="T167" s="0" t="n">
        <f aca="false">E167*E167</f>
        <v>1</v>
      </c>
      <c r="U167" s="0" t="n">
        <f aca="false">F167*F167</f>
        <v>0.25</v>
      </c>
      <c r="V167" s="0" t="n">
        <f aca="false">G167*G167</f>
        <v>1</v>
      </c>
      <c r="W167" s="0" t="n">
        <f aca="false">H167*H167</f>
        <v>1</v>
      </c>
      <c r="X167" s="0" t="n">
        <f aca="false">SUMPRODUCT(I167:W167,_XtX!$B$96:$P$96)</f>
        <v>39.5482456140352</v>
      </c>
      <c r="Y167" s="0" t="n">
        <f aca="false">SUMPRODUCT(MMULT(I167:W167,_XtX!$B$78:$P$92),I167:W167)</f>
        <v>0.667123538011696</v>
      </c>
      <c r="Z167" s="0" t="n">
        <f aca="false">04_回帰ANOVA!$K$19*04_回帰ANOVA!$K$14*SQRT(1+Y167)</f>
        <v>1.68299290213005</v>
      </c>
      <c r="AA167" s="0" t="n">
        <f aca="false">X167-Z167</f>
        <v>37.8652527119051</v>
      </c>
      <c r="AB167" s="0" t="n">
        <f aca="false">X167+Z167</f>
        <v>41.2312385161652</v>
      </c>
      <c r="AC167" s="54" t="b">
        <f aca="false">AND(E167&gt;=01_因子設定!$L$5-0.000000001,E167&lt;=01_因子設定!$M$5+0.000000001,F167&gt;=01_因子設定!$L$6-0.000000001,F167&lt;=01_因子設定!$M$6+0.000000001,G167&gt;=01_因子設定!$L$7-0.000000001,G167&lt;=01_因子設定!$M$7+0.000000001,H167&gt;=01_因子設定!$L$8-0.000000001,H167&lt;=01_因子設定!$M$8+0.000000001,IF(01_因子設定!$B$20="Box-Behnken",E167^2+F167^2+G167^2+H167^2&lt;=2+0.000000001,TRUE()))</f>
        <v>1</v>
      </c>
      <c r="AD167" s="55" t="n">
        <f aca="false">IF(AC167,IF(01_因子設定!$B$13="最大化",AA167-01_因子設定!$B$14,IF(01_因子設定!$B$13="最小化",01_因子設定!$B$15-AB167,MIN(AA167-01_因子設定!$B$14,01_因子設定!$B$15-AB167))),-1E+030)</f>
        <v>-8.6347472880949</v>
      </c>
      <c r="AE167" s="55" t="n">
        <f aca="false">IF(AC167,IF(01_因子設定!$B$13="最大化",X167,IF(01_因子設定!$B$13="最小化",-X167,-ABS(X167-01_因子設定!$B$16))),-1E+030)</f>
        <v>39.5482456140352</v>
      </c>
      <c r="AF167" s="55" t="n">
        <f aca="false">AD167+ROW()*0.000000001</f>
        <v>-8.6347471210949</v>
      </c>
      <c r="AG167" s="55" t="n">
        <f aca="false">AE167+ROW()*0.000000001</f>
        <v>39.5482457810352</v>
      </c>
    </row>
    <row r="168" customFormat="false" ht="15" hidden="false" customHeight="false" outlineLevel="0" collapsed="false">
      <c r="A168" s="0" t="n">
        <v>0</v>
      </c>
      <c r="B168" s="0" t="n">
        <v>2</v>
      </c>
      <c r="C168" s="0" t="n">
        <v>0</v>
      </c>
      <c r="D168" s="0" t="n">
        <v>1</v>
      </c>
      <c r="E168" s="0" t="n">
        <f aca="false">-1+A168*0.25</f>
        <v>-1</v>
      </c>
      <c r="F168" s="0" t="n">
        <f aca="false">-1+B168*0.25</f>
        <v>-0.5</v>
      </c>
      <c r="G168" s="0" t="n">
        <f aca="false">-1+C168*0.25</f>
        <v>-1</v>
      </c>
      <c r="H168" s="0" t="n">
        <f aca="false">-1+D168*0.25</f>
        <v>-0.75</v>
      </c>
      <c r="I168" s="0" t="n">
        <f aca="false">1</f>
        <v>1</v>
      </c>
      <c r="J168" s="0" t="n">
        <f aca="false">E168</f>
        <v>-1</v>
      </c>
      <c r="K168" s="0" t="n">
        <f aca="false">F168</f>
        <v>-0.5</v>
      </c>
      <c r="L168" s="0" t="n">
        <f aca="false">G168</f>
        <v>-1</v>
      </c>
      <c r="M168" s="0" t="n">
        <f aca="false">H168</f>
        <v>-0.75</v>
      </c>
      <c r="N168" s="0" t="n">
        <f aca="false">E168*F168</f>
        <v>0.5</v>
      </c>
      <c r="O168" s="0" t="n">
        <f aca="false">E168*G168</f>
        <v>1</v>
      </c>
      <c r="P168" s="0" t="n">
        <f aca="false">E168*H168</f>
        <v>0.75</v>
      </c>
      <c r="Q168" s="0" t="n">
        <f aca="false">F168*G168</f>
        <v>0.5</v>
      </c>
      <c r="R168" s="0" t="n">
        <f aca="false">F168*H168</f>
        <v>0.375</v>
      </c>
      <c r="S168" s="0" t="n">
        <f aca="false">G168*H168</f>
        <v>0.75</v>
      </c>
      <c r="T168" s="0" t="n">
        <f aca="false">E168*E168</f>
        <v>1</v>
      </c>
      <c r="U168" s="0" t="n">
        <f aca="false">F168*F168</f>
        <v>0.25</v>
      </c>
      <c r="V168" s="0" t="n">
        <f aca="false">G168*G168</f>
        <v>1</v>
      </c>
      <c r="W168" s="0" t="n">
        <f aca="false">H168*H168</f>
        <v>0.5625</v>
      </c>
      <c r="X168" s="0" t="n">
        <f aca="false">SUMPRODUCT(I168:W168,_XtX!$B$96:$P$96)</f>
        <v>39.7403965643275</v>
      </c>
      <c r="Y168" s="0" t="n">
        <f aca="false">SUMPRODUCT(MMULT(I168:W168,_XtX!$B$78:$P$92),I168:W168)</f>
        <v>0.564984237938597</v>
      </c>
      <c r="Z168" s="0" t="n">
        <f aca="false">04_回帰ANOVA!$K$19*04_回帰ANOVA!$K$14*SQRT(1+Y168)</f>
        <v>1.63062229734503</v>
      </c>
      <c r="AA168" s="0" t="n">
        <f aca="false">X168-Z168</f>
        <v>38.1097742669825</v>
      </c>
      <c r="AB168" s="0" t="n">
        <f aca="false">X168+Z168</f>
        <v>41.3710188616726</v>
      </c>
      <c r="AC168" s="54" t="b">
        <f aca="false">AND(E168&gt;=01_因子設定!$L$5-0.000000001,E168&lt;=01_因子設定!$M$5+0.000000001,F168&gt;=01_因子設定!$L$6-0.000000001,F168&lt;=01_因子設定!$M$6+0.000000001,G168&gt;=01_因子設定!$L$7-0.000000001,G168&lt;=01_因子設定!$M$7+0.000000001,H168&gt;=01_因子設定!$L$8-0.000000001,H168&lt;=01_因子設定!$M$8+0.000000001,IF(01_因子設定!$B$20="Box-Behnken",E168^2+F168^2+G168^2+H168^2&lt;=2+0.000000001,TRUE()))</f>
        <v>1</v>
      </c>
      <c r="AD168" s="55" t="n">
        <f aca="false">IF(AC168,IF(01_因子設定!$B$13="最大化",AA168-01_因子設定!$B$14,IF(01_因子設定!$B$13="最小化",01_因子設定!$B$15-AB168,MIN(AA168-01_因子設定!$B$14,01_因子設定!$B$15-AB168))),-1E+030)</f>
        <v>-8.3902257330175</v>
      </c>
      <c r="AE168" s="55" t="n">
        <f aca="false">IF(AC168,IF(01_因子設定!$B$13="最大化",X168,IF(01_因子設定!$B$13="最小化",-X168,-ABS(X168-01_因子設定!$B$16))),-1E+030)</f>
        <v>39.7403965643275</v>
      </c>
      <c r="AF168" s="55" t="n">
        <f aca="false">AD168+ROW()*0.000000001</f>
        <v>-8.3902255650175</v>
      </c>
      <c r="AG168" s="55" t="n">
        <f aca="false">AE168+ROW()*0.000000001</f>
        <v>39.7403967323275</v>
      </c>
    </row>
    <row r="169" customFormat="false" ht="15" hidden="false" customHeight="false" outlineLevel="0" collapsed="false">
      <c r="A169" s="0" t="n">
        <v>0</v>
      </c>
      <c r="B169" s="0" t="n">
        <v>2</v>
      </c>
      <c r="C169" s="0" t="n">
        <v>0</v>
      </c>
      <c r="D169" s="0" t="n">
        <v>2</v>
      </c>
      <c r="E169" s="0" t="n">
        <f aca="false">-1+A169*0.25</f>
        <v>-1</v>
      </c>
      <c r="F169" s="0" t="n">
        <f aca="false">-1+B169*0.25</f>
        <v>-0.5</v>
      </c>
      <c r="G169" s="0" t="n">
        <f aca="false">-1+C169*0.25</f>
        <v>-1</v>
      </c>
      <c r="H169" s="0" t="n">
        <f aca="false">-1+D169*0.25</f>
        <v>-0.5</v>
      </c>
      <c r="I169" s="0" t="n">
        <f aca="false">1</f>
        <v>1</v>
      </c>
      <c r="J169" s="0" t="n">
        <f aca="false">E169</f>
        <v>-1</v>
      </c>
      <c r="K169" s="0" t="n">
        <f aca="false">F169</f>
        <v>-0.5</v>
      </c>
      <c r="L169" s="0" t="n">
        <f aca="false">G169</f>
        <v>-1</v>
      </c>
      <c r="M169" s="0" t="n">
        <f aca="false">H169</f>
        <v>-0.5</v>
      </c>
      <c r="N169" s="0" t="n">
        <f aca="false">E169*F169</f>
        <v>0.5</v>
      </c>
      <c r="O169" s="0" t="n">
        <f aca="false">E169*G169</f>
        <v>1</v>
      </c>
      <c r="P169" s="0" t="n">
        <f aca="false">E169*H169</f>
        <v>0.5</v>
      </c>
      <c r="Q169" s="0" t="n">
        <f aca="false">F169*G169</f>
        <v>0.5</v>
      </c>
      <c r="R169" s="0" t="n">
        <f aca="false">F169*H169</f>
        <v>0.25</v>
      </c>
      <c r="S169" s="0" t="n">
        <f aca="false">G169*H169</f>
        <v>0.5</v>
      </c>
      <c r="T169" s="0" t="n">
        <f aca="false">E169*E169</f>
        <v>1</v>
      </c>
      <c r="U169" s="0" t="n">
        <f aca="false">F169*F169</f>
        <v>0.25</v>
      </c>
      <c r="V169" s="0" t="n">
        <f aca="false">G169*G169</f>
        <v>1</v>
      </c>
      <c r="W169" s="0" t="n">
        <f aca="false">H169*H169</f>
        <v>0.25</v>
      </c>
      <c r="X169" s="0" t="n">
        <f aca="false">SUMPRODUCT(I169:W169,_XtX!$B$96:$P$96)</f>
        <v>39.8847404970761</v>
      </c>
      <c r="Y169" s="0" t="n">
        <f aca="false">SUMPRODUCT(MMULT(I169:W169,_XtX!$B$78:$P$92),I169:W169)</f>
        <v>0.582488121345029</v>
      </c>
      <c r="Z169" s="0" t="n">
        <f aca="false">04_回帰ANOVA!$K$19*04_回帰ANOVA!$K$14*SQRT(1+Y169)</f>
        <v>1.63971595338287</v>
      </c>
      <c r="AA169" s="0" t="n">
        <f aca="false">X169-Z169</f>
        <v>38.2450245436932</v>
      </c>
      <c r="AB169" s="0" t="n">
        <f aca="false">X169+Z169</f>
        <v>41.5244564504589</v>
      </c>
      <c r="AC169" s="54" t="b">
        <f aca="false">AND(E169&gt;=01_因子設定!$L$5-0.000000001,E169&lt;=01_因子設定!$M$5+0.000000001,F169&gt;=01_因子設定!$L$6-0.000000001,F169&lt;=01_因子設定!$M$6+0.000000001,G169&gt;=01_因子設定!$L$7-0.000000001,G169&lt;=01_因子設定!$M$7+0.000000001,H169&gt;=01_因子設定!$L$8-0.000000001,H169&lt;=01_因子設定!$M$8+0.000000001,IF(01_因子設定!$B$20="Box-Behnken",E169^2+F169^2+G169^2+H169^2&lt;=2+0.000000001,TRUE()))</f>
        <v>1</v>
      </c>
      <c r="AD169" s="55" t="n">
        <f aca="false">IF(AC169,IF(01_因子設定!$B$13="最大化",AA169-01_因子設定!$B$14,IF(01_因子設定!$B$13="最小化",01_因子設定!$B$15-AB169,MIN(AA169-01_因子設定!$B$14,01_因子設定!$B$15-AB169))),-1E+030)</f>
        <v>-8.2549754563068</v>
      </c>
      <c r="AE169" s="55" t="n">
        <f aca="false">IF(AC169,IF(01_因子設定!$B$13="最大化",X169,IF(01_因子設定!$B$13="最小化",-X169,-ABS(X169-01_因子設定!$B$16))),-1E+030)</f>
        <v>39.8847404970761</v>
      </c>
      <c r="AF169" s="55" t="n">
        <f aca="false">AD169+ROW()*0.000000001</f>
        <v>-8.2549752873068</v>
      </c>
      <c r="AG169" s="55" t="n">
        <f aca="false">AE169+ROW()*0.000000001</f>
        <v>39.8847406660761</v>
      </c>
    </row>
    <row r="170" customFormat="false" ht="15" hidden="false" customHeight="false" outlineLevel="0" collapsed="false">
      <c r="A170" s="0" t="n">
        <v>0</v>
      </c>
      <c r="B170" s="0" t="n">
        <v>2</v>
      </c>
      <c r="C170" s="0" t="n">
        <v>0</v>
      </c>
      <c r="D170" s="0" t="n">
        <v>3</v>
      </c>
      <c r="E170" s="0" t="n">
        <f aca="false">-1+A170*0.25</f>
        <v>-1</v>
      </c>
      <c r="F170" s="0" t="n">
        <f aca="false">-1+B170*0.25</f>
        <v>-0.5</v>
      </c>
      <c r="G170" s="0" t="n">
        <f aca="false">-1+C170*0.25</f>
        <v>-1</v>
      </c>
      <c r="H170" s="0" t="n">
        <f aca="false">-1+D170*0.25</f>
        <v>-0.25</v>
      </c>
      <c r="I170" s="0" t="n">
        <f aca="false">1</f>
        <v>1</v>
      </c>
      <c r="J170" s="0" t="n">
        <f aca="false">E170</f>
        <v>-1</v>
      </c>
      <c r="K170" s="0" t="n">
        <f aca="false">F170</f>
        <v>-0.5</v>
      </c>
      <c r="L170" s="0" t="n">
        <f aca="false">G170</f>
        <v>-1</v>
      </c>
      <c r="M170" s="0" t="n">
        <f aca="false">H170</f>
        <v>-0.25</v>
      </c>
      <c r="N170" s="0" t="n">
        <f aca="false">E170*F170</f>
        <v>0.5</v>
      </c>
      <c r="O170" s="0" t="n">
        <f aca="false">E170*G170</f>
        <v>1</v>
      </c>
      <c r="P170" s="0" t="n">
        <f aca="false">E170*H170</f>
        <v>0.25</v>
      </c>
      <c r="Q170" s="0" t="n">
        <f aca="false">F170*G170</f>
        <v>0.5</v>
      </c>
      <c r="R170" s="0" t="n">
        <f aca="false">F170*H170</f>
        <v>0.125</v>
      </c>
      <c r="S170" s="0" t="n">
        <f aca="false">G170*H170</f>
        <v>0.25</v>
      </c>
      <c r="T170" s="0" t="n">
        <f aca="false">E170*E170</f>
        <v>1</v>
      </c>
      <c r="U170" s="0" t="n">
        <f aca="false">F170*F170</f>
        <v>0.25</v>
      </c>
      <c r="V170" s="0" t="n">
        <f aca="false">G170*G170</f>
        <v>1</v>
      </c>
      <c r="W170" s="0" t="n">
        <f aca="false">H170*H170</f>
        <v>0.0625</v>
      </c>
      <c r="X170" s="0" t="n">
        <f aca="false">SUMPRODUCT(I170:W170,_XtX!$B$96:$P$96)</f>
        <v>39.9812774122807</v>
      </c>
      <c r="Y170" s="0" t="n">
        <f aca="false">SUMPRODUCT(MMULT(I170:W170,_XtX!$B$78:$P$92),I170:W170)</f>
        <v>0.629174661915205</v>
      </c>
      <c r="Z170" s="0" t="n">
        <f aca="false">04_回帰ANOVA!$K$19*04_回帰ANOVA!$K$14*SQRT(1+Y170)</f>
        <v>1.66372758058297</v>
      </c>
      <c r="AA170" s="0" t="n">
        <f aca="false">X170-Z170</f>
        <v>38.3175498316978</v>
      </c>
      <c r="AB170" s="0" t="n">
        <f aca="false">X170+Z170</f>
        <v>41.6450049928637</v>
      </c>
      <c r="AC170" s="54" t="b">
        <f aca="false">AND(E170&gt;=01_因子設定!$L$5-0.000000001,E170&lt;=01_因子設定!$M$5+0.000000001,F170&gt;=01_因子設定!$L$6-0.000000001,F170&lt;=01_因子設定!$M$6+0.000000001,G170&gt;=01_因子設定!$L$7-0.000000001,G170&lt;=01_因子設定!$M$7+0.000000001,H170&gt;=01_因子設定!$L$8-0.000000001,H170&lt;=01_因子設定!$M$8+0.000000001,IF(01_因子設定!$B$20="Box-Behnken",E170^2+F170^2+G170^2+H170^2&lt;=2+0.000000001,TRUE()))</f>
        <v>1</v>
      </c>
      <c r="AD170" s="55" t="n">
        <f aca="false">IF(AC170,IF(01_因子設定!$B$13="最大化",AA170-01_因子設定!$B$14,IF(01_因子設定!$B$13="最小化",01_因子設定!$B$15-AB170,MIN(AA170-01_因子設定!$B$14,01_因子設定!$B$15-AB170))),-1E+030)</f>
        <v>-8.18245016830224</v>
      </c>
      <c r="AE170" s="55" t="n">
        <f aca="false">IF(AC170,IF(01_因子設定!$B$13="最大化",X170,IF(01_因子設定!$B$13="最小化",-X170,-ABS(X170-01_因子設定!$B$16))),-1E+030)</f>
        <v>39.9812774122807</v>
      </c>
      <c r="AF170" s="55" t="n">
        <f aca="false">AD170+ROW()*0.000000001</f>
        <v>-8.18244999830224</v>
      </c>
      <c r="AG170" s="55" t="n">
        <f aca="false">AE170+ROW()*0.000000001</f>
        <v>39.9812775822807</v>
      </c>
    </row>
    <row r="171" customFormat="false" ht="15" hidden="false" customHeight="false" outlineLevel="0" collapsed="false">
      <c r="A171" s="0" t="n">
        <v>0</v>
      </c>
      <c r="B171" s="0" t="n">
        <v>2</v>
      </c>
      <c r="C171" s="0" t="n">
        <v>0</v>
      </c>
      <c r="D171" s="0" t="n">
        <v>4</v>
      </c>
      <c r="E171" s="0" t="n">
        <f aca="false">-1+A171*0.25</f>
        <v>-1</v>
      </c>
      <c r="F171" s="0" t="n">
        <f aca="false">-1+B171*0.25</f>
        <v>-0.5</v>
      </c>
      <c r="G171" s="0" t="n">
        <f aca="false">-1+C171*0.25</f>
        <v>-1</v>
      </c>
      <c r="H171" s="0" t="n">
        <f aca="false">-1+D171*0.25</f>
        <v>0</v>
      </c>
      <c r="I171" s="0" t="n">
        <f aca="false">1</f>
        <v>1</v>
      </c>
      <c r="J171" s="0" t="n">
        <f aca="false">E171</f>
        <v>-1</v>
      </c>
      <c r="K171" s="0" t="n">
        <f aca="false">F171</f>
        <v>-0.5</v>
      </c>
      <c r="L171" s="0" t="n">
        <f aca="false">G171</f>
        <v>-1</v>
      </c>
      <c r="M171" s="0" t="n">
        <f aca="false">H171</f>
        <v>0</v>
      </c>
      <c r="N171" s="0" t="n">
        <f aca="false">E171*F171</f>
        <v>0.5</v>
      </c>
      <c r="O171" s="0" t="n">
        <f aca="false">E171*G171</f>
        <v>1</v>
      </c>
      <c r="P171" s="0" t="n">
        <f aca="false">E171*H171</f>
        <v>-0</v>
      </c>
      <c r="Q171" s="0" t="n">
        <f aca="false">F171*G171</f>
        <v>0.5</v>
      </c>
      <c r="R171" s="0" t="n">
        <f aca="false">F171*H171</f>
        <v>-0</v>
      </c>
      <c r="S171" s="0" t="n">
        <f aca="false">G171*H171</f>
        <v>-0</v>
      </c>
      <c r="T171" s="0" t="n">
        <f aca="false">E171*E171</f>
        <v>1</v>
      </c>
      <c r="U171" s="0" t="n">
        <f aca="false">F171*F171</f>
        <v>0.25</v>
      </c>
      <c r="V171" s="0" t="n">
        <f aca="false">G171*G171</f>
        <v>1</v>
      </c>
      <c r="W171" s="0" t="n">
        <f aca="false">H171*H171</f>
        <v>0</v>
      </c>
      <c r="X171" s="0" t="n">
        <f aca="false">SUMPRODUCT(I171:W171,_XtX!$B$96:$P$96)</f>
        <v>40.0300073099416</v>
      </c>
      <c r="Y171" s="0" t="n">
        <f aca="false">SUMPRODUCT(MMULT(I171:W171,_XtX!$B$78:$P$92),I171:W171)</f>
        <v>0.650767543859649</v>
      </c>
      <c r="Z171" s="0" t="n">
        <f aca="false">04_回帰ANOVA!$K$19*04_回帰ANOVA!$K$14*SQRT(1+Y171)</f>
        <v>1.67471670935165</v>
      </c>
      <c r="AA171" s="0" t="n">
        <f aca="false">X171-Z171</f>
        <v>38.3552906005899</v>
      </c>
      <c r="AB171" s="0" t="n">
        <f aca="false">X171+Z171</f>
        <v>41.7047240192932</v>
      </c>
      <c r="AC171" s="54" t="b">
        <f aca="false">AND(E171&gt;=01_因子設定!$L$5-0.000000001,E171&lt;=01_因子設定!$M$5+0.000000001,F171&gt;=01_因子設定!$L$6-0.000000001,F171&lt;=01_因子設定!$M$6+0.000000001,G171&gt;=01_因子設定!$L$7-0.000000001,G171&lt;=01_因子設定!$M$7+0.000000001,H171&gt;=01_因子設定!$L$8-0.000000001,H171&lt;=01_因子設定!$M$8+0.000000001,IF(01_因子設定!$B$20="Box-Behnken",E171^2+F171^2+G171^2+H171^2&lt;=2+0.000000001,TRUE()))</f>
        <v>1</v>
      </c>
      <c r="AD171" s="55" t="n">
        <f aca="false">IF(AC171,IF(01_因子設定!$B$13="最大化",AA171-01_因子設定!$B$14,IF(01_因子設定!$B$13="最小化",01_因子設定!$B$15-AB171,MIN(AA171-01_因子設定!$B$14,01_因子設定!$B$15-AB171))),-1E+030)</f>
        <v>-8.1447093994101</v>
      </c>
      <c r="AE171" s="55" t="n">
        <f aca="false">IF(AC171,IF(01_因子設定!$B$13="最大化",X171,IF(01_因子設定!$B$13="最小化",-X171,-ABS(X171-01_因子設定!$B$16))),-1E+030)</f>
        <v>40.0300073099416</v>
      </c>
      <c r="AF171" s="55" t="n">
        <f aca="false">AD171+ROW()*0.000000001</f>
        <v>-8.1447092284101</v>
      </c>
      <c r="AG171" s="55" t="n">
        <f aca="false">AE171+ROW()*0.000000001</f>
        <v>40.0300074809416</v>
      </c>
    </row>
    <row r="172" customFormat="false" ht="15" hidden="false" customHeight="false" outlineLevel="0" collapsed="false">
      <c r="A172" s="0" t="n">
        <v>0</v>
      </c>
      <c r="B172" s="0" t="n">
        <v>2</v>
      </c>
      <c r="C172" s="0" t="n">
        <v>0</v>
      </c>
      <c r="D172" s="0" t="n">
        <v>5</v>
      </c>
      <c r="E172" s="0" t="n">
        <f aca="false">-1+A172*0.25</f>
        <v>-1</v>
      </c>
      <c r="F172" s="0" t="n">
        <f aca="false">-1+B172*0.25</f>
        <v>-0.5</v>
      </c>
      <c r="G172" s="0" t="n">
        <f aca="false">-1+C172*0.25</f>
        <v>-1</v>
      </c>
      <c r="H172" s="0" t="n">
        <f aca="false">-1+D172*0.25</f>
        <v>0.25</v>
      </c>
      <c r="I172" s="0" t="n">
        <f aca="false">1</f>
        <v>1</v>
      </c>
      <c r="J172" s="0" t="n">
        <f aca="false">E172</f>
        <v>-1</v>
      </c>
      <c r="K172" s="0" t="n">
        <f aca="false">F172</f>
        <v>-0.5</v>
      </c>
      <c r="L172" s="0" t="n">
        <f aca="false">G172</f>
        <v>-1</v>
      </c>
      <c r="M172" s="0" t="n">
        <f aca="false">H172</f>
        <v>0.25</v>
      </c>
      <c r="N172" s="0" t="n">
        <f aca="false">E172*F172</f>
        <v>0.5</v>
      </c>
      <c r="O172" s="0" t="n">
        <f aca="false">E172*G172</f>
        <v>1</v>
      </c>
      <c r="P172" s="0" t="n">
        <f aca="false">E172*H172</f>
        <v>-0.25</v>
      </c>
      <c r="Q172" s="0" t="n">
        <f aca="false">F172*G172</f>
        <v>0.5</v>
      </c>
      <c r="R172" s="0" t="n">
        <f aca="false">F172*H172</f>
        <v>-0.125</v>
      </c>
      <c r="S172" s="0" t="n">
        <f aca="false">G172*H172</f>
        <v>-0.25</v>
      </c>
      <c r="T172" s="0" t="n">
        <f aca="false">E172*E172</f>
        <v>1</v>
      </c>
      <c r="U172" s="0" t="n">
        <f aca="false">F172*F172</f>
        <v>0.25</v>
      </c>
      <c r="V172" s="0" t="n">
        <f aca="false">G172*G172</f>
        <v>1</v>
      </c>
      <c r="W172" s="0" t="n">
        <f aca="false">H172*H172</f>
        <v>0.0625</v>
      </c>
      <c r="X172" s="0" t="n">
        <f aca="false">SUMPRODUCT(I172:W172,_XtX!$B$96:$P$96)</f>
        <v>40.0309301900585</v>
      </c>
      <c r="Y172" s="0" t="n">
        <f aca="false">SUMPRODUCT(MMULT(I172:W172,_XtX!$B$78:$P$92),I172:W172)</f>
        <v>0.629174661915205</v>
      </c>
      <c r="Z172" s="0" t="n">
        <f aca="false">04_回帰ANOVA!$K$19*04_回帰ANOVA!$K$14*SQRT(1+Y172)</f>
        <v>1.66372758058297</v>
      </c>
      <c r="AA172" s="0" t="n">
        <f aca="false">X172-Z172</f>
        <v>38.3672026094755</v>
      </c>
      <c r="AB172" s="0" t="n">
        <f aca="false">X172+Z172</f>
        <v>41.6946577706415</v>
      </c>
      <c r="AC172" s="54" t="b">
        <f aca="false">AND(E172&gt;=01_因子設定!$L$5-0.000000001,E172&lt;=01_因子設定!$M$5+0.000000001,F172&gt;=01_因子設定!$L$6-0.000000001,F172&lt;=01_因子設定!$M$6+0.000000001,G172&gt;=01_因子設定!$L$7-0.000000001,G172&lt;=01_因子設定!$M$7+0.000000001,H172&gt;=01_因子設定!$L$8-0.000000001,H172&lt;=01_因子設定!$M$8+0.000000001,IF(01_因子設定!$B$20="Box-Behnken",E172^2+F172^2+G172^2+H172^2&lt;=2+0.000000001,TRUE()))</f>
        <v>1</v>
      </c>
      <c r="AD172" s="55" t="n">
        <f aca="false">IF(AC172,IF(01_因子設定!$B$13="最大化",AA172-01_因子設定!$B$14,IF(01_因子設定!$B$13="最小化",01_因子設定!$B$15-AB172,MIN(AA172-01_因子設定!$B$14,01_因子設定!$B$15-AB172))),-1E+030)</f>
        <v>-8.13279739052446</v>
      </c>
      <c r="AE172" s="55" t="n">
        <f aca="false">IF(AC172,IF(01_因子設定!$B$13="最大化",X172,IF(01_因子設定!$B$13="最小化",-X172,-ABS(X172-01_因子設定!$B$16))),-1E+030)</f>
        <v>40.0309301900585</v>
      </c>
      <c r="AF172" s="55" t="n">
        <f aca="false">AD172+ROW()*0.000000001</f>
        <v>-8.13279721852446</v>
      </c>
      <c r="AG172" s="55" t="n">
        <f aca="false">AE172+ROW()*0.000000001</f>
        <v>40.0309303620585</v>
      </c>
    </row>
    <row r="173" customFormat="false" ht="15" hidden="false" customHeight="false" outlineLevel="0" collapsed="false">
      <c r="A173" s="0" t="n">
        <v>0</v>
      </c>
      <c r="B173" s="0" t="n">
        <v>2</v>
      </c>
      <c r="C173" s="0" t="n">
        <v>0</v>
      </c>
      <c r="D173" s="0" t="n">
        <v>6</v>
      </c>
      <c r="E173" s="0" t="n">
        <f aca="false">-1+A173*0.25</f>
        <v>-1</v>
      </c>
      <c r="F173" s="0" t="n">
        <f aca="false">-1+B173*0.25</f>
        <v>-0.5</v>
      </c>
      <c r="G173" s="0" t="n">
        <f aca="false">-1+C173*0.25</f>
        <v>-1</v>
      </c>
      <c r="H173" s="0" t="n">
        <f aca="false">-1+D173*0.25</f>
        <v>0.5</v>
      </c>
      <c r="I173" s="0" t="n">
        <f aca="false">1</f>
        <v>1</v>
      </c>
      <c r="J173" s="0" t="n">
        <f aca="false">E173</f>
        <v>-1</v>
      </c>
      <c r="K173" s="0" t="n">
        <f aca="false">F173</f>
        <v>-0.5</v>
      </c>
      <c r="L173" s="0" t="n">
        <f aca="false">G173</f>
        <v>-1</v>
      </c>
      <c r="M173" s="0" t="n">
        <f aca="false">H173</f>
        <v>0.5</v>
      </c>
      <c r="N173" s="0" t="n">
        <f aca="false">E173*F173</f>
        <v>0.5</v>
      </c>
      <c r="O173" s="0" t="n">
        <f aca="false">E173*G173</f>
        <v>1</v>
      </c>
      <c r="P173" s="0" t="n">
        <f aca="false">E173*H173</f>
        <v>-0.5</v>
      </c>
      <c r="Q173" s="0" t="n">
        <f aca="false">F173*G173</f>
        <v>0.5</v>
      </c>
      <c r="R173" s="0" t="n">
        <f aca="false">F173*H173</f>
        <v>-0.25</v>
      </c>
      <c r="S173" s="0" t="n">
        <f aca="false">G173*H173</f>
        <v>-0.5</v>
      </c>
      <c r="T173" s="0" t="n">
        <f aca="false">E173*E173</f>
        <v>1</v>
      </c>
      <c r="U173" s="0" t="n">
        <f aca="false">F173*F173</f>
        <v>0.25</v>
      </c>
      <c r="V173" s="0" t="n">
        <f aca="false">G173*G173</f>
        <v>1</v>
      </c>
      <c r="W173" s="0" t="n">
        <f aca="false">H173*H173</f>
        <v>0.25</v>
      </c>
      <c r="X173" s="0" t="n">
        <f aca="false">SUMPRODUCT(I173:W173,_XtX!$B$96:$P$96)</f>
        <v>39.9840460526316</v>
      </c>
      <c r="Y173" s="0" t="n">
        <f aca="false">SUMPRODUCT(MMULT(I173:W173,_XtX!$B$78:$P$92),I173:W173)</f>
        <v>0.582488121345029</v>
      </c>
      <c r="Z173" s="0" t="n">
        <f aca="false">04_回帰ANOVA!$K$19*04_回帰ANOVA!$K$14*SQRT(1+Y173)</f>
        <v>1.63971595338287</v>
      </c>
      <c r="AA173" s="0" t="n">
        <f aca="false">X173-Z173</f>
        <v>38.3443300992488</v>
      </c>
      <c r="AB173" s="0" t="n">
        <f aca="false">X173+Z173</f>
        <v>41.6237620060145</v>
      </c>
      <c r="AC173" s="54" t="b">
        <f aca="false">AND(E173&gt;=01_因子設定!$L$5-0.000000001,E173&lt;=01_因子設定!$M$5+0.000000001,F173&gt;=01_因子設定!$L$6-0.000000001,F173&lt;=01_因子設定!$M$6+0.000000001,G173&gt;=01_因子設定!$L$7-0.000000001,G173&lt;=01_因子設定!$M$7+0.000000001,H173&gt;=01_因子設定!$L$8-0.000000001,H173&lt;=01_因子設定!$M$8+0.000000001,IF(01_因子設定!$B$20="Box-Behnken",E173^2+F173^2+G173^2+H173^2&lt;=2+0.000000001,TRUE()))</f>
        <v>1</v>
      </c>
      <c r="AD173" s="55" t="n">
        <f aca="false">IF(AC173,IF(01_因子設定!$B$13="最大化",AA173-01_因子設定!$B$14,IF(01_因子設定!$B$13="最小化",01_因子設定!$B$15-AB173,MIN(AA173-01_因子設定!$B$14,01_因子設定!$B$15-AB173))),-1E+030)</f>
        <v>-8.15566990075125</v>
      </c>
      <c r="AE173" s="55" t="n">
        <f aca="false">IF(AC173,IF(01_因子設定!$B$13="最大化",X173,IF(01_因子設定!$B$13="最小化",-X173,-ABS(X173-01_因子設定!$B$16))),-1E+030)</f>
        <v>39.9840460526316</v>
      </c>
      <c r="AF173" s="55" t="n">
        <f aca="false">AD173+ROW()*0.000000001</f>
        <v>-8.15566972775125</v>
      </c>
      <c r="AG173" s="55" t="n">
        <f aca="false">AE173+ROW()*0.000000001</f>
        <v>39.9840462256316</v>
      </c>
    </row>
    <row r="174" customFormat="false" ht="15" hidden="false" customHeight="false" outlineLevel="0" collapsed="false">
      <c r="A174" s="0" t="n">
        <v>0</v>
      </c>
      <c r="B174" s="0" t="n">
        <v>2</v>
      </c>
      <c r="C174" s="0" t="n">
        <v>0</v>
      </c>
      <c r="D174" s="0" t="n">
        <v>7</v>
      </c>
      <c r="E174" s="0" t="n">
        <f aca="false">-1+A174*0.25</f>
        <v>-1</v>
      </c>
      <c r="F174" s="0" t="n">
        <f aca="false">-1+B174*0.25</f>
        <v>-0.5</v>
      </c>
      <c r="G174" s="0" t="n">
        <f aca="false">-1+C174*0.25</f>
        <v>-1</v>
      </c>
      <c r="H174" s="0" t="n">
        <f aca="false">-1+D174*0.25</f>
        <v>0.75</v>
      </c>
      <c r="I174" s="0" t="n">
        <f aca="false">1</f>
        <v>1</v>
      </c>
      <c r="J174" s="0" t="n">
        <f aca="false">E174</f>
        <v>-1</v>
      </c>
      <c r="K174" s="0" t="n">
        <f aca="false">F174</f>
        <v>-0.5</v>
      </c>
      <c r="L174" s="0" t="n">
        <f aca="false">G174</f>
        <v>-1</v>
      </c>
      <c r="M174" s="0" t="n">
        <f aca="false">H174</f>
        <v>0.75</v>
      </c>
      <c r="N174" s="0" t="n">
        <f aca="false">E174*F174</f>
        <v>0.5</v>
      </c>
      <c r="O174" s="0" t="n">
        <f aca="false">E174*G174</f>
        <v>1</v>
      </c>
      <c r="P174" s="0" t="n">
        <f aca="false">E174*H174</f>
        <v>-0.75</v>
      </c>
      <c r="Q174" s="0" t="n">
        <f aca="false">F174*G174</f>
        <v>0.5</v>
      </c>
      <c r="R174" s="0" t="n">
        <f aca="false">F174*H174</f>
        <v>-0.375</v>
      </c>
      <c r="S174" s="0" t="n">
        <f aca="false">G174*H174</f>
        <v>-0.75</v>
      </c>
      <c r="T174" s="0" t="n">
        <f aca="false">E174*E174</f>
        <v>1</v>
      </c>
      <c r="U174" s="0" t="n">
        <f aca="false">F174*F174</f>
        <v>0.25</v>
      </c>
      <c r="V174" s="0" t="n">
        <f aca="false">G174*G174</f>
        <v>1</v>
      </c>
      <c r="W174" s="0" t="n">
        <f aca="false">H174*H174</f>
        <v>0.5625</v>
      </c>
      <c r="X174" s="0" t="n">
        <f aca="false">SUMPRODUCT(I174:W174,_XtX!$B$96:$P$96)</f>
        <v>39.8893548976609</v>
      </c>
      <c r="Y174" s="0" t="n">
        <f aca="false">SUMPRODUCT(MMULT(I174:W174,_XtX!$B$78:$P$92),I174:W174)</f>
        <v>0.564984237938597</v>
      </c>
      <c r="Z174" s="0" t="n">
        <f aca="false">04_回帰ANOVA!$K$19*04_回帰ANOVA!$K$14*SQRT(1+Y174)</f>
        <v>1.63062229734503</v>
      </c>
      <c r="AA174" s="0" t="n">
        <f aca="false">X174-Z174</f>
        <v>38.2587326003158</v>
      </c>
      <c r="AB174" s="0" t="n">
        <f aca="false">X174+Z174</f>
        <v>41.5199771950059</v>
      </c>
      <c r="AC174" s="54" t="b">
        <f aca="false">AND(E174&gt;=01_因子設定!$L$5-0.000000001,E174&lt;=01_因子設定!$M$5+0.000000001,F174&gt;=01_因子設定!$L$6-0.000000001,F174&lt;=01_因子設定!$M$6+0.000000001,G174&gt;=01_因子設定!$L$7-0.000000001,G174&lt;=01_因子設定!$M$7+0.000000001,H174&gt;=01_因子設定!$L$8-0.000000001,H174&lt;=01_因子設定!$M$8+0.000000001,IF(01_因子設定!$B$20="Box-Behnken",E174^2+F174^2+G174^2+H174^2&lt;=2+0.000000001,TRUE()))</f>
        <v>1</v>
      </c>
      <c r="AD174" s="55" t="n">
        <f aca="false">IF(AC174,IF(01_因子設定!$B$13="最大化",AA174-01_因子設定!$B$14,IF(01_因子設定!$B$13="最小化",01_因子設定!$B$15-AB174,MIN(AA174-01_因子設定!$B$14,01_因子設定!$B$15-AB174))),-1E+030)</f>
        <v>-8.24126739968416</v>
      </c>
      <c r="AE174" s="55" t="n">
        <f aca="false">IF(AC174,IF(01_因子設定!$B$13="最大化",X174,IF(01_因子設定!$B$13="最小化",-X174,-ABS(X174-01_因子設定!$B$16))),-1E+030)</f>
        <v>39.8893548976609</v>
      </c>
      <c r="AF174" s="55" t="n">
        <f aca="false">AD174+ROW()*0.000000001</f>
        <v>-8.24126722568416</v>
      </c>
      <c r="AG174" s="55" t="n">
        <f aca="false">AE174+ROW()*0.000000001</f>
        <v>39.8893550716609</v>
      </c>
    </row>
    <row r="175" customFormat="false" ht="15" hidden="false" customHeight="false" outlineLevel="0" collapsed="false">
      <c r="A175" s="0" t="n">
        <v>0</v>
      </c>
      <c r="B175" s="0" t="n">
        <v>2</v>
      </c>
      <c r="C175" s="0" t="n">
        <v>0</v>
      </c>
      <c r="D175" s="0" t="n">
        <v>8</v>
      </c>
      <c r="E175" s="0" t="n">
        <f aca="false">-1+A175*0.25</f>
        <v>-1</v>
      </c>
      <c r="F175" s="0" t="n">
        <f aca="false">-1+B175*0.25</f>
        <v>-0.5</v>
      </c>
      <c r="G175" s="0" t="n">
        <f aca="false">-1+C175*0.25</f>
        <v>-1</v>
      </c>
      <c r="H175" s="0" t="n">
        <f aca="false">-1+D175*0.25</f>
        <v>1</v>
      </c>
      <c r="I175" s="0" t="n">
        <f aca="false">1</f>
        <v>1</v>
      </c>
      <c r="J175" s="0" t="n">
        <f aca="false">E175</f>
        <v>-1</v>
      </c>
      <c r="K175" s="0" t="n">
        <f aca="false">F175</f>
        <v>-0.5</v>
      </c>
      <c r="L175" s="0" t="n">
        <f aca="false">G175</f>
        <v>-1</v>
      </c>
      <c r="M175" s="0" t="n">
        <f aca="false">H175</f>
        <v>1</v>
      </c>
      <c r="N175" s="0" t="n">
        <f aca="false">E175*F175</f>
        <v>0.5</v>
      </c>
      <c r="O175" s="0" t="n">
        <f aca="false">E175*G175</f>
        <v>1</v>
      </c>
      <c r="P175" s="0" t="n">
        <f aca="false">E175*H175</f>
        <v>-1</v>
      </c>
      <c r="Q175" s="0" t="n">
        <f aca="false">F175*G175</f>
        <v>0.5</v>
      </c>
      <c r="R175" s="0" t="n">
        <f aca="false">F175*H175</f>
        <v>-0.5</v>
      </c>
      <c r="S175" s="0" t="n">
        <f aca="false">G175*H175</f>
        <v>-1</v>
      </c>
      <c r="T175" s="0" t="n">
        <f aca="false">E175*E175</f>
        <v>1</v>
      </c>
      <c r="U175" s="0" t="n">
        <f aca="false">F175*F175</f>
        <v>0.25</v>
      </c>
      <c r="V175" s="0" t="n">
        <f aca="false">G175*G175</f>
        <v>1</v>
      </c>
      <c r="W175" s="0" t="n">
        <f aca="false">H175*H175</f>
        <v>1</v>
      </c>
      <c r="X175" s="0" t="n">
        <f aca="false">SUMPRODUCT(I175:W175,_XtX!$B$96:$P$96)</f>
        <v>39.7468567251463</v>
      </c>
      <c r="Y175" s="0" t="n">
        <f aca="false">SUMPRODUCT(MMULT(I175:W175,_XtX!$B$78:$P$92),I175:W175)</f>
        <v>0.667123538011696</v>
      </c>
      <c r="Z175" s="0" t="n">
        <f aca="false">04_回帰ANOVA!$K$19*04_回帰ANOVA!$K$14*SQRT(1+Y175)</f>
        <v>1.68299290213005</v>
      </c>
      <c r="AA175" s="0" t="n">
        <f aca="false">X175-Z175</f>
        <v>38.0638638230162</v>
      </c>
      <c r="AB175" s="0" t="n">
        <f aca="false">X175+Z175</f>
        <v>41.4298496272763</v>
      </c>
      <c r="AC175" s="54" t="b">
        <f aca="false">AND(E175&gt;=01_因子設定!$L$5-0.000000001,E175&lt;=01_因子設定!$M$5+0.000000001,F175&gt;=01_因子設定!$L$6-0.000000001,F175&lt;=01_因子設定!$M$6+0.000000001,G175&gt;=01_因子設定!$L$7-0.000000001,G175&lt;=01_因子設定!$M$7+0.000000001,H175&gt;=01_因子設定!$L$8-0.000000001,H175&lt;=01_因子設定!$M$8+0.000000001,IF(01_因子設定!$B$20="Box-Behnken",E175^2+F175^2+G175^2+H175^2&lt;=2+0.000000001,TRUE()))</f>
        <v>1</v>
      </c>
      <c r="AD175" s="55" t="n">
        <f aca="false">IF(AC175,IF(01_因子設定!$B$13="最大化",AA175-01_因子設定!$B$14,IF(01_因子設定!$B$13="最小化",01_因子設定!$B$15-AB175,MIN(AA175-01_因子設定!$B$14,01_因子設定!$B$15-AB175))),-1E+030)</f>
        <v>-8.43613617698379</v>
      </c>
      <c r="AE175" s="55" t="n">
        <f aca="false">IF(AC175,IF(01_因子設定!$B$13="最大化",X175,IF(01_因子設定!$B$13="最小化",-X175,-ABS(X175-01_因子設定!$B$16))),-1E+030)</f>
        <v>39.7468567251463</v>
      </c>
      <c r="AF175" s="55" t="n">
        <f aca="false">AD175+ROW()*0.000000001</f>
        <v>-8.43613600198379</v>
      </c>
      <c r="AG175" s="55" t="n">
        <f aca="false">AE175+ROW()*0.000000001</f>
        <v>39.7468569001463</v>
      </c>
    </row>
    <row r="176" customFormat="false" ht="15" hidden="false" customHeight="false" outlineLevel="0" collapsed="false">
      <c r="A176" s="0" t="n">
        <v>0</v>
      </c>
      <c r="B176" s="0" t="n">
        <v>2</v>
      </c>
      <c r="C176" s="0" t="n">
        <v>1</v>
      </c>
      <c r="D176" s="0" t="n">
        <v>0</v>
      </c>
      <c r="E176" s="0" t="n">
        <f aca="false">-1+A176*0.25</f>
        <v>-1</v>
      </c>
      <c r="F176" s="0" t="n">
        <f aca="false">-1+B176*0.25</f>
        <v>-0.5</v>
      </c>
      <c r="G176" s="0" t="n">
        <f aca="false">-1+C176*0.25</f>
        <v>-0.75</v>
      </c>
      <c r="H176" s="0" t="n">
        <f aca="false">-1+D176*0.25</f>
        <v>-1</v>
      </c>
      <c r="I176" s="0" t="n">
        <f aca="false">1</f>
        <v>1</v>
      </c>
      <c r="J176" s="0" t="n">
        <f aca="false">E176</f>
        <v>-1</v>
      </c>
      <c r="K176" s="0" t="n">
        <f aca="false">F176</f>
        <v>-0.5</v>
      </c>
      <c r="L176" s="0" t="n">
        <f aca="false">G176</f>
        <v>-0.75</v>
      </c>
      <c r="M176" s="0" t="n">
        <f aca="false">H176</f>
        <v>-1</v>
      </c>
      <c r="N176" s="0" t="n">
        <f aca="false">E176*F176</f>
        <v>0.5</v>
      </c>
      <c r="O176" s="0" t="n">
        <f aca="false">E176*G176</f>
        <v>0.75</v>
      </c>
      <c r="P176" s="0" t="n">
        <f aca="false">E176*H176</f>
        <v>1</v>
      </c>
      <c r="Q176" s="0" t="n">
        <f aca="false">F176*G176</f>
        <v>0.375</v>
      </c>
      <c r="R176" s="0" t="n">
        <f aca="false">F176*H176</f>
        <v>0.5</v>
      </c>
      <c r="S176" s="0" t="n">
        <f aca="false">G176*H176</f>
        <v>0.75</v>
      </c>
      <c r="T176" s="0" t="n">
        <f aca="false">E176*E176</f>
        <v>1</v>
      </c>
      <c r="U176" s="0" t="n">
        <f aca="false">F176*F176</f>
        <v>0.25</v>
      </c>
      <c r="V176" s="0" t="n">
        <f aca="false">G176*G176</f>
        <v>0.5625</v>
      </c>
      <c r="W176" s="0" t="n">
        <f aca="false">H176*H176</f>
        <v>1</v>
      </c>
      <c r="X176" s="0" t="n">
        <f aca="false">SUMPRODUCT(I176:W176,_XtX!$B$96:$P$96)</f>
        <v>40.144216008772</v>
      </c>
      <c r="Y176" s="0" t="n">
        <f aca="false">SUMPRODUCT(MMULT(I176:W176,_XtX!$B$78:$P$92),I176:W176)</f>
        <v>0.564984237938597</v>
      </c>
      <c r="Z176" s="0" t="n">
        <f aca="false">04_回帰ANOVA!$K$19*04_回帰ANOVA!$K$14*SQRT(1+Y176)</f>
        <v>1.63062229734503</v>
      </c>
      <c r="AA176" s="0" t="n">
        <f aca="false">X176-Z176</f>
        <v>38.513593711427</v>
      </c>
      <c r="AB176" s="0" t="n">
        <f aca="false">X176+Z176</f>
        <v>41.774838306117</v>
      </c>
      <c r="AC176" s="54" t="b">
        <f aca="false">AND(E176&gt;=01_因子設定!$L$5-0.000000001,E176&lt;=01_因子設定!$M$5+0.000000001,F176&gt;=01_因子設定!$L$6-0.000000001,F176&lt;=01_因子設定!$M$6+0.000000001,G176&gt;=01_因子設定!$L$7-0.000000001,G176&lt;=01_因子設定!$M$7+0.000000001,H176&gt;=01_因子設定!$L$8-0.000000001,H176&lt;=01_因子設定!$M$8+0.000000001,IF(01_因子設定!$B$20="Box-Behnken",E176^2+F176^2+G176^2+H176^2&lt;=2+0.000000001,TRUE()))</f>
        <v>1</v>
      </c>
      <c r="AD176" s="55" t="n">
        <f aca="false">IF(AC176,IF(01_因子設定!$B$13="最大化",AA176-01_因子設定!$B$14,IF(01_因子設定!$B$13="最小化",01_因子設定!$B$15-AB176,MIN(AA176-01_因子設定!$B$14,01_因子設定!$B$15-AB176))),-1E+030)</f>
        <v>-7.98640628857304</v>
      </c>
      <c r="AE176" s="55" t="n">
        <f aca="false">IF(AC176,IF(01_因子設定!$B$13="最大化",X176,IF(01_因子設定!$B$13="最小化",-X176,-ABS(X176-01_因子設定!$B$16))),-1E+030)</f>
        <v>40.144216008772</v>
      </c>
      <c r="AF176" s="55" t="n">
        <f aca="false">AD176+ROW()*0.000000001</f>
        <v>-7.98640611257304</v>
      </c>
      <c r="AG176" s="55" t="n">
        <f aca="false">AE176+ROW()*0.000000001</f>
        <v>40.144216184772</v>
      </c>
    </row>
    <row r="177" customFormat="false" ht="15" hidden="false" customHeight="false" outlineLevel="0" collapsed="false">
      <c r="A177" s="0" t="n">
        <v>0</v>
      </c>
      <c r="B177" s="0" t="n">
        <v>2</v>
      </c>
      <c r="C177" s="0" t="n">
        <v>1</v>
      </c>
      <c r="D177" s="0" t="n">
        <v>1</v>
      </c>
      <c r="E177" s="0" t="n">
        <f aca="false">-1+A177*0.25</f>
        <v>-1</v>
      </c>
      <c r="F177" s="0" t="n">
        <f aca="false">-1+B177*0.25</f>
        <v>-0.5</v>
      </c>
      <c r="G177" s="0" t="n">
        <f aca="false">-1+C177*0.25</f>
        <v>-0.75</v>
      </c>
      <c r="H177" s="0" t="n">
        <f aca="false">-1+D177*0.25</f>
        <v>-0.75</v>
      </c>
      <c r="I177" s="0" t="n">
        <f aca="false">1</f>
        <v>1</v>
      </c>
      <c r="J177" s="0" t="n">
        <f aca="false">E177</f>
        <v>-1</v>
      </c>
      <c r="K177" s="0" t="n">
        <f aca="false">F177</f>
        <v>-0.5</v>
      </c>
      <c r="L177" s="0" t="n">
        <f aca="false">G177</f>
        <v>-0.75</v>
      </c>
      <c r="M177" s="0" t="n">
        <f aca="false">H177</f>
        <v>-0.75</v>
      </c>
      <c r="N177" s="0" t="n">
        <f aca="false">E177*F177</f>
        <v>0.5</v>
      </c>
      <c r="O177" s="0" t="n">
        <f aca="false">E177*G177</f>
        <v>0.75</v>
      </c>
      <c r="P177" s="0" t="n">
        <f aca="false">E177*H177</f>
        <v>0.75</v>
      </c>
      <c r="Q177" s="0" t="n">
        <f aca="false">F177*G177</f>
        <v>0.375</v>
      </c>
      <c r="R177" s="0" t="n">
        <f aca="false">F177*H177</f>
        <v>0.375</v>
      </c>
      <c r="S177" s="0" t="n">
        <f aca="false">G177*H177</f>
        <v>0.5625</v>
      </c>
      <c r="T177" s="0" t="n">
        <f aca="false">E177*E177</f>
        <v>1</v>
      </c>
      <c r="U177" s="0" t="n">
        <f aca="false">F177*F177</f>
        <v>0.25</v>
      </c>
      <c r="V177" s="0" t="n">
        <f aca="false">G177*G177</f>
        <v>0.5625</v>
      </c>
      <c r="W177" s="0" t="n">
        <f aca="false">H177*H177</f>
        <v>0.5625</v>
      </c>
      <c r="X177" s="0" t="n">
        <f aca="false">SUMPRODUCT(I177:W177,_XtX!$B$96:$P$96)</f>
        <v>40.3543357090644</v>
      </c>
      <c r="Y177" s="0" t="n">
        <f aca="false">SUMPRODUCT(MMULT(I177:W177,_XtX!$B$78:$P$92),I177:W177)</f>
        <v>0.431153771472953</v>
      </c>
      <c r="Z177" s="0" t="n">
        <f aca="false">04_回帰ANOVA!$K$19*04_回帰ANOVA!$K$14*SQRT(1+Y177)</f>
        <v>1.55934259562563</v>
      </c>
      <c r="AA177" s="0" t="n">
        <f aca="false">X177-Z177</f>
        <v>38.7949931134388</v>
      </c>
      <c r="AB177" s="0" t="n">
        <f aca="false">X177+Z177</f>
        <v>41.91367830469</v>
      </c>
      <c r="AC177" s="54" t="b">
        <f aca="false">AND(E177&gt;=01_因子設定!$L$5-0.000000001,E177&lt;=01_因子設定!$M$5+0.000000001,F177&gt;=01_因子設定!$L$6-0.000000001,F177&lt;=01_因子設定!$M$6+0.000000001,G177&gt;=01_因子設定!$L$7-0.000000001,G177&lt;=01_因子設定!$M$7+0.000000001,H177&gt;=01_因子設定!$L$8-0.000000001,H177&lt;=01_因子設定!$M$8+0.000000001,IF(01_因子設定!$B$20="Box-Behnken",E177^2+F177^2+G177^2+H177^2&lt;=2+0.000000001,TRUE()))</f>
        <v>1</v>
      </c>
      <c r="AD177" s="55" t="n">
        <f aca="false">IF(AC177,IF(01_因子設定!$B$13="最大化",AA177-01_因子設定!$B$14,IF(01_因子設定!$B$13="最小化",01_因子設定!$B$15-AB177,MIN(AA177-01_因子設定!$B$14,01_因子設定!$B$15-AB177))),-1E+030)</f>
        <v>-7.70500688656125</v>
      </c>
      <c r="AE177" s="55" t="n">
        <f aca="false">IF(AC177,IF(01_因子設定!$B$13="最大化",X177,IF(01_因子設定!$B$13="最小化",-X177,-ABS(X177-01_因子設定!$B$16))),-1E+030)</f>
        <v>40.3543357090644</v>
      </c>
      <c r="AF177" s="55" t="n">
        <f aca="false">AD177+ROW()*0.000000001</f>
        <v>-7.70500670956125</v>
      </c>
      <c r="AG177" s="55" t="n">
        <f aca="false">AE177+ROW()*0.000000001</f>
        <v>40.3543358860644</v>
      </c>
    </row>
    <row r="178" customFormat="false" ht="15" hidden="false" customHeight="false" outlineLevel="0" collapsed="false">
      <c r="A178" s="0" t="n">
        <v>0</v>
      </c>
      <c r="B178" s="0" t="n">
        <v>2</v>
      </c>
      <c r="C178" s="0" t="n">
        <v>1</v>
      </c>
      <c r="D178" s="0" t="n">
        <v>2</v>
      </c>
      <c r="E178" s="0" t="n">
        <f aca="false">-1+A178*0.25</f>
        <v>-1</v>
      </c>
      <c r="F178" s="0" t="n">
        <f aca="false">-1+B178*0.25</f>
        <v>-0.5</v>
      </c>
      <c r="G178" s="0" t="n">
        <f aca="false">-1+C178*0.25</f>
        <v>-0.75</v>
      </c>
      <c r="H178" s="0" t="n">
        <f aca="false">-1+D178*0.25</f>
        <v>-0.5</v>
      </c>
      <c r="I178" s="0" t="n">
        <f aca="false">1</f>
        <v>1</v>
      </c>
      <c r="J178" s="0" t="n">
        <f aca="false">E178</f>
        <v>-1</v>
      </c>
      <c r="K178" s="0" t="n">
        <f aca="false">F178</f>
        <v>-0.5</v>
      </c>
      <c r="L178" s="0" t="n">
        <f aca="false">G178</f>
        <v>-0.75</v>
      </c>
      <c r="M178" s="0" t="n">
        <f aca="false">H178</f>
        <v>-0.5</v>
      </c>
      <c r="N178" s="0" t="n">
        <f aca="false">E178*F178</f>
        <v>0.5</v>
      </c>
      <c r="O178" s="0" t="n">
        <f aca="false">E178*G178</f>
        <v>0.75</v>
      </c>
      <c r="P178" s="0" t="n">
        <f aca="false">E178*H178</f>
        <v>0.5</v>
      </c>
      <c r="Q178" s="0" t="n">
        <f aca="false">F178*G178</f>
        <v>0.375</v>
      </c>
      <c r="R178" s="0" t="n">
        <f aca="false">F178*H178</f>
        <v>0.25</v>
      </c>
      <c r="S178" s="0" t="n">
        <f aca="false">G178*H178</f>
        <v>0.375</v>
      </c>
      <c r="T178" s="0" t="n">
        <f aca="false">E178*E178</f>
        <v>1</v>
      </c>
      <c r="U178" s="0" t="n">
        <f aca="false">F178*F178</f>
        <v>0.25</v>
      </c>
      <c r="V178" s="0" t="n">
        <f aca="false">G178*G178</f>
        <v>0.5625</v>
      </c>
      <c r="W178" s="0" t="n">
        <f aca="false">H178*H178</f>
        <v>0.25</v>
      </c>
      <c r="X178" s="0" t="n">
        <f aca="false">SUMPRODUCT(I178:W178,_XtX!$B$96:$P$96)</f>
        <v>40.5166483918129</v>
      </c>
      <c r="Y178" s="0" t="n">
        <f aca="false">SUMPRODUCT(MMULT(I178:W178,_XtX!$B$78:$P$92),I178:W178)</f>
        <v>0.42602110745614</v>
      </c>
      <c r="Z178" s="0" t="n">
        <f aca="false">04_回帰ANOVA!$K$19*04_回帰ANOVA!$K$14*SQRT(1+Y178)</f>
        <v>1.55654388501114</v>
      </c>
      <c r="AA178" s="0" t="n">
        <f aca="false">X178-Z178</f>
        <v>38.9601045068018</v>
      </c>
      <c r="AB178" s="0" t="n">
        <f aca="false">X178+Z178</f>
        <v>42.073192276824</v>
      </c>
      <c r="AC178" s="54" t="b">
        <f aca="false">AND(E178&gt;=01_因子設定!$L$5-0.000000001,E178&lt;=01_因子設定!$M$5+0.000000001,F178&gt;=01_因子設定!$L$6-0.000000001,F178&lt;=01_因子設定!$M$6+0.000000001,G178&gt;=01_因子設定!$L$7-0.000000001,G178&lt;=01_因子設定!$M$7+0.000000001,H178&gt;=01_因子設定!$L$8-0.000000001,H178&lt;=01_因子設定!$M$8+0.000000001,IF(01_因子設定!$B$20="Box-Behnken",E178^2+F178^2+G178^2+H178^2&lt;=2+0.000000001,TRUE()))</f>
        <v>1</v>
      </c>
      <c r="AD178" s="55" t="n">
        <f aca="false">IF(AC178,IF(01_因子設定!$B$13="最大化",AA178-01_因子設定!$B$14,IF(01_因子設定!$B$13="最小化",01_因子設定!$B$15-AB178,MIN(AA178-01_因子設定!$B$14,01_因子設定!$B$15-AB178))),-1E+030)</f>
        <v>-7.53989549319824</v>
      </c>
      <c r="AE178" s="55" t="n">
        <f aca="false">IF(AC178,IF(01_因子設定!$B$13="最大化",X178,IF(01_因子設定!$B$13="最小化",-X178,-ABS(X178-01_因子設定!$B$16))),-1E+030)</f>
        <v>40.5166483918129</v>
      </c>
      <c r="AF178" s="55" t="n">
        <f aca="false">AD178+ROW()*0.000000001</f>
        <v>-7.53989531519824</v>
      </c>
      <c r="AG178" s="55" t="n">
        <f aca="false">AE178+ROW()*0.000000001</f>
        <v>40.5166485698129</v>
      </c>
    </row>
    <row r="179" customFormat="false" ht="15" hidden="false" customHeight="false" outlineLevel="0" collapsed="false">
      <c r="A179" s="0" t="n">
        <v>0</v>
      </c>
      <c r="B179" s="0" t="n">
        <v>2</v>
      </c>
      <c r="C179" s="0" t="n">
        <v>1</v>
      </c>
      <c r="D179" s="0" t="n">
        <v>3</v>
      </c>
      <c r="E179" s="0" t="n">
        <f aca="false">-1+A179*0.25</f>
        <v>-1</v>
      </c>
      <c r="F179" s="0" t="n">
        <f aca="false">-1+B179*0.25</f>
        <v>-0.5</v>
      </c>
      <c r="G179" s="0" t="n">
        <f aca="false">-1+C179*0.25</f>
        <v>-0.75</v>
      </c>
      <c r="H179" s="0" t="n">
        <f aca="false">-1+D179*0.25</f>
        <v>-0.25</v>
      </c>
      <c r="I179" s="0" t="n">
        <f aca="false">1</f>
        <v>1</v>
      </c>
      <c r="J179" s="0" t="n">
        <f aca="false">E179</f>
        <v>-1</v>
      </c>
      <c r="K179" s="0" t="n">
        <f aca="false">F179</f>
        <v>-0.5</v>
      </c>
      <c r="L179" s="0" t="n">
        <f aca="false">G179</f>
        <v>-0.75</v>
      </c>
      <c r="M179" s="0" t="n">
        <f aca="false">H179</f>
        <v>-0.25</v>
      </c>
      <c r="N179" s="0" t="n">
        <f aca="false">E179*F179</f>
        <v>0.5</v>
      </c>
      <c r="O179" s="0" t="n">
        <f aca="false">E179*G179</f>
        <v>0.75</v>
      </c>
      <c r="P179" s="0" t="n">
        <f aca="false">E179*H179</f>
        <v>0.25</v>
      </c>
      <c r="Q179" s="0" t="n">
        <f aca="false">F179*G179</f>
        <v>0.375</v>
      </c>
      <c r="R179" s="0" t="n">
        <f aca="false">F179*H179</f>
        <v>0.125</v>
      </c>
      <c r="S179" s="0" t="n">
        <f aca="false">G179*H179</f>
        <v>0.1875</v>
      </c>
      <c r="T179" s="0" t="n">
        <f aca="false">E179*E179</f>
        <v>1</v>
      </c>
      <c r="U179" s="0" t="n">
        <f aca="false">F179*F179</f>
        <v>0.25</v>
      </c>
      <c r="V179" s="0" t="n">
        <f aca="false">G179*G179</f>
        <v>0.5625</v>
      </c>
      <c r="W179" s="0" t="n">
        <f aca="false">H179*H179</f>
        <v>0.0625</v>
      </c>
      <c r="X179" s="0" t="n">
        <f aca="false">SUMPRODUCT(I179:W179,_XtX!$B$96:$P$96)</f>
        <v>40.6311540570176</v>
      </c>
      <c r="Y179" s="0" t="n">
        <f aca="false">SUMPRODUCT(MMULT(I179:W179,_XtX!$B$78:$P$92),I179:W179)</f>
        <v>0.459125719572369</v>
      </c>
      <c r="Z179" s="0" t="n">
        <f aca="false">04_回帰ANOVA!$K$19*04_回帰ANOVA!$K$14*SQRT(1+Y179)</f>
        <v>1.57450755575573</v>
      </c>
      <c r="AA179" s="0" t="n">
        <f aca="false">X179-Z179</f>
        <v>39.0566465012618</v>
      </c>
      <c r="AB179" s="0" t="n">
        <f aca="false">X179+Z179</f>
        <v>42.2056616127733</v>
      </c>
      <c r="AC179" s="54" t="b">
        <f aca="false">AND(E179&gt;=01_因子設定!$L$5-0.000000001,E179&lt;=01_因子設定!$M$5+0.000000001,F179&gt;=01_因子設定!$L$6-0.000000001,F179&lt;=01_因子設定!$M$6+0.000000001,G179&gt;=01_因子設定!$L$7-0.000000001,G179&lt;=01_因子設定!$M$7+0.000000001,H179&gt;=01_因子設定!$L$8-0.000000001,H179&lt;=01_因子設定!$M$8+0.000000001,IF(01_因子設定!$B$20="Box-Behnken",E179^2+F179^2+G179^2+H179^2&lt;=2+0.000000001,TRUE()))</f>
        <v>1</v>
      </c>
      <c r="AD179" s="55" t="n">
        <f aca="false">IF(AC179,IF(01_因子設定!$B$13="最大化",AA179-01_因子設定!$B$14,IF(01_因子設定!$B$13="最小化",01_因子設定!$B$15-AB179,MIN(AA179-01_因子設定!$B$14,01_因子設定!$B$15-AB179))),-1E+030)</f>
        <v>-7.44335349873816</v>
      </c>
      <c r="AE179" s="55" t="n">
        <f aca="false">IF(AC179,IF(01_因子設定!$B$13="最大化",X179,IF(01_因子設定!$B$13="最小化",-X179,-ABS(X179-01_因子設定!$B$16))),-1E+030)</f>
        <v>40.6311540570176</v>
      </c>
      <c r="AF179" s="55" t="n">
        <f aca="false">AD179+ROW()*0.000000001</f>
        <v>-7.44335331973816</v>
      </c>
      <c r="AG179" s="55" t="n">
        <f aca="false">AE179+ROW()*0.000000001</f>
        <v>40.6311542360176</v>
      </c>
    </row>
    <row r="180" customFormat="false" ht="15" hidden="false" customHeight="false" outlineLevel="0" collapsed="false">
      <c r="A180" s="0" t="n">
        <v>0</v>
      </c>
      <c r="B180" s="0" t="n">
        <v>2</v>
      </c>
      <c r="C180" s="0" t="n">
        <v>1</v>
      </c>
      <c r="D180" s="0" t="n">
        <v>4</v>
      </c>
      <c r="E180" s="0" t="n">
        <f aca="false">-1+A180*0.25</f>
        <v>-1</v>
      </c>
      <c r="F180" s="0" t="n">
        <f aca="false">-1+B180*0.25</f>
        <v>-0.5</v>
      </c>
      <c r="G180" s="0" t="n">
        <f aca="false">-1+C180*0.25</f>
        <v>-0.75</v>
      </c>
      <c r="H180" s="0" t="n">
        <f aca="false">-1+D180*0.25</f>
        <v>0</v>
      </c>
      <c r="I180" s="0" t="n">
        <f aca="false">1</f>
        <v>1</v>
      </c>
      <c r="J180" s="0" t="n">
        <f aca="false">E180</f>
        <v>-1</v>
      </c>
      <c r="K180" s="0" t="n">
        <f aca="false">F180</f>
        <v>-0.5</v>
      </c>
      <c r="L180" s="0" t="n">
        <f aca="false">G180</f>
        <v>-0.75</v>
      </c>
      <c r="M180" s="0" t="n">
        <f aca="false">H180</f>
        <v>0</v>
      </c>
      <c r="N180" s="0" t="n">
        <f aca="false">E180*F180</f>
        <v>0.5</v>
      </c>
      <c r="O180" s="0" t="n">
        <f aca="false">E180*G180</f>
        <v>0.75</v>
      </c>
      <c r="P180" s="0" t="n">
        <f aca="false">E180*H180</f>
        <v>-0</v>
      </c>
      <c r="Q180" s="0" t="n">
        <f aca="false">F180*G180</f>
        <v>0.375</v>
      </c>
      <c r="R180" s="0" t="n">
        <f aca="false">F180*H180</f>
        <v>-0</v>
      </c>
      <c r="S180" s="0" t="n">
        <f aca="false">G180*H180</f>
        <v>-0</v>
      </c>
      <c r="T180" s="0" t="n">
        <f aca="false">E180*E180</f>
        <v>1</v>
      </c>
      <c r="U180" s="0" t="n">
        <f aca="false">F180*F180</f>
        <v>0.25</v>
      </c>
      <c r="V180" s="0" t="n">
        <f aca="false">G180*G180</f>
        <v>0.5625</v>
      </c>
      <c r="W180" s="0" t="n">
        <f aca="false">H180*H180</f>
        <v>0</v>
      </c>
      <c r="X180" s="0" t="n">
        <f aca="false">SUMPRODUCT(I180:W180,_XtX!$B$96:$P$96)</f>
        <v>40.6978527046784</v>
      </c>
      <c r="Y180" s="0" t="n">
        <f aca="false">SUMPRODUCT(MMULT(I180:W180,_XtX!$B$78:$P$92),I180:W180)</f>
        <v>0.476191292032164</v>
      </c>
      <c r="Z180" s="0" t="n">
        <f aca="false">04_回帰ANOVA!$K$19*04_回帰ANOVA!$K$14*SQRT(1+Y180)</f>
        <v>1.58368831471718</v>
      </c>
      <c r="AA180" s="0" t="n">
        <f aca="false">X180-Z180</f>
        <v>39.1141643899612</v>
      </c>
      <c r="AB180" s="0" t="n">
        <f aca="false">X180+Z180</f>
        <v>42.2815410193956</v>
      </c>
      <c r="AC180" s="54" t="b">
        <f aca="false">AND(E180&gt;=01_因子設定!$L$5-0.000000001,E180&lt;=01_因子設定!$M$5+0.000000001,F180&gt;=01_因子設定!$L$6-0.000000001,F180&lt;=01_因子設定!$M$6+0.000000001,G180&gt;=01_因子設定!$L$7-0.000000001,G180&lt;=01_因子設定!$M$7+0.000000001,H180&gt;=01_因子設定!$L$8-0.000000001,H180&lt;=01_因子設定!$M$8+0.000000001,IF(01_因子設定!$B$20="Box-Behnken",E180^2+F180^2+G180^2+H180^2&lt;=2+0.000000001,TRUE()))</f>
        <v>1</v>
      </c>
      <c r="AD180" s="55" t="n">
        <f aca="false">IF(AC180,IF(01_因子設定!$B$13="最大化",AA180-01_因子設定!$B$14,IF(01_因子設定!$B$13="最小化",01_因子設定!$B$15-AB180,MIN(AA180-01_因子設定!$B$14,01_因子設定!$B$15-AB180))),-1E+030)</f>
        <v>-7.38583561003879</v>
      </c>
      <c r="AE180" s="55" t="n">
        <f aca="false">IF(AC180,IF(01_因子設定!$B$13="最大化",X180,IF(01_因子設定!$B$13="最小化",-X180,-ABS(X180-01_因子設定!$B$16))),-1E+030)</f>
        <v>40.6978527046784</v>
      </c>
      <c r="AF180" s="55" t="n">
        <f aca="false">AD180+ROW()*0.000000001</f>
        <v>-7.38583543003879</v>
      </c>
      <c r="AG180" s="55" t="n">
        <f aca="false">AE180+ROW()*0.000000001</f>
        <v>40.6978528846784</v>
      </c>
    </row>
    <row r="181" customFormat="false" ht="15" hidden="false" customHeight="false" outlineLevel="0" collapsed="false">
      <c r="A181" s="0" t="n">
        <v>0</v>
      </c>
      <c r="B181" s="0" t="n">
        <v>2</v>
      </c>
      <c r="C181" s="0" t="n">
        <v>1</v>
      </c>
      <c r="D181" s="0" t="n">
        <v>5</v>
      </c>
      <c r="E181" s="0" t="n">
        <f aca="false">-1+A181*0.25</f>
        <v>-1</v>
      </c>
      <c r="F181" s="0" t="n">
        <f aca="false">-1+B181*0.25</f>
        <v>-0.5</v>
      </c>
      <c r="G181" s="0" t="n">
        <f aca="false">-1+C181*0.25</f>
        <v>-0.75</v>
      </c>
      <c r="H181" s="0" t="n">
        <f aca="false">-1+D181*0.25</f>
        <v>0.25</v>
      </c>
      <c r="I181" s="0" t="n">
        <f aca="false">1</f>
        <v>1</v>
      </c>
      <c r="J181" s="0" t="n">
        <f aca="false">E181</f>
        <v>-1</v>
      </c>
      <c r="K181" s="0" t="n">
        <f aca="false">F181</f>
        <v>-0.5</v>
      </c>
      <c r="L181" s="0" t="n">
        <f aca="false">G181</f>
        <v>-0.75</v>
      </c>
      <c r="M181" s="0" t="n">
        <f aca="false">H181</f>
        <v>0.25</v>
      </c>
      <c r="N181" s="0" t="n">
        <f aca="false">E181*F181</f>
        <v>0.5</v>
      </c>
      <c r="O181" s="0" t="n">
        <f aca="false">E181*G181</f>
        <v>0.75</v>
      </c>
      <c r="P181" s="0" t="n">
        <f aca="false">E181*H181</f>
        <v>-0.25</v>
      </c>
      <c r="Q181" s="0" t="n">
        <f aca="false">F181*G181</f>
        <v>0.375</v>
      </c>
      <c r="R181" s="0" t="n">
        <f aca="false">F181*H181</f>
        <v>-0.125</v>
      </c>
      <c r="S181" s="0" t="n">
        <f aca="false">G181*H181</f>
        <v>-0.1875</v>
      </c>
      <c r="T181" s="0" t="n">
        <f aca="false">E181*E181</f>
        <v>1</v>
      </c>
      <c r="U181" s="0" t="n">
        <f aca="false">F181*F181</f>
        <v>0.25</v>
      </c>
      <c r="V181" s="0" t="n">
        <f aca="false">G181*G181</f>
        <v>0.5625</v>
      </c>
      <c r="W181" s="0" t="n">
        <f aca="false">H181*H181</f>
        <v>0.0625</v>
      </c>
      <c r="X181" s="0" t="n">
        <f aca="false">SUMPRODUCT(I181:W181,_XtX!$B$96:$P$96)</f>
        <v>40.7167443347954</v>
      </c>
      <c r="Y181" s="0" t="n">
        <f aca="false">SUMPRODUCT(MMULT(I181:W181,_XtX!$B$78:$P$92),I181:W181)</f>
        <v>0.459125719572369</v>
      </c>
      <c r="Z181" s="0" t="n">
        <f aca="false">04_回帰ANOVA!$K$19*04_回帰ANOVA!$K$14*SQRT(1+Y181)</f>
        <v>1.57450755575573</v>
      </c>
      <c r="AA181" s="0" t="n">
        <f aca="false">X181-Z181</f>
        <v>39.1422367790396</v>
      </c>
      <c r="AB181" s="0" t="n">
        <f aca="false">X181+Z181</f>
        <v>42.2912518905511</v>
      </c>
      <c r="AC181" s="54" t="b">
        <f aca="false">AND(E181&gt;=01_因子設定!$L$5-0.000000001,E181&lt;=01_因子設定!$M$5+0.000000001,F181&gt;=01_因子設定!$L$6-0.000000001,F181&lt;=01_因子設定!$M$6+0.000000001,G181&gt;=01_因子設定!$L$7-0.000000001,G181&lt;=01_因子設定!$M$7+0.000000001,H181&gt;=01_因子設定!$L$8-0.000000001,H181&lt;=01_因子設定!$M$8+0.000000001,IF(01_因子設定!$B$20="Box-Behnken",E181^2+F181^2+G181^2+H181^2&lt;=2+0.000000001,TRUE()))</f>
        <v>1</v>
      </c>
      <c r="AD181" s="55" t="n">
        <f aca="false">IF(AC181,IF(01_因子設定!$B$13="最大化",AA181-01_因子設定!$B$14,IF(01_因子設定!$B$13="最小化",01_因子設定!$B$15-AB181,MIN(AA181-01_因子設定!$B$14,01_因子設定!$B$15-AB181))),-1E+030)</f>
        <v>-7.35776322096038</v>
      </c>
      <c r="AE181" s="55" t="n">
        <f aca="false">IF(AC181,IF(01_因子設定!$B$13="最大化",X181,IF(01_因子設定!$B$13="最小化",-X181,-ABS(X181-01_因子設定!$B$16))),-1E+030)</f>
        <v>40.7167443347954</v>
      </c>
      <c r="AF181" s="55" t="n">
        <f aca="false">AD181+ROW()*0.000000001</f>
        <v>-7.35776303996038</v>
      </c>
      <c r="AG181" s="55" t="n">
        <f aca="false">AE181+ROW()*0.000000001</f>
        <v>40.7167445157954</v>
      </c>
    </row>
    <row r="182" customFormat="false" ht="15" hidden="false" customHeight="false" outlineLevel="0" collapsed="false">
      <c r="A182" s="0" t="n">
        <v>0</v>
      </c>
      <c r="B182" s="0" t="n">
        <v>2</v>
      </c>
      <c r="C182" s="0" t="n">
        <v>1</v>
      </c>
      <c r="D182" s="0" t="n">
        <v>6</v>
      </c>
      <c r="E182" s="0" t="n">
        <f aca="false">-1+A182*0.25</f>
        <v>-1</v>
      </c>
      <c r="F182" s="0" t="n">
        <f aca="false">-1+B182*0.25</f>
        <v>-0.5</v>
      </c>
      <c r="G182" s="0" t="n">
        <f aca="false">-1+C182*0.25</f>
        <v>-0.75</v>
      </c>
      <c r="H182" s="0" t="n">
        <f aca="false">-1+D182*0.25</f>
        <v>0.5</v>
      </c>
      <c r="I182" s="0" t="n">
        <f aca="false">1</f>
        <v>1</v>
      </c>
      <c r="J182" s="0" t="n">
        <f aca="false">E182</f>
        <v>-1</v>
      </c>
      <c r="K182" s="0" t="n">
        <f aca="false">F182</f>
        <v>-0.5</v>
      </c>
      <c r="L182" s="0" t="n">
        <f aca="false">G182</f>
        <v>-0.75</v>
      </c>
      <c r="M182" s="0" t="n">
        <f aca="false">H182</f>
        <v>0.5</v>
      </c>
      <c r="N182" s="0" t="n">
        <f aca="false">E182*F182</f>
        <v>0.5</v>
      </c>
      <c r="O182" s="0" t="n">
        <f aca="false">E182*G182</f>
        <v>0.75</v>
      </c>
      <c r="P182" s="0" t="n">
        <f aca="false">E182*H182</f>
        <v>-0.5</v>
      </c>
      <c r="Q182" s="0" t="n">
        <f aca="false">F182*G182</f>
        <v>0.375</v>
      </c>
      <c r="R182" s="0" t="n">
        <f aca="false">F182*H182</f>
        <v>-0.25</v>
      </c>
      <c r="S182" s="0" t="n">
        <f aca="false">G182*H182</f>
        <v>-0.375</v>
      </c>
      <c r="T182" s="0" t="n">
        <f aca="false">E182*E182</f>
        <v>1</v>
      </c>
      <c r="U182" s="0" t="n">
        <f aca="false">F182*F182</f>
        <v>0.25</v>
      </c>
      <c r="V182" s="0" t="n">
        <f aca="false">G182*G182</f>
        <v>0.5625</v>
      </c>
      <c r="W182" s="0" t="n">
        <f aca="false">H182*H182</f>
        <v>0.25</v>
      </c>
      <c r="X182" s="0" t="n">
        <f aca="false">SUMPRODUCT(I182:W182,_XtX!$B$96:$P$96)</f>
        <v>40.6878289473685</v>
      </c>
      <c r="Y182" s="0" t="n">
        <f aca="false">SUMPRODUCT(MMULT(I182:W182,_XtX!$B$78:$P$92),I182:W182)</f>
        <v>0.42602110745614</v>
      </c>
      <c r="Z182" s="0" t="n">
        <f aca="false">04_回帰ANOVA!$K$19*04_回帰ANOVA!$K$14*SQRT(1+Y182)</f>
        <v>1.55654388501114</v>
      </c>
      <c r="AA182" s="0" t="n">
        <f aca="false">X182-Z182</f>
        <v>39.1312850623573</v>
      </c>
      <c r="AB182" s="0" t="n">
        <f aca="false">X182+Z182</f>
        <v>42.2443728323796</v>
      </c>
      <c r="AC182" s="54" t="b">
        <f aca="false">AND(E182&gt;=01_因子設定!$L$5-0.000000001,E182&lt;=01_因子設定!$M$5+0.000000001,F182&gt;=01_因子設定!$L$6-0.000000001,F182&lt;=01_因子設定!$M$6+0.000000001,G182&gt;=01_因子設定!$L$7-0.000000001,G182&lt;=01_因子設定!$M$7+0.000000001,H182&gt;=01_因子設定!$L$8-0.000000001,H182&lt;=01_因子設定!$M$8+0.000000001,IF(01_因子設定!$B$20="Box-Behnken",E182^2+F182^2+G182^2+H182^2&lt;=2+0.000000001,TRUE()))</f>
        <v>1</v>
      </c>
      <c r="AD182" s="55" t="n">
        <f aca="false">IF(AC182,IF(01_因子設定!$B$13="最大化",AA182-01_因子設定!$B$14,IF(01_因子設定!$B$13="最小化",01_因子設定!$B$15-AB182,MIN(AA182-01_因子設定!$B$14,01_因子設定!$B$15-AB182))),-1E+030)</f>
        <v>-7.36871493764268</v>
      </c>
      <c r="AE182" s="55" t="n">
        <f aca="false">IF(AC182,IF(01_因子設定!$B$13="最大化",X182,IF(01_因子設定!$B$13="最小化",-X182,-ABS(X182-01_因子設定!$B$16))),-1E+030)</f>
        <v>40.6878289473685</v>
      </c>
      <c r="AF182" s="55" t="n">
        <f aca="false">AD182+ROW()*0.000000001</f>
        <v>-7.36871475564268</v>
      </c>
      <c r="AG182" s="55" t="n">
        <f aca="false">AE182+ROW()*0.000000001</f>
        <v>40.6878291293685</v>
      </c>
    </row>
    <row r="183" customFormat="false" ht="15" hidden="false" customHeight="false" outlineLevel="0" collapsed="false">
      <c r="A183" s="0" t="n">
        <v>0</v>
      </c>
      <c r="B183" s="0" t="n">
        <v>2</v>
      </c>
      <c r="C183" s="0" t="n">
        <v>1</v>
      </c>
      <c r="D183" s="0" t="n">
        <v>7</v>
      </c>
      <c r="E183" s="0" t="n">
        <f aca="false">-1+A183*0.25</f>
        <v>-1</v>
      </c>
      <c r="F183" s="0" t="n">
        <f aca="false">-1+B183*0.25</f>
        <v>-0.5</v>
      </c>
      <c r="G183" s="0" t="n">
        <f aca="false">-1+C183*0.25</f>
        <v>-0.75</v>
      </c>
      <c r="H183" s="0" t="n">
        <f aca="false">-1+D183*0.25</f>
        <v>0.75</v>
      </c>
      <c r="I183" s="0" t="n">
        <f aca="false">1</f>
        <v>1</v>
      </c>
      <c r="J183" s="0" t="n">
        <f aca="false">E183</f>
        <v>-1</v>
      </c>
      <c r="K183" s="0" t="n">
        <f aca="false">F183</f>
        <v>-0.5</v>
      </c>
      <c r="L183" s="0" t="n">
        <f aca="false">G183</f>
        <v>-0.75</v>
      </c>
      <c r="M183" s="0" t="n">
        <f aca="false">H183</f>
        <v>0.75</v>
      </c>
      <c r="N183" s="0" t="n">
        <f aca="false">E183*F183</f>
        <v>0.5</v>
      </c>
      <c r="O183" s="0" t="n">
        <f aca="false">E183*G183</f>
        <v>0.75</v>
      </c>
      <c r="P183" s="0" t="n">
        <f aca="false">E183*H183</f>
        <v>-0.75</v>
      </c>
      <c r="Q183" s="0" t="n">
        <f aca="false">F183*G183</f>
        <v>0.375</v>
      </c>
      <c r="R183" s="0" t="n">
        <f aca="false">F183*H183</f>
        <v>-0.375</v>
      </c>
      <c r="S183" s="0" t="n">
        <f aca="false">G183*H183</f>
        <v>-0.5625</v>
      </c>
      <c r="T183" s="0" t="n">
        <f aca="false">E183*E183</f>
        <v>1</v>
      </c>
      <c r="U183" s="0" t="n">
        <f aca="false">F183*F183</f>
        <v>0.25</v>
      </c>
      <c r="V183" s="0" t="n">
        <f aca="false">G183*G183</f>
        <v>0.5625</v>
      </c>
      <c r="W183" s="0" t="n">
        <f aca="false">H183*H183</f>
        <v>0.5625</v>
      </c>
      <c r="X183" s="0" t="n">
        <f aca="false">SUMPRODUCT(I183:W183,_XtX!$B$96:$P$96)</f>
        <v>40.6111065423977</v>
      </c>
      <c r="Y183" s="0" t="n">
        <f aca="false">SUMPRODUCT(MMULT(I183:W183,_XtX!$B$78:$P$92),I183:W183)</f>
        <v>0.431153771472953</v>
      </c>
      <c r="Z183" s="0" t="n">
        <f aca="false">04_回帰ANOVA!$K$19*04_回帰ANOVA!$K$14*SQRT(1+Y183)</f>
        <v>1.55934259562563</v>
      </c>
      <c r="AA183" s="0" t="n">
        <f aca="false">X183-Z183</f>
        <v>39.0517639467721</v>
      </c>
      <c r="AB183" s="0" t="n">
        <f aca="false">X183+Z183</f>
        <v>42.1704491380233</v>
      </c>
      <c r="AC183" s="54" t="b">
        <f aca="false">AND(E183&gt;=01_因子設定!$L$5-0.000000001,E183&lt;=01_因子設定!$M$5+0.000000001,F183&gt;=01_因子設定!$L$6-0.000000001,F183&lt;=01_因子設定!$M$6+0.000000001,G183&gt;=01_因子設定!$L$7-0.000000001,G183&lt;=01_因子設定!$M$7+0.000000001,H183&gt;=01_因子設定!$L$8-0.000000001,H183&lt;=01_因子設定!$M$8+0.000000001,IF(01_因子設定!$B$20="Box-Behnken",E183^2+F183^2+G183^2+H183^2&lt;=2+0.000000001,TRUE()))</f>
        <v>1</v>
      </c>
      <c r="AD183" s="55" t="n">
        <f aca="false">IF(AC183,IF(01_因子設定!$B$13="最大化",AA183-01_因子設定!$B$14,IF(01_因子設定!$B$13="最小化",01_因子設定!$B$15-AB183,MIN(AA183-01_因子設定!$B$14,01_因子設定!$B$15-AB183))),-1E+030)</f>
        <v>-7.44823605322792</v>
      </c>
      <c r="AE183" s="55" t="n">
        <f aca="false">IF(AC183,IF(01_因子設定!$B$13="最大化",X183,IF(01_因子設定!$B$13="最小化",-X183,-ABS(X183-01_因子設定!$B$16))),-1E+030)</f>
        <v>40.6111065423977</v>
      </c>
      <c r="AF183" s="55" t="n">
        <f aca="false">AD183+ROW()*0.000000001</f>
        <v>-7.44823587022792</v>
      </c>
      <c r="AG183" s="55" t="n">
        <f aca="false">AE183+ROW()*0.000000001</f>
        <v>40.6111067253977</v>
      </c>
    </row>
    <row r="184" customFormat="false" ht="15" hidden="false" customHeight="false" outlineLevel="0" collapsed="false">
      <c r="A184" s="0" t="n">
        <v>0</v>
      </c>
      <c r="B184" s="0" t="n">
        <v>2</v>
      </c>
      <c r="C184" s="0" t="n">
        <v>1</v>
      </c>
      <c r="D184" s="0" t="n">
        <v>8</v>
      </c>
      <c r="E184" s="0" t="n">
        <f aca="false">-1+A184*0.25</f>
        <v>-1</v>
      </c>
      <c r="F184" s="0" t="n">
        <f aca="false">-1+B184*0.25</f>
        <v>-0.5</v>
      </c>
      <c r="G184" s="0" t="n">
        <f aca="false">-1+C184*0.25</f>
        <v>-0.75</v>
      </c>
      <c r="H184" s="0" t="n">
        <f aca="false">-1+D184*0.25</f>
        <v>1</v>
      </c>
      <c r="I184" s="0" t="n">
        <f aca="false">1</f>
        <v>1</v>
      </c>
      <c r="J184" s="0" t="n">
        <f aca="false">E184</f>
        <v>-1</v>
      </c>
      <c r="K184" s="0" t="n">
        <f aca="false">F184</f>
        <v>-0.5</v>
      </c>
      <c r="L184" s="0" t="n">
        <f aca="false">G184</f>
        <v>-0.75</v>
      </c>
      <c r="M184" s="0" t="n">
        <f aca="false">H184</f>
        <v>1</v>
      </c>
      <c r="N184" s="0" t="n">
        <f aca="false">E184*F184</f>
        <v>0.5</v>
      </c>
      <c r="O184" s="0" t="n">
        <f aca="false">E184*G184</f>
        <v>0.75</v>
      </c>
      <c r="P184" s="0" t="n">
        <f aca="false">E184*H184</f>
        <v>-1</v>
      </c>
      <c r="Q184" s="0" t="n">
        <f aca="false">F184*G184</f>
        <v>0.375</v>
      </c>
      <c r="R184" s="0" t="n">
        <f aca="false">F184*H184</f>
        <v>-0.5</v>
      </c>
      <c r="S184" s="0" t="n">
        <f aca="false">G184*H184</f>
        <v>-0.75</v>
      </c>
      <c r="T184" s="0" t="n">
        <f aca="false">E184*E184</f>
        <v>1</v>
      </c>
      <c r="U184" s="0" t="n">
        <f aca="false">F184*F184</f>
        <v>0.25</v>
      </c>
      <c r="V184" s="0" t="n">
        <f aca="false">G184*G184</f>
        <v>0.5625</v>
      </c>
      <c r="W184" s="0" t="n">
        <f aca="false">H184*H184</f>
        <v>1</v>
      </c>
      <c r="X184" s="0" t="n">
        <f aca="false">SUMPRODUCT(I184:W184,_XtX!$B$96:$P$96)</f>
        <v>40.4865771198831</v>
      </c>
      <c r="Y184" s="0" t="n">
        <f aca="false">SUMPRODUCT(MMULT(I184:W184,_XtX!$B$78:$P$92),I184:W184)</f>
        <v>0.564984237938597</v>
      </c>
      <c r="Z184" s="0" t="n">
        <f aca="false">04_回帰ANOVA!$K$19*04_回帰ANOVA!$K$14*SQRT(1+Y184)</f>
        <v>1.63062229734503</v>
      </c>
      <c r="AA184" s="0" t="n">
        <f aca="false">X184-Z184</f>
        <v>38.8559548225381</v>
      </c>
      <c r="AB184" s="0" t="n">
        <f aca="false">X184+Z184</f>
        <v>42.1171994172281</v>
      </c>
      <c r="AC184" s="54" t="b">
        <f aca="false">AND(E184&gt;=01_因子設定!$L$5-0.000000001,E184&lt;=01_因子設定!$M$5+0.000000001,F184&gt;=01_因子設定!$L$6-0.000000001,F184&lt;=01_因子設定!$M$6+0.000000001,G184&gt;=01_因子設定!$L$7-0.000000001,G184&lt;=01_因子設定!$M$7+0.000000001,H184&gt;=01_因子設定!$L$8-0.000000001,H184&lt;=01_因子設定!$M$8+0.000000001,IF(01_因子設定!$B$20="Box-Behnken",E184^2+F184^2+G184^2+H184^2&lt;=2+0.000000001,TRUE()))</f>
        <v>1</v>
      </c>
      <c r="AD184" s="55" t="n">
        <f aca="false">IF(AC184,IF(01_因子設定!$B$13="最大化",AA184-01_因子設定!$B$14,IF(01_因子設定!$B$13="最小化",01_因子設定!$B$15-AB184,MIN(AA184-01_因子設定!$B$14,01_因子設定!$B$15-AB184))),-1E+030)</f>
        <v>-7.64404517746193</v>
      </c>
      <c r="AE184" s="55" t="n">
        <f aca="false">IF(AC184,IF(01_因子設定!$B$13="最大化",X184,IF(01_因子設定!$B$13="最小化",-X184,-ABS(X184-01_因子設定!$B$16))),-1E+030)</f>
        <v>40.4865771198831</v>
      </c>
      <c r="AF184" s="55" t="n">
        <f aca="false">AD184+ROW()*0.000000001</f>
        <v>-7.64404499346193</v>
      </c>
      <c r="AG184" s="55" t="n">
        <f aca="false">AE184+ROW()*0.000000001</f>
        <v>40.4865773038831</v>
      </c>
    </row>
    <row r="185" customFormat="false" ht="15" hidden="false" customHeight="false" outlineLevel="0" collapsed="false">
      <c r="A185" s="0" t="n">
        <v>0</v>
      </c>
      <c r="B185" s="0" t="n">
        <v>2</v>
      </c>
      <c r="C185" s="0" t="n">
        <v>2</v>
      </c>
      <c r="D185" s="0" t="n">
        <v>0</v>
      </c>
      <c r="E185" s="0" t="n">
        <f aca="false">-1+A185*0.25</f>
        <v>-1</v>
      </c>
      <c r="F185" s="0" t="n">
        <f aca="false">-1+B185*0.25</f>
        <v>-0.5</v>
      </c>
      <c r="G185" s="0" t="n">
        <f aca="false">-1+C185*0.25</f>
        <v>-0.5</v>
      </c>
      <c r="H185" s="0" t="n">
        <f aca="false">-1+D185*0.25</f>
        <v>-1</v>
      </c>
      <c r="I185" s="0" t="n">
        <f aca="false">1</f>
        <v>1</v>
      </c>
      <c r="J185" s="0" t="n">
        <f aca="false">E185</f>
        <v>-1</v>
      </c>
      <c r="K185" s="0" t="n">
        <f aca="false">F185</f>
        <v>-0.5</v>
      </c>
      <c r="L185" s="0" t="n">
        <f aca="false">G185</f>
        <v>-0.5</v>
      </c>
      <c r="M185" s="0" t="n">
        <f aca="false">H185</f>
        <v>-1</v>
      </c>
      <c r="N185" s="0" t="n">
        <f aca="false">E185*F185</f>
        <v>0.5</v>
      </c>
      <c r="O185" s="0" t="n">
        <f aca="false">E185*G185</f>
        <v>0.5</v>
      </c>
      <c r="P185" s="0" t="n">
        <f aca="false">E185*H185</f>
        <v>1</v>
      </c>
      <c r="Q185" s="0" t="n">
        <f aca="false">F185*G185</f>
        <v>0.25</v>
      </c>
      <c r="R185" s="0" t="n">
        <f aca="false">F185*H185</f>
        <v>0.5</v>
      </c>
      <c r="S185" s="0" t="n">
        <f aca="false">G185*H185</f>
        <v>0.5</v>
      </c>
      <c r="T185" s="0" t="n">
        <f aca="false">E185*E185</f>
        <v>1</v>
      </c>
      <c r="U185" s="0" t="n">
        <f aca="false">F185*F185</f>
        <v>0.25</v>
      </c>
      <c r="V185" s="0" t="n">
        <f aca="false">G185*G185</f>
        <v>0.25</v>
      </c>
      <c r="W185" s="0" t="n">
        <f aca="false">H185*H185</f>
        <v>1</v>
      </c>
      <c r="X185" s="0" t="n">
        <f aca="false">SUMPRODUCT(I185:W185,_XtX!$B$96:$P$96)</f>
        <v>40.654879385965</v>
      </c>
      <c r="Y185" s="0" t="n">
        <f aca="false">SUMPRODUCT(MMULT(I185:W185,_XtX!$B$78:$P$92),I185:W185)</f>
        <v>0.582488121345029</v>
      </c>
      <c r="Z185" s="0" t="n">
        <f aca="false">04_回帰ANOVA!$K$19*04_回帰ANOVA!$K$14*SQRT(1+Y185)</f>
        <v>1.63971595338287</v>
      </c>
      <c r="AA185" s="0" t="n">
        <f aca="false">X185-Z185</f>
        <v>39.0151634325821</v>
      </c>
      <c r="AB185" s="0" t="n">
        <f aca="false">X185+Z185</f>
        <v>42.2945953393478</v>
      </c>
      <c r="AC185" s="54" t="b">
        <f aca="false">AND(E185&gt;=01_因子設定!$L$5-0.000000001,E185&lt;=01_因子設定!$M$5+0.000000001,F185&gt;=01_因子設定!$L$6-0.000000001,F185&lt;=01_因子設定!$M$6+0.000000001,G185&gt;=01_因子設定!$L$7-0.000000001,G185&lt;=01_因子設定!$M$7+0.000000001,H185&gt;=01_因子設定!$L$8-0.000000001,H185&lt;=01_因子設定!$M$8+0.000000001,IF(01_因子設定!$B$20="Box-Behnken",E185^2+F185^2+G185^2+H185^2&lt;=2+0.000000001,TRUE()))</f>
        <v>1</v>
      </c>
      <c r="AD185" s="55" t="n">
        <f aca="false">IF(AC185,IF(01_因子設定!$B$13="最大化",AA185-01_因子設定!$B$14,IF(01_因子設定!$B$13="最小化",01_因子設定!$B$15-AB185,MIN(AA185-01_因子設定!$B$14,01_因子設定!$B$15-AB185))),-1E+030)</f>
        <v>-7.48483656741789</v>
      </c>
      <c r="AE185" s="55" t="n">
        <f aca="false">IF(AC185,IF(01_因子設定!$B$13="最大化",X185,IF(01_因子設定!$B$13="最小化",-X185,-ABS(X185-01_因子設定!$B$16))),-1E+030)</f>
        <v>40.654879385965</v>
      </c>
      <c r="AF185" s="55" t="n">
        <f aca="false">AD185+ROW()*0.000000001</f>
        <v>-7.48483638241789</v>
      </c>
      <c r="AG185" s="55" t="n">
        <f aca="false">AE185+ROW()*0.000000001</f>
        <v>40.654879570965</v>
      </c>
    </row>
    <row r="186" customFormat="false" ht="15" hidden="false" customHeight="false" outlineLevel="0" collapsed="false">
      <c r="A186" s="0" t="n">
        <v>0</v>
      </c>
      <c r="B186" s="0" t="n">
        <v>2</v>
      </c>
      <c r="C186" s="0" t="n">
        <v>2</v>
      </c>
      <c r="D186" s="0" t="n">
        <v>1</v>
      </c>
      <c r="E186" s="0" t="n">
        <f aca="false">-1+A186*0.25</f>
        <v>-1</v>
      </c>
      <c r="F186" s="0" t="n">
        <f aca="false">-1+B186*0.25</f>
        <v>-0.5</v>
      </c>
      <c r="G186" s="0" t="n">
        <f aca="false">-1+C186*0.25</f>
        <v>-0.5</v>
      </c>
      <c r="H186" s="0" t="n">
        <f aca="false">-1+D186*0.25</f>
        <v>-0.75</v>
      </c>
      <c r="I186" s="0" t="n">
        <f aca="false">1</f>
        <v>1</v>
      </c>
      <c r="J186" s="0" t="n">
        <f aca="false">E186</f>
        <v>-1</v>
      </c>
      <c r="K186" s="0" t="n">
        <f aca="false">F186</f>
        <v>-0.5</v>
      </c>
      <c r="L186" s="0" t="n">
        <f aca="false">G186</f>
        <v>-0.5</v>
      </c>
      <c r="M186" s="0" t="n">
        <f aca="false">H186</f>
        <v>-0.75</v>
      </c>
      <c r="N186" s="0" t="n">
        <f aca="false">E186*F186</f>
        <v>0.5</v>
      </c>
      <c r="O186" s="0" t="n">
        <f aca="false">E186*G186</f>
        <v>0.5</v>
      </c>
      <c r="P186" s="0" t="n">
        <f aca="false">E186*H186</f>
        <v>0.75</v>
      </c>
      <c r="Q186" s="0" t="n">
        <f aca="false">F186*G186</f>
        <v>0.25</v>
      </c>
      <c r="R186" s="0" t="n">
        <f aca="false">F186*H186</f>
        <v>0.375</v>
      </c>
      <c r="S186" s="0" t="n">
        <f aca="false">G186*H186</f>
        <v>0.375</v>
      </c>
      <c r="T186" s="0" t="n">
        <f aca="false">E186*E186</f>
        <v>1</v>
      </c>
      <c r="U186" s="0" t="n">
        <f aca="false">F186*F186</f>
        <v>0.25</v>
      </c>
      <c r="V186" s="0" t="n">
        <f aca="false">G186*G186</f>
        <v>0.25</v>
      </c>
      <c r="W186" s="0" t="n">
        <f aca="false">H186*H186</f>
        <v>0.5625</v>
      </c>
      <c r="X186" s="0" t="n">
        <f aca="false">SUMPRODUCT(I186:W186,_XtX!$B$96:$P$96)</f>
        <v>40.8829678362574</v>
      </c>
      <c r="Y186" s="0" t="n">
        <f aca="false">SUMPRODUCT(MMULT(I186:W186,_XtX!$B$78:$P$92),I186:W186)</f>
        <v>0.42602110745614</v>
      </c>
      <c r="Z186" s="0" t="n">
        <f aca="false">04_回帰ANOVA!$K$19*04_回帰ANOVA!$K$14*SQRT(1+Y186)</f>
        <v>1.55654388501114</v>
      </c>
      <c r="AA186" s="0" t="n">
        <f aca="false">X186-Z186</f>
        <v>39.3264239512462</v>
      </c>
      <c r="AB186" s="0" t="n">
        <f aca="false">X186+Z186</f>
        <v>42.4395117212685</v>
      </c>
      <c r="AC186" s="54" t="b">
        <f aca="false">AND(E186&gt;=01_因子設定!$L$5-0.000000001,E186&lt;=01_因子設定!$M$5+0.000000001,F186&gt;=01_因子設定!$L$6-0.000000001,F186&lt;=01_因子設定!$M$6+0.000000001,G186&gt;=01_因子設定!$L$7-0.000000001,G186&lt;=01_因子設定!$M$7+0.000000001,H186&gt;=01_因子設定!$L$8-0.000000001,H186&lt;=01_因子設定!$M$8+0.000000001,IF(01_因子設定!$B$20="Box-Behnken",E186^2+F186^2+G186^2+H186^2&lt;=2+0.000000001,TRUE()))</f>
        <v>1</v>
      </c>
      <c r="AD186" s="55" t="n">
        <f aca="false">IF(AC186,IF(01_因子設定!$B$13="最大化",AA186-01_因子設定!$B$14,IF(01_因子設定!$B$13="最小化",01_因子設定!$B$15-AB186,MIN(AA186-01_因子設定!$B$14,01_因子設定!$B$15-AB186))),-1E+030)</f>
        <v>-7.17357604875378</v>
      </c>
      <c r="AE186" s="55" t="n">
        <f aca="false">IF(AC186,IF(01_因子設定!$B$13="最大化",X186,IF(01_因子設定!$B$13="最小化",-X186,-ABS(X186-01_因子設定!$B$16))),-1E+030)</f>
        <v>40.8829678362574</v>
      </c>
      <c r="AF186" s="55" t="n">
        <f aca="false">AD186+ROW()*0.000000001</f>
        <v>-7.17357586275378</v>
      </c>
      <c r="AG186" s="55" t="n">
        <f aca="false">AE186+ROW()*0.000000001</f>
        <v>40.8829680222574</v>
      </c>
    </row>
    <row r="187" customFormat="false" ht="15" hidden="false" customHeight="false" outlineLevel="0" collapsed="false">
      <c r="A187" s="0" t="n">
        <v>0</v>
      </c>
      <c r="B187" s="0" t="n">
        <v>2</v>
      </c>
      <c r="C187" s="0" t="n">
        <v>2</v>
      </c>
      <c r="D187" s="0" t="n">
        <v>2</v>
      </c>
      <c r="E187" s="0" t="n">
        <f aca="false">-1+A187*0.25</f>
        <v>-1</v>
      </c>
      <c r="F187" s="0" t="n">
        <f aca="false">-1+B187*0.25</f>
        <v>-0.5</v>
      </c>
      <c r="G187" s="0" t="n">
        <f aca="false">-1+C187*0.25</f>
        <v>-0.5</v>
      </c>
      <c r="H187" s="0" t="n">
        <f aca="false">-1+D187*0.25</f>
        <v>-0.5</v>
      </c>
      <c r="I187" s="0" t="n">
        <f aca="false">1</f>
        <v>1</v>
      </c>
      <c r="J187" s="0" t="n">
        <f aca="false">E187</f>
        <v>-1</v>
      </c>
      <c r="K187" s="0" t="n">
        <f aca="false">F187</f>
        <v>-0.5</v>
      </c>
      <c r="L187" s="0" t="n">
        <f aca="false">G187</f>
        <v>-0.5</v>
      </c>
      <c r="M187" s="0" t="n">
        <f aca="false">H187</f>
        <v>-0.5</v>
      </c>
      <c r="N187" s="0" t="n">
        <f aca="false">E187*F187</f>
        <v>0.5</v>
      </c>
      <c r="O187" s="0" t="n">
        <f aca="false">E187*G187</f>
        <v>0.5</v>
      </c>
      <c r="P187" s="0" t="n">
        <f aca="false">E187*H187</f>
        <v>0.5</v>
      </c>
      <c r="Q187" s="0" t="n">
        <f aca="false">F187*G187</f>
        <v>0.25</v>
      </c>
      <c r="R187" s="0" t="n">
        <f aca="false">F187*H187</f>
        <v>0.25</v>
      </c>
      <c r="S187" s="0" t="n">
        <f aca="false">G187*H187</f>
        <v>0.25</v>
      </c>
      <c r="T187" s="0" t="n">
        <f aca="false">E187*E187</f>
        <v>1</v>
      </c>
      <c r="U187" s="0" t="n">
        <f aca="false">F187*F187</f>
        <v>0.25</v>
      </c>
      <c r="V187" s="0" t="n">
        <f aca="false">G187*G187</f>
        <v>0.25</v>
      </c>
      <c r="W187" s="0" t="n">
        <f aca="false">H187*H187</f>
        <v>0.25</v>
      </c>
      <c r="X187" s="0" t="n">
        <f aca="false">SUMPRODUCT(I187:W187,_XtX!$B$96:$P$96)</f>
        <v>41.0632492690059</v>
      </c>
      <c r="Y187" s="0" t="n">
        <f aca="false">SUMPRODUCT(MMULT(I187:W187,_XtX!$B$78:$P$92),I187:W187)</f>
        <v>0.404719480994152</v>
      </c>
      <c r="Z187" s="0" t="n">
        <f aca="false">04_回帰ANOVA!$K$19*04_回帰ANOVA!$K$14*SQRT(1+Y187)</f>
        <v>1.54487446697867</v>
      </c>
      <c r="AA187" s="0" t="n">
        <f aca="false">X187-Z187</f>
        <v>39.5183748020272</v>
      </c>
      <c r="AB187" s="0" t="n">
        <f aca="false">X187+Z187</f>
        <v>42.6081237359846</v>
      </c>
      <c r="AC187" s="54" t="b">
        <f aca="false">AND(E187&gt;=01_因子設定!$L$5-0.000000001,E187&lt;=01_因子設定!$M$5+0.000000001,F187&gt;=01_因子設定!$L$6-0.000000001,F187&lt;=01_因子設定!$M$6+0.000000001,G187&gt;=01_因子設定!$L$7-0.000000001,G187&lt;=01_因子設定!$M$7+0.000000001,H187&gt;=01_因子設定!$L$8-0.000000001,H187&lt;=01_因子設定!$M$8+0.000000001,IF(01_因子設定!$B$20="Box-Behnken",E187^2+F187^2+G187^2+H187^2&lt;=2+0.000000001,TRUE()))</f>
        <v>1</v>
      </c>
      <c r="AD187" s="55" t="n">
        <f aca="false">IF(AC187,IF(01_因子設定!$B$13="最大化",AA187-01_因子設定!$B$14,IF(01_因子設定!$B$13="最小化",01_因子設定!$B$15-AB187,MIN(AA187-01_因子設定!$B$14,01_因子設定!$B$15-AB187))),-1E+030)</f>
        <v>-6.98162519797279</v>
      </c>
      <c r="AE187" s="55" t="n">
        <f aca="false">IF(AC187,IF(01_因子設定!$B$13="最大化",X187,IF(01_因子設定!$B$13="最小化",-X187,-ABS(X187-01_因子設定!$B$16))),-1E+030)</f>
        <v>41.0632492690059</v>
      </c>
      <c r="AF187" s="55" t="n">
        <f aca="false">AD187+ROW()*0.000000001</f>
        <v>-6.98162501097279</v>
      </c>
      <c r="AG187" s="55" t="n">
        <f aca="false">AE187+ROW()*0.000000001</f>
        <v>41.0632494560059</v>
      </c>
    </row>
    <row r="188" customFormat="false" ht="15" hidden="false" customHeight="false" outlineLevel="0" collapsed="false">
      <c r="A188" s="0" t="n">
        <v>0</v>
      </c>
      <c r="B188" s="0" t="n">
        <v>2</v>
      </c>
      <c r="C188" s="0" t="n">
        <v>2</v>
      </c>
      <c r="D188" s="0" t="n">
        <v>3</v>
      </c>
      <c r="E188" s="0" t="n">
        <f aca="false">-1+A188*0.25</f>
        <v>-1</v>
      </c>
      <c r="F188" s="0" t="n">
        <f aca="false">-1+B188*0.25</f>
        <v>-0.5</v>
      </c>
      <c r="G188" s="0" t="n">
        <f aca="false">-1+C188*0.25</f>
        <v>-0.5</v>
      </c>
      <c r="H188" s="0" t="n">
        <f aca="false">-1+D188*0.25</f>
        <v>-0.25</v>
      </c>
      <c r="I188" s="0" t="n">
        <f aca="false">1</f>
        <v>1</v>
      </c>
      <c r="J188" s="0" t="n">
        <f aca="false">E188</f>
        <v>-1</v>
      </c>
      <c r="K188" s="0" t="n">
        <f aca="false">F188</f>
        <v>-0.5</v>
      </c>
      <c r="L188" s="0" t="n">
        <f aca="false">G188</f>
        <v>-0.5</v>
      </c>
      <c r="M188" s="0" t="n">
        <f aca="false">H188</f>
        <v>-0.25</v>
      </c>
      <c r="N188" s="0" t="n">
        <f aca="false">E188*F188</f>
        <v>0.5</v>
      </c>
      <c r="O188" s="0" t="n">
        <f aca="false">E188*G188</f>
        <v>0.5</v>
      </c>
      <c r="P188" s="0" t="n">
        <f aca="false">E188*H188</f>
        <v>0.25</v>
      </c>
      <c r="Q188" s="0" t="n">
        <f aca="false">F188*G188</f>
        <v>0.25</v>
      </c>
      <c r="R188" s="0" t="n">
        <f aca="false">F188*H188</f>
        <v>0.125</v>
      </c>
      <c r="S188" s="0" t="n">
        <f aca="false">G188*H188</f>
        <v>0.125</v>
      </c>
      <c r="T188" s="0" t="n">
        <f aca="false">E188*E188</f>
        <v>1</v>
      </c>
      <c r="U188" s="0" t="n">
        <f aca="false">F188*F188</f>
        <v>0.25</v>
      </c>
      <c r="V188" s="0" t="n">
        <f aca="false">G188*G188</f>
        <v>0.25</v>
      </c>
      <c r="W188" s="0" t="n">
        <f aca="false">H188*H188</f>
        <v>0.0625</v>
      </c>
      <c r="X188" s="0" t="n">
        <f aca="false">SUMPRODUCT(I188:W188,_XtX!$B$96:$P$96)</f>
        <v>41.1957236842106</v>
      </c>
      <c r="Y188" s="0" t="n">
        <f aca="false">SUMPRODUCT(MMULT(I188:W188,_XtX!$B$78:$P$92),I188:W188)</f>
        <v>0.428122715643275</v>
      </c>
      <c r="Z188" s="0" t="n">
        <f aca="false">04_回帰ANOVA!$K$19*04_回帰ANOVA!$K$14*SQRT(1+Y188)</f>
        <v>1.55769044623229</v>
      </c>
      <c r="AA188" s="0" t="n">
        <f aca="false">X188-Z188</f>
        <v>39.6380332379783</v>
      </c>
      <c r="AB188" s="0" t="n">
        <f aca="false">X188+Z188</f>
        <v>42.7534141304429</v>
      </c>
      <c r="AC188" s="54" t="b">
        <f aca="false">AND(E188&gt;=01_因子設定!$L$5-0.000000001,E188&lt;=01_因子設定!$M$5+0.000000001,F188&gt;=01_因子設定!$L$6-0.000000001,F188&lt;=01_因子設定!$M$6+0.000000001,G188&gt;=01_因子設定!$L$7-0.000000001,G188&lt;=01_因子設定!$M$7+0.000000001,H188&gt;=01_因子設定!$L$8-0.000000001,H188&lt;=01_因子設定!$M$8+0.000000001,IF(01_因子設定!$B$20="Box-Behnken",E188^2+F188^2+G188^2+H188^2&lt;=2+0.000000001,TRUE()))</f>
        <v>1</v>
      </c>
      <c r="AD188" s="55" t="n">
        <f aca="false">IF(AC188,IF(01_因子設定!$B$13="最大化",AA188-01_因子設定!$B$14,IF(01_因子設定!$B$13="最小化",01_因子設定!$B$15-AB188,MIN(AA188-01_因子設定!$B$14,01_因子設定!$B$15-AB188))),-1E+030)</f>
        <v>-6.86196676202174</v>
      </c>
      <c r="AE188" s="55" t="n">
        <f aca="false">IF(AC188,IF(01_因子設定!$B$13="最大化",X188,IF(01_因子設定!$B$13="最小化",-X188,-ABS(X188-01_因子設定!$B$16))),-1E+030)</f>
        <v>41.1957236842106</v>
      </c>
      <c r="AF188" s="55" t="n">
        <f aca="false">AD188+ROW()*0.000000001</f>
        <v>-6.86196657402174</v>
      </c>
      <c r="AG188" s="55" t="n">
        <f aca="false">AE188+ROW()*0.000000001</f>
        <v>41.1957238722106</v>
      </c>
    </row>
    <row r="189" customFormat="false" ht="15" hidden="false" customHeight="false" outlineLevel="0" collapsed="false">
      <c r="A189" s="0" t="n">
        <v>0</v>
      </c>
      <c r="B189" s="0" t="n">
        <v>2</v>
      </c>
      <c r="C189" s="0" t="n">
        <v>2</v>
      </c>
      <c r="D189" s="0" t="n">
        <v>4</v>
      </c>
      <c r="E189" s="0" t="n">
        <f aca="false">-1+A189*0.25</f>
        <v>-1</v>
      </c>
      <c r="F189" s="0" t="n">
        <f aca="false">-1+B189*0.25</f>
        <v>-0.5</v>
      </c>
      <c r="G189" s="0" t="n">
        <f aca="false">-1+C189*0.25</f>
        <v>-0.5</v>
      </c>
      <c r="H189" s="0" t="n">
        <f aca="false">-1+D189*0.25</f>
        <v>0</v>
      </c>
      <c r="I189" s="0" t="n">
        <f aca="false">1</f>
        <v>1</v>
      </c>
      <c r="J189" s="0" t="n">
        <f aca="false">E189</f>
        <v>-1</v>
      </c>
      <c r="K189" s="0" t="n">
        <f aca="false">F189</f>
        <v>-0.5</v>
      </c>
      <c r="L189" s="0" t="n">
        <f aca="false">G189</f>
        <v>-0.5</v>
      </c>
      <c r="M189" s="0" t="n">
        <f aca="false">H189</f>
        <v>0</v>
      </c>
      <c r="N189" s="0" t="n">
        <f aca="false">E189*F189</f>
        <v>0.5</v>
      </c>
      <c r="O189" s="0" t="n">
        <f aca="false">E189*G189</f>
        <v>0.5</v>
      </c>
      <c r="P189" s="0" t="n">
        <f aca="false">E189*H189</f>
        <v>-0</v>
      </c>
      <c r="Q189" s="0" t="n">
        <f aca="false">F189*G189</f>
        <v>0.25</v>
      </c>
      <c r="R189" s="0" t="n">
        <f aca="false">F189*H189</f>
        <v>-0</v>
      </c>
      <c r="S189" s="0" t="n">
        <f aca="false">G189*H189</f>
        <v>-0</v>
      </c>
      <c r="T189" s="0" t="n">
        <f aca="false">E189*E189</f>
        <v>1</v>
      </c>
      <c r="U189" s="0" t="n">
        <f aca="false">F189*F189</f>
        <v>0.25</v>
      </c>
      <c r="V189" s="0" t="n">
        <f aca="false">G189*G189</f>
        <v>0.25</v>
      </c>
      <c r="W189" s="0" t="n">
        <f aca="false">H189*H189</f>
        <v>0</v>
      </c>
      <c r="X189" s="0" t="n">
        <f aca="false">SUMPRODUCT(I189:W189,_XtX!$B$96:$P$96)</f>
        <v>41.2803910818714</v>
      </c>
      <c r="Y189" s="0" t="n">
        <f aca="false">SUMPRODUCT(MMULT(I189:W189,_XtX!$B$78:$P$92),I189:W189)</f>
        <v>0.441954495614035</v>
      </c>
      <c r="Z189" s="0" t="n">
        <f aca="false">04_回帰ANOVA!$K$19*04_回帰ANOVA!$K$14*SQRT(1+Y189)</f>
        <v>1.56521560968066</v>
      </c>
      <c r="AA189" s="0" t="n">
        <f aca="false">X189-Z189</f>
        <v>39.7151754721907</v>
      </c>
      <c r="AB189" s="0" t="n">
        <f aca="false">X189+Z189</f>
        <v>42.845606691552</v>
      </c>
      <c r="AC189" s="54" t="b">
        <f aca="false">AND(E189&gt;=01_因子設定!$L$5-0.000000001,E189&lt;=01_因子設定!$M$5+0.000000001,F189&gt;=01_因子設定!$L$6-0.000000001,F189&lt;=01_因子設定!$M$6+0.000000001,G189&gt;=01_因子設定!$L$7-0.000000001,G189&lt;=01_因子設定!$M$7+0.000000001,H189&gt;=01_因子設定!$L$8-0.000000001,H189&lt;=01_因子設定!$M$8+0.000000001,IF(01_因子設定!$B$20="Box-Behnken",E189^2+F189^2+G189^2+H189^2&lt;=2+0.000000001,TRUE()))</f>
        <v>1</v>
      </c>
      <c r="AD189" s="55" t="n">
        <f aca="false">IF(AC189,IF(01_因子設定!$B$13="最大化",AA189-01_因子設定!$B$14,IF(01_因子設定!$B$13="最小化",01_因子設定!$B$15-AB189,MIN(AA189-01_因子設定!$B$14,01_因子設定!$B$15-AB189))),-1E+030)</f>
        <v>-6.78482452780929</v>
      </c>
      <c r="AE189" s="55" t="n">
        <f aca="false">IF(AC189,IF(01_因子設定!$B$13="最大化",X189,IF(01_因子設定!$B$13="最小化",-X189,-ABS(X189-01_因子設定!$B$16))),-1E+030)</f>
        <v>41.2803910818714</v>
      </c>
      <c r="AF189" s="55" t="n">
        <f aca="false">AD189+ROW()*0.000000001</f>
        <v>-6.78482433880929</v>
      </c>
      <c r="AG189" s="55" t="n">
        <f aca="false">AE189+ROW()*0.000000001</f>
        <v>41.2803912708714</v>
      </c>
    </row>
    <row r="190" customFormat="false" ht="15" hidden="false" customHeight="false" outlineLevel="0" collapsed="false">
      <c r="A190" s="0" t="n">
        <v>0</v>
      </c>
      <c r="B190" s="0" t="n">
        <v>2</v>
      </c>
      <c r="C190" s="0" t="n">
        <v>2</v>
      </c>
      <c r="D190" s="0" t="n">
        <v>5</v>
      </c>
      <c r="E190" s="0" t="n">
        <f aca="false">-1+A190*0.25</f>
        <v>-1</v>
      </c>
      <c r="F190" s="0" t="n">
        <f aca="false">-1+B190*0.25</f>
        <v>-0.5</v>
      </c>
      <c r="G190" s="0" t="n">
        <f aca="false">-1+C190*0.25</f>
        <v>-0.5</v>
      </c>
      <c r="H190" s="0" t="n">
        <f aca="false">-1+D190*0.25</f>
        <v>0.25</v>
      </c>
      <c r="I190" s="0" t="n">
        <f aca="false">1</f>
        <v>1</v>
      </c>
      <c r="J190" s="0" t="n">
        <f aca="false">E190</f>
        <v>-1</v>
      </c>
      <c r="K190" s="0" t="n">
        <f aca="false">F190</f>
        <v>-0.5</v>
      </c>
      <c r="L190" s="0" t="n">
        <f aca="false">G190</f>
        <v>-0.5</v>
      </c>
      <c r="M190" s="0" t="n">
        <f aca="false">H190</f>
        <v>0.25</v>
      </c>
      <c r="N190" s="0" t="n">
        <f aca="false">E190*F190</f>
        <v>0.5</v>
      </c>
      <c r="O190" s="0" t="n">
        <f aca="false">E190*G190</f>
        <v>0.5</v>
      </c>
      <c r="P190" s="0" t="n">
        <f aca="false">E190*H190</f>
        <v>-0.25</v>
      </c>
      <c r="Q190" s="0" t="n">
        <f aca="false">F190*G190</f>
        <v>0.25</v>
      </c>
      <c r="R190" s="0" t="n">
        <f aca="false">F190*H190</f>
        <v>-0.125</v>
      </c>
      <c r="S190" s="0" t="n">
        <f aca="false">G190*H190</f>
        <v>-0.125</v>
      </c>
      <c r="T190" s="0" t="n">
        <f aca="false">E190*E190</f>
        <v>1</v>
      </c>
      <c r="U190" s="0" t="n">
        <f aca="false">F190*F190</f>
        <v>0.25</v>
      </c>
      <c r="V190" s="0" t="n">
        <f aca="false">G190*G190</f>
        <v>0.25</v>
      </c>
      <c r="W190" s="0" t="n">
        <f aca="false">H190*H190</f>
        <v>0.0625</v>
      </c>
      <c r="X190" s="0" t="n">
        <f aca="false">SUMPRODUCT(I190:W190,_XtX!$B$96:$P$96)</f>
        <v>41.3172514619883</v>
      </c>
      <c r="Y190" s="0" t="n">
        <f aca="false">SUMPRODUCT(MMULT(I190:W190,_XtX!$B$78:$P$92),I190:W190)</f>
        <v>0.428122715643275</v>
      </c>
      <c r="Z190" s="0" t="n">
        <f aca="false">04_回帰ANOVA!$K$19*04_回帰ANOVA!$K$14*SQRT(1+Y190)</f>
        <v>1.55769044623229</v>
      </c>
      <c r="AA190" s="0" t="n">
        <f aca="false">X190-Z190</f>
        <v>39.759561015756</v>
      </c>
      <c r="AB190" s="0" t="n">
        <f aca="false">X190+Z190</f>
        <v>42.8749419082206</v>
      </c>
      <c r="AC190" s="54" t="b">
        <f aca="false">AND(E190&gt;=01_因子設定!$L$5-0.000000001,E190&lt;=01_因子設定!$M$5+0.000000001,F190&gt;=01_因子設定!$L$6-0.000000001,F190&lt;=01_因子設定!$M$6+0.000000001,G190&gt;=01_因子設定!$L$7-0.000000001,G190&lt;=01_因子設定!$M$7+0.000000001,H190&gt;=01_因子設定!$L$8-0.000000001,H190&lt;=01_因子設定!$M$8+0.000000001,IF(01_因子設定!$B$20="Box-Behnken",E190^2+F190^2+G190^2+H190^2&lt;=2+0.000000001,TRUE()))</f>
        <v>1</v>
      </c>
      <c r="AD190" s="55" t="n">
        <f aca="false">IF(AC190,IF(01_因子設定!$B$13="最大化",AA190-01_因子設定!$B$14,IF(01_因子設定!$B$13="最小化",01_因子設定!$B$15-AB190,MIN(AA190-01_因子設定!$B$14,01_因子設定!$B$15-AB190))),-1E+030)</f>
        <v>-6.74043898424396</v>
      </c>
      <c r="AE190" s="55" t="n">
        <f aca="false">IF(AC190,IF(01_因子設定!$B$13="最大化",X190,IF(01_因子設定!$B$13="最小化",-X190,-ABS(X190-01_因子設定!$B$16))),-1E+030)</f>
        <v>41.3172514619883</v>
      </c>
      <c r="AF190" s="55" t="n">
        <f aca="false">AD190+ROW()*0.000000001</f>
        <v>-6.74043879424396</v>
      </c>
      <c r="AG190" s="55" t="n">
        <f aca="false">AE190+ROW()*0.000000001</f>
        <v>41.3172516519883</v>
      </c>
    </row>
    <row r="191" customFormat="false" ht="15" hidden="false" customHeight="false" outlineLevel="0" collapsed="false">
      <c r="A191" s="0" t="n">
        <v>0</v>
      </c>
      <c r="B191" s="0" t="n">
        <v>2</v>
      </c>
      <c r="C191" s="0" t="n">
        <v>2</v>
      </c>
      <c r="D191" s="0" t="n">
        <v>6</v>
      </c>
      <c r="E191" s="0" t="n">
        <f aca="false">-1+A191*0.25</f>
        <v>-1</v>
      </c>
      <c r="F191" s="0" t="n">
        <f aca="false">-1+B191*0.25</f>
        <v>-0.5</v>
      </c>
      <c r="G191" s="0" t="n">
        <f aca="false">-1+C191*0.25</f>
        <v>-0.5</v>
      </c>
      <c r="H191" s="0" t="n">
        <f aca="false">-1+D191*0.25</f>
        <v>0.5</v>
      </c>
      <c r="I191" s="0" t="n">
        <f aca="false">1</f>
        <v>1</v>
      </c>
      <c r="J191" s="0" t="n">
        <f aca="false">E191</f>
        <v>-1</v>
      </c>
      <c r="K191" s="0" t="n">
        <f aca="false">F191</f>
        <v>-0.5</v>
      </c>
      <c r="L191" s="0" t="n">
        <f aca="false">G191</f>
        <v>-0.5</v>
      </c>
      <c r="M191" s="0" t="n">
        <f aca="false">H191</f>
        <v>0.5</v>
      </c>
      <c r="N191" s="0" t="n">
        <f aca="false">E191*F191</f>
        <v>0.5</v>
      </c>
      <c r="O191" s="0" t="n">
        <f aca="false">E191*G191</f>
        <v>0.5</v>
      </c>
      <c r="P191" s="0" t="n">
        <f aca="false">E191*H191</f>
        <v>-0.5</v>
      </c>
      <c r="Q191" s="0" t="n">
        <f aca="false">F191*G191</f>
        <v>0.25</v>
      </c>
      <c r="R191" s="0" t="n">
        <f aca="false">F191*H191</f>
        <v>-0.25</v>
      </c>
      <c r="S191" s="0" t="n">
        <f aca="false">G191*H191</f>
        <v>-0.25</v>
      </c>
      <c r="T191" s="0" t="n">
        <f aca="false">E191*E191</f>
        <v>1</v>
      </c>
      <c r="U191" s="0" t="n">
        <f aca="false">F191*F191</f>
        <v>0.25</v>
      </c>
      <c r="V191" s="0" t="n">
        <f aca="false">G191*G191</f>
        <v>0.25</v>
      </c>
      <c r="W191" s="0" t="n">
        <f aca="false">H191*H191</f>
        <v>0.25</v>
      </c>
      <c r="X191" s="0" t="n">
        <f aca="false">SUMPRODUCT(I191:W191,_XtX!$B$96:$P$96)</f>
        <v>41.3063048245614</v>
      </c>
      <c r="Y191" s="0" t="n">
        <f aca="false">SUMPRODUCT(MMULT(I191:W191,_XtX!$B$78:$P$92),I191:W191)</f>
        <v>0.404719480994152</v>
      </c>
      <c r="Z191" s="0" t="n">
        <f aca="false">04_回帰ANOVA!$K$19*04_回帰ANOVA!$K$14*SQRT(1+Y191)</f>
        <v>1.54487446697867</v>
      </c>
      <c r="AA191" s="0" t="n">
        <f aca="false">X191-Z191</f>
        <v>39.7614303575828</v>
      </c>
      <c r="AB191" s="0" t="n">
        <f aca="false">X191+Z191</f>
        <v>42.8511792915401</v>
      </c>
      <c r="AC191" s="54" t="b">
        <f aca="false">AND(E191&gt;=01_因子設定!$L$5-0.000000001,E191&lt;=01_因子設定!$M$5+0.000000001,F191&gt;=01_因子設定!$L$6-0.000000001,F191&lt;=01_因子設定!$M$6+0.000000001,G191&gt;=01_因子設定!$L$7-0.000000001,G191&lt;=01_因子設定!$M$7+0.000000001,H191&gt;=01_因子設定!$L$8-0.000000001,H191&lt;=01_因子設定!$M$8+0.000000001,IF(01_因子設定!$B$20="Box-Behnken",E191^2+F191^2+G191^2+H191^2&lt;=2+0.000000001,TRUE()))</f>
        <v>1</v>
      </c>
      <c r="AD191" s="55" t="n">
        <f aca="false">IF(AC191,IF(01_因子設定!$B$13="最大化",AA191-01_因子設定!$B$14,IF(01_因子設定!$B$13="最小化",01_因子設定!$B$15-AB191,MIN(AA191-01_因子設定!$B$14,01_因子設定!$B$15-AB191))),-1E+030)</f>
        <v>-6.73856964241724</v>
      </c>
      <c r="AE191" s="55" t="n">
        <f aca="false">IF(AC191,IF(01_因子設定!$B$13="最大化",X191,IF(01_因子設定!$B$13="最小化",-X191,-ABS(X191-01_因子設定!$B$16))),-1E+030)</f>
        <v>41.3063048245614</v>
      </c>
      <c r="AF191" s="55" t="n">
        <f aca="false">AD191+ROW()*0.000000001</f>
        <v>-6.73856945141724</v>
      </c>
      <c r="AG191" s="55" t="n">
        <f aca="false">AE191+ROW()*0.000000001</f>
        <v>41.3063050155614</v>
      </c>
    </row>
    <row r="192" customFormat="false" ht="15" hidden="false" customHeight="false" outlineLevel="0" collapsed="false">
      <c r="A192" s="0" t="n">
        <v>0</v>
      </c>
      <c r="B192" s="0" t="n">
        <v>2</v>
      </c>
      <c r="C192" s="0" t="n">
        <v>2</v>
      </c>
      <c r="D192" s="0" t="n">
        <v>7</v>
      </c>
      <c r="E192" s="0" t="n">
        <f aca="false">-1+A192*0.25</f>
        <v>-1</v>
      </c>
      <c r="F192" s="0" t="n">
        <f aca="false">-1+B192*0.25</f>
        <v>-0.5</v>
      </c>
      <c r="G192" s="0" t="n">
        <f aca="false">-1+C192*0.25</f>
        <v>-0.5</v>
      </c>
      <c r="H192" s="0" t="n">
        <f aca="false">-1+D192*0.25</f>
        <v>0.75</v>
      </c>
      <c r="I192" s="0" t="n">
        <f aca="false">1</f>
        <v>1</v>
      </c>
      <c r="J192" s="0" t="n">
        <f aca="false">E192</f>
        <v>-1</v>
      </c>
      <c r="K192" s="0" t="n">
        <f aca="false">F192</f>
        <v>-0.5</v>
      </c>
      <c r="L192" s="0" t="n">
        <f aca="false">G192</f>
        <v>-0.5</v>
      </c>
      <c r="M192" s="0" t="n">
        <f aca="false">H192</f>
        <v>0.75</v>
      </c>
      <c r="N192" s="0" t="n">
        <f aca="false">E192*F192</f>
        <v>0.5</v>
      </c>
      <c r="O192" s="0" t="n">
        <f aca="false">E192*G192</f>
        <v>0.5</v>
      </c>
      <c r="P192" s="0" t="n">
        <f aca="false">E192*H192</f>
        <v>-0.75</v>
      </c>
      <c r="Q192" s="0" t="n">
        <f aca="false">F192*G192</f>
        <v>0.25</v>
      </c>
      <c r="R192" s="0" t="n">
        <f aca="false">F192*H192</f>
        <v>-0.375</v>
      </c>
      <c r="S192" s="0" t="n">
        <f aca="false">G192*H192</f>
        <v>-0.375</v>
      </c>
      <c r="T192" s="0" t="n">
        <f aca="false">E192*E192</f>
        <v>1</v>
      </c>
      <c r="U192" s="0" t="n">
        <f aca="false">F192*F192</f>
        <v>0.25</v>
      </c>
      <c r="V192" s="0" t="n">
        <f aca="false">G192*G192</f>
        <v>0.25</v>
      </c>
      <c r="W192" s="0" t="n">
        <f aca="false">H192*H192</f>
        <v>0.5625</v>
      </c>
      <c r="X192" s="0" t="n">
        <f aca="false">SUMPRODUCT(I192:W192,_XtX!$B$96:$P$96)</f>
        <v>41.2475511695907</v>
      </c>
      <c r="Y192" s="0" t="n">
        <f aca="false">SUMPRODUCT(MMULT(I192:W192,_XtX!$B$78:$P$92),I192:W192)</f>
        <v>0.42602110745614</v>
      </c>
      <c r="Z192" s="0" t="n">
        <f aca="false">04_回帰ANOVA!$K$19*04_回帰ANOVA!$K$14*SQRT(1+Y192)</f>
        <v>1.55654388501114</v>
      </c>
      <c r="AA192" s="0" t="n">
        <f aca="false">X192-Z192</f>
        <v>39.6910072845796</v>
      </c>
      <c r="AB192" s="0" t="n">
        <f aca="false">X192+Z192</f>
        <v>42.8040950546018</v>
      </c>
      <c r="AC192" s="54" t="b">
        <f aca="false">AND(E192&gt;=01_因子設定!$L$5-0.000000001,E192&lt;=01_因子設定!$M$5+0.000000001,F192&gt;=01_因子設定!$L$6-0.000000001,F192&lt;=01_因子設定!$M$6+0.000000001,G192&gt;=01_因子設定!$L$7-0.000000001,G192&lt;=01_因子設定!$M$7+0.000000001,H192&gt;=01_因子設定!$L$8-0.000000001,H192&lt;=01_因子設定!$M$8+0.000000001,IF(01_因子設定!$B$20="Box-Behnken",E192^2+F192^2+G192^2+H192^2&lt;=2+0.000000001,TRUE()))</f>
        <v>1</v>
      </c>
      <c r="AD192" s="55" t="n">
        <f aca="false">IF(AC192,IF(01_因子設定!$B$13="最大化",AA192-01_因子設定!$B$14,IF(01_因子設定!$B$13="最小化",01_因子設定!$B$15-AB192,MIN(AA192-01_因子設定!$B$14,01_因子設定!$B$15-AB192))),-1E+030)</f>
        <v>-6.80899271542045</v>
      </c>
      <c r="AE192" s="55" t="n">
        <f aca="false">IF(AC192,IF(01_因子設定!$B$13="最大化",X192,IF(01_因子設定!$B$13="最小化",-X192,-ABS(X192-01_因子設定!$B$16))),-1E+030)</f>
        <v>41.2475511695907</v>
      </c>
      <c r="AF192" s="55" t="n">
        <f aca="false">AD192+ROW()*0.000000001</f>
        <v>-6.80899252342045</v>
      </c>
      <c r="AG192" s="55" t="n">
        <f aca="false">AE192+ROW()*0.000000001</f>
        <v>41.2475513615907</v>
      </c>
    </row>
    <row r="193" customFormat="false" ht="15" hidden="false" customHeight="false" outlineLevel="0" collapsed="false">
      <c r="A193" s="0" t="n">
        <v>0</v>
      </c>
      <c r="B193" s="0" t="n">
        <v>2</v>
      </c>
      <c r="C193" s="0" t="n">
        <v>2</v>
      </c>
      <c r="D193" s="0" t="n">
        <v>8</v>
      </c>
      <c r="E193" s="0" t="n">
        <f aca="false">-1+A193*0.25</f>
        <v>-1</v>
      </c>
      <c r="F193" s="0" t="n">
        <f aca="false">-1+B193*0.25</f>
        <v>-0.5</v>
      </c>
      <c r="G193" s="0" t="n">
        <f aca="false">-1+C193*0.25</f>
        <v>-0.5</v>
      </c>
      <c r="H193" s="0" t="n">
        <f aca="false">-1+D193*0.25</f>
        <v>1</v>
      </c>
      <c r="I193" s="0" t="n">
        <f aca="false">1</f>
        <v>1</v>
      </c>
      <c r="J193" s="0" t="n">
        <f aca="false">E193</f>
        <v>-1</v>
      </c>
      <c r="K193" s="0" t="n">
        <f aca="false">F193</f>
        <v>-0.5</v>
      </c>
      <c r="L193" s="0" t="n">
        <f aca="false">G193</f>
        <v>-0.5</v>
      </c>
      <c r="M193" s="0" t="n">
        <f aca="false">H193</f>
        <v>1</v>
      </c>
      <c r="N193" s="0" t="n">
        <f aca="false">E193*F193</f>
        <v>0.5</v>
      </c>
      <c r="O193" s="0" t="n">
        <f aca="false">E193*G193</f>
        <v>0.5</v>
      </c>
      <c r="P193" s="0" t="n">
        <f aca="false">E193*H193</f>
        <v>-1</v>
      </c>
      <c r="Q193" s="0" t="n">
        <f aca="false">F193*G193</f>
        <v>0.25</v>
      </c>
      <c r="R193" s="0" t="n">
        <f aca="false">F193*H193</f>
        <v>-0.5</v>
      </c>
      <c r="S193" s="0" t="n">
        <f aca="false">G193*H193</f>
        <v>-0.5</v>
      </c>
      <c r="T193" s="0" t="n">
        <f aca="false">E193*E193</f>
        <v>1</v>
      </c>
      <c r="U193" s="0" t="n">
        <f aca="false">F193*F193</f>
        <v>0.25</v>
      </c>
      <c r="V193" s="0" t="n">
        <f aca="false">G193*G193</f>
        <v>0.25</v>
      </c>
      <c r="W193" s="0" t="n">
        <f aca="false">H193*H193</f>
        <v>1</v>
      </c>
      <c r="X193" s="0" t="n">
        <f aca="false">SUMPRODUCT(I193:W193,_XtX!$B$96:$P$96)</f>
        <v>41.1409904970761</v>
      </c>
      <c r="Y193" s="0" t="n">
        <f aca="false">SUMPRODUCT(MMULT(I193:W193,_XtX!$B$78:$P$92),I193:W193)</f>
        <v>0.582488121345029</v>
      </c>
      <c r="Z193" s="0" t="n">
        <f aca="false">04_回帰ANOVA!$K$19*04_回帰ANOVA!$K$14*SQRT(1+Y193)</f>
        <v>1.63971595338287</v>
      </c>
      <c r="AA193" s="0" t="n">
        <f aca="false">X193-Z193</f>
        <v>39.5012745436932</v>
      </c>
      <c r="AB193" s="0" t="n">
        <f aca="false">X193+Z193</f>
        <v>42.780706450459</v>
      </c>
      <c r="AC193" s="54" t="b">
        <f aca="false">AND(E193&gt;=01_因子設定!$L$5-0.000000001,E193&lt;=01_因子設定!$M$5+0.000000001,F193&gt;=01_因子設定!$L$6-0.000000001,F193&lt;=01_因子設定!$M$6+0.000000001,G193&gt;=01_因子設定!$L$7-0.000000001,G193&lt;=01_因子設定!$M$7+0.000000001,H193&gt;=01_因子設定!$L$8-0.000000001,H193&lt;=01_因子設定!$M$8+0.000000001,IF(01_因子設定!$B$20="Box-Behnken",E193^2+F193^2+G193^2+H193^2&lt;=2+0.000000001,TRUE()))</f>
        <v>1</v>
      </c>
      <c r="AD193" s="55" t="n">
        <f aca="false">IF(AC193,IF(01_因子設定!$B$13="最大化",AA193-01_因子設定!$B$14,IF(01_因子設定!$B$13="最小化",01_因子設定!$B$15-AB193,MIN(AA193-01_因子設定!$B$14,01_因子設定!$B$15-AB193))),-1E+030)</f>
        <v>-6.99872545630678</v>
      </c>
      <c r="AE193" s="55" t="n">
        <f aca="false">IF(AC193,IF(01_因子設定!$B$13="最大化",X193,IF(01_因子設定!$B$13="最小化",-X193,-ABS(X193-01_因子設定!$B$16))),-1E+030)</f>
        <v>41.1409904970761</v>
      </c>
      <c r="AF193" s="55" t="n">
        <f aca="false">AD193+ROW()*0.000000001</f>
        <v>-6.99872526330678</v>
      </c>
      <c r="AG193" s="55" t="n">
        <f aca="false">AE193+ROW()*0.000000001</f>
        <v>41.1409906900761</v>
      </c>
    </row>
    <row r="194" customFormat="false" ht="15" hidden="false" customHeight="false" outlineLevel="0" collapsed="false">
      <c r="A194" s="0" t="n">
        <v>0</v>
      </c>
      <c r="B194" s="0" t="n">
        <v>2</v>
      </c>
      <c r="C194" s="0" t="n">
        <v>3</v>
      </c>
      <c r="D194" s="0" t="n">
        <v>0</v>
      </c>
      <c r="E194" s="0" t="n">
        <f aca="false">-1+A194*0.25</f>
        <v>-1</v>
      </c>
      <c r="F194" s="0" t="n">
        <f aca="false">-1+B194*0.25</f>
        <v>-0.5</v>
      </c>
      <c r="G194" s="0" t="n">
        <f aca="false">-1+C194*0.25</f>
        <v>-0.25</v>
      </c>
      <c r="H194" s="0" t="n">
        <f aca="false">-1+D194*0.25</f>
        <v>-1</v>
      </c>
      <c r="I194" s="0" t="n">
        <f aca="false">1</f>
        <v>1</v>
      </c>
      <c r="J194" s="0" t="n">
        <f aca="false">E194</f>
        <v>-1</v>
      </c>
      <c r="K194" s="0" t="n">
        <f aca="false">F194</f>
        <v>-0.5</v>
      </c>
      <c r="L194" s="0" t="n">
        <f aca="false">G194</f>
        <v>-0.25</v>
      </c>
      <c r="M194" s="0" t="n">
        <f aca="false">H194</f>
        <v>-1</v>
      </c>
      <c r="N194" s="0" t="n">
        <f aca="false">E194*F194</f>
        <v>0.5</v>
      </c>
      <c r="O194" s="0" t="n">
        <f aca="false">E194*G194</f>
        <v>0.25</v>
      </c>
      <c r="P194" s="0" t="n">
        <f aca="false">E194*H194</f>
        <v>1</v>
      </c>
      <c r="Q194" s="0" t="n">
        <f aca="false">F194*G194</f>
        <v>0.125</v>
      </c>
      <c r="R194" s="0" t="n">
        <f aca="false">F194*H194</f>
        <v>0.5</v>
      </c>
      <c r="S194" s="0" t="n">
        <f aca="false">G194*H194</f>
        <v>0.25</v>
      </c>
      <c r="T194" s="0" t="n">
        <f aca="false">E194*E194</f>
        <v>1</v>
      </c>
      <c r="U194" s="0" t="n">
        <f aca="false">F194*F194</f>
        <v>0.25</v>
      </c>
      <c r="V194" s="0" t="n">
        <f aca="false">G194*G194</f>
        <v>0.0625</v>
      </c>
      <c r="W194" s="0" t="n">
        <f aca="false">H194*H194</f>
        <v>1</v>
      </c>
      <c r="X194" s="0" t="n">
        <f aca="false">SUMPRODUCT(I194:W194,_XtX!$B$96:$P$96)</f>
        <v>41.0802357456141</v>
      </c>
      <c r="Y194" s="0" t="n">
        <f aca="false">SUMPRODUCT(MMULT(I194:W194,_XtX!$B$78:$P$92),I194:W194)</f>
        <v>0.629174661915205</v>
      </c>
      <c r="Z194" s="0" t="n">
        <f aca="false">04_回帰ANOVA!$K$19*04_回帰ANOVA!$K$14*SQRT(1+Y194)</f>
        <v>1.66372758058297</v>
      </c>
      <c r="AA194" s="0" t="n">
        <f aca="false">X194-Z194</f>
        <v>39.4165081650311</v>
      </c>
      <c r="AB194" s="0" t="n">
        <f aca="false">X194+Z194</f>
        <v>42.7439633261971</v>
      </c>
      <c r="AC194" s="54" t="b">
        <f aca="false">AND(E194&gt;=01_因子設定!$L$5-0.000000001,E194&lt;=01_因子設定!$M$5+0.000000001,F194&gt;=01_因子設定!$L$6-0.000000001,F194&lt;=01_因子設定!$M$6+0.000000001,G194&gt;=01_因子設定!$L$7-0.000000001,G194&lt;=01_因子設定!$M$7+0.000000001,H194&gt;=01_因子設定!$L$8-0.000000001,H194&lt;=01_因子設定!$M$8+0.000000001,IF(01_因子設定!$B$20="Box-Behnken",E194^2+F194^2+G194^2+H194^2&lt;=2+0.000000001,TRUE()))</f>
        <v>1</v>
      </c>
      <c r="AD194" s="55" t="n">
        <f aca="false">IF(AC194,IF(01_因子設定!$B$13="最大化",AA194-01_因子設定!$B$14,IF(01_因子設定!$B$13="最小化",01_因子設定!$B$15-AB194,MIN(AA194-01_因子設定!$B$14,01_因子設定!$B$15-AB194))),-1E+030)</f>
        <v>-7.08349183496888</v>
      </c>
      <c r="AE194" s="55" t="n">
        <f aca="false">IF(AC194,IF(01_因子設定!$B$13="最大化",X194,IF(01_因子設定!$B$13="最小化",-X194,-ABS(X194-01_因子設定!$B$16))),-1E+030)</f>
        <v>41.0802357456141</v>
      </c>
      <c r="AF194" s="55" t="n">
        <f aca="false">AD194+ROW()*0.000000001</f>
        <v>-7.08349164096888</v>
      </c>
      <c r="AG194" s="55" t="n">
        <f aca="false">AE194+ROW()*0.000000001</f>
        <v>41.0802359396141</v>
      </c>
    </row>
    <row r="195" customFormat="false" ht="15" hidden="false" customHeight="false" outlineLevel="0" collapsed="false">
      <c r="A195" s="0" t="n">
        <v>0</v>
      </c>
      <c r="B195" s="0" t="n">
        <v>2</v>
      </c>
      <c r="C195" s="0" t="n">
        <v>3</v>
      </c>
      <c r="D195" s="0" t="n">
        <v>1</v>
      </c>
      <c r="E195" s="0" t="n">
        <f aca="false">-1+A195*0.25</f>
        <v>-1</v>
      </c>
      <c r="F195" s="0" t="n">
        <f aca="false">-1+B195*0.25</f>
        <v>-0.5</v>
      </c>
      <c r="G195" s="0" t="n">
        <f aca="false">-1+C195*0.25</f>
        <v>-0.25</v>
      </c>
      <c r="H195" s="0" t="n">
        <f aca="false">-1+D195*0.25</f>
        <v>-0.75</v>
      </c>
      <c r="I195" s="0" t="n">
        <f aca="false">1</f>
        <v>1</v>
      </c>
      <c r="J195" s="0" t="n">
        <f aca="false">E195</f>
        <v>-1</v>
      </c>
      <c r="K195" s="0" t="n">
        <f aca="false">F195</f>
        <v>-0.5</v>
      </c>
      <c r="L195" s="0" t="n">
        <f aca="false">G195</f>
        <v>-0.25</v>
      </c>
      <c r="M195" s="0" t="n">
        <f aca="false">H195</f>
        <v>-0.75</v>
      </c>
      <c r="N195" s="0" t="n">
        <f aca="false">E195*F195</f>
        <v>0.5</v>
      </c>
      <c r="O195" s="0" t="n">
        <f aca="false">E195*G195</f>
        <v>0.25</v>
      </c>
      <c r="P195" s="0" t="n">
        <f aca="false">E195*H195</f>
        <v>0.75</v>
      </c>
      <c r="Q195" s="0" t="n">
        <f aca="false">F195*G195</f>
        <v>0.125</v>
      </c>
      <c r="R195" s="0" t="n">
        <f aca="false">F195*H195</f>
        <v>0.375</v>
      </c>
      <c r="S195" s="0" t="n">
        <f aca="false">G195*H195</f>
        <v>0.1875</v>
      </c>
      <c r="T195" s="0" t="n">
        <f aca="false">E195*E195</f>
        <v>1</v>
      </c>
      <c r="U195" s="0" t="n">
        <f aca="false">F195*F195</f>
        <v>0.25</v>
      </c>
      <c r="V195" s="0" t="n">
        <f aca="false">G195*G195</f>
        <v>0.0625</v>
      </c>
      <c r="W195" s="0" t="n">
        <f aca="false">H195*H195</f>
        <v>0.5625</v>
      </c>
      <c r="X195" s="0" t="n">
        <f aca="false">SUMPRODUCT(I195:W195,_XtX!$B$96:$P$96)</f>
        <v>41.3262929459065</v>
      </c>
      <c r="Y195" s="0" t="n">
        <f aca="false">SUMPRODUCT(MMULT(I195:W195,_XtX!$B$78:$P$92),I195:W195)</f>
        <v>0.459125719572369</v>
      </c>
      <c r="Z195" s="0" t="n">
        <f aca="false">04_回帰ANOVA!$K$19*04_回帰ANOVA!$K$14*SQRT(1+Y195)</f>
        <v>1.57450755575573</v>
      </c>
      <c r="AA195" s="0" t="n">
        <f aca="false">X195-Z195</f>
        <v>39.7517853901508</v>
      </c>
      <c r="AB195" s="0" t="n">
        <f aca="false">X195+Z195</f>
        <v>42.9008005016622</v>
      </c>
      <c r="AC195" s="54" t="b">
        <f aca="false">AND(E195&gt;=01_因子設定!$L$5-0.000000001,E195&lt;=01_因子設定!$M$5+0.000000001,F195&gt;=01_因子設定!$L$6-0.000000001,F195&lt;=01_因子設定!$M$6+0.000000001,G195&gt;=01_因子設定!$L$7-0.000000001,G195&lt;=01_因子設定!$M$7+0.000000001,H195&gt;=01_因子設定!$L$8-0.000000001,H195&lt;=01_因子設定!$M$8+0.000000001,IF(01_因子設定!$B$20="Box-Behnken",E195^2+F195^2+G195^2+H195^2&lt;=2+0.000000001,TRUE()))</f>
        <v>1</v>
      </c>
      <c r="AD195" s="55" t="n">
        <f aca="false">IF(AC195,IF(01_因子設定!$B$13="最大化",AA195-01_因子設定!$B$14,IF(01_因子設定!$B$13="最小化",01_因子設定!$B$15-AB195,MIN(AA195-01_因子設定!$B$14,01_因子設定!$B$15-AB195))),-1E+030)</f>
        <v>-6.74821460984925</v>
      </c>
      <c r="AE195" s="55" t="n">
        <f aca="false">IF(AC195,IF(01_因子設定!$B$13="最大化",X195,IF(01_因子設定!$B$13="最小化",-X195,-ABS(X195-01_因子設定!$B$16))),-1E+030)</f>
        <v>41.3262929459065</v>
      </c>
      <c r="AF195" s="55" t="n">
        <f aca="false">AD195+ROW()*0.000000001</f>
        <v>-6.74821441484925</v>
      </c>
      <c r="AG195" s="55" t="n">
        <f aca="false">AE195+ROW()*0.000000001</f>
        <v>41.3262931409065</v>
      </c>
    </row>
    <row r="196" customFormat="false" ht="15" hidden="false" customHeight="false" outlineLevel="0" collapsed="false">
      <c r="A196" s="0" t="n">
        <v>0</v>
      </c>
      <c r="B196" s="0" t="n">
        <v>2</v>
      </c>
      <c r="C196" s="0" t="n">
        <v>3</v>
      </c>
      <c r="D196" s="0" t="n">
        <v>2</v>
      </c>
      <c r="E196" s="0" t="n">
        <f aca="false">-1+A196*0.25</f>
        <v>-1</v>
      </c>
      <c r="F196" s="0" t="n">
        <f aca="false">-1+B196*0.25</f>
        <v>-0.5</v>
      </c>
      <c r="G196" s="0" t="n">
        <f aca="false">-1+C196*0.25</f>
        <v>-0.25</v>
      </c>
      <c r="H196" s="0" t="n">
        <f aca="false">-1+D196*0.25</f>
        <v>-0.5</v>
      </c>
      <c r="I196" s="0" t="n">
        <f aca="false">1</f>
        <v>1</v>
      </c>
      <c r="J196" s="0" t="n">
        <f aca="false">E196</f>
        <v>-1</v>
      </c>
      <c r="K196" s="0" t="n">
        <f aca="false">F196</f>
        <v>-0.5</v>
      </c>
      <c r="L196" s="0" t="n">
        <f aca="false">G196</f>
        <v>-0.25</v>
      </c>
      <c r="M196" s="0" t="n">
        <f aca="false">H196</f>
        <v>-0.5</v>
      </c>
      <c r="N196" s="0" t="n">
        <f aca="false">E196*F196</f>
        <v>0.5</v>
      </c>
      <c r="O196" s="0" t="n">
        <f aca="false">E196*G196</f>
        <v>0.25</v>
      </c>
      <c r="P196" s="0" t="n">
        <f aca="false">E196*H196</f>
        <v>0.5</v>
      </c>
      <c r="Q196" s="0" t="n">
        <f aca="false">F196*G196</f>
        <v>0.125</v>
      </c>
      <c r="R196" s="0" t="n">
        <f aca="false">F196*H196</f>
        <v>0.25</v>
      </c>
      <c r="S196" s="0" t="n">
        <f aca="false">G196*H196</f>
        <v>0.125</v>
      </c>
      <c r="T196" s="0" t="n">
        <f aca="false">E196*E196</f>
        <v>1</v>
      </c>
      <c r="U196" s="0" t="n">
        <f aca="false">F196*F196</f>
        <v>0.25</v>
      </c>
      <c r="V196" s="0" t="n">
        <f aca="false">G196*G196</f>
        <v>0.0625</v>
      </c>
      <c r="W196" s="0" t="n">
        <f aca="false">H196*H196</f>
        <v>0.25</v>
      </c>
      <c r="X196" s="0" t="n">
        <f aca="false">SUMPRODUCT(I196:W196,_XtX!$B$96:$P$96)</f>
        <v>41.524543128655</v>
      </c>
      <c r="Y196" s="0" t="n">
        <f aca="false">SUMPRODUCT(MMULT(I196:W196,_XtX!$B$78:$P$92),I196:W196)</f>
        <v>0.428122715643275</v>
      </c>
      <c r="Z196" s="0" t="n">
        <f aca="false">04_回帰ANOVA!$K$19*04_回帰ANOVA!$K$14*SQRT(1+Y196)</f>
        <v>1.55769044623229</v>
      </c>
      <c r="AA196" s="0" t="n">
        <f aca="false">X196-Z196</f>
        <v>39.9668526824227</v>
      </c>
      <c r="AB196" s="0" t="n">
        <f aca="false">X196+Z196</f>
        <v>43.0822335748873</v>
      </c>
      <c r="AC196" s="54" t="b">
        <f aca="false">AND(E196&gt;=01_因子設定!$L$5-0.000000001,E196&lt;=01_因子設定!$M$5+0.000000001,F196&gt;=01_因子設定!$L$6-0.000000001,F196&lt;=01_因子設定!$M$6+0.000000001,G196&gt;=01_因子設定!$L$7-0.000000001,G196&lt;=01_因子設定!$M$7+0.000000001,H196&gt;=01_因子設定!$L$8-0.000000001,H196&lt;=01_因子設定!$M$8+0.000000001,IF(01_因子設定!$B$20="Box-Behnken",E196^2+F196^2+G196^2+H196^2&lt;=2+0.000000001,TRUE()))</f>
        <v>1</v>
      </c>
      <c r="AD196" s="55" t="n">
        <f aca="false">IF(AC196,IF(01_因子設定!$B$13="最大化",AA196-01_因子設定!$B$14,IF(01_因子設定!$B$13="最小化",01_因子設定!$B$15-AB196,MIN(AA196-01_因子設定!$B$14,01_因子設定!$B$15-AB196))),-1E+030)</f>
        <v>-6.53314731757729</v>
      </c>
      <c r="AE196" s="55" t="n">
        <f aca="false">IF(AC196,IF(01_因子設定!$B$13="最大化",X196,IF(01_因子設定!$B$13="最小化",-X196,-ABS(X196-01_因子設定!$B$16))),-1E+030)</f>
        <v>41.524543128655</v>
      </c>
      <c r="AF196" s="55" t="n">
        <f aca="false">AD196+ROW()*0.000000001</f>
        <v>-6.53314712157729</v>
      </c>
      <c r="AG196" s="55" t="n">
        <f aca="false">AE196+ROW()*0.000000001</f>
        <v>41.524543324655</v>
      </c>
    </row>
    <row r="197" customFormat="false" ht="15" hidden="false" customHeight="false" outlineLevel="0" collapsed="false">
      <c r="A197" s="0" t="n">
        <v>0</v>
      </c>
      <c r="B197" s="0" t="n">
        <v>2</v>
      </c>
      <c r="C197" s="0" t="n">
        <v>3</v>
      </c>
      <c r="D197" s="0" t="n">
        <v>3</v>
      </c>
      <c r="E197" s="0" t="n">
        <f aca="false">-1+A197*0.25</f>
        <v>-1</v>
      </c>
      <c r="F197" s="0" t="n">
        <f aca="false">-1+B197*0.25</f>
        <v>-0.5</v>
      </c>
      <c r="G197" s="0" t="n">
        <f aca="false">-1+C197*0.25</f>
        <v>-0.25</v>
      </c>
      <c r="H197" s="0" t="n">
        <f aca="false">-1+D197*0.25</f>
        <v>-0.25</v>
      </c>
      <c r="I197" s="0" t="n">
        <f aca="false">1</f>
        <v>1</v>
      </c>
      <c r="J197" s="0" t="n">
        <f aca="false">E197</f>
        <v>-1</v>
      </c>
      <c r="K197" s="0" t="n">
        <f aca="false">F197</f>
        <v>-0.5</v>
      </c>
      <c r="L197" s="0" t="n">
        <f aca="false">G197</f>
        <v>-0.25</v>
      </c>
      <c r="M197" s="0" t="n">
        <f aca="false">H197</f>
        <v>-0.25</v>
      </c>
      <c r="N197" s="0" t="n">
        <f aca="false">E197*F197</f>
        <v>0.5</v>
      </c>
      <c r="O197" s="0" t="n">
        <f aca="false">E197*G197</f>
        <v>0.25</v>
      </c>
      <c r="P197" s="0" t="n">
        <f aca="false">E197*H197</f>
        <v>0.25</v>
      </c>
      <c r="Q197" s="0" t="n">
        <f aca="false">F197*G197</f>
        <v>0.125</v>
      </c>
      <c r="R197" s="0" t="n">
        <f aca="false">F197*H197</f>
        <v>0.125</v>
      </c>
      <c r="S197" s="0" t="n">
        <f aca="false">G197*H197</f>
        <v>0.0625</v>
      </c>
      <c r="T197" s="0" t="n">
        <f aca="false">E197*E197</f>
        <v>1</v>
      </c>
      <c r="U197" s="0" t="n">
        <f aca="false">F197*F197</f>
        <v>0.25</v>
      </c>
      <c r="V197" s="0" t="n">
        <f aca="false">G197*G197</f>
        <v>0.0625</v>
      </c>
      <c r="W197" s="0" t="n">
        <f aca="false">H197*H197</f>
        <v>0.0625</v>
      </c>
      <c r="X197" s="0" t="n">
        <f aca="false">SUMPRODUCT(I197:W197,_XtX!$B$96:$P$96)</f>
        <v>41.6749862938597</v>
      </c>
      <c r="Y197" s="0" t="n">
        <f aca="false">SUMPRODUCT(MMULT(I197:W197,_XtX!$B$78:$P$92),I197:W197)</f>
        <v>0.445705123812135</v>
      </c>
      <c r="Z197" s="0" t="n">
        <f aca="false">04_回帰ANOVA!$K$19*04_回帰ANOVA!$K$14*SQRT(1+Y197)</f>
        <v>1.56724990734749</v>
      </c>
      <c r="AA197" s="0" t="n">
        <f aca="false">X197-Z197</f>
        <v>40.1077363865122</v>
      </c>
      <c r="AB197" s="0" t="n">
        <f aca="false">X197+Z197</f>
        <v>43.2422362012072</v>
      </c>
      <c r="AC197" s="54" t="b">
        <f aca="false">AND(E197&gt;=01_因子設定!$L$5-0.000000001,E197&lt;=01_因子設定!$M$5+0.000000001,F197&gt;=01_因子設定!$L$6-0.000000001,F197&lt;=01_因子設定!$M$6+0.000000001,G197&gt;=01_因子設定!$L$7-0.000000001,G197&lt;=01_因子設定!$M$7+0.000000001,H197&gt;=01_因子設定!$L$8-0.000000001,H197&lt;=01_因子設定!$M$8+0.000000001,IF(01_因子設定!$B$20="Box-Behnken",E197^2+F197^2+G197^2+H197^2&lt;=2+0.000000001,TRUE()))</f>
        <v>1</v>
      </c>
      <c r="AD197" s="55" t="n">
        <f aca="false">IF(AC197,IF(01_因子設定!$B$13="最大化",AA197-01_因子設定!$B$14,IF(01_因子設定!$B$13="最小化",01_因子設定!$B$15-AB197,MIN(AA197-01_因子設定!$B$14,01_因子設定!$B$15-AB197))),-1E+030)</f>
        <v>-6.39226361348781</v>
      </c>
      <c r="AE197" s="55" t="n">
        <f aca="false">IF(AC197,IF(01_因子設定!$B$13="最大化",X197,IF(01_因子設定!$B$13="最小化",-X197,-ABS(X197-01_因子設定!$B$16))),-1E+030)</f>
        <v>41.6749862938597</v>
      </c>
      <c r="AF197" s="55" t="n">
        <f aca="false">AD197+ROW()*0.000000001</f>
        <v>-6.39226341648781</v>
      </c>
      <c r="AG197" s="55" t="n">
        <f aca="false">AE197+ROW()*0.000000001</f>
        <v>41.6749864908597</v>
      </c>
    </row>
    <row r="198" customFormat="false" ht="15" hidden="false" customHeight="false" outlineLevel="0" collapsed="false">
      <c r="A198" s="0" t="n">
        <v>0</v>
      </c>
      <c r="B198" s="0" t="n">
        <v>2</v>
      </c>
      <c r="C198" s="0" t="n">
        <v>3</v>
      </c>
      <c r="D198" s="0" t="n">
        <v>4</v>
      </c>
      <c r="E198" s="0" t="n">
        <f aca="false">-1+A198*0.25</f>
        <v>-1</v>
      </c>
      <c r="F198" s="0" t="n">
        <f aca="false">-1+B198*0.25</f>
        <v>-0.5</v>
      </c>
      <c r="G198" s="0" t="n">
        <f aca="false">-1+C198*0.25</f>
        <v>-0.25</v>
      </c>
      <c r="H198" s="0" t="n">
        <f aca="false">-1+D198*0.25</f>
        <v>0</v>
      </c>
      <c r="I198" s="0" t="n">
        <f aca="false">1</f>
        <v>1</v>
      </c>
      <c r="J198" s="0" t="n">
        <f aca="false">E198</f>
        <v>-1</v>
      </c>
      <c r="K198" s="0" t="n">
        <f aca="false">F198</f>
        <v>-0.5</v>
      </c>
      <c r="L198" s="0" t="n">
        <f aca="false">G198</f>
        <v>-0.25</v>
      </c>
      <c r="M198" s="0" t="n">
        <f aca="false">H198</f>
        <v>0</v>
      </c>
      <c r="N198" s="0" t="n">
        <f aca="false">E198*F198</f>
        <v>0.5</v>
      </c>
      <c r="O198" s="0" t="n">
        <f aca="false">E198*G198</f>
        <v>0.25</v>
      </c>
      <c r="P198" s="0" t="n">
        <f aca="false">E198*H198</f>
        <v>-0</v>
      </c>
      <c r="Q198" s="0" t="n">
        <f aca="false">F198*G198</f>
        <v>0.125</v>
      </c>
      <c r="R198" s="0" t="n">
        <f aca="false">F198*H198</f>
        <v>-0</v>
      </c>
      <c r="S198" s="0" t="n">
        <f aca="false">G198*H198</f>
        <v>-0</v>
      </c>
      <c r="T198" s="0" t="n">
        <f aca="false">E198*E198</f>
        <v>1</v>
      </c>
      <c r="U198" s="0" t="n">
        <f aca="false">F198*F198</f>
        <v>0.25</v>
      </c>
      <c r="V198" s="0" t="n">
        <f aca="false">G198*G198</f>
        <v>0.0625</v>
      </c>
      <c r="W198" s="0" t="n">
        <f aca="false">H198*H198</f>
        <v>0</v>
      </c>
      <c r="X198" s="0" t="n">
        <f aca="false">SUMPRODUCT(I198:W198,_XtX!$B$96:$P$96)</f>
        <v>41.7776224415205</v>
      </c>
      <c r="Y198" s="0" t="n">
        <f aca="false">SUMPRODUCT(MMULT(I198:W198,_XtX!$B$78:$P$92),I198:W198)</f>
        <v>0.457596628289474</v>
      </c>
      <c r="Z198" s="0" t="n">
        <f aca="false">04_回帰ANOVA!$K$19*04_回帰ANOVA!$K$14*SQRT(1+Y198)</f>
        <v>1.57368233664366</v>
      </c>
      <c r="AA198" s="0" t="n">
        <f aca="false">X198-Z198</f>
        <v>40.2039401048768</v>
      </c>
      <c r="AB198" s="0" t="n">
        <f aca="false">X198+Z198</f>
        <v>43.3513047781642</v>
      </c>
      <c r="AC198" s="54" t="b">
        <f aca="false">AND(E198&gt;=01_因子設定!$L$5-0.000000001,E198&lt;=01_因子設定!$M$5+0.000000001,F198&gt;=01_因子設定!$L$6-0.000000001,F198&lt;=01_因子設定!$M$6+0.000000001,G198&gt;=01_因子設定!$L$7-0.000000001,G198&lt;=01_因子設定!$M$7+0.000000001,H198&gt;=01_因子設定!$L$8-0.000000001,H198&lt;=01_因子設定!$M$8+0.000000001,IF(01_因子設定!$B$20="Box-Behnken",E198^2+F198^2+G198^2+H198^2&lt;=2+0.000000001,TRUE()))</f>
        <v>1</v>
      </c>
      <c r="AD198" s="55" t="n">
        <f aca="false">IF(AC198,IF(01_因子設定!$B$13="最大化",AA198-01_因子設定!$B$14,IF(01_因子設定!$B$13="最小化",01_因子設定!$B$15-AB198,MIN(AA198-01_因子設定!$B$14,01_因子設定!$B$15-AB198))),-1E+030)</f>
        <v>-6.29605989512316</v>
      </c>
      <c r="AE198" s="55" t="n">
        <f aca="false">IF(AC198,IF(01_因子設定!$B$13="最大化",X198,IF(01_因子設定!$B$13="最小化",-X198,-ABS(X198-01_因子設定!$B$16))),-1E+030)</f>
        <v>41.7776224415205</v>
      </c>
      <c r="AF198" s="55" t="n">
        <f aca="false">AD198+ROW()*0.000000001</f>
        <v>-6.29605969712316</v>
      </c>
      <c r="AG198" s="55" t="n">
        <f aca="false">AE198+ROW()*0.000000001</f>
        <v>41.7776226395205</v>
      </c>
    </row>
    <row r="199" customFormat="false" ht="15" hidden="false" customHeight="false" outlineLevel="0" collapsed="false">
      <c r="A199" s="0" t="n">
        <v>0</v>
      </c>
      <c r="B199" s="0" t="n">
        <v>2</v>
      </c>
      <c r="C199" s="0" t="n">
        <v>3</v>
      </c>
      <c r="D199" s="0" t="n">
        <v>5</v>
      </c>
      <c r="E199" s="0" t="n">
        <f aca="false">-1+A199*0.25</f>
        <v>-1</v>
      </c>
      <c r="F199" s="0" t="n">
        <f aca="false">-1+B199*0.25</f>
        <v>-0.5</v>
      </c>
      <c r="G199" s="0" t="n">
        <f aca="false">-1+C199*0.25</f>
        <v>-0.25</v>
      </c>
      <c r="H199" s="0" t="n">
        <f aca="false">-1+D199*0.25</f>
        <v>0.25</v>
      </c>
      <c r="I199" s="0" t="n">
        <f aca="false">1</f>
        <v>1</v>
      </c>
      <c r="J199" s="0" t="n">
        <f aca="false">E199</f>
        <v>-1</v>
      </c>
      <c r="K199" s="0" t="n">
        <f aca="false">F199</f>
        <v>-0.5</v>
      </c>
      <c r="L199" s="0" t="n">
        <f aca="false">G199</f>
        <v>-0.25</v>
      </c>
      <c r="M199" s="0" t="n">
        <f aca="false">H199</f>
        <v>0.25</v>
      </c>
      <c r="N199" s="0" t="n">
        <f aca="false">E199*F199</f>
        <v>0.5</v>
      </c>
      <c r="O199" s="0" t="n">
        <f aca="false">E199*G199</f>
        <v>0.25</v>
      </c>
      <c r="P199" s="0" t="n">
        <f aca="false">E199*H199</f>
        <v>-0.25</v>
      </c>
      <c r="Q199" s="0" t="n">
        <f aca="false">F199*G199</f>
        <v>0.125</v>
      </c>
      <c r="R199" s="0" t="n">
        <f aca="false">F199*H199</f>
        <v>-0.125</v>
      </c>
      <c r="S199" s="0" t="n">
        <f aca="false">G199*H199</f>
        <v>-0.0625</v>
      </c>
      <c r="T199" s="0" t="n">
        <f aca="false">E199*E199</f>
        <v>1</v>
      </c>
      <c r="U199" s="0" t="n">
        <f aca="false">F199*F199</f>
        <v>0.25</v>
      </c>
      <c r="V199" s="0" t="n">
        <f aca="false">G199*G199</f>
        <v>0.0625</v>
      </c>
      <c r="W199" s="0" t="n">
        <f aca="false">H199*H199</f>
        <v>0.0625</v>
      </c>
      <c r="X199" s="0" t="n">
        <f aca="false">SUMPRODUCT(I199:W199,_XtX!$B$96:$P$96)</f>
        <v>41.8324515716375</v>
      </c>
      <c r="Y199" s="0" t="n">
        <f aca="false">SUMPRODUCT(MMULT(I199:W199,_XtX!$B$78:$P$92),I199:W199)</f>
        <v>0.445705123812135</v>
      </c>
      <c r="Z199" s="0" t="n">
        <f aca="false">04_回帰ANOVA!$K$19*04_回帰ANOVA!$K$14*SQRT(1+Y199)</f>
        <v>1.56724990734749</v>
      </c>
      <c r="AA199" s="0" t="n">
        <f aca="false">X199-Z199</f>
        <v>40.26520166429</v>
      </c>
      <c r="AB199" s="0" t="n">
        <f aca="false">X199+Z199</f>
        <v>43.3997014789849</v>
      </c>
      <c r="AC199" s="54" t="b">
        <f aca="false">AND(E199&gt;=01_因子設定!$L$5-0.000000001,E199&lt;=01_因子設定!$M$5+0.000000001,F199&gt;=01_因子設定!$L$6-0.000000001,F199&lt;=01_因子設定!$M$6+0.000000001,G199&gt;=01_因子設定!$L$7-0.000000001,G199&lt;=01_因子設定!$M$7+0.000000001,H199&gt;=01_因子設定!$L$8-0.000000001,H199&lt;=01_因子設定!$M$8+0.000000001,IF(01_因子設定!$B$20="Box-Behnken",E199^2+F199^2+G199^2+H199^2&lt;=2+0.000000001,TRUE()))</f>
        <v>1</v>
      </c>
      <c r="AD199" s="55" t="n">
        <f aca="false">IF(AC199,IF(01_因子設定!$B$13="最大化",AA199-01_因子設定!$B$14,IF(01_因子設定!$B$13="最小化",01_因子設定!$B$15-AB199,MIN(AA199-01_因子設定!$B$14,01_因子設定!$B$15-AB199))),-1E+030)</f>
        <v>-6.23479833571003</v>
      </c>
      <c r="AE199" s="55" t="n">
        <f aca="false">IF(AC199,IF(01_因子設定!$B$13="最大化",X199,IF(01_因子設定!$B$13="最小化",-X199,-ABS(X199-01_因子設定!$B$16))),-1E+030)</f>
        <v>41.8324515716375</v>
      </c>
      <c r="AF199" s="55" t="n">
        <f aca="false">AD199+ROW()*0.000000001</f>
        <v>-6.23479813671003</v>
      </c>
      <c r="AG199" s="55" t="n">
        <f aca="false">AE199+ROW()*0.000000001</f>
        <v>41.8324517706375</v>
      </c>
    </row>
    <row r="200" customFormat="false" ht="15" hidden="false" customHeight="false" outlineLevel="0" collapsed="false">
      <c r="A200" s="0" t="n">
        <v>0</v>
      </c>
      <c r="B200" s="0" t="n">
        <v>2</v>
      </c>
      <c r="C200" s="0" t="n">
        <v>3</v>
      </c>
      <c r="D200" s="0" t="n">
        <v>6</v>
      </c>
      <c r="E200" s="0" t="n">
        <f aca="false">-1+A200*0.25</f>
        <v>-1</v>
      </c>
      <c r="F200" s="0" t="n">
        <f aca="false">-1+B200*0.25</f>
        <v>-0.5</v>
      </c>
      <c r="G200" s="0" t="n">
        <f aca="false">-1+C200*0.25</f>
        <v>-0.25</v>
      </c>
      <c r="H200" s="0" t="n">
        <f aca="false">-1+D200*0.25</f>
        <v>0.5</v>
      </c>
      <c r="I200" s="0" t="n">
        <f aca="false">1</f>
        <v>1</v>
      </c>
      <c r="J200" s="0" t="n">
        <f aca="false">E200</f>
        <v>-1</v>
      </c>
      <c r="K200" s="0" t="n">
        <f aca="false">F200</f>
        <v>-0.5</v>
      </c>
      <c r="L200" s="0" t="n">
        <f aca="false">G200</f>
        <v>-0.25</v>
      </c>
      <c r="M200" s="0" t="n">
        <f aca="false">H200</f>
        <v>0.5</v>
      </c>
      <c r="N200" s="0" t="n">
        <f aca="false">E200*F200</f>
        <v>0.5</v>
      </c>
      <c r="O200" s="0" t="n">
        <f aca="false">E200*G200</f>
        <v>0.25</v>
      </c>
      <c r="P200" s="0" t="n">
        <f aca="false">E200*H200</f>
        <v>-0.5</v>
      </c>
      <c r="Q200" s="0" t="n">
        <f aca="false">F200*G200</f>
        <v>0.125</v>
      </c>
      <c r="R200" s="0" t="n">
        <f aca="false">F200*H200</f>
        <v>-0.25</v>
      </c>
      <c r="S200" s="0" t="n">
        <f aca="false">G200*H200</f>
        <v>-0.125</v>
      </c>
      <c r="T200" s="0" t="n">
        <f aca="false">E200*E200</f>
        <v>1</v>
      </c>
      <c r="U200" s="0" t="n">
        <f aca="false">F200*F200</f>
        <v>0.25</v>
      </c>
      <c r="V200" s="0" t="n">
        <f aca="false">G200*G200</f>
        <v>0.0625</v>
      </c>
      <c r="W200" s="0" t="n">
        <f aca="false">H200*H200</f>
        <v>0.25</v>
      </c>
      <c r="X200" s="0" t="n">
        <f aca="false">SUMPRODUCT(I200:W200,_XtX!$B$96:$P$96)</f>
        <v>41.8394736842106</v>
      </c>
      <c r="Y200" s="0" t="n">
        <f aca="false">SUMPRODUCT(MMULT(I200:W200,_XtX!$B$78:$P$92),I200:W200)</f>
        <v>0.428122715643275</v>
      </c>
      <c r="Z200" s="0" t="n">
        <f aca="false">04_回帰ANOVA!$K$19*04_回帰ANOVA!$K$14*SQRT(1+Y200)</f>
        <v>1.55769044623229</v>
      </c>
      <c r="AA200" s="0" t="n">
        <f aca="false">X200-Z200</f>
        <v>40.2817832379783</v>
      </c>
      <c r="AB200" s="0" t="n">
        <f aca="false">X200+Z200</f>
        <v>43.3971641304429</v>
      </c>
      <c r="AC200" s="54" t="b">
        <f aca="false">AND(E200&gt;=01_因子設定!$L$5-0.000000001,E200&lt;=01_因子設定!$M$5+0.000000001,F200&gt;=01_因子設定!$L$6-0.000000001,F200&lt;=01_因子設定!$M$6+0.000000001,G200&gt;=01_因子設定!$L$7-0.000000001,G200&lt;=01_因子設定!$M$7+0.000000001,H200&gt;=01_因子設定!$L$8-0.000000001,H200&lt;=01_因子設定!$M$8+0.000000001,IF(01_因子設定!$B$20="Box-Behnken",E200^2+F200^2+G200^2+H200^2&lt;=2+0.000000001,TRUE()))</f>
        <v>1</v>
      </c>
      <c r="AD200" s="55" t="n">
        <f aca="false">IF(AC200,IF(01_因子設定!$B$13="最大化",AA200-01_因子設定!$B$14,IF(01_因子設定!$B$13="最小化",01_因子設定!$B$15-AB200,MIN(AA200-01_因子設定!$B$14,01_因子設定!$B$15-AB200))),-1E+030)</f>
        <v>-6.21821676202173</v>
      </c>
      <c r="AE200" s="55" t="n">
        <f aca="false">IF(AC200,IF(01_因子設定!$B$13="最大化",X200,IF(01_因子設定!$B$13="最小化",-X200,-ABS(X200-01_因子設定!$B$16))),-1E+030)</f>
        <v>41.8394736842106</v>
      </c>
      <c r="AF200" s="55" t="n">
        <f aca="false">AD200+ROW()*0.000000001</f>
        <v>-6.21821656202173</v>
      </c>
      <c r="AG200" s="55" t="n">
        <f aca="false">AE200+ROW()*0.000000001</f>
        <v>41.8394738842106</v>
      </c>
    </row>
    <row r="201" customFormat="false" ht="15" hidden="false" customHeight="false" outlineLevel="0" collapsed="false">
      <c r="A201" s="0" t="n">
        <v>0</v>
      </c>
      <c r="B201" s="0" t="n">
        <v>2</v>
      </c>
      <c r="C201" s="0" t="n">
        <v>3</v>
      </c>
      <c r="D201" s="0" t="n">
        <v>7</v>
      </c>
      <c r="E201" s="0" t="n">
        <f aca="false">-1+A201*0.25</f>
        <v>-1</v>
      </c>
      <c r="F201" s="0" t="n">
        <f aca="false">-1+B201*0.25</f>
        <v>-0.5</v>
      </c>
      <c r="G201" s="0" t="n">
        <f aca="false">-1+C201*0.25</f>
        <v>-0.25</v>
      </c>
      <c r="H201" s="0" t="n">
        <f aca="false">-1+D201*0.25</f>
        <v>0.75</v>
      </c>
      <c r="I201" s="0" t="n">
        <f aca="false">1</f>
        <v>1</v>
      </c>
      <c r="J201" s="0" t="n">
        <f aca="false">E201</f>
        <v>-1</v>
      </c>
      <c r="K201" s="0" t="n">
        <f aca="false">F201</f>
        <v>-0.5</v>
      </c>
      <c r="L201" s="0" t="n">
        <f aca="false">G201</f>
        <v>-0.25</v>
      </c>
      <c r="M201" s="0" t="n">
        <f aca="false">H201</f>
        <v>0.75</v>
      </c>
      <c r="N201" s="0" t="n">
        <f aca="false">E201*F201</f>
        <v>0.5</v>
      </c>
      <c r="O201" s="0" t="n">
        <f aca="false">E201*G201</f>
        <v>0.25</v>
      </c>
      <c r="P201" s="0" t="n">
        <f aca="false">E201*H201</f>
        <v>-0.75</v>
      </c>
      <c r="Q201" s="0" t="n">
        <f aca="false">F201*G201</f>
        <v>0.125</v>
      </c>
      <c r="R201" s="0" t="n">
        <f aca="false">F201*H201</f>
        <v>-0.375</v>
      </c>
      <c r="S201" s="0" t="n">
        <f aca="false">G201*H201</f>
        <v>-0.1875</v>
      </c>
      <c r="T201" s="0" t="n">
        <f aca="false">E201*E201</f>
        <v>1</v>
      </c>
      <c r="U201" s="0" t="n">
        <f aca="false">F201*F201</f>
        <v>0.25</v>
      </c>
      <c r="V201" s="0" t="n">
        <f aca="false">G201*G201</f>
        <v>0.0625</v>
      </c>
      <c r="W201" s="0" t="n">
        <f aca="false">H201*H201</f>
        <v>0.5625</v>
      </c>
      <c r="X201" s="0" t="n">
        <f aca="false">SUMPRODUCT(I201:W201,_XtX!$B$96:$P$96)</f>
        <v>41.7986887792398</v>
      </c>
      <c r="Y201" s="0" t="n">
        <f aca="false">SUMPRODUCT(MMULT(I201:W201,_XtX!$B$78:$P$92),I201:W201)</f>
        <v>0.459125719572369</v>
      </c>
      <c r="Z201" s="0" t="n">
        <f aca="false">04_回帰ANOVA!$K$19*04_回帰ANOVA!$K$14*SQRT(1+Y201)</f>
        <v>1.57450755575573</v>
      </c>
      <c r="AA201" s="0" t="n">
        <f aca="false">X201-Z201</f>
        <v>40.2241812234841</v>
      </c>
      <c r="AB201" s="0" t="n">
        <f aca="false">X201+Z201</f>
        <v>43.3731963349955</v>
      </c>
      <c r="AC201" s="54" t="b">
        <f aca="false">AND(E201&gt;=01_因子設定!$L$5-0.000000001,E201&lt;=01_因子設定!$M$5+0.000000001,F201&gt;=01_因子設定!$L$6-0.000000001,F201&lt;=01_因子設定!$M$6+0.000000001,G201&gt;=01_因子設定!$L$7-0.000000001,G201&lt;=01_因子設定!$M$7+0.000000001,H201&gt;=01_因子設定!$L$8-0.000000001,H201&lt;=01_因子設定!$M$8+0.000000001,IF(01_因子設定!$B$20="Box-Behnken",E201^2+F201^2+G201^2+H201^2&lt;=2+0.000000001,TRUE()))</f>
        <v>1</v>
      </c>
      <c r="AD201" s="55" t="n">
        <f aca="false">IF(AC201,IF(01_因子設定!$B$13="最大化",AA201-01_因子設定!$B$14,IF(01_因子設定!$B$13="最小化",01_因子設定!$B$15-AB201,MIN(AA201-01_因子設定!$B$14,01_因子設定!$B$15-AB201))),-1E+030)</f>
        <v>-6.27581877651592</v>
      </c>
      <c r="AE201" s="55" t="n">
        <f aca="false">IF(AC201,IF(01_因子設定!$B$13="最大化",X201,IF(01_因子設定!$B$13="最小化",-X201,-ABS(X201-01_因子設定!$B$16))),-1E+030)</f>
        <v>41.7986887792398</v>
      </c>
      <c r="AF201" s="55" t="n">
        <f aca="false">AD201+ROW()*0.000000001</f>
        <v>-6.27581857551592</v>
      </c>
      <c r="AG201" s="55" t="n">
        <f aca="false">AE201+ROW()*0.000000001</f>
        <v>41.7986889802398</v>
      </c>
    </row>
    <row r="202" customFormat="false" ht="15" hidden="false" customHeight="false" outlineLevel="0" collapsed="false">
      <c r="A202" s="0" t="n">
        <v>0</v>
      </c>
      <c r="B202" s="0" t="n">
        <v>2</v>
      </c>
      <c r="C202" s="0" t="n">
        <v>3</v>
      </c>
      <c r="D202" s="0" t="n">
        <v>8</v>
      </c>
      <c r="E202" s="0" t="n">
        <f aca="false">-1+A202*0.25</f>
        <v>-1</v>
      </c>
      <c r="F202" s="0" t="n">
        <f aca="false">-1+B202*0.25</f>
        <v>-0.5</v>
      </c>
      <c r="G202" s="0" t="n">
        <f aca="false">-1+C202*0.25</f>
        <v>-0.25</v>
      </c>
      <c r="H202" s="0" t="n">
        <f aca="false">-1+D202*0.25</f>
        <v>1</v>
      </c>
      <c r="I202" s="0" t="n">
        <f aca="false">1</f>
        <v>1</v>
      </c>
      <c r="J202" s="0" t="n">
        <f aca="false">E202</f>
        <v>-1</v>
      </c>
      <c r="K202" s="0" t="n">
        <f aca="false">F202</f>
        <v>-0.5</v>
      </c>
      <c r="L202" s="0" t="n">
        <f aca="false">G202</f>
        <v>-0.25</v>
      </c>
      <c r="M202" s="0" t="n">
        <f aca="false">H202</f>
        <v>1</v>
      </c>
      <c r="N202" s="0" t="n">
        <f aca="false">E202*F202</f>
        <v>0.5</v>
      </c>
      <c r="O202" s="0" t="n">
        <f aca="false">E202*G202</f>
        <v>0.25</v>
      </c>
      <c r="P202" s="0" t="n">
        <f aca="false">E202*H202</f>
        <v>-1</v>
      </c>
      <c r="Q202" s="0" t="n">
        <f aca="false">F202*G202</f>
        <v>0.125</v>
      </c>
      <c r="R202" s="0" t="n">
        <f aca="false">F202*H202</f>
        <v>-0.5</v>
      </c>
      <c r="S202" s="0" t="n">
        <f aca="false">G202*H202</f>
        <v>-0.25</v>
      </c>
      <c r="T202" s="0" t="n">
        <f aca="false">E202*E202</f>
        <v>1</v>
      </c>
      <c r="U202" s="0" t="n">
        <f aca="false">F202*F202</f>
        <v>0.25</v>
      </c>
      <c r="V202" s="0" t="n">
        <f aca="false">G202*G202</f>
        <v>0.0625</v>
      </c>
      <c r="W202" s="0" t="n">
        <f aca="false">H202*H202</f>
        <v>1</v>
      </c>
      <c r="X202" s="0" t="n">
        <f aca="false">SUMPRODUCT(I202:W202,_XtX!$B$96:$P$96)</f>
        <v>41.7100968567252</v>
      </c>
      <c r="Y202" s="0" t="n">
        <f aca="false">SUMPRODUCT(MMULT(I202:W202,_XtX!$B$78:$P$92),I202:W202)</f>
        <v>0.629174661915205</v>
      </c>
      <c r="Z202" s="0" t="n">
        <f aca="false">04_回帰ANOVA!$K$19*04_回帰ANOVA!$K$14*SQRT(1+Y202)</f>
        <v>1.66372758058297</v>
      </c>
      <c r="AA202" s="0" t="n">
        <f aca="false">X202-Z202</f>
        <v>40.0463692761422</v>
      </c>
      <c r="AB202" s="0" t="n">
        <f aca="false">X202+Z202</f>
        <v>43.3738244373082</v>
      </c>
      <c r="AC202" s="54" t="b">
        <f aca="false">AND(E202&gt;=01_因子設定!$L$5-0.000000001,E202&lt;=01_因子設定!$M$5+0.000000001,F202&gt;=01_因子設定!$L$6-0.000000001,F202&lt;=01_因子設定!$M$6+0.000000001,G202&gt;=01_因子設定!$L$7-0.000000001,G202&lt;=01_因子設定!$M$7+0.000000001,H202&gt;=01_因子設定!$L$8-0.000000001,H202&lt;=01_因子設定!$M$8+0.000000001,IF(01_因子設定!$B$20="Box-Behnken",E202^2+F202^2+G202^2+H202^2&lt;=2+0.000000001,TRUE()))</f>
        <v>1</v>
      </c>
      <c r="AD202" s="55" t="n">
        <f aca="false">IF(AC202,IF(01_因子設定!$B$13="最大化",AA202-01_因子設定!$B$14,IF(01_因子設定!$B$13="最小化",01_因子設定!$B$15-AB202,MIN(AA202-01_因子設定!$B$14,01_因子設定!$B$15-AB202))),-1E+030)</f>
        <v>-6.45363072385776</v>
      </c>
      <c r="AE202" s="55" t="n">
        <f aca="false">IF(AC202,IF(01_因子設定!$B$13="最大化",X202,IF(01_因子設定!$B$13="最小化",-X202,-ABS(X202-01_因子設定!$B$16))),-1E+030)</f>
        <v>41.7100968567252</v>
      </c>
      <c r="AF202" s="55" t="n">
        <f aca="false">AD202+ROW()*0.000000001</f>
        <v>-6.45363052185776</v>
      </c>
      <c r="AG202" s="55" t="n">
        <f aca="false">AE202+ROW()*0.000000001</f>
        <v>41.7100970587252</v>
      </c>
    </row>
    <row r="203" customFormat="false" ht="15" hidden="false" customHeight="false" outlineLevel="0" collapsed="false">
      <c r="A203" s="0" t="n">
        <v>0</v>
      </c>
      <c r="B203" s="0" t="n">
        <v>2</v>
      </c>
      <c r="C203" s="0" t="n">
        <v>4</v>
      </c>
      <c r="D203" s="0" t="n">
        <v>0</v>
      </c>
      <c r="E203" s="0" t="n">
        <f aca="false">-1+A203*0.25</f>
        <v>-1</v>
      </c>
      <c r="F203" s="0" t="n">
        <f aca="false">-1+B203*0.25</f>
        <v>-0.5</v>
      </c>
      <c r="G203" s="0" t="n">
        <f aca="false">-1+C203*0.25</f>
        <v>0</v>
      </c>
      <c r="H203" s="0" t="n">
        <f aca="false">-1+D203*0.25</f>
        <v>-1</v>
      </c>
      <c r="I203" s="0" t="n">
        <f aca="false">1</f>
        <v>1</v>
      </c>
      <c r="J203" s="0" t="n">
        <f aca="false">E203</f>
        <v>-1</v>
      </c>
      <c r="K203" s="0" t="n">
        <f aca="false">F203</f>
        <v>-0.5</v>
      </c>
      <c r="L203" s="0" t="n">
        <f aca="false">G203</f>
        <v>0</v>
      </c>
      <c r="M203" s="0" t="n">
        <f aca="false">H203</f>
        <v>-1</v>
      </c>
      <c r="N203" s="0" t="n">
        <f aca="false">E203*F203</f>
        <v>0.5</v>
      </c>
      <c r="O203" s="0" t="n">
        <f aca="false">E203*G203</f>
        <v>-0</v>
      </c>
      <c r="P203" s="0" t="n">
        <f aca="false">E203*H203</f>
        <v>1</v>
      </c>
      <c r="Q203" s="0" t="n">
        <f aca="false">F203*G203</f>
        <v>-0</v>
      </c>
      <c r="R203" s="0" t="n">
        <f aca="false">F203*H203</f>
        <v>0.5</v>
      </c>
      <c r="S203" s="0" t="n">
        <f aca="false">G203*H203</f>
        <v>-0</v>
      </c>
      <c r="T203" s="0" t="n">
        <f aca="false">E203*E203</f>
        <v>1</v>
      </c>
      <c r="U203" s="0" t="n">
        <f aca="false">F203*F203</f>
        <v>0.25</v>
      </c>
      <c r="V203" s="0" t="n">
        <f aca="false">G203*G203</f>
        <v>0</v>
      </c>
      <c r="W203" s="0" t="n">
        <f aca="false">H203*H203</f>
        <v>1</v>
      </c>
      <c r="X203" s="0" t="n">
        <f aca="false">SUMPRODUCT(I203:W203,_XtX!$B$96:$P$96)</f>
        <v>41.4202850877194</v>
      </c>
      <c r="Y203" s="0" t="n">
        <f aca="false">SUMPRODUCT(MMULT(I203:W203,_XtX!$B$78:$P$92),I203:W203)</f>
        <v>0.650767543859649</v>
      </c>
      <c r="Z203" s="0" t="n">
        <f aca="false">04_回帰ANOVA!$K$19*04_回帰ANOVA!$K$14*SQRT(1+Y203)</f>
        <v>1.67471670935165</v>
      </c>
      <c r="AA203" s="0" t="n">
        <f aca="false">X203-Z203</f>
        <v>39.7455683783677</v>
      </c>
      <c r="AB203" s="0" t="n">
        <f aca="false">X203+Z203</f>
        <v>43.095001797071</v>
      </c>
      <c r="AC203" s="54" t="b">
        <f aca="false">AND(E203&gt;=01_因子設定!$L$5-0.000000001,E203&lt;=01_因子設定!$M$5+0.000000001,F203&gt;=01_因子設定!$L$6-0.000000001,F203&lt;=01_因子設定!$M$6+0.000000001,G203&gt;=01_因子設定!$L$7-0.000000001,G203&lt;=01_因子設定!$M$7+0.000000001,H203&gt;=01_因子設定!$L$8-0.000000001,H203&lt;=01_因子設定!$M$8+0.000000001,IF(01_因子設定!$B$20="Box-Behnken",E203^2+F203^2+G203^2+H203^2&lt;=2+0.000000001,TRUE()))</f>
        <v>1</v>
      </c>
      <c r="AD203" s="55" t="n">
        <f aca="false">IF(AC203,IF(01_因子設定!$B$13="最大化",AA203-01_因子設定!$B$14,IF(01_因子設定!$B$13="最小化",01_因子設定!$B$15-AB203,MIN(AA203-01_因子設定!$B$14,01_因子設定!$B$15-AB203))),-1E+030)</f>
        <v>-6.75443162163229</v>
      </c>
      <c r="AE203" s="55" t="n">
        <f aca="false">IF(AC203,IF(01_因子設定!$B$13="最大化",X203,IF(01_因子設定!$B$13="最小化",-X203,-ABS(X203-01_因子設定!$B$16))),-1E+030)</f>
        <v>41.4202850877194</v>
      </c>
      <c r="AF203" s="55" t="n">
        <f aca="false">AD203+ROW()*0.000000001</f>
        <v>-6.75443141863229</v>
      </c>
      <c r="AG203" s="55" t="n">
        <f aca="false">AE203+ROW()*0.000000001</f>
        <v>41.4202852907194</v>
      </c>
    </row>
    <row r="204" customFormat="false" ht="15" hidden="false" customHeight="false" outlineLevel="0" collapsed="false">
      <c r="A204" s="0" t="n">
        <v>0</v>
      </c>
      <c r="B204" s="0" t="n">
        <v>2</v>
      </c>
      <c r="C204" s="0" t="n">
        <v>4</v>
      </c>
      <c r="D204" s="0" t="n">
        <v>1</v>
      </c>
      <c r="E204" s="0" t="n">
        <f aca="false">-1+A204*0.25</f>
        <v>-1</v>
      </c>
      <c r="F204" s="0" t="n">
        <f aca="false">-1+B204*0.25</f>
        <v>-0.5</v>
      </c>
      <c r="G204" s="0" t="n">
        <f aca="false">-1+C204*0.25</f>
        <v>0</v>
      </c>
      <c r="H204" s="0" t="n">
        <f aca="false">-1+D204*0.25</f>
        <v>-0.75</v>
      </c>
      <c r="I204" s="0" t="n">
        <f aca="false">1</f>
        <v>1</v>
      </c>
      <c r="J204" s="0" t="n">
        <f aca="false">E204</f>
        <v>-1</v>
      </c>
      <c r="K204" s="0" t="n">
        <f aca="false">F204</f>
        <v>-0.5</v>
      </c>
      <c r="L204" s="0" t="n">
        <f aca="false">G204</f>
        <v>0</v>
      </c>
      <c r="M204" s="0" t="n">
        <f aca="false">H204</f>
        <v>-0.75</v>
      </c>
      <c r="N204" s="0" t="n">
        <f aca="false">E204*F204</f>
        <v>0.5</v>
      </c>
      <c r="O204" s="0" t="n">
        <f aca="false">E204*G204</f>
        <v>-0</v>
      </c>
      <c r="P204" s="0" t="n">
        <f aca="false">E204*H204</f>
        <v>0.75</v>
      </c>
      <c r="Q204" s="0" t="n">
        <f aca="false">F204*G204</f>
        <v>-0</v>
      </c>
      <c r="R204" s="0" t="n">
        <f aca="false">F204*H204</f>
        <v>0.375</v>
      </c>
      <c r="S204" s="0" t="n">
        <f aca="false">G204*H204</f>
        <v>-0</v>
      </c>
      <c r="T204" s="0" t="n">
        <f aca="false">E204*E204</f>
        <v>1</v>
      </c>
      <c r="U204" s="0" t="n">
        <f aca="false">F204*F204</f>
        <v>0.25</v>
      </c>
      <c r="V204" s="0" t="n">
        <f aca="false">G204*G204</f>
        <v>0</v>
      </c>
      <c r="W204" s="0" t="n">
        <f aca="false">H204*H204</f>
        <v>0.5625</v>
      </c>
      <c r="X204" s="0" t="n">
        <f aca="false">SUMPRODUCT(I204:W204,_XtX!$B$96:$P$96)</f>
        <v>41.6843110380117</v>
      </c>
      <c r="Y204" s="0" t="n">
        <f aca="false">SUMPRODUCT(MMULT(I204:W204,_XtX!$B$78:$P$92),I204:W204)</f>
        <v>0.476191292032164</v>
      </c>
      <c r="Z204" s="0" t="n">
        <f aca="false">04_回帰ANOVA!$K$19*04_回帰ANOVA!$K$14*SQRT(1+Y204)</f>
        <v>1.58368831471718</v>
      </c>
      <c r="AA204" s="0" t="n">
        <f aca="false">X204-Z204</f>
        <v>40.1006227232946</v>
      </c>
      <c r="AB204" s="0" t="n">
        <f aca="false">X204+Z204</f>
        <v>43.2679993527289</v>
      </c>
      <c r="AC204" s="54" t="b">
        <f aca="false">AND(E204&gt;=01_因子設定!$L$5-0.000000001,E204&lt;=01_因子設定!$M$5+0.000000001,F204&gt;=01_因子設定!$L$6-0.000000001,F204&lt;=01_因子設定!$M$6+0.000000001,G204&gt;=01_因子設定!$L$7-0.000000001,G204&lt;=01_因子設定!$M$7+0.000000001,H204&gt;=01_因子設定!$L$8-0.000000001,H204&lt;=01_因子設定!$M$8+0.000000001,IF(01_因子設定!$B$20="Box-Behnken",E204^2+F204^2+G204^2+H204^2&lt;=2+0.000000001,TRUE()))</f>
        <v>1</v>
      </c>
      <c r="AD204" s="55" t="n">
        <f aca="false">IF(AC204,IF(01_因子設定!$B$13="最大化",AA204-01_因子設定!$B$14,IF(01_因子設定!$B$13="最小化",01_因子設定!$B$15-AB204,MIN(AA204-01_因子設定!$B$14,01_因子設定!$B$15-AB204))),-1E+030)</f>
        <v>-6.39937727670544</v>
      </c>
      <c r="AE204" s="55" t="n">
        <f aca="false">IF(AC204,IF(01_因子設定!$B$13="最大化",X204,IF(01_因子設定!$B$13="最小化",-X204,-ABS(X204-01_因子設定!$B$16))),-1E+030)</f>
        <v>41.6843110380117</v>
      </c>
      <c r="AF204" s="55" t="n">
        <f aca="false">AD204+ROW()*0.000000001</f>
        <v>-6.39937707270544</v>
      </c>
      <c r="AG204" s="55" t="n">
        <f aca="false">AE204+ROW()*0.000000001</f>
        <v>41.6843112420117</v>
      </c>
    </row>
    <row r="205" customFormat="false" ht="15" hidden="false" customHeight="false" outlineLevel="0" collapsed="false">
      <c r="A205" s="0" t="n">
        <v>0</v>
      </c>
      <c r="B205" s="0" t="n">
        <v>2</v>
      </c>
      <c r="C205" s="0" t="n">
        <v>4</v>
      </c>
      <c r="D205" s="0" t="n">
        <v>2</v>
      </c>
      <c r="E205" s="0" t="n">
        <f aca="false">-1+A205*0.25</f>
        <v>-1</v>
      </c>
      <c r="F205" s="0" t="n">
        <f aca="false">-1+B205*0.25</f>
        <v>-0.5</v>
      </c>
      <c r="G205" s="0" t="n">
        <f aca="false">-1+C205*0.25</f>
        <v>0</v>
      </c>
      <c r="H205" s="0" t="n">
        <f aca="false">-1+D205*0.25</f>
        <v>-0.5</v>
      </c>
      <c r="I205" s="0" t="n">
        <f aca="false">1</f>
        <v>1</v>
      </c>
      <c r="J205" s="0" t="n">
        <f aca="false">E205</f>
        <v>-1</v>
      </c>
      <c r="K205" s="0" t="n">
        <f aca="false">F205</f>
        <v>-0.5</v>
      </c>
      <c r="L205" s="0" t="n">
        <f aca="false">G205</f>
        <v>0</v>
      </c>
      <c r="M205" s="0" t="n">
        <f aca="false">H205</f>
        <v>-0.5</v>
      </c>
      <c r="N205" s="0" t="n">
        <f aca="false">E205*F205</f>
        <v>0.5</v>
      </c>
      <c r="O205" s="0" t="n">
        <f aca="false">E205*G205</f>
        <v>-0</v>
      </c>
      <c r="P205" s="0" t="n">
        <f aca="false">E205*H205</f>
        <v>0.5</v>
      </c>
      <c r="Q205" s="0" t="n">
        <f aca="false">F205*G205</f>
        <v>-0</v>
      </c>
      <c r="R205" s="0" t="n">
        <f aca="false">F205*H205</f>
        <v>0.25</v>
      </c>
      <c r="S205" s="0" t="n">
        <f aca="false">G205*H205</f>
        <v>-0</v>
      </c>
      <c r="T205" s="0" t="n">
        <f aca="false">E205*E205</f>
        <v>1</v>
      </c>
      <c r="U205" s="0" t="n">
        <f aca="false">F205*F205</f>
        <v>0.25</v>
      </c>
      <c r="V205" s="0" t="n">
        <f aca="false">G205*G205</f>
        <v>0</v>
      </c>
      <c r="W205" s="0" t="n">
        <f aca="false">H205*H205</f>
        <v>0.25</v>
      </c>
      <c r="X205" s="0" t="n">
        <f aca="false">SUMPRODUCT(I205:W205,_XtX!$B$96:$P$96)</f>
        <v>41.9005299707603</v>
      </c>
      <c r="Y205" s="0" t="n">
        <f aca="false">SUMPRODUCT(MMULT(I205:W205,_XtX!$B$78:$P$92),I205:W205)</f>
        <v>0.441954495614035</v>
      </c>
      <c r="Z205" s="0" t="n">
        <f aca="false">04_回帰ANOVA!$K$19*04_回帰ANOVA!$K$14*SQRT(1+Y205)</f>
        <v>1.56521560968066</v>
      </c>
      <c r="AA205" s="0" t="n">
        <f aca="false">X205-Z205</f>
        <v>40.3353143610796</v>
      </c>
      <c r="AB205" s="0" t="n">
        <f aca="false">X205+Z205</f>
        <v>43.4657455804409</v>
      </c>
      <c r="AC205" s="54" t="b">
        <f aca="false">AND(E205&gt;=01_因子設定!$L$5-0.000000001,E205&lt;=01_因子設定!$M$5+0.000000001,F205&gt;=01_因子設定!$L$6-0.000000001,F205&lt;=01_因子設定!$M$6+0.000000001,G205&gt;=01_因子設定!$L$7-0.000000001,G205&lt;=01_因子設定!$M$7+0.000000001,H205&gt;=01_因子設定!$L$8-0.000000001,H205&lt;=01_因子設定!$M$8+0.000000001,IF(01_因子設定!$B$20="Box-Behnken",E205^2+F205^2+G205^2+H205^2&lt;=2+0.000000001,TRUE()))</f>
        <v>1</v>
      </c>
      <c r="AD205" s="55" t="n">
        <f aca="false">IF(AC205,IF(01_因子設定!$B$13="最大化",AA205-01_因子設定!$B$14,IF(01_因子設定!$B$13="最小化",01_因子設定!$B$15-AB205,MIN(AA205-01_因子設定!$B$14,01_因子設定!$B$15-AB205))),-1E+030)</f>
        <v>-6.1646856389204</v>
      </c>
      <c r="AE205" s="55" t="n">
        <f aca="false">IF(AC205,IF(01_因子設定!$B$13="最大化",X205,IF(01_因子設定!$B$13="最小化",-X205,-ABS(X205-01_因子設定!$B$16))),-1E+030)</f>
        <v>41.9005299707603</v>
      </c>
      <c r="AF205" s="55" t="n">
        <f aca="false">AD205+ROW()*0.000000001</f>
        <v>-6.1646854339204</v>
      </c>
      <c r="AG205" s="55" t="n">
        <f aca="false">AE205+ROW()*0.000000001</f>
        <v>41.9005301757603</v>
      </c>
    </row>
    <row r="206" customFormat="false" ht="15" hidden="false" customHeight="false" outlineLevel="0" collapsed="false">
      <c r="A206" s="0" t="n">
        <v>0</v>
      </c>
      <c r="B206" s="0" t="n">
        <v>2</v>
      </c>
      <c r="C206" s="0" t="n">
        <v>4</v>
      </c>
      <c r="D206" s="0" t="n">
        <v>3</v>
      </c>
      <c r="E206" s="0" t="n">
        <f aca="false">-1+A206*0.25</f>
        <v>-1</v>
      </c>
      <c r="F206" s="0" t="n">
        <f aca="false">-1+B206*0.25</f>
        <v>-0.5</v>
      </c>
      <c r="G206" s="0" t="n">
        <f aca="false">-1+C206*0.25</f>
        <v>0</v>
      </c>
      <c r="H206" s="0" t="n">
        <f aca="false">-1+D206*0.25</f>
        <v>-0.25</v>
      </c>
      <c r="I206" s="0" t="n">
        <f aca="false">1</f>
        <v>1</v>
      </c>
      <c r="J206" s="0" t="n">
        <f aca="false">E206</f>
        <v>-1</v>
      </c>
      <c r="K206" s="0" t="n">
        <f aca="false">F206</f>
        <v>-0.5</v>
      </c>
      <c r="L206" s="0" t="n">
        <f aca="false">G206</f>
        <v>0</v>
      </c>
      <c r="M206" s="0" t="n">
        <f aca="false">H206</f>
        <v>-0.25</v>
      </c>
      <c r="N206" s="0" t="n">
        <f aca="false">E206*F206</f>
        <v>0.5</v>
      </c>
      <c r="O206" s="0" t="n">
        <f aca="false">E206*G206</f>
        <v>-0</v>
      </c>
      <c r="P206" s="0" t="n">
        <f aca="false">E206*H206</f>
        <v>0.25</v>
      </c>
      <c r="Q206" s="0" t="n">
        <f aca="false">F206*G206</f>
        <v>-0</v>
      </c>
      <c r="R206" s="0" t="n">
        <f aca="false">F206*H206</f>
        <v>0.125</v>
      </c>
      <c r="S206" s="0" t="n">
        <f aca="false">G206*H206</f>
        <v>-0</v>
      </c>
      <c r="T206" s="0" t="n">
        <f aca="false">E206*E206</f>
        <v>1</v>
      </c>
      <c r="U206" s="0" t="n">
        <f aca="false">F206*F206</f>
        <v>0.25</v>
      </c>
      <c r="V206" s="0" t="n">
        <f aca="false">G206*G206</f>
        <v>0</v>
      </c>
      <c r="W206" s="0" t="n">
        <f aca="false">H206*H206</f>
        <v>0.0625</v>
      </c>
      <c r="X206" s="0" t="n">
        <f aca="false">SUMPRODUCT(I206:W206,_XtX!$B$96:$P$96)</f>
        <v>42.0689418859649</v>
      </c>
      <c r="Y206" s="0" t="n">
        <f aca="false">SUMPRODUCT(MMULT(I206:W206,_XtX!$B$78:$P$92),I206:W206)</f>
        <v>0.457596628289474</v>
      </c>
      <c r="Z206" s="0" t="n">
        <f aca="false">04_回帰ANOVA!$K$19*04_回帰ANOVA!$K$14*SQRT(1+Y206)</f>
        <v>1.57368233664366</v>
      </c>
      <c r="AA206" s="0" t="n">
        <f aca="false">X206-Z206</f>
        <v>40.4952595493213</v>
      </c>
      <c r="AB206" s="0" t="n">
        <f aca="false">X206+Z206</f>
        <v>43.6426242226086</v>
      </c>
      <c r="AC206" s="54" t="b">
        <f aca="false">AND(E206&gt;=01_因子設定!$L$5-0.000000001,E206&lt;=01_因子設定!$M$5+0.000000001,F206&gt;=01_因子設定!$L$6-0.000000001,F206&lt;=01_因子設定!$M$6+0.000000001,G206&gt;=01_因子設定!$L$7-0.000000001,G206&lt;=01_因子設定!$M$7+0.000000001,H206&gt;=01_因子設定!$L$8-0.000000001,H206&lt;=01_因子設定!$M$8+0.000000001,IF(01_因子設定!$B$20="Box-Behnken",E206^2+F206^2+G206^2+H206^2&lt;=2+0.000000001,TRUE()))</f>
        <v>1</v>
      </c>
      <c r="AD206" s="55" t="n">
        <f aca="false">IF(AC206,IF(01_因子設定!$B$13="最大化",AA206-01_因子設定!$B$14,IF(01_因子設定!$B$13="最小化",01_因子設定!$B$15-AB206,MIN(AA206-01_因子設定!$B$14,01_因子設定!$B$15-AB206))),-1E+030)</f>
        <v>-6.00474045067872</v>
      </c>
      <c r="AE206" s="55" t="n">
        <f aca="false">IF(AC206,IF(01_因子設定!$B$13="最大化",X206,IF(01_因子設定!$B$13="最小化",-X206,-ABS(X206-01_因子設定!$B$16))),-1E+030)</f>
        <v>42.0689418859649</v>
      </c>
      <c r="AF206" s="55" t="n">
        <f aca="false">AD206+ROW()*0.000000001</f>
        <v>-6.00474024467872</v>
      </c>
      <c r="AG206" s="55" t="n">
        <f aca="false">AE206+ROW()*0.000000001</f>
        <v>42.0689420919649</v>
      </c>
    </row>
    <row r="207" customFormat="false" ht="15" hidden="false" customHeight="false" outlineLevel="0" collapsed="false">
      <c r="A207" s="0" t="n">
        <v>0</v>
      </c>
      <c r="B207" s="0" t="n">
        <v>2</v>
      </c>
      <c r="C207" s="0" t="n">
        <v>4</v>
      </c>
      <c r="D207" s="0" t="n">
        <v>4</v>
      </c>
      <c r="E207" s="0" t="n">
        <f aca="false">-1+A207*0.25</f>
        <v>-1</v>
      </c>
      <c r="F207" s="0" t="n">
        <f aca="false">-1+B207*0.25</f>
        <v>-0.5</v>
      </c>
      <c r="G207" s="0" t="n">
        <f aca="false">-1+C207*0.25</f>
        <v>0</v>
      </c>
      <c r="H207" s="0" t="n">
        <f aca="false">-1+D207*0.25</f>
        <v>0</v>
      </c>
      <c r="I207" s="0" t="n">
        <f aca="false">1</f>
        <v>1</v>
      </c>
      <c r="J207" s="0" t="n">
        <f aca="false">E207</f>
        <v>-1</v>
      </c>
      <c r="K207" s="0" t="n">
        <f aca="false">F207</f>
        <v>-0.5</v>
      </c>
      <c r="L207" s="0" t="n">
        <f aca="false">G207</f>
        <v>0</v>
      </c>
      <c r="M207" s="0" t="n">
        <f aca="false">H207</f>
        <v>0</v>
      </c>
      <c r="N207" s="0" t="n">
        <f aca="false">E207*F207</f>
        <v>0.5</v>
      </c>
      <c r="O207" s="0" t="n">
        <f aca="false">E207*G207</f>
        <v>-0</v>
      </c>
      <c r="P207" s="0" t="n">
        <f aca="false">E207*H207</f>
        <v>-0</v>
      </c>
      <c r="Q207" s="0" t="n">
        <f aca="false">F207*G207</f>
        <v>-0</v>
      </c>
      <c r="R207" s="0" t="n">
        <f aca="false">F207*H207</f>
        <v>-0</v>
      </c>
      <c r="S207" s="0" t="n">
        <f aca="false">G207*H207</f>
        <v>0</v>
      </c>
      <c r="T207" s="0" t="n">
        <f aca="false">E207*E207</f>
        <v>1</v>
      </c>
      <c r="U207" s="0" t="n">
        <f aca="false">F207*F207</f>
        <v>0.25</v>
      </c>
      <c r="V207" s="0" t="n">
        <f aca="false">G207*G207</f>
        <v>0</v>
      </c>
      <c r="W207" s="0" t="n">
        <f aca="false">H207*H207</f>
        <v>0</v>
      </c>
      <c r="X207" s="0" t="n">
        <f aca="false">SUMPRODUCT(I207:W207,_XtX!$B$96:$P$96)</f>
        <v>42.1895467836258</v>
      </c>
      <c r="Y207" s="0" t="n">
        <f aca="false">SUMPRODUCT(MMULT(I207:W207,_XtX!$B$78:$P$92),I207:W207)</f>
        <v>0.468841374269006</v>
      </c>
      <c r="Z207" s="0" t="n">
        <f aca="false">04_回帰ANOVA!$K$19*04_回帰ANOVA!$K$14*SQRT(1+Y207)</f>
        <v>1.57974082366087</v>
      </c>
      <c r="AA207" s="0" t="n">
        <f aca="false">X207-Z207</f>
        <v>40.6098059599649</v>
      </c>
      <c r="AB207" s="0" t="n">
        <f aca="false">X207+Z207</f>
        <v>43.7692876072866</v>
      </c>
      <c r="AC207" s="54" t="b">
        <f aca="false">AND(E207&gt;=01_因子設定!$L$5-0.000000001,E207&lt;=01_因子設定!$M$5+0.000000001,F207&gt;=01_因子設定!$L$6-0.000000001,F207&lt;=01_因子設定!$M$6+0.000000001,G207&gt;=01_因子設定!$L$7-0.000000001,G207&lt;=01_因子設定!$M$7+0.000000001,H207&gt;=01_因子設定!$L$8-0.000000001,H207&lt;=01_因子設定!$M$8+0.000000001,IF(01_因子設定!$B$20="Box-Behnken",E207^2+F207^2+G207^2+H207^2&lt;=2+0.000000001,TRUE()))</f>
        <v>1</v>
      </c>
      <c r="AD207" s="55" t="n">
        <f aca="false">IF(AC207,IF(01_因子設定!$B$13="最大化",AA207-01_因子設定!$B$14,IF(01_因子設定!$B$13="最小化",01_因子設定!$B$15-AB207,MIN(AA207-01_因子設定!$B$14,01_因子設定!$B$15-AB207))),-1E+030)</f>
        <v>-5.89019404003512</v>
      </c>
      <c r="AE207" s="55" t="n">
        <f aca="false">IF(AC207,IF(01_因子設定!$B$13="最大化",X207,IF(01_因子設定!$B$13="最小化",-X207,-ABS(X207-01_因子設定!$B$16))),-1E+030)</f>
        <v>42.1895467836258</v>
      </c>
      <c r="AF207" s="55" t="n">
        <f aca="false">AD207+ROW()*0.000000001</f>
        <v>-5.89019383303512</v>
      </c>
      <c r="AG207" s="55" t="n">
        <f aca="false">AE207+ROW()*0.000000001</f>
        <v>42.1895469906258</v>
      </c>
    </row>
    <row r="208" customFormat="false" ht="15" hidden="false" customHeight="false" outlineLevel="0" collapsed="false">
      <c r="A208" s="0" t="n">
        <v>0</v>
      </c>
      <c r="B208" s="0" t="n">
        <v>2</v>
      </c>
      <c r="C208" s="0" t="n">
        <v>4</v>
      </c>
      <c r="D208" s="0" t="n">
        <v>5</v>
      </c>
      <c r="E208" s="0" t="n">
        <f aca="false">-1+A208*0.25</f>
        <v>-1</v>
      </c>
      <c r="F208" s="0" t="n">
        <f aca="false">-1+B208*0.25</f>
        <v>-0.5</v>
      </c>
      <c r="G208" s="0" t="n">
        <f aca="false">-1+C208*0.25</f>
        <v>0</v>
      </c>
      <c r="H208" s="0" t="n">
        <f aca="false">-1+D208*0.25</f>
        <v>0.25</v>
      </c>
      <c r="I208" s="0" t="n">
        <f aca="false">1</f>
        <v>1</v>
      </c>
      <c r="J208" s="0" t="n">
        <f aca="false">E208</f>
        <v>-1</v>
      </c>
      <c r="K208" s="0" t="n">
        <f aca="false">F208</f>
        <v>-0.5</v>
      </c>
      <c r="L208" s="0" t="n">
        <f aca="false">G208</f>
        <v>0</v>
      </c>
      <c r="M208" s="0" t="n">
        <f aca="false">H208</f>
        <v>0.25</v>
      </c>
      <c r="N208" s="0" t="n">
        <f aca="false">E208*F208</f>
        <v>0.5</v>
      </c>
      <c r="O208" s="0" t="n">
        <f aca="false">E208*G208</f>
        <v>-0</v>
      </c>
      <c r="P208" s="0" t="n">
        <f aca="false">E208*H208</f>
        <v>-0.25</v>
      </c>
      <c r="Q208" s="0" t="n">
        <f aca="false">F208*G208</f>
        <v>-0</v>
      </c>
      <c r="R208" s="0" t="n">
        <f aca="false">F208*H208</f>
        <v>-0.125</v>
      </c>
      <c r="S208" s="0" t="n">
        <f aca="false">G208*H208</f>
        <v>0</v>
      </c>
      <c r="T208" s="0" t="n">
        <f aca="false">E208*E208</f>
        <v>1</v>
      </c>
      <c r="U208" s="0" t="n">
        <f aca="false">F208*F208</f>
        <v>0.25</v>
      </c>
      <c r="V208" s="0" t="n">
        <f aca="false">G208*G208</f>
        <v>0</v>
      </c>
      <c r="W208" s="0" t="n">
        <f aca="false">H208*H208</f>
        <v>0.0625</v>
      </c>
      <c r="X208" s="0" t="n">
        <f aca="false">SUMPRODUCT(I208:W208,_XtX!$B$96:$P$96)</f>
        <v>42.2623446637427</v>
      </c>
      <c r="Y208" s="0" t="n">
        <f aca="false">SUMPRODUCT(MMULT(I208:W208,_XtX!$B$78:$P$92),I208:W208)</f>
        <v>0.457596628289474</v>
      </c>
      <c r="Z208" s="0" t="n">
        <f aca="false">04_回帰ANOVA!$K$19*04_回帰ANOVA!$K$14*SQRT(1+Y208)</f>
        <v>1.57368233664366</v>
      </c>
      <c r="AA208" s="0" t="n">
        <f aca="false">X208-Z208</f>
        <v>40.6886623270991</v>
      </c>
      <c r="AB208" s="0" t="n">
        <f aca="false">X208+Z208</f>
        <v>43.8360270003864</v>
      </c>
      <c r="AC208" s="54" t="b">
        <f aca="false">AND(E208&gt;=01_因子設定!$L$5-0.000000001,E208&lt;=01_因子設定!$M$5+0.000000001,F208&gt;=01_因子設定!$L$6-0.000000001,F208&lt;=01_因子設定!$M$6+0.000000001,G208&gt;=01_因子設定!$L$7-0.000000001,G208&lt;=01_因子設定!$M$7+0.000000001,H208&gt;=01_因子設定!$L$8-0.000000001,H208&lt;=01_因子設定!$M$8+0.000000001,IF(01_因子設定!$B$20="Box-Behnken",E208^2+F208^2+G208^2+H208^2&lt;=2+0.000000001,TRUE()))</f>
        <v>1</v>
      </c>
      <c r="AD208" s="55" t="n">
        <f aca="false">IF(AC208,IF(01_因子設定!$B$13="最大化",AA208-01_因子設定!$B$14,IF(01_因子設定!$B$13="最小化",01_因子設定!$B$15-AB208,MIN(AA208-01_因子設定!$B$14,01_因子設定!$B$15-AB208))),-1E+030)</f>
        <v>-5.81133767290094</v>
      </c>
      <c r="AE208" s="55" t="n">
        <f aca="false">IF(AC208,IF(01_因子設定!$B$13="最大化",X208,IF(01_因子設定!$B$13="最小化",-X208,-ABS(X208-01_因子設定!$B$16))),-1E+030)</f>
        <v>42.2623446637427</v>
      </c>
      <c r="AF208" s="55" t="n">
        <f aca="false">AD208+ROW()*0.000000001</f>
        <v>-5.81133746490094</v>
      </c>
      <c r="AG208" s="55" t="n">
        <f aca="false">AE208+ROW()*0.000000001</f>
        <v>42.2623448717427</v>
      </c>
    </row>
    <row r="209" customFormat="false" ht="15" hidden="false" customHeight="false" outlineLevel="0" collapsed="false">
      <c r="A209" s="0" t="n">
        <v>0</v>
      </c>
      <c r="B209" s="0" t="n">
        <v>2</v>
      </c>
      <c r="C209" s="0" t="n">
        <v>4</v>
      </c>
      <c r="D209" s="0" t="n">
        <v>6</v>
      </c>
      <c r="E209" s="0" t="n">
        <f aca="false">-1+A209*0.25</f>
        <v>-1</v>
      </c>
      <c r="F209" s="0" t="n">
        <f aca="false">-1+B209*0.25</f>
        <v>-0.5</v>
      </c>
      <c r="G209" s="0" t="n">
        <f aca="false">-1+C209*0.25</f>
        <v>0</v>
      </c>
      <c r="H209" s="0" t="n">
        <f aca="false">-1+D209*0.25</f>
        <v>0.5</v>
      </c>
      <c r="I209" s="0" t="n">
        <f aca="false">1</f>
        <v>1</v>
      </c>
      <c r="J209" s="0" t="n">
        <f aca="false">E209</f>
        <v>-1</v>
      </c>
      <c r="K209" s="0" t="n">
        <f aca="false">F209</f>
        <v>-0.5</v>
      </c>
      <c r="L209" s="0" t="n">
        <f aca="false">G209</f>
        <v>0</v>
      </c>
      <c r="M209" s="0" t="n">
        <f aca="false">H209</f>
        <v>0.5</v>
      </c>
      <c r="N209" s="0" t="n">
        <f aca="false">E209*F209</f>
        <v>0.5</v>
      </c>
      <c r="O209" s="0" t="n">
        <f aca="false">E209*G209</f>
        <v>-0</v>
      </c>
      <c r="P209" s="0" t="n">
        <f aca="false">E209*H209</f>
        <v>-0.5</v>
      </c>
      <c r="Q209" s="0" t="n">
        <f aca="false">F209*G209</f>
        <v>-0</v>
      </c>
      <c r="R209" s="0" t="n">
        <f aca="false">F209*H209</f>
        <v>-0.25</v>
      </c>
      <c r="S209" s="0" t="n">
        <f aca="false">G209*H209</f>
        <v>0</v>
      </c>
      <c r="T209" s="0" t="n">
        <f aca="false">E209*E209</f>
        <v>1</v>
      </c>
      <c r="U209" s="0" t="n">
        <f aca="false">F209*F209</f>
        <v>0.25</v>
      </c>
      <c r="V209" s="0" t="n">
        <f aca="false">G209*G209</f>
        <v>0</v>
      </c>
      <c r="W209" s="0" t="n">
        <f aca="false">H209*H209</f>
        <v>0.25</v>
      </c>
      <c r="X209" s="0" t="n">
        <f aca="false">SUMPRODUCT(I209:W209,_XtX!$B$96:$P$96)</f>
        <v>42.2873355263158</v>
      </c>
      <c r="Y209" s="0" t="n">
        <f aca="false">SUMPRODUCT(MMULT(I209:W209,_XtX!$B$78:$P$92),I209:W209)</f>
        <v>0.441954495614035</v>
      </c>
      <c r="Z209" s="0" t="n">
        <f aca="false">04_回帰ANOVA!$K$19*04_回帰ANOVA!$K$14*SQRT(1+Y209)</f>
        <v>1.56521560968066</v>
      </c>
      <c r="AA209" s="0" t="n">
        <f aca="false">X209-Z209</f>
        <v>40.7221199166352</v>
      </c>
      <c r="AB209" s="0" t="n">
        <f aca="false">X209+Z209</f>
        <v>43.8525511359965</v>
      </c>
      <c r="AC209" s="54" t="b">
        <f aca="false">AND(E209&gt;=01_因子設定!$L$5-0.000000001,E209&lt;=01_因子設定!$M$5+0.000000001,F209&gt;=01_因子設定!$L$6-0.000000001,F209&lt;=01_因子設定!$M$6+0.000000001,G209&gt;=01_因子設定!$L$7-0.000000001,G209&lt;=01_因子設定!$M$7+0.000000001,H209&gt;=01_因子設定!$L$8-0.000000001,H209&lt;=01_因子設定!$M$8+0.000000001,IF(01_因子設定!$B$20="Box-Behnken",E209^2+F209^2+G209^2+H209^2&lt;=2+0.000000001,TRUE()))</f>
        <v>1</v>
      </c>
      <c r="AD209" s="55" t="n">
        <f aca="false">IF(AC209,IF(01_因子設定!$B$13="最大化",AA209-01_因子設定!$B$14,IF(01_因子設定!$B$13="最小化",01_因子設定!$B$15-AB209,MIN(AA209-01_因子設定!$B$14,01_因子設定!$B$15-AB209))),-1E+030)</f>
        <v>-5.77788008336484</v>
      </c>
      <c r="AE209" s="55" t="n">
        <f aca="false">IF(AC209,IF(01_因子設定!$B$13="最大化",X209,IF(01_因子設定!$B$13="最小化",-X209,-ABS(X209-01_因子設定!$B$16))),-1E+030)</f>
        <v>42.2873355263158</v>
      </c>
      <c r="AF209" s="55" t="n">
        <f aca="false">AD209+ROW()*0.000000001</f>
        <v>-5.77787987436484</v>
      </c>
      <c r="AG209" s="55" t="n">
        <f aca="false">AE209+ROW()*0.000000001</f>
        <v>42.2873357353158</v>
      </c>
    </row>
    <row r="210" customFormat="false" ht="15" hidden="false" customHeight="false" outlineLevel="0" collapsed="false">
      <c r="A210" s="0" t="n">
        <v>0</v>
      </c>
      <c r="B210" s="0" t="n">
        <v>2</v>
      </c>
      <c r="C210" s="0" t="n">
        <v>4</v>
      </c>
      <c r="D210" s="0" t="n">
        <v>7</v>
      </c>
      <c r="E210" s="0" t="n">
        <f aca="false">-1+A210*0.25</f>
        <v>-1</v>
      </c>
      <c r="F210" s="0" t="n">
        <f aca="false">-1+B210*0.25</f>
        <v>-0.5</v>
      </c>
      <c r="G210" s="0" t="n">
        <f aca="false">-1+C210*0.25</f>
        <v>0</v>
      </c>
      <c r="H210" s="0" t="n">
        <f aca="false">-1+D210*0.25</f>
        <v>0.75</v>
      </c>
      <c r="I210" s="0" t="n">
        <f aca="false">1</f>
        <v>1</v>
      </c>
      <c r="J210" s="0" t="n">
        <f aca="false">E210</f>
        <v>-1</v>
      </c>
      <c r="K210" s="0" t="n">
        <f aca="false">F210</f>
        <v>-0.5</v>
      </c>
      <c r="L210" s="0" t="n">
        <f aca="false">G210</f>
        <v>0</v>
      </c>
      <c r="M210" s="0" t="n">
        <f aca="false">H210</f>
        <v>0.75</v>
      </c>
      <c r="N210" s="0" t="n">
        <f aca="false">E210*F210</f>
        <v>0.5</v>
      </c>
      <c r="O210" s="0" t="n">
        <f aca="false">E210*G210</f>
        <v>-0</v>
      </c>
      <c r="P210" s="0" t="n">
        <f aca="false">E210*H210</f>
        <v>-0.75</v>
      </c>
      <c r="Q210" s="0" t="n">
        <f aca="false">F210*G210</f>
        <v>-0</v>
      </c>
      <c r="R210" s="0" t="n">
        <f aca="false">F210*H210</f>
        <v>-0.375</v>
      </c>
      <c r="S210" s="0" t="n">
        <f aca="false">G210*H210</f>
        <v>0</v>
      </c>
      <c r="T210" s="0" t="n">
        <f aca="false">E210*E210</f>
        <v>1</v>
      </c>
      <c r="U210" s="0" t="n">
        <f aca="false">F210*F210</f>
        <v>0.25</v>
      </c>
      <c r="V210" s="0" t="n">
        <f aca="false">G210*G210</f>
        <v>0</v>
      </c>
      <c r="W210" s="0" t="n">
        <f aca="false">H210*H210</f>
        <v>0.5625</v>
      </c>
      <c r="X210" s="0" t="n">
        <f aca="false">SUMPRODUCT(I210:W210,_XtX!$B$96:$P$96)</f>
        <v>42.2645193713451</v>
      </c>
      <c r="Y210" s="0" t="n">
        <f aca="false">SUMPRODUCT(MMULT(I210:W210,_XtX!$B$78:$P$92),I210:W210)</f>
        <v>0.476191292032164</v>
      </c>
      <c r="Z210" s="0" t="n">
        <f aca="false">04_回帰ANOVA!$K$19*04_回帰ANOVA!$K$14*SQRT(1+Y210)</f>
        <v>1.58368831471718</v>
      </c>
      <c r="AA210" s="0" t="n">
        <f aca="false">X210-Z210</f>
        <v>40.6808310566279</v>
      </c>
      <c r="AB210" s="0" t="n">
        <f aca="false">X210+Z210</f>
        <v>43.8482076860623</v>
      </c>
      <c r="AC210" s="54" t="b">
        <f aca="false">AND(E210&gt;=01_因子設定!$L$5-0.000000001,E210&lt;=01_因子設定!$M$5+0.000000001,F210&gt;=01_因子設定!$L$6-0.000000001,F210&lt;=01_因子設定!$M$6+0.000000001,G210&gt;=01_因子設定!$L$7-0.000000001,G210&lt;=01_因子設定!$M$7+0.000000001,H210&gt;=01_因子設定!$L$8-0.000000001,H210&lt;=01_因子設定!$M$8+0.000000001,IF(01_因子設定!$B$20="Box-Behnken",E210^2+F210^2+G210^2+H210^2&lt;=2+0.000000001,TRUE()))</f>
        <v>1</v>
      </c>
      <c r="AD210" s="55" t="n">
        <f aca="false">IF(AC210,IF(01_因子設定!$B$13="最大化",AA210-01_因子設定!$B$14,IF(01_因子設定!$B$13="最小化",01_因子設定!$B$15-AB210,MIN(AA210-01_因子設定!$B$14,01_因子設定!$B$15-AB210))),-1E+030)</f>
        <v>-5.81916894337211</v>
      </c>
      <c r="AE210" s="55" t="n">
        <f aca="false">IF(AC210,IF(01_因子設定!$B$13="最大化",X210,IF(01_因子設定!$B$13="最小化",-X210,-ABS(X210-01_因子設定!$B$16))),-1E+030)</f>
        <v>42.2645193713451</v>
      </c>
      <c r="AF210" s="55" t="n">
        <f aca="false">AD210+ROW()*0.000000001</f>
        <v>-5.81916873337211</v>
      </c>
      <c r="AG210" s="55" t="n">
        <f aca="false">AE210+ROW()*0.000000001</f>
        <v>42.2645195813451</v>
      </c>
    </row>
    <row r="211" customFormat="false" ht="15" hidden="false" customHeight="false" outlineLevel="0" collapsed="false">
      <c r="A211" s="0" t="n">
        <v>0</v>
      </c>
      <c r="B211" s="0" t="n">
        <v>2</v>
      </c>
      <c r="C211" s="0" t="n">
        <v>4</v>
      </c>
      <c r="D211" s="0" t="n">
        <v>8</v>
      </c>
      <c r="E211" s="0" t="n">
        <f aca="false">-1+A211*0.25</f>
        <v>-1</v>
      </c>
      <c r="F211" s="0" t="n">
        <f aca="false">-1+B211*0.25</f>
        <v>-0.5</v>
      </c>
      <c r="G211" s="0" t="n">
        <f aca="false">-1+C211*0.25</f>
        <v>0</v>
      </c>
      <c r="H211" s="0" t="n">
        <f aca="false">-1+D211*0.25</f>
        <v>1</v>
      </c>
      <c r="I211" s="0" t="n">
        <f aca="false">1</f>
        <v>1</v>
      </c>
      <c r="J211" s="0" t="n">
        <f aca="false">E211</f>
        <v>-1</v>
      </c>
      <c r="K211" s="0" t="n">
        <f aca="false">F211</f>
        <v>-0.5</v>
      </c>
      <c r="L211" s="0" t="n">
        <f aca="false">G211</f>
        <v>0</v>
      </c>
      <c r="M211" s="0" t="n">
        <f aca="false">H211</f>
        <v>1</v>
      </c>
      <c r="N211" s="0" t="n">
        <f aca="false">E211*F211</f>
        <v>0.5</v>
      </c>
      <c r="O211" s="0" t="n">
        <f aca="false">E211*G211</f>
        <v>-0</v>
      </c>
      <c r="P211" s="0" t="n">
        <f aca="false">E211*H211</f>
        <v>-1</v>
      </c>
      <c r="Q211" s="0" t="n">
        <f aca="false">F211*G211</f>
        <v>-0</v>
      </c>
      <c r="R211" s="0" t="n">
        <f aca="false">F211*H211</f>
        <v>-0.5</v>
      </c>
      <c r="S211" s="0" t="n">
        <f aca="false">G211*H211</f>
        <v>0</v>
      </c>
      <c r="T211" s="0" t="n">
        <f aca="false">E211*E211</f>
        <v>1</v>
      </c>
      <c r="U211" s="0" t="n">
        <f aca="false">F211*F211</f>
        <v>0.25</v>
      </c>
      <c r="V211" s="0" t="n">
        <f aca="false">G211*G211</f>
        <v>0</v>
      </c>
      <c r="W211" s="0" t="n">
        <f aca="false">H211*H211</f>
        <v>1</v>
      </c>
      <c r="X211" s="0" t="n">
        <f aca="false">SUMPRODUCT(I211:W211,_XtX!$B$96:$P$96)</f>
        <v>42.1938961988305</v>
      </c>
      <c r="Y211" s="0" t="n">
        <f aca="false">SUMPRODUCT(MMULT(I211:W211,_XtX!$B$78:$P$92),I211:W211)</f>
        <v>0.650767543859649</v>
      </c>
      <c r="Z211" s="0" t="n">
        <f aca="false">04_回帰ANOVA!$K$19*04_回帰ANOVA!$K$14*SQRT(1+Y211)</f>
        <v>1.67471670935165</v>
      </c>
      <c r="AA211" s="0" t="n">
        <f aca="false">X211-Z211</f>
        <v>40.5191794894788</v>
      </c>
      <c r="AB211" s="0" t="n">
        <f aca="false">X211+Z211</f>
        <v>43.8686129081821</v>
      </c>
      <c r="AC211" s="54" t="b">
        <f aca="false">AND(E211&gt;=01_因子設定!$L$5-0.000000001,E211&lt;=01_因子設定!$M$5+0.000000001,F211&gt;=01_因子設定!$L$6-0.000000001,F211&lt;=01_因子設定!$M$6+0.000000001,G211&gt;=01_因子設定!$L$7-0.000000001,G211&lt;=01_因子設定!$M$7+0.000000001,H211&gt;=01_因子設定!$L$8-0.000000001,H211&lt;=01_因子設定!$M$8+0.000000001,IF(01_因子設定!$B$20="Box-Behnken",E211^2+F211^2+G211^2+H211^2&lt;=2+0.000000001,TRUE()))</f>
        <v>1</v>
      </c>
      <c r="AD211" s="55" t="n">
        <f aca="false">IF(AC211,IF(01_因子設定!$B$13="最大化",AA211-01_因子設定!$B$14,IF(01_因子設定!$B$13="最小化",01_因子設定!$B$15-AB211,MIN(AA211-01_因子設定!$B$14,01_因子設定!$B$15-AB211))),-1E+030)</f>
        <v>-5.98082051052118</v>
      </c>
      <c r="AE211" s="55" t="n">
        <f aca="false">IF(AC211,IF(01_因子設定!$B$13="最大化",X211,IF(01_因子設定!$B$13="最小化",-X211,-ABS(X211-01_因子設定!$B$16))),-1E+030)</f>
        <v>42.1938961988305</v>
      </c>
      <c r="AF211" s="55" t="n">
        <f aca="false">AD211+ROW()*0.000000001</f>
        <v>-5.98082029952118</v>
      </c>
      <c r="AG211" s="55" t="n">
        <f aca="false">AE211+ROW()*0.000000001</f>
        <v>42.1938964098305</v>
      </c>
    </row>
    <row r="212" customFormat="false" ht="15" hidden="false" customHeight="false" outlineLevel="0" collapsed="false">
      <c r="A212" s="0" t="n">
        <v>0</v>
      </c>
      <c r="B212" s="0" t="n">
        <v>2</v>
      </c>
      <c r="C212" s="0" t="n">
        <v>5</v>
      </c>
      <c r="D212" s="0" t="n">
        <v>0</v>
      </c>
      <c r="E212" s="0" t="n">
        <f aca="false">-1+A212*0.25</f>
        <v>-1</v>
      </c>
      <c r="F212" s="0" t="n">
        <f aca="false">-1+B212*0.25</f>
        <v>-0.5</v>
      </c>
      <c r="G212" s="0" t="n">
        <f aca="false">-1+C212*0.25</f>
        <v>0.25</v>
      </c>
      <c r="H212" s="0" t="n">
        <f aca="false">-1+D212*0.25</f>
        <v>-1</v>
      </c>
      <c r="I212" s="0" t="n">
        <f aca="false">1</f>
        <v>1</v>
      </c>
      <c r="J212" s="0" t="n">
        <f aca="false">E212</f>
        <v>-1</v>
      </c>
      <c r="K212" s="0" t="n">
        <f aca="false">F212</f>
        <v>-0.5</v>
      </c>
      <c r="L212" s="0" t="n">
        <f aca="false">G212</f>
        <v>0.25</v>
      </c>
      <c r="M212" s="0" t="n">
        <f aca="false">H212</f>
        <v>-1</v>
      </c>
      <c r="N212" s="0" t="n">
        <f aca="false">E212*F212</f>
        <v>0.5</v>
      </c>
      <c r="O212" s="0" t="n">
        <f aca="false">E212*G212</f>
        <v>-0.25</v>
      </c>
      <c r="P212" s="0" t="n">
        <f aca="false">E212*H212</f>
        <v>1</v>
      </c>
      <c r="Q212" s="0" t="n">
        <f aca="false">F212*G212</f>
        <v>-0.125</v>
      </c>
      <c r="R212" s="0" t="n">
        <f aca="false">F212*H212</f>
        <v>0.5</v>
      </c>
      <c r="S212" s="0" t="n">
        <f aca="false">G212*H212</f>
        <v>-0.25</v>
      </c>
      <c r="T212" s="0" t="n">
        <f aca="false">E212*E212</f>
        <v>1</v>
      </c>
      <c r="U212" s="0" t="n">
        <f aca="false">F212*F212</f>
        <v>0.25</v>
      </c>
      <c r="V212" s="0" t="n">
        <f aca="false">G212*G212</f>
        <v>0.0625</v>
      </c>
      <c r="W212" s="0" t="n">
        <f aca="false">H212*H212</f>
        <v>1</v>
      </c>
      <c r="X212" s="0" t="n">
        <f aca="false">SUMPRODUCT(I212:W212,_XtX!$B$96:$P$96)</f>
        <v>41.6750274122808</v>
      </c>
      <c r="Y212" s="0" t="n">
        <f aca="false">SUMPRODUCT(MMULT(I212:W212,_XtX!$B$78:$P$92),I212:W212)</f>
        <v>0.629174661915205</v>
      </c>
      <c r="Z212" s="0" t="n">
        <f aca="false">04_回帰ANOVA!$K$19*04_回帰ANOVA!$K$14*SQRT(1+Y212)</f>
        <v>1.66372758058297</v>
      </c>
      <c r="AA212" s="0" t="n">
        <f aca="false">X212-Z212</f>
        <v>40.0112998316978</v>
      </c>
      <c r="AB212" s="0" t="n">
        <f aca="false">X212+Z212</f>
        <v>43.3387549928637</v>
      </c>
      <c r="AC212" s="54" t="b">
        <f aca="false">AND(E212&gt;=01_因子設定!$L$5-0.000000001,E212&lt;=01_因子設定!$M$5+0.000000001,F212&gt;=01_因子設定!$L$6-0.000000001,F212&lt;=01_因子設定!$M$6+0.000000001,G212&gt;=01_因子設定!$L$7-0.000000001,G212&lt;=01_因子設定!$M$7+0.000000001,H212&gt;=01_因子設定!$L$8-0.000000001,H212&lt;=01_因子設定!$M$8+0.000000001,IF(01_因子設定!$B$20="Box-Behnken",E212^2+F212^2+G212^2+H212^2&lt;=2+0.000000001,TRUE()))</f>
        <v>1</v>
      </c>
      <c r="AD212" s="55" t="n">
        <f aca="false">IF(AC212,IF(01_因子設定!$B$13="最大化",AA212-01_因子設定!$B$14,IF(01_因子設定!$B$13="最小化",01_因子設定!$B$15-AB212,MIN(AA212-01_因子設定!$B$14,01_因子設定!$B$15-AB212))),-1E+030)</f>
        <v>-6.4887001683022</v>
      </c>
      <c r="AE212" s="55" t="n">
        <f aca="false">IF(AC212,IF(01_因子設定!$B$13="最大化",X212,IF(01_因子設定!$B$13="最小化",-X212,-ABS(X212-01_因子設定!$B$16))),-1E+030)</f>
        <v>41.6750274122808</v>
      </c>
      <c r="AF212" s="55" t="n">
        <f aca="false">AD212+ROW()*0.000000001</f>
        <v>-6.4886999563022</v>
      </c>
      <c r="AG212" s="55" t="n">
        <f aca="false">AE212+ROW()*0.000000001</f>
        <v>41.6750276242808</v>
      </c>
    </row>
    <row r="213" customFormat="false" ht="15" hidden="false" customHeight="false" outlineLevel="0" collapsed="false">
      <c r="A213" s="0" t="n">
        <v>0</v>
      </c>
      <c r="B213" s="0" t="n">
        <v>2</v>
      </c>
      <c r="C213" s="0" t="n">
        <v>5</v>
      </c>
      <c r="D213" s="0" t="n">
        <v>1</v>
      </c>
      <c r="E213" s="0" t="n">
        <f aca="false">-1+A213*0.25</f>
        <v>-1</v>
      </c>
      <c r="F213" s="0" t="n">
        <f aca="false">-1+B213*0.25</f>
        <v>-0.5</v>
      </c>
      <c r="G213" s="0" t="n">
        <f aca="false">-1+C213*0.25</f>
        <v>0.25</v>
      </c>
      <c r="H213" s="0" t="n">
        <f aca="false">-1+D213*0.25</f>
        <v>-0.75</v>
      </c>
      <c r="I213" s="0" t="n">
        <f aca="false">1</f>
        <v>1</v>
      </c>
      <c r="J213" s="0" t="n">
        <f aca="false">E213</f>
        <v>-1</v>
      </c>
      <c r="K213" s="0" t="n">
        <f aca="false">F213</f>
        <v>-0.5</v>
      </c>
      <c r="L213" s="0" t="n">
        <f aca="false">G213</f>
        <v>0.25</v>
      </c>
      <c r="M213" s="0" t="n">
        <f aca="false">H213</f>
        <v>-0.75</v>
      </c>
      <c r="N213" s="0" t="n">
        <f aca="false">E213*F213</f>
        <v>0.5</v>
      </c>
      <c r="O213" s="0" t="n">
        <f aca="false">E213*G213</f>
        <v>-0.25</v>
      </c>
      <c r="P213" s="0" t="n">
        <f aca="false">E213*H213</f>
        <v>0.75</v>
      </c>
      <c r="Q213" s="0" t="n">
        <f aca="false">F213*G213</f>
        <v>-0.125</v>
      </c>
      <c r="R213" s="0" t="n">
        <f aca="false">F213*H213</f>
        <v>0.375</v>
      </c>
      <c r="S213" s="0" t="n">
        <f aca="false">G213*H213</f>
        <v>-0.1875</v>
      </c>
      <c r="T213" s="0" t="n">
        <f aca="false">E213*E213</f>
        <v>1</v>
      </c>
      <c r="U213" s="0" t="n">
        <f aca="false">F213*F213</f>
        <v>0.25</v>
      </c>
      <c r="V213" s="0" t="n">
        <f aca="false">G213*G213</f>
        <v>0.0625</v>
      </c>
      <c r="W213" s="0" t="n">
        <f aca="false">H213*H213</f>
        <v>0.5625</v>
      </c>
      <c r="X213" s="0" t="n">
        <f aca="false">SUMPRODUCT(I213:W213,_XtX!$B$96:$P$96)</f>
        <v>41.9570221125732</v>
      </c>
      <c r="Y213" s="0" t="n">
        <f aca="false">SUMPRODUCT(MMULT(I213:W213,_XtX!$B$78:$P$92),I213:W213)</f>
        <v>0.459125719572369</v>
      </c>
      <c r="Z213" s="0" t="n">
        <f aca="false">04_回帰ANOVA!$K$19*04_回帰ANOVA!$K$14*SQRT(1+Y213)</f>
        <v>1.57450755575573</v>
      </c>
      <c r="AA213" s="0" t="n">
        <f aca="false">X213-Z213</f>
        <v>40.3825145568174</v>
      </c>
      <c r="AB213" s="0" t="n">
        <f aca="false">X213+Z213</f>
        <v>43.5315296683289</v>
      </c>
      <c r="AC213" s="54" t="b">
        <f aca="false">AND(E213&gt;=01_因子設定!$L$5-0.000000001,E213&lt;=01_因子設定!$M$5+0.000000001,F213&gt;=01_因子設定!$L$6-0.000000001,F213&lt;=01_因子設定!$M$6+0.000000001,G213&gt;=01_因子設定!$L$7-0.000000001,G213&lt;=01_因子設定!$M$7+0.000000001,H213&gt;=01_因子設定!$L$8-0.000000001,H213&lt;=01_因子設定!$M$8+0.000000001,IF(01_因子設定!$B$20="Box-Behnken",E213^2+F213^2+G213^2+H213^2&lt;=2+0.000000001,TRUE()))</f>
        <v>1</v>
      </c>
      <c r="AD213" s="55" t="n">
        <f aca="false">IF(AC213,IF(01_因子設定!$B$13="最大化",AA213-01_因子設定!$B$14,IF(01_因子設定!$B$13="最小化",01_因子設定!$B$15-AB213,MIN(AA213-01_因子設定!$B$14,01_因子設定!$B$15-AB213))),-1E+030)</f>
        <v>-6.11748544318258</v>
      </c>
      <c r="AE213" s="55" t="n">
        <f aca="false">IF(AC213,IF(01_因子設定!$B$13="最大化",X213,IF(01_因子設定!$B$13="最小化",-X213,-ABS(X213-01_因子設定!$B$16))),-1E+030)</f>
        <v>41.9570221125732</v>
      </c>
      <c r="AF213" s="55" t="n">
        <f aca="false">AD213+ROW()*0.000000001</f>
        <v>-6.11748523018258</v>
      </c>
      <c r="AG213" s="55" t="n">
        <f aca="false">AE213+ROW()*0.000000001</f>
        <v>41.9570223255732</v>
      </c>
    </row>
    <row r="214" customFormat="false" ht="15" hidden="false" customHeight="false" outlineLevel="0" collapsed="false">
      <c r="A214" s="0" t="n">
        <v>0</v>
      </c>
      <c r="B214" s="0" t="n">
        <v>2</v>
      </c>
      <c r="C214" s="0" t="n">
        <v>5</v>
      </c>
      <c r="D214" s="0" t="n">
        <v>2</v>
      </c>
      <c r="E214" s="0" t="n">
        <f aca="false">-1+A214*0.25</f>
        <v>-1</v>
      </c>
      <c r="F214" s="0" t="n">
        <f aca="false">-1+B214*0.25</f>
        <v>-0.5</v>
      </c>
      <c r="G214" s="0" t="n">
        <f aca="false">-1+C214*0.25</f>
        <v>0.25</v>
      </c>
      <c r="H214" s="0" t="n">
        <f aca="false">-1+D214*0.25</f>
        <v>-0.5</v>
      </c>
      <c r="I214" s="0" t="n">
        <f aca="false">1</f>
        <v>1</v>
      </c>
      <c r="J214" s="0" t="n">
        <f aca="false">E214</f>
        <v>-1</v>
      </c>
      <c r="K214" s="0" t="n">
        <f aca="false">F214</f>
        <v>-0.5</v>
      </c>
      <c r="L214" s="0" t="n">
        <f aca="false">G214</f>
        <v>0.25</v>
      </c>
      <c r="M214" s="0" t="n">
        <f aca="false">H214</f>
        <v>-0.5</v>
      </c>
      <c r="N214" s="0" t="n">
        <f aca="false">E214*F214</f>
        <v>0.5</v>
      </c>
      <c r="O214" s="0" t="n">
        <f aca="false">E214*G214</f>
        <v>-0.25</v>
      </c>
      <c r="P214" s="0" t="n">
        <f aca="false">E214*H214</f>
        <v>0.5</v>
      </c>
      <c r="Q214" s="0" t="n">
        <f aca="false">F214*G214</f>
        <v>-0.125</v>
      </c>
      <c r="R214" s="0" t="n">
        <f aca="false">F214*H214</f>
        <v>0.25</v>
      </c>
      <c r="S214" s="0" t="n">
        <f aca="false">G214*H214</f>
        <v>-0.125</v>
      </c>
      <c r="T214" s="0" t="n">
        <f aca="false">E214*E214</f>
        <v>1</v>
      </c>
      <c r="U214" s="0" t="n">
        <f aca="false">F214*F214</f>
        <v>0.25</v>
      </c>
      <c r="V214" s="0" t="n">
        <f aca="false">G214*G214</f>
        <v>0.0625</v>
      </c>
      <c r="W214" s="0" t="n">
        <f aca="false">H214*H214</f>
        <v>0.25</v>
      </c>
      <c r="X214" s="0" t="n">
        <f aca="false">SUMPRODUCT(I214:W214,_XtX!$B$96:$P$96)</f>
        <v>42.1912097953217</v>
      </c>
      <c r="Y214" s="0" t="n">
        <f aca="false">SUMPRODUCT(MMULT(I214:W214,_XtX!$B$78:$P$92),I214:W214)</f>
        <v>0.428122715643275</v>
      </c>
      <c r="Z214" s="0" t="n">
        <f aca="false">04_回帰ANOVA!$K$19*04_回帰ANOVA!$K$14*SQRT(1+Y214)</f>
        <v>1.55769044623229</v>
      </c>
      <c r="AA214" s="0" t="n">
        <f aca="false">X214-Z214</f>
        <v>40.6335193490894</v>
      </c>
      <c r="AB214" s="0" t="n">
        <f aca="false">X214+Z214</f>
        <v>43.748900241554</v>
      </c>
      <c r="AC214" s="54" t="b">
        <f aca="false">AND(E214&gt;=01_因子設定!$L$5-0.000000001,E214&lt;=01_因子設定!$M$5+0.000000001,F214&gt;=01_因子設定!$L$6-0.000000001,F214&lt;=01_因子設定!$M$6+0.000000001,G214&gt;=01_因子設定!$L$7-0.000000001,G214&lt;=01_因子設定!$M$7+0.000000001,H214&gt;=01_因子設定!$L$8-0.000000001,H214&lt;=01_因子設定!$M$8+0.000000001,IF(01_因子設定!$B$20="Box-Behnken",E214^2+F214^2+G214^2+H214^2&lt;=2+0.000000001,TRUE()))</f>
        <v>1</v>
      </c>
      <c r="AD214" s="55" t="n">
        <f aca="false">IF(AC214,IF(01_因子設定!$B$13="最大化",AA214-01_因子設定!$B$14,IF(01_因子設定!$B$13="最小化",01_因子設定!$B$15-AB214,MIN(AA214-01_因子設定!$B$14,01_因子設定!$B$15-AB214))),-1E+030)</f>
        <v>-5.86648065091062</v>
      </c>
      <c r="AE214" s="55" t="n">
        <f aca="false">IF(AC214,IF(01_因子設定!$B$13="最大化",X214,IF(01_因子設定!$B$13="最小化",-X214,-ABS(X214-01_因子設定!$B$16))),-1E+030)</f>
        <v>42.1912097953217</v>
      </c>
      <c r="AF214" s="55" t="n">
        <f aca="false">AD214+ROW()*0.000000001</f>
        <v>-5.86648043691062</v>
      </c>
      <c r="AG214" s="55" t="n">
        <f aca="false">AE214+ROW()*0.000000001</f>
        <v>42.1912100093217</v>
      </c>
    </row>
    <row r="215" customFormat="false" ht="15" hidden="false" customHeight="false" outlineLevel="0" collapsed="false">
      <c r="A215" s="0" t="n">
        <v>0</v>
      </c>
      <c r="B215" s="0" t="n">
        <v>2</v>
      </c>
      <c r="C215" s="0" t="n">
        <v>5</v>
      </c>
      <c r="D215" s="0" t="n">
        <v>3</v>
      </c>
      <c r="E215" s="0" t="n">
        <f aca="false">-1+A215*0.25</f>
        <v>-1</v>
      </c>
      <c r="F215" s="0" t="n">
        <f aca="false">-1+B215*0.25</f>
        <v>-0.5</v>
      </c>
      <c r="G215" s="0" t="n">
        <f aca="false">-1+C215*0.25</f>
        <v>0.25</v>
      </c>
      <c r="H215" s="0" t="n">
        <f aca="false">-1+D215*0.25</f>
        <v>-0.25</v>
      </c>
      <c r="I215" s="0" t="n">
        <f aca="false">1</f>
        <v>1</v>
      </c>
      <c r="J215" s="0" t="n">
        <f aca="false">E215</f>
        <v>-1</v>
      </c>
      <c r="K215" s="0" t="n">
        <f aca="false">F215</f>
        <v>-0.5</v>
      </c>
      <c r="L215" s="0" t="n">
        <f aca="false">G215</f>
        <v>0.25</v>
      </c>
      <c r="M215" s="0" t="n">
        <f aca="false">H215</f>
        <v>-0.25</v>
      </c>
      <c r="N215" s="0" t="n">
        <f aca="false">E215*F215</f>
        <v>0.5</v>
      </c>
      <c r="O215" s="0" t="n">
        <f aca="false">E215*G215</f>
        <v>-0.25</v>
      </c>
      <c r="P215" s="0" t="n">
        <f aca="false">E215*H215</f>
        <v>0.25</v>
      </c>
      <c r="Q215" s="0" t="n">
        <f aca="false">F215*G215</f>
        <v>-0.125</v>
      </c>
      <c r="R215" s="0" t="n">
        <f aca="false">F215*H215</f>
        <v>0.125</v>
      </c>
      <c r="S215" s="0" t="n">
        <f aca="false">G215*H215</f>
        <v>-0.0625</v>
      </c>
      <c r="T215" s="0" t="n">
        <f aca="false">E215*E215</f>
        <v>1</v>
      </c>
      <c r="U215" s="0" t="n">
        <f aca="false">F215*F215</f>
        <v>0.25</v>
      </c>
      <c r="V215" s="0" t="n">
        <f aca="false">G215*G215</f>
        <v>0.0625</v>
      </c>
      <c r="W215" s="0" t="n">
        <f aca="false">H215*H215</f>
        <v>0.0625</v>
      </c>
      <c r="X215" s="0" t="n">
        <f aca="false">SUMPRODUCT(I215:W215,_XtX!$B$96:$P$96)</f>
        <v>42.3775904605263</v>
      </c>
      <c r="Y215" s="0" t="n">
        <f aca="false">SUMPRODUCT(MMULT(I215:W215,_XtX!$B$78:$P$92),I215:W215)</f>
        <v>0.445705123812135</v>
      </c>
      <c r="Z215" s="0" t="n">
        <f aca="false">04_回帰ANOVA!$K$19*04_回帰ANOVA!$K$14*SQRT(1+Y215)</f>
        <v>1.56724990734749</v>
      </c>
      <c r="AA215" s="0" t="n">
        <f aca="false">X215-Z215</f>
        <v>40.8103405531789</v>
      </c>
      <c r="AB215" s="0" t="n">
        <f aca="false">X215+Z215</f>
        <v>43.9448403678738</v>
      </c>
      <c r="AC215" s="54" t="b">
        <f aca="false">AND(E215&gt;=01_因子設定!$L$5-0.000000001,E215&lt;=01_因子設定!$M$5+0.000000001,F215&gt;=01_因子設定!$L$6-0.000000001,F215&lt;=01_因子設定!$M$6+0.000000001,G215&gt;=01_因子設定!$L$7-0.000000001,G215&lt;=01_因子設定!$M$7+0.000000001,H215&gt;=01_因子設定!$L$8-0.000000001,H215&lt;=01_因子設定!$M$8+0.000000001,IF(01_因子設定!$B$20="Box-Behnken",E215^2+F215^2+G215^2+H215^2&lt;=2+0.000000001,TRUE()))</f>
        <v>1</v>
      </c>
      <c r="AD215" s="55" t="n">
        <f aca="false">IF(AC215,IF(01_因子設定!$B$13="最大化",AA215-01_因子設定!$B$14,IF(01_因子設定!$B$13="最小化",01_因子設定!$B$15-AB215,MIN(AA215-01_因子設定!$B$14,01_因子設定!$B$15-AB215))),-1E+030)</f>
        <v>-5.68965944682115</v>
      </c>
      <c r="AE215" s="55" t="n">
        <f aca="false">IF(AC215,IF(01_因子設定!$B$13="最大化",X215,IF(01_因子設定!$B$13="最小化",-X215,-ABS(X215-01_因子設定!$B$16))),-1E+030)</f>
        <v>42.3775904605263</v>
      </c>
      <c r="AF215" s="55" t="n">
        <f aca="false">AD215+ROW()*0.000000001</f>
        <v>-5.68965923182115</v>
      </c>
      <c r="AG215" s="55" t="n">
        <f aca="false">AE215+ROW()*0.000000001</f>
        <v>42.3775906755263</v>
      </c>
    </row>
    <row r="216" customFormat="false" ht="15" hidden="false" customHeight="false" outlineLevel="0" collapsed="false">
      <c r="A216" s="0" t="n">
        <v>0</v>
      </c>
      <c r="B216" s="0" t="n">
        <v>2</v>
      </c>
      <c r="C216" s="0" t="n">
        <v>5</v>
      </c>
      <c r="D216" s="0" t="n">
        <v>4</v>
      </c>
      <c r="E216" s="0" t="n">
        <f aca="false">-1+A216*0.25</f>
        <v>-1</v>
      </c>
      <c r="F216" s="0" t="n">
        <f aca="false">-1+B216*0.25</f>
        <v>-0.5</v>
      </c>
      <c r="G216" s="0" t="n">
        <f aca="false">-1+C216*0.25</f>
        <v>0.25</v>
      </c>
      <c r="H216" s="0" t="n">
        <f aca="false">-1+D216*0.25</f>
        <v>0</v>
      </c>
      <c r="I216" s="0" t="n">
        <f aca="false">1</f>
        <v>1</v>
      </c>
      <c r="J216" s="0" t="n">
        <f aca="false">E216</f>
        <v>-1</v>
      </c>
      <c r="K216" s="0" t="n">
        <f aca="false">F216</f>
        <v>-0.5</v>
      </c>
      <c r="L216" s="0" t="n">
        <f aca="false">G216</f>
        <v>0.25</v>
      </c>
      <c r="M216" s="0" t="n">
        <f aca="false">H216</f>
        <v>0</v>
      </c>
      <c r="N216" s="0" t="n">
        <f aca="false">E216*F216</f>
        <v>0.5</v>
      </c>
      <c r="O216" s="0" t="n">
        <f aca="false">E216*G216</f>
        <v>-0.25</v>
      </c>
      <c r="P216" s="0" t="n">
        <f aca="false">E216*H216</f>
        <v>-0</v>
      </c>
      <c r="Q216" s="0" t="n">
        <f aca="false">F216*G216</f>
        <v>-0.125</v>
      </c>
      <c r="R216" s="0" t="n">
        <f aca="false">F216*H216</f>
        <v>-0</v>
      </c>
      <c r="S216" s="0" t="n">
        <f aca="false">G216*H216</f>
        <v>0</v>
      </c>
      <c r="T216" s="0" t="n">
        <f aca="false">E216*E216</f>
        <v>1</v>
      </c>
      <c r="U216" s="0" t="n">
        <f aca="false">F216*F216</f>
        <v>0.25</v>
      </c>
      <c r="V216" s="0" t="n">
        <f aca="false">G216*G216</f>
        <v>0.0625</v>
      </c>
      <c r="W216" s="0" t="n">
        <f aca="false">H216*H216</f>
        <v>0</v>
      </c>
      <c r="X216" s="0" t="n">
        <f aca="false">SUMPRODUCT(I216:W216,_XtX!$B$96:$P$96)</f>
        <v>42.5161641081872</v>
      </c>
      <c r="Y216" s="0" t="n">
        <f aca="false">SUMPRODUCT(MMULT(I216:W216,_XtX!$B$78:$P$92),I216:W216)</f>
        <v>0.457596628289474</v>
      </c>
      <c r="Z216" s="0" t="n">
        <f aca="false">04_回帰ANOVA!$K$19*04_回帰ANOVA!$K$14*SQRT(1+Y216)</f>
        <v>1.57368233664366</v>
      </c>
      <c r="AA216" s="0" t="n">
        <f aca="false">X216-Z216</f>
        <v>40.9424817715435</v>
      </c>
      <c r="AB216" s="0" t="n">
        <f aca="false">X216+Z216</f>
        <v>44.0898464448308</v>
      </c>
      <c r="AC216" s="54" t="b">
        <f aca="false">AND(E216&gt;=01_因子設定!$L$5-0.000000001,E216&lt;=01_因子設定!$M$5+0.000000001,F216&gt;=01_因子設定!$L$6-0.000000001,F216&lt;=01_因子設定!$M$6+0.000000001,G216&gt;=01_因子設定!$L$7-0.000000001,G216&lt;=01_因子設定!$M$7+0.000000001,H216&gt;=01_因子設定!$L$8-0.000000001,H216&lt;=01_因子設定!$M$8+0.000000001,IF(01_因子設定!$B$20="Box-Behnken",E216^2+F216^2+G216^2+H216^2&lt;=2+0.000000001,TRUE()))</f>
        <v>1</v>
      </c>
      <c r="AD216" s="55" t="n">
        <f aca="false">IF(AC216,IF(01_因子設定!$B$13="最大化",AA216-01_因子設定!$B$14,IF(01_因子設定!$B$13="最小化",01_因子設定!$B$15-AB216,MIN(AA216-01_因子設定!$B$14,01_因子設定!$B$15-AB216))),-1E+030)</f>
        <v>-5.5575182284565</v>
      </c>
      <c r="AE216" s="55" t="n">
        <f aca="false">IF(AC216,IF(01_因子設定!$B$13="最大化",X216,IF(01_因子設定!$B$13="最小化",-X216,-ABS(X216-01_因子設定!$B$16))),-1E+030)</f>
        <v>42.5161641081872</v>
      </c>
      <c r="AF216" s="55" t="n">
        <f aca="false">AD216+ROW()*0.000000001</f>
        <v>-5.55751801245649</v>
      </c>
      <c r="AG216" s="55" t="n">
        <f aca="false">AE216+ROW()*0.000000001</f>
        <v>42.5161643241872</v>
      </c>
    </row>
    <row r="217" customFormat="false" ht="15" hidden="false" customHeight="false" outlineLevel="0" collapsed="false">
      <c r="A217" s="0" t="n">
        <v>0</v>
      </c>
      <c r="B217" s="0" t="n">
        <v>2</v>
      </c>
      <c r="C217" s="0" t="n">
        <v>5</v>
      </c>
      <c r="D217" s="0" t="n">
        <v>5</v>
      </c>
      <c r="E217" s="0" t="n">
        <f aca="false">-1+A217*0.25</f>
        <v>-1</v>
      </c>
      <c r="F217" s="0" t="n">
        <f aca="false">-1+B217*0.25</f>
        <v>-0.5</v>
      </c>
      <c r="G217" s="0" t="n">
        <f aca="false">-1+C217*0.25</f>
        <v>0.25</v>
      </c>
      <c r="H217" s="0" t="n">
        <f aca="false">-1+D217*0.25</f>
        <v>0.25</v>
      </c>
      <c r="I217" s="0" t="n">
        <f aca="false">1</f>
        <v>1</v>
      </c>
      <c r="J217" s="0" t="n">
        <f aca="false">E217</f>
        <v>-1</v>
      </c>
      <c r="K217" s="0" t="n">
        <f aca="false">F217</f>
        <v>-0.5</v>
      </c>
      <c r="L217" s="0" t="n">
        <f aca="false">G217</f>
        <v>0.25</v>
      </c>
      <c r="M217" s="0" t="n">
        <f aca="false">H217</f>
        <v>0.25</v>
      </c>
      <c r="N217" s="0" t="n">
        <f aca="false">E217*F217</f>
        <v>0.5</v>
      </c>
      <c r="O217" s="0" t="n">
        <f aca="false">E217*G217</f>
        <v>-0.25</v>
      </c>
      <c r="P217" s="0" t="n">
        <f aca="false">E217*H217</f>
        <v>-0.25</v>
      </c>
      <c r="Q217" s="0" t="n">
        <f aca="false">F217*G217</f>
        <v>-0.125</v>
      </c>
      <c r="R217" s="0" t="n">
        <f aca="false">F217*H217</f>
        <v>-0.125</v>
      </c>
      <c r="S217" s="0" t="n">
        <f aca="false">G217*H217</f>
        <v>0.0625</v>
      </c>
      <c r="T217" s="0" t="n">
        <f aca="false">E217*E217</f>
        <v>1</v>
      </c>
      <c r="U217" s="0" t="n">
        <f aca="false">F217*F217</f>
        <v>0.25</v>
      </c>
      <c r="V217" s="0" t="n">
        <f aca="false">G217*G217</f>
        <v>0.0625</v>
      </c>
      <c r="W217" s="0" t="n">
        <f aca="false">H217*H217</f>
        <v>0.0625</v>
      </c>
      <c r="X217" s="0" t="n">
        <f aca="false">SUMPRODUCT(I217:W217,_XtX!$B$96:$P$96)</f>
        <v>42.6069307383041</v>
      </c>
      <c r="Y217" s="0" t="n">
        <f aca="false">SUMPRODUCT(MMULT(I217:W217,_XtX!$B$78:$P$92),I217:W217)</f>
        <v>0.445705123812135</v>
      </c>
      <c r="Z217" s="0" t="n">
        <f aca="false">04_回帰ANOVA!$K$19*04_回帰ANOVA!$K$14*SQRT(1+Y217)</f>
        <v>1.56724990734749</v>
      </c>
      <c r="AA217" s="0" t="n">
        <f aca="false">X217-Z217</f>
        <v>41.0396808309566</v>
      </c>
      <c r="AB217" s="0" t="n">
        <f aca="false">X217+Z217</f>
        <v>44.1741806456516</v>
      </c>
      <c r="AC217" s="54" t="b">
        <f aca="false">AND(E217&gt;=01_因子設定!$L$5-0.000000001,E217&lt;=01_因子設定!$M$5+0.000000001,F217&gt;=01_因子設定!$L$6-0.000000001,F217&lt;=01_因子設定!$M$6+0.000000001,G217&gt;=01_因子設定!$L$7-0.000000001,G217&lt;=01_因子設定!$M$7+0.000000001,H217&gt;=01_因子設定!$L$8-0.000000001,H217&lt;=01_因子設定!$M$8+0.000000001,IF(01_因子設定!$B$20="Box-Behnken",E217^2+F217^2+G217^2+H217^2&lt;=2+0.000000001,TRUE()))</f>
        <v>1</v>
      </c>
      <c r="AD217" s="55" t="n">
        <f aca="false">IF(AC217,IF(01_因子設定!$B$13="最大化",AA217-01_因子設定!$B$14,IF(01_因子設定!$B$13="最小化",01_因子設定!$B$15-AB217,MIN(AA217-01_因子設定!$B$14,01_因子設定!$B$15-AB217))),-1E+030)</f>
        <v>-5.46031916904337</v>
      </c>
      <c r="AE217" s="55" t="n">
        <f aca="false">IF(AC217,IF(01_因子設定!$B$13="最大化",X217,IF(01_因子設定!$B$13="最小化",-X217,-ABS(X217-01_因子設定!$B$16))),-1E+030)</f>
        <v>42.6069307383041</v>
      </c>
      <c r="AF217" s="55" t="n">
        <f aca="false">AD217+ROW()*0.000000001</f>
        <v>-5.46031895204337</v>
      </c>
      <c r="AG217" s="55" t="n">
        <f aca="false">AE217+ROW()*0.000000001</f>
        <v>42.6069309553041</v>
      </c>
    </row>
    <row r="218" customFormat="false" ht="15" hidden="false" customHeight="false" outlineLevel="0" collapsed="false">
      <c r="A218" s="0" t="n">
        <v>0</v>
      </c>
      <c r="B218" s="0" t="n">
        <v>2</v>
      </c>
      <c r="C218" s="0" t="n">
        <v>5</v>
      </c>
      <c r="D218" s="0" t="n">
        <v>6</v>
      </c>
      <c r="E218" s="0" t="n">
        <f aca="false">-1+A218*0.25</f>
        <v>-1</v>
      </c>
      <c r="F218" s="0" t="n">
        <f aca="false">-1+B218*0.25</f>
        <v>-0.5</v>
      </c>
      <c r="G218" s="0" t="n">
        <f aca="false">-1+C218*0.25</f>
        <v>0.25</v>
      </c>
      <c r="H218" s="0" t="n">
        <f aca="false">-1+D218*0.25</f>
        <v>0.5</v>
      </c>
      <c r="I218" s="0" t="n">
        <f aca="false">1</f>
        <v>1</v>
      </c>
      <c r="J218" s="0" t="n">
        <f aca="false">E218</f>
        <v>-1</v>
      </c>
      <c r="K218" s="0" t="n">
        <f aca="false">F218</f>
        <v>-0.5</v>
      </c>
      <c r="L218" s="0" t="n">
        <f aca="false">G218</f>
        <v>0.25</v>
      </c>
      <c r="M218" s="0" t="n">
        <f aca="false">H218</f>
        <v>0.5</v>
      </c>
      <c r="N218" s="0" t="n">
        <f aca="false">E218*F218</f>
        <v>0.5</v>
      </c>
      <c r="O218" s="0" t="n">
        <f aca="false">E218*G218</f>
        <v>-0.25</v>
      </c>
      <c r="P218" s="0" t="n">
        <f aca="false">E218*H218</f>
        <v>-0.5</v>
      </c>
      <c r="Q218" s="0" t="n">
        <f aca="false">F218*G218</f>
        <v>-0.125</v>
      </c>
      <c r="R218" s="0" t="n">
        <f aca="false">F218*H218</f>
        <v>-0.25</v>
      </c>
      <c r="S218" s="0" t="n">
        <f aca="false">G218*H218</f>
        <v>0.125</v>
      </c>
      <c r="T218" s="0" t="n">
        <f aca="false">E218*E218</f>
        <v>1</v>
      </c>
      <c r="U218" s="0" t="n">
        <f aca="false">F218*F218</f>
        <v>0.25</v>
      </c>
      <c r="V218" s="0" t="n">
        <f aca="false">G218*G218</f>
        <v>0.0625</v>
      </c>
      <c r="W218" s="0" t="n">
        <f aca="false">H218*H218</f>
        <v>0.25</v>
      </c>
      <c r="X218" s="0" t="n">
        <f aca="false">SUMPRODUCT(I218:W218,_XtX!$B$96:$P$96)</f>
        <v>42.6498903508772</v>
      </c>
      <c r="Y218" s="0" t="n">
        <f aca="false">SUMPRODUCT(MMULT(I218:W218,_XtX!$B$78:$P$92),I218:W218)</f>
        <v>0.428122715643275</v>
      </c>
      <c r="Z218" s="0" t="n">
        <f aca="false">04_回帰ANOVA!$K$19*04_回帰ANOVA!$K$14*SQRT(1+Y218)</f>
        <v>1.55769044623229</v>
      </c>
      <c r="AA218" s="0" t="n">
        <f aca="false">X218-Z218</f>
        <v>41.0921999046449</v>
      </c>
      <c r="AB218" s="0" t="n">
        <f aca="false">X218+Z218</f>
        <v>44.2075807971095</v>
      </c>
      <c r="AC218" s="54" t="b">
        <f aca="false">AND(E218&gt;=01_因子設定!$L$5-0.000000001,E218&lt;=01_因子設定!$M$5+0.000000001,F218&gt;=01_因子設定!$L$6-0.000000001,F218&lt;=01_因子設定!$M$6+0.000000001,G218&gt;=01_因子設定!$L$7-0.000000001,G218&lt;=01_因子設定!$M$7+0.000000001,H218&gt;=01_因子設定!$L$8-0.000000001,H218&lt;=01_因子設定!$M$8+0.000000001,IF(01_因子設定!$B$20="Box-Behnken",E218^2+F218^2+G218^2+H218^2&lt;=2+0.000000001,TRUE()))</f>
        <v>1</v>
      </c>
      <c r="AD218" s="55" t="n">
        <f aca="false">IF(AC218,IF(01_因子設定!$B$13="最大化",AA218-01_因子設定!$B$14,IF(01_因子設定!$B$13="最小化",01_因子設定!$B$15-AB218,MIN(AA218-01_因子設定!$B$14,01_因子設定!$B$15-AB218))),-1E+030)</f>
        <v>-5.40780009535506</v>
      </c>
      <c r="AE218" s="55" t="n">
        <f aca="false">IF(AC218,IF(01_因子設定!$B$13="最大化",X218,IF(01_因子設定!$B$13="最小化",-X218,-ABS(X218-01_因子設定!$B$16))),-1E+030)</f>
        <v>42.6498903508772</v>
      </c>
      <c r="AF218" s="55" t="n">
        <f aca="false">AD218+ROW()*0.000000001</f>
        <v>-5.40779987735506</v>
      </c>
      <c r="AG218" s="55" t="n">
        <f aca="false">AE218+ROW()*0.000000001</f>
        <v>42.6498905688772</v>
      </c>
    </row>
    <row r="219" customFormat="false" ht="15" hidden="false" customHeight="false" outlineLevel="0" collapsed="false">
      <c r="A219" s="0" t="n">
        <v>0</v>
      </c>
      <c r="B219" s="0" t="n">
        <v>2</v>
      </c>
      <c r="C219" s="0" t="n">
        <v>5</v>
      </c>
      <c r="D219" s="0" t="n">
        <v>7</v>
      </c>
      <c r="E219" s="0" t="n">
        <f aca="false">-1+A219*0.25</f>
        <v>-1</v>
      </c>
      <c r="F219" s="0" t="n">
        <f aca="false">-1+B219*0.25</f>
        <v>-0.5</v>
      </c>
      <c r="G219" s="0" t="n">
        <f aca="false">-1+C219*0.25</f>
        <v>0.25</v>
      </c>
      <c r="H219" s="0" t="n">
        <f aca="false">-1+D219*0.25</f>
        <v>0.75</v>
      </c>
      <c r="I219" s="0" t="n">
        <f aca="false">1</f>
        <v>1</v>
      </c>
      <c r="J219" s="0" t="n">
        <f aca="false">E219</f>
        <v>-1</v>
      </c>
      <c r="K219" s="0" t="n">
        <f aca="false">F219</f>
        <v>-0.5</v>
      </c>
      <c r="L219" s="0" t="n">
        <f aca="false">G219</f>
        <v>0.25</v>
      </c>
      <c r="M219" s="0" t="n">
        <f aca="false">H219</f>
        <v>0.75</v>
      </c>
      <c r="N219" s="0" t="n">
        <f aca="false">E219*F219</f>
        <v>0.5</v>
      </c>
      <c r="O219" s="0" t="n">
        <f aca="false">E219*G219</f>
        <v>-0.25</v>
      </c>
      <c r="P219" s="0" t="n">
        <f aca="false">E219*H219</f>
        <v>-0.75</v>
      </c>
      <c r="Q219" s="0" t="n">
        <f aca="false">F219*G219</f>
        <v>-0.125</v>
      </c>
      <c r="R219" s="0" t="n">
        <f aca="false">F219*H219</f>
        <v>-0.375</v>
      </c>
      <c r="S219" s="0" t="n">
        <f aca="false">G219*H219</f>
        <v>0.1875</v>
      </c>
      <c r="T219" s="0" t="n">
        <f aca="false">E219*E219</f>
        <v>1</v>
      </c>
      <c r="U219" s="0" t="n">
        <f aca="false">F219*F219</f>
        <v>0.25</v>
      </c>
      <c r="V219" s="0" t="n">
        <f aca="false">G219*G219</f>
        <v>0.0625</v>
      </c>
      <c r="W219" s="0" t="n">
        <f aca="false">H219*H219</f>
        <v>0.5625</v>
      </c>
      <c r="X219" s="0" t="n">
        <f aca="false">SUMPRODUCT(I219:W219,_XtX!$B$96:$P$96)</f>
        <v>42.6450429459065</v>
      </c>
      <c r="Y219" s="0" t="n">
        <f aca="false">SUMPRODUCT(MMULT(I219:W219,_XtX!$B$78:$P$92),I219:W219)</f>
        <v>0.459125719572369</v>
      </c>
      <c r="Z219" s="0" t="n">
        <f aca="false">04_回帰ANOVA!$K$19*04_回帰ANOVA!$K$14*SQRT(1+Y219)</f>
        <v>1.57450755575573</v>
      </c>
      <c r="AA219" s="0" t="n">
        <f aca="false">X219-Z219</f>
        <v>41.0705353901508</v>
      </c>
      <c r="AB219" s="0" t="n">
        <f aca="false">X219+Z219</f>
        <v>44.2195505016622</v>
      </c>
      <c r="AC219" s="54" t="b">
        <f aca="false">AND(E219&gt;=01_因子設定!$L$5-0.000000001,E219&lt;=01_因子設定!$M$5+0.000000001,F219&gt;=01_因子設定!$L$6-0.000000001,F219&lt;=01_因子設定!$M$6+0.000000001,G219&gt;=01_因子設定!$L$7-0.000000001,G219&lt;=01_因子設定!$M$7+0.000000001,H219&gt;=01_因子設定!$L$8-0.000000001,H219&lt;=01_因子設定!$M$8+0.000000001,IF(01_因子設定!$B$20="Box-Behnken",E219^2+F219^2+G219^2+H219^2&lt;=2+0.000000001,TRUE()))</f>
        <v>1</v>
      </c>
      <c r="AD219" s="55" t="n">
        <f aca="false">IF(AC219,IF(01_因子設定!$B$13="最大化",AA219-01_因子設定!$B$14,IF(01_因子設定!$B$13="最小化",01_因子設定!$B$15-AB219,MIN(AA219-01_因子設定!$B$14,01_因子設定!$B$15-AB219))),-1E+030)</f>
        <v>-5.42946460984925</v>
      </c>
      <c r="AE219" s="55" t="n">
        <f aca="false">IF(AC219,IF(01_因子設定!$B$13="最大化",X219,IF(01_因子設定!$B$13="最小化",-X219,-ABS(X219-01_因子設定!$B$16))),-1E+030)</f>
        <v>42.6450429459065</v>
      </c>
      <c r="AF219" s="55" t="n">
        <f aca="false">AD219+ROW()*0.000000001</f>
        <v>-5.42946439084925</v>
      </c>
      <c r="AG219" s="55" t="n">
        <f aca="false">AE219+ROW()*0.000000001</f>
        <v>42.6450431649065</v>
      </c>
    </row>
    <row r="220" customFormat="false" ht="15" hidden="false" customHeight="false" outlineLevel="0" collapsed="false">
      <c r="A220" s="0" t="n">
        <v>0</v>
      </c>
      <c r="B220" s="0" t="n">
        <v>2</v>
      </c>
      <c r="C220" s="0" t="n">
        <v>5</v>
      </c>
      <c r="D220" s="0" t="n">
        <v>8</v>
      </c>
      <c r="E220" s="0" t="n">
        <f aca="false">-1+A220*0.25</f>
        <v>-1</v>
      </c>
      <c r="F220" s="0" t="n">
        <f aca="false">-1+B220*0.25</f>
        <v>-0.5</v>
      </c>
      <c r="G220" s="0" t="n">
        <f aca="false">-1+C220*0.25</f>
        <v>0.25</v>
      </c>
      <c r="H220" s="0" t="n">
        <f aca="false">-1+D220*0.25</f>
        <v>1</v>
      </c>
      <c r="I220" s="0" t="n">
        <f aca="false">1</f>
        <v>1</v>
      </c>
      <c r="J220" s="0" t="n">
        <f aca="false">E220</f>
        <v>-1</v>
      </c>
      <c r="K220" s="0" t="n">
        <f aca="false">F220</f>
        <v>-0.5</v>
      </c>
      <c r="L220" s="0" t="n">
        <f aca="false">G220</f>
        <v>0.25</v>
      </c>
      <c r="M220" s="0" t="n">
        <f aca="false">H220</f>
        <v>1</v>
      </c>
      <c r="N220" s="0" t="n">
        <f aca="false">E220*F220</f>
        <v>0.5</v>
      </c>
      <c r="O220" s="0" t="n">
        <f aca="false">E220*G220</f>
        <v>-0.25</v>
      </c>
      <c r="P220" s="0" t="n">
        <f aca="false">E220*H220</f>
        <v>-1</v>
      </c>
      <c r="Q220" s="0" t="n">
        <f aca="false">F220*G220</f>
        <v>-0.125</v>
      </c>
      <c r="R220" s="0" t="n">
        <f aca="false">F220*H220</f>
        <v>-0.5</v>
      </c>
      <c r="S220" s="0" t="n">
        <f aca="false">G220*H220</f>
        <v>0.25</v>
      </c>
      <c r="T220" s="0" t="n">
        <f aca="false">E220*E220</f>
        <v>1</v>
      </c>
      <c r="U220" s="0" t="n">
        <f aca="false">F220*F220</f>
        <v>0.25</v>
      </c>
      <c r="V220" s="0" t="n">
        <f aca="false">G220*G220</f>
        <v>0.0625</v>
      </c>
      <c r="W220" s="0" t="n">
        <f aca="false">H220*H220</f>
        <v>1</v>
      </c>
      <c r="X220" s="0" t="n">
        <f aca="false">SUMPRODUCT(I220:W220,_XtX!$B$96:$P$96)</f>
        <v>42.5923885233919</v>
      </c>
      <c r="Y220" s="0" t="n">
        <f aca="false">SUMPRODUCT(MMULT(I220:W220,_XtX!$B$78:$P$92),I220:W220)</f>
        <v>0.629174661915205</v>
      </c>
      <c r="Z220" s="0" t="n">
        <f aca="false">04_回帰ANOVA!$K$19*04_回帰ANOVA!$K$14*SQRT(1+Y220)</f>
        <v>1.66372758058297</v>
      </c>
      <c r="AA220" s="0" t="n">
        <f aca="false">X220-Z220</f>
        <v>40.9286609428089</v>
      </c>
      <c r="AB220" s="0" t="n">
        <f aca="false">X220+Z220</f>
        <v>44.2561161039749</v>
      </c>
      <c r="AC220" s="54" t="b">
        <f aca="false">AND(E220&gt;=01_因子設定!$L$5-0.000000001,E220&lt;=01_因子設定!$M$5+0.000000001,F220&gt;=01_因子設定!$L$6-0.000000001,F220&lt;=01_因子設定!$M$6+0.000000001,G220&gt;=01_因子設定!$L$7-0.000000001,G220&lt;=01_因子設定!$M$7+0.000000001,H220&gt;=01_因子設定!$L$8-0.000000001,H220&lt;=01_因子設定!$M$8+0.000000001,IF(01_因子設定!$B$20="Box-Behnken",E220^2+F220^2+G220^2+H220^2&lt;=2+0.000000001,TRUE()))</f>
        <v>1</v>
      </c>
      <c r="AD220" s="55" t="n">
        <f aca="false">IF(AC220,IF(01_因子設定!$B$13="最大化",AA220-01_因子設定!$B$14,IF(01_因子設定!$B$13="最小化",01_因子設定!$B$15-AB220,MIN(AA220-01_因子設定!$B$14,01_因子設定!$B$15-AB220))),-1E+030)</f>
        <v>-5.5713390571911</v>
      </c>
      <c r="AE220" s="55" t="n">
        <f aca="false">IF(AC220,IF(01_因子設定!$B$13="最大化",X220,IF(01_因子設定!$B$13="最小化",-X220,-ABS(X220-01_因子設定!$B$16))),-1E+030)</f>
        <v>42.5923885233919</v>
      </c>
      <c r="AF220" s="55" t="n">
        <f aca="false">AD220+ROW()*0.000000001</f>
        <v>-5.5713388371911</v>
      </c>
      <c r="AG220" s="55" t="n">
        <f aca="false">AE220+ROW()*0.000000001</f>
        <v>42.5923887433919</v>
      </c>
    </row>
    <row r="221" customFormat="false" ht="15" hidden="false" customHeight="false" outlineLevel="0" collapsed="false">
      <c r="A221" s="0" t="n">
        <v>0</v>
      </c>
      <c r="B221" s="0" t="n">
        <v>2</v>
      </c>
      <c r="C221" s="0" t="n">
        <v>6</v>
      </c>
      <c r="D221" s="0" t="n">
        <v>0</v>
      </c>
      <c r="E221" s="0" t="n">
        <f aca="false">-1+A221*0.25</f>
        <v>-1</v>
      </c>
      <c r="F221" s="0" t="n">
        <f aca="false">-1+B221*0.25</f>
        <v>-0.5</v>
      </c>
      <c r="G221" s="0" t="n">
        <f aca="false">-1+C221*0.25</f>
        <v>0.5</v>
      </c>
      <c r="H221" s="0" t="n">
        <f aca="false">-1+D221*0.25</f>
        <v>-1</v>
      </c>
      <c r="I221" s="0" t="n">
        <f aca="false">1</f>
        <v>1</v>
      </c>
      <c r="J221" s="0" t="n">
        <f aca="false">E221</f>
        <v>-1</v>
      </c>
      <c r="K221" s="0" t="n">
        <f aca="false">F221</f>
        <v>-0.5</v>
      </c>
      <c r="L221" s="0" t="n">
        <f aca="false">G221</f>
        <v>0.5</v>
      </c>
      <c r="M221" s="0" t="n">
        <f aca="false">H221</f>
        <v>-1</v>
      </c>
      <c r="N221" s="0" t="n">
        <f aca="false">E221*F221</f>
        <v>0.5</v>
      </c>
      <c r="O221" s="0" t="n">
        <f aca="false">E221*G221</f>
        <v>-0.5</v>
      </c>
      <c r="P221" s="0" t="n">
        <f aca="false">E221*H221</f>
        <v>1</v>
      </c>
      <c r="Q221" s="0" t="n">
        <f aca="false">F221*G221</f>
        <v>-0.25</v>
      </c>
      <c r="R221" s="0" t="n">
        <f aca="false">F221*H221</f>
        <v>0.5</v>
      </c>
      <c r="S221" s="0" t="n">
        <f aca="false">G221*H221</f>
        <v>-0.5</v>
      </c>
      <c r="T221" s="0" t="n">
        <f aca="false">E221*E221</f>
        <v>1</v>
      </c>
      <c r="U221" s="0" t="n">
        <f aca="false">F221*F221</f>
        <v>0.25</v>
      </c>
      <c r="V221" s="0" t="n">
        <f aca="false">G221*G221</f>
        <v>0.25</v>
      </c>
      <c r="W221" s="0" t="n">
        <f aca="false">H221*H221</f>
        <v>1</v>
      </c>
      <c r="X221" s="0" t="n">
        <f aca="false">SUMPRODUCT(I221:W221,_XtX!$B$96:$P$96)</f>
        <v>41.8444627192983</v>
      </c>
      <c r="Y221" s="0" t="n">
        <f aca="false">SUMPRODUCT(MMULT(I221:W221,_XtX!$B$78:$P$92),I221:W221)</f>
        <v>0.582488121345029</v>
      </c>
      <c r="Z221" s="0" t="n">
        <f aca="false">04_回帰ANOVA!$K$19*04_回帰ANOVA!$K$14*SQRT(1+Y221)</f>
        <v>1.63971595338287</v>
      </c>
      <c r="AA221" s="0" t="n">
        <f aca="false">X221-Z221</f>
        <v>40.2047467659154</v>
      </c>
      <c r="AB221" s="0" t="n">
        <f aca="false">X221+Z221</f>
        <v>43.4841786726812</v>
      </c>
      <c r="AC221" s="54" t="b">
        <f aca="false">AND(E221&gt;=01_因子設定!$L$5-0.000000001,E221&lt;=01_因子設定!$M$5+0.000000001,F221&gt;=01_因子設定!$L$6-0.000000001,F221&lt;=01_因子設定!$M$6+0.000000001,G221&gt;=01_因子設定!$L$7-0.000000001,G221&lt;=01_因子設定!$M$7+0.000000001,H221&gt;=01_因子設定!$L$8-0.000000001,H221&lt;=01_因子設定!$M$8+0.000000001,IF(01_因子設定!$B$20="Box-Behnken",E221^2+F221^2+G221^2+H221^2&lt;=2+0.000000001,TRUE()))</f>
        <v>1</v>
      </c>
      <c r="AD221" s="55" t="n">
        <f aca="false">IF(AC221,IF(01_因子設定!$B$13="最大化",AA221-01_因子設定!$B$14,IF(01_因子設定!$B$13="最小化",01_因子設定!$B$15-AB221,MIN(AA221-01_因子設定!$B$14,01_因子設定!$B$15-AB221))),-1E+030)</f>
        <v>-6.29525323408456</v>
      </c>
      <c r="AE221" s="55" t="n">
        <f aca="false">IF(AC221,IF(01_因子設定!$B$13="最大化",X221,IF(01_因子設定!$B$13="最小化",-X221,-ABS(X221-01_因子設定!$B$16))),-1E+030)</f>
        <v>41.8444627192983</v>
      </c>
      <c r="AF221" s="55" t="n">
        <f aca="false">AD221+ROW()*0.000000001</f>
        <v>-6.29525301308456</v>
      </c>
      <c r="AG221" s="55" t="n">
        <f aca="false">AE221+ROW()*0.000000001</f>
        <v>41.8444629402983</v>
      </c>
    </row>
    <row r="222" customFormat="false" ht="15" hidden="false" customHeight="false" outlineLevel="0" collapsed="false">
      <c r="A222" s="0" t="n">
        <v>0</v>
      </c>
      <c r="B222" s="0" t="n">
        <v>2</v>
      </c>
      <c r="C222" s="0" t="n">
        <v>6</v>
      </c>
      <c r="D222" s="0" t="n">
        <v>1</v>
      </c>
      <c r="E222" s="0" t="n">
        <f aca="false">-1+A222*0.25</f>
        <v>-1</v>
      </c>
      <c r="F222" s="0" t="n">
        <f aca="false">-1+B222*0.25</f>
        <v>-0.5</v>
      </c>
      <c r="G222" s="0" t="n">
        <f aca="false">-1+C222*0.25</f>
        <v>0.5</v>
      </c>
      <c r="H222" s="0" t="n">
        <f aca="false">-1+D222*0.25</f>
        <v>-0.75</v>
      </c>
      <c r="I222" s="0" t="n">
        <f aca="false">1</f>
        <v>1</v>
      </c>
      <c r="J222" s="0" t="n">
        <f aca="false">E222</f>
        <v>-1</v>
      </c>
      <c r="K222" s="0" t="n">
        <f aca="false">F222</f>
        <v>-0.5</v>
      </c>
      <c r="L222" s="0" t="n">
        <f aca="false">G222</f>
        <v>0.5</v>
      </c>
      <c r="M222" s="0" t="n">
        <f aca="false">H222</f>
        <v>-0.75</v>
      </c>
      <c r="N222" s="0" t="n">
        <f aca="false">E222*F222</f>
        <v>0.5</v>
      </c>
      <c r="O222" s="0" t="n">
        <f aca="false">E222*G222</f>
        <v>-0.5</v>
      </c>
      <c r="P222" s="0" t="n">
        <f aca="false">E222*H222</f>
        <v>0.75</v>
      </c>
      <c r="Q222" s="0" t="n">
        <f aca="false">F222*G222</f>
        <v>-0.25</v>
      </c>
      <c r="R222" s="0" t="n">
        <f aca="false">F222*H222</f>
        <v>0.375</v>
      </c>
      <c r="S222" s="0" t="n">
        <f aca="false">G222*H222</f>
        <v>-0.375</v>
      </c>
      <c r="T222" s="0" t="n">
        <f aca="false">E222*E222</f>
        <v>1</v>
      </c>
      <c r="U222" s="0" t="n">
        <f aca="false">F222*F222</f>
        <v>0.25</v>
      </c>
      <c r="V222" s="0" t="n">
        <f aca="false">G222*G222</f>
        <v>0.25</v>
      </c>
      <c r="W222" s="0" t="n">
        <f aca="false">H222*H222</f>
        <v>0.5625</v>
      </c>
      <c r="X222" s="0" t="n">
        <f aca="false">SUMPRODUCT(I222:W222,_XtX!$B$96:$P$96)</f>
        <v>42.1444261695907</v>
      </c>
      <c r="Y222" s="0" t="n">
        <f aca="false">SUMPRODUCT(MMULT(I222:W222,_XtX!$B$78:$P$92),I222:W222)</f>
        <v>0.42602110745614</v>
      </c>
      <c r="Z222" s="0" t="n">
        <f aca="false">04_回帰ANOVA!$K$19*04_回帰ANOVA!$K$14*SQRT(1+Y222)</f>
        <v>1.55654388501114</v>
      </c>
      <c r="AA222" s="0" t="n">
        <f aca="false">X222-Z222</f>
        <v>40.5878822845796</v>
      </c>
      <c r="AB222" s="0" t="n">
        <f aca="false">X222+Z222</f>
        <v>43.7009700546018</v>
      </c>
      <c r="AC222" s="54" t="b">
        <f aca="false">AND(E222&gt;=01_因子設定!$L$5-0.000000001,E222&lt;=01_因子設定!$M$5+0.000000001,F222&gt;=01_因子設定!$L$6-0.000000001,F222&lt;=01_因子設定!$M$6+0.000000001,G222&gt;=01_因子設定!$L$7-0.000000001,G222&lt;=01_因子設定!$M$7+0.000000001,H222&gt;=01_因子設定!$L$8-0.000000001,H222&lt;=01_因子設定!$M$8+0.000000001,IF(01_因子設定!$B$20="Box-Behnken",E222^2+F222^2+G222^2+H222^2&lt;=2+0.000000001,TRUE()))</f>
        <v>1</v>
      </c>
      <c r="AD222" s="55" t="n">
        <f aca="false">IF(AC222,IF(01_因子設定!$B$13="最大化",AA222-01_因子設定!$B$14,IF(01_因子設定!$B$13="最小化",01_因子設定!$B$15-AB222,MIN(AA222-01_因子設定!$B$14,01_因子設定!$B$15-AB222))),-1E+030)</f>
        <v>-5.91211771542044</v>
      </c>
      <c r="AE222" s="55" t="n">
        <f aca="false">IF(AC222,IF(01_因子設定!$B$13="最大化",X222,IF(01_因子設定!$B$13="最小化",-X222,-ABS(X222-01_因子設定!$B$16))),-1E+030)</f>
        <v>42.1444261695907</v>
      </c>
      <c r="AF222" s="55" t="n">
        <f aca="false">AD222+ROW()*0.000000001</f>
        <v>-5.91211749342044</v>
      </c>
      <c r="AG222" s="55" t="n">
        <f aca="false">AE222+ROW()*0.000000001</f>
        <v>42.1444263915907</v>
      </c>
    </row>
    <row r="223" customFormat="false" ht="15" hidden="false" customHeight="false" outlineLevel="0" collapsed="false">
      <c r="A223" s="0" t="n">
        <v>0</v>
      </c>
      <c r="B223" s="0" t="n">
        <v>2</v>
      </c>
      <c r="C223" s="0" t="n">
        <v>6</v>
      </c>
      <c r="D223" s="0" t="n">
        <v>2</v>
      </c>
      <c r="E223" s="0" t="n">
        <f aca="false">-1+A223*0.25</f>
        <v>-1</v>
      </c>
      <c r="F223" s="0" t="n">
        <f aca="false">-1+B223*0.25</f>
        <v>-0.5</v>
      </c>
      <c r="G223" s="0" t="n">
        <f aca="false">-1+C223*0.25</f>
        <v>0.5</v>
      </c>
      <c r="H223" s="0" t="n">
        <f aca="false">-1+D223*0.25</f>
        <v>-0.5</v>
      </c>
      <c r="I223" s="0" t="n">
        <f aca="false">1</f>
        <v>1</v>
      </c>
      <c r="J223" s="0" t="n">
        <f aca="false">E223</f>
        <v>-1</v>
      </c>
      <c r="K223" s="0" t="n">
        <f aca="false">F223</f>
        <v>-0.5</v>
      </c>
      <c r="L223" s="0" t="n">
        <f aca="false">G223</f>
        <v>0.5</v>
      </c>
      <c r="M223" s="0" t="n">
        <f aca="false">H223</f>
        <v>-0.5</v>
      </c>
      <c r="N223" s="0" t="n">
        <f aca="false">E223*F223</f>
        <v>0.5</v>
      </c>
      <c r="O223" s="0" t="n">
        <f aca="false">E223*G223</f>
        <v>-0.5</v>
      </c>
      <c r="P223" s="0" t="n">
        <f aca="false">E223*H223</f>
        <v>0.5</v>
      </c>
      <c r="Q223" s="0" t="n">
        <f aca="false">F223*G223</f>
        <v>-0.25</v>
      </c>
      <c r="R223" s="0" t="n">
        <f aca="false">F223*H223</f>
        <v>0.25</v>
      </c>
      <c r="S223" s="0" t="n">
        <f aca="false">G223*H223</f>
        <v>-0.25</v>
      </c>
      <c r="T223" s="0" t="n">
        <f aca="false">E223*E223</f>
        <v>1</v>
      </c>
      <c r="U223" s="0" t="n">
        <f aca="false">F223*F223</f>
        <v>0.25</v>
      </c>
      <c r="V223" s="0" t="n">
        <f aca="false">G223*G223</f>
        <v>0.25</v>
      </c>
      <c r="W223" s="0" t="n">
        <f aca="false">H223*H223</f>
        <v>0.25</v>
      </c>
      <c r="X223" s="0" t="n">
        <f aca="false">SUMPRODUCT(I223:W223,_XtX!$B$96:$P$96)</f>
        <v>42.3965826023392</v>
      </c>
      <c r="Y223" s="0" t="n">
        <f aca="false">SUMPRODUCT(MMULT(I223:W223,_XtX!$B$78:$P$92),I223:W223)</f>
        <v>0.404719480994152</v>
      </c>
      <c r="Z223" s="0" t="n">
        <f aca="false">04_回帰ANOVA!$K$19*04_回帰ANOVA!$K$14*SQRT(1+Y223)</f>
        <v>1.54487446697867</v>
      </c>
      <c r="AA223" s="0" t="n">
        <f aca="false">X223-Z223</f>
        <v>40.8517081353605</v>
      </c>
      <c r="AB223" s="0" t="n">
        <f aca="false">X223+Z223</f>
        <v>43.9414570693179</v>
      </c>
      <c r="AC223" s="54" t="b">
        <f aca="false">AND(E223&gt;=01_因子設定!$L$5-0.000000001,E223&lt;=01_因子設定!$M$5+0.000000001,F223&gt;=01_因子設定!$L$6-0.000000001,F223&lt;=01_因子設定!$M$6+0.000000001,G223&gt;=01_因子設定!$L$7-0.000000001,G223&lt;=01_因子設定!$M$7+0.000000001,H223&gt;=01_因子設定!$L$8-0.000000001,H223&lt;=01_因子設定!$M$8+0.000000001,IF(01_因子設定!$B$20="Box-Behnken",E223^2+F223^2+G223^2+H223^2&lt;=2+0.000000001,TRUE()))</f>
        <v>1</v>
      </c>
      <c r="AD223" s="55" t="n">
        <f aca="false">IF(AC223,IF(01_因子設定!$B$13="最大化",AA223-01_因子設定!$B$14,IF(01_因子設定!$B$13="最小化",01_因子設定!$B$15-AB223,MIN(AA223-01_因子設定!$B$14,01_因子設定!$B$15-AB223))),-1E+030)</f>
        <v>-5.64829186463946</v>
      </c>
      <c r="AE223" s="55" t="n">
        <f aca="false">IF(AC223,IF(01_因子設定!$B$13="最大化",X223,IF(01_因子設定!$B$13="最小化",-X223,-ABS(X223-01_因子設定!$B$16))),-1E+030)</f>
        <v>42.3965826023392</v>
      </c>
      <c r="AF223" s="55" t="n">
        <f aca="false">AD223+ROW()*0.000000001</f>
        <v>-5.64829164163946</v>
      </c>
      <c r="AG223" s="55" t="n">
        <f aca="false">AE223+ROW()*0.000000001</f>
        <v>42.3965828253392</v>
      </c>
    </row>
    <row r="224" customFormat="false" ht="15" hidden="false" customHeight="false" outlineLevel="0" collapsed="false">
      <c r="A224" s="0" t="n">
        <v>0</v>
      </c>
      <c r="B224" s="0" t="n">
        <v>2</v>
      </c>
      <c r="C224" s="0" t="n">
        <v>6</v>
      </c>
      <c r="D224" s="0" t="n">
        <v>3</v>
      </c>
      <c r="E224" s="0" t="n">
        <f aca="false">-1+A224*0.25</f>
        <v>-1</v>
      </c>
      <c r="F224" s="0" t="n">
        <f aca="false">-1+B224*0.25</f>
        <v>-0.5</v>
      </c>
      <c r="G224" s="0" t="n">
        <f aca="false">-1+C224*0.25</f>
        <v>0.5</v>
      </c>
      <c r="H224" s="0" t="n">
        <f aca="false">-1+D224*0.25</f>
        <v>-0.25</v>
      </c>
      <c r="I224" s="0" t="n">
        <f aca="false">1</f>
        <v>1</v>
      </c>
      <c r="J224" s="0" t="n">
        <f aca="false">E224</f>
        <v>-1</v>
      </c>
      <c r="K224" s="0" t="n">
        <f aca="false">F224</f>
        <v>-0.5</v>
      </c>
      <c r="L224" s="0" t="n">
        <f aca="false">G224</f>
        <v>0.5</v>
      </c>
      <c r="M224" s="0" t="n">
        <f aca="false">H224</f>
        <v>-0.25</v>
      </c>
      <c r="N224" s="0" t="n">
        <f aca="false">E224*F224</f>
        <v>0.5</v>
      </c>
      <c r="O224" s="0" t="n">
        <f aca="false">E224*G224</f>
        <v>-0.5</v>
      </c>
      <c r="P224" s="0" t="n">
        <f aca="false">E224*H224</f>
        <v>0.25</v>
      </c>
      <c r="Q224" s="0" t="n">
        <f aca="false">F224*G224</f>
        <v>-0.25</v>
      </c>
      <c r="R224" s="0" t="n">
        <f aca="false">F224*H224</f>
        <v>0.125</v>
      </c>
      <c r="S224" s="0" t="n">
        <f aca="false">G224*H224</f>
        <v>-0.125</v>
      </c>
      <c r="T224" s="0" t="n">
        <f aca="false">E224*E224</f>
        <v>1</v>
      </c>
      <c r="U224" s="0" t="n">
        <f aca="false">F224*F224</f>
        <v>0.25</v>
      </c>
      <c r="V224" s="0" t="n">
        <f aca="false">G224*G224</f>
        <v>0.25</v>
      </c>
      <c r="W224" s="0" t="n">
        <f aca="false">H224*H224</f>
        <v>0.0625</v>
      </c>
      <c r="X224" s="0" t="n">
        <f aca="false">SUMPRODUCT(I224:W224,_XtX!$B$96:$P$96)</f>
        <v>42.6009320175439</v>
      </c>
      <c r="Y224" s="0" t="n">
        <f aca="false">SUMPRODUCT(MMULT(I224:W224,_XtX!$B$78:$P$92),I224:W224)</f>
        <v>0.428122715643275</v>
      </c>
      <c r="Z224" s="0" t="n">
        <f aca="false">04_回帰ANOVA!$K$19*04_回帰ANOVA!$K$14*SQRT(1+Y224)</f>
        <v>1.55769044623229</v>
      </c>
      <c r="AA224" s="0" t="n">
        <f aca="false">X224-Z224</f>
        <v>41.0432415713116</v>
      </c>
      <c r="AB224" s="0" t="n">
        <f aca="false">X224+Z224</f>
        <v>44.1586224637762</v>
      </c>
      <c r="AC224" s="54" t="b">
        <f aca="false">AND(E224&gt;=01_因子設定!$L$5-0.000000001,E224&lt;=01_因子設定!$M$5+0.000000001,F224&gt;=01_因子設定!$L$6-0.000000001,F224&lt;=01_因子設定!$M$6+0.000000001,G224&gt;=01_因子設定!$L$7-0.000000001,G224&lt;=01_因子設定!$M$7+0.000000001,H224&gt;=01_因子設定!$L$8-0.000000001,H224&lt;=01_因子設定!$M$8+0.000000001,IF(01_因子設定!$B$20="Box-Behnken",E224^2+F224^2+G224^2+H224^2&lt;=2+0.000000001,TRUE()))</f>
        <v>1</v>
      </c>
      <c r="AD224" s="55" t="n">
        <f aca="false">IF(AC224,IF(01_因子設定!$B$13="最大化",AA224-01_因子設定!$B$14,IF(01_因子設定!$B$13="最小化",01_因子設定!$B$15-AB224,MIN(AA224-01_因子設定!$B$14,01_因子設定!$B$15-AB224))),-1E+030)</f>
        <v>-5.4567584286884</v>
      </c>
      <c r="AE224" s="55" t="n">
        <f aca="false">IF(AC224,IF(01_因子設定!$B$13="最大化",X224,IF(01_因子設定!$B$13="最小化",-X224,-ABS(X224-01_因子設定!$B$16))),-1E+030)</f>
        <v>42.6009320175439</v>
      </c>
      <c r="AF224" s="55" t="n">
        <f aca="false">AD224+ROW()*0.000000001</f>
        <v>-5.4567582046884</v>
      </c>
      <c r="AG224" s="55" t="n">
        <f aca="false">AE224+ROW()*0.000000001</f>
        <v>42.6009322415439</v>
      </c>
    </row>
    <row r="225" customFormat="false" ht="15" hidden="false" customHeight="false" outlineLevel="0" collapsed="false">
      <c r="A225" s="0" t="n">
        <v>0</v>
      </c>
      <c r="B225" s="0" t="n">
        <v>2</v>
      </c>
      <c r="C225" s="0" t="n">
        <v>6</v>
      </c>
      <c r="D225" s="0" t="n">
        <v>4</v>
      </c>
      <c r="E225" s="0" t="n">
        <f aca="false">-1+A225*0.25</f>
        <v>-1</v>
      </c>
      <c r="F225" s="0" t="n">
        <f aca="false">-1+B225*0.25</f>
        <v>-0.5</v>
      </c>
      <c r="G225" s="0" t="n">
        <f aca="false">-1+C225*0.25</f>
        <v>0.5</v>
      </c>
      <c r="H225" s="0" t="n">
        <f aca="false">-1+D225*0.25</f>
        <v>0</v>
      </c>
      <c r="I225" s="0" t="n">
        <f aca="false">1</f>
        <v>1</v>
      </c>
      <c r="J225" s="0" t="n">
        <f aca="false">E225</f>
        <v>-1</v>
      </c>
      <c r="K225" s="0" t="n">
        <f aca="false">F225</f>
        <v>-0.5</v>
      </c>
      <c r="L225" s="0" t="n">
        <f aca="false">G225</f>
        <v>0.5</v>
      </c>
      <c r="M225" s="0" t="n">
        <f aca="false">H225</f>
        <v>0</v>
      </c>
      <c r="N225" s="0" t="n">
        <f aca="false">E225*F225</f>
        <v>0.5</v>
      </c>
      <c r="O225" s="0" t="n">
        <f aca="false">E225*G225</f>
        <v>-0.5</v>
      </c>
      <c r="P225" s="0" t="n">
        <f aca="false">E225*H225</f>
        <v>-0</v>
      </c>
      <c r="Q225" s="0" t="n">
        <f aca="false">F225*G225</f>
        <v>-0.25</v>
      </c>
      <c r="R225" s="0" t="n">
        <f aca="false">F225*H225</f>
        <v>-0</v>
      </c>
      <c r="S225" s="0" t="n">
        <f aca="false">G225*H225</f>
        <v>0</v>
      </c>
      <c r="T225" s="0" t="n">
        <f aca="false">E225*E225</f>
        <v>1</v>
      </c>
      <c r="U225" s="0" t="n">
        <f aca="false">F225*F225</f>
        <v>0.25</v>
      </c>
      <c r="V225" s="0" t="n">
        <f aca="false">G225*G225</f>
        <v>0.25</v>
      </c>
      <c r="W225" s="0" t="n">
        <f aca="false">H225*H225</f>
        <v>0</v>
      </c>
      <c r="X225" s="0" t="n">
        <f aca="false">SUMPRODUCT(I225:W225,_XtX!$B$96:$P$96)</f>
        <v>42.7574744152047</v>
      </c>
      <c r="Y225" s="0" t="n">
        <f aca="false">SUMPRODUCT(MMULT(I225:W225,_XtX!$B$78:$P$92),I225:W225)</f>
        <v>0.441954495614035</v>
      </c>
      <c r="Z225" s="0" t="n">
        <f aca="false">04_回帰ANOVA!$K$19*04_回帰ANOVA!$K$14*SQRT(1+Y225)</f>
        <v>1.56521560968066</v>
      </c>
      <c r="AA225" s="0" t="n">
        <f aca="false">X225-Z225</f>
        <v>41.192258805524</v>
      </c>
      <c r="AB225" s="0" t="n">
        <f aca="false">X225+Z225</f>
        <v>44.3226900248854</v>
      </c>
      <c r="AC225" s="54" t="b">
        <f aca="false">AND(E225&gt;=01_因子設定!$L$5-0.000000001,E225&lt;=01_因子設定!$M$5+0.000000001,F225&gt;=01_因子設定!$L$6-0.000000001,F225&lt;=01_因子設定!$M$6+0.000000001,G225&gt;=01_因子設定!$L$7-0.000000001,G225&lt;=01_因子設定!$M$7+0.000000001,H225&gt;=01_因子設定!$L$8-0.000000001,H225&lt;=01_因子設定!$M$8+0.000000001,IF(01_因子設定!$B$20="Box-Behnken",E225^2+F225^2+G225^2+H225^2&lt;=2+0.000000001,TRUE()))</f>
        <v>1</v>
      </c>
      <c r="AD225" s="55" t="n">
        <f aca="false">IF(AC225,IF(01_因子設定!$B$13="最大化",AA225-01_因子設定!$B$14,IF(01_因子設定!$B$13="最小化",01_因子設定!$B$15-AB225,MIN(AA225-01_因子設定!$B$14,01_因子設定!$B$15-AB225))),-1E+030)</f>
        <v>-5.30774119447596</v>
      </c>
      <c r="AE225" s="55" t="n">
        <f aca="false">IF(AC225,IF(01_因子設定!$B$13="最大化",X225,IF(01_因子設定!$B$13="最小化",-X225,-ABS(X225-01_因子設定!$B$16))),-1E+030)</f>
        <v>42.7574744152047</v>
      </c>
      <c r="AF225" s="55" t="n">
        <f aca="false">AD225+ROW()*0.000000001</f>
        <v>-5.30774096947596</v>
      </c>
      <c r="AG225" s="55" t="n">
        <f aca="false">AE225+ROW()*0.000000001</f>
        <v>42.7574746402047</v>
      </c>
    </row>
    <row r="226" customFormat="false" ht="15" hidden="false" customHeight="false" outlineLevel="0" collapsed="false">
      <c r="A226" s="0" t="n">
        <v>0</v>
      </c>
      <c r="B226" s="0" t="n">
        <v>2</v>
      </c>
      <c r="C226" s="0" t="n">
        <v>6</v>
      </c>
      <c r="D226" s="0" t="n">
        <v>5</v>
      </c>
      <c r="E226" s="0" t="n">
        <f aca="false">-1+A226*0.25</f>
        <v>-1</v>
      </c>
      <c r="F226" s="0" t="n">
        <f aca="false">-1+B226*0.25</f>
        <v>-0.5</v>
      </c>
      <c r="G226" s="0" t="n">
        <f aca="false">-1+C226*0.25</f>
        <v>0.5</v>
      </c>
      <c r="H226" s="0" t="n">
        <f aca="false">-1+D226*0.25</f>
        <v>0.25</v>
      </c>
      <c r="I226" s="0" t="n">
        <f aca="false">1</f>
        <v>1</v>
      </c>
      <c r="J226" s="0" t="n">
        <f aca="false">E226</f>
        <v>-1</v>
      </c>
      <c r="K226" s="0" t="n">
        <f aca="false">F226</f>
        <v>-0.5</v>
      </c>
      <c r="L226" s="0" t="n">
        <f aca="false">G226</f>
        <v>0.5</v>
      </c>
      <c r="M226" s="0" t="n">
        <f aca="false">H226</f>
        <v>0.25</v>
      </c>
      <c r="N226" s="0" t="n">
        <f aca="false">E226*F226</f>
        <v>0.5</v>
      </c>
      <c r="O226" s="0" t="n">
        <f aca="false">E226*G226</f>
        <v>-0.5</v>
      </c>
      <c r="P226" s="0" t="n">
        <f aca="false">E226*H226</f>
        <v>-0.25</v>
      </c>
      <c r="Q226" s="0" t="n">
        <f aca="false">F226*G226</f>
        <v>-0.25</v>
      </c>
      <c r="R226" s="0" t="n">
        <f aca="false">F226*H226</f>
        <v>-0.125</v>
      </c>
      <c r="S226" s="0" t="n">
        <f aca="false">G226*H226</f>
        <v>0.125</v>
      </c>
      <c r="T226" s="0" t="n">
        <f aca="false">E226*E226</f>
        <v>1</v>
      </c>
      <c r="U226" s="0" t="n">
        <f aca="false">F226*F226</f>
        <v>0.25</v>
      </c>
      <c r="V226" s="0" t="n">
        <f aca="false">G226*G226</f>
        <v>0.25</v>
      </c>
      <c r="W226" s="0" t="n">
        <f aca="false">H226*H226</f>
        <v>0.0625</v>
      </c>
      <c r="X226" s="0" t="n">
        <f aca="false">SUMPRODUCT(I226:W226,_XtX!$B$96:$P$96)</f>
        <v>42.8662097953217</v>
      </c>
      <c r="Y226" s="0" t="n">
        <f aca="false">SUMPRODUCT(MMULT(I226:W226,_XtX!$B$78:$P$92),I226:W226)</f>
        <v>0.428122715643275</v>
      </c>
      <c r="Z226" s="0" t="n">
        <f aca="false">04_回帰ANOVA!$K$19*04_回帰ANOVA!$K$14*SQRT(1+Y226)</f>
        <v>1.55769044623229</v>
      </c>
      <c r="AA226" s="0" t="n">
        <f aca="false">X226-Z226</f>
        <v>41.3085193490894</v>
      </c>
      <c r="AB226" s="0" t="n">
        <f aca="false">X226+Z226</f>
        <v>44.423900241554</v>
      </c>
      <c r="AC226" s="54" t="b">
        <f aca="false">AND(E226&gt;=01_因子設定!$L$5-0.000000001,E226&lt;=01_因子設定!$M$5+0.000000001,F226&gt;=01_因子設定!$L$6-0.000000001,F226&lt;=01_因子設定!$M$6+0.000000001,G226&gt;=01_因子設定!$L$7-0.000000001,G226&lt;=01_因子設定!$M$7+0.000000001,H226&gt;=01_因子設定!$L$8-0.000000001,H226&lt;=01_因子設定!$M$8+0.000000001,IF(01_因子設定!$B$20="Box-Behnken",E226^2+F226^2+G226^2+H226^2&lt;=2+0.000000001,TRUE()))</f>
        <v>1</v>
      </c>
      <c r="AD226" s="55" t="n">
        <f aca="false">IF(AC226,IF(01_因子設定!$B$13="最大化",AA226-01_因子設定!$B$14,IF(01_因子設定!$B$13="最小化",01_因子設定!$B$15-AB226,MIN(AA226-01_因子設定!$B$14,01_因子設定!$B$15-AB226))),-1E+030)</f>
        <v>-5.19148065091063</v>
      </c>
      <c r="AE226" s="55" t="n">
        <f aca="false">IF(AC226,IF(01_因子設定!$B$13="最大化",X226,IF(01_因子設定!$B$13="最小化",-X226,-ABS(X226-01_因子設定!$B$16))),-1E+030)</f>
        <v>42.8662097953217</v>
      </c>
      <c r="AF226" s="55" t="n">
        <f aca="false">AD226+ROW()*0.000000001</f>
        <v>-5.19148042491063</v>
      </c>
      <c r="AG226" s="55" t="n">
        <f aca="false">AE226+ROW()*0.000000001</f>
        <v>42.8662100213217</v>
      </c>
    </row>
    <row r="227" customFormat="false" ht="15" hidden="false" customHeight="false" outlineLevel="0" collapsed="false">
      <c r="A227" s="0" t="n">
        <v>0</v>
      </c>
      <c r="B227" s="0" t="n">
        <v>2</v>
      </c>
      <c r="C227" s="0" t="n">
        <v>6</v>
      </c>
      <c r="D227" s="0" t="n">
        <v>6</v>
      </c>
      <c r="E227" s="0" t="n">
        <f aca="false">-1+A227*0.25</f>
        <v>-1</v>
      </c>
      <c r="F227" s="0" t="n">
        <f aca="false">-1+B227*0.25</f>
        <v>-0.5</v>
      </c>
      <c r="G227" s="0" t="n">
        <f aca="false">-1+C227*0.25</f>
        <v>0.5</v>
      </c>
      <c r="H227" s="0" t="n">
        <f aca="false">-1+D227*0.25</f>
        <v>0.5</v>
      </c>
      <c r="I227" s="0" t="n">
        <f aca="false">1</f>
        <v>1</v>
      </c>
      <c r="J227" s="0" t="n">
        <f aca="false">E227</f>
        <v>-1</v>
      </c>
      <c r="K227" s="0" t="n">
        <f aca="false">F227</f>
        <v>-0.5</v>
      </c>
      <c r="L227" s="0" t="n">
        <f aca="false">G227</f>
        <v>0.5</v>
      </c>
      <c r="M227" s="0" t="n">
        <f aca="false">H227</f>
        <v>0.5</v>
      </c>
      <c r="N227" s="0" t="n">
        <f aca="false">E227*F227</f>
        <v>0.5</v>
      </c>
      <c r="O227" s="0" t="n">
        <f aca="false">E227*G227</f>
        <v>-0.5</v>
      </c>
      <c r="P227" s="0" t="n">
        <f aca="false">E227*H227</f>
        <v>-0.5</v>
      </c>
      <c r="Q227" s="0" t="n">
        <f aca="false">F227*G227</f>
        <v>-0.25</v>
      </c>
      <c r="R227" s="0" t="n">
        <f aca="false">F227*H227</f>
        <v>-0.25</v>
      </c>
      <c r="S227" s="0" t="n">
        <f aca="false">G227*H227</f>
        <v>0.25</v>
      </c>
      <c r="T227" s="0" t="n">
        <f aca="false">E227*E227</f>
        <v>1</v>
      </c>
      <c r="U227" s="0" t="n">
        <f aca="false">F227*F227</f>
        <v>0.25</v>
      </c>
      <c r="V227" s="0" t="n">
        <f aca="false">G227*G227</f>
        <v>0.25</v>
      </c>
      <c r="W227" s="0" t="n">
        <f aca="false">H227*H227</f>
        <v>0.25</v>
      </c>
      <c r="X227" s="0" t="n">
        <f aca="false">SUMPRODUCT(I227:W227,_XtX!$B$96:$P$96)</f>
        <v>42.9271381578948</v>
      </c>
      <c r="Y227" s="0" t="n">
        <f aca="false">SUMPRODUCT(MMULT(I227:W227,_XtX!$B$78:$P$92),I227:W227)</f>
        <v>0.404719480994152</v>
      </c>
      <c r="Z227" s="0" t="n">
        <f aca="false">04_回帰ANOVA!$K$19*04_回帰ANOVA!$K$14*SQRT(1+Y227)</f>
        <v>1.54487446697867</v>
      </c>
      <c r="AA227" s="0" t="n">
        <f aca="false">X227-Z227</f>
        <v>41.3822636909161</v>
      </c>
      <c r="AB227" s="0" t="n">
        <f aca="false">X227+Z227</f>
        <v>44.4720126248735</v>
      </c>
      <c r="AC227" s="54" t="b">
        <f aca="false">AND(E227&gt;=01_因子設定!$L$5-0.000000001,E227&lt;=01_因子設定!$M$5+0.000000001,F227&gt;=01_因子設定!$L$6-0.000000001,F227&lt;=01_因子設定!$M$6+0.000000001,G227&gt;=01_因子設定!$L$7-0.000000001,G227&lt;=01_因子設定!$M$7+0.000000001,H227&gt;=01_因子設定!$L$8-0.000000001,H227&lt;=01_因子設定!$M$8+0.000000001,IF(01_因子設定!$B$20="Box-Behnken",E227^2+F227^2+G227^2+H227^2&lt;=2+0.000000001,TRUE()))</f>
        <v>1</v>
      </c>
      <c r="AD227" s="55" t="n">
        <f aca="false">IF(AC227,IF(01_因子設定!$B$13="最大化",AA227-01_因子設定!$B$14,IF(01_因子設定!$B$13="最小化",01_因子設定!$B$15-AB227,MIN(AA227-01_因子設定!$B$14,01_因子設定!$B$15-AB227))),-1E+030)</f>
        <v>-5.1177363090839</v>
      </c>
      <c r="AE227" s="55" t="n">
        <f aca="false">IF(AC227,IF(01_因子設定!$B$13="最大化",X227,IF(01_因子設定!$B$13="最小化",-X227,-ABS(X227-01_因子設定!$B$16))),-1E+030)</f>
        <v>42.9271381578948</v>
      </c>
      <c r="AF227" s="55" t="n">
        <f aca="false">AD227+ROW()*0.000000001</f>
        <v>-5.1177360820839</v>
      </c>
      <c r="AG227" s="55" t="n">
        <f aca="false">AE227+ROW()*0.000000001</f>
        <v>42.9271383848948</v>
      </c>
    </row>
    <row r="228" customFormat="false" ht="15" hidden="false" customHeight="false" outlineLevel="0" collapsed="false">
      <c r="A228" s="0" t="n">
        <v>0</v>
      </c>
      <c r="B228" s="0" t="n">
        <v>2</v>
      </c>
      <c r="C228" s="0" t="n">
        <v>6</v>
      </c>
      <c r="D228" s="0" t="n">
        <v>7</v>
      </c>
      <c r="E228" s="0" t="n">
        <f aca="false">-1+A228*0.25</f>
        <v>-1</v>
      </c>
      <c r="F228" s="0" t="n">
        <f aca="false">-1+B228*0.25</f>
        <v>-0.5</v>
      </c>
      <c r="G228" s="0" t="n">
        <f aca="false">-1+C228*0.25</f>
        <v>0.5</v>
      </c>
      <c r="H228" s="0" t="n">
        <f aca="false">-1+D228*0.25</f>
        <v>0.75</v>
      </c>
      <c r="I228" s="0" t="n">
        <f aca="false">1</f>
        <v>1</v>
      </c>
      <c r="J228" s="0" t="n">
        <f aca="false">E228</f>
        <v>-1</v>
      </c>
      <c r="K228" s="0" t="n">
        <f aca="false">F228</f>
        <v>-0.5</v>
      </c>
      <c r="L228" s="0" t="n">
        <f aca="false">G228</f>
        <v>0.5</v>
      </c>
      <c r="M228" s="0" t="n">
        <f aca="false">H228</f>
        <v>0.75</v>
      </c>
      <c r="N228" s="0" t="n">
        <f aca="false">E228*F228</f>
        <v>0.5</v>
      </c>
      <c r="O228" s="0" t="n">
        <f aca="false">E228*G228</f>
        <v>-0.5</v>
      </c>
      <c r="P228" s="0" t="n">
        <f aca="false">E228*H228</f>
        <v>-0.75</v>
      </c>
      <c r="Q228" s="0" t="n">
        <f aca="false">F228*G228</f>
        <v>-0.25</v>
      </c>
      <c r="R228" s="0" t="n">
        <f aca="false">F228*H228</f>
        <v>-0.375</v>
      </c>
      <c r="S228" s="0" t="n">
        <f aca="false">G228*H228</f>
        <v>0.375</v>
      </c>
      <c r="T228" s="0" t="n">
        <f aca="false">E228*E228</f>
        <v>1</v>
      </c>
      <c r="U228" s="0" t="n">
        <f aca="false">F228*F228</f>
        <v>0.25</v>
      </c>
      <c r="V228" s="0" t="n">
        <f aca="false">G228*G228</f>
        <v>0.25</v>
      </c>
      <c r="W228" s="0" t="n">
        <f aca="false">H228*H228</f>
        <v>0.5625</v>
      </c>
      <c r="X228" s="0" t="n">
        <f aca="false">SUMPRODUCT(I228:W228,_XtX!$B$96:$P$96)</f>
        <v>42.940259502924</v>
      </c>
      <c r="Y228" s="0" t="n">
        <f aca="false">SUMPRODUCT(MMULT(I228:W228,_XtX!$B$78:$P$92),I228:W228)</f>
        <v>0.42602110745614</v>
      </c>
      <c r="Z228" s="0" t="n">
        <f aca="false">04_回帰ANOVA!$K$19*04_回帰ANOVA!$K$14*SQRT(1+Y228)</f>
        <v>1.55654388501114</v>
      </c>
      <c r="AA228" s="0" t="n">
        <f aca="false">X228-Z228</f>
        <v>41.3837156179129</v>
      </c>
      <c r="AB228" s="0" t="n">
        <f aca="false">X228+Z228</f>
        <v>44.4968033879352</v>
      </c>
      <c r="AC228" s="54" t="b">
        <f aca="false">AND(E228&gt;=01_因子設定!$L$5-0.000000001,E228&lt;=01_因子設定!$M$5+0.000000001,F228&gt;=01_因子設定!$L$6-0.000000001,F228&lt;=01_因子設定!$M$6+0.000000001,G228&gt;=01_因子設定!$L$7-0.000000001,G228&lt;=01_因子設定!$M$7+0.000000001,H228&gt;=01_因子設定!$L$8-0.000000001,H228&lt;=01_因子設定!$M$8+0.000000001,IF(01_因子設定!$B$20="Box-Behnken",E228^2+F228^2+G228^2+H228^2&lt;=2+0.000000001,TRUE()))</f>
        <v>1</v>
      </c>
      <c r="AD228" s="55" t="n">
        <f aca="false">IF(AC228,IF(01_因子設定!$B$13="最大化",AA228-01_因子設定!$B$14,IF(01_因子設定!$B$13="最小化",01_因子設定!$B$15-AB228,MIN(AA228-01_因子設定!$B$14,01_因子設定!$B$15-AB228))),-1E+030)</f>
        <v>-5.11628438208712</v>
      </c>
      <c r="AE228" s="55" t="n">
        <f aca="false">IF(AC228,IF(01_因子設定!$B$13="最大化",X228,IF(01_因子設定!$B$13="最小化",-X228,-ABS(X228-01_因子設定!$B$16))),-1E+030)</f>
        <v>42.940259502924</v>
      </c>
      <c r="AF228" s="55" t="n">
        <f aca="false">AD228+ROW()*0.000000001</f>
        <v>-5.11628415408712</v>
      </c>
      <c r="AG228" s="55" t="n">
        <f aca="false">AE228+ROW()*0.000000001</f>
        <v>42.940259730924</v>
      </c>
    </row>
    <row r="229" customFormat="false" ht="15" hidden="false" customHeight="false" outlineLevel="0" collapsed="false">
      <c r="A229" s="0" t="n">
        <v>0</v>
      </c>
      <c r="B229" s="0" t="n">
        <v>2</v>
      </c>
      <c r="C229" s="0" t="n">
        <v>6</v>
      </c>
      <c r="D229" s="0" t="n">
        <v>8</v>
      </c>
      <c r="E229" s="0" t="n">
        <f aca="false">-1+A229*0.25</f>
        <v>-1</v>
      </c>
      <c r="F229" s="0" t="n">
        <f aca="false">-1+B229*0.25</f>
        <v>-0.5</v>
      </c>
      <c r="G229" s="0" t="n">
        <f aca="false">-1+C229*0.25</f>
        <v>0.5</v>
      </c>
      <c r="H229" s="0" t="n">
        <f aca="false">-1+D229*0.25</f>
        <v>1</v>
      </c>
      <c r="I229" s="0" t="n">
        <f aca="false">1</f>
        <v>1</v>
      </c>
      <c r="J229" s="0" t="n">
        <f aca="false">E229</f>
        <v>-1</v>
      </c>
      <c r="K229" s="0" t="n">
        <f aca="false">F229</f>
        <v>-0.5</v>
      </c>
      <c r="L229" s="0" t="n">
        <f aca="false">G229</f>
        <v>0.5</v>
      </c>
      <c r="M229" s="0" t="n">
        <f aca="false">H229</f>
        <v>1</v>
      </c>
      <c r="N229" s="0" t="n">
        <f aca="false">E229*F229</f>
        <v>0.5</v>
      </c>
      <c r="O229" s="0" t="n">
        <f aca="false">E229*G229</f>
        <v>-0.5</v>
      </c>
      <c r="P229" s="0" t="n">
        <f aca="false">E229*H229</f>
        <v>-1</v>
      </c>
      <c r="Q229" s="0" t="n">
        <f aca="false">F229*G229</f>
        <v>-0.25</v>
      </c>
      <c r="R229" s="0" t="n">
        <f aca="false">F229*H229</f>
        <v>-0.5</v>
      </c>
      <c r="S229" s="0" t="n">
        <f aca="false">G229*H229</f>
        <v>0.5</v>
      </c>
      <c r="T229" s="0" t="n">
        <f aca="false">E229*E229</f>
        <v>1</v>
      </c>
      <c r="U229" s="0" t="n">
        <f aca="false">F229*F229</f>
        <v>0.25</v>
      </c>
      <c r="V229" s="0" t="n">
        <f aca="false">G229*G229</f>
        <v>0.25</v>
      </c>
      <c r="W229" s="0" t="n">
        <f aca="false">H229*H229</f>
        <v>1</v>
      </c>
      <c r="X229" s="0" t="n">
        <f aca="false">SUMPRODUCT(I229:W229,_XtX!$B$96:$P$96)</f>
        <v>42.9055738304094</v>
      </c>
      <c r="Y229" s="0" t="n">
        <f aca="false">SUMPRODUCT(MMULT(I229:W229,_XtX!$B$78:$P$92),I229:W229)</f>
        <v>0.582488121345029</v>
      </c>
      <c r="Z229" s="0" t="n">
        <f aca="false">04_回帰ANOVA!$K$19*04_回帰ANOVA!$K$14*SQRT(1+Y229)</f>
        <v>1.63971595338287</v>
      </c>
      <c r="AA229" s="0" t="n">
        <f aca="false">X229-Z229</f>
        <v>41.2658578770266</v>
      </c>
      <c r="AB229" s="0" t="n">
        <f aca="false">X229+Z229</f>
        <v>44.5452897837923</v>
      </c>
      <c r="AC229" s="54" t="b">
        <f aca="false">AND(E229&gt;=01_因子設定!$L$5-0.000000001,E229&lt;=01_因子設定!$M$5+0.000000001,F229&gt;=01_因子設定!$L$6-0.000000001,F229&lt;=01_因子設定!$M$6+0.000000001,G229&gt;=01_因子設定!$L$7-0.000000001,G229&lt;=01_因子設定!$M$7+0.000000001,H229&gt;=01_因子設定!$L$8-0.000000001,H229&lt;=01_因子設定!$M$8+0.000000001,IF(01_因子設定!$B$20="Box-Behnken",E229^2+F229^2+G229^2+H229^2&lt;=2+0.000000001,TRUE()))</f>
        <v>1</v>
      </c>
      <c r="AD229" s="55" t="n">
        <f aca="false">IF(AC229,IF(01_因子設定!$B$13="最大化",AA229-01_因子設定!$B$14,IF(01_因子設定!$B$13="最小化",01_因子設定!$B$15-AB229,MIN(AA229-01_因子設定!$B$14,01_因子設定!$B$15-AB229))),-1E+030)</f>
        <v>-5.23414212297345</v>
      </c>
      <c r="AE229" s="55" t="n">
        <f aca="false">IF(AC229,IF(01_因子設定!$B$13="最大化",X229,IF(01_因子設定!$B$13="最小化",-X229,-ABS(X229-01_因子設定!$B$16))),-1E+030)</f>
        <v>42.9055738304094</v>
      </c>
      <c r="AF229" s="55" t="n">
        <f aca="false">AD229+ROW()*0.000000001</f>
        <v>-5.23414189397345</v>
      </c>
      <c r="AG229" s="55" t="n">
        <f aca="false">AE229+ROW()*0.000000001</f>
        <v>42.9055740594094</v>
      </c>
    </row>
    <row r="230" customFormat="false" ht="15" hidden="false" customHeight="false" outlineLevel="0" collapsed="false">
      <c r="A230" s="0" t="n">
        <v>0</v>
      </c>
      <c r="B230" s="0" t="n">
        <v>2</v>
      </c>
      <c r="C230" s="0" t="n">
        <v>7</v>
      </c>
      <c r="D230" s="0" t="n">
        <v>0</v>
      </c>
      <c r="E230" s="0" t="n">
        <f aca="false">-1+A230*0.25</f>
        <v>-1</v>
      </c>
      <c r="F230" s="0" t="n">
        <f aca="false">-1+B230*0.25</f>
        <v>-0.5</v>
      </c>
      <c r="G230" s="0" t="n">
        <f aca="false">-1+C230*0.25</f>
        <v>0.75</v>
      </c>
      <c r="H230" s="0" t="n">
        <f aca="false">-1+D230*0.25</f>
        <v>-1</v>
      </c>
      <c r="I230" s="0" t="n">
        <f aca="false">1</f>
        <v>1</v>
      </c>
      <c r="J230" s="0" t="n">
        <f aca="false">E230</f>
        <v>-1</v>
      </c>
      <c r="K230" s="0" t="n">
        <f aca="false">F230</f>
        <v>-0.5</v>
      </c>
      <c r="L230" s="0" t="n">
        <f aca="false">G230</f>
        <v>0.75</v>
      </c>
      <c r="M230" s="0" t="n">
        <f aca="false">H230</f>
        <v>-1</v>
      </c>
      <c r="N230" s="0" t="n">
        <f aca="false">E230*F230</f>
        <v>0.5</v>
      </c>
      <c r="O230" s="0" t="n">
        <f aca="false">E230*G230</f>
        <v>-0.75</v>
      </c>
      <c r="P230" s="0" t="n">
        <f aca="false">E230*H230</f>
        <v>1</v>
      </c>
      <c r="Q230" s="0" t="n">
        <f aca="false">F230*G230</f>
        <v>-0.375</v>
      </c>
      <c r="R230" s="0" t="n">
        <f aca="false">F230*H230</f>
        <v>0.5</v>
      </c>
      <c r="S230" s="0" t="n">
        <f aca="false">G230*H230</f>
        <v>-0.75</v>
      </c>
      <c r="T230" s="0" t="n">
        <f aca="false">E230*E230</f>
        <v>1</v>
      </c>
      <c r="U230" s="0" t="n">
        <f aca="false">F230*F230</f>
        <v>0.25</v>
      </c>
      <c r="V230" s="0" t="n">
        <f aca="false">G230*G230</f>
        <v>0.5625</v>
      </c>
      <c r="W230" s="0" t="n">
        <f aca="false">H230*H230</f>
        <v>1</v>
      </c>
      <c r="X230" s="0" t="n">
        <f aca="false">SUMPRODUCT(I230:W230,_XtX!$B$96:$P$96)</f>
        <v>41.928591008772</v>
      </c>
      <c r="Y230" s="0" t="n">
        <f aca="false">SUMPRODUCT(MMULT(I230:W230,_XtX!$B$78:$P$92),I230:W230)</f>
        <v>0.564984237938597</v>
      </c>
      <c r="Z230" s="0" t="n">
        <f aca="false">04_回帰ANOVA!$K$19*04_回帰ANOVA!$K$14*SQRT(1+Y230)</f>
        <v>1.63062229734503</v>
      </c>
      <c r="AA230" s="0" t="n">
        <f aca="false">X230-Z230</f>
        <v>40.297968711427</v>
      </c>
      <c r="AB230" s="0" t="n">
        <f aca="false">X230+Z230</f>
        <v>43.559213306117</v>
      </c>
      <c r="AC230" s="54" t="b">
        <f aca="false">AND(E230&gt;=01_因子設定!$L$5-0.000000001,E230&lt;=01_因子設定!$M$5+0.000000001,F230&gt;=01_因子設定!$L$6-0.000000001,F230&lt;=01_因子設定!$M$6+0.000000001,G230&gt;=01_因子設定!$L$7-0.000000001,G230&lt;=01_因子設定!$M$7+0.000000001,H230&gt;=01_因子設定!$L$8-0.000000001,H230&lt;=01_因子設定!$M$8+0.000000001,IF(01_因子設定!$B$20="Box-Behnken",E230^2+F230^2+G230^2+H230^2&lt;=2+0.000000001,TRUE()))</f>
        <v>1</v>
      </c>
      <c r="AD230" s="55" t="n">
        <f aca="false">IF(AC230,IF(01_因子設定!$B$13="最大化",AA230-01_因子設定!$B$14,IF(01_因子設定!$B$13="最小化",01_因子設定!$B$15-AB230,MIN(AA230-01_因子設定!$B$14,01_因子設定!$B$15-AB230))),-1E+030)</f>
        <v>-6.20203128857304</v>
      </c>
      <c r="AE230" s="55" t="n">
        <f aca="false">IF(AC230,IF(01_因子設定!$B$13="最大化",X230,IF(01_因子設定!$B$13="最小化",-X230,-ABS(X230-01_因子設定!$B$16))),-1E+030)</f>
        <v>41.928591008772</v>
      </c>
      <c r="AF230" s="55" t="n">
        <f aca="false">AD230+ROW()*0.000000001</f>
        <v>-6.20203105857304</v>
      </c>
      <c r="AG230" s="55" t="n">
        <f aca="false">AE230+ROW()*0.000000001</f>
        <v>41.928591238772</v>
      </c>
    </row>
    <row r="231" customFormat="false" ht="15" hidden="false" customHeight="false" outlineLevel="0" collapsed="false">
      <c r="A231" s="0" t="n">
        <v>0</v>
      </c>
      <c r="B231" s="0" t="n">
        <v>2</v>
      </c>
      <c r="C231" s="0" t="n">
        <v>7</v>
      </c>
      <c r="D231" s="0" t="n">
        <v>1</v>
      </c>
      <c r="E231" s="0" t="n">
        <f aca="false">-1+A231*0.25</f>
        <v>-1</v>
      </c>
      <c r="F231" s="0" t="n">
        <f aca="false">-1+B231*0.25</f>
        <v>-0.5</v>
      </c>
      <c r="G231" s="0" t="n">
        <f aca="false">-1+C231*0.25</f>
        <v>0.75</v>
      </c>
      <c r="H231" s="0" t="n">
        <f aca="false">-1+D231*0.25</f>
        <v>-0.75</v>
      </c>
      <c r="I231" s="0" t="n">
        <f aca="false">1</f>
        <v>1</v>
      </c>
      <c r="J231" s="0" t="n">
        <f aca="false">E231</f>
        <v>-1</v>
      </c>
      <c r="K231" s="0" t="n">
        <f aca="false">F231</f>
        <v>-0.5</v>
      </c>
      <c r="L231" s="0" t="n">
        <f aca="false">G231</f>
        <v>0.75</v>
      </c>
      <c r="M231" s="0" t="n">
        <f aca="false">H231</f>
        <v>-0.75</v>
      </c>
      <c r="N231" s="0" t="n">
        <f aca="false">E231*F231</f>
        <v>0.5</v>
      </c>
      <c r="O231" s="0" t="n">
        <f aca="false">E231*G231</f>
        <v>-0.75</v>
      </c>
      <c r="P231" s="0" t="n">
        <f aca="false">E231*H231</f>
        <v>0.75</v>
      </c>
      <c r="Q231" s="0" t="n">
        <f aca="false">F231*G231</f>
        <v>-0.375</v>
      </c>
      <c r="R231" s="0" t="n">
        <f aca="false">F231*H231</f>
        <v>0.375</v>
      </c>
      <c r="S231" s="0" t="n">
        <f aca="false">G231*H231</f>
        <v>-0.5625</v>
      </c>
      <c r="T231" s="0" t="n">
        <f aca="false">E231*E231</f>
        <v>1</v>
      </c>
      <c r="U231" s="0" t="n">
        <f aca="false">F231*F231</f>
        <v>0.25</v>
      </c>
      <c r="V231" s="0" t="n">
        <f aca="false">G231*G231</f>
        <v>0.5625</v>
      </c>
      <c r="W231" s="0" t="n">
        <f aca="false">H231*H231</f>
        <v>0.5625</v>
      </c>
      <c r="X231" s="0" t="n">
        <f aca="false">SUMPRODUCT(I231:W231,_XtX!$B$96:$P$96)</f>
        <v>42.2465232090644</v>
      </c>
      <c r="Y231" s="0" t="n">
        <f aca="false">SUMPRODUCT(MMULT(I231:W231,_XtX!$B$78:$P$92),I231:W231)</f>
        <v>0.431153771472953</v>
      </c>
      <c r="Z231" s="0" t="n">
        <f aca="false">04_回帰ANOVA!$K$19*04_回帰ANOVA!$K$14*SQRT(1+Y231)</f>
        <v>1.55934259562563</v>
      </c>
      <c r="AA231" s="0" t="n">
        <f aca="false">X231-Z231</f>
        <v>40.6871806134388</v>
      </c>
      <c r="AB231" s="0" t="n">
        <f aca="false">X231+Z231</f>
        <v>43.80586580469</v>
      </c>
      <c r="AC231" s="54" t="b">
        <f aca="false">AND(E231&gt;=01_因子設定!$L$5-0.000000001,E231&lt;=01_因子設定!$M$5+0.000000001,F231&gt;=01_因子設定!$L$6-0.000000001,F231&lt;=01_因子設定!$M$6+0.000000001,G231&gt;=01_因子設定!$L$7-0.000000001,G231&lt;=01_因子設定!$M$7+0.000000001,H231&gt;=01_因子設定!$L$8-0.000000001,H231&lt;=01_因子設定!$M$8+0.000000001,IF(01_因子設定!$B$20="Box-Behnken",E231^2+F231^2+G231^2+H231^2&lt;=2+0.000000001,TRUE()))</f>
        <v>1</v>
      </c>
      <c r="AD231" s="55" t="n">
        <f aca="false">IF(AC231,IF(01_因子設定!$B$13="最大化",AA231-01_因子設定!$B$14,IF(01_因子設定!$B$13="最小化",01_因子設定!$B$15-AB231,MIN(AA231-01_因子設定!$B$14,01_因子設定!$B$15-AB231))),-1E+030)</f>
        <v>-5.81281938656125</v>
      </c>
      <c r="AE231" s="55" t="n">
        <f aca="false">IF(AC231,IF(01_因子設定!$B$13="最大化",X231,IF(01_因子設定!$B$13="最小化",-X231,-ABS(X231-01_因子設定!$B$16))),-1E+030)</f>
        <v>42.2465232090644</v>
      </c>
      <c r="AF231" s="55" t="n">
        <f aca="false">AD231+ROW()*0.000000001</f>
        <v>-5.81281915556125</v>
      </c>
      <c r="AG231" s="55" t="n">
        <f aca="false">AE231+ROW()*0.000000001</f>
        <v>42.2465234400644</v>
      </c>
    </row>
    <row r="232" customFormat="false" ht="15" hidden="false" customHeight="false" outlineLevel="0" collapsed="false">
      <c r="A232" s="0" t="n">
        <v>0</v>
      </c>
      <c r="B232" s="0" t="n">
        <v>2</v>
      </c>
      <c r="C232" s="0" t="n">
        <v>7</v>
      </c>
      <c r="D232" s="0" t="n">
        <v>2</v>
      </c>
      <c r="E232" s="0" t="n">
        <f aca="false">-1+A232*0.25</f>
        <v>-1</v>
      </c>
      <c r="F232" s="0" t="n">
        <f aca="false">-1+B232*0.25</f>
        <v>-0.5</v>
      </c>
      <c r="G232" s="0" t="n">
        <f aca="false">-1+C232*0.25</f>
        <v>0.75</v>
      </c>
      <c r="H232" s="0" t="n">
        <f aca="false">-1+D232*0.25</f>
        <v>-0.5</v>
      </c>
      <c r="I232" s="0" t="n">
        <f aca="false">1</f>
        <v>1</v>
      </c>
      <c r="J232" s="0" t="n">
        <f aca="false">E232</f>
        <v>-1</v>
      </c>
      <c r="K232" s="0" t="n">
        <f aca="false">F232</f>
        <v>-0.5</v>
      </c>
      <c r="L232" s="0" t="n">
        <f aca="false">G232</f>
        <v>0.75</v>
      </c>
      <c r="M232" s="0" t="n">
        <f aca="false">H232</f>
        <v>-0.5</v>
      </c>
      <c r="N232" s="0" t="n">
        <f aca="false">E232*F232</f>
        <v>0.5</v>
      </c>
      <c r="O232" s="0" t="n">
        <f aca="false">E232*G232</f>
        <v>-0.75</v>
      </c>
      <c r="P232" s="0" t="n">
        <f aca="false">E232*H232</f>
        <v>0.5</v>
      </c>
      <c r="Q232" s="0" t="n">
        <f aca="false">F232*G232</f>
        <v>-0.375</v>
      </c>
      <c r="R232" s="0" t="n">
        <f aca="false">F232*H232</f>
        <v>0.25</v>
      </c>
      <c r="S232" s="0" t="n">
        <f aca="false">G232*H232</f>
        <v>-0.375</v>
      </c>
      <c r="T232" s="0" t="n">
        <f aca="false">E232*E232</f>
        <v>1</v>
      </c>
      <c r="U232" s="0" t="n">
        <f aca="false">F232*F232</f>
        <v>0.25</v>
      </c>
      <c r="V232" s="0" t="n">
        <f aca="false">G232*G232</f>
        <v>0.5625</v>
      </c>
      <c r="W232" s="0" t="n">
        <f aca="false">H232*H232</f>
        <v>0.25</v>
      </c>
      <c r="X232" s="0" t="n">
        <f aca="false">SUMPRODUCT(I232:W232,_XtX!$B$96:$P$96)</f>
        <v>42.5166483918129</v>
      </c>
      <c r="Y232" s="0" t="n">
        <f aca="false">SUMPRODUCT(MMULT(I232:W232,_XtX!$B$78:$P$92),I232:W232)</f>
        <v>0.42602110745614</v>
      </c>
      <c r="Z232" s="0" t="n">
        <f aca="false">04_回帰ANOVA!$K$19*04_回帰ANOVA!$K$14*SQRT(1+Y232)</f>
        <v>1.55654388501114</v>
      </c>
      <c r="AA232" s="0" t="n">
        <f aca="false">X232-Z232</f>
        <v>40.9601045068018</v>
      </c>
      <c r="AB232" s="0" t="n">
        <f aca="false">X232+Z232</f>
        <v>44.073192276824</v>
      </c>
      <c r="AC232" s="54" t="b">
        <f aca="false">AND(E232&gt;=01_因子設定!$L$5-0.000000001,E232&lt;=01_因子設定!$M$5+0.000000001,F232&gt;=01_因子設定!$L$6-0.000000001,F232&lt;=01_因子設定!$M$6+0.000000001,G232&gt;=01_因子設定!$L$7-0.000000001,G232&lt;=01_因子設定!$M$7+0.000000001,H232&gt;=01_因子設定!$L$8-0.000000001,H232&lt;=01_因子設定!$M$8+0.000000001,IF(01_因子設定!$B$20="Box-Behnken",E232^2+F232^2+G232^2+H232^2&lt;=2+0.000000001,TRUE()))</f>
        <v>1</v>
      </c>
      <c r="AD232" s="55" t="n">
        <f aca="false">IF(AC232,IF(01_因子設定!$B$13="最大化",AA232-01_因子設定!$B$14,IF(01_因子設定!$B$13="最小化",01_因子設定!$B$15-AB232,MIN(AA232-01_因子設定!$B$14,01_因子設定!$B$15-AB232))),-1E+030)</f>
        <v>-5.53989549319823</v>
      </c>
      <c r="AE232" s="55" t="n">
        <f aca="false">IF(AC232,IF(01_因子設定!$B$13="最大化",X232,IF(01_因子設定!$B$13="最小化",-X232,-ABS(X232-01_因子設定!$B$16))),-1E+030)</f>
        <v>42.5166483918129</v>
      </c>
      <c r="AF232" s="55" t="n">
        <f aca="false">AD232+ROW()*0.000000001</f>
        <v>-5.53989526119823</v>
      </c>
      <c r="AG232" s="55" t="n">
        <f aca="false">AE232+ROW()*0.000000001</f>
        <v>42.5166486238129</v>
      </c>
    </row>
    <row r="233" customFormat="false" ht="15" hidden="false" customHeight="false" outlineLevel="0" collapsed="false">
      <c r="A233" s="0" t="n">
        <v>0</v>
      </c>
      <c r="B233" s="0" t="n">
        <v>2</v>
      </c>
      <c r="C233" s="0" t="n">
        <v>7</v>
      </c>
      <c r="D233" s="0" t="n">
        <v>3</v>
      </c>
      <c r="E233" s="0" t="n">
        <f aca="false">-1+A233*0.25</f>
        <v>-1</v>
      </c>
      <c r="F233" s="0" t="n">
        <f aca="false">-1+B233*0.25</f>
        <v>-0.5</v>
      </c>
      <c r="G233" s="0" t="n">
        <f aca="false">-1+C233*0.25</f>
        <v>0.75</v>
      </c>
      <c r="H233" s="0" t="n">
        <f aca="false">-1+D233*0.25</f>
        <v>-0.25</v>
      </c>
      <c r="I233" s="0" t="n">
        <f aca="false">1</f>
        <v>1</v>
      </c>
      <c r="J233" s="0" t="n">
        <f aca="false">E233</f>
        <v>-1</v>
      </c>
      <c r="K233" s="0" t="n">
        <f aca="false">F233</f>
        <v>-0.5</v>
      </c>
      <c r="L233" s="0" t="n">
        <f aca="false">G233</f>
        <v>0.75</v>
      </c>
      <c r="M233" s="0" t="n">
        <f aca="false">H233</f>
        <v>-0.25</v>
      </c>
      <c r="N233" s="0" t="n">
        <f aca="false">E233*F233</f>
        <v>0.5</v>
      </c>
      <c r="O233" s="0" t="n">
        <f aca="false">E233*G233</f>
        <v>-0.75</v>
      </c>
      <c r="P233" s="0" t="n">
        <f aca="false">E233*H233</f>
        <v>0.25</v>
      </c>
      <c r="Q233" s="0" t="n">
        <f aca="false">F233*G233</f>
        <v>-0.375</v>
      </c>
      <c r="R233" s="0" t="n">
        <f aca="false">F233*H233</f>
        <v>0.125</v>
      </c>
      <c r="S233" s="0" t="n">
        <f aca="false">G233*H233</f>
        <v>-0.1875</v>
      </c>
      <c r="T233" s="0" t="n">
        <f aca="false">E233*E233</f>
        <v>1</v>
      </c>
      <c r="U233" s="0" t="n">
        <f aca="false">F233*F233</f>
        <v>0.25</v>
      </c>
      <c r="V233" s="0" t="n">
        <f aca="false">G233*G233</f>
        <v>0.5625</v>
      </c>
      <c r="W233" s="0" t="n">
        <f aca="false">H233*H233</f>
        <v>0.0625</v>
      </c>
      <c r="X233" s="0" t="n">
        <f aca="false">SUMPRODUCT(I233:W233,_XtX!$B$96:$P$96)</f>
        <v>42.7389665570176</v>
      </c>
      <c r="Y233" s="0" t="n">
        <f aca="false">SUMPRODUCT(MMULT(I233:W233,_XtX!$B$78:$P$92),I233:W233)</f>
        <v>0.459125719572369</v>
      </c>
      <c r="Z233" s="0" t="n">
        <f aca="false">04_回帰ANOVA!$K$19*04_回帰ANOVA!$K$14*SQRT(1+Y233)</f>
        <v>1.57450755575573</v>
      </c>
      <c r="AA233" s="0" t="n">
        <f aca="false">X233-Z233</f>
        <v>41.1644590012619</v>
      </c>
      <c r="AB233" s="0" t="n">
        <f aca="false">X233+Z233</f>
        <v>44.3134741127733</v>
      </c>
      <c r="AC233" s="54" t="b">
        <f aca="false">AND(E233&gt;=01_因子設定!$L$5-0.000000001,E233&lt;=01_因子設定!$M$5+0.000000001,F233&gt;=01_因子設定!$L$6-0.000000001,F233&lt;=01_因子設定!$M$6+0.000000001,G233&gt;=01_因子設定!$L$7-0.000000001,G233&lt;=01_因子設定!$M$7+0.000000001,H233&gt;=01_因子設定!$L$8-0.000000001,H233&lt;=01_因子設定!$M$8+0.000000001,IF(01_因子設定!$B$20="Box-Behnken",E233^2+F233^2+G233^2+H233^2&lt;=2+0.000000001,TRUE()))</f>
        <v>1</v>
      </c>
      <c r="AD233" s="55" t="n">
        <f aca="false">IF(AC233,IF(01_因子設定!$B$13="最大化",AA233-01_因子設定!$B$14,IF(01_因子設定!$B$13="最小化",01_因子設定!$B$15-AB233,MIN(AA233-01_因子設定!$B$14,01_因子設定!$B$15-AB233))),-1E+030)</f>
        <v>-5.33554099873815</v>
      </c>
      <c r="AE233" s="55" t="n">
        <f aca="false">IF(AC233,IF(01_因子設定!$B$13="最大化",X233,IF(01_因子設定!$B$13="最小化",-X233,-ABS(X233-01_因子設定!$B$16))),-1E+030)</f>
        <v>42.7389665570176</v>
      </c>
      <c r="AF233" s="55" t="n">
        <f aca="false">AD233+ROW()*0.000000001</f>
        <v>-5.33554076573815</v>
      </c>
      <c r="AG233" s="55" t="n">
        <f aca="false">AE233+ROW()*0.000000001</f>
        <v>42.7389667900176</v>
      </c>
    </row>
    <row r="234" customFormat="false" ht="15" hidden="false" customHeight="false" outlineLevel="0" collapsed="false">
      <c r="A234" s="0" t="n">
        <v>0</v>
      </c>
      <c r="B234" s="0" t="n">
        <v>2</v>
      </c>
      <c r="C234" s="0" t="n">
        <v>7</v>
      </c>
      <c r="D234" s="0" t="n">
        <v>4</v>
      </c>
      <c r="E234" s="0" t="n">
        <f aca="false">-1+A234*0.25</f>
        <v>-1</v>
      </c>
      <c r="F234" s="0" t="n">
        <f aca="false">-1+B234*0.25</f>
        <v>-0.5</v>
      </c>
      <c r="G234" s="0" t="n">
        <f aca="false">-1+C234*0.25</f>
        <v>0.75</v>
      </c>
      <c r="H234" s="0" t="n">
        <f aca="false">-1+D234*0.25</f>
        <v>0</v>
      </c>
      <c r="I234" s="0" t="n">
        <f aca="false">1</f>
        <v>1</v>
      </c>
      <c r="J234" s="0" t="n">
        <f aca="false">E234</f>
        <v>-1</v>
      </c>
      <c r="K234" s="0" t="n">
        <f aca="false">F234</f>
        <v>-0.5</v>
      </c>
      <c r="L234" s="0" t="n">
        <f aca="false">G234</f>
        <v>0.75</v>
      </c>
      <c r="M234" s="0" t="n">
        <f aca="false">H234</f>
        <v>0</v>
      </c>
      <c r="N234" s="0" t="n">
        <f aca="false">E234*F234</f>
        <v>0.5</v>
      </c>
      <c r="O234" s="0" t="n">
        <f aca="false">E234*G234</f>
        <v>-0.75</v>
      </c>
      <c r="P234" s="0" t="n">
        <f aca="false">E234*H234</f>
        <v>-0</v>
      </c>
      <c r="Q234" s="0" t="n">
        <f aca="false">F234*G234</f>
        <v>-0.375</v>
      </c>
      <c r="R234" s="0" t="n">
        <f aca="false">F234*H234</f>
        <v>-0</v>
      </c>
      <c r="S234" s="0" t="n">
        <f aca="false">G234*H234</f>
        <v>0</v>
      </c>
      <c r="T234" s="0" t="n">
        <f aca="false">E234*E234</f>
        <v>1</v>
      </c>
      <c r="U234" s="0" t="n">
        <f aca="false">F234*F234</f>
        <v>0.25</v>
      </c>
      <c r="V234" s="0" t="n">
        <f aca="false">G234*G234</f>
        <v>0.5625</v>
      </c>
      <c r="W234" s="0" t="n">
        <f aca="false">H234*H234</f>
        <v>0</v>
      </c>
      <c r="X234" s="0" t="n">
        <f aca="false">SUMPRODUCT(I234:W234,_XtX!$B$96:$P$96)</f>
        <v>42.9134777046784</v>
      </c>
      <c r="Y234" s="0" t="n">
        <f aca="false">SUMPRODUCT(MMULT(I234:W234,_XtX!$B$78:$P$92),I234:W234)</f>
        <v>0.476191292032164</v>
      </c>
      <c r="Z234" s="0" t="n">
        <f aca="false">04_回帰ANOVA!$K$19*04_回帰ANOVA!$K$14*SQRT(1+Y234)</f>
        <v>1.58368831471718</v>
      </c>
      <c r="AA234" s="0" t="n">
        <f aca="false">X234-Z234</f>
        <v>41.3297893899612</v>
      </c>
      <c r="AB234" s="0" t="n">
        <f aca="false">X234+Z234</f>
        <v>44.4971660193956</v>
      </c>
      <c r="AC234" s="54" t="b">
        <f aca="false">AND(E234&gt;=01_因子設定!$L$5-0.000000001,E234&lt;=01_因子設定!$M$5+0.000000001,F234&gt;=01_因子設定!$L$6-0.000000001,F234&lt;=01_因子設定!$M$6+0.000000001,G234&gt;=01_因子設定!$L$7-0.000000001,G234&lt;=01_因子設定!$M$7+0.000000001,H234&gt;=01_因子設定!$L$8-0.000000001,H234&lt;=01_因子設定!$M$8+0.000000001,IF(01_因子設定!$B$20="Box-Behnken",E234^2+F234^2+G234^2+H234^2&lt;=2+0.000000001,TRUE()))</f>
        <v>1</v>
      </c>
      <c r="AD234" s="55" t="n">
        <f aca="false">IF(AC234,IF(01_因子設定!$B$13="最大化",AA234-01_因子設定!$B$14,IF(01_因子設定!$B$13="最小化",01_因子設定!$B$15-AB234,MIN(AA234-01_因子設定!$B$14,01_因子設定!$B$15-AB234))),-1E+030)</f>
        <v>-5.17021061003879</v>
      </c>
      <c r="AE234" s="55" t="n">
        <f aca="false">IF(AC234,IF(01_因子設定!$B$13="最大化",X234,IF(01_因子設定!$B$13="最小化",-X234,-ABS(X234-01_因子設定!$B$16))),-1E+030)</f>
        <v>42.9134777046784</v>
      </c>
      <c r="AF234" s="55" t="n">
        <f aca="false">AD234+ROW()*0.000000001</f>
        <v>-5.17021037603879</v>
      </c>
      <c r="AG234" s="55" t="n">
        <f aca="false">AE234+ROW()*0.000000001</f>
        <v>42.9134779386784</v>
      </c>
    </row>
    <row r="235" customFormat="false" ht="15" hidden="false" customHeight="false" outlineLevel="0" collapsed="false">
      <c r="A235" s="0" t="n">
        <v>0</v>
      </c>
      <c r="B235" s="0" t="n">
        <v>2</v>
      </c>
      <c r="C235" s="0" t="n">
        <v>7</v>
      </c>
      <c r="D235" s="0" t="n">
        <v>5</v>
      </c>
      <c r="E235" s="0" t="n">
        <f aca="false">-1+A235*0.25</f>
        <v>-1</v>
      </c>
      <c r="F235" s="0" t="n">
        <f aca="false">-1+B235*0.25</f>
        <v>-0.5</v>
      </c>
      <c r="G235" s="0" t="n">
        <f aca="false">-1+C235*0.25</f>
        <v>0.75</v>
      </c>
      <c r="H235" s="0" t="n">
        <f aca="false">-1+D235*0.25</f>
        <v>0.25</v>
      </c>
      <c r="I235" s="0" t="n">
        <f aca="false">1</f>
        <v>1</v>
      </c>
      <c r="J235" s="0" t="n">
        <f aca="false">E235</f>
        <v>-1</v>
      </c>
      <c r="K235" s="0" t="n">
        <f aca="false">F235</f>
        <v>-0.5</v>
      </c>
      <c r="L235" s="0" t="n">
        <f aca="false">G235</f>
        <v>0.75</v>
      </c>
      <c r="M235" s="0" t="n">
        <f aca="false">H235</f>
        <v>0.25</v>
      </c>
      <c r="N235" s="0" t="n">
        <f aca="false">E235*F235</f>
        <v>0.5</v>
      </c>
      <c r="O235" s="0" t="n">
        <f aca="false">E235*G235</f>
        <v>-0.75</v>
      </c>
      <c r="P235" s="0" t="n">
        <f aca="false">E235*H235</f>
        <v>-0.25</v>
      </c>
      <c r="Q235" s="0" t="n">
        <f aca="false">F235*G235</f>
        <v>-0.375</v>
      </c>
      <c r="R235" s="0" t="n">
        <f aca="false">F235*H235</f>
        <v>-0.125</v>
      </c>
      <c r="S235" s="0" t="n">
        <f aca="false">G235*H235</f>
        <v>0.1875</v>
      </c>
      <c r="T235" s="0" t="n">
        <f aca="false">E235*E235</f>
        <v>1</v>
      </c>
      <c r="U235" s="0" t="n">
        <f aca="false">F235*F235</f>
        <v>0.25</v>
      </c>
      <c r="V235" s="0" t="n">
        <f aca="false">G235*G235</f>
        <v>0.5625</v>
      </c>
      <c r="W235" s="0" t="n">
        <f aca="false">H235*H235</f>
        <v>0.0625</v>
      </c>
      <c r="X235" s="0" t="n">
        <f aca="false">SUMPRODUCT(I235:W235,_XtX!$B$96:$P$96)</f>
        <v>43.0401818347954</v>
      </c>
      <c r="Y235" s="0" t="n">
        <f aca="false">SUMPRODUCT(MMULT(I235:W235,_XtX!$B$78:$P$92),I235:W235)</f>
        <v>0.459125719572369</v>
      </c>
      <c r="Z235" s="0" t="n">
        <f aca="false">04_回帰ANOVA!$K$19*04_回帰ANOVA!$K$14*SQRT(1+Y235)</f>
        <v>1.57450755575573</v>
      </c>
      <c r="AA235" s="0" t="n">
        <f aca="false">X235-Z235</f>
        <v>41.4656742790396</v>
      </c>
      <c r="AB235" s="0" t="n">
        <f aca="false">X235+Z235</f>
        <v>44.6146893905511</v>
      </c>
      <c r="AC235" s="54" t="b">
        <f aca="false">AND(E235&gt;=01_因子設定!$L$5-0.000000001,E235&lt;=01_因子設定!$M$5+0.000000001,F235&gt;=01_因子設定!$L$6-0.000000001,F235&lt;=01_因子設定!$M$6+0.000000001,G235&gt;=01_因子設定!$L$7-0.000000001,G235&lt;=01_因子設定!$M$7+0.000000001,H235&gt;=01_因子設定!$L$8-0.000000001,H235&lt;=01_因子設定!$M$8+0.000000001,IF(01_因子設定!$B$20="Box-Behnken",E235^2+F235^2+G235^2+H235^2&lt;=2+0.000000001,TRUE()))</f>
        <v>1</v>
      </c>
      <c r="AD235" s="55" t="n">
        <f aca="false">IF(AC235,IF(01_因子設定!$B$13="最大化",AA235-01_因子設定!$B$14,IF(01_因子設定!$B$13="最小化",01_因子設定!$B$15-AB235,MIN(AA235-01_因子設定!$B$14,01_因子設定!$B$15-AB235))),-1E+030)</f>
        <v>-5.03432572096038</v>
      </c>
      <c r="AE235" s="55" t="n">
        <f aca="false">IF(AC235,IF(01_因子設定!$B$13="最大化",X235,IF(01_因子設定!$B$13="最小化",-X235,-ABS(X235-01_因子設定!$B$16))),-1E+030)</f>
        <v>43.0401818347954</v>
      </c>
      <c r="AF235" s="55" t="n">
        <f aca="false">AD235+ROW()*0.000000001</f>
        <v>-5.03432548596038</v>
      </c>
      <c r="AG235" s="55" t="n">
        <f aca="false">AE235+ROW()*0.000000001</f>
        <v>43.0401820697954</v>
      </c>
    </row>
    <row r="236" customFormat="false" ht="15" hidden="false" customHeight="false" outlineLevel="0" collapsed="false">
      <c r="A236" s="0" t="n">
        <v>0</v>
      </c>
      <c r="B236" s="0" t="n">
        <v>2</v>
      </c>
      <c r="C236" s="0" t="n">
        <v>7</v>
      </c>
      <c r="D236" s="0" t="n">
        <v>6</v>
      </c>
      <c r="E236" s="0" t="n">
        <f aca="false">-1+A236*0.25</f>
        <v>-1</v>
      </c>
      <c r="F236" s="0" t="n">
        <f aca="false">-1+B236*0.25</f>
        <v>-0.5</v>
      </c>
      <c r="G236" s="0" t="n">
        <f aca="false">-1+C236*0.25</f>
        <v>0.75</v>
      </c>
      <c r="H236" s="0" t="n">
        <f aca="false">-1+D236*0.25</f>
        <v>0.5</v>
      </c>
      <c r="I236" s="0" t="n">
        <f aca="false">1</f>
        <v>1</v>
      </c>
      <c r="J236" s="0" t="n">
        <f aca="false">E236</f>
        <v>-1</v>
      </c>
      <c r="K236" s="0" t="n">
        <f aca="false">F236</f>
        <v>-0.5</v>
      </c>
      <c r="L236" s="0" t="n">
        <f aca="false">G236</f>
        <v>0.75</v>
      </c>
      <c r="M236" s="0" t="n">
        <f aca="false">H236</f>
        <v>0.5</v>
      </c>
      <c r="N236" s="0" t="n">
        <f aca="false">E236*F236</f>
        <v>0.5</v>
      </c>
      <c r="O236" s="0" t="n">
        <f aca="false">E236*G236</f>
        <v>-0.75</v>
      </c>
      <c r="P236" s="0" t="n">
        <f aca="false">E236*H236</f>
        <v>-0.5</v>
      </c>
      <c r="Q236" s="0" t="n">
        <f aca="false">F236*G236</f>
        <v>-0.375</v>
      </c>
      <c r="R236" s="0" t="n">
        <f aca="false">F236*H236</f>
        <v>-0.25</v>
      </c>
      <c r="S236" s="0" t="n">
        <f aca="false">G236*H236</f>
        <v>0.375</v>
      </c>
      <c r="T236" s="0" t="n">
        <f aca="false">E236*E236</f>
        <v>1</v>
      </c>
      <c r="U236" s="0" t="n">
        <f aca="false">F236*F236</f>
        <v>0.25</v>
      </c>
      <c r="V236" s="0" t="n">
        <f aca="false">G236*G236</f>
        <v>0.5625</v>
      </c>
      <c r="W236" s="0" t="n">
        <f aca="false">H236*H236</f>
        <v>0.25</v>
      </c>
      <c r="X236" s="0" t="n">
        <f aca="false">SUMPRODUCT(I236:W236,_XtX!$B$96:$P$96)</f>
        <v>43.1190789473685</v>
      </c>
      <c r="Y236" s="0" t="n">
        <f aca="false">SUMPRODUCT(MMULT(I236:W236,_XtX!$B$78:$P$92),I236:W236)</f>
        <v>0.42602110745614</v>
      </c>
      <c r="Z236" s="0" t="n">
        <f aca="false">04_回帰ANOVA!$K$19*04_回帰ANOVA!$K$14*SQRT(1+Y236)</f>
        <v>1.55654388501114</v>
      </c>
      <c r="AA236" s="0" t="n">
        <f aca="false">X236-Z236</f>
        <v>41.5625350623573</v>
      </c>
      <c r="AB236" s="0" t="n">
        <f aca="false">X236+Z236</f>
        <v>44.6756228323796</v>
      </c>
      <c r="AC236" s="54" t="b">
        <f aca="false">AND(E236&gt;=01_因子設定!$L$5-0.000000001,E236&lt;=01_因子設定!$M$5+0.000000001,F236&gt;=01_因子設定!$L$6-0.000000001,F236&lt;=01_因子設定!$M$6+0.000000001,G236&gt;=01_因子設定!$L$7-0.000000001,G236&lt;=01_因子設定!$M$7+0.000000001,H236&gt;=01_因子設定!$L$8-0.000000001,H236&lt;=01_因子設定!$M$8+0.000000001,IF(01_因子設定!$B$20="Box-Behnken",E236^2+F236^2+G236^2+H236^2&lt;=2+0.000000001,TRUE()))</f>
        <v>1</v>
      </c>
      <c r="AD236" s="55" t="n">
        <f aca="false">IF(AC236,IF(01_因子設定!$B$13="最大化",AA236-01_因子設定!$B$14,IF(01_因子設定!$B$13="最小化",01_因子設定!$B$15-AB236,MIN(AA236-01_因子設定!$B$14,01_因子設定!$B$15-AB236))),-1E+030)</f>
        <v>-4.93746493764268</v>
      </c>
      <c r="AE236" s="55" t="n">
        <f aca="false">IF(AC236,IF(01_因子設定!$B$13="最大化",X236,IF(01_因子設定!$B$13="最小化",-X236,-ABS(X236-01_因子設定!$B$16))),-1E+030)</f>
        <v>43.1190789473685</v>
      </c>
      <c r="AF236" s="55" t="n">
        <f aca="false">AD236+ROW()*0.000000001</f>
        <v>-4.93746470164268</v>
      </c>
      <c r="AG236" s="55" t="n">
        <f aca="false">AE236+ROW()*0.000000001</f>
        <v>43.1190791833685</v>
      </c>
    </row>
    <row r="237" customFormat="false" ht="15" hidden="false" customHeight="false" outlineLevel="0" collapsed="false">
      <c r="A237" s="0" t="n">
        <v>0</v>
      </c>
      <c r="B237" s="0" t="n">
        <v>2</v>
      </c>
      <c r="C237" s="0" t="n">
        <v>7</v>
      </c>
      <c r="D237" s="0" t="n">
        <v>7</v>
      </c>
      <c r="E237" s="0" t="n">
        <f aca="false">-1+A237*0.25</f>
        <v>-1</v>
      </c>
      <c r="F237" s="0" t="n">
        <f aca="false">-1+B237*0.25</f>
        <v>-0.5</v>
      </c>
      <c r="G237" s="0" t="n">
        <f aca="false">-1+C237*0.25</f>
        <v>0.75</v>
      </c>
      <c r="H237" s="0" t="n">
        <f aca="false">-1+D237*0.25</f>
        <v>0.75</v>
      </c>
      <c r="I237" s="0" t="n">
        <f aca="false">1</f>
        <v>1</v>
      </c>
      <c r="J237" s="0" t="n">
        <f aca="false">E237</f>
        <v>-1</v>
      </c>
      <c r="K237" s="0" t="n">
        <f aca="false">F237</f>
        <v>-0.5</v>
      </c>
      <c r="L237" s="0" t="n">
        <f aca="false">G237</f>
        <v>0.75</v>
      </c>
      <c r="M237" s="0" t="n">
        <f aca="false">H237</f>
        <v>0.75</v>
      </c>
      <c r="N237" s="0" t="n">
        <f aca="false">E237*F237</f>
        <v>0.5</v>
      </c>
      <c r="O237" s="0" t="n">
        <f aca="false">E237*G237</f>
        <v>-0.75</v>
      </c>
      <c r="P237" s="0" t="n">
        <f aca="false">E237*H237</f>
        <v>-0.75</v>
      </c>
      <c r="Q237" s="0" t="n">
        <f aca="false">F237*G237</f>
        <v>-0.375</v>
      </c>
      <c r="R237" s="0" t="n">
        <f aca="false">F237*H237</f>
        <v>-0.375</v>
      </c>
      <c r="S237" s="0" t="n">
        <f aca="false">G237*H237</f>
        <v>0.5625</v>
      </c>
      <c r="T237" s="0" t="n">
        <f aca="false">E237*E237</f>
        <v>1</v>
      </c>
      <c r="U237" s="0" t="n">
        <f aca="false">F237*F237</f>
        <v>0.25</v>
      </c>
      <c r="V237" s="0" t="n">
        <f aca="false">G237*G237</f>
        <v>0.5625</v>
      </c>
      <c r="W237" s="0" t="n">
        <f aca="false">H237*H237</f>
        <v>0.5625</v>
      </c>
      <c r="X237" s="0" t="n">
        <f aca="false">SUMPRODUCT(I237:W237,_XtX!$B$96:$P$96)</f>
        <v>43.1501690423977</v>
      </c>
      <c r="Y237" s="0" t="n">
        <f aca="false">SUMPRODUCT(MMULT(I237:W237,_XtX!$B$78:$P$92),I237:W237)</f>
        <v>0.431153771472953</v>
      </c>
      <c r="Z237" s="0" t="n">
        <f aca="false">04_回帰ANOVA!$K$19*04_回帰ANOVA!$K$14*SQRT(1+Y237)</f>
        <v>1.55934259562563</v>
      </c>
      <c r="AA237" s="0" t="n">
        <f aca="false">X237-Z237</f>
        <v>41.5908264467721</v>
      </c>
      <c r="AB237" s="0" t="n">
        <f aca="false">X237+Z237</f>
        <v>44.7095116380233</v>
      </c>
      <c r="AC237" s="54" t="b">
        <f aca="false">AND(E237&gt;=01_因子設定!$L$5-0.000000001,E237&lt;=01_因子設定!$M$5+0.000000001,F237&gt;=01_因子設定!$L$6-0.000000001,F237&lt;=01_因子設定!$M$6+0.000000001,G237&gt;=01_因子設定!$L$7-0.000000001,G237&lt;=01_因子設定!$M$7+0.000000001,H237&gt;=01_因子設定!$L$8-0.000000001,H237&lt;=01_因子設定!$M$8+0.000000001,IF(01_因子設定!$B$20="Box-Behnken",E237^2+F237^2+G237^2+H237^2&lt;=2+0.000000001,TRUE()))</f>
        <v>1</v>
      </c>
      <c r="AD237" s="55" t="n">
        <f aca="false">IF(AC237,IF(01_因子設定!$B$13="最大化",AA237-01_因子設定!$B$14,IF(01_因子設定!$B$13="最小化",01_因子設定!$B$15-AB237,MIN(AA237-01_因子設定!$B$14,01_因子設定!$B$15-AB237))),-1E+030)</f>
        <v>-4.90917355322792</v>
      </c>
      <c r="AE237" s="55" t="n">
        <f aca="false">IF(AC237,IF(01_因子設定!$B$13="最大化",X237,IF(01_因子設定!$B$13="最小化",-X237,-ABS(X237-01_因子設定!$B$16))),-1E+030)</f>
        <v>43.1501690423977</v>
      </c>
      <c r="AF237" s="55" t="n">
        <f aca="false">AD237+ROW()*0.000000001</f>
        <v>-4.90917331622792</v>
      </c>
      <c r="AG237" s="55" t="n">
        <f aca="false">AE237+ROW()*0.000000001</f>
        <v>43.1501692793977</v>
      </c>
    </row>
    <row r="238" customFormat="false" ht="15" hidden="false" customHeight="false" outlineLevel="0" collapsed="false">
      <c r="A238" s="0" t="n">
        <v>0</v>
      </c>
      <c r="B238" s="0" t="n">
        <v>2</v>
      </c>
      <c r="C238" s="0" t="n">
        <v>7</v>
      </c>
      <c r="D238" s="0" t="n">
        <v>8</v>
      </c>
      <c r="E238" s="0" t="n">
        <f aca="false">-1+A238*0.25</f>
        <v>-1</v>
      </c>
      <c r="F238" s="0" t="n">
        <f aca="false">-1+B238*0.25</f>
        <v>-0.5</v>
      </c>
      <c r="G238" s="0" t="n">
        <f aca="false">-1+C238*0.25</f>
        <v>0.75</v>
      </c>
      <c r="H238" s="0" t="n">
        <f aca="false">-1+D238*0.25</f>
        <v>1</v>
      </c>
      <c r="I238" s="0" t="n">
        <f aca="false">1</f>
        <v>1</v>
      </c>
      <c r="J238" s="0" t="n">
        <f aca="false">E238</f>
        <v>-1</v>
      </c>
      <c r="K238" s="0" t="n">
        <f aca="false">F238</f>
        <v>-0.5</v>
      </c>
      <c r="L238" s="0" t="n">
        <f aca="false">G238</f>
        <v>0.75</v>
      </c>
      <c r="M238" s="0" t="n">
        <f aca="false">H238</f>
        <v>1</v>
      </c>
      <c r="N238" s="0" t="n">
        <f aca="false">E238*F238</f>
        <v>0.5</v>
      </c>
      <c r="O238" s="0" t="n">
        <f aca="false">E238*G238</f>
        <v>-0.75</v>
      </c>
      <c r="P238" s="0" t="n">
        <f aca="false">E238*H238</f>
        <v>-1</v>
      </c>
      <c r="Q238" s="0" t="n">
        <f aca="false">F238*G238</f>
        <v>-0.375</v>
      </c>
      <c r="R238" s="0" t="n">
        <f aca="false">F238*H238</f>
        <v>-0.5</v>
      </c>
      <c r="S238" s="0" t="n">
        <f aca="false">G238*H238</f>
        <v>0.75</v>
      </c>
      <c r="T238" s="0" t="n">
        <f aca="false">E238*E238</f>
        <v>1</v>
      </c>
      <c r="U238" s="0" t="n">
        <f aca="false">F238*F238</f>
        <v>0.25</v>
      </c>
      <c r="V238" s="0" t="n">
        <f aca="false">G238*G238</f>
        <v>0.5625</v>
      </c>
      <c r="W238" s="0" t="n">
        <f aca="false">H238*H238</f>
        <v>1</v>
      </c>
      <c r="X238" s="0" t="n">
        <f aca="false">SUMPRODUCT(I238:W238,_XtX!$B$96:$P$96)</f>
        <v>43.1334521198831</v>
      </c>
      <c r="Y238" s="0" t="n">
        <f aca="false">SUMPRODUCT(MMULT(I238:W238,_XtX!$B$78:$P$92),I238:W238)</f>
        <v>0.564984237938597</v>
      </c>
      <c r="Z238" s="0" t="n">
        <f aca="false">04_回帰ANOVA!$K$19*04_回帰ANOVA!$K$14*SQRT(1+Y238)</f>
        <v>1.63062229734503</v>
      </c>
      <c r="AA238" s="0" t="n">
        <f aca="false">X238-Z238</f>
        <v>41.5028298225381</v>
      </c>
      <c r="AB238" s="0" t="n">
        <f aca="false">X238+Z238</f>
        <v>44.7640744172281</v>
      </c>
      <c r="AC238" s="54" t="b">
        <f aca="false">AND(E238&gt;=01_因子設定!$L$5-0.000000001,E238&lt;=01_因子設定!$M$5+0.000000001,F238&gt;=01_因子設定!$L$6-0.000000001,F238&lt;=01_因子設定!$M$6+0.000000001,G238&gt;=01_因子設定!$L$7-0.000000001,G238&lt;=01_因子設定!$M$7+0.000000001,H238&gt;=01_因子設定!$L$8-0.000000001,H238&lt;=01_因子設定!$M$8+0.000000001,IF(01_因子設定!$B$20="Box-Behnken",E238^2+F238^2+G238^2+H238^2&lt;=2+0.000000001,TRUE()))</f>
        <v>1</v>
      </c>
      <c r="AD238" s="55" t="n">
        <f aca="false">IF(AC238,IF(01_因子設定!$B$13="最大化",AA238-01_因子設定!$B$14,IF(01_因子設定!$B$13="最小化",01_因子設定!$B$15-AB238,MIN(AA238-01_因子設定!$B$14,01_因子設定!$B$15-AB238))),-1E+030)</f>
        <v>-4.99717017746193</v>
      </c>
      <c r="AE238" s="55" t="n">
        <f aca="false">IF(AC238,IF(01_因子設定!$B$13="最大化",X238,IF(01_因子設定!$B$13="最小化",-X238,-ABS(X238-01_因子設定!$B$16))),-1E+030)</f>
        <v>43.1334521198831</v>
      </c>
      <c r="AF238" s="55" t="n">
        <f aca="false">AD238+ROW()*0.000000001</f>
        <v>-4.99716993946193</v>
      </c>
      <c r="AG238" s="55" t="n">
        <f aca="false">AE238+ROW()*0.000000001</f>
        <v>43.1334523578831</v>
      </c>
    </row>
    <row r="239" customFormat="false" ht="15" hidden="false" customHeight="false" outlineLevel="0" collapsed="false">
      <c r="A239" s="0" t="n">
        <v>0</v>
      </c>
      <c r="B239" s="0" t="n">
        <v>2</v>
      </c>
      <c r="C239" s="0" t="n">
        <v>8</v>
      </c>
      <c r="D239" s="0" t="n">
        <v>0</v>
      </c>
      <c r="E239" s="0" t="n">
        <f aca="false">-1+A239*0.25</f>
        <v>-1</v>
      </c>
      <c r="F239" s="0" t="n">
        <f aca="false">-1+B239*0.25</f>
        <v>-0.5</v>
      </c>
      <c r="G239" s="0" t="n">
        <f aca="false">-1+C239*0.25</f>
        <v>1</v>
      </c>
      <c r="H239" s="0" t="n">
        <f aca="false">-1+D239*0.25</f>
        <v>-1</v>
      </c>
      <c r="I239" s="0" t="n">
        <f aca="false">1</f>
        <v>1</v>
      </c>
      <c r="J239" s="0" t="n">
        <f aca="false">E239</f>
        <v>-1</v>
      </c>
      <c r="K239" s="0" t="n">
        <f aca="false">F239</f>
        <v>-0.5</v>
      </c>
      <c r="L239" s="0" t="n">
        <f aca="false">G239</f>
        <v>1</v>
      </c>
      <c r="M239" s="0" t="n">
        <f aca="false">H239</f>
        <v>-1</v>
      </c>
      <c r="N239" s="0" t="n">
        <f aca="false">E239*F239</f>
        <v>0.5</v>
      </c>
      <c r="O239" s="0" t="n">
        <f aca="false">E239*G239</f>
        <v>-1</v>
      </c>
      <c r="P239" s="0" t="n">
        <f aca="false">E239*H239</f>
        <v>1</v>
      </c>
      <c r="Q239" s="0" t="n">
        <f aca="false">F239*G239</f>
        <v>-0.5</v>
      </c>
      <c r="R239" s="0" t="n">
        <f aca="false">F239*H239</f>
        <v>0.5</v>
      </c>
      <c r="S239" s="0" t="n">
        <f aca="false">G239*H239</f>
        <v>-1</v>
      </c>
      <c r="T239" s="0" t="n">
        <f aca="false">E239*E239</f>
        <v>1</v>
      </c>
      <c r="U239" s="0" t="n">
        <f aca="false">F239*F239</f>
        <v>0.25</v>
      </c>
      <c r="V239" s="0" t="n">
        <f aca="false">G239*G239</f>
        <v>1</v>
      </c>
      <c r="W239" s="0" t="n">
        <f aca="false">H239*H239</f>
        <v>1</v>
      </c>
      <c r="X239" s="0" t="n">
        <f aca="false">SUMPRODUCT(I239:W239,_XtX!$B$96:$P$96)</f>
        <v>41.9274122807018</v>
      </c>
      <c r="Y239" s="0" t="n">
        <f aca="false">SUMPRODUCT(MMULT(I239:W239,_XtX!$B$78:$P$92),I239:W239)</f>
        <v>0.667123538011696</v>
      </c>
      <c r="Z239" s="0" t="n">
        <f aca="false">04_回帰ANOVA!$K$19*04_回帰ANOVA!$K$14*SQRT(1+Y239)</f>
        <v>1.68299290213005</v>
      </c>
      <c r="AA239" s="0" t="n">
        <f aca="false">X239-Z239</f>
        <v>40.2444193785718</v>
      </c>
      <c r="AB239" s="0" t="n">
        <f aca="false">X239+Z239</f>
        <v>43.6104051828319</v>
      </c>
      <c r="AC239" s="54" t="b">
        <f aca="false">AND(E239&gt;=01_因子設定!$L$5-0.000000001,E239&lt;=01_因子設定!$M$5+0.000000001,F239&gt;=01_因子設定!$L$6-0.000000001,F239&lt;=01_因子設定!$M$6+0.000000001,G239&gt;=01_因子設定!$L$7-0.000000001,G239&lt;=01_因子設定!$M$7+0.000000001,H239&gt;=01_因子設定!$L$8-0.000000001,H239&lt;=01_因子設定!$M$8+0.000000001,IF(01_因子設定!$B$20="Box-Behnken",E239^2+F239^2+G239^2+H239^2&lt;=2+0.000000001,TRUE()))</f>
        <v>1</v>
      </c>
      <c r="AD239" s="55" t="n">
        <f aca="false">IF(AC239,IF(01_因子設定!$B$13="最大化",AA239-01_因子設定!$B$14,IF(01_因子設定!$B$13="最小化",01_因子設定!$B$15-AB239,MIN(AA239-01_因子設定!$B$14,01_因子設定!$B$15-AB239))),-1E+030)</f>
        <v>-6.25558062142823</v>
      </c>
      <c r="AE239" s="55" t="n">
        <f aca="false">IF(AC239,IF(01_因子設定!$B$13="最大化",X239,IF(01_因子設定!$B$13="最小化",-X239,-ABS(X239-01_因子設定!$B$16))),-1E+030)</f>
        <v>41.9274122807018</v>
      </c>
      <c r="AF239" s="55" t="n">
        <f aca="false">AD239+ROW()*0.000000001</f>
        <v>-6.25558038242823</v>
      </c>
      <c r="AG239" s="55" t="n">
        <f aca="false">AE239+ROW()*0.000000001</f>
        <v>41.9274125197018</v>
      </c>
    </row>
    <row r="240" customFormat="false" ht="15" hidden="false" customHeight="false" outlineLevel="0" collapsed="false">
      <c r="A240" s="0" t="n">
        <v>0</v>
      </c>
      <c r="B240" s="0" t="n">
        <v>2</v>
      </c>
      <c r="C240" s="0" t="n">
        <v>8</v>
      </c>
      <c r="D240" s="0" t="n">
        <v>1</v>
      </c>
      <c r="E240" s="0" t="n">
        <f aca="false">-1+A240*0.25</f>
        <v>-1</v>
      </c>
      <c r="F240" s="0" t="n">
        <f aca="false">-1+B240*0.25</f>
        <v>-0.5</v>
      </c>
      <c r="G240" s="0" t="n">
        <f aca="false">-1+C240*0.25</f>
        <v>1</v>
      </c>
      <c r="H240" s="0" t="n">
        <f aca="false">-1+D240*0.25</f>
        <v>-0.75</v>
      </c>
      <c r="I240" s="0" t="n">
        <f aca="false">1</f>
        <v>1</v>
      </c>
      <c r="J240" s="0" t="n">
        <f aca="false">E240</f>
        <v>-1</v>
      </c>
      <c r="K240" s="0" t="n">
        <f aca="false">F240</f>
        <v>-0.5</v>
      </c>
      <c r="L240" s="0" t="n">
        <f aca="false">G240</f>
        <v>1</v>
      </c>
      <c r="M240" s="0" t="n">
        <f aca="false">H240</f>
        <v>-0.75</v>
      </c>
      <c r="N240" s="0" t="n">
        <f aca="false">E240*F240</f>
        <v>0.5</v>
      </c>
      <c r="O240" s="0" t="n">
        <f aca="false">E240*G240</f>
        <v>-1</v>
      </c>
      <c r="P240" s="0" t="n">
        <f aca="false">E240*H240</f>
        <v>0.75</v>
      </c>
      <c r="Q240" s="0" t="n">
        <f aca="false">F240*G240</f>
        <v>-0.5</v>
      </c>
      <c r="R240" s="0" t="n">
        <f aca="false">F240*H240</f>
        <v>0.375</v>
      </c>
      <c r="S240" s="0" t="n">
        <f aca="false">G240*H240</f>
        <v>-0.75</v>
      </c>
      <c r="T240" s="0" t="n">
        <f aca="false">E240*E240</f>
        <v>1</v>
      </c>
      <c r="U240" s="0" t="n">
        <f aca="false">F240*F240</f>
        <v>0.25</v>
      </c>
      <c r="V240" s="0" t="n">
        <f aca="false">G240*G240</f>
        <v>1</v>
      </c>
      <c r="W240" s="0" t="n">
        <f aca="false">H240*H240</f>
        <v>0.5625</v>
      </c>
      <c r="X240" s="0" t="n">
        <f aca="false">SUMPRODUCT(I240:W240,_XtX!$B$96:$P$96)</f>
        <v>42.2633132309942</v>
      </c>
      <c r="Y240" s="0" t="n">
        <f aca="false">SUMPRODUCT(MMULT(I240:W240,_XtX!$B$78:$P$92),I240:W240)</f>
        <v>0.564984237938597</v>
      </c>
      <c r="Z240" s="0" t="n">
        <f aca="false">04_回帰ANOVA!$K$19*04_回帰ANOVA!$K$14*SQRT(1+Y240)</f>
        <v>1.63062229734503</v>
      </c>
      <c r="AA240" s="0" t="n">
        <f aca="false">X240-Z240</f>
        <v>40.6326909336492</v>
      </c>
      <c r="AB240" s="0" t="n">
        <f aca="false">X240+Z240</f>
        <v>43.8939355283392</v>
      </c>
      <c r="AC240" s="54" t="b">
        <f aca="false">AND(E240&gt;=01_因子設定!$L$5-0.000000001,E240&lt;=01_因子設定!$M$5+0.000000001,F240&gt;=01_因子設定!$L$6-0.000000001,F240&lt;=01_因子設定!$M$6+0.000000001,G240&gt;=01_因子設定!$L$7-0.000000001,G240&lt;=01_因子設定!$M$7+0.000000001,H240&gt;=01_因子設定!$L$8-0.000000001,H240&lt;=01_因子設定!$M$8+0.000000001,IF(01_因子設定!$B$20="Box-Behnken",E240^2+F240^2+G240^2+H240^2&lt;=2+0.000000001,TRUE()))</f>
        <v>1</v>
      </c>
      <c r="AD240" s="55" t="n">
        <f aca="false">IF(AC240,IF(01_因子設定!$B$13="最大化",AA240-01_因子設定!$B$14,IF(01_因子設定!$B$13="最小化",01_因子設定!$B$15-AB240,MIN(AA240-01_因子設定!$B$14,01_因子設定!$B$15-AB240))),-1E+030)</f>
        <v>-5.86730906635083</v>
      </c>
      <c r="AE240" s="55" t="n">
        <f aca="false">IF(AC240,IF(01_因子設定!$B$13="最大化",X240,IF(01_因子設定!$B$13="最小化",-X240,-ABS(X240-01_因子設定!$B$16))),-1E+030)</f>
        <v>42.2633132309942</v>
      </c>
      <c r="AF240" s="55" t="n">
        <f aca="false">AD240+ROW()*0.000000001</f>
        <v>-5.86730882635083</v>
      </c>
      <c r="AG240" s="55" t="n">
        <f aca="false">AE240+ROW()*0.000000001</f>
        <v>42.2633134709942</v>
      </c>
    </row>
    <row r="241" customFormat="false" ht="15" hidden="false" customHeight="false" outlineLevel="0" collapsed="false">
      <c r="A241" s="0" t="n">
        <v>0</v>
      </c>
      <c r="B241" s="0" t="n">
        <v>2</v>
      </c>
      <c r="C241" s="0" t="n">
        <v>8</v>
      </c>
      <c r="D241" s="0" t="n">
        <v>2</v>
      </c>
      <c r="E241" s="0" t="n">
        <f aca="false">-1+A241*0.25</f>
        <v>-1</v>
      </c>
      <c r="F241" s="0" t="n">
        <f aca="false">-1+B241*0.25</f>
        <v>-0.5</v>
      </c>
      <c r="G241" s="0" t="n">
        <f aca="false">-1+C241*0.25</f>
        <v>1</v>
      </c>
      <c r="H241" s="0" t="n">
        <f aca="false">-1+D241*0.25</f>
        <v>-0.5</v>
      </c>
      <c r="I241" s="0" t="n">
        <f aca="false">1</f>
        <v>1</v>
      </c>
      <c r="J241" s="0" t="n">
        <f aca="false">E241</f>
        <v>-1</v>
      </c>
      <c r="K241" s="0" t="n">
        <f aca="false">F241</f>
        <v>-0.5</v>
      </c>
      <c r="L241" s="0" t="n">
        <f aca="false">G241</f>
        <v>1</v>
      </c>
      <c r="M241" s="0" t="n">
        <f aca="false">H241</f>
        <v>-0.5</v>
      </c>
      <c r="N241" s="0" t="n">
        <f aca="false">E241*F241</f>
        <v>0.5</v>
      </c>
      <c r="O241" s="0" t="n">
        <f aca="false">E241*G241</f>
        <v>-1</v>
      </c>
      <c r="P241" s="0" t="n">
        <f aca="false">E241*H241</f>
        <v>0.5</v>
      </c>
      <c r="Q241" s="0" t="n">
        <f aca="false">F241*G241</f>
        <v>-0.5</v>
      </c>
      <c r="R241" s="0" t="n">
        <f aca="false">F241*H241</f>
        <v>0.25</v>
      </c>
      <c r="S241" s="0" t="n">
        <f aca="false">G241*H241</f>
        <v>-0.5</v>
      </c>
      <c r="T241" s="0" t="n">
        <f aca="false">E241*E241</f>
        <v>1</v>
      </c>
      <c r="U241" s="0" t="n">
        <f aca="false">F241*F241</f>
        <v>0.25</v>
      </c>
      <c r="V241" s="0" t="n">
        <f aca="false">G241*G241</f>
        <v>1</v>
      </c>
      <c r="W241" s="0" t="n">
        <f aca="false">H241*H241</f>
        <v>0.25</v>
      </c>
      <c r="X241" s="0" t="n">
        <f aca="false">SUMPRODUCT(I241:W241,_XtX!$B$96:$P$96)</f>
        <v>42.5514071637427</v>
      </c>
      <c r="Y241" s="0" t="n">
        <f aca="false">SUMPRODUCT(MMULT(I241:W241,_XtX!$B$78:$P$92),I241:W241)</f>
        <v>0.582488121345029</v>
      </c>
      <c r="Z241" s="0" t="n">
        <f aca="false">04_回帰ANOVA!$K$19*04_回帰ANOVA!$K$14*SQRT(1+Y241)</f>
        <v>1.63971595338287</v>
      </c>
      <c r="AA241" s="0" t="n">
        <f aca="false">X241-Z241</f>
        <v>40.9116912103599</v>
      </c>
      <c r="AB241" s="0" t="n">
        <f aca="false">X241+Z241</f>
        <v>44.1911231171256</v>
      </c>
      <c r="AC241" s="54" t="b">
        <f aca="false">AND(E241&gt;=01_因子設定!$L$5-0.000000001,E241&lt;=01_因子設定!$M$5+0.000000001,F241&gt;=01_因子設定!$L$6-0.000000001,F241&lt;=01_因子設定!$M$6+0.000000001,G241&gt;=01_因子設定!$L$7-0.000000001,G241&lt;=01_因子設定!$M$7+0.000000001,H241&gt;=01_因子設定!$L$8-0.000000001,H241&lt;=01_因子設定!$M$8+0.000000001,IF(01_因子設定!$B$20="Box-Behnken",E241^2+F241^2+G241^2+H241^2&lt;=2+0.000000001,TRUE()))</f>
        <v>1</v>
      </c>
      <c r="AD241" s="55" t="n">
        <f aca="false">IF(AC241,IF(01_因子設定!$B$13="最大化",AA241-01_因子設定!$B$14,IF(01_因子設定!$B$13="最小化",01_因子設定!$B$15-AB241,MIN(AA241-01_因子設定!$B$14,01_因子設定!$B$15-AB241))),-1E+030)</f>
        <v>-5.58830878964014</v>
      </c>
      <c r="AE241" s="55" t="n">
        <f aca="false">IF(AC241,IF(01_因子設定!$B$13="最大化",X241,IF(01_因子設定!$B$13="最小化",-X241,-ABS(X241-01_因子設定!$B$16))),-1E+030)</f>
        <v>42.5514071637427</v>
      </c>
      <c r="AF241" s="55" t="n">
        <f aca="false">AD241+ROW()*0.000000001</f>
        <v>-5.58830854864014</v>
      </c>
      <c r="AG241" s="55" t="n">
        <f aca="false">AE241+ROW()*0.000000001</f>
        <v>42.5514074047427</v>
      </c>
    </row>
    <row r="242" customFormat="false" ht="15" hidden="false" customHeight="false" outlineLevel="0" collapsed="false">
      <c r="A242" s="0" t="n">
        <v>0</v>
      </c>
      <c r="B242" s="0" t="n">
        <v>2</v>
      </c>
      <c r="C242" s="0" t="n">
        <v>8</v>
      </c>
      <c r="D242" s="0" t="n">
        <v>3</v>
      </c>
      <c r="E242" s="0" t="n">
        <f aca="false">-1+A242*0.25</f>
        <v>-1</v>
      </c>
      <c r="F242" s="0" t="n">
        <f aca="false">-1+B242*0.25</f>
        <v>-0.5</v>
      </c>
      <c r="G242" s="0" t="n">
        <f aca="false">-1+C242*0.25</f>
        <v>1</v>
      </c>
      <c r="H242" s="0" t="n">
        <f aca="false">-1+D242*0.25</f>
        <v>-0.25</v>
      </c>
      <c r="I242" s="0" t="n">
        <f aca="false">1</f>
        <v>1</v>
      </c>
      <c r="J242" s="0" t="n">
        <f aca="false">E242</f>
        <v>-1</v>
      </c>
      <c r="K242" s="0" t="n">
        <f aca="false">F242</f>
        <v>-0.5</v>
      </c>
      <c r="L242" s="0" t="n">
        <f aca="false">G242</f>
        <v>1</v>
      </c>
      <c r="M242" s="0" t="n">
        <f aca="false">H242</f>
        <v>-0.25</v>
      </c>
      <c r="N242" s="0" t="n">
        <f aca="false">E242*F242</f>
        <v>0.5</v>
      </c>
      <c r="O242" s="0" t="n">
        <f aca="false">E242*G242</f>
        <v>-1</v>
      </c>
      <c r="P242" s="0" t="n">
        <f aca="false">E242*H242</f>
        <v>0.25</v>
      </c>
      <c r="Q242" s="0" t="n">
        <f aca="false">F242*G242</f>
        <v>-0.5</v>
      </c>
      <c r="R242" s="0" t="n">
        <f aca="false">F242*H242</f>
        <v>0.125</v>
      </c>
      <c r="S242" s="0" t="n">
        <f aca="false">G242*H242</f>
        <v>-0.25</v>
      </c>
      <c r="T242" s="0" t="n">
        <f aca="false">E242*E242</f>
        <v>1</v>
      </c>
      <c r="U242" s="0" t="n">
        <f aca="false">F242*F242</f>
        <v>0.25</v>
      </c>
      <c r="V242" s="0" t="n">
        <f aca="false">G242*G242</f>
        <v>1</v>
      </c>
      <c r="W242" s="0" t="n">
        <f aca="false">H242*H242</f>
        <v>0.0625</v>
      </c>
      <c r="X242" s="0" t="n">
        <f aca="false">SUMPRODUCT(I242:W242,_XtX!$B$96:$P$96)</f>
        <v>42.7916940789474</v>
      </c>
      <c r="Y242" s="0" t="n">
        <f aca="false">SUMPRODUCT(MMULT(I242:W242,_XtX!$B$78:$P$92),I242:W242)</f>
        <v>0.629174661915205</v>
      </c>
      <c r="Z242" s="0" t="n">
        <f aca="false">04_回帰ANOVA!$K$19*04_回帰ANOVA!$K$14*SQRT(1+Y242)</f>
        <v>1.66372758058297</v>
      </c>
      <c r="AA242" s="0" t="n">
        <f aca="false">X242-Z242</f>
        <v>41.1279664983644</v>
      </c>
      <c r="AB242" s="0" t="n">
        <f aca="false">X242+Z242</f>
        <v>44.4554216595304</v>
      </c>
      <c r="AC242" s="54" t="b">
        <f aca="false">AND(E242&gt;=01_因子設定!$L$5-0.000000001,E242&lt;=01_因子設定!$M$5+0.000000001,F242&gt;=01_因子設定!$L$6-0.000000001,F242&lt;=01_因子設定!$M$6+0.000000001,G242&gt;=01_因子設定!$L$7-0.000000001,G242&lt;=01_因子設定!$M$7+0.000000001,H242&gt;=01_因子設定!$L$8-0.000000001,H242&lt;=01_因子設定!$M$8+0.000000001,IF(01_因子設定!$B$20="Box-Behnken",E242^2+F242^2+G242^2+H242^2&lt;=2+0.000000001,TRUE()))</f>
        <v>1</v>
      </c>
      <c r="AD242" s="55" t="n">
        <f aca="false">IF(AC242,IF(01_因子設定!$B$13="最大化",AA242-01_因子設定!$B$14,IF(01_因子設定!$B$13="最小化",01_因子設定!$B$15-AB242,MIN(AA242-01_因子設定!$B$14,01_因子設定!$B$15-AB242))),-1E+030)</f>
        <v>-5.37203350163557</v>
      </c>
      <c r="AE242" s="55" t="n">
        <f aca="false">IF(AC242,IF(01_因子設定!$B$13="最大化",X242,IF(01_因子設定!$B$13="最小化",-X242,-ABS(X242-01_因子設定!$B$16))),-1E+030)</f>
        <v>42.7916940789474</v>
      </c>
      <c r="AF242" s="55" t="n">
        <f aca="false">AD242+ROW()*0.000000001</f>
        <v>-5.37203325963557</v>
      </c>
      <c r="AG242" s="55" t="n">
        <f aca="false">AE242+ROW()*0.000000001</f>
        <v>42.7916943209474</v>
      </c>
    </row>
    <row r="243" customFormat="false" ht="15" hidden="false" customHeight="false" outlineLevel="0" collapsed="false">
      <c r="A243" s="0" t="n">
        <v>0</v>
      </c>
      <c r="B243" s="0" t="n">
        <v>2</v>
      </c>
      <c r="C243" s="0" t="n">
        <v>8</v>
      </c>
      <c r="D243" s="0" t="n">
        <v>4</v>
      </c>
      <c r="E243" s="0" t="n">
        <f aca="false">-1+A243*0.25</f>
        <v>-1</v>
      </c>
      <c r="F243" s="0" t="n">
        <f aca="false">-1+B243*0.25</f>
        <v>-0.5</v>
      </c>
      <c r="G243" s="0" t="n">
        <f aca="false">-1+C243*0.25</f>
        <v>1</v>
      </c>
      <c r="H243" s="0" t="n">
        <f aca="false">-1+D243*0.25</f>
        <v>0</v>
      </c>
      <c r="I243" s="0" t="n">
        <f aca="false">1</f>
        <v>1</v>
      </c>
      <c r="J243" s="0" t="n">
        <f aca="false">E243</f>
        <v>-1</v>
      </c>
      <c r="K243" s="0" t="n">
        <f aca="false">F243</f>
        <v>-0.5</v>
      </c>
      <c r="L243" s="0" t="n">
        <f aca="false">G243</f>
        <v>1</v>
      </c>
      <c r="M243" s="0" t="n">
        <f aca="false">H243</f>
        <v>0</v>
      </c>
      <c r="N243" s="0" t="n">
        <f aca="false">E243*F243</f>
        <v>0.5</v>
      </c>
      <c r="O243" s="0" t="n">
        <f aca="false">E243*G243</f>
        <v>-1</v>
      </c>
      <c r="P243" s="0" t="n">
        <f aca="false">E243*H243</f>
        <v>-0</v>
      </c>
      <c r="Q243" s="0" t="n">
        <f aca="false">F243*G243</f>
        <v>-0.5</v>
      </c>
      <c r="R243" s="0" t="n">
        <f aca="false">F243*H243</f>
        <v>-0</v>
      </c>
      <c r="S243" s="0" t="n">
        <f aca="false">G243*H243</f>
        <v>0</v>
      </c>
      <c r="T243" s="0" t="n">
        <f aca="false">E243*E243</f>
        <v>1</v>
      </c>
      <c r="U243" s="0" t="n">
        <f aca="false">F243*F243</f>
        <v>0.25</v>
      </c>
      <c r="V243" s="0" t="n">
        <f aca="false">G243*G243</f>
        <v>1</v>
      </c>
      <c r="W243" s="0" t="n">
        <f aca="false">H243*H243</f>
        <v>0</v>
      </c>
      <c r="X243" s="0" t="n">
        <f aca="false">SUMPRODUCT(I243:W243,_XtX!$B$96:$P$96)</f>
        <v>42.9841739766082</v>
      </c>
      <c r="Y243" s="0" t="n">
        <f aca="false">SUMPRODUCT(MMULT(I243:W243,_XtX!$B$78:$P$92),I243:W243)</f>
        <v>0.650767543859649</v>
      </c>
      <c r="Z243" s="0" t="n">
        <f aca="false">04_回帰ANOVA!$K$19*04_回帰ANOVA!$K$14*SQRT(1+Y243)</f>
        <v>1.67471670935165</v>
      </c>
      <c r="AA243" s="0" t="n">
        <f aca="false">X243-Z243</f>
        <v>41.3094572672566</v>
      </c>
      <c r="AB243" s="0" t="n">
        <f aca="false">X243+Z243</f>
        <v>44.6588906859599</v>
      </c>
      <c r="AC243" s="54" t="b">
        <f aca="false">AND(E243&gt;=01_因子設定!$L$5-0.000000001,E243&lt;=01_因子設定!$M$5+0.000000001,F243&gt;=01_因子設定!$L$6-0.000000001,F243&lt;=01_因子設定!$M$6+0.000000001,G243&gt;=01_因子設定!$L$7-0.000000001,G243&lt;=01_因子設定!$M$7+0.000000001,H243&gt;=01_因子設定!$L$8-0.000000001,H243&lt;=01_因子設定!$M$8+0.000000001,IF(01_因子設定!$B$20="Box-Behnken",E243^2+F243^2+G243^2+H243^2&lt;=2+0.000000001,TRUE()))</f>
        <v>1</v>
      </c>
      <c r="AD243" s="55" t="n">
        <f aca="false">IF(AC243,IF(01_因子設定!$B$13="最大化",AA243-01_因子設定!$B$14,IF(01_因子設定!$B$13="最小化",01_因子設定!$B$15-AB243,MIN(AA243-01_因子設定!$B$14,01_因子設定!$B$15-AB243))),-1E+030)</f>
        <v>-5.19054273274343</v>
      </c>
      <c r="AE243" s="55" t="n">
        <f aca="false">IF(AC243,IF(01_因子設定!$B$13="最大化",X243,IF(01_因子設定!$B$13="最小化",-X243,-ABS(X243-01_因子設定!$B$16))),-1E+030)</f>
        <v>42.9841739766082</v>
      </c>
      <c r="AF243" s="55" t="n">
        <f aca="false">AD243+ROW()*0.000000001</f>
        <v>-5.19054248974343</v>
      </c>
      <c r="AG243" s="55" t="n">
        <f aca="false">AE243+ROW()*0.000000001</f>
        <v>42.9841742196082</v>
      </c>
    </row>
    <row r="244" customFormat="false" ht="15" hidden="false" customHeight="false" outlineLevel="0" collapsed="false">
      <c r="A244" s="0" t="n">
        <v>0</v>
      </c>
      <c r="B244" s="0" t="n">
        <v>2</v>
      </c>
      <c r="C244" s="0" t="n">
        <v>8</v>
      </c>
      <c r="D244" s="0" t="n">
        <v>5</v>
      </c>
      <c r="E244" s="0" t="n">
        <f aca="false">-1+A244*0.25</f>
        <v>-1</v>
      </c>
      <c r="F244" s="0" t="n">
        <f aca="false">-1+B244*0.25</f>
        <v>-0.5</v>
      </c>
      <c r="G244" s="0" t="n">
        <f aca="false">-1+C244*0.25</f>
        <v>1</v>
      </c>
      <c r="H244" s="0" t="n">
        <f aca="false">-1+D244*0.25</f>
        <v>0.25</v>
      </c>
      <c r="I244" s="0" t="n">
        <f aca="false">1</f>
        <v>1</v>
      </c>
      <c r="J244" s="0" t="n">
        <f aca="false">E244</f>
        <v>-1</v>
      </c>
      <c r="K244" s="0" t="n">
        <f aca="false">F244</f>
        <v>-0.5</v>
      </c>
      <c r="L244" s="0" t="n">
        <f aca="false">G244</f>
        <v>1</v>
      </c>
      <c r="M244" s="0" t="n">
        <f aca="false">H244</f>
        <v>0.25</v>
      </c>
      <c r="N244" s="0" t="n">
        <f aca="false">E244*F244</f>
        <v>0.5</v>
      </c>
      <c r="O244" s="0" t="n">
        <f aca="false">E244*G244</f>
        <v>-1</v>
      </c>
      <c r="P244" s="0" t="n">
        <f aca="false">E244*H244</f>
        <v>-0.25</v>
      </c>
      <c r="Q244" s="0" t="n">
        <f aca="false">F244*G244</f>
        <v>-0.5</v>
      </c>
      <c r="R244" s="0" t="n">
        <f aca="false">F244*H244</f>
        <v>-0.125</v>
      </c>
      <c r="S244" s="0" t="n">
        <f aca="false">G244*H244</f>
        <v>0.25</v>
      </c>
      <c r="T244" s="0" t="n">
        <f aca="false">E244*E244</f>
        <v>1</v>
      </c>
      <c r="U244" s="0" t="n">
        <f aca="false">F244*F244</f>
        <v>0.25</v>
      </c>
      <c r="V244" s="0" t="n">
        <f aca="false">G244*G244</f>
        <v>1</v>
      </c>
      <c r="W244" s="0" t="n">
        <f aca="false">H244*H244</f>
        <v>0.0625</v>
      </c>
      <c r="X244" s="0" t="n">
        <f aca="false">SUMPRODUCT(I244:W244,_XtX!$B$96:$P$96)</f>
        <v>43.1288468567252</v>
      </c>
      <c r="Y244" s="0" t="n">
        <f aca="false">SUMPRODUCT(MMULT(I244:W244,_XtX!$B$78:$P$92),I244:W244)</f>
        <v>0.629174661915205</v>
      </c>
      <c r="Z244" s="0" t="n">
        <f aca="false">04_回帰ANOVA!$K$19*04_回帰ANOVA!$K$14*SQRT(1+Y244)</f>
        <v>1.66372758058297</v>
      </c>
      <c r="AA244" s="0" t="n">
        <f aca="false">X244-Z244</f>
        <v>41.4651192761422</v>
      </c>
      <c r="AB244" s="0" t="n">
        <f aca="false">X244+Z244</f>
        <v>44.7925744373082</v>
      </c>
      <c r="AC244" s="54" t="b">
        <f aca="false">AND(E244&gt;=01_因子設定!$L$5-0.000000001,E244&lt;=01_因子設定!$M$5+0.000000001,F244&gt;=01_因子設定!$L$6-0.000000001,F244&lt;=01_因子設定!$M$6+0.000000001,G244&gt;=01_因子設定!$L$7-0.000000001,G244&lt;=01_因子設定!$M$7+0.000000001,H244&gt;=01_因子設定!$L$8-0.000000001,H244&lt;=01_因子設定!$M$8+0.000000001,IF(01_因子設定!$B$20="Box-Behnken",E244^2+F244^2+G244^2+H244^2&lt;=2+0.000000001,TRUE()))</f>
        <v>1</v>
      </c>
      <c r="AD244" s="55" t="n">
        <f aca="false">IF(AC244,IF(01_因子設定!$B$13="最大化",AA244-01_因子設定!$B$14,IF(01_因子設定!$B$13="最小化",01_因子設定!$B$15-AB244,MIN(AA244-01_因子設定!$B$14,01_因子設定!$B$15-AB244))),-1E+030)</f>
        <v>-5.0348807238578</v>
      </c>
      <c r="AE244" s="55" t="n">
        <f aca="false">IF(AC244,IF(01_因子設定!$B$13="最大化",X244,IF(01_因子設定!$B$13="最小化",-X244,-ABS(X244-01_因子設定!$B$16))),-1E+030)</f>
        <v>43.1288468567252</v>
      </c>
      <c r="AF244" s="55" t="n">
        <f aca="false">AD244+ROW()*0.000000001</f>
        <v>-5.0348804798578</v>
      </c>
      <c r="AG244" s="55" t="n">
        <f aca="false">AE244+ROW()*0.000000001</f>
        <v>43.1288471007252</v>
      </c>
    </row>
    <row r="245" customFormat="false" ht="15" hidden="false" customHeight="false" outlineLevel="0" collapsed="false">
      <c r="A245" s="0" t="n">
        <v>0</v>
      </c>
      <c r="B245" s="0" t="n">
        <v>2</v>
      </c>
      <c r="C245" s="0" t="n">
        <v>8</v>
      </c>
      <c r="D245" s="0" t="n">
        <v>6</v>
      </c>
      <c r="E245" s="0" t="n">
        <f aca="false">-1+A245*0.25</f>
        <v>-1</v>
      </c>
      <c r="F245" s="0" t="n">
        <f aca="false">-1+B245*0.25</f>
        <v>-0.5</v>
      </c>
      <c r="G245" s="0" t="n">
        <f aca="false">-1+C245*0.25</f>
        <v>1</v>
      </c>
      <c r="H245" s="0" t="n">
        <f aca="false">-1+D245*0.25</f>
        <v>0.5</v>
      </c>
      <c r="I245" s="0" t="n">
        <f aca="false">1</f>
        <v>1</v>
      </c>
      <c r="J245" s="0" t="n">
        <f aca="false">E245</f>
        <v>-1</v>
      </c>
      <c r="K245" s="0" t="n">
        <f aca="false">F245</f>
        <v>-0.5</v>
      </c>
      <c r="L245" s="0" t="n">
        <f aca="false">G245</f>
        <v>1</v>
      </c>
      <c r="M245" s="0" t="n">
        <f aca="false">H245</f>
        <v>0.5</v>
      </c>
      <c r="N245" s="0" t="n">
        <f aca="false">E245*F245</f>
        <v>0.5</v>
      </c>
      <c r="O245" s="0" t="n">
        <f aca="false">E245*G245</f>
        <v>-1</v>
      </c>
      <c r="P245" s="0" t="n">
        <f aca="false">E245*H245</f>
        <v>-0.5</v>
      </c>
      <c r="Q245" s="0" t="n">
        <f aca="false">F245*G245</f>
        <v>-0.5</v>
      </c>
      <c r="R245" s="0" t="n">
        <f aca="false">F245*H245</f>
        <v>-0.25</v>
      </c>
      <c r="S245" s="0" t="n">
        <f aca="false">G245*H245</f>
        <v>0.5</v>
      </c>
      <c r="T245" s="0" t="n">
        <f aca="false">E245*E245</f>
        <v>1</v>
      </c>
      <c r="U245" s="0" t="n">
        <f aca="false">F245*F245</f>
        <v>0.25</v>
      </c>
      <c r="V245" s="0" t="n">
        <f aca="false">G245*G245</f>
        <v>1</v>
      </c>
      <c r="W245" s="0" t="n">
        <f aca="false">H245*H245</f>
        <v>0.25</v>
      </c>
      <c r="X245" s="0" t="n">
        <f aca="false">SUMPRODUCT(I245:W245,_XtX!$B$96:$P$96)</f>
        <v>43.2257127192983</v>
      </c>
      <c r="Y245" s="0" t="n">
        <f aca="false">SUMPRODUCT(MMULT(I245:W245,_XtX!$B$78:$P$92),I245:W245)</f>
        <v>0.582488121345029</v>
      </c>
      <c r="Z245" s="0" t="n">
        <f aca="false">04_回帰ANOVA!$K$19*04_回帰ANOVA!$K$14*SQRT(1+Y245)</f>
        <v>1.63971595338287</v>
      </c>
      <c r="AA245" s="0" t="n">
        <f aca="false">X245-Z245</f>
        <v>41.5859967659154</v>
      </c>
      <c r="AB245" s="0" t="n">
        <f aca="false">X245+Z245</f>
        <v>44.8654286726812</v>
      </c>
      <c r="AC245" s="54" t="b">
        <f aca="false">AND(E245&gt;=01_因子設定!$L$5-0.000000001,E245&lt;=01_因子設定!$M$5+0.000000001,F245&gt;=01_因子設定!$L$6-0.000000001,F245&lt;=01_因子設定!$M$6+0.000000001,G245&gt;=01_因子設定!$L$7-0.000000001,G245&lt;=01_因子設定!$M$7+0.000000001,H245&gt;=01_因子設定!$L$8-0.000000001,H245&lt;=01_因子設定!$M$8+0.000000001,IF(01_因子設定!$B$20="Box-Behnken",E245^2+F245^2+G245^2+H245^2&lt;=2+0.000000001,TRUE()))</f>
        <v>1</v>
      </c>
      <c r="AD245" s="55" t="n">
        <f aca="false">IF(AC245,IF(01_因子設定!$B$13="最大化",AA245-01_因子設定!$B$14,IF(01_因子設定!$B$13="最小化",01_因子設定!$B$15-AB245,MIN(AA245-01_因子設定!$B$14,01_因子設定!$B$15-AB245))),-1E+030)</f>
        <v>-4.91400323408458</v>
      </c>
      <c r="AE245" s="55" t="n">
        <f aca="false">IF(AC245,IF(01_因子設定!$B$13="最大化",X245,IF(01_因子設定!$B$13="最小化",-X245,-ABS(X245-01_因子設定!$B$16))),-1E+030)</f>
        <v>43.2257127192983</v>
      </c>
      <c r="AF245" s="55" t="n">
        <f aca="false">AD245+ROW()*0.000000001</f>
        <v>-4.91400298908458</v>
      </c>
      <c r="AG245" s="55" t="n">
        <f aca="false">AE245+ROW()*0.000000001</f>
        <v>43.2257129642983</v>
      </c>
    </row>
    <row r="246" customFormat="false" ht="15" hidden="false" customHeight="false" outlineLevel="0" collapsed="false">
      <c r="A246" s="0" t="n">
        <v>0</v>
      </c>
      <c r="B246" s="0" t="n">
        <v>2</v>
      </c>
      <c r="C246" s="0" t="n">
        <v>8</v>
      </c>
      <c r="D246" s="0" t="n">
        <v>7</v>
      </c>
      <c r="E246" s="0" t="n">
        <f aca="false">-1+A246*0.25</f>
        <v>-1</v>
      </c>
      <c r="F246" s="0" t="n">
        <f aca="false">-1+B246*0.25</f>
        <v>-0.5</v>
      </c>
      <c r="G246" s="0" t="n">
        <f aca="false">-1+C246*0.25</f>
        <v>1</v>
      </c>
      <c r="H246" s="0" t="n">
        <f aca="false">-1+D246*0.25</f>
        <v>0.75</v>
      </c>
      <c r="I246" s="0" t="n">
        <f aca="false">1</f>
        <v>1</v>
      </c>
      <c r="J246" s="0" t="n">
        <f aca="false">E246</f>
        <v>-1</v>
      </c>
      <c r="K246" s="0" t="n">
        <f aca="false">F246</f>
        <v>-0.5</v>
      </c>
      <c r="L246" s="0" t="n">
        <f aca="false">G246</f>
        <v>1</v>
      </c>
      <c r="M246" s="0" t="n">
        <f aca="false">H246</f>
        <v>0.75</v>
      </c>
      <c r="N246" s="0" t="n">
        <f aca="false">E246*F246</f>
        <v>0.5</v>
      </c>
      <c r="O246" s="0" t="n">
        <f aca="false">E246*G246</f>
        <v>-1</v>
      </c>
      <c r="P246" s="0" t="n">
        <f aca="false">E246*H246</f>
        <v>-0.75</v>
      </c>
      <c r="Q246" s="0" t="n">
        <f aca="false">F246*G246</f>
        <v>-0.5</v>
      </c>
      <c r="R246" s="0" t="n">
        <f aca="false">F246*H246</f>
        <v>-0.375</v>
      </c>
      <c r="S246" s="0" t="n">
        <f aca="false">G246*H246</f>
        <v>0.75</v>
      </c>
      <c r="T246" s="0" t="n">
        <f aca="false">E246*E246</f>
        <v>1</v>
      </c>
      <c r="U246" s="0" t="n">
        <f aca="false">F246*F246</f>
        <v>0.25</v>
      </c>
      <c r="V246" s="0" t="n">
        <f aca="false">G246*G246</f>
        <v>1</v>
      </c>
      <c r="W246" s="0" t="n">
        <f aca="false">H246*H246</f>
        <v>0.5625</v>
      </c>
      <c r="X246" s="0" t="n">
        <f aca="false">SUMPRODUCT(I246:W246,_XtX!$B$96:$P$96)</f>
        <v>43.2747715643275</v>
      </c>
      <c r="Y246" s="0" t="n">
        <f aca="false">SUMPRODUCT(MMULT(I246:W246,_XtX!$B$78:$P$92),I246:W246)</f>
        <v>0.564984237938597</v>
      </c>
      <c r="Z246" s="0" t="n">
        <f aca="false">04_回帰ANOVA!$K$19*04_回帰ANOVA!$K$14*SQRT(1+Y246)</f>
        <v>1.63062229734503</v>
      </c>
      <c r="AA246" s="0" t="n">
        <f aca="false">X246-Z246</f>
        <v>41.6441492669825</v>
      </c>
      <c r="AB246" s="0" t="n">
        <f aca="false">X246+Z246</f>
        <v>44.9053938616726</v>
      </c>
      <c r="AC246" s="54" t="b">
        <f aca="false">AND(E246&gt;=01_因子設定!$L$5-0.000000001,E246&lt;=01_因子設定!$M$5+0.000000001,F246&gt;=01_因子設定!$L$6-0.000000001,F246&lt;=01_因子設定!$M$6+0.000000001,G246&gt;=01_因子設定!$L$7-0.000000001,G246&lt;=01_因子設定!$M$7+0.000000001,H246&gt;=01_因子設定!$L$8-0.000000001,H246&lt;=01_因子設定!$M$8+0.000000001,IF(01_因子設定!$B$20="Box-Behnken",E246^2+F246^2+G246^2+H246^2&lt;=2+0.000000001,TRUE()))</f>
        <v>1</v>
      </c>
      <c r="AD246" s="55" t="n">
        <f aca="false">IF(AC246,IF(01_因子設定!$B$13="最大化",AA246-01_因子設定!$B$14,IF(01_因子設定!$B$13="最小化",01_因子設定!$B$15-AB246,MIN(AA246-01_因子設定!$B$14,01_因子設定!$B$15-AB246))),-1E+030)</f>
        <v>-4.8558507330175</v>
      </c>
      <c r="AE246" s="55" t="n">
        <f aca="false">IF(AC246,IF(01_因子設定!$B$13="最大化",X246,IF(01_因子設定!$B$13="最小化",-X246,-ABS(X246-01_因子設定!$B$16))),-1E+030)</f>
        <v>43.2747715643275</v>
      </c>
      <c r="AF246" s="55" t="n">
        <f aca="false">AD246+ROW()*0.000000001</f>
        <v>-4.8558504870175</v>
      </c>
      <c r="AG246" s="55" t="n">
        <f aca="false">AE246+ROW()*0.000000001</f>
        <v>43.2747718103275</v>
      </c>
    </row>
    <row r="247" customFormat="false" ht="15" hidden="false" customHeight="false" outlineLevel="0" collapsed="false">
      <c r="A247" s="0" t="n">
        <v>0</v>
      </c>
      <c r="B247" s="0" t="n">
        <v>2</v>
      </c>
      <c r="C247" s="0" t="n">
        <v>8</v>
      </c>
      <c r="D247" s="0" t="n">
        <v>8</v>
      </c>
      <c r="E247" s="0" t="n">
        <f aca="false">-1+A247*0.25</f>
        <v>-1</v>
      </c>
      <c r="F247" s="0" t="n">
        <f aca="false">-1+B247*0.25</f>
        <v>-0.5</v>
      </c>
      <c r="G247" s="0" t="n">
        <f aca="false">-1+C247*0.25</f>
        <v>1</v>
      </c>
      <c r="H247" s="0" t="n">
        <f aca="false">-1+D247*0.25</f>
        <v>1</v>
      </c>
      <c r="I247" s="0" t="n">
        <f aca="false">1</f>
        <v>1</v>
      </c>
      <c r="J247" s="0" t="n">
        <f aca="false">E247</f>
        <v>-1</v>
      </c>
      <c r="K247" s="0" t="n">
        <f aca="false">F247</f>
        <v>-0.5</v>
      </c>
      <c r="L247" s="0" t="n">
        <f aca="false">G247</f>
        <v>1</v>
      </c>
      <c r="M247" s="0" t="n">
        <f aca="false">H247</f>
        <v>1</v>
      </c>
      <c r="N247" s="0" t="n">
        <f aca="false">E247*F247</f>
        <v>0.5</v>
      </c>
      <c r="O247" s="0" t="n">
        <f aca="false">E247*G247</f>
        <v>-1</v>
      </c>
      <c r="P247" s="0" t="n">
        <f aca="false">E247*H247</f>
        <v>-1</v>
      </c>
      <c r="Q247" s="0" t="n">
        <f aca="false">F247*G247</f>
        <v>-0.5</v>
      </c>
      <c r="R247" s="0" t="n">
        <f aca="false">F247*H247</f>
        <v>-0.5</v>
      </c>
      <c r="S247" s="0" t="n">
        <f aca="false">G247*H247</f>
        <v>1</v>
      </c>
      <c r="T247" s="0" t="n">
        <f aca="false">E247*E247</f>
        <v>1</v>
      </c>
      <c r="U247" s="0" t="n">
        <f aca="false">F247*F247</f>
        <v>0.25</v>
      </c>
      <c r="V247" s="0" t="n">
        <f aca="false">G247*G247</f>
        <v>1</v>
      </c>
      <c r="W247" s="0" t="n">
        <f aca="false">H247*H247</f>
        <v>1</v>
      </c>
      <c r="X247" s="0" t="n">
        <f aca="false">SUMPRODUCT(I247:W247,_XtX!$B$96:$P$96)</f>
        <v>43.2760233918129</v>
      </c>
      <c r="Y247" s="0" t="n">
        <f aca="false">SUMPRODUCT(MMULT(I247:W247,_XtX!$B$78:$P$92),I247:W247)</f>
        <v>0.667123538011696</v>
      </c>
      <c r="Z247" s="0" t="n">
        <f aca="false">04_回帰ANOVA!$K$19*04_回帰ANOVA!$K$14*SQRT(1+Y247)</f>
        <v>1.68299290213005</v>
      </c>
      <c r="AA247" s="0" t="n">
        <f aca="false">X247-Z247</f>
        <v>41.5930304896829</v>
      </c>
      <c r="AB247" s="0" t="n">
        <f aca="false">X247+Z247</f>
        <v>44.959016293943</v>
      </c>
      <c r="AC247" s="54" t="b">
        <f aca="false">AND(E247&gt;=01_因子設定!$L$5-0.000000001,E247&lt;=01_因子設定!$M$5+0.000000001,F247&gt;=01_因子設定!$L$6-0.000000001,F247&lt;=01_因子設定!$M$6+0.000000001,G247&gt;=01_因子設定!$L$7-0.000000001,G247&lt;=01_因子設定!$M$7+0.000000001,H247&gt;=01_因子設定!$L$8-0.000000001,H247&lt;=01_因子設定!$M$8+0.000000001,IF(01_因子設定!$B$20="Box-Behnken",E247^2+F247^2+G247^2+H247^2&lt;=2+0.000000001,TRUE()))</f>
        <v>1</v>
      </c>
      <c r="AD247" s="55" t="n">
        <f aca="false">IF(AC247,IF(01_因子設定!$B$13="最大化",AA247-01_因子設定!$B$14,IF(01_因子設定!$B$13="最小化",01_因子設定!$B$15-AB247,MIN(AA247-01_因子設定!$B$14,01_因子設定!$B$15-AB247))),-1E+030)</f>
        <v>-4.90696951031712</v>
      </c>
      <c r="AE247" s="55" t="n">
        <f aca="false">IF(AC247,IF(01_因子設定!$B$13="最大化",X247,IF(01_因子設定!$B$13="最小化",-X247,-ABS(X247-01_因子設定!$B$16))),-1E+030)</f>
        <v>43.2760233918129</v>
      </c>
      <c r="AF247" s="55" t="n">
        <f aca="false">AD247+ROW()*0.000000001</f>
        <v>-4.90696926331712</v>
      </c>
      <c r="AG247" s="55" t="n">
        <f aca="false">AE247+ROW()*0.000000001</f>
        <v>43.2760236388129</v>
      </c>
    </row>
    <row r="248" customFormat="false" ht="15" hidden="false" customHeight="false" outlineLevel="0" collapsed="false">
      <c r="A248" s="0" t="n">
        <v>0</v>
      </c>
      <c r="B248" s="0" t="n">
        <v>3</v>
      </c>
      <c r="C248" s="0" t="n">
        <v>0</v>
      </c>
      <c r="D248" s="0" t="n">
        <v>0</v>
      </c>
      <c r="E248" s="0" t="n">
        <f aca="false">-1+A248*0.25</f>
        <v>-1</v>
      </c>
      <c r="F248" s="0" t="n">
        <f aca="false">-1+B248*0.25</f>
        <v>-0.25</v>
      </c>
      <c r="G248" s="0" t="n">
        <f aca="false">-1+C248*0.25</f>
        <v>-1</v>
      </c>
      <c r="H248" s="0" t="n">
        <f aca="false">-1+D248*0.25</f>
        <v>-1</v>
      </c>
      <c r="I248" s="0" t="n">
        <f aca="false">1</f>
        <v>1</v>
      </c>
      <c r="J248" s="0" t="n">
        <f aca="false">E248</f>
        <v>-1</v>
      </c>
      <c r="K248" s="0" t="n">
        <f aca="false">F248</f>
        <v>-0.25</v>
      </c>
      <c r="L248" s="0" t="n">
        <f aca="false">G248</f>
        <v>-1</v>
      </c>
      <c r="M248" s="0" t="n">
        <f aca="false">H248</f>
        <v>-1</v>
      </c>
      <c r="N248" s="0" t="n">
        <f aca="false">E248*F248</f>
        <v>0.25</v>
      </c>
      <c r="O248" s="0" t="n">
        <f aca="false">E248*G248</f>
        <v>1</v>
      </c>
      <c r="P248" s="0" t="n">
        <f aca="false">E248*H248</f>
        <v>1</v>
      </c>
      <c r="Q248" s="0" t="n">
        <f aca="false">F248*G248</f>
        <v>0.25</v>
      </c>
      <c r="R248" s="0" t="n">
        <f aca="false">F248*H248</f>
        <v>0.25</v>
      </c>
      <c r="S248" s="0" t="n">
        <f aca="false">G248*H248</f>
        <v>1</v>
      </c>
      <c r="T248" s="0" t="n">
        <f aca="false">E248*E248</f>
        <v>1</v>
      </c>
      <c r="U248" s="0" t="n">
        <f aca="false">F248*F248</f>
        <v>0.0625</v>
      </c>
      <c r="V248" s="0" t="n">
        <f aca="false">G248*G248</f>
        <v>1</v>
      </c>
      <c r="W248" s="0" t="n">
        <f aca="false">H248*H248</f>
        <v>1</v>
      </c>
      <c r="X248" s="0" t="n">
        <f aca="false">SUMPRODUCT(I248:W248,_XtX!$B$96:$P$96)</f>
        <v>40.2498172514621</v>
      </c>
      <c r="Y248" s="0" t="n">
        <f aca="false">SUMPRODUCT(MMULT(I248:W248,_XtX!$B$78:$P$92),I248:W248)</f>
        <v>0.737093384502924</v>
      </c>
      <c r="Z248" s="0" t="n">
        <f aca="false">04_回帰ANOVA!$K$19*04_回帰ANOVA!$K$14*SQRT(1+Y248)</f>
        <v>1.71794784853551</v>
      </c>
      <c r="AA248" s="0" t="n">
        <f aca="false">X248-Z248</f>
        <v>38.5318694029266</v>
      </c>
      <c r="AB248" s="0" t="n">
        <f aca="false">X248+Z248</f>
        <v>41.9677650999976</v>
      </c>
      <c r="AC248" s="54" t="b">
        <f aca="false">AND(E248&gt;=01_因子設定!$L$5-0.000000001,E248&lt;=01_因子設定!$M$5+0.000000001,F248&gt;=01_因子設定!$L$6-0.000000001,F248&lt;=01_因子設定!$M$6+0.000000001,G248&gt;=01_因子設定!$L$7-0.000000001,G248&lt;=01_因子設定!$M$7+0.000000001,H248&gt;=01_因子設定!$L$8-0.000000001,H248&lt;=01_因子設定!$M$8+0.000000001,IF(01_因子設定!$B$20="Box-Behnken",E248^2+F248^2+G248^2+H248^2&lt;=2+0.000000001,TRUE()))</f>
        <v>1</v>
      </c>
      <c r="AD248" s="55" t="n">
        <f aca="false">IF(AC248,IF(01_因子設定!$B$13="最大化",AA248-01_因子設定!$B$14,IF(01_因子設定!$B$13="最小化",01_因子設定!$B$15-AB248,MIN(AA248-01_因子設定!$B$14,01_因子設定!$B$15-AB248))),-1E+030)</f>
        <v>-7.96813059707345</v>
      </c>
      <c r="AE248" s="55" t="n">
        <f aca="false">IF(AC248,IF(01_因子設定!$B$13="最大化",X248,IF(01_因子設定!$B$13="最小化",-X248,-ABS(X248-01_因子設定!$B$16))),-1E+030)</f>
        <v>40.2498172514621</v>
      </c>
      <c r="AF248" s="55" t="n">
        <f aca="false">AD248+ROW()*0.000000001</f>
        <v>-7.96813034907345</v>
      </c>
      <c r="AG248" s="55" t="n">
        <f aca="false">AE248+ROW()*0.000000001</f>
        <v>40.2498174994621</v>
      </c>
    </row>
    <row r="249" customFormat="false" ht="15" hidden="false" customHeight="false" outlineLevel="0" collapsed="false">
      <c r="A249" s="0" t="n">
        <v>0</v>
      </c>
      <c r="B249" s="0" t="n">
        <v>3</v>
      </c>
      <c r="C249" s="0" t="n">
        <v>0</v>
      </c>
      <c r="D249" s="0" t="n">
        <v>1</v>
      </c>
      <c r="E249" s="0" t="n">
        <f aca="false">-1+A249*0.25</f>
        <v>-1</v>
      </c>
      <c r="F249" s="0" t="n">
        <f aca="false">-1+B249*0.25</f>
        <v>-0.25</v>
      </c>
      <c r="G249" s="0" t="n">
        <f aca="false">-1+C249*0.25</f>
        <v>-1</v>
      </c>
      <c r="H249" s="0" t="n">
        <f aca="false">-1+D249*0.25</f>
        <v>-0.75</v>
      </c>
      <c r="I249" s="0" t="n">
        <f aca="false">1</f>
        <v>1</v>
      </c>
      <c r="J249" s="0" t="n">
        <f aca="false">E249</f>
        <v>-1</v>
      </c>
      <c r="K249" s="0" t="n">
        <f aca="false">F249</f>
        <v>-0.25</v>
      </c>
      <c r="L249" s="0" t="n">
        <f aca="false">G249</f>
        <v>-1</v>
      </c>
      <c r="M249" s="0" t="n">
        <f aca="false">H249</f>
        <v>-0.75</v>
      </c>
      <c r="N249" s="0" t="n">
        <f aca="false">E249*F249</f>
        <v>0.25</v>
      </c>
      <c r="O249" s="0" t="n">
        <f aca="false">E249*G249</f>
        <v>1</v>
      </c>
      <c r="P249" s="0" t="n">
        <f aca="false">E249*H249</f>
        <v>0.75</v>
      </c>
      <c r="Q249" s="0" t="n">
        <f aca="false">F249*G249</f>
        <v>0.25</v>
      </c>
      <c r="R249" s="0" t="n">
        <f aca="false">F249*H249</f>
        <v>0.1875</v>
      </c>
      <c r="S249" s="0" t="n">
        <f aca="false">G249*H249</f>
        <v>0.75</v>
      </c>
      <c r="T249" s="0" t="n">
        <f aca="false">E249*E249</f>
        <v>1</v>
      </c>
      <c r="U249" s="0" t="n">
        <f aca="false">F249*F249</f>
        <v>0.0625</v>
      </c>
      <c r="V249" s="0" t="n">
        <f aca="false">G249*G249</f>
        <v>1</v>
      </c>
      <c r="W249" s="0" t="n">
        <f aca="false">H249*H249</f>
        <v>0.5625</v>
      </c>
      <c r="X249" s="0" t="n">
        <f aca="false">SUMPRODUCT(I249:W249,_XtX!$B$96:$P$96)</f>
        <v>40.4286869517544</v>
      </c>
      <c r="Y249" s="0" t="n">
        <f aca="false">SUMPRODUCT(MMULT(I249:W249,_XtX!$B$78:$P$92),I249:W249)</f>
        <v>0.621372155975877</v>
      </c>
      <c r="Z249" s="0" t="n">
        <f aca="false">04_回帰ANOVA!$K$19*04_回帰ANOVA!$K$14*SQRT(1+Y249)</f>
        <v>1.65973880499872</v>
      </c>
      <c r="AA249" s="0" t="n">
        <f aca="false">X249-Z249</f>
        <v>38.7689481467557</v>
      </c>
      <c r="AB249" s="0" t="n">
        <f aca="false">X249+Z249</f>
        <v>42.0884257567532</v>
      </c>
      <c r="AC249" s="54" t="b">
        <f aca="false">AND(E249&gt;=01_因子設定!$L$5-0.000000001,E249&lt;=01_因子設定!$M$5+0.000000001,F249&gt;=01_因子設定!$L$6-0.000000001,F249&lt;=01_因子設定!$M$6+0.000000001,G249&gt;=01_因子設定!$L$7-0.000000001,G249&lt;=01_因子設定!$M$7+0.000000001,H249&gt;=01_因子設定!$L$8-0.000000001,H249&lt;=01_因子設定!$M$8+0.000000001,IF(01_因子設定!$B$20="Box-Behnken",E249^2+F249^2+G249^2+H249^2&lt;=2+0.000000001,TRUE()))</f>
        <v>1</v>
      </c>
      <c r="AD249" s="55" t="n">
        <f aca="false">IF(AC249,IF(01_因子設定!$B$13="最大化",AA249-01_因子設定!$B$14,IF(01_因子設定!$B$13="最小化",01_因子設定!$B$15-AB249,MIN(AA249-01_因子設定!$B$14,01_因子設定!$B$15-AB249))),-1E+030)</f>
        <v>-7.73105185324428</v>
      </c>
      <c r="AE249" s="55" t="n">
        <f aca="false">IF(AC249,IF(01_因子設定!$B$13="最大化",X249,IF(01_因子設定!$B$13="最小化",-X249,-ABS(X249-01_因子設定!$B$16))),-1E+030)</f>
        <v>40.4286869517544</v>
      </c>
      <c r="AF249" s="55" t="n">
        <f aca="false">AD249+ROW()*0.000000001</f>
        <v>-7.73105160424428</v>
      </c>
      <c r="AG249" s="55" t="n">
        <f aca="false">AE249+ROW()*0.000000001</f>
        <v>40.4286872007544</v>
      </c>
    </row>
    <row r="250" customFormat="false" ht="15" hidden="false" customHeight="false" outlineLevel="0" collapsed="false">
      <c r="A250" s="0" t="n">
        <v>0</v>
      </c>
      <c r="B250" s="0" t="n">
        <v>3</v>
      </c>
      <c r="C250" s="0" t="n">
        <v>0</v>
      </c>
      <c r="D250" s="0" t="n">
        <v>2</v>
      </c>
      <c r="E250" s="0" t="n">
        <f aca="false">-1+A250*0.25</f>
        <v>-1</v>
      </c>
      <c r="F250" s="0" t="n">
        <f aca="false">-1+B250*0.25</f>
        <v>-0.25</v>
      </c>
      <c r="G250" s="0" t="n">
        <f aca="false">-1+C250*0.25</f>
        <v>-1</v>
      </c>
      <c r="H250" s="0" t="n">
        <f aca="false">-1+D250*0.25</f>
        <v>-0.5</v>
      </c>
      <c r="I250" s="0" t="n">
        <f aca="false">1</f>
        <v>1</v>
      </c>
      <c r="J250" s="0" t="n">
        <f aca="false">E250</f>
        <v>-1</v>
      </c>
      <c r="K250" s="0" t="n">
        <f aca="false">F250</f>
        <v>-0.25</v>
      </c>
      <c r="L250" s="0" t="n">
        <f aca="false">G250</f>
        <v>-1</v>
      </c>
      <c r="M250" s="0" t="n">
        <f aca="false">H250</f>
        <v>-0.5</v>
      </c>
      <c r="N250" s="0" t="n">
        <f aca="false">E250*F250</f>
        <v>0.25</v>
      </c>
      <c r="O250" s="0" t="n">
        <f aca="false">E250*G250</f>
        <v>1</v>
      </c>
      <c r="P250" s="0" t="n">
        <f aca="false">E250*H250</f>
        <v>0.5</v>
      </c>
      <c r="Q250" s="0" t="n">
        <f aca="false">F250*G250</f>
        <v>0.25</v>
      </c>
      <c r="R250" s="0" t="n">
        <f aca="false">F250*H250</f>
        <v>0.125</v>
      </c>
      <c r="S250" s="0" t="n">
        <f aca="false">G250*H250</f>
        <v>0.5</v>
      </c>
      <c r="T250" s="0" t="n">
        <f aca="false">E250*E250</f>
        <v>1</v>
      </c>
      <c r="U250" s="0" t="n">
        <f aca="false">F250*F250</f>
        <v>0.0625</v>
      </c>
      <c r="V250" s="0" t="n">
        <f aca="false">G250*G250</f>
        <v>1</v>
      </c>
      <c r="W250" s="0" t="n">
        <f aca="false">H250*H250</f>
        <v>0.25</v>
      </c>
      <c r="X250" s="0" t="n">
        <f aca="false">SUMPRODUCT(I250:W250,_XtX!$B$96:$P$96)</f>
        <v>40.559749634503</v>
      </c>
      <c r="Y250" s="0" t="n">
        <f aca="false">SUMPRODUCT(MMULT(I250:W250,_XtX!$B$78:$P$92),I250:W250)</f>
        <v>0.629174661915205</v>
      </c>
      <c r="Z250" s="0" t="n">
        <f aca="false">04_回帰ANOVA!$K$19*04_回帰ANOVA!$K$14*SQRT(1+Y250)</f>
        <v>1.66372758058297</v>
      </c>
      <c r="AA250" s="0" t="n">
        <f aca="false">X250-Z250</f>
        <v>38.89602205392</v>
      </c>
      <c r="AB250" s="0" t="n">
        <f aca="false">X250+Z250</f>
        <v>42.2234772150859</v>
      </c>
      <c r="AC250" s="54" t="b">
        <f aca="false">AND(E250&gt;=01_因子設定!$L$5-0.000000001,E250&lt;=01_因子設定!$M$5+0.000000001,F250&gt;=01_因子設定!$L$6-0.000000001,F250&lt;=01_因子設定!$M$6+0.000000001,G250&gt;=01_因子設定!$L$7-0.000000001,G250&lt;=01_因子設定!$M$7+0.000000001,H250&gt;=01_因子設定!$L$8-0.000000001,H250&lt;=01_因子設定!$M$8+0.000000001,IF(01_因子設定!$B$20="Box-Behnken",E250^2+F250^2+G250^2+H250^2&lt;=2+0.000000001,TRUE()))</f>
        <v>1</v>
      </c>
      <c r="AD250" s="55" t="n">
        <f aca="false">IF(AC250,IF(01_因子設定!$B$13="最大化",AA250-01_因子設定!$B$14,IF(01_因子設定!$B$13="最小化",01_因子設定!$B$15-AB250,MIN(AA250-01_因子設定!$B$14,01_因子設定!$B$15-AB250))),-1E+030)</f>
        <v>-7.60397794608001</v>
      </c>
      <c r="AE250" s="55" t="n">
        <f aca="false">IF(AC250,IF(01_因子設定!$B$13="最大化",X250,IF(01_因子設定!$B$13="最小化",-X250,-ABS(X250-01_因子設定!$B$16))),-1E+030)</f>
        <v>40.559749634503</v>
      </c>
      <c r="AF250" s="55" t="n">
        <f aca="false">AD250+ROW()*0.000000001</f>
        <v>-7.60397769608001</v>
      </c>
      <c r="AG250" s="55" t="n">
        <f aca="false">AE250+ROW()*0.000000001</f>
        <v>40.559749884503</v>
      </c>
    </row>
    <row r="251" customFormat="false" ht="15" hidden="false" customHeight="false" outlineLevel="0" collapsed="false">
      <c r="A251" s="0" t="n">
        <v>0</v>
      </c>
      <c r="B251" s="0" t="n">
        <v>3</v>
      </c>
      <c r="C251" s="0" t="n">
        <v>0</v>
      </c>
      <c r="D251" s="0" t="n">
        <v>3</v>
      </c>
      <c r="E251" s="0" t="n">
        <f aca="false">-1+A251*0.25</f>
        <v>-1</v>
      </c>
      <c r="F251" s="0" t="n">
        <f aca="false">-1+B251*0.25</f>
        <v>-0.25</v>
      </c>
      <c r="G251" s="0" t="n">
        <f aca="false">-1+C251*0.25</f>
        <v>-1</v>
      </c>
      <c r="H251" s="0" t="n">
        <f aca="false">-1+D251*0.25</f>
        <v>-0.25</v>
      </c>
      <c r="I251" s="0" t="n">
        <f aca="false">1</f>
        <v>1</v>
      </c>
      <c r="J251" s="0" t="n">
        <f aca="false">E251</f>
        <v>-1</v>
      </c>
      <c r="K251" s="0" t="n">
        <f aca="false">F251</f>
        <v>-0.25</v>
      </c>
      <c r="L251" s="0" t="n">
        <f aca="false">G251</f>
        <v>-1</v>
      </c>
      <c r="M251" s="0" t="n">
        <f aca="false">H251</f>
        <v>-0.25</v>
      </c>
      <c r="N251" s="0" t="n">
        <f aca="false">E251*F251</f>
        <v>0.25</v>
      </c>
      <c r="O251" s="0" t="n">
        <f aca="false">E251*G251</f>
        <v>1</v>
      </c>
      <c r="P251" s="0" t="n">
        <f aca="false">E251*H251</f>
        <v>0.25</v>
      </c>
      <c r="Q251" s="0" t="n">
        <f aca="false">F251*G251</f>
        <v>0.25</v>
      </c>
      <c r="R251" s="0" t="n">
        <f aca="false">F251*H251</f>
        <v>0.0625</v>
      </c>
      <c r="S251" s="0" t="n">
        <f aca="false">G251*H251</f>
        <v>0.25</v>
      </c>
      <c r="T251" s="0" t="n">
        <f aca="false">E251*E251</f>
        <v>1</v>
      </c>
      <c r="U251" s="0" t="n">
        <f aca="false">F251*F251</f>
        <v>0.0625</v>
      </c>
      <c r="V251" s="0" t="n">
        <f aca="false">G251*G251</f>
        <v>1</v>
      </c>
      <c r="W251" s="0" t="n">
        <f aca="false">H251*H251</f>
        <v>0.0625</v>
      </c>
      <c r="X251" s="0" t="n">
        <f aca="false">SUMPRODUCT(I251:W251,_XtX!$B$96:$P$96)</f>
        <v>40.6430052997076</v>
      </c>
      <c r="Y251" s="0" t="n">
        <f aca="false">SUMPRODUCT(MMULT(I251:W251,_XtX!$B$78:$P$92),I251:W251)</f>
        <v>0.670040376005117</v>
      </c>
      <c r="Z251" s="0" t="n">
        <f aca="false">04_回帰ANOVA!$K$19*04_回帰ANOVA!$K$14*SQRT(1+Y251)</f>
        <v>1.68446456039992</v>
      </c>
      <c r="AA251" s="0" t="n">
        <f aca="false">X251-Z251</f>
        <v>38.9585407393077</v>
      </c>
      <c r="AB251" s="0" t="n">
        <f aca="false">X251+Z251</f>
        <v>42.3274698601076</v>
      </c>
      <c r="AC251" s="54" t="b">
        <f aca="false">AND(E251&gt;=01_因子設定!$L$5-0.000000001,E251&lt;=01_因子設定!$M$5+0.000000001,F251&gt;=01_因子設定!$L$6-0.000000001,F251&lt;=01_因子設定!$M$6+0.000000001,G251&gt;=01_因子設定!$L$7-0.000000001,G251&lt;=01_因子設定!$M$7+0.000000001,H251&gt;=01_因子設定!$L$8-0.000000001,H251&lt;=01_因子設定!$M$8+0.000000001,IF(01_因子設定!$B$20="Box-Behnken",E251^2+F251^2+G251^2+H251^2&lt;=2+0.000000001,TRUE()))</f>
        <v>1</v>
      </c>
      <c r="AD251" s="55" t="n">
        <f aca="false">IF(AC251,IF(01_因子設定!$B$13="最大化",AA251-01_因子設定!$B$14,IF(01_因子設定!$B$13="最小化",01_因子設定!$B$15-AB251,MIN(AA251-01_因子設定!$B$14,01_因子設定!$B$15-AB251))),-1E+030)</f>
        <v>-7.54145926069229</v>
      </c>
      <c r="AE251" s="55" t="n">
        <f aca="false">IF(AC251,IF(01_因子設定!$B$13="最大化",X251,IF(01_因子設定!$B$13="最小化",-X251,-ABS(X251-01_因子設定!$B$16))),-1E+030)</f>
        <v>40.6430052997076</v>
      </c>
      <c r="AF251" s="55" t="n">
        <f aca="false">AD251+ROW()*0.000000001</f>
        <v>-7.54145900969229</v>
      </c>
      <c r="AG251" s="55" t="n">
        <f aca="false">AE251+ROW()*0.000000001</f>
        <v>40.6430055507076</v>
      </c>
    </row>
    <row r="252" customFormat="false" ht="15" hidden="false" customHeight="false" outlineLevel="0" collapsed="false">
      <c r="A252" s="0" t="n">
        <v>0</v>
      </c>
      <c r="B252" s="0" t="n">
        <v>3</v>
      </c>
      <c r="C252" s="0" t="n">
        <v>0</v>
      </c>
      <c r="D252" s="0" t="n">
        <v>4</v>
      </c>
      <c r="E252" s="0" t="n">
        <f aca="false">-1+A252*0.25</f>
        <v>-1</v>
      </c>
      <c r="F252" s="0" t="n">
        <f aca="false">-1+B252*0.25</f>
        <v>-0.25</v>
      </c>
      <c r="G252" s="0" t="n">
        <f aca="false">-1+C252*0.25</f>
        <v>-1</v>
      </c>
      <c r="H252" s="0" t="n">
        <f aca="false">-1+D252*0.25</f>
        <v>0</v>
      </c>
      <c r="I252" s="0" t="n">
        <f aca="false">1</f>
        <v>1</v>
      </c>
      <c r="J252" s="0" t="n">
        <f aca="false">E252</f>
        <v>-1</v>
      </c>
      <c r="K252" s="0" t="n">
        <f aca="false">F252</f>
        <v>-0.25</v>
      </c>
      <c r="L252" s="0" t="n">
        <f aca="false">G252</f>
        <v>-1</v>
      </c>
      <c r="M252" s="0" t="n">
        <f aca="false">H252</f>
        <v>0</v>
      </c>
      <c r="N252" s="0" t="n">
        <f aca="false">E252*F252</f>
        <v>0.25</v>
      </c>
      <c r="O252" s="0" t="n">
        <f aca="false">E252*G252</f>
        <v>1</v>
      </c>
      <c r="P252" s="0" t="n">
        <f aca="false">E252*H252</f>
        <v>-0</v>
      </c>
      <c r="Q252" s="0" t="n">
        <f aca="false">F252*G252</f>
        <v>0.25</v>
      </c>
      <c r="R252" s="0" t="n">
        <f aca="false">F252*H252</f>
        <v>-0</v>
      </c>
      <c r="S252" s="0" t="n">
        <f aca="false">G252*H252</f>
        <v>-0</v>
      </c>
      <c r="T252" s="0" t="n">
        <f aca="false">E252*E252</f>
        <v>1</v>
      </c>
      <c r="U252" s="0" t="n">
        <f aca="false">F252*F252</f>
        <v>0.0625</v>
      </c>
      <c r="V252" s="0" t="n">
        <f aca="false">G252*G252</f>
        <v>1</v>
      </c>
      <c r="W252" s="0" t="n">
        <f aca="false">H252*H252</f>
        <v>0</v>
      </c>
      <c r="X252" s="0" t="n">
        <f aca="false">SUMPRODUCT(I252:W252,_XtX!$B$96:$P$96)</f>
        <v>40.6784539473685</v>
      </c>
      <c r="Y252" s="0" t="n">
        <f aca="false">SUMPRODUCT(MMULT(I252:W252,_XtX!$B$78:$P$92),I252:W252)</f>
        <v>0.689692982456141</v>
      </c>
      <c r="Z252" s="0" t="n">
        <f aca="false">04_回帰ANOVA!$K$19*04_回帰ANOVA!$K$14*SQRT(1+Y252)</f>
        <v>1.69434674594998</v>
      </c>
      <c r="AA252" s="0" t="n">
        <f aca="false">X252-Z252</f>
        <v>38.9841072014185</v>
      </c>
      <c r="AB252" s="0" t="n">
        <f aca="false">X252+Z252</f>
        <v>42.3728006933184</v>
      </c>
      <c r="AC252" s="54" t="b">
        <f aca="false">AND(E252&gt;=01_因子設定!$L$5-0.000000001,E252&lt;=01_因子設定!$M$5+0.000000001,F252&gt;=01_因子設定!$L$6-0.000000001,F252&lt;=01_因子設定!$M$6+0.000000001,G252&gt;=01_因子設定!$L$7-0.000000001,G252&lt;=01_因子設定!$M$7+0.000000001,H252&gt;=01_因子設定!$L$8-0.000000001,H252&lt;=01_因子設定!$M$8+0.000000001,IF(01_因子設定!$B$20="Box-Behnken",E252^2+F252^2+G252^2+H252^2&lt;=2+0.000000001,TRUE()))</f>
        <v>1</v>
      </c>
      <c r="AD252" s="55" t="n">
        <f aca="false">IF(AC252,IF(01_因子設定!$B$13="最大化",AA252-01_因子設定!$B$14,IF(01_因子設定!$B$13="最小化",01_因子設定!$B$15-AB252,MIN(AA252-01_因子設定!$B$14,01_因子設定!$B$15-AB252))),-1E+030)</f>
        <v>-7.51589279858153</v>
      </c>
      <c r="AE252" s="55" t="n">
        <f aca="false">IF(AC252,IF(01_因子設定!$B$13="最大化",X252,IF(01_因子設定!$B$13="最小化",-X252,-ABS(X252-01_因子設定!$B$16))),-1E+030)</f>
        <v>40.6784539473685</v>
      </c>
      <c r="AF252" s="55" t="n">
        <f aca="false">AD252+ROW()*0.000000001</f>
        <v>-7.51589254658153</v>
      </c>
      <c r="AG252" s="55" t="n">
        <f aca="false">AE252+ROW()*0.000000001</f>
        <v>40.6784541993685</v>
      </c>
    </row>
    <row r="253" customFormat="false" ht="15" hidden="false" customHeight="false" outlineLevel="0" collapsed="false">
      <c r="A253" s="0" t="n">
        <v>0</v>
      </c>
      <c r="B253" s="0" t="n">
        <v>3</v>
      </c>
      <c r="C253" s="0" t="n">
        <v>0</v>
      </c>
      <c r="D253" s="0" t="n">
        <v>5</v>
      </c>
      <c r="E253" s="0" t="n">
        <f aca="false">-1+A253*0.25</f>
        <v>-1</v>
      </c>
      <c r="F253" s="0" t="n">
        <f aca="false">-1+B253*0.25</f>
        <v>-0.25</v>
      </c>
      <c r="G253" s="0" t="n">
        <f aca="false">-1+C253*0.25</f>
        <v>-1</v>
      </c>
      <c r="H253" s="0" t="n">
        <f aca="false">-1+D253*0.25</f>
        <v>0.25</v>
      </c>
      <c r="I253" s="0" t="n">
        <f aca="false">1</f>
        <v>1</v>
      </c>
      <c r="J253" s="0" t="n">
        <f aca="false">E253</f>
        <v>-1</v>
      </c>
      <c r="K253" s="0" t="n">
        <f aca="false">F253</f>
        <v>-0.25</v>
      </c>
      <c r="L253" s="0" t="n">
        <f aca="false">G253</f>
        <v>-1</v>
      </c>
      <c r="M253" s="0" t="n">
        <f aca="false">H253</f>
        <v>0.25</v>
      </c>
      <c r="N253" s="0" t="n">
        <f aca="false">E253*F253</f>
        <v>0.25</v>
      </c>
      <c r="O253" s="0" t="n">
        <f aca="false">E253*G253</f>
        <v>1</v>
      </c>
      <c r="P253" s="0" t="n">
        <f aca="false">E253*H253</f>
        <v>-0.25</v>
      </c>
      <c r="Q253" s="0" t="n">
        <f aca="false">F253*G253</f>
        <v>0.25</v>
      </c>
      <c r="R253" s="0" t="n">
        <f aca="false">F253*H253</f>
        <v>-0.0625</v>
      </c>
      <c r="S253" s="0" t="n">
        <f aca="false">G253*H253</f>
        <v>-0.25</v>
      </c>
      <c r="T253" s="0" t="n">
        <f aca="false">E253*E253</f>
        <v>1</v>
      </c>
      <c r="U253" s="0" t="n">
        <f aca="false">F253*F253</f>
        <v>0.0625</v>
      </c>
      <c r="V253" s="0" t="n">
        <f aca="false">G253*G253</f>
        <v>1</v>
      </c>
      <c r="W253" s="0" t="n">
        <f aca="false">H253*H253</f>
        <v>0.0625</v>
      </c>
      <c r="X253" s="0" t="n">
        <f aca="false">SUMPRODUCT(I253:W253,_XtX!$B$96:$P$96)</f>
        <v>40.6660955774854</v>
      </c>
      <c r="Y253" s="0" t="n">
        <f aca="false">SUMPRODUCT(MMULT(I253:W253,_XtX!$B$78:$P$92),I253:W253)</f>
        <v>0.670040376005117</v>
      </c>
      <c r="Z253" s="0" t="n">
        <f aca="false">04_回帰ANOVA!$K$19*04_回帰ANOVA!$K$14*SQRT(1+Y253)</f>
        <v>1.68446456039992</v>
      </c>
      <c r="AA253" s="0" t="n">
        <f aca="false">X253-Z253</f>
        <v>38.9816310170855</v>
      </c>
      <c r="AB253" s="0" t="n">
        <f aca="false">X253+Z253</f>
        <v>42.3505601378853</v>
      </c>
      <c r="AC253" s="54" t="b">
        <f aca="false">AND(E253&gt;=01_因子設定!$L$5-0.000000001,E253&lt;=01_因子設定!$M$5+0.000000001,F253&gt;=01_因子設定!$L$6-0.000000001,F253&lt;=01_因子設定!$M$6+0.000000001,G253&gt;=01_因子設定!$L$7-0.000000001,G253&lt;=01_因子設定!$M$7+0.000000001,H253&gt;=01_因子設定!$L$8-0.000000001,H253&lt;=01_因子設定!$M$8+0.000000001,IF(01_因子設定!$B$20="Box-Behnken",E253^2+F253^2+G253^2+H253^2&lt;=2+0.000000001,TRUE()))</f>
        <v>1</v>
      </c>
      <c r="AD253" s="55" t="n">
        <f aca="false">IF(AC253,IF(01_因子設定!$B$13="最大化",AA253-01_因子設定!$B$14,IF(01_因子設定!$B$13="最小化",01_因子設定!$B$15-AB253,MIN(AA253-01_因子設定!$B$14,01_因子設定!$B$15-AB253))),-1E+030)</f>
        <v>-7.5183689829145</v>
      </c>
      <c r="AE253" s="55" t="n">
        <f aca="false">IF(AC253,IF(01_因子設定!$B$13="最大化",X253,IF(01_因子設定!$B$13="最小化",-X253,-ABS(X253-01_因子設定!$B$16))),-1E+030)</f>
        <v>40.6660955774854</v>
      </c>
      <c r="AF253" s="55" t="n">
        <f aca="false">AD253+ROW()*0.000000001</f>
        <v>-7.5183687299145</v>
      </c>
      <c r="AG253" s="55" t="n">
        <f aca="false">AE253+ROW()*0.000000001</f>
        <v>40.6660958304854</v>
      </c>
    </row>
    <row r="254" customFormat="false" ht="15" hidden="false" customHeight="false" outlineLevel="0" collapsed="false">
      <c r="A254" s="0" t="n">
        <v>0</v>
      </c>
      <c r="B254" s="0" t="n">
        <v>3</v>
      </c>
      <c r="C254" s="0" t="n">
        <v>0</v>
      </c>
      <c r="D254" s="0" t="n">
        <v>6</v>
      </c>
      <c r="E254" s="0" t="n">
        <f aca="false">-1+A254*0.25</f>
        <v>-1</v>
      </c>
      <c r="F254" s="0" t="n">
        <f aca="false">-1+B254*0.25</f>
        <v>-0.25</v>
      </c>
      <c r="G254" s="0" t="n">
        <f aca="false">-1+C254*0.25</f>
        <v>-1</v>
      </c>
      <c r="H254" s="0" t="n">
        <f aca="false">-1+D254*0.25</f>
        <v>0.5</v>
      </c>
      <c r="I254" s="0" t="n">
        <f aca="false">1</f>
        <v>1</v>
      </c>
      <c r="J254" s="0" t="n">
        <f aca="false">E254</f>
        <v>-1</v>
      </c>
      <c r="K254" s="0" t="n">
        <f aca="false">F254</f>
        <v>-0.25</v>
      </c>
      <c r="L254" s="0" t="n">
        <f aca="false">G254</f>
        <v>-1</v>
      </c>
      <c r="M254" s="0" t="n">
        <f aca="false">H254</f>
        <v>0.5</v>
      </c>
      <c r="N254" s="0" t="n">
        <f aca="false">E254*F254</f>
        <v>0.25</v>
      </c>
      <c r="O254" s="0" t="n">
        <f aca="false">E254*G254</f>
        <v>1</v>
      </c>
      <c r="P254" s="0" t="n">
        <f aca="false">E254*H254</f>
        <v>-0.5</v>
      </c>
      <c r="Q254" s="0" t="n">
        <f aca="false">F254*G254</f>
        <v>0.25</v>
      </c>
      <c r="R254" s="0" t="n">
        <f aca="false">F254*H254</f>
        <v>-0.125</v>
      </c>
      <c r="S254" s="0" t="n">
        <f aca="false">G254*H254</f>
        <v>-0.5</v>
      </c>
      <c r="T254" s="0" t="n">
        <f aca="false">E254*E254</f>
        <v>1</v>
      </c>
      <c r="U254" s="0" t="n">
        <f aca="false">F254*F254</f>
        <v>0.0625</v>
      </c>
      <c r="V254" s="0" t="n">
        <f aca="false">G254*G254</f>
        <v>1</v>
      </c>
      <c r="W254" s="0" t="n">
        <f aca="false">H254*H254</f>
        <v>0.25</v>
      </c>
      <c r="X254" s="0" t="n">
        <f aca="false">SUMPRODUCT(I254:W254,_XtX!$B$96:$P$96)</f>
        <v>40.6059301900585</v>
      </c>
      <c r="Y254" s="0" t="n">
        <f aca="false">SUMPRODUCT(MMULT(I254:W254,_XtX!$B$78:$P$92),I254:W254)</f>
        <v>0.629174661915205</v>
      </c>
      <c r="Z254" s="0" t="n">
        <f aca="false">04_回帰ANOVA!$K$19*04_回帰ANOVA!$K$14*SQRT(1+Y254)</f>
        <v>1.66372758058297</v>
      </c>
      <c r="AA254" s="0" t="n">
        <f aca="false">X254-Z254</f>
        <v>38.9422026094755</v>
      </c>
      <c r="AB254" s="0" t="n">
        <f aca="false">X254+Z254</f>
        <v>42.2696577706415</v>
      </c>
      <c r="AC254" s="54" t="b">
        <f aca="false">AND(E254&gt;=01_因子設定!$L$5-0.000000001,E254&lt;=01_因子設定!$M$5+0.000000001,F254&gt;=01_因子設定!$L$6-0.000000001,F254&lt;=01_因子設定!$M$6+0.000000001,G254&gt;=01_因子設定!$L$7-0.000000001,G254&lt;=01_因子設定!$M$7+0.000000001,H254&gt;=01_因子設定!$L$8-0.000000001,H254&lt;=01_因子設定!$M$8+0.000000001,IF(01_因子設定!$B$20="Box-Behnken",E254^2+F254^2+G254^2+H254^2&lt;=2+0.000000001,TRUE()))</f>
        <v>1</v>
      </c>
      <c r="AD254" s="55" t="n">
        <f aca="false">IF(AC254,IF(01_因子設定!$B$13="最大化",AA254-01_因子設定!$B$14,IF(01_因子設定!$B$13="最小化",01_因子設定!$B$15-AB254,MIN(AA254-01_因子設定!$B$14,01_因子設定!$B$15-AB254))),-1E+030)</f>
        <v>-7.55779739052446</v>
      </c>
      <c r="AE254" s="55" t="n">
        <f aca="false">IF(AC254,IF(01_因子設定!$B$13="最大化",X254,IF(01_因子設定!$B$13="最小化",-X254,-ABS(X254-01_因子設定!$B$16))),-1E+030)</f>
        <v>40.6059301900585</v>
      </c>
      <c r="AF254" s="55" t="n">
        <f aca="false">AD254+ROW()*0.000000001</f>
        <v>-7.55779713652446</v>
      </c>
      <c r="AG254" s="55" t="n">
        <f aca="false">AE254+ROW()*0.000000001</f>
        <v>40.6059304440585</v>
      </c>
    </row>
    <row r="255" customFormat="false" ht="15" hidden="false" customHeight="false" outlineLevel="0" collapsed="false">
      <c r="A255" s="0" t="n">
        <v>0</v>
      </c>
      <c r="B255" s="0" t="n">
        <v>3</v>
      </c>
      <c r="C255" s="0" t="n">
        <v>0</v>
      </c>
      <c r="D255" s="0" t="n">
        <v>7</v>
      </c>
      <c r="E255" s="0" t="n">
        <f aca="false">-1+A255*0.25</f>
        <v>-1</v>
      </c>
      <c r="F255" s="0" t="n">
        <f aca="false">-1+B255*0.25</f>
        <v>-0.25</v>
      </c>
      <c r="G255" s="0" t="n">
        <f aca="false">-1+C255*0.25</f>
        <v>-1</v>
      </c>
      <c r="H255" s="0" t="n">
        <f aca="false">-1+D255*0.25</f>
        <v>0.75</v>
      </c>
      <c r="I255" s="0" t="n">
        <f aca="false">1</f>
        <v>1</v>
      </c>
      <c r="J255" s="0" t="n">
        <f aca="false">E255</f>
        <v>-1</v>
      </c>
      <c r="K255" s="0" t="n">
        <f aca="false">F255</f>
        <v>-0.25</v>
      </c>
      <c r="L255" s="0" t="n">
        <f aca="false">G255</f>
        <v>-1</v>
      </c>
      <c r="M255" s="0" t="n">
        <f aca="false">H255</f>
        <v>0.75</v>
      </c>
      <c r="N255" s="0" t="n">
        <f aca="false">E255*F255</f>
        <v>0.25</v>
      </c>
      <c r="O255" s="0" t="n">
        <f aca="false">E255*G255</f>
        <v>1</v>
      </c>
      <c r="P255" s="0" t="n">
        <f aca="false">E255*H255</f>
        <v>-0.75</v>
      </c>
      <c r="Q255" s="0" t="n">
        <f aca="false">F255*G255</f>
        <v>0.25</v>
      </c>
      <c r="R255" s="0" t="n">
        <f aca="false">F255*H255</f>
        <v>-0.1875</v>
      </c>
      <c r="S255" s="0" t="n">
        <f aca="false">G255*H255</f>
        <v>-0.75</v>
      </c>
      <c r="T255" s="0" t="n">
        <f aca="false">E255*E255</f>
        <v>1</v>
      </c>
      <c r="U255" s="0" t="n">
        <f aca="false">F255*F255</f>
        <v>0.0625</v>
      </c>
      <c r="V255" s="0" t="n">
        <f aca="false">G255*G255</f>
        <v>1</v>
      </c>
      <c r="W255" s="0" t="n">
        <f aca="false">H255*H255</f>
        <v>0.5625</v>
      </c>
      <c r="X255" s="0" t="n">
        <f aca="false">SUMPRODUCT(I255:W255,_XtX!$B$96:$P$96)</f>
        <v>40.4979577850878</v>
      </c>
      <c r="Y255" s="0" t="n">
        <f aca="false">SUMPRODUCT(MMULT(I255:W255,_XtX!$B$78:$P$92),I255:W255)</f>
        <v>0.621372155975877</v>
      </c>
      <c r="Z255" s="0" t="n">
        <f aca="false">04_回帰ANOVA!$K$19*04_回帰ANOVA!$K$14*SQRT(1+Y255)</f>
        <v>1.65973880499872</v>
      </c>
      <c r="AA255" s="0" t="n">
        <f aca="false">X255-Z255</f>
        <v>38.8382189800891</v>
      </c>
      <c r="AB255" s="0" t="n">
        <f aca="false">X255+Z255</f>
        <v>42.1576965900865</v>
      </c>
      <c r="AC255" s="54" t="b">
        <f aca="false">AND(E255&gt;=01_因子設定!$L$5-0.000000001,E255&lt;=01_因子設定!$M$5+0.000000001,F255&gt;=01_因子設定!$L$6-0.000000001,F255&lt;=01_因子設定!$M$6+0.000000001,G255&gt;=01_因子設定!$L$7-0.000000001,G255&lt;=01_因子設定!$M$7+0.000000001,H255&gt;=01_因子設定!$L$8-0.000000001,H255&lt;=01_因子設定!$M$8+0.000000001,IF(01_因子設定!$B$20="Box-Behnken",E255^2+F255^2+G255^2+H255^2&lt;=2+0.000000001,TRUE()))</f>
        <v>1</v>
      </c>
      <c r="AD255" s="55" t="n">
        <f aca="false">IF(AC255,IF(01_因子設定!$B$13="最大化",AA255-01_因子設定!$B$14,IF(01_因子設定!$B$13="最小化",01_因子設定!$B$15-AB255,MIN(AA255-01_因子設定!$B$14,01_因子設定!$B$15-AB255))),-1E+030)</f>
        <v>-7.66178101991095</v>
      </c>
      <c r="AE255" s="55" t="n">
        <f aca="false">IF(AC255,IF(01_因子設定!$B$13="最大化",X255,IF(01_因子設定!$B$13="最小化",-X255,-ABS(X255-01_因子設定!$B$16))),-1E+030)</f>
        <v>40.4979577850878</v>
      </c>
      <c r="AF255" s="55" t="n">
        <f aca="false">AD255+ROW()*0.000000001</f>
        <v>-7.66178076491095</v>
      </c>
      <c r="AG255" s="55" t="n">
        <f aca="false">AE255+ROW()*0.000000001</f>
        <v>40.4979580400878</v>
      </c>
    </row>
    <row r="256" customFormat="false" ht="15" hidden="false" customHeight="false" outlineLevel="0" collapsed="false">
      <c r="A256" s="0" t="n">
        <v>0</v>
      </c>
      <c r="B256" s="0" t="n">
        <v>3</v>
      </c>
      <c r="C256" s="0" t="n">
        <v>0</v>
      </c>
      <c r="D256" s="0" t="n">
        <v>8</v>
      </c>
      <c r="E256" s="0" t="n">
        <f aca="false">-1+A256*0.25</f>
        <v>-1</v>
      </c>
      <c r="F256" s="0" t="n">
        <f aca="false">-1+B256*0.25</f>
        <v>-0.25</v>
      </c>
      <c r="G256" s="0" t="n">
        <f aca="false">-1+C256*0.25</f>
        <v>-1</v>
      </c>
      <c r="H256" s="0" t="n">
        <f aca="false">-1+D256*0.25</f>
        <v>1</v>
      </c>
      <c r="I256" s="0" t="n">
        <f aca="false">1</f>
        <v>1</v>
      </c>
      <c r="J256" s="0" t="n">
        <f aca="false">E256</f>
        <v>-1</v>
      </c>
      <c r="K256" s="0" t="n">
        <f aca="false">F256</f>
        <v>-0.25</v>
      </c>
      <c r="L256" s="0" t="n">
        <f aca="false">G256</f>
        <v>-1</v>
      </c>
      <c r="M256" s="0" t="n">
        <f aca="false">H256</f>
        <v>1</v>
      </c>
      <c r="N256" s="0" t="n">
        <f aca="false">E256*F256</f>
        <v>0.25</v>
      </c>
      <c r="O256" s="0" t="n">
        <f aca="false">E256*G256</f>
        <v>1</v>
      </c>
      <c r="P256" s="0" t="n">
        <f aca="false">E256*H256</f>
        <v>-1</v>
      </c>
      <c r="Q256" s="0" t="n">
        <f aca="false">F256*G256</f>
        <v>0.25</v>
      </c>
      <c r="R256" s="0" t="n">
        <f aca="false">F256*H256</f>
        <v>-0.25</v>
      </c>
      <c r="S256" s="0" t="n">
        <f aca="false">G256*H256</f>
        <v>-1</v>
      </c>
      <c r="T256" s="0" t="n">
        <f aca="false">E256*E256</f>
        <v>1</v>
      </c>
      <c r="U256" s="0" t="n">
        <f aca="false">F256*F256</f>
        <v>0.0625</v>
      </c>
      <c r="V256" s="0" t="n">
        <f aca="false">G256*G256</f>
        <v>1</v>
      </c>
      <c r="W256" s="0" t="n">
        <f aca="false">H256*H256</f>
        <v>1</v>
      </c>
      <c r="X256" s="0" t="n">
        <f aca="false">SUMPRODUCT(I256:W256,_XtX!$B$96:$P$96)</f>
        <v>40.3421783625732</v>
      </c>
      <c r="Y256" s="0" t="n">
        <f aca="false">SUMPRODUCT(MMULT(I256:W256,_XtX!$B$78:$P$92),I256:W256)</f>
        <v>0.737093384502924</v>
      </c>
      <c r="Z256" s="0" t="n">
        <f aca="false">04_回帰ANOVA!$K$19*04_回帰ANOVA!$K$14*SQRT(1+Y256)</f>
        <v>1.71794784853551</v>
      </c>
      <c r="AA256" s="0" t="n">
        <f aca="false">X256-Z256</f>
        <v>38.6242305140377</v>
      </c>
      <c r="AB256" s="0" t="n">
        <f aca="false">X256+Z256</f>
        <v>42.0601262111087</v>
      </c>
      <c r="AC256" s="54" t="b">
        <f aca="false">AND(E256&gt;=01_因子設定!$L$5-0.000000001,E256&lt;=01_因子設定!$M$5+0.000000001,F256&gt;=01_因子設定!$L$6-0.000000001,F256&lt;=01_因子設定!$M$6+0.000000001,G256&gt;=01_因子設定!$L$7-0.000000001,G256&lt;=01_因子設定!$M$7+0.000000001,H256&gt;=01_因子設定!$L$8-0.000000001,H256&lt;=01_因子設定!$M$8+0.000000001,IF(01_因子設定!$B$20="Box-Behnken",E256^2+F256^2+G256^2+H256^2&lt;=2+0.000000001,TRUE()))</f>
        <v>1</v>
      </c>
      <c r="AD256" s="55" t="n">
        <f aca="false">IF(AC256,IF(01_因子設定!$B$13="最大化",AA256-01_因子設定!$B$14,IF(01_因子設定!$B$13="最小化",01_因子設定!$B$15-AB256,MIN(AA256-01_因子設定!$B$14,01_因子設定!$B$15-AB256))),-1E+030)</f>
        <v>-7.87576948596234</v>
      </c>
      <c r="AE256" s="55" t="n">
        <f aca="false">IF(AC256,IF(01_因子設定!$B$13="最大化",X256,IF(01_因子設定!$B$13="最小化",-X256,-ABS(X256-01_因子設定!$B$16))),-1E+030)</f>
        <v>40.3421783625732</v>
      </c>
      <c r="AF256" s="55" t="n">
        <f aca="false">AD256+ROW()*0.000000001</f>
        <v>-7.87576922996234</v>
      </c>
      <c r="AG256" s="55" t="n">
        <f aca="false">AE256+ROW()*0.000000001</f>
        <v>40.3421786185732</v>
      </c>
    </row>
    <row r="257" customFormat="false" ht="15" hidden="false" customHeight="false" outlineLevel="0" collapsed="false">
      <c r="A257" s="0" t="n">
        <v>0</v>
      </c>
      <c r="B257" s="0" t="n">
        <v>3</v>
      </c>
      <c r="C257" s="0" t="n">
        <v>1</v>
      </c>
      <c r="D257" s="0" t="n">
        <v>0</v>
      </c>
      <c r="E257" s="0" t="n">
        <f aca="false">-1+A257*0.25</f>
        <v>-1</v>
      </c>
      <c r="F257" s="0" t="n">
        <f aca="false">-1+B257*0.25</f>
        <v>-0.25</v>
      </c>
      <c r="G257" s="0" t="n">
        <f aca="false">-1+C257*0.25</f>
        <v>-0.75</v>
      </c>
      <c r="H257" s="0" t="n">
        <f aca="false">-1+D257*0.25</f>
        <v>-1</v>
      </c>
      <c r="I257" s="0" t="n">
        <f aca="false">1</f>
        <v>1</v>
      </c>
      <c r="J257" s="0" t="n">
        <f aca="false">E257</f>
        <v>-1</v>
      </c>
      <c r="K257" s="0" t="n">
        <f aca="false">F257</f>
        <v>-0.25</v>
      </c>
      <c r="L257" s="0" t="n">
        <f aca="false">G257</f>
        <v>-0.75</v>
      </c>
      <c r="M257" s="0" t="n">
        <f aca="false">H257</f>
        <v>-1</v>
      </c>
      <c r="N257" s="0" t="n">
        <f aca="false">E257*F257</f>
        <v>0.25</v>
      </c>
      <c r="O257" s="0" t="n">
        <f aca="false">E257*G257</f>
        <v>0.75</v>
      </c>
      <c r="P257" s="0" t="n">
        <f aca="false">E257*H257</f>
        <v>1</v>
      </c>
      <c r="Q257" s="0" t="n">
        <f aca="false">F257*G257</f>
        <v>0.1875</v>
      </c>
      <c r="R257" s="0" t="n">
        <f aca="false">F257*H257</f>
        <v>0.25</v>
      </c>
      <c r="S257" s="0" t="n">
        <f aca="false">G257*H257</f>
        <v>0.75</v>
      </c>
      <c r="T257" s="0" t="n">
        <f aca="false">E257*E257</f>
        <v>1</v>
      </c>
      <c r="U257" s="0" t="n">
        <f aca="false">F257*F257</f>
        <v>0.0625</v>
      </c>
      <c r="V257" s="0" t="n">
        <f aca="false">G257*G257</f>
        <v>0.5625</v>
      </c>
      <c r="W257" s="0" t="n">
        <f aca="false">H257*H257</f>
        <v>1</v>
      </c>
      <c r="X257" s="0" t="n">
        <f aca="false">SUMPRODUCT(I257:W257,_XtX!$B$96:$P$96)</f>
        <v>40.8653188961989</v>
      </c>
      <c r="Y257" s="0" t="n">
        <f aca="false">SUMPRODUCT(MMULT(I257:W257,_XtX!$B$78:$P$92),I257:W257)</f>
        <v>0.621372155975877</v>
      </c>
      <c r="Z257" s="0" t="n">
        <f aca="false">04_回帰ANOVA!$K$19*04_回帰ANOVA!$K$14*SQRT(1+Y257)</f>
        <v>1.65973880499872</v>
      </c>
      <c r="AA257" s="0" t="n">
        <f aca="false">X257-Z257</f>
        <v>39.2055800912002</v>
      </c>
      <c r="AB257" s="0" t="n">
        <f aca="false">X257+Z257</f>
        <v>42.5250577011976</v>
      </c>
      <c r="AC257" s="54" t="b">
        <f aca="false">AND(E257&gt;=01_因子設定!$L$5-0.000000001,E257&lt;=01_因子設定!$M$5+0.000000001,F257&gt;=01_因子設定!$L$6-0.000000001,F257&lt;=01_因子設定!$M$6+0.000000001,G257&gt;=01_因子設定!$L$7-0.000000001,G257&lt;=01_因子設定!$M$7+0.000000001,H257&gt;=01_因子設定!$L$8-0.000000001,H257&lt;=01_因子設定!$M$8+0.000000001,IF(01_因子設定!$B$20="Box-Behnken",E257^2+F257^2+G257^2+H257^2&lt;=2+0.000000001,TRUE()))</f>
        <v>1</v>
      </c>
      <c r="AD257" s="55" t="n">
        <f aca="false">IF(AC257,IF(01_因子設定!$B$13="最大化",AA257-01_因子設定!$B$14,IF(01_因子設定!$B$13="最小化",01_因子設定!$B$15-AB257,MIN(AA257-01_因子設定!$B$14,01_因子設定!$B$15-AB257))),-1E+030)</f>
        <v>-7.29441990879982</v>
      </c>
      <c r="AE257" s="55" t="n">
        <f aca="false">IF(AC257,IF(01_因子設定!$B$13="最大化",X257,IF(01_因子設定!$B$13="最小化",-X257,-ABS(X257-01_因子設定!$B$16))),-1E+030)</f>
        <v>40.8653188961989</v>
      </c>
      <c r="AF257" s="55" t="n">
        <f aca="false">AD257+ROW()*0.000000001</f>
        <v>-7.29441965179982</v>
      </c>
      <c r="AG257" s="55" t="n">
        <f aca="false">AE257+ROW()*0.000000001</f>
        <v>40.8653191531989</v>
      </c>
    </row>
    <row r="258" customFormat="false" ht="15" hidden="false" customHeight="false" outlineLevel="0" collapsed="false">
      <c r="A258" s="0" t="n">
        <v>0</v>
      </c>
      <c r="B258" s="0" t="n">
        <v>3</v>
      </c>
      <c r="C258" s="0" t="n">
        <v>1</v>
      </c>
      <c r="D258" s="0" t="n">
        <v>1</v>
      </c>
      <c r="E258" s="0" t="n">
        <f aca="false">-1+A258*0.25</f>
        <v>-1</v>
      </c>
      <c r="F258" s="0" t="n">
        <f aca="false">-1+B258*0.25</f>
        <v>-0.25</v>
      </c>
      <c r="G258" s="0" t="n">
        <f aca="false">-1+C258*0.25</f>
        <v>-0.75</v>
      </c>
      <c r="H258" s="0" t="n">
        <f aca="false">-1+D258*0.25</f>
        <v>-0.75</v>
      </c>
      <c r="I258" s="0" t="n">
        <f aca="false">1</f>
        <v>1</v>
      </c>
      <c r="J258" s="0" t="n">
        <f aca="false">E258</f>
        <v>-1</v>
      </c>
      <c r="K258" s="0" t="n">
        <f aca="false">F258</f>
        <v>-0.25</v>
      </c>
      <c r="L258" s="0" t="n">
        <f aca="false">G258</f>
        <v>-0.75</v>
      </c>
      <c r="M258" s="0" t="n">
        <f aca="false">H258</f>
        <v>-0.75</v>
      </c>
      <c r="N258" s="0" t="n">
        <f aca="false">E258*F258</f>
        <v>0.25</v>
      </c>
      <c r="O258" s="0" t="n">
        <f aca="false">E258*G258</f>
        <v>0.75</v>
      </c>
      <c r="P258" s="0" t="n">
        <f aca="false">E258*H258</f>
        <v>0.75</v>
      </c>
      <c r="Q258" s="0" t="n">
        <f aca="false">F258*G258</f>
        <v>0.1875</v>
      </c>
      <c r="R258" s="0" t="n">
        <f aca="false">F258*H258</f>
        <v>0.1875</v>
      </c>
      <c r="S258" s="0" t="n">
        <f aca="false">G258*H258</f>
        <v>0.5625</v>
      </c>
      <c r="T258" s="0" t="n">
        <f aca="false">E258*E258</f>
        <v>1</v>
      </c>
      <c r="U258" s="0" t="n">
        <f aca="false">F258*F258</f>
        <v>0.0625</v>
      </c>
      <c r="V258" s="0" t="n">
        <f aca="false">G258*G258</f>
        <v>0.5625</v>
      </c>
      <c r="W258" s="0" t="n">
        <f aca="false">H258*H258</f>
        <v>0.5625</v>
      </c>
      <c r="X258" s="0" t="n">
        <f aca="false">SUMPRODUCT(I258:W258,_XtX!$B$96:$P$96)</f>
        <v>41.0621573464913</v>
      </c>
      <c r="Y258" s="0" t="n">
        <f aca="false">SUMPRODUCT(MMULT(I258:W258,_XtX!$B$78:$P$92),I258:W258)</f>
        <v>0.473959761056287</v>
      </c>
      <c r="Z258" s="0" t="n">
        <f aca="false">04_回帰ANOVA!$K$19*04_回帰ANOVA!$K$14*SQRT(1+Y258)</f>
        <v>1.58249084588329</v>
      </c>
      <c r="AA258" s="0" t="n">
        <f aca="false">X258-Z258</f>
        <v>39.479666500608</v>
      </c>
      <c r="AB258" s="0" t="n">
        <f aca="false">X258+Z258</f>
        <v>42.6446481923746</v>
      </c>
      <c r="AC258" s="54" t="b">
        <f aca="false">AND(E258&gt;=01_因子設定!$L$5-0.000000001,E258&lt;=01_因子設定!$M$5+0.000000001,F258&gt;=01_因子設定!$L$6-0.000000001,F258&lt;=01_因子設定!$M$6+0.000000001,G258&gt;=01_因子設定!$L$7-0.000000001,G258&lt;=01_因子設定!$M$7+0.000000001,H258&gt;=01_因子設定!$L$8-0.000000001,H258&lt;=01_因子設定!$M$8+0.000000001,IF(01_因子設定!$B$20="Box-Behnken",E258^2+F258^2+G258^2+H258^2&lt;=2+0.000000001,TRUE()))</f>
        <v>1</v>
      </c>
      <c r="AD258" s="55" t="n">
        <f aca="false">IF(AC258,IF(01_因子設定!$B$13="最大化",AA258-01_因子設定!$B$14,IF(01_因子設定!$B$13="最小化",01_因子設定!$B$15-AB258,MIN(AA258-01_因子設定!$B$14,01_因子設定!$B$15-AB258))),-1E+030)</f>
        <v>-7.02033349939201</v>
      </c>
      <c r="AE258" s="55" t="n">
        <f aca="false">IF(AC258,IF(01_因子設定!$B$13="最大化",X258,IF(01_因子設定!$B$13="最小化",-X258,-ABS(X258-01_因子設定!$B$16))),-1E+030)</f>
        <v>41.0621573464913</v>
      </c>
      <c r="AF258" s="55" t="n">
        <f aca="false">AD258+ROW()*0.000000001</f>
        <v>-7.02033324139201</v>
      </c>
      <c r="AG258" s="55" t="n">
        <f aca="false">AE258+ROW()*0.000000001</f>
        <v>41.0621576044913</v>
      </c>
    </row>
    <row r="259" customFormat="false" ht="15" hidden="false" customHeight="false" outlineLevel="0" collapsed="false">
      <c r="A259" s="0" t="n">
        <v>0</v>
      </c>
      <c r="B259" s="0" t="n">
        <v>3</v>
      </c>
      <c r="C259" s="0" t="n">
        <v>1</v>
      </c>
      <c r="D259" s="0" t="n">
        <v>2</v>
      </c>
      <c r="E259" s="0" t="n">
        <f aca="false">-1+A259*0.25</f>
        <v>-1</v>
      </c>
      <c r="F259" s="0" t="n">
        <f aca="false">-1+B259*0.25</f>
        <v>-0.25</v>
      </c>
      <c r="G259" s="0" t="n">
        <f aca="false">-1+C259*0.25</f>
        <v>-0.75</v>
      </c>
      <c r="H259" s="0" t="n">
        <f aca="false">-1+D259*0.25</f>
        <v>-0.5</v>
      </c>
      <c r="I259" s="0" t="n">
        <f aca="false">1</f>
        <v>1</v>
      </c>
      <c r="J259" s="0" t="n">
        <f aca="false">E259</f>
        <v>-1</v>
      </c>
      <c r="K259" s="0" t="n">
        <f aca="false">F259</f>
        <v>-0.25</v>
      </c>
      <c r="L259" s="0" t="n">
        <f aca="false">G259</f>
        <v>-0.75</v>
      </c>
      <c r="M259" s="0" t="n">
        <f aca="false">H259</f>
        <v>-0.5</v>
      </c>
      <c r="N259" s="0" t="n">
        <f aca="false">E259*F259</f>
        <v>0.25</v>
      </c>
      <c r="O259" s="0" t="n">
        <f aca="false">E259*G259</f>
        <v>0.75</v>
      </c>
      <c r="P259" s="0" t="n">
        <f aca="false">E259*H259</f>
        <v>0.5</v>
      </c>
      <c r="Q259" s="0" t="n">
        <f aca="false">F259*G259</f>
        <v>0.1875</v>
      </c>
      <c r="R259" s="0" t="n">
        <f aca="false">F259*H259</f>
        <v>0.125</v>
      </c>
      <c r="S259" s="0" t="n">
        <f aca="false">G259*H259</f>
        <v>0.375</v>
      </c>
      <c r="T259" s="0" t="n">
        <f aca="false">E259*E259</f>
        <v>1</v>
      </c>
      <c r="U259" s="0" t="n">
        <f aca="false">F259*F259</f>
        <v>0.0625</v>
      </c>
      <c r="V259" s="0" t="n">
        <f aca="false">G259*G259</f>
        <v>0.5625</v>
      </c>
      <c r="W259" s="0" t="n">
        <f aca="false">H259*H259</f>
        <v>0.25</v>
      </c>
      <c r="X259" s="0" t="n">
        <f aca="false">SUMPRODUCT(I259:W259,_XtX!$B$96:$P$96)</f>
        <v>41.2111887792398</v>
      </c>
      <c r="Y259" s="0" t="n">
        <f aca="false">SUMPRODUCT(MMULT(I259:W259,_XtX!$B$78:$P$92),I259:W259)</f>
        <v>0.459125719572369</v>
      </c>
      <c r="Z259" s="0" t="n">
        <f aca="false">04_回帰ANOVA!$K$19*04_回帰ANOVA!$K$14*SQRT(1+Y259)</f>
        <v>1.57450755575573</v>
      </c>
      <c r="AA259" s="0" t="n">
        <f aca="false">X259-Z259</f>
        <v>39.6366812234841</v>
      </c>
      <c r="AB259" s="0" t="n">
        <f aca="false">X259+Z259</f>
        <v>42.7856963349955</v>
      </c>
      <c r="AC259" s="54" t="b">
        <f aca="false">AND(E259&gt;=01_因子設定!$L$5-0.000000001,E259&lt;=01_因子設定!$M$5+0.000000001,F259&gt;=01_因子設定!$L$6-0.000000001,F259&lt;=01_因子設定!$M$6+0.000000001,G259&gt;=01_因子設定!$L$7-0.000000001,G259&lt;=01_因子設定!$M$7+0.000000001,H259&gt;=01_因子設定!$L$8-0.000000001,H259&lt;=01_因子設定!$M$8+0.000000001,IF(01_因子設定!$B$20="Box-Behnken",E259^2+F259^2+G259^2+H259^2&lt;=2+0.000000001,TRUE()))</f>
        <v>1</v>
      </c>
      <c r="AD259" s="55" t="n">
        <f aca="false">IF(AC259,IF(01_因子設定!$B$13="最大化",AA259-01_因子設定!$B$14,IF(01_因子設定!$B$13="最小化",01_因子設定!$B$15-AB259,MIN(AA259-01_因子設定!$B$14,01_因子設定!$B$15-AB259))),-1E+030)</f>
        <v>-6.86331877651593</v>
      </c>
      <c r="AE259" s="55" t="n">
        <f aca="false">IF(AC259,IF(01_因子設定!$B$13="最大化",X259,IF(01_因子設定!$B$13="最小化",-X259,-ABS(X259-01_因子設定!$B$16))),-1E+030)</f>
        <v>41.2111887792398</v>
      </c>
      <c r="AF259" s="55" t="n">
        <f aca="false">AD259+ROW()*0.000000001</f>
        <v>-6.86331851751593</v>
      </c>
      <c r="AG259" s="55" t="n">
        <f aca="false">AE259+ROW()*0.000000001</f>
        <v>41.2111890382398</v>
      </c>
    </row>
    <row r="260" customFormat="false" ht="15" hidden="false" customHeight="false" outlineLevel="0" collapsed="false">
      <c r="A260" s="0" t="n">
        <v>0</v>
      </c>
      <c r="B260" s="0" t="n">
        <v>3</v>
      </c>
      <c r="C260" s="0" t="n">
        <v>1</v>
      </c>
      <c r="D260" s="0" t="n">
        <v>3</v>
      </c>
      <c r="E260" s="0" t="n">
        <f aca="false">-1+A260*0.25</f>
        <v>-1</v>
      </c>
      <c r="F260" s="0" t="n">
        <f aca="false">-1+B260*0.25</f>
        <v>-0.25</v>
      </c>
      <c r="G260" s="0" t="n">
        <f aca="false">-1+C260*0.25</f>
        <v>-0.75</v>
      </c>
      <c r="H260" s="0" t="n">
        <f aca="false">-1+D260*0.25</f>
        <v>-0.25</v>
      </c>
      <c r="I260" s="0" t="n">
        <f aca="false">1</f>
        <v>1</v>
      </c>
      <c r="J260" s="0" t="n">
        <f aca="false">E260</f>
        <v>-1</v>
      </c>
      <c r="K260" s="0" t="n">
        <f aca="false">F260</f>
        <v>-0.25</v>
      </c>
      <c r="L260" s="0" t="n">
        <f aca="false">G260</f>
        <v>-0.75</v>
      </c>
      <c r="M260" s="0" t="n">
        <f aca="false">H260</f>
        <v>-0.25</v>
      </c>
      <c r="N260" s="0" t="n">
        <f aca="false">E260*F260</f>
        <v>0.25</v>
      </c>
      <c r="O260" s="0" t="n">
        <f aca="false">E260*G260</f>
        <v>0.75</v>
      </c>
      <c r="P260" s="0" t="n">
        <f aca="false">E260*H260</f>
        <v>0.25</v>
      </c>
      <c r="Q260" s="0" t="n">
        <f aca="false">F260*G260</f>
        <v>0.1875</v>
      </c>
      <c r="R260" s="0" t="n">
        <f aca="false">F260*H260</f>
        <v>0.0625</v>
      </c>
      <c r="S260" s="0" t="n">
        <f aca="false">G260*H260</f>
        <v>0.1875</v>
      </c>
      <c r="T260" s="0" t="n">
        <f aca="false">E260*E260</f>
        <v>1</v>
      </c>
      <c r="U260" s="0" t="n">
        <f aca="false">F260*F260</f>
        <v>0.0625</v>
      </c>
      <c r="V260" s="0" t="n">
        <f aca="false">G260*G260</f>
        <v>0.5625</v>
      </c>
      <c r="W260" s="0" t="n">
        <f aca="false">H260*H260</f>
        <v>0.0625</v>
      </c>
      <c r="X260" s="0" t="n">
        <f aca="false">SUMPRODUCT(I260:W260,_XtX!$B$96:$P$96)</f>
        <v>41.3124131944445</v>
      </c>
      <c r="Y260" s="0" t="n">
        <f aca="false">SUMPRODUCT(MMULT(I260:W260,_XtX!$B$78:$P$92),I260:W260)</f>
        <v>0.486409505208334</v>
      </c>
      <c r="Z260" s="0" t="n">
        <f aca="false">04_回帰ANOVA!$K$19*04_回帰ANOVA!$K$14*SQRT(1+Y260)</f>
        <v>1.58916001665498</v>
      </c>
      <c r="AA260" s="0" t="n">
        <f aca="false">X260-Z260</f>
        <v>39.7232531777895</v>
      </c>
      <c r="AB260" s="0" t="n">
        <f aca="false">X260+Z260</f>
        <v>42.9015732110995</v>
      </c>
      <c r="AC260" s="54" t="b">
        <f aca="false">AND(E260&gt;=01_因子設定!$L$5-0.000000001,E260&lt;=01_因子設定!$M$5+0.000000001,F260&gt;=01_因子設定!$L$6-0.000000001,F260&lt;=01_因子設定!$M$6+0.000000001,G260&gt;=01_因子設定!$L$7-0.000000001,G260&lt;=01_因子設定!$M$7+0.000000001,H260&gt;=01_因子設定!$L$8-0.000000001,H260&lt;=01_因子設定!$M$8+0.000000001,IF(01_因子設定!$B$20="Box-Behnken",E260^2+F260^2+G260^2+H260^2&lt;=2+0.000000001,TRUE()))</f>
        <v>1</v>
      </c>
      <c r="AD260" s="55" t="n">
        <f aca="false">IF(AC260,IF(01_因子設定!$B$13="最大化",AA260-01_因子設定!$B$14,IF(01_因子設定!$B$13="最小化",01_因子設定!$B$15-AB260,MIN(AA260-01_因子設定!$B$14,01_因子設定!$B$15-AB260))),-1E+030)</f>
        <v>-6.77674682221051</v>
      </c>
      <c r="AE260" s="55" t="n">
        <f aca="false">IF(AC260,IF(01_因子設定!$B$13="最大化",X260,IF(01_因子設定!$B$13="最小化",-X260,-ABS(X260-01_因子設定!$B$16))),-1E+030)</f>
        <v>41.3124131944445</v>
      </c>
      <c r="AF260" s="55" t="n">
        <f aca="false">AD260+ROW()*0.000000001</f>
        <v>-6.77674656221051</v>
      </c>
      <c r="AG260" s="55" t="n">
        <f aca="false">AE260+ROW()*0.000000001</f>
        <v>41.3124134544445</v>
      </c>
    </row>
    <row r="261" customFormat="false" ht="15" hidden="false" customHeight="false" outlineLevel="0" collapsed="false">
      <c r="A261" s="0" t="n">
        <v>0</v>
      </c>
      <c r="B261" s="0" t="n">
        <v>3</v>
      </c>
      <c r="C261" s="0" t="n">
        <v>1</v>
      </c>
      <c r="D261" s="0" t="n">
        <v>4</v>
      </c>
      <c r="E261" s="0" t="n">
        <f aca="false">-1+A261*0.25</f>
        <v>-1</v>
      </c>
      <c r="F261" s="0" t="n">
        <f aca="false">-1+B261*0.25</f>
        <v>-0.25</v>
      </c>
      <c r="G261" s="0" t="n">
        <f aca="false">-1+C261*0.25</f>
        <v>-0.75</v>
      </c>
      <c r="H261" s="0" t="n">
        <f aca="false">-1+D261*0.25</f>
        <v>0</v>
      </c>
      <c r="I261" s="0" t="n">
        <f aca="false">1</f>
        <v>1</v>
      </c>
      <c r="J261" s="0" t="n">
        <f aca="false">E261</f>
        <v>-1</v>
      </c>
      <c r="K261" s="0" t="n">
        <f aca="false">F261</f>
        <v>-0.25</v>
      </c>
      <c r="L261" s="0" t="n">
        <f aca="false">G261</f>
        <v>-0.75</v>
      </c>
      <c r="M261" s="0" t="n">
        <f aca="false">H261</f>
        <v>0</v>
      </c>
      <c r="N261" s="0" t="n">
        <f aca="false">E261*F261</f>
        <v>0.25</v>
      </c>
      <c r="O261" s="0" t="n">
        <f aca="false">E261*G261</f>
        <v>0.75</v>
      </c>
      <c r="P261" s="0" t="n">
        <f aca="false">E261*H261</f>
        <v>-0</v>
      </c>
      <c r="Q261" s="0" t="n">
        <f aca="false">F261*G261</f>
        <v>0.1875</v>
      </c>
      <c r="R261" s="0" t="n">
        <f aca="false">F261*H261</f>
        <v>-0</v>
      </c>
      <c r="S261" s="0" t="n">
        <f aca="false">G261*H261</f>
        <v>-0</v>
      </c>
      <c r="T261" s="0" t="n">
        <f aca="false">E261*E261</f>
        <v>1</v>
      </c>
      <c r="U261" s="0" t="n">
        <f aca="false">F261*F261</f>
        <v>0.0625</v>
      </c>
      <c r="V261" s="0" t="n">
        <f aca="false">G261*G261</f>
        <v>0.5625</v>
      </c>
      <c r="W261" s="0" t="n">
        <f aca="false">H261*H261</f>
        <v>0</v>
      </c>
      <c r="X261" s="0" t="n">
        <f aca="false">SUMPRODUCT(I261:W261,_XtX!$B$96:$P$96)</f>
        <v>41.3658305921053</v>
      </c>
      <c r="Y261" s="0" t="n">
        <f aca="false">SUMPRODUCT(MMULT(I261:W261,_XtX!$B$78:$P$92),I261:W261)</f>
        <v>0.501534802174708</v>
      </c>
      <c r="Z261" s="0" t="n">
        <f aca="false">04_回帰ANOVA!$K$19*04_回帰ANOVA!$K$14*SQRT(1+Y261)</f>
        <v>1.59722498091333</v>
      </c>
      <c r="AA261" s="0" t="n">
        <f aca="false">X261-Z261</f>
        <v>39.768605611192</v>
      </c>
      <c r="AB261" s="0" t="n">
        <f aca="false">X261+Z261</f>
        <v>42.9630555730186</v>
      </c>
      <c r="AC261" s="54" t="b">
        <f aca="false">AND(E261&gt;=01_因子設定!$L$5-0.000000001,E261&lt;=01_因子設定!$M$5+0.000000001,F261&gt;=01_因子設定!$L$6-0.000000001,F261&lt;=01_因子設定!$M$6+0.000000001,G261&gt;=01_因子設定!$L$7-0.000000001,G261&lt;=01_因子設定!$M$7+0.000000001,H261&gt;=01_因子設定!$L$8-0.000000001,H261&lt;=01_因子設定!$M$8+0.000000001,IF(01_因子設定!$B$20="Box-Behnken",E261^2+F261^2+G261^2+H261^2&lt;=2+0.000000001,TRUE()))</f>
        <v>1</v>
      </c>
      <c r="AD261" s="55" t="n">
        <f aca="false">IF(AC261,IF(01_因子設定!$B$13="最大化",AA261-01_因子設定!$B$14,IF(01_因子設定!$B$13="最小化",01_因子設定!$B$15-AB261,MIN(AA261-01_因子設定!$B$14,01_因子設定!$B$15-AB261))),-1E+030)</f>
        <v>-6.73139438880804</v>
      </c>
      <c r="AE261" s="55" t="n">
        <f aca="false">IF(AC261,IF(01_因子設定!$B$13="最大化",X261,IF(01_因子設定!$B$13="最小化",-X261,-ABS(X261-01_因子設定!$B$16))),-1E+030)</f>
        <v>41.3658305921053</v>
      </c>
      <c r="AF261" s="55" t="n">
        <f aca="false">AD261+ROW()*0.000000001</f>
        <v>-6.73139412780804</v>
      </c>
      <c r="AG261" s="55" t="n">
        <f aca="false">AE261+ROW()*0.000000001</f>
        <v>41.3658308531053</v>
      </c>
    </row>
    <row r="262" customFormat="false" ht="15" hidden="false" customHeight="false" outlineLevel="0" collapsed="false">
      <c r="A262" s="0" t="n">
        <v>0</v>
      </c>
      <c r="B262" s="0" t="n">
        <v>3</v>
      </c>
      <c r="C262" s="0" t="n">
        <v>1</v>
      </c>
      <c r="D262" s="0" t="n">
        <v>5</v>
      </c>
      <c r="E262" s="0" t="n">
        <f aca="false">-1+A262*0.25</f>
        <v>-1</v>
      </c>
      <c r="F262" s="0" t="n">
        <f aca="false">-1+B262*0.25</f>
        <v>-0.25</v>
      </c>
      <c r="G262" s="0" t="n">
        <f aca="false">-1+C262*0.25</f>
        <v>-0.75</v>
      </c>
      <c r="H262" s="0" t="n">
        <f aca="false">-1+D262*0.25</f>
        <v>0.25</v>
      </c>
      <c r="I262" s="0" t="n">
        <f aca="false">1</f>
        <v>1</v>
      </c>
      <c r="J262" s="0" t="n">
        <f aca="false">E262</f>
        <v>-1</v>
      </c>
      <c r="K262" s="0" t="n">
        <f aca="false">F262</f>
        <v>-0.25</v>
      </c>
      <c r="L262" s="0" t="n">
        <f aca="false">G262</f>
        <v>-0.75</v>
      </c>
      <c r="M262" s="0" t="n">
        <f aca="false">H262</f>
        <v>0.25</v>
      </c>
      <c r="N262" s="0" t="n">
        <f aca="false">E262*F262</f>
        <v>0.25</v>
      </c>
      <c r="O262" s="0" t="n">
        <f aca="false">E262*G262</f>
        <v>0.75</v>
      </c>
      <c r="P262" s="0" t="n">
        <f aca="false">E262*H262</f>
        <v>-0.25</v>
      </c>
      <c r="Q262" s="0" t="n">
        <f aca="false">F262*G262</f>
        <v>0.1875</v>
      </c>
      <c r="R262" s="0" t="n">
        <f aca="false">F262*H262</f>
        <v>-0.0625</v>
      </c>
      <c r="S262" s="0" t="n">
        <f aca="false">G262*H262</f>
        <v>-0.1875</v>
      </c>
      <c r="T262" s="0" t="n">
        <f aca="false">E262*E262</f>
        <v>1</v>
      </c>
      <c r="U262" s="0" t="n">
        <f aca="false">F262*F262</f>
        <v>0.0625</v>
      </c>
      <c r="V262" s="0" t="n">
        <f aca="false">G262*G262</f>
        <v>0.5625</v>
      </c>
      <c r="W262" s="0" t="n">
        <f aca="false">H262*H262</f>
        <v>0.0625</v>
      </c>
      <c r="X262" s="0" t="n">
        <f aca="false">SUMPRODUCT(I262:W262,_XtX!$B$96:$P$96)</f>
        <v>41.3714409722223</v>
      </c>
      <c r="Y262" s="0" t="n">
        <f aca="false">SUMPRODUCT(MMULT(I262:W262,_XtX!$B$78:$P$92),I262:W262)</f>
        <v>0.486409505208334</v>
      </c>
      <c r="Z262" s="0" t="n">
        <f aca="false">04_回帰ANOVA!$K$19*04_回帰ANOVA!$K$14*SQRT(1+Y262)</f>
        <v>1.58916001665498</v>
      </c>
      <c r="AA262" s="0" t="n">
        <f aca="false">X262-Z262</f>
        <v>39.7822809555673</v>
      </c>
      <c r="AB262" s="0" t="n">
        <f aca="false">X262+Z262</f>
        <v>42.9606009888772</v>
      </c>
      <c r="AC262" s="54" t="b">
        <f aca="false">AND(E262&gt;=01_因子設定!$L$5-0.000000001,E262&lt;=01_因子設定!$M$5+0.000000001,F262&gt;=01_因子設定!$L$6-0.000000001,F262&lt;=01_因子設定!$M$6+0.000000001,G262&gt;=01_因子設定!$L$7-0.000000001,G262&lt;=01_因子設定!$M$7+0.000000001,H262&gt;=01_因子設定!$L$8-0.000000001,H262&lt;=01_因子設定!$M$8+0.000000001,IF(01_因子設定!$B$20="Box-Behnken",E262^2+F262^2+G262^2+H262^2&lt;=2+0.000000001,TRUE()))</f>
        <v>1</v>
      </c>
      <c r="AD262" s="55" t="n">
        <f aca="false">IF(AC262,IF(01_因子設定!$B$13="最大化",AA262-01_因子設定!$B$14,IF(01_因子設定!$B$13="最小化",01_因子設定!$B$15-AB262,MIN(AA262-01_因子設定!$B$14,01_因子設定!$B$15-AB262))),-1E+030)</f>
        <v>-6.71771904443273</v>
      </c>
      <c r="AE262" s="55" t="n">
        <f aca="false">IF(AC262,IF(01_因子設定!$B$13="最大化",X262,IF(01_因子設定!$B$13="最小化",-X262,-ABS(X262-01_因子設定!$B$16))),-1E+030)</f>
        <v>41.3714409722223</v>
      </c>
      <c r="AF262" s="55" t="n">
        <f aca="false">AD262+ROW()*0.000000001</f>
        <v>-6.71771878243273</v>
      </c>
      <c r="AG262" s="55" t="n">
        <f aca="false">AE262+ROW()*0.000000001</f>
        <v>41.3714412342223</v>
      </c>
    </row>
    <row r="263" customFormat="false" ht="15" hidden="false" customHeight="false" outlineLevel="0" collapsed="false">
      <c r="A263" s="0" t="n">
        <v>0</v>
      </c>
      <c r="B263" s="0" t="n">
        <v>3</v>
      </c>
      <c r="C263" s="0" t="n">
        <v>1</v>
      </c>
      <c r="D263" s="0" t="n">
        <v>6</v>
      </c>
      <c r="E263" s="0" t="n">
        <f aca="false">-1+A263*0.25</f>
        <v>-1</v>
      </c>
      <c r="F263" s="0" t="n">
        <f aca="false">-1+B263*0.25</f>
        <v>-0.25</v>
      </c>
      <c r="G263" s="0" t="n">
        <f aca="false">-1+C263*0.25</f>
        <v>-0.75</v>
      </c>
      <c r="H263" s="0" t="n">
        <f aca="false">-1+D263*0.25</f>
        <v>0.5</v>
      </c>
      <c r="I263" s="0" t="n">
        <f aca="false">1</f>
        <v>1</v>
      </c>
      <c r="J263" s="0" t="n">
        <f aca="false">E263</f>
        <v>-1</v>
      </c>
      <c r="K263" s="0" t="n">
        <f aca="false">F263</f>
        <v>-0.25</v>
      </c>
      <c r="L263" s="0" t="n">
        <f aca="false">G263</f>
        <v>-0.75</v>
      </c>
      <c r="M263" s="0" t="n">
        <f aca="false">H263</f>
        <v>0.5</v>
      </c>
      <c r="N263" s="0" t="n">
        <f aca="false">E263*F263</f>
        <v>0.25</v>
      </c>
      <c r="O263" s="0" t="n">
        <f aca="false">E263*G263</f>
        <v>0.75</v>
      </c>
      <c r="P263" s="0" t="n">
        <f aca="false">E263*H263</f>
        <v>-0.5</v>
      </c>
      <c r="Q263" s="0" t="n">
        <f aca="false">F263*G263</f>
        <v>0.1875</v>
      </c>
      <c r="R263" s="0" t="n">
        <f aca="false">F263*H263</f>
        <v>-0.125</v>
      </c>
      <c r="S263" s="0" t="n">
        <f aca="false">G263*H263</f>
        <v>-0.375</v>
      </c>
      <c r="T263" s="0" t="n">
        <f aca="false">E263*E263</f>
        <v>1</v>
      </c>
      <c r="U263" s="0" t="n">
        <f aca="false">F263*F263</f>
        <v>0.0625</v>
      </c>
      <c r="V263" s="0" t="n">
        <f aca="false">G263*G263</f>
        <v>0.5625</v>
      </c>
      <c r="W263" s="0" t="n">
        <f aca="false">H263*H263</f>
        <v>0.25</v>
      </c>
      <c r="X263" s="0" t="n">
        <f aca="false">SUMPRODUCT(I263:W263,_XtX!$B$96:$P$96)</f>
        <v>41.3292443347954</v>
      </c>
      <c r="Y263" s="0" t="n">
        <f aca="false">SUMPRODUCT(MMULT(I263:W263,_XtX!$B$78:$P$92),I263:W263)</f>
        <v>0.459125719572369</v>
      </c>
      <c r="Z263" s="0" t="n">
        <f aca="false">04_回帰ANOVA!$K$19*04_回帰ANOVA!$K$14*SQRT(1+Y263)</f>
        <v>1.57450755575573</v>
      </c>
      <c r="AA263" s="0" t="n">
        <f aca="false">X263-Z263</f>
        <v>39.7547367790396</v>
      </c>
      <c r="AB263" s="0" t="n">
        <f aca="false">X263+Z263</f>
        <v>42.9037518905511</v>
      </c>
      <c r="AC263" s="54" t="b">
        <f aca="false">AND(E263&gt;=01_因子設定!$L$5-0.000000001,E263&lt;=01_因子設定!$M$5+0.000000001,F263&gt;=01_因子設定!$L$6-0.000000001,F263&lt;=01_因子設定!$M$6+0.000000001,G263&gt;=01_因子設定!$L$7-0.000000001,G263&lt;=01_因子設定!$M$7+0.000000001,H263&gt;=01_因子設定!$L$8-0.000000001,H263&lt;=01_因子設定!$M$8+0.000000001,IF(01_因子設定!$B$20="Box-Behnken",E263^2+F263^2+G263^2+H263^2&lt;=2+0.000000001,TRUE()))</f>
        <v>1</v>
      </c>
      <c r="AD263" s="55" t="n">
        <f aca="false">IF(AC263,IF(01_因子設定!$B$13="最大化",AA263-01_因子設定!$B$14,IF(01_因子設定!$B$13="最小化",01_因子設定!$B$15-AB263,MIN(AA263-01_因子設定!$B$14,01_因子設定!$B$15-AB263))),-1E+030)</f>
        <v>-6.74526322096037</v>
      </c>
      <c r="AE263" s="55" t="n">
        <f aca="false">IF(AC263,IF(01_因子設定!$B$13="最大化",X263,IF(01_因子設定!$B$13="最小化",-X263,-ABS(X263-01_因子設定!$B$16))),-1E+030)</f>
        <v>41.3292443347954</v>
      </c>
      <c r="AF263" s="55" t="n">
        <f aca="false">AD263+ROW()*0.000000001</f>
        <v>-6.74526295796037</v>
      </c>
      <c r="AG263" s="55" t="n">
        <f aca="false">AE263+ROW()*0.000000001</f>
        <v>41.3292445977954</v>
      </c>
    </row>
    <row r="264" customFormat="false" ht="15" hidden="false" customHeight="false" outlineLevel="0" collapsed="false">
      <c r="A264" s="0" t="n">
        <v>0</v>
      </c>
      <c r="B264" s="0" t="n">
        <v>3</v>
      </c>
      <c r="C264" s="0" t="n">
        <v>1</v>
      </c>
      <c r="D264" s="0" t="n">
        <v>7</v>
      </c>
      <c r="E264" s="0" t="n">
        <f aca="false">-1+A264*0.25</f>
        <v>-1</v>
      </c>
      <c r="F264" s="0" t="n">
        <f aca="false">-1+B264*0.25</f>
        <v>-0.25</v>
      </c>
      <c r="G264" s="0" t="n">
        <f aca="false">-1+C264*0.25</f>
        <v>-0.75</v>
      </c>
      <c r="H264" s="0" t="n">
        <f aca="false">-1+D264*0.25</f>
        <v>0.75</v>
      </c>
      <c r="I264" s="0" t="n">
        <f aca="false">1</f>
        <v>1</v>
      </c>
      <c r="J264" s="0" t="n">
        <f aca="false">E264</f>
        <v>-1</v>
      </c>
      <c r="K264" s="0" t="n">
        <f aca="false">F264</f>
        <v>-0.25</v>
      </c>
      <c r="L264" s="0" t="n">
        <f aca="false">G264</f>
        <v>-0.75</v>
      </c>
      <c r="M264" s="0" t="n">
        <f aca="false">H264</f>
        <v>0.75</v>
      </c>
      <c r="N264" s="0" t="n">
        <f aca="false">E264*F264</f>
        <v>0.25</v>
      </c>
      <c r="O264" s="0" t="n">
        <f aca="false">E264*G264</f>
        <v>0.75</v>
      </c>
      <c r="P264" s="0" t="n">
        <f aca="false">E264*H264</f>
        <v>-0.75</v>
      </c>
      <c r="Q264" s="0" t="n">
        <f aca="false">F264*G264</f>
        <v>0.1875</v>
      </c>
      <c r="R264" s="0" t="n">
        <f aca="false">F264*H264</f>
        <v>-0.1875</v>
      </c>
      <c r="S264" s="0" t="n">
        <f aca="false">G264*H264</f>
        <v>-0.5625</v>
      </c>
      <c r="T264" s="0" t="n">
        <f aca="false">E264*E264</f>
        <v>1</v>
      </c>
      <c r="U264" s="0" t="n">
        <f aca="false">F264*F264</f>
        <v>0.0625</v>
      </c>
      <c r="V264" s="0" t="n">
        <f aca="false">G264*G264</f>
        <v>0.5625</v>
      </c>
      <c r="W264" s="0" t="n">
        <f aca="false">H264*H264</f>
        <v>0.5625</v>
      </c>
      <c r="X264" s="0" t="n">
        <f aca="false">SUMPRODUCT(I264:W264,_XtX!$B$96:$P$96)</f>
        <v>41.2392406798246</v>
      </c>
      <c r="Y264" s="0" t="n">
        <f aca="false">SUMPRODUCT(MMULT(I264:W264,_XtX!$B$78:$P$92),I264:W264)</f>
        <v>0.473959761056287</v>
      </c>
      <c r="Z264" s="0" t="n">
        <f aca="false">04_回帰ANOVA!$K$19*04_回帰ANOVA!$K$14*SQRT(1+Y264)</f>
        <v>1.58249084588329</v>
      </c>
      <c r="AA264" s="0" t="n">
        <f aca="false">X264-Z264</f>
        <v>39.6567498339413</v>
      </c>
      <c r="AB264" s="0" t="n">
        <f aca="false">X264+Z264</f>
        <v>42.8217315257079</v>
      </c>
      <c r="AC264" s="54" t="b">
        <f aca="false">AND(E264&gt;=01_因子設定!$L$5-0.000000001,E264&lt;=01_因子設定!$M$5+0.000000001,F264&gt;=01_因子設定!$L$6-0.000000001,F264&lt;=01_因子設定!$M$6+0.000000001,G264&gt;=01_因子設定!$L$7-0.000000001,G264&lt;=01_因子設定!$M$7+0.000000001,H264&gt;=01_因子設定!$L$8-0.000000001,H264&lt;=01_因子設定!$M$8+0.000000001,IF(01_因子設定!$B$20="Box-Behnken",E264^2+F264^2+G264^2+H264^2&lt;=2+0.000000001,TRUE()))</f>
        <v>1</v>
      </c>
      <c r="AD264" s="55" t="n">
        <f aca="false">IF(AC264,IF(01_因子設定!$B$13="最大化",AA264-01_因子設定!$B$14,IF(01_因子設定!$B$13="最小化",01_因子設定!$B$15-AB264,MIN(AA264-01_因子設定!$B$14,01_因子設定!$B$15-AB264))),-1E+030)</f>
        <v>-6.84325016605867</v>
      </c>
      <c r="AE264" s="55" t="n">
        <f aca="false">IF(AC264,IF(01_因子設定!$B$13="最大化",X264,IF(01_因子設定!$B$13="最小化",-X264,-ABS(X264-01_因子設定!$B$16))),-1E+030)</f>
        <v>41.2392406798246</v>
      </c>
      <c r="AF264" s="55" t="n">
        <f aca="false">AD264+ROW()*0.000000001</f>
        <v>-6.84324990205867</v>
      </c>
      <c r="AG264" s="55" t="n">
        <f aca="false">AE264+ROW()*0.000000001</f>
        <v>41.2392409438246</v>
      </c>
    </row>
    <row r="265" customFormat="false" ht="15" hidden="false" customHeight="false" outlineLevel="0" collapsed="false">
      <c r="A265" s="0" t="n">
        <v>0</v>
      </c>
      <c r="B265" s="0" t="n">
        <v>3</v>
      </c>
      <c r="C265" s="0" t="n">
        <v>1</v>
      </c>
      <c r="D265" s="0" t="n">
        <v>8</v>
      </c>
      <c r="E265" s="0" t="n">
        <f aca="false">-1+A265*0.25</f>
        <v>-1</v>
      </c>
      <c r="F265" s="0" t="n">
        <f aca="false">-1+B265*0.25</f>
        <v>-0.25</v>
      </c>
      <c r="G265" s="0" t="n">
        <f aca="false">-1+C265*0.25</f>
        <v>-0.75</v>
      </c>
      <c r="H265" s="0" t="n">
        <f aca="false">-1+D265*0.25</f>
        <v>1</v>
      </c>
      <c r="I265" s="0" t="n">
        <f aca="false">1</f>
        <v>1</v>
      </c>
      <c r="J265" s="0" t="n">
        <f aca="false">E265</f>
        <v>-1</v>
      </c>
      <c r="K265" s="0" t="n">
        <f aca="false">F265</f>
        <v>-0.25</v>
      </c>
      <c r="L265" s="0" t="n">
        <f aca="false">G265</f>
        <v>-0.75</v>
      </c>
      <c r="M265" s="0" t="n">
        <f aca="false">H265</f>
        <v>1</v>
      </c>
      <c r="N265" s="0" t="n">
        <f aca="false">E265*F265</f>
        <v>0.25</v>
      </c>
      <c r="O265" s="0" t="n">
        <f aca="false">E265*G265</f>
        <v>0.75</v>
      </c>
      <c r="P265" s="0" t="n">
        <f aca="false">E265*H265</f>
        <v>-1</v>
      </c>
      <c r="Q265" s="0" t="n">
        <f aca="false">F265*G265</f>
        <v>0.1875</v>
      </c>
      <c r="R265" s="0" t="n">
        <f aca="false">F265*H265</f>
        <v>-0.25</v>
      </c>
      <c r="S265" s="0" t="n">
        <f aca="false">G265*H265</f>
        <v>-0.75</v>
      </c>
      <c r="T265" s="0" t="n">
        <f aca="false">E265*E265</f>
        <v>1</v>
      </c>
      <c r="U265" s="0" t="n">
        <f aca="false">F265*F265</f>
        <v>0.0625</v>
      </c>
      <c r="V265" s="0" t="n">
        <f aca="false">G265*G265</f>
        <v>0.5625</v>
      </c>
      <c r="W265" s="0" t="n">
        <f aca="false">H265*H265</f>
        <v>1</v>
      </c>
      <c r="X265" s="0" t="n">
        <f aca="false">SUMPRODUCT(I265:W265,_XtX!$B$96:$P$96)</f>
        <v>41.10143000731</v>
      </c>
      <c r="Y265" s="0" t="n">
        <f aca="false">SUMPRODUCT(MMULT(I265:W265,_XtX!$B$78:$P$92),I265:W265)</f>
        <v>0.621372155975877</v>
      </c>
      <c r="Z265" s="0" t="n">
        <f aca="false">04_回帰ANOVA!$K$19*04_回帰ANOVA!$K$14*SQRT(1+Y265)</f>
        <v>1.65973880499872</v>
      </c>
      <c r="AA265" s="0" t="n">
        <f aca="false">X265-Z265</f>
        <v>39.4416912023113</v>
      </c>
      <c r="AB265" s="0" t="n">
        <f aca="false">X265+Z265</f>
        <v>42.7611688123087</v>
      </c>
      <c r="AC265" s="54" t="b">
        <f aca="false">AND(E265&gt;=01_因子設定!$L$5-0.000000001,E265&lt;=01_因子設定!$M$5+0.000000001,F265&gt;=01_因子設定!$L$6-0.000000001,F265&lt;=01_因子設定!$M$6+0.000000001,G265&gt;=01_因子設定!$L$7-0.000000001,G265&lt;=01_因子設定!$M$7+0.000000001,H265&gt;=01_因子設定!$L$8-0.000000001,H265&lt;=01_因子設定!$M$8+0.000000001,IF(01_因子設定!$B$20="Box-Behnken",E265^2+F265^2+G265^2+H265^2&lt;=2+0.000000001,TRUE()))</f>
        <v>1</v>
      </c>
      <c r="AD265" s="55" t="n">
        <f aca="false">IF(AC265,IF(01_因子設定!$B$13="最大化",AA265-01_因子設定!$B$14,IF(01_因子設定!$B$13="最小化",01_因子設定!$B$15-AB265,MIN(AA265-01_因子設定!$B$14,01_因子設定!$B$15-AB265))),-1E+030)</f>
        <v>-7.05830879768871</v>
      </c>
      <c r="AE265" s="55" t="n">
        <f aca="false">IF(AC265,IF(01_因子設定!$B$13="最大化",X265,IF(01_因子設定!$B$13="最小化",-X265,-ABS(X265-01_因子設定!$B$16))),-1E+030)</f>
        <v>41.10143000731</v>
      </c>
      <c r="AF265" s="55" t="n">
        <f aca="false">AD265+ROW()*0.000000001</f>
        <v>-7.05830853268871</v>
      </c>
      <c r="AG265" s="55" t="n">
        <f aca="false">AE265+ROW()*0.000000001</f>
        <v>41.10143027231</v>
      </c>
    </row>
    <row r="266" customFormat="false" ht="15" hidden="false" customHeight="false" outlineLevel="0" collapsed="false">
      <c r="A266" s="0" t="n">
        <v>0</v>
      </c>
      <c r="B266" s="0" t="n">
        <v>3</v>
      </c>
      <c r="C266" s="0" t="n">
        <v>2</v>
      </c>
      <c r="D266" s="0" t="n">
        <v>0</v>
      </c>
      <c r="E266" s="0" t="n">
        <f aca="false">-1+A266*0.25</f>
        <v>-1</v>
      </c>
      <c r="F266" s="0" t="n">
        <f aca="false">-1+B266*0.25</f>
        <v>-0.25</v>
      </c>
      <c r="G266" s="0" t="n">
        <f aca="false">-1+C266*0.25</f>
        <v>-0.5</v>
      </c>
      <c r="H266" s="0" t="n">
        <f aca="false">-1+D266*0.25</f>
        <v>-1</v>
      </c>
      <c r="I266" s="0" t="n">
        <f aca="false">1</f>
        <v>1</v>
      </c>
      <c r="J266" s="0" t="n">
        <f aca="false">E266</f>
        <v>-1</v>
      </c>
      <c r="K266" s="0" t="n">
        <f aca="false">F266</f>
        <v>-0.25</v>
      </c>
      <c r="L266" s="0" t="n">
        <f aca="false">G266</f>
        <v>-0.5</v>
      </c>
      <c r="M266" s="0" t="n">
        <f aca="false">H266</f>
        <v>-1</v>
      </c>
      <c r="N266" s="0" t="n">
        <f aca="false">E266*F266</f>
        <v>0.25</v>
      </c>
      <c r="O266" s="0" t="n">
        <f aca="false">E266*G266</f>
        <v>0.5</v>
      </c>
      <c r="P266" s="0" t="n">
        <f aca="false">E266*H266</f>
        <v>1</v>
      </c>
      <c r="Q266" s="0" t="n">
        <f aca="false">F266*G266</f>
        <v>0.125</v>
      </c>
      <c r="R266" s="0" t="n">
        <f aca="false">F266*H266</f>
        <v>0.25</v>
      </c>
      <c r="S266" s="0" t="n">
        <f aca="false">G266*H266</f>
        <v>0.5</v>
      </c>
      <c r="T266" s="0" t="n">
        <f aca="false">E266*E266</f>
        <v>1</v>
      </c>
      <c r="U266" s="0" t="n">
        <f aca="false">F266*F266</f>
        <v>0.0625</v>
      </c>
      <c r="V266" s="0" t="n">
        <f aca="false">G266*G266</f>
        <v>0.25</v>
      </c>
      <c r="W266" s="0" t="n">
        <f aca="false">H266*H266</f>
        <v>1</v>
      </c>
      <c r="X266" s="0" t="n">
        <f aca="false">SUMPRODUCT(I266:W266,_XtX!$B$96:$P$96)</f>
        <v>41.3955135233919</v>
      </c>
      <c r="Y266" s="0" t="n">
        <f aca="false">SUMPRODUCT(MMULT(I266:W266,_XtX!$B$78:$P$92),I266:W266)</f>
        <v>0.629174661915205</v>
      </c>
      <c r="Z266" s="0" t="n">
        <f aca="false">04_回帰ANOVA!$K$19*04_回帰ANOVA!$K$14*SQRT(1+Y266)</f>
        <v>1.66372758058297</v>
      </c>
      <c r="AA266" s="0" t="n">
        <f aca="false">X266-Z266</f>
        <v>39.7317859428089</v>
      </c>
      <c r="AB266" s="0" t="n">
        <f aca="false">X266+Z266</f>
        <v>43.0592411039749</v>
      </c>
      <c r="AC266" s="54" t="b">
        <f aca="false">AND(E266&gt;=01_因子設定!$L$5-0.000000001,E266&lt;=01_因子設定!$M$5+0.000000001,F266&gt;=01_因子設定!$L$6-0.000000001,F266&lt;=01_因子設定!$M$6+0.000000001,G266&gt;=01_因子設定!$L$7-0.000000001,G266&lt;=01_因子設定!$M$7+0.000000001,H266&gt;=01_因子設定!$L$8-0.000000001,H266&lt;=01_因子設定!$M$8+0.000000001,IF(01_因子設定!$B$20="Box-Behnken",E266^2+F266^2+G266^2+H266^2&lt;=2+0.000000001,TRUE()))</f>
        <v>1</v>
      </c>
      <c r="AD266" s="55" t="n">
        <f aca="false">IF(AC266,IF(01_因子設定!$B$13="最大化",AA266-01_因子設定!$B$14,IF(01_因子設定!$B$13="最小化",01_因子設定!$B$15-AB266,MIN(AA266-01_因子設定!$B$14,01_因子設定!$B$15-AB266))),-1E+030)</f>
        <v>-6.7682140571911</v>
      </c>
      <c r="AE266" s="55" t="n">
        <f aca="false">IF(AC266,IF(01_因子設定!$B$13="最大化",X266,IF(01_因子設定!$B$13="最小化",-X266,-ABS(X266-01_因子設定!$B$16))),-1E+030)</f>
        <v>41.3955135233919</v>
      </c>
      <c r="AF266" s="55" t="n">
        <f aca="false">AD266+ROW()*0.000000001</f>
        <v>-6.7682137911911</v>
      </c>
      <c r="AG266" s="55" t="n">
        <f aca="false">AE266+ROW()*0.000000001</f>
        <v>41.3955137893919</v>
      </c>
    </row>
    <row r="267" customFormat="false" ht="15" hidden="false" customHeight="false" outlineLevel="0" collapsed="false">
      <c r="A267" s="0" t="n">
        <v>0</v>
      </c>
      <c r="B267" s="0" t="n">
        <v>3</v>
      </c>
      <c r="C267" s="0" t="n">
        <v>2</v>
      </c>
      <c r="D267" s="0" t="n">
        <v>1</v>
      </c>
      <c r="E267" s="0" t="n">
        <f aca="false">-1+A267*0.25</f>
        <v>-1</v>
      </c>
      <c r="F267" s="0" t="n">
        <f aca="false">-1+B267*0.25</f>
        <v>-0.25</v>
      </c>
      <c r="G267" s="0" t="n">
        <f aca="false">-1+C267*0.25</f>
        <v>-0.5</v>
      </c>
      <c r="H267" s="0" t="n">
        <f aca="false">-1+D267*0.25</f>
        <v>-0.75</v>
      </c>
      <c r="I267" s="0" t="n">
        <f aca="false">1</f>
        <v>1</v>
      </c>
      <c r="J267" s="0" t="n">
        <f aca="false">E267</f>
        <v>-1</v>
      </c>
      <c r="K267" s="0" t="n">
        <f aca="false">F267</f>
        <v>-0.25</v>
      </c>
      <c r="L267" s="0" t="n">
        <f aca="false">G267</f>
        <v>-0.5</v>
      </c>
      <c r="M267" s="0" t="n">
        <f aca="false">H267</f>
        <v>-0.75</v>
      </c>
      <c r="N267" s="0" t="n">
        <f aca="false">E267*F267</f>
        <v>0.25</v>
      </c>
      <c r="O267" s="0" t="n">
        <f aca="false">E267*G267</f>
        <v>0.5</v>
      </c>
      <c r="P267" s="0" t="n">
        <f aca="false">E267*H267</f>
        <v>0.75</v>
      </c>
      <c r="Q267" s="0" t="n">
        <f aca="false">F267*G267</f>
        <v>0.125</v>
      </c>
      <c r="R267" s="0" t="n">
        <f aca="false">F267*H267</f>
        <v>0.1875</v>
      </c>
      <c r="S267" s="0" t="n">
        <f aca="false">G267*H267</f>
        <v>0.375</v>
      </c>
      <c r="T267" s="0" t="n">
        <f aca="false">E267*E267</f>
        <v>1</v>
      </c>
      <c r="U267" s="0" t="n">
        <f aca="false">F267*F267</f>
        <v>0.0625</v>
      </c>
      <c r="V267" s="0" t="n">
        <f aca="false">G267*G267</f>
        <v>0.25</v>
      </c>
      <c r="W267" s="0" t="n">
        <f aca="false">H267*H267</f>
        <v>0.5625</v>
      </c>
      <c r="X267" s="0" t="n">
        <f aca="false">SUMPRODUCT(I267:W267,_XtX!$B$96:$P$96)</f>
        <v>41.6103207236843</v>
      </c>
      <c r="Y267" s="0" t="n">
        <f aca="false">SUMPRODUCT(MMULT(I267:W267,_XtX!$B$78:$P$92),I267:W267)</f>
        <v>0.459125719572369</v>
      </c>
      <c r="Z267" s="0" t="n">
        <f aca="false">04_回帰ANOVA!$K$19*04_回帰ANOVA!$K$14*SQRT(1+Y267)</f>
        <v>1.57450755575573</v>
      </c>
      <c r="AA267" s="0" t="n">
        <f aca="false">X267-Z267</f>
        <v>40.0358131679285</v>
      </c>
      <c r="AB267" s="0" t="n">
        <f aca="false">X267+Z267</f>
        <v>43.18482827944</v>
      </c>
      <c r="AC267" s="54" t="b">
        <f aca="false">AND(E267&gt;=01_因子設定!$L$5-0.000000001,E267&lt;=01_因子設定!$M$5+0.000000001,F267&gt;=01_因子設定!$L$6-0.000000001,F267&lt;=01_因子設定!$M$6+0.000000001,G267&gt;=01_因子設定!$L$7-0.000000001,G267&lt;=01_因子設定!$M$7+0.000000001,H267&gt;=01_因子設定!$L$8-0.000000001,H267&lt;=01_因子設定!$M$8+0.000000001,IF(01_因子設定!$B$20="Box-Behnken",E267^2+F267^2+G267^2+H267^2&lt;=2+0.000000001,TRUE()))</f>
        <v>1</v>
      </c>
      <c r="AD267" s="55" t="n">
        <f aca="false">IF(AC267,IF(01_因子設定!$B$13="最大化",AA267-01_因子設定!$B$14,IF(01_因子設定!$B$13="最小化",01_因子設定!$B$15-AB267,MIN(AA267-01_因子設定!$B$14,01_因子設定!$B$15-AB267))),-1E+030)</f>
        <v>-6.46418683207147</v>
      </c>
      <c r="AE267" s="55" t="n">
        <f aca="false">IF(AC267,IF(01_因子設定!$B$13="最大化",X267,IF(01_因子設定!$B$13="最小化",-X267,-ABS(X267-01_因子設定!$B$16))),-1E+030)</f>
        <v>41.6103207236843</v>
      </c>
      <c r="AF267" s="55" t="n">
        <f aca="false">AD267+ROW()*0.000000001</f>
        <v>-6.46418656507147</v>
      </c>
      <c r="AG267" s="55" t="n">
        <f aca="false">AE267+ROW()*0.000000001</f>
        <v>41.6103209906843</v>
      </c>
    </row>
    <row r="268" customFormat="false" ht="15" hidden="false" customHeight="false" outlineLevel="0" collapsed="false">
      <c r="A268" s="0" t="n">
        <v>0</v>
      </c>
      <c r="B268" s="0" t="n">
        <v>3</v>
      </c>
      <c r="C268" s="0" t="n">
        <v>2</v>
      </c>
      <c r="D268" s="0" t="n">
        <v>2</v>
      </c>
      <c r="E268" s="0" t="n">
        <f aca="false">-1+A268*0.25</f>
        <v>-1</v>
      </c>
      <c r="F268" s="0" t="n">
        <f aca="false">-1+B268*0.25</f>
        <v>-0.25</v>
      </c>
      <c r="G268" s="0" t="n">
        <f aca="false">-1+C268*0.25</f>
        <v>-0.5</v>
      </c>
      <c r="H268" s="0" t="n">
        <f aca="false">-1+D268*0.25</f>
        <v>-0.5</v>
      </c>
      <c r="I268" s="0" t="n">
        <f aca="false">1</f>
        <v>1</v>
      </c>
      <c r="J268" s="0" t="n">
        <f aca="false">E268</f>
        <v>-1</v>
      </c>
      <c r="K268" s="0" t="n">
        <f aca="false">F268</f>
        <v>-0.25</v>
      </c>
      <c r="L268" s="0" t="n">
        <f aca="false">G268</f>
        <v>-0.5</v>
      </c>
      <c r="M268" s="0" t="n">
        <f aca="false">H268</f>
        <v>-0.5</v>
      </c>
      <c r="N268" s="0" t="n">
        <f aca="false">E268*F268</f>
        <v>0.25</v>
      </c>
      <c r="O268" s="0" t="n">
        <f aca="false">E268*G268</f>
        <v>0.5</v>
      </c>
      <c r="P268" s="0" t="n">
        <f aca="false">E268*H268</f>
        <v>0.5</v>
      </c>
      <c r="Q268" s="0" t="n">
        <f aca="false">F268*G268</f>
        <v>0.125</v>
      </c>
      <c r="R268" s="0" t="n">
        <f aca="false">F268*H268</f>
        <v>0.125</v>
      </c>
      <c r="S268" s="0" t="n">
        <f aca="false">G268*H268</f>
        <v>0.25</v>
      </c>
      <c r="T268" s="0" t="n">
        <f aca="false">E268*E268</f>
        <v>1</v>
      </c>
      <c r="U268" s="0" t="n">
        <f aca="false">F268*F268</f>
        <v>0.0625</v>
      </c>
      <c r="V268" s="0" t="n">
        <f aca="false">G268*G268</f>
        <v>0.25</v>
      </c>
      <c r="W268" s="0" t="n">
        <f aca="false">H268*H268</f>
        <v>0.25</v>
      </c>
      <c r="X268" s="0" t="n">
        <f aca="false">SUMPRODUCT(I268:W268,_XtX!$B$96:$P$96)</f>
        <v>41.7773209064328</v>
      </c>
      <c r="Y268" s="0" t="n">
        <f aca="false">SUMPRODUCT(MMULT(I268:W268,_XtX!$B$78:$P$92),I268:W268)</f>
        <v>0.428122715643275</v>
      </c>
      <c r="Z268" s="0" t="n">
        <f aca="false">04_回帰ANOVA!$K$19*04_回帰ANOVA!$K$14*SQRT(1+Y268)</f>
        <v>1.55769044623229</v>
      </c>
      <c r="AA268" s="0" t="n">
        <f aca="false">X268-Z268</f>
        <v>40.2196304602005</v>
      </c>
      <c r="AB268" s="0" t="n">
        <f aca="false">X268+Z268</f>
        <v>43.3350113526651</v>
      </c>
      <c r="AC268" s="54" t="b">
        <f aca="false">AND(E268&gt;=01_因子設定!$L$5-0.000000001,E268&lt;=01_因子設定!$M$5+0.000000001,F268&gt;=01_因子設定!$L$6-0.000000001,F268&lt;=01_因子設定!$M$6+0.000000001,G268&gt;=01_因子設定!$L$7-0.000000001,G268&lt;=01_因子設定!$M$7+0.000000001,H268&gt;=01_因子設定!$L$8-0.000000001,H268&lt;=01_因子設定!$M$8+0.000000001,IF(01_因子設定!$B$20="Box-Behnken",E268^2+F268^2+G268^2+H268^2&lt;=2+0.000000001,TRUE()))</f>
        <v>1</v>
      </c>
      <c r="AD268" s="55" t="n">
        <f aca="false">IF(AC268,IF(01_因子設定!$B$13="最大化",AA268-01_因子設定!$B$14,IF(01_因子設定!$B$13="最小化",01_因子設定!$B$15-AB268,MIN(AA268-01_因子設定!$B$14,01_因子設定!$B$15-AB268))),-1E+030)</f>
        <v>-6.28036953979951</v>
      </c>
      <c r="AE268" s="55" t="n">
        <f aca="false">IF(AC268,IF(01_因子設定!$B$13="最大化",X268,IF(01_因子設定!$B$13="最小化",-X268,-ABS(X268-01_因子設定!$B$16))),-1E+030)</f>
        <v>41.7773209064328</v>
      </c>
      <c r="AF268" s="55" t="n">
        <f aca="false">AD268+ROW()*0.000000001</f>
        <v>-6.28036927179951</v>
      </c>
      <c r="AG268" s="55" t="n">
        <f aca="false">AE268+ROW()*0.000000001</f>
        <v>41.7773211744328</v>
      </c>
    </row>
    <row r="269" customFormat="false" ht="15" hidden="false" customHeight="false" outlineLevel="0" collapsed="false">
      <c r="A269" s="0" t="n">
        <v>0</v>
      </c>
      <c r="B269" s="0" t="n">
        <v>3</v>
      </c>
      <c r="C269" s="0" t="n">
        <v>2</v>
      </c>
      <c r="D269" s="0" t="n">
        <v>3</v>
      </c>
      <c r="E269" s="0" t="n">
        <f aca="false">-1+A269*0.25</f>
        <v>-1</v>
      </c>
      <c r="F269" s="0" t="n">
        <f aca="false">-1+B269*0.25</f>
        <v>-0.25</v>
      </c>
      <c r="G269" s="0" t="n">
        <f aca="false">-1+C269*0.25</f>
        <v>-0.5</v>
      </c>
      <c r="H269" s="0" t="n">
        <f aca="false">-1+D269*0.25</f>
        <v>-0.25</v>
      </c>
      <c r="I269" s="0" t="n">
        <f aca="false">1</f>
        <v>1</v>
      </c>
      <c r="J269" s="0" t="n">
        <f aca="false">E269</f>
        <v>-1</v>
      </c>
      <c r="K269" s="0" t="n">
        <f aca="false">F269</f>
        <v>-0.25</v>
      </c>
      <c r="L269" s="0" t="n">
        <f aca="false">G269</f>
        <v>-0.5</v>
      </c>
      <c r="M269" s="0" t="n">
        <f aca="false">H269</f>
        <v>-0.25</v>
      </c>
      <c r="N269" s="0" t="n">
        <f aca="false">E269*F269</f>
        <v>0.25</v>
      </c>
      <c r="O269" s="0" t="n">
        <f aca="false">E269*G269</f>
        <v>0.5</v>
      </c>
      <c r="P269" s="0" t="n">
        <f aca="false">E269*H269</f>
        <v>0.25</v>
      </c>
      <c r="Q269" s="0" t="n">
        <f aca="false">F269*G269</f>
        <v>0.125</v>
      </c>
      <c r="R269" s="0" t="n">
        <f aca="false">F269*H269</f>
        <v>0.0625</v>
      </c>
      <c r="S269" s="0" t="n">
        <f aca="false">G269*H269</f>
        <v>0.125</v>
      </c>
      <c r="T269" s="0" t="n">
        <f aca="false">E269*E269</f>
        <v>1</v>
      </c>
      <c r="U269" s="0" t="n">
        <f aca="false">F269*F269</f>
        <v>0.0625</v>
      </c>
      <c r="V269" s="0" t="n">
        <f aca="false">G269*G269</f>
        <v>0.25</v>
      </c>
      <c r="W269" s="0" t="n">
        <f aca="false">H269*H269</f>
        <v>0.0625</v>
      </c>
      <c r="X269" s="0" t="n">
        <f aca="false">SUMPRODUCT(I269:W269,_XtX!$B$96:$P$96)</f>
        <v>41.8965140716375</v>
      </c>
      <c r="Y269" s="0" t="n">
        <f aca="false">SUMPRODUCT(MMULT(I269:W269,_XtX!$B$78:$P$92),I269:W269)</f>
        <v>0.445705123812135</v>
      </c>
      <c r="Z269" s="0" t="n">
        <f aca="false">04_回帰ANOVA!$K$19*04_回帰ANOVA!$K$14*SQRT(1+Y269)</f>
        <v>1.56724990734749</v>
      </c>
      <c r="AA269" s="0" t="n">
        <f aca="false">X269-Z269</f>
        <v>40.32926416429</v>
      </c>
      <c r="AB269" s="0" t="n">
        <f aca="false">X269+Z269</f>
        <v>43.4637639789849</v>
      </c>
      <c r="AC269" s="54" t="b">
        <f aca="false">AND(E269&gt;=01_因子設定!$L$5-0.000000001,E269&lt;=01_因子設定!$M$5+0.000000001,F269&gt;=01_因子設定!$L$6-0.000000001,F269&lt;=01_因子設定!$M$6+0.000000001,G269&gt;=01_因子設定!$L$7-0.000000001,G269&lt;=01_因子設定!$M$7+0.000000001,H269&gt;=01_因子設定!$L$8-0.000000001,H269&lt;=01_因子設定!$M$8+0.000000001,IF(01_因子設定!$B$20="Box-Behnken",E269^2+F269^2+G269^2+H269^2&lt;=2+0.000000001,TRUE()))</f>
        <v>1</v>
      </c>
      <c r="AD269" s="55" t="n">
        <f aca="false">IF(AC269,IF(01_因子設定!$B$13="最大化",AA269-01_因子設定!$B$14,IF(01_因子設定!$B$13="最小化",01_因子設定!$B$15-AB269,MIN(AA269-01_因子設定!$B$14,01_因子設定!$B$15-AB269))),-1E+030)</f>
        <v>-6.17073583571003</v>
      </c>
      <c r="AE269" s="55" t="n">
        <f aca="false">IF(AC269,IF(01_因子設定!$B$13="最大化",X269,IF(01_因子設定!$B$13="最小化",-X269,-ABS(X269-01_因子設定!$B$16))),-1E+030)</f>
        <v>41.8965140716375</v>
      </c>
      <c r="AF269" s="55" t="n">
        <f aca="false">AD269+ROW()*0.000000001</f>
        <v>-6.17073556671003</v>
      </c>
      <c r="AG269" s="55" t="n">
        <f aca="false">AE269+ROW()*0.000000001</f>
        <v>41.8965143406375</v>
      </c>
    </row>
    <row r="270" customFormat="false" ht="15" hidden="false" customHeight="false" outlineLevel="0" collapsed="false">
      <c r="A270" s="0" t="n">
        <v>0</v>
      </c>
      <c r="B270" s="0" t="n">
        <v>3</v>
      </c>
      <c r="C270" s="0" t="n">
        <v>2</v>
      </c>
      <c r="D270" s="0" t="n">
        <v>4</v>
      </c>
      <c r="E270" s="0" t="n">
        <f aca="false">-1+A270*0.25</f>
        <v>-1</v>
      </c>
      <c r="F270" s="0" t="n">
        <f aca="false">-1+B270*0.25</f>
        <v>-0.25</v>
      </c>
      <c r="G270" s="0" t="n">
        <f aca="false">-1+C270*0.25</f>
        <v>-0.5</v>
      </c>
      <c r="H270" s="0" t="n">
        <f aca="false">-1+D270*0.25</f>
        <v>0</v>
      </c>
      <c r="I270" s="0" t="n">
        <f aca="false">1</f>
        <v>1</v>
      </c>
      <c r="J270" s="0" t="n">
        <f aca="false">E270</f>
        <v>-1</v>
      </c>
      <c r="K270" s="0" t="n">
        <f aca="false">F270</f>
        <v>-0.25</v>
      </c>
      <c r="L270" s="0" t="n">
        <f aca="false">G270</f>
        <v>-0.5</v>
      </c>
      <c r="M270" s="0" t="n">
        <f aca="false">H270</f>
        <v>0</v>
      </c>
      <c r="N270" s="0" t="n">
        <f aca="false">E270*F270</f>
        <v>0.25</v>
      </c>
      <c r="O270" s="0" t="n">
        <f aca="false">E270*G270</f>
        <v>0.5</v>
      </c>
      <c r="P270" s="0" t="n">
        <f aca="false">E270*H270</f>
        <v>-0</v>
      </c>
      <c r="Q270" s="0" t="n">
        <f aca="false">F270*G270</f>
        <v>0.125</v>
      </c>
      <c r="R270" s="0" t="n">
        <f aca="false">F270*H270</f>
        <v>-0</v>
      </c>
      <c r="S270" s="0" t="n">
        <f aca="false">G270*H270</f>
        <v>-0</v>
      </c>
      <c r="T270" s="0" t="n">
        <f aca="false">E270*E270</f>
        <v>1</v>
      </c>
      <c r="U270" s="0" t="n">
        <f aca="false">F270*F270</f>
        <v>0.0625</v>
      </c>
      <c r="V270" s="0" t="n">
        <f aca="false">G270*G270</f>
        <v>0.25</v>
      </c>
      <c r="W270" s="0" t="n">
        <f aca="false">H270*H270</f>
        <v>0</v>
      </c>
      <c r="X270" s="0" t="n">
        <f aca="false">SUMPRODUCT(I270:W270,_XtX!$B$96:$P$96)</f>
        <v>41.9679002192983</v>
      </c>
      <c r="Y270" s="0" t="n">
        <f aca="false">SUMPRODUCT(MMULT(I270:W270,_XtX!$B$78:$P$92),I270:W270)</f>
        <v>0.457596628289474</v>
      </c>
      <c r="Z270" s="0" t="n">
        <f aca="false">04_回帰ANOVA!$K$19*04_回帰ANOVA!$K$14*SQRT(1+Y270)</f>
        <v>1.57368233664366</v>
      </c>
      <c r="AA270" s="0" t="n">
        <f aca="false">X270-Z270</f>
        <v>40.3942178826546</v>
      </c>
      <c r="AB270" s="0" t="n">
        <f aca="false">X270+Z270</f>
        <v>43.5415825559419</v>
      </c>
      <c r="AC270" s="54" t="b">
        <f aca="false">AND(E270&gt;=01_因子設定!$L$5-0.000000001,E270&lt;=01_因子設定!$M$5+0.000000001,F270&gt;=01_因子設定!$L$6-0.000000001,F270&lt;=01_因子設定!$M$6+0.000000001,G270&gt;=01_因子設定!$L$7-0.000000001,G270&lt;=01_因子設定!$M$7+0.000000001,H270&gt;=01_因子設定!$L$8-0.000000001,H270&lt;=01_因子設定!$M$8+0.000000001,IF(01_因子設定!$B$20="Box-Behnken",E270^2+F270^2+G270^2+H270^2&lt;=2+0.000000001,TRUE()))</f>
        <v>1</v>
      </c>
      <c r="AD270" s="55" t="n">
        <f aca="false">IF(AC270,IF(01_因子設定!$B$13="最大化",AA270-01_因子設定!$B$14,IF(01_因子設定!$B$13="最小化",01_因子設定!$B$15-AB270,MIN(AA270-01_因子設定!$B$14,01_因子設定!$B$15-AB270))),-1E+030)</f>
        <v>-6.10578211734539</v>
      </c>
      <c r="AE270" s="55" t="n">
        <f aca="false">IF(AC270,IF(01_因子設定!$B$13="最大化",X270,IF(01_因子設定!$B$13="最小化",-X270,-ABS(X270-01_因子設定!$B$16))),-1E+030)</f>
        <v>41.9679002192983</v>
      </c>
      <c r="AF270" s="55" t="n">
        <f aca="false">AD270+ROW()*0.000000001</f>
        <v>-6.10578184734538</v>
      </c>
      <c r="AG270" s="55" t="n">
        <f aca="false">AE270+ROW()*0.000000001</f>
        <v>41.9679004892983</v>
      </c>
    </row>
    <row r="271" customFormat="false" ht="15" hidden="false" customHeight="false" outlineLevel="0" collapsed="false">
      <c r="A271" s="0" t="n">
        <v>0</v>
      </c>
      <c r="B271" s="0" t="n">
        <v>3</v>
      </c>
      <c r="C271" s="0" t="n">
        <v>2</v>
      </c>
      <c r="D271" s="0" t="n">
        <v>5</v>
      </c>
      <c r="E271" s="0" t="n">
        <f aca="false">-1+A271*0.25</f>
        <v>-1</v>
      </c>
      <c r="F271" s="0" t="n">
        <f aca="false">-1+B271*0.25</f>
        <v>-0.25</v>
      </c>
      <c r="G271" s="0" t="n">
        <f aca="false">-1+C271*0.25</f>
        <v>-0.5</v>
      </c>
      <c r="H271" s="0" t="n">
        <f aca="false">-1+D271*0.25</f>
        <v>0.25</v>
      </c>
      <c r="I271" s="0" t="n">
        <f aca="false">1</f>
        <v>1</v>
      </c>
      <c r="J271" s="0" t="n">
        <f aca="false">E271</f>
        <v>-1</v>
      </c>
      <c r="K271" s="0" t="n">
        <f aca="false">F271</f>
        <v>-0.25</v>
      </c>
      <c r="L271" s="0" t="n">
        <f aca="false">G271</f>
        <v>-0.5</v>
      </c>
      <c r="M271" s="0" t="n">
        <f aca="false">H271</f>
        <v>0.25</v>
      </c>
      <c r="N271" s="0" t="n">
        <f aca="false">E271*F271</f>
        <v>0.25</v>
      </c>
      <c r="O271" s="0" t="n">
        <f aca="false">E271*G271</f>
        <v>0.5</v>
      </c>
      <c r="P271" s="0" t="n">
        <f aca="false">E271*H271</f>
        <v>-0.25</v>
      </c>
      <c r="Q271" s="0" t="n">
        <f aca="false">F271*G271</f>
        <v>0.125</v>
      </c>
      <c r="R271" s="0" t="n">
        <f aca="false">F271*H271</f>
        <v>-0.0625</v>
      </c>
      <c r="S271" s="0" t="n">
        <f aca="false">G271*H271</f>
        <v>-0.125</v>
      </c>
      <c r="T271" s="0" t="n">
        <f aca="false">E271*E271</f>
        <v>1</v>
      </c>
      <c r="U271" s="0" t="n">
        <f aca="false">F271*F271</f>
        <v>0.0625</v>
      </c>
      <c r="V271" s="0" t="n">
        <f aca="false">G271*G271</f>
        <v>0.25</v>
      </c>
      <c r="W271" s="0" t="n">
        <f aca="false">H271*H271</f>
        <v>0.0625</v>
      </c>
      <c r="X271" s="0" t="n">
        <f aca="false">SUMPRODUCT(I271:W271,_XtX!$B$96:$P$96)</f>
        <v>41.9914793494152</v>
      </c>
      <c r="Y271" s="0" t="n">
        <f aca="false">SUMPRODUCT(MMULT(I271:W271,_XtX!$B$78:$P$92),I271:W271)</f>
        <v>0.445705123812135</v>
      </c>
      <c r="Z271" s="0" t="n">
        <f aca="false">04_回帰ANOVA!$K$19*04_回帰ANOVA!$K$14*SQRT(1+Y271)</f>
        <v>1.56724990734749</v>
      </c>
      <c r="AA271" s="0" t="n">
        <f aca="false">X271-Z271</f>
        <v>40.4242294420678</v>
      </c>
      <c r="AB271" s="0" t="n">
        <f aca="false">X271+Z271</f>
        <v>43.5587292567627</v>
      </c>
      <c r="AC271" s="54" t="b">
        <f aca="false">AND(E271&gt;=01_因子設定!$L$5-0.000000001,E271&lt;=01_因子設定!$M$5+0.000000001,F271&gt;=01_因子設定!$L$6-0.000000001,F271&lt;=01_因子設定!$M$6+0.000000001,G271&gt;=01_因子設定!$L$7-0.000000001,G271&lt;=01_因子設定!$M$7+0.000000001,H271&gt;=01_因子設定!$L$8-0.000000001,H271&lt;=01_因子設定!$M$8+0.000000001,IF(01_因子設定!$B$20="Box-Behnken",E271^2+F271^2+G271^2+H271^2&lt;=2+0.000000001,TRUE()))</f>
        <v>1</v>
      </c>
      <c r="AD271" s="55" t="n">
        <f aca="false">IF(AC271,IF(01_因子設定!$B$13="最大化",AA271-01_因子設定!$B$14,IF(01_因子設定!$B$13="最小化",01_因子設定!$B$15-AB271,MIN(AA271-01_因子設定!$B$14,01_因子設定!$B$15-AB271))),-1E+030)</f>
        <v>-6.07577055793225</v>
      </c>
      <c r="AE271" s="55" t="n">
        <f aca="false">IF(AC271,IF(01_因子設定!$B$13="最大化",X271,IF(01_因子設定!$B$13="最小化",-X271,-ABS(X271-01_因子設定!$B$16))),-1E+030)</f>
        <v>41.9914793494152</v>
      </c>
      <c r="AF271" s="55" t="n">
        <f aca="false">AD271+ROW()*0.000000001</f>
        <v>-6.07577028693225</v>
      </c>
      <c r="AG271" s="55" t="n">
        <f aca="false">AE271+ROW()*0.000000001</f>
        <v>41.9914796204152</v>
      </c>
    </row>
    <row r="272" customFormat="false" ht="15" hidden="false" customHeight="false" outlineLevel="0" collapsed="false">
      <c r="A272" s="0" t="n">
        <v>0</v>
      </c>
      <c r="B272" s="0" t="n">
        <v>3</v>
      </c>
      <c r="C272" s="0" t="n">
        <v>2</v>
      </c>
      <c r="D272" s="0" t="n">
        <v>6</v>
      </c>
      <c r="E272" s="0" t="n">
        <f aca="false">-1+A272*0.25</f>
        <v>-1</v>
      </c>
      <c r="F272" s="0" t="n">
        <f aca="false">-1+B272*0.25</f>
        <v>-0.25</v>
      </c>
      <c r="G272" s="0" t="n">
        <f aca="false">-1+C272*0.25</f>
        <v>-0.5</v>
      </c>
      <c r="H272" s="0" t="n">
        <f aca="false">-1+D272*0.25</f>
        <v>0.5</v>
      </c>
      <c r="I272" s="0" t="n">
        <f aca="false">1</f>
        <v>1</v>
      </c>
      <c r="J272" s="0" t="n">
        <f aca="false">E272</f>
        <v>-1</v>
      </c>
      <c r="K272" s="0" t="n">
        <f aca="false">F272</f>
        <v>-0.25</v>
      </c>
      <c r="L272" s="0" t="n">
        <f aca="false">G272</f>
        <v>-0.5</v>
      </c>
      <c r="M272" s="0" t="n">
        <f aca="false">H272</f>
        <v>0.5</v>
      </c>
      <c r="N272" s="0" t="n">
        <f aca="false">E272*F272</f>
        <v>0.25</v>
      </c>
      <c r="O272" s="0" t="n">
        <f aca="false">E272*G272</f>
        <v>0.5</v>
      </c>
      <c r="P272" s="0" t="n">
        <f aca="false">E272*H272</f>
        <v>-0.5</v>
      </c>
      <c r="Q272" s="0" t="n">
        <f aca="false">F272*G272</f>
        <v>0.125</v>
      </c>
      <c r="R272" s="0" t="n">
        <f aca="false">F272*H272</f>
        <v>-0.125</v>
      </c>
      <c r="S272" s="0" t="n">
        <f aca="false">G272*H272</f>
        <v>-0.25</v>
      </c>
      <c r="T272" s="0" t="n">
        <f aca="false">E272*E272</f>
        <v>1</v>
      </c>
      <c r="U272" s="0" t="n">
        <f aca="false">F272*F272</f>
        <v>0.0625</v>
      </c>
      <c r="V272" s="0" t="n">
        <f aca="false">G272*G272</f>
        <v>0.25</v>
      </c>
      <c r="W272" s="0" t="n">
        <f aca="false">H272*H272</f>
        <v>0.25</v>
      </c>
      <c r="X272" s="0" t="n">
        <f aca="false">SUMPRODUCT(I272:W272,_XtX!$B$96:$P$96)</f>
        <v>41.9672514619883</v>
      </c>
      <c r="Y272" s="0" t="n">
        <f aca="false">SUMPRODUCT(MMULT(I272:W272,_XtX!$B$78:$P$92),I272:W272)</f>
        <v>0.428122715643275</v>
      </c>
      <c r="Z272" s="0" t="n">
        <f aca="false">04_回帰ANOVA!$K$19*04_回帰ANOVA!$K$14*SQRT(1+Y272)</f>
        <v>1.55769044623229</v>
      </c>
      <c r="AA272" s="0" t="n">
        <f aca="false">X272-Z272</f>
        <v>40.4095610157561</v>
      </c>
      <c r="AB272" s="0" t="n">
        <f aca="false">X272+Z272</f>
        <v>43.5249419082206</v>
      </c>
      <c r="AC272" s="54" t="b">
        <f aca="false">AND(E272&gt;=01_因子設定!$L$5-0.000000001,E272&lt;=01_因子設定!$M$5+0.000000001,F272&gt;=01_因子設定!$L$6-0.000000001,F272&lt;=01_因子設定!$M$6+0.000000001,G272&gt;=01_因子設定!$L$7-0.000000001,G272&lt;=01_因子設定!$M$7+0.000000001,H272&gt;=01_因子設定!$L$8-0.000000001,H272&lt;=01_因子設定!$M$8+0.000000001,IF(01_因子設定!$B$20="Box-Behnken",E272^2+F272^2+G272^2+H272^2&lt;=2+0.000000001,TRUE()))</f>
        <v>1</v>
      </c>
      <c r="AD272" s="55" t="n">
        <f aca="false">IF(AC272,IF(01_因子設定!$B$13="最大化",AA272-01_因子設定!$B$14,IF(01_因子設定!$B$13="最小化",01_因子設定!$B$15-AB272,MIN(AA272-01_因子設定!$B$14,01_因子設定!$B$15-AB272))),-1E+030)</f>
        <v>-6.09043898424395</v>
      </c>
      <c r="AE272" s="55" t="n">
        <f aca="false">IF(AC272,IF(01_因子設定!$B$13="最大化",X272,IF(01_因子設定!$B$13="最小化",-X272,-ABS(X272-01_因子設定!$B$16))),-1E+030)</f>
        <v>41.9672514619883</v>
      </c>
      <c r="AF272" s="55" t="n">
        <f aca="false">AD272+ROW()*0.000000001</f>
        <v>-6.09043871224395</v>
      </c>
      <c r="AG272" s="55" t="n">
        <f aca="false">AE272+ROW()*0.000000001</f>
        <v>41.9672517339883</v>
      </c>
    </row>
    <row r="273" customFormat="false" ht="15" hidden="false" customHeight="false" outlineLevel="0" collapsed="false">
      <c r="A273" s="0" t="n">
        <v>0</v>
      </c>
      <c r="B273" s="0" t="n">
        <v>3</v>
      </c>
      <c r="C273" s="0" t="n">
        <v>2</v>
      </c>
      <c r="D273" s="0" t="n">
        <v>7</v>
      </c>
      <c r="E273" s="0" t="n">
        <f aca="false">-1+A273*0.25</f>
        <v>-1</v>
      </c>
      <c r="F273" s="0" t="n">
        <f aca="false">-1+B273*0.25</f>
        <v>-0.25</v>
      </c>
      <c r="G273" s="0" t="n">
        <f aca="false">-1+C273*0.25</f>
        <v>-0.5</v>
      </c>
      <c r="H273" s="0" t="n">
        <f aca="false">-1+D273*0.25</f>
        <v>0.75</v>
      </c>
      <c r="I273" s="0" t="n">
        <f aca="false">1</f>
        <v>1</v>
      </c>
      <c r="J273" s="0" t="n">
        <f aca="false">E273</f>
        <v>-1</v>
      </c>
      <c r="K273" s="0" t="n">
        <f aca="false">F273</f>
        <v>-0.25</v>
      </c>
      <c r="L273" s="0" t="n">
        <f aca="false">G273</f>
        <v>-0.5</v>
      </c>
      <c r="M273" s="0" t="n">
        <f aca="false">H273</f>
        <v>0.75</v>
      </c>
      <c r="N273" s="0" t="n">
        <f aca="false">E273*F273</f>
        <v>0.25</v>
      </c>
      <c r="O273" s="0" t="n">
        <f aca="false">E273*G273</f>
        <v>0.5</v>
      </c>
      <c r="P273" s="0" t="n">
        <f aca="false">E273*H273</f>
        <v>-0.75</v>
      </c>
      <c r="Q273" s="0" t="n">
        <f aca="false">F273*G273</f>
        <v>0.125</v>
      </c>
      <c r="R273" s="0" t="n">
        <f aca="false">F273*H273</f>
        <v>-0.1875</v>
      </c>
      <c r="S273" s="0" t="n">
        <f aca="false">G273*H273</f>
        <v>-0.375</v>
      </c>
      <c r="T273" s="0" t="n">
        <f aca="false">E273*E273</f>
        <v>1</v>
      </c>
      <c r="U273" s="0" t="n">
        <f aca="false">F273*F273</f>
        <v>0.0625</v>
      </c>
      <c r="V273" s="0" t="n">
        <f aca="false">G273*G273</f>
        <v>0.25</v>
      </c>
      <c r="W273" s="0" t="n">
        <f aca="false">H273*H273</f>
        <v>0.5625</v>
      </c>
      <c r="X273" s="0" t="n">
        <f aca="false">SUMPRODUCT(I273:W273,_XtX!$B$96:$P$96)</f>
        <v>41.8952165570176</v>
      </c>
      <c r="Y273" s="0" t="n">
        <f aca="false">SUMPRODUCT(MMULT(I273:W273,_XtX!$B$78:$P$92),I273:W273)</f>
        <v>0.459125719572369</v>
      </c>
      <c r="Z273" s="0" t="n">
        <f aca="false">04_回帰ANOVA!$K$19*04_回帰ANOVA!$K$14*SQRT(1+Y273)</f>
        <v>1.57450755575573</v>
      </c>
      <c r="AA273" s="0" t="n">
        <f aca="false">X273-Z273</f>
        <v>40.3207090012619</v>
      </c>
      <c r="AB273" s="0" t="n">
        <f aca="false">X273+Z273</f>
        <v>43.4697241127733</v>
      </c>
      <c r="AC273" s="54" t="b">
        <f aca="false">AND(E273&gt;=01_因子設定!$L$5-0.000000001,E273&lt;=01_因子設定!$M$5+0.000000001,F273&gt;=01_因子設定!$L$6-0.000000001,F273&lt;=01_因子設定!$M$6+0.000000001,G273&gt;=01_因子設定!$L$7-0.000000001,G273&lt;=01_因子設定!$M$7+0.000000001,H273&gt;=01_因子設定!$L$8-0.000000001,H273&lt;=01_因子設定!$M$8+0.000000001,IF(01_因子設定!$B$20="Box-Behnken",E273^2+F273^2+G273^2+H273^2&lt;=2+0.000000001,TRUE()))</f>
        <v>1</v>
      </c>
      <c r="AD273" s="55" t="n">
        <f aca="false">IF(AC273,IF(01_因子設定!$B$13="最大化",AA273-01_因子設定!$B$14,IF(01_因子設定!$B$13="最小化",01_因子設定!$B$15-AB273,MIN(AA273-01_因子設定!$B$14,01_因子設定!$B$15-AB273))),-1E+030)</f>
        <v>-6.17929099873814</v>
      </c>
      <c r="AE273" s="55" t="n">
        <f aca="false">IF(AC273,IF(01_因子設定!$B$13="最大化",X273,IF(01_因子設定!$B$13="最小化",-X273,-ABS(X273-01_因子設定!$B$16))),-1E+030)</f>
        <v>41.8952165570176</v>
      </c>
      <c r="AF273" s="55" t="n">
        <f aca="false">AD273+ROW()*0.000000001</f>
        <v>-6.17929072573814</v>
      </c>
      <c r="AG273" s="55" t="n">
        <f aca="false">AE273+ROW()*0.000000001</f>
        <v>41.8952168300176</v>
      </c>
    </row>
    <row r="274" customFormat="false" ht="15" hidden="false" customHeight="false" outlineLevel="0" collapsed="false">
      <c r="A274" s="0" t="n">
        <v>0</v>
      </c>
      <c r="B274" s="0" t="n">
        <v>3</v>
      </c>
      <c r="C274" s="0" t="n">
        <v>2</v>
      </c>
      <c r="D274" s="0" t="n">
        <v>8</v>
      </c>
      <c r="E274" s="0" t="n">
        <f aca="false">-1+A274*0.25</f>
        <v>-1</v>
      </c>
      <c r="F274" s="0" t="n">
        <f aca="false">-1+B274*0.25</f>
        <v>-0.25</v>
      </c>
      <c r="G274" s="0" t="n">
        <f aca="false">-1+C274*0.25</f>
        <v>-0.5</v>
      </c>
      <c r="H274" s="0" t="n">
        <f aca="false">-1+D274*0.25</f>
        <v>1</v>
      </c>
      <c r="I274" s="0" t="n">
        <f aca="false">1</f>
        <v>1</v>
      </c>
      <c r="J274" s="0" t="n">
        <f aca="false">E274</f>
        <v>-1</v>
      </c>
      <c r="K274" s="0" t="n">
        <f aca="false">F274</f>
        <v>-0.25</v>
      </c>
      <c r="L274" s="0" t="n">
        <f aca="false">G274</f>
        <v>-0.5</v>
      </c>
      <c r="M274" s="0" t="n">
        <f aca="false">H274</f>
        <v>1</v>
      </c>
      <c r="N274" s="0" t="n">
        <f aca="false">E274*F274</f>
        <v>0.25</v>
      </c>
      <c r="O274" s="0" t="n">
        <f aca="false">E274*G274</f>
        <v>0.5</v>
      </c>
      <c r="P274" s="0" t="n">
        <f aca="false">E274*H274</f>
        <v>-1</v>
      </c>
      <c r="Q274" s="0" t="n">
        <f aca="false">F274*G274</f>
        <v>0.125</v>
      </c>
      <c r="R274" s="0" t="n">
        <f aca="false">F274*H274</f>
        <v>-0.25</v>
      </c>
      <c r="S274" s="0" t="n">
        <f aca="false">G274*H274</f>
        <v>-0.5</v>
      </c>
      <c r="T274" s="0" t="n">
        <f aca="false">E274*E274</f>
        <v>1</v>
      </c>
      <c r="U274" s="0" t="n">
        <f aca="false">F274*F274</f>
        <v>0.0625</v>
      </c>
      <c r="V274" s="0" t="n">
        <f aca="false">G274*G274</f>
        <v>0.25</v>
      </c>
      <c r="W274" s="0" t="n">
        <f aca="false">H274*H274</f>
        <v>1</v>
      </c>
      <c r="X274" s="0" t="n">
        <f aca="false">SUMPRODUCT(I274:W274,_XtX!$B$96:$P$96)</f>
        <v>41.775374634503</v>
      </c>
      <c r="Y274" s="0" t="n">
        <f aca="false">SUMPRODUCT(MMULT(I274:W274,_XtX!$B$78:$P$92),I274:W274)</f>
        <v>0.629174661915205</v>
      </c>
      <c r="Z274" s="0" t="n">
        <f aca="false">04_回帰ANOVA!$K$19*04_回帰ANOVA!$K$14*SQRT(1+Y274)</f>
        <v>1.66372758058297</v>
      </c>
      <c r="AA274" s="0" t="n">
        <f aca="false">X274-Z274</f>
        <v>40.11164705392</v>
      </c>
      <c r="AB274" s="0" t="n">
        <f aca="false">X274+Z274</f>
        <v>43.439102215086</v>
      </c>
      <c r="AC274" s="54" t="b">
        <f aca="false">AND(E274&gt;=01_因子設定!$L$5-0.000000001,E274&lt;=01_因子設定!$M$5+0.000000001,F274&gt;=01_因子設定!$L$6-0.000000001,F274&lt;=01_因子設定!$M$6+0.000000001,G274&gt;=01_因子設定!$L$7-0.000000001,G274&lt;=01_因子設定!$M$7+0.000000001,H274&gt;=01_因子設定!$L$8-0.000000001,H274&lt;=01_因子設定!$M$8+0.000000001,IF(01_因子設定!$B$20="Box-Behnken",E274^2+F274^2+G274^2+H274^2&lt;=2+0.000000001,TRUE()))</f>
        <v>1</v>
      </c>
      <c r="AD274" s="55" t="n">
        <f aca="false">IF(AC274,IF(01_因子設定!$B$13="最大化",AA274-01_因子設定!$B$14,IF(01_因子設定!$B$13="最小化",01_因子設定!$B$15-AB274,MIN(AA274-01_因子設定!$B$14,01_因子設定!$B$15-AB274))),-1E+030)</f>
        <v>-6.38835294607998</v>
      </c>
      <c r="AE274" s="55" t="n">
        <f aca="false">IF(AC274,IF(01_因子設定!$B$13="最大化",X274,IF(01_因子設定!$B$13="最小化",-X274,-ABS(X274-01_因子設定!$B$16))),-1E+030)</f>
        <v>41.775374634503</v>
      </c>
      <c r="AF274" s="55" t="n">
        <f aca="false">AD274+ROW()*0.000000001</f>
        <v>-6.38835267207998</v>
      </c>
      <c r="AG274" s="55" t="n">
        <f aca="false">AE274+ROW()*0.000000001</f>
        <v>41.775374908503</v>
      </c>
    </row>
    <row r="275" customFormat="false" ht="15" hidden="false" customHeight="false" outlineLevel="0" collapsed="false">
      <c r="A275" s="0" t="n">
        <v>0</v>
      </c>
      <c r="B275" s="0" t="n">
        <v>3</v>
      </c>
      <c r="C275" s="0" t="n">
        <v>3</v>
      </c>
      <c r="D275" s="0" t="n">
        <v>0</v>
      </c>
      <c r="E275" s="0" t="n">
        <f aca="false">-1+A275*0.25</f>
        <v>-1</v>
      </c>
      <c r="F275" s="0" t="n">
        <f aca="false">-1+B275*0.25</f>
        <v>-0.25</v>
      </c>
      <c r="G275" s="0" t="n">
        <f aca="false">-1+C275*0.25</f>
        <v>-0.25</v>
      </c>
      <c r="H275" s="0" t="n">
        <f aca="false">-1+D275*0.25</f>
        <v>-1</v>
      </c>
      <c r="I275" s="0" t="n">
        <f aca="false">1</f>
        <v>1</v>
      </c>
      <c r="J275" s="0" t="n">
        <f aca="false">E275</f>
        <v>-1</v>
      </c>
      <c r="K275" s="0" t="n">
        <f aca="false">F275</f>
        <v>-0.25</v>
      </c>
      <c r="L275" s="0" t="n">
        <f aca="false">G275</f>
        <v>-0.25</v>
      </c>
      <c r="M275" s="0" t="n">
        <f aca="false">H275</f>
        <v>-1</v>
      </c>
      <c r="N275" s="0" t="n">
        <f aca="false">E275*F275</f>
        <v>0.25</v>
      </c>
      <c r="O275" s="0" t="n">
        <f aca="false">E275*G275</f>
        <v>0.25</v>
      </c>
      <c r="P275" s="0" t="n">
        <f aca="false">E275*H275</f>
        <v>1</v>
      </c>
      <c r="Q275" s="0" t="n">
        <f aca="false">F275*G275</f>
        <v>0.0625</v>
      </c>
      <c r="R275" s="0" t="n">
        <f aca="false">F275*H275</f>
        <v>0.25</v>
      </c>
      <c r="S275" s="0" t="n">
        <f aca="false">G275*H275</f>
        <v>0.25</v>
      </c>
      <c r="T275" s="0" t="n">
        <f aca="false">E275*E275</f>
        <v>1</v>
      </c>
      <c r="U275" s="0" t="n">
        <f aca="false">F275*F275</f>
        <v>0.0625</v>
      </c>
      <c r="V275" s="0" t="n">
        <f aca="false">G275*G275</f>
        <v>0.0625</v>
      </c>
      <c r="W275" s="0" t="n">
        <f aca="false">H275*H275</f>
        <v>1</v>
      </c>
      <c r="X275" s="0" t="n">
        <f aca="false">SUMPRODUCT(I275:W275,_XtX!$B$96:$P$96)</f>
        <v>41.840401133041</v>
      </c>
      <c r="Y275" s="0" t="n">
        <f aca="false">SUMPRODUCT(MMULT(I275:W275,_XtX!$B$78:$P$92),I275:W275)</f>
        <v>0.670040376005117</v>
      </c>
      <c r="Z275" s="0" t="n">
        <f aca="false">04_回帰ANOVA!$K$19*04_回帰ANOVA!$K$14*SQRT(1+Y275)</f>
        <v>1.68446456039992</v>
      </c>
      <c r="AA275" s="0" t="n">
        <f aca="false">X275-Z275</f>
        <v>40.1559365726411</v>
      </c>
      <c r="AB275" s="0" t="n">
        <f aca="false">X275+Z275</f>
        <v>43.5248656934409</v>
      </c>
      <c r="AC275" s="54" t="b">
        <f aca="false">AND(E275&gt;=01_因子設定!$L$5-0.000000001,E275&lt;=01_因子設定!$M$5+0.000000001,F275&gt;=01_因子設定!$L$6-0.000000001,F275&lt;=01_因子設定!$M$6+0.000000001,G275&gt;=01_因子設定!$L$7-0.000000001,G275&lt;=01_因子設定!$M$7+0.000000001,H275&gt;=01_因子設定!$L$8-0.000000001,H275&lt;=01_因子設定!$M$8+0.000000001,IF(01_因子設定!$B$20="Box-Behnken",E275^2+F275^2+G275^2+H275^2&lt;=2+0.000000001,TRUE()))</f>
        <v>1</v>
      </c>
      <c r="AD275" s="55" t="n">
        <f aca="false">IF(AC275,IF(01_因子設定!$B$13="最大化",AA275-01_因子設定!$B$14,IF(01_因子設定!$B$13="最小化",01_因子設定!$B$15-AB275,MIN(AA275-01_因子設定!$B$14,01_因子設定!$B$15-AB275))),-1E+030)</f>
        <v>-6.34406342735892</v>
      </c>
      <c r="AE275" s="55" t="n">
        <f aca="false">IF(AC275,IF(01_因子設定!$B$13="最大化",X275,IF(01_因子設定!$B$13="最小化",-X275,-ABS(X275-01_因子設定!$B$16))),-1E+030)</f>
        <v>41.840401133041</v>
      </c>
      <c r="AF275" s="55" t="n">
        <f aca="false">AD275+ROW()*0.000000001</f>
        <v>-6.34406315235892</v>
      </c>
      <c r="AG275" s="55" t="n">
        <f aca="false">AE275+ROW()*0.000000001</f>
        <v>41.840401408041</v>
      </c>
    </row>
    <row r="276" customFormat="false" ht="15" hidden="false" customHeight="false" outlineLevel="0" collapsed="false">
      <c r="A276" s="0" t="n">
        <v>0</v>
      </c>
      <c r="B276" s="0" t="n">
        <v>3</v>
      </c>
      <c r="C276" s="0" t="n">
        <v>3</v>
      </c>
      <c r="D276" s="0" t="n">
        <v>1</v>
      </c>
      <c r="E276" s="0" t="n">
        <f aca="false">-1+A276*0.25</f>
        <v>-1</v>
      </c>
      <c r="F276" s="0" t="n">
        <f aca="false">-1+B276*0.25</f>
        <v>-0.25</v>
      </c>
      <c r="G276" s="0" t="n">
        <f aca="false">-1+C276*0.25</f>
        <v>-0.25</v>
      </c>
      <c r="H276" s="0" t="n">
        <f aca="false">-1+D276*0.25</f>
        <v>-0.75</v>
      </c>
      <c r="I276" s="0" t="n">
        <f aca="false">1</f>
        <v>1</v>
      </c>
      <c r="J276" s="0" t="n">
        <f aca="false">E276</f>
        <v>-1</v>
      </c>
      <c r="K276" s="0" t="n">
        <f aca="false">F276</f>
        <v>-0.25</v>
      </c>
      <c r="L276" s="0" t="n">
        <f aca="false">G276</f>
        <v>-0.25</v>
      </c>
      <c r="M276" s="0" t="n">
        <f aca="false">H276</f>
        <v>-0.75</v>
      </c>
      <c r="N276" s="0" t="n">
        <f aca="false">E276*F276</f>
        <v>0.25</v>
      </c>
      <c r="O276" s="0" t="n">
        <f aca="false">E276*G276</f>
        <v>0.25</v>
      </c>
      <c r="P276" s="0" t="n">
        <f aca="false">E276*H276</f>
        <v>0.75</v>
      </c>
      <c r="Q276" s="0" t="n">
        <f aca="false">F276*G276</f>
        <v>0.0625</v>
      </c>
      <c r="R276" s="0" t="n">
        <f aca="false">F276*H276</f>
        <v>0.1875</v>
      </c>
      <c r="S276" s="0" t="n">
        <f aca="false">G276*H276</f>
        <v>0.1875</v>
      </c>
      <c r="T276" s="0" t="n">
        <f aca="false">E276*E276</f>
        <v>1</v>
      </c>
      <c r="U276" s="0" t="n">
        <f aca="false">F276*F276</f>
        <v>0.0625</v>
      </c>
      <c r="V276" s="0" t="n">
        <f aca="false">G276*G276</f>
        <v>0.0625</v>
      </c>
      <c r="W276" s="0" t="n">
        <f aca="false">H276*H276</f>
        <v>0.5625</v>
      </c>
      <c r="X276" s="0" t="n">
        <f aca="false">SUMPRODUCT(I276:W276,_XtX!$B$96:$P$96)</f>
        <v>42.0731770833334</v>
      </c>
      <c r="Y276" s="0" t="n">
        <f aca="false">SUMPRODUCT(MMULT(I276:W276,_XtX!$B$78:$P$92),I276:W276)</f>
        <v>0.486409505208334</v>
      </c>
      <c r="Z276" s="0" t="n">
        <f aca="false">04_回帰ANOVA!$K$19*04_回帰ANOVA!$K$14*SQRT(1+Y276)</f>
        <v>1.58916001665498</v>
      </c>
      <c r="AA276" s="0" t="n">
        <f aca="false">X276-Z276</f>
        <v>40.4840170666784</v>
      </c>
      <c r="AB276" s="0" t="n">
        <f aca="false">X276+Z276</f>
        <v>43.6623370999884</v>
      </c>
      <c r="AC276" s="54" t="b">
        <f aca="false">AND(E276&gt;=01_因子設定!$L$5-0.000000001,E276&lt;=01_因子設定!$M$5+0.000000001,F276&gt;=01_因子設定!$L$6-0.000000001,F276&lt;=01_因子設定!$M$6+0.000000001,G276&gt;=01_因子設定!$L$7-0.000000001,G276&lt;=01_因子設定!$M$7+0.000000001,H276&gt;=01_因子設定!$L$8-0.000000001,H276&lt;=01_因子設定!$M$8+0.000000001,IF(01_因子設定!$B$20="Box-Behnken",E276^2+F276^2+G276^2+H276^2&lt;=2+0.000000001,TRUE()))</f>
        <v>1</v>
      </c>
      <c r="AD276" s="55" t="n">
        <f aca="false">IF(AC276,IF(01_因子設定!$B$13="最大化",AA276-01_因子設定!$B$14,IF(01_因子設定!$B$13="最小化",01_因子設定!$B$15-AB276,MIN(AA276-01_因子設定!$B$14,01_因子設定!$B$15-AB276))),-1E+030)</f>
        <v>-6.0159829333216</v>
      </c>
      <c r="AE276" s="55" t="n">
        <f aca="false">IF(AC276,IF(01_因子設定!$B$13="最大化",X276,IF(01_因子設定!$B$13="最小化",-X276,-ABS(X276-01_因子設定!$B$16))),-1E+030)</f>
        <v>42.0731770833334</v>
      </c>
      <c r="AF276" s="55" t="n">
        <f aca="false">AD276+ROW()*0.000000001</f>
        <v>-6.0159826573216</v>
      </c>
      <c r="AG276" s="55" t="n">
        <f aca="false">AE276+ROW()*0.000000001</f>
        <v>42.0731773593334</v>
      </c>
    </row>
    <row r="277" customFormat="false" ht="15" hidden="false" customHeight="false" outlineLevel="0" collapsed="false">
      <c r="A277" s="0" t="n">
        <v>0</v>
      </c>
      <c r="B277" s="0" t="n">
        <v>3</v>
      </c>
      <c r="C277" s="0" t="n">
        <v>3</v>
      </c>
      <c r="D277" s="0" t="n">
        <v>2</v>
      </c>
      <c r="E277" s="0" t="n">
        <f aca="false">-1+A277*0.25</f>
        <v>-1</v>
      </c>
      <c r="F277" s="0" t="n">
        <f aca="false">-1+B277*0.25</f>
        <v>-0.25</v>
      </c>
      <c r="G277" s="0" t="n">
        <f aca="false">-1+C277*0.25</f>
        <v>-0.25</v>
      </c>
      <c r="H277" s="0" t="n">
        <f aca="false">-1+D277*0.25</f>
        <v>-0.5</v>
      </c>
      <c r="I277" s="0" t="n">
        <f aca="false">1</f>
        <v>1</v>
      </c>
      <c r="J277" s="0" t="n">
        <f aca="false">E277</f>
        <v>-1</v>
      </c>
      <c r="K277" s="0" t="n">
        <f aca="false">F277</f>
        <v>-0.25</v>
      </c>
      <c r="L277" s="0" t="n">
        <f aca="false">G277</f>
        <v>-0.25</v>
      </c>
      <c r="M277" s="0" t="n">
        <f aca="false">H277</f>
        <v>-0.5</v>
      </c>
      <c r="N277" s="0" t="n">
        <f aca="false">E277*F277</f>
        <v>0.25</v>
      </c>
      <c r="O277" s="0" t="n">
        <f aca="false">E277*G277</f>
        <v>0.25</v>
      </c>
      <c r="P277" s="0" t="n">
        <f aca="false">E277*H277</f>
        <v>0.5</v>
      </c>
      <c r="Q277" s="0" t="n">
        <f aca="false">F277*G277</f>
        <v>0.0625</v>
      </c>
      <c r="R277" s="0" t="n">
        <f aca="false">F277*H277</f>
        <v>0.125</v>
      </c>
      <c r="S277" s="0" t="n">
        <f aca="false">G277*H277</f>
        <v>0.125</v>
      </c>
      <c r="T277" s="0" t="n">
        <f aca="false">E277*E277</f>
        <v>1</v>
      </c>
      <c r="U277" s="0" t="n">
        <f aca="false">F277*F277</f>
        <v>0.0625</v>
      </c>
      <c r="V277" s="0" t="n">
        <f aca="false">G277*G277</f>
        <v>0.0625</v>
      </c>
      <c r="W277" s="0" t="n">
        <f aca="false">H277*H277</f>
        <v>0.25</v>
      </c>
      <c r="X277" s="0" t="n">
        <f aca="false">SUMPRODUCT(I277:W277,_XtX!$B$96:$P$96)</f>
        <v>42.2581460160819</v>
      </c>
      <c r="Y277" s="0" t="n">
        <f aca="false">SUMPRODUCT(MMULT(I277:W277,_XtX!$B$78:$P$92),I277:W277)</f>
        <v>0.445705123812135</v>
      </c>
      <c r="Z277" s="0" t="n">
        <f aca="false">04_回帰ANOVA!$K$19*04_回帰ANOVA!$K$14*SQRT(1+Y277)</f>
        <v>1.56724990734749</v>
      </c>
      <c r="AA277" s="0" t="n">
        <f aca="false">X277-Z277</f>
        <v>40.6908961087344</v>
      </c>
      <c r="AB277" s="0" t="n">
        <f aca="false">X277+Z277</f>
        <v>43.8253959234294</v>
      </c>
      <c r="AC277" s="54" t="b">
        <f aca="false">AND(E277&gt;=01_因子設定!$L$5-0.000000001,E277&lt;=01_因子設定!$M$5+0.000000001,F277&gt;=01_因子設定!$L$6-0.000000001,F277&lt;=01_因子設定!$M$6+0.000000001,G277&gt;=01_因子設定!$L$7-0.000000001,G277&lt;=01_因子設定!$M$7+0.000000001,H277&gt;=01_因子設定!$L$8-0.000000001,H277&lt;=01_因子設定!$M$8+0.000000001,IF(01_因子設定!$B$20="Box-Behnken",E277^2+F277^2+G277^2+H277^2&lt;=2+0.000000001,TRUE()))</f>
        <v>1</v>
      </c>
      <c r="AD277" s="55" t="n">
        <f aca="false">IF(AC277,IF(01_因子設定!$B$13="最大化",AA277-01_因子設定!$B$14,IF(01_因子設定!$B$13="最小化",01_因子設定!$B$15-AB277,MIN(AA277-01_因子設定!$B$14,01_因子設定!$B$15-AB277))),-1E+030)</f>
        <v>-5.80910389126558</v>
      </c>
      <c r="AE277" s="55" t="n">
        <f aca="false">IF(AC277,IF(01_因子設定!$B$13="最大化",X277,IF(01_因子設定!$B$13="最小化",-X277,-ABS(X277-01_因子設定!$B$16))),-1E+030)</f>
        <v>42.2581460160819</v>
      </c>
      <c r="AF277" s="55" t="n">
        <f aca="false">AD277+ROW()*0.000000001</f>
        <v>-5.80910361426558</v>
      </c>
      <c r="AG277" s="55" t="n">
        <f aca="false">AE277+ROW()*0.000000001</f>
        <v>42.2581462930819</v>
      </c>
    </row>
    <row r="278" customFormat="false" ht="15" hidden="false" customHeight="false" outlineLevel="0" collapsed="false">
      <c r="A278" s="0" t="n">
        <v>0</v>
      </c>
      <c r="B278" s="0" t="n">
        <v>3</v>
      </c>
      <c r="C278" s="0" t="n">
        <v>3</v>
      </c>
      <c r="D278" s="0" t="n">
        <v>3</v>
      </c>
      <c r="E278" s="0" t="n">
        <f aca="false">-1+A278*0.25</f>
        <v>-1</v>
      </c>
      <c r="F278" s="0" t="n">
        <f aca="false">-1+B278*0.25</f>
        <v>-0.25</v>
      </c>
      <c r="G278" s="0" t="n">
        <f aca="false">-1+C278*0.25</f>
        <v>-0.25</v>
      </c>
      <c r="H278" s="0" t="n">
        <f aca="false">-1+D278*0.25</f>
        <v>-0.25</v>
      </c>
      <c r="I278" s="0" t="n">
        <f aca="false">1</f>
        <v>1</v>
      </c>
      <c r="J278" s="0" t="n">
        <f aca="false">E278</f>
        <v>-1</v>
      </c>
      <c r="K278" s="0" t="n">
        <f aca="false">F278</f>
        <v>-0.25</v>
      </c>
      <c r="L278" s="0" t="n">
        <f aca="false">G278</f>
        <v>-0.25</v>
      </c>
      <c r="M278" s="0" t="n">
        <f aca="false">H278</f>
        <v>-0.25</v>
      </c>
      <c r="N278" s="0" t="n">
        <f aca="false">E278*F278</f>
        <v>0.25</v>
      </c>
      <c r="O278" s="0" t="n">
        <f aca="false">E278*G278</f>
        <v>0.25</v>
      </c>
      <c r="P278" s="0" t="n">
        <f aca="false">E278*H278</f>
        <v>0.25</v>
      </c>
      <c r="Q278" s="0" t="n">
        <f aca="false">F278*G278</f>
        <v>0.0625</v>
      </c>
      <c r="R278" s="0" t="n">
        <f aca="false">F278*H278</f>
        <v>0.0625</v>
      </c>
      <c r="S278" s="0" t="n">
        <f aca="false">G278*H278</f>
        <v>0.0625</v>
      </c>
      <c r="T278" s="0" t="n">
        <f aca="false">E278*E278</f>
        <v>1</v>
      </c>
      <c r="U278" s="0" t="n">
        <f aca="false">F278*F278</f>
        <v>0.0625</v>
      </c>
      <c r="V278" s="0" t="n">
        <f aca="false">G278*G278</f>
        <v>0.0625</v>
      </c>
      <c r="W278" s="0" t="n">
        <f aca="false">H278*H278</f>
        <v>0.0625</v>
      </c>
      <c r="X278" s="0" t="n">
        <f aca="false">SUMPRODUCT(I278:W278,_XtX!$B$96:$P$96)</f>
        <v>42.3953079312866</v>
      </c>
      <c r="Y278" s="0" t="n">
        <f aca="false">SUMPRODUCT(MMULT(I278:W278,_XtX!$B$78:$P$92),I278:W278)</f>
        <v>0.457466705500731</v>
      </c>
      <c r="Z278" s="0" t="n">
        <f aca="false">04_回帰ANOVA!$K$19*04_回帰ANOVA!$K$14*SQRT(1+Y278)</f>
        <v>1.57361220003999</v>
      </c>
      <c r="AA278" s="0" t="n">
        <f aca="false">X278-Z278</f>
        <v>40.8216957312466</v>
      </c>
      <c r="AB278" s="0" t="n">
        <f aca="false">X278+Z278</f>
        <v>43.9689201313266</v>
      </c>
      <c r="AC278" s="54" t="b">
        <f aca="false">AND(E278&gt;=01_因子設定!$L$5-0.000000001,E278&lt;=01_因子設定!$M$5+0.000000001,F278&gt;=01_因子設定!$L$6-0.000000001,F278&lt;=01_因子設定!$M$6+0.000000001,G278&gt;=01_因子設定!$L$7-0.000000001,G278&lt;=01_因子設定!$M$7+0.000000001,H278&gt;=01_因子設定!$L$8-0.000000001,H278&lt;=01_因子設定!$M$8+0.000000001,IF(01_因子設定!$B$20="Box-Behnken",E278^2+F278^2+G278^2+H278^2&lt;=2+0.000000001,TRUE()))</f>
        <v>1</v>
      </c>
      <c r="AD278" s="55" t="n">
        <f aca="false">IF(AC278,IF(01_因子設定!$B$13="最大化",AA278-01_因子設定!$B$14,IF(01_因子設定!$B$13="最小化",01_因子設定!$B$15-AB278,MIN(AA278-01_因子設定!$B$14,01_因子設定!$B$15-AB278))),-1E+030)</f>
        <v>-5.67830426875342</v>
      </c>
      <c r="AE278" s="55" t="n">
        <f aca="false">IF(AC278,IF(01_因子設定!$B$13="最大化",X278,IF(01_因子設定!$B$13="最小化",-X278,-ABS(X278-01_因子設定!$B$16))),-1E+030)</f>
        <v>42.3953079312866</v>
      </c>
      <c r="AF278" s="55" t="n">
        <f aca="false">AD278+ROW()*0.000000001</f>
        <v>-5.67830399075342</v>
      </c>
      <c r="AG278" s="55" t="n">
        <f aca="false">AE278+ROW()*0.000000001</f>
        <v>42.3953082092866</v>
      </c>
    </row>
    <row r="279" customFormat="false" ht="15" hidden="false" customHeight="false" outlineLevel="0" collapsed="false">
      <c r="A279" s="0" t="n">
        <v>0</v>
      </c>
      <c r="B279" s="0" t="n">
        <v>3</v>
      </c>
      <c r="C279" s="0" t="n">
        <v>3</v>
      </c>
      <c r="D279" s="0" t="n">
        <v>4</v>
      </c>
      <c r="E279" s="0" t="n">
        <f aca="false">-1+A279*0.25</f>
        <v>-1</v>
      </c>
      <c r="F279" s="0" t="n">
        <f aca="false">-1+B279*0.25</f>
        <v>-0.25</v>
      </c>
      <c r="G279" s="0" t="n">
        <f aca="false">-1+C279*0.25</f>
        <v>-0.25</v>
      </c>
      <c r="H279" s="0" t="n">
        <f aca="false">-1+D279*0.25</f>
        <v>0</v>
      </c>
      <c r="I279" s="0" t="n">
        <f aca="false">1</f>
        <v>1</v>
      </c>
      <c r="J279" s="0" t="n">
        <f aca="false">E279</f>
        <v>-1</v>
      </c>
      <c r="K279" s="0" t="n">
        <f aca="false">F279</f>
        <v>-0.25</v>
      </c>
      <c r="L279" s="0" t="n">
        <f aca="false">G279</f>
        <v>-0.25</v>
      </c>
      <c r="M279" s="0" t="n">
        <f aca="false">H279</f>
        <v>0</v>
      </c>
      <c r="N279" s="0" t="n">
        <f aca="false">E279*F279</f>
        <v>0.25</v>
      </c>
      <c r="O279" s="0" t="n">
        <f aca="false">E279*G279</f>
        <v>0.25</v>
      </c>
      <c r="P279" s="0" t="n">
        <f aca="false">E279*H279</f>
        <v>-0</v>
      </c>
      <c r="Q279" s="0" t="n">
        <f aca="false">F279*G279</f>
        <v>0.0625</v>
      </c>
      <c r="R279" s="0" t="n">
        <f aca="false">F279*H279</f>
        <v>-0</v>
      </c>
      <c r="S279" s="0" t="n">
        <f aca="false">G279*H279</f>
        <v>-0</v>
      </c>
      <c r="T279" s="0" t="n">
        <f aca="false">E279*E279</f>
        <v>1</v>
      </c>
      <c r="U279" s="0" t="n">
        <f aca="false">F279*F279</f>
        <v>0.0625</v>
      </c>
      <c r="V279" s="0" t="n">
        <f aca="false">G279*G279</f>
        <v>0.0625</v>
      </c>
      <c r="W279" s="0" t="n">
        <f aca="false">H279*H279</f>
        <v>0</v>
      </c>
      <c r="X279" s="0" t="n">
        <f aca="false">SUMPRODUCT(I279:W279,_XtX!$B$96:$P$96)</f>
        <v>42.4846628289474</v>
      </c>
      <c r="Y279" s="0" t="n">
        <f aca="false">SUMPRODUCT(MMULT(I279:W279,_XtX!$B$78:$P$92),I279:W279)</f>
        <v>0.467417934484649</v>
      </c>
      <c r="Z279" s="0" t="n">
        <f aca="false">04_回帰ANOVA!$K$19*04_回帰ANOVA!$K$14*SQRT(1+Y279)</f>
        <v>1.57897518244497</v>
      </c>
      <c r="AA279" s="0" t="n">
        <f aca="false">X279-Z279</f>
        <v>40.9056876465024</v>
      </c>
      <c r="AB279" s="0" t="n">
        <f aca="false">X279+Z279</f>
        <v>44.0636380113924</v>
      </c>
      <c r="AC279" s="54" t="b">
        <f aca="false">AND(E279&gt;=01_因子設定!$L$5-0.000000001,E279&lt;=01_因子設定!$M$5+0.000000001,F279&gt;=01_因子設定!$L$6-0.000000001,F279&lt;=01_因子設定!$M$6+0.000000001,G279&gt;=01_因子設定!$L$7-0.000000001,G279&lt;=01_因子設定!$M$7+0.000000001,H279&gt;=01_因子設定!$L$8-0.000000001,H279&lt;=01_因子設定!$M$8+0.000000001,IF(01_因子設定!$B$20="Box-Behnken",E279^2+F279^2+G279^2+H279^2&lt;=2+0.000000001,TRUE()))</f>
        <v>1</v>
      </c>
      <c r="AD279" s="55" t="n">
        <f aca="false">IF(AC279,IF(01_因子設定!$B$13="最大化",AA279-01_因子設定!$B$14,IF(01_因子設定!$B$13="最小化",01_因子設定!$B$15-AB279,MIN(AA279-01_因子設定!$B$14,01_因子設定!$B$15-AB279))),-1E+030)</f>
        <v>-5.59431235349758</v>
      </c>
      <c r="AE279" s="55" t="n">
        <f aca="false">IF(AC279,IF(01_因子設定!$B$13="最大化",X279,IF(01_因子設定!$B$13="最小化",-X279,-ABS(X279-01_因子設定!$B$16))),-1E+030)</f>
        <v>42.4846628289474</v>
      </c>
      <c r="AF279" s="55" t="n">
        <f aca="false">AD279+ROW()*0.000000001</f>
        <v>-5.59431207449758</v>
      </c>
      <c r="AG279" s="55" t="n">
        <f aca="false">AE279+ROW()*0.000000001</f>
        <v>42.4846631079474</v>
      </c>
    </row>
    <row r="280" customFormat="false" ht="15" hidden="false" customHeight="false" outlineLevel="0" collapsed="false">
      <c r="A280" s="0" t="n">
        <v>0</v>
      </c>
      <c r="B280" s="0" t="n">
        <v>3</v>
      </c>
      <c r="C280" s="0" t="n">
        <v>3</v>
      </c>
      <c r="D280" s="0" t="n">
        <v>5</v>
      </c>
      <c r="E280" s="0" t="n">
        <f aca="false">-1+A280*0.25</f>
        <v>-1</v>
      </c>
      <c r="F280" s="0" t="n">
        <f aca="false">-1+B280*0.25</f>
        <v>-0.25</v>
      </c>
      <c r="G280" s="0" t="n">
        <f aca="false">-1+C280*0.25</f>
        <v>-0.25</v>
      </c>
      <c r="H280" s="0" t="n">
        <f aca="false">-1+D280*0.25</f>
        <v>0.25</v>
      </c>
      <c r="I280" s="0" t="n">
        <f aca="false">1</f>
        <v>1</v>
      </c>
      <c r="J280" s="0" t="n">
        <f aca="false">E280</f>
        <v>-1</v>
      </c>
      <c r="K280" s="0" t="n">
        <f aca="false">F280</f>
        <v>-0.25</v>
      </c>
      <c r="L280" s="0" t="n">
        <f aca="false">G280</f>
        <v>-0.25</v>
      </c>
      <c r="M280" s="0" t="n">
        <f aca="false">H280</f>
        <v>0.25</v>
      </c>
      <c r="N280" s="0" t="n">
        <f aca="false">E280*F280</f>
        <v>0.25</v>
      </c>
      <c r="O280" s="0" t="n">
        <f aca="false">E280*G280</f>
        <v>0.25</v>
      </c>
      <c r="P280" s="0" t="n">
        <f aca="false">E280*H280</f>
        <v>-0.25</v>
      </c>
      <c r="Q280" s="0" t="n">
        <f aca="false">F280*G280</f>
        <v>0.0625</v>
      </c>
      <c r="R280" s="0" t="n">
        <f aca="false">F280*H280</f>
        <v>-0.0625</v>
      </c>
      <c r="S280" s="0" t="n">
        <f aca="false">G280*H280</f>
        <v>-0.0625</v>
      </c>
      <c r="T280" s="0" t="n">
        <f aca="false">E280*E280</f>
        <v>1</v>
      </c>
      <c r="U280" s="0" t="n">
        <f aca="false">F280*F280</f>
        <v>0.0625</v>
      </c>
      <c r="V280" s="0" t="n">
        <f aca="false">G280*G280</f>
        <v>0.0625</v>
      </c>
      <c r="W280" s="0" t="n">
        <f aca="false">H280*H280</f>
        <v>0.0625</v>
      </c>
      <c r="X280" s="0" t="n">
        <f aca="false">SUMPRODUCT(I280:W280,_XtX!$B$96:$P$96)</f>
        <v>42.5262107090644</v>
      </c>
      <c r="Y280" s="0" t="n">
        <f aca="false">SUMPRODUCT(MMULT(I280:W280,_XtX!$B$78:$P$92),I280:W280)</f>
        <v>0.457466705500731</v>
      </c>
      <c r="Z280" s="0" t="n">
        <f aca="false">04_回帰ANOVA!$K$19*04_回帰ANOVA!$K$14*SQRT(1+Y280)</f>
        <v>1.57361220003999</v>
      </c>
      <c r="AA280" s="0" t="n">
        <f aca="false">X280-Z280</f>
        <v>40.9525985090244</v>
      </c>
      <c r="AB280" s="0" t="n">
        <f aca="false">X280+Z280</f>
        <v>44.0998229091044</v>
      </c>
      <c r="AC280" s="54" t="b">
        <f aca="false">AND(E280&gt;=01_因子設定!$L$5-0.000000001,E280&lt;=01_因子設定!$M$5+0.000000001,F280&gt;=01_因子設定!$L$6-0.000000001,F280&lt;=01_因子設定!$M$6+0.000000001,G280&gt;=01_因子設定!$L$7-0.000000001,G280&lt;=01_因子設定!$M$7+0.000000001,H280&gt;=01_因子設定!$L$8-0.000000001,H280&lt;=01_因子設定!$M$8+0.000000001,IF(01_因子設定!$B$20="Box-Behnken",E280^2+F280^2+G280^2+H280^2&lt;=2+0.000000001,TRUE()))</f>
        <v>1</v>
      </c>
      <c r="AD280" s="55" t="n">
        <f aca="false">IF(AC280,IF(01_因子設定!$B$13="最大化",AA280-01_因子設定!$B$14,IF(01_因子設定!$B$13="最小化",01_因子設定!$B$15-AB280,MIN(AA280-01_因子設定!$B$14,01_因子設定!$B$15-AB280))),-1E+030)</f>
        <v>-5.54740149097564</v>
      </c>
      <c r="AE280" s="55" t="n">
        <f aca="false">IF(AC280,IF(01_因子設定!$B$13="最大化",X280,IF(01_因子設定!$B$13="最小化",-X280,-ABS(X280-01_因子設定!$B$16))),-1E+030)</f>
        <v>42.5262107090644</v>
      </c>
      <c r="AF280" s="55" t="n">
        <f aca="false">AD280+ROW()*0.000000001</f>
        <v>-5.54740121097564</v>
      </c>
      <c r="AG280" s="55" t="n">
        <f aca="false">AE280+ROW()*0.000000001</f>
        <v>42.5262109890644</v>
      </c>
    </row>
    <row r="281" customFormat="false" ht="15" hidden="false" customHeight="false" outlineLevel="0" collapsed="false">
      <c r="A281" s="0" t="n">
        <v>0</v>
      </c>
      <c r="B281" s="0" t="n">
        <v>3</v>
      </c>
      <c r="C281" s="0" t="n">
        <v>3</v>
      </c>
      <c r="D281" s="0" t="n">
        <v>6</v>
      </c>
      <c r="E281" s="0" t="n">
        <f aca="false">-1+A281*0.25</f>
        <v>-1</v>
      </c>
      <c r="F281" s="0" t="n">
        <f aca="false">-1+B281*0.25</f>
        <v>-0.25</v>
      </c>
      <c r="G281" s="0" t="n">
        <f aca="false">-1+C281*0.25</f>
        <v>-0.25</v>
      </c>
      <c r="H281" s="0" t="n">
        <f aca="false">-1+D281*0.25</f>
        <v>0.5</v>
      </c>
      <c r="I281" s="0" t="n">
        <f aca="false">1</f>
        <v>1</v>
      </c>
      <c r="J281" s="0" t="n">
        <f aca="false">E281</f>
        <v>-1</v>
      </c>
      <c r="K281" s="0" t="n">
        <f aca="false">F281</f>
        <v>-0.25</v>
      </c>
      <c r="L281" s="0" t="n">
        <f aca="false">G281</f>
        <v>-0.25</v>
      </c>
      <c r="M281" s="0" t="n">
        <f aca="false">H281</f>
        <v>0.5</v>
      </c>
      <c r="N281" s="0" t="n">
        <f aca="false">E281*F281</f>
        <v>0.25</v>
      </c>
      <c r="O281" s="0" t="n">
        <f aca="false">E281*G281</f>
        <v>0.25</v>
      </c>
      <c r="P281" s="0" t="n">
        <f aca="false">E281*H281</f>
        <v>-0.5</v>
      </c>
      <c r="Q281" s="0" t="n">
        <f aca="false">F281*G281</f>
        <v>0.0625</v>
      </c>
      <c r="R281" s="0" t="n">
        <f aca="false">F281*H281</f>
        <v>-0.125</v>
      </c>
      <c r="S281" s="0" t="n">
        <f aca="false">G281*H281</f>
        <v>-0.125</v>
      </c>
      <c r="T281" s="0" t="n">
        <f aca="false">E281*E281</f>
        <v>1</v>
      </c>
      <c r="U281" s="0" t="n">
        <f aca="false">F281*F281</f>
        <v>0.0625</v>
      </c>
      <c r="V281" s="0" t="n">
        <f aca="false">G281*G281</f>
        <v>0.0625</v>
      </c>
      <c r="W281" s="0" t="n">
        <f aca="false">H281*H281</f>
        <v>0.25</v>
      </c>
      <c r="X281" s="0" t="n">
        <f aca="false">SUMPRODUCT(I281:W281,_XtX!$B$96:$P$96)</f>
        <v>42.5199515716375</v>
      </c>
      <c r="Y281" s="0" t="n">
        <f aca="false">SUMPRODUCT(MMULT(I281:W281,_XtX!$B$78:$P$92),I281:W281)</f>
        <v>0.445705123812135</v>
      </c>
      <c r="Z281" s="0" t="n">
        <f aca="false">04_回帰ANOVA!$K$19*04_回帰ANOVA!$K$14*SQRT(1+Y281)</f>
        <v>1.56724990734749</v>
      </c>
      <c r="AA281" s="0" t="n">
        <f aca="false">X281-Z281</f>
        <v>40.95270166429</v>
      </c>
      <c r="AB281" s="0" t="n">
        <f aca="false">X281+Z281</f>
        <v>44.087201478985</v>
      </c>
      <c r="AC281" s="54" t="b">
        <f aca="false">AND(E281&gt;=01_因子設定!$L$5-0.000000001,E281&lt;=01_因子設定!$M$5+0.000000001,F281&gt;=01_因子設定!$L$6-0.000000001,F281&lt;=01_因子設定!$M$6+0.000000001,G281&gt;=01_因子設定!$L$7-0.000000001,G281&lt;=01_因子設定!$M$7+0.000000001,H281&gt;=01_因子設定!$L$8-0.000000001,H281&lt;=01_因子設定!$M$8+0.000000001,IF(01_因子設定!$B$20="Box-Behnken",E281^2+F281^2+G281^2+H281^2&lt;=2+0.000000001,TRUE()))</f>
        <v>1</v>
      </c>
      <c r="AD281" s="55" t="n">
        <f aca="false">IF(AC281,IF(01_因子設定!$B$13="最大化",AA281-01_因子設定!$B$14,IF(01_因子設定!$B$13="最小化",01_因子設定!$B$15-AB281,MIN(AA281-01_因子設定!$B$14,01_因子設定!$B$15-AB281))),-1E+030)</f>
        <v>-5.54729833571003</v>
      </c>
      <c r="AE281" s="55" t="n">
        <f aca="false">IF(AC281,IF(01_因子設定!$B$13="最大化",X281,IF(01_因子設定!$B$13="最小化",-X281,-ABS(X281-01_因子設定!$B$16))),-1E+030)</f>
        <v>42.5199515716375</v>
      </c>
      <c r="AF281" s="55" t="n">
        <f aca="false">AD281+ROW()*0.000000001</f>
        <v>-5.54729805471003</v>
      </c>
      <c r="AG281" s="55" t="n">
        <f aca="false">AE281+ROW()*0.000000001</f>
        <v>42.5199518526375</v>
      </c>
    </row>
    <row r="282" customFormat="false" ht="15" hidden="false" customHeight="false" outlineLevel="0" collapsed="false">
      <c r="A282" s="0" t="n">
        <v>0</v>
      </c>
      <c r="B282" s="0" t="n">
        <v>3</v>
      </c>
      <c r="C282" s="0" t="n">
        <v>3</v>
      </c>
      <c r="D282" s="0" t="n">
        <v>7</v>
      </c>
      <c r="E282" s="0" t="n">
        <f aca="false">-1+A282*0.25</f>
        <v>-1</v>
      </c>
      <c r="F282" s="0" t="n">
        <f aca="false">-1+B282*0.25</f>
        <v>-0.25</v>
      </c>
      <c r="G282" s="0" t="n">
        <f aca="false">-1+C282*0.25</f>
        <v>-0.25</v>
      </c>
      <c r="H282" s="0" t="n">
        <f aca="false">-1+D282*0.25</f>
        <v>0.75</v>
      </c>
      <c r="I282" s="0" t="n">
        <f aca="false">1</f>
        <v>1</v>
      </c>
      <c r="J282" s="0" t="n">
        <f aca="false">E282</f>
        <v>-1</v>
      </c>
      <c r="K282" s="0" t="n">
        <f aca="false">F282</f>
        <v>-0.25</v>
      </c>
      <c r="L282" s="0" t="n">
        <f aca="false">G282</f>
        <v>-0.25</v>
      </c>
      <c r="M282" s="0" t="n">
        <f aca="false">H282</f>
        <v>0.75</v>
      </c>
      <c r="N282" s="0" t="n">
        <f aca="false">E282*F282</f>
        <v>0.25</v>
      </c>
      <c r="O282" s="0" t="n">
        <f aca="false">E282*G282</f>
        <v>0.25</v>
      </c>
      <c r="P282" s="0" t="n">
        <f aca="false">E282*H282</f>
        <v>-0.75</v>
      </c>
      <c r="Q282" s="0" t="n">
        <f aca="false">F282*G282</f>
        <v>0.0625</v>
      </c>
      <c r="R282" s="0" t="n">
        <f aca="false">F282*H282</f>
        <v>-0.1875</v>
      </c>
      <c r="S282" s="0" t="n">
        <f aca="false">G282*H282</f>
        <v>-0.1875</v>
      </c>
      <c r="T282" s="0" t="n">
        <f aca="false">E282*E282</f>
        <v>1</v>
      </c>
      <c r="U282" s="0" t="n">
        <f aca="false">F282*F282</f>
        <v>0.0625</v>
      </c>
      <c r="V282" s="0" t="n">
        <f aca="false">G282*G282</f>
        <v>0.0625</v>
      </c>
      <c r="W282" s="0" t="n">
        <f aca="false">H282*H282</f>
        <v>0.5625</v>
      </c>
      <c r="X282" s="0" t="n">
        <f aca="false">SUMPRODUCT(I282:W282,_XtX!$B$96:$P$96)</f>
        <v>42.4658854166667</v>
      </c>
      <c r="Y282" s="0" t="n">
        <f aca="false">SUMPRODUCT(MMULT(I282:W282,_XtX!$B$78:$P$92),I282:W282)</f>
        <v>0.486409505208334</v>
      </c>
      <c r="Z282" s="0" t="n">
        <f aca="false">04_回帰ANOVA!$K$19*04_回帰ANOVA!$K$14*SQRT(1+Y282)</f>
        <v>1.58916001665498</v>
      </c>
      <c r="AA282" s="0" t="n">
        <f aca="false">X282-Z282</f>
        <v>40.8767254000117</v>
      </c>
      <c r="AB282" s="0" t="n">
        <f aca="false">X282+Z282</f>
        <v>44.0550454333217</v>
      </c>
      <c r="AC282" s="54" t="b">
        <f aca="false">AND(E282&gt;=01_因子設定!$L$5-0.000000001,E282&lt;=01_因子設定!$M$5+0.000000001,F282&gt;=01_因子設定!$L$6-0.000000001,F282&lt;=01_因子設定!$M$6+0.000000001,G282&gt;=01_因子設定!$L$7-0.000000001,G282&lt;=01_因子設定!$M$7+0.000000001,H282&gt;=01_因子設定!$L$8-0.000000001,H282&lt;=01_因子設定!$M$8+0.000000001,IF(01_因子設定!$B$20="Box-Behnken",E282^2+F282^2+G282^2+H282^2&lt;=2+0.000000001,TRUE()))</f>
        <v>1</v>
      </c>
      <c r="AD282" s="55" t="n">
        <f aca="false">IF(AC282,IF(01_因子設定!$B$13="最大化",AA282-01_因子設定!$B$14,IF(01_因子設定!$B$13="最小化",01_因子設定!$B$15-AB282,MIN(AA282-01_因子設定!$B$14,01_因子設定!$B$15-AB282))),-1E+030)</f>
        <v>-5.62327459998826</v>
      </c>
      <c r="AE282" s="55" t="n">
        <f aca="false">IF(AC282,IF(01_因子設定!$B$13="最大化",X282,IF(01_因子設定!$B$13="最小化",-X282,-ABS(X282-01_因子設定!$B$16))),-1E+030)</f>
        <v>42.4658854166667</v>
      </c>
      <c r="AF282" s="55" t="n">
        <f aca="false">AD282+ROW()*0.000000001</f>
        <v>-5.62327431798826</v>
      </c>
      <c r="AG282" s="55" t="n">
        <f aca="false">AE282+ROW()*0.000000001</f>
        <v>42.4658856986667</v>
      </c>
    </row>
    <row r="283" customFormat="false" ht="15" hidden="false" customHeight="false" outlineLevel="0" collapsed="false">
      <c r="A283" s="0" t="n">
        <v>0</v>
      </c>
      <c r="B283" s="0" t="n">
        <v>3</v>
      </c>
      <c r="C283" s="0" t="n">
        <v>3</v>
      </c>
      <c r="D283" s="0" t="n">
        <v>8</v>
      </c>
      <c r="E283" s="0" t="n">
        <f aca="false">-1+A283*0.25</f>
        <v>-1</v>
      </c>
      <c r="F283" s="0" t="n">
        <f aca="false">-1+B283*0.25</f>
        <v>-0.25</v>
      </c>
      <c r="G283" s="0" t="n">
        <f aca="false">-1+C283*0.25</f>
        <v>-0.25</v>
      </c>
      <c r="H283" s="0" t="n">
        <f aca="false">-1+D283*0.25</f>
        <v>1</v>
      </c>
      <c r="I283" s="0" t="n">
        <f aca="false">1</f>
        <v>1</v>
      </c>
      <c r="J283" s="0" t="n">
        <f aca="false">E283</f>
        <v>-1</v>
      </c>
      <c r="K283" s="0" t="n">
        <f aca="false">F283</f>
        <v>-0.25</v>
      </c>
      <c r="L283" s="0" t="n">
        <f aca="false">G283</f>
        <v>-0.25</v>
      </c>
      <c r="M283" s="0" t="n">
        <f aca="false">H283</f>
        <v>1</v>
      </c>
      <c r="N283" s="0" t="n">
        <f aca="false">E283*F283</f>
        <v>0.25</v>
      </c>
      <c r="O283" s="0" t="n">
        <f aca="false">E283*G283</f>
        <v>0.25</v>
      </c>
      <c r="P283" s="0" t="n">
        <f aca="false">E283*H283</f>
        <v>-1</v>
      </c>
      <c r="Q283" s="0" t="n">
        <f aca="false">F283*G283</f>
        <v>0.0625</v>
      </c>
      <c r="R283" s="0" t="n">
        <f aca="false">F283*H283</f>
        <v>-0.25</v>
      </c>
      <c r="S283" s="0" t="n">
        <f aca="false">G283*H283</f>
        <v>-0.25</v>
      </c>
      <c r="T283" s="0" t="n">
        <f aca="false">E283*E283</f>
        <v>1</v>
      </c>
      <c r="U283" s="0" t="n">
        <f aca="false">F283*F283</f>
        <v>0.0625</v>
      </c>
      <c r="V283" s="0" t="n">
        <f aca="false">G283*G283</f>
        <v>0.0625</v>
      </c>
      <c r="W283" s="0" t="n">
        <f aca="false">H283*H283</f>
        <v>1</v>
      </c>
      <c r="X283" s="0" t="n">
        <f aca="false">SUMPRODUCT(I283:W283,_XtX!$B$96:$P$96)</f>
        <v>42.3640122441521</v>
      </c>
      <c r="Y283" s="0" t="n">
        <f aca="false">SUMPRODUCT(MMULT(I283:W283,_XtX!$B$78:$P$92),I283:W283)</f>
        <v>0.670040376005117</v>
      </c>
      <c r="Z283" s="0" t="n">
        <f aca="false">04_回帰ANOVA!$K$19*04_回帰ANOVA!$K$14*SQRT(1+Y283)</f>
        <v>1.68446456039992</v>
      </c>
      <c r="AA283" s="0" t="n">
        <f aca="false">X283-Z283</f>
        <v>40.6795476837522</v>
      </c>
      <c r="AB283" s="0" t="n">
        <f aca="false">X283+Z283</f>
        <v>44.048476804552</v>
      </c>
      <c r="AC283" s="54" t="b">
        <f aca="false">AND(E283&gt;=01_因子設定!$L$5-0.000000001,E283&lt;=01_因子設定!$M$5+0.000000001,F283&gt;=01_因子設定!$L$6-0.000000001,F283&lt;=01_因子設定!$M$6+0.000000001,G283&gt;=01_因子設定!$L$7-0.000000001,G283&lt;=01_因子設定!$M$7+0.000000001,H283&gt;=01_因子設定!$L$8-0.000000001,H283&lt;=01_因子設定!$M$8+0.000000001,IF(01_因子設定!$B$20="Box-Behnken",E283^2+F283^2+G283^2+H283^2&lt;=2+0.000000001,TRUE()))</f>
        <v>1</v>
      </c>
      <c r="AD283" s="55" t="n">
        <f aca="false">IF(AC283,IF(01_因子設定!$B$13="最大化",AA283-01_因子設定!$B$14,IF(01_因子設定!$B$13="最小化",01_因子設定!$B$15-AB283,MIN(AA283-01_因子設定!$B$14,01_因子設定!$B$15-AB283))),-1E+030)</f>
        <v>-5.82045231624781</v>
      </c>
      <c r="AE283" s="55" t="n">
        <f aca="false">IF(AC283,IF(01_因子設定!$B$13="最大化",X283,IF(01_因子設定!$B$13="最小化",-X283,-ABS(X283-01_因子設定!$B$16))),-1E+030)</f>
        <v>42.3640122441521</v>
      </c>
      <c r="AF283" s="55" t="n">
        <f aca="false">AD283+ROW()*0.000000001</f>
        <v>-5.82045203324781</v>
      </c>
      <c r="AG283" s="55" t="n">
        <f aca="false">AE283+ROW()*0.000000001</f>
        <v>42.3640125271521</v>
      </c>
    </row>
    <row r="284" customFormat="false" ht="15" hidden="false" customHeight="false" outlineLevel="0" collapsed="false">
      <c r="A284" s="0" t="n">
        <v>0</v>
      </c>
      <c r="B284" s="0" t="n">
        <v>3</v>
      </c>
      <c r="C284" s="0" t="n">
        <v>4</v>
      </c>
      <c r="D284" s="0" t="n">
        <v>0</v>
      </c>
      <c r="E284" s="0" t="n">
        <f aca="false">-1+A284*0.25</f>
        <v>-1</v>
      </c>
      <c r="F284" s="0" t="n">
        <f aca="false">-1+B284*0.25</f>
        <v>-0.25</v>
      </c>
      <c r="G284" s="0" t="n">
        <f aca="false">-1+C284*0.25</f>
        <v>0</v>
      </c>
      <c r="H284" s="0" t="n">
        <f aca="false">-1+D284*0.25</f>
        <v>-1</v>
      </c>
      <c r="I284" s="0" t="n">
        <f aca="false">1</f>
        <v>1</v>
      </c>
      <c r="J284" s="0" t="n">
        <f aca="false">E284</f>
        <v>-1</v>
      </c>
      <c r="K284" s="0" t="n">
        <f aca="false">F284</f>
        <v>-0.25</v>
      </c>
      <c r="L284" s="0" t="n">
        <f aca="false">G284</f>
        <v>0</v>
      </c>
      <c r="M284" s="0" t="n">
        <f aca="false">H284</f>
        <v>-1</v>
      </c>
      <c r="N284" s="0" t="n">
        <f aca="false">E284*F284</f>
        <v>0.25</v>
      </c>
      <c r="O284" s="0" t="n">
        <f aca="false">E284*G284</f>
        <v>-0</v>
      </c>
      <c r="P284" s="0" t="n">
        <f aca="false">E284*H284</f>
        <v>1</v>
      </c>
      <c r="Q284" s="0" t="n">
        <f aca="false">F284*G284</f>
        <v>-0</v>
      </c>
      <c r="R284" s="0" t="n">
        <f aca="false">F284*H284</f>
        <v>0.25</v>
      </c>
      <c r="S284" s="0" t="n">
        <f aca="false">G284*H284</f>
        <v>-0</v>
      </c>
      <c r="T284" s="0" t="n">
        <f aca="false">E284*E284</f>
        <v>1</v>
      </c>
      <c r="U284" s="0" t="n">
        <f aca="false">F284*F284</f>
        <v>0.0625</v>
      </c>
      <c r="V284" s="0" t="n">
        <f aca="false">G284*G284</f>
        <v>0</v>
      </c>
      <c r="W284" s="0" t="n">
        <f aca="false">H284*H284</f>
        <v>1</v>
      </c>
      <c r="X284" s="0" t="n">
        <f aca="false">SUMPRODUCT(I284:W284,_XtX!$B$96:$P$96)</f>
        <v>42.1999817251463</v>
      </c>
      <c r="Y284" s="0" t="n">
        <f aca="false">SUMPRODUCT(MMULT(I284:W284,_XtX!$B$78:$P$92),I284:W284)</f>
        <v>0.689692982456141</v>
      </c>
      <c r="Z284" s="0" t="n">
        <f aca="false">04_回帰ANOVA!$K$19*04_回帰ANOVA!$K$14*SQRT(1+Y284)</f>
        <v>1.69434674594998</v>
      </c>
      <c r="AA284" s="0" t="n">
        <f aca="false">X284-Z284</f>
        <v>40.5056349791963</v>
      </c>
      <c r="AB284" s="0" t="n">
        <f aca="false">X284+Z284</f>
        <v>43.8943284710963</v>
      </c>
      <c r="AC284" s="54" t="b">
        <f aca="false">AND(E284&gt;=01_因子設定!$L$5-0.000000001,E284&lt;=01_因子設定!$M$5+0.000000001,F284&gt;=01_因子設定!$L$6-0.000000001,F284&lt;=01_因子設定!$M$6+0.000000001,G284&gt;=01_因子設定!$L$7-0.000000001,G284&lt;=01_因子設定!$M$7+0.000000001,H284&gt;=01_因子設定!$L$8-0.000000001,H284&lt;=01_因子設定!$M$8+0.000000001,IF(01_因子設定!$B$20="Box-Behnken",E284^2+F284^2+G284^2+H284^2&lt;=2+0.000000001,TRUE()))</f>
        <v>1</v>
      </c>
      <c r="AD284" s="55" t="n">
        <f aca="false">IF(AC284,IF(01_因子設定!$B$13="最大化",AA284-01_因子設定!$B$14,IF(01_因子設定!$B$13="最小化",01_因子設定!$B$15-AB284,MIN(AA284-01_因子設定!$B$14,01_因子設定!$B$15-AB284))),-1E+030)</f>
        <v>-5.99436502080372</v>
      </c>
      <c r="AE284" s="55" t="n">
        <f aca="false">IF(AC284,IF(01_因子設定!$B$13="最大化",X284,IF(01_因子設定!$B$13="最小化",-X284,-ABS(X284-01_因子設定!$B$16))),-1E+030)</f>
        <v>42.1999817251463</v>
      </c>
      <c r="AF284" s="55" t="n">
        <f aca="false">AD284+ROW()*0.000000001</f>
        <v>-5.99436473680372</v>
      </c>
      <c r="AG284" s="55" t="n">
        <f aca="false">AE284+ROW()*0.000000001</f>
        <v>42.1999820091463</v>
      </c>
    </row>
    <row r="285" customFormat="false" ht="15" hidden="false" customHeight="false" outlineLevel="0" collapsed="false">
      <c r="A285" s="0" t="n">
        <v>0</v>
      </c>
      <c r="B285" s="0" t="n">
        <v>3</v>
      </c>
      <c r="C285" s="0" t="n">
        <v>4</v>
      </c>
      <c r="D285" s="0" t="n">
        <v>1</v>
      </c>
      <c r="E285" s="0" t="n">
        <f aca="false">-1+A285*0.25</f>
        <v>-1</v>
      </c>
      <c r="F285" s="0" t="n">
        <f aca="false">-1+B285*0.25</f>
        <v>-0.25</v>
      </c>
      <c r="G285" s="0" t="n">
        <f aca="false">-1+C285*0.25</f>
        <v>0</v>
      </c>
      <c r="H285" s="0" t="n">
        <f aca="false">-1+D285*0.25</f>
        <v>-0.75</v>
      </c>
      <c r="I285" s="0" t="n">
        <f aca="false">1</f>
        <v>1</v>
      </c>
      <c r="J285" s="0" t="n">
        <f aca="false">E285</f>
        <v>-1</v>
      </c>
      <c r="K285" s="0" t="n">
        <f aca="false">F285</f>
        <v>-0.25</v>
      </c>
      <c r="L285" s="0" t="n">
        <f aca="false">G285</f>
        <v>0</v>
      </c>
      <c r="M285" s="0" t="n">
        <f aca="false">H285</f>
        <v>-0.75</v>
      </c>
      <c r="N285" s="0" t="n">
        <f aca="false">E285*F285</f>
        <v>0.25</v>
      </c>
      <c r="O285" s="0" t="n">
        <f aca="false">E285*G285</f>
        <v>-0</v>
      </c>
      <c r="P285" s="0" t="n">
        <f aca="false">E285*H285</f>
        <v>0.75</v>
      </c>
      <c r="Q285" s="0" t="n">
        <f aca="false">F285*G285</f>
        <v>-0</v>
      </c>
      <c r="R285" s="0" t="n">
        <f aca="false">F285*H285</f>
        <v>0.1875</v>
      </c>
      <c r="S285" s="0" t="n">
        <f aca="false">G285*H285</f>
        <v>-0</v>
      </c>
      <c r="T285" s="0" t="n">
        <f aca="false">E285*E285</f>
        <v>1</v>
      </c>
      <c r="U285" s="0" t="n">
        <f aca="false">F285*F285</f>
        <v>0.0625</v>
      </c>
      <c r="V285" s="0" t="n">
        <f aca="false">G285*G285</f>
        <v>0</v>
      </c>
      <c r="W285" s="0" t="n">
        <f aca="false">H285*H285</f>
        <v>0.5625</v>
      </c>
      <c r="X285" s="0" t="n">
        <f aca="false">SUMPRODUCT(I285:W285,_XtX!$B$96:$P$96)</f>
        <v>42.4507264254386</v>
      </c>
      <c r="Y285" s="0" t="n">
        <f aca="false">SUMPRODUCT(MMULT(I285:W285,_XtX!$B$78:$P$92),I285:W285)</f>
        <v>0.501534802174708</v>
      </c>
      <c r="Z285" s="0" t="n">
        <f aca="false">04_回帰ANOVA!$K$19*04_回帰ANOVA!$K$14*SQRT(1+Y285)</f>
        <v>1.59722498091333</v>
      </c>
      <c r="AA285" s="0" t="n">
        <f aca="false">X285-Z285</f>
        <v>40.8535014445253</v>
      </c>
      <c r="AB285" s="0" t="n">
        <f aca="false">X285+Z285</f>
        <v>44.047951406352</v>
      </c>
      <c r="AC285" s="54" t="b">
        <f aca="false">AND(E285&gt;=01_因子設定!$L$5-0.000000001,E285&lt;=01_因子設定!$M$5+0.000000001,F285&gt;=01_因子設定!$L$6-0.000000001,F285&lt;=01_因子設定!$M$6+0.000000001,G285&gt;=01_因子設定!$L$7-0.000000001,G285&lt;=01_因子設定!$M$7+0.000000001,H285&gt;=01_因子設定!$L$8-0.000000001,H285&lt;=01_因子設定!$M$8+0.000000001,IF(01_因子設定!$B$20="Box-Behnken",E285^2+F285^2+G285^2+H285^2&lt;=2+0.000000001,TRUE()))</f>
        <v>1</v>
      </c>
      <c r="AD285" s="55" t="n">
        <f aca="false">IF(AC285,IF(01_因子設定!$B$13="最大化",AA285-01_因子設定!$B$14,IF(01_因子設定!$B$13="最小化",01_因子設定!$B$15-AB285,MIN(AA285-01_因子設定!$B$14,01_因子設定!$B$15-AB285))),-1E+030)</f>
        <v>-5.64649855547469</v>
      </c>
      <c r="AE285" s="55" t="n">
        <f aca="false">IF(AC285,IF(01_因子設定!$B$13="最大化",X285,IF(01_因子設定!$B$13="最小化",-X285,-ABS(X285-01_因子設定!$B$16))),-1E+030)</f>
        <v>42.4507264254386</v>
      </c>
      <c r="AF285" s="55" t="n">
        <f aca="false">AD285+ROW()*0.000000001</f>
        <v>-5.64649827047469</v>
      </c>
      <c r="AG285" s="55" t="n">
        <f aca="false">AE285+ROW()*0.000000001</f>
        <v>42.4507267104386</v>
      </c>
    </row>
    <row r="286" customFormat="false" ht="15" hidden="false" customHeight="false" outlineLevel="0" collapsed="false">
      <c r="A286" s="0" t="n">
        <v>0</v>
      </c>
      <c r="B286" s="0" t="n">
        <v>3</v>
      </c>
      <c r="C286" s="0" t="n">
        <v>4</v>
      </c>
      <c r="D286" s="0" t="n">
        <v>2</v>
      </c>
      <c r="E286" s="0" t="n">
        <f aca="false">-1+A286*0.25</f>
        <v>-1</v>
      </c>
      <c r="F286" s="0" t="n">
        <f aca="false">-1+B286*0.25</f>
        <v>-0.25</v>
      </c>
      <c r="G286" s="0" t="n">
        <f aca="false">-1+C286*0.25</f>
        <v>0</v>
      </c>
      <c r="H286" s="0" t="n">
        <f aca="false">-1+D286*0.25</f>
        <v>-0.5</v>
      </c>
      <c r="I286" s="0" t="n">
        <f aca="false">1</f>
        <v>1</v>
      </c>
      <c r="J286" s="0" t="n">
        <f aca="false">E286</f>
        <v>-1</v>
      </c>
      <c r="K286" s="0" t="n">
        <f aca="false">F286</f>
        <v>-0.25</v>
      </c>
      <c r="L286" s="0" t="n">
        <f aca="false">G286</f>
        <v>0</v>
      </c>
      <c r="M286" s="0" t="n">
        <f aca="false">H286</f>
        <v>-0.5</v>
      </c>
      <c r="N286" s="0" t="n">
        <f aca="false">E286*F286</f>
        <v>0.25</v>
      </c>
      <c r="O286" s="0" t="n">
        <f aca="false">E286*G286</f>
        <v>-0</v>
      </c>
      <c r="P286" s="0" t="n">
        <f aca="false">E286*H286</f>
        <v>0.5</v>
      </c>
      <c r="Q286" s="0" t="n">
        <f aca="false">F286*G286</f>
        <v>-0</v>
      </c>
      <c r="R286" s="0" t="n">
        <f aca="false">F286*H286</f>
        <v>0.125</v>
      </c>
      <c r="S286" s="0" t="n">
        <f aca="false">G286*H286</f>
        <v>-0</v>
      </c>
      <c r="T286" s="0" t="n">
        <f aca="false">E286*E286</f>
        <v>1</v>
      </c>
      <c r="U286" s="0" t="n">
        <f aca="false">F286*F286</f>
        <v>0.0625</v>
      </c>
      <c r="V286" s="0" t="n">
        <f aca="false">G286*G286</f>
        <v>0</v>
      </c>
      <c r="W286" s="0" t="n">
        <f aca="false">H286*H286</f>
        <v>0.25</v>
      </c>
      <c r="X286" s="0" t="n">
        <f aca="false">SUMPRODUCT(I286:W286,_XtX!$B$96:$P$96)</f>
        <v>42.6536641081872</v>
      </c>
      <c r="Y286" s="0" t="n">
        <f aca="false">SUMPRODUCT(MMULT(I286:W286,_XtX!$B$78:$P$92),I286:W286)</f>
        <v>0.457596628289474</v>
      </c>
      <c r="Z286" s="0" t="n">
        <f aca="false">04_回帰ANOVA!$K$19*04_回帰ANOVA!$K$14*SQRT(1+Y286)</f>
        <v>1.57368233664366</v>
      </c>
      <c r="AA286" s="0" t="n">
        <f aca="false">X286-Z286</f>
        <v>41.0799817715435</v>
      </c>
      <c r="AB286" s="0" t="n">
        <f aca="false">X286+Z286</f>
        <v>44.2273464448308</v>
      </c>
      <c r="AC286" s="54" t="b">
        <f aca="false">AND(E286&gt;=01_因子設定!$L$5-0.000000001,E286&lt;=01_因子設定!$M$5+0.000000001,F286&gt;=01_因子設定!$L$6-0.000000001,F286&lt;=01_因子設定!$M$6+0.000000001,G286&gt;=01_因子設定!$L$7-0.000000001,G286&lt;=01_因子設定!$M$7+0.000000001,H286&gt;=01_因子設定!$L$8-0.000000001,H286&lt;=01_因子設定!$M$8+0.000000001,IF(01_因子設定!$B$20="Box-Behnken",E286^2+F286^2+G286^2+H286^2&lt;=2+0.000000001,TRUE()))</f>
        <v>1</v>
      </c>
      <c r="AD286" s="55" t="n">
        <f aca="false">IF(AC286,IF(01_因子設定!$B$13="最大化",AA286-01_因子設定!$B$14,IF(01_因子設定!$B$13="最小化",01_因子設定!$B$15-AB286,MIN(AA286-01_因子設定!$B$14,01_因子設定!$B$15-AB286))),-1E+030)</f>
        <v>-5.42001822845649</v>
      </c>
      <c r="AE286" s="55" t="n">
        <f aca="false">IF(AC286,IF(01_因子設定!$B$13="最大化",X286,IF(01_因子設定!$B$13="最小化",-X286,-ABS(X286-01_因子設定!$B$16))),-1E+030)</f>
        <v>42.6536641081872</v>
      </c>
      <c r="AF286" s="55" t="n">
        <f aca="false">AD286+ROW()*0.000000001</f>
        <v>-5.42001794245649</v>
      </c>
      <c r="AG286" s="55" t="n">
        <f aca="false">AE286+ROW()*0.000000001</f>
        <v>42.6536643941872</v>
      </c>
    </row>
    <row r="287" customFormat="false" ht="15" hidden="false" customHeight="false" outlineLevel="0" collapsed="false">
      <c r="A287" s="0" t="n">
        <v>0</v>
      </c>
      <c r="B287" s="0" t="n">
        <v>3</v>
      </c>
      <c r="C287" s="0" t="n">
        <v>4</v>
      </c>
      <c r="D287" s="0" t="n">
        <v>3</v>
      </c>
      <c r="E287" s="0" t="n">
        <f aca="false">-1+A287*0.25</f>
        <v>-1</v>
      </c>
      <c r="F287" s="0" t="n">
        <f aca="false">-1+B287*0.25</f>
        <v>-0.25</v>
      </c>
      <c r="G287" s="0" t="n">
        <f aca="false">-1+C287*0.25</f>
        <v>0</v>
      </c>
      <c r="H287" s="0" t="n">
        <f aca="false">-1+D287*0.25</f>
        <v>-0.25</v>
      </c>
      <c r="I287" s="0" t="n">
        <f aca="false">1</f>
        <v>1</v>
      </c>
      <c r="J287" s="0" t="n">
        <f aca="false">E287</f>
        <v>-1</v>
      </c>
      <c r="K287" s="0" t="n">
        <f aca="false">F287</f>
        <v>-0.25</v>
      </c>
      <c r="L287" s="0" t="n">
        <f aca="false">G287</f>
        <v>0</v>
      </c>
      <c r="M287" s="0" t="n">
        <f aca="false">H287</f>
        <v>-0.25</v>
      </c>
      <c r="N287" s="0" t="n">
        <f aca="false">E287*F287</f>
        <v>0.25</v>
      </c>
      <c r="O287" s="0" t="n">
        <f aca="false">E287*G287</f>
        <v>-0</v>
      </c>
      <c r="P287" s="0" t="n">
        <f aca="false">E287*H287</f>
        <v>0.25</v>
      </c>
      <c r="Q287" s="0" t="n">
        <f aca="false">F287*G287</f>
        <v>-0</v>
      </c>
      <c r="R287" s="0" t="n">
        <f aca="false">F287*H287</f>
        <v>0.0625</v>
      </c>
      <c r="S287" s="0" t="n">
        <f aca="false">G287*H287</f>
        <v>-0</v>
      </c>
      <c r="T287" s="0" t="n">
        <f aca="false">E287*E287</f>
        <v>1</v>
      </c>
      <c r="U287" s="0" t="n">
        <f aca="false">F287*F287</f>
        <v>0.0625</v>
      </c>
      <c r="V287" s="0" t="n">
        <f aca="false">G287*G287</f>
        <v>0</v>
      </c>
      <c r="W287" s="0" t="n">
        <f aca="false">H287*H287</f>
        <v>0.0625</v>
      </c>
      <c r="X287" s="0" t="n">
        <f aca="false">SUMPRODUCT(I287:W287,_XtX!$B$96:$P$96)</f>
        <v>42.8087947733918</v>
      </c>
      <c r="Y287" s="0" t="n">
        <f aca="false">SUMPRODUCT(MMULT(I287:W287,_XtX!$B$78:$P$92),I287:W287)</f>
        <v>0.467417934484649</v>
      </c>
      <c r="Z287" s="0" t="n">
        <f aca="false">04_回帰ANOVA!$K$19*04_回帰ANOVA!$K$14*SQRT(1+Y287)</f>
        <v>1.57897518244497</v>
      </c>
      <c r="AA287" s="0" t="n">
        <f aca="false">X287-Z287</f>
        <v>41.2298195909469</v>
      </c>
      <c r="AB287" s="0" t="n">
        <f aca="false">X287+Z287</f>
        <v>44.3877699558368</v>
      </c>
      <c r="AC287" s="54" t="b">
        <f aca="false">AND(E287&gt;=01_因子設定!$L$5-0.000000001,E287&lt;=01_因子設定!$M$5+0.000000001,F287&gt;=01_因子設定!$L$6-0.000000001,F287&lt;=01_因子設定!$M$6+0.000000001,G287&gt;=01_因子設定!$L$7-0.000000001,G287&lt;=01_因子設定!$M$7+0.000000001,H287&gt;=01_因子設定!$L$8-0.000000001,H287&lt;=01_因子設定!$M$8+0.000000001,IF(01_因子設定!$B$20="Box-Behnken",E287^2+F287^2+G287^2+H287^2&lt;=2+0.000000001,TRUE()))</f>
        <v>1</v>
      </c>
      <c r="AD287" s="55" t="n">
        <f aca="false">IF(AC287,IF(01_因子設定!$B$13="最大化",AA287-01_因子設定!$B$14,IF(01_因子設定!$B$13="最小化",01_因子設定!$B$15-AB287,MIN(AA287-01_因子設定!$B$14,01_因子設定!$B$15-AB287))),-1E+030)</f>
        <v>-5.27018040905313</v>
      </c>
      <c r="AE287" s="55" t="n">
        <f aca="false">IF(AC287,IF(01_因子設定!$B$13="最大化",X287,IF(01_因子設定!$B$13="最小化",-X287,-ABS(X287-01_因子設定!$B$16))),-1E+030)</f>
        <v>42.8087947733918</v>
      </c>
      <c r="AF287" s="55" t="n">
        <f aca="false">AD287+ROW()*0.000000001</f>
        <v>-5.27018012205313</v>
      </c>
      <c r="AG287" s="55" t="n">
        <f aca="false">AE287+ROW()*0.000000001</f>
        <v>42.8087950603918</v>
      </c>
    </row>
    <row r="288" customFormat="false" ht="15" hidden="false" customHeight="false" outlineLevel="0" collapsed="false">
      <c r="A288" s="0" t="n">
        <v>0</v>
      </c>
      <c r="B288" s="0" t="n">
        <v>3</v>
      </c>
      <c r="C288" s="0" t="n">
        <v>4</v>
      </c>
      <c r="D288" s="0" t="n">
        <v>4</v>
      </c>
      <c r="E288" s="0" t="n">
        <f aca="false">-1+A288*0.25</f>
        <v>-1</v>
      </c>
      <c r="F288" s="0" t="n">
        <f aca="false">-1+B288*0.25</f>
        <v>-0.25</v>
      </c>
      <c r="G288" s="0" t="n">
        <f aca="false">-1+C288*0.25</f>
        <v>0</v>
      </c>
      <c r="H288" s="0" t="n">
        <f aca="false">-1+D288*0.25</f>
        <v>0</v>
      </c>
      <c r="I288" s="0" t="n">
        <f aca="false">1</f>
        <v>1</v>
      </c>
      <c r="J288" s="0" t="n">
        <f aca="false">E288</f>
        <v>-1</v>
      </c>
      <c r="K288" s="0" t="n">
        <f aca="false">F288</f>
        <v>-0.25</v>
      </c>
      <c r="L288" s="0" t="n">
        <f aca="false">G288</f>
        <v>0</v>
      </c>
      <c r="M288" s="0" t="n">
        <f aca="false">H288</f>
        <v>0</v>
      </c>
      <c r="N288" s="0" t="n">
        <f aca="false">E288*F288</f>
        <v>0.25</v>
      </c>
      <c r="O288" s="0" t="n">
        <f aca="false">E288*G288</f>
        <v>-0</v>
      </c>
      <c r="P288" s="0" t="n">
        <f aca="false">E288*H288</f>
        <v>-0</v>
      </c>
      <c r="Q288" s="0" t="n">
        <f aca="false">F288*G288</f>
        <v>-0</v>
      </c>
      <c r="R288" s="0" t="n">
        <f aca="false">F288*H288</f>
        <v>-0</v>
      </c>
      <c r="S288" s="0" t="n">
        <f aca="false">G288*H288</f>
        <v>0</v>
      </c>
      <c r="T288" s="0" t="n">
        <f aca="false">E288*E288</f>
        <v>1</v>
      </c>
      <c r="U288" s="0" t="n">
        <f aca="false">F288*F288</f>
        <v>0.0625</v>
      </c>
      <c r="V288" s="0" t="n">
        <f aca="false">G288*G288</f>
        <v>0</v>
      </c>
      <c r="W288" s="0" t="n">
        <f aca="false">H288*H288</f>
        <v>0</v>
      </c>
      <c r="X288" s="0" t="n">
        <f aca="false">SUMPRODUCT(I288:W288,_XtX!$B$96:$P$96)</f>
        <v>42.9161184210527</v>
      </c>
      <c r="Y288" s="0" t="n">
        <f aca="false">SUMPRODUCT(MMULT(I288:W288,_XtX!$B$78:$P$92),I288:W288)</f>
        <v>0.47672240497076</v>
      </c>
      <c r="Z288" s="0" t="n">
        <f aca="false">04_回帰ANOVA!$K$19*04_回帰ANOVA!$K$14*SQRT(1+Y288)</f>
        <v>1.58397318352695</v>
      </c>
      <c r="AA288" s="0" t="n">
        <f aca="false">X288-Z288</f>
        <v>41.3321452375257</v>
      </c>
      <c r="AB288" s="0" t="n">
        <f aca="false">X288+Z288</f>
        <v>44.5000916045796</v>
      </c>
      <c r="AC288" s="54" t="b">
        <f aca="false">AND(E288&gt;=01_因子設定!$L$5-0.000000001,E288&lt;=01_因子設定!$M$5+0.000000001,F288&gt;=01_因子設定!$L$6-0.000000001,F288&lt;=01_因子設定!$M$6+0.000000001,G288&gt;=01_因子設定!$L$7-0.000000001,G288&lt;=01_因子設定!$M$7+0.000000001,H288&gt;=01_因子設定!$L$8-0.000000001,H288&lt;=01_因子設定!$M$8+0.000000001,IF(01_因子設定!$B$20="Box-Behnken",E288^2+F288^2+G288^2+H288^2&lt;=2+0.000000001,TRUE()))</f>
        <v>1</v>
      </c>
      <c r="AD288" s="55" t="n">
        <f aca="false">IF(AC288,IF(01_因子設定!$B$13="最大化",AA288-01_因子設定!$B$14,IF(01_因子設定!$B$13="最小化",01_因子設定!$B$15-AB288,MIN(AA288-01_因子設定!$B$14,01_因子設定!$B$15-AB288))),-1E+030)</f>
        <v>-5.16785476247429</v>
      </c>
      <c r="AE288" s="55" t="n">
        <f aca="false">IF(AC288,IF(01_因子設定!$B$13="最大化",X288,IF(01_因子設定!$B$13="最小化",-X288,-ABS(X288-01_因子設定!$B$16))),-1E+030)</f>
        <v>42.9161184210527</v>
      </c>
      <c r="AF288" s="55" t="n">
        <f aca="false">AD288+ROW()*0.000000001</f>
        <v>-5.16785447447429</v>
      </c>
      <c r="AG288" s="55" t="n">
        <f aca="false">AE288+ROW()*0.000000001</f>
        <v>42.9161187090527</v>
      </c>
    </row>
    <row r="289" customFormat="false" ht="15" hidden="false" customHeight="false" outlineLevel="0" collapsed="false">
      <c r="A289" s="0" t="n">
        <v>0</v>
      </c>
      <c r="B289" s="0" t="n">
        <v>3</v>
      </c>
      <c r="C289" s="0" t="n">
        <v>4</v>
      </c>
      <c r="D289" s="0" t="n">
        <v>5</v>
      </c>
      <c r="E289" s="0" t="n">
        <f aca="false">-1+A289*0.25</f>
        <v>-1</v>
      </c>
      <c r="F289" s="0" t="n">
        <f aca="false">-1+B289*0.25</f>
        <v>-0.25</v>
      </c>
      <c r="G289" s="0" t="n">
        <f aca="false">-1+C289*0.25</f>
        <v>0</v>
      </c>
      <c r="H289" s="0" t="n">
        <f aca="false">-1+D289*0.25</f>
        <v>0.25</v>
      </c>
      <c r="I289" s="0" t="n">
        <f aca="false">1</f>
        <v>1</v>
      </c>
      <c r="J289" s="0" t="n">
        <f aca="false">E289</f>
        <v>-1</v>
      </c>
      <c r="K289" s="0" t="n">
        <f aca="false">F289</f>
        <v>-0.25</v>
      </c>
      <c r="L289" s="0" t="n">
        <f aca="false">G289</f>
        <v>0</v>
      </c>
      <c r="M289" s="0" t="n">
        <f aca="false">H289</f>
        <v>0.25</v>
      </c>
      <c r="N289" s="0" t="n">
        <f aca="false">E289*F289</f>
        <v>0.25</v>
      </c>
      <c r="O289" s="0" t="n">
        <f aca="false">E289*G289</f>
        <v>-0</v>
      </c>
      <c r="P289" s="0" t="n">
        <f aca="false">E289*H289</f>
        <v>-0.25</v>
      </c>
      <c r="Q289" s="0" t="n">
        <f aca="false">F289*G289</f>
        <v>-0</v>
      </c>
      <c r="R289" s="0" t="n">
        <f aca="false">F289*H289</f>
        <v>-0.0625</v>
      </c>
      <c r="S289" s="0" t="n">
        <f aca="false">G289*H289</f>
        <v>0</v>
      </c>
      <c r="T289" s="0" t="n">
        <f aca="false">E289*E289</f>
        <v>1</v>
      </c>
      <c r="U289" s="0" t="n">
        <f aca="false">F289*F289</f>
        <v>0.0625</v>
      </c>
      <c r="V289" s="0" t="n">
        <f aca="false">G289*G289</f>
        <v>0</v>
      </c>
      <c r="W289" s="0" t="n">
        <f aca="false">H289*H289</f>
        <v>0.0625</v>
      </c>
      <c r="X289" s="0" t="n">
        <f aca="false">SUMPRODUCT(I289:W289,_XtX!$B$96:$P$96)</f>
        <v>42.9756350511696</v>
      </c>
      <c r="Y289" s="0" t="n">
        <f aca="false">SUMPRODUCT(MMULT(I289:W289,_XtX!$B$78:$P$92),I289:W289)</f>
        <v>0.467417934484649</v>
      </c>
      <c r="Z289" s="0" t="n">
        <f aca="false">04_回帰ANOVA!$K$19*04_回帰ANOVA!$K$14*SQRT(1+Y289)</f>
        <v>1.57897518244497</v>
      </c>
      <c r="AA289" s="0" t="n">
        <f aca="false">X289-Z289</f>
        <v>41.3966598687247</v>
      </c>
      <c r="AB289" s="0" t="n">
        <f aca="false">X289+Z289</f>
        <v>44.5546102336146</v>
      </c>
      <c r="AC289" s="54" t="b">
        <f aca="false">AND(E289&gt;=01_因子設定!$L$5-0.000000001,E289&lt;=01_因子設定!$M$5+0.000000001,F289&gt;=01_因子設定!$L$6-0.000000001,F289&lt;=01_因子設定!$M$6+0.000000001,G289&gt;=01_因子設定!$L$7-0.000000001,G289&lt;=01_因子設定!$M$7+0.000000001,H289&gt;=01_因子設定!$L$8-0.000000001,H289&lt;=01_因子設定!$M$8+0.000000001,IF(01_因子設定!$B$20="Box-Behnken",E289^2+F289^2+G289^2+H289^2&lt;=2+0.000000001,TRUE()))</f>
        <v>1</v>
      </c>
      <c r="AD289" s="55" t="n">
        <f aca="false">IF(AC289,IF(01_因子設定!$B$13="最大化",AA289-01_因子設定!$B$14,IF(01_因子設定!$B$13="最小化",01_因子設定!$B$15-AB289,MIN(AA289-01_因子設定!$B$14,01_因子設定!$B$15-AB289))),-1E+030)</f>
        <v>-5.10334013127535</v>
      </c>
      <c r="AE289" s="55" t="n">
        <f aca="false">IF(AC289,IF(01_因子設定!$B$13="最大化",X289,IF(01_因子設定!$B$13="最小化",-X289,-ABS(X289-01_因子設定!$B$16))),-1E+030)</f>
        <v>42.9756350511696</v>
      </c>
      <c r="AF289" s="55" t="n">
        <f aca="false">AD289+ROW()*0.000000001</f>
        <v>-5.10333984227535</v>
      </c>
      <c r="AG289" s="55" t="n">
        <f aca="false">AE289+ROW()*0.000000001</f>
        <v>42.9756353401696</v>
      </c>
    </row>
    <row r="290" customFormat="false" ht="15" hidden="false" customHeight="false" outlineLevel="0" collapsed="false">
      <c r="A290" s="0" t="n">
        <v>0</v>
      </c>
      <c r="B290" s="0" t="n">
        <v>3</v>
      </c>
      <c r="C290" s="0" t="n">
        <v>4</v>
      </c>
      <c r="D290" s="0" t="n">
        <v>6</v>
      </c>
      <c r="E290" s="0" t="n">
        <f aca="false">-1+A290*0.25</f>
        <v>-1</v>
      </c>
      <c r="F290" s="0" t="n">
        <f aca="false">-1+B290*0.25</f>
        <v>-0.25</v>
      </c>
      <c r="G290" s="0" t="n">
        <f aca="false">-1+C290*0.25</f>
        <v>0</v>
      </c>
      <c r="H290" s="0" t="n">
        <f aca="false">-1+D290*0.25</f>
        <v>0.5</v>
      </c>
      <c r="I290" s="0" t="n">
        <f aca="false">1</f>
        <v>1</v>
      </c>
      <c r="J290" s="0" t="n">
        <f aca="false">E290</f>
        <v>-1</v>
      </c>
      <c r="K290" s="0" t="n">
        <f aca="false">F290</f>
        <v>-0.25</v>
      </c>
      <c r="L290" s="0" t="n">
        <f aca="false">G290</f>
        <v>0</v>
      </c>
      <c r="M290" s="0" t="n">
        <f aca="false">H290</f>
        <v>0.5</v>
      </c>
      <c r="N290" s="0" t="n">
        <f aca="false">E290*F290</f>
        <v>0.25</v>
      </c>
      <c r="O290" s="0" t="n">
        <f aca="false">E290*G290</f>
        <v>-0</v>
      </c>
      <c r="P290" s="0" t="n">
        <f aca="false">E290*H290</f>
        <v>-0.5</v>
      </c>
      <c r="Q290" s="0" t="n">
        <f aca="false">F290*G290</f>
        <v>-0</v>
      </c>
      <c r="R290" s="0" t="n">
        <f aca="false">F290*H290</f>
        <v>-0.125</v>
      </c>
      <c r="S290" s="0" t="n">
        <f aca="false">G290*H290</f>
        <v>0</v>
      </c>
      <c r="T290" s="0" t="n">
        <f aca="false">E290*E290</f>
        <v>1</v>
      </c>
      <c r="U290" s="0" t="n">
        <f aca="false">F290*F290</f>
        <v>0.0625</v>
      </c>
      <c r="V290" s="0" t="n">
        <f aca="false">G290*G290</f>
        <v>0</v>
      </c>
      <c r="W290" s="0" t="n">
        <f aca="false">H290*H290</f>
        <v>0.25</v>
      </c>
      <c r="X290" s="0" t="n">
        <f aca="false">SUMPRODUCT(I290:W290,_XtX!$B$96:$P$96)</f>
        <v>42.9873446637427</v>
      </c>
      <c r="Y290" s="0" t="n">
        <f aca="false">SUMPRODUCT(MMULT(I290:W290,_XtX!$B$78:$P$92),I290:W290)</f>
        <v>0.457596628289474</v>
      </c>
      <c r="Z290" s="0" t="n">
        <f aca="false">04_回帰ANOVA!$K$19*04_回帰ANOVA!$K$14*SQRT(1+Y290)</f>
        <v>1.57368233664366</v>
      </c>
      <c r="AA290" s="0" t="n">
        <f aca="false">X290-Z290</f>
        <v>41.4136623270991</v>
      </c>
      <c r="AB290" s="0" t="n">
        <f aca="false">X290+Z290</f>
        <v>44.5610270003864</v>
      </c>
      <c r="AC290" s="54" t="b">
        <f aca="false">AND(E290&gt;=01_因子設定!$L$5-0.000000001,E290&lt;=01_因子設定!$M$5+0.000000001,F290&gt;=01_因子設定!$L$6-0.000000001,F290&lt;=01_因子設定!$M$6+0.000000001,G290&gt;=01_因子設定!$L$7-0.000000001,G290&lt;=01_因子設定!$M$7+0.000000001,H290&gt;=01_因子設定!$L$8-0.000000001,H290&lt;=01_因子設定!$M$8+0.000000001,IF(01_因子設定!$B$20="Box-Behnken",E290^2+F290^2+G290^2+H290^2&lt;=2+0.000000001,TRUE()))</f>
        <v>1</v>
      </c>
      <c r="AD290" s="55" t="n">
        <f aca="false">IF(AC290,IF(01_因子設定!$B$13="最大化",AA290-01_因子設定!$B$14,IF(01_因子設定!$B$13="最小化",01_因子設定!$B$15-AB290,MIN(AA290-01_因子設定!$B$14,01_因子設定!$B$15-AB290))),-1E+030)</f>
        <v>-5.08633767290093</v>
      </c>
      <c r="AE290" s="55" t="n">
        <f aca="false">IF(AC290,IF(01_因子設定!$B$13="最大化",X290,IF(01_因子設定!$B$13="最小化",-X290,-ABS(X290-01_因子設定!$B$16))),-1E+030)</f>
        <v>42.9873446637427</v>
      </c>
      <c r="AF290" s="55" t="n">
        <f aca="false">AD290+ROW()*0.000000001</f>
        <v>-5.08633738290093</v>
      </c>
      <c r="AG290" s="55" t="n">
        <f aca="false">AE290+ROW()*0.000000001</f>
        <v>42.9873449537427</v>
      </c>
    </row>
    <row r="291" customFormat="false" ht="15" hidden="false" customHeight="false" outlineLevel="0" collapsed="false">
      <c r="A291" s="0" t="n">
        <v>0</v>
      </c>
      <c r="B291" s="0" t="n">
        <v>3</v>
      </c>
      <c r="C291" s="0" t="n">
        <v>4</v>
      </c>
      <c r="D291" s="0" t="n">
        <v>7</v>
      </c>
      <c r="E291" s="0" t="n">
        <f aca="false">-1+A291*0.25</f>
        <v>-1</v>
      </c>
      <c r="F291" s="0" t="n">
        <f aca="false">-1+B291*0.25</f>
        <v>-0.25</v>
      </c>
      <c r="G291" s="0" t="n">
        <f aca="false">-1+C291*0.25</f>
        <v>0</v>
      </c>
      <c r="H291" s="0" t="n">
        <f aca="false">-1+D291*0.25</f>
        <v>0.75</v>
      </c>
      <c r="I291" s="0" t="n">
        <f aca="false">1</f>
        <v>1</v>
      </c>
      <c r="J291" s="0" t="n">
        <f aca="false">E291</f>
        <v>-1</v>
      </c>
      <c r="K291" s="0" t="n">
        <f aca="false">F291</f>
        <v>-0.25</v>
      </c>
      <c r="L291" s="0" t="n">
        <f aca="false">G291</f>
        <v>0</v>
      </c>
      <c r="M291" s="0" t="n">
        <f aca="false">H291</f>
        <v>0.75</v>
      </c>
      <c r="N291" s="0" t="n">
        <f aca="false">E291*F291</f>
        <v>0.25</v>
      </c>
      <c r="O291" s="0" t="n">
        <f aca="false">E291*G291</f>
        <v>-0</v>
      </c>
      <c r="P291" s="0" t="n">
        <f aca="false">E291*H291</f>
        <v>-0.75</v>
      </c>
      <c r="Q291" s="0" t="n">
        <f aca="false">F291*G291</f>
        <v>-0</v>
      </c>
      <c r="R291" s="0" t="n">
        <f aca="false">F291*H291</f>
        <v>-0.1875</v>
      </c>
      <c r="S291" s="0" t="n">
        <f aca="false">G291*H291</f>
        <v>0</v>
      </c>
      <c r="T291" s="0" t="n">
        <f aca="false">E291*E291</f>
        <v>1</v>
      </c>
      <c r="U291" s="0" t="n">
        <f aca="false">F291*F291</f>
        <v>0.0625</v>
      </c>
      <c r="V291" s="0" t="n">
        <f aca="false">G291*G291</f>
        <v>0</v>
      </c>
      <c r="W291" s="0" t="n">
        <f aca="false">H291*H291</f>
        <v>0.5625</v>
      </c>
      <c r="X291" s="0" t="n">
        <f aca="false">SUMPRODUCT(I291:W291,_XtX!$B$96:$P$96)</f>
        <v>42.951247258772</v>
      </c>
      <c r="Y291" s="0" t="n">
        <f aca="false">SUMPRODUCT(MMULT(I291:W291,_XtX!$B$78:$P$92),I291:W291)</f>
        <v>0.501534802174708</v>
      </c>
      <c r="Z291" s="0" t="n">
        <f aca="false">04_回帰ANOVA!$K$19*04_回帰ANOVA!$K$14*SQRT(1+Y291)</f>
        <v>1.59722498091333</v>
      </c>
      <c r="AA291" s="0" t="n">
        <f aca="false">X291-Z291</f>
        <v>41.3540222778587</v>
      </c>
      <c r="AB291" s="0" t="n">
        <f aca="false">X291+Z291</f>
        <v>44.5484722396853</v>
      </c>
      <c r="AC291" s="54" t="b">
        <f aca="false">AND(E291&gt;=01_因子設定!$L$5-0.000000001,E291&lt;=01_因子設定!$M$5+0.000000001,F291&gt;=01_因子設定!$L$6-0.000000001,F291&lt;=01_因子設定!$M$6+0.000000001,G291&gt;=01_因子設定!$L$7-0.000000001,G291&lt;=01_因子設定!$M$7+0.000000001,H291&gt;=01_因子設定!$L$8-0.000000001,H291&lt;=01_因子設定!$M$8+0.000000001,IF(01_因子設定!$B$20="Box-Behnken",E291^2+F291^2+G291^2+H291^2&lt;=2+0.000000001,TRUE()))</f>
        <v>1</v>
      </c>
      <c r="AD291" s="55" t="n">
        <f aca="false">IF(AC291,IF(01_因子設定!$B$13="最大化",AA291-01_因子設定!$B$14,IF(01_因子設定!$B$13="最小化",01_因子設定!$B$15-AB291,MIN(AA291-01_因子設定!$B$14,01_因子設定!$B$15-AB291))),-1E+030)</f>
        <v>-5.14597772214135</v>
      </c>
      <c r="AE291" s="55" t="n">
        <f aca="false">IF(AC291,IF(01_因子設定!$B$13="最大化",X291,IF(01_因子設定!$B$13="最小化",-X291,-ABS(X291-01_因子設定!$B$16))),-1E+030)</f>
        <v>42.951247258772</v>
      </c>
      <c r="AF291" s="55" t="n">
        <f aca="false">AD291+ROW()*0.000000001</f>
        <v>-5.14597743114135</v>
      </c>
      <c r="AG291" s="55" t="n">
        <f aca="false">AE291+ROW()*0.000000001</f>
        <v>42.951247549772</v>
      </c>
    </row>
    <row r="292" customFormat="false" ht="15" hidden="false" customHeight="false" outlineLevel="0" collapsed="false">
      <c r="A292" s="0" t="n">
        <v>0</v>
      </c>
      <c r="B292" s="0" t="n">
        <v>3</v>
      </c>
      <c r="C292" s="0" t="n">
        <v>4</v>
      </c>
      <c r="D292" s="0" t="n">
        <v>8</v>
      </c>
      <c r="E292" s="0" t="n">
        <f aca="false">-1+A292*0.25</f>
        <v>-1</v>
      </c>
      <c r="F292" s="0" t="n">
        <f aca="false">-1+B292*0.25</f>
        <v>-0.25</v>
      </c>
      <c r="G292" s="0" t="n">
        <f aca="false">-1+C292*0.25</f>
        <v>0</v>
      </c>
      <c r="H292" s="0" t="n">
        <f aca="false">-1+D292*0.25</f>
        <v>1</v>
      </c>
      <c r="I292" s="0" t="n">
        <f aca="false">1</f>
        <v>1</v>
      </c>
      <c r="J292" s="0" t="n">
        <f aca="false">E292</f>
        <v>-1</v>
      </c>
      <c r="K292" s="0" t="n">
        <f aca="false">F292</f>
        <v>-0.25</v>
      </c>
      <c r="L292" s="0" t="n">
        <f aca="false">G292</f>
        <v>0</v>
      </c>
      <c r="M292" s="0" t="n">
        <f aca="false">H292</f>
        <v>1</v>
      </c>
      <c r="N292" s="0" t="n">
        <f aca="false">E292*F292</f>
        <v>0.25</v>
      </c>
      <c r="O292" s="0" t="n">
        <f aca="false">E292*G292</f>
        <v>-0</v>
      </c>
      <c r="P292" s="0" t="n">
        <f aca="false">E292*H292</f>
        <v>-1</v>
      </c>
      <c r="Q292" s="0" t="n">
        <f aca="false">F292*G292</f>
        <v>-0</v>
      </c>
      <c r="R292" s="0" t="n">
        <f aca="false">F292*H292</f>
        <v>-0.25</v>
      </c>
      <c r="S292" s="0" t="n">
        <f aca="false">G292*H292</f>
        <v>0</v>
      </c>
      <c r="T292" s="0" t="n">
        <f aca="false">E292*E292</f>
        <v>1</v>
      </c>
      <c r="U292" s="0" t="n">
        <f aca="false">F292*F292</f>
        <v>0.0625</v>
      </c>
      <c r="V292" s="0" t="n">
        <f aca="false">G292*G292</f>
        <v>0</v>
      </c>
      <c r="W292" s="0" t="n">
        <f aca="false">H292*H292</f>
        <v>1</v>
      </c>
      <c r="X292" s="0" t="n">
        <f aca="false">SUMPRODUCT(I292:W292,_XtX!$B$96:$P$96)</f>
        <v>42.8673428362574</v>
      </c>
      <c r="Y292" s="0" t="n">
        <f aca="false">SUMPRODUCT(MMULT(I292:W292,_XtX!$B$78:$P$92),I292:W292)</f>
        <v>0.689692982456141</v>
      </c>
      <c r="Z292" s="0" t="n">
        <f aca="false">04_回帰ANOVA!$K$19*04_回帰ANOVA!$K$14*SQRT(1+Y292)</f>
        <v>1.69434674594998</v>
      </c>
      <c r="AA292" s="0" t="n">
        <f aca="false">X292-Z292</f>
        <v>41.1729960903074</v>
      </c>
      <c r="AB292" s="0" t="n">
        <f aca="false">X292+Z292</f>
        <v>44.5616895822074</v>
      </c>
      <c r="AC292" s="54" t="b">
        <f aca="false">AND(E292&gt;=01_因子設定!$L$5-0.000000001,E292&lt;=01_因子設定!$M$5+0.000000001,F292&gt;=01_因子設定!$L$6-0.000000001,F292&lt;=01_因子設定!$M$6+0.000000001,G292&gt;=01_因子設定!$L$7-0.000000001,G292&lt;=01_因子設定!$M$7+0.000000001,H292&gt;=01_因子設定!$L$8-0.000000001,H292&lt;=01_因子設定!$M$8+0.000000001,IF(01_因子設定!$B$20="Box-Behnken",E292^2+F292^2+G292^2+H292^2&lt;=2+0.000000001,TRUE()))</f>
        <v>1</v>
      </c>
      <c r="AD292" s="55" t="n">
        <f aca="false">IF(AC292,IF(01_因子設定!$B$13="最大化",AA292-01_因子設定!$B$14,IF(01_因子設定!$B$13="最小化",01_因子設定!$B$15-AB292,MIN(AA292-01_因子設定!$B$14,01_因子設定!$B$15-AB292))),-1E+030)</f>
        <v>-5.32700390969261</v>
      </c>
      <c r="AE292" s="55" t="n">
        <f aca="false">IF(AC292,IF(01_因子設定!$B$13="最大化",X292,IF(01_因子設定!$B$13="最小化",-X292,-ABS(X292-01_因子設定!$B$16))),-1E+030)</f>
        <v>42.8673428362574</v>
      </c>
      <c r="AF292" s="55" t="n">
        <f aca="false">AD292+ROW()*0.000000001</f>
        <v>-5.32700361769261</v>
      </c>
      <c r="AG292" s="55" t="n">
        <f aca="false">AE292+ROW()*0.000000001</f>
        <v>42.8673431282574</v>
      </c>
    </row>
    <row r="293" customFormat="false" ht="15" hidden="false" customHeight="false" outlineLevel="0" collapsed="false">
      <c r="A293" s="0" t="n">
        <v>0</v>
      </c>
      <c r="B293" s="0" t="n">
        <v>3</v>
      </c>
      <c r="C293" s="0" t="n">
        <v>5</v>
      </c>
      <c r="D293" s="0" t="n">
        <v>0</v>
      </c>
      <c r="E293" s="0" t="n">
        <f aca="false">-1+A293*0.25</f>
        <v>-1</v>
      </c>
      <c r="F293" s="0" t="n">
        <f aca="false">-1+B293*0.25</f>
        <v>-0.25</v>
      </c>
      <c r="G293" s="0" t="n">
        <f aca="false">-1+C293*0.25</f>
        <v>0.25</v>
      </c>
      <c r="H293" s="0" t="n">
        <f aca="false">-1+D293*0.25</f>
        <v>-1</v>
      </c>
      <c r="I293" s="0" t="n">
        <f aca="false">1</f>
        <v>1</v>
      </c>
      <c r="J293" s="0" t="n">
        <f aca="false">E293</f>
        <v>-1</v>
      </c>
      <c r="K293" s="0" t="n">
        <f aca="false">F293</f>
        <v>-0.25</v>
      </c>
      <c r="L293" s="0" t="n">
        <f aca="false">G293</f>
        <v>0.25</v>
      </c>
      <c r="M293" s="0" t="n">
        <f aca="false">H293</f>
        <v>-1</v>
      </c>
      <c r="N293" s="0" t="n">
        <f aca="false">E293*F293</f>
        <v>0.25</v>
      </c>
      <c r="O293" s="0" t="n">
        <f aca="false">E293*G293</f>
        <v>-0.25</v>
      </c>
      <c r="P293" s="0" t="n">
        <f aca="false">E293*H293</f>
        <v>1</v>
      </c>
      <c r="Q293" s="0" t="n">
        <f aca="false">F293*G293</f>
        <v>-0.0625</v>
      </c>
      <c r="R293" s="0" t="n">
        <f aca="false">F293*H293</f>
        <v>0.25</v>
      </c>
      <c r="S293" s="0" t="n">
        <f aca="false">G293*H293</f>
        <v>-0.25</v>
      </c>
      <c r="T293" s="0" t="n">
        <f aca="false">E293*E293</f>
        <v>1</v>
      </c>
      <c r="U293" s="0" t="n">
        <f aca="false">F293*F293</f>
        <v>0.0625</v>
      </c>
      <c r="V293" s="0" t="n">
        <f aca="false">G293*G293</f>
        <v>0.0625</v>
      </c>
      <c r="W293" s="0" t="n">
        <f aca="false">H293*H293</f>
        <v>1</v>
      </c>
      <c r="X293" s="0" t="n">
        <f aca="false">SUMPRODUCT(I293:W293,_XtX!$B$96:$P$96)</f>
        <v>42.4742552997077</v>
      </c>
      <c r="Y293" s="0" t="n">
        <f aca="false">SUMPRODUCT(MMULT(I293:W293,_XtX!$B$78:$P$92),I293:W293)</f>
        <v>0.670040376005117</v>
      </c>
      <c r="Z293" s="0" t="n">
        <f aca="false">04_回帰ANOVA!$K$19*04_回帰ANOVA!$K$14*SQRT(1+Y293)</f>
        <v>1.68446456039992</v>
      </c>
      <c r="AA293" s="0" t="n">
        <f aca="false">X293-Z293</f>
        <v>40.7897907393078</v>
      </c>
      <c r="AB293" s="0" t="n">
        <f aca="false">X293+Z293</f>
        <v>44.1587198601076</v>
      </c>
      <c r="AC293" s="54" t="b">
        <f aca="false">AND(E293&gt;=01_因子設定!$L$5-0.000000001,E293&lt;=01_因子設定!$M$5+0.000000001,F293&gt;=01_因子設定!$L$6-0.000000001,F293&lt;=01_因子設定!$M$6+0.000000001,G293&gt;=01_因子設定!$L$7-0.000000001,G293&lt;=01_因子設定!$M$7+0.000000001,H293&gt;=01_因子設定!$L$8-0.000000001,H293&lt;=01_因子設定!$M$8+0.000000001,IF(01_因子設定!$B$20="Box-Behnken",E293^2+F293^2+G293^2+H293^2&lt;=2+0.000000001,TRUE()))</f>
        <v>1</v>
      </c>
      <c r="AD293" s="55" t="n">
        <f aca="false">IF(AC293,IF(01_因子設定!$B$13="最大化",AA293-01_因子設定!$B$14,IF(01_因子設定!$B$13="最小化",01_因子設定!$B$15-AB293,MIN(AA293-01_因子設定!$B$14,01_因子設定!$B$15-AB293))),-1E+030)</f>
        <v>-5.71020926069225</v>
      </c>
      <c r="AE293" s="55" t="n">
        <f aca="false">IF(AC293,IF(01_因子設定!$B$13="最大化",X293,IF(01_因子設定!$B$13="最小化",-X293,-ABS(X293-01_因子設定!$B$16))),-1E+030)</f>
        <v>42.4742552997077</v>
      </c>
      <c r="AF293" s="55" t="n">
        <f aca="false">AD293+ROW()*0.000000001</f>
        <v>-5.71020896769225</v>
      </c>
      <c r="AG293" s="55" t="n">
        <f aca="false">AE293+ROW()*0.000000001</f>
        <v>42.4742555927077</v>
      </c>
    </row>
    <row r="294" customFormat="false" ht="15" hidden="false" customHeight="false" outlineLevel="0" collapsed="false">
      <c r="A294" s="0" t="n">
        <v>0</v>
      </c>
      <c r="B294" s="0" t="n">
        <v>3</v>
      </c>
      <c r="C294" s="0" t="n">
        <v>5</v>
      </c>
      <c r="D294" s="0" t="n">
        <v>1</v>
      </c>
      <c r="E294" s="0" t="n">
        <f aca="false">-1+A294*0.25</f>
        <v>-1</v>
      </c>
      <c r="F294" s="0" t="n">
        <f aca="false">-1+B294*0.25</f>
        <v>-0.25</v>
      </c>
      <c r="G294" s="0" t="n">
        <f aca="false">-1+C294*0.25</f>
        <v>0.25</v>
      </c>
      <c r="H294" s="0" t="n">
        <f aca="false">-1+D294*0.25</f>
        <v>-0.75</v>
      </c>
      <c r="I294" s="0" t="n">
        <f aca="false">1</f>
        <v>1</v>
      </c>
      <c r="J294" s="0" t="n">
        <f aca="false">E294</f>
        <v>-1</v>
      </c>
      <c r="K294" s="0" t="n">
        <f aca="false">F294</f>
        <v>-0.25</v>
      </c>
      <c r="L294" s="0" t="n">
        <f aca="false">G294</f>
        <v>0.25</v>
      </c>
      <c r="M294" s="0" t="n">
        <f aca="false">H294</f>
        <v>-0.75</v>
      </c>
      <c r="N294" s="0" t="n">
        <f aca="false">E294*F294</f>
        <v>0.25</v>
      </c>
      <c r="O294" s="0" t="n">
        <f aca="false">E294*G294</f>
        <v>-0.25</v>
      </c>
      <c r="P294" s="0" t="n">
        <f aca="false">E294*H294</f>
        <v>0.75</v>
      </c>
      <c r="Q294" s="0" t="n">
        <f aca="false">F294*G294</f>
        <v>-0.0625</v>
      </c>
      <c r="R294" s="0" t="n">
        <f aca="false">F294*H294</f>
        <v>0.1875</v>
      </c>
      <c r="S294" s="0" t="n">
        <f aca="false">G294*H294</f>
        <v>-0.1875</v>
      </c>
      <c r="T294" s="0" t="n">
        <f aca="false">E294*E294</f>
        <v>1</v>
      </c>
      <c r="U294" s="0" t="n">
        <f aca="false">F294*F294</f>
        <v>0.0625</v>
      </c>
      <c r="V294" s="0" t="n">
        <f aca="false">G294*G294</f>
        <v>0.0625</v>
      </c>
      <c r="W294" s="0" t="n">
        <f aca="false">H294*H294</f>
        <v>0.5625</v>
      </c>
      <c r="X294" s="0" t="n">
        <f aca="false">SUMPRODUCT(I294:W294,_XtX!$B$96:$P$96)</f>
        <v>42.74296875</v>
      </c>
      <c r="Y294" s="0" t="n">
        <f aca="false">SUMPRODUCT(MMULT(I294:W294,_XtX!$B$78:$P$92),I294:W294)</f>
        <v>0.486409505208334</v>
      </c>
      <c r="Z294" s="0" t="n">
        <f aca="false">04_回帰ANOVA!$K$19*04_回帰ANOVA!$K$14*SQRT(1+Y294)</f>
        <v>1.58916001665498</v>
      </c>
      <c r="AA294" s="0" t="n">
        <f aca="false">X294-Z294</f>
        <v>41.1538087333451</v>
      </c>
      <c r="AB294" s="0" t="n">
        <f aca="false">X294+Z294</f>
        <v>44.332128766655</v>
      </c>
      <c r="AC294" s="54" t="b">
        <f aca="false">AND(E294&gt;=01_因子設定!$L$5-0.000000001,E294&lt;=01_因子設定!$M$5+0.000000001,F294&gt;=01_因子設定!$L$6-0.000000001,F294&lt;=01_因子設定!$M$6+0.000000001,G294&gt;=01_因子設定!$L$7-0.000000001,G294&lt;=01_因子設定!$M$7+0.000000001,H294&gt;=01_因子設定!$L$8-0.000000001,H294&lt;=01_因子設定!$M$8+0.000000001,IF(01_因子設定!$B$20="Box-Behnken",E294^2+F294^2+G294^2+H294^2&lt;=2+0.000000001,TRUE()))</f>
        <v>1</v>
      </c>
      <c r="AD294" s="55" t="n">
        <f aca="false">IF(AC294,IF(01_因子設定!$B$13="最大化",AA294-01_因子設定!$B$14,IF(01_因子設定!$B$13="最小化",01_因子設定!$B$15-AB294,MIN(AA294-01_因子設定!$B$14,01_因子設定!$B$15-AB294))),-1E+030)</f>
        <v>-5.34619126665493</v>
      </c>
      <c r="AE294" s="55" t="n">
        <f aca="false">IF(AC294,IF(01_因子設定!$B$13="最大化",X294,IF(01_因子設定!$B$13="最小化",-X294,-ABS(X294-01_因子設定!$B$16))),-1E+030)</f>
        <v>42.74296875</v>
      </c>
      <c r="AF294" s="55" t="n">
        <f aca="false">AD294+ROW()*0.000000001</f>
        <v>-5.34619097265493</v>
      </c>
      <c r="AG294" s="55" t="n">
        <f aca="false">AE294+ROW()*0.000000001</f>
        <v>42.7429690440001</v>
      </c>
    </row>
    <row r="295" customFormat="false" ht="15" hidden="false" customHeight="false" outlineLevel="0" collapsed="false">
      <c r="A295" s="0" t="n">
        <v>0</v>
      </c>
      <c r="B295" s="0" t="n">
        <v>3</v>
      </c>
      <c r="C295" s="0" t="n">
        <v>5</v>
      </c>
      <c r="D295" s="0" t="n">
        <v>2</v>
      </c>
      <c r="E295" s="0" t="n">
        <f aca="false">-1+A295*0.25</f>
        <v>-1</v>
      </c>
      <c r="F295" s="0" t="n">
        <f aca="false">-1+B295*0.25</f>
        <v>-0.25</v>
      </c>
      <c r="G295" s="0" t="n">
        <f aca="false">-1+C295*0.25</f>
        <v>0.25</v>
      </c>
      <c r="H295" s="0" t="n">
        <f aca="false">-1+D295*0.25</f>
        <v>-0.5</v>
      </c>
      <c r="I295" s="0" t="n">
        <f aca="false">1</f>
        <v>1</v>
      </c>
      <c r="J295" s="0" t="n">
        <f aca="false">E295</f>
        <v>-1</v>
      </c>
      <c r="K295" s="0" t="n">
        <f aca="false">F295</f>
        <v>-0.25</v>
      </c>
      <c r="L295" s="0" t="n">
        <f aca="false">G295</f>
        <v>0.25</v>
      </c>
      <c r="M295" s="0" t="n">
        <f aca="false">H295</f>
        <v>-0.5</v>
      </c>
      <c r="N295" s="0" t="n">
        <f aca="false">E295*F295</f>
        <v>0.25</v>
      </c>
      <c r="O295" s="0" t="n">
        <f aca="false">E295*G295</f>
        <v>-0.25</v>
      </c>
      <c r="P295" s="0" t="n">
        <f aca="false">E295*H295</f>
        <v>0.5</v>
      </c>
      <c r="Q295" s="0" t="n">
        <f aca="false">F295*G295</f>
        <v>-0.0625</v>
      </c>
      <c r="R295" s="0" t="n">
        <f aca="false">F295*H295</f>
        <v>0.125</v>
      </c>
      <c r="S295" s="0" t="n">
        <f aca="false">G295*H295</f>
        <v>-0.125</v>
      </c>
      <c r="T295" s="0" t="n">
        <f aca="false">E295*E295</f>
        <v>1</v>
      </c>
      <c r="U295" s="0" t="n">
        <f aca="false">F295*F295</f>
        <v>0.0625</v>
      </c>
      <c r="V295" s="0" t="n">
        <f aca="false">G295*G295</f>
        <v>0.0625</v>
      </c>
      <c r="W295" s="0" t="n">
        <f aca="false">H295*H295</f>
        <v>0.25</v>
      </c>
      <c r="X295" s="0" t="n">
        <f aca="false">SUMPRODUCT(I295:W295,_XtX!$B$96:$P$96)</f>
        <v>42.9638751827486</v>
      </c>
      <c r="Y295" s="0" t="n">
        <f aca="false">SUMPRODUCT(MMULT(I295:W295,_XtX!$B$78:$P$92),I295:W295)</f>
        <v>0.445705123812135</v>
      </c>
      <c r="Z295" s="0" t="n">
        <f aca="false">04_回帰ANOVA!$K$19*04_回帰ANOVA!$K$14*SQRT(1+Y295)</f>
        <v>1.56724990734749</v>
      </c>
      <c r="AA295" s="0" t="n">
        <f aca="false">X295-Z295</f>
        <v>41.3966252754011</v>
      </c>
      <c r="AB295" s="0" t="n">
        <f aca="false">X295+Z295</f>
        <v>44.5311250900961</v>
      </c>
      <c r="AC295" s="54" t="b">
        <f aca="false">AND(E295&gt;=01_因子設定!$L$5-0.000000001,E295&lt;=01_因子設定!$M$5+0.000000001,F295&gt;=01_因子設定!$L$6-0.000000001,F295&lt;=01_因子設定!$M$6+0.000000001,G295&gt;=01_因子設定!$L$7-0.000000001,G295&lt;=01_因子設定!$M$7+0.000000001,H295&gt;=01_因子設定!$L$8-0.000000001,H295&lt;=01_因子設定!$M$8+0.000000001,IF(01_因子設定!$B$20="Box-Behnken",E295^2+F295^2+G295^2+H295^2&lt;=2+0.000000001,TRUE()))</f>
        <v>1</v>
      </c>
      <c r="AD295" s="55" t="n">
        <f aca="false">IF(AC295,IF(01_因子設定!$B$13="最大化",AA295-01_因子設定!$B$14,IF(01_因子設定!$B$13="最小化",01_因子設定!$B$15-AB295,MIN(AA295-01_因子設定!$B$14,01_因子設定!$B$15-AB295))),-1E+030)</f>
        <v>-5.10337472459892</v>
      </c>
      <c r="AE295" s="55" t="n">
        <f aca="false">IF(AC295,IF(01_因子設定!$B$13="最大化",X295,IF(01_因子設定!$B$13="最小化",-X295,-ABS(X295-01_因子設定!$B$16))),-1E+030)</f>
        <v>42.9638751827486</v>
      </c>
      <c r="AF295" s="55" t="n">
        <f aca="false">AD295+ROW()*0.000000001</f>
        <v>-5.10337442959891</v>
      </c>
      <c r="AG295" s="55" t="n">
        <f aca="false">AE295+ROW()*0.000000001</f>
        <v>42.9638754777486</v>
      </c>
    </row>
    <row r="296" customFormat="false" ht="15" hidden="false" customHeight="false" outlineLevel="0" collapsed="false">
      <c r="A296" s="0" t="n">
        <v>0</v>
      </c>
      <c r="B296" s="0" t="n">
        <v>3</v>
      </c>
      <c r="C296" s="0" t="n">
        <v>5</v>
      </c>
      <c r="D296" s="0" t="n">
        <v>3</v>
      </c>
      <c r="E296" s="0" t="n">
        <f aca="false">-1+A296*0.25</f>
        <v>-1</v>
      </c>
      <c r="F296" s="0" t="n">
        <f aca="false">-1+B296*0.25</f>
        <v>-0.25</v>
      </c>
      <c r="G296" s="0" t="n">
        <f aca="false">-1+C296*0.25</f>
        <v>0.25</v>
      </c>
      <c r="H296" s="0" t="n">
        <f aca="false">-1+D296*0.25</f>
        <v>-0.25</v>
      </c>
      <c r="I296" s="0" t="n">
        <f aca="false">1</f>
        <v>1</v>
      </c>
      <c r="J296" s="0" t="n">
        <f aca="false">E296</f>
        <v>-1</v>
      </c>
      <c r="K296" s="0" t="n">
        <f aca="false">F296</f>
        <v>-0.25</v>
      </c>
      <c r="L296" s="0" t="n">
        <f aca="false">G296</f>
        <v>0.25</v>
      </c>
      <c r="M296" s="0" t="n">
        <f aca="false">H296</f>
        <v>-0.25</v>
      </c>
      <c r="N296" s="0" t="n">
        <f aca="false">E296*F296</f>
        <v>0.25</v>
      </c>
      <c r="O296" s="0" t="n">
        <f aca="false">E296*G296</f>
        <v>-0.25</v>
      </c>
      <c r="P296" s="0" t="n">
        <f aca="false">E296*H296</f>
        <v>0.25</v>
      </c>
      <c r="Q296" s="0" t="n">
        <f aca="false">F296*G296</f>
        <v>-0.0625</v>
      </c>
      <c r="R296" s="0" t="n">
        <f aca="false">F296*H296</f>
        <v>0.0625</v>
      </c>
      <c r="S296" s="0" t="n">
        <f aca="false">G296*H296</f>
        <v>-0.0625</v>
      </c>
      <c r="T296" s="0" t="n">
        <f aca="false">E296*E296</f>
        <v>1</v>
      </c>
      <c r="U296" s="0" t="n">
        <f aca="false">F296*F296</f>
        <v>0.0625</v>
      </c>
      <c r="V296" s="0" t="n">
        <f aca="false">G296*G296</f>
        <v>0.0625</v>
      </c>
      <c r="W296" s="0" t="n">
        <f aca="false">H296*H296</f>
        <v>0.0625</v>
      </c>
      <c r="X296" s="0" t="n">
        <f aca="false">SUMPRODUCT(I296:W296,_XtX!$B$96:$P$96)</f>
        <v>43.1369745979533</v>
      </c>
      <c r="Y296" s="0" t="n">
        <f aca="false">SUMPRODUCT(MMULT(I296:W296,_XtX!$B$78:$P$92),I296:W296)</f>
        <v>0.457466705500731</v>
      </c>
      <c r="Z296" s="0" t="n">
        <f aca="false">04_回帰ANOVA!$K$19*04_回帰ANOVA!$K$14*SQRT(1+Y296)</f>
        <v>1.57361220003999</v>
      </c>
      <c r="AA296" s="0" t="n">
        <f aca="false">X296-Z296</f>
        <v>41.5633623979133</v>
      </c>
      <c r="AB296" s="0" t="n">
        <f aca="false">X296+Z296</f>
        <v>44.7105867979932</v>
      </c>
      <c r="AC296" s="54" t="b">
        <f aca="false">AND(E296&gt;=01_因子設定!$L$5-0.000000001,E296&lt;=01_因子設定!$M$5+0.000000001,F296&gt;=01_因子設定!$L$6-0.000000001,F296&lt;=01_因子設定!$M$6+0.000000001,G296&gt;=01_因子設定!$L$7-0.000000001,G296&lt;=01_因子設定!$M$7+0.000000001,H296&gt;=01_因子設定!$L$8-0.000000001,H296&lt;=01_因子設定!$M$8+0.000000001,IF(01_因子設定!$B$20="Box-Behnken",E296^2+F296^2+G296^2+H296^2&lt;=2+0.000000001,TRUE()))</f>
        <v>1</v>
      </c>
      <c r="AD296" s="55" t="n">
        <f aca="false">IF(AC296,IF(01_因子設定!$B$13="最大化",AA296-01_因子設定!$B$14,IF(01_因子設定!$B$13="最小化",01_因子設定!$B$15-AB296,MIN(AA296-01_因子設定!$B$14,01_因子設定!$B$15-AB296))),-1E+030)</f>
        <v>-4.93663760208675</v>
      </c>
      <c r="AE296" s="55" t="n">
        <f aca="false">IF(AC296,IF(01_因子設定!$B$13="最大化",X296,IF(01_因子設定!$B$13="最小化",-X296,-ABS(X296-01_因子設定!$B$16))),-1E+030)</f>
        <v>43.1369745979533</v>
      </c>
      <c r="AF296" s="55" t="n">
        <f aca="false">AD296+ROW()*0.000000001</f>
        <v>-4.93663730608675</v>
      </c>
      <c r="AG296" s="55" t="n">
        <f aca="false">AE296+ROW()*0.000000001</f>
        <v>43.1369748939533</v>
      </c>
    </row>
    <row r="297" customFormat="false" ht="15" hidden="false" customHeight="false" outlineLevel="0" collapsed="false">
      <c r="A297" s="0" t="n">
        <v>0</v>
      </c>
      <c r="B297" s="0" t="n">
        <v>3</v>
      </c>
      <c r="C297" s="0" t="n">
        <v>5</v>
      </c>
      <c r="D297" s="0" t="n">
        <v>4</v>
      </c>
      <c r="E297" s="0" t="n">
        <f aca="false">-1+A297*0.25</f>
        <v>-1</v>
      </c>
      <c r="F297" s="0" t="n">
        <f aca="false">-1+B297*0.25</f>
        <v>-0.25</v>
      </c>
      <c r="G297" s="0" t="n">
        <f aca="false">-1+C297*0.25</f>
        <v>0.25</v>
      </c>
      <c r="H297" s="0" t="n">
        <f aca="false">-1+D297*0.25</f>
        <v>0</v>
      </c>
      <c r="I297" s="0" t="n">
        <f aca="false">1</f>
        <v>1</v>
      </c>
      <c r="J297" s="0" t="n">
        <f aca="false">E297</f>
        <v>-1</v>
      </c>
      <c r="K297" s="0" t="n">
        <f aca="false">F297</f>
        <v>-0.25</v>
      </c>
      <c r="L297" s="0" t="n">
        <f aca="false">G297</f>
        <v>0.25</v>
      </c>
      <c r="M297" s="0" t="n">
        <f aca="false">H297</f>
        <v>0</v>
      </c>
      <c r="N297" s="0" t="n">
        <f aca="false">E297*F297</f>
        <v>0.25</v>
      </c>
      <c r="O297" s="0" t="n">
        <f aca="false">E297*G297</f>
        <v>-0.25</v>
      </c>
      <c r="P297" s="0" t="n">
        <f aca="false">E297*H297</f>
        <v>-0</v>
      </c>
      <c r="Q297" s="0" t="n">
        <f aca="false">F297*G297</f>
        <v>-0.0625</v>
      </c>
      <c r="R297" s="0" t="n">
        <f aca="false">F297*H297</f>
        <v>-0</v>
      </c>
      <c r="S297" s="0" t="n">
        <f aca="false">G297*H297</f>
        <v>0</v>
      </c>
      <c r="T297" s="0" t="n">
        <f aca="false">E297*E297</f>
        <v>1</v>
      </c>
      <c r="U297" s="0" t="n">
        <f aca="false">F297*F297</f>
        <v>0.0625</v>
      </c>
      <c r="V297" s="0" t="n">
        <f aca="false">G297*G297</f>
        <v>0.0625</v>
      </c>
      <c r="W297" s="0" t="n">
        <f aca="false">H297*H297</f>
        <v>0</v>
      </c>
      <c r="X297" s="0" t="n">
        <f aca="false">SUMPRODUCT(I297:W297,_XtX!$B$96:$P$96)</f>
        <v>43.2622669956141</v>
      </c>
      <c r="Y297" s="0" t="n">
        <f aca="false">SUMPRODUCT(MMULT(I297:W297,_XtX!$B$78:$P$92),I297:W297)</f>
        <v>0.467417934484649</v>
      </c>
      <c r="Z297" s="0" t="n">
        <f aca="false">04_回帰ANOVA!$K$19*04_回帰ANOVA!$K$14*SQRT(1+Y297)</f>
        <v>1.57897518244497</v>
      </c>
      <c r="AA297" s="0" t="n">
        <f aca="false">X297-Z297</f>
        <v>41.6832918131691</v>
      </c>
      <c r="AB297" s="0" t="n">
        <f aca="false">X297+Z297</f>
        <v>44.841242178059</v>
      </c>
      <c r="AC297" s="54" t="b">
        <f aca="false">AND(E297&gt;=01_因子設定!$L$5-0.000000001,E297&lt;=01_因子設定!$M$5+0.000000001,F297&gt;=01_因子設定!$L$6-0.000000001,F297&lt;=01_因子設定!$M$6+0.000000001,G297&gt;=01_因子設定!$L$7-0.000000001,G297&lt;=01_因子設定!$M$7+0.000000001,H297&gt;=01_因子設定!$L$8-0.000000001,H297&lt;=01_因子設定!$M$8+0.000000001,IF(01_因子設定!$B$20="Box-Behnken",E297^2+F297^2+G297^2+H297^2&lt;=2+0.000000001,TRUE()))</f>
        <v>1</v>
      </c>
      <c r="AD297" s="55" t="n">
        <f aca="false">IF(AC297,IF(01_因子設定!$B$13="最大化",AA297-01_因子設定!$B$14,IF(01_因子設定!$B$13="最小化",01_因子設定!$B$15-AB297,MIN(AA297-01_因子設定!$B$14,01_因子設定!$B$15-AB297))),-1E+030)</f>
        <v>-4.81670818683091</v>
      </c>
      <c r="AE297" s="55" t="n">
        <f aca="false">IF(AC297,IF(01_因子設定!$B$13="最大化",X297,IF(01_因子設定!$B$13="最小化",-X297,-ABS(X297-01_因子設定!$B$16))),-1E+030)</f>
        <v>43.2622669956141</v>
      </c>
      <c r="AF297" s="55" t="n">
        <f aca="false">AD297+ROW()*0.000000001</f>
        <v>-4.81670788983091</v>
      </c>
      <c r="AG297" s="55" t="n">
        <f aca="false">AE297+ROW()*0.000000001</f>
        <v>43.2622672926141</v>
      </c>
    </row>
    <row r="298" customFormat="false" ht="15" hidden="false" customHeight="false" outlineLevel="0" collapsed="false">
      <c r="A298" s="0" t="n">
        <v>0</v>
      </c>
      <c r="B298" s="0" t="n">
        <v>3</v>
      </c>
      <c r="C298" s="0" t="n">
        <v>5</v>
      </c>
      <c r="D298" s="0" t="n">
        <v>5</v>
      </c>
      <c r="E298" s="0" t="n">
        <f aca="false">-1+A298*0.25</f>
        <v>-1</v>
      </c>
      <c r="F298" s="0" t="n">
        <f aca="false">-1+B298*0.25</f>
        <v>-0.25</v>
      </c>
      <c r="G298" s="0" t="n">
        <f aca="false">-1+C298*0.25</f>
        <v>0.25</v>
      </c>
      <c r="H298" s="0" t="n">
        <f aca="false">-1+D298*0.25</f>
        <v>0.25</v>
      </c>
      <c r="I298" s="0" t="n">
        <f aca="false">1</f>
        <v>1</v>
      </c>
      <c r="J298" s="0" t="n">
        <f aca="false">E298</f>
        <v>-1</v>
      </c>
      <c r="K298" s="0" t="n">
        <f aca="false">F298</f>
        <v>-0.25</v>
      </c>
      <c r="L298" s="0" t="n">
        <f aca="false">G298</f>
        <v>0.25</v>
      </c>
      <c r="M298" s="0" t="n">
        <f aca="false">H298</f>
        <v>0.25</v>
      </c>
      <c r="N298" s="0" t="n">
        <f aca="false">E298*F298</f>
        <v>0.25</v>
      </c>
      <c r="O298" s="0" t="n">
        <f aca="false">E298*G298</f>
        <v>-0.25</v>
      </c>
      <c r="P298" s="0" t="n">
        <f aca="false">E298*H298</f>
        <v>-0.25</v>
      </c>
      <c r="Q298" s="0" t="n">
        <f aca="false">F298*G298</f>
        <v>-0.0625</v>
      </c>
      <c r="R298" s="0" t="n">
        <f aca="false">F298*H298</f>
        <v>-0.0625</v>
      </c>
      <c r="S298" s="0" t="n">
        <f aca="false">G298*H298</f>
        <v>0.0625</v>
      </c>
      <c r="T298" s="0" t="n">
        <f aca="false">E298*E298</f>
        <v>1</v>
      </c>
      <c r="U298" s="0" t="n">
        <f aca="false">F298*F298</f>
        <v>0.0625</v>
      </c>
      <c r="V298" s="0" t="n">
        <f aca="false">G298*G298</f>
        <v>0.0625</v>
      </c>
      <c r="W298" s="0" t="n">
        <f aca="false">H298*H298</f>
        <v>0.0625</v>
      </c>
      <c r="X298" s="0" t="n">
        <f aca="false">SUMPRODUCT(I298:W298,_XtX!$B$96:$P$96)</f>
        <v>43.339752375731</v>
      </c>
      <c r="Y298" s="0" t="n">
        <f aca="false">SUMPRODUCT(MMULT(I298:W298,_XtX!$B$78:$P$92),I298:W298)</f>
        <v>0.457466705500731</v>
      </c>
      <c r="Z298" s="0" t="n">
        <f aca="false">04_回帰ANOVA!$K$19*04_回帰ANOVA!$K$14*SQRT(1+Y298)</f>
        <v>1.57361220003999</v>
      </c>
      <c r="AA298" s="0" t="n">
        <f aca="false">X298-Z298</f>
        <v>41.766140175691</v>
      </c>
      <c r="AB298" s="0" t="n">
        <f aca="false">X298+Z298</f>
        <v>44.913364575771</v>
      </c>
      <c r="AC298" s="54" t="b">
        <f aca="false">AND(E298&gt;=01_因子設定!$L$5-0.000000001,E298&lt;=01_因子設定!$M$5+0.000000001,F298&gt;=01_因子設定!$L$6-0.000000001,F298&lt;=01_因子設定!$M$6+0.000000001,G298&gt;=01_因子設定!$L$7-0.000000001,G298&lt;=01_因子設定!$M$7+0.000000001,H298&gt;=01_因子設定!$L$8-0.000000001,H298&lt;=01_因子設定!$M$8+0.000000001,IF(01_因子設定!$B$20="Box-Behnken",E298^2+F298^2+G298^2+H298^2&lt;=2+0.000000001,TRUE()))</f>
        <v>1</v>
      </c>
      <c r="AD298" s="55" t="n">
        <f aca="false">IF(AC298,IF(01_因子設定!$B$13="最大化",AA298-01_因子設定!$B$14,IF(01_因子設定!$B$13="最小化",01_因子設定!$B$15-AB298,MIN(AA298-01_因子設定!$B$14,01_因子設定!$B$15-AB298))),-1E+030)</f>
        <v>-4.73385982430897</v>
      </c>
      <c r="AE298" s="55" t="n">
        <f aca="false">IF(AC298,IF(01_因子設定!$B$13="最大化",X298,IF(01_因子設定!$B$13="最小化",-X298,-ABS(X298-01_因子設定!$B$16))),-1E+030)</f>
        <v>43.339752375731</v>
      </c>
      <c r="AF298" s="55" t="n">
        <f aca="false">AD298+ROW()*0.000000001</f>
        <v>-4.73385952630897</v>
      </c>
      <c r="AG298" s="55" t="n">
        <f aca="false">AE298+ROW()*0.000000001</f>
        <v>43.339752673731</v>
      </c>
    </row>
    <row r="299" customFormat="false" ht="15" hidden="false" customHeight="false" outlineLevel="0" collapsed="false">
      <c r="A299" s="0" t="n">
        <v>0</v>
      </c>
      <c r="B299" s="0" t="n">
        <v>3</v>
      </c>
      <c r="C299" s="0" t="n">
        <v>5</v>
      </c>
      <c r="D299" s="0" t="n">
        <v>6</v>
      </c>
      <c r="E299" s="0" t="n">
        <f aca="false">-1+A299*0.25</f>
        <v>-1</v>
      </c>
      <c r="F299" s="0" t="n">
        <f aca="false">-1+B299*0.25</f>
        <v>-0.25</v>
      </c>
      <c r="G299" s="0" t="n">
        <f aca="false">-1+C299*0.25</f>
        <v>0.25</v>
      </c>
      <c r="H299" s="0" t="n">
        <f aca="false">-1+D299*0.25</f>
        <v>0.5</v>
      </c>
      <c r="I299" s="0" t="n">
        <f aca="false">1</f>
        <v>1</v>
      </c>
      <c r="J299" s="0" t="n">
        <f aca="false">E299</f>
        <v>-1</v>
      </c>
      <c r="K299" s="0" t="n">
        <f aca="false">F299</f>
        <v>-0.25</v>
      </c>
      <c r="L299" s="0" t="n">
        <f aca="false">G299</f>
        <v>0.25</v>
      </c>
      <c r="M299" s="0" t="n">
        <f aca="false">H299</f>
        <v>0.5</v>
      </c>
      <c r="N299" s="0" t="n">
        <f aca="false">E299*F299</f>
        <v>0.25</v>
      </c>
      <c r="O299" s="0" t="n">
        <f aca="false">E299*G299</f>
        <v>-0.25</v>
      </c>
      <c r="P299" s="0" t="n">
        <f aca="false">E299*H299</f>
        <v>-0.5</v>
      </c>
      <c r="Q299" s="0" t="n">
        <f aca="false">F299*G299</f>
        <v>-0.0625</v>
      </c>
      <c r="R299" s="0" t="n">
        <f aca="false">F299*H299</f>
        <v>-0.125</v>
      </c>
      <c r="S299" s="0" t="n">
        <f aca="false">G299*H299</f>
        <v>0.125</v>
      </c>
      <c r="T299" s="0" t="n">
        <f aca="false">E299*E299</f>
        <v>1</v>
      </c>
      <c r="U299" s="0" t="n">
        <f aca="false">F299*F299</f>
        <v>0.0625</v>
      </c>
      <c r="V299" s="0" t="n">
        <f aca="false">G299*G299</f>
        <v>0.0625</v>
      </c>
      <c r="W299" s="0" t="n">
        <f aca="false">H299*H299</f>
        <v>0.25</v>
      </c>
      <c r="X299" s="0" t="n">
        <f aca="false">SUMPRODUCT(I299:W299,_XtX!$B$96:$P$96)</f>
        <v>43.3694307383041</v>
      </c>
      <c r="Y299" s="0" t="n">
        <f aca="false">SUMPRODUCT(MMULT(I299:W299,_XtX!$B$78:$P$92),I299:W299)</f>
        <v>0.445705123812135</v>
      </c>
      <c r="Z299" s="0" t="n">
        <f aca="false">04_回帰ANOVA!$K$19*04_回帰ANOVA!$K$14*SQRT(1+Y299)</f>
        <v>1.56724990734749</v>
      </c>
      <c r="AA299" s="0" t="n">
        <f aca="false">X299-Z299</f>
        <v>41.8021808309566</v>
      </c>
      <c r="AB299" s="0" t="n">
        <f aca="false">X299+Z299</f>
        <v>44.9366806456516</v>
      </c>
      <c r="AC299" s="54" t="b">
        <f aca="false">AND(E299&gt;=01_因子設定!$L$5-0.000000001,E299&lt;=01_因子設定!$M$5+0.000000001,F299&gt;=01_因子設定!$L$6-0.000000001,F299&lt;=01_因子設定!$M$6+0.000000001,G299&gt;=01_因子設定!$L$7-0.000000001,G299&lt;=01_因子設定!$M$7+0.000000001,H299&gt;=01_因子設定!$L$8-0.000000001,H299&lt;=01_因子設定!$M$8+0.000000001,IF(01_因子設定!$B$20="Box-Behnken",E299^2+F299^2+G299^2+H299^2&lt;=2+0.000000001,TRUE()))</f>
        <v>1</v>
      </c>
      <c r="AD299" s="55" t="n">
        <f aca="false">IF(AC299,IF(01_因子設定!$B$13="最大化",AA299-01_因子設定!$B$14,IF(01_因子設定!$B$13="最小化",01_因子設定!$B$15-AB299,MIN(AA299-01_因子設定!$B$14,01_因子設定!$B$15-AB299))),-1E+030)</f>
        <v>-4.69781916904336</v>
      </c>
      <c r="AE299" s="55" t="n">
        <f aca="false">IF(AC299,IF(01_因子設定!$B$13="最大化",X299,IF(01_因子設定!$B$13="最小化",-X299,-ABS(X299-01_因子設定!$B$16))),-1E+030)</f>
        <v>43.3694307383041</v>
      </c>
      <c r="AF299" s="55" t="n">
        <f aca="false">AD299+ROW()*0.000000001</f>
        <v>-4.69781887004336</v>
      </c>
      <c r="AG299" s="55" t="n">
        <f aca="false">AE299+ROW()*0.000000001</f>
        <v>43.3694310373041</v>
      </c>
    </row>
    <row r="300" customFormat="false" ht="15" hidden="false" customHeight="false" outlineLevel="0" collapsed="false">
      <c r="A300" s="0" t="n">
        <v>0</v>
      </c>
      <c r="B300" s="0" t="n">
        <v>3</v>
      </c>
      <c r="C300" s="0" t="n">
        <v>5</v>
      </c>
      <c r="D300" s="0" t="n">
        <v>7</v>
      </c>
      <c r="E300" s="0" t="n">
        <f aca="false">-1+A300*0.25</f>
        <v>-1</v>
      </c>
      <c r="F300" s="0" t="n">
        <f aca="false">-1+B300*0.25</f>
        <v>-0.25</v>
      </c>
      <c r="G300" s="0" t="n">
        <f aca="false">-1+C300*0.25</f>
        <v>0.25</v>
      </c>
      <c r="H300" s="0" t="n">
        <f aca="false">-1+D300*0.25</f>
        <v>0.75</v>
      </c>
      <c r="I300" s="0" t="n">
        <f aca="false">1</f>
        <v>1</v>
      </c>
      <c r="J300" s="0" t="n">
        <f aca="false">E300</f>
        <v>-1</v>
      </c>
      <c r="K300" s="0" t="n">
        <f aca="false">F300</f>
        <v>-0.25</v>
      </c>
      <c r="L300" s="0" t="n">
        <f aca="false">G300</f>
        <v>0.25</v>
      </c>
      <c r="M300" s="0" t="n">
        <f aca="false">H300</f>
        <v>0.75</v>
      </c>
      <c r="N300" s="0" t="n">
        <f aca="false">E300*F300</f>
        <v>0.25</v>
      </c>
      <c r="O300" s="0" t="n">
        <f aca="false">E300*G300</f>
        <v>-0.25</v>
      </c>
      <c r="P300" s="0" t="n">
        <f aca="false">E300*H300</f>
        <v>-0.75</v>
      </c>
      <c r="Q300" s="0" t="n">
        <f aca="false">F300*G300</f>
        <v>-0.0625</v>
      </c>
      <c r="R300" s="0" t="n">
        <f aca="false">F300*H300</f>
        <v>-0.1875</v>
      </c>
      <c r="S300" s="0" t="n">
        <f aca="false">G300*H300</f>
        <v>0.1875</v>
      </c>
      <c r="T300" s="0" t="n">
        <f aca="false">E300*E300</f>
        <v>1</v>
      </c>
      <c r="U300" s="0" t="n">
        <f aca="false">F300*F300</f>
        <v>0.0625</v>
      </c>
      <c r="V300" s="0" t="n">
        <f aca="false">G300*G300</f>
        <v>0.0625</v>
      </c>
      <c r="W300" s="0" t="n">
        <f aca="false">H300*H300</f>
        <v>0.5625</v>
      </c>
      <c r="X300" s="0" t="n">
        <f aca="false">SUMPRODUCT(I300:W300,_XtX!$B$96:$P$96)</f>
        <v>43.3513020833334</v>
      </c>
      <c r="Y300" s="0" t="n">
        <f aca="false">SUMPRODUCT(MMULT(I300:W300,_XtX!$B$78:$P$92),I300:W300)</f>
        <v>0.486409505208334</v>
      </c>
      <c r="Z300" s="0" t="n">
        <f aca="false">04_回帰ANOVA!$K$19*04_回帰ANOVA!$K$14*SQRT(1+Y300)</f>
        <v>1.58916001665498</v>
      </c>
      <c r="AA300" s="0" t="n">
        <f aca="false">X300-Z300</f>
        <v>41.7621420666784</v>
      </c>
      <c r="AB300" s="0" t="n">
        <f aca="false">X300+Z300</f>
        <v>44.9404620999884</v>
      </c>
      <c r="AC300" s="54" t="b">
        <f aca="false">AND(E300&gt;=01_因子設定!$L$5-0.000000001,E300&lt;=01_因子設定!$M$5+0.000000001,F300&gt;=01_因子設定!$L$6-0.000000001,F300&lt;=01_因子設定!$M$6+0.000000001,G300&gt;=01_因子設定!$L$7-0.000000001,G300&lt;=01_因子設定!$M$7+0.000000001,H300&gt;=01_因子設定!$L$8-0.000000001,H300&lt;=01_因子設定!$M$8+0.000000001,IF(01_因子設定!$B$20="Box-Behnken",E300^2+F300^2+G300^2+H300^2&lt;=2+0.000000001,TRUE()))</f>
        <v>1</v>
      </c>
      <c r="AD300" s="55" t="n">
        <f aca="false">IF(AC300,IF(01_因子設定!$B$13="最大化",AA300-01_因子設定!$B$14,IF(01_因子設定!$B$13="最小化",01_因子設定!$B$15-AB300,MIN(AA300-01_因子設定!$B$14,01_因子設定!$B$15-AB300))),-1E+030)</f>
        <v>-4.7378579333216</v>
      </c>
      <c r="AE300" s="55" t="n">
        <f aca="false">IF(AC300,IF(01_因子設定!$B$13="最大化",X300,IF(01_因子設定!$B$13="最小化",-X300,-ABS(X300-01_因子設定!$B$16))),-1E+030)</f>
        <v>43.3513020833334</v>
      </c>
      <c r="AF300" s="55" t="n">
        <f aca="false">AD300+ROW()*0.000000001</f>
        <v>-4.7378576333216</v>
      </c>
      <c r="AG300" s="55" t="n">
        <f aca="false">AE300+ROW()*0.000000001</f>
        <v>43.3513023833334</v>
      </c>
    </row>
    <row r="301" customFormat="false" ht="15" hidden="false" customHeight="false" outlineLevel="0" collapsed="false">
      <c r="A301" s="0" t="n">
        <v>0</v>
      </c>
      <c r="B301" s="0" t="n">
        <v>3</v>
      </c>
      <c r="C301" s="0" t="n">
        <v>5</v>
      </c>
      <c r="D301" s="0" t="n">
        <v>8</v>
      </c>
      <c r="E301" s="0" t="n">
        <f aca="false">-1+A301*0.25</f>
        <v>-1</v>
      </c>
      <c r="F301" s="0" t="n">
        <f aca="false">-1+B301*0.25</f>
        <v>-0.25</v>
      </c>
      <c r="G301" s="0" t="n">
        <f aca="false">-1+C301*0.25</f>
        <v>0.25</v>
      </c>
      <c r="H301" s="0" t="n">
        <f aca="false">-1+D301*0.25</f>
        <v>1</v>
      </c>
      <c r="I301" s="0" t="n">
        <f aca="false">1</f>
        <v>1</v>
      </c>
      <c r="J301" s="0" t="n">
        <f aca="false">E301</f>
        <v>-1</v>
      </c>
      <c r="K301" s="0" t="n">
        <f aca="false">F301</f>
        <v>-0.25</v>
      </c>
      <c r="L301" s="0" t="n">
        <f aca="false">G301</f>
        <v>0.25</v>
      </c>
      <c r="M301" s="0" t="n">
        <f aca="false">H301</f>
        <v>1</v>
      </c>
      <c r="N301" s="0" t="n">
        <f aca="false">E301*F301</f>
        <v>0.25</v>
      </c>
      <c r="O301" s="0" t="n">
        <f aca="false">E301*G301</f>
        <v>-0.25</v>
      </c>
      <c r="P301" s="0" t="n">
        <f aca="false">E301*H301</f>
        <v>-1</v>
      </c>
      <c r="Q301" s="0" t="n">
        <f aca="false">F301*G301</f>
        <v>-0.0625</v>
      </c>
      <c r="R301" s="0" t="n">
        <f aca="false">F301*H301</f>
        <v>-0.25</v>
      </c>
      <c r="S301" s="0" t="n">
        <f aca="false">G301*H301</f>
        <v>0.25</v>
      </c>
      <c r="T301" s="0" t="n">
        <f aca="false">E301*E301</f>
        <v>1</v>
      </c>
      <c r="U301" s="0" t="n">
        <f aca="false">F301*F301</f>
        <v>0.0625</v>
      </c>
      <c r="V301" s="0" t="n">
        <f aca="false">G301*G301</f>
        <v>0.0625</v>
      </c>
      <c r="W301" s="0" t="n">
        <f aca="false">H301*H301</f>
        <v>1</v>
      </c>
      <c r="X301" s="0" t="n">
        <f aca="false">SUMPRODUCT(I301:W301,_XtX!$B$96:$P$96)</f>
        <v>43.2853664108188</v>
      </c>
      <c r="Y301" s="0" t="n">
        <f aca="false">SUMPRODUCT(MMULT(I301:W301,_XtX!$B$78:$P$92),I301:W301)</f>
        <v>0.670040376005117</v>
      </c>
      <c r="Z301" s="0" t="n">
        <f aca="false">04_回帰ANOVA!$K$19*04_回帰ANOVA!$K$14*SQRT(1+Y301)</f>
        <v>1.68446456039992</v>
      </c>
      <c r="AA301" s="0" t="n">
        <f aca="false">X301-Z301</f>
        <v>41.6009018504189</v>
      </c>
      <c r="AB301" s="0" t="n">
        <f aca="false">X301+Z301</f>
        <v>44.9698309712187</v>
      </c>
      <c r="AC301" s="54" t="b">
        <f aca="false">AND(E301&gt;=01_因子設定!$L$5-0.000000001,E301&lt;=01_因子設定!$M$5+0.000000001,F301&gt;=01_因子設定!$L$6-0.000000001,F301&lt;=01_因子設定!$M$6+0.000000001,G301&gt;=01_因子設定!$L$7-0.000000001,G301&lt;=01_因子設定!$M$7+0.000000001,H301&gt;=01_因子設定!$L$8-0.000000001,H301&lt;=01_因子設定!$M$8+0.000000001,IF(01_因子設定!$B$20="Box-Behnken",E301^2+F301^2+G301^2+H301^2&lt;=2+0.000000001,TRUE()))</f>
        <v>1</v>
      </c>
      <c r="AD301" s="55" t="n">
        <f aca="false">IF(AC301,IF(01_因子設定!$B$13="最大化",AA301-01_因子設定!$B$14,IF(01_因子設定!$B$13="最小化",01_因子設定!$B$15-AB301,MIN(AA301-01_因子設定!$B$14,01_因子設定!$B$15-AB301))),-1E+030)</f>
        <v>-4.89909814958114</v>
      </c>
      <c r="AE301" s="55" t="n">
        <f aca="false">IF(AC301,IF(01_因子設定!$B$13="最大化",X301,IF(01_因子設定!$B$13="最小化",-X301,-ABS(X301-01_因子設定!$B$16))),-1E+030)</f>
        <v>43.2853664108188</v>
      </c>
      <c r="AF301" s="55" t="n">
        <f aca="false">AD301+ROW()*0.000000001</f>
        <v>-4.89909784858114</v>
      </c>
      <c r="AG301" s="55" t="n">
        <f aca="false">AE301+ROW()*0.000000001</f>
        <v>43.2853667118188</v>
      </c>
    </row>
    <row r="302" customFormat="false" ht="15" hidden="false" customHeight="false" outlineLevel="0" collapsed="false">
      <c r="A302" s="0" t="n">
        <v>0</v>
      </c>
      <c r="B302" s="0" t="n">
        <v>3</v>
      </c>
      <c r="C302" s="0" t="n">
        <v>6</v>
      </c>
      <c r="D302" s="0" t="n">
        <v>0</v>
      </c>
      <c r="E302" s="0" t="n">
        <f aca="false">-1+A302*0.25</f>
        <v>-1</v>
      </c>
      <c r="F302" s="0" t="n">
        <f aca="false">-1+B302*0.25</f>
        <v>-0.25</v>
      </c>
      <c r="G302" s="0" t="n">
        <f aca="false">-1+C302*0.25</f>
        <v>0.5</v>
      </c>
      <c r="H302" s="0" t="n">
        <f aca="false">-1+D302*0.25</f>
        <v>-1</v>
      </c>
      <c r="I302" s="0" t="n">
        <f aca="false">1</f>
        <v>1</v>
      </c>
      <c r="J302" s="0" t="n">
        <f aca="false">E302</f>
        <v>-1</v>
      </c>
      <c r="K302" s="0" t="n">
        <f aca="false">F302</f>
        <v>-0.25</v>
      </c>
      <c r="L302" s="0" t="n">
        <f aca="false">G302</f>
        <v>0.5</v>
      </c>
      <c r="M302" s="0" t="n">
        <f aca="false">H302</f>
        <v>-1</v>
      </c>
      <c r="N302" s="0" t="n">
        <f aca="false">E302*F302</f>
        <v>0.25</v>
      </c>
      <c r="O302" s="0" t="n">
        <f aca="false">E302*G302</f>
        <v>-0.5</v>
      </c>
      <c r="P302" s="0" t="n">
        <f aca="false">E302*H302</f>
        <v>1</v>
      </c>
      <c r="Q302" s="0" t="n">
        <f aca="false">F302*G302</f>
        <v>-0.125</v>
      </c>
      <c r="R302" s="0" t="n">
        <f aca="false">F302*H302</f>
        <v>0.25</v>
      </c>
      <c r="S302" s="0" t="n">
        <f aca="false">G302*H302</f>
        <v>-0.5</v>
      </c>
      <c r="T302" s="0" t="n">
        <f aca="false">E302*E302</f>
        <v>1</v>
      </c>
      <c r="U302" s="0" t="n">
        <f aca="false">F302*F302</f>
        <v>0.0625</v>
      </c>
      <c r="V302" s="0" t="n">
        <f aca="false">G302*G302</f>
        <v>0.25</v>
      </c>
      <c r="W302" s="0" t="n">
        <f aca="false">H302*H302</f>
        <v>1</v>
      </c>
      <c r="X302" s="0" t="n">
        <f aca="false">SUMPRODUCT(I302:W302,_XtX!$B$96:$P$96)</f>
        <v>42.6632218567252</v>
      </c>
      <c r="Y302" s="0" t="n">
        <f aca="false">SUMPRODUCT(MMULT(I302:W302,_XtX!$B$78:$P$92),I302:W302)</f>
        <v>0.629174661915205</v>
      </c>
      <c r="Z302" s="0" t="n">
        <f aca="false">04_回帰ANOVA!$K$19*04_回帰ANOVA!$K$14*SQRT(1+Y302)</f>
        <v>1.66372758058297</v>
      </c>
      <c r="AA302" s="0" t="n">
        <f aca="false">X302-Z302</f>
        <v>40.9994942761422</v>
      </c>
      <c r="AB302" s="0" t="n">
        <f aca="false">X302+Z302</f>
        <v>44.3269494373082</v>
      </c>
      <c r="AC302" s="54" t="b">
        <f aca="false">AND(E302&gt;=01_因子設定!$L$5-0.000000001,E302&lt;=01_因子設定!$M$5+0.000000001,F302&gt;=01_因子設定!$L$6-0.000000001,F302&lt;=01_因子設定!$M$6+0.000000001,G302&gt;=01_因子設定!$L$7-0.000000001,G302&lt;=01_因子設定!$M$7+0.000000001,H302&gt;=01_因子設定!$L$8-0.000000001,H302&lt;=01_因子設定!$M$8+0.000000001,IF(01_因子設定!$B$20="Box-Behnken",E302^2+F302^2+G302^2+H302^2&lt;=2+0.000000001,TRUE()))</f>
        <v>1</v>
      </c>
      <c r="AD302" s="55" t="n">
        <f aca="false">IF(AC302,IF(01_因子設定!$B$13="最大化",AA302-01_因子設定!$B$14,IF(01_因子設定!$B$13="最小化",01_因子設定!$B$15-AB302,MIN(AA302-01_因子設定!$B$14,01_因子設定!$B$15-AB302))),-1E+030)</f>
        <v>-5.50050572385776</v>
      </c>
      <c r="AE302" s="55" t="n">
        <f aca="false">IF(AC302,IF(01_因子設定!$B$13="最大化",X302,IF(01_因子設定!$B$13="最小化",-X302,-ABS(X302-01_因子設定!$B$16))),-1E+030)</f>
        <v>42.6632218567252</v>
      </c>
      <c r="AF302" s="55" t="n">
        <f aca="false">AD302+ROW()*0.000000001</f>
        <v>-5.50050542185776</v>
      </c>
      <c r="AG302" s="55" t="n">
        <f aca="false">AE302+ROW()*0.000000001</f>
        <v>42.6632221587252</v>
      </c>
    </row>
    <row r="303" customFormat="false" ht="15" hidden="false" customHeight="false" outlineLevel="0" collapsed="false">
      <c r="A303" s="0" t="n">
        <v>0</v>
      </c>
      <c r="B303" s="0" t="n">
        <v>3</v>
      </c>
      <c r="C303" s="0" t="n">
        <v>6</v>
      </c>
      <c r="D303" s="0" t="n">
        <v>1</v>
      </c>
      <c r="E303" s="0" t="n">
        <f aca="false">-1+A303*0.25</f>
        <v>-1</v>
      </c>
      <c r="F303" s="0" t="n">
        <f aca="false">-1+B303*0.25</f>
        <v>-0.25</v>
      </c>
      <c r="G303" s="0" t="n">
        <f aca="false">-1+C303*0.25</f>
        <v>0.5</v>
      </c>
      <c r="H303" s="0" t="n">
        <f aca="false">-1+D303*0.25</f>
        <v>-0.75</v>
      </c>
      <c r="I303" s="0" t="n">
        <f aca="false">1</f>
        <v>1</v>
      </c>
      <c r="J303" s="0" t="n">
        <f aca="false">E303</f>
        <v>-1</v>
      </c>
      <c r="K303" s="0" t="n">
        <f aca="false">F303</f>
        <v>-0.25</v>
      </c>
      <c r="L303" s="0" t="n">
        <f aca="false">G303</f>
        <v>0.5</v>
      </c>
      <c r="M303" s="0" t="n">
        <f aca="false">H303</f>
        <v>-0.75</v>
      </c>
      <c r="N303" s="0" t="n">
        <f aca="false">E303*F303</f>
        <v>0.25</v>
      </c>
      <c r="O303" s="0" t="n">
        <f aca="false">E303*G303</f>
        <v>-0.5</v>
      </c>
      <c r="P303" s="0" t="n">
        <f aca="false">E303*H303</f>
        <v>0.75</v>
      </c>
      <c r="Q303" s="0" t="n">
        <f aca="false">F303*G303</f>
        <v>-0.125</v>
      </c>
      <c r="R303" s="0" t="n">
        <f aca="false">F303*H303</f>
        <v>0.1875</v>
      </c>
      <c r="S303" s="0" t="n">
        <f aca="false">G303*H303</f>
        <v>-0.375</v>
      </c>
      <c r="T303" s="0" t="n">
        <f aca="false">E303*E303</f>
        <v>1</v>
      </c>
      <c r="U303" s="0" t="n">
        <f aca="false">F303*F303</f>
        <v>0.0625</v>
      </c>
      <c r="V303" s="0" t="n">
        <f aca="false">G303*G303</f>
        <v>0.25</v>
      </c>
      <c r="W303" s="0" t="n">
        <f aca="false">H303*H303</f>
        <v>0.5625</v>
      </c>
      <c r="X303" s="0" t="n">
        <f aca="false">SUMPRODUCT(I303:W303,_XtX!$B$96:$P$96)</f>
        <v>42.9499040570176</v>
      </c>
      <c r="Y303" s="0" t="n">
        <f aca="false">SUMPRODUCT(MMULT(I303:W303,_XtX!$B$78:$P$92),I303:W303)</f>
        <v>0.459125719572369</v>
      </c>
      <c r="Z303" s="0" t="n">
        <f aca="false">04_回帰ANOVA!$K$19*04_回帰ANOVA!$K$14*SQRT(1+Y303)</f>
        <v>1.57450755575573</v>
      </c>
      <c r="AA303" s="0" t="n">
        <f aca="false">X303-Z303</f>
        <v>41.3753965012619</v>
      </c>
      <c r="AB303" s="0" t="n">
        <f aca="false">X303+Z303</f>
        <v>44.5244116127733</v>
      </c>
      <c r="AC303" s="54" t="b">
        <f aca="false">AND(E303&gt;=01_因子設定!$L$5-0.000000001,E303&lt;=01_因子設定!$M$5+0.000000001,F303&gt;=01_因子設定!$L$6-0.000000001,F303&lt;=01_因子設定!$M$6+0.000000001,G303&gt;=01_因子設定!$L$7-0.000000001,G303&lt;=01_因子設定!$M$7+0.000000001,H303&gt;=01_因子設定!$L$8-0.000000001,H303&lt;=01_因子設定!$M$8+0.000000001,IF(01_因子設定!$B$20="Box-Behnken",E303^2+F303^2+G303^2+H303^2&lt;=2+0.000000001,TRUE()))</f>
        <v>1</v>
      </c>
      <c r="AD303" s="55" t="n">
        <f aca="false">IF(AC303,IF(01_因子設定!$B$13="最大化",AA303-01_因子設定!$B$14,IF(01_因子設定!$B$13="最小化",01_因子設定!$B$15-AB303,MIN(AA303-01_因子設定!$B$14,01_因子設定!$B$15-AB303))),-1E+030)</f>
        <v>-5.12460349873814</v>
      </c>
      <c r="AE303" s="55" t="n">
        <f aca="false">IF(AC303,IF(01_因子設定!$B$13="最大化",X303,IF(01_因子設定!$B$13="最小化",-X303,-ABS(X303-01_因子設定!$B$16))),-1E+030)</f>
        <v>42.9499040570176</v>
      </c>
      <c r="AF303" s="55" t="n">
        <f aca="false">AD303+ROW()*0.000000001</f>
        <v>-5.12460319573814</v>
      </c>
      <c r="AG303" s="55" t="n">
        <f aca="false">AE303+ROW()*0.000000001</f>
        <v>42.9499043600176</v>
      </c>
    </row>
    <row r="304" customFormat="false" ht="15" hidden="false" customHeight="false" outlineLevel="0" collapsed="false">
      <c r="A304" s="0" t="n">
        <v>0</v>
      </c>
      <c r="B304" s="0" t="n">
        <v>3</v>
      </c>
      <c r="C304" s="0" t="n">
        <v>6</v>
      </c>
      <c r="D304" s="0" t="n">
        <v>2</v>
      </c>
      <c r="E304" s="0" t="n">
        <f aca="false">-1+A304*0.25</f>
        <v>-1</v>
      </c>
      <c r="F304" s="0" t="n">
        <f aca="false">-1+B304*0.25</f>
        <v>-0.25</v>
      </c>
      <c r="G304" s="0" t="n">
        <f aca="false">-1+C304*0.25</f>
        <v>0.5</v>
      </c>
      <c r="H304" s="0" t="n">
        <f aca="false">-1+D304*0.25</f>
        <v>-0.5</v>
      </c>
      <c r="I304" s="0" t="n">
        <f aca="false">1</f>
        <v>1</v>
      </c>
      <c r="J304" s="0" t="n">
        <f aca="false">E304</f>
        <v>-1</v>
      </c>
      <c r="K304" s="0" t="n">
        <f aca="false">F304</f>
        <v>-0.25</v>
      </c>
      <c r="L304" s="0" t="n">
        <f aca="false">G304</f>
        <v>0.5</v>
      </c>
      <c r="M304" s="0" t="n">
        <f aca="false">H304</f>
        <v>-0.5</v>
      </c>
      <c r="N304" s="0" t="n">
        <f aca="false">E304*F304</f>
        <v>0.25</v>
      </c>
      <c r="O304" s="0" t="n">
        <f aca="false">E304*G304</f>
        <v>-0.5</v>
      </c>
      <c r="P304" s="0" t="n">
        <f aca="false">E304*H304</f>
        <v>0.5</v>
      </c>
      <c r="Q304" s="0" t="n">
        <f aca="false">F304*G304</f>
        <v>-0.125</v>
      </c>
      <c r="R304" s="0" t="n">
        <f aca="false">F304*H304</f>
        <v>0.125</v>
      </c>
      <c r="S304" s="0" t="n">
        <f aca="false">G304*H304</f>
        <v>-0.25</v>
      </c>
      <c r="T304" s="0" t="n">
        <f aca="false">E304*E304</f>
        <v>1</v>
      </c>
      <c r="U304" s="0" t="n">
        <f aca="false">F304*F304</f>
        <v>0.0625</v>
      </c>
      <c r="V304" s="0" t="n">
        <f aca="false">G304*G304</f>
        <v>0.25</v>
      </c>
      <c r="W304" s="0" t="n">
        <f aca="false">H304*H304</f>
        <v>0.25</v>
      </c>
      <c r="X304" s="0" t="n">
        <f aca="false">SUMPRODUCT(I304:W304,_XtX!$B$96:$P$96)</f>
        <v>43.1887792397661</v>
      </c>
      <c r="Y304" s="0" t="n">
        <f aca="false">SUMPRODUCT(MMULT(I304:W304,_XtX!$B$78:$P$92),I304:W304)</f>
        <v>0.428122715643275</v>
      </c>
      <c r="Z304" s="0" t="n">
        <f aca="false">04_回帰ANOVA!$K$19*04_回帰ANOVA!$K$14*SQRT(1+Y304)</f>
        <v>1.55769044623229</v>
      </c>
      <c r="AA304" s="0" t="n">
        <f aca="false">X304-Z304</f>
        <v>41.6310887935338</v>
      </c>
      <c r="AB304" s="0" t="n">
        <f aca="false">X304+Z304</f>
        <v>44.7464696859984</v>
      </c>
      <c r="AC304" s="54" t="b">
        <f aca="false">AND(E304&gt;=01_因子設定!$L$5-0.000000001,E304&lt;=01_因子設定!$M$5+0.000000001,F304&gt;=01_因子設定!$L$6-0.000000001,F304&lt;=01_因子設定!$M$6+0.000000001,G304&gt;=01_因子設定!$L$7-0.000000001,G304&lt;=01_因子設定!$M$7+0.000000001,H304&gt;=01_因子設定!$L$8-0.000000001,H304&lt;=01_因子設定!$M$8+0.000000001,IF(01_因子設定!$B$20="Box-Behnken",E304^2+F304^2+G304^2+H304^2&lt;=2+0.000000001,TRUE()))</f>
        <v>1</v>
      </c>
      <c r="AD304" s="55" t="n">
        <f aca="false">IF(AC304,IF(01_因子設定!$B$13="最大化",AA304-01_因子設定!$B$14,IF(01_因子設定!$B$13="最小化",01_因子設定!$B$15-AB304,MIN(AA304-01_因子設定!$B$14,01_因子設定!$B$15-AB304))),-1E+030)</f>
        <v>-4.86891120646617</v>
      </c>
      <c r="AE304" s="55" t="n">
        <f aca="false">IF(AC304,IF(01_因子設定!$B$13="最大化",X304,IF(01_因子設定!$B$13="最小化",-X304,-ABS(X304-01_因子設定!$B$16))),-1E+030)</f>
        <v>43.1887792397661</v>
      </c>
      <c r="AF304" s="55" t="n">
        <f aca="false">AD304+ROW()*0.000000001</f>
        <v>-4.86891090246617</v>
      </c>
      <c r="AG304" s="55" t="n">
        <f aca="false">AE304+ROW()*0.000000001</f>
        <v>43.1887795437661</v>
      </c>
    </row>
    <row r="305" customFormat="false" ht="15" hidden="false" customHeight="false" outlineLevel="0" collapsed="false">
      <c r="A305" s="0" t="n">
        <v>0</v>
      </c>
      <c r="B305" s="0" t="n">
        <v>3</v>
      </c>
      <c r="C305" s="0" t="n">
        <v>6</v>
      </c>
      <c r="D305" s="0" t="n">
        <v>3</v>
      </c>
      <c r="E305" s="0" t="n">
        <f aca="false">-1+A305*0.25</f>
        <v>-1</v>
      </c>
      <c r="F305" s="0" t="n">
        <f aca="false">-1+B305*0.25</f>
        <v>-0.25</v>
      </c>
      <c r="G305" s="0" t="n">
        <f aca="false">-1+C305*0.25</f>
        <v>0.5</v>
      </c>
      <c r="H305" s="0" t="n">
        <f aca="false">-1+D305*0.25</f>
        <v>-0.25</v>
      </c>
      <c r="I305" s="0" t="n">
        <f aca="false">1</f>
        <v>1</v>
      </c>
      <c r="J305" s="0" t="n">
        <f aca="false">E305</f>
        <v>-1</v>
      </c>
      <c r="K305" s="0" t="n">
        <f aca="false">F305</f>
        <v>-0.25</v>
      </c>
      <c r="L305" s="0" t="n">
        <f aca="false">G305</f>
        <v>0.5</v>
      </c>
      <c r="M305" s="0" t="n">
        <f aca="false">H305</f>
        <v>-0.25</v>
      </c>
      <c r="N305" s="0" t="n">
        <f aca="false">E305*F305</f>
        <v>0.25</v>
      </c>
      <c r="O305" s="0" t="n">
        <f aca="false">E305*G305</f>
        <v>-0.5</v>
      </c>
      <c r="P305" s="0" t="n">
        <f aca="false">E305*H305</f>
        <v>0.25</v>
      </c>
      <c r="Q305" s="0" t="n">
        <f aca="false">F305*G305</f>
        <v>-0.125</v>
      </c>
      <c r="R305" s="0" t="n">
        <f aca="false">F305*H305</f>
        <v>0.0625</v>
      </c>
      <c r="S305" s="0" t="n">
        <f aca="false">G305*H305</f>
        <v>-0.125</v>
      </c>
      <c r="T305" s="0" t="n">
        <f aca="false">E305*E305</f>
        <v>1</v>
      </c>
      <c r="U305" s="0" t="n">
        <f aca="false">F305*F305</f>
        <v>0.0625</v>
      </c>
      <c r="V305" s="0" t="n">
        <f aca="false">G305*G305</f>
        <v>0.25</v>
      </c>
      <c r="W305" s="0" t="n">
        <f aca="false">H305*H305</f>
        <v>0.0625</v>
      </c>
      <c r="X305" s="0" t="n">
        <f aca="false">SUMPRODUCT(I305:W305,_XtX!$B$96:$P$96)</f>
        <v>43.3798474049708</v>
      </c>
      <c r="Y305" s="0" t="n">
        <f aca="false">SUMPRODUCT(MMULT(I305:W305,_XtX!$B$78:$P$92),I305:W305)</f>
        <v>0.445705123812135</v>
      </c>
      <c r="Z305" s="0" t="n">
        <f aca="false">04_回帰ANOVA!$K$19*04_回帰ANOVA!$K$14*SQRT(1+Y305)</f>
        <v>1.56724990734749</v>
      </c>
      <c r="AA305" s="0" t="n">
        <f aca="false">X305-Z305</f>
        <v>41.8125974976233</v>
      </c>
      <c r="AB305" s="0" t="n">
        <f aca="false">X305+Z305</f>
        <v>44.9470973123183</v>
      </c>
      <c r="AC305" s="54" t="b">
        <f aca="false">AND(E305&gt;=01_因子設定!$L$5-0.000000001,E305&lt;=01_因子設定!$M$5+0.000000001,F305&gt;=01_因子設定!$L$6-0.000000001,F305&lt;=01_因子設定!$M$6+0.000000001,G305&gt;=01_因子設定!$L$7-0.000000001,G305&lt;=01_因子設定!$M$7+0.000000001,H305&gt;=01_因子設定!$L$8-0.000000001,H305&lt;=01_因子設定!$M$8+0.000000001,IF(01_因子設定!$B$20="Box-Behnken",E305^2+F305^2+G305^2+H305^2&lt;=2+0.000000001,TRUE()))</f>
        <v>1</v>
      </c>
      <c r="AD305" s="55" t="n">
        <f aca="false">IF(AC305,IF(01_因子設定!$B$13="最大化",AA305-01_因子設定!$B$14,IF(01_因子設定!$B$13="最小化",01_因子設定!$B$15-AB305,MIN(AA305-01_因子設定!$B$14,01_因子設定!$B$15-AB305))),-1E+030)</f>
        <v>-4.6874025023767</v>
      </c>
      <c r="AE305" s="55" t="n">
        <f aca="false">IF(AC305,IF(01_因子設定!$B$13="最大化",X305,IF(01_因子設定!$B$13="最小化",-X305,-ABS(X305-01_因子設定!$B$16))),-1E+030)</f>
        <v>43.3798474049708</v>
      </c>
      <c r="AF305" s="55" t="n">
        <f aca="false">AD305+ROW()*0.000000001</f>
        <v>-4.6874021973767</v>
      </c>
      <c r="AG305" s="55" t="n">
        <f aca="false">AE305+ROW()*0.000000001</f>
        <v>43.3798477099708</v>
      </c>
    </row>
    <row r="306" customFormat="false" ht="15" hidden="false" customHeight="false" outlineLevel="0" collapsed="false">
      <c r="A306" s="0" t="n">
        <v>0</v>
      </c>
      <c r="B306" s="0" t="n">
        <v>3</v>
      </c>
      <c r="C306" s="0" t="n">
        <v>6</v>
      </c>
      <c r="D306" s="0" t="n">
        <v>4</v>
      </c>
      <c r="E306" s="0" t="n">
        <f aca="false">-1+A306*0.25</f>
        <v>-1</v>
      </c>
      <c r="F306" s="0" t="n">
        <f aca="false">-1+B306*0.25</f>
        <v>-0.25</v>
      </c>
      <c r="G306" s="0" t="n">
        <f aca="false">-1+C306*0.25</f>
        <v>0.5</v>
      </c>
      <c r="H306" s="0" t="n">
        <f aca="false">-1+D306*0.25</f>
        <v>0</v>
      </c>
      <c r="I306" s="0" t="n">
        <f aca="false">1</f>
        <v>1</v>
      </c>
      <c r="J306" s="0" t="n">
        <f aca="false">E306</f>
        <v>-1</v>
      </c>
      <c r="K306" s="0" t="n">
        <f aca="false">F306</f>
        <v>-0.25</v>
      </c>
      <c r="L306" s="0" t="n">
        <f aca="false">G306</f>
        <v>0.5</v>
      </c>
      <c r="M306" s="0" t="n">
        <f aca="false">H306</f>
        <v>0</v>
      </c>
      <c r="N306" s="0" t="n">
        <f aca="false">E306*F306</f>
        <v>0.25</v>
      </c>
      <c r="O306" s="0" t="n">
        <f aca="false">E306*G306</f>
        <v>-0.5</v>
      </c>
      <c r="P306" s="0" t="n">
        <f aca="false">E306*H306</f>
        <v>-0</v>
      </c>
      <c r="Q306" s="0" t="n">
        <f aca="false">F306*G306</f>
        <v>-0.125</v>
      </c>
      <c r="R306" s="0" t="n">
        <f aca="false">F306*H306</f>
        <v>-0</v>
      </c>
      <c r="S306" s="0" t="n">
        <f aca="false">G306*H306</f>
        <v>0</v>
      </c>
      <c r="T306" s="0" t="n">
        <f aca="false">E306*E306</f>
        <v>1</v>
      </c>
      <c r="U306" s="0" t="n">
        <f aca="false">F306*F306</f>
        <v>0.0625</v>
      </c>
      <c r="V306" s="0" t="n">
        <f aca="false">G306*G306</f>
        <v>0.25</v>
      </c>
      <c r="W306" s="0" t="n">
        <f aca="false">H306*H306</f>
        <v>0</v>
      </c>
      <c r="X306" s="0" t="n">
        <f aca="false">SUMPRODUCT(I306:W306,_XtX!$B$96:$P$96)</f>
        <v>43.5231085526316</v>
      </c>
      <c r="Y306" s="0" t="n">
        <f aca="false">SUMPRODUCT(MMULT(I306:W306,_XtX!$B$78:$P$92),I306:W306)</f>
        <v>0.457596628289474</v>
      </c>
      <c r="Z306" s="0" t="n">
        <f aca="false">04_回帰ANOVA!$K$19*04_回帰ANOVA!$K$14*SQRT(1+Y306)</f>
        <v>1.57368233664366</v>
      </c>
      <c r="AA306" s="0" t="n">
        <f aca="false">X306-Z306</f>
        <v>41.949426215988</v>
      </c>
      <c r="AB306" s="0" t="n">
        <f aca="false">X306+Z306</f>
        <v>45.0967908892753</v>
      </c>
      <c r="AC306" s="54" t="b">
        <f aca="false">AND(E306&gt;=01_因子設定!$L$5-0.000000001,E306&lt;=01_因子設定!$M$5+0.000000001,F306&gt;=01_因子設定!$L$6-0.000000001,F306&lt;=01_因子設定!$M$6+0.000000001,G306&gt;=01_因子設定!$L$7-0.000000001,G306&lt;=01_因子設定!$M$7+0.000000001,H306&gt;=01_因子設定!$L$8-0.000000001,H306&lt;=01_因子設定!$M$8+0.000000001,IF(01_因子設定!$B$20="Box-Behnken",E306^2+F306^2+G306^2+H306^2&lt;=2+0.000000001,TRUE()))</f>
        <v>1</v>
      </c>
      <c r="AD306" s="55" t="n">
        <f aca="false">IF(AC306,IF(01_因子設定!$B$13="最大化",AA306-01_因子設定!$B$14,IF(01_因子設定!$B$13="最小化",01_因子設定!$B$15-AB306,MIN(AA306-01_因子設定!$B$14,01_因子設定!$B$15-AB306))),-1E+030)</f>
        <v>-4.55057378401205</v>
      </c>
      <c r="AE306" s="55" t="n">
        <f aca="false">IF(AC306,IF(01_因子設定!$B$13="最大化",X306,IF(01_因子設定!$B$13="最小化",-X306,-ABS(X306-01_因子設定!$B$16))),-1E+030)</f>
        <v>43.5231085526316</v>
      </c>
      <c r="AF306" s="55" t="n">
        <f aca="false">AD306+ROW()*0.000000001</f>
        <v>-4.55057347801205</v>
      </c>
      <c r="AG306" s="55" t="n">
        <f aca="false">AE306+ROW()*0.000000001</f>
        <v>43.5231088586316</v>
      </c>
    </row>
    <row r="307" customFormat="false" ht="15" hidden="false" customHeight="false" outlineLevel="0" collapsed="false">
      <c r="A307" s="0" t="n">
        <v>0</v>
      </c>
      <c r="B307" s="0" t="n">
        <v>3</v>
      </c>
      <c r="C307" s="0" t="n">
        <v>6</v>
      </c>
      <c r="D307" s="0" t="n">
        <v>5</v>
      </c>
      <c r="E307" s="0" t="n">
        <f aca="false">-1+A307*0.25</f>
        <v>-1</v>
      </c>
      <c r="F307" s="0" t="n">
        <f aca="false">-1+B307*0.25</f>
        <v>-0.25</v>
      </c>
      <c r="G307" s="0" t="n">
        <f aca="false">-1+C307*0.25</f>
        <v>0.5</v>
      </c>
      <c r="H307" s="0" t="n">
        <f aca="false">-1+D307*0.25</f>
        <v>0.25</v>
      </c>
      <c r="I307" s="0" t="n">
        <f aca="false">1</f>
        <v>1</v>
      </c>
      <c r="J307" s="0" t="n">
        <f aca="false">E307</f>
        <v>-1</v>
      </c>
      <c r="K307" s="0" t="n">
        <f aca="false">F307</f>
        <v>-0.25</v>
      </c>
      <c r="L307" s="0" t="n">
        <f aca="false">G307</f>
        <v>0.5</v>
      </c>
      <c r="M307" s="0" t="n">
        <f aca="false">H307</f>
        <v>0.25</v>
      </c>
      <c r="N307" s="0" t="n">
        <f aca="false">E307*F307</f>
        <v>0.25</v>
      </c>
      <c r="O307" s="0" t="n">
        <f aca="false">E307*G307</f>
        <v>-0.5</v>
      </c>
      <c r="P307" s="0" t="n">
        <f aca="false">E307*H307</f>
        <v>-0.25</v>
      </c>
      <c r="Q307" s="0" t="n">
        <f aca="false">F307*G307</f>
        <v>-0.125</v>
      </c>
      <c r="R307" s="0" t="n">
        <f aca="false">F307*H307</f>
        <v>-0.0625</v>
      </c>
      <c r="S307" s="0" t="n">
        <f aca="false">G307*H307</f>
        <v>0.125</v>
      </c>
      <c r="T307" s="0" t="n">
        <f aca="false">E307*E307</f>
        <v>1</v>
      </c>
      <c r="U307" s="0" t="n">
        <f aca="false">F307*F307</f>
        <v>0.0625</v>
      </c>
      <c r="V307" s="0" t="n">
        <f aca="false">G307*G307</f>
        <v>0.25</v>
      </c>
      <c r="W307" s="0" t="n">
        <f aca="false">H307*H307</f>
        <v>0.0625</v>
      </c>
      <c r="X307" s="0" t="n">
        <f aca="false">SUMPRODUCT(I307:W307,_XtX!$B$96:$P$96)</f>
        <v>43.6185626827486</v>
      </c>
      <c r="Y307" s="0" t="n">
        <f aca="false">SUMPRODUCT(MMULT(I307:W307,_XtX!$B$78:$P$92),I307:W307)</f>
        <v>0.445705123812135</v>
      </c>
      <c r="Z307" s="0" t="n">
        <f aca="false">04_回帰ANOVA!$K$19*04_回帰ANOVA!$K$14*SQRT(1+Y307)</f>
        <v>1.56724990734749</v>
      </c>
      <c r="AA307" s="0" t="n">
        <f aca="false">X307-Z307</f>
        <v>42.0513127754011</v>
      </c>
      <c r="AB307" s="0" t="n">
        <f aca="false">X307+Z307</f>
        <v>45.1858125900961</v>
      </c>
      <c r="AC307" s="54" t="b">
        <f aca="false">AND(E307&gt;=01_因子設定!$L$5-0.000000001,E307&lt;=01_因子設定!$M$5+0.000000001,F307&gt;=01_因子設定!$L$6-0.000000001,F307&lt;=01_因子設定!$M$6+0.000000001,G307&gt;=01_因子設定!$L$7-0.000000001,G307&lt;=01_因子設定!$M$7+0.000000001,H307&gt;=01_因子設定!$L$8-0.000000001,H307&lt;=01_因子設定!$M$8+0.000000001,IF(01_因子設定!$B$20="Box-Behnken",E307^2+F307^2+G307^2+H307^2&lt;=2+0.000000001,TRUE()))</f>
        <v>1</v>
      </c>
      <c r="AD307" s="55" t="n">
        <f aca="false">IF(AC307,IF(01_因子設定!$B$13="最大化",AA307-01_因子設定!$B$14,IF(01_因子設定!$B$13="最小化",01_因子設定!$B$15-AB307,MIN(AA307-01_因子設定!$B$14,01_因子設定!$B$15-AB307))),-1E+030)</f>
        <v>-4.44868722459892</v>
      </c>
      <c r="AE307" s="55" t="n">
        <f aca="false">IF(AC307,IF(01_因子設定!$B$13="最大化",X307,IF(01_因子設定!$B$13="最小化",-X307,-ABS(X307-01_因子設定!$B$16))),-1E+030)</f>
        <v>43.6185626827486</v>
      </c>
      <c r="AF307" s="55" t="n">
        <f aca="false">AD307+ROW()*0.000000001</f>
        <v>-4.44868691759892</v>
      </c>
      <c r="AG307" s="55" t="n">
        <f aca="false">AE307+ROW()*0.000000001</f>
        <v>43.6185629897486</v>
      </c>
    </row>
    <row r="308" customFormat="false" ht="15" hidden="false" customHeight="false" outlineLevel="0" collapsed="false">
      <c r="A308" s="0" t="n">
        <v>0</v>
      </c>
      <c r="B308" s="0" t="n">
        <v>3</v>
      </c>
      <c r="C308" s="0" t="n">
        <v>6</v>
      </c>
      <c r="D308" s="0" t="n">
        <v>6</v>
      </c>
      <c r="E308" s="0" t="n">
        <f aca="false">-1+A308*0.25</f>
        <v>-1</v>
      </c>
      <c r="F308" s="0" t="n">
        <f aca="false">-1+B308*0.25</f>
        <v>-0.25</v>
      </c>
      <c r="G308" s="0" t="n">
        <f aca="false">-1+C308*0.25</f>
        <v>0.5</v>
      </c>
      <c r="H308" s="0" t="n">
        <f aca="false">-1+D308*0.25</f>
        <v>0.5</v>
      </c>
      <c r="I308" s="0" t="n">
        <f aca="false">1</f>
        <v>1</v>
      </c>
      <c r="J308" s="0" t="n">
        <f aca="false">E308</f>
        <v>-1</v>
      </c>
      <c r="K308" s="0" t="n">
        <f aca="false">F308</f>
        <v>-0.25</v>
      </c>
      <c r="L308" s="0" t="n">
        <f aca="false">G308</f>
        <v>0.5</v>
      </c>
      <c r="M308" s="0" t="n">
        <f aca="false">H308</f>
        <v>0.5</v>
      </c>
      <c r="N308" s="0" t="n">
        <f aca="false">E308*F308</f>
        <v>0.25</v>
      </c>
      <c r="O308" s="0" t="n">
        <f aca="false">E308*G308</f>
        <v>-0.5</v>
      </c>
      <c r="P308" s="0" t="n">
        <f aca="false">E308*H308</f>
        <v>-0.5</v>
      </c>
      <c r="Q308" s="0" t="n">
        <f aca="false">F308*G308</f>
        <v>-0.125</v>
      </c>
      <c r="R308" s="0" t="n">
        <f aca="false">F308*H308</f>
        <v>-0.125</v>
      </c>
      <c r="S308" s="0" t="n">
        <f aca="false">G308*H308</f>
        <v>0.25</v>
      </c>
      <c r="T308" s="0" t="n">
        <f aca="false">E308*E308</f>
        <v>1</v>
      </c>
      <c r="U308" s="0" t="n">
        <f aca="false">F308*F308</f>
        <v>0.0625</v>
      </c>
      <c r="V308" s="0" t="n">
        <f aca="false">G308*G308</f>
        <v>0.25</v>
      </c>
      <c r="W308" s="0" t="n">
        <f aca="false">H308*H308</f>
        <v>0.25</v>
      </c>
      <c r="X308" s="0" t="n">
        <f aca="false">SUMPRODUCT(I308:W308,_XtX!$B$96:$P$96)</f>
        <v>43.6662097953217</v>
      </c>
      <c r="Y308" s="0" t="n">
        <f aca="false">SUMPRODUCT(MMULT(I308:W308,_XtX!$B$78:$P$92),I308:W308)</f>
        <v>0.428122715643275</v>
      </c>
      <c r="Z308" s="0" t="n">
        <f aca="false">04_回帰ANOVA!$K$19*04_回帰ANOVA!$K$14*SQRT(1+Y308)</f>
        <v>1.55769044623229</v>
      </c>
      <c r="AA308" s="0" t="n">
        <f aca="false">X308-Z308</f>
        <v>42.1085193490894</v>
      </c>
      <c r="AB308" s="0" t="n">
        <f aca="false">X308+Z308</f>
        <v>45.223900241554</v>
      </c>
      <c r="AC308" s="54" t="b">
        <f aca="false">AND(E308&gt;=01_因子設定!$L$5-0.000000001,E308&lt;=01_因子設定!$M$5+0.000000001,F308&gt;=01_因子設定!$L$6-0.000000001,F308&lt;=01_因子設定!$M$6+0.000000001,G308&gt;=01_因子設定!$L$7-0.000000001,G308&lt;=01_因子設定!$M$7+0.000000001,H308&gt;=01_因子設定!$L$8-0.000000001,H308&lt;=01_因子設定!$M$8+0.000000001,IF(01_因子設定!$B$20="Box-Behnken",E308^2+F308^2+G308^2+H308^2&lt;=2+0.000000001,TRUE()))</f>
        <v>1</v>
      </c>
      <c r="AD308" s="55" t="n">
        <f aca="false">IF(AC308,IF(01_因子設定!$B$13="最大化",AA308-01_因子設定!$B$14,IF(01_因子設定!$B$13="最小化",01_因子設定!$B$15-AB308,MIN(AA308-01_因子設定!$B$14,01_因子設定!$B$15-AB308))),-1E+030)</f>
        <v>-4.39148065091062</v>
      </c>
      <c r="AE308" s="55" t="n">
        <f aca="false">IF(AC308,IF(01_因子設定!$B$13="最大化",X308,IF(01_因子設定!$B$13="最小化",-X308,-ABS(X308-01_因子設定!$B$16))),-1E+030)</f>
        <v>43.6662097953217</v>
      </c>
      <c r="AF308" s="55" t="n">
        <f aca="false">AD308+ROW()*0.000000001</f>
        <v>-4.39148034291062</v>
      </c>
      <c r="AG308" s="55" t="n">
        <f aca="false">AE308+ROW()*0.000000001</f>
        <v>43.6662101033217</v>
      </c>
    </row>
    <row r="309" customFormat="false" ht="15" hidden="false" customHeight="false" outlineLevel="0" collapsed="false">
      <c r="A309" s="0" t="n">
        <v>0</v>
      </c>
      <c r="B309" s="0" t="n">
        <v>3</v>
      </c>
      <c r="C309" s="0" t="n">
        <v>6</v>
      </c>
      <c r="D309" s="0" t="n">
        <v>7</v>
      </c>
      <c r="E309" s="0" t="n">
        <f aca="false">-1+A309*0.25</f>
        <v>-1</v>
      </c>
      <c r="F309" s="0" t="n">
        <f aca="false">-1+B309*0.25</f>
        <v>-0.25</v>
      </c>
      <c r="G309" s="0" t="n">
        <f aca="false">-1+C309*0.25</f>
        <v>0.5</v>
      </c>
      <c r="H309" s="0" t="n">
        <f aca="false">-1+D309*0.25</f>
        <v>0.75</v>
      </c>
      <c r="I309" s="0" t="n">
        <f aca="false">1</f>
        <v>1</v>
      </c>
      <c r="J309" s="0" t="n">
        <f aca="false">E309</f>
        <v>-1</v>
      </c>
      <c r="K309" s="0" t="n">
        <f aca="false">F309</f>
        <v>-0.25</v>
      </c>
      <c r="L309" s="0" t="n">
        <f aca="false">G309</f>
        <v>0.5</v>
      </c>
      <c r="M309" s="0" t="n">
        <f aca="false">H309</f>
        <v>0.75</v>
      </c>
      <c r="N309" s="0" t="n">
        <f aca="false">E309*F309</f>
        <v>0.25</v>
      </c>
      <c r="O309" s="0" t="n">
        <f aca="false">E309*G309</f>
        <v>-0.5</v>
      </c>
      <c r="P309" s="0" t="n">
        <f aca="false">E309*H309</f>
        <v>-0.75</v>
      </c>
      <c r="Q309" s="0" t="n">
        <f aca="false">F309*G309</f>
        <v>-0.125</v>
      </c>
      <c r="R309" s="0" t="n">
        <f aca="false">F309*H309</f>
        <v>-0.1875</v>
      </c>
      <c r="S309" s="0" t="n">
        <f aca="false">G309*H309</f>
        <v>0.375</v>
      </c>
      <c r="T309" s="0" t="n">
        <f aca="false">E309*E309</f>
        <v>1</v>
      </c>
      <c r="U309" s="0" t="n">
        <f aca="false">F309*F309</f>
        <v>0.0625</v>
      </c>
      <c r="V309" s="0" t="n">
        <f aca="false">G309*G309</f>
        <v>0.25</v>
      </c>
      <c r="W309" s="0" t="n">
        <f aca="false">H309*H309</f>
        <v>0.5625</v>
      </c>
      <c r="X309" s="0" t="n">
        <f aca="false">SUMPRODUCT(I309:W309,_XtX!$B$96:$P$96)</f>
        <v>43.6660498903509</v>
      </c>
      <c r="Y309" s="0" t="n">
        <f aca="false">SUMPRODUCT(MMULT(I309:W309,_XtX!$B$78:$P$92),I309:W309)</f>
        <v>0.459125719572369</v>
      </c>
      <c r="Z309" s="0" t="n">
        <f aca="false">04_回帰ANOVA!$K$19*04_回帰ANOVA!$K$14*SQRT(1+Y309)</f>
        <v>1.57450755575573</v>
      </c>
      <c r="AA309" s="0" t="n">
        <f aca="false">X309-Z309</f>
        <v>42.0915423345952</v>
      </c>
      <c r="AB309" s="0" t="n">
        <f aca="false">X309+Z309</f>
        <v>45.2405574461067</v>
      </c>
      <c r="AC309" s="54" t="b">
        <f aca="false">AND(E309&gt;=01_因子設定!$L$5-0.000000001,E309&lt;=01_因子設定!$M$5+0.000000001,F309&gt;=01_因子設定!$L$6-0.000000001,F309&lt;=01_因子設定!$M$6+0.000000001,G309&gt;=01_因子設定!$L$7-0.000000001,G309&lt;=01_因子設定!$M$7+0.000000001,H309&gt;=01_因子設定!$L$8-0.000000001,H309&lt;=01_因子設定!$M$8+0.000000001,IF(01_因子設定!$B$20="Box-Behnken",E309^2+F309^2+G309^2+H309^2&lt;=2+0.000000001,TRUE()))</f>
        <v>1</v>
      </c>
      <c r="AD309" s="55" t="n">
        <f aca="false">IF(AC309,IF(01_因子設定!$B$13="最大化",AA309-01_因子設定!$B$14,IF(01_因子設定!$B$13="最小化",01_因子設定!$B$15-AB309,MIN(AA309-01_因子設定!$B$14,01_因子設定!$B$15-AB309))),-1E+030)</f>
        <v>-4.4084576654048</v>
      </c>
      <c r="AE309" s="55" t="n">
        <f aca="false">IF(AC309,IF(01_因子設定!$B$13="最大化",X309,IF(01_因子設定!$B$13="最小化",-X309,-ABS(X309-01_因子設定!$B$16))),-1E+030)</f>
        <v>43.6660498903509</v>
      </c>
      <c r="AF309" s="55" t="n">
        <f aca="false">AD309+ROW()*0.000000001</f>
        <v>-4.4084573564048</v>
      </c>
      <c r="AG309" s="55" t="n">
        <f aca="false">AE309+ROW()*0.000000001</f>
        <v>43.6660501993509</v>
      </c>
    </row>
    <row r="310" customFormat="false" ht="15" hidden="false" customHeight="false" outlineLevel="0" collapsed="false">
      <c r="A310" s="0" t="n">
        <v>0</v>
      </c>
      <c r="B310" s="0" t="n">
        <v>3</v>
      </c>
      <c r="C310" s="0" t="n">
        <v>6</v>
      </c>
      <c r="D310" s="0" t="n">
        <v>8</v>
      </c>
      <c r="E310" s="0" t="n">
        <f aca="false">-1+A310*0.25</f>
        <v>-1</v>
      </c>
      <c r="F310" s="0" t="n">
        <f aca="false">-1+B310*0.25</f>
        <v>-0.25</v>
      </c>
      <c r="G310" s="0" t="n">
        <f aca="false">-1+C310*0.25</f>
        <v>0.5</v>
      </c>
      <c r="H310" s="0" t="n">
        <f aca="false">-1+D310*0.25</f>
        <v>1</v>
      </c>
      <c r="I310" s="0" t="n">
        <f aca="false">1</f>
        <v>1</v>
      </c>
      <c r="J310" s="0" t="n">
        <f aca="false">E310</f>
        <v>-1</v>
      </c>
      <c r="K310" s="0" t="n">
        <f aca="false">F310</f>
        <v>-0.25</v>
      </c>
      <c r="L310" s="0" t="n">
        <f aca="false">G310</f>
        <v>0.5</v>
      </c>
      <c r="M310" s="0" t="n">
        <f aca="false">H310</f>
        <v>1</v>
      </c>
      <c r="N310" s="0" t="n">
        <f aca="false">E310*F310</f>
        <v>0.25</v>
      </c>
      <c r="O310" s="0" t="n">
        <f aca="false">E310*G310</f>
        <v>-0.5</v>
      </c>
      <c r="P310" s="0" t="n">
        <f aca="false">E310*H310</f>
        <v>-1</v>
      </c>
      <c r="Q310" s="0" t="n">
        <f aca="false">F310*G310</f>
        <v>-0.125</v>
      </c>
      <c r="R310" s="0" t="n">
        <f aca="false">F310*H310</f>
        <v>-0.25</v>
      </c>
      <c r="S310" s="0" t="n">
        <f aca="false">G310*H310</f>
        <v>0.5</v>
      </c>
      <c r="T310" s="0" t="n">
        <f aca="false">E310*E310</f>
        <v>1</v>
      </c>
      <c r="U310" s="0" t="n">
        <f aca="false">F310*F310</f>
        <v>0.0625</v>
      </c>
      <c r="V310" s="0" t="n">
        <f aca="false">G310*G310</f>
        <v>0.25</v>
      </c>
      <c r="W310" s="0" t="n">
        <f aca="false">H310*H310</f>
        <v>1</v>
      </c>
      <c r="X310" s="0" t="n">
        <f aca="false">SUMPRODUCT(I310:W310,_XtX!$B$96:$P$96)</f>
        <v>43.6180829678363</v>
      </c>
      <c r="Y310" s="0" t="n">
        <f aca="false">SUMPRODUCT(MMULT(I310:W310,_XtX!$B$78:$P$92),I310:W310)</f>
        <v>0.629174661915205</v>
      </c>
      <c r="Z310" s="0" t="n">
        <f aca="false">04_回帰ANOVA!$K$19*04_回帰ANOVA!$K$14*SQRT(1+Y310)</f>
        <v>1.66372758058297</v>
      </c>
      <c r="AA310" s="0" t="n">
        <f aca="false">X310-Z310</f>
        <v>41.9543553872534</v>
      </c>
      <c r="AB310" s="0" t="n">
        <f aca="false">X310+Z310</f>
        <v>45.2818105484193</v>
      </c>
      <c r="AC310" s="54" t="b">
        <f aca="false">AND(E310&gt;=01_因子設定!$L$5-0.000000001,E310&lt;=01_因子設定!$M$5+0.000000001,F310&gt;=01_因子設定!$L$6-0.000000001,F310&lt;=01_因子設定!$M$6+0.000000001,G310&gt;=01_因子設定!$L$7-0.000000001,G310&lt;=01_因子設定!$M$7+0.000000001,H310&gt;=01_因子設定!$L$8-0.000000001,H310&lt;=01_因子設定!$M$8+0.000000001,IF(01_因子設定!$B$20="Box-Behnken",E310^2+F310^2+G310^2+H310^2&lt;=2+0.000000001,TRUE()))</f>
        <v>1</v>
      </c>
      <c r="AD310" s="55" t="n">
        <f aca="false">IF(AC310,IF(01_因子設定!$B$13="最大化",AA310-01_因子設定!$B$14,IF(01_因子設定!$B$13="最小化",01_因子設定!$B$15-AB310,MIN(AA310-01_因子設定!$B$14,01_因子設定!$B$15-AB310))),-1E+030)</f>
        <v>-4.54564461274665</v>
      </c>
      <c r="AE310" s="55" t="n">
        <f aca="false">IF(AC310,IF(01_因子設定!$B$13="最大化",X310,IF(01_因子設定!$B$13="最小化",-X310,-ABS(X310-01_因子設定!$B$16))),-1E+030)</f>
        <v>43.6180829678363</v>
      </c>
      <c r="AF310" s="55" t="n">
        <f aca="false">AD310+ROW()*0.000000001</f>
        <v>-4.54564430274665</v>
      </c>
      <c r="AG310" s="55" t="n">
        <f aca="false">AE310+ROW()*0.000000001</f>
        <v>43.6180832778363</v>
      </c>
    </row>
    <row r="311" customFormat="false" ht="15" hidden="false" customHeight="false" outlineLevel="0" collapsed="false">
      <c r="A311" s="0" t="n">
        <v>0</v>
      </c>
      <c r="B311" s="0" t="n">
        <v>3</v>
      </c>
      <c r="C311" s="0" t="n">
        <v>7</v>
      </c>
      <c r="D311" s="0" t="n">
        <v>0</v>
      </c>
      <c r="E311" s="0" t="n">
        <f aca="false">-1+A311*0.25</f>
        <v>-1</v>
      </c>
      <c r="F311" s="0" t="n">
        <f aca="false">-1+B311*0.25</f>
        <v>-0.25</v>
      </c>
      <c r="G311" s="0" t="n">
        <f aca="false">-1+C311*0.25</f>
        <v>0.75</v>
      </c>
      <c r="H311" s="0" t="n">
        <f aca="false">-1+D311*0.25</f>
        <v>-1</v>
      </c>
      <c r="I311" s="0" t="n">
        <f aca="false">1</f>
        <v>1</v>
      </c>
      <c r="J311" s="0" t="n">
        <f aca="false">E311</f>
        <v>-1</v>
      </c>
      <c r="K311" s="0" t="n">
        <f aca="false">F311</f>
        <v>-0.25</v>
      </c>
      <c r="L311" s="0" t="n">
        <f aca="false">G311</f>
        <v>0.75</v>
      </c>
      <c r="M311" s="0" t="n">
        <f aca="false">H311</f>
        <v>-1</v>
      </c>
      <c r="N311" s="0" t="n">
        <f aca="false">E311*F311</f>
        <v>0.25</v>
      </c>
      <c r="O311" s="0" t="n">
        <f aca="false">E311*G311</f>
        <v>-0.75</v>
      </c>
      <c r="P311" s="0" t="n">
        <f aca="false">E311*H311</f>
        <v>1</v>
      </c>
      <c r="Q311" s="0" t="n">
        <f aca="false">F311*G311</f>
        <v>-0.1875</v>
      </c>
      <c r="R311" s="0" t="n">
        <f aca="false">F311*H311</f>
        <v>0.25</v>
      </c>
      <c r="S311" s="0" t="n">
        <f aca="false">G311*H311</f>
        <v>-0.75</v>
      </c>
      <c r="T311" s="0" t="n">
        <f aca="false">E311*E311</f>
        <v>1</v>
      </c>
      <c r="U311" s="0" t="n">
        <f aca="false">F311*F311</f>
        <v>0.0625</v>
      </c>
      <c r="V311" s="0" t="n">
        <f aca="false">G311*G311</f>
        <v>0.5625</v>
      </c>
      <c r="W311" s="0" t="n">
        <f aca="false">H311*H311</f>
        <v>1</v>
      </c>
      <c r="X311" s="0" t="n">
        <f aca="false">SUMPRODUCT(I311:W311,_XtX!$B$96:$P$96)</f>
        <v>42.7668813961989</v>
      </c>
      <c r="Y311" s="0" t="n">
        <f aca="false">SUMPRODUCT(MMULT(I311:W311,_XtX!$B$78:$P$92),I311:W311)</f>
        <v>0.621372155975877</v>
      </c>
      <c r="Z311" s="0" t="n">
        <f aca="false">04_回帰ANOVA!$K$19*04_回帰ANOVA!$K$14*SQRT(1+Y311)</f>
        <v>1.65973880499872</v>
      </c>
      <c r="AA311" s="0" t="n">
        <f aca="false">X311-Z311</f>
        <v>41.1071425912002</v>
      </c>
      <c r="AB311" s="0" t="n">
        <f aca="false">X311+Z311</f>
        <v>44.4266202011976</v>
      </c>
      <c r="AC311" s="54" t="b">
        <f aca="false">AND(E311&gt;=01_因子設定!$L$5-0.000000001,E311&lt;=01_因子設定!$M$5+0.000000001,F311&gt;=01_因子設定!$L$6-0.000000001,F311&lt;=01_因子設定!$M$6+0.000000001,G311&gt;=01_因子設定!$L$7-0.000000001,G311&lt;=01_因子設定!$M$7+0.000000001,H311&gt;=01_因子設定!$L$8-0.000000001,H311&lt;=01_因子設定!$M$8+0.000000001,IF(01_因子設定!$B$20="Box-Behnken",E311^2+F311^2+G311^2+H311^2&lt;=2+0.000000001,TRUE()))</f>
        <v>1</v>
      </c>
      <c r="AD311" s="55" t="n">
        <f aca="false">IF(AC311,IF(01_因子設定!$B$13="最大化",AA311-01_因子設定!$B$14,IF(01_因子設定!$B$13="最小化",01_因子設定!$B$15-AB311,MIN(AA311-01_因子設定!$B$14,01_因子設定!$B$15-AB311))),-1E+030)</f>
        <v>-5.39285740879982</v>
      </c>
      <c r="AE311" s="55" t="n">
        <f aca="false">IF(AC311,IF(01_因子設定!$B$13="最大化",X311,IF(01_因子設定!$B$13="最小化",-X311,-ABS(X311-01_因子設定!$B$16))),-1E+030)</f>
        <v>42.7668813961989</v>
      </c>
      <c r="AF311" s="55" t="n">
        <f aca="false">AD311+ROW()*0.000000001</f>
        <v>-5.39285709779982</v>
      </c>
      <c r="AG311" s="55" t="n">
        <f aca="false">AE311+ROW()*0.000000001</f>
        <v>42.7668817071989</v>
      </c>
    </row>
    <row r="312" customFormat="false" ht="15" hidden="false" customHeight="false" outlineLevel="0" collapsed="false">
      <c r="A312" s="0" t="n">
        <v>0</v>
      </c>
      <c r="B312" s="0" t="n">
        <v>3</v>
      </c>
      <c r="C312" s="0" t="n">
        <v>7</v>
      </c>
      <c r="D312" s="0" t="n">
        <v>1</v>
      </c>
      <c r="E312" s="0" t="n">
        <f aca="false">-1+A312*0.25</f>
        <v>-1</v>
      </c>
      <c r="F312" s="0" t="n">
        <f aca="false">-1+B312*0.25</f>
        <v>-0.25</v>
      </c>
      <c r="G312" s="0" t="n">
        <f aca="false">-1+C312*0.25</f>
        <v>0.75</v>
      </c>
      <c r="H312" s="0" t="n">
        <f aca="false">-1+D312*0.25</f>
        <v>-0.75</v>
      </c>
      <c r="I312" s="0" t="n">
        <f aca="false">1</f>
        <v>1</v>
      </c>
      <c r="J312" s="0" t="n">
        <f aca="false">E312</f>
        <v>-1</v>
      </c>
      <c r="K312" s="0" t="n">
        <f aca="false">F312</f>
        <v>-0.25</v>
      </c>
      <c r="L312" s="0" t="n">
        <f aca="false">G312</f>
        <v>0.75</v>
      </c>
      <c r="M312" s="0" t="n">
        <f aca="false">H312</f>
        <v>-0.75</v>
      </c>
      <c r="N312" s="0" t="n">
        <f aca="false">E312*F312</f>
        <v>0.25</v>
      </c>
      <c r="O312" s="0" t="n">
        <f aca="false">E312*G312</f>
        <v>-0.75</v>
      </c>
      <c r="P312" s="0" t="n">
        <f aca="false">E312*H312</f>
        <v>0.75</v>
      </c>
      <c r="Q312" s="0" t="n">
        <f aca="false">F312*G312</f>
        <v>-0.1875</v>
      </c>
      <c r="R312" s="0" t="n">
        <f aca="false">F312*H312</f>
        <v>0.1875</v>
      </c>
      <c r="S312" s="0" t="n">
        <f aca="false">G312*H312</f>
        <v>-0.5625</v>
      </c>
      <c r="T312" s="0" t="n">
        <f aca="false">E312*E312</f>
        <v>1</v>
      </c>
      <c r="U312" s="0" t="n">
        <f aca="false">F312*F312</f>
        <v>0.0625</v>
      </c>
      <c r="V312" s="0" t="n">
        <f aca="false">G312*G312</f>
        <v>0.5625</v>
      </c>
      <c r="W312" s="0" t="n">
        <f aca="false">H312*H312</f>
        <v>0.5625</v>
      </c>
      <c r="X312" s="0" t="n">
        <f aca="false">SUMPRODUCT(I312:W312,_XtX!$B$96:$P$96)</f>
        <v>43.0715323464913</v>
      </c>
      <c r="Y312" s="0" t="n">
        <f aca="false">SUMPRODUCT(MMULT(I312:W312,_XtX!$B$78:$P$92),I312:W312)</f>
        <v>0.473959761056287</v>
      </c>
      <c r="Z312" s="0" t="n">
        <f aca="false">04_回帰ANOVA!$K$19*04_回帰ANOVA!$K$14*SQRT(1+Y312)</f>
        <v>1.58249084588329</v>
      </c>
      <c r="AA312" s="0" t="n">
        <f aca="false">X312-Z312</f>
        <v>41.489041500608</v>
      </c>
      <c r="AB312" s="0" t="n">
        <f aca="false">X312+Z312</f>
        <v>44.6540231923746</v>
      </c>
      <c r="AC312" s="54" t="b">
        <f aca="false">AND(E312&gt;=01_因子設定!$L$5-0.000000001,E312&lt;=01_因子設定!$M$5+0.000000001,F312&gt;=01_因子設定!$L$6-0.000000001,F312&lt;=01_因子設定!$M$6+0.000000001,G312&gt;=01_因子設定!$L$7-0.000000001,G312&lt;=01_因子設定!$M$7+0.000000001,H312&gt;=01_因子設定!$L$8-0.000000001,H312&lt;=01_因子設定!$M$8+0.000000001,IF(01_因子設定!$B$20="Box-Behnken",E312^2+F312^2+G312^2+H312^2&lt;=2+0.000000001,TRUE()))</f>
        <v>1</v>
      </c>
      <c r="AD312" s="55" t="n">
        <f aca="false">IF(AC312,IF(01_因子設定!$B$13="最大化",AA312-01_因子設定!$B$14,IF(01_因子設定!$B$13="最小化",01_因子設定!$B$15-AB312,MIN(AA312-01_因子設定!$B$14,01_因子設定!$B$15-AB312))),-1E+030)</f>
        <v>-5.010958499392</v>
      </c>
      <c r="AE312" s="55" t="n">
        <f aca="false">IF(AC312,IF(01_因子設定!$B$13="最大化",X312,IF(01_因子設定!$B$13="最小化",-X312,-ABS(X312-01_因子設定!$B$16))),-1E+030)</f>
        <v>43.0715323464913</v>
      </c>
      <c r="AF312" s="55" t="n">
        <f aca="false">AD312+ROW()*0.000000001</f>
        <v>-5.010958187392</v>
      </c>
      <c r="AG312" s="55" t="n">
        <f aca="false">AE312+ROW()*0.000000001</f>
        <v>43.0715326584913</v>
      </c>
    </row>
    <row r="313" customFormat="false" ht="15" hidden="false" customHeight="false" outlineLevel="0" collapsed="false">
      <c r="A313" s="0" t="n">
        <v>0</v>
      </c>
      <c r="B313" s="0" t="n">
        <v>3</v>
      </c>
      <c r="C313" s="0" t="n">
        <v>7</v>
      </c>
      <c r="D313" s="0" t="n">
        <v>2</v>
      </c>
      <c r="E313" s="0" t="n">
        <f aca="false">-1+A313*0.25</f>
        <v>-1</v>
      </c>
      <c r="F313" s="0" t="n">
        <f aca="false">-1+B313*0.25</f>
        <v>-0.25</v>
      </c>
      <c r="G313" s="0" t="n">
        <f aca="false">-1+C313*0.25</f>
        <v>0.75</v>
      </c>
      <c r="H313" s="0" t="n">
        <f aca="false">-1+D313*0.25</f>
        <v>-0.5</v>
      </c>
      <c r="I313" s="0" t="n">
        <f aca="false">1</f>
        <v>1</v>
      </c>
      <c r="J313" s="0" t="n">
        <f aca="false">E313</f>
        <v>-1</v>
      </c>
      <c r="K313" s="0" t="n">
        <f aca="false">F313</f>
        <v>-0.25</v>
      </c>
      <c r="L313" s="0" t="n">
        <f aca="false">G313</f>
        <v>0.75</v>
      </c>
      <c r="M313" s="0" t="n">
        <f aca="false">H313</f>
        <v>-0.5</v>
      </c>
      <c r="N313" s="0" t="n">
        <f aca="false">E313*F313</f>
        <v>0.25</v>
      </c>
      <c r="O313" s="0" t="n">
        <f aca="false">E313*G313</f>
        <v>-0.75</v>
      </c>
      <c r="P313" s="0" t="n">
        <f aca="false">E313*H313</f>
        <v>0.5</v>
      </c>
      <c r="Q313" s="0" t="n">
        <f aca="false">F313*G313</f>
        <v>-0.1875</v>
      </c>
      <c r="R313" s="0" t="n">
        <f aca="false">F313*H313</f>
        <v>0.125</v>
      </c>
      <c r="S313" s="0" t="n">
        <f aca="false">G313*H313</f>
        <v>-0.375</v>
      </c>
      <c r="T313" s="0" t="n">
        <f aca="false">E313*E313</f>
        <v>1</v>
      </c>
      <c r="U313" s="0" t="n">
        <f aca="false">F313*F313</f>
        <v>0.0625</v>
      </c>
      <c r="V313" s="0" t="n">
        <f aca="false">G313*G313</f>
        <v>0.5625</v>
      </c>
      <c r="W313" s="0" t="n">
        <f aca="false">H313*H313</f>
        <v>0.25</v>
      </c>
      <c r="X313" s="0" t="n">
        <f aca="false">SUMPRODUCT(I313:W313,_XtX!$B$96:$P$96)</f>
        <v>43.3283762792398</v>
      </c>
      <c r="Y313" s="0" t="n">
        <f aca="false">SUMPRODUCT(MMULT(I313:W313,_XtX!$B$78:$P$92),I313:W313)</f>
        <v>0.459125719572369</v>
      </c>
      <c r="Z313" s="0" t="n">
        <f aca="false">04_回帰ANOVA!$K$19*04_回帰ANOVA!$K$14*SQRT(1+Y313)</f>
        <v>1.57450755575573</v>
      </c>
      <c r="AA313" s="0" t="n">
        <f aca="false">X313-Z313</f>
        <v>41.7538687234841</v>
      </c>
      <c r="AB313" s="0" t="n">
        <f aca="false">X313+Z313</f>
        <v>44.9028838349955</v>
      </c>
      <c r="AC313" s="54" t="b">
        <f aca="false">AND(E313&gt;=01_因子設定!$L$5-0.000000001,E313&lt;=01_因子設定!$M$5+0.000000001,F313&gt;=01_因子設定!$L$6-0.000000001,F313&lt;=01_因子設定!$M$6+0.000000001,G313&gt;=01_因子設定!$L$7-0.000000001,G313&lt;=01_因子設定!$M$7+0.000000001,H313&gt;=01_因子設定!$L$8-0.000000001,H313&lt;=01_因子設定!$M$8+0.000000001,IF(01_因子設定!$B$20="Box-Behnken",E313^2+F313^2+G313^2+H313^2&lt;=2+0.000000001,TRUE()))</f>
        <v>1</v>
      </c>
      <c r="AD313" s="55" t="n">
        <f aca="false">IF(AC313,IF(01_因子設定!$B$13="最大化",AA313-01_因子設定!$B$14,IF(01_因子設定!$B$13="最小化",01_因子設定!$B$15-AB313,MIN(AA313-01_因子設定!$B$14,01_因子設定!$B$15-AB313))),-1E+030)</f>
        <v>-4.74613127651593</v>
      </c>
      <c r="AE313" s="55" t="n">
        <f aca="false">IF(AC313,IF(01_因子設定!$B$13="最大化",X313,IF(01_因子設定!$B$13="最小化",-X313,-ABS(X313-01_因子設定!$B$16))),-1E+030)</f>
        <v>43.3283762792398</v>
      </c>
      <c r="AF313" s="55" t="n">
        <f aca="false">AD313+ROW()*0.000000001</f>
        <v>-4.74613096351593</v>
      </c>
      <c r="AG313" s="55" t="n">
        <f aca="false">AE313+ROW()*0.000000001</f>
        <v>43.3283765922398</v>
      </c>
    </row>
    <row r="314" customFormat="false" ht="15" hidden="false" customHeight="false" outlineLevel="0" collapsed="false">
      <c r="A314" s="0" t="n">
        <v>0</v>
      </c>
      <c r="B314" s="0" t="n">
        <v>3</v>
      </c>
      <c r="C314" s="0" t="n">
        <v>7</v>
      </c>
      <c r="D314" s="0" t="n">
        <v>3</v>
      </c>
      <c r="E314" s="0" t="n">
        <f aca="false">-1+A314*0.25</f>
        <v>-1</v>
      </c>
      <c r="F314" s="0" t="n">
        <f aca="false">-1+B314*0.25</f>
        <v>-0.25</v>
      </c>
      <c r="G314" s="0" t="n">
        <f aca="false">-1+C314*0.25</f>
        <v>0.75</v>
      </c>
      <c r="H314" s="0" t="n">
        <f aca="false">-1+D314*0.25</f>
        <v>-0.25</v>
      </c>
      <c r="I314" s="0" t="n">
        <f aca="false">1</f>
        <v>1</v>
      </c>
      <c r="J314" s="0" t="n">
        <f aca="false">E314</f>
        <v>-1</v>
      </c>
      <c r="K314" s="0" t="n">
        <f aca="false">F314</f>
        <v>-0.25</v>
      </c>
      <c r="L314" s="0" t="n">
        <f aca="false">G314</f>
        <v>0.75</v>
      </c>
      <c r="M314" s="0" t="n">
        <f aca="false">H314</f>
        <v>-0.25</v>
      </c>
      <c r="N314" s="0" t="n">
        <f aca="false">E314*F314</f>
        <v>0.25</v>
      </c>
      <c r="O314" s="0" t="n">
        <f aca="false">E314*G314</f>
        <v>-0.75</v>
      </c>
      <c r="P314" s="0" t="n">
        <f aca="false">E314*H314</f>
        <v>0.25</v>
      </c>
      <c r="Q314" s="0" t="n">
        <f aca="false">F314*G314</f>
        <v>-0.1875</v>
      </c>
      <c r="R314" s="0" t="n">
        <f aca="false">F314*H314</f>
        <v>0.0625</v>
      </c>
      <c r="S314" s="0" t="n">
        <f aca="false">G314*H314</f>
        <v>-0.1875</v>
      </c>
      <c r="T314" s="0" t="n">
        <f aca="false">E314*E314</f>
        <v>1</v>
      </c>
      <c r="U314" s="0" t="n">
        <f aca="false">F314*F314</f>
        <v>0.0625</v>
      </c>
      <c r="V314" s="0" t="n">
        <f aca="false">G314*G314</f>
        <v>0.5625</v>
      </c>
      <c r="W314" s="0" t="n">
        <f aca="false">H314*H314</f>
        <v>0.0625</v>
      </c>
      <c r="X314" s="0" t="n">
        <f aca="false">SUMPRODUCT(I314:W314,_XtX!$B$96:$P$96)</f>
        <v>43.5374131944445</v>
      </c>
      <c r="Y314" s="0" t="n">
        <f aca="false">SUMPRODUCT(MMULT(I314:W314,_XtX!$B$78:$P$92),I314:W314)</f>
        <v>0.486409505208334</v>
      </c>
      <c r="Z314" s="0" t="n">
        <f aca="false">04_回帰ANOVA!$K$19*04_回帰ANOVA!$K$14*SQRT(1+Y314)</f>
        <v>1.58916001665498</v>
      </c>
      <c r="AA314" s="0" t="n">
        <f aca="false">X314-Z314</f>
        <v>41.9482531777895</v>
      </c>
      <c r="AB314" s="0" t="n">
        <f aca="false">X314+Z314</f>
        <v>45.1265732110995</v>
      </c>
      <c r="AC314" s="54" t="b">
        <f aca="false">AND(E314&gt;=01_因子設定!$L$5-0.000000001,E314&lt;=01_因子設定!$M$5+0.000000001,F314&gt;=01_因子設定!$L$6-0.000000001,F314&lt;=01_因子設定!$M$6+0.000000001,G314&gt;=01_因子設定!$L$7-0.000000001,G314&lt;=01_因子設定!$M$7+0.000000001,H314&gt;=01_因子設定!$L$8-0.000000001,H314&lt;=01_因子設定!$M$8+0.000000001,IF(01_因子設定!$B$20="Box-Behnken",E314^2+F314^2+G314^2+H314^2&lt;=2+0.000000001,TRUE()))</f>
        <v>1</v>
      </c>
      <c r="AD314" s="55" t="n">
        <f aca="false">IF(AC314,IF(01_因子設定!$B$13="最大化",AA314-01_因子設定!$B$14,IF(01_因子設定!$B$13="最小化",01_因子設定!$B$15-AB314,MIN(AA314-01_因子設定!$B$14,01_因子設定!$B$15-AB314))),-1E+030)</f>
        <v>-4.5517468222105</v>
      </c>
      <c r="AE314" s="55" t="n">
        <f aca="false">IF(AC314,IF(01_因子設定!$B$13="最大化",X314,IF(01_因子設定!$B$13="最小化",-X314,-ABS(X314-01_因子設定!$B$16))),-1E+030)</f>
        <v>43.5374131944445</v>
      </c>
      <c r="AF314" s="55" t="n">
        <f aca="false">AD314+ROW()*0.000000001</f>
        <v>-4.5517465082105</v>
      </c>
      <c r="AG314" s="55" t="n">
        <f aca="false">AE314+ROW()*0.000000001</f>
        <v>43.5374135084445</v>
      </c>
    </row>
    <row r="315" customFormat="false" ht="15" hidden="false" customHeight="false" outlineLevel="0" collapsed="false">
      <c r="A315" s="0" t="n">
        <v>0</v>
      </c>
      <c r="B315" s="0" t="n">
        <v>3</v>
      </c>
      <c r="C315" s="0" t="n">
        <v>7</v>
      </c>
      <c r="D315" s="0" t="n">
        <v>4</v>
      </c>
      <c r="E315" s="0" t="n">
        <f aca="false">-1+A315*0.25</f>
        <v>-1</v>
      </c>
      <c r="F315" s="0" t="n">
        <f aca="false">-1+B315*0.25</f>
        <v>-0.25</v>
      </c>
      <c r="G315" s="0" t="n">
        <f aca="false">-1+C315*0.25</f>
        <v>0.75</v>
      </c>
      <c r="H315" s="0" t="n">
        <f aca="false">-1+D315*0.25</f>
        <v>0</v>
      </c>
      <c r="I315" s="0" t="n">
        <f aca="false">1</f>
        <v>1</v>
      </c>
      <c r="J315" s="0" t="n">
        <f aca="false">E315</f>
        <v>-1</v>
      </c>
      <c r="K315" s="0" t="n">
        <f aca="false">F315</f>
        <v>-0.25</v>
      </c>
      <c r="L315" s="0" t="n">
        <f aca="false">G315</f>
        <v>0.75</v>
      </c>
      <c r="M315" s="0" t="n">
        <f aca="false">H315</f>
        <v>0</v>
      </c>
      <c r="N315" s="0" t="n">
        <f aca="false">E315*F315</f>
        <v>0.25</v>
      </c>
      <c r="O315" s="0" t="n">
        <f aca="false">E315*G315</f>
        <v>-0.75</v>
      </c>
      <c r="P315" s="0" t="n">
        <f aca="false">E315*H315</f>
        <v>-0</v>
      </c>
      <c r="Q315" s="0" t="n">
        <f aca="false">F315*G315</f>
        <v>-0.1875</v>
      </c>
      <c r="R315" s="0" t="n">
        <f aca="false">F315*H315</f>
        <v>-0</v>
      </c>
      <c r="S315" s="0" t="n">
        <f aca="false">G315*H315</f>
        <v>0</v>
      </c>
      <c r="T315" s="0" t="n">
        <f aca="false">E315*E315</f>
        <v>1</v>
      </c>
      <c r="U315" s="0" t="n">
        <f aca="false">F315*F315</f>
        <v>0.0625</v>
      </c>
      <c r="V315" s="0" t="n">
        <f aca="false">G315*G315</f>
        <v>0.5625</v>
      </c>
      <c r="W315" s="0" t="n">
        <f aca="false">H315*H315</f>
        <v>0</v>
      </c>
      <c r="X315" s="0" t="n">
        <f aca="false">SUMPRODUCT(I315:W315,_XtX!$B$96:$P$96)</f>
        <v>43.6986430921053</v>
      </c>
      <c r="Y315" s="0" t="n">
        <f aca="false">SUMPRODUCT(MMULT(I315:W315,_XtX!$B$78:$P$92),I315:W315)</f>
        <v>0.501534802174708</v>
      </c>
      <c r="Z315" s="0" t="n">
        <f aca="false">04_回帰ANOVA!$K$19*04_回帰ANOVA!$K$14*SQRT(1+Y315)</f>
        <v>1.59722498091333</v>
      </c>
      <c r="AA315" s="0" t="n">
        <f aca="false">X315-Z315</f>
        <v>42.101418111192</v>
      </c>
      <c r="AB315" s="0" t="n">
        <f aca="false">X315+Z315</f>
        <v>45.2958680730186</v>
      </c>
      <c r="AC315" s="54" t="b">
        <f aca="false">AND(E315&gt;=01_因子設定!$L$5-0.000000001,E315&lt;=01_因子設定!$M$5+0.000000001,F315&gt;=01_因子設定!$L$6-0.000000001,F315&lt;=01_因子設定!$M$6+0.000000001,G315&gt;=01_因子設定!$L$7-0.000000001,G315&lt;=01_因子設定!$M$7+0.000000001,H315&gt;=01_因子設定!$L$8-0.000000001,H315&lt;=01_因子設定!$M$8+0.000000001,IF(01_因子設定!$B$20="Box-Behnken",E315^2+F315^2+G315^2+H315^2&lt;=2+0.000000001,TRUE()))</f>
        <v>1</v>
      </c>
      <c r="AD315" s="55" t="n">
        <f aca="false">IF(AC315,IF(01_因子設定!$B$13="最大化",AA315-01_因子設定!$B$14,IF(01_因子設定!$B$13="最小化",01_因子設定!$B$15-AB315,MIN(AA315-01_因子設定!$B$14,01_因子設定!$B$15-AB315))),-1E+030)</f>
        <v>-4.39858188880804</v>
      </c>
      <c r="AE315" s="55" t="n">
        <f aca="false">IF(AC315,IF(01_因子設定!$B$13="最大化",X315,IF(01_因子設定!$B$13="最小化",-X315,-ABS(X315-01_因子設定!$B$16))),-1E+030)</f>
        <v>43.6986430921053</v>
      </c>
      <c r="AF315" s="55" t="n">
        <f aca="false">AD315+ROW()*0.000000001</f>
        <v>-4.39858157380804</v>
      </c>
      <c r="AG315" s="55" t="n">
        <f aca="false">AE315+ROW()*0.000000001</f>
        <v>43.6986434071053</v>
      </c>
    </row>
    <row r="316" customFormat="false" ht="15" hidden="false" customHeight="false" outlineLevel="0" collapsed="false">
      <c r="A316" s="0" t="n">
        <v>0</v>
      </c>
      <c r="B316" s="0" t="n">
        <v>3</v>
      </c>
      <c r="C316" s="0" t="n">
        <v>7</v>
      </c>
      <c r="D316" s="0" t="n">
        <v>5</v>
      </c>
      <c r="E316" s="0" t="n">
        <f aca="false">-1+A316*0.25</f>
        <v>-1</v>
      </c>
      <c r="F316" s="0" t="n">
        <f aca="false">-1+B316*0.25</f>
        <v>-0.25</v>
      </c>
      <c r="G316" s="0" t="n">
        <f aca="false">-1+C316*0.25</f>
        <v>0.75</v>
      </c>
      <c r="H316" s="0" t="n">
        <f aca="false">-1+D316*0.25</f>
        <v>0.25</v>
      </c>
      <c r="I316" s="0" t="n">
        <f aca="false">1</f>
        <v>1</v>
      </c>
      <c r="J316" s="0" t="n">
        <f aca="false">E316</f>
        <v>-1</v>
      </c>
      <c r="K316" s="0" t="n">
        <f aca="false">F316</f>
        <v>-0.25</v>
      </c>
      <c r="L316" s="0" t="n">
        <f aca="false">G316</f>
        <v>0.75</v>
      </c>
      <c r="M316" s="0" t="n">
        <f aca="false">H316</f>
        <v>0.25</v>
      </c>
      <c r="N316" s="0" t="n">
        <f aca="false">E316*F316</f>
        <v>0.25</v>
      </c>
      <c r="O316" s="0" t="n">
        <f aca="false">E316*G316</f>
        <v>-0.75</v>
      </c>
      <c r="P316" s="0" t="n">
        <f aca="false">E316*H316</f>
        <v>-0.25</v>
      </c>
      <c r="Q316" s="0" t="n">
        <f aca="false">F316*G316</f>
        <v>-0.1875</v>
      </c>
      <c r="R316" s="0" t="n">
        <f aca="false">F316*H316</f>
        <v>-0.0625</v>
      </c>
      <c r="S316" s="0" t="n">
        <f aca="false">G316*H316</f>
        <v>0.1875</v>
      </c>
      <c r="T316" s="0" t="n">
        <f aca="false">E316*E316</f>
        <v>1</v>
      </c>
      <c r="U316" s="0" t="n">
        <f aca="false">F316*F316</f>
        <v>0.0625</v>
      </c>
      <c r="V316" s="0" t="n">
        <f aca="false">G316*G316</f>
        <v>0.5625</v>
      </c>
      <c r="W316" s="0" t="n">
        <f aca="false">H316*H316</f>
        <v>0.0625</v>
      </c>
      <c r="X316" s="0" t="n">
        <f aca="false">SUMPRODUCT(I316:W316,_XtX!$B$96:$P$96)</f>
        <v>43.8120659722223</v>
      </c>
      <c r="Y316" s="0" t="n">
        <f aca="false">SUMPRODUCT(MMULT(I316:W316,_XtX!$B$78:$P$92),I316:W316)</f>
        <v>0.486409505208334</v>
      </c>
      <c r="Z316" s="0" t="n">
        <f aca="false">04_回帰ANOVA!$K$19*04_回帰ANOVA!$K$14*SQRT(1+Y316)</f>
        <v>1.58916001665498</v>
      </c>
      <c r="AA316" s="0" t="n">
        <f aca="false">X316-Z316</f>
        <v>42.2229059555673</v>
      </c>
      <c r="AB316" s="0" t="n">
        <f aca="false">X316+Z316</f>
        <v>45.4012259888772</v>
      </c>
      <c r="AC316" s="54" t="b">
        <f aca="false">AND(E316&gt;=01_因子設定!$L$5-0.000000001,E316&lt;=01_因子設定!$M$5+0.000000001,F316&gt;=01_因子設定!$L$6-0.000000001,F316&lt;=01_因子設定!$M$6+0.000000001,G316&gt;=01_因子設定!$L$7-0.000000001,G316&lt;=01_因子設定!$M$7+0.000000001,H316&gt;=01_因子設定!$L$8-0.000000001,H316&lt;=01_因子設定!$M$8+0.000000001,IF(01_因子設定!$B$20="Box-Behnken",E316^2+F316^2+G316^2+H316^2&lt;=2+0.000000001,TRUE()))</f>
        <v>1</v>
      </c>
      <c r="AD316" s="55" t="n">
        <f aca="false">IF(AC316,IF(01_因子設定!$B$13="最大化",AA316-01_因子設定!$B$14,IF(01_因子設定!$B$13="最小化",01_因子設定!$B$15-AB316,MIN(AA316-01_因子設定!$B$14,01_因子設定!$B$15-AB316))),-1E+030)</f>
        <v>-4.27709404443273</v>
      </c>
      <c r="AE316" s="55" t="n">
        <f aca="false">IF(AC316,IF(01_因子設定!$B$13="最大化",X316,IF(01_因子設定!$B$13="最小化",-X316,-ABS(X316-01_因子設定!$B$16))),-1E+030)</f>
        <v>43.8120659722223</v>
      </c>
      <c r="AF316" s="55" t="n">
        <f aca="false">AD316+ROW()*0.000000001</f>
        <v>-4.27709372843273</v>
      </c>
      <c r="AG316" s="55" t="n">
        <f aca="false">AE316+ROW()*0.000000001</f>
        <v>43.8120662882223</v>
      </c>
    </row>
    <row r="317" customFormat="false" ht="15" hidden="false" customHeight="false" outlineLevel="0" collapsed="false">
      <c r="A317" s="0" t="n">
        <v>0</v>
      </c>
      <c r="B317" s="0" t="n">
        <v>3</v>
      </c>
      <c r="C317" s="0" t="n">
        <v>7</v>
      </c>
      <c r="D317" s="0" t="n">
        <v>6</v>
      </c>
      <c r="E317" s="0" t="n">
        <f aca="false">-1+A317*0.25</f>
        <v>-1</v>
      </c>
      <c r="F317" s="0" t="n">
        <f aca="false">-1+B317*0.25</f>
        <v>-0.25</v>
      </c>
      <c r="G317" s="0" t="n">
        <f aca="false">-1+C317*0.25</f>
        <v>0.75</v>
      </c>
      <c r="H317" s="0" t="n">
        <f aca="false">-1+D317*0.25</f>
        <v>0.5</v>
      </c>
      <c r="I317" s="0" t="n">
        <f aca="false">1</f>
        <v>1</v>
      </c>
      <c r="J317" s="0" t="n">
        <f aca="false">E317</f>
        <v>-1</v>
      </c>
      <c r="K317" s="0" t="n">
        <f aca="false">F317</f>
        <v>-0.25</v>
      </c>
      <c r="L317" s="0" t="n">
        <f aca="false">G317</f>
        <v>0.75</v>
      </c>
      <c r="M317" s="0" t="n">
        <f aca="false">H317</f>
        <v>0.5</v>
      </c>
      <c r="N317" s="0" t="n">
        <f aca="false">E317*F317</f>
        <v>0.25</v>
      </c>
      <c r="O317" s="0" t="n">
        <f aca="false">E317*G317</f>
        <v>-0.75</v>
      </c>
      <c r="P317" s="0" t="n">
        <f aca="false">E317*H317</f>
        <v>-0.5</v>
      </c>
      <c r="Q317" s="0" t="n">
        <f aca="false">F317*G317</f>
        <v>-0.1875</v>
      </c>
      <c r="R317" s="0" t="n">
        <f aca="false">F317*H317</f>
        <v>-0.125</v>
      </c>
      <c r="S317" s="0" t="n">
        <f aca="false">G317*H317</f>
        <v>0.375</v>
      </c>
      <c r="T317" s="0" t="n">
        <f aca="false">E317*E317</f>
        <v>1</v>
      </c>
      <c r="U317" s="0" t="n">
        <f aca="false">F317*F317</f>
        <v>0.0625</v>
      </c>
      <c r="V317" s="0" t="n">
        <f aca="false">G317*G317</f>
        <v>0.5625</v>
      </c>
      <c r="W317" s="0" t="n">
        <f aca="false">H317*H317</f>
        <v>0.25</v>
      </c>
      <c r="X317" s="0" t="n">
        <f aca="false">SUMPRODUCT(I317:W317,_XtX!$B$96:$P$96)</f>
        <v>43.8776818347954</v>
      </c>
      <c r="Y317" s="0" t="n">
        <f aca="false">SUMPRODUCT(MMULT(I317:W317,_XtX!$B$78:$P$92),I317:W317)</f>
        <v>0.459125719572369</v>
      </c>
      <c r="Z317" s="0" t="n">
        <f aca="false">04_回帰ANOVA!$K$19*04_回帰ANOVA!$K$14*SQRT(1+Y317)</f>
        <v>1.57450755575573</v>
      </c>
      <c r="AA317" s="0" t="n">
        <f aca="false">X317-Z317</f>
        <v>42.3031742790396</v>
      </c>
      <c r="AB317" s="0" t="n">
        <f aca="false">X317+Z317</f>
        <v>45.4521893905511</v>
      </c>
      <c r="AC317" s="54" t="b">
        <f aca="false">AND(E317&gt;=01_因子設定!$L$5-0.000000001,E317&lt;=01_因子設定!$M$5+0.000000001,F317&gt;=01_因子設定!$L$6-0.000000001,F317&lt;=01_因子設定!$M$6+0.000000001,G317&gt;=01_因子設定!$L$7-0.000000001,G317&lt;=01_因子設定!$M$7+0.000000001,H317&gt;=01_因子設定!$L$8-0.000000001,H317&lt;=01_因子設定!$M$8+0.000000001,IF(01_因子設定!$B$20="Box-Behnken",E317^2+F317^2+G317^2+H317^2&lt;=2+0.000000001,TRUE()))</f>
        <v>1</v>
      </c>
      <c r="AD317" s="55" t="n">
        <f aca="false">IF(AC317,IF(01_因子設定!$B$13="最大化",AA317-01_因子設定!$B$14,IF(01_因子設定!$B$13="最小化",01_因子設定!$B$15-AB317,MIN(AA317-01_因子設定!$B$14,01_因子設定!$B$15-AB317))),-1E+030)</f>
        <v>-4.19682572096037</v>
      </c>
      <c r="AE317" s="55" t="n">
        <f aca="false">IF(AC317,IF(01_因子設定!$B$13="最大化",X317,IF(01_因子設定!$B$13="最小化",-X317,-ABS(X317-01_因子設定!$B$16))),-1E+030)</f>
        <v>43.8776818347954</v>
      </c>
      <c r="AF317" s="55" t="n">
        <f aca="false">AD317+ROW()*0.000000001</f>
        <v>-4.19682540396037</v>
      </c>
      <c r="AG317" s="55" t="n">
        <f aca="false">AE317+ROW()*0.000000001</f>
        <v>43.8776821517954</v>
      </c>
    </row>
    <row r="318" customFormat="false" ht="15" hidden="false" customHeight="false" outlineLevel="0" collapsed="false">
      <c r="A318" s="0" t="n">
        <v>0</v>
      </c>
      <c r="B318" s="0" t="n">
        <v>3</v>
      </c>
      <c r="C318" s="0" t="n">
        <v>7</v>
      </c>
      <c r="D318" s="0" t="n">
        <v>7</v>
      </c>
      <c r="E318" s="0" t="n">
        <f aca="false">-1+A318*0.25</f>
        <v>-1</v>
      </c>
      <c r="F318" s="0" t="n">
        <f aca="false">-1+B318*0.25</f>
        <v>-0.25</v>
      </c>
      <c r="G318" s="0" t="n">
        <f aca="false">-1+C318*0.25</f>
        <v>0.75</v>
      </c>
      <c r="H318" s="0" t="n">
        <f aca="false">-1+D318*0.25</f>
        <v>0.75</v>
      </c>
      <c r="I318" s="0" t="n">
        <f aca="false">1</f>
        <v>1</v>
      </c>
      <c r="J318" s="0" t="n">
        <f aca="false">E318</f>
        <v>-1</v>
      </c>
      <c r="K318" s="0" t="n">
        <f aca="false">F318</f>
        <v>-0.25</v>
      </c>
      <c r="L318" s="0" t="n">
        <f aca="false">G318</f>
        <v>0.75</v>
      </c>
      <c r="M318" s="0" t="n">
        <f aca="false">H318</f>
        <v>0.75</v>
      </c>
      <c r="N318" s="0" t="n">
        <f aca="false">E318*F318</f>
        <v>0.25</v>
      </c>
      <c r="O318" s="0" t="n">
        <f aca="false">E318*G318</f>
        <v>-0.75</v>
      </c>
      <c r="P318" s="0" t="n">
        <f aca="false">E318*H318</f>
        <v>-0.75</v>
      </c>
      <c r="Q318" s="0" t="n">
        <f aca="false">F318*G318</f>
        <v>-0.1875</v>
      </c>
      <c r="R318" s="0" t="n">
        <f aca="false">F318*H318</f>
        <v>-0.1875</v>
      </c>
      <c r="S318" s="0" t="n">
        <f aca="false">G318*H318</f>
        <v>0.5625</v>
      </c>
      <c r="T318" s="0" t="n">
        <f aca="false">E318*E318</f>
        <v>1</v>
      </c>
      <c r="U318" s="0" t="n">
        <f aca="false">F318*F318</f>
        <v>0.0625</v>
      </c>
      <c r="V318" s="0" t="n">
        <f aca="false">G318*G318</f>
        <v>0.5625</v>
      </c>
      <c r="W318" s="0" t="n">
        <f aca="false">H318*H318</f>
        <v>0.5625</v>
      </c>
      <c r="X318" s="0" t="n">
        <f aca="false">SUMPRODUCT(I318:W318,_XtX!$B$96:$P$96)</f>
        <v>43.8954906798246</v>
      </c>
      <c r="Y318" s="0" t="n">
        <f aca="false">SUMPRODUCT(MMULT(I318:W318,_XtX!$B$78:$P$92),I318:W318)</f>
        <v>0.473959761056287</v>
      </c>
      <c r="Z318" s="0" t="n">
        <f aca="false">04_回帰ANOVA!$K$19*04_回帰ANOVA!$K$14*SQRT(1+Y318)</f>
        <v>1.58249084588329</v>
      </c>
      <c r="AA318" s="0" t="n">
        <f aca="false">X318-Z318</f>
        <v>42.3129998339413</v>
      </c>
      <c r="AB318" s="0" t="n">
        <f aca="false">X318+Z318</f>
        <v>45.4779815257079</v>
      </c>
      <c r="AC318" s="54" t="b">
        <f aca="false">AND(E318&gt;=01_因子設定!$L$5-0.000000001,E318&lt;=01_因子設定!$M$5+0.000000001,F318&gt;=01_因子設定!$L$6-0.000000001,F318&lt;=01_因子設定!$M$6+0.000000001,G318&gt;=01_因子設定!$L$7-0.000000001,G318&lt;=01_因子設定!$M$7+0.000000001,H318&gt;=01_因子設定!$L$8-0.000000001,H318&lt;=01_因子設定!$M$8+0.000000001,IF(01_因子設定!$B$20="Box-Behnken",E318^2+F318^2+G318^2+H318^2&lt;=2+0.000000001,TRUE()))</f>
        <v>1</v>
      </c>
      <c r="AD318" s="55" t="n">
        <f aca="false">IF(AC318,IF(01_因子設定!$B$13="最大化",AA318-01_因子設定!$B$14,IF(01_因子設定!$B$13="最小化",01_因子設定!$B$15-AB318,MIN(AA318-01_因子設定!$B$14,01_因子設定!$B$15-AB318))),-1E+030)</f>
        <v>-4.18700016605867</v>
      </c>
      <c r="AE318" s="55" t="n">
        <f aca="false">IF(AC318,IF(01_因子設定!$B$13="最大化",X318,IF(01_因子設定!$B$13="最小化",-X318,-ABS(X318-01_因子設定!$B$16))),-1E+030)</f>
        <v>43.8954906798246</v>
      </c>
      <c r="AF318" s="55" t="n">
        <f aca="false">AD318+ROW()*0.000000001</f>
        <v>-4.18699984805867</v>
      </c>
      <c r="AG318" s="55" t="n">
        <f aca="false">AE318+ROW()*0.000000001</f>
        <v>43.8954909978246</v>
      </c>
    </row>
    <row r="319" customFormat="false" ht="15" hidden="false" customHeight="false" outlineLevel="0" collapsed="false">
      <c r="A319" s="0" t="n">
        <v>0</v>
      </c>
      <c r="B319" s="0" t="n">
        <v>3</v>
      </c>
      <c r="C319" s="0" t="n">
        <v>7</v>
      </c>
      <c r="D319" s="0" t="n">
        <v>8</v>
      </c>
      <c r="E319" s="0" t="n">
        <f aca="false">-1+A319*0.25</f>
        <v>-1</v>
      </c>
      <c r="F319" s="0" t="n">
        <f aca="false">-1+B319*0.25</f>
        <v>-0.25</v>
      </c>
      <c r="G319" s="0" t="n">
        <f aca="false">-1+C319*0.25</f>
        <v>0.75</v>
      </c>
      <c r="H319" s="0" t="n">
        <f aca="false">-1+D319*0.25</f>
        <v>1</v>
      </c>
      <c r="I319" s="0" t="n">
        <f aca="false">1</f>
        <v>1</v>
      </c>
      <c r="J319" s="0" t="n">
        <f aca="false">E319</f>
        <v>-1</v>
      </c>
      <c r="K319" s="0" t="n">
        <f aca="false">F319</f>
        <v>-0.25</v>
      </c>
      <c r="L319" s="0" t="n">
        <f aca="false">G319</f>
        <v>0.75</v>
      </c>
      <c r="M319" s="0" t="n">
        <f aca="false">H319</f>
        <v>1</v>
      </c>
      <c r="N319" s="0" t="n">
        <f aca="false">E319*F319</f>
        <v>0.25</v>
      </c>
      <c r="O319" s="0" t="n">
        <f aca="false">E319*G319</f>
        <v>-0.75</v>
      </c>
      <c r="P319" s="0" t="n">
        <f aca="false">E319*H319</f>
        <v>-1</v>
      </c>
      <c r="Q319" s="0" t="n">
        <f aca="false">F319*G319</f>
        <v>-0.1875</v>
      </c>
      <c r="R319" s="0" t="n">
        <f aca="false">F319*H319</f>
        <v>-0.25</v>
      </c>
      <c r="S319" s="0" t="n">
        <f aca="false">G319*H319</f>
        <v>0.75</v>
      </c>
      <c r="T319" s="0" t="n">
        <f aca="false">E319*E319</f>
        <v>1</v>
      </c>
      <c r="U319" s="0" t="n">
        <f aca="false">F319*F319</f>
        <v>0.0625</v>
      </c>
      <c r="V319" s="0" t="n">
        <f aca="false">G319*G319</f>
        <v>0.5625</v>
      </c>
      <c r="W319" s="0" t="n">
        <f aca="false">H319*H319</f>
        <v>1</v>
      </c>
      <c r="X319" s="0" t="n">
        <f aca="false">SUMPRODUCT(I319:W319,_XtX!$B$96:$P$96)</f>
        <v>43.86549250731</v>
      </c>
      <c r="Y319" s="0" t="n">
        <f aca="false">SUMPRODUCT(MMULT(I319:W319,_XtX!$B$78:$P$92),I319:W319)</f>
        <v>0.621372155975877</v>
      </c>
      <c r="Z319" s="0" t="n">
        <f aca="false">04_回帰ANOVA!$K$19*04_回帰ANOVA!$K$14*SQRT(1+Y319)</f>
        <v>1.65973880499872</v>
      </c>
      <c r="AA319" s="0" t="n">
        <f aca="false">X319-Z319</f>
        <v>42.2057537023113</v>
      </c>
      <c r="AB319" s="0" t="n">
        <f aca="false">X319+Z319</f>
        <v>45.5252313123087</v>
      </c>
      <c r="AC319" s="54" t="b">
        <f aca="false">AND(E319&gt;=01_因子設定!$L$5-0.000000001,E319&lt;=01_因子設定!$M$5+0.000000001,F319&gt;=01_因子設定!$L$6-0.000000001,F319&lt;=01_因子設定!$M$6+0.000000001,G319&gt;=01_因子設定!$L$7-0.000000001,G319&lt;=01_因子設定!$M$7+0.000000001,H319&gt;=01_因子設定!$L$8-0.000000001,H319&lt;=01_因子設定!$M$8+0.000000001,IF(01_因子設定!$B$20="Box-Behnken",E319^2+F319^2+G319^2+H319^2&lt;=2+0.000000001,TRUE()))</f>
        <v>1</v>
      </c>
      <c r="AD319" s="55" t="n">
        <f aca="false">IF(AC319,IF(01_因子設定!$B$13="最大化",AA319-01_因子設定!$B$14,IF(01_因子設定!$B$13="最小化",01_因子設定!$B$15-AB319,MIN(AA319-01_因子設定!$B$14,01_因子設定!$B$15-AB319))),-1E+030)</f>
        <v>-4.29424629768871</v>
      </c>
      <c r="AE319" s="55" t="n">
        <f aca="false">IF(AC319,IF(01_因子設定!$B$13="最大化",X319,IF(01_因子設定!$B$13="最小化",-X319,-ABS(X319-01_因子設定!$B$16))),-1E+030)</f>
        <v>43.86549250731</v>
      </c>
      <c r="AF319" s="55" t="n">
        <f aca="false">AD319+ROW()*0.000000001</f>
        <v>-4.29424597868871</v>
      </c>
      <c r="AG319" s="55" t="n">
        <f aca="false">AE319+ROW()*0.000000001</f>
        <v>43.86549282631</v>
      </c>
    </row>
    <row r="320" customFormat="false" ht="15" hidden="false" customHeight="false" outlineLevel="0" collapsed="false">
      <c r="A320" s="0" t="n">
        <v>0</v>
      </c>
      <c r="B320" s="0" t="n">
        <v>3</v>
      </c>
      <c r="C320" s="0" t="n">
        <v>8</v>
      </c>
      <c r="D320" s="0" t="n">
        <v>0</v>
      </c>
      <c r="E320" s="0" t="n">
        <f aca="false">-1+A320*0.25</f>
        <v>-1</v>
      </c>
      <c r="F320" s="0" t="n">
        <f aca="false">-1+B320*0.25</f>
        <v>-0.25</v>
      </c>
      <c r="G320" s="0" t="n">
        <f aca="false">-1+C320*0.25</f>
        <v>1</v>
      </c>
      <c r="H320" s="0" t="n">
        <f aca="false">-1+D320*0.25</f>
        <v>-1</v>
      </c>
      <c r="I320" s="0" t="n">
        <f aca="false">1</f>
        <v>1</v>
      </c>
      <c r="J320" s="0" t="n">
        <f aca="false">E320</f>
        <v>-1</v>
      </c>
      <c r="K320" s="0" t="n">
        <f aca="false">F320</f>
        <v>-0.25</v>
      </c>
      <c r="L320" s="0" t="n">
        <f aca="false">G320</f>
        <v>1</v>
      </c>
      <c r="M320" s="0" t="n">
        <f aca="false">H320</f>
        <v>-1</v>
      </c>
      <c r="N320" s="0" t="n">
        <f aca="false">E320*F320</f>
        <v>0.25</v>
      </c>
      <c r="O320" s="0" t="n">
        <f aca="false">E320*G320</f>
        <v>-1</v>
      </c>
      <c r="P320" s="0" t="n">
        <f aca="false">E320*H320</f>
        <v>1</v>
      </c>
      <c r="Q320" s="0" t="n">
        <f aca="false">F320*G320</f>
        <v>-0.25</v>
      </c>
      <c r="R320" s="0" t="n">
        <f aca="false">F320*H320</f>
        <v>0.25</v>
      </c>
      <c r="S320" s="0" t="n">
        <f aca="false">G320*H320</f>
        <v>-1</v>
      </c>
      <c r="T320" s="0" t="n">
        <f aca="false">E320*E320</f>
        <v>1</v>
      </c>
      <c r="U320" s="0" t="n">
        <f aca="false">F320*F320</f>
        <v>0.0625</v>
      </c>
      <c r="V320" s="0" t="n">
        <f aca="false">G320*G320</f>
        <v>1</v>
      </c>
      <c r="W320" s="0" t="n">
        <f aca="false">H320*H320</f>
        <v>1</v>
      </c>
      <c r="X320" s="0" t="n">
        <f aca="false">SUMPRODUCT(I320:W320,_XtX!$B$96:$P$96)</f>
        <v>42.7852339181287</v>
      </c>
      <c r="Y320" s="0" t="n">
        <f aca="false">SUMPRODUCT(MMULT(I320:W320,_XtX!$B$78:$P$92),I320:W320)</f>
        <v>0.737093384502924</v>
      </c>
      <c r="Z320" s="0" t="n">
        <f aca="false">04_回帰ANOVA!$K$19*04_回帰ANOVA!$K$14*SQRT(1+Y320)</f>
        <v>1.71794784853551</v>
      </c>
      <c r="AA320" s="0" t="n">
        <f aca="false">X320-Z320</f>
        <v>41.0672860695932</v>
      </c>
      <c r="AB320" s="0" t="n">
        <f aca="false">X320+Z320</f>
        <v>44.5031817666642</v>
      </c>
      <c r="AC320" s="54" t="b">
        <f aca="false">AND(E320&gt;=01_因子設定!$L$5-0.000000001,E320&lt;=01_因子設定!$M$5+0.000000001,F320&gt;=01_因子設定!$L$6-0.000000001,F320&lt;=01_因子設定!$M$6+0.000000001,G320&gt;=01_因子設定!$L$7-0.000000001,G320&lt;=01_因子設定!$M$7+0.000000001,H320&gt;=01_因子設定!$L$8-0.000000001,H320&lt;=01_因子設定!$M$8+0.000000001,IF(01_因子設定!$B$20="Box-Behnken",E320^2+F320^2+G320^2+H320^2&lt;=2+0.000000001,TRUE()))</f>
        <v>1</v>
      </c>
      <c r="AD320" s="55" t="n">
        <f aca="false">IF(AC320,IF(01_因子設定!$B$13="最大化",AA320-01_因子設定!$B$14,IF(01_因子設定!$B$13="最小化",01_因子設定!$B$15-AB320,MIN(AA320-01_因子設定!$B$14,01_因子設定!$B$15-AB320))),-1E+030)</f>
        <v>-5.43271393040678</v>
      </c>
      <c r="AE320" s="55" t="n">
        <f aca="false">IF(AC320,IF(01_因子設定!$B$13="最大化",X320,IF(01_因子設定!$B$13="最小化",-X320,-ABS(X320-01_因子設定!$B$16))),-1E+030)</f>
        <v>42.7852339181287</v>
      </c>
      <c r="AF320" s="55" t="n">
        <f aca="false">AD320+ROW()*0.000000001</f>
        <v>-5.43271361040678</v>
      </c>
      <c r="AG320" s="55" t="n">
        <f aca="false">AE320+ROW()*0.000000001</f>
        <v>42.7852342381287</v>
      </c>
    </row>
    <row r="321" customFormat="false" ht="15" hidden="false" customHeight="false" outlineLevel="0" collapsed="false">
      <c r="A321" s="0" t="n">
        <v>0</v>
      </c>
      <c r="B321" s="0" t="n">
        <v>3</v>
      </c>
      <c r="C321" s="0" t="n">
        <v>8</v>
      </c>
      <c r="D321" s="0" t="n">
        <v>1</v>
      </c>
      <c r="E321" s="0" t="n">
        <f aca="false">-1+A321*0.25</f>
        <v>-1</v>
      </c>
      <c r="F321" s="0" t="n">
        <f aca="false">-1+B321*0.25</f>
        <v>-0.25</v>
      </c>
      <c r="G321" s="0" t="n">
        <f aca="false">-1+C321*0.25</f>
        <v>1</v>
      </c>
      <c r="H321" s="0" t="n">
        <f aca="false">-1+D321*0.25</f>
        <v>-0.75</v>
      </c>
      <c r="I321" s="0" t="n">
        <f aca="false">1</f>
        <v>1</v>
      </c>
      <c r="J321" s="0" t="n">
        <f aca="false">E321</f>
        <v>-1</v>
      </c>
      <c r="K321" s="0" t="n">
        <f aca="false">F321</f>
        <v>-0.25</v>
      </c>
      <c r="L321" s="0" t="n">
        <f aca="false">G321</f>
        <v>1</v>
      </c>
      <c r="M321" s="0" t="n">
        <f aca="false">H321</f>
        <v>-0.75</v>
      </c>
      <c r="N321" s="0" t="n">
        <f aca="false">E321*F321</f>
        <v>0.25</v>
      </c>
      <c r="O321" s="0" t="n">
        <f aca="false">E321*G321</f>
        <v>-1</v>
      </c>
      <c r="P321" s="0" t="n">
        <f aca="false">E321*H321</f>
        <v>0.75</v>
      </c>
      <c r="Q321" s="0" t="n">
        <f aca="false">F321*G321</f>
        <v>-0.25</v>
      </c>
      <c r="R321" s="0" t="n">
        <f aca="false">F321*H321</f>
        <v>0.1875</v>
      </c>
      <c r="S321" s="0" t="n">
        <f aca="false">G321*H321</f>
        <v>-0.75</v>
      </c>
      <c r="T321" s="0" t="n">
        <f aca="false">E321*E321</f>
        <v>1</v>
      </c>
      <c r="U321" s="0" t="n">
        <f aca="false">F321*F321</f>
        <v>0.0625</v>
      </c>
      <c r="V321" s="0" t="n">
        <f aca="false">G321*G321</f>
        <v>1</v>
      </c>
      <c r="W321" s="0" t="n">
        <f aca="false">H321*H321</f>
        <v>0.5625</v>
      </c>
      <c r="X321" s="0" t="n">
        <f aca="false">SUMPRODUCT(I321:W321,_XtX!$B$96:$P$96)</f>
        <v>43.1078536184211</v>
      </c>
      <c r="Y321" s="0" t="n">
        <f aca="false">SUMPRODUCT(MMULT(I321:W321,_XtX!$B$78:$P$92),I321:W321)</f>
        <v>0.621372155975877</v>
      </c>
      <c r="Z321" s="0" t="n">
        <f aca="false">04_回帰ANOVA!$K$19*04_回帰ANOVA!$K$14*SQRT(1+Y321)</f>
        <v>1.65973880499872</v>
      </c>
      <c r="AA321" s="0" t="n">
        <f aca="false">X321-Z321</f>
        <v>41.4481148134224</v>
      </c>
      <c r="AB321" s="0" t="n">
        <f aca="false">X321+Z321</f>
        <v>44.7675924234198</v>
      </c>
      <c r="AC321" s="54" t="b">
        <f aca="false">AND(E321&gt;=01_因子設定!$L$5-0.000000001,E321&lt;=01_因子設定!$M$5+0.000000001,F321&gt;=01_因子設定!$L$6-0.000000001,F321&lt;=01_因子設定!$M$6+0.000000001,G321&gt;=01_因子設定!$L$7-0.000000001,G321&lt;=01_因子設定!$M$7+0.000000001,H321&gt;=01_因子設定!$L$8-0.000000001,H321&lt;=01_因子設定!$M$8+0.000000001,IF(01_因子設定!$B$20="Box-Behnken",E321^2+F321^2+G321^2+H321^2&lt;=2+0.000000001,TRUE()))</f>
        <v>1</v>
      </c>
      <c r="AD321" s="55" t="n">
        <f aca="false">IF(AC321,IF(01_因子設定!$B$13="最大化",AA321-01_因子設定!$B$14,IF(01_因子設定!$B$13="最小化",01_因子設定!$B$15-AB321,MIN(AA321-01_因子設定!$B$14,01_因子設定!$B$15-AB321))),-1E+030)</f>
        <v>-5.05188518657761</v>
      </c>
      <c r="AE321" s="55" t="n">
        <f aca="false">IF(AC321,IF(01_因子設定!$B$13="最大化",X321,IF(01_因子設定!$B$13="最小化",-X321,-ABS(X321-01_因子設定!$B$16))),-1E+030)</f>
        <v>43.1078536184211</v>
      </c>
      <c r="AF321" s="55" t="n">
        <f aca="false">AD321+ROW()*0.000000001</f>
        <v>-5.05188486557761</v>
      </c>
      <c r="AG321" s="55" t="n">
        <f aca="false">AE321+ROW()*0.000000001</f>
        <v>43.1078539394211</v>
      </c>
    </row>
    <row r="322" customFormat="false" ht="15" hidden="false" customHeight="false" outlineLevel="0" collapsed="false">
      <c r="A322" s="0" t="n">
        <v>0</v>
      </c>
      <c r="B322" s="0" t="n">
        <v>3</v>
      </c>
      <c r="C322" s="0" t="n">
        <v>8</v>
      </c>
      <c r="D322" s="0" t="n">
        <v>2</v>
      </c>
      <c r="E322" s="0" t="n">
        <f aca="false">-1+A322*0.25</f>
        <v>-1</v>
      </c>
      <c r="F322" s="0" t="n">
        <f aca="false">-1+B322*0.25</f>
        <v>-0.25</v>
      </c>
      <c r="G322" s="0" t="n">
        <f aca="false">-1+C322*0.25</f>
        <v>1</v>
      </c>
      <c r="H322" s="0" t="n">
        <f aca="false">-1+D322*0.25</f>
        <v>-0.5</v>
      </c>
      <c r="I322" s="0" t="n">
        <f aca="false">1</f>
        <v>1</v>
      </c>
      <c r="J322" s="0" t="n">
        <f aca="false">E322</f>
        <v>-1</v>
      </c>
      <c r="K322" s="0" t="n">
        <f aca="false">F322</f>
        <v>-0.25</v>
      </c>
      <c r="L322" s="0" t="n">
        <f aca="false">G322</f>
        <v>1</v>
      </c>
      <c r="M322" s="0" t="n">
        <f aca="false">H322</f>
        <v>-0.5</v>
      </c>
      <c r="N322" s="0" t="n">
        <f aca="false">E322*F322</f>
        <v>0.25</v>
      </c>
      <c r="O322" s="0" t="n">
        <f aca="false">E322*G322</f>
        <v>-1</v>
      </c>
      <c r="P322" s="0" t="n">
        <f aca="false">E322*H322</f>
        <v>0.5</v>
      </c>
      <c r="Q322" s="0" t="n">
        <f aca="false">F322*G322</f>
        <v>-0.25</v>
      </c>
      <c r="R322" s="0" t="n">
        <f aca="false">F322*H322</f>
        <v>0.125</v>
      </c>
      <c r="S322" s="0" t="n">
        <f aca="false">G322*H322</f>
        <v>-0.5</v>
      </c>
      <c r="T322" s="0" t="n">
        <f aca="false">E322*E322</f>
        <v>1</v>
      </c>
      <c r="U322" s="0" t="n">
        <f aca="false">F322*F322</f>
        <v>0.0625</v>
      </c>
      <c r="V322" s="0" t="n">
        <f aca="false">G322*G322</f>
        <v>1</v>
      </c>
      <c r="W322" s="0" t="n">
        <f aca="false">H322*H322</f>
        <v>0.25</v>
      </c>
      <c r="X322" s="0" t="n">
        <f aca="false">SUMPRODUCT(I322:W322,_XtX!$B$96:$P$96)</f>
        <v>43.3826663011696</v>
      </c>
      <c r="Y322" s="0" t="n">
        <f aca="false">SUMPRODUCT(MMULT(I322:W322,_XtX!$B$78:$P$92),I322:W322)</f>
        <v>0.629174661915205</v>
      </c>
      <c r="Z322" s="0" t="n">
        <f aca="false">04_回帰ANOVA!$K$19*04_回帰ANOVA!$K$14*SQRT(1+Y322)</f>
        <v>1.66372758058297</v>
      </c>
      <c r="AA322" s="0" t="n">
        <f aca="false">X322-Z322</f>
        <v>41.7189387205867</v>
      </c>
      <c r="AB322" s="0" t="n">
        <f aca="false">X322+Z322</f>
        <v>45.0463938817526</v>
      </c>
      <c r="AC322" s="54" t="b">
        <f aca="false">AND(E322&gt;=01_因子設定!$L$5-0.000000001,E322&lt;=01_因子設定!$M$5+0.000000001,F322&gt;=01_因子設定!$L$6-0.000000001,F322&lt;=01_因子設定!$M$6+0.000000001,G322&gt;=01_因子設定!$L$7-0.000000001,G322&lt;=01_因子設定!$M$7+0.000000001,H322&gt;=01_因子設定!$L$8-0.000000001,H322&lt;=01_因子設定!$M$8+0.000000001,IF(01_因子設定!$B$20="Box-Behnken",E322^2+F322^2+G322^2+H322^2&lt;=2+0.000000001,TRUE()))</f>
        <v>1</v>
      </c>
      <c r="AD322" s="55" t="n">
        <f aca="false">IF(AC322,IF(01_因子設定!$B$13="最大化",AA322-01_因子設定!$B$14,IF(01_因子設定!$B$13="最小化",01_因子設定!$B$15-AB322,MIN(AA322-01_因子設定!$B$14,01_因子設定!$B$15-AB322))),-1E+030)</f>
        <v>-4.78106127941334</v>
      </c>
      <c r="AE322" s="55" t="n">
        <f aca="false">IF(AC322,IF(01_因子設定!$B$13="最大化",X322,IF(01_因子設定!$B$13="最小化",-X322,-ABS(X322-01_因子設定!$B$16))),-1E+030)</f>
        <v>43.3826663011696</v>
      </c>
      <c r="AF322" s="55" t="n">
        <f aca="false">AD322+ROW()*0.000000001</f>
        <v>-4.78106095741334</v>
      </c>
      <c r="AG322" s="55" t="n">
        <f aca="false">AE322+ROW()*0.000000001</f>
        <v>43.3826666231696</v>
      </c>
    </row>
    <row r="323" customFormat="false" ht="15" hidden="false" customHeight="false" outlineLevel="0" collapsed="false">
      <c r="A323" s="0" t="n">
        <v>0</v>
      </c>
      <c r="B323" s="0" t="n">
        <v>3</v>
      </c>
      <c r="C323" s="0" t="n">
        <v>8</v>
      </c>
      <c r="D323" s="0" t="n">
        <v>3</v>
      </c>
      <c r="E323" s="0" t="n">
        <f aca="false">-1+A323*0.25</f>
        <v>-1</v>
      </c>
      <c r="F323" s="0" t="n">
        <f aca="false">-1+B323*0.25</f>
        <v>-0.25</v>
      </c>
      <c r="G323" s="0" t="n">
        <f aca="false">-1+C323*0.25</f>
        <v>1</v>
      </c>
      <c r="H323" s="0" t="n">
        <f aca="false">-1+D323*0.25</f>
        <v>-0.25</v>
      </c>
      <c r="I323" s="0" t="n">
        <f aca="false">1</f>
        <v>1</v>
      </c>
      <c r="J323" s="0" t="n">
        <f aca="false">E323</f>
        <v>-1</v>
      </c>
      <c r="K323" s="0" t="n">
        <f aca="false">F323</f>
        <v>-0.25</v>
      </c>
      <c r="L323" s="0" t="n">
        <f aca="false">G323</f>
        <v>1</v>
      </c>
      <c r="M323" s="0" t="n">
        <f aca="false">H323</f>
        <v>-0.25</v>
      </c>
      <c r="N323" s="0" t="n">
        <f aca="false">E323*F323</f>
        <v>0.25</v>
      </c>
      <c r="O323" s="0" t="n">
        <f aca="false">E323*G323</f>
        <v>-1</v>
      </c>
      <c r="P323" s="0" t="n">
        <f aca="false">E323*H323</f>
        <v>0.25</v>
      </c>
      <c r="Q323" s="0" t="n">
        <f aca="false">F323*G323</f>
        <v>-0.25</v>
      </c>
      <c r="R323" s="0" t="n">
        <f aca="false">F323*H323</f>
        <v>0.0625</v>
      </c>
      <c r="S323" s="0" t="n">
        <f aca="false">G323*H323</f>
        <v>-0.25</v>
      </c>
      <c r="T323" s="0" t="n">
        <f aca="false">E323*E323</f>
        <v>1</v>
      </c>
      <c r="U323" s="0" t="n">
        <f aca="false">F323*F323</f>
        <v>0.0625</v>
      </c>
      <c r="V323" s="0" t="n">
        <f aca="false">G323*G323</f>
        <v>1</v>
      </c>
      <c r="W323" s="0" t="n">
        <f aca="false">H323*H323</f>
        <v>0.0625</v>
      </c>
      <c r="X323" s="0" t="n">
        <f aca="false">SUMPRODUCT(I323:W323,_XtX!$B$96:$P$96)</f>
        <v>43.6096719663743</v>
      </c>
      <c r="Y323" s="0" t="n">
        <f aca="false">SUMPRODUCT(MMULT(I323:W323,_XtX!$B$78:$P$92),I323:W323)</f>
        <v>0.670040376005117</v>
      </c>
      <c r="Z323" s="0" t="n">
        <f aca="false">04_回帰ANOVA!$K$19*04_回帰ANOVA!$K$14*SQRT(1+Y323)</f>
        <v>1.68446456039992</v>
      </c>
      <c r="AA323" s="0" t="n">
        <f aca="false">X323-Z323</f>
        <v>41.9252074059744</v>
      </c>
      <c r="AB323" s="0" t="n">
        <f aca="false">X323+Z323</f>
        <v>45.2941365267742</v>
      </c>
      <c r="AC323" s="54" t="b">
        <f aca="false">AND(E323&gt;=01_因子設定!$L$5-0.000000001,E323&lt;=01_因子設定!$M$5+0.000000001,F323&gt;=01_因子設定!$L$6-0.000000001,F323&lt;=01_因子設定!$M$6+0.000000001,G323&gt;=01_因子設定!$L$7-0.000000001,G323&lt;=01_因子設定!$M$7+0.000000001,H323&gt;=01_因子設定!$L$8-0.000000001,H323&lt;=01_因子設定!$M$8+0.000000001,IF(01_因子設定!$B$20="Box-Behnken",E323^2+F323^2+G323^2+H323^2&lt;=2+0.000000001,TRUE()))</f>
        <v>1</v>
      </c>
      <c r="AD323" s="55" t="n">
        <f aca="false">IF(AC323,IF(01_因子設定!$B$13="最大化",AA323-01_因子設定!$B$14,IF(01_因子設定!$B$13="最小化",01_因子設定!$B$15-AB323,MIN(AA323-01_因子設定!$B$14,01_因子設定!$B$15-AB323))),-1E+030)</f>
        <v>-4.57479259402562</v>
      </c>
      <c r="AE323" s="55" t="n">
        <f aca="false">IF(AC323,IF(01_因子設定!$B$13="最大化",X323,IF(01_因子設定!$B$13="最小化",-X323,-ABS(X323-01_因子設定!$B$16))),-1E+030)</f>
        <v>43.6096719663743</v>
      </c>
      <c r="AF323" s="55" t="n">
        <f aca="false">AD323+ROW()*0.000000001</f>
        <v>-4.57479227102562</v>
      </c>
      <c r="AG323" s="55" t="n">
        <f aca="false">AE323+ROW()*0.000000001</f>
        <v>43.6096722893743</v>
      </c>
    </row>
    <row r="324" customFormat="false" ht="15" hidden="false" customHeight="false" outlineLevel="0" collapsed="false">
      <c r="A324" s="0" t="n">
        <v>0</v>
      </c>
      <c r="B324" s="0" t="n">
        <v>3</v>
      </c>
      <c r="C324" s="0" t="n">
        <v>8</v>
      </c>
      <c r="D324" s="0" t="n">
        <v>4</v>
      </c>
      <c r="E324" s="0" t="n">
        <f aca="false">-1+A324*0.25</f>
        <v>-1</v>
      </c>
      <c r="F324" s="0" t="n">
        <f aca="false">-1+B324*0.25</f>
        <v>-0.25</v>
      </c>
      <c r="G324" s="0" t="n">
        <f aca="false">-1+C324*0.25</f>
        <v>1</v>
      </c>
      <c r="H324" s="0" t="n">
        <f aca="false">-1+D324*0.25</f>
        <v>0</v>
      </c>
      <c r="I324" s="0" t="n">
        <f aca="false">1</f>
        <v>1</v>
      </c>
      <c r="J324" s="0" t="n">
        <f aca="false">E324</f>
        <v>-1</v>
      </c>
      <c r="K324" s="0" t="n">
        <f aca="false">F324</f>
        <v>-0.25</v>
      </c>
      <c r="L324" s="0" t="n">
        <f aca="false">G324</f>
        <v>1</v>
      </c>
      <c r="M324" s="0" t="n">
        <f aca="false">H324</f>
        <v>0</v>
      </c>
      <c r="N324" s="0" t="n">
        <f aca="false">E324*F324</f>
        <v>0.25</v>
      </c>
      <c r="O324" s="0" t="n">
        <f aca="false">E324*G324</f>
        <v>-1</v>
      </c>
      <c r="P324" s="0" t="n">
        <f aca="false">E324*H324</f>
        <v>-0</v>
      </c>
      <c r="Q324" s="0" t="n">
        <f aca="false">F324*G324</f>
        <v>-0.25</v>
      </c>
      <c r="R324" s="0" t="n">
        <f aca="false">F324*H324</f>
        <v>-0</v>
      </c>
      <c r="S324" s="0" t="n">
        <f aca="false">G324*H324</f>
        <v>0</v>
      </c>
      <c r="T324" s="0" t="n">
        <f aca="false">E324*E324</f>
        <v>1</v>
      </c>
      <c r="U324" s="0" t="n">
        <f aca="false">F324*F324</f>
        <v>0.0625</v>
      </c>
      <c r="V324" s="0" t="n">
        <f aca="false">G324*G324</f>
        <v>1</v>
      </c>
      <c r="W324" s="0" t="n">
        <f aca="false">H324*H324</f>
        <v>0</v>
      </c>
      <c r="X324" s="0" t="n">
        <f aca="false">SUMPRODUCT(I324:W324,_XtX!$B$96:$P$96)</f>
        <v>43.7888706140351</v>
      </c>
      <c r="Y324" s="0" t="n">
        <f aca="false">SUMPRODUCT(MMULT(I324:W324,_XtX!$B$78:$P$92),I324:W324)</f>
        <v>0.689692982456141</v>
      </c>
      <c r="Z324" s="0" t="n">
        <f aca="false">04_回帰ANOVA!$K$19*04_回帰ANOVA!$K$14*SQRT(1+Y324)</f>
        <v>1.69434674594998</v>
      </c>
      <c r="AA324" s="0" t="n">
        <f aca="false">X324-Z324</f>
        <v>42.0945238680851</v>
      </c>
      <c r="AB324" s="0" t="n">
        <f aca="false">X324+Z324</f>
        <v>45.4832173599851</v>
      </c>
      <c r="AC324" s="54" t="b">
        <f aca="false">AND(E324&gt;=01_因子設定!$L$5-0.000000001,E324&lt;=01_因子設定!$M$5+0.000000001,F324&gt;=01_因子設定!$L$6-0.000000001,F324&lt;=01_因子設定!$M$6+0.000000001,G324&gt;=01_因子設定!$L$7-0.000000001,G324&lt;=01_因子設定!$M$7+0.000000001,H324&gt;=01_因子設定!$L$8-0.000000001,H324&lt;=01_因子設定!$M$8+0.000000001,IF(01_因子設定!$B$20="Box-Behnken",E324^2+F324^2+G324^2+H324^2&lt;=2+0.000000001,TRUE()))</f>
        <v>1</v>
      </c>
      <c r="AD324" s="55" t="n">
        <f aca="false">IF(AC324,IF(01_因子設定!$B$13="最大化",AA324-01_因子設定!$B$14,IF(01_因子設定!$B$13="最小化",01_因子設定!$B$15-AB324,MIN(AA324-01_因子設定!$B$14,01_因子設定!$B$15-AB324))),-1E+030)</f>
        <v>-4.40547613191487</v>
      </c>
      <c r="AE324" s="55" t="n">
        <f aca="false">IF(AC324,IF(01_因子設定!$B$13="最大化",X324,IF(01_因子設定!$B$13="最小化",-X324,-ABS(X324-01_因子設定!$B$16))),-1E+030)</f>
        <v>43.7888706140351</v>
      </c>
      <c r="AF324" s="55" t="n">
        <f aca="false">AD324+ROW()*0.000000001</f>
        <v>-4.40547580791487</v>
      </c>
      <c r="AG324" s="55" t="n">
        <f aca="false">AE324+ROW()*0.000000001</f>
        <v>43.7888709380351</v>
      </c>
    </row>
    <row r="325" customFormat="false" ht="15" hidden="false" customHeight="false" outlineLevel="0" collapsed="false">
      <c r="A325" s="0" t="n">
        <v>0</v>
      </c>
      <c r="B325" s="0" t="n">
        <v>3</v>
      </c>
      <c r="C325" s="0" t="n">
        <v>8</v>
      </c>
      <c r="D325" s="0" t="n">
        <v>5</v>
      </c>
      <c r="E325" s="0" t="n">
        <f aca="false">-1+A325*0.25</f>
        <v>-1</v>
      </c>
      <c r="F325" s="0" t="n">
        <f aca="false">-1+B325*0.25</f>
        <v>-0.25</v>
      </c>
      <c r="G325" s="0" t="n">
        <f aca="false">-1+C325*0.25</f>
        <v>1</v>
      </c>
      <c r="H325" s="0" t="n">
        <f aca="false">-1+D325*0.25</f>
        <v>0.25</v>
      </c>
      <c r="I325" s="0" t="n">
        <f aca="false">1</f>
        <v>1</v>
      </c>
      <c r="J325" s="0" t="n">
        <f aca="false">E325</f>
        <v>-1</v>
      </c>
      <c r="K325" s="0" t="n">
        <f aca="false">F325</f>
        <v>-0.25</v>
      </c>
      <c r="L325" s="0" t="n">
        <f aca="false">G325</f>
        <v>1</v>
      </c>
      <c r="M325" s="0" t="n">
        <f aca="false">H325</f>
        <v>0.25</v>
      </c>
      <c r="N325" s="0" t="n">
        <f aca="false">E325*F325</f>
        <v>0.25</v>
      </c>
      <c r="O325" s="0" t="n">
        <f aca="false">E325*G325</f>
        <v>-1</v>
      </c>
      <c r="P325" s="0" t="n">
        <f aca="false">E325*H325</f>
        <v>-0.25</v>
      </c>
      <c r="Q325" s="0" t="n">
        <f aca="false">F325*G325</f>
        <v>-0.25</v>
      </c>
      <c r="R325" s="0" t="n">
        <f aca="false">F325*H325</f>
        <v>-0.0625</v>
      </c>
      <c r="S325" s="0" t="n">
        <f aca="false">G325*H325</f>
        <v>0.25</v>
      </c>
      <c r="T325" s="0" t="n">
        <f aca="false">E325*E325</f>
        <v>1</v>
      </c>
      <c r="U325" s="0" t="n">
        <f aca="false">F325*F325</f>
        <v>0.0625</v>
      </c>
      <c r="V325" s="0" t="n">
        <f aca="false">G325*G325</f>
        <v>1</v>
      </c>
      <c r="W325" s="0" t="n">
        <f aca="false">H325*H325</f>
        <v>0.0625</v>
      </c>
      <c r="X325" s="0" t="n">
        <f aca="false">SUMPRODUCT(I325:W325,_XtX!$B$96:$P$96)</f>
        <v>43.9202622441521</v>
      </c>
      <c r="Y325" s="0" t="n">
        <f aca="false">SUMPRODUCT(MMULT(I325:W325,_XtX!$B$78:$P$92),I325:W325)</f>
        <v>0.670040376005117</v>
      </c>
      <c r="Z325" s="0" t="n">
        <f aca="false">04_回帰ANOVA!$K$19*04_回帰ANOVA!$K$14*SQRT(1+Y325)</f>
        <v>1.68446456039992</v>
      </c>
      <c r="AA325" s="0" t="n">
        <f aca="false">X325-Z325</f>
        <v>42.2357976837522</v>
      </c>
      <c r="AB325" s="0" t="n">
        <f aca="false">X325+Z325</f>
        <v>45.604726804552</v>
      </c>
      <c r="AC325" s="54" t="b">
        <f aca="false">AND(E325&gt;=01_因子設定!$L$5-0.000000001,E325&lt;=01_因子設定!$M$5+0.000000001,F325&gt;=01_因子設定!$L$6-0.000000001,F325&lt;=01_因子設定!$M$6+0.000000001,G325&gt;=01_因子設定!$L$7-0.000000001,G325&lt;=01_因子設定!$M$7+0.000000001,H325&gt;=01_因子設定!$L$8-0.000000001,H325&lt;=01_因子設定!$M$8+0.000000001,IF(01_因子設定!$B$20="Box-Behnken",E325^2+F325^2+G325^2+H325^2&lt;=2+0.000000001,TRUE()))</f>
        <v>1</v>
      </c>
      <c r="AD325" s="55" t="n">
        <f aca="false">IF(AC325,IF(01_因子設定!$B$13="最大化",AA325-01_因子設定!$B$14,IF(01_因子設定!$B$13="最小化",01_因子設定!$B$15-AB325,MIN(AA325-01_因子設定!$B$14,01_因子設定!$B$15-AB325))),-1E+030)</f>
        <v>-4.26420231624784</v>
      </c>
      <c r="AE325" s="55" t="n">
        <f aca="false">IF(AC325,IF(01_因子設定!$B$13="最大化",X325,IF(01_因子設定!$B$13="最小化",-X325,-ABS(X325-01_因子設定!$B$16))),-1E+030)</f>
        <v>43.9202622441521</v>
      </c>
      <c r="AF325" s="55" t="n">
        <f aca="false">AD325+ROW()*0.000000001</f>
        <v>-4.26420199124784</v>
      </c>
      <c r="AG325" s="55" t="n">
        <f aca="false">AE325+ROW()*0.000000001</f>
        <v>43.9202625691521</v>
      </c>
    </row>
    <row r="326" customFormat="false" ht="15" hidden="false" customHeight="false" outlineLevel="0" collapsed="false">
      <c r="A326" s="0" t="n">
        <v>0</v>
      </c>
      <c r="B326" s="0" t="n">
        <v>3</v>
      </c>
      <c r="C326" s="0" t="n">
        <v>8</v>
      </c>
      <c r="D326" s="0" t="n">
        <v>6</v>
      </c>
      <c r="E326" s="0" t="n">
        <f aca="false">-1+A326*0.25</f>
        <v>-1</v>
      </c>
      <c r="F326" s="0" t="n">
        <f aca="false">-1+B326*0.25</f>
        <v>-0.25</v>
      </c>
      <c r="G326" s="0" t="n">
        <f aca="false">-1+C326*0.25</f>
        <v>1</v>
      </c>
      <c r="H326" s="0" t="n">
        <f aca="false">-1+D326*0.25</f>
        <v>0.5</v>
      </c>
      <c r="I326" s="0" t="n">
        <f aca="false">1</f>
        <v>1</v>
      </c>
      <c r="J326" s="0" t="n">
        <f aca="false">E326</f>
        <v>-1</v>
      </c>
      <c r="K326" s="0" t="n">
        <f aca="false">F326</f>
        <v>-0.25</v>
      </c>
      <c r="L326" s="0" t="n">
        <f aca="false">G326</f>
        <v>1</v>
      </c>
      <c r="M326" s="0" t="n">
        <f aca="false">H326</f>
        <v>0.5</v>
      </c>
      <c r="N326" s="0" t="n">
        <f aca="false">E326*F326</f>
        <v>0.25</v>
      </c>
      <c r="O326" s="0" t="n">
        <f aca="false">E326*G326</f>
        <v>-1</v>
      </c>
      <c r="P326" s="0" t="n">
        <f aca="false">E326*H326</f>
        <v>-0.5</v>
      </c>
      <c r="Q326" s="0" t="n">
        <f aca="false">F326*G326</f>
        <v>-0.25</v>
      </c>
      <c r="R326" s="0" t="n">
        <f aca="false">F326*H326</f>
        <v>-0.125</v>
      </c>
      <c r="S326" s="0" t="n">
        <f aca="false">G326*H326</f>
        <v>0.5</v>
      </c>
      <c r="T326" s="0" t="n">
        <f aca="false">E326*E326</f>
        <v>1</v>
      </c>
      <c r="U326" s="0" t="n">
        <f aca="false">F326*F326</f>
        <v>0.0625</v>
      </c>
      <c r="V326" s="0" t="n">
        <f aca="false">G326*G326</f>
        <v>1</v>
      </c>
      <c r="W326" s="0" t="n">
        <f aca="false">H326*H326</f>
        <v>0.25</v>
      </c>
      <c r="X326" s="0" t="n">
        <f aca="false">SUMPRODUCT(I326:W326,_XtX!$B$96:$P$96)</f>
        <v>44.0038468567252</v>
      </c>
      <c r="Y326" s="0" t="n">
        <f aca="false">SUMPRODUCT(MMULT(I326:W326,_XtX!$B$78:$P$92),I326:W326)</f>
        <v>0.629174661915205</v>
      </c>
      <c r="Z326" s="0" t="n">
        <f aca="false">04_回帰ANOVA!$K$19*04_回帰ANOVA!$K$14*SQRT(1+Y326)</f>
        <v>1.66372758058297</v>
      </c>
      <c r="AA326" s="0" t="n">
        <f aca="false">X326-Z326</f>
        <v>42.3401192761422</v>
      </c>
      <c r="AB326" s="0" t="n">
        <f aca="false">X326+Z326</f>
        <v>45.6675744373082</v>
      </c>
      <c r="AC326" s="54" t="b">
        <f aca="false">AND(E326&gt;=01_因子設定!$L$5-0.000000001,E326&lt;=01_因子設定!$M$5+0.000000001,F326&gt;=01_因子設定!$L$6-0.000000001,F326&lt;=01_因子設定!$M$6+0.000000001,G326&gt;=01_因子設定!$L$7-0.000000001,G326&lt;=01_因子設定!$M$7+0.000000001,H326&gt;=01_因子設定!$L$8-0.000000001,H326&lt;=01_因子設定!$M$8+0.000000001,IF(01_因子設定!$B$20="Box-Behnken",E326^2+F326^2+G326^2+H326^2&lt;=2+0.000000001,TRUE()))</f>
        <v>1</v>
      </c>
      <c r="AD326" s="55" t="n">
        <f aca="false">IF(AC326,IF(01_因子設定!$B$13="最大化",AA326-01_因子設定!$B$14,IF(01_因子設定!$B$13="最小化",01_因子設定!$B$15-AB326,MIN(AA326-01_因子設定!$B$14,01_因子設定!$B$15-AB326))),-1E+030)</f>
        <v>-4.15988072385779</v>
      </c>
      <c r="AE326" s="55" t="n">
        <f aca="false">IF(AC326,IF(01_因子設定!$B$13="最大化",X326,IF(01_因子設定!$B$13="最小化",-X326,-ABS(X326-01_因子設定!$B$16))),-1E+030)</f>
        <v>44.0038468567252</v>
      </c>
      <c r="AF326" s="55" t="n">
        <f aca="false">AD326+ROW()*0.000000001</f>
        <v>-4.15988039785779</v>
      </c>
      <c r="AG326" s="55" t="n">
        <f aca="false">AE326+ROW()*0.000000001</f>
        <v>44.0038471827252</v>
      </c>
    </row>
    <row r="327" customFormat="false" ht="15" hidden="false" customHeight="false" outlineLevel="0" collapsed="false">
      <c r="A327" s="0" t="n">
        <v>0</v>
      </c>
      <c r="B327" s="0" t="n">
        <v>3</v>
      </c>
      <c r="C327" s="0" t="n">
        <v>8</v>
      </c>
      <c r="D327" s="0" t="n">
        <v>7</v>
      </c>
      <c r="E327" s="0" t="n">
        <f aca="false">-1+A327*0.25</f>
        <v>-1</v>
      </c>
      <c r="F327" s="0" t="n">
        <f aca="false">-1+B327*0.25</f>
        <v>-0.25</v>
      </c>
      <c r="G327" s="0" t="n">
        <f aca="false">-1+C327*0.25</f>
        <v>1</v>
      </c>
      <c r="H327" s="0" t="n">
        <f aca="false">-1+D327*0.25</f>
        <v>0.75</v>
      </c>
      <c r="I327" s="0" t="n">
        <f aca="false">1</f>
        <v>1</v>
      </c>
      <c r="J327" s="0" t="n">
        <f aca="false">E327</f>
        <v>-1</v>
      </c>
      <c r="K327" s="0" t="n">
        <f aca="false">F327</f>
        <v>-0.25</v>
      </c>
      <c r="L327" s="0" t="n">
        <f aca="false">G327</f>
        <v>1</v>
      </c>
      <c r="M327" s="0" t="n">
        <f aca="false">H327</f>
        <v>0.75</v>
      </c>
      <c r="N327" s="0" t="n">
        <f aca="false">E327*F327</f>
        <v>0.25</v>
      </c>
      <c r="O327" s="0" t="n">
        <f aca="false">E327*G327</f>
        <v>-1</v>
      </c>
      <c r="P327" s="0" t="n">
        <f aca="false">E327*H327</f>
        <v>-0.75</v>
      </c>
      <c r="Q327" s="0" t="n">
        <f aca="false">F327*G327</f>
        <v>-0.25</v>
      </c>
      <c r="R327" s="0" t="n">
        <f aca="false">F327*H327</f>
        <v>-0.1875</v>
      </c>
      <c r="S327" s="0" t="n">
        <f aca="false">G327*H327</f>
        <v>0.75</v>
      </c>
      <c r="T327" s="0" t="n">
        <f aca="false">E327*E327</f>
        <v>1</v>
      </c>
      <c r="U327" s="0" t="n">
        <f aca="false">F327*F327</f>
        <v>0.0625</v>
      </c>
      <c r="V327" s="0" t="n">
        <f aca="false">G327*G327</f>
        <v>1</v>
      </c>
      <c r="W327" s="0" t="n">
        <f aca="false">H327*H327</f>
        <v>0.5625</v>
      </c>
      <c r="X327" s="0" t="n">
        <f aca="false">SUMPRODUCT(I327:W327,_XtX!$B$96:$P$96)</f>
        <v>44.0396244517544</v>
      </c>
      <c r="Y327" s="0" t="n">
        <f aca="false">SUMPRODUCT(MMULT(I327:W327,_XtX!$B$78:$P$92),I327:W327)</f>
        <v>0.621372155975877</v>
      </c>
      <c r="Z327" s="0" t="n">
        <f aca="false">04_回帰ANOVA!$K$19*04_回帰ANOVA!$K$14*SQRT(1+Y327)</f>
        <v>1.65973880499872</v>
      </c>
      <c r="AA327" s="0" t="n">
        <f aca="false">X327-Z327</f>
        <v>42.3798856467557</v>
      </c>
      <c r="AB327" s="0" t="n">
        <f aca="false">X327+Z327</f>
        <v>45.6993632567532</v>
      </c>
      <c r="AC327" s="54" t="b">
        <f aca="false">AND(E327&gt;=01_因子設定!$L$5-0.000000001,E327&lt;=01_因子設定!$M$5+0.000000001,F327&gt;=01_因子設定!$L$6-0.000000001,F327&lt;=01_因子設定!$M$6+0.000000001,G327&gt;=01_因子設定!$L$7-0.000000001,G327&lt;=01_因子設定!$M$7+0.000000001,H327&gt;=01_因子設定!$L$8-0.000000001,H327&lt;=01_因子設定!$M$8+0.000000001,IF(01_因子設定!$B$20="Box-Behnken",E327^2+F327^2+G327^2+H327^2&lt;=2+0.000000001,TRUE()))</f>
        <v>1</v>
      </c>
      <c r="AD327" s="55" t="n">
        <f aca="false">IF(AC327,IF(01_因子設定!$B$13="最大化",AA327-01_因子設定!$B$14,IF(01_因子設定!$B$13="最小化",01_因子設定!$B$15-AB327,MIN(AA327-01_因子設定!$B$14,01_因子設定!$B$15-AB327))),-1E+030)</f>
        <v>-4.12011435324428</v>
      </c>
      <c r="AE327" s="55" t="n">
        <f aca="false">IF(AC327,IF(01_因子設定!$B$13="最大化",X327,IF(01_因子設定!$B$13="最小化",-X327,-ABS(X327-01_因子設定!$B$16))),-1E+030)</f>
        <v>44.0396244517544</v>
      </c>
      <c r="AF327" s="55" t="n">
        <f aca="false">AD327+ROW()*0.000000001</f>
        <v>-4.12011402624428</v>
      </c>
      <c r="AG327" s="55" t="n">
        <f aca="false">AE327+ROW()*0.000000001</f>
        <v>44.0396247787544</v>
      </c>
    </row>
    <row r="328" customFormat="false" ht="15" hidden="false" customHeight="false" outlineLevel="0" collapsed="false">
      <c r="A328" s="0" t="n">
        <v>0</v>
      </c>
      <c r="B328" s="0" t="n">
        <v>3</v>
      </c>
      <c r="C328" s="0" t="n">
        <v>8</v>
      </c>
      <c r="D328" s="0" t="n">
        <v>8</v>
      </c>
      <c r="E328" s="0" t="n">
        <f aca="false">-1+A328*0.25</f>
        <v>-1</v>
      </c>
      <c r="F328" s="0" t="n">
        <f aca="false">-1+B328*0.25</f>
        <v>-0.25</v>
      </c>
      <c r="G328" s="0" t="n">
        <f aca="false">-1+C328*0.25</f>
        <v>1</v>
      </c>
      <c r="H328" s="0" t="n">
        <f aca="false">-1+D328*0.25</f>
        <v>1</v>
      </c>
      <c r="I328" s="0" t="n">
        <f aca="false">1</f>
        <v>1</v>
      </c>
      <c r="J328" s="0" t="n">
        <f aca="false">E328</f>
        <v>-1</v>
      </c>
      <c r="K328" s="0" t="n">
        <f aca="false">F328</f>
        <v>-0.25</v>
      </c>
      <c r="L328" s="0" t="n">
        <f aca="false">G328</f>
        <v>1</v>
      </c>
      <c r="M328" s="0" t="n">
        <f aca="false">H328</f>
        <v>1</v>
      </c>
      <c r="N328" s="0" t="n">
        <f aca="false">E328*F328</f>
        <v>0.25</v>
      </c>
      <c r="O328" s="0" t="n">
        <f aca="false">E328*G328</f>
        <v>-1</v>
      </c>
      <c r="P328" s="0" t="n">
        <f aca="false">E328*H328</f>
        <v>-1</v>
      </c>
      <c r="Q328" s="0" t="n">
        <f aca="false">F328*G328</f>
        <v>-0.25</v>
      </c>
      <c r="R328" s="0" t="n">
        <f aca="false">F328*H328</f>
        <v>-0.25</v>
      </c>
      <c r="S328" s="0" t="n">
        <f aca="false">G328*H328</f>
        <v>1</v>
      </c>
      <c r="T328" s="0" t="n">
        <f aca="false">E328*E328</f>
        <v>1</v>
      </c>
      <c r="U328" s="0" t="n">
        <f aca="false">F328*F328</f>
        <v>0.0625</v>
      </c>
      <c r="V328" s="0" t="n">
        <f aca="false">G328*G328</f>
        <v>1</v>
      </c>
      <c r="W328" s="0" t="n">
        <f aca="false">H328*H328</f>
        <v>1</v>
      </c>
      <c r="X328" s="0" t="n">
        <f aca="false">SUMPRODUCT(I328:W328,_XtX!$B$96:$P$96)</f>
        <v>44.0275950292398</v>
      </c>
      <c r="Y328" s="0" t="n">
        <f aca="false">SUMPRODUCT(MMULT(I328:W328,_XtX!$B$78:$P$92),I328:W328)</f>
        <v>0.737093384502924</v>
      </c>
      <c r="Z328" s="0" t="n">
        <f aca="false">04_回帰ANOVA!$K$19*04_回帰ANOVA!$K$14*SQRT(1+Y328)</f>
        <v>1.71794784853551</v>
      </c>
      <c r="AA328" s="0" t="n">
        <f aca="false">X328-Z328</f>
        <v>42.3096471807043</v>
      </c>
      <c r="AB328" s="0" t="n">
        <f aca="false">X328+Z328</f>
        <v>45.7455428777753</v>
      </c>
      <c r="AC328" s="54" t="b">
        <f aca="false">AND(E328&gt;=01_因子設定!$L$5-0.000000001,E328&lt;=01_因子設定!$M$5+0.000000001,F328&gt;=01_因子設定!$L$6-0.000000001,F328&lt;=01_因子設定!$M$6+0.000000001,G328&gt;=01_因子設定!$L$7-0.000000001,G328&lt;=01_因子設定!$M$7+0.000000001,H328&gt;=01_因子設定!$L$8-0.000000001,H328&lt;=01_因子設定!$M$8+0.000000001,IF(01_因子設定!$B$20="Box-Behnken",E328^2+F328^2+G328^2+H328^2&lt;=2+0.000000001,TRUE()))</f>
        <v>1</v>
      </c>
      <c r="AD328" s="55" t="n">
        <f aca="false">IF(AC328,IF(01_因子設定!$B$13="最大化",AA328-01_因子設定!$B$14,IF(01_因子設定!$B$13="最小化",01_因子設定!$B$15-AB328,MIN(AA328-01_因子設定!$B$14,01_因子設定!$B$15-AB328))),-1E+030)</f>
        <v>-4.19035281929567</v>
      </c>
      <c r="AE328" s="55" t="n">
        <f aca="false">IF(AC328,IF(01_因子設定!$B$13="最大化",X328,IF(01_因子設定!$B$13="最小化",-X328,-ABS(X328-01_因子設定!$B$16))),-1E+030)</f>
        <v>44.0275950292398</v>
      </c>
      <c r="AF328" s="55" t="n">
        <f aca="false">AD328+ROW()*0.000000001</f>
        <v>-4.19035249129567</v>
      </c>
      <c r="AG328" s="55" t="n">
        <f aca="false">AE328+ROW()*0.000000001</f>
        <v>44.0275953572398</v>
      </c>
    </row>
    <row r="329" customFormat="false" ht="15" hidden="false" customHeight="false" outlineLevel="0" collapsed="false">
      <c r="A329" s="0" t="n">
        <v>0</v>
      </c>
      <c r="B329" s="0" t="n">
        <v>4</v>
      </c>
      <c r="C329" s="0" t="n">
        <v>0</v>
      </c>
      <c r="D329" s="0" t="n">
        <v>0</v>
      </c>
      <c r="E329" s="0" t="n">
        <f aca="false">-1+A329*0.25</f>
        <v>-1</v>
      </c>
      <c r="F329" s="0" t="n">
        <f aca="false">-1+B329*0.25</f>
        <v>0</v>
      </c>
      <c r="G329" s="0" t="n">
        <f aca="false">-1+C329*0.25</f>
        <v>-1</v>
      </c>
      <c r="H329" s="0" t="n">
        <f aca="false">-1+D329*0.25</f>
        <v>-1</v>
      </c>
      <c r="I329" s="0" t="n">
        <f aca="false">1</f>
        <v>1</v>
      </c>
      <c r="J329" s="0" t="n">
        <f aca="false">E329</f>
        <v>-1</v>
      </c>
      <c r="K329" s="0" t="n">
        <f aca="false">F329</f>
        <v>0</v>
      </c>
      <c r="L329" s="0" t="n">
        <f aca="false">G329</f>
        <v>-1</v>
      </c>
      <c r="M329" s="0" t="n">
        <f aca="false">H329</f>
        <v>-1</v>
      </c>
      <c r="N329" s="0" t="n">
        <f aca="false">E329*F329</f>
        <v>-0</v>
      </c>
      <c r="O329" s="0" t="n">
        <f aca="false">E329*G329</f>
        <v>1</v>
      </c>
      <c r="P329" s="0" t="n">
        <f aca="false">E329*H329</f>
        <v>1</v>
      </c>
      <c r="Q329" s="0" t="n">
        <f aca="false">F329*G329</f>
        <v>-0</v>
      </c>
      <c r="R329" s="0" t="n">
        <f aca="false">F329*H329</f>
        <v>-0</v>
      </c>
      <c r="S329" s="0" t="n">
        <f aca="false">G329*H329</f>
        <v>1</v>
      </c>
      <c r="T329" s="0" t="n">
        <f aca="false">E329*E329</f>
        <v>1</v>
      </c>
      <c r="U329" s="0" t="n">
        <f aca="false">F329*F329</f>
        <v>0</v>
      </c>
      <c r="V329" s="0" t="n">
        <f aca="false">G329*G329</f>
        <v>1</v>
      </c>
      <c r="W329" s="0" t="n">
        <f aca="false">H329*H329</f>
        <v>1</v>
      </c>
      <c r="X329" s="0" t="n">
        <f aca="false">SUMPRODUCT(I329:W329,_XtX!$B$96:$P$96)</f>
        <v>40.6285818713451</v>
      </c>
      <c r="Y329" s="0" t="n">
        <f aca="false">SUMPRODUCT(MMULT(I329:W329,_XtX!$B$78:$P$92),I329:W329)</f>
        <v>0.766447368421053</v>
      </c>
      <c r="Z329" s="0" t="n">
        <f aca="false">04_回帰ANOVA!$K$19*04_回帰ANOVA!$K$14*SQRT(1+Y329)</f>
        <v>1.7324022685743</v>
      </c>
      <c r="AA329" s="0" t="n">
        <f aca="false">X329-Z329</f>
        <v>38.8961796027708</v>
      </c>
      <c r="AB329" s="0" t="n">
        <f aca="false">X329+Z329</f>
        <v>42.3609841399194</v>
      </c>
      <c r="AC329" s="54" t="b">
        <f aca="false">AND(E329&gt;=01_因子設定!$L$5-0.000000001,E329&lt;=01_因子設定!$M$5+0.000000001,F329&gt;=01_因子設定!$L$6-0.000000001,F329&lt;=01_因子設定!$M$6+0.000000001,G329&gt;=01_因子設定!$L$7-0.000000001,G329&lt;=01_因子設定!$M$7+0.000000001,H329&gt;=01_因子設定!$L$8-0.000000001,H329&lt;=01_因子設定!$M$8+0.000000001,IF(01_因子設定!$B$20="Box-Behnken",E329^2+F329^2+G329^2+H329^2&lt;=2+0.000000001,TRUE()))</f>
        <v>1</v>
      </c>
      <c r="AD329" s="55" t="n">
        <f aca="false">IF(AC329,IF(01_因子設定!$B$13="最大化",AA329-01_因子設定!$B$14,IF(01_因子設定!$B$13="最小化",01_因子設定!$B$15-AB329,MIN(AA329-01_因子設定!$B$14,01_因子設定!$B$15-AB329))),-1E+030)</f>
        <v>-7.60382039722921</v>
      </c>
      <c r="AE329" s="55" t="n">
        <f aca="false">IF(AC329,IF(01_因子設定!$B$13="最大化",X329,IF(01_因子設定!$B$13="最小化",-X329,-ABS(X329-01_因子設定!$B$16))),-1E+030)</f>
        <v>40.6285818713451</v>
      </c>
      <c r="AF329" s="55" t="n">
        <f aca="false">AD329+ROW()*0.000000001</f>
        <v>-7.60382006822921</v>
      </c>
      <c r="AG329" s="55" t="n">
        <f aca="false">AE329+ROW()*0.000000001</f>
        <v>40.6285822003451</v>
      </c>
    </row>
    <row r="330" customFormat="false" ht="15" hidden="false" customHeight="false" outlineLevel="0" collapsed="false">
      <c r="A330" s="0" t="n">
        <v>0</v>
      </c>
      <c r="B330" s="0" t="n">
        <v>4</v>
      </c>
      <c r="C330" s="0" t="n">
        <v>0</v>
      </c>
      <c r="D330" s="0" t="n">
        <v>1</v>
      </c>
      <c r="E330" s="0" t="n">
        <f aca="false">-1+A330*0.25</f>
        <v>-1</v>
      </c>
      <c r="F330" s="0" t="n">
        <f aca="false">-1+B330*0.25</f>
        <v>0</v>
      </c>
      <c r="G330" s="0" t="n">
        <f aca="false">-1+C330*0.25</f>
        <v>-1</v>
      </c>
      <c r="H330" s="0" t="n">
        <f aca="false">-1+D330*0.25</f>
        <v>-0.75</v>
      </c>
      <c r="I330" s="0" t="n">
        <f aca="false">1</f>
        <v>1</v>
      </c>
      <c r="J330" s="0" t="n">
        <f aca="false">E330</f>
        <v>-1</v>
      </c>
      <c r="K330" s="0" t="n">
        <f aca="false">F330</f>
        <v>0</v>
      </c>
      <c r="L330" s="0" t="n">
        <f aca="false">G330</f>
        <v>-1</v>
      </c>
      <c r="M330" s="0" t="n">
        <f aca="false">H330</f>
        <v>-0.75</v>
      </c>
      <c r="N330" s="0" t="n">
        <f aca="false">E330*F330</f>
        <v>-0</v>
      </c>
      <c r="O330" s="0" t="n">
        <f aca="false">E330*G330</f>
        <v>1</v>
      </c>
      <c r="P330" s="0" t="n">
        <f aca="false">E330*H330</f>
        <v>0.75</v>
      </c>
      <c r="Q330" s="0" t="n">
        <f aca="false">F330*G330</f>
        <v>-0</v>
      </c>
      <c r="R330" s="0" t="n">
        <f aca="false">F330*H330</f>
        <v>-0</v>
      </c>
      <c r="S330" s="0" t="n">
        <f aca="false">G330*H330</f>
        <v>0.75</v>
      </c>
      <c r="T330" s="0" t="n">
        <f aca="false">E330*E330</f>
        <v>1</v>
      </c>
      <c r="U330" s="0" t="n">
        <f aca="false">F330*F330</f>
        <v>0</v>
      </c>
      <c r="V330" s="0" t="n">
        <f aca="false">G330*G330</f>
        <v>1</v>
      </c>
      <c r="W330" s="0" t="n">
        <f aca="false">H330*H330</f>
        <v>0.5625</v>
      </c>
      <c r="X330" s="0" t="n">
        <f aca="false">SUMPRODUCT(I330:W330,_XtX!$B$96:$P$96)</f>
        <v>40.7941703216375</v>
      </c>
      <c r="Y330" s="0" t="n">
        <f aca="false">SUMPRODUCT(MMULT(I330:W330,_XtX!$B$78:$P$92),I330:W330)</f>
        <v>0.646198830409357</v>
      </c>
      <c r="Z330" s="0" t="n">
        <f aca="false">04_回帰ANOVA!$K$19*04_回帰ANOVA!$K$14*SQRT(1+Y330)</f>
        <v>1.67239760569756</v>
      </c>
      <c r="AA330" s="0" t="n">
        <f aca="false">X330-Z330</f>
        <v>39.1217727159399</v>
      </c>
      <c r="AB330" s="0" t="n">
        <f aca="false">X330+Z330</f>
        <v>42.466567927335</v>
      </c>
      <c r="AC330" s="54" t="b">
        <f aca="false">AND(E330&gt;=01_因子設定!$L$5-0.000000001,E330&lt;=01_因子設定!$M$5+0.000000001,F330&gt;=01_因子設定!$L$6-0.000000001,F330&lt;=01_因子設定!$M$6+0.000000001,G330&gt;=01_因子設定!$L$7-0.000000001,G330&lt;=01_因子設定!$M$7+0.000000001,H330&gt;=01_因子設定!$L$8-0.000000001,H330&lt;=01_因子設定!$M$8+0.000000001,IF(01_因子設定!$B$20="Box-Behnken",E330^2+F330^2+G330^2+H330^2&lt;=2+0.000000001,TRUE()))</f>
        <v>1</v>
      </c>
      <c r="AD330" s="55" t="n">
        <f aca="false">IF(AC330,IF(01_因子設定!$B$13="最大化",AA330-01_因子設定!$B$14,IF(01_因子設定!$B$13="最小化",01_因子設定!$B$15-AB330,MIN(AA330-01_因子設定!$B$14,01_因子設定!$B$15-AB330))),-1E+030)</f>
        <v>-7.37822728406007</v>
      </c>
      <c r="AE330" s="55" t="n">
        <f aca="false">IF(AC330,IF(01_因子設定!$B$13="最大化",X330,IF(01_因子設定!$B$13="最小化",-X330,-ABS(X330-01_因子設定!$B$16))),-1E+030)</f>
        <v>40.7941703216375</v>
      </c>
      <c r="AF330" s="55" t="n">
        <f aca="false">AD330+ROW()*0.000000001</f>
        <v>-7.37822695406007</v>
      </c>
      <c r="AG330" s="55" t="n">
        <f aca="false">AE330+ROW()*0.000000001</f>
        <v>40.7941706516375</v>
      </c>
    </row>
    <row r="331" customFormat="false" ht="15" hidden="false" customHeight="false" outlineLevel="0" collapsed="false">
      <c r="A331" s="0" t="n">
        <v>0</v>
      </c>
      <c r="B331" s="0" t="n">
        <v>4</v>
      </c>
      <c r="C331" s="0" t="n">
        <v>0</v>
      </c>
      <c r="D331" s="0" t="n">
        <v>2</v>
      </c>
      <c r="E331" s="0" t="n">
        <f aca="false">-1+A331*0.25</f>
        <v>-1</v>
      </c>
      <c r="F331" s="0" t="n">
        <f aca="false">-1+B331*0.25</f>
        <v>0</v>
      </c>
      <c r="G331" s="0" t="n">
        <f aca="false">-1+C331*0.25</f>
        <v>-1</v>
      </c>
      <c r="H331" s="0" t="n">
        <f aca="false">-1+D331*0.25</f>
        <v>-0.5</v>
      </c>
      <c r="I331" s="0" t="n">
        <f aca="false">1</f>
        <v>1</v>
      </c>
      <c r="J331" s="0" t="n">
        <f aca="false">E331</f>
        <v>-1</v>
      </c>
      <c r="K331" s="0" t="n">
        <f aca="false">F331</f>
        <v>0</v>
      </c>
      <c r="L331" s="0" t="n">
        <f aca="false">G331</f>
        <v>-1</v>
      </c>
      <c r="M331" s="0" t="n">
        <f aca="false">H331</f>
        <v>-0.5</v>
      </c>
      <c r="N331" s="0" t="n">
        <f aca="false">E331*F331</f>
        <v>-0</v>
      </c>
      <c r="O331" s="0" t="n">
        <f aca="false">E331*G331</f>
        <v>1</v>
      </c>
      <c r="P331" s="0" t="n">
        <f aca="false">E331*H331</f>
        <v>0.5</v>
      </c>
      <c r="Q331" s="0" t="n">
        <f aca="false">F331*G331</f>
        <v>-0</v>
      </c>
      <c r="R331" s="0" t="n">
        <f aca="false">F331*H331</f>
        <v>-0</v>
      </c>
      <c r="S331" s="0" t="n">
        <f aca="false">G331*H331</f>
        <v>0.5</v>
      </c>
      <c r="T331" s="0" t="n">
        <f aca="false">E331*E331</f>
        <v>1</v>
      </c>
      <c r="U331" s="0" t="n">
        <f aca="false">F331*F331</f>
        <v>0</v>
      </c>
      <c r="V331" s="0" t="n">
        <f aca="false">G331*G331</f>
        <v>1</v>
      </c>
      <c r="W331" s="0" t="n">
        <f aca="false">H331*H331</f>
        <v>0.25</v>
      </c>
      <c r="X331" s="0" t="n">
        <f aca="false">SUMPRODUCT(I331:W331,_XtX!$B$96:$P$96)</f>
        <v>40.911951754386</v>
      </c>
      <c r="Y331" s="0" t="n">
        <f aca="false">SUMPRODUCT(MMULT(I331:W331,_XtX!$B$78:$P$92),I331:W331)</f>
        <v>0.650767543859649</v>
      </c>
      <c r="Z331" s="0" t="n">
        <f aca="false">04_回帰ANOVA!$K$19*04_回帰ANOVA!$K$14*SQRT(1+Y331)</f>
        <v>1.67471670935165</v>
      </c>
      <c r="AA331" s="0" t="n">
        <f aca="false">X331-Z331</f>
        <v>39.2372350450344</v>
      </c>
      <c r="AB331" s="0" t="n">
        <f aca="false">X331+Z331</f>
        <v>42.5866684637377</v>
      </c>
      <c r="AC331" s="54" t="b">
        <f aca="false">AND(E331&gt;=01_因子設定!$L$5-0.000000001,E331&lt;=01_因子設定!$M$5+0.000000001,F331&gt;=01_因子設定!$L$6-0.000000001,F331&lt;=01_因子設定!$M$6+0.000000001,G331&gt;=01_因子設定!$L$7-0.000000001,G331&lt;=01_因子設定!$M$7+0.000000001,H331&gt;=01_因子設定!$L$8-0.000000001,H331&lt;=01_因子設定!$M$8+0.000000001,IF(01_因子設定!$B$20="Box-Behnken",E331^2+F331^2+G331^2+H331^2&lt;=2+0.000000001,TRUE()))</f>
        <v>1</v>
      </c>
      <c r="AD331" s="55" t="n">
        <f aca="false">IF(AC331,IF(01_因子設定!$B$13="最大化",AA331-01_因子設定!$B$14,IF(01_因子設定!$B$13="最小化",01_因子設定!$B$15-AB331,MIN(AA331-01_因子設定!$B$14,01_因子設定!$B$15-AB331))),-1E+030)</f>
        <v>-7.26276495496565</v>
      </c>
      <c r="AE331" s="55" t="n">
        <f aca="false">IF(AC331,IF(01_因子設定!$B$13="最大化",X331,IF(01_因子設定!$B$13="最小化",-X331,-ABS(X331-01_因子設定!$B$16))),-1E+030)</f>
        <v>40.911951754386</v>
      </c>
      <c r="AF331" s="55" t="n">
        <f aca="false">AD331+ROW()*0.000000001</f>
        <v>-7.26276462396565</v>
      </c>
      <c r="AG331" s="55" t="n">
        <f aca="false">AE331+ROW()*0.000000001</f>
        <v>40.911952085386</v>
      </c>
    </row>
    <row r="332" customFormat="false" ht="15" hidden="false" customHeight="false" outlineLevel="0" collapsed="false">
      <c r="A332" s="0" t="n">
        <v>0</v>
      </c>
      <c r="B332" s="0" t="n">
        <v>4</v>
      </c>
      <c r="C332" s="0" t="n">
        <v>0</v>
      </c>
      <c r="D332" s="0" t="n">
        <v>3</v>
      </c>
      <c r="E332" s="0" t="n">
        <f aca="false">-1+A332*0.25</f>
        <v>-1</v>
      </c>
      <c r="F332" s="0" t="n">
        <f aca="false">-1+B332*0.25</f>
        <v>0</v>
      </c>
      <c r="G332" s="0" t="n">
        <f aca="false">-1+C332*0.25</f>
        <v>-1</v>
      </c>
      <c r="H332" s="0" t="n">
        <f aca="false">-1+D332*0.25</f>
        <v>-0.25</v>
      </c>
      <c r="I332" s="0" t="n">
        <f aca="false">1</f>
        <v>1</v>
      </c>
      <c r="J332" s="0" t="n">
        <f aca="false">E332</f>
        <v>-1</v>
      </c>
      <c r="K332" s="0" t="n">
        <f aca="false">F332</f>
        <v>0</v>
      </c>
      <c r="L332" s="0" t="n">
        <f aca="false">G332</f>
        <v>-1</v>
      </c>
      <c r="M332" s="0" t="n">
        <f aca="false">H332</f>
        <v>-0.25</v>
      </c>
      <c r="N332" s="0" t="n">
        <f aca="false">E332*F332</f>
        <v>-0</v>
      </c>
      <c r="O332" s="0" t="n">
        <f aca="false">E332*G332</f>
        <v>1</v>
      </c>
      <c r="P332" s="0" t="n">
        <f aca="false">E332*H332</f>
        <v>0.25</v>
      </c>
      <c r="Q332" s="0" t="n">
        <f aca="false">F332*G332</f>
        <v>-0</v>
      </c>
      <c r="R332" s="0" t="n">
        <f aca="false">F332*H332</f>
        <v>-0</v>
      </c>
      <c r="S332" s="0" t="n">
        <f aca="false">G332*H332</f>
        <v>0.25</v>
      </c>
      <c r="T332" s="0" t="n">
        <f aca="false">E332*E332</f>
        <v>1</v>
      </c>
      <c r="U332" s="0" t="n">
        <f aca="false">F332*F332</f>
        <v>0</v>
      </c>
      <c r="V332" s="0" t="n">
        <f aca="false">G332*G332</f>
        <v>1</v>
      </c>
      <c r="W332" s="0" t="n">
        <f aca="false">H332*H332</f>
        <v>0.0625</v>
      </c>
      <c r="X332" s="0" t="n">
        <f aca="false">SUMPRODUCT(I332:W332,_XtX!$B$96:$P$96)</f>
        <v>40.9819261695907</v>
      </c>
      <c r="Y332" s="0" t="n">
        <f aca="false">SUMPRODUCT(MMULT(I332:W332,_XtX!$B$78:$P$92),I332:W332)</f>
        <v>0.689692982456141</v>
      </c>
      <c r="Z332" s="0" t="n">
        <f aca="false">04_回帰ANOVA!$K$19*04_回帰ANOVA!$K$14*SQRT(1+Y332)</f>
        <v>1.69434674594998</v>
      </c>
      <c r="AA332" s="0" t="n">
        <f aca="false">X332-Z332</f>
        <v>39.2875794236407</v>
      </c>
      <c r="AB332" s="0" t="n">
        <f aca="false">X332+Z332</f>
        <v>42.6762729155407</v>
      </c>
      <c r="AC332" s="54" t="b">
        <f aca="false">AND(E332&gt;=01_因子設定!$L$5-0.000000001,E332&lt;=01_因子設定!$M$5+0.000000001,F332&gt;=01_因子設定!$L$6-0.000000001,F332&lt;=01_因子設定!$M$6+0.000000001,G332&gt;=01_因子設定!$L$7-0.000000001,G332&lt;=01_因子設定!$M$7+0.000000001,H332&gt;=01_因子設定!$L$8-0.000000001,H332&lt;=01_因子設定!$M$8+0.000000001,IF(01_因子設定!$B$20="Box-Behnken",E332^2+F332^2+G332^2+H332^2&lt;=2+0.000000001,TRUE()))</f>
        <v>1</v>
      </c>
      <c r="AD332" s="55" t="n">
        <f aca="false">IF(AC332,IF(01_因子設定!$B$13="最大化",AA332-01_因子設定!$B$14,IF(01_因子設定!$B$13="最小化",01_因子設定!$B$15-AB332,MIN(AA332-01_因子設定!$B$14,01_因子設定!$B$15-AB332))),-1E+030)</f>
        <v>-7.21242057635931</v>
      </c>
      <c r="AE332" s="55" t="n">
        <f aca="false">IF(AC332,IF(01_因子設定!$B$13="最大化",X332,IF(01_因子設定!$B$13="最小化",-X332,-ABS(X332-01_因子設定!$B$16))),-1E+030)</f>
        <v>40.9819261695907</v>
      </c>
      <c r="AF332" s="55" t="n">
        <f aca="false">AD332+ROW()*0.000000001</f>
        <v>-7.21242024435931</v>
      </c>
      <c r="AG332" s="55" t="n">
        <f aca="false">AE332+ROW()*0.000000001</f>
        <v>40.9819265015907</v>
      </c>
    </row>
    <row r="333" customFormat="false" ht="15" hidden="false" customHeight="false" outlineLevel="0" collapsed="false">
      <c r="A333" s="0" t="n">
        <v>0</v>
      </c>
      <c r="B333" s="0" t="n">
        <v>4</v>
      </c>
      <c r="C333" s="0" t="n">
        <v>0</v>
      </c>
      <c r="D333" s="0" t="n">
        <v>4</v>
      </c>
      <c r="E333" s="0" t="n">
        <f aca="false">-1+A333*0.25</f>
        <v>-1</v>
      </c>
      <c r="F333" s="0" t="n">
        <f aca="false">-1+B333*0.25</f>
        <v>0</v>
      </c>
      <c r="G333" s="0" t="n">
        <f aca="false">-1+C333*0.25</f>
        <v>-1</v>
      </c>
      <c r="H333" s="0" t="n">
        <f aca="false">-1+D333*0.25</f>
        <v>0</v>
      </c>
      <c r="I333" s="0" t="n">
        <f aca="false">1</f>
        <v>1</v>
      </c>
      <c r="J333" s="0" t="n">
        <f aca="false">E333</f>
        <v>-1</v>
      </c>
      <c r="K333" s="0" t="n">
        <f aca="false">F333</f>
        <v>0</v>
      </c>
      <c r="L333" s="0" t="n">
        <f aca="false">G333</f>
        <v>-1</v>
      </c>
      <c r="M333" s="0" t="n">
        <f aca="false">H333</f>
        <v>0</v>
      </c>
      <c r="N333" s="0" t="n">
        <f aca="false">E333*F333</f>
        <v>-0</v>
      </c>
      <c r="O333" s="0" t="n">
        <f aca="false">E333*G333</f>
        <v>1</v>
      </c>
      <c r="P333" s="0" t="n">
        <f aca="false">E333*H333</f>
        <v>-0</v>
      </c>
      <c r="Q333" s="0" t="n">
        <f aca="false">F333*G333</f>
        <v>-0</v>
      </c>
      <c r="R333" s="0" t="n">
        <f aca="false">F333*H333</f>
        <v>0</v>
      </c>
      <c r="S333" s="0" t="n">
        <f aca="false">G333*H333</f>
        <v>-0</v>
      </c>
      <c r="T333" s="0" t="n">
        <f aca="false">E333*E333</f>
        <v>1</v>
      </c>
      <c r="U333" s="0" t="n">
        <f aca="false">F333*F333</f>
        <v>0</v>
      </c>
      <c r="V333" s="0" t="n">
        <f aca="false">G333*G333</f>
        <v>1</v>
      </c>
      <c r="W333" s="0" t="n">
        <f aca="false">H333*H333</f>
        <v>0</v>
      </c>
      <c r="X333" s="0" t="n">
        <f aca="false">SUMPRODUCT(I333:W333,_XtX!$B$96:$P$96)</f>
        <v>41.0040935672515</v>
      </c>
      <c r="Y333" s="0" t="n">
        <f aca="false">SUMPRODUCT(MMULT(I333:W333,_XtX!$B$78:$P$92),I333:W333)</f>
        <v>0.708698830409357</v>
      </c>
      <c r="Z333" s="0" t="n">
        <f aca="false">04_回帰ANOVA!$K$19*04_回帰ANOVA!$K$14*SQRT(1+Y333)</f>
        <v>1.70384919651719</v>
      </c>
      <c r="AA333" s="0" t="n">
        <f aca="false">X333-Z333</f>
        <v>39.3002443707343</v>
      </c>
      <c r="AB333" s="0" t="n">
        <f aca="false">X333+Z333</f>
        <v>42.7079427637687</v>
      </c>
      <c r="AC333" s="54" t="b">
        <f aca="false">AND(E333&gt;=01_因子設定!$L$5-0.000000001,E333&lt;=01_因子設定!$M$5+0.000000001,F333&gt;=01_因子設定!$L$6-0.000000001,F333&lt;=01_因子設定!$M$6+0.000000001,G333&gt;=01_因子設定!$L$7-0.000000001,G333&lt;=01_因子設定!$M$7+0.000000001,H333&gt;=01_因子設定!$L$8-0.000000001,H333&lt;=01_因子設定!$M$8+0.000000001,IF(01_因子設定!$B$20="Box-Behnken",E333^2+F333^2+G333^2+H333^2&lt;=2+0.000000001,TRUE()))</f>
        <v>1</v>
      </c>
      <c r="AD333" s="55" t="n">
        <f aca="false">IF(AC333,IF(01_因子設定!$B$13="最大化",AA333-01_因子設定!$B$14,IF(01_因子設定!$B$13="最小化",01_因子設定!$B$15-AB333,MIN(AA333-01_因子設定!$B$14,01_因子設定!$B$15-AB333))),-1E+030)</f>
        <v>-7.1997556292657</v>
      </c>
      <c r="AE333" s="55" t="n">
        <f aca="false">IF(AC333,IF(01_因子設定!$B$13="最大化",X333,IF(01_因子設定!$B$13="最小化",-X333,-ABS(X333-01_因子設定!$B$16))),-1E+030)</f>
        <v>41.0040935672515</v>
      </c>
      <c r="AF333" s="55" t="n">
        <f aca="false">AD333+ROW()*0.000000001</f>
        <v>-7.1997552962657</v>
      </c>
      <c r="AG333" s="55" t="n">
        <f aca="false">AE333+ROW()*0.000000001</f>
        <v>41.0040939002515</v>
      </c>
    </row>
    <row r="334" customFormat="false" ht="15" hidden="false" customHeight="false" outlineLevel="0" collapsed="false">
      <c r="A334" s="0" t="n">
        <v>0</v>
      </c>
      <c r="B334" s="0" t="n">
        <v>4</v>
      </c>
      <c r="C334" s="0" t="n">
        <v>0</v>
      </c>
      <c r="D334" s="0" t="n">
        <v>5</v>
      </c>
      <c r="E334" s="0" t="n">
        <f aca="false">-1+A334*0.25</f>
        <v>-1</v>
      </c>
      <c r="F334" s="0" t="n">
        <f aca="false">-1+B334*0.25</f>
        <v>0</v>
      </c>
      <c r="G334" s="0" t="n">
        <f aca="false">-1+C334*0.25</f>
        <v>-1</v>
      </c>
      <c r="H334" s="0" t="n">
        <f aca="false">-1+D334*0.25</f>
        <v>0.25</v>
      </c>
      <c r="I334" s="0" t="n">
        <f aca="false">1</f>
        <v>1</v>
      </c>
      <c r="J334" s="0" t="n">
        <f aca="false">E334</f>
        <v>-1</v>
      </c>
      <c r="K334" s="0" t="n">
        <f aca="false">F334</f>
        <v>0</v>
      </c>
      <c r="L334" s="0" t="n">
        <f aca="false">G334</f>
        <v>-1</v>
      </c>
      <c r="M334" s="0" t="n">
        <f aca="false">H334</f>
        <v>0.25</v>
      </c>
      <c r="N334" s="0" t="n">
        <f aca="false">E334*F334</f>
        <v>-0</v>
      </c>
      <c r="O334" s="0" t="n">
        <f aca="false">E334*G334</f>
        <v>1</v>
      </c>
      <c r="P334" s="0" t="n">
        <f aca="false">E334*H334</f>
        <v>-0.25</v>
      </c>
      <c r="Q334" s="0" t="n">
        <f aca="false">F334*G334</f>
        <v>-0</v>
      </c>
      <c r="R334" s="0" t="n">
        <f aca="false">F334*H334</f>
        <v>0</v>
      </c>
      <c r="S334" s="0" t="n">
        <f aca="false">G334*H334</f>
        <v>-0.25</v>
      </c>
      <c r="T334" s="0" t="n">
        <f aca="false">E334*E334</f>
        <v>1</v>
      </c>
      <c r="U334" s="0" t="n">
        <f aca="false">F334*F334</f>
        <v>0</v>
      </c>
      <c r="V334" s="0" t="n">
        <f aca="false">G334*G334</f>
        <v>1</v>
      </c>
      <c r="W334" s="0" t="n">
        <f aca="false">H334*H334</f>
        <v>0.0625</v>
      </c>
      <c r="X334" s="0" t="n">
        <f aca="false">SUMPRODUCT(I334:W334,_XtX!$B$96:$P$96)</f>
        <v>40.9784539473685</v>
      </c>
      <c r="Y334" s="0" t="n">
        <f aca="false">SUMPRODUCT(MMULT(I334:W334,_XtX!$B$78:$P$92),I334:W334)</f>
        <v>0.689692982456141</v>
      </c>
      <c r="Z334" s="0" t="n">
        <f aca="false">04_回帰ANOVA!$K$19*04_回帰ANOVA!$K$14*SQRT(1+Y334)</f>
        <v>1.69434674594998</v>
      </c>
      <c r="AA334" s="0" t="n">
        <f aca="false">X334-Z334</f>
        <v>39.2841072014185</v>
      </c>
      <c r="AB334" s="0" t="n">
        <f aca="false">X334+Z334</f>
        <v>42.6728006933184</v>
      </c>
      <c r="AC334" s="54" t="b">
        <f aca="false">AND(E334&gt;=01_因子設定!$L$5-0.000000001,E334&lt;=01_因子設定!$M$5+0.000000001,F334&gt;=01_因子設定!$L$6-0.000000001,F334&lt;=01_因子設定!$M$6+0.000000001,G334&gt;=01_因子設定!$L$7-0.000000001,G334&lt;=01_因子設定!$M$7+0.000000001,H334&gt;=01_因子設定!$L$8-0.000000001,H334&lt;=01_因子設定!$M$8+0.000000001,IF(01_因子設定!$B$20="Box-Behnken",E334^2+F334^2+G334^2+H334^2&lt;=2+0.000000001,TRUE()))</f>
        <v>1</v>
      </c>
      <c r="AD334" s="55" t="n">
        <f aca="false">IF(AC334,IF(01_因子設定!$B$13="最大化",AA334-01_因子設定!$B$14,IF(01_因子設定!$B$13="最小化",01_因子設定!$B$15-AB334,MIN(AA334-01_因子設定!$B$14,01_因子設定!$B$15-AB334))),-1E+030)</f>
        <v>-7.21589279858154</v>
      </c>
      <c r="AE334" s="55" t="n">
        <f aca="false">IF(AC334,IF(01_因子設定!$B$13="最大化",X334,IF(01_因子設定!$B$13="最小化",-X334,-ABS(X334-01_因子設定!$B$16))),-1E+030)</f>
        <v>40.9784539473685</v>
      </c>
      <c r="AF334" s="55" t="n">
        <f aca="false">AD334+ROW()*0.000000001</f>
        <v>-7.21589246458154</v>
      </c>
      <c r="AG334" s="55" t="n">
        <f aca="false">AE334+ROW()*0.000000001</f>
        <v>40.9784542813685</v>
      </c>
    </row>
    <row r="335" customFormat="false" ht="15" hidden="false" customHeight="false" outlineLevel="0" collapsed="false">
      <c r="A335" s="0" t="n">
        <v>0</v>
      </c>
      <c r="B335" s="0" t="n">
        <v>4</v>
      </c>
      <c r="C335" s="0" t="n">
        <v>0</v>
      </c>
      <c r="D335" s="0" t="n">
        <v>6</v>
      </c>
      <c r="E335" s="0" t="n">
        <f aca="false">-1+A335*0.25</f>
        <v>-1</v>
      </c>
      <c r="F335" s="0" t="n">
        <f aca="false">-1+B335*0.25</f>
        <v>0</v>
      </c>
      <c r="G335" s="0" t="n">
        <f aca="false">-1+C335*0.25</f>
        <v>-1</v>
      </c>
      <c r="H335" s="0" t="n">
        <f aca="false">-1+D335*0.25</f>
        <v>0.5</v>
      </c>
      <c r="I335" s="0" t="n">
        <f aca="false">1</f>
        <v>1</v>
      </c>
      <c r="J335" s="0" t="n">
        <f aca="false">E335</f>
        <v>-1</v>
      </c>
      <c r="K335" s="0" t="n">
        <f aca="false">F335</f>
        <v>0</v>
      </c>
      <c r="L335" s="0" t="n">
        <f aca="false">G335</f>
        <v>-1</v>
      </c>
      <c r="M335" s="0" t="n">
        <f aca="false">H335</f>
        <v>0.5</v>
      </c>
      <c r="N335" s="0" t="n">
        <f aca="false">E335*F335</f>
        <v>-0</v>
      </c>
      <c r="O335" s="0" t="n">
        <f aca="false">E335*G335</f>
        <v>1</v>
      </c>
      <c r="P335" s="0" t="n">
        <f aca="false">E335*H335</f>
        <v>-0.5</v>
      </c>
      <c r="Q335" s="0" t="n">
        <f aca="false">F335*G335</f>
        <v>-0</v>
      </c>
      <c r="R335" s="0" t="n">
        <f aca="false">F335*H335</f>
        <v>0</v>
      </c>
      <c r="S335" s="0" t="n">
        <f aca="false">G335*H335</f>
        <v>-0.5</v>
      </c>
      <c r="T335" s="0" t="n">
        <f aca="false">E335*E335</f>
        <v>1</v>
      </c>
      <c r="U335" s="0" t="n">
        <f aca="false">F335*F335</f>
        <v>0</v>
      </c>
      <c r="V335" s="0" t="n">
        <f aca="false">G335*G335</f>
        <v>1</v>
      </c>
      <c r="W335" s="0" t="n">
        <f aca="false">H335*H335</f>
        <v>0.25</v>
      </c>
      <c r="X335" s="0" t="n">
        <f aca="false">SUMPRODUCT(I335:W335,_XtX!$B$96:$P$96)</f>
        <v>40.9050073099416</v>
      </c>
      <c r="Y335" s="0" t="n">
        <f aca="false">SUMPRODUCT(MMULT(I335:W335,_XtX!$B$78:$P$92),I335:W335)</f>
        <v>0.650767543859649</v>
      </c>
      <c r="Z335" s="0" t="n">
        <f aca="false">04_回帰ANOVA!$K$19*04_回帰ANOVA!$K$14*SQRT(1+Y335)</f>
        <v>1.67471670935165</v>
      </c>
      <c r="AA335" s="0" t="n">
        <f aca="false">X335-Z335</f>
        <v>39.2302906005899</v>
      </c>
      <c r="AB335" s="0" t="n">
        <f aca="false">X335+Z335</f>
        <v>42.5797240192932</v>
      </c>
      <c r="AC335" s="54" t="b">
        <f aca="false">AND(E335&gt;=01_因子設定!$L$5-0.000000001,E335&lt;=01_因子設定!$M$5+0.000000001,F335&gt;=01_因子設定!$L$6-0.000000001,F335&lt;=01_因子設定!$M$6+0.000000001,G335&gt;=01_因子設定!$L$7-0.000000001,G335&lt;=01_因子設定!$M$7+0.000000001,H335&gt;=01_因子設定!$L$8-0.000000001,H335&lt;=01_因子設定!$M$8+0.000000001,IF(01_因子設定!$B$20="Box-Behnken",E335^2+F335^2+G335^2+H335^2&lt;=2+0.000000001,TRUE()))</f>
        <v>1</v>
      </c>
      <c r="AD335" s="55" t="n">
        <f aca="false">IF(AC335,IF(01_因子設定!$B$13="最大化",AA335-01_因子設定!$B$14,IF(01_因子設定!$B$13="最小化",01_因子設定!$B$15-AB335,MIN(AA335-01_因子設定!$B$14,01_因子設定!$B$15-AB335))),-1E+030)</f>
        <v>-7.26970939941009</v>
      </c>
      <c r="AE335" s="55" t="n">
        <f aca="false">IF(AC335,IF(01_因子設定!$B$13="最大化",X335,IF(01_因子設定!$B$13="最小化",-X335,-ABS(X335-01_因子設定!$B$16))),-1E+030)</f>
        <v>40.9050073099416</v>
      </c>
      <c r="AF335" s="55" t="n">
        <f aca="false">AD335+ROW()*0.000000001</f>
        <v>-7.26970906441009</v>
      </c>
      <c r="AG335" s="55" t="n">
        <f aca="false">AE335+ROW()*0.000000001</f>
        <v>40.9050076449416</v>
      </c>
    </row>
    <row r="336" customFormat="false" ht="15" hidden="false" customHeight="false" outlineLevel="0" collapsed="false">
      <c r="A336" s="0" t="n">
        <v>0</v>
      </c>
      <c r="B336" s="0" t="n">
        <v>4</v>
      </c>
      <c r="C336" s="0" t="n">
        <v>0</v>
      </c>
      <c r="D336" s="0" t="n">
        <v>7</v>
      </c>
      <c r="E336" s="0" t="n">
        <f aca="false">-1+A336*0.25</f>
        <v>-1</v>
      </c>
      <c r="F336" s="0" t="n">
        <f aca="false">-1+B336*0.25</f>
        <v>0</v>
      </c>
      <c r="G336" s="0" t="n">
        <f aca="false">-1+C336*0.25</f>
        <v>-1</v>
      </c>
      <c r="H336" s="0" t="n">
        <f aca="false">-1+D336*0.25</f>
        <v>0.75</v>
      </c>
      <c r="I336" s="0" t="n">
        <f aca="false">1</f>
        <v>1</v>
      </c>
      <c r="J336" s="0" t="n">
        <f aca="false">E336</f>
        <v>-1</v>
      </c>
      <c r="K336" s="0" t="n">
        <f aca="false">F336</f>
        <v>0</v>
      </c>
      <c r="L336" s="0" t="n">
        <f aca="false">G336</f>
        <v>-1</v>
      </c>
      <c r="M336" s="0" t="n">
        <f aca="false">H336</f>
        <v>0.75</v>
      </c>
      <c r="N336" s="0" t="n">
        <f aca="false">E336*F336</f>
        <v>-0</v>
      </c>
      <c r="O336" s="0" t="n">
        <f aca="false">E336*G336</f>
        <v>1</v>
      </c>
      <c r="P336" s="0" t="n">
        <f aca="false">E336*H336</f>
        <v>-0.75</v>
      </c>
      <c r="Q336" s="0" t="n">
        <f aca="false">F336*G336</f>
        <v>-0</v>
      </c>
      <c r="R336" s="0" t="n">
        <f aca="false">F336*H336</f>
        <v>0</v>
      </c>
      <c r="S336" s="0" t="n">
        <f aca="false">G336*H336</f>
        <v>-0.75</v>
      </c>
      <c r="T336" s="0" t="n">
        <f aca="false">E336*E336</f>
        <v>1</v>
      </c>
      <c r="U336" s="0" t="n">
        <f aca="false">F336*F336</f>
        <v>0</v>
      </c>
      <c r="V336" s="0" t="n">
        <f aca="false">G336*G336</f>
        <v>1</v>
      </c>
      <c r="W336" s="0" t="n">
        <f aca="false">H336*H336</f>
        <v>0.5625</v>
      </c>
      <c r="X336" s="0" t="n">
        <f aca="false">SUMPRODUCT(I336:W336,_XtX!$B$96:$P$96)</f>
        <v>40.7837536549708</v>
      </c>
      <c r="Y336" s="0" t="n">
        <f aca="false">SUMPRODUCT(MMULT(I336:W336,_XtX!$B$78:$P$92),I336:W336)</f>
        <v>0.646198830409357</v>
      </c>
      <c r="Z336" s="0" t="n">
        <f aca="false">04_回帰ANOVA!$K$19*04_回帰ANOVA!$K$14*SQRT(1+Y336)</f>
        <v>1.67239760569756</v>
      </c>
      <c r="AA336" s="0" t="n">
        <f aca="false">X336-Z336</f>
        <v>39.1113560492733</v>
      </c>
      <c r="AB336" s="0" t="n">
        <f aca="false">X336+Z336</f>
        <v>42.4561512606684</v>
      </c>
      <c r="AC336" s="54" t="b">
        <f aca="false">AND(E336&gt;=01_因子設定!$L$5-0.000000001,E336&lt;=01_因子設定!$M$5+0.000000001,F336&gt;=01_因子設定!$L$6-0.000000001,F336&lt;=01_因子設定!$M$6+0.000000001,G336&gt;=01_因子設定!$L$7-0.000000001,G336&lt;=01_因子設定!$M$7+0.000000001,H336&gt;=01_因子設定!$L$8-0.000000001,H336&lt;=01_因子設定!$M$8+0.000000001,IF(01_因子設定!$B$20="Box-Behnken",E336^2+F336^2+G336^2+H336^2&lt;=2+0.000000001,TRUE()))</f>
        <v>1</v>
      </c>
      <c r="AD336" s="55" t="n">
        <f aca="false">IF(AC336,IF(01_因子設定!$B$13="最大化",AA336-01_因子設定!$B$14,IF(01_因子設定!$B$13="最小化",01_因子設定!$B$15-AB336,MIN(AA336-01_因子設定!$B$14,01_因子設定!$B$15-AB336))),-1E+030)</f>
        <v>-7.38864395072675</v>
      </c>
      <c r="AE336" s="55" t="n">
        <f aca="false">IF(AC336,IF(01_因子設定!$B$13="最大化",X336,IF(01_因子設定!$B$13="最小化",-X336,-ABS(X336-01_因子設定!$B$16))),-1E+030)</f>
        <v>40.7837536549708</v>
      </c>
      <c r="AF336" s="55" t="n">
        <f aca="false">AD336+ROW()*0.000000001</f>
        <v>-7.38864361472675</v>
      </c>
      <c r="AG336" s="55" t="n">
        <f aca="false">AE336+ROW()*0.000000001</f>
        <v>40.7837539909708</v>
      </c>
    </row>
    <row r="337" customFormat="false" ht="15" hidden="false" customHeight="false" outlineLevel="0" collapsed="false">
      <c r="A337" s="0" t="n">
        <v>0</v>
      </c>
      <c r="B337" s="0" t="n">
        <v>4</v>
      </c>
      <c r="C337" s="0" t="n">
        <v>0</v>
      </c>
      <c r="D337" s="0" t="n">
        <v>8</v>
      </c>
      <c r="E337" s="0" t="n">
        <f aca="false">-1+A337*0.25</f>
        <v>-1</v>
      </c>
      <c r="F337" s="0" t="n">
        <f aca="false">-1+B337*0.25</f>
        <v>0</v>
      </c>
      <c r="G337" s="0" t="n">
        <f aca="false">-1+C337*0.25</f>
        <v>-1</v>
      </c>
      <c r="H337" s="0" t="n">
        <f aca="false">-1+D337*0.25</f>
        <v>1</v>
      </c>
      <c r="I337" s="0" t="n">
        <f aca="false">1</f>
        <v>1</v>
      </c>
      <c r="J337" s="0" t="n">
        <f aca="false">E337</f>
        <v>-1</v>
      </c>
      <c r="K337" s="0" t="n">
        <f aca="false">F337</f>
        <v>0</v>
      </c>
      <c r="L337" s="0" t="n">
        <f aca="false">G337</f>
        <v>-1</v>
      </c>
      <c r="M337" s="0" t="n">
        <f aca="false">H337</f>
        <v>1</v>
      </c>
      <c r="N337" s="0" t="n">
        <f aca="false">E337*F337</f>
        <v>-0</v>
      </c>
      <c r="O337" s="0" t="n">
        <f aca="false">E337*G337</f>
        <v>1</v>
      </c>
      <c r="P337" s="0" t="n">
        <f aca="false">E337*H337</f>
        <v>-1</v>
      </c>
      <c r="Q337" s="0" t="n">
        <f aca="false">F337*G337</f>
        <v>-0</v>
      </c>
      <c r="R337" s="0" t="n">
        <f aca="false">F337*H337</f>
        <v>0</v>
      </c>
      <c r="S337" s="0" t="n">
        <f aca="false">G337*H337</f>
        <v>-1</v>
      </c>
      <c r="T337" s="0" t="n">
        <f aca="false">E337*E337</f>
        <v>1</v>
      </c>
      <c r="U337" s="0" t="n">
        <f aca="false">F337*F337</f>
        <v>0</v>
      </c>
      <c r="V337" s="0" t="n">
        <f aca="false">G337*G337</f>
        <v>1</v>
      </c>
      <c r="W337" s="0" t="n">
        <f aca="false">H337*H337</f>
        <v>1</v>
      </c>
      <c r="X337" s="0" t="n">
        <f aca="false">SUMPRODUCT(I337:W337,_XtX!$B$96:$P$96)</f>
        <v>40.6146929824562</v>
      </c>
      <c r="Y337" s="0" t="n">
        <f aca="false">SUMPRODUCT(MMULT(I337:W337,_XtX!$B$78:$P$92),I337:W337)</f>
        <v>0.766447368421053</v>
      </c>
      <c r="Z337" s="0" t="n">
        <f aca="false">04_回帰ANOVA!$K$19*04_回帰ANOVA!$K$14*SQRT(1+Y337)</f>
        <v>1.7324022685743</v>
      </c>
      <c r="AA337" s="0" t="n">
        <f aca="false">X337-Z337</f>
        <v>38.8822907138819</v>
      </c>
      <c r="AB337" s="0" t="n">
        <f aca="false">X337+Z337</f>
        <v>42.3470952510305</v>
      </c>
      <c r="AC337" s="54" t="b">
        <f aca="false">AND(E337&gt;=01_因子設定!$L$5-0.000000001,E337&lt;=01_因子設定!$M$5+0.000000001,F337&gt;=01_因子設定!$L$6-0.000000001,F337&lt;=01_因子設定!$M$6+0.000000001,G337&gt;=01_因子設定!$L$7-0.000000001,G337&lt;=01_因子設定!$M$7+0.000000001,H337&gt;=01_因子設定!$L$8-0.000000001,H337&lt;=01_因子設定!$M$8+0.000000001,IF(01_因子設定!$B$20="Box-Behnken",E337^2+F337^2+G337^2+H337^2&lt;=2+0.000000001,TRUE()))</f>
        <v>1</v>
      </c>
      <c r="AD337" s="55" t="n">
        <f aca="false">IF(AC337,IF(01_因子設定!$B$13="最大化",AA337-01_因子設定!$B$14,IF(01_因子設定!$B$13="最小化",01_因子設定!$B$15-AB337,MIN(AA337-01_因子設定!$B$14,01_因子設定!$B$15-AB337))),-1E+030)</f>
        <v>-7.6177092861181</v>
      </c>
      <c r="AE337" s="55" t="n">
        <f aca="false">IF(AC337,IF(01_因子設定!$B$13="最大化",X337,IF(01_因子設定!$B$13="最小化",-X337,-ABS(X337-01_因子設定!$B$16))),-1E+030)</f>
        <v>40.6146929824562</v>
      </c>
      <c r="AF337" s="55" t="n">
        <f aca="false">AD337+ROW()*0.000000001</f>
        <v>-7.6177089491181</v>
      </c>
      <c r="AG337" s="55" t="n">
        <f aca="false">AE337+ROW()*0.000000001</f>
        <v>40.6146933194562</v>
      </c>
    </row>
    <row r="338" customFormat="false" ht="15" hidden="false" customHeight="false" outlineLevel="0" collapsed="false">
      <c r="A338" s="0" t="n">
        <v>0</v>
      </c>
      <c r="B338" s="0" t="n">
        <v>4</v>
      </c>
      <c r="C338" s="0" t="n">
        <v>1</v>
      </c>
      <c r="D338" s="0" t="n">
        <v>0</v>
      </c>
      <c r="E338" s="0" t="n">
        <f aca="false">-1+A338*0.25</f>
        <v>-1</v>
      </c>
      <c r="F338" s="0" t="n">
        <f aca="false">-1+B338*0.25</f>
        <v>0</v>
      </c>
      <c r="G338" s="0" t="n">
        <f aca="false">-1+C338*0.25</f>
        <v>-0.75</v>
      </c>
      <c r="H338" s="0" t="n">
        <f aca="false">-1+D338*0.25</f>
        <v>-1</v>
      </c>
      <c r="I338" s="0" t="n">
        <f aca="false">1</f>
        <v>1</v>
      </c>
      <c r="J338" s="0" t="n">
        <f aca="false">E338</f>
        <v>-1</v>
      </c>
      <c r="K338" s="0" t="n">
        <f aca="false">F338</f>
        <v>0</v>
      </c>
      <c r="L338" s="0" t="n">
        <f aca="false">G338</f>
        <v>-0.75</v>
      </c>
      <c r="M338" s="0" t="n">
        <f aca="false">H338</f>
        <v>-1</v>
      </c>
      <c r="N338" s="0" t="n">
        <f aca="false">E338*F338</f>
        <v>-0</v>
      </c>
      <c r="O338" s="0" t="n">
        <f aca="false">E338*G338</f>
        <v>0.75</v>
      </c>
      <c r="P338" s="0" t="n">
        <f aca="false">E338*H338</f>
        <v>1</v>
      </c>
      <c r="Q338" s="0" t="n">
        <f aca="false">F338*G338</f>
        <v>-0</v>
      </c>
      <c r="R338" s="0" t="n">
        <f aca="false">F338*H338</f>
        <v>-0</v>
      </c>
      <c r="S338" s="0" t="n">
        <f aca="false">G338*H338</f>
        <v>0.75</v>
      </c>
      <c r="T338" s="0" t="n">
        <f aca="false">E338*E338</f>
        <v>1</v>
      </c>
      <c r="U338" s="0" t="n">
        <f aca="false">F338*F338</f>
        <v>0</v>
      </c>
      <c r="V338" s="0" t="n">
        <f aca="false">G338*G338</f>
        <v>0.5625</v>
      </c>
      <c r="W338" s="0" t="n">
        <f aca="false">H338*H338</f>
        <v>1</v>
      </c>
      <c r="X338" s="0" t="n">
        <f aca="false">SUMPRODUCT(I338:W338,_XtX!$B$96:$P$96)</f>
        <v>41.2636147660819</v>
      </c>
      <c r="Y338" s="0" t="n">
        <f aca="false">SUMPRODUCT(MMULT(I338:W338,_XtX!$B$78:$P$92),I338:W338)</f>
        <v>0.646198830409357</v>
      </c>
      <c r="Z338" s="0" t="n">
        <f aca="false">04_回帰ANOVA!$K$19*04_回帰ANOVA!$K$14*SQRT(1+Y338)</f>
        <v>1.67239760569756</v>
      </c>
      <c r="AA338" s="0" t="n">
        <f aca="false">X338-Z338</f>
        <v>39.5912171603844</v>
      </c>
      <c r="AB338" s="0" t="n">
        <f aca="false">X338+Z338</f>
        <v>42.9360123717795</v>
      </c>
      <c r="AC338" s="54" t="b">
        <f aca="false">AND(E338&gt;=01_因子設定!$L$5-0.000000001,E338&lt;=01_因子設定!$M$5+0.000000001,F338&gt;=01_因子設定!$L$6-0.000000001,F338&lt;=01_因子設定!$M$6+0.000000001,G338&gt;=01_因子設定!$L$7-0.000000001,G338&lt;=01_因子設定!$M$7+0.000000001,H338&gt;=01_因子設定!$L$8-0.000000001,H338&lt;=01_因子設定!$M$8+0.000000001,IF(01_因子設定!$B$20="Box-Behnken",E338^2+F338^2+G338^2+H338^2&lt;=2+0.000000001,TRUE()))</f>
        <v>1</v>
      </c>
      <c r="AD338" s="55" t="n">
        <f aca="false">IF(AC338,IF(01_因子設定!$B$13="最大化",AA338-01_因子設定!$B$14,IF(01_因子設定!$B$13="最小化",01_因子設定!$B$15-AB338,MIN(AA338-01_因子設定!$B$14,01_因子設定!$B$15-AB338))),-1E+030)</f>
        <v>-6.90878283961562</v>
      </c>
      <c r="AE338" s="55" t="n">
        <f aca="false">IF(AC338,IF(01_因子設定!$B$13="最大化",X338,IF(01_因子設定!$B$13="最小化",-X338,-ABS(X338-01_因子設定!$B$16))),-1E+030)</f>
        <v>41.2636147660819</v>
      </c>
      <c r="AF338" s="55" t="n">
        <f aca="false">AD338+ROW()*0.000000001</f>
        <v>-6.90878250161562</v>
      </c>
      <c r="AG338" s="55" t="n">
        <f aca="false">AE338+ROW()*0.000000001</f>
        <v>41.2636151040819</v>
      </c>
    </row>
    <row r="339" customFormat="false" ht="15" hidden="false" customHeight="false" outlineLevel="0" collapsed="false">
      <c r="A339" s="0" t="n">
        <v>0</v>
      </c>
      <c r="B339" s="0" t="n">
        <v>4</v>
      </c>
      <c r="C339" s="0" t="n">
        <v>1</v>
      </c>
      <c r="D339" s="0" t="n">
        <v>1</v>
      </c>
      <c r="E339" s="0" t="n">
        <f aca="false">-1+A339*0.25</f>
        <v>-1</v>
      </c>
      <c r="F339" s="0" t="n">
        <f aca="false">-1+B339*0.25</f>
        <v>0</v>
      </c>
      <c r="G339" s="0" t="n">
        <f aca="false">-1+C339*0.25</f>
        <v>-0.75</v>
      </c>
      <c r="H339" s="0" t="n">
        <f aca="false">-1+D339*0.25</f>
        <v>-0.75</v>
      </c>
      <c r="I339" s="0" t="n">
        <f aca="false">1</f>
        <v>1</v>
      </c>
      <c r="J339" s="0" t="n">
        <f aca="false">E339</f>
        <v>-1</v>
      </c>
      <c r="K339" s="0" t="n">
        <f aca="false">F339</f>
        <v>0</v>
      </c>
      <c r="L339" s="0" t="n">
        <f aca="false">G339</f>
        <v>-0.75</v>
      </c>
      <c r="M339" s="0" t="n">
        <f aca="false">H339</f>
        <v>-0.75</v>
      </c>
      <c r="N339" s="0" t="n">
        <f aca="false">E339*F339</f>
        <v>-0</v>
      </c>
      <c r="O339" s="0" t="n">
        <f aca="false">E339*G339</f>
        <v>0.75</v>
      </c>
      <c r="P339" s="0" t="n">
        <f aca="false">E339*H339</f>
        <v>0.75</v>
      </c>
      <c r="Q339" s="0" t="n">
        <f aca="false">F339*G339</f>
        <v>-0</v>
      </c>
      <c r="R339" s="0" t="n">
        <f aca="false">F339*H339</f>
        <v>-0</v>
      </c>
      <c r="S339" s="0" t="n">
        <f aca="false">G339*H339</f>
        <v>0.5625</v>
      </c>
      <c r="T339" s="0" t="n">
        <f aca="false">E339*E339</f>
        <v>1</v>
      </c>
      <c r="U339" s="0" t="n">
        <f aca="false">F339*F339</f>
        <v>0</v>
      </c>
      <c r="V339" s="0" t="n">
        <f aca="false">G339*G339</f>
        <v>0.5625</v>
      </c>
      <c r="W339" s="0" t="n">
        <f aca="false">H339*H339</f>
        <v>0.5625</v>
      </c>
      <c r="X339" s="0" t="n">
        <f aca="false">SUMPRODUCT(I339:W339,_XtX!$B$96:$P$96)</f>
        <v>41.4471719663743</v>
      </c>
      <c r="Y339" s="0" t="n">
        <f aca="false">SUMPRODUCT(MMULT(I339:W339,_XtX!$B$78:$P$92),I339:W339)</f>
        <v>0.494259126005117</v>
      </c>
      <c r="Z339" s="0" t="n">
        <f aca="false">04_回帰ANOVA!$K$19*04_回帰ANOVA!$K$14*SQRT(1+Y339)</f>
        <v>1.59335061078203</v>
      </c>
      <c r="AA339" s="0" t="n">
        <f aca="false">X339-Z339</f>
        <v>39.8538213555923</v>
      </c>
      <c r="AB339" s="0" t="n">
        <f aca="false">X339+Z339</f>
        <v>43.0405225771563</v>
      </c>
      <c r="AC339" s="54" t="b">
        <f aca="false">AND(E339&gt;=01_因子設定!$L$5-0.000000001,E339&lt;=01_因子設定!$M$5+0.000000001,F339&gt;=01_因子設定!$L$6-0.000000001,F339&lt;=01_因子設定!$M$6+0.000000001,G339&gt;=01_因子設定!$L$7-0.000000001,G339&lt;=01_因子設定!$M$7+0.000000001,H339&gt;=01_因子設定!$L$8-0.000000001,H339&lt;=01_因子設定!$M$8+0.000000001,IF(01_因子設定!$B$20="Box-Behnken",E339^2+F339^2+G339^2+H339^2&lt;=2+0.000000001,TRUE()))</f>
        <v>1</v>
      </c>
      <c r="AD339" s="55" t="n">
        <f aca="false">IF(AC339,IF(01_因子設定!$B$13="最大化",AA339-01_因子設定!$B$14,IF(01_因子設定!$B$13="最小化",01_因子設定!$B$15-AB339,MIN(AA339-01_因子設定!$B$14,01_因子設定!$B$15-AB339))),-1E+030)</f>
        <v>-6.64617864440771</v>
      </c>
      <c r="AE339" s="55" t="n">
        <f aca="false">IF(AC339,IF(01_因子設定!$B$13="最大化",X339,IF(01_因子設定!$B$13="最小化",-X339,-ABS(X339-01_因子設定!$B$16))),-1E+030)</f>
        <v>41.4471719663743</v>
      </c>
      <c r="AF339" s="55" t="n">
        <f aca="false">AD339+ROW()*0.000000001</f>
        <v>-6.64617830540771</v>
      </c>
      <c r="AG339" s="55" t="n">
        <f aca="false">AE339+ROW()*0.000000001</f>
        <v>41.4471723053743</v>
      </c>
    </row>
    <row r="340" customFormat="false" ht="15" hidden="false" customHeight="false" outlineLevel="0" collapsed="false">
      <c r="A340" s="0" t="n">
        <v>0</v>
      </c>
      <c r="B340" s="0" t="n">
        <v>4</v>
      </c>
      <c r="C340" s="0" t="n">
        <v>1</v>
      </c>
      <c r="D340" s="0" t="n">
        <v>2</v>
      </c>
      <c r="E340" s="0" t="n">
        <f aca="false">-1+A340*0.25</f>
        <v>-1</v>
      </c>
      <c r="F340" s="0" t="n">
        <f aca="false">-1+B340*0.25</f>
        <v>0</v>
      </c>
      <c r="G340" s="0" t="n">
        <f aca="false">-1+C340*0.25</f>
        <v>-0.75</v>
      </c>
      <c r="H340" s="0" t="n">
        <f aca="false">-1+D340*0.25</f>
        <v>-0.5</v>
      </c>
      <c r="I340" s="0" t="n">
        <f aca="false">1</f>
        <v>1</v>
      </c>
      <c r="J340" s="0" t="n">
        <f aca="false">E340</f>
        <v>-1</v>
      </c>
      <c r="K340" s="0" t="n">
        <f aca="false">F340</f>
        <v>0</v>
      </c>
      <c r="L340" s="0" t="n">
        <f aca="false">G340</f>
        <v>-0.75</v>
      </c>
      <c r="M340" s="0" t="n">
        <f aca="false">H340</f>
        <v>-0.5</v>
      </c>
      <c r="N340" s="0" t="n">
        <f aca="false">E340*F340</f>
        <v>-0</v>
      </c>
      <c r="O340" s="0" t="n">
        <f aca="false">E340*G340</f>
        <v>0.75</v>
      </c>
      <c r="P340" s="0" t="n">
        <f aca="false">E340*H340</f>
        <v>0.5</v>
      </c>
      <c r="Q340" s="0" t="n">
        <f aca="false">F340*G340</f>
        <v>-0</v>
      </c>
      <c r="R340" s="0" t="n">
        <f aca="false">F340*H340</f>
        <v>-0</v>
      </c>
      <c r="S340" s="0" t="n">
        <f aca="false">G340*H340</f>
        <v>0.375</v>
      </c>
      <c r="T340" s="0" t="n">
        <f aca="false">E340*E340</f>
        <v>1</v>
      </c>
      <c r="U340" s="0" t="n">
        <f aca="false">F340*F340</f>
        <v>0</v>
      </c>
      <c r="V340" s="0" t="n">
        <f aca="false">G340*G340</f>
        <v>0.5625</v>
      </c>
      <c r="W340" s="0" t="n">
        <f aca="false">H340*H340</f>
        <v>0.25</v>
      </c>
      <c r="X340" s="0" t="n">
        <f aca="false">SUMPRODUCT(I340:W340,_XtX!$B$96:$P$96)</f>
        <v>41.5829221491228</v>
      </c>
      <c r="Y340" s="0" t="n">
        <f aca="false">SUMPRODUCT(MMULT(I340:W340,_XtX!$B$78:$P$92),I340:W340)</f>
        <v>0.476191292032164</v>
      </c>
      <c r="Z340" s="0" t="n">
        <f aca="false">04_回帰ANOVA!$K$19*04_回帰ANOVA!$K$14*SQRT(1+Y340)</f>
        <v>1.58368831471718</v>
      </c>
      <c r="AA340" s="0" t="n">
        <f aca="false">X340-Z340</f>
        <v>39.9992338344057</v>
      </c>
      <c r="AB340" s="0" t="n">
        <f aca="false">X340+Z340</f>
        <v>43.16661046384</v>
      </c>
      <c r="AC340" s="54" t="b">
        <f aca="false">AND(E340&gt;=01_因子設定!$L$5-0.000000001,E340&lt;=01_因子設定!$M$5+0.000000001,F340&gt;=01_因子設定!$L$6-0.000000001,F340&lt;=01_因子設定!$M$6+0.000000001,G340&gt;=01_因子設定!$L$7-0.000000001,G340&lt;=01_因子設定!$M$7+0.000000001,H340&gt;=01_因子設定!$L$8-0.000000001,H340&lt;=01_因子設定!$M$8+0.000000001,IF(01_因子設定!$B$20="Box-Behnken",E340^2+F340^2+G340^2+H340^2&lt;=2+0.000000001,TRUE()))</f>
        <v>1</v>
      </c>
      <c r="AD340" s="55" t="n">
        <f aca="false">IF(AC340,IF(01_因子設定!$B$13="最大化",AA340-01_因子設定!$B$14,IF(01_因子設定!$B$13="最小化",01_因子設定!$B$15-AB340,MIN(AA340-01_因子設定!$B$14,01_因子設定!$B$15-AB340))),-1E+030)</f>
        <v>-6.50076616559434</v>
      </c>
      <c r="AE340" s="55" t="n">
        <f aca="false">IF(AC340,IF(01_因子設定!$B$13="最大化",X340,IF(01_因子設定!$B$13="最小化",-X340,-ABS(X340-01_因子設定!$B$16))),-1E+030)</f>
        <v>41.5829221491228</v>
      </c>
      <c r="AF340" s="55" t="n">
        <f aca="false">AD340+ROW()*0.000000001</f>
        <v>-6.50076582559434</v>
      </c>
      <c r="AG340" s="55" t="n">
        <f aca="false">AE340+ROW()*0.000000001</f>
        <v>41.5829224891228</v>
      </c>
    </row>
    <row r="341" customFormat="false" ht="15" hidden="false" customHeight="false" outlineLevel="0" collapsed="false">
      <c r="A341" s="0" t="n">
        <v>0</v>
      </c>
      <c r="B341" s="0" t="n">
        <v>4</v>
      </c>
      <c r="C341" s="0" t="n">
        <v>1</v>
      </c>
      <c r="D341" s="0" t="n">
        <v>3</v>
      </c>
      <c r="E341" s="0" t="n">
        <f aca="false">-1+A341*0.25</f>
        <v>-1</v>
      </c>
      <c r="F341" s="0" t="n">
        <f aca="false">-1+B341*0.25</f>
        <v>0</v>
      </c>
      <c r="G341" s="0" t="n">
        <f aca="false">-1+C341*0.25</f>
        <v>-0.75</v>
      </c>
      <c r="H341" s="0" t="n">
        <f aca="false">-1+D341*0.25</f>
        <v>-0.25</v>
      </c>
      <c r="I341" s="0" t="n">
        <f aca="false">1</f>
        <v>1</v>
      </c>
      <c r="J341" s="0" t="n">
        <f aca="false">E341</f>
        <v>-1</v>
      </c>
      <c r="K341" s="0" t="n">
        <f aca="false">F341</f>
        <v>0</v>
      </c>
      <c r="L341" s="0" t="n">
        <f aca="false">G341</f>
        <v>-0.75</v>
      </c>
      <c r="M341" s="0" t="n">
        <f aca="false">H341</f>
        <v>-0.25</v>
      </c>
      <c r="N341" s="0" t="n">
        <f aca="false">E341*F341</f>
        <v>-0</v>
      </c>
      <c r="O341" s="0" t="n">
        <f aca="false">E341*G341</f>
        <v>0.75</v>
      </c>
      <c r="P341" s="0" t="n">
        <f aca="false">E341*H341</f>
        <v>0.25</v>
      </c>
      <c r="Q341" s="0" t="n">
        <f aca="false">F341*G341</f>
        <v>-0</v>
      </c>
      <c r="R341" s="0" t="n">
        <f aca="false">F341*H341</f>
        <v>-0</v>
      </c>
      <c r="S341" s="0" t="n">
        <f aca="false">G341*H341</f>
        <v>0.1875</v>
      </c>
      <c r="T341" s="0" t="n">
        <f aca="false">E341*E341</f>
        <v>1</v>
      </c>
      <c r="U341" s="0" t="n">
        <f aca="false">F341*F341</f>
        <v>0</v>
      </c>
      <c r="V341" s="0" t="n">
        <f aca="false">G341*G341</f>
        <v>0.5625</v>
      </c>
      <c r="W341" s="0" t="n">
        <f aca="false">H341*H341</f>
        <v>0.0625</v>
      </c>
      <c r="X341" s="0" t="n">
        <f aca="false">SUMPRODUCT(I341:W341,_XtX!$B$96:$P$96)</f>
        <v>41.6708653143275</v>
      </c>
      <c r="Y341" s="0" t="n">
        <f aca="false">SUMPRODUCT(MMULT(I341:W341,_XtX!$B$78:$P$92),I341:W341)</f>
        <v>0.501534802174708</v>
      </c>
      <c r="Z341" s="0" t="n">
        <f aca="false">04_回帰ANOVA!$K$19*04_回帰ANOVA!$K$14*SQRT(1+Y341)</f>
        <v>1.59722498091333</v>
      </c>
      <c r="AA341" s="0" t="n">
        <f aca="false">X341-Z341</f>
        <v>40.0736403334142</v>
      </c>
      <c r="AB341" s="0" t="n">
        <f aca="false">X341+Z341</f>
        <v>43.2680902952408</v>
      </c>
      <c r="AC341" s="54" t="b">
        <f aca="false">AND(E341&gt;=01_因子設定!$L$5-0.000000001,E341&lt;=01_因子設定!$M$5+0.000000001,F341&gt;=01_因子設定!$L$6-0.000000001,F341&lt;=01_因子設定!$M$6+0.000000001,G341&gt;=01_因子設定!$L$7-0.000000001,G341&lt;=01_因子設定!$M$7+0.000000001,H341&gt;=01_因子設定!$L$8-0.000000001,H341&lt;=01_因子設定!$M$8+0.000000001,IF(01_因子設定!$B$20="Box-Behnken",E341^2+F341^2+G341^2+H341^2&lt;=2+0.000000001,TRUE()))</f>
        <v>1</v>
      </c>
      <c r="AD341" s="55" t="n">
        <f aca="false">IF(AC341,IF(01_因子設定!$B$13="最大化",AA341-01_因子設定!$B$14,IF(01_因子設定!$B$13="最小化",01_因子設定!$B$15-AB341,MIN(AA341-01_因子設定!$B$14,01_因子設定!$B$15-AB341))),-1E+030)</f>
        <v>-6.42635966658582</v>
      </c>
      <c r="AE341" s="55" t="n">
        <f aca="false">IF(AC341,IF(01_因子設定!$B$13="最大化",X341,IF(01_因子設定!$B$13="最小化",-X341,-ABS(X341-01_因子設定!$B$16))),-1E+030)</f>
        <v>41.6708653143275</v>
      </c>
      <c r="AF341" s="55" t="n">
        <f aca="false">AD341+ROW()*0.000000001</f>
        <v>-6.42635932558582</v>
      </c>
      <c r="AG341" s="55" t="n">
        <f aca="false">AE341+ROW()*0.000000001</f>
        <v>41.6708656553275</v>
      </c>
    </row>
    <row r="342" customFormat="false" ht="15" hidden="false" customHeight="false" outlineLevel="0" collapsed="false">
      <c r="A342" s="0" t="n">
        <v>0</v>
      </c>
      <c r="B342" s="0" t="n">
        <v>4</v>
      </c>
      <c r="C342" s="0" t="n">
        <v>1</v>
      </c>
      <c r="D342" s="0" t="n">
        <v>4</v>
      </c>
      <c r="E342" s="0" t="n">
        <f aca="false">-1+A342*0.25</f>
        <v>-1</v>
      </c>
      <c r="F342" s="0" t="n">
        <f aca="false">-1+B342*0.25</f>
        <v>0</v>
      </c>
      <c r="G342" s="0" t="n">
        <f aca="false">-1+C342*0.25</f>
        <v>-0.75</v>
      </c>
      <c r="H342" s="0" t="n">
        <f aca="false">-1+D342*0.25</f>
        <v>0</v>
      </c>
      <c r="I342" s="0" t="n">
        <f aca="false">1</f>
        <v>1</v>
      </c>
      <c r="J342" s="0" t="n">
        <f aca="false">E342</f>
        <v>-1</v>
      </c>
      <c r="K342" s="0" t="n">
        <f aca="false">F342</f>
        <v>0</v>
      </c>
      <c r="L342" s="0" t="n">
        <f aca="false">G342</f>
        <v>-0.75</v>
      </c>
      <c r="M342" s="0" t="n">
        <f aca="false">H342</f>
        <v>0</v>
      </c>
      <c r="N342" s="0" t="n">
        <f aca="false">E342*F342</f>
        <v>-0</v>
      </c>
      <c r="O342" s="0" t="n">
        <f aca="false">E342*G342</f>
        <v>0.75</v>
      </c>
      <c r="P342" s="0" t="n">
        <f aca="false">E342*H342</f>
        <v>-0</v>
      </c>
      <c r="Q342" s="0" t="n">
        <f aca="false">F342*G342</f>
        <v>-0</v>
      </c>
      <c r="R342" s="0" t="n">
        <f aca="false">F342*H342</f>
        <v>0</v>
      </c>
      <c r="S342" s="0" t="n">
        <f aca="false">G342*H342</f>
        <v>-0</v>
      </c>
      <c r="T342" s="0" t="n">
        <f aca="false">E342*E342</f>
        <v>1</v>
      </c>
      <c r="U342" s="0" t="n">
        <f aca="false">F342*F342</f>
        <v>0</v>
      </c>
      <c r="V342" s="0" t="n">
        <f aca="false">G342*G342</f>
        <v>0.5625</v>
      </c>
      <c r="W342" s="0" t="n">
        <f aca="false">H342*H342</f>
        <v>0</v>
      </c>
      <c r="X342" s="0" t="n">
        <f aca="false">SUMPRODUCT(I342:W342,_XtX!$B$96:$P$96)</f>
        <v>41.7110014619883</v>
      </c>
      <c r="Y342" s="0" t="n">
        <f aca="false">SUMPRODUCT(MMULT(I342:W342,_XtX!$B$78:$P$92),I342:W342)</f>
        <v>0.516013340643275</v>
      </c>
      <c r="Z342" s="0" t="n">
        <f aca="false">04_回帰ANOVA!$K$19*04_回帰ANOVA!$K$14*SQRT(1+Y342)</f>
        <v>1.60490712175667</v>
      </c>
      <c r="AA342" s="0" t="n">
        <f aca="false">X342-Z342</f>
        <v>40.1060943402317</v>
      </c>
      <c r="AB342" s="0" t="n">
        <f aca="false">X342+Z342</f>
        <v>43.315908583745</v>
      </c>
      <c r="AC342" s="54" t="b">
        <f aca="false">AND(E342&gt;=01_因子設定!$L$5-0.000000001,E342&lt;=01_因子設定!$M$5+0.000000001,F342&gt;=01_因子設定!$L$6-0.000000001,F342&lt;=01_因子設定!$M$6+0.000000001,G342&gt;=01_因子設定!$L$7-0.000000001,G342&lt;=01_因子設定!$M$7+0.000000001,H342&gt;=01_因子設定!$L$8-0.000000001,H342&lt;=01_因子設定!$M$8+0.000000001,IF(01_因子設定!$B$20="Box-Behnken",E342^2+F342^2+G342^2+H342^2&lt;=2+0.000000001,TRUE()))</f>
        <v>1</v>
      </c>
      <c r="AD342" s="55" t="n">
        <f aca="false">IF(AC342,IF(01_因子設定!$B$13="最大化",AA342-01_因子設定!$B$14,IF(01_因子設定!$B$13="最小化",01_因子設定!$B$15-AB342,MIN(AA342-01_因子設定!$B$14,01_因子設定!$B$15-AB342))),-1E+030)</f>
        <v>-6.39390565976834</v>
      </c>
      <c r="AE342" s="55" t="n">
        <f aca="false">IF(AC342,IF(01_因子設定!$B$13="最大化",X342,IF(01_因子設定!$B$13="最小化",-X342,-ABS(X342-01_因子設定!$B$16))),-1E+030)</f>
        <v>41.7110014619883</v>
      </c>
      <c r="AF342" s="55" t="n">
        <f aca="false">AD342+ROW()*0.000000001</f>
        <v>-6.39390531776834</v>
      </c>
      <c r="AG342" s="55" t="n">
        <f aca="false">AE342+ROW()*0.000000001</f>
        <v>41.7110018039883</v>
      </c>
    </row>
    <row r="343" customFormat="false" ht="15" hidden="false" customHeight="false" outlineLevel="0" collapsed="false">
      <c r="A343" s="0" t="n">
        <v>0</v>
      </c>
      <c r="B343" s="0" t="n">
        <v>4</v>
      </c>
      <c r="C343" s="0" t="n">
        <v>1</v>
      </c>
      <c r="D343" s="0" t="n">
        <v>5</v>
      </c>
      <c r="E343" s="0" t="n">
        <f aca="false">-1+A343*0.25</f>
        <v>-1</v>
      </c>
      <c r="F343" s="0" t="n">
        <f aca="false">-1+B343*0.25</f>
        <v>0</v>
      </c>
      <c r="G343" s="0" t="n">
        <f aca="false">-1+C343*0.25</f>
        <v>-0.75</v>
      </c>
      <c r="H343" s="0" t="n">
        <f aca="false">-1+D343*0.25</f>
        <v>0.25</v>
      </c>
      <c r="I343" s="0" t="n">
        <f aca="false">1</f>
        <v>1</v>
      </c>
      <c r="J343" s="0" t="n">
        <f aca="false">E343</f>
        <v>-1</v>
      </c>
      <c r="K343" s="0" t="n">
        <f aca="false">F343</f>
        <v>0</v>
      </c>
      <c r="L343" s="0" t="n">
        <f aca="false">G343</f>
        <v>-0.75</v>
      </c>
      <c r="M343" s="0" t="n">
        <f aca="false">H343</f>
        <v>0.25</v>
      </c>
      <c r="N343" s="0" t="n">
        <f aca="false">E343*F343</f>
        <v>-0</v>
      </c>
      <c r="O343" s="0" t="n">
        <f aca="false">E343*G343</f>
        <v>0.75</v>
      </c>
      <c r="P343" s="0" t="n">
        <f aca="false">E343*H343</f>
        <v>-0.25</v>
      </c>
      <c r="Q343" s="0" t="n">
        <f aca="false">F343*G343</f>
        <v>-0</v>
      </c>
      <c r="R343" s="0" t="n">
        <f aca="false">F343*H343</f>
        <v>0</v>
      </c>
      <c r="S343" s="0" t="n">
        <f aca="false">G343*H343</f>
        <v>-0.1875</v>
      </c>
      <c r="T343" s="0" t="n">
        <f aca="false">E343*E343</f>
        <v>1</v>
      </c>
      <c r="U343" s="0" t="n">
        <f aca="false">F343*F343</f>
        <v>0</v>
      </c>
      <c r="V343" s="0" t="n">
        <f aca="false">G343*G343</f>
        <v>0.5625</v>
      </c>
      <c r="W343" s="0" t="n">
        <f aca="false">H343*H343</f>
        <v>0.0625</v>
      </c>
      <c r="X343" s="0" t="n">
        <f aca="false">SUMPRODUCT(I343:W343,_XtX!$B$96:$P$96)</f>
        <v>41.7033305921053</v>
      </c>
      <c r="Y343" s="0" t="n">
        <f aca="false">SUMPRODUCT(MMULT(I343:W343,_XtX!$B$78:$P$92),I343:W343)</f>
        <v>0.501534802174708</v>
      </c>
      <c r="Z343" s="0" t="n">
        <f aca="false">04_回帰ANOVA!$K$19*04_回帰ANOVA!$K$14*SQRT(1+Y343)</f>
        <v>1.59722498091333</v>
      </c>
      <c r="AA343" s="0" t="n">
        <f aca="false">X343-Z343</f>
        <v>40.106105611192</v>
      </c>
      <c r="AB343" s="0" t="n">
        <f aca="false">X343+Z343</f>
        <v>43.3005555730186</v>
      </c>
      <c r="AC343" s="54" t="b">
        <f aca="false">AND(E343&gt;=01_因子設定!$L$5-0.000000001,E343&lt;=01_因子設定!$M$5+0.000000001,F343&gt;=01_因子設定!$L$6-0.000000001,F343&lt;=01_因子設定!$M$6+0.000000001,G343&gt;=01_因子設定!$L$7-0.000000001,G343&lt;=01_因子設定!$M$7+0.000000001,H343&gt;=01_因子設定!$L$8-0.000000001,H343&lt;=01_因子設定!$M$8+0.000000001,IF(01_因子設定!$B$20="Box-Behnken",E343^2+F343^2+G343^2+H343^2&lt;=2+0.000000001,TRUE()))</f>
        <v>1</v>
      </c>
      <c r="AD343" s="55" t="n">
        <f aca="false">IF(AC343,IF(01_因子設定!$B$13="最大化",AA343-01_因子設定!$B$14,IF(01_因子設定!$B$13="最小化",01_因子設定!$B$15-AB343,MIN(AA343-01_因子設定!$B$14,01_因子設定!$B$15-AB343))),-1E+030)</f>
        <v>-6.39389438880804</v>
      </c>
      <c r="AE343" s="55" t="n">
        <f aca="false">IF(AC343,IF(01_因子設定!$B$13="最大化",X343,IF(01_因子設定!$B$13="最小化",-X343,-ABS(X343-01_因子設定!$B$16))),-1E+030)</f>
        <v>41.7033305921053</v>
      </c>
      <c r="AF343" s="55" t="n">
        <f aca="false">AD343+ROW()*0.000000001</f>
        <v>-6.39389404580804</v>
      </c>
      <c r="AG343" s="55" t="n">
        <f aca="false">AE343+ROW()*0.000000001</f>
        <v>41.7033309351053</v>
      </c>
    </row>
    <row r="344" customFormat="false" ht="15" hidden="false" customHeight="false" outlineLevel="0" collapsed="false">
      <c r="A344" s="0" t="n">
        <v>0</v>
      </c>
      <c r="B344" s="0" t="n">
        <v>4</v>
      </c>
      <c r="C344" s="0" t="n">
        <v>1</v>
      </c>
      <c r="D344" s="0" t="n">
        <v>6</v>
      </c>
      <c r="E344" s="0" t="n">
        <f aca="false">-1+A344*0.25</f>
        <v>-1</v>
      </c>
      <c r="F344" s="0" t="n">
        <f aca="false">-1+B344*0.25</f>
        <v>0</v>
      </c>
      <c r="G344" s="0" t="n">
        <f aca="false">-1+C344*0.25</f>
        <v>-0.75</v>
      </c>
      <c r="H344" s="0" t="n">
        <f aca="false">-1+D344*0.25</f>
        <v>0.5</v>
      </c>
      <c r="I344" s="0" t="n">
        <f aca="false">1</f>
        <v>1</v>
      </c>
      <c r="J344" s="0" t="n">
        <f aca="false">E344</f>
        <v>-1</v>
      </c>
      <c r="K344" s="0" t="n">
        <f aca="false">F344</f>
        <v>0</v>
      </c>
      <c r="L344" s="0" t="n">
        <f aca="false">G344</f>
        <v>-0.75</v>
      </c>
      <c r="M344" s="0" t="n">
        <f aca="false">H344</f>
        <v>0.5</v>
      </c>
      <c r="N344" s="0" t="n">
        <f aca="false">E344*F344</f>
        <v>-0</v>
      </c>
      <c r="O344" s="0" t="n">
        <f aca="false">E344*G344</f>
        <v>0.75</v>
      </c>
      <c r="P344" s="0" t="n">
        <f aca="false">E344*H344</f>
        <v>-0.5</v>
      </c>
      <c r="Q344" s="0" t="n">
        <f aca="false">F344*G344</f>
        <v>-0</v>
      </c>
      <c r="R344" s="0" t="n">
        <f aca="false">F344*H344</f>
        <v>0</v>
      </c>
      <c r="S344" s="0" t="n">
        <f aca="false">G344*H344</f>
        <v>-0.375</v>
      </c>
      <c r="T344" s="0" t="n">
        <f aca="false">E344*E344</f>
        <v>1</v>
      </c>
      <c r="U344" s="0" t="n">
        <f aca="false">F344*F344</f>
        <v>0</v>
      </c>
      <c r="V344" s="0" t="n">
        <f aca="false">G344*G344</f>
        <v>0.5625</v>
      </c>
      <c r="W344" s="0" t="n">
        <f aca="false">H344*H344</f>
        <v>0.25</v>
      </c>
      <c r="X344" s="0" t="n">
        <f aca="false">SUMPRODUCT(I344:W344,_XtX!$B$96:$P$96)</f>
        <v>41.6478527046784</v>
      </c>
      <c r="Y344" s="0" t="n">
        <f aca="false">SUMPRODUCT(MMULT(I344:W344,_XtX!$B$78:$P$92),I344:W344)</f>
        <v>0.476191292032164</v>
      </c>
      <c r="Z344" s="0" t="n">
        <f aca="false">04_回帰ANOVA!$K$19*04_回帰ANOVA!$K$14*SQRT(1+Y344)</f>
        <v>1.58368831471718</v>
      </c>
      <c r="AA344" s="0" t="n">
        <f aca="false">X344-Z344</f>
        <v>40.0641643899612</v>
      </c>
      <c r="AB344" s="0" t="n">
        <f aca="false">X344+Z344</f>
        <v>43.2315410193956</v>
      </c>
      <c r="AC344" s="54" t="b">
        <f aca="false">AND(E344&gt;=01_因子設定!$L$5-0.000000001,E344&lt;=01_因子設定!$M$5+0.000000001,F344&gt;=01_因子設定!$L$6-0.000000001,F344&lt;=01_因子設定!$M$6+0.000000001,G344&gt;=01_因子設定!$L$7-0.000000001,G344&lt;=01_因子設定!$M$7+0.000000001,H344&gt;=01_因子設定!$L$8-0.000000001,H344&lt;=01_因子設定!$M$8+0.000000001,IF(01_因子設定!$B$20="Box-Behnken",E344^2+F344^2+G344^2+H344^2&lt;=2+0.000000001,TRUE()))</f>
        <v>1</v>
      </c>
      <c r="AD344" s="55" t="n">
        <f aca="false">IF(AC344,IF(01_因子設定!$B$13="最大化",AA344-01_因子設定!$B$14,IF(01_因子設定!$B$13="最小化",01_因子設定!$B$15-AB344,MIN(AA344-01_因子設定!$B$14,01_因子設定!$B$15-AB344))),-1E+030)</f>
        <v>-6.43583561003878</v>
      </c>
      <c r="AE344" s="55" t="n">
        <f aca="false">IF(AC344,IF(01_因子設定!$B$13="最大化",X344,IF(01_因子設定!$B$13="最小化",-X344,-ABS(X344-01_因子設定!$B$16))),-1E+030)</f>
        <v>41.6478527046784</v>
      </c>
      <c r="AF344" s="55" t="n">
        <f aca="false">AD344+ROW()*0.000000001</f>
        <v>-6.43583526603878</v>
      </c>
      <c r="AG344" s="55" t="n">
        <f aca="false">AE344+ROW()*0.000000001</f>
        <v>41.6478530486784</v>
      </c>
    </row>
    <row r="345" customFormat="false" ht="15" hidden="false" customHeight="false" outlineLevel="0" collapsed="false">
      <c r="A345" s="0" t="n">
        <v>0</v>
      </c>
      <c r="B345" s="0" t="n">
        <v>4</v>
      </c>
      <c r="C345" s="0" t="n">
        <v>1</v>
      </c>
      <c r="D345" s="0" t="n">
        <v>7</v>
      </c>
      <c r="E345" s="0" t="n">
        <f aca="false">-1+A345*0.25</f>
        <v>-1</v>
      </c>
      <c r="F345" s="0" t="n">
        <f aca="false">-1+B345*0.25</f>
        <v>0</v>
      </c>
      <c r="G345" s="0" t="n">
        <f aca="false">-1+C345*0.25</f>
        <v>-0.75</v>
      </c>
      <c r="H345" s="0" t="n">
        <f aca="false">-1+D345*0.25</f>
        <v>0.75</v>
      </c>
      <c r="I345" s="0" t="n">
        <f aca="false">1</f>
        <v>1</v>
      </c>
      <c r="J345" s="0" t="n">
        <f aca="false">E345</f>
        <v>-1</v>
      </c>
      <c r="K345" s="0" t="n">
        <f aca="false">F345</f>
        <v>0</v>
      </c>
      <c r="L345" s="0" t="n">
        <f aca="false">G345</f>
        <v>-0.75</v>
      </c>
      <c r="M345" s="0" t="n">
        <f aca="false">H345</f>
        <v>0.75</v>
      </c>
      <c r="N345" s="0" t="n">
        <f aca="false">E345*F345</f>
        <v>-0</v>
      </c>
      <c r="O345" s="0" t="n">
        <f aca="false">E345*G345</f>
        <v>0.75</v>
      </c>
      <c r="P345" s="0" t="n">
        <f aca="false">E345*H345</f>
        <v>-0.75</v>
      </c>
      <c r="Q345" s="0" t="n">
        <f aca="false">F345*G345</f>
        <v>-0</v>
      </c>
      <c r="R345" s="0" t="n">
        <f aca="false">F345*H345</f>
        <v>0</v>
      </c>
      <c r="S345" s="0" t="n">
        <f aca="false">G345*H345</f>
        <v>-0.5625</v>
      </c>
      <c r="T345" s="0" t="n">
        <f aca="false">E345*E345</f>
        <v>1</v>
      </c>
      <c r="U345" s="0" t="n">
        <f aca="false">F345*F345</f>
        <v>0</v>
      </c>
      <c r="V345" s="0" t="n">
        <f aca="false">G345*G345</f>
        <v>0.5625</v>
      </c>
      <c r="W345" s="0" t="n">
        <f aca="false">H345*H345</f>
        <v>0.5625</v>
      </c>
      <c r="X345" s="0" t="n">
        <f aca="false">SUMPRODUCT(I345:W345,_XtX!$B$96:$P$96)</f>
        <v>41.5445677997077</v>
      </c>
      <c r="Y345" s="0" t="n">
        <f aca="false">SUMPRODUCT(MMULT(I345:W345,_XtX!$B$78:$P$92),I345:W345)</f>
        <v>0.494259126005117</v>
      </c>
      <c r="Z345" s="0" t="n">
        <f aca="false">04_回帰ANOVA!$K$19*04_回帰ANOVA!$K$14*SQRT(1+Y345)</f>
        <v>1.59335061078203</v>
      </c>
      <c r="AA345" s="0" t="n">
        <f aca="false">X345-Z345</f>
        <v>39.9512171889256</v>
      </c>
      <c r="AB345" s="0" t="n">
        <f aca="false">X345+Z345</f>
        <v>43.1379184104897</v>
      </c>
      <c r="AC345" s="54" t="b">
        <f aca="false">AND(E345&gt;=01_因子設定!$L$5-0.000000001,E345&lt;=01_因子設定!$M$5+0.000000001,F345&gt;=01_因子設定!$L$6-0.000000001,F345&lt;=01_因子設定!$M$6+0.000000001,G345&gt;=01_因子設定!$L$7-0.000000001,G345&lt;=01_因子設定!$M$7+0.000000001,H345&gt;=01_因子設定!$L$8-0.000000001,H345&lt;=01_因子設定!$M$8+0.000000001,IF(01_因子設定!$B$20="Box-Behnken",E345^2+F345^2+G345^2+H345^2&lt;=2+0.000000001,TRUE()))</f>
        <v>1</v>
      </c>
      <c r="AD345" s="55" t="n">
        <f aca="false">IF(AC345,IF(01_因子設定!$B$13="最大化",AA345-01_因子設定!$B$14,IF(01_因子設定!$B$13="最小化",01_因子設定!$B$15-AB345,MIN(AA345-01_因子設定!$B$14,01_因子設定!$B$15-AB345))),-1E+030)</f>
        <v>-6.54878281107438</v>
      </c>
      <c r="AE345" s="55" t="n">
        <f aca="false">IF(AC345,IF(01_因子設定!$B$13="最大化",X345,IF(01_因子設定!$B$13="最小化",-X345,-ABS(X345-01_因子設定!$B$16))),-1E+030)</f>
        <v>41.5445677997077</v>
      </c>
      <c r="AF345" s="55" t="n">
        <f aca="false">AD345+ROW()*0.000000001</f>
        <v>-6.54878246607438</v>
      </c>
      <c r="AG345" s="55" t="n">
        <f aca="false">AE345+ROW()*0.000000001</f>
        <v>41.5445681447077</v>
      </c>
    </row>
    <row r="346" customFormat="false" ht="15" hidden="false" customHeight="false" outlineLevel="0" collapsed="false">
      <c r="A346" s="0" t="n">
        <v>0</v>
      </c>
      <c r="B346" s="0" t="n">
        <v>4</v>
      </c>
      <c r="C346" s="0" t="n">
        <v>1</v>
      </c>
      <c r="D346" s="0" t="n">
        <v>8</v>
      </c>
      <c r="E346" s="0" t="n">
        <f aca="false">-1+A346*0.25</f>
        <v>-1</v>
      </c>
      <c r="F346" s="0" t="n">
        <f aca="false">-1+B346*0.25</f>
        <v>0</v>
      </c>
      <c r="G346" s="0" t="n">
        <f aca="false">-1+C346*0.25</f>
        <v>-0.75</v>
      </c>
      <c r="H346" s="0" t="n">
        <f aca="false">-1+D346*0.25</f>
        <v>1</v>
      </c>
      <c r="I346" s="0" t="n">
        <f aca="false">1</f>
        <v>1</v>
      </c>
      <c r="J346" s="0" t="n">
        <f aca="false">E346</f>
        <v>-1</v>
      </c>
      <c r="K346" s="0" t="n">
        <f aca="false">F346</f>
        <v>0</v>
      </c>
      <c r="L346" s="0" t="n">
        <f aca="false">G346</f>
        <v>-0.75</v>
      </c>
      <c r="M346" s="0" t="n">
        <f aca="false">H346</f>
        <v>1</v>
      </c>
      <c r="N346" s="0" t="n">
        <f aca="false">E346*F346</f>
        <v>-0</v>
      </c>
      <c r="O346" s="0" t="n">
        <f aca="false">E346*G346</f>
        <v>0.75</v>
      </c>
      <c r="P346" s="0" t="n">
        <f aca="false">E346*H346</f>
        <v>-1</v>
      </c>
      <c r="Q346" s="0" t="n">
        <f aca="false">F346*G346</f>
        <v>-0</v>
      </c>
      <c r="R346" s="0" t="n">
        <f aca="false">F346*H346</f>
        <v>0</v>
      </c>
      <c r="S346" s="0" t="n">
        <f aca="false">G346*H346</f>
        <v>-0.75</v>
      </c>
      <c r="T346" s="0" t="n">
        <f aca="false">E346*E346</f>
        <v>1</v>
      </c>
      <c r="U346" s="0" t="n">
        <f aca="false">F346*F346</f>
        <v>0</v>
      </c>
      <c r="V346" s="0" t="n">
        <f aca="false">G346*G346</f>
        <v>0.5625</v>
      </c>
      <c r="W346" s="0" t="n">
        <f aca="false">H346*H346</f>
        <v>1</v>
      </c>
      <c r="X346" s="0" t="n">
        <f aca="false">SUMPRODUCT(I346:W346,_XtX!$B$96:$P$96)</f>
        <v>41.3934758771931</v>
      </c>
      <c r="Y346" s="0" t="n">
        <f aca="false">SUMPRODUCT(MMULT(I346:W346,_XtX!$B$78:$P$92),I346:W346)</f>
        <v>0.646198830409357</v>
      </c>
      <c r="Z346" s="0" t="n">
        <f aca="false">04_回帰ANOVA!$K$19*04_回帰ANOVA!$K$14*SQRT(1+Y346)</f>
        <v>1.67239760569756</v>
      </c>
      <c r="AA346" s="0" t="n">
        <f aca="false">X346-Z346</f>
        <v>39.7210782714955</v>
      </c>
      <c r="AB346" s="0" t="n">
        <f aca="false">X346+Z346</f>
        <v>43.0658734828906</v>
      </c>
      <c r="AC346" s="54" t="b">
        <f aca="false">AND(E346&gt;=01_因子設定!$L$5-0.000000001,E346&lt;=01_因子設定!$M$5+0.000000001,F346&gt;=01_因子設定!$L$6-0.000000001,F346&lt;=01_因子設定!$M$6+0.000000001,G346&gt;=01_因子設定!$L$7-0.000000001,G346&lt;=01_因子設定!$M$7+0.000000001,H346&gt;=01_因子設定!$L$8-0.000000001,H346&lt;=01_因子設定!$M$8+0.000000001,IF(01_因子設定!$B$20="Box-Behnken",E346^2+F346^2+G346^2+H346^2&lt;=2+0.000000001,TRUE()))</f>
        <v>1</v>
      </c>
      <c r="AD346" s="55" t="n">
        <f aca="false">IF(AC346,IF(01_因子設定!$B$13="最大化",AA346-01_因子設定!$B$14,IF(01_因子設定!$B$13="最小化",01_因子設定!$B$15-AB346,MIN(AA346-01_因子設定!$B$14,01_因子設定!$B$15-AB346))),-1E+030)</f>
        <v>-6.77892172850451</v>
      </c>
      <c r="AE346" s="55" t="n">
        <f aca="false">IF(AC346,IF(01_因子設定!$B$13="最大化",X346,IF(01_因子設定!$B$13="最小化",-X346,-ABS(X346-01_因子設定!$B$16))),-1E+030)</f>
        <v>41.3934758771931</v>
      </c>
      <c r="AF346" s="55" t="n">
        <f aca="false">AD346+ROW()*0.000000001</f>
        <v>-6.77892138250451</v>
      </c>
      <c r="AG346" s="55" t="n">
        <f aca="false">AE346+ROW()*0.000000001</f>
        <v>41.3934762231931</v>
      </c>
    </row>
    <row r="347" customFormat="false" ht="15" hidden="false" customHeight="false" outlineLevel="0" collapsed="false">
      <c r="A347" s="0" t="n">
        <v>0</v>
      </c>
      <c r="B347" s="0" t="n">
        <v>4</v>
      </c>
      <c r="C347" s="0" t="n">
        <v>2</v>
      </c>
      <c r="D347" s="0" t="n">
        <v>0</v>
      </c>
      <c r="E347" s="0" t="n">
        <f aca="false">-1+A347*0.25</f>
        <v>-1</v>
      </c>
      <c r="F347" s="0" t="n">
        <f aca="false">-1+B347*0.25</f>
        <v>0</v>
      </c>
      <c r="G347" s="0" t="n">
        <f aca="false">-1+C347*0.25</f>
        <v>-0.5</v>
      </c>
      <c r="H347" s="0" t="n">
        <f aca="false">-1+D347*0.25</f>
        <v>-1</v>
      </c>
      <c r="I347" s="0" t="n">
        <f aca="false">1</f>
        <v>1</v>
      </c>
      <c r="J347" s="0" t="n">
        <f aca="false">E347</f>
        <v>-1</v>
      </c>
      <c r="K347" s="0" t="n">
        <f aca="false">F347</f>
        <v>0</v>
      </c>
      <c r="L347" s="0" t="n">
        <f aca="false">G347</f>
        <v>-0.5</v>
      </c>
      <c r="M347" s="0" t="n">
        <f aca="false">H347</f>
        <v>-1</v>
      </c>
      <c r="N347" s="0" t="n">
        <f aca="false">E347*F347</f>
        <v>-0</v>
      </c>
      <c r="O347" s="0" t="n">
        <f aca="false">E347*G347</f>
        <v>0.5</v>
      </c>
      <c r="P347" s="0" t="n">
        <f aca="false">E347*H347</f>
        <v>1</v>
      </c>
      <c r="Q347" s="0" t="n">
        <f aca="false">F347*G347</f>
        <v>-0</v>
      </c>
      <c r="R347" s="0" t="n">
        <f aca="false">F347*H347</f>
        <v>-0</v>
      </c>
      <c r="S347" s="0" t="n">
        <f aca="false">G347*H347</f>
        <v>0.5</v>
      </c>
      <c r="T347" s="0" t="n">
        <f aca="false">E347*E347</f>
        <v>1</v>
      </c>
      <c r="U347" s="0" t="n">
        <f aca="false">F347*F347</f>
        <v>0</v>
      </c>
      <c r="V347" s="0" t="n">
        <f aca="false">G347*G347</f>
        <v>0.25</v>
      </c>
      <c r="W347" s="0" t="n">
        <f aca="false">H347*H347</f>
        <v>1</v>
      </c>
      <c r="X347" s="0" t="n">
        <f aca="false">SUMPRODUCT(I347:W347,_XtX!$B$96:$P$96)</f>
        <v>41.8133406432749</v>
      </c>
      <c r="Y347" s="0" t="n">
        <f aca="false">SUMPRODUCT(MMULT(I347:W347,_XtX!$B$78:$P$92),I347:W347)</f>
        <v>0.650767543859649</v>
      </c>
      <c r="Z347" s="0" t="n">
        <f aca="false">04_回帰ANOVA!$K$19*04_回帰ANOVA!$K$14*SQRT(1+Y347)</f>
        <v>1.67471670935165</v>
      </c>
      <c r="AA347" s="0" t="n">
        <f aca="false">X347-Z347</f>
        <v>40.1386239339233</v>
      </c>
      <c r="AB347" s="0" t="n">
        <f aca="false">X347+Z347</f>
        <v>43.4880573526266</v>
      </c>
      <c r="AC347" s="54" t="b">
        <f aca="false">AND(E347&gt;=01_因子設定!$L$5-0.000000001,E347&lt;=01_因子設定!$M$5+0.000000001,F347&gt;=01_因子設定!$L$6-0.000000001,F347&lt;=01_因子設定!$M$6+0.000000001,G347&gt;=01_因子設定!$L$7-0.000000001,G347&lt;=01_因子設定!$M$7+0.000000001,H347&gt;=01_因子設定!$L$8-0.000000001,H347&lt;=01_因子設定!$M$8+0.000000001,IF(01_因子設定!$B$20="Box-Behnken",E347^2+F347^2+G347^2+H347^2&lt;=2+0.000000001,TRUE()))</f>
        <v>1</v>
      </c>
      <c r="AD347" s="55" t="n">
        <f aca="false">IF(AC347,IF(01_因子設定!$B$13="最大化",AA347-01_因子設定!$B$14,IF(01_因子設定!$B$13="最小化",01_因子設定!$B$15-AB347,MIN(AA347-01_因子設定!$B$14,01_因子設定!$B$15-AB347))),-1E+030)</f>
        <v>-6.36137606607673</v>
      </c>
      <c r="AE347" s="55" t="n">
        <f aca="false">IF(AC347,IF(01_因子設定!$B$13="最大化",X347,IF(01_因子設定!$B$13="最小化",-X347,-ABS(X347-01_因子設定!$B$16))),-1E+030)</f>
        <v>41.8133406432749</v>
      </c>
      <c r="AF347" s="55" t="n">
        <f aca="false">AD347+ROW()*0.000000001</f>
        <v>-6.36137571907673</v>
      </c>
      <c r="AG347" s="55" t="n">
        <f aca="false">AE347+ROW()*0.000000001</f>
        <v>41.8133409902749</v>
      </c>
    </row>
    <row r="348" customFormat="false" ht="15" hidden="false" customHeight="false" outlineLevel="0" collapsed="false">
      <c r="A348" s="0" t="n">
        <v>0</v>
      </c>
      <c r="B348" s="0" t="n">
        <v>4</v>
      </c>
      <c r="C348" s="0" t="n">
        <v>2</v>
      </c>
      <c r="D348" s="0" t="n">
        <v>1</v>
      </c>
      <c r="E348" s="0" t="n">
        <f aca="false">-1+A348*0.25</f>
        <v>-1</v>
      </c>
      <c r="F348" s="0" t="n">
        <f aca="false">-1+B348*0.25</f>
        <v>0</v>
      </c>
      <c r="G348" s="0" t="n">
        <f aca="false">-1+C348*0.25</f>
        <v>-0.5</v>
      </c>
      <c r="H348" s="0" t="n">
        <f aca="false">-1+D348*0.25</f>
        <v>-0.75</v>
      </c>
      <c r="I348" s="0" t="n">
        <f aca="false">1</f>
        <v>1</v>
      </c>
      <c r="J348" s="0" t="n">
        <f aca="false">E348</f>
        <v>-1</v>
      </c>
      <c r="K348" s="0" t="n">
        <f aca="false">F348</f>
        <v>0</v>
      </c>
      <c r="L348" s="0" t="n">
        <f aca="false">G348</f>
        <v>-0.5</v>
      </c>
      <c r="M348" s="0" t="n">
        <f aca="false">H348</f>
        <v>-0.75</v>
      </c>
      <c r="N348" s="0" t="n">
        <f aca="false">E348*F348</f>
        <v>-0</v>
      </c>
      <c r="O348" s="0" t="n">
        <f aca="false">E348*G348</f>
        <v>0.5</v>
      </c>
      <c r="P348" s="0" t="n">
        <f aca="false">E348*H348</f>
        <v>0.75</v>
      </c>
      <c r="Q348" s="0" t="n">
        <f aca="false">F348*G348</f>
        <v>-0</v>
      </c>
      <c r="R348" s="0" t="n">
        <f aca="false">F348*H348</f>
        <v>-0</v>
      </c>
      <c r="S348" s="0" t="n">
        <f aca="false">G348*H348</f>
        <v>0.375</v>
      </c>
      <c r="T348" s="0" t="n">
        <f aca="false">E348*E348</f>
        <v>1</v>
      </c>
      <c r="U348" s="0" t="n">
        <f aca="false">F348*F348</f>
        <v>0</v>
      </c>
      <c r="V348" s="0" t="n">
        <f aca="false">G348*G348</f>
        <v>0.25</v>
      </c>
      <c r="W348" s="0" t="n">
        <f aca="false">H348*H348</f>
        <v>0.5625</v>
      </c>
      <c r="X348" s="0" t="n">
        <f aca="false">SUMPRODUCT(I348:W348,_XtX!$B$96:$P$96)</f>
        <v>42.0148665935673</v>
      </c>
      <c r="Y348" s="0" t="n">
        <f aca="false">SUMPRODUCT(MMULT(I348:W348,_XtX!$B$78:$P$92),I348:W348)</f>
        <v>0.476191292032164</v>
      </c>
      <c r="Z348" s="0" t="n">
        <f aca="false">04_回帰ANOVA!$K$19*04_回帰ANOVA!$K$14*SQRT(1+Y348)</f>
        <v>1.58368831471718</v>
      </c>
      <c r="AA348" s="0" t="n">
        <f aca="false">X348-Z348</f>
        <v>40.4311782788501</v>
      </c>
      <c r="AB348" s="0" t="n">
        <f aca="false">X348+Z348</f>
        <v>43.5985549082845</v>
      </c>
      <c r="AC348" s="54" t="b">
        <f aca="false">AND(E348&gt;=01_因子設定!$L$5-0.000000001,E348&lt;=01_因子設定!$M$5+0.000000001,F348&gt;=01_因子設定!$L$6-0.000000001,F348&lt;=01_因子設定!$M$6+0.000000001,G348&gt;=01_因子設定!$L$7-0.000000001,G348&lt;=01_因子設定!$M$7+0.000000001,H348&gt;=01_因子設定!$L$8-0.000000001,H348&lt;=01_因子設定!$M$8+0.000000001,IF(01_因子設定!$B$20="Box-Behnken",E348^2+F348^2+G348^2+H348^2&lt;=2+0.000000001,TRUE()))</f>
        <v>1</v>
      </c>
      <c r="AD348" s="55" t="n">
        <f aca="false">IF(AC348,IF(01_因子設定!$B$13="最大化",AA348-01_因子設定!$B$14,IF(01_因子設定!$B$13="最小化",01_因子設定!$B$15-AB348,MIN(AA348-01_因子設定!$B$14,01_因子設定!$B$15-AB348))),-1E+030)</f>
        <v>-6.06882172114988</v>
      </c>
      <c r="AE348" s="55" t="n">
        <f aca="false">IF(AC348,IF(01_因子設定!$B$13="最大化",X348,IF(01_因子設定!$B$13="最小化",-X348,-ABS(X348-01_因子設定!$B$16))),-1E+030)</f>
        <v>42.0148665935673</v>
      </c>
      <c r="AF348" s="55" t="n">
        <f aca="false">AD348+ROW()*0.000000001</f>
        <v>-6.06882137314988</v>
      </c>
      <c r="AG348" s="55" t="n">
        <f aca="false">AE348+ROW()*0.000000001</f>
        <v>42.0148669415673</v>
      </c>
    </row>
    <row r="349" customFormat="false" ht="15" hidden="false" customHeight="false" outlineLevel="0" collapsed="false">
      <c r="A349" s="0" t="n">
        <v>0</v>
      </c>
      <c r="B349" s="0" t="n">
        <v>4</v>
      </c>
      <c r="C349" s="0" t="n">
        <v>2</v>
      </c>
      <c r="D349" s="0" t="n">
        <v>2</v>
      </c>
      <c r="E349" s="0" t="n">
        <f aca="false">-1+A349*0.25</f>
        <v>-1</v>
      </c>
      <c r="F349" s="0" t="n">
        <f aca="false">-1+B349*0.25</f>
        <v>0</v>
      </c>
      <c r="G349" s="0" t="n">
        <f aca="false">-1+C349*0.25</f>
        <v>-0.5</v>
      </c>
      <c r="H349" s="0" t="n">
        <f aca="false">-1+D349*0.25</f>
        <v>-0.5</v>
      </c>
      <c r="I349" s="0" t="n">
        <f aca="false">1</f>
        <v>1</v>
      </c>
      <c r="J349" s="0" t="n">
        <f aca="false">E349</f>
        <v>-1</v>
      </c>
      <c r="K349" s="0" t="n">
        <f aca="false">F349</f>
        <v>0</v>
      </c>
      <c r="L349" s="0" t="n">
        <f aca="false">G349</f>
        <v>-0.5</v>
      </c>
      <c r="M349" s="0" t="n">
        <f aca="false">H349</f>
        <v>-0.5</v>
      </c>
      <c r="N349" s="0" t="n">
        <f aca="false">E349*F349</f>
        <v>-0</v>
      </c>
      <c r="O349" s="0" t="n">
        <f aca="false">E349*G349</f>
        <v>0.5</v>
      </c>
      <c r="P349" s="0" t="n">
        <f aca="false">E349*H349</f>
        <v>0.5</v>
      </c>
      <c r="Q349" s="0" t="n">
        <f aca="false">F349*G349</f>
        <v>-0</v>
      </c>
      <c r="R349" s="0" t="n">
        <f aca="false">F349*H349</f>
        <v>-0</v>
      </c>
      <c r="S349" s="0" t="n">
        <f aca="false">G349*H349</f>
        <v>0.25</v>
      </c>
      <c r="T349" s="0" t="n">
        <f aca="false">E349*E349</f>
        <v>1</v>
      </c>
      <c r="U349" s="0" t="n">
        <f aca="false">F349*F349</f>
        <v>0</v>
      </c>
      <c r="V349" s="0" t="n">
        <f aca="false">G349*G349</f>
        <v>0.25</v>
      </c>
      <c r="W349" s="0" t="n">
        <f aca="false">H349*H349</f>
        <v>0.25</v>
      </c>
      <c r="X349" s="0" t="n">
        <f aca="false">SUMPRODUCT(I349:W349,_XtX!$B$96:$P$96)</f>
        <v>42.1685855263158</v>
      </c>
      <c r="Y349" s="0" t="n">
        <f aca="false">SUMPRODUCT(MMULT(I349:W349,_XtX!$B$78:$P$92),I349:W349)</f>
        <v>0.441954495614035</v>
      </c>
      <c r="Z349" s="0" t="n">
        <f aca="false">04_回帰ANOVA!$K$19*04_回帰ANOVA!$K$14*SQRT(1+Y349)</f>
        <v>1.56521560968066</v>
      </c>
      <c r="AA349" s="0" t="n">
        <f aca="false">X349-Z349</f>
        <v>40.6033699166352</v>
      </c>
      <c r="AB349" s="0" t="n">
        <f aca="false">X349+Z349</f>
        <v>43.7338011359965</v>
      </c>
      <c r="AC349" s="54" t="b">
        <f aca="false">AND(E349&gt;=01_因子設定!$L$5-0.000000001,E349&lt;=01_因子設定!$M$5+0.000000001,F349&gt;=01_因子設定!$L$6-0.000000001,F349&lt;=01_因子設定!$M$6+0.000000001,G349&gt;=01_因子設定!$L$7-0.000000001,G349&lt;=01_因子設定!$M$7+0.000000001,H349&gt;=01_因子設定!$L$8-0.000000001,H349&lt;=01_因子設定!$M$8+0.000000001,IF(01_因子設定!$B$20="Box-Behnken",E349^2+F349^2+G349^2+H349^2&lt;=2+0.000000001,TRUE()))</f>
        <v>1</v>
      </c>
      <c r="AD349" s="55" t="n">
        <f aca="false">IF(AC349,IF(01_因子設定!$B$13="最大化",AA349-01_因子設定!$B$14,IF(01_因子設定!$B$13="最小化",01_因子設定!$B$15-AB349,MIN(AA349-01_因子設定!$B$14,01_因子設定!$B$15-AB349))),-1E+030)</f>
        <v>-5.89663008336484</v>
      </c>
      <c r="AE349" s="55" t="n">
        <f aca="false">IF(AC349,IF(01_因子設定!$B$13="最大化",X349,IF(01_因子設定!$B$13="最小化",-X349,-ABS(X349-01_因子設定!$B$16))),-1E+030)</f>
        <v>42.1685855263158</v>
      </c>
      <c r="AF349" s="55" t="n">
        <f aca="false">AD349+ROW()*0.000000001</f>
        <v>-5.89662973436484</v>
      </c>
      <c r="AG349" s="55" t="n">
        <f aca="false">AE349+ROW()*0.000000001</f>
        <v>42.1685858753158</v>
      </c>
    </row>
    <row r="350" customFormat="false" ht="15" hidden="false" customHeight="false" outlineLevel="0" collapsed="false">
      <c r="A350" s="0" t="n">
        <v>0</v>
      </c>
      <c r="B350" s="0" t="n">
        <v>4</v>
      </c>
      <c r="C350" s="0" t="n">
        <v>2</v>
      </c>
      <c r="D350" s="0" t="n">
        <v>3</v>
      </c>
      <c r="E350" s="0" t="n">
        <f aca="false">-1+A350*0.25</f>
        <v>-1</v>
      </c>
      <c r="F350" s="0" t="n">
        <f aca="false">-1+B350*0.25</f>
        <v>0</v>
      </c>
      <c r="G350" s="0" t="n">
        <f aca="false">-1+C350*0.25</f>
        <v>-0.5</v>
      </c>
      <c r="H350" s="0" t="n">
        <f aca="false">-1+D350*0.25</f>
        <v>-0.25</v>
      </c>
      <c r="I350" s="0" t="n">
        <f aca="false">1</f>
        <v>1</v>
      </c>
      <c r="J350" s="0" t="n">
        <f aca="false">E350</f>
        <v>-1</v>
      </c>
      <c r="K350" s="0" t="n">
        <f aca="false">F350</f>
        <v>0</v>
      </c>
      <c r="L350" s="0" t="n">
        <f aca="false">G350</f>
        <v>-0.5</v>
      </c>
      <c r="M350" s="0" t="n">
        <f aca="false">H350</f>
        <v>-0.25</v>
      </c>
      <c r="N350" s="0" t="n">
        <f aca="false">E350*F350</f>
        <v>-0</v>
      </c>
      <c r="O350" s="0" t="n">
        <f aca="false">E350*G350</f>
        <v>0.5</v>
      </c>
      <c r="P350" s="0" t="n">
        <f aca="false">E350*H350</f>
        <v>0.25</v>
      </c>
      <c r="Q350" s="0" t="n">
        <f aca="false">F350*G350</f>
        <v>-0</v>
      </c>
      <c r="R350" s="0" t="n">
        <f aca="false">F350*H350</f>
        <v>-0</v>
      </c>
      <c r="S350" s="0" t="n">
        <f aca="false">G350*H350</f>
        <v>0.125</v>
      </c>
      <c r="T350" s="0" t="n">
        <f aca="false">E350*E350</f>
        <v>1</v>
      </c>
      <c r="U350" s="0" t="n">
        <f aca="false">F350*F350</f>
        <v>0</v>
      </c>
      <c r="V350" s="0" t="n">
        <f aca="false">G350*G350</f>
        <v>0.25</v>
      </c>
      <c r="W350" s="0" t="n">
        <f aca="false">H350*H350</f>
        <v>0.0625</v>
      </c>
      <c r="X350" s="0" t="n">
        <f aca="false">SUMPRODUCT(I350:W350,_XtX!$B$96:$P$96)</f>
        <v>42.2744974415205</v>
      </c>
      <c r="Y350" s="0" t="n">
        <f aca="false">SUMPRODUCT(MMULT(I350:W350,_XtX!$B$78:$P$92),I350:W350)</f>
        <v>0.457596628289474</v>
      </c>
      <c r="Z350" s="0" t="n">
        <f aca="false">04_回帰ANOVA!$K$19*04_回帰ANOVA!$K$14*SQRT(1+Y350)</f>
        <v>1.57368233664366</v>
      </c>
      <c r="AA350" s="0" t="n">
        <f aca="false">X350-Z350</f>
        <v>40.7008151048768</v>
      </c>
      <c r="AB350" s="0" t="n">
        <f aca="false">X350+Z350</f>
        <v>43.8481797781642</v>
      </c>
      <c r="AC350" s="54" t="b">
        <f aca="false">AND(E350&gt;=01_因子設定!$L$5-0.000000001,E350&lt;=01_因子設定!$M$5+0.000000001,F350&gt;=01_因子設定!$L$6-0.000000001,F350&lt;=01_因子設定!$M$6+0.000000001,G350&gt;=01_因子設定!$L$7-0.000000001,G350&lt;=01_因子設定!$M$7+0.000000001,H350&gt;=01_因子設定!$L$8-0.000000001,H350&lt;=01_因子設定!$M$8+0.000000001,IF(01_因子設定!$B$20="Box-Behnken",E350^2+F350^2+G350^2+H350^2&lt;=2+0.000000001,TRUE()))</f>
        <v>1</v>
      </c>
      <c r="AD350" s="55" t="n">
        <f aca="false">IF(AC350,IF(01_因子設定!$B$13="最大化",AA350-01_因子設定!$B$14,IF(01_因子設定!$B$13="最小化",01_因子設定!$B$15-AB350,MIN(AA350-01_因子設定!$B$14,01_因子設定!$B$15-AB350))),-1E+030)</f>
        <v>-5.79918489512316</v>
      </c>
      <c r="AE350" s="55" t="n">
        <f aca="false">IF(AC350,IF(01_因子設定!$B$13="最大化",X350,IF(01_因子設定!$B$13="最小化",-X350,-ABS(X350-01_因子設定!$B$16))),-1E+030)</f>
        <v>42.2744974415205</v>
      </c>
      <c r="AF350" s="55" t="n">
        <f aca="false">AD350+ROW()*0.000000001</f>
        <v>-5.79918454512316</v>
      </c>
      <c r="AG350" s="55" t="n">
        <f aca="false">AE350+ROW()*0.000000001</f>
        <v>42.2744977915205</v>
      </c>
    </row>
    <row r="351" customFormat="false" ht="15" hidden="false" customHeight="false" outlineLevel="0" collapsed="false">
      <c r="A351" s="0" t="n">
        <v>0</v>
      </c>
      <c r="B351" s="0" t="n">
        <v>4</v>
      </c>
      <c r="C351" s="0" t="n">
        <v>2</v>
      </c>
      <c r="D351" s="0" t="n">
        <v>4</v>
      </c>
      <c r="E351" s="0" t="n">
        <f aca="false">-1+A351*0.25</f>
        <v>-1</v>
      </c>
      <c r="F351" s="0" t="n">
        <f aca="false">-1+B351*0.25</f>
        <v>0</v>
      </c>
      <c r="G351" s="0" t="n">
        <f aca="false">-1+C351*0.25</f>
        <v>-0.5</v>
      </c>
      <c r="H351" s="0" t="n">
        <f aca="false">-1+D351*0.25</f>
        <v>0</v>
      </c>
      <c r="I351" s="0" t="n">
        <f aca="false">1</f>
        <v>1</v>
      </c>
      <c r="J351" s="0" t="n">
        <f aca="false">E351</f>
        <v>-1</v>
      </c>
      <c r="K351" s="0" t="n">
        <f aca="false">F351</f>
        <v>0</v>
      </c>
      <c r="L351" s="0" t="n">
        <f aca="false">G351</f>
        <v>-0.5</v>
      </c>
      <c r="M351" s="0" t="n">
        <f aca="false">H351</f>
        <v>0</v>
      </c>
      <c r="N351" s="0" t="n">
        <f aca="false">E351*F351</f>
        <v>-0</v>
      </c>
      <c r="O351" s="0" t="n">
        <f aca="false">E351*G351</f>
        <v>0.5</v>
      </c>
      <c r="P351" s="0" t="n">
        <f aca="false">E351*H351</f>
        <v>-0</v>
      </c>
      <c r="Q351" s="0" t="n">
        <f aca="false">F351*G351</f>
        <v>-0</v>
      </c>
      <c r="R351" s="0" t="n">
        <f aca="false">F351*H351</f>
        <v>0</v>
      </c>
      <c r="S351" s="0" t="n">
        <f aca="false">G351*H351</f>
        <v>-0</v>
      </c>
      <c r="T351" s="0" t="n">
        <f aca="false">E351*E351</f>
        <v>1</v>
      </c>
      <c r="U351" s="0" t="n">
        <f aca="false">F351*F351</f>
        <v>0</v>
      </c>
      <c r="V351" s="0" t="n">
        <f aca="false">G351*G351</f>
        <v>0.25</v>
      </c>
      <c r="W351" s="0" t="n">
        <f aca="false">H351*H351</f>
        <v>0</v>
      </c>
      <c r="X351" s="0" t="n">
        <f aca="false">SUMPRODUCT(I351:W351,_XtX!$B$96:$P$96)</f>
        <v>42.3326023391813</v>
      </c>
      <c r="Y351" s="0" t="n">
        <f aca="false">SUMPRODUCT(MMULT(I351:W351,_XtX!$B$78:$P$92),I351:W351)</f>
        <v>0.468841374269006</v>
      </c>
      <c r="Z351" s="0" t="n">
        <f aca="false">04_回帰ANOVA!$K$19*04_回帰ANOVA!$K$14*SQRT(1+Y351)</f>
        <v>1.57974082366087</v>
      </c>
      <c r="AA351" s="0" t="n">
        <f aca="false">X351-Z351</f>
        <v>40.7528615155204</v>
      </c>
      <c r="AB351" s="0" t="n">
        <f aca="false">X351+Z351</f>
        <v>43.9123431628422</v>
      </c>
      <c r="AC351" s="54" t="b">
        <f aca="false">AND(E351&gt;=01_因子設定!$L$5-0.000000001,E351&lt;=01_因子設定!$M$5+0.000000001,F351&gt;=01_因子設定!$L$6-0.000000001,F351&lt;=01_因子設定!$M$6+0.000000001,G351&gt;=01_因子設定!$L$7-0.000000001,G351&lt;=01_因子設定!$M$7+0.000000001,H351&gt;=01_因子設定!$L$8-0.000000001,H351&lt;=01_因子設定!$M$8+0.000000001,IF(01_因子設定!$B$20="Box-Behnken",E351^2+F351^2+G351^2+H351^2&lt;=2+0.000000001,TRUE()))</f>
        <v>1</v>
      </c>
      <c r="AD351" s="55" t="n">
        <f aca="false">IF(AC351,IF(01_因子設定!$B$13="最大化",AA351-01_因子設定!$B$14,IF(01_因子設定!$B$13="最小化",01_因子設定!$B$15-AB351,MIN(AA351-01_因子設定!$B$14,01_因子設定!$B$15-AB351))),-1E+030)</f>
        <v>-5.74713848447956</v>
      </c>
      <c r="AE351" s="55" t="n">
        <f aca="false">IF(AC351,IF(01_因子設定!$B$13="最大化",X351,IF(01_因子設定!$B$13="最小化",-X351,-ABS(X351-01_因子設定!$B$16))),-1E+030)</f>
        <v>42.3326023391813</v>
      </c>
      <c r="AF351" s="55" t="n">
        <f aca="false">AD351+ROW()*0.000000001</f>
        <v>-5.74713813347956</v>
      </c>
      <c r="AG351" s="55" t="n">
        <f aca="false">AE351+ROW()*0.000000001</f>
        <v>42.3326026901813</v>
      </c>
    </row>
    <row r="352" customFormat="false" ht="15" hidden="false" customHeight="false" outlineLevel="0" collapsed="false">
      <c r="A352" s="0" t="n">
        <v>0</v>
      </c>
      <c r="B352" s="0" t="n">
        <v>4</v>
      </c>
      <c r="C352" s="0" t="n">
        <v>2</v>
      </c>
      <c r="D352" s="0" t="n">
        <v>5</v>
      </c>
      <c r="E352" s="0" t="n">
        <f aca="false">-1+A352*0.25</f>
        <v>-1</v>
      </c>
      <c r="F352" s="0" t="n">
        <f aca="false">-1+B352*0.25</f>
        <v>0</v>
      </c>
      <c r="G352" s="0" t="n">
        <f aca="false">-1+C352*0.25</f>
        <v>-0.5</v>
      </c>
      <c r="H352" s="0" t="n">
        <f aca="false">-1+D352*0.25</f>
        <v>0.25</v>
      </c>
      <c r="I352" s="0" t="n">
        <f aca="false">1</f>
        <v>1</v>
      </c>
      <c r="J352" s="0" t="n">
        <f aca="false">E352</f>
        <v>-1</v>
      </c>
      <c r="K352" s="0" t="n">
        <f aca="false">F352</f>
        <v>0</v>
      </c>
      <c r="L352" s="0" t="n">
        <f aca="false">G352</f>
        <v>-0.5</v>
      </c>
      <c r="M352" s="0" t="n">
        <f aca="false">H352</f>
        <v>0.25</v>
      </c>
      <c r="N352" s="0" t="n">
        <f aca="false">E352*F352</f>
        <v>-0</v>
      </c>
      <c r="O352" s="0" t="n">
        <f aca="false">E352*G352</f>
        <v>0.5</v>
      </c>
      <c r="P352" s="0" t="n">
        <f aca="false">E352*H352</f>
        <v>-0.25</v>
      </c>
      <c r="Q352" s="0" t="n">
        <f aca="false">F352*G352</f>
        <v>-0</v>
      </c>
      <c r="R352" s="0" t="n">
        <f aca="false">F352*H352</f>
        <v>0</v>
      </c>
      <c r="S352" s="0" t="n">
        <f aca="false">G352*H352</f>
        <v>-0.125</v>
      </c>
      <c r="T352" s="0" t="n">
        <f aca="false">E352*E352</f>
        <v>1</v>
      </c>
      <c r="U352" s="0" t="n">
        <f aca="false">F352*F352</f>
        <v>0</v>
      </c>
      <c r="V352" s="0" t="n">
        <f aca="false">G352*G352</f>
        <v>0.25</v>
      </c>
      <c r="W352" s="0" t="n">
        <f aca="false">H352*H352</f>
        <v>0.0625</v>
      </c>
      <c r="X352" s="0" t="n">
        <f aca="false">SUMPRODUCT(I352:W352,_XtX!$B$96:$P$96)</f>
        <v>42.3429002192983</v>
      </c>
      <c r="Y352" s="0" t="n">
        <f aca="false">SUMPRODUCT(MMULT(I352:W352,_XtX!$B$78:$P$92),I352:W352)</f>
        <v>0.457596628289474</v>
      </c>
      <c r="Z352" s="0" t="n">
        <f aca="false">04_回帰ANOVA!$K$19*04_回帰ANOVA!$K$14*SQRT(1+Y352)</f>
        <v>1.57368233664366</v>
      </c>
      <c r="AA352" s="0" t="n">
        <f aca="false">X352-Z352</f>
        <v>40.7692178826546</v>
      </c>
      <c r="AB352" s="0" t="n">
        <f aca="false">X352+Z352</f>
        <v>43.9165825559419</v>
      </c>
      <c r="AC352" s="54" t="b">
        <f aca="false">AND(E352&gt;=01_因子設定!$L$5-0.000000001,E352&lt;=01_因子設定!$M$5+0.000000001,F352&gt;=01_因子設定!$L$6-0.000000001,F352&lt;=01_因子設定!$M$6+0.000000001,G352&gt;=01_因子設定!$L$7-0.000000001,G352&lt;=01_因子設定!$M$7+0.000000001,H352&gt;=01_因子設定!$L$8-0.000000001,H352&lt;=01_因子設定!$M$8+0.000000001,IF(01_因子設定!$B$20="Box-Behnken",E352^2+F352^2+G352^2+H352^2&lt;=2+0.000000001,TRUE()))</f>
        <v>1</v>
      </c>
      <c r="AD352" s="55" t="n">
        <f aca="false">IF(AC352,IF(01_因子設定!$B$13="最大化",AA352-01_因子設定!$B$14,IF(01_因子設定!$B$13="最小化",01_因子設定!$B$15-AB352,MIN(AA352-01_因子設定!$B$14,01_因子設定!$B$15-AB352))),-1E+030)</f>
        <v>-5.73078211734539</v>
      </c>
      <c r="AE352" s="55" t="n">
        <f aca="false">IF(AC352,IF(01_因子設定!$B$13="最大化",X352,IF(01_因子設定!$B$13="最小化",-X352,-ABS(X352-01_因子設定!$B$16))),-1E+030)</f>
        <v>42.3429002192983</v>
      </c>
      <c r="AF352" s="55" t="n">
        <f aca="false">AD352+ROW()*0.000000001</f>
        <v>-5.73078176534539</v>
      </c>
      <c r="AG352" s="55" t="n">
        <f aca="false">AE352+ROW()*0.000000001</f>
        <v>42.3429005712983</v>
      </c>
    </row>
    <row r="353" customFormat="false" ht="15" hidden="false" customHeight="false" outlineLevel="0" collapsed="false">
      <c r="A353" s="0" t="n">
        <v>0</v>
      </c>
      <c r="B353" s="0" t="n">
        <v>4</v>
      </c>
      <c r="C353" s="0" t="n">
        <v>2</v>
      </c>
      <c r="D353" s="0" t="n">
        <v>6</v>
      </c>
      <c r="E353" s="0" t="n">
        <f aca="false">-1+A353*0.25</f>
        <v>-1</v>
      </c>
      <c r="F353" s="0" t="n">
        <f aca="false">-1+B353*0.25</f>
        <v>0</v>
      </c>
      <c r="G353" s="0" t="n">
        <f aca="false">-1+C353*0.25</f>
        <v>-0.5</v>
      </c>
      <c r="H353" s="0" t="n">
        <f aca="false">-1+D353*0.25</f>
        <v>0.5</v>
      </c>
      <c r="I353" s="0" t="n">
        <f aca="false">1</f>
        <v>1</v>
      </c>
      <c r="J353" s="0" t="n">
        <f aca="false">E353</f>
        <v>-1</v>
      </c>
      <c r="K353" s="0" t="n">
        <f aca="false">F353</f>
        <v>0</v>
      </c>
      <c r="L353" s="0" t="n">
        <f aca="false">G353</f>
        <v>-0.5</v>
      </c>
      <c r="M353" s="0" t="n">
        <f aca="false">H353</f>
        <v>0.5</v>
      </c>
      <c r="N353" s="0" t="n">
        <f aca="false">E353*F353</f>
        <v>-0</v>
      </c>
      <c r="O353" s="0" t="n">
        <f aca="false">E353*G353</f>
        <v>0.5</v>
      </c>
      <c r="P353" s="0" t="n">
        <f aca="false">E353*H353</f>
        <v>-0.5</v>
      </c>
      <c r="Q353" s="0" t="n">
        <f aca="false">F353*G353</f>
        <v>-0</v>
      </c>
      <c r="R353" s="0" t="n">
        <f aca="false">F353*H353</f>
        <v>0</v>
      </c>
      <c r="S353" s="0" t="n">
        <f aca="false">G353*H353</f>
        <v>-0.25</v>
      </c>
      <c r="T353" s="0" t="n">
        <f aca="false">E353*E353</f>
        <v>1</v>
      </c>
      <c r="U353" s="0" t="n">
        <f aca="false">F353*F353</f>
        <v>0</v>
      </c>
      <c r="V353" s="0" t="n">
        <f aca="false">G353*G353</f>
        <v>0.25</v>
      </c>
      <c r="W353" s="0" t="n">
        <f aca="false">H353*H353</f>
        <v>0.25</v>
      </c>
      <c r="X353" s="0" t="n">
        <f aca="false">SUMPRODUCT(I353:W353,_XtX!$B$96:$P$96)</f>
        <v>42.3053910818714</v>
      </c>
      <c r="Y353" s="0" t="n">
        <f aca="false">SUMPRODUCT(MMULT(I353:W353,_XtX!$B$78:$P$92),I353:W353)</f>
        <v>0.441954495614035</v>
      </c>
      <c r="Z353" s="0" t="n">
        <f aca="false">04_回帰ANOVA!$K$19*04_回帰ANOVA!$K$14*SQRT(1+Y353)</f>
        <v>1.56521560968066</v>
      </c>
      <c r="AA353" s="0" t="n">
        <f aca="false">X353-Z353</f>
        <v>40.7401754721907</v>
      </c>
      <c r="AB353" s="0" t="n">
        <f aca="false">X353+Z353</f>
        <v>43.870606691552</v>
      </c>
      <c r="AC353" s="54" t="b">
        <f aca="false">AND(E353&gt;=01_因子設定!$L$5-0.000000001,E353&lt;=01_因子設定!$M$5+0.000000001,F353&gt;=01_因子設定!$L$6-0.000000001,F353&lt;=01_因子設定!$M$6+0.000000001,G353&gt;=01_因子設定!$L$7-0.000000001,G353&lt;=01_因子設定!$M$7+0.000000001,H353&gt;=01_因子設定!$L$8-0.000000001,H353&lt;=01_因子設定!$M$8+0.000000001,IF(01_因子設定!$B$20="Box-Behnken",E353^2+F353^2+G353^2+H353^2&lt;=2+0.000000001,TRUE()))</f>
        <v>1</v>
      </c>
      <c r="AD353" s="55" t="n">
        <f aca="false">IF(AC353,IF(01_因子設定!$B$13="最大化",AA353-01_因子設定!$B$14,IF(01_因子設定!$B$13="最小化",01_因子設定!$B$15-AB353,MIN(AA353-01_因子設定!$B$14,01_因子設定!$B$15-AB353))),-1E+030)</f>
        <v>-5.75982452780929</v>
      </c>
      <c r="AE353" s="55" t="n">
        <f aca="false">IF(AC353,IF(01_因子設定!$B$13="最大化",X353,IF(01_因子設定!$B$13="最小化",-X353,-ABS(X353-01_因子設定!$B$16))),-1E+030)</f>
        <v>42.3053910818714</v>
      </c>
      <c r="AF353" s="55" t="n">
        <f aca="false">AD353+ROW()*0.000000001</f>
        <v>-5.75982417480929</v>
      </c>
      <c r="AG353" s="55" t="n">
        <f aca="false">AE353+ROW()*0.000000001</f>
        <v>42.3053914348714</v>
      </c>
    </row>
    <row r="354" customFormat="false" ht="15" hidden="false" customHeight="false" outlineLevel="0" collapsed="false">
      <c r="A354" s="0" t="n">
        <v>0</v>
      </c>
      <c r="B354" s="0" t="n">
        <v>4</v>
      </c>
      <c r="C354" s="0" t="n">
        <v>2</v>
      </c>
      <c r="D354" s="0" t="n">
        <v>7</v>
      </c>
      <c r="E354" s="0" t="n">
        <f aca="false">-1+A354*0.25</f>
        <v>-1</v>
      </c>
      <c r="F354" s="0" t="n">
        <f aca="false">-1+B354*0.25</f>
        <v>0</v>
      </c>
      <c r="G354" s="0" t="n">
        <f aca="false">-1+C354*0.25</f>
        <v>-0.5</v>
      </c>
      <c r="H354" s="0" t="n">
        <f aca="false">-1+D354*0.25</f>
        <v>0.75</v>
      </c>
      <c r="I354" s="0" t="n">
        <f aca="false">1</f>
        <v>1</v>
      </c>
      <c r="J354" s="0" t="n">
        <f aca="false">E354</f>
        <v>-1</v>
      </c>
      <c r="K354" s="0" t="n">
        <f aca="false">F354</f>
        <v>0</v>
      </c>
      <c r="L354" s="0" t="n">
        <f aca="false">G354</f>
        <v>-0.5</v>
      </c>
      <c r="M354" s="0" t="n">
        <f aca="false">H354</f>
        <v>0.75</v>
      </c>
      <c r="N354" s="0" t="n">
        <f aca="false">E354*F354</f>
        <v>-0</v>
      </c>
      <c r="O354" s="0" t="n">
        <f aca="false">E354*G354</f>
        <v>0.5</v>
      </c>
      <c r="P354" s="0" t="n">
        <f aca="false">E354*H354</f>
        <v>-0.75</v>
      </c>
      <c r="Q354" s="0" t="n">
        <f aca="false">F354*G354</f>
        <v>-0</v>
      </c>
      <c r="R354" s="0" t="n">
        <f aca="false">F354*H354</f>
        <v>0</v>
      </c>
      <c r="S354" s="0" t="n">
        <f aca="false">G354*H354</f>
        <v>-0.375</v>
      </c>
      <c r="T354" s="0" t="n">
        <f aca="false">E354*E354</f>
        <v>1</v>
      </c>
      <c r="U354" s="0" t="n">
        <f aca="false">F354*F354</f>
        <v>0</v>
      </c>
      <c r="V354" s="0" t="n">
        <f aca="false">G354*G354</f>
        <v>0.25</v>
      </c>
      <c r="W354" s="0" t="n">
        <f aca="false">H354*H354</f>
        <v>0.5625</v>
      </c>
      <c r="X354" s="0" t="n">
        <f aca="false">SUMPRODUCT(I354:W354,_XtX!$B$96:$P$96)</f>
        <v>42.2200749269006</v>
      </c>
      <c r="Y354" s="0" t="n">
        <f aca="false">SUMPRODUCT(MMULT(I354:W354,_XtX!$B$78:$P$92),I354:W354)</f>
        <v>0.476191292032164</v>
      </c>
      <c r="Z354" s="0" t="n">
        <f aca="false">04_回帰ANOVA!$K$19*04_回帰ANOVA!$K$14*SQRT(1+Y354)</f>
        <v>1.58368831471718</v>
      </c>
      <c r="AA354" s="0" t="n">
        <f aca="false">X354-Z354</f>
        <v>40.6363866121835</v>
      </c>
      <c r="AB354" s="0" t="n">
        <f aca="false">X354+Z354</f>
        <v>43.8037632416178</v>
      </c>
      <c r="AC354" s="54" t="b">
        <f aca="false">AND(E354&gt;=01_因子設定!$L$5-0.000000001,E354&lt;=01_因子設定!$M$5+0.000000001,F354&gt;=01_因子設定!$L$6-0.000000001,F354&lt;=01_因子設定!$M$6+0.000000001,G354&gt;=01_因子設定!$L$7-0.000000001,G354&lt;=01_因子設定!$M$7+0.000000001,H354&gt;=01_因子設定!$L$8-0.000000001,H354&lt;=01_因子設定!$M$8+0.000000001,IF(01_因子設定!$B$20="Box-Behnken",E354^2+F354^2+G354^2+H354^2&lt;=2+0.000000001,TRUE()))</f>
        <v>1</v>
      </c>
      <c r="AD354" s="55" t="n">
        <f aca="false">IF(AC354,IF(01_因子設定!$B$13="最大化",AA354-01_因子設定!$B$14,IF(01_因子設定!$B$13="最小化",01_因子設定!$B$15-AB354,MIN(AA354-01_因子設定!$B$14,01_因子設定!$B$15-AB354))),-1E+030)</f>
        <v>-5.86361338781655</v>
      </c>
      <c r="AE354" s="55" t="n">
        <f aca="false">IF(AC354,IF(01_因子設定!$B$13="最大化",X354,IF(01_因子設定!$B$13="最小化",-X354,-ABS(X354-01_因子設定!$B$16))),-1E+030)</f>
        <v>42.2200749269006</v>
      </c>
      <c r="AF354" s="55" t="n">
        <f aca="false">AD354+ROW()*0.000000001</f>
        <v>-5.86361303381655</v>
      </c>
      <c r="AG354" s="55" t="n">
        <f aca="false">AE354+ROW()*0.000000001</f>
        <v>42.2200752809006</v>
      </c>
    </row>
    <row r="355" customFormat="false" ht="15" hidden="false" customHeight="false" outlineLevel="0" collapsed="false">
      <c r="A355" s="0" t="n">
        <v>0</v>
      </c>
      <c r="B355" s="0" t="n">
        <v>4</v>
      </c>
      <c r="C355" s="0" t="n">
        <v>2</v>
      </c>
      <c r="D355" s="0" t="n">
        <v>8</v>
      </c>
      <c r="E355" s="0" t="n">
        <f aca="false">-1+A355*0.25</f>
        <v>-1</v>
      </c>
      <c r="F355" s="0" t="n">
        <f aca="false">-1+B355*0.25</f>
        <v>0</v>
      </c>
      <c r="G355" s="0" t="n">
        <f aca="false">-1+C355*0.25</f>
        <v>-0.5</v>
      </c>
      <c r="H355" s="0" t="n">
        <f aca="false">-1+D355*0.25</f>
        <v>1</v>
      </c>
      <c r="I355" s="0" t="n">
        <f aca="false">1</f>
        <v>1</v>
      </c>
      <c r="J355" s="0" t="n">
        <f aca="false">E355</f>
        <v>-1</v>
      </c>
      <c r="K355" s="0" t="n">
        <f aca="false">F355</f>
        <v>0</v>
      </c>
      <c r="L355" s="0" t="n">
        <f aca="false">G355</f>
        <v>-0.5</v>
      </c>
      <c r="M355" s="0" t="n">
        <f aca="false">H355</f>
        <v>1</v>
      </c>
      <c r="N355" s="0" t="n">
        <f aca="false">E355*F355</f>
        <v>-0</v>
      </c>
      <c r="O355" s="0" t="n">
        <f aca="false">E355*G355</f>
        <v>0.5</v>
      </c>
      <c r="P355" s="0" t="n">
        <f aca="false">E355*H355</f>
        <v>-1</v>
      </c>
      <c r="Q355" s="0" t="n">
        <f aca="false">F355*G355</f>
        <v>-0</v>
      </c>
      <c r="R355" s="0" t="n">
        <f aca="false">F355*H355</f>
        <v>0</v>
      </c>
      <c r="S355" s="0" t="n">
        <f aca="false">G355*H355</f>
        <v>-0.5</v>
      </c>
      <c r="T355" s="0" t="n">
        <f aca="false">E355*E355</f>
        <v>1</v>
      </c>
      <c r="U355" s="0" t="n">
        <f aca="false">F355*F355</f>
        <v>0</v>
      </c>
      <c r="V355" s="0" t="n">
        <f aca="false">G355*G355</f>
        <v>0.25</v>
      </c>
      <c r="W355" s="0" t="n">
        <f aca="false">H355*H355</f>
        <v>1</v>
      </c>
      <c r="X355" s="0" t="n">
        <f aca="false">SUMPRODUCT(I355:W355,_XtX!$B$96:$P$96)</f>
        <v>42.086951754386</v>
      </c>
      <c r="Y355" s="0" t="n">
        <f aca="false">SUMPRODUCT(MMULT(I355:W355,_XtX!$B$78:$P$92),I355:W355)</f>
        <v>0.650767543859649</v>
      </c>
      <c r="Z355" s="0" t="n">
        <f aca="false">04_回帰ANOVA!$K$19*04_回帰ANOVA!$K$14*SQRT(1+Y355)</f>
        <v>1.67471670935165</v>
      </c>
      <c r="AA355" s="0" t="n">
        <f aca="false">X355-Z355</f>
        <v>40.4122350450344</v>
      </c>
      <c r="AB355" s="0" t="n">
        <f aca="false">X355+Z355</f>
        <v>43.7616684637377</v>
      </c>
      <c r="AC355" s="54" t="b">
        <f aca="false">AND(E355&gt;=01_因子設定!$L$5-0.000000001,E355&lt;=01_因子設定!$M$5+0.000000001,F355&gt;=01_因子設定!$L$6-0.000000001,F355&lt;=01_因子設定!$M$6+0.000000001,G355&gt;=01_因子設定!$L$7-0.000000001,G355&lt;=01_因子設定!$M$7+0.000000001,H355&gt;=01_因子設定!$L$8-0.000000001,H355&lt;=01_因子設定!$M$8+0.000000001,IF(01_因子設定!$B$20="Box-Behnken",E355^2+F355^2+G355^2+H355^2&lt;=2+0.000000001,TRUE()))</f>
        <v>1</v>
      </c>
      <c r="AD355" s="55" t="n">
        <f aca="false">IF(AC355,IF(01_因子設定!$B$13="最大化",AA355-01_因子設定!$B$14,IF(01_因子設定!$B$13="最小化",01_因子設定!$B$15-AB355,MIN(AA355-01_因子設定!$B$14,01_因子設定!$B$15-AB355))),-1E+030)</f>
        <v>-6.08776495496562</v>
      </c>
      <c r="AE355" s="55" t="n">
        <f aca="false">IF(AC355,IF(01_因子設定!$B$13="最大化",X355,IF(01_因子設定!$B$13="最小化",-X355,-ABS(X355-01_因子設定!$B$16))),-1E+030)</f>
        <v>42.086951754386</v>
      </c>
      <c r="AF355" s="55" t="n">
        <f aca="false">AD355+ROW()*0.000000001</f>
        <v>-6.08776459996562</v>
      </c>
      <c r="AG355" s="55" t="n">
        <f aca="false">AE355+ROW()*0.000000001</f>
        <v>42.086952109386</v>
      </c>
    </row>
    <row r="356" customFormat="false" ht="15" hidden="false" customHeight="false" outlineLevel="0" collapsed="false">
      <c r="A356" s="0" t="n">
        <v>0</v>
      </c>
      <c r="B356" s="0" t="n">
        <v>4</v>
      </c>
      <c r="C356" s="0" t="n">
        <v>3</v>
      </c>
      <c r="D356" s="0" t="n">
        <v>0</v>
      </c>
      <c r="E356" s="0" t="n">
        <f aca="false">-1+A356*0.25</f>
        <v>-1</v>
      </c>
      <c r="F356" s="0" t="n">
        <f aca="false">-1+B356*0.25</f>
        <v>0</v>
      </c>
      <c r="G356" s="0" t="n">
        <f aca="false">-1+C356*0.25</f>
        <v>-0.25</v>
      </c>
      <c r="H356" s="0" t="n">
        <f aca="false">-1+D356*0.25</f>
        <v>-1</v>
      </c>
      <c r="I356" s="0" t="n">
        <f aca="false">1</f>
        <v>1</v>
      </c>
      <c r="J356" s="0" t="n">
        <f aca="false">E356</f>
        <v>-1</v>
      </c>
      <c r="K356" s="0" t="n">
        <f aca="false">F356</f>
        <v>0</v>
      </c>
      <c r="L356" s="0" t="n">
        <f aca="false">G356</f>
        <v>-0.25</v>
      </c>
      <c r="M356" s="0" t="n">
        <f aca="false">H356</f>
        <v>-1</v>
      </c>
      <c r="N356" s="0" t="n">
        <f aca="false">E356*F356</f>
        <v>-0</v>
      </c>
      <c r="O356" s="0" t="n">
        <f aca="false">E356*G356</f>
        <v>0.25</v>
      </c>
      <c r="P356" s="0" t="n">
        <f aca="false">E356*H356</f>
        <v>1</v>
      </c>
      <c r="Q356" s="0" t="n">
        <f aca="false">F356*G356</f>
        <v>-0</v>
      </c>
      <c r="R356" s="0" t="n">
        <f aca="false">F356*H356</f>
        <v>-0</v>
      </c>
      <c r="S356" s="0" t="n">
        <f aca="false">G356*H356</f>
        <v>0.25</v>
      </c>
      <c r="T356" s="0" t="n">
        <f aca="false">E356*E356</f>
        <v>1</v>
      </c>
      <c r="U356" s="0" t="n">
        <f aca="false">F356*F356</f>
        <v>0</v>
      </c>
      <c r="V356" s="0" t="n">
        <f aca="false">G356*G356</f>
        <v>0.0625</v>
      </c>
      <c r="W356" s="0" t="n">
        <f aca="false">H356*H356</f>
        <v>1</v>
      </c>
      <c r="X356" s="0" t="n">
        <f aca="false">SUMPRODUCT(I356:W356,_XtX!$B$96:$P$96)</f>
        <v>42.277759502924</v>
      </c>
      <c r="Y356" s="0" t="n">
        <f aca="false">SUMPRODUCT(MMULT(I356:W356,_XtX!$B$78:$P$92),I356:W356)</f>
        <v>0.689692982456141</v>
      </c>
      <c r="Z356" s="0" t="n">
        <f aca="false">04_回帰ANOVA!$K$19*04_回帰ANOVA!$K$14*SQRT(1+Y356)</f>
        <v>1.69434674594998</v>
      </c>
      <c r="AA356" s="0" t="n">
        <f aca="false">X356-Z356</f>
        <v>40.5834127569741</v>
      </c>
      <c r="AB356" s="0" t="n">
        <f aca="false">X356+Z356</f>
        <v>43.972106248874</v>
      </c>
      <c r="AC356" s="54" t="b">
        <f aca="false">AND(E356&gt;=01_因子設定!$L$5-0.000000001,E356&lt;=01_因子設定!$M$5+0.000000001,F356&gt;=01_因子設定!$L$6-0.000000001,F356&lt;=01_因子設定!$M$6+0.000000001,G356&gt;=01_因子設定!$L$7-0.000000001,G356&lt;=01_因子設定!$M$7+0.000000001,H356&gt;=01_因子設定!$L$8-0.000000001,H356&lt;=01_因子設定!$M$8+0.000000001,IF(01_因子設定!$B$20="Box-Behnken",E356^2+F356^2+G356^2+H356^2&lt;=2+0.000000001,TRUE()))</f>
        <v>1</v>
      </c>
      <c r="AD356" s="55" t="n">
        <f aca="false">IF(AC356,IF(01_因子設定!$B$13="最大化",AA356-01_因子設定!$B$14,IF(01_因子設定!$B$13="最小化",01_因子設定!$B$15-AB356,MIN(AA356-01_因子設定!$B$14,01_因子設定!$B$15-AB356))),-1E+030)</f>
        <v>-5.91658724302594</v>
      </c>
      <c r="AE356" s="55" t="n">
        <f aca="false">IF(AC356,IF(01_因子設定!$B$13="最大化",X356,IF(01_因子設定!$B$13="最小化",-X356,-ABS(X356-01_因子設定!$B$16))),-1E+030)</f>
        <v>42.277759502924</v>
      </c>
      <c r="AF356" s="55" t="n">
        <f aca="false">AD356+ROW()*0.000000001</f>
        <v>-5.91658688702594</v>
      </c>
      <c r="AG356" s="55" t="n">
        <f aca="false">AE356+ROW()*0.000000001</f>
        <v>42.277759858924</v>
      </c>
    </row>
    <row r="357" customFormat="false" ht="15" hidden="false" customHeight="false" outlineLevel="0" collapsed="false">
      <c r="A357" s="0" t="n">
        <v>0</v>
      </c>
      <c r="B357" s="0" t="n">
        <v>4</v>
      </c>
      <c r="C357" s="0" t="n">
        <v>3</v>
      </c>
      <c r="D357" s="0" t="n">
        <v>1</v>
      </c>
      <c r="E357" s="0" t="n">
        <f aca="false">-1+A357*0.25</f>
        <v>-1</v>
      </c>
      <c r="F357" s="0" t="n">
        <f aca="false">-1+B357*0.25</f>
        <v>0</v>
      </c>
      <c r="G357" s="0" t="n">
        <f aca="false">-1+C357*0.25</f>
        <v>-0.25</v>
      </c>
      <c r="H357" s="0" t="n">
        <f aca="false">-1+D357*0.25</f>
        <v>-0.75</v>
      </c>
      <c r="I357" s="0" t="n">
        <f aca="false">1</f>
        <v>1</v>
      </c>
      <c r="J357" s="0" t="n">
        <f aca="false">E357</f>
        <v>-1</v>
      </c>
      <c r="K357" s="0" t="n">
        <f aca="false">F357</f>
        <v>0</v>
      </c>
      <c r="L357" s="0" t="n">
        <f aca="false">G357</f>
        <v>-0.25</v>
      </c>
      <c r="M357" s="0" t="n">
        <f aca="false">H357</f>
        <v>-0.75</v>
      </c>
      <c r="N357" s="0" t="n">
        <f aca="false">E357*F357</f>
        <v>-0</v>
      </c>
      <c r="O357" s="0" t="n">
        <f aca="false">E357*G357</f>
        <v>0.25</v>
      </c>
      <c r="P357" s="0" t="n">
        <f aca="false">E357*H357</f>
        <v>0.75</v>
      </c>
      <c r="Q357" s="0" t="n">
        <f aca="false">F357*G357</f>
        <v>-0</v>
      </c>
      <c r="R357" s="0" t="n">
        <f aca="false">F357*H357</f>
        <v>-0</v>
      </c>
      <c r="S357" s="0" t="n">
        <f aca="false">G357*H357</f>
        <v>0.1875</v>
      </c>
      <c r="T357" s="0" t="n">
        <f aca="false">E357*E357</f>
        <v>1</v>
      </c>
      <c r="U357" s="0" t="n">
        <f aca="false">F357*F357</f>
        <v>0</v>
      </c>
      <c r="V357" s="0" t="n">
        <f aca="false">G357*G357</f>
        <v>0.0625</v>
      </c>
      <c r="W357" s="0" t="n">
        <f aca="false">H357*H357</f>
        <v>0.5625</v>
      </c>
      <c r="X357" s="0" t="n">
        <f aca="false">SUMPRODUCT(I357:W357,_XtX!$B$96:$P$96)</f>
        <v>42.4972542032164</v>
      </c>
      <c r="Y357" s="0" t="n">
        <f aca="false">SUMPRODUCT(MMULT(I357:W357,_XtX!$B$78:$P$92),I357:W357)</f>
        <v>0.501534802174708</v>
      </c>
      <c r="Z357" s="0" t="n">
        <f aca="false">04_回帰ANOVA!$K$19*04_回帰ANOVA!$K$14*SQRT(1+Y357)</f>
        <v>1.59722498091333</v>
      </c>
      <c r="AA357" s="0" t="n">
        <f aca="false">X357-Z357</f>
        <v>40.9000292223031</v>
      </c>
      <c r="AB357" s="0" t="n">
        <f aca="false">X357+Z357</f>
        <v>44.0944791841298</v>
      </c>
      <c r="AC357" s="54" t="b">
        <f aca="false">AND(E357&gt;=01_因子設定!$L$5-0.000000001,E357&lt;=01_因子設定!$M$5+0.000000001,F357&gt;=01_因子設定!$L$6-0.000000001,F357&lt;=01_因子設定!$M$6+0.000000001,G357&gt;=01_因子設定!$L$7-0.000000001,G357&lt;=01_因子設定!$M$7+0.000000001,H357&gt;=01_因子設定!$L$8-0.000000001,H357&lt;=01_因子設定!$M$8+0.000000001,IF(01_因子設定!$B$20="Box-Behnken",E357^2+F357^2+G357^2+H357^2&lt;=2+0.000000001,TRUE()))</f>
        <v>1</v>
      </c>
      <c r="AD357" s="55" t="n">
        <f aca="false">IF(AC357,IF(01_因子設定!$B$13="最大化",AA357-01_因子設定!$B$14,IF(01_因子設定!$B$13="最小化",01_因子設定!$B$15-AB357,MIN(AA357-01_因子設定!$B$14,01_因子設定!$B$15-AB357))),-1E+030)</f>
        <v>-5.59997077769691</v>
      </c>
      <c r="AE357" s="55" t="n">
        <f aca="false">IF(AC357,IF(01_因子設定!$B$13="最大化",X357,IF(01_因子設定!$B$13="最小化",-X357,-ABS(X357-01_因子設定!$B$16))),-1E+030)</f>
        <v>42.4972542032164</v>
      </c>
      <c r="AF357" s="55" t="n">
        <f aca="false">AD357+ROW()*0.000000001</f>
        <v>-5.59997042069691</v>
      </c>
      <c r="AG357" s="55" t="n">
        <f aca="false">AE357+ROW()*0.000000001</f>
        <v>42.4972545602164</v>
      </c>
    </row>
    <row r="358" customFormat="false" ht="15" hidden="false" customHeight="false" outlineLevel="0" collapsed="false">
      <c r="A358" s="0" t="n">
        <v>0</v>
      </c>
      <c r="B358" s="0" t="n">
        <v>4</v>
      </c>
      <c r="C358" s="0" t="n">
        <v>3</v>
      </c>
      <c r="D358" s="0" t="n">
        <v>2</v>
      </c>
      <c r="E358" s="0" t="n">
        <f aca="false">-1+A358*0.25</f>
        <v>-1</v>
      </c>
      <c r="F358" s="0" t="n">
        <f aca="false">-1+B358*0.25</f>
        <v>0</v>
      </c>
      <c r="G358" s="0" t="n">
        <f aca="false">-1+C358*0.25</f>
        <v>-0.25</v>
      </c>
      <c r="H358" s="0" t="n">
        <f aca="false">-1+D358*0.25</f>
        <v>-0.5</v>
      </c>
      <c r="I358" s="0" t="n">
        <f aca="false">1</f>
        <v>1</v>
      </c>
      <c r="J358" s="0" t="n">
        <f aca="false">E358</f>
        <v>-1</v>
      </c>
      <c r="K358" s="0" t="n">
        <f aca="false">F358</f>
        <v>0</v>
      </c>
      <c r="L358" s="0" t="n">
        <f aca="false">G358</f>
        <v>-0.25</v>
      </c>
      <c r="M358" s="0" t="n">
        <f aca="false">H358</f>
        <v>-0.5</v>
      </c>
      <c r="N358" s="0" t="n">
        <f aca="false">E358*F358</f>
        <v>-0</v>
      </c>
      <c r="O358" s="0" t="n">
        <f aca="false">E358*G358</f>
        <v>0.25</v>
      </c>
      <c r="P358" s="0" t="n">
        <f aca="false">E358*H358</f>
        <v>0.5</v>
      </c>
      <c r="Q358" s="0" t="n">
        <f aca="false">F358*G358</f>
        <v>-0</v>
      </c>
      <c r="R358" s="0" t="n">
        <f aca="false">F358*H358</f>
        <v>-0</v>
      </c>
      <c r="S358" s="0" t="n">
        <f aca="false">G358*H358</f>
        <v>0.125</v>
      </c>
      <c r="T358" s="0" t="n">
        <f aca="false">E358*E358</f>
        <v>1</v>
      </c>
      <c r="U358" s="0" t="n">
        <f aca="false">F358*F358</f>
        <v>0</v>
      </c>
      <c r="V358" s="0" t="n">
        <f aca="false">G358*G358</f>
        <v>0.0625</v>
      </c>
      <c r="W358" s="0" t="n">
        <f aca="false">H358*H358</f>
        <v>0.25</v>
      </c>
      <c r="X358" s="0" t="n">
        <f aca="false">SUMPRODUCT(I358:W358,_XtX!$B$96:$P$96)</f>
        <v>42.668941885965</v>
      </c>
      <c r="Y358" s="0" t="n">
        <f aca="false">SUMPRODUCT(MMULT(I358:W358,_XtX!$B$78:$P$92),I358:W358)</f>
        <v>0.457596628289474</v>
      </c>
      <c r="Z358" s="0" t="n">
        <f aca="false">04_回帰ANOVA!$K$19*04_回帰ANOVA!$K$14*SQRT(1+Y358)</f>
        <v>1.57368233664366</v>
      </c>
      <c r="AA358" s="0" t="n">
        <f aca="false">X358-Z358</f>
        <v>41.0952595493213</v>
      </c>
      <c r="AB358" s="0" t="n">
        <f aca="false">X358+Z358</f>
        <v>44.2426242226086</v>
      </c>
      <c r="AC358" s="54" t="b">
        <f aca="false">AND(E358&gt;=01_因子設定!$L$5-0.000000001,E358&lt;=01_因子設定!$M$5+0.000000001,F358&gt;=01_因子設定!$L$6-0.000000001,F358&lt;=01_因子設定!$M$6+0.000000001,G358&gt;=01_因子設定!$L$7-0.000000001,G358&lt;=01_因子設定!$M$7+0.000000001,H358&gt;=01_因子設定!$L$8-0.000000001,H358&lt;=01_因子設定!$M$8+0.000000001,IF(01_因子設定!$B$20="Box-Behnken",E358^2+F358^2+G358^2+H358^2&lt;=2+0.000000001,TRUE()))</f>
        <v>1</v>
      </c>
      <c r="AD358" s="55" t="n">
        <f aca="false">IF(AC358,IF(01_因子設定!$B$13="最大化",AA358-01_因子設定!$B$14,IF(01_因子設定!$B$13="最小化",01_因子設定!$B$15-AB358,MIN(AA358-01_因子設定!$B$14,01_因子設定!$B$15-AB358))),-1E+030)</f>
        <v>-5.40474045067871</v>
      </c>
      <c r="AE358" s="55" t="n">
        <f aca="false">IF(AC358,IF(01_因子設定!$B$13="最大化",X358,IF(01_因子設定!$B$13="最小化",-X358,-ABS(X358-01_因子設定!$B$16))),-1E+030)</f>
        <v>42.668941885965</v>
      </c>
      <c r="AF358" s="55" t="n">
        <f aca="false">AD358+ROW()*0.000000001</f>
        <v>-5.40474009267871</v>
      </c>
      <c r="AG358" s="55" t="n">
        <f aca="false">AE358+ROW()*0.000000001</f>
        <v>42.668942243965</v>
      </c>
    </row>
    <row r="359" customFormat="false" ht="15" hidden="false" customHeight="false" outlineLevel="0" collapsed="false">
      <c r="A359" s="0" t="n">
        <v>0</v>
      </c>
      <c r="B359" s="0" t="n">
        <v>4</v>
      </c>
      <c r="C359" s="0" t="n">
        <v>3</v>
      </c>
      <c r="D359" s="0" t="n">
        <v>3</v>
      </c>
      <c r="E359" s="0" t="n">
        <f aca="false">-1+A359*0.25</f>
        <v>-1</v>
      </c>
      <c r="F359" s="0" t="n">
        <f aca="false">-1+B359*0.25</f>
        <v>0</v>
      </c>
      <c r="G359" s="0" t="n">
        <f aca="false">-1+C359*0.25</f>
        <v>-0.25</v>
      </c>
      <c r="H359" s="0" t="n">
        <f aca="false">-1+D359*0.25</f>
        <v>-0.25</v>
      </c>
      <c r="I359" s="0" t="n">
        <f aca="false">1</f>
        <v>1</v>
      </c>
      <c r="J359" s="0" t="n">
        <f aca="false">E359</f>
        <v>-1</v>
      </c>
      <c r="K359" s="0" t="n">
        <f aca="false">F359</f>
        <v>0</v>
      </c>
      <c r="L359" s="0" t="n">
        <f aca="false">G359</f>
        <v>-0.25</v>
      </c>
      <c r="M359" s="0" t="n">
        <f aca="false">H359</f>
        <v>-0.25</v>
      </c>
      <c r="N359" s="0" t="n">
        <f aca="false">E359*F359</f>
        <v>-0</v>
      </c>
      <c r="O359" s="0" t="n">
        <f aca="false">E359*G359</f>
        <v>0.25</v>
      </c>
      <c r="P359" s="0" t="n">
        <f aca="false">E359*H359</f>
        <v>0.25</v>
      </c>
      <c r="Q359" s="0" t="n">
        <f aca="false">F359*G359</f>
        <v>-0</v>
      </c>
      <c r="R359" s="0" t="n">
        <f aca="false">F359*H359</f>
        <v>-0</v>
      </c>
      <c r="S359" s="0" t="n">
        <f aca="false">G359*H359</f>
        <v>0.0625</v>
      </c>
      <c r="T359" s="0" t="n">
        <f aca="false">E359*E359</f>
        <v>1</v>
      </c>
      <c r="U359" s="0" t="n">
        <f aca="false">F359*F359</f>
        <v>0</v>
      </c>
      <c r="V359" s="0" t="n">
        <f aca="false">G359*G359</f>
        <v>0.0625</v>
      </c>
      <c r="W359" s="0" t="n">
        <f aca="false">H359*H359</f>
        <v>0.0625</v>
      </c>
      <c r="X359" s="0" t="n">
        <f aca="false">SUMPRODUCT(I359:W359,_XtX!$B$96:$P$96)</f>
        <v>42.7928225511696</v>
      </c>
      <c r="Y359" s="0" t="n">
        <f aca="false">SUMPRODUCT(MMULT(I359:W359,_XtX!$B$78:$P$92),I359:W359)</f>
        <v>0.467417934484649</v>
      </c>
      <c r="Z359" s="0" t="n">
        <f aca="false">04_回帰ANOVA!$K$19*04_回帰ANOVA!$K$14*SQRT(1+Y359)</f>
        <v>1.57897518244497</v>
      </c>
      <c r="AA359" s="0" t="n">
        <f aca="false">X359-Z359</f>
        <v>41.2138473687247</v>
      </c>
      <c r="AB359" s="0" t="n">
        <f aca="false">X359+Z359</f>
        <v>44.3717977336146</v>
      </c>
      <c r="AC359" s="54" t="b">
        <f aca="false">AND(E359&gt;=01_因子設定!$L$5-0.000000001,E359&lt;=01_因子設定!$M$5+0.000000001,F359&gt;=01_因子設定!$L$6-0.000000001,F359&lt;=01_因子設定!$M$6+0.000000001,G359&gt;=01_因子設定!$L$7-0.000000001,G359&lt;=01_因子設定!$M$7+0.000000001,H359&gt;=01_因子設定!$L$8-0.000000001,H359&lt;=01_因子設定!$M$8+0.000000001,IF(01_因子設定!$B$20="Box-Behnken",E359^2+F359^2+G359^2+H359^2&lt;=2+0.000000001,TRUE()))</f>
        <v>1</v>
      </c>
      <c r="AD359" s="55" t="n">
        <f aca="false">IF(AC359,IF(01_因子設定!$B$13="最大化",AA359-01_因子設定!$B$14,IF(01_因子設定!$B$13="最小化",01_因子設定!$B$15-AB359,MIN(AA359-01_因子設定!$B$14,01_因子設定!$B$15-AB359))),-1E+030)</f>
        <v>-5.28615263127535</v>
      </c>
      <c r="AE359" s="55" t="n">
        <f aca="false">IF(AC359,IF(01_因子設定!$B$13="最大化",X359,IF(01_因子設定!$B$13="最小化",-X359,-ABS(X359-01_因子設定!$B$16))),-1E+030)</f>
        <v>42.7928225511696</v>
      </c>
      <c r="AF359" s="55" t="n">
        <f aca="false">AD359+ROW()*0.000000001</f>
        <v>-5.28615227227535</v>
      </c>
      <c r="AG359" s="55" t="n">
        <f aca="false">AE359+ROW()*0.000000001</f>
        <v>42.7928229101696</v>
      </c>
    </row>
    <row r="360" customFormat="false" ht="15" hidden="false" customHeight="false" outlineLevel="0" collapsed="false">
      <c r="A360" s="0" t="n">
        <v>0</v>
      </c>
      <c r="B360" s="0" t="n">
        <v>4</v>
      </c>
      <c r="C360" s="0" t="n">
        <v>3</v>
      </c>
      <c r="D360" s="0" t="n">
        <v>4</v>
      </c>
      <c r="E360" s="0" t="n">
        <f aca="false">-1+A360*0.25</f>
        <v>-1</v>
      </c>
      <c r="F360" s="0" t="n">
        <f aca="false">-1+B360*0.25</f>
        <v>0</v>
      </c>
      <c r="G360" s="0" t="n">
        <f aca="false">-1+C360*0.25</f>
        <v>-0.25</v>
      </c>
      <c r="H360" s="0" t="n">
        <f aca="false">-1+D360*0.25</f>
        <v>0</v>
      </c>
      <c r="I360" s="0" t="n">
        <f aca="false">1</f>
        <v>1</v>
      </c>
      <c r="J360" s="0" t="n">
        <f aca="false">E360</f>
        <v>-1</v>
      </c>
      <c r="K360" s="0" t="n">
        <f aca="false">F360</f>
        <v>0</v>
      </c>
      <c r="L360" s="0" t="n">
        <f aca="false">G360</f>
        <v>-0.25</v>
      </c>
      <c r="M360" s="0" t="n">
        <f aca="false">H360</f>
        <v>0</v>
      </c>
      <c r="N360" s="0" t="n">
        <f aca="false">E360*F360</f>
        <v>-0</v>
      </c>
      <c r="O360" s="0" t="n">
        <f aca="false">E360*G360</f>
        <v>0.25</v>
      </c>
      <c r="P360" s="0" t="n">
        <f aca="false">E360*H360</f>
        <v>-0</v>
      </c>
      <c r="Q360" s="0" t="n">
        <f aca="false">F360*G360</f>
        <v>-0</v>
      </c>
      <c r="R360" s="0" t="n">
        <f aca="false">F360*H360</f>
        <v>0</v>
      </c>
      <c r="S360" s="0" t="n">
        <f aca="false">G360*H360</f>
        <v>-0</v>
      </c>
      <c r="T360" s="0" t="n">
        <f aca="false">E360*E360</f>
        <v>1</v>
      </c>
      <c r="U360" s="0" t="n">
        <f aca="false">F360*F360</f>
        <v>0</v>
      </c>
      <c r="V360" s="0" t="n">
        <f aca="false">G360*G360</f>
        <v>0.0625</v>
      </c>
      <c r="W360" s="0" t="n">
        <f aca="false">H360*H360</f>
        <v>0</v>
      </c>
      <c r="X360" s="0" t="n">
        <f aca="false">SUMPRODUCT(I360:W360,_XtX!$B$96:$P$96)</f>
        <v>42.8688961988304</v>
      </c>
      <c r="Y360" s="0" t="n">
        <f aca="false">SUMPRODUCT(MMULT(I360:W360,_XtX!$B$78:$P$92),I360:W360)</f>
        <v>0.47672240497076</v>
      </c>
      <c r="Z360" s="0" t="n">
        <f aca="false">04_回帰ANOVA!$K$19*04_回帰ANOVA!$K$14*SQRT(1+Y360)</f>
        <v>1.58397318352695</v>
      </c>
      <c r="AA360" s="0" t="n">
        <f aca="false">X360-Z360</f>
        <v>41.2849230153035</v>
      </c>
      <c r="AB360" s="0" t="n">
        <f aca="false">X360+Z360</f>
        <v>44.4528693823574</v>
      </c>
      <c r="AC360" s="54" t="b">
        <f aca="false">AND(E360&gt;=01_因子設定!$L$5-0.000000001,E360&lt;=01_因子設定!$M$5+0.000000001,F360&gt;=01_因子設定!$L$6-0.000000001,F360&lt;=01_因子設定!$M$6+0.000000001,G360&gt;=01_因子設定!$L$7-0.000000001,G360&lt;=01_因子設定!$M$7+0.000000001,H360&gt;=01_因子設定!$L$8-0.000000001,H360&lt;=01_因子設定!$M$8+0.000000001,IF(01_因子設定!$B$20="Box-Behnken",E360^2+F360^2+G360^2+H360^2&lt;=2+0.000000001,TRUE()))</f>
        <v>1</v>
      </c>
      <c r="AD360" s="55" t="n">
        <f aca="false">IF(AC360,IF(01_因子設定!$B$13="最大化",AA360-01_因子設定!$B$14,IF(01_因子設定!$B$13="最小化",01_因子設定!$B$15-AB360,MIN(AA360-01_因子設定!$B$14,01_因子設定!$B$15-AB360))),-1E+030)</f>
        <v>-5.21507698469651</v>
      </c>
      <c r="AE360" s="55" t="n">
        <f aca="false">IF(AC360,IF(01_因子設定!$B$13="最大化",X360,IF(01_因子設定!$B$13="最小化",-X360,-ABS(X360-01_因子設定!$B$16))),-1E+030)</f>
        <v>42.8688961988304</v>
      </c>
      <c r="AF360" s="55" t="n">
        <f aca="false">AD360+ROW()*0.000000001</f>
        <v>-5.21507662469651</v>
      </c>
      <c r="AG360" s="55" t="n">
        <f aca="false">AE360+ROW()*0.000000001</f>
        <v>42.8688965588304</v>
      </c>
    </row>
    <row r="361" customFormat="false" ht="15" hidden="false" customHeight="false" outlineLevel="0" collapsed="false">
      <c r="A361" s="0" t="n">
        <v>0</v>
      </c>
      <c r="B361" s="0" t="n">
        <v>4</v>
      </c>
      <c r="C361" s="0" t="n">
        <v>3</v>
      </c>
      <c r="D361" s="0" t="n">
        <v>5</v>
      </c>
      <c r="E361" s="0" t="n">
        <f aca="false">-1+A361*0.25</f>
        <v>-1</v>
      </c>
      <c r="F361" s="0" t="n">
        <f aca="false">-1+B361*0.25</f>
        <v>0</v>
      </c>
      <c r="G361" s="0" t="n">
        <f aca="false">-1+C361*0.25</f>
        <v>-0.25</v>
      </c>
      <c r="H361" s="0" t="n">
        <f aca="false">-1+D361*0.25</f>
        <v>0.25</v>
      </c>
      <c r="I361" s="0" t="n">
        <f aca="false">1</f>
        <v>1</v>
      </c>
      <c r="J361" s="0" t="n">
        <f aca="false">E361</f>
        <v>-1</v>
      </c>
      <c r="K361" s="0" t="n">
        <f aca="false">F361</f>
        <v>0</v>
      </c>
      <c r="L361" s="0" t="n">
        <f aca="false">G361</f>
        <v>-0.25</v>
      </c>
      <c r="M361" s="0" t="n">
        <f aca="false">H361</f>
        <v>0.25</v>
      </c>
      <c r="N361" s="0" t="n">
        <f aca="false">E361*F361</f>
        <v>-0</v>
      </c>
      <c r="O361" s="0" t="n">
        <f aca="false">E361*G361</f>
        <v>0.25</v>
      </c>
      <c r="P361" s="0" t="n">
        <f aca="false">E361*H361</f>
        <v>-0.25</v>
      </c>
      <c r="Q361" s="0" t="n">
        <f aca="false">F361*G361</f>
        <v>-0</v>
      </c>
      <c r="R361" s="0" t="n">
        <f aca="false">F361*H361</f>
        <v>0</v>
      </c>
      <c r="S361" s="0" t="n">
        <f aca="false">G361*H361</f>
        <v>-0.0625</v>
      </c>
      <c r="T361" s="0" t="n">
        <f aca="false">E361*E361</f>
        <v>1</v>
      </c>
      <c r="U361" s="0" t="n">
        <f aca="false">F361*F361</f>
        <v>0</v>
      </c>
      <c r="V361" s="0" t="n">
        <f aca="false">G361*G361</f>
        <v>0.0625</v>
      </c>
      <c r="W361" s="0" t="n">
        <f aca="false">H361*H361</f>
        <v>0.0625</v>
      </c>
      <c r="X361" s="0" t="n">
        <f aca="false">SUMPRODUCT(I361:W361,_XtX!$B$96:$P$96)</f>
        <v>42.8971628289474</v>
      </c>
      <c r="Y361" s="0" t="n">
        <f aca="false">SUMPRODUCT(MMULT(I361:W361,_XtX!$B$78:$P$92),I361:W361)</f>
        <v>0.467417934484649</v>
      </c>
      <c r="Z361" s="0" t="n">
        <f aca="false">04_回帰ANOVA!$K$19*04_回帰ANOVA!$K$14*SQRT(1+Y361)</f>
        <v>1.57897518244497</v>
      </c>
      <c r="AA361" s="0" t="n">
        <f aca="false">X361-Z361</f>
        <v>41.3181876465024</v>
      </c>
      <c r="AB361" s="0" t="n">
        <f aca="false">X361+Z361</f>
        <v>44.4761380113924</v>
      </c>
      <c r="AC361" s="54" t="b">
        <f aca="false">AND(E361&gt;=01_因子設定!$L$5-0.000000001,E361&lt;=01_因子設定!$M$5+0.000000001,F361&gt;=01_因子設定!$L$6-0.000000001,F361&lt;=01_因子設定!$M$6+0.000000001,G361&gt;=01_因子設定!$L$7-0.000000001,G361&lt;=01_因子設定!$M$7+0.000000001,H361&gt;=01_因子設定!$L$8-0.000000001,H361&lt;=01_因子設定!$M$8+0.000000001,IF(01_因子設定!$B$20="Box-Behnken",E361^2+F361^2+G361^2+H361^2&lt;=2+0.000000001,TRUE()))</f>
        <v>1</v>
      </c>
      <c r="AD361" s="55" t="n">
        <f aca="false">IF(AC361,IF(01_因子設定!$B$13="最大化",AA361-01_因子設定!$B$14,IF(01_因子設定!$B$13="最小化",01_因子設定!$B$15-AB361,MIN(AA361-01_因子設定!$B$14,01_因子設定!$B$15-AB361))),-1E+030)</f>
        <v>-5.18181235349758</v>
      </c>
      <c r="AE361" s="55" t="n">
        <f aca="false">IF(AC361,IF(01_因子設定!$B$13="最大化",X361,IF(01_因子設定!$B$13="最小化",-X361,-ABS(X361-01_因子設定!$B$16))),-1E+030)</f>
        <v>42.8971628289474</v>
      </c>
      <c r="AF361" s="55" t="n">
        <f aca="false">AD361+ROW()*0.000000001</f>
        <v>-5.18181199249758</v>
      </c>
      <c r="AG361" s="55" t="n">
        <f aca="false">AE361+ROW()*0.000000001</f>
        <v>42.8971631899474</v>
      </c>
    </row>
    <row r="362" customFormat="false" ht="15" hidden="false" customHeight="false" outlineLevel="0" collapsed="false">
      <c r="A362" s="0" t="n">
        <v>0</v>
      </c>
      <c r="B362" s="0" t="n">
        <v>4</v>
      </c>
      <c r="C362" s="0" t="n">
        <v>3</v>
      </c>
      <c r="D362" s="0" t="n">
        <v>6</v>
      </c>
      <c r="E362" s="0" t="n">
        <f aca="false">-1+A362*0.25</f>
        <v>-1</v>
      </c>
      <c r="F362" s="0" t="n">
        <f aca="false">-1+B362*0.25</f>
        <v>0</v>
      </c>
      <c r="G362" s="0" t="n">
        <f aca="false">-1+C362*0.25</f>
        <v>-0.25</v>
      </c>
      <c r="H362" s="0" t="n">
        <f aca="false">-1+D362*0.25</f>
        <v>0.5</v>
      </c>
      <c r="I362" s="0" t="n">
        <f aca="false">1</f>
        <v>1</v>
      </c>
      <c r="J362" s="0" t="n">
        <f aca="false">E362</f>
        <v>-1</v>
      </c>
      <c r="K362" s="0" t="n">
        <f aca="false">F362</f>
        <v>0</v>
      </c>
      <c r="L362" s="0" t="n">
        <f aca="false">G362</f>
        <v>-0.25</v>
      </c>
      <c r="M362" s="0" t="n">
        <f aca="false">H362</f>
        <v>0.5</v>
      </c>
      <c r="N362" s="0" t="n">
        <f aca="false">E362*F362</f>
        <v>-0</v>
      </c>
      <c r="O362" s="0" t="n">
        <f aca="false">E362*G362</f>
        <v>0.25</v>
      </c>
      <c r="P362" s="0" t="n">
        <f aca="false">E362*H362</f>
        <v>-0.5</v>
      </c>
      <c r="Q362" s="0" t="n">
        <f aca="false">F362*G362</f>
        <v>-0</v>
      </c>
      <c r="R362" s="0" t="n">
        <f aca="false">F362*H362</f>
        <v>0</v>
      </c>
      <c r="S362" s="0" t="n">
        <f aca="false">G362*H362</f>
        <v>-0.125</v>
      </c>
      <c r="T362" s="0" t="n">
        <f aca="false">E362*E362</f>
        <v>1</v>
      </c>
      <c r="U362" s="0" t="n">
        <f aca="false">F362*F362</f>
        <v>0</v>
      </c>
      <c r="V362" s="0" t="n">
        <f aca="false">G362*G362</f>
        <v>0.0625</v>
      </c>
      <c r="W362" s="0" t="n">
        <f aca="false">H362*H362</f>
        <v>0.25</v>
      </c>
      <c r="X362" s="0" t="n">
        <f aca="false">SUMPRODUCT(I362:W362,_XtX!$B$96:$P$96)</f>
        <v>42.8776224415205</v>
      </c>
      <c r="Y362" s="0" t="n">
        <f aca="false">SUMPRODUCT(MMULT(I362:W362,_XtX!$B$78:$P$92),I362:W362)</f>
        <v>0.457596628289474</v>
      </c>
      <c r="Z362" s="0" t="n">
        <f aca="false">04_回帰ANOVA!$K$19*04_回帰ANOVA!$K$14*SQRT(1+Y362)</f>
        <v>1.57368233664366</v>
      </c>
      <c r="AA362" s="0" t="n">
        <f aca="false">X362-Z362</f>
        <v>41.3039401048768</v>
      </c>
      <c r="AB362" s="0" t="n">
        <f aca="false">X362+Z362</f>
        <v>44.4513047781642</v>
      </c>
      <c r="AC362" s="54" t="b">
        <f aca="false">AND(E362&gt;=01_因子設定!$L$5-0.000000001,E362&lt;=01_因子設定!$M$5+0.000000001,F362&gt;=01_因子設定!$L$6-0.000000001,F362&lt;=01_因子設定!$M$6+0.000000001,G362&gt;=01_因子設定!$L$7-0.000000001,G362&lt;=01_因子設定!$M$7+0.000000001,H362&gt;=01_因子設定!$L$8-0.000000001,H362&lt;=01_因子設定!$M$8+0.000000001,IF(01_因子設定!$B$20="Box-Behnken",E362^2+F362^2+G362^2+H362^2&lt;=2+0.000000001,TRUE()))</f>
        <v>1</v>
      </c>
      <c r="AD362" s="55" t="n">
        <f aca="false">IF(AC362,IF(01_因子設定!$B$13="最大化",AA362-01_因子設定!$B$14,IF(01_因子設定!$B$13="最小化",01_因子設定!$B$15-AB362,MIN(AA362-01_因子設定!$B$14,01_因子設定!$B$15-AB362))),-1E+030)</f>
        <v>-5.19605989512316</v>
      </c>
      <c r="AE362" s="55" t="n">
        <f aca="false">IF(AC362,IF(01_因子設定!$B$13="最大化",X362,IF(01_因子設定!$B$13="最小化",-X362,-ABS(X362-01_因子設定!$B$16))),-1E+030)</f>
        <v>42.8776224415205</v>
      </c>
      <c r="AF362" s="55" t="n">
        <f aca="false">AD362+ROW()*0.000000001</f>
        <v>-5.19605953312316</v>
      </c>
      <c r="AG362" s="55" t="n">
        <f aca="false">AE362+ROW()*0.000000001</f>
        <v>42.8776228035205</v>
      </c>
    </row>
    <row r="363" customFormat="false" ht="15" hidden="false" customHeight="false" outlineLevel="0" collapsed="false">
      <c r="A363" s="0" t="n">
        <v>0</v>
      </c>
      <c r="B363" s="0" t="n">
        <v>4</v>
      </c>
      <c r="C363" s="0" t="n">
        <v>3</v>
      </c>
      <c r="D363" s="0" t="n">
        <v>7</v>
      </c>
      <c r="E363" s="0" t="n">
        <f aca="false">-1+A363*0.25</f>
        <v>-1</v>
      </c>
      <c r="F363" s="0" t="n">
        <f aca="false">-1+B363*0.25</f>
        <v>0</v>
      </c>
      <c r="G363" s="0" t="n">
        <f aca="false">-1+C363*0.25</f>
        <v>-0.25</v>
      </c>
      <c r="H363" s="0" t="n">
        <f aca="false">-1+D363*0.25</f>
        <v>0.75</v>
      </c>
      <c r="I363" s="0" t="n">
        <f aca="false">1</f>
        <v>1</v>
      </c>
      <c r="J363" s="0" t="n">
        <f aca="false">E363</f>
        <v>-1</v>
      </c>
      <c r="K363" s="0" t="n">
        <f aca="false">F363</f>
        <v>0</v>
      </c>
      <c r="L363" s="0" t="n">
        <f aca="false">G363</f>
        <v>-0.25</v>
      </c>
      <c r="M363" s="0" t="n">
        <f aca="false">H363</f>
        <v>0.75</v>
      </c>
      <c r="N363" s="0" t="n">
        <f aca="false">E363*F363</f>
        <v>-0</v>
      </c>
      <c r="O363" s="0" t="n">
        <f aca="false">E363*G363</f>
        <v>0.25</v>
      </c>
      <c r="P363" s="0" t="n">
        <f aca="false">E363*H363</f>
        <v>-0.75</v>
      </c>
      <c r="Q363" s="0" t="n">
        <f aca="false">F363*G363</f>
        <v>-0</v>
      </c>
      <c r="R363" s="0" t="n">
        <f aca="false">F363*H363</f>
        <v>0</v>
      </c>
      <c r="S363" s="0" t="n">
        <f aca="false">G363*H363</f>
        <v>-0.1875</v>
      </c>
      <c r="T363" s="0" t="n">
        <f aca="false">E363*E363</f>
        <v>1</v>
      </c>
      <c r="U363" s="0" t="n">
        <f aca="false">F363*F363</f>
        <v>0</v>
      </c>
      <c r="V363" s="0" t="n">
        <f aca="false">G363*G363</f>
        <v>0.0625</v>
      </c>
      <c r="W363" s="0" t="n">
        <f aca="false">H363*H363</f>
        <v>0.5625</v>
      </c>
      <c r="X363" s="0" t="n">
        <f aca="false">SUMPRODUCT(I363:W363,_XtX!$B$96:$P$96)</f>
        <v>42.8102750365498</v>
      </c>
      <c r="Y363" s="0" t="n">
        <f aca="false">SUMPRODUCT(MMULT(I363:W363,_XtX!$B$78:$P$92),I363:W363)</f>
        <v>0.501534802174708</v>
      </c>
      <c r="Z363" s="0" t="n">
        <f aca="false">04_回帰ANOVA!$K$19*04_回帰ANOVA!$K$14*SQRT(1+Y363)</f>
        <v>1.59722498091333</v>
      </c>
      <c r="AA363" s="0" t="n">
        <f aca="false">X363-Z363</f>
        <v>41.2130500556364</v>
      </c>
      <c r="AB363" s="0" t="n">
        <f aca="false">X363+Z363</f>
        <v>44.4075000174631</v>
      </c>
      <c r="AC363" s="54" t="b">
        <f aca="false">AND(E363&gt;=01_因子設定!$L$5-0.000000001,E363&lt;=01_因子設定!$M$5+0.000000001,F363&gt;=01_因子設定!$L$6-0.000000001,F363&lt;=01_因子設定!$M$6+0.000000001,G363&gt;=01_因子設定!$L$7-0.000000001,G363&lt;=01_因子設定!$M$7+0.000000001,H363&gt;=01_因子設定!$L$8-0.000000001,H363&lt;=01_因子設定!$M$8+0.000000001,IF(01_因子設定!$B$20="Box-Behnken",E363^2+F363^2+G363^2+H363^2&lt;=2+0.000000001,TRUE()))</f>
        <v>1</v>
      </c>
      <c r="AD363" s="55" t="n">
        <f aca="false">IF(AC363,IF(01_因子設定!$B$13="最大化",AA363-01_因子設定!$B$14,IF(01_因子設定!$B$13="最小化",01_因子設定!$B$15-AB363,MIN(AA363-01_因子設定!$B$14,01_因子設定!$B$15-AB363))),-1E+030)</f>
        <v>-5.28694994436358</v>
      </c>
      <c r="AE363" s="55" t="n">
        <f aca="false">IF(AC363,IF(01_因子設定!$B$13="最大化",X363,IF(01_因子設定!$B$13="最小化",-X363,-ABS(X363-01_因子設定!$B$16))),-1E+030)</f>
        <v>42.8102750365498</v>
      </c>
      <c r="AF363" s="55" t="n">
        <f aca="false">AD363+ROW()*0.000000001</f>
        <v>-5.28694958136358</v>
      </c>
      <c r="AG363" s="55" t="n">
        <f aca="false">AE363+ROW()*0.000000001</f>
        <v>42.8102753995498</v>
      </c>
    </row>
    <row r="364" customFormat="false" ht="15" hidden="false" customHeight="false" outlineLevel="0" collapsed="false">
      <c r="A364" s="0" t="n">
        <v>0</v>
      </c>
      <c r="B364" s="0" t="n">
        <v>4</v>
      </c>
      <c r="C364" s="0" t="n">
        <v>3</v>
      </c>
      <c r="D364" s="0" t="n">
        <v>8</v>
      </c>
      <c r="E364" s="0" t="n">
        <f aca="false">-1+A364*0.25</f>
        <v>-1</v>
      </c>
      <c r="F364" s="0" t="n">
        <f aca="false">-1+B364*0.25</f>
        <v>0</v>
      </c>
      <c r="G364" s="0" t="n">
        <f aca="false">-1+C364*0.25</f>
        <v>-0.25</v>
      </c>
      <c r="H364" s="0" t="n">
        <f aca="false">-1+D364*0.25</f>
        <v>1</v>
      </c>
      <c r="I364" s="0" t="n">
        <f aca="false">1</f>
        <v>1</v>
      </c>
      <c r="J364" s="0" t="n">
        <f aca="false">E364</f>
        <v>-1</v>
      </c>
      <c r="K364" s="0" t="n">
        <f aca="false">F364</f>
        <v>0</v>
      </c>
      <c r="L364" s="0" t="n">
        <f aca="false">G364</f>
        <v>-0.25</v>
      </c>
      <c r="M364" s="0" t="n">
        <f aca="false">H364</f>
        <v>1</v>
      </c>
      <c r="N364" s="0" t="n">
        <f aca="false">E364*F364</f>
        <v>-0</v>
      </c>
      <c r="O364" s="0" t="n">
        <f aca="false">E364*G364</f>
        <v>0.25</v>
      </c>
      <c r="P364" s="0" t="n">
        <f aca="false">E364*H364</f>
        <v>-1</v>
      </c>
      <c r="Q364" s="0" t="n">
        <f aca="false">F364*G364</f>
        <v>-0</v>
      </c>
      <c r="R364" s="0" t="n">
        <f aca="false">F364*H364</f>
        <v>0</v>
      </c>
      <c r="S364" s="0" t="n">
        <f aca="false">G364*H364</f>
        <v>-0.25</v>
      </c>
      <c r="T364" s="0" t="n">
        <f aca="false">E364*E364</f>
        <v>1</v>
      </c>
      <c r="U364" s="0" t="n">
        <f aca="false">F364*F364</f>
        <v>0</v>
      </c>
      <c r="V364" s="0" t="n">
        <f aca="false">G364*G364</f>
        <v>0.0625</v>
      </c>
      <c r="W364" s="0" t="n">
        <f aca="false">H364*H364</f>
        <v>1</v>
      </c>
      <c r="X364" s="0" t="n">
        <f aca="false">SUMPRODUCT(I364:W364,_XtX!$B$96:$P$96)</f>
        <v>42.6951206140352</v>
      </c>
      <c r="Y364" s="0" t="n">
        <f aca="false">SUMPRODUCT(MMULT(I364:W364,_XtX!$B$78:$P$92),I364:W364)</f>
        <v>0.689692982456141</v>
      </c>
      <c r="Z364" s="0" t="n">
        <f aca="false">04_回帰ANOVA!$K$19*04_回帰ANOVA!$K$14*SQRT(1+Y364)</f>
        <v>1.69434674594998</v>
      </c>
      <c r="AA364" s="0" t="n">
        <f aca="false">X364-Z364</f>
        <v>41.0007738680852</v>
      </c>
      <c r="AB364" s="0" t="n">
        <f aca="false">X364+Z364</f>
        <v>44.3894673599851</v>
      </c>
      <c r="AC364" s="54" t="b">
        <f aca="false">AND(E364&gt;=01_因子設定!$L$5-0.000000001,E364&lt;=01_因子設定!$M$5+0.000000001,F364&gt;=01_因子設定!$L$6-0.000000001,F364&lt;=01_因子設定!$M$6+0.000000001,G364&gt;=01_因子設定!$L$7-0.000000001,G364&lt;=01_因子設定!$M$7+0.000000001,H364&gt;=01_因子設定!$L$8-0.000000001,H364&lt;=01_因子設定!$M$8+0.000000001,IF(01_因子設定!$B$20="Box-Behnken",E364^2+F364^2+G364^2+H364^2&lt;=2+0.000000001,TRUE()))</f>
        <v>1</v>
      </c>
      <c r="AD364" s="55" t="n">
        <f aca="false">IF(AC364,IF(01_因子設定!$B$13="最大化",AA364-01_因子設定!$B$14,IF(01_因子設定!$B$13="最小化",01_因子設定!$B$15-AB364,MIN(AA364-01_因子設定!$B$14,01_因子設定!$B$15-AB364))),-1E+030)</f>
        <v>-5.49922613191484</v>
      </c>
      <c r="AE364" s="55" t="n">
        <f aca="false">IF(AC364,IF(01_因子設定!$B$13="最大化",X364,IF(01_因子設定!$B$13="最小化",-X364,-ABS(X364-01_因子設定!$B$16))),-1E+030)</f>
        <v>42.6951206140352</v>
      </c>
      <c r="AF364" s="55" t="n">
        <f aca="false">AD364+ROW()*0.000000001</f>
        <v>-5.49922576791484</v>
      </c>
      <c r="AG364" s="55" t="n">
        <f aca="false">AE364+ROW()*0.000000001</f>
        <v>42.6951209780352</v>
      </c>
    </row>
    <row r="365" customFormat="false" ht="15" hidden="false" customHeight="false" outlineLevel="0" collapsed="false">
      <c r="A365" s="0" t="n">
        <v>0</v>
      </c>
      <c r="B365" s="0" t="n">
        <v>4</v>
      </c>
      <c r="C365" s="0" t="n">
        <v>4</v>
      </c>
      <c r="D365" s="0" t="n">
        <v>0</v>
      </c>
      <c r="E365" s="0" t="n">
        <f aca="false">-1+A365*0.25</f>
        <v>-1</v>
      </c>
      <c r="F365" s="0" t="n">
        <f aca="false">-1+B365*0.25</f>
        <v>0</v>
      </c>
      <c r="G365" s="0" t="n">
        <f aca="false">-1+C365*0.25</f>
        <v>0</v>
      </c>
      <c r="H365" s="0" t="n">
        <f aca="false">-1+D365*0.25</f>
        <v>-1</v>
      </c>
      <c r="I365" s="0" t="n">
        <f aca="false">1</f>
        <v>1</v>
      </c>
      <c r="J365" s="0" t="n">
        <f aca="false">E365</f>
        <v>-1</v>
      </c>
      <c r="K365" s="0" t="n">
        <f aca="false">F365</f>
        <v>0</v>
      </c>
      <c r="L365" s="0" t="n">
        <f aca="false">G365</f>
        <v>0</v>
      </c>
      <c r="M365" s="0" t="n">
        <f aca="false">H365</f>
        <v>-1</v>
      </c>
      <c r="N365" s="0" t="n">
        <f aca="false">E365*F365</f>
        <v>-0</v>
      </c>
      <c r="O365" s="0" t="n">
        <f aca="false">E365*G365</f>
        <v>-0</v>
      </c>
      <c r="P365" s="0" t="n">
        <f aca="false">E365*H365</f>
        <v>1</v>
      </c>
      <c r="Q365" s="0" t="n">
        <f aca="false">F365*G365</f>
        <v>0</v>
      </c>
      <c r="R365" s="0" t="n">
        <f aca="false">F365*H365</f>
        <v>-0</v>
      </c>
      <c r="S365" s="0" t="n">
        <f aca="false">G365*H365</f>
        <v>-0</v>
      </c>
      <c r="T365" s="0" t="n">
        <f aca="false">E365*E365</f>
        <v>1</v>
      </c>
      <c r="U365" s="0" t="n">
        <f aca="false">F365*F365</f>
        <v>0</v>
      </c>
      <c r="V365" s="0" t="n">
        <f aca="false">G365*G365</f>
        <v>0</v>
      </c>
      <c r="W365" s="0" t="n">
        <f aca="false">H365*H365</f>
        <v>1</v>
      </c>
      <c r="X365" s="0" t="n">
        <f aca="false">SUMPRODUCT(I365:W365,_XtX!$B$96:$P$96)</f>
        <v>42.6568713450293</v>
      </c>
      <c r="Y365" s="0" t="n">
        <f aca="false">SUMPRODUCT(MMULT(I365:W365,_XtX!$B$78:$P$92),I365:W365)</f>
        <v>0.708698830409357</v>
      </c>
      <c r="Z365" s="0" t="n">
        <f aca="false">04_回帰ANOVA!$K$19*04_回帰ANOVA!$K$14*SQRT(1+Y365)</f>
        <v>1.70384919651719</v>
      </c>
      <c r="AA365" s="0" t="n">
        <f aca="false">X365-Z365</f>
        <v>40.9530221485121</v>
      </c>
      <c r="AB365" s="0" t="n">
        <f aca="false">X365+Z365</f>
        <v>44.3607205415465</v>
      </c>
      <c r="AC365" s="54" t="b">
        <f aca="false">AND(E365&gt;=01_因子設定!$L$5-0.000000001,E365&lt;=01_因子設定!$M$5+0.000000001,F365&gt;=01_因子設定!$L$6-0.000000001,F365&lt;=01_因子設定!$M$6+0.000000001,G365&gt;=01_因子設定!$L$7-0.000000001,G365&lt;=01_因子設定!$M$7+0.000000001,H365&gt;=01_因子設定!$L$8-0.000000001,H365&lt;=01_因子設定!$M$8+0.000000001,IF(01_因子設定!$B$20="Box-Behnken",E365^2+F365^2+G365^2+H365^2&lt;=2+0.000000001,TRUE()))</f>
        <v>1</v>
      </c>
      <c r="AD365" s="55" t="n">
        <f aca="false">IF(AC365,IF(01_因子設定!$B$13="最大化",AA365-01_因子設定!$B$14,IF(01_因子設定!$B$13="最小化",01_因子設定!$B$15-AB365,MIN(AA365-01_因子設定!$B$14,01_因子設定!$B$15-AB365))),-1E+030)</f>
        <v>-5.54697785148789</v>
      </c>
      <c r="AE365" s="55" t="n">
        <f aca="false">IF(AC365,IF(01_因子設定!$B$13="最大化",X365,IF(01_因子設定!$B$13="最小化",-X365,-ABS(X365-01_因子設定!$B$16))),-1E+030)</f>
        <v>42.6568713450293</v>
      </c>
      <c r="AF365" s="55" t="n">
        <f aca="false">AD365+ROW()*0.000000001</f>
        <v>-5.54697748648789</v>
      </c>
      <c r="AG365" s="55" t="n">
        <f aca="false">AE365+ROW()*0.000000001</f>
        <v>42.6568717100293</v>
      </c>
    </row>
    <row r="366" customFormat="false" ht="15" hidden="false" customHeight="false" outlineLevel="0" collapsed="false">
      <c r="A366" s="0" t="n">
        <v>0</v>
      </c>
      <c r="B366" s="0" t="n">
        <v>4</v>
      </c>
      <c r="C366" s="0" t="n">
        <v>4</v>
      </c>
      <c r="D366" s="0" t="n">
        <v>1</v>
      </c>
      <c r="E366" s="0" t="n">
        <f aca="false">-1+A366*0.25</f>
        <v>-1</v>
      </c>
      <c r="F366" s="0" t="n">
        <f aca="false">-1+B366*0.25</f>
        <v>0</v>
      </c>
      <c r="G366" s="0" t="n">
        <f aca="false">-1+C366*0.25</f>
        <v>0</v>
      </c>
      <c r="H366" s="0" t="n">
        <f aca="false">-1+D366*0.25</f>
        <v>-0.75</v>
      </c>
      <c r="I366" s="0" t="n">
        <f aca="false">1</f>
        <v>1</v>
      </c>
      <c r="J366" s="0" t="n">
        <f aca="false">E366</f>
        <v>-1</v>
      </c>
      <c r="K366" s="0" t="n">
        <f aca="false">F366</f>
        <v>0</v>
      </c>
      <c r="L366" s="0" t="n">
        <f aca="false">G366</f>
        <v>0</v>
      </c>
      <c r="M366" s="0" t="n">
        <f aca="false">H366</f>
        <v>-0.75</v>
      </c>
      <c r="N366" s="0" t="n">
        <f aca="false">E366*F366</f>
        <v>-0</v>
      </c>
      <c r="O366" s="0" t="n">
        <f aca="false">E366*G366</f>
        <v>-0</v>
      </c>
      <c r="P366" s="0" t="n">
        <f aca="false">E366*H366</f>
        <v>0.75</v>
      </c>
      <c r="Q366" s="0" t="n">
        <f aca="false">F366*G366</f>
        <v>0</v>
      </c>
      <c r="R366" s="0" t="n">
        <f aca="false">F366*H366</f>
        <v>-0</v>
      </c>
      <c r="S366" s="0" t="n">
        <f aca="false">G366*H366</f>
        <v>-0</v>
      </c>
      <c r="T366" s="0" t="n">
        <f aca="false">E366*E366</f>
        <v>1</v>
      </c>
      <c r="U366" s="0" t="n">
        <f aca="false">F366*F366</f>
        <v>0</v>
      </c>
      <c r="V366" s="0" t="n">
        <f aca="false">G366*G366</f>
        <v>0</v>
      </c>
      <c r="W366" s="0" t="n">
        <f aca="false">H366*H366</f>
        <v>0.5625</v>
      </c>
      <c r="X366" s="0" t="n">
        <f aca="false">SUMPRODUCT(I366:W366,_XtX!$B$96:$P$96)</f>
        <v>42.8943347953217</v>
      </c>
      <c r="Y366" s="0" t="n">
        <f aca="false">SUMPRODUCT(MMULT(I366:W366,_XtX!$B$78:$P$92),I366:W366)</f>
        <v>0.516013340643275</v>
      </c>
      <c r="Z366" s="0" t="n">
        <f aca="false">04_回帰ANOVA!$K$19*04_回帰ANOVA!$K$14*SQRT(1+Y366)</f>
        <v>1.60490712175667</v>
      </c>
      <c r="AA366" s="0" t="n">
        <f aca="false">X366-Z366</f>
        <v>41.289427673565</v>
      </c>
      <c r="AB366" s="0" t="n">
        <f aca="false">X366+Z366</f>
        <v>44.4992419170784</v>
      </c>
      <c r="AC366" s="54" t="b">
        <f aca="false">AND(E366&gt;=01_因子設定!$L$5-0.000000001,E366&lt;=01_因子設定!$M$5+0.000000001,F366&gt;=01_因子設定!$L$6-0.000000001,F366&lt;=01_因子設定!$M$6+0.000000001,G366&gt;=01_因子設定!$L$7-0.000000001,G366&lt;=01_因子設定!$M$7+0.000000001,H366&gt;=01_因子設定!$L$8-0.000000001,H366&lt;=01_因子設定!$M$8+0.000000001,IF(01_因子設定!$B$20="Box-Behnken",E366^2+F366^2+G366^2+H366^2&lt;=2+0.000000001,TRUE()))</f>
        <v>1</v>
      </c>
      <c r="AD366" s="55" t="n">
        <f aca="false">IF(AC366,IF(01_因子設定!$B$13="最大化",AA366-01_因子設定!$B$14,IF(01_因子設定!$B$13="最小化",01_因子設定!$B$15-AB366,MIN(AA366-01_因子設定!$B$14,01_因子設定!$B$15-AB366))),-1E+030)</f>
        <v>-5.21057232643499</v>
      </c>
      <c r="AE366" s="55" t="n">
        <f aca="false">IF(AC366,IF(01_因子設定!$B$13="最大化",X366,IF(01_因子設定!$B$13="最小化",-X366,-ABS(X366-01_因子設定!$B$16))),-1E+030)</f>
        <v>42.8943347953217</v>
      </c>
      <c r="AF366" s="55" t="n">
        <f aca="false">AD366+ROW()*0.000000001</f>
        <v>-5.21057196043499</v>
      </c>
      <c r="AG366" s="55" t="n">
        <f aca="false">AE366+ROW()*0.000000001</f>
        <v>42.8943351613217</v>
      </c>
    </row>
    <row r="367" customFormat="false" ht="15" hidden="false" customHeight="false" outlineLevel="0" collapsed="false">
      <c r="A367" s="0" t="n">
        <v>0</v>
      </c>
      <c r="B367" s="0" t="n">
        <v>4</v>
      </c>
      <c r="C367" s="0" t="n">
        <v>4</v>
      </c>
      <c r="D367" s="0" t="n">
        <v>2</v>
      </c>
      <c r="E367" s="0" t="n">
        <f aca="false">-1+A367*0.25</f>
        <v>-1</v>
      </c>
      <c r="F367" s="0" t="n">
        <f aca="false">-1+B367*0.25</f>
        <v>0</v>
      </c>
      <c r="G367" s="0" t="n">
        <f aca="false">-1+C367*0.25</f>
        <v>0</v>
      </c>
      <c r="H367" s="0" t="n">
        <f aca="false">-1+D367*0.25</f>
        <v>-0.5</v>
      </c>
      <c r="I367" s="0" t="n">
        <f aca="false">1</f>
        <v>1</v>
      </c>
      <c r="J367" s="0" t="n">
        <f aca="false">E367</f>
        <v>-1</v>
      </c>
      <c r="K367" s="0" t="n">
        <f aca="false">F367</f>
        <v>0</v>
      </c>
      <c r="L367" s="0" t="n">
        <f aca="false">G367</f>
        <v>0</v>
      </c>
      <c r="M367" s="0" t="n">
        <f aca="false">H367</f>
        <v>-0.5</v>
      </c>
      <c r="N367" s="0" t="n">
        <f aca="false">E367*F367</f>
        <v>-0</v>
      </c>
      <c r="O367" s="0" t="n">
        <f aca="false">E367*G367</f>
        <v>-0</v>
      </c>
      <c r="P367" s="0" t="n">
        <f aca="false">E367*H367</f>
        <v>0.5</v>
      </c>
      <c r="Q367" s="0" t="n">
        <f aca="false">F367*G367</f>
        <v>0</v>
      </c>
      <c r="R367" s="0" t="n">
        <f aca="false">F367*H367</f>
        <v>-0</v>
      </c>
      <c r="S367" s="0" t="n">
        <f aca="false">G367*H367</f>
        <v>-0</v>
      </c>
      <c r="T367" s="0" t="n">
        <f aca="false">E367*E367</f>
        <v>1</v>
      </c>
      <c r="U367" s="0" t="n">
        <f aca="false">F367*F367</f>
        <v>0</v>
      </c>
      <c r="V367" s="0" t="n">
        <f aca="false">G367*G367</f>
        <v>0</v>
      </c>
      <c r="W367" s="0" t="n">
        <f aca="false">H367*H367</f>
        <v>0.25</v>
      </c>
      <c r="X367" s="0" t="n">
        <f aca="false">SUMPRODUCT(I367:W367,_XtX!$B$96:$P$96)</f>
        <v>43.0839912280702</v>
      </c>
      <c r="Y367" s="0" t="n">
        <f aca="false">SUMPRODUCT(MMULT(I367:W367,_XtX!$B$78:$P$92),I367:W367)</f>
        <v>0.468841374269006</v>
      </c>
      <c r="Z367" s="0" t="n">
        <f aca="false">04_回帰ANOVA!$K$19*04_回帰ANOVA!$K$14*SQRT(1+Y367)</f>
        <v>1.57974082366087</v>
      </c>
      <c r="AA367" s="0" t="n">
        <f aca="false">X367-Z367</f>
        <v>41.5042504044093</v>
      </c>
      <c r="AB367" s="0" t="n">
        <f aca="false">X367+Z367</f>
        <v>44.6637320517311</v>
      </c>
      <c r="AC367" s="54" t="b">
        <f aca="false">AND(E367&gt;=01_因子設定!$L$5-0.000000001,E367&lt;=01_因子設定!$M$5+0.000000001,F367&gt;=01_因子設定!$L$6-0.000000001,F367&lt;=01_因子設定!$M$6+0.000000001,G367&gt;=01_因子設定!$L$7-0.000000001,G367&lt;=01_因子設定!$M$7+0.000000001,H367&gt;=01_因子設定!$L$8-0.000000001,H367&lt;=01_因子設定!$M$8+0.000000001,IF(01_因子設定!$B$20="Box-Behnken",E367^2+F367^2+G367^2+H367^2&lt;=2+0.000000001,TRUE()))</f>
        <v>1</v>
      </c>
      <c r="AD367" s="55" t="n">
        <f aca="false">IF(AC367,IF(01_因子設定!$B$13="最大化",AA367-01_因子設定!$B$14,IF(01_因子設定!$B$13="最小化",01_因子設定!$B$15-AB367,MIN(AA367-01_因子設定!$B$14,01_因子設定!$B$15-AB367))),-1E+030)</f>
        <v>-4.99574959559067</v>
      </c>
      <c r="AE367" s="55" t="n">
        <f aca="false">IF(AC367,IF(01_因子設定!$B$13="最大化",X367,IF(01_因子設定!$B$13="最小化",-X367,-ABS(X367-01_因子設定!$B$16))),-1E+030)</f>
        <v>43.0839912280702</v>
      </c>
      <c r="AF367" s="55" t="n">
        <f aca="false">AD367+ROW()*0.000000001</f>
        <v>-4.99574922859067</v>
      </c>
      <c r="AG367" s="55" t="n">
        <f aca="false">AE367+ROW()*0.000000001</f>
        <v>43.0839915950702</v>
      </c>
    </row>
    <row r="368" customFormat="false" ht="15" hidden="false" customHeight="false" outlineLevel="0" collapsed="false">
      <c r="A368" s="0" t="n">
        <v>0</v>
      </c>
      <c r="B368" s="0" t="n">
        <v>4</v>
      </c>
      <c r="C368" s="0" t="n">
        <v>4</v>
      </c>
      <c r="D368" s="0" t="n">
        <v>3</v>
      </c>
      <c r="E368" s="0" t="n">
        <f aca="false">-1+A368*0.25</f>
        <v>-1</v>
      </c>
      <c r="F368" s="0" t="n">
        <f aca="false">-1+B368*0.25</f>
        <v>0</v>
      </c>
      <c r="G368" s="0" t="n">
        <f aca="false">-1+C368*0.25</f>
        <v>0</v>
      </c>
      <c r="H368" s="0" t="n">
        <f aca="false">-1+D368*0.25</f>
        <v>-0.25</v>
      </c>
      <c r="I368" s="0" t="n">
        <f aca="false">1</f>
        <v>1</v>
      </c>
      <c r="J368" s="0" t="n">
        <f aca="false">E368</f>
        <v>-1</v>
      </c>
      <c r="K368" s="0" t="n">
        <f aca="false">F368</f>
        <v>0</v>
      </c>
      <c r="L368" s="0" t="n">
        <f aca="false">G368</f>
        <v>0</v>
      </c>
      <c r="M368" s="0" t="n">
        <f aca="false">H368</f>
        <v>-0.25</v>
      </c>
      <c r="N368" s="0" t="n">
        <f aca="false">E368*F368</f>
        <v>-0</v>
      </c>
      <c r="O368" s="0" t="n">
        <f aca="false">E368*G368</f>
        <v>-0</v>
      </c>
      <c r="P368" s="0" t="n">
        <f aca="false">E368*H368</f>
        <v>0.25</v>
      </c>
      <c r="Q368" s="0" t="n">
        <f aca="false">F368*G368</f>
        <v>0</v>
      </c>
      <c r="R368" s="0" t="n">
        <f aca="false">F368*H368</f>
        <v>-0</v>
      </c>
      <c r="S368" s="0" t="n">
        <f aca="false">G368*H368</f>
        <v>-0</v>
      </c>
      <c r="T368" s="0" t="n">
        <f aca="false">E368*E368</f>
        <v>1</v>
      </c>
      <c r="U368" s="0" t="n">
        <f aca="false">F368*F368</f>
        <v>0</v>
      </c>
      <c r="V368" s="0" t="n">
        <f aca="false">G368*G368</f>
        <v>0</v>
      </c>
      <c r="W368" s="0" t="n">
        <f aca="false">H368*H368</f>
        <v>0.0625</v>
      </c>
      <c r="X368" s="0" t="n">
        <f aca="false">SUMPRODUCT(I368:W368,_XtX!$B$96:$P$96)</f>
        <v>43.2258406432749</v>
      </c>
      <c r="Y368" s="0" t="n">
        <f aca="false">SUMPRODUCT(MMULT(I368:W368,_XtX!$B$78:$P$92),I368:W368)</f>
        <v>0.47672240497076</v>
      </c>
      <c r="Z368" s="0" t="n">
        <f aca="false">04_回帰ANOVA!$K$19*04_回帰ANOVA!$K$14*SQRT(1+Y368)</f>
        <v>1.58397318352695</v>
      </c>
      <c r="AA368" s="0" t="n">
        <f aca="false">X368-Z368</f>
        <v>41.6418674597479</v>
      </c>
      <c r="AB368" s="0" t="n">
        <f aca="false">X368+Z368</f>
        <v>44.8098138268018</v>
      </c>
      <c r="AC368" s="54" t="b">
        <f aca="false">AND(E368&gt;=01_因子設定!$L$5-0.000000001,E368&lt;=01_因子設定!$M$5+0.000000001,F368&gt;=01_因子設定!$L$6-0.000000001,F368&lt;=01_因子設定!$M$6+0.000000001,G368&gt;=01_因子設定!$L$7-0.000000001,G368&lt;=01_因子設定!$M$7+0.000000001,H368&gt;=01_因子設定!$L$8-0.000000001,H368&lt;=01_因子設定!$M$8+0.000000001,IF(01_因子設定!$B$20="Box-Behnken",E368^2+F368^2+G368^2+H368^2&lt;=2+0.000000001,TRUE()))</f>
        <v>1</v>
      </c>
      <c r="AD368" s="55" t="n">
        <f aca="false">IF(AC368,IF(01_因子設定!$B$13="最大化",AA368-01_因子設定!$B$14,IF(01_因子設定!$B$13="最小化",01_因子設定!$B$15-AB368,MIN(AA368-01_因子設定!$B$14,01_因子設定!$B$15-AB368))),-1E+030)</f>
        <v>-4.85813254025206</v>
      </c>
      <c r="AE368" s="55" t="n">
        <f aca="false">IF(AC368,IF(01_因子設定!$B$13="最大化",X368,IF(01_因子設定!$B$13="最小化",-X368,-ABS(X368-01_因子設定!$B$16))),-1E+030)</f>
        <v>43.2258406432749</v>
      </c>
      <c r="AF368" s="55" t="n">
        <f aca="false">AD368+ROW()*0.000000001</f>
        <v>-4.85813217225206</v>
      </c>
      <c r="AG368" s="55" t="n">
        <f aca="false">AE368+ROW()*0.000000001</f>
        <v>43.2258410112749</v>
      </c>
    </row>
    <row r="369" customFormat="false" ht="15" hidden="false" customHeight="false" outlineLevel="0" collapsed="false">
      <c r="A369" s="0" t="n">
        <v>0</v>
      </c>
      <c r="B369" s="0" t="n">
        <v>4</v>
      </c>
      <c r="C369" s="0" t="n">
        <v>4</v>
      </c>
      <c r="D369" s="0" t="n">
        <v>4</v>
      </c>
      <c r="E369" s="0" t="n">
        <f aca="false">-1+A369*0.25</f>
        <v>-1</v>
      </c>
      <c r="F369" s="0" t="n">
        <f aca="false">-1+B369*0.25</f>
        <v>0</v>
      </c>
      <c r="G369" s="0" t="n">
        <f aca="false">-1+C369*0.25</f>
        <v>0</v>
      </c>
      <c r="H369" s="0" t="n">
        <f aca="false">-1+D369*0.25</f>
        <v>0</v>
      </c>
      <c r="I369" s="0" t="n">
        <f aca="false">1</f>
        <v>1</v>
      </c>
      <c r="J369" s="0" t="n">
        <f aca="false">E369</f>
        <v>-1</v>
      </c>
      <c r="K369" s="0" t="n">
        <f aca="false">F369</f>
        <v>0</v>
      </c>
      <c r="L369" s="0" t="n">
        <f aca="false">G369</f>
        <v>0</v>
      </c>
      <c r="M369" s="0" t="n">
        <f aca="false">H369</f>
        <v>0</v>
      </c>
      <c r="N369" s="0" t="n">
        <f aca="false">E369*F369</f>
        <v>-0</v>
      </c>
      <c r="O369" s="0" t="n">
        <f aca="false">E369*G369</f>
        <v>-0</v>
      </c>
      <c r="P369" s="0" t="n">
        <f aca="false">E369*H369</f>
        <v>-0</v>
      </c>
      <c r="Q369" s="0" t="n">
        <f aca="false">F369*G369</f>
        <v>0</v>
      </c>
      <c r="R369" s="0" t="n">
        <f aca="false">F369*H369</f>
        <v>0</v>
      </c>
      <c r="S369" s="0" t="n">
        <f aca="false">G369*H369</f>
        <v>0</v>
      </c>
      <c r="T369" s="0" t="n">
        <f aca="false">E369*E369</f>
        <v>1</v>
      </c>
      <c r="U369" s="0" t="n">
        <f aca="false">F369*F369</f>
        <v>0</v>
      </c>
      <c r="V369" s="0" t="n">
        <f aca="false">G369*G369</f>
        <v>0</v>
      </c>
      <c r="W369" s="0" t="n">
        <f aca="false">H369*H369</f>
        <v>0</v>
      </c>
      <c r="X369" s="0" t="n">
        <f aca="false">SUMPRODUCT(I369:W369,_XtX!$B$96:$P$96)</f>
        <v>43.3198830409357</v>
      </c>
      <c r="Y369" s="0" t="n">
        <f aca="false">SUMPRODUCT(MMULT(I369:W369,_XtX!$B$78:$P$92),I369:W369)</f>
        <v>0.485380116959064</v>
      </c>
      <c r="Z369" s="0" t="n">
        <f aca="false">04_回帰ANOVA!$K$19*04_回帰ANOVA!$K$14*SQRT(1+Y369)</f>
        <v>1.58860964814545</v>
      </c>
      <c r="AA369" s="0" t="n">
        <f aca="false">X369-Z369</f>
        <v>41.7312733927903</v>
      </c>
      <c r="AB369" s="0" t="n">
        <f aca="false">X369+Z369</f>
        <v>44.9084926890812</v>
      </c>
      <c r="AC369" s="54" t="b">
        <f aca="false">AND(E369&gt;=01_因子設定!$L$5-0.000000001,E369&lt;=01_因子設定!$M$5+0.000000001,F369&gt;=01_因子設定!$L$6-0.000000001,F369&lt;=01_因子設定!$M$6+0.000000001,G369&gt;=01_因子設定!$L$7-0.000000001,G369&lt;=01_因子設定!$M$7+0.000000001,H369&gt;=01_因子設定!$L$8-0.000000001,H369&lt;=01_因子設定!$M$8+0.000000001,IF(01_因子設定!$B$20="Box-Behnken",E369^2+F369^2+G369^2+H369^2&lt;=2+0.000000001,TRUE()))</f>
        <v>1</v>
      </c>
      <c r="AD369" s="55" t="n">
        <f aca="false">IF(AC369,IF(01_因子設定!$B$13="最大化",AA369-01_因子設定!$B$14,IF(01_因子設定!$B$13="最小化",01_因子設定!$B$15-AB369,MIN(AA369-01_因子設定!$B$14,01_因子設定!$B$15-AB369))),-1E+030)</f>
        <v>-4.76872660720975</v>
      </c>
      <c r="AE369" s="55" t="n">
        <f aca="false">IF(AC369,IF(01_因子設定!$B$13="最大化",X369,IF(01_因子設定!$B$13="最小化",-X369,-ABS(X369-01_因子設定!$B$16))),-1E+030)</f>
        <v>43.3198830409357</v>
      </c>
      <c r="AF369" s="55" t="n">
        <f aca="false">AD369+ROW()*0.000000001</f>
        <v>-4.76872623820975</v>
      </c>
      <c r="AG369" s="55" t="n">
        <f aca="false">AE369+ROW()*0.000000001</f>
        <v>43.3198834099357</v>
      </c>
    </row>
    <row r="370" customFormat="false" ht="15" hidden="false" customHeight="false" outlineLevel="0" collapsed="false">
      <c r="A370" s="0" t="n">
        <v>0</v>
      </c>
      <c r="B370" s="0" t="n">
        <v>4</v>
      </c>
      <c r="C370" s="0" t="n">
        <v>4</v>
      </c>
      <c r="D370" s="0" t="n">
        <v>5</v>
      </c>
      <c r="E370" s="0" t="n">
        <f aca="false">-1+A370*0.25</f>
        <v>-1</v>
      </c>
      <c r="F370" s="0" t="n">
        <f aca="false">-1+B370*0.25</f>
        <v>0</v>
      </c>
      <c r="G370" s="0" t="n">
        <f aca="false">-1+C370*0.25</f>
        <v>0</v>
      </c>
      <c r="H370" s="0" t="n">
        <f aca="false">-1+D370*0.25</f>
        <v>0.25</v>
      </c>
      <c r="I370" s="0" t="n">
        <f aca="false">1</f>
        <v>1</v>
      </c>
      <c r="J370" s="0" t="n">
        <f aca="false">E370</f>
        <v>-1</v>
      </c>
      <c r="K370" s="0" t="n">
        <f aca="false">F370</f>
        <v>0</v>
      </c>
      <c r="L370" s="0" t="n">
        <f aca="false">G370</f>
        <v>0</v>
      </c>
      <c r="M370" s="0" t="n">
        <f aca="false">H370</f>
        <v>0.25</v>
      </c>
      <c r="N370" s="0" t="n">
        <f aca="false">E370*F370</f>
        <v>-0</v>
      </c>
      <c r="O370" s="0" t="n">
        <f aca="false">E370*G370</f>
        <v>-0</v>
      </c>
      <c r="P370" s="0" t="n">
        <f aca="false">E370*H370</f>
        <v>-0.25</v>
      </c>
      <c r="Q370" s="0" t="n">
        <f aca="false">F370*G370</f>
        <v>0</v>
      </c>
      <c r="R370" s="0" t="n">
        <f aca="false">F370*H370</f>
        <v>0</v>
      </c>
      <c r="S370" s="0" t="n">
        <f aca="false">G370*H370</f>
        <v>0</v>
      </c>
      <c r="T370" s="0" t="n">
        <f aca="false">E370*E370</f>
        <v>1</v>
      </c>
      <c r="U370" s="0" t="n">
        <f aca="false">F370*F370</f>
        <v>0</v>
      </c>
      <c r="V370" s="0" t="n">
        <f aca="false">G370*G370</f>
        <v>0</v>
      </c>
      <c r="W370" s="0" t="n">
        <f aca="false">H370*H370</f>
        <v>0.0625</v>
      </c>
      <c r="X370" s="0" t="n">
        <f aca="false">SUMPRODUCT(I370:W370,_XtX!$B$96:$P$96)</f>
        <v>43.3661184210527</v>
      </c>
      <c r="Y370" s="0" t="n">
        <f aca="false">SUMPRODUCT(MMULT(I370:W370,_XtX!$B$78:$P$92),I370:W370)</f>
        <v>0.47672240497076</v>
      </c>
      <c r="Z370" s="0" t="n">
        <f aca="false">04_回帰ANOVA!$K$19*04_回帰ANOVA!$K$14*SQRT(1+Y370)</f>
        <v>1.58397318352695</v>
      </c>
      <c r="AA370" s="0" t="n">
        <f aca="false">X370-Z370</f>
        <v>41.7821452375257</v>
      </c>
      <c r="AB370" s="0" t="n">
        <f aca="false">X370+Z370</f>
        <v>44.9500916045796</v>
      </c>
      <c r="AC370" s="54" t="b">
        <f aca="false">AND(E370&gt;=01_因子設定!$L$5-0.000000001,E370&lt;=01_因子設定!$M$5+0.000000001,F370&gt;=01_因子設定!$L$6-0.000000001,F370&lt;=01_因子設定!$M$6+0.000000001,G370&gt;=01_因子設定!$L$7-0.000000001,G370&lt;=01_因子設定!$M$7+0.000000001,H370&gt;=01_因子設定!$L$8-0.000000001,H370&lt;=01_因子設定!$M$8+0.000000001,IF(01_因子設定!$B$20="Box-Behnken",E370^2+F370^2+G370^2+H370^2&lt;=2+0.000000001,TRUE()))</f>
        <v>1</v>
      </c>
      <c r="AD370" s="55" t="n">
        <f aca="false">IF(AC370,IF(01_因子設定!$B$13="最大化",AA370-01_因子設定!$B$14,IF(01_因子設定!$B$13="最小化",01_因子設定!$B$15-AB370,MIN(AA370-01_因子設定!$B$14,01_因子設定!$B$15-AB370))),-1E+030)</f>
        <v>-4.71785476247428</v>
      </c>
      <c r="AE370" s="55" t="n">
        <f aca="false">IF(AC370,IF(01_因子設定!$B$13="最大化",X370,IF(01_因子設定!$B$13="最小化",-X370,-ABS(X370-01_因子設定!$B$16))),-1E+030)</f>
        <v>43.3661184210527</v>
      </c>
      <c r="AF370" s="55" t="n">
        <f aca="false">AD370+ROW()*0.000000001</f>
        <v>-4.71785439247428</v>
      </c>
      <c r="AG370" s="55" t="n">
        <f aca="false">AE370+ROW()*0.000000001</f>
        <v>43.3661187910527</v>
      </c>
    </row>
    <row r="371" customFormat="false" ht="15" hidden="false" customHeight="false" outlineLevel="0" collapsed="false">
      <c r="A371" s="0" t="n">
        <v>0</v>
      </c>
      <c r="B371" s="0" t="n">
        <v>4</v>
      </c>
      <c r="C371" s="0" t="n">
        <v>4</v>
      </c>
      <c r="D371" s="0" t="n">
        <v>6</v>
      </c>
      <c r="E371" s="0" t="n">
        <f aca="false">-1+A371*0.25</f>
        <v>-1</v>
      </c>
      <c r="F371" s="0" t="n">
        <f aca="false">-1+B371*0.25</f>
        <v>0</v>
      </c>
      <c r="G371" s="0" t="n">
        <f aca="false">-1+C371*0.25</f>
        <v>0</v>
      </c>
      <c r="H371" s="0" t="n">
        <f aca="false">-1+D371*0.25</f>
        <v>0.5</v>
      </c>
      <c r="I371" s="0" t="n">
        <f aca="false">1</f>
        <v>1</v>
      </c>
      <c r="J371" s="0" t="n">
        <f aca="false">E371</f>
        <v>-1</v>
      </c>
      <c r="K371" s="0" t="n">
        <f aca="false">F371</f>
        <v>0</v>
      </c>
      <c r="L371" s="0" t="n">
        <f aca="false">G371</f>
        <v>0</v>
      </c>
      <c r="M371" s="0" t="n">
        <f aca="false">H371</f>
        <v>0.5</v>
      </c>
      <c r="N371" s="0" t="n">
        <f aca="false">E371*F371</f>
        <v>-0</v>
      </c>
      <c r="O371" s="0" t="n">
        <f aca="false">E371*G371</f>
        <v>-0</v>
      </c>
      <c r="P371" s="0" t="n">
        <f aca="false">E371*H371</f>
        <v>-0.5</v>
      </c>
      <c r="Q371" s="0" t="n">
        <f aca="false">F371*G371</f>
        <v>0</v>
      </c>
      <c r="R371" s="0" t="n">
        <f aca="false">F371*H371</f>
        <v>0</v>
      </c>
      <c r="S371" s="0" t="n">
        <f aca="false">G371*H371</f>
        <v>0</v>
      </c>
      <c r="T371" s="0" t="n">
        <f aca="false">E371*E371</f>
        <v>1</v>
      </c>
      <c r="U371" s="0" t="n">
        <f aca="false">F371*F371</f>
        <v>0</v>
      </c>
      <c r="V371" s="0" t="n">
        <f aca="false">G371*G371</f>
        <v>0</v>
      </c>
      <c r="W371" s="0" t="n">
        <f aca="false">H371*H371</f>
        <v>0.25</v>
      </c>
      <c r="X371" s="0" t="n">
        <f aca="false">SUMPRODUCT(I371:W371,_XtX!$B$96:$P$96)</f>
        <v>43.3645467836258</v>
      </c>
      <c r="Y371" s="0" t="n">
        <f aca="false">SUMPRODUCT(MMULT(I371:W371,_XtX!$B$78:$P$92),I371:W371)</f>
        <v>0.468841374269006</v>
      </c>
      <c r="Z371" s="0" t="n">
        <f aca="false">04_回帰ANOVA!$K$19*04_回帰ANOVA!$K$14*SQRT(1+Y371)</f>
        <v>1.57974082366087</v>
      </c>
      <c r="AA371" s="0" t="n">
        <f aca="false">X371-Z371</f>
        <v>41.7848059599649</v>
      </c>
      <c r="AB371" s="0" t="n">
        <f aca="false">X371+Z371</f>
        <v>44.9442876072866</v>
      </c>
      <c r="AC371" s="54" t="b">
        <f aca="false">AND(E371&gt;=01_因子設定!$L$5-0.000000001,E371&lt;=01_因子設定!$M$5+0.000000001,F371&gt;=01_因子設定!$L$6-0.000000001,F371&lt;=01_因子設定!$M$6+0.000000001,G371&gt;=01_因子設定!$L$7-0.000000001,G371&lt;=01_因子設定!$M$7+0.000000001,H371&gt;=01_因子設定!$L$8-0.000000001,H371&lt;=01_因子設定!$M$8+0.000000001,IF(01_因子設定!$B$20="Box-Behnken",E371^2+F371^2+G371^2+H371^2&lt;=2+0.000000001,TRUE()))</f>
        <v>1</v>
      </c>
      <c r="AD371" s="55" t="n">
        <f aca="false">IF(AC371,IF(01_因子設定!$B$13="最大化",AA371-01_因子設定!$B$14,IF(01_因子設定!$B$13="最小化",01_因子設定!$B$15-AB371,MIN(AA371-01_因子設定!$B$14,01_因子設定!$B$15-AB371))),-1E+030)</f>
        <v>-4.71519404003512</v>
      </c>
      <c r="AE371" s="55" t="n">
        <f aca="false">IF(AC371,IF(01_因子設定!$B$13="最大化",X371,IF(01_因子設定!$B$13="最小化",-X371,-ABS(X371-01_因子設定!$B$16))),-1E+030)</f>
        <v>43.3645467836258</v>
      </c>
      <c r="AF371" s="55" t="n">
        <f aca="false">AD371+ROW()*0.000000001</f>
        <v>-4.71519366903512</v>
      </c>
      <c r="AG371" s="55" t="n">
        <f aca="false">AE371+ROW()*0.000000001</f>
        <v>43.3645471546258</v>
      </c>
    </row>
    <row r="372" customFormat="false" ht="15" hidden="false" customHeight="false" outlineLevel="0" collapsed="false">
      <c r="A372" s="0" t="n">
        <v>0</v>
      </c>
      <c r="B372" s="0" t="n">
        <v>4</v>
      </c>
      <c r="C372" s="0" t="n">
        <v>4</v>
      </c>
      <c r="D372" s="0" t="n">
        <v>7</v>
      </c>
      <c r="E372" s="0" t="n">
        <f aca="false">-1+A372*0.25</f>
        <v>-1</v>
      </c>
      <c r="F372" s="0" t="n">
        <f aca="false">-1+B372*0.25</f>
        <v>0</v>
      </c>
      <c r="G372" s="0" t="n">
        <f aca="false">-1+C372*0.25</f>
        <v>0</v>
      </c>
      <c r="H372" s="0" t="n">
        <f aca="false">-1+D372*0.25</f>
        <v>0.75</v>
      </c>
      <c r="I372" s="0" t="n">
        <f aca="false">1</f>
        <v>1</v>
      </c>
      <c r="J372" s="0" t="n">
        <f aca="false">E372</f>
        <v>-1</v>
      </c>
      <c r="K372" s="0" t="n">
        <f aca="false">F372</f>
        <v>0</v>
      </c>
      <c r="L372" s="0" t="n">
        <f aca="false">G372</f>
        <v>0</v>
      </c>
      <c r="M372" s="0" t="n">
        <f aca="false">H372</f>
        <v>0.75</v>
      </c>
      <c r="N372" s="0" t="n">
        <f aca="false">E372*F372</f>
        <v>-0</v>
      </c>
      <c r="O372" s="0" t="n">
        <f aca="false">E372*G372</f>
        <v>-0</v>
      </c>
      <c r="P372" s="0" t="n">
        <f aca="false">E372*H372</f>
        <v>-0.75</v>
      </c>
      <c r="Q372" s="0" t="n">
        <f aca="false">F372*G372</f>
        <v>0</v>
      </c>
      <c r="R372" s="0" t="n">
        <f aca="false">F372*H372</f>
        <v>0</v>
      </c>
      <c r="S372" s="0" t="n">
        <f aca="false">G372*H372</f>
        <v>0</v>
      </c>
      <c r="T372" s="0" t="n">
        <f aca="false">E372*E372</f>
        <v>1</v>
      </c>
      <c r="U372" s="0" t="n">
        <f aca="false">F372*F372</f>
        <v>0</v>
      </c>
      <c r="V372" s="0" t="n">
        <f aca="false">G372*G372</f>
        <v>0</v>
      </c>
      <c r="W372" s="0" t="n">
        <f aca="false">H372*H372</f>
        <v>0.5625</v>
      </c>
      <c r="X372" s="0" t="n">
        <f aca="false">SUMPRODUCT(I372:W372,_XtX!$B$96:$P$96)</f>
        <v>43.315168128655</v>
      </c>
      <c r="Y372" s="0" t="n">
        <f aca="false">SUMPRODUCT(MMULT(I372:W372,_XtX!$B$78:$P$92),I372:W372)</f>
        <v>0.516013340643275</v>
      </c>
      <c r="Z372" s="0" t="n">
        <f aca="false">04_回帰ANOVA!$K$19*04_回帰ANOVA!$K$14*SQRT(1+Y372)</f>
        <v>1.60490712175667</v>
      </c>
      <c r="AA372" s="0" t="n">
        <f aca="false">X372-Z372</f>
        <v>41.7102610068984</v>
      </c>
      <c r="AB372" s="0" t="n">
        <f aca="false">X372+Z372</f>
        <v>44.9200752504117</v>
      </c>
      <c r="AC372" s="54" t="b">
        <f aca="false">AND(E372&gt;=01_因子設定!$L$5-0.000000001,E372&lt;=01_因子設定!$M$5+0.000000001,F372&gt;=01_因子設定!$L$6-0.000000001,F372&lt;=01_因子設定!$M$6+0.000000001,G372&gt;=01_因子設定!$L$7-0.000000001,G372&lt;=01_因子設定!$M$7+0.000000001,H372&gt;=01_因子設定!$L$8-0.000000001,H372&lt;=01_因子設定!$M$8+0.000000001,IF(01_因子設定!$B$20="Box-Behnken",E372^2+F372^2+G372^2+H372^2&lt;=2+0.000000001,TRUE()))</f>
        <v>1</v>
      </c>
      <c r="AD372" s="55" t="n">
        <f aca="false">IF(AC372,IF(01_因子設定!$B$13="最大化",AA372-01_因子設定!$B$14,IF(01_因子設定!$B$13="最小化",01_因子設定!$B$15-AB372,MIN(AA372-01_因子設定!$B$14,01_因子設定!$B$15-AB372))),-1E+030)</f>
        <v>-4.78973899310165</v>
      </c>
      <c r="AE372" s="55" t="n">
        <f aca="false">IF(AC372,IF(01_因子設定!$B$13="最大化",X372,IF(01_因子設定!$B$13="最小化",-X372,-ABS(X372-01_因子設定!$B$16))),-1E+030)</f>
        <v>43.315168128655</v>
      </c>
      <c r="AF372" s="55" t="n">
        <f aca="false">AD372+ROW()*0.000000001</f>
        <v>-4.78973862110165</v>
      </c>
      <c r="AG372" s="55" t="n">
        <f aca="false">AE372+ROW()*0.000000001</f>
        <v>43.315168500655</v>
      </c>
    </row>
    <row r="373" customFormat="false" ht="15" hidden="false" customHeight="false" outlineLevel="0" collapsed="false">
      <c r="A373" s="0" t="n">
        <v>0</v>
      </c>
      <c r="B373" s="0" t="n">
        <v>4</v>
      </c>
      <c r="C373" s="0" t="n">
        <v>4</v>
      </c>
      <c r="D373" s="0" t="n">
        <v>8</v>
      </c>
      <c r="E373" s="0" t="n">
        <f aca="false">-1+A373*0.25</f>
        <v>-1</v>
      </c>
      <c r="F373" s="0" t="n">
        <f aca="false">-1+B373*0.25</f>
        <v>0</v>
      </c>
      <c r="G373" s="0" t="n">
        <f aca="false">-1+C373*0.25</f>
        <v>0</v>
      </c>
      <c r="H373" s="0" t="n">
        <f aca="false">-1+D373*0.25</f>
        <v>1</v>
      </c>
      <c r="I373" s="0" t="n">
        <f aca="false">1</f>
        <v>1</v>
      </c>
      <c r="J373" s="0" t="n">
        <f aca="false">E373</f>
        <v>-1</v>
      </c>
      <c r="K373" s="0" t="n">
        <f aca="false">F373</f>
        <v>0</v>
      </c>
      <c r="L373" s="0" t="n">
        <f aca="false">G373</f>
        <v>0</v>
      </c>
      <c r="M373" s="0" t="n">
        <f aca="false">H373</f>
        <v>1</v>
      </c>
      <c r="N373" s="0" t="n">
        <f aca="false">E373*F373</f>
        <v>-0</v>
      </c>
      <c r="O373" s="0" t="n">
        <f aca="false">E373*G373</f>
        <v>-0</v>
      </c>
      <c r="P373" s="0" t="n">
        <f aca="false">E373*H373</f>
        <v>-1</v>
      </c>
      <c r="Q373" s="0" t="n">
        <f aca="false">F373*G373</f>
        <v>0</v>
      </c>
      <c r="R373" s="0" t="n">
        <f aca="false">F373*H373</f>
        <v>0</v>
      </c>
      <c r="S373" s="0" t="n">
        <f aca="false">G373*H373</f>
        <v>0</v>
      </c>
      <c r="T373" s="0" t="n">
        <f aca="false">E373*E373</f>
        <v>1</v>
      </c>
      <c r="U373" s="0" t="n">
        <f aca="false">F373*F373</f>
        <v>0</v>
      </c>
      <c r="V373" s="0" t="n">
        <f aca="false">G373*G373</f>
        <v>0</v>
      </c>
      <c r="W373" s="0" t="n">
        <f aca="false">H373*H373</f>
        <v>1</v>
      </c>
      <c r="X373" s="0" t="n">
        <f aca="false">SUMPRODUCT(I373:W373,_XtX!$B$96:$P$96)</f>
        <v>43.2179824561404</v>
      </c>
      <c r="Y373" s="0" t="n">
        <f aca="false">SUMPRODUCT(MMULT(I373:W373,_XtX!$B$78:$P$92),I373:W373)</f>
        <v>0.708698830409357</v>
      </c>
      <c r="Z373" s="0" t="n">
        <f aca="false">04_回帰ANOVA!$K$19*04_回帰ANOVA!$K$14*SQRT(1+Y373)</f>
        <v>1.70384919651719</v>
      </c>
      <c r="AA373" s="0" t="n">
        <f aca="false">X373-Z373</f>
        <v>41.5141332596232</v>
      </c>
      <c r="AB373" s="0" t="n">
        <f aca="false">X373+Z373</f>
        <v>44.9218316526576</v>
      </c>
      <c r="AC373" s="54" t="b">
        <f aca="false">AND(E373&gt;=01_因子設定!$L$5-0.000000001,E373&lt;=01_因子設定!$M$5+0.000000001,F373&gt;=01_因子設定!$L$6-0.000000001,F373&lt;=01_因子設定!$M$6+0.000000001,G373&gt;=01_因子設定!$L$7-0.000000001,G373&lt;=01_因子設定!$M$7+0.000000001,H373&gt;=01_因子設定!$L$8-0.000000001,H373&lt;=01_因子設定!$M$8+0.000000001,IF(01_因子設定!$B$20="Box-Behnken",E373^2+F373^2+G373^2+H373^2&lt;=2+0.000000001,TRUE()))</f>
        <v>1</v>
      </c>
      <c r="AD373" s="55" t="n">
        <f aca="false">IF(AC373,IF(01_因子設定!$B$13="最大化",AA373-01_因子設定!$B$14,IF(01_因子設定!$B$13="最小化",01_因子設定!$B$15-AB373,MIN(AA373-01_因子設定!$B$14,01_因子設定!$B$15-AB373))),-1E+030)</f>
        <v>-4.98586674037678</v>
      </c>
      <c r="AE373" s="55" t="n">
        <f aca="false">IF(AC373,IF(01_因子設定!$B$13="最大化",X373,IF(01_因子設定!$B$13="最小化",-X373,-ABS(X373-01_因子設定!$B$16))),-1E+030)</f>
        <v>43.2179824561404</v>
      </c>
      <c r="AF373" s="55" t="n">
        <f aca="false">AD373+ROW()*0.000000001</f>
        <v>-4.98586636737678</v>
      </c>
      <c r="AG373" s="55" t="n">
        <f aca="false">AE373+ROW()*0.000000001</f>
        <v>43.2179828291404</v>
      </c>
    </row>
    <row r="374" customFormat="false" ht="15" hidden="false" customHeight="false" outlineLevel="0" collapsed="false">
      <c r="A374" s="0" t="n">
        <v>0</v>
      </c>
      <c r="B374" s="0" t="n">
        <v>4</v>
      </c>
      <c r="C374" s="0" t="n">
        <v>5</v>
      </c>
      <c r="D374" s="0" t="n">
        <v>0</v>
      </c>
      <c r="E374" s="0" t="n">
        <f aca="false">-1+A374*0.25</f>
        <v>-1</v>
      </c>
      <c r="F374" s="0" t="n">
        <f aca="false">-1+B374*0.25</f>
        <v>0</v>
      </c>
      <c r="G374" s="0" t="n">
        <f aca="false">-1+C374*0.25</f>
        <v>0.25</v>
      </c>
      <c r="H374" s="0" t="n">
        <f aca="false">-1+D374*0.25</f>
        <v>-1</v>
      </c>
      <c r="I374" s="0" t="n">
        <f aca="false">1</f>
        <v>1</v>
      </c>
      <c r="J374" s="0" t="n">
        <f aca="false">E374</f>
        <v>-1</v>
      </c>
      <c r="K374" s="0" t="n">
        <f aca="false">F374</f>
        <v>0</v>
      </c>
      <c r="L374" s="0" t="n">
        <f aca="false">G374</f>
        <v>0.25</v>
      </c>
      <c r="M374" s="0" t="n">
        <f aca="false">H374</f>
        <v>-1</v>
      </c>
      <c r="N374" s="0" t="n">
        <f aca="false">E374*F374</f>
        <v>-0</v>
      </c>
      <c r="O374" s="0" t="n">
        <f aca="false">E374*G374</f>
        <v>-0.25</v>
      </c>
      <c r="P374" s="0" t="n">
        <f aca="false">E374*H374</f>
        <v>1</v>
      </c>
      <c r="Q374" s="0" t="n">
        <f aca="false">F374*G374</f>
        <v>0</v>
      </c>
      <c r="R374" s="0" t="n">
        <f aca="false">F374*H374</f>
        <v>-0</v>
      </c>
      <c r="S374" s="0" t="n">
        <f aca="false">G374*H374</f>
        <v>-0.25</v>
      </c>
      <c r="T374" s="0" t="n">
        <f aca="false">E374*E374</f>
        <v>1</v>
      </c>
      <c r="U374" s="0" t="n">
        <f aca="false">F374*F374</f>
        <v>0</v>
      </c>
      <c r="V374" s="0" t="n">
        <f aca="false">G374*G374</f>
        <v>0.0625</v>
      </c>
      <c r="W374" s="0" t="n">
        <f aca="false">H374*H374</f>
        <v>1</v>
      </c>
      <c r="X374" s="0" t="n">
        <f aca="false">SUMPRODUCT(I374:W374,_XtX!$B$96:$P$96)</f>
        <v>42.9506761695907</v>
      </c>
      <c r="Y374" s="0" t="n">
        <f aca="false">SUMPRODUCT(MMULT(I374:W374,_XtX!$B$78:$P$92),I374:W374)</f>
        <v>0.689692982456141</v>
      </c>
      <c r="Z374" s="0" t="n">
        <f aca="false">04_回帰ANOVA!$K$19*04_回帰ANOVA!$K$14*SQRT(1+Y374)</f>
        <v>1.69434674594998</v>
      </c>
      <c r="AA374" s="0" t="n">
        <f aca="false">X374-Z374</f>
        <v>41.2563294236407</v>
      </c>
      <c r="AB374" s="0" t="n">
        <f aca="false">X374+Z374</f>
        <v>44.6450229155407</v>
      </c>
      <c r="AC374" s="54" t="b">
        <f aca="false">AND(E374&gt;=01_因子設定!$L$5-0.000000001,E374&lt;=01_因子設定!$M$5+0.000000001,F374&gt;=01_因子設定!$L$6-0.000000001,F374&lt;=01_因子設定!$M$6+0.000000001,G374&gt;=01_因子設定!$L$7-0.000000001,G374&lt;=01_因子設定!$M$7+0.000000001,H374&gt;=01_因子設定!$L$8-0.000000001,H374&lt;=01_因子設定!$M$8+0.000000001,IF(01_因子設定!$B$20="Box-Behnken",E374^2+F374^2+G374^2+H374^2&lt;=2+0.000000001,TRUE()))</f>
        <v>1</v>
      </c>
      <c r="AD374" s="55" t="n">
        <f aca="false">IF(AC374,IF(01_因子設定!$B$13="最大化",AA374-01_因子設定!$B$14,IF(01_因子設定!$B$13="最小化",01_因子設定!$B$15-AB374,MIN(AA374-01_因子設定!$B$14,01_因子設定!$B$15-AB374))),-1E+030)</f>
        <v>-5.24367057635928</v>
      </c>
      <c r="AE374" s="55" t="n">
        <f aca="false">IF(AC374,IF(01_因子設定!$B$13="最大化",X374,IF(01_因子設定!$B$13="最小化",-X374,-ABS(X374-01_因子設定!$B$16))),-1E+030)</f>
        <v>42.9506761695907</v>
      </c>
      <c r="AF374" s="55" t="n">
        <f aca="false">AD374+ROW()*0.000000001</f>
        <v>-5.24367020235928</v>
      </c>
      <c r="AG374" s="55" t="n">
        <f aca="false">AE374+ROW()*0.000000001</f>
        <v>42.9506765435907</v>
      </c>
    </row>
    <row r="375" customFormat="false" ht="15" hidden="false" customHeight="false" outlineLevel="0" collapsed="false">
      <c r="A375" s="0" t="n">
        <v>0</v>
      </c>
      <c r="B375" s="0" t="n">
        <v>4</v>
      </c>
      <c r="C375" s="0" t="n">
        <v>5</v>
      </c>
      <c r="D375" s="0" t="n">
        <v>1</v>
      </c>
      <c r="E375" s="0" t="n">
        <f aca="false">-1+A375*0.25</f>
        <v>-1</v>
      </c>
      <c r="F375" s="0" t="n">
        <f aca="false">-1+B375*0.25</f>
        <v>0</v>
      </c>
      <c r="G375" s="0" t="n">
        <f aca="false">-1+C375*0.25</f>
        <v>0.25</v>
      </c>
      <c r="H375" s="0" t="n">
        <f aca="false">-1+D375*0.25</f>
        <v>-0.75</v>
      </c>
      <c r="I375" s="0" t="n">
        <f aca="false">1</f>
        <v>1</v>
      </c>
      <c r="J375" s="0" t="n">
        <f aca="false">E375</f>
        <v>-1</v>
      </c>
      <c r="K375" s="0" t="n">
        <f aca="false">F375</f>
        <v>0</v>
      </c>
      <c r="L375" s="0" t="n">
        <f aca="false">G375</f>
        <v>0.25</v>
      </c>
      <c r="M375" s="0" t="n">
        <f aca="false">H375</f>
        <v>-0.75</v>
      </c>
      <c r="N375" s="0" t="n">
        <f aca="false">E375*F375</f>
        <v>-0</v>
      </c>
      <c r="O375" s="0" t="n">
        <f aca="false">E375*G375</f>
        <v>-0.25</v>
      </c>
      <c r="P375" s="0" t="n">
        <f aca="false">E375*H375</f>
        <v>0.75</v>
      </c>
      <c r="Q375" s="0" t="n">
        <f aca="false">F375*G375</f>
        <v>0</v>
      </c>
      <c r="R375" s="0" t="n">
        <f aca="false">F375*H375</f>
        <v>-0</v>
      </c>
      <c r="S375" s="0" t="n">
        <f aca="false">G375*H375</f>
        <v>-0.1875</v>
      </c>
      <c r="T375" s="0" t="n">
        <f aca="false">E375*E375</f>
        <v>1</v>
      </c>
      <c r="U375" s="0" t="n">
        <f aca="false">F375*F375</f>
        <v>0</v>
      </c>
      <c r="V375" s="0" t="n">
        <f aca="false">G375*G375</f>
        <v>0.0625</v>
      </c>
      <c r="W375" s="0" t="n">
        <f aca="false">H375*H375</f>
        <v>0.5625</v>
      </c>
      <c r="X375" s="0" t="n">
        <f aca="false">SUMPRODUCT(I375:W375,_XtX!$B$96:$P$96)</f>
        <v>43.2061083698831</v>
      </c>
      <c r="Y375" s="0" t="n">
        <f aca="false">SUMPRODUCT(MMULT(I375:W375,_XtX!$B$78:$P$92),I375:W375)</f>
        <v>0.501534802174708</v>
      </c>
      <c r="Z375" s="0" t="n">
        <f aca="false">04_回帰ANOVA!$K$19*04_回帰ANOVA!$K$14*SQRT(1+Y375)</f>
        <v>1.59722498091333</v>
      </c>
      <c r="AA375" s="0" t="n">
        <f aca="false">X375-Z375</f>
        <v>41.6088833889698</v>
      </c>
      <c r="AB375" s="0" t="n">
        <f aca="false">X375+Z375</f>
        <v>44.8033333507964</v>
      </c>
      <c r="AC375" s="54" t="b">
        <f aca="false">AND(E375&gt;=01_因子設定!$L$5-0.000000001,E375&lt;=01_因子設定!$M$5+0.000000001,F375&gt;=01_因子設定!$L$6-0.000000001,F375&lt;=01_因子設定!$M$6+0.000000001,G375&gt;=01_因子設定!$L$7-0.000000001,G375&lt;=01_因子設定!$M$7+0.000000001,H375&gt;=01_因子設定!$L$8-0.000000001,H375&lt;=01_因子設定!$M$8+0.000000001,IF(01_因子設定!$B$20="Box-Behnken",E375^2+F375^2+G375^2+H375^2&lt;=2+0.000000001,TRUE()))</f>
        <v>1</v>
      </c>
      <c r="AD375" s="55" t="n">
        <f aca="false">IF(AC375,IF(01_因子設定!$B$13="最大化",AA375-01_因子設定!$B$14,IF(01_因子設定!$B$13="最小化",01_因子設定!$B$15-AB375,MIN(AA375-01_因子設定!$B$14,01_因子設定!$B$15-AB375))),-1E+030)</f>
        <v>-4.89111661103024</v>
      </c>
      <c r="AE375" s="55" t="n">
        <f aca="false">IF(AC375,IF(01_因子設定!$B$13="最大化",X375,IF(01_因子設定!$B$13="最小化",-X375,-ABS(X375-01_因子設定!$B$16))),-1E+030)</f>
        <v>43.2061083698831</v>
      </c>
      <c r="AF375" s="55" t="n">
        <f aca="false">AD375+ROW()*0.000000001</f>
        <v>-4.89111623603024</v>
      </c>
      <c r="AG375" s="55" t="n">
        <f aca="false">AE375+ROW()*0.000000001</f>
        <v>43.2061087448831</v>
      </c>
    </row>
    <row r="376" customFormat="false" ht="15" hidden="false" customHeight="false" outlineLevel="0" collapsed="false">
      <c r="A376" s="0" t="n">
        <v>0</v>
      </c>
      <c r="B376" s="0" t="n">
        <v>4</v>
      </c>
      <c r="C376" s="0" t="n">
        <v>5</v>
      </c>
      <c r="D376" s="0" t="n">
        <v>2</v>
      </c>
      <c r="E376" s="0" t="n">
        <f aca="false">-1+A376*0.25</f>
        <v>-1</v>
      </c>
      <c r="F376" s="0" t="n">
        <f aca="false">-1+B376*0.25</f>
        <v>0</v>
      </c>
      <c r="G376" s="0" t="n">
        <f aca="false">-1+C376*0.25</f>
        <v>0.25</v>
      </c>
      <c r="H376" s="0" t="n">
        <f aca="false">-1+D376*0.25</f>
        <v>-0.5</v>
      </c>
      <c r="I376" s="0" t="n">
        <f aca="false">1</f>
        <v>1</v>
      </c>
      <c r="J376" s="0" t="n">
        <f aca="false">E376</f>
        <v>-1</v>
      </c>
      <c r="K376" s="0" t="n">
        <f aca="false">F376</f>
        <v>0</v>
      </c>
      <c r="L376" s="0" t="n">
        <f aca="false">G376</f>
        <v>0.25</v>
      </c>
      <c r="M376" s="0" t="n">
        <f aca="false">H376</f>
        <v>-0.5</v>
      </c>
      <c r="N376" s="0" t="n">
        <f aca="false">E376*F376</f>
        <v>-0</v>
      </c>
      <c r="O376" s="0" t="n">
        <f aca="false">E376*G376</f>
        <v>-0.25</v>
      </c>
      <c r="P376" s="0" t="n">
        <f aca="false">E376*H376</f>
        <v>0.5</v>
      </c>
      <c r="Q376" s="0" t="n">
        <f aca="false">F376*G376</f>
        <v>0</v>
      </c>
      <c r="R376" s="0" t="n">
        <f aca="false">F376*H376</f>
        <v>-0</v>
      </c>
      <c r="S376" s="0" t="n">
        <f aca="false">G376*H376</f>
        <v>-0.125</v>
      </c>
      <c r="T376" s="0" t="n">
        <f aca="false">E376*E376</f>
        <v>1</v>
      </c>
      <c r="U376" s="0" t="n">
        <f aca="false">F376*F376</f>
        <v>0</v>
      </c>
      <c r="V376" s="0" t="n">
        <f aca="false">G376*G376</f>
        <v>0.0625</v>
      </c>
      <c r="W376" s="0" t="n">
        <f aca="false">H376*H376</f>
        <v>0.25</v>
      </c>
      <c r="X376" s="0" t="n">
        <f aca="false">SUMPRODUCT(I376:W376,_XtX!$B$96:$P$96)</f>
        <v>43.4137335526316</v>
      </c>
      <c r="Y376" s="0" t="n">
        <f aca="false">SUMPRODUCT(MMULT(I376:W376,_XtX!$B$78:$P$92),I376:W376)</f>
        <v>0.457596628289474</v>
      </c>
      <c r="Z376" s="0" t="n">
        <f aca="false">04_回帰ANOVA!$K$19*04_回帰ANOVA!$K$14*SQRT(1+Y376)</f>
        <v>1.57368233664366</v>
      </c>
      <c r="AA376" s="0" t="n">
        <f aca="false">X376-Z376</f>
        <v>41.840051215988</v>
      </c>
      <c r="AB376" s="0" t="n">
        <f aca="false">X376+Z376</f>
        <v>44.9874158892753</v>
      </c>
      <c r="AC376" s="54" t="b">
        <f aca="false">AND(E376&gt;=01_因子設定!$L$5-0.000000001,E376&lt;=01_因子設定!$M$5+0.000000001,F376&gt;=01_因子設定!$L$6-0.000000001,F376&lt;=01_因子設定!$M$6+0.000000001,G376&gt;=01_因子設定!$L$7-0.000000001,G376&lt;=01_因子設定!$M$7+0.000000001,H376&gt;=01_因子設定!$L$8-0.000000001,H376&lt;=01_因子設定!$M$8+0.000000001,IF(01_因子設定!$B$20="Box-Behnken",E376^2+F376^2+G376^2+H376^2&lt;=2+0.000000001,TRUE()))</f>
        <v>1</v>
      </c>
      <c r="AD376" s="55" t="n">
        <f aca="false">IF(AC376,IF(01_因子設定!$B$13="最大化",AA376-01_因子設定!$B$14,IF(01_因子設定!$B$13="最小化",01_因子設定!$B$15-AB376,MIN(AA376-01_因子設定!$B$14,01_因子設定!$B$15-AB376))),-1E+030)</f>
        <v>-4.65994878401205</v>
      </c>
      <c r="AE376" s="55" t="n">
        <f aca="false">IF(AC376,IF(01_因子設定!$B$13="最大化",X376,IF(01_因子設定!$B$13="最小化",-X376,-ABS(X376-01_因子設定!$B$16))),-1E+030)</f>
        <v>43.4137335526316</v>
      </c>
      <c r="AF376" s="55" t="n">
        <f aca="false">AD376+ROW()*0.000000001</f>
        <v>-4.65994840801205</v>
      </c>
      <c r="AG376" s="55" t="n">
        <f aca="false">AE376+ROW()*0.000000001</f>
        <v>43.4137339286316</v>
      </c>
    </row>
    <row r="377" customFormat="false" ht="15" hidden="false" customHeight="false" outlineLevel="0" collapsed="false">
      <c r="A377" s="0" t="n">
        <v>0</v>
      </c>
      <c r="B377" s="0" t="n">
        <v>4</v>
      </c>
      <c r="C377" s="0" t="n">
        <v>5</v>
      </c>
      <c r="D377" s="0" t="n">
        <v>3</v>
      </c>
      <c r="E377" s="0" t="n">
        <f aca="false">-1+A377*0.25</f>
        <v>-1</v>
      </c>
      <c r="F377" s="0" t="n">
        <f aca="false">-1+B377*0.25</f>
        <v>0</v>
      </c>
      <c r="G377" s="0" t="n">
        <f aca="false">-1+C377*0.25</f>
        <v>0.25</v>
      </c>
      <c r="H377" s="0" t="n">
        <f aca="false">-1+D377*0.25</f>
        <v>-0.25</v>
      </c>
      <c r="I377" s="0" t="n">
        <f aca="false">1</f>
        <v>1</v>
      </c>
      <c r="J377" s="0" t="n">
        <f aca="false">E377</f>
        <v>-1</v>
      </c>
      <c r="K377" s="0" t="n">
        <f aca="false">F377</f>
        <v>0</v>
      </c>
      <c r="L377" s="0" t="n">
        <f aca="false">G377</f>
        <v>0.25</v>
      </c>
      <c r="M377" s="0" t="n">
        <f aca="false">H377</f>
        <v>-0.25</v>
      </c>
      <c r="N377" s="0" t="n">
        <f aca="false">E377*F377</f>
        <v>-0</v>
      </c>
      <c r="O377" s="0" t="n">
        <f aca="false">E377*G377</f>
        <v>-0.25</v>
      </c>
      <c r="P377" s="0" t="n">
        <f aca="false">E377*H377</f>
        <v>0.25</v>
      </c>
      <c r="Q377" s="0" t="n">
        <f aca="false">F377*G377</f>
        <v>0</v>
      </c>
      <c r="R377" s="0" t="n">
        <f aca="false">F377*H377</f>
        <v>-0</v>
      </c>
      <c r="S377" s="0" t="n">
        <f aca="false">G377*H377</f>
        <v>-0.0625</v>
      </c>
      <c r="T377" s="0" t="n">
        <f aca="false">E377*E377</f>
        <v>1</v>
      </c>
      <c r="U377" s="0" t="n">
        <f aca="false">F377*F377</f>
        <v>0</v>
      </c>
      <c r="V377" s="0" t="n">
        <f aca="false">G377*G377</f>
        <v>0.0625</v>
      </c>
      <c r="W377" s="0" t="n">
        <f aca="false">H377*H377</f>
        <v>0.0625</v>
      </c>
      <c r="X377" s="0" t="n">
        <f aca="false">SUMPRODUCT(I377:W377,_XtX!$B$96:$P$96)</f>
        <v>43.5735517178363</v>
      </c>
      <c r="Y377" s="0" t="n">
        <f aca="false">SUMPRODUCT(MMULT(I377:W377,_XtX!$B$78:$P$92),I377:W377)</f>
        <v>0.467417934484649</v>
      </c>
      <c r="Z377" s="0" t="n">
        <f aca="false">04_回帰ANOVA!$K$19*04_回帰ANOVA!$K$14*SQRT(1+Y377)</f>
        <v>1.57897518244497</v>
      </c>
      <c r="AA377" s="0" t="n">
        <f aca="false">X377-Z377</f>
        <v>41.9945765353913</v>
      </c>
      <c r="AB377" s="0" t="n">
        <f aca="false">X377+Z377</f>
        <v>45.1525269002813</v>
      </c>
      <c r="AC377" s="54" t="b">
        <f aca="false">AND(E377&gt;=01_因子設定!$L$5-0.000000001,E377&lt;=01_因子設定!$M$5+0.000000001,F377&gt;=01_因子設定!$L$6-0.000000001,F377&lt;=01_因子設定!$M$6+0.000000001,G377&gt;=01_因子設定!$L$7-0.000000001,G377&lt;=01_因子設定!$M$7+0.000000001,H377&gt;=01_因子設定!$L$8-0.000000001,H377&lt;=01_因子設定!$M$8+0.000000001,IF(01_因子設定!$B$20="Box-Behnken",E377^2+F377^2+G377^2+H377^2&lt;=2+0.000000001,TRUE()))</f>
        <v>1</v>
      </c>
      <c r="AD377" s="55" t="n">
        <f aca="false">IF(AC377,IF(01_因子設定!$B$13="最大化",AA377-01_因子設定!$B$14,IF(01_因子設定!$B$13="最小化",01_因子設定!$B$15-AB377,MIN(AA377-01_因子設定!$B$14,01_因子設定!$B$15-AB377))),-1E+030)</f>
        <v>-4.50542346460868</v>
      </c>
      <c r="AE377" s="55" t="n">
        <f aca="false">IF(AC377,IF(01_因子設定!$B$13="最大化",X377,IF(01_因子設定!$B$13="最小化",-X377,-ABS(X377-01_因子設定!$B$16))),-1E+030)</f>
        <v>43.5735517178363</v>
      </c>
      <c r="AF377" s="55" t="n">
        <f aca="false">AD377+ROW()*0.000000001</f>
        <v>-4.50542308760868</v>
      </c>
      <c r="AG377" s="55" t="n">
        <f aca="false">AE377+ROW()*0.000000001</f>
        <v>43.5735520948363</v>
      </c>
    </row>
    <row r="378" customFormat="false" ht="15" hidden="false" customHeight="false" outlineLevel="0" collapsed="false">
      <c r="A378" s="0" t="n">
        <v>0</v>
      </c>
      <c r="B378" s="0" t="n">
        <v>4</v>
      </c>
      <c r="C378" s="0" t="n">
        <v>5</v>
      </c>
      <c r="D378" s="0" t="n">
        <v>4</v>
      </c>
      <c r="E378" s="0" t="n">
        <f aca="false">-1+A378*0.25</f>
        <v>-1</v>
      </c>
      <c r="F378" s="0" t="n">
        <f aca="false">-1+B378*0.25</f>
        <v>0</v>
      </c>
      <c r="G378" s="0" t="n">
        <f aca="false">-1+C378*0.25</f>
        <v>0.25</v>
      </c>
      <c r="H378" s="0" t="n">
        <f aca="false">-1+D378*0.25</f>
        <v>0</v>
      </c>
      <c r="I378" s="0" t="n">
        <f aca="false">1</f>
        <v>1</v>
      </c>
      <c r="J378" s="0" t="n">
        <f aca="false">E378</f>
        <v>-1</v>
      </c>
      <c r="K378" s="0" t="n">
        <f aca="false">F378</f>
        <v>0</v>
      </c>
      <c r="L378" s="0" t="n">
        <f aca="false">G378</f>
        <v>0.25</v>
      </c>
      <c r="M378" s="0" t="n">
        <f aca="false">H378</f>
        <v>0</v>
      </c>
      <c r="N378" s="0" t="n">
        <f aca="false">E378*F378</f>
        <v>-0</v>
      </c>
      <c r="O378" s="0" t="n">
        <f aca="false">E378*G378</f>
        <v>-0.25</v>
      </c>
      <c r="P378" s="0" t="n">
        <f aca="false">E378*H378</f>
        <v>-0</v>
      </c>
      <c r="Q378" s="0" t="n">
        <f aca="false">F378*G378</f>
        <v>0</v>
      </c>
      <c r="R378" s="0" t="n">
        <f aca="false">F378*H378</f>
        <v>0</v>
      </c>
      <c r="S378" s="0" t="n">
        <f aca="false">G378*H378</f>
        <v>0</v>
      </c>
      <c r="T378" s="0" t="n">
        <f aca="false">E378*E378</f>
        <v>1</v>
      </c>
      <c r="U378" s="0" t="n">
        <f aca="false">F378*F378</f>
        <v>0</v>
      </c>
      <c r="V378" s="0" t="n">
        <f aca="false">G378*G378</f>
        <v>0.0625</v>
      </c>
      <c r="W378" s="0" t="n">
        <f aca="false">H378*H378</f>
        <v>0</v>
      </c>
      <c r="X378" s="0" t="n">
        <f aca="false">SUMPRODUCT(I378:W378,_XtX!$B$96:$P$96)</f>
        <v>43.6855628654971</v>
      </c>
      <c r="Y378" s="0" t="n">
        <f aca="false">SUMPRODUCT(MMULT(I378:W378,_XtX!$B$78:$P$92),I378:W378)</f>
        <v>0.47672240497076</v>
      </c>
      <c r="Z378" s="0" t="n">
        <f aca="false">04_回帰ANOVA!$K$19*04_回帰ANOVA!$K$14*SQRT(1+Y378)</f>
        <v>1.58397318352695</v>
      </c>
      <c r="AA378" s="0" t="n">
        <f aca="false">X378-Z378</f>
        <v>42.1015896819702</v>
      </c>
      <c r="AB378" s="0" t="n">
        <f aca="false">X378+Z378</f>
        <v>45.2695360490241</v>
      </c>
      <c r="AC378" s="54" t="b">
        <f aca="false">AND(E378&gt;=01_因子設定!$L$5-0.000000001,E378&lt;=01_因子設定!$M$5+0.000000001,F378&gt;=01_因子設定!$L$6-0.000000001,F378&lt;=01_因子設定!$M$6+0.000000001,G378&gt;=01_因子設定!$L$7-0.000000001,G378&lt;=01_因子設定!$M$7+0.000000001,H378&gt;=01_因子設定!$L$8-0.000000001,H378&lt;=01_因子設定!$M$8+0.000000001,IF(01_因子設定!$B$20="Box-Behnken",E378^2+F378^2+G378^2+H378^2&lt;=2+0.000000001,TRUE()))</f>
        <v>1</v>
      </c>
      <c r="AD378" s="55" t="n">
        <f aca="false">IF(AC378,IF(01_因子設定!$B$13="最大化",AA378-01_因子設定!$B$14,IF(01_因子設定!$B$13="最小化",01_因子設定!$B$15-AB378,MIN(AA378-01_因子設定!$B$14,01_因子設定!$B$15-AB378))),-1E+030)</f>
        <v>-4.39841031802984</v>
      </c>
      <c r="AE378" s="55" t="n">
        <f aca="false">IF(AC378,IF(01_因子設定!$B$13="最大化",X378,IF(01_因子設定!$B$13="最小化",-X378,-ABS(X378-01_因子設定!$B$16))),-1E+030)</f>
        <v>43.6855628654971</v>
      </c>
      <c r="AF378" s="55" t="n">
        <f aca="false">AD378+ROW()*0.000000001</f>
        <v>-4.39840994002984</v>
      </c>
      <c r="AG378" s="55" t="n">
        <f aca="false">AE378+ROW()*0.000000001</f>
        <v>43.6855632434971</v>
      </c>
    </row>
    <row r="379" customFormat="false" ht="15" hidden="false" customHeight="false" outlineLevel="0" collapsed="false">
      <c r="A379" s="0" t="n">
        <v>0</v>
      </c>
      <c r="B379" s="0" t="n">
        <v>4</v>
      </c>
      <c r="C379" s="0" t="n">
        <v>5</v>
      </c>
      <c r="D379" s="0" t="n">
        <v>5</v>
      </c>
      <c r="E379" s="0" t="n">
        <f aca="false">-1+A379*0.25</f>
        <v>-1</v>
      </c>
      <c r="F379" s="0" t="n">
        <f aca="false">-1+B379*0.25</f>
        <v>0</v>
      </c>
      <c r="G379" s="0" t="n">
        <f aca="false">-1+C379*0.25</f>
        <v>0.25</v>
      </c>
      <c r="H379" s="0" t="n">
        <f aca="false">-1+D379*0.25</f>
        <v>0.25</v>
      </c>
      <c r="I379" s="0" t="n">
        <f aca="false">1</f>
        <v>1</v>
      </c>
      <c r="J379" s="0" t="n">
        <f aca="false">E379</f>
        <v>-1</v>
      </c>
      <c r="K379" s="0" t="n">
        <f aca="false">F379</f>
        <v>0</v>
      </c>
      <c r="L379" s="0" t="n">
        <f aca="false">G379</f>
        <v>0.25</v>
      </c>
      <c r="M379" s="0" t="n">
        <f aca="false">H379</f>
        <v>0.25</v>
      </c>
      <c r="N379" s="0" t="n">
        <f aca="false">E379*F379</f>
        <v>-0</v>
      </c>
      <c r="O379" s="0" t="n">
        <f aca="false">E379*G379</f>
        <v>-0.25</v>
      </c>
      <c r="P379" s="0" t="n">
        <f aca="false">E379*H379</f>
        <v>-0.25</v>
      </c>
      <c r="Q379" s="0" t="n">
        <f aca="false">F379*G379</f>
        <v>0</v>
      </c>
      <c r="R379" s="0" t="n">
        <f aca="false">F379*H379</f>
        <v>0</v>
      </c>
      <c r="S379" s="0" t="n">
        <f aca="false">G379*H379</f>
        <v>0.0625</v>
      </c>
      <c r="T379" s="0" t="n">
        <f aca="false">E379*E379</f>
        <v>1</v>
      </c>
      <c r="U379" s="0" t="n">
        <f aca="false">F379*F379</f>
        <v>0</v>
      </c>
      <c r="V379" s="0" t="n">
        <f aca="false">G379*G379</f>
        <v>0.0625</v>
      </c>
      <c r="W379" s="0" t="n">
        <f aca="false">H379*H379</f>
        <v>0.0625</v>
      </c>
      <c r="X379" s="0" t="n">
        <f aca="false">SUMPRODUCT(I379:W379,_XtX!$B$96:$P$96)</f>
        <v>43.7497669956141</v>
      </c>
      <c r="Y379" s="0" t="n">
        <f aca="false">SUMPRODUCT(MMULT(I379:W379,_XtX!$B$78:$P$92),I379:W379)</f>
        <v>0.467417934484649</v>
      </c>
      <c r="Z379" s="0" t="n">
        <f aca="false">04_回帰ANOVA!$K$19*04_回帰ANOVA!$K$14*SQRT(1+Y379)</f>
        <v>1.57897518244497</v>
      </c>
      <c r="AA379" s="0" t="n">
        <f aca="false">X379-Z379</f>
        <v>42.1707918131691</v>
      </c>
      <c r="AB379" s="0" t="n">
        <f aca="false">X379+Z379</f>
        <v>45.328742178059</v>
      </c>
      <c r="AC379" s="54" t="b">
        <f aca="false">AND(E379&gt;=01_因子設定!$L$5-0.000000001,E379&lt;=01_因子設定!$M$5+0.000000001,F379&gt;=01_因子設定!$L$6-0.000000001,F379&lt;=01_因子設定!$M$6+0.000000001,G379&gt;=01_因子設定!$L$7-0.000000001,G379&lt;=01_因子設定!$M$7+0.000000001,H379&gt;=01_因子設定!$L$8-0.000000001,H379&lt;=01_因子設定!$M$8+0.000000001,IF(01_因子設定!$B$20="Box-Behnken",E379^2+F379^2+G379^2+H379^2&lt;=2+0.000000001,TRUE()))</f>
        <v>1</v>
      </c>
      <c r="AD379" s="55" t="n">
        <f aca="false">IF(AC379,IF(01_因子設定!$B$13="最大化",AA379-01_因子設定!$B$14,IF(01_因子設定!$B$13="最小化",01_因子設定!$B$15-AB379,MIN(AA379-01_因子設定!$B$14,01_因子設定!$B$15-AB379))),-1E+030)</f>
        <v>-4.3292081868309</v>
      </c>
      <c r="AE379" s="55" t="n">
        <f aca="false">IF(AC379,IF(01_因子設定!$B$13="最大化",X379,IF(01_因子設定!$B$13="最小化",-X379,-ABS(X379-01_因子設定!$B$16))),-1E+030)</f>
        <v>43.7497669956141</v>
      </c>
      <c r="AF379" s="55" t="n">
        <f aca="false">AD379+ROW()*0.000000001</f>
        <v>-4.3292078078309</v>
      </c>
      <c r="AG379" s="55" t="n">
        <f aca="false">AE379+ROW()*0.000000001</f>
        <v>43.7497673746141</v>
      </c>
    </row>
    <row r="380" customFormat="false" ht="15" hidden="false" customHeight="false" outlineLevel="0" collapsed="false">
      <c r="A380" s="0" t="n">
        <v>0</v>
      </c>
      <c r="B380" s="0" t="n">
        <v>4</v>
      </c>
      <c r="C380" s="0" t="n">
        <v>5</v>
      </c>
      <c r="D380" s="0" t="n">
        <v>6</v>
      </c>
      <c r="E380" s="0" t="n">
        <f aca="false">-1+A380*0.25</f>
        <v>-1</v>
      </c>
      <c r="F380" s="0" t="n">
        <f aca="false">-1+B380*0.25</f>
        <v>0</v>
      </c>
      <c r="G380" s="0" t="n">
        <f aca="false">-1+C380*0.25</f>
        <v>0.25</v>
      </c>
      <c r="H380" s="0" t="n">
        <f aca="false">-1+D380*0.25</f>
        <v>0.5</v>
      </c>
      <c r="I380" s="0" t="n">
        <f aca="false">1</f>
        <v>1</v>
      </c>
      <c r="J380" s="0" t="n">
        <f aca="false">E380</f>
        <v>-1</v>
      </c>
      <c r="K380" s="0" t="n">
        <f aca="false">F380</f>
        <v>0</v>
      </c>
      <c r="L380" s="0" t="n">
        <f aca="false">G380</f>
        <v>0.25</v>
      </c>
      <c r="M380" s="0" t="n">
        <f aca="false">H380</f>
        <v>0.5</v>
      </c>
      <c r="N380" s="0" t="n">
        <f aca="false">E380*F380</f>
        <v>-0</v>
      </c>
      <c r="O380" s="0" t="n">
        <f aca="false">E380*G380</f>
        <v>-0.25</v>
      </c>
      <c r="P380" s="0" t="n">
        <f aca="false">E380*H380</f>
        <v>-0.5</v>
      </c>
      <c r="Q380" s="0" t="n">
        <f aca="false">F380*G380</f>
        <v>0</v>
      </c>
      <c r="R380" s="0" t="n">
        <f aca="false">F380*H380</f>
        <v>0</v>
      </c>
      <c r="S380" s="0" t="n">
        <f aca="false">G380*H380</f>
        <v>0.125</v>
      </c>
      <c r="T380" s="0" t="n">
        <f aca="false">E380*E380</f>
        <v>1</v>
      </c>
      <c r="U380" s="0" t="n">
        <f aca="false">F380*F380</f>
        <v>0</v>
      </c>
      <c r="V380" s="0" t="n">
        <f aca="false">G380*G380</f>
        <v>0.0625</v>
      </c>
      <c r="W380" s="0" t="n">
        <f aca="false">H380*H380</f>
        <v>0.25</v>
      </c>
      <c r="X380" s="0" t="n">
        <f aca="false">SUMPRODUCT(I380:W380,_XtX!$B$96:$P$96)</f>
        <v>43.7661641081872</v>
      </c>
      <c r="Y380" s="0" t="n">
        <f aca="false">SUMPRODUCT(MMULT(I380:W380,_XtX!$B$78:$P$92),I380:W380)</f>
        <v>0.457596628289474</v>
      </c>
      <c r="Z380" s="0" t="n">
        <f aca="false">04_回帰ANOVA!$K$19*04_回帰ANOVA!$K$14*SQRT(1+Y380)</f>
        <v>1.57368233664366</v>
      </c>
      <c r="AA380" s="0" t="n">
        <f aca="false">X380-Z380</f>
        <v>42.1924817715435</v>
      </c>
      <c r="AB380" s="0" t="n">
        <f aca="false">X380+Z380</f>
        <v>45.3398464448308</v>
      </c>
      <c r="AC380" s="54" t="b">
        <f aca="false">AND(E380&gt;=01_因子設定!$L$5-0.000000001,E380&lt;=01_因子設定!$M$5+0.000000001,F380&gt;=01_因子設定!$L$6-0.000000001,F380&lt;=01_因子設定!$M$6+0.000000001,G380&gt;=01_因子設定!$L$7-0.000000001,G380&lt;=01_因子設定!$M$7+0.000000001,H380&gt;=01_因子設定!$L$8-0.000000001,H380&lt;=01_因子設定!$M$8+0.000000001,IF(01_因子設定!$B$20="Box-Behnken",E380^2+F380^2+G380^2+H380^2&lt;=2+0.000000001,TRUE()))</f>
        <v>1</v>
      </c>
      <c r="AD380" s="55" t="n">
        <f aca="false">IF(AC380,IF(01_因子設定!$B$13="最大化",AA380-01_因子設定!$B$14,IF(01_因子設定!$B$13="最小化",01_因子設定!$B$15-AB380,MIN(AA380-01_因子設定!$B$14,01_因子設定!$B$15-AB380))),-1E+030)</f>
        <v>-4.30751822845649</v>
      </c>
      <c r="AE380" s="55" t="n">
        <f aca="false">IF(AC380,IF(01_因子設定!$B$13="最大化",X380,IF(01_因子設定!$B$13="最小化",-X380,-ABS(X380-01_因子設定!$B$16))),-1E+030)</f>
        <v>43.7661641081872</v>
      </c>
      <c r="AF380" s="55" t="n">
        <f aca="false">AD380+ROW()*0.000000001</f>
        <v>-4.30751784845649</v>
      </c>
      <c r="AG380" s="55" t="n">
        <f aca="false">AE380+ROW()*0.000000001</f>
        <v>43.7661644881872</v>
      </c>
    </row>
    <row r="381" customFormat="false" ht="15" hidden="false" customHeight="false" outlineLevel="0" collapsed="false">
      <c r="A381" s="0" t="n">
        <v>0</v>
      </c>
      <c r="B381" s="0" t="n">
        <v>4</v>
      </c>
      <c r="C381" s="0" t="n">
        <v>5</v>
      </c>
      <c r="D381" s="0" t="n">
        <v>7</v>
      </c>
      <c r="E381" s="0" t="n">
        <f aca="false">-1+A381*0.25</f>
        <v>-1</v>
      </c>
      <c r="F381" s="0" t="n">
        <f aca="false">-1+B381*0.25</f>
        <v>0</v>
      </c>
      <c r="G381" s="0" t="n">
        <f aca="false">-1+C381*0.25</f>
        <v>0.25</v>
      </c>
      <c r="H381" s="0" t="n">
        <f aca="false">-1+D381*0.25</f>
        <v>0.75</v>
      </c>
      <c r="I381" s="0" t="n">
        <f aca="false">1</f>
        <v>1</v>
      </c>
      <c r="J381" s="0" t="n">
        <f aca="false">E381</f>
        <v>-1</v>
      </c>
      <c r="K381" s="0" t="n">
        <f aca="false">F381</f>
        <v>0</v>
      </c>
      <c r="L381" s="0" t="n">
        <f aca="false">G381</f>
        <v>0.25</v>
      </c>
      <c r="M381" s="0" t="n">
        <f aca="false">H381</f>
        <v>0.75</v>
      </c>
      <c r="N381" s="0" t="n">
        <f aca="false">E381*F381</f>
        <v>-0</v>
      </c>
      <c r="O381" s="0" t="n">
        <f aca="false">E381*G381</f>
        <v>-0.25</v>
      </c>
      <c r="P381" s="0" t="n">
        <f aca="false">E381*H381</f>
        <v>-0.75</v>
      </c>
      <c r="Q381" s="0" t="n">
        <f aca="false">F381*G381</f>
        <v>0</v>
      </c>
      <c r="R381" s="0" t="n">
        <f aca="false">F381*H381</f>
        <v>0</v>
      </c>
      <c r="S381" s="0" t="n">
        <f aca="false">G381*H381</f>
        <v>0.1875</v>
      </c>
      <c r="T381" s="0" t="n">
        <f aca="false">E381*E381</f>
        <v>1</v>
      </c>
      <c r="U381" s="0" t="n">
        <f aca="false">F381*F381</f>
        <v>0</v>
      </c>
      <c r="V381" s="0" t="n">
        <f aca="false">G381*G381</f>
        <v>0.0625</v>
      </c>
      <c r="W381" s="0" t="n">
        <f aca="false">H381*H381</f>
        <v>0.5625</v>
      </c>
      <c r="X381" s="0" t="n">
        <f aca="false">SUMPRODUCT(I381:W381,_XtX!$B$96:$P$96)</f>
        <v>43.7347542032164</v>
      </c>
      <c r="Y381" s="0" t="n">
        <f aca="false">SUMPRODUCT(MMULT(I381:W381,_XtX!$B$78:$P$92),I381:W381)</f>
        <v>0.501534802174708</v>
      </c>
      <c r="Z381" s="0" t="n">
        <f aca="false">04_回帰ANOVA!$K$19*04_回帰ANOVA!$K$14*SQRT(1+Y381)</f>
        <v>1.59722498091333</v>
      </c>
      <c r="AA381" s="0" t="n">
        <f aca="false">X381-Z381</f>
        <v>42.1375292223031</v>
      </c>
      <c r="AB381" s="0" t="n">
        <f aca="false">X381+Z381</f>
        <v>45.3319791841298</v>
      </c>
      <c r="AC381" s="54" t="b">
        <f aca="false">AND(E381&gt;=01_因子設定!$L$5-0.000000001,E381&lt;=01_因子設定!$M$5+0.000000001,F381&gt;=01_因子設定!$L$6-0.000000001,F381&lt;=01_因子設定!$M$6+0.000000001,G381&gt;=01_因子設定!$L$7-0.000000001,G381&lt;=01_因子設定!$M$7+0.000000001,H381&gt;=01_因子設定!$L$8-0.000000001,H381&lt;=01_因子設定!$M$8+0.000000001,IF(01_因子設定!$B$20="Box-Behnken",E381^2+F381^2+G381^2+H381^2&lt;=2+0.000000001,TRUE()))</f>
        <v>1</v>
      </c>
      <c r="AD381" s="55" t="n">
        <f aca="false">IF(AC381,IF(01_因子設定!$B$13="最大化",AA381-01_因子設定!$B$14,IF(01_因子設定!$B$13="最小化",01_因子設定!$B$15-AB381,MIN(AA381-01_因子設定!$B$14,01_因子設定!$B$15-AB381))),-1E+030)</f>
        <v>-4.36247077769691</v>
      </c>
      <c r="AE381" s="55" t="n">
        <f aca="false">IF(AC381,IF(01_因子設定!$B$13="最大化",X381,IF(01_因子設定!$B$13="最小化",-X381,-ABS(X381-01_因子設定!$B$16))),-1E+030)</f>
        <v>43.7347542032164</v>
      </c>
      <c r="AF381" s="55" t="n">
        <f aca="false">AD381+ROW()*0.000000001</f>
        <v>-4.36247039669691</v>
      </c>
      <c r="AG381" s="55" t="n">
        <f aca="false">AE381+ROW()*0.000000001</f>
        <v>43.7347545842164</v>
      </c>
    </row>
    <row r="382" customFormat="false" ht="15" hidden="false" customHeight="false" outlineLevel="0" collapsed="false">
      <c r="A382" s="0" t="n">
        <v>0</v>
      </c>
      <c r="B382" s="0" t="n">
        <v>4</v>
      </c>
      <c r="C382" s="0" t="n">
        <v>5</v>
      </c>
      <c r="D382" s="0" t="n">
        <v>8</v>
      </c>
      <c r="E382" s="0" t="n">
        <f aca="false">-1+A382*0.25</f>
        <v>-1</v>
      </c>
      <c r="F382" s="0" t="n">
        <f aca="false">-1+B382*0.25</f>
        <v>0</v>
      </c>
      <c r="G382" s="0" t="n">
        <f aca="false">-1+C382*0.25</f>
        <v>0.25</v>
      </c>
      <c r="H382" s="0" t="n">
        <f aca="false">-1+D382*0.25</f>
        <v>1</v>
      </c>
      <c r="I382" s="0" t="n">
        <f aca="false">1</f>
        <v>1</v>
      </c>
      <c r="J382" s="0" t="n">
        <f aca="false">E382</f>
        <v>-1</v>
      </c>
      <c r="K382" s="0" t="n">
        <f aca="false">F382</f>
        <v>0</v>
      </c>
      <c r="L382" s="0" t="n">
        <f aca="false">G382</f>
        <v>0.25</v>
      </c>
      <c r="M382" s="0" t="n">
        <f aca="false">H382</f>
        <v>1</v>
      </c>
      <c r="N382" s="0" t="n">
        <f aca="false">E382*F382</f>
        <v>-0</v>
      </c>
      <c r="O382" s="0" t="n">
        <f aca="false">E382*G382</f>
        <v>-0.25</v>
      </c>
      <c r="P382" s="0" t="n">
        <f aca="false">E382*H382</f>
        <v>-1</v>
      </c>
      <c r="Q382" s="0" t="n">
        <f aca="false">F382*G382</f>
        <v>0</v>
      </c>
      <c r="R382" s="0" t="n">
        <f aca="false">F382*H382</f>
        <v>0</v>
      </c>
      <c r="S382" s="0" t="n">
        <f aca="false">G382*H382</f>
        <v>0.25</v>
      </c>
      <c r="T382" s="0" t="n">
        <f aca="false">E382*E382</f>
        <v>1</v>
      </c>
      <c r="U382" s="0" t="n">
        <f aca="false">F382*F382</f>
        <v>0</v>
      </c>
      <c r="V382" s="0" t="n">
        <f aca="false">G382*G382</f>
        <v>0.0625</v>
      </c>
      <c r="W382" s="0" t="n">
        <f aca="false">H382*H382</f>
        <v>1</v>
      </c>
      <c r="X382" s="0" t="n">
        <f aca="false">SUMPRODUCT(I382:W382,_XtX!$B$96:$P$96)</f>
        <v>43.6555372807018</v>
      </c>
      <c r="Y382" s="0" t="n">
        <f aca="false">SUMPRODUCT(MMULT(I382:W382,_XtX!$B$78:$P$92),I382:W382)</f>
        <v>0.689692982456141</v>
      </c>
      <c r="Z382" s="0" t="n">
        <f aca="false">04_回帰ANOVA!$K$19*04_回帰ANOVA!$K$14*SQRT(1+Y382)</f>
        <v>1.69434674594998</v>
      </c>
      <c r="AA382" s="0" t="n">
        <f aca="false">X382-Z382</f>
        <v>41.9611905347518</v>
      </c>
      <c r="AB382" s="0" t="n">
        <f aca="false">X382+Z382</f>
        <v>45.3498840266518</v>
      </c>
      <c r="AC382" s="54" t="b">
        <f aca="false">AND(E382&gt;=01_因子設定!$L$5-0.000000001,E382&lt;=01_因子設定!$M$5+0.000000001,F382&gt;=01_因子設定!$L$6-0.000000001,F382&lt;=01_因子設定!$M$6+0.000000001,G382&gt;=01_因子設定!$L$7-0.000000001,G382&lt;=01_因子設定!$M$7+0.000000001,H382&gt;=01_因子設定!$L$8-0.000000001,H382&lt;=01_因子設定!$M$8+0.000000001,IF(01_因子設定!$B$20="Box-Behnken",E382^2+F382^2+G382^2+H382^2&lt;=2+0.000000001,TRUE()))</f>
        <v>1</v>
      </c>
      <c r="AD382" s="55" t="n">
        <f aca="false">IF(AC382,IF(01_因子設定!$B$13="最大化",AA382-01_因子設定!$B$14,IF(01_因子設定!$B$13="最小化",01_因子設定!$B$15-AB382,MIN(AA382-01_因子設定!$B$14,01_因子設定!$B$15-AB382))),-1E+030)</f>
        <v>-4.53880946524817</v>
      </c>
      <c r="AE382" s="55" t="n">
        <f aca="false">IF(AC382,IF(01_因子設定!$B$13="最大化",X382,IF(01_因子設定!$B$13="最小化",-X382,-ABS(X382-01_因子設定!$B$16))),-1E+030)</f>
        <v>43.6555372807018</v>
      </c>
      <c r="AF382" s="55" t="n">
        <f aca="false">AD382+ROW()*0.000000001</f>
        <v>-4.53880908324817</v>
      </c>
      <c r="AG382" s="55" t="n">
        <f aca="false">AE382+ROW()*0.000000001</f>
        <v>43.6555376627018</v>
      </c>
    </row>
    <row r="383" customFormat="false" ht="15" hidden="false" customHeight="false" outlineLevel="0" collapsed="false">
      <c r="A383" s="0" t="n">
        <v>0</v>
      </c>
      <c r="B383" s="0" t="n">
        <v>4</v>
      </c>
      <c r="C383" s="0" t="n">
        <v>6</v>
      </c>
      <c r="D383" s="0" t="n">
        <v>0</v>
      </c>
      <c r="E383" s="0" t="n">
        <f aca="false">-1+A383*0.25</f>
        <v>-1</v>
      </c>
      <c r="F383" s="0" t="n">
        <f aca="false">-1+B383*0.25</f>
        <v>0</v>
      </c>
      <c r="G383" s="0" t="n">
        <f aca="false">-1+C383*0.25</f>
        <v>0.5</v>
      </c>
      <c r="H383" s="0" t="n">
        <f aca="false">-1+D383*0.25</f>
        <v>-1</v>
      </c>
      <c r="I383" s="0" t="n">
        <f aca="false">1</f>
        <v>1</v>
      </c>
      <c r="J383" s="0" t="n">
        <f aca="false">E383</f>
        <v>-1</v>
      </c>
      <c r="K383" s="0" t="n">
        <f aca="false">F383</f>
        <v>0</v>
      </c>
      <c r="L383" s="0" t="n">
        <f aca="false">G383</f>
        <v>0.5</v>
      </c>
      <c r="M383" s="0" t="n">
        <f aca="false">H383</f>
        <v>-1</v>
      </c>
      <c r="N383" s="0" t="n">
        <f aca="false">E383*F383</f>
        <v>-0</v>
      </c>
      <c r="O383" s="0" t="n">
        <f aca="false">E383*G383</f>
        <v>-0.5</v>
      </c>
      <c r="P383" s="0" t="n">
        <f aca="false">E383*H383</f>
        <v>1</v>
      </c>
      <c r="Q383" s="0" t="n">
        <f aca="false">F383*G383</f>
        <v>0</v>
      </c>
      <c r="R383" s="0" t="n">
        <f aca="false">F383*H383</f>
        <v>-0</v>
      </c>
      <c r="S383" s="0" t="n">
        <f aca="false">G383*H383</f>
        <v>-0.5</v>
      </c>
      <c r="T383" s="0" t="n">
        <f aca="false">E383*E383</f>
        <v>1</v>
      </c>
      <c r="U383" s="0" t="n">
        <f aca="false">F383*F383</f>
        <v>0</v>
      </c>
      <c r="V383" s="0" t="n">
        <f aca="false">G383*G383</f>
        <v>0.25</v>
      </c>
      <c r="W383" s="0" t="n">
        <f aca="false">H383*H383</f>
        <v>1</v>
      </c>
      <c r="X383" s="0" t="n">
        <f aca="false">SUMPRODUCT(I383:W383,_XtX!$B$96:$P$96)</f>
        <v>43.1591739766083</v>
      </c>
      <c r="Y383" s="0" t="n">
        <f aca="false">SUMPRODUCT(MMULT(I383:W383,_XtX!$B$78:$P$92),I383:W383)</f>
        <v>0.650767543859649</v>
      </c>
      <c r="Z383" s="0" t="n">
        <f aca="false">04_回帰ANOVA!$K$19*04_回帰ANOVA!$K$14*SQRT(1+Y383)</f>
        <v>1.67471670935165</v>
      </c>
      <c r="AA383" s="0" t="n">
        <f aca="false">X383-Z383</f>
        <v>41.4844572672566</v>
      </c>
      <c r="AB383" s="0" t="n">
        <f aca="false">X383+Z383</f>
        <v>44.8338906859599</v>
      </c>
      <c r="AC383" s="54" t="b">
        <f aca="false">AND(E383&gt;=01_因子設定!$L$5-0.000000001,E383&lt;=01_因子設定!$M$5+0.000000001,F383&gt;=01_因子設定!$L$6-0.000000001,F383&lt;=01_因子設定!$M$6+0.000000001,G383&gt;=01_因子設定!$L$7-0.000000001,G383&lt;=01_因子設定!$M$7+0.000000001,H383&gt;=01_因子設定!$L$8-0.000000001,H383&lt;=01_因子設定!$M$8+0.000000001,IF(01_因子設定!$B$20="Box-Behnken",E383^2+F383^2+G383^2+H383^2&lt;=2+0.000000001,TRUE()))</f>
        <v>1</v>
      </c>
      <c r="AD383" s="55" t="n">
        <f aca="false">IF(AC383,IF(01_因子設定!$B$13="最大化",AA383-01_因子設定!$B$14,IF(01_因子設定!$B$13="最小化",01_因子設定!$B$15-AB383,MIN(AA383-01_因子設定!$B$14,01_因子設定!$B$15-AB383))),-1E+030)</f>
        <v>-5.0155427327434</v>
      </c>
      <c r="AE383" s="55" t="n">
        <f aca="false">IF(AC383,IF(01_因子設定!$B$13="最大化",X383,IF(01_因子設定!$B$13="最小化",-X383,-ABS(X383-01_因子設定!$B$16))),-1E+030)</f>
        <v>43.1591739766083</v>
      </c>
      <c r="AF383" s="55" t="n">
        <f aca="false">AD383+ROW()*0.000000001</f>
        <v>-5.0155423497434</v>
      </c>
      <c r="AG383" s="55" t="n">
        <f aca="false">AE383+ROW()*0.000000001</f>
        <v>43.1591743596083</v>
      </c>
    </row>
    <row r="384" customFormat="false" ht="15" hidden="false" customHeight="false" outlineLevel="0" collapsed="false">
      <c r="A384" s="0" t="n">
        <v>0</v>
      </c>
      <c r="B384" s="0" t="n">
        <v>4</v>
      </c>
      <c r="C384" s="0" t="n">
        <v>6</v>
      </c>
      <c r="D384" s="0" t="n">
        <v>1</v>
      </c>
      <c r="E384" s="0" t="n">
        <f aca="false">-1+A384*0.25</f>
        <v>-1</v>
      </c>
      <c r="F384" s="0" t="n">
        <f aca="false">-1+B384*0.25</f>
        <v>0</v>
      </c>
      <c r="G384" s="0" t="n">
        <f aca="false">-1+C384*0.25</f>
        <v>0.5</v>
      </c>
      <c r="H384" s="0" t="n">
        <f aca="false">-1+D384*0.25</f>
        <v>-0.75</v>
      </c>
      <c r="I384" s="0" t="n">
        <f aca="false">1</f>
        <v>1</v>
      </c>
      <c r="J384" s="0" t="n">
        <f aca="false">E384</f>
        <v>-1</v>
      </c>
      <c r="K384" s="0" t="n">
        <f aca="false">F384</f>
        <v>0</v>
      </c>
      <c r="L384" s="0" t="n">
        <f aca="false">G384</f>
        <v>0.5</v>
      </c>
      <c r="M384" s="0" t="n">
        <f aca="false">H384</f>
        <v>-0.75</v>
      </c>
      <c r="N384" s="0" t="n">
        <f aca="false">E384*F384</f>
        <v>-0</v>
      </c>
      <c r="O384" s="0" t="n">
        <f aca="false">E384*G384</f>
        <v>-0.5</v>
      </c>
      <c r="P384" s="0" t="n">
        <f aca="false">E384*H384</f>
        <v>0.75</v>
      </c>
      <c r="Q384" s="0" t="n">
        <f aca="false">F384*G384</f>
        <v>0</v>
      </c>
      <c r="R384" s="0" t="n">
        <f aca="false">F384*H384</f>
        <v>-0</v>
      </c>
      <c r="S384" s="0" t="n">
        <f aca="false">G384*H384</f>
        <v>-0.375</v>
      </c>
      <c r="T384" s="0" t="n">
        <f aca="false">E384*E384</f>
        <v>1</v>
      </c>
      <c r="U384" s="0" t="n">
        <f aca="false">F384*F384</f>
        <v>0</v>
      </c>
      <c r="V384" s="0" t="n">
        <f aca="false">G384*G384</f>
        <v>0.25</v>
      </c>
      <c r="W384" s="0" t="n">
        <f aca="false">H384*H384</f>
        <v>0.5625</v>
      </c>
      <c r="X384" s="0" t="n">
        <f aca="false">SUMPRODUCT(I384:W384,_XtX!$B$96:$P$96)</f>
        <v>43.4325749269006</v>
      </c>
      <c r="Y384" s="0" t="n">
        <f aca="false">SUMPRODUCT(MMULT(I384:W384,_XtX!$B$78:$P$92),I384:W384)</f>
        <v>0.476191292032164</v>
      </c>
      <c r="Z384" s="0" t="n">
        <f aca="false">04_回帰ANOVA!$K$19*04_回帰ANOVA!$K$14*SQRT(1+Y384)</f>
        <v>1.58368831471718</v>
      </c>
      <c r="AA384" s="0" t="n">
        <f aca="false">X384-Z384</f>
        <v>41.8488866121835</v>
      </c>
      <c r="AB384" s="0" t="n">
        <f aca="false">X384+Z384</f>
        <v>45.0162632416178</v>
      </c>
      <c r="AC384" s="54" t="b">
        <f aca="false">AND(E384&gt;=01_因子設定!$L$5-0.000000001,E384&lt;=01_因子設定!$M$5+0.000000001,F384&gt;=01_因子設定!$L$6-0.000000001,F384&lt;=01_因子設定!$M$6+0.000000001,G384&gt;=01_因子設定!$L$7-0.000000001,G384&lt;=01_因子設定!$M$7+0.000000001,H384&gt;=01_因子設定!$L$8-0.000000001,H384&lt;=01_因子設定!$M$8+0.000000001,IF(01_因子設定!$B$20="Box-Behnken",E384^2+F384^2+G384^2+H384^2&lt;=2+0.000000001,TRUE()))</f>
        <v>1</v>
      </c>
      <c r="AD384" s="55" t="n">
        <f aca="false">IF(AC384,IF(01_因子設定!$B$13="最大化",AA384-01_因子設定!$B$14,IF(01_因子設定!$B$13="最小化",01_因子設定!$B$15-AB384,MIN(AA384-01_因子設定!$B$14,01_因子設定!$B$15-AB384))),-1E+030)</f>
        <v>-4.65111338781654</v>
      </c>
      <c r="AE384" s="55" t="n">
        <f aca="false">IF(AC384,IF(01_因子設定!$B$13="最大化",X384,IF(01_因子設定!$B$13="最小化",-X384,-ABS(X384-01_因子設定!$B$16))),-1E+030)</f>
        <v>43.4325749269006</v>
      </c>
      <c r="AF384" s="55" t="n">
        <f aca="false">AD384+ROW()*0.000000001</f>
        <v>-4.65111300381654</v>
      </c>
      <c r="AG384" s="55" t="n">
        <f aca="false">AE384+ROW()*0.000000001</f>
        <v>43.4325753109006</v>
      </c>
    </row>
    <row r="385" customFormat="false" ht="15" hidden="false" customHeight="false" outlineLevel="0" collapsed="false">
      <c r="A385" s="0" t="n">
        <v>0</v>
      </c>
      <c r="B385" s="0" t="n">
        <v>4</v>
      </c>
      <c r="C385" s="0" t="n">
        <v>6</v>
      </c>
      <c r="D385" s="0" t="n">
        <v>2</v>
      </c>
      <c r="E385" s="0" t="n">
        <f aca="false">-1+A385*0.25</f>
        <v>-1</v>
      </c>
      <c r="F385" s="0" t="n">
        <f aca="false">-1+B385*0.25</f>
        <v>0</v>
      </c>
      <c r="G385" s="0" t="n">
        <f aca="false">-1+C385*0.25</f>
        <v>0.5</v>
      </c>
      <c r="H385" s="0" t="n">
        <f aca="false">-1+D385*0.25</f>
        <v>-0.5</v>
      </c>
      <c r="I385" s="0" t="n">
        <f aca="false">1</f>
        <v>1</v>
      </c>
      <c r="J385" s="0" t="n">
        <f aca="false">E385</f>
        <v>-1</v>
      </c>
      <c r="K385" s="0" t="n">
        <f aca="false">F385</f>
        <v>0</v>
      </c>
      <c r="L385" s="0" t="n">
        <f aca="false">G385</f>
        <v>0.5</v>
      </c>
      <c r="M385" s="0" t="n">
        <f aca="false">H385</f>
        <v>-0.5</v>
      </c>
      <c r="N385" s="0" t="n">
        <f aca="false">E385*F385</f>
        <v>-0</v>
      </c>
      <c r="O385" s="0" t="n">
        <f aca="false">E385*G385</f>
        <v>-0.5</v>
      </c>
      <c r="P385" s="0" t="n">
        <f aca="false">E385*H385</f>
        <v>0.5</v>
      </c>
      <c r="Q385" s="0" t="n">
        <f aca="false">F385*G385</f>
        <v>0</v>
      </c>
      <c r="R385" s="0" t="n">
        <f aca="false">F385*H385</f>
        <v>-0</v>
      </c>
      <c r="S385" s="0" t="n">
        <f aca="false">G385*H385</f>
        <v>-0.25</v>
      </c>
      <c r="T385" s="0" t="n">
        <f aca="false">E385*E385</f>
        <v>1</v>
      </c>
      <c r="U385" s="0" t="n">
        <f aca="false">F385*F385</f>
        <v>0</v>
      </c>
      <c r="V385" s="0" t="n">
        <f aca="false">G385*G385</f>
        <v>0.25</v>
      </c>
      <c r="W385" s="0" t="n">
        <f aca="false">H385*H385</f>
        <v>0.25</v>
      </c>
      <c r="X385" s="0" t="n">
        <f aca="false">SUMPRODUCT(I385:W385,_XtX!$B$96:$P$96)</f>
        <v>43.6581688596492</v>
      </c>
      <c r="Y385" s="0" t="n">
        <f aca="false">SUMPRODUCT(MMULT(I385:W385,_XtX!$B$78:$P$92),I385:W385)</f>
        <v>0.441954495614035</v>
      </c>
      <c r="Z385" s="0" t="n">
        <f aca="false">04_回帰ANOVA!$K$19*04_回帰ANOVA!$K$14*SQRT(1+Y385)</f>
        <v>1.56521560968066</v>
      </c>
      <c r="AA385" s="0" t="n">
        <f aca="false">X385-Z385</f>
        <v>42.0929532499685</v>
      </c>
      <c r="AB385" s="0" t="n">
        <f aca="false">X385+Z385</f>
        <v>45.2233844693298</v>
      </c>
      <c r="AC385" s="54" t="b">
        <f aca="false">AND(E385&gt;=01_因子設定!$L$5-0.000000001,E385&lt;=01_因子設定!$M$5+0.000000001,F385&gt;=01_因子設定!$L$6-0.000000001,F385&lt;=01_因子設定!$M$6+0.000000001,G385&gt;=01_因子設定!$L$7-0.000000001,G385&lt;=01_因子設定!$M$7+0.000000001,H385&gt;=01_因子設定!$L$8-0.000000001,H385&lt;=01_因子設定!$M$8+0.000000001,IF(01_因子設定!$B$20="Box-Behnken",E385^2+F385^2+G385^2+H385^2&lt;=2+0.000000001,TRUE()))</f>
        <v>1</v>
      </c>
      <c r="AD385" s="55" t="n">
        <f aca="false">IF(AC385,IF(01_因子設定!$B$13="最大化",AA385-01_因子設定!$B$14,IF(01_因子設定!$B$13="最小化",01_因子設定!$B$15-AB385,MIN(AA385-01_因子設定!$B$14,01_因子設定!$B$15-AB385))),-1E+030)</f>
        <v>-4.40704675003151</v>
      </c>
      <c r="AE385" s="55" t="n">
        <f aca="false">IF(AC385,IF(01_因子設定!$B$13="最大化",X385,IF(01_因子設定!$B$13="最小化",-X385,-ABS(X385-01_因子設定!$B$16))),-1E+030)</f>
        <v>43.6581688596492</v>
      </c>
      <c r="AF385" s="55" t="n">
        <f aca="false">AD385+ROW()*0.000000001</f>
        <v>-4.40704636503151</v>
      </c>
      <c r="AG385" s="55" t="n">
        <f aca="false">AE385+ROW()*0.000000001</f>
        <v>43.6581692446492</v>
      </c>
    </row>
    <row r="386" customFormat="false" ht="15" hidden="false" customHeight="false" outlineLevel="0" collapsed="false">
      <c r="A386" s="0" t="n">
        <v>0</v>
      </c>
      <c r="B386" s="0" t="n">
        <v>4</v>
      </c>
      <c r="C386" s="0" t="n">
        <v>6</v>
      </c>
      <c r="D386" s="0" t="n">
        <v>3</v>
      </c>
      <c r="E386" s="0" t="n">
        <f aca="false">-1+A386*0.25</f>
        <v>-1</v>
      </c>
      <c r="F386" s="0" t="n">
        <f aca="false">-1+B386*0.25</f>
        <v>0</v>
      </c>
      <c r="G386" s="0" t="n">
        <f aca="false">-1+C386*0.25</f>
        <v>0.5</v>
      </c>
      <c r="H386" s="0" t="n">
        <f aca="false">-1+D386*0.25</f>
        <v>-0.25</v>
      </c>
      <c r="I386" s="0" t="n">
        <f aca="false">1</f>
        <v>1</v>
      </c>
      <c r="J386" s="0" t="n">
        <f aca="false">E386</f>
        <v>-1</v>
      </c>
      <c r="K386" s="0" t="n">
        <f aca="false">F386</f>
        <v>0</v>
      </c>
      <c r="L386" s="0" t="n">
        <f aca="false">G386</f>
        <v>0.5</v>
      </c>
      <c r="M386" s="0" t="n">
        <f aca="false">H386</f>
        <v>-0.25</v>
      </c>
      <c r="N386" s="0" t="n">
        <f aca="false">E386*F386</f>
        <v>-0</v>
      </c>
      <c r="O386" s="0" t="n">
        <f aca="false">E386*G386</f>
        <v>-0.5</v>
      </c>
      <c r="P386" s="0" t="n">
        <f aca="false">E386*H386</f>
        <v>0.25</v>
      </c>
      <c r="Q386" s="0" t="n">
        <f aca="false">F386*G386</f>
        <v>0</v>
      </c>
      <c r="R386" s="0" t="n">
        <f aca="false">F386*H386</f>
        <v>-0</v>
      </c>
      <c r="S386" s="0" t="n">
        <f aca="false">G386*H386</f>
        <v>-0.125</v>
      </c>
      <c r="T386" s="0" t="n">
        <f aca="false">E386*E386</f>
        <v>1</v>
      </c>
      <c r="U386" s="0" t="n">
        <f aca="false">F386*F386</f>
        <v>0</v>
      </c>
      <c r="V386" s="0" t="n">
        <f aca="false">G386*G386</f>
        <v>0.25</v>
      </c>
      <c r="W386" s="0" t="n">
        <f aca="false">H386*H386</f>
        <v>0.0625</v>
      </c>
      <c r="X386" s="0" t="n">
        <f aca="false">SUMPRODUCT(I386:W386,_XtX!$B$96:$P$96)</f>
        <v>43.8359557748538</v>
      </c>
      <c r="Y386" s="0" t="n">
        <f aca="false">SUMPRODUCT(MMULT(I386:W386,_XtX!$B$78:$P$92),I386:W386)</f>
        <v>0.457596628289474</v>
      </c>
      <c r="Z386" s="0" t="n">
        <f aca="false">04_回帰ANOVA!$K$19*04_回帰ANOVA!$K$14*SQRT(1+Y386)</f>
        <v>1.57368233664366</v>
      </c>
      <c r="AA386" s="0" t="n">
        <f aca="false">X386-Z386</f>
        <v>42.2622734382102</v>
      </c>
      <c r="AB386" s="0" t="n">
        <f aca="false">X386+Z386</f>
        <v>45.4096381114975</v>
      </c>
      <c r="AC386" s="54" t="b">
        <f aca="false">AND(E386&gt;=01_因子設定!$L$5-0.000000001,E386&lt;=01_因子設定!$M$5+0.000000001,F386&gt;=01_因子設定!$L$6-0.000000001,F386&lt;=01_因子設定!$M$6+0.000000001,G386&gt;=01_因子設定!$L$7-0.000000001,G386&lt;=01_因子設定!$M$7+0.000000001,H386&gt;=01_因子設定!$L$8-0.000000001,H386&lt;=01_因子設定!$M$8+0.000000001,IF(01_因子設定!$B$20="Box-Behnken",E386^2+F386^2+G386^2+H386^2&lt;=2+0.000000001,TRUE()))</f>
        <v>1</v>
      </c>
      <c r="AD386" s="55" t="n">
        <f aca="false">IF(AC386,IF(01_因子設定!$B$13="最大化",AA386-01_因子設定!$B$14,IF(01_因子設定!$B$13="最小化",01_因子設定!$B$15-AB386,MIN(AA386-01_因子設定!$B$14,01_因子設定!$B$15-AB386))),-1E+030)</f>
        <v>-4.23772656178983</v>
      </c>
      <c r="AE386" s="55" t="n">
        <f aca="false">IF(AC386,IF(01_因子設定!$B$13="最大化",X386,IF(01_因子設定!$B$13="最小化",-X386,-ABS(X386-01_因子設定!$B$16))),-1E+030)</f>
        <v>43.8359557748538</v>
      </c>
      <c r="AF386" s="55" t="n">
        <f aca="false">AD386+ROW()*0.000000001</f>
        <v>-4.23772617578983</v>
      </c>
      <c r="AG386" s="55" t="n">
        <f aca="false">AE386+ROW()*0.000000001</f>
        <v>43.8359561608538</v>
      </c>
    </row>
    <row r="387" customFormat="false" ht="15" hidden="false" customHeight="false" outlineLevel="0" collapsed="false">
      <c r="A387" s="0" t="n">
        <v>0</v>
      </c>
      <c r="B387" s="0" t="n">
        <v>4</v>
      </c>
      <c r="C387" s="0" t="n">
        <v>6</v>
      </c>
      <c r="D387" s="0" t="n">
        <v>4</v>
      </c>
      <c r="E387" s="0" t="n">
        <f aca="false">-1+A387*0.25</f>
        <v>-1</v>
      </c>
      <c r="F387" s="0" t="n">
        <f aca="false">-1+B387*0.25</f>
        <v>0</v>
      </c>
      <c r="G387" s="0" t="n">
        <f aca="false">-1+C387*0.25</f>
        <v>0.5</v>
      </c>
      <c r="H387" s="0" t="n">
        <f aca="false">-1+D387*0.25</f>
        <v>0</v>
      </c>
      <c r="I387" s="0" t="n">
        <f aca="false">1</f>
        <v>1</v>
      </c>
      <c r="J387" s="0" t="n">
        <f aca="false">E387</f>
        <v>-1</v>
      </c>
      <c r="K387" s="0" t="n">
        <f aca="false">F387</f>
        <v>0</v>
      </c>
      <c r="L387" s="0" t="n">
        <f aca="false">G387</f>
        <v>0.5</v>
      </c>
      <c r="M387" s="0" t="n">
        <f aca="false">H387</f>
        <v>0</v>
      </c>
      <c r="N387" s="0" t="n">
        <f aca="false">E387*F387</f>
        <v>-0</v>
      </c>
      <c r="O387" s="0" t="n">
        <f aca="false">E387*G387</f>
        <v>-0.5</v>
      </c>
      <c r="P387" s="0" t="n">
        <f aca="false">E387*H387</f>
        <v>-0</v>
      </c>
      <c r="Q387" s="0" t="n">
        <f aca="false">F387*G387</f>
        <v>0</v>
      </c>
      <c r="R387" s="0" t="n">
        <f aca="false">F387*H387</f>
        <v>0</v>
      </c>
      <c r="S387" s="0" t="n">
        <f aca="false">G387*H387</f>
        <v>0</v>
      </c>
      <c r="T387" s="0" t="n">
        <f aca="false">E387*E387</f>
        <v>1</v>
      </c>
      <c r="U387" s="0" t="n">
        <f aca="false">F387*F387</f>
        <v>0</v>
      </c>
      <c r="V387" s="0" t="n">
        <f aca="false">G387*G387</f>
        <v>0.25</v>
      </c>
      <c r="W387" s="0" t="n">
        <f aca="false">H387*H387</f>
        <v>0</v>
      </c>
      <c r="X387" s="0" t="n">
        <f aca="false">SUMPRODUCT(I387:W387,_XtX!$B$96:$P$96)</f>
        <v>43.9659356725147</v>
      </c>
      <c r="Y387" s="0" t="n">
        <f aca="false">SUMPRODUCT(MMULT(I387:W387,_XtX!$B$78:$P$92),I387:W387)</f>
        <v>0.468841374269006</v>
      </c>
      <c r="Z387" s="0" t="n">
        <f aca="false">04_回帰ANOVA!$K$19*04_回帰ANOVA!$K$14*SQRT(1+Y387)</f>
        <v>1.57974082366087</v>
      </c>
      <c r="AA387" s="0" t="n">
        <f aca="false">X387-Z387</f>
        <v>42.3861948488538</v>
      </c>
      <c r="AB387" s="0" t="n">
        <f aca="false">X387+Z387</f>
        <v>45.5456764961755</v>
      </c>
      <c r="AC387" s="54" t="b">
        <f aca="false">AND(E387&gt;=01_因子設定!$L$5-0.000000001,E387&lt;=01_因子設定!$M$5+0.000000001,F387&gt;=01_因子設定!$L$6-0.000000001,F387&lt;=01_因子設定!$M$6+0.000000001,G387&gt;=01_因子設定!$L$7-0.000000001,G387&lt;=01_因子設定!$M$7+0.000000001,H387&gt;=01_因子設定!$L$8-0.000000001,H387&lt;=01_因子設定!$M$8+0.000000001,IF(01_因子設定!$B$20="Box-Behnken",E387^2+F387^2+G387^2+H387^2&lt;=2+0.000000001,TRUE()))</f>
        <v>1</v>
      </c>
      <c r="AD387" s="55" t="n">
        <f aca="false">IF(AC387,IF(01_因子設定!$B$13="最大化",AA387-01_因子設定!$B$14,IF(01_因子設定!$B$13="最小化",01_因子設定!$B$15-AB387,MIN(AA387-01_因子設定!$B$14,01_因子設定!$B$15-AB387))),-1E+030)</f>
        <v>-4.11380515114623</v>
      </c>
      <c r="AE387" s="55" t="n">
        <f aca="false">IF(AC387,IF(01_因子設定!$B$13="最大化",X387,IF(01_因子設定!$B$13="最小化",-X387,-ABS(X387-01_因子設定!$B$16))),-1E+030)</f>
        <v>43.9659356725147</v>
      </c>
      <c r="AF387" s="55" t="n">
        <f aca="false">AD387+ROW()*0.000000001</f>
        <v>-4.11380476414623</v>
      </c>
      <c r="AG387" s="55" t="n">
        <f aca="false">AE387+ROW()*0.000000001</f>
        <v>43.9659360595147</v>
      </c>
    </row>
    <row r="388" customFormat="false" ht="15" hidden="false" customHeight="false" outlineLevel="0" collapsed="false">
      <c r="A388" s="0" t="n">
        <v>0</v>
      </c>
      <c r="B388" s="0" t="n">
        <v>4</v>
      </c>
      <c r="C388" s="0" t="n">
        <v>6</v>
      </c>
      <c r="D388" s="0" t="n">
        <v>5</v>
      </c>
      <c r="E388" s="0" t="n">
        <f aca="false">-1+A388*0.25</f>
        <v>-1</v>
      </c>
      <c r="F388" s="0" t="n">
        <f aca="false">-1+B388*0.25</f>
        <v>0</v>
      </c>
      <c r="G388" s="0" t="n">
        <f aca="false">-1+C388*0.25</f>
        <v>0.5</v>
      </c>
      <c r="H388" s="0" t="n">
        <f aca="false">-1+D388*0.25</f>
        <v>0.25</v>
      </c>
      <c r="I388" s="0" t="n">
        <f aca="false">1</f>
        <v>1</v>
      </c>
      <c r="J388" s="0" t="n">
        <f aca="false">E388</f>
        <v>-1</v>
      </c>
      <c r="K388" s="0" t="n">
        <f aca="false">F388</f>
        <v>0</v>
      </c>
      <c r="L388" s="0" t="n">
        <f aca="false">G388</f>
        <v>0.5</v>
      </c>
      <c r="M388" s="0" t="n">
        <f aca="false">H388</f>
        <v>0.25</v>
      </c>
      <c r="N388" s="0" t="n">
        <f aca="false">E388*F388</f>
        <v>-0</v>
      </c>
      <c r="O388" s="0" t="n">
        <f aca="false">E388*G388</f>
        <v>-0.5</v>
      </c>
      <c r="P388" s="0" t="n">
        <f aca="false">E388*H388</f>
        <v>-0.25</v>
      </c>
      <c r="Q388" s="0" t="n">
        <f aca="false">F388*G388</f>
        <v>0</v>
      </c>
      <c r="R388" s="0" t="n">
        <f aca="false">F388*H388</f>
        <v>0</v>
      </c>
      <c r="S388" s="0" t="n">
        <f aca="false">G388*H388</f>
        <v>0.125</v>
      </c>
      <c r="T388" s="0" t="n">
        <f aca="false">E388*E388</f>
        <v>1</v>
      </c>
      <c r="U388" s="0" t="n">
        <f aca="false">F388*F388</f>
        <v>0</v>
      </c>
      <c r="V388" s="0" t="n">
        <f aca="false">G388*G388</f>
        <v>0.25</v>
      </c>
      <c r="W388" s="0" t="n">
        <f aca="false">H388*H388</f>
        <v>0.0625</v>
      </c>
      <c r="X388" s="0" t="n">
        <f aca="false">SUMPRODUCT(I388:W388,_XtX!$B$96:$P$96)</f>
        <v>44.0481085526316</v>
      </c>
      <c r="Y388" s="0" t="n">
        <f aca="false">SUMPRODUCT(MMULT(I388:W388,_XtX!$B$78:$P$92),I388:W388)</f>
        <v>0.457596628289474</v>
      </c>
      <c r="Z388" s="0" t="n">
        <f aca="false">04_回帰ANOVA!$K$19*04_回帰ANOVA!$K$14*SQRT(1+Y388)</f>
        <v>1.57368233664366</v>
      </c>
      <c r="AA388" s="0" t="n">
        <f aca="false">X388-Z388</f>
        <v>42.474426215988</v>
      </c>
      <c r="AB388" s="0" t="n">
        <f aca="false">X388+Z388</f>
        <v>45.6217908892753</v>
      </c>
      <c r="AC388" s="54" t="b">
        <f aca="false">AND(E388&gt;=01_因子設定!$L$5-0.000000001,E388&lt;=01_因子設定!$M$5+0.000000001,F388&gt;=01_因子設定!$L$6-0.000000001,F388&lt;=01_因子設定!$M$6+0.000000001,G388&gt;=01_因子設定!$L$7-0.000000001,G388&lt;=01_因子設定!$M$7+0.000000001,H388&gt;=01_因子設定!$L$8-0.000000001,H388&lt;=01_因子設定!$M$8+0.000000001,IF(01_因子設定!$B$20="Box-Behnken",E388^2+F388^2+G388^2+H388^2&lt;=2+0.000000001,TRUE()))</f>
        <v>1</v>
      </c>
      <c r="AD388" s="55" t="n">
        <f aca="false">IF(AC388,IF(01_因子設定!$B$13="最大化",AA388-01_因子設定!$B$14,IF(01_因子設定!$B$13="最小化",01_因子設定!$B$15-AB388,MIN(AA388-01_因子設定!$B$14,01_因子設定!$B$15-AB388))),-1E+030)</f>
        <v>-4.02557378401205</v>
      </c>
      <c r="AE388" s="55" t="n">
        <f aca="false">IF(AC388,IF(01_因子設定!$B$13="最大化",X388,IF(01_因子設定!$B$13="最小化",-X388,-ABS(X388-01_因子設定!$B$16))),-1E+030)</f>
        <v>44.0481085526316</v>
      </c>
      <c r="AF388" s="55" t="n">
        <f aca="false">AD388+ROW()*0.000000001</f>
        <v>-4.02557339601205</v>
      </c>
      <c r="AG388" s="55" t="n">
        <f aca="false">AE388+ROW()*0.000000001</f>
        <v>44.0481089406316</v>
      </c>
    </row>
    <row r="389" customFormat="false" ht="15" hidden="false" customHeight="false" outlineLevel="0" collapsed="false">
      <c r="A389" s="0" t="n">
        <v>0</v>
      </c>
      <c r="B389" s="0" t="n">
        <v>4</v>
      </c>
      <c r="C389" s="0" t="n">
        <v>6</v>
      </c>
      <c r="D389" s="0" t="n">
        <v>6</v>
      </c>
      <c r="E389" s="0" t="n">
        <f aca="false">-1+A389*0.25</f>
        <v>-1</v>
      </c>
      <c r="F389" s="0" t="n">
        <f aca="false">-1+B389*0.25</f>
        <v>0</v>
      </c>
      <c r="G389" s="0" t="n">
        <f aca="false">-1+C389*0.25</f>
        <v>0.5</v>
      </c>
      <c r="H389" s="0" t="n">
        <f aca="false">-1+D389*0.25</f>
        <v>0.5</v>
      </c>
      <c r="I389" s="0" t="n">
        <f aca="false">1</f>
        <v>1</v>
      </c>
      <c r="J389" s="0" t="n">
        <f aca="false">E389</f>
        <v>-1</v>
      </c>
      <c r="K389" s="0" t="n">
        <f aca="false">F389</f>
        <v>0</v>
      </c>
      <c r="L389" s="0" t="n">
        <f aca="false">G389</f>
        <v>0.5</v>
      </c>
      <c r="M389" s="0" t="n">
        <f aca="false">H389</f>
        <v>0.5</v>
      </c>
      <c r="N389" s="0" t="n">
        <f aca="false">E389*F389</f>
        <v>-0</v>
      </c>
      <c r="O389" s="0" t="n">
        <f aca="false">E389*G389</f>
        <v>-0.5</v>
      </c>
      <c r="P389" s="0" t="n">
        <f aca="false">E389*H389</f>
        <v>-0.5</v>
      </c>
      <c r="Q389" s="0" t="n">
        <f aca="false">F389*G389</f>
        <v>0</v>
      </c>
      <c r="R389" s="0" t="n">
        <f aca="false">F389*H389</f>
        <v>0</v>
      </c>
      <c r="S389" s="0" t="n">
        <f aca="false">G389*H389</f>
        <v>0.25</v>
      </c>
      <c r="T389" s="0" t="n">
        <f aca="false">E389*E389</f>
        <v>1</v>
      </c>
      <c r="U389" s="0" t="n">
        <f aca="false">F389*F389</f>
        <v>0</v>
      </c>
      <c r="V389" s="0" t="n">
        <f aca="false">G389*G389</f>
        <v>0.25</v>
      </c>
      <c r="W389" s="0" t="n">
        <f aca="false">H389*H389</f>
        <v>0.25</v>
      </c>
      <c r="X389" s="0" t="n">
        <f aca="false">SUMPRODUCT(I389:W389,_XtX!$B$96:$P$96)</f>
        <v>44.0824744152047</v>
      </c>
      <c r="Y389" s="0" t="n">
        <f aca="false">SUMPRODUCT(MMULT(I389:W389,_XtX!$B$78:$P$92),I389:W389)</f>
        <v>0.441954495614035</v>
      </c>
      <c r="Z389" s="0" t="n">
        <f aca="false">04_回帰ANOVA!$K$19*04_回帰ANOVA!$K$14*SQRT(1+Y389)</f>
        <v>1.56521560968066</v>
      </c>
      <c r="AA389" s="0" t="n">
        <f aca="false">X389-Z389</f>
        <v>42.5172588055241</v>
      </c>
      <c r="AB389" s="0" t="n">
        <f aca="false">X389+Z389</f>
        <v>45.6476900248854</v>
      </c>
      <c r="AC389" s="54" t="b">
        <f aca="false">AND(E389&gt;=01_因子設定!$L$5-0.000000001,E389&lt;=01_因子設定!$M$5+0.000000001,F389&gt;=01_因子設定!$L$6-0.000000001,F389&lt;=01_因子設定!$M$6+0.000000001,G389&gt;=01_因子設定!$L$7-0.000000001,G389&lt;=01_因子設定!$M$7+0.000000001,H389&gt;=01_因子設定!$L$8-0.000000001,H389&lt;=01_因子設定!$M$8+0.000000001,IF(01_因子設定!$B$20="Box-Behnken",E389^2+F389^2+G389^2+H389^2&lt;=2+0.000000001,TRUE()))</f>
        <v>1</v>
      </c>
      <c r="AD389" s="55" t="n">
        <f aca="false">IF(AC389,IF(01_因子設定!$B$13="最大化",AA389-01_因子設定!$B$14,IF(01_因子設定!$B$13="最小化",01_因子設定!$B$15-AB389,MIN(AA389-01_因子設定!$B$14,01_因子設定!$B$15-AB389))),-1E+030)</f>
        <v>-3.98274119447595</v>
      </c>
      <c r="AE389" s="55" t="n">
        <f aca="false">IF(AC389,IF(01_因子設定!$B$13="最大化",X389,IF(01_因子設定!$B$13="最小化",-X389,-ABS(X389-01_因子設定!$B$16))),-1E+030)</f>
        <v>44.0824744152047</v>
      </c>
      <c r="AF389" s="55" t="n">
        <f aca="false">AD389+ROW()*0.000000001</f>
        <v>-3.98274080547595</v>
      </c>
      <c r="AG389" s="55" t="n">
        <f aca="false">AE389+ROW()*0.000000001</f>
        <v>44.0824748042047</v>
      </c>
    </row>
    <row r="390" customFormat="false" ht="15" hidden="false" customHeight="false" outlineLevel="0" collapsed="false">
      <c r="A390" s="0" t="n">
        <v>0</v>
      </c>
      <c r="B390" s="0" t="n">
        <v>4</v>
      </c>
      <c r="C390" s="0" t="n">
        <v>6</v>
      </c>
      <c r="D390" s="0" t="n">
        <v>7</v>
      </c>
      <c r="E390" s="0" t="n">
        <f aca="false">-1+A390*0.25</f>
        <v>-1</v>
      </c>
      <c r="F390" s="0" t="n">
        <f aca="false">-1+B390*0.25</f>
        <v>0</v>
      </c>
      <c r="G390" s="0" t="n">
        <f aca="false">-1+C390*0.25</f>
        <v>0.5</v>
      </c>
      <c r="H390" s="0" t="n">
        <f aca="false">-1+D390*0.25</f>
        <v>0.75</v>
      </c>
      <c r="I390" s="0" t="n">
        <f aca="false">1</f>
        <v>1</v>
      </c>
      <c r="J390" s="0" t="n">
        <f aca="false">E390</f>
        <v>-1</v>
      </c>
      <c r="K390" s="0" t="n">
        <f aca="false">F390</f>
        <v>0</v>
      </c>
      <c r="L390" s="0" t="n">
        <f aca="false">G390</f>
        <v>0.5</v>
      </c>
      <c r="M390" s="0" t="n">
        <f aca="false">H390</f>
        <v>0.75</v>
      </c>
      <c r="N390" s="0" t="n">
        <f aca="false">E390*F390</f>
        <v>-0</v>
      </c>
      <c r="O390" s="0" t="n">
        <f aca="false">E390*G390</f>
        <v>-0.5</v>
      </c>
      <c r="P390" s="0" t="n">
        <f aca="false">E390*H390</f>
        <v>-0.75</v>
      </c>
      <c r="Q390" s="0" t="n">
        <f aca="false">F390*G390</f>
        <v>0</v>
      </c>
      <c r="R390" s="0" t="n">
        <f aca="false">F390*H390</f>
        <v>0</v>
      </c>
      <c r="S390" s="0" t="n">
        <f aca="false">G390*H390</f>
        <v>0.375</v>
      </c>
      <c r="T390" s="0" t="n">
        <f aca="false">E390*E390</f>
        <v>1</v>
      </c>
      <c r="U390" s="0" t="n">
        <f aca="false">F390*F390</f>
        <v>0</v>
      </c>
      <c r="V390" s="0" t="n">
        <f aca="false">G390*G390</f>
        <v>0.25</v>
      </c>
      <c r="W390" s="0" t="n">
        <f aca="false">H390*H390</f>
        <v>0.5625</v>
      </c>
      <c r="X390" s="0" t="n">
        <f aca="false">SUMPRODUCT(I390:W390,_XtX!$B$96:$P$96)</f>
        <v>44.069033260234</v>
      </c>
      <c r="Y390" s="0" t="n">
        <f aca="false">SUMPRODUCT(MMULT(I390:W390,_XtX!$B$78:$P$92),I390:W390)</f>
        <v>0.476191292032164</v>
      </c>
      <c r="Z390" s="0" t="n">
        <f aca="false">04_回帰ANOVA!$K$19*04_回帰ANOVA!$K$14*SQRT(1+Y390)</f>
        <v>1.58368831471718</v>
      </c>
      <c r="AA390" s="0" t="n">
        <f aca="false">X390-Z390</f>
        <v>42.4853449455168</v>
      </c>
      <c r="AB390" s="0" t="n">
        <f aca="false">X390+Z390</f>
        <v>45.6527215749511</v>
      </c>
      <c r="AC390" s="54" t="b">
        <f aca="false">AND(E390&gt;=01_因子設定!$L$5-0.000000001,E390&lt;=01_因子設定!$M$5+0.000000001,F390&gt;=01_因子設定!$L$6-0.000000001,F390&lt;=01_因子設定!$M$6+0.000000001,G390&gt;=01_因子設定!$L$7-0.000000001,G390&lt;=01_因子設定!$M$7+0.000000001,H390&gt;=01_因子設定!$L$8-0.000000001,H390&lt;=01_因子設定!$M$8+0.000000001,IF(01_因子設定!$B$20="Box-Behnken",E390^2+F390^2+G390^2+H390^2&lt;=2+0.000000001,TRUE()))</f>
        <v>1</v>
      </c>
      <c r="AD390" s="55" t="n">
        <f aca="false">IF(AC390,IF(01_因子設定!$B$13="最大化",AA390-01_因子設定!$B$14,IF(01_因子設定!$B$13="最小化",01_因子設定!$B$15-AB390,MIN(AA390-01_因子設定!$B$14,01_因子設定!$B$15-AB390))),-1E+030)</f>
        <v>-4.01465505448321</v>
      </c>
      <c r="AE390" s="55" t="n">
        <f aca="false">IF(AC390,IF(01_因子設定!$B$13="最大化",X390,IF(01_因子設定!$B$13="最小化",-X390,-ABS(X390-01_因子設定!$B$16))),-1E+030)</f>
        <v>44.069033260234</v>
      </c>
      <c r="AF390" s="55" t="n">
        <f aca="false">AD390+ROW()*0.000000001</f>
        <v>-4.01465466448321</v>
      </c>
      <c r="AG390" s="55" t="n">
        <f aca="false">AE390+ROW()*0.000000001</f>
        <v>44.069033650234</v>
      </c>
    </row>
    <row r="391" customFormat="false" ht="15" hidden="false" customHeight="false" outlineLevel="0" collapsed="false">
      <c r="A391" s="0" t="n">
        <v>0</v>
      </c>
      <c r="B391" s="0" t="n">
        <v>4</v>
      </c>
      <c r="C391" s="0" t="n">
        <v>6</v>
      </c>
      <c r="D391" s="0" t="n">
        <v>8</v>
      </c>
      <c r="E391" s="0" t="n">
        <f aca="false">-1+A391*0.25</f>
        <v>-1</v>
      </c>
      <c r="F391" s="0" t="n">
        <f aca="false">-1+B391*0.25</f>
        <v>0</v>
      </c>
      <c r="G391" s="0" t="n">
        <f aca="false">-1+C391*0.25</f>
        <v>0.5</v>
      </c>
      <c r="H391" s="0" t="n">
        <f aca="false">-1+D391*0.25</f>
        <v>1</v>
      </c>
      <c r="I391" s="0" t="n">
        <f aca="false">1</f>
        <v>1</v>
      </c>
      <c r="J391" s="0" t="n">
        <f aca="false">E391</f>
        <v>-1</v>
      </c>
      <c r="K391" s="0" t="n">
        <f aca="false">F391</f>
        <v>0</v>
      </c>
      <c r="L391" s="0" t="n">
        <f aca="false">G391</f>
        <v>0.5</v>
      </c>
      <c r="M391" s="0" t="n">
        <f aca="false">H391</f>
        <v>1</v>
      </c>
      <c r="N391" s="0" t="n">
        <f aca="false">E391*F391</f>
        <v>-0</v>
      </c>
      <c r="O391" s="0" t="n">
        <f aca="false">E391*G391</f>
        <v>-0.5</v>
      </c>
      <c r="P391" s="0" t="n">
        <f aca="false">E391*H391</f>
        <v>-1</v>
      </c>
      <c r="Q391" s="0" t="n">
        <f aca="false">F391*G391</f>
        <v>0</v>
      </c>
      <c r="R391" s="0" t="n">
        <f aca="false">F391*H391</f>
        <v>0</v>
      </c>
      <c r="S391" s="0" t="n">
        <f aca="false">G391*H391</f>
        <v>0.5</v>
      </c>
      <c r="T391" s="0" t="n">
        <f aca="false">E391*E391</f>
        <v>1</v>
      </c>
      <c r="U391" s="0" t="n">
        <f aca="false">F391*F391</f>
        <v>0</v>
      </c>
      <c r="V391" s="0" t="n">
        <f aca="false">G391*G391</f>
        <v>0.25</v>
      </c>
      <c r="W391" s="0" t="n">
        <f aca="false">H391*H391</f>
        <v>1</v>
      </c>
      <c r="X391" s="0" t="n">
        <f aca="false">SUMPRODUCT(I391:W391,_XtX!$B$96:$P$96)</f>
        <v>44.0077850877194</v>
      </c>
      <c r="Y391" s="0" t="n">
        <f aca="false">SUMPRODUCT(MMULT(I391:W391,_XtX!$B$78:$P$92),I391:W391)</f>
        <v>0.650767543859649</v>
      </c>
      <c r="Z391" s="0" t="n">
        <f aca="false">04_回帰ANOVA!$K$19*04_回帰ANOVA!$K$14*SQRT(1+Y391)</f>
        <v>1.67471670935165</v>
      </c>
      <c r="AA391" s="0" t="n">
        <f aca="false">X391-Z391</f>
        <v>42.3330683783677</v>
      </c>
      <c r="AB391" s="0" t="n">
        <f aca="false">X391+Z391</f>
        <v>45.682501797071</v>
      </c>
      <c r="AC391" s="54" t="b">
        <f aca="false">AND(E391&gt;=01_因子設定!$L$5-0.000000001,E391&lt;=01_因子設定!$M$5+0.000000001,F391&gt;=01_因子設定!$L$6-0.000000001,F391&lt;=01_因子設定!$M$6+0.000000001,G391&gt;=01_因子設定!$L$7-0.000000001,G391&lt;=01_因子設定!$M$7+0.000000001,H391&gt;=01_因子設定!$L$8-0.000000001,H391&lt;=01_因子設定!$M$8+0.000000001,IF(01_因子設定!$B$20="Box-Behnken",E391^2+F391^2+G391^2+H391^2&lt;=2+0.000000001,TRUE()))</f>
        <v>1</v>
      </c>
      <c r="AD391" s="55" t="n">
        <f aca="false">IF(AC391,IF(01_因子設定!$B$13="最大化",AA391-01_因子設定!$B$14,IF(01_因子設定!$B$13="最小化",01_因子設定!$B$15-AB391,MIN(AA391-01_因子設定!$B$14,01_因子設定!$B$15-AB391))),-1E+030)</f>
        <v>-4.16693162163229</v>
      </c>
      <c r="AE391" s="55" t="n">
        <f aca="false">IF(AC391,IF(01_因子設定!$B$13="最大化",X391,IF(01_因子設定!$B$13="最小化",-X391,-ABS(X391-01_因子設定!$B$16))),-1E+030)</f>
        <v>44.0077850877194</v>
      </c>
      <c r="AF391" s="55" t="n">
        <f aca="false">AD391+ROW()*0.000000001</f>
        <v>-4.16693123063229</v>
      </c>
      <c r="AG391" s="55" t="n">
        <f aca="false">AE391+ROW()*0.000000001</f>
        <v>44.0077854787194</v>
      </c>
    </row>
    <row r="392" customFormat="false" ht="15" hidden="false" customHeight="false" outlineLevel="0" collapsed="false">
      <c r="A392" s="0" t="n">
        <v>0</v>
      </c>
      <c r="B392" s="0" t="n">
        <v>4</v>
      </c>
      <c r="C392" s="0" t="n">
        <v>7</v>
      </c>
      <c r="D392" s="0" t="n">
        <v>0</v>
      </c>
      <c r="E392" s="0" t="n">
        <f aca="false">-1+A392*0.25</f>
        <v>-1</v>
      </c>
      <c r="F392" s="0" t="n">
        <f aca="false">-1+B392*0.25</f>
        <v>0</v>
      </c>
      <c r="G392" s="0" t="n">
        <f aca="false">-1+C392*0.25</f>
        <v>0.75</v>
      </c>
      <c r="H392" s="0" t="n">
        <f aca="false">-1+D392*0.25</f>
        <v>-1</v>
      </c>
      <c r="I392" s="0" t="n">
        <f aca="false">1</f>
        <v>1</v>
      </c>
      <c r="J392" s="0" t="n">
        <f aca="false">E392</f>
        <v>-1</v>
      </c>
      <c r="K392" s="0" t="n">
        <f aca="false">F392</f>
        <v>0</v>
      </c>
      <c r="L392" s="0" t="n">
        <f aca="false">G392</f>
        <v>0.75</v>
      </c>
      <c r="M392" s="0" t="n">
        <f aca="false">H392</f>
        <v>-1</v>
      </c>
      <c r="N392" s="0" t="n">
        <f aca="false">E392*F392</f>
        <v>-0</v>
      </c>
      <c r="O392" s="0" t="n">
        <f aca="false">E392*G392</f>
        <v>-0.75</v>
      </c>
      <c r="P392" s="0" t="n">
        <f aca="false">E392*H392</f>
        <v>1</v>
      </c>
      <c r="Q392" s="0" t="n">
        <f aca="false">F392*G392</f>
        <v>0</v>
      </c>
      <c r="R392" s="0" t="n">
        <f aca="false">F392*H392</f>
        <v>-0</v>
      </c>
      <c r="S392" s="0" t="n">
        <f aca="false">G392*H392</f>
        <v>-0.75</v>
      </c>
      <c r="T392" s="0" t="n">
        <f aca="false">E392*E392</f>
        <v>1</v>
      </c>
      <c r="U392" s="0" t="n">
        <f aca="false">F392*F392</f>
        <v>0</v>
      </c>
      <c r="V392" s="0" t="n">
        <f aca="false">G392*G392</f>
        <v>0.5625</v>
      </c>
      <c r="W392" s="0" t="n">
        <f aca="false">H392*H392</f>
        <v>1</v>
      </c>
      <c r="X392" s="0" t="n">
        <f aca="false">SUMPRODUCT(I392:W392,_XtX!$B$96:$P$96)</f>
        <v>43.2823647660819</v>
      </c>
      <c r="Y392" s="0" t="n">
        <f aca="false">SUMPRODUCT(MMULT(I392:W392,_XtX!$B$78:$P$92),I392:W392)</f>
        <v>0.646198830409357</v>
      </c>
      <c r="Z392" s="0" t="n">
        <f aca="false">04_回帰ANOVA!$K$19*04_回帰ANOVA!$K$14*SQRT(1+Y392)</f>
        <v>1.67239760569756</v>
      </c>
      <c r="AA392" s="0" t="n">
        <f aca="false">X392-Z392</f>
        <v>41.6099671603844</v>
      </c>
      <c r="AB392" s="0" t="n">
        <f aca="false">X392+Z392</f>
        <v>44.9547623717795</v>
      </c>
      <c r="AC392" s="54" t="b">
        <f aca="false">AND(E392&gt;=01_因子設定!$L$5-0.000000001,E392&lt;=01_因子設定!$M$5+0.000000001,F392&gt;=01_因子設定!$L$6-0.000000001,F392&lt;=01_因子設定!$M$6+0.000000001,G392&gt;=01_因子設定!$L$7-0.000000001,G392&lt;=01_因子設定!$M$7+0.000000001,H392&gt;=01_因子設定!$L$8-0.000000001,H392&lt;=01_因子設定!$M$8+0.000000001,IF(01_因子設定!$B$20="Box-Behnken",E392^2+F392^2+G392^2+H392^2&lt;=2+0.000000001,TRUE()))</f>
        <v>1</v>
      </c>
      <c r="AD392" s="55" t="n">
        <f aca="false">IF(AC392,IF(01_因子設定!$B$13="最大化",AA392-01_因子設定!$B$14,IF(01_因子設定!$B$13="最小化",01_因子設定!$B$15-AB392,MIN(AA392-01_因子設定!$B$14,01_因子設定!$B$15-AB392))),-1E+030)</f>
        <v>-4.89003283961561</v>
      </c>
      <c r="AE392" s="55" t="n">
        <f aca="false">IF(AC392,IF(01_因子設定!$B$13="最大化",X392,IF(01_因子設定!$B$13="最小化",-X392,-ABS(X392-01_因子設定!$B$16))),-1E+030)</f>
        <v>43.2823647660819</v>
      </c>
      <c r="AF392" s="55" t="n">
        <f aca="false">AD392+ROW()*0.000000001</f>
        <v>-4.89003244761561</v>
      </c>
      <c r="AG392" s="55" t="n">
        <f aca="false">AE392+ROW()*0.000000001</f>
        <v>43.2823651580819</v>
      </c>
    </row>
    <row r="393" customFormat="false" ht="15" hidden="false" customHeight="false" outlineLevel="0" collapsed="false">
      <c r="A393" s="0" t="n">
        <v>0</v>
      </c>
      <c r="B393" s="0" t="n">
        <v>4</v>
      </c>
      <c r="C393" s="0" t="n">
        <v>7</v>
      </c>
      <c r="D393" s="0" t="n">
        <v>1</v>
      </c>
      <c r="E393" s="0" t="n">
        <f aca="false">-1+A393*0.25</f>
        <v>-1</v>
      </c>
      <c r="F393" s="0" t="n">
        <f aca="false">-1+B393*0.25</f>
        <v>0</v>
      </c>
      <c r="G393" s="0" t="n">
        <f aca="false">-1+C393*0.25</f>
        <v>0.75</v>
      </c>
      <c r="H393" s="0" t="n">
        <f aca="false">-1+D393*0.25</f>
        <v>-0.75</v>
      </c>
      <c r="I393" s="0" t="n">
        <f aca="false">1</f>
        <v>1</v>
      </c>
      <c r="J393" s="0" t="n">
        <f aca="false">E393</f>
        <v>-1</v>
      </c>
      <c r="K393" s="0" t="n">
        <f aca="false">F393</f>
        <v>0</v>
      </c>
      <c r="L393" s="0" t="n">
        <f aca="false">G393</f>
        <v>0.75</v>
      </c>
      <c r="M393" s="0" t="n">
        <f aca="false">H393</f>
        <v>-0.75</v>
      </c>
      <c r="N393" s="0" t="n">
        <f aca="false">E393*F393</f>
        <v>-0</v>
      </c>
      <c r="O393" s="0" t="n">
        <f aca="false">E393*G393</f>
        <v>-0.75</v>
      </c>
      <c r="P393" s="0" t="n">
        <f aca="false">E393*H393</f>
        <v>0.75</v>
      </c>
      <c r="Q393" s="0" t="n">
        <f aca="false">F393*G393</f>
        <v>0</v>
      </c>
      <c r="R393" s="0" t="n">
        <f aca="false">F393*H393</f>
        <v>-0</v>
      </c>
      <c r="S393" s="0" t="n">
        <f aca="false">G393*H393</f>
        <v>-0.5625</v>
      </c>
      <c r="T393" s="0" t="n">
        <f aca="false">E393*E393</f>
        <v>1</v>
      </c>
      <c r="U393" s="0" t="n">
        <f aca="false">F393*F393</f>
        <v>0</v>
      </c>
      <c r="V393" s="0" t="n">
        <f aca="false">G393*G393</f>
        <v>0.5625</v>
      </c>
      <c r="W393" s="0" t="n">
        <f aca="false">H393*H393</f>
        <v>0.5625</v>
      </c>
      <c r="X393" s="0" t="n">
        <f aca="false">SUMPRODUCT(I393:W393,_XtX!$B$96:$P$96)</f>
        <v>43.5737344663743</v>
      </c>
      <c r="Y393" s="0" t="n">
        <f aca="false">SUMPRODUCT(MMULT(I393:W393,_XtX!$B$78:$P$92),I393:W393)</f>
        <v>0.494259126005117</v>
      </c>
      <c r="Z393" s="0" t="n">
        <f aca="false">04_回帰ANOVA!$K$19*04_回帰ANOVA!$K$14*SQRT(1+Y393)</f>
        <v>1.59335061078203</v>
      </c>
      <c r="AA393" s="0" t="n">
        <f aca="false">X393-Z393</f>
        <v>41.9803838555923</v>
      </c>
      <c r="AB393" s="0" t="n">
        <f aca="false">X393+Z393</f>
        <v>45.1670850771563</v>
      </c>
      <c r="AC393" s="54" t="b">
        <f aca="false">AND(E393&gt;=01_因子設定!$L$5-0.000000001,E393&lt;=01_因子設定!$M$5+0.000000001,F393&gt;=01_因子設定!$L$6-0.000000001,F393&lt;=01_因子設定!$M$6+0.000000001,G393&gt;=01_因子設定!$L$7-0.000000001,G393&lt;=01_因子設定!$M$7+0.000000001,H393&gt;=01_因子設定!$L$8-0.000000001,H393&lt;=01_因子設定!$M$8+0.000000001,IF(01_因子設定!$B$20="Box-Behnken",E393^2+F393^2+G393^2+H393^2&lt;=2+0.000000001,TRUE()))</f>
        <v>1</v>
      </c>
      <c r="AD393" s="55" t="n">
        <f aca="false">IF(AC393,IF(01_因子設定!$B$13="最大化",AA393-01_因子設定!$B$14,IF(01_因子設定!$B$13="最小化",01_因子設定!$B$15-AB393,MIN(AA393-01_因子設定!$B$14,01_因子設定!$B$15-AB393))),-1E+030)</f>
        <v>-4.51961614440771</v>
      </c>
      <c r="AE393" s="55" t="n">
        <f aca="false">IF(AC393,IF(01_因子設定!$B$13="最大化",X393,IF(01_因子設定!$B$13="最小化",-X393,-ABS(X393-01_因子設定!$B$16))),-1E+030)</f>
        <v>43.5737344663743</v>
      </c>
      <c r="AF393" s="55" t="n">
        <f aca="false">AD393+ROW()*0.000000001</f>
        <v>-4.51961575140771</v>
      </c>
      <c r="AG393" s="55" t="n">
        <f aca="false">AE393+ROW()*0.000000001</f>
        <v>43.5737348593743</v>
      </c>
    </row>
    <row r="394" customFormat="false" ht="15" hidden="false" customHeight="false" outlineLevel="0" collapsed="false">
      <c r="A394" s="0" t="n">
        <v>0</v>
      </c>
      <c r="B394" s="0" t="n">
        <v>4</v>
      </c>
      <c r="C394" s="0" t="n">
        <v>7</v>
      </c>
      <c r="D394" s="0" t="n">
        <v>2</v>
      </c>
      <c r="E394" s="0" t="n">
        <f aca="false">-1+A394*0.25</f>
        <v>-1</v>
      </c>
      <c r="F394" s="0" t="n">
        <f aca="false">-1+B394*0.25</f>
        <v>0</v>
      </c>
      <c r="G394" s="0" t="n">
        <f aca="false">-1+C394*0.25</f>
        <v>0.75</v>
      </c>
      <c r="H394" s="0" t="n">
        <f aca="false">-1+D394*0.25</f>
        <v>-0.5</v>
      </c>
      <c r="I394" s="0" t="n">
        <f aca="false">1</f>
        <v>1</v>
      </c>
      <c r="J394" s="0" t="n">
        <f aca="false">E394</f>
        <v>-1</v>
      </c>
      <c r="K394" s="0" t="n">
        <f aca="false">F394</f>
        <v>0</v>
      </c>
      <c r="L394" s="0" t="n">
        <f aca="false">G394</f>
        <v>0.75</v>
      </c>
      <c r="M394" s="0" t="n">
        <f aca="false">H394</f>
        <v>-0.5</v>
      </c>
      <c r="N394" s="0" t="n">
        <f aca="false">E394*F394</f>
        <v>-0</v>
      </c>
      <c r="O394" s="0" t="n">
        <f aca="false">E394*G394</f>
        <v>-0.75</v>
      </c>
      <c r="P394" s="0" t="n">
        <f aca="false">E394*H394</f>
        <v>0.5</v>
      </c>
      <c r="Q394" s="0" t="n">
        <f aca="false">F394*G394</f>
        <v>0</v>
      </c>
      <c r="R394" s="0" t="n">
        <f aca="false">F394*H394</f>
        <v>-0</v>
      </c>
      <c r="S394" s="0" t="n">
        <f aca="false">G394*H394</f>
        <v>-0.375</v>
      </c>
      <c r="T394" s="0" t="n">
        <f aca="false">E394*E394</f>
        <v>1</v>
      </c>
      <c r="U394" s="0" t="n">
        <f aca="false">F394*F394</f>
        <v>0</v>
      </c>
      <c r="V394" s="0" t="n">
        <f aca="false">G394*G394</f>
        <v>0.5625</v>
      </c>
      <c r="W394" s="0" t="n">
        <f aca="false">H394*H394</f>
        <v>0.25</v>
      </c>
      <c r="X394" s="0" t="n">
        <f aca="false">SUMPRODUCT(I394:W394,_XtX!$B$96:$P$96)</f>
        <v>43.8172971491228</v>
      </c>
      <c r="Y394" s="0" t="n">
        <f aca="false">SUMPRODUCT(MMULT(I394:W394,_XtX!$B$78:$P$92),I394:W394)</f>
        <v>0.476191292032164</v>
      </c>
      <c r="Z394" s="0" t="n">
        <f aca="false">04_回帰ANOVA!$K$19*04_回帰ANOVA!$K$14*SQRT(1+Y394)</f>
        <v>1.58368831471718</v>
      </c>
      <c r="AA394" s="0" t="n">
        <f aca="false">X394-Z394</f>
        <v>42.2336088344057</v>
      </c>
      <c r="AB394" s="0" t="n">
        <f aca="false">X394+Z394</f>
        <v>45.40098546384</v>
      </c>
      <c r="AC394" s="54" t="b">
        <f aca="false">AND(E394&gt;=01_因子設定!$L$5-0.000000001,E394&lt;=01_因子設定!$M$5+0.000000001,F394&gt;=01_因子設定!$L$6-0.000000001,F394&lt;=01_因子設定!$M$6+0.000000001,G394&gt;=01_因子設定!$L$7-0.000000001,G394&lt;=01_因子設定!$M$7+0.000000001,H394&gt;=01_因子設定!$L$8-0.000000001,H394&lt;=01_因子設定!$M$8+0.000000001,IF(01_因子設定!$B$20="Box-Behnken",E394^2+F394^2+G394^2+H394^2&lt;=2+0.000000001,TRUE()))</f>
        <v>1</v>
      </c>
      <c r="AD394" s="55" t="n">
        <f aca="false">IF(AC394,IF(01_因子設定!$B$13="最大化",AA394-01_因子設定!$B$14,IF(01_因子設定!$B$13="最小化",01_因子設定!$B$15-AB394,MIN(AA394-01_因子設定!$B$14,01_因子設定!$B$15-AB394))),-1E+030)</f>
        <v>-4.26639116559434</v>
      </c>
      <c r="AE394" s="55" t="n">
        <f aca="false">IF(AC394,IF(01_因子設定!$B$13="最大化",X394,IF(01_因子設定!$B$13="最小化",-X394,-ABS(X394-01_因子設定!$B$16))),-1E+030)</f>
        <v>43.8172971491228</v>
      </c>
      <c r="AF394" s="55" t="n">
        <f aca="false">AD394+ROW()*0.000000001</f>
        <v>-4.26639077159434</v>
      </c>
      <c r="AG394" s="55" t="n">
        <f aca="false">AE394+ROW()*0.000000001</f>
        <v>43.8172975431228</v>
      </c>
    </row>
    <row r="395" customFormat="false" ht="15" hidden="false" customHeight="false" outlineLevel="0" collapsed="false">
      <c r="A395" s="0" t="n">
        <v>0</v>
      </c>
      <c r="B395" s="0" t="n">
        <v>4</v>
      </c>
      <c r="C395" s="0" t="n">
        <v>7</v>
      </c>
      <c r="D395" s="0" t="n">
        <v>3</v>
      </c>
      <c r="E395" s="0" t="n">
        <f aca="false">-1+A395*0.25</f>
        <v>-1</v>
      </c>
      <c r="F395" s="0" t="n">
        <f aca="false">-1+B395*0.25</f>
        <v>0</v>
      </c>
      <c r="G395" s="0" t="n">
        <f aca="false">-1+C395*0.25</f>
        <v>0.75</v>
      </c>
      <c r="H395" s="0" t="n">
        <f aca="false">-1+D395*0.25</f>
        <v>-0.25</v>
      </c>
      <c r="I395" s="0" t="n">
        <f aca="false">1</f>
        <v>1</v>
      </c>
      <c r="J395" s="0" t="n">
        <f aca="false">E395</f>
        <v>-1</v>
      </c>
      <c r="K395" s="0" t="n">
        <f aca="false">F395</f>
        <v>0</v>
      </c>
      <c r="L395" s="0" t="n">
        <f aca="false">G395</f>
        <v>0.75</v>
      </c>
      <c r="M395" s="0" t="n">
        <f aca="false">H395</f>
        <v>-0.25</v>
      </c>
      <c r="N395" s="0" t="n">
        <f aca="false">E395*F395</f>
        <v>-0</v>
      </c>
      <c r="O395" s="0" t="n">
        <f aca="false">E395*G395</f>
        <v>-0.75</v>
      </c>
      <c r="P395" s="0" t="n">
        <f aca="false">E395*H395</f>
        <v>0.25</v>
      </c>
      <c r="Q395" s="0" t="n">
        <f aca="false">F395*G395</f>
        <v>0</v>
      </c>
      <c r="R395" s="0" t="n">
        <f aca="false">F395*H395</f>
        <v>-0</v>
      </c>
      <c r="S395" s="0" t="n">
        <f aca="false">G395*H395</f>
        <v>-0.1875</v>
      </c>
      <c r="T395" s="0" t="n">
        <f aca="false">E395*E395</f>
        <v>1</v>
      </c>
      <c r="U395" s="0" t="n">
        <f aca="false">F395*F395</f>
        <v>0</v>
      </c>
      <c r="V395" s="0" t="n">
        <f aca="false">G395*G395</f>
        <v>0.5625</v>
      </c>
      <c r="W395" s="0" t="n">
        <f aca="false">H395*H395</f>
        <v>0.0625</v>
      </c>
      <c r="X395" s="0" t="n">
        <f aca="false">SUMPRODUCT(I395:W395,_XtX!$B$96:$P$96)</f>
        <v>44.0130528143275</v>
      </c>
      <c r="Y395" s="0" t="n">
        <f aca="false">SUMPRODUCT(MMULT(I395:W395,_XtX!$B$78:$P$92),I395:W395)</f>
        <v>0.501534802174708</v>
      </c>
      <c r="Z395" s="0" t="n">
        <f aca="false">04_回帰ANOVA!$K$19*04_回帰ANOVA!$K$14*SQRT(1+Y395)</f>
        <v>1.59722498091333</v>
      </c>
      <c r="AA395" s="0" t="n">
        <f aca="false">X395-Z395</f>
        <v>42.4158278334142</v>
      </c>
      <c r="AB395" s="0" t="n">
        <f aca="false">X395+Z395</f>
        <v>45.6102777952409</v>
      </c>
      <c r="AC395" s="54" t="b">
        <f aca="false">AND(E395&gt;=01_因子設定!$L$5-0.000000001,E395&lt;=01_因子設定!$M$5+0.000000001,F395&gt;=01_因子設定!$L$6-0.000000001,F395&lt;=01_因子設定!$M$6+0.000000001,G395&gt;=01_因子設定!$L$7-0.000000001,G395&lt;=01_因子設定!$M$7+0.000000001,H395&gt;=01_因子設定!$L$8-0.000000001,H395&lt;=01_因子設定!$M$8+0.000000001,IF(01_因子設定!$B$20="Box-Behnken",E395^2+F395^2+G395^2+H395^2&lt;=2+0.000000001,TRUE()))</f>
        <v>1</v>
      </c>
      <c r="AD395" s="55" t="n">
        <f aca="false">IF(AC395,IF(01_因子設定!$B$13="最大化",AA395-01_因子設定!$B$14,IF(01_因子設定!$B$13="最小化",01_因子設定!$B$15-AB395,MIN(AA395-01_因子設定!$B$14,01_因子設定!$B$15-AB395))),-1E+030)</f>
        <v>-4.08417216658582</v>
      </c>
      <c r="AE395" s="55" t="n">
        <f aca="false">IF(AC395,IF(01_因子設定!$B$13="最大化",X395,IF(01_因子設定!$B$13="最小化",-X395,-ABS(X395-01_因子設定!$B$16))),-1E+030)</f>
        <v>44.0130528143275</v>
      </c>
      <c r="AF395" s="55" t="n">
        <f aca="false">AD395+ROW()*0.000000001</f>
        <v>-4.08417177158582</v>
      </c>
      <c r="AG395" s="55" t="n">
        <f aca="false">AE395+ROW()*0.000000001</f>
        <v>44.0130532093275</v>
      </c>
    </row>
    <row r="396" customFormat="false" ht="15" hidden="false" customHeight="false" outlineLevel="0" collapsed="false">
      <c r="A396" s="0" t="n">
        <v>0</v>
      </c>
      <c r="B396" s="0" t="n">
        <v>4</v>
      </c>
      <c r="C396" s="0" t="n">
        <v>7</v>
      </c>
      <c r="D396" s="0" t="n">
        <v>4</v>
      </c>
      <c r="E396" s="0" t="n">
        <f aca="false">-1+A396*0.25</f>
        <v>-1</v>
      </c>
      <c r="F396" s="0" t="n">
        <f aca="false">-1+B396*0.25</f>
        <v>0</v>
      </c>
      <c r="G396" s="0" t="n">
        <f aca="false">-1+C396*0.25</f>
        <v>0.75</v>
      </c>
      <c r="H396" s="0" t="n">
        <f aca="false">-1+D396*0.25</f>
        <v>0</v>
      </c>
      <c r="I396" s="0" t="n">
        <f aca="false">1</f>
        <v>1</v>
      </c>
      <c r="J396" s="0" t="n">
        <f aca="false">E396</f>
        <v>-1</v>
      </c>
      <c r="K396" s="0" t="n">
        <f aca="false">F396</f>
        <v>0</v>
      </c>
      <c r="L396" s="0" t="n">
        <f aca="false">G396</f>
        <v>0.75</v>
      </c>
      <c r="M396" s="0" t="n">
        <f aca="false">H396</f>
        <v>0</v>
      </c>
      <c r="N396" s="0" t="n">
        <f aca="false">E396*F396</f>
        <v>-0</v>
      </c>
      <c r="O396" s="0" t="n">
        <f aca="false">E396*G396</f>
        <v>-0.75</v>
      </c>
      <c r="P396" s="0" t="n">
        <f aca="false">E396*H396</f>
        <v>-0</v>
      </c>
      <c r="Q396" s="0" t="n">
        <f aca="false">F396*G396</f>
        <v>0</v>
      </c>
      <c r="R396" s="0" t="n">
        <f aca="false">F396*H396</f>
        <v>0</v>
      </c>
      <c r="S396" s="0" t="n">
        <f aca="false">G396*H396</f>
        <v>0</v>
      </c>
      <c r="T396" s="0" t="n">
        <f aca="false">E396*E396</f>
        <v>1</v>
      </c>
      <c r="U396" s="0" t="n">
        <f aca="false">F396*F396</f>
        <v>0</v>
      </c>
      <c r="V396" s="0" t="n">
        <f aca="false">G396*G396</f>
        <v>0.5625</v>
      </c>
      <c r="W396" s="0" t="n">
        <f aca="false">H396*H396</f>
        <v>0</v>
      </c>
      <c r="X396" s="0" t="n">
        <f aca="false">SUMPRODUCT(I396:W396,_XtX!$B$96:$P$96)</f>
        <v>44.1610014619883</v>
      </c>
      <c r="Y396" s="0" t="n">
        <f aca="false">SUMPRODUCT(MMULT(I396:W396,_XtX!$B$78:$P$92),I396:W396)</f>
        <v>0.516013340643275</v>
      </c>
      <c r="Z396" s="0" t="n">
        <f aca="false">04_回帰ANOVA!$K$19*04_回帰ANOVA!$K$14*SQRT(1+Y396)</f>
        <v>1.60490712175667</v>
      </c>
      <c r="AA396" s="0" t="n">
        <f aca="false">X396-Z396</f>
        <v>42.5560943402317</v>
      </c>
      <c r="AB396" s="0" t="n">
        <f aca="false">X396+Z396</f>
        <v>45.765908583745</v>
      </c>
      <c r="AC396" s="54" t="b">
        <f aca="false">AND(E396&gt;=01_因子設定!$L$5-0.000000001,E396&lt;=01_因子設定!$M$5+0.000000001,F396&gt;=01_因子設定!$L$6-0.000000001,F396&lt;=01_因子設定!$M$6+0.000000001,G396&gt;=01_因子設定!$L$7-0.000000001,G396&lt;=01_因子設定!$M$7+0.000000001,H396&gt;=01_因子設定!$L$8-0.000000001,H396&lt;=01_因子設定!$M$8+0.000000001,IF(01_因子設定!$B$20="Box-Behnken",E396^2+F396^2+G396^2+H396^2&lt;=2+0.000000001,TRUE()))</f>
        <v>1</v>
      </c>
      <c r="AD396" s="55" t="n">
        <f aca="false">IF(AC396,IF(01_因子設定!$B$13="最大化",AA396-01_因子設定!$B$14,IF(01_因子設定!$B$13="最小化",01_因子設定!$B$15-AB396,MIN(AA396-01_因子設定!$B$14,01_因子設定!$B$15-AB396))),-1E+030)</f>
        <v>-3.94390565976833</v>
      </c>
      <c r="AE396" s="55" t="n">
        <f aca="false">IF(AC396,IF(01_因子設定!$B$13="最大化",X396,IF(01_因子設定!$B$13="最小化",-X396,-ABS(X396-01_因子設定!$B$16))),-1E+030)</f>
        <v>44.1610014619883</v>
      </c>
      <c r="AF396" s="55" t="n">
        <f aca="false">AD396+ROW()*0.000000001</f>
        <v>-3.94390526376833</v>
      </c>
      <c r="AG396" s="55" t="n">
        <f aca="false">AE396+ROW()*0.000000001</f>
        <v>44.1610018579883</v>
      </c>
    </row>
    <row r="397" customFormat="false" ht="15" hidden="false" customHeight="false" outlineLevel="0" collapsed="false">
      <c r="A397" s="0" t="n">
        <v>0</v>
      </c>
      <c r="B397" s="0" t="n">
        <v>4</v>
      </c>
      <c r="C397" s="0" t="n">
        <v>7</v>
      </c>
      <c r="D397" s="0" t="n">
        <v>5</v>
      </c>
      <c r="E397" s="0" t="n">
        <f aca="false">-1+A397*0.25</f>
        <v>-1</v>
      </c>
      <c r="F397" s="0" t="n">
        <f aca="false">-1+B397*0.25</f>
        <v>0</v>
      </c>
      <c r="G397" s="0" t="n">
        <f aca="false">-1+C397*0.25</f>
        <v>0.75</v>
      </c>
      <c r="H397" s="0" t="n">
        <f aca="false">-1+D397*0.25</f>
        <v>0.25</v>
      </c>
      <c r="I397" s="0" t="n">
        <f aca="false">1</f>
        <v>1</v>
      </c>
      <c r="J397" s="0" t="n">
        <f aca="false">E397</f>
        <v>-1</v>
      </c>
      <c r="K397" s="0" t="n">
        <f aca="false">F397</f>
        <v>0</v>
      </c>
      <c r="L397" s="0" t="n">
        <f aca="false">G397</f>
        <v>0.75</v>
      </c>
      <c r="M397" s="0" t="n">
        <f aca="false">H397</f>
        <v>0.25</v>
      </c>
      <c r="N397" s="0" t="n">
        <f aca="false">E397*F397</f>
        <v>-0</v>
      </c>
      <c r="O397" s="0" t="n">
        <f aca="false">E397*G397</f>
        <v>-0.75</v>
      </c>
      <c r="P397" s="0" t="n">
        <f aca="false">E397*H397</f>
        <v>-0.25</v>
      </c>
      <c r="Q397" s="0" t="n">
        <f aca="false">F397*G397</f>
        <v>0</v>
      </c>
      <c r="R397" s="0" t="n">
        <f aca="false">F397*H397</f>
        <v>0</v>
      </c>
      <c r="S397" s="0" t="n">
        <f aca="false">G397*H397</f>
        <v>0.1875</v>
      </c>
      <c r="T397" s="0" t="n">
        <f aca="false">E397*E397</f>
        <v>1</v>
      </c>
      <c r="U397" s="0" t="n">
        <f aca="false">F397*F397</f>
        <v>0</v>
      </c>
      <c r="V397" s="0" t="n">
        <f aca="false">G397*G397</f>
        <v>0.5625</v>
      </c>
      <c r="W397" s="0" t="n">
        <f aca="false">H397*H397</f>
        <v>0.0625</v>
      </c>
      <c r="X397" s="0" t="n">
        <f aca="false">SUMPRODUCT(I397:W397,_XtX!$B$96:$P$96)</f>
        <v>44.2611430921053</v>
      </c>
      <c r="Y397" s="0" t="n">
        <f aca="false">SUMPRODUCT(MMULT(I397:W397,_XtX!$B$78:$P$92),I397:W397)</f>
        <v>0.501534802174708</v>
      </c>
      <c r="Z397" s="0" t="n">
        <f aca="false">04_回帰ANOVA!$K$19*04_回帰ANOVA!$K$14*SQRT(1+Y397)</f>
        <v>1.59722498091333</v>
      </c>
      <c r="AA397" s="0" t="n">
        <f aca="false">X397-Z397</f>
        <v>42.663918111192</v>
      </c>
      <c r="AB397" s="0" t="n">
        <f aca="false">X397+Z397</f>
        <v>45.8583680730186</v>
      </c>
      <c r="AC397" s="54" t="b">
        <f aca="false">AND(E397&gt;=01_因子設定!$L$5-0.000000001,E397&lt;=01_因子設定!$M$5+0.000000001,F397&gt;=01_因子設定!$L$6-0.000000001,F397&lt;=01_因子設定!$M$6+0.000000001,G397&gt;=01_因子設定!$L$7-0.000000001,G397&lt;=01_因子設定!$M$7+0.000000001,H397&gt;=01_因子設定!$L$8-0.000000001,H397&lt;=01_因子設定!$M$8+0.000000001,IF(01_因子設定!$B$20="Box-Behnken",E397^2+F397^2+G397^2+H397^2&lt;=2+0.000000001,TRUE()))</f>
        <v>1</v>
      </c>
      <c r="AD397" s="55" t="n">
        <f aca="false">IF(AC397,IF(01_因子設定!$B$13="最大化",AA397-01_因子設定!$B$14,IF(01_因子設定!$B$13="最小化",01_因子設定!$B$15-AB397,MIN(AA397-01_因子設定!$B$14,01_因子設定!$B$15-AB397))),-1E+030)</f>
        <v>-3.83608188880804</v>
      </c>
      <c r="AE397" s="55" t="n">
        <f aca="false">IF(AC397,IF(01_因子設定!$B$13="最大化",X397,IF(01_因子設定!$B$13="最小化",-X397,-ABS(X397-01_因子設定!$B$16))),-1E+030)</f>
        <v>44.2611430921053</v>
      </c>
      <c r="AF397" s="55" t="n">
        <f aca="false">AD397+ROW()*0.000000001</f>
        <v>-3.83608149180804</v>
      </c>
      <c r="AG397" s="55" t="n">
        <f aca="false">AE397+ROW()*0.000000001</f>
        <v>44.2611434891053</v>
      </c>
    </row>
    <row r="398" customFormat="false" ht="15" hidden="false" customHeight="false" outlineLevel="0" collapsed="false">
      <c r="A398" s="0" t="n">
        <v>0</v>
      </c>
      <c r="B398" s="0" t="n">
        <v>4</v>
      </c>
      <c r="C398" s="0" t="n">
        <v>7</v>
      </c>
      <c r="D398" s="0" t="n">
        <v>6</v>
      </c>
      <c r="E398" s="0" t="n">
        <f aca="false">-1+A398*0.25</f>
        <v>-1</v>
      </c>
      <c r="F398" s="0" t="n">
        <f aca="false">-1+B398*0.25</f>
        <v>0</v>
      </c>
      <c r="G398" s="0" t="n">
        <f aca="false">-1+C398*0.25</f>
        <v>0.75</v>
      </c>
      <c r="H398" s="0" t="n">
        <f aca="false">-1+D398*0.25</f>
        <v>0.5</v>
      </c>
      <c r="I398" s="0" t="n">
        <f aca="false">1</f>
        <v>1</v>
      </c>
      <c r="J398" s="0" t="n">
        <f aca="false">E398</f>
        <v>-1</v>
      </c>
      <c r="K398" s="0" t="n">
        <f aca="false">F398</f>
        <v>0</v>
      </c>
      <c r="L398" s="0" t="n">
        <f aca="false">G398</f>
        <v>0.75</v>
      </c>
      <c r="M398" s="0" t="n">
        <f aca="false">H398</f>
        <v>0.5</v>
      </c>
      <c r="N398" s="0" t="n">
        <f aca="false">E398*F398</f>
        <v>-0</v>
      </c>
      <c r="O398" s="0" t="n">
        <f aca="false">E398*G398</f>
        <v>-0.75</v>
      </c>
      <c r="P398" s="0" t="n">
        <f aca="false">E398*H398</f>
        <v>-0.5</v>
      </c>
      <c r="Q398" s="0" t="n">
        <f aca="false">F398*G398</f>
        <v>0</v>
      </c>
      <c r="R398" s="0" t="n">
        <f aca="false">F398*H398</f>
        <v>0</v>
      </c>
      <c r="S398" s="0" t="n">
        <f aca="false">G398*H398</f>
        <v>0.375</v>
      </c>
      <c r="T398" s="0" t="n">
        <f aca="false">E398*E398</f>
        <v>1</v>
      </c>
      <c r="U398" s="0" t="n">
        <f aca="false">F398*F398</f>
        <v>0</v>
      </c>
      <c r="V398" s="0" t="n">
        <f aca="false">G398*G398</f>
        <v>0.5625</v>
      </c>
      <c r="W398" s="0" t="n">
        <f aca="false">H398*H398</f>
        <v>0.25</v>
      </c>
      <c r="X398" s="0" t="n">
        <f aca="false">SUMPRODUCT(I398:W398,_XtX!$B$96:$P$96)</f>
        <v>44.3134777046784</v>
      </c>
      <c r="Y398" s="0" t="n">
        <f aca="false">SUMPRODUCT(MMULT(I398:W398,_XtX!$B$78:$P$92),I398:W398)</f>
        <v>0.476191292032164</v>
      </c>
      <c r="Z398" s="0" t="n">
        <f aca="false">04_回帰ANOVA!$K$19*04_回帰ANOVA!$K$14*SQRT(1+Y398)</f>
        <v>1.58368831471718</v>
      </c>
      <c r="AA398" s="0" t="n">
        <f aca="false">X398-Z398</f>
        <v>42.7297893899612</v>
      </c>
      <c r="AB398" s="0" t="n">
        <f aca="false">X398+Z398</f>
        <v>45.8971660193956</v>
      </c>
      <c r="AC398" s="54" t="b">
        <f aca="false">AND(E398&gt;=01_因子設定!$L$5-0.000000001,E398&lt;=01_因子設定!$M$5+0.000000001,F398&gt;=01_因子設定!$L$6-0.000000001,F398&lt;=01_因子設定!$M$6+0.000000001,G398&gt;=01_因子設定!$L$7-0.000000001,G398&lt;=01_因子設定!$M$7+0.000000001,H398&gt;=01_因子設定!$L$8-0.000000001,H398&lt;=01_因子設定!$M$8+0.000000001,IF(01_因子設定!$B$20="Box-Behnken",E398^2+F398^2+G398^2+H398^2&lt;=2+0.000000001,TRUE()))</f>
        <v>1</v>
      </c>
      <c r="AD398" s="55" t="n">
        <f aca="false">IF(AC398,IF(01_因子設定!$B$13="最大化",AA398-01_因子設定!$B$14,IF(01_因子設定!$B$13="最小化",01_因子設定!$B$15-AB398,MIN(AA398-01_因子設定!$B$14,01_因子設定!$B$15-AB398))),-1E+030)</f>
        <v>-3.77021061003878</v>
      </c>
      <c r="AE398" s="55" t="n">
        <f aca="false">IF(AC398,IF(01_因子設定!$B$13="最大化",X398,IF(01_因子設定!$B$13="最小化",-X398,-ABS(X398-01_因子設定!$B$16))),-1E+030)</f>
        <v>44.3134777046784</v>
      </c>
      <c r="AF398" s="55" t="n">
        <f aca="false">AD398+ROW()*0.000000001</f>
        <v>-3.77021021203878</v>
      </c>
      <c r="AG398" s="55" t="n">
        <f aca="false">AE398+ROW()*0.000000001</f>
        <v>44.3134781026784</v>
      </c>
    </row>
    <row r="399" customFormat="false" ht="15" hidden="false" customHeight="false" outlineLevel="0" collapsed="false">
      <c r="A399" s="0" t="n">
        <v>0</v>
      </c>
      <c r="B399" s="0" t="n">
        <v>4</v>
      </c>
      <c r="C399" s="0" t="n">
        <v>7</v>
      </c>
      <c r="D399" s="0" t="n">
        <v>7</v>
      </c>
      <c r="E399" s="0" t="n">
        <f aca="false">-1+A399*0.25</f>
        <v>-1</v>
      </c>
      <c r="F399" s="0" t="n">
        <f aca="false">-1+B399*0.25</f>
        <v>0</v>
      </c>
      <c r="G399" s="0" t="n">
        <f aca="false">-1+C399*0.25</f>
        <v>0.75</v>
      </c>
      <c r="H399" s="0" t="n">
        <f aca="false">-1+D399*0.25</f>
        <v>0.75</v>
      </c>
      <c r="I399" s="0" t="n">
        <f aca="false">1</f>
        <v>1</v>
      </c>
      <c r="J399" s="0" t="n">
        <f aca="false">E399</f>
        <v>-1</v>
      </c>
      <c r="K399" s="0" t="n">
        <f aca="false">F399</f>
        <v>0</v>
      </c>
      <c r="L399" s="0" t="n">
        <f aca="false">G399</f>
        <v>0.75</v>
      </c>
      <c r="M399" s="0" t="n">
        <f aca="false">H399</f>
        <v>0.75</v>
      </c>
      <c r="N399" s="0" t="n">
        <f aca="false">E399*F399</f>
        <v>-0</v>
      </c>
      <c r="O399" s="0" t="n">
        <f aca="false">E399*G399</f>
        <v>-0.75</v>
      </c>
      <c r="P399" s="0" t="n">
        <f aca="false">E399*H399</f>
        <v>-0.75</v>
      </c>
      <c r="Q399" s="0" t="n">
        <f aca="false">F399*G399</f>
        <v>0</v>
      </c>
      <c r="R399" s="0" t="n">
        <f aca="false">F399*H399</f>
        <v>0</v>
      </c>
      <c r="S399" s="0" t="n">
        <f aca="false">G399*H399</f>
        <v>0.5625</v>
      </c>
      <c r="T399" s="0" t="n">
        <f aca="false">E399*E399</f>
        <v>1</v>
      </c>
      <c r="U399" s="0" t="n">
        <f aca="false">F399*F399</f>
        <v>0</v>
      </c>
      <c r="V399" s="0" t="n">
        <f aca="false">G399*G399</f>
        <v>0.5625</v>
      </c>
      <c r="W399" s="0" t="n">
        <f aca="false">H399*H399</f>
        <v>0.5625</v>
      </c>
      <c r="X399" s="0" t="n">
        <f aca="false">SUMPRODUCT(I399:W399,_XtX!$B$96:$P$96)</f>
        <v>44.3180052997077</v>
      </c>
      <c r="Y399" s="0" t="n">
        <f aca="false">SUMPRODUCT(MMULT(I399:W399,_XtX!$B$78:$P$92),I399:W399)</f>
        <v>0.494259126005117</v>
      </c>
      <c r="Z399" s="0" t="n">
        <f aca="false">04_回帰ANOVA!$K$19*04_回帰ANOVA!$K$14*SQRT(1+Y399)</f>
        <v>1.59335061078203</v>
      </c>
      <c r="AA399" s="0" t="n">
        <f aca="false">X399-Z399</f>
        <v>42.7246546889256</v>
      </c>
      <c r="AB399" s="0" t="n">
        <f aca="false">X399+Z399</f>
        <v>45.9113559104897</v>
      </c>
      <c r="AC399" s="54" t="b">
        <f aca="false">AND(E399&gt;=01_因子設定!$L$5-0.000000001,E399&lt;=01_因子設定!$M$5+0.000000001,F399&gt;=01_因子設定!$L$6-0.000000001,F399&lt;=01_因子設定!$M$6+0.000000001,G399&gt;=01_因子設定!$L$7-0.000000001,G399&lt;=01_因子設定!$M$7+0.000000001,H399&gt;=01_因子設定!$L$8-0.000000001,H399&lt;=01_因子設定!$M$8+0.000000001,IF(01_因子設定!$B$20="Box-Behnken",E399^2+F399^2+G399^2+H399^2&lt;=2+0.000000001,TRUE()))</f>
        <v>1</v>
      </c>
      <c r="AD399" s="55" t="n">
        <f aca="false">IF(AC399,IF(01_因子設定!$B$13="最大化",AA399-01_因子設定!$B$14,IF(01_因子設定!$B$13="最小化",01_因子設定!$B$15-AB399,MIN(AA399-01_因子設定!$B$14,01_因子設定!$B$15-AB399))),-1E+030)</f>
        <v>-3.77534531107438</v>
      </c>
      <c r="AE399" s="55" t="n">
        <f aca="false">IF(AC399,IF(01_因子設定!$B$13="最大化",X399,IF(01_因子設定!$B$13="最小化",-X399,-ABS(X399-01_因子設定!$B$16))),-1E+030)</f>
        <v>44.3180052997077</v>
      </c>
      <c r="AF399" s="55" t="n">
        <f aca="false">AD399+ROW()*0.000000001</f>
        <v>-3.77534491207437</v>
      </c>
      <c r="AG399" s="55" t="n">
        <f aca="false">AE399+ROW()*0.000000001</f>
        <v>44.3180056987077</v>
      </c>
    </row>
    <row r="400" customFormat="false" ht="15" hidden="false" customHeight="false" outlineLevel="0" collapsed="false">
      <c r="A400" s="0" t="n">
        <v>0</v>
      </c>
      <c r="B400" s="0" t="n">
        <v>4</v>
      </c>
      <c r="C400" s="0" t="n">
        <v>7</v>
      </c>
      <c r="D400" s="0" t="n">
        <v>8</v>
      </c>
      <c r="E400" s="0" t="n">
        <f aca="false">-1+A400*0.25</f>
        <v>-1</v>
      </c>
      <c r="F400" s="0" t="n">
        <f aca="false">-1+B400*0.25</f>
        <v>0</v>
      </c>
      <c r="G400" s="0" t="n">
        <f aca="false">-1+C400*0.25</f>
        <v>0.75</v>
      </c>
      <c r="H400" s="0" t="n">
        <f aca="false">-1+D400*0.25</f>
        <v>1</v>
      </c>
      <c r="I400" s="0" t="n">
        <f aca="false">1</f>
        <v>1</v>
      </c>
      <c r="J400" s="0" t="n">
        <f aca="false">E400</f>
        <v>-1</v>
      </c>
      <c r="K400" s="0" t="n">
        <f aca="false">F400</f>
        <v>0</v>
      </c>
      <c r="L400" s="0" t="n">
        <f aca="false">G400</f>
        <v>0.75</v>
      </c>
      <c r="M400" s="0" t="n">
        <f aca="false">H400</f>
        <v>1</v>
      </c>
      <c r="N400" s="0" t="n">
        <f aca="false">E400*F400</f>
        <v>-0</v>
      </c>
      <c r="O400" s="0" t="n">
        <f aca="false">E400*G400</f>
        <v>-0.75</v>
      </c>
      <c r="P400" s="0" t="n">
        <f aca="false">E400*H400</f>
        <v>-1</v>
      </c>
      <c r="Q400" s="0" t="n">
        <f aca="false">F400*G400</f>
        <v>0</v>
      </c>
      <c r="R400" s="0" t="n">
        <f aca="false">F400*H400</f>
        <v>0</v>
      </c>
      <c r="S400" s="0" t="n">
        <f aca="false">G400*H400</f>
        <v>0.75</v>
      </c>
      <c r="T400" s="0" t="n">
        <f aca="false">E400*E400</f>
        <v>1</v>
      </c>
      <c r="U400" s="0" t="n">
        <f aca="false">F400*F400</f>
        <v>0</v>
      </c>
      <c r="V400" s="0" t="n">
        <f aca="false">G400*G400</f>
        <v>0.5625</v>
      </c>
      <c r="W400" s="0" t="n">
        <f aca="false">H400*H400</f>
        <v>1</v>
      </c>
      <c r="X400" s="0" t="n">
        <f aca="false">SUMPRODUCT(I400:W400,_XtX!$B$96:$P$96)</f>
        <v>44.2747258771931</v>
      </c>
      <c r="Y400" s="0" t="n">
        <f aca="false">SUMPRODUCT(MMULT(I400:W400,_XtX!$B$78:$P$92),I400:W400)</f>
        <v>0.646198830409357</v>
      </c>
      <c r="Z400" s="0" t="n">
        <f aca="false">04_回帰ANOVA!$K$19*04_回帰ANOVA!$K$14*SQRT(1+Y400)</f>
        <v>1.67239760569756</v>
      </c>
      <c r="AA400" s="0" t="n">
        <f aca="false">X400-Z400</f>
        <v>42.6023282714955</v>
      </c>
      <c r="AB400" s="0" t="n">
        <f aca="false">X400+Z400</f>
        <v>45.9471234828906</v>
      </c>
      <c r="AC400" s="54" t="b">
        <f aca="false">AND(E400&gt;=01_因子設定!$L$5-0.000000001,E400&lt;=01_因子設定!$M$5+0.000000001,F400&gt;=01_因子設定!$L$6-0.000000001,F400&lt;=01_因子設定!$M$6+0.000000001,G400&gt;=01_因子設定!$L$7-0.000000001,G400&lt;=01_因子設定!$M$7+0.000000001,H400&gt;=01_因子設定!$L$8-0.000000001,H400&lt;=01_因子設定!$M$8+0.000000001,IF(01_因子設定!$B$20="Box-Behnken",E400^2+F400^2+G400^2+H400^2&lt;=2+0.000000001,TRUE()))</f>
        <v>1</v>
      </c>
      <c r="AD400" s="55" t="n">
        <f aca="false">IF(AC400,IF(01_因子設定!$B$13="最大化",AA400-01_因子設定!$B$14,IF(01_因子設定!$B$13="最小化",01_因子設定!$B$15-AB400,MIN(AA400-01_因子設定!$B$14,01_因子設定!$B$15-AB400))),-1E+030)</f>
        <v>-3.89767172850451</v>
      </c>
      <c r="AE400" s="55" t="n">
        <f aca="false">IF(AC400,IF(01_因子設定!$B$13="最大化",X400,IF(01_因子設定!$B$13="最小化",-X400,-ABS(X400-01_因子設定!$B$16))),-1E+030)</f>
        <v>44.2747258771931</v>
      </c>
      <c r="AF400" s="55" t="n">
        <f aca="false">AD400+ROW()*0.000000001</f>
        <v>-3.89767132850451</v>
      </c>
      <c r="AG400" s="55" t="n">
        <f aca="false">AE400+ROW()*0.000000001</f>
        <v>44.2747262771931</v>
      </c>
    </row>
    <row r="401" customFormat="false" ht="15" hidden="false" customHeight="false" outlineLevel="0" collapsed="false">
      <c r="A401" s="0" t="n">
        <v>0</v>
      </c>
      <c r="B401" s="0" t="n">
        <v>4</v>
      </c>
      <c r="C401" s="0" t="n">
        <v>8</v>
      </c>
      <c r="D401" s="0" t="n">
        <v>0</v>
      </c>
      <c r="E401" s="0" t="n">
        <f aca="false">-1+A401*0.25</f>
        <v>-1</v>
      </c>
      <c r="F401" s="0" t="n">
        <f aca="false">-1+B401*0.25</f>
        <v>0</v>
      </c>
      <c r="G401" s="0" t="n">
        <f aca="false">-1+C401*0.25</f>
        <v>1</v>
      </c>
      <c r="H401" s="0" t="n">
        <f aca="false">-1+D401*0.25</f>
        <v>-1</v>
      </c>
      <c r="I401" s="0" t="n">
        <f aca="false">1</f>
        <v>1</v>
      </c>
      <c r="J401" s="0" t="n">
        <f aca="false">E401</f>
        <v>-1</v>
      </c>
      <c r="K401" s="0" t="n">
        <f aca="false">F401</f>
        <v>0</v>
      </c>
      <c r="L401" s="0" t="n">
        <f aca="false">G401</f>
        <v>1</v>
      </c>
      <c r="M401" s="0" t="n">
        <f aca="false">H401</f>
        <v>-1</v>
      </c>
      <c r="N401" s="0" t="n">
        <f aca="false">E401*F401</f>
        <v>-0</v>
      </c>
      <c r="O401" s="0" t="n">
        <f aca="false">E401*G401</f>
        <v>-1</v>
      </c>
      <c r="P401" s="0" t="n">
        <f aca="false">E401*H401</f>
        <v>1</v>
      </c>
      <c r="Q401" s="0" t="n">
        <f aca="false">F401*G401</f>
        <v>0</v>
      </c>
      <c r="R401" s="0" t="n">
        <f aca="false">F401*H401</f>
        <v>-0</v>
      </c>
      <c r="S401" s="0" t="n">
        <f aca="false">G401*H401</f>
        <v>-1</v>
      </c>
      <c r="T401" s="0" t="n">
        <f aca="false">E401*E401</f>
        <v>1</v>
      </c>
      <c r="U401" s="0" t="n">
        <f aca="false">F401*F401</f>
        <v>0</v>
      </c>
      <c r="V401" s="0" t="n">
        <f aca="false">G401*G401</f>
        <v>1</v>
      </c>
      <c r="W401" s="0" t="n">
        <f aca="false">H401*H401</f>
        <v>1</v>
      </c>
      <c r="X401" s="0" t="n">
        <f aca="false">SUMPRODUCT(I401:W401,_XtX!$B$96:$P$96)</f>
        <v>43.3202485380118</v>
      </c>
      <c r="Y401" s="0" t="n">
        <f aca="false">SUMPRODUCT(MMULT(I401:W401,_XtX!$B$78:$P$92),I401:W401)</f>
        <v>0.766447368421053</v>
      </c>
      <c r="Z401" s="0" t="n">
        <f aca="false">04_回帰ANOVA!$K$19*04_回帰ANOVA!$K$14*SQRT(1+Y401)</f>
        <v>1.7324022685743</v>
      </c>
      <c r="AA401" s="0" t="n">
        <f aca="false">X401-Z401</f>
        <v>41.5878462694375</v>
      </c>
      <c r="AB401" s="0" t="n">
        <f aca="false">X401+Z401</f>
        <v>45.0526508065861</v>
      </c>
      <c r="AC401" s="54" t="b">
        <f aca="false">AND(E401&gt;=01_因子設定!$L$5-0.000000001,E401&lt;=01_因子設定!$M$5+0.000000001,F401&gt;=01_因子設定!$L$6-0.000000001,F401&lt;=01_因子設定!$M$6+0.000000001,G401&gt;=01_因子設定!$L$7-0.000000001,G401&lt;=01_因子設定!$M$7+0.000000001,H401&gt;=01_因子設定!$L$8-0.000000001,H401&lt;=01_因子設定!$M$8+0.000000001,IF(01_因子設定!$B$20="Box-Behnken",E401^2+F401^2+G401^2+H401^2&lt;=2+0.000000001,TRUE()))</f>
        <v>1</v>
      </c>
      <c r="AD401" s="55" t="n">
        <f aca="false">IF(AC401,IF(01_因子設定!$B$13="最大化",AA401-01_因子設定!$B$14,IF(01_因子設定!$B$13="最小化",01_因子設定!$B$15-AB401,MIN(AA401-01_因子設定!$B$14,01_因子設定!$B$15-AB401))),-1E+030)</f>
        <v>-4.91215373056254</v>
      </c>
      <c r="AE401" s="55" t="n">
        <f aca="false">IF(AC401,IF(01_因子設定!$B$13="最大化",X401,IF(01_因子設定!$B$13="最小化",-X401,-ABS(X401-01_因子設定!$B$16))),-1E+030)</f>
        <v>43.3202485380118</v>
      </c>
      <c r="AF401" s="55" t="n">
        <f aca="false">AD401+ROW()*0.000000001</f>
        <v>-4.91215332956254</v>
      </c>
      <c r="AG401" s="55" t="n">
        <f aca="false">AE401+ROW()*0.000000001</f>
        <v>43.3202489390118</v>
      </c>
    </row>
    <row r="402" customFormat="false" ht="15" hidden="false" customHeight="false" outlineLevel="0" collapsed="false">
      <c r="A402" s="0" t="n">
        <v>0</v>
      </c>
      <c r="B402" s="0" t="n">
        <v>4</v>
      </c>
      <c r="C402" s="0" t="n">
        <v>8</v>
      </c>
      <c r="D402" s="0" t="n">
        <v>1</v>
      </c>
      <c r="E402" s="0" t="n">
        <f aca="false">-1+A402*0.25</f>
        <v>-1</v>
      </c>
      <c r="F402" s="0" t="n">
        <f aca="false">-1+B402*0.25</f>
        <v>0</v>
      </c>
      <c r="G402" s="0" t="n">
        <f aca="false">-1+C402*0.25</f>
        <v>1</v>
      </c>
      <c r="H402" s="0" t="n">
        <f aca="false">-1+D402*0.25</f>
        <v>-0.75</v>
      </c>
      <c r="I402" s="0" t="n">
        <f aca="false">1</f>
        <v>1</v>
      </c>
      <c r="J402" s="0" t="n">
        <f aca="false">E402</f>
        <v>-1</v>
      </c>
      <c r="K402" s="0" t="n">
        <f aca="false">F402</f>
        <v>0</v>
      </c>
      <c r="L402" s="0" t="n">
        <f aca="false">G402</f>
        <v>1</v>
      </c>
      <c r="M402" s="0" t="n">
        <f aca="false">H402</f>
        <v>-0.75</v>
      </c>
      <c r="N402" s="0" t="n">
        <f aca="false">E402*F402</f>
        <v>-0</v>
      </c>
      <c r="O402" s="0" t="n">
        <f aca="false">E402*G402</f>
        <v>-1</v>
      </c>
      <c r="P402" s="0" t="n">
        <f aca="false">E402*H402</f>
        <v>0.75</v>
      </c>
      <c r="Q402" s="0" t="n">
        <f aca="false">F402*G402</f>
        <v>0</v>
      </c>
      <c r="R402" s="0" t="n">
        <f aca="false">F402*H402</f>
        <v>-0</v>
      </c>
      <c r="S402" s="0" t="n">
        <f aca="false">G402*H402</f>
        <v>-0.75</v>
      </c>
      <c r="T402" s="0" t="n">
        <f aca="false">E402*E402</f>
        <v>1</v>
      </c>
      <c r="U402" s="0" t="n">
        <f aca="false">F402*F402</f>
        <v>0</v>
      </c>
      <c r="V402" s="0" t="n">
        <f aca="false">G402*G402</f>
        <v>1</v>
      </c>
      <c r="W402" s="0" t="n">
        <f aca="false">H402*H402</f>
        <v>0.5625</v>
      </c>
      <c r="X402" s="0" t="n">
        <f aca="false">SUMPRODUCT(I402:W402,_XtX!$B$96:$P$96)</f>
        <v>43.6295869883042</v>
      </c>
      <c r="Y402" s="0" t="n">
        <f aca="false">SUMPRODUCT(MMULT(I402:W402,_XtX!$B$78:$P$92),I402:W402)</f>
        <v>0.646198830409357</v>
      </c>
      <c r="Z402" s="0" t="n">
        <f aca="false">04_回帰ANOVA!$K$19*04_回帰ANOVA!$K$14*SQRT(1+Y402)</f>
        <v>1.67239760569756</v>
      </c>
      <c r="AA402" s="0" t="n">
        <f aca="false">X402-Z402</f>
        <v>41.9571893826066</v>
      </c>
      <c r="AB402" s="0" t="n">
        <f aca="false">X402+Z402</f>
        <v>45.3019845940017</v>
      </c>
      <c r="AC402" s="54" t="b">
        <f aca="false">AND(E402&gt;=01_因子設定!$L$5-0.000000001,E402&lt;=01_因子設定!$M$5+0.000000001,F402&gt;=01_因子設定!$L$6-0.000000001,F402&lt;=01_因子設定!$M$6+0.000000001,G402&gt;=01_因子設定!$L$7-0.000000001,G402&lt;=01_因子設定!$M$7+0.000000001,H402&gt;=01_因子設定!$L$8-0.000000001,H402&lt;=01_因子設定!$M$8+0.000000001,IF(01_因子設定!$B$20="Box-Behnken",E402^2+F402^2+G402^2+H402^2&lt;=2+0.000000001,TRUE()))</f>
        <v>1</v>
      </c>
      <c r="AD402" s="55" t="n">
        <f aca="false">IF(AC402,IF(01_因子設定!$B$13="最大化",AA402-01_因子設定!$B$14,IF(01_因子設定!$B$13="最小化",01_因子設定!$B$15-AB402,MIN(AA402-01_因子設定!$B$14,01_因子設定!$B$15-AB402))),-1E+030)</f>
        <v>-4.54281061739341</v>
      </c>
      <c r="AE402" s="55" t="n">
        <f aca="false">IF(AC402,IF(01_因子設定!$B$13="最大化",X402,IF(01_因子設定!$B$13="最小化",-X402,-ABS(X402-01_因子設定!$B$16))),-1E+030)</f>
        <v>43.6295869883042</v>
      </c>
      <c r="AF402" s="55" t="n">
        <f aca="false">AD402+ROW()*0.000000001</f>
        <v>-4.54281021539341</v>
      </c>
      <c r="AG402" s="55" t="n">
        <f aca="false">AE402+ROW()*0.000000001</f>
        <v>43.6295873903041</v>
      </c>
    </row>
    <row r="403" customFormat="false" ht="15" hidden="false" customHeight="false" outlineLevel="0" collapsed="false">
      <c r="A403" s="0" t="n">
        <v>0</v>
      </c>
      <c r="B403" s="0" t="n">
        <v>4</v>
      </c>
      <c r="C403" s="0" t="n">
        <v>8</v>
      </c>
      <c r="D403" s="0" t="n">
        <v>2</v>
      </c>
      <c r="E403" s="0" t="n">
        <f aca="false">-1+A403*0.25</f>
        <v>-1</v>
      </c>
      <c r="F403" s="0" t="n">
        <f aca="false">-1+B403*0.25</f>
        <v>0</v>
      </c>
      <c r="G403" s="0" t="n">
        <f aca="false">-1+C403*0.25</f>
        <v>1</v>
      </c>
      <c r="H403" s="0" t="n">
        <f aca="false">-1+D403*0.25</f>
        <v>-0.5</v>
      </c>
      <c r="I403" s="0" t="n">
        <f aca="false">1</f>
        <v>1</v>
      </c>
      <c r="J403" s="0" t="n">
        <f aca="false">E403</f>
        <v>-1</v>
      </c>
      <c r="K403" s="0" t="n">
        <f aca="false">F403</f>
        <v>0</v>
      </c>
      <c r="L403" s="0" t="n">
        <f aca="false">G403</f>
        <v>1</v>
      </c>
      <c r="M403" s="0" t="n">
        <f aca="false">H403</f>
        <v>-0.5</v>
      </c>
      <c r="N403" s="0" t="n">
        <f aca="false">E403*F403</f>
        <v>-0</v>
      </c>
      <c r="O403" s="0" t="n">
        <f aca="false">E403*G403</f>
        <v>-1</v>
      </c>
      <c r="P403" s="0" t="n">
        <f aca="false">E403*H403</f>
        <v>0.5</v>
      </c>
      <c r="Q403" s="0" t="n">
        <f aca="false">F403*G403</f>
        <v>0</v>
      </c>
      <c r="R403" s="0" t="n">
        <f aca="false">F403*H403</f>
        <v>-0</v>
      </c>
      <c r="S403" s="0" t="n">
        <f aca="false">G403*H403</f>
        <v>-0.5</v>
      </c>
      <c r="T403" s="0" t="n">
        <f aca="false">E403*E403</f>
        <v>1</v>
      </c>
      <c r="U403" s="0" t="n">
        <f aca="false">F403*F403</f>
        <v>0</v>
      </c>
      <c r="V403" s="0" t="n">
        <f aca="false">G403*G403</f>
        <v>1</v>
      </c>
      <c r="W403" s="0" t="n">
        <f aca="false">H403*H403</f>
        <v>0.25</v>
      </c>
      <c r="X403" s="0" t="n">
        <f aca="false">SUMPRODUCT(I403:W403,_XtX!$B$96:$P$96)</f>
        <v>43.8911184210527</v>
      </c>
      <c r="Y403" s="0" t="n">
        <f aca="false">SUMPRODUCT(MMULT(I403:W403,_XtX!$B$78:$P$92),I403:W403)</f>
        <v>0.650767543859649</v>
      </c>
      <c r="Z403" s="0" t="n">
        <f aca="false">04_回帰ANOVA!$K$19*04_回帰ANOVA!$K$14*SQRT(1+Y403)</f>
        <v>1.67471670935165</v>
      </c>
      <c r="AA403" s="0" t="n">
        <f aca="false">X403-Z403</f>
        <v>42.216401711701</v>
      </c>
      <c r="AB403" s="0" t="n">
        <f aca="false">X403+Z403</f>
        <v>45.5658351304043</v>
      </c>
      <c r="AC403" s="54" t="b">
        <f aca="false">AND(E403&gt;=01_因子設定!$L$5-0.000000001,E403&lt;=01_因子設定!$M$5+0.000000001,F403&gt;=01_因子設定!$L$6-0.000000001,F403&lt;=01_因子設定!$M$6+0.000000001,G403&gt;=01_因子設定!$L$7-0.000000001,G403&lt;=01_因子設定!$M$7+0.000000001,H403&gt;=01_因子設定!$L$8-0.000000001,H403&lt;=01_因子設定!$M$8+0.000000001,IF(01_因子設定!$B$20="Box-Behnken",E403^2+F403^2+G403^2+H403^2&lt;=2+0.000000001,TRUE()))</f>
        <v>1</v>
      </c>
      <c r="AD403" s="55" t="n">
        <f aca="false">IF(AC403,IF(01_因子設定!$B$13="最大化",AA403-01_因子設定!$B$14,IF(01_因子設定!$B$13="最小化",01_因子設定!$B$15-AB403,MIN(AA403-01_因子設定!$B$14,01_因子設定!$B$15-AB403))),-1E+030)</f>
        <v>-4.28359828829898</v>
      </c>
      <c r="AE403" s="55" t="n">
        <f aca="false">IF(AC403,IF(01_因子設定!$B$13="最大化",X403,IF(01_因子設定!$B$13="最小化",-X403,-ABS(X403-01_因子設定!$B$16))),-1E+030)</f>
        <v>43.8911184210527</v>
      </c>
      <c r="AF403" s="55" t="n">
        <f aca="false">AD403+ROW()*0.000000001</f>
        <v>-4.28359788529898</v>
      </c>
      <c r="AG403" s="55" t="n">
        <f aca="false">AE403+ROW()*0.000000001</f>
        <v>43.8911188240527</v>
      </c>
    </row>
    <row r="404" customFormat="false" ht="15" hidden="false" customHeight="false" outlineLevel="0" collapsed="false">
      <c r="A404" s="0" t="n">
        <v>0</v>
      </c>
      <c r="B404" s="0" t="n">
        <v>4</v>
      </c>
      <c r="C404" s="0" t="n">
        <v>8</v>
      </c>
      <c r="D404" s="0" t="n">
        <v>3</v>
      </c>
      <c r="E404" s="0" t="n">
        <f aca="false">-1+A404*0.25</f>
        <v>-1</v>
      </c>
      <c r="F404" s="0" t="n">
        <f aca="false">-1+B404*0.25</f>
        <v>0</v>
      </c>
      <c r="G404" s="0" t="n">
        <f aca="false">-1+C404*0.25</f>
        <v>1</v>
      </c>
      <c r="H404" s="0" t="n">
        <f aca="false">-1+D404*0.25</f>
        <v>-0.25</v>
      </c>
      <c r="I404" s="0" t="n">
        <f aca="false">1</f>
        <v>1</v>
      </c>
      <c r="J404" s="0" t="n">
        <f aca="false">E404</f>
        <v>-1</v>
      </c>
      <c r="K404" s="0" t="n">
        <f aca="false">F404</f>
        <v>0</v>
      </c>
      <c r="L404" s="0" t="n">
        <f aca="false">G404</f>
        <v>1</v>
      </c>
      <c r="M404" s="0" t="n">
        <f aca="false">H404</f>
        <v>-0.25</v>
      </c>
      <c r="N404" s="0" t="n">
        <f aca="false">E404*F404</f>
        <v>-0</v>
      </c>
      <c r="O404" s="0" t="n">
        <f aca="false">E404*G404</f>
        <v>-1</v>
      </c>
      <c r="P404" s="0" t="n">
        <f aca="false">E404*H404</f>
        <v>0.25</v>
      </c>
      <c r="Q404" s="0" t="n">
        <f aca="false">F404*G404</f>
        <v>0</v>
      </c>
      <c r="R404" s="0" t="n">
        <f aca="false">F404*H404</f>
        <v>-0</v>
      </c>
      <c r="S404" s="0" t="n">
        <f aca="false">G404*H404</f>
        <v>-0.25</v>
      </c>
      <c r="T404" s="0" t="n">
        <f aca="false">E404*E404</f>
        <v>1</v>
      </c>
      <c r="U404" s="0" t="n">
        <f aca="false">F404*F404</f>
        <v>0</v>
      </c>
      <c r="V404" s="0" t="n">
        <f aca="false">G404*G404</f>
        <v>1</v>
      </c>
      <c r="W404" s="0" t="n">
        <f aca="false">H404*H404</f>
        <v>0.0625</v>
      </c>
      <c r="X404" s="0" t="n">
        <f aca="false">SUMPRODUCT(I404:W404,_XtX!$B$96:$P$96)</f>
        <v>44.1048428362573</v>
      </c>
      <c r="Y404" s="0" t="n">
        <f aca="false">SUMPRODUCT(MMULT(I404:W404,_XtX!$B$78:$P$92),I404:W404)</f>
        <v>0.689692982456141</v>
      </c>
      <c r="Z404" s="0" t="n">
        <f aca="false">04_回帰ANOVA!$K$19*04_回帰ANOVA!$K$14*SQRT(1+Y404)</f>
        <v>1.69434674594998</v>
      </c>
      <c r="AA404" s="0" t="n">
        <f aca="false">X404-Z404</f>
        <v>42.4104960903074</v>
      </c>
      <c r="AB404" s="0" t="n">
        <f aca="false">X404+Z404</f>
        <v>45.7991895822073</v>
      </c>
      <c r="AC404" s="54" t="b">
        <f aca="false">AND(E404&gt;=01_因子設定!$L$5-0.000000001,E404&lt;=01_因子設定!$M$5+0.000000001,F404&gt;=01_因子設定!$L$6-0.000000001,F404&lt;=01_因子設定!$M$6+0.000000001,G404&gt;=01_因子設定!$L$7-0.000000001,G404&lt;=01_因子設定!$M$7+0.000000001,H404&gt;=01_因子設定!$L$8-0.000000001,H404&lt;=01_因子設定!$M$8+0.000000001,IF(01_因子設定!$B$20="Box-Behnken",E404^2+F404^2+G404^2+H404^2&lt;=2+0.000000001,TRUE()))</f>
        <v>1</v>
      </c>
      <c r="AD404" s="55" t="n">
        <f aca="false">IF(AC404,IF(01_因子設定!$B$13="最大化",AA404-01_因子設定!$B$14,IF(01_因子設定!$B$13="最小化",01_因子設定!$B$15-AB404,MIN(AA404-01_因子設定!$B$14,01_因子設定!$B$15-AB404))),-1E+030)</f>
        <v>-4.08950390969265</v>
      </c>
      <c r="AE404" s="55" t="n">
        <f aca="false">IF(AC404,IF(01_因子設定!$B$13="最大化",X404,IF(01_因子設定!$B$13="最小化",-X404,-ABS(X404-01_因子設定!$B$16))),-1E+030)</f>
        <v>44.1048428362573</v>
      </c>
      <c r="AF404" s="55" t="n">
        <f aca="false">AD404+ROW()*0.000000001</f>
        <v>-4.08950350569265</v>
      </c>
      <c r="AG404" s="55" t="n">
        <f aca="false">AE404+ROW()*0.000000001</f>
        <v>44.1048432402573</v>
      </c>
    </row>
    <row r="405" customFormat="false" ht="15" hidden="false" customHeight="false" outlineLevel="0" collapsed="false">
      <c r="A405" s="0" t="n">
        <v>0</v>
      </c>
      <c r="B405" s="0" t="n">
        <v>4</v>
      </c>
      <c r="C405" s="0" t="n">
        <v>8</v>
      </c>
      <c r="D405" s="0" t="n">
        <v>4</v>
      </c>
      <c r="E405" s="0" t="n">
        <f aca="false">-1+A405*0.25</f>
        <v>-1</v>
      </c>
      <c r="F405" s="0" t="n">
        <f aca="false">-1+B405*0.25</f>
        <v>0</v>
      </c>
      <c r="G405" s="0" t="n">
        <f aca="false">-1+C405*0.25</f>
        <v>1</v>
      </c>
      <c r="H405" s="0" t="n">
        <f aca="false">-1+D405*0.25</f>
        <v>0</v>
      </c>
      <c r="I405" s="0" t="n">
        <f aca="false">1</f>
        <v>1</v>
      </c>
      <c r="J405" s="0" t="n">
        <f aca="false">E405</f>
        <v>-1</v>
      </c>
      <c r="K405" s="0" t="n">
        <f aca="false">F405</f>
        <v>0</v>
      </c>
      <c r="L405" s="0" t="n">
        <f aca="false">G405</f>
        <v>1</v>
      </c>
      <c r="M405" s="0" t="n">
        <f aca="false">H405</f>
        <v>0</v>
      </c>
      <c r="N405" s="0" t="n">
        <f aca="false">E405*F405</f>
        <v>-0</v>
      </c>
      <c r="O405" s="0" t="n">
        <f aca="false">E405*G405</f>
        <v>-1</v>
      </c>
      <c r="P405" s="0" t="n">
        <f aca="false">E405*H405</f>
        <v>-0</v>
      </c>
      <c r="Q405" s="0" t="n">
        <f aca="false">F405*G405</f>
        <v>0</v>
      </c>
      <c r="R405" s="0" t="n">
        <f aca="false">F405*H405</f>
        <v>0</v>
      </c>
      <c r="S405" s="0" t="n">
        <f aca="false">G405*H405</f>
        <v>0</v>
      </c>
      <c r="T405" s="0" t="n">
        <f aca="false">E405*E405</f>
        <v>1</v>
      </c>
      <c r="U405" s="0" t="n">
        <f aca="false">F405*F405</f>
        <v>0</v>
      </c>
      <c r="V405" s="0" t="n">
        <f aca="false">G405*G405</f>
        <v>1</v>
      </c>
      <c r="W405" s="0" t="n">
        <f aca="false">H405*H405</f>
        <v>0</v>
      </c>
      <c r="X405" s="0" t="n">
        <f aca="false">SUMPRODUCT(I405:W405,_XtX!$B$96:$P$96)</f>
        <v>44.2707602339182</v>
      </c>
      <c r="Y405" s="0" t="n">
        <f aca="false">SUMPRODUCT(MMULT(I405:W405,_XtX!$B$78:$P$92),I405:W405)</f>
        <v>0.708698830409357</v>
      </c>
      <c r="Z405" s="0" t="n">
        <f aca="false">04_回帰ANOVA!$K$19*04_回帰ANOVA!$K$14*SQRT(1+Y405)</f>
        <v>1.70384919651719</v>
      </c>
      <c r="AA405" s="0" t="n">
        <f aca="false">X405-Z405</f>
        <v>42.566911037401</v>
      </c>
      <c r="AB405" s="0" t="n">
        <f aca="false">X405+Z405</f>
        <v>45.9746094304354</v>
      </c>
      <c r="AC405" s="54" t="b">
        <f aca="false">AND(E405&gt;=01_因子設定!$L$5-0.000000001,E405&lt;=01_因子設定!$M$5+0.000000001,F405&gt;=01_因子設定!$L$6-0.000000001,F405&lt;=01_因子設定!$M$6+0.000000001,G405&gt;=01_因子設定!$L$7-0.000000001,G405&lt;=01_因子設定!$M$7+0.000000001,H405&gt;=01_因子設定!$L$8-0.000000001,H405&lt;=01_因子設定!$M$8+0.000000001,IF(01_因子設定!$B$20="Box-Behnken",E405^2+F405^2+G405^2+H405^2&lt;=2+0.000000001,TRUE()))</f>
        <v>1</v>
      </c>
      <c r="AD405" s="55" t="n">
        <f aca="false">IF(AC405,IF(01_因子設定!$B$13="最大化",AA405-01_因子設定!$B$14,IF(01_因子設定!$B$13="最小化",01_因子設定!$B$15-AB405,MIN(AA405-01_因子設定!$B$14,01_因子設定!$B$15-AB405))),-1E+030)</f>
        <v>-3.93308896259903</v>
      </c>
      <c r="AE405" s="55" t="n">
        <f aca="false">IF(AC405,IF(01_因子設定!$B$13="最大化",X405,IF(01_因子設定!$B$13="最小化",-X405,-ABS(X405-01_因子設定!$B$16))),-1E+030)</f>
        <v>44.2707602339182</v>
      </c>
      <c r="AF405" s="55" t="n">
        <f aca="false">AD405+ROW()*0.000000001</f>
        <v>-3.93308855759903</v>
      </c>
      <c r="AG405" s="55" t="n">
        <f aca="false">AE405+ROW()*0.000000001</f>
        <v>44.2707606389182</v>
      </c>
    </row>
    <row r="406" customFormat="false" ht="15" hidden="false" customHeight="false" outlineLevel="0" collapsed="false">
      <c r="A406" s="0" t="n">
        <v>0</v>
      </c>
      <c r="B406" s="0" t="n">
        <v>4</v>
      </c>
      <c r="C406" s="0" t="n">
        <v>8</v>
      </c>
      <c r="D406" s="0" t="n">
        <v>5</v>
      </c>
      <c r="E406" s="0" t="n">
        <f aca="false">-1+A406*0.25</f>
        <v>-1</v>
      </c>
      <c r="F406" s="0" t="n">
        <f aca="false">-1+B406*0.25</f>
        <v>0</v>
      </c>
      <c r="G406" s="0" t="n">
        <f aca="false">-1+C406*0.25</f>
        <v>1</v>
      </c>
      <c r="H406" s="0" t="n">
        <f aca="false">-1+D406*0.25</f>
        <v>0.25</v>
      </c>
      <c r="I406" s="0" t="n">
        <f aca="false">1</f>
        <v>1</v>
      </c>
      <c r="J406" s="0" t="n">
        <f aca="false">E406</f>
        <v>-1</v>
      </c>
      <c r="K406" s="0" t="n">
        <f aca="false">F406</f>
        <v>0</v>
      </c>
      <c r="L406" s="0" t="n">
        <f aca="false">G406</f>
        <v>1</v>
      </c>
      <c r="M406" s="0" t="n">
        <f aca="false">H406</f>
        <v>0.25</v>
      </c>
      <c r="N406" s="0" t="n">
        <f aca="false">E406*F406</f>
        <v>-0</v>
      </c>
      <c r="O406" s="0" t="n">
        <f aca="false">E406*G406</f>
        <v>-1</v>
      </c>
      <c r="P406" s="0" t="n">
        <f aca="false">E406*H406</f>
        <v>-0.25</v>
      </c>
      <c r="Q406" s="0" t="n">
        <f aca="false">F406*G406</f>
        <v>0</v>
      </c>
      <c r="R406" s="0" t="n">
        <f aca="false">F406*H406</f>
        <v>0</v>
      </c>
      <c r="S406" s="0" t="n">
        <f aca="false">G406*H406</f>
        <v>0.25</v>
      </c>
      <c r="T406" s="0" t="n">
        <f aca="false">E406*E406</f>
        <v>1</v>
      </c>
      <c r="U406" s="0" t="n">
        <f aca="false">F406*F406</f>
        <v>0</v>
      </c>
      <c r="V406" s="0" t="n">
        <f aca="false">G406*G406</f>
        <v>1</v>
      </c>
      <c r="W406" s="0" t="n">
        <f aca="false">H406*H406</f>
        <v>0.0625</v>
      </c>
      <c r="X406" s="0" t="n">
        <f aca="false">SUMPRODUCT(I406:W406,_XtX!$B$96:$P$96)</f>
        <v>44.3888706140351</v>
      </c>
      <c r="Y406" s="0" t="n">
        <f aca="false">SUMPRODUCT(MMULT(I406:W406,_XtX!$B$78:$P$92),I406:W406)</f>
        <v>0.689692982456141</v>
      </c>
      <c r="Z406" s="0" t="n">
        <f aca="false">04_回帰ANOVA!$K$19*04_回帰ANOVA!$K$14*SQRT(1+Y406)</f>
        <v>1.69434674594998</v>
      </c>
      <c r="AA406" s="0" t="n">
        <f aca="false">X406-Z406</f>
        <v>42.6945238680851</v>
      </c>
      <c r="AB406" s="0" t="n">
        <f aca="false">X406+Z406</f>
        <v>46.0832173599851</v>
      </c>
      <c r="AC406" s="54" t="b">
        <f aca="false">AND(E406&gt;=01_因子設定!$L$5-0.000000001,E406&lt;=01_因子設定!$M$5+0.000000001,F406&gt;=01_因子設定!$L$6-0.000000001,F406&lt;=01_因子設定!$M$6+0.000000001,G406&gt;=01_因子設定!$L$7-0.000000001,G406&lt;=01_因子設定!$M$7+0.000000001,H406&gt;=01_因子設定!$L$8-0.000000001,H406&lt;=01_因子設定!$M$8+0.000000001,IF(01_因子設定!$B$20="Box-Behnken",E406^2+F406^2+G406^2+H406^2&lt;=2+0.000000001,TRUE()))</f>
        <v>1</v>
      </c>
      <c r="AD406" s="55" t="n">
        <f aca="false">IF(AC406,IF(01_因子設定!$B$13="最大化",AA406-01_因子設定!$B$14,IF(01_因子設定!$B$13="最小化",01_因子設定!$B$15-AB406,MIN(AA406-01_因子設定!$B$14,01_因子設定!$B$15-AB406))),-1E+030)</f>
        <v>-3.80547613191487</v>
      </c>
      <c r="AE406" s="55" t="n">
        <f aca="false">IF(AC406,IF(01_因子設定!$B$13="最大化",X406,IF(01_因子設定!$B$13="最小化",-X406,-ABS(X406-01_因子設定!$B$16))),-1E+030)</f>
        <v>44.3888706140351</v>
      </c>
      <c r="AF406" s="55" t="n">
        <f aca="false">AD406+ROW()*0.000000001</f>
        <v>-3.80547572591487</v>
      </c>
      <c r="AG406" s="55" t="n">
        <f aca="false">AE406+ROW()*0.000000001</f>
        <v>44.3888710200351</v>
      </c>
    </row>
    <row r="407" customFormat="false" ht="15" hidden="false" customHeight="false" outlineLevel="0" collapsed="false">
      <c r="A407" s="0" t="n">
        <v>0</v>
      </c>
      <c r="B407" s="0" t="n">
        <v>4</v>
      </c>
      <c r="C407" s="0" t="n">
        <v>8</v>
      </c>
      <c r="D407" s="0" t="n">
        <v>6</v>
      </c>
      <c r="E407" s="0" t="n">
        <f aca="false">-1+A407*0.25</f>
        <v>-1</v>
      </c>
      <c r="F407" s="0" t="n">
        <f aca="false">-1+B407*0.25</f>
        <v>0</v>
      </c>
      <c r="G407" s="0" t="n">
        <f aca="false">-1+C407*0.25</f>
        <v>1</v>
      </c>
      <c r="H407" s="0" t="n">
        <f aca="false">-1+D407*0.25</f>
        <v>0.5</v>
      </c>
      <c r="I407" s="0" t="n">
        <f aca="false">1</f>
        <v>1</v>
      </c>
      <c r="J407" s="0" t="n">
        <f aca="false">E407</f>
        <v>-1</v>
      </c>
      <c r="K407" s="0" t="n">
        <f aca="false">F407</f>
        <v>0</v>
      </c>
      <c r="L407" s="0" t="n">
        <f aca="false">G407</f>
        <v>1</v>
      </c>
      <c r="M407" s="0" t="n">
        <f aca="false">H407</f>
        <v>0.5</v>
      </c>
      <c r="N407" s="0" t="n">
        <f aca="false">E407*F407</f>
        <v>-0</v>
      </c>
      <c r="O407" s="0" t="n">
        <f aca="false">E407*G407</f>
        <v>-1</v>
      </c>
      <c r="P407" s="0" t="n">
        <f aca="false">E407*H407</f>
        <v>-0.5</v>
      </c>
      <c r="Q407" s="0" t="n">
        <f aca="false">F407*G407</f>
        <v>0</v>
      </c>
      <c r="R407" s="0" t="n">
        <f aca="false">F407*H407</f>
        <v>0</v>
      </c>
      <c r="S407" s="0" t="n">
        <f aca="false">G407*H407</f>
        <v>0.5</v>
      </c>
      <c r="T407" s="0" t="n">
        <f aca="false">E407*E407</f>
        <v>1</v>
      </c>
      <c r="U407" s="0" t="n">
        <f aca="false">F407*F407</f>
        <v>0</v>
      </c>
      <c r="V407" s="0" t="n">
        <f aca="false">G407*G407</f>
        <v>1</v>
      </c>
      <c r="W407" s="0" t="n">
        <f aca="false">H407*H407</f>
        <v>0.25</v>
      </c>
      <c r="X407" s="0" t="n">
        <f aca="false">SUMPRODUCT(I407:W407,_XtX!$B$96:$P$96)</f>
        <v>44.4591739766082</v>
      </c>
      <c r="Y407" s="0" t="n">
        <f aca="false">SUMPRODUCT(MMULT(I407:W407,_XtX!$B$78:$P$92),I407:W407)</f>
        <v>0.650767543859649</v>
      </c>
      <c r="Z407" s="0" t="n">
        <f aca="false">04_回帰ANOVA!$K$19*04_回帰ANOVA!$K$14*SQRT(1+Y407)</f>
        <v>1.67471670935165</v>
      </c>
      <c r="AA407" s="0" t="n">
        <f aca="false">X407-Z407</f>
        <v>42.7844572672566</v>
      </c>
      <c r="AB407" s="0" t="n">
        <f aca="false">X407+Z407</f>
        <v>46.1338906859599</v>
      </c>
      <c r="AC407" s="54" t="b">
        <f aca="false">AND(E407&gt;=01_因子設定!$L$5-0.000000001,E407&lt;=01_因子設定!$M$5+0.000000001,F407&gt;=01_因子設定!$L$6-0.000000001,F407&lt;=01_因子設定!$M$6+0.000000001,G407&gt;=01_因子設定!$L$7-0.000000001,G407&lt;=01_因子設定!$M$7+0.000000001,H407&gt;=01_因子設定!$L$8-0.000000001,H407&lt;=01_因子設定!$M$8+0.000000001,IF(01_因子設定!$B$20="Box-Behnken",E407^2+F407^2+G407^2+H407^2&lt;=2+0.000000001,TRUE()))</f>
        <v>1</v>
      </c>
      <c r="AD407" s="55" t="n">
        <f aca="false">IF(AC407,IF(01_因子設定!$B$13="最大化",AA407-01_因子設定!$B$14,IF(01_因子設定!$B$13="最小化",01_因子設定!$B$15-AB407,MIN(AA407-01_因子設定!$B$14,01_因子設定!$B$15-AB407))),-1E+030)</f>
        <v>-3.71554273274342</v>
      </c>
      <c r="AE407" s="55" t="n">
        <f aca="false">IF(AC407,IF(01_因子設定!$B$13="最大化",X407,IF(01_因子設定!$B$13="最小化",-X407,-ABS(X407-01_因子設定!$B$16))),-1E+030)</f>
        <v>44.4591739766082</v>
      </c>
      <c r="AF407" s="55" t="n">
        <f aca="false">AD407+ROW()*0.000000001</f>
        <v>-3.71554232574342</v>
      </c>
      <c r="AG407" s="55" t="n">
        <f aca="false">AE407+ROW()*0.000000001</f>
        <v>44.4591743836082</v>
      </c>
    </row>
    <row r="408" customFormat="false" ht="15" hidden="false" customHeight="false" outlineLevel="0" collapsed="false">
      <c r="A408" s="0" t="n">
        <v>0</v>
      </c>
      <c r="B408" s="0" t="n">
        <v>4</v>
      </c>
      <c r="C408" s="0" t="n">
        <v>8</v>
      </c>
      <c r="D408" s="0" t="n">
        <v>7</v>
      </c>
      <c r="E408" s="0" t="n">
        <f aca="false">-1+A408*0.25</f>
        <v>-1</v>
      </c>
      <c r="F408" s="0" t="n">
        <f aca="false">-1+B408*0.25</f>
        <v>0</v>
      </c>
      <c r="G408" s="0" t="n">
        <f aca="false">-1+C408*0.25</f>
        <v>1</v>
      </c>
      <c r="H408" s="0" t="n">
        <f aca="false">-1+D408*0.25</f>
        <v>0.75</v>
      </c>
      <c r="I408" s="0" t="n">
        <f aca="false">1</f>
        <v>1</v>
      </c>
      <c r="J408" s="0" t="n">
        <f aca="false">E408</f>
        <v>-1</v>
      </c>
      <c r="K408" s="0" t="n">
        <f aca="false">F408</f>
        <v>0</v>
      </c>
      <c r="L408" s="0" t="n">
        <f aca="false">G408</f>
        <v>1</v>
      </c>
      <c r="M408" s="0" t="n">
        <f aca="false">H408</f>
        <v>0.75</v>
      </c>
      <c r="N408" s="0" t="n">
        <f aca="false">E408*F408</f>
        <v>-0</v>
      </c>
      <c r="O408" s="0" t="n">
        <f aca="false">E408*G408</f>
        <v>-1</v>
      </c>
      <c r="P408" s="0" t="n">
        <f aca="false">E408*H408</f>
        <v>-0.75</v>
      </c>
      <c r="Q408" s="0" t="n">
        <f aca="false">F408*G408</f>
        <v>0</v>
      </c>
      <c r="R408" s="0" t="n">
        <f aca="false">F408*H408</f>
        <v>0</v>
      </c>
      <c r="S408" s="0" t="n">
        <f aca="false">G408*H408</f>
        <v>0.75</v>
      </c>
      <c r="T408" s="0" t="n">
        <f aca="false">E408*E408</f>
        <v>1</v>
      </c>
      <c r="U408" s="0" t="n">
        <f aca="false">F408*F408</f>
        <v>0</v>
      </c>
      <c r="V408" s="0" t="n">
        <f aca="false">G408*G408</f>
        <v>1</v>
      </c>
      <c r="W408" s="0" t="n">
        <f aca="false">H408*H408</f>
        <v>0.5625</v>
      </c>
      <c r="X408" s="0" t="n">
        <f aca="false">SUMPRODUCT(I408:W408,_XtX!$B$96:$P$96)</f>
        <v>44.4816703216375</v>
      </c>
      <c r="Y408" s="0" t="n">
        <f aca="false">SUMPRODUCT(MMULT(I408:W408,_XtX!$B$78:$P$92),I408:W408)</f>
        <v>0.646198830409357</v>
      </c>
      <c r="Z408" s="0" t="n">
        <f aca="false">04_回帰ANOVA!$K$19*04_回帰ANOVA!$K$14*SQRT(1+Y408)</f>
        <v>1.67239760569756</v>
      </c>
      <c r="AA408" s="0" t="n">
        <f aca="false">X408-Z408</f>
        <v>42.8092727159399</v>
      </c>
      <c r="AB408" s="0" t="n">
        <f aca="false">X408+Z408</f>
        <v>46.154067927335</v>
      </c>
      <c r="AC408" s="54" t="b">
        <f aca="false">AND(E408&gt;=01_因子設定!$L$5-0.000000001,E408&lt;=01_因子設定!$M$5+0.000000001,F408&gt;=01_因子設定!$L$6-0.000000001,F408&lt;=01_因子設定!$M$6+0.000000001,G408&gt;=01_因子設定!$L$7-0.000000001,G408&lt;=01_因子設定!$M$7+0.000000001,H408&gt;=01_因子設定!$L$8-0.000000001,H408&lt;=01_因子設定!$M$8+0.000000001,IF(01_因子設定!$B$20="Box-Behnken",E408^2+F408^2+G408^2+H408^2&lt;=2+0.000000001,TRUE()))</f>
        <v>1</v>
      </c>
      <c r="AD408" s="55" t="n">
        <f aca="false">IF(AC408,IF(01_因子設定!$B$13="最大化",AA408-01_因子設定!$B$14,IF(01_因子設定!$B$13="最小化",01_因子設定!$B$15-AB408,MIN(AA408-01_因子設定!$B$14,01_因子設定!$B$15-AB408))),-1E+030)</f>
        <v>-3.69072728406007</v>
      </c>
      <c r="AE408" s="55" t="n">
        <f aca="false">IF(AC408,IF(01_因子設定!$B$13="最大化",X408,IF(01_因子設定!$B$13="最小化",-X408,-ABS(X408-01_因子設定!$B$16))),-1E+030)</f>
        <v>44.4816703216375</v>
      </c>
      <c r="AF408" s="55" t="n">
        <f aca="false">AD408+ROW()*0.000000001</f>
        <v>-3.69072687606007</v>
      </c>
      <c r="AG408" s="55" t="n">
        <f aca="false">AE408+ROW()*0.000000001</f>
        <v>44.4816707296375</v>
      </c>
    </row>
    <row r="409" customFormat="false" ht="15" hidden="false" customHeight="false" outlineLevel="0" collapsed="false">
      <c r="A409" s="0" t="n">
        <v>0</v>
      </c>
      <c r="B409" s="0" t="n">
        <v>4</v>
      </c>
      <c r="C409" s="0" t="n">
        <v>8</v>
      </c>
      <c r="D409" s="0" t="n">
        <v>8</v>
      </c>
      <c r="E409" s="0" t="n">
        <f aca="false">-1+A409*0.25</f>
        <v>-1</v>
      </c>
      <c r="F409" s="0" t="n">
        <f aca="false">-1+B409*0.25</f>
        <v>0</v>
      </c>
      <c r="G409" s="0" t="n">
        <f aca="false">-1+C409*0.25</f>
        <v>1</v>
      </c>
      <c r="H409" s="0" t="n">
        <f aca="false">-1+D409*0.25</f>
        <v>1</v>
      </c>
      <c r="I409" s="0" t="n">
        <f aca="false">1</f>
        <v>1</v>
      </c>
      <c r="J409" s="0" t="n">
        <f aca="false">E409</f>
        <v>-1</v>
      </c>
      <c r="K409" s="0" t="n">
        <f aca="false">F409</f>
        <v>0</v>
      </c>
      <c r="L409" s="0" t="n">
        <f aca="false">G409</f>
        <v>1</v>
      </c>
      <c r="M409" s="0" t="n">
        <f aca="false">H409</f>
        <v>1</v>
      </c>
      <c r="N409" s="0" t="n">
        <f aca="false">E409*F409</f>
        <v>-0</v>
      </c>
      <c r="O409" s="0" t="n">
        <f aca="false">E409*G409</f>
        <v>-1</v>
      </c>
      <c r="P409" s="0" t="n">
        <f aca="false">E409*H409</f>
        <v>-1</v>
      </c>
      <c r="Q409" s="0" t="n">
        <f aca="false">F409*G409</f>
        <v>0</v>
      </c>
      <c r="R409" s="0" t="n">
        <f aca="false">F409*H409</f>
        <v>0</v>
      </c>
      <c r="S409" s="0" t="n">
        <f aca="false">G409*H409</f>
        <v>1</v>
      </c>
      <c r="T409" s="0" t="n">
        <f aca="false">E409*E409</f>
        <v>1</v>
      </c>
      <c r="U409" s="0" t="n">
        <f aca="false">F409*F409</f>
        <v>0</v>
      </c>
      <c r="V409" s="0" t="n">
        <f aca="false">G409*G409</f>
        <v>1</v>
      </c>
      <c r="W409" s="0" t="n">
        <f aca="false">H409*H409</f>
        <v>1</v>
      </c>
      <c r="X409" s="0" t="n">
        <f aca="false">SUMPRODUCT(I409:W409,_XtX!$B$96:$P$96)</f>
        <v>44.4563596491229</v>
      </c>
      <c r="Y409" s="0" t="n">
        <f aca="false">SUMPRODUCT(MMULT(I409:W409,_XtX!$B$78:$P$92),I409:W409)</f>
        <v>0.766447368421053</v>
      </c>
      <c r="Z409" s="0" t="n">
        <f aca="false">04_回帰ANOVA!$K$19*04_回帰ANOVA!$K$14*SQRT(1+Y409)</f>
        <v>1.7324022685743</v>
      </c>
      <c r="AA409" s="0" t="n">
        <f aca="false">X409-Z409</f>
        <v>42.7239573805486</v>
      </c>
      <c r="AB409" s="0" t="n">
        <f aca="false">X409+Z409</f>
        <v>46.1887619176972</v>
      </c>
      <c r="AC409" s="54" t="b">
        <f aca="false">AND(E409&gt;=01_因子設定!$L$5-0.000000001,E409&lt;=01_因子設定!$M$5+0.000000001,F409&gt;=01_因子設定!$L$6-0.000000001,F409&lt;=01_因子設定!$M$6+0.000000001,G409&gt;=01_因子設定!$L$7-0.000000001,G409&lt;=01_因子設定!$M$7+0.000000001,H409&gt;=01_因子設定!$L$8-0.000000001,H409&lt;=01_因子設定!$M$8+0.000000001,IF(01_因子設定!$B$20="Box-Behnken",E409^2+F409^2+G409^2+H409^2&lt;=2+0.000000001,TRUE()))</f>
        <v>1</v>
      </c>
      <c r="AD409" s="55" t="n">
        <f aca="false">IF(AC409,IF(01_因子設定!$B$13="最大化",AA409-01_因子設定!$B$14,IF(01_因子設定!$B$13="最小化",01_因子設定!$B$15-AB409,MIN(AA409-01_因子設定!$B$14,01_因子設定!$B$15-AB409))),-1E+030)</f>
        <v>-3.77604261945143</v>
      </c>
      <c r="AE409" s="55" t="n">
        <f aca="false">IF(AC409,IF(01_因子設定!$B$13="最大化",X409,IF(01_因子設定!$B$13="最小化",-X409,-ABS(X409-01_因子設定!$B$16))),-1E+030)</f>
        <v>44.4563596491229</v>
      </c>
      <c r="AF409" s="55" t="n">
        <f aca="false">AD409+ROW()*0.000000001</f>
        <v>-3.77604221045143</v>
      </c>
      <c r="AG409" s="55" t="n">
        <f aca="false">AE409+ROW()*0.000000001</f>
        <v>44.4563600581229</v>
      </c>
    </row>
    <row r="410" customFormat="false" ht="15" hidden="false" customHeight="false" outlineLevel="0" collapsed="false">
      <c r="A410" s="0" t="n">
        <v>0</v>
      </c>
      <c r="B410" s="0" t="n">
        <v>5</v>
      </c>
      <c r="C410" s="0" t="n">
        <v>0</v>
      </c>
      <c r="D410" s="0" t="n">
        <v>0</v>
      </c>
      <c r="E410" s="0" t="n">
        <f aca="false">-1+A410*0.25</f>
        <v>-1</v>
      </c>
      <c r="F410" s="0" t="n">
        <f aca="false">-1+B410*0.25</f>
        <v>0.25</v>
      </c>
      <c r="G410" s="0" t="n">
        <f aca="false">-1+C410*0.25</f>
        <v>-1</v>
      </c>
      <c r="H410" s="0" t="n">
        <f aca="false">-1+D410*0.25</f>
        <v>-1</v>
      </c>
      <c r="I410" s="0" t="n">
        <f aca="false">1</f>
        <v>1</v>
      </c>
      <c r="J410" s="0" t="n">
        <f aca="false">E410</f>
        <v>-1</v>
      </c>
      <c r="K410" s="0" t="n">
        <f aca="false">F410</f>
        <v>0.25</v>
      </c>
      <c r="L410" s="0" t="n">
        <f aca="false">G410</f>
        <v>-1</v>
      </c>
      <c r="M410" s="0" t="n">
        <f aca="false">H410</f>
        <v>-1</v>
      </c>
      <c r="N410" s="0" t="n">
        <f aca="false">E410*F410</f>
        <v>-0.25</v>
      </c>
      <c r="O410" s="0" t="n">
        <f aca="false">E410*G410</f>
        <v>1</v>
      </c>
      <c r="P410" s="0" t="n">
        <f aca="false">E410*H410</f>
        <v>1</v>
      </c>
      <c r="Q410" s="0" t="n">
        <f aca="false">F410*G410</f>
        <v>-0.25</v>
      </c>
      <c r="R410" s="0" t="n">
        <f aca="false">F410*H410</f>
        <v>-0.25</v>
      </c>
      <c r="S410" s="0" t="n">
        <f aca="false">G410*H410</f>
        <v>1</v>
      </c>
      <c r="T410" s="0" t="n">
        <f aca="false">E410*E410</f>
        <v>1</v>
      </c>
      <c r="U410" s="0" t="n">
        <f aca="false">F410*F410</f>
        <v>0.0625</v>
      </c>
      <c r="V410" s="0" t="n">
        <f aca="false">G410*G410</f>
        <v>1</v>
      </c>
      <c r="W410" s="0" t="n">
        <f aca="false">H410*H410</f>
        <v>1</v>
      </c>
      <c r="X410" s="0" t="n">
        <f aca="false">SUMPRODUCT(I410:W410,_XtX!$B$96:$P$96)</f>
        <v>40.6845394736843</v>
      </c>
      <c r="Y410" s="0" t="n">
        <f aca="false">SUMPRODUCT(MMULT(I410:W410,_XtX!$B$78:$P$92),I410:W410)</f>
        <v>0.737093384502924</v>
      </c>
      <c r="Z410" s="0" t="n">
        <f aca="false">04_回帰ANOVA!$K$19*04_回帰ANOVA!$K$14*SQRT(1+Y410)</f>
        <v>1.71794784853551</v>
      </c>
      <c r="AA410" s="0" t="n">
        <f aca="false">X410-Z410</f>
        <v>38.9665916251488</v>
      </c>
      <c r="AB410" s="0" t="n">
        <f aca="false">X410+Z410</f>
        <v>42.4024873222198</v>
      </c>
      <c r="AC410" s="54" t="b">
        <f aca="false">AND(E410&gt;=01_因子設定!$L$5-0.000000001,E410&lt;=01_因子設定!$M$5+0.000000001,F410&gt;=01_因子設定!$L$6-0.000000001,F410&lt;=01_因子設定!$M$6+0.000000001,G410&gt;=01_因子設定!$L$7-0.000000001,G410&lt;=01_因子設定!$M$7+0.000000001,H410&gt;=01_因子設定!$L$8-0.000000001,H410&lt;=01_因子設定!$M$8+0.000000001,IF(01_因子設定!$B$20="Box-Behnken",E410^2+F410^2+G410^2+H410^2&lt;=2+0.000000001,TRUE()))</f>
        <v>1</v>
      </c>
      <c r="AD410" s="55" t="n">
        <f aca="false">IF(AC410,IF(01_因子設定!$B$13="最大化",AA410-01_因子設定!$B$14,IF(01_因子設定!$B$13="最小化",01_因子設定!$B$15-AB410,MIN(AA410-01_因子設定!$B$14,01_因子設定!$B$15-AB410))),-1E+030)</f>
        <v>-7.53340837485122</v>
      </c>
      <c r="AE410" s="55" t="n">
        <f aca="false">IF(AC410,IF(01_因子設定!$B$13="最大化",X410,IF(01_因子設定!$B$13="最小化",-X410,-ABS(X410-01_因子設定!$B$16))),-1E+030)</f>
        <v>40.6845394736843</v>
      </c>
      <c r="AF410" s="55" t="n">
        <f aca="false">AD410+ROW()*0.000000001</f>
        <v>-7.53340796485122</v>
      </c>
      <c r="AG410" s="55" t="n">
        <f aca="false">AE410+ROW()*0.000000001</f>
        <v>40.6845398836843</v>
      </c>
    </row>
    <row r="411" customFormat="false" ht="15" hidden="false" customHeight="false" outlineLevel="0" collapsed="false">
      <c r="A411" s="0" t="n">
        <v>0</v>
      </c>
      <c r="B411" s="0" t="n">
        <v>5</v>
      </c>
      <c r="C411" s="0" t="n">
        <v>0</v>
      </c>
      <c r="D411" s="0" t="n">
        <v>1</v>
      </c>
      <c r="E411" s="0" t="n">
        <f aca="false">-1+A411*0.25</f>
        <v>-1</v>
      </c>
      <c r="F411" s="0" t="n">
        <f aca="false">-1+B411*0.25</f>
        <v>0.25</v>
      </c>
      <c r="G411" s="0" t="n">
        <f aca="false">-1+C411*0.25</f>
        <v>-1</v>
      </c>
      <c r="H411" s="0" t="n">
        <f aca="false">-1+D411*0.25</f>
        <v>-0.75</v>
      </c>
      <c r="I411" s="0" t="n">
        <f aca="false">1</f>
        <v>1</v>
      </c>
      <c r="J411" s="0" t="n">
        <f aca="false">E411</f>
        <v>-1</v>
      </c>
      <c r="K411" s="0" t="n">
        <f aca="false">F411</f>
        <v>0.25</v>
      </c>
      <c r="L411" s="0" t="n">
        <f aca="false">G411</f>
        <v>-1</v>
      </c>
      <c r="M411" s="0" t="n">
        <f aca="false">H411</f>
        <v>-0.75</v>
      </c>
      <c r="N411" s="0" t="n">
        <f aca="false">E411*F411</f>
        <v>-0.25</v>
      </c>
      <c r="O411" s="0" t="n">
        <f aca="false">E411*G411</f>
        <v>1</v>
      </c>
      <c r="P411" s="0" t="n">
        <f aca="false">E411*H411</f>
        <v>0.75</v>
      </c>
      <c r="Q411" s="0" t="n">
        <f aca="false">F411*G411</f>
        <v>-0.25</v>
      </c>
      <c r="R411" s="0" t="n">
        <f aca="false">F411*H411</f>
        <v>-0.1875</v>
      </c>
      <c r="S411" s="0" t="n">
        <f aca="false">G411*H411</f>
        <v>0.75</v>
      </c>
      <c r="T411" s="0" t="n">
        <f aca="false">E411*E411</f>
        <v>1</v>
      </c>
      <c r="U411" s="0" t="n">
        <f aca="false">F411*F411</f>
        <v>0.0625</v>
      </c>
      <c r="V411" s="0" t="n">
        <f aca="false">G411*G411</f>
        <v>1</v>
      </c>
      <c r="W411" s="0" t="n">
        <f aca="false">H411*H411</f>
        <v>0.5625</v>
      </c>
      <c r="X411" s="0" t="n">
        <f aca="false">SUMPRODUCT(I411:W411,_XtX!$B$96:$P$96)</f>
        <v>40.8368466739767</v>
      </c>
      <c r="Y411" s="0" t="n">
        <f aca="false">SUMPRODUCT(MMULT(I411:W411,_XtX!$B$78:$P$92),I411:W411)</f>
        <v>0.621372155975877</v>
      </c>
      <c r="Z411" s="0" t="n">
        <f aca="false">04_回帰ANOVA!$K$19*04_回帰ANOVA!$K$14*SQRT(1+Y411)</f>
        <v>1.65973880499872</v>
      </c>
      <c r="AA411" s="0" t="n">
        <f aca="false">X411-Z411</f>
        <v>39.1771078689779</v>
      </c>
      <c r="AB411" s="0" t="n">
        <f aca="false">X411+Z411</f>
        <v>42.4965854789754</v>
      </c>
      <c r="AC411" s="54" t="b">
        <f aca="false">AND(E411&gt;=01_因子設定!$L$5-0.000000001,E411&lt;=01_因子設定!$M$5+0.000000001,F411&gt;=01_因子設定!$L$6-0.000000001,F411&lt;=01_因子設定!$M$6+0.000000001,G411&gt;=01_因子設定!$L$7-0.000000001,G411&lt;=01_因子設定!$M$7+0.000000001,H411&gt;=01_因子設定!$L$8-0.000000001,H411&lt;=01_因子設定!$M$8+0.000000001,IF(01_因子設定!$B$20="Box-Behnken",E411^2+F411^2+G411^2+H411^2&lt;=2+0.000000001,TRUE()))</f>
        <v>1</v>
      </c>
      <c r="AD411" s="55" t="n">
        <f aca="false">IF(AC411,IF(01_因子設定!$B$13="最大化",AA411-01_因子設定!$B$14,IF(01_因子設定!$B$13="最小化",01_因子設定!$B$15-AB411,MIN(AA411-01_因子設定!$B$14,01_因子設定!$B$15-AB411))),-1E+030)</f>
        <v>-7.32289213102206</v>
      </c>
      <c r="AE411" s="55" t="n">
        <f aca="false">IF(AC411,IF(01_因子設定!$B$13="最大化",X411,IF(01_因子設定!$B$13="最小化",-X411,-ABS(X411-01_因子設定!$B$16))),-1E+030)</f>
        <v>40.8368466739767</v>
      </c>
      <c r="AF411" s="55" t="n">
        <f aca="false">AD411+ROW()*0.000000001</f>
        <v>-7.32289172002206</v>
      </c>
      <c r="AG411" s="55" t="n">
        <f aca="false">AE411+ROW()*0.000000001</f>
        <v>40.8368470849767</v>
      </c>
    </row>
    <row r="412" customFormat="false" ht="15" hidden="false" customHeight="false" outlineLevel="0" collapsed="false">
      <c r="A412" s="0" t="n">
        <v>0</v>
      </c>
      <c r="B412" s="0" t="n">
        <v>5</v>
      </c>
      <c r="C412" s="0" t="n">
        <v>0</v>
      </c>
      <c r="D412" s="0" t="n">
        <v>2</v>
      </c>
      <c r="E412" s="0" t="n">
        <f aca="false">-1+A412*0.25</f>
        <v>-1</v>
      </c>
      <c r="F412" s="0" t="n">
        <f aca="false">-1+B412*0.25</f>
        <v>0.25</v>
      </c>
      <c r="G412" s="0" t="n">
        <f aca="false">-1+C412*0.25</f>
        <v>-1</v>
      </c>
      <c r="H412" s="0" t="n">
        <f aca="false">-1+D412*0.25</f>
        <v>-0.5</v>
      </c>
      <c r="I412" s="0" t="n">
        <f aca="false">1</f>
        <v>1</v>
      </c>
      <c r="J412" s="0" t="n">
        <f aca="false">E412</f>
        <v>-1</v>
      </c>
      <c r="K412" s="0" t="n">
        <f aca="false">F412</f>
        <v>0.25</v>
      </c>
      <c r="L412" s="0" t="n">
        <f aca="false">G412</f>
        <v>-1</v>
      </c>
      <c r="M412" s="0" t="n">
        <f aca="false">H412</f>
        <v>-0.5</v>
      </c>
      <c r="N412" s="0" t="n">
        <f aca="false">E412*F412</f>
        <v>-0.25</v>
      </c>
      <c r="O412" s="0" t="n">
        <f aca="false">E412*G412</f>
        <v>1</v>
      </c>
      <c r="P412" s="0" t="n">
        <f aca="false">E412*H412</f>
        <v>0.5</v>
      </c>
      <c r="Q412" s="0" t="n">
        <f aca="false">F412*G412</f>
        <v>-0.25</v>
      </c>
      <c r="R412" s="0" t="n">
        <f aca="false">F412*H412</f>
        <v>-0.125</v>
      </c>
      <c r="S412" s="0" t="n">
        <f aca="false">G412*H412</f>
        <v>0.5</v>
      </c>
      <c r="T412" s="0" t="n">
        <f aca="false">E412*E412</f>
        <v>1</v>
      </c>
      <c r="U412" s="0" t="n">
        <f aca="false">F412*F412</f>
        <v>0.0625</v>
      </c>
      <c r="V412" s="0" t="n">
        <f aca="false">G412*G412</f>
        <v>1</v>
      </c>
      <c r="W412" s="0" t="n">
        <f aca="false">H412*H412</f>
        <v>0.25</v>
      </c>
      <c r="X412" s="0" t="n">
        <f aca="false">SUMPRODUCT(I412:W412,_XtX!$B$96:$P$96)</f>
        <v>40.9413468567252</v>
      </c>
      <c r="Y412" s="0" t="n">
        <f aca="false">SUMPRODUCT(MMULT(I412:W412,_XtX!$B$78:$P$92),I412:W412)</f>
        <v>0.629174661915205</v>
      </c>
      <c r="Z412" s="0" t="n">
        <f aca="false">04_回帰ANOVA!$K$19*04_回帰ANOVA!$K$14*SQRT(1+Y412)</f>
        <v>1.66372758058297</v>
      </c>
      <c r="AA412" s="0" t="n">
        <f aca="false">X412-Z412</f>
        <v>39.2776192761422</v>
      </c>
      <c r="AB412" s="0" t="n">
        <f aca="false">X412+Z412</f>
        <v>42.6050744373082</v>
      </c>
      <c r="AC412" s="54" t="b">
        <f aca="false">AND(E412&gt;=01_因子設定!$L$5-0.000000001,E412&lt;=01_因子設定!$M$5+0.000000001,F412&gt;=01_因子設定!$L$6-0.000000001,F412&lt;=01_因子設定!$M$6+0.000000001,G412&gt;=01_因子設定!$L$7-0.000000001,G412&lt;=01_因子設定!$M$7+0.000000001,H412&gt;=01_因子設定!$L$8-0.000000001,H412&lt;=01_因子設定!$M$8+0.000000001,IF(01_因子設定!$B$20="Box-Behnken",E412^2+F412^2+G412^2+H412^2&lt;=2+0.000000001,TRUE()))</f>
        <v>1</v>
      </c>
      <c r="AD412" s="55" t="n">
        <f aca="false">IF(AC412,IF(01_因子設定!$B$13="最大化",AA412-01_因子設定!$B$14,IF(01_因子設定!$B$13="最小化",01_因子設定!$B$15-AB412,MIN(AA412-01_因子設定!$B$14,01_因子設定!$B$15-AB412))),-1E+030)</f>
        <v>-7.22238072385779</v>
      </c>
      <c r="AE412" s="55" t="n">
        <f aca="false">IF(AC412,IF(01_因子設定!$B$13="最大化",X412,IF(01_因子設定!$B$13="最小化",-X412,-ABS(X412-01_因子設定!$B$16))),-1E+030)</f>
        <v>40.9413468567252</v>
      </c>
      <c r="AF412" s="55" t="n">
        <f aca="false">AD412+ROW()*0.000000001</f>
        <v>-7.22238031185779</v>
      </c>
      <c r="AG412" s="55" t="n">
        <f aca="false">AE412+ROW()*0.000000001</f>
        <v>40.9413472687252</v>
      </c>
    </row>
    <row r="413" customFormat="false" ht="15" hidden="false" customHeight="false" outlineLevel="0" collapsed="false">
      <c r="A413" s="0" t="n">
        <v>0</v>
      </c>
      <c r="B413" s="0" t="n">
        <v>5</v>
      </c>
      <c r="C413" s="0" t="n">
        <v>0</v>
      </c>
      <c r="D413" s="0" t="n">
        <v>3</v>
      </c>
      <c r="E413" s="0" t="n">
        <f aca="false">-1+A413*0.25</f>
        <v>-1</v>
      </c>
      <c r="F413" s="0" t="n">
        <f aca="false">-1+B413*0.25</f>
        <v>0.25</v>
      </c>
      <c r="G413" s="0" t="n">
        <f aca="false">-1+C413*0.25</f>
        <v>-1</v>
      </c>
      <c r="H413" s="0" t="n">
        <f aca="false">-1+D413*0.25</f>
        <v>-0.25</v>
      </c>
      <c r="I413" s="0" t="n">
        <f aca="false">1</f>
        <v>1</v>
      </c>
      <c r="J413" s="0" t="n">
        <f aca="false">E413</f>
        <v>-1</v>
      </c>
      <c r="K413" s="0" t="n">
        <f aca="false">F413</f>
        <v>0.25</v>
      </c>
      <c r="L413" s="0" t="n">
        <f aca="false">G413</f>
        <v>-1</v>
      </c>
      <c r="M413" s="0" t="n">
        <f aca="false">H413</f>
        <v>-0.25</v>
      </c>
      <c r="N413" s="0" t="n">
        <f aca="false">E413*F413</f>
        <v>-0.25</v>
      </c>
      <c r="O413" s="0" t="n">
        <f aca="false">E413*G413</f>
        <v>1</v>
      </c>
      <c r="P413" s="0" t="n">
        <f aca="false">E413*H413</f>
        <v>0.25</v>
      </c>
      <c r="Q413" s="0" t="n">
        <f aca="false">F413*G413</f>
        <v>-0.25</v>
      </c>
      <c r="R413" s="0" t="n">
        <f aca="false">F413*H413</f>
        <v>-0.0625</v>
      </c>
      <c r="S413" s="0" t="n">
        <f aca="false">G413*H413</f>
        <v>0.25</v>
      </c>
      <c r="T413" s="0" t="n">
        <f aca="false">E413*E413</f>
        <v>1</v>
      </c>
      <c r="U413" s="0" t="n">
        <f aca="false">F413*F413</f>
        <v>0.0625</v>
      </c>
      <c r="V413" s="0" t="n">
        <f aca="false">G413*G413</f>
        <v>1</v>
      </c>
      <c r="W413" s="0" t="n">
        <f aca="false">H413*H413</f>
        <v>0.0625</v>
      </c>
      <c r="X413" s="0" t="n">
        <f aca="false">SUMPRODUCT(I413:W413,_XtX!$B$96:$P$96)</f>
        <v>40.9980400219299</v>
      </c>
      <c r="Y413" s="0" t="n">
        <f aca="false">SUMPRODUCT(MMULT(I413:W413,_XtX!$B$78:$P$92),I413:W413)</f>
        <v>0.670040376005117</v>
      </c>
      <c r="Z413" s="0" t="n">
        <f aca="false">04_回帰ANOVA!$K$19*04_回帰ANOVA!$K$14*SQRT(1+Y413)</f>
        <v>1.68446456039992</v>
      </c>
      <c r="AA413" s="0" t="n">
        <f aca="false">X413-Z413</f>
        <v>39.3135754615299</v>
      </c>
      <c r="AB413" s="0" t="n">
        <f aca="false">X413+Z413</f>
        <v>42.6825045823298</v>
      </c>
      <c r="AC413" s="54" t="b">
        <f aca="false">AND(E413&gt;=01_因子設定!$L$5-0.000000001,E413&lt;=01_因子設定!$M$5+0.000000001,F413&gt;=01_因子設定!$L$6-0.000000001,F413&lt;=01_因子設定!$M$6+0.000000001,G413&gt;=01_因子設定!$L$7-0.000000001,G413&lt;=01_因子設定!$M$7+0.000000001,H413&gt;=01_因子設定!$L$8-0.000000001,H413&lt;=01_因子設定!$M$8+0.000000001,IF(01_因子設定!$B$20="Box-Behnken",E413^2+F413^2+G413^2+H413^2&lt;=2+0.000000001,TRUE()))</f>
        <v>1</v>
      </c>
      <c r="AD413" s="55" t="n">
        <f aca="false">IF(AC413,IF(01_因子設定!$B$13="最大化",AA413-01_因子設定!$B$14,IF(01_因子設定!$B$13="最小化",01_因子設定!$B$15-AB413,MIN(AA413-01_因子設定!$B$14,01_因子設定!$B$15-AB413))),-1E+030)</f>
        <v>-7.18642453847006</v>
      </c>
      <c r="AE413" s="55" t="n">
        <f aca="false">IF(AC413,IF(01_因子設定!$B$13="最大化",X413,IF(01_因子設定!$B$13="最小化",-X413,-ABS(X413-01_因子設定!$B$16))),-1E+030)</f>
        <v>40.9980400219299</v>
      </c>
      <c r="AF413" s="55" t="n">
        <f aca="false">AD413+ROW()*0.000000001</f>
        <v>-7.18642412547006</v>
      </c>
      <c r="AG413" s="55" t="n">
        <f aca="false">AE413+ROW()*0.000000001</f>
        <v>40.9980404349299</v>
      </c>
    </row>
    <row r="414" customFormat="false" ht="15" hidden="false" customHeight="false" outlineLevel="0" collapsed="false">
      <c r="A414" s="0" t="n">
        <v>0</v>
      </c>
      <c r="B414" s="0" t="n">
        <v>5</v>
      </c>
      <c r="C414" s="0" t="n">
        <v>0</v>
      </c>
      <c r="D414" s="0" t="n">
        <v>4</v>
      </c>
      <c r="E414" s="0" t="n">
        <f aca="false">-1+A414*0.25</f>
        <v>-1</v>
      </c>
      <c r="F414" s="0" t="n">
        <f aca="false">-1+B414*0.25</f>
        <v>0.25</v>
      </c>
      <c r="G414" s="0" t="n">
        <f aca="false">-1+C414*0.25</f>
        <v>-1</v>
      </c>
      <c r="H414" s="0" t="n">
        <f aca="false">-1+D414*0.25</f>
        <v>0</v>
      </c>
      <c r="I414" s="0" t="n">
        <f aca="false">1</f>
        <v>1</v>
      </c>
      <c r="J414" s="0" t="n">
        <f aca="false">E414</f>
        <v>-1</v>
      </c>
      <c r="K414" s="0" t="n">
        <f aca="false">F414</f>
        <v>0.25</v>
      </c>
      <c r="L414" s="0" t="n">
        <f aca="false">G414</f>
        <v>-1</v>
      </c>
      <c r="M414" s="0" t="n">
        <f aca="false">H414</f>
        <v>0</v>
      </c>
      <c r="N414" s="0" t="n">
        <f aca="false">E414*F414</f>
        <v>-0.25</v>
      </c>
      <c r="O414" s="0" t="n">
        <f aca="false">E414*G414</f>
        <v>1</v>
      </c>
      <c r="P414" s="0" t="n">
        <f aca="false">E414*H414</f>
        <v>-0</v>
      </c>
      <c r="Q414" s="0" t="n">
        <f aca="false">F414*G414</f>
        <v>-0.25</v>
      </c>
      <c r="R414" s="0" t="n">
        <f aca="false">F414*H414</f>
        <v>0</v>
      </c>
      <c r="S414" s="0" t="n">
        <f aca="false">G414*H414</f>
        <v>-0</v>
      </c>
      <c r="T414" s="0" t="n">
        <f aca="false">E414*E414</f>
        <v>1</v>
      </c>
      <c r="U414" s="0" t="n">
        <f aca="false">F414*F414</f>
        <v>0.0625</v>
      </c>
      <c r="V414" s="0" t="n">
        <f aca="false">G414*G414</f>
        <v>1</v>
      </c>
      <c r="W414" s="0" t="n">
        <f aca="false">H414*H414</f>
        <v>0</v>
      </c>
      <c r="X414" s="0" t="n">
        <f aca="false">SUMPRODUCT(I414:W414,_XtX!$B$96:$P$96)</f>
        <v>41.0069261695907</v>
      </c>
      <c r="Y414" s="0" t="n">
        <f aca="false">SUMPRODUCT(MMULT(I414:W414,_XtX!$B$78:$P$92),I414:W414)</f>
        <v>0.689692982456141</v>
      </c>
      <c r="Z414" s="0" t="n">
        <f aca="false">04_回帰ANOVA!$K$19*04_回帰ANOVA!$K$14*SQRT(1+Y414)</f>
        <v>1.69434674594998</v>
      </c>
      <c r="AA414" s="0" t="n">
        <f aca="false">X414-Z414</f>
        <v>39.3125794236407</v>
      </c>
      <c r="AB414" s="0" t="n">
        <f aca="false">X414+Z414</f>
        <v>42.7012729155407</v>
      </c>
      <c r="AC414" s="54" t="b">
        <f aca="false">AND(E414&gt;=01_因子設定!$L$5-0.000000001,E414&lt;=01_因子設定!$M$5+0.000000001,F414&gt;=01_因子設定!$L$6-0.000000001,F414&lt;=01_因子設定!$M$6+0.000000001,G414&gt;=01_因子設定!$L$7-0.000000001,G414&lt;=01_因子設定!$M$7+0.000000001,H414&gt;=01_因子設定!$L$8-0.000000001,H414&lt;=01_因子設定!$M$8+0.000000001,IF(01_因子設定!$B$20="Box-Behnken",E414^2+F414^2+G414^2+H414^2&lt;=2+0.000000001,TRUE()))</f>
        <v>1</v>
      </c>
      <c r="AD414" s="55" t="n">
        <f aca="false">IF(AC414,IF(01_因子設定!$B$13="最大化",AA414-01_因子設定!$B$14,IF(01_因子設定!$B$13="最小化",01_因子設定!$B$15-AB414,MIN(AA414-01_因子設定!$B$14,01_因子設定!$B$15-AB414))),-1E+030)</f>
        <v>-7.18742057635932</v>
      </c>
      <c r="AE414" s="55" t="n">
        <f aca="false">IF(AC414,IF(01_因子設定!$B$13="最大化",X414,IF(01_因子設定!$B$13="最小化",-X414,-ABS(X414-01_因子設定!$B$16))),-1E+030)</f>
        <v>41.0069261695907</v>
      </c>
      <c r="AF414" s="55" t="n">
        <f aca="false">AD414+ROW()*0.000000001</f>
        <v>-7.18742016235932</v>
      </c>
      <c r="AG414" s="55" t="n">
        <f aca="false">AE414+ROW()*0.000000001</f>
        <v>41.0069265835907</v>
      </c>
    </row>
    <row r="415" customFormat="false" ht="15" hidden="false" customHeight="false" outlineLevel="0" collapsed="false">
      <c r="A415" s="0" t="n">
        <v>0</v>
      </c>
      <c r="B415" s="0" t="n">
        <v>5</v>
      </c>
      <c r="C415" s="0" t="n">
        <v>0</v>
      </c>
      <c r="D415" s="0" t="n">
        <v>5</v>
      </c>
      <c r="E415" s="0" t="n">
        <f aca="false">-1+A415*0.25</f>
        <v>-1</v>
      </c>
      <c r="F415" s="0" t="n">
        <f aca="false">-1+B415*0.25</f>
        <v>0.25</v>
      </c>
      <c r="G415" s="0" t="n">
        <f aca="false">-1+C415*0.25</f>
        <v>-1</v>
      </c>
      <c r="H415" s="0" t="n">
        <f aca="false">-1+D415*0.25</f>
        <v>0.25</v>
      </c>
      <c r="I415" s="0" t="n">
        <f aca="false">1</f>
        <v>1</v>
      </c>
      <c r="J415" s="0" t="n">
        <f aca="false">E415</f>
        <v>-1</v>
      </c>
      <c r="K415" s="0" t="n">
        <f aca="false">F415</f>
        <v>0.25</v>
      </c>
      <c r="L415" s="0" t="n">
        <f aca="false">G415</f>
        <v>-1</v>
      </c>
      <c r="M415" s="0" t="n">
        <f aca="false">H415</f>
        <v>0.25</v>
      </c>
      <c r="N415" s="0" t="n">
        <f aca="false">E415*F415</f>
        <v>-0.25</v>
      </c>
      <c r="O415" s="0" t="n">
        <f aca="false">E415*G415</f>
        <v>1</v>
      </c>
      <c r="P415" s="0" t="n">
        <f aca="false">E415*H415</f>
        <v>-0.25</v>
      </c>
      <c r="Q415" s="0" t="n">
        <f aca="false">F415*G415</f>
        <v>-0.25</v>
      </c>
      <c r="R415" s="0" t="n">
        <f aca="false">F415*H415</f>
        <v>0.0625</v>
      </c>
      <c r="S415" s="0" t="n">
        <f aca="false">G415*H415</f>
        <v>-0.25</v>
      </c>
      <c r="T415" s="0" t="n">
        <f aca="false">E415*E415</f>
        <v>1</v>
      </c>
      <c r="U415" s="0" t="n">
        <f aca="false">F415*F415</f>
        <v>0.0625</v>
      </c>
      <c r="V415" s="0" t="n">
        <f aca="false">G415*G415</f>
        <v>1</v>
      </c>
      <c r="W415" s="0" t="n">
        <f aca="false">H415*H415</f>
        <v>0.0625</v>
      </c>
      <c r="X415" s="0" t="n">
        <f aca="false">SUMPRODUCT(I415:W415,_XtX!$B$96:$P$96)</f>
        <v>40.9680052997076</v>
      </c>
      <c r="Y415" s="0" t="n">
        <f aca="false">SUMPRODUCT(MMULT(I415:W415,_XtX!$B$78:$P$92),I415:W415)</f>
        <v>0.670040376005117</v>
      </c>
      <c r="Z415" s="0" t="n">
        <f aca="false">04_回帰ANOVA!$K$19*04_回帰ANOVA!$K$14*SQRT(1+Y415)</f>
        <v>1.68446456039992</v>
      </c>
      <c r="AA415" s="0" t="n">
        <f aca="false">X415-Z415</f>
        <v>39.2835407393077</v>
      </c>
      <c r="AB415" s="0" t="n">
        <f aca="false">X415+Z415</f>
        <v>42.6524698601076</v>
      </c>
      <c r="AC415" s="54" t="b">
        <f aca="false">AND(E415&gt;=01_因子設定!$L$5-0.000000001,E415&lt;=01_因子設定!$M$5+0.000000001,F415&gt;=01_因子設定!$L$6-0.000000001,F415&lt;=01_因子設定!$M$6+0.000000001,G415&gt;=01_因子設定!$L$7-0.000000001,G415&lt;=01_因子設定!$M$7+0.000000001,H415&gt;=01_因子設定!$L$8-0.000000001,H415&lt;=01_因子設定!$M$8+0.000000001,IF(01_因子設定!$B$20="Box-Behnken",E415^2+F415^2+G415^2+H415^2&lt;=2+0.000000001,TRUE()))</f>
        <v>1</v>
      </c>
      <c r="AD415" s="55" t="n">
        <f aca="false">IF(AC415,IF(01_因子設定!$B$13="最大化",AA415-01_因子設定!$B$14,IF(01_因子設定!$B$13="最小化",01_因子設定!$B$15-AB415,MIN(AA415-01_因子設定!$B$14,01_因子設定!$B$15-AB415))),-1E+030)</f>
        <v>-7.21645926069228</v>
      </c>
      <c r="AE415" s="55" t="n">
        <f aca="false">IF(AC415,IF(01_因子設定!$B$13="最大化",X415,IF(01_因子設定!$B$13="最小化",-X415,-ABS(X415-01_因子設定!$B$16))),-1E+030)</f>
        <v>40.9680052997076</v>
      </c>
      <c r="AF415" s="55" t="n">
        <f aca="false">AD415+ROW()*0.000000001</f>
        <v>-7.21645884569228</v>
      </c>
      <c r="AG415" s="55" t="n">
        <f aca="false">AE415+ROW()*0.000000001</f>
        <v>40.9680057147076</v>
      </c>
    </row>
    <row r="416" customFormat="false" ht="15" hidden="false" customHeight="false" outlineLevel="0" collapsed="false">
      <c r="A416" s="0" t="n">
        <v>0</v>
      </c>
      <c r="B416" s="0" t="n">
        <v>5</v>
      </c>
      <c r="C416" s="0" t="n">
        <v>0</v>
      </c>
      <c r="D416" s="0" t="n">
        <v>6</v>
      </c>
      <c r="E416" s="0" t="n">
        <f aca="false">-1+A416*0.25</f>
        <v>-1</v>
      </c>
      <c r="F416" s="0" t="n">
        <f aca="false">-1+B416*0.25</f>
        <v>0.25</v>
      </c>
      <c r="G416" s="0" t="n">
        <f aca="false">-1+C416*0.25</f>
        <v>-1</v>
      </c>
      <c r="H416" s="0" t="n">
        <f aca="false">-1+D416*0.25</f>
        <v>0.5</v>
      </c>
      <c r="I416" s="0" t="n">
        <f aca="false">1</f>
        <v>1</v>
      </c>
      <c r="J416" s="0" t="n">
        <f aca="false">E416</f>
        <v>-1</v>
      </c>
      <c r="K416" s="0" t="n">
        <f aca="false">F416</f>
        <v>0.25</v>
      </c>
      <c r="L416" s="0" t="n">
        <f aca="false">G416</f>
        <v>-1</v>
      </c>
      <c r="M416" s="0" t="n">
        <f aca="false">H416</f>
        <v>0.5</v>
      </c>
      <c r="N416" s="0" t="n">
        <f aca="false">E416*F416</f>
        <v>-0.25</v>
      </c>
      <c r="O416" s="0" t="n">
        <f aca="false">E416*G416</f>
        <v>1</v>
      </c>
      <c r="P416" s="0" t="n">
        <f aca="false">E416*H416</f>
        <v>-0.5</v>
      </c>
      <c r="Q416" s="0" t="n">
        <f aca="false">F416*G416</f>
        <v>-0.25</v>
      </c>
      <c r="R416" s="0" t="n">
        <f aca="false">F416*H416</f>
        <v>0.125</v>
      </c>
      <c r="S416" s="0" t="n">
        <f aca="false">G416*H416</f>
        <v>-0.5</v>
      </c>
      <c r="T416" s="0" t="n">
        <f aca="false">E416*E416</f>
        <v>1</v>
      </c>
      <c r="U416" s="0" t="n">
        <f aca="false">F416*F416</f>
        <v>0.0625</v>
      </c>
      <c r="V416" s="0" t="n">
        <f aca="false">G416*G416</f>
        <v>1</v>
      </c>
      <c r="W416" s="0" t="n">
        <f aca="false">H416*H416</f>
        <v>0.25</v>
      </c>
      <c r="X416" s="0" t="n">
        <f aca="false">SUMPRODUCT(I416:W416,_XtX!$B$96:$P$96)</f>
        <v>40.8812774122807</v>
      </c>
      <c r="Y416" s="0" t="n">
        <f aca="false">SUMPRODUCT(MMULT(I416:W416,_XtX!$B$78:$P$92),I416:W416)</f>
        <v>0.629174661915205</v>
      </c>
      <c r="Z416" s="0" t="n">
        <f aca="false">04_回帰ANOVA!$K$19*04_回帰ANOVA!$K$14*SQRT(1+Y416)</f>
        <v>1.66372758058297</v>
      </c>
      <c r="AA416" s="0" t="n">
        <f aca="false">X416-Z416</f>
        <v>39.2175498316978</v>
      </c>
      <c r="AB416" s="0" t="n">
        <f aca="false">X416+Z416</f>
        <v>42.5450049928637</v>
      </c>
      <c r="AC416" s="54" t="b">
        <f aca="false">AND(E416&gt;=01_因子設定!$L$5-0.000000001,E416&lt;=01_因子設定!$M$5+0.000000001,F416&gt;=01_因子設定!$L$6-0.000000001,F416&lt;=01_因子設定!$M$6+0.000000001,G416&gt;=01_因子設定!$L$7-0.000000001,G416&lt;=01_因子設定!$M$7+0.000000001,H416&gt;=01_因子設定!$L$8-0.000000001,H416&lt;=01_因子設定!$M$8+0.000000001,IF(01_因子設定!$B$20="Box-Behnken",E416^2+F416^2+G416^2+H416^2&lt;=2+0.000000001,TRUE()))</f>
        <v>1</v>
      </c>
      <c r="AD416" s="55" t="n">
        <f aca="false">IF(AC416,IF(01_因子設定!$B$13="最大化",AA416-01_因子設定!$B$14,IF(01_因子設定!$B$13="最小化",01_因子設定!$B$15-AB416,MIN(AA416-01_因子設定!$B$14,01_因子設定!$B$15-AB416))),-1E+030)</f>
        <v>-7.28245016830223</v>
      </c>
      <c r="AE416" s="55" t="n">
        <f aca="false">IF(AC416,IF(01_因子設定!$B$13="最大化",X416,IF(01_因子設定!$B$13="最小化",-X416,-ABS(X416-01_因子設定!$B$16))),-1E+030)</f>
        <v>40.8812774122807</v>
      </c>
      <c r="AF416" s="55" t="n">
        <f aca="false">AD416+ROW()*0.000000001</f>
        <v>-7.28244975230223</v>
      </c>
      <c r="AG416" s="55" t="n">
        <f aca="false">AE416+ROW()*0.000000001</f>
        <v>40.8812778282807</v>
      </c>
    </row>
    <row r="417" customFormat="false" ht="15" hidden="false" customHeight="false" outlineLevel="0" collapsed="false">
      <c r="A417" s="0" t="n">
        <v>0</v>
      </c>
      <c r="B417" s="0" t="n">
        <v>5</v>
      </c>
      <c r="C417" s="0" t="n">
        <v>0</v>
      </c>
      <c r="D417" s="0" t="n">
        <v>7</v>
      </c>
      <c r="E417" s="0" t="n">
        <f aca="false">-1+A417*0.25</f>
        <v>-1</v>
      </c>
      <c r="F417" s="0" t="n">
        <f aca="false">-1+B417*0.25</f>
        <v>0.25</v>
      </c>
      <c r="G417" s="0" t="n">
        <f aca="false">-1+C417*0.25</f>
        <v>-1</v>
      </c>
      <c r="H417" s="0" t="n">
        <f aca="false">-1+D417*0.25</f>
        <v>0.75</v>
      </c>
      <c r="I417" s="0" t="n">
        <f aca="false">1</f>
        <v>1</v>
      </c>
      <c r="J417" s="0" t="n">
        <f aca="false">E417</f>
        <v>-1</v>
      </c>
      <c r="K417" s="0" t="n">
        <f aca="false">F417</f>
        <v>0.25</v>
      </c>
      <c r="L417" s="0" t="n">
        <f aca="false">G417</f>
        <v>-1</v>
      </c>
      <c r="M417" s="0" t="n">
        <f aca="false">H417</f>
        <v>0.75</v>
      </c>
      <c r="N417" s="0" t="n">
        <f aca="false">E417*F417</f>
        <v>-0.25</v>
      </c>
      <c r="O417" s="0" t="n">
        <f aca="false">E417*G417</f>
        <v>1</v>
      </c>
      <c r="P417" s="0" t="n">
        <f aca="false">E417*H417</f>
        <v>-0.75</v>
      </c>
      <c r="Q417" s="0" t="n">
        <f aca="false">F417*G417</f>
        <v>-0.25</v>
      </c>
      <c r="R417" s="0" t="n">
        <f aca="false">F417*H417</f>
        <v>0.1875</v>
      </c>
      <c r="S417" s="0" t="n">
        <f aca="false">G417*H417</f>
        <v>-0.75</v>
      </c>
      <c r="T417" s="0" t="n">
        <f aca="false">E417*E417</f>
        <v>1</v>
      </c>
      <c r="U417" s="0" t="n">
        <f aca="false">F417*F417</f>
        <v>0.0625</v>
      </c>
      <c r="V417" s="0" t="n">
        <f aca="false">G417*G417</f>
        <v>1</v>
      </c>
      <c r="W417" s="0" t="n">
        <f aca="false">H417*H417</f>
        <v>0.5625</v>
      </c>
      <c r="X417" s="0" t="n">
        <f aca="false">SUMPRODUCT(I417:W417,_XtX!$B$96:$P$96)</f>
        <v>40.74674250731</v>
      </c>
      <c r="Y417" s="0" t="n">
        <f aca="false">SUMPRODUCT(MMULT(I417:W417,_XtX!$B$78:$P$92),I417:W417)</f>
        <v>0.621372155975877</v>
      </c>
      <c r="Z417" s="0" t="n">
        <f aca="false">04_回帰ANOVA!$K$19*04_回帰ANOVA!$K$14*SQRT(1+Y417)</f>
        <v>1.65973880499872</v>
      </c>
      <c r="AA417" s="0" t="n">
        <f aca="false">X417-Z417</f>
        <v>39.0870037023113</v>
      </c>
      <c r="AB417" s="0" t="n">
        <f aca="false">X417+Z417</f>
        <v>42.4064813123087</v>
      </c>
      <c r="AC417" s="54" t="b">
        <f aca="false">AND(E417&gt;=01_因子設定!$L$5-0.000000001,E417&lt;=01_因子設定!$M$5+0.000000001,F417&gt;=01_因子設定!$L$6-0.000000001,F417&lt;=01_因子設定!$M$6+0.000000001,G417&gt;=01_因子設定!$L$7-0.000000001,G417&lt;=01_因子設定!$M$7+0.000000001,H417&gt;=01_因子設定!$L$8-0.000000001,H417&lt;=01_因子設定!$M$8+0.000000001,IF(01_因子設定!$B$20="Box-Behnken",E417^2+F417^2+G417^2+H417^2&lt;=2+0.000000001,TRUE()))</f>
        <v>1</v>
      </c>
      <c r="AD417" s="55" t="n">
        <f aca="false">IF(AC417,IF(01_因子設定!$B$13="最大化",AA417-01_因子設定!$B$14,IF(01_因子設定!$B$13="最小化",01_因子設定!$B$15-AB417,MIN(AA417-01_因子設定!$B$14,01_因子設定!$B$15-AB417))),-1E+030)</f>
        <v>-7.41299629768873</v>
      </c>
      <c r="AE417" s="55" t="n">
        <f aca="false">IF(AC417,IF(01_因子設定!$B$13="最大化",X417,IF(01_因子設定!$B$13="最小化",-X417,-ABS(X417-01_因子設定!$B$16))),-1E+030)</f>
        <v>40.74674250731</v>
      </c>
      <c r="AF417" s="55" t="n">
        <f aca="false">AD417+ROW()*0.000000001</f>
        <v>-7.41299588068873</v>
      </c>
      <c r="AG417" s="55" t="n">
        <f aca="false">AE417+ROW()*0.000000001</f>
        <v>40.74674292431</v>
      </c>
    </row>
    <row r="418" customFormat="false" ht="15" hidden="false" customHeight="false" outlineLevel="0" collapsed="false">
      <c r="A418" s="0" t="n">
        <v>0</v>
      </c>
      <c r="B418" s="0" t="n">
        <v>5</v>
      </c>
      <c r="C418" s="0" t="n">
        <v>0</v>
      </c>
      <c r="D418" s="0" t="n">
        <v>8</v>
      </c>
      <c r="E418" s="0" t="n">
        <f aca="false">-1+A418*0.25</f>
        <v>-1</v>
      </c>
      <c r="F418" s="0" t="n">
        <f aca="false">-1+B418*0.25</f>
        <v>0.25</v>
      </c>
      <c r="G418" s="0" t="n">
        <f aca="false">-1+C418*0.25</f>
        <v>-1</v>
      </c>
      <c r="H418" s="0" t="n">
        <f aca="false">-1+D418*0.25</f>
        <v>1</v>
      </c>
      <c r="I418" s="0" t="n">
        <f aca="false">1</f>
        <v>1</v>
      </c>
      <c r="J418" s="0" t="n">
        <f aca="false">E418</f>
        <v>-1</v>
      </c>
      <c r="K418" s="0" t="n">
        <f aca="false">F418</f>
        <v>0.25</v>
      </c>
      <c r="L418" s="0" t="n">
        <f aca="false">G418</f>
        <v>-1</v>
      </c>
      <c r="M418" s="0" t="n">
        <f aca="false">H418</f>
        <v>1</v>
      </c>
      <c r="N418" s="0" t="n">
        <f aca="false">E418*F418</f>
        <v>-0.25</v>
      </c>
      <c r="O418" s="0" t="n">
        <f aca="false">E418*G418</f>
        <v>1</v>
      </c>
      <c r="P418" s="0" t="n">
        <f aca="false">E418*H418</f>
        <v>-1</v>
      </c>
      <c r="Q418" s="0" t="n">
        <f aca="false">F418*G418</f>
        <v>-0.25</v>
      </c>
      <c r="R418" s="0" t="n">
        <f aca="false">F418*H418</f>
        <v>0.25</v>
      </c>
      <c r="S418" s="0" t="n">
        <f aca="false">G418*H418</f>
        <v>-1</v>
      </c>
      <c r="T418" s="0" t="n">
        <f aca="false">E418*E418</f>
        <v>1</v>
      </c>
      <c r="U418" s="0" t="n">
        <f aca="false">F418*F418</f>
        <v>0.0625</v>
      </c>
      <c r="V418" s="0" t="n">
        <f aca="false">G418*G418</f>
        <v>1</v>
      </c>
      <c r="W418" s="0" t="n">
        <f aca="false">H418*H418</f>
        <v>1</v>
      </c>
      <c r="X418" s="0" t="n">
        <f aca="false">SUMPRODUCT(I418:W418,_XtX!$B$96:$P$96)</f>
        <v>40.5644005847954</v>
      </c>
      <c r="Y418" s="0" t="n">
        <f aca="false">SUMPRODUCT(MMULT(I418:W418,_XtX!$B$78:$P$92),I418:W418)</f>
        <v>0.737093384502924</v>
      </c>
      <c r="Z418" s="0" t="n">
        <f aca="false">04_回帰ANOVA!$K$19*04_回帰ANOVA!$K$14*SQRT(1+Y418)</f>
        <v>1.71794784853551</v>
      </c>
      <c r="AA418" s="0" t="n">
        <f aca="false">X418-Z418</f>
        <v>38.8464527362599</v>
      </c>
      <c r="AB418" s="0" t="n">
        <f aca="false">X418+Z418</f>
        <v>42.2823484333309</v>
      </c>
      <c r="AC418" s="54" t="b">
        <f aca="false">AND(E418&gt;=01_因子設定!$L$5-0.000000001,E418&lt;=01_因子設定!$M$5+0.000000001,F418&gt;=01_因子設定!$L$6-0.000000001,F418&lt;=01_因子設定!$M$6+0.000000001,G418&gt;=01_因子設定!$L$7-0.000000001,G418&lt;=01_因子設定!$M$7+0.000000001,H418&gt;=01_因子設定!$L$8-0.000000001,H418&lt;=01_因子設定!$M$8+0.000000001,IF(01_因子設定!$B$20="Box-Behnken",E418^2+F418^2+G418^2+H418^2&lt;=2+0.000000001,TRUE()))</f>
        <v>1</v>
      </c>
      <c r="AD418" s="55" t="n">
        <f aca="false">IF(AC418,IF(01_因子設定!$B$13="最大化",AA418-01_因子設定!$B$14,IF(01_因子設定!$B$13="最小化",01_因子設定!$B$15-AB418,MIN(AA418-01_因子設定!$B$14,01_因子設定!$B$15-AB418))),-1E+030)</f>
        <v>-7.65354726374012</v>
      </c>
      <c r="AE418" s="55" t="n">
        <f aca="false">IF(AC418,IF(01_因子設定!$B$13="最大化",X418,IF(01_因子設定!$B$13="最小化",-X418,-ABS(X418-01_因子設定!$B$16))),-1E+030)</f>
        <v>40.5644005847954</v>
      </c>
      <c r="AF418" s="55" t="n">
        <f aca="false">AD418+ROW()*0.000000001</f>
        <v>-7.65354684574012</v>
      </c>
      <c r="AG418" s="55" t="n">
        <f aca="false">AE418+ROW()*0.000000001</f>
        <v>40.5644010027954</v>
      </c>
    </row>
    <row r="419" customFormat="false" ht="15" hidden="false" customHeight="false" outlineLevel="0" collapsed="false">
      <c r="A419" s="0" t="n">
        <v>0</v>
      </c>
      <c r="B419" s="0" t="n">
        <v>5</v>
      </c>
      <c r="C419" s="0" t="n">
        <v>1</v>
      </c>
      <c r="D419" s="0" t="n">
        <v>0</v>
      </c>
      <c r="E419" s="0" t="n">
        <f aca="false">-1+A419*0.25</f>
        <v>-1</v>
      </c>
      <c r="F419" s="0" t="n">
        <f aca="false">-1+B419*0.25</f>
        <v>0.25</v>
      </c>
      <c r="G419" s="0" t="n">
        <f aca="false">-1+C419*0.25</f>
        <v>-0.75</v>
      </c>
      <c r="H419" s="0" t="n">
        <f aca="false">-1+D419*0.25</f>
        <v>-1</v>
      </c>
      <c r="I419" s="0" t="n">
        <f aca="false">1</f>
        <v>1</v>
      </c>
      <c r="J419" s="0" t="n">
        <f aca="false">E419</f>
        <v>-1</v>
      </c>
      <c r="K419" s="0" t="n">
        <f aca="false">F419</f>
        <v>0.25</v>
      </c>
      <c r="L419" s="0" t="n">
        <f aca="false">G419</f>
        <v>-0.75</v>
      </c>
      <c r="M419" s="0" t="n">
        <f aca="false">H419</f>
        <v>-1</v>
      </c>
      <c r="N419" s="0" t="n">
        <f aca="false">E419*F419</f>
        <v>-0.25</v>
      </c>
      <c r="O419" s="0" t="n">
        <f aca="false">E419*G419</f>
        <v>0.75</v>
      </c>
      <c r="P419" s="0" t="n">
        <f aca="false">E419*H419</f>
        <v>1</v>
      </c>
      <c r="Q419" s="0" t="n">
        <f aca="false">F419*G419</f>
        <v>-0.1875</v>
      </c>
      <c r="R419" s="0" t="n">
        <f aca="false">F419*H419</f>
        <v>-0.25</v>
      </c>
      <c r="S419" s="0" t="n">
        <f aca="false">G419*H419</f>
        <v>0.75</v>
      </c>
      <c r="T419" s="0" t="n">
        <f aca="false">E419*E419</f>
        <v>1</v>
      </c>
      <c r="U419" s="0" t="n">
        <f aca="false">F419*F419</f>
        <v>0.0625</v>
      </c>
      <c r="V419" s="0" t="n">
        <f aca="false">G419*G419</f>
        <v>0.5625</v>
      </c>
      <c r="W419" s="0" t="n">
        <f aca="false">H419*H419</f>
        <v>1</v>
      </c>
      <c r="X419" s="0" t="n">
        <f aca="false">SUMPRODUCT(I419:W419,_XtX!$B$96:$P$96)</f>
        <v>41.3391036184211</v>
      </c>
      <c r="Y419" s="0" t="n">
        <f aca="false">SUMPRODUCT(MMULT(I419:W419,_XtX!$B$78:$P$92),I419:W419)</f>
        <v>0.621372155975877</v>
      </c>
      <c r="Z419" s="0" t="n">
        <f aca="false">04_回帰ANOVA!$K$19*04_回帰ANOVA!$K$14*SQRT(1+Y419)</f>
        <v>1.65973880499872</v>
      </c>
      <c r="AA419" s="0" t="n">
        <f aca="false">X419-Z419</f>
        <v>39.6793648134224</v>
      </c>
      <c r="AB419" s="0" t="n">
        <f aca="false">X419+Z419</f>
        <v>42.9988424234198</v>
      </c>
      <c r="AC419" s="54" t="b">
        <f aca="false">AND(E419&gt;=01_因子設定!$L$5-0.000000001,E419&lt;=01_因子設定!$M$5+0.000000001,F419&gt;=01_因子設定!$L$6-0.000000001,F419&lt;=01_因子設定!$M$6+0.000000001,G419&gt;=01_因子設定!$L$7-0.000000001,G419&lt;=01_因子設定!$M$7+0.000000001,H419&gt;=01_因子設定!$L$8-0.000000001,H419&lt;=01_因子設定!$M$8+0.000000001,IF(01_因子設定!$B$20="Box-Behnken",E419^2+F419^2+G419^2+H419^2&lt;=2+0.000000001,TRUE()))</f>
        <v>1</v>
      </c>
      <c r="AD419" s="55" t="n">
        <f aca="false">IF(AC419,IF(01_因子設定!$B$13="最大化",AA419-01_因子設定!$B$14,IF(01_因子設定!$B$13="最小化",01_因子設定!$B$15-AB419,MIN(AA419-01_因子設定!$B$14,01_因子設定!$B$15-AB419))),-1E+030)</f>
        <v>-6.8206351865776</v>
      </c>
      <c r="AE419" s="55" t="n">
        <f aca="false">IF(AC419,IF(01_因子設定!$B$13="最大化",X419,IF(01_因子設定!$B$13="最小化",-X419,-ABS(X419-01_因子設定!$B$16))),-1E+030)</f>
        <v>41.3391036184211</v>
      </c>
      <c r="AF419" s="55" t="n">
        <f aca="false">AD419+ROW()*0.000000001</f>
        <v>-6.8206347675776</v>
      </c>
      <c r="AG419" s="55" t="n">
        <f aca="false">AE419+ROW()*0.000000001</f>
        <v>41.3391040374211</v>
      </c>
    </row>
    <row r="420" customFormat="false" ht="15" hidden="false" customHeight="false" outlineLevel="0" collapsed="false">
      <c r="A420" s="0" t="n">
        <v>0</v>
      </c>
      <c r="B420" s="0" t="n">
        <v>5</v>
      </c>
      <c r="C420" s="0" t="n">
        <v>1</v>
      </c>
      <c r="D420" s="0" t="n">
        <v>1</v>
      </c>
      <c r="E420" s="0" t="n">
        <f aca="false">-1+A420*0.25</f>
        <v>-1</v>
      </c>
      <c r="F420" s="0" t="n">
        <f aca="false">-1+B420*0.25</f>
        <v>0.25</v>
      </c>
      <c r="G420" s="0" t="n">
        <f aca="false">-1+C420*0.25</f>
        <v>-0.75</v>
      </c>
      <c r="H420" s="0" t="n">
        <f aca="false">-1+D420*0.25</f>
        <v>-0.75</v>
      </c>
      <c r="I420" s="0" t="n">
        <f aca="false">1</f>
        <v>1</v>
      </c>
      <c r="J420" s="0" t="n">
        <f aca="false">E420</f>
        <v>-1</v>
      </c>
      <c r="K420" s="0" t="n">
        <f aca="false">F420</f>
        <v>0.25</v>
      </c>
      <c r="L420" s="0" t="n">
        <f aca="false">G420</f>
        <v>-0.75</v>
      </c>
      <c r="M420" s="0" t="n">
        <f aca="false">H420</f>
        <v>-0.75</v>
      </c>
      <c r="N420" s="0" t="n">
        <f aca="false">E420*F420</f>
        <v>-0.25</v>
      </c>
      <c r="O420" s="0" t="n">
        <f aca="false">E420*G420</f>
        <v>0.75</v>
      </c>
      <c r="P420" s="0" t="n">
        <f aca="false">E420*H420</f>
        <v>0.75</v>
      </c>
      <c r="Q420" s="0" t="n">
        <f aca="false">F420*G420</f>
        <v>-0.1875</v>
      </c>
      <c r="R420" s="0" t="n">
        <f aca="false">F420*H420</f>
        <v>-0.1875</v>
      </c>
      <c r="S420" s="0" t="n">
        <f aca="false">G420*H420</f>
        <v>0.5625</v>
      </c>
      <c r="T420" s="0" t="n">
        <f aca="false">E420*E420</f>
        <v>1</v>
      </c>
      <c r="U420" s="0" t="n">
        <f aca="false">F420*F420</f>
        <v>0.0625</v>
      </c>
      <c r="V420" s="0" t="n">
        <f aca="false">G420*G420</f>
        <v>0.5625</v>
      </c>
      <c r="W420" s="0" t="n">
        <f aca="false">H420*H420</f>
        <v>0.5625</v>
      </c>
      <c r="X420" s="0" t="n">
        <f aca="false">SUMPRODUCT(I420:W420,_XtX!$B$96:$P$96)</f>
        <v>41.5093795687135</v>
      </c>
      <c r="Y420" s="0" t="n">
        <f aca="false">SUMPRODUCT(MMULT(I420:W420,_XtX!$B$78:$P$92),I420:W420)</f>
        <v>0.473959761056287</v>
      </c>
      <c r="Z420" s="0" t="n">
        <f aca="false">04_回帰ANOVA!$K$19*04_回帰ANOVA!$K$14*SQRT(1+Y420)</f>
        <v>1.58249084588329</v>
      </c>
      <c r="AA420" s="0" t="n">
        <f aca="false">X420-Z420</f>
        <v>39.9268887228302</v>
      </c>
      <c r="AB420" s="0" t="n">
        <f aca="false">X420+Z420</f>
        <v>43.0918704145968</v>
      </c>
      <c r="AC420" s="54" t="b">
        <f aca="false">AND(E420&gt;=01_因子設定!$L$5-0.000000001,E420&lt;=01_因子設定!$M$5+0.000000001,F420&gt;=01_因子設定!$L$6-0.000000001,F420&lt;=01_因子設定!$M$6+0.000000001,G420&gt;=01_因子設定!$L$7-0.000000001,G420&lt;=01_因子設定!$M$7+0.000000001,H420&gt;=01_因子設定!$L$8-0.000000001,H420&lt;=01_因子設定!$M$8+0.000000001,IF(01_因子設定!$B$20="Box-Behnken",E420^2+F420^2+G420^2+H420^2&lt;=2+0.000000001,TRUE()))</f>
        <v>1</v>
      </c>
      <c r="AD420" s="55" t="n">
        <f aca="false">IF(AC420,IF(01_因子設定!$B$13="最大化",AA420-01_因子設定!$B$14,IF(01_因子設定!$B$13="最小化",01_因子設定!$B$15-AB420,MIN(AA420-01_因子設定!$B$14,01_因子設定!$B$15-AB420))),-1E+030)</f>
        <v>-6.57311127716979</v>
      </c>
      <c r="AE420" s="55" t="n">
        <f aca="false">IF(AC420,IF(01_因子設定!$B$13="最大化",X420,IF(01_因子設定!$B$13="最小化",-X420,-ABS(X420-01_因子設定!$B$16))),-1E+030)</f>
        <v>41.5093795687135</v>
      </c>
      <c r="AF420" s="55" t="n">
        <f aca="false">AD420+ROW()*0.000000001</f>
        <v>-6.57311085716979</v>
      </c>
      <c r="AG420" s="55" t="n">
        <f aca="false">AE420+ROW()*0.000000001</f>
        <v>41.5093799887135</v>
      </c>
    </row>
    <row r="421" customFormat="false" ht="15" hidden="false" customHeight="false" outlineLevel="0" collapsed="false">
      <c r="A421" s="0" t="n">
        <v>0</v>
      </c>
      <c r="B421" s="0" t="n">
        <v>5</v>
      </c>
      <c r="C421" s="0" t="n">
        <v>1</v>
      </c>
      <c r="D421" s="0" t="n">
        <v>2</v>
      </c>
      <c r="E421" s="0" t="n">
        <f aca="false">-1+A421*0.25</f>
        <v>-1</v>
      </c>
      <c r="F421" s="0" t="n">
        <f aca="false">-1+B421*0.25</f>
        <v>0.25</v>
      </c>
      <c r="G421" s="0" t="n">
        <f aca="false">-1+C421*0.25</f>
        <v>-0.75</v>
      </c>
      <c r="H421" s="0" t="n">
        <f aca="false">-1+D421*0.25</f>
        <v>-0.5</v>
      </c>
      <c r="I421" s="0" t="n">
        <f aca="false">1</f>
        <v>1</v>
      </c>
      <c r="J421" s="0" t="n">
        <f aca="false">E421</f>
        <v>-1</v>
      </c>
      <c r="K421" s="0" t="n">
        <f aca="false">F421</f>
        <v>0.25</v>
      </c>
      <c r="L421" s="0" t="n">
        <f aca="false">G421</f>
        <v>-0.75</v>
      </c>
      <c r="M421" s="0" t="n">
        <f aca="false">H421</f>
        <v>-0.5</v>
      </c>
      <c r="N421" s="0" t="n">
        <f aca="false">E421*F421</f>
        <v>-0.25</v>
      </c>
      <c r="O421" s="0" t="n">
        <f aca="false">E421*G421</f>
        <v>0.75</v>
      </c>
      <c r="P421" s="0" t="n">
        <f aca="false">E421*H421</f>
        <v>0.5</v>
      </c>
      <c r="Q421" s="0" t="n">
        <f aca="false">F421*G421</f>
        <v>-0.1875</v>
      </c>
      <c r="R421" s="0" t="n">
        <f aca="false">F421*H421</f>
        <v>-0.125</v>
      </c>
      <c r="S421" s="0" t="n">
        <f aca="false">G421*H421</f>
        <v>0.375</v>
      </c>
      <c r="T421" s="0" t="n">
        <f aca="false">E421*E421</f>
        <v>1</v>
      </c>
      <c r="U421" s="0" t="n">
        <f aca="false">F421*F421</f>
        <v>0.0625</v>
      </c>
      <c r="V421" s="0" t="n">
        <f aca="false">G421*G421</f>
        <v>0.5625</v>
      </c>
      <c r="W421" s="0" t="n">
        <f aca="false">H421*H421</f>
        <v>0.25</v>
      </c>
      <c r="X421" s="0" t="n">
        <f aca="false">SUMPRODUCT(I421:W421,_XtX!$B$96:$P$96)</f>
        <v>41.631848501462</v>
      </c>
      <c r="Y421" s="0" t="n">
        <f aca="false">SUMPRODUCT(MMULT(I421:W421,_XtX!$B$78:$P$92),I421:W421)</f>
        <v>0.459125719572369</v>
      </c>
      <c r="Z421" s="0" t="n">
        <f aca="false">04_回帰ANOVA!$K$19*04_回帰ANOVA!$K$14*SQRT(1+Y421)</f>
        <v>1.57450755575573</v>
      </c>
      <c r="AA421" s="0" t="n">
        <f aca="false">X421-Z421</f>
        <v>40.0573409457063</v>
      </c>
      <c r="AB421" s="0" t="n">
        <f aca="false">X421+Z421</f>
        <v>43.2063560572178</v>
      </c>
      <c r="AC421" s="54" t="b">
        <f aca="false">AND(E421&gt;=01_因子設定!$L$5-0.000000001,E421&lt;=01_因子設定!$M$5+0.000000001,F421&gt;=01_因子設定!$L$6-0.000000001,F421&lt;=01_因子設定!$M$6+0.000000001,G421&gt;=01_因子設定!$L$7-0.000000001,G421&lt;=01_因子設定!$M$7+0.000000001,H421&gt;=01_因子設定!$L$8-0.000000001,H421&lt;=01_因子設定!$M$8+0.000000001,IF(01_因子設定!$B$20="Box-Behnken",E421^2+F421^2+G421^2+H421^2&lt;=2+0.000000001,TRUE()))</f>
        <v>1</v>
      </c>
      <c r="AD421" s="55" t="n">
        <f aca="false">IF(AC421,IF(01_因子設定!$B$13="最大化",AA421-01_因子設定!$B$14,IF(01_因子設定!$B$13="最小化",01_因子設定!$B$15-AB421,MIN(AA421-01_因子設定!$B$14,01_因子設定!$B$15-AB421))),-1E+030)</f>
        <v>-6.44265905429371</v>
      </c>
      <c r="AE421" s="55" t="n">
        <f aca="false">IF(AC421,IF(01_因子設定!$B$13="最大化",X421,IF(01_因子設定!$B$13="最小化",-X421,-ABS(X421-01_因子設定!$B$16))),-1E+030)</f>
        <v>41.631848501462</v>
      </c>
      <c r="AF421" s="55" t="n">
        <f aca="false">AD421+ROW()*0.000000001</f>
        <v>-6.44265863329371</v>
      </c>
      <c r="AG421" s="55" t="n">
        <f aca="false">AE421+ROW()*0.000000001</f>
        <v>41.631848922462</v>
      </c>
    </row>
    <row r="422" customFormat="false" ht="15" hidden="false" customHeight="false" outlineLevel="0" collapsed="false">
      <c r="A422" s="0" t="n">
        <v>0</v>
      </c>
      <c r="B422" s="0" t="n">
        <v>5</v>
      </c>
      <c r="C422" s="0" t="n">
        <v>1</v>
      </c>
      <c r="D422" s="0" t="n">
        <v>3</v>
      </c>
      <c r="E422" s="0" t="n">
        <f aca="false">-1+A422*0.25</f>
        <v>-1</v>
      </c>
      <c r="F422" s="0" t="n">
        <f aca="false">-1+B422*0.25</f>
        <v>0.25</v>
      </c>
      <c r="G422" s="0" t="n">
        <f aca="false">-1+C422*0.25</f>
        <v>-0.75</v>
      </c>
      <c r="H422" s="0" t="n">
        <f aca="false">-1+D422*0.25</f>
        <v>-0.25</v>
      </c>
      <c r="I422" s="0" t="n">
        <f aca="false">1</f>
        <v>1</v>
      </c>
      <c r="J422" s="0" t="n">
        <f aca="false">E422</f>
        <v>-1</v>
      </c>
      <c r="K422" s="0" t="n">
        <f aca="false">F422</f>
        <v>0.25</v>
      </c>
      <c r="L422" s="0" t="n">
        <f aca="false">G422</f>
        <v>-0.75</v>
      </c>
      <c r="M422" s="0" t="n">
        <f aca="false">H422</f>
        <v>-0.25</v>
      </c>
      <c r="N422" s="0" t="n">
        <f aca="false">E422*F422</f>
        <v>-0.25</v>
      </c>
      <c r="O422" s="0" t="n">
        <f aca="false">E422*G422</f>
        <v>0.75</v>
      </c>
      <c r="P422" s="0" t="n">
        <f aca="false">E422*H422</f>
        <v>0.25</v>
      </c>
      <c r="Q422" s="0" t="n">
        <f aca="false">F422*G422</f>
        <v>-0.1875</v>
      </c>
      <c r="R422" s="0" t="n">
        <f aca="false">F422*H422</f>
        <v>-0.0625</v>
      </c>
      <c r="S422" s="0" t="n">
        <f aca="false">G422*H422</f>
        <v>0.1875</v>
      </c>
      <c r="T422" s="0" t="n">
        <f aca="false">E422*E422</f>
        <v>1</v>
      </c>
      <c r="U422" s="0" t="n">
        <f aca="false">F422*F422</f>
        <v>0.0625</v>
      </c>
      <c r="V422" s="0" t="n">
        <f aca="false">G422*G422</f>
        <v>0.5625</v>
      </c>
      <c r="W422" s="0" t="n">
        <f aca="false">H422*H422</f>
        <v>0.0625</v>
      </c>
      <c r="X422" s="0" t="n">
        <f aca="false">SUMPRODUCT(I422:W422,_XtX!$B$96:$P$96)</f>
        <v>41.7065104166667</v>
      </c>
      <c r="Y422" s="0" t="n">
        <f aca="false">SUMPRODUCT(MMULT(I422:W422,_XtX!$B$78:$P$92),I422:W422)</f>
        <v>0.486409505208334</v>
      </c>
      <c r="Z422" s="0" t="n">
        <f aca="false">04_回帰ANOVA!$K$19*04_回帰ANOVA!$K$14*SQRT(1+Y422)</f>
        <v>1.58916001665498</v>
      </c>
      <c r="AA422" s="0" t="n">
        <f aca="false">X422-Z422</f>
        <v>40.1173504000117</v>
      </c>
      <c r="AB422" s="0" t="n">
        <f aca="false">X422+Z422</f>
        <v>43.2956704333217</v>
      </c>
      <c r="AC422" s="54" t="b">
        <f aca="false">AND(E422&gt;=01_因子設定!$L$5-0.000000001,E422&lt;=01_因子設定!$M$5+0.000000001,F422&gt;=01_因子設定!$L$6-0.000000001,F422&lt;=01_因子設定!$M$6+0.000000001,G422&gt;=01_因子設定!$L$7-0.000000001,G422&lt;=01_因子設定!$M$7+0.000000001,H422&gt;=01_因子設定!$L$8-0.000000001,H422&lt;=01_因子設定!$M$8+0.000000001,IF(01_因子設定!$B$20="Box-Behnken",E422^2+F422^2+G422^2+H422^2&lt;=2+0.000000001,TRUE()))</f>
        <v>1</v>
      </c>
      <c r="AD422" s="55" t="n">
        <f aca="false">IF(AC422,IF(01_因子設定!$B$13="最大化",AA422-01_因子設定!$B$14,IF(01_因子設定!$B$13="最小化",01_因子設定!$B$15-AB422,MIN(AA422-01_因子設定!$B$14,01_因子設定!$B$15-AB422))),-1E+030)</f>
        <v>-6.38264959998828</v>
      </c>
      <c r="AE422" s="55" t="n">
        <f aca="false">IF(AC422,IF(01_因子設定!$B$13="最大化",X422,IF(01_因子設定!$B$13="最小化",-X422,-ABS(X422-01_因子設定!$B$16))),-1E+030)</f>
        <v>41.7065104166667</v>
      </c>
      <c r="AF422" s="55" t="n">
        <f aca="false">AD422+ROW()*0.000000001</f>
        <v>-6.38264917798828</v>
      </c>
      <c r="AG422" s="55" t="n">
        <f aca="false">AE422+ROW()*0.000000001</f>
        <v>41.7065108386667</v>
      </c>
    </row>
    <row r="423" customFormat="false" ht="15" hidden="false" customHeight="false" outlineLevel="0" collapsed="false">
      <c r="A423" s="0" t="n">
        <v>0</v>
      </c>
      <c r="B423" s="0" t="n">
        <v>5</v>
      </c>
      <c r="C423" s="0" t="n">
        <v>1</v>
      </c>
      <c r="D423" s="0" t="n">
        <v>4</v>
      </c>
      <c r="E423" s="0" t="n">
        <f aca="false">-1+A423*0.25</f>
        <v>-1</v>
      </c>
      <c r="F423" s="0" t="n">
        <f aca="false">-1+B423*0.25</f>
        <v>0.25</v>
      </c>
      <c r="G423" s="0" t="n">
        <f aca="false">-1+C423*0.25</f>
        <v>-0.75</v>
      </c>
      <c r="H423" s="0" t="n">
        <f aca="false">-1+D423*0.25</f>
        <v>0</v>
      </c>
      <c r="I423" s="0" t="n">
        <f aca="false">1</f>
        <v>1</v>
      </c>
      <c r="J423" s="0" t="n">
        <f aca="false">E423</f>
        <v>-1</v>
      </c>
      <c r="K423" s="0" t="n">
        <f aca="false">F423</f>
        <v>0.25</v>
      </c>
      <c r="L423" s="0" t="n">
        <f aca="false">G423</f>
        <v>-0.75</v>
      </c>
      <c r="M423" s="0" t="n">
        <f aca="false">H423</f>
        <v>0</v>
      </c>
      <c r="N423" s="0" t="n">
        <f aca="false">E423*F423</f>
        <v>-0.25</v>
      </c>
      <c r="O423" s="0" t="n">
        <f aca="false">E423*G423</f>
        <v>0.75</v>
      </c>
      <c r="P423" s="0" t="n">
        <f aca="false">E423*H423</f>
        <v>-0</v>
      </c>
      <c r="Q423" s="0" t="n">
        <f aca="false">F423*G423</f>
        <v>-0.1875</v>
      </c>
      <c r="R423" s="0" t="n">
        <f aca="false">F423*H423</f>
        <v>0</v>
      </c>
      <c r="S423" s="0" t="n">
        <f aca="false">G423*H423</f>
        <v>-0</v>
      </c>
      <c r="T423" s="0" t="n">
        <f aca="false">E423*E423</f>
        <v>1</v>
      </c>
      <c r="U423" s="0" t="n">
        <f aca="false">F423*F423</f>
        <v>0.0625</v>
      </c>
      <c r="V423" s="0" t="n">
        <f aca="false">G423*G423</f>
        <v>0.5625</v>
      </c>
      <c r="W423" s="0" t="n">
        <f aca="false">H423*H423</f>
        <v>0</v>
      </c>
      <c r="X423" s="0" t="n">
        <f aca="false">SUMPRODUCT(I423:W423,_XtX!$B$96:$P$96)</f>
        <v>41.7333653143275</v>
      </c>
      <c r="Y423" s="0" t="n">
        <f aca="false">SUMPRODUCT(MMULT(I423:W423,_XtX!$B$78:$P$92),I423:W423)</f>
        <v>0.501534802174708</v>
      </c>
      <c r="Z423" s="0" t="n">
        <f aca="false">04_回帰ANOVA!$K$19*04_回帰ANOVA!$K$14*SQRT(1+Y423)</f>
        <v>1.59722498091333</v>
      </c>
      <c r="AA423" s="0" t="n">
        <f aca="false">X423-Z423</f>
        <v>40.1361403334142</v>
      </c>
      <c r="AB423" s="0" t="n">
        <f aca="false">X423+Z423</f>
        <v>43.3305902952408</v>
      </c>
      <c r="AC423" s="54" t="b">
        <f aca="false">AND(E423&gt;=01_因子設定!$L$5-0.000000001,E423&lt;=01_因子設定!$M$5+0.000000001,F423&gt;=01_因子設定!$L$6-0.000000001,F423&lt;=01_因子設定!$M$6+0.000000001,G423&gt;=01_因子設定!$L$7-0.000000001,G423&lt;=01_因子設定!$M$7+0.000000001,H423&gt;=01_因子設定!$L$8-0.000000001,H423&lt;=01_因子設定!$M$8+0.000000001,IF(01_因子設定!$B$20="Box-Behnken",E423^2+F423^2+G423^2+H423^2&lt;=2+0.000000001,TRUE()))</f>
        <v>1</v>
      </c>
      <c r="AD423" s="55" t="n">
        <f aca="false">IF(AC423,IF(01_因子設定!$B$13="最大化",AA423-01_因子設定!$B$14,IF(01_因子設定!$B$13="最小化",01_因子設定!$B$15-AB423,MIN(AA423-01_因子設定!$B$14,01_因子設定!$B$15-AB423))),-1E+030)</f>
        <v>-6.36385966658582</v>
      </c>
      <c r="AE423" s="55" t="n">
        <f aca="false">IF(AC423,IF(01_因子設定!$B$13="最大化",X423,IF(01_因子設定!$B$13="最小化",-X423,-ABS(X423-01_因子設定!$B$16))),-1E+030)</f>
        <v>41.7333653143275</v>
      </c>
      <c r="AF423" s="55" t="n">
        <f aca="false">AD423+ROW()*0.000000001</f>
        <v>-6.36385924358582</v>
      </c>
      <c r="AG423" s="55" t="n">
        <f aca="false">AE423+ROW()*0.000000001</f>
        <v>41.7333657373275</v>
      </c>
    </row>
    <row r="424" customFormat="false" ht="15" hidden="false" customHeight="false" outlineLevel="0" collapsed="false">
      <c r="A424" s="0" t="n">
        <v>0</v>
      </c>
      <c r="B424" s="0" t="n">
        <v>5</v>
      </c>
      <c r="C424" s="0" t="n">
        <v>1</v>
      </c>
      <c r="D424" s="0" t="n">
        <v>5</v>
      </c>
      <c r="E424" s="0" t="n">
        <f aca="false">-1+A424*0.25</f>
        <v>-1</v>
      </c>
      <c r="F424" s="0" t="n">
        <f aca="false">-1+B424*0.25</f>
        <v>0.25</v>
      </c>
      <c r="G424" s="0" t="n">
        <f aca="false">-1+C424*0.25</f>
        <v>-0.75</v>
      </c>
      <c r="H424" s="0" t="n">
        <f aca="false">-1+D424*0.25</f>
        <v>0.25</v>
      </c>
      <c r="I424" s="0" t="n">
        <f aca="false">1</f>
        <v>1</v>
      </c>
      <c r="J424" s="0" t="n">
        <f aca="false">E424</f>
        <v>-1</v>
      </c>
      <c r="K424" s="0" t="n">
        <f aca="false">F424</f>
        <v>0.25</v>
      </c>
      <c r="L424" s="0" t="n">
        <f aca="false">G424</f>
        <v>-0.75</v>
      </c>
      <c r="M424" s="0" t="n">
        <f aca="false">H424</f>
        <v>0.25</v>
      </c>
      <c r="N424" s="0" t="n">
        <f aca="false">E424*F424</f>
        <v>-0.25</v>
      </c>
      <c r="O424" s="0" t="n">
        <f aca="false">E424*G424</f>
        <v>0.75</v>
      </c>
      <c r="P424" s="0" t="n">
        <f aca="false">E424*H424</f>
        <v>-0.25</v>
      </c>
      <c r="Q424" s="0" t="n">
        <f aca="false">F424*G424</f>
        <v>-0.1875</v>
      </c>
      <c r="R424" s="0" t="n">
        <f aca="false">F424*H424</f>
        <v>0.0625</v>
      </c>
      <c r="S424" s="0" t="n">
        <f aca="false">G424*H424</f>
        <v>-0.1875</v>
      </c>
      <c r="T424" s="0" t="n">
        <f aca="false">E424*E424</f>
        <v>1</v>
      </c>
      <c r="U424" s="0" t="n">
        <f aca="false">F424*F424</f>
        <v>0.0625</v>
      </c>
      <c r="V424" s="0" t="n">
        <f aca="false">G424*G424</f>
        <v>0.5625</v>
      </c>
      <c r="W424" s="0" t="n">
        <f aca="false">H424*H424</f>
        <v>0.0625</v>
      </c>
      <c r="X424" s="0" t="n">
        <f aca="false">SUMPRODUCT(I424:W424,_XtX!$B$96:$P$96)</f>
        <v>41.7124131944445</v>
      </c>
      <c r="Y424" s="0" t="n">
        <f aca="false">SUMPRODUCT(MMULT(I424:W424,_XtX!$B$78:$P$92),I424:W424)</f>
        <v>0.486409505208334</v>
      </c>
      <c r="Z424" s="0" t="n">
        <f aca="false">04_回帰ANOVA!$K$19*04_回帰ANOVA!$K$14*SQRT(1+Y424)</f>
        <v>1.58916001665498</v>
      </c>
      <c r="AA424" s="0" t="n">
        <f aca="false">X424-Z424</f>
        <v>40.1232531777895</v>
      </c>
      <c r="AB424" s="0" t="n">
        <f aca="false">X424+Z424</f>
        <v>43.3015732110995</v>
      </c>
      <c r="AC424" s="54" t="b">
        <f aca="false">AND(E424&gt;=01_因子設定!$L$5-0.000000001,E424&lt;=01_因子設定!$M$5+0.000000001,F424&gt;=01_因子設定!$L$6-0.000000001,F424&lt;=01_因子設定!$M$6+0.000000001,G424&gt;=01_因子設定!$L$7-0.000000001,G424&lt;=01_因子設定!$M$7+0.000000001,H424&gt;=01_因子設定!$L$8-0.000000001,H424&lt;=01_因子設定!$M$8+0.000000001,IF(01_因子設定!$B$20="Box-Behnken",E424^2+F424^2+G424^2+H424^2&lt;=2+0.000000001,TRUE()))</f>
        <v>1</v>
      </c>
      <c r="AD424" s="55" t="n">
        <f aca="false">IF(AC424,IF(01_因子設定!$B$13="最大化",AA424-01_因子設定!$B$14,IF(01_因子設定!$B$13="最小化",01_因子設定!$B$15-AB424,MIN(AA424-01_因子設定!$B$14,01_因子設定!$B$15-AB424))),-1E+030)</f>
        <v>-6.37674682221051</v>
      </c>
      <c r="AE424" s="55" t="n">
        <f aca="false">IF(AC424,IF(01_因子設定!$B$13="最大化",X424,IF(01_因子設定!$B$13="最小化",-X424,-ABS(X424-01_因子設定!$B$16))),-1E+030)</f>
        <v>41.7124131944445</v>
      </c>
      <c r="AF424" s="55" t="n">
        <f aca="false">AD424+ROW()*0.000000001</f>
        <v>-6.37674639821051</v>
      </c>
      <c r="AG424" s="55" t="n">
        <f aca="false">AE424+ROW()*0.000000001</f>
        <v>41.7124136184445</v>
      </c>
    </row>
    <row r="425" customFormat="false" ht="15" hidden="false" customHeight="false" outlineLevel="0" collapsed="false">
      <c r="A425" s="0" t="n">
        <v>0</v>
      </c>
      <c r="B425" s="0" t="n">
        <v>5</v>
      </c>
      <c r="C425" s="0" t="n">
        <v>1</v>
      </c>
      <c r="D425" s="0" t="n">
        <v>6</v>
      </c>
      <c r="E425" s="0" t="n">
        <f aca="false">-1+A425*0.25</f>
        <v>-1</v>
      </c>
      <c r="F425" s="0" t="n">
        <f aca="false">-1+B425*0.25</f>
        <v>0.25</v>
      </c>
      <c r="G425" s="0" t="n">
        <f aca="false">-1+C425*0.25</f>
        <v>-0.75</v>
      </c>
      <c r="H425" s="0" t="n">
        <f aca="false">-1+D425*0.25</f>
        <v>0.5</v>
      </c>
      <c r="I425" s="0" t="n">
        <f aca="false">1</f>
        <v>1</v>
      </c>
      <c r="J425" s="0" t="n">
        <f aca="false">E425</f>
        <v>-1</v>
      </c>
      <c r="K425" s="0" t="n">
        <f aca="false">F425</f>
        <v>0.25</v>
      </c>
      <c r="L425" s="0" t="n">
        <f aca="false">G425</f>
        <v>-0.75</v>
      </c>
      <c r="M425" s="0" t="n">
        <f aca="false">H425</f>
        <v>0.5</v>
      </c>
      <c r="N425" s="0" t="n">
        <f aca="false">E425*F425</f>
        <v>-0.25</v>
      </c>
      <c r="O425" s="0" t="n">
        <f aca="false">E425*G425</f>
        <v>0.75</v>
      </c>
      <c r="P425" s="0" t="n">
        <f aca="false">E425*H425</f>
        <v>-0.5</v>
      </c>
      <c r="Q425" s="0" t="n">
        <f aca="false">F425*G425</f>
        <v>-0.1875</v>
      </c>
      <c r="R425" s="0" t="n">
        <f aca="false">F425*H425</f>
        <v>0.125</v>
      </c>
      <c r="S425" s="0" t="n">
        <f aca="false">G425*H425</f>
        <v>-0.375</v>
      </c>
      <c r="T425" s="0" t="n">
        <f aca="false">E425*E425</f>
        <v>1</v>
      </c>
      <c r="U425" s="0" t="n">
        <f aca="false">F425*F425</f>
        <v>0.0625</v>
      </c>
      <c r="V425" s="0" t="n">
        <f aca="false">G425*G425</f>
        <v>0.5625</v>
      </c>
      <c r="W425" s="0" t="n">
        <f aca="false">H425*H425</f>
        <v>0.25</v>
      </c>
      <c r="X425" s="0" t="n">
        <f aca="false">SUMPRODUCT(I425:W425,_XtX!$B$96:$P$96)</f>
        <v>41.6436540570176</v>
      </c>
      <c r="Y425" s="0" t="n">
        <f aca="false">SUMPRODUCT(MMULT(I425:W425,_XtX!$B$78:$P$92),I425:W425)</f>
        <v>0.459125719572369</v>
      </c>
      <c r="Z425" s="0" t="n">
        <f aca="false">04_回帰ANOVA!$K$19*04_回帰ANOVA!$K$14*SQRT(1+Y425)</f>
        <v>1.57450755575573</v>
      </c>
      <c r="AA425" s="0" t="n">
        <f aca="false">X425-Z425</f>
        <v>40.0691465012619</v>
      </c>
      <c r="AB425" s="0" t="n">
        <f aca="false">X425+Z425</f>
        <v>43.2181616127733</v>
      </c>
      <c r="AC425" s="54" t="b">
        <f aca="false">AND(E425&gt;=01_因子設定!$L$5-0.000000001,E425&lt;=01_因子設定!$M$5+0.000000001,F425&gt;=01_因子設定!$L$6-0.000000001,F425&lt;=01_因子設定!$M$6+0.000000001,G425&gt;=01_因子設定!$L$7-0.000000001,G425&lt;=01_因子設定!$M$7+0.000000001,H425&gt;=01_因子設定!$L$8-0.000000001,H425&lt;=01_因子設定!$M$8+0.000000001,IF(01_因子設定!$B$20="Box-Behnken",E425^2+F425^2+G425^2+H425^2&lt;=2+0.000000001,TRUE()))</f>
        <v>1</v>
      </c>
      <c r="AD425" s="55" t="n">
        <f aca="false">IF(AC425,IF(01_因子設定!$B$13="最大化",AA425-01_因子設定!$B$14,IF(01_因子設定!$B$13="最小化",01_因子設定!$B$15-AB425,MIN(AA425-01_因子設定!$B$14,01_因子設定!$B$15-AB425))),-1E+030)</f>
        <v>-6.43085349873815</v>
      </c>
      <c r="AE425" s="55" t="n">
        <f aca="false">IF(AC425,IF(01_因子設定!$B$13="最大化",X425,IF(01_因子設定!$B$13="最小化",-X425,-ABS(X425-01_因子設定!$B$16))),-1E+030)</f>
        <v>41.6436540570176</v>
      </c>
      <c r="AF425" s="55" t="n">
        <f aca="false">AD425+ROW()*0.000000001</f>
        <v>-6.43085307373815</v>
      </c>
      <c r="AG425" s="55" t="n">
        <f aca="false">AE425+ROW()*0.000000001</f>
        <v>41.6436544820176</v>
      </c>
    </row>
    <row r="426" customFormat="false" ht="15" hidden="false" customHeight="false" outlineLevel="0" collapsed="false">
      <c r="A426" s="0" t="n">
        <v>0</v>
      </c>
      <c r="B426" s="0" t="n">
        <v>5</v>
      </c>
      <c r="C426" s="0" t="n">
        <v>1</v>
      </c>
      <c r="D426" s="0" t="n">
        <v>7</v>
      </c>
      <c r="E426" s="0" t="n">
        <f aca="false">-1+A426*0.25</f>
        <v>-1</v>
      </c>
      <c r="F426" s="0" t="n">
        <f aca="false">-1+B426*0.25</f>
        <v>0.25</v>
      </c>
      <c r="G426" s="0" t="n">
        <f aca="false">-1+C426*0.25</f>
        <v>-0.75</v>
      </c>
      <c r="H426" s="0" t="n">
        <f aca="false">-1+D426*0.25</f>
        <v>0.75</v>
      </c>
      <c r="I426" s="0" t="n">
        <f aca="false">1</f>
        <v>1</v>
      </c>
      <c r="J426" s="0" t="n">
        <f aca="false">E426</f>
        <v>-1</v>
      </c>
      <c r="K426" s="0" t="n">
        <f aca="false">F426</f>
        <v>0.25</v>
      </c>
      <c r="L426" s="0" t="n">
        <f aca="false">G426</f>
        <v>-0.75</v>
      </c>
      <c r="M426" s="0" t="n">
        <f aca="false">H426</f>
        <v>0.75</v>
      </c>
      <c r="N426" s="0" t="n">
        <f aca="false">E426*F426</f>
        <v>-0.25</v>
      </c>
      <c r="O426" s="0" t="n">
        <f aca="false">E426*G426</f>
        <v>0.75</v>
      </c>
      <c r="P426" s="0" t="n">
        <f aca="false">E426*H426</f>
        <v>-0.75</v>
      </c>
      <c r="Q426" s="0" t="n">
        <f aca="false">F426*G426</f>
        <v>-0.1875</v>
      </c>
      <c r="R426" s="0" t="n">
        <f aca="false">F426*H426</f>
        <v>0.1875</v>
      </c>
      <c r="S426" s="0" t="n">
        <f aca="false">G426*H426</f>
        <v>-0.5625</v>
      </c>
      <c r="T426" s="0" t="n">
        <f aca="false">E426*E426</f>
        <v>1</v>
      </c>
      <c r="U426" s="0" t="n">
        <f aca="false">F426*F426</f>
        <v>0.0625</v>
      </c>
      <c r="V426" s="0" t="n">
        <f aca="false">G426*G426</f>
        <v>0.5625</v>
      </c>
      <c r="W426" s="0" t="n">
        <f aca="false">H426*H426</f>
        <v>0.5625</v>
      </c>
      <c r="X426" s="0" t="n">
        <f aca="false">SUMPRODUCT(I426:W426,_XtX!$B$96:$P$96)</f>
        <v>41.5270879020468</v>
      </c>
      <c r="Y426" s="0" t="n">
        <f aca="false">SUMPRODUCT(MMULT(I426:W426,_XtX!$B$78:$P$92),I426:W426)</f>
        <v>0.473959761056287</v>
      </c>
      <c r="Z426" s="0" t="n">
        <f aca="false">04_回帰ANOVA!$K$19*04_回帰ANOVA!$K$14*SQRT(1+Y426)</f>
        <v>1.58249084588329</v>
      </c>
      <c r="AA426" s="0" t="n">
        <f aca="false">X426-Z426</f>
        <v>39.9445970561635</v>
      </c>
      <c r="AB426" s="0" t="n">
        <f aca="false">X426+Z426</f>
        <v>43.1095787479301</v>
      </c>
      <c r="AC426" s="54" t="b">
        <f aca="false">AND(E426&gt;=01_因子設定!$L$5-0.000000001,E426&lt;=01_因子設定!$M$5+0.000000001,F426&gt;=01_因子設定!$L$6-0.000000001,F426&lt;=01_因子設定!$M$6+0.000000001,G426&gt;=01_因子設定!$L$7-0.000000001,G426&lt;=01_因子設定!$M$7+0.000000001,H426&gt;=01_因子設定!$L$8-0.000000001,H426&lt;=01_因子設定!$M$8+0.000000001,IF(01_因子設定!$B$20="Box-Behnken",E426^2+F426^2+G426^2+H426^2&lt;=2+0.000000001,TRUE()))</f>
        <v>1</v>
      </c>
      <c r="AD426" s="55" t="n">
        <f aca="false">IF(AC426,IF(01_因子設定!$B$13="最大化",AA426-01_因子設定!$B$14,IF(01_因子設定!$B$13="最小化",01_因子設定!$B$15-AB426,MIN(AA426-01_因子設定!$B$14,01_因子設定!$B$15-AB426))),-1E+030)</f>
        <v>-6.55540294383646</v>
      </c>
      <c r="AE426" s="55" t="n">
        <f aca="false">IF(AC426,IF(01_因子設定!$B$13="最大化",X426,IF(01_因子設定!$B$13="最小化",-X426,-ABS(X426-01_因子設定!$B$16))),-1E+030)</f>
        <v>41.5270879020468</v>
      </c>
      <c r="AF426" s="55" t="n">
        <f aca="false">AD426+ROW()*0.000000001</f>
        <v>-6.55540251783646</v>
      </c>
      <c r="AG426" s="55" t="n">
        <f aca="false">AE426+ROW()*0.000000001</f>
        <v>41.5270883280468</v>
      </c>
    </row>
    <row r="427" customFormat="false" ht="15" hidden="false" customHeight="false" outlineLevel="0" collapsed="false">
      <c r="A427" s="0" t="n">
        <v>0</v>
      </c>
      <c r="B427" s="0" t="n">
        <v>5</v>
      </c>
      <c r="C427" s="0" t="n">
        <v>1</v>
      </c>
      <c r="D427" s="0" t="n">
        <v>8</v>
      </c>
      <c r="E427" s="0" t="n">
        <f aca="false">-1+A427*0.25</f>
        <v>-1</v>
      </c>
      <c r="F427" s="0" t="n">
        <f aca="false">-1+B427*0.25</f>
        <v>0.25</v>
      </c>
      <c r="G427" s="0" t="n">
        <f aca="false">-1+C427*0.25</f>
        <v>-0.75</v>
      </c>
      <c r="H427" s="0" t="n">
        <f aca="false">-1+D427*0.25</f>
        <v>1</v>
      </c>
      <c r="I427" s="0" t="n">
        <f aca="false">1</f>
        <v>1</v>
      </c>
      <c r="J427" s="0" t="n">
        <f aca="false">E427</f>
        <v>-1</v>
      </c>
      <c r="K427" s="0" t="n">
        <f aca="false">F427</f>
        <v>0.25</v>
      </c>
      <c r="L427" s="0" t="n">
        <f aca="false">G427</f>
        <v>-0.75</v>
      </c>
      <c r="M427" s="0" t="n">
        <f aca="false">H427</f>
        <v>1</v>
      </c>
      <c r="N427" s="0" t="n">
        <f aca="false">E427*F427</f>
        <v>-0.25</v>
      </c>
      <c r="O427" s="0" t="n">
        <f aca="false">E427*G427</f>
        <v>0.75</v>
      </c>
      <c r="P427" s="0" t="n">
        <f aca="false">E427*H427</f>
        <v>-1</v>
      </c>
      <c r="Q427" s="0" t="n">
        <f aca="false">F427*G427</f>
        <v>-0.1875</v>
      </c>
      <c r="R427" s="0" t="n">
        <f aca="false">F427*H427</f>
        <v>0.25</v>
      </c>
      <c r="S427" s="0" t="n">
        <f aca="false">G427*H427</f>
        <v>-0.75</v>
      </c>
      <c r="T427" s="0" t="n">
        <f aca="false">E427*E427</f>
        <v>1</v>
      </c>
      <c r="U427" s="0" t="n">
        <f aca="false">F427*F427</f>
        <v>0.0625</v>
      </c>
      <c r="V427" s="0" t="n">
        <f aca="false">G427*G427</f>
        <v>0.5625</v>
      </c>
      <c r="W427" s="0" t="n">
        <f aca="false">H427*H427</f>
        <v>1</v>
      </c>
      <c r="X427" s="0" t="n">
        <f aca="false">SUMPRODUCT(I427:W427,_XtX!$B$96:$P$96)</f>
        <v>41.3627147295322</v>
      </c>
      <c r="Y427" s="0" t="n">
        <f aca="false">SUMPRODUCT(MMULT(I427:W427,_XtX!$B$78:$P$92),I427:W427)</f>
        <v>0.621372155975877</v>
      </c>
      <c r="Z427" s="0" t="n">
        <f aca="false">04_回帰ANOVA!$K$19*04_回帰ANOVA!$K$14*SQRT(1+Y427)</f>
        <v>1.65973880499872</v>
      </c>
      <c r="AA427" s="0" t="n">
        <f aca="false">X427-Z427</f>
        <v>39.7029759245335</v>
      </c>
      <c r="AB427" s="0" t="n">
        <f aca="false">X427+Z427</f>
        <v>43.0224535345309</v>
      </c>
      <c r="AC427" s="54" t="b">
        <f aca="false">AND(E427&gt;=01_因子設定!$L$5-0.000000001,E427&lt;=01_因子設定!$M$5+0.000000001,F427&gt;=01_因子設定!$L$6-0.000000001,F427&lt;=01_因子設定!$M$6+0.000000001,G427&gt;=01_因子設定!$L$7-0.000000001,G427&lt;=01_因子設定!$M$7+0.000000001,H427&gt;=01_因子設定!$L$8-0.000000001,H427&lt;=01_因子設定!$M$8+0.000000001,IF(01_因子設定!$B$20="Box-Behnken",E427^2+F427^2+G427^2+H427^2&lt;=2+0.000000001,TRUE()))</f>
        <v>1</v>
      </c>
      <c r="AD427" s="55" t="n">
        <f aca="false">IF(AC427,IF(01_因子設定!$B$13="最大化",AA427-01_因子設定!$B$14,IF(01_因子設定!$B$13="最小化",01_因子設定!$B$15-AB427,MIN(AA427-01_因子設定!$B$14,01_因子設定!$B$15-AB427))),-1E+030)</f>
        <v>-6.79702407546649</v>
      </c>
      <c r="AE427" s="55" t="n">
        <f aca="false">IF(AC427,IF(01_因子設定!$B$13="最大化",X427,IF(01_因子設定!$B$13="最小化",-X427,-ABS(X427-01_因子設定!$B$16))),-1E+030)</f>
        <v>41.3627147295322</v>
      </c>
      <c r="AF427" s="55" t="n">
        <f aca="false">AD427+ROW()*0.000000001</f>
        <v>-6.79702364846649</v>
      </c>
      <c r="AG427" s="55" t="n">
        <f aca="false">AE427+ROW()*0.000000001</f>
        <v>41.3627151565322</v>
      </c>
    </row>
    <row r="428" customFormat="false" ht="15" hidden="false" customHeight="false" outlineLevel="0" collapsed="false">
      <c r="A428" s="0" t="n">
        <v>0</v>
      </c>
      <c r="B428" s="0" t="n">
        <v>5</v>
      </c>
      <c r="C428" s="0" t="n">
        <v>2</v>
      </c>
      <c r="D428" s="0" t="n">
        <v>0</v>
      </c>
      <c r="E428" s="0" t="n">
        <f aca="false">-1+A428*0.25</f>
        <v>-1</v>
      </c>
      <c r="F428" s="0" t="n">
        <f aca="false">-1+B428*0.25</f>
        <v>0.25</v>
      </c>
      <c r="G428" s="0" t="n">
        <f aca="false">-1+C428*0.25</f>
        <v>-0.5</v>
      </c>
      <c r="H428" s="0" t="n">
        <f aca="false">-1+D428*0.25</f>
        <v>-1</v>
      </c>
      <c r="I428" s="0" t="n">
        <f aca="false">1</f>
        <v>1</v>
      </c>
      <c r="J428" s="0" t="n">
        <f aca="false">E428</f>
        <v>-1</v>
      </c>
      <c r="K428" s="0" t="n">
        <f aca="false">F428</f>
        <v>0.25</v>
      </c>
      <c r="L428" s="0" t="n">
        <f aca="false">G428</f>
        <v>-0.5</v>
      </c>
      <c r="M428" s="0" t="n">
        <f aca="false">H428</f>
        <v>-1</v>
      </c>
      <c r="N428" s="0" t="n">
        <f aca="false">E428*F428</f>
        <v>-0.25</v>
      </c>
      <c r="O428" s="0" t="n">
        <f aca="false">E428*G428</f>
        <v>0.5</v>
      </c>
      <c r="P428" s="0" t="n">
        <f aca="false">E428*H428</f>
        <v>1</v>
      </c>
      <c r="Q428" s="0" t="n">
        <f aca="false">F428*G428</f>
        <v>-0.125</v>
      </c>
      <c r="R428" s="0" t="n">
        <f aca="false">F428*H428</f>
        <v>-0.25</v>
      </c>
      <c r="S428" s="0" t="n">
        <f aca="false">G428*H428</f>
        <v>0.5</v>
      </c>
      <c r="T428" s="0" t="n">
        <f aca="false">E428*E428</f>
        <v>1</v>
      </c>
      <c r="U428" s="0" t="n">
        <f aca="false">F428*F428</f>
        <v>0.0625</v>
      </c>
      <c r="V428" s="0" t="n">
        <f aca="false">G428*G428</f>
        <v>0.25</v>
      </c>
      <c r="W428" s="0" t="n">
        <f aca="false">H428*H428</f>
        <v>1</v>
      </c>
      <c r="X428" s="0" t="n">
        <f aca="false">SUMPRODUCT(I428:W428,_XtX!$B$96:$P$96)</f>
        <v>41.9083607456141</v>
      </c>
      <c r="Y428" s="0" t="n">
        <f aca="false">SUMPRODUCT(MMULT(I428:W428,_XtX!$B$78:$P$92),I428:W428)</f>
        <v>0.629174661915205</v>
      </c>
      <c r="Z428" s="0" t="n">
        <f aca="false">04_回帰ANOVA!$K$19*04_回帰ANOVA!$K$14*SQRT(1+Y428)</f>
        <v>1.66372758058297</v>
      </c>
      <c r="AA428" s="0" t="n">
        <f aca="false">X428-Z428</f>
        <v>40.2446331650311</v>
      </c>
      <c r="AB428" s="0" t="n">
        <f aca="false">X428+Z428</f>
        <v>43.5720883261971</v>
      </c>
      <c r="AC428" s="54" t="b">
        <f aca="false">AND(E428&gt;=01_因子設定!$L$5-0.000000001,E428&lt;=01_因子設定!$M$5+0.000000001,F428&gt;=01_因子設定!$L$6-0.000000001,F428&lt;=01_因子設定!$M$6+0.000000001,G428&gt;=01_因子設定!$L$7-0.000000001,G428&lt;=01_因子設定!$M$7+0.000000001,H428&gt;=01_因子設定!$L$8-0.000000001,H428&lt;=01_因子設定!$M$8+0.000000001,IF(01_因子設定!$B$20="Box-Behnken",E428^2+F428^2+G428^2+H428^2&lt;=2+0.000000001,TRUE()))</f>
        <v>1</v>
      </c>
      <c r="AD428" s="55" t="n">
        <f aca="false">IF(AC428,IF(01_因子設定!$B$13="最大化",AA428-01_因子設定!$B$14,IF(01_因子設定!$B$13="最小化",01_因子設定!$B$15-AB428,MIN(AA428-01_因子設定!$B$14,01_因子設定!$B$15-AB428))),-1E+030)</f>
        <v>-6.25536683496888</v>
      </c>
      <c r="AE428" s="55" t="n">
        <f aca="false">IF(AC428,IF(01_因子設定!$B$13="最大化",X428,IF(01_因子設定!$B$13="最小化",-X428,-ABS(X428-01_因子設定!$B$16))),-1E+030)</f>
        <v>41.9083607456141</v>
      </c>
      <c r="AF428" s="55" t="n">
        <f aca="false">AD428+ROW()*0.000000001</f>
        <v>-6.25536640696888</v>
      </c>
      <c r="AG428" s="55" t="n">
        <f aca="false">AE428+ROW()*0.000000001</f>
        <v>41.9083611736141</v>
      </c>
    </row>
    <row r="429" customFormat="false" ht="15" hidden="false" customHeight="false" outlineLevel="0" collapsed="false">
      <c r="A429" s="0" t="n">
        <v>0</v>
      </c>
      <c r="B429" s="0" t="n">
        <v>5</v>
      </c>
      <c r="C429" s="0" t="n">
        <v>2</v>
      </c>
      <c r="D429" s="0" t="n">
        <v>1</v>
      </c>
      <c r="E429" s="0" t="n">
        <f aca="false">-1+A429*0.25</f>
        <v>-1</v>
      </c>
      <c r="F429" s="0" t="n">
        <f aca="false">-1+B429*0.25</f>
        <v>0.25</v>
      </c>
      <c r="G429" s="0" t="n">
        <f aca="false">-1+C429*0.25</f>
        <v>-0.5</v>
      </c>
      <c r="H429" s="0" t="n">
        <f aca="false">-1+D429*0.25</f>
        <v>-0.75</v>
      </c>
      <c r="I429" s="0" t="n">
        <f aca="false">1</f>
        <v>1</v>
      </c>
      <c r="J429" s="0" t="n">
        <f aca="false">E429</f>
        <v>-1</v>
      </c>
      <c r="K429" s="0" t="n">
        <f aca="false">F429</f>
        <v>0.25</v>
      </c>
      <c r="L429" s="0" t="n">
        <f aca="false">G429</f>
        <v>-0.5</v>
      </c>
      <c r="M429" s="0" t="n">
        <f aca="false">H429</f>
        <v>-0.75</v>
      </c>
      <c r="N429" s="0" t="n">
        <f aca="false">E429*F429</f>
        <v>-0.25</v>
      </c>
      <c r="O429" s="0" t="n">
        <f aca="false">E429*G429</f>
        <v>0.5</v>
      </c>
      <c r="P429" s="0" t="n">
        <f aca="false">E429*H429</f>
        <v>0.75</v>
      </c>
      <c r="Q429" s="0" t="n">
        <f aca="false">F429*G429</f>
        <v>-0.125</v>
      </c>
      <c r="R429" s="0" t="n">
        <f aca="false">F429*H429</f>
        <v>-0.1875</v>
      </c>
      <c r="S429" s="0" t="n">
        <f aca="false">G429*H429</f>
        <v>0.375</v>
      </c>
      <c r="T429" s="0" t="n">
        <f aca="false">E429*E429</f>
        <v>1</v>
      </c>
      <c r="U429" s="0" t="n">
        <f aca="false">F429*F429</f>
        <v>0.0625</v>
      </c>
      <c r="V429" s="0" t="n">
        <f aca="false">G429*G429</f>
        <v>0.25</v>
      </c>
      <c r="W429" s="0" t="n">
        <f aca="false">H429*H429</f>
        <v>0.5625</v>
      </c>
      <c r="X429" s="0" t="n">
        <f aca="false">SUMPRODUCT(I429:W429,_XtX!$B$96:$P$96)</f>
        <v>42.0966054459065</v>
      </c>
      <c r="Y429" s="0" t="n">
        <f aca="false">SUMPRODUCT(MMULT(I429:W429,_XtX!$B$78:$P$92),I429:W429)</f>
        <v>0.459125719572369</v>
      </c>
      <c r="Z429" s="0" t="n">
        <f aca="false">04_回帰ANOVA!$K$19*04_回帰ANOVA!$K$14*SQRT(1+Y429)</f>
        <v>1.57450755575573</v>
      </c>
      <c r="AA429" s="0" t="n">
        <f aca="false">X429-Z429</f>
        <v>40.5220978901508</v>
      </c>
      <c r="AB429" s="0" t="n">
        <f aca="false">X429+Z429</f>
        <v>43.6711130016622</v>
      </c>
      <c r="AC429" s="54" t="b">
        <f aca="false">AND(E429&gt;=01_因子設定!$L$5-0.000000001,E429&lt;=01_因子設定!$M$5+0.000000001,F429&gt;=01_因子設定!$L$6-0.000000001,F429&lt;=01_因子設定!$M$6+0.000000001,G429&gt;=01_因子設定!$L$7-0.000000001,G429&lt;=01_因子設定!$M$7+0.000000001,H429&gt;=01_因子設定!$L$8-0.000000001,H429&lt;=01_因子設定!$M$8+0.000000001,IF(01_因子設定!$B$20="Box-Behnken",E429^2+F429^2+G429^2+H429^2&lt;=2+0.000000001,TRUE()))</f>
        <v>1</v>
      </c>
      <c r="AD429" s="55" t="n">
        <f aca="false">IF(AC429,IF(01_因子設定!$B$13="最大化",AA429-01_因子設定!$B$14,IF(01_因子設定!$B$13="最小化",01_因子設定!$B$15-AB429,MIN(AA429-01_因子設定!$B$14,01_因子設定!$B$15-AB429))),-1E+030)</f>
        <v>-5.97790210984925</v>
      </c>
      <c r="AE429" s="55" t="n">
        <f aca="false">IF(AC429,IF(01_因子設定!$B$13="最大化",X429,IF(01_因子設定!$B$13="最小化",-X429,-ABS(X429-01_因子設定!$B$16))),-1E+030)</f>
        <v>42.0966054459065</v>
      </c>
      <c r="AF429" s="55" t="n">
        <f aca="false">AD429+ROW()*0.000000001</f>
        <v>-5.97790168084925</v>
      </c>
      <c r="AG429" s="55" t="n">
        <f aca="false">AE429+ROW()*0.000000001</f>
        <v>42.0966058749065</v>
      </c>
    </row>
    <row r="430" customFormat="false" ht="15" hidden="false" customHeight="false" outlineLevel="0" collapsed="false">
      <c r="A430" s="0" t="n">
        <v>0</v>
      </c>
      <c r="B430" s="0" t="n">
        <v>5</v>
      </c>
      <c r="C430" s="0" t="n">
        <v>2</v>
      </c>
      <c r="D430" s="0" t="n">
        <v>2</v>
      </c>
      <c r="E430" s="0" t="n">
        <f aca="false">-1+A430*0.25</f>
        <v>-1</v>
      </c>
      <c r="F430" s="0" t="n">
        <f aca="false">-1+B430*0.25</f>
        <v>0.25</v>
      </c>
      <c r="G430" s="0" t="n">
        <f aca="false">-1+C430*0.25</f>
        <v>-0.5</v>
      </c>
      <c r="H430" s="0" t="n">
        <f aca="false">-1+D430*0.25</f>
        <v>-0.5</v>
      </c>
      <c r="I430" s="0" t="n">
        <f aca="false">1</f>
        <v>1</v>
      </c>
      <c r="J430" s="0" t="n">
        <f aca="false">E430</f>
        <v>-1</v>
      </c>
      <c r="K430" s="0" t="n">
        <f aca="false">F430</f>
        <v>0.25</v>
      </c>
      <c r="L430" s="0" t="n">
        <f aca="false">G430</f>
        <v>-0.5</v>
      </c>
      <c r="M430" s="0" t="n">
        <f aca="false">H430</f>
        <v>-0.5</v>
      </c>
      <c r="N430" s="0" t="n">
        <f aca="false">E430*F430</f>
        <v>-0.25</v>
      </c>
      <c r="O430" s="0" t="n">
        <f aca="false">E430*G430</f>
        <v>0.5</v>
      </c>
      <c r="P430" s="0" t="n">
        <f aca="false">E430*H430</f>
        <v>0.5</v>
      </c>
      <c r="Q430" s="0" t="n">
        <f aca="false">F430*G430</f>
        <v>-0.125</v>
      </c>
      <c r="R430" s="0" t="n">
        <f aca="false">F430*H430</f>
        <v>-0.125</v>
      </c>
      <c r="S430" s="0" t="n">
        <f aca="false">G430*H430</f>
        <v>0.25</v>
      </c>
      <c r="T430" s="0" t="n">
        <f aca="false">E430*E430</f>
        <v>1</v>
      </c>
      <c r="U430" s="0" t="n">
        <f aca="false">F430*F430</f>
        <v>0.0625</v>
      </c>
      <c r="V430" s="0" t="n">
        <f aca="false">G430*G430</f>
        <v>0.25</v>
      </c>
      <c r="W430" s="0" t="n">
        <f aca="false">H430*H430</f>
        <v>0.25</v>
      </c>
      <c r="X430" s="0" t="n">
        <f aca="false">SUMPRODUCT(I430:W430,_XtX!$B$96:$P$96)</f>
        <v>42.237043128655</v>
      </c>
      <c r="Y430" s="0" t="n">
        <f aca="false">SUMPRODUCT(MMULT(I430:W430,_XtX!$B$78:$P$92),I430:W430)</f>
        <v>0.428122715643275</v>
      </c>
      <c r="Z430" s="0" t="n">
        <f aca="false">04_回帰ANOVA!$K$19*04_回帰ANOVA!$K$14*SQRT(1+Y430)</f>
        <v>1.55769044623229</v>
      </c>
      <c r="AA430" s="0" t="n">
        <f aca="false">X430-Z430</f>
        <v>40.6793526824227</v>
      </c>
      <c r="AB430" s="0" t="n">
        <f aca="false">X430+Z430</f>
        <v>43.7947335748873</v>
      </c>
      <c r="AC430" s="54" t="b">
        <f aca="false">AND(E430&gt;=01_因子設定!$L$5-0.000000001,E430&lt;=01_因子設定!$M$5+0.000000001,F430&gt;=01_因子設定!$L$6-0.000000001,F430&lt;=01_因子設定!$M$6+0.000000001,G430&gt;=01_因子設定!$L$7-0.000000001,G430&lt;=01_因子設定!$M$7+0.000000001,H430&gt;=01_因子設定!$L$8-0.000000001,H430&lt;=01_因子設定!$M$8+0.000000001,IF(01_因子設定!$B$20="Box-Behnken",E430^2+F430^2+G430^2+H430^2&lt;=2+0.000000001,TRUE()))</f>
        <v>1</v>
      </c>
      <c r="AD430" s="55" t="n">
        <f aca="false">IF(AC430,IF(01_因子設定!$B$13="最大化",AA430-01_因子設定!$B$14,IF(01_因子設定!$B$13="最小化",01_因子設定!$B$15-AB430,MIN(AA430-01_因子設定!$B$14,01_因子設定!$B$15-AB430))),-1E+030)</f>
        <v>-5.82064731757728</v>
      </c>
      <c r="AE430" s="55" t="n">
        <f aca="false">IF(AC430,IF(01_因子設定!$B$13="最大化",X430,IF(01_因子設定!$B$13="最小化",-X430,-ABS(X430-01_因子設定!$B$16))),-1E+030)</f>
        <v>42.237043128655</v>
      </c>
      <c r="AF430" s="55" t="n">
        <f aca="false">AD430+ROW()*0.000000001</f>
        <v>-5.82064688757728</v>
      </c>
      <c r="AG430" s="55" t="n">
        <f aca="false">AE430+ROW()*0.000000001</f>
        <v>42.237043558655</v>
      </c>
    </row>
    <row r="431" customFormat="false" ht="15" hidden="false" customHeight="false" outlineLevel="0" collapsed="false">
      <c r="A431" s="0" t="n">
        <v>0</v>
      </c>
      <c r="B431" s="0" t="n">
        <v>5</v>
      </c>
      <c r="C431" s="0" t="n">
        <v>2</v>
      </c>
      <c r="D431" s="0" t="n">
        <v>3</v>
      </c>
      <c r="E431" s="0" t="n">
        <f aca="false">-1+A431*0.25</f>
        <v>-1</v>
      </c>
      <c r="F431" s="0" t="n">
        <f aca="false">-1+B431*0.25</f>
        <v>0.25</v>
      </c>
      <c r="G431" s="0" t="n">
        <f aca="false">-1+C431*0.25</f>
        <v>-0.5</v>
      </c>
      <c r="H431" s="0" t="n">
        <f aca="false">-1+D431*0.25</f>
        <v>-0.25</v>
      </c>
      <c r="I431" s="0" t="n">
        <f aca="false">1</f>
        <v>1</v>
      </c>
      <c r="J431" s="0" t="n">
        <f aca="false">E431</f>
        <v>-1</v>
      </c>
      <c r="K431" s="0" t="n">
        <f aca="false">F431</f>
        <v>0.25</v>
      </c>
      <c r="L431" s="0" t="n">
        <f aca="false">G431</f>
        <v>-0.5</v>
      </c>
      <c r="M431" s="0" t="n">
        <f aca="false">H431</f>
        <v>-0.25</v>
      </c>
      <c r="N431" s="0" t="n">
        <f aca="false">E431*F431</f>
        <v>-0.25</v>
      </c>
      <c r="O431" s="0" t="n">
        <f aca="false">E431*G431</f>
        <v>0.5</v>
      </c>
      <c r="P431" s="0" t="n">
        <f aca="false">E431*H431</f>
        <v>0.25</v>
      </c>
      <c r="Q431" s="0" t="n">
        <f aca="false">F431*G431</f>
        <v>-0.125</v>
      </c>
      <c r="R431" s="0" t="n">
        <f aca="false">F431*H431</f>
        <v>-0.0625</v>
      </c>
      <c r="S431" s="0" t="n">
        <f aca="false">G431*H431</f>
        <v>0.125</v>
      </c>
      <c r="T431" s="0" t="n">
        <f aca="false">E431*E431</f>
        <v>1</v>
      </c>
      <c r="U431" s="0" t="n">
        <f aca="false">F431*F431</f>
        <v>0.0625</v>
      </c>
      <c r="V431" s="0" t="n">
        <f aca="false">G431*G431</f>
        <v>0.25</v>
      </c>
      <c r="W431" s="0" t="n">
        <f aca="false">H431*H431</f>
        <v>0.0625</v>
      </c>
      <c r="X431" s="0" t="n">
        <f aca="false">SUMPRODUCT(I431:W431,_XtX!$B$96:$P$96)</f>
        <v>42.3296737938597</v>
      </c>
      <c r="Y431" s="0" t="n">
        <f aca="false">SUMPRODUCT(MMULT(I431:W431,_XtX!$B$78:$P$92),I431:W431)</f>
        <v>0.445705123812135</v>
      </c>
      <c r="Z431" s="0" t="n">
        <f aca="false">04_回帰ANOVA!$K$19*04_回帰ANOVA!$K$14*SQRT(1+Y431)</f>
        <v>1.56724990734749</v>
      </c>
      <c r="AA431" s="0" t="n">
        <f aca="false">X431-Z431</f>
        <v>40.7624238865122</v>
      </c>
      <c r="AB431" s="0" t="n">
        <f aca="false">X431+Z431</f>
        <v>43.8969237012072</v>
      </c>
      <c r="AC431" s="54" t="b">
        <f aca="false">AND(E431&gt;=01_因子設定!$L$5-0.000000001,E431&lt;=01_因子設定!$M$5+0.000000001,F431&gt;=01_因子設定!$L$6-0.000000001,F431&lt;=01_因子設定!$M$6+0.000000001,G431&gt;=01_因子設定!$L$7-0.000000001,G431&lt;=01_因子設定!$M$7+0.000000001,H431&gt;=01_因子設定!$L$8-0.000000001,H431&lt;=01_因子設定!$M$8+0.000000001,IF(01_因子設定!$B$20="Box-Behnken",E431^2+F431^2+G431^2+H431^2&lt;=2+0.000000001,TRUE()))</f>
        <v>1</v>
      </c>
      <c r="AD431" s="55" t="n">
        <f aca="false">IF(AC431,IF(01_因子設定!$B$13="最大化",AA431-01_因子設定!$B$14,IF(01_因子設定!$B$13="最小化",01_因子設定!$B$15-AB431,MIN(AA431-01_因子設定!$B$14,01_因子設定!$B$15-AB431))),-1E+030)</f>
        <v>-5.73757611348781</v>
      </c>
      <c r="AE431" s="55" t="n">
        <f aca="false">IF(AC431,IF(01_因子設定!$B$13="最大化",X431,IF(01_因子設定!$B$13="最小化",-X431,-ABS(X431-01_因子設定!$B$16))),-1E+030)</f>
        <v>42.3296737938597</v>
      </c>
      <c r="AF431" s="55" t="n">
        <f aca="false">AD431+ROW()*0.000000001</f>
        <v>-5.73757568248781</v>
      </c>
      <c r="AG431" s="55" t="n">
        <f aca="false">AE431+ROW()*0.000000001</f>
        <v>42.3296742248597</v>
      </c>
    </row>
    <row r="432" customFormat="false" ht="15" hidden="false" customHeight="false" outlineLevel="0" collapsed="false">
      <c r="A432" s="0" t="n">
        <v>0</v>
      </c>
      <c r="B432" s="0" t="n">
        <v>5</v>
      </c>
      <c r="C432" s="0" t="n">
        <v>2</v>
      </c>
      <c r="D432" s="0" t="n">
        <v>4</v>
      </c>
      <c r="E432" s="0" t="n">
        <f aca="false">-1+A432*0.25</f>
        <v>-1</v>
      </c>
      <c r="F432" s="0" t="n">
        <f aca="false">-1+B432*0.25</f>
        <v>0.25</v>
      </c>
      <c r="G432" s="0" t="n">
        <f aca="false">-1+C432*0.25</f>
        <v>-0.5</v>
      </c>
      <c r="H432" s="0" t="n">
        <f aca="false">-1+D432*0.25</f>
        <v>0</v>
      </c>
      <c r="I432" s="0" t="n">
        <f aca="false">1</f>
        <v>1</v>
      </c>
      <c r="J432" s="0" t="n">
        <f aca="false">E432</f>
        <v>-1</v>
      </c>
      <c r="K432" s="0" t="n">
        <f aca="false">F432</f>
        <v>0.25</v>
      </c>
      <c r="L432" s="0" t="n">
        <f aca="false">G432</f>
        <v>-0.5</v>
      </c>
      <c r="M432" s="0" t="n">
        <f aca="false">H432</f>
        <v>0</v>
      </c>
      <c r="N432" s="0" t="n">
        <f aca="false">E432*F432</f>
        <v>-0.25</v>
      </c>
      <c r="O432" s="0" t="n">
        <f aca="false">E432*G432</f>
        <v>0.5</v>
      </c>
      <c r="P432" s="0" t="n">
        <f aca="false">E432*H432</f>
        <v>-0</v>
      </c>
      <c r="Q432" s="0" t="n">
        <f aca="false">F432*G432</f>
        <v>-0.125</v>
      </c>
      <c r="R432" s="0" t="n">
        <f aca="false">F432*H432</f>
        <v>0</v>
      </c>
      <c r="S432" s="0" t="n">
        <f aca="false">G432*H432</f>
        <v>-0</v>
      </c>
      <c r="T432" s="0" t="n">
        <f aca="false">E432*E432</f>
        <v>1</v>
      </c>
      <c r="U432" s="0" t="n">
        <f aca="false">F432*F432</f>
        <v>0.0625</v>
      </c>
      <c r="V432" s="0" t="n">
        <f aca="false">G432*G432</f>
        <v>0.25</v>
      </c>
      <c r="W432" s="0" t="n">
        <f aca="false">H432*H432</f>
        <v>0</v>
      </c>
      <c r="X432" s="0" t="n">
        <f aca="false">SUMPRODUCT(I432:W432,_XtX!$B$96:$P$96)</f>
        <v>42.3744974415205</v>
      </c>
      <c r="Y432" s="0" t="n">
        <f aca="false">SUMPRODUCT(MMULT(I432:W432,_XtX!$B$78:$P$92),I432:W432)</f>
        <v>0.457596628289474</v>
      </c>
      <c r="Z432" s="0" t="n">
        <f aca="false">04_回帰ANOVA!$K$19*04_回帰ANOVA!$K$14*SQRT(1+Y432)</f>
        <v>1.57368233664366</v>
      </c>
      <c r="AA432" s="0" t="n">
        <f aca="false">X432-Z432</f>
        <v>40.8008151048768</v>
      </c>
      <c r="AB432" s="0" t="n">
        <f aca="false">X432+Z432</f>
        <v>43.9481797781642</v>
      </c>
      <c r="AC432" s="54" t="b">
        <f aca="false">AND(E432&gt;=01_因子設定!$L$5-0.000000001,E432&lt;=01_因子設定!$M$5+0.000000001,F432&gt;=01_因子設定!$L$6-0.000000001,F432&lt;=01_因子設定!$M$6+0.000000001,G432&gt;=01_因子設定!$L$7-0.000000001,G432&lt;=01_因子設定!$M$7+0.000000001,H432&gt;=01_因子設定!$L$8-0.000000001,H432&lt;=01_因子設定!$M$8+0.000000001,IF(01_因子設定!$B$20="Box-Behnken",E432^2+F432^2+G432^2+H432^2&lt;=2+0.000000001,TRUE()))</f>
        <v>1</v>
      </c>
      <c r="AD432" s="55" t="n">
        <f aca="false">IF(AC432,IF(01_因子設定!$B$13="最大化",AA432-01_因子設定!$B$14,IF(01_因子設定!$B$13="最小化",01_因子設定!$B$15-AB432,MIN(AA432-01_因子設定!$B$14,01_因子設定!$B$15-AB432))),-1E+030)</f>
        <v>-5.69918489512316</v>
      </c>
      <c r="AE432" s="55" t="n">
        <f aca="false">IF(AC432,IF(01_因子設定!$B$13="最大化",X432,IF(01_因子設定!$B$13="最小化",-X432,-ABS(X432-01_因子設定!$B$16))),-1E+030)</f>
        <v>42.3744974415205</v>
      </c>
      <c r="AF432" s="55" t="n">
        <f aca="false">AD432+ROW()*0.000000001</f>
        <v>-5.69918446312316</v>
      </c>
      <c r="AG432" s="55" t="n">
        <f aca="false">AE432+ROW()*0.000000001</f>
        <v>42.3744978735205</v>
      </c>
    </row>
    <row r="433" customFormat="false" ht="15" hidden="false" customHeight="false" outlineLevel="0" collapsed="false">
      <c r="A433" s="0" t="n">
        <v>0</v>
      </c>
      <c r="B433" s="0" t="n">
        <v>5</v>
      </c>
      <c r="C433" s="0" t="n">
        <v>2</v>
      </c>
      <c r="D433" s="0" t="n">
        <v>5</v>
      </c>
      <c r="E433" s="0" t="n">
        <f aca="false">-1+A433*0.25</f>
        <v>-1</v>
      </c>
      <c r="F433" s="0" t="n">
        <f aca="false">-1+B433*0.25</f>
        <v>0.25</v>
      </c>
      <c r="G433" s="0" t="n">
        <f aca="false">-1+C433*0.25</f>
        <v>-0.5</v>
      </c>
      <c r="H433" s="0" t="n">
        <f aca="false">-1+D433*0.25</f>
        <v>0.25</v>
      </c>
      <c r="I433" s="0" t="n">
        <f aca="false">1</f>
        <v>1</v>
      </c>
      <c r="J433" s="0" t="n">
        <f aca="false">E433</f>
        <v>-1</v>
      </c>
      <c r="K433" s="0" t="n">
        <f aca="false">F433</f>
        <v>0.25</v>
      </c>
      <c r="L433" s="0" t="n">
        <f aca="false">G433</f>
        <v>-0.5</v>
      </c>
      <c r="M433" s="0" t="n">
        <f aca="false">H433</f>
        <v>0.25</v>
      </c>
      <c r="N433" s="0" t="n">
        <f aca="false">E433*F433</f>
        <v>-0.25</v>
      </c>
      <c r="O433" s="0" t="n">
        <f aca="false">E433*G433</f>
        <v>0.5</v>
      </c>
      <c r="P433" s="0" t="n">
        <f aca="false">E433*H433</f>
        <v>-0.25</v>
      </c>
      <c r="Q433" s="0" t="n">
        <f aca="false">F433*G433</f>
        <v>-0.125</v>
      </c>
      <c r="R433" s="0" t="n">
        <f aca="false">F433*H433</f>
        <v>0.0625</v>
      </c>
      <c r="S433" s="0" t="n">
        <f aca="false">G433*H433</f>
        <v>-0.125</v>
      </c>
      <c r="T433" s="0" t="n">
        <f aca="false">E433*E433</f>
        <v>1</v>
      </c>
      <c r="U433" s="0" t="n">
        <f aca="false">F433*F433</f>
        <v>0.0625</v>
      </c>
      <c r="V433" s="0" t="n">
        <f aca="false">G433*G433</f>
        <v>0.25</v>
      </c>
      <c r="W433" s="0" t="n">
        <f aca="false">H433*H433</f>
        <v>0.0625</v>
      </c>
      <c r="X433" s="0" t="n">
        <f aca="false">SUMPRODUCT(I433:W433,_XtX!$B$96:$P$96)</f>
        <v>42.3715140716375</v>
      </c>
      <c r="Y433" s="0" t="n">
        <f aca="false">SUMPRODUCT(MMULT(I433:W433,_XtX!$B$78:$P$92),I433:W433)</f>
        <v>0.445705123812135</v>
      </c>
      <c r="Z433" s="0" t="n">
        <f aca="false">04_回帰ANOVA!$K$19*04_回帰ANOVA!$K$14*SQRT(1+Y433)</f>
        <v>1.56724990734749</v>
      </c>
      <c r="AA433" s="0" t="n">
        <f aca="false">X433-Z433</f>
        <v>40.80426416429</v>
      </c>
      <c r="AB433" s="0" t="n">
        <f aca="false">X433+Z433</f>
        <v>43.9387639789849</v>
      </c>
      <c r="AC433" s="54" t="b">
        <f aca="false">AND(E433&gt;=01_因子設定!$L$5-0.000000001,E433&lt;=01_因子設定!$M$5+0.000000001,F433&gt;=01_因子設定!$L$6-0.000000001,F433&lt;=01_因子設定!$M$6+0.000000001,G433&gt;=01_因子設定!$L$7-0.000000001,G433&lt;=01_因子設定!$M$7+0.000000001,H433&gt;=01_因子設定!$L$8-0.000000001,H433&lt;=01_因子設定!$M$8+0.000000001,IF(01_因子設定!$B$20="Box-Behnken",E433^2+F433^2+G433^2+H433^2&lt;=2+0.000000001,TRUE()))</f>
        <v>1</v>
      </c>
      <c r="AD433" s="55" t="n">
        <f aca="false">IF(AC433,IF(01_因子設定!$B$13="最大化",AA433-01_因子設定!$B$14,IF(01_因子設定!$B$13="最小化",01_因子設定!$B$15-AB433,MIN(AA433-01_因子設定!$B$14,01_因子設定!$B$15-AB433))),-1E+030)</f>
        <v>-5.69573583571003</v>
      </c>
      <c r="AE433" s="55" t="n">
        <f aca="false">IF(AC433,IF(01_因子設定!$B$13="最大化",X433,IF(01_因子設定!$B$13="最小化",-X433,-ABS(X433-01_因子設定!$B$16))),-1E+030)</f>
        <v>42.3715140716375</v>
      </c>
      <c r="AF433" s="55" t="n">
        <f aca="false">AD433+ROW()*0.000000001</f>
        <v>-5.69573540271003</v>
      </c>
      <c r="AG433" s="55" t="n">
        <f aca="false">AE433+ROW()*0.000000001</f>
        <v>42.3715145046375</v>
      </c>
    </row>
    <row r="434" customFormat="false" ht="15" hidden="false" customHeight="false" outlineLevel="0" collapsed="false">
      <c r="A434" s="0" t="n">
        <v>0</v>
      </c>
      <c r="B434" s="0" t="n">
        <v>5</v>
      </c>
      <c r="C434" s="0" t="n">
        <v>2</v>
      </c>
      <c r="D434" s="0" t="n">
        <v>6</v>
      </c>
      <c r="E434" s="0" t="n">
        <f aca="false">-1+A434*0.25</f>
        <v>-1</v>
      </c>
      <c r="F434" s="0" t="n">
        <f aca="false">-1+B434*0.25</f>
        <v>0.25</v>
      </c>
      <c r="G434" s="0" t="n">
        <f aca="false">-1+C434*0.25</f>
        <v>-0.5</v>
      </c>
      <c r="H434" s="0" t="n">
        <f aca="false">-1+D434*0.25</f>
        <v>0.5</v>
      </c>
      <c r="I434" s="0" t="n">
        <f aca="false">1</f>
        <v>1</v>
      </c>
      <c r="J434" s="0" t="n">
        <f aca="false">E434</f>
        <v>-1</v>
      </c>
      <c r="K434" s="0" t="n">
        <f aca="false">F434</f>
        <v>0.25</v>
      </c>
      <c r="L434" s="0" t="n">
        <f aca="false">G434</f>
        <v>-0.5</v>
      </c>
      <c r="M434" s="0" t="n">
        <f aca="false">H434</f>
        <v>0.5</v>
      </c>
      <c r="N434" s="0" t="n">
        <f aca="false">E434*F434</f>
        <v>-0.25</v>
      </c>
      <c r="O434" s="0" t="n">
        <f aca="false">E434*G434</f>
        <v>0.5</v>
      </c>
      <c r="P434" s="0" t="n">
        <f aca="false">E434*H434</f>
        <v>-0.5</v>
      </c>
      <c r="Q434" s="0" t="n">
        <f aca="false">F434*G434</f>
        <v>-0.125</v>
      </c>
      <c r="R434" s="0" t="n">
        <f aca="false">F434*H434</f>
        <v>0.125</v>
      </c>
      <c r="S434" s="0" t="n">
        <f aca="false">G434*H434</f>
        <v>-0.25</v>
      </c>
      <c r="T434" s="0" t="n">
        <f aca="false">E434*E434</f>
        <v>1</v>
      </c>
      <c r="U434" s="0" t="n">
        <f aca="false">F434*F434</f>
        <v>0.0625</v>
      </c>
      <c r="V434" s="0" t="n">
        <f aca="false">G434*G434</f>
        <v>0.25</v>
      </c>
      <c r="W434" s="0" t="n">
        <f aca="false">H434*H434</f>
        <v>0.25</v>
      </c>
      <c r="X434" s="0" t="n">
        <f aca="false">SUMPRODUCT(I434:W434,_XtX!$B$96:$P$96)</f>
        <v>42.3207236842106</v>
      </c>
      <c r="Y434" s="0" t="n">
        <f aca="false">SUMPRODUCT(MMULT(I434:W434,_XtX!$B$78:$P$92),I434:W434)</f>
        <v>0.428122715643275</v>
      </c>
      <c r="Z434" s="0" t="n">
        <f aca="false">04_回帰ANOVA!$K$19*04_回帰ANOVA!$K$14*SQRT(1+Y434)</f>
        <v>1.55769044623229</v>
      </c>
      <c r="AA434" s="0" t="n">
        <f aca="false">X434-Z434</f>
        <v>40.7630332379783</v>
      </c>
      <c r="AB434" s="0" t="n">
        <f aca="false">X434+Z434</f>
        <v>43.8784141304429</v>
      </c>
      <c r="AC434" s="54" t="b">
        <f aca="false">AND(E434&gt;=01_因子設定!$L$5-0.000000001,E434&lt;=01_因子設定!$M$5+0.000000001,F434&gt;=01_因子設定!$L$6-0.000000001,F434&lt;=01_因子設定!$M$6+0.000000001,G434&gt;=01_因子設定!$L$7-0.000000001,G434&lt;=01_因子設定!$M$7+0.000000001,H434&gt;=01_因子設定!$L$8-0.000000001,H434&lt;=01_因子設定!$M$8+0.000000001,IF(01_因子設定!$B$20="Box-Behnken",E434^2+F434^2+G434^2+H434^2&lt;=2+0.000000001,TRUE()))</f>
        <v>1</v>
      </c>
      <c r="AD434" s="55" t="n">
        <f aca="false">IF(AC434,IF(01_因子設定!$B$13="最大化",AA434-01_因子設定!$B$14,IF(01_因子設定!$B$13="最小化",01_因子設定!$B$15-AB434,MIN(AA434-01_因子設定!$B$14,01_因子設定!$B$15-AB434))),-1E+030)</f>
        <v>-5.73696676202173</v>
      </c>
      <c r="AE434" s="55" t="n">
        <f aca="false">IF(AC434,IF(01_因子設定!$B$13="最大化",X434,IF(01_因子設定!$B$13="最小化",-X434,-ABS(X434-01_因子設定!$B$16))),-1E+030)</f>
        <v>42.3207236842106</v>
      </c>
      <c r="AF434" s="55" t="n">
        <f aca="false">AD434+ROW()*0.000000001</f>
        <v>-5.73696632802173</v>
      </c>
      <c r="AG434" s="55" t="n">
        <f aca="false">AE434+ROW()*0.000000001</f>
        <v>42.3207241182106</v>
      </c>
    </row>
    <row r="435" customFormat="false" ht="15" hidden="false" customHeight="false" outlineLevel="0" collapsed="false">
      <c r="A435" s="0" t="n">
        <v>0</v>
      </c>
      <c r="B435" s="0" t="n">
        <v>5</v>
      </c>
      <c r="C435" s="0" t="n">
        <v>2</v>
      </c>
      <c r="D435" s="0" t="n">
        <v>7</v>
      </c>
      <c r="E435" s="0" t="n">
        <f aca="false">-1+A435*0.25</f>
        <v>-1</v>
      </c>
      <c r="F435" s="0" t="n">
        <f aca="false">-1+B435*0.25</f>
        <v>0.25</v>
      </c>
      <c r="G435" s="0" t="n">
        <f aca="false">-1+C435*0.25</f>
        <v>-0.5</v>
      </c>
      <c r="H435" s="0" t="n">
        <f aca="false">-1+D435*0.25</f>
        <v>0.75</v>
      </c>
      <c r="I435" s="0" t="n">
        <f aca="false">1</f>
        <v>1</v>
      </c>
      <c r="J435" s="0" t="n">
        <f aca="false">E435</f>
        <v>-1</v>
      </c>
      <c r="K435" s="0" t="n">
        <f aca="false">F435</f>
        <v>0.25</v>
      </c>
      <c r="L435" s="0" t="n">
        <f aca="false">G435</f>
        <v>-0.5</v>
      </c>
      <c r="M435" s="0" t="n">
        <f aca="false">H435</f>
        <v>0.75</v>
      </c>
      <c r="N435" s="0" t="n">
        <f aca="false">E435*F435</f>
        <v>-0.25</v>
      </c>
      <c r="O435" s="0" t="n">
        <f aca="false">E435*G435</f>
        <v>0.5</v>
      </c>
      <c r="P435" s="0" t="n">
        <f aca="false">E435*H435</f>
        <v>-0.75</v>
      </c>
      <c r="Q435" s="0" t="n">
        <f aca="false">F435*G435</f>
        <v>-0.125</v>
      </c>
      <c r="R435" s="0" t="n">
        <f aca="false">F435*H435</f>
        <v>0.1875</v>
      </c>
      <c r="S435" s="0" t="n">
        <f aca="false">G435*H435</f>
        <v>-0.375</v>
      </c>
      <c r="T435" s="0" t="n">
        <f aca="false">E435*E435</f>
        <v>1</v>
      </c>
      <c r="U435" s="0" t="n">
        <f aca="false">F435*F435</f>
        <v>0.0625</v>
      </c>
      <c r="V435" s="0" t="n">
        <f aca="false">G435*G435</f>
        <v>0.25</v>
      </c>
      <c r="W435" s="0" t="n">
        <f aca="false">H435*H435</f>
        <v>0.5625</v>
      </c>
      <c r="X435" s="0" t="n">
        <f aca="false">SUMPRODUCT(I435:W435,_XtX!$B$96:$P$96)</f>
        <v>42.2221262792398</v>
      </c>
      <c r="Y435" s="0" t="n">
        <f aca="false">SUMPRODUCT(MMULT(I435:W435,_XtX!$B$78:$P$92),I435:W435)</f>
        <v>0.459125719572369</v>
      </c>
      <c r="Z435" s="0" t="n">
        <f aca="false">04_回帰ANOVA!$K$19*04_回帰ANOVA!$K$14*SQRT(1+Y435)</f>
        <v>1.57450755575573</v>
      </c>
      <c r="AA435" s="0" t="n">
        <f aca="false">X435-Z435</f>
        <v>40.6476187234841</v>
      </c>
      <c r="AB435" s="0" t="n">
        <f aca="false">X435+Z435</f>
        <v>43.7966338349955</v>
      </c>
      <c r="AC435" s="54" t="b">
        <f aca="false">AND(E435&gt;=01_因子設定!$L$5-0.000000001,E435&lt;=01_因子設定!$M$5+0.000000001,F435&gt;=01_因子設定!$L$6-0.000000001,F435&lt;=01_因子設定!$M$6+0.000000001,G435&gt;=01_因子設定!$L$7-0.000000001,G435&lt;=01_因子設定!$M$7+0.000000001,H435&gt;=01_因子設定!$L$8-0.000000001,H435&lt;=01_因子設定!$M$8+0.000000001,IF(01_因子設定!$B$20="Box-Behnken",E435^2+F435^2+G435^2+H435^2&lt;=2+0.000000001,TRUE()))</f>
        <v>1</v>
      </c>
      <c r="AD435" s="55" t="n">
        <f aca="false">IF(AC435,IF(01_因子設定!$B$13="最大化",AA435-01_因子設定!$B$14,IF(01_因子設定!$B$13="最小化",01_因子設定!$B$15-AB435,MIN(AA435-01_因子設定!$B$14,01_因子設定!$B$15-AB435))),-1E+030)</f>
        <v>-5.85238127651591</v>
      </c>
      <c r="AE435" s="55" t="n">
        <f aca="false">IF(AC435,IF(01_因子設定!$B$13="最大化",X435,IF(01_因子設定!$B$13="最小化",-X435,-ABS(X435-01_因子設定!$B$16))),-1E+030)</f>
        <v>42.2221262792398</v>
      </c>
      <c r="AF435" s="55" t="n">
        <f aca="false">AD435+ROW()*0.000000001</f>
        <v>-5.85238084151591</v>
      </c>
      <c r="AG435" s="55" t="n">
        <f aca="false">AE435+ROW()*0.000000001</f>
        <v>42.2221267142398</v>
      </c>
    </row>
    <row r="436" customFormat="false" ht="15" hidden="false" customHeight="false" outlineLevel="0" collapsed="false">
      <c r="A436" s="0" t="n">
        <v>0</v>
      </c>
      <c r="B436" s="0" t="n">
        <v>5</v>
      </c>
      <c r="C436" s="0" t="n">
        <v>2</v>
      </c>
      <c r="D436" s="0" t="n">
        <v>8</v>
      </c>
      <c r="E436" s="0" t="n">
        <f aca="false">-1+A436*0.25</f>
        <v>-1</v>
      </c>
      <c r="F436" s="0" t="n">
        <f aca="false">-1+B436*0.25</f>
        <v>0.25</v>
      </c>
      <c r="G436" s="0" t="n">
        <f aca="false">-1+C436*0.25</f>
        <v>-0.5</v>
      </c>
      <c r="H436" s="0" t="n">
        <f aca="false">-1+D436*0.25</f>
        <v>1</v>
      </c>
      <c r="I436" s="0" t="n">
        <f aca="false">1</f>
        <v>1</v>
      </c>
      <c r="J436" s="0" t="n">
        <f aca="false">E436</f>
        <v>-1</v>
      </c>
      <c r="K436" s="0" t="n">
        <f aca="false">F436</f>
        <v>0.25</v>
      </c>
      <c r="L436" s="0" t="n">
        <f aca="false">G436</f>
        <v>-0.5</v>
      </c>
      <c r="M436" s="0" t="n">
        <f aca="false">H436</f>
        <v>1</v>
      </c>
      <c r="N436" s="0" t="n">
        <f aca="false">E436*F436</f>
        <v>-0.25</v>
      </c>
      <c r="O436" s="0" t="n">
        <f aca="false">E436*G436</f>
        <v>0.5</v>
      </c>
      <c r="P436" s="0" t="n">
        <f aca="false">E436*H436</f>
        <v>-1</v>
      </c>
      <c r="Q436" s="0" t="n">
        <f aca="false">F436*G436</f>
        <v>-0.125</v>
      </c>
      <c r="R436" s="0" t="n">
        <f aca="false">F436*H436</f>
        <v>0.25</v>
      </c>
      <c r="S436" s="0" t="n">
        <f aca="false">G436*H436</f>
        <v>-0.5</v>
      </c>
      <c r="T436" s="0" t="n">
        <f aca="false">E436*E436</f>
        <v>1</v>
      </c>
      <c r="U436" s="0" t="n">
        <f aca="false">F436*F436</f>
        <v>0.0625</v>
      </c>
      <c r="V436" s="0" t="n">
        <f aca="false">G436*G436</f>
        <v>0.25</v>
      </c>
      <c r="W436" s="0" t="n">
        <f aca="false">H436*H436</f>
        <v>1</v>
      </c>
      <c r="X436" s="0" t="n">
        <f aca="false">SUMPRODUCT(I436:W436,_XtX!$B$96:$P$96)</f>
        <v>42.0757218567252</v>
      </c>
      <c r="Y436" s="0" t="n">
        <f aca="false">SUMPRODUCT(MMULT(I436:W436,_XtX!$B$78:$P$92),I436:W436)</f>
        <v>0.629174661915205</v>
      </c>
      <c r="Z436" s="0" t="n">
        <f aca="false">04_回帰ANOVA!$K$19*04_回帰ANOVA!$K$14*SQRT(1+Y436)</f>
        <v>1.66372758058297</v>
      </c>
      <c r="AA436" s="0" t="n">
        <f aca="false">X436-Z436</f>
        <v>40.4119942761422</v>
      </c>
      <c r="AB436" s="0" t="n">
        <f aca="false">X436+Z436</f>
        <v>43.7394494373082</v>
      </c>
      <c r="AC436" s="54" t="b">
        <f aca="false">AND(E436&gt;=01_因子設定!$L$5-0.000000001,E436&lt;=01_因子設定!$M$5+0.000000001,F436&gt;=01_因子設定!$L$6-0.000000001,F436&lt;=01_因子設定!$M$6+0.000000001,G436&gt;=01_因子設定!$L$7-0.000000001,G436&lt;=01_因子設定!$M$7+0.000000001,H436&gt;=01_因子設定!$L$8-0.000000001,H436&lt;=01_因子設定!$M$8+0.000000001,IF(01_因子設定!$B$20="Box-Behnken",E436^2+F436^2+G436^2+H436^2&lt;=2+0.000000001,TRUE()))</f>
        <v>1</v>
      </c>
      <c r="AD436" s="55" t="n">
        <f aca="false">IF(AC436,IF(01_因子設定!$B$13="最大化",AA436-01_因子設定!$B$14,IF(01_因子設定!$B$13="最小化",01_因子設定!$B$15-AB436,MIN(AA436-01_因子設定!$B$14,01_因子設定!$B$15-AB436))),-1E+030)</f>
        <v>-6.08800572385776</v>
      </c>
      <c r="AE436" s="55" t="n">
        <f aca="false">IF(AC436,IF(01_因子設定!$B$13="最大化",X436,IF(01_因子設定!$B$13="最小化",-X436,-ABS(X436-01_因子設定!$B$16))),-1E+030)</f>
        <v>42.0757218567252</v>
      </c>
      <c r="AF436" s="55" t="n">
        <f aca="false">AD436+ROW()*0.000000001</f>
        <v>-6.08800528785776</v>
      </c>
      <c r="AG436" s="55" t="n">
        <f aca="false">AE436+ROW()*0.000000001</f>
        <v>42.0757222927252</v>
      </c>
    </row>
    <row r="437" customFormat="false" ht="15" hidden="false" customHeight="false" outlineLevel="0" collapsed="false">
      <c r="A437" s="0" t="n">
        <v>0</v>
      </c>
      <c r="B437" s="0" t="n">
        <v>5</v>
      </c>
      <c r="C437" s="0" t="n">
        <v>3</v>
      </c>
      <c r="D437" s="0" t="n">
        <v>0</v>
      </c>
      <c r="E437" s="0" t="n">
        <f aca="false">-1+A437*0.25</f>
        <v>-1</v>
      </c>
      <c r="F437" s="0" t="n">
        <f aca="false">-1+B437*0.25</f>
        <v>0.25</v>
      </c>
      <c r="G437" s="0" t="n">
        <f aca="false">-1+C437*0.25</f>
        <v>-0.25</v>
      </c>
      <c r="H437" s="0" t="n">
        <f aca="false">-1+D437*0.25</f>
        <v>-1</v>
      </c>
      <c r="I437" s="0" t="n">
        <f aca="false">1</f>
        <v>1</v>
      </c>
      <c r="J437" s="0" t="n">
        <f aca="false">E437</f>
        <v>-1</v>
      </c>
      <c r="K437" s="0" t="n">
        <f aca="false">F437</f>
        <v>0.25</v>
      </c>
      <c r="L437" s="0" t="n">
        <f aca="false">G437</f>
        <v>-0.25</v>
      </c>
      <c r="M437" s="0" t="n">
        <f aca="false">H437</f>
        <v>-1</v>
      </c>
      <c r="N437" s="0" t="n">
        <f aca="false">E437*F437</f>
        <v>-0.25</v>
      </c>
      <c r="O437" s="0" t="n">
        <f aca="false">E437*G437</f>
        <v>0.25</v>
      </c>
      <c r="P437" s="0" t="n">
        <f aca="false">E437*H437</f>
        <v>1</v>
      </c>
      <c r="Q437" s="0" t="n">
        <f aca="false">F437*G437</f>
        <v>-0.0625</v>
      </c>
      <c r="R437" s="0" t="n">
        <f aca="false">F437*H437</f>
        <v>-0.25</v>
      </c>
      <c r="S437" s="0" t="n">
        <f aca="false">G437*H437</f>
        <v>0.25</v>
      </c>
      <c r="T437" s="0" t="n">
        <f aca="false">E437*E437</f>
        <v>1</v>
      </c>
      <c r="U437" s="0" t="n">
        <f aca="false">F437*F437</f>
        <v>0.0625</v>
      </c>
      <c r="V437" s="0" t="n">
        <f aca="false">G437*G437</f>
        <v>0.0625</v>
      </c>
      <c r="W437" s="0" t="n">
        <f aca="false">H437*H437</f>
        <v>1</v>
      </c>
      <c r="X437" s="0" t="n">
        <f aca="false">SUMPRODUCT(I437:W437,_XtX!$B$96:$P$96)</f>
        <v>42.3923108552632</v>
      </c>
      <c r="Y437" s="0" t="n">
        <f aca="false">SUMPRODUCT(MMULT(I437:W437,_XtX!$B$78:$P$92),I437:W437)</f>
        <v>0.670040376005117</v>
      </c>
      <c r="Z437" s="0" t="n">
        <f aca="false">04_回帰ANOVA!$K$19*04_回帰ANOVA!$K$14*SQRT(1+Y437)</f>
        <v>1.68446456039992</v>
      </c>
      <c r="AA437" s="0" t="n">
        <f aca="false">X437-Z437</f>
        <v>40.7078462948633</v>
      </c>
      <c r="AB437" s="0" t="n">
        <f aca="false">X437+Z437</f>
        <v>44.0767754156631</v>
      </c>
      <c r="AC437" s="54" t="b">
        <f aca="false">AND(E437&gt;=01_因子設定!$L$5-0.000000001,E437&lt;=01_因子設定!$M$5+0.000000001,F437&gt;=01_因子設定!$L$6-0.000000001,F437&lt;=01_因子設定!$M$6+0.000000001,G437&gt;=01_因子設定!$L$7-0.000000001,G437&lt;=01_因子設定!$M$7+0.000000001,H437&gt;=01_因子設定!$L$8-0.000000001,H437&lt;=01_因子設定!$M$8+0.000000001,IF(01_因子設定!$B$20="Box-Behnken",E437^2+F437^2+G437^2+H437^2&lt;=2+0.000000001,TRUE()))</f>
        <v>1</v>
      </c>
      <c r="AD437" s="55" t="n">
        <f aca="false">IF(AC437,IF(01_因子設定!$B$13="最大化",AA437-01_因子設定!$B$14,IF(01_因子設定!$B$13="最小化",01_因子設定!$B$15-AB437,MIN(AA437-01_因子設定!$B$14,01_因子設定!$B$15-AB437))),-1E+030)</f>
        <v>-5.79215370513669</v>
      </c>
      <c r="AE437" s="55" t="n">
        <f aca="false">IF(AC437,IF(01_因子設定!$B$13="最大化",X437,IF(01_因子設定!$B$13="最小化",-X437,-ABS(X437-01_因子設定!$B$16))),-1E+030)</f>
        <v>42.3923108552632</v>
      </c>
      <c r="AF437" s="55" t="n">
        <f aca="false">AD437+ROW()*0.000000001</f>
        <v>-5.79215326813669</v>
      </c>
      <c r="AG437" s="55" t="n">
        <f aca="false">AE437+ROW()*0.000000001</f>
        <v>42.3923112922632</v>
      </c>
    </row>
    <row r="438" customFormat="false" ht="15" hidden="false" customHeight="false" outlineLevel="0" collapsed="false">
      <c r="A438" s="0" t="n">
        <v>0</v>
      </c>
      <c r="B438" s="0" t="n">
        <v>5</v>
      </c>
      <c r="C438" s="0" t="n">
        <v>3</v>
      </c>
      <c r="D438" s="0" t="n">
        <v>1</v>
      </c>
      <c r="E438" s="0" t="n">
        <f aca="false">-1+A438*0.25</f>
        <v>-1</v>
      </c>
      <c r="F438" s="0" t="n">
        <f aca="false">-1+B438*0.25</f>
        <v>0.25</v>
      </c>
      <c r="G438" s="0" t="n">
        <f aca="false">-1+C438*0.25</f>
        <v>-0.25</v>
      </c>
      <c r="H438" s="0" t="n">
        <f aca="false">-1+D438*0.25</f>
        <v>-0.75</v>
      </c>
      <c r="I438" s="0" t="n">
        <f aca="false">1</f>
        <v>1</v>
      </c>
      <c r="J438" s="0" t="n">
        <f aca="false">E438</f>
        <v>-1</v>
      </c>
      <c r="K438" s="0" t="n">
        <f aca="false">F438</f>
        <v>0.25</v>
      </c>
      <c r="L438" s="0" t="n">
        <f aca="false">G438</f>
        <v>-0.25</v>
      </c>
      <c r="M438" s="0" t="n">
        <f aca="false">H438</f>
        <v>-0.75</v>
      </c>
      <c r="N438" s="0" t="n">
        <f aca="false">E438*F438</f>
        <v>-0.25</v>
      </c>
      <c r="O438" s="0" t="n">
        <f aca="false">E438*G438</f>
        <v>0.25</v>
      </c>
      <c r="P438" s="0" t="n">
        <f aca="false">E438*H438</f>
        <v>0.75</v>
      </c>
      <c r="Q438" s="0" t="n">
        <f aca="false">F438*G438</f>
        <v>-0.0625</v>
      </c>
      <c r="R438" s="0" t="n">
        <f aca="false">F438*H438</f>
        <v>-0.1875</v>
      </c>
      <c r="S438" s="0" t="n">
        <f aca="false">G438*H438</f>
        <v>0.1875</v>
      </c>
      <c r="T438" s="0" t="n">
        <f aca="false">E438*E438</f>
        <v>1</v>
      </c>
      <c r="U438" s="0" t="n">
        <f aca="false">F438*F438</f>
        <v>0.0625</v>
      </c>
      <c r="V438" s="0" t="n">
        <f aca="false">G438*G438</f>
        <v>0.0625</v>
      </c>
      <c r="W438" s="0" t="n">
        <f aca="false">H438*H438</f>
        <v>0.5625</v>
      </c>
      <c r="X438" s="0" t="n">
        <f aca="false">SUMPRODUCT(I438:W438,_XtX!$B$96:$P$96)</f>
        <v>42.5985243055556</v>
      </c>
      <c r="Y438" s="0" t="n">
        <f aca="false">SUMPRODUCT(MMULT(I438:W438,_XtX!$B$78:$P$92),I438:W438)</f>
        <v>0.486409505208334</v>
      </c>
      <c r="Z438" s="0" t="n">
        <f aca="false">04_回帰ANOVA!$K$19*04_回帰ANOVA!$K$14*SQRT(1+Y438)</f>
        <v>1.58916001665498</v>
      </c>
      <c r="AA438" s="0" t="n">
        <f aca="false">X438-Z438</f>
        <v>41.0093642889006</v>
      </c>
      <c r="AB438" s="0" t="n">
        <f aca="false">X438+Z438</f>
        <v>44.1876843222106</v>
      </c>
      <c r="AC438" s="54" t="b">
        <f aca="false">AND(E438&gt;=01_因子設定!$L$5-0.000000001,E438&lt;=01_因子設定!$M$5+0.000000001,F438&gt;=01_因子設定!$L$6-0.000000001,F438&lt;=01_因子設定!$M$6+0.000000001,G438&gt;=01_因子設定!$L$7-0.000000001,G438&lt;=01_因子設定!$M$7+0.000000001,H438&gt;=01_因子設定!$L$8-0.000000001,H438&lt;=01_因子設定!$M$8+0.000000001,IF(01_因子設定!$B$20="Box-Behnken",E438^2+F438^2+G438^2+H438^2&lt;=2+0.000000001,TRUE()))</f>
        <v>1</v>
      </c>
      <c r="AD438" s="55" t="n">
        <f aca="false">IF(AC438,IF(01_因子設定!$B$13="最大化",AA438-01_因子設定!$B$14,IF(01_因子設定!$B$13="最小化",01_因子設定!$B$15-AB438,MIN(AA438-01_因子設定!$B$14,01_因子設定!$B$15-AB438))),-1E+030)</f>
        <v>-5.49063571109938</v>
      </c>
      <c r="AE438" s="55" t="n">
        <f aca="false">IF(AC438,IF(01_因子設定!$B$13="最大化",X438,IF(01_因子設定!$B$13="最小化",-X438,-ABS(X438-01_因子設定!$B$16))),-1E+030)</f>
        <v>42.5985243055556</v>
      </c>
      <c r="AF438" s="55" t="n">
        <f aca="false">AD438+ROW()*0.000000001</f>
        <v>-5.49063527309938</v>
      </c>
      <c r="AG438" s="55" t="n">
        <f aca="false">AE438+ROW()*0.000000001</f>
        <v>42.5985247435556</v>
      </c>
    </row>
    <row r="439" customFormat="false" ht="15" hidden="false" customHeight="false" outlineLevel="0" collapsed="false">
      <c r="A439" s="0" t="n">
        <v>0</v>
      </c>
      <c r="B439" s="0" t="n">
        <v>5</v>
      </c>
      <c r="C439" s="0" t="n">
        <v>3</v>
      </c>
      <c r="D439" s="0" t="n">
        <v>2</v>
      </c>
      <c r="E439" s="0" t="n">
        <f aca="false">-1+A439*0.25</f>
        <v>-1</v>
      </c>
      <c r="F439" s="0" t="n">
        <f aca="false">-1+B439*0.25</f>
        <v>0.25</v>
      </c>
      <c r="G439" s="0" t="n">
        <f aca="false">-1+C439*0.25</f>
        <v>-0.25</v>
      </c>
      <c r="H439" s="0" t="n">
        <f aca="false">-1+D439*0.25</f>
        <v>-0.5</v>
      </c>
      <c r="I439" s="0" t="n">
        <f aca="false">1</f>
        <v>1</v>
      </c>
      <c r="J439" s="0" t="n">
        <f aca="false">E439</f>
        <v>-1</v>
      </c>
      <c r="K439" s="0" t="n">
        <f aca="false">F439</f>
        <v>0.25</v>
      </c>
      <c r="L439" s="0" t="n">
        <f aca="false">G439</f>
        <v>-0.25</v>
      </c>
      <c r="M439" s="0" t="n">
        <f aca="false">H439</f>
        <v>-0.5</v>
      </c>
      <c r="N439" s="0" t="n">
        <f aca="false">E439*F439</f>
        <v>-0.25</v>
      </c>
      <c r="O439" s="0" t="n">
        <f aca="false">E439*G439</f>
        <v>0.25</v>
      </c>
      <c r="P439" s="0" t="n">
        <f aca="false">E439*H439</f>
        <v>0.5</v>
      </c>
      <c r="Q439" s="0" t="n">
        <f aca="false">F439*G439</f>
        <v>-0.0625</v>
      </c>
      <c r="R439" s="0" t="n">
        <f aca="false">F439*H439</f>
        <v>-0.125</v>
      </c>
      <c r="S439" s="0" t="n">
        <f aca="false">G439*H439</f>
        <v>0.125</v>
      </c>
      <c r="T439" s="0" t="n">
        <f aca="false">E439*E439</f>
        <v>1</v>
      </c>
      <c r="U439" s="0" t="n">
        <f aca="false">F439*F439</f>
        <v>0.0625</v>
      </c>
      <c r="V439" s="0" t="n">
        <f aca="false">G439*G439</f>
        <v>0.0625</v>
      </c>
      <c r="W439" s="0" t="n">
        <f aca="false">H439*H439</f>
        <v>0.25</v>
      </c>
      <c r="X439" s="0" t="n">
        <f aca="false">SUMPRODUCT(I439:W439,_XtX!$B$96:$P$96)</f>
        <v>42.7569307383041</v>
      </c>
      <c r="Y439" s="0" t="n">
        <f aca="false">SUMPRODUCT(MMULT(I439:W439,_XtX!$B$78:$P$92),I439:W439)</f>
        <v>0.445705123812135</v>
      </c>
      <c r="Z439" s="0" t="n">
        <f aca="false">04_回帰ANOVA!$K$19*04_回帰ANOVA!$K$14*SQRT(1+Y439)</f>
        <v>1.56724990734749</v>
      </c>
      <c r="AA439" s="0" t="n">
        <f aca="false">X439-Z439</f>
        <v>41.1896808309566</v>
      </c>
      <c r="AB439" s="0" t="n">
        <f aca="false">X439+Z439</f>
        <v>44.3241806456516</v>
      </c>
      <c r="AC439" s="54" t="b">
        <f aca="false">AND(E439&gt;=01_因子設定!$L$5-0.000000001,E439&lt;=01_因子設定!$M$5+0.000000001,F439&gt;=01_因子設定!$L$6-0.000000001,F439&lt;=01_因子設定!$M$6+0.000000001,G439&gt;=01_因子設定!$L$7-0.000000001,G439&lt;=01_因子設定!$M$7+0.000000001,H439&gt;=01_因子設定!$L$8-0.000000001,H439&lt;=01_因子設定!$M$8+0.000000001,IF(01_因子設定!$B$20="Box-Behnken",E439^2+F439^2+G439^2+H439^2&lt;=2+0.000000001,TRUE()))</f>
        <v>1</v>
      </c>
      <c r="AD439" s="55" t="n">
        <f aca="false">IF(AC439,IF(01_因子設定!$B$13="最大化",AA439-01_因子設定!$B$14,IF(01_因子設定!$B$13="最小化",01_因子設定!$B$15-AB439,MIN(AA439-01_因子設定!$B$14,01_因子設定!$B$15-AB439))),-1E+030)</f>
        <v>-5.31031916904336</v>
      </c>
      <c r="AE439" s="55" t="n">
        <f aca="false">IF(AC439,IF(01_因子設定!$B$13="最大化",X439,IF(01_因子設定!$B$13="最小化",-X439,-ABS(X439-01_因子設定!$B$16))),-1E+030)</f>
        <v>42.7569307383041</v>
      </c>
      <c r="AF439" s="55" t="n">
        <f aca="false">AD439+ROW()*0.000000001</f>
        <v>-5.31031873004336</v>
      </c>
      <c r="AG439" s="55" t="n">
        <f aca="false">AE439+ROW()*0.000000001</f>
        <v>42.7569311773041</v>
      </c>
    </row>
    <row r="440" customFormat="false" ht="15" hidden="false" customHeight="false" outlineLevel="0" collapsed="false">
      <c r="A440" s="0" t="n">
        <v>0</v>
      </c>
      <c r="B440" s="0" t="n">
        <v>5</v>
      </c>
      <c r="C440" s="0" t="n">
        <v>3</v>
      </c>
      <c r="D440" s="0" t="n">
        <v>3</v>
      </c>
      <c r="E440" s="0" t="n">
        <f aca="false">-1+A440*0.25</f>
        <v>-1</v>
      </c>
      <c r="F440" s="0" t="n">
        <f aca="false">-1+B440*0.25</f>
        <v>0.25</v>
      </c>
      <c r="G440" s="0" t="n">
        <f aca="false">-1+C440*0.25</f>
        <v>-0.25</v>
      </c>
      <c r="H440" s="0" t="n">
        <f aca="false">-1+D440*0.25</f>
        <v>-0.25</v>
      </c>
      <c r="I440" s="0" t="n">
        <f aca="false">1</f>
        <v>1</v>
      </c>
      <c r="J440" s="0" t="n">
        <f aca="false">E440</f>
        <v>-1</v>
      </c>
      <c r="K440" s="0" t="n">
        <f aca="false">F440</f>
        <v>0.25</v>
      </c>
      <c r="L440" s="0" t="n">
        <f aca="false">G440</f>
        <v>-0.25</v>
      </c>
      <c r="M440" s="0" t="n">
        <f aca="false">H440</f>
        <v>-0.25</v>
      </c>
      <c r="N440" s="0" t="n">
        <f aca="false">E440*F440</f>
        <v>-0.25</v>
      </c>
      <c r="O440" s="0" t="n">
        <f aca="false">E440*G440</f>
        <v>0.25</v>
      </c>
      <c r="P440" s="0" t="n">
        <f aca="false">E440*H440</f>
        <v>0.25</v>
      </c>
      <c r="Q440" s="0" t="n">
        <f aca="false">F440*G440</f>
        <v>-0.0625</v>
      </c>
      <c r="R440" s="0" t="n">
        <f aca="false">F440*H440</f>
        <v>-0.0625</v>
      </c>
      <c r="S440" s="0" t="n">
        <f aca="false">G440*H440</f>
        <v>0.0625</v>
      </c>
      <c r="T440" s="0" t="n">
        <f aca="false">E440*E440</f>
        <v>1</v>
      </c>
      <c r="U440" s="0" t="n">
        <f aca="false">F440*F440</f>
        <v>0.0625</v>
      </c>
      <c r="V440" s="0" t="n">
        <f aca="false">G440*G440</f>
        <v>0.0625</v>
      </c>
      <c r="W440" s="0" t="n">
        <f aca="false">H440*H440</f>
        <v>0.0625</v>
      </c>
      <c r="X440" s="0" t="n">
        <f aca="false">SUMPRODUCT(I440:W440,_XtX!$B$96:$P$96)</f>
        <v>42.8675301535088</v>
      </c>
      <c r="Y440" s="0" t="n">
        <f aca="false">SUMPRODUCT(MMULT(I440:W440,_XtX!$B$78:$P$92),I440:W440)</f>
        <v>0.457466705500731</v>
      </c>
      <c r="Z440" s="0" t="n">
        <f aca="false">04_回帰ANOVA!$K$19*04_回帰ANOVA!$K$14*SQRT(1+Y440)</f>
        <v>1.57361220003999</v>
      </c>
      <c r="AA440" s="0" t="n">
        <f aca="false">X440-Z440</f>
        <v>41.2939179534688</v>
      </c>
      <c r="AB440" s="0" t="n">
        <f aca="false">X440+Z440</f>
        <v>44.4411423535488</v>
      </c>
      <c r="AC440" s="54" t="b">
        <f aca="false">AND(E440&gt;=01_因子設定!$L$5-0.000000001,E440&lt;=01_因子設定!$M$5+0.000000001,F440&gt;=01_因子設定!$L$6-0.000000001,F440&lt;=01_因子設定!$M$6+0.000000001,G440&gt;=01_因子設定!$L$7-0.000000001,G440&lt;=01_因子設定!$M$7+0.000000001,H440&gt;=01_因子設定!$L$8-0.000000001,H440&lt;=01_因子設定!$M$8+0.000000001,IF(01_因子設定!$B$20="Box-Behnken",E440^2+F440^2+G440^2+H440^2&lt;=2+0.000000001,TRUE()))</f>
        <v>1</v>
      </c>
      <c r="AD440" s="55" t="n">
        <f aca="false">IF(AC440,IF(01_因子設定!$B$13="最大化",AA440-01_因子設定!$B$14,IF(01_因子設定!$B$13="最小化",01_因子設定!$B$15-AB440,MIN(AA440-01_因子設定!$B$14,01_因子設定!$B$15-AB440))),-1E+030)</f>
        <v>-5.20608204653119</v>
      </c>
      <c r="AE440" s="55" t="n">
        <f aca="false">IF(AC440,IF(01_因子設定!$B$13="最大化",X440,IF(01_因子設定!$B$13="最小化",-X440,-ABS(X440-01_因子設定!$B$16))),-1E+030)</f>
        <v>42.8675301535088</v>
      </c>
      <c r="AF440" s="55" t="n">
        <f aca="false">AD440+ROW()*0.000000001</f>
        <v>-5.20608160653119</v>
      </c>
      <c r="AG440" s="55" t="n">
        <f aca="false">AE440+ROW()*0.000000001</f>
        <v>42.8675305935088</v>
      </c>
    </row>
    <row r="441" customFormat="false" ht="15" hidden="false" customHeight="false" outlineLevel="0" collapsed="false">
      <c r="A441" s="0" t="n">
        <v>0</v>
      </c>
      <c r="B441" s="0" t="n">
        <v>5</v>
      </c>
      <c r="C441" s="0" t="n">
        <v>3</v>
      </c>
      <c r="D441" s="0" t="n">
        <v>4</v>
      </c>
      <c r="E441" s="0" t="n">
        <f aca="false">-1+A441*0.25</f>
        <v>-1</v>
      </c>
      <c r="F441" s="0" t="n">
        <f aca="false">-1+B441*0.25</f>
        <v>0.25</v>
      </c>
      <c r="G441" s="0" t="n">
        <f aca="false">-1+C441*0.25</f>
        <v>-0.25</v>
      </c>
      <c r="H441" s="0" t="n">
        <f aca="false">-1+D441*0.25</f>
        <v>0</v>
      </c>
      <c r="I441" s="0" t="n">
        <f aca="false">1</f>
        <v>1</v>
      </c>
      <c r="J441" s="0" t="n">
        <f aca="false">E441</f>
        <v>-1</v>
      </c>
      <c r="K441" s="0" t="n">
        <f aca="false">F441</f>
        <v>0.25</v>
      </c>
      <c r="L441" s="0" t="n">
        <f aca="false">G441</f>
        <v>-0.25</v>
      </c>
      <c r="M441" s="0" t="n">
        <f aca="false">H441</f>
        <v>0</v>
      </c>
      <c r="N441" s="0" t="n">
        <f aca="false">E441*F441</f>
        <v>-0.25</v>
      </c>
      <c r="O441" s="0" t="n">
        <f aca="false">E441*G441</f>
        <v>0.25</v>
      </c>
      <c r="P441" s="0" t="n">
        <f aca="false">E441*H441</f>
        <v>-0</v>
      </c>
      <c r="Q441" s="0" t="n">
        <f aca="false">F441*G441</f>
        <v>-0.0625</v>
      </c>
      <c r="R441" s="0" t="n">
        <f aca="false">F441*H441</f>
        <v>0</v>
      </c>
      <c r="S441" s="0" t="n">
        <f aca="false">G441*H441</f>
        <v>-0</v>
      </c>
      <c r="T441" s="0" t="n">
        <f aca="false">E441*E441</f>
        <v>1</v>
      </c>
      <c r="U441" s="0" t="n">
        <f aca="false">F441*F441</f>
        <v>0.0625</v>
      </c>
      <c r="V441" s="0" t="n">
        <f aca="false">G441*G441</f>
        <v>0.0625</v>
      </c>
      <c r="W441" s="0" t="n">
        <f aca="false">H441*H441</f>
        <v>0</v>
      </c>
      <c r="X441" s="0" t="n">
        <f aca="false">SUMPRODUCT(I441:W441,_XtX!$B$96:$P$96)</f>
        <v>42.9303225511696</v>
      </c>
      <c r="Y441" s="0" t="n">
        <f aca="false">SUMPRODUCT(MMULT(I441:W441,_XtX!$B$78:$P$92),I441:W441)</f>
        <v>0.467417934484649</v>
      </c>
      <c r="Z441" s="0" t="n">
        <f aca="false">04_回帰ANOVA!$K$19*04_回帰ANOVA!$K$14*SQRT(1+Y441)</f>
        <v>1.57897518244497</v>
      </c>
      <c r="AA441" s="0" t="n">
        <f aca="false">X441-Z441</f>
        <v>41.3513473687246</v>
      </c>
      <c r="AB441" s="0" t="n">
        <f aca="false">X441+Z441</f>
        <v>44.5092977336146</v>
      </c>
      <c r="AC441" s="54" t="b">
        <f aca="false">AND(E441&gt;=01_因子設定!$L$5-0.000000001,E441&lt;=01_因子設定!$M$5+0.000000001,F441&gt;=01_因子設定!$L$6-0.000000001,F441&lt;=01_因子設定!$M$6+0.000000001,G441&gt;=01_因子設定!$L$7-0.000000001,G441&lt;=01_因子設定!$M$7+0.000000001,H441&gt;=01_因子設定!$L$8-0.000000001,H441&lt;=01_因子設定!$M$8+0.000000001,IF(01_因子設定!$B$20="Box-Behnken",E441^2+F441^2+G441^2+H441^2&lt;=2+0.000000001,TRUE()))</f>
        <v>1</v>
      </c>
      <c r="AD441" s="55" t="n">
        <f aca="false">IF(AC441,IF(01_因子設定!$B$13="最大化",AA441-01_因子設定!$B$14,IF(01_因子設定!$B$13="最小化",01_因子設定!$B$15-AB441,MIN(AA441-01_因子設定!$B$14,01_因子設定!$B$15-AB441))),-1E+030)</f>
        <v>-5.14865263127535</v>
      </c>
      <c r="AE441" s="55" t="n">
        <f aca="false">IF(AC441,IF(01_因子設定!$B$13="最大化",X441,IF(01_因子設定!$B$13="最小化",-X441,-ABS(X441-01_因子設定!$B$16))),-1E+030)</f>
        <v>42.9303225511696</v>
      </c>
      <c r="AF441" s="55" t="n">
        <f aca="false">AD441+ROW()*0.000000001</f>
        <v>-5.14865219027535</v>
      </c>
      <c r="AG441" s="55" t="n">
        <f aca="false">AE441+ROW()*0.000000001</f>
        <v>42.9303229921696</v>
      </c>
    </row>
    <row r="442" customFormat="false" ht="15" hidden="false" customHeight="false" outlineLevel="0" collapsed="false">
      <c r="A442" s="0" t="n">
        <v>0</v>
      </c>
      <c r="B442" s="0" t="n">
        <v>5</v>
      </c>
      <c r="C442" s="0" t="n">
        <v>3</v>
      </c>
      <c r="D442" s="0" t="n">
        <v>5</v>
      </c>
      <c r="E442" s="0" t="n">
        <f aca="false">-1+A442*0.25</f>
        <v>-1</v>
      </c>
      <c r="F442" s="0" t="n">
        <f aca="false">-1+B442*0.25</f>
        <v>0.25</v>
      </c>
      <c r="G442" s="0" t="n">
        <f aca="false">-1+C442*0.25</f>
        <v>-0.25</v>
      </c>
      <c r="H442" s="0" t="n">
        <f aca="false">-1+D442*0.25</f>
        <v>0.25</v>
      </c>
      <c r="I442" s="0" t="n">
        <f aca="false">1</f>
        <v>1</v>
      </c>
      <c r="J442" s="0" t="n">
        <f aca="false">E442</f>
        <v>-1</v>
      </c>
      <c r="K442" s="0" t="n">
        <f aca="false">F442</f>
        <v>0.25</v>
      </c>
      <c r="L442" s="0" t="n">
        <f aca="false">G442</f>
        <v>-0.25</v>
      </c>
      <c r="M442" s="0" t="n">
        <f aca="false">H442</f>
        <v>0.25</v>
      </c>
      <c r="N442" s="0" t="n">
        <f aca="false">E442*F442</f>
        <v>-0.25</v>
      </c>
      <c r="O442" s="0" t="n">
        <f aca="false">E442*G442</f>
        <v>0.25</v>
      </c>
      <c r="P442" s="0" t="n">
        <f aca="false">E442*H442</f>
        <v>-0.25</v>
      </c>
      <c r="Q442" s="0" t="n">
        <f aca="false">F442*G442</f>
        <v>-0.0625</v>
      </c>
      <c r="R442" s="0" t="n">
        <f aca="false">F442*H442</f>
        <v>0.0625</v>
      </c>
      <c r="S442" s="0" t="n">
        <f aca="false">G442*H442</f>
        <v>-0.0625</v>
      </c>
      <c r="T442" s="0" t="n">
        <f aca="false">E442*E442</f>
        <v>1</v>
      </c>
      <c r="U442" s="0" t="n">
        <f aca="false">F442*F442</f>
        <v>0.0625</v>
      </c>
      <c r="V442" s="0" t="n">
        <f aca="false">G442*G442</f>
        <v>0.0625</v>
      </c>
      <c r="W442" s="0" t="n">
        <f aca="false">H442*H442</f>
        <v>0.0625</v>
      </c>
      <c r="X442" s="0" t="n">
        <f aca="false">SUMPRODUCT(I442:W442,_XtX!$B$96:$P$96)</f>
        <v>42.9453079312866</v>
      </c>
      <c r="Y442" s="0" t="n">
        <f aca="false">SUMPRODUCT(MMULT(I442:W442,_XtX!$B$78:$P$92),I442:W442)</f>
        <v>0.457466705500731</v>
      </c>
      <c r="Z442" s="0" t="n">
        <f aca="false">04_回帰ANOVA!$K$19*04_回帰ANOVA!$K$14*SQRT(1+Y442)</f>
        <v>1.57361220003999</v>
      </c>
      <c r="AA442" s="0" t="n">
        <f aca="false">X442-Z442</f>
        <v>41.3716957312466</v>
      </c>
      <c r="AB442" s="0" t="n">
        <f aca="false">X442+Z442</f>
        <v>44.5189201313266</v>
      </c>
      <c r="AC442" s="54" t="b">
        <f aca="false">AND(E442&gt;=01_因子設定!$L$5-0.000000001,E442&lt;=01_因子設定!$M$5+0.000000001,F442&gt;=01_因子設定!$L$6-0.000000001,F442&lt;=01_因子設定!$M$6+0.000000001,G442&gt;=01_因子設定!$L$7-0.000000001,G442&lt;=01_因子設定!$M$7+0.000000001,H442&gt;=01_因子設定!$L$8-0.000000001,H442&lt;=01_因子設定!$M$8+0.000000001,IF(01_因子設定!$B$20="Box-Behnken",E442^2+F442^2+G442^2+H442^2&lt;=2+0.000000001,TRUE()))</f>
        <v>1</v>
      </c>
      <c r="AD442" s="55" t="n">
        <f aca="false">IF(AC442,IF(01_因子設定!$B$13="最大化",AA442-01_因子設定!$B$14,IF(01_因子設定!$B$13="最小化",01_因子設定!$B$15-AB442,MIN(AA442-01_因子設定!$B$14,01_因子設定!$B$15-AB442))),-1E+030)</f>
        <v>-5.12830426875342</v>
      </c>
      <c r="AE442" s="55" t="n">
        <f aca="false">IF(AC442,IF(01_因子設定!$B$13="最大化",X442,IF(01_因子設定!$B$13="最小化",-X442,-ABS(X442-01_因子設定!$B$16))),-1E+030)</f>
        <v>42.9453079312866</v>
      </c>
      <c r="AF442" s="55" t="n">
        <f aca="false">AD442+ROW()*0.000000001</f>
        <v>-5.12830382675342</v>
      </c>
      <c r="AG442" s="55" t="n">
        <f aca="false">AE442+ROW()*0.000000001</f>
        <v>42.9453083732866</v>
      </c>
    </row>
    <row r="443" customFormat="false" ht="15" hidden="false" customHeight="false" outlineLevel="0" collapsed="false">
      <c r="A443" s="0" t="n">
        <v>0</v>
      </c>
      <c r="B443" s="0" t="n">
        <v>5</v>
      </c>
      <c r="C443" s="0" t="n">
        <v>3</v>
      </c>
      <c r="D443" s="0" t="n">
        <v>6</v>
      </c>
      <c r="E443" s="0" t="n">
        <f aca="false">-1+A443*0.25</f>
        <v>-1</v>
      </c>
      <c r="F443" s="0" t="n">
        <f aca="false">-1+B443*0.25</f>
        <v>0.25</v>
      </c>
      <c r="G443" s="0" t="n">
        <f aca="false">-1+C443*0.25</f>
        <v>-0.25</v>
      </c>
      <c r="H443" s="0" t="n">
        <f aca="false">-1+D443*0.25</f>
        <v>0.5</v>
      </c>
      <c r="I443" s="0" t="n">
        <f aca="false">1</f>
        <v>1</v>
      </c>
      <c r="J443" s="0" t="n">
        <f aca="false">E443</f>
        <v>-1</v>
      </c>
      <c r="K443" s="0" t="n">
        <f aca="false">F443</f>
        <v>0.25</v>
      </c>
      <c r="L443" s="0" t="n">
        <f aca="false">G443</f>
        <v>-0.25</v>
      </c>
      <c r="M443" s="0" t="n">
        <f aca="false">H443</f>
        <v>0.5</v>
      </c>
      <c r="N443" s="0" t="n">
        <f aca="false">E443*F443</f>
        <v>-0.25</v>
      </c>
      <c r="O443" s="0" t="n">
        <f aca="false">E443*G443</f>
        <v>0.25</v>
      </c>
      <c r="P443" s="0" t="n">
        <f aca="false">E443*H443</f>
        <v>-0.5</v>
      </c>
      <c r="Q443" s="0" t="n">
        <f aca="false">F443*G443</f>
        <v>-0.0625</v>
      </c>
      <c r="R443" s="0" t="n">
        <f aca="false">F443*H443</f>
        <v>0.125</v>
      </c>
      <c r="S443" s="0" t="n">
        <f aca="false">G443*H443</f>
        <v>-0.125</v>
      </c>
      <c r="T443" s="0" t="n">
        <f aca="false">E443*E443</f>
        <v>1</v>
      </c>
      <c r="U443" s="0" t="n">
        <f aca="false">F443*F443</f>
        <v>0.0625</v>
      </c>
      <c r="V443" s="0" t="n">
        <f aca="false">G443*G443</f>
        <v>0.0625</v>
      </c>
      <c r="W443" s="0" t="n">
        <f aca="false">H443*H443</f>
        <v>0.25</v>
      </c>
      <c r="X443" s="0" t="n">
        <f aca="false">SUMPRODUCT(I443:W443,_XtX!$B$96:$P$96)</f>
        <v>42.9124862938597</v>
      </c>
      <c r="Y443" s="0" t="n">
        <f aca="false">SUMPRODUCT(MMULT(I443:W443,_XtX!$B$78:$P$92),I443:W443)</f>
        <v>0.445705123812135</v>
      </c>
      <c r="Z443" s="0" t="n">
        <f aca="false">04_回帰ANOVA!$K$19*04_回帰ANOVA!$K$14*SQRT(1+Y443)</f>
        <v>1.56724990734749</v>
      </c>
      <c r="AA443" s="0" t="n">
        <f aca="false">X443-Z443</f>
        <v>41.3452363865122</v>
      </c>
      <c r="AB443" s="0" t="n">
        <f aca="false">X443+Z443</f>
        <v>44.4797362012072</v>
      </c>
      <c r="AC443" s="54" t="b">
        <f aca="false">AND(E443&gt;=01_因子設定!$L$5-0.000000001,E443&lt;=01_因子設定!$M$5+0.000000001,F443&gt;=01_因子設定!$L$6-0.000000001,F443&lt;=01_因子設定!$M$6+0.000000001,G443&gt;=01_因子設定!$L$7-0.000000001,G443&lt;=01_因子設定!$M$7+0.000000001,H443&gt;=01_因子設定!$L$8-0.000000001,H443&lt;=01_因子設定!$M$8+0.000000001,IF(01_因子設定!$B$20="Box-Behnken",E443^2+F443^2+G443^2+H443^2&lt;=2+0.000000001,TRUE()))</f>
        <v>1</v>
      </c>
      <c r="AD443" s="55" t="n">
        <f aca="false">IF(AC443,IF(01_因子設定!$B$13="最大化",AA443-01_因子設定!$B$14,IF(01_因子設定!$B$13="最小化",01_因子設定!$B$15-AB443,MIN(AA443-01_因子設定!$B$14,01_因子設定!$B$15-AB443))),-1E+030)</f>
        <v>-5.1547636134878</v>
      </c>
      <c r="AE443" s="55" t="n">
        <f aca="false">IF(AC443,IF(01_因子設定!$B$13="最大化",X443,IF(01_因子設定!$B$13="最小化",-X443,-ABS(X443-01_因子設定!$B$16))),-1E+030)</f>
        <v>42.9124862938597</v>
      </c>
      <c r="AF443" s="55" t="n">
        <f aca="false">AD443+ROW()*0.000000001</f>
        <v>-5.1547631704878</v>
      </c>
      <c r="AG443" s="55" t="n">
        <f aca="false">AE443+ROW()*0.000000001</f>
        <v>42.9124867368597</v>
      </c>
    </row>
    <row r="444" customFormat="false" ht="15" hidden="false" customHeight="false" outlineLevel="0" collapsed="false">
      <c r="A444" s="0" t="n">
        <v>0</v>
      </c>
      <c r="B444" s="0" t="n">
        <v>5</v>
      </c>
      <c r="C444" s="0" t="n">
        <v>3</v>
      </c>
      <c r="D444" s="0" t="n">
        <v>7</v>
      </c>
      <c r="E444" s="0" t="n">
        <f aca="false">-1+A444*0.25</f>
        <v>-1</v>
      </c>
      <c r="F444" s="0" t="n">
        <f aca="false">-1+B444*0.25</f>
        <v>0.25</v>
      </c>
      <c r="G444" s="0" t="n">
        <f aca="false">-1+C444*0.25</f>
        <v>-0.25</v>
      </c>
      <c r="H444" s="0" t="n">
        <f aca="false">-1+D444*0.25</f>
        <v>0.75</v>
      </c>
      <c r="I444" s="0" t="n">
        <f aca="false">1</f>
        <v>1</v>
      </c>
      <c r="J444" s="0" t="n">
        <f aca="false">E444</f>
        <v>-1</v>
      </c>
      <c r="K444" s="0" t="n">
        <f aca="false">F444</f>
        <v>0.25</v>
      </c>
      <c r="L444" s="0" t="n">
        <f aca="false">G444</f>
        <v>-0.25</v>
      </c>
      <c r="M444" s="0" t="n">
        <f aca="false">H444</f>
        <v>0.75</v>
      </c>
      <c r="N444" s="0" t="n">
        <f aca="false">E444*F444</f>
        <v>-0.25</v>
      </c>
      <c r="O444" s="0" t="n">
        <f aca="false">E444*G444</f>
        <v>0.25</v>
      </c>
      <c r="P444" s="0" t="n">
        <f aca="false">E444*H444</f>
        <v>-0.75</v>
      </c>
      <c r="Q444" s="0" t="n">
        <f aca="false">F444*G444</f>
        <v>-0.0625</v>
      </c>
      <c r="R444" s="0" t="n">
        <f aca="false">F444*H444</f>
        <v>0.1875</v>
      </c>
      <c r="S444" s="0" t="n">
        <f aca="false">G444*H444</f>
        <v>-0.1875</v>
      </c>
      <c r="T444" s="0" t="n">
        <f aca="false">E444*E444</f>
        <v>1</v>
      </c>
      <c r="U444" s="0" t="n">
        <f aca="false">F444*F444</f>
        <v>0.0625</v>
      </c>
      <c r="V444" s="0" t="n">
        <f aca="false">G444*G444</f>
        <v>0.0625</v>
      </c>
      <c r="W444" s="0" t="n">
        <f aca="false">H444*H444</f>
        <v>0.5625</v>
      </c>
      <c r="X444" s="0" t="n">
        <f aca="false">SUMPRODUCT(I444:W444,_XtX!$B$96:$P$96)</f>
        <v>42.8318576388889</v>
      </c>
      <c r="Y444" s="0" t="n">
        <f aca="false">SUMPRODUCT(MMULT(I444:W444,_XtX!$B$78:$P$92),I444:W444)</f>
        <v>0.486409505208334</v>
      </c>
      <c r="Z444" s="0" t="n">
        <f aca="false">04_回帰ANOVA!$K$19*04_回帰ANOVA!$K$14*SQRT(1+Y444)</f>
        <v>1.58916001665498</v>
      </c>
      <c r="AA444" s="0" t="n">
        <f aca="false">X444-Z444</f>
        <v>41.242697622234</v>
      </c>
      <c r="AB444" s="0" t="n">
        <f aca="false">X444+Z444</f>
        <v>44.4210176555439</v>
      </c>
      <c r="AC444" s="54" t="b">
        <f aca="false">AND(E444&gt;=01_因子設定!$L$5-0.000000001,E444&lt;=01_因子設定!$M$5+0.000000001,F444&gt;=01_因子設定!$L$6-0.000000001,F444&lt;=01_因子設定!$M$6+0.000000001,G444&gt;=01_因子設定!$L$7-0.000000001,G444&lt;=01_因子設定!$M$7+0.000000001,H444&gt;=01_因子設定!$L$8-0.000000001,H444&lt;=01_因子設定!$M$8+0.000000001,IF(01_因子設定!$B$20="Box-Behnken",E444^2+F444^2+G444^2+H444^2&lt;=2+0.000000001,TRUE()))</f>
        <v>1</v>
      </c>
      <c r="AD444" s="55" t="n">
        <f aca="false">IF(AC444,IF(01_因子設定!$B$13="最大化",AA444-01_因子設定!$B$14,IF(01_因子設定!$B$13="最小化",01_因子設定!$B$15-AB444,MIN(AA444-01_因子設定!$B$14,01_因子設定!$B$15-AB444))),-1E+030)</f>
        <v>-5.25730237776605</v>
      </c>
      <c r="AE444" s="55" t="n">
        <f aca="false">IF(AC444,IF(01_因子設定!$B$13="最大化",X444,IF(01_因子設定!$B$13="最小化",-X444,-ABS(X444-01_因子設定!$B$16))),-1E+030)</f>
        <v>42.8318576388889</v>
      </c>
      <c r="AF444" s="55" t="n">
        <f aca="false">AD444+ROW()*0.000000001</f>
        <v>-5.25730193376605</v>
      </c>
      <c r="AG444" s="55" t="n">
        <f aca="false">AE444+ROW()*0.000000001</f>
        <v>42.8318580828889</v>
      </c>
    </row>
    <row r="445" customFormat="false" ht="15" hidden="false" customHeight="false" outlineLevel="0" collapsed="false">
      <c r="A445" s="0" t="n">
        <v>0</v>
      </c>
      <c r="B445" s="0" t="n">
        <v>5</v>
      </c>
      <c r="C445" s="0" t="n">
        <v>3</v>
      </c>
      <c r="D445" s="0" t="n">
        <v>8</v>
      </c>
      <c r="E445" s="0" t="n">
        <f aca="false">-1+A445*0.25</f>
        <v>-1</v>
      </c>
      <c r="F445" s="0" t="n">
        <f aca="false">-1+B445*0.25</f>
        <v>0.25</v>
      </c>
      <c r="G445" s="0" t="n">
        <f aca="false">-1+C445*0.25</f>
        <v>-0.25</v>
      </c>
      <c r="H445" s="0" t="n">
        <f aca="false">-1+D445*0.25</f>
        <v>1</v>
      </c>
      <c r="I445" s="0" t="n">
        <f aca="false">1</f>
        <v>1</v>
      </c>
      <c r="J445" s="0" t="n">
        <f aca="false">E445</f>
        <v>-1</v>
      </c>
      <c r="K445" s="0" t="n">
        <f aca="false">F445</f>
        <v>0.25</v>
      </c>
      <c r="L445" s="0" t="n">
        <f aca="false">G445</f>
        <v>-0.25</v>
      </c>
      <c r="M445" s="0" t="n">
        <f aca="false">H445</f>
        <v>1</v>
      </c>
      <c r="N445" s="0" t="n">
        <f aca="false">E445*F445</f>
        <v>-0.25</v>
      </c>
      <c r="O445" s="0" t="n">
        <f aca="false">E445*G445</f>
        <v>0.25</v>
      </c>
      <c r="P445" s="0" t="n">
        <f aca="false">E445*H445</f>
        <v>-1</v>
      </c>
      <c r="Q445" s="0" t="n">
        <f aca="false">F445*G445</f>
        <v>-0.0625</v>
      </c>
      <c r="R445" s="0" t="n">
        <f aca="false">F445*H445</f>
        <v>0.25</v>
      </c>
      <c r="S445" s="0" t="n">
        <f aca="false">G445*H445</f>
        <v>-0.25</v>
      </c>
      <c r="T445" s="0" t="n">
        <f aca="false">E445*E445</f>
        <v>1</v>
      </c>
      <c r="U445" s="0" t="n">
        <f aca="false">F445*F445</f>
        <v>0.0625</v>
      </c>
      <c r="V445" s="0" t="n">
        <f aca="false">G445*G445</f>
        <v>0.0625</v>
      </c>
      <c r="W445" s="0" t="n">
        <f aca="false">H445*H445</f>
        <v>1</v>
      </c>
      <c r="X445" s="0" t="n">
        <f aca="false">SUMPRODUCT(I445:W445,_XtX!$B$96:$P$96)</f>
        <v>42.7034219663743</v>
      </c>
      <c r="Y445" s="0" t="n">
        <f aca="false">SUMPRODUCT(MMULT(I445:W445,_XtX!$B$78:$P$92),I445:W445)</f>
        <v>0.670040376005117</v>
      </c>
      <c r="Z445" s="0" t="n">
        <f aca="false">04_回帰ANOVA!$K$19*04_回帰ANOVA!$K$14*SQRT(1+Y445)</f>
        <v>1.68446456039992</v>
      </c>
      <c r="AA445" s="0" t="n">
        <f aca="false">X445-Z445</f>
        <v>41.0189574059744</v>
      </c>
      <c r="AB445" s="0" t="n">
        <f aca="false">X445+Z445</f>
        <v>44.3878865267742</v>
      </c>
      <c r="AC445" s="54" t="b">
        <f aca="false">AND(E445&gt;=01_因子設定!$L$5-0.000000001,E445&lt;=01_因子設定!$M$5+0.000000001,F445&gt;=01_因子設定!$L$6-0.000000001,F445&lt;=01_因子設定!$M$6+0.000000001,G445&gt;=01_因子設定!$L$7-0.000000001,G445&lt;=01_因子設定!$M$7+0.000000001,H445&gt;=01_因子設定!$L$8-0.000000001,H445&lt;=01_因子設定!$M$8+0.000000001,IF(01_因子設定!$B$20="Box-Behnken",E445^2+F445^2+G445^2+H445^2&lt;=2+0.000000001,TRUE()))</f>
        <v>1</v>
      </c>
      <c r="AD445" s="55" t="n">
        <f aca="false">IF(AC445,IF(01_因子設定!$B$13="最大化",AA445-01_因子設定!$B$14,IF(01_因子設定!$B$13="最小化",01_因子設定!$B$15-AB445,MIN(AA445-01_因子設定!$B$14,01_因子設定!$B$15-AB445))),-1E+030)</f>
        <v>-5.48104259402559</v>
      </c>
      <c r="AE445" s="55" t="n">
        <f aca="false">IF(AC445,IF(01_因子設定!$B$13="最大化",X445,IF(01_因子設定!$B$13="最小化",-X445,-ABS(X445-01_因子設定!$B$16))),-1E+030)</f>
        <v>42.7034219663743</v>
      </c>
      <c r="AF445" s="55" t="n">
        <f aca="false">AD445+ROW()*0.000000001</f>
        <v>-5.48104214902559</v>
      </c>
      <c r="AG445" s="55" t="n">
        <f aca="false">AE445+ROW()*0.000000001</f>
        <v>42.7034224113743</v>
      </c>
    </row>
    <row r="446" customFormat="false" ht="15" hidden="false" customHeight="false" outlineLevel="0" collapsed="false">
      <c r="A446" s="0" t="n">
        <v>0</v>
      </c>
      <c r="B446" s="0" t="n">
        <v>5</v>
      </c>
      <c r="C446" s="0" t="n">
        <v>4</v>
      </c>
      <c r="D446" s="0" t="n">
        <v>0</v>
      </c>
      <c r="E446" s="0" t="n">
        <f aca="false">-1+A446*0.25</f>
        <v>-1</v>
      </c>
      <c r="F446" s="0" t="n">
        <f aca="false">-1+B446*0.25</f>
        <v>0.25</v>
      </c>
      <c r="G446" s="0" t="n">
        <f aca="false">-1+C446*0.25</f>
        <v>0</v>
      </c>
      <c r="H446" s="0" t="n">
        <f aca="false">-1+D446*0.25</f>
        <v>-1</v>
      </c>
      <c r="I446" s="0" t="n">
        <f aca="false">1</f>
        <v>1</v>
      </c>
      <c r="J446" s="0" t="n">
        <f aca="false">E446</f>
        <v>-1</v>
      </c>
      <c r="K446" s="0" t="n">
        <f aca="false">F446</f>
        <v>0.25</v>
      </c>
      <c r="L446" s="0" t="n">
        <f aca="false">G446</f>
        <v>0</v>
      </c>
      <c r="M446" s="0" t="n">
        <f aca="false">H446</f>
        <v>-1</v>
      </c>
      <c r="N446" s="0" t="n">
        <f aca="false">E446*F446</f>
        <v>-0.25</v>
      </c>
      <c r="O446" s="0" t="n">
        <f aca="false">E446*G446</f>
        <v>-0</v>
      </c>
      <c r="P446" s="0" t="n">
        <f aca="false">E446*H446</f>
        <v>1</v>
      </c>
      <c r="Q446" s="0" t="n">
        <f aca="false">F446*G446</f>
        <v>0</v>
      </c>
      <c r="R446" s="0" t="n">
        <f aca="false">F446*H446</f>
        <v>-0.25</v>
      </c>
      <c r="S446" s="0" t="n">
        <f aca="false">G446*H446</f>
        <v>-0</v>
      </c>
      <c r="T446" s="0" t="n">
        <f aca="false">E446*E446</f>
        <v>1</v>
      </c>
      <c r="U446" s="0" t="n">
        <f aca="false">F446*F446</f>
        <v>0.0625</v>
      </c>
      <c r="V446" s="0" t="n">
        <f aca="false">G446*G446</f>
        <v>0</v>
      </c>
      <c r="W446" s="0" t="n">
        <f aca="false">H446*H446</f>
        <v>1</v>
      </c>
      <c r="X446" s="0" t="n">
        <f aca="false">SUMPRODUCT(I446:W446,_XtX!$B$96:$P$96)</f>
        <v>42.7909539473685</v>
      </c>
      <c r="Y446" s="0" t="n">
        <f aca="false">SUMPRODUCT(MMULT(I446:W446,_XtX!$B$78:$P$92),I446:W446)</f>
        <v>0.689692982456141</v>
      </c>
      <c r="Z446" s="0" t="n">
        <f aca="false">04_回帰ANOVA!$K$19*04_回帰ANOVA!$K$14*SQRT(1+Y446)</f>
        <v>1.69434674594998</v>
      </c>
      <c r="AA446" s="0" t="n">
        <f aca="false">X446-Z446</f>
        <v>41.0966072014185</v>
      </c>
      <c r="AB446" s="0" t="n">
        <f aca="false">X446+Z446</f>
        <v>44.4853006933185</v>
      </c>
      <c r="AC446" s="54" t="b">
        <f aca="false">AND(E446&gt;=01_因子設定!$L$5-0.000000001,E446&lt;=01_因子設定!$M$5+0.000000001,F446&gt;=01_因子設定!$L$6-0.000000001,F446&lt;=01_因子設定!$M$6+0.000000001,G446&gt;=01_因子設定!$L$7-0.000000001,G446&lt;=01_因子設定!$M$7+0.000000001,H446&gt;=01_因子設定!$L$8-0.000000001,H446&lt;=01_因子設定!$M$8+0.000000001,IF(01_因子設定!$B$20="Box-Behnken",E446^2+F446^2+G446^2+H446^2&lt;=2+0.000000001,TRUE()))</f>
        <v>1</v>
      </c>
      <c r="AD446" s="55" t="n">
        <f aca="false">IF(AC446,IF(01_因子設定!$B$13="最大化",AA446-01_因子設定!$B$14,IF(01_因子設定!$B$13="最小化",01_因子設定!$B$15-AB446,MIN(AA446-01_因子設定!$B$14,01_因子設定!$B$15-AB446))),-1E+030)</f>
        <v>-5.4033927985815</v>
      </c>
      <c r="AE446" s="55" t="n">
        <f aca="false">IF(AC446,IF(01_因子設定!$B$13="最大化",X446,IF(01_因子設定!$B$13="最小化",-X446,-ABS(X446-01_因子設定!$B$16))),-1E+030)</f>
        <v>42.7909539473685</v>
      </c>
      <c r="AF446" s="55" t="n">
        <f aca="false">AD446+ROW()*0.000000001</f>
        <v>-5.4033923525815</v>
      </c>
      <c r="AG446" s="55" t="n">
        <f aca="false">AE446+ROW()*0.000000001</f>
        <v>42.7909543933685</v>
      </c>
    </row>
    <row r="447" customFormat="false" ht="15" hidden="false" customHeight="false" outlineLevel="0" collapsed="false">
      <c r="A447" s="0" t="n">
        <v>0</v>
      </c>
      <c r="B447" s="0" t="n">
        <v>5</v>
      </c>
      <c r="C447" s="0" t="n">
        <v>4</v>
      </c>
      <c r="D447" s="0" t="n">
        <v>1</v>
      </c>
      <c r="E447" s="0" t="n">
        <f aca="false">-1+A447*0.25</f>
        <v>-1</v>
      </c>
      <c r="F447" s="0" t="n">
        <f aca="false">-1+B447*0.25</f>
        <v>0.25</v>
      </c>
      <c r="G447" s="0" t="n">
        <f aca="false">-1+C447*0.25</f>
        <v>0</v>
      </c>
      <c r="H447" s="0" t="n">
        <f aca="false">-1+D447*0.25</f>
        <v>-0.75</v>
      </c>
      <c r="I447" s="0" t="n">
        <f aca="false">1</f>
        <v>1</v>
      </c>
      <c r="J447" s="0" t="n">
        <f aca="false">E447</f>
        <v>-1</v>
      </c>
      <c r="K447" s="0" t="n">
        <f aca="false">F447</f>
        <v>0.25</v>
      </c>
      <c r="L447" s="0" t="n">
        <f aca="false">G447</f>
        <v>0</v>
      </c>
      <c r="M447" s="0" t="n">
        <f aca="false">H447</f>
        <v>-0.75</v>
      </c>
      <c r="N447" s="0" t="n">
        <f aca="false">E447*F447</f>
        <v>-0.25</v>
      </c>
      <c r="O447" s="0" t="n">
        <f aca="false">E447*G447</f>
        <v>-0</v>
      </c>
      <c r="P447" s="0" t="n">
        <f aca="false">E447*H447</f>
        <v>0.75</v>
      </c>
      <c r="Q447" s="0" t="n">
        <f aca="false">F447*G447</f>
        <v>0</v>
      </c>
      <c r="R447" s="0" t="n">
        <f aca="false">F447*H447</f>
        <v>-0.1875</v>
      </c>
      <c r="S447" s="0" t="n">
        <f aca="false">G447*H447</f>
        <v>-0</v>
      </c>
      <c r="T447" s="0" t="n">
        <f aca="false">E447*E447</f>
        <v>1</v>
      </c>
      <c r="U447" s="0" t="n">
        <f aca="false">F447*F447</f>
        <v>0.0625</v>
      </c>
      <c r="V447" s="0" t="n">
        <f aca="false">G447*G447</f>
        <v>0</v>
      </c>
      <c r="W447" s="0" t="n">
        <f aca="false">H447*H447</f>
        <v>0.5625</v>
      </c>
      <c r="X447" s="0" t="n">
        <f aca="false">SUMPRODUCT(I447:W447,_XtX!$B$96:$P$96)</f>
        <v>43.0151361476609</v>
      </c>
      <c r="Y447" s="0" t="n">
        <f aca="false">SUMPRODUCT(MMULT(I447:W447,_XtX!$B$78:$P$92),I447:W447)</f>
        <v>0.501534802174708</v>
      </c>
      <c r="Z447" s="0" t="n">
        <f aca="false">04_回帰ANOVA!$K$19*04_回帰ANOVA!$K$14*SQRT(1+Y447)</f>
        <v>1.59722498091333</v>
      </c>
      <c r="AA447" s="0" t="n">
        <f aca="false">X447-Z447</f>
        <v>41.4179111667475</v>
      </c>
      <c r="AB447" s="0" t="n">
        <f aca="false">X447+Z447</f>
        <v>44.6123611285742</v>
      </c>
      <c r="AC447" s="54" t="b">
        <f aca="false">AND(E447&gt;=01_因子設定!$L$5-0.000000001,E447&lt;=01_因子設定!$M$5+0.000000001,F447&gt;=01_因子設定!$L$6-0.000000001,F447&lt;=01_因子設定!$M$6+0.000000001,G447&gt;=01_因子設定!$L$7-0.000000001,G447&lt;=01_因子設定!$M$7+0.000000001,H447&gt;=01_因子設定!$L$8-0.000000001,H447&lt;=01_因子設定!$M$8+0.000000001,IF(01_因子設定!$B$20="Box-Behnken",E447^2+F447^2+G447^2+H447^2&lt;=2+0.000000001,TRUE()))</f>
        <v>1</v>
      </c>
      <c r="AD447" s="55" t="n">
        <f aca="false">IF(AC447,IF(01_因子設定!$B$13="最大化",AA447-01_因子設定!$B$14,IF(01_因子設定!$B$13="最小化",01_因子設定!$B$15-AB447,MIN(AA447-01_因子設定!$B$14,01_因子設定!$B$15-AB447))),-1E+030)</f>
        <v>-5.08208883325246</v>
      </c>
      <c r="AE447" s="55" t="n">
        <f aca="false">IF(AC447,IF(01_因子設定!$B$13="最大化",X447,IF(01_因子設定!$B$13="最小化",-X447,-ABS(X447-01_因子設定!$B$16))),-1E+030)</f>
        <v>43.0151361476609</v>
      </c>
      <c r="AF447" s="55" t="n">
        <f aca="false">AD447+ROW()*0.000000001</f>
        <v>-5.08208838625246</v>
      </c>
      <c r="AG447" s="55" t="n">
        <f aca="false">AE447+ROW()*0.000000001</f>
        <v>43.0151365946609</v>
      </c>
    </row>
    <row r="448" customFormat="false" ht="15" hidden="false" customHeight="false" outlineLevel="0" collapsed="false">
      <c r="A448" s="0" t="n">
        <v>0</v>
      </c>
      <c r="B448" s="0" t="n">
        <v>5</v>
      </c>
      <c r="C448" s="0" t="n">
        <v>4</v>
      </c>
      <c r="D448" s="0" t="n">
        <v>2</v>
      </c>
      <c r="E448" s="0" t="n">
        <f aca="false">-1+A448*0.25</f>
        <v>-1</v>
      </c>
      <c r="F448" s="0" t="n">
        <f aca="false">-1+B448*0.25</f>
        <v>0.25</v>
      </c>
      <c r="G448" s="0" t="n">
        <f aca="false">-1+C448*0.25</f>
        <v>0</v>
      </c>
      <c r="H448" s="0" t="n">
        <f aca="false">-1+D448*0.25</f>
        <v>-0.5</v>
      </c>
      <c r="I448" s="0" t="n">
        <f aca="false">1</f>
        <v>1</v>
      </c>
      <c r="J448" s="0" t="n">
        <f aca="false">E448</f>
        <v>-1</v>
      </c>
      <c r="K448" s="0" t="n">
        <f aca="false">F448</f>
        <v>0.25</v>
      </c>
      <c r="L448" s="0" t="n">
        <f aca="false">G448</f>
        <v>0</v>
      </c>
      <c r="M448" s="0" t="n">
        <f aca="false">H448</f>
        <v>-0.5</v>
      </c>
      <c r="N448" s="0" t="n">
        <f aca="false">E448*F448</f>
        <v>-0.25</v>
      </c>
      <c r="O448" s="0" t="n">
        <f aca="false">E448*G448</f>
        <v>-0</v>
      </c>
      <c r="P448" s="0" t="n">
        <f aca="false">E448*H448</f>
        <v>0.5</v>
      </c>
      <c r="Q448" s="0" t="n">
        <f aca="false">F448*G448</f>
        <v>0</v>
      </c>
      <c r="R448" s="0" t="n">
        <f aca="false">F448*H448</f>
        <v>-0.125</v>
      </c>
      <c r="S448" s="0" t="n">
        <f aca="false">G448*H448</f>
        <v>-0</v>
      </c>
      <c r="T448" s="0" t="n">
        <f aca="false">E448*E448</f>
        <v>1</v>
      </c>
      <c r="U448" s="0" t="n">
        <f aca="false">F448*F448</f>
        <v>0.0625</v>
      </c>
      <c r="V448" s="0" t="n">
        <f aca="false">G448*G448</f>
        <v>0</v>
      </c>
      <c r="W448" s="0" t="n">
        <f aca="false">H448*H448</f>
        <v>0.25</v>
      </c>
      <c r="X448" s="0" t="n">
        <f aca="false">SUMPRODUCT(I448:W448,_XtX!$B$96:$P$96)</f>
        <v>43.1915113304094</v>
      </c>
      <c r="Y448" s="0" t="n">
        <f aca="false">SUMPRODUCT(MMULT(I448:W448,_XtX!$B$78:$P$92),I448:W448)</f>
        <v>0.457596628289474</v>
      </c>
      <c r="Z448" s="0" t="n">
        <f aca="false">04_回帰ANOVA!$K$19*04_回帰ANOVA!$K$14*SQRT(1+Y448)</f>
        <v>1.57368233664366</v>
      </c>
      <c r="AA448" s="0" t="n">
        <f aca="false">X448-Z448</f>
        <v>41.6178289937657</v>
      </c>
      <c r="AB448" s="0" t="n">
        <f aca="false">X448+Z448</f>
        <v>44.7651936670531</v>
      </c>
      <c r="AC448" s="54" t="b">
        <f aca="false">AND(E448&gt;=01_因子設定!$L$5-0.000000001,E448&lt;=01_因子設定!$M$5+0.000000001,F448&gt;=01_因子設定!$L$6-0.000000001,F448&lt;=01_因子設定!$M$6+0.000000001,G448&gt;=01_因子設定!$L$7-0.000000001,G448&lt;=01_因子設定!$M$7+0.000000001,H448&gt;=01_因子設定!$L$8-0.000000001,H448&lt;=01_因子設定!$M$8+0.000000001,IF(01_因子設定!$B$20="Box-Behnken",E448^2+F448^2+G448^2+H448^2&lt;=2+0.000000001,TRUE()))</f>
        <v>1</v>
      </c>
      <c r="AD448" s="55" t="n">
        <f aca="false">IF(AC448,IF(01_因子設定!$B$13="最大化",AA448-01_因子設定!$B$14,IF(01_因子設定!$B$13="最小化",01_因子設定!$B$15-AB448,MIN(AA448-01_因子設定!$B$14,01_因子設定!$B$15-AB448))),-1E+030)</f>
        <v>-4.88217100623427</v>
      </c>
      <c r="AE448" s="55" t="n">
        <f aca="false">IF(AC448,IF(01_因子設定!$B$13="最大化",X448,IF(01_因子設定!$B$13="最小化",-X448,-ABS(X448-01_因子設定!$B$16))),-1E+030)</f>
        <v>43.1915113304094</v>
      </c>
      <c r="AF448" s="55" t="n">
        <f aca="false">AD448+ROW()*0.000000001</f>
        <v>-4.88217055823427</v>
      </c>
      <c r="AG448" s="55" t="n">
        <f aca="false">AE448+ROW()*0.000000001</f>
        <v>43.1915117784094</v>
      </c>
    </row>
    <row r="449" customFormat="false" ht="15" hidden="false" customHeight="false" outlineLevel="0" collapsed="false">
      <c r="A449" s="0" t="n">
        <v>0</v>
      </c>
      <c r="B449" s="0" t="n">
        <v>5</v>
      </c>
      <c r="C449" s="0" t="n">
        <v>4</v>
      </c>
      <c r="D449" s="0" t="n">
        <v>3</v>
      </c>
      <c r="E449" s="0" t="n">
        <f aca="false">-1+A449*0.25</f>
        <v>-1</v>
      </c>
      <c r="F449" s="0" t="n">
        <f aca="false">-1+B449*0.25</f>
        <v>0.25</v>
      </c>
      <c r="G449" s="0" t="n">
        <f aca="false">-1+C449*0.25</f>
        <v>0</v>
      </c>
      <c r="H449" s="0" t="n">
        <f aca="false">-1+D449*0.25</f>
        <v>-0.25</v>
      </c>
      <c r="I449" s="0" t="n">
        <f aca="false">1</f>
        <v>1</v>
      </c>
      <c r="J449" s="0" t="n">
        <f aca="false">E449</f>
        <v>-1</v>
      </c>
      <c r="K449" s="0" t="n">
        <f aca="false">F449</f>
        <v>0.25</v>
      </c>
      <c r="L449" s="0" t="n">
        <f aca="false">G449</f>
        <v>0</v>
      </c>
      <c r="M449" s="0" t="n">
        <f aca="false">H449</f>
        <v>-0.25</v>
      </c>
      <c r="N449" s="0" t="n">
        <f aca="false">E449*F449</f>
        <v>-0.25</v>
      </c>
      <c r="O449" s="0" t="n">
        <f aca="false">E449*G449</f>
        <v>-0</v>
      </c>
      <c r="P449" s="0" t="n">
        <f aca="false">E449*H449</f>
        <v>0.25</v>
      </c>
      <c r="Q449" s="0" t="n">
        <f aca="false">F449*G449</f>
        <v>0</v>
      </c>
      <c r="R449" s="0" t="n">
        <f aca="false">F449*H449</f>
        <v>-0.0625</v>
      </c>
      <c r="S449" s="0" t="n">
        <f aca="false">G449*H449</f>
        <v>-0</v>
      </c>
      <c r="T449" s="0" t="n">
        <f aca="false">E449*E449</f>
        <v>1</v>
      </c>
      <c r="U449" s="0" t="n">
        <f aca="false">F449*F449</f>
        <v>0.0625</v>
      </c>
      <c r="V449" s="0" t="n">
        <f aca="false">G449*G449</f>
        <v>0</v>
      </c>
      <c r="W449" s="0" t="n">
        <f aca="false">H449*H449</f>
        <v>0.0625</v>
      </c>
      <c r="X449" s="0" t="n">
        <f aca="false">SUMPRODUCT(I449:W449,_XtX!$B$96:$P$96)</f>
        <v>43.3200794956141</v>
      </c>
      <c r="Y449" s="0" t="n">
        <f aca="false">SUMPRODUCT(MMULT(I449:W449,_XtX!$B$78:$P$92),I449:W449)</f>
        <v>0.467417934484649</v>
      </c>
      <c r="Z449" s="0" t="n">
        <f aca="false">04_回帰ANOVA!$K$19*04_回帰ANOVA!$K$14*SQRT(1+Y449)</f>
        <v>1.57897518244497</v>
      </c>
      <c r="AA449" s="0" t="n">
        <f aca="false">X449-Z449</f>
        <v>41.7411043131691</v>
      </c>
      <c r="AB449" s="0" t="n">
        <f aca="false">X449+Z449</f>
        <v>44.899054678059</v>
      </c>
      <c r="AC449" s="54" t="b">
        <f aca="false">AND(E449&gt;=01_因子設定!$L$5-0.000000001,E449&lt;=01_因子設定!$M$5+0.000000001,F449&gt;=01_因子設定!$L$6-0.000000001,F449&lt;=01_因子設定!$M$6+0.000000001,G449&gt;=01_因子設定!$L$7-0.000000001,G449&lt;=01_因子設定!$M$7+0.000000001,H449&gt;=01_因子設定!$L$8-0.000000001,H449&lt;=01_因子設定!$M$8+0.000000001,IF(01_因子設定!$B$20="Box-Behnken",E449^2+F449^2+G449^2+H449^2&lt;=2+0.000000001,TRUE()))</f>
        <v>1</v>
      </c>
      <c r="AD449" s="55" t="n">
        <f aca="false">IF(AC449,IF(01_因子設定!$B$13="最大化",AA449-01_因子設定!$B$14,IF(01_因子設定!$B$13="最小化",01_因子設定!$B$15-AB449,MIN(AA449-01_因子設定!$B$14,01_因子設定!$B$15-AB449))),-1E+030)</f>
        <v>-4.7588956868309</v>
      </c>
      <c r="AE449" s="55" t="n">
        <f aca="false">IF(AC449,IF(01_因子設定!$B$13="最大化",X449,IF(01_因子設定!$B$13="最小化",-X449,-ABS(X449-01_因子設定!$B$16))),-1E+030)</f>
        <v>43.3200794956141</v>
      </c>
      <c r="AF449" s="55" t="n">
        <f aca="false">AD449+ROW()*0.000000001</f>
        <v>-4.7588952378309</v>
      </c>
      <c r="AG449" s="55" t="n">
        <f aca="false">AE449+ROW()*0.000000001</f>
        <v>43.3200799446141</v>
      </c>
    </row>
    <row r="450" customFormat="false" ht="15" hidden="false" customHeight="false" outlineLevel="0" collapsed="false">
      <c r="A450" s="0" t="n">
        <v>0</v>
      </c>
      <c r="B450" s="0" t="n">
        <v>5</v>
      </c>
      <c r="C450" s="0" t="n">
        <v>4</v>
      </c>
      <c r="D450" s="0" t="n">
        <v>4</v>
      </c>
      <c r="E450" s="0" t="n">
        <f aca="false">-1+A450*0.25</f>
        <v>-1</v>
      </c>
      <c r="F450" s="0" t="n">
        <f aca="false">-1+B450*0.25</f>
        <v>0.25</v>
      </c>
      <c r="G450" s="0" t="n">
        <f aca="false">-1+C450*0.25</f>
        <v>0</v>
      </c>
      <c r="H450" s="0" t="n">
        <f aca="false">-1+D450*0.25</f>
        <v>0</v>
      </c>
      <c r="I450" s="0" t="n">
        <f aca="false">1</f>
        <v>1</v>
      </c>
      <c r="J450" s="0" t="n">
        <f aca="false">E450</f>
        <v>-1</v>
      </c>
      <c r="K450" s="0" t="n">
        <f aca="false">F450</f>
        <v>0.25</v>
      </c>
      <c r="L450" s="0" t="n">
        <f aca="false">G450</f>
        <v>0</v>
      </c>
      <c r="M450" s="0" t="n">
        <f aca="false">H450</f>
        <v>0</v>
      </c>
      <c r="N450" s="0" t="n">
        <f aca="false">E450*F450</f>
        <v>-0.25</v>
      </c>
      <c r="O450" s="0" t="n">
        <f aca="false">E450*G450</f>
        <v>-0</v>
      </c>
      <c r="P450" s="0" t="n">
        <f aca="false">E450*H450</f>
        <v>-0</v>
      </c>
      <c r="Q450" s="0" t="n">
        <f aca="false">F450*G450</f>
        <v>0</v>
      </c>
      <c r="R450" s="0" t="n">
        <f aca="false">F450*H450</f>
        <v>0</v>
      </c>
      <c r="S450" s="0" t="n">
        <f aca="false">G450*H450</f>
        <v>0</v>
      </c>
      <c r="T450" s="0" t="n">
        <f aca="false">E450*E450</f>
        <v>1</v>
      </c>
      <c r="U450" s="0" t="n">
        <f aca="false">F450*F450</f>
        <v>0.0625</v>
      </c>
      <c r="V450" s="0" t="n">
        <f aca="false">G450*G450</f>
        <v>0</v>
      </c>
      <c r="W450" s="0" t="n">
        <f aca="false">H450*H450</f>
        <v>0</v>
      </c>
      <c r="X450" s="0" t="n">
        <f aca="false">SUMPRODUCT(I450:W450,_XtX!$B$96:$P$96)</f>
        <v>43.4008406432749</v>
      </c>
      <c r="Y450" s="0" t="n">
        <f aca="false">SUMPRODUCT(MMULT(I450:W450,_XtX!$B$78:$P$92),I450:W450)</f>
        <v>0.47672240497076</v>
      </c>
      <c r="Z450" s="0" t="n">
        <f aca="false">04_回帰ANOVA!$K$19*04_回帰ANOVA!$K$14*SQRT(1+Y450)</f>
        <v>1.58397318352695</v>
      </c>
      <c r="AA450" s="0" t="n">
        <f aca="false">X450-Z450</f>
        <v>41.8168674597479</v>
      </c>
      <c r="AB450" s="0" t="n">
        <f aca="false">X450+Z450</f>
        <v>44.9848138268018</v>
      </c>
      <c r="AC450" s="54" t="b">
        <f aca="false">AND(E450&gt;=01_因子設定!$L$5-0.000000001,E450&lt;=01_因子設定!$M$5+0.000000001,F450&gt;=01_因子設定!$L$6-0.000000001,F450&lt;=01_因子設定!$M$6+0.000000001,G450&gt;=01_因子設定!$L$7-0.000000001,G450&lt;=01_因子設定!$M$7+0.000000001,H450&gt;=01_因子設定!$L$8-0.000000001,H450&lt;=01_因子設定!$M$8+0.000000001,IF(01_因子設定!$B$20="Box-Behnken",E450^2+F450^2+G450^2+H450^2&lt;=2+0.000000001,TRUE()))</f>
        <v>1</v>
      </c>
      <c r="AD450" s="55" t="n">
        <f aca="false">IF(AC450,IF(01_因子設定!$B$13="最大化",AA450-01_因子設定!$B$14,IF(01_因子設定!$B$13="最小化",01_因子設定!$B$15-AB450,MIN(AA450-01_因子設定!$B$14,01_因子設定!$B$15-AB450))),-1E+030)</f>
        <v>-4.68313254025206</v>
      </c>
      <c r="AE450" s="55" t="n">
        <f aca="false">IF(AC450,IF(01_因子設定!$B$13="最大化",X450,IF(01_因子設定!$B$13="最小化",-X450,-ABS(X450-01_因子設定!$B$16))),-1E+030)</f>
        <v>43.4008406432749</v>
      </c>
      <c r="AF450" s="55" t="n">
        <f aca="false">AD450+ROW()*0.000000001</f>
        <v>-4.68313209025206</v>
      </c>
      <c r="AG450" s="55" t="n">
        <f aca="false">AE450+ROW()*0.000000001</f>
        <v>43.4008410932749</v>
      </c>
    </row>
    <row r="451" customFormat="false" ht="15" hidden="false" customHeight="false" outlineLevel="0" collapsed="false">
      <c r="A451" s="0" t="n">
        <v>0</v>
      </c>
      <c r="B451" s="0" t="n">
        <v>5</v>
      </c>
      <c r="C451" s="0" t="n">
        <v>4</v>
      </c>
      <c r="D451" s="0" t="n">
        <v>5</v>
      </c>
      <c r="E451" s="0" t="n">
        <f aca="false">-1+A451*0.25</f>
        <v>-1</v>
      </c>
      <c r="F451" s="0" t="n">
        <f aca="false">-1+B451*0.25</f>
        <v>0.25</v>
      </c>
      <c r="G451" s="0" t="n">
        <f aca="false">-1+C451*0.25</f>
        <v>0</v>
      </c>
      <c r="H451" s="0" t="n">
        <f aca="false">-1+D451*0.25</f>
        <v>0.25</v>
      </c>
      <c r="I451" s="0" t="n">
        <f aca="false">1</f>
        <v>1</v>
      </c>
      <c r="J451" s="0" t="n">
        <f aca="false">E451</f>
        <v>-1</v>
      </c>
      <c r="K451" s="0" t="n">
        <f aca="false">F451</f>
        <v>0.25</v>
      </c>
      <c r="L451" s="0" t="n">
        <f aca="false">G451</f>
        <v>0</v>
      </c>
      <c r="M451" s="0" t="n">
        <f aca="false">H451</f>
        <v>0.25</v>
      </c>
      <c r="N451" s="0" t="n">
        <f aca="false">E451*F451</f>
        <v>-0.25</v>
      </c>
      <c r="O451" s="0" t="n">
        <f aca="false">E451*G451</f>
        <v>-0</v>
      </c>
      <c r="P451" s="0" t="n">
        <f aca="false">E451*H451</f>
        <v>-0.25</v>
      </c>
      <c r="Q451" s="0" t="n">
        <f aca="false">F451*G451</f>
        <v>0</v>
      </c>
      <c r="R451" s="0" t="n">
        <f aca="false">F451*H451</f>
        <v>0.0625</v>
      </c>
      <c r="S451" s="0" t="n">
        <f aca="false">G451*H451</f>
        <v>0</v>
      </c>
      <c r="T451" s="0" t="n">
        <f aca="false">E451*E451</f>
        <v>1</v>
      </c>
      <c r="U451" s="0" t="n">
        <f aca="false">F451*F451</f>
        <v>0.0625</v>
      </c>
      <c r="V451" s="0" t="n">
        <f aca="false">G451*G451</f>
        <v>0</v>
      </c>
      <c r="W451" s="0" t="n">
        <f aca="false">H451*H451</f>
        <v>0.0625</v>
      </c>
      <c r="X451" s="0" t="n">
        <f aca="false">SUMPRODUCT(I451:W451,_XtX!$B$96:$P$96)</f>
        <v>43.4337947733918</v>
      </c>
      <c r="Y451" s="0" t="n">
        <f aca="false">SUMPRODUCT(MMULT(I451:W451,_XtX!$B$78:$P$92),I451:W451)</f>
        <v>0.467417934484649</v>
      </c>
      <c r="Z451" s="0" t="n">
        <f aca="false">04_回帰ANOVA!$K$19*04_回帰ANOVA!$K$14*SQRT(1+Y451)</f>
        <v>1.57897518244497</v>
      </c>
      <c r="AA451" s="0" t="n">
        <f aca="false">X451-Z451</f>
        <v>41.8548195909469</v>
      </c>
      <c r="AB451" s="0" t="n">
        <f aca="false">X451+Z451</f>
        <v>45.0127699558368</v>
      </c>
      <c r="AC451" s="54" t="b">
        <f aca="false">AND(E451&gt;=01_因子設定!$L$5-0.000000001,E451&lt;=01_因子設定!$M$5+0.000000001,F451&gt;=01_因子設定!$L$6-0.000000001,F451&lt;=01_因子設定!$M$6+0.000000001,G451&gt;=01_因子設定!$L$7-0.000000001,G451&lt;=01_因子設定!$M$7+0.000000001,H451&gt;=01_因子設定!$L$8-0.000000001,H451&lt;=01_因子設定!$M$8+0.000000001,IF(01_因子設定!$B$20="Box-Behnken",E451^2+F451^2+G451^2+H451^2&lt;=2+0.000000001,TRUE()))</f>
        <v>1</v>
      </c>
      <c r="AD451" s="55" t="n">
        <f aca="false">IF(AC451,IF(01_因子設定!$B$13="最大化",AA451-01_因子設定!$B$14,IF(01_因子設定!$B$13="最小化",01_因子設定!$B$15-AB451,MIN(AA451-01_因子設定!$B$14,01_因子設定!$B$15-AB451))),-1E+030)</f>
        <v>-4.64518040905313</v>
      </c>
      <c r="AE451" s="55" t="n">
        <f aca="false">IF(AC451,IF(01_因子設定!$B$13="最大化",X451,IF(01_因子設定!$B$13="最小化",-X451,-ABS(X451-01_因子設定!$B$16))),-1E+030)</f>
        <v>43.4337947733918</v>
      </c>
      <c r="AF451" s="55" t="n">
        <f aca="false">AD451+ROW()*0.000000001</f>
        <v>-4.64517995805313</v>
      </c>
      <c r="AG451" s="55" t="n">
        <f aca="false">AE451+ROW()*0.000000001</f>
        <v>43.4337952243918</v>
      </c>
    </row>
    <row r="452" customFormat="false" ht="15" hidden="false" customHeight="false" outlineLevel="0" collapsed="false">
      <c r="A452" s="0" t="n">
        <v>0</v>
      </c>
      <c r="B452" s="0" t="n">
        <v>5</v>
      </c>
      <c r="C452" s="0" t="n">
        <v>4</v>
      </c>
      <c r="D452" s="0" t="n">
        <v>6</v>
      </c>
      <c r="E452" s="0" t="n">
        <f aca="false">-1+A452*0.25</f>
        <v>-1</v>
      </c>
      <c r="F452" s="0" t="n">
        <f aca="false">-1+B452*0.25</f>
        <v>0.25</v>
      </c>
      <c r="G452" s="0" t="n">
        <f aca="false">-1+C452*0.25</f>
        <v>0</v>
      </c>
      <c r="H452" s="0" t="n">
        <f aca="false">-1+D452*0.25</f>
        <v>0.5</v>
      </c>
      <c r="I452" s="0" t="n">
        <f aca="false">1</f>
        <v>1</v>
      </c>
      <c r="J452" s="0" t="n">
        <f aca="false">E452</f>
        <v>-1</v>
      </c>
      <c r="K452" s="0" t="n">
        <f aca="false">F452</f>
        <v>0.25</v>
      </c>
      <c r="L452" s="0" t="n">
        <f aca="false">G452</f>
        <v>0</v>
      </c>
      <c r="M452" s="0" t="n">
        <f aca="false">H452</f>
        <v>0.5</v>
      </c>
      <c r="N452" s="0" t="n">
        <f aca="false">E452*F452</f>
        <v>-0.25</v>
      </c>
      <c r="O452" s="0" t="n">
        <f aca="false">E452*G452</f>
        <v>-0</v>
      </c>
      <c r="P452" s="0" t="n">
        <f aca="false">E452*H452</f>
        <v>-0.5</v>
      </c>
      <c r="Q452" s="0" t="n">
        <f aca="false">F452*G452</f>
        <v>0</v>
      </c>
      <c r="R452" s="0" t="n">
        <f aca="false">F452*H452</f>
        <v>0.125</v>
      </c>
      <c r="S452" s="0" t="n">
        <f aca="false">G452*H452</f>
        <v>0</v>
      </c>
      <c r="T452" s="0" t="n">
        <f aca="false">E452*E452</f>
        <v>1</v>
      </c>
      <c r="U452" s="0" t="n">
        <f aca="false">F452*F452</f>
        <v>0.0625</v>
      </c>
      <c r="V452" s="0" t="n">
        <f aca="false">G452*G452</f>
        <v>0</v>
      </c>
      <c r="W452" s="0" t="n">
        <f aca="false">H452*H452</f>
        <v>0.25</v>
      </c>
      <c r="X452" s="0" t="n">
        <f aca="false">SUMPRODUCT(I452:W452,_XtX!$B$96:$P$96)</f>
        <v>43.418941885965</v>
      </c>
      <c r="Y452" s="0" t="n">
        <f aca="false">SUMPRODUCT(MMULT(I452:W452,_XtX!$B$78:$P$92),I452:W452)</f>
        <v>0.457596628289474</v>
      </c>
      <c r="Z452" s="0" t="n">
        <f aca="false">04_回帰ANOVA!$K$19*04_回帰ANOVA!$K$14*SQRT(1+Y452)</f>
        <v>1.57368233664366</v>
      </c>
      <c r="AA452" s="0" t="n">
        <f aca="false">X452-Z452</f>
        <v>41.8452595493213</v>
      </c>
      <c r="AB452" s="0" t="n">
        <f aca="false">X452+Z452</f>
        <v>44.9926242226086</v>
      </c>
      <c r="AC452" s="54" t="b">
        <f aca="false">AND(E452&gt;=01_因子設定!$L$5-0.000000001,E452&lt;=01_因子設定!$M$5+0.000000001,F452&gt;=01_因子設定!$L$6-0.000000001,F452&lt;=01_因子設定!$M$6+0.000000001,G452&gt;=01_因子設定!$L$7-0.000000001,G452&lt;=01_因子設定!$M$7+0.000000001,H452&gt;=01_因子設定!$L$8-0.000000001,H452&lt;=01_因子設定!$M$8+0.000000001,IF(01_因子設定!$B$20="Box-Behnken",E452^2+F452^2+G452^2+H452^2&lt;=2+0.000000001,TRUE()))</f>
        <v>1</v>
      </c>
      <c r="AD452" s="55" t="n">
        <f aca="false">IF(AC452,IF(01_因子設定!$B$13="最大化",AA452-01_因子設定!$B$14,IF(01_因子設定!$B$13="最小化",01_因子設定!$B$15-AB452,MIN(AA452-01_因子設定!$B$14,01_因子設定!$B$15-AB452))),-1E+030)</f>
        <v>-4.65474045067871</v>
      </c>
      <c r="AE452" s="55" t="n">
        <f aca="false">IF(AC452,IF(01_因子設定!$B$13="最大化",X452,IF(01_因子設定!$B$13="最小化",-X452,-ABS(X452-01_因子設定!$B$16))),-1E+030)</f>
        <v>43.418941885965</v>
      </c>
      <c r="AF452" s="55" t="n">
        <f aca="false">AD452+ROW()*0.000000001</f>
        <v>-4.65473999867871</v>
      </c>
      <c r="AG452" s="55" t="n">
        <f aca="false">AE452+ROW()*0.000000001</f>
        <v>43.418942337965</v>
      </c>
    </row>
    <row r="453" customFormat="false" ht="15" hidden="false" customHeight="false" outlineLevel="0" collapsed="false">
      <c r="A453" s="0" t="n">
        <v>0</v>
      </c>
      <c r="B453" s="0" t="n">
        <v>5</v>
      </c>
      <c r="C453" s="0" t="n">
        <v>4</v>
      </c>
      <c r="D453" s="0" t="n">
        <v>7</v>
      </c>
      <c r="E453" s="0" t="n">
        <f aca="false">-1+A453*0.25</f>
        <v>-1</v>
      </c>
      <c r="F453" s="0" t="n">
        <f aca="false">-1+B453*0.25</f>
        <v>0.25</v>
      </c>
      <c r="G453" s="0" t="n">
        <f aca="false">-1+C453*0.25</f>
        <v>0</v>
      </c>
      <c r="H453" s="0" t="n">
        <f aca="false">-1+D453*0.25</f>
        <v>0.75</v>
      </c>
      <c r="I453" s="0" t="n">
        <f aca="false">1</f>
        <v>1</v>
      </c>
      <c r="J453" s="0" t="n">
        <f aca="false">E453</f>
        <v>-1</v>
      </c>
      <c r="K453" s="0" t="n">
        <f aca="false">F453</f>
        <v>0.25</v>
      </c>
      <c r="L453" s="0" t="n">
        <f aca="false">G453</f>
        <v>0</v>
      </c>
      <c r="M453" s="0" t="n">
        <f aca="false">H453</f>
        <v>0.75</v>
      </c>
      <c r="N453" s="0" t="n">
        <f aca="false">E453*F453</f>
        <v>-0.25</v>
      </c>
      <c r="O453" s="0" t="n">
        <f aca="false">E453*G453</f>
        <v>-0</v>
      </c>
      <c r="P453" s="0" t="n">
        <f aca="false">E453*H453</f>
        <v>-0.75</v>
      </c>
      <c r="Q453" s="0" t="n">
        <f aca="false">F453*G453</f>
        <v>0</v>
      </c>
      <c r="R453" s="0" t="n">
        <f aca="false">F453*H453</f>
        <v>0.1875</v>
      </c>
      <c r="S453" s="0" t="n">
        <f aca="false">G453*H453</f>
        <v>0</v>
      </c>
      <c r="T453" s="0" t="n">
        <f aca="false">E453*E453</f>
        <v>1</v>
      </c>
      <c r="U453" s="0" t="n">
        <f aca="false">F453*F453</f>
        <v>0.0625</v>
      </c>
      <c r="V453" s="0" t="n">
        <f aca="false">G453*G453</f>
        <v>0</v>
      </c>
      <c r="W453" s="0" t="n">
        <f aca="false">H453*H453</f>
        <v>0.5625</v>
      </c>
      <c r="X453" s="0" t="n">
        <f aca="false">SUMPRODUCT(I453:W453,_XtX!$B$96:$P$96)</f>
        <v>43.3562819809942</v>
      </c>
      <c r="Y453" s="0" t="n">
        <f aca="false">SUMPRODUCT(MMULT(I453:W453,_XtX!$B$78:$P$92),I453:W453)</f>
        <v>0.501534802174708</v>
      </c>
      <c r="Z453" s="0" t="n">
        <f aca="false">04_回帰ANOVA!$K$19*04_回帰ANOVA!$K$14*SQRT(1+Y453)</f>
        <v>1.59722498091333</v>
      </c>
      <c r="AA453" s="0" t="n">
        <f aca="false">X453-Z453</f>
        <v>41.7590570000809</v>
      </c>
      <c r="AB453" s="0" t="n">
        <f aca="false">X453+Z453</f>
        <v>44.9535069619075</v>
      </c>
      <c r="AC453" s="54" t="b">
        <f aca="false">AND(E453&gt;=01_因子設定!$L$5-0.000000001,E453&lt;=01_因子設定!$M$5+0.000000001,F453&gt;=01_因子設定!$L$6-0.000000001,F453&lt;=01_因子設定!$M$6+0.000000001,G453&gt;=01_因子設定!$L$7-0.000000001,G453&lt;=01_因子設定!$M$7+0.000000001,H453&gt;=01_因子設定!$L$8-0.000000001,H453&lt;=01_因子設定!$M$8+0.000000001,IF(01_因子設定!$B$20="Box-Behnken",E453^2+F453^2+G453^2+H453^2&lt;=2+0.000000001,TRUE()))</f>
        <v>1</v>
      </c>
      <c r="AD453" s="55" t="n">
        <f aca="false">IF(AC453,IF(01_因子設定!$B$13="最大化",AA453-01_因子設定!$B$14,IF(01_因子設定!$B$13="最小化",01_因子設定!$B$15-AB453,MIN(AA453-01_因子設定!$B$14,01_因子設定!$B$15-AB453))),-1E+030)</f>
        <v>-4.74094299991914</v>
      </c>
      <c r="AE453" s="55" t="n">
        <f aca="false">IF(AC453,IF(01_因子設定!$B$13="最大化",X453,IF(01_因子設定!$B$13="最小化",-X453,-ABS(X453-01_因子設定!$B$16))),-1E+030)</f>
        <v>43.3562819809942</v>
      </c>
      <c r="AF453" s="55" t="n">
        <f aca="false">AD453+ROW()*0.000000001</f>
        <v>-4.74094254691913</v>
      </c>
      <c r="AG453" s="55" t="n">
        <f aca="false">AE453+ROW()*0.000000001</f>
        <v>43.3562824339942</v>
      </c>
    </row>
    <row r="454" customFormat="false" ht="15" hidden="false" customHeight="false" outlineLevel="0" collapsed="false">
      <c r="A454" s="0" t="n">
        <v>0</v>
      </c>
      <c r="B454" s="0" t="n">
        <v>5</v>
      </c>
      <c r="C454" s="0" t="n">
        <v>4</v>
      </c>
      <c r="D454" s="0" t="n">
        <v>8</v>
      </c>
      <c r="E454" s="0" t="n">
        <f aca="false">-1+A454*0.25</f>
        <v>-1</v>
      </c>
      <c r="F454" s="0" t="n">
        <f aca="false">-1+B454*0.25</f>
        <v>0.25</v>
      </c>
      <c r="G454" s="0" t="n">
        <f aca="false">-1+C454*0.25</f>
        <v>0</v>
      </c>
      <c r="H454" s="0" t="n">
        <f aca="false">-1+D454*0.25</f>
        <v>1</v>
      </c>
      <c r="I454" s="0" t="n">
        <f aca="false">1</f>
        <v>1</v>
      </c>
      <c r="J454" s="0" t="n">
        <f aca="false">E454</f>
        <v>-1</v>
      </c>
      <c r="K454" s="0" t="n">
        <f aca="false">F454</f>
        <v>0.25</v>
      </c>
      <c r="L454" s="0" t="n">
        <f aca="false">G454</f>
        <v>0</v>
      </c>
      <c r="M454" s="0" t="n">
        <f aca="false">H454</f>
        <v>1</v>
      </c>
      <c r="N454" s="0" t="n">
        <f aca="false">E454*F454</f>
        <v>-0.25</v>
      </c>
      <c r="O454" s="0" t="n">
        <f aca="false">E454*G454</f>
        <v>-0</v>
      </c>
      <c r="P454" s="0" t="n">
        <f aca="false">E454*H454</f>
        <v>-1</v>
      </c>
      <c r="Q454" s="0" t="n">
        <f aca="false">F454*G454</f>
        <v>0</v>
      </c>
      <c r="R454" s="0" t="n">
        <f aca="false">F454*H454</f>
        <v>0.25</v>
      </c>
      <c r="S454" s="0" t="n">
        <f aca="false">G454*H454</f>
        <v>0</v>
      </c>
      <c r="T454" s="0" t="n">
        <f aca="false">E454*E454</f>
        <v>1</v>
      </c>
      <c r="U454" s="0" t="n">
        <f aca="false">F454*F454</f>
        <v>0.0625</v>
      </c>
      <c r="V454" s="0" t="n">
        <f aca="false">G454*G454</f>
        <v>0</v>
      </c>
      <c r="W454" s="0" t="n">
        <f aca="false">H454*H454</f>
        <v>1</v>
      </c>
      <c r="X454" s="0" t="n">
        <f aca="false">SUMPRODUCT(I454:W454,_XtX!$B$96:$P$96)</f>
        <v>43.2458150584796</v>
      </c>
      <c r="Y454" s="0" t="n">
        <f aca="false">SUMPRODUCT(MMULT(I454:W454,_XtX!$B$78:$P$92),I454:W454)</f>
        <v>0.689692982456141</v>
      </c>
      <c r="Z454" s="0" t="n">
        <f aca="false">04_回帰ANOVA!$K$19*04_回帰ANOVA!$K$14*SQRT(1+Y454)</f>
        <v>1.69434674594998</v>
      </c>
      <c r="AA454" s="0" t="n">
        <f aca="false">X454-Z454</f>
        <v>41.5514683125296</v>
      </c>
      <c r="AB454" s="0" t="n">
        <f aca="false">X454+Z454</f>
        <v>44.9401618044296</v>
      </c>
      <c r="AC454" s="54" t="b">
        <f aca="false">AND(E454&gt;=01_因子設定!$L$5-0.000000001,E454&lt;=01_因子設定!$M$5+0.000000001,F454&gt;=01_因子設定!$L$6-0.000000001,F454&lt;=01_因子設定!$M$6+0.000000001,G454&gt;=01_因子設定!$L$7-0.000000001,G454&lt;=01_因子設定!$M$7+0.000000001,H454&gt;=01_因子設定!$L$8-0.000000001,H454&lt;=01_因子設定!$M$8+0.000000001,IF(01_因子設定!$B$20="Box-Behnken",E454^2+F454^2+G454^2+H454^2&lt;=2+0.000000001,TRUE()))</f>
        <v>1</v>
      </c>
      <c r="AD454" s="55" t="n">
        <f aca="false">IF(AC454,IF(01_因子設定!$B$13="最大化",AA454-01_因子設定!$B$14,IF(01_因子設定!$B$13="最小化",01_因子設定!$B$15-AB454,MIN(AA454-01_因子設定!$B$14,01_因子設定!$B$15-AB454))),-1E+030)</f>
        <v>-4.94853168747039</v>
      </c>
      <c r="AE454" s="55" t="n">
        <f aca="false">IF(AC454,IF(01_因子設定!$B$13="最大化",X454,IF(01_因子設定!$B$13="最小化",-X454,-ABS(X454-01_因子設定!$B$16))),-1E+030)</f>
        <v>43.2458150584796</v>
      </c>
      <c r="AF454" s="55" t="n">
        <f aca="false">AD454+ROW()*0.000000001</f>
        <v>-4.94853123347039</v>
      </c>
      <c r="AG454" s="55" t="n">
        <f aca="false">AE454+ROW()*0.000000001</f>
        <v>43.2458155124796</v>
      </c>
    </row>
    <row r="455" customFormat="false" ht="15" hidden="false" customHeight="false" outlineLevel="0" collapsed="false">
      <c r="A455" s="0" t="n">
        <v>0</v>
      </c>
      <c r="B455" s="0" t="n">
        <v>5</v>
      </c>
      <c r="C455" s="0" t="n">
        <v>5</v>
      </c>
      <c r="D455" s="0" t="n">
        <v>0</v>
      </c>
      <c r="E455" s="0" t="n">
        <f aca="false">-1+A455*0.25</f>
        <v>-1</v>
      </c>
      <c r="F455" s="0" t="n">
        <f aca="false">-1+B455*0.25</f>
        <v>0.25</v>
      </c>
      <c r="G455" s="0" t="n">
        <f aca="false">-1+C455*0.25</f>
        <v>0.25</v>
      </c>
      <c r="H455" s="0" t="n">
        <f aca="false">-1+D455*0.25</f>
        <v>-1</v>
      </c>
      <c r="I455" s="0" t="n">
        <f aca="false">1</f>
        <v>1</v>
      </c>
      <c r="J455" s="0" t="n">
        <f aca="false">E455</f>
        <v>-1</v>
      </c>
      <c r="K455" s="0" t="n">
        <f aca="false">F455</f>
        <v>0.25</v>
      </c>
      <c r="L455" s="0" t="n">
        <f aca="false">G455</f>
        <v>0.25</v>
      </c>
      <c r="M455" s="0" t="n">
        <f aca="false">H455</f>
        <v>-1</v>
      </c>
      <c r="N455" s="0" t="n">
        <f aca="false">E455*F455</f>
        <v>-0.25</v>
      </c>
      <c r="O455" s="0" t="n">
        <f aca="false">E455*G455</f>
        <v>-0.25</v>
      </c>
      <c r="P455" s="0" t="n">
        <f aca="false">E455*H455</f>
        <v>1</v>
      </c>
      <c r="Q455" s="0" t="n">
        <f aca="false">F455*G455</f>
        <v>0.0625</v>
      </c>
      <c r="R455" s="0" t="n">
        <f aca="false">F455*H455</f>
        <v>-0.25</v>
      </c>
      <c r="S455" s="0" t="n">
        <f aca="false">G455*H455</f>
        <v>-0.25</v>
      </c>
      <c r="T455" s="0" t="n">
        <f aca="false">E455*E455</f>
        <v>1</v>
      </c>
      <c r="U455" s="0" t="n">
        <f aca="false">F455*F455</f>
        <v>0.0625</v>
      </c>
      <c r="V455" s="0" t="n">
        <f aca="false">G455*G455</f>
        <v>0.0625</v>
      </c>
      <c r="W455" s="0" t="n">
        <f aca="false">H455*H455</f>
        <v>1</v>
      </c>
      <c r="X455" s="0" t="n">
        <f aca="false">SUMPRODUCT(I455:W455,_XtX!$B$96:$P$96)</f>
        <v>43.1042900219299</v>
      </c>
      <c r="Y455" s="0" t="n">
        <f aca="false">SUMPRODUCT(MMULT(I455:W455,_XtX!$B$78:$P$92),I455:W455)</f>
        <v>0.670040376005117</v>
      </c>
      <c r="Z455" s="0" t="n">
        <f aca="false">04_回帰ANOVA!$K$19*04_回帰ANOVA!$K$14*SQRT(1+Y455)</f>
        <v>1.68446456039992</v>
      </c>
      <c r="AA455" s="0" t="n">
        <f aca="false">X455-Z455</f>
        <v>41.41982546153</v>
      </c>
      <c r="AB455" s="0" t="n">
        <f aca="false">X455+Z455</f>
        <v>44.7887545823298</v>
      </c>
      <c r="AC455" s="54" t="b">
        <f aca="false">AND(E455&gt;=01_因子設定!$L$5-0.000000001,E455&lt;=01_因子設定!$M$5+0.000000001,F455&gt;=01_因子設定!$L$6-0.000000001,F455&lt;=01_因子設定!$M$6+0.000000001,G455&gt;=01_因子設定!$L$7-0.000000001,G455&lt;=01_因子設定!$M$7+0.000000001,H455&gt;=01_因子設定!$L$8-0.000000001,H455&lt;=01_因子設定!$M$8+0.000000001,IF(01_因子設定!$B$20="Box-Behnken",E455^2+F455^2+G455^2+H455^2&lt;=2+0.000000001,TRUE()))</f>
        <v>1</v>
      </c>
      <c r="AD455" s="55" t="n">
        <f aca="false">IF(AC455,IF(01_因子設定!$B$13="最大化",AA455-01_因子設定!$B$14,IF(01_因子設定!$B$13="最小化",01_因子設定!$B$15-AB455,MIN(AA455-01_因子設定!$B$14,01_因子設定!$B$15-AB455))),-1E+030)</f>
        <v>-5.08017453847003</v>
      </c>
      <c r="AE455" s="55" t="n">
        <f aca="false">IF(AC455,IF(01_因子設定!$B$13="最大化",X455,IF(01_因子設定!$B$13="最小化",-X455,-ABS(X455-01_因子設定!$B$16))),-1E+030)</f>
        <v>43.1042900219299</v>
      </c>
      <c r="AF455" s="55" t="n">
        <f aca="false">AD455+ROW()*0.000000001</f>
        <v>-5.08017408347003</v>
      </c>
      <c r="AG455" s="55" t="n">
        <f aca="false">AE455+ROW()*0.000000001</f>
        <v>43.1042904769299</v>
      </c>
    </row>
    <row r="456" customFormat="false" ht="15" hidden="false" customHeight="false" outlineLevel="0" collapsed="false">
      <c r="A456" s="0" t="n">
        <v>0</v>
      </c>
      <c r="B456" s="0" t="n">
        <v>5</v>
      </c>
      <c r="C456" s="0" t="n">
        <v>5</v>
      </c>
      <c r="D456" s="0" t="n">
        <v>1</v>
      </c>
      <c r="E456" s="0" t="n">
        <f aca="false">-1+A456*0.25</f>
        <v>-1</v>
      </c>
      <c r="F456" s="0" t="n">
        <f aca="false">-1+B456*0.25</f>
        <v>0.25</v>
      </c>
      <c r="G456" s="0" t="n">
        <f aca="false">-1+C456*0.25</f>
        <v>0.25</v>
      </c>
      <c r="H456" s="0" t="n">
        <f aca="false">-1+D456*0.25</f>
        <v>-0.75</v>
      </c>
      <c r="I456" s="0" t="n">
        <f aca="false">1</f>
        <v>1</v>
      </c>
      <c r="J456" s="0" t="n">
        <f aca="false">E456</f>
        <v>-1</v>
      </c>
      <c r="K456" s="0" t="n">
        <f aca="false">F456</f>
        <v>0.25</v>
      </c>
      <c r="L456" s="0" t="n">
        <f aca="false">G456</f>
        <v>0.25</v>
      </c>
      <c r="M456" s="0" t="n">
        <f aca="false">H456</f>
        <v>-0.75</v>
      </c>
      <c r="N456" s="0" t="n">
        <f aca="false">E456*F456</f>
        <v>-0.25</v>
      </c>
      <c r="O456" s="0" t="n">
        <f aca="false">E456*G456</f>
        <v>-0.25</v>
      </c>
      <c r="P456" s="0" t="n">
        <f aca="false">E456*H456</f>
        <v>0.75</v>
      </c>
      <c r="Q456" s="0" t="n">
        <f aca="false">F456*G456</f>
        <v>0.0625</v>
      </c>
      <c r="R456" s="0" t="n">
        <f aca="false">F456*H456</f>
        <v>-0.1875</v>
      </c>
      <c r="S456" s="0" t="n">
        <f aca="false">G456*H456</f>
        <v>-0.1875</v>
      </c>
      <c r="T456" s="0" t="n">
        <f aca="false">E456*E456</f>
        <v>1</v>
      </c>
      <c r="U456" s="0" t="n">
        <f aca="false">F456*F456</f>
        <v>0.0625</v>
      </c>
      <c r="V456" s="0" t="n">
        <f aca="false">G456*G456</f>
        <v>0.0625</v>
      </c>
      <c r="W456" s="0" t="n">
        <f aca="false">H456*H456</f>
        <v>0.5625</v>
      </c>
      <c r="X456" s="0" t="n">
        <f aca="false">SUMPRODUCT(I456:W456,_XtX!$B$96:$P$96)</f>
        <v>43.3464409722223</v>
      </c>
      <c r="Y456" s="0" t="n">
        <f aca="false">SUMPRODUCT(MMULT(I456:W456,_XtX!$B$78:$P$92),I456:W456)</f>
        <v>0.486409505208334</v>
      </c>
      <c r="Z456" s="0" t="n">
        <f aca="false">04_回帰ANOVA!$K$19*04_回帰ANOVA!$K$14*SQRT(1+Y456)</f>
        <v>1.58916001665498</v>
      </c>
      <c r="AA456" s="0" t="n">
        <f aca="false">X456-Z456</f>
        <v>41.7572809555673</v>
      </c>
      <c r="AB456" s="0" t="n">
        <f aca="false">X456+Z456</f>
        <v>44.9356009888773</v>
      </c>
      <c r="AC456" s="54" t="b">
        <f aca="false">AND(E456&gt;=01_因子設定!$L$5-0.000000001,E456&lt;=01_因子設定!$M$5+0.000000001,F456&gt;=01_因子設定!$L$6-0.000000001,F456&lt;=01_因子設定!$M$6+0.000000001,G456&gt;=01_因子設定!$L$7-0.000000001,G456&lt;=01_因子設定!$M$7+0.000000001,H456&gt;=01_因子設定!$L$8-0.000000001,H456&lt;=01_因子設定!$M$8+0.000000001,IF(01_因子設定!$B$20="Box-Behnken",E456^2+F456^2+G456^2+H456^2&lt;=2+0.000000001,TRUE()))</f>
        <v>1</v>
      </c>
      <c r="AD456" s="55" t="n">
        <f aca="false">IF(AC456,IF(01_因子設定!$B$13="最大化",AA456-01_因子設定!$B$14,IF(01_因子設定!$B$13="最小化",01_因子設定!$B$15-AB456,MIN(AA456-01_因子設定!$B$14,01_因子設定!$B$15-AB456))),-1E+030)</f>
        <v>-4.74271904443271</v>
      </c>
      <c r="AE456" s="55" t="n">
        <f aca="false">IF(AC456,IF(01_因子設定!$B$13="最大化",X456,IF(01_因子設定!$B$13="最小化",-X456,-ABS(X456-01_因子設定!$B$16))),-1E+030)</f>
        <v>43.3464409722223</v>
      </c>
      <c r="AF456" s="55" t="n">
        <f aca="false">AD456+ROW()*0.000000001</f>
        <v>-4.74271858843271</v>
      </c>
      <c r="AG456" s="55" t="n">
        <f aca="false">AE456+ROW()*0.000000001</f>
        <v>43.3464414282223</v>
      </c>
    </row>
    <row r="457" customFormat="false" ht="15" hidden="false" customHeight="false" outlineLevel="0" collapsed="false">
      <c r="A457" s="0" t="n">
        <v>0</v>
      </c>
      <c r="B457" s="0" t="n">
        <v>5</v>
      </c>
      <c r="C457" s="0" t="n">
        <v>5</v>
      </c>
      <c r="D457" s="0" t="n">
        <v>2</v>
      </c>
      <c r="E457" s="0" t="n">
        <f aca="false">-1+A457*0.25</f>
        <v>-1</v>
      </c>
      <c r="F457" s="0" t="n">
        <f aca="false">-1+B457*0.25</f>
        <v>0.25</v>
      </c>
      <c r="G457" s="0" t="n">
        <f aca="false">-1+C457*0.25</f>
        <v>0.25</v>
      </c>
      <c r="H457" s="0" t="n">
        <f aca="false">-1+D457*0.25</f>
        <v>-0.5</v>
      </c>
      <c r="I457" s="0" t="n">
        <f aca="false">1</f>
        <v>1</v>
      </c>
      <c r="J457" s="0" t="n">
        <f aca="false">E457</f>
        <v>-1</v>
      </c>
      <c r="K457" s="0" t="n">
        <f aca="false">F457</f>
        <v>0.25</v>
      </c>
      <c r="L457" s="0" t="n">
        <f aca="false">G457</f>
        <v>0.25</v>
      </c>
      <c r="M457" s="0" t="n">
        <f aca="false">H457</f>
        <v>-0.5</v>
      </c>
      <c r="N457" s="0" t="n">
        <f aca="false">E457*F457</f>
        <v>-0.25</v>
      </c>
      <c r="O457" s="0" t="n">
        <f aca="false">E457*G457</f>
        <v>-0.25</v>
      </c>
      <c r="P457" s="0" t="n">
        <f aca="false">E457*H457</f>
        <v>0.5</v>
      </c>
      <c r="Q457" s="0" t="n">
        <f aca="false">F457*G457</f>
        <v>0.0625</v>
      </c>
      <c r="R457" s="0" t="n">
        <f aca="false">F457*H457</f>
        <v>-0.125</v>
      </c>
      <c r="S457" s="0" t="n">
        <f aca="false">G457*H457</f>
        <v>-0.125</v>
      </c>
      <c r="T457" s="0" t="n">
        <f aca="false">E457*E457</f>
        <v>1</v>
      </c>
      <c r="U457" s="0" t="n">
        <f aca="false">F457*F457</f>
        <v>0.0625</v>
      </c>
      <c r="V457" s="0" t="n">
        <f aca="false">G457*G457</f>
        <v>0.0625</v>
      </c>
      <c r="W457" s="0" t="n">
        <f aca="false">H457*H457</f>
        <v>0.25</v>
      </c>
      <c r="X457" s="0" t="n">
        <f aca="false">SUMPRODUCT(I457:W457,_XtX!$B$96:$P$96)</f>
        <v>43.5407849049708</v>
      </c>
      <c r="Y457" s="0" t="n">
        <f aca="false">SUMPRODUCT(MMULT(I457:W457,_XtX!$B$78:$P$92),I457:W457)</f>
        <v>0.445705123812135</v>
      </c>
      <c r="Z457" s="0" t="n">
        <f aca="false">04_回帰ANOVA!$K$19*04_回帰ANOVA!$K$14*SQRT(1+Y457)</f>
        <v>1.56724990734749</v>
      </c>
      <c r="AA457" s="0" t="n">
        <f aca="false">X457-Z457</f>
        <v>41.9735349976233</v>
      </c>
      <c r="AB457" s="0" t="n">
        <f aca="false">X457+Z457</f>
        <v>45.1080348123183</v>
      </c>
      <c r="AC457" s="54" t="b">
        <f aca="false">AND(E457&gt;=01_因子設定!$L$5-0.000000001,E457&lt;=01_因子設定!$M$5+0.000000001,F457&gt;=01_因子設定!$L$6-0.000000001,F457&lt;=01_因子設定!$M$6+0.000000001,G457&gt;=01_因子設定!$L$7-0.000000001,G457&lt;=01_因子設定!$M$7+0.000000001,H457&gt;=01_因子設定!$L$8-0.000000001,H457&lt;=01_因子設定!$M$8+0.000000001,IF(01_因子設定!$B$20="Box-Behnken",E457^2+F457^2+G457^2+H457^2&lt;=2+0.000000001,TRUE()))</f>
        <v>1</v>
      </c>
      <c r="AD457" s="55" t="n">
        <f aca="false">IF(AC457,IF(01_因子設定!$B$13="最大化",AA457-01_因子設定!$B$14,IF(01_因子設定!$B$13="最小化",01_因子設定!$B$15-AB457,MIN(AA457-01_因子設定!$B$14,01_因子設定!$B$15-AB457))),-1E+030)</f>
        <v>-4.52646500237669</v>
      </c>
      <c r="AE457" s="55" t="n">
        <f aca="false">IF(AC457,IF(01_因子設定!$B$13="最大化",X457,IF(01_因子設定!$B$13="最小化",-X457,-ABS(X457-01_因子設定!$B$16))),-1E+030)</f>
        <v>43.5407849049708</v>
      </c>
      <c r="AF457" s="55" t="n">
        <f aca="false">AD457+ROW()*0.000000001</f>
        <v>-4.52646454537669</v>
      </c>
      <c r="AG457" s="55" t="n">
        <f aca="false">AE457+ROW()*0.000000001</f>
        <v>43.5407853619708</v>
      </c>
    </row>
    <row r="458" customFormat="false" ht="15" hidden="false" customHeight="false" outlineLevel="0" collapsed="false">
      <c r="A458" s="0" t="n">
        <v>0</v>
      </c>
      <c r="B458" s="0" t="n">
        <v>5</v>
      </c>
      <c r="C458" s="0" t="n">
        <v>5</v>
      </c>
      <c r="D458" s="0" t="n">
        <v>3</v>
      </c>
      <c r="E458" s="0" t="n">
        <f aca="false">-1+A458*0.25</f>
        <v>-1</v>
      </c>
      <c r="F458" s="0" t="n">
        <f aca="false">-1+B458*0.25</f>
        <v>0.25</v>
      </c>
      <c r="G458" s="0" t="n">
        <f aca="false">-1+C458*0.25</f>
        <v>0.25</v>
      </c>
      <c r="H458" s="0" t="n">
        <f aca="false">-1+D458*0.25</f>
        <v>-0.25</v>
      </c>
      <c r="I458" s="0" t="n">
        <f aca="false">1</f>
        <v>1</v>
      </c>
      <c r="J458" s="0" t="n">
        <f aca="false">E458</f>
        <v>-1</v>
      </c>
      <c r="K458" s="0" t="n">
        <f aca="false">F458</f>
        <v>0.25</v>
      </c>
      <c r="L458" s="0" t="n">
        <f aca="false">G458</f>
        <v>0.25</v>
      </c>
      <c r="M458" s="0" t="n">
        <f aca="false">H458</f>
        <v>-0.25</v>
      </c>
      <c r="N458" s="0" t="n">
        <f aca="false">E458*F458</f>
        <v>-0.25</v>
      </c>
      <c r="O458" s="0" t="n">
        <f aca="false">E458*G458</f>
        <v>-0.25</v>
      </c>
      <c r="P458" s="0" t="n">
        <f aca="false">E458*H458</f>
        <v>0.25</v>
      </c>
      <c r="Q458" s="0" t="n">
        <f aca="false">F458*G458</f>
        <v>0.0625</v>
      </c>
      <c r="R458" s="0" t="n">
        <f aca="false">F458*H458</f>
        <v>-0.0625</v>
      </c>
      <c r="S458" s="0" t="n">
        <f aca="false">G458*H458</f>
        <v>-0.0625</v>
      </c>
      <c r="T458" s="0" t="n">
        <f aca="false">E458*E458</f>
        <v>1</v>
      </c>
      <c r="U458" s="0" t="n">
        <f aca="false">F458*F458</f>
        <v>0.0625</v>
      </c>
      <c r="V458" s="0" t="n">
        <f aca="false">G458*G458</f>
        <v>0.0625</v>
      </c>
      <c r="W458" s="0" t="n">
        <f aca="false">H458*H458</f>
        <v>0.0625</v>
      </c>
      <c r="X458" s="0" t="n">
        <f aca="false">SUMPRODUCT(I458:W458,_XtX!$B$96:$P$96)</f>
        <v>43.6873218201755</v>
      </c>
      <c r="Y458" s="0" t="n">
        <f aca="false">SUMPRODUCT(MMULT(I458:W458,_XtX!$B$78:$P$92),I458:W458)</f>
        <v>0.457466705500731</v>
      </c>
      <c r="Z458" s="0" t="n">
        <f aca="false">04_回帰ANOVA!$K$19*04_回帰ANOVA!$K$14*SQRT(1+Y458)</f>
        <v>1.57361220003999</v>
      </c>
      <c r="AA458" s="0" t="n">
        <f aca="false">X458-Z458</f>
        <v>42.1137096201355</v>
      </c>
      <c r="AB458" s="0" t="n">
        <f aca="false">X458+Z458</f>
        <v>45.2609340202155</v>
      </c>
      <c r="AC458" s="54" t="b">
        <f aca="false">AND(E458&gt;=01_因子設定!$L$5-0.000000001,E458&lt;=01_因子設定!$M$5+0.000000001,F458&gt;=01_因子設定!$L$6-0.000000001,F458&lt;=01_因子設定!$M$6+0.000000001,G458&gt;=01_因子設定!$L$7-0.000000001,G458&lt;=01_因子設定!$M$7+0.000000001,H458&gt;=01_因子設定!$L$8-0.000000001,H458&lt;=01_因子設定!$M$8+0.000000001,IF(01_因子設定!$B$20="Box-Behnken",E458^2+F458^2+G458^2+H458^2&lt;=2+0.000000001,TRUE()))</f>
        <v>1</v>
      </c>
      <c r="AD458" s="55" t="n">
        <f aca="false">IF(AC458,IF(01_因子設定!$B$13="最大化",AA458-01_因子設定!$B$14,IF(01_因子設定!$B$13="最小化",01_因子設定!$B$15-AB458,MIN(AA458-01_因子設定!$B$14,01_因子設定!$B$15-AB458))),-1E+030)</f>
        <v>-4.38629037986453</v>
      </c>
      <c r="AE458" s="55" t="n">
        <f aca="false">IF(AC458,IF(01_因子設定!$B$13="最大化",X458,IF(01_因子設定!$B$13="最小化",-X458,-ABS(X458-01_因子設定!$B$16))),-1E+030)</f>
        <v>43.6873218201755</v>
      </c>
      <c r="AF458" s="55" t="n">
        <f aca="false">AD458+ROW()*0.000000001</f>
        <v>-4.38628992186453</v>
      </c>
      <c r="AG458" s="55" t="n">
        <f aca="false">AE458+ROW()*0.000000001</f>
        <v>43.6873222781755</v>
      </c>
    </row>
    <row r="459" customFormat="false" ht="15" hidden="false" customHeight="false" outlineLevel="0" collapsed="false">
      <c r="A459" s="0" t="n">
        <v>0</v>
      </c>
      <c r="B459" s="0" t="n">
        <v>5</v>
      </c>
      <c r="C459" s="0" t="n">
        <v>5</v>
      </c>
      <c r="D459" s="0" t="n">
        <v>4</v>
      </c>
      <c r="E459" s="0" t="n">
        <f aca="false">-1+A459*0.25</f>
        <v>-1</v>
      </c>
      <c r="F459" s="0" t="n">
        <f aca="false">-1+B459*0.25</f>
        <v>0.25</v>
      </c>
      <c r="G459" s="0" t="n">
        <f aca="false">-1+C459*0.25</f>
        <v>0.25</v>
      </c>
      <c r="H459" s="0" t="n">
        <f aca="false">-1+D459*0.25</f>
        <v>0</v>
      </c>
      <c r="I459" s="0" t="n">
        <f aca="false">1</f>
        <v>1</v>
      </c>
      <c r="J459" s="0" t="n">
        <f aca="false">E459</f>
        <v>-1</v>
      </c>
      <c r="K459" s="0" t="n">
        <f aca="false">F459</f>
        <v>0.25</v>
      </c>
      <c r="L459" s="0" t="n">
        <f aca="false">G459</f>
        <v>0.25</v>
      </c>
      <c r="M459" s="0" t="n">
        <f aca="false">H459</f>
        <v>0</v>
      </c>
      <c r="N459" s="0" t="n">
        <f aca="false">E459*F459</f>
        <v>-0.25</v>
      </c>
      <c r="O459" s="0" t="n">
        <f aca="false">E459*G459</f>
        <v>-0.25</v>
      </c>
      <c r="P459" s="0" t="n">
        <f aca="false">E459*H459</f>
        <v>-0</v>
      </c>
      <c r="Q459" s="0" t="n">
        <f aca="false">F459*G459</f>
        <v>0.0625</v>
      </c>
      <c r="R459" s="0" t="n">
        <f aca="false">F459*H459</f>
        <v>0</v>
      </c>
      <c r="S459" s="0" t="n">
        <f aca="false">G459*H459</f>
        <v>0</v>
      </c>
      <c r="T459" s="0" t="n">
        <f aca="false">E459*E459</f>
        <v>1</v>
      </c>
      <c r="U459" s="0" t="n">
        <f aca="false">F459*F459</f>
        <v>0.0625</v>
      </c>
      <c r="V459" s="0" t="n">
        <f aca="false">G459*G459</f>
        <v>0.0625</v>
      </c>
      <c r="W459" s="0" t="n">
        <f aca="false">H459*H459</f>
        <v>0</v>
      </c>
      <c r="X459" s="0" t="n">
        <f aca="false">SUMPRODUCT(I459:W459,_XtX!$B$96:$P$96)</f>
        <v>43.7860517178363</v>
      </c>
      <c r="Y459" s="0" t="n">
        <f aca="false">SUMPRODUCT(MMULT(I459:W459,_XtX!$B$78:$P$92),I459:W459)</f>
        <v>0.467417934484649</v>
      </c>
      <c r="Z459" s="0" t="n">
        <f aca="false">04_回帰ANOVA!$K$19*04_回帰ANOVA!$K$14*SQRT(1+Y459)</f>
        <v>1.57897518244497</v>
      </c>
      <c r="AA459" s="0" t="n">
        <f aca="false">X459-Z459</f>
        <v>42.2070765353913</v>
      </c>
      <c r="AB459" s="0" t="n">
        <f aca="false">X459+Z459</f>
        <v>45.3650269002813</v>
      </c>
      <c r="AC459" s="54" t="b">
        <f aca="false">AND(E459&gt;=01_因子設定!$L$5-0.000000001,E459&lt;=01_因子設定!$M$5+0.000000001,F459&gt;=01_因子設定!$L$6-0.000000001,F459&lt;=01_因子設定!$M$6+0.000000001,G459&gt;=01_因子設定!$L$7-0.000000001,G459&lt;=01_因子設定!$M$7+0.000000001,H459&gt;=01_因子設定!$L$8-0.000000001,H459&lt;=01_因子設定!$M$8+0.000000001,IF(01_因子設定!$B$20="Box-Behnken",E459^2+F459^2+G459^2+H459^2&lt;=2+0.000000001,TRUE()))</f>
        <v>1</v>
      </c>
      <c r="AD459" s="55" t="n">
        <f aca="false">IF(AC459,IF(01_因子設定!$B$13="最大化",AA459-01_因子設定!$B$14,IF(01_因子設定!$B$13="最小化",01_因子設定!$B$15-AB459,MIN(AA459-01_因子設定!$B$14,01_因子設定!$B$15-AB459))),-1E+030)</f>
        <v>-4.29292346460868</v>
      </c>
      <c r="AE459" s="55" t="n">
        <f aca="false">IF(AC459,IF(01_因子設定!$B$13="最大化",X459,IF(01_因子設定!$B$13="最小化",-X459,-ABS(X459-01_因子設定!$B$16))),-1E+030)</f>
        <v>43.7860517178363</v>
      </c>
      <c r="AF459" s="55" t="n">
        <f aca="false">AD459+ROW()*0.000000001</f>
        <v>-4.29292300560868</v>
      </c>
      <c r="AG459" s="55" t="n">
        <f aca="false">AE459+ROW()*0.000000001</f>
        <v>43.7860521768363</v>
      </c>
    </row>
    <row r="460" customFormat="false" ht="15" hidden="false" customHeight="false" outlineLevel="0" collapsed="false">
      <c r="A460" s="0" t="n">
        <v>0</v>
      </c>
      <c r="B460" s="0" t="n">
        <v>5</v>
      </c>
      <c r="C460" s="0" t="n">
        <v>5</v>
      </c>
      <c r="D460" s="0" t="n">
        <v>5</v>
      </c>
      <c r="E460" s="0" t="n">
        <f aca="false">-1+A460*0.25</f>
        <v>-1</v>
      </c>
      <c r="F460" s="0" t="n">
        <f aca="false">-1+B460*0.25</f>
        <v>0.25</v>
      </c>
      <c r="G460" s="0" t="n">
        <f aca="false">-1+C460*0.25</f>
        <v>0.25</v>
      </c>
      <c r="H460" s="0" t="n">
        <f aca="false">-1+D460*0.25</f>
        <v>0.25</v>
      </c>
      <c r="I460" s="0" t="n">
        <f aca="false">1</f>
        <v>1</v>
      </c>
      <c r="J460" s="0" t="n">
        <f aca="false">E460</f>
        <v>-1</v>
      </c>
      <c r="K460" s="0" t="n">
        <f aca="false">F460</f>
        <v>0.25</v>
      </c>
      <c r="L460" s="0" t="n">
        <f aca="false">G460</f>
        <v>0.25</v>
      </c>
      <c r="M460" s="0" t="n">
        <f aca="false">H460</f>
        <v>0.25</v>
      </c>
      <c r="N460" s="0" t="n">
        <f aca="false">E460*F460</f>
        <v>-0.25</v>
      </c>
      <c r="O460" s="0" t="n">
        <f aca="false">E460*G460</f>
        <v>-0.25</v>
      </c>
      <c r="P460" s="0" t="n">
        <f aca="false">E460*H460</f>
        <v>-0.25</v>
      </c>
      <c r="Q460" s="0" t="n">
        <f aca="false">F460*G460</f>
        <v>0.0625</v>
      </c>
      <c r="R460" s="0" t="n">
        <f aca="false">F460*H460</f>
        <v>0.0625</v>
      </c>
      <c r="S460" s="0" t="n">
        <f aca="false">G460*H460</f>
        <v>0.0625</v>
      </c>
      <c r="T460" s="0" t="n">
        <f aca="false">E460*E460</f>
        <v>1</v>
      </c>
      <c r="U460" s="0" t="n">
        <f aca="false">F460*F460</f>
        <v>0.0625</v>
      </c>
      <c r="V460" s="0" t="n">
        <f aca="false">G460*G460</f>
        <v>0.0625</v>
      </c>
      <c r="W460" s="0" t="n">
        <f aca="false">H460*H460</f>
        <v>0.0625</v>
      </c>
      <c r="X460" s="0" t="n">
        <f aca="false">SUMPRODUCT(I460:W460,_XtX!$B$96:$P$96)</f>
        <v>43.8369745979532</v>
      </c>
      <c r="Y460" s="0" t="n">
        <f aca="false">SUMPRODUCT(MMULT(I460:W460,_XtX!$B$78:$P$92),I460:W460)</f>
        <v>0.457466705500731</v>
      </c>
      <c r="Z460" s="0" t="n">
        <f aca="false">04_回帰ANOVA!$K$19*04_回帰ANOVA!$K$14*SQRT(1+Y460)</f>
        <v>1.57361220003999</v>
      </c>
      <c r="AA460" s="0" t="n">
        <f aca="false">X460-Z460</f>
        <v>42.2633623979133</v>
      </c>
      <c r="AB460" s="0" t="n">
        <f aca="false">X460+Z460</f>
        <v>45.4105867979932</v>
      </c>
      <c r="AC460" s="54" t="b">
        <f aca="false">AND(E460&gt;=01_因子設定!$L$5-0.000000001,E460&lt;=01_因子設定!$M$5+0.000000001,F460&gt;=01_因子設定!$L$6-0.000000001,F460&lt;=01_因子設定!$M$6+0.000000001,G460&gt;=01_因子設定!$L$7-0.000000001,G460&lt;=01_因子設定!$M$7+0.000000001,H460&gt;=01_因子設定!$L$8-0.000000001,H460&lt;=01_因子設定!$M$8+0.000000001,IF(01_因子設定!$B$20="Box-Behnken",E460^2+F460^2+G460^2+H460^2&lt;=2+0.000000001,TRUE()))</f>
        <v>1</v>
      </c>
      <c r="AD460" s="55" t="n">
        <f aca="false">IF(AC460,IF(01_因子設定!$B$13="最大化",AA460-01_因子設定!$B$14,IF(01_因子設定!$B$13="最小化",01_因子設定!$B$15-AB460,MIN(AA460-01_因子設定!$B$14,01_因子設定!$B$15-AB460))),-1E+030)</f>
        <v>-4.23663760208675</v>
      </c>
      <c r="AE460" s="55" t="n">
        <f aca="false">IF(AC460,IF(01_因子設定!$B$13="最大化",X460,IF(01_因子設定!$B$13="最小化",-X460,-ABS(X460-01_因子設定!$B$16))),-1E+030)</f>
        <v>43.8369745979532</v>
      </c>
      <c r="AF460" s="55" t="n">
        <f aca="false">AD460+ROW()*0.000000001</f>
        <v>-4.23663714208675</v>
      </c>
      <c r="AG460" s="55" t="n">
        <f aca="false">AE460+ROW()*0.000000001</f>
        <v>43.8369750579533</v>
      </c>
    </row>
    <row r="461" customFormat="false" ht="15" hidden="false" customHeight="false" outlineLevel="0" collapsed="false">
      <c r="A461" s="0" t="n">
        <v>0</v>
      </c>
      <c r="B461" s="0" t="n">
        <v>5</v>
      </c>
      <c r="C461" s="0" t="n">
        <v>5</v>
      </c>
      <c r="D461" s="0" t="n">
        <v>6</v>
      </c>
      <c r="E461" s="0" t="n">
        <f aca="false">-1+A461*0.25</f>
        <v>-1</v>
      </c>
      <c r="F461" s="0" t="n">
        <f aca="false">-1+B461*0.25</f>
        <v>0.25</v>
      </c>
      <c r="G461" s="0" t="n">
        <f aca="false">-1+C461*0.25</f>
        <v>0.25</v>
      </c>
      <c r="H461" s="0" t="n">
        <f aca="false">-1+D461*0.25</f>
        <v>0.5</v>
      </c>
      <c r="I461" s="0" t="n">
        <f aca="false">1</f>
        <v>1</v>
      </c>
      <c r="J461" s="0" t="n">
        <f aca="false">E461</f>
        <v>-1</v>
      </c>
      <c r="K461" s="0" t="n">
        <f aca="false">F461</f>
        <v>0.25</v>
      </c>
      <c r="L461" s="0" t="n">
        <f aca="false">G461</f>
        <v>0.25</v>
      </c>
      <c r="M461" s="0" t="n">
        <f aca="false">H461</f>
        <v>0.5</v>
      </c>
      <c r="N461" s="0" t="n">
        <f aca="false">E461*F461</f>
        <v>-0.25</v>
      </c>
      <c r="O461" s="0" t="n">
        <f aca="false">E461*G461</f>
        <v>-0.25</v>
      </c>
      <c r="P461" s="0" t="n">
        <f aca="false">E461*H461</f>
        <v>-0.5</v>
      </c>
      <c r="Q461" s="0" t="n">
        <f aca="false">F461*G461</f>
        <v>0.0625</v>
      </c>
      <c r="R461" s="0" t="n">
        <f aca="false">F461*H461</f>
        <v>0.125</v>
      </c>
      <c r="S461" s="0" t="n">
        <f aca="false">G461*H461</f>
        <v>0.125</v>
      </c>
      <c r="T461" s="0" t="n">
        <f aca="false">E461*E461</f>
        <v>1</v>
      </c>
      <c r="U461" s="0" t="n">
        <f aca="false">F461*F461</f>
        <v>0.0625</v>
      </c>
      <c r="V461" s="0" t="n">
        <f aca="false">G461*G461</f>
        <v>0.0625</v>
      </c>
      <c r="W461" s="0" t="n">
        <f aca="false">H461*H461</f>
        <v>0.25</v>
      </c>
      <c r="X461" s="0" t="n">
        <f aca="false">SUMPRODUCT(I461:W461,_XtX!$B$96:$P$96)</f>
        <v>43.8400904605264</v>
      </c>
      <c r="Y461" s="0" t="n">
        <f aca="false">SUMPRODUCT(MMULT(I461:W461,_XtX!$B$78:$P$92),I461:W461)</f>
        <v>0.445705123812135</v>
      </c>
      <c r="Z461" s="0" t="n">
        <f aca="false">04_回帰ANOVA!$K$19*04_回帰ANOVA!$K$14*SQRT(1+Y461)</f>
        <v>1.56724990734749</v>
      </c>
      <c r="AA461" s="0" t="n">
        <f aca="false">X461-Z461</f>
        <v>42.2728405531789</v>
      </c>
      <c r="AB461" s="0" t="n">
        <f aca="false">X461+Z461</f>
        <v>45.4073403678738</v>
      </c>
      <c r="AC461" s="54" t="b">
        <f aca="false">AND(E461&gt;=01_因子設定!$L$5-0.000000001,E461&lt;=01_因子設定!$M$5+0.000000001,F461&gt;=01_因子設定!$L$6-0.000000001,F461&lt;=01_因子設定!$M$6+0.000000001,G461&gt;=01_因子設定!$L$7-0.000000001,G461&lt;=01_因子設定!$M$7+0.000000001,H461&gt;=01_因子設定!$L$8-0.000000001,H461&lt;=01_因子設定!$M$8+0.000000001,IF(01_因子設定!$B$20="Box-Behnken",E461^2+F461^2+G461^2+H461^2&lt;=2+0.000000001,TRUE()))</f>
        <v>1</v>
      </c>
      <c r="AD461" s="55" t="n">
        <f aca="false">IF(AC461,IF(01_因子設定!$B$13="最大化",AA461-01_因子設定!$B$14,IF(01_因子設定!$B$13="最小化",01_因子設定!$B$15-AB461,MIN(AA461-01_因子設定!$B$14,01_因子設定!$B$15-AB461))),-1E+030)</f>
        <v>-4.22715944682114</v>
      </c>
      <c r="AE461" s="55" t="n">
        <f aca="false">IF(AC461,IF(01_因子設定!$B$13="最大化",X461,IF(01_因子設定!$B$13="最小化",-X461,-ABS(X461-01_因子設定!$B$16))),-1E+030)</f>
        <v>43.8400904605264</v>
      </c>
      <c r="AF461" s="55" t="n">
        <f aca="false">AD461+ROW()*0.000000001</f>
        <v>-4.22715898582114</v>
      </c>
      <c r="AG461" s="55" t="n">
        <f aca="false">AE461+ROW()*0.000000001</f>
        <v>43.8400909215264</v>
      </c>
    </row>
    <row r="462" customFormat="false" ht="15" hidden="false" customHeight="false" outlineLevel="0" collapsed="false">
      <c r="A462" s="0" t="n">
        <v>0</v>
      </c>
      <c r="B462" s="0" t="n">
        <v>5</v>
      </c>
      <c r="C462" s="0" t="n">
        <v>5</v>
      </c>
      <c r="D462" s="0" t="n">
        <v>7</v>
      </c>
      <c r="E462" s="0" t="n">
        <f aca="false">-1+A462*0.25</f>
        <v>-1</v>
      </c>
      <c r="F462" s="0" t="n">
        <f aca="false">-1+B462*0.25</f>
        <v>0.25</v>
      </c>
      <c r="G462" s="0" t="n">
        <f aca="false">-1+C462*0.25</f>
        <v>0.25</v>
      </c>
      <c r="H462" s="0" t="n">
        <f aca="false">-1+D462*0.25</f>
        <v>0.75</v>
      </c>
      <c r="I462" s="0" t="n">
        <f aca="false">1</f>
        <v>1</v>
      </c>
      <c r="J462" s="0" t="n">
        <f aca="false">E462</f>
        <v>-1</v>
      </c>
      <c r="K462" s="0" t="n">
        <f aca="false">F462</f>
        <v>0.25</v>
      </c>
      <c r="L462" s="0" t="n">
        <f aca="false">G462</f>
        <v>0.25</v>
      </c>
      <c r="M462" s="0" t="n">
        <f aca="false">H462</f>
        <v>0.75</v>
      </c>
      <c r="N462" s="0" t="n">
        <f aca="false">E462*F462</f>
        <v>-0.25</v>
      </c>
      <c r="O462" s="0" t="n">
        <f aca="false">E462*G462</f>
        <v>-0.25</v>
      </c>
      <c r="P462" s="0" t="n">
        <f aca="false">E462*H462</f>
        <v>-0.75</v>
      </c>
      <c r="Q462" s="0" t="n">
        <f aca="false">F462*G462</f>
        <v>0.0625</v>
      </c>
      <c r="R462" s="0" t="n">
        <f aca="false">F462*H462</f>
        <v>0.1875</v>
      </c>
      <c r="S462" s="0" t="n">
        <f aca="false">G462*H462</f>
        <v>0.1875</v>
      </c>
      <c r="T462" s="0" t="n">
        <f aca="false">E462*E462</f>
        <v>1</v>
      </c>
      <c r="U462" s="0" t="n">
        <f aca="false">F462*F462</f>
        <v>0.0625</v>
      </c>
      <c r="V462" s="0" t="n">
        <f aca="false">G462*G462</f>
        <v>0.0625</v>
      </c>
      <c r="W462" s="0" t="n">
        <f aca="false">H462*H462</f>
        <v>0.5625</v>
      </c>
      <c r="X462" s="0" t="n">
        <f aca="false">SUMPRODUCT(I462:W462,_XtX!$B$96:$P$96)</f>
        <v>43.7953993055556</v>
      </c>
      <c r="Y462" s="0" t="n">
        <f aca="false">SUMPRODUCT(MMULT(I462:W462,_XtX!$B$78:$P$92),I462:W462)</f>
        <v>0.486409505208334</v>
      </c>
      <c r="Z462" s="0" t="n">
        <f aca="false">04_回帰ANOVA!$K$19*04_回帰ANOVA!$K$14*SQRT(1+Y462)</f>
        <v>1.58916001665498</v>
      </c>
      <c r="AA462" s="0" t="n">
        <f aca="false">X462-Z462</f>
        <v>42.2062392889006</v>
      </c>
      <c r="AB462" s="0" t="n">
        <f aca="false">X462+Z462</f>
        <v>45.3845593222106</v>
      </c>
      <c r="AC462" s="54" t="b">
        <f aca="false">AND(E462&gt;=01_因子設定!$L$5-0.000000001,E462&lt;=01_因子設定!$M$5+0.000000001,F462&gt;=01_因子設定!$L$6-0.000000001,F462&lt;=01_因子設定!$M$6+0.000000001,G462&gt;=01_因子設定!$L$7-0.000000001,G462&lt;=01_因子設定!$M$7+0.000000001,H462&gt;=01_因子設定!$L$8-0.000000001,H462&lt;=01_因子設定!$M$8+0.000000001,IF(01_因子設定!$B$20="Box-Behnken",E462^2+F462^2+G462^2+H462^2&lt;=2+0.000000001,TRUE()))</f>
        <v>1</v>
      </c>
      <c r="AD462" s="55" t="n">
        <f aca="false">IF(AC462,IF(01_因子設定!$B$13="最大化",AA462-01_因子設定!$B$14,IF(01_因子設定!$B$13="最小化",01_因子設定!$B$15-AB462,MIN(AA462-01_因子設定!$B$14,01_因子設定!$B$15-AB462))),-1E+030)</f>
        <v>-4.29376071109937</v>
      </c>
      <c r="AE462" s="55" t="n">
        <f aca="false">IF(AC462,IF(01_因子設定!$B$13="最大化",X462,IF(01_因子設定!$B$13="最小化",-X462,-ABS(X462-01_因子設定!$B$16))),-1E+030)</f>
        <v>43.7953993055556</v>
      </c>
      <c r="AF462" s="55" t="n">
        <f aca="false">AD462+ROW()*0.000000001</f>
        <v>-4.29376024909937</v>
      </c>
      <c r="AG462" s="55" t="n">
        <f aca="false">AE462+ROW()*0.000000001</f>
        <v>43.7953997675556</v>
      </c>
    </row>
    <row r="463" customFormat="false" ht="15" hidden="false" customHeight="false" outlineLevel="0" collapsed="false">
      <c r="A463" s="0" t="n">
        <v>0</v>
      </c>
      <c r="B463" s="0" t="n">
        <v>5</v>
      </c>
      <c r="C463" s="0" t="n">
        <v>5</v>
      </c>
      <c r="D463" s="0" t="n">
        <v>8</v>
      </c>
      <c r="E463" s="0" t="n">
        <f aca="false">-1+A463*0.25</f>
        <v>-1</v>
      </c>
      <c r="F463" s="0" t="n">
        <f aca="false">-1+B463*0.25</f>
        <v>0.25</v>
      </c>
      <c r="G463" s="0" t="n">
        <f aca="false">-1+C463*0.25</f>
        <v>0.25</v>
      </c>
      <c r="H463" s="0" t="n">
        <f aca="false">-1+D463*0.25</f>
        <v>1</v>
      </c>
      <c r="I463" s="0" t="n">
        <f aca="false">1</f>
        <v>1</v>
      </c>
      <c r="J463" s="0" t="n">
        <f aca="false">E463</f>
        <v>-1</v>
      </c>
      <c r="K463" s="0" t="n">
        <f aca="false">F463</f>
        <v>0.25</v>
      </c>
      <c r="L463" s="0" t="n">
        <f aca="false">G463</f>
        <v>0.25</v>
      </c>
      <c r="M463" s="0" t="n">
        <f aca="false">H463</f>
        <v>1</v>
      </c>
      <c r="N463" s="0" t="n">
        <f aca="false">E463*F463</f>
        <v>-0.25</v>
      </c>
      <c r="O463" s="0" t="n">
        <f aca="false">E463*G463</f>
        <v>-0.25</v>
      </c>
      <c r="P463" s="0" t="n">
        <f aca="false">E463*H463</f>
        <v>-1</v>
      </c>
      <c r="Q463" s="0" t="n">
        <f aca="false">F463*G463</f>
        <v>0.0625</v>
      </c>
      <c r="R463" s="0" t="n">
        <f aca="false">F463*H463</f>
        <v>0.25</v>
      </c>
      <c r="S463" s="0" t="n">
        <f aca="false">G463*H463</f>
        <v>0.25</v>
      </c>
      <c r="T463" s="0" t="n">
        <f aca="false">E463*E463</f>
        <v>1</v>
      </c>
      <c r="U463" s="0" t="n">
        <f aca="false">F463*F463</f>
        <v>0.0625</v>
      </c>
      <c r="V463" s="0" t="n">
        <f aca="false">G463*G463</f>
        <v>0.0625</v>
      </c>
      <c r="W463" s="0" t="n">
        <f aca="false">H463*H463</f>
        <v>1</v>
      </c>
      <c r="X463" s="0" t="n">
        <f aca="false">SUMPRODUCT(I463:W463,_XtX!$B$96:$P$96)</f>
        <v>43.702901133041</v>
      </c>
      <c r="Y463" s="0" t="n">
        <f aca="false">SUMPRODUCT(MMULT(I463:W463,_XtX!$B$78:$P$92),I463:W463)</f>
        <v>0.670040376005117</v>
      </c>
      <c r="Z463" s="0" t="n">
        <f aca="false">04_回帰ANOVA!$K$19*04_回帰ANOVA!$K$14*SQRT(1+Y463)</f>
        <v>1.68446456039992</v>
      </c>
      <c r="AA463" s="0" t="n">
        <f aca="false">X463-Z463</f>
        <v>42.0184365726411</v>
      </c>
      <c r="AB463" s="0" t="n">
        <f aca="false">X463+Z463</f>
        <v>45.3873656934409</v>
      </c>
      <c r="AC463" s="54" t="b">
        <f aca="false">AND(E463&gt;=01_因子設定!$L$5-0.000000001,E463&lt;=01_因子設定!$M$5+0.000000001,F463&gt;=01_因子設定!$L$6-0.000000001,F463&lt;=01_因子設定!$M$6+0.000000001,G463&gt;=01_因子設定!$L$7-0.000000001,G463&lt;=01_因子設定!$M$7+0.000000001,H463&gt;=01_因子設定!$L$8-0.000000001,H463&lt;=01_因子設定!$M$8+0.000000001,IF(01_因子設定!$B$20="Box-Behnken",E463^2+F463^2+G463^2+H463^2&lt;=2+0.000000001,TRUE()))</f>
        <v>1</v>
      </c>
      <c r="AD463" s="55" t="n">
        <f aca="false">IF(AC463,IF(01_因子設定!$B$13="最大化",AA463-01_因子設定!$B$14,IF(01_因子設定!$B$13="最小化",01_因子設定!$B$15-AB463,MIN(AA463-01_因子設定!$B$14,01_因子設定!$B$15-AB463))),-1E+030)</f>
        <v>-4.48156342735892</v>
      </c>
      <c r="AE463" s="55" t="n">
        <f aca="false">IF(AC463,IF(01_因子設定!$B$13="最大化",X463,IF(01_因子設定!$B$13="最小化",-X463,-ABS(X463-01_因子設定!$B$16))),-1E+030)</f>
        <v>43.702901133041</v>
      </c>
      <c r="AF463" s="55" t="n">
        <f aca="false">AD463+ROW()*0.000000001</f>
        <v>-4.48156296435892</v>
      </c>
      <c r="AG463" s="55" t="n">
        <f aca="false">AE463+ROW()*0.000000001</f>
        <v>43.702901596041</v>
      </c>
    </row>
    <row r="464" customFormat="false" ht="15" hidden="false" customHeight="false" outlineLevel="0" collapsed="false">
      <c r="A464" s="0" t="n">
        <v>0</v>
      </c>
      <c r="B464" s="0" t="n">
        <v>5</v>
      </c>
      <c r="C464" s="0" t="n">
        <v>6</v>
      </c>
      <c r="D464" s="0" t="n">
        <v>0</v>
      </c>
      <c r="E464" s="0" t="n">
        <f aca="false">-1+A464*0.25</f>
        <v>-1</v>
      </c>
      <c r="F464" s="0" t="n">
        <f aca="false">-1+B464*0.25</f>
        <v>0.25</v>
      </c>
      <c r="G464" s="0" t="n">
        <f aca="false">-1+C464*0.25</f>
        <v>0.5</v>
      </c>
      <c r="H464" s="0" t="n">
        <f aca="false">-1+D464*0.25</f>
        <v>-1</v>
      </c>
      <c r="I464" s="0" t="n">
        <f aca="false">1</f>
        <v>1</v>
      </c>
      <c r="J464" s="0" t="n">
        <f aca="false">E464</f>
        <v>-1</v>
      </c>
      <c r="K464" s="0" t="n">
        <f aca="false">F464</f>
        <v>0.25</v>
      </c>
      <c r="L464" s="0" t="n">
        <f aca="false">G464</f>
        <v>0.5</v>
      </c>
      <c r="M464" s="0" t="n">
        <f aca="false">H464</f>
        <v>-1</v>
      </c>
      <c r="N464" s="0" t="n">
        <f aca="false">E464*F464</f>
        <v>-0.25</v>
      </c>
      <c r="O464" s="0" t="n">
        <f aca="false">E464*G464</f>
        <v>-0.5</v>
      </c>
      <c r="P464" s="0" t="n">
        <f aca="false">E464*H464</f>
        <v>1</v>
      </c>
      <c r="Q464" s="0" t="n">
        <f aca="false">F464*G464</f>
        <v>0.125</v>
      </c>
      <c r="R464" s="0" t="n">
        <f aca="false">F464*H464</f>
        <v>-0.25</v>
      </c>
      <c r="S464" s="0" t="n">
        <f aca="false">G464*H464</f>
        <v>-0.5</v>
      </c>
      <c r="T464" s="0" t="n">
        <f aca="false">E464*E464</f>
        <v>1</v>
      </c>
      <c r="U464" s="0" t="n">
        <f aca="false">F464*F464</f>
        <v>0.0625</v>
      </c>
      <c r="V464" s="0" t="n">
        <f aca="false">G464*G464</f>
        <v>0.25</v>
      </c>
      <c r="W464" s="0" t="n">
        <f aca="false">H464*H464</f>
        <v>1</v>
      </c>
      <c r="X464" s="0" t="n">
        <f aca="false">SUMPRODUCT(I464:W464,_XtX!$B$96:$P$96)</f>
        <v>43.3323190789474</v>
      </c>
      <c r="Y464" s="0" t="n">
        <f aca="false">SUMPRODUCT(MMULT(I464:W464,_XtX!$B$78:$P$92),I464:W464)</f>
        <v>0.629174661915205</v>
      </c>
      <c r="Z464" s="0" t="n">
        <f aca="false">04_回帰ANOVA!$K$19*04_回帰ANOVA!$K$14*SQRT(1+Y464)</f>
        <v>1.66372758058297</v>
      </c>
      <c r="AA464" s="0" t="n">
        <f aca="false">X464-Z464</f>
        <v>41.6685914983645</v>
      </c>
      <c r="AB464" s="0" t="n">
        <f aca="false">X464+Z464</f>
        <v>44.9960466595304</v>
      </c>
      <c r="AC464" s="54" t="b">
        <f aca="false">AND(E464&gt;=01_因子設定!$L$5-0.000000001,E464&lt;=01_因子設定!$M$5+0.000000001,F464&gt;=01_因子設定!$L$6-0.000000001,F464&lt;=01_因子設定!$M$6+0.000000001,G464&gt;=01_因子設定!$L$7-0.000000001,G464&lt;=01_因子設定!$M$7+0.000000001,H464&gt;=01_因子設定!$L$8-0.000000001,H464&lt;=01_因子設定!$M$8+0.000000001,IF(01_因子設定!$B$20="Box-Behnken",E464^2+F464^2+G464^2+H464^2&lt;=2+0.000000001,TRUE()))</f>
        <v>1</v>
      </c>
      <c r="AD464" s="55" t="n">
        <f aca="false">IF(AC464,IF(01_因子設定!$B$13="最大化",AA464-01_因子設定!$B$14,IF(01_因子設定!$B$13="最小化",01_因子設定!$B$15-AB464,MIN(AA464-01_因子設定!$B$14,01_因子設定!$B$15-AB464))),-1E+030)</f>
        <v>-4.83140850163554</v>
      </c>
      <c r="AE464" s="55" t="n">
        <f aca="false">IF(AC464,IF(01_因子設定!$B$13="最大化",X464,IF(01_因子設定!$B$13="最小化",-X464,-ABS(X464-01_因子設定!$B$16))),-1E+030)</f>
        <v>43.3323190789474</v>
      </c>
      <c r="AF464" s="55" t="n">
        <f aca="false">AD464+ROW()*0.000000001</f>
        <v>-4.83140803763554</v>
      </c>
      <c r="AG464" s="55" t="n">
        <f aca="false">AE464+ROW()*0.000000001</f>
        <v>43.3323195429474</v>
      </c>
    </row>
    <row r="465" customFormat="false" ht="15" hidden="false" customHeight="false" outlineLevel="0" collapsed="false">
      <c r="A465" s="0" t="n">
        <v>0</v>
      </c>
      <c r="B465" s="0" t="n">
        <v>5</v>
      </c>
      <c r="C465" s="0" t="n">
        <v>6</v>
      </c>
      <c r="D465" s="0" t="n">
        <v>1</v>
      </c>
      <c r="E465" s="0" t="n">
        <f aca="false">-1+A465*0.25</f>
        <v>-1</v>
      </c>
      <c r="F465" s="0" t="n">
        <f aca="false">-1+B465*0.25</f>
        <v>0.25</v>
      </c>
      <c r="G465" s="0" t="n">
        <f aca="false">-1+C465*0.25</f>
        <v>0.5</v>
      </c>
      <c r="H465" s="0" t="n">
        <f aca="false">-1+D465*0.25</f>
        <v>-0.75</v>
      </c>
      <c r="I465" s="0" t="n">
        <f aca="false">1</f>
        <v>1</v>
      </c>
      <c r="J465" s="0" t="n">
        <f aca="false">E465</f>
        <v>-1</v>
      </c>
      <c r="K465" s="0" t="n">
        <f aca="false">F465</f>
        <v>0.25</v>
      </c>
      <c r="L465" s="0" t="n">
        <f aca="false">G465</f>
        <v>0.5</v>
      </c>
      <c r="M465" s="0" t="n">
        <f aca="false">H465</f>
        <v>-0.75</v>
      </c>
      <c r="N465" s="0" t="n">
        <f aca="false">E465*F465</f>
        <v>-0.25</v>
      </c>
      <c r="O465" s="0" t="n">
        <f aca="false">E465*G465</f>
        <v>-0.5</v>
      </c>
      <c r="P465" s="0" t="n">
        <f aca="false">E465*H465</f>
        <v>0.75</v>
      </c>
      <c r="Q465" s="0" t="n">
        <f aca="false">F465*G465</f>
        <v>0.125</v>
      </c>
      <c r="R465" s="0" t="n">
        <f aca="false">F465*H465</f>
        <v>-0.1875</v>
      </c>
      <c r="S465" s="0" t="n">
        <f aca="false">G465*H465</f>
        <v>-0.375</v>
      </c>
      <c r="T465" s="0" t="n">
        <f aca="false">E465*E465</f>
        <v>1</v>
      </c>
      <c r="U465" s="0" t="n">
        <f aca="false">F465*F465</f>
        <v>0.0625</v>
      </c>
      <c r="V465" s="0" t="n">
        <f aca="false">G465*G465</f>
        <v>0.25</v>
      </c>
      <c r="W465" s="0" t="n">
        <f aca="false">H465*H465</f>
        <v>0.5625</v>
      </c>
      <c r="X465" s="0" t="n">
        <f aca="false">SUMPRODUCT(I465:W465,_XtX!$B$96:$P$96)</f>
        <v>43.5924387792398</v>
      </c>
      <c r="Y465" s="0" t="n">
        <f aca="false">SUMPRODUCT(MMULT(I465:W465,_XtX!$B$78:$P$92),I465:W465)</f>
        <v>0.459125719572369</v>
      </c>
      <c r="Z465" s="0" t="n">
        <f aca="false">04_回帰ANOVA!$K$19*04_回帰ANOVA!$K$14*SQRT(1+Y465)</f>
        <v>1.57450755575573</v>
      </c>
      <c r="AA465" s="0" t="n">
        <f aca="false">X465-Z465</f>
        <v>42.0179312234841</v>
      </c>
      <c r="AB465" s="0" t="n">
        <f aca="false">X465+Z465</f>
        <v>45.1669463349955</v>
      </c>
      <c r="AC465" s="54" t="b">
        <f aca="false">AND(E465&gt;=01_因子設定!$L$5-0.000000001,E465&lt;=01_因子設定!$M$5+0.000000001,F465&gt;=01_因子設定!$L$6-0.000000001,F465&lt;=01_因子設定!$M$6+0.000000001,G465&gt;=01_因子設定!$L$7-0.000000001,G465&lt;=01_因子設定!$M$7+0.000000001,H465&gt;=01_因子設定!$L$8-0.000000001,H465&lt;=01_因子設定!$M$8+0.000000001,IF(01_因子設定!$B$20="Box-Behnken",E465^2+F465^2+G465^2+H465^2&lt;=2+0.000000001,TRUE()))</f>
        <v>1</v>
      </c>
      <c r="AD465" s="55" t="n">
        <f aca="false">IF(AC465,IF(01_因子設定!$B$13="最大化",AA465-01_因子設定!$B$14,IF(01_因子設定!$B$13="最小化",01_因子設定!$B$15-AB465,MIN(AA465-01_因子設定!$B$14,01_因子設定!$B$15-AB465))),-1E+030)</f>
        <v>-4.48206877651592</v>
      </c>
      <c r="AE465" s="55" t="n">
        <f aca="false">IF(AC465,IF(01_因子設定!$B$13="最大化",X465,IF(01_因子設定!$B$13="最小化",-X465,-ABS(X465-01_因子設定!$B$16))),-1E+030)</f>
        <v>43.5924387792398</v>
      </c>
      <c r="AF465" s="55" t="n">
        <f aca="false">AD465+ROW()*0.000000001</f>
        <v>-4.48206831151592</v>
      </c>
      <c r="AG465" s="55" t="n">
        <f aca="false">AE465+ROW()*0.000000001</f>
        <v>43.5924392442398</v>
      </c>
    </row>
    <row r="466" customFormat="false" ht="15" hidden="false" customHeight="false" outlineLevel="0" collapsed="false">
      <c r="A466" s="0" t="n">
        <v>0</v>
      </c>
      <c r="B466" s="0" t="n">
        <v>5</v>
      </c>
      <c r="C466" s="0" t="n">
        <v>6</v>
      </c>
      <c r="D466" s="0" t="n">
        <v>2</v>
      </c>
      <c r="E466" s="0" t="n">
        <f aca="false">-1+A466*0.25</f>
        <v>-1</v>
      </c>
      <c r="F466" s="0" t="n">
        <f aca="false">-1+B466*0.25</f>
        <v>0.25</v>
      </c>
      <c r="G466" s="0" t="n">
        <f aca="false">-1+C466*0.25</f>
        <v>0.5</v>
      </c>
      <c r="H466" s="0" t="n">
        <f aca="false">-1+D466*0.25</f>
        <v>-0.5</v>
      </c>
      <c r="I466" s="0" t="n">
        <f aca="false">1</f>
        <v>1</v>
      </c>
      <c r="J466" s="0" t="n">
        <f aca="false">E466</f>
        <v>-1</v>
      </c>
      <c r="K466" s="0" t="n">
        <f aca="false">F466</f>
        <v>0.25</v>
      </c>
      <c r="L466" s="0" t="n">
        <f aca="false">G466</f>
        <v>0.5</v>
      </c>
      <c r="M466" s="0" t="n">
        <f aca="false">H466</f>
        <v>-0.5</v>
      </c>
      <c r="N466" s="0" t="n">
        <f aca="false">E466*F466</f>
        <v>-0.25</v>
      </c>
      <c r="O466" s="0" t="n">
        <f aca="false">E466*G466</f>
        <v>-0.5</v>
      </c>
      <c r="P466" s="0" t="n">
        <f aca="false">E466*H466</f>
        <v>0.5</v>
      </c>
      <c r="Q466" s="0" t="n">
        <f aca="false">F466*G466</f>
        <v>0.125</v>
      </c>
      <c r="R466" s="0" t="n">
        <f aca="false">F466*H466</f>
        <v>-0.125</v>
      </c>
      <c r="S466" s="0" t="n">
        <f aca="false">G466*H466</f>
        <v>-0.25</v>
      </c>
      <c r="T466" s="0" t="n">
        <f aca="false">E466*E466</f>
        <v>1</v>
      </c>
      <c r="U466" s="0" t="n">
        <f aca="false">F466*F466</f>
        <v>0.0625</v>
      </c>
      <c r="V466" s="0" t="n">
        <f aca="false">G466*G466</f>
        <v>0.25</v>
      </c>
      <c r="W466" s="0" t="n">
        <f aca="false">H466*H466</f>
        <v>0.25</v>
      </c>
      <c r="X466" s="0" t="n">
        <f aca="false">SUMPRODUCT(I466:W466,_XtX!$B$96:$P$96)</f>
        <v>43.8047514619883</v>
      </c>
      <c r="Y466" s="0" t="n">
        <f aca="false">SUMPRODUCT(MMULT(I466:W466,_XtX!$B$78:$P$92),I466:W466)</f>
        <v>0.428122715643275</v>
      </c>
      <c r="Z466" s="0" t="n">
        <f aca="false">04_回帰ANOVA!$K$19*04_回帰ANOVA!$K$14*SQRT(1+Y466)</f>
        <v>1.55769044623229</v>
      </c>
      <c r="AA466" s="0" t="n">
        <f aca="false">X466-Z466</f>
        <v>42.247061015756</v>
      </c>
      <c r="AB466" s="0" t="n">
        <f aca="false">X466+Z466</f>
        <v>45.3624419082206</v>
      </c>
      <c r="AC466" s="54" t="b">
        <f aca="false">AND(E466&gt;=01_因子設定!$L$5-0.000000001,E466&lt;=01_因子設定!$M$5+0.000000001,F466&gt;=01_因子設定!$L$6-0.000000001,F466&lt;=01_因子設定!$M$6+0.000000001,G466&gt;=01_因子設定!$L$7-0.000000001,G466&lt;=01_因子設定!$M$7+0.000000001,H466&gt;=01_因子設定!$L$8-0.000000001,H466&lt;=01_因子設定!$M$8+0.000000001,IF(01_因子設定!$B$20="Box-Behnken",E466^2+F466^2+G466^2+H466^2&lt;=2+0.000000001,TRUE()))</f>
        <v>1</v>
      </c>
      <c r="AD466" s="55" t="n">
        <f aca="false">IF(AC466,IF(01_因子設定!$B$13="最大化",AA466-01_因子設定!$B$14,IF(01_因子設定!$B$13="最小化",01_因子設定!$B$15-AB466,MIN(AA466-01_因子設定!$B$14,01_因子設定!$B$15-AB466))),-1E+030)</f>
        <v>-4.25293898424395</v>
      </c>
      <c r="AE466" s="55" t="n">
        <f aca="false">IF(AC466,IF(01_因子設定!$B$13="最大化",X466,IF(01_因子設定!$B$13="最小化",-X466,-ABS(X466-01_因子設定!$B$16))),-1E+030)</f>
        <v>43.8047514619883</v>
      </c>
      <c r="AF466" s="55" t="n">
        <f aca="false">AD466+ROW()*0.000000001</f>
        <v>-4.25293851824395</v>
      </c>
      <c r="AG466" s="55" t="n">
        <f aca="false">AE466+ROW()*0.000000001</f>
        <v>43.8047519279883</v>
      </c>
    </row>
    <row r="467" customFormat="false" ht="15" hidden="false" customHeight="false" outlineLevel="0" collapsed="false">
      <c r="A467" s="0" t="n">
        <v>0</v>
      </c>
      <c r="B467" s="0" t="n">
        <v>5</v>
      </c>
      <c r="C467" s="0" t="n">
        <v>6</v>
      </c>
      <c r="D467" s="0" t="n">
        <v>3</v>
      </c>
      <c r="E467" s="0" t="n">
        <f aca="false">-1+A467*0.25</f>
        <v>-1</v>
      </c>
      <c r="F467" s="0" t="n">
        <f aca="false">-1+B467*0.25</f>
        <v>0.25</v>
      </c>
      <c r="G467" s="0" t="n">
        <f aca="false">-1+C467*0.25</f>
        <v>0.5</v>
      </c>
      <c r="H467" s="0" t="n">
        <f aca="false">-1+D467*0.25</f>
        <v>-0.25</v>
      </c>
      <c r="I467" s="0" t="n">
        <f aca="false">1</f>
        <v>1</v>
      </c>
      <c r="J467" s="0" t="n">
        <f aca="false">E467</f>
        <v>-1</v>
      </c>
      <c r="K467" s="0" t="n">
        <f aca="false">F467</f>
        <v>0.25</v>
      </c>
      <c r="L467" s="0" t="n">
        <f aca="false">G467</f>
        <v>0.5</v>
      </c>
      <c r="M467" s="0" t="n">
        <f aca="false">H467</f>
        <v>-0.25</v>
      </c>
      <c r="N467" s="0" t="n">
        <f aca="false">E467*F467</f>
        <v>-0.25</v>
      </c>
      <c r="O467" s="0" t="n">
        <f aca="false">E467*G467</f>
        <v>-0.5</v>
      </c>
      <c r="P467" s="0" t="n">
        <f aca="false">E467*H467</f>
        <v>0.25</v>
      </c>
      <c r="Q467" s="0" t="n">
        <f aca="false">F467*G467</f>
        <v>0.125</v>
      </c>
      <c r="R467" s="0" t="n">
        <f aca="false">F467*H467</f>
        <v>-0.0625</v>
      </c>
      <c r="S467" s="0" t="n">
        <f aca="false">G467*H467</f>
        <v>-0.125</v>
      </c>
      <c r="T467" s="0" t="n">
        <f aca="false">E467*E467</f>
        <v>1</v>
      </c>
      <c r="U467" s="0" t="n">
        <f aca="false">F467*F467</f>
        <v>0.0625</v>
      </c>
      <c r="V467" s="0" t="n">
        <f aca="false">G467*G467</f>
        <v>0.25</v>
      </c>
      <c r="W467" s="0" t="n">
        <f aca="false">H467*H467</f>
        <v>0.0625</v>
      </c>
      <c r="X467" s="0" t="n">
        <f aca="false">SUMPRODUCT(I467:W467,_XtX!$B$96:$P$96)</f>
        <v>43.969257127193</v>
      </c>
      <c r="Y467" s="0" t="n">
        <f aca="false">SUMPRODUCT(MMULT(I467:W467,_XtX!$B$78:$P$92),I467:W467)</f>
        <v>0.445705123812135</v>
      </c>
      <c r="Z467" s="0" t="n">
        <f aca="false">04_回帰ANOVA!$K$19*04_回帰ANOVA!$K$14*SQRT(1+Y467)</f>
        <v>1.56724990734749</v>
      </c>
      <c r="AA467" s="0" t="n">
        <f aca="false">X467-Z467</f>
        <v>42.4020072198455</v>
      </c>
      <c r="AB467" s="0" t="n">
        <f aca="false">X467+Z467</f>
        <v>45.5365070345405</v>
      </c>
      <c r="AC467" s="54" t="b">
        <f aca="false">AND(E467&gt;=01_因子設定!$L$5-0.000000001,E467&lt;=01_因子設定!$M$5+0.000000001,F467&gt;=01_因子設定!$L$6-0.000000001,F467&lt;=01_因子設定!$M$6+0.000000001,G467&gt;=01_因子設定!$L$7-0.000000001,G467&lt;=01_因子設定!$M$7+0.000000001,H467&gt;=01_因子設定!$L$8-0.000000001,H467&lt;=01_因子設定!$M$8+0.000000001,IF(01_因子設定!$B$20="Box-Behnken",E467^2+F467^2+G467^2+H467^2&lt;=2+0.000000001,TRUE()))</f>
        <v>1</v>
      </c>
      <c r="AD467" s="55" t="n">
        <f aca="false">IF(AC467,IF(01_因子設定!$B$13="最大化",AA467-01_因子設定!$B$14,IF(01_因子設定!$B$13="最小化",01_因子設定!$B$15-AB467,MIN(AA467-01_因子設定!$B$14,01_因子設定!$B$15-AB467))),-1E+030)</f>
        <v>-4.09799278015448</v>
      </c>
      <c r="AE467" s="55" t="n">
        <f aca="false">IF(AC467,IF(01_因子設定!$B$13="最大化",X467,IF(01_因子設定!$B$13="最小化",-X467,-ABS(X467-01_因子設定!$B$16))),-1E+030)</f>
        <v>43.969257127193</v>
      </c>
      <c r="AF467" s="55" t="n">
        <f aca="false">AD467+ROW()*0.000000001</f>
        <v>-4.09799231315448</v>
      </c>
      <c r="AG467" s="55" t="n">
        <f aca="false">AE467+ROW()*0.000000001</f>
        <v>43.969257594193</v>
      </c>
    </row>
    <row r="468" customFormat="false" ht="15" hidden="false" customHeight="false" outlineLevel="0" collapsed="false">
      <c r="A468" s="0" t="n">
        <v>0</v>
      </c>
      <c r="B468" s="0" t="n">
        <v>5</v>
      </c>
      <c r="C468" s="0" t="n">
        <v>6</v>
      </c>
      <c r="D468" s="0" t="n">
        <v>4</v>
      </c>
      <c r="E468" s="0" t="n">
        <f aca="false">-1+A468*0.25</f>
        <v>-1</v>
      </c>
      <c r="F468" s="0" t="n">
        <f aca="false">-1+B468*0.25</f>
        <v>0.25</v>
      </c>
      <c r="G468" s="0" t="n">
        <f aca="false">-1+C468*0.25</f>
        <v>0.5</v>
      </c>
      <c r="H468" s="0" t="n">
        <f aca="false">-1+D468*0.25</f>
        <v>0</v>
      </c>
      <c r="I468" s="0" t="n">
        <f aca="false">1</f>
        <v>1</v>
      </c>
      <c r="J468" s="0" t="n">
        <f aca="false">E468</f>
        <v>-1</v>
      </c>
      <c r="K468" s="0" t="n">
        <f aca="false">F468</f>
        <v>0.25</v>
      </c>
      <c r="L468" s="0" t="n">
        <f aca="false">G468</f>
        <v>0.5</v>
      </c>
      <c r="M468" s="0" t="n">
        <f aca="false">H468</f>
        <v>0</v>
      </c>
      <c r="N468" s="0" t="n">
        <f aca="false">E468*F468</f>
        <v>-0.25</v>
      </c>
      <c r="O468" s="0" t="n">
        <f aca="false">E468*G468</f>
        <v>-0.5</v>
      </c>
      <c r="P468" s="0" t="n">
        <f aca="false">E468*H468</f>
        <v>-0</v>
      </c>
      <c r="Q468" s="0" t="n">
        <f aca="false">F468*G468</f>
        <v>0.125</v>
      </c>
      <c r="R468" s="0" t="n">
        <f aca="false">F468*H468</f>
        <v>0</v>
      </c>
      <c r="S468" s="0" t="n">
        <f aca="false">G468*H468</f>
        <v>0</v>
      </c>
      <c r="T468" s="0" t="n">
        <f aca="false">E468*E468</f>
        <v>1</v>
      </c>
      <c r="U468" s="0" t="n">
        <f aca="false">F468*F468</f>
        <v>0.0625</v>
      </c>
      <c r="V468" s="0" t="n">
        <f aca="false">G468*G468</f>
        <v>0.25</v>
      </c>
      <c r="W468" s="0" t="n">
        <f aca="false">H468*H468</f>
        <v>0</v>
      </c>
      <c r="X468" s="0" t="n">
        <f aca="false">SUMPRODUCT(I468:W468,_XtX!$B$96:$P$96)</f>
        <v>44.0859557748538</v>
      </c>
      <c r="Y468" s="0" t="n">
        <f aca="false">SUMPRODUCT(MMULT(I468:W468,_XtX!$B$78:$P$92),I468:W468)</f>
        <v>0.457596628289474</v>
      </c>
      <c r="Z468" s="0" t="n">
        <f aca="false">04_回帰ANOVA!$K$19*04_回帰ANOVA!$K$14*SQRT(1+Y468)</f>
        <v>1.57368233664366</v>
      </c>
      <c r="AA468" s="0" t="n">
        <f aca="false">X468-Z468</f>
        <v>42.5122734382102</v>
      </c>
      <c r="AB468" s="0" t="n">
        <f aca="false">X468+Z468</f>
        <v>45.6596381114975</v>
      </c>
      <c r="AC468" s="54" t="b">
        <f aca="false">AND(E468&gt;=01_因子設定!$L$5-0.000000001,E468&lt;=01_因子設定!$M$5+0.000000001,F468&gt;=01_因子設定!$L$6-0.000000001,F468&lt;=01_因子設定!$M$6+0.000000001,G468&gt;=01_因子設定!$L$7-0.000000001,G468&lt;=01_因子設定!$M$7+0.000000001,H468&gt;=01_因子設定!$L$8-0.000000001,H468&lt;=01_因子設定!$M$8+0.000000001,IF(01_因子設定!$B$20="Box-Behnken",E468^2+F468^2+G468^2+H468^2&lt;=2+0.000000001,TRUE()))</f>
        <v>1</v>
      </c>
      <c r="AD468" s="55" t="n">
        <f aca="false">IF(AC468,IF(01_因子設定!$B$13="最大化",AA468-01_因子設定!$B$14,IF(01_因子設定!$B$13="最小化",01_因子設定!$B$15-AB468,MIN(AA468-01_因子設定!$B$14,01_因子設定!$B$15-AB468))),-1E+030)</f>
        <v>-3.98772656178983</v>
      </c>
      <c r="AE468" s="55" t="n">
        <f aca="false">IF(AC468,IF(01_因子設定!$B$13="最大化",X468,IF(01_因子設定!$B$13="最小化",-X468,-ABS(X468-01_因子設定!$B$16))),-1E+030)</f>
        <v>44.0859557748538</v>
      </c>
      <c r="AF468" s="55" t="n">
        <f aca="false">AD468+ROW()*0.000000001</f>
        <v>-3.98772609378983</v>
      </c>
      <c r="AG468" s="55" t="n">
        <f aca="false">AE468+ROW()*0.000000001</f>
        <v>44.0859562428538</v>
      </c>
    </row>
    <row r="469" customFormat="false" ht="15" hidden="false" customHeight="false" outlineLevel="0" collapsed="false">
      <c r="A469" s="0" t="n">
        <v>0</v>
      </c>
      <c r="B469" s="0" t="n">
        <v>5</v>
      </c>
      <c r="C469" s="0" t="n">
        <v>6</v>
      </c>
      <c r="D469" s="0" t="n">
        <v>5</v>
      </c>
      <c r="E469" s="0" t="n">
        <f aca="false">-1+A469*0.25</f>
        <v>-1</v>
      </c>
      <c r="F469" s="0" t="n">
        <f aca="false">-1+B469*0.25</f>
        <v>0.25</v>
      </c>
      <c r="G469" s="0" t="n">
        <f aca="false">-1+C469*0.25</f>
        <v>0.5</v>
      </c>
      <c r="H469" s="0" t="n">
        <f aca="false">-1+D469*0.25</f>
        <v>0.25</v>
      </c>
      <c r="I469" s="0" t="n">
        <f aca="false">1</f>
        <v>1</v>
      </c>
      <c r="J469" s="0" t="n">
        <f aca="false">E469</f>
        <v>-1</v>
      </c>
      <c r="K469" s="0" t="n">
        <f aca="false">F469</f>
        <v>0.25</v>
      </c>
      <c r="L469" s="0" t="n">
        <f aca="false">G469</f>
        <v>0.5</v>
      </c>
      <c r="M469" s="0" t="n">
        <f aca="false">H469</f>
        <v>0.25</v>
      </c>
      <c r="N469" s="0" t="n">
        <f aca="false">E469*F469</f>
        <v>-0.25</v>
      </c>
      <c r="O469" s="0" t="n">
        <f aca="false">E469*G469</f>
        <v>-0.5</v>
      </c>
      <c r="P469" s="0" t="n">
        <f aca="false">E469*H469</f>
        <v>-0.25</v>
      </c>
      <c r="Q469" s="0" t="n">
        <f aca="false">F469*G469</f>
        <v>0.125</v>
      </c>
      <c r="R469" s="0" t="n">
        <f aca="false">F469*H469</f>
        <v>0.0625</v>
      </c>
      <c r="S469" s="0" t="n">
        <f aca="false">G469*H469</f>
        <v>0.125</v>
      </c>
      <c r="T469" s="0" t="n">
        <f aca="false">E469*E469</f>
        <v>1</v>
      </c>
      <c r="U469" s="0" t="n">
        <f aca="false">F469*F469</f>
        <v>0.0625</v>
      </c>
      <c r="V469" s="0" t="n">
        <f aca="false">G469*G469</f>
        <v>0.25</v>
      </c>
      <c r="W469" s="0" t="n">
        <f aca="false">H469*H469</f>
        <v>0.0625</v>
      </c>
      <c r="X469" s="0" t="n">
        <f aca="false">SUMPRODUCT(I469:W469,_XtX!$B$96:$P$96)</f>
        <v>44.1548474049708</v>
      </c>
      <c r="Y469" s="0" t="n">
        <f aca="false">SUMPRODUCT(MMULT(I469:W469,_XtX!$B$78:$P$92),I469:W469)</f>
        <v>0.445705123812135</v>
      </c>
      <c r="Z469" s="0" t="n">
        <f aca="false">04_回帰ANOVA!$K$19*04_回帰ANOVA!$K$14*SQRT(1+Y469)</f>
        <v>1.56724990734749</v>
      </c>
      <c r="AA469" s="0" t="n">
        <f aca="false">X469-Z469</f>
        <v>42.5875974976233</v>
      </c>
      <c r="AB469" s="0" t="n">
        <f aca="false">X469+Z469</f>
        <v>45.7220973123183</v>
      </c>
      <c r="AC469" s="54" t="b">
        <f aca="false">AND(E469&gt;=01_因子設定!$L$5-0.000000001,E469&lt;=01_因子設定!$M$5+0.000000001,F469&gt;=01_因子設定!$L$6-0.000000001,F469&lt;=01_因子設定!$M$6+0.000000001,G469&gt;=01_因子設定!$L$7-0.000000001,G469&lt;=01_因子設定!$M$7+0.000000001,H469&gt;=01_因子設定!$L$8-0.000000001,H469&lt;=01_因子設定!$M$8+0.000000001,IF(01_因子設定!$B$20="Box-Behnken",E469^2+F469^2+G469^2+H469^2&lt;=2+0.000000001,TRUE()))</f>
        <v>1</v>
      </c>
      <c r="AD469" s="55" t="n">
        <f aca="false">IF(AC469,IF(01_因子設定!$B$13="最大化",AA469-01_因子設定!$B$14,IF(01_因子設定!$B$13="最小化",01_因子設定!$B$15-AB469,MIN(AA469-01_因子設定!$B$14,01_因子設定!$B$15-AB469))),-1E+030)</f>
        <v>-3.9124025023767</v>
      </c>
      <c r="AE469" s="55" t="n">
        <f aca="false">IF(AC469,IF(01_因子設定!$B$13="最大化",X469,IF(01_因子設定!$B$13="最小化",-X469,-ABS(X469-01_因子設定!$B$16))),-1E+030)</f>
        <v>44.1548474049708</v>
      </c>
      <c r="AF469" s="55" t="n">
        <f aca="false">AD469+ROW()*0.000000001</f>
        <v>-3.9124020333767</v>
      </c>
      <c r="AG469" s="55" t="n">
        <f aca="false">AE469+ROW()*0.000000001</f>
        <v>44.1548478739708</v>
      </c>
    </row>
    <row r="470" customFormat="false" ht="15" hidden="false" customHeight="false" outlineLevel="0" collapsed="false">
      <c r="A470" s="0" t="n">
        <v>0</v>
      </c>
      <c r="B470" s="0" t="n">
        <v>5</v>
      </c>
      <c r="C470" s="0" t="n">
        <v>6</v>
      </c>
      <c r="D470" s="0" t="n">
        <v>6</v>
      </c>
      <c r="E470" s="0" t="n">
        <f aca="false">-1+A470*0.25</f>
        <v>-1</v>
      </c>
      <c r="F470" s="0" t="n">
        <f aca="false">-1+B470*0.25</f>
        <v>0.25</v>
      </c>
      <c r="G470" s="0" t="n">
        <f aca="false">-1+C470*0.25</f>
        <v>0.5</v>
      </c>
      <c r="H470" s="0" t="n">
        <f aca="false">-1+D470*0.25</f>
        <v>0.5</v>
      </c>
      <c r="I470" s="0" t="n">
        <f aca="false">1</f>
        <v>1</v>
      </c>
      <c r="J470" s="0" t="n">
        <f aca="false">E470</f>
        <v>-1</v>
      </c>
      <c r="K470" s="0" t="n">
        <f aca="false">F470</f>
        <v>0.25</v>
      </c>
      <c r="L470" s="0" t="n">
        <f aca="false">G470</f>
        <v>0.5</v>
      </c>
      <c r="M470" s="0" t="n">
        <f aca="false">H470</f>
        <v>0.5</v>
      </c>
      <c r="N470" s="0" t="n">
        <f aca="false">E470*F470</f>
        <v>-0.25</v>
      </c>
      <c r="O470" s="0" t="n">
        <f aca="false">E470*G470</f>
        <v>-0.5</v>
      </c>
      <c r="P470" s="0" t="n">
        <f aca="false">E470*H470</f>
        <v>-0.5</v>
      </c>
      <c r="Q470" s="0" t="n">
        <f aca="false">F470*G470</f>
        <v>0.125</v>
      </c>
      <c r="R470" s="0" t="n">
        <f aca="false">F470*H470</f>
        <v>0.125</v>
      </c>
      <c r="S470" s="0" t="n">
        <f aca="false">G470*H470</f>
        <v>0.25</v>
      </c>
      <c r="T470" s="0" t="n">
        <f aca="false">E470*E470</f>
        <v>1</v>
      </c>
      <c r="U470" s="0" t="n">
        <f aca="false">F470*F470</f>
        <v>0.0625</v>
      </c>
      <c r="V470" s="0" t="n">
        <f aca="false">G470*G470</f>
        <v>0.25</v>
      </c>
      <c r="W470" s="0" t="n">
        <f aca="false">H470*H470</f>
        <v>0.25</v>
      </c>
      <c r="X470" s="0" t="n">
        <f aca="false">SUMPRODUCT(I470:W470,_XtX!$B$96:$P$96)</f>
        <v>44.1759320175439</v>
      </c>
      <c r="Y470" s="0" t="n">
        <f aca="false">SUMPRODUCT(MMULT(I470:W470,_XtX!$B$78:$P$92),I470:W470)</f>
        <v>0.428122715643275</v>
      </c>
      <c r="Z470" s="0" t="n">
        <f aca="false">04_回帰ANOVA!$K$19*04_回帰ANOVA!$K$14*SQRT(1+Y470)</f>
        <v>1.55769044623229</v>
      </c>
      <c r="AA470" s="0" t="n">
        <f aca="false">X470-Z470</f>
        <v>42.6182415713116</v>
      </c>
      <c r="AB470" s="0" t="n">
        <f aca="false">X470+Z470</f>
        <v>45.7336224637762</v>
      </c>
      <c r="AC470" s="54" t="b">
        <f aca="false">AND(E470&gt;=01_因子設定!$L$5-0.000000001,E470&lt;=01_因子設定!$M$5+0.000000001,F470&gt;=01_因子設定!$L$6-0.000000001,F470&lt;=01_因子設定!$M$6+0.000000001,G470&gt;=01_因子設定!$L$7-0.000000001,G470&lt;=01_因子設定!$M$7+0.000000001,H470&gt;=01_因子設定!$L$8-0.000000001,H470&lt;=01_因子設定!$M$8+0.000000001,IF(01_因子設定!$B$20="Box-Behnken",E470^2+F470^2+G470^2+H470^2&lt;=2+0.000000001,TRUE()))</f>
        <v>1</v>
      </c>
      <c r="AD470" s="55" t="n">
        <f aca="false">IF(AC470,IF(01_因子設定!$B$13="最大化",AA470-01_因子設定!$B$14,IF(01_因子設定!$B$13="最小化",01_因子設定!$B$15-AB470,MIN(AA470-01_因子設定!$B$14,01_因子設定!$B$15-AB470))),-1E+030)</f>
        <v>-3.8817584286884</v>
      </c>
      <c r="AE470" s="55" t="n">
        <f aca="false">IF(AC470,IF(01_因子設定!$B$13="最大化",X470,IF(01_因子設定!$B$13="最小化",-X470,-ABS(X470-01_因子設定!$B$16))),-1E+030)</f>
        <v>44.1759320175439</v>
      </c>
      <c r="AF470" s="55" t="n">
        <f aca="false">AD470+ROW()*0.000000001</f>
        <v>-3.8817579586884</v>
      </c>
      <c r="AG470" s="55" t="n">
        <f aca="false">AE470+ROW()*0.000000001</f>
        <v>44.1759324875439</v>
      </c>
    </row>
    <row r="471" customFormat="false" ht="15" hidden="false" customHeight="false" outlineLevel="0" collapsed="false">
      <c r="A471" s="0" t="n">
        <v>0</v>
      </c>
      <c r="B471" s="0" t="n">
        <v>5</v>
      </c>
      <c r="C471" s="0" t="n">
        <v>6</v>
      </c>
      <c r="D471" s="0" t="n">
        <v>7</v>
      </c>
      <c r="E471" s="0" t="n">
        <f aca="false">-1+A471*0.25</f>
        <v>-1</v>
      </c>
      <c r="F471" s="0" t="n">
        <f aca="false">-1+B471*0.25</f>
        <v>0.25</v>
      </c>
      <c r="G471" s="0" t="n">
        <f aca="false">-1+C471*0.25</f>
        <v>0.5</v>
      </c>
      <c r="H471" s="0" t="n">
        <f aca="false">-1+D471*0.25</f>
        <v>0.75</v>
      </c>
      <c r="I471" s="0" t="n">
        <f aca="false">1</f>
        <v>1</v>
      </c>
      <c r="J471" s="0" t="n">
        <f aca="false">E471</f>
        <v>-1</v>
      </c>
      <c r="K471" s="0" t="n">
        <f aca="false">F471</f>
        <v>0.25</v>
      </c>
      <c r="L471" s="0" t="n">
        <f aca="false">G471</f>
        <v>0.5</v>
      </c>
      <c r="M471" s="0" t="n">
        <f aca="false">H471</f>
        <v>0.75</v>
      </c>
      <c r="N471" s="0" t="n">
        <f aca="false">E471*F471</f>
        <v>-0.25</v>
      </c>
      <c r="O471" s="0" t="n">
        <f aca="false">E471*G471</f>
        <v>-0.5</v>
      </c>
      <c r="P471" s="0" t="n">
        <f aca="false">E471*H471</f>
        <v>-0.75</v>
      </c>
      <c r="Q471" s="0" t="n">
        <f aca="false">F471*G471</f>
        <v>0.125</v>
      </c>
      <c r="R471" s="0" t="n">
        <f aca="false">F471*H471</f>
        <v>0.1875</v>
      </c>
      <c r="S471" s="0" t="n">
        <f aca="false">G471*H471</f>
        <v>0.375</v>
      </c>
      <c r="T471" s="0" t="n">
        <f aca="false">E471*E471</f>
        <v>1</v>
      </c>
      <c r="U471" s="0" t="n">
        <f aca="false">F471*F471</f>
        <v>0.0625</v>
      </c>
      <c r="V471" s="0" t="n">
        <f aca="false">G471*G471</f>
        <v>0.25</v>
      </c>
      <c r="W471" s="0" t="n">
        <f aca="false">H471*H471</f>
        <v>0.5625</v>
      </c>
      <c r="X471" s="0" t="n">
        <f aca="false">SUMPRODUCT(I471:W471,_XtX!$B$96:$P$96)</f>
        <v>44.1492096125731</v>
      </c>
      <c r="Y471" s="0" t="n">
        <f aca="false">SUMPRODUCT(MMULT(I471:W471,_XtX!$B$78:$P$92),I471:W471)</f>
        <v>0.459125719572369</v>
      </c>
      <c r="Z471" s="0" t="n">
        <f aca="false">04_回帰ANOVA!$K$19*04_回帰ANOVA!$K$14*SQRT(1+Y471)</f>
        <v>1.57450755575573</v>
      </c>
      <c r="AA471" s="0" t="n">
        <f aca="false">X471-Z471</f>
        <v>42.5747020568174</v>
      </c>
      <c r="AB471" s="0" t="n">
        <f aca="false">X471+Z471</f>
        <v>45.7237171683289</v>
      </c>
      <c r="AC471" s="54" t="b">
        <f aca="false">AND(E471&gt;=01_因子設定!$L$5-0.000000001,E471&lt;=01_因子設定!$M$5+0.000000001,F471&gt;=01_因子設定!$L$6-0.000000001,F471&lt;=01_因子設定!$M$6+0.000000001,G471&gt;=01_因子設定!$L$7-0.000000001,G471&lt;=01_因子設定!$M$7+0.000000001,H471&gt;=01_因子設定!$L$8-0.000000001,H471&lt;=01_因子設定!$M$8+0.000000001,IF(01_因子設定!$B$20="Box-Behnken",E471^2+F471^2+G471^2+H471^2&lt;=2+0.000000001,TRUE()))</f>
        <v>1</v>
      </c>
      <c r="AD471" s="55" t="n">
        <f aca="false">IF(AC471,IF(01_因子設定!$B$13="最大化",AA471-01_因子設定!$B$14,IF(01_因子設定!$B$13="最小化",01_因子設定!$B$15-AB471,MIN(AA471-01_因子設定!$B$14,01_因子設定!$B$15-AB471))),-1E+030)</f>
        <v>-3.92529794318259</v>
      </c>
      <c r="AE471" s="55" t="n">
        <f aca="false">IF(AC471,IF(01_因子設定!$B$13="最大化",X471,IF(01_因子設定!$B$13="最小化",-X471,-ABS(X471-01_因子設定!$B$16))),-1E+030)</f>
        <v>44.1492096125731</v>
      </c>
      <c r="AF471" s="55" t="n">
        <f aca="false">AD471+ROW()*0.000000001</f>
        <v>-3.92529747218259</v>
      </c>
      <c r="AG471" s="55" t="n">
        <f aca="false">AE471+ROW()*0.000000001</f>
        <v>44.1492100835731</v>
      </c>
    </row>
    <row r="472" customFormat="false" ht="15" hidden="false" customHeight="false" outlineLevel="0" collapsed="false">
      <c r="A472" s="0" t="n">
        <v>0</v>
      </c>
      <c r="B472" s="0" t="n">
        <v>5</v>
      </c>
      <c r="C472" s="0" t="n">
        <v>6</v>
      </c>
      <c r="D472" s="0" t="n">
        <v>8</v>
      </c>
      <c r="E472" s="0" t="n">
        <f aca="false">-1+A472*0.25</f>
        <v>-1</v>
      </c>
      <c r="F472" s="0" t="n">
        <f aca="false">-1+B472*0.25</f>
        <v>0.25</v>
      </c>
      <c r="G472" s="0" t="n">
        <f aca="false">-1+C472*0.25</f>
        <v>0.5</v>
      </c>
      <c r="H472" s="0" t="n">
        <f aca="false">-1+D472*0.25</f>
        <v>1</v>
      </c>
      <c r="I472" s="0" t="n">
        <f aca="false">1</f>
        <v>1</v>
      </c>
      <c r="J472" s="0" t="n">
        <f aca="false">E472</f>
        <v>-1</v>
      </c>
      <c r="K472" s="0" t="n">
        <f aca="false">F472</f>
        <v>0.25</v>
      </c>
      <c r="L472" s="0" t="n">
        <f aca="false">G472</f>
        <v>0.5</v>
      </c>
      <c r="M472" s="0" t="n">
        <f aca="false">H472</f>
        <v>1</v>
      </c>
      <c r="N472" s="0" t="n">
        <f aca="false">E472*F472</f>
        <v>-0.25</v>
      </c>
      <c r="O472" s="0" t="n">
        <f aca="false">E472*G472</f>
        <v>-0.5</v>
      </c>
      <c r="P472" s="0" t="n">
        <f aca="false">E472*H472</f>
        <v>-1</v>
      </c>
      <c r="Q472" s="0" t="n">
        <f aca="false">F472*G472</f>
        <v>0.125</v>
      </c>
      <c r="R472" s="0" t="n">
        <f aca="false">F472*H472</f>
        <v>0.25</v>
      </c>
      <c r="S472" s="0" t="n">
        <f aca="false">G472*H472</f>
        <v>0.5</v>
      </c>
      <c r="T472" s="0" t="n">
        <f aca="false">E472*E472</f>
        <v>1</v>
      </c>
      <c r="U472" s="0" t="n">
        <f aca="false">F472*F472</f>
        <v>0.0625</v>
      </c>
      <c r="V472" s="0" t="n">
        <f aca="false">G472*G472</f>
        <v>0.25</v>
      </c>
      <c r="W472" s="0" t="n">
        <f aca="false">H472*H472</f>
        <v>1</v>
      </c>
      <c r="X472" s="0" t="n">
        <f aca="false">SUMPRODUCT(I472:W472,_XtX!$B$96:$P$96)</f>
        <v>44.0746801900585</v>
      </c>
      <c r="Y472" s="0" t="n">
        <f aca="false">SUMPRODUCT(MMULT(I472:W472,_XtX!$B$78:$P$92),I472:W472)</f>
        <v>0.629174661915205</v>
      </c>
      <c r="Z472" s="0" t="n">
        <f aca="false">04_回帰ANOVA!$K$19*04_回帰ANOVA!$K$14*SQRT(1+Y472)</f>
        <v>1.66372758058297</v>
      </c>
      <c r="AA472" s="0" t="n">
        <f aca="false">X472-Z472</f>
        <v>42.4109526094756</v>
      </c>
      <c r="AB472" s="0" t="n">
        <f aca="false">X472+Z472</f>
        <v>45.7384077706415</v>
      </c>
      <c r="AC472" s="54" t="b">
        <f aca="false">AND(E472&gt;=01_因子設定!$L$5-0.000000001,E472&lt;=01_因子設定!$M$5+0.000000001,F472&gt;=01_因子設定!$L$6-0.000000001,F472&lt;=01_因子設定!$M$6+0.000000001,G472&gt;=01_因子設定!$L$7-0.000000001,G472&lt;=01_因子設定!$M$7+0.000000001,H472&gt;=01_因子設定!$L$8-0.000000001,H472&lt;=01_因子設定!$M$8+0.000000001,IF(01_因子設定!$B$20="Box-Behnken",E472^2+F472^2+G472^2+H472^2&lt;=2+0.000000001,TRUE()))</f>
        <v>1</v>
      </c>
      <c r="AD472" s="55" t="n">
        <f aca="false">IF(AC472,IF(01_因子設定!$B$13="最大化",AA472-01_因子設定!$B$14,IF(01_因子設定!$B$13="最小化",01_因子設定!$B$15-AB472,MIN(AA472-01_因子設定!$B$14,01_因子設定!$B$15-AB472))),-1E+030)</f>
        <v>-4.08904739052443</v>
      </c>
      <c r="AE472" s="55" t="n">
        <f aca="false">IF(AC472,IF(01_因子設定!$B$13="最大化",X472,IF(01_因子設定!$B$13="最小化",-X472,-ABS(X472-01_因子設定!$B$16))),-1E+030)</f>
        <v>44.0746801900585</v>
      </c>
      <c r="AF472" s="55" t="n">
        <f aca="false">AD472+ROW()*0.000000001</f>
        <v>-4.08904691852443</v>
      </c>
      <c r="AG472" s="55" t="n">
        <f aca="false">AE472+ROW()*0.000000001</f>
        <v>44.0746806620586</v>
      </c>
    </row>
    <row r="473" customFormat="false" ht="15" hidden="false" customHeight="false" outlineLevel="0" collapsed="false">
      <c r="A473" s="0" t="n">
        <v>0</v>
      </c>
      <c r="B473" s="0" t="n">
        <v>5</v>
      </c>
      <c r="C473" s="0" t="n">
        <v>7</v>
      </c>
      <c r="D473" s="0" t="n">
        <v>0</v>
      </c>
      <c r="E473" s="0" t="n">
        <f aca="false">-1+A473*0.25</f>
        <v>-1</v>
      </c>
      <c r="F473" s="0" t="n">
        <f aca="false">-1+B473*0.25</f>
        <v>0.25</v>
      </c>
      <c r="G473" s="0" t="n">
        <f aca="false">-1+C473*0.25</f>
        <v>0.75</v>
      </c>
      <c r="H473" s="0" t="n">
        <f aca="false">-1+D473*0.25</f>
        <v>-1</v>
      </c>
      <c r="I473" s="0" t="n">
        <f aca="false">1</f>
        <v>1</v>
      </c>
      <c r="J473" s="0" t="n">
        <f aca="false">E473</f>
        <v>-1</v>
      </c>
      <c r="K473" s="0" t="n">
        <f aca="false">F473</f>
        <v>0.25</v>
      </c>
      <c r="L473" s="0" t="n">
        <f aca="false">G473</f>
        <v>0.75</v>
      </c>
      <c r="M473" s="0" t="n">
        <f aca="false">H473</f>
        <v>-1</v>
      </c>
      <c r="N473" s="0" t="n">
        <f aca="false">E473*F473</f>
        <v>-0.25</v>
      </c>
      <c r="O473" s="0" t="n">
        <f aca="false">E473*G473</f>
        <v>-0.75</v>
      </c>
      <c r="P473" s="0" t="n">
        <f aca="false">E473*H473</f>
        <v>1</v>
      </c>
      <c r="Q473" s="0" t="n">
        <f aca="false">F473*G473</f>
        <v>0.1875</v>
      </c>
      <c r="R473" s="0" t="n">
        <f aca="false">F473*H473</f>
        <v>-0.25</v>
      </c>
      <c r="S473" s="0" t="n">
        <f aca="false">G473*H473</f>
        <v>-0.75</v>
      </c>
      <c r="T473" s="0" t="n">
        <f aca="false">E473*E473</f>
        <v>1</v>
      </c>
      <c r="U473" s="0" t="n">
        <f aca="false">F473*F473</f>
        <v>0.0625</v>
      </c>
      <c r="V473" s="0" t="n">
        <f aca="false">G473*G473</f>
        <v>0.5625</v>
      </c>
      <c r="W473" s="0" t="n">
        <f aca="false">H473*H473</f>
        <v>1</v>
      </c>
      <c r="X473" s="0" t="n">
        <f aca="false">SUMPRODUCT(I473:W473,_XtX!$B$96:$P$96)</f>
        <v>43.4750411184211</v>
      </c>
      <c r="Y473" s="0" t="n">
        <f aca="false">SUMPRODUCT(MMULT(I473:W473,_XtX!$B$78:$P$92),I473:W473)</f>
        <v>0.621372155975877</v>
      </c>
      <c r="Z473" s="0" t="n">
        <f aca="false">04_回帰ANOVA!$K$19*04_回帰ANOVA!$K$14*SQRT(1+Y473)</f>
        <v>1.65973880499872</v>
      </c>
      <c r="AA473" s="0" t="n">
        <f aca="false">X473-Z473</f>
        <v>41.8153023134224</v>
      </c>
      <c r="AB473" s="0" t="n">
        <f aca="false">X473+Z473</f>
        <v>45.1347799234198</v>
      </c>
      <c r="AC473" s="54" t="b">
        <f aca="false">AND(E473&gt;=01_因子設定!$L$5-0.000000001,E473&lt;=01_因子設定!$M$5+0.000000001,F473&gt;=01_因子設定!$L$6-0.000000001,F473&lt;=01_因子設定!$M$6+0.000000001,G473&gt;=01_因子設定!$L$7-0.000000001,G473&lt;=01_因子設定!$M$7+0.000000001,H473&gt;=01_因子設定!$L$8-0.000000001,H473&lt;=01_因子設定!$M$8+0.000000001,IF(01_因子設定!$B$20="Box-Behnken",E473^2+F473^2+G473^2+H473^2&lt;=2+0.000000001,TRUE()))</f>
        <v>1</v>
      </c>
      <c r="AD473" s="55" t="n">
        <f aca="false">IF(AC473,IF(01_因子設定!$B$13="最大化",AA473-01_因子設定!$B$14,IF(01_因子設定!$B$13="最小化",01_因子設定!$B$15-AB473,MIN(AA473-01_因子設定!$B$14,01_因子設定!$B$15-AB473))),-1E+030)</f>
        <v>-4.6846976865776</v>
      </c>
      <c r="AE473" s="55" t="n">
        <f aca="false">IF(AC473,IF(01_因子設定!$B$13="最大化",X473,IF(01_因子設定!$B$13="最小化",-X473,-ABS(X473-01_因子設定!$B$16))),-1E+030)</f>
        <v>43.4750411184211</v>
      </c>
      <c r="AF473" s="55" t="n">
        <f aca="false">AD473+ROW()*0.000000001</f>
        <v>-4.6846972135776</v>
      </c>
      <c r="AG473" s="55" t="n">
        <f aca="false">AE473+ROW()*0.000000001</f>
        <v>43.4750415914211</v>
      </c>
    </row>
    <row r="474" customFormat="false" ht="15" hidden="false" customHeight="false" outlineLevel="0" collapsed="false">
      <c r="A474" s="0" t="n">
        <v>0</v>
      </c>
      <c r="B474" s="0" t="n">
        <v>5</v>
      </c>
      <c r="C474" s="0" t="n">
        <v>7</v>
      </c>
      <c r="D474" s="0" t="n">
        <v>1</v>
      </c>
      <c r="E474" s="0" t="n">
        <f aca="false">-1+A474*0.25</f>
        <v>-1</v>
      </c>
      <c r="F474" s="0" t="n">
        <f aca="false">-1+B474*0.25</f>
        <v>0.25</v>
      </c>
      <c r="G474" s="0" t="n">
        <f aca="false">-1+C474*0.25</f>
        <v>0.75</v>
      </c>
      <c r="H474" s="0" t="n">
        <f aca="false">-1+D474*0.25</f>
        <v>-0.75</v>
      </c>
      <c r="I474" s="0" t="n">
        <f aca="false">1</f>
        <v>1</v>
      </c>
      <c r="J474" s="0" t="n">
        <f aca="false">E474</f>
        <v>-1</v>
      </c>
      <c r="K474" s="0" t="n">
        <f aca="false">F474</f>
        <v>0.25</v>
      </c>
      <c r="L474" s="0" t="n">
        <f aca="false">G474</f>
        <v>0.75</v>
      </c>
      <c r="M474" s="0" t="n">
        <f aca="false">H474</f>
        <v>-0.75</v>
      </c>
      <c r="N474" s="0" t="n">
        <f aca="false">E474*F474</f>
        <v>-0.25</v>
      </c>
      <c r="O474" s="0" t="n">
        <f aca="false">E474*G474</f>
        <v>-0.75</v>
      </c>
      <c r="P474" s="0" t="n">
        <f aca="false">E474*H474</f>
        <v>0.75</v>
      </c>
      <c r="Q474" s="0" t="n">
        <f aca="false">F474*G474</f>
        <v>0.1875</v>
      </c>
      <c r="R474" s="0" t="n">
        <f aca="false">F474*H474</f>
        <v>-0.1875</v>
      </c>
      <c r="S474" s="0" t="n">
        <f aca="false">G474*H474</f>
        <v>-0.5625</v>
      </c>
      <c r="T474" s="0" t="n">
        <f aca="false">E474*E474</f>
        <v>1</v>
      </c>
      <c r="U474" s="0" t="n">
        <f aca="false">F474*F474</f>
        <v>0.0625</v>
      </c>
      <c r="V474" s="0" t="n">
        <f aca="false">G474*G474</f>
        <v>0.5625</v>
      </c>
      <c r="W474" s="0" t="n">
        <f aca="false">H474*H474</f>
        <v>0.5625</v>
      </c>
      <c r="X474" s="0" t="n">
        <f aca="false">SUMPRODUCT(I474:W474,_XtX!$B$96:$P$96)</f>
        <v>43.7531295687135</v>
      </c>
      <c r="Y474" s="0" t="n">
        <f aca="false">SUMPRODUCT(MMULT(I474:W474,_XtX!$B$78:$P$92),I474:W474)</f>
        <v>0.473959761056287</v>
      </c>
      <c r="Z474" s="0" t="n">
        <f aca="false">04_回帰ANOVA!$K$19*04_回帰ANOVA!$K$14*SQRT(1+Y474)</f>
        <v>1.58249084588329</v>
      </c>
      <c r="AA474" s="0" t="n">
        <f aca="false">X474-Z474</f>
        <v>42.1706387228302</v>
      </c>
      <c r="AB474" s="0" t="n">
        <f aca="false">X474+Z474</f>
        <v>45.3356204145968</v>
      </c>
      <c r="AC474" s="54" t="b">
        <f aca="false">AND(E474&gt;=01_因子設定!$L$5-0.000000001,E474&lt;=01_因子設定!$M$5+0.000000001,F474&gt;=01_因子設定!$L$6-0.000000001,F474&lt;=01_因子設定!$M$6+0.000000001,G474&gt;=01_因子設定!$L$7-0.000000001,G474&lt;=01_因子設定!$M$7+0.000000001,H474&gt;=01_因子設定!$L$8-0.000000001,H474&lt;=01_因子設定!$M$8+0.000000001,IF(01_因子設定!$B$20="Box-Behnken",E474^2+F474^2+G474^2+H474^2&lt;=2+0.000000001,TRUE()))</f>
        <v>1</v>
      </c>
      <c r="AD474" s="55" t="n">
        <f aca="false">IF(AC474,IF(01_因子設定!$B$13="最大化",AA474-01_因子設定!$B$14,IF(01_因子設定!$B$13="最小化",01_因子設定!$B$15-AB474,MIN(AA474-01_因子設定!$B$14,01_因子設定!$B$15-AB474))),-1E+030)</f>
        <v>-4.32936127716978</v>
      </c>
      <c r="AE474" s="55" t="n">
        <f aca="false">IF(AC474,IF(01_因子設定!$B$13="最大化",X474,IF(01_因子設定!$B$13="最小化",-X474,-ABS(X474-01_因子設定!$B$16))),-1E+030)</f>
        <v>43.7531295687135</v>
      </c>
      <c r="AF474" s="55" t="n">
        <f aca="false">AD474+ROW()*0.000000001</f>
        <v>-4.32936080316978</v>
      </c>
      <c r="AG474" s="55" t="n">
        <f aca="false">AE474+ROW()*0.000000001</f>
        <v>43.7531300427135</v>
      </c>
    </row>
    <row r="475" customFormat="false" ht="15" hidden="false" customHeight="false" outlineLevel="0" collapsed="false">
      <c r="A475" s="0" t="n">
        <v>0</v>
      </c>
      <c r="B475" s="0" t="n">
        <v>5</v>
      </c>
      <c r="C475" s="0" t="n">
        <v>7</v>
      </c>
      <c r="D475" s="0" t="n">
        <v>2</v>
      </c>
      <c r="E475" s="0" t="n">
        <f aca="false">-1+A475*0.25</f>
        <v>-1</v>
      </c>
      <c r="F475" s="0" t="n">
        <f aca="false">-1+B475*0.25</f>
        <v>0.25</v>
      </c>
      <c r="G475" s="0" t="n">
        <f aca="false">-1+C475*0.25</f>
        <v>0.75</v>
      </c>
      <c r="H475" s="0" t="n">
        <f aca="false">-1+D475*0.25</f>
        <v>-0.5</v>
      </c>
      <c r="I475" s="0" t="n">
        <f aca="false">1</f>
        <v>1</v>
      </c>
      <c r="J475" s="0" t="n">
        <f aca="false">E475</f>
        <v>-1</v>
      </c>
      <c r="K475" s="0" t="n">
        <f aca="false">F475</f>
        <v>0.25</v>
      </c>
      <c r="L475" s="0" t="n">
        <f aca="false">G475</f>
        <v>0.75</v>
      </c>
      <c r="M475" s="0" t="n">
        <f aca="false">H475</f>
        <v>-0.5</v>
      </c>
      <c r="N475" s="0" t="n">
        <f aca="false">E475*F475</f>
        <v>-0.25</v>
      </c>
      <c r="O475" s="0" t="n">
        <f aca="false">E475*G475</f>
        <v>-0.75</v>
      </c>
      <c r="P475" s="0" t="n">
        <f aca="false">E475*H475</f>
        <v>0.5</v>
      </c>
      <c r="Q475" s="0" t="n">
        <f aca="false">F475*G475</f>
        <v>0.1875</v>
      </c>
      <c r="R475" s="0" t="n">
        <f aca="false">F475*H475</f>
        <v>-0.125</v>
      </c>
      <c r="S475" s="0" t="n">
        <f aca="false">G475*H475</f>
        <v>-0.375</v>
      </c>
      <c r="T475" s="0" t="n">
        <f aca="false">E475*E475</f>
        <v>1</v>
      </c>
      <c r="U475" s="0" t="n">
        <f aca="false">F475*F475</f>
        <v>0.0625</v>
      </c>
      <c r="V475" s="0" t="n">
        <f aca="false">G475*G475</f>
        <v>0.5625</v>
      </c>
      <c r="W475" s="0" t="n">
        <f aca="false">H475*H475</f>
        <v>0.25</v>
      </c>
      <c r="X475" s="0" t="n">
        <f aca="false">SUMPRODUCT(I475:W475,_XtX!$B$96:$P$96)</f>
        <v>43.983411001462</v>
      </c>
      <c r="Y475" s="0" t="n">
        <f aca="false">SUMPRODUCT(MMULT(I475:W475,_XtX!$B$78:$P$92),I475:W475)</f>
        <v>0.459125719572369</v>
      </c>
      <c r="Z475" s="0" t="n">
        <f aca="false">04_回帰ANOVA!$K$19*04_回帰ANOVA!$K$14*SQRT(1+Y475)</f>
        <v>1.57450755575573</v>
      </c>
      <c r="AA475" s="0" t="n">
        <f aca="false">X475-Z475</f>
        <v>42.4089034457063</v>
      </c>
      <c r="AB475" s="0" t="n">
        <f aca="false">X475+Z475</f>
        <v>45.5579185572178</v>
      </c>
      <c r="AC475" s="54" t="b">
        <f aca="false">AND(E475&gt;=01_因子設定!$L$5-0.000000001,E475&lt;=01_因子設定!$M$5+0.000000001,F475&gt;=01_因子設定!$L$6-0.000000001,F475&lt;=01_因子設定!$M$6+0.000000001,G475&gt;=01_因子設定!$L$7-0.000000001,G475&lt;=01_因子設定!$M$7+0.000000001,H475&gt;=01_因子設定!$L$8-0.000000001,H475&lt;=01_因子設定!$M$8+0.000000001,IF(01_因子設定!$B$20="Box-Behnken",E475^2+F475^2+G475^2+H475^2&lt;=2+0.000000001,TRUE()))</f>
        <v>1</v>
      </c>
      <c r="AD475" s="55" t="n">
        <f aca="false">IF(AC475,IF(01_因子設定!$B$13="最大化",AA475-01_因子設定!$B$14,IF(01_因子設定!$B$13="最小化",01_因子設定!$B$15-AB475,MIN(AA475-01_因子設定!$B$14,01_因子設定!$B$15-AB475))),-1E+030)</f>
        <v>-4.09109655429371</v>
      </c>
      <c r="AE475" s="55" t="n">
        <f aca="false">IF(AC475,IF(01_因子設定!$B$13="最大化",X475,IF(01_因子設定!$B$13="最小化",-X475,-ABS(X475-01_因子設定!$B$16))),-1E+030)</f>
        <v>43.983411001462</v>
      </c>
      <c r="AF475" s="55" t="n">
        <f aca="false">AD475+ROW()*0.000000001</f>
        <v>-4.09109607929371</v>
      </c>
      <c r="AG475" s="55" t="n">
        <f aca="false">AE475+ROW()*0.000000001</f>
        <v>43.983411476462</v>
      </c>
    </row>
    <row r="476" customFormat="false" ht="15" hidden="false" customHeight="false" outlineLevel="0" collapsed="false">
      <c r="A476" s="0" t="n">
        <v>0</v>
      </c>
      <c r="B476" s="0" t="n">
        <v>5</v>
      </c>
      <c r="C476" s="0" t="n">
        <v>7</v>
      </c>
      <c r="D476" s="0" t="n">
        <v>3</v>
      </c>
      <c r="E476" s="0" t="n">
        <f aca="false">-1+A476*0.25</f>
        <v>-1</v>
      </c>
      <c r="F476" s="0" t="n">
        <f aca="false">-1+B476*0.25</f>
        <v>0.25</v>
      </c>
      <c r="G476" s="0" t="n">
        <f aca="false">-1+C476*0.25</f>
        <v>0.75</v>
      </c>
      <c r="H476" s="0" t="n">
        <f aca="false">-1+D476*0.25</f>
        <v>-0.25</v>
      </c>
      <c r="I476" s="0" t="n">
        <f aca="false">1</f>
        <v>1</v>
      </c>
      <c r="J476" s="0" t="n">
        <f aca="false">E476</f>
        <v>-1</v>
      </c>
      <c r="K476" s="0" t="n">
        <f aca="false">F476</f>
        <v>0.25</v>
      </c>
      <c r="L476" s="0" t="n">
        <f aca="false">G476</f>
        <v>0.75</v>
      </c>
      <c r="M476" s="0" t="n">
        <f aca="false">H476</f>
        <v>-0.25</v>
      </c>
      <c r="N476" s="0" t="n">
        <f aca="false">E476*F476</f>
        <v>-0.25</v>
      </c>
      <c r="O476" s="0" t="n">
        <f aca="false">E476*G476</f>
        <v>-0.75</v>
      </c>
      <c r="P476" s="0" t="n">
        <f aca="false">E476*H476</f>
        <v>0.25</v>
      </c>
      <c r="Q476" s="0" t="n">
        <f aca="false">F476*G476</f>
        <v>0.1875</v>
      </c>
      <c r="R476" s="0" t="n">
        <f aca="false">F476*H476</f>
        <v>-0.0625</v>
      </c>
      <c r="S476" s="0" t="n">
        <f aca="false">G476*H476</f>
        <v>-0.1875</v>
      </c>
      <c r="T476" s="0" t="n">
        <f aca="false">E476*E476</f>
        <v>1</v>
      </c>
      <c r="U476" s="0" t="n">
        <f aca="false">F476*F476</f>
        <v>0.0625</v>
      </c>
      <c r="V476" s="0" t="n">
        <f aca="false">G476*G476</f>
        <v>0.5625</v>
      </c>
      <c r="W476" s="0" t="n">
        <f aca="false">H476*H476</f>
        <v>0.0625</v>
      </c>
      <c r="X476" s="0" t="n">
        <f aca="false">SUMPRODUCT(I476:W476,_XtX!$B$96:$P$96)</f>
        <v>44.1658854166667</v>
      </c>
      <c r="Y476" s="0" t="n">
        <f aca="false">SUMPRODUCT(MMULT(I476:W476,_XtX!$B$78:$P$92),I476:W476)</f>
        <v>0.486409505208334</v>
      </c>
      <c r="Z476" s="0" t="n">
        <f aca="false">04_回帰ANOVA!$K$19*04_回帰ANOVA!$K$14*SQRT(1+Y476)</f>
        <v>1.58916001665498</v>
      </c>
      <c r="AA476" s="0" t="n">
        <f aca="false">X476-Z476</f>
        <v>42.5767254000117</v>
      </c>
      <c r="AB476" s="0" t="n">
        <f aca="false">X476+Z476</f>
        <v>45.7550454333217</v>
      </c>
      <c r="AC476" s="54" t="b">
        <f aca="false">AND(E476&gt;=01_因子設定!$L$5-0.000000001,E476&lt;=01_因子設定!$M$5+0.000000001,F476&gt;=01_因子設定!$L$6-0.000000001,F476&lt;=01_因子設定!$M$6+0.000000001,G476&gt;=01_因子設定!$L$7-0.000000001,G476&lt;=01_因子設定!$M$7+0.000000001,H476&gt;=01_因子設定!$L$8-0.000000001,H476&lt;=01_因子設定!$M$8+0.000000001,IF(01_因子設定!$B$20="Box-Behnken",E476^2+F476^2+G476^2+H476^2&lt;=2+0.000000001,TRUE()))</f>
        <v>1</v>
      </c>
      <c r="AD476" s="55" t="n">
        <f aca="false">IF(AC476,IF(01_因子設定!$B$13="最大化",AA476-01_因子設定!$B$14,IF(01_因子設定!$B$13="最小化",01_因子設定!$B$15-AB476,MIN(AA476-01_因子設定!$B$14,01_因子設定!$B$15-AB476))),-1E+030)</f>
        <v>-3.92327459998828</v>
      </c>
      <c r="AE476" s="55" t="n">
        <f aca="false">IF(AC476,IF(01_因子設定!$B$13="最大化",X476,IF(01_因子設定!$B$13="最小化",-X476,-ABS(X476-01_因子設定!$B$16))),-1E+030)</f>
        <v>44.1658854166667</v>
      </c>
      <c r="AF476" s="55" t="n">
        <f aca="false">AD476+ROW()*0.000000001</f>
        <v>-3.92327412398828</v>
      </c>
      <c r="AG476" s="55" t="n">
        <f aca="false">AE476+ROW()*0.000000001</f>
        <v>44.1658858926667</v>
      </c>
    </row>
    <row r="477" customFormat="false" ht="15" hidden="false" customHeight="false" outlineLevel="0" collapsed="false">
      <c r="A477" s="0" t="n">
        <v>0</v>
      </c>
      <c r="B477" s="0" t="n">
        <v>5</v>
      </c>
      <c r="C477" s="0" t="n">
        <v>7</v>
      </c>
      <c r="D477" s="0" t="n">
        <v>4</v>
      </c>
      <c r="E477" s="0" t="n">
        <f aca="false">-1+A477*0.25</f>
        <v>-1</v>
      </c>
      <c r="F477" s="0" t="n">
        <f aca="false">-1+B477*0.25</f>
        <v>0.25</v>
      </c>
      <c r="G477" s="0" t="n">
        <f aca="false">-1+C477*0.25</f>
        <v>0.75</v>
      </c>
      <c r="H477" s="0" t="n">
        <f aca="false">-1+D477*0.25</f>
        <v>0</v>
      </c>
      <c r="I477" s="0" t="n">
        <f aca="false">1</f>
        <v>1</v>
      </c>
      <c r="J477" s="0" t="n">
        <f aca="false">E477</f>
        <v>-1</v>
      </c>
      <c r="K477" s="0" t="n">
        <f aca="false">F477</f>
        <v>0.25</v>
      </c>
      <c r="L477" s="0" t="n">
        <f aca="false">G477</f>
        <v>0.75</v>
      </c>
      <c r="M477" s="0" t="n">
        <f aca="false">H477</f>
        <v>0</v>
      </c>
      <c r="N477" s="0" t="n">
        <f aca="false">E477*F477</f>
        <v>-0.25</v>
      </c>
      <c r="O477" s="0" t="n">
        <f aca="false">E477*G477</f>
        <v>-0.75</v>
      </c>
      <c r="P477" s="0" t="n">
        <f aca="false">E477*H477</f>
        <v>-0</v>
      </c>
      <c r="Q477" s="0" t="n">
        <f aca="false">F477*G477</f>
        <v>0.1875</v>
      </c>
      <c r="R477" s="0" t="n">
        <f aca="false">F477*H477</f>
        <v>0</v>
      </c>
      <c r="S477" s="0" t="n">
        <f aca="false">G477*H477</f>
        <v>0</v>
      </c>
      <c r="T477" s="0" t="n">
        <f aca="false">E477*E477</f>
        <v>1</v>
      </c>
      <c r="U477" s="0" t="n">
        <f aca="false">F477*F477</f>
        <v>0.0625</v>
      </c>
      <c r="V477" s="0" t="n">
        <f aca="false">G477*G477</f>
        <v>0.5625</v>
      </c>
      <c r="W477" s="0" t="n">
        <f aca="false">H477*H477</f>
        <v>0</v>
      </c>
      <c r="X477" s="0" t="n">
        <f aca="false">SUMPRODUCT(I477:W477,_XtX!$B$96:$P$96)</f>
        <v>44.3005528143275</v>
      </c>
      <c r="Y477" s="0" t="n">
        <f aca="false">SUMPRODUCT(MMULT(I477:W477,_XtX!$B$78:$P$92),I477:W477)</f>
        <v>0.501534802174708</v>
      </c>
      <c r="Z477" s="0" t="n">
        <f aca="false">04_回帰ANOVA!$K$19*04_回帰ANOVA!$K$14*SQRT(1+Y477)</f>
        <v>1.59722498091333</v>
      </c>
      <c r="AA477" s="0" t="n">
        <f aca="false">X477-Z477</f>
        <v>42.7033278334142</v>
      </c>
      <c r="AB477" s="0" t="n">
        <f aca="false">X477+Z477</f>
        <v>45.8977777952409</v>
      </c>
      <c r="AC477" s="54" t="b">
        <f aca="false">AND(E477&gt;=01_因子設定!$L$5-0.000000001,E477&lt;=01_因子設定!$M$5+0.000000001,F477&gt;=01_因子設定!$L$6-0.000000001,F477&lt;=01_因子設定!$M$6+0.000000001,G477&gt;=01_因子設定!$L$7-0.000000001,G477&lt;=01_因子設定!$M$7+0.000000001,H477&gt;=01_因子設定!$L$8-0.000000001,H477&lt;=01_因子設定!$M$8+0.000000001,IF(01_因子設定!$B$20="Box-Behnken",E477^2+F477^2+G477^2+H477^2&lt;=2+0.000000001,TRUE()))</f>
        <v>1</v>
      </c>
      <c r="AD477" s="55" t="n">
        <f aca="false">IF(AC477,IF(01_因子設定!$B$13="最大化",AA477-01_因子設定!$B$14,IF(01_因子設定!$B$13="最小化",01_因子設定!$B$15-AB477,MIN(AA477-01_因子設定!$B$14,01_因子設定!$B$15-AB477))),-1E+030)</f>
        <v>-3.79667216658581</v>
      </c>
      <c r="AE477" s="55" t="n">
        <f aca="false">IF(AC477,IF(01_因子設定!$B$13="最大化",X477,IF(01_因子設定!$B$13="最小化",-X477,-ABS(X477-01_因子設定!$B$16))),-1E+030)</f>
        <v>44.3005528143275</v>
      </c>
      <c r="AF477" s="55" t="n">
        <f aca="false">AD477+ROW()*0.000000001</f>
        <v>-3.79667168958581</v>
      </c>
      <c r="AG477" s="55" t="n">
        <f aca="false">AE477+ROW()*0.000000001</f>
        <v>44.3005532913275</v>
      </c>
    </row>
    <row r="478" customFormat="false" ht="15" hidden="false" customHeight="false" outlineLevel="0" collapsed="false">
      <c r="A478" s="0" t="n">
        <v>0</v>
      </c>
      <c r="B478" s="0" t="n">
        <v>5</v>
      </c>
      <c r="C478" s="0" t="n">
        <v>7</v>
      </c>
      <c r="D478" s="0" t="n">
        <v>5</v>
      </c>
      <c r="E478" s="0" t="n">
        <f aca="false">-1+A478*0.25</f>
        <v>-1</v>
      </c>
      <c r="F478" s="0" t="n">
        <f aca="false">-1+B478*0.25</f>
        <v>0.25</v>
      </c>
      <c r="G478" s="0" t="n">
        <f aca="false">-1+C478*0.25</f>
        <v>0.75</v>
      </c>
      <c r="H478" s="0" t="n">
        <f aca="false">-1+D478*0.25</f>
        <v>0.25</v>
      </c>
      <c r="I478" s="0" t="n">
        <f aca="false">1</f>
        <v>1</v>
      </c>
      <c r="J478" s="0" t="n">
        <f aca="false">E478</f>
        <v>-1</v>
      </c>
      <c r="K478" s="0" t="n">
        <f aca="false">F478</f>
        <v>0.25</v>
      </c>
      <c r="L478" s="0" t="n">
        <f aca="false">G478</f>
        <v>0.75</v>
      </c>
      <c r="M478" s="0" t="n">
        <f aca="false">H478</f>
        <v>0.25</v>
      </c>
      <c r="N478" s="0" t="n">
        <f aca="false">E478*F478</f>
        <v>-0.25</v>
      </c>
      <c r="O478" s="0" t="n">
        <f aca="false">E478*G478</f>
        <v>-0.75</v>
      </c>
      <c r="P478" s="0" t="n">
        <f aca="false">E478*H478</f>
        <v>-0.25</v>
      </c>
      <c r="Q478" s="0" t="n">
        <f aca="false">F478*G478</f>
        <v>0.1875</v>
      </c>
      <c r="R478" s="0" t="n">
        <f aca="false">F478*H478</f>
        <v>0.0625</v>
      </c>
      <c r="S478" s="0" t="n">
        <f aca="false">G478*H478</f>
        <v>0.1875</v>
      </c>
      <c r="T478" s="0" t="n">
        <f aca="false">E478*E478</f>
        <v>1</v>
      </c>
      <c r="U478" s="0" t="n">
        <f aca="false">F478*F478</f>
        <v>0.0625</v>
      </c>
      <c r="V478" s="0" t="n">
        <f aca="false">G478*G478</f>
        <v>0.5625</v>
      </c>
      <c r="W478" s="0" t="n">
        <f aca="false">H478*H478</f>
        <v>0.0625</v>
      </c>
      <c r="X478" s="0" t="n">
        <f aca="false">SUMPRODUCT(I478:W478,_XtX!$B$96:$P$96)</f>
        <v>44.3874131944445</v>
      </c>
      <c r="Y478" s="0" t="n">
        <f aca="false">SUMPRODUCT(MMULT(I478:W478,_XtX!$B$78:$P$92),I478:W478)</f>
        <v>0.486409505208334</v>
      </c>
      <c r="Z478" s="0" t="n">
        <f aca="false">04_回帰ANOVA!$K$19*04_回帰ANOVA!$K$14*SQRT(1+Y478)</f>
        <v>1.58916001665498</v>
      </c>
      <c r="AA478" s="0" t="n">
        <f aca="false">X478-Z478</f>
        <v>42.7982531777895</v>
      </c>
      <c r="AB478" s="0" t="n">
        <f aca="false">X478+Z478</f>
        <v>45.9765732110995</v>
      </c>
      <c r="AC478" s="54" t="b">
        <f aca="false">AND(E478&gt;=01_因子設定!$L$5-0.000000001,E478&lt;=01_因子設定!$M$5+0.000000001,F478&gt;=01_因子設定!$L$6-0.000000001,F478&lt;=01_因子設定!$M$6+0.000000001,G478&gt;=01_因子設定!$L$7-0.000000001,G478&lt;=01_因子設定!$M$7+0.000000001,H478&gt;=01_因子設定!$L$8-0.000000001,H478&lt;=01_因子設定!$M$8+0.000000001,IF(01_因子設定!$B$20="Box-Behnken",E478^2+F478^2+G478^2+H478^2&lt;=2+0.000000001,TRUE()))</f>
        <v>1</v>
      </c>
      <c r="AD478" s="55" t="n">
        <f aca="false">IF(AC478,IF(01_因子設定!$B$13="最大化",AA478-01_因子設定!$B$14,IF(01_因子設定!$B$13="最小化",01_因子設定!$B$15-AB478,MIN(AA478-01_因子設定!$B$14,01_因子設定!$B$15-AB478))),-1E+030)</f>
        <v>-3.7017468222105</v>
      </c>
      <c r="AE478" s="55" t="n">
        <f aca="false">IF(AC478,IF(01_因子設定!$B$13="最大化",X478,IF(01_因子設定!$B$13="最小化",-X478,-ABS(X478-01_因子設定!$B$16))),-1E+030)</f>
        <v>44.3874131944445</v>
      </c>
      <c r="AF478" s="55" t="n">
        <f aca="false">AD478+ROW()*0.000000001</f>
        <v>-3.7017463442105</v>
      </c>
      <c r="AG478" s="55" t="n">
        <f aca="false">AE478+ROW()*0.000000001</f>
        <v>44.3874136724445</v>
      </c>
    </row>
    <row r="479" customFormat="false" ht="15" hidden="false" customHeight="false" outlineLevel="0" collapsed="false">
      <c r="A479" s="0" t="n">
        <v>0</v>
      </c>
      <c r="B479" s="0" t="n">
        <v>5</v>
      </c>
      <c r="C479" s="0" t="n">
        <v>7</v>
      </c>
      <c r="D479" s="0" t="n">
        <v>6</v>
      </c>
      <c r="E479" s="0" t="n">
        <f aca="false">-1+A479*0.25</f>
        <v>-1</v>
      </c>
      <c r="F479" s="0" t="n">
        <f aca="false">-1+B479*0.25</f>
        <v>0.25</v>
      </c>
      <c r="G479" s="0" t="n">
        <f aca="false">-1+C479*0.25</f>
        <v>0.75</v>
      </c>
      <c r="H479" s="0" t="n">
        <f aca="false">-1+D479*0.25</f>
        <v>0.5</v>
      </c>
      <c r="I479" s="0" t="n">
        <f aca="false">1</f>
        <v>1</v>
      </c>
      <c r="J479" s="0" t="n">
        <f aca="false">E479</f>
        <v>-1</v>
      </c>
      <c r="K479" s="0" t="n">
        <f aca="false">F479</f>
        <v>0.25</v>
      </c>
      <c r="L479" s="0" t="n">
        <f aca="false">G479</f>
        <v>0.75</v>
      </c>
      <c r="M479" s="0" t="n">
        <f aca="false">H479</f>
        <v>0.5</v>
      </c>
      <c r="N479" s="0" t="n">
        <f aca="false">E479*F479</f>
        <v>-0.25</v>
      </c>
      <c r="O479" s="0" t="n">
        <f aca="false">E479*G479</f>
        <v>-0.75</v>
      </c>
      <c r="P479" s="0" t="n">
        <f aca="false">E479*H479</f>
        <v>-0.5</v>
      </c>
      <c r="Q479" s="0" t="n">
        <f aca="false">F479*G479</f>
        <v>0.1875</v>
      </c>
      <c r="R479" s="0" t="n">
        <f aca="false">F479*H479</f>
        <v>0.125</v>
      </c>
      <c r="S479" s="0" t="n">
        <f aca="false">G479*H479</f>
        <v>0.375</v>
      </c>
      <c r="T479" s="0" t="n">
        <f aca="false">E479*E479</f>
        <v>1</v>
      </c>
      <c r="U479" s="0" t="n">
        <f aca="false">F479*F479</f>
        <v>0.0625</v>
      </c>
      <c r="V479" s="0" t="n">
        <f aca="false">G479*G479</f>
        <v>0.5625</v>
      </c>
      <c r="W479" s="0" t="n">
        <f aca="false">H479*H479</f>
        <v>0.25</v>
      </c>
      <c r="X479" s="0" t="n">
        <f aca="false">SUMPRODUCT(I479:W479,_XtX!$B$96:$P$96)</f>
        <v>44.4264665570176</v>
      </c>
      <c r="Y479" s="0" t="n">
        <f aca="false">SUMPRODUCT(MMULT(I479:W479,_XtX!$B$78:$P$92),I479:W479)</f>
        <v>0.459125719572369</v>
      </c>
      <c r="Z479" s="0" t="n">
        <f aca="false">04_回帰ANOVA!$K$19*04_回帰ANOVA!$K$14*SQRT(1+Y479)</f>
        <v>1.57450755575573</v>
      </c>
      <c r="AA479" s="0" t="n">
        <f aca="false">X479-Z479</f>
        <v>42.8519590012619</v>
      </c>
      <c r="AB479" s="0" t="n">
        <f aca="false">X479+Z479</f>
        <v>46.0009741127733</v>
      </c>
      <c r="AC479" s="54" t="b">
        <f aca="false">AND(E479&gt;=01_因子設定!$L$5-0.000000001,E479&lt;=01_因子設定!$M$5+0.000000001,F479&gt;=01_因子設定!$L$6-0.000000001,F479&lt;=01_因子設定!$M$6+0.000000001,G479&gt;=01_因子設定!$L$7-0.000000001,G479&lt;=01_因子設定!$M$7+0.000000001,H479&gt;=01_因子設定!$L$8-0.000000001,H479&lt;=01_因子設定!$M$8+0.000000001,IF(01_因子設定!$B$20="Box-Behnken",E479^2+F479^2+G479^2+H479^2&lt;=2+0.000000001,TRUE()))</f>
        <v>1</v>
      </c>
      <c r="AD479" s="55" t="n">
        <f aca="false">IF(AC479,IF(01_因子設定!$B$13="最大化",AA479-01_因子設定!$B$14,IF(01_因子設定!$B$13="最小化",01_因子設定!$B$15-AB479,MIN(AA479-01_因子設定!$B$14,01_因子設定!$B$15-AB479))),-1E+030)</f>
        <v>-3.64804099873815</v>
      </c>
      <c r="AE479" s="55" t="n">
        <f aca="false">IF(AC479,IF(01_因子設定!$B$13="最大化",X479,IF(01_因子設定!$B$13="最小化",-X479,-ABS(X479-01_因子設定!$B$16))),-1E+030)</f>
        <v>44.4264665570176</v>
      </c>
      <c r="AF479" s="55" t="n">
        <f aca="false">AD479+ROW()*0.000000001</f>
        <v>-3.64804051973815</v>
      </c>
      <c r="AG479" s="55" t="n">
        <f aca="false">AE479+ROW()*0.000000001</f>
        <v>44.4264670360176</v>
      </c>
    </row>
    <row r="480" customFormat="false" ht="15" hidden="false" customHeight="false" outlineLevel="0" collapsed="false">
      <c r="A480" s="0" t="n">
        <v>0</v>
      </c>
      <c r="B480" s="0" t="n">
        <v>5</v>
      </c>
      <c r="C480" s="0" t="n">
        <v>7</v>
      </c>
      <c r="D480" s="0" t="n">
        <v>7</v>
      </c>
      <c r="E480" s="0" t="n">
        <f aca="false">-1+A480*0.25</f>
        <v>-1</v>
      </c>
      <c r="F480" s="0" t="n">
        <f aca="false">-1+B480*0.25</f>
        <v>0.25</v>
      </c>
      <c r="G480" s="0" t="n">
        <f aca="false">-1+C480*0.25</f>
        <v>0.75</v>
      </c>
      <c r="H480" s="0" t="n">
        <f aca="false">-1+D480*0.25</f>
        <v>0.75</v>
      </c>
      <c r="I480" s="0" t="n">
        <f aca="false">1</f>
        <v>1</v>
      </c>
      <c r="J480" s="0" t="n">
        <f aca="false">E480</f>
        <v>-1</v>
      </c>
      <c r="K480" s="0" t="n">
        <f aca="false">F480</f>
        <v>0.25</v>
      </c>
      <c r="L480" s="0" t="n">
        <f aca="false">G480</f>
        <v>0.75</v>
      </c>
      <c r="M480" s="0" t="n">
        <f aca="false">H480</f>
        <v>0.75</v>
      </c>
      <c r="N480" s="0" t="n">
        <f aca="false">E480*F480</f>
        <v>-0.25</v>
      </c>
      <c r="O480" s="0" t="n">
        <f aca="false">E480*G480</f>
        <v>-0.75</v>
      </c>
      <c r="P480" s="0" t="n">
        <f aca="false">E480*H480</f>
        <v>-0.75</v>
      </c>
      <c r="Q480" s="0" t="n">
        <f aca="false">F480*G480</f>
        <v>0.1875</v>
      </c>
      <c r="R480" s="0" t="n">
        <f aca="false">F480*H480</f>
        <v>0.1875</v>
      </c>
      <c r="S480" s="0" t="n">
        <f aca="false">G480*H480</f>
        <v>0.5625</v>
      </c>
      <c r="T480" s="0" t="n">
        <f aca="false">E480*E480</f>
        <v>1</v>
      </c>
      <c r="U480" s="0" t="n">
        <f aca="false">F480*F480</f>
        <v>0.0625</v>
      </c>
      <c r="V480" s="0" t="n">
        <f aca="false">G480*G480</f>
        <v>0.5625</v>
      </c>
      <c r="W480" s="0" t="n">
        <f aca="false">H480*H480</f>
        <v>0.5625</v>
      </c>
      <c r="X480" s="0" t="n">
        <f aca="false">SUMPRODUCT(I480:W480,_XtX!$B$96:$P$96)</f>
        <v>44.4177129020468</v>
      </c>
      <c r="Y480" s="0" t="n">
        <f aca="false">SUMPRODUCT(MMULT(I480:W480,_XtX!$B$78:$P$92),I480:W480)</f>
        <v>0.473959761056287</v>
      </c>
      <c r="Z480" s="0" t="n">
        <f aca="false">04_回帰ANOVA!$K$19*04_回帰ANOVA!$K$14*SQRT(1+Y480)</f>
        <v>1.58249084588329</v>
      </c>
      <c r="AA480" s="0" t="n">
        <f aca="false">X480-Z480</f>
        <v>42.8352220561635</v>
      </c>
      <c r="AB480" s="0" t="n">
        <f aca="false">X480+Z480</f>
        <v>46.0002037479301</v>
      </c>
      <c r="AC480" s="54" t="b">
        <f aca="false">AND(E480&gt;=01_因子設定!$L$5-0.000000001,E480&lt;=01_因子設定!$M$5+0.000000001,F480&gt;=01_因子設定!$L$6-0.000000001,F480&lt;=01_因子設定!$M$6+0.000000001,G480&gt;=01_因子設定!$L$7-0.000000001,G480&lt;=01_因子設定!$M$7+0.000000001,H480&gt;=01_因子設定!$L$8-0.000000001,H480&lt;=01_因子設定!$M$8+0.000000001,IF(01_因子設定!$B$20="Box-Behnken",E480^2+F480^2+G480^2+H480^2&lt;=2+0.000000001,TRUE()))</f>
        <v>1</v>
      </c>
      <c r="AD480" s="55" t="n">
        <f aca="false">IF(AC480,IF(01_因子設定!$B$13="最大化",AA480-01_因子設定!$B$14,IF(01_因子設定!$B$13="最小化",01_因子設定!$B$15-AB480,MIN(AA480-01_因子設定!$B$14,01_因子設定!$B$15-AB480))),-1E+030)</f>
        <v>-3.66477794383646</v>
      </c>
      <c r="AE480" s="55" t="n">
        <f aca="false">IF(AC480,IF(01_因子設定!$B$13="最大化",X480,IF(01_因子設定!$B$13="最小化",-X480,-ABS(X480-01_因子設定!$B$16))),-1E+030)</f>
        <v>44.4177129020468</v>
      </c>
      <c r="AF480" s="55" t="n">
        <f aca="false">AD480+ROW()*0.000000001</f>
        <v>-3.66477746383646</v>
      </c>
      <c r="AG480" s="55" t="n">
        <f aca="false">AE480+ROW()*0.000000001</f>
        <v>44.4177133820468</v>
      </c>
    </row>
    <row r="481" customFormat="false" ht="15" hidden="false" customHeight="false" outlineLevel="0" collapsed="false">
      <c r="A481" s="0" t="n">
        <v>0</v>
      </c>
      <c r="B481" s="0" t="n">
        <v>5</v>
      </c>
      <c r="C481" s="0" t="n">
        <v>7</v>
      </c>
      <c r="D481" s="0" t="n">
        <v>8</v>
      </c>
      <c r="E481" s="0" t="n">
        <f aca="false">-1+A481*0.25</f>
        <v>-1</v>
      </c>
      <c r="F481" s="0" t="n">
        <f aca="false">-1+B481*0.25</f>
        <v>0.25</v>
      </c>
      <c r="G481" s="0" t="n">
        <f aca="false">-1+C481*0.25</f>
        <v>0.75</v>
      </c>
      <c r="H481" s="0" t="n">
        <f aca="false">-1+D481*0.25</f>
        <v>1</v>
      </c>
      <c r="I481" s="0" t="n">
        <f aca="false">1</f>
        <v>1</v>
      </c>
      <c r="J481" s="0" t="n">
        <f aca="false">E481</f>
        <v>-1</v>
      </c>
      <c r="K481" s="0" t="n">
        <f aca="false">F481</f>
        <v>0.25</v>
      </c>
      <c r="L481" s="0" t="n">
        <f aca="false">G481</f>
        <v>0.75</v>
      </c>
      <c r="M481" s="0" t="n">
        <f aca="false">H481</f>
        <v>1</v>
      </c>
      <c r="N481" s="0" t="n">
        <f aca="false">E481*F481</f>
        <v>-0.25</v>
      </c>
      <c r="O481" s="0" t="n">
        <f aca="false">E481*G481</f>
        <v>-0.75</v>
      </c>
      <c r="P481" s="0" t="n">
        <f aca="false">E481*H481</f>
        <v>-1</v>
      </c>
      <c r="Q481" s="0" t="n">
        <f aca="false">F481*G481</f>
        <v>0.1875</v>
      </c>
      <c r="R481" s="0" t="n">
        <f aca="false">F481*H481</f>
        <v>0.25</v>
      </c>
      <c r="S481" s="0" t="n">
        <f aca="false">G481*H481</f>
        <v>0.75</v>
      </c>
      <c r="T481" s="0" t="n">
        <f aca="false">E481*E481</f>
        <v>1</v>
      </c>
      <c r="U481" s="0" t="n">
        <f aca="false">F481*F481</f>
        <v>0.0625</v>
      </c>
      <c r="V481" s="0" t="n">
        <f aca="false">G481*G481</f>
        <v>0.5625</v>
      </c>
      <c r="W481" s="0" t="n">
        <f aca="false">H481*H481</f>
        <v>1</v>
      </c>
      <c r="X481" s="0" t="n">
        <f aca="false">SUMPRODUCT(I481:W481,_XtX!$B$96:$P$96)</f>
        <v>44.3611522295322</v>
      </c>
      <c r="Y481" s="0" t="n">
        <f aca="false">SUMPRODUCT(MMULT(I481:W481,_XtX!$B$78:$P$92),I481:W481)</f>
        <v>0.621372155975877</v>
      </c>
      <c r="Z481" s="0" t="n">
        <f aca="false">04_回帰ANOVA!$K$19*04_回帰ANOVA!$K$14*SQRT(1+Y481)</f>
        <v>1.65973880499872</v>
      </c>
      <c r="AA481" s="0" t="n">
        <f aca="false">X481-Z481</f>
        <v>42.7014134245335</v>
      </c>
      <c r="AB481" s="0" t="n">
        <f aca="false">X481+Z481</f>
        <v>46.020891034531</v>
      </c>
      <c r="AC481" s="54" t="b">
        <f aca="false">AND(E481&gt;=01_因子設定!$L$5-0.000000001,E481&lt;=01_因子設定!$M$5+0.000000001,F481&gt;=01_因子設定!$L$6-0.000000001,F481&lt;=01_因子設定!$M$6+0.000000001,G481&gt;=01_因子設定!$L$7-0.000000001,G481&lt;=01_因子設定!$M$7+0.000000001,H481&gt;=01_因子設定!$L$8-0.000000001,H481&lt;=01_因子設定!$M$8+0.000000001,IF(01_因子設定!$B$20="Box-Behnken",E481^2+F481^2+G481^2+H481^2&lt;=2+0.000000001,TRUE()))</f>
        <v>1</v>
      </c>
      <c r="AD481" s="55" t="n">
        <f aca="false">IF(AC481,IF(01_因子設定!$B$13="最大化",AA481-01_因子設定!$B$14,IF(01_因子設定!$B$13="最小化",01_因子設定!$B$15-AB481,MIN(AA481-01_因子設定!$B$14,01_因子設定!$B$15-AB481))),-1E+030)</f>
        <v>-3.79858657546649</v>
      </c>
      <c r="AE481" s="55" t="n">
        <f aca="false">IF(AC481,IF(01_因子設定!$B$13="最大化",X481,IF(01_因子設定!$B$13="最小化",-X481,-ABS(X481-01_因子設定!$B$16))),-1E+030)</f>
        <v>44.3611522295322</v>
      </c>
      <c r="AF481" s="55" t="n">
        <f aca="false">AD481+ROW()*0.000000001</f>
        <v>-3.79858609446649</v>
      </c>
      <c r="AG481" s="55" t="n">
        <f aca="false">AE481+ROW()*0.000000001</f>
        <v>44.3611527105322</v>
      </c>
    </row>
    <row r="482" customFormat="false" ht="15" hidden="false" customHeight="false" outlineLevel="0" collapsed="false">
      <c r="A482" s="0" t="n">
        <v>0</v>
      </c>
      <c r="B482" s="0" t="n">
        <v>5</v>
      </c>
      <c r="C482" s="0" t="n">
        <v>8</v>
      </c>
      <c r="D482" s="0" t="n">
        <v>0</v>
      </c>
      <c r="E482" s="0" t="n">
        <f aca="false">-1+A482*0.25</f>
        <v>-1</v>
      </c>
      <c r="F482" s="0" t="n">
        <f aca="false">-1+B482*0.25</f>
        <v>0.25</v>
      </c>
      <c r="G482" s="0" t="n">
        <f aca="false">-1+C482*0.25</f>
        <v>1</v>
      </c>
      <c r="H482" s="0" t="n">
        <f aca="false">-1+D482*0.25</f>
        <v>-1</v>
      </c>
      <c r="I482" s="0" t="n">
        <f aca="false">1</f>
        <v>1</v>
      </c>
      <c r="J482" s="0" t="n">
        <f aca="false">E482</f>
        <v>-1</v>
      </c>
      <c r="K482" s="0" t="n">
        <f aca="false">F482</f>
        <v>0.25</v>
      </c>
      <c r="L482" s="0" t="n">
        <f aca="false">G482</f>
        <v>1</v>
      </c>
      <c r="M482" s="0" t="n">
        <f aca="false">H482</f>
        <v>-1</v>
      </c>
      <c r="N482" s="0" t="n">
        <f aca="false">E482*F482</f>
        <v>-0.25</v>
      </c>
      <c r="O482" s="0" t="n">
        <f aca="false">E482*G482</f>
        <v>-1</v>
      </c>
      <c r="P482" s="0" t="n">
        <f aca="false">E482*H482</f>
        <v>1</v>
      </c>
      <c r="Q482" s="0" t="n">
        <f aca="false">F482*G482</f>
        <v>0.25</v>
      </c>
      <c r="R482" s="0" t="n">
        <f aca="false">F482*H482</f>
        <v>-0.25</v>
      </c>
      <c r="S482" s="0" t="n">
        <f aca="false">G482*H482</f>
        <v>-1</v>
      </c>
      <c r="T482" s="0" t="n">
        <f aca="false">E482*E482</f>
        <v>1</v>
      </c>
      <c r="U482" s="0" t="n">
        <f aca="false">F482*F482</f>
        <v>0.0625</v>
      </c>
      <c r="V482" s="0" t="n">
        <f aca="false">G482*G482</f>
        <v>1</v>
      </c>
      <c r="W482" s="0" t="n">
        <f aca="false">H482*H482</f>
        <v>1</v>
      </c>
      <c r="X482" s="0" t="n">
        <f aca="false">SUMPRODUCT(I482:W482,_XtX!$B$96:$P$96)</f>
        <v>43.5324561403509</v>
      </c>
      <c r="Y482" s="0" t="n">
        <f aca="false">SUMPRODUCT(MMULT(I482:W482,_XtX!$B$78:$P$92),I482:W482)</f>
        <v>0.737093384502924</v>
      </c>
      <c r="Z482" s="0" t="n">
        <f aca="false">04_回帰ANOVA!$K$19*04_回帰ANOVA!$K$14*SQRT(1+Y482)</f>
        <v>1.71794784853551</v>
      </c>
      <c r="AA482" s="0" t="n">
        <f aca="false">X482-Z482</f>
        <v>41.8145082918154</v>
      </c>
      <c r="AB482" s="0" t="n">
        <f aca="false">X482+Z482</f>
        <v>45.2504039888865</v>
      </c>
      <c r="AC482" s="54" t="b">
        <f aca="false">AND(E482&gt;=01_因子設定!$L$5-0.000000001,E482&lt;=01_因子設定!$M$5+0.000000001,F482&gt;=01_因子設定!$L$6-0.000000001,F482&lt;=01_因子設定!$M$6+0.000000001,G482&gt;=01_因子設定!$L$7-0.000000001,G482&lt;=01_因子設定!$M$7+0.000000001,H482&gt;=01_因子設定!$L$8-0.000000001,H482&lt;=01_因子設定!$M$8+0.000000001,IF(01_因子設定!$B$20="Box-Behnken",E482^2+F482^2+G482^2+H482^2&lt;=2+0.000000001,TRUE()))</f>
        <v>1</v>
      </c>
      <c r="AD482" s="55" t="n">
        <f aca="false">IF(AC482,IF(01_因子設定!$B$13="最大化",AA482-01_因子設定!$B$14,IF(01_因子設定!$B$13="最小化",01_因子設定!$B$15-AB482,MIN(AA482-01_因子設定!$B$14,01_因子設定!$B$15-AB482))),-1E+030)</f>
        <v>-4.68549170818456</v>
      </c>
      <c r="AE482" s="55" t="n">
        <f aca="false">IF(AC482,IF(01_因子設定!$B$13="最大化",X482,IF(01_因子設定!$B$13="最小化",-X482,-ABS(X482-01_因子設定!$B$16))),-1E+030)</f>
        <v>43.5324561403509</v>
      </c>
      <c r="AF482" s="55" t="n">
        <f aca="false">AD482+ROW()*0.000000001</f>
        <v>-4.68549122618456</v>
      </c>
      <c r="AG482" s="55" t="n">
        <f aca="false">AE482+ROW()*0.000000001</f>
        <v>43.5324566223509</v>
      </c>
    </row>
    <row r="483" customFormat="false" ht="15" hidden="false" customHeight="false" outlineLevel="0" collapsed="false">
      <c r="A483" s="0" t="n">
        <v>0</v>
      </c>
      <c r="B483" s="0" t="n">
        <v>5</v>
      </c>
      <c r="C483" s="0" t="n">
        <v>8</v>
      </c>
      <c r="D483" s="0" t="n">
        <v>1</v>
      </c>
      <c r="E483" s="0" t="n">
        <f aca="false">-1+A483*0.25</f>
        <v>-1</v>
      </c>
      <c r="F483" s="0" t="n">
        <f aca="false">-1+B483*0.25</f>
        <v>0.25</v>
      </c>
      <c r="G483" s="0" t="n">
        <f aca="false">-1+C483*0.25</f>
        <v>1</v>
      </c>
      <c r="H483" s="0" t="n">
        <f aca="false">-1+D483*0.25</f>
        <v>-0.75</v>
      </c>
      <c r="I483" s="0" t="n">
        <f aca="false">1</f>
        <v>1</v>
      </c>
      <c r="J483" s="0" t="n">
        <f aca="false">E483</f>
        <v>-1</v>
      </c>
      <c r="K483" s="0" t="n">
        <f aca="false">F483</f>
        <v>0.25</v>
      </c>
      <c r="L483" s="0" t="n">
        <f aca="false">G483</f>
        <v>1</v>
      </c>
      <c r="M483" s="0" t="n">
        <f aca="false">H483</f>
        <v>-0.75</v>
      </c>
      <c r="N483" s="0" t="n">
        <f aca="false">E483*F483</f>
        <v>-0.25</v>
      </c>
      <c r="O483" s="0" t="n">
        <f aca="false">E483*G483</f>
        <v>-1</v>
      </c>
      <c r="P483" s="0" t="n">
        <f aca="false">E483*H483</f>
        <v>0.75</v>
      </c>
      <c r="Q483" s="0" t="n">
        <f aca="false">F483*G483</f>
        <v>0.25</v>
      </c>
      <c r="R483" s="0" t="n">
        <f aca="false">F483*H483</f>
        <v>-0.1875</v>
      </c>
      <c r="S483" s="0" t="n">
        <f aca="false">G483*H483</f>
        <v>-0.75</v>
      </c>
      <c r="T483" s="0" t="n">
        <f aca="false">E483*E483</f>
        <v>1</v>
      </c>
      <c r="U483" s="0" t="n">
        <f aca="false">F483*F483</f>
        <v>0.0625</v>
      </c>
      <c r="V483" s="0" t="n">
        <f aca="false">G483*G483</f>
        <v>1</v>
      </c>
      <c r="W483" s="0" t="n">
        <f aca="false">H483*H483</f>
        <v>0.5625</v>
      </c>
      <c r="X483" s="0" t="n">
        <f aca="false">SUMPRODUCT(I483:W483,_XtX!$B$96:$P$96)</f>
        <v>43.8285133406433</v>
      </c>
      <c r="Y483" s="0" t="n">
        <f aca="false">SUMPRODUCT(MMULT(I483:W483,_XtX!$B$78:$P$92),I483:W483)</f>
        <v>0.621372155975877</v>
      </c>
      <c r="Z483" s="0" t="n">
        <f aca="false">04_回帰ANOVA!$K$19*04_回帰ANOVA!$K$14*SQRT(1+Y483)</f>
        <v>1.65973880499872</v>
      </c>
      <c r="AA483" s="0" t="n">
        <f aca="false">X483-Z483</f>
        <v>42.1687745356446</v>
      </c>
      <c r="AB483" s="0" t="n">
        <f aca="false">X483+Z483</f>
        <v>45.488252145642</v>
      </c>
      <c r="AC483" s="54" t="b">
        <f aca="false">AND(E483&gt;=01_因子設定!$L$5-0.000000001,E483&lt;=01_因子設定!$M$5+0.000000001,F483&gt;=01_因子設定!$L$6-0.000000001,F483&lt;=01_因子設定!$M$6+0.000000001,G483&gt;=01_因子設定!$L$7-0.000000001,G483&lt;=01_因子設定!$M$7+0.000000001,H483&gt;=01_因子設定!$L$8-0.000000001,H483&lt;=01_因子設定!$M$8+0.000000001,IF(01_因子設定!$B$20="Box-Behnken",E483^2+F483^2+G483^2+H483^2&lt;=2+0.000000001,TRUE()))</f>
        <v>1</v>
      </c>
      <c r="AD483" s="55" t="n">
        <f aca="false">IF(AC483,IF(01_因子設定!$B$13="最大化",AA483-01_因子設定!$B$14,IF(01_因子設定!$B$13="最小化",01_因子設定!$B$15-AB483,MIN(AA483-01_因子設定!$B$14,01_因子設定!$B$15-AB483))),-1E+030)</f>
        <v>-4.33122546435539</v>
      </c>
      <c r="AE483" s="55" t="n">
        <f aca="false">IF(AC483,IF(01_因子設定!$B$13="最大化",X483,IF(01_因子設定!$B$13="最小化",-X483,-ABS(X483-01_因子設定!$B$16))),-1E+030)</f>
        <v>43.8285133406433</v>
      </c>
      <c r="AF483" s="55" t="n">
        <f aca="false">AD483+ROW()*0.000000001</f>
        <v>-4.33122498135539</v>
      </c>
      <c r="AG483" s="55" t="n">
        <f aca="false">AE483+ROW()*0.000000001</f>
        <v>43.8285138236433</v>
      </c>
    </row>
    <row r="484" customFormat="false" ht="15" hidden="false" customHeight="false" outlineLevel="0" collapsed="false">
      <c r="A484" s="0" t="n">
        <v>0</v>
      </c>
      <c r="B484" s="0" t="n">
        <v>5</v>
      </c>
      <c r="C484" s="0" t="n">
        <v>8</v>
      </c>
      <c r="D484" s="0" t="n">
        <v>2</v>
      </c>
      <c r="E484" s="0" t="n">
        <f aca="false">-1+A484*0.25</f>
        <v>-1</v>
      </c>
      <c r="F484" s="0" t="n">
        <f aca="false">-1+B484*0.25</f>
        <v>0.25</v>
      </c>
      <c r="G484" s="0" t="n">
        <f aca="false">-1+C484*0.25</f>
        <v>1</v>
      </c>
      <c r="H484" s="0" t="n">
        <f aca="false">-1+D484*0.25</f>
        <v>-0.5</v>
      </c>
      <c r="I484" s="0" t="n">
        <f aca="false">1</f>
        <v>1</v>
      </c>
      <c r="J484" s="0" t="n">
        <f aca="false">E484</f>
        <v>-1</v>
      </c>
      <c r="K484" s="0" t="n">
        <f aca="false">F484</f>
        <v>0.25</v>
      </c>
      <c r="L484" s="0" t="n">
        <f aca="false">G484</f>
        <v>1</v>
      </c>
      <c r="M484" s="0" t="n">
        <f aca="false">H484</f>
        <v>-0.5</v>
      </c>
      <c r="N484" s="0" t="n">
        <f aca="false">E484*F484</f>
        <v>-0.25</v>
      </c>
      <c r="O484" s="0" t="n">
        <f aca="false">E484*G484</f>
        <v>-1</v>
      </c>
      <c r="P484" s="0" t="n">
        <f aca="false">E484*H484</f>
        <v>0.5</v>
      </c>
      <c r="Q484" s="0" t="n">
        <f aca="false">F484*G484</f>
        <v>0.25</v>
      </c>
      <c r="R484" s="0" t="n">
        <f aca="false">F484*H484</f>
        <v>-0.125</v>
      </c>
      <c r="S484" s="0" t="n">
        <f aca="false">G484*H484</f>
        <v>-0.5</v>
      </c>
      <c r="T484" s="0" t="n">
        <f aca="false">E484*E484</f>
        <v>1</v>
      </c>
      <c r="U484" s="0" t="n">
        <f aca="false">F484*F484</f>
        <v>0.0625</v>
      </c>
      <c r="V484" s="0" t="n">
        <f aca="false">G484*G484</f>
        <v>1</v>
      </c>
      <c r="W484" s="0" t="n">
        <f aca="false">H484*H484</f>
        <v>0.25</v>
      </c>
      <c r="X484" s="0" t="n">
        <f aca="false">SUMPRODUCT(I484:W484,_XtX!$B$96:$P$96)</f>
        <v>44.0767635233919</v>
      </c>
      <c r="Y484" s="0" t="n">
        <f aca="false">SUMPRODUCT(MMULT(I484:W484,_XtX!$B$78:$P$92),I484:W484)</f>
        <v>0.629174661915205</v>
      </c>
      <c r="Z484" s="0" t="n">
        <f aca="false">04_回帰ANOVA!$K$19*04_回帰ANOVA!$K$14*SQRT(1+Y484)</f>
        <v>1.66372758058297</v>
      </c>
      <c r="AA484" s="0" t="n">
        <f aca="false">X484-Z484</f>
        <v>42.4130359428089</v>
      </c>
      <c r="AB484" s="0" t="n">
        <f aca="false">X484+Z484</f>
        <v>45.7404911039748</v>
      </c>
      <c r="AC484" s="54" t="b">
        <f aca="false">AND(E484&gt;=01_因子設定!$L$5-0.000000001,E484&lt;=01_因子設定!$M$5+0.000000001,F484&gt;=01_因子設定!$L$6-0.000000001,F484&lt;=01_因子設定!$M$6+0.000000001,G484&gt;=01_因子設定!$L$7-0.000000001,G484&lt;=01_因子設定!$M$7+0.000000001,H484&gt;=01_因子設定!$L$8-0.000000001,H484&lt;=01_因子設定!$M$8+0.000000001,IF(01_因子設定!$B$20="Box-Behnken",E484^2+F484^2+G484^2+H484^2&lt;=2+0.000000001,TRUE()))</f>
        <v>1</v>
      </c>
      <c r="AD484" s="55" t="n">
        <f aca="false">IF(AC484,IF(01_因子設定!$B$13="最大化",AA484-01_因子設定!$B$14,IF(01_因子設定!$B$13="最小化",01_因子設定!$B$15-AB484,MIN(AA484-01_因子設定!$B$14,01_因子設定!$B$15-AB484))),-1E+030)</f>
        <v>-4.08696405719112</v>
      </c>
      <c r="AE484" s="55" t="n">
        <f aca="false">IF(AC484,IF(01_因子設定!$B$13="最大化",X484,IF(01_因子設定!$B$13="最小化",-X484,-ABS(X484-01_因子設定!$B$16))),-1E+030)</f>
        <v>44.0767635233919</v>
      </c>
      <c r="AF484" s="55" t="n">
        <f aca="false">AD484+ROW()*0.000000001</f>
        <v>-4.08696357319112</v>
      </c>
      <c r="AG484" s="55" t="n">
        <f aca="false">AE484+ROW()*0.000000001</f>
        <v>44.0767640073919</v>
      </c>
    </row>
    <row r="485" customFormat="false" ht="15" hidden="false" customHeight="false" outlineLevel="0" collapsed="false">
      <c r="A485" s="0" t="n">
        <v>0</v>
      </c>
      <c r="B485" s="0" t="n">
        <v>5</v>
      </c>
      <c r="C485" s="0" t="n">
        <v>8</v>
      </c>
      <c r="D485" s="0" t="n">
        <v>3</v>
      </c>
      <c r="E485" s="0" t="n">
        <f aca="false">-1+A485*0.25</f>
        <v>-1</v>
      </c>
      <c r="F485" s="0" t="n">
        <f aca="false">-1+B485*0.25</f>
        <v>0.25</v>
      </c>
      <c r="G485" s="0" t="n">
        <f aca="false">-1+C485*0.25</f>
        <v>1</v>
      </c>
      <c r="H485" s="0" t="n">
        <f aca="false">-1+D485*0.25</f>
        <v>-0.25</v>
      </c>
      <c r="I485" s="0" t="n">
        <f aca="false">1</f>
        <v>1</v>
      </c>
      <c r="J485" s="0" t="n">
        <f aca="false">E485</f>
        <v>-1</v>
      </c>
      <c r="K485" s="0" t="n">
        <f aca="false">F485</f>
        <v>0.25</v>
      </c>
      <c r="L485" s="0" t="n">
        <f aca="false">G485</f>
        <v>1</v>
      </c>
      <c r="M485" s="0" t="n">
        <f aca="false">H485</f>
        <v>-0.25</v>
      </c>
      <c r="N485" s="0" t="n">
        <f aca="false">E485*F485</f>
        <v>-0.25</v>
      </c>
      <c r="O485" s="0" t="n">
        <f aca="false">E485*G485</f>
        <v>-1</v>
      </c>
      <c r="P485" s="0" t="n">
        <f aca="false">E485*H485</f>
        <v>0.25</v>
      </c>
      <c r="Q485" s="0" t="n">
        <f aca="false">F485*G485</f>
        <v>0.25</v>
      </c>
      <c r="R485" s="0" t="n">
        <f aca="false">F485*H485</f>
        <v>-0.0625</v>
      </c>
      <c r="S485" s="0" t="n">
        <f aca="false">G485*H485</f>
        <v>-0.25</v>
      </c>
      <c r="T485" s="0" t="n">
        <f aca="false">E485*E485</f>
        <v>1</v>
      </c>
      <c r="U485" s="0" t="n">
        <f aca="false">F485*F485</f>
        <v>0.0625</v>
      </c>
      <c r="V485" s="0" t="n">
        <f aca="false">G485*G485</f>
        <v>1</v>
      </c>
      <c r="W485" s="0" t="n">
        <f aca="false">H485*H485</f>
        <v>0.0625</v>
      </c>
      <c r="X485" s="0" t="n">
        <f aca="false">SUMPRODUCT(I485:W485,_XtX!$B$96:$P$96)</f>
        <v>44.2772066885965</v>
      </c>
      <c r="Y485" s="0" t="n">
        <f aca="false">SUMPRODUCT(MMULT(I485:W485,_XtX!$B$78:$P$92),I485:W485)</f>
        <v>0.670040376005117</v>
      </c>
      <c r="Z485" s="0" t="n">
        <f aca="false">04_回帰ANOVA!$K$19*04_回帰ANOVA!$K$14*SQRT(1+Y485)</f>
        <v>1.68446456039992</v>
      </c>
      <c r="AA485" s="0" t="n">
        <f aca="false">X485-Z485</f>
        <v>42.5927421281966</v>
      </c>
      <c r="AB485" s="0" t="n">
        <f aca="false">X485+Z485</f>
        <v>45.9616712489964</v>
      </c>
      <c r="AC485" s="54" t="b">
        <f aca="false">AND(E485&gt;=01_因子設定!$L$5-0.000000001,E485&lt;=01_因子設定!$M$5+0.000000001,F485&gt;=01_因子設定!$L$6-0.000000001,F485&lt;=01_因子設定!$M$6+0.000000001,G485&gt;=01_因子設定!$L$7-0.000000001,G485&lt;=01_因子設定!$M$7+0.000000001,H485&gt;=01_因子設定!$L$8-0.000000001,H485&lt;=01_因子設定!$M$8+0.000000001,IF(01_因子設定!$B$20="Box-Behnken",E485^2+F485^2+G485^2+H485^2&lt;=2+0.000000001,TRUE()))</f>
        <v>1</v>
      </c>
      <c r="AD485" s="55" t="n">
        <f aca="false">IF(AC485,IF(01_因子設定!$B$13="最大化",AA485-01_因子設定!$B$14,IF(01_因子設定!$B$13="最小化",01_因子設定!$B$15-AB485,MIN(AA485-01_因子設定!$B$14,01_因子設定!$B$15-AB485))),-1E+030)</f>
        <v>-3.9072578718034</v>
      </c>
      <c r="AE485" s="55" t="n">
        <f aca="false">IF(AC485,IF(01_因子設定!$B$13="最大化",X485,IF(01_因子設定!$B$13="最小化",-X485,-ABS(X485-01_因子設定!$B$16))),-1E+030)</f>
        <v>44.2772066885965</v>
      </c>
      <c r="AF485" s="55" t="n">
        <f aca="false">AD485+ROW()*0.000000001</f>
        <v>-3.9072573868034</v>
      </c>
      <c r="AG485" s="55" t="n">
        <f aca="false">AE485+ROW()*0.000000001</f>
        <v>44.2772071735965</v>
      </c>
    </row>
    <row r="486" customFormat="false" ht="15" hidden="false" customHeight="false" outlineLevel="0" collapsed="false">
      <c r="A486" s="0" t="n">
        <v>0</v>
      </c>
      <c r="B486" s="0" t="n">
        <v>5</v>
      </c>
      <c r="C486" s="0" t="n">
        <v>8</v>
      </c>
      <c r="D486" s="0" t="n">
        <v>4</v>
      </c>
      <c r="E486" s="0" t="n">
        <f aca="false">-1+A486*0.25</f>
        <v>-1</v>
      </c>
      <c r="F486" s="0" t="n">
        <f aca="false">-1+B486*0.25</f>
        <v>0.25</v>
      </c>
      <c r="G486" s="0" t="n">
        <f aca="false">-1+C486*0.25</f>
        <v>1</v>
      </c>
      <c r="H486" s="0" t="n">
        <f aca="false">-1+D486*0.25</f>
        <v>0</v>
      </c>
      <c r="I486" s="0" t="n">
        <f aca="false">1</f>
        <v>1</v>
      </c>
      <c r="J486" s="0" t="n">
        <f aca="false">E486</f>
        <v>-1</v>
      </c>
      <c r="K486" s="0" t="n">
        <f aca="false">F486</f>
        <v>0.25</v>
      </c>
      <c r="L486" s="0" t="n">
        <f aca="false">G486</f>
        <v>1</v>
      </c>
      <c r="M486" s="0" t="n">
        <f aca="false">H486</f>
        <v>0</v>
      </c>
      <c r="N486" s="0" t="n">
        <f aca="false">E486*F486</f>
        <v>-0.25</v>
      </c>
      <c r="O486" s="0" t="n">
        <f aca="false">E486*G486</f>
        <v>-1</v>
      </c>
      <c r="P486" s="0" t="n">
        <f aca="false">E486*H486</f>
        <v>-0</v>
      </c>
      <c r="Q486" s="0" t="n">
        <f aca="false">F486*G486</f>
        <v>0.25</v>
      </c>
      <c r="R486" s="0" t="n">
        <f aca="false">F486*H486</f>
        <v>0</v>
      </c>
      <c r="S486" s="0" t="n">
        <f aca="false">G486*H486</f>
        <v>0</v>
      </c>
      <c r="T486" s="0" t="n">
        <f aca="false">E486*E486</f>
        <v>1</v>
      </c>
      <c r="U486" s="0" t="n">
        <f aca="false">F486*F486</f>
        <v>0.0625</v>
      </c>
      <c r="V486" s="0" t="n">
        <f aca="false">G486*G486</f>
        <v>1</v>
      </c>
      <c r="W486" s="0" t="n">
        <f aca="false">H486*H486</f>
        <v>0</v>
      </c>
      <c r="X486" s="0" t="n">
        <f aca="false">SUMPRODUCT(I486:W486,_XtX!$B$96:$P$96)</f>
        <v>44.4298428362573</v>
      </c>
      <c r="Y486" s="0" t="n">
        <f aca="false">SUMPRODUCT(MMULT(I486:W486,_XtX!$B$78:$P$92),I486:W486)</f>
        <v>0.689692982456141</v>
      </c>
      <c r="Z486" s="0" t="n">
        <f aca="false">04_回帰ANOVA!$K$19*04_回帰ANOVA!$K$14*SQRT(1+Y486)</f>
        <v>1.69434674594998</v>
      </c>
      <c r="AA486" s="0" t="n">
        <f aca="false">X486-Z486</f>
        <v>42.7354960903074</v>
      </c>
      <c r="AB486" s="0" t="n">
        <f aca="false">X486+Z486</f>
        <v>46.1241895822073</v>
      </c>
      <c r="AC486" s="54" t="b">
        <f aca="false">AND(E486&gt;=01_因子設定!$L$5-0.000000001,E486&lt;=01_因子設定!$M$5+0.000000001,F486&gt;=01_因子設定!$L$6-0.000000001,F486&lt;=01_因子設定!$M$6+0.000000001,G486&gt;=01_因子設定!$L$7-0.000000001,G486&lt;=01_因子設定!$M$7+0.000000001,H486&gt;=01_因子設定!$L$8-0.000000001,H486&lt;=01_因子設定!$M$8+0.000000001,IF(01_因子設定!$B$20="Box-Behnken",E486^2+F486^2+G486^2+H486^2&lt;=2+0.000000001,TRUE()))</f>
        <v>1</v>
      </c>
      <c r="AD486" s="55" t="n">
        <f aca="false">IF(AC486,IF(01_因子設定!$B$13="最大化",AA486-01_因子設定!$B$14,IF(01_因子設定!$B$13="最小化",01_因子設定!$B$15-AB486,MIN(AA486-01_因子設定!$B$14,01_因子設定!$B$15-AB486))),-1E+030)</f>
        <v>-3.76450390969264</v>
      </c>
      <c r="AE486" s="55" t="n">
        <f aca="false">IF(AC486,IF(01_因子設定!$B$13="最大化",X486,IF(01_因子設定!$B$13="最小化",-X486,-ABS(X486-01_因子設定!$B$16))),-1E+030)</f>
        <v>44.4298428362573</v>
      </c>
      <c r="AF486" s="55" t="n">
        <f aca="false">AD486+ROW()*0.000000001</f>
        <v>-3.76450342369264</v>
      </c>
      <c r="AG486" s="55" t="n">
        <f aca="false">AE486+ROW()*0.000000001</f>
        <v>44.4298433222573</v>
      </c>
    </row>
    <row r="487" customFormat="false" ht="15" hidden="false" customHeight="false" outlineLevel="0" collapsed="false">
      <c r="A487" s="0" t="n">
        <v>0</v>
      </c>
      <c r="B487" s="0" t="n">
        <v>5</v>
      </c>
      <c r="C487" s="0" t="n">
        <v>8</v>
      </c>
      <c r="D487" s="0" t="n">
        <v>5</v>
      </c>
      <c r="E487" s="0" t="n">
        <f aca="false">-1+A487*0.25</f>
        <v>-1</v>
      </c>
      <c r="F487" s="0" t="n">
        <f aca="false">-1+B487*0.25</f>
        <v>0.25</v>
      </c>
      <c r="G487" s="0" t="n">
        <f aca="false">-1+C487*0.25</f>
        <v>1</v>
      </c>
      <c r="H487" s="0" t="n">
        <f aca="false">-1+D487*0.25</f>
        <v>0.25</v>
      </c>
      <c r="I487" s="0" t="n">
        <f aca="false">1</f>
        <v>1</v>
      </c>
      <c r="J487" s="0" t="n">
        <f aca="false">E487</f>
        <v>-1</v>
      </c>
      <c r="K487" s="0" t="n">
        <f aca="false">F487</f>
        <v>0.25</v>
      </c>
      <c r="L487" s="0" t="n">
        <f aca="false">G487</f>
        <v>1</v>
      </c>
      <c r="M487" s="0" t="n">
        <f aca="false">H487</f>
        <v>0.25</v>
      </c>
      <c r="N487" s="0" t="n">
        <f aca="false">E487*F487</f>
        <v>-0.25</v>
      </c>
      <c r="O487" s="0" t="n">
        <f aca="false">E487*G487</f>
        <v>-1</v>
      </c>
      <c r="P487" s="0" t="n">
        <f aca="false">E487*H487</f>
        <v>-0.25</v>
      </c>
      <c r="Q487" s="0" t="n">
        <f aca="false">F487*G487</f>
        <v>0.25</v>
      </c>
      <c r="R487" s="0" t="n">
        <f aca="false">F487*H487</f>
        <v>0.0625</v>
      </c>
      <c r="S487" s="0" t="n">
        <f aca="false">G487*H487</f>
        <v>0.25</v>
      </c>
      <c r="T487" s="0" t="n">
        <f aca="false">E487*E487</f>
        <v>1</v>
      </c>
      <c r="U487" s="0" t="n">
        <f aca="false">F487*F487</f>
        <v>0.0625</v>
      </c>
      <c r="V487" s="0" t="n">
        <f aca="false">G487*G487</f>
        <v>1</v>
      </c>
      <c r="W487" s="0" t="n">
        <f aca="false">H487*H487</f>
        <v>0.0625</v>
      </c>
      <c r="X487" s="0" t="n">
        <f aca="false">SUMPRODUCT(I487:W487,_XtX!$B$96:$P$96)</f>
        <v>44.5346719663743</v>
      </c>
      <c r="Y487" s="0" t="n">
        <f aca="false">SUMPRODUCT(MMULT(I487:W487,_XtX!$B$78:$P$92),I487:W487)</f>
        <v>0.670040376005117</v>
      </c>
      <c r="Z487" s="0" t="n">
        <f aca="false">04_回帰ANOVA!$K$19*04_回帰ANOVA!$K$14*SQRT(1+Y487)</f>
        <v>1.68446456039992</v>
      </c>
      <c r="AA487" s="0" t="n">
        <f aca="false">X487-Z487</f>
        <v>42.8502074059744</v>
      </c>
      <c r="AB487" s="0" t="n">
        <f aca="false">X487+Z487</f>
        <v>46.2191365267742</v>
      </c>
      <c r="AC487" s="54" t="b">
        <f aca="false">AND(E487&gt;=01_因子設定!$L$5-0.000000001,E487&lt;=01_因子設定!$M$5+0.000000001,F487&gt;=01_因子設定!$L$6-0.000000001,F487&lt;=01_因子設定!$M$6+0.000000001,G487&gt;=01_因子設定!$L$7-0.000000001,G487&lt;=01_因子設定!$M$7+0.000000001,H487&gt;=01_因子設定!$L$8-0.000000001,H487&lt;=01_因子設定!$M$8+0.000000001,IF(01_因子設定!$B$20="Box-Behnken",E487^2+F487^2+G487^2+H487^2&lt;=2+0.000000001,TRUE()))</f>
        <v>1</v>
      </c>
      <c r="AD487" s="55" t="n">
        <f aca="false">IF(AC487,IF(01_因子設定!$B$13="最大化",AA487-01_因子設定!$B$14,IF(01_因子設定!$B$13="最小化",01_因子設定!$B$15-AB487,MIN(AA487-01_因子設定!$B$14,01_因子設定!$B$15-AB487))),-1E+030)</f>
        <v>-3.64979259402561</v>
      </c>
      <c r="AE487" s="55" t="n">
        <f aca="false">IF(AC487,IF(01_因子設定!$B$13="最大化",X487,IF(01_因子設定!$B$13="最小化",-X487,-ABS(X487-01_因子設定!$B$16))),-1E+030)</f>
        <v>44.5346719663743</v>
      </c>
      <c r="AF487" s="55" t="n">
        <f aca="false">AD487+ROW()*0.000000001</f>
        <v>-3.64979210702561</v>
      </c>
      <c r="AG487" s="55" t="n">
        <f aca="false">AE487+ROW()*0.000000001</f>
        <v>44.5346724533743</v>
      </c>
    </row>
    <row r="488" customFormat="false" ht="15" hidden="false" customHeight="false" outlineLevel="0" collapsed="false">
      <c r="A488" s="0" t="n">
        <v>0</v>
      </c>
      <c r="B488" s="0" t="n">
        <v>5</v>
      </c>
      <c r="C488" s="0" t="n">
        <v>8</v>
      </c>
      <c r="D488" s="0" t="n">
        <v>6</v>
      </c>
      <c r="E488" s="0" t="n">
        <f aca="false">-1+A488*0.25</f>
        <v>-1</v>
      </c>
      <c r="F488" s="0" t="n">
        <f aca="false">-1+B488*0.25</f>
        <v>0.25</v>
      </c>
      <c r="G488" s="0" t="n">
        <f aca="false">-1+C488*0.25</f>
        <v>1</v>
      </c>
      <c r="H488" s="0" t="n">
        <f aca="false">-1+D488*0.25</f>
        <v>0.5</v>
      </c>
      <c r="I488" s="0" t="n">
        <f aca="false">1</f>
        <v>1</v>
      </c>
      <c r="J488" s="0" t="n">
        <f aca="false">E488</f>
        <v>-1</v>
      </c>
      <c r="K488" s="0" t="n">
        <f aca="false">F488</f>
        <v>0.25</v>
      </c>
      <c r="L488" s="0" t="n">
        <f aca="false">G488</f>
        <v>1</v>
      </c>
      <c r="M488" s="0" t="n">
        <f aca="false">H488</f>
        <v>0.5</v>
      </c>
      <c r="N488" s="0" t="n">
        <f aca="false">E488*F488</f>
        <v>-0.25</v>
      </c>
      <c r="O488" s="0" t="n">
        <f aca="false">E488*G488</f>
        <v>-1</v>
      </c>
      <c r="P488" s="0" t="n">
        <f aca="false">E488*H488</f>
        <v>-0.5</v>
      </c>
      <c r="Q488" s="0" t="n">
        <f aca="false">F488*G488</f>
        <v>0.25</v>
      </c>
      <c r="R488" s="0" t="n">
        <f aca="false">F488*H488</f>
        <v>0.125</v>
      </c>
      <c r="S488" s="0" t="n">
        <f aca="false">G488*H488</f>
        <v>0.5</v>
      </c>
      <c r="T488" s="0" t="n">
        <f aca="false">E488*E488</f>
        <v>1</v>
      </c>
      <c r="U488" s="0" t="n">
        <f aca="false">F488*F488</f>
        <v>0.0625</v>
      </c>
      <c r="V488" s="0" t="n">
        <f aca="false">G488*G488</f>
        <v>1</v>
      </c>
      <c r="W488" s="0" t="n">
        <f aca="false">H488*H488</f>
        <v>0.25</v>
      </c>
      <c r="X488" s="0" t="n">
        <f aca="false">SUMPRODUCT(I488:W488,_XtX!$B$96:$P$96)</f>
        <v>44.5916940789474</v>
      </c>
      <c r="Y488" s="0" t="n">
        <f aca="false">SUMPRODUCT(MMULT(I488:W488,_XtX!$B$78:$P$92),I488:W488)</f>
        <v>0.629174661915205</v>
      </c>
      <c r="Z488" s="0" t="n">
        <f aca="false">04_回帰ANOVA!$K$19*04_回帰ANOVA!$K$14*SQRT(1+Y488)</f>
        <v>1.66372758058297</v>
      </c>
      <c r="AA488" s="0" t="n">
        <f aca="false">X488-Z488</f>
        <v>42.9279664983644</v>
      </c>
      <c r="AB488" s="0" t="n">
        <f aca="false">X488+Z488</f>
        <v>46.2554216595304</v>
      </c>
      <c r="AC488" s="54" t="b">
        <f aca="false">AND(E488&gt;=01_因子設定!$L$5-0.000000001,E488&lt;=01_因子設定!$M$5+0.000000001,F488&gt;=01_因子設定!$L$6-0.000000001,F488&lt;=01_因子設定!$M$6+0.000000001,G488&gt;=01_因子設定!$L$7-0.000000001,G488&lt;=01_因子設定!$M$7+0.000000001,H488&gt;=01_因子設定!$L$8-0.000000001,H488&lt;=01_因子設定!$M$8+0.000000001,IF(01_因子設定!$B$20="Box-Behnken",E488^2+F488^2+G488^2+H488^2&lt;=2+0.000000001,TRUE()))</f>
        <v>1</v>
      </c>
      <c r="AD488" s="55" t="n">
        <f aca="false">IF(AC488,IF(01_因子設定!$B$13="最大化",AA488-01_因子設定!$B$14,IF(01_因子設定!$B$13="最小化",01_因子設定!$B$15-AB488,MIN(AA488-01_因子設定!$B$14,01_因子設定!$B$15-AB488))),-1E+030)</f>
        <v>-3.57203350163557</v>
      </c>
      <c r="AE488" s="55" t="n">
        <f aca="false">IF(AC488,IF(01_因子設定!$B$13="最大化",X488,IF(01_因子設定!$B$13="最小化",-X488,-ABS(X488-01_因子設定!$B$16))),-1E+030)</f>
        <v>44.5916940789474</v>
      </c>
      <c r="AF488" s="55" t="n">
        <f aca="false">AD488+ROW()*0.000000001</f>
        <v>-3.57203301363557</v>
      </c>
      <c r="AG488" s="55" t="n">
        <f aca="false">AE488+ROW()*0.000000001</f>
        <v>44.5916945669474</v>
      </c>
    </row>
    <row r="489" customFormat="false" ht="15" hidden="false" customHeight="false" outlineLevel="0" collapsed="false">
      <c r="A489" s="0" t="n">
        <v>0</v>
      </c>
      <c r="B489" s="0" t="n">
        <v>5</v>
      </c>
      <c r="C489" s="0" t="n">
        <v>8</v>
      </c>
      <c r="D489" s="0" t="n">
        <v>7</v>
      </c>
      <c r="E489" s="0" t="n">
        <f aca="false">-1+A489*0.25</f>
        <v>-1</v>
      </c>
      <c r="F489" s="0" t="n">
        <f aca="false">-1+B489*0.25</f>
        <v>0.25</v>
      </c>
      <c r="G489" s="0" t="n">
        <f aca="false">-1+C489*0.25</f>
        <v>1</v>
      </c>
      <c r="H489" s="0" t="n">
        <f aca="false">-1+D489*0.25</f>
        <v>0.75</v>
      </c>
      <c r="I489" s="0" t="n">
        <f aca="false">1</f>
        <v>1</v>
      </c>
      <c r="J489" s="0" t="n">
        <f aca="false">E489</f>
        <v>-1</v>
      </c>
      <c r="K489" s="0" t="n">
        <f aca="false">F489</f>
        <v>0.25</v>
      </c>
      <c r="L489" s="0" t="n">
        <f aca="false">G489</f>
        <v>1</v>
      </c>
      <c r="M489" s="0" t="n">
        <f aca="false">H489</f>
        <v>0.75</v>
      </c>
      <c r="N489" s="0" t="n">
        <f aca="false">E489*F489</f>
        <v>-0.25</v>
      </c>
      <c r="O489" s="0" t="n">
        <f aca="false">E489*G489</f>
        <v>-1</v>
      </c>
      <c r="P489" s="0" t="n">
        <f aca="false">E489*H489</f>
        <v>-0.75</v>
      </c>
      <c r="Q489" s="0" t="n">
        <f aca="false">F489*G489</f>
        <v>0.25</v>
      </c>
      <c r="R489" s="0" t="n">
        <f aca="false">F489*H489</f>
        <v>0.1875</v>
      </c>
      <c r="S489" s="0" t="n">
        <f aca="false">G489*H489</f>
        <v>0.75</v>
      </c>
      <c r="T489" s="0" t="n">
        <f aca="false">E489*E489</f>
        <v>1</v>
      </c>
      <c r="U489" s="0" t="n">
        <f aca="false">F489*F489</f>
        <v>0.0625</v>
      </c>
      <c r="V489" s="0" t="n">
        <f aca="false">G489*G489</f>
        <v>1</v>
      </c>
      <c r="W489" s="0" t="n">
        <f aca="false">H489*H489</f>
        <v>0.5625</v>
      </c>
      <c r="X489" s="0" t="n">
        <f aca="false">SUMPRODUCT(I489:W489,_XtX!$B$96:$P$96)</f>
        <v>44.6009091739767</v>
      </c>
      <c r="Y489" s="0" t="n">
        <f aca="false">SUMPRODUCT(MMULT(I489:W489,_XtX!$B$78:$P$92),I489:W489)</f>
        <v>0.621372155975877</v>
      </c>
      <c r="Z489" s="0" t="n">
        <f aca="false">04_回帰ANOVA!$K$19*04_回帰ANOVA!$K$14*SQRT(1+Y489)</f>
        <v>1.65973880499872</v>
      </c>
      <c r="AA489" s="0" t="n">
        <f aca="false">X489-Z489</f>
        <v>42.9411703689779</v>
      </c>
      <c r="AB489" s="0" t="n">
        <f aca="false">X489+Z489</f>
        <v>46.2606479789754</v>
      </c>
      <c r="AC489" s="54" t="b">
        <f aca="false">AND(E489&gt;=01_因子設定!$L$5-0.000000001,E489&lt;=01_因子設定!$M$5+0.000000001,F489&gt;=01_因子設定!$L$6-0.000000001,F489&lt;=01_因子設定!$M$6+0.000000001,G489&gt;=01_因子設定!$L$7-0.000000001,G489&lt;=01_因子設定!$M$7+0.000000001,H489&gt;=01_因子設定!$L$8-0.000000001,H489&lt;=01_因子設定!$M$8+0.000000001,IF(01_因子設定!$B$20="Box-Behnken",E489^2+F489^2+G489^2+H489^2&lt;=2+0.000000001,TRUE()))</f>
        <v>1</v>
      </c>
      <c r="AD489" s="55" t="n">
        <f aca="false">IF(AC489,IF(01_因子設定!$B$13="最大化",AA489-01_因子設定!$B$14,IF(01_因子設定!$B$13="最小化",01_因子設定!$B$15-AB489,MIN(AA489-01_因子設定!$B$14,01_因子設定!$B$15-AB489))),-1E+030)</f>
        <v>-3.55882963102206</v>
      </c>
      <c r="AE489" s="55" t="n">
        <f aca="false">IF(AC489,IF(01_因子設定!$B$13="最大化",X489,IF(01_因子設定!$B$13="最小化",-X489,-ABS(X489-01_因子設定!$B$16))),-1E+030)</f>
        <v>44.6009091739767</v>
      </c>
      <c r="AF489" s="55" t="n">
        <f aca="false">AD489+ROW()*0.000000001</f>
        <v>-3.55882914202206</v>
      </c>
      <c r="AG489" s="55" t="n">
        <f aca="false">AE489+ROW()*0.000000001</f>
        <v>44.6009096629767</v>
      </c>
    </row>
    <row r="490" customFormat="false" ht="15" hidden="false" customHeight="false" outlineLevel="0" collapsed="false">
      <c r="A490" s="0" t="n">
        <v>0</v>
      </c>
      <c r="B490" s="0" t="n">
        <v>5</v>
      </c>
      <c r="C490" s="0" t="n">
        <v>8</v>
      </c>
      <c r="D490" s="0" t="n">
        <v>8</v>
      </c>
      <c r="E490" s="0" t="n">
        <f aca="false">-1+A490*0.25</f>
        <v>-1</v>
      </c>
      <c r="F490" s="0" t="n">
        <f aca="false">-1+B490*0.25</f>
        <v>0.25</v>
      </c>
      <c r="G490" s="0" t="n">
        <f aca="false">-1+C490*0.25</f>
        <v>1</v>
      </c>
      <c r="H490" s="0" t="n">
        <f aca="false">-1+D490*0.25</f>
        <v>1</v>
      </c>
      <c r="I490" s="0" t="n">
        <f aca="false">1</f>
        <v>1</v>
      </c>
      <c r="J490" s="0" t="n">
        <f aca="false">E490</f>
        <v>-1</v>
      </c>
      <c r="K490" s="0" t="n">
        <f aca="false">F490</f>
        <v>0.25</v>
      </c>
      <c r="L490" s="0" t="n">
        <f aca="false">G490</f>
        <v>1</v>
      </c>
      <c r="M490" s="0" t="n">
        <f aca="false">H490</f>
        <v>1</v>
      </c>
      <c r="N490" s="0" t="n">
        <f aca="false">E490*F490</f>
        <v>-0.25</v>
      </c>
      <c r="O490" s="0" t="n">
        <f aca="false">E490*G490</f>
        <v>-1</v>
      </c>
      <c r="P490" s="0" t="n">
        <f aca="false">E490*H490</f>
        <v>-1</v>
      </c>
      <c r="Q490" s="0" t="n">
        <f aca="false">F490*G490</f>
        <v>0.25</v>
      </c>
      <c r="R490" s="0" t="n">
        <f aca="false">F490*H490</f>
        <v>0.25</v>
      </c>
      <c r="S490" s="0" t="n">
        <f aca="false">G490*H490</f>
        <v>1</v>
      </c>
      <c r="T490" s="0" t="n">
        <f aca="false">E490*E490</f>
        <v>1</v>
      </c>
      <c r="U490" s="0" t="n">
        <f aca="false">F490*F490</f>
        <v>0.0625</v>
      </c>
      <c r="V490" s="0" t="n">
        <f aca="false">G490*G490</f>
        <v>1</v>
      </c>
      <c r="W490" s="0" t="n">
        <f aca="false">H490*H490</f>
        <v>1</v>
      </c>
      <c r="X490" s="0" t="n">
        <f aca="false">SUMPRODUCT(I490:W490,_XtX!$B$96:$P$96)</f>
        <v>44.5623172514621</v>
      </c>
      <c r="Y490" s="0" t="n">
        <f aca="false">SUMPRODUCT(MMULT(I490:W490,_XtX!$B$78:$P$92),I490:W490)</f>
        <v>0.737093384502924</v>
      </c>
      <c r="Z490" s="0" t="n">
        <f aca="false">04_回帰ANOVA!$K$19*04_回帰ANOVA!$K$14*SQRT(1+Y490)</f>
        <v>1.71794784853551</v>
      </c>
      <c r="AA490" s="0" t="n">
        <f aca="false">X490-Z490</f>
        <v>42.8443694029266</v>
      </c>
      <c r="AB490" s="0" t="n">
        <f aca="false">X490+Z490</f>
        <v>46.2802650999976</v>
      </c>
      <c r="AC490" s="54" t="b">
        <f aca="false">AND(E490&gt;=01_因子設定!$L$5-0.000000001,E490&lt;=01_因子設定!$M$5+0.000000001,F490&gt;=01_因子設定!$L$6-0.000000001,F490&lt;=01_因子設定!$M$6+0.000000001,G490&gt;=01_因子設定!$L$7-0.000000001,G490&lt;=01_因子設定!$M$7+0.000000001,H490&gt;=01_因子設定!$L$8-0.000000001,H490&lt;=01_因子設定!$M$8+0.000000001,IF(01_因子設定!$B$20="Box-Behnken",E490^2+F490^2+G490^2+H490^2&lt;=2+0.000000001,TRUE()))</f>
        <v>1</v>
      </c>
      <c r="AD490" s="55" t="n">
        <f aca="false">IF(AC490,IF(01_因子設定!$B$13="最大化",AA490-01_因子設定!$B$14,IF(01_因子設定!$B$13="最小化",01_因子設定!$B$15-AB490,MIN(AA490-01_因子設定!$B$14,01_因子設定!$B$15-AB490))),-1E+030)</f>
        <v>-3.65563059707345</v>
      </c>
      <c r="AE490" s="55" t="n">
        <f aca="false">IF(AC490,IF(01_因子設定!$B$13="最大化",X490,IF(01_因子設定!$B$13="最小化",-X490,-ABS(X490-01_因子設定!$B$16))),-1E+030)</f>
        <v>44.5623172514621</v>
      </c>
      <c r="AF490" s="55" t="n">
        <f aca="false">AD490+ROW()*0.000000001</f>
        <v>-3.65563010707345</v>
      </c>
      <c r="AG490" s="55" t="n">
        <f aca="false">AE490+ROW()*0.000000001</f>
        <v>44.5623177414621</v>
      </c>
    </row>
    <row r="491" customFormat="false" ht="15" hidden="false" customHeight="false" outlineLevel="0" collapsed="false">
      <c r="A491" s="0" t="n">
        <v>0</v>
      </c>
      <c r="B491" s="0" t="n">
        <v>6</v>
      </c>
      <c r="C491" s="0" t="n">
        <v>0</v>
      </c>
      <c r="D491" s="0" t="n">
        <v>0</v>
      </c>
      <c r="E491" s="0" t="n">
        <f aca="false">-1+A491*0.25</f>
        <v>-1</v>
      </c>
      <c r="F491" s="0" t="n">
        <f aca="false">-1+B491*0.25</f>
        <v>0.5</v>
      </c>
      <c r="G491" s="0" t="n">
        <f aca="false">-1+C491*0.25</f>
        <v>-1</v>
      </c>
      <c r="H491" s="0" t="n">
        <f aca="false">-1+D491*0.25</f>
        <v>-1</v>
      </c>
      <c r="I491" s="0" t="n">
        <f aca="false">1</f>
        <v>1</v>
      </c>
      <c r="J491" s="0" t="n">
        <f aca="false">E491</f>
        <v>-1</v>
      </c>
      <c r="K491" s="0" t="n">
        <f aca="false">F491</f>
        <v>0.5</v>
      </c>
      <c r="L491" s="0" t="n">
        <f aca="false">G491</f>
        <v>-1</v>
      </c>
      <c r="M491" s="0" t="n">
        <f aca="false">H491</f>
        <v>-1</v>
      </c>
      <c r="N491" s="0" t="n">
        <f aca="false">E491*F491</f>
        <v>-0.5</v>
      </c>
      <c r="O491" s="0" t="n">
        <f aca="false">E491*G491</f>
        <v>1</v>
      </c>
      <c r="P491" s="0" t="n">
        <f aca="false">E491*H491</f>
        <v>1</v>
      </c>
      <c r="Q491" s="0" t="n">
        <f aca="false">F491*G491</f>
        <v>-0.5</v>
      </c>
      <c r="R491" s="0" t="n">
        <f aca="false">F491*H491</f>
        <v>-0.5</v>
      </c>
      <c r="S491" s="0" t="n">
        <f aca="false">G491*H491</f>
        <v>1</v>
      </c>
      <c r="T491" s="0" t="n">
        <f aca="false">E491*E491</f>
        <v>1</v>
      </c>
      <c r="U491" s="0" t="n">
        <f aca="false">F491*F491</f>
        <v>0.25</v>
      </c>
      <c r="V491" s="0" t="n">
        <f aca="false">G491*G491</f>
        <v>1</v>
      </c>
      <c r="W491" s="0" t="n">
        <f aca="false">H491*H491</f>
        <v>1</v>
      </c>
      <c r="X491" s="0" t="n">
        <f aca="false">SUMPRODUCT(I491:W491,_XtX!$B$96:$P$96)</f>
        <v>40.4176900584796</v>
      </c>
      <c r="Y491" s="0" t="n">
        <f aca="false">SUMPRODUCT(MMULT(I491:W491,_XtX!$B$78:$P$92),I491:W491)</f>
        <v>0.667123538011696</v>
      </c>
      <c r="Z491" s="0" t="n">
        <f aca="false">04_回帰ANOVA!$K$19*04_回帰ANOVA!$K$14*SQRT(1+Y491)</f>
        <v>1.68299290213005</v>
      </c>
      <c r="AA491" s="0" t="n">
        <f aca="false">X491-Z491</f>
        <v>38.7346971563496</v>
      </c>
      <c r="AB491" s="0" t="n">
        <f aca="false">X491+Z491</f>
        <v>42.1006829606097</v>
      </c>
      <c r="AC491" s="54" t="b">
        <f aca="false">AND(E491&gt;=01_因子設定!$L$5-0.000000001,E491&lt;=01_因子設定!$M$5+0.000000001,F491&gt;=01_因子設定!$L$6-0.000000001,F491&lt;=01_因子設定!$M$6+0.000000001,G491&gt;=01_因子設定!$L$7-0.000000001,G491&lt;=01_因子設定!$M$7+0.000000001,H491&gt;=01_因子設定!$L$8-0.000000001,H491&lt;=01_因子設定!$M$8+0.000000001,IF(01_因子設定!$B$20="Box-Behnken",E491^2+F491^2+G491^2+H491^2&lt;=2+0.000000001,TRUE()))</f>
        <v>1</v>
      </c>
      <c r="AD491" s="55" t="n">
        <f aca="false">IF(AC491,IF(01_因子設定!$B$13="最大化",AA491-01_因子設定!$B$14,IF(01_因子設定!$B$13="最小化",01_因子設定!$B$15-AB491,MIN(AA491-01_因子設定!$B$14,01_因子設定!$B$15-AB491))),-1E+030)</f>
        <v>-7.76530284365045</v>
      </c>
      <c r="AE491" s="55" t="n">
        <f aca="false">IF(AC491,IF(01_因子設定!$B$13="最大化",X491,IF(01_因子設定!$B$13="最小化",-X491,-ABS(X491-01_因子設定!$B$16))),-1E+030)</f>
        <v>40.4176900584796</v>
      </c>
      <c r="AF491" s="55" t="n">
        <f aca="false">AD491+ROW()*0.000000001</f>
        <v>-7.76530235265045</v>
      </c>
      <c r="AG491" s="55" t="n">
        <f aca="false">AE491+ROW()*0.000000001</f>
        <v>40.4176905494796</v>
      </c>
    </row>
    <row r="492" customFormat="false" ht="15" hidden="false" customHeight="false" outlineLevel="0" collapsed="false">
      <c r="A492" s="0" t="n">
        <v>0</v>
      </c>
      <c r="B492" s="0" t="n">
        <v>6</v>
      </c>
      <c r="C492" s="0" t="n">
        <v>0</v>
      </c>
      <c r="D492" s="0" t="n">
        <v>1</v>
      </c>
      <c r="E492" s="0" t="n">
        <f aca="false">-1+A492*0.25</f>
        <v>-1</v>
      </c>
      <c r="F492" s="0" t="n">
        <f aca="false">-1+B492*0.25</f>
        <v>0.5</v>
      </c>
      <c r="G492" s="0" t="n">
        <f aca="false">-1+C492*0.25</f>
        <v>-1</v>
      </c>
      <c r="H492" s="0" t="n">
        <f aca="false">-1+D492*0.25</f>
        <v>-0.75</v>
      </c>
      <c r="I492" s="0" t="n">
        <f aca="false">1</f>
        <v>1</v>
      </c>
      <c r="J492" s="0" t="n">
        <f aca="false">E492</f>
        <v>-1</v>
      </c>
      <c r="K492" s="0" t="n">
        <f aca="false">F492</f>
        <v>0.5</v>
      </c>
      <c r="L492" s="0" t="n">
        <f aca="false">G492</f>
        <v>-1</v>
      </c>
      <c r="M492" s="0" t="n">
        <f aca="false">H492</f>
        <v>-0.75</v>
      </c>
      <c r="N492" s="0" t="n">
        <f aca="false">E492*F492</f>
        <v>-0.5</v>
      </c>
      <c r="O492" s="0" t="n">
        <f aca="false">E492*G492</f>
        <v>1</v>
      </c>
      <c r="P492" s="0" t="n">
        <f aca="false">E492*H492</f>
        <v>0.75</v>
      </c>
      <c r="Q492" s="0" t="n">
        <f aca="false">F492*G492</f>
        <v>-0.5</v>
      </c>
      <c r="R492" s="0" t="n">
        <f aca="false">F492*H492</f>
        <v>-0.375</v>
      </c>
      <c r="S492" s="0" t="n">
        <f aca="false">G492*H492</f>
        <v>0.75</v>
      </c>
      <c r="T492" s="0" t="n">
        <f aca="false">E492*E492</f>
        <v>1</v>
      </c>
      <c r="U492" s="0" t="n">
        <f aca="false">F492*F492</f>
        <v>0.25</v>
      </c>
      <c r="V492" s="0" t="n">
        <f aca="false">G492*G492</f>
        <v>1</v>
      </c>
      <c r="W492" s="0" t="n">
        <f aca="false">H492*H492</f>
        <v>0.5625</v>
      </c>
      <c r="X492" s="0" t="n">
        <f aca="false">SUMPRODUCT(I492:W492,_XtX!$B$96:$P$96)</f>
        <v>40.556716008772</v>
      </c>
      <c r="Y492" s="0" t="n">
        <f aca="false">SUMPRODUCT(MMULT(I492:W492,_XtX!$B$78:$P$92),I492:W492)</f>
        <v>0.564984237938597</v>
      </c>
      <c r="Z492" s="0" t="n">
        <f aca="false">04_回帰ANOVA!$K$19*04_回帰ANOVA!$K$14*SQRT(1+Y492)</f>
        <v>1.63062229734503</v>
      </c>
      <c r="AA492" s="0" t="n">
        <f aca="false">X492-Z492</f>
        <v>38.9260937114269</v>
      </c>
      <c r="AB492" s="0" t="n">
        <f aca="false">X492+Z492</f>
        <v>42.187338306117</v>
      </c>
      <c r="AC492" s="54" t="b">
        <f aca="false">AND(E492&gt;=01_因子設定!$L$5-0.000000001,E492&lt;=01_因子設定!$M$5+0.000000001,F492&gt;=01_因子設定!$L$6-0.000000001,F492&lt;=01_因子設定!$M$6+0.000000001,G492&gt;=01_因子設定!$L$7-0.000000001,G492&lt;=01_因子設定!$M$7+0.000000001,H492&gt;=01_因子設定!$L$8-0.000000001,H492&lt;=01_因子設定!$M$8+0.000000001,IF(01_因子設定!$B$20="Box-Behnken",E492^2+F492^2+G492^2+H492^2&lt;=2+0.000000001,TRUE()))</f>
        <v>1</v>
      </c>
      <c r="AD492" s="55" t="n">
        <f aca="false">IF(AC492,IF(01_因子設定!$B$13="最大化",AA492-01_因子設定!$B$14,IF(01_因子設定!$B$13="最小化",01_因子設定!$B$15-AB492,MIN(AA492-01_因子設定!$B$14,01_因子設定!$B$15-AB492))),-1E+030)</f>
        <v>-7.57390628857306</v>
      </c>
      <c r="AE492" s="55" t="n">
        <f aca="false">IF(AC492,IF(01_因子設定!$B$13="最大化",X492,IF(01_因子設定!$B$13="最小化",-X492,-ABS(X492-01_因子設定!$B$16))),-1E+030)</f>
        <v>40.556716008772</v>
      </c>
      <c r="AF492" s="55" t="n">
        <f aca="false">AD492+ROW()*0.000000001</f>
        <v>-7.57390579657306</v>
      </c>
      <c r="AG492" s="55" t="n">
        <f aca="false">AE492+ROW()*0.000000001</f>
        <v>40.556716500772</v>
      </c>
    </row>
    <row r="493" customFormat="false" ht="15" hidden="false" customHeight="false" outlineLevel="0" collapsed="false">
      <c r="A493" s="0" t="n">
        <v>0</v>
      </c>
      <c r="B493" s="0" t="n">
        <v>6</v>
      </c>
      <c r="C493" s="0" t="n">
        <v>0</v>
      </c>
      <c r="D493" s="0" t="n">
        <v>2</v>
      </c>
      <c r="E493" s="0" t="n">
        <f aca="false">-1+A493*0.25</f>
        <v>-1</v>
      </c>
      <c r="F493" s="0" t="n">
        <f aca="false">-1+B493*0.25</f>
        <v>0.5</v>
      </c>
      <c r="G493" s="0" t="n">
        <f aca="false">-1+C493*0.25</f>
        <v>-1</v>
      </c>
      <c r="H493" s="0" t="n">
        <f aca="false">-1+D493*0.25</f>
        <v>-0.5</v>
      </c>
      <c r="I493" s="0" t="n">
        <f aca="false">1</f>
        <v>1</v>
      </c>
      <c r="J493" s="0" t="n">
        <f aca="false">E493</f>
        <v>-1</v>
      </c>
      <c r="K493" s="0" t="n">
        <f aca="false">F493</f>
        <v>0.5</v>
      </c>
      <c r="L493" s="0" t="n">
        <f aca="false">G493</f>
        <v>-1</v>
      </c>
      <c r="M493" s="0" t="n">
        <f aca="false">H493</f>
        <v>-0.5</v>
      </c>
      <c r="N493" s="0" t="n">
        <f aca="false">E493*F493</f>
        <v>-0.5</v>
      </c>
      <c r="O493" s="0" t="n">
        <f aca="false">E493*G493</f>
        <v>1</v>
      </c>
      <c r="P493" s="0" t="n">
        <f aca="false">E493*H493</f>
        <v>0.5</v>
      </c>
      <c r="Q493" s="0" t="n">
        <f aca="false">F493*G493</f>
        <v>-0.5</v>
      </c>
      <c r="R493" s="0" t="n">
        <f aca="false">F493*H493</f>
        <v>-0.25</v>
      </c>
      <c r="S493" s="0" t="n">
        <f aca="false">G493*H493</f>
        <v>0.5</v>
      </c>
      <c r="T493" s="0" t="n">
        <f aca="false">E493*E493</f>
        <v>1</v>
      </c>
      <c r="U493" s="0" t="n">
        <f aca="false">F493*F493</f>
        <v>0.25</v>
      </c>
      <c r="V493" s="0" t="n">
        <f aca="false">G493*G493</f>
        <v>1</v>
      </c>
      <c r="W493" s="0" t="n">
        <f aca="false">H493*H493</f>
        <v>0.25</v>
      </c>
      <c r="X493" s="0" t="n">
        <f aca="false">SUMPRODUCT(I493:W493,_XtX!$B$96:$P$96)</f>
        <v>40.6479349415205</v>
      </c>
      <c r="Y493" s="0" t="n">
        <f aca="false">SUMPRODUCT(MMULT(I493:W493,_XtX!$B$78:$P$92),I493:W493)</f>
        <v>0.582488121345029</v>
      </c>
      <c r="Z493" s="0" t="n">
        <f aca="false">04_回帰ANOVA!$K$19*04_回帰ANOVA!$K$14*SQRT(1+Y493)</f>
        <v>1.63971595338287</v>
      </c>
      <c r="AA493" s="0" t="n">
        <f aca="false">X493-Z493</f>
        <v>39.0082189881376</v>
      </c>
      <c r="AB493" s="0" t="n">
        <f aca="false">X493+Z493</f>
        <v>42.2876508949034</v>
      </c>
      <c r="AC493" s="54" t="b">
        <f aca="false">AND(E493&gt;=01_因子設定!$L$5-0.000000001,E493&lt;=01_因子設定!$M$5+0.000000001,F493&gt;=01_因子設定!$L$6-0.000000001,F493&lt;=01_因子設定!$M$6+0.000000001,G493&gt;=01_因子設定!$L$7-0.000000001,G493&lt;=01_因子設定!$M$7+0.000000001,H493&gt;=01_因子設定!$L$8-0.000000001,H493&lt;=01_因子設定!$M$8+0.000000001,IF(01_因子設定!$B$20="Box-Behnken",E493^2+F493^2+G493^2+H493^2&lt;=2+0.000000001,TRUE()))</f>
        <v>1</v>
      </c>
      <c r="AD493" s="55" t="n">
        <f aca="false">IF(AC493,IF(01_因子設定!$B$13="最大化",AA493-01_因子設定!$B$14,IF(01_因子設定!$B$13="最小化",01_因子設定!$B$15-AB493,MIN(AA493-01_因子設定!$B$14,01_因子設定!$B$15-AB493))),-1E+030)</f>
        <v>-7.49178101186236</v>
      </c>
      <c r="AE493" s="55" t="n">
        <f aca="false">IF(AC493,IF(01_因子設定!$B$13="最大化",X493,IF(01_因子設定!$B$13="最小化",-X493,-ABS(X493-01_因子設定!$B$16))),-1E+030)</f>
        <v>40.6479349415205</v>
      </c>
      <c r="AF493" s="55" t="n">
        <f aca="false">AD493+ROW()*0.000000001</f>
        <v>-7.49178051886236</v>
      </c>
      <c r="AG493" s="55" t="n">
        <f aca="false">AE493+ROW()*0.000000001</f>
        <v>40.6479354345205</v>
      </c>
    </row>
    <row r="494" customFormat="false" ht="15" hidden="false" customHeight="false" outlineLevel="0" collapsed="false">
      <c r="A494" s="0" t="n">
        <v>0</v>
      </c>
      <c r="B494" s="0" t="n">
        <v>6</v>
      </c>
      <c r="C494" s="0" t="n">
        <v>0</v>
      </c>
      <c r="D494" s="0" t="n">
        <v>3</v>
      </c>
      <c r="E494" s="0" t="n">
        <f aca="false">-1+A494*0.25</f>
        <v>-1</v>
      </c>
      <c r="F494" s="0" t="n">
        <f aca="false">-1+B494*0.25</f>
        <v>0.5</v>
      </c>
      <c r="G494" s="0" t="n">
        <f aca="false">-1+C494*0.25</f>
        <v>-1</v>
      </c>
      <c r="H494" s="0" t="n">
        <f aca="false">-1+D494*0.25</f>
        <v>-0.25</v>
      </c>
      <c r="I494" s="0" t="n">
        <f aca="false">1</f>
        <v>1</v>
      </c>
      <c r="J494" s="0" t="n">
        <f aca="false">E494</f>
        <v>-1</v>
      </c>
      <c r="K494" s="0" t="n">
        <f aca="false">F494</f>
        <v>0.5</v>
      </c>
      <c r="L494" s="0" t="n">
        <f aca="false">G494</f>
        <v>-1</v>
      </c>
      <c r="M494" s="0" t="n">
        <f aca="false">H494</f>
        <v>-0.25</v>
      </c>
      <c r="N494" s="0" t="n">
        <f aca="false">E494*F494</f>
        <v>-0.5</v>
      </c>
      <c r="O494" s="0" t="n">
        <f aca="false">E494*G494</f>
        <v>1</v>
      </c>
      <c r="P494" s="0" t="n">
        <f aca="false">E494*H494</f>
        <v>0.25</v>
      </c>
      <c r="Q494" s="0" t="n">
        <f aca="false">F494*G494</f>
        <v>-0.5</v>
      </c>
      <c r="R494" s="0" t="n">
        <f aca="false">F494*H494</f>
        <v>-0.125</v>
      </c>
      <c r="S494" s="0" t="n">
        <f aca="false">G494*H494</f>
        <v>0.25</v>
      </c>
      <c r="T494" s="0" t="n">
        <f aca="false">E494*E494</f>
        <v>1</v>
      </c>
      <c r="U494" s="0" t="n">
        <f aca="false">F494*F494</f>
        <v>0.25</v>
      </c>
      <c r="V494" s="0" t="n">
        <f aca="false">G494*G494</f>
        <v>1</v>
      </c>
      <c r="W494" s="0" t="n">
        <f aca="false">H494*H494</f>
        <v>0.0625</v>
      </c>
      <c r="X494" s="0" t="n">
        <f aca="false">SUMPRODUCT(I494:W494,_XtX!$B$96:$P$96)</f>
        <v>40.6913468567252</v>
      </c>
      <c r="Y494" s="0" t="n">
        <f aca="false">SUMPRODUCT(MMULT(I494:W494,_XtX!$B$78:$P$92),I494:W494)</f>
        <v>0.629174661915205</v>
      </c>
      <c r="Z494" s="0" t="n">
        <f aca="false">04_回帰ANOVA!$K$19*04_回帰ANOVA!$K$14*SQRT(1+Y494)</f>
        <v>1.66372758058297</v>
      </c>
      <c r="AA494" s="0" t="n">
        <f aca="false">X494-Z494</f>
        <v>39.0276192761422</v>
      </c>
      <c r="AB494" s="0" t="n">
        <f aca="false">X494+Z494</f>
        <v>42.3550744373082</v>
      </c>
      <c r="AC494" s="54" t="b">
        <f aca="false">AND(E494&gt;=01_因子設定!$L$5-0.000000001,E494&lt;=01_因子設定!$M$5+0.000000001,F494&gt;=01_因子設定!$L$6-0.000000001,F494&lt;=01_因子設定!$M$6+0.000000001,G494&gt;=01_因子設定!$L$7-0.000000001,G494&lt;=01_因子設定!$M$7+0.000000001,H494&gt;=01_因子設定!$L$8-0.000000001,H494&lt;=01_因子設定!$M$8+0.000000001,IF(01_因子設定!$B$20="Box-Behnken",E494^2+F494^2+G494^2+H494^2&lt;=2+0.000000001,TRUE()))</f>
        <v>1</v>
      </c>
      <c r="AD494" s="55" t="n">
        <f aca="false">IF(AC494,IF(01_因子設定!$B$13="最大化",AA494-01_因子設定!$B$14,IF(01_因子設定!$B$13="最小化",01_因子設定!$B$15-AB494,MIN(AA494-01_因子設定!$B$14,01_因子設定!$B$15-AB494))),-1E+030)</f>
        <v>-7.4723807238578</v>
      </c>
      <c r="AE494" s="55" t="n">
        <f aca="false">IF(AC494,IF(01_因子設定!$B$13="最大化",X494,IF(01_因子設定!$B$13="最小化",-X494,-ABS(X494-01_因子設定!$B$16))),-1E+030)</f>
        <v>40.6913468567252</v>
      </c>
      <c r="AF494" s="55" t="n">
        <f aca="false">AD494+ROW()*0.000000001</f>
        <v>-7.4723802298578</v>
      </c>
      <c r="AG494" s="55" t="n">
        <f aca="false">AE494+ROW()*0.000000001</f>
        <v>40.6913473507252</v>
      </c>
    </row>
    <row r="495" customFormat="false" ht="15" hidden="false" customHeight="false" outlineLevel="0" collapsed="false">
      <c r="A495" s="0" t="n">
        <v>0</v>
      </c>
      <c r="B495" s="0" t="n">
        <v>6</v>
      </c>
      <c r="C495" s="0" t="n">
        <v>0</v>
      </c>
      <c r="D495" s="0" t="n">
        <v>4</v>
      </c>
      <c r="E495" s="0" t="n">
        <f aca="false">-1+A495*0.25</f>
        <v>-1</v>
      </c>
      <c r="F495" s="0" t="n">
        <f aca="false">-1+B495*0.25</f>
        <v>0.5</v>
      </c>
      <c r="G495" s="0" t="n">
        <f aca="false">-1+C495*0.25</f>
        <v>-1</v>
      </c>
      <c r="H495" s="0" t="n">
        <f aca="false">-1+D495*0.25</f>
        <v>0</v>
      </c>
      <c r="I495" s="0" t="n">
        <f aca="false">1</f>
        <v>1</v>
      </c>
      <c r="J495" s="0" t="n">
        <f aca="false">E495</f>
        <v>-1</v>
      </c>
      <c r="K495" s="0" t="n">
        <f aca="false">F495</f>
        <v>0.5</v>
      </c>
      <c r="L495" s="0" t="n">
        <f aca="false">G495</f>
        <v>-1</v>
      </c>
      <c r="M495" s="0" t="n">
        <f aca="false">H495</f>
        <v>0</v>
      </c>
      <c r="N495" s="0" t="n">
        <f aca="false">E495*F495</f>
        <v>-0.5</v>
      </c>
      <c r="O495" s="0" t="n">
        <f aca="false">E495*G495</f>
        <v>1</v>
      </c>
      <c r="P495" s="0" t="n">
        <f aca="false">E495*H495</f>
        <v>-0</v>
      </c>
      <c r="Q495" s="0" t="n">
        <f aca="false">F495*G495</f>
        <v>-0.5</v>
      </c>
      <c r="R495" s="0" t="n">
        <f aca="false">F495*H495</f>
        <v>0</v>
      </c>
      <c r="S495" s="0" t="n">
        <f aca="false">G495*H495</f>
        <v>-0</v>
      </c>
      <c r="T495" s="0" t="n">
        <f aca="false">E495*E495</f>
        <v>1</v>
      </c>
      <c r="U495" s="0" t="n">
        <f aca="false">F495*F495</f>
        <v>0.25</v>
      </c>
      <c r="V495" s="0" t="n">
        <f aca="false">G495*G495</f>
        <v>1</v>
      </c>
      <c r="W495" s="0" t="n">
        <f aca="false">H495*H495</f>
        <v>0</v>
      </c>
      <c r="X495" s="0" t="n">
        <f aca="false">SUMPRODUCT(I495:W495,_XtX!$B$96:$P$96)</f>
        <v>40.686951754386</v>
      </c>
      <c r="Y495" s="0" t="n">
        <f aca="false">SUMPRODUCT(MMULT(I495:W495,_XtX!$B$78:$P$92),I495:W495)</f>
        <v>0.650767543859649</v>
      </c>
      <c r="Z495" s="0" t="n">
        <f aca="false">04_回帰ANOVA!$K$19*04_回帰ANOVA!$K$14*SQRT(1+Y495)</f>
        <v>1.67471670935165</v>
      </c>
      <c r="AA495" s="0" t="n">
        <f aca="false">X495-Z495</f>
        <v>39.0122350450343</v>
      </c>
      <c r="AB495" s="0" t="n">
        <f aca="false">X495+Z495</f>
        <v>42.3616684637376</v>
      </c>
      <c r="AC495" s="54" t="b">
        <f aca="false">AND(E495&gt;=01_因子設定!$L$5-0.000000001,E495&lt;=01_因子設定!$M$5+0.000000001,F495&gt;=01_因子設定!$L$6-0.000000001,F495&lt;=01_因子設定!$M$6+0.000000001,G495&gt;=01_因子設定!$L$7-0.000000001,G495&lt;=01_因子設定!$M$7+0.000000001,H495&gt;=01_因子設定!$L$8-0.000000001,H495&lt;=01_因子設定!$M$8+0.000000001,IF(01_因子設定!$B$20="Box-Behnken",E495^2+F495^2+G495^2+H495^2&lt;=2+0.000000001,TRUE()))</f>
        <v>1</v>
      </c>
      <c r="AD495" s="55" t="n">
        <f aca="false">IF(AC495,IF(01_因子設定!$B$13="最大化",AA495-01_因子設定!$B$14,IF(01_因子設定!$B$13="最小化",01_因子設定!$B$15-AB495,MIN(AA495-01_因子設定!$B$14,01_因子設定!$B$15-AB495))),-1E+030)</f>
        <v>-7.48776495496566</v>
      </c>
      <c r="AE495" s="55" t="n">
        <f aca="false">IF(AC495,IF(01_因子設定!$B$13="最大化",X495,IF(01_因子設定!$B$13="最小化",-X495,-ABS(X495-01_因子設定!$B$16))),-1E+030)</f>
        <v>40.686951754386</v>
      </c>
      <c r="AF495" s="55" t="n">
        <f aca="false">AD495+ROW()*0.000000001</f>
        <v>-7.48776445996566</v>
      </c>
      <c r="AG495" s="55" t="n">
        <f aca="false">AE495+ROW()*0.000000001</f>
        <v>40.686952249386</v>
      </c>
    </row>
    <row r="496" customFormat="false" ht="15" hidden="false" customHeight="false" outlineLevel="0" collapsed="false">
      <c r="A496" s="0" t="n">
        <v>0</v>
      </c>
      <c r="B496" s="0" t="n">
        <v>6</v>
      </c>
      <c r="C496" s="0" t="n">
        <v>0</v>
      </c>
      <c r="D496" s="0" t="n">
        <v>5</v>
      </c>
      <c r="E496" s="0" t="n">
        <f aca="false">-1+A496*0.25</f>
        <v>-1</v>
      </c>
      <c r="F496" s="0" t="n">
        <f aca="false">-1+B496*0.25</f>
        <v>0.5</v>
      </c>
      <c r="G496" s="0" t="n">
        <f aca="false">-1+C496*0.25</f>
        <v>-1</v>
      </c>
      <c r="H496" s="0" t="n">
        <f aca="false">-1+D496*0.25</f>
        <v>0.25</v>
      </c>
      <c r="I496" s="0" t="n">
        <f aca="false">1</f>
        <v>1</v>
      </c>
      <c r="J496" s="0" t="n">
        <f aca="false">E496</f>
        <v>-1</v>
      </c>
      <c r="K496" s="0" t="n">
        <f aca="false">F496</f>
        <v>0.5</v>
      </c>
      <c r="L496" s="0" t="n">
        <f aca="false">G496</f>
        <v>-1</v>
      </c>
      <c r="M496" s="0" t="n">
        <f aca="false">H496</f>
        <v>0.25</v>
      </c>
      <c r="N496" s="0" t="n">
        <f aca="false">E496*F496</f>
        <v>-0.5</v>
      </c>
      <c r="O496" s="0" t="n">
        <f aca="false">E496*G496</f>
        <v>1</v>
      </c>
      <c r="P496" s="0" t="n">
        <f aca="false">E496*H496</f>
        <v>-0.25</v>
      </c>
      <c r="Q496" s="0" t="n">
        <f aca="false">F496*G496</f>
        <v>-0.5</v>
      </c>
      <c r="R496" s="0" t="n">
        <f aca="false">F496*H496</f>
        <v>0.125</v>
      </c>
      <c r="S496" s="0" t="n">
        <f aca="false">G496*H496</f>
        <v>-0.25</v>
      </c>
      <c r="T496" s="0" t="n">
        <f aca="false">E496*E496</f>
        <v>1</v>
      </c>
      <c r="U496" s="0" t="n">
        <f aca="false">F496*F496</f>
        <v>0.25</v>
      </c>
      <c r="V496" s="0" t="n">
        <f aca="false">G496*G496</f>
        <v>1</v>
      </c>
      <c r="W496" s="0" t="n">
        <f aca="false">H496*H496</f>
        <v>0.0625</v>
      </c>
      <c r="X496" s="0" t="n">
        <f aca="false">SUMPRODUCT(I496:W496,_XtX!$B$96:$P$96)</f>
        <v>40.634749634503</v>
      </c>
      <c r="Y496" s="0" t="n">
        <f aca="false">SUMPRODUCT(MMULT(I496:W496,_XtX!$B$78:$P$92),I496:W496)</f>
        <v>0.629174661915205</v>
      </c>
      <c r="Z496" s="0" t="n">
        <f aca="false">04_回帰ANOVA!$K$19*04_回帰ANOVA!$K$14*SQRT(1+Y496)</f>
        <v>1.66372758058297</v>
      </c>
      <c r="AA496" s="0" t="n">
        <f aca="false">X496-Z496</f>
        <v>38.97102205392</v>
      </c>
      <c r="AB496" s="0" t="n">
        <f aca="false">X496+Z496</f>
        <v>42.2984772150859</v>
      </c>
      <c r="AC496" s="54" t="b">
        <f aca="false">AND(E496&gt;=01_因子設定!$L$5-0.000000001,E496&lt;=01_因子設定!$M$5+0.000000001,F496&gt;=01_因子設定!$L$6-0.000000001,F496&lt;=01_因子設定!$M$6+0.000000001,G496&gt;=01_因子設定!$L$7-0.000000001,G496&lt;=01_因子設定!$M$7+0.000000001,H496&gt;=01_因子設定!$L$8-0.000000001,H496&lt;=01_因子設定!$M$8+0.000000001,IF(01_因子設定!$B$20="Box-Behnken",E496^2+F496^2+G496^2+H496^2&lt;=2+0.000000001,TRUE()))</f>
        <v>1</v>
      </c>
      <c r="AD496" s="55" t="n">
        <f aca="false">IF(AC496,IF(01_因子設定!$B$13="最大化",AA496-01_因子設定!$B$14,IF(01_因子設定!$B$13="最小化",01_因子設定!$B$15-AB496,MIN(AA496-01_因子設定!$B$14,01_因子設定!$B$15-AB496))),-1E+030)</f>
        <v>-7.52897794608002</v>
      </c>
      <c r="AE496" s="55" t="n">
        <f aca="false">IF(AC496,IF(01_因子設定!$B$13="最大化",X496,IF(01_因子設定!$B$13="最小化",-X496,-ABS(X496-01_因子設定!$B$16))),-1E+030)</f>
        <v>40.634749634503</v>
      </c>
      <c r="AF496" s="55" t="n">
        <f aca="false">AD496+ROW()*0.000000001</f>
        <v>-7.52897745008002</v>
      </c>
      <c r="AG496" s="55" t="n">
        <f aca="false">AE496+ROW()*0.000000001</f>
        <v>40.634750130503</v>
      </c>
    </row>
    <row r="497" customFormat="false" ht="15" hidden="false" customHeight="false" outlineLevel="0" collapsed="false">
      <c r="A497" s="0" t="n">
        <v>0</v>
      </c>
      <c r="B497" s="0" t="n">
        <v>6</v>
      </c>
      <c r="C497" s="0" t="n">
        <v>0</v>
      </c>
      <c r="D497" s="0" t="n">
        <v>6</v>
      </c>
      <c r="E497" s="0" t="n">
        <f aca="false">-1+A497*0.25</f>
        <v>-1</v>
      </c>
      <c r="F497" s="0" t="n">
        <f aca="false">-1+B497*0.25</f>
        <v>0.5</v>
      </c>
      <c r="G497" s="0" t="n">
        <f aca="false">-1+C497*0.25</f>
        <v>-1</v>
      </c>
      <c r="H497" s="0" t="n">
        <f aca="false">-1+D497*0.25</f>
        <v>0.5</v>
      </c>
      <c r="I497" s="0" t="n">
        <f aca="false">1</f>
        <v>1</v>
      </c>
      <c r="J497" s="0" t="n">
        <f aca="false">E497</f>
        <v>-1</v>
      </c>
      <c r="K497" s="0" t="n">
        <f aca="false">F497</f>
        <v>0.5</v>
      </c>
      <c r="L497" s="0" t="n">
        <f aca="false">G497</f>
        <v>-1</v>
      </c>
      <c r="M497" s="0" t="n">
        <f aca="false">H497</f>
        <v>0.5</v>
      </c>
      <c r="N497" s="0" t="n">
        <f aca="false">E497*F497</f>
        <v>-0.5</v>
      </c>
      <c r="O497" s="0" t="n">
        <f aca="false">E497*G497</f>
        <v>1</v>
      </c>
      <c r="P497" s="0" t="n">
        <f aca="false">E497*H497</f>
        <v>-0.5</v>
      </c>
      <c r="Q497" s="0" t="n">
        <f aca="false">F497*G497</f>
        <v>-0.5</v>
      </c>
      <c r="R497" s="0" t="n">
        <f aca="false">F497*H497</f>
        <v>0.25</v>
      </c>
      <c r="S497" s="0" t="n">
        <f aca="false">G497*H497</f>
        <v>-0.5</v>
      </c>
      <c r="T497" s="0" t="n">
        <f aca="false">E497*E497</f>
        <v>1</v>
      </c>
      <c r="U497" s="0" t="n">
        <f aca="false">F497*F497</f>
        <v>0.25</v>
      </c>
      <c r="V497" s="0" t="n">
        <f aca="false">G497*G497</f>
        <v>1</v>
      </c>
      <c r="W497" s="0" t="n">
        <f aca="false">H497*H497</f>
        <v>0.25</v>
      </c>
      <c r="X497" s="0" t="n">
        <f aca="false">SUMPRODUCT(I497:W497,_XtX!$B$96:$P$96)</f>
        <v>40.5347404970761</v>
      </c>
      <c r="Y497" s="0" t="n">
        <f aca="false">SUMPRODUCT(MMULT(I497:W497,_XtX!$B$78:$P$92),I497:W497)</f>
        <v>0.582488121345029</v>
      </c>
      <c r="Z497" s="0" t="n">
        <f aca="false">04_回帰ANOVA!$K$19*04_回帰ANOVA!$K$14*SQRT(1+Y497)</f>
        <v>1.63971595338287</v>
      </c>
      <c r="AA497" s="0" t="n">
        <f aca="false">X497-Z497</f>
        <v>38.8950245436932</v>
      </c>
      <c r="AB497" s="0" t="n">
        <f aca="false">X497+Z497</f>
        <v>42.1744564504589</v>
      </c>
      <c r="AC497" s="54" t="b">
        <f aca="false">AND(E497&gt;=01_因子設定!$L$5-0.000000001,E497&lt;=01_因子設定!$M$5+0.000000001,F497&gt;=01_因子設定!$L$6-0.000000001,F497&lt;=01_因子設定!$M$6+0.000000001,G497&gt;=01_因子設定!$L$7-0.000000001,G497&lt;=01_因子設定!$M$7+0.000000001,H497&gt;=01_因子設定!$L$8-0.000000001,H497&lt;=01_因子設定!$M$8+0.000000001,IF(01_因子設定!$B$20="Box-Behnken",E497^2+F497^2+G497^2+H497^2&lt;=2+0.000000001,TRUE()))</f>
        <v>1</v>
      </c>
      <c r="AD497" s="55" t="n">
        <f aca="false">IF(AC497,IF(01_因子設定!$B$13="最大化",AA497-01_因子設定!$B$14,IF(01_因子設定!$B$13="最小化",01_因子設定!$B$15-AB497,MIN(AA497-01_因子設定!$B$14,01_因子設定!$B$15-AB497))),-1E+030)</f>
        <v>-7.6049754563068</v>
      </c>
      <c r="AE497" s="55" t="n">
        <f aca="false">IF(AC497,IF(01_因子設定!$B$13="最大化",X497,IF(01_因子設定!$B$13="最小化",-X497,-ABS(X497-01_因子設定!$B$16))),-1E+030)</f>
        <v>40.5347404970761</v>
      </c>
      <c r="AF497" s="55" t="n">
        <f aca="false">AD497+ROW()*0.000000001</f>
        <v>-7.6049749593068</v>
      </c>
      <c r="AG497" s="55" t="n">
        <f aca="false">AE497+ROW()*0.000000001</f>
        <v>40.5347409940761</v>
      </c>
    </row>
    <row r="498" customFormat="false" ht="15" hidden="false" customHeight="false" outlineLevel="0" collapsed="false">
      <c r="A498" s="0" t="n">
        <v>0</v>
      </c>
      <c r="B498" s="0" t="n">
        <v>6</v>
      </c>
      <c r="C498" s="0" t="n">
        <v>0</v>
      </c>
      <c r="D498" s="0" t="n">
        <v>7</v>
      </c>
      <c r="E498" s="0" t="n">
        <f aca="false">-1+A498*0.25</f>
        <v>-1</v>
      </c>
      <c r="F498" s="0" t="n">
        <f aca="false">-1+B498*0.25</f>
        <v>0.5</v>
      </c>
      <c r="G498" s="0" t="n">
        <f aca="false">-1+C498*0.25</f>
        <v>-1</v>
      </c>
      <c r="H498" s="0" t="n">
        <f aca="false">-1+D498*0.25</f>
        <v>0.75</v>
      </c>
      <c r="I498" s="0" t="n">
        <f aca="false">1</f>
        <v>1</v>
      </c>
      <c r="J498" s="0" t="n">
        <f aca="false">E498</f>
        <v>-1</v>
      </c>
      <c r="K498" s="0" t="n">
        <f aca="false">F498</f>
        <v>0.5</v>
      </c>
      <c r="L498" s="0" t="n">
        <f aca="false">G498</f>
        <v>-1</v>
      </c>
      <c r="M498" s="0" t="n">
        <f aca="false">H498</f>
        <v>0.75</v>
      </c>
      <c r="N498" s="0" t="n">
        <f aca="false">E498*F498</f>
        <v>-0.5</v>
      </c>
      <c r="O498" s="0" t="n">
        <f aca="false">E498*G498</f>
        <v>1</v>
      </c>
      <c r="P498" s="0" t="n">
        <f aca="false">E498*H498</f>
        <v>-0.75</v>
      </c>
      <c r="Q498" s="0" t="n">
        <f aca="false">F498*G498</f>
        <v>-0.5</v>
      </c>
      <c r="R498" s="0" t="n">
        <f aca="false">F498*H498</f>
        <v>0.375</v>
      </c>
      <c r="S498" s="0" t="n">
        <f aca="false">G498*H498</f>
        <v>-0.75</v>
      </c>
      <c r="T498" s="0" t="n">
        <f aca="false">E498*E498</f>
        <v>1</v>
      </c>
      <c r="U498" s="0" t="n">
        <f aca="false">F498*F498</f>
        <v>0.25</v>
      </c>
      <c r="V498" s="0" t="n">
        <f aca="false">G498*G498</f>
        <v>1</v>
      </c>
      <c r="W498" s="0" t="n">
        <f aca="false">H498*H498</f>
        <v>0.5625</v>
      </c>
      <c r="X498" s="0" t="n">
        <f aca="false">SUMPRODUCT(I498:W498,_XtX!$B$96:$P$96)</f>
        <v>40.3869243421053</v>
      </c>
      <c r="Y498" s="0" t="n">
        <f aca="false">SUMPRODUCT(MMULT(I498:W498,_XtX!$B$78:$P$92),I498:W498)</f>
        <v>0.564984237938597</v>
      </c>
      <c r="Z498" s="0" t="n">
        <f aca="false">04_回帰ANOVA!$K$19*04_回帰ANOVA!$K$14*SQRT(1+Y498)</f>
        <v>1.63062229734503</v>
      </c>
      <c r="AA498" s="0" t="n">
        <f aca="false">X498-Z498</f>
        <v>38.7563020447603</v>
      </c>
      <c r="AB498" s="0" t="n">
        <f aca="false">X498+Z498</f>
        <v>42.0175466394504</v>
      </c>
      <c r="AC498" s="54" t="b">
        <f aca="false">AND(E498&gt;=01_因子設定!$L$5-0.000000001,E498&lt;=01_因子設定!$M$5+0.000000001,F498&gt;=01_因子設定!$L$6-0.000000001,F498&lt;=01_因子設定!$M$6+0.000000001,G498&gt;=01_因子設定!$L$7-0.000000001,G498&lt;=01_因子設定!$M$7+0.000000001,H498&gt;=01_因子設定!$L$8-0.000000001,H498&lt;=01_因子設定!$M$8+0.000000001,IF(01_因子設定!$B$20="Box-Behnken",E498^2+F498^2+G498^2+H498^2&lt;=2+0.000000001,TRUE()))</f>
        <v>1</v>
      </c>
      <c r="AD498" s="55" t="n">
        <f aca="false">IF(AC498,IF(01_因子設定!$B$13="最大化",AA498-01_因子設定!$B$14,IF(01_因子設定!$B$13="最小化",01_因子設定!$B$15-AB498,MIN(AA498-01_因子設定!$B$14,01_因子設定!$B$15-AB498))),-1E+030)</f>
        <v>-7.74369795523972</v>
      </c>
      <c r="AE498" s="55" t="n">
        <f aca="false">IF(AC498,IF(01_因子設定!$B$13="最大化",X498,IF(01_因子設定!$B$13="最小化",-X498,-ABS(X498-01_因子設定!$B$16))),-1E+030)</f>
        <v>40.3869243421053</v>
      </c>
      <c r="AF498" s="55" t="n">
        <f aca="false">AD498+ROW()*0.000000001</f>
        <v>-7.74369745723972</v>
      </c>
      <c r="AG498" s="55" t="n">
        <f aca="false">AE498+ROW()*0.000000001</f>
        <v>40.3869248401053</v>
      </c>
    </row>
    <row r="499" customFormat="false" ht="15" hidden="false" customHeight="false" outlineLevel="0" collapsed="false">
      <c r="A499" s="0" t="n">
        <v>0</v>
      </c>
      <c r="B499" s="0" t="n">
        <v>6</v>
      </c>
      <c r="C499" s="0" t="n">
        <v>0</v>
      </c>
      <c r="D499" s="0" t="n">
        <v>8</v>
      </c>
      <c r="E499" s="0" t="n">
        <f aca="false">-1+A499*0.25</f>
        <v>-1</v>
      </c>
      <c r="F499" s="0" t="n">
        <f aca="false">-1+B499*0.25</f>
        <v>0.5</v>
      </c>
      <c r="G499" s="0" t="n">
        <f aca="false">-1+C499*0.25</f>
        <v>-1</v>
      </c>
      <c r="H499" s="0" t="n">
        <f aca="false">-1+D499*0.25</f>
        <v>1</v>
      </c>
      <c r="I499" s="0" t="n">
        <f aca="false">1</f>
        <v>1</v>
      </c>
      <c r="J499" s="0" t="n">
        <f aca="false">E499</f>
        <v>-1</v>
      </c>
      <c r="K499" s="0" t="n">
        <f aca="false">F499</f>
        <v>0.5</v>
      </c>
      <c r="L499" s="0" t="n">
        <f aca="false">G499</f>
        <v>-1</v>
      </c>
      <c r="M499" s="0" t="n">
        <f aca="false">H499</f>
        <v>1</v>
      </c>
      <c r="N499" s="0" t="n">
        <f aca="false">E499*F499</f>
        <v>-0.5</v>
      </c>
      <c r="O499" s="0" t="n">
        <f aca="false">E499*G499</f>
        <v>1</v>
      </c>
      <c r="P499" s="0" t="n">
        <f aca="false">E499*H499</f>
        <v>-1</v>
      </c>
      <c r="Q499" s="0" t="n">
        <f aca="false">F499*G499</f>
        <v>-0.5</v>
      </c>
      <c r="R499" s="0" t="n">
        <f aca="false">F499*H499</f>
        <v>0.5</v>
      </c>
      <c r="S499" s="0" t="n">
        <f aca="false">G499*H499</f>
        <v>-1</v>
      </c>
      <c r="T499" s="0" t="n">
        <f aca="false">E499*E499</f>
        <v>1</v>
      </c>
      <c r="U499" s="0" t="n">
        <f aca="false">F499*F499</f>
        <v>0.25</v>
      </c>
      <c r="V499" s="0" t="n">
        <f aca="false">G499*G499</f>
        <v>1</v>
      </c>
      <c r="W499" s="0" t="n">
        <f aca="false">H499*H499</f>
        <v>1</v>
      </c>
      <c r="X499" s="0" t="n">
        <f aca="false">SUMPRODUCT(I499:W499,_XtX!$B$96:$P$96)</f>
        <v>40.1913011695907</v>
      </c>
      <c r="Y499" s="0" t="n">
        <f aca="false">SUMPRODUCT(MMULT(I499:W499,_XtX!$B$78:$P$92),I499:W499)</f>
        <v>0.667123538011696</v>
      </c>
      <c r="Z499" s="0" t="n">
        <f aca="false">04_回帰ANOVA!$K$19*04_回帰ANOVA!$K$14*SQRT(1+Y499)</f>
        <v>1.68299290213005</v>
      </c>
      <c r="AA499" s="0" t="n">
        <f aca="false">X499-Z499</f>
        <v>38.5083082674607</v>
      </c>
      <c r="AB499" s="0" t="n">
        <f aca="false">X499+Z499</f>
        <v>41.8742940717208</v>
      </c>
      <c r="AC499" s="54" t="b">
        <f aca="false">AND(E499&gt;=01_因子設定!$L$5-0.000000001,E499&lt;=01_因子設定!$M$5+0.000000001,F499&gt;=01_因子設定!$L$6-0.000000001,F499&lt;=01_因子設定!$M$6+0.000000001,G499&gt;=01_因子設定!$L$7-0.000000001,G499&lt;=01_因子設定!$M$7+0.000000001,H499&gt;=01_因子設定!$L$8-0.000000001,H499&lt;=01_因子設定!$M$8+0.000000001,IF(01_因子設定!$B$20="Box-Behnken",E499^2+F499^2+G499^2+H499^2&lt;=2+0.000000001,TRUE()))</f>
        <v>1</v>
      </c>
      <c r="AD499" s="55" t="n">
        <f aca="false">IF(AC499,IF(01_因子設定!$B$13="最大化",AA499-01_因子設定!$B$14,IF(01_因子設定!$B$13="最小化",01_因子設定!$B$15-AB499,MIN(AA499-01_因子設定!$B$14,01_因子設定!$B$15-AB499))),-1E+030)</f>
        <v>-7.99169173253934</v>
      </c>
      <c r="AE499" s="55" t="n">
        <f aca="false">IF(AC499,IF(01_因子設定!$B$13="最大化",X499,IF(01_因子設定!$B$13="最小化",-X499,-ABS(X499-01_因子設定!$B$16))),-1E+030)</f>
        <v>40.1913011695907</v>
      </c>
      <c r="AF499" s="55" t="n">
        <f aca="false">AD499+ROW()*0.000000001</f>
        <v>-7.99169123353934</v>
      </c>
      <c r="AG499" s="55" t="n">
        <f aca="false">AE499+ROW()*0.000000001</f>
        <v>40.1913016685907</v>
      </c>
    </row>
    <row r="500" customFormat="false" ht="15" hidden="false" customHeight="false" outlineLevel="0" collapsed="false">
      <c r="A500" s="0" t="n">
        <v>0</v>
      </c>
      <c r="B500" s="0" t="n">
        <v>6</v>
      </c>
      <c r="C500" s="0" t="n">
        <v>1</v>
      </c>
      <c r="D500" s="0" t="n">
        <v>0</v>
      </c>
      <c r="E500" s="0" t="n">
        <f aca="false">-1+A500*0.25</f>
        <v>-1</v>
      </c>
      <c r="F500" s="0" t="n">
        <f aca="false">-1+B500*0.25</f>
        <v>0.5</v>
      </c>
      <c r="G500" s="0" t="n">
        <f aca="false">-1+C500*0.25</f>
        <v>-0.75</v>
      </c>
      <c r="H500" s="0" t="n">
        <f aca="false">-1+D500*0.25</f>
        <v>-1</v>
      </c>
      <c r="I500" s="0" t="n">
        <f aca="false">1</f>
        <v>1</v>
      </c>
      <c r="J500" s="0" t="n">
        <f aca="false">E500</f>
        <v>-1</v>
      </c>
      <c r="K500" s="0" t="n">
        <f aca="false">F500</f>
        <v>0.5</v>
      </c>
      <c r="L500" s="0" t="n">
        <f aca="false">G500</f>
        <v>-0.75</v>
      </c>
      <c r="M500" s="0" t="n">
        <f aca="false">H500</f>
        <v>-1</v>
      </c>
      <c r="N500" s="0" t="n">
        <f aca="false">E500*F500</f>
        <v>-0.5</v>
      </c>
      <c r="O500" s="0" t="n">
        <f aca="false">E500*G500</f>
        <v>0.75</v>
      </c>
      <c r="P500" s="0" t="n">
        <f aca="false">E500*H500</f>
        <v>1</v>
      </c>
      <c r="Q500" s="0" t="n">
        <f aca="false">F500*G500</f>
        <v>-0.375</v>
      </c>
      <c r="R500" s="0" t="n">
        <f aca="false">F500*H500</f>
        <v>-0.5</v>
      </c>
      <c r="S500" s="0" t="n">
        <f aca="false">G500*H500</f>
        <v>0.75</v>
      </c>
      <c r="T500" s="0" t="n">
        <f aca="false">E500*E500</f>
        <v>1</v>
      </c>
      <c r="U500" s="0" t="n">
        <f aca="false">F500*F500</f>
        <v>0.25</v>
      </c>
      <c r="V500" s="0" t="n">
        <f aca="false">G500*G500</f>
        <v>0.5625</v>
      </c>
      <c r="W500" s="0" t="n">
        <f aca="false">H500*H500</f>
        <v>1</v>
      </c>
      <c r="X500" s="0" t="n">
        <f aca="false">SUMPRODUCT(I500:W500,_XtX!$B$96:$P$96)</f>
        <v>41.0917854532164</v>
      </c>
      <c r="Y500" s="0" t="n">
        <f aca="false">SUMPRODUCT(MMULT(I500:W500,_XtX!$B$78:$P$92),I500:W500)</f>
        <v>0.564984237938597</v>
      </c>
      <c r="Z500" s="0" t="n">
        <f aca="false">04_回帰ANOVA!$K$19*04_回帰ANOVA!$K$14*SQRT(1+Y500)</f>
        <v>1.63062229734503</v>
      </c>
      <c r="AA500" s="0" t="n">
        <f aca="false">X500-Z500</f>
        <v>39.4611631558714</v>
      </c>
      <c r="AB500" s="0" t="n">
        <f aca="false">X500+Z500</f>
        <v>42.7224077505615</v>
      </c>
      <c r="AC500" s="54" t="b">
        <f aca="false">AND(E500&gt;=01_因子設定!$L$5-0.000000001,E500&lt;=01_因子設定!$M$5+0.000000001,F500&gt;=01_因子設定!$L$6-0.000000001,F500&lt;=01_因子設定!$M$6+0.000000001,G500&gt;=01_因子設定!$L$7-0.000000001,G500&lt;=01_因子設定!$M$7+0.000000001,H500&gt;=01_因子設定!$L$8-0.000000001,H500&lt;=01_因子設定!$M$8+0.000000001,IF(01_因子設定!$B$20="Box-Behnken",E500^2+F500^2+G500^2+H500^2&lt;=2+0.000000001,TRUE()))</f>
        <v>1</v>
      </c>
      <c r="AD500" s="55" t="n">
        <f aca="false">IF(AC500,IF(01_因子設定!$B$13="最大化",AA500-01_因子設定!$B$14,IF(01_因子設定!$B$13="最小化",01_因子設定!$B$15-AB500,MIN(AA500-01_因子設定!$B$14,01_因子設定!$B$15-AB500))),-1E+030)</f>
        <v>-7.0388368441286</v>
      </c>
      <c r="AE500" s="55" t="n">
        <f aca="false">IF(AC500,IF(01_因子設定!$B$13="最大化",X500,IF(01_因子設定!$B$13="最小化",-X500,-ABS(X500-01_因子設定!$B$16))),-1E+030)</f>
        <v>41.0917854532164</v>
      </c>
      <c r="AF500" s="55" t="n">
        <f aca="false">AD500+ROW()*0.000000001</f>
        <v>-7.0388363441286</v>
      </c>
      <c r="AG500" s="55" t="n">
        <f aca="false">AE500+ROW()*0.000000001</f>
        <v>41.0917859532164</v>
      </c>
    </row>
    <row r="501" customFormat="false" ht="15" hidden="false" customHeight="false" outlineLevel="0" collapsed="false">
      <c r="A501" s="0" t="n">
        <v>0</v>
      </c>
      <c r="B501" s="0" t="n">
        <v>6</v>
      </c>
      <c r="C501" s="0" t="n">
        <v>1</v>
      </c>
      <c r="D501" s="0" t="n">
        <v>1</v>
      </c>
      <c r="E501" s="0" t="n">
        <f aca="false">-1+A501*0.25</f>
        <v>-1</v>
      </c>
      <c r="F501" s="0" t="n">
        <f aca="false">-1+B501*0.25</f>
        <v>0.5</v>
      </c>
      <c r="G501" s="0" t="n">
        <f aca="false">-1+C501*0.25</f>
        <v>-0.75</v>
      </c>
      <c r="H501" s="0" t="n">
        <f aca="false">-1+D501*0.25</f>
        <v>-0.75</v>
      </c>
      <c r="I501" s="0" t="n">
        <f aca="false">1</f>
        <v>1</v>
      </c>
      <c r="J501" s="0" t="n">
        <f aca="false">E501</f>
        <v>-1</v>
      </c>
      <c r="K501" s="0" t="n">
        <f aca="false">F501</f>
        <v>0.5</v>
      </c>
      <c r="L501" s="0" t="n">
        <f aca="false">G501</f>
        <v>-0.75</v>
      </c>
      <c r="M501" s="0" t="n">
        <f aca="false">H501</f>
        <v>-0.75</v>
      </c>
      <c r="N501" s="0" t="n">
        <f aca="false">E501*F501</f>
        <v>-0.5</v>
      </c>
      <c r="O501" s="0" t="n">
        <f aca="false">E501*G501</f>
        <v>0.75</v>
      </c>
      <c r="P501" s="0" t="n">
        <f aca="false">E501*H501</f>
        <v>0.75</v>
      </c>
      <c r="Q501" s="0" t="n">
        <f aca="false">F501*G501</f>
        <v>-0.375</v>
      </c>
      <c r="R501" s="0" t="n">
        <f aca="false">F501*H501</f>
        <v>-0.375</v>
      </c>
      <c r="S501" s="0" t="n">
        <f aca="false">G501*H501</f>
        <v>0.5625</v>
      </c>
      <c r="T501" s="0" t="n">
        <f aca="false">E501*E501</f>
        <v>1</v>
      </c>
      <c r="U501" s="0" t="n">
        <f aca="false">F501*F501</f>
        <v>0.25</v>
      </c>
      <c r="V501" s="0" t="n">
        <f aca="false">G501*G501</f>
        <v>0.5625</v>
      </c>
      <c r="W501" s="0" t="n">
        <f aca="false">H501*H501</f>
        <v>0.5625</v>
      </c>
      <c r="X501" s="0" t="n">
        <f aca="false">SUMPRODUCT(I501:W501,_XtX!$B$96:$P$96)</f>
        <v>41.2487801535088</v>
      </c>
      <c r="Y501" s="0" t="n">
        <f aca="false">SUMPRODUCT(MMULT(I501:W501,_XtX!$B$78:$P$92),I501:W501)</f>
        <v>0.431153771472953</v>
      </c>
      <c r="Z501" s="0" t="n">
        <f aca="false">04_回帰ANOVA!$K$19*04_回帰ANOVA!$K$14*SQRT(1+Y501)</f>
        <v>1.55934259562563</v>
      </c>
      <c r="AA501" s="0" t="n">
        <f aca="false">X501-Z501</f>
        <v>39.6894375578832</v>
      </c>
      <c r="AB501" s="0" t="n">
        <f aca="false">X501+Z501</f>
        <v>42.8081227491345</v>
      </c>
      <c r="AC501" s="54" t="b">
        <f aca="false">AND(E501&gt;=01_因子設定!$L$5-0.000000001,E501&lt;=01_因子設定!$M$5+0.000000001,F501&gt;=01_因子設定!$L$6-0.000000001,F501&lt;=01_因子設定!$M$6+0.000000001,G501&gt;=01_因子設定!$L$7-0.000000001,G501&lt;=01_因子設定!$M$7+0.000000001,H501&gt;=01_因子設定!$L$8-0.000000001,H501&lt;=01_因子設定!$M$8+0.000000001,IF(01_因子設定!$B$20="Box-Behnken",E501^2+F501^2+G501^2+H501^2&lt;=2+0.000000001,TRUE()))</f>
        <v>1</v>
      </c>
      <c r="AD501" s="55" t="n">
        <f aca="false">IF(AC501,IF(01_因子設定!$B$13="最大化",AA501-01_因子設定!$B$14,IF(01_因子設定!$B$13="最小化",01_因子設定!$B$15-AB501,MIN(AA501-01_因子設定!$B$14,01_因子設定!$B$15-AB501))),-1E+030)</f>
        <v>-6.81056244211681</v>
      </c>
      <c r="AE501" s="55" t="n">
        <f aca="false">IF(AC501,IF(01_因子設定!$B$13="最大化",X501,IF(01_因子設定!$B$13="最小化",-X501,-ABS(X501-01_因子設定!$B$16))),-1E+030)</f>
        <v>41.2487801535088</v>
      </c>
      <c r="AF501" s="55" t="n">
        <f aca="false">AD501+ROW()*0.000000001</f>
        <v>-6.81056194111681</v>
      </c>
      <c r="AG501" s="55" t="n">
        <f aca="false">AE501+ROW()*0.000000001</f>
        <v>41.2487806545088</v>
      </c>
    </row>
    <row r="502" customFormat="false" ht="15" hidden="false" customHeight="false" outlineLevel="0" collapsed="false">
      <c r="A502" s="0" t="n">
        <v>0</v>
      </c>
      <c r="B502" s="0" t="n">
        <v>6</v>
      </c>
      <c r="C502" s="0" t="n">
        <v>1</v>
      </c>
      <c r="D502" s="0" t="n">
        <v>2</v>
      </c>
      <c r="E502" s="0" t="n">
        <f aca="false">-1+A502*0.25</f>
        <v>-1</v>
      </c>
      <c r="F502" s="0" t="n">
        <f aca="false">-1+B502*0.25</f>
        <v>0.5</v>
      </c>
      <c r="G502" s="0" t="n">
        <f aca="false">-1+C502*0.25</f>
        <v>-0.75</v>
      </c>
      <c r="H502" s="0" t="n">
        <f aca="false">-1+D502*0.25</f>
        <v>-0.5</v>
      </c>
      <c r="I502" s="0" t="n">
        <f aca="false">1</f>
        <v>1</v>
      </c>
      <c r="J502" s="0" t="n">
        <f aca="false">E502</f>
        <v>-1</v>
      </c>
      <c r="K502" s="0" t="n">
        <f aca="false">F502</f>
        <v>0.5</v>
      </c>
      <c r="L502" s="0" t="n">
        <f aca="false">G502</f>
        <v>-0.75</v>
      </c>
      <c r="M502" s="0" t="n">
        <f aca="false">H502</f>
        <v>-0.5</v>
      </c>
      <c r="N502" s="0" t="n">
        <f aca="false">E502*F502</f>
        <v>-0.5</v>
      </c>
      <c r="O502" s="0" t="n">
        <f aca="false">E502*G502</f>
        <v>0.75</v>
      </c>
      <c r="P502" s="0" t="n">
        <f aca="false">E502*H502</f>
        <v>0.5</v>
      </c>
      <c r="Q502" s="0" t="n">
        <f aca="false">F502*G502</f>
        <v>-0.375</v>
      </c>
      <c r="R502" s="0" t="n">
        <f aca="false">F502*H502</f>
        <v>-0.25</v>
      </c>
      <c r="S502" s="0" t="n">
        <f aca="false">G502*H502</f>
        <v>0.375</v>
      </c>
      <c r="T502" s="0" t="n">
        <f aca="false">E502*E502</f>
        <v>1</v>
      </c>
      <c r="U502" s="0" t="n">
        <f aca="false">F502*F502</f>
        <v>0.25</v>
      </c>
      <c r="V502" s="0" t="n">
        <f aca="false">G502*G502</f>
        <v>0.5625</v>
      </c>
      <c r="W502" s="0" t="n">
        <f aca="false">H502*H502</f>
        <v>0.25</v>
      </c>
      <c r="X502" s="0" t="n">
        <f aca="false">SUMPRODUCT(I502:W502,_XtX!$B$96:$P$96)</f>
        <v>41.3579678362573</v>
      </c>
      <c r="Y502" s="0" t="n">
        <f aca="false">SUMPRODUCT(MMULT(I502:W502,_XtX!$B$78:$P$92),I502:W502)</f>
        <v>0.42602110745614</v>
      </c>
      <c r="Z502" s="0" t="n">
        <f aca="false">04_回帰ANOVA!$K$19*04_回帰ANOVA!$K$14*SQRT(1+Y502)</f>
        <v>1.55654388501114</v>
      </c>
      <c r="AA502" s="0" t="n">
        <f aca="false">X502-Z502</f>
        <v>39.8014239512462</v>
      </c>
      <c r="AB502" s="0" t="n">
        <f aca="false">X502+Z502</f>
        <v>42.9145117212685</v>
      </c>
      <c r="AC502" s="54" t="b">
        <f aca="false">AND(E502&gt;=01_因子設定!$L$5-0.000000001,E502&lt;=01_因子設定!$M$5+0.000000001,F502&gt;=01_因子設定!$L$6-0.000000001,F502&lt;=01_因子設定!$M$6+0.000000001,G502&gt;=01_因子設定!$L$7-0.000000001,G502&lt;=01_因子設定!$M$7+0.000000001,H502&gt;=01_因子設定!$L$8-0.000000001,H502&lt;=01_因子設定!$M$8+0.000000001,IF(01_因子設定!$B$20="Box-Behnken",E502^2+F502^2+G502^2+H502^2&lt;=2+0.000000001,TRUE()))</f>
        <v>1</v>
      </c>
      <c r="AD502" s="55" t="n">
        <f aca="false">IF(AC502,IF(01_因子設定!$B$13="最大化",AA502-01_因子設定!$B$14,IF(01_因子設定!$B$13="最小化",01_因子設定!$B$15-AB502,MIN(AA502-01_因子設定!$B$14,01_因子設定!$B$15-AB502))),-1E+030)</f>
        <v>-6.69857604875379</v>
      </c>
      <c r="AE502" s="55" t="n">
        <f aca="false">IF(AC502,IF(01_因子設定!$B$13="最大化",X502,IF(01_因子設定!$B$13="最小化",-X502,-ABS(X502-01_因子設定!$B$16))),-1E+030)</f>
        <v>41.3579678362573</v>
      </c>
      <c r="AF502" s="55" t="n">
        <f aca="false">AD502+ROW()*0.000000001</f>
        <v>-6.69857554675379</v>
      </c>
      <c r="AG502" s="55" t="n">
        <f aca="false">AE502+ROW()*0.000000001</f>
        <v>41.3579683382573</v>
      </c>
    </row>
    <row r="503" customFormat="false" ht="15" hidden="false" customHeight="false" outlineLevel="0" collapsed="false">
      <c r="A503" s="0" t="n">
        <v>0</v>
      </c>
      <c r="B503" s="0" t="n">
        <v>6</v>
      </c>
      <c r="C503" s="0" t="n">
        <v>1</v>
      </c>
      <c r="D503" s="0" t="n">
        <v>3</v>
      </c>
      <c r="E503" s="0" t="n">
        <f aca="false">-1+A503*0.25</f>
        <v>-1</v>
      </c>
      <c r="F503" s="0" t="n">
        <f aca="false">-1+B503*0.25</f>
        <v>0.5</v>
      </c>
      <c r="G503" s="0" t="n">
        <f aca="false">-1+C503*0.25</f>
        <v>-0.75</v>
      </c>
      <c r="H503" s="0" t="n">
        <f aca="false">-1+D503*0.25</f>
        <v>-0.25</v>
      </c>
      <c r="I503" s="0" t="n">
        <f aca="false">1</f>
        <v>1</v>
      </c>
      <c r="J503" s="0" t="n">
        <f aca="false">E503</f>
        <v>-1</v>
      </c>
      <c r="K503" s="0" t="n">
        <f aca="false">F503</f>
        <v>0.5</v>
      </c>
      <c r="L503" s="0" t="n">
        <f aca="false">G503</f>
        <v>-0.75</v>
      </c>
      <c r="M503" s="0" t="n">
        <f aca="false">H503</f>
        <v>-0.25</v>
      </c>
      <c r="N503" s="0" t="n">
        <f aca="false">E503*F503</f>
        <v>-0.5</v>
      </c>
      <c r="O503" s="0" t="n">
        <f aca="false">E503*G503</f>
        <v>0.75</v>
      </c>
      <c r="P503" s="0" t="n">
        <f aca="false">E503*H503</f>
        <v>0.25</v>
      </c>
      <c r="Q503" s="0" t="n">
        <f aca="false">F503*G503</f>
        <v>-0.375</v>
      </c>
      <c r="R503" s="0" t="n">
        <f aca="false">F503*H503</f>
        <v>-0.125</v>
      </c>
      <c r="S503" s="0" t="n">
        <f aca="false">G503*H503</f>
        <v>0.1875</v>
      </c>
      <c r="T503" s="0" t="n">
        <f aca="false">E503*E503</f>
        <v>1</v>
      </c>
      <c r="U503" s="0" t="n">
        <f aca="false">F503*F503</f>
        <v>0.25</v>
      </c>
      <c r="V503" s="0" t="n">
        <f aca="false">G503*G503</f>
        <v>0.5625</v>
      </c>
      <c r="W503" s="0" t="n">
        <f aca="false">H503*H503</f>
        <v>0.0625</v>
      </c>
      <c r="X503" s="0" t="n">
        <f aca="false">SUMPRODUCT(I503:W503,_XtX!$B$96:$P$96)</f>
        <v>41.419348501462</v>
      </c>
      <c r="Y503" s="0" t="n">
        <f aca="false">SUMPRODUCT(MMULT(I503:W503,_XtX!$B$78:$P$92),I503:W503)</f>
        <v>0.459125719572369</v>
      </c>
      <c r="Z503" s="0" t="n">
        <f aca="false">04_回帰ANOVA!$K$19*04_回帰ANOVA!$K$14*SQRT(1+Y503)</f>
        <v>1.57450755575573</v>
      </c>
      <c r="AA503" s="0" t="n">
        <f aca="false">X503-Z503</f>
        <v>39.8448409457063</v>
      </c>
      <c r="AB503" s="0" t="n">
        <f aca="false">X503+Z503</f>
        <v>42.9938560572178</v>
      </c>
      <c r="AC503" s="54" t="b">
        <f aca="false">AND(E503&gt;=01_因子設定!$L$5-0.000000001,E503&lt;=01_因子設定!$M$5+0.000000001,F503&gt;=01_因子設定!$L$6-0.000000001,F503&lt;=01_因子設定!$M$6+0.000000001,G503&gt;=01_因子設定!$L$7-0.000000001,G503&lt;=01_因子設定!$M$7+0.000000001,H503&gt;=01_因子設定!$L$8-0.000000001,H503&lt;=01_因子設定!$M$8+0.000000001,IF(01_因子設定!$B$20="Box-Behnken",E503^2+F503^2+G503^2+H503^2&lt;=2+0.000000001,TRUE()))</f>
        <v>1</v>
      </c>
      <c r="AD503" s="55" t="n">
        <f aca="false">IF(AC503,IF(01_因子設定!$B$13="最大化",AA503-01_因子設定!$B$14,IF(01_因子設定!$B$13="最小化",01_因子設定!$B$15-AB503,MIN(AA503-01_因子設定!$B$14,01_因子設定!$B$15-AB503))),-1E+030)</f>
        <v>-6.65515905429371</v>
      </c>
      <c r="AE503" s="55" t="n">
        <f aca="false">IF(AC503,IF(01_因子設定!$B$13="最大化",X503,IF(01_因子設定!$B$13="最小化",-X503,-ABS(X503-01_因子設定!$B$16))),-1E+030)</f>
        <v>41.419348501462</v>
      </c>
      <c r="AF503" s="55" t="n">
        <f aca="false">AD503+ROW()*0.000000001</f>
        <v>-6.65515855129371</v>
      </c>
      <c r="AG503" s="55" t="n">
        <f aca="false">AE503+ROW()*0.000000001</f>
        <v>41.419349004462</v>
      </c>
    </row>
    <row r="504" customFormat="false" ht="15" hidden="false" customHeight="false" outlineLevel="0" collapsed="false">
      <c r="A504" s="0" t="n">
        <v>0</v>
      </c>
      <c r="B504" s="0" t="n">
        <v>6</v>
      </c>
      <c r="C504" s="0" t="n">
        <v>1</v>
      </c>
      <c r="D504" s="0" t="n">
        <v>4</v>
      </c>
      <c r="E504" s="0" t="n">
        <f aca="false">-1+A504*0.25</f>
        <v>-1</v>
      </c>
      <c r="F504" s="0" t="n">
        <f aca="false">-1+B504*0.25</f>
        <v>0.5</v>
      </c>
      <c r="G504" s="0" t="n">
        <f aca="false">-1+C504*0.25</f>
        <v>-0.75</v>
      </c>
      <c r="H504" s="0" t="n">
        <f aca="false">-1+D504*0.25</f>
        <v>0</v>
      </c>
      <c r="I504" s="0" t="n">
        <f aca="false">1</f>
        <v>1</v>
      </c>
      <c r="J504" s="0" t="n">
        <f aca="false">E504</f>
        <v>-1</v>
      </c>
      <c r="K504" s="0" t="n">
        <f aca="false">F504</f>
        <v>0.5</v>
      </c>
      <c r="L504" s="0" t="n">
        <f aca="false">G504</f>
        <v>-0.75</v>
      </c>
      <c r="M504" s="0" t="n">
        <f aca="false">H504</f>
        <v>0</v>
      </c>
      <c r="N504" s="0" t="n">
        <f aca="false">E504*F504</f>
        <v>-0.5</v>
      </c>
      <c r="O504" s="0" t="n">
        <f aca="false">E504*G504</f>
        <v>0.75</v>
      </c>
      <c r="P504" s="0" t="n">
        <f aca="false">E504*H504</f>
        <v>-0</v>
      </c>
      <c r="Q504" s="0" t="n">
        <f aca="false">F504*G504</f>
        <v>-0.375</v>
      </c>
      <c r="R504" s="0" t="n">
        <f aca="false">F504*H504</f>
        <v>0</v>
      </c>
      <c r="S504" s="0" t="n">
        <f aca="false">G504*H504</f>
        <v>-0</v>
      </c>
      <c r="T504" s="0" t="n">
        <f aca="false">E504*E504</f>
        <v>1</v>
      </c>
      <c r="U504" s="0" t="n">
        <f aca="false">F504*F504</f>
        <v>0.25</v>
      </c>
      <c r="V504" s="0" t="n">
        <f aca="false">G504*G504</f>
        <v>0.5625</v>
      </c>
      <c r="W504" s="0" t="n">
        <f aca="false">H504*H504</f>
        <v>0</v>
      </c>
      <c r="X504" s="0" t="n">
        <f aca="false">SUMPRODUCT(I504:W504,_XtX!$B$96:$P$96)</f>
        <v>41.4329221491228</v>
      </c>
      <c r="Y504" s="0" t="n">
        <f aca="false">SUMPRODUCT(MMULT(I504:W504,_XtX!$B$78:$P$92),I504:W504)</f>
        <v>0.476191292032164</v>
      </c>
      <c r="Z504" s="0" t="n">
        <f aca="false">04_回帰ANOVA!$K$19*04_回帰ANOVA!$K$14*SQRT(1+Y504)</f>
        <v>1.58368831471718</v>
      </c>
      <c r="AA504" s="0" t="n">
        <f aca="false">X504-Z504</f>
        <v>39.8492338344057</v>
      </c>
      <c r="AB504" s="0" t="n">
        <f aca="false">X504+Z504</f>
        <v>43.01661046384</v>
      </c>
      <c r="AC504" s="54" t="b">
        <f aca="false">AND(E504&gt;=01_因子設定!$L$5-0.000000001,E504&lt;=01_因子設定!$M$5+0.000000001,F504&gt;=01_因子設定!$L$6-0.000000001,F504&lt;=01_因子設定!$M$6+0.000000001,G504&gt;=01_因子設定!$L$7-0.000000001,G504&lt;=01_因子設定!$M$7+0.000000001,H504&gt;=01_因子設定!$L$8-0.000000001,H504&lt;=01_因子設定!$M$8+0.000000001,IF(01_因子設定!$B$20="Box-Behnken",E504^2+F504^2+G504^2+H504^2&lt;=2+0.000000001,TRUE()))</f>
        <v>1</v>
      </c>
      <c r="AD504" s="55" t="n">
        <f aca="false">IF(AC504,IF(01_因子設定!$B$13="最大化",AA504-01_因子設定!$B$14,IF(01_因子設定!$B$13="最小化",01_因子設定!$B$15-AB504,MIN(AA504-01_因子設定!$B$14,01_因子設定!$B$15-AB504))),-1E+030)</f>
        <v>-6.65076616559434</v>
      </c>
      <c r="AE504" s="55" t="n">
        <f aca="false">IF(AC504,IF(01_因子設定!$B$13="最大化",X504,IF(01_因子設定!$B$13="最小化",-X504,-ABS(X504-01_因子設定!$B$16))),-1E+030)</f>
        <v>41.4329221491228</v>
      </c>
      <c r="AF504" s="55" t="n">
        <f aca="false">AD504+ROW()*0.000000001</f>
        <v>-6.65076566159434</v>
      </c>
      <c r="AG504" s="55" t="n">
        <f aca="false">AE504+ROW()*0.000000001</f>
        <v>41.4329226531228</v>
      </c>
    </row>
    <row r="505" customFormat="false" ht="15" hidden="false" customHeight="false" outlineLevel="0" collapsed="false">
      <c r="A505" s="0" t="n">
        <v>0</v>
      </c>
      <c r="B505" s="0" t="n">
        <v>6</v>
      </c>
      <c r="C505" s="0" t="n">
        <v>1</v>
      </c>
      <c r="D505" s="0" t="n">
        <v>5</v>
      </c>
      <c r="E505" s="0" t="n">
        <f aca="false">-1+A505*0.25</f>
        <v>-1</v>
      </c>
      <c r="F505" s="0" t="n">
        <f aca="false">-1+B505*0.25</f>
        <v>0.5</v>
      </c>
      <c r="G505" s="0" t="n">
        <f aca="false">-1+C505*0.25</f>
        <v>-0.75</v>
      </c>
      <c r="H505" s="0" t="n">
        <f aca="false">-1+D505*0.25</f>
        <v>0.25</v>
      </c>
      <c r="I505" s="0" t="n">
        <f aca="false">1</f>
        <v>1</v>
      </c>
      <c r="J505" s="0" t="n">
        <f aca="false">E505</f>
        <v>-1</v>
      </c>
      <c r="K505" s="0" t="n">
        <f aca="false">F505</f>
        <v>0.5</v>
      </c>
      <c r="L505" s="0" t="n">
        <f aca="false">G505</f>
        <v>-0.75</v>
      </c>
      <c r="M505" s="0" t="n">
        <f aca="false">H505</f>
        <v>0.25</v>
      </c>
      <c r="N505" s="0" t="n">
        <f aca="false">E505*F505</f>
        <v>-0.5</v>
      </c>
      <c r="O505" s="0" t="n">
        <f aca="false">E505*G505</f>
        <v>0.75</v>
      </c>
      <c r="P505" s="0" t="n">
        <f aca="false">E505*H505</f>
        <v>-0.25</v>
      </c>
      <c r="Q505" s="0" t="n">
        <f aca="false">F505*G505</f>
        <v>-0.375</v>
      </c>
      <c r="R505" s="0" t="n">
        <f aca="false">F505*H505</f>
        <v>0.125</v>
      </c>
      <c r="S505" s="0" t="n">
        <f aca="false">G505*H505</f>
        <v>-0.1875</v>
      </c>
      <c r="T505" s="0" t="n">
        <f aca="false">E505*E505</f>
        <v>1</v>
      </c>
      <c r="U505" s="0" t="n">
        <f aca="false">F505*F505</f>
        <v>0.25</v>
      </c>
      <c r="V505" s="0" t="n">
        <f aca="false">G505*G505</f>
        <v>0.5625</v>
      </c>
      <c r="W505" s="0" t="n">
        <f aca="false">H505*H505</f>
        <v>0.0625</v>
      </c>
      <c r="X505" s="0" t="n">
        <f aca="false">SUMPRODUCT(I505:W505,_XtX!$B$96:$P$96)</f>
        <v>41.3986887792398</v>
      </c>
      <c r="Y505" s="0" t="n">
        <f aca="false">SUMPRODUCT(MMULT(I505:W505,_XtX!$B$78:$P$92),I505:W505)</f>
        <v>0.459125719572369</v>
      </c>
      <c r="Z505" s="0" t="n">
        <f aca="false">04_回帰ANOVA!$K$19*04_回帰ANOVA!$K$14*SQRT(1+Y505)</f>
        <v>1.57450755575573</v>
      </c>
      <c r="AA505" s="0" t="n">
        <f aca="false">X505-Z505</f>
        <v>39.8241812234841</v>
      </c>
      <c r="AB505" s="0" t="n">
        <f aca="false">X505+Z505</f>
        <v>42.9731963349955</v>
      </c>
      <c r="AC505" s="54" t="b">
        <f aca="false">AND(E505&gt;=01_因子設定!$L$5-0.000000001,E505&lt;=01_因子設定!$M$5+0.000000001,F505&gt;=01_因子設定!$L$6-0.000000001,F505&lt;=01_因子設定!$M$6+0.000000001,G505&gt;=01_因子設定!$L$7-0.000000001,G505&lt;=01_因子設定!$M$7+0.000000001,H505&gt;=01_因子設定!$L$8-0.000000001,H505&lt;=01_因子設定!$M$8+0.000000001,IF(01_因子設定!$B$20="Box-Behnken",E505^2+F505^2+G505^2+H505^2&lt;=2+0.000000001,TRUE()))</f>
        <v>1</v>
      </c>
      <c r="AD505" s="55" t="n">
        <f aca="false">IF(AC505,IF(01_因子設定!$B$13="最大化",AA505-01_因子設定!$B$14,IF(01_因子設定!$B$13="最小化",01_因子設定!$B$15-AB505,MIN(AA505-01_因子設定!$B$14,01_因子設定!$B$15-AB505))),-1E+030)</f>
        <v>-6.67581877651593</v>
      </c>
      <c r="AE505" s="55" t="n">
        <f aca="false">IF(AC505,IF(01_因子設定!$B$13="最大化",X505,IF(01_因子設定!$B$13="最小化",-X505,-ABS(X505-01_因子設定!$B$16))),-1E+030)</f>
        <v>41.3986887792398</v>
      </c>
      <c r="AF505" s="55" t="n">
        <f aca="false">AD505+ROW()*0.000000001</f>
        <v>-6.67581827151593</v>
      </c>
      <c r="AG505" s="55" t="n">
        <f aca="false">AE505+ROW()*0.000000001</f>
        <v>41.3986892842398</v>
      </c>
    </row>
    <row r="506" customFormat="false" ht="15" hidden="false" customHeight="false" outlineLevel="0" collapsed="false">
      <c r="A506" s="0" t="n">
        <v>0</v>
      </c>
      <c r="B506" s="0" t="n">
        <v>6</v>
      </c>
      <c r="C506" s="0" t="n">
        <v>1</v>
      </c>
      <c r="D506" s="0" t="n">
        <v>6</v>
      </c>
      <c r="E506" s="0" t="n">
        <f aca="false">-1+A506*0.25</f>
        <v>-1</v>
      </c>
      <c r="F506" s="0" t="n">
        <f aca="false">-1+B506*0.25</f>
        <v>0.5</v>
      </c>
      <c r="G506" s="0" t="n">
        <f aca="false">-1+C506*0.25</f>
        <v>-0.75</v>
      </c>
      <c r="H506" s="0" t="n">
        <f aca="false">-1+D506*0.25</f>
        <v>0.5</v>
      </c>
      <c r="I506" s="0" t="n">
        <f aca="false">1</f>
        <v>1</v>
      </c>
      <c r="J506" s="0" t="n">
        <f aca="false">E506</f>
        <v>-1</v>
      </c>
      <c r="K506" s="0" t="n">
        <f aca="false">F506</f>
        <v>0.5</v>
      </c>
      <c r="L506" s="0" t="n">
        <f aca="false">G506</f>
        <v>-0.75</v>
      </c>
      <c r="M506" s="0" t="n">
        <f aca="false">H506</f>
        <v>0.5</v>
      </c>
      <c r="N506" s="0" t="n">
        <f aca="false">E506*F506</f>
        <v>-0.5</v>
      </c>
      <c r="O506" s="0" t="n">
        <f aca="false">E506*G506</f>
        <v>0.75</v>
      </c>
      <c r="P506" s="0" t="n">
        <f aca="false">E506*H506</f>
        <v>-0.5</v>
      </c>
      <c r="Q506" s="0" t="n">
        <f aca="false">F506*G506</f>
        <v>-0.375</v>
      </c>
      <c r="R506" s="0" t="n">
        <f aca="false">F506*H506</f>
        <v>0.25</v>
      </c>
      <c r="S506" s="0" t="n">
        <f aca="false">G506*H506</f>
        <v>-0.375</v>
      </c>
      <c r="T506" s="0" t="n">
        <f aca="false">E506*E506</f>
        <v>1</v>
      </c>
      <c r="U506" s="0" t="n">
        <f aca="false">F506*F506</f>
        <v>0.25</v>
      </c>
      <c r="V506" s="0" t="n">
        <f aca="false">G506*G506</f>
        <v>0.5625</v>
      </c>
      <c r="W506" s="0" t="n">
        <f aca="false">H506*H506</f>
        <v>0.25</v>
      </c>
      <c r="X506" s="0" t="n">
        <f aca="false">SUMPRODUCT(I506:W506,_XtX!$B$96:$P$96)</f>
        <v>41.3166483918129</v>
      </c>
      <c r="Y506" s="0" t="n">
        <f aca="false">SUMPRODUCT(MMULT(I506:W506,_XtX!$B$78:$P$92),I506:W506)</f>
        <v>0.42602110745614</v>
      </c>
      <c r="Z506" s="0" t="n">
        <f aca="false">04_回帰ANOVA!$K$19*04_回帰ANOVA!$K$14*SQRT(1+Y506)</f>
        <v>1.55654388501114</v>
      </c>
      <c r="AA506" s="0" t="n">
        <f aca="false">X506-Z506</f>
        <v>39.7601045068018</v>
      </c>
      <c r="AB506" s="0" t="n">
        <f aca="false">X506+Z506</f>
        <v>42.873192276824</v>
      </c>
      <c r="AC506" s="54" t="b">
        <f aca="false">AND(E506&gt;=01_因子設定!$L$5-0.000000001,E506&lt;=01_因子設定!$M$5+0.000000001,F506&gt;=01_因子設定!$L$6-0.000000001,F506&lt;=01_因子設定!$M$6+0.000000001,G506&gt;=01_因子設定!$L$7-0.000000001,G506&lt;=01_因子設定!$M$7+0.000000001,H506&gt;=01_因子設定!$L$8-0.000000001,H506&lt;=01_因子設定!$M$8+0.000000001,IF(01_因子設定!$B$20="Box-Behnken",E506^2+F506^2+G506^2+H506^2&lt;=2+0.000000001,TRUE()))</f>
        <v>1</v>
      </c>
      <c r="AD506" s="55" t="n">
        <f aca="false">IF(AC506,IF(01_因子設定!$B$13="最大化",AA506-01_因子設定!$B$14,IF(01_因子設定!$B$13="最小化",01_因子設定!$B$15-AB506,MIN(AA506-01_因子設定!$B$14,01_因子設定!$B$15-AB506))),-1E+030)</f>
        <v>-6.73989549319823</v>
      </c>
      <c r="AE506" s="55" t="n">
        <f aca="false">IF(AC506,IF(01_因子設定!$B$13="最大化",X506,IF(01_因子設定!$B$13="最小化",-X506,-ABS(X506-01_因子設定!$B$16))),-1E+030)</f>
        <v>41.3166483918129</v>
      </c>
      <c r="AF506" s="55" t="n">
        <f aca="false">AD506+ROW()*0.000000001</f>
        <v>-6.73989498719823</v>
      </c>
      <c r="AG506" s="55" t="n">
        <f aca="false">AE506+ROW()*0.000000001</f>
        <v>41.3166488978129</v>
      </c>
    </row>
    <row r="507" customFormat="false" ht="15" hidden="false" customHeight="false" outlineLevel="0" collapsed="false">
      <c r="A507" s="0" t="n">
        <v>0</v>
      </c>
      <c r="B507" s="0" t="n">
        <v>6</v>
      </c>
      <c r="C507" s="0" t="n">
        <v>1</v>
      </c>
      <c r="D507" s="0" t="n">
        <v>7</v>
      </c>
      <c r="E507" s="0" t="n">
        <f aca="false">-1+A507*0.25</f>
        <v>-1</v>
      </c>
      <c r="F507" s="0" t="n">
        <f aca="false">-1+B507*0.25</f>
        <v>0.5</v>
      </c>
      <c r="G507" s="0" t="n">
        <f aca="false">-1+C507*0.25</f>
        <v>-0.75</v>
      </c>
      <c r="H507" s="0" t="n">
        <f aca="false">-1+D507*0.25</f>
        <v>0.75</v>
      </c>
      <c r="I507" s="0" t="n">
        <f aca="false">1</f>
        <v>1</v>
      </c>
      <c r="J507" s="0" t="n">
        <f aca="false">E507</f>
        <v>-1</v>
      </c>
      <c r="K507" s="0" t="n">
        <f aca="false">F507</f>
        <v>0.5</v>
      </c>
      <c r="L507" s="0" t="n">
        <f aca="false">G507</f>
        <v>-0.75</v>
      </c>
      <c r="M507" s="0" t="n">
        <f aca="false">H507</f>
        <v>0.75</v>
      </c>
      <c r="N507" s="0" t="n">
        <f aca="false">E507*F507</f>
        <v>-0.5</v>
      </c>
      <c r="O507" s="0" t="n">
        <f aca="false">E507*G507</f>
        <v>0.75</v>
      </c>
      <c r="P507" s="0" t="n">
        <f aca="false">E507*H507</f>
        <v>-0.75</v>
      </c>
      <c r="Q507" s="0" t="n">
        <f aca="false">F507*G507</f>
        <v>-0.375</v>
      </c>
      <c r="R507" s="0" t="n">
        <f aca="false">F507*H507</f>
        <v>0.375</v>
      </c>
      <c r="S507" s="0" t="n">
        <f aca="false">G507*H507</f>
        <v>-0.5625</v>
      </c>
      <c r="T507" s="0" t="n">
        <f aca="false">E507*E507</f>
        <v>1</v>
      </c>
      <c r="U507" s="0" t="n">
        <f aca="false">F507*F507</f>
        <v>0.25</v>
      </c>
      <c r="V507" s="0" t="n">
        <f aca="false">G507*G507</f>
        <v>0.5625</v>
      </c>
      <c r="W507" s="0" t="n">
        <f aca="false">H507*H507</f>
        <v>0.5625</v>
      </c>
      <c r="X507" s="0" t="n">
        <f aca="false">SUMPRODUCT(I507:W507,_XtX!$B$96:$P$96)</f>
        <v>41.1868009868422</v>
      </c>
      <c r="Y507" s="0" t="n">
        <f aca="false">SUMPRODUCT(MMULT(I507:W507,_XtX!$B$78:$P$92),I507:W507)</f>
        <v>0.431153771472953</v>
      </c>
      <c r="Z507" s="0" t="n">
        <f aca="false">04_回帰ANOVA!$K$19*04_回帰ANOVA!$K$14*SQRT(1+Y507)</f>
        <v>1.55934259562563</v>
      </c>
      <c r="AA507" s="0" t="n">
        <f aca="false">X507-Z507</f>
        <v>39.6274583912165</v>
      </c>
      <c r="AB507" s="0" t="n">
        <f aca="false">X507+Z507</f>
        <v>42.7461435824678</v>
      </c>
      <c r="AC507" s="54" t="b">
        <f aca="false">AND(E507&gt;=01_因子設定!$L$5-0.000000001,E507&lt;=01_因子設定!$M$5+0.000000001,F507&gt;=01_因子設定!$L$6-0.000000001,F507&lt;=01_因子設定!$M$6+0.000000001,G507&gt;=01_因子設定!$L$7-0.000000001,G507&lt;=01_因子設定!$M$7+0.000000001,H507&gt;=01_因子設定!$L$8-0.000000001,H507&lt;=01_因子設定!$M$8+0.000000001,IF(01_因子設定!$B$20="Box-Behnken",E507^2+F507^2+G507^2+H507^2&lt;=2+0.000000001,TRUE()))</f>
        <v>1</v>
      </c>
      <c r="AD507" s="55" t="n">
        <f aca="false">IF(AC507,IF(01_因子設定!$B$13="最大化",AA507-01_因子設定!$B$14,IF(01_因子設定!$B$13="最小化",01_因子設定!$B$15-AB507,MIN(AA507-01_因子設定!$B$14,01_因子設定!$B$15-AB507))),-1E+030)</f>
        <v>-6.87254160878348</v>
      </c>
      <c r="AE507" s="55" t="n">
        <f aca="false">IF(AC507,IF(01_因子設定!$B$13="最大化",X507,IF(01_因子設定!$B$13="最小化",-X507,-ABS(X507-01_因子設定!$B$16))),-1E+030)</f>
        <v>41.1868009868422</v>
      </c>
      <c r="AF507" s="55" t="n">
        <f aca="false">AD507+ROW()*0.000000001</f>
        <v>-6.87254110178348</v>
      </c>
      <c r="AG507" s="55" t="n">
        <f aca="false">AE507+ROW()*0.000000001</f>
        <v>41.1868014938422</v>
      </c>
    </row>
    <row r="508" customFormat="false" ht="15" hidden="false" customHeight="false" outlineLevel="0" collapsed="false">
      <c r="A508" s="0" t="n">
        <v>0</v>
      </c>
      <c r="B508" s="0" t="n">
        <v>6</v>
      </c>
      <c r="C508" s="0" t="n">
        <v>1</v>
      </c>
      <c r="D508" s="0" t="n">
        <v>8</v>
      </c>
      <c r="E508" s="0" t="n">
        <f aca="false">-1+A508*0.25</f>
        <v>-1</v>
      </c>
      <c r="F508" s="0" t="n">
        <f aca="false">-1+B508*0.25</f>
        <v>0.5</v>
      </c>
      <c r="G508" s="0" t="n">
        <f aca="false">-1+C508*0.25</f>
        <v>-0.75</v>
      </c>
      <c r="H508" s="0" t="n">
        <f aca="false">-1+D508*0.25</f>
        <v>1</v>
      </c>
      <c r="I508" s="0" t="n">
        <f aca="false">1</f>
        <v>1</v>
      </c>
      <c r="J508" s="0" t="n">
        <f aca="false">E508</f>
        <v>-1</v>
      </c>
      <c r="K508" s="0" t="n">
        <f aca="false">F508</f>
        <v>0.5</v>
      </c>
      <c r="L508" s="0" t="n">
        <f aca="false">G508</f>
        <v>-0.75</v>
      </c>
      <c r="M508" s="0" t="n">
        <f aca="false">H508</f>
        <v>1</v>
      </c>
      <c r="N508" s="0" t="n">
        <f aca="false">E508*F508</f>
        <v>-0.5</v>
      </c>
      <c r="O508" s="0" t="n">
        <f aca="false">E508*G508</f>
        <v>0.75</v>
      </c>
      <c r="P508" s="0" t="n">
        <f aca="false">E508*H508</f>
        <v>-1</v>
      </c>
      <c r="Q508" s="0" t="n">
        <f aca="false">F508*G508</f>
        <v>-0.375</v>
      </c>
      <c r="R508" s="0" t="n">
        <f aca="false">F508*H508</f>
        <v>0.5</v>
      </c>
      <c r="S508" s="0" t="n">
        <f aca="false">G508*H508</f>
        <v>-0.75</v>
      </c>
      <c r="T508" s="0" t="n">
        <f aca="false">E508*E508</f>
        <v>1</v>
      </c>
      <c r="U508" s="0" t="n">
        <f aca="false">F508*F508</f>
        <v>0.25</v>
      </c>
      <c r="V508" s="0" t="n">
        <f aca="false">G508*G508</f>
        <v>0.5625</v>
      </c>
      <c r="W508" s="0" t="n">
        <f aca="false">H508*H508</f>
        <v>1</v>
      </c>
      <c r="X508" s="0" t="n">
        <f aca="false">SUMPRODUCT(I508:W508,_XtX!$B$96:$P$96)</f>
        <v>41.0091465643276</v>
      </c>
      <c r="Y508" s="0" t="n">
        <f aca="false">SUMPRODUCT(MMULT(I508:W508,_XtX!$B$78:$P$92),I508:W508)</f>
        <v>0.564984237938597</v>
      </c>
      <c r="Z508" s="0" t="n">
        <f aca="false">04_回帰ANOVA!$K$19*04_回帰ANOVA!$K$14*SQRT(1+Y508)</f>
        <v>1.63062229734503</v>
      </c>
      <c r="AA508" s="0" t="n">
        <f aca="false">X508-Z508</f>
        <v>39.3785242669825</v>
      </c>
      <c r="AB508" s="0" t="n">
        <f aca="false">X508+Z508</f>
        <v>42.6397688616726</v>
      </c>
      <c r="AC508" s="54" t="b">
        <f aca="false">AND(E508&gt;=01_因子設定!$L$5-0.000000001,E508&lt;=01_因子設定!$M$5+0.000000001,F508&gt;=01_因子設定!$L$6-0.000000001,F508&lt;=01_因子設定!$M$6+0.000000001,G508&gt;=01_因子設定!$L$7-0.000000001,G508&lt;=01_因子設定!$M$7+0.000000001,H508&gt;=01_因子設定!$L$8-0.000000001,H508&lt;=01_因子設定!$M$8+0.000000001,IF(01_因子設定!$B$20="Box-Behnken",E508^2+F508^2+G508^2+H508^2&lt;=2+0.000000001,TRUE()))</f>
        <v>1</v>
      </c>
      <c r="AD508" s="55" t="n">
        <f aca="false">IF(AC508,IF(01_因子設定!$B$13="最大化",AA508-01_因子設定!$B$14,IF(01_因子設定!$B$13="最小化",01_因子設定!$B$15-AB508,MIN(AA508-01_因子設定!$B$14,01_因子設定!$B$15-AB508))),-1E+030)</f>
        <v>-7.12147573301748</v>
      </c>
      <c r="AE508" s="55" t="n">
        <f aca="false">IF(AC508,IF(01_因子設定!$B$13="最大化",X508,IF(01_因子設定!$B$13="最小化",-X508,-ABS(X508-01_因子設定!$B$16))),-1E+030)</f>
        <v>41.0091465643276</v>
      </c>
      <c r="AF508" s="55" t="n">
        <f aca="false">AD508+ROW()*0.000000001</f>
        <v>-7.12147522501748</v>
      </c>
      <c r="AG508" s="55" t="n">
        <f aca="false">AE508+ROW()*0.000000001</f>
        <v>41.0091470723276</v>
      </c>
    </row>
    <row r="509" customFormat="false" ht="15" hidden="false" customHeight="false" outlineLevel="0" collapsed="false">
      <c r="A509" s="0" t="n">
        <v>0</v>
      </c>
      <c r="B509" s="0" t="n">
        <v>6</v>
      </c>
      <c r="C509" s="0" t="n">
        <v>2</v>
      </c>
      <c r="D509" s="0" t="n">
        <v>0</v>
      </c>
      <c r="E509" s="0" t="n">
        <f aca="false">-1+A509*0.25</f>
        <v>-1</v>
      </c>
      <c r="F509" s="0" t="n">
        <f aca="false">-1+B509*0.25</f>
        <v>0.5</v>
      </c>
      <c r="G509" s="0" t="n">
        <f aca="false">-1+C509*0.25</f>
        <v>-0.5</v>
      </c>
      <c r="H509" s="0" t="n">
        <f aca="false">-1+D509*0.25</f>
        <v>-1</v>
      </c>
      <c r="I509" s="0" t="n">
        <f aca="false">1</f>
        <v>1</v>
      </c>
      <c r="J509" s="0" t="n">
        <f aca="false">E509</f>
        <v>-1</v>
      </c>
      <c r="K509" s="0" t="n">
        <f aca="false">F509</f>
        <v>0.5</v>
      </c>
      <c r="L509" s="0" t="n">
        <f aca="false">G509</f>
        <v>-0.5</v>
      </c>
      <c r="M509" s="0" t="n">
        <f aca="false">H509</f>
        <v>-1</v>
      </c>
      <c r="N509" s="0" t="n">
        <f aca="false">E509*F509</f>
        <v>-0.5</v>
      </c>
      <c r="O509" s="0" t="n">
        <f aca="false">E509*G509</f>
        <v>0.5</v>
      </c>
      <c r="P509" s="0" t="n">
        <f aca="false">E509*H509</f>
        <v>1</v>
      </c>
      <c r="Q509" s="0" t="n">
        <f aca="false">F509*G509</f>
        <v>-0.25</v>
      </c>
      <c r="R509" s="0" t="n">
        <f aca="false">F509*H509</f>
        <v>-0.5</v>
      </c>
      <c r="S509" s="0" t="n">
        <f aca="false">G509*H509</f>
        <v>0.5</v>
      </c>
      <c r="T509" s="0" t="n">
        <f aca="false">E509*E509</f>
        <v>1</v>
      </c>
      <c r="U509" s="0" t="n">
        <f aca="false">F509*F509</f>
        <v>0.25</v>
      </c>
      <c r="V509" s="0" t="n">
        <f aca="false">G509*G509</f>
        <v>0.25</v>
      </c>
      <c r="W509" s="0" t="n">
        <f aca="false">H509*H509</f>
        <v>1</v>
      </c>
      <c r="X509" s="0" t="n">
        <f aca="false">SUMPRODUCT(I509:W509,_XtX!$B$96:$P$96)</f>
        <v>41.6805738304094</v>
      </c>
      <c r="Y509" s="0" t="n">
        <f aca="false">SUMPRODUCT(MMULT(I509:W509,_XtX!$B$78:$P$92),I509:W509)</f>
        <v>0.582488121345029</v>
      </c>
      <c r="Z509" s="0" t="n">
        <f aca="false">04_回帰ANOVA!$K$19*04_回帰ANOVA!$K$14*SQRT(1+Y509)</f>
        <v>1.63971595338287</v>
      </c>
      <c r="AA509" s="0" t="n">
        <f aca="false">X509-Z509</f>
        <v>40.0408578770266</v>
      </c>
      <c r="AB509" s="0" t="n">
        <f aca="false">X509+Z509</f>
        <v>43.3202897837923</v>
      </c>
      <c r="AC509" s="54" t="b">
        <f aca="false">AND(E509&gt;=01_因子設定!$L$5-0.000000001,E509&lt;=01_因子設定!$M$5+0.000000001,F509&gt;=01_因子設定!$L$6-0.000000001,F509&lt;=01_因子設定!$M$6+0.000000001,G509&gt;=01_因子設定!$L$7-0.000000001,G509&lt;=01_因子設定!$M$7+0.000000001,H509&gt;=01_因子設定!$L$8-0.000000001,H509&lt;=01_因子設定!$M$8+0.000000001,IF(01_因子設定!$B$20="Box-Behnken",E509^2+F509^2+G509^2+H509^2&lt;=2+0.000000001,TRUE()))</f>
        <v>1</v>
      </c>
      <c r="AD509" s="55" t="n">
        <f aca="false">IF(AC509,IF(01_因子設定!$B$13="最大化",AA509-01_因子設定!$B$14,IF(01_因子設定!$B$13="最小化",01_因子設定!$B$15-AB509,MIN(AA509-01_因子設定!$B$14,01_因子設定!$B$15-AB509))),-1E+030)</f>
        <v>-6.45914212297345</v>
      </c>
      <c r="AE509" s="55" t="n">
        <f aca="false">IF(AC509,IF(01_因子設定!$B$13="最大化",X509,IF(01_因子設定!$B$13="最小化",-X509,-ABS(X509-01_因子設定!$B$16))),-1E+030)</f>
        <v>41.6805738304094</v>
      </c>
      <c r="AF509" s="55" t="n">
        <f aca="false">AD509+ROW()*0.000000001</f>
        <v>-6.45914161397345</v>
      </c>
      <c r="AG509" s="55" t="n">
        <f aca="false">AE509+ROW()*0.000000001</f>
        <v>41.6805743394094</v>
      </c>
    </row>
    <row r="510" customFormat="false" ht="15" hidden="false" customHeight="false" outlineLevel="0" collapsed="false">
      <c r="A510" s="0" t="n">
        <v>0</v>
      </c>
      <c r="B510" s="0" t="n">
        <v>6</v>
      </c>
      <c r="C510" s="0" t="n">
        <v>2</v>
      </c>
      <c r="D510" s="0" t="n">
        <v>1</v>
      </c>
      <c r="E510" s="0" t="n">
        <f aca="false">-1+A510*0.25</f>
        <v>-1</v>
      </c>
      <c r="F510" s="0" t="n">
        <f aca="false">-1+B510*0.25</f>
        <v>0.5</v>
      </c>
      <c r="G510" s="0" t="n">
        <f aca="false">-1+C510*0.25</f>
        <v>-0.5</v>
      </c>
      <c r="H510" s="0" t="n">
        <f aca="false">-1+D510*0.25</f>
        <v>-0.75</v>
      </c>
      <c r="I510" s="0" t="n">
        <f aca="false">1</f>
        <v>1</v>
      </c>
      <c r="J510" s="0" t="n">
        <f aca="false">E510</f>
        <v>-1</v>
      </c>
      <c r="K510" s="0" t="n">
        <f aca="false">F510</f>
        <v>0.5</v>
      </c>
      <c r="L510" s="0" t="n">
        <f aca="false">G510</f>
        <v>-0.5</v>
      </c>
      <c r="M510" s="0" t="n">
        <f aca="false">H510</f>
        <v>-0.75</v>
      </c>
      <c r="N510" s="0" t="n">
        <f aca="false">E510*F510</f>
        <v>-0.5</v>
      </c>
      <c r="O510" s="0" t="n">
        <f aca="false">E510*G510</f>
        <v>0.5</v>
      </c>
      <c r="P510" s="0" t="n">
        <f aca="false">E510*H510</f>
        <v>0.75</v>
      </c>
      <c r="Q510" s="0" t="n">
        <f aca="false">F510*G510</f>
        <v>-0.25</v>
      </c>
      <c r="R510" s="0" t="n">
        <f aca="false">F510*H510</f>
        <v>-0.375</v>
      </c>
      <c r="S510" s="0" t="n">
        <f aca="false">G510*H510</f>
        <v>0.375</v>
      </c>
      <c r="T510" s="0" t="n">
        <f aca="false">E510*E510</f>
        <v>1</v>
      </c>
      <c r="U510" s="0" t="n">
        <f aca="false">F510*F510</f>
        <v>0.25</v>
      </c>
      <c r="V510" s="0" t="n">
        <f aca="false">G510*G510</f>
        <v>0.25</v>
      </c>
      <c r="W510" s="0" t="n">
        <f aca="false">H510*H510</f>
        <v>0.5625</v>
      </c>
      <c r="X510" s="0" t="n">
        <f aca="false">SUMPRODUCT(I510:W510,_XtX!$B$96:$P$96)</f>
        <v>41.8555372807018</v>
      </c>
      <c r="Y510" s="0" t="n">
        <f aca="false">SUMPRODUCT(MMULT(I510:W510,_XtX!$B$78:$P$92),I510:W510)</f>
        <v>0.42602110745614</v>
      </c>
      <c r="Z510" s="0" t="n">
        <f aca="false">04_回帰ANOVA!$K$19*04_回帰ANOVA!$K$14*SQRT(1+Y510)</f>
        <v>1.55654388501114</v>
      </c>
      <c r="AA510" s="0" t="n">
        <f aca="false">X510-Z510</f>
        <v>40.2989933956907</v>
      </c>
      <c r="AB510" s="0" t="n">
        <f aca="false">X510+Z510</f>
        <v>43.4120811657129</v>
      </c>
      <c r="AC510" s="54" t="b">
        <f aca="false">AND(E510&gt;=01_因子設定!$L$5-0.000000001,E510&lt;=01_因子設定!$M$5+0.000000001,F510&gt;=01_因子設定!$L$6-0.000000001,F510&lt;=01_因子設定!$M$6+0.000000001,G510&gt;=01_因子設定!$L$7-0.000000001,G510&lt;=01_因子設定!$M$7+0.000000001,H510&gt;=01_因子設定!$L$8-0.000000001,H510&lt;=01_因子設定!$M$8+0.000000001,IF(01_因子設定!$B$20="Box-Behnken",E510^2+F510^2+G510^2+H510^2&lt;=2+0.000000001,TRUE()))</f>
        <v>1</v>
      </c>
      <c r="AD510" s="55" t="n">
        <f aca="false">IF(AC510,IF(01_因子設定!$B$13="最大化",AA510-01_因子設定!$B$14,IF(01_因子設定!$B$13="最小化",01_因子設定!$B$15-AB510,MIN(AA510-01_因子設定!$B$14,01_因子設定!$B$15-AB510))),-1E+030)</f>
        <v>-6.20100660430934</v>
      </c>
      <c r="AE510" s="55" t="n">
        <f aca="false">IF(AC510,IF(01_因子設定!$B$13="最大化",X510,IF(01_因子設定!$B$13="最小化",-X510,-ABS(X510-01_因子設定!$B$16))),-1E+030)</f>
        <v>41.8555372807018</v>
      </c>
      <c r="AF510" s="55" t="n">
        <f aca="false">AD510+ROW()*0.000000001</f>
        <v>-6.20100609430934</v>
      </c>
      <c r="AG510" s="55" t="n">
        <f aca="false">AE510+ROW()*0.000000001</f>
        <v>41.8555377907018</v>
      </c>
    </row>
    <row r="511" customFormat="false" ht="15" hidden="false" customHeight="false" outlineLevel="0" collapsed="false">
      <c r="A511" s="0" t="n">
        <v>0</v>
      </c>
      <c r="B511" s="0" t="n">
        <v>6</v>
      </c>
      <c r="C511" s="0" t="n">
        <v>2</v>
      </c>
      <c r="D511" s="0" t="n">
        <v>2</v>
      </c>
      <c r="E511" s="0" t="n">
        <f aca="false">-1+A511*0.25</f>
        <v>-1</v>
      </c>
      <c r="F511" s="0" t="n">
        <f aca="false">-1+B511*0.25</f>
        <v>0.5</v>
      </c>
      <c r="G511" s="0" t="n">
        <f aca="false">-1+C511*0.25</f>
        <v>-0.5</v>
      </c>
      <c r="H511" s="0" t="n">
        <f aca="false">-1+D511*0.25</f>
        <v>-0.5</v>
      </c>
      <c r="I511" s="0" t="n">
        <f aca="false">1</f>
        <v>1</v>
      </c>
      <c r="J511" s="0" t="n">
        <f aca="false">E511</f>
        <v>-1</v>
      </c>
      <c r="K511" s="0" t="n">
        <f aca="false">F511</f>
        <v>0.5</v>
      </c>
      <c r="L511" s="0" t="n">
        <f aca="false">G511</f>
        <v>-0.5</v>
      </c>
      <c r="M511" s="0" t="n">
        <f aca="false">H511</f>
        <v>-0.5</v>
      </c>
      <c r="N511" s="0" t="n">
        <f aca="false">E511*F511</f>
        <v>-0.5</v>
      </c>
      <c r="O511" s="0" t="n">
        <f aca="false">E511*G511</f>
        <v>0.5</v>
      </c>
      <c r="P511" s="0" t="n">
        <f aca="false">E511*H511</f>
        <v>0.5</v>
      </c>
      <c r="Q511" s="0" t="n">
        <f aca="false">F511*G511</f>
        <v>-0.25</v>
      </c>
      <c r="R511" s="0" t="n">
        <f aca="false">F511*H511</f>
        <v>-0.25</v>
      </c>
      <c r="S511" s="0" t="n">
        <f aca="false">G511*H511</f>
        <v>0.25</v>
      </c>
      <c r="T511" s="0" t="n">
        <f aca="false">E511*E511</f>
        <v>1</v>
      </c>
      <c r="U511" s="0" t="n">
        <f aca="false">F511*F511</f>
        <v>0.25</v>
      </c>
      <c r="V511" s="0" t="n">
        <f aca="false">G511*G511</f>
        <v>0.25</v>
      </c>
      <c r="W511" s="0" t="n">
        <f aca="false">H511*H511</f>
        <v>0.25</v>
      </c>
      <c r="X511" s="0" t="n">
        <f aca="false">SUMPRODUCT(I511:W511,_XtX!$B$96:$P$96)</f>
        <v>41.9826937134503</v>
      </c>
      <c r="Y511" s="0" t="n">
        <f aca="false">SUMPRODUCT(MMULT(I511:W511,_XtX!$B$78:$P$92),I511:W511)</f>
        <v>0.404719480994152</v>
      </c>
      <c r="Z511" s="0" t="n">
        <f aca="false">04_回帰ANOVA!$K$19*04_回帰ANOVA!$K$14*SQRT(1+Y511)</f>
        <v>1.54487446697867</v>
      </c>
      <c r="AA511" s="0" t="n">
        <f aca="false">X511-Z511</f>
        <v>40.4378192464717</v>
      </c>
      <c r="AB511" s="0" t="n">
        <f aca="false">X511+Z511</f>
        <v>43.527568180429</v>
      </c>
      <c r="AC511" s="54" t="b">
        <f aca="false">AND(E511&gt;=01_因子設定!$L$5-0.000000001,E511&lt;=01_因子設定!$M$5+0.000000001,F511&gt;=01_因子設定!$L$6-0.000000001,F511&lt;=01_因子設定!$M$6+0.000000001,G511&gt;=01_因子設定!$L$7-0.000000001,G511&lt;=01_因子設定!$M$7+0.000000001,H511&gt;=01_因子設定!$L$8-0.000000001,H511&lt;=01_因子設定!$M$8+0.000000001,IF(01_因子設定!$B$20="Box-Behnken",E511^2+F511^2+G511^2+H511^2&lt;=2+0.000000001,TRUE()))</f>
        <v>1</v>
      </c>
      <c r="AD511" s="55" t="n">
        <f aca="false">IF(AC511,IF(01_因子設定!$B$13="最大化",AA511-01_因子設定!$B$14,IF(01_因子設定!$B$13="最小化",01_因子設定!$B$15-AB511,MIN(AA511-01_因子設定!$B$14,01_因子設定!$B$15-AB511))),-1E+030)</f>
        <v>-6.06218075352835</v>
      </c>
      <c r="AE511" s="55" t="n">
        <f aca="false">IF(AC511,IF(01_因子設定!$B$13="最大化",X511,IF(01_因子設定!$B$13="最小化",-X511,-ABS(X511-01_因子設定!$B$16))),-1E+030)</f>
        <v>41.9826937134503</v>
      </c>
      <c r="AF511" s="55" t="n">
        <f aca="false">AD511+ROW()*0.000000001</f>
        <v>-6.06218024252835</v>
      </c>
      <c r="AG511" s="55" t="n">
        <f aca="false">AE511+ROW()*0.000000001</f>
        <v>41.9826942244503</v>
      </c>
    </row>
    <row r="512" customFormat="false" ht="15" hidden="false" customHeight="false" outlineLevel="0" collapsed="false">
      <c r="A512" s="0" t="n">
        <v>0</v>
      </c>
      <c r="B512" s="0" t="n">
        <v>6</v>
      </c>
      <c r="C512" s="0" t="n">
        <v>2</v>
      </c>
      <c r="D512" s="0" t="n">
        <v>3</v>
      </c>
      <c r="E512" s="0" t="n">
        <f aca="false">-1+A512*0.25</f>
        <v>-1</v>
      </c>
      <c r="F512" s="0" t="n">
        <f aca="false">-1+B512*0.25</f>
        <v>0.5</v>
      </c>
      <c r="G512" s="0" t="n">
        <f aca="false">-1+C512*0.25</f>
        <v>-0.5</v>
      </c>
      <c r="H512" s="0" t="n">
        <f aca="false">-1+D512*0.25</f>
        <v>-0.25</v>
      </c>
      <c r="I512" s="0" t="n">
        <f aca="false">1</f>
        <v>1</v>
      </c>
      <c r="J512" s="0" t="n">
        <f aca="false">E512</f>
        <v>-1</v>
      </c>
      <c r="K512" s="0" t="n">
        <f aca="false">F512</f>
        <v>0.5</v>
      </c>
      <c r="L512" s="0" t="n">
        <f aca="false">G512</f>
        <v>-0.5</v>
      </c>
      <c r="M512" s="0" t="n">
        <f aca="false">H512</f>
        <v>-0.25</v>
      </c>
      <c r="N512" s="0" t="n">
        <f aca="false">E512*F512</f>
        <v>-0.5</v>
      </c>
      <c r="O512" s="0" t="n">
        <f aca="false">E512*G512</f>
        <v>0.5</v>
      </c>
      <c r="P512" s="0" t="n">
        <f aca="false">E512*H512</f>
        <v>0.25</v>
      </c>
      <c r="Q512" s="0" t="n">
        <f aca="false">F512*G512</f>
        <v>-0.25</v>
      </c>
      <c r="R512" s="0" t="n">
        <f aca="false">F512*H512</f>
        <v>-0.125</v>
      </c>
      <c r="S512" s="0" t="n">
        <f aca="false">G512*H512</f>
        <v>0.125</v>
      </c>
      <c r="T512" s="0" t="n">
        <f aca="false">E512*E512</f>
        <v>1</v>
      </c>
      <c r="U512" s="0" t="n">
        <f aca="false">F512*F512</f>
        <v>0.25</v>
      </c>
      <c r="V512" s="0" t="n">
        <f aca="false">G512*G512</f>
        <v>0.25</v>
      </c>
      <c r="W512" s="0" t="n">
        <f aca="false">H512*H512</f>
        <v>0.0625</v>
      </c>
      <c r="X512" s="0" t="n">
        <f aca="false">SUMPRODUCT(I512:W512,_XtX!$B$96:$P$96)</f>
        <v>42.062043128655</v>
      </c>
      <c r="Y512" s="0" t="n">
        <f aca="false">SUMPRODUCT(MMULT(I512:W512,_XtX!$B$78:$P$92),I512:W512)</f>
        <v>0.428122715643275</v>
      </c>
      <c r="Z512" s="0" t="n">
        <f aca="false">04_回帰ANOVA!$K$19*04_回帰ANOVA!$K$14*SQRT(1+Y512)</f>
        <v>1.55769044623229</v>
      </c>
      <c r="AA512" s="0" t="n">
        <f aca="false">X512-Z512</f>
        <v>40.5043526824227</v>
      </c>
      <c r="AB512" s="0" t="n">
        <f aca="false">X512+Z512</f>
        <v>43.6197335748873</v>
      </c>
      <c r="AC512" s="54" t="b">
        <f aca="false">AND(E512&gt;=01_因子設定!$L$5-0.000000001,E512&lt;=01_因子設定!$M$5+0.000000001,F512&gt;=01_因子設定!$L$6-0.000000001,F512&lt;=01_因子設定!$M$6+0.000000001,G512&gt;=01_因子設定!$L$7-0.000000001,G512&lt;=01_因子設定!$M$7+0.000000001,H512&gt;=01_因子設定!$L$8-0.000000001,H512&lt;=01_因子設定!$M$8+0.000000001,IF(01_因子設定!$B$20="Box-Behnken",E512^2+F512^2+G512^2+H512^2&lt;=2+0.000000001,TRUE()))</f>
        <v>1</v>
      </c>
      <c r="AD512" s="55" t="n">
        <f aca="false">IF(AC512,IF(01_因子設定!$B$13="最大化",AA512-01_因子設定!$B$14,IF(01_因子設定!$B$13="最小化",01_因子設定!$B$15-AB512,MIN(AA512-01_因子設定!$B$14,01_因子設定!$B$15-AB512))),-1E+030)</f>
        <v>-5.99564731757729</v>
      </c>
      <c r="AE512" s="55" t="n">
        <f aca="false">IF(AC512,IF(01_因子設定!$B$13="最大化",X512,IF(01_因子設定!$B$13="最小化",-X512,-ABS(X512-01_因子設定!$B$16))),-1E+030)</f>
        <v>42.062043128655</v>
      </c>
      <c r="AF512" s="55" t="n">
        <f aca="false">AD512+ROW()*0.000000001</f>
        <v>-5.99564680557729</v>
      </c>
      <c r="AG512" s="55" t="n">
        <f aca="false">AE512+ROW()*0.000000001</f>
        <v>42.062043640655</v>
      </c>
    </row>
    <row r="513" customFormat="false" ht="15" hidden="false" customHeight="false" outlineLevel="0" collapsed="false">
      <c r="A513" s="0" t="n">
        <v>0</v>
      </c>
      <c r="B513" s="0" t="n">
        <v>6</v>
      </c>
      <c r="C513" s="0" t="n">
        <v>2</v>
      </c>
      <c r="D513" s="0" t="n">
        <v>4</v>
      </c>
      <c r="E513" s="0" t="n">
        <f aca="false">-1+A513*0.25</f>
        <v>-1</v>
      </c>
      <c r="F513" s="0" t="n">
        <f aca="false">-1+B513*0.25</f>
        <v>0.5</v>
      </c>
      <c r="G513" s="0" t="n">
        <f aca="false">-1+C513*0.25</f>
        <v>-0.5</v>
      </c>
      <c r="H513" s="0" t="n">
        <f aca="false">-1+D513*0.25</f>
        <v>0</v>
      </c>
      <c r="I513" s="0" t="n">
        <f aca="false">1</f>
        <v>1</v>
      </c>
      <c r="J513" s="0" t="n">
        <f aca="false">E513</f>
        <v>-1</v>
      </c>
      <c r="K513" s="0" t="n">
        <f aca="false">F513</f>
        <v>0.5</v>
      </c>
      <c r="L513" s="0" t="n">
        <f aca="false">G513</f>
        <v>-0.5</v>
      </c>
      <c r="M513" s="0" t="n">
        <f aca="false">H513</f>
        <v>0</v>
      </c>
      <c r="N513" s="0" t="n">
        <f aca="false">E513*F513</f>
        <v>-0.5</v>
      </c>
      <c r="O513" s="0" t="n">
        <f aca="false">E513*G513</f>
        <v>0.5</v>
      </c>
      <c r="P513" s="0" t="n">
        <f aca="false">E513*H513</f>
        <v>-0</v>
      </c>
      <c r="Q513" s="0" t="n">
        <f aca="false">F513*G513</f>
        <v>-0.25</v>
      </c>
      <c r="R513" s="0" t="n">
        <f aca="false">F513*H513</f>
        <v>0</v>
      </c>
      <c r="S513" s="0" t="n">
        <f aca="false">G513*H513</f>
        <v>-0</v>
      </c>
      <c r="T513" s="0" t="n">
        <f aca="false">E513*E513</f>
        <v>1</v>
      </c>
      <c r="U513" s="0" t="n">
        <f aca="false">F513*F513</f>
        <v>0.25</v>
      </c>
      <c r="V513" s="0" t="n">
        <f aca="false">G513*G513</f>
        <v>0.25</v>
      </c>
      <c r="W513" s="0" t="n">
        <f aca="false">H513*H513</f>
        <v>0</v>
      </c>
      <c r="X513" s="0" t="n">
        <f aca="false">SUMPRODUCT(I513:W513,_XtX!$B$96:$P$96)</f>
        <v>42.0935855263158</v>
      </c>
      <c r="Y513" s="0" t="n">
        <f aca="false">SUMPRODUCT(MMULT(I513:W513,_XtX!$B$78:$P$92),I513:W513)</f>
        <v>0.441954495614035</v>
      </c>
      <c r="Z513" s="0" t="n">
        <f aca="false">04_回帰ANOVA!$K$19*04_回帰ANOVA!$K$14*SQRT(1+Y513)</f>
        <v>1.56521560968066</v>
      </c>
      <c r="AA513" s="0" t="n">
        <f aca="false">X513-Z513</f>
        <v>40.5283699166352</v>
      </c>
      <c r="AB513" s="0" t="n">
        <f aca="false">X513+Z513</f>
        <v>43.6588011359965</v>
      </c>
      <c r="AC513" s="54" t="b">
        <f aca="false">AND(E513&gt;=01_因子設定!$L$5-0.000000001,E513&lt;=01_因子設定!$M$5+0.000000001,F513&gt;=01_因子設定!$L$6-0.000000001,F513&lt;=01_因子設定!$M$6+0.000000001,G513&gt;=01_因子設定!$L$7-0.000000001,G513&lt;=01_因子設定!$M$7+0.000000001,H513&gt;=01_因子設定!$L$8-0.000000001,H513&lt;=01_因子設定!$M$8+0.000000001,IF(01_因子設定!$B$20="Box-Behnken",E513^2+F513^2+G513^2+H513^2&lt;=2+0.000000001,TRUE()))</f>
        <v>1</v>
      </c>
      <c r="AD513" s="55" t="n">
        <f aca="false">IF(AC513,IF(01_因子設定!$B$13="最大化",AA513-01_因子設定!$B$14,IF(01_因子設定!$B$13="最小化",01_因子設定!$B$15-AB513,MIN(AA513-01_因子設定!$B$14,01_因子設定!$B$15-AB513))),-1E+030)</f>
        <v>-5.97163008336485</v>
      </c>
      <c r="AE513" s="55" t="n">
        <f aca="false">IF(AC513,IF(01_因子設定!$B$13="最大化",X513,IF(01_因子設定!$B$13="最小化",-X513,-ABS(X513-01_因子設定!$B$16))),-1E+030)</f>
        <v>42.0935855263158</v>
      </c>
      <c r="AF513" s="55" t="n">
        <f aca="false">AD513+ROW()*0.000000001</f>
        <v>-5.97162957036485</v>
      </c>
      <c r="AG513" s="55" t="n">
        <f aca="false">AE513+ROW()*0.000000001</f>
        <v>42.0935860393158</v>
      </c>
    </row>
    <row r="514" customFormat="false" ht="15" hidden="false" customHeight="false" outlineLevel="0" collapsed="false">
      <c r="A514" s="0" t="n">
        <v>0</v>
      </c>
      <c r="B514" s="0" t="n">
        <v>6</v>
      </c>
      <c r="C514" s="0" t="n">
        <v>2</v>
      </c>
      <c r="D514" s="0" t="n">
        <v>5</v>
      </c>
      <c r="E514" s="0" t="n">
        <f aca="false">-1+A514*0.25</f>
        <v>-1</v>
      </c>
      <c r="F514" s="0" t="n">
        <f aca="false">-1+B514*0.25</f>
        <v>0.5</v>
      </c>
      <c r="G514" s="0" t="n">
        <f aca="false">-1+C514*0.25</f>
        <v>-0.5</v>
      </c>
      <c r="H514" s="0" t="n">
        <f aca="false">-1+D514*0.25</f>
        <v>0.25</v>
      </c>
      <c r="I514" s="0" t="n">
        <f aca="false">1</f>
        <v>1</v>
      </c>
      <c r="J514" s="0" t="n">
        <f aca="false">E514</f>
        <v>-1</v>
      </c>
      <c r="K514" s="0" t="n">
        <f aca="false">F514</f>
        <v>0.5</v>
      </c>
      <c r="L514" s="0" t="n">
        <f aca="false">G514</f>
        <v>-0.5</v>
      </c>
      <c r="M514" s="0" t="n">
        <f aca="false">H514</f>
        <v>0.25</v>
      </c>
      <c r="N514" s="0" t="n">
        <f aca="false">E514*F514</f>
        <v>-0.5</v>
      </c>
      <c r="O514" s="0" t="n">
        <f aca="false">E514*G514</f>
        <v>0.5</v>
      </c>
      <c r="P514" s="0" t="n">
        <f aca="false">E514*H514</f>
        <v>-0.25</v>
      </c>
      <c r="Q514" s="0" t="n">
        <f aca="false">F514*G514</f>
        <v>-0.25</v>
      </c>
      <c r="R514" s="0" t="n">
        <f aca="false">F514*H514</f>
        <v>0.125</v>
      </c>
      <c r="S514" s="0" t="n">
        <f aca="false">G514*H514</f>
        <v>-0.125</v>
      </c>
      <c r="T514" s="0" t="n">
        <f aca="false">E514*E514</f>
        <v>1</v>
      </c>
      <c r="U514" s="0" t="n">
        <f aca="false">F514*F514</f>
        <v>0.25</v>
      </c>
      <c r="V514" s="0" t="n">
        <f aca="false">G514*G514</f>
        <v>0.25</v>
      </c>
      <c r="W514" s="0" t="n">
        <f aca="false">H514*H514</f>
        <v>0.0625</v>
      </c>
      <c r="X514" s="0" t="n">
        <f aca="false">SUMPRODUCT(I514:W514,_XtX!$B$96:$P$96)</f>
        <v>42.0773209064328</v>
      </c>
      <c r="Y514" s="0" t="n">
        <f aca="false">SUMPRODUCT(MMULT(I514:W514,_XtX!$B$78:$P$92),I514:W514)</f>
        <v>0.428122715643275</v>
      </c>
      <c r="Z514" s="0" t="n">
        <f aca="false">04_回帰ANOVA!$K$19*04_回帰ANOVA!$K$14*SQRT(1+Y514)</f>
        <v>1.55769044623229</v>
      </c>
      <c r="AA514" s="0" t="n">
        <f aca="false">X514-Z514</f>
        <v>40.5196304602005</v>
      </c>
      <c r="AB514" s="0" t="n">
        <f aca="false">X514+Z514</f>
        <v>43.6350113526651</v>
      </c>
      <c r="AC514" s="54" t="b">
        <f aca="false">AND(E514&gt;=01_因子設定!$L$5-0.000000001,E514&lt;=01_因子設定!$M$5+0.000000001,F514&gt;=01_因子設定!$L$6-0.000000001,F514&lt;=01_因子設定!$M$6+0.000000001,G514&gt;=01_因子設定!$L$7-0.000000001,G514&lt;=01_因子設定!$M$7+0.000000001,H514&gt;=01_因子設定!$L$8-0.000000001,H514&lt;=01_因子設定!$M$8+0.000000001,IF(01_因子設定!$B$20="Box-Behnken",E514^2+F514^2+G514^2+H514^2&lt;=2+0.000000001,TRUE()))</f>
        <v>1</v>
      </c>
      <c r="AD514" s="55" t="n">
        <f aca="false">IF(AC514,IF(01_因子設定!$B$13="最大化",AA514-01_因子設定!$B$14,IF(01_因子設定!$B$13="最小化",01_因子設定!$B$15-AB514,MIN(AA514-01_因子設定!$B$14,01_因子設定!$B$15-AB514))),-1E+030)</f>
        <v>-5.98036953979952</v>
      </c>
      <c r="AE514" s="55" t="n">
        <f aca="false">IF(AC514,IF(01_因子設定!$B$13="最大化",X514,IF(01_因子設定!$B$13="最小化",-X514,-ABS(X514-01_因子設定!$B$16))),-1E+030)</f>
        <v>42.0773209064328</v>
      </c>
      <c r="AF514" s="55" t="n">
        <f aca="false">AD514+ROW()*0.000000001</f>
        <v>-5.98036902579952</v>
      </c>
      <c r="AG514" s="55" t="n">
        <f aca="false">AE514+ROW()*0.000000001</f>
        <v>42.0773214204328</v>
      </c>
    </row>
    <row r="515" customFormat="false" ht="15" hidden="false" customHeight="false" outlineLevel="0" collapsed="false">
      <c r="A515" s="0" t="n">
        <v>0</v>
      </c>
      <c r="B515" s="0" t="n">
        <v>6</v>
      </c>
      <c r="C515" s="0" t="n">
        <v>2</v>
      </c>
      <c r="D515" s="0" t="n">
        <v>6</v>
      </c>
      <c r="E515" s="0" t="n">
        <f aca="false">-1+A515*0.25</f>
        <v>-1</v>
      </c>
      <c r="F515" s="0" t="n">
        <f aca="false">-1+B515*0.25</f>
        <v>0.5</v>
      </c>
      <c r="G515" s="0" t="n">
        <f aca="false">-1+C515*0.25</f>
        <v>-0.5</v>
      </c>
      <c r="H515" s="0" t="n">
        <f aca="false">-1+D515*0.25</f>
        <v>0.5</v>
      </c>
      <c r="I515" s="0" t="n">
        <f aca="false">1</f>
        <v>1</v>
      </c>
      <c r="J515" s="0" t="n">
        <f aca="false">E515</f>
        <v>-1</v>
      </c>
      <c r="K515" s="0" t="n">
        <f aca="false">F515</f>
        <v>0.5</v>
      </c>
      <c r="L515" s="0" t="n">
        <f aca="false">G515</f>
        <v>-0.5</v>
      </c>
      <c r="M515" s="0" t="n">
        <f aca="false">H515</f>
        <v>0.5</v>
      </c>
      <c r="N515" s="0" t="n">
        <f aca="false">E515*F515</f>
        <v>-0.5</v>
      </c>
      <c r="O515" s="0" t="n">
        <f aca="false">E515*G515</f>
        <v>0.5</v>
      </c>
      <c r="P515" s="0" t="n">
        <f aca="false">E515*H515</f>
        <v>-0.5</v>
      </c>
      <c r="Q515" s="0" t="n">
        <f aca="false">F515*G515</f>
        <v>-0.25</v>
      </c>
      <c r="R515" s="0" t="n">
        <f aca="false">F515*H515</f>
        <v>0.25</v>
      </c>
      <c r="S515" s="0" t="n">
        <f aca="false">G515*H515</f>
        <v>-0.25</v>
      </c>
      <c r="T515" s="0" t="n">
        <f aca="false">E515*E515</f>
        <v>1</v>
      </c>
      <c r="U515" s="0" t="n">
        <f aca="false">F515*F515</f>
        <v>0.25</v>
      </c>
      <c r="V515" s="0" t="n">
        <f aca="false">G515*G515</f>
        <v>0.25</v>
      </c>
      <c r="W515" s="0" t="n">
        <f aca="false">H515*H515</f>
        <v>0.25</v>
      </c>
      <c r="X515" s="0" t="n">
        <f aca="false">SUMPRODUCT(I515:W515,_XtX!$B$96:$P$96)</f>
        <v>42.0132492690059</v>
      </c>
      <c r="Y515" s="0" t="n">
        <f aca="false">SUMPRODUCT(MMULT(I515:W515,_XtX!$B$78:$P$92),I515:W515)</f>
        <v>0.404719480994152</v>
      </c>
      <c r="Z515" s="0" t="n">
        <f aca="false">04_回帰ANOVA!$K$19*04_回帰ANOVA!$K$14*SQRT(1+Y515)</f>
        <v>1.54487446697867</v>
      </c>
      <c r="AA515" s="0" t="n">
        <f aca="false">X515-Z515</f>
        <v>40.4683748020272</v>
      </c>
      <c r="AB515" s="0" t="n">
        <f aca="false">X515+Z515</f>
        <v>43.5581237359846</v>
      </c>
      <c r="AC515" s="54" t="b">
        <f aca="false">AND(E515&gt;=01_因子設定!$L$5-0.000000001,E515&lt;=01_因子設定!$M$5+0.000000001,F515&gt;=01_因子設定!$L$6-0.000000001,F515&lt;=01_因子設定!$M$6+0.000000001,G515&gt;=01_因子設定!$L$7-0.000000001,G515&lt;=01_因子設定!$M$7+0.000000001,H515&gt;=01_因子設定!$L$8-0.000000001,H515&lt;=01_因子設定!$M$8+0.000000001,IF(01_因子設定!$B$20="Box-Behnken",E515^2+F515^2+G515^2+H515^2&lt;=2+0.000000001,TRUE()))</f>
        <v>1</v>
      </c>
      <c r="AD515" s="55" t="n">
        <f aca="false">IF(AC515,IF(01_因子設定!$B$13="最大化",AA515-01_因子設定!$B$14,IF(01_因子設定!$B$13="最小化",01_因子設定!$B$15-AB515,MIN(AA515-01_因子設定!$B$14,01_因子設定!$B$15-AB515))),-1E+030)</f>
        <v>-6.03162519797279</v>
      </c>
      <c r="AE515" s="55" t="n">
        <f aca="false">IF(AC515,IF(01_因子設定!$B$13="最大化",X515,IF(01_因子設定!$B$13="最小化",-X515,-ABS(X515-01_因子設定!$B$16))),-1E+030)</f>
        <v>42.0132492690059</v>
      </c>
      <c r="AF515" s="55" t="n">
        <f aca="false">AD515+ROW()*0.000000001</f>
        <v>-6.03162468297279</v>
      </c>
      <c r="AG515" s="55" t="n">
        <f aca="false">AE515+ROW()*0.000000001</f>
        <v>42.0132497840059</v>
      </c>
    </row>
    <row r="516" customFormat="false" ht="15" hidden="false" customHeight="false" outlineLevel="0" collapsed="false">
      <c r="A516" s="0" t="n">
        <v>0</v>
      </c>
      <c r="B516" s="0" t="n">
        <v>6</v>
      </c>
      <c r="C516" s="0" t="n">
        <v>2</v>
      </c>
      <c r="D516" s="0" t="n">
        <v>7</v>
      </c>
      <c r="E516" s="0" t="n">
        <f aca="false">-1+A516*0.25</f>
        <v>-1</v>
      </c>
      <c r="F516" s="0" t="n">
        <f aca="false">-1+B516*0.25</f>
        <v>0.5</v>
      </c>
      <c r="G516" s="0" t="n">
        <f aca="false">-1+C516*0.25</f>
        <v>-0.5</v>
      </c>
      <c r="H516" s="0" t="n">
        <f aca="false">-1+D516*0.25</f>
        <v>0.75</v>
      </c>
      <c r="I516" s="0" t="n">
        <f aca="false">1</f>
        <v>1</v>
      </c>
      <c r="J516" s="0" t="n">
        <f aca="false">E516</f>
        <v>-1</v>
      </c>
      <c r="K516" s="0" t="n">
        <f aca="false">F516</f>
        <v>0.5</v>
      </c>
      <c r="L516" s="0" t="n">
        <f aca="false">G516</f>
        <v>-0.5</v>
      </c>
      <c r="M516" s="0" t="n">
        <f aca="false">H516</f>
        <v>0.75</v>
      </c>
      <c r="N516" s="0" t="n">
        <f aca="false">E516*F516</f>
        <v>-0.5</v>
      </c>
      <c r="O516" s="0" t="n">
        <f aca="false">E516*G516</f>
        <v>0.5</v>
      </c>
      <c r="P516" s="0" t="n">
        <f aca="false">E516*H516</f>
        <v>-0.75</v>
      </c>
      <c r="Q516" s="0" t="n">
        <f aca="false">F516*G516</f>
        <v>-0.25</v>
      </c>
      <c r="R516" s="0" t="n">
        <f aca="false">F516*H516</f>
        <v>0.375</v>
      </c>
      <c r="S516" s="0" t="n">
        <f aca="false">G516*H516</f>
        <v>-0.375</v>
      </c>
      <c r="T516" s="0" t="n">
        <f aca="false">E516*E516</f>
        <v>1</v>
      </c>
      <c r="U516" s="0" t="n">
        <f aca="false">F516*F516</f>
        <v>0.25</v>
      </c>
      <c r="V516" s="0" t="n">
        <f aca="false">G516*G516</f>
        <v>0.25</v>
      </c>
      <c r="W516" s="0" t="n">
        <f aca="false">H516*H516</f>
        <v>0.5625</v>
      </c>
      <c r="X516" s="0" t="n">
        <f aca="false">SUMPRODUCT(I516:W516,_XtX!$B$96:$P$96)</f>
        <v>41.9013706140351</v>
      </c>
      <c r="Y516" s="0" t="n">
        <f aca="false">SUMPRODUCT(MMULT(I516:W516,_XtX!$B$78:$P$92),I516:W516)</f>
        <v>0.42602110745614</v>
      </c>
      <c r="Z516" s="0" t="n">
        <f aca="false">04_回帰ANOVA!$K$19*04_回帰ANOVA!$K$14*SQRT(1+Y516)</f>
        <v>1.55654388501114</v>
      </c>
      <c r="AA516" s="0" t="n">
        <f aca="false">X516-Z516</f>
        <v>40.344826729024</v>
      </c>
      <c r="AB516" s="0" t="n">
        <f aca="false">X516+Z516</f>
        <v>43.4579144990463</v>
      </c>
      <c r="AC516" s="54" t="b">
        <f aca="false">AND(E516&gt;=01_因子設定!$L$5-0.000000001,E516&lt;=01_因子設定!$M$5+0.000000001,F516&gt;=01_因子設定!$L$6-0.000000001,F516&lt;=01_因子設定!$M$6+0.000000001,G516&gt;=01_因子設定!$L$7-0.000000001,G516&lt;=01_因子設定!$M$7+0.000000001,H516&gt;=01_因子設定!$L$8-0.000000001,H516&lt;=01_因子設定!$M$8+0.000000001,IF(01_因子設定!$B$20="Box-Behnken",E516^2+F516^2+G516^2+H516^2&lt;=2+0.000000001,TRUE()))</f>
        <v>1</v>
      </c>
      <c r="AD516" s="55" t="n">
        <f aca="false">IF(AC516,IF(01_因子設定!$B$13="最大化",AA516-01_因子設定!$B$14,IF(01_因子設定!$B$13="最小化",01_因子設定!$B$15-AB516,MIN(AA516-01_因子設定!$B$14,01_因子設定!$B$15-AB516))),-1E+030)</f>
        <v>-6.155173270976</v>
      </c>
      <c r="AE516" s="55" t="n">
        <f aca="false">IF(AC516,IF(01_因子設定!$B$13="最大化",X516,IF(01_因子設定!$B$13="最小化",-X516,-ABS(X516-01_因子設定!$B$16))),-1E+030)</f>
        <v>41.9013706140351</v>
      </c>
      <c r="AF516" s="55" t="n">
        <f aca="false">AD516+ROW()*0.000000001</f>
        <v>-6.155172754976</v>
      </c>
      <c r="AG516" s="55" t="n">
        <f aca="false">AE516+ROW()*0.000000001</f>
        <v>41.9013711300351</v>
      </c>
    </row>
    <row r="517" customFormat="false" ht="15" hidden="false" customHeight="false" outlineLevel="0" collapsed="false">
      <c r="A517" s="0" t="n">
        <v>0</v>
      </c>
      <c r="B517" s="0" t="n">
        <v>6</v>
      </c>
      <c r="C517" s="0" t="n">
        <v>2</v>
      </c>
      <c r="D517" s="0" t="n">
        <v>8</v>
      </c>
      <c r="E517" s="0" t="n">
        <f aca="false">-1+A517*0.25</f>
        <v>-1</v>
      </c>
      <c r="F517" s="0" t="n">
        <f aca="false">-1+B517*0.25</f>
        <v>0.5</v>
      </c>
      <c r="G517" s="0" t="n">
        <f aca="false">-1+C517*0.25</f>
        <v>-0.5</v>
      </c>
      <c r="H517" s="0" t="n">
        <f aca="false">-1+D517*0.25</f>
        <v>1</v>
      </c>
      <c r="I517" s="0" t="n">
        <f aca="false">1</f>
        <v>1</v>
      </c>
      <c r="J517" s="0" t="n">
        <f aca="false">E517</f>
        <v>-1</v>
      </c>
      <c r="K517" s="0" t="n">
        <f aca="false">F517</f>
        <v>0.5</v>
      </c>
      <c r="L517" s="0" t="n">
        <f aca="false">G517</f>
        <v>-0.5</v>
      </c>
      <c r="M517" s="0" t="n">
        <f aca="false">H517</f>
        <v>1</v>
      </c>
      <c r="N517" s="0" t="n">
        <f aca="false">E517*F517</f>
        <v>-0.5</v>
      </c>
      <c r="O517" s="0" t="n">
        <f aca="false">E517*G517</f>
        <v>0.5</v>
      </c>
      <c r="P517" s="0" t="n">
        <f aca="false">E517*H517</f>
        <v>-1</v>
      </c>
      <c r="Q517" s="0" t="n">
        <f aca="false">F517*G517</f>
        <v>-0.25</v>
      </c>
      <c r="R517" s="0" t="n">
        <f aca="false">F517*H517</f>
        <v>0.5</v>
      </c>
      <c r="S517" s="0" t="n">
        <f aca="false">G517*H517</f>
        <v>-0.5</v>
      </c>
      <c r="T517" s="0" t="n">
        <f aca="false">E517*E517</f>
        <v>1</v>
      </c>
      <c r="U517" s="0" t="n">
        <f aca="false">F517*F517</f>
        <v>0.25</v>
      </c>
      <c r="V517" s="0" t="n">
        <f aca="false">G517*G517</f>
        <v>0.25</v>
      </c>
      <c r="W517" s="0" t="n">
        <f aca="false">H517*H517</f>
        <v>1</v>
      </c>
      <c r="X517" s="0" t="n">
        <f aca="false">SUMPRODUCT(I517:W517,_XtX!$B$96:$P$96)</f>
        <v>41.7416849415205</v>
      </c>
      <c r="Y517" s="0" t="n">
        <f aca="false">SUMPRODUCT(MMULT(I517:W517,_XtX!$B$78:$P$92),I517:W517)</f>
        <v>0.582488121345029</v>
      </c>
      <c r="Z517" s="0" t="n">
        <f aca="false">04_回帰ANOVA!$K$19*04_回帰ANOVA!$K$14*SQRT(1+Y517)</f>
        <v>1.63971595338287</v>
      </c>
      <c r="AA517" s="0" t="n">
        <f aca="false">X517-Z517</f>
        <v>40.1019689881377</v>
      </c>
      <c r="AB517" s="0" t="n">
        <f aca="false">X517+Z517</f>
        <v>43.3814008949034</v>
      </c>
      <c r="AC517" s="54" t="b">
        <f aca="false">AND(E517&gt;=01_因子設定!$L$5-0.000000001,E517&lt;=01_因子設定!$M$5+0.000000001,F517&gt;=01_因子設定!$L$6-0.000000001,F517&lt;=01_因子設定!$M$6+0.000000001,G517&gt;=01_因子設定!$L$7-0.000000001,G517&lt;=01_因子設定!$M$7+0.000000001,H517&gt;=01_因子設定!$L$8-0.000000001,H517&lt;=01_因子設定!$M$8+0.000000001,IF(01_因子設定!$B$20="Box-Behnken",E517^2+F517^2+G517^2+H517^2&lt;=2+0.000000001,TRUE()))</f>
        <v>1</v>
      </c>
      <c r="AD517" s="55" t="n">
        <f aca="false">IF(AC517,IF(01_因子設定!$B$13="最大化",AA517-01_因子設定!$B$14,IF(01_因子設定!$B$13="最小化",01_因子設定!$B$15-AB517,MIN(AA517-01_因子設定!$B$14,01_因子設定!$B$15-AB517))),-1E+030)</f>
        <v>-6.39803101186234</v>
      </c>
      <c r="AE517" s="55" t="n">
        <f aca="false">IF(AC517,IF(01_因子設定!$B$13="最大化",X517,IF(01_因子設定!$B$13="最小化",-X517,-ABS(X517-01_因子設定!$B$16))),-1E+030)</f>
        <v>41.7416849415205</v>
      </c>
      <c r="AF517" s="55" t="n">
        <f aca="false">AD517+ROW()*0.000000001</f>
        <v>-6.39803049486234</v>
      </c>
      <c r="AG517" s="55" t="n">
        <f aca="false">AE517+ROW()*0.000000001</f>
        <v>41.7416854585205</v>
      </c>
    </row>
    <row r="518" customFormat="false" ht="15" hidden="false" customHeight="false" outlineLevel="0" collapsed="false">
      <c r="A518" s="0" t="n">
        <v>0</v>
      </c>
      <c r="B518" s="0" t="n">
        <v>6</v>
      </c>
      <c r="C518" s="0" t="n">
        <v>3</v>
      </c>
      <c r="D518" s="0" t="n">
        <v>0</v>
      </c>
      <c r="E518" s="0" t="n">
        <f aca="false">-1+A518*0.25</f>
        <v>-1</v>
      </c>
      <c r="F518" s="0" t="n">
        <f aca="false">-1+B518*0.25</f>
        <v>0.5</v>
      </c>
      <c r="G518" s="0" t="n">
        <f aca="false">-1+C518*0.25</f>
        <v>-0.25</v>
      </c>
      <c r="H518" s="0" t="n">
        <f aca="false">-1+D518*0.25</f>
        <v>-1</v>
      </c>
      <c r="I518" s="0" t="n">
        <f aca="false">1</f>
        <v>1</v>
      </c>
      <c r="J518" s="0" t="n">
        <f aca="false">E518</f>
        <v>-1</v>
      </c>
      <c r="K518" s="0" t="n">
        <f aca="false">F518</f>
        <v>0.5</v>
      </c>
      <c r="L518" s="0" t="n">
        <f aca="false">G518</f>
        <v>-0.25</v>
      </c>
      <c r="M518" s="0" t="n">
        <f aca="false">H518</f>
        <v>-1</v>
      </c>
      <c r="N518" s="0" t="n">
        <f aca="false">E518*F518</f>
        <v>-0.5</v>
      </c>
      <c r="O518" s="0" t="n">
        <f aca="false">E518*G518</f>
        <v>0.25</v>
      </c>
      <c r="P518" s="0" t="n">
        <f aca="false">E518*H518</f>
        <v>1</v>
      </c>
      <c r="Q518" s="0" t="n">
        <f aca="false">F518*G518</f>
        <v>-0.125</v>
      </c>
      <c r="R518" s="0" t="n">
        <f aca="false">F518*H518</f>
        <v>-0.5</v>
      </c>
      <c r="S518" s="0" t="n">
        <f aca="false">G518*H518</f>
        <v>0.25</v>
      </c>
      <c r="T518" s="0" t="n">
        <f aca="false">E518*E518</f>
        <v>1</v>
      </c>
      <c r="U518" s="0" t="n">
        <f aca="false">F518*F518</f>
        <v>0.25</v>
      </c>
      <c r="V518" s="0" t="n">
        <f aca="false">G518*G518</f>
        <v>0.0625</v>
      </c>
      <c r="W518" s="0" t="n">
        <f aca="false">H518*H518</f>
        <v>1</v>
      </c>
      <c r="X518" s="0" t="n">
        <f aca="false">SUMPRODUCT(I518:W518,_XtX!$B$96:$P$96)</f>
        <v>42.1840551900585</v>
      </c>
      <c r="Y518" s="0" t="n">
        <f aca="false">SUMPRODUCT(MMULT(I518:W518,_XtX!$B$78:$P$92),I518:W518)</f>
        <v>0.629174661915205</v>
      </c>
      <c r="Z518" s="0" t="n">
        <f aca="false">04_回帰ANOVA!$K$19*04_回帰ANOVA!$K$14*SQRT(1+Y518)</f>
        <v>1.66372758058297</v>
      </c>
      <c r="AA518" s="0" t="n">
        <f aca="false">X518-Z518</f>
        <v>40.5203276094756</v>
      </c>
      <c r="AB518" s="0" t="n">
        <f aca="false">X518+Z518</f>
        <v>43.8477827706415</v>
      </c>
      <c r="AC518" s="54" t="b">
        <f aca="false">AND(E518&gt;=01_因子設定!$L$5-0.000000001,E518&lt;=01_因子設定!$M$5+0.000000001,F518&gt;=01_因子設定!$L$6-0.000000001,F518&lt;=01_因子設定!$M$6+0.000000001,G518&gt;=01_因子設定!$L$7-0.000000001,G518&lt;=01_因子設定!$M$7+0.000000001,H518&gt;=01_因子設定!$L$8-0.000000001,H518&lt;=01_因子設定!$M$8+0.000000001,IF(01_因子設定!$B$20="Box-Behnken",E518^2+F518^2+G518^2+H518^2&lt;=2+0.000000001,TRUE()))</f>
        <v>1</v>
      </c>
      <c r="AD518" s="55" t="n">
        <f aca="false">IF(AC518,IF(01_因子設定!$B$13="最大化",AA518-01_因子設定!$B$14,IF(01_因子設定!$B$13="最小化",01_因子設定!$B$15-AB518,MIN(AA518-01_因子設定!$B$14,01_因子設定!$B$15-AB518))),-1E+030)</f>
        <v>-5.97967239052443</v>
      </c>
      <c r="AE518" s="55" t="n">
        <f aca="false">IF(AC518,IF(01_因子設定!$B$13="最大化",X518,IF(01_因子設定!$B$13="最小化",-X518,-ABS(X518-01_因子設定!$B$16))),-1E+030)</f>
        <v>42.1840551900585</v>
      </c>
      <c r="AF518" s="55" t="n">
        <f aca="false">AD518+ROW()*0.000000001</f>
        <v>-5.97967187252443</v>
      </c>
      <c r="AG518" s="55" t="n">
        <f aca="false">AE518+ROW()*0.000000001</f>
        <v>42.1840557080585</v>
      </c>
    </row>
    <row r="519" customFormat="false" ht="15" hidden="false" customHeight="false" outlineLevel="0" collapsed="false">
      <c r="A519" s="0" t="n">
        <v>0</v>
      </c>
      <c r="B519" s="0" t="n">
        <v>6</v>
      </c>
      <c r="C519" s="0" t="n">
        <v>3</v>
      </c>
      <c r="D519" s="0" t="n">
        <v>1</v>
      </c>
      <c r="E519" s="0" t="n">
        <f aca="false">-1+A519*0.25</f>
        <v>-1</v>
      </c>
      <c r="F519" s="0" t="n">
        <f aca="false">-1+B519*0.25</f>
        <v>0.5</v>
      </c>
      <c r="G519" s="0" t="n">
        <f aca="false">-1+C519*0.25</f>
        <v>-0.25</v>
      </c>
      <c r="H519" s="0" t="n">
        <f aca="false">-1+D519*0.25</f>
        <v>-0.75</v>
      </c>
      <c r="I519" s="0" t="n">
        <f aca="false">1</f>
        <v>1</v>
      </c>
      <c r="J519" s="0" t="n">
        <f aca="false">E519</f>
        <v>-1</v>
      </c>
      <c r="K519" s="0" t="n">
        <f aca="false">F519</f>
        <v>0.5</v>
      </c>
      <c r="L519" s="0" t="n">
        <f aca="false">G519</f>
        <v>-0.25</v>
      </c>
      <c r="M519" s="0" t="n">
        <f aca="false">H519</f>
        <v>-0.75</v>
      </c>
      <c r="N519" s="0" t="n">
        <f aca="false">E519*F519</f>
        <v>-0.5</v>
      </c>
      <c r="O519" s="0" t="n">
        <f aca="false">E519*G519</f>
        <v>0.25</v>
      </c>
      <c r="P519" s="0" t="n">
        <f aca="false">E519*H519</f>
        <v>0.75</v>
      </c>
      <c r="Q519" s="0" t="n">
        <f aca="false">F519*G519</f>
        <v>-0.125</v>
      </c>
      <c r="R519" s="0" t="n">
        <f aca="false">F519*H519</f>
        <v>-0.375</v>
      </c>
      <c r="S519" s="0" t="n">
        <f aca="false">G519*H519</f>
        <v>0.1875</v>
      </c>
      <c r="T519" s="0" t="n">
        <f aca="false">E519*E519</f>
        <v>1</v>
      </c>
      <c r="U519" s="0" t="n">
        <f aca="false">F519*F519</f>
        <v>0.25</v>
      </c>
      <c r="V519" s="0" t="n">
        <f aca="false">G519*G519</f>
        <v>0.0625</v>
      </c>
      <c r="W519" s="0" t="n">
        <f aca="false">H519*H519</f>
        <v>0.5625</v>
      </c>
      <c r="X519" s="0" t="n">
        <f aca="false">SUMPRODUCT(I519:W519,_XtX!$B$96:$P$96)</f>
        <v>42.3769873903509</v>
      </c>
      <c r="Y519" s="0" t="n">
        <f aca="false">SUMPRODUCT(MMULT(I519:W519,_XtX!$B$78:$P$92),I519:W519)</f>
        <v>0.459125719572369</v>
      </c>
      <c r="Z519" s="0" t="n">
        <f aca="false">04_回帰ANOVA!$K$19*04_回帰ANOVA!$K$14*SQRT(1+Y519)</f>
        <v>1.57450755575573</v>
      </c>
      <c r="AA519" s="0" t="n">
        <f aca="false">X519-Z519</f>
        <v>40.8024798345952</v>
      </c>
      <c r="AB519" s="0" t="n">
        <f aca="false">X519+Z519</f>
        <v>43.9514949461067</v>
      </c>
      <c r="AC519" s="54" t="b">
        <f aca="false">AND(E519&gt;=01_因子設定!$L$5-0.000000001,E519&lt;=01_因子設定!$M$5+0.000000001,F519&gt;=01_因子設定!$L$6-0.000000001,F519&lt;=01_因子設定!$M$6+0.000000001,G519&gt;=01_因子設定!$L$7-0.000000001,G519&lt;=01_因子設定!$M$7+0.000000001,H519&gt;=01_因子設定!$L$8-0.000000001,H519&lt;=01_因子設定!$M$8+0.000000001,IF(01_因子設定!$B$20="Box-Behnken",E519^2+F519^2+G519^2+H519^2&lt;=2+0.000000001,TRUE()))</f>
        <v>1</v>
      </c>
      <c r="AD519" s="55" t="n">
        <f aca="false">IF(AC519,IF(01_因子設定!$B$13="最大化",AA519-01_因子設定!$B$14,IF(01_因子設定!$B$13="最小化",01_因子設定!$B$15-AB519,MIN(AA519-01_因子設定!$B$14,01_因子設定!$B$15-AB519))),-1E+030)</f>
        <v>-5.6975201654048</v>
      </c>
      <c r="AE519" s="55" t="n">
        <f aca="false">IF(AC519,IF(01_因子設定!$B$13="最大化",X519,IF(01_因子設定!$B$13="最小化",-X519,-ABS(X519-01_因子設定!$B$16))),-1E+030)</f>
        <v>42.3769873903509</v>
      </c>
      <c r="AF519" s="55" t="n">
        <f aca="false">AD519+ROW()*0.000000001</f>
        <v>-5.6975196464048</v>
      </c>
      <c r="AG519" s="55" t="n">
        <f aca="false">AE519+ROW()*0.000000001</f>
        <v>42.3769879093509</v>
      </c>
    </row>
    <row r="520" customFormat="false" ht="15" hidden="false" customHeight="false" outlineLevel="0" collapsed="false">
      <c r="A520" s="0" t="n">
        <v>0</v>
      </c>
      <c r="B520" s="0" t="n">
        <v>6</v>
      </c>
      <c r="C520" s="0" t="n">
        <v>3</v>
      </c>
      <c r="D520" s="0" t="n">
        <v>2</v>
      </c>
      <c r="E520" s="0" t="n">
        <f aca="false">-1+A520*0.25</f>
        <v>-1</v>
      </c>
      <c r="F520" s="0" t="n">
        <f aca="false">-1+B520*0.25</f>
        <v>0.5</v>
      </c>
      <c r="G520" s="0" t="n">
        <f aca="false">-1+C520*0.25</f>
        <v>-0.25</v>
      </c>
      <c r="H520" s="0" t="n">
        <f aca="false">-1+D520*0.25</f>
        <v>-0.5</v>
      </c>
      <c r="I520" s="0" t="n">
        <f aca="false">1</f>
        <v>1</v>
      </c>
      <c r="J520" s="0" t="n">
        <f aca="false">E520</f>
        <v>-1</v>
      </c>
      <c r="K520" s="0" t="n">
        <f aca="false">F520</f>
        <v>0.5</v>
      </c>
      <c r="L520" s="0" t="n">
        <f aca="false">G520</f>
        <v>-0.25</v>
      </c>
      <c r="M520" s="0" t="n">
        <f aca="false">H520</f>
        <v>-0.5</v>
      </c>
      <c r="N520" s="0" t="n">
        <f aca="false">E520*F520</f>
        <v>-0.5</v>
      </c>
      <c r="O520" s="0" t="n">
        <f aca="false">E520*G520</f>
        <v>0.25</v>
      </c>
      <c r="P520" s="0" t="n">
        <f aca="false">E520*H520</f>
        <v>0.5</v>
      </c>
      <c r="Q520" s="0" t="n">
        <f aca="false">F520*G520</f>
        <v>-0.125</v>
      </c>
      <c r="R520" s="0" t="n">
        <f aca="false">F520*H520</f>
        <v>-0.25</v>
      </c>
      <c r="S520" s="0" t="n">
        <f aca="false">G520*H520</f>
        <v>0.125</v>
      </c>
      <c r="T520" s="0" t="n">
        <f aca="false">E520*E520</f>
        <v>1</v>
      </c>
      <c r="U520" s="0" t="n">
        <f aca="false">F520*F520</f>
        <v>0.25</v>
      </c>
      <c r="V520" s="0" t="n">
        <f aca="false">G520*G520</f>
        <v>0.0625</v>
      </c>
      <c r="W520" s="0" t="n">
        <f aca="false">H520*H520</f>
        <v>0.25</v>
      </c>
      <c r="X520" s="0" t="n">
        <f aca="false">SUMPRODUCT(I520:W520,_XtX!$B$96:$P$96)</f>
        <v>42.5221125730995</v>
      </c>
      <c r="Y520" s="0" t="n">
        <f aca="false">SUMPRODUCT(MMULT(I520:W520,_XtX!$B$78:$P$92),I520:W520)</f>
        <v>0.428122715643275</v>
      </c>
      <c r="Z520" s="0" t="n">
        <f aca="false">04_回帰ANOVA!$K$19*04_回帰ANOVA!$K$14*SQRT(1+Y520)</f>
        <v>1.55769044623229</v>
      </c>
      <c r="AA520" s="0" t="n">
        <f aca="false">X520-Z520</f>
        <v>40.9644221268672</v>
      </c>
      <c r="AB520" s="0" t="n">
        <f aca="false">X520+Z520</f>
        <v>44.0798030193317</v>
      </c>
      <c r="AC520" s="54" t="b">
        <f aca="false">AND(E520&gt;=01_因子設定!$L$5-0.000000001,E520&lt;=01_因子設定!$M$5+0.000000001,F520&gt;=01_因子設定!$L$6-0.000000001,F520&lt;=01_因子設定!$M$6+0.000000001,G520&gt;=01_因子設定!$L$7-0.000000001,G520&lt;=01_因子設定!$M$7+0.000000001,H520&gt;=01_因子設定!$L$8-0.000000001,H520&lt;=01_因子設定!$M$8+0.000000001,IF(01_因子設定!$B$20="Box-Behnken",E520^2+F520^2+G520^2+H520^2&lt;=2+0.000000001,TRUE()))</f>
        <v>1</v>
      </c>
      <c r="AD520" s="55" t="n">
        <f aca="false">IF(AC520,IF(01_因子設定!$B$13="最大化",AA520-01_因子設定!$B$14,IF(01_因子設定!$B$13="最小化",01_因子設定!$B$15-AB520,MIN(AA520-01_因子設定!$B$14,01_因子設定!$B$15-AB520))),-1E+030)</f>
        <v>-5.53557787313284</v>
      </c>
      <c r="AE520" s="55" t="n">
        <f aca="false">IF(AC520,IF(01_因子設定!$B$13="最大化",X520,IF(01_因子設定!$B$13="最小化",-X520,-ABS(X520-01_因子設定!$B$16))),-1E+030)</f>
        <v>42.5221125730995</v>
      </c>
      <c r="AF520" s="55" t="n">
        <f aca="false">AD520+ROW()*0.000000001</f>
        <v>-5.53557735313284</v>
      </c>
      <c r="AG520" s="55" t="n">
        <f aca="false">AE520+ROW()*0.000000001</f>
        <v>42.5221130930995</v>
      </c>
    </row>
    <row r="521" customFormat="false" ht="15" hidden="false" customHeight="false" outlineLevel="0" collapsed="false">
      <c r="A521" s="0" t="n">
        <v>0</v>
      </c>
      <c r="B521" s="0" t="n">
        <v>6</v>
      </c>
      <c r="C521" s="0" t="n">
        <v>3</v>
      </c>
      <c r="D521" s="0" t="n">
        <v>3</v>
      </c>
      <c r="E521" s="0" t="n">
        <f aca="false">-1+A521*0.25</f>
        <v>-1</v>
      </c>
      <c r="F521" s="0" t="n">
        <f aca="false">-1+B521*0.25</f>
        <v>0.5</v>
      </c>
      <c r="G521" s="0" t="n">
        <f aca="false">-1+C521*0.25</f>
        <v>-0.25</v>
      </c>
      <c r="H521" s="0" t="n">
        <f aca="false">-1+D521*0.25</f>
        <v>-0.25</v>
      </c>
      <c r="I521" s="0" t="n">
        <f aca="false">1</f>
        <v>1</v>
      </c>
      <c r="J521" s="0" t="n">
        <f aca="false">E521</f>
        <v>-1</v>
      </c>
      <c r="K521" s="0" t="n">
        <f aca="false">F521</f>
        <v>0.5</v>
      </c>
      <c r="L521" s="0" t="n">
        <f aca="false">G521</f>
        <v>-0.25</v>
      </c>
      <c r="M521" s="0" t="n">
        <f aca="false">H521</f>
        <v>-0.25</v>
      </c>
      <c r="N521" s="0" t="n">
        <f aca="false">E521*F521</f>
        <v>-0.5</v>
      </c>
      <c r="O521" s="0" t="n">
        <f aca="false">E521*G521</f>
        <v>0.25</v>
      </c>
      <c r="P521" s="0" t="n">
        <f aca="false">E521*H521</f>
        <v>0.25</v>
      </c>
      <c r="Q521" s="0" t="n">
        <f aca="false">F521*G521</f>
        <v>-0.125</v>
      </c>
      <c r="R521" s="0" t="n">
        <f aca="false">F521*H521</f>
        <v>-0.125</v>
      </c>
      <c r="S521" s="0" t="n">
        <f aca="false">G521*H521</f>
        <v>0.0625</v>
      </c>
      <c r="T521" s="0" t="n">
        <f aca="false">E521*E521</f>
        <v>1</v>
      </c>
      <c r="U521" s="0" t="n">
        <f aca="false">F521*F521</f>
        <v>0.25</v>
      </c>
      <c r="V521" s="0" t="n">
        <f aca="false">G521*G521</f>
        <v>0.0625</v>
      </c>
      <c r="W521" s="0" t="n">
        <f aca="false">H521*H521</f>
        <v>0.0625</v>
      </c>
      <c r="X521" s="0" t="n">
        <f aca="false">SUMPRODUCT(I521:W521,_XtX!$B$96:$P$96)</f>
        <v>42.6194307383041</v>
      </c>
      <c r="Y521" s="0" t="n">
        <f aca="false">SUMPRODUCT(MMULT(I521:W521,_XtX!$B$78:$P$92),I521:W521)</f>
        <v>0.445705123812135</v>
      </c>
      <c r="Z521" s="0" t="n">
        <f aca="false">04_回帰ANOVA!$K$19*04_回帰ANOVA!$K$14*SQRT(1+Y521)</f>
        <v>1.56724990734749</v>
      </c>
      <c r="AA521" s="0" t="n">
        <f aca="false">X521-Z521</f>
        <v>41.0521808309566</v>
      </c>
      <c r="AB521" s="0" t="n">
        <f aca="false">X521+Z521</f>
        <v>44.1866806456516</v>
      </c>
      <c r="AC521" s="54" t="b">
        <f aca="false">AND(E521&gt;=01_因子設定!$L$5-0.000000001,E521&lt;=01_因子設定!$M$5+0.000000001,F521&gt;=01_因子設定!$L$6-0.000000001,F521&lt;=01_因子設定!$M$6+0.000000001,G521&gt;=01_因子設定!$L$7-0.000000001,G521&lt;=01_因子設定!$M$7+0.000000001,H521&gt;=01_因子設定!$L$8-0.000000001,H521&lt;=01_因子設定!$M$8+0.000000001,IF(01_因子設定!$B$20="Box-Behnken",E521^2+F521^2+G521^2+H521^2&lt;=2+0.000000001,TRUE()))</f>
        <v>1</v>
      </c>
      <c r="AD521" s="55" t="n">
        <f aca="false">IF(AC521,IF(01_因子設定!$B$13="最大化",AA521-01_因子設定!$B$14,IF(01_因子設定!$B$13="最小化",01_因子設定!$B$15-AB521,MIN(AA521-01_因子設定!$B$14,01_因子設定!$B$15-AB521))),-1E+030)</f>
        <v>-5.44781916904336</v>
      </c>
      <c r="AE521" s="55" t="n">
        <f aca="false">IF(AC521,IF(01_因子設定!$B$13="最大化",X521,IF(01_因子設定!$B$13="最小化",-X521,-ABS(X521-01_因子設定!$B$16))),-1E+030)</f>
        <v>42.6194307383041</v>
      </c>
      <c r="AF521" s="55" t="n">
        <f aca="false">AD521+ROW()*0.000000001</f>
        <v>-5.44781864804336</v>
      </c>
      <c r="AG521" s="55" t="n">
        <f aca="false">AE521+ROW()*0.000000001</f>
        <v>42.6194312593041</v>
      </c>
    </row>
    <row r="522" customFormat="false" ht="15" hidden="false" customHeight="false" outlineLevel="0" collapsed="false">
      <c r="A522" s="0" t="n">
        <v>0</v>
      </c>
      <c r="B522" s="0" t="n">
        <v>6</v>
      </c>
      <c r="C522" s="0" t="n">
        <v>3</v>
      </c>
      <c r="D522" s="0" t="n">
        <v>4</v>
      </c>
      <c r="E522" s="0" t="n">
        <f aca="false">-1+A522*0.25</f>
        <v>-1</v>
      </c>
      <c r="F522" s="0" t="n">
        <f aca="false">-1+B522*0.25</f>
        <v>0.5</v>
      </c>
      <c r="G522" s="0" t="n">
        <f aca="false">-1+C522*0.25</f>
        <v>-0.25</v>
      </c>
      <c r="H522" s="0" t="n">
        <f aca="false">-1+D522*0.25</f>
        <v>0</v>
      </c>
      <c r="I522" s="0" t="n">
        <f aca="false">1</f>
        <v>1</v>
      </c>
      <c r="J522" s="0" t="n">
        <f aca="false">E522</f>
        <v>-1</v>
      </c>
      <c r="K522" s="0" t="n">
        <f aca="false">F522</f>
        <v>0.5</v>
      </c>
      <c r="L522" s="0" t="n">
        <f aca="false">G522</f>
        <v>-0.25</v>
      </c>
      <c r="M522" s="0" t="n">
        <f aca="false">H522</f>
        <v>0</v>
      </c>
      <c r="N522" s="0" t="n">
        <f aca="false">E522*F522</f>
        <v>-0.5</v>
      </c>
      <c r="O522" s="0" t="n">
        <f aca="false">E522*G522</f>
        <v>0.25</v>
      </c>
      <c r="P522" s="0" t="n">
        <f aca="false">E522*H522</f>
        <v>-0</v>
      </c>
      <c r="Q522" s="0" t="n">
        <f aca="false">F522*G522</f>
        <v>-0.125</v>
      </c>
      <c r="R522" s="0" t="n">
        <f aca="false">F522*H522</f>
        <v>0</v>
      </c>
      <c r="S522" s="0" t="n">
        <f aca="false">G522*H522</f>
        <v>-0</v>
      </c>
      <c r="T522" s="0" t="n">
        <f aca="false">E522*E522</f>
        <v>1</v>
      </c>
      <c r="U522" s="0" t="n">
        <f aca="false">F522*F522</f>
        <v>0.25</v>
      </c>
      <c r="V522" s="0" t="n">
        <f aca="false">G522*G522</f>
        <v>0.0625</v>
      </c>
      <c r="W522" s="0" t="n">
        <f aca="false">H522*H522</f>
        <v>0</v>
      </c>
      <c r="X522" s="0" t="n">
        <f aca="false">SUMPRODUCT(I522:W522,_XtX!$B$96:$P$96)</f>
        <v>42.6689418859649</v>
      </c>
      <c r="Y522" s="0" t="n">
        <f aca="false">SUMPRODUCT(MMULT(I522:W522,_XtX!$B$78:$P$92),I522:W522)</f>
        <v>0.457596628289474</v>
      </c>
      <c r="Z522" s="0" t="n">
        <f aca="false">04_回帰ANOVA!$K$19*04_回帰ANOVA!$K$14*SQRT(1+Y522)</f>
        <v>1.57368233664366</v>
      </c>
      <c r="AA522" s="0" t="n">
        <f aca="false">X522-Z522</f>
        <v>41.0952595493213</v>
      </c>
      <c r="AB522" s="0" t="n">
        <f aca="false">X522+Z522</f>
        <v>44.2426242226086</v>
      </c>
      <c r="AC522" s="54" t="b">
        <f aca="false">AND(E522&gt;=01_因子設定!$L$5-0.000000001,E522&lt;=01_因子設定!$M$5+0.000000001,F522&gt;=01_因子設定!$L$6-0.000000001,F522&lt;=01_因子設定!$M$6+0.000000001,G522&gt;=01_因子設定!$L$7-0.000000001,G522&lt;=01_因子設定!$M$7+0.000000001,H522&gt;=01_因子設定!$L$8-0.000000001,H522&lt;=01_因子設定!$M$8+0.000000001,IF(01_因子設定!$B$20="Box-Behnken",E522^2+F522^2+G522^2+H522^2&lt;=2+0.000000001,TRUE()))</f>
        <v>1</v>
      </c>
      <c r="AD522" s="55" t="n">
        <f aca="false">IF(AC522,IF(01_因子設定!$B$13="最大化",AA522-01_因子設定!$B$14,IF(01_因子設定!$B$13="最小化",01_因子設定!$B$15-AB522,MIN(AA522-01_因子設定!$B$14,01_因子設定!$B$15-AB522))),-1E+030)</f>
        <v>-5.40474045067872</v>
      </c>
      <c r="AE522" s="55" t="n">
        <f aca="false">IF(AC522,IF(01_因子設定!$B$13="最大化",X522,IF(01_因子設定!$B$13="最小化",-X522,-ABS(X522-01_因子設定!$B$16))),-1E+030)</f>
        <v>42.6689418859649</v>
      </c>
      <c r="AF522" s="55" t="n">
        <f aca="false">AD522+ROW()*0.000000001</f>
        <v>-5.40473992867872</v>
      </c>
      <c r="AG522" s="55" t="n">
        <f aca="false">AE522+ROW()*0.000000001</f>
        <v>42.6689424079649</v>
      </c>
    </row>
    <row r="523" customFormat="false" ht="15" hidden="false" customHeight="false" outlineLevel="0" collapsed="false">
      <c r="A523" s="0" t="n">
        <v>0</v>
      </c>
      <c r="B523" s="0" t="n">
        <v>6</v>
      </c>
      <c r="C523" s="0" t="n">
        <v>3</v>
      </c>
      <c r="D523" s="0" t="n">
        <v>5</v>
      </c>
      <c r="E523" s="0" t="n">
        <f aca="false">-1+A523*0.25</f>
        <v>-1</v>
      </c>
      <c r="F523" s="0" t="n">
        <f aca="false">-1+B523*0.25</f>
        <v>0.5</v>
      </c>
      <c r="G523" s="0" t="n">
        <f aca="false">-1+C523*0.25</f>
        <v>-0.25</v>
      </c>
      <c r="H523" s="0" t="n">
        <f aca="false">-1+D523*0.25</f>
        <v>0.25</v>
      </c>
      <c r="I523" s="0" t="n">
        <f aca="false">1</f>
        <v>1</v>
      </c>
      <c r="J523" s="0" t="n">
        <f aca="false">E523</f>
        <v>-1</v>
      </c>
      <c r="K523" s="0" t="n">
        <f aca="false">F523</f>
        <v>0.5</v>
      </c>
      <c r="L523" s="0" t="n">
        <f aca="false">G523</f>
        <v>-0.25</v>
      </c>
      <c r="M523" s="0" t="n">
        <f aca="false">H523</f>
        <v>0.25</v>
      </c>
      <c r="N523" s="0" t="n">
        <f aca="false">E523*F523</f>
        <v>-0.5</v>
      </c>
      <c r="O523" s="0" t="n">
        <f aca="false">E523*G523</f>
        <v>0.25</v>
      </c>
      <c r="P523" s="0" t="n">
        <f aca="false">E523*H523</f>
        <v>-0.25</v>
      </c>
      <c r="Q523" s="0" t="n">
        <f aca="false">F523*G523</f>
        <v>-0.125</v>
      </c>
      <c r="R523" s="0" t="n">
        <f aca="false">F523*H523</f>
        <v>0.125</v>
      </c>
      <c r="S523" s="0" t="n">
        <f aca="false">G523*H523</f>
        <v>-0.0625</v>
      </c>
      <c r="T523" s="0" t="n">
        <f aca="false">E523*E523</f>
        <v>1</v>
      </c>
      <c r="U523" s="0" t="n">
        <f aca="false">F523*F523</f>
        <v>0.25</v>
      </c>
      <c r="V523" s="0" t="n">
        <f aca="false">G523*G523</f>
        <v>0.0625</v>
      </c>
      <c r="W523" s="0" t="n">
        <f aca="false">H523*H523</f>
        <v>0.0625</v>
      </c>
      <c r="X523" s="0" t="n">
        <f aca="false">SUMPRODUCT(I523:W523,_XtX!$B$96:$P$96)</f>
        <v>42.6706460160819</v>
      </c>
      <c r="Y523" s="0" t="n">
        <f aca="false">SUMPRODUCT(MMULT(I523:W523,_XtX!$B$78:$P$92),I523:W523)</f>
        <v>0.445705123812135</v>
      </c>
      <c r="Z523" s="0" t="n">
        <f aca="false">04_回帰ANOVA!$K$19*04_回帰ANOVA!$K$14*SQRT(1+Y523)</f>
        <v>1.56724990734749</v>
      </c>
      <c r="AA523" s="0" t="n">
        <f aca="false">X523-Z523</f>
        <v>41.1033961087344</v>
      </c>
      <c r="AB523" s="0" t="n">
        <f aca="false">X523+Z523</f>
        <v>44.2378959234294</v>
      </c>
      <c r="AC523" s="54" t="b">
        <f aca="false">AND(E523&gt;=01_因子設定!$L$5-0.000000001,E523&lt;=01_因子設定!$M$5+0.000000001,F523&gt;=01_因子設定!$L$6-0.000000001,F523&lt;=01_因子設定!$M$6+0.000000001,G523&gt;=01_因子設定!$L$7-0.000000001,G523&lt;=01_因子設定!$M$7+0.000000001,H523&gt;=01_因子設定!$L$8-0.000000001,H523&lt;=01_因子設定!$M$8+0.000000001,IF(01_因子設定!$B$20="Box-Behnken",E523^2+F523^2+G523^2+H523^2&lt;=2+0.000000001,TRUE()))</f>
        <v>1</v>
      </c>
      <c r="AD523" s="55" t="n">
        <f aca="false">IF(AC523,IF(01_因子設定!$B$13="最大化",AA523-01_因子設定!$B$14,IF(01_因子設定!$B$13="最小化",01_因子設定!$B$15-AB523,MIN(AA523-01_因子設定!$B$14,01_因子設定!$B$15-AB523))),-1E+030)</f>
        <v>-5.39660389126559</v>
      </c>
      <c r="AE523" s="55" t="n">
        <f aca="false">IF(AC523,IF(01_因子設定!$B$13="最大化",X523,IF(01_因子設定!$B$13="最小化",-X523,-ABS(X523-01_因子設定!$B$16))),-1E+030)</f>
        <v>42.6706460160819</v>
      </c>
      <c r="AF523" s="55" t="n">
        <f aca="false">AD523+ROW()*0.000000001</f>
        <v>-5.39660336826559</v>
      </c>
      <c r="AG523" s="55" t="n">
        <f aca="false">AE523+ROW()*0.000000001</f>
        <v>42.6706465390819</v>
      </c>
    </row>
    <row r="524" customFormat="false" ht="15" hidden="false" customHeight="false" outlineLevel="0" collapsed="false">
      <c r="A524" s="0" t="n">
        <v>0</v>
      </c>
      <c r="B524" s="0" t="n">
        <v>6</v>
      </c>
      <c r="C524" s="0" t="n">
        <v>3</v>
      </c>
      <c r="D524" s="0" t="n">
        <v>6</v>
      </c>
      <c r="E524" s="0" t="n">
        <f aca="false">-1+A524*0.25</f>
        <v>-1</v>
      </c>
      <c r="F524" s="0" t="n">
        <f aca="false">-1+B524*0.25</f>
        <v>0.5</v>
      </c>
      <c r="G524" s="0" t="n">
        <f aca="false">-1+C524*0.25</f>
        <v>-0.25</v>
      </c>
      <c r="H524" s="0" t="n">
        <f aca="false">-1+D524*0.25</f>
        <v>0.5</v>
      </c>
      <c r="I524" s="0" t="n">
        <f aca="false">1</f>
        <v>1</v>
      </c>
      <c r="J524" s="0" t="n">
        <f aca="false">E524</f>
        <v>-1</v>
      </c>
      <c r="K524" s="0" t="n">
        <f aca="false">F524</f>
        <v>0.5</v>
      </c>
      <c r="L524" s="0" t="n">
        <f aca="false">G524</f>
        <v>-0.25</v>
      </c>
      <c r="M524" s="0" t="n">
        <f aca="false">H524</f>
        <v>0.5</v>
      </c>
      <c r="N524" s="0" t="n">
        <f aca="false">E524*F524</f>
        <v>-0.5</v>
      </c>
      <c r="O524" s="0" t="n">
        <f aca="false">E524*G524</f>
        <v>0.25</v>
      </c>
      <c r="P524" s="0" t="n">
        <f aca="false">E524*H524</f>
        <v>-0.5</v>
      </c>
      <c r="Q524" s="0" t="n">
        <f aca="false">F524*G524</f>
        <v>-0.125</v>
      </c>
      <c r="R524" s="0" t="n">
        <f aca="false">F524*H524</f>
        <v>0.25</v>
      </c>
      <c r="S524" s="0" t="n">
        <f aca="false">G524*H524</f>
        <v>-0.125</v>
      </c>
      <c r="T524" s="0" t="n">
        <f aca="false">E524*E524</f>
        <v>1</v>
      </c>
      <c r="U524" s="0" t="n">
        <f aca="false">F524*F524</f>
        <v>0.25</v>
      </c>
      <c r="V524" s="0" t="n">
        <f aca="false">G524*G524</f>
        <v>0.0625</v>
      </c>
      <c r="W524" s="0" t="n">
        <f aca="false">H524*H524</f>
        <v>0.25</v>
      </c>
      <c r="X524" s="0" t="n">
        <f aca="false">SUMPRODUCT(I524:W524,_XtX!$B$96:$P$96)</f>
        <v>42.624543128655</v>
      </c>
      <c r="Y524" s="0" t="n">
        <f aca="false">SUMPRODUCT(MMULT(I524:W524,_XtX!$B$78:$P$92),I524:W524)</f>
        <v>0.428122715643275</v>
      </c>
      <c r="Z524" s="0" t="n">
        <f aca="false">04_回帰ANOVA!$K$19*04_回帰ANOVA!$K$14*SQRT(1+Y524)</f>
        <v>1.55769044623229</v>
      </c>
      <c r="AA524" s="0" t="n">
        <f aca="false">X524-Z524</f>
        <v>41.0668526824227</v>
      </c>
      <c r="AB524" s="0" t="n">
        <f aca="false">X524+Z524</f>
        <v>44.1822335748873</v>
      </c>
      <c r="AC524" s="54" t="b">
        <f aca="false">AND(E524&gt;=01_因子設定!$L$5-0.000000001,E524&lt;=01_因子設定!$M$5+0.000000001,F524&gt;=01_因子設定!$L$6-0.000000001,F524&lt;=01_因子設定!$M$6+0.000000001,G524&gt;=01_因子設定!$L$7-0.000000001,G524&lt;=01_因子設定!$M$7+0.000000001,H524&gt;=01_因子設定!$L$8-0.000000001,H524&lt;=01_因子設定!$M$8+0.000000001,IF(01_因子設定!$B$20="Box-Behnken",E524^2+F524^2+G524^2+H524^2&lt;=2+0.000000001,TRUE()))</f>
        <v>1</v>
      </c>
      <c r="AD524" s="55" t="n">
        <f aca="false">IF(AC524,IF(01_因子設定!$B$13="最大化",AA524-01_因子設定!$B$14,IF(01_因子設定!$B$13="最小化",01_因子設定!$B$15-AB524,MIN(AA524-01_因子設定!$B$14,01_因子設定!$B$15-AB524))),-1E+030)</f>
        <v>-5.43314731757729</v>
      </c>
      <c r="AE524" s="55" t="n">
        <f aca="false">IF(AC524,IF(01_因子設定!$B$13="最大化",X524,IF(01_因子設定!$B$13="最小化",-X524,-ABS(X524-01_因子設定!$B$16))),-1E+030)</f>
        <v>42.624543128655</v>
      </c>
      <c r="AF524" s="55" t="n">
        <f aca="false">AD524+ROW()*0.000000001</f>
        <v>-5.43314679357729</v>
      </c>
      <c r="AG524" s="55" t="n">
        <f aca="false">AE524+ROW()*0.000000001</f>
        <v>42.624543652655</v>
      </c>
    </row>
    <row r="525" customFormat="false" ht="15" hidden="false" customHeight="false" outlineLevel="0" collapsed="false">
      <c r="A525" s="0" t="n">
        <v>0</v>
      </c>
      <c r="B525" s="0" t="n">
        <v>6</v>
      </c>
      <c r="C525" s="0" t="n">
        <v>3</v>
      </c>
      <c r="D525" s="0" t="n">
        <v>7</v>
      </c>
      <c r="E525" s="0" t="n">
        <f aca="false">-1+A525*0.25</f>
        <v>-1</v>
      </c>
      <c r="F525" s="0" t="n">
        <f aca="false">-1+B525*0.25</f>
        <v>0.5</v>
      </c>
      <c r="G525" s="0" t="n">
        <f aca="false">-1+C525*0.25</f>
        <v>-0.25</v>
      </c>
      <c r="H525" s="0" t="n">
        <f aca="false">-1+D525*0.25</f>
        <v>0.75</v>
      </c>
      <c r="I525" s="0" t="n">
        <f aca="false">1</f>
        <v>1</v>
      </c>
      <c r="J525" s="0" t="n">
        <f aca="false">E525</f>
        <v>-1</v>
      </c>
      <c r="K525" s="0" t="n">
        <f aca="false">F525</f>
        <v>0.5</v>
      </c>
      <c r="L525" s="0" t="n">
        <f aca="false">G525</f>
        <v>-0.25</v>
      </c>
      <c r="M525" s="0" t="n">
        <f aca="false">H525</f>
        <v>0.75</v>
      </c>
      <c r="N525" s="0" t="n">
        <f aca="false">E525*F525</f>
        <v>-0.5</v>
      </c>
      <c r="O525" s="0" t="n">
        <f aca="false">E525*G525</f>
        <v>0.25</v>
      </c>
      <c r="P525" s="0" t="n">
        <f aca="false">E525*H525</f>
        <v>-0.75</v>
      </c>
      <c r="Q525" s="0" t="n">
        <f aca="false">F525*G525</f>
        <v>-0.125</v>
      </c>
      <c r="R525" s="0" t="n">
        <f aca="false">F525*H525</f>
        <v>0.375</v>
      </c>
      <c r="S525" s="0" t="n">
        <f aca="false">G525*H525</f>
        <v>-0.1875</v>
      </c>
      <c r="T525" s="0" t="n">
        <f aca="false">E525*E525</f>
        <v>1</v>
      </c>
      <c r="U525" s="0" t="n">
        <f aca="false">F525*F525</f>
        <v>0.25</v>
      </c>
      <c r="V525" s="0" t="n">
        <f aca="false">G525*G525</f>
        <v>0.0625</v>
      </c>
      <c r="W525" s="0" t="n">
        <f aca="false">H525*H525</f>
        <v>0.5625</v>
      </c>
      <c r="X525" s="0" t="n">
        <f aca="false">SUMPRODUCT(I525:W525,_XtX!$B$96:$P$96)</f>
        <v>42.5306332236843</v>
      </c>
      <c r="Y525" s="0" t="n">
        <f aca="false">SUMPRODUCT(MMULT(I525:W525,_XtX!$B$78:$P$92),I525:W525)</f>
        <v>0.459125719572369</v>
      </c>
      <c r="Z525" s="0" t="n">
        <f aca="false">04_回帰ANOVA!$K$19*04_回帰ANOVA!$K$14*SQRT(1+Y525)</f>
        <v>1.57450755575573</v>
      </c>
      <c r="AA525" s="0" t="n">
        <f aca="false">X525-Z525</f>
        <v>40.9561256679285</v>
      </c>
      <c r="AB525" s="0" t="n">
        <f aca="false">X525+Z525</f>
        <v>44.10514077944</v>
      </c>
      <c r="AC525" s="54" t="b">
        <f aca="false">AND(E525&gt;=01_因子設定!$L$5-0.000000001,E525&lt;=01_因子設定!$M$5+0.000000001,F525&gt;=01_因子設定!$L$6-0.000000001,F525&lt;=01_因子設定!$M$6+0.000000001,G525&gt;=01_因子設定!$L$7-0.000000001,G525&lt;=01_因子設定!$M$7+0.000000001,H525&gt;=01_因子設定!$L$8-0.000000001,H525&lt;=01_因子設定!$M$8+0.000000001,IF(01_因子設定!$B$20="Box-Behnken",E525^2+F525^2+G525^2+H525^2&lt;=2+0.000000001,TRUE()))</f>
        <v>1</v>
      </c>
      <c r="AD525" s="55" t="n">
        <f aca="false">IF(AC525,IF(01_因子設定!$B$13="最大化",AA525-01_因子設定!$B$14,IF(01_因子設定!$B$13="最小化",01_因子設定!$B$15-AB525,MIN(AA525-01_因子設定!$B$14,01_因子設定!$B$15-AB525))),-1E+030)</f>
        <v>-5.54387433207148</v>
      </c>
      <c r="AE525" s="55" t="n">
        <f aca="false">IF(AC525,IF(01_因子設定!$B$13="最大化",X525,IF(01_因子設定!$B$13="最小化",-X525,-ABS(X525-01_因子設定!$B$16))),-1E+030)</f>
        <v>42.5306332236843</v>
      </c>
      <c r="AF525" s="55" t="n">
        <f aca="false">AD525+ROW()*0.000000001</f>
        <v>-5.54387380707148</v>
      </c>
      <c r="AG525" s="55" t="n">
        <f aca="false">AE525+ROW()*0.000000001</f>
        <v>42.5306337486843</v>
      </c>
    </row>
    <row r="526" customFormat="false" ht="15" hidden="false" customHeight="false" outlineLevel="0" collapsed="false">
      <c r="A526" s="0" t="n">
        <v>0</v>
      </c>
      <c r="B526" s="0" t="n">
        <v>6</v>
      </c>
      <c r="C526" s="0" t="n">
        <v>3</v>
      </c>
      <c r="D526" s="0" t="n">
        <v>8</v>
      </c>
      <c r="E526" s="0" t="n">
        <f aca="false">-1+A526*0.25</f>
        <v>-1</v>
      </c>
      <c r="F526" s="0" t="n">
        <f aca="false">-1+B526*0.25</f>
        <v>0.5</v>
      </c>
      <c r="G526" s="0" t="n">
        <f aca="false">-1+C526*0.25</f>
        <v>-0.25</v>
      </c>
      <c r="H526" s="0" t="n">
        <f aca="false">-1+D526*0.25</f>
        <v>1</v>
      </c>
      <c r="I526" s="0" t="n">
        <f aca="false">1</f>
        <v>1</v>
      </c>
      <c r="J526" s="0" t="n">
        <f aca="false">E526</f>
        <v>-1</v>
      </c>
      <c r="K526" s="0" t="n">
        <f aca="false">F526</f>
        <v>0.5</v>
      </c>
      <c r="L526" s="0" t="n">
        <f aca="false">G526</f>
        <v>-0.25</v>
      </c>
      <c r="M526" s="0" t="n">
        <f aca="false">H526</f>
        <v>1</v>
      </c>
      <c r="N526" s="0" t="n">
        <f aca="false">E526*F526</f>
        <v>-0.5</v>
      </c>
      <c r="O526" s="0" t="n">
        <f aca="false">E526*G526</f>
        <v>0.25</v>
      </c>
      <c r="P526" s="0" t="n">
        <f aca="false">E526*H526</f>
        <v>-1</v>
      </c>
      <c r="Q526" s="0" t="n">
        <f aca="false">F526*G526</f>
        <v>-0.125</v>
      </c>
      <c r="R526" s="0" t="n">
        <f aca="false">F526*H526</f>
        <v>0.5</v>
      </c>
      <c r="S526" s="0" t="n">
        <f aca="false">G526*H526</f>
        <v>-0.25</v>
      </c>
      <c r="T526" s="0" t="n">
        <f aca="false">E526*E526</f>
        <v>1</v>
      </c>
      <c r="U526" s="0" t="n">
        <f aca="false">F526*F526</f>
        <v>0.25</v>
      </c>
      <c r="V526" s="0" t="n">
        <f aca="false">G526*G526</f>
        <v>0.0625</v>
      </c>
      <c r="W526" s="0" t="n">
        <f aca="false">H526*H526</f>
        <v>1</v>
      </c>
      <c r="X526" s="0" t="n">
        <f aca="false">SUMPRODUCT(I526:W526,_XtX!$B$96:$P$96)</f>
        <v>42.3889163011697</v>
      </c>
      <c r="Y526" s="0" t="n">
        <f aca="false">SUMPRODUCT(MMULT(I526:W526,_XtX!$B$78:$P$92),I526:W526)</f>
        <v>0.629174661915205</v>
      </c>
      <c r="Z526" s="0" t="n">
        <f aca="false">04_回帰ANOVA!$K$19*04_回帰ANOVA!$K$14*SQRT(1+Y526)</f>
        <v>1.66372758058297</v>
      </c>
      <c r="AA526" s="0" t="n">
        <f aca="false">X526-Z526</f>
        <v>40.7251887205867</v>
      </c>
      <c r="AB526" s="0" t="n">
        <f aca="false">X526+Z526</f>
        <v>44.0526438817526</v>
      </c>
      <c r="AC526" s="54" t="b">
        <f aca="false">AND(E526&gt;=01_因子設定!$L$5-0.000000001,E526&lt;=01_因子設定!$M$5+0.000000001,F526&gt;=01_因子設定!$L$6-0.000000001,F526&lt;=01_因子設定!$M$6+0.000000001,G526&gt;=01_因子設定!$L$7-0.000000001,G526&lt;=01_因子設定!$M$7+0.000000001,H526&gt;=01_因子設定!$L$8-0.000000001,H526&lt;=01_因子設定!$M$8+0.000000001,IF(01_因子設定!$B$20="Box-Behnken",E526^2+F526^2+G526^2+H526^2&lt;=2+0.000000001,TRUE()))</f>
        <v>1</v>
      </c>
      <c r="AD526" s="55" t="n">
        <f aca="false">IF(AC526,IF(01_因子設定!$B$13="最大化",AA526-01_因子設定!$B$14,IF(01_因子設定!$B$13="最小化",01_因子設定!$B$15-AB526,MIN(AA526-01_因子設定!$B$14,01_因子設定!$B$15-AB526))),-1E+030)</f>
        <v>-5.77481127941332</v>
      </c>
      <c r="AE526" s="55" t="n">
        <f aca="false">IF(AC526,IF(01_因子設定!$B$13="最大化",X526,IF(01_因子設定!$B$13="最小化",-X526,-ABS(X526-01_因子設定!$B$16))),-1E+030)</f>
        <v>42.3889163011697</v>
      </c>
      <c r="AF526" s="55" t="n">
        <f aca="false">AD526+ROW()*0.000000001</f>
        <v>-5.77481075341332</v>
      </c>
      <c r="AG526" s="55" t="n">
        <f aca="false">AE526+ROW()*0.000000001</f>
        <v>42.3889168271697</v>
      </c>
    </row>
    <row r="527" customFormat="false" ht="15" hidden="false" customHeight="false" outlineLevel="0" collapsed="false">
      <c r="A527" s="0" t="n">
        <v>0</v>
      </c>
      <c r="B527" s="0" t="n">
        <v>6</v>
      </c>
      <c r="C527" s="0" t="n">
        <v>4</v>
      </c>
      <c r="D527" s="0" t="n">
        <v>0</v>
      </c>
      <c r="E527" s="0" t="n">
        <f aca="false">-1+A527*0.25</f>
        <v>-1</v>
      </c>
      <c r="F527" s="0" t="n">
        <f aca="false">-1+B527*0.25</f>
        <v>0.5</v>
      </c>
      <c r="G527" s="0" t="n">
        <f aca="false">-1+C527*0.25</f>
        <v>0</v>
      </c>
      <c r="H527" s="0" t="n">
        <f aca="false">-1+D527*0.25</f>
        <v>-1</v>
      </c>
      <c r="I527" s="0" t="n">
        <f aca="false">1</f>
        <v>1</v>
      </c>
      <c r="J527" s="0" t="n">
        <f aca="false">E527</f>
        <v>-1</v>
      </c>
      <c r="K527" s="0" t="n">
        <f aca="false">F527</f>
        <v>0.5</v>
      </c>
      <c r="L527" s="0" t="n">
        <f aca="false">G527</f>
        <v>0</v>
      </c>
      <c r="M527" s="0" t="n">
        <f aca="false">H527</f>
        <v>-1</v>
      </c>
      <c r="N527" s="0" t="n">
        <f aca="false">E527*F527</f>
        <v>-0.5</v>
      </c>
      <c r="O527" s="0" t="n">
        <f aca="false">E527*G527</f>
        <v>-0</v>
      </c>
      <c r="P527" s="0" t="n">
        <f aca="false">E527*H527</f>
        <v>1</v>
      </c>
      <c r="Q527" s="0" t="n">
        <f aca="false">F527*G527</f>
        <v>0</v>
      </c>
      <c r="R527" s="0" t="n">
        <f aca="false">F527*H527</f>
        <v>-0.5</v>
      </c>
      <c r="S527" s="0" t="n">
        <f aca="false">G527*H527</f>
        <v>-0</v>
      </c>
      <c r="T527" s="0" t="n">
        <f aca="false">E527*E527</f>
        <v>1</v>
      </c>
      <c r="U527" s="0" t="n">
        <f aca="false">F527*F527</f>
        <v>0.25</v>
      </c>
      <c r="V527" s="0" t="n">
        <f aca="false">G527*G527</f>
        <v>0</v>
      </c>
      <c r="W527" s="0" t="n">
        <f aca="false">H527*H527</f>
        <v>1</v>
      </c>
      <c r="X527" s="0" t="n">
        <f aca="false">SUMPRODUCT(I527:W527,_XtX!$B$96:$P$96)</f>
        <v>42.6022295321638</v>
      </c>
      <c r="Y527" s="0" t="n">
        <f aca="false">SUMPRODUCT(MMULT(I527:W527,_XtX!$B$78:$P$92),I527:W527)</f>
        <v>0.650767543859649</v>
      </c>
      <c r="Z527" s="0" t="n">
        <f aca="false">04_回帰ANOVA!$K$19*04_回帰ANOVA!$K$14*SQRT(1+Y527)</f>
        <v>1.67471670935165</v>
      </c>
      <c r="AA527" s="0" t="n">
        <f aca="false">X527-Z527</f>
        <v>40.9275128228122</v>
      </c>
      <c r="AB527" s="0" t="n">
        <f aca="false">X527+Z527</f>
        <v>44.2769462415155</v>
      </c>
      <c r="AC527" s="54" t="b">
        <f aca="false">AND(E527&gt;=01_因子設定!$L$5-0.000000001,E527&lt;=01_因子設定!$M$5+0.000000001,F527&gt;=01_因子設定!$L$6-0.000000001,F527&lt;=01_因子設定!$M$6+0.000000001,G527&gt;=01_因子設定!$L$7-0.000000001,G527&lt;=01_因子設定!$M$7+0.000000001,H527&gt;=01_因子設定!$L$8-0.000000001,H527&lt;=01_因子設定!$M$8+0.000000001,IF(01_因子設定!$B$20="Box-Behnken",E527^2+F527^2+G527^2+H527^2&lt;=2+0.000000001,TRUE()))</f>
        <v>1</v>
      </c>
      <c r="AD527" s="55" t="n">
        <f aca="false">IF(AC527,IF(01_因子設定!$B$13="最大化",AA527-01_因子設定!$B$14,IF(01_因子設定!$B$13="最小化",01_因子設定!$B$15-AB527,MIN(AA527-01_因子設定!$B$14,01_因子設定!$B$15-AB527))),-1E+030)</f>
        <v>-5.57248717718785</v>
      </c>
      <c r="AE527" s="55" t="n">
        <f aca="false">IF(AC527,IF(01_因子設定!$B$13="最大化",X527,IF(01_因子設定!$B$13="最小化",-X527,-ABS(X527-01_因子設定!$B$16))),-1E+030)</f>
        <v>42.6022295321638</v>
      </c>
      <c r="AF527" s="55" t="n">
        <f aca="false">AD527+ROW()*0.000000001</f>
        <v>-5.57248665018785</v>
      </c>
      <c r="AG527" s="55" t="n">
        <f aca="false">AE527+ROW()*0.000000001</f>
        <v>42.6022300591638</v>
      </c>
    </row>
    <row r="528" customFormat="false" ht="15" hidden="false" customHeight="false" outlineLevel="0" collapsed="false">
      <c r="A528" s="0" t="n">
        <v>0</v>
      </c>
      <c r="B528" s="0" t="n">
        <v>6</v>
      </c>
      <c r="C528" s="0" t="n">
        <v>4</v>
      </c>
      <c r="D528" s="0" t="n">
        <v>1</v>
      </c>
      <c r="E528" s="0" t="n">
        <f aca="false">-1+A528*0.25</f>
        <v>-1</v>
      </c>
      <c r="F528" s="0" t="n">
        <f aca="false">-1+B528*0.25</f>
        <v>0.5</v>
      </c>
      <c r="G528" s="0" t="n">
        <f aca="false">-1+C528*0.25</f>
        <v>0</v>
      </c>
      <c r="H528" s="0" t="n">
        <f aca="false">-1+D528*0.25</f>
        <v>-0.75</v>
      </c>
      <c r="I528" s="0" t="n">
        <f aca="false">1</f>
        <v>1</v>
      </c>
      <c r="J528" s="0" t="n">
        <f aca="false">E528</f>
        <v>-1</v>
      </c>
      <c r="K528" s="0" t="n">
        <f aca="false">F528</f>
        <v>0.5</v>
      </c>
      <c r="L528" s="0" t="n">
        <f aca="false">G528</f>
        <v>0</v>
      </c>
      <c r="M528" s="0" t="n">
        <f aca="false">H528</f>
        <v>-0.75</v>
      </c>
      <c r="N528" s="0" t="n">
        <f aca="false">E528*F528</f>
        <v>-0.5</v>
      </c>
      <c r="O528" s="0" t="n">
        <f aca="false">E528*G528</f>
        <v>-0</v>
      </c>
      <c r="P528" s="0" t="n">
        <f aca="false">E528*H528</f>
        <v>0.75</v>
      </c>
      <c r="Q528" s="0" t="n">
        <f aca="false">F528*G528</f>
        <v>0</v>
      </c>
      <c r="R528" s="0" t="n">
        <f aca="false">F528*H528</f>
        <v>-0.375</v>
      </c>
      <c r="S528" s="0" t="n">
        <f aca="false">G528*H528</f>
        <v>-0</v>
      </c>
      <c r="T528" s="0" t="n">
        <f aca="false">E528*E528</f>
        <v>1</v>
      </c>
      <c r="U528" s="0" t="n">
        <f aca="false">F528*F528</f>
        <v>0.25</v>
      </c>
      <c r="V528" s="0" t="n">
        <f aca="false">G528*G528</f>
        <v>0</v>
      </c>
      <c r="W528" s="0" t="n">
        <f aca="false">H528*H528</f>
        <v>0.5625</v>
      </c>
      <c r="X528" s="0" t="n">
        <f aca="false">SUMPRODUCT(I528:W528,_XtX!$B$96:$P$96)</f>
        <v>42.8131304824562</v>
      </c>
      <c r="Y528" s="0" t="n">
        <f aca="false">SUMPRODUCT(MMULT(I528:W528,_XtX!$B$78:$P$92),I528:W528)</f>
        <v>0.476191292032164</v>
      </c>
      <c r="Z528" s="0" t="n">
        <f aca="false">04_回帰ANOVA!$K$19*04_回帰ANOVA!$K$14*SQRT(1+Y528)</f>
        <v>1.58368831471718</v>
      </c>
      <c r="AA528" s="0" t="n">
        <f aca="false">X528-Z528</f>
        <v>41.229442167739</v>
      </c>
      <c r="AB528" s="0" t="n">
        <f aca="false">X528+Z528</f>
        <v>44.3968187971734</v>
      </c>
      <c r="AC528" s="54" t="b">
        <f aca="false">AND(E528&gt;=01_因子設定!$L$5-0.000000001,E528&lt;=01_因子設定!$M$5+0.000000001,F528&gt;=01_因子設定!$L$6-0.000000001,F528&lt;=01_因子設定!$M$6+0.000000001,G528&gt;=01_因子設定!$L$7-0.000000001,G528&lt;=01_因子設定!$M$7+0.000000001,H528&gt;=01_因子設定!$L$8-0.000000001,H528&lt;=01_因子設定!$M$8+0.000000001,IF(01_因子設定!$B$20="Box-Behnken",E528^2+F528^2+G528^2+H528^2&lt;=2+0.000000001,TRUE()))</f>
        <v>1</v>
      </c>
      <c r="AD528" s="55" t="n">
        <f aca="false">IF(AC528,IF(01_因子設定!$B$13="最大化",AA528-01_因子設定!$B$14,IF(01_因子設定!$B$13="最小化",01_因子設定!$B$15-AB528,MIN(AA528-01_因子設定!$B$14,01_因子設定!$B$15-AB528))),-1E+030)</f>
        <v>-5.27055783226099</v>
      </c>
      <c r="AE528" s="55" t="n">
        <f aca="false">IF(AC528,IF(01_因子設定!$B$13="最大化",X528,IF(01_因子設定!$B$13="最小化",-X528,-ABS(X528-01_因子設定!$B$16))),-1E+030)</f>
        <v>42.8131304824562</v>
      </c>
      <c r="AF528" s="55" t="n">
        <f aca="false">AD528+ROW()*0.000000001</f>
        <v>-5.27055730426099</v>
      </c>
      <c r="AG528" s="55" t="n">
        <f aca="false">AE528+ROW()*0.000000001</f>
        <v>42.8131310104562</v>
      </c>
    </row>
    <row r="529" customFormat="false" ht="15" hidden="false" customHeight="false" outlineLevel="0" collapsed="false">
      <c r="A529" s="0" t="n">
        <v>0</v>
      </c>
      <c r="B529" s="0" t="n">
        <v>6</v>
      </c>
      <c r="C529" s="0" t="n">
        <v>4</v>
      </c>
      <c r="D529" s="0" t="n">
        <v>2</v>
      </c>
      <c r="E529" s="0" t="n">
        <f aca="false">-1+A529*0.25</f>
        <v>-1</v>
      </c>
      <c r="F529" s="0" t="n">
        <f aca="false">-1+B529*0.25</f>
        <v>0.5</v>
      </c>
      <c r="G529" s="0" t="n">
        <f aca="false">-1+C529*0.25</f>
        <v>0</v>
      </c>
      <c r="H529" s="0" t="n">
        <f aca="false">-1+D529*0.25</f>
        <v>-0.5</v>
      </c>
      <c r="I529" s="0" t="n">
        <f aca="false">1</f>
        <v>1</v>
      </c>
      <c r="J529" s="0" t="n">
        <f aca="false">E529</f>
        <v>-1</v>
      </c>
      <c r="K529" s="0" t="n">
        <f aca="false">F529</f>
        <v>0.5</v>
      </c>
      <c r="L529" s="0" t="n">
        <f aca="false">G529</f>
        <v>0</v>
      </c>
      <c r="M529" s="0" t="n">
        <f aca="false">H529</f>
        <v>-0.5</v>
      </c>
      <c r="N529" s="0" t="n">
        <f aca="false">E529*F529</f>
        <v>-0.5</v>
      </c>
      <c r="O529" s="0" t="n">
        <f aca="false">E529*G529</f>
        <v>-0</v>
      </c>
      <c r="P529" s="0" t="n">
        <f aca="false">E529*H529</f>
        <v>0.5</v>
      </c>
      <c r="Q529" s="0" t="n">
        <f aca="false">F529*G529</f>
        <v>0</v>
      </c>
      <c r="R529" s="0" t="n">
        <f aca="false">F529*H529</f>
        <v>-0.25</v>
      </c>
      <c r="S529" s="0" t="n">
        <f aca="false">G529*H529</f>
        <v>-0</v>
      </c>
      <c r="T529" s="0" t="n">
        <f aca="false">E529*E529</f>
        <v>1</v>
      </c>
      <c r="U529" s="0" t="n">
        <f aca="false">F529*F529</f>
        <v>0.25</v>
      </c>
      <c r="V529" s="0" t="n">
        <f aca="false">G529*G529</f>
        <v>0</v>
      </c>
      <c r="W529" s="0" t="n">
        <f aca="false">H529*H529</f>
        <v>0.25</v>
      </c>
      <c r="X529" s="0" t="n">
        <f aca="false">SUMPRODUCT(I529:W529,_XtX!$B$96:$P$96)</f>
        <v>42.9762244152047</v>
      </c>
      <c r="Y529" s="0" t="n">
        <f aca="false">SUMPRODUCT(MMULT(I529:W529,_XtX!$B$78:$P$92),I529:W529)</f>
        <v>0.441954495614035</v>
      </c>
      <c r="Z529" s="0" t="n">
        <f aca="false">04_回帰ANOVA!$K$19*04_回帰ANOVA!$K$14*SQRT(1+Y529)</f>
        <v>1.56521560968066</v>
      </c>
      <c r="AA529" s="0" t="n">
        <f aca="false">X529-Z529</f>
        <v>41.4110088055241</v>
      </c>
      <c r="AB529" s="0" t="n">
        <f aca="false">X529+Z529</f>
        <v>44.5414400248854</v>
      </c>
      <c r="AC529" s="54" t="b">
        <f aca="false">AND(E529&gt;=01_因子設定!$L$5-0.000000001,E529&lt;=01_因子設定!$M$5+0.000000001,F529&gt;=01_因子設定!$L$6-0.000000001,F529&lt;=01_因子設定!$M$6+0.000000001,G529&gt;=01_因子設定!$L$7-0.000000001,G529&lt;=01_因子設定!$M$7+0.000000001,H529&gt;=01_因子設定!$L$8-0.000000001,H529&lt;=01_因子設定!$M$8+0.000000001,IF(01_因子設定!$B$20="Box-Behnken",E529^2+F529^2+G529^2+H529^2&lt;=2+0.000000001,TRUE()))</f>
        <v>1</v>
      </c>
      <c r="AD529" s="55" t="n">
        <f aca="false">IF(AC529,IF(01_因子設定!$B$13="最大化",AA529-01_因子設定!$B$14,IF(01_因子設定!$B$13="最小化",01_因子設定!$B$15-AB529,MIN(AA529-01_因子設定!$B$14,01_因子設定!$B$15-AB529))),-1E+030)</f>
        <v>-5.08899119447595</v>
      </c>
      <c r="AE529" s="55" t="n">
        <f aca="false">IF(AC529,IF(01_因子設定!$B$13="最大化",X529,IF(01_因子設定!$B$13="最小化",-X529,-ABS(X529-01_因子設定!$B$16))),-1E+030)</f>
        <v>42.9762244152047</v>
      </c>
      <c r="AF529" s="55" t="n">
        <f aca="false">AD529+ROW()*0.000000001</f>
        <v>-5.08899066547595</v>
      </c>
      <c r="AG529" s="55" t="n">
        <f aca="false">AE529+ROW()*0.000000001</f>
        <v>42.9762249442047</v>
      </c>
    </row>
    <row r="530" customFormat="false" ht="15" hidden="false" customHeight="false" outlineLevel="0" collapsed="false">
      <c r="A530" s="0" t="n">
        <v>0</v>
      </c>
      <c r="B530" s="0" t="n">
        <v>6</v>
      </c>
      <c r="C530" s="0" t="n">
        <v>4</v>
      </c>
      <c r="D530" s="0" t="n">
        <v>3</v>
      </c>
      <c r="E530" s="0" t="n">
        <f aca="false">-1+A530*0.25</f>
        <v>-1</v>
      </c>
      <c r="F530" s="0" t="n">
        <f aca="false">-1+B530*0.25</f>
        <v>0.5</v>
      </c>
      <c r="G530" s="0" t="n">
        <f aca="false">-1+C530*0.25</f>
        <v>0</v>
      </c>
      <c r="H530" s="0" t="n">
        <f aca="false">-1+D530*0.25</f>
        <v>-0.25</v>
      </c>
      <c r="I530" s="0" t="n">
        <f aca="false">1</f>
        <v>1</v>
      </c>
      <c r="J530" s="0" t="n">
        <f aca="false">E530</f>
        <v>-1</v>
      </c>
      <c r="K530" s="0" t="n">
        <f aca="false">F530</f>
        <v>0.5</v>
      </c>
      <c r="L530" s="0" t="n">
        <f aca="false">G530</f>
        <v>0</v>
      </c>
      <c r="M530" s="0" t="n">
        <f aca="false">H530</f>
        <v>-0.25</v>
      </c>
      <c r="N530" s="0" t="n">
        <f aca="false">E530*F530</f>
        <v>-0.5</v>
      </c>
      <c r="O530" s="0" t="n">
        <f aca="false">E530*G530</f>
        <v>-0</v>
      </c>
      <c r="P530" s="0" t="n">
        <f aca="false">E530*H530</f>
        <v>0.25</v>
      </c>
      <c r="Q530" s="0" t="n">
        <f aca="false">F530*G530</f>
        <v>0</v>
      </c>
      <c r="R530" s="0" t="n">
        <f aca="false">F530*H530</f>
        <v>-0.125</v>
      </c>
      <c r="S530" s="0" t="n">
        <f aca="false">G530*H530</f>
        <v>-0</v>
      </c>
      <c r="T530" s="0" t="n">
        <f aca="false">E530*E530</f>
        <v>1</v>
      </c>
      <c r="U530" s="0" t="n">
        <f aca="false">F530*F530</f>
        <v>0.25</v>
      </c>
      <c r="V530" s="0" t="n">
        <f aca="false">G530*G530</f>
        <v>0</v>
      </c>
      <c r="W530" s="0" t="n">
        <f aca="false">H530*H530</f>
        <v>0.0625</v>
      </c>
      <c r="X530" s="0" t="n">
        <f aca="false">SUMPRODUCT(I530:W530,_XtX!$B$96:$P$96)</f>
        <v>43.0915113304094</v>
      </c>
      <c r="Y530" s="0" t="n">
        <f aca="false">SUMPRODUCT(MMULT(I530:W530,_XtX!$B$78:$P$92),I530:W530)</f>
        <v>0.457596628289474</v>
      </c>
      <c r="Z530" s="0" t="n">
        <f aca="false">04_回帰ANOVA!$K$19*04_回帰ANOVA!$K$14*SQRT(1+Y530)</f>
        <v>1.57368233664366</v>
      </c>
      <c r="AA530" s="0" t="n">
        <f aca="false">X530-Z530</f>
        <v>41.5178289937657</v>
      </c>
      <c r="AB530" s="0" t="n">
        <f aca="false">X530+Z530</f>
        <v>44.665193667053</v>
      </c>
      <c r="AC530" s="54" t="b">
        <f aca="false">AND(E530&gt;=01_因子設定!$L$5-0.000000001,E530&lt;=01_因子設定!$M$5+0.000000001,F530&gt;=01_因子設定!$L$6-0.000000001,F530&lt;=01_因子設定!$M$6+0.000000001,G530&gt;=01_因子設定!$L$7-0.000000001,G530&lt;=01_因子設定!$M$7+0.000000001,H530&gt;=01_因子設定!$L$8-0.000000001,H530&lt;=01_因子設定!$M$8+0.000000001,IF(01_因子設定!$B$20="Box-Behnken",E530^2+F530^2+G530^2+H530^2&lt;=2+0.000000001,TRUE()))</f>
        <v>1</v>
      </c>
      <c r="AD530" s="55" t="n">
        <f aca="false">IF(AC530,IF(01_因子設定!$B$13="最大化",AA530-01_因子設定!$B$14,IF(01_因子設定!$B$13="最小化",01_因子設定!$B$15-AB530,MIN(AA530-01_因子設定!$B$14,01_因子設定!$B$15-AB530))),-1E+030)</f>
        <v>-4.98217100623428</v>
      </c>
      <c r="AE530" s="55" t="n">
        <f aca="false">IF(AC530,IF(01_因子設定!$B$13="最大化",X530,IF(01_因子設定!$B$13="最小化",-X530,-ABS(X530-01_因子設定!$B$16))),-1E+030)</f>
        <v>43.0915113304094</v>
      </c>
      <c r="AF530" s="55" t="n">
        <f aca="false">AD530+ROW()*0.000000001</f>
        <v>-4.98217047623427</v>
      </c>
      <c r="AG530" s="55" t="n">
        <f aca="false">AE530+ROW()*0.000000001</f>
        <v>43.0915118604094</v>
      </c>
    </row>
    <row r="531" customFormat="false" ht="15" hidden="false" customHeight="false" outlineLevel="0" collapsed="false">
      <c r="A531" s="0" t="n">
        <v>0</v>
      </c>
      <c r="B531" s="0" t="n">
        <v>6</v>
      </c>
      <c r="C531" s="0" t="n">
        <v>4</v>
      </c>
      <c r="D531" s="0" t="n">
        <v>4</v>
      </c>
      <c r="E531" s="0" t="n">
        <f aca="false">-1+A531*0.25</f>
        <v>-1</v>
      </c>
      <c r="F531" s="0" t="n">
        <f aca="false">-1+B531*0.25</f>
        <v>0.5</v>
      </c>
      <c r="G531" s="0" t="n">
        <f aca="false">-1+C531*0.25</f>
        <v>0</v>
      </c>
      <c r="H531" s="0" t="n">
        <f aca="false">-1+D531*0.25</f>
        <v>0</v>
      </c>
      <c r="I531" s="0" t="n">
        <f aca="false">1</f>
        <v>1</v>
      </c>
      <c r="J531" s="0" t="n">
        <f aca="false">E531</f>
        <v>-1</v>
      </c>
      <c r="K531" s="0" t="n">
        <f aca="false">F531</f>
        <v>0.5</v>
      </c>
      <c r="L531" s="0" t="n">
        <f aca="false">G531</f>
        <v>0</v>
      </c>
      <c r="M531" s="0" t="n">
        <f aca="false">H531</f>
        <v>0</v>
      </c>
      <c r="N531" s="0" t="n">
        <f aca="false">E531*F531</f>
        <v>-0.5</v>
      </c>
      <c r="O531" s="0" t="n">
        <f aca="false">E531*G531</f>
        <v>-0</v>
      </c>
      <c r="P531" s="0" t="n">
        <f aca="false">E531*H531</f>
        <v>-0</v>
      </c>
      <c r="Q531" s="0" t="n">
        <f aca="false">F531*G531</f>
        <v>0</v>
      </c>
      <c r="R531" s="0" t="n">
        <f aca="false">F531*H531</f>
        <v>0</v>
      </c>
      <c r="S531" s="0" t="n">
        <f aca="false">G531*H531</f>
        <v>0</v>
      </c>
      <c r="T531" s="0" t="n">
        <f aca="false">E531*E531</f>
        <v>1</v>
      </c>
      <c r="U531" s="0" t="n">
        <f aca="false">F531*F531</f>
        <v>0.25</v>
      </c>
      <c r="V531" s="0" t="n">
        <f aca="false">G531*G531</f>
        <v>0</v>
      </c>
      <c r="W531" s="0" t="n">
        <f aca="false">H531*H531</f>
        <v>0</v>
      </c>
      <c r="X531" s="0" t="n">
        <f aca="false">SUMPRODUCT(I531:W531,_XtX!$B$96:$P$96)</f>
        <v>43.1589912280702</v>
      </c>
      <c r="Y531" s="0" t="n">
        <f aca="false">SUMPRODUCT(MMULT(I531:W531,_XtX!$B$78:$P$92),I531:W531)</f>
        <v>0.468841374269006</v>
      </c>
      <c r="Z531" s="0" t="n">
        <f aca="false">04_回帰ANOVA!$K$19*04_回帰ANOVA!$K$14*SQRT(1+Y531)</f>
        <v>1.57974082366087</v>
      </c>
      <c r="AA531" s="0" t="n">
        <f aca="false">X531-Z531</f>
        <v>41.5792504044093</v>
      </c>
      <c r="AB531" s="0" t="n">
        <f aca="false">X531+Z531</f>
        <v>44.7387320517311</v>
      </c>
      <c r="AC531" s="54" t="b">
        <f aca="false">AND(E531&gt;=01_因子設定!$L$5-0.000000001,E531&lt;=01_因子設定!$M$5+0.000000001,F531&gt;=01_因子設定!$L$6-0.000000001,F531&lt;=01_因子設定!$M$6+0.000000001,G531&gt;=01_因子設定!$L$7-0.000000001,G531&lt;=01_因子設定!$M$7+0.000000001,H531&gt;=01_因子設定!$L$8-0.000000001,H531&lt;=01_因子設定!$M$8+0.000000001,IF(01_因子設定!$B$20="Box-Behnken",E531^2+F531^2+G531^2+H531^2&lt;=2+0.000000001,TRUE()))</f>
        <v>1</v>
      </c>
      <c r="AD531" s="55" t="n">
        <f aca="false">IF(AC531,IF(01_因子設定!$B$13="最大化",AA531-01_因子設定!$B$14,IF(01_因子設定!$B$13="最小化",01_因子設定!$B$15-AB531,MIN(AA531-01_因子設定!$B$14,01_因子設定!$B$15-AB531))),-1E+030)</f>
        <v>-4.92074959559068</v>
      </c>
      <c r="AE531" s="55" t="n">
        <f aca="false">IF(AC531,IF(01_因子設定!$B$13="最大化",X531,IF(01_因子設定!$B$13="最小化",-X531,-ABS(X531-01_因子設定!$B$16))),-1E+030)</f>
        <v>43.1589912280702</v>
      </c>
      <c r="AF531" s="55" t="n">
        <f aca="false">AD531+ROW()*0.000000001</f>
        <v>-4.92074906459068</v>
      </c>
      <c r="AG531" s="55" t="n">
        <f aca="false">AE531+ROW()*0.000000001</f>
        <v>43.1589917590702</v>
      </c>
    </row>
    <row r="532" customFormat="false" ht="15" hidden="false" customHeight="false" outlineLevel="0" collapsed="false">
      <c r="A532" s="0" t="n">
        <v>0</v>
      </c>
      <c r="B532" s="0" t="n">
        <v>6</v>
      </c>
      <c r="C532" s="0" t="n">
        <v>4</v>
      </c>
      <c r="D532" s="0" t="n">
        <v>5</v>
      </c>
      <c r="E532" s="0" t="n">
        <f aca="false">-1+A532*0.25</f>
        <v>-1</v>
      </c>
      <c r="F532" s="0" t="n">
        <f aca="false">-1+B532*0.25</f>
        <v>0.5</v>
      </c>
      <c r="G532" s="0" t="n">
        <f aca="false">-1+C532*0.25</f>
        <v>0</v>
      </c>
      <c r="H532" s="0" t="n">
        <f aca="false">-1+D532*0.25</f>
        <v>0.25</v>
      </c>
      <c r="I532" s="0" t="n">
        <f aca="false">1</f>
        <v>1</v>
      </c>
      <c r="J532" s="0" t="n">
        <f aca="false">E532</f>
        <v>-1</v>
      </c>
      <c r="K532" s="0" t="n">
        <f aca="false">F532</f>
        <v>0.5</v>
      </c>
      <c r="L532" s="0" t="n">
        <f aca="false">G532</f>
        <v>0</v>
      </c>
      <c r="M532" s="0" t="n">
        <f aca="false">H532</f>
        <v>0.25</v>
      </c>
      <c r="N532" s="0" t="n">
        <f aca="false">E532*F532</f>
        <v>-0.5</v>
      </c>
      <c r="O532" s="0" t="n">
        <f aca="false">E532*G532</f>
        <v>-0</v>
      </c>
      <c r="P532" s="0" t="n">
        <f aca="false">E532*H532</f>
        <v>-0.25</v>
      </c>
      <c r="Q532" s="0" t="n">
        <f aca="false">F532*G532</f>
        <v>0</v>
      </c>
      <c r="R532" s="0" t="n">
        <f aca="false">F532*H532</f>
        <v>0.125</v>
      </c>
      <c r="S532" s="0" t="n">
        <f aca="false">G532*H532</f>
        <v>0</v>
      </c>
      <c r="T532" s="0" t="n">
        <f aca="false">E532*E532</f>
        <v>1</v>
      </c>
      <c r="U532" s="0" t="n">
        <f aca="false">F532*F532</f>
        <v>0.25</v>
      </c>
      <c r="V532" s="0" t="n">
        <f aca="false">G532*G532</f>
        <v>0</v>
      </c>
      <c r="W532" s="0" t="n">
        <f aca="false">H532*H532</f>
        <v>0.0625</v>
      </c>
      <c r="X532" s="0" t="n">
        <f aca="false">SUMPRODUCT(I532:W532,_XtX!$B$96:$P$96)</f>
        <v>43.1786641081872</v>
      </c>
      <c r="Y532" s="0" t="n">
        <f aca="false">SUMPRODUCT(MMULT(I532:W532,_XtX!$B$78:$P$92),I532:W532)</f>
        <v>0.457596628289474</v>
      </c>
      <c r="Z532" s="0" t="n">
        <f aca="false">04_回帰ANOVA!$K$19*04_回帰ANOVA!$K$14*SQRT(1+Y532)</f>
        <v>1.57368233664366</v>
      </c>
      <c r="AA532" s="0" t="n">
        <f aca="false">X532-Z532</f>
        <v>41.6049817715435</v>
      </c>
      <c r="AB532" s="0" t="n">
        <f aca="false">X532+Z532</f>
        <v>44.7523464448308</v>
      </c>
      <c r="AC532" s="54" t="b">
        <f aca="false">AND(E532&gt;=01_因子設定!$L$5-0.000000001,E532&lt;=01_因子設定!$M$5+0.000000001,F532&gt;=01_因子設定!$L$6-0.000000001,F532&lt;=01_因子設定!$M$6+0.000000001,G532&gt;=01_因子設定!$L$7-0.000000001,G532&lt;=01_因子設定!$M$7+0.000000001,H532&gt;=01_因子設定!$L$8-0.000000001,H532&lt;=01_因子設定!$M$8+0.000000001,IF(01_因子設定!$B$20="Box-Behnken",E532^2+F532^2+G532^2+H532^2&lt;=2+0.000000001,TRUE()))</f>
        <v>1</v>
      </c>
      <c r="AD532" s="55" t="n">
        <f aca="false">IF(AC532,IF(01_因子設定!$B$13="最大化",AA532-01_因子設定!$B$14,IF(01_因子設定!$B$13="最小化",01_因子設定!$B$15-AB532,MIN(AA532-01_因子設定!$B$14,01_因子設定!$B$15-AB532))),-1E+030)</f>
        <v>-4.89501822845649</v>
      </c>
      <c r="AE532" s="55" t="n">
        <f aca="false">IF(AC532,IF(01_因子設定!$B$13="最大化",X532,IF(01_因子設定!$B$13="最小化",-X532,-ABS(X532-01_因子設定!$B$16))),-1E+030)</f>
        <v>43.1786641081872</v>
      </c>
      <c r="AF532" s="55" t="n">
        <f aca="false">AD532+ROW()*0.000000001</f>
        <v>-4.89501769645649</v>
      </c>
      <c r="AG532" s="55" t="n">
        <f aca="false">AE532+ROW()*0.000000001</f>
        <v>43.1786646401872</v>
      </c>
    </row>
    <row r="533" customFormat="false" ht="15" hidden="false" customHeight="false" outlineLevel="0" collapsed="false">
      <c r="A533" s="0" t="n">
        <v>0</v>
      </c>
      <c r="B533" s="0" t="n">
        <v>6</v>
      </c>
      <c r="C533" s="0" t="n">
        <v>4</v>
      </c>
      <c r="D533" s="0" t="n">
        <v>6</v>
      </c>
      <c r="E533" s="0" t="n">
        <f aca="false">-1+A533*0.25</f>
        <v>-1</v>
      </c>
      <c r="F533" s="0" t="n">
        <f aca="false">-1+B533*0.25</f>
        <v>0.5</v>
      </c>
      <c r="G533" s="0" t="n">
        <f aca="false">-1+C533*0.25</f>
        <v>0</v>
      </c>
      <c r="H533" s="0" t="n">
        <f aca="false">-1+D533*0.25</f>
        <v>0.5</v>
      </c>
      <c r="I533" s="0" t="n">
        <f aca="false">1</f>
        <v>1</v>
      </c>
      <c r="J533" s="0" t="n">
        <f aca="false">E533</f>
        <v>-1</v>
      </c>
      <c r="K533" s="0" t="n">
        <f aca="false">F533</f>
        <v>0.5</v>
      </c>
      <c r="L533" s="0" t="n">
        <f aca="false">G533</f>
        <v>0</v>
      </c>
      <c r="M533" s="0" t="n">
        <f aca="false">H533</f>
        <v>0.5</v>
      </c>
      <c r="N533" s="0" t="n">
        <f aca="false">E533*F533</f>
        <v>-0.5</v>
      </c>
      <c r="O533" s="0" t="n">
        <f aca="false">E533*G533</f>
        <v>-0</v>
      </c>
      <c r="P533" s="0" t="n">
        <f aca="false">E533*H533</f>
        <v>-0.5</v>
      </c>
      <c r="Q533" s="0" t="n">
        <f aca="false">F533*G533</f>
        <v>0</v>
      </c>
      <c r="R533" s="0" t="n">
        <f aca="false">F533*H533</f>
        <v>0.25</v>
      </c>
      <c r="S533" s="0" t="n">
        <f aca="false">G533*H533</f>
        <v>0</v>
      </c>
      <c r="T533" s="0" t="n">
        <f aca="false">E533*E533</f>
        <v>1</v>
      </c>
      <c r="U533" s="0" t="n">
        <f aca="false">F533*F533</f>
        <v>0.25</v>
      </c>
      <c r="V533" s="0" t="n">
        <f aca="false">G533*G533</f>
        <v>0</v>
      </c>
      <c r="W533" s="0" t="n">
        <f aca="false">H533*H533</f>
        <v>0.25</v>
      </c>
      <c r="X533" s="0" t="n">
        <f aca="false">SUMPRODUCT(I533:W533,_XtX!$B$96:$P$96)</f>
        <v>43.1505299707603</v>
      </c>
      <c r="Y533" s="0" t="n">
        <f aca="false">SUMPRODUCT(MMULT(I533:W533,_XtX!$B$78:$P$92),I533:W533)</f>
        <v>0.441954495614035</v>
      </c>
      <c r="Z533" s="0" t="n">
        <f aca="false">04_回帰ANOVA!$K$19*04_回帰ANOVA!$K$14*SQRT(1+Y533)</f>
        <v>1.56521560968066</v>
      </c>
      <c r="AA533" s="0" t="n">
        <f aca="false">X533-Z533</f>
        <v>41.5853143610796</v>
      </c>
      <c r="AB533" s="0" t="n">
        <f aca="false">X533+Z533</f>
        <v>44.7157455804409</v>
      </c>
      <c r="AC533" s="54" t="b">
        <f aca="false">AND(E533&gt;=01_因子設定!$L$5-0.000000001,E533&lt;=01_因子設定!$M$5+0.000000001,F533&gt;=01_因子設定!$L$6-0.000000001,F533&lt;=01_因子設定!$M$6+0.000000001,G533&gt;=01_因子設定!$L$7-0.000000001,G533&lt;=01_因子設定!$M$7+0.000000001,H533&gt;=01_因子設定!$L$8-0.000000001,H533&lt;=01_因子設定!$M$8+0.000000001,IF(01_因子設定!$B$20="Box-Behnken",E533^2+F533^2+G533^2+H533^2&lt;=2+0.000000001,TRUE()))</f>
        <v>1</v>
      </c>
      <c r="AD533" s="55" t="n">
        <f aca="false">IF(AC533,IF(01_因子設定!$B$13="最大化",AA533-01_因子設定!$B$14,IF(01_因子設定!$B$13="最小化",01_因子設定!$B$15-AB533,MIN(AA533-01_因子設定!$B$14,01_因子設定!$B$15-AB533))),-1E+030)</f>
        <v>-4.9146856389204</v>
      </c>
      <c r="AE533" s="55" t="n">
        <f aca="false">IF(AC533,IF(01_因子設定!$B$13="最大化",X533,IF(01_因子設定!$B$13="最小化",-X533,-ABS(X533-01_因子設定!$B$16))),-1E+030)</f>
        <v>43.1505299707603</v>
      </c>
      <c r="AF533" s="55" t="n">
        <f aca="false">AD533+ROW()*0.000000001</f>
        <v>-4.9146851059204</v>
      </c>
      <c r="AG533" s="55" t="n">
        <f aca="false">AE533+ROW()*0.000000001</f>
        <v>43.1505305037603</v>
      </c>
    </row>
    <row r="534" customFormat="false" ht="15" hidden="false" customHeight="false" outlineLevel="0" collapsed="false">
      <c r="A534" s="0" t="n">
        <v>0</v>
      </c>
      <c r="B534" s="0" t="n">
        <v>6</v>
      </c>
      <c r="C534" s="0" t="n">
        <v>4</v>
      </c>
      <c r="D534" s="0" t="n">
        <v>7</v>
      </c>
      <c r="E534" s="0" t="n">
        <f aca="false">-1+A534*0.25</f>
        <v>-1</v>
      </c>
      <c r="F534" s="0" t="n">
        <f aca="false">-1+B534*0.25</f>
        <v>0.5</v>
      </c>
      <c r="G534" s="0" t="n">
        <f aca="false">-1+C534*0.25</f>
        <v>0</v>
      </c>
      <c r="H534" s="0" t="n">
        <f aca="false">-1+D534*0.25</f>
        <v>0.75</v>
      </c>
      <c r="I534" s="0" t="n">
        <f aca="false">1</f>
        <v>1</v>
      </c>
      <c r="J534" s="0" t="n">
        <f aca="false">E534</f>
        <v>-1</v>
      </c>
      <c r="K534" s="0" t="n">
        <f aca="false">F534</f>
        <v>0.5</v>
      </c>
      <c r="L534" s="0" t="n">
        <f aca="false">G534</f>
        <v>0</v>
      </c>
      <c r="M534" s="0" t="n">
        <f aca="false">H534</f>
        <v>0.75</v>
      </c>
      <c r="N534" s="0" t="n">
        <f aca="false">E534*F534</f>
        <v>-0.5</v>
      </c>
      <c r="O534" s="0" t="n">
        <f aca="false">E534*G534</f>
        <v>-0</v>
      </c>
      <c r="P534" s="0" t="n">
        <f aca="false">E534*H534</f>
        <v>-0.75</v>
      </c>
      <c r="Q534" s="0" t="n">
        <f aca="false">F534*G534</f>
        <v>0</v>
      </c>
      <c r="R534" s="0" t="n">
        <f aca="false">F534*H534</f>
        <v>0.375</v>
      </c>
      <c r="S534" s="0" t="n">
        <f aca="false">G534*H534</f>
        <v>0</v>
      </c>
      <c r="T534" s="0" t="n">
        <f aca="false">E534*E534</f>
        <v>1</v>
      </c>
      <c r="U534" s="0" t="n">
        <f aca="false">F534*F534</f>
        <v>0.25</v>
      </c>
      <c r="V534" s="0" t="n">
        <f aca="false">G534*G534</f>
        <v>0</v>
      </c>
      <c r="W534" s="0" t="n">
        <f aca="false">H534*H534</f>
        <v>0.5625</v>
      </c>
      <c r="X534" s="0" t="n">
        <f aca="false">SUMPRODUCT(I534:W534,_XtX!$B$96:$P$96)</f>
        <v>43.0745888157895</v>
      </c>
      <c r="Y534" s="0" t="n">
        <f aca="false">SUMPRODUCT(MMULT(I534:W534,_XtX!$B$78:$P$92),I534:W534)</f>
        <v>0.476191292032164</v>
      </c>
      <c r="Z534" s="0" t="n">
        <f aca="false">04_回帰ANOVA!$K$19*04_回帰ANOVA!$K$14*SQRT(1+Y534)</f>
        <v>1.58368831471718</v>
      </c>
      <c r="AA534" s="0" t="n">
        <f aca="false">X534-Z534</f>
        <v>41.4909005010723</v>
      </c>
      <c r="AB534" s="0" t="n">
        <f aca="false">X534+Z534</f>
        <v>44.6582771305067</v>
      </c>
      <c r="AC534" s="54" t="b">
        <f aca="false">AND(E534&gt;=01_因子設定!$L$5-0.000000001,E534&lt;=01_因子設定!$M$5+0.000000001,F534&gt;=01_因子設定!$L$6-0.000000001,F534&lt;=01_因子設定!$M$6+0.000000001,G534&gt;=01_因子設定!$L$7-0.000000001,G534&lt;=01_因子設定!$M$7+0.000000001,H534&gt;=01_因子設定!$L$8-0.000000001,H534&lt;=01_因子設定!$M$8+0.000000001,IF(01_因子設定!$B$20="Box-Behnken",E534^2+F534^2+G534^2+H534^2&lt;=2+0.000000001,TRUE()))</f>
        <v>1</v>
      </c>
      <c r="AD534" s="55" t="n">
        <f aca="false">IF(AC534,IF(01_因子設定!$B$13="最大化",AA534-01_因子設定!$B$14,IF(01_因子設定!$B$13="最小化",01_因子設定!$B$15-AB534,MIN(AA534-01_因子設定!$B$14,01_因子設定!$B$15-AB534))),-1E+030)</f>
        <v>-5.00909949892766</v>
      </c>
      <c r="AE534" s="55" t="n">
        <f aca="false">IF(AC534,IF(01_因子設定!$B$13="最大化",X534,IF(01_因子設定!$B$13="最小化",-X534,-ABS(X534-01_因子設定!$B$16))),-1E+030)</f>
        <v>43.0745888157895</v>
      </c>
      <c r="AF534" s="55" t="n">
        <f aca="false">AD534+ROW()*0.000000001</f>
        <v>-5.00909896492766</v>
      </c>
      <c r="AG534" s="55" t="n">
        <f aca="false">AE534+ROW()*0.000000001</f>
        <v>43.0745893497895</v>
      </c>
    </row>
    <row r="535" customFormat="false" ht="15" hidden="false" customHeight="false" outlineLevel="0" collapsed="false">
      <c r="A535" s="0" t="n">
        <v>0</v>
      </c>
      <c r="B535" s="0" t="n">
        <v>6</v>
      </c>
      <c r="C535" s="0" t="n">
        <v>4</v>
      </c>
      <c r="D535" s="0" t="n">
        <v>8</v>
      </c>
      <c r="E535" s="0" t="n">
        <f aca="false">-1+A535*0.25</f>
        <v>-1</v>
      </c>
      <c r="F535" s="0" t="n">
        <f aca="false">-1+B535*0.25</f>
        <v>0.5</v>
      </c>
      <c r="G535" s="0" t="n">
        <f aca="false">-1+C535*0.25</f>
        <v>0</v>
      </c>
      <c r="H535" s="0" t="n">
        <f aca="false">-1+D535*0.25</f>
        <v>1</v>
      </c>
      <c r="I535" s="0" t="n">
        <f aca="false">1</f>
        <v>1</v>
      </c>
      <c r="J535" s="0" t="n">
        <f aca="false">E535</f>
        <v>-1</v>
      </c>
      <c r="K535" s="0" t="n">
        <f aca="false">F535</f>
        <v>0.5</v>
      </c>
      <c r="L535" s="0" t="n">
        <f aca="false">G535</f>
        <v>0</v>
      </c>
      <c r="M535" s="0" t="n">
        <f aca="false">H535</f>
        <v>1</v>
      </c>
      <c r="N535" s="0" t="n">
        <f aca="false">E535*F535</f>
        <v>-0.5</v>
      </c>
      <c r="O535" s="0" t="n">
        <f aca="false">E535*G535</f>
        <v>-0</v>
      </c>
      <c r="P535" s="0" t="n">
        <f aca="false">E535*H535</f>
        <v>-1</v>
      </c>
      <c r="Q535" s="0" t="n">
        <f aca="false">F535*G535</f>
        <v>0</v>
      </c>
      <c r="R535" s="0" t="n">
        <f aca="false">F535*H535</f>
        <v>0.5</v>
      </c>
      <c r="S535" s="0" t="n">
        <f aca="false">G535*H535</f>
        <v>0</v>
      </c>
      <c r="T535" s="0" t="n">
        <f aca="false">E535*E535</f>
        <v>1</v>
      </c>
      <c r="U535" s="0" t="n">
        <f aca="false">F535*F535</f>
        <v>0.25</v>
      </c>
      <c r="V535" s="0" t="n">
        <f aca="false">G535*G535</f>
        <v>0</v>
      </c>
      <c r="W535" s="0" t="n">
        <f aca="false">H535*H535</f>
        <v>1</v>
      </c>
      <c r="X535" s="0" t="n">
        <f aca="false">SUMPRODUCT(I535:W535,_XtX!$B$96:$P$96)</f>
        <v>42.9508406432749</v>
      </c>
      <c r="Y535" s="0" t="n">
        <f aca="false">SUMPRODUCT(MMULT(I535:W535,_XtX!$B$78:$P$92),I535:W535)</f>
        <v>0.650767543859649</v>
      </c>
      <c r="Z535" s="0" t="n">
        <f aca="false">04_回帰ANOVA!$K$19*04_回帰ANOVA!$K$14*SQRT(1+Y535)</f>
        <v>1.67471670935165</v>
      </c>
      <c r="AA535" s="0" t="n">
        <f aca="false">X535-Z535</f>
        <v>41.2761239339233</v>
      </c>
      <c r="AB535" s="0" t="n">
        <f aca="false">X535+Z535</f>
        <v>44.6255573526266</v>
      </c>
      <c r="AC535" s="54" t="b">
        <f aca="false">AND(E535&gt;=01_因子設定!$L$5-0.000000001,E535&lt;=01_因子設定!$M$5+0.000000001,F535&gt;=01_因子設定!$L$6-0.000000001,F535&lt;=01_因子設定!$M$6+0.000000001,G535&gt;=01_因子設定!$L$7-0.000000001,G535&lt;=01_因子設定!$M$7+0.000000001,H535&gt;=01_因子設定!$L$8-0.000000001,H535&lt;=01_因子設定!$M$8+0.000000001,IF(01_因子設定!$B$20="Box-Behnken",E535^2+F535^2+G535^2+H535^2&lt;=2+0.000000001,TRUE()))</f>
        <v>1</v>
      </c>
      <c r="AD535" s="55" t="n">
        <f aca="false">IF(AC535,IF(01_因子設定!$B$13="最大化",AA535-01_因子設定!$B$14,IF(01_因子設定!$B$13="最小化",01_因子設定!$B$15-AB535,MIN(AA535-01_因子設定!$B$14,01_因子設定!$B$15-AB535))),-1E+030)</f>
        <v>-5.22387606607673</v>
      </c>
      <c r="AE535" s="55" t="n">
        <f aca="false">IF(AC535,IF(01_因子設定!$B$13="最大化",X535,IF(01_因子設定!$B$13="最小化",-X535,-ABS(X535-01_因子設定!$B$16))),-1E+030)</f>
        <v>42.9508406432749</v>
      </c>
      <c r="AF535" s="55" t="n">
        <f aca="false">AD535+ROW()*0.000000001</f>
        <v>-5.22387553107673</v>
      </c>
      <c r="AG535" s="55" t="n">
        <f aca="false">AE535+ROW()*0.000000001</f>
        <v>42.9508411782749</v>
      </c>
    </row>
    <row r="536" customFormat="false" ht="15" hidden="false" customHeight="false" outlineLevel="0" collapsed="false">
      <c r="A536" s="0" t="n">
        <v>0</v>
      </c>
      <c r="B536" s="0" t="n">
        <v>6</v>
      </c>
      <c r="C536" s="0" t="n">
        <v>5</v>
      </c>
      <c r="D536" s="0" t="n">
        <v>0</v>
      </c>
      <c r="E536" s="0" t="n">
        <f aca="false">-1+A536*0.25</f>
        <v>-1</v>
      </c>
      <c r="F536" s="0" t="n">
        <f aca="false">-1+B536*0.25</f>
        <v>0.5</v>
      </c>
      <c r="G536" s="0" t="n">
        <f aca="false">-1+C536*0.25</f>
        <v>0.25</v>
      </c>
      <c r="H536" s="0" t="n">
        <f aca="false">-1+D536*0.25</f>
        <v>-1</v>
      </c>
      <c r="I536" s="0" t="n">
        <f aca="false">1</f>
        <v>1</v>
      </c>
      <c r="J536" s="0" t="n">
        <f aca="false">E536</f>
        <v>-1</v>
      </c>
      <c r="K536" s="0" t="n">
        <f aca="false">F536</f>
        <v>0.5</v>
      </c>
      <c r="L536" s="0" t="n">
        <f aca="false">G536</f>
        <v>0.25</v>
      </c>
      <c r="M536" s="0" t="n">
        <f aca="false">H536</f>
        <v>-1</v>
      </c>
      <c r="N536" s="0" t="n">
        <f aca="false">E536*F536</f>
        <v>-0.5</v>
      </c>
      <c r="O536" s="0" t="n">
        <f aca="false">E536*G536</f>
        <v>-0.25</v>
      </c>
      <c r="P536" s="0" t="n">
        <f aca="false">E536*H536</f>
        <v>1</v>
      </c>
      <c r="Q536" s="0" t="n">
        <f aca="false">F536*G536</f>
        <v>0.125</v>
      </c>
      <c r="R536" s="0" t="n">
        <f aca="false">F536*H536</f>
        <v>-0.5</v>
      </c>
      <c r="S536" s="0" t="n">
        <f aca="false">G536*H536</f>
        <v>-0.25</v>
      </c>
      <c r="T536" s="0" t="n">
        <f aca="false">E536*E536</f>
        <v>1</v>
      </c>
      <c r="U536" s="0" t="n">
        <f aca="false">F536*F536</f>
        <v>0.25</v>
      </c>
      <c r="V536" s="0" t="n">
        <f aca="false">G536*G536</f>
        <v>0.0625</v>
      </c>
      <c r="W536" s="0" t="n">
        <f aca="false">H536*H536</f>
        <v>1</v>
      </c>
      <c r="X536" s="0" t="n">
        <f aca="false">SUMPRODUCT(I536:W536,_XtX!$B$96:$P$96)</f>
        <v>42.9350968567252</v>
      </c>
      <c r="Y536" s="0" t="n">
        <f aca="false">SUMPRODUCT(MMULT(I536:W536,_XtX!$B$78:$P$92),I536:W536)</f>
        <v>0.629174661915205</v>
      </c>
      <c r="Z536" s="0" t="n">
        <f aca="false">04_回帰ANOVA!$K$19*04_回帰ANOVA!$K$14*SQRT(1+Y536)</f>
        <v>1.66372758058297</v>
      </c>
      <c r="AA536" s="0" t="n">
        <f aca="false">X536-Z536</f>
        <v>41.2713692761422</v>
      </c>
      <c r="AB536" s="0" t="n">
        <f aca="false">X536+Z536</f>
        <v>44.5988244373082</v>
      </c>
      <c r="AC536" s="54" t="b">
        <f aca="false">AND(E536&gt;=01_因子設定!$L$5-0.000000001,E536&lt;=01_因子設定!$M$5+0.000000001,F536&gt;=01_因子設定!$L$6-0.000000001,F536&lt;=01_因子設定!$M$6+0.000000001,G536&gt;=01_因子設定!$L$7-0.000000001,G536&lt;=01_因子設定!$M$7+0.000000001,H536&gt;=01_因子設定!$L$8-0.000000001,H536&lt;=01_因子設定!$M$8+0.000000001,IF(01_因子設定!$B$20="Box-Behnken",E536^2+F536^2+G536^2+H536^2&lt;=2+0.000000001,TRUE()))</f>
        <v>1</v>
      </c>
      <c r="AD536" s="55" t="n">
        <f aca="false">IF(AC536,IF(01_因子設定!$B$13="最大化",AA536-01_因子設定!$B$14,IF(01_因子設定!$B$13="最小化",01_因子設定!$B$15-AB536,MIN(AA536-01_因子設定!$B$14,01_因子設定!$B$15-AB536))),-1E+030)</f>
        <v>-5.22863072385776</v>
      </c>
      <c r="AE536" s="55" t="n">
        <f aca="false">IF(AC536,IF(01_因子設定!$B$13="最大化",X536,IF(01_因子設定!$B$13="最小化",-X536,-ABS(X536-01_因子設定!$B$16))),-1E+030)</f>
        <v>42.9350968567252</v>
      </c>
      <c r="AF536" s="55" t="n">
        <f aca="false">AD536+ROW()*0.000000001</f>
        <v>-5.22863018785776</v>
      </c>
      <c r="AG536" s="55" t="n">
        <f aca="false">AE536+ROW()*0.000000001</f>
        <v>42.9350973927252</v>
      </c>
    </row>
    <row r="537" customFormat="false" ht="15" hidden="false" customHeight="false" outlineLevel="0" collapsed="false">
      <c r="A537" s="0" t="n">
        <v>0</v>
      </c>
      <c r="B537" s="0" t="n">
        <v>6</v>
      </c>
      <c r="C537" s="0" t="n">
        <v>5</v>
      </c>
      <c r="D537" s="0" t="n">
        <v>1</v>
      </c>
      <c r="E537" s="0" t="n">
        <f aca="false">-1+A537*0.25</f>
        <v>-1</v>
      </c>
      <c r="F537" s="0" t="n">
        <f aca="false">-1+B537*0.25</f>
        <v>0.5</v>
      </c>
      <c r="G537" s="0" t="n">
        <f aca="false">-1+C537*0.25</f>
        <v>0.25</v>
      </c>
      <c r="H537" s="0" t="n">
        <f aca="false">-1+D537*0.25</f>
        <v>-0.75</v>
      </c>
      <c r="I537" s="0" t="n">
        <f aca="false">1</f>
        <v>1</v>
      </c>
      <c r="J537" s="0" t="n">
        <f aca="false">E537</f>
        <v>-1</v>
      </c>
      <c r="K537" s="0" t="n">
        <f aca="false">F537</f>
        <v>0.5</v>
      </c>
      <c r="L537" s="0" t="n">
        <f aca="false">G537</f>
        <v>0.25</v>
      </c>
      <c r="M537" s="0" t="n">
        <f aca="false">H537</f>
        <v>-0.75</v>
      </c>
      <c r="N537" s="0" t="n">
        <f aca="false">E537*F537</f>
        <v>-0.5</v>
      </c>
      <c r="O537" s="0" t="n">
        <f aca="false">E537*G537</f>
        <v>-0.25</v>
      </c>
      <c r="P537" s="0" t="n">
        <f aca="false">E537*H537</f>
        <v>0.75</v>
      </c>
      <c r="Q537" s="0" t="n">
        <f aca="false">F537*G537</f>
        <v>0.125</v>
      </c>
      <c r="R537" s="0" t="n">
        <f aca="false">F537*H537</f>
        <v>-0.375</v>
      </c>
      <c r="S537" s="0" t="n">
        <f aca="false">G537*H537</f>
        <v>-0.1875</v>
      </c>
      <c r="T537" s="0" t="n">
        <f aca="false">E537*E537</f>
        <v>1</v>
      </c>
      <c r="U537" s="0" t="n">
        <f aca="false">F537*F537</f>
        <v>0.25</v>
      </c>
      <c r="V537" s="0" t="n">
        <f aca="false">G537*G537</f>
        <v>0.0625</v>
      </c>
      <c r="W537" s="0" t="n">
        <f aca="false">H537*H537</f>
        <v>0.5625</v>
      </c>
      <c r="X537" s="0" t="n">
        <f aca="false">SUMPRODUCT(I537:W537,_XtX!$B$96:$P$96)</f>
        <v>43.1639665570176</v>
      </c>
      <c r="Y537" s="0" t="n">
        <f aca="false">SUMPRODUCT(MMULT(I537:W537,_XtX!$B$78:$P$92),I537:W537)</f>
        <v>0.459125719572369</v>
      </c>
      <c r="Z537" s="0" t="n">
        <f aca="false">04_回帰ANOVA!$K$19*04_回帰ANOVA!$K$14*SQRT(1+Y537)</f>
        <v>1.57450755575573</v>
      </c>
      <c r="AA537" s="0" t="n">
        <f aca="false">X537-Z537</f>
        <v>41.5894590012619</v>
      </c>
      <c r="AB537" s="0" t="n">
        <f aca="false">X537+Z537</f>
        <v>44.7384741127733</v>
      </c>
      <c r="AC537" s="54" t="b">
        <f aca="false">AND(E537&gt;=01_因子設定!$L$5-0.000000001,E537&lt;=01_因子設定!$M$5+0.000000001,F537&gt;=01_因子設定!$L$6-0.000000001,F537&lt;=01_因子設定!$M$6+0.000000001,G537&gt;=01_因子設定!$L$7-0.000000001,G537&lt;=01_因子設定!$M$7+0.000000001,H537&gt;=01_因子設定!$L$8-0.000000001,H537&lt;=01_因子設定!$M$8+0.000000001,IF(01_因子設定!$B$20="Box-Behnken",E537^2+F537^2+G537^2+H537^2&lt;=2+0.000000001,TRUE()))</f>
        <v>1</v>
      </c>
      <c r="AD537" s="55" t="n">
        <f aca="false">IF(AC537,IF(01_因子設定!$B$13="最大化",AA537-01_因子設定!$B$14,IF(01_因子設定!$B$13="最小化",01_因子設定!$B$15-AB537,MIN(AA537-01_因子設定!$B$14,01_因子設定!$B$15-AB537))),-1E+030)</f>
        <v>-4.91054099873814</v>
      </c>
      <c r="AE537" s="55" t="n">
        <f aca="false">IF(AC537,IF(01_因子設定!$B$13="最大化",X537,IF(01_因子設定!$B$13="最小化",-X537,-ABS(X537-01_因子設定!$B$16))),-1E+030)</f>
        <v>43.1639665570176</v>
      </c>
      <c r="AF537" s="55" t="n">
        <f aca="false">AD537+ROW()*0.000000001</f>
        <v>-4.91054046173814</v>
      </c>
      <c r="AG537" s="55" t="n">
        <f aca="false">AE537+ROW()*0.000000001</f>
        <v>43.1639670940176</v>
      </c>
    </row>
    <row r="538" customFormat="false" ht="15" hidden="false" customHeight="false" outlineLevel="0" collapsed="false">
      <c r="A538" s="0" t="n">
        <v>0</v>
      </c>
      <c r="B538" s="0" t="n">
        <v>6</v>
      </c>
      <c r="C538" s="0" t="n">
        <v>5</v>
      </c>
      <c r="D538" s="0" t="n">
        <v>2</v>
      </c>
      <c r="E538" s="0" t="n">
        <f aca="false">-1+A538*0.25</f>
        <v>-1</v>
      </c>
      <c r="F538" s="0" t="n">
        <f aca="false">-1+B538*0.25</f>
        <v>0.5</v>
      </c>
      <c r="G538" s="0" t="n">
        <f aca="false">-1+C538*0.25</f>
        <v>0.25</v>
      </c>
      <c r="H538" s="0" t="n">
        <f aca="false">-1+D538*0.25</f>
        <v>-0.5</v>
      </c>
      <c r="I538" s="0" t="n">
        <f aca="false">1</f>
        <v>1</v>
      </c>
      <c r="J538" s="0" t="n">
        <f aca="false">E538</f>
        <v>-1</v>
      </c>
      <c r="K538" s="0" t="n">
        <f aca="false">F538</f>
        <v>0.5</v>
      </c>
      <c r="L538" s="0" t="n">
        <f aca="false">G538</f>
        <v>0.25</v>
      </c>
      <c r="M538" s="0" t="n">
        <f aca="false">H538</f>
        <v>-0.5</v>
      </c>
      <c r="N538" s="0" t="n">
        <f aca="false">E538*F538</f>
        <v>-0.5</v>
      </c>
      <c r="O538" s="0" t="n">
        <f aca="false">E538*G538</f>
        <v>-0.25</v>
      </c>
      <c r="P538" s="0" t="n">
        <f aca="false">E538*H538</f>
        <v>0.5</v>
      </c>
      <c r="Q538" s="0" t="n">
        <f aca="false">F538*G538</f>
        <v>0.125</v>
      </c>
      <c r="R538" s="0" t="n">
        <f aca="false">F538*H538</f>
        <v>-0.25</v>
      </c>
      <c r="S538" s="0" t="n">
        <f aca="false">G538*H538</f>
        <v>-0.125</v>
      </c>
      <c r="T538" s="0" t="n">
        <f aca="false">E538*E538</f>
        <v>1</v>
      </c>
      <c r="U538" s="0" t="n">
        <f aca="false">F538*F538</f>
        <v>0.25</v>
      </c>
      <c r="V538" s="0" t="n">
        <f aca="false">G538*G538</f>
        <v>0.0625</v>
      </c>
      <c r="W538" s="0" t="n">
        <f aca="false">H538*H538</f>
        <v>0.25</v>
      </c>
      <c r="X538" s="0" t="n">
        <f aca="false">SUMPRODUCT(I538:W538,_XtX!$B$96:$P$96)</f>
        <v>43.3450292397661</v>
      </c>
      <c r="Y538" s="0" t="n">
        <f aca="false">SUMPRODUCT(MMULT(I538:W538,_XtX!$B$78:$P$92),I538:W538)</f>
        <v>0.428122715643275</v>
      </c>
      <c r="Z538" s="0" t="n">
        <f aca="false">04_回帰ANOVA!$K$19*04_回帰ANOVA!$K$14*SQRT(1+Y538)</f>
        <v>1.55769044623229</v>
      </c>
      <c r="AA538" s="0" t="n">
        <f aca="false">X538-Z538</f>
        <v>41.7873387935338</v>
      </c>
      <c r="AB538" s="0" t="n">
        <f aca="false">X538+Z538</f>
        <v>44.9027196859984</v>
      </c>
      <c r="AC538" s="54" t="b">
        <f aca="false">AND(E538&gt;=01_因子設定!$L$5-0.000000001,E538&lt;=01_因子設定!$M$5+0.000000001,F538&gt;=01_因子設定!$L$6-0.000000001,F538&lt;=01_因子設定!$M$6+0.000000001,G538&gt;=01_因子設定!$L$7-0.000000001,G538&lt;=01_因子設定!$M$7+0.000000001,H538&gt;=01_因子設定!$L$8-0.000000001,H538&lt;=01_因子設定!$M$8+0.000000001,IF(01_因子設定!$B$20="Box-Behnken",E538^2+F538^2+G538^2+H538^2&lt;=2+0.000000001,TRUE()))</f>
        <v>1</v>
      </c>
      <c r="AD538" s="55" t="n">
        <f aca="false">IF(AC538,IF(01_因子設定!$B$13="最大化",AA538-01_因子設定!$B$14,IF(01_因子設定!$B$13="最小化",01_因子設定!$B$15-AB538,MIN(AA538-01_因子設定!$B$14,01_因子設定!$B$15-AB538))),-1E+030)</f>
        <v>-4.71266120646617</v>
      </c>
      <c r="AE538" s="55" t="n">
        <f aca="false">IF(AC538,IF(01_因子設定!$B$13="最大化",X538,IF(01_因子設定!$B$13="最小化",-X538,-ABS(X538-01_因子設定!$B$16))),-1E+030)</f>
        <v>43.3450292397661</v>
      </c>
      <c r="AF538" s="55" t="n">
        <f aca="false">AD538+ROW()*0.000000001</f>
        <v>-4.71266066846617</v>
      </c>
      <c r="AG538" s="55" t="n">
        <f aca="false">AE538+ROW()*0.000000001</f>
        <v>43.3450297777661</v>
      </c>
    </row>
    <row r="539" customFormat="false" ht="15" hidden="false" customHeight="false" outlineLevel="0" collapsed="false">
      <c r="A539" s="0" t="n">
        <v>0</v>
      </c>
      <c r="B539" s="0" t="n">
        <v>6</v>
      </c>
      <c r="C539" s="0" t="n">
        <v>5</v>
      </c>
      <c r="D539" s="0" t="n">
        <v>3</v>
      </c>
      <c r="E539" s="0" t="n">
        <f aca="false">-1+A539*0.25</f>
        <v>-1</v>
      </c>
      <c r="F539" s="0" t="n">
        <f aca="false">-1+B539*0.25</f>
        <v>0.5</v>
      </c>
      <c r="G539" s="0" t="n">
        <f aca="false">-1+C539*0.25</f>
        <v>0.25</v>
      </c>
      <c r="H539" s="0" t="n">
        <f aca="false">-1+D539*0.25</f>
        <v>-0.25</v>
      </c>
      <c r="I539" s="0" t="n">
        <f aca="false">1</f>
        <v>1</v>
      </c>
      <c r="J539" s="0" t="n">
        <f aca="false">E539</f>
        <v>-1</v>
      </c>
      <c r="K539" s="0" t="n">
        <f aca="false">F539</f>
        <v>0.5</v>
      </c>
      <c r="L539" s="0" t="n">
        <f aca="false">G539</f>
        <v>0.25</v>
      </c>
      <c r="M539" s="0" t="n">
        <f aca="false">H539</f>
        <v>-0.25</v>
      </c>
      <c r="N539" s="0" t="n">
        <f aca="false">E539*F539</f>
        <v>-0.5</v>
      </c>
      <c r="O539" s="0" t="n">
        <f aca="false">E539*G539</f>
        <v>-0.25</v>
      </c>
      <c r="P539" s="0" t="n">
        <f aca="false">E539*H539</f>
        <v>0.25</v>
      </c>
      <c r="Q539" s="0" t="n">
        <f aca="false">F539*G539</f>
        <v>0.125</v>
      </c>
      <c r="R539" s="0" t="n">
        <f aca="false">F539*H539</f>
        <v>-0.125</v>
      </c>
      <c r="S539" s="0" t="n">
        <f aca="false">G539*H539</f>
        <v>-0.0625</v>
      </c>
      <c r="T539" s="0" t="n">
        <f aca="false">E539*E539</f>
        <v>1</v>
      </c>
      <c r="U539" s="0" t="n">
        <f aca="false">F539*F539</f>
        <v>0.25</v>
      </c>
      <c r="V539" s="0" t="n">
        <f aca="false">G539*G539</f>
        <v>0.0625</v>
      </c>
      <c r="W539" s="0" t="n">
        <f aca="false">H539*H539</f>
        <v>0.0625</v>
      </c>
      <c r="X539" s="0" t="n">
        <f aca="false">SUMPRODUCT(I539:W539,_XtX!$B$96:$P$96)</f>
        <v>43.4782849049708</v>
      </c>
      <c r="Y539" s="0" t="n">
        <f aca="false">SUMPRODUCT(MMULT(I539:W539,_XtX!$B$78:$P$92),I539:W539)</f>
        <v>0.445705123812135</v>
      </c>
      <c r="Z539" s="0" t="n">
        <f aca="false">04_回帰ANOVA!$K$19*04_回帰ANOVA!$K$14*SQRT(1+Y539)</f>
        <v>1.56724990734749</v>
      </c>
      <c r="AA539" s="0" t="n">
        <f aca="false">X539-Z539</f>
        <v>41.9110349976233</v>
      </c>
      <c r="AB539" s="0" t="n">
        <f aca="false">X539+Z539</f>
        <v>45.0455348123183</v>
      </c>
      <c r="AC539" s="54" t="b">
        <f aca="false">AND(E539&gt;=01_因子設定!$L$5-0.000000001,E539&lt;=01_因子設定!$M$5+0.000000001,F539&gt;=01_因子設定!$L$6-0.000000001,F539&lt;=01_因子設定!$M$6+0.000000001,G539&gt;=01_因子設定!$L$7-0.000000001,G539&lt;=01_因子設定!$M$7+0.000000001,H539&gt;=01_因子設定!$L$8-0.000000001,H539&lt;=01_因子設定!$M$8+0.000000001,IF(01_因子設定!$B$20="Box-Behnken",E539^2+F539^2+G539^2+H539^2&lt;=2+0.000000001,TRUE()))</f>
        <v>1</v>
      </c>
      <c r="AD539" s="55" t="n">
        <f aca="false">IF(AC539,IF(01_因子設定!$B$13="最大化",AA539-01_因子設定!$B$14,IF(01_因子設定!$B$13="最小化",01_因子設定!$B$15-AB539,MIN(AA539-01_因子設定!$B$14,01_因子設定!$B$15-AB539))),-1E+030)</f>
        <v>-4.5889650023767</v>
      </c>
      <c r="AE539" s="55" t="n">
        <f aca="false">IF(AC539,IF(01_因子設定!$B$13="最大化",X539,IF(01_因子設定!$B$13="最小化",-X539,-ABS(X539-01_因子設定!$B$16))),-1E+030)</f>
        <v>43.4782849049708</v>
      </c>
      <c r="AF539" s="55" t="n">
        <f aca="false">AD539+ROW()*0.000000001</f>
        <v>-4.5889644633767</v>
      </c>
      <c r="AG539" s="55" t="n">
        <f aca="false">AE539+ROW()*0.000000001</f>
        <v>43.4782854439708</v>
      </c>
    </row>
    <row r="540" customFormat="false" ht="15" hidden="false" customHeight="false" outlineLevel="0" collapsed="false">
      <c r="A540" s="0" t="n">
        <v>0</v>
      </c>
      <c r="B540" s="0" t="n">
        <v>6</v>
      </c>
      <c r="C540" s="0" t="n">
        <v>5</v>
      </c>
      <c r="D540" s="0" t="n">
        <v>4</v>
      </c>
      <c r="E540" s="0" t="n">
        <f aca="false">-1+A540*0.25</f>
        <v>-1</v>
      </c>
      <c r="F540" s="0" t="n">
        <f aca="false">-1+B540*0.25</f>
        <v>0.5</v>
      </c>
      <c r="G540" s="0" t="n">
        <f aca="false">-1+C540*0.25</f>
        <v>0.25</v>
      </c>
      <c r="H540" s="0" t="n">
        <f aca="false">-1+D540*0.25</f>
        <v>0</v>
      </c>
      <c r="I540" s="0" t="n">
        <f aca="false">1</f>
        <v>1</v>
      </c>
      <c r="J540" s="0" t="n">
        <f aca="false">E540</f>
        <v>-1</v>
      </c>
      <c r="K540" s="0" t="n">
        <f aca="false">F540</f>
        <v>0.5</v>
      </c>
      <c r="L540" s="0" t="n">
        <f aca="false">G540</f>
        <v>0.25</v>
      </c>
      <c r="M540" s="0" t="n">
        <f aca="false">H540</f>
        <v>0</v>
      </c>
      <c r="N540" s="0" t="n">
        <f aca="false">E540*F540</f>
        <v>-0.5</v>
      </c>
      <c r="O540" s="0" t="n">
        <f aca="false">E540*G540</f>
        <v>-0.25</v>
      </c>
      <c r="P540" s="0" t="n">
        <f aca="false">E540*H540</f>
        <v>-0</v>
      </c>
      <c r="Q540" s="0" t="n">
        <f aca="false">F540*G540</f>
        <v>0.125</v>
      </c>
      <c r="R540" s="0" t="n">
        <f aca="false">F540*H540</f>
        <v>0</v>
      </c>
      <c r="S540" s="0" t="n">
        <f aca="false">G540*H540</f>
        <v>0</v>
      </c>
      <c r="T540" s="0" t="n">
        <f aca="false">E540*E540</f>
        <v>1</v>
      </c>
      <c r="U540" s="0" t="n">
        <f aca="false">F540*F540</f>
        <v>0.25</v>
      </c>
      <c r="V540" s="0" t="n">
        <f aca="false">G540*G540</f>
        <v>0.0625</v>
      </c>
      <c r="W540" s="0" t="n">
        <f aca="false">H540*H540</f>
        <v>0</v>
      </c>
      <c r="X540" s="0" t="n">
        <f aca="false">SUMPRODUCT(I540:W540,_XtX!$B$96:$P$96)</f>
        <v>43.5637335526316</v>
      </c>
      <c r="Y540" s="0" t="n">
        <f aca="false">SUMPRODUCT(MMULT(I540:W540,_XtX!$B$78:$P$92),I540:W540)</f>
        <v>0.457596628289474</v>
      </c>
      <c r="Z540" s="0" t="n">
        <f aca="false">04_回帰ANOVA!$K$19*04_回帰ANOVA!$K$14*SQRT(1+Y540)</f>
        <v>1.57368233664366</v>
      </c>
      <c r="AA540" s="0" t="n">
        <f aca="false">X540-Z540</f>
        <v>41.990051215988</v>
      </c>
      <c r="AB540" s="0" t="n">
        <f aca="false">X540+Z540</f>
        <v>45.1374158892753</v>
      </c>
      <c r="AC540" s="54" t="b">
        <f aca="false">AND(E540&gt;=01_因子設定!$L$5-0.000000001,E540&lt;=01_因子設定!$M$5+0.000000001,F540&gt;=01_因子設定!$L$6-0.000000001,F540&lt;=01_因子設定!$M$6+0.000000001,G540&gt;=01_因子設定!$L$7-0.000000001,G540&lt;=01_因子設定!$M$7+0.000000001,H540&gt;=01_因子設定!$L$8-0.000000001,H540&lt;=01_因子設定!$M$8+0.000000001,IF(01_因子設定!$B$20="Box-Behnken",E540^2+F540^2+G540^2+H540^2&lt;=2+0.000000001,TRUE()))</f>
        <v>1</v>
      </c>
      <c r="AD540" s="55" t="n">
        <f aca="false">IF(AC540,IF(01_因子設定!$B$13="最大化",AA540-01_因子設定!$B$14,IF(01_因子設定!$B$13="最小化",01_因子設定!$B$15-AB540,MIN(AA540-01_因子設定!$B$14,01_因子設定!$B$15-AB540))),-1E+030)</f>
        <v>-4.50994878401205</v>
      </c>
      <c r="AE540" s="55" t="n">
        <f aca="false">IF(AC540,IF(01_因子設定!$B$13="最大化",X540,IF(01_因子設定!$B$13="最小化",-X540,-ABS(X540-01_因子設定!$B$16))),-1E+030)</f>
        <v>43.5637335526316</v>
      </c>
      <c r="AF540" s="55" t="n">
        <f aca="false">AD540+ROW()*0.000000001</f>
        <v>-4.50994824401205</v>
      </c>
      <c r="AG540" s="55" t="n">
        <f aca="false">AE540+ROW()*0.000000001</f>
        <v>43.5637340926316</v>
      </c>
    </row>
    <row r="541" customFormat="false" ht="15" hidden="false" customHeight="false" outlineLevel="0" collapsed="false">
      <c r="A541" s="0" t="n">
        <v>0</v>
      </c>
      <c r="B541" s="0" t="n">
        <v>6</v>
      </c>
      <c r="C541" s="0" t="n">
        <v>5</v>
      </c>
      <c r="D541" s="0" t="n">
        <v>5</v>
      </c>
      <c r="E541" s="0" t="n">
        <f aca="false">-1+A541*0.25</f>
        <v>-1</v>
      </c>
      <c r="F541" s="0" t="n">
        <f aca="false">-1+B541*0.25</f>
        <v>0.5</v>
      </c>
      <c r="G541" s="0" t="n">
        <f aca="false">-1+C541*0.25</f>
        <v>0.25</v>
      </c>
      <c r="H541" s="0" t="n">
        <f aca="false">-1+D541*0.25</f>
        <v>0.25</v>
      </c>
      <c r="I541" s="0" t="n">
        <f aca="false">1</f>
        <v>1</v>
      </c>
      <c r="J541" s="0" t="n">
        <f aca="false">E541</f>
        <v>-1</v>
      </c>
      <c r="K541" s="0" t="n">
        <f aca="false">F541</f>
        <v>0.5</v>
      </c>
      <c r="L541" s="0" t="n">
        <f aca="false">G541</f>
        <v>0.25</v>
      </c>
      <c r="M541" s="0" t="n">
        <f aca="false">H541</f>
        <v>0.25</v>
      </c>
      <c r="N541" s="0" t="n">
        <f aca="false">E541*F541</f>
        <v>-0.5</v>
      </c>
      <c r="O541" s="0" t="n">
        <f aca="false">E541*G541</f>
        <v>-0.25</v>
      </c>
      <c r="P541" s="0" t="n">
        <f aca="false">E541*H541</f>
        <v>-0.25</v>
      </c>
      <c r="Q541" s="0" t="n">
        <f aca="false">F541*G541</f>
        <v>0.125</v>
      </c>
      <c r="R541" s="0" t="n">
        <f aca="false">F541*H541</f>
        <v>0.125</v>
      </c>
      <c r="S541" s="0" t="n">
        <f aca="false">G541*H541</f>
        <v>0.0625</v>
      </c>
      <c r="T541" s="0" t="n">
        <f aca="false">E541*E541</f>
        <v>1</v>
      </c>
      <c r="U541" s="0" t="n">
        <f aca="false">F541*F541</f>
        <v>0.25</v>
      </c>
      <c r="V541" s="0" t="n">
        <f aca="false">G541*G541</f>
        <v>0.0625</v>
      </c>
      <c r="W541" s="0" t="n">
        <f aca="false">H541*H541</f>
        <v>0.0625</v>
      </c>
      <c r="X541" s="0" t="n">
        <f aca="false">SUMPRODUCT(I541:W541,_XtX!$B$96:$P$96)</f>
        <v>43.6013751827486</v>
      </c>
      <c r="Y541" s="0" t="n">
        <f aca="false">SUMPRODUCT(MMULT(I541:W541,_XtX!$B$78:$P$92),I541:W541)</f>
        <v>0.445705123812135</v>
      </c>
      <c r="Z541" s="0" t="n">
        <f aca="false">04_回帰ANOVA!$K$19*04_回帰ANOVA!$K$14*SQRT(1+Y541)</f>
        <v>1.56724990734749</v>
      </c>
      <c r="AA541" s="0" t="n">
        <f aca="false">X541-Z541</f>
        <v>42.0341252754011</v>
      </c>
      <c r="AB541" s="0" t="n">
        <f aca="false">X541+Z541</f>
        <v>45.1686250900961</v>
      </c>
      <c r="AC541" s="54" t="b">
        <f aca="false">AND(E541&gt;=01_因子設定!$L$5-0.000000001,E541&lt;=01_因子設定!$M$5+0.000000001,F541&gt;=01_因子設定!$L$6-0.000000001,F541&lt;=01_因子設定!$M$6+0.000000001,G541&gt;=01_因子設定!$L$7-0.000000001,G541&lt;=01_因子設定!$M$7+0.000000001,H541&gt;=01_因子設定!$L$8-0.000000001,H541&lt;=01_因子設定!$M$8+0.000000001,IF(01_因子設定!$B$20="Box-Behnken",E541^2+F541^2+G541^2+H541^2&lt;=2+0.000000001,TRUE()))</f>
        <v>1</v>
      </c>
      <c r="AD541" s="55" t="n">
        <f aca="false">IF(AC541,IF(01_因子設定!$B$13="最大化",AA541-01_因子設定!$B$14,IF(01_因子設定!$B$13="最小化",01_因子設定!$B$15-AB541,MIN(AA541-01_因子設定!$B$14,01_因子設定!$B$15-AB541))),-1E+030)</f>
        <v>-4.46587472459892</v>
      </c>
      <c r="AE541" s="55" t="n">
        <f aca="false">IF(AC541,IF(01_因子設定!$B$13="最大化",X541,IF(01_因子設定!$B$13="最小化",-X541,-ABS(X541-01_因子設定!$B$16))),-1E+030)</f>
        <v>43.6013751827486</v>
      </c>
      <c r="AF541" s="55" t="n">
        <f aca="false">AD541+ROW()*0.000000001</f>
        <v>-4.46587418359892</v>
      </c>
      <c r="AG541" s="55" t="n">
        <f aca="false">AE541+ROW()*0.000000001</f>
        <v>43.6013757237486</v>
      </c>
    </row>
    <row r="542" customFormat="false" ht="15" hidden="false" customHeight="false" outlineLevel="0" collapsed="false">
      <c r="A542" s="0" t="n">
        <v>0</v>
      </c>
      <c r="B542" s="0" t="n">
        <v>6</v>
      </c>
      <c r="C542" s="0" t="n">
        <v>5</v>
      </c>
      <c r="D542" s="0" t="n">
        <v>6</v>
      </c>
      <c r="E542" s="0" t="n">
        <f aca="false">-1+A542*0.25</f>
        <v>-1</v>
      </c>
      <c r="F542" s="0" t="n">
        <f aca="false">-1+B542*0.25</f>
        <v>0.5</v>
      </c>
      <c r="G542" s="0" t="n">
        <f aca="false">-1+C542*0.25</f>
        <v>0.25</v>
      </c>
      <c r="H542" s="0" t="n">
        <f aca="false">-1+D542*0.25</f>
        <v>0.5</v>
      </c>
      <c r="I542" s="0" t="n">
        <f aca="false">1</f>
        <v>1</v>
      </c>
      <c r="J542" s="0" t="n">
        <f aca="false">E542</f>
        <v>-1</v>
      </c>
      <c r="K542" s="0" t="n">
        <f aca="false">F542</f>
        <v>0.5</v>
      </c>
      <c r="L542" s="0" t="n">
        <f aca="false">G542</f>
        <v>0.25</v>
      </c>
      <c r="M542" s="0" t="n">
        <f aca="false">H542</f>
        <v>0.5</v>
      </c>
      <c r="N542" s="0" t="n">
        <f aca="false">E542*F542</f>
        <v>-0.5</v>
      </c>
      <c r="O542" s="0" t="n">
        <f aca="false">E542*G542</f>
        <v>-0.25</v>
      </c>
      <c r="P542" s="0" t="n">
        <f aca="false">E542*H542</f>
        <v>-0.5</v>
      </c>
      <c r="Q542" s="0" t="n">
        <f aca="false">F542*G542</f>
        <v>0.125</v>
      </c>
      <c r="R542" s="0" t="n">
        <f aca="false">F542*H542</f>
        <v>0.25</v>
      </c>
      <c r="S542" s="0" t="n">
        <f aca="false">G542*H542</f>
        <v>0.125</v>
      </c>
      <c r="T542" s="0" t="n">
        <f aca="false">E542*E542</f>
        <v>1</v>
      </c>
      <c r="U542" s="0" t="n">
        <f aca="false">F542*F542</f>
        <v>0.25</v>
      </c>
      <c r="V542" s="0" t="n">
        <f aca="false">G542*G542</f>
        <v>0.0625</v>
      </c>
      <c r="W542" s="0" t="n">
        <f aca="false">H542*H542</f>
        <v>0.25</v>
      </c>
      <c r="X542" s="0" t="n">
        <f aca="false">SUMPRODUCT(I542:W542,_XtX!$B$96:$P$96)</f>
        <v>43.5912097953217</v>
      </c>
      <c r="Y542" s="0" t="n">
        <f aca="false">SUMPRODUCT(MMULT(I542:W542,_XtX!$B$78:$P$92),I542:W542)</f>
        <v>0.428122715643275</v>
      </c>
      <c r="Z542" s="0" t="n">
        <f aca="false">04_回帰ANOVA!$K$19*04_回帰ANOVA!$K$14*SQRT(1+Y542)</f>
        <v>1.55769044623229</v>
      </c>
      <c r="AA542" s="0" t="n">
        <f aca="false">X542-Z542</f>
        <v>42.0335193490894</v>
      </c>
      <c r="AB542" s="0" t="n">
        <f aca="false">X542+Z542</f>
        <v>45.148900241554</v>
      </c>
      <c r="AC542" s="54" t="b">
        <f aca="false">AND(E542&gt;=01_因子設定!$L$5-0.000000001,E542&lt;=01_因子設定!$M$5+0.000000001,F542&gt;=01_因子設定!$L$6-0.000000001,F542&lt;=01_因子設定!$M$6+0.000000001,G542&gt;=01_因子設定!$L$7-0.000000001,G542&lt;=01_因子設定!$M$7+0.000000001,H542&gt;=01_因子設定!$L$8-0.000000001,H542&lt;=01_因子設定!$M$8+0.000000001,IF(01_因子設定!$B$20="Box-Behnken",E542^2+F542^2+G542^2+H542^2&lt;=2+0.000000001,TRUE()))</f>
        <v>1</v>
      </c>
      <c r="AD542" s="55" t="n">
        <f aca="false">IF(AC542,IF(01_因子設定!$B$13="最大化",AA542-01_因子設定!$B$14,IF(01_因子設定!$B$13="最小化",01_因子設定!$B$15-AB542,MIN(AA542-01_因子設定!$B$14,01_因子設定!$B$15-AB542))),-1E+030)</f>
        <v>-4.46648065091062</v>
      </c>
      <c r="AE542" s="55" t="n">
        <f aca="false">IF(AC542,IF(01_因子設定!$B$13="最大化",X542,IF(01_因子設定!$B$13="最小化",-X542,-ABS(X542-01_因子設定!$B$16))),-1E+030)</f>
        <v>43.5912097953217</v>
      </c>
      <c r="AF542" s="55" t="n">
        <f aca="false">AD542+ROW()*0.000000001</f>
        <v>-4.46648010891062</v>
      </c>
      <c r="AG542" s="55" t="n">
        <f aca="false">AE542+ROW()*0.000000001</f>
        <v>43.5912103373217</v>
      </c>
    </row>
    <row r="543" customFormat="false" ht="15" hidden="false" customHeight="false" outlineLevel="0" collapsed="false">
      <c r="A543" s="0" t="n">
        <v>0</v>
      </c>
      <c r="B543" s="0" t="n">
        <v>6</v>
      </c>
      <c r="C543" s="0" t="n">
        <v>5</v>
      </c>
      <c r="D543" s="0" t="n">
        <v>7</v>
      </c>
      <c r="E543" s="0" t="n">
        <f aca="false">-1+A543*0.25</f>
        <v>-1</v>
      </c>
      <c r="F543" s="0" t="n">
        <f aca="false">-1+B543*0.25</f>
        <v>0.5</v>
      </c>
      <c r="G543" s="0" t="n">
        <f aca="false">-1+C543*0.25</f>
        <v>0.25</v>
      </c>
      <c r="H543" s="0" t="n">
        <f aca="false">-1+D543*0.25</f>
        <v>0.75</v>
      </c>
      <c r="I543" s="0" t="n">
        <f aca="false">1</f>
        <v>1</v>
      </c>
      <c r="J543" s="0" t="n">
        <f aca="false">E543</f>
        <v>-1</v>
      </c>
      <c r="K543" s="0" t="n">
        <f aca="false">F543</f>
        <v>0.5</v>
      </c>
      <c r="L543" s="0" t="n">
        <f aca="false">G543</f>
        <v>0.25</v>
      </c>
      <c r="M543" s="0" t="n">
        <f aca="false">H543</f>
        <v>0.75</v>
      </c>
      <c r="N543" s="0" t="n">
        <f aca="false">E543*F543</f>
        <v>-0.5</v>
      </c>
      <c r="O543" s="0" t="n">
        <f aca="false">E543*G543</f>
        <v>-0.25</v>
      </c>
      <c r="P543" s="0" t="n">
        <f aca="false">E543*H543</f>
        <v>-0.75</v>
      </c>
      <c r="Q543" s="0" t="n">
        <f aca="false">F543*G543</f>
        <v>0.125</v>
      </c>
      <c r="R543" s="0" t="n">
        <f aca="false">F543*H543</f>
        <v>0.375</v>
      </c>
      <c r="S543" s="0" t="n">
        <f aca="false">G543*H543</f>
        <v>0.1875</v>
      </c>
      <c r="T543" s="0" t="n">
        <f aca="false">E543*E543</f>
        <v>1</v>
      </c>
      <c r="U543" s="0" t="n">
        <f aca="false">F543*F543</f>
        <v>0.25</v>
      </c>
      <c r="V543" s="0" t="n">
        <f aca="false">G543*G543</f>
        <v>0.0625</v>
      </c>
      <c r="W543" s="0" t="n">
        <f aca="false">H543*H543</f>
        <v>0.5625</v>
      </c>
      <c r="X543" s="0" t="n">
        <f aca="false">SUMPRODUCT(I543:W543,_XtX!$B$96:$P$96)</f>
        <v>43.5332373903509</v>
      </c>
      <c r="Y543" s="0" t="n">
        <f aca="false">SUMPRODUCT(MMULT(I543:W543,_XtX!$B$78:$P$92),I543:W543)</f>
        <v>0.459125719572369</v>
      </c>
      <c r="Z543" s="0" t="n">
        <f aca="false">04_回帰ANOVA!$K$19*04_回帰ANOVA!$K$14*SQRT(1+Y543)</f>
        <v>1.57450755575573</v>
      </c>
      <c r="AA543" s="0" t="n">
        <f aca="false">X543-Z543</f>
        <v>41.9587298345952</v>
      </c>
      <c r="AB543" s="0" t="n">
        <f aca="false">X543+Z543</f>
        <v>45.1077449461067</v>
      </c>
      <c r="AC543" s="54" t="b">
        <f aca="false">AND(E543&gt;=01_因子設定!$L$5-0.000000001,E543&lt;=01_因子設定!$M$5+0.000000001,F543&gt;=01_因子設定!$L$6-0.000000001,F543&lt;=01_因子設定!$M$6+0.000000001,G543&gt;=01_因子設定!$L$7-0.000000001,G543&lt;=01_因子設定!$M$7+0.000000001,H543&gt;=01_因子設定!$L$8-0.000000001,H543&lt;=01_因子設定!$M$8+0.000000001,IF(01_因子設定!$B$20="Box-Behnken",E543^2+F543^2+G543^2+H543^2&lt;=2+0.000000001,TRUE()))</f>
        <v>1</v>
      </c>
      <c r="AD543" s="55" t="n">
        <f aca="false">IF(AC543,IF(01_因子設定!$B$13="最大化",AA543-01_因子設定!$B$14,IF(01_因子設定!$B$13="最小化",01_因子設定!$B$15-AB543,MIN(AA543-01_因子設定!$B$14,01_因子設定!$B$15-AB543))),-1E+030)</f>
        <v>-4.5412701654048</v>
      </c>
      <c r="AE543" s="55" t="n">
        <f aca="false">IF(AC543,IF(01_因子設定!$B$13="最大化",X543,IF(01_因子設定!$B$13="最小化",-X543,-ABS(X543-01_因子設定!$B$16))),-1E+030)</f>
        <v>43.5332373903509</v>
      </c>
      <c r="AF543" s="55" t="n">
        <f aca="false">AD543+ROW()*0.000000001</f>
        <v>-4.5412696224048</v>
      </c>
      <c r="AG543" s="55" t="n">
        <f aca="false">AE543+ROW()*0.000000001</f>
        <v>43.5332379333509</v>
      </c>
    </row>
    <row r="544" customFormat="false" ht="15" hidden="false" customHeight="false" outlineLevel="0" collapsed="false">
      <c r="A544" s="0" t="n">
        <v>0</v>
      </c>
      <c r="B544" s="0" t="n">
        <v>6</v>
      </c>
      <c r="C544" s="0" t="n">
        <v>5</v>
      </c>
      <c r="D544" s="0" t="n">
        <v>8</v>
      </c>
      <c r="E544" s="0" t="n">
        <f aca="false">-1+A544*0.25</f>
        <v>-1</v>
      </c>
      <c r="F544" s="0" t="n">
        <f aca="false">-1+B544*0.25</f>
        <v>0.5</v>
      </c>
      <c r="G544" s="0" t="n">
        <f aca="false">-1+C544*0.25</f>
        <v>0.25</v>
      </c>
      <c r="H544" s="0" t="n">
        <f aca="false">-1+D544*0.25</f>
        <v>1</v>
      </c>
      <c r="I544" s="0" t="n">
        <f aca="false">1</f>
        <v>1</v>
      </c>
      <c r="J544" s="0" t="n">
        <f aca="false">E544</f>
        <v>-1</v>
      </c>
      <c r="K544" s="0" t="n">
        <f aca="false">F544</f>
        <v>0.5</v>
      </c>
      <c r="L544" s="0" t="n">
        <f aca="false">G544</f>
        <v>0.25</v>
      </c>
      <c r="M544" s="0" t="n">
        <f aca="false">H544</f>
        <v>1</v>
      </c>
      <c r="N544" s="0" t="n">
        <f aca="false">E544*F544</f>
        <v>-0.5</v>
      </c>
      <c r="O544" s="0" t="n">
        <f aca="false">E544*G544</f>
        <v>-0.25</v>
      </c>
      <c r="P544" s="0" t="n">
        <f aca="false">E544*H544</f>
        <v>-1</v>
      </c>
      <c r="Q544" s="0" t="n">
        <f aca="false">F544*G544</f>
        <v>0.125</v>
      </c>
      <c r="R544" s="0" t="n">
        <f aca="false">F544*H544</f>
        <v>0.5</v>
      </c>
      <c r="S544" s="0" t="n">
        <f aca="false">G544*H544</f>
        <v>0.25</v>
      </c>
      <c r="T544" s="0" t="n">
        <f aca="false">E544*E544</f>
        <v>1</v>
      </c>
      <c r="U544" s="0" t="n">
        <f aca="false">F544*F544</f>
        <v>0.25</v>
      </c>
      <c r="V544" s="0" t="n">
        <f aca="false">G544*G544</f>
        <v>0.0625</v>
      </c>
      <c r="W544" s="0" t="n">
        <f aca="false">H544*H544</f>
        <v>1</v>
      </c>
      <c r="X544" s="0" t="n">
        <f aca="false">SUMPRODUCT(I544:W544,_XtX!$B$96:$P$96)</f>
        <v>43.4274579678363</v>
      </c>
      <c r="Y544" s="0" t="n">
        <f aca="false">SUMPRODUCT(MMULT(I544:W544,_XtX!$B$78:$P$92),I544:W544)</f>
        <v>0.629174661915205</v>
      </c>
      <c r="Z544" s="0" t="n">
        <f aca="false">04_回帰ANOVA!$K$19*04_回帰ANOVA!$K$14*SQRT(1+Y544)</f>
        <v>1.66372758058297</v>
      </c>
      <c r="AA544" s="0" t="n">
        <f aca="false">X544-Z544</f>
        <v>41.7637303872534</v>
      </c>
      <c r="AB544" s="0" t="n">
        <f aca="false">X544+Z544</f>
        <v>45.0911855484193</v>
      </c>
      <c r="AC544" s="54" t="b">
        <f aca="false">AND(E544&gt;=01_因子設定!$L$5-0.000000001,E544&lt;=01_因子設定!$M$5+0.000000001,F544&gt;=01_因子設定!$L$6-0.000000001,F544&lt;=01_因子設定!$M$6+0.000000001,G544&gt;=01_因子設定!$L$7-0.000000001,G544&lt;=01_因子設定!$M$7+0.000000001,H544&gt;=01_因子設定!$L$8-0.000000001,H544&lt;=01_因子設定!$M$8+0.000000001,IF(01_因子設定!$B$20="Box-Behnken",E544^2+F544^2+G544^2+H544^2&lt;=2+0.000000001,TRUE()))</f>
        <v>1</v>
      </c>
      <c r="AD544" s="55" t="n">
        <f aca="false">IF(AC544,IF(01_因子設定!$B$13="最大化",AA544-01_因子設定!$B$14,IF(01_因子設定!$B$13="最小化",01_因子設定!$B$15-AB544,MIN(AA544-01_因子設定!$B$14,01_因子設定!$B$15-AB544))),-1E+030)</f>
        <v>-4.73626961274665</v>
      </c>
      <c r="AE544" s="55" t="n">
        <f aca="false">IF(AC544,IF(01_因子設定!$B$13="最大化",X544,IF(01_因子設定!$B$13="最小化",-X544,-ABS(X544-01_因子設定!$B$16))),-1E+030)</f>
        <v>43.4274579678363</v>
      </c>
      <c r="AF544" s="55" t="n">
        <f aca="false">AD544+ROW()*0.000000001</f>
        <v>-4.73626906874665</v>
      </c>
      <c r="AG544" s="55" t="n">
        <f aca="false">AE544+ROW()*0.000000001</f>
        <v>43.4274585118363</v>
      </c>
    </row>
    <row r="545" customFormat="false" ht="15" hidden="false" customHeight="false" outlineLevel="0" collapsed="false">
      <c r="A545" s="0" t="n">
        <v>0</v>
      </c>
      <c r="B545" s="0" t="n">
        <v>6</v>
      </c>
      <c r="C545" s="0" t="n">
        <v>6</v>
      </c>
      <c r="D545" s="0" t="n">
        <v>0</v>
      </c>
      <c r="E545" s="0" t="n">
        <f aca="false">-1+A545*0.25</f>
        <v>-1</v>
      </c>
      <c r="F545" s="0" t="n">
        <f aca="false">-1+B545*0.25</f>
        <v>0.5</v>
      </c>
      <c r="G545" s="0" t="n">
        <f aca="false">-1+C545*0.25</f>
        <v>0.5</v>
      </c>
      <c r="H545" s="0" t="n">
        <f aca="false">-1+D545*0.25</f>
        <v>-1</v>
      </c>
      <c r="I545" s="0" t="n">
        <f aca="false">1</f>
        <v>1</v>
      </c>
      <c r="J545" s="0" t="n">
        <f aca="false">E545</f>
        <v>-1</v>
      </c>
      <c r="K545" s="0" t="n">
        <f aca="false">F545</f>
        <v>0.5</v>
      </c>
      <c r="L545" s="0" t="n">
        <f aca="false">G545</f>
        <v>0.5</v>
      </c>
      <c r="M545" s="0" t="n">
        <f aca="false">H545</f>
        <v>-1</v>
      </c>
      <c r="N545" s="0" t="n">
        <f aca="false">E545*F545</f>
        <v>-0.5</v>
      </c>
      <c r="O545" s="0" t="n">
        <f aca="false">E545*G545</f>
        <v>-0.5</v>
      </c>
      <c r="P545" s="0" t="n">
        <f aca="false">E545*H545</f>
        <v>1</v>
      </c>
      <c r="Q545" s="0" t="n">
        <f aca="false">F545*G545</f>
        <v>0.25</v>
      </c>
      <c r="R545" s="0" t="n">
        <f aca="false">F545*H545</f>
        <v>-0.5</v>
      </c>
      <c r="S545" s="0" t="n">
        <f aca="false">G545*H545</f>
        <v>-0.5</v>
      </c>
      <c r="T545" s="0" t="n">
        <f aca="false">E545*E545</f>
        <v>1</v>
      </c>
      <c r="U545" s="0" t="n">
        <f aca="false">F545*F545</f>
        <v>0.25</v>
      </c>
      <c r="V545" s="0" t="n">
        <f aca="false">G545*G545</f>
        <v>0.25</v>
      </c>
      <c r="W545" s="0" t="n">
        <f aca="false">H545*H545</f>
        <v>1</v>
      </c>
      <c r="X545" s="0" t="n">
        <f aca="false">SUMPRODUCT(I545:W545,_XtX!$B$96:$P$96)</f>
        <v>43.1826571637428</v>
      </c>
      <c r="Y545" s="0" t="n">
        <f aca="false">SUMPRODUCT(MMULT(I545:W545,_XtX!$B$78:$P$92),I545:W545)</f>
        <v>0.582488121345029</v>
      </c>
      <c r="Z545" s="0" t="n">
        <f aca="false">04_回帰ANOVA!$K$19*04_回帰ANOVA!$K$14*SQRT(1+Y545)</f>
        <v>1.63971595338287</v>
      </c>
      <c r="AA545" s="0" t="n">
        <f aca="false">X545-Z545</f>
        <v>41.5429412103599</v>
      </c>
      <c r="AB545" s="0" t="n">
        <f aca="false">X545+Z545</f>
        <v>44.8223731171256</v>
      </c>
      <c r="AC545" s="54" t="b">
        <f aca="false">AND(E545&gt;=01_因子設定!$L$5-0.000000001,E545&lt;=01_因子設定!$M$5+0.000000001,F545&gt;=01_因子設定!$L$6-0.000000001,F545&lt;=01_因子設定!$M$6+0.000000001,G545&gt;=01_因子設定!$L$7-0.000000001,G545&lt;=01_因子設定!$M$7+0.000000001,H545&gt;=01_因子設定!$L$8-0.000000001,H545&lt;=01_因子設定!$M$8+0.000000001,IF(01_因子設定!$B$20="Box-Behnken",E545^2+F545^2+G545^2+H545^2&lt;=2+0.000000001,TRUE()))</f>
        <v>1</v>
      </c>
      <c r="AD545" s="55" t="n">
        <f aca="false">IF(AC545,IF(01_因子設定!$B$13="最大化",AA545-01_因子設定!$B$14,IF(01_因子設定!$B$13="最小化",01_因子設定!$B$15-AB545,MIN(AA545-01_因子設定!$B$14,01_因子設定!$B$15-AB545))),-1E+030)</f>
        <v>-4.95705878964012</v>
      </c>
      <c r="AE545" s="55" t="n">
        <f aca="false">IF(AC545,IF(01_因子設定!$B$13="最大化",X545,IF(01_因子設定!$B$13="最小化",-X545,-ABS(X545-01_因子設定!$B$16))),-1E+030)</f>
        <v>43.1826571637428</v>
      </c>
      <c r="AF545" s="55" t="n">
        <f aca="false">AD545+ROW()*0.000000001</f>
        <v>-4.95705824464012</v>
      </c>
      <c r="AG545" s="55" t="n">
        <f aca="false">AE545+ROW()*0.000000001</f>
        <v>43.1826577087428</v>
      </c>
    </row>
    <row r="546" customFormat="false" ht="15" hidden="false" customHeight="false" outlineLevel="0" collapsed="false">
      <c r="A546" s="0" t="n">
        <v>0</v>
      </c>
      <c r="B546" s="0" t="n">
        <v>6</v>
      </c>
      <c r="C546" s="0" t="n">
        <v>6</v>
      </c>
      <c r="D546" s="0" t="n">
        <v>1</v>
      </c>
      <c r="E546" s="0" t="n">
        <f aca="false">-1+A546*0.25</f>
        <v>-1</v>
      </c>
      <c r="F546" s="0" t="n">
        <f aca="false">-1+B546*0.25</f>
        <v>0.5</v>
      </c>
      <c r="G546" s="0" t="n">
        <f aca="false">-1+C546*0.25</f>
        <v>0.5</v>
      </c>
      <c r="H546" s="0" t="n">
        <f aca="false">-1+D546*0.25</f>
        <v>-0.75</v>
      </c>
      <c r="I546" s="0" t="n">
        <f aca="false">1</f>
        <v>1</v>
      </c>
      <c r="J546" s="0" t="n">
        <f aca="false">E546</f>
        <v>-1</v>
      </c>
      <c r="K546" s="0" t="n">
        <f aca="false">F546</f>
        <v>0.5</v>
      </c>
      <c r="L546" s="0" t="n">
        <f aca="false">G546</f>
        <v>0.5</v>
      </c>
      <c r="M546" s="0" t="n">
        <f aca="false">H546</f>
        <v>-0.75</v>
      </c>
      <c r="N546" s="0" t="n">
        <f aca="false">E546*F546</f>
        <v>-0.5</v>
      </c>
      <c r="O546" s="0" t="n">
        <f aca="false">E546*G546</f>
        <v>-0.5</v>
      </c>
      <c r="P546" s="0" t="n">
        <f aca="false">E546*H546</f>
        <v>0.75</v>
      </c>
      <c r="Q546" s="0" t="n">
        <f aca="false">F546*G546</f>
        <v>0.25</v>
      </c>
      <c r="R546" s="0" t="n">
        <f aca="false">F546*H546</f>
        <v>-0.375</v>
      </c>
      <c r="S546" s="0" t="n">
        <f aca="false">G546*H546</f>
        <v>-0.375</v>
      </c>
      <c r="T546" s="0" t="n">
        <f aca="false">E546*E546</f>
        <v>1</v>
      </c>
      <c r="U546" s="0" t="n">
        <f aca="false">F546*F546</f>
        <v>0.25</v>
      </c>
      <c r="V546" s="0" t="n">
        <f aca="false">G546*G546</f>
        <v>0.25</v>
      </c>
      <c r="W546" s="0" t="n">
        <f aca="false">H546*H546</f>
        <v>0.5625</v>
      </c>
      <c r="X546" s="0" t="n">
        <f aca="false">SUMPRODUCT(I546:W546,_XtX!$B$96:$P$96)</f>
        <v>43.4294956140351</v>
      </c>
      <c r="Y546" s="0" t="n">
        <f aca="false">SUMPRODUCT(MMULT(I546:W546,_XtX!$B$78:$P$92),I546:W546)</f>
        <v>0.42602110745614</v>
      </c>
      <c r="Z546" s="0" t="n">
        <f aca="false">04_回帰ANOVA!$K$19*04_回帰ANOVA!$K$14*SQRT(1+Y546)</f>
        <v>1.55654388501114</v>
      </c>
      <c r="AA546" s="0" t="n">
        <f aca="false">X546-Z546</f>
        <v>41.872951729024</v>
      </c>
      <c r="AB546" s="0" t="n">
        <f aca="false">X546+Z546</f>
        <v>44.9860394990463</v>
      </c>
      <c r="AC546" s="54" t="b">
        <f aca="false">AND(E546&gt;=01_因子設定!$L$5-0.000000001,E546&lt;=01_因子設定!$M$5+0.000000001,F546&gt;=01_因子設定!$L$6-0.000000001,F546&lt;=01_因子設定!$M$6+0.000000001,G546&gt;=01_因子設定!$L$7-0.000000001,G546&lt;=01_因子設定!$M$7+0.000000001,H546&gt;=01_因子設定!$L$8-0.000000001,H546&lt;=01_因子設定!$M$8+0.000000001,IF(01_因子設定!$B$20="Box-Behnken",E546^2+F546^2+G546^2+H546^2&lt;=2+0.000000001,TRUE()))</f>
        <v>1</v>
      </c>
      <c r="AD546" s="55" t="n">
        <f aca="false">IF(AC546,IF(01_因子設定!$B$13="最大化",AA546-01_因子設定!$B$14,IF(01_因子設定!$B$13="最小化",01_因子設定!$B$15-AB546,MIN(AA546-01_因子設定!$B$14,01_因子設定!$B$15-AB546))),-1E+030)</f>
        <v>-4.627048270976</v>
      </c>
      <c r="AE546" s="55" t="n">
        <f aca="false">IF(AC546,IF(01_因子設定!$B$13="最大化",X546,IF(01_因子設定!$B$13="最小化",-X546,-ABS(X546-01_因子設定!$B$16))),-1E+030)</f>
        <v>43.4294956140351</v>
      </c>
      <c r="AF546" s="55" t="n">
        <f aca="false">AD546+ROW()*0.000000001</f>
        <v>-4.627047724976</v>
      </c>
      <c r="AG546" s="55" t="n">
        <f aca="false">AE546+ROW()*0.000000001</f>
        <v>43.4294961600351</v>
      </c>
    </row>
    <row r="547" customFormat="false" ht="15" hidden="false" customHeight="false" outlineLevel="0" collapsed="false">
      <c r="A547" s="0" t="n">
        <v>0</v>
      </c>
      <c r="B547" s="0" t="n">
        <v>6</v>
      </c>
      <c r="C547" s="0" t="n">
        <v>6</v>
      </c>
      <c r="D547" s="0" t="n">
        <v>2</v>
      </c>
      <c r="E547" s="0" t="n">
        <f aca="false">-1+A547*0.25</f>
        <v>-1</v>
      </c>
      <c r="F547" s="0" t="n">
        <f aca="false">-1+B547*0.25</f>
        <v>0.5</v>
      </c>
      <c r="G547" s="0" t="n">
        <f aca="false">-1+C547*0.25</f>
        <v>0.5</v>
      </c>
      <c r="H547" s="0" t="n">
        <f aca="false">-1+D547*0.25</f>
        <v>-0.5</v>
      </c>
      <c r="I547" s="0" t="n">
        <f aca="false">1</f>
        <v>1</v>
      </c>
      <c r="J547" s="0" t="n">
        <f aca="false">E547</f>
        <v>-1</v>
      </c>
      <c r="K547" s="0" t="n">
        <f aca="false">F547</f>
        <v>0.5</v>
      </c>
      <c r="L547" s="0" t="n">
        <f aca="false">G547</f>
        <v>0.5</v>
      </c>
      <c r="M547" s="0" t="n">
        <f aca="false">H547</f>
        <v>-0.5</v>
      </c>
      <c r="N547" s="0" t="n">
        <f aca="false">E547*F547</f>
        <v>-0.5</v>
      </c>
      <c r="O547" s="0" t="n">
        <f aca="false">E547*G547</f>
        <v>-0.5</v>
      </c>
      <c r="P547" s="0" t="n">
        <f aca="false">E547*H547</f>
        <v>0.5</v>
      </c>
      <c r="Q547" s="0" t="n">
        <f aca="false">F547*G547</f>
        <v>0.25</v>
      </c>
      <c r="R547" s="0" t="n">
        <f aca="false">F547*H547</f>
        <v>-0.25</v>
      </c>
      <c r="S547" s="0" t="n">
        <f aca="false">G547*H547</f>
        <v>-0.25</v>
      </c>
      <c r="T547" s="0" t="n">
        <f aca="false">E547*E547</f>
        <v>1</v>
      </c>
      <c r="U547" s="0" t="n">
        <f aca="false">F547*F547</f>
        <v>0.25</v>
      </c>
      <c r="V547" s="0" t="n">
        <f aca="false">G547*G547</f>
        <v>0.25</v>
      </c>
      <c r="W547" s="0" t="n">
        <f aca="false">H547*H547</f>
        <v>0.25</v>
      </c>
      <c r="X547" s="0" t="n">
        <f aca="false">SUMPRODUCT(I547:W547,_XtX!$B$96:$P$96)</f>
        <v>43.6285270467837</v>
      </c>
      <c r="Y547" s="0" t="n">
        <f aca="false">SUMPRODUCT(MMULT(I547:W547,_XtX!$B$78:$P$92),I547:W547)</f>
        <v>0.404719480994152</v>
      </c>
      <c r="Z547" s="0" t="n">
        <f aca="false">04_回帰ANOVA!$K$19*04_回帰ANOVA!$K$14*SQRT(1+Y547)</f>
        <v>1.54487446697867</v>
      </c>
      <c r="AA547" s="0" t="n">
        <f aca="false">X547-Z547</f>
        <v>42.083652579805</v>
      </c>
      <c r="AB547" s="0" t="n">
        <f aca="false">X547+Z547</f>
        <v>45.1734015137623</v>
      </c>
      <c r="AC547" s="54" t="b">
        <f aca="false">AND(E547&gt;=01_因子設定!$L$5-0.000000001,E547&lt;=01_因子設定!$M$5+0.000000001,F547&gt;=01_因子設定!$L$6-0.000000001,F547&lt;=01_因子設定!$M$6+0.000000001,G547&gt;=01_因子設定!$L$7-0.000000001,G547&lt;=01_因子設定!$M$7+0.000000001,H547&gt;=01_因子設定!$L$8-0.000000001,H547&lt;=01_因子設定!$M$8+0.000000001,IF(01_因子設定!$B$20="Box-Behnken",E547^2+F547^2+G547^2+H547^2&lt;=2+0.000000001,TRUE()))</f>
        <v>1</v>
      </c>
      <c r="AD547" s="55" t="n">
        <f aca="false">IF(AC547,IF(01_因子設定!$B$13="最大化",AA547-01_因子設定!$B$14,IF(01_因子設定!$B$13="最小化",01_因子設定!$B$15-AB547,MIN(AA547-01_因子設定!$B$14,01_因子設定!$B$15-AB547))),-1E+030)</f>
        <v>-4.41634742019502</v>
      </c>
      <c r="AE547" s="55" t="n">
        <f aca="false">IF(AC547,IF(01_因子設定!$B$13="最大化",X547,IF(01_因子設定!$B$13="最小化",-X547,-ABS(X547-01_因子設定!$B$16))),-1E+030)</f>
        <v>43.6285270467837</v>
      </c>
      <c r="AF547" s="55" t="n">
        <f aca="false">AD547+ROW()*0.000000001</f>
        <v>-4.41634687319502</v>
      </c>
      <c r="AG547" s="55" t="n">
        <f aca="false">AE547+ROW()*0.000000001</f>
        <v>43.6285275937837</v>
      </c>
    </row>
    <row r="548" customFormat="false" ht="15" hidden="false" customHeight="false" outlineLevel="0" collapsed="false">
      <c r="A548" s="0" t="n">
        <v>0</v>
      </c>
      <c r="B548" s="0" t="n">
        <v>6</v>
      </c>
      <c r="C548" s="0" t="n">
        <v>6</v>
      </c>
      <c r="D548" s="0" t="n">
        <v>3</v>
      </c>
      <c r="E548" s="0" t="n">
        <f aca="false">-1+A548*0.25</f>
        <v>-1</v>
      </c>
      <c r="F548" s="0" t="n">
        <f aca="false">-1+B548*0.25</f>
        <v>0.5</v>
      </c>
      <c r="G548" s="0" t="n">
        <f aca="false">-1+C548*0.25</f>
        <v>0.5</v>
      </c>
      <c r="H548" s="0" t="n">
        <f aca="false">-1+D548*0.25</f>
        <v>-0.25</v>
      </c>
      <c r="I548" s="0" t="n">
        <f aca="false">1</f>
        <v>1</v>
      </c>
      <c r="J548" s="0" t="n">
        <f aca="false">E548</f>
        <v>-1</v>
      </c>
      <c r="K548" s="0" t="n">
        <f aca="false">F548</f>
        <v>0.5</v>
      </c>
      <c r="L548" s="0" t="n">
        <f aca="false">G548</f>
        <v>0.5</v>
      </c>
      <c r="M548" s="0" t="n">
        <f aca="false">H548</f>
        <v>-0.25</v>
      </c>
      <c r="N548" s="0" t="n">
        <f aca="false">E548*F548</f>
        <v>-0.5</v>
      </c>
      <c r="O548" s="0" t="n">
        <f aca="false">E548*G548</f>
        <v>-0.5</v>
      </c>
      <c r="P548" s="0" t="n">
        <f aca="false">E548*H548</f>
        <v>0.25</v>
      </c>
      <c r="Q548" s="0" t="n">
        <f aca="false">F548*G548</f>
        <v>0.25</v>
      </c>
      <c r="R548" s="0" t="n">
        <f aca="false">F548*H548</f>
        <v>-0.125</v>
      </c>
      <c r="S548" s="0" t="n">
        <f aca="false">G548*H548</f>
        <v>-0.125</v>
      </c>
      <c r="T548" s="0" t="n">
        <f aca="false">E548*E548</f>
        <v>1</v>
      </c>
      <c r="U548" s="0" t="n">
        <f aca="false">F548*F548</f>
        <v>0.25</v>
      </c>
      <c r="V548" s="0" t="n">
        <f aca="false">G548*G548</f>
        <v>0.25</v>
      </c>
      <c r="W548" s="0" t="n">
        <f aca="false">H548*H548</f>
        <v>0.0625</v>
      </c>
      <c r="X548" s="0" t="n">
        <f aca="false">SUMPRODUCT(I548:W548,_XtX!$B$96:$P$96)</f>
        <v>43.7797514619883</v>
      </c>
      <c r="Y548" s="0" t="n">
        <f aca="false">SUMPRODUCT(MMULT(I548:W548,_XtX!$B$78:$P$92),I548:W548)</f>
        <v>0.428122715643275</v>
      </c>
      <c r="Z548" s="0" t="n">
        <f aca="false">04_回帰ANOVA!$K$19*04_回帰ANOVA!$K$14*SQRT(1+Y548)</f>
        <v>1.55769044623229</v>
      </c>
      <c r="AA548" s="0" t="n">
        <f aca="false">X548-Z548</f>
        <v>42.222061015756</v>
      </c>
      <c r="AB548" s="0" t="n">
        <f aca="false">X548+Z548</f>
        <v>45.3374419082206</v>
      </c>
      <c r="AC548" s="54" t="b">
        <f aca="false">AND(E548&gt;=01_因子設定!$L$5-0.000000001,E548&lt;=01_因子設定!$M$5+0.000000001,F548&gt;=01_因子設定!$L$6-0.000000001,F548&lt;=01_因子設定!$M$6+0.000000001,G548&gt;=01_因子設定!$L$7-0.000000001,G548&lt;=01_因子設定!$M$7+0.000000001,H548&gt;=01_因子設定!$L$8-0.000000001,H548&lt;=01_因子設定!$M$8+0.000000001,IF(01_因子設定!$B$20="Box-Behnken",E548^2+F548^2+G548^2+H548^2&lt;=2+0.000000001,TRUE()))</f>
        <v>1</v>
      </c>
      <c r="AD548" s="55" t="n">
        <f aca="false">IF(AC548,IF(01_因子設定!$B$13="最大化",AA548-01_因子設定!$B$14,IF(01_因子設定!$B$13="最小化",01_因子設定!$B$15-AB548,MIN(AA548-01_因子設定!$B$14,01_因子設定!$B$15-AB548))),-1E+030)</f>
        <v>-4.27793898424396</v>
      </c>
      <c r="AE548" s="55" t="n">
        <f aca="false">IF(AC548,IF(01_因子設定!$B$13="最大化",X548,IF(01_因子設定!$B$13="最小化",-X548,-ABS(X548-01_因子設定!$B$16))),-1E+030)</f>
        <v>43.7797514619883</v>
      </c>
      <c r="AF548" s="55" t="n">
        <f aca="false">AD548+ROW()*0.000000001</f>
        <v>-4.27793843624396</v>
      </c>
      <c r="AG548" s="55" t="n">
        <f aca="false">AE548+ROW()*0.000000001</f>
        <v>43.7797520099883</v>
      </c>
    </row>
    <row r="549" customFormat="false" ht="15" hidden="false" customHeight="false" outlineLevel="0" collapsed="false">
      <c r="A549" s="0" t="n">
        <v>0</v>
      </c>
      <c r="B549" s="0" t="n">
        <v>6</v>
      </c>
      <c r="C549" s="0" t="n">
        <v>6</v>
      </c>
      <c r="D549" s="0" t="n">
        <v>4</v>
      </c>
      <c r="E549" s="0" t="n">
        <f aca="false">-1+A549*0.25</f>
        <v>-1</v>
      </c>
      <c r="F549" s="0" t="n">
        <f aca="false">-1+B549*0.25</f>
        <v>0.5</v>
      </c>
      <c r="G549" s="0" t="n">
        <f aca="false">-1+C549*0.25</f>
        <v>0.5</v>
      </c>
      <c r="H549" s="0" t="n">
        <f aca="false">-1+D549*0.25</f>
        <v>0</v>
      </c>
      <c r="I549" s="0" t="n">
        <f aca="false">1</f>
        <v>1</v>
      </c>
      <c r="J549" s="0" t="n">
        <f aca="false">E549</f>
        <v>-1</v>
      </c>
      <c r="K549" s="0" t="n">
        <f aca="false">F549</f>
        <v>0.5</v>
      </c>
      <c r="L549" s="0" t="n">
        <f aca="false">G549</f>
        <v>0.5</v>
      </c>
      <c r="M549" s="0" t="n">
        <f aca="false">H549</f>
        <v>0</v>
      </c>
      <c r="N549" s="0" t="n">
        <f aca="false">E549*F549</f>
        <v>-0.5</v>
      </c>
      <c r="O549" s="0" t="n">
        <f aca="false">E549*G549</f>
        <v>-0.5</v>
      </c>
      <c r="P549" s="0" t="n">
        <f aca="false">E549*H549</f>
        <v>-0</v>
      </c>
      <c r="Q549" s="0" t="n">
        <f aca="false">F549*G549</f>
        <v>0.25</v>
      </c>
      <c r="R549" s="0" t="n">
        <f aca="false">F549*H549</f>
        <v>0</v>
      </c>
      <c r="S549" s="0" t="n">
        <f aca="false">G549*H549</f>
        <v>0</v>
      </c>
      <c r="T549" s="0" t="n">
        <f aca="false">E549*E549</f>
        <v>1</v>
      </c>
      <c r="U549" s="0" t="n">
        <f aca="false">F549*F549</f>
        <v>0.25</v>
      </c>
      <c r="V549" s="0" t="n">
        <f aca="false">G549*G549</f>
        <v>0.25</v>
      </c>
      <c r="W549" s="0" t="n">
        <f aca="false">H549*H549</f>
        <v>0</v>
      </c>
      <c r="X549" s="0" t="n">
        <f aca="false">SUMPRODUCT(I549:W549,_XtX!$B$96:$P$96)</f>
        <v>43.8831688596492</v>
      </c>
      <c r="Y549" s="0" t="n">
        <f aca="false">SUMPRODUCT(MMULT(I549:W549,_XtX!$B$78:$P$92),I549:W549)</f>
        <v>0.441954495614035</v>
      </c>
      <c r="Z549" s="0" t="n">
        <f aca="false">04_回帰ANOVA!$K$19*04_回帰ANOVA!$K$14*SQRT(1+Y549)</f>
        <v>1.56521560968066</v>
      </c>
      <c r="AA549" s="0" t="n">
        <f aca="false">X549-Z549</f>
        <v>42.3179532499685</v>
      </c>
      <c r="AB549" s="0" t="n">
        <f aca="false">X549+Z549</f>
        <v>45.4483844693298</v>
      </c>
      <c r="AC549" s="54" t="b">
        <f aca="false">AND(E549&gt;=01_因子設定!$L$5-0.000000001,E549&lt;=01_因子設定!$M$5+0.000000001,F549&gt;=01_因子設定!$L$6-0.000000001,F549&lt;=01_因子設定!$M$6+0.000000001,G549&gt;=01_因子設定!$L$7-0.000000001,G549&lt;=01_因子設定!$M$7+0.000000001,H549&gt;=01_因子設定!$L$8-0.000000001,H549&lt;=01_因子設定!$M$8+0.000000001,IF(01_因子設定!$B$20="Box-Behnken",E549^2+F549^2+G549^2+H549^2&lt;=2+0.000000001,TRUE()))</f>
        <v>1</v>
      </c>
      <c r="AD549" s="55" t="n">
        <f aca="false">IF(AC549,IF(01_因子設定!$B$13="最大化",AA549-01_因子設定!$B$14,IF(01_因子設定!$B$13="最小化",01_因子設定!$B$15-AB549,MIN(AA549-01_因子設定!$B$14,01_因子設定!$B$15-AB549))),-1E+030)</f>
        <v>-4.18204675003151</v>
      </c>
      <c r="AE549" s="55" t="n">
        <f aca="false">IF(AC549,IF(01_因子設定!$B$13="最大化",X549,IF(01_因子設定!$B$13="最小化",-X549,-ABS(X549-01_因子設定!$B$16))),-1E+030)</f>
        <v>43.8831688596492</v>
      </c>
      <c r="AF549" s="55" t="n">
        <f aca="false">AD549+ROW()*0.000000001</f>
        <v>-4.18204620103151</v>
      </c>
      <c r="AG549" s="55" t="n">
        <f aca="false">AE549+ROW()*0.000000001</f>
        <v>43.8831694086492</v>
      </c>
    </row>
    <row r="550" customFormat="false" ht="15" hidden="false" customHeight="false" outlineLevel="0" collapsed="false">
      <c r="A550" s="0" t="n">
        <v>0</v>
      </c>
      <c r="B550" s="0" t="n">
        <v>6</v>
      </c>
      <c r="C550" s="0" t="n">
        <v>6</v>
      </c>
      <c r="D550" s="0" t="n">
        <v>5</v>
      </c>
      <c r="E550" s="0" t="n">
        <f aca="false">-1+A550*0.25</f>
        <v>-1</v>
      </c>
      <c r="F550" s="0" t="n">
        <f aca="false">-1+B550*0.25</f>
        <v>0.5</v>
      </c>
      <c r="G550" s="0" t="n">
        <f aca="false">-1+C550*0.25</f>
        <v>0.5</v>
      </c>
      <c r="H550" s="0" t="n">
        <f aca="false">-1+D550*0.25</f>
        <v>0.25</v>
      </c>
      <c r="I550" s="0" t="n">
        <f aca="false">1</f>
        <v>1</v>
      </c>
      <c r="J550" s="0" t="n">
        <f aca="false">E550</f>
        <v>-1</v>
      </c>
      <c r="K550" s="0" t="n">
        <f aca="false">F550</f>
        <v>0.5</v>
      </c>
      <c r="L550" s="0" t="n">
        <f aca="false">G550</f>
        <v>0.5</v>
      </c>
      <c r="M550" s="0" t="n">
        <f aca="false">H550</f>
        <v>0.25</v>
      </c>
      <c r="N550" s="0" t="n">
        <f aca="false">E550*F550</f>
        <v>-0.5</v>
      </c>
      <c r="O550" s="0" t="n">
        <f aca="false">E550*G550</f>
        <v>-0.5</v>
      </c>
      <c r="P550" s="0" t="n">
        <f aca="false">E550*H550</f>
        <v>-0.25</v>
      </c>
      <c r="Q550" s="0" t="n">
        <f aca="false">F550*G550</f>
        <v>0.25</v>
      </c>
      <c r="R550" s="0" t="n">
        <f aca="false">F550*H550</f>
        <v>0.125</v>
      </c>
      <c r="S550" s="0" t="n">
        <f aca="false">G550*H550</f>
        <v>0.125</v>
      </c>
      <c r="T550" s="0" t="n">
        <f aca="false">E550*E550</f>
        <v>1</v>
      </c>
      <c r="U550" s="0" t="n">
        <f aca="false">F550*F550</f>
        <v>0.25</v>
      </c>
      <c r="V550" s="0" t="n">
        <f aca="false">G550*G550</f>
        <v>0.25</v>
      </c>
      <c r="W550" s="0" t="n">
        <f aca="false">H550*H550</f>
        <v>0.0625</v>
      </c>
      <c r="X550" s="0" t="n">
        <f aca="false">SUMPRODUCT(I550:W550,_XtX!$B$96:$P$96)</f>
        <v>43.9387792397661</v>
      </c>
      <c r="Y550" s="0" t="n">
        <f aca="false">SUMPRODUCT(MMULT(I550:W550,_XtX!$B$78:$P$92),I550:W550)</f>
        <v>0.428122715643275</v>
      </c>
      <c r="Z550" s="0" t="n">
        <f aca="false">04_回帰ANOVA!$K$19*04_回帰ANOVA!$K$14*SQRT(1+Y550)</f>
        <v>1.55769044623229</v>
      </c>
      <c r="AA550" s="0" t="n">
        <f aca="false">X550-Z550</f>
        <v>42.3810887935338</v>
      </c>
      <c r="AB550" s="0" t="n">
        <f aca="false">X550+Z550</f>
        <v>45.4964696859984</v>
      </c>
      <c r="AC550" s="54" t="b">
        <f aca="false">AND(E550&gt;=01_因子設定!$L$5-0.000000001,E550&lt;=01_因子設定!$M$5+0.000000001,F550&gt;=01_因子設定!$L$6-0.000000001,F550&lt;=01_因子設定!$M$6+0.000000001,G550&gt;=01_因子設定!$L$7-0.000000001,G550&lt;=01_因子設定!$M$7+0.000000001,H550&gt;=01_因子設定!$L$8-0.000000001,H550&lt;=01_因子設定!$M$8+0.000000001,IF(01_因子設定!$B$20="Box-Behnken",E550^2+F550^2+G550^2+H550^2&lt;=2+0.000000001,TRUE()))</f>
        <v>1</v>
      </c>
      <c r="AD550" s="55" t="n">
        <f aca="false">IF(AC550,IF(01_因子設定!$B$13="最大化",AA550-01_因子設定!$B$14,IF(01_因子設定!$B$13="最小化",01_因子設定!$B$15-AB550,MIN(AA550-01_因子設定!$B$14,01_因子設定!$B$15-AB550))),-1E+030)</f>
        <v>-4.11891120646618</v>
      </c>
      <c r="AE550" s="55" t="n">
        <f aca="false">IF(AC550,IF(01_因子設定!$B$13="最大化",X550,IF(01_因子設定!$B$13="最小化",-X550,-ABS(X550-01_因子設定!$B$16))),-1E+030)</f>
        <v>43.9387792397661</v>
      </c>
      <c r="AF550" s="55" t="n">
        <f aca="false">AD550+ROW()*0.000000001</f>
        <v>-4.11891065646618</v>
      </c>
      <c r="AG550" s="55" t="n">
        <f aca="false">AE550+ROW()*0.000000001</f>
        <v>43.9387797897661</v>
      </c>
    </row>
    <row r="551" customFormat="false" ht="15" hidden="false" customHeight="false" outlineLevel="0" collapsed="false">
      <c r="A551" s="0" t="n">
        <v>0</v>
      </c>
      <c r="B551" s="0" t="n">
        <v>6</v>
      </c>
      <c r="C551" s="0" t="n">
        <v>6</v>
      </c>
      <c r="D551" s="0" t="n">
        <v>6</v>
      </c>
      <c r="E551" s="0" t="n">
        <f aca="false">-1+A551*0.25</f>
        <v>-1</v>
      </c>
      <c r="F551" s="0" t="n">
        <f aca="false">-1+B551*0.25</f>
        <v>0.5</v>
      </c>
      <c r="G551" s="0" t="n">
        <f aca="false">-1+C551*0.25</f>
        <v>0.5</v>
      </c>
      <c r="H551" s="0" t="n">
        <f aca="false">-1+D551*0.25</f>
        <v>0.5</v>
      </c>
      <c r="I551" s="0" t="n">
        <f aca="false">1</f>
        <v>1</v>
      </c>
      <c r="J551" s="0" t="n">
        <f aca="false">E551</f>
        <v>-1</v>
      </c>
      <c r="K551" s="0" t="n">
        <f aca="false">F551</f>
        <v>0.5</v>
      </c>
      <c r="L551" s="0" t="n">
        <f aca="false">G551</f>
        <v>0.5</v>
      </c>
      <c r="M551" s="0" t="n">
        <f aca="false">H551</f>
        <v>0.5</v>
      </c>
      <c r="N551" s="0" t="n">
        <f aca="false">E551*F551</f>
        <v>-0.5</v>
      </c>
      <c r="O551" s="0" t="n">
        <f aca="false">E551*G551</f>
        <v>-0.5</v>
      </c>
      <c r="P551" s="0" t="n">
        <f aca="false">E551*H551</f>
        <v>-0.5</v>
      </c>
      <c r="Q551" s="0" t="n">
        <f aca="false">F551*G551</f>
        <v>0.25</v>
      </c>
      <c r="R551" s="0" t="n">
        <f aca="false">F551*H551</f>
        <v>0.25</v>
      </c>
      <c r="S551" s="0" t="n">
        <f aca="false">G551*H551</f>
        <v>0.25</v>
      </c>
      <c r="T551" s="0" t="n">
        <f aca="false">E551*E551</f>
        <v>1</v>
      </c>
      <c r="U551" s="0" t="n">
        <f aca="false">F551*F551</f>
        <v>0.25</v>
      </c>
      <c r="V551" s="0" t="n">
        <f aca="false">G551*G551</f>
        <v>0.25</v>
      </c>
      <c r="W551" s="0" t="n">
        <f aca="false">H551*H551</f>
        <v>0.25</v>
      </c>
      <c r="X551" s="0" t="n">
        <f aca="false">SUMPRODUCT(I551:W551,_XtX!$B$96:$P$96)</f>
        <v>43.9465826023392</v>
      </c>
      <c r="Y551" s="0" t="n">
        <f aca="false">SUMPRODUCT(MMULT(I551:W551,_XtX!$B$78:$P$92),I551:W551)</f>
        <v>0.404719480994152</v>
      </c>
      <c r="Z551" s="0" t="n">
        <f aca="false">04_回帰ANOVA!$K$19*04_回帰ANOVA!$K$14*SQRT(1+Y551)</f>
        <v>1.54487446697867</v>
      </c>
      <c r="AA551" s="0" t="n">
        <f aca="false">X551-Z551</f>
        <v>42.4017081353605</v>
      </c>
      <c r="AB551" s="0" t="n">
        <f aca="false">X551+Z551</f>
        <v>45.4914570693179</v>
      </c>
      <c r="AC551" s="54" t="b">
        <f aca="false">AND(E551&gt;=01_因子設定!$L$5-0.000000001,E551&lt;=01_因子設定!$M$5+0.000000001,F551&gt;=01_因子設定!$L$6-0.000000001,F551&lt;=01_因子設定!$M$6+0.000000001,G551&gt;=01_因子設定!$L$7-0.000000001,G551&lt;=01_因子設定!$M$7+0.000000001,H551&gt;=01_因子設定!$L$8-0.000000001,H551&lt;=01_因子設定!$M$8+0.000000001,IF(01_因子設定!$B$20="Box-Behnken",E551^2+F551^2+G551^2+H551^2&lt;=2+0.000000001,TRUE()))</f>
        <v>1</v>
      </c>
      <c r="AD551" s="55" t="n">
        <f aca="false">IF(AC551,IF(01_因子設定!$B$13="最大化",AA551-01_因子設定!$B$14,IF(01_因子設定!$B$13="最小化",01_因子設定!$B$15-AB551,MIN(AA551-01_因子設定!$B$14,01_因子設定!$B$15-AB551))),-1E+030)</f>
        <v>-4.09829186463946</v>
      </c>
      <c r="AE551" s="55" t="n">
        <f aca="false">IF(AC551,IF(01_因子設定!$B$13="最大化",X551,IF(01_因子設定!$B$13="最小化",-X551,-ABS(X551-01_因子設定!$B$16))),-1E+030)</f>
        <v>43.9465826023392</v>
      </c>
      <c r="AF551" s="55" t="n">
        <f aca="false">AD551+ROW()*0.000000001</f>
        <v>-4.09829131363946</v>
      </c>
      <c r="AG551" s="55" t="n">
        <f aca="false">AE551+ROW()*0.000000001</f>
        <v>43.9465831533392</v>
      </c>
    </row>
    <row r="552" customFormat="false" ht="15" hidden="false" customHeight="false" outlineLevel="0" collapsed="false">
      <c r="A552" s="0" t="n">
        <v>0</v>
      </c>
      <c r="B552" s="0" t="n">
        <v>6</v>
      </c>
      <c r="C552" s="0" t="n">
        <v>6</v>
      </c>
      <c r="D552" s="0" t="n">
        <v>7</v>
      </c>
      <c r="E552" s="0" t="n">
        <f aca="false">-1+A552*0.25</f>
        <v>-1</v>
      </c>
      <c r="F552" s="0" t="n">
        <f aca="false">-1+B552*0.25</f>
        <v>0.5</v>
      </c>
      <c r="G552" s="0" t="n">
        <f aca="false">-1+C552*0.25</f>
        <v>0.5</v>
      </c>
      <c r="H552" s="0" t="n">
        <f aca="false">-1+D552*0.25</f>
        <v>0.75</v>
      </c>
      <c r="I552" s="0" t="n">
        <f aca="false">1</f>
        <v>1</v>
      </c>
      <c r="J552" s="0" t="n">
        <f aca="false">E552</f>
        <v>-1</v>
      </c>
      <c r="K552" s="0" t="n">
        <f aca="false">F552</f>
        <v>0.5</v>
      </c>
      <c r="L552" s="0" t="n">
        <f aca="false">G552</f>
        <v>0.5</v>
      </c>
      <c r="M552" s="0" t="n">
        <f aca="false">H552</f>
        <v>0.75</v>
      </c>
      <c r="N552" s="0" t="n">
        <f aca="false">E552*F552</f>
        <v>-0.5</v>
      </c>
      <c r="O552" s="0" t="n">
        <f aca="false">E552*G552</f>
        <v>-0.5</v>
      </c>
      <c r="P552" s="0" t="n">
        <f aca="false">E552*H552</f>
        <v>-0.75</v>
      </c>
      <c r="Q552" s="0" t="n">
        <f aca="false">F552*G552</f>
        <v>0.25</v>
      </c>
      <c r="R552" s="0" t="n">
        <f aca="false">F552*H552</f>
        <v>0.375</v>
      </c>
      <c r="S552" s="0" t="n">
        <f aca="false">G552*H552</f>
        <v>0.375</v>
      </c>
      <c r="T552" s="0" t="n">
        <f aca="false">E552*E552</f>
        <v>1</v>
      </c>
      <c r="U552" s="0" t="n">
        <f aca="false">F552*F552</f>
        <v>0.25</v>
      </c>
      <c r="V552" s="0" t="n">
        <f aca="false">G552*G552</f>
        <v>0.25</v>
      </c>
      <c r="W552" s="0" t="n">
        <f aca="false">H552*H552</f>
        <v>0.5625</v>
      </c>
      <c r="X552" s="0" t="n">
        <f aca="false">SUMPRODUCT(I552:W552,_XtX!$B$96:$P$96)</f>
        <v>43.9065789473685</v>
      </c>
      <c r="Y552" s="0" t="n">
        <f aca="false">SUMPRODUCT(MMULT(I552:W552,_XtX!$B$78:$P$92),I552:W552)</f>
        <v>0.42602110745614</v>
      </c>
      <c r="Z552" s="0" t="n">
        <f aca="false">04_回帰ANOVA!$K$19*04_回帰ANOVA!$K$14*SQRT(1+Y552)</f>
        <v>1.55654388501114</v>
      </c>
      <c r="AA552" s="0" t="n">
        <f aca="false">X552-Z552</f>
        <v>42.3500350623573</v>
      </c>
      <c r="AB552" s="0" t="n">
        <f aca="false">X552+Z552</f>
        <v>45.4631228323796</v>
      </c>
      <c r="AC552" s="54" t="b">
        <f aca="false">AND(E552&gt;=01_因子設定!$L$5-0.000000001,E552&lt;=01_因子設定!$M$5+0.000000001,F552&gt;=01_因子設定!$L$6-0.000000001,F552&lt;=01_因子設定!$M$6+0.000000001,G552&gt;=01_因子設定!$L$7-0.000000001,G552&lt;=01_因子設定!$M$7+0.000000001,H552&gt;=01_因子設定!$L$8-0.000000001,H552&lt;=01_因子設定!$M$8+0.000000001,IF(01_因子設定!$B$20="Box-Behnken",E552^2+F552^2+G552^2+H552^2&lt;=2+0.000000001,TRUE()))</f>
        <v>1</v>
      </c>
      <c r="AD552" s="55" t="n">
        <f aca="false">IF(AC552,IF(01_因子設定!$B$13="最大化",AA552-01_因子設定!$B$14,IF(01_因子設定!$B$13="最小化",01_因子設定!$B$15-AB552,MIN(AA552-01_因子設定!$B$14,01_因子設定!$B$15-AB552))),-1E+030)</f>
        <v>-4.14996493764267</v>
      </c>
      <c r="AE552" s="55" t="n">
        <f aca="false">IF(AC552,IF(01_因子設定!$B$13="最大化",X552,IF(01_因子設定!$B$13="最小化",-X552,-ABS(X552-01_因子設定!$B$16))),-1E+030)</f>
        <v>43.9065789473685</v>
      </c>
      <c r="AF552" s="55" t="n">
        <f aca="false">AD552+ROW()*0.000000001</f>
        <v>-4.14996438564267</v>
      </c>
      <c r="AG552" s="55" t="n">
        <f aca="false">AE552+ROW()*0.000000001</f>
        <v>43.9065794993685</v>
      </c>
    </row>
    <row r="553" customFormat="false" ht="15" hidden="false" customHeight="false" outlineLevel="0" collapsed="false">
      <c r="A553" s="0" t="n">
        <v>0</v>
      </c>
      <c r="B553" s="0" t="n">
        <v>6</v>
      </c>
      <c r="C553" s="0" t="n">
        <v>6</v>
      </c>
      <c r="D553" s="0" t="n">
        <v>8</v>
      </c>
      <c r="E553" s="0" t="n">
        <f aca="false">-1+A553*0.25</f>
        <v>-1</v>
      </c>
      <c r="F553" s="0" t="n">
        <f aca="false">-1+B553*0.25</f>
        <v>0.5</v>
      </c>
      <c r="G553" s="0" t="n">
        <f aca="false">-1+C553*0.25</f>
        <v>0.5</v>
      </c>
      <c r="H553" s="0" t="n">
        <f aca="false">-1+D553*0.25</f>
        <v>1</v>
      </c>
      <c r="I553" s="0" t="n">
        <f aca="false">1</f>
        <v>1</v>
      </c>
      <c r="J553" s="0" t="n">
        <f aca="false">E553</f>
        <v>-1</v>
      </c>
      <c r="K553" s="0" t="n">
        <f aca="false">F553</f>
        <v>0.5</v>
      </c>
      <c r="L553" s="0" t="n">
        <f aca="false">G553</f>
        <v>0.5</v>
      </c>
      <c r="M553" s="0" t="n">
        <f aca="false">H553</f>
        <v>1</v>
      </c>
      <c r="N553" s="0" t="n">
        <f aca="false">E553*F553</f>
        <v>-0.5</v>
      </c>
      <c r="O553" s="0" t="n">
        <f aca="false">E553*G553</f>
        <v>-0.5</v>
      </c>
      <c r="P553" s="0" t="n">
        <f aca="false">E553*H553</f>
        <v>-1</v>
      </c>
      <c r="Q553" s="0" t="n">
        <f aca="false">F553*G553</f>
        <v>0.25</v>
      </c>
      <c r="R553" s="0" t="n">
        <f aca="false">F553*H553</f>
        <v>0.5</v>
      </c>
      <c r="S553" s="0" t="n">
        <f aca="false">G553*H553</f>
        <v>0.5</v>
      </c>
      <c r="T553" s="0" t="n">
        <f aca="false">E553*E553</f>
        <v>1</v>
      </c>
      <c r="U553" s="0" t="n">
        <f aca="false">F553*F553</f>
        <v>0.25</v>
      </c>
      <c r="V553" s="0" t="n">
        <f aca="false">G553*G553</f>
        <v>0.25</v>
      </c>
      <c r="W553" s="0" t="n">
        <f aca="false">H553*H553</f>
        <v>1</v>
      </c>
      <c r="X553" s="0" t="n">
        <f aca="false">SUMPRODUCT(I553:W553,_XtX!$B$96:$P$96)</f>
        <v>43.8187682748539</v>
      </c>
      <c r="Y553" s="0" t="n">
        <f aca="false">SUMPRODUCT(MMULT(I553:W553,_XtX!$B$78:$P$92),I553:W553)</f>
        <v>0.582488121345029</v>
      </c>
      <c r="Z553" s="0" t="n">
        <f aca="false">04_回帰ANOVA!$K$19*04_回帰ANOVA!$K$14*SQRT(1+Y553)</f>
        <v>1.63971595338287</v>
      </c>
      <c r="AA553" s="0" t="n">
        <f aca="false">X553-Z553</f>
        <v>42.179052321471</v>
      </c>
      <c r="AB553" s="0" t="n">
        <f aca="false">X553+Z553</f>
        <v>45.4584842282367</v>
      </c>
      <c r="AC553" s="54" t="b">
        <f aca="false">AND(E553&gt;=01_因子設定!$L$5-0.000000001,E553&lt;=01_因子設定!$M$5+0.000000001,F553&gt;=01_因子設定!$L$6-0.000000001,F553&lt;=01_因子設定!$M$6+0.000000001,G553&gt;=01_因子設定!$L$7-0.000000001,G553&lt;=01_因子設定!$M$7+0.000000001,H553&gt;=01_因子設定!$L$8-0.000000001,H553&lt;=01_因子設定!$M$8+0.000000001,IF(01_因子設定!$B$20="Box-Behnken",E553^2+F553^2+G553^2+H553^2&lt;=2+0.000000001,TRUE()))</f>
        <v>1</v>
      </c>
      <c r="AD553" s="55" t="n">
        <f aca="false">IF(AC553,IF(01_因子設定!$B$13="最大化",AA553-01_因子設定!$B$14,IF(01_因子設定!$B$13="最小化",01_因子設定!$B$15-AB553,MIN(AA553-01_因子設定!$B$14,01_因子設定!$B$15-AB553))),-1E+030)</f>
        <v>-4.320947678529</v>
      </c>
      <c r="AE553" s="55" t="n">
        <f aca="false">IF(AC553,IF(01_因子設定!$B$13="最大化",X553,IF(01_因子設定!$B$13="最小化",-X553,-ABS(X553-01_因子設定!$B$16))),-1E+030)</f>
        <v>43.8187682748539</v>
      </c>
      <c r="AF553" s="55" t="n">
        <f aca="false">AD553+ROW()*0.000000001</f>
        <v>-4.320947125529</v>
      </c>
      <c r="AG553" s="55" t="n">
        <f aca="false">AE553+ROW()*0.000000001</f>
        <v>43.8187688278539</v>
      </c>
    </row>
    <row r="554" customFormat="false" ht="15" hidden="false" customHeight="false" outlineLevel="0" collapsed="false">
      <c r="A554" s="0" t="n">
        <v>0</v>
      </c>
      <c r="B554" s="0" t="n">
        <v>6</v>
      </c>
      <c r="C554" s="0" t="n">
        <v>7</v>
      </c>
      <c r="D554" s="0" t="n">
        <v>0</v>
      </c>
      <c r="E554" s="0" t="n">
        <f aca="false">-1+A554*0.25</f>
        <v>-1</v>
      </c>
      <c r="F554" s="0" t="n">
        <f aca="false">-1+B554*0.25</f>
        <v>0.5</v>
      </c>
      <c r="G554" s="0" t="n">
        <f aca="false">-1+C554*0.25</f>
        <v>0.75</v>
      </c>
      <c r="H554" s="0" t="n">
        <f aca="false">-1+D554*0.25</f>
        <v>-1</v>
      </c>
      <c r="I554" s="0" t="n">
        <f aca="false">1</f>
        <v>1</v>
      </c>
      <c r="J554" s="0" t="n">
        <f aca="false">E554</f>
        <v>-1</v>
      </c>
      <c r="K554" s="0" t="n">
        <f aca="false">F554</f>
        <v>0.5</v>
      </c>
      <c r="L554" s="0" t="n">
        <f aca="false">G554</f>
        <v>0.75</v>
      </c>
      <c r="M554" s="0" t="n">
        <f aca="false">H554</f>
        <v>-1</v>
      </c>
      <c r="N554" s="0" t="n">
        <f aca="false">E554*F554</f>
        <v>-0.5</v>
      </c>
      <c r="O554" s="0" t="n">
        <f aca="false">E554*G554</f>
        <v>-0.75</v>
      </c>
      <c r="P554" s="0" t="n">
        <f aca="false">E554*H554</f>
        <v>1</v>
      </c>
      <c r="Q554" s="0" t="n">
        <f aca="false">F554*G554</f>
        <v>0.375</v>
      </c>
      <c r="R554" s="0" t="n">
        <f aca="false">F554*H554</f>
        <v>-0.5</v>
      </c>
      <c r="S554" s="0" t="n">
        <f aca="false">G554*H554</f>
        <v>-0.75</v>
      </c>
      <c r="T554" s="0" t="n">
        <f aca="false">E554*E554</f>
        <v>1</v>
      </c>
      <c r="U554" s="0" t="n">
        <f aca="false">F554*F554</f>
        <v>0.25</v>
      </c>
      <c r="V554" s="0" t="n">
        <f aca="false">G554*G554</f>
        <v>0.5625</v>
      </c>
      <c r="W554" s="0" t="n">
        <f aca="false">H554*H554</f>
        <v>1</v>
      </c>
      <c r="X554" s="0" t="n">
        <f aca="false">SUMPRODUCT(I554:W554,_XtX!$B$96:$P$96)</f>
        <v>43.3449104532164</v>
      </c>
      <c r="Y554" s="0" t="n">
        <f aca="false">SUMPRODUCT(MMULT(I554:W554,_XtX!$B$78:$P$92),I554:W554)</f>
        <v>0.564984237938597</v>
      </c>
      <c r="Z554" s="0" t="n">
        <f aca="false">04_回帰ANOVA!$K$19*04_回帰ANOVA!$K$14*SQRT(1+Y554)</f>
        <v>1.63062229734503</v>
      </c>
      <c r="AA554" s="0" t="n">
        <f aca="false">X554-Z554</f>
        <v>41.7142881558714</v>
      </c>
      <c r="AB554" s="0" t="n">
        <f aca="false">X554+Z554</f>
        <v>44.9755327505615</v>
      </c>
      <c r="AC554" s="54" t="b">
        <f aca="false">AND(E554&gt;=01_因子設定!$L$5-0.000000001,E554&lt;=01_因子設定!$M$5+0.000000001,F554&gt;=01_因子設定!$L$6-0.000000001,F554&lt;=01_因子設定!$M$6+0.000000001,G554&gt;=01_因子設定!$L$7-0.000000001,G554&lt;=01_因子設定!$M$7+0.000000001,H554&gt;=01_因子設定!$L$8-0.000000001,H554&lt;=01_因子設定!$M$8+0.000000001,IF(01_因子設定!$B$20="Box-Behnken",E554^2+F554^2+G554^2+H554^2&lt;=2+0.000000001,TRUE()))</f>
        <v>1</v>
      </c>
      <c r="AD554" s="55" t="n">
        <f aca="false">IF(AC554,IF(01_因子設定!$B$13="最大化",AA554-01_因子設定!$B$14,IF(01_因子設定!$B$13="最小化",01_因子設定!$B$15-AB554,MIN(AA554-01_因子設定!$B$14,01_因子設定!$B$15-AB554))),-1E+030)</f>
        <v>-4.78571184412859</v>
      </c>
      <c r="AE554" s="55" t="n">
        <f aca="false">IF(AC554,IF(01_因子設定!$B$13="最大化",X554,IF(01_因子設定!$B$13="最小化",-X554,-ABS(X554-01_因子設定!$B$16))),-1E+030)</f>
        <v>43.3449104532164</v>
      </c>
      <c r="AF554" s="55" t="n">
        <f aca="false">AD554+ROW()*0.000000001</f>
        <v>-4.78571129012859</v>
      </c>
      <c r="AG554" s="55" t="n">
        <f aca="false">AE554+ROW()*0.000000001</f>
        <v>43.3449110072164</v>
      </c>
    </row>
    <row r="555" customFormat="false" ht="15" hidden="false" customHeight="false" outlineLevel="0" collapsed="false">
      <c r="A555" s="0" t="n">
        <v>0</v>
      </c>
      <c r="B555" s="0" t="n">
        <v>6</v>
      </c>
      <c r="C555" s="0" t="n">
        <v>7</v>
      </c>
      <c r="D555" s="0" t="n">
        <v>1</v>
      </c>
      <c r="E555" s="0" t="n">
        <f aca="false">-1+A555*0.25</f>
        <v>-1</v>
      </c>
      <c r="F555" s="0" t="n">
        <f aca="false">-1+B555*0.25</f>
        <v>0.5</v>
      </c>
      <c r="G555" s="0" t="n">
        <f aca="false">-1+C555*0.25</f>
        <v>0.75</v>
      </c>
      <c r="H555" s="0" t="n">
        <f aca="false">-1+D555*0.25</f>
        <v>-0.75</v>
      </c>
      <c r="I555" s="0" t="n">
        <f aca="false">1</f>
        <v>1</v>
      </c>
      <c r="J555" s="0" t="n">
        <f aca="false">E555</f>
        <v>-1</v>
      </c>
      <c r="K555" s="0" t="n">
        <f aca="false">F555</f>
        <v>0.5</v>
      </c>
      <c r="L555" s="0" t="n">
        <f aca="false">G555</f>
        <v>0.75</v>
      </c>
      <c r="M555" s="0" t="n">
        <f aca="false">H555</f>
        <v>-0.75</v>
      </c>
      <c r="N555" s="0" t="n">
        <f aca="false">E555*F555</f>
        <v>-0.5</v>
      </c>
      <c r="O555" s="0" t="n">
        <f aca="false">E555*G555</f>
        <v>-0.75</v>
      </c>
      <c r="P555" s="0" t="n">
        <f aca="false">E555*H555</f>
        <v>0.75</v>
      </c>
      <c r="Q555" s="0" t="n">
        <f aca="false">F555*G555</f>
        <v>0.375</v>
      </c>
      <c r="R555" s="0" t="n">
        <f aca="false">F555*H555</f>
        <v>-0.375</v>
      </c>
      <c r="S555" s="0" t="n">
        <f aca="false">G555*H555</f>
        <v>-0.5625</v>
      </c>
      <c r="T555" s="0" t="n">
        <f aca="false">E555*E555</f>
        <v>1</v>
      </c>
      <c r="U555" s="0" t="n">
        <f aca="false">F555*F555</f>
        <v>0.25</v>
      </c>
      <c r="V555" s="0" t="n">
        <f aca="false">G555*G555</f>
        <v>0.5625</v>
      </c>
      <c r="W555" s="0" t="n">
        <f aca="false">H555*H555</f>
        <v>0.5625</v>
      </c>
      <c r="X555" s="0" t="n">
        <f aca="false">SUMPRODUCT(I555:W555,_XtX!$B$96:$P$96)</f>
        <v>43.6097176535088</v>
      </c>
      <c r="Y555" s="0" t="n">
        <f aca="false">SUMPRODUCT(MMULT(I555:W555,_XtX!$B$78:$P$92),I555:W555)</f>
        <v>0.431153771472953</v>
      </c>
      <c r="Z555" s="0" t="n">
        <f aca="false">04_回帰ANOVA!$K$19*04_回帰ANOVA!$K$14*SQRT(1+Y555)</f>
        <v>1.55934259562563</v>
      </c>
      <c r="AA555" s="0" t="n">
        <f aca="false">X555-Z555</f>
        <v>42.0503750578832</v>
      </c>
      <c r="AB555" s="0" t="n">
        <f aca="false">X555+Z555</f>
        <v>45.1690602491345</v>
      </c>
      <c r="AC555" s="54" t="b">
        <f aca="false">AND(E555&gt;=01_因子設定!$L$5-0.000000001,E555&lt;=01_因子設定!$M$5+0.000000001,F555&gt;=01_因子設定!$L$6-0.000000001,F555&lt;=01_因子設定!$M$6+0.000000001,G555&gt;=01_因子設定!$L$7-0.000000001,G555&lt;=01_因子設定!$M$7+0.000000001,H555&gt;=01_因子設定!$L$8-0.000000001,H555&lt;=01_因子設定!$M$8+0.000000001,IF(01_因子設定!$B$20="Box-Behnken",E555^2+F555^2+G555^2+H555^2&lt;=2+0.000000001,TRUE()))</f>
        <v>1</v>
      </c>
      <c r="AD555" s="55" t="n">
        <f aca="false">IF(AC555,IF(01_因子設定!$B$13="最大化",AA555-01_因子設定!$B$14,IF(01_因子設定!$B$13="最小化",01_因子設定!$B$15-AB555,MIN(AA555-01_因子設定!$B$14,01_因子設定!$B$15-AB555))),-1E+030)</f>
        <v>-4.44962494211681</v>
      </c>
      <c r="AE555" s="55" t="n">
        <f aca="false">IF(AC555,IF(01_因子設定!$B$13="最大化",X555,IF(01_因子設定!$B$13="最小化",-X555,-ABS(X555-01_因子設定!$B$16))),-1E+030)</f>
        <v>43.6097176535088</v>
      </c>
      <c r="AF555" s="55" t="n">
        <f aca="false">AD555+ROW()*0.000000001</f>
        <v>-4.44962438711681</v>
      </c>
      <c r="AG555" s="55" t="n">
        <f aca="false">AE555+ROW()*0.000000001</f>
        <v>43.6097182085088</v>
      </c>
    </row>
    <row r="556" customFormat="false" ht="15" hidden="false" customHeight="false" outlineLevel="0" collapsed="false">
      <c r="A556" s="0" t="n">
        <v>0</v>
      </c>
      <c r="B556" s="0" t="n">
        <v>6</v>
      </c>
      <c r="C556" s="0" t="n">
        <v>7</v>
      </c>
      <c r="D556" s="0" t="n">
        <v>2</v>
      </c>
      <c r="E556" s="0" t="n">
        <f aca="false">-1+A556*0.25</f>
        <v>-1</v>
      </c>
      <c r="F556" s="0" t="n">
        <f aca="false">-1+B556*0.25</f>
        <v>0.5</v>
      </c>
      <c r="G556" s="0" t="n">
        <f aca="false">-1+C556*0.25</f>
        <v>0.75</v>
      </c>
      <c r="H556" s="0" t="n">
        <f aca="false">-1+D556*0.25</f>
        <v>-0.5</v>
      </c>
      <c r="I556" s="0" t="n">
        <f aca="false">1</f>
        <v>1</v>
      </c>
      <c r="J556" s="0" t="n">
        <f aca="false">E556</f>
        <v>-1</v>
      </c>
      <c r="K556" s="0" t="n">
        <f aca="false">F556</f>
        <v>0.5</v>
      </c>
      <c r="L556" s="0" t="n">
        <f aca="false">G556</f>
        <v>0.75</v>
      </c>
      <c r="M556" s="0" t="n">
        <f aca="false">H556</f>
        <v>-0.5</v>
      </c>
      <c r="N556" s="0" t="n">
        <f aca="false">E556*F556</f>
        <v>-0.5</v>
      </c>
      <c r="O556" s="0" t="n">
        <f aca="false">E556*G556</f>
        <v>-0.75</v>
      </c>
      <c r="P556" s="0" t="n">
        <f aca="false">E556*H556</f>
        <v>0.5</v>
      </c>
      <c r="Q556" s="0" t="n">
        <f aca="false">F556*G556</f>
        <v>0.375</v>
      </c>
      <c r="R556" s="0" t="n">
        <f aca="false">F556*H556</f>
        <v>-0.25</v>
      </c>
      <c r="S556" s="0" t="n">
        <f aca="false">G556*H556</f>
        <v>-0.375</v>
      </c>
      <c r="T556" s="0" t="n">
        <f aca="false">E556*E556</f>
        <v>1</v>
      </c>
      <c r="U556" s="0" t="n">
        <f aca="false">F556*F556</f>
        <v>0.25</v>
      </c>
      <c r="V556" s="0" t="n">
        <f aca="false">G556*G556</f>
        <v>0.5625</v>
      </c>
      <c r="W556" s="0" t="n">
        <f aca="false">H556*H556</f>
        <v>0.25</v>
      </c>
      <c r="X556" s="0" t="n">
        <f aca="false">SUMPRODUCT(I556:W556,_XtX!$B$96:$P$96)</f>
        <v>43.8267178362574</v>
      </c>
      <c r="Y556" s="0" t="n">
        <f aca="false">SUMPRODUCT(MMULT(I556:W556,_XtX!$B$78:$P$92),I556:W556)</f>
        <v>0.42602110745614</v>
      </c>
      <c r="Z556" s="0" t="n">
        <f aca="false">04_回帰ANOVA!$K$19*04_回帰ANOVA!$K$14*SQRT(1+Y556)</f>
        <v>1.55654388501114</v>
      </c>
      <c r="AA556" s="0" t="n">
        <f aca="false">X556-Z556</f>
        <v>42.2701739512462</v>
      </c>
      <c r="AB556" s="0" t="n">
        <f aca="false">X556+Z556</f>
        <v>45.3832617212685</v>
      </c>
      <c r="AC556" s="54" t="b">
        <f aca="false">AND(E556&gt;=01_因子設定!$L$5-0.000000001,E556&lt;=01_因子設定!$M$5+0.000000001,F556&gt;=01_因子設定!$L$6-0.000000001,F556&lt;=01_因子設定!$M$6+0.000000001,G556&gt;=01_因子設定!$L$7-0.000000001,G556&lt;=01_因子設定!$M$7+0.000000001,H556&gt;=01_因子設定!$L$8-0.000000001,H556&lt;=01_因子設定!$M$8+0.000000001,IF(01_因子設定!$B$20="Box-Behnken",E556^2+F556^2+G556^2+H556^2&lt;=2+0.000000001,TRUE()))</f>
        <v>1</v>
      </c>
      <c r="AD556" s="55" t="n">
        <f aca="false">IF(AC556,IF(01_因子設定!$B$13="最大化",AA556-01_因子設定!$B$14,IF(01_因子設定!$B$13="最小化",01_因子設定!$B$15-AB556,MIN(AA556-01_因子設定!$B$14,01_因子設定!$B$15-AB556))),-1E+030)</f>
        <v>-4.22982604875379</v>
      </c>
      <c r="AE556" s="55" t="n">
        <f aca="false">IF(AC556,IF(01_因子設定!$B$13="最大化",X556,IF(01_因子設定!$B$13="最小化",-X556,-ABS(X556-01_因子設定!$B$16))),-1E+030)</f>
        <v>43.8267178362574</v>
      </c>
      <c r="AF556" s="55" t="n">
        <f aca="false">AD556+ROW()*0.000000001</f>
        <v>-4.22982549275379</v>
      </c>
      <c r="AG556" s="55" t="n">
        <f aca="false">AE556+ROW()*0.000000001</f>
        <v>43.8267183922574</v>
      </c>
    </row>
    <row r="557" customFormat="false" ht="15" hidden="false" customHeight="false" outlineLevel="0" collapsed="false">
      <c r="A557" s="0" t="n">
        <v>0</v>
      </c>
      <c r="B557" s="0" t="n">
        <v>6</v>
      </c>
      <c r="C557" s="0" t="n">
        <v>7</v>
      </c>
      <c r="D557" s="0" t="n">
        <v>3</v>
      </c>
      <c r="E557" s="0" t="n">
        <f aca="false">-1+A557*0.25</f>
        <v>-1</v>
      </c>
      <c r="F557" s="0" t="n">
        <f aca="false">-1+B557*0.25</f>
        <v>0.5</v>
      </c>
      <c r="G557" s="0" t="n">
        <f aca="false">-1+C557*0.25</f>
        <v>0.75</v>
      </c>
      <c r="H557" s="0" t="n">
        <f aca="false">-1+D557*0.25</f>
        <v>-0.25</v>
      </c>
      <c r="I557" s="0" t="n">
        <f aca="false">1</f>
        <v>1</v>
      </c>
      <c r="J557" s="0" t="n">
        <f aca="false">E557</f>
        <v>-1</v>
      </c>
      <c r="K557" s="0" t="n">
        <f aca="false">F557</f>
        <v>0.5</v>
      </c>
      <c r="L557" s="0" t="n">
        <f aca="false">G557</f>
        <v>0.75</v>
      </c>
      <c r="M557" s="0" t="n">
        <f aca="false">H557</f>
        <v>-0.25</v>
      </c>
      <c r="N557" s="0" t="n">
        <f aca="false">E557*F557</f>
        <v>-0.5</v>
      </c>
      <c r="O557" s="0" t="n">
        <f aca="false">E557*G557</f>
        <v>-0.75</v>
      </c>
      <c r="P557" s="0" t="n">
        <f aca="false">E557*H557</f>
        <v>0.25</v>
      </c>
      <c r="Q557" s="0" t="n">
        <f aca="false">F557*G557</f>
        <v>0.375</v>
      </c>
      <c r="R557" s="0" t="n">
        <f aca="false">F557*H557</f>
        <v>-0.125</v>
      </c>
      <c r="S557" s="0" t="n">
        <f aca="false">G557*H557</f>
        <v>-0.1875</v>
      </c>
      <c r="T557" s="0" t="n">
        <f aca="false">E557*E557</f>
        <v>1</v>
      </c>
      <c r="U557" s="0" t="n">
        <f aca="false">F557*F557</f>
        <v>0.25</v>
      </c>
      <c r="V557" s="0" t="n">
        <f aca="false">G557*G557</f>
        <v>0.5625</v>
      </c>
      <c r="W557" s="0" t="n">
        <f aca="false">H557*H557</f>
        <v>0.0625</v>
      </c>
      <c r="X557" s="0" t="n">
        <f aca="false">SUMPRODUCT(I557:W557,_XtX!$B$96:$P$96)</f>
        <v>43.995911001462</v>
      </c>
      <c r="Y557" s="0" t="n">
        <f aca="false">SUMPRODUCT(MMULT(I557:W557,_XtX!$B$78:$P$92),I557:W557)</f>
        <v>0.459125719572369</v>
      </c>
      <c r="Z557" s="0" t="n">
        <f aca="false">04_回帰ANOVA!$K$19*04_回帰ANOVA!$K$14*SQRT(1+Y557)</f>
        <v>1.57450755575573</v>
      </c>
      <c r="AA557" s="0" t="n">
        <f aca="false">X557-Z557</f>
        <v>42.4214034457063</v>
      </c>
      <c r="AB557" s="0" t="n">
        <f aca="false">X557+Z557</f>
        <v>45.5704185572178</v>
      </c>
      <c r="AC557" s="54" t="b">
        <f aca="false">AND(E557&gt;=01_因子設定!$L$5-0.000000001,E557&lt;=01_因子設定!$M$5+0.000000001,F557&gt;=01_因子設定!$L$6-0.000000001,F557&lt;=01_因子設定!$M$6+0.000000001,G557&gt;=01_因子設定!$L$7-0.000000001,G557&lt;=01_因子設定!$M$7+0.000000001,H557&gt;=01_因子設定!$L$8-0.000000001,H557&lt;=01_因子設定!$M$8+0.000000001,IF(01_因子設定!$B$20="Box-Behnken",E557^2+F557^2+G557^2+H557^2&lt;=2+0.000000001,TRUE()))</f>
        <v>1</v>
      </c>
      <c r="AD557" s="55" t="n">
        <f aca="false">IF(AC557,IF(01_因子設定!$B$13="最大化",AA557-01_因子設定!$B$14,IF(01_因子設定!$B$13="最小化",01_因子設定!$B$15-AB557,MIN(AA557-01_因子設定!$B$14,01_因子設定!$B$15-AB557))),-1E+030)</f>
        <v>-4.07859655429371</v>
      </c>
      <c r="AE557" s="55" t="n">
        <f aca="false">IF(AC557,IF(01_因子設定!$B$13="最大化",X557,IF(01_因子設定!$B$13="最小化",-X557,-ABS(X557-01_因子設定!$B$16))),-1E+030)</f>
        <v>43.995911001462</v>
      </c>
      <c r="AF557" s="55" t="n">
        <f aca="false">AD557+ROW()*0.000000001</f>
        <v>-4.07859599729371</v>
      </c>
      <c r="AG557" s="55" t="n">
        <f aca="false">AE557+ROW()*0.000000001</f>
        <v>43.995911558462</v>
      </c>
    </row>
    <row r="558" customFormat="false" ht="15" hidden="false" customHeight="false" outlineLevel="0" collapsed="false">
      <c r="A558" s="0" t="n">
        <v>0</v>
      </c>
      <c r="B558" s="0" t="n">
        <v>6</v>
      </c>
      <c r="C558" s="0" t="n">
        <v>7</v>
      </c>
      <c r="D558" s="0" t="n">
        <v>4</v>
      </c>
      <c r="E558" s="0" t="n">
        <f aca="false">-1+A558*0.25</f>
        <v>-1</v>
      </c>
      <c r="F558" s="0" t="n">
        <f aca="false">-1+B558*0.25</f>
        <v>0.5</v>
      </c>
      <c r="G558" s="0" t="n">
        <f aca="false">-1+C558*0.25</f>
        <v>0.75</v>
      </c>
      <c r="H558" s="0" t="n">
        <f aca="false">-1+D558*0.25</f>
        <v>0</v>
      </c>
      <c r="I558" s="0" t="n">
        <f aca="false">1</f>
        <v>1</v>
      </c>
      <c r="J558" s="0" t="n">
        <f aca="false">E558</f>
        <v>-1</v>
      </c>
      <c r="K558" s="0" t="n">
        <f aca="false">F558</f>
        <v>0.5</v>
      </c>
      <c r="L558" s="0" t="n">
        <f aca="false">G558</f>
        <v>0.75</v>
      </c>
      <c r="M558" s="0" t="n">
        <f aca="false">H558</f>
        <v>0</v>
      </c>
      <c r="N558" s="0" t="n">
        <f aca="false">E558*F558</f>
        <v>-0.5</v>
      </c>
      <c r="O558" s="0" t="n">
        <f aca="false">E558*G558</f>
        <v>-0.75</v>
      </c>
      <c r="P558" s="0" t="n">
        <f aca="false">E558*H558</f>
        <v>-0</v>
      </c>
      <c r="Q558" s="0" t="n">
        <f aca="false">F558*G558</f>
        <v>0.375</v>
      </c>
      <c r="R558" s="0" t="n">
        <f aca="false">F558*H558</f>
        <v>0</v>
      </c>
      <c r="S558" s="0" t="n">
        <f aca="false">G558*H558</f>
        <v>0</v>
      </c>
      <c r="T558" s="0" t="n">
        <f aca="false">E558*E558</f>
        <v>1</v>
      </c>
      <c r="U558" s="0" t="n">
        <f aca="false">F558*F558</f>
        <v>0.25</v>
      </c>
      <c r="V558" s="0" t="n">
        <f aca="false">G558*G558</f>
        <v>0.5625</v>
      </c>
      <c r="W558" s="0" t="n">
        <f aca="false">H558*H558</f>
        <v>0</v>
      </c>
      <c r="X558" s="0" t="n">
        <f aca="false">SUMPRODUCT(I558:W558,_XtX!$B$96:$P$96)</f>
        <v>44.1172971491228</v>
      </c>
      <c r="Y558" s="0" t="n">
        <f aca="false">SUMPRODUCT(MMULT(I558:W558,_XtX!$B$78:$P$92),I558:W558)</f>
        <v>0.476191292032164</v>
      </c>
      <c r="Z558" s="0" t="n">
        <f aca="false">04_回帰ANOVA!$K$19*04_回帰ANOVA!$K$14*SQRT(1+Y558)</f>
        <v>1.58368831471718</v>
      </c>
      <c r="AA558" s="0" t="n">
        <f aca="false">X558-Z558</f>
        <v>42.5336088344057</v>
      </c>
      <c r="AB558" s="0" t="n">
        <f aca="false">X558+Z558</f>
        <v>45.70098546384</v>
      </c>
      <c r="AC558" s="54" t="b">
        <f aca="false">AND(E558&gt;=01_因子設定!$L$5-0.000000001,E558&lt;=01_因子設定!$M$5+0.000000001,F558&gt;=01_因子設定!$L$6-0.000000001,F558&lt;=01_因子設定!$M$6+0.000000001,G558&gt;=01_因子設定!$L$7-0.000000001,G558&lt;=01_因子設定!$M$7+0.000000001,H558&gt;=01_因子設定!$L$8-0.000000001,H558&lt;=01_因子設定!$M$8+0.000000001,IF(01_因子設定!$B$20="Box-Behnken",E558^2+F558^2+G558^2+H558^2&lt;=2+0.000000001,TRUE()))</f>
        <v>1</v>
      </c>
      <c r="AD558" s="55" t="n">
        <f aca="false">IF(AC558,IF(01_因子設定!$B$13="最大化",AA558-01_因子設定!$B$14,IF(01_因子設定!$B$13="最小化",01_因子設定!$B$15-AB558,MIN(AA558-01_因子設定!$B$14,01_因子設定!$B$15-AB558))),-1E+030)</f>
        <v>-3.96639116559435</v>
      </c>
      <c r="AE558" s="55" t="n">
        <f aca="false">IF(AC558,IF(01_因子設定!$B$13="最大化",X558,IF(01_因子設定!$B$13="最小化",-X558,-ABS(X558-01_因子設定!$B$16))),-1E+030)</f>
        <v>44.1172971491228</v>
      </c>
      <c r="AF558" s="55" t="n">
        <f aca="false">AD558+ROW()*0.000000001</f>
        <v>-3.96639060759435</v>
      </c>
      <c r="AG558" s="55" t="n">
        <f aca="false">AE558+ROW()*0.000000001</f>
        <v>44.1172977071228</v>
      </c>
    </row>
    <row r="559" customFormat="false" ht="15" hidden="false" customHeight="false" outlineLevel="0" collapsed="false">
      <c r="A559" s="0" t="n">
        <v>0</v>
      </c>
      <c r="B559" s="0" t="n">
        <v>6</v>
      </c>
      <c r="C559" s="0" t="n">
        <v>7</v>
      </c>
      <c r="D559" s="0" t="n">
        <v>5</v>
      </c>
      <c r="E559" s="0" t="n">
        <f aca="false">-1+A559*0.25</f>
        <v>-1</v>
      </c>
      <c r="F559" s="0" t="n">
        <f aca="false">-1+B559*0.25</f>
        <v>0.5</v>
      </c>
      <c r="G559" s="0" t="n">
        <f aca="false">-1+C559*0.25</f>
        <v>0.75</v>
      </c>
      <c r="H559" s="0" t="n">
        <f aca="false">-1+D559*0.25</f>
        <v>0.25</v>
      </c>
      <c r="I559" s="0" t="n">
        <f aca="false">1</f>
        <v>1</v>
      </c>
      <c r="J559" s="0" t="n">
        <f aca="false">E559</f>
        <v>-1</v>
      </c>
      <c r="K559" s="0" t="n">
        <f aca="false">F559</f>
        <v>0.5</v>
      </c>
      <c r="L559" s="0" t="n">
        <f aca="false">G559</f>
        <v>0.75</v>
      </c>
      <c r="M559" s="0" t="n">
        <f aca="false">H559</f>
        <v>0.25</v>
      </c>
      <c r="N559" s="0" t="n">
        <f aca="false">E559*F559</f>
        <v>-0.5</v>
      </c>
      <c r="O559" s="0" t="n">
        <f aca="false">E559*G559</f>
        <v>-0.75</v>
      </c>
      <c r="P559" s="0" t="n">
        <f aca="false">E559*H559</f>
        <v>-0.25</v>
      </c>
      <c r="Q559" s="0" t="n">
        <f aca="false">F559*G559</f>
        <v>0.375</v>
      </c>
      <c r="R559" s="0" t="n">
        <f aca="false">F559*H559</f>
        <v>0.125</v>
      </c>
      <c r="S559" s="0" t="n">
        <f aca="false">G559*H559</f>
        <v>0.1875</v>
      </c>
      <c r="T559" s="0" t="n">
        <f aca="false">E559*E559</f>
        <v>1</v>
      </c>
      <c r="U559" s="0" t="n">
        <f aca="false">F559*F559</f>
        <v>0.25</v>
      </c>
      <c r="V559" s="0" t="n">
        <f aca="false">G559*G559</f>
        <v>0.5625</v>
      </c>
      <c r="W559" s="0" t="n">
        <f aca="false">H559*H559</f>
        <v>0.0625</v>
      </c>
      <c r="X559" s="0" t="n">
        <f aca="false">SUMPRODUCT(I559:W559,_XtX!$B$96:$P$96)</f>
        <v>44.1908762792398</v>
      </c>
      <c r="Y559" s="0" t="n">
        <f aca="false">SUMPRODUCT(MMULT(I559:W559,_XtX!$B$78:$P$92),I559:W559)</f>
        <v>0.459125719572369</v>
      </c>
      <c r="Z559" s="0" t="n">
        <f aca="false">04_回帰ANOVA!$K$19*04_回帰ANOVA!$K$14*SQRT(1+Y559)</f>
        <v>1.57450755575573</v>
      </c>
      <c r="AA559" s="0" t="n">
        <f aca="false">X559-Z559</f>
        <v>42.6163687234841</v>
      </c>
      <c r="AB559" s="0" t="n">
        <f aca="false">X559+Z559</f>
        <v>45.7653838349955</v>
      </c>
      <c r="AC559" s="54" t="b">
        <f aca="false">AND(E559&gt;=01_因子設定!$L$5-0.000000001,E559&lt;=01_因子設定!$M$5+0.000000001,F559&gt;=01_因子設定!$L$6-0.000000001,F559&lt;=01_因子設定!$M$6+0.000000001,G559&gt;=01_因子設定!$L$7-0.000000001,G559&lt;=01_因子設定!$M$7+0.000000001,H559&gt;=01_因子設定!$L$8-0.000000001,H559&lt;=01_因子設定!$M$8+0.000000001,IF(01_因子設定!$B$20="Box-Behnken",E559^2+F559^2+G559^2+H559^2&lt;=2+0.000000001,TRUE()))</f>
        <v>1</v>
      </c>
      <c r="AD559" s="55" t="n">
        <f aca="false">IF(AC559,IF(01_因子設定!$B$13="最大化",AA559-01_因子設定!$B$14,IF(01_因子設定!$B$13="最小化",01_因子設定!$B$15-AB559,MIN(AA559-01_因子設定!$B$14,01_因子設定!$B$15-AB559))),-1E+030)</f>
        <v>-3.88363127651594</v>
      </c>
      <c r="AE559" s="55" t="n">
        <f aca="false">IF(AC559,IF(01_因子設定!$B$13="最大化",X559,IF(01_因子設定!$B$13="最小化",-X559,-ABS(X559-01_因子設定!$B$16))),-1E+030)</f>
        <v>44.1908762792398</v>
      </c>
      <c r="AF559" s="55" t="n">
        <f aca="false">AD559+ROW()*0.000000001</f>
        <v>-3.88363071751594</v>
      </c>
      <c r="AG559" s="55" t="n">
        <f aca="false">AE559+ROW()*0.000000001</f>
        <v>44.1908768382398</v>
      </c>
    </row>
    <row r="560" customFormat="false" ht="15" hidden="false" customHeight="false" outlineLevel="0" collapsed="false">
      <c r="A560" s="0" t="n">
        <v>0</v>
      </c>
      <c r="B560" s="0" t="n">
        <v>6</v>
      </c>
      <c r="C560" s="0" t="n">
        <v>7</v>
      </c>
      <c r="D560" s="0" t="n">
        <v>6</v>
      </c>
      <c r="E560" s="0" t="n">
        <f aca="false">-1+A560*0.25</f>
        <v>-1</v>
      </c>
      <c r="F560" s="0" t="n">
        <f aca="false">-1+B560*0.25</f>
        <v>0.5</v>
      </c>
      <c r="G560" s="0" t="n">
        <f aca="false">-1+C560*0.25</f>
        <v>0.75</v>
      </c>
      <c r="H560" s="0" t="n">
        <f aca="false">-1+D560*0.25</f>
        <v>0.5</v>
      </c>
      <c r="I560" s="0" t="n">
        <f aca="false">1</f>
        <v>1</v>
      </c>
      <c r="J560" s="0" t="n">
        <f aca="false">E560</f>
        <v>-1</v>
      </c>
      <c r="K560" s="0" t="n">
        <f aca="false">F560</f>
        <v>0.5</v>
      </c>
      <c r="L560" s="0" t="n">
        <f aca="false">G560</f>
        <v>0.75</v>
      </c>
      <c r="M560" s="0" t="n">
        <f aca="false">H560</f>
        <v>0.5</v>
      </c>
      <c r="N560" s="0" t="n">
        <f aca="false">E560*F560</f>
        <v>-0.5</v>
      </c>
      <c r="O560" s="0" t="n">
        <f aca="false">E560*G560</f>
        <v>-0.75</v>
      </c>
      <c r="P560" s="0" t="n">
        <f aca="false">E560*H560</f>
        <v>-0.5</v>
      </c>
      <c r="Q560" s="0" t="n">
        <f aca="false">F560*G560</f>
        <v>0.375</v>
      </c>
      <c r="R560" s="0" t="n">
        <f aca="false">F560*H560</f>
        <v>0.25</v>
      </c>
      <c r="S560" s="0" t="n">
        <f aca="false">G560*H560</f>
        <v>0.375</v>
      </c>
      <c r="T560" s="0" t="n">
        <f aca="false">E560*E560</f>
        <v>1</v>
      </c>
      <c r="U560" s="0" t="n">
        <f aca="false">F560*F560</f>
        <v>0.25</v>
      </c>
      <c r="V560" s="0" t="n">
        <f aca="false">G560*G560</f>
        <v>0.5625</v>
      </c>
      <c r="W560" s="0" t="n">
        <f aca="false">H560*H560</f>
        <v>0.25</v>
      </c>
      <c r="X560" s="0" t="n">
        <f aca="false">SUMPRODUCT(I560:W560,_XtX!$B$96:$P$96)</f>
        <v>44.2166483918129</v>
      </c>
      <c r="Y560" s="0" t="n">
        <f aca="false">SUMPRODUCT(MMULT(I560:W560,_XtX!$B$78:$P$92),I560:W560)</f>
        <v>0.42602110745614</v>
      </c>
      <c r="Z560" s="0" t="n">
        <f aca="false">04_回帰ANOVA!$K$19*04_回帰ANOVA!$K$14*SQRT(1+Y560)</f>
        <v>1.55654388501114</v>
      </c>
      <c r="AA560" s="0" t="n">
        <f aca="false">X560-Z560</f>
        <v>42.6601045068018</v>
      </c>
      <c r="AB560" s="0" t="n">
        <f aca="false">X560+Z560</f>
        <v>45.773192276824</v>
      </c>
      <c r="AC560" s="54" t="b">
        <f aca="false">AND(E560&gt;=01_因子設定!$L$5-0.000000001,E560&lt;=01_因子設定!$M$5+0.000000001,F560&gt;=01_因子設定!$L$6-0.000000001,F560&lt;=01_因子設定!$M$6+0.000000001,G560&gt;=01_因子設定!$L$7-0.000000001,G560&lt;=01_因子設定!$M$7+0.000000001,H560&gt;=01_因子設定!$L$8-0.000000001,H560&lt;=01_因子設定!$M$8+0.000000001,IF(01_因子設定!$B$20="Box-Behnken",E560^2+F560^2+G560^2+H560^2&lt;=2+0.000000001,TRUE()))</f>
        <v>1</v>
      </c>
      <c r="AD560" s="55" t="n">
        <f aca="false">IF(AC560,IF(01_因子設定!$B$13="最大化",AA560-01_因子設定!$B$14,IF(01_因子設定!$B$13="最小化",01_因子設定!$B$15-AB560,MIN(AA560-01_因子設定!$B$14,01_因子設定!$B$15-AB560))),-1E+030)</f>
        <v>-3.83989549319823</v>
      </c>
      <c r="AE560" s="55" t="n">
        <f aca="false">IF(AC560,IF(01_因子設定!$B$13="最大化",X560,IF(01_因子設定!$B$13="最小化",-X560,-ABS(X560-01_因子設定!$B$16))),-1E+030)</f>
        <v>44.2166483918129</v>
      </c>
      <c r="AF560" s="55" t="n">
        <f aca="false">AD560+ROW()*0.000000001</f>
        <v>-3.83989493319823</v>
      </c>
      <c r="AG560" s="55" t="n">
        <f aca="false">AE560+ROW()*0.000000001</f>
        <v>44.2166489518129</v>
      </c>
    </row>
    <row r="561" customFormat="false" ht="15" hidden="false" customHeight="false" outlineLevel="0" collapsed="false">
      <c r="A561" s="0" t="n">
        <v>0</v>
      </c>
      <c r="B561" s="0" t="n">
        <v>6</v>
      </c>
      <c r="C561" s="0" t="n">
        <v>7</v>
      </c>
      <c r="D561" s="0" t="n">
        <v>7</v>
      </c>
      <c r="E561" s="0" t="n">
        <f aca="false">-1+A561*0.25</f>
        <v>-1</v>
      </c>
      <c r="F561" s="0" t="n">
        <f aca="false">-1+B561*0.25</f>
        <v>0.5</v>
      </c>
      <c r="G561" s="0" t="n">
        <f aca="false">-1+C561*0.25</f>
        <v>0.75</v>
      </c>
      <c r="H561" s="0" t="n">
        <f aca="false">-1+D561*0.25</f>
        <v>0.75</v>
      </c>
      <c r="I561" s="0" t="n">
        <f aca="false">1</f>
        <v>1</v>
      </c>
      <c r="J561" s="0" t="n">
        <f aca="false">E561</f>
        <v>-1</v>
      </c>
      <c r="K561" s="0" t="n">
        <f aca="false">F561</f>
        <v>0.5</v>
      </c>
      <c r="L561" s="0" t="n">
        <f aca="false">G561</f>
        <v>0.75</v>
      </c>
      <c r="M561" s="0" t="n">
        <f aca="false">H561</f>
        <v>0.75</v>
      </c>
      <c r="N561" s="0" t="n">
        <f aca="false">E561*F561</f>
        <v>-0.5</v>
      </c>
      <c r="O561" s="0" t="n">
        <f aca="false">E561*G561</f>
        <v>-0.75</v>
      </c>
      <c r="P561" s="0" t="n">
        <f aca="false">E561*H561</f>
        <v>-0.75</v>
      </c>
      <c r="Q561" s="0" t="n">
        <f aca="false">F561*G561</f>
        <v>0.375</v>
      </c>
      <c r="R561" s="0" t="n">
        <f aca="false">F561*H561</f>
        <v>0.375</v>
      </c>
      <c r="S561" s="0" t="n">
        <f aca="false">G561*H561</f>
        <v>0.5625</v>
      </c>
      <c r="T561" s="0" t="n">
        <f aca="false">E561*E561</f>
        <v>1</v>
      </c>
      <c r="U561" s="0" t="n">
        <f aca="false">F561*F561</f>
        <v>0.25</v>
      </c>
      <c r="V561" s="0" t="n">
        <f aca="false">G561*G561</f>
        <v>0.5625</v>
      </c>
      <c r="W561" s="0" t="n">
        <f aca="false">H561*H561</f>
        <v>0.5625</v>
      </c>
      <c r="X561" s="0" t="n">
        <f aca="false">SUMPRODUCT(I561:W561,_XtX!$B$96:$P$96)</f>
        <v>44.1946134868422</v>
      </c>
      <c r="Y561" s="0" t="n">
        <f aca="false">SUMPRODUCT(MMULT(I561:W561,_XtX!$B$78:$P$92),I561:W561)</f>
        <v>0.431153771472953</v>
      </c>
      <c r="Z561" s="0" t="n">
        <f aca="false">04_回帰ANOVA!$K$19*04_回帰ANOVA!$K$14*SQRT(1+Y561)</f>
        <v>1.55934259562563</v>
      </c>
      <c r="AA561" s="0" t="n">
        <f aca="false">X561-Z561</f>
        <v>42.6352708912165</v>
      </c>
      <c r="AB561" s="0" t="n">
        <f aca="false">X561+Z561</f>
        <v>45.7539560824678</v>
      </c>
      <c r="AC561" s="54" t="b">
        <f aca="false">AND(E561&gt;=01_因子設定!$L$5-0.000000001,E561&lt;=01_因子設定!$M$5+0.000000001,F561&gt;=01_因子設定!$L$6-0.000000001,F561&lt;=01_因子設定!$M$6+0.000000001,G561&gt;=01_因子設定!$L$7-0.000000001,G561&lt;=01_因子設定!$M$7+0.000000001,H561&gt;=01_因子設定!$L$8-0.000000001,H561&lt;=01_因子設定!$M$8+0.000000001,IF(01_因子設定!$B$20="Box-Behnken",E561^2+F561^2+G561^2+H561^2&lt;=2+0.000000001,TRUE()))</f>
        <v>1</v>
      </c>
      <c r="AD561" s="55" t="n">
        <f aca="false">IF(AC561,IF(01_因子設定!$B$13="最大化",AA561-01_因子設定!$B$14,IF(01_因子設定!$B$13="最小化",01_因子設定!$B$15-AB561,MIN(AA561-01_因子設定!$B$14,01_因子設定!$B$15-AB561))),-1E+030)</f>
        <v>-3.86472910878348</v>
      </c>
      <c r="AE561" s="55" t="n">
        <f aca="false">IF(AC561,IF(01_因子設定!$B$13="最大化",X561,IF(01_因子設定!$B$13="最小化",-X561,-ABS(X561-01_因子設定!$B$16))),-1E+030)</f>
        <v>44.1946134868422</v>
      </c>
      <c r="AF561" s="55" t="n">
        <f aca="false">AD561+ROW()*0.000000001</f>
        <v>-3.86472854778348</v>
      </c>
      <c r="AG561" s="55" t="n">
        <f aca="false">AE561+ROW()*0.000000001</f>
        <v>44.1946140478422</v>
      </c>
    </row>
    <row r="562" customFormat="false" ht="15" hidden="false" customHeight="false" outlineLevel="0" collapsed="false">
      <c r="A562" s="0" t="n">
        <v>0</v>
      </c>
      <c r="B562" s="0" t="n">
        <v>6</v>
      </c>
      <c r="C562" s="0" t="n">
        <v>7</v>
      </c>
      <c r="D562" s="0" t="n">
        <v>8</v>
      </c>
      <c r="E562" s="0" t="n">
        <f aca="false">-1+A562*0.25</f>
        <v>-1</v>
      </c>
      <c r="F562" s="0" t="n">
        <f aca="false">-1+B562*0.25</f>
        <v>0.5</v>
      </c>
      <c r="G562" s="0" t="n">
        <f aca="false">-1+C562*0.25</f>
        <v>0.75</v>
      </c>
      <c r="H562" s="0" t="n">
        <f aca="false">-1+D562*0.25</f>
        <v>1</v>
      </c>
      <c r="I562" s="0" t="n">
        <f aca="false">1</f>
        <v>1</v>
      </c>
      <c r="J562" s="0" t="n">
        <f aca="false">E562</f>
        <v>-1</v>
      </c>
      <c r="K562" s="0" t="n">
        <f aca="false">F562</f>
        <v>0.5</v>
      </c>
      <c r="L562" s="0" t="n">
        <f aca="false">G562</f>
        <v>0.75</v>
      </c>
      <c r="M562" s="0" t="n">
        <f aca="false">H562</f>
        <v>1</v>
      </c>
      <c r="N562" s="0" t="n">
        <f aca="false">E562*F562</f>
        <v>-0.5</v>
      </c>
      <c r="O562" s="0" t="n">
        <f aca="false">E562*G562</f>
        <v>-0.75</v>
      </c>
      <c r="P562" s="0" t="n">
        <f aca="false">E562*H562</f>
        <v>-1</v>
      </c>
      <c r="Q562" s="0" t="n">
        <f aca="false">F562*G562</f>
        <v>0.375</v>
      </c>
      <c r="R562" s="0" t="n">
        <f aca="false">F562*H562</f>
        <v>0.5</v>
      </c>
      <c r="S562" s="0" t="n">
        <f aca="false">G562*H562</f>
        <v>0.75</v>
      </c>
      <c r="T562" s="0" t="n">
        <f aca="false">E562*E562</f>
        <v>1</v>
      </c>
      <c r="U562" s="0" t="n">
        <f aca="false">F562*F562</f>
        <v>0.25</v>
      </c>
      <c r="V562" s="0" t="n">
        <f aca="false">G562*G562</f>
        <v>0.5625</v>
      </c>
      <c r="W562" s="0" t="n">
        <f aca="false">H562*H562</f>
        <v>1</v>
      </c>
      <c r="X562" s="0" t="n">
        <f aca="false">SUMPRODUCT(I562:W562,_XtX!$B$96:$P$96)</f>
        <v>44.1247715643276</v>
      </c>
      <c r="Y562" s="0" t="n">
        <f aca="false">SUMPRODUCT(MMULT(I562:W562,_XtX!$B$78:$P$92),I562:W562)</f>
        <v>0.564984237938597</v>
      </c>
      <c r="Z562" s="0" t="n">
        <f aca="false">04_回帰ANOVA!$K$19*04_回帰ANOVA!$K$14*SQRT(1+Y562)</f>
        <v>1.63062229734503</v>
      </c>
      <c r="AA562" s="0" t="n">
        <f aca="false">X562-Z562</f>
        <v>42.4941492669825</v>
      </c>
      <c r="AB562" s="0" t="n">
        <f aca="false">X562+Z562</f>
        <v>45.7553938616726</v>
      </c>
      <c r="AC562" s="54" t="b">
        <f aca="false">AND(E562&gt;=01_因子設定!$L$5-0.000000001,E562&lt;=01_因子設定!$M$5+0.000000001,F562&gt;=01_因子設定!$L$6-0.000000001,F562&lt;=01_因子設定!$M$6+0.000000001,G562&gt;=01_因子設定!$L$7-0.000000001,G562&lt;=01_因子設定!$M$7+0.000000001,H562&gt;=01_因子設定!$L$8-0.000000001,H562&lt;=01_因子設定!$M$8+0.000000001,IF(01_因子設定!$B$20="Box-Behnken",E562^2+F562^2+G562^2+H562^2&lt;=2+0.000000001,TRUE()))</f>
        <v>1</v>
      </c>
      <c r="AD562" s="55" t="n">
        <f aca="false">IF(AC562,IF(01_因子設定!$B$13="最大化",AA562-01_因子設定!$B$14,IF(01_因子設定!$B$13="最小化",01_因子設定!$B$15-AB562,MIN(AA562-01_因子設定!$B$14,01_因子設定!$B$15-AB562))),-1E+030)</f>
        <v>-4.00585073301748</v>
      </c>
      <c r="AE562" s="55" t="n">
        <f aca="false">IF(AC562,IF(01_因子設定!$B$13="最大化",X562,IF(01_因子設定!$B$13="最小化",-X562,-ABS(X562-01_因子設定!$B$16))),-1E+030)</f>
        <v>44.1247715643276</v>
      </c>
      <c r="AF562" s="55" t="n">
        <f aca="false">AD562+ROW()*0.000000001</f>
        <v>-4.00585017101748</v>
      </c>
      <c r="AG562" s="55" t="n">
        <f aca="false">AE562+ROW()*0.000000001</f>
        <v>44.1247721263276</v>
      </c>
    </row>
    <row r="563" customFormat="false" ht="15" hidden="false" customHeight="false" outlineLevel="0" collapsed="false">
      <c r="A563" s="0" t="n">
        <v>0</v>
      </c>
      <c r="B563" s="0" t="n">
        <v>6</v>
      </c>
      <c r="C563" s="0" t="n">
        <v>8</v>
      </c>
      <c r="D563" s="0" t="n">
        <v>0</v>
      </c>
      <c r="E563" s="0" t="n">
        <f aca="false">-1+A563*0.25</f>
        <v>-1</v>
      </c>
      <c r="F563" s="0" t="n">
        <f aca="false">-1+B563*0.25</f>
        <v>0.5</v>
      </c>
      <c r="G563" s="0" t="n">
        <f aca="false">-1+C563*0.25</f>
        <v>1</v>
      </c>
      <c r="H563" s="0" t="n">
        <f aca="false">-1+D563*0.25</f>
        <v>-1</v>
      </c>
      <c r="I563" s="0" t="n">
        <f aca="false">1</f>
        <v>1</v>
      </c>
      <c r="J563" s="0" t="n">
        <f aca="false">E563</f>
        <v>-1</v>
      </c>
      <c r="K563" s="0" t="n">
        <f aca="false">F563</f>
        <v>0.5</v>
      </c>
      <c r="L563" s="0" t="n">
        <f aca="false">G563</f>
        <v>1</v>
      </c>
      <c r="M563" s="0" t="n">
        <f aca="false">H563</f>
        <v>-1</v>
      </c>
      <c r="N563" s="0" t="n">
        <f aca="false">E563*F563</f>
        <v>-0.5</v>
      </c>
      <c r="O563" s="0" t="n">
        <f aca="false">E563*G563</f>
        <v>-1</v>
      </c>
      <c r="P563" s="0" t="n">
        <f aca="false">E563*H563</f>
        <v>1</v>
      </c>
      <c r="Q563" s="0" t="n">
        <f aca="false">F563*G563</f>
        <v>0.5</v>
      </c>
      <c r="R563" s="0" t="n">
        <f aca="false">F563*H563</f>
        <v>-0.5</v>
      </c>
      <c r="S563" s="0" t="n">
        <f aca="false">G563*H563</f>
        <v>-1</v>
      </c>
      <c r="T563" s="0" t="n">
        <f aca="false">E563*E563</f>
        <v>1</v>
      </c>
      <c r="U563" s="0" t="n">
        <f aca="false">F563*F563</f>
        <v>0.25</v>
      </c>
      <c r="V563" s="0" t="n">
        <f aca="false">G563*G563</f>
        <v>1</v>
      </c>
      <c r="W563" s="0" t="n">
        <f aca="false">H563*H563</f>
        <v>1</v>
      </c>
      <c r="X563" s="0" t="n">
        <f aca="false">SUMPRODUCT(I563:W563,_XtX!$B$96:$P$96)</f>
        <v>43.4218567251463</v>
      </c>
      <c r="Y563" s="0" t="n">
        <f aca="false">SUMPRODUCT(MMULT(I563:W563,_XtX!$B$78:$P$92),I563:W563)</f>
        <v>0.667123538011696</v>
      </c>
      <c r="Z563" s="0" t="n">
        <f aca="false">04_回帰ANOVA!$K$19*04_回帰ANOVA!$K$14*SQRT(1+Y563)</f>
        <v>1.68299290213005</v>
      </c>
      <c r="AA563" s="0" t="n">
        <f aca="false">X563-Z563</f>
        <v>41.7388638230162</v>
      </c>
      <c r="AB563" s="0" t="n">
        <f aca="false">X563+Z563</f>
        <v>45.1048496272763</v>
      </c>
      <c r="AC563" s="54" t="b">
        <f aca="false">AND(E563&gt;=01_因子設定!$L$5-0.000000001,E563&lt;=01_因子設定!$M$5+0.000000001,F563&gt;=01_因子設定!$L$6-0.000000001,F563&lt;=01_因子設定!$M$6+0.000000001,G563&gt;=01_因子設定!$L$7-0.000000001,G563&lt;=01_因子設定!$M$7+0.000000001,H563&gt;=01_因子設定!$L$8-0.000000001,H563&lt;=01_因子設定!$M$8+0.000000001,IF(01_因子設定!$B$20="Box-Behnken",E563^2+F563^2+G563^2+H563^2&lt;=2+0.000000001,TRUE()))</f>
        <v>1</v>
      </c>
      <c r="AD563" s="55" t="n">
        <f aca="false">IF(AC563,IF(01_因子設定!$B$13="最大化",AA563-01_因子設定!$B$14,IF(01_因子設定!$B$13="最小化",01_因子設定!$B$15-AB563,MIN(AA563-01_因子設定!$B$14,01_因子設定!$B$15-AB563))),-1E+030)</f>
        <v>-4.76113617698378</v>
      </c>
      <c r="AE563" s="55" t="n">
        <f aca="false">IF(AC563,IF(01_因子設定!$B$13="最大化",X563,IF(01_因子設定!$B$13="最小化",-X563,-ABS(X563-01_因子設定!$B$16))),-1E+030)</f>
        <v>43.4218567251463</v>
      </c>
      <c r="AF563" s="55" t="n">
        <f aca="false">AD563+ROW()*0.000000001</f>
        <v>-4.76113561398378</v>
      </c>
      <c r="AG563" s="55" t="n">
        <f aca="false">AE563+ROW()*0.000000001</f>
        <v>43.4218572881463</v>
      </c>
    </row>
    <row r="564" customFormat="false" ht="15" hidden="false" customHeight="false" outlineLevel="0" collapsed="false">
      <c r="A564" s="0" t="n">
        <v>0</v>
      </c>
      <c r="B564" s="0" t="n">
        <v>6</v>
      </c>
      <c r="C564" s="0" t="n">
        <v>8</v>
      </c>
      <c r="D564" s="0" t="n">
        <v>1</v>
      </c>
      <c r="E564" s="0" t="n">
        <f aca="false">-1+A564*0.25</f>
        <v>-1</v>
      </c>
      <c r="F564" s="0" t="n">
        <f aca="false">-1+B564*0.25</f>
        <v>0.5</v>
      </c>
      <c r="G564" s="0" t="n">
        <f aca="false">-1+C564*0.25</f>
        <v>1</v>
      </c>
      <c r="H564" s="0" t="n">
        <f aca="false">-1+D564*0.25</f>
        <v>-0.75</v>
      </c>
      <c r="I564" s="0" t="n">
        <f aca="false">1</f>
        <v>1</v>
      </c>
      <c r="J564" s="0" t="n">
        <f aca="false">E564</f>
        <v>-1</v>
      </c>
      <c r="K564" s="0" t="n">
        <f aca="false">F564</f>
        <v>0.5</v>
      </c>
      <c r="L564" s="0" t="n">
        <f aca="false">G564</f>
        <v>1</v>
      </c>
      <c r="M564" s="0" t="n">
        <f aca="false">H564</f>
        <v>-0.75</v>
      </c>
      <c r="N564" s="0" t="n">
        <f aca="false">E564*F564</f>
        <v>-0.5</v>
      </c>
      <c r="O564" s="0" t="n">
        <f aca="false">E564*G564</f>
        <v>-1</v>
      </c>
      <c r="P564" s="0" t="n">
        <f aca="false">E564*H564</f>
        <v>0.75</v>
      </c>
      <c r="Q564" s="0" t="n">
        <f aca="false">F564*G564</f>
        <v>0.5</v>
      </c>
      <c r="R564" s="0" t="n">
        <f aca="false">F564*H564</f>
        <v>-0.375</v>
      </c>
      <c r="S564" s="0" t="n">
        <f aca="false">G564*H564</f>
        <v>-0.75</v>
      </c>
      <c r="T564" s="0" t="n">
        <f aca="false">E564*E564</f>
        <v>1</v>
      </c>
      <c r="U564" s="0" t="n">
        <f aca="false">F564*F564</f>
        <v>0.25</v>
      </c>
      <c r="V564" s="0" t="n">
        <f aca="false">G564*G564</f>
        <v>1</v>
      </c>
      <c r="W564" s="0" t="n">
        <f aca="false">H564*H564</f>
        <v>0.5625</v>
      </c>
      <c r="X564" s="0" t="n">
        <f aca="false">SUMPRODUCT(I564:W564,_XtX!$B$96:$P$96)</f>
        <v>43.7046326754387</v>
      </c>
      <c r="Y564" s="0" t="n">
        <f aca="false">SUMPRODUCT(MMULT(I564:W564,_XtX!$B$78:$P$92),I564:W564)</f>
        <v>0.564984237938597</v>
      </c>
      <c r="Z564" s="0" t="n">
        <f aca="false">04_回帰ANOVA!$K$19*04_回帰ANOVA!$K$14*SQRT(1+Y564)</f>
        <v>1.63062229734503</v>
      </c>
      <c r="AA564" s="0" t="n">
        <f aca="false">X564-Z564</f>
        <v>42.0740103780936</v>
      </c>
      <c r="AB564" s="0" t="n">
        <f aca="false">X564+Z564</f>
        <v>45.3352549727837</v>
      </c>
      <c r="AC564" s="54" t="b">
        <f aca="false">AND(E564&gt;=01_因子設定!$L$5-0.000000001,E564&lt;=01_因子設定!$M$5+0.000000001,F564&gt;=01_因子設定!$L$6-0.000000001,F564&lt;=01_因子設定!$M$6+0.000000001,G564&gt;=01_因子設定!$L$7-0.000000001,G564&lt;=01_因子設定!$M$7+0.000000001,H564&gt;=01_因子設定!$L$8-0.000000001,H564&lt;=01_因子設定!$M$8+0.000000001,IF(01_因子設定!$B$20="Box-Behnken",E564^2+F564^2+G564^2+H564^2&lt;=2+0.000000001,TRUE()))</f>
        <v>1</v>
      </c>
      <c r="AD564" s="55" t="n">
        <f aca="false">IF(AC564,IF(01_因子設定!$B$13="最大化",AA564-01_因子設定!$B$14,IF(01_因子設定!$B$13="最小化",01_因子設定!$B$15-AB564,MIN(AA564-01_因子設定!$B$14,01_因子設定!$B$15-AB564))),-1E+030)</f>
        <v>-4.42598962190638</v>
      </c>
      <c r="AE564" s="55" t="n">
        <f aca="false">IF(AC564,IF(01_因子設定!$B$13="最大化",X564,IF(01_因子設定!$B$13="最小化",-X564,-ABS(X564-01_因子設定!$B$16))),-1E+030)</f>
        <v>43.7046326754387</v>
      </c>
      <c r="AF564" s="55" t="n">
        <f aca="false">AD564+ROW()*0.000000001</f>
        <v>-4.42598905790638</v>
      </c>
      <c r="AG564" s="55" t="n">
        <f aca="false">AE564+ROW()*0.000000001</f>
        <v>43.7046332394387</v>
      </c>
    </row>
    <row r="565" customFormat="false" ht="15" hidden="false" customHeight="false" outlineLevel="0" collapsed="false">
      <c r="A565" s="0" t="n">
        <v>0</v>
      </c>
      <c r="B565" s="0" t="n">
        <v>6</v>
      </c>
      <c r="C565" s="0" t="n">
        <v>8</v>
      </c>
      <c r="D565" s="0" t="n">
        <v>2</v>
      </c>
      <c r="E565" s="0" t="n">
        <f aca="false">-1+A565*0.25</f>
        <v>-1</v>
      </c>
      <c r="F565" s="0" t="n">
        <f aca="false">-1+B565*0.25</f>
        <v>0.5</v>
      </c>
      <c r="G565" s="0" t="n">
        <f aca="false">-1+C565*0.25</f>
        <v>1</v>
      </c>
      <c r="H565" s="0" t="n">
        <f aca="false">-1+D565*0.25</f>
        <v>-0.5</v>
      </c>
      <c r="I565" s="0" t="n">
        <f aca="false">1</f>
        <v>1</v>
      </c>
      <c r="J565" s="0" t="n">
        <f aca="false">E565</f>
        <v>-1</v>
      </c>
      <c r="K565" s="0" t="n">
        <f aca="false">F565</f>
        <v>0.5</v>
      </c>
      <c r="L565" s="0" t="n">
        <f aca="false">G565</f>
        <v>1</v>
      </c>
      <c r="M565" s="0" t="n">
        <f aca="false">H565</f>
        <v>-0.5</v>
      </c>
      <c r="N565" s="0" t="n">
        <f aca="false">E565*F565</f>
        <v>-0.5</v>
      </c>
      <c r="O565" s="0" t="n">
        <f aca="false">E565*G565</f>
        <v>-1</v>
      </c>
      <c r="P565" s="0" t="n">
        <f aca="false">E565*H565</f>
        <v>0.5</v>
      </c>
      <c r="Q565" s="0" t="n">
        <f aca="false">F565*G565</f>
        <v>0.5</v>
      </c>
      <c r="R565" s="0" t="n">
        <f aca="false">F565*H565</f>
        <v>-0.25</v>
      </c>
      <c r="S565" s="0" t="n">
        <f aca="false">G565*H565</f>
        <v>-0.5</v>
      </c>
      <c r="T565" s="0" t="n">
        <f aca="false">E565*E565</f>
        <v>1</v>
      </c>
      <c r="U565" s="0" t="n">
        <f aca="false">F565*F565</f>
        <v>0.25</v>
      </c>
      <c r="V565" s="0" t="n">
        <f aca="false">G565*G565</f>
        <v>1</v>
      </c>
      <c r="W565" s="0" t="n">
        <f aca="false">H565*H565</f>
        <v>0.25</v>
      </c>
      <c r="X565" s="0" t="n">
        <f aca="false">SUMPRODUCT(I565:W565,_XtX!$B$96:$P$96)</f>
        <v>43.9396016081872</v>
      </c>
      <c r="Y565" s="0" t="n">
        <f aca="false">SUMPRODUCT(MMULT(I565:W565,_XtX!$B$78:$P$92),I565:W565)</f>
        <v>0.582488121345029</v>
      </c>
      <c r="Z565" s="0" t="n">
        <f aca="false">04_回帰ANOVA!$K$19*04_回帰ANOVA!$K$14*SQRT(1+Y565)</f>
        <v>1.63971595338287</v>
      </c>
      <c r="AA565" s="0" t="n">
        <f aca="false">X565-Z565</f>
        <v>42.2998856548043</v>
      </c>
      <c r="AB565" s="0" t="n">
        <f aca="false">X565+Z565</f>
        <v>45.57931756157</v>
      </c>
      <c r="AC565" s="54" t="b">
        <f aca="false">AND(E565&gt;=01_因子設定!$L$5-0.000000001,E565&lt;=01_因子設定!$M$5+0.000000001,F565&gt;=01_因子設定!$L$6-0.000000001,F565&lt;=01_因子設定!$M$6+0.000000001,G565&gt;=01_因子設定!$L$7-0.000000001,G565&lt;=01_因子設定!$M$7+0.000000001,H565&gt;=01_因子設定!$L$8-0.000000001,H565&lt;=01_因子設定!$M$8+0.000000001,IF(01_因子設定!$B$20="Box-Behnken",E565^2+F565^2+G565^2+H565^2&lt;=2+0.000000001,TRUE()))</f>
        <v>1</v>
      </c>
      <c r="AD565" s="55" t="n">
        <f aca="false">IF(AC565,IF(01_因子設定!$B$13="最大化",AA565-01_因子設定!$B$14,IF(01_因子設定!$B$13="最小化",01_因子設定!$B$15-AB565,MIN(AA565-01_因子設定!$B$14,01_因子設定!$B$15-AB565))),-1E+030)</f>
        <v>-4.20011434519569</v>
      </c>
      <c r="AE565" s="55" t="n">
        <f aca="false">IF(AC565,IF(01_因子設定!$B$13="最大化",X565,IF(01_因子設定!$B$13="最小化",-X565,-ABS(X565-01_因子設定!$B$16))),-1E+030)</f>
        <v>43.9396016081872</v>
      </c>
      <c r="AF565" s="55" t="n">
        <f aca="false">AD565+ROW()*0.000000001</f>
        <v>-4.20011378019569</v>
      </c>
      <c r="AG565" s="55" t="n">
        <f aca="false">AE565+ROW()*0.000000001</f>
        <v>43.9396021731872</v>
      </c>
    </row>
    <row r="566" customFormat="false" ht="15" hidden="false" customHeight="false" outlineLevel="0" collapsed="false">
      <c r="A566" s="0" t="n">
        <v>0</v>
      </c>
      <c r="B566" s="0" t="n">
        <v>6</v>
      </c>
      <c r="C566" s="0" t="n">
        <v>8</v>
      </c>
      <c r="D566" s="0" t="n">
        <v>3</v>
      </c>
      <c r="E566" s="0" t="n">
        <f aca="false">-1+A566*0.25</f>
        <v>-1</v>
      </c>
      <c r="F566" s="0" t="n">
        <f aca="false">-1+B566*0.25</f>
        <v>0.5</v>
      </c>
      <c r="G566" s="0" t="n">
        <f aca="false">-1+C566*0.25</f>
        <v>1</v>
      </c>
      <c r="H566" s="0" t="n">
        <f aca="false">-1+D566*0.25</f>
        <v>-0.25</v>
      </c>
      <c r="I566" s="0" t="n">
        <f aca="false">1</f>
        <v>1</v>
      </c>
      <c r="J566" s="0" t="n">
        <f aca="false">E566</f>
        <v>-1</v>
      </c>
      <c r="K566" s="0" t="n">
        <f aca="false">F566</f>
        <v>0.5</v>
      </c>
      <c r="L566" s="0" t="n">
        <f aca="false">G566</f>
        <v>1</v>
      </c>
      <c r="M566" s="0" t="n">
        <f aca="false">H566</f>
        <v>-0.25</v>
      </c>
      <c r="N566" s="0" t="n">
        <f aca="false">E566*F566</f>
        <v>-0.5</v>
      </c>
      <c r="O566" s="0" t="n">
        <f aca="false">E566*G566</f>
        <v>-1</v>
      </c>
      <c r="P566" s="0" t="n">
        <f aca="false">E566*H566</f>
        <v>0.25</v>
      </c>
      <c r="Q566" s="0" t="n">
        <f aca="false">F566*G566</f>
        <v>0.5</v>
      </c>
      <c r="R566" s="0" t="n">
        <f aca="false">F566*H566</f>
        <v>-0.125</v>
      </c>
      <c r="S566" s="0" t="n">
        <f aca="false">G566*H566</f>
        <v>-0.25</v>
      </c>
      <c r="T566" s="0" t="n">
        <f aca="false">E566*E566</f>
        <v>1</v>
      </c>
      <c r="U566" s="0" t="n">
        <f aca="false">F566*F566</f>
        <v>0.25</v>
      </c>
      <c r="V566" s="0" t="n">
        <f aca="false">G566*G566</f>
        <v>1</v>
      </c>
      <c r="W566" s="0" t="n">
        <f aca="false">H566*H566</f>
        <v>0.0625</v>
      </c>
      <c r="X566" s="0" t="n">
        <f aca="false">SUMPRODUCT(I566:W566,_XtX!$B$96:$P$96)</f>
        <v>44.1267635233918</v>
      </c>
      <c r="Y566" s="0" t="n">
        <f aca="false">SUMPRODUCT(MMULT(I566:W566,_XtX!$B$78:$P$92),I566:W566)</f>
        <v>0.629174661915205</v>
      </c>
      <c r="Z566" s="0" t="n">
        <f aca="false">04_回帰ANOVA!$K$19*04_回帰ANOVA!$K$14*SQRT(1+Y566)</f>
        <v>1.66372758058297</v>
      </c>
      <c r="AA566" s="0" t="n">
        <f aca="false">X566-Z566</f>
        <v>42.4630359428089</v>
      </c>
      <c r="AB566" s="0" t="n">
        <f aca="false">X566+Z566</f>
        <v>45.7904911039748</v>
      </c>
      <c r="AC566" s="54" t="b">
        <f aca="false">AND(E566&gt;=01_因子設定!$L$5-0.000000001,E566&lt;=01_因子設定!$M$5+0.000000001,F566&gt;=01_因子設定!$L$6-0.000000001,F566&lt;=01_因子設定!$M$6+0.000000001,G566&gt;=01_因子設定!$L$7-0.000000001,G566&lt;=01_因子設定!$M$7+0.000000001,H566&gt;=01_因子設定!$L$8-0.000000001,H566&lt;=01_因子設定!$M$8+0.000000001,IF(01_因子設定!$B$20="Box-Behnken",E566^2+F566^2+G566^2+H566^2&lt;=2+0.000000001,TRUE()))</f>
        <v>1</v>
      </c>
      <c r="AD566" s="55" t="n">
        <f aca="false">IF(AC566,IF(01_因子設定!$B$13="最大化",AA566-01_因子設定!$B$14,IF(01_因子設定!$B$13="最小化",01_因子設定!$B$15-AB566,MIN(AA566-01_因子設定!$B$14,01_因子設定!$B$15-AB566))),-1E+030)</f>
        <v>-4.03696405719113</v>
      </c>
      <c r="AE566" s="55" t="n">
        <f aca="false">IF(AC566,IF(01_因子設定!$B$13="最大化",X566,IF(01_因子設定!$B$13="最小化",-X566,-ABS(X566-01_因子設定!$B$16))),-1E+030)</f>
        <v>44.1267635233918</v>
      </c>
      <c r="AF566" s="55" t="n">
        <f aca="false">AD566+ROW()*0.000000001</f>
        <v>-4.03696349119113</v>
      </c>
      <c r="AG566" s="55" t="n">
        <f aca="false">AE566+ROW()*0.000000001</f>
        <v>44.1267640893918</v>
      </c>
    </row>
    <row r="567" customFormat="false" ht="15" hidden="false" customHeight="false" outlineLevel="0" collapsed="false">
      <c r="A567" s="0" t="n">
        <v>0</v>
      </c>
      <c r="B567" s="0" t="n">
        <v>6</v>
      </c>
      <c r="C567" s="0" t="n">
        <v>8</v>
      </c>
      <c r="D567" s="0" t="n">
        <v>4</v>
      </c>
      <c r="E567" s="0" t="n">
        <f aca="false">-1+A567*0.25</f>
        <v>-1</v>
      </c>
      <c r="F567" s="0" t="n">
        <f aca="false">-1+B567*0.25</f>
        <v>0.5</v>
      </c>
      <c r="G567" s="0" t="n">
        <f aca="false">-1+C567*0.25</f>
        <v>1</v>
      </c>
      <c r="H567" s="0" t="n">
        <f aca="false">-1+D567*0.25</f>
        <v>0</v>
      </c>
      <c r="I567" s="0" t="n">
        <f aca="false">1</f>
        <v>1</v>
      </c>
      <c r="J567" s="0" t="n">
        <f aca="false">E567</f>
        <v>-1</v>
      </c>
      <c r="K567" s="0" t="n">
        <f aca="false">F567</f>
        <v>0.5</v>
      </c>
      <c r="L567" s="0" t="n">
        <f aca="false">G567</f>
        <v>1</v>
      </c>
      <c r="M567" s="0" t="n">
        <f aca="false">H567</f>
        <v>0</v>
      </c>
      <c r="N567" s="0" t="n">
        <f aca="false">E567*F567</f>
        <v>-0.5</v>
      </c>
      <c r="O567" s="0" t="n">
        <f aca="false">E567*G567</f>
        <v>-1</v>
      </c>
      <c r="P567" s="0" t="n">
        <f aca="false">E567*H567</f>
        <v>-0</v>
      </c>
      <c r="Q567" s="0" t="n">
        <f aca="false">F567*G567</f>
        <v>0.5</v>
      </c>
      <c r="R567" s="0" t="n">
        <f aca="false">F567*H567</f>
        <v>0</v>
      </c>
      <c r="S567" s="0" t="n">
        <f aca="false">G567*H567</f>
        <v>0</v>
      </c>
      <c r="T567" s="0" t="n">
        <f aca="false">E567*E567</f>
        <v>1</v>
      </c>
      <c r="U567" s="0" t="n">
        <f aca="false">F567*F567</f>
        <v>0.25</v>
      </c>
      <c r="V567" s="0" t="n">
        <f aca="false">G567*G567</f>
        <v>1</v>
      </c>
      <c r="W567" s="0" t="n">
        <f aca="false">H567*H567</f>
        <v>0</v>
      </c>
      <c r="X567" s="0" t="n">
        <f aca="false">SUMPRODUCT(I567:W567,_XtX!$B$96:$P$96)</f>
        <v>44.2661184210527</v>
      </c>
      <c r="Y567" s="0" t="n">
        <f aca="false">SUMPRODUCT(MMULT(I567:W567,_XtX!$B$78:$P$92),I567:W567)</f>
        <v>0.650767543859649</v>
      </c>
      <c r="Z567" s="0" t="n">
        <f aca="false">04_回帰ANOVA!$K$19*04_回帰ANOVA!$K$14*SQRT(1+Y567)</f>
        <v>1.67471670935165</v>
      </c>
      <c r="AA567" s="0" t="n">
        <f aca="false">X567-Z567</f>
        <v>42.591401711701</v>
      </c>
      <c r="AB567" s="0" t="n">
        <f aca="false">X567+Z567</f>
        <v>45.9408351304043</v>
      </c>
      <c r="AC567" s="54" t="b">
        <f aca="false">AND(E567&gt;=01_因子設定!$L$5-0.000000001,E567&lt;=01_因子設定!$M$5+0.000000001,F567&gt;=01_因子設定!$L$6-0.000000001,F567&lt;=01_因子設定!$M$6+0.000000001,G567&gt;=01_因子設定!$L$7-0.000000001,G567&lt;=01_因子設定!$M$7+0.000000001,H567&gt;=01_因子設定!$L$8-0.000000001,H567&lt;=01_因子設定!$M$8+0.000000001,IF(01_因子設定!$B$20="Box-Behnken",E567^2+F567^2+G567^2+H567^2&lt;=2+0.000000001,TRUE()))</f>
        <v>1</v>
      </c>
      <c r="AD567" s="55" t="n">
        <f aca="false">IF(AC567,IF(01_因子設定!$B$13="最大化",AA567-01_因子設定!$B$14,IF(01_因子設定!$B$13="最小化",01_因子設定!$B$15-AB567,MIN(AA567-01_因子設定!$B$14,01_因子設定!$B$15-AB567))),-1E+030)</f>
        <v>-3.90859828829899</v>
      </c>
      <c r="AE567" s="55" t="n">
        <f aca="false">IF(AC567,IF(01_因子設定!$B$13="最大化",X567,IF(01_因子設定!$B$13="最小化",-X567,-ABS(X567-01_因子設定!$B$16))),-1E+030)</f>
        <v>44.2661184210527</v>
      </c>
      <c r="AF567" s="55" t="n">
        <f aca="false">AD567+ROW()*0.000000001</f>
        <v>-3.90859772129899</v>
      </c>
      <c r="AG567" s="55" t="n">
        <f aca="false">AE567+ROW()*0.000000001</f>
        <v>44.2661189880527</v>
      </c>
    </row>
    <row r="568" customFormat="false" ht="15" hidden="false" customHeight="false" outlineLevel="0" collapsed="false">
      <c r="A568" s="0" t="n">
        <v>0</v>
      </c>
      <c r="B568" s="0" t="n">
        <v>6</v>
      </c>
      <c r="C568" s="0" t="n">
        <v>8</v>
      </c>
      <c r="D568" s="0" t="n">
        <v>5</v>
      </c>
      <c r="E568" s="0" t="n">
        <f aca="false">-1+A568*0.25</f>
        <v>-1</v>
      </c>
      <c r="F568" s="0" t="n">
        <f aca="false">-1+B568*0.25</f>
        <v>0.5</v>
      </c>
      <c r="G568" s="0" t="n">
        <f aca="false">-1+C568*0.25</f>
        <v>1</v>
      </c>
      <c r="H568" s="0" t="n">
        <f aca="false">-1+D568*0.25</f>
        <v>0.25</v>
      </c>
      <c r="I568" s="0" t="n">
        <f aca="false">1</f>
        <v>1</v>
      </c>
      <c r="J568" s="0" t="n">
        <f aca="false">E568</f>
        <v>-1</v>
      </c>
      <c r="K568" s="0" t="n">
        <f aca="false">F568</f>
        <v>0.5</v>
      </c>
      <c r="L568" s="0" t="n">
        <f aca="false">G568</f>
        <v>1</v>
      </c>
      <c r="M568" s="0" t="n">
        <f aca="false">H568</f>
        <v>0.25</v>
      </c>
      <c r="N568" s="0" t="n">
        <f aca="false">E568*F568</f>
        <v>-0.5</v>
      </c>
      <c r="O568" s="0" t="n">
        <f aca="false">E568*G568</f>
        <v>-1</v>
      </c>
      <c r="P568" s="0" t="n">
        <f aca="false">E568*H568</f>
        <v>-0.25</v>
      </c>
      <c r="Q568" s="0" t="n">
        <f aca="false">F568*G568</f>
        <v>0.5</v>
      </c>
      <c r="R568" s="0" t="n">
        <f aca="false">F568*H568</f>
        <v>0.125</v>
      </c>
      <c r="S568" s="0" t="n">
        <f aca="false">G568*H568</f>
        <v>0.25</v>
      </c>
      <c r="T568" s="0" t="n">
        <f aca="false">E568*E568</f>
        <v>1</v>
      </c>
      <c r="U568" s="0" t="n">
        <f aca="false">F568*F568</f>
        <v>0.25</v>
      </c>
      <c r="V568" s="0" t="n">
        <f aca="false">G568*G568</f>
        <v>1</v>
      </c>
      <c r="W568" s="0" t="n">
        <f aca="false">H568*H568</f>
        <v>0.0625</v>
      </c>
      <c r="X568" s="0" t="n">
        <f aca="false">SUMPRODUCT(I568:W568,_XtX!$B$96:$P$96)</f>
        <v>44.3576663011696</v>
      </c>
      <c r="Y568" s="0" t="n">
        <f aca="false">SUMPRODUCT(MMULT(I568:W568,_XtX!$B$78:$P$92),I568:W568)</f>
        <v>0.629174661915205</v>
      </c>
      <c r="Z568" s="0" t="n">
        <f aca="false">04_回帰ANOVA!$K$19*04_回帰ANOVA!$K$14*SQRT(1+Y568)</f>
        <v>1.66372758058297</v>
      </c>
      <c r="AA568" s="0" t="n">
        <f aca="false">X568-Z568</f>
        <v>42.6939387205867</v>
      </c>
      <c r="AB568" s="0" t="n">
        <f aca="false">X568+Z568</f>
        <v>46.0213938817526</v>
      </c>
      <c r="AC568" s="54" t="b">
        <f aca="false">AND(E568&gt;=01_因子設定!$L$5-0.000000001,E568&lt;=01_因子設定!$M$5+0.000000001,F568&gt;=01_因子設定!$L$6-0.000000001,F568&lt;=01_因子設定!$M$6+0.000000001,G568&gt;=01_因子設定!$L$7-0.000000001,G568&lt;=01_因子設定!$M$7+0.000000001,H568&gt;=01_因子設定!$L$8-0.000000001,H568&lt;=01_因子設定!$M$8+0.000000001,IF(01_因子設定!$B$20="Box-Behnken",E568^2+F568^2+G568^2+H568^2&lt;=2+0.000000001,TRUE()))</f>
        <v>1</v>
      </c>
      <c r="AD568" s="55" t="n">
        <f aca="false">IF(AC568,IF(01_因子設定!$B$13="最大化",AA568-01_因子設定!$B$14,IF(01_因子設定!$B$13="最小化",01_因子設定!$B$15-AB568,MIN(AA568-01_因子設定!$B$14,01_因子設定!$B$15-AB568))),-1E+030)</f>
        <v>-3.80606127941335</v>
      </c>
      <c r="AE568" s="55" t="n">
        <f aca="false">IF(AC568,IF(01_因子設定!$B$13="最大化",X568,IF(01_因子設定!$B$13="最小化",-X568,-ABS(X568-01_因子設定!$B$16))),-1E+030)</f>
        <v>44.3576663011696</v>
      </c>
      <c r="AF568" s="55" t="n">
        <f aca="false">AD568+ROW()*0.000000001</f>
        <v>-3.80606071141335</v>
      </c>
      <c r="AG568" s="55" t="n">
        <f aca="false">AE568+ROW()*0.000000001</f>
        <v>44.3576668691696</v>
      </c>
    </row>
    <row r="569" customFormat="false" ht="15" hidden="false" customHeight="false" outlineLevel="0" collapsed="false">
      <c r="A569" s="0" t="n">
        <v>0</v>
      </c>
      <c r="B569" s="0" t="n">
        <v>6</v>
      </c>
      <c r="C569" s="0" t="n">
        <v>8</v>
      </c>
      <c r="D569" s="0" t="n">
        <v>6</v>
      </c>
      <c r="E569" s="0" t="n">
        <f aca="false">-1+A569*0.25</f>
        <v>-1</v>
      </c>
      <c r="F569" s="0" t="n">
        <f aca="false">-1+B569*0.25</f>
        <v>0.5</v>
      </c>
      <c r="G569" s="0" t="n">
        <f aca="false">-1+C569*0.25</f>
        <v>1</v>
      </c>
      <c r="H569" s="0" t="n">
        <f aca="false">-1+D569*0.25</f>
        <v>0.5</v>
      </c>
      <c r="I569" s="0" t="n">
        <f aca="false">1</f>
        <v>1</v>
      </c>
      <c r="J569" s="0" t="n">
        <f aca="false">E569</f>
        <v>-1</v>
      </c>
      <c r="K569" s="0" t="n">
        <f aca="false">F569</f>
        <v>0.5</v>
      </c>
      <c r="L569" s="0" t="n">
        <f aca="false">G569</f>
        <v>1</v>
      </c>
      <c r="M569" s="0" t="n">
        <f aca="false">H569</f>
        <v>0.5</v>
      </c>
      <c r="N569" s="0" t="n">
        <f aca="false">E569*F569</f>
        <v>-0.5</v>
      </c>
      <c r="O569" s="0" t="n">
        <f aca="false">E569*G569</f>
        <v>-1</v>
      </c>
      <c r="P569" s="0" t="n">
        <f aca="false">E569*H569</f>
        <v>-0.5</v>
      </c>
      <c r="Q569" s="0" t="n">
        <f aca="false">F569*G569</f>
        <v>0.5</v>
      </c>
      <c r="R569" s="0" t="n">
        <f aca="false">F569*H569</f>
        <v>0.25</v>
      </c>
      <c r="S569" s="0" t="n">
        <f aca="false">G569*H569</f>
        <v>0.5</v>
      </c>
      <c r="T569" s="0" t="n">
        <f aca="false">E569*E569</f>
        <v>1</v>
      </c>
      <c r="U569" s="0" t="n">
        <f aca="false">F569*F569</f>
        <v>0.25</v>
      </c>
      <c r="V569" s="0" t="n">
        <f aca="false">G569*G569</f>
        <v>1</v>
      </c>
      <c r="W569" s="0" t="n">
        <f aca="false">H569*H569</f>
        <v>0.25</v>
      </c>
      <c r="X569" s="0" t="n">
        <f aca="false">SUMPRODUCT(I569:W569,_XtX!$B$96:$P$96)</f>
        <v>44.4014071637427</v>
      </c>
      <c r="Y569" s="0" t="n">
        <f aca="false">SUMPRODUCT(MMULT(I569:W569,_XtX!$B$78:$P$92),I569:W569)</f>
        <v>0.582488121345029</v>
      </c>
      <c r="Z569" s="0" t="n">
        <f aca="false">04_回帰ANOVA!$K$19*04_回帰ANOVA!$K$14*SQRT(1+Y569)</f>
        <v>1.63971595338287</v>
      </c>
      <c r="AA569" s="0" t="n">
        <f aca="false">X569-Z569</f>
        <v>42.7616912103599</v>
      </c>
      <c r="AB569" s="0" t="n">
        <f aca="false">X569+Z569</f>
        <v>46.0411231171256</v>
      </c>
      <c r="AC569" s="54" t="b">
        <f aca="false">AND(E569&gt;=01_因子設定!$L$5-0.000000001,E569&lt;=01_因子設定!$M$5+0.000000001,F569&gt;=01_因子設定!$L$6-0.000000001,F569&lt;=01_因子設定!$M$6+0.000000001,G569&gt;=01_因子設定!$L$7-0.000000001,G569&lt;=01_因子設定!$M$7+0.000000001,H569&gt;=01_因子設定!$L$8-0.000000001,H569&lt;=01_因子設定!$M$8+0.000000001,IF(01_因子設定!$B$20="Box-Behnken",E569^2+F569^2+G569^2+H569^2&lt;=2+0.000000001,TRUE()))</f>
        <v>1</v>
      </c>
      <c r="AD569" s="55" t="n">
        <f aca="false">IF(AC569,IF(01_因子設定!$B$13="最大化",AA569-01_因子設定!$B$14,IF(01_因子設定!$B$13="最小化",01_因子設定!$B$15-AB569,MIN(AA569-01_因子設定!$B$14,01_因子設定!$B$15-AB569))),-1E+030)</f>
        <v>-3.73830878964014</v>
      </c>
      <c r="AE569" s="55" t="n">
        <f aca="false">IF(AC569,IF(01_因子設定!$B$13="最大化",X569,IF(01_因子設定!$B$13="最小化",-X569,-ABS(X569-01_因子設定!$B$16))),-1E+030)</f>
        <v>44.4014071637427</v>
      </c>
      <c r="AF569" s="55" t="n">
        <f aca="false">AD569+ROW()*0.000000001</f>
        <v>-3.73830822064014</v>
      </c>
      <c r="AG569" s="55" t="n">
        <f aca="false">AE569+ROW()*0.000000001</f>
        <v>44.4014077327427</v>
      </c>
    </row>
    <row r="570" customFormat="false" ht="15" hidden="false" customHeight="false" outlineLevel="0" collapsed="false">
      <c r="A570" s="0" t="n">
        <v>0</v>
      </c>
      <c r="B570" s="0" t="n">
        <v>6</v>
      </c>
      <c r="C570" s="0" t="n">
        <v>8</v>
      </c>
      <c r="D570" s="0" t="n">
        <v>7</v>
      </c>
      <c r="E570" s="0" t="n">
        <f aca="false">-1+A570*0.25</f>
        <v>-1</v>
      </c>
      <c r="F570" s="0" t="n">
        <f aca="false">-1+B570*0.25</f>
        <v>0.5</v>
      </c>
      <c r="G570" s="0" t="n">
        <f aca="false">-1+C570*0.25</f>
        <v>1</v>
      </c>
      <c r="H570" s="0" t="n">
        <f aca="false">-1+D570*0.25</f>
        <v>0.75</v>
      </c>
      <c r="I570" s="0" t="n">
        <f aca="false">1</f>
        <v>1</v>
      </c>
      <c r="J570" s="0" t="n">
        <f aca="false">E570</f>
        <v>-1</v>
      </c>
      <c r="K570" s="0" t="n">
        <f aca="false">F570</f>
        <v>0.5</v>
      </c>
      <c r="L570" s="0" t="n">
        <f aca="false">G570</f>
        <v>1</v>
      </c>
      <c r="M570" s="0" t="n">
        <f aca="false">H570</f>
        <v>0.75</v>
      </c>
      <c r="N570" s="0" t="n">
        <f aca="false">E570*F570</f>
        <v>-0.5</v>
      </c>
      <c r="O570" s="0" t="n">
        <f aca="false">E570*G570</f>
        <v>-1</v>
      </c>
      <c r="P570" s="0" t="n">
        <f aca="false">E570*H570</f>
        <v>-0.75</v>
      </c>
      <c r="Q570" s="0" t="n">
        <f aca="false">F570*G570</f>
        <v>0.5</v>
      </c>
      <c r="R570" s="0" t="n">
        <f aca="false">F570*H570</f>
        <v>0.375</v>
      </c>
      <c r="S570" s="0" t="n">
        <f aca="false">G570*H570</f>
        <v>0.75</v>
      </c>
      <c r="T570" s="0" t="n">
        <f aca="false">E570*E570</f>
        <v>1</v>
      </c>
      <c r="U570" s="0" t="n">
        <f aca="false">F570*F570</f>
        <v>0.25</v>
      </c>
      <c r="V570" s="0" t="n">
        <f aca="false">G570*G570</f>
        <v>1</v>
      </c>
      <c r="W570" s="0" t="n">
        <f aca="false">H570*H570</f>
        <v>0.5625</v>
      </c>
      <c r="X570" s="0" t="n">
        <f aca="false">SUMPRODUCT(I570:W570,_XtX!$B$96:$P$96)</f>
        <v>44.397341008772</v>
      </c>
      <c r="Y570" s="0" t="n">
        <f aca="false">SUMPRODUCT(MMULT(I570:W570,_XtX!$B$78:$P$92),I570:W570)</f>
        <v>0.564984237938597</v>
      </c>
      <c r="Z570" s="0" t="n">
        <f aca="false">04_回帰ANOVA!$K$19*04_回帰ANOVA!$K$14*SQRT(1+Y570)</f>
        <v>1.63062229734503</v>
      </c>
      <c r="AA570" s="0" t="n">
        <f aca="false">X570-Z570</f>
        <v>42.766718711427</v>
      </c>
      <c r="AB570" s="0" t="n">
        <f aca="false">X570+Z570</f>
        <v>46.027963306117</v>
      </c>
      <c r="AC570" s="54" t="b">
        <f aca="false">AND(E570&gt;=01_因子設定!$L$5-0.000000001,E570&lt;=01_因子設定!$M$5+0.000000001,F570&gt;=01_因子設定!$L$6-0.000000001,F570&lt;=01_因子設定!$M$6+0.000000001,G570&gt;=01_因子設定!$L$7-0.000000001,G570&lt;=01_因子設定!$M$7+0.000000001,H570&gt;=01_因子設定!$L$8-0.000000001,H570&lt;=01_因子設定!$M$8+0.000000001,IF(01_因子設定!$B$20="Box-Behnken",E570^2+F570^2+G570^2+H570^2&lt;=2+0.000000001,TRUE()))</f>
        <v>1</v>
      </c>
      <c r="AD570" s="55" t="n">
        <f aca="false">IF(AC570,IF(01_因子設定!$B$13="最大化",AA570-01_因子設定!$B$14,IF(01_因子設定!$B$13="最小化",01_因子設定!$B$15-AB570,MIN(AA570-01_因子設定!$B$14,01_因子設定!$B$15-AB570))),-1E+030)</f>
        <v>-3.73328128857305</v>
      </c>
      <c r="AE570" s="55" t="n">
        <f aca="false">IF(AC570,IF(01_因子設定!$B$13="最大化",X570,IF(01_因子設定!$B$13="最小化",-X570,-ABS(X570-01_因子設定!$B$16))),-1E+030)</f>
        <v>44.397341008772</v>
      </c>
      <c r="AF570" s="55" t="n">
        <f aca="false">AD570+ROW()*0.000000001</f>
        <v>-3.73328071857305</v>
      </c>
      <c r="AG570" s="55" t="n">
        <f aca="false">AE570+ROW()*0.000000001</f>
        <v>44.397341578772</v>
      </c>
    </row>
    <row r="571" customFormat="false" ht="15" hidden="false" customHeight="false" outlineLevel="0" collapsed="false">
      <c r="A571" s="0" t="n">
        <v>0</v>
      </c>
      <c r="B571" s="0" t="n">
        <v>6</v>
      </c>
      <c r="C571" s="0" t="n">
        <v>8</v>
      </c>
      <c r="D571" s="0" t="n">
        <v>8</v>
      </c>
      <c r="E571" s="0" t="n">
        <f aca="false">-1+A571*0.25</f>
        <v>-1</v>
      </c>
      <c r="F571" s="0" t="n">
        <f aca="false">-1+B571*0.25</f>
        <v>0.5</v>
      </c>
      <c r="G571" s="0" t="n">
        <f aca="false">-1+C571*0.25</f>
        <v>1</v>
      </c>
      <c r="H571" s="0" t="n">
        <f aca="false">-1+D571*0.25</f>
        <v>1</v>
      </c>
      <c r="I571" s="0" t="n">
        <f aca="false">1</f>
        <v>1</v>
      </c>
      <c r="J571" s="0" t="n">
        <f aca="false">E571</f>
        <v>-1</v>
      </c>
      <c r="K571" s="0" t="n">
        <f aca="false">F571</f>
        <v>0.5</v>
      </c>
      <c r="L571" s="0" t="n">
        <f aca="false">G571</f>
        <v>1</v>
      </c>
      <c r="M571" s="0" t="n">
        <f aca="false">H571</f>
        <v>1</v>
      </c>
      <c r="N571" s="0" t="n">
        <f aca="false">E571*F571</f>
        <v>-0.5</v>
      </c>
      <c r="O571" s="0" t="n">
        <f aca="false">E571*G571</f>
        <v>-1</v>
      </c>
      <c r="P571" s="0" t="n">
        <f aca="false">E571*H571</f>
        <v>-1</v>
      </c>
      <c r="Q571" s="0" t="n">
        <f aca="false">F571*G571</f>
        <v>0.5</v>
      </c>
      <c r="R571" s="0" t="n">
        <f aca="false">F571*H571</f>
        <v>0.5</v>
      </c>
      <c r="S571" s="0" t="n">
        <f aca="false">G571*H571</f>
        <v>1</v>
      </c>
      <c r="T571" s="0" t="n">
        <f aca="false">E571*E571</f>
        <v>1</v>
      </c>
      <c r="U571" s="0" t="n">
        <f aca="false">F571*F571</f>
        <v>0.25</v>
      </c>
      <c r="V571" s="0" t="n">
        <f aca="false">G571*G571</f>
        <v>1</v>
      </c>
      <c r="W571" s="0" t="n">
        <f aca="false">H571*H571</f>
        <v>1</v>
      </c>
      <c r="X571" s="0" t="n">
        <f aca="false">SUMPRODUCT(I571:W571,_XtX!$B$96:$P$96)</f>
        <v>44.3454678362574</v>
      </c>
      <c r="Y571" s="0" t="n">
        <f aca="false">SUMPRODUCT(MMULT(I571:W571,_XtX!$B$78:$P$92),I571:W571)</f>
        <v>0.667123538011696</v>
      </c>
      <c r="Z571" s="0" t="n">
        <f aca="false">04_回帰ANOVA!$K$19*04_回帰ANOVA!$K$14*SQRT(1+Y571)</f>
        <v>1.68299290213005</v>
      </c>
      <c r="AA571" s="0" t="n">
        <f aca="false">X571-Z571</f>
        <v>42.6624749341273</v>
      </c>
      <c r="AB571" s="0" t="n">
        <f aca="false">X571+Z571</f>
        <v>46.0284607383874</v>
      </c>
      <c r="AC571" s="54" t="b">
        <f aca="false">AND(E571&gt;=01_因子設定!$L$5-0.000000001,E571&lt;=01_因子設定!$M$5+0.000000001,F571&gt;=01_因子設定!$L$6-0.000000001,F571&lt;=01_因子設定!$M$6+0.000000001,G571&gt;=01_因子設定!$L$7-0.000000001,G571&lt;=01_因子設定!$M$7+0.000000001,H571&gt;=01_因子設定!$L$8-0.000000001,H571&lt;=01_因子設定!$M$8+0.000000001,IF(01_因子設定!$B$20="Box-Behnken",E571^2+F571^2+G571^2+H571^2&lt;=2+0.000000001,TRUE()))</f>
        <v>1</v>
      </c>
      <c r="AD571" s="55" t="n">
        <f aca="false">IF(AC571,IF(01_因子設定!$B$13="最大化",AA571-01_因子設定!$B$14,IF(01_因子設定!$B$13="最小化",01_因子設定!$B$15-AB571,MIN(AA571-01_因子設定!$B$14,01_因子設定!$B$15-AB571))),-1E+030)</f>
        <v>-3.83752506587268</v>
      </c>
      <c r="AE571" s="55" t="n">
        <f aca="false">IF(AC571,IF(01_因子設定!$B$13="最大化",X571,IF(01_因子設定!$B$13="最小化",-X571,-ABS(X571-01_因子設定!$B$16))),-1E+030)</f>
        <v>44.3454678362574</v>
      </c>
      <c r="AF571" s="55" t="n">
        <f aca="false">AD571+ROW()*0.000000001</f>
        <v>-3.83752449487268</v>
      </c>
      <c r="AG571" s="55" t="n">
        <f aca="false">AE571+ROW()*0.000000001</f>
        <v>44.3454684072574</v>
      </c>
    </row>
    <row r="572" customFormat="false" ht="15" hidden="false" customHeight="false" outlineLevel="0" collapsed="false">
      <c r="A572" s="0" t="n">
        <v>0</v>
      </c>
      <c r="B572" s="0" t="n">
        <v>7</v>
      </c>
      <c r="C572" s="0" t="n">
        <v>0</v>
      </c>
      <c r="D572" s="0" t="n">
        <v>0</v>
      </c>
      <c r="E572" s="0" t="n">
        <f aca="false">-1+A572*0.25</f>
        <v>-1</v>
      </c>
      <c r="F572" s="0" t="n">
        <f aca="false">-1+B572*0.25</f>
        <v>0.75</v>
      </c>
      <c r="G572" s="0" t="n">
        <f aca="false">-1+C572*0.25</f>
        <v>-1</v>
      </c>
      <c r="H572" s="0" t="n">
        <f aca="false">-1+D572*0.25</f>
        <v>-1</v>
      </c>
      <c r="I572" s="0" t="n">
        <f aca="false">1</f>
        <v>1</v>
      </c>
      <c r="J572" s="0" t="n">
        <f aca="false">E572</f>
        <v>-1</v>
      </c>
      <c r="K572" s="0" t="n">
        <f aca="false">F572</f>
        <v>0.75</v>
      </c>
      <c r="L572" s="0" t="n">
        <f aca="false">G572</f>
        <v>-1</v>
      </c>
      <c r="M572" s="0" t="n">
        <f aca="false">H572</f>
        <v>-1</v>
      </c>
      <c r="N572" s="0" t="n">
        <f aca="false">E572*F572</f>
        <v>-0.75</v>
      </c>
      <c r="O572" s="0" t="n">
        <f aca="false">E572*G572</f>
        <v>1</v>
      </c>
      <c r="P572" s="0" t="n">
        <f aca="false">E572*H572</f>
        <v>1</v>
      </c>
      <c r="Q572" s="0" t="n">
        <f aca="false">F572*G572</f>
        <v>-0.75</v>
      </c>
      <c r="R572" s="0" t="n">
        <f aca="false">F572*H572</f>
        <v>-0.75</v>
      </c>
      <c r="S572" s="0" t="n">
        <f aca="false">G572*H572</f>
        <v>1</v>
      </c>
      <c r="T572" s="0" t="n">
        <f aca="false">E572*E572</f>
        <v>1</v>
      </c>
      <c r="U572" s="0" t="n">
        <f aca="false">F572*F572</f>
        <v>0.5625</v>
      </c>
      <c r="V572" s="0" t="n">
        <f aca="false">G572*G572</f>
        <v>1</v>
      </c>
      <c r="W572" s="0" t="n">
        <f aca="false">H572*H572</f>
        <v>1</v>
      </c>
      <c r="X572" s="0" t="n">
        <f aca="false">SUMPRODUCT(I572:W572,_XtX!$B$96:$P$96)</f>
        <v>39.8280336257311</v>
      </c>
      <c r="Y572" s="0" t="n">
        <f aca="false">SUMPRODUCT(MMULT(I572:W572,_XtX!$B$78:$P$92),I572:W572)</f>
        <v>0.610814144736842</v>
      </c>
      <c r="Z572" s="0" t="n">
        <f aca="false">04_回帰ANOVA!$K$19*04_回帰ANOVA!$K$14*SQRT(1+Y572)</f>
        <v>1.6543260558361</v>
      </c>
      <c r="AA572" s="0" t="n">
        <f aca="false">X572-Z572</f>
        <v>38.173707569895</v>
      </c>
      <c r="AB572" s="0" t="n">
        <f aca="false">X572+Z572</f>
        <v>41.4823596815672</v>
      </c>
      <c r="AC572" s="54" t="b">
        <f aca="false">AND(E572&gt;=01_因子設定!$L$5-0.000000001,E572&lt;=01_因子設定!$M$5+0.000000001,F572&gt;=01_因子設定!$L$6-0.000000001,F572&lt;=01_因子設定!$M$6+0.000000001,G572&gt;=01_因子設定!$L$7-0.000000001,G572&lt;=01_因子設定!$M$7+0.000000001,H572&gt;=01_因子設定!$L$8-0.000000001,H572&lt;=01_因子設定!$M$8+0.000000001,IF(01_因子設定!$B$20="Box-Behnken",E572^2+F572^2+G572^2+H572^2&lt;=2+0.000000001,TRUE()))</f>
        <v>1</v>
      </c>
      <c r="AD572" s="55" t="n">
        <f aca="false">IF(AC572,IF(01_因子設定!$B$13="最大化",AA572-01_因子設定!$B$14,IF(01_因子設定!$B$13="最小化",01_因子設定!$B$15-AB572,MIN(AA572-01_因子設定!$B$14,01_因子設定!$B$15-AB572))),-1E+030)</f>
        <v>-8.32629243010504</v>
      </c>
      <c r="AE572" s="55" t="n">
        <f aca="false">IF(AC572,IF(01_因子設定!$B$13="最大化",X572,IF(01_因子設定!$B$13="最小化",-X572,-ABS(X572-01_因子設定!$B$16))),-1E+030)</f>
        <v>39.8280336257311</v>
      </c>
      <c r="AF572" s="55" t="n">
        <f aca="false">AD572+ROW()*0.000000001</f>
        <v>-8.32629185810504</v>
      </c>
      <c r="AG572" s="55" t="n">
        <f aca="false">AE572+ROW()*0.000000001</f>
        <v>39.8280341977311</v>
      </c>
    </row>
    <row r="573" customFormat="false" ht="15" hidden="false" customHeight="false" outlineLevel="0" collapsed="false">
      <c r="A573" s="0" t="n">
        <v>0</v>
      </c>
      <c r="B573" s="0" t="n">
        <v>7</v>
      </c>
      <c r="C573" s="0" t="n">
        <v>0</v>
      </c>
      <c r="D573" s="0" t="n">
        <v>1</v>
      </c>
      <c r="E573" s="0" t="n">
        <f aca="false">-1+A573*0.25</f>
        <v>-1</v>
      </c>
      <c r="F573" s="0" t="n">
        <f aca="false">-1+B573*0.25</f>
        <v>0.75</v>
      </c>
      <c r="G573" s="0" t="n">
        <f aca="false">-1+C573*0.25</f>
        <v>-1</v>
      </c>
      <c r="H573" s="0" t="n">
        <f aca="false">-1+D573*0.25</f>
        <v>-0.75</v>
      </c>
      <c r="I573" s="0" t="n">
        <f aca="false">1</f>
        <v>1</v>
      </c>
      <c r="J573" s="0" t="n">
        <f aca="false">E573</f>
        <v>-1</v>
      </c>
      <c r="K573" s="0" t="n">
        <f aca="false">F573</f>
        <v>0.75</v>
      </c>
      <c r="L573" s="0" t="n">
        <f aca="false">G573</f>
        <v>-1</v>
      </c>
      <c r="M573" s="0" t="n">
        <f aca="false">H573</f>
        <v>-0.75</v>
      </c>
      <c r="N573" s="0" t="n">
        <f aca="false">E573*F573</f>
        <v>-0.75</v>
      </c>
      <c r="O573" s="0" t="n">
        <f aca="false">E573*G573</f>
        <v>1</v>
      </c>
      <c r="P573" s="0" t="n">
        <f aca="false">E573*H573</f>
        <v>0.75</v>
      </c>
      <c r="Q573" s="0" t="n">
        <f aca="false">F573*G573</f>
        <v>-0.75</v>
      </c>
      <c r="R573" s="0" t="n">
        <f aca="false">F573*H573</f>
        <v>-0.5625</v>
      </c>
      <c r="S573" s="0" t="n">
        <f aca="false">G573*H573</f>
        <v>0.75</v>
      </c>
      <c r="T573" s="0" t="n">
        <f aca="false">E573*E573</f>
        <v>1</v>
      </c>
      <c r="U573" s="0" t="n">
        <f aca="false">F573*F573</f>
        <v>0.5625</v>
      </c>
      <c r="V573" s="0" t="n">
        <f aca="false">G573*G573</f>
        <v>1</v>
      </c>
      <c r="W573" s="0" t="n">
        <f aca="false">H573*H573</f>
        <v>0.5625</v>
      </c>
      <c r="X573" s="0" t="n">
        <f aca="false">SUMPRODUCT(I573:W573,_XtX!$B$96:$P$96)</f>
        <v>39.9537783260234</v>
      </c>
      <c r="Y573" s="0" t="n">
        <f aca="false">SUMPRODUCT(MMULT(I573:W573,_XtX!$B$78:$P$92),I573:W573)</f>
        <v>0.531311392086988</v>
      </c>
      <c r="Z573" s="0" t="n">
        <f aca="false">04_回帰ANOVA!$K$19*04_回帰ANOVA!$K$14*SQRT(1+Y573)</f>
        <v>1.61298433431428</v>
      </c>
      <c r="AA573" s="0" t="n">
        <f aca="false">X573-Z573</f>
        <v>38.3407939917092</v>
      </c>
      <c r="AB573" s="0" t="n">
        <f aca="false">X573+Z573</f>
        <v>41.5667626603377</v>
      </c>
      <c r="AC573" s="54" t="b">
        <f aca="false">AND(E573&gt;=01_因子設定!$L$5-0.000000001,E573&lt;=01_因子設定!$M$5+0.000000001,F573&gt;=01_因子設定!$L$6-0.000000001,F573&lt;=01_因子設定!$M$6+0.000000001,G573&gt;=01_因子設定!$L$7-0.000000001,G573&lt;=01_因子設定!$M$7+0.000000001,H573&gt;=01_因子設定!$L$8-0.000000001,H573&lt;=01_因子設定!$M$8+0.000000001,IF(01_因子設定!$B$20="Box-Behnken",E573^2+F573^2+G573^2+H573^2&lt;=2+0.000000001,TRUE()))</f>
        <v>1</v>
      </c>
      <c r="AD573" s="55" t="n">
        <f aca="false">IF(AC573,IF(01_因子設定!$B$13="最大化",AA573-01_因子設定!$B$14,IF(01_因子設定!$B$13="最小化",01_因子設定!$B$15-AB573,MIN(AA573-01_因子設定!$B$14,01_因子設定!$B$15-AB573))),-1E+030)</f>
        <v>-8.15920600829084</v>
      </c>
      <c r="AE573" s="55" t="n">
        <f aca="false">IF(AC573,IF(01_因子設定!$B$13="最大化",X573,IF(01_因子設定!$B$13="最小化",-X573,-ABS(X573-01_因子設定!$B$16))),-1E+030)</f>
        <v>39.9537783260234</v>
      </c>
      <c r="AF573" s="55" t="n">
        <f aca="false">AD573+ROW()*0.000000001</f>
        <v>-8.15920543529084</v>
      </c>
      <c r="AG573" s="55" t="n">
        <f aca="false">AE573+ROW()*0.000000001</f>
        <v>39.9537788990235</v>
      </c>
    </row>
    <row r="574" customFormat="false" ht="15" hidden="false" customHeight="false" outlineLevel="0" collapsed="false">
      <c r="A574" s="0" t="n">
        <v>0</v>
      </c>
      <c r="B574" s="0" t="n">
        <v>7</v>
      </c>
      <c r="C574" s="0" t="n">
        <v>0</v>
      </c>
      <c r="D574" s="0" t="n">
        <v>2</v>
      </c>
      <c r="E574" s="0" t="n">
        <f aca="false">-1+A574*0.25</f>
        <v>-1</v>
      </c>
      <c r="F574" s="0" t="n">
        <f aca="false">-1+B574*0.25</f>
        <v>0.75</v>
      </c>
      <c r="G574" s="0" t="n">
        <f aca="false">-1+C574*0.25</f>
        <v>-1</v>
      </c>
      <c r="H574" s="0" t="n">
        <f aca="false">-1+D574*0.25</f>
        <v>-0.5</v>
      </c>
      <c r="I574" s="0" t="n">
        <f aca="false">1</f>
        <v>1</v>
      </c>
      <c r="J574" s="0" t="n">
        <f aca="false">E574</f>
        <v>-1</v>
      </c>
      <c r="K574" s="0" t="n">
        <f aca="false">F574</f>
        <v>0.75</v>
      </c>
      <c r="L574" s="0" t="n">
        <f aca="false">G574</f>
        <v>-1</v>
      </c>
      <c r="M574" s="0" t="n">
        <f aca="false">H574</f>
        <v>-0.5</v>
      </c>
      <c r="N574" s="0" t="n">
        <f aca="false">E574*F574</f>
        <v>-0.75</v>
      </c>
      <c r="O574" s="0" t="n">
        <f aca="false">E574*G574</f>
        <v>1</v>
      </c>
      <c r="P574" s="0" t="n">
        <f aca="false">E574*H574</f>
        <v>0.5</v>
      </c>
      <c r="Q574" s="0" t="n">
        <f aca="false">F574*G574</f>
        <v>-0.75</v>
      </c>
      <c r="R574" s="0" t="n">
        <f aca="false">F574*H574</f>
        <v>-0.375</v>
      </c>
      <c r="S574" s="0" t="n">
        <f aca="false">G574*H574</f>
        <v>0.5</v>
      </c>
      <c r="T574" s="0" t="n">
        <f aca="false">E574*E574</f>
        <v>1</v>
      </c>
      <c r="U574" s="0" t="n">
        <f aca="false">F574*F574</f>
        <v>0.5625</v>
      </c>
      <c r="V574" s="0" t="n">
        <f aca="false">G574*G574</f>
        <v>1</v>
      </c>
      <c r="W574" s="0" t="n">
        <f aca="false">H574*H574</f>
        <v>0.25</v>
      </c>
      <c r="X574" s="0" t="n">
        <f aca="false">SUMPRODUCT(I574:W574,_XtX!$B$96:$P$96)</f>
        <v>40.031716008772</v>
      </c>
      <c r="Y574" s="0" t="n">
        <f aca="false">SUMPRODUCT(MMULT(I574:W574,_XtX!$B$78:$P$92),I574:W574)</f>
        <v>0.564984237938597</v>
      </c>
      <c r="Z574" s="0" t="n">
        <f aca="false">04_回帰ANOVA!$K$19*04_回帰ANOVA!$K$14*SQRT(1+Y574)</f>
        <v>1.63062229734503</v>
      </c>
      <c r="AA574" s="0" t="n">
        <f aca="false">X574-Z574</f>
        <v>38.4010937114269</v>
      </c>
      <c r="AB574" s="0" t="n">
        <f aca="false">X574+Z574</f>
        <v>41.662338306117</v>
      </c>
      <c r="AC574" s="54" t="b">
        <f aca="false">AND(E574&gt;=01_因子設定!$L$5-0.000000001,E574&lt;=01_因子設定!$M$5+0.000000001,F574&gt;=01_因子設定!$L$6-0.000000001,F574&lt;=01_因子設定!$M$6+0.000000001,G574&gt;=01_因子設定!$L$7-0.000000001,G574&lt;=01_因子設定!$M$7+0.000000001,H574&gt;=01_因子設定!$L$8-0.000000001,H574&lt;=01_因子設定!$M$8+0.000000001,IF(01_因子設定!$B$20="Box-Behnken",E574^2+F574^2+G574^2+H574^2&lt;=2+0.000000001,TRUE()))</f>
        <v>1</v>
      </c>
      <c r="AD574" s="55" t="n">
        <f aca="false">IF(AC574,IF(01_因子設定!$B$13="最大化",AA574-01_因子設定!$B$14,IF(01_因子設定!$B$13="最小化",01_因子設定!$B$15-AB574,MIN(AA574-01_因子設定!$B$14,01_因子設定!$B$15-AB574))),-1E+030)</f>
        <v>-8.09890628857307</v>
      </c>
      <c r="AE574" s="55" t="n">
        <f aca="false">IF(AC574,IF(01_因子設定!$B$13="最大化",X574,IF(01_因子設定!$B$13="最小化",-X574,-ABS(X574-01_因子設定!$B$16))),-1E+030)</f>
        <v>40.031716008772</v>
      </c>
      <c r="AF574" s="55" t="n">
        <f aca="false">AD574+ROW()*0.000000001</f>
        <v>-8.09890571457307</v>
      </c>
      <c r="AG574" s="55" t="n">
        <f aca="false">AE574+ROW()*0.000000001</f>
        <v>40.031716582772</v>
      </c>
    </row>
    <row r="575" customFormat="false" ht="15" hidden="false" customHeight="false" outlineLevel="0" collapsed="false">
      <c r="A575" s="0" t="n">
        <v>0</v>
      </c>
      <c r="B575" s="0" t="n">
        <v>7</v>
      </c>
      <c r="C575" s="0" t="n">
        <v>0</v>
      </c>
      <c r="D575" s="0" t="n">
        <v>3</v>
      </c>
      <c r="E575" s="0" t="n">
        <f aca="false">-1+A575*0.25</f>
        <v>-1</v>
      </c>
      <c r="F575" s="0" t="n">
        <f aca="false">-1+B575*0.25</f>
        <v>0.75</v>
      </c>
      <c r="G575" s="0" t="n">
        <f aca="false">-1+C575*0.25</f>
        <v>-1</v>
      </c>
      <c r="H575" s="0" t="n">
        <f aca="false">-1+D575*0.25</f>
        <v>-0.25</v>
      </c>
      <c r="I575" s="0" t="n">
        <f aca="false">1</f>
        <v>1</v>
      </c>
      <c r="J575" s="0" t="n">
        <f aca="false">E575</f>
        <v>-1</v>
      </c>
      <c r="K575" s="0" t="n">
        <f aca="false">F575</f>
        <v>0.75</v>
      </c>
      <c r="L575" s="0" t="n">
        <f aca="false">G575</f>
        <v>-1</v>
      </c>
      <c r="M575" s="0" t="n">
        <f aca="false">H575</f>
        <v>-0.25</v>
      </c>
      <c r="N575" s="0" t="n">
        <f aca="false">E575*F575</f>
        <v>-0.75</v>
      </c>
      <c r="O575" s="0" t="n">
        <f aca="false">E575*G575</f>
        <v>1</v>
      </c>
      <c r="P575" s="0" t="n">
        <f aca="false">E575*H575</f>
        <v>0.25</v>
      </c>
      <c r="Q575" s="0" t="n">
        <f aca="false">F575*G575</f>
        <v>-0.75</v>
      </c>
      <c r="R575" s="0" t="n">
        <f aca="false">F575*H575</f>
        <v>-0.1875</v>
      </c>
      <c r="S575" s="0" t="n">
        <f aca="false">G575*H575</f>
        <v>0.25</v>
      </c>
      <c r="T575" s="0" t="n">
        <f aca="false">E575*E575</f>
        <v>1</v>
      </c>
      <c r="U575" s="0" t="n">
        <f aca="false">F575*F575</f>
        <v>0.5625</v>
      </c>
      <c r="V575" s="0" t="n">
        <f aca="false">G575*G575</f>
        <v>1</v>
      </c>
      <c r="W575" s="0" t="n">
        <f aca="false">H575*H575</f>
        <v>0.0625</v>
      </c>
      <c r="X575" s="0" t="n">
        <f aca="false">SUMPRODUCT(I575:W575,_XtX!$B$96:$P$96)</f>
        <v>40.0618466739766</v>
      </c>
      <c r="Y575" s="0" t="n">
        <f aca="false">SUMPRODUCT(MMULT(I575:W575,_XtX!$B$78:$P$92),I575:W575)</f>
        <v>0.621372155975877</v>
      </c>
      <c r="Z575" s="0" t="n">
        <f aca="false">04_回帰ANOVA!$K$19*04_回帰ANOVA!$K$14*SQRT(1+Y575)</f>
        <v>1.65973880499872</v>
      </c>
      <c r="AA575" s="0" t="n">
        <f aca="false">X575-Z575</f>
        <v>38.4021078689779</v>
      </c>
      <c r="AB575" s="0" t="n">
        <f aca="false">X575+Z575</f>
        <v>41.7215854789754</v>
      </c>
      <c r="AC575" s="54" t="b">
        <f aca="false">AND(E575&gt;=01_因子設定!$L$5-0.000000001,E575&lt;=01_因子設定!$M$5+0.000000001,F575&gt;=01_因子設定!$L$6-0.000000001,F575&lt;=01_因子設定!$M$6+0.000000001,G575&gt;=01_因子設定!$L$7-0.000000001,G575&lt;=01_因子設定!$M$7+0.000000001,H575&gt;=01_因子設定!$L$8-0.000000001,H575&lt;=01_因子設定!$M$8+0.000000001,IF(01_因子設定!$B$20="Box-Behnken",E575^2+F575^2+G575^2+H575^2&lt;=2+0.000000001,TRUE()))</f>
        <v>1</v>
      </c>
      <c r="AD575" s="55" t="n">
        <f aca="false">IF(AC575,IF(01_因子設定!$B$13="最大化",AA575-01_因子設定!$B$14,IF(01_因子設定!$B$13="最小化",01_因子設定!$B$15-AB575,MIN(AA575-01_因子設定!$B$14,01_因子設定!$B$15-AB575))),-1E+030)</f>
        <v>-8.09789213102208</v>
      </c>
      <c r="AE575" s="55" t="n">
        <f aca="false">IF(AC575,IF(01_因子設定!$B$13="最大化",X575,IF(01_因子設定!$B$13="最小化",-X575,-ABS(X575-01_因子設定!$B$16))),-1E+030)</f>
        <v>40.0618466739766</v>
      </c>
      <c r="AF575" s="55" t="n">
        <f aca="false">AD575+ROW()*0.000000001</f>
        <v>-8.09789155602208</v>
      </c>
      <c r="AG575" s="55" t="n">
        <f aca="false">AE575+ROW()*0.000000001</f>
        <v>40.0618472489766</v>
      </c>
    </row>
    <row r="576" customFormat="false" ht="15" hidden="false" customHeight="false" outlineLevel="0" collapsed="false">
      <c r="A576" s="0" t="n">
        <v>0</v>
      </c>
      <c r="B576" s="0" t="n">
        <v>7</v>
      </c>
      <c r="C576" s="0" t="n">
        <v>0</v>
      </c>
      <c r="D576" s="0" t="n">
        <v>4</v>
      </c>
      <c r="E576" s="0" t="n">
        <f aca="false">-1+A576*0.25</f>
        <v>-1</v>
      </c>
      <c r="F576" s="0" t="n">
        <f aca="false">-1+B576*0.25</f>
        <v>0.75</v>
      </c>
      <c r="G576" s="0" t="n">
        <f aca="false">-1+C576*0.25</f>
        <v>-1</v>
      </c>
      <c r="H576" s="0" t="n">
        <f aca="false">-1+D576*0.25</f>
        <v>0</v>
      </c>
      <c r="I576" s="0" t="n">
        <f aca="false">1</f>
        <v>1</v>
      </c>
      <c r="J576" s="0" t="n">
        <f aca="false">E576</f>
        <v>-1</v>
      </c>
      <c r="K576" s="0" t="n">
        <f aca="false">F576</f>
        <v>0.75</v>
      </c>
      <c r="L576" s="0" t="n">
        <f aca="false">G576</f>
        <v>-1</v>
      </c>
      <c r="M576" s="0" t="n">
        <f aca="false">H576</f>
        <v>0</v>
      </c>
      <c r="N576" s="0" t="n">
        <f aca="false">E576*F576</f>
        <v>-0.75</v>
      </c>
      <c r="O576" s="0" t="n">
        <f aca="false">E576*G576</f>
        <v>1</v>
      </c>
      <c r="P576" s="0" t="n">
        <f aca="false">E576*H576</f>
        <v>-0</v>
      </c>
      <c r="Q576" s="0" t="n">
        <f aca="false">F576*G576</f>
        <v>-0.75</v>
      </c>
      <c r="R576" s="0" t="n">
        <f aca="false">F576*H576</f>
        <v>0</v>
      </c>
      <c r="S576" s="0" t="n">
        <f aca="false">G576*H576</f>
        <v>-0</v>
      </c>
      <c r="T576" s="0" t="n">
        <f aca="false">E576*E576</f>
        <v>1</v>
      </c>
      <c r="U576" s="0" t="n">
        <f aca="false">F576*F576</f>
        <v>0.5625</v>
      </c>
      <c r="V576" s="0" t="n">
        <f aca="false">G576*G576</f>
        <v>1</v>
      </c>
      <c r="W576" s="0" t="n">
        <f aca="false">H576*H576</f>
        <v>0</v>
      </c>
      <c r="X576" s="0" t="n">
        <f aca="false">SUMPRODUCT(I576:W576,_XtX!$B$96:$P$96)</f>
        <v>40.0441703216375</v>
      </c>
      <c r="Y576" s="0" t="n">
        <f aca="false">SUMPRODUCT(MMULT(I576:W576,_XtX!$B$78:$P$92),I576:W576)</f>
        <v>0.646198830409357</v>
      </c>
      <c r="Z576" s="0" t="n">
        <f aca="false">04_回帰ANOVA!$K$19*04_回帰ANOVA!$K$14*SQRT(1+Y576)</f>
        <v>1.67239760569756</v>
      </c>
      <c r="AA576" s="0" t="n">
        <f aca="false">X576-Z576</f>
        <v>38.3717727159399</v>
      </c>
      <c r="AB576" s="0" t="n">
        <f aca="false">X576+Z576</f>
        <v>41.716567927335</v>
      </c>
      <c r="AC576" s="54" t="b">
        <f aca="false">AND(E576&gt;=01_因子設定!$L$5-0.000000001,E576&lt;=01_因子設定!$M$5+0.000000001,F576&gt;=01_因子設定!$L$6-0.000000001,F576&lt;=01_因子設定!$M$6+0.000000001,G576&gt;=01_因子設定!$L$7-0.000000001,G576&lt;=01_因子設定!$M$7+0.000000001,H576&gt;=01_因子設定!$L$8-0.000000001,H576&lt;=01_因子設定!$M$8+0.000000001,IF(01_因子設定!$B$20="Box-Behnken",E576^2+F576^2+G576^2+H576^2&lt;=2+0.000000001,TRUE()))</f>
        <v>1</v>
      </c>
      <c r="AD576" s="55" t="n">
        <f aca="false">IF(AC576,IF(01_因子設定!$B$13="最大化",AA576-01_因子設定!$B$14,IF(01_因子設定!$B$13="最小化",01_因子設定!$B$15-AB576,MIN(AA576-01_因子設定!$B$14,01_因子設定!$B$15-AB576))),-1E+030)</f>
        <v>-8.1282272840601</v>
      </c>
      <c r="AE576" s="55" t="n">
        <f aca="false">IF(AC576,IF(01_因子設定!$B$13="最大化",X576,IF(01_因子設定!$B$13="最小化",-X576,-ABS(X576-01_因子設定!$B$16))),-1E+030)</f>
        <v>40.0441703216375</v>
      </c>
      <c r="AF576" s="55" t="n">
        <f aca="false">AD576+ROW()*0.000000001</f>
        <v>-8.1282267080601</v>
      </c>
      <c r="AG576" s="55" t="n">
        <f aca="false">AE576+ROW()*0.000000001</f>
        <v>40.0441708976375</v>
      </c>
    </row>
    <row r="577" customFormat="false" ht="15" hidden="false" customHeight="false" outlineLevel="0" collapsed="false">
      <c r="A577" s="0" t="n">
        <v>0</v>
      </c>
      <c r="B577" s="0" t="n">
        <v>7</v>
      </c>
      <c r="C577" s="0" t="n">
        <v>0</v>
      </c>
      <c r="D577" s="0" t="n">
        <v>5</v>
      </c>
      <c r="E577" s="0" t="n">
        <f aca="false">-1+A577*0.25</f>
        <v>-1</v>
      </c>
      <c r="F577" s="0" t="n">
        <f aca="false">-1+B577*0.25</f>
        <v>0.75</v>
      </c>
      <c r="G577" s="0" t="n">
        <f aca="false">-1+C577*0.25</f>
        <v>-1</v>
      </c>
      <c r="H577" s="0" t="n">
        <f aca="false">-1+D577*0.25</f>
        <v>0.25</v>
      </c>
      <c r="I577" s="0" t="n">
        <f aca="false">1</f>
        <v>1</v>
      </c>
      <c r="J577" s="0" t="n">
        <f aca="false">E577</f>
        <v>-1</v>
      </c>
      <c r="K577" s="0" t="n">
        <f aca="false">F577</f>
        <v>0.75</v>
      </c>
      <c r="L577" s="0" t="n">
        <f aca="false">G577</f>
        <v>-1</v>
      </c>
      <c r="M577" s="0" t="n">
        <f aca="false">H577</f>
        <v>0.25</v>
      </c>
      <c r="N577" s="0" t="n">
        <f aca="false">E577*F577</f>
        <v>-0.75</v>
      </c>
      <c r="O577" s="0" t="n">
        <f aca="false">E577*G577</f>
        <v>1</v>
      </c>
      <c r="P577" s="0" t="n">
        <f aca="false">E577*H577</f>
        <v>-0.25</v>
      </c>
      <c r="Q577" s="0" t="n">
        <f aca="false">F577*G577</f>
        <v>-0.75</v>
      </c>
      <c r="R577" s="0" t="n">
        <f aca="false">F577*H577</f>
        <v>0.1875</v>
      </c>
      <c r="S577" s="0" t="n">
        <f aca="false">G577*H577</f>
        <v>-0.25</v>
      </c>
      <c r="T577" s="0" t="n">
        <f aca="false">E577*E577</f>
        <v>1</v>
      </c>
      <c r="U577" s="0" t="n">
        <f aca="false">F577*F577</f>
        <v>0.5625</v>
      </c>
      <c r="V577" s="0" t="n">
        <f aca="false">G577*G577</f>
        <v>1</v>
      </c>
      <c r="W577" s="0" t="n">
        <f aca="false">H577*H577</f>
        <v>0.0625</v>
      </c>
      <c r="X577" s="0" t="n">
        <f aca="false">SUMPRODUCT(I577:W577,_XtX!$B$96:$P$96)</f>
        <v>39.9786869517544</v>
      </c>
      <c r="Y577" s="0" t="n">
        <f aca="false">SUMPRODUCT(MMULT(I577:W577,_XtX!$B$78:$P$92),I577:W577)</f>
        <v>0.621372155975877</v>
      </c>
      <c r="Z577" s="0" t="n">
        <f aca="false">04_回帰ANOVA!$K$19*04_回帰ANOVA!$K$14*SQRT(1+Y577)</f>
        <v>1.65973880499872</v>
      </c>
      <c r="AA577" s="0" t="n">
        <f aca="false">X577-Z577</f>
        <v>38.3189481467557</v>
      </c>
      <c r="AB577" s="0" t="n">
        <f aca="false">X577+Z577</f>
        <v>41.6384257567531</v>
      </c>
      <c r="AC577" s="54" t="b">
        <f aca="false">AND(E577&gt;=01_因子設定!$L$5-0.000000001,E577&lt;=01_因子設定!$M$5+0.000000001,F577&gt;=01_因子設定!$L$6-0.000000001,F577&lt;=01_因子設定!$M$6+0.000000001,G577&gt;=01_因子設定!$L$7-0.000000001,G577&lt;=01_因子設定!$M$7+0.000000001,H577&gt;=01_因子設定!$L$8-0.000000001,H577&lt;=01_因子設定!$M$8+0.000000001,IF(01_因子設定!$B$20="Box-Behnken",E577^2+F577^2+G577^2+H577^2&lt;=2+0.000000001,TRUE()))</f>
        <v>1</v>
      </c>
      <c r="AD577" s="55" t="n">
        <f aca="false">IF(AC577,IF(01_因子設定!$B$13="最大化",AA577-01_因子設定!$B$14,IF(01_因子設定!$B$13="最小化",01_因子設定!$B$15-AB577,MIN(AA577-01_因子設定!$B$14,01_因子設定!$B$15-AB577))),-1E+030)</f>
        <v>-8.1810518532443</v>
      </c>
      <c r="AE577" s="55" t="n">
        <f aca="false">IF(AC577,IF(01_因子設定!$B$13="最大化",X577,IF(01_因子設定!$B$13="最小化",-X577,-ABS(X577-01_因子設定!$B$16))),-1E+030)</f>
        <v>39.9786869517544</v>
      </c>
      <c r="AF577" s="55" t="n">
        <f aca="false">AD577+ROW()*0.000000001</f>
        <v>-8.1810512762443</v>
      </c>
      <c r="AG577" s="55" t="n">
        <f aca="false">AE577+ROW()*0.000000001</f>
        <v>39.9786875287544</v>
      </c>
    </row>
    <row r="578" customFormat="false" ht="15" hidden="false" customHeight="false" outlineLevel="0" collapsed="false">
      <c r="A578" s="0" t="n">
        <v>0</v>
      </c>
      <c r="B578" s="0" t="n">
        <v>7</v>
      </c>
      <c r="C578" s="0" t="n">
        <v>0</v>
      </c>
      <c r="D578" s="0" t="n">
        <v>6</v>
      </c>
      <c r="E578" s="0" t="n">
        <f aca="false">-1+A578*0.25</f>
        <v>-1</v>
      </c>
      <c r="F578" s="0" t="n">
        <f aca="false">-1+B578*0.25</f>
        <v>0.75</v>
      </c>
      <c r="G578" s="0" t="n">
        <f aca="false">-1+C578*0.25</f>
        <v>-1</v>
      </c>
      <c r="H578" s="0" t="n">
        <f aca="false">-1+D578*0.25</f>
        <v>0.5</v>
      </c>
      <c r="I578" s="0" t="n">
        <f aca="false">1</f>
        <v>1</v>
      </c>
      <c r="J578" s="0" t="n">
        <f aca="false">E578</f>
        <v>-1</v>
      </c>
      <c r="K578" s="0" t="n">
        <f aca="false">F578</f>
        <v>0.75</v>
      </c>
      <c r="L578" s="0" t="n">
        <f aca="false">G578</f>
        <v>-1</v>
      </c>
      <c r="M578" s="0" t="n">
        <f aca="false">H578</f>
        <v>0.5</v>
      </c>
      <c r="N578" s="0" t="n">
        <f aca="false">E578*F578</f>
        <v>-0.75</v>
      </c>
      <c r="O578" s="0" t="n">
        <f aca="false">E578*G578</f>
        <v>1</v>
      </c>
      <c r="P578" s="0" t="n">
        <f aca="false">E578*H578</f>
        <v>-0.5</v>
      </c>
      <c r="Q578" s="0" t="n">
        <f aca="false">F578*G578</f>
        <v>-0.75</v>
      </c>
      <c r="R578" s="0" t="n">
        <f aca="false">F578*H578</f>
        <v>0.375</v>
      </c>
      <c r="S578" s="0" t="n">
        <f aca="false">G578*H578</f>
        <v>-0.5</v>
      </c>
      <c r="T578" s="0" t="n">
        <f aca="false">E578*E578</f>
        <v>1</v>
      </c>
      <c r="U578" s="0" t="n">
        <f aca="false">F578*F578</f>
        <v>0.5625</v>
      </c>
      <c r="V578" s="0" t="n">
        <f aca="false">G578*G578</f>
        <v>1</v>
      </c>
      <c r="W578" s="0" t="n">
        <f aca="false">H578*H578</f>
        <v>0.25</v>
      </c>
      <c r="X578" s="0" t="n">
        <f aca="false">SUMPRODUCT(I578:W578,_XtX!$B$96:$P$96)</f>
        <v>39.8653965643275</v>
      </c>
      <c r="Y578" s="0" t="n">
        <f aca="false">SUMPRODUCT(MMULT(I578:W578,_XtX!$B$78:$P$92),I578:W578)</f>
        <v>0.564984237938597</v>
      </c>
      <c r="Z578" s="0" t="n">
        <f aca="false">04_回帰ANOVA!$K$19*04_回帰ANOVA!$K$14*SQRT(1+Y578)</f>
        <v>1.63062229734503</v>
      </c>
      <c r="AA578" s="0" t="n">
        <f aca="false">X578-Z578</f>
        <v>38.2347742669825</v>
      </c>
      <c r="AB578" s="0" t="n">
        <f aca="false">X578+Z578</f>
        <v>41.4960188616726</v>
      </c>
      <c r="AC578" s="54" t="b">
        <f aca="false">AND(E578&gt;=01_因子設定!$L$5-0.000000001,E578&lt;=01_因子設定!$M$5+0.000000001,F578&gt;=01_因子設定!$L$6-0.000000001,F578&lt;=01_因子設定!$M$6+0.000000001,G578&gt;=01_因子設定!$L$7-0.000000001,G578&lt;=01_因子設定!$M$7+0.000000001,H578&gt;=01_因子設定!$L$8-0.000000001,H578&lt;=01_因子設定!$M$8+0.000000001,IF(01_因子設定!$B$20="Box-Behnken",E578^2+F578^2+G578^2+H578^2&lt;=2+0.000000001,TRUE()))</f>
        <v>1</v>
      </c>
      <c r="AD578" s="55" t="n">
        <f aca="false">IF(AC578,IF(01_因子設定!$B$13="最大化",AA578-01_因子設定!$B$14,IF(01_因子設定!$B$13="最小化",01_因子設定!$B$15-AB578,MIN(AA578-01_因子設定!$B$14,01_因子設定!$B$15-AB578))),-1E+030)</f>
        <v>-8.26522573301751</v>
      </c>
      <c r="AE578" s="55" t="n">
        <f aca="false">IF(AC578,IF(01_因子設定!$B$13="最大化",X578,IF(01_因子設定!$B$13="最小化",-X578,-ABS(X578-01_因子設定!$B$16))),-1E+030)</f>
        <v>39.8653965643275</v>
      </c>
      <c r="AF578" s="55" t="n">
        <f aca="false">AD578+ROW()*0.000000001</f>
        <v>-8.26522515501751</v>
      </c>
      <c r="AG578" s="55" t="n">
        <f aca="false">AE578+ROW()*0.000000001</f>
        <v>39.8653971423275</v>
      </c>
    </row>
    <row r="579" customFormat="false" ht="15" hidden="false" customHeight="false" outlineLevel="0" collapsed="false">
      <c r="A579" s="0" t="n">
        <v>0</v>
      </c>
      <c r="B579" s="0" t="n">
        <v>7</v>
      </c>
      <c r="C579" s="0" t="n">
        <v>0</v>
      </c>
      <c r="D579" s="0" t="n">
        <v>7</v>
      </c>
      <c r="E579" s="0" t="n">
        <f aca="false">-1+A579*0.25</f>
        <v>-1</v>
      </c>
      <c r="F579" s="0" t="n">
        <f aca="false">-1+B579*0.25</f>
        <v>0.75</v>
      </c>
      <c r="G579" s="0" t="n">
        <f aca="false">-1+C579*0.25</f>
        <v>-1</v>
      </c>
      <c r="H579" s="0" t="n">
        <f aca="false">-1+D579*0.25</f>
        <v>0.75</v>
      </c>
      <c r="I579" s="0" t="n">
        <f aca="false">1</f>
        <v>1</v>
      </c>
      <c r="J579" s="0" t="n">
        <f aca="false">E579</f>
        <v>-1</v>
      </c>
      <c r="K579" s="0" t="n">
        <f aca="false">F579</f>
        <v>0.75</v>
      </c>
      <c r="L579" s="0" t="n">
        <f aca="false">G579</f>
        <v>-1</v>
      </c>
      <c r="M579" s="0" t="n">
        <f aca="false">H579</f>
        <v>0.75</v>
      </c>
      <c r="N579" s="0" t="n">
        <f aca="false">E579*F579</f>
        <v>-0.75</v>
      </c>
      <c r="O579" s="0" t="n">
        <f aca="false">E579*G579</f>
        <v>1</v>
      </c>
      <c r="P579" s="0" t="n">
        <f aca="false">E579*H579</f>
        <v>-0.75</v>
      </c>
      <c r="Q579" s="0" t="n">
        <f aca="false">F579*G579</f>
        <v>-0.75</v>
      </c>
      <c r="R579" s="0" t="n">
        <f aca="false">F579*H579</f>
        <v>0.5625</v>
      </c>
      <c r="S579" s="0" t="n">
        <f aca="false">G579*H579</f>
        <v>-0.75</v>
      </c>
      <c r="T579" s="0" t="n">
        <f aca="false">E579*E579</f>
        <v>1</v>
      </c>
      <c r="U579" s="0" t="n">
        <f aca="false">F579*F579</f>
        <v>0.5625</v>
      </c>
      <c r="V579" s="0" t="n">
        <f aca="false">G579*G579</f>
        <v>1</v>
      </c>
      <c r="W579" s="0" t="n">
        <f aca="false">H579*H579</f>
        <v>0.5625</v>
      </c>
      <c r="X579" s="0" t="n">
        <f aca="false">SUMPRODUCT(I579:W579,_XtX!$B$96:$P$96)</f>
        <v>39.7042991593568</v>
      </c>
      <c r="Y579" s="0" t="n">
        <f aca="false">SUMPRODUCT(MMULT(I579:W579,_XtX!$B$78:$P$92),I579:W579)</f>
        <v>0.531311392086988</v>
      </c>
      <c r="Z579" s="0" t="n">
        <f aca="false">04_回帰ANOVA!$K$19*04_回帰ANOVA!$K$14*SQRT(1+Y579)</f>
        <v>1.61298433431428</v>
      </c>
      <c r="AA579" s="0" t="n">
        <f aca="false">X579-Z579</f>
        <v>38.0913148250425</v>
      </c>
      <c r="AB579" s="0" t="n">
        <f aca="false">X579+Z579</f>
        <v>41.3172834936711</v>
      </c>
      <c r="AC579" s="54" t="b">
        <f aca="false">AND(E579&gt;=01_因子設定!$L$5-0.000000001,E579&lt;=01_因子設定!$M$5+0.000000001,F579&gt;=01_因子設定!$L$6-0.000000001,F579&lt;=01_因子設定!$M$6+0.000000001,G579&gt;=01_因子設定!$L$7-0.000000001,G579&lt;=01_因子設定!$M$7+0.000000001,H579&gt;=01_因子設定!$L$8-0.000000001,H579&lt;=01_因子設定!$M$8+0.000000001,IF(01_因子設定!$B$20="Box-Behnken",E579^2+F579^2+G579^2+H579^2&lt;=2+0.000000001,TRUE()))</f>
        <v>1</v>
      </c>
      <c r="AD579" s="55" t="n">
        <f aca="false">IF(AC579,IF(01_因子設定!$B$13="最大化",AA579-01_因子設定!$B$14,IF(01_因子設定!$B$13="最小化",01_因子設定!$B$15-AB579,MIN(AA579-01_因子設定!$B$14,01_因子設定!$B$15-AB579))),-1E+030)</f>
        <v>-8.40868517495751</v>
      </c>
      <c r="AE579" s="55" t="n">
        <f aca="false">IF(AC579,IF(01_因子設定!$B$13="最大化",X579,IF(01_因子設定!$B$13="最小化",-X579,-ABS(X579-01_因子設定!$B$16))),-1E+030)</f>
        <v>39.7042991593568</v>
      </c>
      <c r="AF579" s="55" t="n">
        <f aca="false">AD579+ROW()*0.000000001</f>
        <v>-8.40868459595751</v>
      </c>
      <c r="AG579" s="55" t="n">
        <f aca="false">AE579+ROW()*0.000000001</f>
        <v>39.7042997383568</v>
      </c>
    </row>
    <row r="580" customFormat="false" ht="15" hidden="false" customHeight="false" outlineLevel="0" collapsed="false">
      <c r="A580" s="0" t="n">
        <v>0</v>
      </c>
      <c r="B580" s="0" t="n">
        <v>7</v>
      </c>
      <c r="C580" s="0" t="n">
        <v>0</v>
      </c>
      <c r="D580" s="0" t="n">
        <v>8</v>
      </c>
      <c r="E580" s="0" t="n">
        <f aca="false">-1+A580*0.25</f>
        <v>-1</v>
      </c>
      <c r="F580" s="0" t="n">
        <f aca="false">-1+B580*0.25</f>
        <v>0.75</v>
      </c>
      <c r="G580" s="0" t="n">
        <f aca="false">-1+C580*0.25</f>
        <v>-1</v>
      </c>
      <c r="H580" s="0" t="n">
        <f aca="false">-1+D580*0.25</f>
        <v>1</v>
      </c>
      <c r="I580" s="0" t="n">
        <f aca="false">1</f>
        <v>1</v>
      </c>
      <c r="J580" s="0" t="n">
        <f aca="false">E580</f>
        <v>-1</v>
      </c>
      <c r="K580" s="0" t="n">
        <f aca="false">F580</f>
        <v>0.75</v>
      </c>
      <c r="L580" s="0" t="n">
        <f aca="false">G580</f>
        <v>-1</v>
      </c>
      <c r="M580" s="0" t="n">
        <f aca="false">H580</f>
        <v>1</v>
      </c>
      <c r="N580" s="0" t="n">
        <f aca="false">E580*F580</f>
        <v>-0.75</v>
      </c>
      <c r="O580" s="0" t="n">
        <f aca="false">E580*G580</f>
        <v>1</v>
      </c>
      <c r="P580" s="0" t="n">
        <f aca="false">E580*H580</f>
        <v>-1</v>
      </c>
      <c r="Q580" s="0" t="n">
        <f aca="false">F580*G580</f>
        <v>-0.75</v>
      </c>
      <c r="R580" s="0" t="n">
        <f aca="false">F580*H580</f>
        <v>0.75</v>
      </c>
      <c r="S580" s="0" t="n">
        <f aca="false">G580*H580</f>
        <v>-1</v>
      </c>
      <c r="T580" s="0" t="n">
        <f aca="false">E580*E580</f>
        <v>1</v>
      </c>
      <c r="U580" s="0" t="n">
        <f aca="false">F580*F580</f>
        <v>0.5625</v>
      </c>
      <c r="V580" s="0" t="n">
        <f aca="false">G580*G580</f>
        <v>1</v>
      </c>
      <c r="W580" s="0" t="n">
        <f aca="false">H580*H580</f>
        <v>1</v>
      </c>
      <c r="X580" s="0" t="n">
        <f aca="false">SUMPRODUCT(I580:W580,_XtX!$B$96:$P$96)</f>
        <v>39.4953947368422</v>
      </c>
      <c r="Y580" s="0" t="n">
        <f aca="false">SUMPRODUCT(MMULT(I580:W580,_XtX!$B$78:$P$92),I580:W580)</f>
        <v>0.610814144736842</v>
      </c>
      <c r="Z580" s="0" t="n">
        <f aca="false">04_回帰ANOVA!$K$19*04_回帰ANOVA!$K$14*SQRT(1+Y580)</f>
        <v>1.6543260558361</v>
      </c>
      <c r="AA580" s="0" t="n">
        <f aca="false">X580-Z580</f>
        <v>37.8410686810061</v>
      </c>
      <c r="AB580" s="0" t="n">
        <f aca="false">X580+Z580</f>
        <v>41.1497207926783</v>
      </c>
      <c r="AC580" s="54" t="b">
        <f aca="false">AND(E580&gt;=01_因子設定!$L$5-0.000000001,E580&lt;=01_因子設定!$M$5+0.000000001,F580&gt;=01_因子設定!$L$6-0.000000001,F580&lt;=01_因子設定!$M$6+0.000000001,G580&gt;=01_因子設定!$L$7-0.000000001,G580&lt;=01_因子設定!$M$7+0.000000001,H580&gt;=01_因子設定!$L$8-0.000000001,H580&lt;=01_因子設定!$M$8+0.000000001,IF(01_因子設定!$B$20="Box-Behnken",E580^2+F580^2+G580^2+H580^2&lt;=2+0.000000001,TRUE()))</f>
        <v>1</v>
      </c>
      <c r="AD580" s="55" t="n">
        <f aca="false">IF(AC580,IF(01_因子設定!$B$13="最大化",AA580-01_因子設定!$B$14,IF(01_因子設定!$B$13="最小化",01_因子設定!$B$15-AB580,MIN(AA580-01_因子設定!$B$14,01_因子設定!$B$15-AB580))),-1E+030)</f>
        <v>-8.65893131899392</v>
      </c>
      <c r="AE580" s="55" t="n">
        <f aca="false">IF(AC580,IF(01_因子設定!$B$13="最大化",X580,IF(01_因子設定!$B$13="最小化",-X580,-ABS(X580-01_因子設定!$B$16))),-1E+030)</f>
        <v>39.4953947368422</v>
      </c>
      <c r="AF580" s="55" t="n">
        <f aca="false">AD580+ROW()*0.000000001</f>
        <v>-8.65893073899392</v>
      </c>
      <c r="AG580" s="55" t="n">
        <f aca="false">AE580+ROW()*0.000000001</f>
        <v>39.4953953168422</v>
      </c>
    </row>
    <row r="581" customFormat="false" ht="15" hidden="false" customHeight="false" outlineLevel="0" collapsed="false">
      <c r="A581" s="0" t="n">
        <v>0</v>
      </c>
      <c r="B581" s="0" t="n">
        <v>7</v>
      </c>
      <c r="C581" s="0" t="n">
        <v>1</v>
      </c>
      <c r="D581" s="0" t="n">
        <v>0</v>
      </c>
      <c r="E581" s="0" t="n">
        <f aca="false">-1+A581*0.25</f>
        <v>-1</v>
      </c>
      <c r="F581" s="0" t="n">
        <f aca="false">-1+B581*0.25</f>
        <v>0.75</v>
      </c>
      <c r="G581" s="0" t="n">
        <f aca="false">-1+C581*0.25</f>
        <v>-0.75</v>
      </c>
      <c r="H581" s="0" t="n">
        <f aca="false">-1+D581*0.25</f>
        <v>-1</v>
      </c>
      <c r="I581" s="0" t="n">
        <f aca="false">1</f>
        <v>1</v>
      </c>
      <c r="J581" s="0" t="n">
        <f aca="false">E581</f>
        <v>-1</v>
      </c>
      <c r="K581" s="0" t="n">
        <f aca="false">F581</f>
        <v>0.75</v>
      </c>
      <c r="L581" s="0" t="n">
        <f aca="false">G581</f>
        <v>-0.75</v>
      </c>
      <c r="M581" s="0" t="n">
        <f aca="false">H581</f>
        <v>-1</v>
      </c>
      <c r="N581" s="0" t="n">
        <f aca="false">E581*F581</f>
        <v>-0.75</v>
      </c>
      <c r="O581" s="0" t="n">
        <f aca="false">E581*G581</f>
        <v>0.75</v>
      </c>
      <c r="P581" s="0" t="n">
        <f aca="false">E581*H581</f>
        <v>1</v>
      </c>
      <c r="Q581" s="0" t="n">
        <f aca="false">F581*G581</f>
        <v>-0.5625</v>
      </c>
      <c r="R581" s="0" t="n">
        <f aca="false">F581*H581</f>
        <v>-0.75</v>
      </c>
      <c r="S581" s="0" t="n">
        <f aca="false">G581*H581</f>
        <v>0.75</v>
      </c>
      <c r="T581" s="0" t="n">
        <f aca="false">E581*E581</f>
        <v>1</v>
      </c>
      <c r="U581" s="0" t="n">
        <f aca="false">F581*F581</f>
        <v>0.5625</v>
      </c>
      <c r="V581" s="0" t="n">
        <f aca="false">G581*G581</f>
        <v>0.5625</v>
      </c>
      <c r="W581" s="0" t="n">
        <f aca="false">H581*H581</f>
        <v>1</v>
      </c>
      <c r="X581" s="0" t="n">
        <f aca="false">SUMPRODUCT(I581:W581,_XtX!$B$96:$P$96)</f>
        <v>40.5216602704679</v>
      </c>
      <c r="Y581" s="0" t="n">
        <f aca="false">SUMPRODUCT(MMULT(I581:W581,_XtX!$B$78:$P$92),I581:W581)</f>
        <v>0.531311392086988</v>
      </c>
      <c r="Z581" s="0" t="n">
        <f aca="false">04_回帰ANOVA!$K$19*04_回帰ANOVA!$K$14*SQRT(1+Y581)</f>
        <v>1.61298433431428</v>
      </c>
      <c r="AA581" s="0" t="n">
        <f aca="false">X581-Z581</f>
        <v>38.9086759361536</v>
      </c>
      <c r="AB581" s="0" t="n">
        <f aca="false">X581+Z581</f>
        <v>42.1346446047822</v>
      </c>
      <c r="AC581" s="54" t="b">
        <f aca="false">AND(E581&gt;=01_因子設定!$L$5-0.000000001,E581&lt;=01_因子設定!$M$5+0.000000001,F581&gt;=01_因子設定!$L$6-0.000000001,F581&lt;=01_因子設定!$M$6+0.000000001,G581&gt;=01_因子設定!$L$7-0.000000001,G581&lt;=01_因子設定!$M$7+0.000000001,H581&gt;=01_因子設定!$L$8-0.000000001,H581&lt;=01_因子設定!$M$8+0.000000001,IF(01_因子設定!$B$20="Box-Behnken",E581^2+F581^2+G581^2+H581^2&lt;=2+0.000000001,TRUE()))</f>
        <v>1</v>
      </c>
      <c r="AD581" s="55" t="n">
        <f aca="false">IF(AC581,IF(01_因子設定!$B$13="最大化",AA581-01_因子設定!$B$14,IF(01_因子設定!$B$13="最小化",01_因子設定!$B$15-AB581,MIN(AA581-01_因子設定!$B$14,01_因子設定!$B$15-AB581))),-1E+030)</f>
        <v>-7.59132406384638</v>
      </c>
      <c r="AE581" s="55" t="n">
        <f aca="false">IF(AC581,IF(01_因子設定!$B$13="最大化",X581,IF(01_因子設定!$B$13="最小化",-X581,-ABS(X581-01_因子設定!$B$16))),-1E+030)</f>
        <v>40.5216602704679</v>
      </c>
      <c r="AF581" s="55" t="n">
        <f aca="false">AD581+ROW()*0.000000001</f>
        <v>-7.59132348284638</v>
      </c>
      <c r="AG581" s="55" t="n">
        <f aca="false">AE581+ROW()*0.000000001</f>
        <v>40.5216608514679</v>
      </c>
    </row>
    <row r="582" customFormat="false" ht="15" hidden="false" customHeight="false" outlineLevel="0" collapsed="false">
      <c r="A582" s="0" t="n">
        <v>0</v>
      </c>
      <c r="B582" s="0" t="n">
        <v>7</v>
      </c>
      <c r="C582" s="0" t="n">
        <v>1</v>
      </c>
      <c r="D582" s="0" t="n">
        <v>1</v>
      </c>
      <c r="E582" s="0" t="n">
        <f aca="false">-1+A582*0.25</f>
        <v>-1</v>
      </c>
      <c r="F582" s="0" t="n">
        <f aca="false">-1+B582*0.25</f>
        <v>0.75</v>
      </c>
      <c r="G582" s="0" t="n">
        <f aca="false">-1+C582*0.25</f>
        <v>-0.75</v>
      </c>
      <c r="H582" s="0" t="n">
        <f aca="false">-1+D582*0.25</f>
        <v>-0.75</v>
      </c>
      <c r="I582" s="0" t="n">
        <f aca="false">1</f>
        <v>1</v>
      </c>
      <c r="J582" s="0" t="n">
        <f aca="false">E582</f>
        <v>-1</v>
      </c>
      <c r="K582" s="0" t="n">
        <f aca="false">F582</f>
        <v>0.75</v>
      </c>
      <c r="L582" s="0" t="n">
        <f aca="false">G582</f>
        <v>-0.75</v>
      </c>
      <c r="M582" s="0" t="n">
        <f aca="false">H582</f>
        <v>-0.75</v>
      </c>
      <c r="N582" s="0" t="n">
        <f aca="false">E582*F582</f>
        <v>-0.75</v>
      </c>
      <c r="O582" s="0" t="n">
        <f aca="false">E582*G582</f>
        <v>0.75</v>
      </c>
      <c r="P582" s="0" t="n">
        <f aca="false">E582*H582</f>
        <v>0.75</v>
      </c>
      <c r="Q582" s="0" t="n">
        <f aca="false">F582*G582</f>
        <v>-0.5625</v>
      </c>
      <c r="R582" s="0" t="n">
        <f aca="false">F582*H582</f>
        <v>-0.5625</v>
      </c>
      <c r="S582" s="0" t="n">
        <f aca="false">G582*H582</f>
        <v>0.5625</v>
      </c>
      <c r="T582" s="0" t="n">
        <f aca="false">E582*E582</f>
        <v>1</v>
      </c>
      <c r="U582" s="0" t="n">
        <f aca="false">F582*F582</f>
        <v>0.5625</v>
      </c>
      <c r="V582" s="0" t="n">
        <f aca="false">G582*G582</f>
        <v>0.5625</v>
      </c>
      <c r="W582" s="0" t="n">
        <f aca="false">H582*H582</f>
        <v>0.5625</v>
      </c>
      <c r="X582" s="0" t="n">
        <f aca="false">SUMPRODUCT(I582:W582,_XtX!$B$96:$P$96)</f>
        <v>40.6653737207603</v>
      </c>
      <c r="Y582" s="0" t="n">
        <f aca="false">SUMPRODUCT(MMULT(I582:W582,_XtX!$B$78:$P$92),I582:W582)</f>
        <v>0.420117473044591</v>
      </c>
      <c r="Z582" s="0" t="n">
        <f aca="false">04_回帰ANOVA!$K$19*04_回帰ANOVA!$K$14*SQRT(1+Y582)</f>
        <v>1.55331854827765</v>
      </c>
      <c r="AA582" s="0" t="n">
        <f aca="false">X582-Z582</f>
        <v>39.1120551724826</v>
      </c>
      <c r="AB582" s="0" t="n">
        <f aca="false">X582+Z582</f>
        <v>42.2186922690379</v>
      </c>
      <c r="AC582" s="54" t="b">
        <f aca="false">AND(E582&gt;=01_因子設定!$L$5-0.000000001,E582&lt;=01_因子設定!$M$5+0.000000001,F582&gt;=01_因子設定!$L$6-0.000000001,F582&lt;=01_因子設定!$M$6+0.000000001,G582&gt;=01_因子設定!$L$7-0.000000001,G582&lt;=01_因子設定!$M$7+0.000000001,H582&gt;=01_因子設定!$L$8-0.000000001,H582&lt;=01_因子設定!$M$8+0.000000001,IF(01_因子設定!$B$20="Box-Behnken",E582^2+F582^2+G582^2+H582^2&lt;=2+0.000000001,TRUE()))</f>
        <v>1</v>
      </c>
      <c r="AD582" s="55" t="n">
        <f aca="false">IF(AC582,IF(01_因子設定!$B$13="最大化",AA582-01_因子設定!$B$14,IF(01_因子設定!$B$13="最小化",01_因子設定!$B$15-AB582,MIN(AA582-01_因子設定!$B$14,01_因子設定!$B$15-AB582))),-1E+030)</f>
        <v>-7.38794482751736</v>
      </c>
      <c r="AE582" s="55" t="n">
        <f aca="false">IF(AC582,IF(01_因子設定!$B$13="最大化",X582,IF(01_因子設定!$B$13="最小化",-X582,-ABS(X582-01_因子設定!$B$16))),-1E+030)</f>
        <v>40.6653737207603</v>
      </c>
      <c r="AF582" s="55" t="n">
        <f aca="false">AD582+ROW()*0.000000001</f>
        <v>-7.38794424551736</v>
      </c>
      <c r="AG582" s="55" t="n">
        <f aca="false">AE582+ROW()*0.000000001</f>
        <v>40.6653743027603</v>
      </c>
    </row>
    <row r="583" customFormat="false" ht="15" hidden="false" customHeight="false" outlineLevel="0" collapsed="false">
      <c r="A583" s="0" t="n">
        <v>0</v>
      </c>
      <c r="B583" s="0" t="n">
        <v>7</v>
      </c>
      <c r="C583" s="0" t="n">
        <v>1</v>
      </c>
      <c r="D583" s="0" t="n">
        <v>2</v>
      </c>
      <c r="E583" s="0" t="n">
        <f aca="false">-1+A583*0.25</f>
        <v>-1</v>
      </c>
      <c r="F583" s="0" t="n">
        <f aca="false">-1+B583*0.25</f>
        <v>0.75</v>
      </c>
      <c r="G583" s="0" t="n">
        <f aca="false">-1+C583*0.25</f>
        <v>-0.75</v>
      </c>
      <c r="H583" s="0" t="n">
        <f aca="false">-1+D583*0.25</f>
        <v>-0.5</v>
      </c>
      <c r="I583" s="0" t="n">
        <f aca="false">1</f>
        <v>1</v>
      </c>
      <c r="J583" s="0" t="n">
        <f aca="false">E583</f>
        <v>-1</v>
      </c>
      <c r="K583" s="0" t="n">
        <f aca="false">F583</f>
        <v>0.75</v>
      </c>
      <c r="L583" s="0" t="n">
        <f aca="false">G583</f>
        <v>-0.75</v>
      </c>
      <c r="M583" s="0" t="n">
        <f aca="false">H583</f>
        <v>-0.5</v>
      </c>
      <c r="N583" s="0" t="n">
        <f aca="false">E583*F583</f>
        <v>-0.75</v>
      </c>
      <c r="O583" s="0" t="n">
        <f aca="false">E583*G583</f>
        <v>0.75</v>
      </c>
      <c r="P583" s="0" t="n">
        <f aca="false">E583*H583</f>
        <v>0.5</v>
      </c>
      <c r="Q583" s="0" t="n">
        <f aca="false">F583*G583</f>
        <v>-0.5625</v>
      </c>
      <c r="R583" s="0" t="n">
        <f aca="false">F583*H583</f>
        <v>-0.375</v>
      </c>
      <c r="S583" s="0" t="n">
        <f aca="false">G583*H583</f>
        <v>0.375</v>
      </c>
      <c r="T583" s="0" t="n">
        <f aca="false">E583*E583</f>
        <v>1</v>
      </c>
      <c r="U583" s="0" t="n">
        <f aca="false">F583*F583</f>
        <v>0.5625</v>
      </c>
      <c r="V583" s="0" t="n">
        <f aca="false">G583*G583</f>
        <v>0.5625</v>
      </c>
      <c r="W583" s="0" t="n">
        <f aca="false">H583*H583</f>
        <v>0.25</v>
      </c>
      <c r="X583" s="0" t="n">
        <f aca="false">SUMPRODUCT(I583:W583,_XtX!$B$96:$P$96)</f>
        <v>40.7612801535088</v>
      </c>
      <c r="Y583" s="0" t="n">
        <f aca="false">SUMPRODUCT(MMULT(I583:W583,_XtX!$B$78:$P$92),I583:W583)</f>
        <v>0.431153771472953</v>
      </c>
      <c r="Z583" s="0" t="n">
        <f aca="false">04_回帰ANOVA!$K$19*04_回帰ANOVA!$K$14*SQRT(1+Y583)</f>
        <v>1.55934259562563</v>
      </c>
      <c r="AA583" s="0" t="n">
        <f aca="false">X583-Z583</f>
        <v>39.2019375578832</v>
      </c>
      <c r="AB583" s="0" t="n">
        <f aca="false">X583+Z583</f>
        <v>42.3206227491344</v>
      </c>
      <c r="AC583" s="54" t="b">
        <f aca="false">AND(E583&gt;=01_因子設定!$L$5-0.000000001,E583&lt;=01_因子設定!$M$5+0.000000001,F583&gt;=01_因子設定!$L$6-0.000000001,F583&lt;=01_因子設定!$M$6+0.000000001,G583&gt;=01_因子設定!$L$7-0.000000001,G583&lt;=01_因子設定!$M$7+0.000000001,H583&gt;=01_因子設定!$L$8-0.000000001,H583&lt;=01_因子設定!$M$8+0.000000001,IF(01_因子設定!$B$20="Box-Behnken",E583^2+F583^2+G583^2+H583^2&lt;=2+0.000000001,TRUE()))</f>
        <v>1</v>
      </c>
      <c r="AD583" s="55" t="n">
        <f aca="false">IF(AC583,IF(01_因子設定!$B$13="最大化",AA583-01_因子設定!$B$14,IF(01_因子設定!$B$13="最小化",01_因子設定!$B$15-AB583,MIN(AA583-01_因子設定!$B$14,01_因子設定!$B$15-AB583))),-1E+030)</f>
        <v>-7.29806244211682</v>
      </c>
      <c r="AE583" s="55" t="n">
        <f aca="false">IF(AC583,IF(01_因子設定!$B$13="最大化",X583,IF(01_因子設定!$B$13="最小化",-X583,-ABS(X583-01_因子設定!$B$16))),-1E+030)</f>
        <v>40.7612801535088</v>
      </c>
      <c r="AF583" s="55" t="n">
        <f aca="false">AD583+ROW()*0.000000001</f>
        <v>-7.29806185911682</v>
      </c>
      <c r="AG583" s="55" t="n">
        <f aca="false">AE583+ROW()*0.000000001</f>
        <v>40.7612807365088</v>
      </c>
    </row>
    <row r="584" customFormat="false" ht="15" hidden="false" customHeight="false" outlineLevel="0" collapsed="false">
      <c r="A584" s="0" t="n">
        <v>0</v>
      </c>
      <c r="B584" s="0" t="n">
        <v>7</v>
      </c>
      <c r="C584" s="0" t="n">
        <v>1</v>
      </c>
      <c r="D584" s="0" t="n">
        <v>3</v>
      </c>
      <c r="E584" s="0" t="n">
        <f aca="false">-1+A584*0.25</f>
        <v>-1</v>
      </c>
      <c r="F584" s="0" t="n">
        <f aca="false">-1+B584*0.25</f>
        <v>0.75</v>
      </c>
      <c r="G584" s="0" t="n">
        <f aca="false">-1+C584*0.25</f>
        <v>-0.75</v>
      </c>
      <c r="H584" s="0" t="n">
        <f aca="false">-1+D584*0.25</f>
        <v>-0.25</v>
      </c>
      <c r="I584" s="0" t="n">
        <f aca="false">1</f>
        <v>1</v>
      </c>
      <c r="J584" s="0" t="n">
        <f aca="false">E584</f>
        <v>-1</v>
      </c>
      <c r="K584" s="0" t="n">
        <f aca="false">F584</f>
        <v>0.75</v>
      </c>
      <c r="L584" s="0" t="n">
        <f aca="false">G584</f>
        <v>-0.75</v>
      </c>
      <c r="M584" s="0" t="n">
        <f aca="false">H584</f>
        <v>-0.25</v>
      </c>
      <c r="N584" s="0" t="n">
        <f aca="false">E584*F584</f>
        <v>-0.75</v>
      </c>
      <c r="O584" s="0" t="n">
        <f aca="false">E584*G584</f>
        <v>0.75</v>
      </c>
      <c r="P584" s="0" t="n">
        <f aca="false">E584*H584</f>
        <v>0.25</v>
      </c>
      <c r="Q584" s="0" t="n">
        <f aca="false">F584*G584</f>
        <v>-0.5625</v>
      </c>
      <c r="R584" s="0" t="n">
        <f aca="false">F584*H584</f>
        <v>-0.1875</v>
      </c>
      <c r="S584" s="0" t="n">
        <f aca="false">G584*H584</f>
        <v>0.1875</v>
      </c>
      <c r="T584" s="0" t="n">
        <f aca="false">E584*E584</f>
        <v>1</v>
      </c>
      <c r="U584" s="0" t="n">
        <f aca="false">F584*F584</f>
        <v>0.5625</v>
      </c>
      <c r="V584" s="0" t="n">
        <f aca="false">G584*G584</f>
        <v>0.5625</v>
      </c>
      <c r="W584" s="0" t="n">
        <f aca="false">H584*H584</f>
        <v>0.0625</v>
      </c>
      <c r="X584" s="0" t="n">
        <f aca="false">SUMPRODUCT(I584:W584,_XtX!$B$96:$P$96)</f>
        <v>40.8093795687135</v>
      </c>
      <c r="Y584" s="0" t="n">
        <f aca="false">SUMPRODUCT(MMULT(I584:W584,_XtX!$B$78:$P$92),I584:W584)</f>
        <v>0.473959761056287</v>
      </c>
      <c r="Z584" s="0" t="n">
        <f aca="false">04_回帰ANOVA!$K$19*04_回帰ANOVA!$K$14*SQRT(1+Y584)</f>
        <v>1.58249084588329</v>
      </c>
      <c r="AA584" s="0" t="n">
        <f aca="false">X584-Z584</f>
        <v>39.2268887228302</v>
      </c>
      <c r="AB584" s="0" t="n">
        <f aca="false">X584+Z584</f>
        <v>42.3918704145968</v>
      </c>
      <c r="AC584" s="54" t="b">
        <f aca="false">AND(E584&gt;=01_因子設定!$L$5-0.000000001,E584&lt;=01_因子設定!$M$5+0.000000001,F584&gt;=01_因子設定!$L$6-0.000000001,F584&lt;=01_因子設定!$M$6+0.000000001,G584&gt;=01_因子設定!$L$7-0.000000001,G584&lt;=01_因子設定!$M$7+0.000000001,H584&gt;=01_因子設定!$L$8-0.000000001,H584&lt;=01_因子設定!$M$8+0.000000001,IF(01_因子設定!$B$20="Box-Behnken",E584^2+F584^2+G584^2+H584^2&lt;=2+0.000000001,TRUE()))</f>
        <v>1</v>
      </c>
      <c r="AD584" s="55" t="n">
        <f aca="false">IF(AC584,IF(01_因子設定!$B$13="最大化",AA584-01_因子設定!$B$14,IF(01_因子設定!$B$13="最小化",01_因子設定!$B$15-AB584,MIN(AA584-01_因子設定!$B$14,01_因子設定!$B$15-AB584))),-1E+030)</f>
        <v>-7.2731112771698</v>
      </c>
      <c r="AE584" s="55" t="n">
        <f aca="false">IF(AC584,IF(01_因子設定!$B$13="最大化",X584,IF(01_因子設定!$B$13="最小化",-X584,-ABS(X584-01_因子設定!$B$16))),-1E+030)</f>
        <v>40.8093795687135</v>
      </c>
      <c r="AF584" s="55" t="n">
        <f aca="false">AD584+ROW()*0.000000001</f>
        <v>-7.2731106931698</v>
      </c>
      <c r="AG584" s="55" t="n">
        <f aca="false">AE584+ROW()*0.000000001</f>
        <v>40.8093801527135</v>
      </c>
    </row>
    <row r="585" customFormat="false" ht="15" hidden="false" customHeight="false" outlineLevel="0" collapsed="false">
      <c r="A585" s="0" t="n">
        <v>0</v>
      </c>
      <c r="B585" s="0" t="n">
        <v>7</v>
      </c>
      <c r="C585" s="0" t="n">
        <v>1</v>
      </c>
      <c r="D585" s="0" t="n">
        <v>4</v>
      </c>
      <c r="E585" s="0" t="n">
        <f aca="false">-1+A585*0.25</f>
        <v>-1</v>
      </c>
      <c r="F585" s="0" t="n">
        <f aca="false">-1+B585*0.25</f>
        <v>0.75</v>
      </c>
      <c r="G585" s="0" t="n">
        <f aca="false">-1+C585*0.25</f>
        <v>-0.75</v>
      </c>
      <c r="H585" s="0" t="n">
        <f aca="false">-1+D585*0.25</f>
        <v>0</v>
      </c>
      <c r="I585" s="0" t="n">
        <f aca="false">1</f>
        <v>1</v>
      </c>
      <c r="J585" s="0" t="n">
        <f aca="false">E585</f>
        <v>-1</v>
      </c>
      <c r="K585" s="0" t="n">
        <f aca="false">F585</f>
        <v>0.75</v>
      </c>
      <c r="L585" s="0" t="n">
        <f aca="false">G585</f>
        <v>-0.75</v>
      </c>
      <c r="M585" s="0" t="n">
        <f aca="false">H585</f>
        <v>0</v>
      </c>
      <c r="N585" s="0" t="n">
        <f aca="false">E585*F585</f>
        <v>-0.75</v>
      </c>
      <c r="O585" s="0" t="n">
        <f aca="false">E585*G585</f>
        <v>0.75</v>
      </c>
      <c r="P585" s="0" t="n">
        <f aca="false">E585*H585</f>
        <v>-0</v>
      </c>
      <c r="Q585" s="0" t="n">
        <f aca="false">F585*G585</f>
        <v>-0.5625</v>
      </c>
      <c r="R585" s="0" t="n">
        <f aca="false">F585*H585</f>
        <v>0</v>
      </c>
      <c r="S585" s="0" t="n">
        <f aca="false">G585*H585</f>
        <v>-0</v>
      </c>
      <c r="T585" s="0" t="n">
        <f aca="false">E585*E585</f>
        <v>1</v>
      </c>
      <c r="U585" s="0" t="n">
        <f aca="false">F585*F585</f>
        <v>0.5625</v>
      </c>
      <c r="V585" s="0" t="n">
        <f aca="false">G585*G585</f>
        <v>0.5625</v>
      </c>
      <c r="W585" s="0" t="n">
        <f aca="false">H585*H585</f>
        <v>0</v>
      </c>
      <c r="X585" s="0" t="n">
        <f aca="false">SUMPRODUCT(I585:W585,_XtX!$B$96:$P$96)</f>
        <v>40.8096719663743</v>
      </c>
      <c r="Y585" s="0" t="n">
        <f aca="false">SUMPRODUCT(MMULT(I585:W585,_XtX!$B$78:$P$92),I585:W585)</f>
        <v>0.494259126005117</v>
      </c>
      <c r="Z585" s="0" t="n">
        <f aca="false">04_回帰ANOVA!$K$19*04_回帰ANOVA!$K$14*SQRT(1+Y585)</f>
        <v>1.59335061078203</v>
      </c>
      <c r="AA585" s="0" t="n">
        <f aca="false">X585-Z585</f>
        <v>39.2163213555923</v>
      </c>
      <c r="AB585" s="0" t="n">
        <f aca="false">X585+Z585</f>
        <v>42.4030225771563</v>
      </c>
      <c r="AC585" s="54" t="b">
        <f aca="false">AND(E585&gt;=01_因子設定!$L$5-0.000000001,E585&lt;=01_因子設定!$M$5+0.000000001,F585&gt;=01_因子設定!$L$6-0.000000001,F585&lt;=01_因子設定!$M$6+0.000000001,G585&gt;=01_因子設定!$L$7-0.000000001,G585&lt;=01_因子設定!$M$7+0.000000001,H585&gt;=01_因子設定!$L$8-0.000000001,H585&lt;=01_因子設定!$M$8+0.000000001,IF(01_因子設定!$B$20="Box-Behnken",E585^2+F585^2+G585^2+H585^2&lt;=2+0.000000001,TRUE()))</f>
        <v>1</v>
      </c>
      <c r="AD585" s="55" t="n">
        <f aca="false">IF(AC585,IF(01_因子設定!$B$13="最大化",AA585-01_因子設定!$B$14,IF(01_因子設定!$B$13="最小化",01_因子設定!$B$15-AB585,MIN(AA585-01_因子設定!$B$14,01_因子設定!$B$15-AB585))),-1E+030)</f>
        <v>-7.28367864440773</v>
      </c>
      <c r="AE585" s="55" t="n">
        <f aca="false">IF(AC585,IF(01_因子設定!$B$13="最大化",X585,IF(01_因子設定!$B$13="最小化",-X585,-ABS(X585-01_因子設定!$B$16))),-1E+030)</f>
        <v>40.8096719663743</v>
      </c>
      <c r="AF585" s="55" t="n">
        <f aca="false">AD585+ROW()*0.000000001</f>
        <v>-7.28367805940773</v>
      </c>
      <c r="AG585" s="55" t="n">
        <f aca="false">AE585+ROW()*0.000000001</f>
        <v>40.8096725513743</v>
      </c>
    </row>
    <row r="586" customFormat="false" ht="15" hidden="false" customHeight="false" outlineLevel="0" collapsed="false">
      <c r="A586" s="0" t="n">
        <v>0</v>
      </c>
      <c r="B586" s="0" t="n">
        <v>7</v>
      </c>
      <c r="C586" s="0" t="n">
        <v>1</v>
      </c>
      <c r="D586" s="0" t="n">
        <v>5</v>
      </c>
      <c r="E586" s="0" t="n">
        <f aca="false">-1+A586*0.25</f>
        <v>-1</v>
      </c>
      <c r="F586" s="0" t="n">
        <f aca="false">-1+B586*0.25</f>
        <v>0.75</v>
      </c>
      <c r="G586" s="0" t="n">
        <f aca="false">-1+C586*0.25</f>
        <v>-0.75</v>
      </c>
      <c r="H586" s="0" t="n">
        <f aca="false">-1+D586*0.25</f>
        <v>0.25</v>
      </c>
      <c r="I586" s="0" t="n">
        <f aca="false">1</f>
        <v>1</v>
      </c>
      <c r="J586" s="0" t="n">
        <f aca="false">E586</f>
        <v>-1</v>
      </c>
      <c r="K586" s="0" t="n">
        <f aca="false">F586</f>
        <v>0.75</v>
      </c>
      <c r="L586" s="0" t="n">
        <f aca="false">G586</f>
        <v>-0.75</v>
      </c>
      <c r="M586" s="0" t="n">
        <f aca="false">H586</f>
        <v>0.25</v>
      </c>
      <c r="N586" s="0" t="n">
        <f aca="false">E586*F586</f>
        <v>-0.75</v>
      </c>
      <c r="O586" s="0" t="n">
        <f aca="false">E586*G586</f>
        <v>0.75</v>
      </c>
      <c r="P586" s="0" t="n">
        <f aca="false">E586*H586</f>
        <v>-0.25</v>
      </c>
      <c r="Q586" s="0" t="n">
        <f aca="false">F586*G586</f>
        <v>-0.5625</v>
      </c>
      <c r="R586" s="0" t="n">
        <f aca="false">F586*H586</f>
        <v>0.1875</v>
      </c>
      <c r="S586" s="0" t="n">
        <f aca="false">G586*H586</f>
        <v>-0.1875</v>
      </c>
      <c r="T586" s="0" t="n">
        <f aca="false">E586*E586</f>
        <v>1</v>
      </c>
      <c r="U586" s="0" t="n">
        <f aca="false">F586*F586</f>
        <v>0.5625</v>
      </c>
      <c r="V586" s="0" t="n">
        <f aca="false">G586*G586</f>
        <v>0.5625</v>
      </c>
      <c r="W586" s="0" t="n">
        <f aca="false">H586*H586</f>
        <v>0.0625</v>
      </c>
      <c r="X586" s="0" t="n">
        <f aca="false">SUMPRODUCT(I586:W586,_XtX!$B$96:$P$96)</f>
        <v>40.7621573464913</v>
      </c>
      <c r="Y586" s="0" t="n">
        <f aca="false">SUMPRODUCT(MMULT(I586:W586,_XtX!$B$78:$P$92),I586:W586)</f>
        <v>0.473959761056287</v>
      </c>
      <c r="Z586" s="0" t="n">
        <f aca="false">04_回帰ANOVA!$K$19*04_回帰ANOVA!$K$14*SQRT(1+Y586)</f>
        <v>1.58249084588329</v>
      </c>
      <c r="AA586" s="0" t="n">
        <f aca="false">X586-Z586</f>
        <v>39.179666500608</v>
      </c>
      <c r="AB586" s="0" t="n">
        <f aca="false">X586+Z586</f>
        <v>42.3446481923745</v>
      </c>
      <c r="AC586" s="54" t="b">
        <f aca="false">AND(E586&gt;=01_因子設定!$L$5-0.000000001,E586&lt;=01_因子設定!$M$5+0.000000001,F586&gt;=01_因子設定!$L$6-0.000000001,F586&lt;=01_因子設定!$M$6+0.000000001,G586&gt;=01_因子設定!$L$7-0.000000001,G586&lt;=01_因子設定!$M$7+0.000000001,H586&gt;=01_因子設定!$L$8-0.000000001,H586&lt;=01_因子設定!$M$8+0.000000001,IF(01_因子設定!$B$20="Box-Behnken",E586^2+F586^2+G586^2+H586^2&lt;=2+0.000000001,TRUE()))</f>
        <v>1</v>
      </c>
      <c r="AD586" s="55" t="n">
        <f aca="false">IF(AC586,IF(01_因子設定!$B$13="最大化",AA586-01_因子設定!$B$14,IF(01_因子設定!$B$13="最小化",01_因子設定!$B$15-AB586,MIN(AA586-01_因子設定!$B$14,01_因子設定!$B$15-AB586))),-1E+030)</f>
        <v>-7.32033349939203</v>
      </c>
      <c r="AE586" s="55" t="n">
        <f aca="false">IF(AC586,IF(01_因子設定!$B$13="最大化",X586,IF(01_因子設定!$B$13="最小化",-X586,-ABS(X586-01_因子設定!$B$16))),-1E+030)</f>
        <v>40.7621573464913</v>
      </c>
      <c r="AF586" s="55" t="n">
        <f aca="false">AD586+ROW()*0.000000001</f>
        <v>-7.32033291339203</v>
      </c>
      <c r="AG586" s="55" t="n">
        <f aca="false">AE586+ROW()*0.000000001</f>
        <v>40.7621579324913</v>
      </c>
    </row>
    <row r="587" customFormat="false" ht="15" hidden="false" customHeight="false" outlineLevel="0" collapsed="false">
      <c r="A587" s="0" t="n">
        <v>0</v>
      </c>
      <c r="B587" s="0" t="n">
        <v>7</v>
      </c>
      <c r="C587" s="0" t="n">
        <v>1</v>
      </c>
      <c r="D587" s="0" t="n">
        <v>6</v>
      </c>
      <c r="E587" s="0" t="n">
        <f aca="false">-1+A587*0.25</f>
        <v>-1</v>
      </c>
      <c r="F587" s="0" t="n">
        <f aca="false">-1+B587*0.25</f>
        <v>0.75</v>
      </c>
      <c r="G587" s="0" t="n">
        <f aca="false">-1+C587*0.25</f>
        <v>-0.75</v>
      </c>
      <c r="H587" s="0" t="n">
        <f aca="false">-1+D587*0.25</f>
        <v>0.5</v>
      </c>
      <c r="I587" s="0" t="n">
        <f aca="false">1</f>
        <v>1</v>
      </c>
      <c r="J587" s="0" t="n">
        <f aca="false">E587</f>
        <v>-1</v>
      </c>
      <c r="K587" s="0" t="n">
        <f aca="false">F587</f>
        <v>0.75</v>
      </c>
      <c r="L587" s="0" t="n">
        <f aca="false">G587</f>
        <v>-0.75</v>
      </c>
      <c r="M587" s="0" t="n">
        <f aca="false">H587</f>
        <v>0.5</v>
      </c>
      <c r="N587" s="0" t="n">
        <f aca="false">E587*F587</f>
        <v>-0.75</v>
      </c>
      <c r="O587" s="0" t="n">
        <f aca="false">E587*G587</f>
        <v>0.75</v>
      </c>
      <c r="P587" s="0" t="n">
        <f aca="false">E587*H587</f>
        <v>-0.5</v>
      </c>
      <c r="Q587" s="0" t="n">
        <f aca="false">F587*G587</f>
        <v>-0.5625</v>
      </c>
      <c r="R587" s="0" t="n">
        <f aca="false">F587*H587</f>
        <v>0.375</v>
      </c>
      <c r="S587" s="0" t="n">
        <f aca="false">G587*H587</f>
        <v>-0.375</v>
      </c>
      <c r="T587" s="0" t="n">
        <f aca="false">E587*E587</f>
        <v>1</v>
      </c>
      <c r="U587" s="0" t="n">
        <f aca="false">F587*F587</f>
        <v>0.5625</v>
      </c>
      <c r="V587" s="0" t="n">
        <f aca="false">G587*G587</f>
        <v>0.5625</v>
      </c>
      <c r="W587" s="0" t="n">
        <f aca="false">H587*H587</f>
        <v>0.25</v>
      </c>
      <c r="X587" s="0" t="n">
        <f aca="false">SUMPRODUCT(I587:W587,_XtX!$B$96:$P$96)</f>
        <v>40.6668357090644</v>
      </c>
      <c r="Y587" s="0" t="n">
        <f aca="false">SUMPRODUCT(MMULT(I587:W587,_XtX!$B$78:$P$92),I587:W587)</f>
        <v>0.431153771472953</v>
      </c>
      <c r="Z587" s="0" t="n">
        <f aca="false">04_回帰ANOVA!$K$19*04_回帰ANOVA!$K$14*SQRT(1+Y587)</f>
        <v>1.55934259562563</v>
      </c>
      <c r="AA587" s="0" t="n">
        <f aca="false">X587-Z587</f>
        <v>39.1074931134387</v>
      </c>
      <c r="AB587" s="0" t="n">
        <f aca="false">X587+Z587</f>
        <v>42.22617830469</v>
      </c>
      <c r="AC587" s="54" t="b">
        <f aca="false">AND(E587&gt;=01_因子設定!$L$5-0.000000001,E587&lt;=01_因子設定!$M$5+0.000000001,F587&gt;=01_因子設定!$L$6-0.000000001,F587&lt;=01_因子設定!$M$6+0.000000001,G587&gt;=01_因子設定!$L$7-0.000000001,G587&lt;=01_因子設定!$M$7+0.000000001,H587&gt;=01_因子設定!$L$8-0.000000001,H587&lt;=01_因子設定!$M$8+0.000000001,IF(01_因子設定!$B$20="Box-Behnken",E587^2+F587^2+G587^2+H587^2&lt;=2+0.000000001,TRUE()))</f>
        <v>1</v>
      </c>
      <c r="AD587" s="55" t="n">
        <f aca="false">IF(AC587,IF(01_因子設定!$B$13="最大化",AA587-01_因子設定!$B$14,IF(01_因子設定!$B$13="最小化",01_因子設定!$B$15-AB587,MIN(AA587-01_因子設定!$B$14,01_因子設定!$B$15-AB587))),-1E+030)</f>
        <v>-7.39250688656126</v>
      </c>
      <c r="AE587" s="55" t="n">
        <f aca="false">IF(AC587,IF(01_因子設定!$B$13="最大化",X587,IF(01_因子設定!$B$13="最小化",-X587,-ABS(X587-01_因子設定!$B$16))),-1E+030)</f>
        <v>40.6668357090644</v>
      </c>
      <c r="AF587" s="55" t="n">
        <f aca="false">AD587+ROW()*0.000000001</f>
        <v>-7.39250629956127</v>
      </c>
      <c r="AG587" s="55" t="n">
        <f aca="false">AE587+ROW()*0.000000001</f>
        <v>40.6668362960644</v>
      </c>
    </row>
    <row r="588" customFormat="false" ht="15" hidden="false" customHeight="false" outlineLevel="0" collapsed="false">
      <c r="A588" s="0" t="n">
        <v>0</v>
      </c>
      <c r="B588" s="0" t="n">
        <v>7</v>
      </c>
      <c r="C588" s="0" t="n">
        <v>1</v>
      </c>
      <c r="D588" s="0" t="n">
        <v>7</v>
      </c>
      <c r="E588" s="0" t="n">
        <f aca="false">-1+A588*0.25</f>
        <v>-1</v>
      </c>
      <c r="F588" s="0" t="n">
        <f aca="false">-1+B588*0.25</f>
        <v>0.75</v>
      </c>
      <c r="G588" s="0" t="n">
        <f aca="false">-1+C588*0.25</f>
        <v>-0.75</v>
      </c>
      <c r="H588" s="0" t="n">
        <f aca="false">-1+D588*0.25</f>
        <v>0.75</v>
      </c>
      <c r="I588" s="0" t="n">
        <f aca="false">1</f>
        <v>1</v>
      </c>
      <c r="J588" s="0" t="n">
        <f aca="false">E588</f>
        <v>-1</v>
      </c>
      <c r="K588" s="0" t="n">
        <f aca="false">F588</f>
        <v>0.75</v>
      </c>
      <c r="L588" s="0" t="n">
        <f aca="false">G588</f>
        <v>-0.75</v>
      </c>
      <c r="M588" s="0" t="n">
        <f aca="false">H588</f>
        <v>0.75</v>
      </c>
      <c r="N588" s="0" t="n">
        <f aca="false">E588*F588</f>
        <v>-0.75</v>
      </c>
      <c r="O588" s="0" t="n">
        <f aca="false">E588*G588</f>
        <v>0.75</v>
      </c>
      <c r="P588" s="0" t="n">
        <f aca="false">E588*H588</f>
        <v>-0.75</v>
      </c>
      <c r="Q588" s="0" t="n">
        <f aca="false">F588*G588</f>
        <v>-0.5625</v>
      </c>
      <c r="R588" s="0" t="n">
        <f aca="false">F588*H588</f>
        <v>0.5625</v>
      </c>
      <c r="S588" s="0" t="n">
        <f aca="false">G588*H588</f>
        <v>-0.5625</v>
      </c>
      <c r="T588" s="0" t="n">
        <f aca="false">E588*E588</f>
        <v>1</v>
      </c>
      <c r="U588" s="0" t="n">
        <f aca="false">F588*F588</f>
        <v>0.5625</v>
      </c>
      <c r="V588" s="0" t="n">
        <f aca="false">G588*G588</f>
        <v>0.5625</v>
      </c>
      <c r="W588" s="0" t="n">
        <f aca="false">H588*H588</f>
        <v>0.5625</v>
      </c>
      <c r="X588" s="0" t="n">
        <f aca="false">SUMPRODUCT(I588:W588,_XtX!$B$96:$P$96)</f>
        <v>40.5237070540936</v>
      </c>
      <c r="Y588" s="0" t="n">
        <f aca="false">SUMPRODUCT(MMULT(I588:W588,_XtX!$B$78:$P$92),I588:W588)</f>
        <v>0.420117473044591</v>
      </c>
      <c r="Z588" s="0" t="n">
        <f aca="false">04_回帰ANOVA!$K$19*04_回帰ANOVA!$K$14*SQRT(1+Y588)</f>
        <v>1.55331854827765</v>
      </c>
      <c r="AA588" s="0" t="n">
        <f aca="false">X588-Z588</f>
        <v>38.970388505816</v>
      </c>
      <c r="AB588" s="0" t="n">
        <f aca="false">X588+Z588</f>
        <v>42.0770256023713</v>
      </c>
      <c r="AC588" s="54" t="b">
        <f aca="false">AND(E588&gt;=01_因子設定!$L$5-0.000000001,E588&lt;=01_因子設定!$M$5+0.000000001,F588&gt;=01_因子設定!$L$6-0.000000001,F588&lt;=01_因子設定!$M$6+0.000000001,G588&gt;=01_因子設定!$L$7-0.000000001,G588&lt;=01_因子設定!$M$7+0.000000001,H588&gt;=01_因子設定!$L$8-0.000000001,H588&lt;=01_因子設定!$M$8+0.000000001,IF(01_因子設定!$B$20="Box-Behnken",E588^2+F588^2+G588^2+H588^2&lt;=2+0.000000001,TRUE()))</f>
        <v>1</v>
      </c>
      <c r="AD588" s="55" t="n">
        <f aca="false">IF(AC588,IF(01_因子設定!$B$13="最大化",AA588-01_因子設定!$B$14,IF(01_因子設定!$B$13="最小化",01_因子設定!$B$15-AB588,MIN(AA588-01_因子設定!$B$14,01_因子設定!$B$15-AB588))),-1E+030)</f>
        <v>-7.52961149418403</v>
      </c>
      <c r="AE588" s="55" t="n">
        <f aca="false">IF(AC588,IF(01_因子設定!$B$13="最大化",X588,IF(01_因子設定!$B$13="最小化",-X588,-ABS(X588-01_因子設定!$B$16))),-1E+030)</f>
        <v>40.5237070540936</v>
      </c>
      <c r="AF588" s="55" t="n">
        <f aca="false">AD588+ROW()*0.000000001</f>
        <v>-7.52961090618403</v>
      </c>
      <c r="AG588" s="55" t="n">
        <f aca="false">AE588+ROW()*0.000000001</f>
        <v>40.5237076420936</v>
      </c>
    </row>
    <row r="589" customFormat="false" ht="15" hidden="false" customHeight="false" outlineLevel="0" collapsed="false">
      <c r="A589" s="0" t="n">
        <v>0</v>
      </c>
      <c r="B589" s="0" t="n">
        <v>7</v>
      </c>
      <c r="C589" s="0" t="n">
        <v>1</v>
      </c>
      <c r="D589" s="0" t="n">
        <v>8</v>
      </c>
      <c r="E589" s="0" t="n">
        <f aca="false">-1+A589*0.25</f>
        <v>-1</v>
      </c>
      <c r="F589" s="0" t="n">
        <f aca="false">-1+B589*0.25</f>
        <v>0.75</v>
      </c>
      <c r="G589" s="0" t="n">
        <f aca="false">-1+C589*0.25</f>
        <v>-0.75</v>
      </c>
      <c r="H589" s="0" t="n">
        <f aca="false">-1+D589*0.25</f>
        <v>1</v>
      </c>
      <c r="I589" s="0" t="n">
        <f aca="false">1</f>
        <v>1</v>
      </c>
      <c r="J589" s="0" t="n">
        <f aca="false">E589</f>
        <v>-1</v>
      </c>
      <c r="K589" s="0" t="n">
        <f aca="false">F589</f>
        <v>0.75</v>
      </c>
      <c r="L589" s="0" t="n">
        <f aca="false">G589</f>
        <v>-0.75</v>
      </c>
      <c r="M589" s="0" t="n">
        <f aca="false">H589</f>
        <v>1</v>
      </c>
      <c r="N589" s="0" t="n">
        <f aca="false">E589*F589</f>
        <v>-0.75</v>
      </c>
      <c r="O589" s="0" t="n">
        <f aca="false">E589*G589</f>
        <v>0.75</v>
      </c>
      <c r="P589" s="0" t="n">
        <f aca="false">E589*H589</f>
        <v>-1</v>
      </c>
      <c r="Q589" s="0" t="n">
        <f aca="false">F589*G589</f>
        <v>-0.5625</v>
      </c>
      <c r="R589" s="0" t="n">
        <f aca="false">F589*H589</f>
        <v>0.75</v>
      </c>
      <c r="S589" s="0" t="n">
        <f aca="false">G589*H589</f>
        <v>-0.75</v>
      </c>
      <c r="T589" s="0" t="n">
        <f aca="false">E589*E589</f>
        <v>1</v>
      </c>
      <c r="U589" s="0" t="n">
        <f aca="false">F589*F589</f>
        <v>0.5625</v>
      </c>
      <c r="V589" s="0" t="n">
        <f aca="false">G589*G589</f>
        <v>0.5625</v>
      </c>
      <c r="W589" s="0" t="n">
        <f aca="false">H589*H589</f>
        <v>1</v>
      </c>
      <c r="X589" s="0" t="n">
        <f aca="false">SUMPRODUCT(I589:W589,_XtX!$B$96:$P$96)</f>
        <v>40.332771381579</v>
      </c>
      <c r="Y589" s="0" t="n">
        <f aca="false">SUMPRODUCT(MMULT(I589:W589,_XtX!$B$78:$P$92),I589:W589)</f>
        <v>0.531311392086988</v>
      </c>
      <c r="Z589" s="0" t="n">
        <f aca="false">04_回帰ANOVA!$K$19*04_回帰ANOVA!$K$14*SQRT(1+Y589)</f>
        <v>1.61298433431428</v>
      </c>
      <c r="AA589" s="0" t="n">
        <f aca="false">X589-Z589</f>
        <v>38.7197870472647</v>
      </c>
      <c r="AB589" s="0" t="n">
        <f aca="false">X589+Z589</f>
        <v>41.9457557158933</v>
      </c>
      <c r="AC589" s="54" t="b">
        <f aca="false">AND(E589&gt;=01_因子設定!$L$5-0.000000001,E589&lt;=01_因子設定!$M$5+0.000000001,F589&gt;=01_因子設定!$L$6-0.000000001,F589&lt;=01_因子設定!$M$6+0.000000001,G589&gt;=01_因子設定!$L$7-0.000000001,G589&lt;=01_因子設定!$M$7+0.000000001,H589&gt;=01_因子設定!$L$8-0.000000001,H589&lt;=01_因子設定!$M$8+0.000000001,IF(01_因子設定!$B$20="Box-Behnken",E589^2+F589^2+G589^2+H589^2&lt;=2+0.000000001,TRUE()))</f>
        <v>1</v>
      </c>
      <c r="AD589" s="55" t="n">
        <f aca="false">IF(AC589,IF(01_因子設定!$B$13="最大化",AA589-01_因子設定!$B$14,IF(01_因子設定!$B$13="最小化",01_因子設定!$B$15-AB589,MIN(AA589-01_因子設定!$B$14,01_因子設定!$B$15-AB589))),-1E+030)</f>
        <v>-7.78021295273527</v>
      </c>
      <c r="AE589" s="55" t="n">
        <f aca="false">IF(AC589,IF(01_因子設定!$B$13="最大化",X589,IF(01_因子設定!$B$13="最小化",-X589,-ABS(X589-01_因子設定!$B$16))),-1E+030)</f>
        <v>40.332771381579</v>
      </c>
      <c r="AF589" s="55" t="n">
        <f aca="false">AD589+ROW()*0.000000001</f>
        <v>-7.78021236373527</v>
      </c>
      <c r="AG589" s="55" t="n">
        <f aca="false">AE589+ROW()*0.000000001</f>
        <v>40.332771970579</v>
      </c>
    </row>
    <row r="590" customFormat="false" ht="15" hidden="false" customHeight="false" outlineLevel="0" collapsed="false">
      <c r="A590" s="0" t="n">
        <v>0</v>
      </c>
      <c r="B590" s="0" t="n">
        <v>7</v>
      </c>
      <c r="C590" s="0" t="n">
        <v>2</v>
      </c>
      <c r="D590" s="0" t="n">
        <v>0</v>
      </c>
      <c r="E590" s="0" t="n">
        <f aca="false">-1+A590*0.25</f>
        <v>-1</v>
      </c>
      <c r="F590" s="0" t="n">
        <f aca="false">-1+B590*0.25</f>
        <v>0.75</v>
      </c>
      <c r="G590" s="0" t="n">
        <f aca="false">-1+C590*0.25</f>
        <v>-0.5</v>
      </c>
      <c r="H590" s="0" t="n">
        <f aca="false">-1+D590*0.25</f>
        <v>-1</v>
      </c>
      <c r="I590" s="0" t="n">
        <f aca="false">1</f>
        <v>1</v>
      </c>
      <c r="J590" s="0" t="n">
        <f aca="false">E590</f>
        <v>-1</v>
      </c>
      <c r="K590" s="0" t="n">
        <f aca="false">F590</f>
        <v>0.75</v>
      </c>
      <c r="L590" s="0" t="n">
        <f aca="false">G590</f>
        <v>-0.5</v>
      </c>
      <c r="M590" s="0" t="n">
        <f aca="false">H590</f>
        <v>-1</v>
      </c>
      <c r="N590" s="0" t="n">
        <f aca="false">E590*F590</f>
        <v>-0.75</v>
      </c>
      <c r="O590" s="0" t="n">
        <f aca="false">E590*G590</f>
        <v>0.5</v>
      </c>
      <c r="P590" s="0" t="n">
        <f aca="false">E590*H590</f>
        <v>1</v>
      </c>
      <c r="Q590" s="0" t="n">
        <f aca="false">F590*G590</f>
        <v>-0.375</v>
      </c>
      <c r="R590" s="0" t="n">
        <f aca="false">F590*H590</f>
        <v>-0.75</v>
      </c>
      <c r="S590" s="0" t="n">
        <f aca="false">G590*H590</f>
        <v>0.5</v>
      </c>
      <c r="T590" s="0" t="n">
        <f aca="false">E590*E590</f>
        <v>1</v>
      </c>
      <c r="U590" s="0" t="n">
        <f aca="false">F590*F590</f>
        <v>0.5625</v>
      </c>
      <c r="V590" s="0" t="n">
        <f aca="false">G590*G590</f>
        <v>0.25</v>
      </c>
      <c r="W590" s="0" t="n">
        <f aca="false">H590*H590</f>
        <v>1</v>
      </c>
      <c r="X590" s="0" t="n">
        <f aca="false">SUMPRODUCT(I590:W590,_XtX!$B$96:$P$96)</f>
        <v>41.1299798976609</v>
      </c>
      <c r="Y590" s="0" t="n">
        <f aca="false">SUMPRODUCT(MMULT(I590:W590,_XtX!$B$78:$P$92),I590:W590)</f>
        <v>0.564984237938597</v>
      </c>
      <c r="Z590" s="0" t="n">
        <f aca="false">04_回帰ANOVA!$K$19*04_回帰ANOVA!$K$14*SQRT(1+Y590)</f>
        <v>1.63062229734503</v>
      </c>
      <c r="AA590" s="0" t="n">
        <f aca="false">X590-Z590</f>
        <v>39.4993576003159</v>
      </c>
      <c r="AB590" s="0" t="n">
        <f aca="false">X590+Z590</f>
        <v>42.7606021950059</v>
      </c>
      <c r="AC590" s="54" t="b">
        <f aca="false">AND(E590&gt;=01_因子設定!$L$5-0.000000001,E590&lt;=01_因子設定!$M$5+0.000000001,F590&gt;=01_因子設定!$L$6-0.000000001,F590&lt;=01_因子設定!$M$6+0.000000001,G590&gt;=01_因子設定!$L$7-0.000000001,G590&lt;=01_因子設定!$M$7+0.000000001,H590&gt;=01_因子設定!$L$8-0.000000001,H590&lt;=01_因子設定!$M$8+0.000000001,IF(01_因子設定!$B$20="Box-Behnken",E590^2+F590^2+G590^2+H590^2&lt;=2+0.000000001,TRUE()))</f>
        <v>1</v>
      </c>
      <c r="AD590" s="55" t="n">
        <f aca="false">IF(AC590,IF(01_因子設定!$B$13="最大化",AA590-01_因子設定!$B$14,IF(01_因子設定!$B$13="最小化",01_因子設定!$B$15-AB590,MIN(AA590-01_因子設定!$B$14,01_因子設定!$B$15-AB590))),-1E+030)</f>
        <v>-7.00064239968415</v>
      </c>
      <c r="AE590" s="55" t="n">
        <f aca="false">IF(AC590,IF(01_因子設定!$B$13="最大化",X590,IF(01_因子設定!$B$13="最小化",-X590,-ABS(X590-01_因子設定!$B$16))),-1E+030)</f>
        <v>41.1299798976609</v>
      </c>
      <c r="AF590" s="55" t="n">
        <f aca="false">AD590+ROW()*0.000000001</f>
        <v>-7.00064180968415</v>
      </c>
      <c r="AG590" s="55" t="n">
        <f aca="false">AE590+ROW()*0.000000001</f>
        <v>41.1299804876609</v>
      </c>
    </row>
    <row r="591" customFormat="false" ht="15" hidden="false" customHeight="false" outlineLevel="0" collapsed="false">
      <c r="A591" s="0" t="n">
        <v>0</v>
      </c>
      <c r="B591" s="0" t="n">
        <v>7</v>
      </c>
      <c r="C591" s="0" t="n">
        <v>2</v>
      </c>
      <c r="D591" s="0" t="n">
        <v>1</v>
      </c>
      <c r="E591" s="0" t="n">
        <f aca="false">-1+A591*0.25</f>
        <v>-1</v>
      </c>
      <c r="F591" s="0" t="n">
        <f aca="false">-1+B591*0.25</f>
        <v>0.75</v>
      </c>
      <c r="G591" s="0" t="n">
        <f aca="false">-1+C591*0.25</f>
        <v>-0.5</v>
      </c>
      <c r="H591" s="0" t="n">
        <f aca="false">-1+D591*0.25</f>
        <v>-0.75</v>
      </c>
      <c r="I591" s="0" t="n">
        <f aca="false">1</f>
        <v>1</v>
      </c>
      <c r="J591" s="0" t="n">
        <f aca="false">E591</f>
        <v>-1</v>
      </c>
      <c r="K591" s="0" t="n">
        <f aca="false">F591</f>
        <v>0.75</v>
      </c>
      <c r="L591" s="0" t="n">
        <f aca="false">G591</f>
        <v>-0.5</v>
      </c>
      <c r="M591" s="0" t="n">
        <f aca="false">H591</f>
        <v>-0.75</v>
      </c>
      <c r="N591" s="0" t="n">
        <f aca="false">E591*F591</f>
        <v>-0.75</v>
      </c>
      <c r="O591" s="0" t="n">
        <f aca="false">E591*G591</f>
        <v>0.5</v>
      </c>
      <c r="P591" s="0" t="n">
        <f aca="false">E591*H591</f>
        <v>0.75</v>
      </c>
      <c r="Q591" s="0" t="n">
        <f aca="false">F591*G591</f>
        <v>-0.375</v>
      </c>
      <c r="R591" s="0" t="n">
        <f aca="false">F591*H591</f>
        <v>-0.5625</v>
      </c>
      <c r="S591" s="0" t="n">
        <f aca="false">G591*H591</f>
        <v>0.375</v>
      </c>
      <c r="T591" s="0" t="n">
        <f aca="false">E591*E591</f>
        <v>1</v>
      </c>
      <c r="U591" s="0" t="n">
        <f aca="false">F591*F591</f>
        <v>0.5625</v>
      </c>
      <c r="V591" s="0" t="n">
        <f aca="false">G591*G591</f>
        <v>0.25</v>
      </c>
      <c r="W591" s="0" t="n">
        <f aca="false">H591*H591</f>
        <v>0.5625</v>
      </c>
      <c r="X591" s="0" t="n">
        <f aca="false">SUMPRODUCT(I591:W591,_XtX!$B$96:$P$96)</f>
        <v>41.2916620979533</v>
      </c>
      <c r="Y591" s="0" t="n">
        <f aca="false">SUMPRODUCT(MMULT(I591:W591,_XtX!$B$78:$P$92),I591:W591)</f>
        <v>0.431153771472953</v>
      </c>
      <c r="Z591" s="0" t="n">
        <f aca="false">04_回帰ANOVA!$K$19*04_回帰ANOVA!$K$14*SQRT(1+Y591)</f>
        <v>1.55934259562563</v>
      </c>
      <c r="AA591" s="0" t="n">
        <f aca="false">X591-Z591</f>
        <v>39.7323195023276</v>
      </c>
      <c r="AB591" s="0" t="n">
        <f aca="false">X591+Z591</f>
        <v>42.8510046935789</v>
      </c>
      <c r="AC591" s="54" t="b">
        <f aca="false">AND(E591&gt;=01_因子設定!$L$5-0.000000001,E591&lt;=01_因子設定!$M$5+0.000000001,F591&gt;=01_因子設定!$L$6-0.000000001,F591&lt;=01_因子設定!$M$6+0.000000001,G591&gt;=01_因子設定!$L$7-0.000000001,G591&lt;=01_因子設定!$M$7+0.000000001,H591&gt;=01_因子設定!$L$8-0.000000001,H591&lt;=01_因子設定!$M$8+0.000000001,IF(01_因子設定!$B$20="Box-Behnken",E591^2+F591^2+G591^2+H591^2&lt;=2+0.000000001,TRUE()))</f>
        <v>1</v>
      </c>
      <c r="AD591" s="55" t="n">
        <f aca="false">IF(AC591,IF(01_因子設定!$B$13="最大化",AA591-01_因子設定!$B$14,IF(01_因子設定!$B$13="最小化",01_因子設定!$B$15-AB591,MIN(AA591-01_因子設定!$B$14,01_因子設定!$B$15-AB591))),-1E+030)</f>
        <v>-6.76768049767237</v>
      </c>
      <c r="AE591" s="55" t="n">
        <f aca="false">IF(AC591,IF(01_因子設定!$B$13="最大化",X591,IF(01_因子設定!$B$13="最小化",-X591,-ABS(X591-01_因子設定!$B$16))),-1E+030)</f>
        <v>41.2916620979533</v>
      </c>
      <c r="AF591" s="55" t="n">
        <f aca="false">AD591+ROW()*0.000000001</f>
        <v>-6.76767990667237</v>
      </c>
      <c r="AG591" s="55" t="n">
        <f aca="false">AE591+ROW()*0.000000001</f>
        <v>41.2916626889533</v>
      </c>
    </row>
    <row r="592" customFormat="false" ht="15" hidden="false" customHeight="false" outlineLevel="0" collapsed="false">
      <c r="A592" s="0" t="n">
        <v>0</v>
      </c>
      <c r="B592" s="0" t="n">
        <v>7</v>
      </c>
      <c r="C592" s="0" t="n">
        <v>2</v>
      </c>
      <c r="D592" s="0" t="n">
        <v>2</v>
      </c>
      <c r="E592" s="0" t="n">
        <f aca="false">-1+A592*0.25</f>
        <v>-1</v>
      </c>
      <c r="F592" s="0" t="n">
        <f aca="false">-1+B592*0.25</f>
        <v>0.75</v>
      </c>
      <c r="G592" s="0" t="n">
        <f aca="false">-1+C592*0.25</f>
        <v>-0.5</v>
      </c>
      <c r="H592" s="0" t="n">
        <f aca="false">-1+D592*0.25</f>
        <v>-0.5</v>
      </c>
      <c r="I592" s="0" t="n">
        <f aca="false">1</f>
        <v>1</v>
      </c>
      <c r="J592" s="0" t="n">
        <f aca="false">E592</f>
        <v>-1</v>
      </c>
      <c r="K592" s="0" t="n">
        <f aca="false">F592</f>
        <v>0.75</v>
      </c>
      <c r="L592" s="0" t="n">
        <f aca="false">G592</f>
        <v>-0.5</v>
      </c>
      <c r="M592" s="0" t="n">
        <f aca="false">H592</f>
        <v>-0.5</v>
      </c>
      <c r="N592" s="0" t="n">
        <f aca="false">E592*F592</f>
        <v>-0.75</v>
      </c>
      <c r="O592" s="0" t="n">
        <f aca="false">E592*G592</f>
        <v>0.5</v>
      </c>
      <c r="P592" s="0" t="n">
        <f aca="false">E592*H592</f>
        <v>0.5</v>
      </c>
      <c r="Q592" s="0" t="n">
        <f aca="false">F592*G592</f>
        <v>-0.375</v>
      </c>
      <c r="R592" s="0" t="n">
        <f aca="false">F592*H592</f>
        <v>-0.375</v>
      </c>
      <c r="S592" s="0" t="n">
        <f aca="false">G592*H592</f>
        <v>0.25</v>
      </c>
      <c r="T592" s="0" t="n">
        <f aca="false">E592*E592</f>
        <v>1</v>
      </c>
      <c r="U592" s="0" t="n">
        <f aca="false">F592*F592</f>
        <v>0.5625</v>
      </c>
      <c r="V592" s="0" t="n">
        <f aca="false">G592*G592</f>
        <v>0.25</v>
      </c>
      <c r="W592" s="0" t="n">
        <f aca="false">H592*H592</f>
        <v>0.25</v>
      </c>
      <c r="X592" s="0" t="n">
        <f aca="false">SUMPRODUCT(I592:W592,_XtX!$B$96:$P$96)</f>
        <v>41.4055372807018</v>
      </c>
      <c r="Y592" s="0" t="n">
        <f aca="false">SUMPRODUCT(MMULT(I592:W592,_XtX!$B$78:$P$92),I592:W592)</f>
        <v>0.42602110745614</v>
      </c>
      <c r="Z592" s="0" t="n">
        <f aca="false">04_回帰ANOVA!$K$19*04_回帰ANOVA!$K$14*SQRT(1+Y592)</f>
        <v>1.55654388501114</v>
      </c>
      <c r="AA592" s="0" t="n">
        <f aca="false">X592-Z592</f>
        <v>39.8489933956907</v>
      </c>
      <c r="AB592" s="0" t="n">
        <f aca="false">X592+Z592</f>
        <v>42.9620811657129</v>
      </c>
      <c r="AC592" s="54" t="b">
        <f aca="false">AND(E592&gt;=01_因子設定!$L$5-0.000000001,E592&lt;=01_因子設定!$M$5+0.000000001,F592&gt;=01_因子設定!$L$6-0.000000001,F592&lt;=01_因子設定!$M$6+0.000000001,G592&gt;=01_因子設定!$L$7-0.000000001,G592&lt;=01_因子設定!$M$7+0.000000001,H592&gt;=01_因子設定!$L$8-0.000000001,H592&lt;=01_因子設定!$M$8+0.000000001,IF(01_因子設定!$B$20="Box-Behnken",E592^2+F592^2+G592^2+H592^2&lt;=2+0.000000001,TRUE()))</f>
        <v>1</v>
      </c>
      <c r="AD592" s="55" t="n">
        <f aca="false">IF(AC592,IF(01_因子設定!$B$13="最大化",AA592-01_因子設定!$B$14,IF(01_因子設定!$B$13="最小化",01_因子設定!$B$15-AB592,MIN(AA592-01_因子設定!$B$14,01_因子設定!$B$15-AB592))),-1E+030)</f>
        <v>-6.65100660430934</v>
      </c>
      <c r="AE592" s="55" t="n">
        <f aca="false">IF(AC592,IF(01_因子設定!$B$13="最大化",X592,IF(01_因子設定!$B$13="最小化",-X592,-ABS(X592-01_因子設定!$B$16))),-1E+030)</f>
        <v>41.4055372807018</v>
      </c>
      <c r="AF592" s="55" t="n">
        <f aca="false">AD592+ROW()*0.000000001</f>
        <v>-6.65100601230934</v>
      </c>
      <c r="AG592" s="55" t="n">
        <f aca="false">AE592+ROW()*0.000000001</f>
        <v>41.4055378727018</v>
      </c>
    </row>
    <row r="593" customFormat="false" ht="15" hidden="false" customHeight="false" outlineLevel="0" collapsed="false">
      <c r="A593" s="0" t="n">
        <v>0</v>
      </c>
      <c r="B593" s="0" t="n">
        <v>7</v>
      </c>
      <c r="C593" s="0" t="n">
        <v>2</v>
      </c>
      <c r="D593" s="0" t="n">
        <v>3</v>
      </c>
      <c r="E593" s="0" t="n">
        <f aca="false">-1+A593*0.25</f>
        <v>-1</v>
      </c>
      <c r="F593" s="0" t="n">
        <f aca="false">-1+B593*0.25</f>
        <v>0.75</v>
      </c>
      <c r="G593" s="0" t="n">
        <f aca="false">-1+C593*0.25</f>
        <v>-0.5</v>
      </c>
      <c r="H593" s="0" t="n">
        <f aca="false">-1+D593*0.25</f>
        <v>-0.25</v>
      </c>
      <c r="I593" s="0" t="n">
        <f aca="false">1</f>
        <v>1</v>
      </c>
      <c r="J593" s="0" t="n">
        <f aca="false">E593</f>
        <v>-1</v>
      </c>
      <c r="K593" s="0" t="n">
        <f aca="false">F593</f>
        <v>0.75</v>
      </c>
      <c r="L593" s="0" t="n">
        <f aca="false">G593</f>
        <v>-0.5</v>
      </c>
      <c r="M593" s="0" t="n">
        <f aca="false">H593</f>
        <v>-0.25</v>
      </c>
      <c r="N593" s="0" t="n">
        <f aca="false">E593*F593</f>
        <v>-0.75</v>
      </c>
      <c r="O593" s="0" t="n">
        <f aca="false">E593*G593</f>
        <v>0.5</v>
      </c>
      <c r="P593" s="0" t="n">
        <f aca="false">E593*H593</f>
        <v>0.25</v>
      </c>
      <c r="Q593" s="0" t="n">
        <f aca="false">F593*G593</f>
        <v>-0.375</v>
      </c>
      <c r="R593" s="0" t="n">
        <f aca="false">F593*H593</f>
        <v>-0.1875</v>
      </c>
      <c r="S593" s="0" t="n">
        <f aca="false">G593*H593</f>
        <v>0.125</v>
      </c>
      <c r="T593" s="0" t="n">
        <f aca="false">E593*E593</f>
        <v>1</v>
      </c>
      <c r="U593" s="0" t="n">
        <f aca="false">F593*F593</f>
        <v>0.5625</v>
      </c>
      <c r="V593" s="0" t="n">
        <f aca="false">G593*G593</f>
        <v>0.25</v>
      </c>
      <c r="W593" s="0" t="n">
        <f aca="false">H593*H593</f>
        <v>0.0625</v>
      </c>
      <c r="X593" s="0" t="n">
        <f aca="false">SUMPRODUCT(I593:W593,_XtX!$B$96:$P$96)</f>
        <v>41.4716054459065</v>
      </c>
      <c r="Y593" s="0" t="n">
        <f aca="false">SUMPRODUCT(MMULT(I593:W593,_XtX!$B$78:$P$92),I593:W593)</f>
        <v>0.459125719572369</v>
      </c>
      <c r="Z593" s="0" t="n">
        <f aca="false">04_回帰ANOVA!$K$19*04_回帰ANOVA!$K$14*SQRT(1+Y593)</f>
        <v>1.57450755575573</v>
      </c>
      <c r="AA593" s="0" t="n">
        <f aca="false">X593-Z593</f>
        <v>39.8970978901507</v>
      </c>
      <c r="AB593" s="0" t="n">
        <f aca="false">X593+Z593</f>
        <v>43.0461130016622</v>
      </c>
      <c r="AC593" s="54" t="b">
        <f aca="false">AND(E593&gt;=01_因子設定!$L$5-0.000000001,E593&lt;=01_因子設定!$M$5+0.000000001,F593&gt;=01_因子設定!$L$6-0.000000001,F593&lt;=01_因子設定!$M$6+0.000000001,G593&gt;=01_因子設定!$L$7-0.000000001,G593&lt;=01_因子設定!$M$7+0.000000001,H593&gt;=01_因子設定!$L$8-0.000000001,H593&lt;=01_因子設定!$M$8+0.000000001,IF(01_因子設定!$B$20="Box-Behnken",E593^2+F593^2+G593^2+H593^2&lt;=2+0.000000001,TRUE()))</f>
        <v>1</v>
      </c>
      <c r="AD593" s="55" t="n">
        <f aca="false">IF(AC593,IF(01_因子設定!$B$13="最大化",AA593-01_因子設定!$B$14,IF(01_因子設定!$B$13="最小化",01_因子設定!$B$15-AB593,MIN(AA593-01_因子設定!$B$14,01_因子設定!$B$15-AB593))),-1E+030)</f>
        <v>-6.60290210984927</v>
      </c>
      <c r="AE593" s="55" t="n">
        <f aca="false">IF(AC593,IF(01_因子設定!$B$13="最大化",X593,IF(01_因子設定!$B$13="最小化",-X593,-ABS(X593-01_因子設定!$B$16))),-1E+030)</f>
        <v>41.4716054459065</v>
      </c>
      <c r="AF593" s="55" t="n">
        <f aca="false">AD593+ROW()*0.000000001</f>
        <v>-6.60290151684927</v>
      </c>
      <c r="AG593" s="55" t="n">
        <f aca="false">AE593+ROW()*0.000000001</f>
        <v>41.4716060389065</v>
      </c>
    </row>
    <row r="594" customFormat="false" ht="15" hidden="false" customHeight="false" outlineLevel="0" collapsed="false">
      <c r="A594" s="0" t="n">
        <v>0</v>
      </c>
      <c r="B594" s="0" t="n">
        <v>7</v>
      </c>
      <c r="C594" s="0" t="n">
        <v>2</v>
      </c>
      <c r="D594" s="0" t="n">
        <v>4</v>
      </c>
      <c r="E594" s="0" t="n">
        <f aca="false">-1+A594*0.25</f>
        <v>-1</v>
      </c>
      <c r="F594" s="0" t="n">
        <f aca="false">-1+B594*0.25</f>
        <v>0.75</v>
      </c>
      <c r="G594" s="0" t="n">
        <f aca="false">-1+C594*0.25</f>
        <v>-0.5</v>
      </c>
      <c r="H594" s="0" t="n">
        <f aca="false">-1+D594*0.25</f>
        <v>0</v>
      </c>
      <c r="I594" s="0" t="n">
        <f aca="false">1</f>
        <v>1</v>
      </c>
      <c r="J594" s="0" t="n">
        <f aca="false">E594</f>
        <v>-1</v>
      </c>
      <c r="K594" s="0" t="n">
        <f aca="false">F594</f>
        <v>0.75</v>
      </c>
      <c r="L594" s="0" t="n">
        <f aca="false">G594</f>
        <v>-0.5</v>
      </c>
      <c r="M594" s="0" t="n">
        <f aca="false">H594</f>
        <v>0</v>
      </c>
      <c r="N594" s="0" t="n">
        <f aca="false">E594*F594</f>
        <v>-0.75</v>
      </c>
      <c r="O594" s="0" t="n">
        <f aca="false">E594*G594</f>
        <v>0.5</v>
      </c>
      <c r="P594" s="0" t="n">
        <f aca="false">E594*H594</f>
        <v>-0</v>
      </c>
      <c r="Q594" s="0" t="n">
        <f aca="false">F594*G594</f>
        <v>-0.375</v>
      </c>
      <c r="R594" s="0" t="n">
        <f aca="false">F594*H594</f>
        <v>0</v>
      </c>
      <c r="S594" s="0" t="n">
        <f aca="false">G594*H594</f>
        <v>-0</v>
      </c>
      <c r="T594" s="0" t="n">
        <f aca="false">E594*E594</f>
        <v>1</v>
      </c>
      <c r="U594" s="0" t="n">
        <f aca="false">F594*F594</f>
        <v>0.5625</v>
      </c>
      <c r="V594" s="0" t="n">
        <f aca="false">G594*G594</f>
        <v>0.25</v>
      </c>
      <c r="W594" s="0" t="n">
        <f aca="false">H594*H594</f>
        <v>0</v>
      </c>
      <c r="X594" s="0" t="n">
        <f aca="false">SUMPRODUCT(I594:W594,_XtX!$B$96:$P$96)</f>
        <v>41.4898665935673</v>
      </c>
      <c r="Y594" s="0" t="n">
        <f aca="false">SUMPRODUCT(MMULT(I594:W594,_XtX!$B$78:$P$92),I594:W594)</f>
        <v>0.476191292032164</v>
      </c>
      <c r="Z594" s="0" t="n">
        <f aca="false">04_回帰ANOVA!$K$19*04_回帰ANOVA!$K$14*SQRT(1+Y594)</f>
        <v>1.58368831471718</v>
      </c>
      <c r="AA594" s="0" t="n">
        <f aca="false">X594-Z594</f>
        <v>39.9061782788501</v>
      </c>
      <c r="AB594" s="0" t="n">
        <f aca="false">X594+Z594</f>
        <v>43.0735549082845</v>
      </c>
      <c r="AC594" s="54" t="b">
        <f aca="false">AND(E594&gt;=01_因子設定!$L$5-0.000000001,E594&lt;=01_因子設定!$M$5+0.000000001,F594&gt;=01_因子設定!$L$6-0.000000001,F594&lt;=01_因子設定!$M$6+0.000000001,G594&gt;=01_因子設定!$L$7-0.000000001,G594&lt;=01_因子設定!$M$7+0.000000001,H594&gt;=01_因子設定!$L$8-0.000000001,H594&lt;=01_因子設定!$M$8+0.000000001,IF(01_因子設定!$B$20="Box-Behnken",E594^2+F594^2+G594^2+H594^2&lt;=2+0.000000001,TRUE()))</f>
        <v>1</v>
      </c>
      <c r="AD594" s="55" t="n">
        <f aca="false">IF(AC594,IF(01_因子設定!$B$13="最大化",AA594-01_因子設定!$B$14,IF(01_因子設定!$B$13="最小化",01_因子設定!$B$15-AB594,MIN(AA594-01_因子設定!$B$14,01_因子設定!$B$15-AB594))),-1E+030)</f>
        <v>-6.5938217211499</v>
      </c>
      <c r="AE594" s="55" t="n">
        <f aca="false">IF(AC594,IF(01_因子設定!$B$13="最大化",X594,IF(01_因子設定!$B$13="最小化",-X594,-ABS(X594-01_因子設定!$B$16))),-1E+030)</f>
        <v>41.4898665935673</v>
      </c>
      <c r="AF594" s="55" t="n">
        <f aca="false">AD594+ROW()*0.000000001</f>
        <v>-6.5938211271499</v>
      </c>
      <c r="AG594" s="55" t="n">
        <f aca="false">AE594+ROW()*0.000000001</f>
        <v>41.4898671875673</v>
      </c>
    </row>
    <row r="595" customFormat="false" ht="15" hidden="false" customHeight="false" outlineLevel="0" collapsed="false">
      <c r="A595" s="0" t="n">
        <v>0</v>
      </c>
      <c r="B595" s="0" t="n">
        <v>7</v>
      </c>
      <c r="C595" s="0" t="n">
        <v>2</v>
      </c>
      <c r="D595" s="0" t="n">
        <v>5</v>
      </c>
      <c r="E595" s="0" t="n">
        <f aca="false">-1+A595*0.25</f>
        <v>-1</v>
      </c>
      <c r="F595" s="0" t="n">
        <f aca="false">-1+B595*0.25</f>
        <v>0.75</v>
      </c>
      <c r="G595" s="0" t="n">
        <f aca="false">-1+C595*0.25</f>
        <v>-0.5</v>
      </c>
      <c r="H595" s="0" t="n">
        <f aca="false">-1+D595*0.25</f>
        <v>0.25</v>
      </c>
      <c r="I595" s="0" t="n">
        <f aca="false">1</f>
        <v>1</v>
      </c>
      <c r="J595" s="0" t="n">
        <f aca="false">E595</f>
        <v>-1</v>
      </c>
      <c r="K595" s="0" t="n">
        <f aca="false">F595</f>
        <v>0.75</v>
      </c>
      <c r="L595" s="0" t="n">
        <f aca="false">G595</f>
        <v>-0.5</v>
      </c>
      <c r="M595" s="0" t="n">
        <f aca="false">H595</f>
        <v>0.25</v>
      </c>
      <c r="N595" s="0" t="n">
        <f aca="false">E595*F595</f>
        <v>-0.75</v>
      </c>
      <c r="O595" s="0" t="n">
        <f aca="false">E595*G595</f>
        <v>0.5</v>
      </c>
      <c r="P595" s="0" t="n">
        <f aca="false">E595*H595</f>
        <v>-0.25</v>
      </c>
      <c r="Q595" s="0" t="n">
        <f aca="false">F595*G595</f>
        <v>-0.375</v>
      </c>
      <c r="R595" s="0" t="n">
        <f aca="false">F595*H595</f>
        <v>0.1875</v>
      </c>
      <c r="S595" s="0" t="n">
        <f aca="false">G595*H595</f>
        <v>-0.125</v>
      </c>
      <c r="T595" s="0" t="n">
        <f aca="false">E595*E595</f>
        <v>1</v>
      </c>
      <c r="U595" s="0" t="n">
        <f aca="false">F595*F595</f>
        <v>0.5625</v>
      </c>
      <c r="V595" s="0" t="n">
        <f aca="false">G595*G595</f>
        <v>0.25</v>
      </c>
      <c r="W595" s="0" t="n">
        <f aca="false">H595*H595</f>
        <v>0.0625</v>
      </c>
      <c r="X595" s="0" t="n">
        <f aca="false">SUMPRODUCT(I595:W595,_XtX!$B$96:$P$96)</f>
        <v>41.4603207236842</v>
      </c>
      <c r="Y595" s="0" t="n">
        <f aca="false">SUMPRODUCT(MMULT(I595:W595,_XtX!$B$78:$P$92),I595:W595)</f>
        <v>0.459125719572369</v>
      </c>
      <c r="Z595" s="0" t="n">
        <f aca="false">04_回帰ANOVA!$K$19*04_回帰ANOVA!$K$14*SQRT(1+Y595)</f>
        <v>1.57450755575573</v>
      </c>
      <c r="AA595" s="0" t="n">
        <f aca="false">X595-Z595</f>
        <v>39.8858131679285</v>
      </c>
      <c r="AB595" s="0" t="n">
        <f aca="false">X595+Z595</f>
        <v>43.03482827944</v>
      </c>
      <c r="AC595" s="54" t="b">
        <f aca="false">AND(E595&gt;=01_因子設定!$L$5-0.000000001,E595&lt;=01_因子設定!$M$5+0.000000001,F595&gt;=01_因子設定!$L$6-0.000000001,F595&lt;=01_因子設定!$M$6+0.000000001,G595&gt;=01_因子設定!$L$7-0.000000001,G595&lt;=01_因子設定!$M$7+0.000000001,H595&gt;=01_因子設定!$L$8-0.000000001,H595&lt;=01_因子設定!$M$8+0.000000001,IF(01_因子設定!$B$20="Box-Behnken",E595^2+F595^2+G595^2+H595^2&lt;=2+0.000000001,TRUE()))</f>
        <v>1</v>
      </c>
      <c r="AD595" s="55" t="n">
        <f aca="false">IF(AC595,IF(01_因子設定!$B$13="最大化",AA595-01_因子設定!$B$14,IF(01_因子設定!$B$13="最小化",01_因子設定!$B$15-AB595,MIN(AA595-01_因子設定!$B$14,01_因子設定!$B$15-AB595))),-1E+030)</f>
        <v>-6.61418683207149</v>
      </c>
      <c r="AE595" s="55" t="n">
        <f aca="false">IF(AC595,IF(01_因子設定!$B$13="最大化",X595,IF(01_因子設定!$B$13="最小化",-X595,-ABS(X595-01_因子設定!$B$16))),-1E+030)</f>
        <v>41.4603207236842</v>
      </c>
      <c r="AF595" s="55" t="n">
        <f aca="false">AD595+ROW()*0.000000001</f>
        <v>-6.61418623707149</v>
      </c>
      <c r="AG595" s="55" t="n">
        <f aca="false">AE595+ROW()*0.000000001</f>
        <v>41.4603213186842</v>
      </c>
    </row>
    <row r="596" customFormat="false" ht="15" hidden="false" customHeight="false" outlineLevel="0" collapsed="false">
      <c r="A596" s="0" t="n">
        <v>0</v>
      </c>
      <c r="B596" s="0" t="n">
        <v>7</v>
      </c>
      <c r="C596" s="0" t="n">
        <v>2</v>
      </c>
      <c r="D596" s="0" t="n">
        <v>6</v>
      </c>
      <c r="E596" s="0" t="n">
        <f aca="false">-1+A596*0.25</f>
        <v>-1</v>
      </c>
      <c r="F596" s="0" t="n">
        <f aca="false">-1+B596*0.25</f>
        <v>0.75</v>
      </c>
      <c r="G596" s="0" t="n">
        <f aca="false">-1+C596*0.25</f>
        <v>-0.5</v>
      </c>
      <c r="H596" s="0" t="n">
        <f aca="false">-1+D596*0.25</f>
        <v>0.5</v>
      </c>
      <c r="I596" s="0" t="n">
        <f aca="false">1</f>
        <v>1</v>
      </c>
      <c r="J596" s="0" t="n">
        <f aca="false">E596</f>
        <v>-1</v>
      </c>
      <c r="K596" s="0" t="n">
        <f aca="false">F596</f>
        <v>0.75</v>
      </c>
      <c r="L596" s="0" t="n">
        <f aca="false">G596</f>
        <v>-0.5</v>
      </c>
      <c r="M596" s="0" t="n">
        <f aca="false">H596</f>
        <v>0.5</v>
      </c>
      <c r="N596" s="0" t="n">
        <f aca="false">E596*F596</f>
        <v>-0.75</v>
      </c>
      <c r="O596" s="0" t="n">
        <f aca="false">E596*G596</f>
        <v>0.5</v>
      </c>
      <c r="P596" s="0" t="n">
        <f aca="false">E596*H596</f>
        <v>-0.5</v>
      </c>
      <c r="Q596" s="0" t="n">
        <f aca="false">F596*G596</f>
        <v>-0.375</v>
      </c>
      <c r="R596" s="0" t="n">
        <f aca="false">F596*H596</f>
        <v>0.375</v>
      </c>
      <c r="S596" s="0" t="n">
        <f aca="false">G596*H596</f>
        <v>-0.25</v>
      </c>
      <c r="T596" s="0" t="n">
        <f aca="false">E596*E596</f>
        <v>1</v>
      </c>
      <c r="U596" s="0" t="n">
        <f aca="false">F596*F596</f>
        <v>0.5625</v>
      </c>
      <c r="V596" s="0" t="n">
        <f aca="false">G596*G596</f>
        <v>0.25</v>
      </c>
      <c r="W596" s="0" t="n">
        <f aca="false">H596*H596</f>
        <v>0.25</v>
      </c>
      <c r="X596" s="0" t="n">
        <f aca="false">SUMPRODUCT(I596:W596,_XtX!$B$96:$P$96)</f>
        <v>41.3829678362573</v>
      </c>
      <c r="Y596" s="0" t="n">
        <f aca="false">SUMPRODUCT(MMULT(I596:W596,_XtX!$B$78:$P$92),I596:W596)</f>
        <v>0.42602110745614</v>
      </c>
      <c r="Z596" s="0" t="n">
        <f aca="false">04_回帰ANOVA!$K$19*04_回帰ANOVA!$K$14*SQRT(1+Y596)</f>
        <v>1.55654388501114</v>
      </c>
      <c r="AA596" s="0" t="n">
        <f aca="false">X596-Z596</f>
        <v>39.8264239512462</v>
      </c>
      <c r="AB596" s="0" t="n">
        <f aca="false">X596+Z596</f>
        <v>42.9395117212685</v>
      </c>
      <c r="AC596" s="54" t="b">
        <f aca="false">AND(E596&gt;=01_因子設定!$L$5-0.000000001,E596&lt;=01_因子設定!$M$5+0.000000001,F596&gt;=01_因子設定!$L$6-0.000000001,F596&lt;=01_因子設定!$M$6+0.000000001,G596&gt;=01_因子設定!$L$7-0.000000001,G596&lt;=01_因子設定!$M$7+0.000000001,H596&gt;=01_因子設定!$L$8-0.000000001,H596&lt;=01_因子設定!$M$8+0.000000001,IF(01_因子設定!$B$20="Box-Behnken",E596^2+F596^2+G596^2+H596^2&lt;=2+0.000000001,TRUE()))</f>
        <v>1</v>
      </c>
      <c r="AD596" s="55" t="n">
        <f aca="false">IF(AC596,IF(01_因子設定!$B$13="最大化",AA596-01_因子設定!$B$14,IF(01_因子設定!$B$13="最小化",01_因子設定!$B$15-AB596,MIN(AA596-01_因子設定!$B$14,01_因子設定!$B$15-AB596))),-1E+030)</f>
        <v>-6.67357604875379</v>
      </c>
      <c r="AE596" s="55" t="n">
        <f aca="false">IF(AC596,IF(01_因子設定!$B$13="最大化",X596,IF(01_因子設定!$B$13="最小化",-X596,-ABS(X596-01_因子設定!$B$16))),-1E+030)</f>
        <v>41.3829678362573</v>
      </c>
      <c r="AF596" s="55" t="n">
        <f aca="false">AD596+ROW()*0.000000001</f>
        <v>-6.6735754527538</v>
      </c>
      <c r="AG596" s="55" t="n">
        <f aca="false">AE596+ROW()*0.000000001</f>
        <v>41.3829684322573</v>
      </c>
    </row>
    <row r="597" customFormat="false" ht="15" hidden="false" customHeight="false" outlineLevel="0" collapsed="false">
      <c r="A597" s="0" t="n">
        <v>0</v>
      </c>
      <c r="B597" s="0" t="n">
        <v>7</v>
      </c>
      <c r="C597" s="0" t="n">
        <v>2</v>
      </c>
      <c r="D597" s="0" t="n">
        <v>7</v>
      </c>
      <c r="E597" s="0" t="n">
        <f aca="false">-1+A597*0.25</f>
        <v>-1</v>
      </c>
      <c r="F597" s="0" t="n">
        <f aca="false">-1+B597*0.25</f>
        <v>0.75</v>
      </c>
      <c r="G597" s="0" t="n">
        <f aca="false">-1+C597*0.25</f>
        <v>-0.5</v>
      </c>
      <c r="H597" s="0" t="n">
        <f aca="false">-1+D597*0.25</f>
        <v>0.75</v>
      </c>
      <c r="I597" s="0" t="n">
        <f aca="false">1</f>
        <v>1</v>
      </c>
      <c r="J597" s="0" t="n">
        <f aca="false">E597</f>
        <v>-1</v>
      </c>
      <c r="K597" s="0" t="n">
        <f aca="false">F597</f>
        <v>0.75</v>
      </c>
      <c r="L597" s="0" t="n">
        <f aca="false">G597</f>
        <v>-0.5</v>
      </c>
      <c r="M597" s="0" t="n">
        <f aca="false">H597</f>
        <v>0.75</v>
      </c>
      <c r="N597" s="0" t="n">
        <f aca="false">E597*F597</f>
        <v>-0.75</v>
      </c>
      <c r="O597" s="0" t="n">
        <f aca="false">E597*G597</f>
        <v>0.5</v>
      </c>
      <c r="P597" s="0" t="n">
        <f aca="false">E597*H597</f>
        <v>-0.75</v>
      </c>
      <c r="Q597" s="0" t="n">
        <f aca="false">F597*G597</f>
        <v>-0.375</v>
      </c>
      <c r="R597" s="0" t="n">
        <f aca="false">F597*H597</f>
        <v>0.5625</v>
      </c>
      <c r="S597" s="0" t="n">
        <f aca="false">G597*H597</f>
        <v>-0.375</v>
      </c>
      <c r="T597" s="0" t="n">
        <f aca="false">E597*E597</f>
        <v>1</v>
      </c>
      <c r="U597" s="0" t="n">
        <f aca="false">F597*F597</f>
        <v>0.5625</v>
      </c>
      <c r="V597" s="0" t="n">
        <f aca="false">G597*G597</f>
        <v>0.25</v>
      </c>
      <c r="W597" s="0" t="n">
        <f aca="false">H597*H597</f>
        <v>0.5625</v>
      </c>
      <c r="X597" s="0" t="n">
        <f aca="false">SUMPRODUCT(I597:W597,_XtX!$B$96:$P$96)</f>
        <v>41.2578079312866</v>
      </c>
      <c r="Y597" s="0" t="n">
        <f aca="false">SUMPRODUCT(MMULT(I597:W597,_XtX!$B$78:$P$92),I597:W597)</f>
        <v>0.431153771472953</v>
      </c>
      <c r="Z597" s="0" t="n">
        <f aca="false">04_回帰ANOVA!$K$19*04_回帰ANOVA!$K$14*SQRT(1+Y597)</f>
        <v>1.55934259562563</v>
      </c>
      <c r="AA597" s="0" t="n">
        <f aca="false">X597-Z597</f>
        <v>39.698465335661</v>
      </c>
      <c r="AB597" s="0" t="n">
        <f aca="false">X597+Z597</f>
        <v>42.8171505269122</v>
      </c>
      <c r="AC597" s="54" t="b">
        <f aca="false">AND(E597&gt;=01_因子設定!$L$5-0.000000001,E597&lt;=01_因子設定!$M$5+0.000000001,F597&gt;=01_因子設定!$L$6-0.000000001,F597&lt;=01_因子設定!$M$6+0.000000001,G597&gt;=01_因子設定!$L$7-0.000000001,G597&lt;=01_因子設定!$M$7+0.000000001,H597&gt;=01_因子設定!$L$8-0.000000001,H597&lt;=01_因子設定!$M$8+0.000000001,IF(01_因子設定!$B$20="Box-Behnken",E597^2+F597^2+G597^2+H597^2&lt;=2+0.000000001,TRUE()))</f>
        <v>1</v>
      </c>
      <c r="AD597" s="55" t="n">
        <f aca="false">IF(AC597,IF(01_因子設定!$B$13="最大化",AA597-01_因子設定!$B$14,IF(01_因子設定!$B$13="最小化",01_因子設定!$B$15-AB597,MIN(AA597-01_因子設定!$B$14,01_因子設定!$B$15-AB597))),-1E+030)</f>
        <v>-6.80153466433903</v>
      </c>
      <c r="AE597" s="55" t="n">
        <f aca="false">IF(AC597,IF(01_因子設定!$B$13="最大化",X597,IF(01_因子設定!$B$13="最小化",-X597,-ABS(X597-01_因子設定!$B$16))),-1E+030)</f>
        <v>41.2578079312866</v>
      </c>
      <c r="AF597" s="55" t="n">
        <f aca="false">AD597+ROW()*0.000000001</f>
        <v>-6.80153406733903</v>
      </c>
      <c r="AG597" s="55" t="n">
        <f aca="false">AE597+ROW()*0.000000001</f>
        <v>41.2578085282866</v>
      </c>
    </row>
    <row r="598" customFormat="false" ht="15" hidden="false" customHeight="false" outlineLevel="0" collapsed="false">
      <c r="A598" s="0" t="n">
        <v>0</v>
      </c>
      <c r="B598" s="0" t="n">
        <v>7</v>
      </c>
      <c r="C598" s="0" t="n">
        <v>2</v>
      </c>
      <c r="D598" s="0" t="n">
        <v>8</v>
      </c>
      <c r="E598" s="0" t="n">
        <f aca="false">-1+A598*0.25</f>
        <v>-1</v>
      </c>
      <c r="F598" s="0" t="n">
        <f aca="false">-1+B598*0.25</f>
        <v>0.75</v>
      </c>
      <c r="G598" s="0" t="n">
        <f aca="false">-1+C598*0.25</f>
        <v>-0.5</v>
      </c>
      <c r="H598" s="0" t="n">
        <f aca="false">-1+D598*0.25</f>
        <v>1</v>
      </c>
      <c r="I598" s="0" t="n">
        <f aca="false">1</f>
        <v>1</v>
      </c>
      <c r="J598" s="0" t="n">
        <f aca="false">E598</f>
        <v>-1</v>
      </c>
      <c r="K598" s="0" t="n">
        <f aca="false">F598</f>
        <v>0.75</v>
      </c>
      <c r="L598" s="0" t="n">
        <f aca="false">G598</f>
        <v>-0.5</v>
      </c>
      <c r="M598" s="0" t="n">
        <f aca="false">H598</f>
        <v>1</v>
      </c>
      <c r="N598" s="0" t="n">
        <f aca="false">E598*F598</f>
        <v>-0.75</v>
      </c>
      <c r="O598" s="0" t="n">
        <f aca="false">E598*G598</f>
        <v>0.5</v>
      </c>
      <c r="P598" s="0" t="n">
        <f aca="false">E598*H598</f>
        <v>-1</v>
      </c>
      <c r="Q598" s="0" t="n">
        <f aca="false">F598*G598</f>
        <v>-0.375</v>
      </c>
      <c r="R598" s="0" t="n">
        <f aca="false">F598*H598</f>
        <v>0.75</v>
      </c>
      <c r="S598" s="0" t="n">
        <f aca="false">G598*H598</f>
        <v>-0.5</v>
      </c>
      <c r="T598" s="0" t="n">
        <f aca="false">E598*E598</f>
        <v>1</v>
      </c>
      <c r="U598" s="0" t="n">
        <f aca="false">F598*F598</f>
        <v>0.5625</v>
      </c>
      <c r="V598" s="0" t="n">
        <f aca="false">G598*G598</f>
        <v>0.25</v>
      </c>
      <c r="W598" s="0" t="n">
        <f aca="false">H598*H598</f>
        <v>1</v>
      </c>
      <c r="X598" s="0" t="n">
        <f aca="false">SUMPRODUCT(I598:W598,_XtX!$B$96:$P$96)</f>
        <v>41.084841008772</v>
      </c>
      <c r="Y598" s="0" t="n">
        <f aca="false">SUMPRODUCT(MMULT(I598:W598,_XtX!$B$78:$P$92),I598:W598)</f>
        <v>0.564984237938597</v>
      </c>
      <c r="Z598" s="0" t="n">
        <f aca="false">04_回帰ANOVA!$K$19*04_回帰ANOVA!$K$14*SQRT(1+Y598)</f>
        <v>1.63062229734503</v>
      </c>
      <c r="AA598" s="0" t="n">
        <f aca="false">X598-Z598</f>
        <v>39.454218711427</v>
      </c>
      <c r="AB598" s="0" t="n">
        <f aca="false">X598+Z598</f>
        <v>42.715463306117</v>
      </c>
      <c r="AC598" s="54" t="b">
        <f aca="false">AND(E598&gt;=01_因子設定!$L$5-0.000000001,E598&lt;=01_因子設定!$M$5+0.000000001,F598&gt;=01_因子設定!$L$6-0.000000001,F598&lt;=01_因子設定!$M$6+0.000000001,G598&gt;=01_因子設定!$L$7-0.000000001,G598&lt;=01_因子設定!$M$7+0.000000001,H598&gt;=01_因子設定!$L$8-0.000000001,H598&lt;=01_因子設定!$M$8+0.000000001,IF(01_因子設定!$B$20="Box-Behnken",E598^2+F598^2+G598^2+H598^2&lt;=2+0.000000001,TRUE()))</f>
        <v>1</v>
      </c>
      <c r="AD598" s="55" t="n">
        <f aca="false">IF(AC598,IF(01_因子設定!$B$13="最大化",AA598-01_因子設定!$B$14,IF(01_因子設定!$B$13="最小化",01_因子設定!$B$15-AB598,MIN(AA598-01_因子設定!$B$14,01_因子設定!$B$15-AB598))),-1E+030)</f>
        <v>-7.04578128857304</v>
      </c>
      <c r="AE598" s="55" t="n">
        <f aca="false">IF(AC598,IF(01_因子設定!$B$13="最大化",X598,IF(01_因子設定!$B$13="最小化",-X598,-ABS(X598-01_因子設定!$B$16))),-1E+030)</f>
        <v>41.084841008772</v>
      </c>
      <c r="AF598" s="55" t="n">
        <f aca="false">AD598+ROW()*0.000000001</f>
        <v>-7.04578069057304</v>
      </c>
      <c r="AG598" s="55" t="n">
        <f aca="false">AE598+ROW()*0.000000001</f>
        <v>41.084841606772</v>
      </c>
    </row>
    <row r="599" customFormat="false" ht="15" hidden="false" customHeight="false" outlineLevel="0" collapsed="false">
      <c r="A599" s="0" t="n">
        <v>0</v>
      </c>
      <c r="B599" s="0" t="n">
        <v>7</v>
      </c>
      <c r="C599" s="0" t="n">
        <v>3</v>
      </c>
      <c r="D599" s="0" t="n">
        <v>0</v>
      </c>
      <c r="E599" s="0" t="n">
        <f aca="false">-1+A599*0.25</f>
        <v>-1</v>
      </c>
      <c r="F599" s="0" t="n">
        <f aca="false">-1+B599*0.25</f>
        <v>0.75</v>
      </c>
      <c r="G599" s="0" t="n">
        <f aca="false">-1+C599*0.25</f>
        <v>-0.25</v>
      </c>
      <c r="H599" s="0" t="n">
        <f aca="false">-1+D599*0.25</f>
        <v>-1</v>
      </c>
      <c r="I599" s="0" t="n">
        <f aca="false">1</f>
        <v>1</v>
      </c>
      <c r="J599" s="0" t="n">
        <f aca="false">E599</f>
        <v>-1</v>
      </c>
      <c r="K599" s="0" t="n">
        <f aca="false">F599</f>
        <v>0.75</v>
      </c>
      <c r="L599" s="0" t="n">
        <f aca="false">G599</f>
        <v>-0.25</v>
      </c>
      <c r="M599" s="0" t="n">
        <f aca="false">H599</f>
        <v>-1</v>
      </c>
      <c r="N599" s="0" t="n">
        <f aca="false">E599*F599</f>
        <v>-0.75</v>
      </c>
      <c r="O599" s="0" t="n">
        <f aca="false">E599*G599</f>
        <v>0.25</v>
      </c>
      <c r="P599" s="0" t="n">
        <f aca="false">E599*H599</f>
        <v>1</v>
      </c>
      <c r="Q599" s="0" t="n">
        <f aca="false">F599*G599</f>
        <v>-0.1875</v>
      </c>
      <c r="R599" s="0" t="n">
        <f aca="false">F599*H599</f>
        <v>-0.75</v>
      </c>
      <c r="S599" s="0" t="n">
        <f aca="false">G599*H599</f>
        <v>0.25</v>
      </c>
      <c r="T599" s="0" t="n">
        <f aca="false">E599*E599</f>
        <v>1</v>
      </c>
      <c r="U599" s="0" t="n">
        <f aca="false">F599*F599</f>
        <v>0.5625</v>
      </c>
      <c r="V599" s="0" t="n">
        <f aca="false">G599*G599</f>
        <v>0.0625</v>
      </c>
      <c r="W599" s="0" t="n">
        <f aca="false">H599*H599</f>
        <v>1</v>
      </c>
      <c r="X599" s="0" t="n">
        <f aca="false">SUMPRODUCT(I599:W599,_XtX!$B$96:$P$96)</f>
        <v>41.65299250731</v>
      </c>
      <c r="Y599" s="0" t="n">
        <f aca="false">SUMPRODUCT(MMULT(I599:W599,_XtX!$B$78:$P$92),I599:W599)</f>
        <v>0.621372155975877</v>
      </c>
      <c r="Z599" s="0" t="n">
        <f aca="false">04_回帰ANOVA!$K$19*04_回帰ANOVA!$K$14*SQRT(1+Y599)</f>
        <v>1.65973880499872</v>
      </c>
      <c r="AA599" s="0" t="n">
        <f aca="false">X599-Z599</f>
        <v>39.9932537023113</v>
      </c>
      <c r="AB599" s="0" t="n">
        <f aca="false">X599+Z599</f>
        <v>43.3127313123087</v>
      </c>
      <c r="AC599" s="54" t="b">
        <f aca="false">AND(E599&gt;=01_因子設定!$L$5-0.000000001,E599&lt;=01_因子設定!$M$5+0.000000001,F599&gt;=01_因子設定!$L$6-0.000000001,F599&lt;=01_因子設定!$M$6+0.000000001,G599&gt;=01_因子設定!$L$7-0.000000001,G599&lt;=01_因子設定!$M$7+0.000000001,H599&gt;=01_因子設定!$L$8-0.000000001,H599&lt;=01_因子設定!$M$8+0.000000001,IF(01_因子設定!$B$20="Box-Behnken",E599^2+F599^2+G599^2+H599^2&lt;=2+0.000000001,TRUE()))</f>
        <v>1</v>
      </c>
      <c r="AD599" s="55" t="n">
        <f aca="false">IF(AC599,IF(01_因子設定!$B$13="最大化",AA599-01_因子設定!$B$14,IF(01_因子設定!$B$13="最小化",01_因子設定!$B$15-AB599,MIN(AA599-01_因子設定!$B$14,01_因子設定!$B$15-AB599))),-1E+030)</f>
        <v>-6.50674629768871</v>
      </c>
      <c r="AE599" s="55" t="n">
        <f aca="false">IF(AC599,IF(01_因子設定!$B$13="最大化",X599,IF(01_因子設定!$B$13="最小化",-X599,-ABS(X599-01_因子設定!$B$16))),-1E+030)</f>
        <v>41.65299250731</v>
      </c>
      <c r="AF599" s="55" t="n">
        <f aca="false">AD599+ROW()*0.000000001</f>
        <v>-6.50674569868871</v>
      </c>
      <c r="AG599" s="55" t="n">
        <f aca="false">AE599+ROW()*0.000000001</f>
        <v>41.65299310631</v>
      </c>
    </row>
    <row r="600" customFormat="false" ht="15" hidden="false" customHeight="false" outlineLevel="0" collapsed="false">
      <c r="A600" s="0" t="n">
        <v>0</v>
      </c>
      <c r="B600" s="0" t="n">
        <v>7</v>
      </c>
      <c r="C600" s="0" t="n">
        <v>3</v>
      </c>
      <c r="D600" s="0" t="n">
        <v>1</v>
      </c>
      <c r="E600" s="0" t="n">
        <f aca="false">-1+A600*0.25</f>
        <v>-1</v>
      </c>
      <c r="F600" s="0" t="n">
        <f aca="false">-1+B600*0.25</f>
        <v>0.75</v>
      </c>
      <c r="G600" s="0" t="n">
        <f aca="false">-1+C600*0.25</f>
        <v>-0.25</v>
      </c>
      <c r="H600" s="0" t="n">
        <f aca="false">-1+D600*0.25</f>
        <v>-0.75</v>
      </c>
      <c r="I600" s="0" t="n">
        <f aca="false">1</f>
        <v>1</v>
      </c>
      <c r="J600" s="0" t="n">
        <f aca="false">E600</f>
        <v>-1</v>
      </c>
      <c r="K600" s="0" t="n">
        <f aca="false">F600</f>
        <v>0.75</v>
      </c>
      <c r="L600" s="0" t="n">
        <f aca="false">G600</f>
        <v>-0.25</v>
      </c>
      <c r="M600" s="0" t="n">
        <f aca="false">H600</f>
        <v>-0.75</v>
      </c>
      <c r="N600" s="0" t="n">
        <f aca="false">E600*F600</f>
        <v>-0.75</v>
      </c>
      <c r="O600" s="0" t="n">
        <f aca="false">E600*G600</f>
        <v>0.25</v>
      </c>
      <c r="P600" s="0" t="n">
        <f aca="false">E600*H600</f>
        <v>0.75</v>
      </c>
      <c r="Q600" s="0" t="n">
        <f aca="false">F600*G600</f>
        <v>-0.1875</v>
      </c>
      <c r="R600" s="0" t="n">
        <f aca="false">F600*H600</f>
        <v>-0.5625</v>
      </c>
      <c r="S600" s="0" t="n">
        <f aca="false">G600*H600</f>
        <v>0.1875</v>
      </c>
      <c r="T600" s="0" t="n">
        <f aca="false">E600*E600</f>
        <v>1</v>
      </c>
      <c r="U600" s="0" t="n">
        <f aca="false">F600*F600</f>
        <v>0.5625</v>
      </c>
      <c r="V600" s="0" t="n">
        <f aca="false">G600*G600</f>
        <v>0.0625</v>
      </c>
      <c r="W600" s="0" t="n">
        <f aca="false">H600*H600</f>
        <v>0.5625</v>
      </c>
      <c r="X600" s="0" t="n">
        <f aca="false">SUMPRODUCT(I600:W600,_XtX!$B$96:$P$96)</f>
        <v>41.8326434576024</v>
      </c>
      <c r="Y600" s="0" t="n">
        <f aca="false">SUMPRODUCT(MMULT(I600:W600,_XtX!$B$78:$P$92),I600:W600)</f>
        <v>0.473959761056287</v>
      </c>
      <c r="Z600" s="0" t="n">
        <f aca="false">04_回帰ANOVA!$K$19*04_回帰ANOVA!$K$14*SQRT(1+Y600)</f>
        <v>1.58249084588329</v>
      </c>
      <c r="AA600" s="0" t="n">
        <f aca="false">X600-Z600</f>
        <v>40.2501526117191</v>
      </c>
      <c r="AB600" s="0" t="n">
        <f aca="false">X600+Z600</f>
        <v>43.4151343034857</v>
      </c>
      <c r="AC600" s="54" t="b">
        <f aca="false">AND(E600&gt;=01_因子設定!$L$5-0.000000001,E600&lt;=01_因子設定!$M$5+0.000000001,F600&gt;=01_因子設定!$L$6-0.000000001,F600&lt;=01_因子設定!$M$6+0.000000001,G600&gt;=01_因子設定!$L$7-0.000000001,G600&lt;=01_因子設定!$M$7+0.000000001,H600&gt;=01_因子設定!$L$8-0.000000001,H600&lt;=01_因子設定!$M$8+0.000000001,IF(01_因子設定!$B$20="Box-Behnken",E600^2+F600^2+G600^2+H600^2&lt;=2+0.000000001,TRUE()))</f>
        <v>1</v>
      </c>
      <c r="AD600" s="55" t="n">
        <f aca="false">IF(AC600,IF(01_因子設定!$B$13="最大化",AA600-01_因子設定!$B$14,IF(01_因子設定!$B$13="最小化",01_因子設定!$B$15-AB600,MIN(AA600-01_因子設定!$B$14,01_因子設定!$B$15-AB600))),-1E+030)</f>
        <v>-6.2498473882809</v>
      </c>
      <c r="AE600" s="55" t="n">
        <f aca="false">IF(AC600,IF(01_因子設定!$B$13="最大化",X600,IF(01_因子設定!$B$13="最小化",-X600,-ABS(X600-01_因子設定!$B$16))),-1E+030)</f>
        <v>41.8326434576024</v>
      </c>
      <c r="AF600" s="55" t="n">
        <f aca="false">AD600+ROW()*0.000000001</f>
        <v>-6.2498467882809</v>
      </c>
      <c r="AG600" s="55" t="n">
        <f aca="false">AE600+ROW()*0.000000001</f>
        <v>41.8326440576024</v>
      </c>
    </row>
    <row r="601" customFormat="false" ht="15" hidden="false" customHeight="false" outlineLevel="0" collapsed="false">
      <c r="A601" s="0" t="n">
        <v>0</v>
      </c>
      <c r="B601" s="0" t="n">
        <v>7</v>
      </c>
      <c r="C601" s="0" t="n">
        <v>3</v>
      </c>
      <c r="D601" s="0" t="n">
        <v>2</v>
      </c>
      <c r="E601" s="0" t="n">
        <f aca="false">-1+A601*0.25</f>
        <v>-1</v>
      </c>
      <c r="F601" s="0" t="n">
        <f aca="false">-1+B601*0.25</f>
        <v>0.75</v>
      </c>
      <c r="G601" s="0" t="n">
        <f aca="false">-1+C601*0.25</f>
        <v>-0.25</v>
      </c>
      <c r="H601" s="0" t="n">
        <f aca="false">-1+D601*0.25</f>
        <v>-0.5</v>
      </c>
      <c r="I601" s="0" t="n">
        <f aca="false">1</f>
        <v>1</v>
      </c>
      <c r="J601" s="0" t="n">
        <f aca="false">E601</f>
        <v>-1</v>
      </c>
      <c r="K601" s="0" t="n">
        <f aca="false">F601</f>
        <v>0.75</v>
      </c>
      <c r="L601" s="0" t="n">
        <f aca="false">G601</f>
        <v>-0.25</v>
      </c>
      <c r="M601" s="0" t="n">
        <f aca="false">H601</f>
        <v>-0.5</v>
      </c>
      <c r="N601" s="0" t="n">
        <f aca="false">E601*F601</f>
        <v>-0.75</v>
      </c>
      <c r="O601" s="0" t="n">
        <f aca="false">E601*G601</f>
        <v>0.25</v>
      </c>
      <c r="P601" s="0" t="n">
        <f aca="false">E601*H601</f>
        <v>0.5</v>
      </c>
      <c r="Q601" s="0" t="n">
        <f aca="false">F601*G601</f>
        <v>-0.1875</v>
      </c>
      <c r="R601" s="0" t="n">
        <f aca="false">F601*H601</f>
        <v>-0.375</v>
      </c>
      <c r="S601" s="0" t="n">
        <f aca="false">G601*H601</f>
        <v>0.125</v>
      </c>
      <c r="T601" s="0" t="n">
        <f aca="false">E601*E601</f>
        <v>1</v>
      </c>
      <c r="U601" s="0" t="n">
        <f aca="false">F601*F601</f>
        <v>0.5625</v>
      </c>
      <c r="V601" s="0" t="n">
        <f aca="false">G601*G601</f>
        <v>0.0625</v>
      </c>
      <c r="W601" s="0" t="n">
        <f aca="false">H601*H601</f>
        <v>0.25</v>
      </c>
      <c r="X601" s="0" t="n">
        <f aca="false">SUMPRODUCT(I601:W601,_XtX!$B$96:$P$96)</f>
        <v>41.9644873903509</v>
      </c>
      <c r="Y601" s="0" t="n">
        <f aca="false">SUMPRODUCT(MMULT(I601:W601,_XtX!$B$78:$P$92),I601:W601)</f>
        <v>0.459125719572369</v>
      </c>
      <c r="Z601" s="0" t="n">
        <f aca="false">04_回帰ANOVA!$K$19*04_回帰ANOVA!$K$14*SQRT(1+Y601)</f>
        <v>1.57450755575573</v>
      </c>
      <c r="AA601" s="0" t="n">
        <f aca="false">X601-Z601</f>
        <v>40.3899798345952</v>
      </c>
      <c r="AB601" s="0" t="n">
        <f aca="false">X601+Z601</f>
        <v>43.5389949461066</v>
      </c>
      <c r="AC601" s="54" t="b">
        <f aca="false">AND(E601&gt;=01_因子設定!$L$5-0.000000001,E601&lt;=01_因子設定!$M$5+0.000000001,F601&gt;=01_因子設定!$L$6-0.000000001,F601&lt;=01_因子設定!$M$6+0.000000001,G601&gt;=01_因子設定!$L$7-0.000000001,G601&lt;=01_因子設定!$M$7+0.000000001,H601&gt;=01_因子設定!$L$8-0.000000001,H601&lt;=01_因子設定!$M$8+0.000000001,IF(01_因子設定!$B$20="Box-Behnken",E601^2+F601^2+G601^2+H601^2&lt;=2+0.000000001,TRUE()))</f>
        <v>1</v>
      </c>
      <c r="AD601" s="55" t="n">
        <f aca="false">IF(AC601,IF(01_因子設定!$B$13="最大化",AA601-01_因子設定!$B$14,IF(01_因子設定!$B$13="最小化",01_因子設定!$B$15-AB601,MIN(AA601-01_因子設定!$B$14,01_因子設定!$B$15-AB601))),-1E+030)</f>
        <v>-6.11002016540482</v>
      </c>
      <c r="AE601" s="55" t="n">
        <f aca="false">IF(AC601,IF(01_因子設定!$B$13="最大化",X601,IF(01_因子設定!$B$13="最小化",-X601,-ABS(X601-01_因子設定!$B$16))),-1E+030)</f>
        <v>41.9644873903509</v>
      </c>
      <c r="AF601" s="55" t="n">
        <f aca="false">AD601+ROW()*0.000000001</f>
        <v>-6.11001956440482</v>
      </c>
      <c r="AG601" s="55" t="n">
        <f aca="false">AE601+ROW()*0.000000001</f>
        <v>41.9644879913509</v>
      </c>
    </row>
    <row r="602" customFormat="false" ht="15" hidden="false" customHeight="false" outlineLevel="0" collapsed="false">
      <c r="A602" s="0" t="n">
        <v>0</v>
      </c>
      <c r="B602" s="0" t="n">
        <v>7</v>
      </c>
      <c r="C602" s="0" t="n">
        <v>3</v>
      </c>
      <c r="D602" s="0" t="n">
        <v>3</v>
      </c>
      <c r="E602" s="0" t="n">
        <f aca="false">-1+A602*0.25</f>
        <v>-1</v>
      </c>
      <c r="F602" s="0" t="n">
        <f aca="false">-1+B602*0.25</f>
        <v>0.75</v>
      </c>
      <c r="G602" s="0" t="n">
        <f aca="false">-1+C602*0.25</f>
        <v>-0.25</v>
      </c>
      <c r="H602" s="0" t="n">
        <f aca="false">-1+D602*0.25</f>
        <v>-0.25</v>
      </c>
      <c r="I602" s="0" t="n">
        <f aca="false">1</f>
        <v>1</v>
      </c>
      <c r="J602" s="0" t="n">
        <f aca="false">E602</f>
        <v>-1</v>
      </c>
      <c r="K602" s="0" t="n">
        <f aca="false">F602</f>
        <v>0.75</v>
      </c>
      <c r="L602" s="0" t="n">
        <f aca="false">G602</f>
        <v>-0.25</v>
      </c>
      <c r="M602" s="0" t="n">
        <f aca="false">H602</f>
        <v>-0.25</v>
      </c>
      <c r="N602" s="0" t="n">
        <f aca="false">E602*F602</f>
        <v>-0.75</v>
      </c>
      <c r="O602" s="0" t="n">
        <f aca="false">E602*G602</f>
        <v>0.25</v>
      </c>
      <c r="P602" s="0" t="n">
        <f aca="false">E602*H602</f>
        <v>0.25</v>
      </c>
      <c r="Q602" s="0" t="n">
        <f aca="false">F602*G602</f>
        <v>-0.1875</v>
      </c>
      <c r="R602" s="0" t="n">
        <f aca="false">F602*H602</f>
        <v>-0.1875</v>
      </c>
      <c r="S602" s="0" t="n">
        <f aca="false">G602*H602</f>
        <v>0.0625</v>
      </c>
      <c r="T602" s="0" t="n">
        <f aca="false">E602*E602</f>
        <v>1</v>
      </c>
      <c r="U602" s="0" t="n">
        <f aca="false">F602*F602</f>
        <v>0.5625</v>
      </c>
      <c r="V602" s="0" t="n">
        <f aca="false">G602*G602</f>
        <v>0.0625</v>
      </c>
      <c r="W602" s="0" t="n">
        <f aca="false">H602*H602</f>
        <v>0.0625</v>
      </c>
      <c r="X602" s="0" t="n">
        <f aca="false">SUMPRODUCT(I602:W602,_XtX!$B$96:$P$96)</f>
        <v>42.0485243055556</v>
      </c>
      <c r="Y602" s="0" t="n">
        <f aca="false">SUMPRODUCT(MMULT(I602:W602,_XtX!$B$78:$P$92),I602:W602)</f>
        <v>0.486409505208334</v>
      </c>
      <c r="Z602" s="0" t="n">
        <f aca="false">04_回帰ANOVA!$K$19*04_回帰ANOVA!$K$14*SQRT(1+Y602)</f>
        <v>1.58916001665498</v>
      </c>
      <c r="AA602" s="0" t="n">
        <f aca="false">X602-Z602</f>
        <v>40.4593642889006</v>
      </c>
      <c r="AB602" s="0" t="n">
        <f aca="false">X602+Z602</f>
        <v>43.6376843222106</v>
      </c>
      <c r="AC602" s="54" t="b">
        <f aca="false">AND(E602&gt;=01_因子設定!$L$5-0.000000001,E602&lt;=01_因子設定!$M$5+0.000000001,F602&gt;=01_因子設定!$L$6-0.000000001,F602&lt;=01_因子設定!$M$6+0.000000001,G602&gt;=01_因子設定!$L$7-0.000000001,G602&lt;=01_因子設定!$M$7+0.000000001,H602&gt;=01_因子設定!$L$8-0.000000001,H602&lt;=01_因子設定!$M$8+0.000000001,IF(01_因子設定!$B$20="Box-Behnken",E602^2+F602^2+G602^2+H602^2&lt;=2+0.000000001,TRUE()))</f>
        <v>1</v>
      </c>
      <c r="AD602" s="55" t="n">
        <f aca="false">IF(AC602,IF(01_因子設定!$B$13="最大化",AA602-01_因子設定!$B$14,IF(01_因子設定!$B$13="最小化",01_因子設定!$B$15-AB602,MIN(AA602-01_因子設定!$B$14,01_因子設定!$B$15-AB602))),-1E+030)</f>
        <v>-6.0406357110994</v>
      </c>
      <c r="AE602" s="55" t="n">
        <f aca="false">IF(AC602,IF(01_因子設定!$B$13="最大化",X602,IF(01_因子設定!$B$13="最小化",-X602,-ABS(X602-01_因子設定!$B$16))),-1E+030)</f>
        <v>42.0485243055556</v>
      </c>
      <c r="AF602" s="55" t="n">
        <f aca="false">AD602+ROW()*0.000000001</f>
        <v>-6.0406351090994</v>
      </c>
      <c r="AG602" s="55" t="n">
        <f aca="false">AE602+ROW()*0.000000001</f>
        <v>42.0485249075556</v>
      </c>
    </row>
    <row r="603" customFormat="false" ht="15" hidden="false" customHeight="false" outlineLevel="0" collapsed="false">
      <c r="A603" s="0" t="n">
        <v>0</v>
      </c>
      <c r="B603" s="0" t="n">
        <v>7</v>
      </c>
      <c r="C603" s="0" t="n">
        <v>3</v>
      </c>
      <c r="D603" s="0" t="n">
        <v>4</v>
      </c>
      <c r="E603" s="0" t="n">
        <f aca="false">-1+A603*0.25</f>
        <v>-1</v>
      </c>
      <c r="F603" s="0" t="n">
        <f aca="false">-1+B603*0.25</f>
        <v>0.75</v>
      </c>
      <c r="G603" s="0" t="n">
        <f aca="false">-1+C603*0.25</f>
        <v>-0.25</v>
      </c>
      <c r="H603" s="0" t="n">
        <f aca="false">-1+D603*0.25</f>
        <v>0</v>
      </c>
      <c r="I603" s="0" t="n">
        <f aca="false">1</f>
        <v>1</v>
      </c>
      <c r="J603" s="0" t="n">
        <f aca="false">E603</f>
        <v>-1</v>
      </c>
      <c r="K603" s="0" t="n">
        <f aca="false">F603</f>
        <v>0.75</v>
      </c>
      <c r="L603" s="0" t="n">
        <f aca="false">G603</f>
        <v>-0.25</v>
      </c>
      <c r="M603" s="0" t="n">
        <f aca="false">H603</f>
        <v>0</v>
      </c>
      <c r="N603" s="0" t="n">
        <f aca="false">E603*F603</f>
        <v>-0.75</v>
      </c>
      <c r="O603" s="0" t="n">
        <f aca="false">E603*G603</f>
        <v>0.25</v>
      </c>
      <c r="P603" s="0" t="n">
        <f aca="false">E603*H603</f>
        <v>-0</v>
      </c>
      <c r="Q603" s="0" t="n">
        <f aca="false">F603*G603</f>
        <v>-0.1875</v>
      </c>
      <c r="R603" s="0" t="n">
        <f aca="false">F603*H603</f>
        <v>0</v>
      </c>
      <c r="S603" s="0" t="n">
        <f aca="false">G603*H603</f>
        <v>-0</v>
      </c>
      <c r="T603" s="0" t="n">
        <f aca="false">E603*E603</f>
        <v>1</v>
      </c>
      <c r="U603" s="0" t="n">
        <f aca="false">F603*F603</f>
        <v>0.5625</v>
      </c>
      <c r="V603" s="0" t="n">
        <f aca="false">G603*G603</f>
        <v>0.0625</v>
      </c>
      <c r="W603" s="0" t="n">
        <f aca="false">H603*H603</f>
        <v>0</v>
      </c>
      <c r="X603" s="0" t="n">
        <f aca="false">SUMPRODUCT(I603:W603,_XtX!$B$96:$P$96)</f>
        <v>42.0847542032164</v>
      </c>
      <c r="Y603" s="0" t="n">
        <f aca="false">SUMPRODUCT(MMULT(I603:W603,_XtX!$B$78:$P$92),I603:W603)</f>
        <v>0.501534802174708</v>
      </c>
      <c r="Z603" s="0" t="n">
        <f aca="false">04_回帰ANOVA!$K$19*04_回帰ANOVA!$K$14*SQRT(1+Y603)</f>
        <v>1.59722498091333</v>
      </c>
      <c r="AA603" s="0" t="n">
        <f aca="false">X603-Z603</f>
        <v>40.4875292223031</v>
      </c>
      <c r="AB603" s="0" t="n">
        <f aca="false">X603+Z603</f>
        <v>43.6819791841297</v>
      </c>
      <c r="AC603" s="54" t="b">
        <f aca="false">AND(E603&gt;=01_因子設定!$L$5-0.000000001,E603&lt;=01_因子設定!$M$5+0.000000001,F603&gt;=01_因子設定!$L$6-0.000000001,F603&lt;=01_因子設定!$M$6+0.000000001,G603&gt;=01_因子設定!$L$7-0.000000001,G603&lt;=01_因子設定!$M$7+0.000000001,H603&gt;=01_因子設定!$L$8-0.000000001,H603&lt;=01_因子設定!$M$8+0.000000001,IF(01_因子設定!$B$20="Box-Behnken",E603^2+F603^2+G603^2+H603^2&lt;=2+0.000000001,TRUE()))</f>
        <v>1</v>
      </c>
      <c r="AD603" s="55" t="n">
        <f aca="false">IF(AC603,IF(01_因子設定!$B$13="最大化",AA603-01_因子設定!$B$14,IF(01_因子設定!$B$13="最小化",01_因子設定!$B$15-AB603,MIN(AA603-01_因子設定!$B$14,01_因子設定!$B$15-AB603))),-1E+030)</f>
        <v>-6.01247077769693</v>
      </c>
      <c r="AE603" s="55" t="n">
        <f aca="false">IF(AC603,IF(01_因子設定!$B$13="最大化",X603,IF(01_因子設定!$B$13="最小化",-X603,-ABS(X603-01_因子設定!$B$16))),-1E+030)</f>
        <v>42.0847542032164</v>
      </c>
      <c r="AF603" s="55" t="n">
        <f aca="false">AD603+ROW()*0.000000001</f>
        <v>-6.01247017469693</v>
      </c>
      <c r="AG603" s="55" t="n">
        <f aca="false">AE603+ROW()*0.000000001</f>
        <v>42.0847548062164</v>
      </c>
    </row>
    <row r="604" customFormat="false" ht="15" hidden="false" customHeight="false" outlineLevel="0" collapsed="false">
      <c r="A604" s="0" t="n">
        <v>0</v>
      </c>
      <c r="B604" s="0" t="n">
        <v>7</v>
      </c>
      <c r="C604" s="0" t="n">
        <v>3</v>
      </c>
      <c r="D604" s="0" t="n">
        <v>5</v>
      </c>
      <c r="E604" s="0" t="n">
        <f aca="false">-1+A604*0.25</f>
        <v>-1</v>
      </c>
      <c r="F604" s="0" t="n">
        <f aca="false">-1+B604*0.25</f>
        <v>0.75</v>
      </c>
      <c r="G604" s="0" t="n">
        <f aca="false">-1+C604*0.25</f>
        <v>-0.25</v>
      </c>
      <c r="H604" s="0" t="n">
        <f aca="false">-1+D604*0.25</f>
        <v>0.25</v>
      </c>
      <c r="I604" s="0" t="n">
        <f aca="false">1</f>
        <v>1</v>
      </c>
      <c r="J604" s="0" t="n">
        <f aca="false">E604</f>
        <v>-1</v>
      </c>
      <c r="K604" s="0" t="n">
        <f aca="false">F604</f>
        <v>0.75</v>
      </c>
      <c r="L604" s="0" t="n">
        <f aca="false">G604</f>
        <v>-0.25</v>
      </c>
      <c r="M604" s="0" t="n">
        <f aca="false">H604</f>
        <v>0.25</v>
      </c>
      <c r="N604" s="0" t="n">
        <f aca="false">E604*F604</f>
        <v>-0.75</v>
      </c>
      <c r="O604" s="0" t="n">
        <f aca="false">E604*G604</f>
        <v>0.25</v>
      </c>
      <c r="P604" s="0" t="n">
        <f aca="false">E604*H604</f>
        <v>-0.25</v>
      </c>
      <c r="Q604" s="0" t="n">
        <f aca="false">F604*G604</f>
        <v>-0.1875</v>
      </c>
      <c r="R604" s="0" t="n">
        <f aca="false">F604*H604</f>
        <v>0.1875</v>
      </c>
      <c r="S604" s="0" t="n">
        <f aca="false">G604*H604</f>
        <v>-0.0625</v>
      </c>
      <c r="T604" s="0" t="n">
        <f aca="false">E604*E604</f>
        <v>1</v>
      </c>
      <c r="U604" s="0" t="n">
        <f aca="false">F604*F604</f>
        <v>0.5625</v>
      </c>
      <c r="V604" s="0" t="n">
        <f aca="false">G604*G604</f>
        <v>0.0625</v>
      </c>
      <c r="W604" s="0" t="n">
        <f aca="false">H604*H604</f>
        <v>0.0625</v>
      </c>
      <c r="X604" s="0" t="n">
        <f aca="false">SUMPRODUCT(I604:W604,_XtX!$B$96:$P$96)</f>
        <v>42.0731770833334</v>
      </c>
      <c r="Y604" s="0" t="n">
        <f aca="false">SUMPRODUCT(MMULT(I604:W604,_XtX!$B$78:$P$92),I604:W604)</f>
        <v>0.486409505208334</v>
      </c>
      <c r="Z604" s="0" t="n">
        <f aca="false">04_回帰ANOVA!$K$19*04_回帰ANOVA!$K$14*SQRT(1+Y604)</f>
        <v>1.58916001665498</v>
      </c>
      <c r="AA604" s="0" t="n">
        <f aca="false">X604-Z604</f>
        <v>40.4840170666784</v>
      </c>
      <c r="AB604" s="0" t="n">
        <f aca="false">X604+Z604</f>
        <v>43.6623370999883</v>
      </c>
      <c r="AC604" s="54" t="b">
        <f aca="false">AND(E604&gt;=01_因子設定!$L$5-0.000000001,E604&lt;=01_因子設定!$M$5+0.000000001,F604&gt;=01_因子設定!$L$6-0.000000001,F604&lt;=01_因子設定!$M$6+0.000000001,G604&gt;=01_因子設定!$L$7-0.000000001,G604&lt;=01_因子設定!$M$7+0.000000001,H604&gt;=01_因子設定!$L$8-0.000000001,H604&lt;=01_因子設定!$M$8+0.000000001,IF(01_因子設定!$B$20="Box-Behnken",E604^2+F604^2+G604^2+H604^2&lt;=2+0.000000001,TRUE()))</f>
        <v>1</v>
      </c>
      <c r="AD604" s="55" t="n">
        <f aca="false">IF(AC604,IF(01_因子設定!$B$13="最大化",AA604-01_因子設定!$B$14,IF(01_因子設定!$B$13="最小化",01_因子設定!$B$15-AB604,MIN(AA604-01_因子設定!$B$14,01_因子設定!$B$15-AB604))),-1E+030)</f>
        <v>-6.01598293332162</v>
      </c>
      <c r="AE604" s="55" t="n">
        <f aca="false">IF(AC604,IF(01_因子設定!$B$13="最大化",X604,IF(01_因子設定!$B$13="最小化",-X604,-ABS(X604-01_因子設定!$B$16))),-1E+030)</f>
        <v>42.0731770833334</v>
      </c>
      <c r="AF604" s="55" t="n">
        <f aca="false">AD604+ROW()*0.000000001</f>
        <v>-6.01598232932162</v>
      </c>
      <c r="AG604" s="55" t="n">
        <f aca="false">AE604+ROW()*0.000000001</f>
        <v>42.0731776873334</v>
      </c>
    </row>
    <row r="605" customFormat="false" ht="15" hidden="false" customHeight="false" outlineLevel="0" collapsed="false">
      <c r="A605" s="0" t="n">
        <v>0</v>
      </c>
      <c r="B605" s="0" t="n">
        <v>7</v>
      </c>
      <c r="C605" s="0" t="n">
        <v>3</v>
      </c>
      <c r="D605" s="0" t="n">
        <v>6</v>
      </c>
      <c r="E605" s="0" t="n">
        <f aca="false">-1+A605*0.25</f>
        <v>-1</v>
      </c>
      <c r="F605" s="0" t="n">
        <f aca="false">-1+B605*0.25</f>
        <v>0.75</v>
      </c>
      <c r="G605" s="0" t="n">
        <f aca="false">-1+C605*0.25</f>
        <v>-0.25</v>
      </c>
      <c r="H605" s="0" t="n">
        <f aca="false">-1+D605*0.25</f>
        <v>0.5</v>
      </c>
      <c r="I605" s="0" t="n">
        <f aca="false">1</f>
        <v>1</v>
      </c>
      <c r="J605" s="0" t="n">
        <f aca="false">E605</f>
        <v>-1</v>
      </c>
      <c r="K605" s="0" t="n">
        <f aca="false">F605</f>
        <v>0.75</v>
      </c>
      <c r="L605" s="0" t="n">
        <f aca="false">G605</f>
        <v>-0.25</v>
      </c>
      <c r="M605" s="0" t="n">
        <f aca="false">H605</f>
        <v>0.5</v>
      </c>
      <c r="N605" s="0" t="n">
        <f aca="false">E605*F605</f>
        <v>-0.75</v>
      </c>
      <c r="O605" s="0" t="n">
        <f aca="false">E605*G605</f>
        <v>0.25</v>
      </c>
      <c r="P605" s="0" t="n">
        <f aca="false">E605*H605</f>
        <v>-0.5</v>
      </c>
      <c r="Q605" s="0" t="n">
        <f aca="false">F605*G605</f>
        <v>-0.1875</v>
      </c>
      <c r="R605" s="0" t="n">
        <f aca="false">F605*H605</f>
        <v>0.375</v>
      </c>
      <c r="S605" s="0" t="n">
        <f aca="false">G605*H605</f>
        <v>-0.125</v>
      </c>
      <c r="T605" s="0" t="n">
        <f aca="false">E605*E605</f>
        <v>1</v>
      </c>
      <c r="U605" s="0" t="n">
        <f aca="false">F605*F605</f>
        <v>0.5625</v>
      </c>
      <c r="V605" s="0" t="n">
        <f aca="false">G605*G605</f>
        <v>0.0625</v>
      </c>
      <c r="W605" s="0" t="n">
        <f aca="false">H605*H605</f>
        <v>0.25</v>
      </c>
      <c r="X605" s="0" t="n">
        <f aca="false">SUMPRODUCT(I605:W605,_XtX!$B$96:$P$96)</f>
        <v>42.0137929459065</v>
      </c>
      <c r="Y605" s="0" t="n">
        <f aca="false">SUMPRODUCT(MMULT(I605:W605,_XtX!$B$78:$P$92),I605:W605)</f>
        <v>0.459125719572369</v>
      </c>
      <c r="Z605" s="0" t="n">
        <f aca="false">04_回帰ANOVA!$K$19*04_回帰ANOVA!$K$14*SQRT(1+Y605)</f>
        <v>1.57450755575573</v>
      </c>
      <c r="AA605" s="0" t="n">
        <f aca="false">X605-Z605</f>
        <v>40.4392853901507</v>
      </c>
      <c r="AB605" s="0" t="n">
        <f aca="false">X605+Z605</f>
        <v>43.5883005016622</v>
      </c>
      <c r="AC605" s="54" t="b">
        <f aca="false">AND(E605&gt;=01_因子設定!$L$5-0.000000001,E605&lt;=01_因子設定!$M$5+0.000000001,F605&gt;=01_因子設定!$L$6-0.000000001,F605&lt;=01_因子設定!$M$6+0.000000001,G605&gt;=01_因子設定!$L$7-0.000000001,G605&lt;=01_因子設定!$M$7+0.000000001,H605&gt;=01_因子設定!$L$8-0.000000001,H605&lt;=01_因子設定!$M$8+0.000000001,IF(01_因子設定!$B$20="Box-Behnken",E605^2+F605^2+G605^2+H605^2&lt;=2+0.000000001,TRUE()))</f>
        <v>1</v>
      </c>
      <c r="AD605" s="55" t="n">
        <f aca="false">IF(AC605,IF(01_因子設定!$B$13="最大化",AA605-01_因子設定!$B$14,IF(01_因子設定!$B$13="最小化",01_因子設定!$B$15-AB605,MIN(AA605-01_因子設定!$B$14,01_因子設定!$B$15-AB605))),-1E+030)</f>
        <v>-6.06071460984926</v>
      </c>
      <c r="AE605" s="55" t="n">
        <f aca="false">IF(AC605,IF(01_因子設定!$B$13="最大化",X605,IF(01_因子設定!$B$13="最小化",-X605,-ABS(X605-01_因子設定!$B$16))),-1E+030)</f>
        <v>42.0137929459065</v>
      </c>
      <c r="AF605" s="55" t="n">
        <f aca="false">AD605+ROW()*0.000000001</f>
        <v>-6.06071400484926</v>
      </c>
      <c r="AG605" s="55" t="n">
        <f aca="false">AE605+ROW()*0.000000001</f>
        <v>42.0137935509065</v>
      </c>
    </row>
    <row r="606" customFormat="false" ht="15" hidden="false" customHeight="false" outlineLevel="0" collapsed="false">
      <c r="A606" s="0" t="n">
        <v>0</v>
      </c>
      <c r="B606" s="0" t="n">
        <v>7</v>
      </c>
      <c r="C606" s="0" t="n">
        <v>3</v>
      </c>
      <c r="D606" s="0" t="n">
        <v>7</v>
      </c>
      <c r="E606" s="0" t="n">
        <f aca="false">-1+A606*0.25</f>
        <v>-1</v>
      </c>
      <c r="F606" s="0" t="n">
        <f aca="false">-1+B606*0.25</f>
        <v>0.75</v>
      </c>
      <c r="G606" s="0" t="n">
        <f aca="false">-1+C606*0.25</f>
        <v>-0.25</v>
      </c>
      <c r="H606" s="0" t="n">
        <f aca="false">-1+D606*0.25</f>
        <v>0.75</v>
      </c>
      <c r="I606" s="0" t="n">
        <f aca="false">1</f>
        <v>1</v>
      </c>
      <c r="J606" s="0" t="n">
        <f aca="false">E606</f>
        <v>-1</v>
      </c>
      <c r="K606" s="0" t="n">
        <f aca="false">F606</f>
        <v>0.75</v>
      </c>
      <c r="L606" s="0" t="n">
        <f aca="false">G606</f>
        <v>-0.25</v>
      </c>
      <c r="M606" s="0" t="n">
        <f aca="false">H606</f>
        <v>0.75</v>
      </c>
      <c r="N606" s="0" t="n">
        <f aca="false">E606*F606</f>
        <v>-0.75</v>
      </c>
      <c r="O606" s="0" t="n">
        <f aca="false">E606*G606</f>
        <v>0.25</v>
      </c>
      <c r="P606" s="0" t="n">
        <f aca="false">E606*H606</f>
        <v>-0.75</v>
      </c>
      <c r="Q606" s="0" t="n">
        <f aca="false">F606*G606</f>
        <v>-0.1875</v>
      </c>
      <c r="R606" s="0" t="n">
        <f aca="false">F606*H606</f>
        <v>0.5625</v>
      </c>
      <c r="S606" s="0" t="n">
        <f aca="false">G606*H606</f>
        <v>-0.1875</v>
      </c>
      <c r="T606" s="0" t="n">
        <f aca="false">E606*E606</f>
        <v>1</v>
      </c>
      <c r="U606" s="0" t="n">
        <f aca="false">F606*F606</f>
        <v>0.5625</v>
      </c>
      <c r="V606" s="0" t="n">
        <f aca="false">G606*G606</f>
        <v>0.0625</v>
      </c>
      <c r="W606" s="0" t="n">
        <f aca="false">H606*H606</f>
        <v>0.5625</v>
      </c>
      <c r="X606" s="0" t="n">
        <f aca="false">SUMPRODUCT(I606:W606,_XtX!$B$96:$P$96)</f>
        <v>41.9066017909357</v>
      </c>
      <c r="Y606" s="0" t="n">
        <f aca="false">SUMPRODUCT(MMULT(I606:W606,_XtX!$B$78:$P$92),I606:W606)</f>
        <v>0.473959761056287</v>
      </c>
      <c r="Z606" s="0" t="n">
        <f aca="false">04_回帰ANOVA!$K$19*04_回帰ANOVA!$K$14*SQRT(1+Y606)</f>
        <v>1.58249084588329</v>
      </c>
      <c r="AA606" s="0" t="n">
        <f aca="false">X606-Z606</f>
        <v>40.3241109450524</v>
      </c>
      <c r="AB606" s="0" t="n">
        <f aca="false">X606+Z606</f>
        <v>43.489092636819</v>
      </c>
      <c r="AC606" s="54" t="b">
        <f aca="false">AND(E606&gt;=01_因子設定!$L$5-0.000000001,E606&lt;=01_因子設定!$M$5+0.000000001,F606&gt;=01_因子設定!$L$6-0.000000001,F606&lt;=01_因子設定!$M$6+0.000000001,G606&gt;=01_因子設定!$L$7-0.000000001,G606&lt;=01_因子設定!$M$7+0.000000001,H606&gt;=01_因子設定!$L$8-0.000000001,H606&lt;=01_因子設定!$M$8+0.000000001,IF(01_因子設定!$B$20="Box-Behnken",E606^2+F606^2+G606^2+H606^2&lt;=2+0.000000001,TRUE()))</f>
        <v>1</v>
      </c>
      <c r="AD606" s="55" t="n">
        <f aca="false">IF(AC606,IF(01_因子設定!$B$13="最大化",AA606-01_因子設定!$B$14,IF(01_因子設定!$B$13="最小化",01_因子設定!$B$15-AB606,MIN(AA606-01_因子設定!$B$14,01_因子設定!$B$15-AB606))),-1E+030)</f>
        <v>-6.17588905494757</v>
      </c>
      <c r="AE606" s="55" t="n">
        <f aca="false">IF(AC606,IF(01_因子設定!$B$13="最大化",X606,IF(01_因子設定!$B$13="最小化",-X606,-ABS(X606-01_因子設定!$B$16))),-1E+030)</f>
        <v>41.9066017909357</v>
      </c>
      <c r="AF606" s="55" t="n">
        <f aca="false">AD606+ROW()*0.000000001</f>
        <v>-6.17588844894757</v>
      </c>
      <c r="AG606" s="55" t="n">
        <f aca="false">AE606+ROW()*0.000000001</f>
        <v>41.9066023969357</v>
      </c>
    </row>
    <row r="607" customFormat="false" ht="15" hidden="false" customHeight="false" outlineLevel="0" collapsed="false">
      <c r="A607" s="0" t="n">
        <v>0</v>
      </c>
      <c r="B607" s="0" t="n">
        <v>7</v>
      </c>
      <c r="C607" s="0" t="n">
        <v>3</v>
      </c>
      <c r="D607" s="0" t="n">
        <v>8</v>
      </c>
      <c r="E607" s="0" t="n">
        <f aca="false">-1+A607*0.25</f>
        <v>-1</v>
      </c>
      <c r="F607" s="0" t="n">
        <f aca="false">-1+B607*0.25</f>
        <v>0.75</v>
      </c>
      <c r="G607" s="0" t="n">
        <f aca="false">-1+C607*0.25</f>
        <v>-0.25</v>
      </c>
      <c r="H607" s="0" t="n">
        <f aca="false">-1+D607*0.25</f>
        <v>1</v>
      </c>
      <c r="I607" s="0" t="n">
        <f aca="false">1</f>
        <v>1</v>
      </c>
      <c r="J607" s="0" t="n">
        <f aca="false">E607</f>
        <v>-1</v>
      </c>
      <c r="K607" s="0" t="n">
        <f aca="false">F607</f>
        <v>0.75</v>
      </c>
      <c r="L607" s="0" t="n">
        <f aca="false">G607</f>
        <v>-0.25</v>
      </c>
      <c r="M607" s="0" t="n">
        <f aca="false">H607</f>
        <v>1</v>
      </c>
      <c r="N607" s="0" t="n">
        <f aca="false">E607*F607</f>
        <v>-0.75</v>
      </c>
      <c r="O607" s="0" t="n">
        <f aca="false">E607*G607</f>
        <v>0.25</v>
      </c>
      <c r="P607" s="0" t="n">
        <f aca="false">E607*H607</f>
        <v>-1</v>
      </c>
      <c r="Q607" s="0" t="n">
        <f aca="false">F607*G607</f>
        <v>-0.1875</v>
      </c>
      <c r="R607" s="0" t="n">
        <f aca="false">F607*H607</f>
        <v>0.75</v>
      </c>
      <c r="S607" s="0" t="n">
        <f aca="false">G607*H607</f>
        <v>-0.25</v>
      </c>
      <c r="T607" s="0" t="n">
        <f aca="false">E607*E607</f>
        <v>1</v>
      </c>
      <c r="U607" s="0" t="n">
        <f aca="false">F607*F607</f>
        <v>0.5625</v>
      </c>
      <c r="V607" s="0" t="n">
        <f aca="false">G607*G607</f>
        <v>0.0625</v>
      </c>
      <c r="W607" s="0" t="n">
        <f aca="false">H607*H607</f>
        <v>1</v>
      </c>
      <c r="X607" s="0" t="n">
        <f aca="false">SUMPRODUCT(I607:W607,_XtX!$B$96:$P$96)</f>
        <v>41.7516036184211</v>
      </c>
      <c r="Y607" s="0" t="n">
        <f aca="false">SUMPRODUCT(MMULT(I607:W607,_XtX!$B$78:$P$92),I607:W607)</f>
        <v>0.621372155975877</v>
      </c>
      <c r="Z607" s="0" t="n">
        <f aca="false">04_回帰ANOVA!$K$19*04_回帰ANOVA!$K$14*SQRT(1+Y607)</f>
        <v>1.65973880499872</v>
      </c>
      <c r="AA607" s="0" t="n">
        <f aca="false">X607-Z607</f>
        <v>40.0918648134224</v>
      </c>
      <c r="AB607" s="0" t="n">
        <f aca="false">X607+Z607</f>
        <v>43.4113424234198</v>
      </c>
      <c r="AC607" s="54" t="b">
        <f aca="false">AND(E607&gt;=01_因子設定!$L$5-0.000000001,E607&lt;=01_因子設定!$M$5+0.000000001,F607&gt;=01_因子設定!$L$6-0.000000001,F607&lt;=01_因子設定!$M$6+0.000000001,G607&gt;=01_因子設定!$L$7-0.000000001,G607&lt;=01_因子設定!$M$7+0.000000001,H607&gt;=01_因子設定!$L$8-0.000000001,H607&lt;=01_因子設定!$M$8+0.000000001,IF(01_因子設定!$B$20="Box-Behnken",E607^2+F607^2+G607^2+H607^2&lt;=2+0.000000001,TRUE()))</f>
        <v>1</v>
      </c>
      <c r="AD607" s="55" t="n">
        <f aca="false">IF(AC607,IF(01_因子設定!$B$13="最大化",AA607-01_因子設定!$B$14,IF(01_因子設定!$B$13="最小化",01_因子設定!$B$15-AB607,MIN(AA607-01_因子設定!$B$14,01_因子設定!$B$15-AB607))),-1E+030)</f>
        <v>-6.4081351865776</v>
      </c>
      <c r="AE607" s="55" t="n">
        <f aca="false">IF(AC607,IF(01_因子設定!$B$13="最大化",X607,IF(01_因子設定!$B$13="最小化",-X607,-ABS(X607-01_因子設定!$B$16))),-1E+030)</f>
        <v>41.7516036184211</v>
      </c>
      <c r="AF607" s="55" t="n">
        <f aca="false">AD607+ROW()*0.000000001</f>
        <v>-6.4081345795776</v>
      </c>
      <c r="AG607" s="55" t="n">
        <f aca="false">AE607+ROW()*0.000000001</f>
        <v>41.7516042254211</v>
      </c>
    </row>
    <row r="608" customFormat="false" ht="15" hidden="false" customHeight="false" outlineLevel="0" collapsed="false">
      <c r="A608" s="0" t="n">
        <v>0</v>
      </c>
      <c r="B608" s="0" t="n">
        <v>7</v>
      </c>
      <c r="C608" s="0" t="n">
        <v>4</v>
      </c>
      <c r="D608" s="0" t="n">
        <v>0</v>
      </c>
      <c r="E608" s="0" t="n">
        <f aca="false">-1+A608*0.25</f>
        <v>-1</v>
      </c>
      <c r="F608" s="0" t="n">
        <f aca="false">-1+B608*0.25</f>
        <v>0.75</v>
      </c>
      <c r="G608" s="0" t="n">
        <f aca="false">-1+C608*0.25</f>
        <v>0</v>
      </c>
      <c r="H608" s="0" t="n">
        <f aca="false">-1+D608*0.25</f>
        <v>-1</v>
      </c>
      <c r="I608" s="0" t="n">
        <f aca="false">1</f>
        <v>1</v>
      </c>
      <c r="J608" s="0" t="n">
        <f aca="false">E608</f>
        <v>-1</v>
      </c>
      <c r="K608" s="0" t="n">
        <f aca="false">F608</f>
        <v>0.75</v>
      </c>
      <c r="L608" s="0" t="n">
        <f aca="false">G608</f>
        <v>0</v>
      </c>
      <c r="M608" s="0" t="n">
        <f aca="false">H608</f>
        <v>-1</v>
      </c>
      <c r="N608" s="0" t="n">
        <f aca="false">E608*F608</f>
        <v>-0.75</v>
      </c>
      <c r="O608" s="0" t="n">
        <f aca="false">E608*G608</f>
        <v>-0</v>
      </c>
      <c r="P608" s="0" t="n">
        <f aca="false">E608*H608</f>
        <v>1</v>
      </c>
      <c r="Q608" s="0" t="n">
        <f aca="false">F608*G608</f>
        <v>0</v>
      </c>
      <c r="R608" s="0" t="n">
        <f aca="false">F608*H608</f>
        <v>-0.75</v>
      </c>
      <c r="S608" s="0" t="n">
        <f aca="false">G608*H608</f>
        <v>-0</v>
      </c>
      <c r="T608" s="0" t="n">
        <f aca="false">E608*E608</f>
        <v>1</v>
      </c>
      <c r="U608" s="0" t="n">
        <f aca="false">F608*F608</f>
        <v>0.5625</v>
      </c>
      <c r="V608" s="0" t="n">
        <f aca="false">G608*G608</f>
        <v>0</v>
      </c>
      <c r="W608" s="0" t="n">
        <f aca="false">H608*H608</f>
        <v>1</v>
      </c>
      <c r="X608" s="0" t="n">
        <f aca="false">SUMPRODUCT(I608:W608,_XtX!$B$96:$P$96)</f>
        <v>42.0906980994153</v>
      </c>
      <c r="Y608" s="0" t="n">
        <f aca="false">SUMPRODUCT(MMULT(I608:W608,_XtX!$B$78:$P$92),I608:W608)</f>
        <v>0.646198830409357</v>
      </c>
      <c r="Z608" s="0" t="n">
        <f aca="false">04_回帰ANOVA!$K$19*04_回帰ANOVA!$K$14*SQRT(1+Y608)</f>
        <v>1.67239760569756</v>
      </c>
      <c r="AA608" s="0" t="n">
        <f aca="false">X608-Z608</f>
        <v>40.4183004937177</v>
      </c>
      <c r="AB608" s="0" t="n">
        <f aca="false">X608+Z608</f>
        <v>43.7630957051128</v>
      </c>
      <c r="AC608" s="54" t="b">
        <f aca="false">AND(E608&gt;=01_因子設定!$L$5-0.000000001,E608&lt;=01_因子設定!$M$5+0.000000001,F608&gt;=01_因子設定!$L$6-0.000000001,F608&lt;=01_因子設定!$M$6+0.000000001,G608&gt;=01_因子設定!$L$7-0.000000001,G608&lt;=01_因子設定!$M$7+0.000000001,H608&gt;=01_因子設定!$L$8-0.000000001,H608&lt;=01_因子設定!$M$8+0.000000001,IF(01_因子設定!$B$20="Box-Behnken",E608^2+F608^2+G608^2+H608^2&lt;=2+0.000000001,TRUE()))</f>
        <v>1</v>
      </c>
      <c r="AD608" s="55" t="n">
        <f aca="false">IF(AC608,IF(01_因子設定!$B$13="最大化",AA608-01_因子設定!$B$14,IF(01_因子設定!$B$13="最小化",01_因子設定!$B$15-AB608,MIN(AA608-01_因子設定!$B$14,01_因子設定!$B$15-AB608))),-1E+030)</f>
        <v>-6.08169950628228</v>
      </c>
      <c r="AE608" s="55" t="n">
        <f aca="false">IF(AC608,IF(01_因子設定!$B$13="最大化",X608,IF(01_因子設定!$B$13="最小化",-X608,-ABS(X608-01_因子設定!$B$16))),-1E+030)</f>
        <v>42.0906980994153</v>
      </c>
      <c r="AF608" s="55" t="n">
        <f aca="false">AD608+ROW()*0.000000001</f>
        <v>-6.08169889828228</v>
      </c>
      <c r="AG608" s="55" t="n">
        <f aca="false">AE608+ROW()*0.000000001</f>
        <v>42.0906987074153</v>
      </c>
    </row>
    <row r="609" customFormat="false" ht="15" hidden="false" customHeight="false" outlineLevel="0" collapsed="false">
      <c r="A609" s="0" t="n">
        <v>0</v>
      </c>
      <c r="B609" s="0" t="n">
        <v>7</v>
      </c>
      <c r="C609" s="0" t="n">
        <v>4</v>
      </c>
      <c r="D609" s="0" t="n">
        <v>1</v>
      </c>
      <c r="E609" s="0" t="n">
        <f aca="false">-1+A609*0.25</f>
        <v>-1</v>
      </c>
      <c r="F609" s="0" t="n">
        <f aca="false">-1+B609*0.25</f>
        <v>0.75</v>
      </c>
      <c r="G609" s="0" t="n">
        <f aca="false">-1+C609*0.25</f>
        <v>0</v>
      </c>
      <c r="H609" s="0" t="n">
        <f aca="false">-1+D609*0.25</f>
        <v>-0.75</v>
      </c>
      <c r="I609" s="0" t="n">
        <f aca="false">1</f>
        <v>1</v>
      </c>
      <c r="J609" s="0" t="n">
        <f aca="false">E609</f>
        <v>-1</v>
      </c>
      <c r="K609" s="0" t="n">
        <f aca="false">F609</f>
        <v>0.75</v>
      </c>
      <c r="L609" s="0" t="n">
        <f aca="false">G609</f>
        <v>0</v>
      </c>
      <c r="M609" s="0" t="n">
        <f aca="false">H609</f>
        <v>-0.75</v>
      </c>
      <c r="N609" s="0" t="n">
        <f aca="false">E609*F609</f>
        <v>-0.75</v>
      </c>
      <c r="O609" s="0" t="n">
        <f aca="false">E609*G609</f>
        <v>-0</v>
      </c>
      <c r="P609" s="0" t="n">
        <f aca="false">E609*H609</f>
        <v>0.75</v>
      </c>
      <c r="Q609" s="0" t="n">
        <f aca="false">F609*G609</f>
        <v>0</v>
      </c>
      <c r="R609" s="0" t="n">
        <f aca="false">F609*H609</f>
        <v>-0.5625</v>
      </c>
      <c r="S609" s="0" t="n">
        <f aca="false">G609*H609</f>
        <v>-0</v>
      </c>
      <c r="T609" s="0" t="n">
        <f aca="false">E609*E609</f>
        <v>1</v>
      </c>
      <c r="U609" s="0" t="n">
        <f aca="false">F609*F609</f>
        <v>0.5625</v>
      </c>
      <c r="V609" s="0" t="n">
        <f aca="false">G609*G609</f>
        <v>0</v>
      </c>
      <c r="W609" s="0" t="n">
        <f aca="false">H609*H609</f>
        <v>0.5625</v>
      </c>
      <c r="X609" s="0" t="n">
        <f aca="false">SUMPRODUCT(I609:W609,_XtX!$B$96:$P$96)</f>
        <v>42.2883177997077</v>
      </c>
      <c r="Y609" s="0" t="n">
        <f aca="false">SUMPRODUCT(MMULT(I609:W609,_XtX!$B$78:$P$92),I609:W609)</f>
        <v>0.494259126005117</v>
      </c>
      <c r="Z609" s="0" t="n">
        <f aca="false">04_回帰ANOVA!$K$19*04_回帰ANOVA!$K$14*SQRT(1+Y609)</f>
        <v>1.59335061078203</v>
      </c>
      <c r="AA609" s="0" t="n">
        <f aca="false">X609-Z609</f>
        <v>40.6949671889256</v>
      </c>
      <c r="AB609" s="0" t="n">
        <f aca="false">X609+Z609</f>
        <v>43.8816684104897</v>
      </c>
      <c r="AC609" s="54" t="b">
        <f aca="false">AND(E609&gt;=01_因子設定!$L$5-0.000000001,E609&lt;=01_因子設定!$M$5+0.000000001,F609&gt;=01_因子設定!$L$6-0.000000001,F609&lt;=01_因子設定!$M$6+0.000000001,G609&gt;=01_因子設定!$L$7-0.000000001,G609&lt;=01_因子設定!$M$7+0.000000001,H609&gt;=01_因子設定!$L$8-0.000000001,H609&lt;=01_因子設定!$M$8+0.000000001,IF(01_因子設定!$B$20="Box-Behnken",E609^2+F609^2+G609^2+H609^2&lt;=2+0.000000001,TRUE()))</f>
        <v>1</v>
      </c>
      <c r="AD609" s="55" t="n">
        <f aca="false">IF(AC609,IF(01_因子設定!$B$13="最大化",AA609-01_因子設定!$B$14,IF(01_因子設定!$B$13="最小化",01_因子設定!$B$15-AB609,MIN(AA609-01_因子設定!$B$14,01_因子設定!$B$15-AB609))),-1E+030)</f>
        <v>-5.80503281107438</v>
      </c>
      <c r="AE609" s="55" t="n">
        <f aca="false">IF(AC609,IF(01_因子設定!$B$13="最大化",X609,IF(01_因子設定!$B$13="最小化",-X609,-ABS(X609-01_因子設定!$B$16))),-1E+030)</f>
        <v>42.2883177997077</v>
      </c>
      <c r="AF609" s="55" t="n">
        <f aca="false">AD609+ROW()*0.000000001</f>
        <v>-5.80503220207438</v>
      </c>
      <c r="AG609" s="55" t="n">
        <f aca="false">AE609+ROW()*0.000000001</f>
        <v>42.2883184087076</v>
      </c>
    </row>
    <row r="610" customFormat="false" ht="15" hidden="false" customHeight="false" outlineLevel="0" collapsed="false">
      <c r="A610" s="0" t="n">
        <v>0</v>
      </c>
      <c r="B610" s="0" t="n">
        <v>7</v>
      </c>
      <c r="C610" s="0" t="n">
        <v>4</v>
      </c>
      <c r="D610" s="0" t="n">
        <v>2</v>
      </c>
      <c r="E610" s="0" t="n">
        <f aca="false">-1+A610*0.25</f>
        <v>-1</v>
      </c>
      <c r="F610" s="0" t="n">
        <f aca="false">-1+B610*0.25</f>
        <v>0.75</v>
      </c>
      <c r="G610" s="0" t="n">
        <f aca="false">-1+C610*0.25</f>
        <v>0</v>
      </c>
      <c r="H610" s="0" t="n">
        <f aca="false">-1+D610*0.25</f>
        <v>-0.5</v>
      </c>
      <c r="I610" s="0" t="n">
        <f aca="false">1</f>
        <v>1</v>
      </c>
      <c r="J610" s="0" t="n">
        <f aca="false">E610</f>
        <v>-1</v>
      </c>
      <c r="K610" s="0" t="n">
        <f aca="false">F610</f>
        <v>0.75</v>
      </c>
      <c r="L610" s="0" t="n">
        <f aca="false">G610</f>
        <v>0</v>
      </c>
      <c r="M610" s="0" t="n">
        <f aca="false">H610</f>
        <v>-0.5</v>
      </c>
      <c r="N610" s="0" t="n">
        <f aca="false">E610*F610</f>
        <v>-0.75</v>
      </c>
      <c r="O610" s="0" t="n">
        <f aca="false">E610*G610</f>
        <v>-0</v>
      </c>
      <c r="P610" s="0" t="n">
        <f aca="false">E610*H610</f>
        <v>0.5</v>
      </c>
      <c r="Q610" s="0" t="n">
        <f aca="false">F610*G610</f>
        <v>0</v>
      </c>
      <c r="R610" s="0" t="n">
        <f aca="false">F610*H610</f>
        <v>-0.375</v>
      </c>
      <c r="S610" s="0" t="n">
        <f aca="false">G610*H610</f>
        <v>-0</v>
      </c>
      <c r="T610" s="0" t="n">
        <f aca="false">E610*E610</f>
        <v>1</v>
      </c>
      <c r="U610" s="0" t="n">
        <f aca="false">F610*F610</f>
        <v>0.5625</v>
      </c>
      <c r="V610" s="0" t="n">
        <f aca="false">G610*G610</f>
        <v>0</v>
      </c>
      <c r="W610" s="0" t="n">
        <f aca="false">H610*H610</f>
        <v>0.25</v>
      </c>
      <c r="X610" s="0" t="n">
        <f aca="false">SUMPRODUCT(I610:W610,_XtX!$B$96:$P$96)</f>
        <v>42.4381304824562</v>
      </c>
      <c r="Y610" s="0" t="n">
        <f aca="false">SUMPRODUCT(MMULT(I610:W610,_XtX!$B$78:$P$92),I610:W610)</f>
        <v>0.476191292032164</v>
      </c>
      <c r="Z610" s="0" t="n">
        <f aca="false">04_回帰ANOVA!$K$19*04_回帰ANOVA!$K$14*SQRT(1+Y610)</f>
        <v>1.58368831471718</v>
      </c>
      <c r="AA610" s="0" t="n">
        <f aca="false">X610-Z610</f>
        <v>40.854442167739</v>
      </c>
      <c r="AB610" s="0" t="n">
        <f aca="false">X610+Z610</f>
        <v>44.0218187971734</v>
      </c>
      <c r="AC610" s="54" t="b">
        <f aca="false">AND(E610&gt;=01_因子設定!$L$5-0.000000001,E610&lt;=01_因子設定!$M$5+0.000000001,F610&gt;=01_因子設定!$L$6-0.000000001,F610&lt;=01_因子設定!$M$6+0.000000001,G610&gt;=01_因子設定!$L$7-0.000000001,G610&lt;=01_因子設定!$M$7+0.000000001,H610&gt;=01_因子設定!$L$8-0.000000001,H610&lt;=01_因子設定!$M$8+0.000000001,IF(01_因子設定!$B$20="Box-Behnken",E610^2+F610^2+G610^2+H610^2&lt;=2+0.000000001,TRUE()))</f>
        <v>1</v>
      </c>
      <c r="AD610" s="55" t="n">
        <f aca="false">IF(AC610,IF(01_因子設定!$B$13="最大化",AA610-01_因子設定!$B$14,IF(01_因子設定!$B$13="最小化",01_因子設定!$B$15-AB610,MIN(AA610-01_因子設定!$B$14,01_因子設定!$B$15-AB610))),-1E+030)</f>
        <v>-5.64555783226101</v>
      </c>
      <c r="AE610" s="55" t="n">
        <f aca="false">IF(AC610,IF(01_因子設定!$B$13="最大化",X610,IF(01_因子設定!$B$13="最小化",-X610,-ABS(X610-01_因子設定!$B$16))),-1E+030)</f>
        <v>42.4381304824562</v>
      </c>
      <c r="AF610" s="55" t="n">
        <f aca="false">AD610+ROW()*0.000000001</f>
        <v>-5.64555722226101</v>
      </c>
      <c r="AG610" s="55" t="n">
        <f aca="false">AE610+ROW()*0.000000001</f>
        <v>42.4381310924562</v>
      </c>
    </row>
    <row r="611" customFormat="false" ht="15" hidden="false" customHeight="false" outlineLevel="0" collapsed="false">
      <c r="A611" s="0" t="n">
        <v>0</v>
      </c>
      <c r="B611" s="0" t="n">
        <v>7</v>
      </c>
      <c r="C611" s="0" t="n">
        <v>4</v>
      </c>
      <c r="D611" s="0" t="n">
        <v>3</v>
      </c>
      <c r="E611" s="0" t="n">
        <f aca="false">-1+A611*0.25</f>
        <v>-1</v>
      </c>
      <c r="F611" s="0" t="n">
        <f aca="false">-1+B611*0.25</f>
        <v>0.75</v>
      </c>
      <c r="G611" s="0" t="n">
        <f aca="false">-1+C611*0.25</f>
        <v>0</v>
      </c>
      <c r="H611" s="0" t="n">
        <f aca="false">-1+D611*0.25</f>
        <v>-0.25</v>
      </c>
      <c r="I611" s="0" t="n">
        <f aca="false">1</f>
        <v>1</v>
      </c>
      <c r="J611" s="0" t="n">
        <f aca="false">E611</f>
        <v>-1</v>
      </c>
      <c r="K611" s="0" t="n">
        <f aca="false">F611</f>
        <v>0.75</v>
      </c>
      <c r="L611" s="0" t="n">
        <f aca="false">G611</f>
        <v>0</v>
      </c>
      <c r="M611" s="0" t="n">
        <f aca="false">H611</f>
        <v>-0.25</v>
      </c>
      <c r="N611" s="0" t="n">
        <f aca="false">E611*F611</f>
        <v>-0.75</v>
      </c>
      <c r="O611" s="0" t="n">
        <f aca="false">E611*G611</f>
        <v>-0</v>
      </c>
      <c r="P611" s="0" t="n">
        <f aca="false">E611*H611</f>
        <v>0.25</v>
      </c>
      <c r="Q611" s="0" t="n">
        <f aca="false">F611*G611</f>
        <v>0</v>
      </c>
      <c r="R611" s="0" t="n">
        <f aca="false">F611*H611</f>
        <v>-0.1875</v>
      </c>
      <c r="S611" s="0" t="n">
        <f aca="false">G611*H611</f>
        <v>-0</v>
      </c>
      <c r="T611" s="0" t="n">
        <f aca="false">E611*E611</f>
        <v>1</v>
      </c>
      <c r="U611" s="0" t="n">
        <f aca="false">F611*F611</f>
        <v>0.5625</v>
      </c>
      <c r="V611" s="0" t="n">
        <f aca="false">G611*G611</f>
        <v>0</v>
      </c>
      <c r="W611" s="0" t="n">
        <f aca="false">H611*H611</f>
        <v>0.0625</v>
      </c>
      <c r="X611" s="0" t="n">
        <f aca="false">SUMPRODUCT(I611:W611,_XtX!$B$96:$P$96)</f>
        <v>42.5401361476608</v>
      </c>
      <c r="Y611" s="0" t="n">
        <f aca="false">SUMPRODUCT(MMULT(I611:W611,_XtX!$B$78:$P$92),I611:W611)</f>
        <v>0.501534802174708</v>
      </c>
      <c r="Z611" s="0" t="n">
        <f aca="false">04_回帰ANOVA!$K$19*04_回帰ANOVA!$K$14*SQRT(1+Y611)</f>
        <v>1.59722498091333</v>
      </c>
      <c r="AA611" s="0" t="n">
        <f aca="false">X611-Z611</f>
        <v>40.9429111667475</v>
      </c>
      <c r="AB611" s="0" t="n">
        <f aca="false">X611+Z611</f>
        <v>44.1373611285742</v>
      </c>
      <c r="AC611" s="54" t="b">
        <f aca="false">AND(E611&gt;=01_因子設定!$L$5-0.000000001,E611&lt;=01_因子設定!$M$5+0.000000001,F611&gt;=01_因子設定!$L$6-0.000000001,F611&lt;=01_因子設定!$M$6+0.000000001,G611&gt;=01_因子設定!$L$7-0.000000001,G611&lt;=01_因子設定!$M$7+0.000000001,H611&gt;=01_因子設定!$L$8-0.000000001,H611&lt;=01_因子設定!$M$8+0.000000001,IF(01_因子設定!$B$20="Box-Behnken",E611^2+F611^2+G611^2+H611^2&lt;=2+0.000000001,TRUE()))</f>
        <v>1</v>
      </c>
      <c r="AD611" s="55" t="n">
        <f aca="false">IF(AC611,IF(01_因子設定!$B$13="最大化",AA611-01_因子設定!$B$14,IF(01_因子設定!$B$13="最小化",01_因子設定!$B$15-AB611,MIN(AA611-01_因子設定!$B$14,01_因子設定!$B$15-AB611))),-1E+030)</f>
        <v>-5.55708883325249</v>
      </c>
      <c r="AE611" s="55" t="n">
        <f aca="false">IF(AC611,IF(01_因子設定!$B$13="最大化",X611,IF(01_因子設定!$B$13="最小化",-X611,-ABS(X611-01_因子設定!$B$16))),-1E+030)</f>
        <v>42.5401361476608</v>
      </c>
      <c r="AF611" s="55" t="n">
        <f aca="false">AD611+ROW()*0.000000001</f>
        <v>-5.55708822225249</v>
      </c>
      <c r="AG611" s="55" t="n">
        <f aca="false">AE611+ROW()*0.000000001</f>
        <v>42.5401367586608</v>
      </c>
    </row>
    <row r="612" customFormat="false" ht="15" hidden="false" customHeight="false" outlineLevel="0" collapsed="false">
      <c r="A612" s="0" t="n">
        <v>0</v>
      </c>
      <c r="B612" s="0" t="n">
        <v>7</v>
      </c>
      <c r="C612" s="0" t="n">
        <v>4</v>
      </c>
      <c r="D612" s="0" t="n">
        <v>4</v>
      </c>
      <c r="E612" s="0" t="n">
        <f aca="false">-1+A612*0.25</f>
        <v>-1</v>
      </c>
      <c r="F612" s="0" t="n">
        <f aca="false">-1+B612*0.25</f>
        <v>0.75</v>
      </c>
      <c r="G612" s="0" t="n">
        <f aca="false">-1+C612*0.25</f>
        <v>0</v>
      </c>
      <c r="H612" s="0" t="n">
        <f aca="false">-1+D612*0.25</f>
        <v>0</v>
      </c>
      <c r="I612" s="0" t="n">
        <f aca="false">1</f>
        <v>1</v>
      </c>
      <c r="J612" s="0" t="n">
        <f aca="false">E612</f>
        <v>-1</v>
      </c>
      <c r="K612" s="0" t="n">
        <f aca="false">F612</f>
        <v>0.75</v>
      </c>
      <c r="L612" s="0" t="n">
        <f aca="false">G612</f>
        <v>0</v>
      </c>
      <c r="M612" s="0" t="n">
        <f aca="false">H612</f>
        <v>0</v>
      </c>
      <c r="N612" s="0" t="n">
        <f aca="false">E612*F612</f>
        <v>-0.75</v>
      </c>
      <c r="O612" s="0" t="n">
        <f aca="false">E612*G612</f>
        <v>-0</v>
      </c>
      <c r="P612" s="0" t="n">
        <f aca="false">E612*H612</f>
        <v>-0</v>
      </c>
      <c r="Q612" s="0" t="n">
        <f aca="false">F612*G612</f>
        <v>0</v>
      </c>
      <c r="R612" s="0" t="n">
        <f aca="false">F612*H612</f>
        <v>0</v>
      </c>
      <c r="S612" s="0" t="n">
        <f aca="false">G612*H612</f>
        <v>0</v>
      </c>
      <c r="T612" s="0" t="n">
        <f aca="false">E612*E612</f>
        <v>1</v>
      </c>
      <c r="U612" s="0" t="n">
        <f aca="false">F612*F612</f>
        <v>0.5625</v>
      </c>
      <c r="V612" s="0" t="n">
        <f aca="false">G612*G612</f>
        <v>0</v>
      </c>
      <c r="W612" s="0" t="n">
        <f aca="false">H612*H612</f>
        <v>0</v>
      </c>
      <c r="X612" s="0" t="n">
        <f aca="false">SUMPRODUCT(I612:W612,_XtX!$B$96:$P$96)</f>
        <v>42.5943347953217</v>
      </c>
      <c r="Y612" s="0" t="n">
        <f aca="false">SUMPRODUCT(MMULT(I612:W612,_XtX!$B$78:$P$92),I612:W612)</f>
        <v>0.516013340643275</v>
      </c>
      <c r="Z612" s="0" t="n">
        <f aca="false">04_回帰ANOVA!$K$19*04_回帰ANOVA!$K$14*SQRT(1+Y612)</f>
        <v>1.60490712175667</v>
      </c>
      <c r="AA612" s="0" t="n">
        <f aca="false">X612-Z612</f>
        <v>40.989427673565</v>
      </c>
      <c r="AB612" s="0" t="n">
        <f aca="false">X612+Z612</f>
        <v>44.1992419170783</v>
      </c>
      <c r="AC612" s="54" t="b">
        <f aca="false">AND(E612&gt;=01_因子設定!$L$5-0.000000001,E612&lt;=01_因子設定!$M$5+0.000000001,F612&gt;=01_因子設定!$L$6-0.000000001,F612&lt;=01_因子設定!$M$6+0.000000001,G612&gt;=01_因子設定!$L$7-0.000000001,G612&lt;=01_因子設定!$M$7+0.000000001,H612&gt;=01_因子設定!$L$8-0.000000001,H612&lt;=01_因子設定!$M$8+0.000000001,IF(01_因子設定!$B$20="Box-Behnken",E612^2+F612^2+G612^2+H612^2&lt;=2+0.000000001,TRUE()))</f>
        <v>1</v>
      </c>
      <c r="AD612" s="55" t="n">
        <f aca="false">IF(AC612,IF(01_因子設定!$B$13="最大化",AA612-01_因子設定!$B$14,IF(01_因子設定!$B$13="最小化",01_因子設定!$B$15-AB612,MIN(AA612-01_因子設定!$B$14,01_因子設定!$B$15-AB612))),-1E+030)</f>
        <v>-5.510572326435</v>
      </c>
      <c r="AE612" s="55" t="n">
        <f aca="false">IF(AC612,IF(01_因子設定!$B$13="最大化",X612,IF(01_因子設定!$B$13="最小化",-X612,-ABS(X612-01_因子設定!$B$16))),-1E+030)</f>
        <v>42.5943347953217</v>
      </c>
      <c r="AF612" s="55" t="n">
        <f aca="false">AD612+ROW()*0.000000001</f>
        <v>-5.510571714435</v>
      </c>
      <c r="AG612" s="55" t="n">
        <f aca="false">AE612+ROW()*0.000000001</f>
        <v>42.5943354073217</v>
      </c>
    </row>
    <row r="613" customFormat="false" ht="15" hidden="false" customHeight="false" outlineLevel="0" collapsed="false">
      <c r="A613" s="0" t="n">
        <v>0</v>
      </c>
      <c r="B613" s="0" t="n">
        <v>7</v>
      </c>
      <c r="C613" s="0" t="n">
        <v>4</v>
      </c>
      <c r="D613" s="0" t="n">
        <v>5</v>
      </c>
      <c r="E613" s="0" t="n">
        <f aca="false">-1+A613*0.25</f>
        <v>-1</v>
      </c>
      <c r="F613" s="0" t="n">
        <f aca="false">-1+B613*0.25</f>
        <v>0.75</v>
      </c>
      <c r="G613" s="0" t="n">
        <f aca="false">-1+C613*0.25</f>
        <v>0</v>
      </c>
      <c r="H613" s="0" t="n">
        <f aca="false">-1+D613*0.25</f>
        <v>0.25</v>
      </c>
      <c r="I613" s="0" t="n">
        <f aca="false">1</f>
        <v>1</v>
      </c>
      <c r="J613" s="0" t="n">
        <f aca="false">E613</f>
        <v>-1</v>
      </c>
      <c r="K613" s="0" t="n">
        <f aca="false">F613</f>
        <v>0.75</v>
      </c>
      <c r="L613" s="0" t="n">
        <f aca="false">G613</f>
        <v>0</v>
      </c>
      <c r="M613" s="0" t="n">
        <f aca="false">H613</f>
        <v>0.25</v>
      </c>
      <c r="N613" s="0" t="n">
        <f aca="false">E613*F613</f>
        <v>-0.75</v>
      </c>
      <c r="O613" s="0" t="n">
        <f aca="false">E613*G613</f>
        <v>-0</v>
      </c>
      <c r="P613" s="0" t="n">
        <f aca="false">E613*H613</f>
        <v>-0.25</v>
      </c>
      <c r="Q613" s="0" t="n">
        <f aca="false">F613*G613</f>
        <v>0</v>
      </c>
      <c r="R613" s="0" t="n">
        <f aca="false">F613*H613</f>
        <v>0.1875</v>
      </c>
      <c r="S613" s="0" t="n">
        <f aca="false">G613*H613</f>
        <v>0</v>
      </c>
      <c r="T613" s="0" t="n">
        <f aca="false">E613*E613</f>
        <v>1</v>
      </c>
      <c r="U613" s="0" t="n">
        <f aca="false">F613*F613</f>
        <v>0.5625</v>
      </c>
      <c r="V613" s="0" t="n">
        <f aca="false">G613*G613</f>
        <v>0</v>
      </c>
      <c r="W613" s="0" t="n">
        <f aca="false">H613*H613</f>
        <v>0.0625</v>
      </c>
      <c r="X613" s="0" t="n">
        <f aca="false">SUMPRODUCT(I613:W613,_XtX!$B$96:$P$96)</f>
        <v>42.6007264254386</v>
      </c>
      <c r="Y613" s="0" t="n">
        <f aca="false">SUMPRODUCT(MMULT(I613:W613,_XtX!$B$78:$P$92),I613:W613)</f>
        <v>0.501534802174708</v>
      </c>
      <c r="Z613" s="0" t="n">
        <f aca="false">04_回帰ANOVA!$K$19*04_回帰ANOVA!$K$14*SQRT(1+Y613)</f>
        <v>1.59722498091333</v>
      </c>
      <c r="AA613" s="0" t="n">
        <f aca="false">X613-Z613</f>
        <v>41.0035014445253</v>
      </c>
      <c r="AB613" s="0" t="n">
        <f aca="false">X613+Z613</f>
        <v>44.197951406352</v>
      </c>
      <c r="AC613" s="54" t="b">
        <f aca="false">AND(E613&gt;=01_因子設定!$L$5-0.000000001,E613&lt;=01_因子設定!$M$5+0.000000001,F613&gt;=01_因子設定!$L$6-0.000000001,F613&lt;=01_因子設定!$M$6+0.000000001,G613&gt;=01_因子設定!$L$7-0.000000001,G613&lt;=01_因子設定!$M$7+0.000000001,H613&gt;=01_因子設定!$L$8-0.000000001,H613&lt;=01_因子設定!$M$8+0.000000001,IF(01_因子設定!$B$20="Box-Behnken",E613^2+F613^2+G613^2+H613^2&lt;=2+0.000000001,TRUE()))</f>
        <v>1</v>
      </c>
      <c r="AD613" s="55" t="n">
        <f aca="false">IF(AC613,IF(01_因子設定!$B$13="最大化",AA613-01_因子設定!$B$14,IF(01_因子設定!$B$13="最小化",01_因子設定!$B$15-AB613,MIN(AA613-01_因子設定!$B$14,01_因子設定!$B$15-AB613))),-1E+030)</f>
        <v>-5.49649855547471</v>
      </c>
      <c r="AE613" s="55" t="n">
        <f aca="false">IF(AC613,IF(01_因子設定!$B$13="最大化",X613,IF(01_因子設定!$B$13="最小化",-X613,-ABS(X613-01_因子設定!$B$16))),-1E+030)</f>
        <v>42.6007264254386</v>
      </c>
      <c r="AF613" s="55" t="n">
        <f aca="false">AD613+ROW()*0.000000001</f>
        <v>-5.49649794247471</v>
      </c>
      <c r="AG613" s="55" t="n">
        <f aca="false">AE613+ROW()*0.000000001</f>
        <v>42.6007270384386</v>
      </c>
    </row>
    <row r="614" customFormat="false" ht="15" hidden="false" customHeight="false" outlineLevel="0" collapsed="false">
      <c r="A614" s="0" t="n">
        <v>0</v>
      </c>
      <c r="B614" s="0" t="n">
        <v>7</v>
      </c>
      <c r="C614" s="0" t="n">
        <v>4</v>
      </c>
      <c r="D614" s="0" t="n">
        <v>6</v>
      </c>
      <c r="E614" s="0" t="n">
        <f aca="false">-1+A614*0.25</f>
        <v>-1</v>
      </c>
      <c r="F614" s="0" t="n">
        <f aca="false">-1+B614*0.25</f>
        <v>0.75</v>
      </c>
      <c r="G614" s="0" t="n">
        <f aca="false">-1+C614*0.25</f>
        <v>0</v>
      </c>
      <c r="H614" s="0" t="n">
        <f aca="false">-1+D614*0.25</f>
        <v>0.5</v>
      </c>
      <c r="I614" s="0" t="n">
        <f aca="false">1</f>
        <v>1</v>
      </c>
      <c r="J614" s="0" t="n">
        <f aca="false">E614</f>
        <v>-1</v>
      </c>
      <c r="K614" s="0" t="n">
        <f aca="false">F614</f>
        <v>0.75</v>
      </c>
      <c r="L614" s="0" t="n">
        <f aca="false">G614</f>
        <v>0</v>
      </c>
      <c r="M614" s="0" t="n">
        <f aca="false">H614</f>
        <v>0.5</v>
      </c>
      <c r="N614" s="0" t="n">
        <f aca="false">E614*F614</f>
        <v>-0.75</v>
      </c>
      <c r="O614" s="0" t="n">
        <f aca="false">E614*G614</f>
        <v>-0</v>
      </c>
      <c r="P614" s="0" t="n">
        <f aca="false">E614*H614</f>
        <v>-0.5</v>
      </c>
      <c r="Q614" s="0" t="n">
        <f aca="false">F614*G614</f>
        <v>0</v>
      </c>
      <c r="R614" s="0" t="n">
        <f aca="false">F614*H614</f>
        <v>0.375</v>
      </c>
      <c r="S614" s="0" t="n">
        <f aca="false">G614*H614</f>
        <v>0</v>
      </c>
      <c r="T614" s="0" t="n">
        <f aca="false">E614*E614</f>
        <v>1</v>
      </c>
      <c r="U614" s="0" t="n">
        <f aca="false">F614*F614</f>
        <v>0.5625</v>
      </c>
      <c r="V614" s="0" t="n">
        <f aca="false">G614*G614</f>
        <v>0</v>
      </c>
      <c r="W614" s="0" t="n">
        <f aca="false">H614*H614</f>
        <v>0.25</v>
      </c>
      <c r="X614" s="0" t="n">
        <f aca="false">SUMPRODUCT(I614:W614,_XtX!$B$96:$P$96)</f>
        <v>42.5593110380117</v>
      </c>
      <c r="Y614" s="0" t="n">
        <f aca="false">SUMPRODUCT(MMULT(I614:W614,_XtX!$B$78:$P$92),I614:W614)</f>
        <v>0.476191292032164</v>
      </c>
      <c r="Z614" s="0" t="n">
        <f aca="false">04_回帰ANOVA!$K$19*04_回帰ANOVA!$K$14*SQRT(1+Y614)</f>
        <v>1.58368831471718</v>
      </c>
      <c r="AA614" s="0" t="n">
        <f aca="false">X614-Z614</f>
        <v>40.9756227232946</v>
      </c>
      <c r="AB614" s="0" t="n">
        <f aca="false">X614+Z614</f>
        <v>44.1429993527289</v>
      </c>
      <c r="AC614" s="54" t="b">
        <f aca="false">AND(E614&gt;=01_因子設定!$L$5-0.000000001,E614&lt;=01_因子設定!$M$5+0.000000001,F614&gt;=01_因子設定!$L$6-0.000000001,F614&lt;=01_因子設定!$M$6+0.000000001,G614&gt;=01_因子設定!$L$7-0.000000001,G614&lt;=01_因子設定!$M$7+0.000000001,H614&gt;=01_因子設定!$L$8-0.000000001,H614&lt;=01_因子設定!$M$8+0.000000001,IF(01_因子設定!$B$20="Box-Behnken",E614^2+F614^2+G614^2+H614^2&lt;=2+0.000000001,TRUE()))</f>
        <v>1</v>
      </c>
      <c r="AD614" s="55" t="n">
        <f aca="false">IF(AC614,IF(01_因子設定!$B$13="最大化",AA614-01_因子設定!$B$14,IF(01_因子設定!$B$13="最小化",01_因子設定!$B$15-AB614,MIN(AA614-01_因子設定!$B$14,01_因子設定!$B$15-AB614))),-1E+030)</f>
        <v>-5.52437727670545</v>
      </c>
      <c r="AE614" s="55" t="n">
        <f aca="false">IF(AC614,IF(01_因子設定!$B$13="最大化",X614,IF(01_因子設定!$B$13="最小化",-X614,-ABS(X614-01_因子設定!$B$16))),-1E+030)</f>
        <v>42.5593110380117</v>
      </c>
      <c r="AF614" s="55" t="n">
        <f aca="false">AD614+ROW()*0.000000001</f>
        <v>-5.52437666270545</v>
      </c>
      <c r="AG614" s="55" t="n">
        <f aca="false">AE614+ROW()*0.000000001</f>
        <v>42.5593116520117</v>
      </c>
    </row>
    <row r="615" customFormat="false" ht="15" hidden="false" customHeight="false" outlineLevel="0" collapsed="false">
      <c r="A615" s="0" t="n">
        <v>0</v>
      </c>
      <c r="B615" s="0" t="n">
        <v>7</v>
      </c>
      <c r="C615" s="0" t="n">
        <v>4</v>
      </c>
      <c r="D615" s="0" t="n">
        <v>7</v>
      </c>
      <c r="E615" s="0" t="n">
        <f aca="false">-1+A615*0.25</f>
        <v>-1</v>
      </c>
      <c r="F615" s="0" t="n">
        <f aca="false">-1+B615*0.25</f>
        <v>0.75</v>
      </c>
      <c r="G615" s="0" t="n">
        <f aca="false">-1+C615*0.25</f>
        <v>0</v>
      </c>
      <c r="H615" s="0" t="n">
        <f aca="false">-1+D615*0.25</f>
        <v>0.75</v>
      </c>
      <c r="I615" s="0" t="n">
        <f aca="false">1</f>
        <v>1</v>
      </c>
      <c r="J615" s="0" t="n">
        <f aca="false">E615</f>
        <v>-1</v>
      </c>
      <c r="K615" s="0" t="n">
        <f aca="false">F615</f>
        <v>0.75</v>
      </c>
      <c r="L615" s="0" t="n">
        <f aca="false">G615</f>
        <v>0</v>
      </c>
      <c r="M615" s="0" t="n">
        <f aca="false">H615</f>
        <v>0.75</v>
      </c>
      <c r="N615" s="0" t="n">
        <f aca="false">E615*F615</f>
        <v>-0.75</v>
      </c>
      <c r="O615" s="0" t="n">
        <f aca="false">E615*G615</f>
        <v>-0</v>
      </c>
      <c r="P615" s="0" t="n">
        <f aca="false">E615*H615</f>
        <v>-0.75</v>
      </c>
      <c r="Q615" s="0" t="n">
        <f aca="false">F615*G615</f>
        <v>0</v>
      </c>
      <c r="R615" s="0" t="n">
        <f aca="false">F615*H615</f>
        <v>0.5625</v>
      </c>
      <c r="S615" s="0" t="n">
        <f aca="false">G615*H615</f>
        <v>0</v>
      </c>
      <c r="T615" s="0" t="n">
        <f aca="false">E615*E615</f>
        <v>1</v>
      </c>
      <c r="U615" s="0" t="n">
        <f aca="false">F615*F615</f>
        <v>0.5625</v>
      </c>
      <c r="V615" s="0" t="n">
        <f aca="false">G615*G615</f>
        <v>0</v>
      </c>
      <c r="W615" s="0" t="n">
        <f aca="false">H615*H615</f>
        <v>0.5625</v>
      </c>
      <c r="X615" s="0" t="n">
        <f aca="false">SUMPRODUCT(I615:W615,_XtX!$B$96:$P$96)</f>
        <v>42.470088633041</v>
      </c>
      <c r="Y615" s="0" t="n">
        <f aca="false">SUMPRODUCT(MMULT(I615:W615,_XtX!$B$78:$P$92),I615:W615)</f>
        <v>0.494259126005117</v>
      </c>
      <c r="Z615" s="0" t="n">
        <f aca="false">04_回帰ANOVA!$K$19*04_回帰ANOVA!$K$14*SQRT(1+Y615)</f>
        <v>1.59335061078203</v>
      </c>
      <c r="AA615" s="0" t="n">
        <f aca="false">X615-Z615</f>
        <v>40.876738022259</v>
      </c>
      <c r="AB615" s="0" t="n">
        <f aca="false">X615+Z615</f>
        <v>44.063439243823</v>
      </c>
      <c r="AC615" s="54" t="b">
        <f aca="false">AND(E615&gt;=01_因子設定!$L$5-0.000000001,E615&lt;=01_因子設定!$M$5+0.000000001,F615&gt;=01_因子設定!$L$6-0.000000001,F615&lt;=01_因子設定!$M$6+0.000000001,G615&gt;=01_因子設定!$L$7-0.000000001,G615&lt;=01_因子設定!$M$7+0.000000001,H615&gt;=01_因子設定!$L$8-0.000000001,H615&lt;=01_因子設定!$M$8+0.000000001,IF(01_因子設定!$B$20="Box-Behnken",E615^2+F615^2+G615^2+H615^2&lt;=2+0.000000001,TRUE()))</f>
        <v>1</v>
      </c>
      <c r="AD615" s="55" t="n">
        <f aca="false">IF(AC615,IF(01_因子設定!$B$13="最大化",AA615-01_因子設定!$B$14,IF(01_因子設定!$B$13="最小化",01_因子設定!$B$15-AB615,MIN(AA615-01_因子設定!$B$14,01_因子設定!$B$15-AB615))),-1E+030)</f>
        <v>-5.62326197774105</v>
      </c>
      <c r="AE615" s="55" t="n">
        <f aca="false">IF(AC615,IF(01_因子設定!$B$13="最大化",X615,IF(01_因子設定!$B$13="最小化",-X615,-ABS(X615-01_因子設定!$B$16))),-1E+030)</f>
        <v>42.470088633041</v>
      </c>
      <c r="AF615" s="55" t="n">
        <f aca="false">AD615+ROW()*0.000000001</f>
        <v>-5.62326136274105</v>
      </c>
      <c r="AG615" s="55" t="n">
        <f aca="false">AE615+ROW()*0.000000001</f>
        <v>42.470089248041</v>
      </c>
    </row>
    <row r="616" customFormat="false" ht="15" hidden="false" customHeight="false" outlineLevel="0" collapsed="false">
      <c r="A616" s="0" t="n">
        <v>0</v>
      </c>
      <c r="B616" s="0" t="n">
        <v>7</v>
      </c>
      <c r="C616" s="0" t="n">
        <v>4</v>
      </c>
      <c r="D616" s="0" t="n">
        <v>8</v>
      </c>
      <c r="E616" s="0" t="n">
        <f aca="false">-1+A616*0.25</f>
        <v>-1</v>
      </c>
      <c r="F616" s="0" t="n">
        <f aca="false">-1+B616*0.25</f>
        <v>0.75</v>
      </c>
      <c r="G616" s="0" t="n">
        <f aca="false">-1+C616*0.25</f>
        <v>0</v>
      </c>
      <c r="H616" s="0" t="n">
        <f aca="false">-1+D616*0.25</f>
        <v>1</v>
      </c>
      <c r="I616" s="0" t="n">
        <f aca="false">1</f>
        <v>1</v>
      </c>
      <c r="J616" s="0" t="n">
        <f aca="false">E616</f>
        <v>-1</v>
      </c>
      <c r="K616" s="0" t="n">
        <f aca="false">F616</f>
        <v>0.75</v>
      </c>
      <c r="L616" s="0" t="n">
        <f aca="false">G616</f>
        <v>0</v>
      </c>
      <c r="M616" s="0" t="n">
        <f aca="false">H616</f>
        <v>1</v>
      </c>
      <c r="N616" s="0" t="n">
        <f aca="false">E616*F616</f>
        <v>-0.75</v>
      </c>
      <c r="O616" s="0" t="n">
        <f aca="false">E616*G616</f>
        <v>-0</v>
      </c>
      <c r="P616" s="0" t="n">
        <f aca="false">E616*H616</f>
        <v>-1</v>
      </c>
      <c r="Q616" s="0" t="n">
        <f aca="false">F616*G616</f>
        <v>0</v>
      </c>
      <c r="R616" s="0" t="n">
        <f aca="false">F616*H616</f>
        <v>0.75</v>
      </c>
      <c r="S616" s="0" t="n">
        <f aca="false">G616*H616</f>
        <v>0</v>
      </c>
      <c r="T616" s="0" t="n">
        <f aca="false">E616*E616</f>
        <v>1</v>
      </c>
      <c r="U616" s="0" t="n">
        <f aca="false">F616*F616</f>
        <v>0.5625</v>
      </c>
      <c r="V616" s="0" t="n">
        <f aca="false">G616*G616</f>
        <v>0</v>
      </c>
      <c r="W616" s="0" t="n">
        <f aca="false">H616*H616</f>
        <v>1</v>
      </c>
      <c r="X616" s="0" t="n">
        <f aca="false">SUMPRODUCT(I616:W616,_XtX!$B$96:$P$96)</f>
        <v>42.3330592105264</v>
      </c>
      <c r="Y616" s="0" t="n">
        <f aca="false">SUMPRODUCT(MMULT(I616:W616,_XtX!$B$78:$P$92),I616:W616)</f>
        <v>0.646198830409357</v>
      </c>
      <c r="Z616" s="0" t="n">
        <f aca="false">04_回帰ANOVA!$K$19*04_回帰ANOVA!$K$14*SQRT(1+Y616)</f>
        <v>1.67239760569756</v>
      </c>
      <c r="AA616" s="0" t="n">
        <f aca="false">X616-Z616</f>
        <v>40.6606616048288</v>
      </c>
      <c r="AB616" s="0" t="n">
        <f aca="false">X616+Z616</f>
        <v>44.0054568162239</v>
      </c>
      <c r="AC616" s="54" t="b">
        <f aca="false">AND(E616&gt;=01_因子設定!$L$5-0.000000001,E616&lt;=01_因子設定!$M$5+0.000000001,F616&gt;=01_因子設定!$L$6-0.000000001,F616&lt;=01_因子設定!$M$6+0.000000001,G616&gt;=01_因子設定!$L$7-0.000000001,G616&lt;=01_因子設定!$M$7+0.000000001,H616&gt;=01_因子設定!$L$8-0.000000001,H616&lt;=01_因子設定!$M$8+0.000000001,IF(01_因子設定!$B$20="Box-Behnken",E616^2+F616^2+G616^2+H616^2&lt;=2+0.000000001,TRUE()))</f>
        <v>1</v>
      </c>
      <c r="AD616" s="55" t="n">
        <f aca="false">IF(AC616,IF(01_因子設定!$B$13="最大化",AA616-01_因子設定!$B$14,IF(01_因子設定!$B$13="最小化",01_因子設定!$B$15-AB616,MIN(AA616-01_因子設定!$B$14,01_因子設定!$B$15-AB616))),-1E+030)</f>
        <v>-5.83933839517118</v>
      </c>
      <c r="AE616" s="55" t="n">
        <f aca="false">IF(AC616,IF(01_因子設定!$B$13="最大化",X616,IF(01_因子設定!$B$13="最小化",-X616,-ABS(X616-01_因子設定!$B$16))),-1E+030)</f>
        <v>42.3330592105264</v>
      </c>
      <c r="AF616" s="55" t="n">
        <f aca="false">AD616+ROW()*0.000000001</f>
        <v>-5.83933777917118</v>
      </c>
      <c r="AG616" s="55" t="n">
        <f aca="false">AE616+ROW()*0.000000001</f>
        <v>42.3330598265264</v>
      </c>
    </row>
    <row r="617" customFormat="false" ht="15" hidden="false" customHeight="false" outlineLevel="0" collapsed="false">
      <c r="A617" s="0" t="n">
        <v>0</v>
      </c>
      <c r="B617" s="0" t="n">
        <v>7</v>
      </c>
      <c r="C617" s="0" t="n">
        <v>5</v>
      </c>
      <c r="D617" s="0" t="n">
        <v>0</v>
      </c>
      <c r="E617" s="0" t="n">
        <f aca="false">-1+A617*0.25</f>
        <v>-1</v>
      </c>
      <c r="F617" s="0" t="n">
        <f aca="false">-1+B617*0.25</f>
        <v>0.75</v>
      </c>
      <c r="G617" s="0" t="n">
        <f aca="false">-1+C617*0.25</f>
        <v>0.25</v>
      </c>
      <c r="H617" s="0" t="n">
        <f aca="false">-1+D617*0.25</f>
        <v>-1</v>
      </c>
      <c r="I617" s="0" t="n">
        <f aca="false">1</f>
        <v>1</v>
      </c>
      <c r="J617" s="0" t="n">
        <f aca="false">E617</f>
        <v>-1</v>
      </c>
      <c r="K617" s="0" t="n">
        <f aca="false">F617</f>
        <v>0.75</v>
      </c>
      <c r="L617" s="0" t="n">
        <f aca="false">G617</f>
        <v>0.25</v>
      </c>
      <c r="M617" s="0" t="n">
        <f aca="false">H617</f>
        <v>-1</v>
      </c>
      <c r="N617" s="0" t="n">
        <f aca="false">E617*F617</f>
        <v>-0.75</v>
      </c>
      <c r="O617" s="0" t="n">
        <f aca="false">E617*G617</f>
        <v>-0.25</v>
      </c>
      <c r="P617" s="0" t="n">
        <f aca="false">E617*H617</f>
        <v>1</v>
      </c>
      <c r="Q617" s="0" t="n">
        <f aca="false">F617*G617</f>
        <v>0.1875</v>
      </c>
      <c r="R617" s="0" t="n">
        <f aca="false">F617*H617</f>
        <v>-0.75</v>
      </c>
      <c r="S617" s="0" t="n">
        <f aca="false">G617*H617</f>
        <v>-0.25</v>
      </c>
      <c r="T617" s="0" t="n">
        <f aca="false">E617*E617</f>
        <v>1</v>
      </c>
      <c r="U617" s="0" t="n">
        <f aca="false">F617*F617</f>
        <v>0.5625</v>
      </c>
      <c r="V617" s="0" t="n">
        <f aca="false">G617*G617</f>
        <v>0.0625</v>
      </c>
      <c r="W617" s="0" t="n">
        <f aca="false">H617*H617</f>
        <v>1</v>
      </c>
      <c r="X617" s="0" t="n">
        <f aca="false">SUMPRODUCT(I617:W617,_XtX!$B$96:$P$96)</f>
        <v>42.4430966739767</v>
      </c>
      <c r="Y617" s="0" t="n">
        <f aca="false">SUMPRODUCT(MMULT(I617:W617,_XtX!$B$78:$P$92),I617:W617)</f>
        <v>0.621372155975877</v>
      </c>
      <c r="Z617" s="0" t="n">
        <f aca="false">04_回帰ANOVA!$K$19*04_回帰ANOVA!$K$14*SQRT(1+Y617)</f>
        <v>1.65973880499872</v>
      </c>
      <c r="AA617" s="0" t="n">
        <f aca="false">X617-Z617</f>
        <v>40.783357868978</v>
      </c>
      <c r="AB617" s="0" t="n">
        <f aca="false">X617+Z617</f>
        <v>44.1028354789754</v>
      </c>
      <c r="AC617" s="54" t="b">
        <f aca="false">AND(E617&gt;=01_因子設定!$L$5-0.000000001,E617&lt;=01_因子設定!$M$5+0.000000001,F617&gt;=01_因子設定!$L$6-0.000000001,F617&lt;=01_因子設定!$M$6+0.000000001,G617&gt;=01_因子設定!$L$7-0.000000001,G617&lt;=01_因子設定!$M$7+0.000000001,H617&gt;=01_因子設定!$L$8-0.000000001,H617&lt;=01_因子設定!$M$8+0.000000001,IF(01_因子設定!$B$20="Box-Behnken",E617^2+F617^2+G617^2+H617^2&lt;=2+0.000000001,TRUE()))</f>
        <v>1</v>
      </c>
      <c r="AD617" s="55" t="n">
        <f aca="false">IF(AC617,IF(01_因子設定!$B$13="最大化",AA617-01_因子設定!$B$14,IF(01_因子設定!$B$13="最小化",01_因子設定!$B$15-AB617,MIN(AA617-01_因子設定!$B$14,01_因子設定!$B$15-AB617))),-1E+030)</f>
        <v>-5.71664213102204</v>
      </c>
      <c r="AE617" s="55" t="n">
        <f aca="false">IF(AC617,IF(01_因子設定!$B$13="最大化",X617,IF(01_因子設定!$B$13="最小化",-X617,-ABS(X617-01_因子設定!$B$16))),-1E+030)</f>
        <v>42.4430966739767</v>
      </c>
      <c r="AF617" s="55" t="n">
        <f aca="false">AD617+ROW()*0.000000001</f>
        <v>-5.71664151402204</v>
      </c>
      <c r="AG617" s="55" t="n">
        <f aca="false">AE617+ROW()*0.000000001</f>
        <v>42.4430972909767</v>
      </c>
    </row>
    <row r="618" customFormat="false" ht="15" hidden="false" customHeight="false" outlineLevel="0" collapsed="false">
      <c r="A618" s="0" t="n">
        <v>0</v>
      </c>
      <c r="B618" s="0" t="n">
        <v>7</v>
      </c>
      <c r="C618" s="0" t="n">
        <v>5</v>
      </c>
      <c r="D618" s="0" t="n">
        <v>1</v>
      </c>
      <c r="E618" s="0" t="n">
        <f aca="false">-1+A618*0.25</f>
        <v>-1</v>
      </c>
      <c r="F618" s="0" t="n">
        <f aca="false">-1+B618*0.25</f>
        <v>0.75</v>
      </c>
      <c r="G618" s="0" t="n">
        <f aca="false">-1+C618*0.25</f>
        <v>0.25</v>
      </c>
      <c r="H618" s="0" t="n">
        <f aca="false">-1+D618*0.25</f>
        <v>-0.75</v>
      </c>
      <c r="I618" s="0" t="n">
        <f aca="false">1</f>
        <v>1</v>
      </c>
      <c r="J618" s="0" t="n">
        <f aca="false">E618</f>
        <v>-1</v>
      </c>
      <c r="K618" s="0" t="n">
        <f aca="false">F618</f>
        <v>0.75</v>
      </c>
      <c r="L618" s="0" t="n">
        <f aca="false">G618</f>
        <v>0.25</v>
      </c>
      <c r="M618" s="0" t="n">
        <f aca="false">H618</f>
        <v>-0.75</v>
      </c>
      <c r="N618" s="0" t="n">
        <f aca="false">E618*F618</f>
        <v>-0.75</v>
      </c>
      <c r="O618" s="0" t="n">
        <f aca="false">E618*G618</f>
        <v>-0.25</v>
      </c>
      <c r="P618" s="0" t="n">
        <f aca="false">E618*H618</f>
        <v>0.75</v>
      </c>
      <c r="Q618" s="0" t="n">
        <f aca="false">F618*G618</f>
        <v>0.1875</v>
      </c>
      <c r="R618" s="0" t="n">
        <f aca="false">F618*H618</f>
        <v>-0.5625</v>
      </c>
      <c r="S618" s="0" t="n">
        <f aca="false">G618*H618</f>
        <v>-0.1875</v>
      </c>
      <c r="T618" s="0" t="n">
        <f aca="false">E618*E618</f>
        <v>1</v>
      </c>
      <c r="U618" s="0" t="n">
        <f aca="false">F618*F618</f>
        <v>0.5625</v>
      </c>
      <c r="V618" s="0" t="n">
        <f aca="false">G618*G618</f>
        <v>0.0625</v>
      </c>
      <c r="W618" s="0" t="n">
        <f aca="false">H618*H618</f>
        <v>0.5625</v>
      </c>
      <c r="X618" s="0" t="n">
        <f aca="false">SUMPRODUCT(I618:W618,_XtX!$B$96:$P$96)</f>
        <v>42.6586851242691</v>
      </c>
      <c r="Y618" s="0" t="n">
        <f aca="false">SUMPRODUCT(MMULT(I618:W618,_XtX!$B$78:$P$92),I618:W618)</f>
        <v>0.473959761056287</v>
      </c>
      <c r="Z618" s="0" t="n">
        <f aca="false">04_回帰ANOVA!$K$19*04_回帰ANOVA!$K$14*SQRT(1+Y618)</f>
        <v>1.58249084588329</v>
      </c>
      <c r="AA618" s="0" t="n">
        <f aca="false">X618-Z618</f>
        <v>41.0761942783858</v>
      </c>
      <c r="AB618" s="0" t="n">
        <f aca="false">X618+Z618</f>
        <v>44.2411759701523</v>
      </c>
      <c r="AC618" s="54" t="b">
        <f aca="false">AND(E618&gt;=01_因子設定!$L$5-0.000000001,E618&lt;=01_因子設定!$M$5+0.000000001,F618&gt;=01_因子設定!$L$6-0.000000001,F618&lt;=01_因子設定!$M$6+0.000000001,G618&gt;=01_因子設定!$L$7-0.000000001,G618&lt;=01_因子設定!$M$7+0.000000001,H618&gt;=01_因子設定!$L$8-0.000000001,H618&lt;=01_因子設定!$M$8+0.000000001,IF(01_因子設定!$B$20="Box-Behnken",E618^2+F618^2+G618^2+H618^2&lt;=2+0.000000001,TRUE()))</f>
        <v>1</v>
      </c>
      <c r="AD618" s="55" t="n">
        <f aca="false">IF(AC618,IF(01_因子設定!$B$13="最大化",AA618-01_因子設定!$B$14,IF(01_因子設定!$B$13="最小化",01_因子設定!$B$15-AB618,MIN(AA618-01_因子設定!$B$14,01_因子設定!$B$15-AB618))),-1E+030)</f>
        <v>-5.42380572161423</v>
      </c>
      <c r="AE618" s="55" t="n">
        <f aca="false">IF(AC618,IF(01_因子設定!$B$13="最大化",X618,IF(01_因子設定!$B$13="最小化",-X618,-ABS(X618-01_因子設定!$B$16))),-1E+030)</f>
        <v>42.6586851242691</v>
      </c>
      <c r="AF618" s="55" t="n">
        <f aca="false">AD618+ROW()*0.000000001</f>
        <v>-5.42380510361423</v>
      </c>
      <c r="AG618" s="55" t="n">
        <f aca="false">AE618+ROW()*0.000000001</f>
        <v>42.6586857422691</v>
      </c>
    </row>
    <row r="619" customFormat="false" ht="15" hidden="false" customHeight="false" outlineLevel="0" collapsed="false">
      <c r="A619" s="0" t="n">
        <v>0</v>
      </c>
      <c r="B619" s="0" t="n">
        <v>7</v>
      </c>
      <c r="C619" s="0" t="n">
        <v>5</v>
      </c>
      <c r="D619" s="0" t="n">
        <v>2</v>
      </c>
      <c r="E619" s="0" t="n">
        <f aca="false">-1+A619*0.25</f>
        <v>-1</v>
      </c>
      <c r="F619" s="0" t="n">
        <f aca="false">-1+B619*0.25</f>
        <v>0.75</v>
      </c>
      <c r="G619" s="0" t="n">
        <f aca="false">-1+C619*0.25</f>
        <v>0.25</v>
      </c>
      <c r="H619" s="0" t="n">
        <f aca="false">-1+D619*0.25</f>
        <v>-0.5</v>
      </c>
      <c r="I619" s="0" t="n">
        <f aca="false">1</f>
        <v>1</v>
      </c>
      <c r="J619" s="0" t="n">
        <f aca="false">E619</f>
        <v>-1</v>
      </c>
      <c r="K619" s="0" t="n">
        <f aca="false">F619</f>
        <v>0.75</v>
      </c>
      <c r="L619" s="0" t="n">
        <f aca="false">G619</f>
        <v>0.25</v>
      </c>
      <c r="M619" s="0" t="n">
        <f aca="false">H619</f>
        <v>-0.5</v>
      </c>
      <c r="N619" s="0" t="n">
        <f aca="false">E619*F619</f>
        <v>-0.75</v>
      </c>
      <c r="O619" s="0" t="n">
        <f aca="false">E619*G619</f>
        <v>-0.25</v>
      </c>
      <c r="P619" s="0" t="n">
        <f aca="false">E619*H619</f>
        <v>0.5</v>
      </c>
      <c r="Q619" s="0" t="n">
        <f aca="false">F619*G619</f>
        <v>0.1875</v>
      </c>
      <c r="R619" s="0" t="n">
        <f aca="false">F619*H619</f>
        <v>-0.375</v>
      </c>
      <c r="S619" s="0" t="n">
        <f aca="false">G619*H619</f>
        <v>-0.125</v>
      </c>
      <c r="T619" s="0" t="n">
        <f aca="false">E619*E619</f>
        <v>1</v>
      </c>
      <c r="U619" s="0" t="n">
        <f aca="false">F619*F619</f>
        <v>0.5625</v>
      </c>
      <c r="V619" s="0" t="n">
        <f aca="false">G619*G619</f>
        <v>0.0625</v>
      </c>
      <c r="W619" s="0" t="n">
        <f aca="false">H619*H619</f>
        <v>0.25</v>
      </c>
      <c r="X619" s="0" t="n">
        <f aca="false">SUMPRODUCT(I619:W619,_XtX!$B$96:$P$96)</f>
        <v>42.8264665570176</v>
      </c>
      <c r="Y619" s="0" t="n">
        <f aca="false">SUMPRODUCT(MMULT(I619:W619,_XtX!$B$78:$P$92),I619:W619)</f>
        <v>0.459125719572369</v>
      </c>
      <c r="Z619" s="0" t="n">
        <f aca="false">04_回帰ANOVA!$K$19*04_回帰ANOVA!$K$14*SQRT(1+Y619)</f>
        <v>1.57450755575573</v>
      </c>
      <c r="AA619" s="0" t="n">
        <f aca="false">X619-Z619</f>
        <v>41.2519590012619</v>
      </c>
      <c r="AB619" s="0" t="n">
        <f aca="false">X619+Z619</f>
        <v>44.4009741127733</v>
      </c>
      <c r="AC619" s="54" t="b">
        <f aca="false">AND(E619&gt;=01_因子設定!$L$5-0.000000001,E619&lt;=01_因子設定!$M$5+0.000000001,F619&gt;=01_因子設定!$L$6-0.000000001,F619&lt;=01_因子設定!$M$6+0.000000001,G619&gt;=01_因子設定!$L$7-0.000000001,G619&lt;=01_因子設定!$M$7+0.000000001,H619&gt;=01_因子設定!$L$8-0.000000001,H619&lt;=01_因子設定!$M$8+0.000000001,IF(01_因子設定!$B$20="Box-Behnken",E619^2+F619^2+G619^2+H619^2&lt;=2+0.000000001,TRUE()))</f>
        <v>1</v>
      </c>
      <c r="AD619" s="55" t="n">
        <f aca="false">IF(AC619,IF(01_因子設定!$B$13="最大化",AA619-01_因子設定!$B$14,IF(01_因子設定!$B$13="最小化",01_因子設定!$B$15-AB619,MIN(AA619-01_因子設定!$B$14,01_因子設定!$B$15-AB619))),-1E+030)</f>
        <v>-5.24804099873815</v>
      </c>
      <c r="AE619" s="55" t="n">
        <f aca="false">IF(AC619,IF(01_因子設定!$B$13="最大化",X619,IF(01_因子設定!$B$13="最小化",-X619,-ABS(X619-01_因子設定!$B$16))),-1E+030)</f>
        <v>42.8264665570176</v>
      </c>
      <c r="AF619" s="55" t="n">
        <f aca="false">AD619+ROW()*0.000000001</f>
        <v>-5.24804037973815</v>
      </c>
      <c r="AG619" s="55" t="n">
        <f aca="false">AE619+ROW()*0.000000001</f>
        <v>42.8264671760176</v>
      </c>
    </row>
    <row r="620" customFormat="false" ht="15" hidden="false" customHeight="false" outlineLevel="0" collapsed="false">
      <c r="A620" s="0" t="n">
        <v>0</v>
      </c>
      <c r="B620" s="0" t="n">
        <v>7</v>
      </c>
      <c r="C620" s="0" t="n">
        <v>5</v>
      </c>
      <c r="D620" s="0" t="n">
        <v>3</v>
      </c>
      <c r="E620" s="0" t="n">
        <f aca="false">-1+A620*0.25</f>
        <v>-1</v>
      </c>
      <c r="F620" s="0" t="n">
        <f aca="false">-1+B620*0.25</f>
        <v>0.75</v>
      </c>
      <c r="G620" s="0" t="n">
        <f aca="false">-1+C620*0.25</f>
        <v>0.25</v>
      </c>
      <c r="H620" s="0" t="n">
        <f aca="false">-1+D620*0.25</f>
        <v>-0.25</v>
      </c>
      <c r="I620" s="0" t="n">
        <f aca="false">1</f>
        <v>1</v>
      </c>
      <c r="J620" s="0" t="n">
        <f aca="false">E620</f>
        <v>-1</v>
      </c>
      <c r="K620" s="0" t="n">
        <f aca="false">F620</f>
        <v>0.75</v>
      </c>
      <c r="L620" s="0" t="n">
        <f aca="false">G620</f>
        <v>0.25</v>
      </c>
      <c r="M620" s="0" t="n">
        <f aca="false">H620</f>
        <v>-0.25</v>
      </c>
      <c r="N620" s="0" t="n">
        <f aca="false">E620*F620</f>
        <v>-0.75</v>
      </c>
      <c r="O620" s="0" t="n">
        <f aca="false">E620*G620</f>
        <v>-0.25</v>
      </c>
      <c r="P620" s="0" t="n">
        <f aca="false">E620*H620</f>
        <v>0.25</v>
      </c>
      <c r="Q620" s="0" t="n">
        <f aca="false">F620*G620</f>
        <v>0.1875</v>
      </c>
      <c r="R620" s="0" t="n">
        <f aca="false">F620*H620</f>
        <v>-0.1875</v>
      </c>
      <c r="S620" s="0" t="n">
        <f aca="false">G620*H620</f>
        <v>-0.0625</v>
      </c>
      <c r="T620" s="0" t="n">
        <f aca="false">E620*E620</f>
        <v>1</v>
      </c>
      <c r="U620" s="0" t="n">
        <f aca="false">F620*F620</f>
        <v>0.5625</v>
      </c>
      <c r="V620" s="0" t="n">
        <f aca="false">G620*G620</f>
        <v>0.0625</v>
      </c>
      <c r="W620" s="0" t="n">
        <f aca="false">H620*H620</f>
        <v>0.0625</v>
      </c>
      <c r="X620" s="0" t="n">
        <f aca="false">SUMPRODUCT(I620:W620,_XtX!$B$96:$P$96)</f>
        <v>42.9464409722223</v>
      </c>
      <c r="Y620" s="0" t="n">
        <f aca="false">SUMPRODUCT(MMULT(I620:W620,_XtX!$B$78:$P$92),I620:W620)</f>
        <v>0.486409505208334</v>
      </c>
      <c r="Z620" s="0" t="n">
        <f aca="false">04_回帰ANOVA!$K$19*04_回帰ANOVA!$K$14*SQRT(1+Y620)</f>
        <v>1.58916001665498</v>
      </c>
      <c r="AA620" s="0" t="n">
        <f aca="false">X620-Z620</f>
        <v>41.3572809555673</v>
      </c>
      <c r="AB620" s="0" t="n">
        <f aca="false">X620+Z620</f>
        <v>44.5356009888772</v>
      </c>
      <c r="AC620" s="54" t="b">
        <f aca="false">AND(E620&gt;=01_因子設定!$L$5-0.000000001,E620&lt;=01_因子設定!$M$5+0.000000001,F620&gt;=01_因子設定!$L$6-0.000000001,F620&lt;=01_因子設定!$M$6+0.000000001,G620&gt;=01_因子設定!$L$7-0.000000001,G620&lt;=01_因子設定!$M$7+0.000000001,H620&gt;=01_因子設定!$L$8-0.000000001,H620&lt;=01_因子設定!$M$8+0.000000001,IF(01_因子設定!$B$20="Box-Behnken",E620^2+F620^2+G620^2+H620^2&lt;=2+0.000000001,TRUE()))</f>
        <v>1</v>
      </c>
      <c r="AD620" s="55" t="n">
        <f aca="false">IF(AC620,IF(01_因子設定!$B$13="最大化",AA620-01_因子設定!$B$14,IF(01_因子設定!$B$13="最小化",01_因子設定!$B$15-AB620,MIN(AA620-01_因子設定!$B$14,01_因子設定!$B$15-AB620))),-1E+030)</f>
        <v>-5.14271904443273</v>
      </c>
      <c r="AE620" s="55" t="n">
        <f aca="false">IF(AC620,IF(01_因子設定!$B$13="最大化",X620,IF(01_因子設定!$B$13="最小化",-X620,-ABS(X620-01_因子設定!$B$16))),-1E+030)</f>
        <v>42.9464409722223</v>
      </c>
      <c r="AF620" s="55" t="n">
        <f aca="false">AD620+ROW()*0.000000001</f>
        <v>-5.14271842443273</v>
      </c>
      <c r="AG620" s="55" t="n">
        <f aca="false">AE620+ROW()*0.000000001</f>
        <v>42.9464415922223</v>
      </c>
    </row>
    <row r="621" customFormat="false" ht="15" hidden="false" customHeight="false" outlineLevel="0" collapsed="false">
      <c r="A621" s="0" t="n">
        <v>0</v>
      </c>
      <c r="B621" s="0" t="n">
        <v>7</v>
      </c>
      <c r="C621" s="0" t="n">
        <v>5</v>
      </c>
      <c r="D621" s="0" t="n">
        <v>4</v>
      </c>
      <c r="E621" s="0" t="n">
        <f aca="false">-1+A621*0.25</f>
        <v>-1</v>
      </c>
      <c r="F621" s="0" t="n">
        <f aca="false">-1+B621*0.25</f>
        <v>0.75</v>
      </c>
      <c r="G621" s="0" t="n">
        <f aca="false">-1+C621*0.25</f>
        <v>0.25</v>
      </c>
      <c r="H621" s="0" t="n">
        <f aca="false">-1+D621*0.25</f>
        <v>0</v>
      </c>
      <c r="I621" s="0" t="n">
        <f aca="false">1</f>
        <v>1</v>
      </c>
      <c r="J621" s="0" t="n">
        <f aca="false">E621</f>
        <v>-1</v>
      </c>
      <c r="K621" s="0" t="n">
        <f aca="false">F621</f>
        <v>0.75</v>
      </c>
      <c r="L621" s="0" t="n">
        <f aca="false">G621</f>
        <v>0.25</v>
      </c>
      <c r="M621" s="0" t="n">
        <f aca="false">H621</f>
        <v>0</v>
      </c>
      <c r="N621" s="0" t="n">
        <f aca="false">E621*F621</f>
        <v>-0.75</v>
      </c>
      <c r="O621" s="0" t="n">
        <f aca="false">E621*G621</f>
        <v>-0.25</v>
      </c>
      <c r="P621" s="0" t="n">
        <f aca="false">E621*H621</f>
        <v>-0</v>
      </c>
      <c r="Q621" s="0" t="n">
        <f aca="false">F621*G621</f>
        <v>0.1875</v>
      </c>
      <c r="R621" s="0" t="n">
        <f aca="false">F621*H621</f>
        <v>0</v>
      </c>
      <c r="S621" s="0" t="n">
        <f aca="false">G621*H621</f>
        <v>0</v>
      </c>
      <c r="T621" s="0" t="n">
        <f aca="false">E621*E621</f>
        <v>1</v>
      </c>
      <c r="U621" s="0" t="n">
        <f aca="false">F621*F621</f>
        <v>0.5625</v>
      </c>
      <c r="V621" s="0" t="n">
        <f aca="false">G621*G621</f>
        <v>0.0625</v>
      </c>
      <c r="W621" s="0" t="n">
        <f aca="false">H621*H621</f>
        <v>0</v>
      </c>
      <c r="X621" s="0" t="n">
        <f aca="false">SUMPRODUCT(I621:W621,_XtX!$B$96:$P$96)</f>
        <v>43.0186083698831</v>
      </c>
      <c r="Y621" s="0" t="n">
        <f aca="false">SUMPRODUCT(MMULT(I621:W621,_XtX!$B$78:$P$92),I621:W621)</f>
        <v>0.501534802174708</v>
      </c>
      <c r="Z621" s="0" t="n">
        <f aca="false">04_回帰ANOVA!$K$19*04_回帰ANOVA!$K$14*SQRT(1+Y621)</f>
        <v>1.59722498091333</v>
      </c>
      <c r="AA621" s="0" t="n">
        <f aca="false">X621-Z621</f>
        <v>41.4213833889697</v>
      </c>
      <c r="AB621" s="0" t="n">
        <f aca="false">X621+Z621</f>
        <v>44.6158333507964</v>
      </c>
      <c r="AC621" s="54" t="b">
        <f aca="false">AND(E621&gt;=01_因子設定!$L$5-0.000000001,E621&lt;=01_因子設定!$M$5+0.000000001,F621&gt;=01_因子設定!$L$6-0.000000001,F621&lt;=01_因子設定!$M$6+0.000000001,G621&gt;=01_因子設定!$L$7-0.000000001,G621&lt;=01_因子設定!$M$7+0.000000001,H621&gt;=01_因子設定!$L$8-0.000000001,H621&lt;=01_因子設定!$M$8+0.000000001,IF(01_因子設定!$B$20="Box-Behnken",E621^2+F621^2+G621^2+H621^2&lt;=2+0.000000001,TRUE()))</f>
        <v>1</v>
      </c>
      <c r="AD621" s="55" t="n">
        <f aca="false">IF(AC621,IF(01_因子設定!$B$13="最大化",AA621-01_因子設定!$B$14,IF(01_因子設定!$B$13="最小化",01_因子設定!$B$15-AB621,MIN(AA621-01_因子設定!$B$14,01_因子設定!$B$15-AB621))),-1E+030)</f>
        <v>-5.07861661103026</v>
      </c>
      <c r="AE621" s="55" t="n">
        <f aca="false">IF(AC621,IF(01_因子設定!$B$13="最大化",X621,IF(01_因子設定!$B$13="最小化",-X621,-ABS(X621-01_因子設定!$B$16))),-1E+030)</f>
        <v>43.0186083698831</v>
      </c>
      <c r="AF621" s="55" t="n">
        <f aca="false">AD621+ROW()*0.000000001</f>
        <v>-5.07861599003026</v>
      </c>
      <c r="AG621" s="55" t="n">
        <f aca="false">AE621+ROW()*0.000000001</f>
        <v>43.0186089908831</v>
      </c>
    </row>
    <row r="622" customFormat="false" ht="15" hidden="false" customHeight="false" outlineLevel="0" collapsed="false">
      <c r="A622" s="0" t="n">
        <v>0</v>
      </c>
      <c r="B622" s="0" t="n">
        <v>7</v>
      </c>
      <c r="C622" s="0" t="n">
        <v>5</v>
      </c>
      <c r="D622" s="0" t="n">
        <v>5</v>
      </c>
      <c r="E622" s="0" t="n">
        <f aca="false">-1+A622*0.25</f>
        <v>-1</v>
      </c>
      <c r="F622" s="0" t="n">
        <f aca="false">-1+B622*0.25</f>
        <v>0.75</v>
      </c>
      <c r="G622" s="0" t="n">
        <f aca="false">-1+C622*0.25</f>
        <v>0.25</v>
      </c>
      <c r="H622" s="0" t="n">
        <f aca="false">-1+D622*0.25</f>
        <v>0.25</v>
      </c>
      <c r="I622" s="0" t="n">
        <f aca="false">1</f>
        <v>1</v>
      </c>
      <c r="J622" s="0" t="n">
        <f aca="false">E622</f>
        <v>-1</v>
      </c>
      <c r="K622" s="0" t="n">
        <f aca="false">F622</f>
        <v>0.75</v>
      </c>
      <c r="L622" s="0" t="n">
        <f aca="false">G622</f>
        <v>0.25</v>
      </c>
      <c r="M622" s="0" t="n">
        <f aca="false">H622</f>
        <v>0.25</v>
      </c>
      <c r="N622" s="0" t="n">
        <f aca="false">E622*F622</f>
        <v>-0.75</v>
      </c>
      <c r="O622" s="0" t="n">
        <f aca="false">E622*G622</f>
        <v>-0.25</v>
      </c>
      <c r="P622" s="0" t="n">
        <f aca="false">E622*H622</f>
        <v>-0.25</v>
      </c>
      <c r="Q622" s="0" t="n">
        <f aca="false">F622*G622</f>
        <v>0.1875</v>
      </c>
      <c r="R622" s="0" t="n">
        <f aca="false">F622*H622</f>
        <v>0.1875</v>
      </c>
      <c r="S622" s="0" t="n">
        <f aca="false">G622*H622</f>
        <v>0.0625</v>
      </c>
      <c r="T622" s="0" t="n">
        <f aca="false">E622*E622</f>
        <v>1</v>
      </c>
      <c r="U622" s="0" t="n">
        <f aca="false">F622*F622</f>
        <v>0.5625</v>
      </c>
      <c r="V622" s="0" t="n">
        <f aca="false">G622*G622</f>
        <v>0.0625</v>
      </c>
      <c r="W622" s="0" t="n">
        <f aca="false">H622*H622</f>
        <v>0.0625</v>
      </c>
      <c r="X622" s="0" t="n">
        <f aca="false">SUMPRODUCT(I622:W622,_XtX!$B$96:$P$96)</f>
        <v>43.04296875</v>
      </c>
      <c r="Y622" s="0" t="n">
        <f aca="false">SUMPRODUCT(MMULT(I622:W622,_XtX!$B$78:$P$92),I622:W622)</f>
        <v>0.486409505208334</v>
      </c>
      <c r="Z622" s="0" t="n">
        <f aca="false">04_回帰ANOVA!$K$19*04_回帰ANOVA!$K$14*SQRT(1+Y622)</f>
        <v>1.58916001665498</v>
      </c>
      <c r="AA622" s="0" t="n">
        <f aca="false">X622-Z622</f>
        <v>41.4538087333451</v>
      </c>
      <c r="AB622" s="0" t="n">
        <f aca="false">X622+Z622</f>
        <v>44.632128766655</v>
      </c>
      <c r="AC622" s="54" t="b">
        <f aca="false">AND(E622&gt;=01_因子設定!$L$5-0.000000001,E622&lt;=01_因子設定!$M$5+0.000000001,F622&gt;=01_因子設定!$L$6-0.000000001,F622&lt;=01_因子設定!$M$6+0.000000001,G622&gt;=01_因子設定!$L$7-0.000000001,G622&lt;=01_因子設定!$M$7+0.000000001,H622&gt;=01_因子設定!$L$8-0.000000001,H622&lt;=01_因子設定!$M$8+0.000000001,IF(01_因子設定!$B$20="Box-Behnken",E622^2+F622^2+G622^2+H622^2&lt;=2+0.000000001,TRUE()))</f>
        <v>1</v>
      </c>
      <c r="AD622" s="55" t="n">
        <f aca="false">IF(AC622,IF(01_因子設定!$B$13="最大化",AA622-01_因子設定!$B$14,IF(01_因子設定!$B$13="最小化",01_因子設定!$B$15-AB622,MIN(AA622-01_因子設定!$B$14,01_因子設定!$B$15-AB622))),-1E+030)</f>
        <v>-5.04619126665495</v>
      </c>
      <c r="AE622" s="55" t="n">
        <f aca="false">IF(AC622,IF(01_因子設定!$B$13="最大化",X622,IF(01_因子設定!$B$13="最小化",-X622,-ABS(X622-01_因子設定!$B$16))),-1E+030)</f>
        <v>43.04296875</v>
      </c>
      <c r="AF622" s="55" t="n">
        <f aca="false">AD622+ROW()*0.000000001</f>
        <v>-5.04619064465495</v>
      </c>
      <c r="AG622" s="55" t="n">
        <f aca="false">AE622+ROW()*0.000000001</f>
        <v>43.042969372</v>
      </c>
    </row>
    <row r="623" customFormat="false" ht="15" hidden="false" customHeight="false" outlineLevel="0" collapsed="false">
      <c r="A623" s="0" t="n">
        <v>0</v>
      </c>
      <c r="B623" s="0" t="n">
        <v>7</v>
      </c>
      <c r="C623" s="0" t="n">
        <v>5</v>
      </c>
      <c r="D623" s="0" t="n">
        <v>6</v>
      </c>
      <c r="E623" s="0" t="n">
        <f aca="false">-1+A623*0.25</f>
        <v>-1</v>
      </c>
      <c r="F623" s="0" t="n">
        <f aca="false">-1+B623*0.25</f>
        <v>0.75</v>
      </c>
      <c r="G623" s="0" t="n">
        <f aca="false">-1+C623*0.25</f>
        <v>0.25</v>
      </c>
      <c r="H623" s="0" t="n">
        <f aca="false">-1+D623*0.25</f>
        <v>0.5</v>
      </c>
      <c r="I623" s="0" t="n">
        <f aca="false">1</f>
        <v>1</v>
      </c>
      <c r="J623" s="0" t="n">
        <f aca="false">E623</f>
        <v>-1</v>
      </c>
      <c r="K623" s="0" t="n">
        <f aca="false">F623</f>
        <v>0.75</v>
      </c>
      <c r="L623" s="0" t="n">
        <f aca="false">G623</f>
        <v>0.25</v>
      </c>
      <c r="M623" s="0" t="n">
        <f aca="false">H623</f>
        <v>0.5</v>
      </c>
      <c r="N623" s="0" t="n">
        <f aca="false">E623*F623</f>
        <v>-0.75</v>
      </c>
      <c r="O623" s="0" t="n">
        <f aca="false">E623*G623</f>
        <v>-0.25</v>
      </c>
      <c r="P623" s="0" t="n">
        <f aca="false">E623*H623</f>
        <v>-0.5</v>
      </c>
      <c r="Q623" s="0" t="n">
        <f aca="false">F623*G623</f>
        <v>0.1875</v>
      </c>
      <c r="R623" s="0" t="n">
        <f aca="false">F623*H623</f>
        <v>0.375</v>
      </c>
      <c r="S623" s="0" t="n">
        <f aca="false">G623*H623</f>
        <v>0.125</v>
      </c>
      <c r="T623" s="0" t="n">
        <f aca="false">E623*E623</f>
        <v>1</v>
      </c>
      <c r="U623" s="0" t="n">
        <f aca="false">F623*F623</f>
        <v>0.5625</v>
      </c>
      <c r="V623" s="0" t="n">
        <f aca="false">G623*G623</f>
        <v>0.0625</v>
      </c>
      <c r="W623" s="0" t="n">
        <f aca="false">H623*H623</f>
        <v>0.25</v>
      </c>
      <c r="X623" s="0" t="n">
        <f aca="false">SUMPRODUCT(I623:W623,_XtX!$B$96:$P$96)</f>
        <v>43.0195221125731</v>
      </c>
      <c r="Y623" s="0" t="n">
        <f aca="false">SUMPRODUCT(MMULT(I623:W623,_XtX!$B$78:$P$92),I623:W623)</f>
        <v>0.459125719572369</v>
      </c>
      <c r="Z623" s="0" t="n">
        <f aca="false">04_回帰ANOVA!$K$19*04_回帰ANOVA!$K$14*SQRT(1+Y623)</f>
        <v>1.57450755575573</v>
      </c>
      <c r="AA623" s="0" t="n">
        <f aca="false">X623-Z623</f>
        <v>41.4450145568174</v>
      </c>
      <c r="AB623" s="0" t="n">
        <f aca="false">X623+Z623</f>
        <v>44.5940296683289</v>
      </c>
      <c r="AC623" s="54" t="b">
        <f aca="false">AND(E623&gt;=01_因子設定!$L$5-0.000000001,E623&lt;=01_因子設定!$M$5+0.000000001,F623&gt;=01_因子設定!$L$6-0.000000001,F623&lt;=01_因子設定!$M$6+0.000000001,G623&gt;=01_因子設定!$L$7-0.000000001,G623&lt;=01_因子設定!$M$7+0.000000001,H623&gt;=01_因子設定!$L$8-0.000000001,H623&lt;=01_因子設定!$M$8+0.000000001,IF(01_因子設定!$B$20="Box-Behnken",E623^2+F623^2+G623^2+H623^2&lt;=2+0.000000001,TRUE()))</f>
        <v>1</v>
      </c>
      <c r="AD623" s="55" t="n">
        <f aca="false">IF(AC623,IF(01_因子設定!$B$13="最大化",AA623-01_因子設定!$B$14,IF(01_因子設定!$B$13="最小化",01_因子設定!$B$15-AB623,MIN(AA623-01_因子設定!$B$14,01_因子設定!$B$15-AB623))),-1E+030)</f>
        <v>-5.0549854431826</v>
      </c>
      <c r="AE623" s="55" t="n">
        <f aca="false">IF(AC623,IF(01_因子設定!$B$13="最大化",X623,IF(01_因子設定!$B$13="最小化",-X623,-ABS(X623-01_因子設定!$B$16))),-1E+030)</f>
        <v>43.0195221125731</v>
      </c>
      <c r="AF623" s="55" t="n">
        <f aca="false">AD623+ROW()*0.000000001</f>
        <v>-5.0549848201826</v>
      </c>
      <c r="AG623" s="55" t="n">
        <f aca="false">AE623+ROW()*0.000000001</f>
        <v>43.0195227355731</v>
      </c>
    </row>
    <row r="624" customFormat="false" ht="15" hidden="false" customHeight="false" outlineLevel="0" collapsed="false">
      <c r="A624" s="0" t="n">
        <v>0</v>
      </c>
      <c r="B624" s="0" t="n">
        <v>7</v>
      </c>
      <c r="C624" s="0" t="n">
        <v>5</v>
      </c>
      <c r="D624" s="0" t="n">
        <v>7</v>
      </c>
      <c r="E624" s="0" t="n">
        <f aca="false">-1+A624*0.25</f>
        <v>-1</v>
      </c>
      <c r="F624" s="0" t="n">
        <f aca="false">-1+B624*0.25</f>
        <v>0.75</v>
      </c>
      <c r="G624" s="0" t="n">
        <f aca="false">-1+C624*0.25</f>
        <v>0.25</v>
      </c>
      <c r="H624" s="0" t="n">
        <f aca="false">-1+D624*0.25</f>
        <v>0.75</v>
      </c>
      <c r="I624" s="0" t="n">
        <f aca="false">1</f>
        <v>1</v>
      </c>
      <c r="J624" s="0" t="n">
        <f aca="false">E624</f>
        <v>-1</v>
      </c>
      <c r="K624" s="0" t="n">
        <f aca="false">F624</f>
        <v>0.75</v>
      </c>
      <c r="L624" s="0" t="n">
        <f aca="false">G624</f>
        <v>0.25</v>
      </c>
      <c r="M624" s="0" t="n">
        <f aca="false">H624</f>
        <v>0.75</v>
      </c>
      <c r="N624" s="0" t="n">
        <f aca="false">E624*F624</f>
        <v>-0.75</v>
      </c>
      <c r="O624" s="0" t="n">
        <f aca="false">E624*G624</f>
        <v>-0.25</v>
      </c>
      <c r="P624" s="0" t="n">
        <f aca="false">E624*H624</f>
        <v>-0.75</v>
      </c>
      <c r="Q624" s="0" t="n">
        <f aca="false">F624*G624</f>
        <v>0.1875</v>
      </c>
      <c r="R624" s="0" t="n">
        <f aca="false">F624*H624</f>
        <v>0.5625</v>
      </c>
      <c r="S624" s="0" t="n">
        <f aca="false">G624*H624</f>
        <v>0.1875</v>
      </c>
      <c r="T624" s="0" t="n">
        <f aca="false">E624*E624</f>
        <v>1</v>
      </c>
      <c r="U624" s="0" t="n">
        <f aca="false">F624*F624</f>
        <v>0.5625</v>
      </c>
      <c r="V624" s="0" t="n">
        <f aca="false">G624*G624</f>
        <v>0.0625</v>
      </c>
      <c r="W624" s="0" t="n">
        <f aca="false">H624*H624</f>
        <v>0.5625</v>
      </c>
      <c r="X624" s="0" t="n">
        <f aca="false">SUMPRODUCT(I624:W624,_XtX!$B$96:$P$96)</f>
        <v>42.9482684576024</v>
      </c>
      <c r="Y624" s="0" t="n">
        <f aca="false">SUMPRODUCT(MMULT(I624:W624,_XtX!$B$78:$P$92),I624:W624)</f>
        <v>0.473959761056287</v>
      </c>
      <c r="Z624" s="0" t="n">
        <f aca="false">04_回帰ANOVA!$K$19*04_回帰ANOVA!$K$14*SQRT(1+Y624)</f>
        <v>1.58249084588329</v>
      </c>
      <c r="AA624" s="0" t="n">
        <f aca="false">X624-Z624</f>
        <v>41.3657776117191</v>
      </c>
      <c r="AB624" s="0" t="n">
        <f aca="false">X624+Z624</f>
        <v>44.5307593034857</v>
      </c>
      <c r="AC624" s="54" t="b">
        <f aca="false">AND(E624&gt;=01_因子設定!$L$5-0.000000001,E624&lt;=01_因子設定!$M$5+0.000000001,F624&gt;=01_因子設定!$L$6-0.000000001,F624&lt;=01_因子設定!$M$6+0.000000001,G624&gt;=01_因子設定!$L$7-0.000000001,G624&lt;=01_因子設定!$M$7+0.000000001,H624&gt;=01_因子設定!$L$8-0.000000001,H624&lt;=01_因子設定!$M$8+0.000000001,IF(01_因子設定!$B$20="Box-Behnken",E624^2+F624^2+G624^2+H624^2&lt;=2+0.000000001,TRUE()))</f>
        <v>1</v>
      </c>
      <c r="AD624" s="55" t="n">
        <f aca="false">IF(AC624,IF(01_因子設定!$B$13="最大化",AA624-01_因子設定!$B$14,IF(01_因子設定!$B$13="最小化",01_因子設定!$B$15-AB624,MIN(AA624-01_因子設定!$B$14,01_因子設定!$B$15-AB624))),-1E+030)</f>
        <v>-5.1342223882809</v>
      </c>
      <c r="AE624" s="55" t="n">
        <f aca="false">IF(AC624,IF(01_因子設定!$B$13="最大化",X624,IF(01_因子設定!$B$13="最小化",-X624,-ABS(X624-01_因子設定!$B$16))),-1E+030)</f>
        <v>42.9482684576024</v>
      </c>
      <c r="AF624" s="55" t="n">
        <f aca="false">AD624+ROW()*0.000000001</f>
        <v>-5.1342217642809</v>
      </c>
      <c r="AG624" s="55" t="n">
        <f aca="false">AE624+ROW()*0.000000001</f>
        <v>42.9482690816024</v>
      </c>
    </row>
    <row r="625" customFormat="false" ht="15" hidden="false" customHeight="false" outlineLevel="0" collapsed="false">
      <c r="A625" s="0" t="n">
        <v>0</v>
      </c>
      <c r="B625" s="0" t="n">
        <v>7</v>
      </c>
      <c r="C625" s="0" t="n">
        <v>5</v>
      </c>
      <c r="D625" s="0" t="n">
        <v>8</v>
      </c>
      <c r="E625" s="0" t="n">
        <f aca="false">-1+A625*0.25</f>
        <v>-1</v>
      </c>
      <c r="F625" s="0" t="n">
        <f aca="false">-1+B625*0.25</f>
        <v>0.75</v>
      </c>
      <c r="G625" s="0" t="n">
        <f aca="false">-1+C625*0.25</f>
        <v>0.25</v>
      </c>
      <c r="H625" s="0" t="n">
        <f aca="false">-1+D625*0.25</f>
        <v>1</v>
      </c>
      <c r="I625" s="0" t="n">
        <f aca="false">1</f>
        <v>1</v>
      </c>
      <c r="J625" s="0" t="n">
        <f aca="false">E625</f>
        <v>-1</v>
      </c>
      <c r="K625" s="0" t="n">
        <f aca="false">F625</f>
        <v>0.75</v>
      </c>
      <c r="L625" s="0" t="n">
        <f aca="false">G625</f>
        <v>0.25</v>
      </c>
      <c r="M625" s="0" t="n">
        <f aca="false">H625</f>
        <v>1</v>
      </c>
      <c r="N625" s="0" t="n">
        <f aca="false">E625*F625</f>
        <v>-0.75</v>
      </c>
      <c r="O625" s="0" t="n">
        <f aca="false">E625*G625</f>
        <v>-0.25</v>
      </c>
      <c r="P625" s="0" t="n">
        <f aca="false">E625*H625</f>
        <v>-1</v>
      </c>
      <c r="Q625" s="0" t="n">
        <f aca="false">F625*G625</f>
        <v>0.1875</v>
      </c>
      <c r="R625" s="0" t="n">
        <f aca="false">F625*H625</f>
        <v>0.75</v>
      </c>
      <c r="S625" s="0" t="n">
        <f aca="false">G625*H625</f>
        <v>0.25</v>
      </c>
      <c r="T625" s="0" t="n">
        <f aca="false">E625*E625</f>
        <v>1</v>
      </c>
      <c r="U625" s="0" t="n">
        <f aca="false">F625*F625</f>
        <v>0.5625</v>
      </c>
      <c r="V625" s="0" t="n">
        <f aca="false">G625*G625</f>
        <v>0.0625</v>
      </c>
      <c r="W625" s="0" t="n">
        <f aca="false">H625*H625</f>
        <v>1</v>
      </c>
      <c r="X625" s="0" t="n">
        <f aca="false">SUMPRODUCT(I625:W625,_XtX!$B$96:$P$96)</f>
        <v>42.8292077850878</v>
      </c>
      <c r="Y625" s="0" t="n">
        <f aca="false">SUMPRODUCT(MMULT(I625:W625,_XtX!$B$78:$P$92),I625:W625)</f>
        <v>0.621372155975877</v>
      </c>
      <c r="Z625" s="0" t="n">
        <f aca="false">04_回帰ANOVA!$K$19*04_回帰ANOVA!$K$14*SQRT(1+Y625)</f>
        <v>1.65973880499872</v>
      </c>
      <c r="AA625" s="0" t="n">
        <f aca="false">X625-Z625</f>
        <v>41.1694689800891</v>
      </c>
      <c r="AB625" s="0" t="n">
        <f aca="false">X625+Z625</f>
        <v>44.4889465900865</v>
      </c>
      <c r="AC625" s="54" t="b">
        <f aca="false">AND(E625&gt;=01_因子設定!$L$5-0.000000001,E625&lt;=01_因子設定!$M$5+0.000000001,F625&gt;=01_因子設定!$L$6-0.000000001,F625&lt;=01_因子設定!$M$6+0.000000001,G625&gt;=01_因子設定!$L$7-0.000000001,G625&lt;=01_因子設定!$M$7+0.000000001,H625&gt;=01_因子設定!$L$8-0.000000001,H625&lt;=01_因子設定!$M$8+0.000000001,IF(01_因子設定!$B$20="Box-Behnken",E625^2+F625^2+G625^2+H625^2&lt;=2+0.000000001,TRUE()))</f>
        <v>1</v>
      </c>
      <c r="AD625" s="55" t="n">
        <f aca="false">IF(AC625,IF(01_因子設定!$B$13="最大化",AA625-01_因子設定!$B$14,IF(01_因子設定!$B$13="最小化",01_因子設定!$B$15-AB625,MIN(AA625-01_因子設定!$B$14,01_因子設定!$B$15-AB625))),-1E+030)</f>
        <v>-5.33053101991094</v>
      </c>
      <c r="AE625" s="55" t="n">
        <f aca="false">IF(AC625,IF(01_因子設定!$B$13="最大化",X625,IF(01_因子設定!$B$13="最小化",-X625,-ABS(X625-01_因子設定!$B$16))),-1E+030)</f>
        <v>42.8292077850878</v>
      </c>
      <c r="AF625" s="55" t="n">
        <f aca="false">AD625+ROW()*0.000000001</f>
        <v>-5.33053039491094</v>
      </c>
      <c r="AG625" s="55" t="n">
        <f aca="false">AE625+ROW()*0.000000001</f>
        <v>42.8292084100878</v>
      </c>
    </row>
    <row r="626" customFormat="false" ht="15" hidden="false" customHeight="false" outlineLevel="0" collapsed="false">
      <c r="A626" s="0" t="n">
        <v>0</v>
      </c>
      <c r="B626" s="0" t="n">
        <v>7</v>
      </c>
      <c r="C626" s="0" t="n">
        <v>6</v>
      </c>
      <c r="D626" s="0" t="n">
        <v>0</v>
      </c>
      <c r="E626" s="0" t="n">
        <f aca="false">-1+A626*0.25</f>
        <v>-1</v>
      </c>
      <c r="F626" s="0" t="n">
        <f aca="false">-1+B626*0.25</f>
        <v>0.75</v>
      </c>
      <c r="G626" s="0" t="n">
        <f aca="false">-1+C626*0.25</f>
        <v>0.5</v>
      </c>
      <c r="H626" s="0" t="n">
        <f aca="false">-1+D626*0.25</f>
        <v>-1</v>
      </c>
      <c r="I626" s="0" t="n">
        <f aca="false">1</f>
        <v>1</v>
      </c>
      <c r="J626" s="0" t="n">
        <f aca="false">E626</f>
        <v>-1</v>
      </c>
      <c r="K626" s="0" t="n">
        <f aca="false">F626</f>
        <v>0.75</v>
      </c>
      <c r="L626" s="0" t="n">
        <f aca="false">G626</f>
        <v>0.5</v>
      </c>
      <c r="M626" s="0" t="n">
        <f aca="false">H626</f>
        <v>-1</v>
      </c>
      <c r="N626" s="0" t="n">
        <f aca="false">E626*F626</f>
        <v>-0.75</v>
      </c>
      <c r="O626" s="0" t="n">
        <f aca="false">E626*G626</f>
        <v>-0.5</v>
      </c>
      <c r="P626" s="0" t="n">
        <f aca="false">E626*H626</f>
        <v>1</v>
      </c>
      <c r="Q626" s="0" t="n">
        <f aca="false">F626*G626</f>
        <v>0.375</v>
      </c>
      <c r="R626" s="0" t="n">
        <f aca="false">F626*H626</f>
        <v>-0.75</v>
      </c>
      <c r="S626" s="0" t="n">
        <f aca="false">G626*H626</f>
        <v>-0.5</v>
      </c>
      <c r="T626" s="0" t="n">
        <f aca="false">E626*E626</f>
        <v>1</v>
      </c>
      <c r="U626" s="0" t="n">
        <f aca="false">F626*F626</f>
        <v>0.5625</v>
      </c>
      <c r="V626" s="0" t="n">
        <f aca="false">G626*G626</f>
        <v>0.25</v>
      </c>
      <c r="W626" s="0" t="n">
        <f aca="false">H626*H626</f>
        <v>1</v>
      </c>
      <c r="X626" s="0" t="n">
        <f aca="false">SUMPRODUCT(I626:W626,_XtX!$B$96:$P$96)</f>
        <v>42.7101882309942</v>
      </c>
      <c r="Y626" s="0" t="n">
        <f aca="false">SUMPRODUCT(MMULT(I626:W626,_XtX!$B$78:$P$92),I626:W626)</f>
        <v>0.564984237938597</v>
      </c>
      <c r="Z626" s="0" t="n">
        <f aca="false">04_回帰ANOVA!$K$19*04_回帰ANOVA!$K$14*SQRT(1+Y626)</f>
        <v>1.63062229734503</v>
      </c>
      <c r="AA626" s="0" t="n">
        <f aca="false">X626-Z626</f>
        <v>41.0795659336492</v>
      </c>
      <c r="AB626" s="0" t="n">
        <f aca="false">X626+Z626</f>
        <v>44.3408105283393</v>
      </c>
      <c r="AC626" s="54" t="b">
        <f aca="false">AND(E626&gt;=01_因子設定!$L$5-0.000000001,E626&lt;=01_因子設定!$M$5+0.000000001,F626&gt;=01_因子設定!$L$6-0.000000001,F626&lt;=01_因子設定!$M$6+0.000000001,G626&gt;=01_因子設定!$L$7-0.000000001,G626&lt;=01_因子設定!$M$7+0.000000001,H626&gt;=01_因子設定!$L$8-0.000000001,H626&lt;=01_因子設定!$M$8+0.000000001,IF(01_因子設定!$B$20="Box-Behnken",E626^2+F626^2+G626^2+H626^2&lt;=2+0.000000001,TRUE()))</f>
        <v>1</v>
      </c>
      <c r="AD626" s="55" t="n">
        <f aca="false">IF(AC626,IF(01_因子設定!$B$13="最大化",AA626-01_因子設定!$B$14,IF(01_因子設定!$B$13="最小化",01_因子設定!$B$15-AB626,MIN(AA626-01_因子設定!$B$14,01_因子設定!$B$15-AB626))),-1E+030)</f>
        <v>-5.42043406635082</v>
      </c>
      <c r="AE626" s="55" t="n">
        <f aca="false">IF(AC626,IF(01_因子設定!$B$13="最大化",X626,IF(01_因子設定!$B$13="最小化",-X626,-ABS(X626-01_因子設定!$B$16))),-1E+030)</f>
        <v>42.7101882309942</v>
      </c>
      <c r="AF626" s="55" t="n">
        <f aca="false">AD626+ROW()*0.000000001</f>
        <v>-5.42043344035081</v>
      </c>
      <c r="AG626" s="55" t="n">
        <f aca="false">AE626+ROW()*0.000000001</f>
        <v>42.7101888569942</v>
      </c>
    </row>
    <row r="627" customFormat="false" ht="15" hidden="false" customHeight="false" outlineLevel="0" collapsed="false">
      <c r="A627" s="0" t="n">
        <v>0</v>
      </c>
      <c r="B627" s="0" t="n">
        <v>7</v>
      </c>
      <c r="C627" s="0" t="n">
        <v>6</v>
      </c>
      <c r="D627" s="0" t="n">
        <v>1</v>
      </c>
      <c r="E627" s="0" t="n">
        <f aca="false">-1+A627*0.25</f>
        <v>-1</v>
      </c>
      <c r="F627" s="0" t="n">
        <f aca="false">-1+B627*0.25</f>
        <v>0.75</v>
      </c>
      <c r="G627" s="0" t="n">
        <f aca="false">-1+C627*0.25</f>
        <v>0.5</v>
      </c>
      <c r="H627" s="0" t="n">
        <f aca="false">-1+D627*0.25</f>
        <v>-0.75</v>
      </c>
      <c r="I627" s="0" t="n">
        <f aca="false">1</f>
        <v>1</v>
      </c>
      <c r="J627" s="0" t="n">
        <f aca="false">E627</f>
        <v>-1</v>
      </c>
      <c r="K627" s="0" t="n">
        <f aca="false">F627</f>
        <v>0.75</v>
      </c>
      <c r="L627" s="0" t="n">
        <f aca="false">G627</f>
        <v>0.5</v>
      </c>
      <c r="M627" s="0" t="n">
        <f aca="false">H627</f>
        <v>-0.75</v>
      </c>
      <c r="N627" s="0" t="n">
        <f aca="false">E627*F627</f>
        <v>-0.75</v>
      </c>
      <c r="O627" s="0" t="n">
        <f aca="false">E627*G627</f>
        <v>-0.5</v>
      </c>
      <c r="P627" s="0" t="n">
        <f aca="false">E627*H627</f>
        <v>0.75</v>
      </c>
      <c r="Q627" s="0" t="n">
        <f aca="false">F627*G627</f>
        <v>0.375</v>
      </c>
      <c r="R627" s="0" t="n">
        <f aca="false">F627*H627</f>
        <v>-0.5625</v>
      </c>
      <c r="S627" s="0" t="n">
        <f aca="false">G627*H627</f>
        <v>-0.375</v>
      </c>
      <c r="T627" s="0" t="n">
        <f aca="false">E627*E627</f>
        <v>1</v>
      </c>
      <c r="U627" s="0" t="n">
        <f aca="false">F627*F627</f>
        <v>0.5625</v>
      </c>
      <c r="V627" s="0" t="n">
        <f aca="false">G627*G627</f>
        <v>0.25</v>
      </c>
      <c r="W627" s="0" t="n">
        <f aca="false">H627*H627</f>
        <v>0.5625</v>
      </c>
      <c r="X627" s="0" t="n">
        <f aca="false">SUMPRODUCT(I627:W627,_XtX!$B$96:$P$96)</f>
        <v>42.9437454312866</v>
      </c>
      <c r="Y627" s="0" t="n">
        <f aca="false">SUMPRODUCT(MMULT(I627:W627,_XtX!$B$78:$P$92),I627:W627)</f>
        <v>0.431153771472953</v>
      </c>
      <c r="Z627" s="0" t="n">
        <f aca="false">04_回帰ANOVA!$K$19*04_回帰ANOVA!$K$14*SQRT(1+Y627)</f>
        <v>1.55934259562563</v>
      </c>
      <c r="AA627" s="0" t="n">
        <f aca="false">X627-Z627</f>
        <v>41.384402835661</v>
      </c>
      <c r="AB627" s="0" t="n">
        <f aca="false">X627+Z627</f>
        <v>44.5030880269122</v>
      </c>
      <c r="AC627" s="54" t="b">
        <f aca="false">AND(E627&gt;=01_因子設定!$L$5-0.000000001,E627&lt;=01_因子設定!$M$5+0.000000001,F627&gt;=01_因子設定!$L$6-0.000000001,F627&lt;=01_因子設定!$M$6+0.000000001,G627&gt;=01_因子設定!$L$7-0.000000001,G627&lt;=01_因子設定!$M$7+0.000000001,H627&gt;=01_因子設定!$L$8-0.000000001,H627&lt;=01_因子設定!$M$8+0.000000001,IF(01_因子設定!$B$20="Box-Behnken",E627^2+F627^2+G627^2+H627^2&lt;=2+0.000000001,TRUE()))</f>
        <v>1</v>
      </c>
      <c r="AD627" s="55" t="n">
        <f aca="false">IF(AC627,IF(01_因子設定!$B$13="最大化",AA627-01_因子設定!$B$14,IF(01_因子設定!$B$13="最小化",01_因子設定!$B$15-AB627,MIN(AA627-01_因子設定!$B$14,01_因子設定!$B$15-AB627))),-1E+030)</f>
        <v>-5.11559716433903</v>
      </c>
      <c r="AE627" s="55" t="n">
        <f aca="false">IF(AC627,IF(01_因子設定!$B$13="最大化",X627,IF(01_因子設定!$B$13="最小化",-X627,-ABS(X627-01_因子設定!$B$16))),-1E+030)</f>
        <v>42.9437454312866</v>
      </c>
      <c r="AF627" s="55" t="n">
        <f aca="false">AD627+ROW()*0.000000001</f>
        <v>-5.11559653733903</v>
      </c>
      <c r="AG627" s="55" t="n">
        <f aca="false">AE627+ROW()*0.000000001</f>
        <v>42.9437460582866</v>
      </c>
    </row>
    <row r="628" customFormat="false" ht="15" hidden="false" customHeight="false" outlineLevel="0" collapsed="false">
      <c r="A628" s="0" t="n">
        <v>0</v>
      </c>
      <c r="B628" s="0" t="n">
        <v>7</v>
      </c>
      <c r="C628" s="0" t="n">
        <v>6</v>
      </c>
      <c r="D628" s="0" t="n">
        <v>2</v>
      </c>
      <c r="E628" s="0" t="n">
        <f aca="false">-1+A628*0.25</f>
        <v>-1</v>
      </c>
      <c r="F628" s="0" t="n">
        <f aca="false">-1+B628*0.25</f>
        <v>0.75</v>
      </c>
      <c r="G628" s="0" t="n">
        <f aca="false">-1+C628*0.25</f>
        <v>0.5</v>
      </c>
      <c r="H628" s="0" t="n">
        <f aca="false">-1+D628*0.25</f>
        <v>-0.5</v>
      </c>
      <c r="I628" s="0" t="n">
        <f aca="false">1</f>
        <v>1</v>
      </c>
      <c r="J628" s="0" t="n">
        <f aca="false">E628</f>
        <v>-1</v>
      </c>
      <c r="K628" s="0" t="n">
        <f aca="false">F628</f>
        <v>0.75</v>
      </c>
      <c r="L628" s="0" t="n">
        <f aca="false">G628</f>
        <v>0.5</v>
      </c>
      <c r="M628" s="0" t="n">
        <f aca="false">H628</f>
        <v>-0.5</v>
      </c>
      <c r="N628" s="0" t="n">
        <f aca="false">E628*F628</f>
        <v>-0.75</v>
      </c>
      <c r="O628" s="0" t="n">
        <f aca="false">E628*G628</f>
        <v>-0.5</v>
      </c>
      <c r="P628" s="0" t="n">
        <f aca="false">E628*H628</f>
        <v>0.5</v>
      </c>
      <c r="Q628" s="0" t="n">
        <f aca="false">F628*G628</f>
        <v>0.375</v>
      </c>
      <c r="R628" s="0" t="n">
        <f aca="false">F628*H628</f>
        <v>-0.375</v>
      </c>
      <c r="S628" s="0" t="n">
        <f aca="false">G628*H628</f>
        <v>-0.25</v>
      </c>
      <c r="T628" s="0" t="n">
        <f aca="false">E628*E628</f>
        <v>1</v>
      </c>
      <c r="U628" s="0" t="n">
        <f aca="false">F628*F628</f>
        <v>0.5625</v>
      </c>
      <c r="V628" s="0" t="n">
        <f aca="false">G628*G628</f>
        <v>0.25</v>
      </c>
      <c r="W628" s="0" t="n">
        <f aca="false">H628*H628</f>
        <v>0.25</v>
      </c>
      <c r="X628" s="0" t="n">
        <f aca="false">SUMPRODUCT(I628:W628,_XtX!$B$96:$P$96)</f>
        <v>43.1294956140351</v>
      </c>
      <c r="Y628" s="0" t="n">
        <f aca="false">SUMPRODUCT(MMULT(I628:W628,_XtX!$B$78:$P$92),I628:W628)</f>
        <v>0.42602110745614</v>
      </c>
      <c r="Z628" s="0" t="n">
        <f aca="false">04_回帰ANOVA!$K$19*04_回帰ANOVA!$K$14*SQRT(1+Y628)</f>
        <v>1.55654388501114</v>
      </c>
      <c r="AA628" s="0" t="n">
        <f aca="false">X628-Z628</f>
        <v>41.572951729024</v>
      </c>
      <c r="AB628" s="0" t="n">
        <f aca="false">X628+Z628</f>
        <v>44.6860394990463</v>
      </c>
      <c r="AC628" s="54" t="b">
        <f aca="false">AND(E628&gt;=01_因子設定!$L$5-0.000000001,E628&lt;=01_因子設定!$M$5+0.000000001,F628&gt;=01_因子設定!$L$6-0.000000001,F628&lt;=01_因子設定!$M$6+0.000000001,G628&gt;=01_因子設定!$L$7-0.000000001,G628&lt;=01_因子設定!$M$7+0.000000001,H628&gt;=01_因子設定!$L$8-0.000000001,H628&lt;=01_因子設定!$M$8+0.000000001,IF(01_因子設定!$B$20="Box-Behnken",E628^2+F628^2+G628^2+H628^2&lt;=2+0.000000001,TRUE()))</f>
        <v>1</v>
      </c>
      <c r="AD628" s="55" t="n">
        <f aca="false">IF(AC628,IF(01_因子設定!$B$13="最大化",AA628-01_因子設定!$B$14,IF(01_因子設定!$B$13="最小化",01_因子設定!$B$15-AB628,MIN(AA628-01_因子設定!$B$14,01_因子設定!$B$15-AB628))),-1E+030)</f>
        <v>-4.92704827097602</v>
      </c>
      <c r="AE628" s="55" t="n">
        <f aca="false">IF(AC628,IF(01_因子設定!$B$13="最大化",X628,IF(01_因子設定!$B$13="最小化",-X628,-ABS(X628-01_因子設定!$B$16))),-1E+030)</f>
        <v>43.1294956140351</v>
      </c>
      <c r="AF628" s="55" t="n">
        <f aca="false">AD628+ROW()*0.000000001</f>
        <v>-4.92704764297602</v>
      </c>
      <c r="AG628" s="55" t="n">
        <f aca="false">AE628+ROW()*0.000000001</f>
        <v>43.1294962420351</v>
      </c>
    </row>
    <row r="629" customFormat="false" ht="15" hidden="false" customHeight="false" outlineLevel="0" collapsed="false">
      <c r="A629" s="0" t="n">
        <v>0</v>
      </c>
      <c r="B629" s="0" t="n">
        <v>7</v>
      </c>
      <c r="C629" s="0" t="n">
        <v>6</v>
      </c>
      <c r="D629" s="0" t="n">
        <v>3</v>
      </c>
      <c r="E629" s="0" t="n">
        <f aca="false">-1+A629*0.25</f>
        <v>-1</v>
      </c>
      <c r="F629" s="0" t="n">
        <f aca="false">-1+B629*0.25</f>
        <v>0.75</v>
      </c>
      <c r="G629" s="0" t="n">
        <f aca="false">-1+C629*0.25</f>
        <v>0.5</v>
      </c>
      <c r="H629" s="0" t="n">
        <f aca="false">-1+D629*0.25</f>
        <v>-0.25</v>
      </c>
      <c r="I629" s="0" t="n">
        <f aca="false">1</f>
        <v>1</v>
      </c>
      <c r="J629" s="0" t="n">
        <f aca="false">E629</f>
        <v>-1</v>
      </c>
      <c r="K629" s="0" t="n">
        <f aca="false">F629</f>
        <v>0.75</v>
      </c>
      <c r="L629" s="0" t="n">
        <f aca="false">G629</f>
        <v>0.5</v>
      </c>
      <c r="M629" s="0" t="n">
        <f aca="false">H629</f>
        <v>-0.25</v>
      </c>
      <c r="N629" s="0" t="n">
        <f aca="false">E629*F629</f>
        <v>-0.75</v>
      </c>
      <c r="O629" s="0" t="n">
        <f aca="false">E629*G629</f>
        <v>-0.5</v>
      </c>
      <c r="P629" s="0" t="n">
        <f aca="false">E629*H629</f>
        <v>0.25</v>
      </c>
      <c r="Q629" s="0" t="n">
        <f aca="false">F629*G629</f>
        <v>0.375</v>
      </c>
      <c r="R629" s="0" t="n">
        <f aca="false">F629*H629</f>
        <v>-0.1875</v>
      </c>
      <c r="S629" s="0" t="n">
        <f aca="false">G629*H629</f>
        <v>-0.125</v>
      </c>
      <c r="T629" s="0" t="n">
        <f aca="false">E629*E629</f>
        <v>1</v>
      </c>
      <c r="U629" s="0" t="n">
        <f aca="false">F629*F629</f>
        <v>0.5625</v>
      </c>
      <c r="V629" s="0" t="n">
        <f aca="false">G629*G629</f>
        <v>0.25</v>
      </c>
      <c r="W629" s="0" t="n">
        <f aca="false">H629*H629</f>
        <v>0.0625</v>
      </c>
      <c r="X629" s="0" t="n">
        <f aca="false">SUMPRODUCT(I629:W629,_XtX!$B$96:$P$96)</f>
        <v>43.2674387792398</v>
      </c>
      <c r="Y629" s="0" t="n">
        <f aca="false">SUMPRODUCT(MMULT(I629:W629,_XtX!$B$78:$P$92),I629:W629)</f>
        <v>0.459125719572369</v>
      </c>
      <c r="Z629" s="0" t="n">
        <f aca="false">04_回帰ANOVA!$K$19*04_回帰ANOVA!$K$14*SQRT(1+Y629)</f>
        <v>1.57450755575573</v>
      </c>
      <c r="AA629" s="0" t="n">
        <f aca="false">X629-Z629</f>
        <v>41.6929312234841</v>
      </c>
      <c r="AB629" s="0" t="n">
        <f aca="false">X629+Z629</f>
        <v>44.8419463349955</v>
      </c>
      <c r="AC629" s="54" t="b">
        <f aca="false">AND(E629&gt;=01_因子設定!$L$5-0.000000001,E629&lt;=01_因子設定!$M$5+0.000000001,F629&gt;=01_因子設定!$L$6-0.000000001,F629&lt;=01_因子設定!$M$6+0.000000001,G629&gt;=01_因子設定!$L$7-0.000000001,G629&lt;=01_因子設定!$M$7+0.000000001,H629&gt;=01_因子設定!$L$8-0.000000001,H629&lt;=01_因子設定!$M$8+0.000000001,IF(01_因子設定!$B$20="Box-Behnken",E629^2+F629^2+G629^2+H629^2&lt;=2+0.000000001,TRUE()))</f>
        <v>1</v>
      </c>
      <c r="AD629" s="55" t="n">
        <f aca="false">IF(AC629,IF(01_因子設定!$B$13="最大化",AA629-01_因子設定!$B$14,IF(01_因子設定!$B$13="最小化",01_因子設定!$B$15-AB629,MIN(AA629-01_因子設定!$B$14,01_因子設定!$B$15-AB629))),-1E+030)</f>
        <v>-4.80706877651593</v>
      </c>
      <c r="AE629" s="55" t="n">
        <f aca="false">IF(AC629,IF(01_因子設定!$B$13="最大化",X629,IF(01_因子設定!$B$13="最小化",-X629,-ABS(X629-01_因子設定!$B$16))),-1E+030)</f>
        <v>43.2674387792398</v>
      </c>
      <c r="AF629" s="55" t="n">
        <f aca="false">AD629+ROW()*0.000000001</f>
        <v>-4.80706814751593</v>
      </c>
      <c r="AG629" s="55" t="n">
        <f aca="false">AE629+ROW()*0.000000001</f>
        <v>43.2674394082398</v>
      </c>
    </row>
    <row r="630" customFormat="false" ht="15" hidden="false" customHeight="false" outlineLevel="0" collapsed="false">
      <c r="A630" s="0" t="n">
        <v>0</v>
      </c>
      <c r="B630" s="0" t="n">
        <v>7</v>
      </c>
      <c r="C630" s="0" t="n">
        <v>6</v>
      </c>
      <c r="D630" s="0" t="n">
        <v>4</v>
      </c>
      <c r="E630" s="0" t="n">
        <f aca="false">-1+A630*0.25</f>
        <v>-1</v>
      </c>
      <c r="F630" s="0" t="n">
        <f aca="false">-1+B630*0.25</f>
        <v>0.75</v>
      </c>
      <c r="G630" s="0" t="n">
        <f aca="false">-1+C630*0.25</f>
        <v>0.5</v>
      </c>
      <c r="H630" s="0" t="n">
        <f aca="false">-1+D630*0.25</f>
        <v>0</v>
      </c>
      <c r="I630" s="0" t="n">
        <f aca="false">1</f>
        <v>1</v>
      </c>
      <c r="J630" s="0" t="n">
        <f aca="false">E630</f>
        <v>-1</v>
      </c>
      <c r="K630" s="0" t="n">
        <f aca="false">F630</f>
        <v>0.75</v>
      </c>
      <c r="L630" s="0" t="n">
        <f aca="false">G630</f>
        <v>0.5</v>
      </c>
      <c r="M630" s="0" t="n">
        <f aca="false">H630</f>
        <v>0</v>
      </c>
      <c r="N630" s="0" t="n">
        <f aca="false">E630*F630</f>
        <v>-0.75</v>
      </c>
      <c r="O630" s="0" t="n">
        <f aca="false">E630*G630</f>
        <v>-0.5</v>
      </c>
      <c r="P630" s="0" t="n">
        <f aca="false">E630*H630</f>
        <v>-0</v>
      </c>
      <c r="Q630" s="0" t="n">
        <f aca="false">F630*G630</f>
        <v>0.375</v>
      </c>
      <c r="R630" s="0" t="n">
        <f aca="false">F630*H630</f>
        <v>0</v>
      </c>
      <c r="S630" s="0" t="n">
        <f aca="false">G630*H630</f>
        <v>0</v>
      </c>
      <c r="T630" s="0" t="n">
        <f aca="false">E630*E630</f>
        <v>1</v>
      </c>
      <c r="U630" s="0" t="n">
        <f aca="false">F630*F630</f>
        <v>0.5625</v>
      </c>
      <c r="V630" s="0" t="n">
        <f aca="false">G630*G630</f>
        <v>0.25</v>
      </c>
      <c r="W630" s="0" t="n">
        <f aca="false">H630*H630</f>
        <v>0</v>
      </c>
      <c r="X630" s="0" t="n">
        <f aca="false">SUMPRODUCT(I630:W630,_XtX!$B$96:$P$96)</f>
        <v>43.3575749269006</v>
      </c>
      <c r="Y630" s="0" t="n">
        <f aca="false">SUMPRODUCT(MMULT(I630:W630,_XtX!$B$78:$P$92),I630:W630)</f>
        <v>0.476191292032164</v>
      </c>
      <c r="Z630" s="0" t="n">
        <f aca="false">04_回帰ANOVA!$K$19*04_回帰ANOVA!$K$14*SQRT(1+Y630)</f>
        <v>1.58368831471718</v>
      </c>
      <c r="AA630" s="0" t="n">
        <f aca="false">X630-Z630</f>
        <v>41.7738866121834</v>
      </c>
      <c r="AB630" s="0" t="n">
        <f aca="false">X630+Z630</f>
        <v>44.9412632416178</v>
      </c>
      <c r="AC630" s="54" t="b">
        <f aca="false">AND(E630&gt;=01_因子設定!$L$5-0.000000001,E630&lt;=01_因子設定!$M$5+0.000000001,F630&gt;=01_因子設定!$L$6-0.000000001,F630&lt;=01_因子設定!$M$6+0.000000001,G630&gt;=01_因子設定!$L$7-0.000000001,G630&lt;=01_因子設定!$M$7+0.000000001,H630&gt;=01_因子設定!$L$8-0.000000001,H630&lt;=01_因子設定!$M$8+0.000000001,IF(01_因子設定!$B$20="Box-Behnken",E630^2+F630^2+G630^2+H630^2&lt;=2+0.000000001,TRUE()))</f>
        <v>1</v>
      </c>
      <c r="AD630" s="55" t="n">
        <f aca="false">IF(AC630,IF(01_因子設定!$B$13="最大化",AA630-01_因子設定!$B$14,IF(01_因子設定!$B$13="最小化",01_因子設定!$B$15-AB630,MIN(AA630-01_因子設定!$B$14,01_因子設定!$B$15-AB630))),-1E+030)</f>
        <v>-4.72611338781657</v>
      </c>
      <c r="AE630" s="55" t="n">
        <f aca="false">IF(AC630,IF(01_因子設定!$B$13="最大化",X630,IF(01_因子設定!$B$13="最小化",-X630,-ABS(X630-01_因子設定!$B$16))),-1E+030)</f>
        <v>43.3575749269006</v>
      </c>
      <c r="AF630" s="55" t="n">
        <f aca="false">AD630+ROW()*0.000000001</f>
        <v>-4.72611275781657</v>
      </c>
      <c r="AG630" s="55" t="n">
        <f aca="false">AE630+ROW()*0.000000001</f>
        <v>43.3575755569006</v>
      </c>
    </row>
    <row r="631" customFormat="false" ht="15" hidden="false" customHeight="false" outlineLevel="0" collapsed="false">
      <c r="A631" s="0" t="n">
        <v>0</v>
      </c>
      <c r="B631" s="0" t="n">
        <v>7</v>
      </c>
      <c r="C631" s="0" t="n">
        <v>6</v>
      </c>
      <c r="D631" s="0" t="n">
        <v>5</v>
      </c>
      <c r="E631" s="0" t="n">
        <f aca="false">-1+A631*0.25</f>
        <v>-1</v>
      </c>
      <c r="F631" s="0" t="n">
        <f aca="false">-1+B631*0.25</f>
        <v>0.75</v>
      </c>
      <c r="G631" s="0" t="n">
        <f aca="false">-1+C631*0.25</f>
        <v>0.5</v>
      </c>
      <c r="H631" s="0" t="n">
        <f aca="false">-1+D631*0.25</f>
        <v>0.25</v>
      </c>
      <c r="I631" s="0" t="n">
        <f aca="false">1</f>
        <v>1</v>
      </c>
      <c r="J631" s="0" t="n">
        <f aca="false">E631</f>
        <v>-1</v>
      </c>
      <c r="K631" s="0" t="n">
        <f aca="false">F631</f>
        <v>0.75</v>
      </c>
      <c r="L631" s="0" t="n">
        <f aca="false">G631</f>
        <v>0.5</v>
      </c>
      <c r="M631" s="0" t="n">
        <f aca="false">H631</f>
        <v>0.25</v>
      </c>
      <c r="N631" s="0" t="n">
        <f aca="false">E631*F631</f>
        <v>-0.75</v>
      </c>
      <c r="O631" s="0" t="n">
        <f aca="false">E631*G631</f>
        <v>-0.5</v>
      </c>
      <c r="P631" s="0" t="n">
        <f aca="false">E631*H631</f>
        <v>-0.25</v>
      </c>
      <c r="Q631" s="0" t="n">
        <f aca="false">F631*G631</f>
        <v>0.375</v>
      </c>
      <c r="R631" s="0" t="n">
        <f aca="false">F631*H631</f>
        <v>0.1875</v>
      </c>
      <c r="S631" s="0" t="n">
        <f aca="false">G631*H631</f>
        <v>0.125</v>
      </c>
      <c r="T631" s="0" t="n">
        <f aca="false">E631*E631</f>
        <v>1</v>
      </c>
      <c r="U631" s="0" t="n">
        <f aca="false">F631*F631</f>
        <v>0.5625</v>
      </c>
      <c r="V631" s="0" t="n">
        <f aca="false">G631*G631</f>
        <v>0.25</v>
      </c>
      <c r="W631" s="0" t="n">
        <f aca="false">H631*H631</f>
        <v>0.0625</v>
      </c>
      <c r="X631" s="0" t="n">
        <f aca="false">SUMPRODUCT(I631:W631,_XtX!$B$96:$P$96)</f>
        <v>43.3999040570176</v>
      </c>
      <c r="Y631" s="0" t="n">
        <f aca="false">SUMPRODUCT(MMULT(I631:W631,_XtX!$B$78:$P$92),I631:W631)</f>
        <v>0.459125719572369</v>
      </c>
      <c r="Z631" s="0" t="n">
        <f aca="false">04_回帰ANOVA!$K$19*04_回帰ANOVA!$K$14*SQRT(1+Y631)</f>
        <v>1.57450755575573</v>
      </c>
      <c r="AA631" s="0" t="n">
        <f aca="false">X631-Z631</f>
        <v>41.8253965012618</v>
      </c>
      <c r="AB631" s="0" t="n">
        <f aca="false">X631+Z631</f>
        <v>44.9744116127733</v>
      </c>
      <c r="AC631" s="54" t="b">
        <f aca="false">AND(E631&gt;=01_因子設定!$L$5-0.000000001,E631&lt;=01_因子設定!$M$5+0.000000001,F631&gt;=01_因子設定!$L$6-0.000000001,F631&lt;=01_因子設定!$M$6+0.000000001,G631&gt;=01_因子設定!$L$7-0.000000001,G631&lt;=01_因子設定!$M$7+0.000000001,H631&gt;=01_因子設定!$L$8-0.000000001,H631&lt;=01_因子設定!$M$8+0.000000001,IF(01_因子設定!$B$20="Box-Behnken",E631^2+F631^2+G631^2+H631^2&lt;=2+0.000000001,TRUE()))</f>
        <v>1</v>
      </c>
      <c r="AD631" s="55" t="n">
        <f aca="false">IF(AC631,IF(01_因子設定!$B$13="最大化",AA631-01_因子設定!$B$14,IF(01_因子設定!$B$13="最小化",01_因子設定!$B$15-AB631,MIN(AA631-01_因子設定!$B$14,01_因子設定!$B$15-AB631))),-1E+030)</f>
        <v>-4.67460349873816</v>
      </c>
      <c r="AE631" s="55" t="n">
        <f aca="false">IF(AC631,IF(01_因子設定!$B$13="最大化",X631,IF(01_因子設定!$B$13="最小化",-X631,-ABS(X631-01_因子設定!$B$16))),-1E+030)</f>
        <v>43.3999040570176</v>
      </c>
      <c r="AF631" s="55" t="n">
        <f aca="false">AD631+ROW()*0.000000001</f>
        <v>-4.67460286773816</v>
      </c>
      <c r="AG631" s="55" t="n">
        <f aca="false">AE631+ROW()*0.000000001</f>
        <v>43.3999046880176</v>
      </c>
    </row>
    <row r="632" customFormat="false" ht="15" hidden="false" customHeight="false" outlineLevel="0" collapsed="false">
      <c r="A632" s="0" t="n">
        <v>0</v>
      </c>
      <c r="B632" s="0" t="n">
        <v>7</v>
      </c>
      <c r="C632" s="0" t="n">
        <v>6</v>
      </c>
      <c r="D632" s="0" t="n">
        <v>6</v>
      </c>
      <c r="E632" s="0" t="n">
        <f aca="false">-1+A632*0.25</f>
        <v>-1</v>
      </c>
      <c r="F632" s="0" t="n">
        <f aca="false">-1+B632*0.25</f>
        <v>0.75</v>
      </c>
      <c r="G632" s="0" t="n">
        <f aca="false">-1+C632*0.25</f>
        <v>0.5</v>
      </c>
      <c r="H632" s="0" t="n">
        <f aca="false">-1+D632*0.25</f>
        <v>0.5</v>
      </c>
      <c r="I632" s="0" t="n">
        <f aca="false">1</f>
        <v>1</v>
      </c>
      <c r="J632" s="0" t="n">
        <f aca="false">E632</f>
        <v>-1</v>
      </c>
      <c r="K632" s="0" t="n">
        <f aca="false">F632</f>
        <v>0.75</v>
      </c>
      <c r="L632" s="0" t="n">
        <f aca="false">G632</f>
        <v>0.5</v>
      </c>
      <c r="M632" s="0" t="n">
        <f aca="false">H632</f>
        <v>0.5</v>
      </c>
      <c r="N632" s="0" t="n">
        <f aca="false">E632*F632</f>
        <v>-0.75</v>
      </c>
      <c r="O632" s="0" t="n">
        <f aca="false">E632*G632</f>
        <v>-0.5</v>
      </c>
      <c r="P632" s="0" t="n">
        <f aca="false">E632*H632</f>
        <v>-0.5</v>
      </c>
      <c r="Q632" s="0" t="n">
        <f aca="false">F632*G632</f>
        <v>0.375</v>
      </c>
      <c r="R632" s="0" t="n">
        <f aca="false">F632*H632</f>
        <v>0.375</v>
      </c>
      <c r="S632" s="0" t="n">
        <f aca="false">G632*H632</f>
        <v>0.25</v>
      </c>
      <c r="T632" s="0" t="n">
        <f aca="false">E632*E632</f>
        <v>1</v>
      </c>
      <c r="U632" s="0" t="n">
        <f aca="false">F632*F632</f>
        <v>0.5625</v>
      </c>
      <c r="V632" s="0" t="n">
        <f aca="false">G632*G632</f>
        <v>0.25</v>
      </c>
      <c r="W632" s="0" t="n">
        <f aca="false">H632*H632</f>
        <v>0.25</v>
      </c>
      <c r="X632" s="0" t="n">
        <f aca="false">SUMPRODUCT(I632:W632,_XtX!$B$96:$P$96)</f>
        <v>43.3944261695907</v>
      </c>
      <c r="Y632" s="0" t="n">
        <f aca="false">SUMPRODUCT(MMULT(I632:W632,_XtX!$B$78:$P$92),I632:W632)</f>
        <v>0.42602110745614</v>
      </c>
      <c r="Z632" s="0" t="n">
        <f aca="false">04_回帰ANOVA!$K$19*04_回帰ANOVA!$K$14*SQRT(1+Y632)</f>
        <v>1.55654388501114</v>
      </c>
      <c r="AA632" s="0" t="n">
        <f aca="false">X632-Z632</f>
        <v>41.8378822845795</v>
      </c>
      <c r="AB632" s="0" t="n">
        <f aca="false">X632+Z632</f>
        <v>44.9509700546018</v>
      </c>
      <c r="AC632" s="54" t="b">
        <f aca="false">AND(E632&gt;=01_因子設定!$L$5-0.000000001,E632&lt;=01_因子設定!$M$5+0.000000001,F632&gt;=01_因子設定!$L$6-0.000000001,F632&lt;=01_因子設定!$M$6+0.000000001,G632&gt;=01_因子設定!$L$7-0.000000001,G632&lt;=01_因子設定!$M$7+0.000000001,H632&gt;=01_因子設定!$L$8-0.000000001,H632&lt;=01_因子設定!$M$8+0.000000001,IF(01_因子設定!$B$20="Box-Behnken",E632^2+F632^2+G632^2+H632^2&lt;=2+0.000000001,TRUE()))</f>
        <v>1</v>
      </c>
      <c r="AD632" s="55" t="n">
        <f aca="false">IF(AC632,IF(01_因子設定!$B$13="最大化",AA632-01_因子設定!$B$14,IF(01_因子設定!$B$13="最小化",01_因子設定!$B$15-AB632,MIN(AA632-01_因子設定!$B$14,01_因子設定!$B$15-AB632))),-1E+030)</f>
        <v>-4.66211771542046</v>
      </c>
      <c r="AE632" s="55" t="n">
        <f aca="false">IF(AC632,IF(01_因子設定!$B$13="最大化",X632,IF(01_因子設定!$B$13="最小化",-X632,-ABS(X632-01_因子設定!$B$16))),-1E+030)</f>
        <v>43.3944261695907</v>
      </c>
      <c r="AF632" s="55" t="n">
        <f aca="false">AD632+ROW()*0.000000001</f>
        <v>-4.66211708342046</v>
      </c>
      <c r="AG632" s="55" t="n">
        <f aca="false">AE632+ROW()*0.000000001</f>
        <v>43.3944268015907</v>
      </c>
    </row>
    <row r="633" customFormat="false" ht="15" hidden="false" customHeight="false" outlineLevel="0" collapsed="false">
      <c r="A633" s="0" t="n">
        <v>0</v>
      </c>
      <c r="B633" s="0" t="n">
        <v>7</v>
      </c>
      <c r="C633" s="0" t="n">
        <v>6</v>
      </c>
      <c r="D633" s="0" t="n">
        <v>7</v>
      </c>
      <c r="E633" s="0" t="n">
        <f aca="false">-1+A633*0.25</f>
        <v>-1</v>
      </c>
      <c r="F633" s="0" t="n">
        <f aca="false">-1+B633*0.25</f>
        <v>0.75</v>
      </c>
      <c r="G633" s="0" t="n">
        <f aca="false">-1+C633*0.25</f>
        <v>0.5</v>
      </c>
      <c r="H633" s="0" t="n">
        <f aca="false">-1+D633*0.25</f>
        <v>0.75</v>
      </c>
      <c r="I633" s="0" t="n">
        <f aca="false">1</f>
        <v>1</v>
      </c>
      <c r="J633" s="0" t="n">
        <f aca="false">E633</f>
        <v>-1</v>
      </c>
      <c r="K633" s="0" t="n">
        <f aca="false">F633</f>
        <v>0.75</v>
      </c>
      <c r="L633" s="0" t="n">
        <f aca="false">G633</f>
        <v>0.5</v>
      </c>
      <c r="M633" s="0" t="n">
        <f aca="false">H633</f>
        <v>0.75</v>
      </c>
      <c r="N633" s="0" t="n">
        <f aca="false">E633*F633</f>
        <v>-0.75</v>
      </c>
      <c r="O633" s="0" t="n">
        <f aca="false">E633*G633</f>
        <v>-0.5</v>
      </c>
      <c r="P633" s="0" t="n">
        <f aca="false">E633*H633</f>
        <v>-0.75</v>
      </c>
      <c r="Q633" s="0" t="n">
        <f aca="false">F633*G633</f>
        <v>0.375</v>
      </c>
      <c r="R633" s="0" t="n">
        <f aca="false">F633*H633</f>
        <v>0.5625</v>
      </c>
      <c r="S633" s="0" t="n">
        <f aca="false">G633*H633</f>
        <v>0.375</v>
      </c>
      <c r="T633" s="0" t="n">
        <f aca="false">E633*E633</f>
        <v>1</v>
      </c>
      <c r="U633" s="0" t="n">
        <f aca="false">F633*F633</f>
        <v>0.5625</v>
      </c>
      <c r="V633" s="0" t="n">
        <f aca="false">G633*G633</f>
        <v>0.25</v>
      </c>
      <c r="W633" s="0" t="n">
        <f aca="false">H633*H633</f>
        <v>0.5625</v>
      </c>
      <c r="X633" s="0" t="n">
        <f aca="false">SUMPRODUCT(I633:W633,_XtX!$B$96:$P$96)</f>
        <v>43.3411412646199</v>
      </c>
      <c r="Y633" s="0" t="n">
        <f aca="false">SUMPRODUCT(MMULT(I633:W633,_XtX!$B$78:$P$92),I633:W633)</f>
        <v>0.431153771472953</v>
      </c>
      <c r="Z633" s="0" t="n">
        <f aca="false">04_回帰ANOVA!$K$19*04_回帰ANOVA!$K$14*SQRT(1+Y633)</f>
        <v>1.55934259562563</v>
      </c>
      <c r="AA633" s="0" t="n">
        <f aca="false">X633-Z633</f>
        <v>41.7817986689943</v>
      </c>
      <c r="AB633" s="0" t="n">
        <f aca="false">X633+Z633</f>
        <v>44.9004838602456</v>
      </c>
      <c r="AC633" s="54" t="b">
        <f aca="false">AND(E633&gt;=01_因子設定!$L$5-0.000000001,E633&lt;=01_因子設定!$M$5+0.000000001,F633&gt;=01_因子設定!$L$6-0.000000001,F633&lt;=01_因子設定!$M$6+0.000000001,G633&gt;=01_因子設定!$L$7-0.000000001,G633&lt;=01_因子設定!$M$7+0.000000001,H633&gt;=01_因子設定!$L$8-0.000000001,H633&lt;=01_因子設定!$M$8+0.000000001,IF(01_因子設定!$B$20="Box-Behnken",E633^2+F633^2+G633^2+H633^2&lt;=2+0.000000001,TRUE()))</f>
        <v>1</v>
      </c>
      <c r="AD633" s="55" t="n">
        <f aca="false">IF(AC633,IF(01_因子設定!$B$13="最大化",AA633-01_因子設定!$B$14,IF(01_因子設定!$B$13="最小化",01_因子設定!$B$15-AB633,MIN(AA633-01_因子設定!$B$14,01_因子設定!$B$15-AB633))),-1E+030)</f>
        <v>-4.7182013310057</v>
      </c>
      <c r="AE633" s="55" t="n">
        <f aca="false">IF(AC633,IF(01_因子設定!$B$13="最大化",X633,IF(01_因子設定!$B$13="最小化",-X633,-ABS(X633-01_因子設定!$B$16))),-1E+030)</f>
        <v>43.3411412646199</v>
      </c>
      <c r="AF633" s="55" t="n">
        <f aca="false">AD633+ROW()*0.000000001</f>
        <v>-4.7182006980057</v>
      </c>
      <c r="AG633" s="55" t="n">
        <f aca="false">AE633+ROW()*0.000000001</f>
        <v>43.3411418976199</v>
      </c>
    </row>
    <row r="634" customFormat="false" ht="15" hidden="false" customHeight="false" outlineLevel="0" collapsed="false">
      <c r="A634" s="0" t="n">
        <v>0</v>
      </c>
      <c r="B634" s="0" t="n">
        <v>7</v>
      </c>
      <c r="C634" s="0" t="n">
        <v>6</v>
      </c>
      <c r="D634" s="0" t="n">
        <v>8</v>
      </c>
      <c r="E634" s="0" t="n">
        <f aca="false">-1+A634*0.25</f>
        <v>-1</v>
      </c>
      <c r="F634" s="0" t="n">
        <f aca="false">-1+B634*0.25</f>
        <v>0.75</v>
      </c>
      <c r="G634" s="0" t="n">
        <f aca="false">-1+C634*0.25</f>
        <v>0.5</v>
      </c>
      <c r="H634" s="0" t="n">
        <f aca="false">-1+D634*0.25</f>
        <v>1</v>
      </c>
      <c r="I634" s="0" t="n">
        <f aca="false">1</f>
        <v>1</v>
      </c>
      <c r="J634" s="0" t="n">
        <f aca="false">E634</f>
        <v>-1</v>
      </c>
      <c r="K634" s="0" t="n">
        <f aca="false">F634</f>
        <v>0.75</v>
      </c>
      <c r="L634" s="0" t="n">
        <f aca="false">G634</f>
        <v>0.5</v>
      </c>
      <c r="M634" s="0" t="n">
        <f aca="false">H634</f>
        <v>1</v>
      </c>
      <c r="N634" s="0" t="n">
        <f aca="false">E634*F634</f>
        <v>-0.75</v>
      </c>
      <c r="O634" s="0" t="n">
        <f aca="false">E634*G634</f>
        <v>-0.5</v>
      </c>
      <c r="P634" s="0" t="n">
        <f aca="false">E634*H634</f>
        <v>-1</v>
      </c>
      <c r="Q634" s="0" t="n">
        <f aca="false">F634*G634</f>
        <v>0.375</v>
      </c>
      <c r="R634" s="0" t="n">
        <f aca="false">F634*H634</f>
        <v>0.75</v>
      </c>
      <c r="S634" s="0" t="n">
        <f aca="false">G634*H634</f>
        <v>0.5</v>
      </c>
      <c r="T634" s="0" t="n">
        <f aca="false">E634*E634</f>
        <v>1</v>
      </c>
      <c r="U634" s="0" t="n">
        <f aca="false">F634*F634</f>
        <v>0.5625</v>
      </c>
      <c r="V634" s="0" t="n">
        <f aca="false">G634*G634</f>
        <v>0.25</v>
      </c>
      <c r="W634" s="0" t="n">
        <f aca="false">H634*H634</f>
        <v>1</v>
      </c>
      <c r="X634" s="0" t="n">
        <f aca="false">SUMPRODUCT(I634:W634,_XtX!$B$96:$P$96)</f>
        <v>43.2400493421053</v>
      </c>
      <c r="Y634" s="0" t="n">
        <f aca="false">SUMPRODUCT(MMULT(I634:W634,_XtX!$B$78:$P$92),I634:W634)</f>
        <v>0.564984237938597</v>
      </c>
      <c r="Z634" s="0" t="n">
        <f aca="false">04_回帰ANOVA!$K$19*04_回帰ANOVA!$K$14*SQRT(1+Y634)</f>
        <v>1.63062229734503</v>
      </c>
      <c r="AA634" s="0" t="n">
        <f aca="false">X634-Z634</f>
        <v>41.6094270447603</v>
      </c>
      <c r="AB634" s="0" t="n">
        <f aca="false">X634+Z634</f>
        <v>44.8706716394504</v>
      </c>
      <c r="AC634" s="54" t="b">
        <f aca="false">AND(E634&gt;=01_因子設定!$L$5-0.000000001,E634&lt;=01_因子設定!$M$5+0.000000001,F634&gt;=01_因子設定!$L$6-0.000000001,F634&lt;=01_因子設定!$M$6+0.000000001,G634&gt;=01_因子設定!$L$7-0.000000001,G634&lt;=01_因子設定!$M$7+0.000000001,H634&gt;=01_因子設定!$L$8-0.000000001,H634&lt;=01_因子設定!$M$8+0.000000001,IF(01_因子設定!$B$20="Box-Behnken",E634^2+F634^2+G634^2+H634^2&lt;=2+0.000000001,TRUE()))</f>
        <v>1</v>
      </c>
      <c r="AD634" s="55" t="n">
        <f aca="false">IF(AC634,IF(01_因子設定!$B$13="最大化",AA634-01_因子設定!$B$14,IF(01_因子設定!$B$13="最小化",01_因子設定!$B$15-AB634,MIN(AA634-01_因子設定!$B$14,01_因子設定!$B$15-AB634))),-1E+030)</f>
        <v>-4.89057295523971</v>
      </c>
      <c r="AE634" s="55" t="n">
        <f aca="false">IF(AC634,IF(01_因子設定!$B$13="最大化",X634,IF(01_因子設定!$B$13="最小化",-X634,-ABS(X634-01_因子設定!$B$16))),-1E+030)</f>
        <v>43.2400493421053</v>
      </c>
      <c r="AF634" s="55" t="n">
        <f aca="false">AD634+ROW()*0.000000001</f>
        <v>-4.89057232123971</v>
      </c>
      <c r="AG634" s="55" t="n">
        <f aca="false">AE634+ROW()*0.000000001</f>
        <v>43.2400499761053</v>
      </c>
    </row>
    <row r="635" customFormat="false" ht="15" hidden="false" customHeight="false" outlineLevel="0" collapsed="false">
      <c r="A635" s="0" t="n">
        <v>0</v>
      </c>
      <c r="B635" s="0" t="n">
        <v>7</v>
      </c>
      <c r="C635" s="0" t="n">
        <v>7</v>
      </c>
      <c r="D635" s="0" t="n">
        <v>0</v>
      </c>
      <c r="E635" s="0" t="n">
        <f aca="false">-1+A635*0.25</f>
        <v>-1</v>
      </c>
      <c r="F635" s="0" t="n">
        <f aca="false">-1+B635*0.25</f>
        <v>0.75</v>
      </c>
      <c r="G635" s="0" t="n">
        <f aca="false">-1+C635*0.25</f>
        <v>0.75</v>
      </c>
      <c r="H635" s="0" t="n">
        <f aca="false">-1+D635*0.25</f>
        <v>-1</v>
      </c>
      <c r="I635" s="0" t="n">
        <f aca="false">1</f>
        <v>1</v>
      </c>
      <c r="J635" s="0" t="n">
        <f aca="false">E635</f>
        <v>-1</v>
      </c>
      <c r="K635" s="0" t="n">
        <f aca="false">F635</f>
        <v>0.75</v>
      </c>
      <c r="L635" s="0" t="n">
        <f aca="false">G635</f>
        <v>0.75</v>
      </c>
      <c r="M635" s="0" t="n">
        <f aca="false">H635</f>
        <v>-1</v>
      </c>
      <c r="N635" s="0" t="n">
        <f aca="false">E635*F635</f>
        <v>-0.75</v>
      </c>
      <c r="O635" s="0" t="n">
        <f aca="false">E635*G635</f>
        <v>-0.75</v>
      </c>
      <c r="P635" s="0" t="n">
        <f aca="false">E635*H635</f>
        <v>1</v>
      </c>
      <c r="Q635" s="0" t="n">
        <f aca="false">F635*G635</f>
        <v>0.5625</v>
      </c>
      <c r="R635" s="0" t="n">
        <f aca="false">F635*H635</f>
        <v>-0.75</v>
      </c>
      <c r="S635" s="0" t="n">
        <f aca="false">G635*H635</f>
        <v>-0.75</v>
      </c>
      <c r="T635" s="0" t="n">
        <f aca="false">E635*E635</f>
        <v>1</v>
      </c>
      <c r="U635" s="0" t="n">
        <f aca="false">F635*F635</f>
        <v>0.5625</v>
      </c>
      <c r="V635" s="0" t="n">
        <f aca="false">G635*G635</f>
        <v>0.5625</v>
      </c>
      <c r="W635" s="0" t="n">
        <f aca="false">H635*H635</f>
        <v>1</v>
      </c>
      <c r="X635" s="0" t="n">
        <f aca="false">SUMPRODUCT(I635:W635,_XtX!$B$96:$P$96)</f>
        <v>42.8919727704679</v>
      </c>
      <c r="Y635" s="0" t="n">
        <f aca="false">SUMPRODUCT(MMULT(I635:W635,_XtX!$B$78:$P$92),I635:W635)</f>
        <v>0.531311392086988</v>
      </c>
      <c r="Z635" s="0" t="n">
        <f aca="false">04_回帰ANOVA!$K$19*04_回帰ANOVA!$K$14*SQRT(1+Y635)</f>
        <v>1.61298433431428</v>
      </c>
      <c r="AA635" s="0" t="n">
        <f aca="false">X635-Z635</f>
        <v>41.2789884361536</v>
      </c>
      <c r="AB635" s="0" t="n">
        <f aca="false">X635+Z635</f>
        <v>44.5049571047822</v>
      </c>
      <c r="AC635" s="54" t="b">
        <f aca="false">AND(E635&gt;=01_因子設定!$L$5-0.000000001,E635&lt;=01_因子設定!$M$5+0.000000001,F635&gt;=01_因子設定!$L$6-0.000000001,F635&lt;=01_因子設定!$M$6+0.000000001,G635&gt;=01_因子設定!$L$7-0.000000001,G635&lt;=01_因子設定!$M$7+0.000000001,H635&gt;=01_因子設定!$L$8-0.000000001,H635&lt;=01_因子設定!$M$8+0.000000001,IF(01_因子設定!$B$20="Box-Behnken",E635^2+F635^2+G635^2+H635^2&lt;=2+0.000000001,TRUE()))</f>
        <v>1</v>
      </c>
      <c r="AD635" s="55" t="n">
        <f aca="false">IF(AC635,IF(01_因子設定!$B$13="最大化",AA635-01_因子設定!$B$14,IF(01_因子設定!$B$13="最小化",01_因子設定!$B$15-AB635,MIN(AA635-01_因子設定!$B$14,01_因子設定!$B$15-AB635))),-1E+030)</f>
        <v>-5.22101156384638</v>
      </c>
      <c r="AE635" s="55" t="n">
        <f aca="false">IF(AC635,IF(01_因子設定!$B$13="最大化",X635,IF(01_因子設定!$B$13="最小化",-X635,-ABS(X635-01_因子設定!$B$16))),-1E+030)</f>
        <v>42.8919727704679</v>
      </c>
      <c r="AF635" s="55" t="n">
        <f aca="false">AD635+ROW()*0.000000001</f>
        <v>-5.22101092884638</v>
      </c>
      <c r="AG635" s="55" t="n">
        <f aca="false">AE635+ROW()*0.000000001</f>
        <v>42.8919734054679</v>
      </c>
    </row>
    <row r="636" customFormat="false" ht="15" hidden="false" customHeight="false" outlineLevel="0" collapsed="false">
      <c r="A636" s="0" t="n">
        <v>0</v>
      </c>
      <c r="B636" s="0" t="n">
        <v>7</v>
      </c>
      <c r="C636" s="0" t="n">
        <v>7</v>
      </c>
      <c r="D636" s="0" t="n">
        <v>1</v>
      </c>
      <c r="E636" s="0" t="n">
        <f aca="false">-1+A636*0.25</f>
        <v>-1</v>
      </c>
      <c r="F636" s="0" t="n">
        <f aca="false">-1+B636*0.25</f>
        <v>0.75</v>
      </c>
      <c r="G636" s="0" t="n">
        <f aca="false">-1+C636*0.25</f>
        <v>0.75</v>
      </c>
      <c r="H636" s="0" t="n">
        <f aca="false">-1+D636*0.25</f>
        <v>-0.75</v>
      </c>
      <c r="I636" s="0" t="n">
        <f aca="false">1</f>
        <v>1</v>
      </c>
      <c r="J636" s="0" t="n">
        <f aca="false">E636</f>
        <v>-1</v>
      </c>
      <c r="K636" s="0" t="n">
        <f aca="false">F636</f>
        <v>0.75</v>
      </c>
      <c r="L636" s="0" t="n">
        <f aca="false">G636</f>
        <v>0.75</v>
      </c>
      <c r="M636" s="0" t="n">
        <f aca="false">H636</f>
        <v>-0.75</v>
      </c>
      <c r="N636" s="0" t="n">
        <f aca="false">E636*F636</f>
        <v>-0.75</v>
      </c>
      <c r="O636" s="0" t="n">
        <f aca="false">E636*G636</f>
        <v>-0.75</v>
      </c>
      <c r="P636" s="0" t="n">
        <f aca="false">E636*H636</f>
        <v>0.75</v>
      </c>
      <c r="Q636" s="0" t="n">
        <f aca="false">F636*G636</f>
        <v>0.5625</v>
      </c>
      <c r="R636" s="0" t="n">
        <f aca="false">F636*H636</f>
        <v>-0.5625</v>
      </c>
      <c r="S636" s="0" t="n">
        <f aca="false">G636*H636</f>
        <v>-0.5625</v>
      </c>
      <c r="T636" s="0" t="n">
        <f aca="false">E636*E636</f>
        <v>1</v>
      </c>
      <c r="U636" s="0" t="n">
        <f aca="false">F636*F636</f>
        <v>0.5625</v>
      </c>
      <c r="V636" s="0" t="n">
        <f aca="false">G636*G636</f>
        <v>0.5625</v>
      </c>
      <c r="W636" s="0" t="n">
        <f aca="false">H636*H636</f>
        <v>0.5625</v>
      </c>
      <c r="X636" s="0" t="n">
        <f aca="false">SUMPRODUCT(I636:W636,_XtX!$B$96:$P$96)</f>
        <v>43.1434987207603</v>
      </c>
      <c r="Y636" s="0" t="n">
        <f aca="false">SUMPRODUCT(MMULT(I636:W636,_XtX!$B$78:$P$92),I636:W636)</f>
        <v>0.420117473044591</v>
      </c>
      <c r="Z636" s="0" t="n">
        <f aca="false">04_回帰ANOVA!$K$19*04_回帰ANOVA!$K$14*SQRT(1+Y636)</f>
        <v>1.55331854827765</v>
      </c>
      <c r="AA636" s="0" t="n">
        <f aca="false">X636-Z636</f>
        <v>41.5901801724826</v>
      </c>
      <c r="AB636" s="0" t="n">
        <f aca="false">X636+Z636</f>
        <v>44.6968172690379</v>
      </c>
      <c r="AC636" s="54" t="b">
        <f aca="false">AND(E636&gt;=01_因子設定!$L$5-0.000000001,E636&lt;=01_因子設定!$M$5+0.000000001,F636&gt;=01_因子設定!$L$6-0.000000001,F636&lt;=01_因子設定!$M$6+0.000000001,G636&gt;=01_因子設定!$L$7-0.000000001,G636&lt;=01_因子設定!$M$7+0.000000001,H636&gt;=01_因子設定!$L$8-0.000000001,H636&lt;=01_因子設定!$M$8+0.000000001,IF(01_因子設定!$B$20="Box-Behnken",E636^2+F636^2+G636^2+H636^2&lt;=2+0.000000001,TRUE()))</f>
        <v>1</v>
      </c>
      <c r="AD636" s="55" t="n">
        <f aca="false">IF(AC636,IF(01_因子設定!$B$13="最大化",AA636-01_因子設定!$B$14,IF(01_因子設定!$B$13="最小化",01_因子設定!$B$15-AB636,MIN(AA636-01_因子設定!$B$14,01_因子設定!$B$15-AB636))),-1E+030)</f>
        <v>-4.90981982751736</v>
      </c>
      <c r="AE636" s="55" t="n">
        <f aca="false">IF(AC636,IF(01_因子設定!$B$13="最大化",X636,IF(01_因子設定!$B$13="最小化",-X636,-ABS(X636-01_因子設定!$B$16))),-1E+030)</f>
        <v>43.1434987207603</v>
      </c>
      <c r="AF636" s="55" t="n">
        <f aca="false">AD636+ROW()*0.000000001</f>
        <v>-4.90981919151736</v>
      </c>
      <c r="AG636" s="55" t="n">
        <f aca="false">AE636+ROW()*0.000000001</f>
        <v>43.1434993567603</v>
      </c>
    </row>
    <row r="637" customFormat="false" ht="15" hidden="false" customHeight="false" outlineLevel="0" collapsed="false">
      <c r="A637" s="0" t="n">
        <v>0</v>
      </c>
      <c r="B637" s="0" t="n">
        <v>7</v>
      </c>
      <c r="C637" s="0" t="n">
        <v>7</v>
      </c>
      <c r="D637" s="0" t="n">
        <v>2</v>
      </c>
      <c r="E637" s="0" t="n">
        <f aca="false">-1+A637*0.25</f>
        <v>-1</v>
      </c>
      <c r="F637" s="0" t="n">
        <f aca="false">-1+B637*0.25</f>
        <v>0.75</v>
      </c>
      <c r="G637" s="0" t="n">
        <f aca="false">-1+C637*0.25</f>
        <v>0.75</v>
      </c>
      <c r="H637" s="0" t="n">
        <f aca="false">-1+D637*0.25</f>
        <v>-0.5</v>
      </c>
      <c r="I637" s="0" t="n">
        <f aca="false">1</f>
        <v>1</v>
      </c>
      <c r="J637" s="0" t="n">
        <f aca="false">E637</f>
        <v>-1</v>
      </c>
      <c r="K637" s="0" t="n">
        <f aca="false">F637</f>
        <v>0.75</v>
      </c>
      <c r="L637" s="0" t="n">
        <f aca="false">G637</f>
        <v>0.75</v>
      </c>
      <c r="M637" s="0" t="n">
        <f aca="false">H637</f>
        <v>-0.5</v>
      </c>
      <c r="N637" s="0" t="n">
        <f aca="false">E637*F637</f>
        <v>-0.75</v>
      </c>
      <c r="O637" s="0" t="n">
        <f aca="false">E637*G637</f>
        <v>-0.75</v>
      </c>
      <c r="P637" s="0" t="n">
        <f aca="false">E637*H637</f>
        <v>0.5</v>
      </c>
      <c r="Q637" s="0" t="n">
        <f aca="false">F637*G637</f>
        <v>0.5625</v>
      </c>
      <c r="R637" s="0" t="n">
        <f aca="false">F637*H637</f>
        <v>-0.375</v>
      </c>
      <c r="S637" s="0" t="n">
        <f aca="false">G637*H637</f>
        <v>-0.375</v>
      </c>
      <c r="T637" s="0" t="n">
        <f aca="false">E637*E637</f>
        <v>1</v>
      </c>
      <c r="U637" s="0" t="n">
        <f aca="false">F637*F637</f>
        <v>0.5625</v>
      </c>
      <c r="V637" s="0" t="n">
        <f aca="false">G637*G637</f>
        <v>0.5625</v>
      </c>
      <c r="W637" s="0" t="n">
        <f aca="false">H637*H637</f>
        <v>0.25</v>
      </c>
      <c r="X637" s="0" t="n">
        <f aca="false">SUMPRODUCT(I637:W637,_XtX!$B$96:$P$96)</f>
        <v>43.3472176535088</v>
      </c>
      <c r="Y637" s="0" t="n">
        <f aca="false">SUMPRODUCT(MMULT(I637:W637,_XtX!$B$78:$P$92),I637:W637)</f>
        <v>0.431153771472953</v>
      </c>
      <c r="Z637" s="0" t="n">
        <f aca="false">04_回帰ANOVA!$K$19*04_回帰ANOVA!$K$14*SQRT(1+Y637)</f>
        <v>1.55934259562563</v>
      </c>
      <c r="AA637" s="0" t="n">
        <f aca="false">X637-Z637</f>
        <v>41.7878750578832</v>
      </c>
      <c r="AB637" s="0" t="n">
        <f aca="false">X637+Z637</f>
        <v>44.9065602491344</v>
      </c>
      <c r="AC637" s="54" t="b">
        <f aca="false">AND(E637&gt;=01_因子設定!$L$5-0.000000001,E637&lt;=01_因子設定!$M$5+0.000000001,F637&gt;=01_因子設定!$L$6-0.000000001,F637&lt;=01_因子設定!$M$6+0.000000001,G637&gt;=01_因子設定!$L$7-0.000000001,G637&lt;=01_因子設定!$M$7+0.000000001,H637&gt;=01_因子設定!$L$8-0.000000001,H637&lt;=01_因子設定!$M$8+0.000000001,IF(01_因子設定!$B$20="Box-Behnken",E637^2+F637^2+G637^2+H637^2&lt;=2+0.000000001,TRUE()))</f>
        <v>1</v>
      </c>
      <c r="AD637" s="55" t="n">
        <f aca="false">IF(AC637,IF(01_因子設定!$B$13="最大化",AA637-01_因子設定!$B$14,IF(01_因子設定!$B$13="最小化",01_因子設定!$B$15-AB637,MIN(AA637-01_因子設定!$B$14,01_因子設定!$B$15-AB637))),-1E+030)</f>
        <v>-4.71212494211682</v>
      </c>
      <c r="AE637" s="55" t="n">
        <f aca="false">IF(AC637,IF(01_因子設定!$B$13="最大化",X637,IF(01_因子設定!$B$13="最小化",-X637,-ABS(X637-01_因子設定!$B$16))),-1E+030)</f>
        <v>43.3472176535088</v>
      </c>
      <c r="AF637" s="55" t="n">
        <f aca="false">AD637+ROW()*0.000000001</f>
        <v>-4.71212430511682</v>
      </c>
      <c r="AG637" s="55" t="n">
        <f aca="false">AE637+ROW()*0.000000001</f>
        <v>43.3472182905088</v>
      </c>
    </row>
    <row r="638" customFormat="false" ht="15" hidden="false" customHeight="false" outlineLevel="0" collapsed="false">
      <c r="A638" s="0" t="n">
        <v>0</v>
      </c>
      <c r="B638" s="0" t="n">
        <v>7</v>
      </c>
      <c r="C638" s="0" t="n">
        <v>7</v>
      </c>
      <c r="D638" s="0" t="n">
        <v>3</v>
      </c>
      <c r="E638" s="0" t="n">
        <f aca="false">-1+A638*0.25</f>
        <v>-1</v>
      </c>
      <c r="F638" s="0" t="n">
        <f aca="false">-1+B638*0.25</f>
        <v>0.75</v>
      </c>
      <c r="G638" s="0" t="n">
        <f aca="false">-1+C638*0.25</f>
        <v>0.75</v>
      </c>
      <c r="H638" s="0" t="n">
        <f aca="false">-1+D638*0.25</f>
        <v>-0.25</v>
      </c>
      <c r="I638" s="0" t="n">
        <f aca="false">1</f>
        <v>1</v>
      </c>
      <c r="J638" s="0" t="n">
        <f aca="false">E638</f>
        <v>-1</v>
      </c>
      <c r="K638" s="0" t="n">
        <f aca="false">F638</f>
        <v>0.75</v>
      </c>
      <c r="L638" s="0" t="n">
        <f aca="false">G638</f>
        <v>0.75</v>
      </c>
      <c r="M638" s="0" t="n">
        <f aca="false">H638</f>
        <v>-0.25</v>
      </c>
      <c r="N638" s="0" t="n">
        <f aca="false">E638*F638</f>
        <v>-0.75</v>
      </c>
      <c r="O638" s="0" t="n">
        <f aca="false">E638*G638</f>
        <v>-0.75</v>
      </c>
      <c r="P638" s="0" t="n">
        <f aca="false">E638*H638</f>
        <v>0.25</v>
      </c>
      <c r="Q638" s="0" t="n">
        <f aca="false">F638*G638</f>
        <v>0.5625</v>
      </c>
      <c r="R638" s="0" t="n">
        <f aca="false">F638*H638</f>
        <v>-0.1875</v>
      </c>
      <c r="S638" s="0" t="n">
        <f aca="false">G638*H638</f>
        <v>-0.1875</v>
      </c>
      <c r="T638" s="0" t="n">
        <f aca="false">E638*E638</f>
        <v>1</v>
      </c>
      <c r="U638" s="0" t="n">
        <f aca="false">F638*F638</f>
        <v>0.5625</v>
      </c>
      <c r="V638" s="0" t="n">
        <f aca="false">G638*G638</f>
        <v>0.5625</v>
      </c>
      <c r="W638" s="0" t="n">
        <f aca="false">H638*H638</f>
        <v>0.0625</v>
      </c>
      <c r="X638" s="0" t="n">
        <f aca="false">SUMPRODUCT(I638:W638,_XtX!$B$96:$P$96)</f>
        <v>43.5031295687135</v>
      </c>
      <c r="Y638" s="0" t="n">
        <f aca="false">SUMPRODUCT(MMULT(I638:W638,_XtX!$B$78:$P$92),I638:W638)</f>
        <v>0.473959761056287</v>
      </c>
      <c r="Z638" s="0" t="n">
        <f aca="false">04_回帰ANOVA!$K$19*04_回帰ANOVA!$K$14*SQRT(1+Y638)</f>
        <v>1.58249084588329</v>
      </c>
      <c r="AA638" s="0" t="n">
        <f aca="false">X638-Z638</f>
        <v>41.9206387228302</v>
      </c>
      <c r="AB638" s="0" t="n">
        <f aca="false">X638+Z638</f>
        <v>45.0856204145968</v>
      </c>
      <c r="AC638" s="54" t="b">
        <f aca="false">AND(E638&gt;=01_因子設定!$L$5-0.000000001,E638&lt;=01_因子設定!$M$5+0.000000001,F638&gt;=01_因子設定!$L$6-0.000000001,F638&lt;=01_因子設定!$M$6+0.000000001,G638&gt;=01_因子設定!$L$7-0.000000001,G638&lt;=01_因子設定!$M$7+0.000000001,H638&gt;=01_因子設定!$L$8-0.000000001,H638&lt;=01_因子設定!$M$8+0.000000001,IF(01_因子設定!$B$20="Box-Behnken",E638^2+F638^2+G638^2+H638^2&lt;=2+0.000000001,TRUE()))</f>
        <v>1</v>
      </c>
      <c r="AD638" s="55" t="n">
        <f aca="false">IF(AC638,IF(01_因子設定!$B$13="最大化",AA638-01_因子設定!$B$14,IF(01_因子設定!$B$13="最小化",01_因子設定!$B$15-AB638,MIN(AA638-01_因子設定!$B$14,01_因子設定!$B$15-AB638))),-1E+030)</f>
        <v>-4.5793612771698</v>
      </c>
      <c r="AE638" s="55" t="n">
        <f aca="false">IF(AC638,IF(01_因子設定!$B$13="最大化",X638,IF(01_因子設定!$B$13="最小化",-X638,-ABS(X638-01_因子設定!$B$16))),-1E+030)</f>
        <v>43.5031295687135</v>
      </c>
      <c r="AF638" s="55" t="n">
        <f aca="false">AD638+ROW()*0.000000001</f>
        <v>-4.5793606391698</v>
      </c>
      <c r="AG638" s="55" t="n">
        <f aca="false">AE638+ROW()*0.000000001</f>
        <v>43.5031302067135</v>
      </c>
    </row>
    <row r="639" customFormat="false" ht="15" hidden="false" customHeight="false" outlineLevel="0" collapsed="false">
      <c r="A639" s="0" t="n">
        <v>0</v>
      </c>
      <c r="B639" s="0" t="n">
        <v>7</v>
      </c>
      <c r="C639" s="0" t="n">
        <v>7</v>
      </c>
      <c r="D639" s="0" t="n">
        <v>4</v>
      </c>
      <c r="E639" s="0" t="n">
        <f aca="false">-1+A639*0.25</f>
        <v>-1</v>
      </c>
      <c r="F639" s="0" t="n">
        <f aca="false">-1+B639*0.25</f>
        <v>0.75</v>
      </c>
      <c r="G639" s="0" t="n">
        <f aca="false">-1+C639*0.25</f>
        <v>0.75</v>
      </c>
      <c r="H639" s="0" t="n">
        <f aca="false">-1+D639*0.25</f>
        <v>0</v>
      </c>
      <c r="I639" s="0" t="n">
        <f aca="false">1</f>
        <v>1</v>
      </c>
      <c r="J639" s="0" t="n">
        <f aca="false">E639</f>
        <v>-1</v>
      </c>
      <c r="K639" s="0" t="n">
        <f aca="false">F639</f>
        <v>0.75</v>
      </c>
      <c r="L639" s="0" t="n">
        <f aca="false">G639</f>
        <v>0.75</v>
      </c>
      <c r="M639" s="0" t="n">
        <f aca="false">H639</f>
        <v>0</v>
      </c>
      <c r="N639" s="0" t="n">
        <f aca="false">E639*F639</f>
        <v>-0.75</v>
      </c>
      <c r="O639" s="0" t="n">
        <f aca="false">E639*G639</f>
        <v>-0.75</v>
      </c>
      <c r="P639" s="0" t="n">
        <f aca="false">E639*H639</f>
        <v>-0</v>
      </c>
      <c r="Q639" s="0" t="n">
        <f aca="false">F639*G639</f>
        <v>0.5625</v>
      </c>
      <c r="R639" s="0" t="n">
        <f aca="false">F639*H639</f>
        <v>0</v>
      </c>
      <c r="S639" s="0" t="n">
        <f aca="false">G639*H639</f>
        <v>0</v>
      </c>
      <c r="T639" s="0" t="n">
        <f aca="false">E639*E639</f>
        <v>1</v>
      </c>
      <c r="U639" s="0" t="n">
        <f aca="false">F639*F639</f>
        <v>0.5625</v>
      </c>
      <c r="V639" s="0" t="n">
        <f aca="false">G639*G639</f>
        <v>0.5625</v>
      </c>
      <c r="W639" s="0" t="n">
        <f aca="false">H639*H639</f>
        <v>0</v>
      </c>
      <c r="X639" s="0" t="n">
        <f aca="false">SUMPRODUCT(I639:W639,_XtX!$B$96:$P$96)</f>
        <v>43.6112344663743</v>
      </c>
      <c r="Y639" s="0" t="n">
        <f aca="false">SUMPRODUCT(MMULT(I639:W639,_XtX!$B$78:$P$92),I639:W639)</f>
        <v>0.494259126005117</v>
      </c>
      <c r="Z639" s="0" t="n">
        <f aca="false">04_回帰ANOVA!$K$19*04_回帰ANOVA!$K$14*SQRT(1+Y639)</f>
        <v>1.59335061078203</v>
      </c>
      <c r="AA639" s="0" t="n">
        <f aca="false">X639-Z639</f>
        <v>42.0178838555923</v>
      </c>
      <c r="AB639" s="0" t="n">
        <f aca="false">X639+Z639</f>
        <v>45.2045850771563</v>
      </c>
      <c r="AC639" s="54" t="b">
        <f aca="false">AND(E639&gt;=01_因子設定!$L$5-0.000000001,E639&lt;=01_因子設定!$M$5+0.000000001,F639&gt;=01_因子設定!$L$6-0.000000001,F639&lt;=01_因子設定!$M$6+0.000000001,G639&gt;=01_因子設定!$L$7-0.000000001,G639&lt;=01_因子設定!$M$7+0.000000001,H639&gt;=01_因子設定!$L$8-0.000000001,H639&lt;=01_因子設定!$M$8+0.000000001,IF(01_因子設定!$B$20="Box-Behnken",E639^2+F639^2+G639^2+H639^2&lt;=2+0.000000001,TRUE()))</f>
        <v>1</v>
      </c>
      <c r="AD639" s="55" t="n">
        <f aca="false">IF(AC639,IF(01_因子設定!$B$13="最大化",AA639-01_因子設定!$B$14,IF(01_因子設定!$B$13="最小化",01_因子設定!$B$15-AB639,MIN(AA639-01_因子設定!$B$14,01_因子設定!$B$15-AB639))),-1E+030)</f>
        <v>-4.48211614440773</v>
      </c>
      <c r="AE639" s="55" t="n">
        <f aca="false">IF(AC639,IF(01_因子設定!$B$13="最大化",X639,IF(01_因子設定!$B$13="最小化",-X639,-ABS(X639-01_因子設定!$B$16))),-1E+030)</f>
        <v>43.6112344663743</v>
      </c>
      <c r="AF639" s="55" t="n">
        <f aca="false">AD639+ROW()*0.000000001</f>
        <v>-4.48211550540773</v>
      </c>
      <c r="AG639" s="55" t="n">
        <f aca="false">AE639+ROW()*0.000000001</f>
        <v>43.6112351053743</v>
      </c>
    </row>
    <row r="640" customFormat="false" ht="15" hidden="false" customHeight="false" outlineLevel="0" collapsed="false">
      <c r="A640" s="0" t="n">
        <v>0</v>
      </c>
      <c r="B640" s="0" t="n">
        <v>7</v>
      </c>
      <c r="C640" s="0" t="n">
        <v>7</v>
      </c>
      <c r="D640" s="0" t="n">
        <v>5</v>
      </c>
      <c r="E640" s="0" t="n">
        <f aca="false">-1+A640*0.25</f>
        <v>-1</v>
      </c>
      <c r="F640" s="0" t="n">
        <f aca="false">-1+B640*0.25</f>
        <v>0.75</v>
      </c>
      <c r="G640" s="0" t="n">
        <f aca="false">-1+C640*0.25</f>
        <v>0.75</v>
      </c>
      <c r="H640" s="0" t="n">
        <f aca="false">-1+D640*0.25</f>
        <v>0.25</v>
      </c>
      <c r="I640" s="0" t="n">
        <f aca="false">1</f>
        <v>1</v>
      </c>
      <c r="J640" s="0" t="n">
        <f aca="false">E640</f>
        <v>-1</v>
      </c>
      <c r="K640" s="0" t="n">
        <f aca="false">F640</f>
        <v>0.75</v>
      </c>
      <c r="L640" s="0" t="n">
        <f aca="false">G640</f>
        <v>0.75</v>
      </c>
      <c r="M640" s="0" t="n">
        <f aca="false">H640</f>
        <v>0.25</v>
      </c>
      <c r="N640" s="0" t="n">
        <f aca="false">E640*F640</f>
        <v>-0.75</v>
      </c>
      <c r="O640" s="0" t="n">
        <f aca="false">E640*G640</f>
        <v>-0.75</v>
      </c>
      <c r="P640" s="0" t="n">
        <f aca="false">E640*H640</f>
        <v>-0.25</v>
      </c>
      <c r="Q640" s="0" t="n">
        <f aca="false">F640*G640</f>
        <v>0.5625</v>
      </c>
      <c r="R640" s="0" t="n">
        <f aca="false">F640*H640</f>
        <v>0.1875</v>
      </c>
      <c r="S640" s="0" t="n">
        <f aca="false">G640*H640</f>
        <v>0.1875</v>
      </c>
      <c r="T640" s="0" t="n">
        <f aca="false">E640*E640</f>
        <v>1</v>
      </c>
      <c r="U640" s="0" t="n">
        <f aca="false">F640*F640</f>
        <v>0.5625</v>
      </c>
      <c r="V640" s="0" t="n">
        <f aca="false">G640*G640</f>
        <v>0.5625</v>
      </c>
      <c r="W640" s="0" t="n">
        <f aca="false">H640*H640</f>
        <v>0.0625</v>
      </c>
      <c r="X640" s="0" t="n">
        <f aca="false">SUMPRODUCT(I640:W640,_XtX!$B$96:$P$96)</f>
        <v>43.6715323464913</v>
      </c>
      <c r="Y640" s="0" t="n">
        <f aca="false">SUMPRODUCT(MMULT(I640:W640,_XtX!$B$78:$P$92),I640:W640)</f>
        <v>0.473959761056287</v>
      </c>
      <c r="Z640" s="0" t="n">
        <f aca="false">04_回帰ANOVA!$K$19*04_回帰ANOVA!$K$14*SQRT(1+Y640)</f>
        <v>1.58249084588329</v>
      </c>
      <c r="AA640" s="0" t="n">
        <f aca="false">X640-Z640</f>
        <v>42.089041500608</v>
      </c>
      <c r="AB640" s="0" t="n">
        <f aca="false">X640+Z640</f>
        <v>45.2540231923746</v>
      </c>
      <c r="AC640" s="54" t="b">
        <f aca="false">AND(E640&gt;=01_因子設定!$L$5-0.000000001,E640&lt;=01_因子設定!$M$5+0.000000001,F640&gt;=01_因子設定!$L$6-0.000000001,F640&lt;=01_因子設定!$M$6+0.000000001,G640&gt;=01_因子設定!$L$7-0.000000001,G640&lt;=01_因子設定!$M$7+0.000000001,H640&gt;=01_因子設定!$L$8-0.000000001,H640&lt;=01_因子設定!$M$8+0.000000001,IF(01_因子設定!$B$20="Box-Behnken",E640^2+F640^2+G640^2+H640^2&lt;=2+0.000000001,TRUE()))</f>
        <v>1</v>
      </c>
      <c r="AD640" s="55" t="n">
        <f aca="false">IF(AC640,IF(01_因子設定!$B$13="最大化",AA640-01_因子設定!$B$14,IF(01_因子設定!$B$13="最小化",01_因子設定!$B$15-AB640,MIN(AA640-01_因子設定!$B$14,01_因子設定!$B$15-AB640))),-1E+030)</f>
        <v>-4.41095849939202</v>
      </c>
      <c r="AE640" s="55" t="n">
        <f aca="false">IF(AC640,IF(01_因子設定!$B$13="最大化",X640,IF(01_因子設定!$B$13="最小化",-X640,-ABS(X640-01_因子設定!$B$16))),-1E+030)</f>
        <v>43.6715323464913</v>
      </c>
      <c r="AF640" s="55" t="n">
        <f aca="false">AD640+ROW()*0.000000001</f>
        <v>-4.41095785939202</v>
      </c>
      <c r="AG640" s="55" t="n">
        <f aca="false">AE640+ROW()*0.000000001</f>
        <v>43.6715329864913</v>
      </c>
    </row>
    <row r="641" customFormat="false" ht="15" hidden="false" customHeight="false" outlineLevel="0" collapsed="false">
      <c r="A641" s="0" t="n">
        <v>0</v>
      </c>
      <c r="B641" s="0" t="n">
        <v>7</v>
      </c>
      <c r="C641" s="0" t="n">
        <v>7</v>
      </c>
      <c r="D641" s="0" t="n">
        <v>6</v>
      </c>
      <c r="E641" s="0" t="n">
        <f aca="false">-1+A641*0.25</f>
        <v>-1</v>
      </c>
      <c r="F641" s="0" t="n">
        <f aca="false">-1+B641*0.25</f>
        <v>0.75</v>
      </c>
      <c r="G641" s="0" t="n">
        <f aca="false">-1+C641*0.25</f>
        <v>0.75</v>
      </c>
      <c r="H641" s="0" t="n">
        <f aca="false">-1+D641*0.25</f>
        <v>0.5</v>
      </c>
      <c r="I641" s="0" t="n">
        <f aca="false">1</f>
        <v>1</v>
      </c>
      <c r="J641" s="0" t="n">
        <f aca="false">E641</f>
        <v>-1</v>
      </c>
      <c r="K641" s="0" t="n">
        <f aca="false">F641</f>
        <v>0.75</v>
      </c>
      <c r="L641" s="0" t="n">
        <f aca="false">G641</f>
        <v>0.75</v>
      </c>
      <c r="M641" s="0" t="n">
        <f aca="false">H641</f>
        <v>0.5</v>
      </c>
      <c r="N641" s="0" t="n">
        <f aca="false">E641*F641</f>
        <v>-0.75</v>
      </c>
      <c r="O641" s="0" t="n">
        <f aca="false">E641*G641</f>
        <v>-0.75</v>
      </c>
      <c r="P641" s="0" t="n">
        <f aca="false">E641*H641</f>
        <v>-0.5</v>
      </c>
      <c r="Q641" s="0" t="n">
        <f aca="false">F641*G641</f>
        <v>0.5625</v>
      </c>
      <c r="R641" s="0" t="n">
        <f aca="false">F641*H641</f>
        <v>0.375</v>
      </c>
      <c r="S641" s="0" t="n">
        <f aca="false">G641*H641</f>
        <v>0.375</v>
      </c>
      <c r="T641" s="0" t="n">
        <f aca="false">E641*E641</f>
        <v>1</v>
      </c>
      <c r="U641" s="0" t="n">
        <f aca="false">F641*F641</f>
        <v>0.5625</v>
      </c>
      <c r="V641" s="0" t="n">
        <f aca="false">G641*G641</f>
        <v>0.5625</v>
      </c>
      <c r="W641" s="0" t="n">
        <f aca="false">H641*H641</f>
        <v>0.25</v>
      </c>
      <c r="X641" s="0" t="n">
        <f aca="false">SUMPRODUCT(I641:W641,_XtX!$B$96:$P$96)</f>
        <v>43.6840232090644</v>
      </c>
      <c r="Y641" s="0" t="n">
        <f aca="false">SUMPRODUCT(MMULT(I641:W641,_XtX!$B$78:$P$92),I641:W641)</f>
        <v>0.431153771472953</v>
      </c>
      <c r="Z641" s="0" t="n">
        <f aca="false">04_回帰ANOVA!$K$19*04_回帰ANOVA!$K$14*SQRT(1+Y641)</f>
        <v>1.55934259562563</v>
      </c>
      <c r="AA641" s="0" t="n">
        <f aca="false">X641-Z641</f>
        <v>42.1246806134387</v>
      </c>
      <c r="AB641" s="0" t="n">
        <f aca="false">X641+Z641</f>
        <v>45.24336580469</v>
      </c>
      <c r="AC641" s="54" t="b">
        <f aca="false">AND(E641&gt;=01_因子設定!$L$5-0.000000001,E641&lt;=01_因子設定!$M$5+0.000000001,F641&gt;=01_因子設定!$L$6-0.000000001,F641&lt;=01_因子設定!$M$6+0.000000001,G641&gt;=01_因子設定!$L$7-0.000000001,G641&lt;=01_因子設定!$M$7+0.000000001,H641&gt;=01_因子設定!$L$8-0.000000001,H641&lt;=01_因子設定!$M$8+0.000000001,IF(01_因子設定!$B$20="Box-Behnken",E641^2+F641^2+G641^2+H641^2&lt;=2+0.000000001,TRUE()))</f>
        <v>1</v>
      </c>
      <c r="AD641" s="55" t="n">
        <f aca="false">IF(AC641,IF(01_因子設定!$B$13="最大化",AA641-01_因子設定!$B$14,IF(01_因子設定!$B$13="最小化",01_因子設定!$B$15-AB641,MIN(AA641-01_因子設定!$B$14,01_因子設定!$B$15-AB641))),-1E+030)</f>
        <v>-4.37531938656127</v>
      </c>
      <c r="AE641" s="55" t="n">
        <f aca="false">IF(AC641,IF(01_因子設定!$B$13="最大化",X641,IF(01_因子設定!$B$13="最小化",-X641,-ABS(X641-01_因子設定!$B$16))),-1E+030)</f>
        <v>43.6840232090644</v>
      </c>
      <c r="AF641" s="55" t="n">
        <f aca="false">AD641+ROW()*0.000000001</f>
        <v>-4.37531874556127</v>
      </c>
      <c r="AG641" s="55" t="n">
        <f aca="false">AE641+ROW()*0.000000001</f>
        <v>43.6840238500644</v>
      </c>
    </row>
    <row r="642" customFormat="false" ht="15" hidden="false" customHeight="false" outlineLevel="0" collapsed="false">
      <c r="A642" s="0" t="n">
        <v>0</v>
      </c>
      <c r="B642" s="0" t="n">
        <v>7</v>
      </c>
      <c r="C642" s="0" t="n">
        <v>7</v>
      </c>
      <c r="D642" s="0" t="n">
        <v>7</v>
      </c>
      <c r="E642" s="0" t="n">
        <f aca="false">-1+A642*0.25</f>
        <v>-1</v>
      </c>
      <c r="F642" s="0" t="n">
        <f aca="false">-1+B642*0.25</f>
        <v>0.75</v>
      </c>
      <c r="G642" s="0" t="n">
        <f aca="false">-1+C642*0.25</f>
        <v>0.75</v>
      </c>
      <c r="H642" s="0" t="n">
        <f aca="false">-1+D642*0.25</f>
        <v>0.75</v>
      </c>
      <c r="I642" s="0" t="n">
        <f aca="false">1</f>
        <v>1</v>
      </c>
      <c r="J642" s="0" t="n">
        <f aca="false">E642</f>
        <v>-1</v>
      </c>
      <c r="K642" s="0" t="n">
        <f aca="false">F642</f>
        <v>0.75</v>
      </c>
      <c r="L642" s="0" t="n">
        <f aca="false">G642</f>
        <v>0.75</v>
      </c>
      <c r="M642" s="0" t="n">
        <f aca="false">H642</f>
        <v>0.75</v>
      </c>
      <c r="N642" s="0" t="n">
        <f aca="false">E642*F642</f>
        <v>-0.75</v>
      </c>
      <c r="O642" s="0" t="n">
        <f aca="false">E642*G642</f>
        <v>-0.75</v>
      </c>
      <c r="P642" s="0" t="n">
        <f aca="false">E642*H642</f>
        <v>-0.75</v>
      </c>
      <c r="Q642" s="0" t="n">
        <f aca="false">F642*G642</f>
        <v>0.5625</v>
      </c>
      <c r="R642" s="0" t="n">
        <f aca="false">F642*H642</f>
        <v>0.5625</v>
      </c>
      <c r="S642" s="0" t="n">
        <f aca="false">G642*H642</f>
        <v>0.5625</v>
      </c>
      <c r="T642" s="0" t="n">
        <f aca="false">E642*E642</f>
        <v>1</v>
      </c>
      <c r="U642" s="0" t="n">
        <f aca="false">F642*F642</f>
        <v>0.5625</v>
      </c>
      <c r="V642" s="0" t="n">
        <f aca="false">G642*G642</f>
        <v>0.5625</v>
      </c>
      <c r="W642" s="0" t="n">
        <f aca="false">H642*H642</f>
        <v>0.5625</v>
      </c>
      <c r="X642" s="0" t="n">
        <f aca="false">SUMPRODUCT(I642:W642,_XtX!$B$96:$P$96)</f>
        <v>43.6487070540936</v>
      </c>
      <c r="Y642" s="0" t="n">
        <f aca="false">SUMPRODUCT(MMULT(I642:W642,_XtX!$B$78:$P$92),I642:W642)</f>
        <v>0.420117473044591</v>
      </c>
      <c r="Z642" s="0" t="n">
        <f aca="false">04_回帰ANOVA!$K$19*04_回帰ANOVA!$K$14*SQRT(1+Y642)</f>
        <v>1.55331854827765</v>
      </c>
      <c r="AA642" s="0" t="n">
        <f aca="false">X642-Z642</f>
        <v>42.095388505816</v>
      </c>
      <c r="AB642" s="0" t="n">
        <f aca="false">X642+Z642</f>
        <v>45.2020256023713</v>
      </c>
      <c r="AC642" s="54" t="b">
        <f aca="false">AND(E642&gt;=01_因子設定!$L$5-0.000000001,E642&lt;=01_因子設定!$M$5+0.000000001,F642&gt;=01_因子設定!$L$6-0.000000001,F642&lt;=01_因子設定!$M$6+0.000000001,G642&gt;=01_因子設定!$L$7-0.000000001,G642&lt;=01_因子設定!$M$7+0.000000001,H642&gt;=01_因子設定!$L$8-0.000000001,H642&lt;=01_因子設定!$M$8+0.000000001,IF(01_因子設定!$B$20="Box-Behnken",E642^2+F642^2+G642^2+H642^2&lt;=2+0.000000001,TRUE()))</f>
        <v>1</v>
      </c>
      <c r="AD642" s="55" t="n">
        <f aca="false">IF(AC642,IF(01_因子設定!$B$13="最大化",AA642-01_因子設定!$B$14,IF(01_因子設定!$B$13="最小化",01_因子設定!$B$15-AB642,MIN(AA642-01_因子設定!$B$14,01_因子設定!$B$15-AB642))),-1E+030)</f>
        <v>-4.40461149418403</v>
      </c>
      <c r="AE642" s="55" t="n">
        <f aca="false">IF(AC642,IF(01_因子設定!$B$13="最大化",X642,IF(01_因子設定!$B$13="最小化",-X642,-ABS(X642-01_因子設定!$B$16))),-1E+030)</f>
        <v>43.6487070540936</v>
      </c>
      <c r="AF642" s="55" t="n">
        <f aca="false">AD642+ROW()*0.000000001</f>
        <v>-4.40461085218403</v>
      </c>
      <c r="AG642" s="55" t="n">
        <f aca="false">AE642+ROW()*0.000000001</f>
        <v>43.6487076960936</v>
      </c>
    </row>
    <row r="643" customFormat="false" ht="15" hidden="false" customHeight="false" outlineLevel="0" collapsed="false">
      <c r="A643" s="0" t="n">
        <v>0</v>
      </c>
      <c r="B643" s="0" t="n">
        <v>7</v>
      </c>
      <c r="C643" s="0" t="n">
        <v>7</v>
      </c>
      <c r="D643" s="0" t="n">
        <v>8</v>
      </c>
      <c r="E643" s="0" t="n">
        <f aca="false">-1+A643*0.25</f>
        <v>-1</v>
      </c>
      <c r="F643" s="0" t="n">
        <f aca="false">-1+B643*0.25</f>
        <v>0.75</v>
      </c>
      <c r="G643" s="0" t="n">
        <f aca="false">-1+C643*0.25</f>
        <v>0.75</v>
      </c>
      <c r="H643" s="0" t="n">
        <f aca="false">-1+D643*0.25</f>
        <v>1</v>
      </c>
      <c r="I643" s="0" t="n">
        <f aca="false">1</f>
        <v>1</v>
      </c>
      <c r="J643" s="0" t="n">
        <f aca="false">E643</f>
        <v>-1</v>
      </c>
      <c r="K643" s="0" t="n">
        <f aca="false">F643</f>
        <v>0.75</v>
      </c>
      <c r="L643" s="0" t="n">
        <f aca="false">G643</f>
        <v>0.75</v>
      </c>
      <c r="M643" s="0" t="n">
        <f aca="false">H643</f>
        <v>1</v>
      </c>
      <c r="N643" s="0" t="n">
        <f aca="false">E643*F643</f>
        <v>-0.75</v>
      </c>
      <c r="O643" s="0" t="n">
        <f aca="false">E643*G643</f>
        <v>-0.75</v>
      </c>
      <c r="P643" s="0" t="n">
        <f aca="false">E643*H643</f>
        <v>-1</v>
      </c>
      <c r="Q643" s="0" t="n">
        <f aca="false">F643*G643</f>
        <v>0.5625</v>
      </c>
      <c r="R643" s="0" t="n">
        <f aca="false">F643*H643</f>
        <v>0.75</v>
      </c>
      <c r="S643" s="0" t="n">
        <f aca="false">G643*H643</f>
        <v>0.75</v>
      </c>
      <c r="T643" s="0" t="n">
        <f aca="false">E643*E643</f>
        <v>1</v>
      </c>
      <c r="U643" s="0" t="n">
        <f aca="false">F643*F643</f>
        <v>0.5625</v>
      </c>
      <c r="V643" s="0" t="n">
        <f aca="false">G643*G643</f>
        <v>0.5625</v>
      </c>
      <c r="W643" s="0" t="n">
        <f aca="false">H643*H643</f>
        <v>1</v>
      </c>
      <c r="X643" s="0" t="n">
        <f aca="false">SUMPRODUCT(I643:W643,_XtX!$B$96:$P$96)</f>
        <v>43.565583881579</v>
      </c>
      <c r="Y643" s="0" t="n">
        <f aca="false">SUMPRODUCT(MMULT(I643:W643,_XtX!$B$78:$P$92),I643:W643)</f>
        <v>0.531311392086988</v>
      </c>
      <c r="Z643" s="0" t="n">
        <f aca="false">04_回帰ANOVA!$K$19*04_回帰ANOVA!$K$14*SQRT(1+Y643)</f>
        <v>1.61298433431428</v>
      </c>
      <c r="AA643" s="0" t="n">
        <f aca="false">X643-Z643</f>
        <v>41.9525995472647</v>
      </c>
      <c r="AB643" s="0" t="n">
        <f aca="false">X643+Z643</f>
        <v>45.1785682158933</v>
      </c>
      <c r="AC643" s="54" t="b">
        <f aca="false">AND(E643&gt;=01_因子設定!$L$5-0.000000001,E643&lt;=01_因子設定!$M$5+0.000000001,F643&gt;=01_因子設定!$L$6-0.000000001,F643&lt;=01_因子設定!$M$6+0.000000001,G643&gt;=01_因子設定!$L$7-0.000000001,G643&lt;=01_因子設定!$M$7+0.000000001,H643&gt;=01_因子設定!$L$8-0.000000001,H643&lt;=01_因子設定!$M$8+0.000000001,IF(01_因子設定!$B$20="Box-Behnken",E643^2+F643^2+G643^2+H643^2&lt;=2+0.000000001,TRUE()))</f>
        <v>1</v>
      </c>
      <c r="AD643" s="55" t="n">
        <f aca="false">IF(AC643,IF(01_因子設定!$B$13="最大化",AA643-01_因子設定!$B$14,IF(01_因子設定!$B$13="最小化",01_因子設定!$B$15-AB643,MIN(AA643-01_因子設定!$B$14,01_因子設定!$B$15-AB643))),-1E+030)</f>
        <v>-4.54740045273528</v>
      </c>
      <c r="AE643" s="55" t="n">
        <f aca="false">IF(AC643,IF(01_因子設定!$B$13="最大化",X643,IF(01_因子設定!$B$13="最小化",-X643,-ABS(X643-01_因子設定!$B$16))),-1E+030)</f>
        <v>43.565583881579</v>
      </c>
      <c r="AF643" s="55" t="n">
        <f aca="false">AD643+ROW()*0.000000001</f>
        <v>-4.54739980973528</v>
      </c>
      <c r="AG643" s="55" t="n">
        <f aca="false">AE643+ROW()*0.000000001</f>
        <v>43.565584524579</v>
      </c>
    </row>
    <row r="644" customFormat="false" ht="15" hidden="false" customHeight="false" outlineLevel="0" collapsed="false">
      <c r="A644" s="0" t="n">
        <v>0</v>
      </c>
      <c r="B644" s="0" t="n">
        <v>7</v>
      </c>
      <c r="C644" s="0" t="n">
        <v>8</v>
      </c>
      <c r="D644" s="0" t="n">
        <v>0</v>
      </c>
      <c r="E644" s="0" t="n">
        <f aca="false">-1+A644*0.25</f>
        <v>-1</v>
      </c>
      <c r="F644" s="0" t="n">
        <f aca="false">-1+B644*0.25</f>
        <v>0.75</v>
      </c>
      <c r="G644" s="0" t="n">
        <f aca="false">-1+C644*0.25</f>
        <v>1</v>
      </c>
      <c r="H644" s="0" t="n">
        <f aca="false">-1+D644*0.25</f>
        <v>-1</v>
      </c>
      <c r="I644" s="0" t="n">
        <f aca="false">1</f>
        <v>1</v>
      </c>
      <c r="J644" s="0" t="n">
        <f aca="false">E644</f>
        <v>-1</v>
      </c>
      <c r="K644" s="0" t="n">
        <f aca="false">F644</f>
        <v>0.75</v>
      </c>
      <c r="L644" s="0" t="n">
        <f aca="false">G644</f>
        <v>1</v>
      </c>
      <c r="M644" s="0" t="n">
        <f aca="false">H644</f>
        <v>-1</v>
      </c>
      <c r="N644" s="0" t="n">
        <f aca="false">E644*F644</f>
        <v>-0.75</v>
      </c>
      <c r="O644" s="0" t="n">
        <f aca="false">E644*G644</f>
        <v>-1</v>
      </c>
      <c r="P644" s="0" t="n">
        <f aca="false">E644*H644</f>
        <v>1</v>
      </c>
      <c r="Q644" s="0" t="n">
        <f aca="false">F644*G644</f>
        <v>0.75</v>
      </c>
      <c r="R644" s="0" t="n">
        <f aca="false">F644*H644</f>
        <v>-0.75</v>
      </c>
      <c r="S644" s="0" t="n">
        <f aca="false">G644*H644</f>
        <v>-1</v>
      </c>
      <c r="T644" s="0" t="n">
        <f aca="false">E644*E644</f>
        <v>1</v>
      </c>
      <c r="U644" s="0" t="n">
        <f aca="false">F644*F644</f>
        <v>0.5625</v>
      </c>
      <c r="V644" s="0" t="n">
        <f aca="false">G644*G644</f>
        <v>1</v>
      </c>
      <c r="W644" s="0" t="n">
        <f aca="false">H644*H644</f>
        <v>1</v>
      </c>
      <c r="X644" s="0" t="n">
        <f aca="false">SUMPRODUCT(I644:W644,_XtX!$B$96:$P$96)</f>
        <v>42.9884502923977</v>
      </c>
      <c r="Y644" s="0" t="n">
        <f aca="false">SUMPRODUCT(MMULT(I644:W644,_XtX!$B$78:$P$92),I644:W644)</f>
        <v>0.610814144736842</v>
      </c>
      <c r="Z644" s="0" t="n">
        <f aca="false">04_回帰ANOVA!$K$19*04_回帰ANOVA!$K$14*SQRT(1+Y644)</f>
        <v>1.6543260558361</v>
      </c>
      <c r="AA644" s="0" t="n">
        <f aca="false">X644-Z644</f>
        <v>41.3341242365616</v>
      </c>
      <c r="AB644" s="0" t="n">
        <f aca="false">X644+Z644</f>
        <v>44.6427763482338</v>
      </c>
      <c r="AC644" s="54" t="b">
        <f aca="false">AND(E644&gt;=01_因子設定!$L$5-0.000000001,E644&lt;=01_因子設定!$M$5+0.000000001,F644&gt;=01_因子設定!$L$6-0.000000001,F644&lt;=01_因子設定!$M$6+0.000000001,G644&gt;=01_因子設定!$L$7-0.000000001,G644&lt;=01_因子設定!$M$7+0.000000001,H644&gt;=01_因子設定!$L$8-0.000000001,H644&lt;=01_因子設定!$M$8+0.000000001,IF(01_因子設定!$B$20="Box-Behnken",E644^2+F644^2+G644^2+H644^2&lt;=2+0.000000001,TRUE()))</f>
        <v>1</v>
      </c>
      <c r="AD644" s="55" t="n">
        <f aca="false">IF(AC644,IF(01_因子設定!$B$13="最大化",AA644-01_因子設定!$B$14,IF(01_因子設定!$B$13="最小化",01_因子設定!$B$15-AB644,MIN(AA644-01_因子設定!$B$14,01_因子設定!$B$15-AB644))),-1E+030)</f>
        <v>-5.16587576343837</v>
      </c>
      <c r="AE644" s="55" t="n">
        <f aca="false">IF(AC644,IF(01_因子設定!$B$13="最大化",X644,IF(01_因子設定!$B$13="最小化",-X644,-ABS(X644-01_因子設定!$B$16))),-1E+030)</f>
        <v>42.9884502923977</v>
      </c>
      <c r="AF644" s="55" t="n">
        <f aca="false">AD644+ROW()*0.000000001</f>
        <v>-5.16587511943837</v>
      </c>
      <c r="AG644" s="55" t="n">
        <f aca="false">AE644+ROW()*0.000000001</f>
        <v>42.9884509363977</v>
      </c>
    </row>
    <row r="645" customFormat="false" ht="15" hidden="false" customHeight="false" outlineLevel="0" collapsed="false">
      <c r="A645" s="0" t="n">
        <v>0</v>
      </c>
      <c r="B645" s="0" t="n">
        <v>7</v>
      </c>
      <c r="C645" s="0" t="n">
        <v>8</v>
      </c>
      <c r="D645" s="0" t="n">
        <v>1</v>
      </c>
      <c r="E645" s="0" t="n">
        <f aca="false">-1+A645*0.25</f>
        <v>-1</v>
      </c>
      <c r="F645" s="0" t="n">
        <f aca="false">-1+B645*0.25</f>
        <v>0.75</v>
      </c>
      <c r="G645" s="0" t="n">
        <f aca="false">-1+C645*0.25</f>
        <v>1</v>
      </c>
      <c r="H645" s="0" t="n">
        <f aca="false">-1+D645*0.25</f>
        <v>-0.75</v>
      </c>
      <c r="I645" s="0" t="n">
        <f aca="false">1</f>
        <v>1</v>
      </c>
      <c r="J645" s="0" t="n">
        <f aca="false">E645</f>
        <v>-1</v>
      </c>
      <c r="K645" s="0" t="n">
        <f aca="false">F645</f>
        <v>0.75</v>
      </c>
      <c r="L645" s="0" t="n">
        <f aca="false">G645</f>
        <v>1</v>
      </c>
      <c r="M645" s="0" t="n">
        <f aca="false">H645</f>
        <v>-0.75</v>
      </c>
      <c r="N645" s="0" t="n">
        <f aca="false">E645*F645</f>
        <v>-0.75</v>
      </c>
      <c r="O645" s="0" t="n">
        <f aca="false">E645*G645</f>
        <v>-1</v>
      </c>
      <c r="P645" s="0" t="n">
        <f aca="false">E645*H645</f>
        <v>0.75</v>
      </c>
      <c r="Q645" s="0" t="n">
        <f aca="false">F645*G645</f>
        <v>0.75</v>
      </c>
      <c r="R645" s="0" t="n">
        <f aca="false">F645*H645</f>
        <v>-0.5625</v>
      </c>
      <c r="S645" s="0" t="n">
        <f aca="false">G645*H645</f>
        <v>-0.75</v>
      </c>
      <c r="T645" s="0" t="n">
        <f aca="false">E645*E645</f>
        <v>1</v>
      </c>
      <c r="U645" s="0" t="n">
        <f aca="false">F645*F645</f>
        <v>0.5625</v>
      </c>
      <c r="V645" s="0" t="n">
        <f aca="false">G645*G645</f>
        <v>1</v>
      </c>
      <c r="W645" s="0" t="n">
        <f aca="false">H645*H645</f>
        <v>0.5625</v>
      </c>
      <c r="X645" s="0" t="n">
        <f aca="false">SUMPRODUCT(I645:W645,_XtX!$B$96:$P$96)</f>
        <v>43.2579449926901</v>
      </c>
      <c r="Y645" s="0" t="n">
        <f aca="false">SUMPRODUCT(MMULT(I645:W645,_XtX!$B$78:$P$92),I645:W645)</f>
        <v>0.531311392086988</v>
      </c>
      <c r="Z645" s="0" t="n">
        <f aca="false">04_回帰ANOVA!$K$19*04_回帰ANOVA!$K$14*SQRT(1+Y645)</f>
        <v>1.61298433431428</v>
      </c>
      <c r="AA645" s="0" t="n">
        <f aca="false">X645-Z645</f>
        <v>41.6449606583758</v>
      </c>
      <c r="AB645" s="0" t="n">
        <f aca="false">X645+Z645</f>
        <v>44.8709293270044</v>
      </c>
      <c r="AC645" s="54" t="b">
        <f aca="false">AND(E645&gt;=01_因子設定!$L$5-0.000000001,E645&lt;=01_因子設定!$M$5+0.000000001,F645&gt;=01_因子設定!$L$6-0.000000001,F645&lt;=01_因子設定!$M$6+0.000000001,G645&gt;=01_因子設定!$L$7-0.000000001,G645&lt;=01_因子設定!$M$7+0.000000001,H645&gt;=01_因子設定!$L$8-0.000000001,H645&lt;=01_因子設定!$M$8+0.000000001,IF(01_因子設定!$B$20="Box-Behnken",E645^2+F645^2+G645^2+H645^2&lt;=2+0.000000001,TRUE()))</f>
        <v>1</v>
      </c>
      <c r="AD645" s="55" t="n">
        <f aca="false">IF(AC645,IF(01_因子設定!$B$13="最大化",AA645-01_因子設定!$B$14,IF(01_因子設定!$B$13="最小化",01_因子設定!$B$15-AB645,MIN(AA645-01_因子設定!$B$14,01_因子設定!$B$15-AB645))),-1E+030)</f>
        <v>-4.85503934162417</v>
      </c>
      <c r="AE645" s="55" t="n">
        <f aca="false">IF(AC645,IF(01_因子設定!$B$13="最大化",X645,IF(01_因子設定!$B$13="最小化",-X645,-ABS(X645-01_因子設定!$B$16))),-1E+030)</f>
        <v>43.2579449926901</v>
      </c>
      <c r="AF645" s="55" t="n">
        <f aca="false">AD645+ROW()*0.000000001</f>
        <v>-4.85503869662417</v>
      </c>
      <c r="AG645" s="55" t="n">
        <f aca="false">AE645+ROW()*0.000000001</f>
        <v>43.2579456376901</v>
      </c>
    </row>
    <row r="646" customFormat="false" ht="15" hidden="false" customHeight="false" outlineLevel="0" collapsed="false">
      <c r="A646" s="0" t="n">
        <v>0</v>
      </c>
      <c r="B646" s="0" t="n">
        <v>7</v>
      </c>
      <c r="C646" s="0" t="n">
        <v>8</v>
      </c>
      <c r="D646" s="0" t="n">
        <v>2</v>
      </c>
      <c r="E646" s="0" t="n">
        <f aca="false">-1+A646*0.25</f>
        <v>-1</v>
      </c>
      <c r="F646" s="0" t="n">
        <f aca="false">-1+B646*0.25</f>
        <v>0.75</v>
      </c>
      <c r="G646" s="0" t="n">
        <f aca="false">-1+C646*0.25</f>
        <v>1</v>
      </c>
      <c r="H646" s="0" t="n">
        <f aca="false">-1+D646*0.25</f>
        <v>-0.5</v>
      </c>
      <c r="I646" s="0" t="n">
        <f aca="false">1</f>
        <v>1</v>
      </c>
      <c r="J646" s="0" t="n">
        <f aca="false">E646</f>
        <v>-1</v>
      </c>
      <c r="K646" s="0" t="n">
        <f aca="false">F646</f>
        <v>0.75</v>
      </c>
      <c r="L646" s="0" t="n">
        <f aca="false">G646</f>
        <v>1</v>
      </c>
      <c r="M646" s="0" t="n">
        <f aca="false">H646</f>
        <v>-0.5</v>
      </c>
      <c r="N646" s="0" t="n">
        <f aca="false">E646*F646</f>
        <v>-0.75</v>
      </c>
      <c r="O646" s="0" t="n">
        <f aca="false">E646*G646</f>
        <v>-1</v>
      </c>
      <c r="P646" s="0" t="n">
        <f aca="false">E646*H646</f>
        <v>0.5</v>
      </c>
      <c r="Q646" s="0" t="n">
        <f aca="false">F646*G646</f>
        <v>0.75</v>
      </c>
      <c r="R646" s="0" t="n">
        <f aca="false">F646*H646</f>
        <v>-0.375</v>
      </c>
      <c r="S646" s="0" t="n">
        <f aca="false">G646*H646</f>
        <v>-0.5</v>
      </c>
      <c r="T646" s="0" t="n">
        <f aca="false">E646*E646</f>
        <v>1</v>
      </c>
      <c r="U646" s="0" t="n">
        <f aca="false">F646*F646</f>
        <v>0.5625</v>
      </c>
      <c r="V646" s="0" t="n">
        <f aca="false">G646*G646</f>
        <v>1</v>
      </c>
      <c r="W646" s="0" t="n">
        <f aca="false">H646*H646</f>
        <v>0.25</v>
      </c>
      <c r="X646" s="0" t="n">
        <f aca="false">SUMPRODUCT(I646:W646,_XtX!$B$96:$P$96)</f>
        <v>43.4796326754386</v>
      </c>
      <c r="Y646" s="0" t="n">
        <f aca="false">SUMPRODUCT(MMULT(I646:W646,_XtX!$B$78:$P$92),I646:W646)</f>
        <v>0.564984237938597</v>
      </c>
      <c r="Z646" s="0" t="n">
        <f aca="false">04_回帰ANOVA!$K$19*04_回帰ANOVA!$K$14*SQRT(1+Y646)</f>
        <v>1.63062229734503</v>
      </c>
      <c r="AA646" s="0" t="n">
        <f aca="false">X646-Z646</f>
        <v>41.8490103780936</v>
      </c>
      <c r="AB646" s="0" t="n">
        <f aca="false">X646+Z646</f>
        <v>45.1102549727837</v>
      </c>
      <c r="AC646" s="54" t="b">
        <f aca="false">AND(E646&gt;=01_因子設定!$L$5-0.000000001,E646&lt;=01_因子設定!$M$5+0.000000001,F646&gt;=01_因子設定!$L$6-0.000000001,F646&lt;=01_因子設定!$M$6+0.000000001,G646&gt;=01_因子設定!$L$7-0.000000001,G646&lt;=01_因子設定!$M$7+0.000000001,H646&gt;=01_因子設定!$L$8-0.000000001,H646&lt;=01_因子設定!$M$8+0.000000001,IF(01_因子設定!$B$20="Box-Behnken",E646^2+F646^2+G646^2+H646^2&lt;=2+0.000000001,TRUE()))</f>
        <v>1</v>
      </c>
      <c r="AD646" s="55" t="n">
        <f aca="false">IF(AC646,IF(01_因子設定!$B$13="最大化",AA646-01_因子設定!$B$14,IF(01_因子設定!$B$13="最小化",01_因子設定!$B$15-AB646,MIN(AA646-01_因子設定!$B$14,01_因子設定!$B$15-AB646))),-1E+030)</f>
        <v>-4.6509896219064</v>
      </c>
      <c r="AE646" s="55" t="n">
        <f aca="false">IF(AC646,IF(01_因子設定!$B$13="最大化",X646,IF(01_因子設定!$B$13="最小化",-X646,-ABS(X646-01_因子設定!$B$16))),-1E+030)</f>
        <v>43.4796326754386</v>
      </c>
      <c r="AF646" s="55" t="n">
        <f aca="false">AD646+ROW()*0.000000001</f>
        <v>-4.6509889759064</v>
      </c>
      <c r="AG646" s="55" t="n">
        <f aca="false">AE646+ROW()*0.000000001</f>
        <v>43.4796333214386</v>
      </c>
    </row>
    <row r="647" customFormat="false" ht="15" hidden="false" customHeight="false" outlineLevel="0" collapsed="false">
      <c r="A647" s="0" t="n">
        <v>0</v>
      </c>
      <c r="B647" s="0" t="n">
        <v>7</v>
      </c>
      <c r="C647" s="0" t="n">
        <v>8</v>
      </c>
      <c r="D647" s="0" t="n">
        <v>3</v>
      </c>
      <c r="E647" s="0" t="n">
        <f aca="false">-1+A647*0.25</f>
        <v>-1</v>
      </c>
      <c r="F647" s="0" t="n">
        <f aca="false">-1+B647*0.25</f>
        <v>0.75</v>
      </c>
      <c r="G647" s="0" t="n">
        <f aca="false">-1+C647*0.25</f>
        <v>1</v>
      </c>
      <c r="H647" s="0" t="n">
        <f aca="false">-1+D647*0.25</f>
        <v>-0.25</v>
      </c>
      <c r="I647" s="0" t="n">
        <f aca="false">1</f>
        <v>1</v>
      </c>
      <c r="J647" s="0" t="n">
        <f aca="false">E647</f>
        <v>-1</v>
      </c>
      <c r="K647" s="0" t="n">
        <f aca="false">F647</f>
        <v>0.75</v>
      </c>
      <c r="L647" s="0" t="n">
        <f aca="false">G647</f>
        <v>1</v>
      </c>
      <c r="M647" s="0" t="n">
        <f aca="false">H647</f>
        <v>-0.25</v>
      </c>
      <c r="N647" s="0" t="n">
        <f aca="false">E647*F647</f>
        <v>-0.75</v>
      </c>
      <c r="O647" s="0" t="n">
        <f aca="false">E647*G647</f>
        <v>-1</v>
      </c>
      <c r="P647" s="0" t="n">
        <f aca="false">E647*H647</f>
        <v>0.25</v>
      </c>
      <c r="Q647" s="0" t="n">
        <f aca="false">F647*G647</f>
        <v>0.75</v>
      </c>
      <c r="R647" s="0" t="n">
        <f aca="false">F647*H647</f>
        <v>-0.1875</v>
      </c>
      <c r="S647" s="0" t="n">
        <f aca="false">G647*H647</f>
        <v>-0.25</v>
      </c>
      <c r="T647" s="0" t="n">
        <f aca="false">E647*E647</f>
        <v>1</v>
      </c>
      <c r="U647" s="0" t="n">
        <f aca="false">F647*F647</f>
        <v>0.5625</v>
      </c>
      <c r="V647" s="0" t="n">
        <f aca="false">G647*G647</f>
        <v>1</v>
      </c>
      <c r="W647" s="0" t="n">
        <f aca="false">H647*H647</f>
        <v>0.0625</v>
      </c>
      <c r="X647" s="0" t="n">
        <f aca="false">SUMPRODUCT(I647:W647,_XtX!$B$96:$P$96)</f>
        <v>43.6535133406433</v>
      </c>
      <c r="Y647" s="0" t="n">
        <f aca="false">SUMPRODUCT(MMULT(I647:W647,_XtX!$B$78:$P$92),I647:W647)</f>
        <v>0.621372155975877</v>
      </c>
      <c r="Z647" s="0" t="n">
        <f aca="false">04_回帰ANOVA!$K$19*04_回帰ANOVA!$K$14*SQRT(1+Y647)</f>
        <v>1.65973880499872</v>
      </c>
      <c r="AA647" s="0" t="n">
        <f aca="false">X647-Z647</f>
        <v>41.9937745356446</v>
      </c>
      <c r="AB647" s="0" t="n">
        <f aca="false">X647+Z647</f>
        <v>45.313252145642</v>
      </c>
      <c r="AC647" s="54" t="b">
        <f aca="false">AND(E647&gt;=01_因子設定!$L$5-0.000000001,E647&lt;=01_因子設定!$M$5+0.000000001,F647&gt;=01_因子設定!$L$6-0.000000001,F647&lt;=01_因子設定!$M$6+0.000000001,G647&gt;=01_因子設定!$L$7-0.000000001,G647&lt;=01_因子設定!$M$7+0.000000001,H647&gt;=01_因子設定!$L$8-0.000000001,H647&lt;=01_因子設定!$M$8+0.000000001,IF(01_因子設定!$B$20="Box-Behnken",E647^2+F647^2+G647^2+H647^2&lt;=2+0.000000001,TRUE()))</f>
        <v>1</v>
      </c>
      <c r="AD647" s="55" t="n">
        <f aca="false">IF(AC647,IF(01_因子設定!$B$13="最大化",AA647-01_因子設定!$B$14,IF(01_因子設定!$B$13="最小化",01_因子設定!$B$15-AB647,MIN(AA647-01_因子設定!$B$14,01_因子設定!$B$15-AB647))),-1E+030)</f>
        <v>-4.50622546435541</v>
      </c>
      <c r="AE647" s="55" t="n">
        <f aca="false">IF(AC647,IF(01_因子設定!$B$13="最大化",X647,IF(01_因子設定!$B$13="最小化",-X647,-ABS(X647-01_因子設定!$B$16))),-1E+030)</f>
        <v>43.6535133406433</v>
      </c>
      <c r="AF647" s="55" t="n">
        <f aca="false">AD647+ROW()*0.000000001</f>
        <v>-4.50622481735541</v>
      </c>
      <c r="AG647" s="55" t="n">
        <f aca="false">AE647+ROW()*0.000000001</f>
        <v>43.6535139876433</v>
      </c>
    </row>
    <row r="648" customFormat="false" ht="15" hidden="false" customHeight="false" outlineLevel="0" collapsed="false">
      <c r="A648" s="0" t="n">
        <v>0</v>
      </c>
      <c r="B648" s="0" t="n">
        <v>7</v>
      </c>
      <c r="C648" s="0" t="n">
        <v>8</v>
      </c>
      <c r="D648" s="0" t="n">
        <v>4</v>
      </c>
      <c r="E648" s="0" t="n">
        <f aca="false">-1+A648*0.25</f>
        <v>-1</v>
      </c>
      <c r="F648" s="0" t="n">
        <f aca="false">-1+B648*0.25</f>
        <v>0.75</v>
      </c>
      <c r="G648" s="0" t="n">
        <f aca="false">-1+C648*0.25</f>
        <v>1</v>
      </c>
      <c r="H648" s="0" t="n">
        <f aca="false">-1+D648*0.25</f>
        <v>0</v>
      </c>
      <c r="I648" s="0" t="n">
        <f aca="false">1</f>
        <v>1</v>
      </c>
      <c r="J648" s="0" t="n">
        <f aca="false">E648</f>
        <v>-1</v>
      </c>
      <c r="K648" s="0" t="n">
        <f aca="false">F648</f>
        <v>0.75</v>
      </c>
      <c r="L648" s="0" t="n">
        <f aca="false">G648</f>
        <v>1</v>
      </c>
      <c r="M648" s="0" t="n">
        <f aca="false">H648</f>
        <v>0</v>
      </c>
      <c r="N648" s="0" t="n">
        <f aca="false">E648*F648</f>
        <v>-0.75</v>
      </c>
      <c r="O648" s="0" t="n">
        <f aca="false">E648*G648</f>
        <v>-1</v>
      </c>
      <c r="P648" s="0" t="n">
        <f aca="false">E648*H648</f>
        <v>-0</v>
      </c>
      <c r="Q648" s="0" t="n">
        <f aca="false">F648*G648</f>
        <v>0.75</v>
      </c>
      <c r="R648" s="0" t="n">
        <f aca="false">F648*H648</f>
        <v>0</v>
      </c>
      <c r="S648" s="0" t="n">
        <f aca="false">G648*H648</f>
        <v>0</v>
      </c>
      <c r="T648" s="0" t="n">
        <f aca="false">E648*E648</f>
        <v>1</v>
      </c>
      <c r="U648" s="0" t="n">
        <f aca="false">F648*F648</f>
        <v>0.5625</v>
      </c>
      <c r="V648" s="0" t="n">
        <f aca="false">G648*G648</f>
        <v>1</v>
      </c>
      <c r="W648" s="0" t="n">
        <f aca="false">H648*H648</f>
        <v>0</v>
      </c>
      <c r="X648" s="0" t="n">
        <f aca="false">SUMPRODUCT(I648:W648,_XtX!$B$96:$P$96)</f>
        <v>43.7795869883041</v>
      </c>
      <c r="Y648" s="0" t="n">
        <f aca="false">SUMPRODUCT(MMULT(I648:W648,_XtX!$B$78:$P$92),I648:W648)</f>
        <v>0.646198830409357</v>
      </c>
      <c r="Z648" s="0" t="n">
        <f aca="false">04_回帰ANOVA!$K$19*04_回帰ANOVA!$K$14*SQRT(1+Y648)</f>
        <v>1.67239760569756</v>
      </c>
      <c r="AA648" s="0" t="n">
        <f aca="false">X648-Z648</f>
        <v>42.1071893826066</v>
      </c>
      <c r="AB648" s="0" t="n">
        <f aca="false">X648+Z648</f>
        <v>45.4519845940017</v>
      </c>
      <c r="AC648" s="54" t="b">
        <f aca="false">AND(E648&gt;=01_因子設定!$L$5-0.000000001,E648&lt;=01_因子設定!$M$5+0.000000001,F648&gt;=01_因子設定!$L$6-0.000000001,F648&lt;=01_因子設定!$M$6+0.000000001,G648&gt;=01_因子設定!$L$7-0.000000001,G648&lt;=01_因子設定!$M$7+0.000000001,H648&gt;=01_因子設定!$L$8-0.000000001,H648&lt;=01_因子設定!$M$8+0.000000001,IF(01_因子設定!$B$20="Box-Behnken",E648^2+F648^2+G648^2+H648^2&lt;=2+0.000000001,TRUE()))</f>
        <v>1</v>
      </c>
      <c r="AD648" s="55" t="n">
        <f aca="false">IF(AC648,IF(01_因子設定!$B$13="最大化",AA648-01_因子設定!$B$14,IF(01_因子設定!$B$13="最小化",01_因子設定!$B$15-AB648,MIN(AA648-01_因子設定!$B$14,01_因子設定!$B$15-AB648))),-1E+030)</f>
        <v>-4.39281061739343</v>
      </c>
      <c r="AE648" s="55" t="n">
        <f aca="false">IF(AC648,IF(01_因子設定!$B$13="最大化",X648,IF(01_因子設定!$B$13="最小化",-X648,-ABS(X648-01_因子設定!$B$16))),-1E+030)</f>
        <v>43.7795869883041</v>
      </c>
      <c r="AF648" s="55" t="n">
        <f aca="false">AD648+ROW()*0.000000001</f>
        <v>-4.39280996939343</v>
      </c>
      <c r="AG648" s="55" t="n">
        <f aca="false">AE648+ROW()*0.000000001</f>
        <v>43.7795876363041</v>
      </c>
    </row>
    <row r="649" customFormat="false" ht="15" hidden="false" customHeight="false" outlineLevel="0" collapsed="false">
      <c r="A649" s="0" t="n">
        <v>0</v>
      </c>
      <c r="B649" s="0" t="n">
        <v>7</v>
      </c>
      <c r="C649" s="0" t="n">
        <v>8</v>
      </c>
      <c r="D649" s="0" t="n">
        <v>5</v>
      </c>
      <c r="E649" s="0" t="n">
        <f aca="false">-1+A649*0.25</f>
        <v>-1</v>
      </c>
      <c r="F649" s="0" t="n">
        <f aca="false">-1+B649*0.25</f>
        <v>0.75</v>
      </c>
      <c r="G649" s="0" t="n">
        <f aca="false">-1+C649*0.25</f>
        <v>1</v>
      </c>
      <c r="H649" s="0" t="n">
        <f aca="false">-1+D649*0.25</f>
        <v>0.25</v>
      </c>
      <c r="I649" s="0" t="n">
        <f aca="false">1</f>
        <v>1</v>
      </c>
      <c r="J649" s="0" t="n">
        <f aca="false">E649</f>
        <v>-1</v>
      </c>
      <c r="K649" s="0" t="n">
        <f aca="false">F649</f>
        <v>0.75</v>
      </c>
      <c r="L649" s="0" t="n">
        <f aca="false">G649</f>
        <v>1</v>
      </c>
      <c r="M649" s="0" t="n">
        <f aca="false">H649</f>
        <v>0.25</v>
      </c>
      <c r="N649" s="0" t="n">
        <f aca="false">E649*F649</f>
        <v>-0.75</v>
      </c>
      <c r="O649" s="0" t="n">
        <f aca="false">E649*G649</f>
        <v>-1</v>
      </c>
      <c r="P649" s="0" t="n">
        <f aca="false">E649*H649</f>
        <v>-0.25</v>
      </c>
      <c r="Q649" s="0" t="n">
        <f aca="false">F649*G649</f>
        <v>0.75</v>
      </c>
      <c r="R649" s="0" t="n">
        <f aca="false">F649*H649</f>
        <v>0.1875</v>
      </c>
      <c r="S649" s="0" t="n">
        <f aca="false">G649*H649</f>
        <v>0.25</v>
      </c>
      <c r="T649" s="0" t="n">
        <f aca="false">E649*E649</f>
        <v>1</v>
      </c>
      <c r="U649" s="0" t="n">
        <f aca="false">F649*F649</f>
        <v>0.5625</v>
      </c>
      <c r="V649" s="0" t="n">
        <f aca="false">G649*G649</f>
        <v>1</v>
      </c>
      <c r="W649" s="0" t="n">
        <f aca="false">H649*H649</f>
        <v>0.0625</v>
      </c>
      <c r="X649" s="0" t="n">
        <f aca="false">SUMPRODUCT(I649:W649,_XtX!$B$96:$P$96)</f>
        <v>43.8578536184211</v>
      </c>
      <c r="Y649" s="0" t="n">
        <f aca="false">SUMPRODUCT(MMULT(I649:W649,_XtX!$B$78:$P$92),I649:W649)</f>
        <v>0.621372155975877</v>
      </c>
      <c r="Z649" s="0" t="n">
        <f aca="false">04_回帰ANOVA!$K$19*04_回帰ANOVA!$K$14*SQRT(1+Y649)</f>
        <v>1.65973880499872</v>
      </c>
      <c r="AA649" s="0" t="n">
        <f aca="false">X649-Z649</f>
        <v>42.1981148134224</v>
      </c>
      <c r="AB649" s="0" t="n">
        <f aca="false">X649+Z649</f>
        <v>45.5175924234198</v>
      </c>
      <c r="AC649" s="54" t="b">
        <f aca="false">AND(E649&gt;=01_因子設定!$L$5-0.000000001,E649&lt;=01_因子設定!$M$5+0.000000001,F649&gt;=01_因子設定!$L$6-0.000000001,F649&lt;=01_因子設定!$M$6+0.000000001,G649&gt;=01_因子設定!$L$7-0.000000001,G649&lt;=01_因子設定!$M$7+0.000000001,H649&gt;=01_因子設定!$L$8-0.000000001,H649&lt;=01_因子設定!$M$8+0.000000001,IF(01_因子設定!$B$20="Box-Behnken",E649^2+F649^2+G649^2+H649^2&lt;=2+0.000000001,TRUE()))</f>
        <v>1</v>
      </c>
      <c r="AD649" s="55" t="n">
        <f aca="false">IF(AC649,IF(01_因子設定!$B$13="最大化",AA649-01_因子設定!$B$14,IF(01_因子設定!$B$13="最小化",01_因子設定!$B$15-AB649,MIN(AA649-01_因子設定!$B$14,01_因子設定!$B$15-AB649))),-1E+030)</f>
        <v>-4.30188518657764</v>
      </c>
      <c r="AE649" s="55" t="n">
        <f aca="false">IF(AC649,IF(01_因子設定!$B$13="最大化",X649,IF(01_因子設定!$B$13="最小化",-X649,-ABS(X649-01_因子設定!$B$16))),-1E+030)</f>
        <v>43.8578536184211</v>
      </c>
      <c r="AF649" s="55" t="n">
        <f aca="false">AD649+ROW()*0.000000001</f>
        <v>-4.30188453757764</v>
      </c>
      <c r="AG649" s="55" t="n">
        <f aca="false">AE649+ROW()*0.000000001</f>
        <v>43.8578542674211</v>
      </c>
    </row>
    <row r="650" customFormat="false" ht="15" hidden="false" customHeight="false" outlineLevel="0" collapsed="false">
      <c r="A650" s="0" t="n">
        <v>0</v>
      </c>
      <c r="B650" s="0" t="n">
        <v>7</v>
      </c>
      <c r="C650" s="0" t="n">
        <v>8</v>
      </c>
      <c r="D650" s="0" t="n">
        <v>6</v>
      </c>
      <c r="E650" s="0" t="n">
        <f aca="false">-1+A650*0.25</f>
        <v>-1</v>
      </c>
      <c r="F650" s="0" t="n">
        <f aca="false">-1+B650*0.25</f>
        <v>0.75</v>
      </c>
      <c r="G650" s="0" t="n">
        <f aca="false">-1+C650*0.25</f>
        <v>1</v>
      </c>
      <c r="H650" s="0" t="n">
        <f aca="false">-1+D650*0.25</f>
        <v>0.5</v>
      </c>
      <c r="I650" s="0" t="n">
        <f aca="false">1</f>
        <v>1</v>
      </c>
      <c r="J650" s="0" t="n">
        <f aca="false">E650</f>
        <v>-1</v>
      </c>
      <c r="K650" s="0" t="n">
        <f aca="false">F650</f>
        <v>0.75</v>
      </c>
      <c r="L650" s="0" t="n">
        <f aca="false">G650</f>
        <v>1</v>
      </c>
      <c r="M650" s="0" t="n">
        <f aca="false">H650</f>
        <v>0.5</v>
      </c>
      <c r="N650" s="0" t="n">
        <f aca="false">E650*F650</f>
        <v>-0.75</v>
      </c>
      <c r="O650" s="0" t="n">
        <f aca="false">E650*G650</f>
        <v>-1</v>
      </c>
      <c r="P650" s="0" t="n">
        <f aca="false">E650*H650</f>
        <v>-0.5</v>
      </c>
      <c r="Q650" s="0" t="n">
        <f aca="false">F650*G650</f>
        <v>0.75</v>
      </c>
      <c r="R650" s="0" t="n">
        <f aca="false">F650*H650</f>
        <v>0.375</v>
      </c>
      <c r="S650" s="0" t="n">
        <f aca="false">G650*H650</f>
        <v>0.5</v>
      </c>
      <c r="T650" s="0" t="n">
        <f aca="false">E650*E650</f>
        <v>1</v>
      </c>
      <c r="U650" s="0" t="n">
        <f aca="false">F650*F650</f>
        <v>0.5625</v>
      </c>
      <c r="V650" s="0" t="n">
        <f aca="false">G650*G650</f>
        <v>1</v>
      </c>
      <c r="W650" s="0" t="n">
        <f aca="false">H650*H650</f>
        <v>0.25</v>
      </c>
      <c r="X650" s="0" t="n">
        <f aca="false">SUMPRODUCT(I650:W650,_XtX!$B$96:$P$96)</f>
        <v>43.8883132309942</v>
      </c>
      <c r="Y650" s="0" t="n">
        <f aca="false">SUMPRODUCT(MMULT(I650:W650,_XtX!$B$78:$P$92),I650:W650)</f>
        <v>0.564984237938597</v>
      </c>
      <c r="Z650" s="0" t="n">
        <f aca="false">04_回帰ANOVA!$K$19*04_回帰ANOVA!$K$14*SQRT(1+Y650)</f>
        <v>1.63062229734503</v>
      </c>
      <c r="AA650" s="0" t="n">
        <f aca="false">X650-Z650</f>
        <v>42.2576909336492</v>
      </c>
      <c r="AB650" s="0" t="n">
        <f aca="false">X650+Z650</f>
        <v>45.5189355283392</v>
      </c>
      <c r="AC650" s="54" t="b">
        <f aca="false">AND(E650&gt;=01_因子設定!$L$5-0.000000001,E650&lt;=01_因子設定!$M$5+0.000000001,F650&gt;=01_因子設定!$L$6-0.000000001,F650&lt;=01_因子設定!$M$6+0.000000001,G650&gt;=01_因子設定!$L$7-0.000000001,G650&lt;=01_因子設定!$M$7+0.000000001,H650&gt;=01_因子設定!$L$8-0.000000001,H650&lt;=01_因子設定!$M$8+0.000000001,IF(01_因子設定!$B$20="Box-Behnken",E650^2+F650^2+G650^2+H650^2&lt;=2+0.000000001,TRUE()))</f>
        <v>1</v>
      </c>
      <c r="AD650" s="55" t="n">
        <f aca="false">IF(AC650,IF(01_因子設定!$B$13="最大化",AA650-01_因子設定!$B$14,IF(01_因子設定!$B$13="最小化",01_因子設定!$B$15-AB650,MIN(AA650-01_因子設定!$B$14,01_因子設定!$B$15-AB650))),-1E+030)</f>
        <v>-4.24230906635084</v>
      </c>
      <c r="AE650" s="55" t="n">
        <f aca="false">IF(AC650,IF(01_因子設定!$B$13="最大化",X650,IF(01_因子設定!$B$13="最小化",-X650,-ABS(X650-01_因子設定!$B$16))),-1E+030)</f>
        <v>43.8883132309942</v>
      </c>
      <c r="AF650" s="55" t="n">
        <f aca="false">AD650+ROW()*0.000000001</f>
        <v>-4.24230841635084</v>
      </c>
      <c r="AG650" s="55" t="n">
        <f aca="false">AE650+ROW()*0.000000001</f>
        <v>43.8883138809942</v>
      </c>
    </row>
    <row r="651" customFormat="false" ht="15" hidden="false" customHeight="false" outlineLevel="0" collapsed="false">
      <c r="A651" s="0" t="n">
        <v>0</v>
      </c>
      <c r="B651" s="0" t="n">
        <v>7</v>
      </c>
      <c r="C651" s="0" t="n">
        <v>8</v>
      </c>
      <c r="D651" s="0" t="n">
        <v>7</v>
      </c>
      <c r="E651" s="0" t="n">
        <f aca="false">-1+A651*0.25</f>
        <v>-1</v>
      </c>
      <c r="F651" s="0" t="n">
        <f aca="false">-1+B651*0.25</f>
        <v>0.75</v>
      </c>
      <c r="G651" s="0" t="n">
        <f aca="false">-1+C651*0.25</f>
        <v>1</v>
      </c>
      <c r="H651" s="0" t="n">
        <f aca="false">-1+D651*0.25</f>
        <v>0.75</v>
      </c>
      <c r="I651" s="0" t="n">
        <f aca="false">1</f>
        <v>1</v>
      </c>
      <c r="J651" s="0" t="n">
        <f aca="false">E651</f>
        <v>-1</v>
      </c>
      <c r="K651" s="0" t="n">
        <f aca="false">F651</f>
        <v>0.75</v>
      </c>
      <c r="L651" s="0" t="n">
        <f aca="false">G651</f>
        <v>1</v>
      </c>
      <c r="M651" s="0" t="n">
        <f aca="false">H651</f>
        <v>0.75</v>
      </c>
      <c r="N651" s="0" t="n">
        <f aca="false">E651*F651</f>
        <v>-0.75</v>
      </c>
      <c r="O651" s="0" t="n">
        <f aca="false">E651*G651</f>
        <v>-1</v>
      </c>
      <c r="P651" s="0" t="n">
        <f aca="false">E651*H651</f>
        <v>-0.75</v>
      </c>
      <c r="Q651" s="0" t="n">
        <f aca="false">F651*G651</f>
        <v>0.75</v>
      </c>
      <c r="R651" s="0" t="n">
        <f aca="false">F651*H651</f>
        <v>0.5625</v>
      </c>
      <c r="S651" s="0" t="n">
        <f aca="false">G651*H651</f>
        <v>0.75</v>
      </c>
      <c r="T651" s="0" t="n">
        <f aca="false">E651*E651</f>
        <v>1</v>
      </c>
      <c r="U651" s="0" t="n">
        <f aca="false">F651*F651</f>
        <v>0.5625</v>
      </c>
      <c r="V651" s="0" t="n">
        <f aca="false">G651*G651</f>
        <v>1</v>
      </c>
      <c r="W651" s="0" t="n">
        <f aca="false">H651*H651</f>
        <v>0.5625</v>
      </c>
      <c r="X651" s="0" t="n">
        <f aca="false">SUMPRODUCT(I651:W651,_XtX!$B$96:$P$96)</f>
        <v>43.8709658260234</v>
      </c>
      <c r="Y651" s="0" t="n">
        <f aca="false">SUMPRODUCT(MMULT(I651:W651,_XtX!$B$78:$P$92),I651:W651)</f>
        <v>0.531311392086988</v>
      </c>
      <c r="Z651" s="0" t="n">
        <f aca="false">04_回帰ANOVA!$K$19*04_回帰ANOVA!$K$14*SQRT(1+Y651)</f>
        <v>1.61298433431428</v>
      </c>
      <c r="AA651" s="0" t="n">
        <f aca="false">X651-Z651</f>
        <v>42.2579814917092</v>
      </c>
      <c r="AB651" s="0" t="n">
        <f aca="false">X651+Z651</f>
        <v>45.4839501603377</v>
      </c>
      <c r="AC651" s="54" t="b">
        <f aca="false">AND(E651&gt;=01_因子設定!$L$5-0.000000001,E651&lt;=01_因子設定!$M$5+0.000000001,F651&gt;=01_因子設定!$L$6-0.000000001,F651&lt;=01_因子設定!$M$6+0.000000001,G651&gt;=01_因子設定!$L$7-0.000000001,G651&lt;=01_因子設定!$M$7+0.000000001,H651&gt;=01_因子設定!$L$8-0.000000001,H651&lt;=01_因子設定!$M$8+0.000000001,IF(01_因子設定!$B$20="Box-Behnken",E651^2+F651^2+G651^2+H651^2&lt;=2+0.000000001,TRUE()))</f>
        <v>1</v>
      </c>
      <c r="AD651" s="55" t="n">
        <f aca="false">IF(AC651,IF(01_因子設定!$B$13="最大化",AA651-01_因子設定!$B$14,IF(01_因子設定!$B$13="最小化",01_因子設定!$B$15-AB651,MIN(AA651-01_因子設定!$B$14,01_因子設定!$B$15-AB651))),-1E+030)</f>
        <v>-4.24201850829084</v>
      </c>
      <c r="AE651" s="55" t="n">
        <f aca="false">IF(AC651,IF(01_因子設定!$B$13="最大化",X651,IF(01_因子設定!$B$13="最小化",-X651,-ABS(X651-01_因子設定!$B$16))),-1E+030)</f>
        <v>43.8709658260234</v>
      </c>
      <c r="AF651" s="55" t="n">
        <f aca="false">AD651+ROW()*0.000000001</f>
        <v>-4.24201785729084</v>
      </c>
      <c r="AG651" s="55" t="n">
        <f aca="false">AE651+ROW()*0.000000001</f>
        <v>43.8709664770234</v>
      </c>
    </row>
    <row r="652" customFormat="false" ht="15" hidden="false" customHeight="false" outlineLevel="0" collapsed="false">
      <c r="A652" s="0" t="n">
        <v>0</v>
      </c>
      <c r="B652" s="0" t="n">
        <v>7</v>
      </c>
      <c r="C652" s="0" t="n">
        <v>8</v>
      </c>
      <c r="D652" s="0" t="n">
        <v>8</v>
      </c>
      <c r="E652" s="0" t="n">
        <f aca="false">-1+A652*0.25</f>
        <v>-1</v>
      </c>
      <c r="F652" s="0" t="n">
        <f aca="false">-1+B652*0.25</f>
        <v>0.75</v>
      </c>
      <c r="G652" s="0" t="n">
        <f aca="false">-1+C652*0.25</f>
        <v>1</v>
      </c>
      <c r="H652" s="0" t="n">
        <f aca="false">-1+D652*0.25</f>
        <v>1</v>
      </c>
      <c r="I652" s="0" t="n">
        <f aca="false">1</f>
        <v>1</v>
      </c>
      <c r="J652" s="0" t="n">
        <f aca="false">E652</f>
        <v>-1</v>
      </c>
      <c r="K652" s="0" t="n">
        <f aca="false">F652</f>
        <v>0.75</v>
      </c>
      <c r="L652" s="0" t="n">
        <f aca="false">G652</f>
        <v>1</v>
      </c>
      <c r="M652" s="0" t="n">
        <f aca="false">H652</f>
        <v>1</v>
      </c>
      <c r="N652" s="0" t="n">
        <f aca="false">E652*F652</f>
        <v>-0.75</v>
      </c>
      <c r="O652" s="0" t="n">
        <f aca="false">E652*G652</f>
        <v>-1</v>
      </c>
      <c r="P652" s="0" t="n">
        <f aca="false">E652*H652</f>
        <v>-1</v>
      </c>
      <c r="Q652" s="0" t="n">
        <f aca="false">F652*G652</f>
        <v>0.75</v>
      </c>
      <c r="R652" s="0" t="n">
        <f aca="false">F652*H652</f>
        <v>0.75</v>
      </c>
      <c r="S652" s="0" t="n">
        <f aca="false">G652*H652</f>
        <v>1</v>
      </c>
      <c r="T652" s="0" t="n">
        <f aca="false">E652*E652</f>
        <v>1</v>
      </c>
      <c r="U652" s="0" t="n">
        <f aca="false">F652*F652</f>
        <v>0.5625</v>
      </c>
      <c r="V652" s="0" t="n">
        <f aca="false">G652*G652</f>
        <v>1</v>
      </c>
      <c r="W652" s="0" t="n">
        <f aca="false">H652*H652</f>
        <v>1</v>
      </c>
      <c r="X652" s="0" t="n">
        <f aca="false">SUMPRODUCT(I652:W652,_XtX!$B$96:$P$96)</f>
        <v>43.8058114035088</v>
      </c>
      <c r="Y652" s="0" t="n">
        <f aca="false">SUMPRODUCT(MMULT(I652:W652,_XtX!$B$78:$P$92),I652:W652)</f>
        <v>0.610814144736842</v>
      </c>
      <c r="Z652" s="0" t="n">
        <f aca="false">04_回帰ANOVA!$K$19*04_回帰ANOVA!$K$14*SQRT(1+Y652)</f>
        <v>1.6543260558361</v>
      </c>
      <c r="AA652" s="0" t="n">
        <f aca="false">X652-Z652</f>
        <v>42.1514853476728</v>
      </c>
      <c r="AB652" s="0" t="n">
        <f aca="false">X652+Z652</f>
        <v>45.4601374593449</v>
      </c>
      <c r="AC652" s="54" t="b">
        <f aca="false">AND(E652&gt;=01_因子設定!$L$5-0.000000001,E652&lt;=01_因子設定!$M$5+0.000000001,F652&gt;=01_因子設定!$L$6-0.000000001,F652&lt;=01_因子設定!$M$6+0.000000001,G652&gt;=01_因子設定!$L$7-0.000000001,G652&lt;=01_因子設定!$M$7+0.000000001,H652&gt;=01_因子設定!$L$8-0.000000001,H652&lt;=01_因子設定!$M$8+0.000000001,IF(01_因子設定!$B$20="Box-Behnken",E652^2+F652^2+G652^2+H652^2&lt;=2+0.000000001,TRUE()))</f>
        <v>1</v>
      </c>
      <c r="AD652" s="55" t="n">
        <f aca="false">IF(AC652,IF(01_因子設定!$B$13="最大化",AA652-01_因子設定!$B$14,IF(01_因子設定!$B$13="最小化",01_因子設定!$B$15-AB652,MIN(AA652-01_因子設定!$B$14,01_因子設定!$B$15-AB652))),-1E+030)</f>
        <v>-4.34851465232725</v>
      </c>
      <c r="AE652" s="55" t="n">
        <f aca="false">IF(AC652,IF(01_因子設定!$B$13="最大化",X652,IF(01_因子設定!$B$13="最小化",-X652,-ABS(X652-01_因子設定!$B$16))),-1E+030)</f>
        <v>43.8058114035088</v>
      </c>
      <c r="AF652" s="55" t="n">
        <f aca="false">AD652+ROW()*0.000000001</f>
        <v>-4.34851400032725</v>
      </c>
      <c r="AG652" s="55" t="n">
        <f aca="false">AE652+ROW()*0.000000001</f>
        <v>43.8058120555088</v>
      </c>
    </row>
    <row r="653" customFormat="false" ht="15" hidden="false" customHeight="false" outlineLevel="0" collapsed="false">
      <c r="A653" s="0" t="n">
        <v>0</v>
      </c>
      <c r="B653" s="0" t="n">
        <v>8</v>
      </c>
      <c r="C653" s="0" t="n">
        <v>0</v>
      </c>
      <c r="D653" s="0" t="n">
        <v>0</v>
      </c>
      <c r="E653" s="0" t="n">
        <f aca="false">-1+A653*0.25</f>
        <v>-1</v>
      </c>
      <c r="F653" s="0" t="n">
        <f aca="false">-1+B653*0.25</f>
        <v>1</v>
      </c>
      <c r="G653" s="0" t="n">
        <f aca="false">-1+C653*0.25</f>
        <v>-1</v>
      </c>
      <c r="H653" s="0" t="n">
        <f aca="false">-1+D653*0.25</f>
        <v>-1</v>
      </c>
      <c r="I653" s="0" t="n">
        <f aca="false">1</f>
        <v>1</v>
      </c>
      <c r="J653" s="0" t="n">
        <f aca="false">E653</f>
        <v>-1</v>
      </c>
      <c r="K653" s="0" t="n">
        <f aca="false">F653</f>
        <v>1</v>
      </c>
      <c r="L653" s="0" t="n">
        <f aca="false">G653</f>
        <v>-1</v>
      </c>
      <c r="M653" s="0" t="n">
        <f aca="false">H653</f>
        <v>-1</v>
      </c>
      <c r="N653" s="0" t="n">
        <f aca="false">E653*F653</f>
        <v>-1</v>
      </c>
      <c r="O653" s="0" t="n">
        <f aca="false">E653*G653</f>
        <v>1</v>
      </c>
      <c r="P653" s="0" t="n">
        <f aca="false">E653*H653</f>
        <v>1</v>
      </c>
      <c r="Q653" s="0" t="n">
        <f aca="false">F653*G653</f>
        <v>-1</v>
      </c>
      <c r="R653" s="0" t="n">
        <f aca="false">F653*H653</f>
        <v>-1</v>
      </c>
      <c r="S653" s="0" t="n">
        <f aca="false">G653*H653</f>
        <v>1</v>
      </c>
      <c r="T653" s="0" t="n">
        <f aca="false">E653*E653</f>
        <v>1</v>
      </c>
      <c r="U653" s="0" t="n">
        <f aca="false">F653*F653</f>
        <v>1</v>
      </c>
      <c r="V653" s="0" t="n">
        <f aca="false">G653*G653</f>
        <v>1</v>
      </c>
      <c r="W653" s="0" t="n">
        <f aca="false">H653*H653</f>
        <v>1</v>
      </c>
      <c r="X653" s="0" t="n">
        <f aca="false">SUMPRODUCT(I653:W653,_XtX!$B$96:$P$96)</f>
        <v>38.9155701754387</v>
      </c>
      <c r="Y653" s="0" t="n">
        <f aca="false">SUMPRODUCT(MMULT(I653:W653,_XtX!$B$78:$P$92),I653:W653)</f>
        <v>0.658625730994152</v>
      </c>
      <c r="Z653" s="0" t="n">
        <f aca="false">04_回帰ANOVA!$K$19*04_回帰ANOVA!$K$14*SQRT(1+Y653)</f>
        <v>1.67869807328422</v>
      </c>
      <c r="AA653" s="0" t="n">
        <f aca="false">X653-Z653</f>
        <v>37.2368721021544</v>
      </c>
      <c r="AB653" s="0" t="n">
        <f aca="false">X653+Z653</f>
        <v>40.5942682487229</v>
      </c>
      <c r="AC653" s="54" t="b">
        <f aca="false">AND(E653&gt;=01_因子設定!$L$5-0.000000001,E653&lt;=01_因子設定!$M$5+0.000000001,F653&gt;=01_因子設定!$L$6-0.000000001,F653&lt;=01_因子設定!$M$6+0.000000001,G653&gt;=01_因子設定!$L$7-0.000000001,G653&lt;=01_因子設定!$M$7+0.000000001,H653&gt;=01_因子設定!$L$8-0.000000001,H653&lt;=01_因子設定!$M$8+0.000000001,IF(01_因子設定!$B$20="Box-Behnken",E653^2+F653^2+G653^2+H653^2&lt;=2+0.000000001,TRUE()))</f>
        <v>1</v>
      </c>
      <c r="AD653" s="55" t="n">
        <f aca="false">IF(AC653,IF(01_因子設定!$B$13="最大化",AA653-01_因子設定!$B$14,IF(01_因子設定!$B$13="最小化",01_因子設定!$B$15-AB653,MIN(AA653-01_因子設定!$B$14,01_因子設定!$B$15-AB653))),-1E+030)</f>
        <v>-9.26312789784556</v>
      </c>
      <c r="AE653" s="55" t="n">
        <f aca="false">IF(AC653,IF(01_因子設定!$B$13="最大化",X653,IF(01_因子設定!$B$13="最小化",-X653,-ABS(X653-01_因子設定!$B$16))),-1E+030)</f>
        <v>38.9155701754387</v>
      </c>
      <c r="AF653" s="55" t="n">
        <f aca="false">AD653+ROW()*0.000000001</f>
        <v>-9.26312724484556</v>
      </c>
      <c r="AG653" s="55" t="n">
        <f aca="false">AE653+ROW()*0.000000001</f>
        <v>38.9155708284387</v>
      </c>
    </row>
    <row r="654" customFormat="false" ht="15" hidden="false" customHeight="false" outlineLevel="0" collapsed="false">
      <c r="A654" s="0" t="n">
        <v>0</v>
      </c>
      <c r="B654" s="0" t="n">
        <v>8</v>
      </c>
      <c r="C654" s="0" t="n">
        <v>0</v>
      </c>
      <c r="D654" s="0" t="n">
        <v>1</v>
      </c>
      <c r="E654" s="0" t="n">
        <f aca="false">-1+A654*0.25</f>
        <v>-1</v>
      </c>
      <c r="F654" s="0" t="n">
        <f aca="false">-1+B654*0.25</f>
        <v>1</v>
      </c>
      <c r="G654" s="0" t="n">
        <f aca="false">-1+C654*0.25</f>
        <v>-1</v>
      </c>
      <c r="H654" s="0" t="n">
        <f aca="false">-1+D654*0.25</f>
        <v>-0.75</v>
      </c>
      <c r="I654" s="0" t="n">
        <f aca="false">1</f>
        <v>1</v>
      </c>
      <c r="J654" s="0" t="n">
        <f aca="false">E654</f>
        <v>-1</v>
      </c>
      <c r="K654" s="0" t="n">
        <f aca="false">F654</f>
        <v>1</v>
      </c>
      <c r="L654" s="0" t="n">
        <f aca="false">G654</f>
        <v>-1</v>
      </c>
      <c r="M654" s="0" t="n">
        <f aca="false">H654</f>
        <v>-0.75</v>
      </c>
      <c r="N654" s="0" t="n">
        <f aca="false">E654*F654</f>
        <v>-1</v>
      </c>
      <c r="O654" s="0" t="n">
        <f aca="false">E654*G654</f>
        <v>1</v>
      </c>
      <c r="P654" s="0" t="n">
        <f aca="false">E654*H654</f>
        <v>0.75</v>
      </c>
      <c r="Q654" s="0" t="n">
        <f aca="false">F654*G654</f>
        <v>-1</v>
      </c>
      <c r="R654" s="0" t="n">
        <f aca="false">F654*H654</f>
        <v>-0.75</v>
      </c>
      <c r="S654" s="0" t="n">
        <f aca="false">G654*H654</f>
        <v>0.75</v>
      </c>
      <c r="T654" s="0" t="n">
        <f aca="false">E654*E654</f>
        <v>1</v>
      </c>
      <c r="U654" s="0" t="n">
        <f aca="false">F654*F654</f>
        <v>1</v>
      </c>
      <c r="V654" s="0" t="n">
        <f aca="false">G654*G654</f>
        <v>1</v>
      </c>
      <c r="W654" s="0" t="n">
        <f aca="false">H654*H654</f>
        <v>0.5625</v>
      </c>
      <c r="X654" s="0" t="n">
        <f aca="false">SUMPRODUCT(I654:W654,_XtX!$B$96:$P$96)</f>
        <v>39.0280336257311</v>
      </c>
      <c r="Y654" s="0" t="n">
        <f aca="false">SUMPRODUCT(MMULT(I654:W654,_XtX!$B$78:$P$92),I654:W654)</f>
        <v>0.610814144736842</v>
      </c>
      <c r="Z654" s="0" t="n">
        <f aca="false">04_回帰ANOVA!$K$19*04_回帰ANOVA!$K$14*SQRT(1+Y654)</f>
        <v>1.6543260558361</v>
      </c>
      <c r="AA654" s="0" t="n">
        <f aca="false">X654-Z654</f>
        <v>37.373707569895</v>
      </c>
      <c r="AB654" s="0" t="n">
        <f aca="false">X654+Z654</f>
        <v>40.6823596815671</v>
      </c>
      <c r="AC654" s="54" t="b">
        <f aca="false">AND(E654&gt;=01_因子設定!$L$5-0.000000001,E654&lt;=01_因子設定!$M$5+0.000000001,F654&gt;=01_因子設定!$L$6-0.000000001,F654&lt;=01_因子設定!$M$6+0.000000001,G654&gt;=01_因子設定!$L$7-0.000000001,G654&lt;=01_因子設定!$M$7+0.000000001,H654&gt;=01_因子設定!$L$8-0.000000001,H654&lt;=01_因子設定!$M$8+0.000000001,IF(01_因子設定!$B$20="Box-Behnken",E654^2+F654^2+G654^2+H654^2&lt;=2+0.000000001,TRUE()))</f>
        <v>1</v>
      </c>
      <c r="AD654" s="55" t="n">
        <f aca="false">IF(AC654,IF(01_因子設定!$B$13="最大化",AA654-01_因子設定!$B$14,IF(01_因子設定!$B$13="最小化",01_因子設定!$B$15-AB654,MIN(AA654-01_因子設定!$B$14,01_因子設定!$B$15-AB654))),-1E+030)</f>
        <v>-9.12629243010505</v>
      </c>
      <c r="AE654" s="55" t="n">
        <f aca="false">IF(AC654,IF(01_因子設定!$B$13="最大化",X654,IF(01_因子設定!$B$13="最小化",-X654,-ABS(X654-01_因子設定!$B$16))),-1E+030)</f>
        <v>39.0280336257311</v>
      </c>
      <c r="AF654" s="55" t="n">
        <f aca="false">AD654+ROW()*0.000000001</f>
        <v>-9.12629177610505</v>
      </c>
      <c r="AG654" s="55" t="n">
        <f aca="false">AE654+ROW()*0.000000001</f>
        <v>39.028034279731</v>
      </c>
    </row>
    <row r="655" customFormat="false" ht="15" hidden="false" customHeight="false" outlineLevel="0" collapsed="false">
      <c r="A655" s="0" t="n">
        <v>0</v>
      </c>
      <c r="B655" s="0" t="n">
        <v>8</v>
      </c>
      <c r="C655" s="0" t="n">
        <v>0</v>
      </c>
      <c r="D655" s="0" t="n">
        <v>2</v>
      </c>
      <c r="E655" s="0" t="n">
        <f aca="false">-1+A655*0.25</f>
        <v>-1</v>
      </c>
      <c r="F655" s="0" t="n">
        <f aca="false">-1+B655*0.25</f>
        <v>1</v>
      </c>
      <c r="G655" s="0" t="n">
        <f aca="false">-1+C655*0.25</f>
        <v>-1</v>
      </c>
      <c r="H655" s="0" t="n">
        <f aca="false">-1+D655*0.25</f>
        <v>-0.5</v>
      </c>
      <c r="I655" s="0" t="n">
        <f aca="false">1</f>
        <v>1</v>
      </c>
      <c r="J655" s="0" t="n">
        <f aca="false">E655</f>
        <v>-1</v>
      </c>
      <c r="K655" s="0" t="n">
        <f aca="false">F655</f>
        <v>1</v>
      </c>
      <c r="L655" s="0" t="n">
        <f aca="false">G655</f>
        <v>-1</v>
      </c>
      <c r="M655" s="0" t="n">
        <f aca="false">H655</f>
        <v>-0.5</v>
      </c>
      <c r="N655" s="0" t="n">
        <f aca="false">E655*F655</f>
        <v>-1</v>
      </c>
      <c r="O655" s="0" t="n">
        <f aca="false">E655*G655</f>
        <v>1</v>
      </c>
      <c r="P655" s="0" t="n">
        <f aca="false">E655*H655</f>
        <v>0.5</v>
      </c>
      <c r="Q655" s="0" t="n">
        <f aca="false">F655*G655</f>
        <v>-1</v>
      </c>
      <c r="R655" s="0" t="n">
        <f aca="false">F655*H655</f>
        <v>-0.5</v>
      </c>
      <c r="S655" s="0" t="n">
        <f aca="false">G655*H655</f>
        <v>0.5</v>
      </c>
      <c r="T655" s="0" t="n">
        <f aca="false">E655*E655</f>
        <v>1</v>
      </c>
      <c r="U655" s="0" t="n">
        <f aca="false">F655*F655</f>
        <v>1</v>
      </c>
      <c r="V655" s="0" t="n">
        <f aca="false">G655*G655</f>
        <v>1</v>
      </c>
      <c r="W655" s="0" t="n">
        <f aca="false">H655*H655</f>
        <v>0.25</v>
      </c>
      <c r="X655" s="0" t="n">
        <f aca="false">SUMPRODUCT(I655:W655,_XtX!$B$96:$P$96)</f>
        <v>39.0926900584796</v>
      </c>
      <c r="Y655" s="0" t="n">
        <f aca="false">SUMPRODUCT(MMULT(I655:W655,_XtX!$B$78:$P$92),I655:W655)</f>
        <v>0.667123538011696</v>
      </c>
      <c r="Z655" s="0" t="n">
        <f aca="false">04_回帰ANOVA!$K$19*04_回帰ANOVA!$K$14*SQRT(1+Y655)</f>
        <v>1.68299290213005</v>
      </c>
      <c r="AA655" s="0" t="n">
        <f aca="false">X655-Z655</f>
        <v>37.4096971563495</v>
      </c>
      <c r="AB655" s="0" t="n">
        <f aca="false">X655+Z655</f>
        <v>40.7756829606096</v>
      </c>
      <c r="AC655" s="54" t="b">
        <f aca="false">AND(E655&gt;=01_因子設定!$L$5-0.000000001,E655&lt;=01_因子設定!$M$5+0.000000001,F655&gt;=01_因子設定!$L$6-0.000000001,F655&lt;=01_因子設定!$M$6+0.000000001,G655&gt;=01_因子設定!$L$7-0.000000001,G655&lt;=01_因子設定!$M$7+0.000000001,H655&gt;=01_因子設定!$L$8-0.000000001,H655&lt;=01_因子設定!$M$8+0.000000001,IF(01_因子設定!$B$20="Box-Behnken",E655^2+F655^2+G655^2+H655^2&lt;=2+0.000000001,TRUE()))</f>
        <v>1</v>
      </c>
      <c r="AD655" s="55" t="n">
        <f aca="false">IF(AC655,IF(01_因子設定!$B$13="最大化",AA655-01_因子設定!$B$14,IF(01_因子設定!$B$13="最小化",01_因子設定!$B$15-AB655,MIN(AA655-01_因子設定!$B$14,01_因子設定!$B$15-AB655))),-1E+030)</f>
        <v>-9.09030284365048</v>
      </c>
      <c r="AE655" s="55" t="n">
        <f aca="false">IF(AC655,IF(01_因子設定!$B$13="最大化",X655,IF(01_因子設定!$B$13="最小化",-X655,-ABS(X655-01_因子設定!$B$16))),-1E+030)</f>
        <v>39.0926900584796</v>
      </c>
      <c r="AF655" s="55" t="n">
        <f aca="false">AD655+ROW()*0.000000001</f>
        <v>-9.09030218865049</v>
      </c>
      <c r="AG655" s="55" t="n">
        <f aca="false">AE655+ROW()*0.000000001</f>
        <v>39.0926907134796</v>
      </c>
    </row>
    <row r="656" customFormat="false" ht="15" hidden="false" customHeight="false" outlineLevel="0" collapsed="false">
      <c r="A656" s="0" t="n">
        <v>0</v>
      </c>
      <c r="B656" s="0" t="n">
        <v>8</v>
      </c>
      <c r="C656" s="0" t="n">
        <v>0</v>
      </c>
      <c r="D656" s="0" t="n">
        <v>3</v>
      </c>
      <c r="E656" s="0" t="n">
        <f aca="false">-1+A656*0.25</f>
        <v>-1</v>
      </c>
      <c r="F656" s="0" t="n">
        <f aca="false">-1+B656*0.25</f>
        <v>1</v>
      </c>
      <c r="G656" s="0" t="n">
        <f aca="false">-1+C656*0.25</f>
        <v>-1</v>
      </c>
      <c r="H656" s="0" t="n">
        <f aca="false">-1+D656*0.25</f>
        <v>-0.25</v>
      </c>
      <c r="I656" s="0" t="n">
        <f aca="false">1</f>
        <v>1</v>
      </c>
      <c r="J656" s="0" t="n">
        <f aca="false">E656</f>
        <v>-1</v>
      </c>
      <c r="K656" s="0" t="n">
        <f aca="false">F656</f>
        <v>1</v>
      </c>
      <c r="L656" s="0" t="n">
        <f aca="false">G656</f>
        <v>-1</v>
      </c>
      <c r="M656" s="0" t="n">
        <f aca="false">H656</f>
        <v>-0.25</v>
      </c>
      <c r="N656" s="0" t="n">
        <f aca="false">E656*F656</f>
        <v>-1</v>
      </c>
      <c r="O656" s="0" t="n">
        <f aca="false">E656*G656</f>
        <v>1</v>
      </c>
      <c r="P656" s="0" t="n">
        <f aca="false">E656*H656</f>
        <v>0.25</v>
      </c>
      <c r="Q656" s="0" t="n">
        <f aca="false">F656*G656</f>
        <v>-1</v>
      </c>
      <c r="R656" s="0" t="n">
        <f aca="false">F656*H656</f>
        <v>-0.25</v>
      </c>
      <c r="S656" s="0" t="n">
        <f aca="false">G656*H656</f>
        <v>0.25</v>
      </c>
      <c r="T656" s="0" t="n">
        <f aca="false">E656*E656</f>
        <v>1</v>
      </c>
      <c r="U656" s="0" t="n">
        <f aca="false">F656*F656</f>
        <v>1</v>
      </c>
      <c r="V656" s="0" t="n">
        <f aca="false">G656*G656</f>
        <v>1</v>
      </c>
      <c r="W656" s="0" t="n">
        <f aca="false">H656*H656</f>
        <v>0.0625</v>
      </c>
      <c r="X656" s="0" t="n">
        <f aca="false">SUMPRODUCT(I656:W656,_XtX!$B$96:$P$96)</f>
        <v>39.1095394736842</v>
      </c>
      <c r="Y656" s="0" t="n">
        <f aca="false">SUMPRODUCT(MMULT(I656:W656,_XtX!$B$78:$P$92),I656:W656)</f>
        <v>0.737093384502924</v>
      </c>
      <c r="Z656" s="0" t="n">
        <f aca="false">04_回帰ANOVA!$K$19*04_回帰ANOVA!$K$14*SQRT(1+Y656)</f>
        <v>1.71794784853551</v>
      </c>
      <c r="AA656" s="0" t="n">
        <f aca="false">X656-Z656</f>
        <v>37.3915916251487</v>
      </c>
      <c r="AB656" s="0" t="n">
        <f aca="false">X656+Z656</f>
        <v>40.8274873222197</v>
      </c>
      <c r="AC656" s="54" t="b">
        <f aca="false">AND(E656&gt;=01_因子設定!$L$5-0.000000001,E656&lt;=01_因子設定!$M$5+0.000000001,F656&gt;=01_因子設定!$L$6-0.000000001,F656&lt;=01_因子設定!$M$6+0.000000001,G656&gt;=01_因子設定!$L$7-0.000000001,G656&lt;=01_因子設定!$M$7+0.000000001,H656&gt;=01_因子設定!$L$8-0.000000001,H656&lt;=01_因子設定!$M$8+0.000000001,IF(01_因子設定!$B$20="Box-Behnken",E656^2+F656^2+G656^2+H656^2&lt;=2+0.000000001,TRUE()))</f>
        <v>1</v>
      </c>
      <c r="AD656" s="55" t="n">
        <f aca="false">IF(AC656,IF(01_因子設定!$B$13="最大化",AA656-01_因子設定!$B$14,IF(01_因子設定!$B$13="最小化",01_因子設定!$B$15-AB656,MIN(AA656-01_因子設定!$B$14,01_因子設定!$B$15-AB656))),-1E+030)</f>
        <v>-9.10840837485126</v>
      </c>
      <c r="AE656" s="55" t="n">
        <f aca="false">IF(AC656,IF(01_因子設定!$B$13="最大化",X656,IF(01_因子設定!$B$13="最小化",-X656,-ABS(X656-01_因子設定!$B$16))),-1E+030)</f>
        <v>39.1095394736842</v>
      </c>
      <c r="AF656" s="55" t="n">
        <f aca="false">AD656+ROW()*0.000000001</f>
        <v>-9.10840771885126</v>
      </c>
      <c r="AG656" s="55" t="n">
        <f aca="false">AE656+ROW()*0.000000001</f>
        <v>39.1095401296842</v>
      </c>
    </row>
    <row r="657" customFormat="false" ht="15" hidden="false" customHeight="false" outlineLevel="0" collapsed="false">
      <c r="A657" s="0" t="n">
        <v>0</v>
      </c>
      <c r="B657" s="0" t="n">
        <v>8</v>
      </c>
      <c r="C657" s="0" t="n">
        <v>0</v>
      </c>
      <c r="D657" s="0" t="n">
        <v>4</v>
      </c>
      <c r="E657" s="0" t="n">
        <f aca="false">-1+A657*0.25</f>
        <v>-1</v>
      </c>
      <c r="F657" s="0" t="n">
        <f aca="false">-1+B657*0.25</f>
        <v>1</v>
      </c>
      <c r="G657" s="0" t="n">
        <f aca="false">-1+C657*0.25</f>
        <v>-1</v>
      </c>
      <c r="H657" s="0" t="n">
        <f aca="false">-1+D657*0.25</f>
        <v>0</v>
      </c>
      <c r="I657" s="0" t="n">
        <f aca="false">1</f>
        <v>1</v>
      </c>
      <c r="J657" s="0" t="n">
        <f aca="false">E657</f>
        <v>-1</v>
      </c>
      <c r="K657" s="0" t="n">
        <f aca="false">F657</f>
        <v>1</v>
      </c>
      <c r="L657" s="0" t="n">
        <f aca="false">G657</f>
        <v>-1</v>
      </c>
      <c r="M657" s="0" t="n">
        <f aca="false">H657</f>
        <v>0</v>
      </c>
      <c r="N657" s="0" t="n">
        <f aca="false">E657*F657</f>
        <v>-1</v>
      </c>
      <c r="O657" s="0" t="n">
        <f aca="false">E657*G657</f>
        <v>1</v>
      </c>
      <c r="P657" s="0" t="n">
        <f aca="false">E657*H657</f>
        <v>-0</v>
      </c>
      <c r="Q657" s="0" t="n">
        <f aca="false">F657*G657</f>
        <v>-1</v>
      </c>
      <c r="R657" s="0" t="n">
        <f aca="false">F657*H657</f>
        <v>0</v>
      </c>
      <c r="S657" s="0" t="n">
        <f aca="false">G657*H657</f>
        <v>-0</v>
      </c>
      <c r="T657" s="0" t="n">
        <f aca="false">E657*E657</f>
        <v>1</v>
      </c>
      <c r="U657" s="0" t="n">
        <f aca="false">F657*F657</f>
        <v>1</v>
      </c>
      <c r="V657" s="0" t="n">
        <f aca="false">G657*G657</f>
        <v>1</v>
      </c>
      <c r="W657" s="0" t="n">
        <f aca="false">H657*H657</f>
        <v>0</v>
      </c>
      <c r="X657" s="0" t="n">
        <f aca="false">SUMPRODUCT(I657:W657,_XtX!$B$96:$P$96)</f>
        <v>39.0785818713451</v>
      </c>
      <c r="Y657" s="0" t="n">
        <f aca="false">SUMPRODUCT(MMULT(I657:W657,_XtX!$B$78:$P$92),I657:W657)</f>
        <v>0.766447368421053</v>
      </c>
      <c r="Z657" s="0" t="n">
        <f aca="false">04_回帰ANOVA!$K$19*04_回帰ANOVA!$K$14*SQRT(1+Y657)</f>
        <v>1.7324022685743</v>
      </c>
      <c r="AA657" s="0" t="n">
        <f aca="false">X657-Z657</f>
        <v>37.3461796027708</v>
      </c>
      <c r="AB657" s="0" t="n">
        <f aca="false">X657+Z657</f>
        <v>40.8109841399194</v>
      </c>
      <c r="AC657" s="54" t="b">
        <f aca="false">AND(E657&gt;=01_因子設定!$L$5-0.000000001,E657&lt;=01_因子設定!$M$5+0.000000001,F657&gt;=01_因子設定!$L$6-0.000000001,F657&lt;=01_因子設定!$M$6+0.000000001,G657&gt;=01_因子設定!$L$7-0.000000001,G657&lt;=01_因子設定!$M$7+0.000000001,H657&gt;=01_因子設定!$L$8-0.000000001,H657&lt;=01_因子設定!$M$8+0.000000001,IF(01_因子設定!$B$20="Box-Behnken",E657^2+F657^2+G657^2+H657^2&lt;=2+0.000000001,TRUE()))</f>
        <v>1</v>
      </c>
      <c r="AD657" s="55" t="n">
        <f aca="false">IF(AC657,IF(01_因子設定!$B$13="最大化",AA657-01_因子設定!$B$14,IF(01_因子設定!$B$13="最小化",01_因子設定!$B$15-AB657,MIN(AA657-01_因子設定!$B$14,01_因子設定!$B$15-AB657))),-1E+030)</f>
        <v>-9.15382039722925</v>
      </c>
      <c r="AE657" s="55" t="n">
        <f aca="false">IF(AC657,IF(01_因子設定!$B$13="最大化",X657,IF(01_因子設定!$B$13="最小化",-X657,-ABS(X657-01_因子設定!$B$16))),-1E+030)</f>
        <v>39.0785818713451</v>
      </c>
      <c r="AF657" s="55" t="n">
        <f aca="false">AD657+ROW()*0.000000001</f>
        <v>-9.15381974022925</v>
      </c>
      <c r="AG657" s="55" t="n">
        <f aca="false">AE657+ROW()*0.000000001</f>
        <v>39.0785825283451</v>
      </c>
    </row>
    <row r="658" customFormat="false" ht="15" hidden="false" customHeight="false" outlineLevel="0" collapsed="false">
      <c r="A658" s="0" t="n">
        <v>0</v>
      </c>
      <c r="B658" s="0" t="n">
        <v>8</v>
      </c>
      <c r="C658" s="0" t="n">
        <v>0</v>
      </c>
      <c r="D658" s="0" t="n">
        <v>5</v>
      </c>
      <c r="E658" s="0" t="n">
        <f aca="false">-1+A658*0.25</f>
        <v>-1</v>
      </c>
      <c r="F658" s="0" t="n">
        <f aca="false">-1+B658*0.25</f>
        <v>1</v>
      </c>
      <c r="G658" s="0" t="n">
        <f aca="false">-1+C658*0.25</f>
        <v>-1</v>
      </c>
      <c r="H658" s="0" t="n">
        <f aca="false">-1+D658*0.25</f>
        <v>0.25</v>
      </c>
      <c r="I658" s="0" t="n">
        <f aca="false">1</f>
        <v>1</v>
      </c>
      <c r="J658" s="0" t="n">
        <f aca="false">E658</f>
        <v>-1</v>
      </c>
      <c r="K658" s="0" t="n">
        <f aca="false">F658</f>
        <v>1</v>
      </c>
      <c r="L658" s="0" t="n">
        <f aca="false">G658</f>
        <v>-1</v>
      </c>
      <c r="M658" s="0" t="n">
        <f aca="false">H658</f>
        <v>0.25</v>
      </c>
      <c r="N658" s="0" t="n">
        <f aca="false">E658*F658</f>
        <v>-1</v>
      </c>
      <c r="O658" s="0" t="n">
        <f aca="false">E658*G658</f>
        <v>1</v>
      </c>
      <c r="P658" s="0" t="n">
        <f aca="false">E658*H658</f>
        <v>-0.25</v>
      </c>
      <c r="Q658" s="0" t="n">
        <f aca="false">F658*G658</f>
        <v>-1</v>
      </c>
      <c r="R658" s="0" t="n">
        <f aca="false">F658*H658</f>
        <v>0.25</v>
      </c>
      <c r="S658" s="0" t="n">
        <f aca="false">G658*H658</f>
        <v>-0.25</v>
      </c>
      <c r="T658" s="0" t="n">
        <f aca="false">E658*E658</f>
        <v>1</v>
      </c>
      <c r="U658" s="0" t="n">
        <f aca="false">F658*F658</f>
        <v>1</v>
      </c>
      <c r="V658" s="0" t="n">
        <f aca="false">G658*G658</f>
        <v>1</v>
      </c>
      <c r="W658" s="0" t="n">
        <f aca="false">H658*H658</f>
        <v>0.0625</v>
      </c>
      <c r="X658" s="0" t="n">
        <f aca="false">SUMPRODUCT(I658:W658,_XtX!$B$96:$P$96)</f>
        <v>38.999817251462</v>
      </c>
      <c r="Y658" s="0" t="n">
        <f aca="false">SUMPRODUCT(MMULT(I658:W658,_XtX!$B$78:$P$92),I658:W658)</f>
        <v>0.737093384502924</v>
      </c>
      <c r="Z658" s="0" t="n">
        <f aca="false">04_回帰ANOVA!$K$19*04_回帰ANOVA!$K$14*SQRT(1+Y658)</f>
        <v>1.71794784853551</v>
      </c>
      <c r="AA658" s="0" t="n">
        <f aca="false">X658-Z658</f>
        <v>37.2818694029265</v>
      </c>
      <c r="AB658" s="0" t="n">
        <f aca="false">X658+Z658</f>
        <v>40.7177650999975</v>
      </c>
      <c r="AC658" s="54" t="b">
        <f aca="false">AND(E658&gt;=01_因子設定!$L$5-0.000000001,E658&lt;=01_因子設定!$M$5+0.000000001,F658&gt;=01_因子設定!$L$6-0.000000001,F658&lt;=01_因子設定!$M$6+0.000000001,G658&gt;=01_因子設定!$L$7-0.000000001,G658&lt;=01_因子設定!$M$7+0.000000001,H658&gt;=01_因子設定!$L$8-0.000000001,H658&lt;=01_因子設定!$M$8+0.000000001,IF(01_因子設定!$B$20="Box-Behnken",E658^2+F658^2+G658^2+H658^2&lt;=2+0.000000001,TRUE()))</f>
        <v>1</v>
      </c>
      <c r="AD658" s="55" t="n">
        <f aca="false">IF(AC658,IF(01_因子設定!$B$13="最大化",AA658-01_因子設定!$B$14,IF(01_因子設定!$B$13="最小化",01_因子設定!$B$15-AB658,MIN(AA658-01_因子設定!$B$14,01_因子設定!$B$15-AB658))),-1E+030)</f>
        <v>-9.21813059707348</v>
      </c>
      <c r="AE658" s="55" t="n">
        <f aca="false">IF(AC658,IF(01_因子設定!$B$13="最大化",X658,IF(01_因子設定!$B$13="最小化",-X658,-ABS(X658-01_因子設定!$B$16))),-1E+030)</f>
        <v>38.999817251462</v>
      </c>
      <c r="AF658" s="55" t="n">
        <f aca="false">AD658+ROW()*0.000000001</f>
        <v>-9.21812993907348</v>
      </c>
      <c r="AG658" s="55" t="n">
        <f aca="false">AE658+ROW()*0.000000001</f>
        <v>38.999817909462</v>
      </c>
    </row>
    <row r="659" customFormat="false" ht="15" hidden="false" customHeight="false" outlineLevel="0" collapsed="false">
      <c r="A659" s="0" t="n">
        <v>0</v>
      </c>
      <c r="B659" s="0" t="n">
        <v>8</v>
      </c>
      <c r="C659" s="0" t="n">
        <v>0</v>
      </c>
      <c r="D659" s="0" t="n">
        <v>6</v>
      </c>
      <c r="E659" s="0" t="n">
        <f aca="false">-1+A659*0.25</f>
        <v>-1</v>
      </c>
      <c r="F659" s="0" t="n">
        <f aca="false">-1+B659*0.25</f>
        <v>1</v>
      </c>
      <c r="G659" s="0" t="n">
        <f aca="false">-1+C659*0.25</f>
        <v>-1</v>
      </c>
      <c r="H659" s="0" t="n">
        <f aca="false">-1+D659*0.25</f>
        <v>0.5</v>
      </c>
      <c r="I659" s="0" t="n">
        <f aca="false">1</f>
        <v>1</v>
      </c>
      <c r="J659" s="0" t="n">
        <f aca="false">E659</f>
        <v>-1</v>
      </c>
      <c r="K659" s="0" t="n">
        <f aca="false">F659</f>
        <v>1</v>
      </c>
      <c r="L659" s="0" t="n">
        <f aca="false">G659</f>
        <v>-1</v>
      </c>
      <c r="M659" s="0" t="n">
        <f aca="false">H659</f>
        <v>0.5</v>
      </c>
      <c r="N659" s="0" t="n">
        <f aca="false">E659*F659</f>
        <v>-1</v>
      </c>
      <c r="O659" s="0" t="n">
        <f aca="false">E659*G659</f>
        <v>1</v>
      </c>
      <c r="P659" s="0" t="n">
        <f aca="false">E659*H659</f>
        <v>-0.5</v>
      </c>
      <c r="Q659" s="0" t="n">
        <f aca="false">F659*G659</f>
        <v>-1</v>
      </c>
      <c r="R659" s="0" t="n">
        <f aca="false">F659*H659</f>
        <v>0.5</v>
      </c>
      <c r="S659" s="0" t="n">
        <f aca="false">G659*H659</f>
        <v>-0.5</v>
      </c>
      <c r="T659" s="0" t="n">
        <f aca="false">E659*E659</f>
        <v>1</v>
      </c>
      <c r="U659" s="0" t="n">
        <f aca="false">F659*F659</f>
        <v>1</v>
      </c>
      <c r="V659" s="0" t="n">
        <f aca="false">G659*G659</f>
        <v>1</v>
      </c>
      <c r="W659" s="0" t="n">
        <f aca="false">H659*H659</f>
        <v>0.25</v>
      </c>
      <c r="X659" s="0" t="n">
        <f aca="false">SUMPRODUCT(I659:W659,_XtX!$B$96:$P$96)</f>
        <v>38.8732456140351</v>
      </c>
      <c r="Y659" s="0" t="n">
        <f aca="false">SUMPRODUCT(MMULT(I659:W659,_XtX!$B$78:$P$92),I659:W659)</f>
        <v>0.667123538011696</v>
      </c>
      <c r="Z659" s="0" t="n">
        <f aca="false">04_回帰ANOVA!$K$19*04_回帰ANOVA!$K$14*SQRT(1+Y659)</f>
        <v>1.68299290213005</v>
      </c>
      <c r="AA659" s="0" t="n">
        <f aca="false">X659-Z659</f>
        <v>37.1902527119051</v>
      </c>
      <c r="AB659" s="0" t="n">
        <f aca="false">X659+Z659</f>
        <v>40.5562385161652</v>
      </c>
      <c r="AC659" s="54" t="b">
        <f aca="false">AND(E659&gt;=01_因子設定!$L$5-0.000000001,E659&lt;=01_因子設定!$M$5+0.000000001,F659&gt;=01_因子設定!$L$6-0.000000001,F659&lt;=01_因子設定!$M$6+0.000000001,G659&gt;=01_因子設定!$L$7-0.000000001,G659&lt;=01_因子設定!$M$7+0.000000001,H659&gt;=01_因子設定!$L$8-0.000000001,H659&lt;=01_因子設定!$M$8+0.000000001,IF(01_因子設定!$B$20="Box-Behnken",E659^2+F659^2+G659^2+H659^2&lt;=2+0.000000001,TRUE()))</f>
        <v>1</v>
      </c>
      <c r="AD659" s="55" t="n">
        <f aca="false">IF(AC659,IF(01_因子設定!$B$13="最大化",AA659-01_因子設定!$B$14,IF(01_因子設定!$B$13="最小化",01_因子設定!$B$15-AB659,MIN(AA659-01_因子設定!$B$14,01_因子設定!$B$15-AB659))),-1E+030)</f>
        <v>-9.30974728809493</v>
      </c>
      <c r="AE659" s="55" t="n">
        <f aca="false">IF(AC659,IF(01_因子設定!$B$13="最大化",X659,IF(01_因子設定!$B$13="最小化",-X659,-ABS(X659-01_因子設定!$B$16))),-1E+030)</f>
        <v>38.8732456140351</v>
      </c>
      <c r="AF659" s="55" t="n">
        <f aca="false">AD659+ROW()*0.000000001</f>
        <v>-9.30974662909493</v>
      </c>
      <c r="AG659" s="55" t="n">
        <f aca="false">AE659+ROW()*0.000000001</f>
        <v>38.8732462730351</v>
      </c>
    </row>
    <row r="660" customFormat="false" ht="15" hidden="false" customHeight="false" outlineLevel="0" collapsed="false">
      <c r="A660" s="0" t="n">
        <v>0</v>
      </c>
      <c r="B660" s="0" t="n">
        <v>8</v>
      </c>
      <c r="C660" s="0" t="n">
        <v>0</v>
      </c>
      <c r="D660" s="0" t="n">
        <v>7</v>
      </c>
      <c r="E660" s="0" t="n">
        <f aca="false">-1+A660*0.25</f>
        <v>-1</v>
      </c>
      <c r="F660" s="0" t="n">
        <f aca="false">-1+B660*0.25</f>
        <v>1</v>
      </c>
      <c r="G660" s="0" t="n">
        <f aca="false">-1+C660*0.25</f>
        <v>-1</v>
      </c>
      <c r="H660" s="0" t="n">
        <f aca="false">-1+D660*0.25</f>
        <v>0.75</v>
      </c>
      <c r="I660" s="0" t="n">
        <f aca="false">1</f>
        <v>1</v>
      </c>
      <c r="J660" s="0" t="n">
        <f aca="false">E660</f>
        <v>-1</v>
      </c>
      <c r="K660" s="0" t="n">
        <f aca="false">F660</f>
        <v>1</v>
      </c>
      <c r="L660" s="0" t="n">
        <f aca="false">G660</f>
        <v>-1</v>
      </c>
      <c r="M660" s="0" t="n">
        <f aca="false">H660</f>
        <v>0.75</v>
      </c>
      <c r="N660" s="0" t="n">
        <f aca="false">E660*F660</f>
        <v>-1</v>
      </c>
      <c r="O660" s="0" t="n">
        <f aca="false">E660*G660</f>
        <v>1</v>
      </c>
      <c r="P660" s="0" t="n">
        <f aca="false">E660*H660</f>
        <v>-0.75</v>
      </c>
      <c r="Q660" s="0" t="n">
        <f aca="false">F660*G660</f>
        <v>-1</v>
      </c>
      <c r="R660" s="0" t="n">
        <f aca="false">F660*H660</f>
        <v>0.75</v>
      </c>
      <c r="S660" s="0" t="n">
        <f aca="false">G660*H660</f>
        <v>-0.75</v>
      </c>
      <c r="T660" s="0" t="n">
        <f aca="false">E660*E660</f>
        <v>1</v>
      </c>
      <c r="U660" s="0" t="n">
        <f aca="false">F660*F660</f>
        <v>1</v>
      </c>
      <c r="V660" s="0" t="n">
        <f aca="false">G660*G660</f>
        <v>1</v>
      </c>
      <c r="W660" s="0" t="n">
        <f aca="false">H660*H660</f>
        <v>0.5625</v>
      </c>
      <c r="X660" s="0" t="n">
        <f aca="false">SUMPRODUCT(I660:W660,_XtX!$B$96:$P$96)</f>
        <v>38.6988669590644</v>
      </c>
      <c r="Y660" s="0" t="n">
        <f aca="false">SUMPRODUCT(MMULT(I660:W660,_XtX!$B$78:$P$92),I660:W660)</f>
        <v>0.610814144736842</v>
      </c>
      <c r="Z660" s="0" t="n">
        <f aca="false">04_回帰ANOVA!$K$19*04_回帰ANOVA!$K$14*SQRT(1+Y660)</f>
        <v>1.6543260558361</v>
      </c>
      <c r="AA660" s="0" t="n">
        <f aca="false">X660-Z660</f>
        <v>37.0445409032283</v>
      </c>
      <c r="AB660" s="0" t="n">
        <f aca="false">X660+Z660</f>
        <v>40.3531930149005</v>
      </c>
      <c r="AC660" s="54" t="b">
        <f aca="false">AND(E660&gt;=01_因子設定!$L$5-0.000000001,E660&lt;=01_因子設定!$M$5+0.000000001,F660&gt;=01_因子設定!$L$6-0.000000001,F660&lt;=01_因子設定!$M$6+0.000000001,G660&gt;=01_因子設定!$L$7-0.000000001,G660&lt;=01_因子設定!$M$7+0.000000001,H660&gt;=01_因子設定!$L$8-0.000000001,H660&lt;=01_因子設定!$M$8+0.000000001,IF(01_因子設定!$B$20="Box-Behnken",E660^2+F660^2+G660^2+H660^2&lt;=2+0.000000001,TRUE()))</f>
        <v>1</v>
      </c>
      <c r="AD660" s="55" t="n">
        <f aca="false">IF(AC660,IF(01_因子設定!$B$13="最大化",AA660-01_因子設定!$B$14,IF(01_因子設定!$B$13="最小化",01_因子設定!$B$15-AB660,MIN(AA660-01_因子設定!$B$14,01_因子設定!$B$15-AB660))),-1E+030)</f>
        <v>-9.45545909677172</v>
      </c>
      <c r="AE660" s="55" t="n">
        <f aca="false">IF(AC660,IF(01_因子設定!$B$13="最大化",X660,IF(01_因子設定!$B$13="最小化",-X660,-ABS(X660-01_因子設定!$B$16))),-1E+030)</f>
        <v>38.6988669590644</v>
      </c>
      <c r="AF660" s="55" t="n">
        <f aca="false">AD660+ROW()*0.000000001</f>
        <v>-9.45545843677172</v>
      </c>
      <c r="AG660" s="55" t="n">
        <f aca="false">AE660+ROW()*0.000000001</f>
        <v>38.6988676190644</v>
      </c>
    </row>
    <row r="661" customFormat="false" ht="15" hidden="false" customHeight="false" outlineLevel="0" collapsed="false">
      <c r="A661" s="0" t="n">
        <v>0</v>
      </c>
      <c r="B661" s="0" t="n">
        <v>8</v>
      </c>
      <c r="C661" s="0" t="n">
        <v>0</v>
      </c>
      <c r="D661" s="0" t="n">
        <v>8</v>
      </c>
      <c r="E661" s="0" t="n">
        <f aca="false">-1+A661*0.25</f>
        <v>-1</v>
      </c>
      <c r="F661" s="0" t="n">
        <f aca="false">-1+B661*0.25</f>
        <v>1</v>
      </c>
      <c r="G661" s="0" t="n">
        <f aca="false">-1+C661*0.25</f>
        <v>-1</v>
      </c>
      <c r="H661" s="0" t="n">
        <f aca="false">-1+D661*0.25</f>
        <v>1</v>
      </c>
      <c r="I661" s="0" t="n">
        <f aca="false">1</f>
        <v>1</v>
      </c>
      <c r="J661" s="0" t="n">
        <f aca="false">E661</f>
        <v>-1</v>
      </c>
      <c r="K661" s="0" t="n">
        <f aca="false">F661</f>
        <v>1</v>
      </c>
      <c r="L661" s="0" t="n">
        <f aca="false">G661</f>
        <v>-1</v>
      </c>
      <c r="M661" s="0" t="n">
        <f aca="false">H661</f>
        <v>1</v>
      </c>
      <c r="N661" s="0" t="n">
        <f aca="false">E661*F661</f>
        <v>-1</v>
      </c>
      <c r="O661" s="0" t="n">
        <f aca="false">E661*G661</f>
        <v>1</v>
      </c>
      <c r="P661" s="0" t="n">
        <f aca="false">E661*H661</f>
        <v>-1</v>
      </c>
      <c r="Q661" s="0" t="n">
        <f aca="false">F661*G661</f>
        <v>-1</v>
      </c>
      <c r="R661" s="0" t="n">
        <f aca="false">F661*H661</f>
        <v>1</v>
      </c>
      <c r="S661" s="0" t="n">
        <f aca="false">G661*H661</f>
        <v>-1</v>
      </c>
      <c r="T661" s="0" t="n">
        <f aca="false">E661*E661</f>
        <v>1</v>
      </c>
      <c r="U661" s="0" t="n">
        <f aca="false">F661*F661</f>
        <v>1</v>
      </c>
      <c r="V661" s="0" t="n">
        <f aca="false">G661*G661</f>
        <v>1</v>
      </c>
      <c r="W661" s="0" t="n">
        <f aca="false">H661*H661</f>
        <v>1</v>
      </c>
      <c r="X661" s="0" t="n">
        <f aca="false">SUMPRODUCT(I661:W661,_XtX!$B$96:$P$96)</f>
        <v>38.4766812865498</v>
      </c>
      <c r="Y661" s="0" t="n">
        <f aca="false">SUMPRODUCT(MMULT(I661:W661,_XtX!$B$78:$P$92),I661:W661)</f>
        <v>0.658625730994152</v>
      </c>
      <c r="Z661" s="0" t="n">
        <f aca="false">04_回帰ANOVA!$K$19*04_回帰ANOVA!$K$14*SQRT(1+Y661)</f>
        <v>1.67869807328422</v>
      </c>
      <c r="AA661" s="0" t="n">
        <f aca="false">X661-Z661</f>
        <v>36.7979832132656</v>
      </c>
      <c r="AB661" s="0" t="n">
        <f aca="false">X661+Z661</f>
        <v>40.155379359834</v>
      </c>
      <c r="AC661" s="54" t="b">
        <f aca="false">AND(E661&gt;=01_因子設定!$L$5-0.000000001,E661&lt;=01_因子設定!$M$5+0.000000001,F661&gt;=01_因子設定!$L$6-0.000000001,F661&lt;=01_因子設定!$M$6+0.000000001,G661&gt;=01_因子設定!$L$7-0.000000001,G661&lt;=01_因子設定!$M$7+0.000000001,H661&gt;=01_因子設定!$L$8-0.000000001,H661&lt;=01_因子設定!$M$8+0.000000001,IF(01_因子設定!$B$20="Box-Behnken",E661^2+F661^2+G661^2+H661^2&lt;=2+0.000000001,TRUE()))</f>
        <v>1</v>
      </c>
      <c r="AD661" s="55" t="n">
        <f aca="false">IF(AC661,IF(01_因子設定!$B$13="最大化",AA661-01_因子設定!$B$14,IF(01_因子設定!$B$13="最小化",01_因子設定!$B$15-AB661,MIN(AA661-01_因子設定!$B$14,01_因子設定!$B$15-AB661))),-1E+030)</f>
        <v>-9.70201678673445</v>
      </c>
      <c r="AE661" s="55" t="n">
        <f aca="false">IF(AC661,IF(01_因子設定!$B$13="最大化",X661,IF(01_因子設定!$B$13="最小化",-X661,-ABS(X661-01_因子設定!$B$16))),-1E+030)</f>
        <v>38.4766812865498</v>
      </c>
      <c r="AF661" s="55" t="n">
        <f aca="false">AD661+ROW()*0.000000001</f>
        <v>-9.70201612573445</v>
      </c>
      <c r="AG661" s="55" t="n">
        <f aca="false">AE661+ROW()*0.000000001</f>
        <v>38.4766819475498</v>
      </c>
    </row>
    <row r="662" customFormat="false" ht="15" hidden="false" customHeight="false" outlineLevel="0" collapsed="false">
      <c r="A662" s="0" t="n">
        <v>0</v>
      </c>
      <c r="B662" s="0" t="n">
        <v>8</v>
      </c>
      <c r="C662" s="0" t="n">
        <v>1</v>
      </c>
      <c r="D662" s="0" t="n">
        <v>0</v>
      </c>
      <c r="E662" s="0" t="n">
        <f aca="false">-1+A662*0.25</f>
        <v>-1</v>
      </c>
      <c r="F662" s="0" t="n">
        <f aca="false">-1+B662*0.25</f>
        <v>1</v>
      </c>
      <c r="G662" s="0" t="n">
        <f aca="false">-1+C662*0.25</f>
        <v>-0.75</v>
      </c>
      <c r="H662" s="0" t="n">
        <f aca="false">-1+D662*0.25</f>
        <v>-1</v>
      </c>
      <c r="I662" s="0" t="n">
        <f aca="false">1</f>
        <v>1</v>
      </c>
      <c r="J662" s="0" t="n">
        <f aca="false">E662</f>
        <v>-1</v>
      </c>
      <c r="K662" s="0" t="n">
        <f aca="false">F662</f>
        <v>1</v>
      </c>
      <c r="L662" s="0" t="n">
        <f aca="false">G662</f>
        <v>-0.75</v>
      </c>
      <c r="M662" s="0" t="n">
        <f aca="false">H662</f>
        <v>-1</v>
      </c>
      <c r="N662" s="0" t="n">
        <f aca="false">E662*F662</f>
        <v>-1</v>
      </c>
      <c r="O662" s="0" t="n">
        <f aca="false">E662*G662</f>
        <v>0.75</v>
      </c>
      <c r="P662" s="0" t="n">
        <f aca="false">E662*H662</f>
        <v>1</v>
      </c>
      <c r="Q662" s="0" t="n">
        <f aca="false">F662*G662</f>
        <v>-0.75</v>
      </c>
      <c r="R662" s="0" t="n">
        <f aca="false">F662*H662</f>
        <v>-1</v>
      </c>
      <c r="S662" s="0" t="n">
        <f aca="false">G662*H662</f>
        <v>0.75</v>
      </c>
      <c r="T662" s="0" t="n">
        <f aca="false">E662*E662</f>
        <v>1</v>
      </c>
      <c r="U662" s="0" t="n">
        <f aca="false">F662*F662</f>
        <v>1</v>
      </c>
      <c r="V662" s="0" t="n">
        <f aca="false">G662*G662</f>
        <v>0.5625</v>
      </c>
      <c r="W662" s="0" t="n">
        <f aca="false">H662*H662</f>
        <v>1</v>
      </c>
      <c r="X662" s="0" t="n">
        <f aca="false">SUMPRODUCT(I662:W662,_XtX!$B$96:$P$96)</f>
        <v>39.6287280701755</v>
      </c>
      <c r="Y662" s="0" t="n">
        <f aca="false">SUMPRODUCT(MMULT(I662:W662,_XtX!$B$78:$P$92),I662:W662)</f>
        <v>0.610814144736842</v>
      </c>
      <c r="Z662" s="0" t="n">
        <f aca="false">04_回帰ANOVA!$K$19*04_回帰ANOVA!$K$14*SQRT(1+Y662)</f>
        <v>1.6543260558361</v>
      </c>
      <c r="AA662" s="0" t="n">
        <f aca="false">X662-Z662</f>
        <v>37.9744020143394</v>
      </c>
      <c r="AB662" s="0" t="n">
        <f aca="false">X662+Z662</f>
        <v>41.2830541260116</v>
      </c>
      <c r="AC662" s="54" t="b">
        <f aca="false">AND(E662&gt;=01_因子設定!$L$5-0.000000001,E662&lt;=01_因子設定!$M$5+0.000000001,F662&gt;=01_因子設定!$L$6-0.000000001,F662&lt;=01_因子設定!$M$6+0.000000001,G662&gt;=01_因子設定!$L$7-0.000000001,G662&lt;=01_因子設定!$M$7+0.000000001,H662&gt;=01_因子設定!$L$8-0.000000001,H662&lt;=01_因子設定!$M$8+0.000000001,IF(01_因子設定!$B$20="Box-Behnken",E662^2+F662^2+G662^2+H662^2&lt;=2+0.000000001,TRUE()))</f>
        <v>1</v>
      </c>
      <c r="AD662" s="55" t="n">
        <f aca="false">IF(AC662,IF(01_因子設定!$B$13="最大化",AA662-01_因子設定!$B$14,IF(01_因子設定!$B$13="最小化",01_因子設定!$B$15-AB662,MIN(AA662-01_因子設定!$B$14,01_因子設定!$B$15-AB662))),-1E+030)</f>
        <v>-8.52559798566059</v>
      </c>
      <c r="AE662" s="55" t="n">
        <f aca="false">IF(AC662,IF(01_因子設定!$B$13="最大化",X662,IF(01_因子設定!$B$13="最小化",-X662,-ABS(X662-01_因子設定!$B$16))),-1E+030)</f>
        <v>39.6287280701755</v>
      </c>
      <c r="AF662" s="55" t="n">
        <f aca="false">AD662+ROW()*0.000000001</f>
        <v>-8.52559732366059</v>
      </c>
      <c r="AG662" s="55" t="n">
        <f aca="false">AE662+ROW()*0.000000001</f>
        <v>39.6287287321755</v>
      </c>
    </row>
    <row r="663" customFormat="false" ht="15" hidden="false" customHeight="false" outlineLevel="0" collapsed="false">
      <c r="A663" s="0" t="n">
        <v>0</v>
      </c>
      <c r="B663" s="0" t="n">
        <v>8</v>
      </c>
      <c r="C663" s="0" t="n">
        <v>1</v>
      </c>
      <c r="D663" s="0" t="n">
        <v>1</v>
      </c>
      <c r="E663" s="0" t="n">
        <f aca="false">-1+A663*0.25</f>
        <v>-1</v>
      </c>
      <c r="F663" s="0" t="n">
        <f aca="false">-1+B663*0.25</f>
        <v>1</v>
      </c>
      <c r="G663" s="0" t="n">
        <f aca="false">-1+C663*0.25</f>
        <v>-0.75</v>
      </c>
      <c r="H663" s="0" t="n">
        <f aca="false">-1+D663*0.25</f>
        <v>-0.75</v>
      </c>
      <c r="I663" s="0" t="n">
        <f aca="false">1</f>
        <v>1</v>
      </c>
      <c r="J663" s="0" t="n">
        <f aca="false">E663</f>
        <v>-1</v>
      </c>
      <c r="K663" s="0" t="n">
        <f aca="false">F663</f>
        <v>1</v>
      </c>
      <c r="L663" s="0" t="n">
        <f aca="false">G663</f>
        <v>-0.75</v>
      </c>
      <c r="M663" s="0" t="n">
        <f aca="false">H663</f>
        <v>-0.75</v>
      </c>
      <c r="N663" s="0" t="n">
        <f aca="false">E663*F663</f>
        <v>-1</v>
      </c>
      <c r="O663" s="0" t="n">
        <f aca="false">E663*G663</f>
        <v>0.75</v>
      </c>
      <c r="P663" s="0" t="n">
        <f aca="false">E663*H663</f>
        <v>0.75</v>
      </c>
      <c r="Q663" s="0" t="n">
        <f aca="false">F663*G663</f>
        <v>-0.75</v>
      </c>
      <c r="R663" s="0" t="n">
        <f aca="false">F663*H663</f>
        <v>-0.75</v>
      </c>
      <c r="S663" s="0" t="n">
        <f aca="false">G663*H663</f>
        <v>0.5625</v>
      </c>
      <c r="T663" s="0" t="n">
        <f aca="false">E663*E663</f>
        <v>1</v>
      </c>
      <c r="U663" s="0" t="n">
        <f aca="false">F663*F663</f>
        <v>1</v>
      </c>
      <c r="V663" s="0" t="n">
        <f aca="false">G663*G663</f>
        <v>0.5625</v>
      </c>
      <c r="W663" s="0" t="n">
        <f aca="false">H663*H663</f>
        <v>0.5625</v>
      </c>
      <c r="X663" s="0" t="n">
        <f aca="false">SUMPRODUCT(I663:W663,_XtX!$B$96:$P$96)</f>
        <v>39.7591602704679</v>
      </c>
      <c r="Y663" s="0" t="n">
        <f aca="false">SUMPRODUCT(MMULT(I663:W663,_XtX!$B$78:$P$92),I663:W663)</f>
        <v>0.531311392086988</v>
      </c>
      <c r="Z663" s="0" t="n">
        <f aca="false">04_回帰ANOVA!$K$19*04_回帰ANOVA!$K$14*SQRT(1+Y663)</f>
        <v>1.61298433431428</v>
      </c>
      <c r="AA663" s="0" t="n">
        <f aca="false">X663-Z663</f>
        <v>38.1461759361536</v>
      </c>
      <c r="AB663" s="0" t="n">
        <f aca="false">X663+Z663</f>
        <v>41.3721446047822</v>
      </c>
      <c r="AC663" s="54" t="b">
        <f aca="false">AND(E663&gt;=01_因子設定!$L$5-0.000000001,E663&lt;=01_因子設定!$M$5+0.000000001,F663&gt;=01_因子設定!$L$6-0.000000001,F663&lt;=01_因子設定!$M$6+0.000000001,G663&gt;=01_因子設定!$L$7-0.000000001,G663&lt;=01_因子設定!$M$7+0.000000001,H663&gt;=01_因子設定!$L$8-0.000000001,H663&lt;=01_因子設定!$M$8+0.000000001,IF(01_因子設定!$B$20="Box-Behnken",E663^2+F663^2+G663^2+H663^2&lt;=2+0.000000001,TRUE()))</f>
        <v>1</v>
      </c>
      <c r="AD663" s="55" t="n">
        <f aca="false">IF(AC663,IF(01_因子設定!$B$13="最大化",AA663-01_因子設定!$B$14,IF(01_因子設定!$B$13="最小化",01_因子設定!$B$15-AB663,MIN(AA663-01_因子設定!$B$14,01_因子設定!$B$15-AB663))),-1E+030)</f>
        <v>-8.3538240638464</v>
      </c>
      <c r="AE663" s="55" t="n">
        <f aca="false">IF(AC663,IF(01_因子設定!$B$13="最大化",X663,IF(01_因子設定!$B$13="最小化",-X663,-ABS(X663-01_因子設定!$B$16))),-1E+030)</f>
        <v>39.7591602704679</v>
      </c>
      <c r="AF663" s="55" t="n">
        <f aca="false">AD663+ROW()*0.000000001</f>
        <v>-8.3538234008464</v>
      </c>
      <c r="AG663" s="55" t="n">
        <f aca="false">AE663+ROW()*0.000000001</f>
        <v>39.7591609334679</v>
      </c>
    </row>
    <row r="664" customFormat="false" ht="15" hidden="false" customHeight="false" outlineLevel="0" collapsed="false">
      <c r="A664" s="0" t="n">
        <v>0</v>
      </c>
      <c r="B664" s="0" t="n">
        <v>8</v>
      </c>
      <c r="C664" s="0" t="n">
        <v>1</v>
      </c>
      <c r="D664" s="0" t="n">
        <v>2</v>
      </c>
      <c r="E664" s="0" t="n">
        <f aca="false">-1+A664*0.25</f>
        <v>-1</v>
      </c>
      <c r="F664" s="0" t="n">
        <f aca="false">-1+B664*0.25</f>
        <v>1</v>
      </c>
      <c r="G664" s="0" t="n">
        <f aca="false">-1+C664*0.25</f>
        <v>-0.75</v>
      </c>
      <c r="H664" s="0" t="n">
        <f aca="false">-1+D664*0.25</f>
        <v>-0.5</v>
      </c>
      <c r="I664" s="0" t="n">
        <f aca="false">1</f>
        <v>1</v>
      </c>
      <c r="J664" s="0" t="n">
        <f aca="false">E664</f>
        <v>-1</v>
      </c>
      <c r="K664" s="0" t="n">
        <f aca="false">F664</f>
        <v>1</v>
      </c>
      <c r="L664" s="0" t="n">
        <f aca="false">G664</f>
        <v>-0.75</v>
      </c>
      <c r="M664" s="0" t="n">
        <f aca="false">H664</f>
        <v>-0.5</v>
      </c>
      <c r="N664" s="0" t="n">
        <f aca="false">E664*F664</f>
        <v>-1</v>
      </c>
      <c r="O664" s="0" t="n">
        <f aca="false">E664*G664</f>
        <v>0.75</v>
      </c>
      <c r="P664" s="0" t="n">
        <f aca="false">E664*H664</f>
        <v>0.5</v>
      </c>
      <c r="Q664" s="0" t="n">
        <f aca="false">F664*G664</f>
        <v>-0.75</v>
      </c>
      <c r="R664" s="0" t="n">
        <f aca="false">F664*H664</f>
        <v>-0.5</v>
      </c>
      <c r="S664" s="0" t="n">
        <f aca="false">G664*H664</f>
        <v>0.375</v>
      </c>
      <c r="T664" s="0" t="n">
        <f aca="false">E664*E664</f>
        <v>1</v>
      </c>
      <c r="U664" s="0" t="n">
        <f aca="false">F664*F664</f>
        <v>1</v>
      </c>
      <c r="V664" s="0" t="n">
        <f aca="false">G664*G664</f>
        <v>0.5625</v>
      </c>
      <c r="W664" s="0" t="n">
        <f aca="false">H664*H664</f>
        <v>0.25</v>
      </c>
      <c r="X664" s="0" t="n">
        <f aca="false">SUMPRODUCT(I664:W664,_XtX!$B$96:$P$96)</f>
        <v>39.8417854532164</v>
      </c>
      <c r="Y664" s="0" t="n">
        <f aca="false">SUMPRODUCT(MMULT(I664:W664,_XtX!$B$78:$P$92),I664:W664)</f>
        <v>0.564984237938597</v>
      </c>
      <c r="Z664" s="0" t="n">
        <f aca="false">04_回帰ANOVA!$K$19*04_回帰ANOVA!$K$14*SQRT(1+Y664)</f>
        <v>1.63062229734503</v>
      </c>
      <c r="AA664" s="0" t="n">
        <f aca="false">X664-Z664</f>
        <v>38.2111631558714</v>
      </c>
      <c r="AB664" s="0" t="n">
        <f aca="false">X664+Z664</f>
        <v>41.4724077505614</v>
      </c>
      <c r="AC664" s="54" t="b">
        <f aca="false">AND(E664&gt;=01_因子設定!$L$5-0.000000001,E664&lt;=01_因子設定!$M$5+0.000000001,F664&gt;=01_因子設定!$L$6-0.000000001,F664&lt;=01_因子設定!$M$6+0.000000001,G664&gt;=01_因子設定!$L$7-0.000000001,G664&lt;=01_因子設定!$M$7+0.000000001,H664&gt;=01_因子設定!$L$8-0.000000001,H664&lt;=01_因子設定!$M$8+0.000000001,IF(01_因子設定!$B$20="Box-Behnken",E664^2+F664^2+G664^2+H664^2&lt;=2+0.000000001,TRUE()))</f>
        <v>1</v>
      </c>
      <c r="AD664" s="55" t="n">
        <f aca="false">IF(AC664,IF(01_因子設定!$B$13="最大化",AA664-01_因子設定!$B$14,IF(01_因子設定!$B$13="最小化",01_因子設定!$B$15-AB664,MIN(AA664-01_因子設定!$B$14,01_因子設定!$B$15-AB664))),-1E+030)</f>
        <v>-8.28883684412863</v>
      </c>
      <c r="AE664" s="55" t="n">
        <f aca="false">IF(AC664,IF(01_因子設定!$B$13="最大化",X664,IF(01_因子設定!$B$13="最小化",-X664,-ABS(X664-01_因子設定!$B$16))),-1E+030)</f>
        <v>39.8417854532164</v>
      </c>
      <c r="AF664" s="55" t="n">
        <f aca="false">AD664+ROW()*0.000000001</f>
        <v>-8.28883618012863</v>
      </c>
      <c r="AG664" s="55" t="n">
        <f aca="false">AE664+ROW()*0.000000001</f>
        <v>39.8417861172164</v>
      </c>
    </row>
    <row r="665" customFormat="false" ht="15" hidden="false" customHeight="false" outlineLevel="0" collapsed="false">
      <c r="A665" s="0" t="n">
        <v>0</v>
      </c>
      <c r="B665" s="0" t="n">
        <v>8</v>
      </c>
      <c r="C665" s="0" t="n">
        <v>1</v>
      </c>
      <c r="D665" s="0" t="n">
        <v>3</v>
      </c>
      <c r="E665" s="0" t="n">
        <f aca="false">-1+A665*0.25</f>
        <v>-1</v>
      </c>
      <c r="F665" s="0" t="n">
        <f aca="false">-1+B665*0.25</f>
        <v>1</v>
      </c>
      <c r="G665" s="0" t="n">
        <f aca="false">-1+C665*0.25</f>
        <v>-0.75</v>
      </c>
      <c r="H665" s="0" t="n">
        <f aca="false">-1+D665*0.25</f>
        <v>-0.25</v>
      </c>
      <c r="I665" s="0" t="n">
        <f aca="false">1</f>
        <v>1</v>
      </c>
      <c r="J665" s="0" t="n">
        <f aca="false">E665</f>
        <v>-1</v>
      </c>
      <c r="K665" s="0" t="n">
        <f aca="false">F665</f>
        <v>1</v>
      </c>
      <c r="L665" s="0" t="n">
        <f aca="false">G665</f>
        <v>-0.75</v>
      </c>
      <c r="M665" s="0" t="n">
        <f aca="false">H665</f>
        <v>-0.25</v>
      </c>
      <c r="N665" s="0" t="n">
        <f aca="false">E665*F665</f>
        <v>-1</v>
      </c>
      <c r="O665" s="0" t="n">
        <f aca="false">E665*G665</f>
        <v>0.75</v>
      </c>
      <c r="P665" s="0" t="n">
        <f aca="false">E665*H665</f>
        <v>0.25</v>
      </c>
      <c r="Q665" s="0" t="n">
        <f aca="false">F665*G665</f>
        <v>-0.75</v>
      </c>
      <c r="R665" s="0" t="n">
        <f aca="false">F665*H665</f>
        <v>-0.25</v>
      </c>
      <c r="S665" s="0" t="n">
        <f aca="false">G665*H665</f>
        <v>0.1875</v>
      </c>
      <c r="T665" s="0" t="n">
        <f aca="false">E665*E665</f>
        <v>1</v>
      </c>
      <c r="U665" s="0" t="n">
        <f aca="false">F665*F665</f>
        <v>1</v>
      </c>
      <c r="V665" s="0" t="n">
        <f aca="false">G665*G665</f>
        <v>0.5625</v>
      </c>
      <c r="W665" s="0" t="n">
        <f aca="false">H665*H665</f>
        <v>0.0625</v>
      </c>
      <c r="X665" s="0" t="n">
        <f aca="false">SUMPRODUCT(I665:W665,_XtX!$B$96:$P$96)</f>
        <v>39.8766036184211</v>
      </c>
      <c r="Y665" s="0" t="n">
        <f aca="false">SUMPRODUCT(MMULT(I665:W665,_XtX!$B$78:$P$92),I665:W665)</f>
        <v>0.621372155975877</v>
      </c>
      <c r="Z665" s="0" t="n">
        <f aca="false">04_回帰ANOVA!$K$19*04_回帰ANOVA!$K$14*SQRT(1+Y665)</f>
        <v>1.65973880499872</v>
      </c>
      <c r="AA665" s="0" t="n">
        <f aca="false">X665-Z665</f>
        <v>38.2168648134224</v>
      </c>
      <c r="AB665" s="0" t="n">
        <f aca="false">X665+Z665</f>
        <v>41.5363424234198</v>
      </c>
      <c r="AC665" s="54" t="b">
        <f aca="false">AND(E665&gt;=01_因子設定!$L$5-0.000000001,E665&lt;=01_因子設定!$M$5+0.000000001,F665&gt;=01_因子設定!$L$6-0.000000001,F665&lt;=01_因子設定!$M$6+0.000000001,G665&gt;=01_因子設定!$L$7-0.000000001,G665&lt;=01_因子設定!$M$7+0.000000001,H665&gt;=01_因子設定!$L$8-0.000000001,H665&lt;=01_因子設定!$M$8+0.000000001,IF(01_因子設定!$B$20="Box-Behnken",E665^2+F665^2+G665^2+H665^2&lt;=2+0.000000001,TRUE()))</f>
        <v>1</v>
      </c>
      <c r="AD665" s="55" t="n">
        <f aca="false">IF(AC665,IF(01_因子設定!$B$13="最大化",AA665-01_因子設定!$B$14,IF(01_因子設定!$B$13="最小化",01_因子設定!$B$15-AB665,MIN(AA665-01_因子設定!$B$14,01_因子設定!$B$15-AB665))),-1E+030)</f>
        <v>-8.28313518657763</v>
      </c>
      <c r="AE665" s="55" t="n">
        <f aca="false">IF(AC665,IF(01_因子設定!$B$13="最大化",X665,IF(01_因子設定!$B$13="最小化",-X665,-ABS(X665-01_因子設定!$B$16))),-1E+030)</f>
        <v>39.8766036184211</v>
      </c>
      <c r="AF665" s="55" t="n">
        <f aca="false">AD665+ROW()*0.000000001</f>
        <v>-8.28313452157763</v>
      </c>
      <c r="AG665" s="55" t="n">
        <f aca="false">AE665+ROW()*0.000000001</f>
        <v>39.8766042834211</v>
      </c>
    </row>
    <row r="666" customFormat="false" ht="15" hidden="false" customHeight="false" outlineLevel="0" collapsed="false">
      <c r="A666" s="0" t="n">
        <v>0</v>
      </c>
      <c r="B666" s="0" t="n">
        <v>8</v>
      </c>
      <c r="C666" s="0" t="n">
        <v>1</v>
      </c>
      <c r="D666" s="0" t="n">
        <v>4</v>
      </c>
      <c r="E666" s="0" t="n">
        <f aca="false">-1+A666*0.25</f>
        <v>-1</v>
      </c>
      <c r="F666" s="0" t="n">
        <f aca="false">-1+B666*0.25</f>
        <v>1</v>
      </c>
      <c r="G666" s="0" t="n">
        <f aca="false">-1+C666*0.25</f>
        <v>-0.75</v>
      </c>
      <c r="H666" s="0" t="n">
        <f aca="false">-1+D666*0.25</f>
        <v>0</v>
      </c>
      <c r="I666" s="0" t="n">
        <f aca="false">1</f>
        <v>1</v>
      </c>
      <c r="J666" s="0" t="n">
        <f aca="false">E666</f>
        <v>-1</v>
      </c>
      <c r="K666" s="0" t="n">
        <f aca="false">F666</f>
        <v>1</v>
      </c>
      <c r="L666" s="0" t="n">
        <f aca="false">G666</f>
        <v>-0.75</v>
      </c>
      <c r="M666" s="0" t="n">
        <f aca="false">H666</f>
        <v>0</v>
      </c>
      <c r="N666" s="0" t="n">
        <f aca="false">E666*F666</f>
        <v>-1</v>
      </c>
      <c r="O666" s="0" t="n">
        <f aca="false">E666*G666</f>
        <v>0.75</v>
      </c>
      <c r="P666" s="0" t="n">
        <f aca="false">E666*H666</f>
        <v>-0</v>
      </c>
      <c r="Q666" s="0" t="n">
        <f aca="false">F666*G666</f>
        <v>-0.75</v>
      </c>
      <c r="R666" s="0" t="n">
        <f aca="false">F666*H666</f>
        <v>0</v>
      </c>
      <c r="S666" s="0" t="n">
        <f aca="false">G666*H666</f>
        <v>-0</v>
      </c>
      <c r="T666" s="0" t="n">
        <f aca="false">E666*E666</f>
        <v>1</v>
      </c>
      <c r="U666" s="0" t="n">
        <f aca="false">F666*F666</f>
        <v>1</v>
      </c>
      <c r="V666" s="0" t="n">
        <f aca="false">G666*G666</f>
        <v>0.5625</v>
      </c>
      <c r="W666" s="0" t="n">
        <f aca="false">H666*H666</f>
        <v>0</v>
      </c>
      <c r="X666" s="0" t="n">
        <f aca="false">SUMPRODUCT(I666:W666,_XtX!$B$96:$P$96)</f>
        <v>39.8636147660819</v>
      </c>
      <c r="Y666" s="0" t="n">
        <f aca="false">SUMPRODUCT(MMULT(I666:W666,_XtX!$B$78:$P$92),I666:W666)</f>
        <v>0.646198830409357</v>
      </c>
      <c r="Z666" s="0" t="n">
        <f aca="false">04_回帰ANOVA!$K$19*04_回帰ANOVA!$K$14*SQRT(1+Y666)</f>
        <v>1.67239760569756</v>
      </c>
      <c r="AA666" s="0" t="n">
        <f aca="false">X666-Z666</f>
        <v>38.1912171603844</v>
      </c>
      <c r="AB666" s="0" t="n">
        <f aca="false">X666+Z666</f>
        <v>41.5360123717795</v>
      </c>
      <c r="AC666" s="54" t="b">
        <f aca="false">AND(E666&gt;=01_因子設定!$L$5-0.000000001,E666&lt;=01_因子設定!$M$5+0.000000001,F666&gt;=01_因子設定!$L$6-0.000000001,F666&lt;=01_因子設定!$M$6+0.000000001,G666&gt;=01_因子設定!$L$7-0.000000001,G666&lt;=01_因子設定!$M$7+0.000000001,H666&gt;=01_因子設定!$L$8-0.000000001,H666&lt;=01_因子設定!$M$8+0.000000001,IF(01_因子設定!$B$20="Box-Behnken",E666^2+F666^2+G666^2+H666^2&lt;=2+0.000000001,TRUE()))</f>
        <v>1</v>
      </c>
      <c r="AD666" s="55" t="n">
        <f aca="false">IF(AC666,IF(01_因子設定!$B$13="最大化",AA666-01_因子設定!$B$14,IF(01_因子設定!$B$13="最小化",01_因子設定!$B$15-AB666,MIN(AA666-01_因子設定!$B$14,01_因子設定!$B$15-AB666))),-1E+030)</f>
        <v>-8.30878283961565</v>
      </c>
      <c r="AE666" s="55" t="n">
        <f aca="false">IF(AC666,IF(01_因子設定!$B$13="最大化",X666,IF(01_因子設定!$B$13="最小化",-X666,-ABS(X666-01_因子設定!$B$16))),-1E+030)</f>
        <v>39.8636147660819</v>
      </c>
      <c r="AF666" s="55" t="n">
        <f aca="false">AD666+ROW()*0.000000001</f>
        <v>-8.30878217361565</v>
      </c>
      <c r="AG666" s="55" t="n">
        <f aca="false">AE666+ROW()*0.000000001</f>
        <v>39.8636154320819</v>
      </c>
    </row>
    <row r="667" customFormat="false" ht="15" hidden="false" customHeight="false" outlineLevel="0" collapsed="false">
      <c r="A667" s="0" t="n">
        <v>0</v>
      </c>
      <c r="B667" s="0" t="n">
        <v>8</v>
      </c>
      <c r="C667" s="0" t="n">
        <v>1</v>
      </c>
      <c r="D667" s="0" t="n">
        <v>5</v>
      </c>
      <c r="E667" s="0" t="n">
        <f aca="false">-1+A667*0.25</f>
        <v>-1</v>
      </c>
      <c r="F667" s="0" t="n">
        <f aca="false">-1+B667*0.25</f>
        <v>1</v>
      </c>
      <c r="G667" s="0" t="n">
        <f aca="false">-1+C667*0.25</f>
        <v>-0.75</v>
      </c>
      <c r="H667" s="0" t="n">
        <f aca="false">-1+D667*0.25</f>
        <v>0.25</v>
      </c>
      <c r="I667" s="0" t="n">
        <f aca="false">1</f>
        <v>1</v>
      </c>
      <c r="J667" s="0" t="n">
        <f aca="false">E667</f>
        <v>-1</v>
      </c>
      <c r="K667" s="0" t="n">
        <f aca="false">F667</f>
        <v>1</v>
      </c>
      <c r="L667" s="0" t="n">
        <f aca="false">G667</f>
        <v>-0.75</v>
      </c>
      <c r="M667" s="0" t="n">
        <f aca="false">H667</f>
        <v>0.25</v>
      </c>
      <c r="N667" s="0" t="n">
        <f aca="false">E667*F667</f>
        <v>-1</v>
      </c>
      <c r="O667" s="0" t="n">
        <f aca="false">E667*G667</f>
        <v>0.75</v>
      </c>
      <c r="P667" s="0" t="n">
        <f aca="false">E667*H667</f>
        <v>-0.25</v>
      </c>
      <c r="Q667" s="0" t="n">
        <f aca="false">F667*G667</f>
        <v>-0.75</v>
      </c>
      <c r="R667" s="0" t="n">
        <f aca="false">F667*H667</f>
        <v>0.25</v>
      </c>
      <c r="S667" s="0" t="n">
        <f aca="false">G667*H667</f>
        <v>-0.1875</v>
      </c>
      <c r="T667" s="0" t="n">
        <f aca="false">E667*E667</f>
        <v>1</v>
      </c>
      <c r="U667" s="0" t="n">
        <f aca="false">F667*F667</f>
        <v>1</v>
      </c>
      <c r="V667" s="0" t="n">
        <f aca="false">G667*G667</f>
        <v>0.5625</v>
      </c>
      <c r="W667" s="0" t="n">
        <f aca="false">H667*H667</f>
        <v>0.0625</v>
      </c>
      <c r="X667" s="0" t="n">
        <f aca="false">SUMPRODUCT(I667:W667,_XtX!$B$96:$P$96)</f>
        <v>39.8028188961989</v>
      </c>
      <c r="Y667" s="0" t="n">
        <f aca="false">SUMPRODUCT(MMULT(I667:W667,_XtX!$B$78:$P$92),I667:W667)</f>
        <v>0.621372155975877</v>
      </c>
      <c r="Z667" s="0" t="n">
        <f aca="false">04_回帰ANOVA!$K$19*04_回帰ANOVA!$K$14*SQRT(1+Y667)</f>
        <v>1.65973880499872</v>
      </c>
      <c r="AA667" s="0" t="n">
        <f aca="false">X667-Z667</f>
        <v>38.1430800912001</v>
      </c>
      <c r="AB667" s="0" t="n">
        <f aca="false">X667+Z667</f>
        <v>41.4625577011976</v>
      </c>
      <c r="AC667" s="54" t="b">
        <f aca="false">AND(E667&gt;=01_因子設定!$L$5-0.000000001,E667&lt;=01_因子設定!$M$5+0.000000001,F667&gt;=01_因子設定!$L$6-0.000000001,F667&lt;=01_因子設定!$M$6+0.000000001,G667&gt;=01_因子設定!$L$7-0.000000001,G667&lt;=01_因子設定!$M$7+0.000000001,H667&gt;=01_因子設定!$L$8-0.000000001,H667&lt;=01_因子設定!$M$8+0.000000001,IF(01_因子設定!$B$20="Box-Behnken",E667^2+F667^2+G667^2+H667^2&lt;=2+0.000000001,TRUE()))</f>
        <v>1</v>
      </c>
      <c r="AD667" s="55" t="n">
        <f aca="false">IF(AC667,IF(01_因子設定!$B$13="最大化",AA667-01_因子設定!$B$14,IF(01_因子設定!$B$13="最小化",01_因子設定!$B$15-AB667,MIN(AA667-01_因子設定!$B$14,01_因子設定!$B$15-AB667))),-1E+030)</f>
        <v>-8.35691990879986</v>
      </c>
      <c r="AE667" s="55" t="n">
        <f aca="false">IF(AC667,IF(01_因子設定!$B$13="最大化",X667,IF(01_因子設定!$B$13="最小化",-X667,-ABS(X667-01_因子設定!$B$16))),-1E+030)</f>
        <v>39.8028188961989</v>
      </c>
      <c r="AF667" s="55" t="n">
        <f aca="false">AD667+ROW()*0.000000001</f>
        <v>-8.35691924179986</v>
      </c>
      <c r="AG667" s="55" t="n">
        <f aca="false">AE667+ROW()*0.000000001</f>
        <v>39.8028195631989</v>
      </c>
    </row>
    <row r="668" customFormat="false" ht="15" hidden="false" customHeight="false" outlineLevel="0" collapsed="false">
      <c r="A668" s="0" t="n">
        <v>0</v>
      </c>
      <c r="B668" s="0" t="n">
        <v>8</v>
      </c>
      <c r="C668" s="0" t="n">
        <v>1</v>
      </c>
      <c r="D668" s="0" t="n">
        <v>6</v>
      </c>
      <c r="E668" s="0" t="n">
        <f aca="false">-1+A668*0.25</f>
        <v>-1</v>
      </c>
      <c r="F668" s="0" t="n">
        <f aca="false">-1+B668*0.25</f>
        <v>1</v>
      </c>
      <c r="G668" s="0" t="n">
        <f aca="false">-1+C668*0.25</f>
        <v>-0.75</v>
      </c>
      <c r="H668" s="0" t="n">
        <f aca="false">-1+D668*0.25</f>
        <v>0.5</v>
      </c>
      <c r="I668" s="0" t="n">
        <f aca="false">1</f>
        <v>1</v>
      </c>
      <c r="J668" s="0" t="n">
        <f aca="false">E668</f>
        <v>-1</v>
      </c>
      <c r="K668" s="0" t="n">
        <f aca="false">F668</f>
        <v>1</v>
      </c>
      <c r="L668" s="0" t="n">
        <f aca="false">G668</f>
        <v>-0.75</v>
      </c>
      <c r="M668" s="0" t="n">
        <f aca="false">H668</f>
        <v>0.5</v>
      </c>
      <c r="N668" s="0" t="n">
        <f aca="false">E668*F668</f>
        <v>-1</v>
      </c>
      <c r="O668" s="0" t="n">
        <f aca="false">E668*G668</f>
        <v>0.75</v>
      </c>
      <c r="P668" s="0" t="n">
        <f aca="false">E668*H668</f>
        <v>-0.5</v>
      </c>
      <c r="Q668" s="0" t="n">
        <f aca="false">F668*G668</f>
        <v>-0.75</v>
      </c>
      <c r="R668" s="0" t="n">
        <f aca="false">F668*H668</f>
        <v>0.5</v>
      </c>
      <c r="S668" s="0" t="n">
        <f aca="false">G668*H668</f>
        <v>-0.375</v>
      </c>
      <c r="T668" s="0" t="n">
        <f aca="false">E668*E668</f>
        <v>1</v>
      </c>
      <c r="U668" s="0" t="n">
        <f aca="false">F668*F668</f>
        <v>1</v>
      </c>
      <c r="V668" s="0" t="n">
        <f aca="false">G668*G668</f>
        <v>0.5625</v>
      </c>
      <c r="W668" s="0" t="n">
        <f aca="false">H668*H668</f>
        <v>0.25</v>
      </c>
      <c r="X668" s="0" t="n">
        <f aca="false">SUMPRODUCT(I668:W668,_XtX!$B$96:$P$96)</f>
        <v>39.694216008772</v>
      </c>
      <c r="Y668" s="0" t="n">
        <f aca="false">SUMPRODUCT(MMULT(I668:W668,_XtX!$B$78:$P$92),I668:W668)</f>
        <v>0.564984237938597</v>
      </c>
      <c r="Z668" s="0" t="n">
        <f aca="false">04_回帰ANOVA!$K$19*04_回帰ANOVA!$K$14*SQRT(1+Y668)</f>
        <v>1.63062229734503</v>
      </c>
      <c r="AA668" s="0" t="n">
        <f aca="false">X668-Z668</f>
        <v>38.0635937114269</v>
      </c>
      <c r="AB668" s="0" t="n">
        <f aca="false">X668+Z668</f>
        <v>41.324838306117</v>
      </c>
      <c r="AC668" s="54" t="b">
        <f aca="false">AND(E668&gt;=01_因子設定!$L$5-0.000000001,E668&lt;=01_因子設定!$M$5+0.000000001,F668&gt;=01_因子設定!$L$6-0.000000001,F668&lt;=01_因子設定!$M$6+0.000000001,G668&gt;=01_因子設定!$L$7-0.000000001,G668&lt;=01_因子設定!$M$7+0.000000001,H668&gt;=01_因子設定!$L$8-0.000000001,H668&lt;=01_因子設定!$M$8+0.000000001,IF(01_因子設定!$B$20="Box-Behnken",E668^2+F668^2+G668^2+H668^2&lt;=2+0.000000001,TRUE()))</f>
        <v>1</v>
      </c>
      <c r="AD668" s="55" t="n">
        <f aca="false">IF(AC668,IF(01_因子設定!$B$13="最大化",AA668-01_因子設定!$B$14,IF(01_因子設定!$B$13="最小化",01_因子設定!$B$15-AB668,MIN(AA668-01_因子設定!$B$14,01_因子設定!$B$15-AB668))),-1E+030)</f>
        <v>-8.43640628857307</v>
      </c>
      <c r="AE668" s="55" t="n">
        <f aca="false">IF(AC668,IF(01_因子設定!$B$13="最大化",X668,IF(01_因子設定!$B$13="最小化",-X668,-ABS(X668-01_因子設定!$B$16))),-1E+030)</f>
        <v>39.694216008772</v>
      </c>
      <c r="AF668" s="55" t="n">
        <f aca="false">AD668+ROW()*0.000000001</f>
        <v>-8.43640562057307</v>
      </c>
      <c r="AG668" s="55" t="n">
        <f aca="false">AE668+ROW()*0.000000001</f>
        <v>39.694216676772</v>
      </c>
    </row>
    <row r="669" customFormat="false" ht="15" hidden="false" customHeight="false" outlineLevel="0" collapsed="false">
      <c r="A669" s="0" t="n">
        <v>0</v>
      </c>
      <c r="B669" s="0" t="n">
        <v>8</v>
      </c>
      <c r="C669" s="0" t="n">
        <v>1</v>
      </c>
      <c r="D669" s="0" t="n">
        <v>7</v>
      </c>
      <c r="E669" s="0" t="n">
        <f aca="false">-1+A669*0.25</f>
        <v>-1</v>
      </c>
      <c r="F669" s="0" t="n">
        <f aca="false">-1+B669*0.25</f>
        <v>1</v>
      </c>
      <c r="G669" s="0" t="n">
        <f aca="false">-1+C669*0.25</f>
        <v>-0.75</v>
      </c>
      <c r="H669" s="0" t="n">
        <f aca="false">-1+D669*0.25</f>
        <v>0.75</v>
      </c>
      <c r="I669" s="0" t="n">
        <f aca="false">1</f>
        <v>1</v>
      </c>
      <c r="J669" s="0" t="n">
        <f aca="false">E669</f>
        <v>-1</v>
      </c>
      <c r="K669" s="0" t="n">
        <f aca="false">F669</f>
        <v>1</v>
      </c>
      <c r="L669" s="0" t="n">
        <f aca="false">G669</f>
        <v>-0.75</v>
      </c>
      <c r="M669" s="0" t="n">
        <f aca="false">H669</f>
        <v>0.75</v>
      </c>
      <c r="N669" s="0" t="n">
        <f aca="false">E669*F669</f>
        <v>-1</v>
      </c>
      <c r="O669" s="0" t="n">
        <f aca="false">E669*G669</f>
        <v>0.75</v>
      </c>
      <c r="P669" s="0" t="n">
        <f aca="false">E669*H669</f>
        <v>-0.75</v>
      </c>
      <c r="Q669" s="0" t="n">
        <f aca="false">F669*G669</f>
        <v>-0.75</v>
      </c>
      <c r="R669" s="0" t="n">
        <f aca="false">F669*H669</f>
        <v>0.75</v>
      </c>
      <c r="S669" s="0" t="n">
        <f aca="false">G669*H669</f>
        <v>-0.5625</v>
      </c>
      <c r="T669" s="0" t="n">
        <f aca="false">E669*E669</f>
        <v>1</v>
      </c>
      <c r="U669" s="0" t="n">
        <f aca="false">F669*F669</f>
        <v>1</v>
      </c>
      <c r="V669" s="0" t="n">
        <f aca="false">G669*G669</f>
        <v>0.5625</v>
      </c>
      <c r="W669" s="0" t="n">
        <f aca="false">H669*H669</f>
        <v>0.5625</v>
      </c>
      <c r="X669" s="0" t="n">
        <f aca="false">SUMPRODUCT(I669:W669,_XtX!$B$96:$P$96)</f>
        <v>39.5378061038012</v>
      </c>
      <c r="Y669" s="0" t="n">
        <f aca="false">SUMPRODUCT(MMULT(I669:W669,_XtX!$B$78:$P$92),I669:W669)</f>
        <v>0.531311392086988</v>
      </c>
      <c r="Z669" s="0" t="n">
        <f aca="false">04_回帰ANOVA!$K$19*04_回帰ANOVA!$K$14*SQRT(1+Y669)</f>
        <v>1.61298433431428</v>
      </c>
      <c r="AA669" s="0" t="n">
        <f aca="false">X669-Z669</f>
        <v>37.9248217694869</v>
      </c>
      <c r="AB669" s="0" t="n">
        <f aca="false">X669+Z669</f>
        <v>41.1507904381155</v>
      </c>
      <c r="AC669" s="54" t="b">
        <f aca="false">AND(E669&gt;=01_因子設定!$L$5-0.000000001,E669&lt;=01_因子設定!$M$5+0.000000001,F669&gt;=01_因子設定!$L$6-0.000000001,F669&lt;=01_因子設定!$M$6+0.000000001,G669&gt;=01_因子設定!$L$7-0.000000001,G669&lt;=01_因子設定!$M$7+0.000000001,H669&gt;=01_因子設定!$L$8-0.000000001,H669&lt;=01_因子設定!$M$8+0.000000001,IF(01_因子設定!$B$20="Box-Behnken",E669^2+F669^2+G669^2+H669^2&lt;=2+0.000000001,TRUE()))</f>
        <v>1</v>
      </c>
      <c r="AD669" s="55" t="n">
        <f aca="false">IF(AC669,IF(01_因子設定!$B$13="最大化",AA669-01_因子設定!$B$14,IF(01_因子設定!$B$13="最小化",01_因子設定!$B$15-AB669,MIN(AA669-01_因子設定!$B$14,01_因子設定!$B$15-AB669))),-1E+030)</f>
        <v>-8.57517823051307</v>
      </c>
      <c r="AE669" s="55" t="n">
        <f aca="false">IF(AC669,IF(01_因子設定!$B$13="最大化",X669,IF(01_因子設定!$B$13="最小化",-X669,-ABS(X669-01_因子設定!$B$16))),-1E+030)</f>
        <v>39.5378061038012</v>
      </c>
      <c r="AF669" s="55" t="n">
        <f aca="false">AD669+ROW()*0.000000001</f>
        <v>-8.57517756151307</v>
      </c>
      <c r="AG669" s="55" t="n">
        <f aca="false">AE669+ROW()*0.000000001</f>
        <v>39.5378067728012</v>
      </c>
    </row>
    <row r="670" customFormat="false" ht="15" hidden="false" customHeight="false" outlineLevel="0" collapsed="false">
      <c r="A670" s="0" t="n">
        <v>0</v>
      </c>
      <c r="B670" s="0" t="n">
        <v>8</v>
      </c>
      <c r="C670" s="0" t="n">
        <v>1</v>
      </c>
      <c r="D670" s="0" t="n">
        <v>8</v>
      </c>
      <c r="E670" s="0" t="n">
        <f aca="false">-1+A670*0.25</f>
        <v>-1</v>
      </c>
      <c r="F670" s="0" t="n">
        <f aca="false">-1+B670*0.25</f>
        <v>1</v>
      </c>
      <c r="G670" s="0" t="n">
        <f aca="false">-1+C670*0.25</f>
        <v>-0.75</v>
      </c>
      <c r="H670" s="0" t="n">
        <f aca="false">-1+D670*0.25</f>
        <v>1</v>
      </c>
      <c r="I670" s="0" t="n">
        <f aca="false">1</f>
        <v>1</v>
      </c>
      <c r="J670" s="0" t="n">
        <f aca="false">E670</f>
        <v>-1</v>
      </c>
      <c r="K670" s="0" t="n">
        <f aca="false">F670</f>
        <v>1</v>
      </c>
      <c r="L670" s="0" t="n">
        <f aca="false">G670</f>
        <v>-0.75</v>
      </c>
      <c r="M670" s="0" t="n">
        <f aca="false">H670</f>
        <v>1</v>
      </c>
      <c r="N670" s="0" t="n">
        <f aca="false">E670*F670</f>
        <v>-1</v>
      </c>
      <c r="O670" s="0" t="n">
        <f aca="false">E670*G670</f>
        <v>0.75</v>
      </c>
      <c r="P670" s="0" t="n">
        <f aca="false">E670*H670</f>
        <v>-1</v>
      </c>
      <c r="Q670" s="0" t="n">
        <f aca="false">F670*G670</f>
        <v>-0.75</v>
      </c>
      <c r="R670" s="0" t="n">
        <f aca="false">F670*H670</f>
        <v>1</v>
      </c>
      <c r="S670" s="0" t="n">
        <f aca="false">G670*H670</f>
        <v>-0.75</v>
      </c>
      <c r="T670" s="0" t="n">
        <f aca="false">E670*E670</f>
        <v>1</v>
      </c>
      <c r="U670" s="0" t="n">
        <f aca="false">F670*F670</f>
        <v>1</v>
      </c>
      <c r="V670" s="0" t="n">
        <f aca="false">G670*G670</f>
        <v>0.5625</v>
      </c>
      <c r="W670" s="0" t="n">
        <f aca="false">H670*H670</f>
        <v>1</v>
      </c>
      <c r="X670" s="0" t="n">
        <f aca="false">SUMPRODUCT(I670:W670,_XtX!$B$96:$P$96)</f>
        <v>39.3335891812866</v>
      </c>
      <c r="Y670" s="0" t="n">
        <f aca="false">SUMPRODUCT(MMULT(I670:W670,_XtX!$B$78:$P$92),I670:W670)</f>
        <v>0.610814144736842</v>
      </c>
      <c r="Z670" s="0" t="n">
        <f aca="false">04_回帰ANOVA!$K$19*04_回帰ANOVA!$K$14*SQRT(1+Y670)</f>
        <v>1.6543260558361</v>
      </c>
      <c r="AA670" s="0" t="n">
        <f aca="false">X670-Z670</f>
        <v>37.6792631254505</v>
      </c>
      <c r="AB670" s="0" t="n">
        <f aca="false">X670+Z670</f>
        <v>40.9879152371227</v>
      </c>
      <c r="AC670" s="54" t="b">
        <f aca="false">AND(E670&gt;=01_因子設定!$L$5-0.000000001,E670&lt;=01_因子設定!$M$5+0.000000001,F670&gt;=01_因子設定!$L$6-0.000000001,F670&lt;=01_因子設定!$M$6+0.000000001,G670&gt;=01_因子設定!$L$7-0.000000001,G670&lt;=01_因子設定!$M$7+0.000000001,H670&gt;=01_因子設定!$L$8-0.000000001,H670&lt;=01_因子設定!$M$8+0.000000001,IF(01_因子設定!$B$20="Box-Behnken",E670^2+F670^2+G670^2+H670^2&lt;=2+0.000000001,TRUE()))</f>
        <v>1</v>
      </c>
      <c r="AD670" s="55" t="n">
        <f aca="false">IF(AC670,IF(01_因子設定!$B$13="最大化",AA670-01_因子設定!$B$14,IF(01_因子設定!$B$13="最小化",01_因子設定!$B$15-AB670,MIN(AA670-01_因子設定!$B$14,01_因子設定!$B$15-AB670))),-1E+030)</f>
        <v>-8.82073687454948</v>
      </c>
      <c r="AE670" s="55" t="n">
        <f aca="false">IF(AC670,IF(01_因子設定!$B$13="最大化",X670,IF(01_因子設定!$B$13="最小化",-X670,-ABS(X670-01_因子設定!$B$16))),-1E+030)</f>
        <v>39.3335891812866</v>
      </c>
      <c r="AF670" s="55" t="n">
        <f aca="false">AD670+ROW()*0.000000001</f>
        <v>-8.82073620454948</v>
      </c>
      <c r="AG670" s="55" t="n">
        <f aca="false">AE670+ROW()*0.000000001</f>
        <v>39.3335898512866</v>
      </c>
    </row>
    <row r="671" customFormat="false" ht="15" hidden="false" customHeight="false" outlineLevel="0" collapsed="false">
      <c r="A671" s="0" t="n">
        <v>0</v>
      </c>
      <c r="B671" s="0" t="n">
        <v>8</v>
      </c>
      <c r="C671" s="0" t="n">
        <v>2</v>
      </c>
      <c r="D671" s="0" t="n">
        <v>0</v>
      </c>
      <c r="E671" s="0" t="n">
        <f aca="false">-1+A671*0.25</f>
        <v>-1</v>
      </c>
      <c r="F671" s="0" t="n">
        <f aca="false">-1+B671*0.25</f>
        <v>1</v>
      </c>
      <c r="G671" s="0" t="n">
        <f aca="false">-1+C671*0.25</f>
        <v>-0.5</v>
      </c>
      <c r="H671" s="0" t="n">
        <f aca="false">-1+D671*0.25</f>
        <v>-1</v>
      </c>
      <c r="I671" s="0" t="n">
        <f aca="false">1</f>
        <v>1</v>
      </c>
      <c r="J671" s="0" t="n">
        <f aca="false">E671</f>
        <v>-1</v>
      </c>
      <c r="K671" s="0" t="n">
        <f aca="false">F671</f>
        <v>1</v>
      </c>
      <c r="L671" s="0" t="n">
        <f aca="false">G671</f>
        <v>-0.5</v>
      </c>
      <c r="M671" s="0" t="n">
        <f aca="false">H671</f>
        <v>-1</v>
      </c>
      <c r="N671" s="0" t="n">
        <f aca="false">E671*F671</f>
        <v>-1</v>
      </c>
      <c r="O671" s="0" t="n">
        <f aca="false">E671*G671</f>
        <v>0.5</v>
      </c>
      <c r="P671" s="0" t="n">
        <f aca="false">E671*H671</f>
        <v>1</v>
      </c>
      <c r="Q671" s="0" t="n">
        <f aca="false">F671*G671</f>
        <v>-0.5</v>
      </c>
      <c r="R671" s="0" t="n">
        <f aca="false">F671*H671</f>
        <v>-1</v>
      </c>
      <c r="S671" s="0" t="n">
        <f aca="false">G671*H671</f>
        <v>0.5</v>
      </c>
      <c r="T671" s="0" t="n">
        <f aca="false">E671*E671</f>
        <v>1</v>
      </c>
      <c r="U671" s="0" t="n">
        <f aca="false">F671*F671</f>
        <v>1</v>
      </c>
      <c r="V671" s="0" t="n">
        <f aca="false">G671*G671</f>
        <v>0.25</v>
      </c>
      <c r="W671" s="0" t="n">
        <f aca="false">H671*H671</f>
        <v>1</v>
      </c>
      <c r="X671" s="0" t="n">
        <f aca="false">SUMPRODUCT(I671:W671,_XtX!$B$96:$P$96)</f>
        <v>40.2565789473685</v>
      </c>
      <c r="Y671" s="0" t="n">
        <f aca="false">SUMPRODUCT(MMULT(I671:W671,_XtX!$B$78:$P$92),I671:W671)</f>
        <v>0.667123538011696</v>
      </c>
      <c r="Z671" s="0" t="n">
        <f aca="false">04_回帰ANOVA!$K$19*04_回帰ANOVA!$K$14*SQRT(1+Y671)</f>
        <v>1.68299290213005</v>
      </c>
      <c r="AA671" s="0" t="n">
        <f aca="false">X671-Z671</f>
        <v>38.5735860452384</v>
      </c>
      <c r="AB671" s="0" t="n">
        <f aca="false">X671+Z671</f>
        <v>41.9395718494985</v>
      </c>
      <c r="AC671" s="54" t="b">
        <f aca="false">AND(E671&gt;=01_因子設定!$L$5-0.000000001,E671&lt;=01_因子設定!$M$5+0.000000001,F671&gt;=01_因子設定!$L$6-0.000000001,F671&lt;=01_因子設定!$M$6+0.000000001,G671&gt;=01_因子設定!$L$7-0.000000001,G671&lt;=01_因子設定!$M$7+0.000000001,H671&gt;=01_因子設定!$L$8-0.000000001,H671&lt;=01_因子設定!$M$8+0.000000001,IF(01_因子設定!$B$20="Box-Behnken",E671^2+F671^2+G671^2+H671^2&lt;=2+0.000000001,TRUE()))</f>
        <v>1</v>
      </c>
      <c r="AD671" s="55" t="n">
        <f aca="false">IF(AC671,IF(01_因子設定!$B$13="最大化",AA671-01_因子設定!$B$14,IF(01_因子設定!$B$13="最小化",01_因子設定!$B$15-AB671,MIN(AA671-01_因子設定!$B$14,01_因子設定!$B$15-AB671))),-1E+030)</f>
        <v>-7.92641395476156</v>
      </c>
      <c r="AE671" s="55" t="n">
        <f aca="false">IF(AC671,IF(01_因子設定!$B$13="最大化",X671,IF(01_因子設定!$B$13="最小化",-X671,-ABS(X671-01_因子設定!$B$16))),-1E+030)</f>
        <v>40.2565789473685</v>
      </c>
      <c r="AF671" s="55" t="n">
        <f aca="false">AD671+ROW()*0.000000001</f>
        <v>-7.92641328376157</v>
      </c>
      <c r="AG671" s="55" t="n">
        <f aca="false">AE671+ROW()*0.000000001</f>
        <v>40.2565796183685</v>
      </c>
    </row>
    <row r="672" customFormat="false" ht="15" hidden="false" customHeight="false" outlineLevel="0" collapsed="false">
      <c r="A672" s="0" t="n">
        <v>0</v>
      </c>
      <c r="B672" s="0" t="n">
        <v>8</v>
      </c>
      <c r="C672" s="0" t="n">
        <v>2</v>
      </c>
      <c r="D672" s="0" t="n">
        <v>1</v>
      </c>
      <c r="E672" s="0" t="n">
        <f aca="false">-1+A672*0.25</f>
        <v>-1</v>
      </c>
      <c r="F672" s="0" t="n">
        <f aca="false">-1+B672*0.25</f>
        <v>1</v>
      </c>
      <c r="G672" s="0" t="n">
        <f aca="false">-1+C672*0.25</f>
        <v>-0.5</v>
      </c>
      <c r="H672" s="0" t="n">
        <f aca="false">-1+D672*0.25</f>
        <v>-0.75</v>
      </c>
      <c r="I672" s="0" t="n">
        <f aca="false">1</f>
        <v>1</v>
      </c>
      <c r="J672" s="0" t="n">
        <f aca="false">E672</f>
        <v>-1</v>
      </c>
      <c r="K672" s="0" t="n">
        <f aca="false">F672</f>
        <v>1</v>
      </c>
      <c r="L672" s="0" t="n">
        <f aca="false">G672</f>
        <v>-0.5</v>
      </c>
      <c r="M672" s="0" t="n">
        <f aca="false">H672</f>
        <v>-0.75</v>
      </c>
      <c r="N672" s="0" t="n">
        <f aca="false">E672*F672</f>
        <v>-1</v>
      </c>
      <c r="O672" s="0" t="n">
        <f aca="false">E672*G672</f>
        <v>0.5</v>
      </c>
      <c r="P672" s="0" t="n">
        <f aca="false">E672*H672</f>
        <v>0.75</v>
      </c>
      <c r="Q672" s="0" t="n">
        <f aca="false">F672*G672</f>
        <v>-0.5</v>
      </c>
      <c r="R672" s="0" t="n">
        <f aca="false">F672*H672</f>
        <v>-0.75</v>
      </c>
      <c r="S672" s="0" t="n">
        <f aca="false">G672*H672</f>
        <v>0.375</v>
      </c>
      <c r="T672" s="0" t="n">
        <f aca="false">E672*E672</f>
        <v>1</v>
      </c>
      <c r="U672" s="0" t="n">
        <f aca="false">F672*F672</f>
        <v>1</v>
      </c>
      <c r="V672" s="0" t="n">
        <f aca="false">G672*G672</f>
        <v>0.25</v>
      </c>
      <c r="W672" s="0" t="n">
        <f aca="false">H672*H672</f>
        <v>0.5625</v>
      </c>
      <c r="X672" s="0" t="n">
        <f aca="false">SUMPRODUCT(I672:W672,_XtX!$B$96:$P$96)</f>
        <v>40.4049798976609</v>
      </c>
      <c r="Y672" s="0" t="n">
        <f aca="false">SUMPRODUCT(MMULT(I672:W672,_XtX!$B$78:$P$92),I672:W672)</f>
        <v>0.564984237938597</v>
      </c>
      <c r="Z672" s="0" t="n">
        <f aca="false">04_回帰ANOVA!$K$19*04_回帰ANOVA!$K$14*SQRT(1+Y672)</f>
        <v>1.63062229734503</v>
      </c>
      <c r="AA672" s="0" t="n">
        <f aca="false">X672-Z672</f>
        <v>38.7743576003158</v>
      </c>
      <c r="AB672" s="0" t="n">
        <f aca="false">X672+Z672</f>
        <v>42.0356021950059</v>
      </c>
      <c r="AC672" s="54" t="b">
        <f aca="false">AND(E672&gt;=01_因子設定!$L$5-0.000000001,E672&lt;=01_因子設定!$M$5+0.000000001,F672&gt;=01_因子設定!$L$6-0.000000001,F672&lt;=01_因子設定!$M$6+0.000000001,G672&gt;=01_因子設定!$L$7-0.000000001,G672&lt;=01_因子設定!$M$7+0.000000001,H672&gt;=01_因子設定!$L$8-0.000000001,H672&lt;=01_因子設定!$M$8+0.000000001,IF(01_因子設定!$B$20="Box-Behnken",E672^2+F672^2+G672^2+H672^2&lt;=2+0.000000001,TRUE()))</f>
        <v>1</v>
      </c>
      <c r="AD672" s="55" t="n">
        <f aca="false">IF(AC672,IF(01_因子設定!$B$13="最大化",AA672-01_因子設定!$B$14,IF(01_因子設定!$B$13="最小化",01_因子設定!$B$15-AB672,MIN(AA672-01_因子設定!$B$14,01_因子設定!$B$15-AB672))),-1E+030)</f>
        <v>-7.72564239968417</v>
      </c>
      <c r="AE672" s="55" t="n">
        <f aca="false">IF(AC672,IF(01_因子設定!$B$13="最大化",X672,IF(01_因子設定!$B$13="最小化",-X672,-ABS(X672-01_因子設定!$B$16))),-1E+030)</f>
        <v>40.4049798976609</v>
      </c>
      <c r="AF672" s="55" t="n">
        <f aca="false">AD672+ROW()*0.000000001</f>
        <v>-7.72564172768417</v>
      </c>
      <c r="AG672" s="55" t="n">
        <f aca="false">AE672+ROW()*0.000000001</f>
        <v>40.4049805696609</v>
      </c>
    </row>
    <row r="673" customFormat="false" ht="15" hidden="false" customHeight="false" outlineLevel="0" collapsed="false">
      <c r="A673" s="0" t="n">
        <v>0</v>
      </c>
      <c r="B673" s="0" t="n">
        <v>8</v>
      </c>
      <c r="C673" s="0" t="n">
        <v>2</v>
      </c>
      <c r="D673" s="0" t="n">
        <v>2</v>
      </c>
      <c r="E673" s="0" t="n">
        <f aca="false">-1+A673*0.25</f>
        <v>-1</v>
      </c>
      <c r="F673" s="0" t="n">
        <f aca="false">-1+B673*0.25</f>
        <v>1</v>
      </c>
      <c r="G673" s="0" t="n">
        <f aca="false">-1+C673*0.25</f>
        <v>-0.5</v>
      </c>
      <c r="H673" s="0" t="n">
        <f aca="false">-1+D673*0.25</f>
        <v>-0.5</v>
      </c>
      <c r="I673" s="0" t="n">
        <f aca="false">1</f>
        <v>1</v>
      </c>
      <c r="J673" s="0" t="n">
        <f aca="false">E673</f>
        <v>-1</v>
      </c>
      <c r="K673" s="0" t="n">
        <f aca="false">F673</f>
        <v>1</v>
      </c>
      <c r="L673" s="0" t="n">
        <f aca="false">G673</f>
        <v>-0.5</v>
      </c>
      <c r="M673" s="0" t="n">
        <f aca="false">H673</f>
        <v>-0.5</v>
      </c>
      <c r="N673" s="0" t="n">
        <f aca="false">E673*F673</f>
        <v>-1</v>
      </c>
      <c r="O673" s="0" t="n">
        <f aca="false">E673*G673</f>
        <v>0.5</v>
      </c>
      <c r="P673" s="0" t="n">
        <f aca="false">E673*H673</f>
        <v>0.5</v>
      </c>
      <c r="Q673" s="0" t="n">
        <f aca="false">F673*G673</f>
        <v>-0.5</v>
      </c>
      <c r="R673" s="0" t="n">
        <f aca="false">F673*H673</f>
        <v>-0.5</v>
      </c>
      <c r="S673" s="0" t="n">
        <f aca="false">G673*H673</f>
        <v>0.25</v>
      </c>
      <c r="T673" s="0" t="n">
        <f aca="false">E673*E673</f>
        <v>1</v>
      </c>
      <c r="U673" s="0" t="n">
        <f aca="false">F673*F673</f>
        <v>1</v>
      </c>
      <c r="V673" s="0" t="n">
        <f aca="false">G673*G673</f>
        <v>0.25</v>
      </c>
      <c r="W673" s="0" t="n">
        <f aca="false">H673*H673</f>
        <v>0.25</v>
      </c>
      <c r="X673" s="0" t="n">
        <f aca="false">SUMPRODUCT(I673:W673,_XtX!$B$96:$P$96)</f>
        <v>40.5055738304094</v>
      </c>
      <c r="Y673" s="0" t="n">
        <f aca="false">SUMPRODUCT(MMULT(I673:W673,_XtX!$B$78:$P$92),I673:W673)</f>
        <v>0.582488121345029</v>
      </c>
      <c r="Z673" s="0" t="n">
        <f aca="false">04_回帰ANOVA!$K$19*04_回帰ANOVA!$K$14*SQRT(1+Y673)</f>
        <v>1.63971595338287</v>
      </c>
      <c r="AA673" s="0" t="n">
        <f aca="false">X673-Z673</f>
        <v>38.8658578770265</v>
      </c>
      <c r="AB673" s="0" t="n">
        <f aca="false">X673+Z673</f>
        <v>42.1452897837923</v>
      </c>
      <c r="AC673" s="54" t="b">
        <f aca="false">AND(E673&gt;=01_因子設定!$L$5-0.000000001,E673&lt;=01_因子設定!$M$5+0.000000001,F673&gt;=01_因子設定!$L$6-0.000000001,F673&lt;=01_因子設定!$M$6+0.000000001,G673&gt;=01_因子設定!$L$7-0.000000001,G673&lt;=01_因子設定!$M$7+0.000000001,H673&gt;=01_因子設定!$L$8-0.000000001,H673&lt;=01_因子設定!$M$8+0.000000001,IF(01_因子設定!$B$20="Box-Behnken",E673^2+F673^2+G673^2+H673^2&lt;=2+0.000000001,TRUE()))</f>
        <v>1</v>
      </c>
      <c r="AD673" s="55" t="n">
        <f aca="false">IF(AC673,IF(01_因子設定!$B$13="最大化",AA673-01_因子設定!$B$14,IF(01_因子設定!$B$13="最小化",01_因子設定!$B$15-AB673,MIN(AA673-01_因子設定!$B$14,01_因子設定!$B$15-AB673))),-1E+030)</f>
        <v>-7.63414212297348</v>
      </c>
      <c r="AE673" s="55" t="n">
        <f aca="false">IF(AC673,IF(01_因子設定!$B$13="最大化",X673,IF(01_因子設定!$B$13="最小化",-X673,-ABS(X673-01_因子設定!$B$16))),-1E+030)</f>
        <v>40.5055738304094</v>
      </c>
      <c r="AF673" s="55" t="n">
        <f aca="false">AD673+ROW()*0.000000001</f>
        <v>-7.63414144997348</v>
      </c>
      <c r="AG673" s="55" t="n">
        <f aca="false">AE673+ROW()*0.000000001</f>
        <v>40.5055745034094</v>
      </c>
    </row>
    <row r="674" customFormat="false" ht="15" hidden="false" customHeight="false" outlineLevel="0" collapsed="false">
      <c r="A674" s="0" t="n">
        <v>0</v>
      </c>
      <c r="B674" s="0" t="n">
        <v>8</v>
      </c>
      <c r="C674" s="0" t="n">
        <v>2</v>
      </c>
      <c r="D674" s="0" t="n">
        <v>3</v>
      </c>
      <c r="E674" s="0" t="n">
        <f aca="false">-1+A674*0.25</f>
        <v>-1</v>
      </c>
      <c r="F674" s="0" t="n">
        <f aca="false">-1+B674*0.25</f>
        <v>1</v>
      </c>
      <c r="G674" s="0" t="n">
        <f aca="false">-1+C674*0.25</f>
        <v>-0.5</v>
      </c>
      <c r="H674" s="0" t="n">
        <f aca="false">-1+D674*0.25</f>
        <v>-0.25</v>
      </c>
      <c r="I674" s="0" t="n">
        <f aca="false">1</f>
        <v>1</v>
      </c>
      <c r="J674" s="0" t="n">
        <f aca="false">E674</f>
        <v>-1</v>
      </c>
      <c r="K674" s="0" t="n">
        <f aca="false">F674</f>
        <v>1</v>
      </c>
      <c r="L674" s="0" t="n">
        <f aca="false">G674</f>
        <v>-0.5</v>
      </c>
      <c r="M674" s="0" t="n">
        <f aca="false">H674</f>
        <v>-0.25</v>
      </c>
      <c r="N674" s="0" t="n">
        <f aca="false">E674*F674</f>
        <v>-1</v>
      </c>
      <c r="O674" s="0" t="n">
        <f aca="false">E674*G674</f>
        <v>0.5</v>
      </c>
      <c r="P674" s="0" t="n">
        <f aca="false">E674*H674</f>
        <v>0.25</v>
      </c>
      <c r="Q674" s="0" t="n">
        <f aca="false">F674*G674</f>
        <v>-0.5</v>
      </c>
      <c r="R674" s="0" t="n">
        <f aca="false">F674*H674</f>
        <v>-0.25</v>
      </c>
      <c r="S674" s="0" t="n">
        <f aca="false">G674*H674</f>
        <v>0.125</v>
      </c>
      <c r="T674" s="0" t="n">
        <f aca="false">E674*E674</f>
        <v>1</v>
      </c>
      <c r="U674" s="0" t="n">
        <f aca="false">F674*F674</f>
        <v>1</v>
      </c>
      <c r="V674" s="0" t="n">
        <f aca="false">G674*G674</f>
        <v>0.25</v>
      </c>
      <c r="W674" s="0" t="n">
        <f aca="false">H674*H674</f>
        <v>0.0625</v>
      </c>
      <c r="X674" s="0" t="n">
        <f aca="false">SUMPRODUCT(I674:W674,_XtX!$B$96:$P$96)</f>
        <v>40.5583607456141</v>
      </c>
      <c r="Y674" s="0" t="n">
        <f aca="false">SUMPRODUCT(MMULT(I674:W674,_XtX!$B$78:$P$92),I674:W674)</f>
        <v>0.629174661915205</v>
      </c>
      <c r="Z674" s="0" t="n">
        <f aca="false">04_回帰ANOVA!$K$19*04_回帰ANOVA!$K$14*SQRT(1+Y674)</f>
        <v>1.66372758058297</v>
      </c>
      <c r="AA674" s="0" t="n">
        <f aca="false">X674-Z674</f>
        <v>38.8946331650311</v>
      </c>
      <c r="AB674" s="0" t="n">
        <f aca="false">X674+Z674</f>
        <v>42.222088326197</v>
      </c>
      <c r="AC674" s="54" t="b">
        <f aca="false">AND(E674&gt;=01_因子設定!$L$5-0.000000001,E674&lt;=01_因子設定!$M$5+0.000000001,F674&gt;=01_因子設定!$L$6-0.000000001,F674&lt;=01_因子設定!$M$6+0.000000001,G674&gt;=01_因子設定!$L$7-0.000000001,G674&lt;=01_因子設定!$M$7+0.000000001,H674&gt;=01_因子設定!$L$8-0.000000001,H674&lt;=01_因子設定!$M$8+0.000000001,IF(01_因子設定!$B$20="Box-Behnken",E674^2+F674^2+G674^2+H674^2&lt;=2+0.000000001,TRUE()))</f>
        <v>1</v>
      </c>
      <c r="AD674" s="55" t="n">
        <f aca="false">IF(AC674,IF(01_因子設定!$B$13="最大化",AA674-01_因子設定!$B$14,IF(01_因子設定!$B$13="最小化",01_因子設定!$B$15-AB674,MIN(AA674-01_因子設定!$B$14,01_因子設定!$B$15-AB674))),-1E+030)</f>
        <v>-7.60536683496891</v>
      </c>
      <c r="AE674" s="55" t="n">
        <f aca="false">IF(AC674,IF(01_因子設定!$B$13="最大化",X674,IF(01_因子設定!$B$13="最小化",-X674,-ABS(X674-01_因子設定!$B$16))),-1E+030)</f>
        <v>40.5583607456141</v>
      </c>
      <c r="AF674" s="55" t="n">
        <f aca="false">AD674+ROW()*0.000000001</f>
        <v>-7.60536616096891</v>
      </c>
      <c r="AG674" s="55" t="n">
        <f aca="false">AE674+ROW()*0.000000001</f>
        <v>40.5583614196141</v>
      </c>
    </row>
    <row r="675" customFormat="false" ht="15" hidden="false" customHeight="false" outlineLevel="0" collapsed="false">
      <c r="A675" s="0" t="n">
        <v>0</v>
      </c>
      <c r="B675" s="0" t="n">
        <v>8</v>
      </c>
      <c r="C675" s="0" t="n">
        <v>2</v>
      </c>
      <c r="D675" s="0" t="n">
        <v>4</v>
      </c>
      <c r="E675" s="0" t="n">
        <f aca="false">-1+A675*0.25</f>
        <v>-1</v>
      </c>
      <c r="F675" s="0" t="n">
        <f aca="false">-1+B675*0.25</f>
        <v>1</v>
      </c>
      <c r="G675" s="0" t="n">
        <f aca="false">-1+C675*0.25</f>
        <v>-0.5</v>
      </c>
      <c r="H675" s="0" t="n">
        <f aca="false">-1+D675*0.25</f>
        <v>0</v>
      </c>
      <c r="I675" s="0" t="n">
        <f aca="false">1</f>
        <v>1</v>
      </c>
      <c r="J675" s="0" t="n">
        <f aca="false">E675</f>
        <v>-1</v>
      </c>
      <c r="K675" s="0" t="n">
        <f aca="false">F675</f>
        <v>1</v>
      </c>
      <c r="L675" s="0" t="n">
        <f aca="false">G675</f>
        <v>-0.5</v>
      </c>
      <c r="M675" s="0" t="n">
        <f aca="false">H675</f>
        <v>0</v>
      </c>
      <c r="N675" s="0" t="n">
        <f aca="false">E675*F675</f>
        <v>-1</v>
      </c>
      <c r="O675" s="0" t="n">
        <f aca="false">E675*G675</f>
        <v>0.5</v>
      </c>
      <c r="P675" s="0" t="n">
        <f aca="false">E675*H675</f>
        <v>-0</v>
      </c>
      <c r="Q675" s="0" t="n">
        <f aca="false">F675*G675</f>
        <v>-0.5</v>
      </c>
      <c r="R675" s="0" t="n">
        <f aca="false">F675*H675</f>
        <v>0</v>
      </c>
      <c r="S675" s="0" t="n">
        <f aca="false">G675*H675</f>
        <v>-0</v>
      </c>
      <c r="T675" s="0" t="n">
        <f aca="false">E675*E675</f>
        <v>1</v>
      </c>
      <c r="U675" s="0" t="n">
        <f aca="false">F675*F675</f>
        <v>1</v>
      </c>
      <c r="V675" s="0" t="n">
        <f aca="false">G675*G675</f>
        <v>0.25</v>
      </c>
      <c r="W675" s="0" t="n">
        <f aca="false">H675*H675</f>
        <v>0</v>
      </c>
      <c r="X675" s="0" t="n">
        <f aca="false">SUMPRODUCT(I675:W675,_XtX!$B$96:$P$96)</f>
        <v>40.5633406432749</v>
      </c>
      <c r="Y675" s="0" t="n">
        <f aca="false">SUMPRODUCT(MMULT(I675:W675,_XtX!$B$78:$P$92),I675:W675)</f>
        <v>0.650767543859649</v>
      </c>
      <c r="Z675" s="0" t="n">
        <f aca="false">04_回帰ANOVA!$K$19*04_回帰ANOVA!$K$14*SQRT(1+Y675)</f>
        <v>1.67471670935165</v>
      </c>
      <c r="AA675" s="0" t="n">
        <f aca="false">X675-Z675</f>
        <v>38.8886239339232</v>
      </c>
      <c r="AB675" s="0" t="n">
        <f aca="false">X675+Z675</f>
        <v>42.2380573526265</v>
      </c>
      <c r="AC675" s="54" t="b">
        <f aca="false">AND(E675&gt;=01_因子設定!$L$5-0.000000001,E675&lt;=01_因子設定!$M$5+0.000000001,F675&gt;=01_因子設定!$L$6-0.000000001,F675&lt;=01_因子設定!$M$6+0.000000001,G675&gt;=01_因子設定!$L$7-0.000000001,G675&lt;=01_因子設定!$M$7+0.000000001,H675&gt;=01_因子設定!$L$8-0.000000001,H675&lt;=01_因子設定!$M$8+0.000000001,IF(01_因子設定!$B$20="Box-Behnken",E675^2+F675^2+G675^2+H675^2&lt;=2+0.000000001,TRUE()))</f>
        <v>1</v>
      </c>
      <c r="AD675" s="55" t="n">
        <f aca="false">IF(AC675,IF(01_因子設定!$B$13="最大化",AA675-01_因子設定!$B$14,IF(01_因子設定!$B$13="最小化",01_因子設定!$B$15-AB675,MIN(AA675-01_因子設定!$B$14,01_因子設定!$B$15-AB675))),-1E+030)</f>
        <v>-7.61137606607677</v>
      </c>
      <c r="AE675" s="55" t="n">
        <f aca="false">IF(AC675,IF(01_因子設定!$B$13="最大化",X675,IF(01_因子設定!$B$13="最小化",-X675,-ABS(X675-01_因子設定!$B$16))),-1E+030)</f>
        <v>40.5633406432749</v>
      </c>
      <c r="AF675" s="55" t="n">
        <f aca="false">AD675+ROW()*0.000000001</f>
        <v>-7.61137539107677</v>
      </c>
      <c r="AG675" s="55" t="n">
        <f aca="false">AE675+ROW()*0.000000001</f>
        <v>40.5633413182749</v>
      </c>
    </row>
    <row r="676" customFormat="false" ht="15" hidden="false" customHeight="false" outlineLevel="0" collapsed="false">
      <c r="A676" s="0" t="n">
        <v>0</v>
      </c>
      <c r="B676" s="0" t="n">
        <v>8</v>
      </c>
      <c r="C676" s="0" t="n">
        <v>2</v>
      </c>
      <c r="D676" s="0" t="n">
        <v>5</v>
      </c>
      <c r="E676" s="0" t="n">
        <f aca="false">-1+A676*0.25</f>
        <v>-1</v>
      </c>
      <c r="F676" s="0" t="n">
        <f aca="false">-1+B676*0.25</f>
        <v>1</v>
      </c>
      <c r="G676" s="0" t="n">
        <f aca="false">-1+C676*0.25</f>
        <v>-0.5</v>
      </c>
      <c r="H676" s="0" t="n">
        <f aca="false">-1+D676*0.25</f>
        <v>0.25</v>
      </c>
      <c r="I676" s="0" t="n">
        <f aca="false">1</f>
        <v>1</v>
      </c>
      <c r="J676" s="0" t="n">
        <f aca="false">E676</f>
        <v>-1</v>
      </c>
      <c r="K676" s="0" t="n">
        <f aca="false">F676</f>
        <v>1</v>
      </c>
      <c r="L676" s="0" t="n">
        <f aca="false">G676</f>
        <v>-0.5</v>
      </c>
      <c r="M676" s="0" t="n">
        <f aca="false">H676</f>
        <v>0.25</v>
      </c>
      <c r="N676" s="0" t="n">
        <f aca="false">E676*F676</f>
        <v>-1</v>
      </c>
      <c r="O676" s="0" t="n">
        <f aca="false">E676*G676</f>
        <v>0.5</v>
      </c>
      <c r="P676" s="0" t="n">
        <f aca="false">E676*H676</f>
        <v>-0.25</v>
      </c>
      <c r="Q676" s="0" t="n">
        <f aca="false">F676*G676</f>
        <v>-0.5</v>
      </c>
      <c r="R676" s="0" t="n">
        <f aca="false">F676*H676</f>
        <v>0.25</v>
      </c>
      <c r="S676" s="0" t="n">
        <f aca="false">G676*H676</f>
        <v>-0.125</v>
      </c>
      <c r="T676" s="0" t="n">
        <f aca="false">E676*E676</f>
        <v>1</v>
      </c>
      <c r="U676" s="0" t="n">
        <f aca="false">F676*F676</f>
        <v>1</v>
      </c>
      <c r="V676" s="0" t="n">
        <f aca="false">G676*G676</f>
        <v>0.25</v>
      </c>
      <c r="W676" s="0" t="n">
        <f aca="false">H676*H676</f>
        <v>0.0625</v>
      </c>
      <c r="X676" s="0" t="n">
        <f aca="false">SUMPRODUCT(I676:W676,_XtX!$B$96:$P$96)</f>
        <v>40.5205135233918</v>
      </c>
      <c r="Y676" s="0" t="n">
        <f aca="false">SUMPRODUCT(MMULT(I676:W676,_XtX!$B$78:$P$92),I676:W676)</f>
        <v>0.629174661915205</v>
      </c>
      <c r="Z676" s="0" t="n">
        <f aca="false">04_回帰ANOVA!$K$19*04_回帰ANOVA!$K$14*SQRT(1+Y676)</f>
        <v>1.66372758058297</v>
      </c>
      <c r="AA676" s="0" t="n">
        <f aca="false">X676-Z676</f>
        <v>38.8567859428089</v>
      </c>
      <c r="AB676" s="0" t="n">
        <f aca="false">X676+Z676</f>
        <v>42.1842411039748</v>
      </c>
      <c r="AC676" s="54" t="b">
        <f aca="false">AND(E676&gt;=01_因子設定!$L$5-0.000000001,E676&lt;=01_因子設定!$M$5+0.000000001,F676&gt;=01_因子設定!$L$6-0.000000001,F676&lt;=01_因子設定!$M$6+0.000000001,G676&gt;=01_因子設定!$L$7-0.000000001,G676&lt;=01_因子設定!$M$7+0.000000001,H676&gt;=01_因子設定!$L$8-0.000000001,H676&lt;=01_因子設定!$M$8+0.000000001,IF(01_因子設定!$B$20="Box-Behnken",E676^2+F676^2+G676^2+H676^2&lt;=2+0.000000001,TRUE()))</f>
        <v>1</v>
      </c>
      <c r="AD676" s="55" t="n">
        <f aca="false">IF(AC676,IF(01_因子設定!$B$13="最大化",AA676-01_因子設定!$B$14,IF(01_因子設定!$B$13="最小化",01_因子設定!$B$15-AB676,MIN(AA676-01_因子設定!$B$14,01_因子設定!$B$15-AB676))),-1E+030)</f>
        <v>-7.64321405719113</v>
      </c>
      <c r="AE676" s="55" t="n">
        <f aca="false">IF(AC676,IF(01_因子設定!$B$13="最大化",X676,IF(01_因子設定!$B$13="最小化",-X676,-ABS(X676-01_因子設定!$B$16))),-1E+030)</f>
        <v>40.5205135233918</v>
      </c>
      <c r="AF676" s="55" t="n">
        <f aca="false">AD676+ROW()*0.000000001</f>
        <v>-7.64321338119113</v>
      </c>
      <c r="AG676" s="55" t="n">
        <f aca="false">AE676+ROW()*0.000000001</f>
        <v>40.5205141993918</v>
      </c>
    </row>
    <row r="677" customFormat="false" ht="15" hidden="false" customHeight="false" outlineLevel="0" collapsed="false">
      <c r="A677" s="0" t="n">
        <v>0</v>
      </c>
      <c r="B677" s="0" t="n">
        <v>8</v>
      </c>
      <c r="C677" s="0" t="n">
        <v>2</v>
      </c>
      <c r="D677" s="0" t="n">
        <v>6</v>
      </c>
      <c r="E677" s="0" t="n">
        <f aca="false">-1+A677*0.25</f>
        <v>-1</v>
      </c>
      <c r="F677" s="0" t="n">
        <f aca="false">-1+B677*0.25</f>
        <v>1</v>
      </c>
      <c r="G677" s="0" t="n">
        <f aca="false">-1+C677*0.25</f>
        <v>-0.5</v>
      </c>
      <c r="H677" s="0" t="n">
        <f aca="false">-1+D677*0.25</f>
        <v>0.5</v>
      </c>
      <c r="I677" s="0" t="n">
        <f aca="false">1</f>
        <v>1</v>
      </c>
      <c r="J677" s="0" t="n">
        <f aca="false">E677</f>
        <v>-1</v>
      </c>
      <c r="K677" s="0" t="n">
        <f aca="false">F677</f>
        <v>1</v>
      </c>
      <c r="L677" s="0" t="n">
        <f aca="false">G677</f>
        <v>-0.5</v>
      </c>
      <c r="M677" s="0" t="n">
        <f aca="false">H677</f>
        <v>0.5</v>
      </c>
      <c r="N677" s="0" t="n">
        <f aca="false">E677*F677</f>
        <v>-1</v>
      </c>
      <c r="O677" s="0" t="n">
        <f aca="false">E677*G677</f>
        <v>0.5</v>
      </c>
      <c r="P677" s="0" t="n">
        <f aca="false">E677*H677</f>
        <v>-0.5</v>
      </c>
      <c r="Q677" s="0" t="n">
        <f aca="false">F677*G677</f>
        <v>-0.5</v>
      </c>
      <c r="R677" s="0" t="n">
        <f aca="false">F677*H677</f>
        <v>0.5</v>
      </c>
      <c r="S677" s="0" t="n">
        <f aca="false">G677*H677</f>
        <v>-0.25</v>
      </c>
      <c r="T677" s="0" t="n">
        <f aca="false">E677*E677</f>
        <v>1</v>
      </c>
      <c r="U677" s="0" t="n">
        <f aca="false">F677*F677</f>
        <v>1</v>
      </c>
      <c r="V677" s="0" t="n">
        <f aca="false">G677*G677</f>
        <v>0.25</v>
      </c>
      <c r="W677" s="0" t="n">
        <f aca="false">H677*H677</f>
        <v>0.25</v>
      </c>
      <c r="X677" s="0" t="n">
        <f aca="false">SUMPRODUCT(I677:W677,_XtX!$B$96:$P$96)</f>
        <v>40.4298793859649</v>
      </c>
      <c r="Y677" s="0" t="n">
        <f aca="false">SUMPRODUCT(MMULT(I677:W677,_XtX!$B$78:$P$92),I677:W677)</f>
        <v>0.582488121345029</v>
      </c>
      <c r="Z677" s="0" t="n">
        <f aca="false">04_回帰ANOVA!$K$19*04_回帰ANOVA!$K$14*SQRT(1+Y677)</f>
        <v>1.63971595338287</v>
      </c>
      <c r="AA677" s="0" t="n">
        <f aca="false">X677-Z677</f>
        <v>38.7901634325821</v>
      </c>
      <c r="AB677" s="0" t="n">
        <f aca="false">X677+Z677</f>
        <v>42.0695953393478</v>
      </c>
      <c r="AC677" s="54" t="b">
        <f aca="false">AND(E677&gt;=01_因子設定!$L$5-0.000000001,E677&lt;=01_因子設定!$M$5+0.000000001,F677&gt;=01_因子設定!$L$6-0.000000001,F677&lt;=01_因子設定!$M$6+0.000000001,G677&gt;=01_因子設定!$L$7-0.000000001,G677&lt;=01_因子設定!$M$7+0.000000001,H677&gt;=01_因子設定!$L$8-0.000000001,H677&lt;=01_因子設定!$M$8+0.000000001,IF(01_因子設定!$B$20="Box-Behnken",E677^2+F677^2+G677^2+H677^2&lt;=2+0.000000001,TRUE()))</f>
        <v>1</v>
      </c>
      <c r="AD677" s="55" t="n">
        <f aca="false">IF(AC677,IF(01_因子設定!$B$13="最大化",AA677-01_因子設定!$B$14,IF(01_因子設定!$B$13="最小化",01_因子設定!$B$15-AB677,MIN(AA677-01_因子設定!$B$14,01_因子設定!$B$15-AB677))),-1E+030)</f>
        <v>-7.70983656741792</v>
      </c>
      <c r="AE677" s="55" t="n">
        <f aca="false">IF(AC677,IF(01_因子設定!$B$13="最大化",X677,IF(01_因子設定!$B$13="最小化",-X677,-ABS(X677-01_因子設定!$B$16))),-1E+030)</f>
        <v>40.4298793859649</v>
      </c>
      <c r="AF677" s="55" t="n">
        <f aca="false">AD677+ROW()*0.000000001</f>
        <v>-7.70983589041792</v>
      </c>
      <c r="AG677" s="55" t="n">
        <f aca="false">AE677+ROW()*0.000000001</f>
        <v>40.429880062965</v>
      </c>
    </row>
    <row r="678" customFormat="false" ht="15" hidden="false" customHeight="false" outlineLevel="0" collapsed="false">
      <c r="A678" s="0" t="n">
        <v>0</v>
      </c>
      <c r="B678" s="0" t="n">
        <v>8</v>
      </c>
      <c r="C678" s="0" t="n">
        <v>2</v>
      </c>
      <c r="D678" s="0" t="n">
        <v>7</v>
      </c>
      <c r="E678" s="0" t="n">
        <f aca="false">-1+A678*0.25</f>
        <v>-1</v>
      </c>
      <c r="F678" s="0" t="n">
        <f aca="false">-1+B678*0.25</f>
        <v>1</v>
      </c>
      <c r="G678" s="0" t="n">
        <f aca="false">-1+C678*0.25</f>
        <v>-0.5</v>
      </c>
      <c r="H678" s="0" t="n">
        <f aca="false">-1+D678*0.25</f>
        <v>0.75</v>
      </c>
      <c r="I678" s="0" t="n">
        <f aca="false">1</f>
        <v>1</v>
      </c>
      <c r="J678" s="0" t="n">
        <f aca="false">E678</f>
        <v>-1</v>
      </c>
      <c r="K678" s="0" t="n">
        <f aca="false">F678</f>
        <v>1</v>
      </c>
      <c r="L678" s="0" t="n">
        <f aca="false">G678</f>
        <v>-0.5</v>
      </c>
      <c r="M678" s="0" t="n">
        <f aca="false">H678</f>
        <v>0.75</v>
      </c>
      <c r="N678" s="0" t="n">
        <f aca="false">E678*F678</f>
        <v>-1</v>
      </c>
      <c r="O678" s="0" t="n">
        <f aca="false">E678*G678</f>
        <v>0.5</v>
      </c>
      <c r="P678" s="0" t="n">
        <f aca="false">E678*H678</f>
        <v>-0.75</v>
      </c>
      <c r="Q678" s="0" t="n">
        <f aca="false">F678*G678</f>
        <v>-0.5</v>
      </c>
      <c r="R678" s="0" t="n">
        <f aca="false">F678*H678</f>
        <v>0.75</v>
      </c>
      <c r="S678" s="0" t="n">
        <f aca="false">G678*H678</f>
        <v>-0.375</v>
      </c>
      <c r="T678" s="0" t="n">
        <f aca="false">E678*E678</f>
        <v>1</v>
      </c>
      <c r="U678" s="0" t="n">
        <f aca="false">F678*F678</f>
        <v>1</v>
      </c>
      <c r="V678" s="0" t="n">
        <f aca="false">G678*G678</f>
        <v>0.25</v>
      </c>
      <c r="W678" s="0" t="n">
        <f aca="false">H678*H678</f>
        <v>0.5625</v>
      </c>
      <c r="X678" s="0" t="n">
        <f aca="false">SUMPRODUCT(I678:W678,_XtX!$B$96:$P$96)</f>
        <v>40.2914382309942</v>
      </c>
      <c r="Y678" s="0" t="n">
        <f aca="false">SUMPRODUCT(MMULT(I678:W678,_XtX!$B$78:$P$92),I678:W678)</f>
        <v>0.564984237938597</v>
      </c>
      <c r="Z678" s="0" t="n">
        <f aca="false">04_回帰ANOVA!$K$19*04_回帰ANOVA!$K$14*SQRT(1+Y678)</f>
        <v>1.63062229734503</v>
      </c>
      <c r="AA678" s="0" t="n">
        <f aca="false">X678-Z678</f>
        <v>38.6608159336492</v>
      </c>
      <c r="AB678" s="0" t="n">
        <f aca="false">X678+Z678</f>
        <v>41.9220605283392</v>
      </c>
      <c r="AC678" s="54" t="b">
        <f aca="false">AND(E678&gt;=01_因子設定!$L$5-0.000000001,E678&lt;=01_因子設定!$M$5+0.000000001,F678&gt;=01_因子設定!$L$6-0.000000001,F678&lt;=01_因子設定!$M$6+0.000000001,G678&gt;=01_因子設定!$L$7-0.000000001,G678&lt;=01_因子設定!$M$7+0.000000001,H678&gt;=01_因子設定!$L$8-0.000000001,H678&lt;=01_因子設定!$M$8+0.000000001,IF(01_因子設定!$B$20="Box-Behnken",E678^2+F678^2+G678^2+H678^2&lt;=2+0.000000001,TRUE()))</f>
        <v>1</v>
      </c>
      <c r="AD678" s="55" t="n">
        <f aca="false">IF(AC678,IF(01_因子設定!$B$13="最大化",AA678-01_因子設定!$B$14,IF(01_因子設定!$B$13="最小化",01_因子設定!$B$15-AB678,MIN(AA678-01_因子設定!$B$14,01_因子設定!$B$15-AB678))),-1E+030)</f>
        <v>-7.83918406635084</v>
      </c>
      <c r="AE678" s="55" t="n">
        <f aca="false">IF(AC678,IF(01_因子設定!$B$13="最大化",X678,IF(01_因子設定!$B$13="最小化",-X678,-ABS(X678-01_因子設定!$B$16))),-1E+030)</f>
        <v>40.2914382309942</v>
      </c>
      <c r="AF678" s="55" t="n">
        <f aca="false">AD678+ROW()*0.000000001</f>
        <v>-7.83918338835084</v>
      </c>
      <c r="AG678" s="55" t="n">
        <f aca="false">AE678+ROW()*0.000000001</f>
        <v>40.2914389089942</v>
      </c>
    </row>
    <row r="679" customFormat="false" ht="15" hidden="false" customHeight="false" outlineLevel="0" collapsed="false">
      <c r="A679" s="0" t="n">
        <v>0</v>
      </c>
      <c r="B679" s="0" t="n">
        <v>8</v>
      </c>
      <c r="C679" s="0" t="n">
        <v>2</v>
      </c>
      <c r="D679" s="0" t="n">
        <v>8</v>
      </c>
      <c r="E679" s="0" t="n">
        <f aca="false">-1+A679*0.25</f>
        <v>-1</v>
      </c>
      <c r="F679" s="0" t="n">
        <f aca="false">-1+B679*0.25</f>
        <v>1</v>
      </c>
      <c r="G679" s="0" t="n">
        <f aca="false">-1+C679*0.25</f>
        <v>-0.5</v>
      </c>
      <c r="H679" s="0" t="n">
        <f aca="false">-1+D679*0.25</f>
        <v>1</v>
      </c>
      <c r="I679" s="0" t="n">
        <f aca="false">1</f>
        <v>1</v>
      </c>
      <c r="J679" s="0" t="n">
        <f aca="false">E679</f>
        <v>-1</v>
      </c>
      <c r="K679" s="0" t="n">
        <f aca="false">F679</f>
        <v>1</v>
      </c>
      <c r="L679" s="0" t="n">
        <f aca="false">G679</f>
        <v>-0.5</v>
      </c>
      <c r="M679" s="0" t="n">
        <f aca="false">H679</f>
        <v>1</v>
      </c>
      <c r="N679" s="0" t="n">
        <f aca="false">E679*F679</f>
        <v>-1</v>
      </c>
      <c r="O679" s="0" t="n">
        <f aca="false">E679*G679</f>
        <v>0.5</v>
      </c>
      <c r="P679" s="0" t="n">
        <f aca="false">E679*H679</f>
        <v>-1</v>
      </c>
      <c r="Q679" s="0" t="n">
        <f aca="false">F679*G679</f>
        <v>-0.5</v>
      </c>
      <c r="R679" s="0" t="n">
        <f aca="false">F679*H679</f>
        <v>1</v>
      </c>
      <c r="S679" s="0" t="n">
        <f aca="false">G679*H679</f>
        <v>-0.5</v>
      </c>
      <c r="T679" s="0" t="n">
        <f aca="false">E679*E679</f>
        <v>1</v>
      </c>
      <c r="U679" s="0" t="n">
        <f aca="false">F679*F679</f>
        <v>1</v>
      </c>
      <c r="V679" s="0" t="n">
        <f aca="false">G679*G679</f>
        <v>0.25</v>
      </c>
      <c r="W679" s="0" t="n">
        <f aca="false">H679*H679</f>
        <v>1</v>
      </c>
      <c r="X679" s="0" t="n">
        <f aca="false">SUMPRODUCT(I679:W679,_XtX!$B$96:$P$96)</f>
        <v>40.1051900584796</v>
      </c>
      <c r="Y679" s="0" t="n">
        <f aca="false">SUMPRODUCT(MMULT(I679:W679,_XtX!$B$78:$P$92),I679:W679)</f>
        <v>0.667123538011696</v>
      </c>
      <c r="Z679" s="0" t="n">
        <f aca="false">04_回帰ANOVA!$K$19*04_回帰ANOVA!$K$14*SQRT(1+Y679)</f>
        <v>1.68299290213005</v>
      </c>
      <c r="AA679" s="0" t="n">
        <f aca="false">X679-Z679</f>
        <v>38.4221971563495</v>
      </c>
      <c r="AB679" s="0" t="n">
        <f aca="false">X679+Z679</f>
        <v>41.7881829606096</v>
      </c>
      <c r="AC679" s="54" t="b">
        <f aca="false">AND(E679&gt;=01_因子設定!$L$5-0.000000001,E679&lt;=01_因子設定!$M$5+0.000000001,F679&gt;=01_因子設定!$L$6-0.000000001,F679&lt;=01_因子設定!$M$6+0.000000001,G679&gt;=01_因子設定!$L$7-0.000000001,G679&lt;=01_因子設定!$M$7+0.000000001,H679&gt;=01_因子設定!$L$8-0.000000001,H679&lt;=01_因子設定!$M$8+0.000000001,IF(01_因子設定!$B$20="Box-Behnken",E679^2+F679^2+G679^2+H679^2&lt;=2+0.000000001,TRUE()))</f>
        <v>1</v>
      </c>
      <c r="AD679" s="55" t="n">
        <f aca="false">IF(AC679,IF(01_因子設定!$B$13="最大化",AA679-01_因子設定!$B$14,IF(01_因子設定!$B$13="最小化",01_因子設定!$B$15-AB679,MIN(AA679-01_因子設定!$B$14,01_因子設定!$B$15-AB679))),-1E+030)</f>
        <v>-8.07780284365046</v>
      </c>
      <c r="AE679" s="55" t="n">
        <f aca="false">IF(AC679,IF(01_因子設定!$B$13="最大化",X679,IF(01_因子設定!$B$13="最小化",-X679,-ABS(X679-01_因子設定!$B$16))),-1E+030)</f>
        <v>40.1051900584796</v>
      </c>
      <c r="AF679" s="55" t="n">
        <f aca="false">AD679+ROW()*0.000000001</f>
        <v>-8.07780216465046</v>
      </c>
      <c r="AG679" s="55" t="n">
        <f aca="false">AE679+ROW()*0.000000001</f>
        <v>40.1051907374796</v>
      </c>
    </row>
    <row r="680" customFormat="false" ht="15" hidden="false" customHeight="false" outlineLevel="0" collapsed="false">
      <c r="A680" s="0" t="n">
        <v>0</v>
      </c>
      <c r="B680" s="0" t="n">
        <v>8</v>
      </c>
      <c r="C680" s="0" t="n">
        <v>3</v>
      </c>
      <c r="D680" s="0" t="n">
        <v>0</v>
      </c>
      <c r="E680" s="0" t="n">
        <f aca="false">-1+A680*0.25</f>
        <v>-1</v>
      </c>
      <c r="F680" s="0" t="n">
        <f aca="false">-1+B680*0.25</f>
        <v>1</v>
      </c>
      <c r="G680" s="0" t="n">
        <f aca="false">-1+C680*0.25</f>
        <v>-0.25</v>
      </c>
      <c r="H680" s="0" t="n">
        <f aca="false">-1+D680*0.25</f>
        <v>-1</v>
      </c>
      <c r="I680" s="0" t="n">
        <f aca="false">1</f>
        <v>1</v>
      </c>
      <c r="J680" s="0" t="n">
        <f aca="false">E680</f>
        <v>-1</v>
      </c>
      <c r="K680" s="0" t="n">
        <f aca="false">F680</f>
        <v>1</v>
      </c>
      <c r="L680" s="0" t="n">
        <f aca="false">G680</f>
        <v>-0.25</v>
      </c>
      <c r="M680" s="0" t="n">
        <f aca="false">H680</f>
        <v>-1</v>
      </c>
      <c r="N680" s="0" t="n">
        <f aca="false">E680*F680</f>
        <v>-1</v>
      </c>
      <c r="O680" s="0" t="n">
        <f aca="false">E680*G680</f>
        <v>0.25</v>
      </c>
      <c r="P680" s="0" t="n">
        <f aca="false">E680*H680</f>
        <v>1</v>
      </c>
      <c r="Q680" s="0" t="n">
        <f aca="false">F680*G680</f>
        <v>-0.25</v>
      </c>
      <c r="R680" s="0" t="n">
        <f aca="false">F680*H680</f>
        <v>-1</v>
      </c>
      <c r="S680" s="0" t="n">
        <f aca="false">G680*H680</f>
        <v>0.25</v>
      </c>
      <c r="T680" s="0" t="n">
        <f aca="false">E680*E680</f>
        <v>1</v>
      </c>
      <c r="U680" s="0" t="n">
        <f aca="false">F680*F680</f>
        <v>1</v>
      </c>
      <c r="V680" s="0" t="n">
        <f aca="false">G680*G680</f>
        <v>0.0625</v>
      </c>
      <c r="W680" s="0" t="n">
        <f aca="false">H680*H680</f>
        <v>1</v>
      </c>
      <c r="X680" s="0" t="n">
        <f aca="false">SUMPRODUCT(I680:W680,_XtX!$B$96:$P$96)</f>
        <v>40.7991228070176</v>
      </c>
      <c r="Y680" s="0" t="n">
        <f aca="false">SUMPRODUCT(MMULT(I680:W680,_XtX!$B$78:$P$92),I680:W680)</f>
        <v>0.737093384502924</v>
      </c>
      <c r="Z680" s="0" t="n">
        <f aca="false">04_回帰ANOVA!$K$19*04_回帰ANOVA!$K$14*SQRT(1+Y680)</f>
        <v>1.71794784853551</v>
      </c>
      <c r="AA680" s="0" t="n">
        <f aca="false">X680-Z680</f>
        <v>39.0811749584821</v>
      </c>
      <c r="AB680" s="0" t="n">
        <f aca="false">X680+Z680</f>
        <v>42.5170706555531</v>
      </c>
      <c r="AC680" s="54" t="b">
        <f aca="false">AND(E680&gt;=01_因子設定!$L$5-0.000000001,E680&lt;=01_因子設定!$M$5+0.000000001,F680&gt;=01_因子設定!$L$6-0.000000001,F680&lt;=01_因子設定!$M$6+0.000000001,G680&gt;=01_因子設定!$L$7-0.000000001,G680&lt;=01_因子設定!$M$7+0.000000001,H680&gt;=01_因子設定!$L$8-0.000000001,H680&lt;=01_因子設定!$M$8+0.000000001,IF(01_因子設定!$B$20="Box-Behnken",E680^2+F680^2+G680^2+H680^2&lt;=2+0.000000001,TRUE()))</f>
        <v>1</v>
      </c>
      <c r="AD680" s="55" t="n">
        <f aca="false">IF(AC680,IF(01_因子設定!$B$13="最大化",AA680-01_因子設定!$B$14,IF(01_因子設定!$B$13="最小化",01_因子設定!$B$15-AB680,MIN(AA680-01_因子設定!$B$14,01_因子設定!$B$15-AB680))),-1E+030)</f>
        <v>-7.41882504151789</v>
      </c>
      <c r="AE680" s="55" t="n">
        <f aca="false">IF(AC680,IF(01_因子設定!$B$13="最大化",X680,IF(01_因子設定!$B$13="最小化",-X680,-ABS(X680-01_因子設定!$B$16))),-1E+030)</f>
        <v>40.7991228070176</v>
      </c>
      <c r="AF680" s="55" t="n">
        <f aca="false">AD680+ROW()*0.000000001</f>
        <v>-7.41882436151789</v>
      </c>
      <c r="AG680" s="55" t="n">
        <f aca="false">AE680+ROW()*0.000000001</f>
        <v>40.7991234870176</v>
      </c>
    </row>
    <row r="681" customFormat="false" ht="15" hidden="false" customHeight="false" outlineLevel="0" collapsed="false">
      <c r="A681" s="0" t="n">
        <v>0</v>
      </c>
      <c r="B681" s="0" t="n">
        <v>8</v>
      </c>
      <c r="C681" s="0" t="n">
        <v>3</v>
      </c>
      <c r="D681" s="0" t="n">
        <v>1</v>
      </c>
      <c r="E681" s="0" t="n">
        <f aca="false">-1+A681*0.25</f>
        <v>-1</v>
      </c>
      <c r="F681" s="0" t="n">
        <f aca="false">-1+B681*0.25</f>
        <v>1</v>
      </c>
      <c r="G681" s="0" t="n">
        <f aca="false">-1+C681*0.25</f>
        <v>-0.25</v>
      </c>
      <c r="H681" s="0" t="n">
        <f aca="false">-1+D681*0.25</f>
        <v>-0.75</v>
      </c>
      <c r="I681" s="0" t="n">
        <f aca="false">1</f>
        <v>1</v>
      </c>
      <c r="J681" s="0" t="n">
        <f aca="false">E681</f>
        <v>-1</v>
      </c>
      <c r="K681" s="0" t="n">
        <f aca="false">F681</f>
        <v>1</v>
      </c>
      <c r="L681" s="0" t="n">
        <f aca="false">G681</f>
        <v>-0.25</v>
      </c>
      <c r="M681" s="0" t="n">
        <f aca="false">H681</f>
        <v>-0.75</v>
      </c>
      <c r="N681" s="0" t="n">
        <f aca="false">E681*F681</f>
        <v>-1</v>
      </c>
      <c r="O681" s="0" t="n">
        <f aca="false">E681*G681</f>
        <v>0.25</v>
      </c>
      <c r="P681" s="0" t="n">
        <f aca="false">E681*H681</f>
        <v>0.75</v>
      </c>
      <c r="Q681" s="0" t="n">
        <f aca="false">F681*G681</f>
        <v>-0.25</v>
      </c>
      <c r="R681" s="0" t="n">
        <f aca="false">F681*H681</f>
        <v>-0.75</v>
      </c>
      <c r="S681" s="0" t="n">
        <f aca="false">G681*H681</f>
        <v>0.1875</v>
      </c>
      <c r="T681" s="0" t="n">
        <f aca="false">E681*E681</f>
        <v>1</v>
      </c>
      <c r="U681" s="0" t="n">
        <f aca="false">F681*F681</f>
        <v>1</v>
      </c>
      <c r="V681" s="0" t="n">
        <f aca="false">G681*G681</f>
        <v>0.0625</v>
      </c>
      <c r="W681" s="0" t="n">
        <f aca="false">H681*H681</f>
        <v>0.5625</v>
      </c>
      <c r="X681" s="0" t="n">
        <f aca="false">SUMPRODUCT(I681:W681,_XtX!$B$96:$P$96)</f>
        <v>40.96549250731</v>
      </c>
      <c r="Y681" s="0" t="n">
        <f aca="false">SUMPRODUCT(MMULT(I681:W681,_XtX!$B$78:$P$92),I681:W681)</f>
        <v>0.621372155975877</v>
      </c>
      <c r="Z681" s="0" t="n">
        <f aca="false">04_回帰ANOVA!$K$19*04_回帰ANOVA!$K$14*SQRT(1+Y681)</f>
        <v>1.65973880499872</v>
      </c>
      <c r="AA681" s="0" t="n">
        <f aca="false">X681-Z681</f>
        <v>39.3057537023113</v>
      </c>
      <c r="AB681" s="0" t="n">
        <f aca="false">X681+Z681</f>
        <v>42.6252313123087</v>
      </c>
      <c r="AC681" s="54" t="b">
        <f aca="false">AND(E681&gt;=01_因子設定!$L$5-0.000000001,E681&lt;=01_因子設定!$M$5+0.000000001,F681&gt;=01_因子設定!$L$6-0.000000001,F681&lt;=01_因子設定!$M$6+0.000000001,G681&gt;=01_因子設定!$L$7-0.000000001,G681&lt;=01_因子設定!$M$7+0.000000001,H681&gt;=01_因子設定!$L$8-0.000000001,H681&lt;=01_因子設定!$M$8+0.000000001,IF(01_因子設定!$B$20="Box-Behnken",E681^2+F681^2+G681^2+H681^2&lt;=2+0.000000001,TRUE()))</f>
        <v>1</v>
      </c>
      <c r="AD681" s="55" t="n">
        <f aca="false">IF(AC681,IF(01_因子設定!$B$13="最大化",AA681-01_因子設定!$B$14,IF(01_因子設定!$B$13="最小化",01_因子設定!$B$15-AB681,MIN(AA681-01_因子設定!$B$14,01_因子設定!$B$15-AB681))),-1E+030)</f>
        <v>-7.19424629768873</v>
      </c>
      <c r="AE681" s="55" t="n">
        <f aca="false">IF(AC681,IF(01_因子設定!$B$13="最大化",X681,IF(01_因子設定!$B$13="最小化",-X681,-ABS(X681-01_因子設定!$B$16))),-1E+030)</f>
        <v>40.96549250731</v>
      </c>
      <c r="AF681" s="55" t="n">
        <f aca="false">AD681+ROW()*0.000000001</f>
        <v>-7.19424561668873</v>
      </c>
      <c r="AG681" s="55" t="n">
        <f aca="false">AE681+ROW()*0.000000001</f>
        <v>40.96549318831</v>
      </c>
    </row>
    <row r="682" customFormat="false" ht="15" hidden="false" customHeight="false" outlineLevel="0" collapsed="false">
      <c r="A682" s="0" t="n">
        <v>0</v>
      </c>
      <c r="B682" s="0" t="n">
        <v>8</v>
      </c>
      <c r="C682" s="0" t="n">
        <v>3</v>
      </c>
      <c r="D682" s="0" t="n">
        <v>2</v>
      </c>
      <c r="E682" s="0" t="n">
        <f aca="false">-1+A682*0.25</f>
        <v>-1</v>
      </c>
      <c r="F682" s="0" t="n">
        <f aca="false">-1+B682*0.25</f>
        <v>1</v>
      </c>
      <c r="G682" s="0" t="n">
        <f aca="false">-1+C682*0.25</f>
        <v>-0.25</v>
      </c>
      <c r="H682" s="0" t="n">
        <f aca="false">-1+D682*0.25</f>
        <v>-0.5</v>
      </c>
      <c r="I682" s="0" t="n">
        <f aca="false">1</f>
        <v>1</v>
      </c>
      <c r="J682" s="0" t="n">
        <f aca="false">E682</f>
        <v>-1</v>
      </c>
      <c r="K682" s="0" t="n">
        <f aca="false">F682</f>
        <v>1</v>
      </c>
      <c r="L682" s="0" t="n">
        <f aca="false">G682</f>
        <v>-0.25</v>
      </c>
      <c r="M682" s="0" t="n">
        <f aca="false">H682</f>
        <v>-0.5</v>
      </c>
      <c r="N682" s="0" t="n">
        <f aca="false">E682*F682</f>
        <v>-1</v>
      </c>
      <c r="O682" s="0" t="n">
        <f aca="false">E682*G682</f>
        <v>0.25</v>
      </c>
      <c r="P682" s="0" t="n">
        <f aca="false">E682*H682</f>
        <v>0.5</v>
      </c>
      <c r="Q682" s="0" t="n">
        <f aca="false">F682*G682</f>
        <v>-0.25</v>
      </c>
      <c r="R682" s="0" t="n">
        <f aca="false">F682*H682</f>
        <v>-0.5</v>
      </c>
      <c r="S682" s="0" t="n">
        <f aca="false">G682*H682</f>
        <v>0.125</v>
      </c>
      <c r="T682" s="0" t="n">
        <f aca="false">E682*E682</f>
        <v>1</v>
      </c>
      <c r="U682" s="0" t="n">
        <f aca="false">F682*F682</f>
        <v>1</v>
      </c>
      <c r="V682" s="0" t="n">
        <f aca="false">G682*G682</f>
        <v>0.0625</v>
      </c>
      <c r="W682" s="0" t="n">
        <f aca="false">H682*H682</f>
        <v>0.25</v>
      </c>
      <c r="X682" s="0" t="n">
        <f aca="false">SUMPRODUCT(I682:W682,_XtX!$B$96:$P$96)</f>
        <v>41.0840551900585</v>
      </c>
      <c r="Y682" s="0" t="n">
        <f aca="false">SUMPRODUCT(MMULT(I682:W682,_XtX!$B$78:$P$92),I682:W682)</f>
        <v>0.629174661915205</v>
      </c>
      <c r="Z682" s="0" t="n">
        <f aca="false">04_回帰ANOVA!$K$19*04_回帰ANOVA!$K$14*SQRT(1+Y682)</f>
        <v>1.66372758058297</v>
      </c>
      <c r="AA682" s="0" t="n">
        <f aca="false">X682-Z682</f>
        <v>39.4203276094755</v>
      </c>
      <c r="AB682" s="0" t="n">
        <f aca="false">X682+Z682</f>
        <v>42.7477827706415</v>
      </c>
      <c r="AC682" s="54" t="b">
        <f aca="false">AND(E682&gt;=01_因子設定!$L$5-0.000000001,E682&lt;=01_因子設定!$M$5+0.000000001,F682&gt;=01_因子設定!$L$6-0.000000001,F682&lt;=01_因子設定!$M$6+0.000000001,G682&gt;=01_因子設定!$L$7-0.000000001,G682&lt;=01_因子設定!$M$7+0.000000001,H682&gt;=01_因子設定!$L$8-0.000000001,H682&lt;=01_因子設定!$M$8+0.000000001,IF(01_因子設定!$B$20="Box-Behnken",E682^2+F682^2+G682^2+H682^2&lt;=2+0.000000001,TRUE()))</f>
        <v>1</v>
      </c>
      <c r="AD682" s="55" t="n">
        <f aca="false">IF(AC682,IF(01_因子設定!$B$13="最大化",AA682-01_因子設定!$B$14,IF(01_因子設定!$B$13="最小化",01_因子設定!$B$15-AB682,MIN(AA682-01_因子設定!$B$14,01_因子設定!$B$15-AB682))),-1E+030)</f>
        <v>-7.07967239052446</v>
      </c>
      <c r="AE682" s="55" t="n">
        <f aca="false">IF(AC682,IF(01_因子設定!$B$13="最大化",X682,IF(01_因子設定!$B$13="最小化",-X682,-ABS(X682-01_因子設定!$B$16))),-1E+030)</f>
        <v>41.0840551900585</v>
      </c>
      <c r="AF682" s="55" t="n">
        <f aca="false">AD682+ROW()*0.000000001</f>
        <v>-7.07967170852446</v>
      </c>
      <c r="AG682" s="55" t="n">
        <f aca="false">AE682+ROW()*0.000000001</f>
        <v>41.0840558720585</v>
      </c>
    </row>
    <row r="683" customFormat="false" ht="15" hidden="false" customHeight="false" outlineLevel="0" collapsed="false">
      <c r="A683" s="0" t="n">
        <v>0</v>
      </c>
      <c r="B683" s="0" t="n">
        <v>8</v>
      </c>
      <c r="C683" s="0" t="n">
        <v>3</v>
      </c>
      <c r="D683" s="0" t="n">
        <v>3</v>
      </c>
      <c r="E683" s="0" t="n">
        <f aca="false">-1+A683*0.25</f>
        <v>-1</v>
      </c>
      <c r="F683" s="0" t="n">
        <f aca="false">-1+B683*0.25</f>
        <v>1</v>
      </c>
      <c r="G683" s="0" t="n">
        <f aca="false">-1+C683*0.25</f>
        <v>-0.25</v>
      </c>
      <c r="H683" s="0" t="n">
        <f aca="false">-1+D683*0.25</f>
        <v>-0.25</v>
      </c>
      <c r="I683" s="0" t="n">
        <f aca="false">1</f>
        <v>1</v>
      </c>
      <c r="J683" s="0" t="n">
        <f aca="false">E683</f>
        <v>-1</v>
      </c>
      <c r="K683" s="0" t="n">
        <f aca="false">F683</f>
        <v>1</v>
      </c>
      <c r="L683" s="0" t="n">
        <f aca="false">G683</f>
        <v>-0.25</v>
      </c>
      <c r="M683" s="0" t="n">
        <f aca="false">H683</f>
        <v>-0.25</v>
      </c>
      <c r="N683" s="0" t="n">
        <f aca="false">E683*F683</f>
        <v>-1</v>
      </c>
      <c r="O683" s="0" t="n">
        <f aca="false">E683*G683</f>
        <v>0.25</v>
      </c>
      <c r="P683" s="0" t="n">
        <f aca="false">E683*H683</f>
        <v>0.25</v>
      </c>
      <c r="Q683" s="0" t="n">
        <f aca="false">F683*G683</f>
        <v>-0.25</v>
      </c>
      <c r="R683" s="0" t="n">
        <f aca="false">F683*H683</f>
        <v>-0.25</v>
      </c>
      <c r="S683" s="0" t="n">
        <f aca="false">G683*H683</f>
        <v>0.0625</v>
      </c>
      <c r="T683" s="0" t="n">
        <f aca="false">E683*E683</f>
        <v>1</v>
      </c>
      <c r="U683" s="0" t="n">
        <f aca="false">F683*F683</f>
        <v>1</v>
      </c>
      <c r="V683" s="0" t="n">
        <f aca="false">G683*G683</f>
        <v>0.0625</v>
      </c>
      <c r="W683" s="0" t="n">
        <f aca="false">H683*H683</f>
        <v>0.0625</v>
      </c>
      <c r="X683" s="0" t="n">
        <f aca="false">SUMPRODUCT(I683:W683,_XtX!$B$96:$P$96)</f>
        <v>41.1548108552632</v>
      </c>
      <c r="Y683" s="0" t="n">
        <f aca="false">SUMPRODUCT(MMULT(I683:W683,_XtX!$B$78:$P$92),I683:W683)</f>
        <v>0.670040376005117</v>
      </c>
      <c r="Z683" s="0" t="n">
        <f aca="false">04_回帰ANOVA!$K$19*04_回帰ANOVA!$K$14*SQRT(1+Y683)</f>
        <v>1.68446456039992</v>
      </c>
      <c r="AA683" s="0" t="n">
        <f aca="false">X683-Z683</f>
        <v>39.4703462948633</v>
      </c>
      <c r="AB683" s="0" t="n">
        <f aca="false">X683+Z683</f>
        <v>42.8392754156631</v>
      </c>
      <c r="AC683" s="54" t="b">
        <f aca="false">AND(E683&gt;=01_因子設定!$L$5-0.000000001,E683&lt;=01_因子設定!$M$5+0.000000001,F683&gt;=01_因子設定!$L$6-0.000000001,F683&lt;=01_因子設定!$M$6+0.000000001,G683&gt;=01_因子設定!$L$7-0.000000001,G683&lt;=01_因子設定!$M$7+0.000000001,H683&gt;=01_因子設定!$L$8-0.000000001,H683&lt;=01_因子設定!$M$8+0.000000001,IF(01_因子設定!$B$20="Box-Behnken",E683^2+F683^2+G683^2+H683^2&lt;=2+0.000000001,TRUE()))</f>
        <v>1</v>
      </c>
      <c r="AD683" s="55" t="n">
        <f aca="false">IF(AC683,IF(01_因子設定!$B$13="最大化",AA683-01_因子設定!$B$14,IF(01_因子設定!$B$13="最小化",01_因子設定!$B$15-AB683,MIN(AA683-01_因子設定!$B$14,01_因子設定!$B$15-AB683))),-1E+030)</f>
        <v>-7.02965370513673</v>
      </c>
      <c r="AE683" s="55" t="n">
        <f aca="false">IF(AC683,IF(01_因子設定!$B$13="最大化",X683,IF(01_因子設定!$B$13="最小化",-X683,-ABS(X683-01_因子設定!$B$16))),-1E+030)</f>
        <v>41.1548108552632</v>
      </c>
      <c r="AF683" s="55" t="n">
        <f aca="false">AD683+ROW()*0.000000001</f>
        <v>-7.02965302213673</v>
      </c>
      <c r="AG683" s="55" t="n">
        <f aca="false">AE683+ROW()*0.000000001</f>
        <v>41.1548115382632</v>
      </c>
    </row>
    <row r="684" customFormat="false" ht="15" hidden="false" customHeight="false" outlineLevel="0" collapsed="false">
      <c r="A684" s="0" t="n">
        <v>0</v>
      </c>
      <c r="B684" s="0" t="n">
        <v>8</v>
      </c>
      <c r="C684" s="0" t="n">
        <v>3</v>
      </c>
      <c r="D684" s="0" t="n">
        <v>4</v>
      </c>
      <c r="E684" s="0" t="n">
        <f aca="false">-1+A684*0.25</f>
        <v>-1</v>
      </c>
      <c r="F684" s="0" t="n">
        <f aca="false">-1+B684*0.25</f>
        <v>1</v>
      </c>
      <c r="G684" s="0" t="n">
        <f aca="false">-1+C684*0.25</f>
        <v>-0.25</v>
      </c>
      <c r="H684" s="0" t="n">
        <f aca="false">-1+D684*0.25</f>
        <v>0</v>
      </c>
      <c r="I684" s="0" t="n">
        <f aca="false">1</f>
        <v>1</v>
      </c>
      <c r="J684" s="0" t="n">
        <f aca="false">E684</f>
        <v>-1</v>
      </c>
      <c r="K684" s="0" t="n">
        <f aca="false">F684</f>
        <v>1</v>
      </c>
      <c r="L684" s="0" t="n">
        <f aca="false">G684</f>
        <v>-0.25</v>
      </c>
      <c r="M684" s="0" t="n">
        <f aca="false">H684</f>
        <v>0</v>
      </c>
      <c r="N684" s="0" t="n">
        <f aca="false">E684*F684</f>
        <v>-1</v>
      </c>
      <c r="O684" s="0" t="n">
        <f aca="false">E684*G684</f>
        <v>0.25</v>
      </c>
      <c r="P684" s="0" t="n">
        <f aca="false">E684*H684</f>
        <v>-0</v>
      </c>
      <c r="Q684" s="0" t="n">
        <f aca="false">F684*G684</f>
        <v>-0.25</v>
      </c>
      <c r="R684" s="0" t="n">
        <f aca="false">F684*H684</f>
        <v>0</v>
      </c>
      <c r="S684" s="0" t="n">
        <f aca="false">G684*H684</f>
        <v>-0</v>
      </c>
      <c r="T684" s="0" t="n">
        <f aca="false">E684*E684</f>
        <v>1</v>
      </c>
      <c r="U684" s="0" t="n">
        <f aca="false">F684*F684</f>
        <v>1</v>
      </c>
      <c r="V684" s="0" t="n">
        <f aca="false">G684*G684</f>
        <v>0.0625</v>
      </c>
      <c r="W684" s="0" t="n">
        <f aca="false">H684*H684</f>
        <v>0</v>
      </c>
      <c r="X684" s="0" t="n">
        <f aca="false">SUMPRODUCT(I684:W684,_XtX!$B$96:$P$96)</f>
        <v>41.177759502924</v>
      </c>
      <c r="Y684" s="0" t="n">
        <f aca="false">SUMPRODUCT(MMULT(I684:W684,_XtX!$B$78:$P$92),I684:W684)</f>
        <v>0.689692982456141</v>
      </c>
      <c r="Z684" s="0" t="n">
        <f aca="false">04_回帰ANOVA!$K$19*04_回帰ANOVA!$K$14*SQRT(1+Y684)</f>
        <v>1.69434674594998</v>
      </c>
      <c r="AA684" s="0" t="n">
        <f aca="false">X684-Z684</f>
        <v>39.483412756974</v>
      </c>
      <c r="AB684" s="0" t="n">
        <f aca="false">X684+Z684</f>
        <v>42.872106248874</v>
      </c>
      <c r="AC684" s="54" t="b">
        <f aca="false">AND(E684&gt;=01_因子設定!$L$5-0.000000001,E684&lt;=01_因子設定!$M$5+0.000000001,F684&gt;=01_因子設定!$L$6-0.000000001,F684&lt;=01_因子設定!$M$6+0.000000001,G684&gt;=01_因子設定!$L$7-0.000000001,G684&lt;=01_因子設定!$M$7+0.000000001,H684&gt;=01_因子設定!$L$8-0.000000001,H684&lt;=01_因子設定!$M$8+0.000000001,IF(01_因子設定!$B$20="Box-Behnken",E684^2+F684^2+G684^2+H684^2&lt;=2+0.000000001,TRUE()))</f>
        <v>1</v>
      </c>
      <c r="AD684" s="55" t="n">
        <f aca="false">IF(AC684,IF(01_因子設定!$B$13="最大化",AA684-01_因子設定!$B$14,IF(01_因子設定!$B$13="最小化",01_因子設定!$B$15-AB684,MIN(AA684-01_因子設定!$B$14,01_因子設定!$B$15-AB684))),-1E+030)</f>
        <v>-7.01658724302598</v>
      </c>
      <c r="AE684" s="55" t="n">
        <f aca="false">IF(AC684,IF(01_因子設定!$B$13="最大化",X684,IF(01_因子設定!$B$13="最小化",-X684,-ABS(X684-01_因子設定!$B$16))),-1E+030)</f>
        <v>41.177759502924</v>
      </c>
      <c r="AF684" s="55" t="n">
        <f aca="false">AD684+ROW()*0.000000001</f>
        <v>-7.01658655902598</v>
      </c>
      <c r="AG684" s="55" t="n">
        <f aca="false">AE684+ROW()*0.000000001</f>
        <v>41.177760186924</v>
      </c>
    </row>
    <row r="685" customFormat="false" ht="15" hidden="false" customHeight="false" outlineLevel="0" collapsed="false">
      <c r="A685" s="0" t="n">
        <v>0</v>
      </c>
      <c r="B685" s="0" t="n">
        <v>8</v>
      </c>
      <c r="C685" s="0" t="n">
        <v>3</v>
      </c>
      <c r="D685" s="0" t="n">
        <v>5</v>
      </c>
      <c r="E685" s="0" t="n">
        <f aca="false">-1+A685*0.25</f>
        <v>-1</v>
      </c>
      <c r="F685" s="0" t="n">
        <f aca="false">-1+B685*0.25</f>
        <v>1</v>
      </c>
      <c r="G685" s="0" t="n">
        <f aca="false">-1+C685*0.25</f>
        <v>-0.25</v>
      </c>
      <c r="H685" s="0" t="n">
        <f aca="false">-1+D685*0.25</f>
        <v>0.25</v>
      </c>
      <c r="I685" s="0" t="n">
        <f aca="false">1</f>
        <v>1</v>
      </c>
      <c r="J685" s="0" t="n">
        <f aca="false">E685</f>
        <v>-1</v>
      </c>
      <c r="K685" s="0" t="n">
        <f aca="false">F685</f>
        <v>1</v>
      </c>
      <c r="L685" s="0" t="n">
        <f aca="false">G685</f>
        <v>-0.25</v>
      </c>
      <c r="M685" s="0" t="n">
        <f aca="false">H685</f>
        <v>0.25</v>
      </c>
      <c r="N685" s="0" t="n">
        <f aca="false">E685*F685</f>
        <v>-1</v>
      </c>
      <c r="O685" s="0" t="n">
        <f aca="false">E685*G685</f>
        <v>0.25</v>
      </c>
      <c r="P685" s="0" t="n">
        <f aca="false">E685*H685</f>
        <v>-0.25</v>
      </c>
      <c r="Q685" s="0" t="n">
        <f aca="false">F685*G685</f>
        <v>-0.25</v>
      </c>
      <c r="R685" s="0" t="n">
        <f aca="false">F685*H685</f>
        <v>0.25</v>
      </c>
      <c r="S685" s="0" t="n">
        <f aca="false">G685*H685</f>
        <v>-0.0625</v>
      </c>
      <c r="T685" s="0" t="n">
        <f aca="false">E685*E685</f>
        <v>1</v>
      </c>
      <c r="U685" s="0" t="n">
        <f aca="false">F685*F685</f>
        <v>1</v>
      </c>
      <c r="V685" s="0" t="n">
        <f aca="false">G685*G685</f>
        <v>0.0625</v>
      </c>
      <c r="W685" s="0" t="n">
        <f aca="false">H685*H685</f>
        <v>0.0625</v>
      </c>
      <c r="X685" s="0" t="n">
        <f aca="false">SUMPRODUCT(I685:W685,_XtX!$B$96:$P$96)</f>
        <v>41.152901133041</v>
      </c>
      <c r="Y685" s="0" t="n">
        <f aca="false">SUMPRODUCT(MMULT(I685:W685,_XtX!$B$78:$P$92),I685:W685)</f>
        <v>0.670040376005117</v>
      </c>
      <c r="Z685" s="0" t="n">
        <f aca="false">04_回帰ANOVA!$K$19*04_回帰ANOVA!$K$14*SQRT(1+Y685)</f>
        <v>1.68446456039992</v>
      </c>
      <c r="AA685" s="0" t="n">
        <f aca="false">X685-Z685</f>
        <v>39.468436572641</v>
      </c>
      <c r="AB685" s="0" t="n">
        <f aca="false">X685+Z685</f>
        <v>42.8373656934409</v>
      </c>
      <c r="AC685" s="54" t="b">
        <f aca="false">AND(E685&gt;=01_因子設定!$L$5-0.000000001,E685&lt;=01_因子設定!$M$5+0.000000001,F685&gt;=01_因子設定!$L$6-0.000000001,F685&lt;=01_因子設定!$M$6+0.000000001,G685&gt;=01_因子設定!$L$7-0.000000001,G685&lt;=01_因子設定!$M$7+0.000000001,H685&gt;=01_因子設定!$L$8-0.000000001,H685&lt;=01_因子設定!$M$8+0.000000001,IF(01_因子設定!$B$20="Box-Behnken",E685^2+F685^2+G685^2+H685^2&lt;=2+0.000000001,TRUE()))</f>
        <v>1</v>
      </c>
      <c r="AD685" s="55" t="n">
        <f aca="false">IF(AC685,IF(01_因子設定!$B$13="最大化",AA685-01_因子設定!$B$14,IF(01_因子設定!$B$13="最小化",01_因子設定!$B$15-AB685,MIN(AA685-01_因子設定!$B$14,01_因子設定!$B$15-AB685))),-1E+030)</f>
        <v>-7.03156342735895</v>
      </c>
      <c r="AE685" s="55" t="n">
        <f aca="false">IF(AC685,IF(01_因子設定!$B$13="最大化",X685,IF(01_因子設定!$B$13="最小化",-X685,-ABS(X685-01_因子設定!$B$16))),-1E+030)</f>
        <v>41.152901133041</v>
      </c>
      <c r="AF685" s="55" t="n">
        <f aca="false">AD685+ROW()*0.000000001</f>
        <v>-7.03156274235895</v>
      </c>
      <c r="AG685" s="55" t="n">
        <f aca="false">AE685+ROW()*0.000000001</f>
        <v>41.152901818041</v>
      </c>
    </row>
    <row r="686" customFormat="false" ht="15" hidden="false" customHeight="false" outlineLevel="0" collapsed="false">
      <c r="A686" s="0" t="n">
        <v>0</v>
      </c>
      <c r="B686" s="0" t="n">
        <v>8</v>
      </c>
      <c r="C686" s="0" t="n">
        <v>3</v>
      </c>
      <c r="D686" s="0" t="n">
        <v>6</v>
      </c>
      <c r="E686" s="0" t="n">
        <f aca="false">-1+A686*0.25</f>
        <v>-1</v>
      </c>
      <c r="F686" s="0" t="n">
        <f aca="false">-1+B686*0.25</f>
        <v>1</v>
      </c>
      <c r="G686" s="0" t="n">
        <f aca="false">-1+C686*0.25</f>
        <v>-0.25</v>
      </c>
      <c r="H686" s="0" t="n">
        <f aca="false">-1+D686*0.25</f>
        <v>0.5</v>
      </c>
      <c r="I686" s="0" t="n">
        <f aca="false">1</f>
        <v>1</v>
      </c>
      <c r="J686" s="0" t="n">
        <f aca="false">E686</f>
        <v>-1</v>
      </c>
      <c r="K686" s="0" t="n">
        <f aca="false">F686</f>
        <v>1</v>
      </c>
      <c r="L686" s="0" t="n">
        <f aca="false">G686</f>
        <v>-0.25</v>
      </c>
      <c r="M686" s="0" t="n">
        <f aca="false">H686</f>
        <v>0.5</v>
      </c>
      <c r="N686" s="0" t="n">
        <f aca="false">E686*F686</f>
        <v>-1</v>
      </c>
      <c r="O686" s="0" t="n">
        <f aca="false">E686*G686</f>
        <v>0.25</v>
      </c>
      <c r="P686" s="0" t="n">
        <f aca="false">E686*H686</f>
        <v>-0.5</v>
      </c>
      <c r="Q686" s="0" t="n">
        <f aca="false">F686*G686</f>
        <v>-0.25</v>
      </c>
      <c r="R686" s="0" t="n">
        <f aca="false">F686*H686</f>
        <v>0.5</v>
      </c>
      <c r="S686" s="0" t="n">
        <f aca="false">G686*H686</f>
        <v>-0.125</v>
      </c>
      <c r="T686" s="0" t="n">
        <f aca="false">E686*E686</f>
        <v>1</v>
      </c>
      <c r="U686" s="0" t="n">
        <f aca="false">F686*F686</f>
        <v>1</v>
      </c>
      <c r="V686" s="0" t="n">
        <f aca="false">G686*G686</f>
        <v>0.0625</v>
      </c>
      <c r="W686" s="0" t="n">
        <f aca="false">H686*H686</f>
        <v>0.25</v>
      </c>
      <c r="X686" s="0" t="n">
        <f aca="false">SUMPRODUCT(I686:W686,_XtX!$B$96:$P$96)</f>
        <v>41.0802357456141</v>
      </c>
      <c r="Y686" s="0" t="n">
        <f aca="false">SUMPRODUCT(MMULT(I686:W686,_XtX!$B$78:$P$92),I686:W686)</f>
        <v>0.629174661915205</v>
      </c>
      <c r="Z686" s="0" t="n">
        <f aca="false">04_回帰ANOVA!$K$19*04_回帰ANOVA!$K$14*SQRT(1+Y686)</f>
        <v>1.66372758058297</v>
      </c>
      <c r="AA686" s="0" t="n">
        <f aca="false">X686-Z686</f>
        <v>39.4165081650311</v>
      </c>
      <c r="AB686" s="0" t="n">
        <f aca="false">X686+Z686</f>
        <v>42.743963326197</v>
      </c>
      <c r="AC686" s="54" t="b">
        <f aca="false">AND(E686&gt;=01_因子設定!$L$5-0.000000001,E686&lt;=01_因子設定!$M$5+0.000000001,F686&gt;=01_因子設定!$L$6-0.000000001,F686&lt;=01_因子設定!$M$6+0.000000001,G686&gt;=01_因子設定!$L$7-0.000000001,G686&lt;=01_因子設定!$M$7+0.000000001,H686&gt;=01_因子設定!$L$8-0.000000001,H686&lt;=01_因子設定!$M$8+0.000000001,IF(01_因子設定!$B$20="Box-Behnken",E686^2+F686^2+G686^2+H686^2&lt;=2+0.000000001,TRUE()))</f>
        <v>1</v>
      </c>
      <c r="AD686" s="55" t="n">
        <f aca="false">IF(AC686,IF(01_因子設定!$B$13="最大化",AA686-01_因子設定!$B$14,IF(01_因子設定!$B$13="最小化",01_因子設定!$B$15-AB686,MIN(AA686-01_因子設定!$B$14,01_因子設定!$B$15-AB686))),-1E+030)</f>
        <v>-7.0834918349689</v>
      </c>
      <c r="AE686" s="55" t="n">
        <f aca="false">IF(AC686,IF(01_因子設定!$B$13="最大化",X686,IF(01_因子設定!$B$13="最小化",-X686,-ABS(X686-01_因子設定!$B$16))),-1E+030)</f>
        <v>41.0802357456141</v>
      </c>
      <c r="AF686" s="55" t="n">
        <f aca="false">AD686+ROW()*0.000000001</f>
        <v>-7.0834911489689</v>
      </c>
      <c r="AG686" s="55" t="n">
        <f aca="false">AE686+ROW()*0.000000001</f>
        <v>41.0802364316141</v>
      </c>
    </row>
    <row r="687" customFormat="false" ht="15" hidden="false" customHeight="false" outlineLevel="0" collapsed="false">
      <c r="A687" s="0" t="n">
        <v>0</v>
      </c>
      <c r="B687" s="0" t="n">
        <v>8</v>
      </c>
      <c r="C687" s="0" t="n">
        <v>3</v>
      </c>
      <c r="D687" s="0" t="n">
        <v>7</v>
      </c>
      <c r="E687" s="0" t="n">
        <f aca="false">-1+A687*0.25</f>
        <v>-1</v>
      </c>
      <c r="F687" s="0" t="n">
        <f aca="false">-1+B687*0.25</f>
        <v>1</v>
      </c>
      <c r="G687" s="0" t="n">
        <f aca="false">-1+C687*0.25</f>
        <v>-0.25</v>
      </c>
      <c r="H687" s="0" t="n">
        <f aca="false">-1+D687*0.25</f>
        <v>0.75</v>
      </c>
      <c r="I687" s="0" t="n">
        <f aca="false">1</f>
        <v>1</v>
      </c>
      <c r="J687" s="0" t="n">
        <f aca="false">E687</f>
        <v>-1</v>
      </c>
      <c r="K687" s="0" t="n">
        <f aca="false">F687</f>
        <v>1</v>
      </c>
      <c r="L687" s="0" t="n">
        <f aca="false">G687</f>
        <v>-0.25</v>
      </c>
      <c r="M687" s="0" t="n">
        <f aca="false">H687</f>
        <v>0.75</v>
      </c>
      <c r="N687" s="0" t="n">
        <f aca="false">E687*F687</f>
        <v>-1</v>
      </c>
      <c r="O687" s="0" t="n">
        <f aca="false">E687*G687</f>
        <v>0.25</v>
      </c>
      <c r="P687" s="0" t="n">
        <f aca="false">E687*H687</f>
        <v>-0.75</v>
      </c>
      <c r="Q687" s="0" t="n">
        <f aca="false">F687*G687</f>
        <v>-0.25</v>
      </c>
      <c r="R687" s="0" t="n">
        <f aca="false">F687*H687</f>
        <v>0.75</v>
      </c>
      <c r="S687" s="0" t="n">
        <f aca="false">G687*H687</f>
        <v>-0.1875</v>
      </c>
      <c r="T687" s="0" t="n">
        <f aca="false">E687*E687</f>
        <v>1</v>
      </c>
      <c r="U687" s="0" t="n">
        <f aca="false">F687*F687</f>
        <v>1</v>
      </c>
      <c r="V687" s="0" t="n">
        <f aca="false">G687*G687</f>
        <v>0.0625</v>
      </c>
      <c r="W687" s="0" t="n">
        <f aca="false">H687*H687</f>
        <v>0.5625</v>
      </c>
      <c r="X687" s="0" t="n">
        <f aca="false">SUMPRODUCT(I687:W687,_XtX!$B$96:$P$96)</f>
        <v>40.9597633406433</v>
      </c>
      <c r="Y687" s="0" t="n">
        <f aca="false">SUMPRODUCT(MMULT(I687:W687,_XtX!$B$78:$P$92),I687:W687)</f>
        <v>0.621372155975877</v>
      </c>
      <c r="Z687" s="0" t="n">
        <f aca="false">04_回帰ANOVA!$K$19*04_回帰ANOVA!$K$14*SQRT(1+Y687)</f>
        <v>1.65973880499872</v>
      </c>
      <c r="AA687" s="0" t="n">
        <f aca="false">X687-Z687</f>
        <v>39.3000245356446</v>
      </c>
      <c r="AB687" s="0" t="n">
        <f aca="false">X687+Z687</f>
        <v>42.619502145642</v>
      </c>
      <c r="AC687" s="54" t="b">
        <f aca="false">AND(E687&gt;=01_因子設定!$L$5-0.000000001,E687&lt;=01_因子設定!$M$5+0.000000001,F687&gt;=01_因子設定!$L$6-0.000000001,F687&lt;=01_因子設定!$M$6+0.000000001,G687&gt;=01_因子設定!$L$7-0.000000001,G687&lt;=01_因子設定!$M$7+0.000000001,H687&gt;=01_因子設定!$L$8-0.000000001,H687&lt;=01_因子設定!$M$8+0.000000001,IF(01_因子設定!$B$20="Box-Behnken",E687^2+F687^2+G687^2+H687^2&lt;=2+0.000000001,TRUE()))</f>
        <v>1</v>
      </c>
      <c r="AD687" s="55" t="n">
        <f aca="false">IF(AC687,IF(01_因子設定!$B$13="最大化",AA687-01_因子設定!$B$14,IF(01_因子設定!$B$13="最小化",01_因子設定!$B$15-AB687,MIN(AA687-01_因子設定!$B$14,01_因子設定!$B$15-AB687))),-1E+030)</f>
        <v>-7.1999754643554</v>
      </c>
      <c r="AE687" s="55" t="n">
        <f aca="false">IF(AC687,IF(01_因子設定!$B$13="最大化",X687,IF(01_因子設定!$B$13="最小化",-X687,-ABS(X687-01_因子設定!$B$16))),-1E+030)</f>
        <v>40.9597633406433</v>
      </c>
      <c r="AF687" s="55" t="n">
        <f aca="false">AD687+ROW()*0.000000001</f>
        <v>-7.1999747773554</v>
      </c>
      <c r="AG687" s="55" t="n">
        <f aca="false">AE687+ROW()*0.000000001</f>
        <v>40.9597640276433</v>
      </c>
    </row>
    <row r="688" customFormat="false" ht="15" hidden="false" customHeight="false" outlineLevel="0" collapsed="false">
      <c r="A688" s="0" t="n">
        <v>0</v>
      </c>
      <c r="B688" s="0" t="n">
        <v>8</v>
      </c>
      <c r="C688" s="0" t="n">
        <v>3</v>
      </c>
      <c r="D688" s="0" t="n">
        <v>8</v>
      </c>
      <c r="E688" s="0" t="n">
        <f aca="false">-1+A688*0.25</f>
        <v>-1</v>
      </c>
      <c r="F688" s="0" t="n">
        <f aca="false">-1+B688*0.25</f>
        <v>1</v>
      </c>
      <c r="G688" s="0" t="n">
        <f aca="false">-1+C688*0.25</f>
        <v>-0.25</v>
      </c>
      <c r="H688" s="0" t="n">
        <f aca="false">-1+D688*0.25</f>
        <v>1</v>
      </c>
      <c r="I688" s="0" t="n">
        <f aca="false">1</f>
        <v>1</v>
      </c>
      <c r="J688" s="0" t="n">
        <f aca="false">E688</f>
        <v>-1</v>
      </c>
      <c r="K688" s="0" t="n">
        <f aca="false">F688</f>
        <v>1</v>
      </c>
      <c r="L688" s="0" t="n">
        <f aca="false">G688</f>
        <v>-0.25</v>
      </c>
      <c r="M688" s="0" t="n">
        <f aca="false">H688</f>
        <v>1</v>
      </c>
      <c r="N688" s="0" t="n">
        <f aca="false">E688*F688</f>
        <v>-1</v>
      </c>
      <c r="O688" s="0" t="n">
        <f aca="false">E688*G688</f>
        <v>0.25</v>
      </c>
      <c r="P688" s="0" t="n">
        <f aca="false">E688*H688</f>
        <v>-1</v>
      </c>
      <c r="Q688" s="0" t="n">
        <f aca="false">F688*G688</f>
        <v>-0.25</v>
      </c>
      <c r="R688" s="0" t="n">
        <f aca="false">F688*H688</f>
        <v>1</v>
      </c>
      <c r="S688" s="0" t="n">
        <f aca="false">G688*H688</f>
        <v>-0.25</v>
      </c>
      <c r="T688" s="0" t="n">
        <f aca="false">E688*E688</f>
        <v>1</v>
      </c>
      <c r="U688" s="0" t="n">
        <f aca="false">F688*F688</f>
        <v>1</v>
      </c>
      <c r="V688" s="0" t="n">
        <f aca="false">G688*G688</f>
        <v>0.0625</v>
      </c>
      <c r="W688" s="0" t="n">
        <f aca="false">H688*H688</f>
        <v>1</v>
      </c>
      <c r="X688" s="0" t="n">
        <f aca="false">SUMPRODUCT(I688:W688,_XtX!$B$96:$P$96)</f>
        <v>40.7914839181287</v>
      </c>
      <c r="Y688" s="0" t="n">
        <f aca="false">SUMPRODUCT(MMULT(I688:W688,_XtX!$B$78:$P$92),I688:W688)</f>
        <v>0.737093384502924</v>
      </c>
      <c r="Z688" s="0" t="n">
        <f aca="false">04_回帰ANOVA!$K$19*04_回帰ANOVA!$K$14*SQRT(1+Y688)</f>
        <v>1.71794784853551</v>
      </c>
      <c r="AA688" s="0" t="n">
        <f aca="false">X688-Z688</f>
        <v>39.0735360695932</v>
      </c>
      <c r="AB688" s="0" t="n">
        <f aca="false">X688+Z688</f>
        <v>42.5094317666642</v>
      </c>
      <c r="AC688" s="54" t="b">
        <f aca="false">AND(E688&gt;=01_因子設定!$L$5-0.000000001,E688&lt;=01_因子設定!$M$5+0.000000001,F688&gt;=01_因子設定!$L$6-0.000000001,F688&lt;=01_因子設定!$M$6+0.000000001,G688&gt;=01_因子設定!$L$7-0.000000001,G688&lt;=01_因子設定!$M$7+0.000000001,H688&gt;=01_因子設定!$L$8-0.000000001,H688&lt;=01_因子設定!$M$8+0.000000001,IF(01_因子設定!$B$20="Box-Behnken",E688^2+F688^2+G688^2+H688^2&lt;=2+0.000000001,TRUE()))</f>
        <v>1</v>
      </c>
      <c r="AD688" s="55" t="n">
        <f aca="false">IF(AC688,IF(01_因子設定!$B$13="最大化",AA688-01_因子設定!$B$14,IF(01_因子設定!$B$13="最小化",01_因子設定!$B$15-AB688,MIN(AA688-01_因子設定!$B$14,01_因子設定!$B$15-AB688))),-1E+030)</f>
        <v>-7.42646393040678</v>
      </c>
      <c r="AE688" s="55" t="n">
        <f aca="false">IF(AC688,IF(01_因子設定!$B$13="最大化",X688,IF(01_因子設定!$B$13="最小化",-X688,-ABS(X688-01_因子設定!$B$16))),-1E+030)</f>
        <v>40.7914839181287</v>
      </c>
      <c r="AF688" s="55" t="n">
        <f aca="false">AD688+ROW()*0.000000001</f>
        <v>-7.42646324240678</v>
      </c>
      <c r="AG688" s="55" t="n">
        <f aca="false">AE688+ROW()*0.000000001</f>
        <v>40.7914846061287</v>
      </c>
    </row>
    <row r="689" customFormat="false" ht="15" hidden="false" customHeight="false" outlineLevel="0" collapsed="false">
      <c r="A689" s="0" t="n">
        <v>0</v>
      </c>
      <c r="B689" s="0" t="n">
        <v>8</v>
      </c>
      <c r="C689" s="0" t="n">
        <v>4</v>
      </c>
      <c r="D689" s="0" t="n">
        <v>0</v>
      </c>
      <c r="E689" s="0" t="n">
        <f aca="false">-1+A689*0.25</f>
        <v>-1</v>
      </c>
      <c r="F689" s="0" t="n">
        <f aca="false">-1+B689*0.25</f>
        <v>1</v>
      </c>
      <c r="G689" s="0" t="n">
        <f aca="false">-1+C689*0.25</f>
        <v>0</v>
      </c>
      <c r="H689" s="0" t="n">
        <f aca="false">-1+D689*0.25</f>
        <v>-1</v>
      </c>
      <c r="I689" s="0" t="n">
        <f aca="false">1</f>
        <v>1</v>
      </c>
      <c r="J689" s="0" t="n">
        <f aca="false">E689</f>
        <v>-1</v>
      </c>
      <c r="K689" s="0" t="n">
        <f aca="false">F689</f>
        <v>1</v>
      </c>
      <c r="L689" s="0" t="n">
        <f aca="false">G689</f>
        <v>0</v>
      </c>
      <c r="M689" s="0" t="n">
        <f aca="false">H689</f>
        <v>-1</v>
      </c>
      <c r="N689" s="0" t="n">
        <f aca="false">E689*F689</f>
        <v>-1</v>
      </c>
      <c r="O689" s="0" t="n">
        <f aca="false">E689*G689</f>
        <v>-0</v>
      </c>
      <c r="P689" s="0" t="n">
        <f aca="false">E689*H689</f>
        <v>1</v>
      </c>
      <c r="Q689" s="0" t="n">
        <f aca="false">F689*G689</f>
        <v>0</v>
      </c>
      <c r="R689" s="0" t="n">
        <f aca="false">F689*H689</f>
        <v>-1</v>
      </c>
      <c r="S689" s="0" t="n">
        <f aca="false">G689*H689</f>
        <v>-0</v>
      </c>
      <c r="T689" s="0" t="n">
        <f aca="false">E689*E689</f>
        <v>1</v>
      </c>
      <c r="U689" s="0" t="n">
        <f aca="false">F689*F689</f>
        <v>1</v>
      </c>
      <c r="V689" s="0" t="n">
        <f aca="false">G689*G689</f>
        <v>0</v>
      </c>
      <c r="W689" s="0" t="n">
        <f aca="false">H689*H689</f>
        <v>1</v>
      </c>
      <c r="X689" s="0" t="n">
        <f aca="false">SUMPRODUCT(I689:W689,_XtX!$B$96:$P$96)</f>
        <v>41.2563596491229</v>
      </c>
      <c r="Y689" s="0" t="n">
        <f aca="false">SUMPRODUCT(MMULT(I689:W689,_XtX!$B$78:$P$92),I689:W689)</f>
        <v>0.766447368421053</v>
      </c>
      <c r="Z689" s="0" t="n">
        <f aca="false">04_回帰ANOVA!$K$19*04_回帰ANOVA!$K$14*SQRT(1+Y689)</f>
        <v>1.7324022685743</v>
      </c>
      <c r="AA689" s="0" t="n">
        <f aca="false">X689-Z689</f>
        <v>39.5239573805486</v>
      </c>
      <c r="AB689" s="0" t="n">
        <f aca="false">X689+Z689</f>
        <v>42.9887619176972</v>
      </c>
      <c r="AC689" s="54" t="b">
        <f aca="false">AND(E689&gt;=01_因子設定!$L$5-0.000000001,E689&lt;=01_因子設定!$M$5+0.000000001,F689&gt;=01_因子設定!$L$6-0.000000001,F689&lt;=01_因子設定!$M$6+0.000000001,G689&gt;=01_因子設定!$L$7-0.000000001,G689&lt;=01_因子設定!$M$7+0.000000001,H689&gt;=01_因子設定!$L$8-0.000000001,H689&lt;=01_因子設定!$M$8+0.000000001,IF(01_因子設定!$B$20="Box-Behnken",E689^2+F689^2+G689^2+H689^2&lt;=2+0.000000001,TRUE()))</f>
        <v>1</v>
      </c>
      <c r="AD689" s="55" t="n">
        <f aca="false">IF(AC689,IF(01_因子設定!$B$13="最大化",AA689-01_因子設定!$B$14,IF(01_因子設定!$B$13="最小化",01_因子設定!$B$15-AB689,MIN(AA689-01_因子設定!$B$14,01_因子設定!$B$15-AB689))),-1E+030)</f>
        <v>-6.97604261945143</v>
      </c>
      <c r="AE689" s="55" t="n">
        <f aca="false">IF(AC689,IF(01_因子設定!$B$13="最大化",X689,IF(01_因子設定!$B$13="最小化",-X689,-ABS(X689-01_因子設定!$B$16))),-1E+030)</f>
        <v>41.2563596491229</v>
      </c>
      <c r="AF689" s="55" t="n">
        <f aca="false">AD689+ROW()*0.000000001</f>
        <v>-6.97604193045143</v>
      </c>
      <c r="AG689" s="55" t="n">
        <f aca="false">AE689+ROW()*0.000000001</f>
        <v>41.2563603381229</v>
      </c>
    </row>
    <row r="690" customFormat="false" ht="15" hidden="false" customHeight="false" outlineLevel="0" collapsed="false">
      <c r="A690" s="0" t="n">
        <v>0</v>
      </c>
      <c r="B690" s="0" t="n">
        <v>8</v>
      </c>
      <c r="C690" s="0" t="n">
        <v>4</v>
      </c>
      <c r="D690" s="0" t="n">
        <v>1</v>
      </c>
      <c r="E690" s="0" t="n">
        <f aca="false">-1+A690*0.25</f>
        <v>-1</v>
      </c>
      <c r="F690" s="0" t="n">
        <f aca="false">-1+B690*0.25</f>
        <v>1</v>
      </c>
      <c r="G690" s="0" t="n">
        <f aca="false">-1+C690*0.25</f>
        <v>0</v>
      </c>
      <c r="H690" s="0" t="n">
        <f aca="false">-1+D690*0.25</f>
        <v>-0.75</v>
      </c>
      <c r="I690" s="0" t="n">
        <f aca="false">1</f>
        <v>1</v>
      </c>
      <c r="J690" s="0" t="n">
        <f aca="false">E690</f>
        <v>-1</v>
      </c>
      <c r="K690" s="0" t="n">
        <f aca="false">F690</f>
        <v>1</v>
      </c>
      <c r="L690" s="0" t="n">
        <f aca="false">G690</f>
        <v>0</v>
      </c>
      <c r="M690" s="0" t="n">
        <f aca="false">H690</f>
        <v>-0.75</v>
      </c>
      <c r="N690" s="0" t="n">
        <f aca="false">E690*F690</f>
        <v>-1</v>
      </c>
      <c r="O690" s="0" t="n">
        <f aca="false">E690*G690</f>
        <v>-0</v>
      </c>
      <c r="P690" s="0" t="n">
        <f aca="false">E690*H690</f>
        <v>0.75</v>
      </c>
      <c r="Q690" s="0" t="n">
        <f aca="false">F690*G690</f>
        <v>0</v>
      </c>
      <c r="R690" s="0" t="n">
        <f aca="false">F690*H690</f>
        <v>-0.75</v>
      </c>
      <c r="S690" s="0" t="n">
        <f aca="false">G690*H690</f>
        <v>-0</v>
      </c>
      <c r="T690" s="0" t="n">
        <f aca="false">E690*E690</f>
        <v>1</v>
      </c>
      <c r="U690" s="0" t="n">
        <f aca="false">F690*F690</f>
        <v>1</v>
      </c>
      <c r="V690" s="0" t="n">
        <f aca="false">G690*G690</f>
        <v>0</v>
      </c>
      <c r="W690" s="0" t="n">
        <f aca="false">H690*H690</f>
        <v>0.5625</v>
      </c>
      <c r="X690" s="0" t="n">
        <f aca="false">SUMPRODUCT(I690:W690,_XtX!$B$96:$P$96)</f>
        <v>41.4406980994153</v>
      </c>
      <c r="Y690" s="0" t="n">
        <f aca="false">SUMPRODUCT(MMULT(I690:W690,_XtX!$B$78:$P$92),I690:W690)</f>
        <v>0.646198830409357</v>
      </c>
      <c r="Z690" s="0" t="n">
        <f aca="false">04_回帰ANOVA!$K$19*04_回帰ANOVA!$K$14*SQRT(1+Y690)</f>
        <v>1.67239760569756</v>
      </c>
      <c r="AA690" s="0" t="n">
        <f aca="false">X690-Z690</f>
        <v>39.7683004937177</v>
      </c>
      <c r="AB690" s="0" t="n">
        <f aca="false">X690+Z690</f>
        <v>43.1130957051128</v>
      </c>
      <c r="AC690" s="54" t="b">
        <f aca="false">AND(E690&gt;=01_因子設定!$L$5-0.000000001,E690&lt;=01_因子設定!$M$5+0.000000001,F690&gt;=01_因子設定!$L$6-0.000000001,F690&lt;=01_因子設定!$M$6+0.000000001,G690&gt;=01_因子設定!$L$7-0.000000001,G690&lt;=01_因子設定!$M$7+0.000000001,H690&gt;=01_因子設定!$L$8-0.000000001,H690&lt;=01_因子設定!$M$8+0.000000001,IF(01_因子設定!$B$20="Box-Behnken",E690^2+F690^2+G690^2+H690^2&lt;=2+0.000000001,TRUE()))</f>
        <v>1</v>
      </c>
      <c r="AD690" s="55" t="n">
        <f aca="false">IF(AC690,IF(01_因子設定!$B$13="最大化",AA690-01_因子設定!$B$14,IF(01_因子設定!$B$13="最小化",01_因子設定!$B$15-AB690,MIN(AA690-01_因子設定!$B$14,01_因子設定!$B$15-AB690))),-1E+030)</f>
        <v>-6.7316995062823</v>
      </c>
      <c r="AE690" s="55" t="n">
        <f aca="false">IF(AC690,IF(01_因子設定!$B$13="最大化",X690,IF(01_因子設定!$B$13="最小化",-X690,-ABS(X690-01_因子設定!$B$16))),-1E+030)</f>
        <v>41.4406980994153</v>
      </c>
      <c r="AF690" s="55" t="n">
        <f aca="false">AD690+ROW()*0.000000001</f>
        <v>-6.7316988162823</v>
      </c>
      <c r="AG690" s="55" t="n">
        <f aca="false">AE690+ROW()*0.000000001</f>
        <v>41.4406987894153</v>
      </c>
    </row>
    <row r="691" customFormat="false" ht="15" hidden="false" customHeight="false" outlineLevel="0" collapsed="false">
      <c r="A691" s="0" t="n">
        <v>0</v>
      </c>
      <c r="B691" s="0" t="n">
        <v>8</v>
      </c>
      <c r="C691" s="0" t="n">
        <v>4</v>
      </c>
      <c r="D691" s="0" t="n">
        <v>2</v>
      </c>
      <c r="E691" s="0" t="n">
        <f aca="false">-1+A691*0.25</f>
        <v>-1</v>
      </c>
      <c r="F691" s="0" t="n">
        <f aca="false">-1+B691*0.25</f>
        <v>1</v>
      </c>
      <c r="G691" s="0" t="n">
        <f aca="false">-1+C691*0.25</f>
        <v>0</v>
      </c>
      <c r="H691" s="0" t="n">
        <f aca="false">-1+D691*0.25</f>
        <v>-0.5</v>
      </c>
      <c r="I691" s="0" t="n">
        <f aca="false">1</f>
        <v>1</v>
      </c>
      <c r="J691" s="0" t="n">
        <f aca="false">E691</f>
        <v>-1</v>
      </c>
      <c r="K691" s="0" t="n">
        <f aca="false">F691</f>
        <v>1</v>
      </c>
      <c r="L691" s="0" t="n">
        <f aca="false">G691</f>
        <v>0</v>
      </c>
      <c r="M691" s="0" t="n">
        <f aca="false">H691</f>
        <v>-0.5</v>
      </c>
      <c r="N691" s="0" t="n">
        <f aca="false">E691*F691</f>
        <v>-1</v>
      </c>
      <c r="O691" s="0" t="n">
        <f aca="false">E691*G691</f>
        <v>-0</v>
      </c>
      <c r="P691" s="0" t="n">
        <f aca="false">E691*H691</f>
        <v>0.5</v>
      </c>
      <c r="Q691" s="0" t="n">
        <f aca="false">F691*G691</f>
        <v>0</v>
      </c>
      <c r="R691" s="0" t="n">
        <f aca="false">F691*H691</f>
        <v>-0.5</v>
      </c>
      <c r="S691" s="0" t="n">
        <f aca="false">G691*H691</f>
        <v>-0</v>
      </c>
      <c r="T691" s="0" t="n">
        <f aca="false">E691*E691</f>
        <v>1</v>
      </c>
      <c r="U691" s="0" t="n">
        <f aca="false">F691*F691</f>
        <v>1</v>
      </c>
      <c r="V691" s="0" t="n">
        <f aca="false">G691*G691</f>
        <v>0</v>
      </c>
      <c r="W691" s="0" t="n">
        <f aca="false">H691*H691</f>
        <v>0.25</v>
      </c>
      <c r="X691" s="0" t="n">
        <f aca="false">SUMPRODUCT(I691:W691,_XtX!$B$96:$P$96)</f>
        <v>41.5772295321638</v>
      </c>
      <c r="Y691" s="0" t="n">
        <f aca="false">SUMPRODUCT(MMULT(I691:W691,_XtX!$B$78:$P$92),I691:W691)</f>
        <v>0.650767543859649</v>
      </c>
      <c r="Z691" s="0" t="n">
        <f aca="false">04_回帰ANOVA!$K$19*04_回帰ANOVA!$K$14*SQRT(1+Y691)</f>
        <v>1.67471670935165</v>
      </c>
      <c r="AA691" s="0" t="n">
        <f aca="false">X691-Z691</f>
        <v>39.9025128228121</v>
      </c>
      <c r="AB691" s="0" t="n">
        <f aca="false">X691+Z691</f>
        <v>43.2519462415154</v>
      </c>
      <c r="AC691" s="54" t="b">
        <f aca="false">AND(E691&gt;=01_因子設定!$L$5-0.000000001,E691&lt;=01_因子設定!$M$5+0.000000001,F691&gt;=01_因子設定!$L$6-0.000000001,F691&lt;=01_因子設定!$M$6+0.000000001,G691&gt;=01_因子設定!$L$7-0.000000001,G691&lt;=01_因子設定!$M$7+0.000000001,H691&gt;=01_因子設定!$L$8-0.000000001,H691&lt;=01_因子設定!$M$8+0.000000001,IF(01_因子設定!$B$20="Box-Behnken",E691^2+F691^2+G691^2+H691^2&lt;=2+0.000000001,TRUE()))</f>
        <v>1</v>
      </c>
      <c r="AD691" s="55" t="n">
        <f aca="false">IF(AC691,IF(01_因子設定!$B$13="最大化",AA691-01_因子設定!$B$14,IF(01_因子設定!$B$13="最小化",01_因子設定!$B$15-AB691,MIN(AA691-01_因子設定!$B$14,01_因子設定!$B$15-AB691))),-1E+030)</f>
        <v>-6.59748717718787</v>
      </c>
      <c r="AE691" s="55" t="n">
        <f aca="false">IF(AC691,IF(01_因子設定!$B$13="最大化",X691,IF(01_因子設定!$B$13="最小化",-X691,-ABS(X691-01_因子設定!$B$16))),-1E+030)</f>
        <v>41.5772295321638</v>
      </c>
      <c r="AF691" s="55" t="n">
        <f aca="false">AD691+ROW()*0.000000001</f>
        <v>-6.59748648618787</v>
      </c>
      <c r="AG691" s="55" t="n">
        <f aca="false">AE691+ROW()*0.000000001</f>
        <v>41.5772302231638</v>
      </c>
    </row>
    <row r="692" customFormat="false" ht="15" hidden="false" customHeight="false" outlineLevel="0" collapsed="false">
      <c r="A692" s="0" t="n">
        <v>0</v>
      </c>
      <c r="B692" s="0" t="n">
        <v>8</v>
      </c>
      <c r="C692" s="0" t="n">
        <v>4</v>
      </c>
      <c r="D692" s="0" t="n">
        <v>3</v>
      </c>
      <c r="E692" s="0" t="n">
        <f aca="false">-1+A692*0.25</f>
        <v>-1</v>
      </c>
      <c r="F692" s="0" t="n">
        <f aca="false">-1+B692*0.25</f>
        <v>1</v>
      </c>
      <c r="G692" s="0" t="n">
        <f aca="false">-1+C692*0.25</f>
        <v>0</v>
      </c>
      <c r="H692" s="0" t="n">
        <f aca="false">-1+D692*0.25</f>
        <v>-0.25</v>
      </c>
      <c r="I692" s="0" t="n">
        <f aca="false">1</f>
        <v>1</v>
      </c>
      <c r="J692" s="0" t="n">
        <f aca="false">E692</f>
        <v>-1</v>
      </c>
      <c r="K692" s="0" t="n">
        <f aca="false">F692</f>
        <v>1</v>
      </c>
      <c r="L692" s="0" t="n">
        <f aca="false">G692</f>
        <v>0</v>
      </c>
      <c r="M692" s="0" t="n">
        <f aca="false">H692</f>
        <v>-0.25</v>
      </c>
      <c r="N692" s="0" t="n">
        <f aca="false">E692*F692</f>
        <v>-1</v>
      </c>
      <c r="O692" s="0" t="n">
        <f aca="false">E692*G692</f>
        <v>-0</v>
      </c>
      <c r="P692" s="0" t="n">
        <f aca="false">E692*H692</f>
        <v>0.25</v>
      </c>
      <c r="Q692" s="0" t="n">
        <f aca="false">F692*G692</f>
        <v>0</v>
      </c>
      <c r="R692" s="0" t="n">
        <f aca="false">F692*H692</f>
        <v>-0.25</v>
      </c>
      <c r="S692" s="0" t="n">
        <f aca="false">G692*H692</f>
        <v>-0</v>
      </c>
      <c r="T692" s="0" t="n">
        <f aca="false">E692*E692</f>
        <v>1</v>
      </c>
      <c r="U692" s="0" t="n">
        <f aca="false">F692*F692</f>
        <v>1</v>
      </c>
      <c r="V692" s="0" t="n">
        <f aca="false">G692*G692</f>
        <v>0</v>
      </c>
      <c r="W692" s="0" t="n">
        <f aca="false">H692*H692</f>
        <v>0.0625</v>
      </c>
      <c r="X692" s="0" t="n">
        <f aca="false">SUMPRODUCT(I692:W692,_XtX!$B$96:$P$96)</f>
        <v>41.6659539473685</v>
      </c>
      <c r="Y692" s="0" t="n">
        <f aca="false">SUMPRODUCT(MMULT(I692:W692,_XtX!$B$78:$P$92),I692:W692)</f>
        <v>0.689692982456141</v>
      </c>
      <c r="Z692" s="0" t="n">
        <f aca="false">04_回帰ANOVA!$K$19*04_回帰ANOVA!$K$14*SQRT(1+Y692)</f>
        <v>1.69434674594998</v>
      </c>
      <c r="AA692" s="0" t="n">
        <f aca="false">X692-Z692</f>
        <v>39.9716072014185</v>
      </c>
      <c r="AB692" s="0" t="n">
        <f aca="false">X692+Z692</f>
        <v>43.3603006933184</v>
      </c>
      <c r="AC692" s="54" t="b">
        <f aca="false">AND(E692&gt;=01_因子設定!$L$5-0.000000001,E692&lt;=01_因子設定!$M$5+0.000000001,F692&gt;=01_因子設定!$L$6-0.000000001,F692&lt;=01_因子設定!$M$6+0.000000001,G692&gt;=01_因子設定!$L$7-0.000000001,G692&lt;=01_因子設定!$M$7+0.000000001,H692&gt;=01_因子設定!$L$8-0.000000001,H692&lt;=01_因子設定!$M$8+0.000000001,IF(01_因子設定!$B$20="Box-Behnken",E692^2+F692^2+G692^2+H692^2&lt;=2+0.000000001,TRUE()))</f>
        <v>1</v>
      </c>
      <c r="AD692" s="55" t="n">
        <f aca="false">IF(AC692,IF(01_因子設定!$B$13="最大化",AA692-01_因子設定!$B$14,IF(01_因子設定!$B$13="最小化",01_因子設定!$B$15-AB692,MIN(AA692-01_因子設定!$B$14,01_因子設定!$B$15-AB692))),-1E+030)</f>
        <v>-6.52839279858154</v>
      </c>
      <c r="AE692" s="55" t="n">
        <f aca="false">IF(AC692,IF(01_因子設定!$B$13="最大化",X692,IF(01_因子設定!$B$13="最小化",-X692,-ABS(X692-01_因子設定!$B$16))),-1E+030)</f>
        <v>41.6659539473685</v>
      </c>
      <c r="AF692" s="55" t="n">
        <f aca="false">AD692+ROW()*0.000000001</f>
        <v>-6.52839210658154</v>
      </c>
      <c r="AG692" s="55" t="n">
        <f aca="false">AE692+ROW()*0.000000001</f>
        <v>41.6659546393685</v>
      </c>
    </row>
    <row r="693" customFormat="false" ht="15" hidden="false" customHeight="false" outlineLevel="0" collapsed="false">
      <c r="A693" s="0" t="n">
        <v>0</v>
      </c>
      <c r="B693" s="0" t="n">
        <v>8</v>
      </c>
      <c r="C693" s="0" t="n">
        <v>4</v>
      </c>
      <c r="D693" s="0" t="n">
        <v>4</v>
      </c>
      <c r="E693" s="0" t="n">
        <f aca="false">-1+A693*0.25</f>
        <v>-1</v>
      </c>
      <c r="F693" s="0" t="n">
        <f aca="false">-1+B693*0.25</f>
        <v>1</v>
      </c>
      <c r="G693" s="0" t="n">
        <f aca="false">-1+C693*0.25</f>
        <v>0</v>
      </c>
      <c r="H693" s="0" t="n">
        <f aca="false">-1+D693*0.25</f>
        <v>0</v>
      </c>
      <c r="I693" s="0" t="n">
        <f aca="false">1</f>
        <v>1</v>
      </c>
      <c r="J693" s="0" t="n">
        <f aca="false">E693</f>
        <v>-1</v>
      </c>
      <c r="K693" s="0" t="n">
        <f aca="false">F693</f>
        <v>1</v>
      </c>
      <c r="L693" s="0" t="n">
        <f aca="false">G693</f>
        <v>0</v>
      </c>
      <c r="M693" s="0" t="n">
        <f aca="false">H693</f>
        <v>0</v>
      </c>
      <c r="N693" s="0" t="n">
        <f aca="false">E693*F693</f>
        <v>-1</v>
      </c>
      <c r="O693" s="0" t="n">
        <f aca="false">E693*G693</f>
        <v>-0</v>
      </c>
      <c r="P693" s="0" t="n">
        <f aca="false">E693*H693</f>
        <v>-0</v>
      </c>
      <c r="Q693" s="0" t="n">
        <f aca="false">F693*G693</f>
        <v>0</v>
      </c>
      <c r="R693" s="0" t="n">
        <f aca="false">F693*H693</f>
        <v>0</v>
      </c>
      <c r="S693" s="0" t="n">
        <f aca="false">G693*H693</f>
        <v>0</v>
      </c>
      <c r="T693" s="0" t="n">
        <f aca="false">E693*E693</f>
        <v>1</v>
      </c>
      <c r="U693" s="0" t="n">
        <f aca="false">F693*F693</f>
        <v>1</v>
      </c>
      <c r="V693" s="0" t="n">
        <f aca="false">G693*G693</f>
        <v>0</v>
      </c>
      <c r="W693" s="0" t="n">
        <f aca="false">H693*H693</f>
        <v>0</v>
      </c>
      <c r="X693" s="0" t="n">
        <f aca="false">SUMPRODUCT(I693:W693,_XtX!$B$96:$P$96)</f>
        <v>41.7068713450293</v>
      </c>
      <c r="Y693" s="0" t="n">
        <f aca="false">SUMPRODUCT(MMULT(I693:W693,_XtX!$B$78:$P$92),I693:W693)</f>
        <v>0.708698830409357</v>
      </c>
      <c r="Z693" s="0" t="n">
        <f aca="false">04_回帰ANOVA!$K$19*04_回帰ANOVA!$K$14*SQRT(1+Y693)</f>
        <v>1.70384919651719</v>
      </c>
      <c r="AA693" s="0" t="n">
        <f aca="false">X693-Z693</f>
        <v>40.0030221485121</v>
      </c>
      <c r="AB693" s="0" t="n">
        <f aca="false">X693+Z693</f>
        <v>43.4107205415465</v>
      </c>
      <c r="AC693" s="54" t="b">
        <f aca="false">AND(E693&gt;=01_因子設定!$L$5-0.000000001,E693&lt;=01_因子設定!$M$5+0.000000001,F693&gt;=01_因子設定!$L$6-0.000000001,F693&lt;=01_因子設定!$M$6+0.000000001,G693&gt;=01_因子設定!$L$7-0.000000001,G693&lt;=01_因子設定!$M$7+0.000000001,H693&gt;=01_因子設定!$L$8-0.000000001,H693&lt;=01_因子設定!$M$8+0.000000001,IF(01_因子設定!$B$20="Box-Behnken",E693^2+F693^2+G693^2+H693^2&lt;=2+0.000000001,TRUE()))</f>
        <v>1</v>
      </c>
      <c r="AD693" s="55" t="n">
        <f aca="false">IF(AC693,IF(01_因子設定!$B$13="最大化",AA693-01_因子設定!$B$14,IF(01_因子設定!$B$13="最小化",01_因子設定!$B$15-AB693,MIN(AA693-01_因子設定!$B$14,01_因子設定!$B$15-AB693))),-1E+030)</f>
        <v>-6.49697785148793</v>
      </c>
      <c r="AE693" s="55" t="n">
        <f aca="false">IF(AC693,IF(01_因子設定!$B$13="最大化",X693,IF(01_因子設定!$B$13="最小化",-X693,-ABS(X693-01_因子設定!$B$16))),-1E+030)</f>
        <v>41.7068713450293</v>
      </c>
      <c r="AF693" s="55" t="n">
        <f aca="false">AD693+ROW()*0.000000001</f>
        <v>-6.49697715848793</v>
      </c>
      <c r="AG693" s="55" t="n">
        <f aca="false">AE693+ROW()*0.000000001</f>
        <v>41.7068720380293</v>
      </c>
    </row>
    <row r="694" customFormat="false" ht="15" hidden="false" customHeight="false" outlineLevel="0" collapsed="false">
      <c r="A694" s="0" t="n">
        <v>0</v>
      </c>
      <c r="B694" s="0" t="n">
        <v>8</v>
      </c>
      <c r="C694" s="0" t="n">
        <v>4</v>
      </c>
      <c r="D694" s="0" t="n">
        <v>5</v>
      </c>
      <c r="E694" s="0" t="n">
        <f aca="false">-1+A694*0.25</f>
        <v>-1</v>
      </c>
      <c r="F694" s="0" t="n">
        <f aca="false">-1+B694*0.25</f>
        <v>1</v>
      </c>
      <c r="G694" s="0" t="n">
        <f aca="false">-1+C694*0.25</f>
        <v>0</v>
      </c>
      <c r="H694" s="0" t="n">
        <f aca="false">-1+D694*0.25</f>
        <v>0.25</v>
      </c>
      <c r="I694" s="0" t="n">
        <f aca="false">1</f>
        <v>1</v>
      </c>
      <c r="J694" s="0" t="n">
        <f aca="false">E694</f>
        <v>-1</v>
      </c>
      <c r="K694" s="0" t="n">
        <f aca="false">F694</f>
        <v>1</v>
      </c>
      <c r="L694" s="0" t="n">
        <f aca="false">G694</f>
        <v>0</v>
      </c>
      <c r="M694" s="0" t="n">
        <f aca="false">H694</f>
        <v>0.25</v>
      </c>
      <c r="N694" s="0" t="n">
        <f aca="false">E694*F694</f>
        <v>-1</v>
      </c>
      <c r="O694" s="0" t="n">
        <f aca="false">E694*G694</f>
        <v>-0</v>
      </c>
      <c r="P694" s="0" t="n">
        <f aca="false">E694*H694</f>
        <v>-0.25</v>
      </c>
      <c r="Q694" s="0" t="n">
        <f aca="false">F694*G694</f>
        <v>0</v>
      </c>
      <c r="R694" s="0" t="n">
        <f aca="false">F694*H694</f>
        <v>0.25</v>
      </c>
      <c r="S694" s="0" t="n">
        <f aca="false">G694*H694</f>
        <v>0</v>
      </c>
      <c r="T694" s="0" t="n">
        <f aca="false">E694*E694</f>
        <v>1</v>
      </c>
      <c r="U694" s="0" t="n">
        <f aca="false">F694*F694</f>
        <v>1</v>
      </c>
      <c r="V694" s="0" t="n">
        <f aca="false">G694*G694</f>
        <v>0</v>
      </c>
      <c r="W694" s="0" t="n">
        <f aca="false">H694*H694</f>
        <v>0.0625</v>
      </c>
      <c r="X694" s="0" t="n">
        <f aca="false">SUMPRODUCT(I694:W694,_XtX!$B$96:$P$96)</f>
        <v>41.6999817251462</v>
      </c>
      <c r="Y694" s="0" t="n">
        <f aca="false">SUMPRODUCT(MMULT(I694:W694,_XtX!$B$78:$P$92),I694:W694)</f>
        <v>0.689692982456141</v>
      </c>
      <c r="Z694" s="0" t="n">
        <f aca="false">04_回帰ANOVA!$K$19*04_回帰ANOVA!$K$14*SQRT(1+Y694)</f>
        <v>1.69434674594998</v>
      </c>
      <c r="AA694" s="0" t="n">
        <f aca="false">X694-Z694</f>
        <v>40.0056349791962</v>
      </c>
      <c r="AB694" s="0" t="n">
        <f aca="false">X694+Z694</f>
        <v>43.3943284710962</v>
      </c>
      <c r="AC694" s="54" t="b">
        <f aca="false">AND(E694&gt;=01_因子設定!$L$5-0.000000001,E694&lt;=01_因子設定!$M$5+0.000000001,F694&gt;=01_因子設定!$L$6-0.000000001,F694&lt;=01_因子設定!$M$6+0.000000001,G694&gt;=01_因子設定!$L$7-0.000000001,G694&lt;=01_因子設定!$M$7+0.000000001,H694&gt;=01_因子設定!$L$8-0.000000001,H694&lt;=01_因子設定!$M$8+0.000000001,IF(01_因子設定!$B$20="Box-Behnken",E694^2+F694^2+G694^2+H694^2&lt;=2+0.000000001,TRUE()))</f>
        <v>1</v>
      </c>
      <c r="AD694" s="55" t="n">
        <f aca="false">IF(AC694,IF(01_因子設定!$B$13="最大化",AA694-01_因子設定!$B$14,IF(01_因子設定!$B$13="最小化",01_因子設定!$B$15-AB694,MIN(AA694-01_因子設定!$B$14,01_因子設定!$B$15-AB694))),-1E+030)</f>
        <v>-6.49436502080376</v>
      </c>
      <c r="AE694" s="55" t="n">
        <f aca="false">IF(AC694,IF(01_因子設定!$B$13="最大化",X694,IF(01_因子設定!$B$13="最小化",-X694,-ABS(X694-01_因子設定!$B$16))),-1E+030)</f>
        <v>41.6999817251462</v>
      </c>
      <c r="AF694" s="55" t="n">
        <f aca="false">AD694+ROW()*0.000000001</f>
        <v>-6.49436432680376</v>
      </c>
      <c r="AG694" s="55" t="n">
        <f aca="false">AE694+ROW()*0.000000001</f>
        <v>41.6999824191462</v>
      </c>
    </row>
    <row r="695" customFormat="false" ht="15" hidden="false" customHeight="false" outlineLevel="0" collapsed="false">
      <c r="A695" s="0" t="n">
        <v>0</v>
      </c>
      <c r="B695" s="0" t="n">
        <v>8</v>
      </c>
      <c r="C695" s="0" t="n">
        <v>4</v>
      </c>
      <c r="D695" s="0" t="n">
        <v>6</v>
      </c>
      <c r="E695" s="0" t="n">
        <f aca="false">-1+A695*0.25</f>
        <v>-1</v>
      </c>
      <c r="F695" s="0" t="n">
        <f aca="false">-1+B695*0.25</f>
        <v>1</v>
      </c>
      <c r="G695" s="0" t="n">
        <f aca="false">-1+C695*0.25</f>
        <v>0</v>
      </c>
      <c r="H695" s="0" t="n">
        <f aca="false">-1+D695*0.25</f>
        <v>0.5</v>
      </c>
      <c r="I695" s="0" t="n">
        <f aca="false">1</f>
        <v>1</v>
      </c>
      <c r="J695" s="0" t="n">
        <f aca="false">E695</f>
        <v>-1</v>
      </c>
      <c r="K695" s="0" t="n">
        <f aca="false">F695</f>
        <v>1</v>
      </c>
      <c r="L695" s="0" t="n">
        <f aca="false">G695</f>
        <v>0</v>
      </c>
      <c r="M695" s="0" t="n">
        <f aca="false">H695</f>
        <v>0.5</v>
      </c>
      <c r="N695" s="0" t="n">
        <f aca="false">E695*F695</f>
        <v>-1</v>
      </c>
      <c r="O695" s="0" t="n">
        <f aca="false">E695*G695</f>
        <v>-0</v>
      </c>
      <c r="P695" s="0" t="n">
        <f aca="false">E695*H695</f>
        <v>-0.5</v>
      </c>
      <c r="Q695" s="0" t="n">
        <f aca="false">F695*G695</f>
        <v>0</v>
      </c>
      <c r="R695" s="0" t="n">
        <f aca="false">F695*H695</f>
        <v>0.5</v>
      </c>
      <c r="S695" s="0" t="n">
        <f aca="false">G695*H695</f>
        <v>0</v>
      </c>
      <c r="T695" s="0" t="n">
        <f aca="false">E695*E695</f>
        <v>1</v>
      </c>
      <c r="U695" s="0" t="n">
        <f aca="false">F695*F695</f>
        <v>1</v>
      </c>
      <c r="V695" s="0" t="n">
        <f aca="false">G695*G695</f>
        <v>0</v>
      </c>
      <c r="W695" s="0" t="n">
        <f aca="false">H695*H695</f>
        <v>0.25</v>
      </c>
      <c r="X695" s="0" t="n">
        <f aca="false">SUMPRODUCT(I695:W695,_XtX!$B$96:$P$96)</f>
        <v>41.6452850877193</v>
      </c>
      <c r="Y695" s="0" t="n">
        <f aca="false">SUMPRODUCT(MMULT(I695:W695,_XtX!$B$78:$P$92),I695:W695)</f>
        <v>0.650767543859649</v>
      </c>
      <c r="Z695" s="0" t="n">
        <f aca="false">04_回帰ANOVA!$K$19*04_回帰ANOVA!$K$14*SQRT(1+Y695)</f>
        <v>1.67471670935165</v>
      </c>
      <c r="AA695" s="0" t="n">
        <f aca="false">X695-Z695</f>
        <v>39.9705683783677</v>
      </c>
      <c r="AB695" s="0" t="n">
        <f aca="false">X695+Z695</f>
        <v>43.320001797071</v>
      </c>
      <c r="AC695" s="54" t="b">
        <f aca="false">AND(E695&gt;=01_因子設定!$L$5-0.000000001,E695&lt;=01_因子設定!$M$5+0.000000001,F695&gt;=01_因子設定!$L$6-0.000000001,F695&lt;=01_因子設定!$M$6+0.000000001,G695&gt;=01_因子設定!$L$7-0.000000001,G695&lt;=01_因子設定!$M$7+0.000000001,H695&gt;=01_因子設定!$L$8-0.000000001,H695&lt;=01_因子設定!$M$8+0.000000001,IF(01_因子設定!$B$20="Box-Behnken",E695^2+F695^2+G695^2+H695^2&lt;=2+0.000000001,TRUE()))</f>
        <v>1</v>
      </c>
      <c r="AD695" s="55" t="n">
        <f aca="false">IF(AC695,IF(01_因子設定!$B$13="最大化",AA695-01_因子設定!$B$14,IF(01_因子設定!$B$13="最小化",01_因子設定!$B$15-AB695,MIN(AA695-01_因子設定!$B$14,01_因子設定!$B$15-AB695))),-1E+030)</f>
        <v>-6.52943162163232</v>
      </c>
      <c r="AE695" s="55" t="n">
        <f aca="false">IF(AC695,IF(01_因子設定!$B$13="最大化",X695,IF(01_因子設定!$B$13="最小化",-X695,-ABS(X695-01_因子設定!$B$16))),-1E+030)</f>
        <v>41.6452850877193</v>
      </c>
      <c r="AF695" s="55" t="n">
        <f aca="false">AD695+ROW()*0.000000001</f>
        <v>-6.52943092663232</v>
      </c>
      <c r="AG695" s="55" t="n">
        <f aca="false">AE695+ROW()*0.000000001</f>
        <v>41.6452857827193</v>
      </c>
    </row>
    <row r="696" customFormat="false" ht="15" hidden="false" customHeight="false" outlineLevel="0" collapsed="false">
      <c r="A696" s="0" t="n">
        <v>0</v>
      </c>
      <c r="B696" s="0" t="n">
        <v>8</v>
      </c>
      <c r="C696" s="0" t="n">
        <v>4</v>
      </c>
      <c r="D696" s="0" t="n">
        <v>7</v>
      </c>
      <c r="E696" s="0" t="n">
        <f aca="false">-1+A696*0.25</f>
        <v>-1</v>
      </c>
      <c r="F696" s="0" t="n">
        <f aca="false">-1+B696*0.25</f>
        <v>1</v>
      </c>
      <c r="G696" s="0" t="n">
        <f aca="false">-1+C696*0.25</f>
        <v>0</v>
      </c>
      <c r="H696" s="0" t="n">
        <f aca="false">-1+D696*0.25</f>
        <v>0.75</v>
      </c>
      <c r="I696" s="0" t="n">
        <f aca="false">1</f>
        <v>1</v>
      </c>
      <c r="J696" s="0" t="n">
        <f aca="false">E696</f>
        <v>-1</v>
      </c>
      <c r="K696" s="0" t="n">
        <f aca="false">F696</f>
        <v>1</v>
      </c>
      <c r="L696" s="0" t="n">
        <f aca="false">G696</f>
        <v>0</v>
      </c>
      <c r="M696" s="0" t="n">
        <f aca="false">H696</f>
        <v>0.75</v>
      </c>
      <c r="N696" s="0" t="n">
        <f aca="false">E696*F696</f>
        <v>-1</v>
      </c>
      <c r="O696" s="0" t="n">
        <f aca="false">E696*G696</f>
        <v>-0</v>
      </c>
      <c r="P696" s="0" t="n">
        <f aca="false">E696*H696</f>
        <v>-0.75</v>
      </c>
      <c r="Q696" s="0" t="n">
        <f aca="false">F696*G696</f>
        <v>0</v>
      </c>
      <c r="R696" s="0" t="n">
        <f aca="false">F696*H696</f>
        <v>0.75</v>
      </c>
      <c r="S696" s="0" t="n">
        <f aca="false">G696*H696</f>
        <v>0</v>
      </c>
      <c r="T696" s="0" t="n">
        <f aca="false">E696*E696</f>
        <v>1</v>
      </c>
      <c r="U696" s="0" t="n">
        <f aca="false">F696*F696</f>
        <v>1</v>
      </c>
      <c r="V696" s="0" t="n">
        <f aca="false">G696*G696</f>
        <v>0</v>
      </c>
      <c r="W696" s="0" t="n">
        <f aca="false">H696*H696</f>
        <v>0.5625</v>
      </c>
      <c r="X696" s="0" t="n">
        <f aca="false">SUMPRODUCT(I696:W696,_XtX!$B$96:$P$96)</f>
        <v>41.5427814327486</v>
      </c>
      <c r="Y696" s="0" t="n">
        <f aca="false">SUMPRODUCT(MMULT(I696:W696,_XtX!$B$78:$P$92),I696:W696)</f>
        <v>0.646198830409357</v>
      </c>
      <c r="Z696" s="0" t="n">
        <f aca="false">04_回帰ANOVA!$K$19*04_回帰ANOVA!$K$14*SQRT(1+Y696)</f>
        <v>1.67239760569756</v>
      </c>
      <c r="AA696" s="0" t="n">
        <f aca="false">X696-Z696</f>
        <v>39.870383827051</v>
      </c>
      <c r="AB696" s="0" t="n">
        <f aca="false">X696+Z696</f>
        <v>43.2151790384461</v>
      </c>
      <c r="AC696" s="54" t="b">
        <f aca="false">AND(E696&gt;=01_因子設定!$L$5-0.000000001,E696&lt;=01_因子設定!$M$5+0.000000001,F696&gt;=01_因子設定!$L$6-0.000000001,F696&lt;=01_因子設定!$M$6+0.000000001,G696&gt;=01_因子設定!$L$7-0.000000001,G696&lt;=01_因子設定!$M$7+0.000000001,H696&gt;=01_因子設定!$L$8-0.000000001,H696&lt;=01_因子設定!$M$8+0.000000001,IF(01_因子設定!$B$20="Box-Behnken",E696^2+F696^2+G696^2+H696^2&lt;=2+0.000000001,TRUE()))</f>
        <v>1</v>
      </c>
      <c r="AD696" s="55" t="n">
        <f aca="false">IF(AC696,IF(01_因子設定!$B$13="最大化",AA696-01_因子設定!$B$14,IF(01_因子設定!$B$13="最小化",01_因子設定!$B$15-AB696,MIN(AA696-01_因子設定!$B$14,01_因子設定!$B$15-AB696))),-1E+030)</f>
        <v>-6.62961617294897</v>
      </c>
      <c r="AE696" s="55" t="n">
        <f aca="false">IF(AC696,IF(01_因子設定!$B$13="最大化",X696,IF(01_因子設定!$B$13="最小化",-X696,-ABS(X696-01_因子設定!$B$16))),-1E+030)</f>
        <v>41.5427814327486</v>
      </c>
      <c r="AF696" s="55" t="n">
        <f aca="false">AD696+ROW()*0.000000001</f>
        <v>-6.62961547694897</v>
      </c>
      <c r="AG696" s="55" t="n">
        <f aca="false">AE696+ROW()*0.000000001</f>
        <v>41.5427821287486</v>
      </c>
    </row>
    <row r="697" customFormat="false" ht="15" hidden="false" customHeight="false" outlineLevel="0" collapsed="false">
      <c r="A697" s="0" t="n">
        <v>0</v>
      </c>
      <c r="B697" s="0" t="n">
        <v>8</v>
      </c>
      <c r="C697" s="0" t="n">
        <v>4</v>
      </c>
      <c r="D697" s="0" t="n">
        <v>8</v>
      </c>
      <c r="E697" s="0" t="n">
        <f aca="false">-1+A697*0.25</f>
        <v>-1</v>
      </c>
      <c r="F697" s="0" t="n">
        <f aca="false">-1+B697*0.25</f>
        <v>1</v>
      </c>
      <c r="G697" s="0" t="n">
        <f aca="false">-1+C697*0.25</f>
        <v>0</v>
      </c>
      <c r="H697" s="0" t="n">
        <f aca="false">-1+D697*0.25</f>
        <v>1</v>
      </c>
      <c r="I697" s="0" t="n">
        <f aca="false">1</f>
        <v>1</v>
      </c>
      <c r="J697" s="0" t="n">
        <f aca="false">E697</f>
        <v>-1</v>
      </c>
      <c r="K697" s="0" t="n">
        <f aca="false">F697</f>
        <v>1</v>
      </c>
      <c r="L697" s="0" t="n">
        <f aca="false">G697</f>
        <v>0</v>
      </c>
      <c r="M697" s="0" t="n">
        <f aca="false">H697</f>
        <v>1</v>
      </c>
      <c r="N697" s="0" t="n">
        <f aca="false">E697*F697</f>
        <v>-1</v>
      </c>
      <c r="O697" s="0" t="n">
        <f aca="false">E697*G697</f>
        <v>-0</v>
      </c>
      <c r="P697" s="0" t="n">
        <f aca="false">E697*H697</f>
        <v>-1</v>
      </c>
      <c r="Q697" s="0" t="n">
        <f aca="false">F697*G697</f>
        <v>0</v>
      </c>
      <c r="R697" s="0" t="n">
        <f aca="false">F697*H697</f>
        <v>1</v>
      </c>
      <c r="S697" s="0" t="n">
        <f aca="false">G697*H697</f>
        <v>0</v>
      </c>
      <c r="T697" s="0" t="n">
        <f aca="false">E697*E697</f>
        <v>1</v>
      </c>
      <c r="U697" s="0" t="n">
        <f aca="false">F697*F697</f>
        <v>1</v>
      </c>
      <c r="V697" s="0" t="n">
        <f aca="false">G697*G697</f>
        <v>0</v>
      </c>
      <c r="W697" s="0" t="n">
        <f aca="false">H697*H697</f>
        <v>1</v>
      </c>
      <c r="X697" s="0" t="n">
        <f aca="false">SUMPRODUCT(I697:W697,_XtX!$B$96:$P$96)</f>
        <v>41.392470760234</v>
      </c>
      <c r="Y697" s="0" t="n">
        <f aca="false">SUMPRODUCT(MMULT(I697:W697,_XtX!$B$78:$P$92),I697:W697)</f>
        <v>0.766447368421053</v>
      </c>
      <c r="Z697" s="0" t="n">
        <f aca="false">04_回帰ANOVA!$K$19*04_回帰ANOVA!$K$14*SQRT(1+Y697)</f>
        <v>1.7324022685743</v>
      </c>
      <c r="AA697" s="0" t="n">
        <f aca="false">X697-Z697</f>
        <v>39.6600684916597</v>
      </c>
      <c r="AB697" s="0" t="n">
        <f aca="false">X697+Z697</f>
        <v>43.1248730288083</v>
      </c>
      <c r="AC697" s="54" t="b">
        <f aca="false">AND(E697&gt;=01_因子設定!$L$5-0.000000001,E697&lt;=01_因子設定!$M$5+0.000000001,F697&gt;=01_因子設定!$L$6-0.000000001,F697&lt;=01_因子設定!$M$6+0.000000001,G697&gt;=01_因子設定!$L$7-0.000000001,G697&lt;=01_因子設定!$M$7+0.000000001,H697&gt;=01_因子設定!$L$8-0.000000001,H697&lt;=01_因子設定!$M$8+0.000000001,IF(01_因子設定!$B$20="Box-Behnken",E697^2+F697^2+G697^2+H697^2&lt;=2+0.000000001,TRUE()))</f>
        <v>1</v>
      </c>
      <c r="AD697" s="55" t="n">
        <f aca="false">IF(AC697,IF(01_因子設定!$B$13="最大化",AA697-01_因子設定!$B$14,IF(01_因子設定!$B$13="最小化",01_因子設定!$B$15-AB697,MIN(AA697-01_因子設定!$B$14,01_因子設定!$B$15-AB697))),-1E+030)</f>
        <v>-6.83993150834033</v>
      </c>
      <c r="AE697" s="55" t="n">
        <f aca="false">IF(AC697,IF(01_因子設定!$B$13="最大化",X697,IF(01_因子設定!$B$13="最小化",-X697,-ABS(X697-01_因子設定!$B$16))),-1E+030)</f>
        <v>41.392470760234</v>
      </c>
      <c r="AF697" s="55" t="n">
        <f aca="false">AD697+ROW()*0.000000001</f>
        <v>-6.83993081134033</v>
      </c>
      <c r="AG697" s="55" t="n">
        <f aca="false">AE697+ROW()*0.000000001</f>
        <v>41.392471457234</v>
      </c>
    </row>
    <row r="698" customFormat="false" ht="15" hidden="false" customHeight="false" outlineLevel="0" collapsed="false">
      <c r="A698" s="0" t="n">
        <v>0</v>
      </c>
      <c r="B698" s="0" t="n">
        <v>8</v>
      </c>
      <c r="C698" s="0" t="n">
        <v>5</v>
      </c>
      <c r="D698" s="0" t="n">
        <v>0</v>
      </c>
      <c r="E698" s="0" t="n">
        <f aca="false">-1+A698*0.25</f>
        <v>-1</v>
      </c>
      <c r="F698" s="0" t="n">
        <f aca="false">-1+B698*0.25</f>
        <v>1</v>
      </c>
      <c r="G698" s="0" t="n">
        <f aca="false">-1+C698*0.25</f>
        <v>0.25</v>
      </c>
      <c r="H698" s="0" t="n">
        <f aca="false">-1+D698*0.25</f>
        <v>-1</v>
      </c>
      <c r="I698" s="0" t="n">
        <f aca="false">1</f>
        <v>1</v>
      </c>
      <c r="J698" s="0" t="n">
        <f aca="false">E698</f>
        <v>-1</v>
      </c>
      <c r="K698" s="0" t="n">
        <f aca="false">F698</f>
        <v>1</v>
      </c>
      <c r="L698" s="0" t="n">
        <f aca="false">G698</f>
        <v>0.25</v>
      </c>
      <c r="M698" s="0" t="n">
        <f aca="false">H698</f>
        <v>-1</v>
      </c>
      <c r="N698" s="0" t="n">
        <f aca="false">E698*F698</f>
        <v>-1</v>
      </c>
      <c r="O698" s="0" t="n">
        <f aca="false">E698*G698</f>
        <v>-0.25</v>
      </c>
      <c r="P698" s="0" t="n">
        <f aca="false">E698*H698</f>
        <v>1</v>
      </c>
      <c r="Q698" s="0" t="n">
        <f aca="false">F698*G698</f>
        <v>0.25</v>
      </c>
      <c r="R698" s="0" t="n">
        <f aca="false">F698*H698</f>
        <v>-1</v>
      </c>
      <c r="S698" s="0" t="n">
        <f aca="false">G698*H698</f>
        <v>-0.25</v>
      </c>
      <c r="T698" s="0" t="n">
        <f aca="false">E698*E698</f>
        <v>1</v>
      </c>
      <c r="U698" s="0" t="n">
        <f aca="false">F698*F698</f>
        <v>1</v>
      </c>
      <c r="V698" s="0" t="n">
        <f aca="false">G698*G698</f>
        <v>0.0625</v>
      </c>
      <c r="W698" s="0" t="n">
        <f aca="false">H698*H698</f>
        <v>1</v>
      </c>
      <c r="X698" s="0" t="n">
        <f aca="false">SUMPRODUCT(I698:W698,_XtX!$B$96:$P$96)</f>
        <v>41.6282894736843</v>
      </c>
      <c r="Y698" s="0" t="n">
        <f aca="false">SUMPRODUCT(MMULT(I698:W698,_XtX!$B$78:$P$92),I698:W698)</f>
        <v>0.737093384502924</v>
      </c>
      <c r="Z698" s="0" t="n">
        <f aca="false">04_回帰ANOVA!$K$19*04_回帰ANOVA!$K$14*SQRT(1+Y698)</f>
        <v>1.71794784853551</v>
      </c>
      <c r="AA698" s="0" t="n">
        <f aca="false">X698-Z698</f>
        <v>39.9103416251488</v>
      </c>
      <c r="AB698" s="0" t="n">
        <f aca="false">X698+Z698</f>
        <v>43.3462373222198</v>
      </c>
      <c r="AC698" s="54" t="b">
        <f aca="false">AND(E698&gt;=01_因子設定!$L$5-0.000000001,E698&lt;=01_因子設定!$M$5+0.000000001,F698&gt;=01_因子設定!$L$6-0.000000001,F698&lt;=01_因子設定!$M$6+0.000000001,G698&gt;=01_因子設定!$L$7-0.000000001,G698&lt;=01_因子設定!$M$7+0.000000001,H698&gt;=01_因子設定!$L$8-0.000000001,H698&lt;=01_因子設定!$M$8+0.000000001,IF(01_因子設定!$B$20="Box-Behnken",E698^2+F698^2+G698^2+H698^2&lt;=2+0.000000001,TRUE()))</f>
        <v>1</v>
      </c>
      <c r="AD698" s="55" t="n">
        <f aca="false">IF(AC698,IF(01_因子設定!$B$13="最大化",AA698-01_因子設定!$B$14,IF(01_因子設定!$B$13="最小化",01_因子設定!$B$15-AB698,MIN(AA698-01_因子設定!$B$14,01_因子設定!$B$15-AB698))),-1E+030)</f>
        <v>-6.58965837485123</v>
      </c>
      <c r="AE698" s="55" t="n">
        <f aca="false">IF(AC698,IF(01_因子設定!$B$13="最大化",X698,IF(01_因子設定!$B$13="最小化",-X698,-ABS(X698-01_因子設定!$B$16))),-1E+030)</f>
        <v>41.6282894736843</v>
      </c>
      <c r="AF698" s="55" t="n">
        <f aca="false">AD698+ROW()*0.000000001</f>
        <v>-6.58965767685123</v>
      </c>
      <c r="AG698" s="55" t="n">
        <f aca="false">AE698+ROW()*0.000000001</f>
        <v>41.6282901716843</v>
      </c>
    </row>
    <row r="699" customFormat="false" ht="15" hidden="false" customHeight="false" outlineLevel="0" collapsed="false">
      <c r="A699" s="0" t="n">
        <v>0</v>
      </c>
      <c r="B699" s="0" t="n">
        <v>8</v>
      </c>
      <c r="C699" s="0" t="n">
        <v>5</v>
      </c>
      <c r="D699" s="0" t="n">
        <v>1</v>
      </c>
      <c r="E699" s="0" t="n">
        <f aca="false">-1+A699*0.25</f>
        <v>-1</v>
      </c>
      <c r="F699" s="0" t="n">
        <f aca="false">-1+B699*0.25</f>
        <v>1</v>
      </c>
      <c r="G699" s="0" t="n">
        <f aca="false">-1+C699*0.25</f>
        <v>0.25</v>
      </c>
      <c r="H699" s="0" t="n">
        <f aca="false">-1+D699*0.25</f>
        <v>-0.75</v>
      </c>
      <c r="I699" s="0" t="n">
        <f aca="false">1</f>
        <v>1</v>
      </c>
      <c r="J699" s="0" t="n">
        <f aca="false">E699</f>
        <v>-1</v>
      </c>
      <c r="K699" s="0" t="n">
        <f aca="false">F699</f>
        <v>1</v>
      </c>
      <c r="L699" s="0" t="n">
        <f aca="false">G699</f>
        <v>0.25</v>
      </c>
      <c r="M699" s="0" t="n">
        <f aca="false">H699</f>
        <v>-0.75</v>
      </c>
      <c r="N699" s="0" t="n">
        <f aca="false">E699*F699</f>
        <v>-1</v>
      </c>
      <c r="O699" s="0" t="n">
        <f aca="false">E699*G699</f>
        <v>-0.25</v>
      </c>
      <c r="P699" s="0" t="n">
        <f aca="false">E699*H699</f>
        <v>0.75</v>
      </c>
      <c r="Q699" s="0" t="n">
        <f aca="false">F699*G699</f>
        <v>0.25</v>
      </c>
      <c r="R699" s="0" t="n">
        <f aca="false">F699*H699</f>
        <v>-0.75</v>
      </c>
      <c r="S699" s="0" t="n">
        <f aca="false">G699*H699</f>
        <v>-0.1875</v>
      </c>
      <c r="T699" s="0" t="n">
        <f aca="false">E699*E699</f>
        <v>1</v>
      </c>
      <c r="U699" s="0" t="n">
        <f aca="false">F699*F699</f>
        <v>1</v>
      </c>
      <c r="V699" s="0" t="n">
        <f aca="false">G699*G699</f>
        <v>0.0625</v>
      </c>
      <c r="W699" s="0" t="n">
        <f aca="false">H699*H699</f>
        <v>0.5625</v>
      </c>
      <c r="X699" s="0" t="n">
        <f aca="false">SUMPRODUCT(I699:W699,_XtX!$B$96:$P$96)</f>
        <v>41.8305966739767</v>
      </c>
      <c r="Y699" s="0" t="n">
        <f aca="false">SUMPRODUCT(MMULT(I699:W699,_XtX!$B$78:$P$92),I699:W699)</f>
        <v>0.621372155975877</v>
      </c>
      <c r="Z699" s="0" t="n">
        <f aca="false">04_回帰ANOVA!$K$19*04_回帰ANOVA!$K$14*SQRT(1+Y699)</f>
        <v>1.65973880499872</v>
      </c>
      <c r="AA699" s="0" t="n">
        <f aca="false">X699-Z699</f>
        <v>40.1708578689779</v>
      </c>
      <c r="AB699" s="0" t="n">
        <f aca="false">X699+Z699</f>
        <v>43.4903354789754</v>
      </c>
      <c r="AC699" s="54" t="b">
        <f aca="false">AND(E699&gt;=01_因子設定!$L$5-0.000000001,E699&lt;=01_因子設定!$M$5+0.000000001,F699&gt;=01_因子設定!$L$6-0.000000001,F699&lt;=01_因子設定!$M$6+0.000000001,G699&gt;=01_因子設定!$L$7-0.000000001,G699&lt;=01_因子設定!$M$7+0.000000001,H699&gt;=01_因子設定!$L$8-0.000000001,H699&lt;=01_因子設定!$M$8+0.000000001,IF(01_因子設定!$B$20="Box-Behnken",E699^2+F699^2+G699^2+H699^2&lt;=2+0.000000001,TRUE()))</f>
        <v>1</v>
      </c>
      <c r="AD699" s="55" t="n">
        <f aca="false">IF(AC699,IF(01_因子設定!$B$13="最大化",AA699-01_因子設定!$B$14,IF(01_因子設定!$B$13="最小化",01_因子設定!$B$15-AB699,MIN(AA699-01_因子設定!$B$14,01_因子設定!$B$15-AB699))),-1E+030)</f>
        <v>-6.32914213102206</v>
      </c>
      <c r="AE699" s="55" t="n">
        <f aca="false">IF(AC699,IF(01_因子設定!$B$13="最大化",X699,IF(01_因子設定!$B$13="最小化",-X699,-ABS(X699-01_因子設定!$B$16))),-1E+030)</f>
        <v>41.8305966739767</v>
      </c>
      <c r="AF699" s="55" t="n">
        <f aca="false">AD699+ROW()*0.000000001</f>
        <v>-6.32914143202206</v>
      </c>
      <c r="AG699" s="55" t="n">
        <f aca="false">AE699+ROW()*0.000000001</f>
        <v>41.8305973729767</v>
      </c>
    </row>
    <row r="700" customFormat="false" ht="15" hidden="false" customHeight="false" outlineLevel="0" collapsed="false">
      <c r="A700" s="0" t="n">
        <v>0</v>
      </c>
      <c r="B700" s="0" t="n">
        <v>8</v>
      </c>
      <c r="C700" s="0" t="n">
        <v>5</v>
      </c>
      <c r="D700" s="0" t="n">
        <v>2</v>
      </c>
      <c r="E700" s="0" t="n">
        <f aca="false">-1+A700*0.25</f>
        <v>-1</v>
      </c>
      <c r="F700" s="0" t="n">
        <f aca="false">-1+B700*0.25</f>
        <v>1</v>
      </c>
      <c r="G700" s="0" t="n">
        <f aca="false">-1+C700*0.25</f>
        <v>0.25</v>
      </c>
      <c r="H700" s="0" t="n">
        <f aca="false">-1+D700*0.25</f>
        <v>-0.5</v>
      </c>
      <c r="I700" s="0" t="n">
        <f aca="false">1</f>
        <v>1</v>
      </c>
      <c r="J700" s="0" t="n">
        <f aca="false">E700</f>
        <v>-1</v>
      </c>
      <c r="K700" s="0" t="n">
        <f aca="false">F700</f>
        <v>1</v>
      </c>
      <c r="L700" s="0" t="n">
        <f aca="false">G700</f>
        <v>0.25</v>
      </c>
      <c r="M700" s="0" t="n">
        <f aca="false">H700</f>
        <v>-0.5</v>
      </c>
      <c r="N700" s="0" t="n">
        <f aca="false">E700*F700</f>
        <v>-1</v>
      </c>
      <c r="O700" s="0" t="n">
        <f aca="false">E700*G700</f>
        <v>-0.25</v>
      </c>
      <c r="P700" s="0" t="n">
        <f aca="false">E700*H700</f>
        <v>0.5</v>
      </c>
      <c r="Q700" s="0" t="n">
        <f aca="false">F700*G700</f>
        <v>0.25</v>
      </c>
      <c r="R700" s="0" t="n">
        <f aca="false">F700*H700</f>
        <v>-0.5</v>
      </c>
      <c r="S700" s="0" t="n">
        <f aca="false">G700*H700</f>
        <v>-0.125</v>
      </c>
      <c r="T700" s="0" t="n">
        <f aca="false">E700*E700</f>
        <v>1</v>
      </c>
      <c r="U700" s="0" t="n">
        <f aca="false">F700*F700</f>
        <v>1</v>
      </c>
      <c r="V700" s="0" t="n">
        <f aca="false">G700*G700</f>
        <v>0.0625</v>
      </c>
      <c r="W700" s="0" t="n">
        <f aca="false">H700*H700</f>
        <v>0.25</v>
      </c>
      <c r="X700" s="0" t="n">
        <f aca="false">SUMPRODUCT(I700:W700,_XtX!$B$96:$P$96)</f>
        <v>41.9850968567252</v>
      </c>
      <c r="Y700" s="0" t="n">
        <f aca="false">SUMPRODUCT(MMULT(I700:W700,_XtX!$B$78:$P$92),I700:W700)</f>
        <v>0.629174661915205</v>
      </c>
      <c r="Z700" s="0" t="n">
        <f aca="false">04_回帰ANOVA!$K$19*04_回帰ANOVA!$K$14*SQRT(1+Y700)</f>
        <v>1.66372758058297</v>
      </c>
      <c r="AA700" s="0" t="n">
        <f aca="false">X700-Z700</f>
        <v>40.3213692761422</v>
      </c>
      <c r="AB700" s="0" t="n">
        <f aca="false">X700+Z700</f>
        <v>43.6488244373082</v>
      </c>
      <c r="AC700" s="54" t="b">
        <f aca="false">AND(E700&gt;=01_因子設定!$L$5-0.000000001,E700&lt;=01_因子設定!$M$5+0.000000001,F700&gt;=01_因子設定!$L$6-0.000000001,F700&lt;=01_因子設定!$M$6+0.000000001,G700&gt;=01_因子設定!$L$7-0.000000001,G700&lt;=01_因子設定!$M$7+0.000000001,H700&gt;=01_因子設定!$L$8-0.000000001,H700&lt;=01_因子設定!$M$8+0.000000001,IF(01_因子設定!$B$20="Box-Behnken",E700^2+F700^2+G700^2+H700^2&lt;=2+0.000000001,TRUE()))</f>
        <v>1</v>
      </c>
      <c r="AD700" s="55" t="n">
        <f aca="false">IF(AC700,IF(01_因子設定!$B$13="最大化",AA700-01_因子設定!$B$14,IF(01_因子設定!$B$13="最小化",01_因子設定!$B$15-AB700,MIN(AA700-01_因子設定!$B$14,01_因子設定!$B$15-AB700))),-1E+030)</f>
        <v>-6.17863072385779</v>
      </c>
      <c r="AE700" s="55" t="n">
        <f aca="false">IF(AC700,IF(01_因子設定!$B$13="最大化",X700,IF(01_因子設定!$B$13="最小化",-X700,-ABS(X700-01_因子設定!$B$16))),-1E+030)</f>
        <v>41.9850968567252</v>
      </c>
      <c r="AF700" s="55" t="n">
        <f aca="false">AD700+ROW()*0.000000001</f>
        <v>-6.17863002385779</v>
      </c>
      <c r="AG700" s="55" t="n">
        <f aca="false">AE700+ROW()*0.000000001</f>
        <v>41.9850975567252</v>
      </c>
    </row>
    <row r="701" customFormat="false" ht="15" hidden="false" customHeight="false" outlineLevel="0" collapsed="false">
      <c r="A701" s="0" t="n">
        <v>0</v>
      </c>
      <c r="B701" s="0" t="n">
        <v>8</v>
      </c>
      <c r="C701" s="0" t="n">
        <v>5</v>
      </c>
      <c r="D701" s="0" t="n">
        <v>3</v>
      </c>
      <c r="E701" s="0" t="n">
        <f aca="false">-1+A701*0.25</f>
        <v>-1</v>
      </c>
      <c r="F701" s="0" t="n">
        <f aca="false">-1+B701*0.25</f>
        <v>1</v>
      </c>
      <c r="G701" s="0" t="n">
        <f aca="false">-1+C701*0.25</f>
        <v>0.25</v>
      </c>
      <c r="H701" s="0" t="n">
        <f aca="false">-1+D701*0.25</f>
        <v>-0.25</v>
      </c>
      <c r="I701" s="0" t="n">
        <f aca="false">1</f>
        <v>1</v>
      </c>
      <c r="J701" s="0" t="n">
        <f aca="false">E701</f>
        <v>-1</v>
      </c>
      <c r="K701" s="0" t="n">
        <f aca="false">F701</f>
        <v>1</v>
      </c>
      <c r="L701" s="0" t="n">
        <f aca="false">G701</f>
        <v>0.25</v>
      </c>
      <c r="M701" s="0" t="n">
        <f aca="false">H701</f>
        <v>-0.25</v>
      </c>
      <c r="N701" s="0" t="n">
        <f aca="false">E701*F701</f>
        <v>-1</v>
      </c>
      <c r="O701" s="0" t="n">
        <f aca="false">E701*G701</f>
        <v>-0.25</v>
      </c>
      <c r="P701" s="0" t="n">
        <f aca="false">E701*H701</f>
        <v>0.25</v>
      </c>
      <c r="Q701" s="0" t="n">
        <f aca="false">F701*G701</f>
        <v>0.25</v>
      </c>
      <c r="R701" s="0" t="n">
        <f aca="false">F701*H701</f>
        <v>-0.25</v>
      </c>
      <c r="S701" s="0" t="n">
        <f aca="false">G701*H701</f>
        <v>-0.0625</v>
      </c>
      <c r="T701" s="0" t="n">
        <f aca="false">E701*E701</f>
        <v>1</v>
      </c>
      <c r="U701" s="0" t="n">
        <f aca="false">F701*F701</f>
        <v>1</v>
      </c>
      <c r="V701" s="0" t="n">
        <f aca="false">G701*G701</f>
        <v>0.0625</v>
      </c>
      <c r="W701" s="0" t="n">
        <f aca="false">H701*H701</f>
        <v>0.0625</v>
      </c>
      <c r="X701" s="0" t="n">
        <f aca="false">SUMPRODUCT(I701:W701,_XtX!$B$96:$P$96)</f>
        <v>42.0917900219299</v>
      </c>
      <c r="Y701" s="0" t="n">
        <f aca="false">SUMPRODUCT(MMULT(I701:W701,_XtX!$B$78:$P$92),I701:W701)</f>
        <v>0.670040376005117</v>
      </c>
      <c r="Z701" s="0" t="n">
        <f aca="false">04_回帰ANOVA!$K$19*04_回帰ANOVA!$K$14*SQRT(1+Y701)</f>
        <v>1.68446456039992</v>
      </c>
      <c r="AA701" s="0" t="n">
        <f aca="false">X701-Z701</f>
        <v>40.4073254615299</v>
      </c>
      <c r="AB701" s="0" t="n">
        <f aca="false">X701+Z701</f>
        <v>43.7762545823298</v>
      </c>
      <c r="AC701" s="54" t="b">
        <f aca="false">AND(E701&gt;=01_因子設定!$L$5-0.000000001,E701&lt;=01_因子設定!$M$5+0.000000001,F701&gt;=01_因子設定!$L$6-0.000000001,F701&lt;=01_因子設定!$M$6+0.000000001,G701&gt;=01_因子設定!$L$7-0.000000001,G701&lt;=01_因子設定!$M$7+0.000000001,H701&gt;=01_因子設定!$L$8-0.000000001,H701&lt;=01_因子設定!$M$8+0.000000001,IF(01_因子設定!$B$20="Box-Behnken",E701^2+F701^2+G701^2+H701^2&lt;=2+0.000000001,TRUE()))</f>
        <v>1</v>
      </c>
      <c r="AD701" s="55" t="n">
        <f aca="false">IF(AC701,IF(01_因子設定!$B$13="最大化",AA701-01_因子設定!$B$14,IF(01_因子設定!$B$13="最小化",01_因子設定!$B$15-AB701,MIN(AA701-01_因子設定!$B$14,01_因子設定!$B$15-AB701))),-1E+030)</f>
        <v>-6.09267453847006</v>
      </c>
      <c r="AE701" s="55" t="n">
        <f aca="false">IF(AC701,IF(01_因子設定!$B$13="最大化",X701,IF(01_因子設定!$B$13="最小化",-X701,-ABS(X701-01_因子設定!$B$16))),-1E+030)</f>
        <v>42.0917900219299</v>
      </c>
      <c r="AF701" s="55" t="n">
        <f aca="false">AD701+ROW()*0.000000001</f>
        <v>-6.09267383747006</v>
      </c>
      <c r="AG701" s="55" t="n">
        <f aca="false">AE701+ROW()*0.000000001</f>
        <v>42.0917907229299</v>
      </c>
    </row>
    <row r="702" customFormat="false" ht="15" hidden="false" customHeight="false" outlineLevel="0" collapsed="false">
      <c r="A702" s="0" t="n">
        <v>0</v>
      </c>
      <c r="B702" s="0" t="n">
        <v>8</v>
      </c>
      <c r="C702" s="0" t="n">
        <v>5</v>
      </c>
      <c r="D702" s="0" t="n">
        <v>4</v>
      </c>
      <c r="E702" s="0" t="n">
        <f aca="false">-1+A702*0.25</f>
        <v>-1</v>
      </c>
      <c r="F702" s="0" t="n">
        <f aca="false">-1+B702*0.25</f>
        <v>1</v>
      </c>
      <c r="G702" s="0" t="n">
        <f aca="false">-1+C702*0.25</f>
        <v>0.25</v>
      </c>
      <c r="H702" s="0" t="n">
        <f aca="false">-1+D702*0.25</f>
        <v>0</v>
      </c>
      <c r="I702" s="0" t="n">
        <f aca="false">1</f>
        <v>1</v>
      </c>
      <c r="J702" s="0" t="n">
        <f aca="false">E702</f>
        <v>-1</v>
      </c>
      <c r="K702" s="0" t="n">
        <f aca="false">F702</f>
        <v>1</v>
      </c>
      <c r="L702" s="0" t="n">
        <f aca="false">G702</f>
        <v>0.25</v>
      </c>
      <c r="M702" s="0" t="n">
        <f aca="false">H702</f>
        <v>0</v>
      </c>
      <c r="N702" s="0" t="n">
        <f aca="false">E702*F702</f>
        <v>-1</v>
      </c>
      <c r="O702" s="0" t="n">
        <f aca="false">E702*G702</f>
        <v>-0.25</v>
      </c>
      <c r="P702" s="0" t="n">
        <f aca="false">E702*H702</f>
        <v>-0</v>
      </c>
      <c r="Q702" s="0" t="n">
        <f aca="false">F702*G702</f>
        <v>0.25</v>
      </c>
      <c r="R702" s="0" t="n">
        <f aca="false">F702*H702</f>
        <v>0</v>
      </c>
      <c r="S702" s="0" t="n">
        <f aca="false">G702*H702</f>
        <v>0</v>
      </c>
      <c r="T702" s="0" t="n">
        <f aca="false">E702*E702</f>
        <v>1</v>
      </c>
      <c r="U702" s="0" t="n">
        <f aca="false">F702*F702</f>
        <v>1</v>
      </c>
      <c r="V702" s="0" t="n">
        <f aca="false">G702*G702</f>
        <v>0.0625</v>
      </c>
      <c r="W702" s="0" t="n">
        <f aca="false">H702*H702</f>
        <v>0</v>
      </c>
      <c r="X702" s="0" t="n">
        <f aca="false">SUMPRODUCT(I702:W702,_XtX!$B$96:$P$96)</f>
        <v>42.1506761695907</v>
      </c>
      <c r="Y702" s="0" t="n">
        <f aca="false">SUMPRODUCT(MMULT(I702:W702,_XtX!$B$78:$P$92),I702:W702)</f>
        <v>0.689692982456141</v>
      </c>
      <c r="Z702" s="0" t="n">
        <f aca="false">04_回帰ANOVA!$K$19*04_回帰ANOVA!$K$14*SQRT(1+Y702)</f>
        <v>1.69434674594998</v>
      </c>
      <c r="AA702" s="0" t="n">
        <f aca="false">X702-Z702</f>
        <v>40.4563294236407</v>
      </c>
      <c r="AB702" s="0" t="n">
        <f aca="false">X702+Z702</f>
        <v>43.8450229155407</v>
      </c>
      <c r="AC702" s="54" t="b">
        <f aca="false">AND(E702&gt;=01_因子設定!$L$5-0.000000001,E702&lt;=01_因子設定!$M$5+0.000000001,F702&gt;=01_因子設定!$L$6-0.000000001,F702&lt;=01_因子設定!$M$6+0.000000001,G702&gt;=01_因子設定!$L$7-0.000000001,G702&lt;=01_因子設定!$M$7+0.000000001,H702&gt;=01_因子設定!$L$8-0.000000001,H702&lt;=01_因子設定!$M$8+0.000000001,IF(01_因子設定!$B$20="Box-Behnken",E702^2+F702^2+G702^2+H702^2&lt;=2+0.000000001,TRUE()))</f>
        <v>1</v>
      </c>
      <c r="AD702" s="55" t="n">
        <f aca="false">IF(AC702,IF(01_因子設定!$B$13="最大化",AA702-01_因子設定!$B$14,IF(01_因子設定!$B$13="最小化",01_因子設定!$B$15-AB702,MIN(AA702-01_因子設定!$B$14,01_因子設定!$B$15-AB702))),-1E+030)</f>
        <v>-6.04367057635932</v>
      </c>
      <c r="AE702" s="55" t="n">
        <f aca="false">IF(AC702,IF(01_因子設定!$B$13="最大化",X702,IF(01_因子設定!$B$13="最小化",-X702,-ABS(X702-01_因子設定!$B$16))),-1E+030)</f>
        <v>42.1506761695907</v>
      </c>
      <c r="AF702" s="55" t="n">
        <f aca="false">AD702+ROW()*0.000000001</f>
        <v>-6.04366987435932</v>
      </c>
      <c r="AG702" s="55" t="n">
        <f aca="false">AE702+ROW()*0.000000001</f>
        <v>42.1506768715907</v>
      </c>
    </row>
    <row r="703" customFormat="false" ht="15" hidden="false" customHeight="false" outlineLevel="0" collapsed="false">
      <c r="A703" s="0" t="n">
        <v>0</v>
      </c>
      <c r="B703" s="0" t="n">
        <v>8</v>
      </c>
      <c r="C703" s="0" t="n">
        <v>5</v>
      </c>
      <c r="D703" s="0" t="n">
        <v>5</v>
      </c>
      <c r="E703" s="0" t="n">
        <f aca="false">-1+A703*0.25</f>
        <v>-1</v>
      </c>
      <c r="F703" s="0" t="n">
        <f aca="false">-1+B703*0.25</f>
        <v>1</v>
      </c>
      <c r="G703" s="0" t="n">
        <f aca="false">-1+C703*0.25</f>
        <v>0.25</v>
      </c>
      <c r="H703" s="0" t="n">
        <f aca="false">-1+D703*0.25</f>
        <v>0.25</v>
      </c>
      <c r="I703" s="0" t="n">
        <f aca="false">1</f>
        <v>1</v>
      </c>
      <c r="J703" s="0" t="n">
        <f aca="false">E703</f>
        <v>-1</v>
      </c>
      <c r="K703" s="0" t="n">
        <f aca="false">F703</f>
        <v>1</v>
      </c>
      <c r="L703" s="0" t="n">
        <f aca="false">G703</f>
        <v>0.25</v>
      </c>
      <c r="M703" s="0" t="n">
        <f aca="false">H703</f>
        <v>0.25</v>
      </c>
      <c r="N703" s="0" t="n">
        <f aca="false">E703*F703</f>
        <v>-1</v>
      </c>
      <c r="O703" s="0" t="n">
        <f aca="false">E703*G703</f>
        <v>-0.25</v>
      </c>
      <c r="P703" s="0" t="n">
        <f aca="false">E703*H703</f>
        <v>-0.25</v>
      </c>
      <c r="Q703" s="0" t="n">
        <f aca="false">F703*G703</f>
        <v>0.25</v>
      </c>
      <c r="R703" s="0" t="n">
        <f aca="false">F703*H703</f>
        <v>0.25</v>
      </c>
      <c r="S703" s="0" t="n">
        <f aca="false">G703*H703</f>
        <v>0.0625</v>
      </c>
      <c r="T703" s="0" t="n">
        <f aca="false">E703*E703</f>
        <v>1</v>
      </c>
      <c r="U703" s="0" t="n">
        <f aca="false">F703*F703</f>
        <v>1</v>
      </c>
      <c r="V703" s="0" t="n">
        <f aca="false">G703*G703</f>
        <v>0.0625</v>
      </c>
      <c r="W703" s="0" t="n">
        <f aca="false">H703*H703</f>
        <v>0.0625</v>
      </c>
      <c r="X703" s="0" t="n">
        <f aca="false">SUMPRODUCT(I703:W703,_XtX!$B$96:$P$96)</f>
        <v>42.1617552997076</v>
      </c>
      <c r="Y703" s="0" t="n">
        <f aca="false">SUMPRODUCT(MMULT(I703:W703,_XtX!$B$78:$P$92),I703:W703)</f>
        <v>0.670040376005117</v>
      </c>
      <c r="Z703" s="0" t="n">
        <f aca="false">04_回帰ANOVA!$K$19*04_回帰ANOVA!$K$14*SQRT(1+Y703)</f>
        <v>1.68446456039992</v>
      </c>
      <c r="AA703" s="0" t="n">
        <f aca="false">X703-Z703</f>
        <v>40.4772907393077</v>
      </c>
      <c r="AB703" s="0" t="n">
        <f aca="false">X703+Z703</f>
        <v>43.8462198601075</v>
      </c>
      <c r="AC703" s="54" t="b">
        <f aca="false">AND(E703&gt;=01_因子設定!$L$5-0.000000001,E703&lt;=01_因子設定!$M$5+0.000000001,F703&gt;=01_因子設定!$L$6-0.000000001,F703&lt;=01_因子設定!$M$6+0.000000001,G703&gt;=01_因子設定!$L$7-0.000000001,G703&lt;=01_因子設定!$M$7+0.000000001,H703&gt;=01_因子設定!$L$8-0.000000001,H703&lt;=01_因子設定!$M$8+0.000000001,IF(01_因子設定!$B$20="Box-Behnken",E703^2+F703^2+G703^2+H703^2&lt;=2+0.000000001,TRUE()))</f>
        <v>1</v>
      </c>
      <c r="AD703" s="55" t="n">
        <f aca="false">IF(AC703,IF(01_因子設定!$B$13="最大化",AA703-01_因子設定!$B$14,IF(01_因子設定!$B$13="最小化",01_因子設定!$B$15-AB703,MIN(AA703-01_因子設定!$B$14,01_因子設定!$B$15-AB703))),-1E+030)</f>
        <v>-6.02270926069229</v>
      </c>
      <c r="AE703" s="55" t="n">
        <f aca="false">IF(AC703,IF(01_因子設定!$B$13="最大化",X703,IF(01_因子設定!$B$13="最小化",-X703,-ABS(X703-01_因子設定!$B$16))),-1E+030)</f>
        <v>42.1617552997076</v>
      </c>
      <c r="AF703" s="55" t="n">
        <f aca="false">AD703+ROW()*0.000000001</f>
        <v>-6.02270855769229</v>
      </c>
      <c r="AG703" s="55" t="n">
        <f aca="false">AE703+ROW()*0.000000001</f>
        <v>42.1617560027076</v>
      </c>
    </row>
    <row r="704" customFormat="false" ht="15" hidden="false" customHeight="false" outlineLevel="0" collapsed="false">
      <c r="A704" s="0" t="n">
        <v>0</v>
      </c>
      <c r="B704" s="0" t="n">
        <v>8</v>
      </c>
      <c r="C704" s="0" t="n">
        <v>5</v>
      </c>
      <c r="D704" s="0" t="n">
        <v>6</v>
      </c>
      <c r="E704" s="0" t="n">
        <f aca="false">-1+A704*0.25</f>
        <v>-1</v>
      </c>
      <c r="F704" s="0" t="n">
        <f aca="false">-1+B704*0.25</f>
        <v>1</v>
      </c>
      <c r="G704" s="0" t="n">
        <f aca="false">-1+C704*0.25</f>
        <v>0.25</v>
      </c>
      <c r="H704" s="0" t="n">
        <f aca="false">-1+D704*0.25</f>
        <v>0.5</v>
      </c>
      <c r="I704" s="0" t="n">
        <f aca="false">1</f>
        <v>1</v>
      </c>
      <c r="J704" s="0" t="n">
        <f aca="false">E704</f>
        <v>-1</v>
      </c>
      <c r="K704" s="0" t="n">
        <f aca="false">F704</f>
        <v>1</v>
      </c>
      <c r="L704" s="0" t="n">
        <f aca="false">G704</f>
        <v>0.25</v>
      </c>
      <c r="M704" s="0" t="n">
        <f aca="false">H704</f>
        <v>0.5</v>
      </c>
      <c r="N704" s="0" t="n">
        <f aca="false">E704*F704</f>
        <v>-1</v>
      </c>
      <c r="O704" s="0" t="n">
        <f aca="false">E704*G704</f>
        <v>-0.25</v>
      </c>
      <c r="P704" s="0" t="n">
        <f aca="false">E704*H704</f>
        <v>-0.5</v>
      </c>
      <c r="Q704" s="0" t="n">
        <f aca="false">F704*G704</f>
        <v>0.25</v>
      </c>
      <c r="R704" s="0" t="n">
        <f aca="false">F704*H704</f>
        <v>0.5</v>
      </c>
      <c r="S704" s="0" t="n">
        <f aca="false">G704*H704</f>
        <v>0.125</v>
      </c>
      <c r="T704" s="0" t="n">
        <f aca="false">E704*E704</f>
        <v>1</v>
      </c>
      <c r="U704" s="0" t="n">
        <f aca="false">F704*F704</f>
        <v>1</v>
      </c>
      <c r="V704" s="0" t="n">
        <f aca="false">G704*G704</f>
        <v>0.0625</v>
      </c>
      <c r="W704" s="0" t="n">
        <f aca="false">H704*H704</f>
        <v>0.25</v>
      </c>
      <c r="X704" s="0" t="n">
        <f aca="false">SUMPRODUCT(I704:W704,_XtX!$B$96:$P$96)</f>
        <v>42.1250274122807</v>
      </c>
      <c r="Y704" s="0" t="n">
        <f aca="false">SUMPRODUCT(MMULT(I704:W704,_XtX!$B$78:$P$92),I704:W704)</f>
        <v>0.629174661915205</v>
      </c>
      <c r="Z704" s="0" t="n">
        <f aca="false">04_回帰ANOVA!$K$19*04_回帰ANOVA!$K$14*SQRT(1+Y704)</f>
        <v>1.66372758058297</v>
      </c>
      <c r="AA704" s="0" t="n">
        <f aca="false">X704-Z704</f>
        <v>40.4612998316978</v>
      </c>
      <c r="AB704" s="0" t="n">
        <f aca="false">X704+Z704</f>
        <v>43.7887549928637</v>
      </c>
      <c r="AC704" s="54" t="b">
        <f aca="false">AND(E704&gt;=01_因子設定!$L$5-0.000000001,E704&lt;=01_因子設定!$M$5+0.000000001,F704&gt;=01_因子設定!$L$6-0.000000001,F704&lt;=01_因子設定!$M$6+0.000000001,G704&gt;=01_因子設定!$L$7-0.000000001,G704&lt;=01_因子設定!$M$7+0.000000001,H704&gt;=01_因子設定!$L$8-0.000000001,H704&lt;=01_因子設定!$M$8+0.000000001,IF(01_因子設定!$B$20="Box-Behnken",E704^2+F704^2+G704^2+H704^2&lt;=2+0.000000001,TRUE()))</f>
        <v>1</v>
      </c>
      <c r="AD704" s="55" t="n">
        <f aca="false">IF(AC704,IF(01_因子設定!$B$13="最大化",AA704-01_因子設定!$B$14,IF(01_因子設定!$B$13="最小化",01_因子設定!$B$15-AB704,MIN(AA704-01_因子設定!$B$14,01_因子設定!$B$15-AB704))),-1E+030)</f>
        <v>-6.03870016830224</v>
      </c>
      <c r="AE704" s="55" t="n">
        <f aca="false">IF(AC704,IF(01_因子設定!$B$13="最大化",X704,IF(01_因子設定!$B$13="最小化",-X704,-ABS(X704-01_因子設定!$B$16))),-1E+030)</f>
        <v>42.1250274122807</v>
      </c>
      <c r="AF704" s="55" t="n">
        <f aca="false">AD704+ROW()*0.000000001</f>
        <v>-6.03869946430224</v>
      </c>
      <c r="AG704" s="55" t="n">
        <f aca="false">AE704+ROW()*0.000000001</f>
        <v>42.1250281162807</v>
      </c>
    </row>
    <row r="705" customFormat="false" ht="15" hidden="false" customHeight="false" outlineLevel="0" collapsed="false">
      <c r="A705" s="0" t="n">
        <v>0</v>
      </c>
      <c r="B705" s="0" t="n">
        <v>8</v>
      </c>
      <c r="C705" s="0" t="n">
        <v>5</v>
      </c>
      <c r="D705" s="0" t="n">
        <v>7</v>
      </c>
      <c r="E705" s="0" t="n">
        <f aca="false">-1+A705*0.25</f>
        <v>-1</v>
      </c>
      <c r="F705" s="0" t="n">
        <f aca="false">-1+B705*0.25</f>
        <v>1</v>
      </c>
      <c r="G705" s="0" t="n">
        <f aca="false">-1+C705*0.25</f>
        <v>0.25</v>
      </c>
      <c r="H705" s="0" t="n">
        <f aca="false">-1+D705*0.25</f>
        <v>0.75</v>
      </c>
      <c r="I705" s="0" t="n">
        <f aca="false">1</f>
        <v>1</v>
      </c>
      <c r="J705" s="0" t="n">
        <f aca="false">E705</f>
        <v>-1</v>
      </c>
      <c r="K705" s="0" t="n">
        <f aca="false">F705</f>
        <v>1</v>
      </c>
      <c r="L705" s="0" t="n">
        <f aca="false">G705</f>
        <v>0.25</v>
      </c>
      <c r="M705" s="0" t="n">
        <f aca="false">H705</f>
        <v>0.75</v>
      </c>
      <c r="N705" s="0" t="n">
        <f aca="false">E705*F705</f>
        <v>-1</v>
      </c>
      <c r="O705" s="0" t="n">
        <f aca="false">E705*G705</f>
        <v>-0.25</v>
      </c>
      <c r="P705" s="0" t="n">
        <f aca="false">E705*H705</f>
        <v>-0.75</v>
      </c>
      <c r="Q705" s="0" t="n">
        <f aca="false">F705*G705</f>
        <v>0.25</v>
      </c>
      <c r="R705" s="0" t="n">
        <f aca="false">F705*H705</f>
        <v>0.75</v>
      </c>
      <c r="S705" s="0" t="n">
        <f aca="false">G705*H705</f>
        <v>0.1875</v>
      </c>
      <c r="T705" s="0" t="n">
        <f aca="false">E705*E705</f>
        <v>1</v>
      </c>
      <c r="U705" s="0" t="n">
        <f aca="false">F705*F705</f>
        <v>1</v>
      </c>
      <c r="V705" s="0" t="n">
        <f aca="false">G705*G705</f>
        <v>0.0625</v>
      </c>
      <c r="W705" s="0" t="n">
        <f aca="false">H705*H705</f>
        <v>0.5625</v>
      </c>
      <c r="X705" s="0" t="n">
        <f aca="false">SUMPRODUCT(I705:W705,_XtX!$B$96:$P$96)</f>
        <v>42.04049250731</v>
      </c>
      <c r="Y705" s="0" t="n">
        <f aca="false">SUMPRODUCT(MMULT(I705:W705,_XtX!$B$78:$P$92),I705:W705)</f>
        <v>0.621372155975877</v>
      </c>
      <c r="Z705" s="0" t="n">
        <f aca="false">04_回帰ANOVA!$K$19*04_回帰ANOVA!$K$14*SQRT(1+Y705)</f>
        <v>1.65973880499872</v>
      </c>
      <c r="AA705" s="0" t="n">
        <f aca="false">X705-Z705</f>
        <v>40.3807537023113</v>
      </c>
      <c r="AB705" s="0" t="n">
        <f aca="false">X705+Z705</f>
        <v>43.7002313123087</v>
      </c>
      <c r="AC705" s="54" t="b">
        <f aca="false">AND(E705&gt;=01_因子設定!$L$5-0.000000001,E705&lt;=01_因子設定!$M$5+0.000000001,F705&gt;=01_因子設定!$L$6-0.000000001,F705&lt;=01_因子設定!$M$6+0.000000001,G705&gt;=01_因子設定!$L$7-0.000000001,G705&lt;=01_因子設定!$M$7+0.000000001,H705&gt;=01_因子設定!$L$8-0.000000001,H705&lt;=01_因子設定!$M$8+0.000000001,IF(01_因子設定!$B$20="Box-Behnken",E705^2+F705^2+G705^2+H705^2&lt;=2+0.000000001,TRUE()))</f>
        <v>1</v>
      </c>
      <c r="AD705" s="55" t="n">
        <f aca="false">IF(AC705,IF(01_因子設定!$B$13="最大化",AA705-01_因子設定!$B$14,IF(01_因子設定!$B$13="最小化",01_因子設定!$B$15-AB705,MIN(AA705-01_因子設定!$B$14,01_因子設定!$B$15-AB705))),-1E+030)</f>
        <v>-6.11924629768873</v>
      </c>
      <c r="AE705" s="55" t="n">
        <f aca="false">IF(AC705,IF(01_因子設定!$B$13="最大化",X705,IF(01_因子設定!$B$13="最小化",-X705,-ABS(X705-01_因子設定!$B$16))),-1E+030)</f>
        <v>42.04049250731</v>
      </c>
      <c r="AF705" s="55" t="n">
        <f aca="false">AD705+ROW()*0.000000001</f>
        <v>-6.11924559268873</v>
      </c>
      <c r="AG705" s="55" t="n">
        <f aca="false">AE705+ROW()*0.000000001</f>
        <v>42.04049321231</v>
      </c>
    </row>
    <row r="706" customFormat="false" ht="15" hidden="false" customHeight="false" outlineLevel="0" collapsed="false">
      <c r="A706" s="0" t="n">
        <v>0</v>
      </c>
      <c r="B706" s="0" t="n">
        <v>8</v>
      </c>
      <c r="C706" s="0" t="n">
        <v>5</v>
      </c>
      <c r="D706" s="0" t="n">
        <v>8</v>
      </c>
      <c r="E706" s="0" t="n">
        <f aca="false">-1+A706*0.25</f>
        <v>-1</v>
      </c>
      <c r="F706" s="0" t="n">
        <f aca="false">-1+B706*0.25</f>
        <v>1</v>
      </c>
      <c r="G706" s="0" t="n">
        <f aca="false">-1+C706*0.25</f>
        <v>0.25</v>
      </c>
      <c r="H706" s="0" t="n">
        <f aca="false">-1+D706*0.25</f>
        <v>1</v>
      </c>
      <c r="I706" s="0" t="n">
        <f aca="false">1</f>
        <v>1</v>
      </c>
      <c r="J706" s="0" t="n">
        <f aca="false">E706</f>
        <v>-1</v>
      </c>
      <c r="K706" s="0" t="n">
        <f aca="false">F706</f>
        <v>1</v>
      </c>
      <c r="L706" s="0" t="n">
        <f aca="false">G706</f>
        <v>0.25</v>
      </c>
      <c r="M706" s="0" t="n">
        <f aca="false">H706</f>
        <v>1</v>
      </c>
      <c r="N706" s="0" t="n">
        <f aca="false">E706*F706</f>
        <v>-1</v>
      </c>
      <c r="O706" s="0" t="n">
        <f aca="false">E706*G706</f>
        <v>-0.25</v>
      </c>
      <c r="P706" s="0" t="n">
        <f aca="false">E706*H706</f>
        <v>-1</v>
      </c>
      <c r="Q706" s="0" t="n">
        <f aca="false">F706*G706</f>
        <v>0.25</v>
      </c>
      <c r="R706" s="0" t="n">
        <f aca="false">F706*H706</f>
        <v>1</v>
      </c>
      <c r="S706" s="0" t="n">
        <f aca="false">G706*H706</f>
        <v>0.25</v>
      </c>
      <c r="T706" s="0" t="n">
        <f aca="false">E706*E706</f>
        <v>1</v>
      </c>
      <c r="U706" s="0" t="n">
        <f aca="false">F706*F706</f>
        <v>1</v>
      </c>
      <c r="V706" s="0" t="n">
        <f aca="false">G706*G706</f>
        <v>0.0625</v>
      </c>
      <c r="W706" s="0" t="n">
        <f aca="false">H706*H706</f>
        <v>1</v>
      </c>
      <c r="X706" s="0" t="n">
        <f aca="false">SUMPRODUCT(I706:W706,_XtX!$B$96:$P$96)</f>
        <v>41.9081505847954</v>
      </c>
      <c r="Y706" s="0" t="n">
        <f aca="false">SUMPRODUCT(MMULT(I706:W706,_XtX!$B$78:$P$92),I706:W706)</f>
        <v>0.737093384502924</v>
      </c>
      <c r="Z706" s="0" t="n">
        <f aca="false">04_回帰ANOVA!$K$19*04_回帰ANOVA!$K$14*SQRT(1+Y706)</f>
        <v>1.71794784853551</v>
      </c>
      <c r="AA706" s="0" t="n">
        <f aca="false">X706-Z706</f>
        <v>40.1902027362599</v>
      </c>
      <c r="AB706" s="0" t="n">
        <f aca="false">X706+Z706</f>
        <v>43.6260984333309</v>
      </c>
      <c r="AC706" s="54" t="b">
        <f aca="false">AND(E706&gt;=01_因子設定!$L$5-0.000000001,E706&lt;=01_因子設定!$M$5+0.000000001,F706&gt;=01_因子設定!$L$6-0.000000001,F706&lt;=01_因子設定!$M$6+0.000000001,G706&gt;=01_因子設定!$L$7-0.000000001,G706&lt;=01_因子設定!$M$7+0.000000001,H706&gt;=01_因子設定!$L$8-0.000000001,H706&lt;=01_因子設定!$M$8+0.000000001,IF(01_因子設定!$B$20="Box-Behnken",E706^2+F706^2+G706^2+H706^2&lt;=2+0.000000001,TRUE()))</f>
        <v>1</v>
      </c>
      <c r="AD706" s="55" t="n">
        <f aca="false">IF(AC706,IF(01_因子設定!$B$13="最大化",AA706-01_因子設定!$B$14,IF(01_因子設定!$B$13="最小化",01_因子設定!$B$15-AB706,MIN(AA706-01_因子設定!$B$14,01_因子設定!$B$15-AB706))),-1E+030)</f>
        <v>-6.30979726374012</v>
      </c>
      <c r="AE706" s="55" t="n">
        <f aca="false">IF(AC706,IF(01_因子設定!$B$13="最大化",X706,IF(01_因子設定!$B$13="最小化",-X706,-ABS(X706-01_因子設定!$B$16))),-1E+030)</f>
        <v>41.9081505847954</v>
      </c>
      <c r="AF706" s="55" t="n">
        <f aca="false">AD706+ROW()*0.000000001</f>
        <v>-6.30979655774012</v>
      </c>
      <c r="AG706" s="55" t="n">
        <f aca="false">AE706+ROW()*0.000000001</f>
        <v>41.9081512907954</v>
      </c>
    </row>
    <row r="707" customFormat="false" ht="15" hidden="false" customHeight="false" outlineLevel="0" collapsed="false">
      <c r="A707" s="0" t="n">
        <v>0</v>
      </c>
      <c r="B707" s="0" t="n">
        <v>8</v>
      </c>
      <c r="C707" s="0" t="n">
        <v>6</v>
      </c>
      <c r="D707" s="0" t="n">
        <v>0</v>
      </c>
      <c r="E707" s="0" t="n">
        <f aca="false">-1+A707*0.25</f>
        <v>-1</v>
      </c>
      <c r="F707" s="0" t="n">
        <f aca="false">-1+B707*0.25</f>
        <v>1</v>
      </c>
      <c r="G707" s="0" t="n">
        <f aca="false">-1+C707*0.25</f>
        <v>0.5</v>
      </c>
      <c r="H707" s="0" t="n">
        <f aca="false">-1+D707*0.25</f>
        <v>-1</v>
      </c>
      <c r="I707" s="0" t="n">
        <f aca="false">1</f>
        <v>1</v>
      </c>
      <c r="J707" s="0" t="n">
        <f aca="false">E707</f>
        <v>-1</v>
      </c>
      <c r="K707" s="0" t="n">
        <f aca="false">F707</f>
        <v>1</v>
      </c>
      <c r="L707" s="0" t="n">
        <f aca="false">G707</f>
        <v>0.5</v>
      </c>
      <c r="M707" s="0" t="n">
        <f aca="false">H707</f>
        <v>-1</v>
      </c>
      <c r="N707" s="0" t="n">
        <f aca="false">E707*F707</f>
        <v>-1</v>
      </c>
      <c r="O707" s="0" t="n">
        <f aca="false">E707*G707</f>
        <v>-0.5</v>
      </c>
      <c r="P707" s="0" t="n">
        <f aca="false">E707*H707</f>
        <v>1</v>
      </c>
      <c r="Q707" s="0" t="n">
        <f aca="false">F707*G707</f>
        <v>0.5</v>
      </c>
      <c r="R707" s="0" t="n">
        <f aca="false">F707*H707</f>
        <v>-1</v>
      </c>
      <c r="S707" s="0" t="n">
        <f aca="false">G707*H707</f>
        <v>-0.5</v>
      </c>
      <c r="T707" s="0" t="n">
        <f aca="false">E707*E707</f>
        <v>1</v>
      </c>
      <c r="U707" s="0" t="n">
        <f aca="false">F707*F707</f>
        <v>1</v>
      </c>
      <c r="V707" s="0" t="n">
        <f aca="false">G707*G707</f>
        <v>0.25</v>
      </c>
      <c r="W707" s="0" t="n">
        <f aca="false">H707*H707</f>
        <v>1</v>
      </c>
      <c r="X707" s="0" t="n">
        <f aca="false">SUMPRODUCT(I707:W707,_XtX!$B$96:$P$96)</f>
        <v>41.9149122807018</v>
      </c>
      <c r="Y707" s="0" t="n">
        <f aca="false">SUMPRODUCT(MMULT(I707:W707,_XtX!$B$78:$P$92),I707:W707)</f>
        <v>0.667123538011696</v>
      </c>
      <c r="Z707" s="0" t="n">
        <f aca="false">04_回帰ANOVA!$K$19*04_回帰ANOVA!$K$14*SQRT(1+Y707)</f>
        <v>1.68299290213005</v>
      </c>
      <c r="AA707" s="0" t="n">
        <f aca="false">X707-Z707</f>
        <v>40.2319193785718</v>
      </c>
      <c r="AB707" s="0" t="n">
        <f aca="false">X707+Z707</f>
        <v>43.5979051828319</v>
      </c>
      <c r="AC707" s="54" t="b">
        <f aca="false">AND(E707&gt;=01_因子設定!$L$5-0.000000001,E707&lt;=01_因子設定!$M$5+0.000000001,F707&gt;=01_因子設定!$L$6-0.000000001,F707&lt;=01_因子設定!$M$6+0.000000001,G707&gt;=01_因子設定!$L$7-0.000000001,G707&lt;=01_因子設定!$M$7+0.000000001,H707&gt;=01_因子設定!$L$8-0.000000001,H707&lt;=01_因子設定!$M$8+0.000000001,IF(01_因子設定!$B$20="Box-Behnken",E707^2+F707^2+G707^2+H707^2&lt;=2+0.000000001,TRUE()))</f>
        <v>1</v>
      </c>
      <c r="AD707" s="55" t="n">
        <f aca="false">IF(AC707,IF(01_因子設定!$B$13="最大化",AA707-01_因子設定!$B$14,IF(01_因子設定!$B$13="最小化",01_因子設定!$B$15-AB707,MIN(AA707-01_因子設定!$B$14,01_因子設定!$B$15-AB707))),-1E+030)</f>
        <v>-6.26808062142823</v>
      </c>
      <c r="AE707" s="55" t="n">
        <f aca="false">IF(AC707,IF(01_因子設定!$B$13="最大化",X707,IF(01_因子設定!$B$13="最小化",-X707,-ABS(X707-01_因子設定!$B$16))),-1E+030)</f>
        <v>41.9149122807018</v>
      </c>
      <c r="AF707" s="55" t="n">
        <f aca="false">AD707+ROW()*0.000000001</f>
        <v>-6.26807991442823</v>
      </c>
      <c r="AG707" s="55" t="n">
        <f aca="false">AE707+ROW()*0.000000001</f>
        <v>41.9149129877018</v>
      </c>
    </row>
    <row r="708" customFormat="false" ht="15" hidden="false" customHeight="false" outlineLevel="0" collapsed="false">
      <c r="A708" s="0" t="n">
        <v>0</v>
      </c>
      <c r="B708" s="0" t="n">
        <v>8</v>
      </c>
      <c r="C708" s="0" t="n">
        <v>6</v>
      </c>
      <c r="D708" s="0" t="n">
        <v>1</v>
      </c>
      <c r="E708" s="0" t="n">
        <f aca="false">-1+A708*0.25</f>
        <v>-1</v>
      </c>
      <c r="F708" s="0" t="n">
        <f aca="false">-1+B708*0.25</f>
        <v>1</v>
      </c>
      <c r="G708" s="0" t="n">
        <f aca="false">-1+C708*0.25</f>
        <v>0.5</v>
      </c>
      <c r="H708" s="0" t="n">
        <f aca="false">-1+D708*0.25</f>
        <v>-0.75</v>
      </c>
      <c r="I708" s="0" t="n">
        <f aca="false">1</f>
        <v>1</v>
      </c>
      <c r="J708" s="0" t="n">
        <f aca="false">E708</f>
        <v>-1</v>
      </c>
      <c r="K708" s="0" t="n">
        <f aca="false">F708</f>
        <v>1</v>
      </c>
      <c r="L708" s="0" t="n">
        <f aca="false">G708</f>
        <v>0.5</v>
      </c>
      <c r="M708" s="0" t="n">
        <f aca="false">H708</f>
        <v>-0.75</v>
      </c>
      <c r="N708" s="0" t="n">
        <f aca="false">E708*F708</f>
        <v>-1</v>
      </c>
      <c r="O708" s="0" t="n">
        <f aca="false">E708*G708</f>
        <v>-0.5</v>
      </c>
      <c r="P708" s="0" t="n">
        <f aca="false">E708*H708</f>
        <v>0.75</v>
      </c>
      <c r="Q708" s="0" t="n">
        <f aca="false">F708*G708</f>
        <v>0.5</v>
      </c>
      <c r="R708" s="0" t="n">
        <f aca="false">F708*H708</f>
        <v>-0.75</v>
      </c>
      <c r="S708" s="0" t="n">
        <f aca="false">G708*H708</f>
        <v>-0.375</v>
      </c>
      <c r="T708" s="0" t="n">
        <f aca="false">E708*E708</f>
        <v>1</v>
      </c>
      <c r="U708" s="0" t="n">
        <f aca="false">F708*F708</f>
        <v>1</v>
      </c>
      <c r="V708" s="0" t="n">
        <f aca="false">G708*G708</f>
        <v>0.25</v>
      </c>
      <c r="W708" s="0" t="n">
        <f aca="false">H708*H708</f>
        <v>0.5625</v>
      </c>
      <c r="X708" s="0" t="n">
        <f aca="false">SUMPRODUCT(I708:W708,_XtX!$B$96:$P$96)</f>
        <v>42.1351882309942</v>
      </c>
      <c r="Y708" s="0" t="n">
        <f aca="false">SUMPRODUCT(MMULT(I708:W708,_XtX!$B$78:$P$92),I708:W708)</f>
        <v>0.564984237938597</v>
      </c>
      <c r="Z708" s="0" t="n">
        <f aca="false">04_回帰ANOVA!$K$19*04_回帰ANOVA!$K$14*SQRT(1+Y708)</f>
        <v>1.63062229734503</v>
      </c>
      <c r="AA708" s="0" t="n">
        <f aca="false">X708-Z708</f>
        <v>40.5045659336492</v>
      </c>
      <c r="AB708" s="0" t="n">
        <f aca="false">X708+Z708</f>
        <v>43.7658105283392</v>
      </c>
      <c r="AC708" s="54" t="b">
        <f aca="false">AND(E708&gt;=01_因子設定!$L$5-0.000000001,E708&lt;=01_因子設定!$M$5+0.000000001,F708&gt;=01_因子設定!$L$6-0.000000001,F708&lt;=01_因子設定!$M$6+0.000000001,G708&gt;=01_因子設定!$L$7-0.000000001,G708&lt;=01_因子設定!$M$7+0.000000001,H708&gt;=01_因子設定!$L$8-0.000000001,H708&lt;=01_因子設定!$M$8+0.000000001,IF(01_因子設定!$B$20="Box-Behnken",E708^2+F708^2+G708^2+H708^2&lt;=2+0.000000001,TRUE()))</f>
        <v>1</v>
      </c>
      <c r="AD708" s="55" t="n">
        <f aca="false">IF(AC708,IF(01_因子設定!$B$13="最大化",AA708-01_因子設定!$B$14,IF(01_因子設定!$B$13="最小化",01_因子設定!$B$15-AB708,MIN(AA708-01_因子設定!$B$14,01_因子設定!$B$15-AB708))),-1E+030)</f>
        <v>-5.99543406635083</v>
      </c>
      <c r="AE708" s="55" t="n">
        <f aca="false">IF(AC708,IF(01_因子設定!$B$13="最大化",X708,IF(01_因子設定!$B$13="最小化",-X708,-ABS(X708-01_因子設定!$B$16))),-1E+030)</f>
        <v>42.1351882309942</v>
      </c>
      <c r="AF708" s="55" t="n">
        <f aca="false">AD708+ROW()*0.000000001</f>
        <v>-5.99543335835083</v>
      </c>
      <c r="AG708" s="55" t="n">
        <f aca="false">AE708+ROW()*0.000000001</f>
        <v>42.1351889389942</v>
      </c>
    </row>
    <row r="709" customFormat="false" ht="15" hidden="false" customHeight="false" outlineLevel="0" collapsed="false">
      <c r="A709" s="0" t="n">
        <v>0</v>
      </c>
      <c r="B709" s="0" t="n">
        <v>8</v>
      </c>
      <c r="C709" s="0" t="n">
        <v>6</v>
      </c>
      <c r="D709" s="0" t="n">
        <v>2</v>
      </c>
      <c r="E709" s="0" t="n">
        <f aca="false">-1+A709*0.25</f>
        <v>-1</v>
      </c>
      <c r="F709" s="0" t="n">
        <f aca="false">-1+B709*0.25</f>
        <v>1</v>
      </c>
      <c r="G709" s="0" t="n">
        <f aca="false">-1+C709*0.25</f>
        <v>0.5</v>
      </c>
      <c r="H709" s="0" t="n">
        <f aca="false">-1+D709*0.25</f>
        <v>-0.5</v>
      </c>
      <c r="I709" s="0" t="n">
        <f aca="false">1</f>
        <v>1</v>
      </c>
      <c r="J709" s="0" t="n">
        <f aca="false">E709</f>
        <v>-1</v>
      </c>
      <c r="K709" s="0" t="n">
        <f aca="false">F709</f>
        <v>1</v>
      </c>
      <c r="L709" s="0" t="n">
        <f aca="false">G709</f>
        <v>0.5</v>
      </c>
      <c r="M709" s="0" t="n">
        <f aca="false">H709</f>
        <v>-0.5</v>
      </c>
      <c r="N709" s="0" t="n">
        <f aca="false">E709*F709</f>
        <v>-1</v>
      </c>
      <c r="O709" s="0" t="n">
        <f aca="false">E709*G709</f>
        <v>-0.5</v>
      </c>
      <c r="P709" s="0" t="n">
        <f aca="false">E709*H709</f>
        <v>0.5</v>
      </c>
      <c r="Q709" s="0" t="n">
        <f aca="false">F709*G709</f>
        <v>0.5</v>
      </c>
      <c r="R709" s="0" t="n">
        <f aca="false">F709*H709</f>
        <v>-0.5</v>
      </c>
      <c r="S709" s="0" t="n">
        <f aca="false">G709*H709</f>
        <v>-0.25</v>
      </c>
      <c r="T709" s="0" t="n">
        <f aca="false">E709*E709</f>
        <v>1</v>
      </c>
      <c r="U709" s="0" t="n">
        <f aca="false">F709*F709</f>
        <v>1</v>
      </c>
      <c r="V709" s="0" t="n">
        <f aca="false">G709*G709</f>
        <v>0.25</v>
      </c>
      <c r="W709" s="0" t="n">
        <f aca="false">H709*H709</f>
        <v>0.25</v>
      </c>
      <c r="X709" s="0" t="n">
        <f aca="false">SUMPRODUCT(I709:W709,_XtX!$B$96:$P$96)</f>
        <v>42.3076571637427</v>
      </c>
      <c r="Y709" s="0" t="n">
        <f aca="false">SUMPRODUCT(MMULT(I709:W709,_XtX!$B$78:$P$92),I709:W709)</f>
        <v>0.582488121345029</v>
      </c>
      <c r="Z709" s="0" t="n">
        <f aca="false">04_回帰ANOVA!$K$19*04_回帰ANOVA!$K$14*SQRT(1+Y709)</f>
        <v>1.63971595338287</v>
      </c>
      <c r="AA709" s="0" t="n">
        <f aca="false">X709-Z709</f>
        <v>40.6679412103599</v>
      </c>
      <c r="AB709" s="0" t="n">
        <f aca="false">X709+Z709</f>
        <v>43.9473731171256</v>
      </c>
      <c r="AC709" s="54" t="b">
        <f aca="false">AND(E709&gt;=01_因子設定!$L$5-0.000000001,E709&lt;=01_因子設定!$M$5+0.000000001,F709&gt;=01_因子設定!$L$6-0.000000001,F709&lt;=01_因子設定!$M$6+0.000000001,G709&gt;=01_因子設定!$L$7-0.000000001,G709&lt;=01_因子設定!$M$7+0.000000001,H709&gt;=01_因子設定!$L$8-0.000000001,H709&lt;=01_因子設定!$M$8+0.000000001,IF(01_因子設定!$B$20="Box-Behnken",E709^2+F709^2+G709^2+H709^2&lt;=2+0.000000001,TRUE()))</f>
        <v>1</v>
      </c>
      <c r="AD709" s="55" t="n">
        <f aca="false">IF(AC709,IF(01_因子設定!$B$13="最大化",AA709-01_因子設定!$B$14,IF(01_因子設定!$B$13="最小化",01_因子設定!$B$15-AB709,MIN(AA709-01_因子設定!$B$14,01_因子設定!$B$15-AB709))),-1E+030)</f>
        <v>-5.83205878964014</v>
      </c>
      <c r="AE709" s="55" t="n">
        <f aca="false">IF(AC709,IF(01_因子設定!$B$13="最大化",X709,IF(01_因子設定!$B$13="最小化",-X709,-ABS(X709-01_因子設定!$B$16))),-1E+030)</f>
        <v>42.3076571637427</v>
      </c>
      <c r="AF709" s="55" t="n">
        <f aca="false">AD709+ROW()*0.000000001</f>
        <v>-5.83205808064014</v>
      </c>
      <c r="AG709" s="55" t="n">
        <f aca="false">AE709+ROW()*0.000000001</f>
        <v>42.3076578727427</v>
      </c>
    </row>
    <row r="710" customFormat="false" ht="15" hidden="false" customHeight="false" outlineLevel="0" collapsed="false">
      <c r="A710" s="0" t="n">
        <v>0</v>
      </c>
      <c r="B710" s="0" t="n">
        <v>8</v>
      </c>
      <c r="C710" s="0" t="n">
        <v>6</v>
      </c>
      <c r="D710" s="0" t="n">
        <v>3</v>
      </c>
      <c r="E710" s="0" t="n">
        <f aca="false">-1+A710*0.25</f>
        <v>-1</v>
      </c>
      <c r="F710" s="0" t="n">
        <f aca="false">-1+B710*0.25</f>
        <v>1</v>
      </c>
      <c r="G710" s="0" t="n">
        <f aca="false">-1+C710*0.25</f>
        <v>0.5</v>
      </c>
      <c r="H710" s="0" t="n">
        <f aca="false">-1+D710*0.25</f>
        <v>-0.25</v>
      </c>
      <c r="I710" s="0" t="n">
        <f aca="false">1</f>
        <v>1</v>
      </c>
      <c r="J710" s="0" t="n">
        <f aca="false">E710</f>
        <v>-1</v>
      </c>
      <c r="K710" s="0" t="n">
        <f aca="false">F710</f>
        <v>1</v>
      </c>
      <c r="L710" s="0" t="n">
        <f aca="false">G710</f>
        <v>0.5</v>
      </c>
      <c r="M710" s="0" t="n">
        <f aca="false">H710</f>
        <v>-0.25</v>
      </c>
      <c r="N710" s="0" t="n">
        <f aca="false">E710*F710</f>
        <v>-1</v>
      </c>
      <c r="O710" s="0" t="n">
        <f aca="false">E710*G710</f>
        <v>-0.5</v>
      </c>
      <c r="P710" s="0" t="n">
        <f aca="false">E710*H710</f>
        <v>0.25</v>
      </c>
      <c r="Q710" s="0" t="n">
        <f aca="false">F710*G710</f>
        <v>0.5</v>
      </c>
      <c r="R710" s="0" t="n">
        <f aca="false">F710*H710</f>
        <v>-0.25</v>
      </c>
      <c r="S710" s="0" t="n">
        <f aca="false">G710*H710</f>
        <v>-0.125</v>
      </c>
      <c r="T710" s="0" t="n">
        <f aca="false">E710*E710</f>
        <v>1</v>
      </c>
      <c r="U710" s="0" t="n">
        <f aca="false">F710*F710</f>
        <v>1</v>
      </c>
      <c r="V710" s="0" t="n">
        <f aca="false">G710*G710</f>
        <v>0.25</v>
      </c>
      <c r="W710" s="0" t="n">
        <f aca="false">H710*H710</f>
        <v>0.0625</v>
      </c>
      <c r="X710" s="0" t="n">
        <f aca="false">SUMPRODUCT(I710:W710,_XtX!$B$96:$P$96)</f>
        <v>42.4323190789474</v>
      </c>
      <c r="Y710" s="0" t="n">
        <f aca="false">SUMPRODUCT(MMULT(I710:W710,_XtX!$B$78:$P$92),I710:W710)</f>
        <v>0.629174661915205</v>
      </c>
      <c r="Z710" s="0" t="n">
        <f aca="false">04_回帰ANOVA!$K$19*04_回帰ANOVA!$K$14*SQRT(1+Y710)</f>
        <v>1.66372758058297</v>
      </c>
      <c r="AA710" s="0" t="n">
        <f aca="false">X710-Z710</f>
        <v>40.7685914983644</v>
      </c>
      <c r="AB710" s="0" t="n">
        <f aca="false">X710+Z710</f>
        <v>44.0960466595304</v>
      </c>
      <c r="AC710" s="54" t="b">
        <f aca="false">AND(E710&gt;=01_因子設定!$L$5-0.000000001,E710&lt;=01_因子設定!$M$5+0.000000001,F710&gt;=01_因子設定!$L$6-0.000000001,F710&lt;=01_因子設定!$M$6+0.000000001,G710&gt;=01_因子設定!$L$7-0.000000001,G710&lt;=01_因子設定!$M$7+0.000000001,H710&gt;=01_因子設定!$L$8-0.000000001,H710&lt;=01_因子設定!$M$8+0.000000001,IF(01_因子設定!$B$20="Box-Behnken",E710^2+F710^2+G710^2+H710^2&lt;=2+0.000000001,TRUE()))</f>
        <v>1</v>
      </c>
      <c r="AD710" s="55" t="n">
        <f aca="false">IF(AC710,IF(01_因子設定!$B$13="最大化",AA710-01_因子設定!$B$14,IF(01_因子設定!$B$13="最小化",01_因子設定!$B$15-AB710,MIN(AA710-01_因子設定!$B$14,01_因子設定!$B$15-AB710))),-1E+030)</f>
        <v>-5.73140850163558</v>
      </c>
      <c r="AE710" s="55" t="n">
        <f aca="false">IF(AC710,IF(01_因子設定!$B$13="最大化",X710,IF(01_因子設定!$B$13="最小化",-X710,-ABS(X710-01_因子設定!$B$16))),-1E+030)</f>
        <v>42.4323190789474</v>
      </c>
      <c r="AF710" s="55" t="n">
        <f aca="false">AD710+ROW()*0.000000001</f>
        <v>-5.73140779163558</v>
      </c>
      <c r="AG710" s="55" t="n">
        <f aca="false">AE710+ROW()*0.000000001</f>
        <v>42.4323197889474</v>
      </c>
    </row>
    <row r="711" customFormat="false" ht="15" hidden="false" customHeight="false" outlineLevel="0" collapsed="false">
      <c r="A711" s="0" t="n">
        <v>0</v>
      </c>
      <c r="B711" s="0" t="n">
        <v>8</v>
      </c>
      <c r="C711" s="0" t="n">
        <v>6</v>
      </c>
      <c r="D711" s="0" t="n">
        <v>4</v>
      </c>
      <c r="E711" s="0" t="n">
        <f aca="false">-1+A711*0.25</f>
        <v>-1</v>
      </c>
      <c r="F711" s="0" t="n">
        <f aca="false">-1+B711*0.25</f>
        <v>1</v>
      </c>
      <c r="G711" s="0" t="n">
        <f aca="false">-1+C711*0.25</f>
        <v>0.5</v>
      </c>
      <c r="H711" s="0" t="n">
        <f aca="false">-1+D711*0.25</f>
        <v>0</v>
      </c>
      <c r="I711" s="0" t="n">
        <f aca="false">1</f>
        <v>1</v>
      </c>
      <c r="J711" s="0" t="n">
        <f aca="false">E711</f>
        <v>-1</v>
      </c>
      <c r="K711" s="0" t="n">
        <f aca="false">F711</f>
        <v>1</v>
      </c>
      <c r="L711" s="0" t="n">
        <f aca="false">G711</f>
        <v>0.5</v>
      </c>
      <c r="M711" s="0" t="n">
        <f aca="false">H711</f>
        <v>0</v>
      </c>
      <c r="N711" s="0" t="n">
        <f aca="false">E711*F711</f>
        <v>-1</v>
      </c>
      <c r="O711" s="0" t="n">
        <f aca="false">E711*G711</f>
        <v>-0.5</v>
      </c>
      <c r="P711" s="0" t="n">
        <f aca="false">E711*H711</f>
        <v>-0</v>
      </c>
      <c r="Q711" s="0" t="n">
        <f aca="false">F711*G711</f>
        <v>0.5</v>
      </c>
      <c r="R711" s="0" t="n">
        <f aca="false">F711*H711</f>
        <v>0</v>
      </c>
      <c r="S711" s="0" t="n">
        <f aca="false">G711*H711</f>
        <v>0</v>
      </c>
      <c r="T711" s="0" t="n">
        <f aca="false">E711*E711</f>
        <v>1</v>
      </c>
      <c r="U711" s="0" t="n">
        <f aca="false">F711*F711</f>
        <v>1</v>
      </c>
      <c r="V711" s="0" t="n">
        <f aca="false">G711*G711</f>
        <v>0.25</v>
      </c>
      <c r="W711" s="0" t="n">
        <f aca="false">H711*H711</f>
        <v>0</v>
      </c>
      <c r="X711" s="0" t="n">
        <f aca="false">SUMPRODUCT(I711:W711,_XtX!$B$96:$P$96)</f>
        <v>42.5091739766082</v>
      </c>
      <c r="Y711" s="0" t="n">
        <f aca="false">SUMPRODUCT(MMULT(I711:W711,_XtX!$B$78:$P$92),I711:W711)</f>
        <v>0.650767543859649</v>
      </c>
      <c r="Z711" s="0" t="n">
        <f aca="false">04_回帰ANOVA!$K$19*04_回帰ANOVA!$K$14*SQRT(1+Y711)</f>
        <v>1.67471670935165</v>
      </c>
      <c r="AA711" s="0" t="n">
        <f aca="false">X711-Z711</f>
        <v>40.8344572672566</v>
      </c>
      <c r="AB711" s="0" t="n">
        <f aca="false">X711+Z711</f>
        <v>44.1838906859599</v>
      </c>
      <c r="AC711" s="54" t="b">
        <f aca="false">AND(E711&gt;=01_因子設定!$L$5-0.000000001,E711&lt;=01_因子設定!$M$5+0.000000001,F711&gt;=01_因子設定!$L$6-0.000000001,F711&lt;=01_因子設定!$M$6+0.000000001,G711&gt;=01_因子設定!$L$7-0.000000001,G711&lt;=01_因子設定!$M$7+0.000000001,H711&gt;=01_因子設定!$L$8-0.000000001,H711&lt;=01_因子設定!$M$8+0.000000001,IF(01_因子設定!$B$20="Box-Behnken",E711^2+F711^2+G711^2+H711^2&lt;=2+0.000000001,TRUE()))</f>
        <v>1</v>
      </c>
      <c r="AD711" s="55" t="n">
        <f aca="false">IF(AC711,IF(01_因子設定!$B$13="最大化",AA711-01_因子設定!$B$14,IF(01_因子設定!$B$13="最小化",01_因子設定!$B$15-AB711,MIN(AA711-01_因子設定!$B$14,01_因子設定!$B$15-AB711))),-1E+030)</f>
        <v>-5.66554273274344</v>
      </c>
      <c r="AE711" s="55" t="n">
        <f aca="false">IF(AC711,IF(01_因子設定!$B$13="最大化",X711,IF(01_因子設定!$B$13="最小化",-X711,-ABS(X711-01_因子設定!$B$16))),-1E+030)</f>
        <v>42.5091739766082</v>
      </c>
      <c r="AF711" s="55" t="n">
        <f aca="false">AD711+ROW()*0.000000001</f>
        <v>-5.66554202174344</v>
      </c>
      <c r="AG711" s="55" t="n">
        <f aca="false">AE711+ROW()*0.000000001</f>
        <v>42.5091746876082</v>
      </c>
    </row>
    <row r="712" customFormat="false" ht="15" hidden="false" customHeight="false" outlineLevel="0" collapsed="false">
      <c r="A712" s="0" t="n">
        <v>0</v>
      </c>
      <c r="B712" s="0" t="n">
        <v>8</v>
      </c>
      <c r="C712" s="0" t="n">
        <v>6</v>
      </c>
      <c r="D712" s="0" t="n">
        <v>5</v>
      </c>
      <c r="E712" s="0" t="n">
        <f aca="false">-1+A712*0.25</f>
        <v>-1</v>
      </c>
      <c r="F712" s="0" t="n">
        <f aca="false">-1+B712*0.25</f>
        <v>1</v>
      </c>
      <c r="G712" s="0" t="n">
        <f aca="false">-1+C712*0.25</f>
        <v>0.5</v>
      </c>
      <c r="H712" s="0" t="n">
        <f aca="false">-1+D712*0.25</f>
        <v>0.25</v>
      </c>
      <c r="I712" s="0" t="n">
        <f aca="false">1</f>
        <v>1</v>
      </c>
      <c r="J712" s="0" t="n">
        <f aca="false">E712</f>
        <v>-1</v>
      </c>
      <c r="K712" s="0" t="n">
        <f aca="false">F712</f>
        <v>1</v>
      </c>
      <c r="L712" s="0" t="n">
        <f aca="false">G712</f>
        <v>0.5</v>
      </c>
      <c r="M712" s="0" t="n">
        <f aca="false">H712</f>
        <v>0.25</v>
      </c>
      <c r="N712" s="0" t="n">
        <f aca="false">E712*F712</f>
        <v>-1</v>
      </c>
      <c r="O712" s="0" t="n">
        <f aca="false">E712*G712</f>
        <v>-0.5</v>
      </c>
      <c r="P712" s="0" t="n">
        <f aca="false">E712*H712</f>
        <v>-0.25</v>
      </c>
      <c r="Q712" s="0" t="n">
        <f aca="false">F712*G712</f>
        <v>0.5</v>
      </c>
      <c r="R712" s="0" t="n">
        <f aca="false">F712*H712</f>
        <v>0.25</v>
      </c>
      <c r="S712" s="0" t="n">
        <f aca="false">G712*H712</f>
        <v>0.125</v>
      </c>
      <c r="T712" s="0" t="n">
        <f aca="false">E712*E712</f>
        <v>1</v>
      </c>
      <c r="U712" s="0" t="n">
        <f aca="false">F712*F712</f>
        <v>1</v>
      </c>
      <c r="V712" s="0" t="n">
        <f aca="false">G712*G712</f>
        <v>0.25</v>
      </c>
      <c r="W712" s="0" t="n">
        <f aca="false">H712*H712</f>
        <v>0.0625</v>
      </c>
      <c r="X712" s="0" t="n">
        <f aca="false">SUMPRODUCT(I712:W712,_XtX!$B$96:$P$96)</f>
        <v>42.5382218567252</v>
      </c>
      <c r="Y712" s="0" t="n">
        <f aca="false">SUMPRODUCT(MMULT(I712:W712,_XtX!$B$78:$P$92),I712:W712)</f>
        <v>0.629174661915205</v>
      </c>
      <c r="Z712" s="0" t="n">
        <f aca="false">04_回帰ANOVA!$K$19*04_回帰ANOVA!$K$14*SQRT(1+Y712)</f>
        <v>1.66372758058297</v>
      </c>
      <c r="AA712" s="0" t="n">
        <f aca="false">X712-Z712</f>
        <v>40.8744942761422</v>
      </c>
      <c r="AB712" s="0" t="n">
        <f aca="false">X712+Z712</f>
        <v>44.2019494373081</v>
      </c>
      <c r="AC712" s="54" t="b">
        <f aca="false">AND(E712&gt;=01_因子設定!$L$5-0.000000001,E712&lt;=01_因子設定!$M$5+0.000000001,F712&gt;=01_因子設定!$L$6-0.000000001,F712&lt;=01_因子設定!$M$6+0.000000001,G712&gt;=01_因子設定!$L$7-0.000000001,G712&lt;=01_因子設定!$M$7+0.000000001,H712&gt;=01_因子設定!$L$8-0.000000001,H712&lt;=01_因子設定!$M$8+0.000000001,IF(01_因子設定!$B$20="Box-Behnken",E712^2+F712^2+G712^2+H712^2&lt;=2+0.000000001,TRUE()))</f>
        <v>1</v>
      </c>
      <c r="AD712" s="55" t="n">
        <f aca="false">IF(AC712,IF(01_因子設定!$B$13="最大化",AA712-01_因子設定!$B$14,IF(01_因子設定!$B$13="最小化",01_因子設定!$B$15-AB712,MIN(AA712-01_因子設定!$B$14,01_因子設定!$B$15-AB712))),-1E+030)</f>
        <v>-5.6255057238578</v>
      </c>
      <c r="AE712" s="55" t="n">
        <f aca="false">IF(AC712,IF(01_因子設定!$B$13="最大化",X712,IF(01_因子設定!$B$13="最小化",-X712,-ABS(X712-01_因子設定!$B$16))),-1E+030)</f>
        <v>42.5382218567252</v>
      </c>
      <c r="AF712" s="55" t="n">
        <f aca="false">AD712+ROW()*0.000000001</f>
        <v>-5.6255050118578</v>
      </c>
      <c r="AG712" s="55" t="n">
        <f aca="false">AE712+ROW()*0.000000001</f>
        <v>42.5382225687252</v>
      </c>
    </row>
    <row r="713" customFormat="false" ht="15" hidden="false" customHeight="false" outlineLevel="0" collapsed="false">
      <c r="A713" s="0" t="n">
        <v>0</v>
      </c>
      <c r="B713" s="0" t="n">
        <v>8</v>
      </c>
      <c r="C713" s="0" t="n">
        <v>6</v>
      </c>
      <c r="D713" s="0" t="n">
        <v>6</v>
      </c>
      <c r="E713" s="0" t="n">
        <f aca="false">-1+A713*0.25</f>
        <v>-1</v>
      </c>
      <c r="F713" s="0" t="n">
        <f aca="false">-1+B713*0.25</f>
        <v>1</v>
      </c>
      <c r="G713" s="0" t="n">
        <f aca="false">-1+C713*0.25</f>
        <v>0.5</v>
      </c>
      <c r="H713" s="0" t="n">
        <f aca="false">-1+D713*0.25</f>
        <v>0.5</v>
      </c>
      <c r="I713" s="0" t="n">
        <f aca="false">1</f>
        <v>1</v>
      </c>
      <c r="J713" s="0" t="n">
        <f aca="false">E713</f>
        <v>-1</v>
      </c>
      <c r="K713" s="0" t="n">
        <f aca="false">F713</f>
        <v>1</v>
      </c>
      <c r="L713" s="0" t="n">
        <f aca="false">G713</f>
        <v>0.5</v>
      </c>
      <c r="M713" s="0" t="n">
        <f aca="false">H713</f>
        <v>0.5</v>
      </c>
      <c r="N713" s="0" t="n">
        <f aca="false">E713*F713</f>
        <v>-1</v>
      </c>
      <c r="O713" s="0" t="n">
        <f aca="false">E713*G713</f>
        <v>-0.5</v>
      </c>
      <c r="P713" s="0" t="n">
        <f aca="false">E713*H713</f>
        <v>-0.5</v>
      </c>
      <c r="Q713" s="0" t="n">
        <f aca="false">F713*G713</f>
        <v>0.5</v>
      </c>
      <c r="R713" s="0" t="n">
        <f aca="false">F713*H713</f>
        <v>0.5</v>
      </c>
      <c r="S713" s="0" t="n">
        <f aca="false">G713*H713</f>
        <v>0.25</v>
      </c>
      <c r="T713" s="0" t="n">
        <f aca="false">E713*E713</f>
        <v>1</v>
      </c>
      <c r="U713" s="0" t="n">
        <f aca="false">F713*F713</f>
        <v>1</v>
      </c>
      <c r="V713" s="0" t="n">
        <f aca="false">G713*G713</f>
        <v>0.25</v>
      </c>
      <c r="W713" s="0" t="n">
        <f aca="false">H713*H713</f>
        <v>0.25</v>
      </c>
      <c r="X713" s="0" t="n">
        <f aca="false">SUMPRODUCT(I713:W713,_XtX!$B$96:$P$96)</f>
        <v>42.5194627192983</v>
      </c>
      <c r="Y713" s="0" t="n">
        <f aca="false">SUMPRODUCT(MMULT(I713:W713,_XtX!$B$78:$P$92),I713:W713)</f>
        <v>0.582488121345029</v>
      </c>
      <c r="Z713" s="0" t="n">
        <f aca="false">04_回帰ANOVA!$K$19*04_回帰ANOVA!$K$14*SQRT(1+Y713)</f>
        <v>1.63971595338287</v>
      </c>
      <c r="AA713" s="0" t="n">
        <f aca="false">X713-Z713</f>
        <v>40.8797467659154</v>
      </c>
      <c r="AB713" s="0" t="n">
        <f aca="false">X713+Z713</f>
        <v>44.1591786726812</v>
      </c>
      <c r="AC713" s="54" t="b">
        <f aca="false">AND(E713&gt;=01_因子設定!$L$5-0.000000001,E713&lt;=01_因子設定!$M$5+0.000000001,F713&gt;=01_因子設定!$L$6-0.000000001,F713&lt;=01_因子設定!$M$6+0.000000001,G713&gt;=01_因子設定!$L$7-0.000000001,G713&lt;=01_因子設定!$M$7+0.000000001,H713&gt;=01_因子設定!$L$8-0.000000001,H713&lt;=01_因子設定!$M$8+0.000000001,IF(01_因子設定!$B$20="Box-Behnken",E713^2+F713^2+G713^2+H713^2&lt;=2+0.000000001,TRUE()))</f>
        <v>1</v>
      </c>
      <c r="AD713" s="55" t="n">
        <f aca="false">IF(AC713,IF(01_因子設定!$B$13="最大化",AA713-01_因子設定!$B$14,IF(01_因子設定!$B$13="最小化",01_因子設定!$B$15-AB713,MIN(AA713-01_因子設定!$B$14,01_因子設定!$B$15-AB713))),-1E+030)</f>
        <v>-5.62025323408459</v>
      </c>
      <c r="AE713" s="55" t="n">
        <f aca="false">IF(AC713,IF(01_因子設定!$B$13="最大化",X713,IF(01_因子設定!$B$13="最小化",-X713,-ABS(X713-01_因子設定!$B$16))),-1E+030)</f>
        <v>42.5194627192983</v>
      </c>
      <c r="AF713" s="55" t="n">
        <f aca="false">AD713+ROW()*0.000000001</f>
        <v>-5.62025252108459</v>
      </c>
      <c r="AG713" s="55" t="n">
        <f aca="false">AE713+ROW()*0.000000001</f>
        <v>42.5194634322983</v>
      </c>
    </row>
    <row r="714" customFormat="false" ht="15" hidden="false" customHeight="false" outlineLevel="0" collapsed="false">
      <c r="A714" s="0" t="n">
        <v>0</v>
      </c>
      <c r="B714" s="0" t="n">
        <v>8</v>
      </c>
      <c r="C714" s="0" t="n">
        <v>6</v>
      </c>
      <c r="D714" s="0" t="n">
        <v>7</v>
      </c>
      <c r="E714" s="0" t="n">
        <f aca="false">-1+A714*0.25</f>
        <v>-1</v>
      </c>
      <c r="F714" s="0" t="n">
        <f aca="false">-1+B714*0.25</f>
        <v>1</v>
      </c>
      <c r="G714" s="0" t="n">
        <f aca="false">-1+C714*0.25</f>
        <v>0.5</v>
      </c>
      <c r="H714" s="0" t="n">
        <f aca="false">-1+D714*0.25</f>
        <v>0.75</v>
      </c>
      <c r="I714" s="0" t="n">
        <f aca="false">1</f>
        <v>1</v>
      </c>
      <c r="J714" s="0" t="n">
        <f aca="false">E714</f>
        <v>-1</v>
      </c>
      <c r="K714" s="0" t="n">
        <f aca="false">F714</f>
        <v>1</v>
      </c>
      <c r="L714" s="0" t="n">
        <f aca="false">G714</f>
        <v>0.5</v>
      </c>
      <c r="M714" s="0" t="n">
        <f aca="false">H714</f>
        <v>0.75</v>
      </c>
      <c r="N714" s="0" t="n">
        <f aca="false">E714*F714</f>
        <v>-1</v>
      </c>
      <c r="O714" s="0" t="n">
        <f aca="false">E714*G714</f>
        <v>-0.5</v>
      </c>
      <c r="P714" s="0" t="n">
        <f aca="false">E714*H714</f>
        <v>-0.75</v>
      </c>
      <c r="Q714" s="0" t="n">
        <f aca="false">F714*G714</f>
        <v>0.5</v>
      </c>
      <c r="R714" s="0" t="n">
        <f aca="false">F714*H714</f>
        <v>0.75</v>
      </c>
      <c r="S714" s="0" t="n">
        <f aca="false">G714*H714</f>
        <v>0.375</v>
      </c>
      <c r="T714" s="0" t="n">
        <f aca="false">E714*E714</f>
        <v>1</v>
      </c>
      <c r="U714" s="0" t="n">
        <f aca="false">F714*F714</f>
        <v>1</v>
      </c>
      <c r="V714" s="0" t="n">
        <f aca="false">G714*G714</f>
        <v>0.25</v>
      </c>
      <c r="W714" s="0" t="n">
        <f aca="false">H714*H714</f>
        <v>0.5625</v>
      </c>
      <c r="X714" s="0" t="n">
        <f aca="false">SUMPRODUCT(I714:W714,_XtX!$B$96:$P$96)</f>
        <v>42.4528965643275</v>
      </c>
      <c r="Y714" s="0" t="n">
        <f aca="false">SUMPRODUCT(MMULT(I714:W714,_XtX!$B$78:$P$92),I714:W714)</f>
        <v>0.564984237938597</v>
      </c>
      <c r="Z714" s="0" t="n">
        <f aca="false">04_回帰ANOVA!$K$19*04_回帰ANOVA!$K$14*SQRT(1+Y714)</f>
        <v>1.63062229734503</v>
      </c>
      <c r="AA714" s="0" t="n">
        <f aca="false">X714-Z714</f>
        <v>40.8222742669825</v>
      </c>
      <c r="AB714" s="0" t="n">
        <f aca="false">X714+Z714</f>
        <v>44.0835188616726</v>
      </c>
      <c r="AC714" s="54" t="b">
        <f aca="false">AND(E714&gt;=01_因子設定!$L$5-0.000000001,E714&lt;=01_因子設定!$M$5+0.000000001,F714&gt;=01_因子設定!$L$6-0.000000001,F714&lt;=01_因子設定!$M$6+0.000000001,G714&gt;=01_因子設定!$L$7-0.000000001,G714&lt;=01_因子設定!$M$7+0.000000001,H714&gt;=01_因子設定!$L$8-0.000000001,H714&lt;=01_因子設定!$M$8+0.000000001,IF(01_因子設定!$B$20="Box-Behnken",E714^2+F714^2+G714^2+H714^2&lt;=2+0.000000001,TRUE()))</f>
        <v>1</v>
      </c>
      <c r="AD714" s="55" t="n">
        <f aca="false">IF(AC714,IF(01_因子設定!$B$13="最大化",AA714-01_因子設定!$B$14,IF(01_因子設定!$B$13="最小化",01_因子設定!$B$15-AB714,MIN(AA714-01_因子設定!$B$14,01_因子設定!$B$15-AB714))),-1E+030)</f>
        <v>-5.6777257330175</v>
      </c>
      <c r="AE714" s="55" t="n">
        <f aca="false">IF(AC714,IF(01_因子設定!$B$13="最大化",X714,IF(01_因子設定!$B$13="最小化",-X714,-ABS(X714-01_因子設定!$B$16))),-1E+030)</f>
        <v>42.4528965643275</v>
      </c>
      <c r="AF714" s="55" t="n">
        <f aca="false">AD714+ROW()*0.000000001</f>
        <v>-5.6777250190175</v>
      </c>
      <c r="AG714" s="55" t="n">
        <f aca="false">AE714+ROW()*0.000000001</f>
        <v>42.4528972783275</v>
      </c>
    </row>
    <row r="715" customFormat="false" ht="15" hidden="false" customHeight="false" outlineLevel="0" collapsed="false">
      <c r="A715" s="0" t="n">
        <v>0</v>
      </c>
      <c r="B715" s="0" t="n">
        <v>8</v>
      </c>
      <c r="C715" s="0" t="n">
        <v>6</v>
      </c>
      <c r="D715" s="0" t="n">
        <v>8</v>
      </c>
      <c r="E715" s="0" t="n">
        <f aca="false">-1+A715*0.25</f>
        <v>-1</v>
      </c>
      <c r="F715" s="0" t="n">
        <f aca="false">-1+B715*0.25</f>
        <v>1</v>
      </c>
      <c r="G715" s="0" t="n">
        <f aca="false">-1+C715*0.25</f>
        <v>0.5</v>
      </c>
      <c r="H715" s="0" t="n">
        <f aca="false">-1+D715*0.25</f>
        <v>1</v>
      </c>
      <c r="I715" s="0" t="n">
        <f aca="false">1</f>
        <v>1</v>
      </c>
      <c r="J715" s="0" t="n">
        <f aca="false">E715</f>
        <v>-1</v>
      </c>
      <c r="K715" s="0" t="n">
        <f aca="false">F715</f>
        <v>1</v>
      </c>
      <c r="L715" s="0" t="n">
        <f aca="false">G715</f>
        <v>0.5</v>
      </c>
      <c r="M715" s="0" t="n">
        <f aca="false">H715</f>
        <v>1</v>
      </c>
      <c r="N715" s="0" t="n">
        <f aca="false">E715*F715</f>
        <v>-1</v>
      </c>
      <c r="O715" s="0" t="n">
        <f aca="false">E715*G715</f>
        <v>-0.5</v>
      </c>
      <c r="P715" s="0" t="n">
        <f aca="false">E715*H715</f>
        <v>-1</v>
      </c>
      <c r="Q715" s="0" t="n">
        <f aca="false">F715*G715</f>
        <v>0.5</v>
      </c>
      <c r="R715" s="0" t="n">
        <f aca="false">F715*H715</f>
        <v>1</v>
      </c>
      <c r="S715" s="0" t="n">
        <f aca="false">G715*H715</f>
        <v>0.5</v>
      </c>
      <c r="T715" s="0" t="n">
        <f aca="false">E715*E715</f>
        <v>1</v>
      </c>
      <c r="U715" s="0" t="n">
        <f aca="false">F715*F715</f>
        <v>1</v>
      </c>
      <c r="V715" s="0" t="n">
        <f aca="false">G715*G715</f>
        <v>0.25</v>
      </c>
      <c r="W715" s="0" t="n">
        <f aca="false">H715*H715</f>
        <v>1</v>
      </c>
      <c r="X715" s="0" t="n">
        <f aca="false">SUMPRODUCT(I715:W715,_XtX!$B$96:$P$96)</f>
        <v>42.3385233918129</v>
      </c>
      <c r="Y715" s="0" t="n">
        <f aca="false">SUMPRODUCT(MMULT(I715:W715,_XtX!$B$78:$P$92),I715:W715)</f>
        <v>0.667123538011696</v>
      </c>
      <c r="Z715" s="0" t="n">
        <f aca="false">04_回帰ANOVA!$K$19*04_回帰ANOVA!$K$14*SQRT(1+Y715)</f>
        <v>1.68299290213005</v>
      </c>
      <c r="AA715" s="0" t="n">
        <f aca="false">X715-Z715</f>
        <v>40.6555304896829</v>
      </c>
      <c r="AB715" s="0" t="n">
        <f aca="false">X715+Z715</f>
        <v>44.021516293943</v>
      </c>
      <c r="AC715" s="54" t="b">
        <f aca="false">AND(E715&gt;=01_因子設定!$L$5-0.000000001,E715&lt;=01_因子設定!$M$5+0.000000001,F715&gt;=01_因子設定!$L$6-0.000000001,F715&lt;=01_因子設定!$M$6+0.000000001,G715&gt;=01_因子設定!$L$7-0.000000001,G715&lt;=01_因子設定!$M$7+0.000000001,H715&gt;=01_因子設定!$L$8-0.000000001,H715&lt;=01_因子設定!$M$8+0.000000001,IF(01_因子設定!$B$20="Box-Behnken",E715^2+F715^2+G715^2+H715^2&lt;=2+0.000000001,TRUE()))</f>
        <v>1</v>
      </c>
      <c r="AD715" s="55" t="n">
        <f aca="false">IF(AC715,IF(01_因子設定!$B$13="最大化",AA715-01_因子設定!$B$14,IF(01_因子設定!$B$13="最小化",01_因子設定!$B$15-AB715,MIN(AA715-01_因子設定!$B$14,01_因子設定!$B$15-AB715))),-1E+030)</f>
        <v>-5.84446951031713</v>
      </c>
      <c r="AE715" s="55" t="n">
        <f aca="false">IF(AC715,IF(01_因子設定!$B$13="最大化",X715,IF(01_因子設定!$B$13="最小化",-X715,-ABS(X715-01_因子設定!$B$16))),-1E+030)</f>
        <v>42.3385233918129</v>
      </c>
      <c r="AF715" s="55" t="n">
        <f aca="false">AD715+ROW()*0.000000001</f>
        <v>-5.84446879531713</v>
      </c>
      <c r="AG715" s="55" t="n">
        <f aca="false">AE715+ROW()*0.000000001</f>
        <v>42.3385241068129</v>
      </c>
    </row>
    <row r="716" customFormat="false" ht="15" hidden="false" customHeight="false" outlineLevel="0" collapsed="false">
      <c r="A716" s="0" t="n">
        <v>0</v>
      </c>
      <c r="B716" s="0" t="n">
        <v>8</v>
      </c>
      <c r="C716" s="0" t="n">
        <v>7</v>
      </c>
      <c r="D716" s="0" t="n">
        <v>0</v>
      </c>
      <c r="E716" s="0" t="n">
        <f aca="false">-1+A716*0.25</f>
        <v>-1</v>
      </c>
      <c r="F716" s="0" t="n">
        <f aca="false">-1+B716*0.25</f>
        <v>1</v>
      </c>
      <c r="G716" s="0" t="n">
        <f aca="false">-1+C716*0.25</f>
        <v>0.75</v>
      </c>
      <c r="H716" s="0" t="n">
        <f aca="false">-1+D716*0.25</f>
        <v>-1</v>
      </c>
      <c r="I716" s="0" t="n">
        <f aca="false">1</f>
        <v>1</v>
      </c>
      <c r="J716" s="0" t="n">
        <f aca="false">E716</f>
        <v>-1</v>
      </c>
      <c r="K716" s="0" t="n">
        <f aca="false">F716</f>
        <v>1</v>
      </c>
      <c r="L716" s="0" t="n">
        <f aca="false">G716</f>
        <v>0.75</v>
      </c>
      <c r="M716" s="0" t="n">
        <f aca="false">H716</f>
        <v>-1</v>
      </c>
      <c r="N716" s="0" t="n">
        <f aca="false">E716*F716</f>
        <v>-1</v>
      </c>
      <c r="O716" s="0" t="n">
        <f aca="false">E716*G716</f>
        <v>-0.75</v>
      </c>
      <c r="P716" s="0" t="n">
        <f aca="false">E716*H716</f>
        <v>1</v>
      </c>
      <c r="Q716" s="0" t="n">
        <f aca="false">F716*G716</f>
        <v>0.75</v>
      </c>
      <c r="R716" s="0" t="n">
        <f aca="false">F716*H716</f>
        <v>-1</v>
      </c>
      <c r="S716" s="0" t="n">
        <f aca="false">G716*H716</f>
        <v>-0.75</v>
      </c>
      <c r="T716" s="0" t="n">
        <f aca="false">E716*E716</f>
        <v>1</v>
      </c>
      <c r="U716" s="0" t="n">
        <f aca="false">F716*F716</f>
        <v>1</v>
      </c>
      <c r="V716" s="0" t="n">
        <f aca="false">G716*G716</f>
        <v>0.5625</v>
      </c>
      <c r="W716" s="0" t="n">
        <f aca="false">H716*H716</f>
        <v>1</v>
      </c>
      <c r="X716" s="0" t="n">
        <f aca="false">SUMPRODUCT(I716:W716,_XtX!$B$96:$P$96)</f>
        <v>42.1162280701755</v>
      </c>
      <c r="Y716" s="0" t="n">
        <f aca="false">SUMPRODUCT(MMULT(I716:W716,_XtX!$B$78:$P$92),I716:W716)</f>
        <v>0.610814144736842</v>
      </c>
      <c r="Z716" s="0" t="n">
        <f aca="false">04_回帰ANOVA!$K$19*04_回帰ANOVA!$K$14*SQRT(1+Y716)</f>
        <v>1.6543260558361</v>
      </c>
      <c r="AA716" s="0" t="n">
        <f aca="false">X716-Z716</f>
        <v>40.4619020143394</v>
      </c>
      <c r="AB716" s="0" t="n">
        <f aca="false">X716+Z716</f>
        <v>43.7705541260116</v>
      </c>
      <c r="AC716" s="54" t="b">
        <f aca="false">AND(E716&gt;=01_因子設定!$L$5-0.000000001,E716&lt;=01_因子設定!$M$5+0.000000001,F716&gt;=01_因子設定!$L$6-0.000000001,F716&lt;=01_因子設定!$M$6+0.000000001,G716&gt;=01_因子設定!$L$7-0.000000001,G716&lt;=01_因子設定!$M$7+0.000000001,H716&gt;=01_因子設定!$L$8-0.000000001,H716&lt;=01_因子設定!$M$8+0.000000001,IF(01_因子設定!$B$20="Box-Behnken",E716^2+F716^2+G716^2+H716^2&lt;=2+0.000000001,TRUE()))</f>
        <v>1</v>
      </c>
      <c r="AD716" s="55" t="n">
        <f aca="false">IF(AC716,IF(01_因子設定!$B$13="最大化",AA716-01_因子設定!$B$14,IF(01_因子設定!$B$13="最小化",01_因子設定!$B$15-AB716,MIN(AA716-01_因子設定!$B$14,01_因子設定!$B$15-AB716))),-1E+030)</f>
        <v>-6.03809798566059</v>
      </c>
      <c r="AE716" s="55" t="n">
        <f aca="false">IF(AC716,IF(01_因子設定!$B$13="最大化",X716,IF(01_因子設定!$B$13="最小化",-X716,-ABS(X716-01_因子設定!$B$16))),-1E+030)</f>
        <v>42.1162280701755</v>
      </c>
      <c r="AF716" s="55" t="n">
        <f aca="false">AD716+ROW()*0.000000001</f>
        <v>-6.03809726966059</v>
      </c>
      <c r="AG716" s="55" t="n">
        <f aca="false">AE716+ROW()*0.000000001</f>
        <v>42.1162287861755</v>
      </c>
    </row>
    <row r="717" customFormat="false" ht="15" hidden="false" customHeight="false" outlineLevel="0" collapsed="false">
      <c r="A717" s="0" t="n">
        <v>0</v>
      </c>
      <c r="B717" s="0" t="n">
        <v>8</v>
      </c>
      <c r="C717" s="0" t="n">
        <v>7</v>
      </c>
      <c r="D717" s="0" t="n">
        <v>1</v>
      </c>
      <c r="E717" s="0" t="n">
        <f aca="false">-1+A717*0.25</f>
        <v>-1</v>
      </c>
      <c r="F717" s="0" t="n">
        <f aca="false">-1+B717*0.25</f>
        <v>1</v>
      </c>
      <c r="G717" s="0" t="n">
        <f aca="false">-1+C717*0.25</f>
        <v>0.75</v>
      </c>
      <c r="H717" s="0" t="n">
        <f aca="false">-1+D717*0.25</f>
        <v>-0.75</v>
      </c>
      <c r="I717" s="0" t="n">
        <f aca="false">1</f>
        <v>1</v>
      </c>
      <c r="J717" s="0" t="n">
        <f aca="false">E717</f>
        <v>-1</v>
      </c>
      <c r="K717" s="0" t="n">
        <f aca="false">F717</f>
        <v>1</v>
      </c>
      <c r="L717" s="0" t="n">
        <f aca="false">G717</f>
        <v>0.75</v>
      </c>
      <c r="M717" s="0" t="n">
        <f aca="false">H717</f>
        <v>-0.75</v>
      </c>
      <c r="N717" s="0" t="n">
        <f aca="false">E717*F717</f>
        <v>-1</v>
      </c>
      <c r="O717" s="0" t="n">
        <f aca="false">E717*G717</f>
        <v>-0.75</v>
      </c>
      <c r="P717" s="0" t="n">
        <f aca="false">E717*H717</f>
        <v>0.75</v>
      </c>
      <c r="Q717" s="0" t="n">
        <f aca="false">F717*G717</f>
        <v>0.75</v>
      </c>
      <c r="R717" s="0" t="n">
        <f aca="false">F717*H717</f>
        <v>-0.75</v>
      </c>
      <c r="S717" s="0" t="n">
        <f aca="false">G717*H717</f>
        <v>-0.5625</v>
      </c>
      <c r="T717" s="0" t="n">
        <f aca="false">E717*E717</f>
        <v>1</v>
      </c>
      <c r="U717" s="0" t="n">
        <f aca="false">F717*F717</f>
        <v>1</v>
      </c>
      <c r="V717" s="0" t="n">
        <f aca="false">G717*G717</f>
        <v>0.5625</v>
      </c>
      <c r="W717" s="0" t="n">
        <f aca="false">H717*H717</f>
        <v>0.5625</v>
      </c>
      <c r="X717" s="0" t="n">
        <f aca="false">SUMPRODUCT(I717:W717,_XtX!$B$96:$P$96)</f>
        <v>42.3544727704679</v>
      </c>
      <c r="Y717" s="0" t="n">
        <f aca="false">SUMPRODUCT(MMULT(I717:W717,_XtX!$B$78:$P$92),I717:W717)</f>
        <v>0.531311392086988</v>
      </c>
      <c r="Z717" s="0" t="n">
        <f aca="false">04_回帰ANOVA!$K$19*04_回帰ANOVA!$K$14*SQRT(1+Y717)</f>
        <v>1.61298433431428</v>
      </c>
      <c r="AA717" s="0" t="n">
        <f aca="false">X717-Z717</f>
        <v>40.7414884361536</v>
      </c>
      <c r="AB717" s="0" t="n">
        <f aca="false">X717+Z717</f>
        <v>43.9674571047822</v>
      </c>
      <c r="AC717" s="54" t="b">
        <f aca="false">AND(E717&gt;=01_因子設定!$L$5-0.000000001,E717&lt;=01_因子設定!$M$5+0.000000001,F717&gt;=01_因子設定!$L$6-0.000000001,F717&lt;=01_因子設定!$M$6+0.000000001,G717&gt;=01_因子設定!$L$7-0.000000001,G717&lt;=01_因子設定!$M$7+0.000000001,H717&gt;=01_因子設定!$L$8-0.000000001,H717&lt;=01_因子設定!$M$8+0.000000001,IF(01_因子設定!$B$20="Box-Behnken",E717^2+F717^2+G717^2+H717^2&lt;=2+0.000000001,TRUE()))</f>
        <v>1</v>
      </c>
      <c r="AD717" s="55" t="n">
        <f aca="false">IF(AC717,IF(01_因子設定!$B$13="最大化",AA717-01_因子設定!$B$14,IF(01_因子設定!$B$13="最小化",01_因子設定!$B$15-AB717,MIN(AA717-01_因子設定!$B$14,01_因子設定!$B$15-AB717))),-1E+030)</f>
        <v>-5.7585115638464</v>
      </c>
      <c r="AE717" s="55" t="n">
        <f aca="false">IF(AC717,IF(01_因子設定!$B$13="最大化",X717,IF(01_因子設定!$B$13="最小化",-X717,-ABS(X717-01_因子設定!$B$16))),-1E+030)</f>
        <v>42.3544727704679</v>
      </c>
      <c r="AF717" s="55" t="n">
        <f aca="false">AD717+ROW()*0.000000001</f>
        <v>-5.7585108468464</v>
      </c>
      <c r="AG717" s="55" t="n">
        <f aca="false">AE717+ROW()*0.000000001</f>
        <v>42.3544734874679</v>
      </c>
    </row>
    <row r="718" customFormat="false" ht="15" hidden="false" customHeight="false" outlineLevel="0" collapsed="false">
      <c r="A718" s="0" t="n">
        <v>0</v>
      </c>
      <c r="B718" s="0" t="n">
        <v>8</v>
      </c>
      <c r="C718" s="0" t="n">
        <v>7</v>
      </c>
      <c r="D718" s="0" t="n">
        <v>2</v>
      </c>
      <c r="E718" s="0" t="n">
        <f aca="false">-1+A718*0.25</f>
        <v>-1</v>
      </c>
      <c r="F718" s="0" t="n">
        <f aca="false">-1+B718*0.25</f>
        <v>1</v>
      </c>
      <c r="G718" s="0" t="n">
        <f aca="false">-1+C718*0.25</f>
        <v>0.75</v>
      </c>
      <c r="H718" s="0" t="n">
        <f aca="false">-1+D718*0.25</f>
        <v>-0.5</v>
      </c>
      <c r="I718" s="0" t="n">
        <f aca="false">1</f>
        <v>1</v>
      </c>
      <c r="J718" s="0" t="n">
        <f aca="false">E718</f>
        <v>-1</v>
      </c>
      <c r="K718" s="0" t="n">
        <f aca="false">F718</f>
        <v>1</v>
      </c>
      <c r="L718" s="0" t="n">
        <f aca="false">G718</f>
        <v>0.75</v>
      </c>
      <c r="M718" s="0" t="n">
        <f aca="false">H718</f>
        <v>-0.5</v>
      </c>
      <c r="N718" s="0" t="n">
        <f aca="false">E718*F718</f>
        <v>-1</v>
      </c>
      <c r="O718" s="0" t="n">
        <f aca="false">E718*G718</f>
        <v>-0.75</v>
      </c>
      <c r="P718" s="0" t="n">
        <f aca="false">E718*H718</f>
        <v>0.5</v>
      </c>
      <c r="Q718" s="0" t="n">
        <f aca="false">F718*G718</f>
        <v>0.75</v>
      </c>
      <c r="R718" s="0" t="n">
        <f aca="false">F718*H718</f>
        <v>-0.5</v>
      </c>
      <c r="S718" s="0" t="n">
        <f aca="false">G718*H718</f>
        <v>-0.375</v>
      </c>
      <c r="T718" s="0" t="n">
        <f aca="false">E718*E718</f>
        <v>1</v>
      </c>
      <c r="U718" s="0" t="n">
        <f aca="false">F718*F718</f>
        <v>1</v>
      </c>
      <c r="V718" s="0" t="n">
        <f aca="false">G718*G718</f>
        <v>0.5625</v>
      </c>
      <c r="W718" s="0" t="n">
        <f aca="false">H718*H718</f>
        <v>0.25</v>
      </c>
      <c r="X718" s="0" t="n">
        <f aca="false">SUMPRODUCT(I718:W718,_XtX!$B$96:$P$96)</f>
        <v>42.5449104532164</v>
      </c>
      <c r="Y718" s="0" t="n">
        <f aca="false">SUMPRODUCT(MMULT(I718:W718,_XtX!$B$78:$P$92),I718:W718)</f>
        <v>0.564984237938597</v>
      </c>
      <c r="Z718" s="0" t="n">
        <f aca="false">04_回帰ANOVA!$K$19*04_回帰ANOVA!$K$14*SQRT(1+Y718)</f>
        <v>1.63062229734503</v>
      </c>
      <c r="AA718" s="0" t="n">
        <f aca="false">X718-Z718</f>
        <v>40.9142881558714</v>
      </c>
      <c r="AB718" s="0" t="n">
        <f aca="false">X718+Z718</f>
        <v>44.1755327505614</v>
      </c>
      <c r="AC718" s="54" t="b">
        <f aca="false">AND(E718&gt;=01_因子設定!$L$5-0.000000001,E718&lt;=01_因子設定!$M$5+0.000000001,F718&gt;=01_因子設定!$L$6-0.000000001,F718&lt;=01_因子設定!$M$6+0.000000001,G718&gt;=01_因子設定!$L$7-0.000000001,G718&lt;=01_因子設定!$M$7+0.000000001,H718&gt;=01_因子設定!$L$8-0.000000001,H718&lt;=01_因子設定!$M$8+0.000000001,IF(01_因子設定!$B$20="Box-Behnken",E718^2+F718^2+G718^2+H718^2&lt;=2+0.000000001,TRUE()))</f>
        <v>1</v>
      </c>
      <c r="AD718" s="55" t="n">
        <f aca="false">IF(AC718,IF(01_因子設定!$B$13="最大化",AA718-01_因子設定!$B$14,IF(01_因子設定!$B$13="最小化",01_因子設定!$B$15-AB718,MIN(AA718-01_因子設定!$B$14,01_因子設定!$B$15-AB718))),-1E+030)</f>
        <v>-5.58571184412863</v>
      </c>
      <c r="AE718" s="55" t="n">
        <f aca="false">IF(AC718,IF(01_因子設定!$B$13="最大化",X718,IF(01_因子設定!$B$13="最小化",-X718,-ABS(X718-01_因子設定!$B$16))),-1E+030)</f>
        <v>42.5449104532164</v>
      </c>
      <c r="AF718" s="55" t="n">
        <f aca="false">AD718+ROW()*0.000000001</f>
        <v>-5.58571112612863</v>
      </c>
      <c r="AG718" s="55" t="n">
        <f aca="false">AE718+ROW()*0.000000001</f>
        <v>42.5449111712164</v>
      </c>
    </row>
    <row r="719" customFormat="false" ht="15" hidden="false" customHeight="false" outlineLevel="0" collapsed="false">
      <c r="A719" s="0" t="n">
        <v>0</v>
      </c>
      <c r="B719" s="0" t="n">
        <v>8</v>
      </c>
      <c r="C719" s="0" t="n">
        <v>7</v>
      </c>
      <c r="D719" s="0" t="n">
        <v>3</v>
      </c>
      <c r="E719" s="0" t="n">
        <f aca="false">-1+A719*0.25</f>
        <v>-1</v>
      </c>
      <c r="F719" s="0" t="n">
        <f aca="false">-1+B719*0.25</f>
        <v>1</v>
      </c>
      <c r="G719" s="0" t="n">
        <f aca="false">-1+C719*0.25</f>
        <v>0.75</v>
      </c>
      <c r="H719" s="0" t="n">
        <f aca="false">-1+D719*0.25</f>
        <v>-0.25</v>
      </c>
      <c r="I719" s="0" t="n">
        <f aca="false">1</f>
        <v>1</v>
      </c>
      <c r="J719" s="0" t="n">
        <f aca="false">E719</f>
        <v>-1</v>
      </c>
      <c r="K719" s="0" t="n">
        <f aca="false">F719</f>
        <v>1</v>
      </c>
      <c r="L719" s="0" t="n">
        <f aca="false">G719</f>
        <v>0.75</v>
      </c>
      <c r="M719" s="0" t="n">
        <f aca="false">H719</f>
        <v>-0.25</v>
      </c>
      <c r="N719" s="0" t="n">
        <f aca="false">E719*F719</f>
        <v>-1</v>
      </c>
      <c r="O719" s="0" t="n">
        <f aca="false">E719*G719</f>
        <v>-0.75</v>
      </c>
      <c r="P719" s="0" t="n">
        <f aca="false">E719*H719</f>
        <v>0.25</v>
      </c>
      <c r="Q719" s="0" t="n">
        <f aca="false">F719*G719</f>
        <v>0.75</v>
      </c>
      <c r="R719" s="0" t="n">
        <f aca="false">F719*H719</f>
        <v>-0.25</v>
      </c>
      <c r="S719" s="0" t="n">
        <f aca="false">G719*H719</f>
        <v>-0.1875</v>
      </c>
      <c r="T719" s="0" t="n">
        <f aca="false">E719*E719</f>
        <v>1</v>
      </c>
      <c r="U719" s="0" t="n">
        <f aca="false">F719*F719</f>
        <v>1</v>
      </c>
      <c r="V719" s="0" t="n">
        <f aca="false">G719*G719</f>
        <v>0.5625</v>
      </c>
      <c r="W719" s="0" t="n">
        <f aca="false">H719*H719</f>
        <v>0.0625</v>
      </c>
      <c r="X719" s="0" t="n">
        <f aca="false">SUMPRODUCT(I719:W719,_XtX!$B$96:$P$96)</f>
        <v>42.6875411184211</v>
      </c>
      <c r="Y719" s="0" t="n">
        <f aca="false">SUMPRODUCT(MMULT(I719:W719,_XtX!$B$78:$P$92),I719:W719)</f>
        <v>0.621372155975877</v>
      </c>
      <c r="Z719" s="0" t="n">
        <f aca="false">04_回帰ANOVA!$K$19*04_回帰ANOVA!$K$14*SQRT(1+Y719)</f>
        <v>1.65973880499872</v>
      </c>
      <c r="AA719" s="0" t="n">
        <f aca="false">X719-Z719</f>
        <v>41.0278023134224</v>
      </c>
      <c r="AB719" s="0" t="n">
        <f aca="false">X719+Z719</f>
        <v>44.3472799234198</v>
      </c>
      <c r="AC719" s="54" t="b">
        <f aca="false">AND(E719&gt;=01_因子設定!$L$5-0.000000001,E719&lt;=01_因子設定!$M$5+0.000000001,F719&gt;=01_因子設定!$L$6-0.000000001,F719&lt;=01_因子設定!$M$6+0.000000001,G719&gt;=01_因子設定!$L$7-0.000000001,G719&lt;=01_因子設定!$M$7+0.000000001,H719&gt;=01_因子設定!$L$8-0.000000001,H719&lt;=01_因子設定!$M$8+0.000000001,IF(01_因子設定!$B$20="Box-Behnken",E719^2+F719^2+G719^2+H719^2&lt;=2+0.000000001,TRUE()))</f>
        <v>1</v>
      </c>
      <c r="AD719" s="55" t="n">
        <f aca="false">IF(AC719,IF(01_因子設定!$B$13="最大化",AA719-01_因子設定!$B$14,IF(01_因子設定!$B$13="最小化",01_因子設定!$B$15-AB719,MIN(AA719-01_因子設定!$B$14,01_因子設定!$B$15-AB719))),-1E+030)</f>
        <v>-5.47219768657764</v>
      </c>
      <c r="AE719" s="55" t="n">
        <f aca="false">IF(AC719,IF(01_因子設定!$B$13="最大化",X719,IF(01_因子設定!$B$13="最小化",-X719,-ABS(X719-01_因子設定!$B$16))),-1E+030)</f>
        <v>42.6875411184211</v>
      </c>
      <c r="AF719" s="55" t="n">
        <f aca="false">AD719+ROW()*0.000000001</f>
        <v>-5.47219696757764</v>
      </c>
      <c r="AG719" s="55" t="n">
        <f aca="false">AE719+ROW()*0.000000001</f>
        <v>42.6875418374211</v>
      </c>
    </row>
    <row r="720" customFormat="false" ht="15" hidden="false" customHeight="false" outlineLevel="0" collapsed="false">
      <c r="A720" s="0" t="n">
        <v>0</v>
      </c>
      <c r="B720" s="0" t="n">
        <v>8</v>
      </c>
      <c r="C720" s="0" t="n">
        <v>7</v>
      </c>
      <c r="D720" s="0" t="n">
        <v>4</v>
      </c>
      <c r="E720" s="0" t="n">
        <f aca="false">-1+A720*0.25</f>
        <v>-1</v>
      </c>
      <c r="F720" s="0" t="n">
        <f aca="false">-1+B720*0.25</f>
        <v>1</v>
      </c>
      <c r="G720" s="0" t="n">
        <f aca="false">-1+C720*0.25</f>
        <v>0.75</v>
      </c>
      <c r="H720" s="0" t="n">
        <f aca="false">-1+D720*0.25</f>
        <v>0</v>
      </c>
      <c r="I720" s="0" t="n">
        <f aca="false">1</f>
        <v>1</v>
      </c>
      <c r="J720" s="0" t="n">
        <f aca="false">E720</f>
        <v>-1</v>
      </c>
      <c r="K720" s="0" t="n">
        <f aca="false">F720</f>
        <v>1</v>
      </c>
      <c r="L720" s="0" t="n">
        <f aca="false">G720</f>
        <v>0.75</v>
      </c>
      <c r="M720" s="0" t="n">
        <f aca="false">H720</f>
        <v>0</v>
      </c>
      <c r="N720" s="0" t="n">
        <f aca="false">E720*F720</f>
        <v>-1</v>
      </c>
      <c r="O720" s="0" t="n">
        <f aca="false">E720*G720</f>
        <v>-0.75</v>
      </c>
      <c r="P720" s="0" t="n">
        <f aca="false">E720*H720</f>
        <v>-0</v>
      </c>
      <c r="Q720" s="0" t="n">
        <f aca="false">F720*G720</f>
        <v>0.75</v>
      </c>
      <c r="R720" s="0" t="n">
        <f aca="false">F720*H720</f>
        <v>0</v>
      </c>
      <c r="S720" s="0" t="n">
        <f aca="false">G720*H720</f>
        <v>0</v>
      </c>
      <c r="T720" s="0" t="n">
        <f aca="false">E720*E720</f>
        <v>1</v>
      </c>
      <c r="U720" s="0" t="n">
        <f aca="false">F720*F720</f>
        <v>1</v>
      </c>
      <c r="V720" s="0" t="n">
        <f aca="false">G720*G720</f>
        <v>0.5625</v>
      </c>
      <c r="W720" s="0" t="n">
        <f aca="false">H720*H720</f>
        <v>0</v>
      </c>
      <c r="X720" s="0" t="n">
        <f aca="false">SUMPRODUCT(I720:W720,_XtX!$B$96:$P$96)</f>
        <v>42.7823647660819</v>
      </c>
      <c r="Y720" s="0" t="n">
        <f aca="false">SUMPRODUCT(MMULT(I720:W720,_XtX!$B$78:$P$92),I720:W720)</f>
        <v>0.646198830409357</v>
      </c>
      <c r="Z720" s="0" t="n">
        <f aca="false">04_回帰ANOVA!$K$19*04_回帰ANOVA!$K$14*SQRT(1+Y720)</f>
        <v>1.67239760569756</v>
      </c>
      <c r="AA720" s="0" t="n">
        <f aca="false">X720-Z720</f>
        <v>41.1099671603843</v>
      </c>
      <c r="AB720" s="0" t="n">
        <f aca="false">X720+Z720</f>
        <v>44.4547623717795</v>
      </c>
      <c r="AC720" s="54" t="b">
        <f aca="false">AND(E720&gt;=01_因子設定!$L$5-0.000000001,E720&lt;=01_因子設定!$M$5+0.000000001,F720&gt;=01_因子設定!$L$6-0.000000001,F720&lt;=01_因子設定!$M$6+0.000000001,G720&gt;=01_因子設定!$L$7-0.000000001,G720&lt;=01_因子設定!$M$7+0.000000001,H720&gt;=01_因子設定!$L$8-0.000000001,H720&lt;=01_因子設定!$M$8+0.000000001,IF(01_因子設定!$B$20="Box-Behnken",E720^2+F720^2+G720^2+H720^2&lt;=2+0.000000001,TRUE()))</f>
        <v>1</v>
      </c>
      <c r="AD720" s="55" t="n">
        <f aca="false">IF(AC720,IF(01_因子設定!$B$13="最大化",AA720-01_因子設定!$B$14,IF(01_因子設定!$B$13="最小化",01_因子設定!$B$15-AB720,MIN(AA720-01_因子設定!$B$14,01_因子設定!$B$15-AB720))),-1E+030)</f>
        <v>-5.39003283961566</v>
      </c>
      <c r="AE720" s="55" t="n">
        <f aca="false">IF(AC720,IF(01_因子設定!$B$13="最大化",X720,IF(01_因子設定!$B$13="最小化",-X720,-ABS(X720-01_因子設定!$B$16))),-1E+030)</f>
        <v>42.7823647660819</v>
      </c>
      <c r="AF720" s="55" t="n">
        <f aca="false">AD720+ROW()*0.000000001</f>
        <v>-5.39003211961566</v>
      </c>
      <c r="AG720" s="55" t="n">
        <f aca="false">AE720+ROW()*0.000000001</f>
        <v>42.7823654860819</v>
      </c>
    </row>
    <row r="721" customFormat="false" ht="15" hidden="false" customHeight="false" outlineLevel="0" collapsed="false">
      <c r="A721" s="0" t="n">
        <v>0</v>
      </c>
      <c r="B721" s="0" t="n">
        <v>8</v>
      </c>
      <c r="C721" s="0" t="n">
        <v>7</v>
      </c>
      <c r="D721" s="0" t="n">
        <v>5</v>
      </c>
      <c r="E721" s="0" t="n">
        <f aca="false">-1+A721*0.25</f>
        <v>-1</v>
      </c>
      <c r="F721" s="0" t="n">
        <f aca="false">-1+B721*0.25</f>
        <v>1</v>
      </c>
      <c r="G721" s="0" t="n">
        <f aca="false">-1+C721*0.25</f>
        <v>0.75</v>
      </c>
      <c r="H721" s="0" t="n">
        <f aca="false">-1+D721*0.25</f>
        <v>0.25</v>
      </c>
      <c r="I721" s="0" t="n">
        <f aca="false">1</f>
        <v>1</v>
      </c>
      <c r="J721" s="0" t="n">
        <f aca="false">E721</f>
        <v>-1</v>
      </c>
      <c r="K721" s="0" t="n">
        <f aca="false">F721</f>
        <v>1</v>
      </c>
      <c r="L721" s="0" t="n">
        <f aca="false">G721</f>
        <v>0.75</v>
      </c>
      <c r="M721" s="0" t="n">
        <f aca="false">H721</f>
        <v>0.25</v>
      </c>
      <c r="N721" s="0" t="n">
        <f aca="false">E721*F721</f>
        <v>-1</v>
      </c>
      <c r="O721" s="0" t="n">
        <f aca="false">E721*G721</f>
        <v>-0.75</v>
      </c>
      <c r="P721" s="0" t="n">
        <f aca="false">E721*H721</f>
        <v>-0.25</v>
      </c>
      <c r="Q721" s="0" t="n">
        <f aca="false">F721*G721</f>
        <v>0.75</v>
      </c>
      <c r="R721" s="0" t="n">
        <f aca="false">F721*H721</f>
        <v>0.25</v>
      </c>
      <c r="S721" s="0" t="n">
        <f aca="false">G721*H721</f>
        <v>0.1875</v>
      </c>
      <c r="T721" s="0" t="n">
        <f aca="false">E721*E721</f>
        <v>1</v>
      </c>
      <c r="U721" s="0" t="n">
        <f aca="false">F721*F721</f>
        <v>1</v>
      </c>
      <c r="V721" s="0" t="n">
        <f aca="false">G721*G721</f>
        <v>0.5625</v>
      </c>
      <c r="W721" s="0" t="n">
        <f aca="false">H721*H721</f>
        <v>0.0625</v>
      </c>
      <c r="X721" s="0" t="n">
        <f aca="false">SUMPRODUCT(I721:W721,_XtX!$B$96:$P$96)</f>
        <v>42.8293813961989</v>
      </c>
      <c r="Y721" s="0" t="n">
        <f aca="false">SUMPRODUCT(MMULT(I721:W721,_XtX!$B$78:$P$92),I721:W721)</f>
        <v>0.621372155975877</v>
      </c>
      <c r="Z721" s="0" t="n">
        <f aca="false">04_回帰ANOVA!$K$19*04_回帰ANOVA!$K$14*SQRT(1+Y721)</f>
        <v>1.65973880499872</v>
      </c>
      <c r="AA721" s="0" t="n">
        <f aca="false">X721-Z721</f>
        <v>41.1696425912001</v>
      </c>
      <c r="AB721" s="0" t="n">
        <f aca="false">X721+Z721</f>
        <v>44.4891202011976</v>
      </c>
      <c r="AC721" s="54" t="b">
        <f aca="false">AND(E721&gt;=01_因子設定!$L$5-0.000000001,E721&lt;=01_因子設定!$M$5+0.000000001,F721&gt;=01_因子設定!$L$6-0.000000001,F721&lt;=01_因子設定!$M$6+0.000000001,G721&gt;=01_因子設定!$L$7-0.000000001,G721&lt;=01_因子設定!$M$7+0.000000001,H721&gt;=01_因子設定!$L$8-0.000000001,H721&lt;=01_因子設定!$M$8+0.000000001,IF(01_因子設定!$B$20="Box-Behnken",E721^2+F721^2+G721^2+H721^2&lt;=2+0.000000001,TRUE()))</f>
        <v>1</v>
      </c>
      <c r="AD721" s="55" t="n">
        <f aca="false">IF(AC721,IF(01_因子設定!$B$13="最大化",AA721-01_因子設定!$B$14,IF(01_因子設定!$B$13="最小化",01_因子設定!$B$15-AB721,MIN(AA721-01_因子設定!$B$14,01_因子設定!$B$15-AB721))),-1E+030)</f>
        <v>-5.33035740879986</v>
      </c>
      <c r="AE721" s="55" t="n">
        <f aca="false">IF(AC721,IF(01_因子設定!$B$13="最大化",X721,IF(01_因子設定!$B$13="最小化",-X721,-ABS(X721-01_因子設定!$B$16))),-1E+030)</f>
        <v>42.8293813961989</v>
      </c>
      <c r="AF721" s="55" t="n">
        <f aca="false">AD721+ROW()*0.000000001</f>
        <v>-5.33035668779986</v>
      </c>
      <c r="AG721" s="55" t="n">
        <f aca="false">AE721+ROW()*0.000000001</f>
        <v>42.8293821171989</v>
      </c>
    </row>
    <row r="722" customFormat="false" ht="15" hidden="false" customHeight="false" outlineLevel="0" collapsed="false">
      <c r="A722" s="0" t="n">
        <v>0</v>
      </c>
      <c r="B722" s="0" t="n">
        <v>8</v>
      </c>
      <c r="C722" s="0" t="n">
        <v>7</v>
      </c>
      <c r="D722" s="0" t="n">
        <v>6</v>
      </c>
      <c r="E722" s="0" t="n">
        <f aca="false">-1+A722*0.25</f>
        <v>-1</v>
      </c>
      <c r="F722" s="0" t="n">
        <f aca="false">-1+B722*0.25</f>
        <v>1</v>
      </c>
      <c r="G722" s="0" t="n">
        <f aca="false">-1+C722*0.25</f>
        <v>0.75</v>
      </c>
      <c r="H722" s="0" t="n">
        <f aca="false">-1+D722*0.25</f>
        <v>0.5</v>
      </c>
      <c r="I722" s="0" t="n">
        <f aca="false">1</f>
        <v>1</v>
      </c>
      <c r="J722" s="0" t="n">
        <f aca="false">E722</f>
        <v>-1</v>
      </c>
      <c r="K722" s="0" t="n">
        <f aca="false">F722</f>
        <v>1</v>
      </c>
      <c r="L722" s="0" t="n">
        <f aca="false">G722</f>
        <v>0.75</v>
      </c>
      <c r="M722" s="0" t="n">
        <f aca="false">H722</f>
        <v>0.5</v>
      </c>
      <c r="N722" s="0" t="n">
        <f aca="false">E722*F722</f>
        <v>-1</v>
      </c>
      <c r="O722" s="0" t="n">
        <f aca="false">E722*G722</f>
        <v>-0.75</v>
      </c>
      <c r="P722" s="0" t="n">
        <f aca="false">E722*H722</f>
        <v>-0.5</v>
      </c>
      <c r="Q722" s="0" t="n">
        <f aca="false">F722*G722</f>
        <v>0.75</v>
      </c>
      <c r="R722" s="0" t="n">
        <f aca="false">F722*H722</f>
        <v>0.5</v>
      </c>
      <c r="S722" s="0" t="n">
        <f aca="false">G722*H722</f>
        <v>0.375</v>
      </c>
      <c r="T722" s="0" t="n">
        <f aca="false">E722*E722</f>
        <v>1</v>
      </c>
      <c r="U722" s="0" t="n">
        <f aca="false">F722*F722</f>
        <v>1</v>
      </c>
      <c r="V722" s="0" t="n">
        <f aca="false">G722*G722</f>
        <v>0.5625</v>
      </c>
      <c r="W722" s="0" t="n">
        <f aca="false">H722*H722</f>
        <v>0.25</v>
      </c>
      <c r="X722" s="0" t="n">
        <f aca="false">SUMPRODUCT(I722:W722,_XtX!$B$96:$P$96)</f>
        <v>42.828591008772</v>
      </c>
      <c r="Y722" s="0" t="n">
        <f aca="false">SUMPRODUCT(MMULT(I722:W722,_XtX!$B$78:$P$92),I722:W722)</f>
        <v>0.564984237938597</v>
      </c>
      <c r="Z722" s="0" t="n">
        <f aca="false">04_回帰ANOVA!$K$19*04_回帰ANOVA!$K$14*SQRT(1+Y722)</f>
        <v>1.63062229734503</v>
      </c>
      <c r="AA722" s="0" t="n">
        <f aca="false">X722-Z722</f>
        <v>41.1979687114269</v>
      </c>
      <c r="AB722" s="0" t="n">
        <f aca="false">X722+Z722</f>
        <v>44.459213306117</v>
      </c>
      <c r="AC722" s="54" t="b">
        <f aca="false">AND(E722&gt;=01_因子設定!$L$5-0.000000001,E722&lt;=01_因子設定!$M$5+0.000000001,F722&gt;=01_因子設定!$L$6-0.000000001,F722&lt;=01_因子設定!$M$6+0.000000001,G722&gt;=01_因子設定!$L$7-0.000000001,G722&lt;=01_因子設定!$M$7+0.000000001,H722&gt;=01_因子設定!$L$8-0.000000001,H722&lt;=01_因子設定!$M$8+0.000000001,IF(01_因子設定!$B$20="Box-Behnken",E722^2+F722^2+G722^2+H722^2&lt;=2+0.000000001,TRUE()))</f>
        <v>1</v>
      </c>
      <c r="AD722" s="55" t="n">
        <f aca="false">IF(AC722,IF(01_因子設定!$B$13="最大化",AA722-01_因子設定!$B$14,IF(01_因子設定!$B$13="最小化",01_因子設定!$B$15-AB722,MIN(AA722-01_因子設定!$B$14,01_因子設定!$B$15-AB722))),-1E+030)</f>
        <v>-5.30203128857307</v>
      </c>
      <c r="AE722" s="55" t="n">
        <f aca="false">IF(AC722,IF(01_因子設定!$B$13="最大化",X722,IF(01_因子設定!$B$13="最小化",-X722,-ABS(X722-01_因子設定!$B$16))),-1E+030)</f>
        <v>42.828591008772</v>
      </c>
      <c r="AF722" s="55" t="n">
        <f aca="false">AD722+ROW()*0.000000001</f>
        <v>-5.30203056657307</v>
      </c>
      <c r="AG722" s="55" t="n">
        <f aca="false">AE722+ROW()*0.000000001</f>
        <v>42.828591730772</v>
      </c>
    </row>
    <row r="723" customFormat="false" ht="15" hidden="false" customHeight="false" outlineLevel="0" collapsed="false">
      <c r="A723" s="0" t="n">
        <v>0</v>
      </c>
      <c r="B723" s="0" t="n">
        <v>8</v>
      </c>
      <c r="C723" s="0" t="n">
        <v>7</v>
      </c>
      <c r="D723" s="0" t="n">
        <v>7</v>
      </c>
      <c r="E723" s="0" t="n">
        <f aca="false">-1+A723*0.25</f>
        <v>-1</v>
      </c>
      <c r="F723" s="0" t="n">
        <f aca="false">-1+B723*0.25</f>
        <v>1</v>
      </c>
      <c r="G723" s="0" t="n">
        <f aca="false">-1+C723*0.25</f>
        <v>0.75</v>
      </c>
      <c r="H723" s="0" t="n">
        <f aca="false">-1+D723*0.25</f>
        <v>0.75</v>
      </c>
      <c r="I723" s="0" t="n">
        <f aca="false">1</f>
        <v>1</v>
      </c>
      <c r="J723" s="0" t="n">
        <f aca="false">E723</f>
        <v>-1</v>
      </c>
      <c r="K723" s="0" t="n">
        <f aca="false">F723</f>
        <v>1</v>
      </c>
      <c r="L723" s="0" t="n">
        <f aca="false">G723</f>
        <v>0.75</v>
      </c>
      <c r="M723" s="0" t="n">
        <f aca="false">H723</f>
        <v>0.75</v>
      </c>
      <c r="N723" s="0" t="n">
        <f aca="false">E723*F723</f>
        <v>-1</v>
      </c>
      <c r="O723" s="0" t="n">
        <f aca="false">E723*G723</f>
        <v>-0.75</v>
      </c>
      <c r="P723" s="0" t="n">
        <f aca="false">E723*H723</f>
        <v>-0.75</v>
      </c>
      <c r="Q723" s="0" t="n">
        <f aca="false">F723*G723</f>
        <v>0.75</v>
      </c>
      <c r="R723" s="0" t="n">
        <f aca="false">F723*H723</f>
        <v>0.75</v>
      </c>
      <c r="S723" s="0" t="n">
        <f aca="false">G723*H723</f>
        <v>0.5625</v>
      </c>
      <c r="T723" s="0" t="n">
        <f aca="false">E723*E723</f>
        <v>1</v>
      </c>
      <c r="U723" s="0" t="n">
        <f aca="false">F723*F723</f>
        <v>1</v>
      </c>
      <c r="V723" s="0" t="n">
        <f aca="false">G723*G723</f>
        <v>0.5625</v>
      </c>
      <c r="W723" s="0" t="n">
        <f aca="false">H723*H723</f>
        <v>0.5625</v>
      </c>
      <c r="X723" s="0" t="n">
        <f aca="false">SUMPRODUCT(I723:W723,_XtX!$B$96:$P$96)</f>
        <v>42.7799936038012</v>
      </c>
      <c r="Y723" s="0" t="n">
        <f aca="false">SUMPRODUCT(MMULT(I723:W723,_XtX!$B$78:$P$92),I723:W723)</f>
        <v>0.531311392086988</v>
      </c>
      <c r="Z723" s="0" t="n">
        <f aca="false">04_回帰ANOVA!$K$19*04_回帰ANOVA!$K$14*SQRT(1+Y723)</f>
        <v>1.61298433431428</v>
      </c>
      <c r="AA723" s="0" t="n">
        <f aca="false">X723-Z723</f>
        <v>41.1670092694869</v>
      </c>
      <c r="AB723" s="0" t="n">
        <f aca="false">X723+Z723</f>
        <v>44.3929779381155</v>
      </c>
      <c r="AC723" s="54" t="b">
        <f aca="false">AND(E723&gt;=01_因子設定!$L$5-0.000000001,E723&lt;=01_因子設定!$M$5+0.000000001,F723&gt;=01_因子設定!$L$6-0.000000001,F723&lt;=01_因子設定!$M$6+0.000000001,G723&gt;=01_因子設定!$L$7-0.000000001,G723&lt;=01_因子設定!$M$7+0.000000001,H723&gt;=01_因子設定!$L$8-0.000000001,H723&lt;=01_因子設定!$M$8+0.000000001,IF(01_因子設定!$B$20="Box-Behnken",E723^2+F723^2+G723^2+H723^2&lt;=2+0.000000001,TRUE()))</f>
        <v>1</v>
      </c>
      <c r="AD723" s="55" t="n">
        <f aca="false">IF(AC723,IF(01_因子設定!$B$13="最大化",AA723-01_因子設定!$B$14,IF(01_因子設定!$B$13="最小化",01_因子設定!$B$15-AB723,MIN(AA723-01_因子設定!$B$14,01_因子設定!$B$15-AB723))),-1E+030)</f>
        <v>-5.33299073051307</v>
      </c>
      <c r="AE723" s="55" t="n">
        <f aca="false">IF(AC723,IF(01_因子設定!$B$13="最大化",X723,IF(01_因子設定!$B$13="最小化",-X723,-ABS(X723-01_因子設定!$B$16))),-1E+030)</f>
        <v>42.7799936038012</v>
      </c>
      <c r="AF723" s="55" t="n">
        <f aca="false">AD723+ROW()*0.000000001</f>
        <v>-5.33299000751307</v>
      </c>
      <c r="AG723" s="55" t="n">
        <f aca="false">AE723+ROW()*0.000000001</f>
        <v>42.7799943268012</v>
      </c>
    </row>
    <row r="724" customFormat="false" ht="15" hidden="false" customHeight="false" outlineLevel="0" collapsed="false">
      <c r="A724" s="0" t="n">
        <v>0</v>
      </c>
      <c r="B724" s="0" t="n">
        <v>8</v>
      </c>
      <c r="C724" s="0" t="n">
        <v>7</v>
      </c>
      <c r="D724" s="0" t="n">
        <v>8</v>
      </c>
      <c r="E724" s="0" t="n">
        <f aca="false">-1+A724*0.25</f>
        <v>-1</v>
      </c>
      <c r="F724" s="0" t="n">
        <f aca="false">-1+B724*0.25</f>
        <v>1</v>
      </c>
      <c r="G724" s="0" t="n">
        <f aca="false">-1+C724*0.25</f>
        <v>0.75</v>
      </c>
      <c r="H724" s="0" t="n">
        <f aca="false">-1+D724*0.25</f>
        <v>1</v>
      </c>
      <c r="I724" s="0" t="n">
        <f aca="false">1</f>
        <v>1</v>
      </c>
      <c r="J724" s="0" t="n">
        <f aca="false">E724</f>
        <v>-1</v>
      </c>
      <c r="K724" s="0" t="n">
        <f aca="false">F724</f>
        <v>1</v>
      </c>
      <c r="L724" s="0" t="n">
        <f aca="false">G724</f>
        <v>0.75</v>
      </c>
      <c r="M724" s="0" t="n">
        <f aca="false">H724</f>
        <v>1</v>
      </c>
      <c r="N724" s="0" t="n">
        <f aca="false">E724*F724</f>
        <v>-1</v>
      </c>
      <c r="O724" s="0" t="n">
        <f aca="false">E724*G724</f>
        <v>-0.75</v>
      </c>
      <c r="P724" s="0" t="n">
        <f aca="false">E724*H724</f>
        <v>-1</v>
      </c>
      <c r="Q724" s="0" t="n">
        <f aca="false">F724*G724</f>
        <v>0.75</v>
      </c>
      <c r="R724" s="0" t="n">
        <f aca="false">F724*H724</f>
        <v>1</v>
      </c>
      <c r="S724" s="0" t="n">
        <f aca="false">G724*H724</f>
        <v>0.75</v>
      </c>
      <c r="T724" s="0" t="n">
        <f aca="false">E724*E724</f>
        <v>1</v>
      </c>
      <c r="U724" s="0" t="n">
        <f aca="false">F724*F724</f>
        <v>1</v>
      </c>
      <c r="V724" s="0" t="n">
        <f aca="false">G724*G724</f>
        <v>0.5625</v>
      </c>
      <c r="W724" s="0" t="n">
        <f aca="false">H724*H724</f>
        <v>1</v>
      </c>
      <c r="X724" s="0" t="n">
        <f aca="false">SUMPRODUCT(I724:W724,_XtX!$B$96:$P$96)</f>
        <v>42.6835891812866</v>
      </c>
      <c r="Y724" s="0" t="n">
        <f aca="false">SUMPRODUCT(MMULT(I724:W724,_XtX!$B$78:$P$92),I724:W724)</f>
        <v>0.610814144736842</v>
      </c>
      <c r="Z724" s="0" t="n">
        <f aca="false">04_回帰ANOVA!$K$19*04_回帰ANOVA!$K$14*SQRT(1+Y724)</f>
        <v>1.6543260558361</v>
      </c>
      <c r="AA724" s="0" t="n">
        <f aca="false">X724-Z724</f>
        <v>41.0292631254505</v>
      </c>
      <c r="AB724" s="0" t="n">
        <f aca="false">X724+Z724</f>
        <v>44.3379152371227</v>
      </c>
      <c r="AC724" s="54" t="b">
        <f aca="false">AND(E724&gt;=01_因子設定!$L$5-0.000000001,E724&lt;=01_因子設定!$M$5+0.000000001,F724&gt;=01_因子設定!$L$6-0.000000001,F724&lt;=01_因子設定!$M$6+0.000000001,G724&gt;=01_因子設定!$L$7-0.000000001,G724&lt;=01_因子設定!$M$7+0.000000001,H724&gt;=01_因子設定!$L$8-0.000000001,H724&lt;=01_因子設定!$M$8+0.000000001,IF(01_因子設定!$B$20="Box-Behnken",E724^2+F724^2+G724^2+H724^2&lt;=2+0.000000001,TRUE()))</f>
        <v>1</v>
      </c>
      <c r="AD724" s="55" t="n">
        <f aca="false">IF(AC724,IF(01_因子設定!$B$13="最大化",AA724-01_因子設定!$B$14,IF(01_因子設定!$B$13="最小化",01_因子設定!$B$15-AB724,MIN(AA724-01_因子設定!$B$14,01_因子設定!$B$15-AB724))),-1E+030)</f>
        <v>-5.47073687454948</v>
      </c>
      <c r="AE724" s="55" t="n">
        <f aca="false">IF(AC724,IF(01_因子設定!$B$13="最大化",X724,IF(01_因子設定!$B$13="最小化",-X724,-ABS(X724-01_因子設定!$B$16))),-1E+030)</f>
        <v>42.6835891812866</v>
      </c>
      <c r="AF724" s="55" t="n">
        <f aca="false">AD724+ROW()*0.000000001</f>
        <v>-5.47073615054948</v>
      </c>
      <c r="AG724" s="55" t="n">
        <f aca="false">AE724+ROW()*0.000000001</f>
        <v>42.6835899052866</v>
      </c>
    </row>
    <row r="725" customFormat="false" ht="15" hidden="false" customHeight="false" outlineLevel="0" collapsed="false">
      <c r="A725" s="0" t="n">
        <v>0</v>
      </c>
      <c r="B725" s="0" t="n">
        <v>8</v>
      </c>
      <c r="C725" s="0" t="n">
        <v>8</v>
      </c>
      <c r="D725" s="0" t="n">
        <v>0</v>
      </c>
      <c r="E725" s="0" t="n">
        <f aca="false">-1+A725*0.25</f>
        <v>-1</v>
      </c>
      <c r="F725" s="0" t="n">
        <f aca="false">-1+B725*0.25</f>
        <v>1</v>
      </c>
      <c r="G725" s="0" t="n">
        <f aca="false">-1+C725*0.25</f>
        <v>1</v>
      </c>
      <c r="H725" s="0" t="n">
        <f aca="false">-1+D725*0.25</f>
        <v>-1</v>
      </c>
      <c r="I725" s="0" t="n">
        <f aca="false">1</f>
        <v>1</v>
      </c>
      <c r="J725" s="0" t="n">
        <f aca="false">E725</f>
        <v>-1</v>
      </c>
      <c r="K725" s="0" t="n">
        <f aca="false">F725</f>
        <v>1</v>
      </c>
      <c r="L725" s="0" t="n">
        <f aca="false">G725</f>
        <v>1</v>
      </c>
      <c r="M725" s="0" t="n">
        <f aca="false">H725</f>
        <v>-1</v>
      </c>
      <c r="N725" s="0" t="n">
        <f aca="false">E725*F725</f>
        <v>-1</v>
      </c>
      <c r="O725" s="0" t="n">
        <f aca="false">E725*G725</f>
        <v>-1</v>
      </c>
      <c r="P725" s="0" t="n">
        <f aca="false">E725*H725</f>
        <v>1</v>
      </c>
      <c r="Q725" s="0" t="n">
        <f aca="false">F725*G725</f>
        <v>1</v>
      </c>
      <c r="R725" s="0" t="n">
        <f aca="false">F725*H725</f>
        <v>-1</v>
      </c>
      <c r="S725" s="0" t="n">
        <f aca="false">G725*H725</f>
        <v>-1</v>
      </c>
      <c r="T725" s="0" t="n">
        <f aca="false">E725*E725</f>
        <v>1</v>
      </c>
      <c r="U725" s="0" t="n">
        <f aca="false">F725*F725</f>
        <v>1</v>
      </c>
      <c r="V725" s="0" t="n">
        <f aca="false">G725*G725</f>
        <v>1</v>
      </c>
      <c r="W725" s="0" t="n">
        <f aca="false">H725*H725</f>
        <v>1</v>
      </c>
      <c r="X725" s="0" t="n">
        <f aca="false">SUMPRODUCT(I725:W725,_XtX!$B$96:$P$96)</f>
        <v>42.2322368421053</v>
      </c>
      <c r="Y725" s="0" t="n">
        <f aca="false">SUMPRODUCT(MMULT(I725:W725,_XtX!$B$78:$P$92),I725:W725)</f>
        <v>0.658625730994152</v>
      </c>
      <c r="Z725" s="0" t="n">
        <f aca="false">04_回帰ANOVA!$K$19*04_回帰ANOVA!$K$14*SQRT(1+Y725)</f>
        <v>1.67869807328422</v>
      </c>
      <c r="AA725" s="0" t="n">
        <f aca="false">X725-Z725</f>
        <v>40.5535387688211</v>
      </c>
      <c r="AB725" s="0" t="n">
        <f aca="false">X725+Z725</f>
        <v>43.9109349153896</v>
      </c>
      <c r="AC725" s="54" t="b">
        <f aca="false">AND(E725&gt;=01_因子設定!$L$5-0.000000001,E725&lt;=01_因子設定!$M$5+0.000000001,F725&gt;=01_因子設定!$L$6-0.000000001,F725&lt;=01_因子設定!$M$6+0.000000001,G725&gt;=01_因子設定!$L$7-0.000000001,G725&lt;=01_因子設定!$M$7+0.000000001,H725&gt;=01_因子設定!$L$8-0.000000001,H725&lt;=01_因子設定!$M$8+0.000000001,IF(01_因子設定!$B$20="Box-Behnken",E725^2+F725^2+G725^2+H725^2&lt;=2+0.000000001,TRUE()))</f>
        <v>1</v>
      </c>
      <c r="AD725" s="55" t="n">
        <f aca="false">IF(AC725,IF(01_因子設定!$B$13="最大化",AA725-01_因子設定!$B$14,IF(01_因子設定!$B$13="最小化",01_因子設定!$B$15-AB725,MIN(AA725-01_因子設定!$B$14,01_因子設定!$B$15-AB725))),-1E+030)</f>
        <v>-5.94646123117889</v>
      </c>
      <c r="AE725" s="55" t="n">
        <f aca="false">IF(AC725,IF(01_因子設定!$B$13="最大化",X725,IF(01_因子設定!$B$13="最小化",-X725,-ABS(X725-01_因子設定!$B$16))),-1E+030)</f>
        <v>42.2322368421053</v>
      </c>
      <c r="AF725" s="55" t="n">
        <f aca="false">AD725+ROW()*0.000000001</f>
        <v>-5.94646050617889</v>
      </c>
      <c r="AG725" s="55" t="n">
        <f aca="false">AE725+ROW()*0.000000001</f>
        <v>42.2322375671053</v>
      </c>
    </row>
    <row r="726" customFormat="false" ht="15" hidden="false" customHeight="false" outlineLevel="0" collapsed="false">
      <c r="A726" s="0" t="n">
        <v>0</v>
      </c>
      <c r="B726" s="0" t="n">
        <v>8</v>
      </c>
      <c r="C726" s="0" t="n">
        <v>8</v>
      </c>
      <c r="D726" s="0" t="n">
        <v>1</v>
      </c>
      <c r="E726" s="0" t="n">
        <f aca="false">-1+A726*0.25</f>
        <v>-1</v>
      </c>
      <c r="F726" s="0" t="n">
        <f aca="false">-1+B726*0.25</f>
        <v>1</v>
      </c>
      <c r="G726" s="0" t="n">
        <f aca="false">-1+C726*0.25</f>
        <v>1</v>
      </c>
      <c r="H726" s="0" t="n">
        <f aca="false">-1+D726*0.25</f>
        <v>-0.75</v>
      </c>
      <c r="I726" s="0" t="n">
        <f aca="false">1</f>
        <v>1</v>
      </c>
      <c r="J726" s="0" t="n">
        <f aca="false">E726</f>
        <v>-1</v>
      </c>
      <c r="K726" s="0" t="n">
        <f aca="false">F726</f>
        <v>1</v>
      </c>
      <c r="L726" s="0" t="n">
        <f aca="false">G726</f>
        <v>1</v>
      </c>
      <c r="M726" s="0" t="n">
        <f aca="false">H726</f>
        <v>-0.75</v>
      </c>
      <c r="N726" s="0" t="n">
        <f aca="false">E726*F726</f>
        <v>-1</v>
      </c>
      <c r="O726" s="0" t="n">
        <f aca="false">E726*G726</f>
        <v>-1</v>
      </c>
      <c r="P726" s="0" t="n">
        <f aca="false">E726*H726</f>
        <v>0.75</v>
      </c>
      <c r="Q726" s="0" t="n">
        <f aca="false">F726*G726</f>
        <v>1</v>
      </c>
      <c r="R726" s="0" t="n">
        <f aca="false">F726*H726</f>
        <v>-0.75</v>
      </c>
      <c r="S726" s="0" t="n">
        <f aca="false">G726*H726</f>
        <v>-0.75</v>
      </c>
      <c r="T726" s="0" t="n">
        <f aca="false">E726*E726</f>
        <v>1</v>
      </c>
      <c r="U726" s="0" t="n">
        <f aca="false">F726*F726</f>
        <v>1</v>
      </c>
      <c r="V726" s="0" t="n">
        <f aca="false">G726*G726</f>
        <v>1</v>
      </c>
      <c r="W726" s="0" t="n">
        <f aca="false">H726*H726</f>
        <v>0.5625</v>
      </c>
      <c r="X726" s="0" t="n">
        <f aca="false">SUMPRODUCT(I726:W726,_XtX!$B$96:$P$96)</f>
        <v>42.4884502923977</v>
      </c>
      <c r="Y726" s="0" t="n">
        <f aca="false">SUMPRODUCT(MMULT(I726:W726,_XtX!$B$78:$P$92),I726:W726)</f>
        <v>0.610814144736842</v>
      </c>
      <c r="Z726" s="0" t="n">
        <f aca="false">04_回帰ANOVA!$K$19*04_回帰ANOVA!$K$14*SQRT(1+Y726)</f>
        <v>1.6543260558361</v>
      </c>
      <c r="AA726" s="0" t="n">
        <f aca="false">X726-Z726</f>
        <v>40.8341242365616</v>
      </c>
      <c r="AB726" s="0" t="n">
        <f aca="false">X726+Z726</f>
        <v>44.1427763482338</v>
      </c>
      <c r="AC726" s="54" t="b">
        <f aca="false">AND(E726&gt;=01_因子設定!$L$5-0.000000001,E726&lt;=01_因子設定!$M$5+0.000000001,F726&gt;=01_因子設定!$L$6-0.000000001,F726&lt;=01_因子設定!$M$6+0.000000001,G726&gt;=01_因子設定!$L$7-0.000000001,G726&lt;=01_因子設定!$M$7+0.000000001,H726&gt;=01_因子設定!$L$8-0.000000001,H726&lt;=01_因子設定!$M$8+0.000000001,IF(01_因子設定!$B$20="Box-Behnken",E726^2+F726^2+G726^2+H726^2&lt;=2+0.000000001,TRUE()))</f>
        <v>1</v>
      </c>
      <c r="AD726" s="55" t="n">
        <f aca="false">IF(AC726,IF(01_因子設定!$B$13="最大化",AA726-01_因子設定!$B$14,IF(01_因子設定!$B$13="最小化",01_因子設定!$B$15-AB726,MIN(AA726-01_因子設定!$B$14,01_因子設定!$B$15-AB726))),-1E+030)</f>
        <v>-5.66587576343838</v>
      </c>
      <c r="AE726" s="55" t="n">
        <f aca="false">IF(AC726,IF(01_因子設定!$B$13="最大化",X726,IF(01_因子設定!$B$13="最小化",-X726,-ABS(X726-01_因子設定!$B$16))),-1E+030)</f>
        <v>42.4884502923977</v>
      </c>
      <c r="AF726" s="55" t="n">
        <f aca="false">AD726+ROW()*0.000000001</f>
        <v>-5.66587503743838</v>
      </c>
      <c r="AG726" s="55" t="n">
        <f aca="false">AE726+ROW()*0.000000001</f>
        <v>42.4884510183977</v>
      </c>
    </row>
    <row r="727" customFormat="false" ht="15" hidden="false" customHeight="false" outlineLevel="0" collapsed="false">
      <c r="A727" s="0" t="n">
        <v>0</v>
      </c>
      <c r="B727" s="0" t="n">
        <v>8</v>
      </c>
      <c r="C727" s="0" t="n">
        <v>8</v>
      </c>
      <c r="D727" s="0" t="n">
        <v>2</v>
      </c>
      <c r="E727" s="0" t="n">
        <f aca="false">-1+A727*0.25</f>
        <v>-1</v>
      </c>
      <c r="F727" s="0" t="n">
        <f aca="false">-1+B727*0.25</f>
        <v>1</v>
      </c>
      <c r="G727" s="0" t="n">
        <f aca="false">-1+C727*0.25</f>
        <v>1</v>
      </c>
      <c r="H727" s="0" t="n">
        <f aca="false">-1+D727*0.25</f>
        <v>-0.5</v>
      </c>
      <c r="I727" s="0" t="n">
        <f aca="false">1</f>
        <v>1</v>
      </c>
      <c r="J727" s="0" t="n">
        <f aca="false">E727</f>
        <v>-1</v>
      </c>
      <c r="K727" s="0" t="n">
        <f aca="false">F727</f>
        <v>1</v>
      </c>
      <c r="L727" s="0" t="n">
        <f aca="false">G727</f>
        <v>1</v>
      </c>
      <c r="M727" s="0" t="n">
        <f aca="false">H727</f>
        <v>-0.5</v>
      </c>
      <c r="N727" s="0" t="n">
        <f aca="false">E727*F727</f>
        <v>-1</v>
      </c>
      <c r="O727" s="0" t="n">
        <f aca="false">E727*G727</f>
        <v>-1</v>
      </c>
      <c r="P727" s="0" t="n">
        <f aca="false">E727*H727</f>
        <v>0.5</v>
      </c>
      <c r="Q727" s="0" t="n">
        <f aca="false">F727*G727</f>
        <v>1</v>
      </c>
      <c r="R727" s="0" t="n">
        <f aca="false">F727*H727</f>
        <v>-0.5</v>
      </c>
      <c r="S727" s="0" t="n">
        <f aca="false">G727*H727</f>
        <v>-0.5</v>
      </c>
      <c r="T727" s="0" t="n">
        <f aca="false">E727*E727</f>
        <v>1</v>
      </c>
      <c r="U727" s="0" t="n">
        <f aca="false">F727*F727</f>
        <v>1</v>
      </c>
      <c r="V727" s="0" t="n">
        <f aca="false">G727*G727</f>
        <v>1</v>
      </c>
      <c r="W727" s="0" t="n">
        <f aca="false">H727*H727</f>
        <v>0.25</v>
      </c>
      <c r="X727" s="0" t="n">
        <f aca="false">SUMPRODUCT(I727:W727,_XtX!$B$96:$P$96)</f>
        <v>42.6968567251462</v>
      </c>
      <c r="Y727" s="0" t="n">
        <f aca="false">SUMPRODUCT(MMULT(I727:W727,_XtX!$B$78:$P$92),I727:W727)</f>
        <v>0.667123538011696</v>
      </c>
      <c r="Z727" s="0" t="n">
        <f aca="false">04_回帰ANOVA!$K$19*04_回帰ANOVA!$K$14*SQRT(1+Y727)</f>
        <v>1.68299290213005</v>
      </c>
      <c r="AA727" s="0" t="n">
        <f aca="false">X727-Z727</f>
        <v>41.0138638230162</v>
      </c>
      <c r="AB727" s="0" t="n">
        <f aca="false">X727+Z727</f>
        <v>44.3798496272763</v>
      </c>
      <c r="AC727" s="54" t="b">
        <f aca="false">AND(E727&gt;=01_因子設定!$L$5-0.000000001,E727&lt;=01_因子設定!$M$5+0.000000001,F727&gt;=01_因子設定!$L$6-0.000000001,F727&lt;=01_因子設定!$M$6+0.000000001,G727&gt;=01_因子設定!$L$7-0.000000001,G727&lt;=01_因子設定!$M$7+0.000000001,H727&gt;=01_因子設定!$L$8-0.000000001,H727&lt;=01_因子設定!$M$8+0.000000001,IF(01_因子設定!$B$20="Box-Behnken",E727^2+F727^2+G727^2+H727^2&lt;=2+0.000000001,TRUE()))</f>
        <v>1</v>
      </c>
      <c r="AD727" s="55" t="n">
        <f aca="false">IF(AC727,IF(01_因子設定!$B$13="最大化",AA727-01_因子設定!$B$14,IF(01_因子設定!$B$13="最小化",01_因子設定!$B$15-AB727,MIN(AA727-01_因子設定!$B$14,01_因子設定!$B$15-AB727))),-1E+030)</f>
        <v>-5.48613617698381</v>
      </c>
      <c r="AE727" s="55" t="n">
        <f aca="false">IF(AC727,IF(01_因子設定!$B$13="最大化",X727,IF(01_因子設定!$B$13="最小化",-X727,-ABS(X727-01_因子設定!$B$16))),-1E+030)</f>
        <v>42.6968567251462</v>
      </c>
      <c r="AF727" s="55" t="n">
        <f aca="false">AD727+ROW()*0.000000001</f>
        <v>-5.48613544998381</v>
      </c>
      <c r="AG727" s="55" t="n">
        <f aca="false">AE727+ROW()*0.000000001</f>
        <v>42.6968574521462</v>
      </c>
    </row>
    <row r="728" customFormat="false" ht="15" hidden="false" customHeight="false" outlineLevel="0" collapsed="false">
      <c r="A728" s="0" t="n">
        <v>0</v>
      </c>
      <c r="B728" s="0" t="n">
        <v>8</v>
      </c>
      <c r="C728" s="0" t="n">
        <v>8</v>
      </c>
      <c r="D728" s="0" t="n">
        <v>3</v>
      </c>
      <c r="E728" s="0" t="n">
        <f aca="false">-1+A728*0.25</f>
        <v>-1</v>
      </c>
      <c r="F728" s="0" t="n">
        <f aca="false">-1+B728*0.25</f>
        <v>1</v>
      </c>
      <c r="G728" s="0" t="n">
        <f aca="false">-1+C728*0.25</f>
        <v>1</v>
      </c>
      <c r="H728" s="0" t="n">
        <f aca="false">-1+D728*0.25</f>
        <v>-0.25</v>
      </c>
      <c r="I728" s="0" t="n">
        <f aca="false">1</f>
        <v>1</v>
      </c>
      <c r="J728" s="0" t="n">
        <f aca="false">E728</f>
        <v>-1</v>
      </c>
      <c r="K728" s="0" t="n">
        <f aca="false">F728</f>
        <v>1</v>
      </c>
      <c r="L728" s="0" t="n">
        <f aca="false">G728</f>
        <v>1</v>
      </c>
      <c r="M728" s="0" t="n">
        <f aca="false">H728</f>
        <v>-0.25</v>
      </c>
      <c r="N728" s="0" t="n">
        <f aca="false">E728*F728</f>
        <v>-1</v>
      </c>
      <c r="O728" s="0" t="n">
        <f aca="false">E728*G728</f>
        <v>-1</v>
      </c>
      <c r="P728" s="0" t="n">
        <f aca="false">E728*H728</f>
        <v>0.25</v>
      </c>
      <c r="Q728" s="0" t="n">
        <f aca="false">F728*G728</f>
        <v>1</v>
      </c>
      <c r="R728" s="0" t="n">
        <f aca="false">F728*H728</f>
        <v>-0.25</v>
      </c>
      <c r="S728" s="0" t="n">
        <f aca="false">G728*H728</f>
        <v>-0.25</v>
      </c>
      <c r="T728" s="0" t="n">
        <f aca="false">E728*E728</f>
        <v>1</v>
      </c>
      <c r="U728" s="0" t="n">
        <f aca="false">F728*F728</f>
        <v>1</v>
      </c>
      <c r="V728" s="0" t="n">
        <f aca="false">G728*G728</f>
        <v>1</v>
      </c>
      <c r="W728" s="0" t="n">
        <f aca="false">H728*H728</f>
        <v>0.0625</v>
      </c>
      <c r="X728" s="0" t="n">
        <f aca="false">SUMPRODUCT(I728:W728,_XtX!$B$96:$P$96)</f>
        <v>42.8574561403509</v>
      </c>
      <c r="Y728" s="0" t="n">
        <f aca="false">SUMPRODUCT(MMULT(I728:W728,_XtX!$B$78:$P$92),I728:W728)</f>
        <v>0.737093384502924</v>
      </c>
      <c r="Z728" s="0" t="n">
        <f aca="false">04_回帰ANOVA!$K$19*04_回帰ANOVA!$K$14*SQRT(1+Y728)</f>
        <v>1.71794784853551</v>
      </c>
      <c r="AA728" s="0" t="n">
        <f aca="false">X728-Z728</f>
        <v>41.1395082918154</v>
      </c>
      <c r="AB728" s="0" t="n">
        <f aca="false">X728+Z728</f>
        <v>44.5754039888864</v>
      </c>
      <c r="AC728" s="54" t="b">
        <f aca="false">AND(E728&gt;=01_因子設定!$L$5-0.000000001,E728&lt;=01_因子設定!$M$5+0.000000001,F728&gt;=01_因子設定!$L$6-0.000000001,F728&lt;=01_因子設定!$M$6+0.000000001,G728&gt;=01_因子設定!$L$7-0.000000001,G728&lt;=01_因子設定!$M$7+0.000000001,H728&gt;=01_因子設定!$L$8-0.000000001,H728&lt;=01_因子設定!$M$8+0.000000001,IF(01_因子設定!$B$20="Box-Behnken",E728^2+F728^2+G728^2+H728^2&lt;=2+0.000000001,TRUE()))</f>
        <v>1</v>
      </c>
      <c r="AD728" s="55" t="n">
        <f aca="false">IF(AC728,IF(01_因子設定!$B$13="最大化",AA728-01_因子設定!$B$14,IF(01_因子設定!$B$13="最小化",01_因子設定!$B$15-AB728,MIN(AA728-01_因子設定!$B$14,01_因子設定!$B$15-AB728))),-1E+030)</f>
        <v>-5.36049170818459</v>
      </c>
      <c r="AE728" s="55" t="n">
        <f aca="false">IF(AC728,IF(01_因子設定!$B$13="最大化",X728,IF(01_因子設定!$B$13="最小化",-X728,-ABS(X728-01_因子設定!$B$16))),-1E+030)</f>
        <v>42.8574561403509</v>
      </c>
      <c r="AF728" s="55" t="n">
        <f aca="false">AD728+ROW()*0.000000001</f>
        <v>-5.36049098018459</v>
      </c>
      <c r="AG728" s="55" t="n">
        <f aca="false">AE728+ROW()*0.000000001</f>
        <v>42.8574568683509</v>
      </c>
    </row>
    <row r="729" customFormat="false" ht="15" hidden="false" customHeight="false" outlineLevel="0" collapsed="false">
      <c r="A729" s="0" t="n">
        <v>0</v>
      </c>
      <c r="B729" s="0" t="n">
        <v>8</v>
      </c>
      <c r="C729" s="0" t="n">
        <v>8</v>
      </c>
      <c r="D729" s="0" t="n">
        <v>4</v>
      </c>
      <c r="E729" s="0" t="n">
        <f aca="false">-1+A729*0.25</f>
        <v>-1</v>
      </c>
      <c r="F729" s="0" t="n">
        <f aca="false">-1+B729*0.25</f>
        <v>1</v>
      </c>
      <c r="G729" s="0" t="n">
        <f aca="false">-1+C729*0.25</f>
        <v>1</v>
      </c>
      <c r="H729" s="0" t="n">
        <f aca="false">-1+D729*0.25</f>
        <v>0</v>
      </c>
      <c r="I729" s="0" t="n">
        <f aca="false">1</f>
        <v>1</v>
      </c>
      <c r="J729" s="0" t="n">
        <f aca="false">E729</f>
        <v>-1</v>
      </c>
      <c r="K729" s="0" t="n">
        <f aca="false">F729</f>
        <v>1</v>
      </c>
      <c r="L729" s="0" t="n">
        <f aca="false">G729</f>
        <v>1</v>
      </c>
      <c r="M729" s="0" t="n">
        <f aca="false">H729</f>
        <v>0</v>
      </c>
      <c r="N729" s="0" t="n">
        <f aca="false">E729*F729</f>
        <v>-1</v>
      </c>
      <c r="O729" s="0" t="n">
        <f aca="false">E729*G729</f>
        <v>-1</v>
      </c>
      <c r="P729" s="0" t="n">
        <f aca="false">E729*H729</f>
        <v>-0</v>
      </c>
      <c r="Q729" s="0" t="n">
        <f aca="false">F729*G729</f>
        <v>1</v>
      </c>
      <c r="R729" s="0" t="n">
        <f aca="false">F729*H729</f>
        <v>0</v>
      </c>
      <c r="S729" s="0" t="n">
        <f aca="false">G729*H729</f>
        <v>0</v>
      </c>
      <c r="T729" s="0" t="n">
        <f aca="false">E729*E729</f>
        <v>1</v>
      </c>
      <c r="U729" s="0" t="n">
        <f aca="false">F729*F729</f>
        <v>1</v>
      </c>
      <c r="V729" s="0" t="n">
        <f aca="false">G729*G729</f>
        <v>1</v>
      </c>
      <c r="W729" s="0" t="n">
        <f aca="false">H729*H729</f>
        <v>0</v>
      </c>
      <c r="X729" s="0" t="n">
        <f aca="false">SUMPRODUCT(I729:W729,_XtX!$B$96:$P$96)</f>
        <v>42.9702485380117</v>
      </c>
      <c r="Y729" s="0" t="n">
        <f aca="false">SUMPRODUCT(MMULT(I729:W729,_XtX!$B$78:$P$92),I729:W729)</f>
        <v>0.766447368421053</v>
      </c>
      <c r="Z729" s="0" t="n">
        <f aca="false">04_回帰ANOVA!$K$19*04_回帰ANOVA!$K$14*SQRT(1+Y729)</f>
        <v>1.7324022685743</v>
      </c>
      <c r="AA729" s="0" t="n">
        <f aca="false">X729-Z729</f>
        <v>41.2378462694374</v>
      </c>
      <c r="AB729" s="0" t="n">
        <f aca="false">X729+Z729</f>
        <v>44.702650806586</v>
      </c>
      <c r="AC729" s="54" t="b">
        <f aca="false">AND(E729&gt;=01_因子設定!$L$5-0.000000001,E729&lt;=01_因子設定!$M$5+0.000000001,F729&gt;=01_因子設定!$L$6-0.000000001,F729&lt;=01_因子設定!$M$6+0.000000001,G729&gt;=01_因子設定!$L$7-0.000000001,G729&lt;=01_因子設定!$M$7+0.000000001,H729&gt;=01_因子設定!$L$8-0.000000001,H729&lt;=01_因子設定!$M$8+0.000000001,IF(01_因子設定!$B$20="Box-Behnken",E729^2+F729^2+G729^2+H729^2&lt;=2+0.000000001,TRUE()))</f>
        <v>1</v>
      </c>
      <c r="AD729" s="55" t="n">
        <f aca="false">IF(AC729,IF(01_因子設定!$B$13="最大化",AA729-01_因子設定!$B$14,IF(01_因子設定!$B$13="最小化",01_因子設定!$B$15-AB729,MIN(AA729-01_因子設定!$B$14,01_因子設定!$B$15-AB729))),-1E+030)</f>
        <v>-5.26215373056258</v>
      </c>
      <c r="AE729" s="55" t="n">
        <f aca="false">IF(AC729,IF(01_因子設定!$B$13="最大化",X729,IF(01_因子設定!$B$13="最小化",-X729,-ABS(X729-01_因子設定!$B$16))),-1E+030)</f>
        <v>42.9702485380117</v>
      </c>
      <c r="AF729" s="55" t="n">
        <f aca="false">AD729+ROW()*0.000000001</f>
        <v>-5.26215300156258</v>
      </c>
      <c r="AG729" s="55" t="n">
        <f aca="false">AE729+ROW()*0.000000001</f>
        <v>42.9702492670117</v>
      </c>
    </row>
    <row r="730" customFormat="false" ht="15" hidden="false" customHeight="false" outlineLevel="0" collapsed="false">
      <c r="A730" s="0" t="n">
        <v>0</v>
      </c>
      <c r="B730" s="0" t="n">
        <v>8</v>
      </c>
      <c r="C730" s="0" t="n">
        <v>8</v>
      </c>
      <c r="D730" s="0" t="n">
        <v>5</v>
      </c>
      <c r="E730" s="0" t="n">
        <f aca="false">-1+A730*0.25</f>
        <v>-1</v>
      </c>
      <c r="F730" s="0" t="n">
        <f aca="false">-1+B730*0.25</f>
        <v>1</v>
      </c>
      <c r="G730" s="0" t="n">
        <f aca="false">-1+C730*0.25</f>
        <v>1</v>
      </c>
      <c r="H730" s="0" t="n">
        <f aca="false">-1+D730*0.25</f>
        <v>0.25</v>
      </c>
      <c r="I730" s="0" t="n">
        <f aca="false">1</f>
        <v>1</v>
      </c>
      <c r="J730" s="0" t="n">
        <f aca="false">E730</f>
        <v>-1</v>
      </c>
      <c r="K730" s="0" t="n">
        <f aca="false">F730</f>
        <v>1</v>
      </c>
      <c r="L730" s="0" t="n">
        <f aca="false">G730</f>
        <v>1</v>
      </c>
      <c r="M730" s="0" t="n">
        <f aca="false">H730</f>
        <v>0.25</v>
      </c>
      <c r="N730" s="0" t="n">
        <f aca="false">E730*F730</f>
        <v>-1</v>
      </c>
      <c r="O730" s="0" t="n">
        <f aca="false">E730*G730</f>
        <v>-1</v>
      </c>
      <c r="P730" s="0" t="n">
        <f aca="false">E730*H730</f>
        <v>-0.25</v>
      </c>
      <c r="Q730" s="0" t="n">
        <f aca="false">F730*G730</f>
        <v>1</v>
      </c>
      <c r="R730" s="0" t="n">
        <f aca="false">F730*H730</f>
        <v>0.25</v>
      </c>
      <c r="S730" s="0" t="n">
        <f aca="false">G730*H730</f>
        <v>0.25</v>
      </c>
      <c r="T730" s="0" t="n">
        <f aca="false">E730*E730</f>
        <v>1</v>
      </c>
      <c r="U730" s="0" t="n">
        <f aca="false">F730*F730</f>
        <v>1</v>
      </c>
      <c r="V730" s="0" t="n">
        <f aca="false">G730*G730</f>
        <v>1</v>
      </c>
      <c r="W730" s="0" t="n">
        <f aca="false">H730*H730</f>
        <v>0.0625</v>
      </c>
      <c r="X730" s="0" t="n">
        <f aca="false">SUMPRODUCT(I730:W730,_XtX!$B$96:$P$96)</f>
        <v>43.0352339181287</v>
      </c>
      <c r="Y730" s="0" t="n">
        <f aca="false">SUMPRODUCT(MMULT(I730:W730,_XtX!$B$78:$P$92),I730:W730)</f>
        <v>0.737093384502924</v>
      </c>
      <c r="Z730" s="0" t="n">
        <f aca="false">04_回帰ANOVA!$K$19*04_回帰ANOVA!$K$14*SQRT(1+Y730)</f>
        <v>1.71794784853551</v>
      </c>
      <c r="AA730" s="0" t="n">
        <f aca="false">X730-Z730</f>
        <v>41.3172860695932</v>
      </c>
      <c r="AB730" s="0" t="n">
        <f aca="false">X730+Z730</f>
        <v>44.7531817666642</v>
      </c>
      <c r="AC730" s="54" t="b">
        <f aca="false">AND(E730&gt;=01_因子設定!$L$5-0.000000001,E730&lt;=01_因子設定!$M$5+0.000000001,F730&gt;=01_因子設定!$L$6-0.000000001,F730&lt;=01_因子設定!$M$6+0.000000001,G730&gt;=01_因子設定!$L$7-0.000000001,G730&lt;=01_因子設定!$M$7+0.000000001,H730&gt;=01_因子設定!$L$8-0.000000001,H730&lt;=01_因子設定!$M$8+0.000000001,IF(01_因子設定!$B$20="Box-Behnken",E730^2+F730^2+G730^2+H730^2&lt;=2+0.000000001,TRUE()))</f>
        <v>1</v>
      </c>
      <c r="AD730" s="55" t="n">
        <f aca="false">IF(AC730,IF(01_因子設定!$B$13="最大化",AA730-01_因子設定!$B$14,IF(01_因子設定!$B$13="最小化",01_因子設定!$B$15-AB730,MIN(AA730-01_因子設定!$B$14,01_因子設定!$B$15-AB730))),-1E+030)</f>
        <v>-5.18271393040681</v>
      </c>
      <c r="AE730" s="55" t="n">
        <f aca="false">IF(AC730,IF(01_因子設定!$B$13="最大化",X730,IF(01_因子設定!$B$13="最小化",-X730,-ABS(X730-01_因子設定!$B$16))),-1E+030)</f>
        <v>43.0352339181287</v>
      </c>
      <c r="AF730" s="55" t="n">
        <f aca="false">AD730+ROW()*0.000000001</f>
        <v>-5.18271320040681</v>
      </c>
      <c r="AG730" s="55" t="n">
        <f aca="false">AE730+ROW()*0.000000001</f>
        <v>43.0352346481287</v>
      </c>
    </row>
    <row r="731" customFormat="false" ht="15" hidden="false" customHeight="false" outlineLevel="0" collapsed="false">
      <c r="A731" s="0" t="n">
        <v>0</v>
      </c>
      <c r="B731" s="0" t="n">
        <v>8</v>
      </c>
      <c r="C731" s="0" t="n">
        <v>8</v>
      </c>
      <c r="D731" s="0" t="n">
        <v>6</v>
      </c>
      <c r="E731" s="0" t="n">
        <f aca="false">-1+A731*0.25</f>
        <v>-1</v>
      </c>
      <c r="F731" s="0" t="n">
        <f aca="false">-1+B731*0.25</f>
        <v>1</v>
      </c>
      <c r="G731" s="0" t="n">
        <f aca="false">-1+C731*0.25</f>
        <v>1</v>
      </c>
      <c r="H731" s="0" t="n">
        <f aca="false">-1+D731*0.25</f>
        <v>0.5</v>
      </c>
      <c r="I731" s="0" t="n">
        <f aca="false">1</f>
        <v>1</v>
      </c>
      <c r="J731" s="0" t="n">
        <f aca="false">E731</f>
        <v>-1</v>
      </c>
      <c r="K731" s="0" t="n">
        <f aca="false">F731</f>
        <v>1</v>
      </c>
      <c r="L731" s="0" t="n">
        <f aca="false">G731</f>
        <v>1</v>
      </c>
      <c r="M731" s="0" t="n">
        <f aca="false">H731</f>
        <v>0.5</v>
      </c>
      <c r="N731" s="0" t="n">
        <f aca="false">E731*F731</f>
        <v>-1</v>
      </c>
      <c r="O731" s="0" t="n">
        <f aca="false">E731*G731</f>
        <v>-1</v>
      </c>
      <c r="P731" s="0" t="n">
        <f aca="false">E731*H731</f>
        <v>-0.5</v>
      </c>
      <c r="Q731" s="0" t="n">
        <f aca="false">F731*G731</f>
        <v>1</v>
      </c>
      <c r="R731" s="0" t="n">
        <f aca="false">F731*H731</f>
        <v>0.5</v>
      </c>
      <c r="S731" s="0" t="n">
        <f aca="false">G731*H731</f>
        <v>0.5</v>
      </c>
      <c r="T731" s="0" t="n">
        <f aca="false">E731*E731</f>
        <v>1</v>
      </c>
      <c r="U731" s="0" t="n">
        <f aca="false">F731*F731</f>
        <v>1</v>
      </c>
      <c r="V731" s="0" t="n">
        <f aca="false">G731*G731</f>
        <v>1</v>
      </c>
      <c r="W731" s="0" t="n">
        <f aca="false">H731*H731</f>
        <v>0.25</v>
      </c>
      <c r="X731" s="0" t="n">
        <f aca="false">SUMPRODUCT(I731:W731,_XtX!$B$96:$P$96)</f>
        <v>43.0524122807018</v>
      </c>
      <c r="Y731" s="0" t="n">
        <f aca="false">SUMPRODUCT(MMULT(I731:W731,_XtX!$B$78:$P$92),I731:W731)</f>
        <v>0.667123538011696</v>
      </c>
      <c r="Z731" s="0" t="n">
        <f aca="false">04_回帰ANOVA!$K$19*04_回帰ANOVA!$K$14*SQRT(1+Y731)</f>
        <v>1.68299290213005</v>
      </c>
      <c r="AA731" s="0" t="n">
        <f aca="false">X731-Z731</f>
        <v>41.3694193785717</v>
      </c>
      <c r="AB731" s="0" t="n">
        <f aca="false">X731+Z731</f>
        <v>44.7354051828319</v>
      </c>
      <c r="AC731" s="54" t="b">
        <f aca="false">AND(E731&gt;=01_因子設定!$L$5-0.000000001,E731&lt;=01_因子設定!$M$5+0.000000001,F731&gt;=01_因子設定!$L$6-0.000000001,F731&lt;=01_因子設定!$M$6+0.000000001,G731&gt;=01_因子設定!$L$7-0.000000001,G731&lt;=01_因子設定!$M$7+0.000000001,H731&gt;=01_因子設定!$L$8-0.000000001,H731&lt;=01_因子設定!$M$8+0.000000001,IF(01_因子設定!$B$20="Box-Behnken",E731^2+F731^2+G731^2+H731^2&lt;=2+0.000000001,TRUE()))</f>
        <v>1</v>
      </c>
      <c r="AD731" s="55" t="n">
        <f aca="false">IF(AC731,IF(01_因子設定!$B$13="最大化",AA731-01_因子設定!$B$14,IF(01_因子設定!$B$13="最小化",01_因子設定!$B$15-AB731,MIN(AA731-01_因子設定!$B$14,01_因子設定!$B$15-AB731))),-1E+030)</f>
        <v>-5.13058062142826</v>
      </c>
      <c r="AE731" s="55" t="n">
        <f aca="false">IF(AC731,IF(01_因子設定!$B$13="最大化",X731,IF(01_因子設定!$B$13="最小化",-X731,-ABS(X731-01_因子設定!$B$16))),-1E+030)</f>
        <v>43.0524122807018</v>
      </c>
      <c r="AF731" s="55" t="n">
        <f aca="false">AD731+ROW()*0.000000001</f>
        <v>-5.13057989042826</v>
      </c>
      <c r="AG731" s="55" t="n">
        <f aca="false">AE731+ROW()*0.000000001</f>
        <v>43.0524130117018</v>
      </c>
    </row>
    <row r="732" customFormat="false" ht="15" hidden="false" customHeight="false" outlineLevel="0" collapsed="false">
      <c r="A732" s="0" t="n">
        <v>0</v>
      </c>
      <c r="B732" s="0" t="n">
        <v>8</v>
      </c>
      <c r="C732" s="0" t="n">
        <v>8</v>
      </c>
      <c r="D732" s="0" t="n">
        <v>7</v>
      </c>
      <c r="E732" s="0" t="n">
        <f aca="false">-1+A732*0.25</f>
        <v>-1</v>
      </c>
      <c r="F732" s="0" t="n">
        <f aca="false">-1+B732*0.25</f>
        <v>1</v>
      </c>
      <c r="G732" s="0" t="n">
        <f aca="false">-1+C732*0.25</f>
        <v>1</v>
      </c>
      <c r="H732" s="0" t="n">
        <f aca="false">-1+D732*0.25</f>
        <v>0.75</v>
      </c>
      <c r="I732" s="0" t="n">
        <f aca="false">1</f>
        <v>1</v>
      </c>
      <c r="J732" s="0" t="n">
        <f aca="false">E732</f>
        <v>-1</v>
      </c>
      <c r="K732" s="0" t="n">
        <f aca="false">F732</f>
        <v>1</v>
      </c>
      <c r="L732" s="0" t="n">
        <f aca="false">G732</f>
        <v>1</v>
      </c>
      <c r="M732" s="0" t="n">
        <f aca="false">H732</f>
        <v>0.75</v>
      </c>
      <c r="N732" s="0" t="n">
        <f aca="false">E732*F732</f>
        <v>-1</v>
      </c>
      <c r="O732" s="0" t="n">
        <f aca="false">E732*G732</f>
        <v>-1</v>
      </c>
      <c r="P732" s="0" t="n">
        <f aca="false">E732*H732</f>
        <v>-0.75</v>
      </c>
      <c r="Q732" s="0" t="n">
        <f aca="false">F732*G732</f>
        <v>1</v>
      </c>
      <c r="R732" s="0" t="n">
        <f aca="false">F732*H732</f>
        <v>0.75</v>
      </c>
      <c r="S732" s="0" t="n">
        <f aca="false">G732*H732</f>
        <v>0.75</v>
      </c>
      <c r="T732" s="0" t="n">
        <f aca="false">E732*E732</f>
        <v>1</v>
      </c>
      <c r="U732" s="0" t="n">
        <f aca="false">F732*F732</f>
        <v>1</v>
      </c>
      <c r="V732" s="0" t="n">
        <f aca="false">G732*G732</f>
        <v>1</v>
      </c>
      <c r="W732" s="0" t="n">
        <f aca="false">H732*H732</f>
        <v>0.5625</v>
      </c>
      <c r="X732" s="0" t="n">
        <f aca="false">SUMPRODUCT(I732:W732,_XtX!$B$96:$P$96)</f>
        <v>43.0217836257311</v>
      </c>
      <c r="Y732" s="0" t="n">
        <f aca="false">SUMPRODUCT(MMULT(I732:W732,_XtX!$B$78:$P$92),I732:W732)</f>
        <v>0.610814144736842</v>
      </c>
      <c r="Z732" s="0" t="n">
        <f aca="false">04_回帰ANOVA!$K$19*04_回帰ANOVA!$K$14*SQRT(1+Y732)</f>
        <v>1.6543260558361</v>
      </c>
      <c r="AA732" s="0" t="n">
        <f aca="false">X732-Z732</f>
        <v>41.367457569895</v>
      </c>
      <c r="AB732" s="0" t="n">
        <f aca="false">X732+Z732</f>
        <v>44.6761096815671</v>
      </c>
      <c r="AC732" s="54" t="b">
        <f aca="false">AND(E732&gt;=01_因子設定!$L$5-0.000000001,E732&lt;=01_因子設定!$M$5+0.000000001,F732&gt;=01_因子設定!$L$6-0.000000001,F732&lt;=01_因子設定!$M$6+0.000000001,G732&gt;=01_因子設定!$L$7-0.000000001,G732&lt;=01_因子設定!$M$7+0.000000001,H732&gt;=01_因子設定!$L$8-0.000000001,H732&lt;=01_因子設定!$M$8+0.000000001,IF(01_因子設定!$B$20="Box-Behnken",E732^2+F732^2+G732^2+H732^2&lt;=2+0.000000001,TRUE()))</f>
        <v>1</v>
      </c>
      <c r="AD732" s="55" t="n">
        <f aca="false">IF(AC732,IF(01_因子設定!$B$13="最大化",AA732-01_因子設定!$B$14,IF(01_因子設定!$B$13="最小化",01_因子設定!$B$15-AB732,MIN(AA732-01_因子設定!$B$14,01_因子設定!$B$15-AB732))),-1E+030)</f>
        <v>-5.13254243010505</v>
      </c>
      <c r="AE732" s="55" t="n">
        <f aca="false">IF(AC732,IF(01_因子設定!$B$13="最大化",X732,IF(01_因子設定!$B$13="最小化",-X732,-ABS(X732-01_因子設定!$B$16))),-1E+030)</f>
        <v>43.0217836257311</v>
      </c>
      <c r="AF732" s="55" t="n">
        <f aca="false">AD732+ROW()*0.000000001</f>
        <v>-5.13254169810505</v>
      </c>
      <c r="AG732" s="55" t="n">
        <f aca="false">AE732+ROW()*0.000000001</f>
        <v>43.021784357731</v>
      </c>
    </row>
    <row r="733" customFormat="false" ht="15" hidden="false" customHeight="false" outlineLevel="0" collapsed="false">
      <c r="A733" s="0" t="n">
        <v>0</v>
      </c>
      <c r="B733" s="0" t="n">
        <v>8</v>
      </c>
      <c r="C733" s="0" t="n">
        <v>8</v>
      </c>
      <c r="D733" s="0" t="n">
        <v>8</v>
      </c>
      <c r="E733" s="0" t="n">
        <f aca="false">-1+A733*0.25</f>
        <v>-1</v>
      </c>
      <c r="F733" s="0" t="n">
        <f aca="false">-1+B733*0.25</f>
        <v>1</v>
      </c>
      <c r="G733" s="0" t="n">
        <f aca="false">-1+C733*0.25</f>
        <v>1</v>
      </c>
      <c r="H733" s="0" t="n">
        <f aca="false">-1+D733*0.25</f>
        <v>1</v>
      </c>
      <c r="I733" s="0" t="n">
        <f aca="false">1</f>
        <v>1</v>
      </c>
      <c r="J733" s="0" t="n">
        <f aca="false">E733</f>
        <v>-1</v>
      </c>
      <c r="K733" s="0" t="n">
        <f aca="false">F733</f>
        <v>1</v>
      </c>
      <c r="L733" s="0" t="n">
        <f aca="false">G733</f>
        <v>1</v>
      </c>
      <c r="M733" s="0" t="n">
        <f aca="false">H733</f>
        <v>1</v>
      </c>
      <c r="N733" s="0" t="n">
        <f aca="false">E733*F733</f>
        <v>-1</v>
      </c>
      <c r="O733" s="0" t="n">
        <f aca="false">E733*G733</f>
        <v>-1</v>
      </c>
      <c r="P733" s="0" t="n">
        <f aca="false">E733*H733</f>
        <v>-1</v>
      </c>
      <c r="Q733" s="0" t="n">
        <f aca="false">F733*G733</f>
        <v>1</v>
      </c>
      <c r="R733" s="0" t="n">
        <f aca="false">F733*H733</f>
        <v>1</v>
      </c>
      <c r="S733" s="0" t="n">
        <f aca="false">G733*H733</f>
        <v>1</v>
      </c>
      <c r="T733" s="0" t="n">
        <f aca="false">E733*E733</f>
        <v>1</v>
      </c>
      <c r="U733" s="0" t="n">
        <f aca="false">F733*F733</f>
        <v>1</v>
      </c>
      <c r="V733" s="0" t="n">
        <f aca="false">G733*G733</f>
        <v>1</v>
      </c>
      <c r="W733" s="0" t="n">
        <f aca="false">H733*H733</f>
        <v>1</v>
      </c>
      <c r="X733" s="0" t="n">
        <f aca="false">SUMPRODUCT(I733:W733,_XtX!$B$96:$P$96)</f>
        <v>42.9433479532164</v>
      </c>
      <c r="Y733" s="0" t="n">
        <f aca="false">SUMPRODUCT(MMULT(I733:W733,_XtX!$B$78:$P$92),I733:W733)</f>
        <v>0.658625730994152</v>
      </c>
      <c r="Z733" s="0" t="n">
        <f aca="false">04_回帰ANOVA!$K$19*04_回帰ANOVA!$K$14*SQRT(1+Y733)</f>
        <v>1.67869807328422</v>
      </c>
      <c r="AA733" s="0" t="n">
        <f aca="false">X733-Z733</f>
        <v>41.2646498799322</v>
      </c>
      <c r="AB733" s="0" t="n">
        <f aca="false">X733+Z733</f>
        <v>44.6220460265007</v>
      </c>
      <c r="AC733" s="54" t="b">
        <f aca="false">AND(E733&gt;=01_因子設定!$L$5-0.000000001,E733&lt;=01_因子設定!$M$5+0.000000001,F733&gt;=01_因子設定!$L$6-0.000000001,F733&lt;=01_因子設定!$M$6+0.000000001,G733&gt;=01_因子設定!$L$7-0.000000001,G733&lt;=01_因子設定!$M$7+0.000000001,H733&gt;=01_因子設定!$L$8-0.000000001,H733&lt;=01_因子設定!$M$8+0.000000001,IF(01_因子設定!$B$20="Box-Behnken",E733^2+F733^2+G733^2+H733^2&lt;=2+0.000000001,TRUE()))</f>
        <v>1</v>
      </c>
      <c r="AD733" s="55" t="n">
        <f aca="false">IF(AC733,IF(01_因子設定!$B$13="最大化",AA733-01_因子設定!$B$14,IF(01_因子設定!$B$13="最小化",01_因子設定!$B$15-AB733,MIN(AA733-01_因子設定!$B$14,01_因子設定!$B$15-AB733))),-1E+030)</f>
        <v>-5.23535012006779</v>
      </c>
      <c r="AE733" s="55" t="n">
        <f aca="false">IF(AC733,IF(01_因子設定!$B$13="最大化",X733,IF(01_因子設定!$B$13="最小化",-X733,-ABS(X733-01_因子設定!$B$16))),-1E+030)</f>
        <v>42.9433479532164</v>
      </c>
      <c r="AF733" s="55" t="n">
        <f aca="false">AD733+ROW()*0.000000001</f>
        <v>-5.23534938706779</v>
      </c>
      <c r="AG733" s="55" t="n">
        <f aca="false">AE733+ROW()*0.000000001</f>
        <v>42.9433486862164</v>
      </c>
    </row>
    <row r="734" customFormat="false" ht="15" hidden="false" customHeight="false" outlineLevel="0" collapsed="false">
      <c r="A734" s="0" t="n">
        <v>1</v>
      </c>
      <c r="B734" s="0" t="n">
        <v>0</v>
      </c>
      <c r="C734" s="0" t="n">
        <v>0</v>
      </c>
      <c r="D734" s="0" t="n">
        <v>0</v>
      </c>
      <c r="E734" s="0" t="n">
        <f aca="false">-1+A734*0.25</f>
        <v>-0.75</v>
      </c>
      <c r="F734" s="0" t="n">
        <f aca="false">-1+B734*0.25</f>
        <v>-1</v>
      </c>
      <c r="G734" s="0" t="n">
        <f aca="false">-1+C734*0.25</f>
        <v>-1</v>
      </c>
      <c r="H734" s="0" t="n">
        <f aca="false">-1+D734*0.25</f>
        <v>-1</v>
      </c>
      <c r="I734" s="0" t="n">
        <f aca="false">1</f>
        <v>1</v>
      </c>
      <c r="J734" s="0" t="n">
        <f aca="false">E734</f>
        <v>-0.75</v>
      </c>
      <c r="K734" s="0" t="n">
        <f aca="false">F734</f>
        <v>-1</v>
      </c>
      <c r="L734" s="0" t="n">
        <f aca="false">G734</f>
        <v>-1</v>
      </c>
      <c r="M734" s="0" t="n">
        <f aca="false">H734</f>
        <v>-1</v>
      </c>
      <c r="N734" s="0" t="n">
        <f aca="false">E734*F734</f>
        <v>0.75</v>
      </c>
      <c r="O734" s="0" t="n">
        <f aca="false">E734*G734</f>
        <v>0.75</v>
      </c>
      <c r="P734" s="0" t="n">
        <f aca="false">E734*H734</f>
        <v>0.75</v>
      </c>
      <c r="Q734" s="0" t="n">
        <f aca="false">F734*G734</f>
        <v>1</v>
      </c>
      <c r="R734" s="0" t="n">
        <f aca="false">F734*H734</f>
        <v>1</v>
      </c>
      <c r="S734" s="0" t="n">
        <f aca="false">G734*H734</f>
        <v>1</v>
      </c>
      <c r="T734" s="0" t="n">
        <f aca="false">E734*E734</f>
        <v>0.5625</v>
      </c>
      <c r="U734" s="0" t="n">
        <f aca="false">F734*F734</f>
        <v>1</v>
      </c>
      <c r="V734" s="0" t="n">
        <f aca="false">G734*G734</f>
        <v>1</v>
      </c>
      <c r="W734" s="0" t="n">
        <f aca="false">H734*H734</f>
        <v>1</v>
      </c>
      <c r="X734" s="0" t="n">
        <f aca="false">SUMPRODUCT(I734:W734,_XtX!$B$96:$P$96)</f>
        <v>38.6578947368421</v>
      </c>
      <c r="Y734" s="0" t="n">
        <f aca="false">SUMPRODUCT(MMULT(I734:W734,_XtX!$B$78:$P$92),I734:W734)</f>
        <v>0.610814144736842</v>
      </c>
      <c r="Z734" s="0" t="n">
        <f aca="false">04_回帰ANOVA!$K$19*04_回帰ANOVA!$K$14*SQRT(1+Y734)</f>
        <v>1.6543260558361</v>
      </c>
      <c r="AA734" s="0" t="n">
        <f aca="false">X734-Z734</f>
        <v>37.003568681006</v>
      </c>
      <c r="AB734" s="0" t="n">
        <f aca="false">X734+Z734</f>
        <v>40.3122207926782</v>
      </c>
      <c r="AC734" s="54" t="b">
        <f aca="false">AND(E734&gt;=01_因子設定!$L$5-0.000000001,E734&lt;=01_因子設定!$M$5+0.000000001,F734&gt;=01_因子設定!$L$6-0.000000001,F734&lt;=01_因子設定!$M$6+0.000000001,G734&gt;=01_因子設定!$L$7-0.000000001,G734&lt;=01_因子設定!$M$7+0.000000001,H734&gt;=01_因子設定!$L$8-0.000000001,H734&lt;=01_因子設定!$M$8+0.000000001,IF(01_因子設定!$B$20="Box-Behnken",E734^2+F734^2+G734^2+H734^2&lt;=2+0.000000001,TRUE()))</f>
        <v>1</v>
      </c>
      <c r="AD734" s="55" t="n">
        <f aca="false">IF(AC734,IF(01_因子設定!$B$13="最大化",AA734-01_因子設定!$B$14,IF(01_因子設定!$B$13="最小化",01_因子設定!$B$15-AB734,MIN(AA734-01_因子設定!$B$14,01_因子設定!$B$15-AB734))),-1E+030)</f>
        <v>-9.49643131899396</v>
      </c>
      <c r="AE734" s="55" t="n">
        <f aca="false">IF(AC734,IF(01_因子設定!$B$13="最大化",X734,IF(01_因子設定!$B$13="最小化",-X734,-ABS(X734-01_因子設定!$B$16))),-1E+030)</f>
        <v>38.6578947368421</v>
      </c>
      <c r="AF734" s="55" t="n">
        <f aca="false">AD734+ROW()*0.000000001</f>
        <v>-9.49643058499396</v>
      </c>
      <c r="AG734" s="55" t="n">
        <f aca="false">AE734+ROW()*0.000000001</f>
        <v>38.6578954708421</v>
      </c>
    </row>
    <row r="735" customFormat="false" ht="15" hidden="false" customHeight="false" outlineLevel="0" collapsed="false">
      <c r="A735" s="0" t="n">
        <v>1</v>
      </c>
      <c r="B735" s="0" t="n">
        <v>0</v>
      </c>
      <c r="C735" s="0" t="n">
        <v>0</v>
      </c>
      <c r="D735" s="0" t="n">
        <v>1</v>
      </c>
      <c r="E735" s="0" t="n">
        <f aca="false">-1+A735*0.25</f>
        <v>-0.75</v>
      </c>
      <c r="F735" s="0" t="n">
        <f aca="false">-1+B735*0.25</f>
        <v>-1</v>
      </c>
      <c r="G735" s="0" t="n">
        <f aca="false">-1+C735*0.25</f>
        <v>-1</v>
      </c>
      <c r="H735" s="0" t="n">
        <f aca="false">-1+D735*0.25</f>
        <v>-0.75</v>
      </c>
      <c r="I735" s="0" t="n">
        <f aca="false">1</f>
        <v>1</v>
      </c>
      <c r="J735" s="0" t="n">
        <f aca="false">E735</f>
        <v>-0.75</v>
      </c>
      <c r="K735" s="0" t="n">
        <f aca="false">F735</f>
        <v>-1</v>
      </c>
      <c r="L735" s="0" t="n">
        <f aca="false">G735</f>
        <v>-1</v>
      </c>
      <c r="M735" s="0" t="n">
        <f aca="false">H735</f>
        <v>-0.75</v>
      </c>
      <c r="N735" s="0" t="n">
        <f aca="false">E735*F735</f>
        <v>0.75</v>
      </c>
      <c r="O735" s="0" t="n">
        <f aca="false">E735*G735</f>
        <v>0.75</v>
      </c>
      <c r="P735" s="0" t="n">
        <f aca="false">E735*H735</f>
        <v>0.5625</v>
      </c>
      <c r="Q735" s="0" t="n">
        <f aca="false">F735*G735</f>
        <v>1</v>
      </c>
      <c r="R735" s="0" t="n">
        <f aca="false">F735*H735</f>
        <v>0.75</v>
      </c>
      <c r="S735" s="0" t="n">
        <f aca="false">G735*H735</f>
        <v>0.75</v>
      </c>
      <c r="T735" s="0" t="n">
        <f aca="false">E735*E735</f>
        <v>0.5625</v>
      </c>
      <c r="U735" s="0" t="n">
        <f aca="false">F735*F735</f>
        <v>1</v>
      </c>
      <c r="V735" s="0" t="n">
        <f aca="false">G735*G735</f>
        <v>1</v>
      </c>
      <c r="W735" s="0" t="n">
        <f aca="false">H735*H735</f>
        <v>0.5625</v>
      </c>
      <c r="X735" s="0" t="n">
        <f aca="false">SUMPRODUCT(I735:W735,_XtX!$B$96:$P$96)</f>
        <v>38.8844206871345</v>
      </c>
      <c r="Y735" s="0" t="n">
        <f aca="false">SUMPRODUCT(MMULT(I735:W735,_XtX!$B$78:$P$92),I735:W735)</f>
        <v>0.531311392086988</v>
      </c>
      <c r="Z735" s="0" t="n">
        <f aca="false">04_回帰ANOVA!$K$19*04_回帰ANOVA!$K$14*SQRT(1+Y735)</f>
        <v>1.61298433431428</v>
      </c>
      <c r="AA735" s="0" t="n">
        <f aca="false">X735-Z735</f>
        <v>37.2714363528202</v>
      </c>
      <c r="AB735" s="0" t="n">
        <f aca="false">X735+Z735</f>
        <v>40.4974050214488</v>
      </c>
      <c r="AC735" s="54" t="b">
        <f aca="false">AND(E735&gt;=01_因子設定!$L$5-0.000000001,E735&lt;=01_因子設定!$M$5+0.000000001,F735&gt;=01_因子設定!$L$6-0.000000001,F735&lt;=01_因子設定!$M$6+0.000000001,G735&gt;=01_因子設定!$L$7-0.000000001,G735&lt;=01_因子設定!$M$7+0.000000001,H735&gt;=01_因子設定!$L$8-0.000000001,H735&lt;=01_因子設定!$M$8+0.000000001,IF(01_因子設定!$B$20="Box-Behnken",E735^2+F735^2+G735^2+H735^2&lt;=2+0.000000001,TRUE()))</f>
        <v>1</v>
      </c>
      <c r="AD735" s="55" t="n">
        <f aca="false">IF(AC735,IF(01_因子設定!$B$13="最大化",AA735-01_因子設定!$B$14,IF(01_因子設定!$B$13="最小化",01_因子設定!$B$15-AB735,MIN(AA735-01_因子設定!$B$14,01_因子設定!$B$15-AB735))),-1E+030)</f>
        <v>-9.22856364717977</v>
      </c>
      <c r="AE735" s="55" t="n">
        <f aca="false">IF(AC735,IF(01_因子設定!$B$13="最大化",X735,IF(01_因子設定!$B$13="最小化",-X735,-ABS(X735-01_因子設定!$B$16))),-1E+030)</f>
        <v>38.8844206871345</v>
      </c>
      <c r="AF735" s="55" t="n">
        <f aca="false">AD735+ROW()*0.000000001</f>
        <v>-9.22856291217977</v>
      </c>
      <c r="AG735" s="55" t="n">
        <f aca="false">AE735+ROW()*0.000000001</f>
        <v>38.8844214221345</v>
      </c>
    </row>
    <row r="736" customFormat="false" ht="15" hidden="false" customHeight="false" outlineLevel="0" collapsed="false">
      <c r="A736" s="0" t="n">
        <v>1</v>
      </c>
      <c r="B736" s="0" t="n">
        <v>0</v>
      </c>
      <c r="C736" s="0" t="n">
        <v>0</v>
      </c>
      <c r="D736" s="0" t="n">
        <v>2</v>
      </c>
      <c r="E736" s="0" t="n">
        <f aca="false">-1+A736*0.25</f>
        <v>-0.75</v>
      </c>
      <c r="F736" s="0" t="n">
        <f aca="false">-1+B736*0.25</f>
        <v>-1</v>
      </c>
      <c r="G736" s="0" t="n">
        <f aca="false">-1+C736*0.25</f>
        <v>-1</v>
      </c>
      <c r="H736" s="0" t="n">
        <f aca="false">-1+D736*0.25</f>
        <v>-0.5</v>
      </c>
      <c r="I736" s="0" t="n">
        <f aca="false">1</f>
        <v>1</v>
      </c>
      <c r="J736" s="0" t="n">
        <f aca="false">E736</f>
        <v>-0.75</v>
      </c>
      <c r="K736" s="0" t="n">
        <f aca="false">F736</f>
        <v>-1</v>
      </c>
      <c r="L736" s="0" t="n">
        <f aca="false">G736</f>
        <v>-1</v>
      </c>
      <c r="M736" s="0" t="n">
        <f aca="false">H736</f>
        <v>-0.5</v>
      </c>
      <c r="N736" s="0" t="n">
        <f aca="false">E736*F736</f>
        <v>0.75</v>
      </c>
      <c r="O736" s="0" t="n">
        <f aca="false">E736*G736</f>
        <v>0.75</v>
      </c>
      <c r="P736" s="0" t="n">
        <f aca="false">E736*H736</f>
        <v>0.375</v>
      </c>
      <c r="Q736" s="0" t="n">
        <f aca="false">F736*G736</f>
        <v>1</v>
      </c>
      <c r="R736" s="0" t="n">
        <f aca="false">F736*H736</f>
        <v>0.5</v>
      </c>
      <c r="S736" s="0" t="n">
        <f aca="false">G736*H736</f>
        <v>0.5</v>
      </c>
      <c r="T736" s="0" t="n">
        <f aca="false">E736*E736</f>
        <v>0.5625</v>
      </c>
      <c r="U736" s="0" t="n">
        <f aca="false">F736*F736</f>
        <v>1</v>
      </c>
      <c r="V736" s="0" t="n">
        <f aca="false">G736*G736</f>
        <v>1</v>
      </c>
      <c r="W736" s="0" t="n">
        <f aca="false">H736*H736</f>
        <v>0.25</v>
      </c>
      <c r="X736" s="0" t="n">
        <f aca="false">SUMPRODUCT(I736:W736,_XtX!$B$96:$P$96)</f>
        <v>39.063139619883</v>
      </c>
      <c r="Y736" s="0" t="n">
        <f aca="false">SUMPRODUCT(MMULT(I736:W736,_XtX!$B$78:$P$92),I736:W736)</f>
        <v>0.564984237938597</v>
      </c>
      <c r="Z736" s="0" t="n">
        <f aca="false">04_回帰ANOVA!$K$19*04_回帰ANOVA!$K$14*SQRT(1+Y736)</f>
        <v>1.63062229734503</v>
      </c>
      <c r="AA736" s="0" t="n">
        <f aca="false">X736-Z736</f>
        <v>37.432517322538</v>
      </c>
      <c r="AB736" s="0" t="n">
        <f aca="false">X736+Z736</f>
        <v>40.6937619172281</v>
      </c>
      <c r="AC736" s="54" t="b">
        <f aca="false">AND(E736&gt;=01_因子設定!$L$5-0.000000001,E736&lt;=01_因子設定!$M$5+0.000000001,F736&gt;=01_因子設定!$L$6-0.000000001,F736&lt;=01_因子設定!$M$6+0.000000001,G736&gt;=01_因子設定!$L$7-0.000000001,G736&lt;=01_因子設定!$M$7+0.000000001,H736&gt;=01_因子設定!$L$8-0.000000001,H736&lt;=01_因子設定!$M$8+0.000000001,IF(01_因子設定!$B$20="Box-Behnken",E736^2+F736^2+G736^2+H736^2&lt;=2+0.000000001,TRUE()))</f>
        <v>1</v>
      </c>
      <c r="AD736" s="55" t="n">
        <f aca="false">IF(AC736,IF(01_因子設定!$B$13="最大化",AA736-01_因子設定!$B$14,IF(01_因子設定!$B$13="最小化",01_因子設定!$B$15-AB736,MIN(AA736-01_因子設定!$B$14,01_因子設定!$B$15-AB736))),-1E+030)</f>
        <v>-9.067482677462</v>
      </c>
      <c r="AE736" s="55" t="n">
        <f aca="false">IF(AC736,IF(01_因子設定!$B$13="最大化",X736,IF(01_因子設定!$B$13="最小化",-X736,-ABS(X736-01_因子設定!$B$16))),-1E+030)</f>
        <v>39.063139619883</v>
      </c>
      <c r="AF736" s="55" t="n">
        <f aca="false">AD736+ROW()*0.000000001</f>
        <v>-9.067481941462</v>
      </c>
      <c r="AG736" s="55" t="n">
        <f aca="false">AE736+ROW()*0.000000001</f>
        <v>39.063140355883</v>
      </c>
    </row>
    <row r="737" customFormat="false" ht="15" hidden="false" customHeight="false" outlineLevel="0" collapsed="false">
      <c r="A737" s="0" t="n">
        <v>1</v>
      </c>
      <c r="B737" s="0" t="n">
        <v>0</v>
      </c>
      <c r="C737" s="0" t="n">
        <v>0</v>
      </c>
      <c r="D737" s="0" t="n">
        <v>3</v>
      </c>
      <c r="E737" s="0" t="n">
        <f aca="false">-1+A737*0.25</f>
        <v>-0.75</v>
      </c>
      <c r="F737" s="0" t="n">
        <f aca="false">-1+B737*0.25</f>
        <v>-1</v>
      </c>
      <c r="G737" s="0" t="n">
        <f aca="false">-1+C737*0.25</f>
        <v>-1</v>
      </c>
      <c r="H737" s="0" t="n">
        <f aca="false">-1+D737*0.25</f>
        <v>-0.25</v>
      </c>
      <c r="I737" s="0" t="n">
        <f aca="false">1</f>
        <v>1</v>
      </c>
      <c r="J737" s="0" t="n">
        <f aca="false">E737</f>
        <v>-0.75</v>
      </c>
      <c r="K737" s="0" t="n">
        <f aca="false">F737</f>
        <v>-1</v>
      </c>
      <c r="L737" s="0" t="n">
        <f aca="false">G737</f>
        <v>-1</v>
      </c>
      <c r="M737" s="0" t="n">
        <f aca="false">H737</f>
        <v>-0.25</v>
      </c>
      <c r="N737" s="0" t="n">
        <f aca="false">E737*F737</f>
        <v>0.75</v>
      </c>
      <c r="O737" s="0" t="n">
        <f aca="false">E737*G737</f>
        <v>0.75</v>
      </c>
      <c r="P737" s="0" t="n">
        <f aca="false">E737*H737</f>
        <v>0.1875</v>
      </c>
      <c r="Q737" s="0" t="n">
        <f aca="false">F737*G737</f>
        <v>1</v>
      </c>
      <c r="R737" s="0" t="n">
        <f aca="false">F737*H737</f>
        <v>0.25</v>
      </c>
      <c r="S737" s="0" t="n">
        <f aca="false">G737*H737</f>
        <v>0.25</v>
      </c>
      <c r="T737" s="0" t="n">
        <f aca="false">E737*E737</f>
        <v>0.5625</v>
      </c>
      <c r="U737" s="0" t="n">
        <f aca="false">F737*F737</f>
        <v>1</v>
      </c>
      <c r="V737" s="0" t="n">
        <f aca="false">G737*G737</f>
        <v>1</v>
      </c>
      <c r="W737" s="0" t="n">
        <f aca="false">H737*H737</f>
        <v>0.0625</v>
      </c>
      <c r="X737" s="0" t="n">
        <f aca="false">SUMPRODUCT(I737:W737,_XtX!$B$96:$P$96)</f>
        <v>39.1940515350877</v>
      </c>
      <c r="Y737" s="0" t="n">
        <f aca="false">SUMPRODUCT(MMULT(I737:W737,_XtX!$B$78:$P$92),I737:W737)</f>
        <v>0.621372155975877</v>
      </c>
      <c r="Z737" s="0" t="n">
        <f aca="false">04_回帰ANOVA!$K$19*04_回帰ANOVA!$K$14*SQRT(1+Y737)</f>
        <v>1.65973880499872</v>
      </c>
      <c r="AA737" s="0" t="n">
        <f aca="false">X737-Z737</f>
        <v>37.534312730089</v>
      </c>
      <c r="AB737" s="0" t="n">
        <f aca="false">X737+Z737</f>
        <v>40.8537903400864</v>
      </c>
      <c r="AC737" s="54" t="b">
        <f aca="false">AND(E737&gt;=01_因子設定!$L$5-0.000000001,E737&lt;=01_因子設定!$M$5+0.000000001,F737&gt;=01_因子設定!$L$6-0.000000001,F737&lt;=01_因子設定!$M$6+0.000000001,G737&gt;=01_因子設定!$L$7-0.000000001,G737&lt;=01_因子設定!$M$7+0.000000001,H737&gt;=01_因子設定!$L$8-0.000000001,H737&lt;=01_因子設定!$M$8+0.000000001,IF(01_因子設定!$B$20="Box-Behnken",E737^2+F737^2+G737^2+H737^2&lt;=2+0.000000001,TRUE()))</f>
        <v>1</v>
      </c>
      <c r="AD737" s="55" t="n">
        <f aca="false">IF(AC737,IF(01_因子設定!$B$13="最大化",AA737-01_因子設定!$B$14,IF(01_因子設定!$B$13="最小化",01_因子設定!$B$15-AB737,MIN(AA737-01_因子設定!$B$14,01_因子設定!$B$15-AB737))),-1E+030)</f>
        <v>-8.96568726991101</v>
      </c>
      <c r="AE737" s="55" t="n">
        <f aca="false">IF(AC737,IF(01_因子設定!$B$13="最大化",X737,IF(01_因子設定!$B$13="最小化",-X737,-ABS(X737-01_因子設定!$B$16))),-1E+030)</f>
        <v>39.1940515350877</v>
      </c>
      <c r="AF737" s="55" t="n">
        <f aca="false">AD737+ROW()*0.000000001</f>
        <v>-8.96568653291101</v>
      </c>
      <c r="AG737" s="55" t="n">
        <f aca="false">AE737+ROW()*0.000000001</f>
        <v>39.1940522720877</v>
      </c>
    </row>
    <row r="738" customFormat="false" ht="15" hidden="false" customHeight="false" outlineLevel="0" collapsed="false">
      <c r="A738" s="0" t="n">
        <v>1</v>
      </c>
      <c r="B738" s="0" t="n">
        <v>0</v>
      </c>
      <c r="C738" s="0" t="n">
        <v>0</v>
      </c>
      <c r="D738" s="0" t="n">
        <v>4</v>
      </c>
      <c r="E738" s="0" t="n">
        <f aca="false">-1+A738*0.25</f>
        <v>-0.75</v>
      </c>
      <c r="F738" s="0" t="n">
        <f aca="false">-1+B738*0.25</f>
        <v>-1</v>
      </c>
      <c r="G738" s="0" t="n">
        <f aca="false">-1+C738*0.25</f>
        <v>-1</v>
      </c>
      <c r="H738" s="0" t="n">
        <f aca="false">-1+D738*0.25</f>
        <v>0</v>
      </c>
      <c r="I738" s="0" t="n">
        <f aca="false">1</f>
        <v>1</v>
      </c>
      <c r="J738" s="0" t="n">
        <f aca="false">E738</f>
        <v>-0.75</v>
      </c>
      <c r="K738" s="0" t="n">
        <f aca="false">F738</f>
        <v>-1</v>
      </c>
      <c r="L738" s="0" t="n">
        <f aca="false">G738</f>
        <v>-1</v>
      </c>
      <c r="M738" s="0" t="n">
        <f aca="false">H738</f>
        <v>0</v>
      </c>
      <c r="N738" s="0" t="n">
        <f aca="false">E738*F738</f>
        <v>0.75</v>
      </c>
      <c r="O738" s="0" t="n">
        <f aca="false">E738*G738</f>
        <v>0.75</v>
      </c>
      <c r="P738" s="0" t="n">
        <f aca="false">E738*H738</f>
        <v>-0</v>
      </c>
      <c r="Q738" s="0" t="n">
        <f aca="false">F738*G738</f>
        <v>1</v>
      </c>
      <c r="R738" s="0" t="n">
        <f aca="false">F738*H738</f>
        <v>-0</v>
      </c>
      <c r="S738" s="0" t="n">
        <f aca="false">G738*H738</f>
        <v>-0</v>
      </c>
      <c r="T738" s="0" t="n">
        <f aca="false">E738*E738</f>
        <v>0.5625</v>
      </c>
      <c r="U738" s="0" t="n">
        <f aca="false">F738*F738</f>
        <v>1</v>
      </c>
      <c r="V738" s="0" t="n">
        <f aca="false">G738*G738</f>
        <v>1</v>
      </c>
      <c r="W738" s="0" t="n">
        <f aca="false">H738*H738</f>
        <v>0</v>
      </c>
      <c r="X738" s="0" t="n">
        <f aca="false">SUMPRODUCT(I738:W738,_XtX!$B$96:$P$96)</f>
        <v>39.2771564327485</v>
      </c>
      <c r="Y738" s="0" t="n">
        <f aca="false">SUMPRODUCT(MMULT(I738:W738,_XtX!$B$78:$P$92),I738:W738)</f>
        <v>0.646198830409357</v>
      </c>
      <c r="Z738" s="0" t="n">
        <f aca="false">04_回帰ANOVA!$K$19*04_回帰ANOVA!$K$14*SQRT(1+Y738)</f>
        <v>1.67239760569756</v>
      </c>
      <c r="AA738" s="0" t="n">
        <f aca="false">X738-Z738</f>
        <v>37.604758827051</v>
      </c>
      <c r="AB738" s="0" t="n">
        <f aca="false">X738+Z738</f>
        <v>40.9495540384461</v>
      </c>
      <c r="AC738" s="54" t="b">
        <f aca="false">AND(E738&gt;=01_因子設定!$L$5-0.000000001,E738&lt;=01_因子設定!$M$5+0.000000001,F738&gt;=01_因子設定!$L$6-0.000000001,F738&lt;=01_因子設定!$M$6+0.000000001,G738&gt;=01_因子設定!$L$7-0.000000001,G738&lt;=01_因子設定!$M$7+0.000000001,H738&gt;=01_因子設定!$L$8-0.000000001,H738&lt;=01_因子設定!$M$8+0.000000001,IF(01_因子設定!$B$20="Box-Behnken",E738^2+F738^2+G738^2+H738^2&lt;=2+0.000000001,TRUE()))</f>
        <v>1</v>
      </c>
      <c r="AD738" s="55" t="n">
        <f aca="false">IF(AC738,IF(01_因子設定!$B$13="最大化",AA738-01_因子設定!$B$14,IF(01_因子設定!$B$13="最小化",01_因子設定!$B$15-AB738,MIN(AA738-01_因子設定!$B$14,01_因子設定!$B$15-AB738))),-1E+030)</f>
        <v>-8.89524117294903</v>
      </c>
      <c r="AE738" s="55" t="n">
        <f aca="false">IF(AC738,IF(01_因子設定!$B$13="最大化",X738,IF(01_因子設定!$B$13="最小化",-X738,-ABS(X738-01_因子設定!$B$16))),-1E+030)</f>
        <v>39.2771564327485</v>
      </c>
      <c r="AF738" s="55" t="n">
        <f aca="false">AD738+ROW()*0.000000001</f>
        <v>-8.89524043494903</v>
      </c>
      <c r="AG738" s="55" t="n">
        <f aca="false">AE738+ROW()*0.000000001</f>
        <v>39.2771571707485</v>
      </c>
    </row>
    <row r="739" customFormat="false" ht="15" hidden="false" customHeight="false" outlineLevel="0" collapsed="false">
      <c r="A739" s="0" t="n">
        <v>1</v>
      </c>
      <c r="B739" s="0" t="n">
        <v>0</v>
      </c>
      <c r="C739" s="0" t="n">
        <v>0</v>
      </c>
      <c r="D739" s="0" t="n">
        <v>5</v>
      </c>
      <c r="E739" s="0" t="n">
        <f aca="false">-1+A739*0.25</f>
        <v>-0.75</v>
      </c>
      <c r="F739" s="0" t="n">
        <f aca="false">-1+B739*0.25</f>
        <v>-1</v>
      </c>
      <c r="G739" s="0" t="n">
        <f aca="false">-1+C739*0.25</f>
        <v>-1</v>
      </c>
      <c r="H739" s="0" t="n">
        <f aca="false">-1+D739*0.25</f>
        <v>0.25</v>
      </c>
      <c r="I739" s="0" t="n">
        <f aca="false">1</f>
        <v>1</v>
      </c>
      <c r="J739" s="0" t="n">
        <f aca="false">E739</f>
        <v>-0.75</v>
      </c>
      <c r="K739" s="0" t="n">
        <f aca="false">F739</f>
        <v>-1</v>
      </c>
      <c r="L739" s="0" t="n">
        <f aca="false">G739</f>
        <v>-1</v>
      </c>
      <c r="M739" s="0" t="n">
        <f aca="false">H739</f>
        <v>0.25</v>
      </c>
      <c r="N739" s="0" t="n">
        <f aca="false">E739*F739</f>
        <v>0.75</v>
      </c>
      <c r="O739" s="0" t="n">
        <f aca="false">E739*G739</f>
        <v>0.75</v>
      </c>
      <c r="P739" s="0" t="n">
        <f aca="false">E739*H739</f>
        <v>-0.1875</v>
      </c>
      <c r="Q739" s="0" t="n">
        <f aca="false">F739*G739</f>
        <v>1</v>
      </c>
      <c r="R739" s="0" t="n">
        <f aca="false">F739*H739</f>
        <v>-0.25</v>
      </c>
      <c r="S739" s="0" t="n">
        <f aca="false">G739*H739</f>
        <v>-0.25</v>
      </c>
      <c r="T739" s="0" t="n">
        <f aca="false">E739*E739</f>
        <v>0.5625</v>
      </c>
      <c r="U739" s="0" t="n">
        <f aca="false">F739*F739</f>
        <v>1</v>
      </c>
      <c r="V739" s="0" t="n">
        <f aca="false">G739*G739</f>
        <v>1</v>
      </c>
      <c r="W739" s="0" t="n">
        <f aca="false">H739*H739</f>
        <v>0.0625</v>
      </c>
      <c r="X739" s="0" t="n">
        <f aca="false">SUMPRODUCT(I739:W739,_XtX!$B$96:$P$96)</f>
        <v>39.3124543128655</v>
      </c>
      <c r="Y739" s="0" t="n">
        <f aca="false">SUMPRODUCT(MMULT(I739:W739,_XtX!$B$78:$P$92),I739:W739)</f>
        <v>0.621372155975877</v>
      </c>
      <c r="Z739" s="0" t="n">
        <f aca="false">04_回帰ANOVA!$K$19*04_回帰ANOVA!$K$14*SQRT(1+Y739)</f>
        <v>1.65973880499872</v>
      </c>
      <c r="AA739" s="0" t="n">
        <f aca="false">X739-Z739</f>
        <v>37.6527155078668</v>
      </c>
      <c r="AB739" s="0" t="n">
        <f aca="false">X739+Z739</f>
        <v>40.9721931178642</v>
      </c>
      <c r="AC739" s="54" t="b">
        <f aca="false">AND(E739&gt;=01_因子設定!$L$5-0.000000001,E739&lt;=01_因子設定!$M$5+0.000000001,F739&gt;=01_因子設定!$L$6-0.000000001,F739&lt;=01_因子設定!$M$6+0.000000001,G739&gt;=01_因子設定!$L$7-0.000000001,G739&lt;=01_因子設定!$M$7+0.000000001,H739&gt;=01_因子設定!$L$8-0.000000001,H739&lt;=01_因子設定!$M$8+0.000000001,IF(01_因子設定!$B$20="Box-Behnken",E739^2+F739^2+G739^2+H739^2&lt;=2+0.000000001,TRUE()))</f>
        <v>1</v>
      </c>
      <c r="AD739" s="55" t="n">
        <f aca="false">IF(AC739,IF(01_因子設定!$B$13="最大化",AA739-01_因子設定!$B$14,IF(01_因子設定!$B$13="最小化",01_因子設定!$B$15-AB739,MIN(AA739-01_因子設定!$B$14,01_因子設定!$B$15-AB739))),-1E+030)</f>
        <v>-8.84728449213323</v>
      </c>
      <c r="AE739" s="55" t="n">
        <f aca="false">IF(AC739,IF(01_因子設定!$B$13="最大化",X739,IF(01_因子設定!$B$13="最小化",-X739,-ABS(X739-01_因子設定!$B$16))),-1E+030)</f>
        <v>39.3124543128655</v>
      </c>
      <c r="AF739" s="55" t="n">
        <f aca="false">AD739+ROW()*0.000000001</f>
        <v>-8.84728375313323</v>
      </c>
      <c r="AG739" s="55" t="n">
        <f aca="false">AE739+ROW()*0.000000001</f>
        <v>39.3124550518655</v>
      </c>
    </row>
    <row r="740" customFormat="false" ht="15" hidden="false" customHeight="false" outlineLevel="0" collapsed="false">
      <c r="A740" s="0" t="n">
        <v>1</v>
      </c>
      <c r="B740" s="0" t="n">
        <v>0</v>
      </c>
      <c r="C740" s="0" t="n">
        <v>0</v>
      </c>
      <c r="D740" s="0" t="n">
        <v>6</v>
      </c>
      <c r="E740" s="0" t="n">
        <f aca="false">-1+A740*0.25</f>
        <v>-0.75</v>
      </c>
      <c r="F740" s="0" t="n">
        <f aca="false">-1+B740*0.25</f>
        <v>-1</v>
      </c>
      <c r="G740" s="0" t="n">
        <f aca="false">-1+C740*0.25</f>
        <v>-1</v>
      </c>
      <c r="H740" s="0" t="n">
        <f aca="false">-1+D740*0.25</f>
        <v>0.5</v>
      </c>
      <c r="I740" s="0" t="n">
        <f aca="false">1</f>
        <v>1</v>
      </c>
      <c r="J740" s="0" t="n">
        <f aca="false">E740</f>
        <v>-0.75</v>
      </c>
      <c r="K740" s="0" t="n">
        <f aca="false">F740</f>
        <v>-1</v>
      </c>
      <c r="L740" s="0" t="n">
        <f aca="false">G740</f>
        <v>-1</v>
      </c>
      <c r="M740" s="0" t="n">
        <f aca="false">H740</f>
        <v>0.5</v>
      </c>
      <c r="N740" s="0" t="n">
        <f aca="false">E740*F740</f>
        <v>0.75</v>
      </c>
      <c r="O740" s="0" t="n">
        <f aca="false">E740*G740</f>
        <v>0.75</v>
      </c>
      <c r="P740" s="0" t="n">
        <f aca="false">E740*H740</f>
        <v>-0.375</v>
      </c>
      <c r="Q740" s="0" t="n">
        <f aca="false">F740*G740</f>
        <v>1</v>
      </c>
      <c r="R740" s="0" t="n">
        <f aca="false">F740*H740</f>
        <v>-0.5</v>
      </c>
      <c r="S740" s="0" t="n">
        <f aca="false">G740*H740</f>
        <v>-0.5</v>
      </c>
      <c r="T740" s="0" t="n">
        <f aca="false">E740*E740</f>
        <v>0.5625</v>
      </c>
      <c r="U740" s="0" t="n">
        <f aca="false">F740*F740</f>
        <v>1</v>
      </c>
      <c r="V740" s="0" t="n">
        <f aca="false">G740*G740</f>
        <v>1</v>
      </c>
      <c r="W740" s="0" t="n">
        <f aca="false">H740*H740</f>
        <v>0.25</v>
      </c>
      <c r="X740" s="0" t="n">
        <f aca="false">SUMPRODUCT(I740:W740,_XtX!$B$96:$P$96)</f>
        <v>39.2999451754386</v>
      </c>
      <c r="Y740" s="0" t="n">
        <f aca="false">SUMPRODUCT(MMULT(I740:W740,_XtX!$B$78:$P$92),I740:W740)</f>
        <v>0.564984237938597</v>
      </c>
      <c r="Z740" s="0" t="n">
        <f aca="false">04_回帰ANOVA!$K$19*04_回帰ANOVA!$K$14*SQRT(1+Y740)</f>
        <v>1.63062229734503</v>
      </c>
      <c r="AA740" s="0" t="n">
        <f aca="false">X740-Z740</f>
        <v>37.6693228780936</v>
      </c>
      <c r="AB740" s="0" t="n">
        <f aca="false">X740+Z740</f>
        <v>40.9305674727836</v>
      </c>
      <c r="AC740" s="54" t="b">
        <f aca="false">AND(E740&gt;=01_因子設定!$L$5-0.000000001,E740&lt;=01_因子設定!$M$5+0.000000001,F740&gt;=01_因子設定!$L$6-0.000000001,F740&lt;=01_因子設定!$M$6+0.000000001,G740&gt;=01_因子設定!$L$7-0.000000001,G740&lt;=01_因子設定!$M$7+0.000000001,H740&gt;=01_因子設定!$L$8-0.000000001,H740&lt;=01_因子設定!$M$8+0.000000001,IF(01_因子設定!$B$20="Box-Behnken",E740^2+F740^2+G740^2+H740^2&lt;=2+0.000000001,TRUE()))</f>
        <v>1</v>
      </c>
      <c r="AD740" s="55" t="n">
        <f aca="false">IF(AC740,IF(01_因子設定!$B$13="最大化",AA740-01_因子設定!$B$14,IF(01_因子設定!$B$13="最小化",01_因子設定!$B$15-AB740,MIN(AA740-01_因子設定!$B$14,01_因子設定!$B$15-AB740))),-1E+030)</f>
        <v>-8.83067712190644</v>
      </c>
      <c r="AE740" s="55" t="n">
        <f aca="false">IF(AC740,IF(01_因子設定!$B$13="最大化",X740,IF(01_因子設定!$B$13="最小化",-X740,-ABS(X740-01_因子設定!$B$16))),-1E+030)</f>
        <v>39.2999451754386</v>
      </c>
      <c r="AF740" s="55" t="n">
        <f aca="false">AD740+ROW()*0.000000001</f>
        <v>-8.83067638190644</v>
      </c>
      <c r="AG740" s="55" t="n">
        <f aca="false">AE740+ROW()*0.000000001</f>
        <v>39.2999459154386</v>
      </c>
    </row>
    <row r="741" customFormat="false" ht="15" hidden="false" customHeight="false" outlineLevel="0" collapsed="false">
      <c r="A741" s="0" t="n">
        <v>1</v>
      </c>
      <c r="B741" s="0" t="n">
        <v>0</v>
      </c>
      <c r="C741" s="0" t="n">
        <v>0</v>
      </c>
      <c r="D741" s="0" t="n">
        <v>7</v>
      </c>
      <c r="E741" s="0" t="n">
        <f aca="false">-1+A741*0.25</f>
        <v>-0.75</v>
      </c>
      <c r="F741" s="0" t="n">
        <f aca="false">-1+B741*0.25</f>
        <v>-1</v>
      </c>
      <c r="G741" s="0" t="n">
        <f aca="false">-1+C741*0.25</f>
        <v>-1</v>
      </c>
      <c r="H741" s="0" t="n">
        <f aca="false">-1+D741*0.25</f>
        <v>0.75</v>
      </c>
      <c r="I741" s="0" t="n">
        <f aca="false">1</f>
        <v>1</v>
      </c>
      <c r="J741" s="0" t="n">
        <f aca="false">E741</f>
        <v>-0.75</v>
      </c>
      <c r="K741" s="0" t="n">
        <f aca="false">F741</f>
        <v>-1</v>
      </c>
      <c r="L741" s="0" t="n">
        <f aca="false">G741</f>
        <v>-1</v>
      </c>
      <c r="M741" s="0" t="n">
        <f aca="false">H741</f>
        <v>0.75</v>
      </c>
      <c r="N741" s="0" t="n">
        <f aca="false">E741*F741</f>
        <v>0.75</v>
      </c>
      <c r="O741" s="0" t="n">
        <f aca="false">E741*G741</f>
        <v>0.75</v>
      </c>
      <c r="P741" s="0" t="n">
        <f aca="false">E741*H741</f>
        <v>-0.5625</v>
      </c>
      <c r="Q741" s="0" t="n">
        <f aca="false">F741*G741</f>
        <v>1</v>
      </c>
      <c r="R741" s="0" t="n">
        <f aca="false">F741*H741</f>
        <v>-0.75</v>
      </c>
      <c r="S741" s="0" t="n">
        <f aca="false">G741*H741</f>
        <v>-0.75</v>
      </c>
      <c r="T741" s="0" t="n">
        <f aca="false">E741*E741</f>
        <v>0.5625</v>
      </c>
      <c r="U741" s="0" t="n">
        <f aca="false">F741*F741</f>
        <v>1</v>
      </c>
      <c r="V741" s="0" t="n">
        <f aca="false">G741*G741</f>
        <v>1</v>
      </c>
      <c r="W741" s="0" t="n">
        <f aca="false">H741*H741</f>
        <v>0.5625</v>
      </c>
      <c r="X741" s="0" t="n">
        <f aca="false">SUMPRODUCT(I741:W741,_XtX!$B$96:$P$96)</f>
        <v>39.2396290204678</v>
      </c>
      <c r="Y741" s="0" t="n">
        <f aca="false">SUMPRODUCT(MMULT(I741:W741,_XtX!$B$78:$P$92),I741:W741)</f>
        <v>0.531311392086988</v>
      </c>
      <c r="Z741" s="0" t="n">
        <f aca="false">04_回帰ANOVA!$K$19*04_回帰ANOVA!$K$14*SQRT(1+Y741)</f>
        <v>1.61298433431428</v>
      </c>
      <c r="AA741" s="0" t="n">
        <f aca="false">X741-Z741</f>
        <v>37.6266446861536</v>
      </c>
      <c r="AB741" s="0" t="n">
        <f aca="false">X741+Z741</f>
        <v>40.8526133547821</v>
      </c>
      <c r="AC741" s="54" t="b">
        <f aca="false">AND(E741&gt;=01_因子設定!$L$5-0.000000001,E741&lt;=01_因子設定!$M$5+0.000000001,F741&gt;=01_因子設定!$L$6-0.000000001,F741&lt;=01_因子設定!$M$6+0.000000001,G741&gt;=01_因子設定!$L$7-0.000000001,G741&lt;=01_因子設定!$M$7+0.000000001,H741&gt;=01_因子設定!$L$8-0.000000001,H741&lt;=01_因子設定!$M$8+0.000000001,IF(01_因子設定!$B$20="Box-Behnken",E741^2+F741^2+G741^2+H741^2&lt;=2+0.000000001,TRUE()))</f>
        <v>1</v>
      </c>
      <c r="AD741" s="55" t="n">
        <f aca="false">IF(AC741,IF(01_因子設定!$B$13="最大化",AA741-01_因子設定!$B$14,IF(01_因子設定!$B$13="最小化",01_因子設定!$B$15-AB741,MIN(AA741-01_因子設定!$B$14,01_因子設定!$B$15-AB741))),-1E+030)</f>
        <v>-8.87335531384644</v>
      </c>
      <c r="AE741" s="55" t="n">
        <f aca="false">IF(AC741,IF(01_因子設定!$B$13="最大化",X741,IF(01_因子設定!$B$13="最小化",-X741,-ABS(X741-01_因子設定!$B$16))),-1E+030)</f>
        <v>39.2396290204678</v>
      </c>
      <c r="AF741" s="55" t="n">
        <f aca="false">AD741+ROW()*0.000000001</f>
        <v>-8.87335457284644</v>
      </c>
      <c r="AG741" s="55" t="n">
        <f aca="false">AE741+ROW()*0.000000001</f>
        <v>39.2396297614678</v>
      </c>
    </row>
    <row r="742" customFormat="false" ht="15" hidden="false" customHeight="false" outlineLevel="0" collapsed="false">
      <c r="A742" s="0" t="n">
        <v>1</v>
      </c>
      <c r="B742" s="0" t="n">
        <v>0</v>
      </c>
      <c r="C742" s="0" t="n">
        <v>0</v>
      </c>
      <c r="D742" s="0" t="n">
        <v>8</v>
      </c>
      <c r="E742" s="0" t="n">
        <f aca="false">-1+A742*0.25</f>
        <v>-0.75</v>
      </c>
      <c r="F742" s="0" t="n">
        <f aca="false">-1+B742*0.25</f>
        <v>-1</v>
      </c>
      <c r="G742" s="0" t="n">
        <f aca="false">-1+C742*0.25</f>
        <v>-1</v>
      </c>
      <c r="H742" s="0" t="n">
        <f aca="false">-1+D742*0.25</f>
        <v>1</v>
      </c>
      <c r="I742" s="0" t="n">
        <f aca="false">1</f>
        <v>1</v>
      </c>
      <c r="J742" s="0" t="n">
        <f aca="false">E742</f>
        <v>-0.75</v>
      </c>
      <c r="K742" s="0" t="n">
        <f aca="false">F742</f>
        <v>-1</v>
      </c>
      <c r="L742" s="0" t="n">
        <f aca="false">G742</f>
        <v>-1</v>
      </c>
      <c r="M742" s="0" t="n">
        <f aca="false">H742</f>
        <v>1</v>
      </c>
      <c r="N742" s="0" t="n">
        <f aca="false">E742*F742</f>
        <v>0.75</v>
      </c>
      <c r="O742" s="0" t="n">
        <f aca="false">E742*G742</f>
        <v>0.75</v>
      </c>
      <c r="P742" s="0" t="n">
        <f aca="false">E742*H742</f>
        <v>-0.75</v>
      </c>
      <c r="Q742" s="0" t="n">
        <f aca="false">F742*G742</f>
        <v>1</v>
      </c>
      <c r="R742" s="0" t="n">
        <f aca="false">F742*H742</f>
        <v>-1</v>
      </c>
      <c r="S742" s="0" t="n">
        <f aca="false">G742*H742</f>
        <v>-1</v>
      </c>
      <c r="T742" s="0" t="n">
        <f aca="false">E742*E742</f>
        <v>0.5625</v>
      </c>
      <c r="U742" s="0" t="n">
        <f aca="false">F742*F742</f>
        <v>1</v>
      </c>
      <c r="V742" s="0" t="n">
        <f aca="false">G742*G742</f>
        <v>1</v>
      </c>
      <c r="W742" s="0" t="n">
        <f aca="false">H742*H742</f>
        <v>1</v>
      </c>
      <c r="X742" s="0" t="n">
        <f aca="false">SUMPRODUCT(I742:W742,_XtX!$B$96:$P$96)</f>
        <v>39.1315058479532</v>
      </c>
      <c r="Y742" s="0" t="n">
        <f aca="false">SUMPRODUCT(MMULT(I742:W742,_XtX!$B$78:$P$92),I742:W742)</f>
        <v>0.610814144736842</v>
      </c>
      <c r="Z742" s="0" t="n">
        <f aca="false">04_回帰ANOVA!$K$19*04_回帰ANOVA!$K$14*SQRT(1+Y742)</f>
        <v>1.6543260558361</v>
      </c>
      <c r="AA742" s="0" t="n">
        <f aca="false">X742-Z742</f>
        <v>37.4771797921172</v>
      </c>
      <c r="AB742" s="0" t="n">
        <f aca="false">X742+Z742</f>
        <v>40.7858319037893</v>
      </c>
      <c r="AC742" s="54" t="b">
        <f aca="false">AND(E742&gt;=01_因子設定!$L$5-0.000000001,E742&lt;=01_因子設定!$M$5+0.000000001,F742&gt;=01_因子設定!$L$6-0.000000001,F742&lt;=01_因子設定!$M$6+0.000000001,G742&gt;=01_因子設定!$L$7-0.000000001,G742&lt;=01_因子設定!$M$7+0.000000001,H742&gt;=01_因子設定!$L$8-0.000000001,H742&lt;=01_因子設定!$M$8+0.000000001,IF(01_因子設定!$B$20="Box-Behnken",E742^2+F742^2+G742^2+H742^2&lt;=2+0.000000001,TRUE()))</f>
        <v>1</v>
      </c>
      <c r="AD742" s="55" t="n">
        <f aca="false">IF(AC742,IF(01_因子設定!$B$13="最大化",AA742-01_因子設定!$B$14,IF(01_因子設定!$B$13="最小化",01_因子設定!$B$15-AB742,MIN(AA742-01_因子設定!$B$14,01_因子設定!$B$15-AB742))),-1E+030)</f>
        <v>-9.02282020788285</v>
      </c>
      <c r="AE742" s="55" t="n">
        <f aca="false">IF(AC742,IF(01_因子設定!$B$13="最大化",X742,IF(01_因子設定!$B$13="最小化",-X742,-ABS(X742-01_因子設定!$B$16))),-1E+030)</f>
        <v>39.1315058479532</v>
      </c>
      <c r="AF742" s="55" t="n">
        <f aca="false">AD742+ROW()*0.000000001</f>
        <v>-9.02281946588285</v>
      </c>
      <c r="AG742" s="55" t="n">
        <f aca="false">AE742+ROW()*0.000000001</f>
        <v>39.1315065899532</v>
      </c>
    </row>
    <row r="743" customFormat="false" ht="15" hidden="false" customHeight="false" outlineLevel="0" collapsed="false">
      <c r="A743" s="0" t="n">
        <v>1</v>
      </c>
      <c r="B743" s="0" t="n">
        <v>0</v>
      </c>
      <c r="C743" s="0" t="n">
        <v>1</v>
      </c>
      <c r="D743" s="0" t="n">
        <v>0</v>
      </c>
      <c r="E743" s="0" t="n">
        <f aca="false">-1+A743*0.25</f>
        <v>-0.75</v>
      </c>
      <c r="F743" s="0" t="n">
        <f aca="false">-1+B743*0.25</f>
        <v>-1</v>
      </c>
      <c r="G743" s="0" t="n">
        <f aca="false">-1+C743*0.25</f>
        <v>-0.75</v>
      </c>
      <c r="H743" s="0" t="n">
        <f aca="false">-1+D743*0.25</f>
        <v>-1</v>
      </c>
      <c r="I743" s="0" t="n">
        <f aca="false">1</f>
        <v>1</v>
      </c>
      <c r="J743" s="0" t="n">
        <f aca="false">E743</f>
        <v>-0.75</v>
      </c>
      <c r="K743" s="0" t="n">
        <f aca="false">F743</f>
        <v>-1</v>
      </c>
      <c r="L743" s="0" t="n">
        <f aca="false">G743</f>
        <v>-0.75</v>
      </c>
      <c r="M743" s="0" t="n">
        <f aca="false">H743</f>
        <v>-1</v>
      </c>
      <c r="N743" s="0" t="n">
        <f aca="false">E743*F743</f>
        <v>0.75</v>
      </c>
      <c r="O743" s="0" t="n">
        <f aca="false">E743*G743</f>
        <v>0.5625</v>
      </c>
      <c r="P743" s="0" t="n">
        <f aca="false">E743*H743</f>
        <v>0.75</v>
      </c>
      <c r="Q743" s="0" t="n">
        <f aca="false">F743*G743</f>
        <v>0.75</v>
      </c>
      <c r="R743" s="0" t="n">
        <f aca="false">F743*H743</f>
        <v>1</v>
      </c>
      <c r="S743" s="0" t="n">
        <f aca="false">G743*H743</f>
        <v>0.75</v>
      </c>
      <c r="T743" s="0" t="n">
        <f aca="false">E743*E743</f>
        <v>0.5625</v>
      </c>
      <c r="U743" s="0" t="n">
        <f aca="false">F743*F743</f>
        <v>1</v>
      </c>
      <c r="V743" s="0" t="n">
        <f aca="false">G743*G743</f>
        <v>0.5625</v>
      </c>
      <c r="W743" s="0" t="n">
        <f aca="false">H743*H743</f>
        <v>1</v>
      </c>
      <c r="X743" s="0" t="n">
        <f aca="false">SUMPRODUCT(I743:W743,_XtX!$B$96:$P$96)</f>
        <v>39.174177631579</v>
      </c>
      <c r="Y743" s="0" t="n">
        <f aca="false">SUMPRODUCT(MMULT(I743:W743,_XtX!$B$78:$P$92),I743:W743)</f>
        <v>0.531311392086988</v>
      </c>
      <c r="Z743" s="0" t="n">
        <f aca="false">04_回帰ANOVA!$K$19*04_回帰ANOVA!$K$14*SQRT(1+Y743)</f>
        <v>1.61298433431428</v>
      </c>
      <c r="AA743" s="0" t="n">
        <f aca="false">X743-Z743</f>
        <v>37.5611932972647</v>
      </c>
      <c r="AB743" s="0" t="n">
        <f aca="false">X743+Z743</f>
        <v>40.7871619658933</v>
      </c>
      <c r="AC743" s="54" t="b">
        <f aca="false">AND(E743&gt;=01_因子設定!$L$5-0.000000001,E743&lt;=01_因子設定!$M$5+0.000000001,F743&gt;=01_因子設定!$L$6-0.000000001,F743&lt;=01_因子設定!$M$6+0.000000001,G743&gt;=01_因子設定!$L$7-0.000000001,G743&lt;=01_因子設定!$M$7+0.000000001,H743&gt;=01_因子設定!$L$8-0.000000001,H743&lt;=01_因子設定!$M$8+0.000000001,IF(01_因子設定!$B$20="Box-Behnken",E743^2+F743^2+G743^2+H743^2&lt;=2+0.000000001,TRUE()))</f>
        <v>1</v>
      </c>
      <c r="AD743" s="55" t="n">
        <f aca="false">IF(AC743,IF(01_因子設定!$B$13="最大化",AA743-01_因子設定!$B$14,IF(01_因子設定!$B$13="最小化",01_因子設定!$B$15-AB743,MIN(AA743-01_因子設定!$B$14,01_因子設定!$B$15-AB743))),-1E+030)</f>
        <v>-8.93880670273531</v>
      </c>
      <c r="AE743" s="55" t="n">
        <f aca="false">IF(AC743,IF(01_因子設定!$B$13="最大化",X743,IF(01_因子設定!$B$13="最小化",-X743,-ABS(X743-01_因子設定!$B$16))),-1E+030)</f>
        <v>39.174177631579</v>
      </c>
      <c r="AF743" s="55" t="n">
        <f aca="false">AD743+ROW()*0.000000001</f>
        <v>-8.93880595973531</v>
      </c>
      <c r="AG743" s="55" t="n">
        <f aca="false">AE743+ROW()*0.000000001</f>
        <v>39.174178374579</v>
      </c>
    </row>
    <row r="744" customFormat="false" ht="15" hidden="false" customHeight="false" outlineLevel="0" collapsed="false">
      <c r="A744" s="0" t="n">
        <v>1</v>
      </c>
      <c r="B744" s="0" t="n">
        <v>0</v>
      </c>
      <c r="C744" s="0" t="n">
        <v>1</v>
      </c>
      <c r="D744" s="0" t="n">
        <v>1</v>
      </c>
      <c r="E744" s="0" t="n">
        <f aca="false">-1+A744*0.25</f>
        <v>-0.75</v>
      </c>
      <c r="F744" s="0" t="n">
        <f aca="false">-1+B744*0.25</f>
        <v>-1</v>
      </c>
      <c r="G744" s="0" t="n">
        <f aca="false">-1+C744*0.25</f>
        <v>-0.75</v>
      </c>
      <c r="H744" s="0" t="n">
        <f aca="false">-1+D744*0.25</f>
        <v>-0.75</v>
      </c>
      <c r="I744" s="0" t="n">
        <f aca="false">1</f>
        <v>1</v>
      </c>
      <c r="J744" s="0" t="n">
        <f aca="false">E744</f>
        <v>-0.75</v>
      </c>
      <c r="K744" s="0" t="n">
        <f aca="false">F744</f>
        <v>-1</v>
      </c>
      <c r="L744" s="0" t="n">
        <f aca="false">G744</f>
        <v>-0.75</v>
      </c>
      <c r="M744" s="0" t="n">
        <f aca="false">H744</f>
        <v>-0.75</v>
      </c>
      <c r="N744" s="0" t="n">
        <f aca="false">E744*F744</f>
        <v>0.75</v>
      </c>
      <c r="O744" s="0" t="n">
        <f aca="false">E744*G744</f>
        <v>0.5625</v>
      </c>
      <c r="P744" s="0" t="n">
        <f aca="false">E744*H744</f>
        <v>0.5625</v>
      </c>
      <c r="Q744" s="0" t="n">
        <f aca="false">F744*G744</f>
        <v>0.75</v>
      </c>
      <c r="R744" s="0" t="n">
        <f aca="false">F744*H744</f>
        <v>0.75</v>
      </c>
      <c r="S744" s="0" t="n">
        <f aca="false">G744*H744</f>
        <v>0.5625</v>
      </c>
      <c r="T744" s="0" t="n">
        <f aca="false">E744*E744</f>
        <v>0.5625</v>
      </c>
      <c r="U744" s="0" t="n">
        <f aca="false">F744*F744</f>
        <v>1</v>
      </c>
      <c r="V744" s="0" t="n">
        <f aca="false">G744*G744</f>
        <v>0.5625</v>
      </c>
      <c r="W744" s="0" t="n">
        <f aca="false">H744*H744</f>
        <v>0.5625</v>
      </c>
      <c r="X744" s="0" t="n">
        <f aca="false">SUMPRODUCT(I744:W744,_XtX!$B$96:$P$96)</f>
        <v>39.4186723318714</v>
      </c>
      <c r="Y744" s="0" t="n">
        <f aca="false">SUMPRODUCT(MMULT(I744:W744,_XtX!$B$78:$P$92),I744:W744)</f>
        <v>0.420117473044591</v>
      </c>
      <c r="Z744" s="0" t="n">
        <f aca="false">04_回帰ANOVA!$K$19*04_回帰ANOVA!$K$14*SQRT(1+Y744)</f>
        <v>1.55331854827765</v>
      </c>
      <c r="AA744" s="0" t="n">
        <f aca="false">X744-Z744</f>
        <v>37.8653537835937</v>
      </c>
      <c r="AB744" s="0" t="n">
        <f aca="false">X744+Z744</f>
        <v>40.971990880149</v>
      </c>
      <c r="AC744" s="54" t="b">
        <f aca="false">AND(E744&gt;=01_因子設定!$L$5-0.000000001,E744&lt;=01_因子設定!$M$5+0.000000001,F744&gt;=01_因子設定!$L$6-0.000000001,F744&lt;=01_因子設定!$M$6+0.000000001,G744&gt;=01_因子設定!$L$7-0.000000001,G744&lt;=01_因子設定!$M$7+0.000000001,H744&gt;=01_因子設定!$L$8-0.000000001,H744&lt;=01_因子設定!$M$8+0.000000001,IF(01_因子設定!$B$20="Box-Behnken",E744^2+F744^2+G744^2+H744^2&lt;=2+0.000000001,TRUE()))</f>
        <v>1</v>
      </c>
      <c r="AD744" s="55" t="n">
        <f aca="false">IF(AC744,IF(01_因子設定!$B$13="最大化",AA744-01_因子設定!$B$14,IF(01_因子設定!$B$13="最小化",01_因子設定!$B$15-AB744,MIN(AA744-01_因子設定!$B$14,01_因子設定!$B$15-AB744))),-1E+030)</f>
        <v>-8.63464621640629</v>
      </c>
      <c r="AE744" s="55" t="n">
        <f aca="false">IF(AC744,IF(01_因子設定!$B$13="最大化",X744,IF(01_因子設定!$B$13="最小化",-X744,-ABS(X744-01_因子設定!$B$16))),-1E+030)</f>
        <v>39.4186723318714</v>
      </c>
      <c r="AF744" s="55" t="n">
        <f aca="false">AD744+ROW()*0.000000001</f>
        <v>-8.63464547240629</v>
      </c>
      <c r="AG744" s="55" t="n">
        <f aca="false">AE744+ROW()*0.000000001</f>
        <v>39.4186730758714</v>
      </c>
    </row>
    <row r="745" customFormat="false" ht="15" hidden="false" customHeight="false" outlineLevel="0" collapsed="false">
      <c r="A745" s="0" t="n">
        <v>1</v>
      </c>
      <c r="B745" s="0" t="n">
        <v>0</v>
      </c>
      <c r="C745" s="0" t="n">
        <v>1</v>
      </c>
      <c r="D745" s="0" t="n">
        <v>2</v>
      </c>
      <c r="E745" s="0" t="n">
        <f aca="false">-1+A745*0.25</f>
        <v>-0.75</v>
      </c>
      <c r="F745" s="0" t="n">
        <f aca="false">-1+B745*0.25</f>
        <v>-1</v>
      </c>
      <c r="G745" s="0" t="n">
        <f aca="false">-1+C745*0.25</f>
        <v>-0.75</v>
      </c>
      <c r="H745" s="0" t="n">
        <f aca="false">-1+D745*0.25</f>
        <v>-0.5</v>
      </c>
      <c r="I745" s="0" t="n">
        <f aca="false">1</f>
        <v>1</v>
      </c>
      <c r="J745" s="0" t="n">
        <f aca="false">E745</f>
        <v>-0.75</v>
      </c>
      <c r="K745" s="0" t="n">
        <f aca="false">F745</f>
        <v>-1</v>
      </c>
      <c r="L745" s="0" t="n">
        <f aca="false">G745</f>
        <v>-0.75</v>
      </c>
      <c r="M745" s="0" t="n">
        <f aca="false">H745</f>
        <v>-0.5</v>
      </c>
      <c r="N745" s="0" t="n">
        <f aca="false">E745*F745</f>
        <v>0.75</v>
      </c>
      <c r="O745" s="0" t="n">
        <f aca="false">E745*G745</f>
        <v>0.5625</v>
      </c>
      <c r="P745" s="0" t="n">
        <f aca="false">E745*H745</f>
        <v>0.375</v>
      </c>
      <c r="Q745" s="0" t="n">
        <f aca="false">F745*G745</f>
        <v>0.75</v>
      </c>
      <c r="R745" s="0" t="n">
        <f aca="false">F745*H745</f>
        <v>0.5</v>
      </c>
      <c r="S745" s="0" t="n">
        <f aca="false">G745*H745</f>
        <v>0.375</v>
      </c>
      <c r="T745" s="0" t="n">
        <f aca="false">E745*E745</f>
        <v>0.5625</v>
      </c>
      <c r="U745" s="0" t="n">
        <f aca="false">F745*F745</f>
        <v>1</v>
      </c>
      <c r="V745" s="0" t="n">
        <f aca="false">G745*G745</f>
        <v>0.5625</v>
      </c>
      <c r="W745" s="0" t="n">
        <f aca="false">H745*H745</f>
        <v>0.25</v>
      </c>
      <c r="X745" s="0" t="n">
        <f aca="false">SUMPRODUCT(I745:W745,_XtX!$B$96:$P$96)</f>
        <v>39.6153600146199</v>
      </c>
      <c r="Y745" s="0" t="n">
        <f aca="false">SUMPRODUCT(MMULT(I745:W745,_XtX!$B$78:$P$92),I745:W745)</f>
        <v>0.431153771472953</v>
      </c>
      <c r="Z745" s="0" t="n">
        <f aca="false">04_回帰ANOVA!$K$19*04_回帰ANOVA!$K$14*SQRT(1+Y745)</f>
        <v>1.55934259562563</v>
      </c>
      <c r="AA745" s="0" t="n">
        <f aca="false">X745-Z745</f>
        <v>38.0560174189943</v>
      </c>
      <c r="AB745" s="0" t="n">
        <f aca="false">X745+Z745</f>
        <v>41.1747026102455</v>
      </c>
      <c r="AC745" s="54" t="b">
        <f aca="false">AND(E745&gt;=01_因子設定!$L$5-0.000000001,E745&lt;=01_因子設定!$M$5+0.000000001,F745&gt;=01_因子設定!$L$6-0.000000001,F745&lt;=01_因子設定!$M$6+0.000000001,G745&gt;=01_因子設定!$L$7-0.000000001,G745&lt;=01_因子設定!$M$7+0.000000001,H745&gt;=01_因子設定!$L$8-0.000000001,H745&lt;=01_因子設定!$M$8+0.000000001,IF(01_因子設定!$B$20="Box-Behnken",E745^2+F745^2+G745^2+H745^2&lt;=2+0.000000001,TRUE()))</f>
        <v>1</v>
      </c>
      <c r="AD745" s="55" t="n">
        <f aca="false">IF(AC745,IF(01_因子設定!$B$13="最大化",AA745-01_因子設定!$B$14,IF(01_因子設定!$B$13="最小化",01_因子設定!$B$15-AB745,MIN(AA745-01_因子設定!$B$14,01_因子設定!$B$15-AB745))),-1E+030)</f>
        <v>-8.44398258100575</v>
      </c>
      <c r="AE745" s="55" t="n">
        <f aca="false">IF(AC745,IF(01_因子設定!$B$13="最大化",X745,IF(01_因子設定!$B$13="最小化",-X745,-ABS(X745-01_因子設定!$B$16))),-1E+030)</f>
        <v>39.6153600146199</v>
      </c>
      <c r="AF745" s="55" t="n">
        <f aca="false">AD745+ROW()*0.000000001</f>
        <v>-8.44398183600575</v>
      </c>
      <c r="AG745" s="55" t="n">
        <f aca="false">AE745+ROW()*0.000000001</f>
        <v>39.6153607596199</v>
      </c>
    </row>
    <row r="746" customFormat="false" ht="15" hidden="false" customHeight="false" outlineLevel="0" collapsed="false">
      <c r="A746" s="0" t="n">
        <v>1</v>
      </c>
      <c r="B746" s="0" t="n">
        <v>0</v>
      </c>
      <c r="C746" s="0" t="n">
        <v>1</v>
      </c>
      <c r="D746" s="0" t="n">
        <v>3</v>
      </c>
      <c r="E746" s="0" t="n">
        <f aca="false">-1+A746*0.25</f>
        <v>-0.75</v>
      </c>
      <c r="F746" s="0" t="n">
        <f aca="false">-1+B746*0.25</f>
        <v>-1</v>
      </c>
      <c r="G746" s="0" t="n">
        <f aca="false">-1+C746*0.25</f>
        <v>-0.75</v>
      </c>
      <c r="H746" s="0" t="n">
        <f aca="false">-1+D746*0.25</f>
        <v>-0.25</v>
      </c>
      <c r="I746" s="0" t="n">
        <f aca="false">1</f>
        <v>1</v>
      </c>
      <c r="J746" s="0" t="n">
        <f aca="false">E746</f>
        <v>-0.75</v>
      </c>
      <c r="K746" s="0" t="n">
        <f aca="false">F746</f>
        <v>-1</v>
      </c>
      <c r="L746" s="0" t="n">
        <f aca="false">G746</f>
        <v>-0.75</v>
      </c>
      <c r="M746" s="0" t="n">
        <f aca="false">H746</f>
        <v>-0.25</v>
      </c>
      <c r="N746" s="0" t="n">
        <f aca="false">E746*F746</f>
        <v>0.75</v>
      </c>
      <c r="O746" s="0" t="n">
        <f aca="false">E746*G746</f>
        <v>0.5625</v>
      </c>
      <c r="P746" s="0" t="n">
        <f aca="false">E746*H746</f>
        <v>0.1875</v>
      </c>
      <c r="Q746" s="0" t="n">
        <f aca="false">F746*G746</f>
        <v>0.75</v>
      </c>
      <c r="R746" s="0" t="n">
        <f aca="false">F746*H746</f>
        <v>0.25</v>
      </c>
      <c r="S746" s="0" t="n">
        <f aca="false">G746*H746</f>
        <v>0.1875</v>
      </c>
      <c r="T746" s="0" t="n">
        <f aca="false">E746*E746</f>
        <v>0.5625</v>
      </c>
      <c r="U746" s="0" t="n">
        <f aca="false">F746*F746</f>
        <v>1</v>
      </c>
      <c r="V746" s="0" t="n">
        <f aca="false">G746*G746</f>
        <v>0.5625</v>
      </c>
      <c r="W746" s="0" t="n">
        <f aca="false">H746*H746</f>
        <v>0.0625</v>
      </c>
      <c r="X746" s="0" t="n">
        <f aca="false">SUMPRODUCT(I746:W746,_XtX!$B$96:$P$96)</f>
        <v>39.7642406798246</v>
      </c>
      <c r="Y746" s="0" t="n">
        <f aca="false">SUMPRODUCT(MMULT(I746:W746,_XtX!$B$78:$P$92),I746:W746)</f>
        <v>0.473959761056287</v>
      </c>
      <c r="Z746" s="0" t="n">
        <f aca="false">04_回帰ANOVA!$K$19*04_回帰ANOVA!$K$14*SQRT(1+Y746)</f>
        <v>1.58249084588329</v>
      </c>
      <c r="AA746" s="0" t="n">
        <f aca="false">X746-Z746</f>
        <v>38.1817498339413</v>
      </c>
      <c r="AB746" s="0" t="n">
        <f aca="false">X746+Z746</f>
        <v>41.3467315257078</v>
      </c>
      <c r="AC746" s="54" t="b">
        <f aca="false">AND(E746&gt;=01_因子設定!$L$5-0.000000001,E746&lt;=01_因子設定!$M$5+0.000000001,F746&gt;=01_因子設定!$L$6-0.000000001,F746&lt;=01_因子設定!$M$6+0.000000001,G746&gt;=01_因子設定!$L$7-0.000000001,G746&lt;=01_因子設定!$M$7+0.000000001,H746&gt;=01_因子設定!$L$8-0.000000001,H746&lt;=01_因子設定!$M$8+0.000000001,IF(01_因子設定!$B$20="Box-Behnken",E746^2+F746^2+G746^2+H746^2&lt;=2+0.000000001,TRUE()))</f>
        <v>1</v>
      </c>
      <c r="AD746" s="55" t="n">
        <f aca="false">IF(AC746,IF(01_因子設定!$B$13="最大化",AA746-01_因子設定!$B$14,IF(01_因子設定!$B$13="最小化",01_因子設定!$B$15-AB746,MIN(AA746-01_因子設定!$B$14,01_因子設定!$B$15-AB746))),-1E+030)</f>
        <v>-8.31825016605873</v>
      </c>
      <c r="AE746" s="55" t="n">
        <f aca="false">IF(AC746,IF(01_因子設定!$B$13="最大化",X746,IF(01_因子設定!$B$13="最小化",-X746,-ABS(X746-01_因子設定!$B$16))),-1E+030)</f>
        <v>39.7642406798246</v>
      </c>
      <c r="AF746" s="55" t="n">
        <f aca="false">AD746+ROW()*0.000000001</f>
        <v>-8.31824942005873</v>
      </c>
      <c r="AG746" s="55" t="n">
        <f aca="false">AE746+ROW()*0.000000001</f>
        <v>39.7642414258246</v>
      </c>
    </row>
    <row r="747" customFormat="false" ht="15" hidden="false" customHeight="false" outlineLevel="0" collapsed="false">
      <c r="A747" s="0" t="n">
        <v>1</v>
      </c>
      <c r="B747" s="0" t="n">
        <v>0</v>
      </c>
      <c r="C747" s="0" t="n">
        <v>1</v>
      </c>
      <c r="D747" s="0" t="n">
        <v>4</v>
      </c>
      <c r="E747" s="0" t="n">
        <f aca="false">-1+A747*0.25</f>
        <v>-0.75</v>
      </c>
      <c r="F747" s="0" t="n">
        <f aca="false">-1+B747*0.25</f>
        <v>-1</v>
      </c>
      <c r="G747" s="0" t="n">
        <f aca="false">-1+C747*0.25</f>
        <v>-0.75</v>
      </c>
      <c r="H747" s="0" t="n">
        <f aca="false">-1+D747*0.25</f>
        <v>0</v>
      </c>
      <c r="I747" s="0" t="n">
        <f aca="false">1</f>
        <v>1</v>
      </c>
      <c r="J747" s="0" t="n">
        <f aca="false">E747</f>
        <v>-0.75</v>
      </c>
      <c r="K747" s="0" t="n">
        <f aca="false">F747</f>
        <v>-1</v>
      </c>
      <c r="L747" s="0" t="n">
        <f aca="false">G747</f>
        <v>-0.75</v>
      </c>
      <c r="M747" s="0" t="n">
        <f aca="false">H747</f>
        <v>0</v>
      </c>
      <c r="N747" s="0" t="n">
        <f aca="false">E747*F747</f>
        <v>0.75</v>
      </c>
      <c r="O747" s="0" t="n">
        <f aca="false">E747*G747</f>
        <v>0.5625</v>
      </c>
      <c r="P747" s="0" t="n">
        <f aca="false">E747*H747</f>
        <v>-0</v>
      </c>
      <c r="Q747" s="0" t="n">
        <f aca="false">F747*G747</f>
        <v>0.75</v>
      </c>
      <c r="R747" s="0" t="n">
        <f aca="false">F747*H747</f>
        <v>-0</v>
      </c>
      <c r="S747" s="0" t="n">
        <f aca="false">G747*H747</f>
        <v>-0</v>
      </c>
      <c r="T747" s="0" t="n">
        <f aca="false">E747*E747</f>
        <v>0.5625</v>
      </c>
      <c r="U747" s="0" t="n">
        <f aca="false">F747*F747</f>
        <v>1</v>
      </c>
      <c r="V747" s="0" t="n">
        <f aca="false">G747*G747</f>
        <v>0.5625</v>
      </c>
      <c r="W747" s="0" t="n">
        <f aca="false">H747*H747</f>
        <v>0</v>
      </c>
      <c r="X747" s="0" t="n">
        <f aca="false">SUMPRODUCT(I747:W747,_XtX!$B$96:$P$96)</f>
        <v>39.8653143274854</v>
      </c>
      <c r="Y747" s="0" t="n">
        <f aca="false">SUMPRODUCT(MMULT(I747:W747,_XtX!$B$78:$P$92),I747:W747)</f>
        <v>0.494259126005117</v>
      </c>
      <c r="Z747" s="0" t="n">
        <f aca="false">04_回帰ANOVA!$K$19*04_回帰ANOVA!$K$14*SQRT(1+Y747)</f>
        <v>1.59335061078203</v>
      </c>
      <c r="AA747" s="0" t="n">
        <f aca="false">X747-Z747</f>
        <v>38.2719637167033</v>
      </c>
      <c r="AB747" s="0" t="n">
        <f aca="false">X747+Z747</f>
        <v>41.4586649382674</v>
      </c>
      <c r="AC747" s="54" t="b">
        <f aca="false">AND(E747&gt;=01_因子設定!$L$5-0.000000001,E747&lt;=01_因子設定!$M$5+0.000000001,F747&gt;=01_因子設定!$L$6-0.000000001,F747&lt;=01_因子設定!$M$6+0.000000001,G747&gt;=01_因子設定!$L$7-0.000000001,G747&lt;=01_因子設定!$M$7+0.000000001,H747&gt;=01_因子設定!$L$8-0.000000001,H747&lt;=01_因子設定!$M$8+0.000000001,IF(01_因子設定!$B$20="Box-Behnken",E747^2+F747^2+G747^2+H747^2&lt;=2+0.000000001,TRUE()))</f>
        <v>1</v>
      </c>
      <c r="AD747" s="55" t="n">
        <f aca="false">IF(AC747,IF(01_因子設定!$B$13="最大化",AA747-01_因子設定!$B$14,IF(01_因子設定!$B$13="最小化",01_因子設定!$B$15-AB747,MIN(AA747-01_因子設定!$B$14,01_因子設定!$B$15-AB747))),-1E+030)</f>
        <v>-8.22803628329666</v>
      </c>
      <c r="AE747" s="55" t="n">
        <f aca="false">IF(AC747,IF(01_因子設定!$B$13="最大化",X747,IF(01_因子設定!$B$13="最小化",-X747,-ABS(X747-01_因子設定!$B$16))),-1E+030)</f>
        <v>39.8653143274854</v>
      </c>
      <c r="AF747" s="55" t="n">
        <f aca="false">AD747+ROW()*0.000000001</f>
        <v>-8.22803553629666</v>
      </c>
      <c r="AG747" s="55" t="n">
        <f aca="false">AE747+ROW()*0.000000001</f>
        <v>39.8653150744854</v>
      </c>
    </row>
    <row r="748" customFormat="false" ht="15" hidden="false" customHeight="false" outlineLevel="0" collapsed="false">
      <c r="A748" s="0" t="n">
        <v>1</v>
      </c>
      <c r="B748" s="0" t="n">
        <v>0</v>
      </c>
      <c r="C748" s="0" t="n">
        <v>1</v>
      </c>
      <c r="D748" s="0" t="n">
        <v>5</v>
      </c>
      <c r="E748" s="0" t="n">
        <f aca="false">-1+A748*0.25</f>
        <v>-0.75</v>
      </c>
      <c r="F748" s="0" t="n">
        <f aca="false">-1+B748*0.25</f>
        <v>-1</v>
      </c>
      <c r="G748" s="0" t="n">
        <f aca="false">-1+C748*0.25</f>
        <v>-0.75</v>
      </c>
      <c r="H748" s="0" t="n">
        <f aca="false">-1+D748*0.25</f>
        <v>0.25</v>
      </c>
      <c r="I748" s="0" t="n">
        <f aca="false">1</f>
        <v>1</v>
      </c>
      <c r="J748" s="0" t="n">
        <f aca="false">E748</f>
        <v>-0.75</v>
      </c>
      <c r="K748" s="0" t="n">
        <f aca="false">F748</f>
        <v>-1</v>
      </c>
      <c r="L748" s="0" t="n">
        <f aca="false">G748</f>
        <v>-0.75</v>
      </c>
      <c r="M748" s="0" t="n">
        <f aca="false">H748</f>
        <v>0.25</v>
      </c>
      <c r="N748" s="0" t="n">
        <f aca="false">E748*F748</f>
        <v>0.75</v>
      </c>
      <c r="O748" s="0" t="n">
        <f aca="false">E748*G748</f>
        <v>0.5625</v>
      </c>
      <c r="P748" s="0" t="n">
        <f aca="false">E748*H748</f>
        <v>-0.1875</v>
      </c>
      <c r="Q748" s="0" t="n">
        <f aca="false">F748*G748</f>
        <v>0.75</v>
      </c>
      <c r="R748" s="0" t="n">
        <f aca="false">F748*H748</f>
        <v>-0.25</v>
      </c>
      <c r="S748" s="0" t="n">
        <f aca="false">G748*H748</f>
        <v>-0.1875</v>
      </c>
      <c r="T748" s="0" t="n">
        <f aca="false">E748*E748</f>
        <v>0.5625</v>
      </c>
      <c r="U748" s="0" t="n">
        <f aca="false">F748*F748</f>
        <v>1</v>
      </c>
      <c r="V748" s="0" t="n">
        <f aca="false">G748*G748</f>
        <v>0.5625</v>
      </c>
      <c r="W748" s="0" t="n">
        <f aca="false">H748*H748</f>
        <v>0.0625</v>
      </c>
      <c r="X748" s="0" t="n">
        <f aca="false">SUMPRODUCT(I748:W748,_XtX!$B$96:$P$96)</f>
        <v>39.9185809576023</v>
      </c>
      <c r="Y748" s="0" t="n">
        <f aca="false">SUMPRODUCT(MMULT(I748:W748,_XtX!$B$78:$P$92),I748:W748)</f>
        <v>0.473959761056287</v>
      </c>
      <c r="Z748" s="0" t="n">
        <f aca="false">04_回帰ANOVA!$K$19*04_回帰ANOVA!$K$14*SQRT(1+Y748)</f>
        <v>1.58249084588329</v>
      </c>
      <c r="AA748" s="0" t="n">
        <f aca="false">X748-Z748</f>
        <v>38.336090111719</v>
      </c>
      <c r="AB748" s="0" t="n">
        <f aca="false">X748+Z748</f>
        <v>41.5010718034856</v>
      </c>
      <c r="AC748" s="54" t="b">
        <f aca="false">AND(E748&gt;=01_因子設定!$L$5-0.000000001,E748&lt;=01_因子設定!$M$5+0.000000001,F748&gt;=01_因子設定!$L$6-0.000000001,F748&lt;=01_因子設定!$M$6+0.000000001,G748&gt;=01_因子設定!$L$7-0.000000001,G748&lt;=01_因子設定!$M$7+0.000000001,H748&gt;=01_因子設定!$L$8-0.000000001,H748&lt;=01_因子設定!$M$8+0.000000001,IF(01_因子設定!$B$20="Box-Behnken",E748^2+F748^2+G748^2+H748^2&lt;=2+0.000000001,TRUE()))</f>
        <v>1</v>
      </c>
      <c r="AD748" s="55" t="n">
        <f aca="false">IF(AC748,IF(01_因子設定!$B$13="最大化",AA748-01_因子設定!$B$14,IF(01_因子設定!$B$13="最小化",01_因子設定!$B$15-AB748,MIN(AA748-01_因子設定!$B$14,01_因子設定!$B$15-AB748))),-1E+030)</f>
        <v>-8.16390988828096</v>
      </c>
      <c r="AE748" s="55" t="n">
        <f aca="false">IF(AC748,IF(01_因子設定!$B$13="最大化",X748,IF(01_因子設定!$B$13="最小化",-X748,-ABS(X748-01_因子設定!$B$16))),-1E+030)</f>
        <v>39.9185809576023</v>
      </c>
      <c r="AF748" s="55" t="n">
        <f aca="false">AD748+ROW()*0.000000001</f>
        <v>-8.16390914028096</v>
      </c>
      <c r="AG748" s="55" t="n">
        <f aca="false">AE748+ROW()*0.000000001</f>
        <v>39.9185817056023</v>
      </c>
    </row>
    <row r="749" customFormat="false" ht="15" hidden="false" customHeight="false" outlineLevel="0" collapsed="false">
      <c r="A749" s="0" t="n">
        <v>1</v>
      </c>
      <c r="B749" s="0" t="n">
        <v>0</v>
      </c>
      <c r="C749" s="0" t="n">
        <v>1</v>
      </c>
      <c r="D749" s="0" t="n">
        <v>6</v>
      </c>
      <c r="E749" s="0" t="n">
        <f aca="false">-1+A749*0.25</f>
        <v>-0.75</v>
      </c>
      <c r="F749" s="0" t="n">
        <f aca="false">-1+B749*0.25</f>
        <v>-1</v>
      </c>
      <c r="G749" s="0" t="n">
        <f aca="false">-1+C749*0.25</f>
        <v>-0.75</v>
      </c>
      <c r="H749" s="0" t="n">
        <f aca="false">-1+D749*0.25</f>
        <v>0.5</v>
      </c>
      <c r="I749" s="0" t="n">
        <f aca="false">1</f>
        <v>1</v>
      </c>
      <c r="J749" s="0" t="n">
        <f aca="false">E749</f>
        <v>-0.75</v>
      </c>
      <c r="K749" s="0" t="n">
        <f aca="false">F749</f>
        <v>-1</v>
      </c>
      <c r="L749" s="0" t="n">
        <f aca="false">G749</f>
        <v>-0.75</v>
      </c>
      <c r="M749" s="0" t="n">
        <f aca="false">H749</f>
        <v>0.5</v>
      </c>
      <c r="N749" s="0" t="n">
        <f aca="false">E749*F749</f>
        <v>0.75</v>
      </c>
      <c r="O749" s="0" t="n">
        <f aca="false">E749*G749</f>
        <v>0.5625</v>
      </c>
      <c r="P749" s="0" t="n">
        <f aca="false">E749*H749</f>
        <v>-0.375</v>
      </c>
      <c r="Q749" s="0" t="n">
        <f aca="false">F749*G749</f>
        <v>0.75</v>
      </c>
      <c r="R749" s="0" t="n">
        <f aca="false">F749*H749</f>
        <v>-0.5</v>
      </c>
      <c r="S749" s="0" t="n">
        <f aca="false">G749*H749</f>
        <v>-0.375</v>
      </c>
      <c r="T749" s="0" t="n">
        <f aca="false">E749*E749</f>
        <v>0.5625</v>
      </c>
      <c r="U749" s="0" t="n">
        <f aca="false">F749*F749</f>
        <v>1</v>
      </c>
      <c r="V749" s="0" t="n">
        <f aca="false">G749*G749</f>
        <v>0.5625</v>
      </c>
      <c r="W749" s="0" t="n">
        <f aca="false">H749*H749</f>
        <v>0.25</v>
      </c>
      <c r="X749" s="0" t="n">
        <f aca="false">SUMPRODUCT(I749:W749,_XtX!$B$96:$P$96)</f>
        <v>39.9240405701754</v>
      </c>
      <c r="Y749" s="0" t="n">
        <f aca="false">SUMPRODUCT(MMULT(I749:W749,_XtX!$B$78:$P$92),I749:W749)</f>
        <v>0.431153771472953</v>
      </c>
      <c r="Z749" s="0" t="n">
        <f aca="false">04_回帰ANOVA!$K$19*04_回帰ANOVA!$K$14*SQRT(1+Y749)</f>
        <v>1.55934259562563</v>
      </c>
      <c r="AA749" s="0" t="n">
        <f aca="false">X749-Z749</f>
        <v>38.3646979745498</v>
      </c>
      <c r="AB749" s="0" t="n">
        <f aca="false">X749+Z749</f>
        <v>41.4833831658011</v>
      </c>
      <c r="AC749" s="54" t="b">
        <f aca="false">AND(E749&gt;=01_因子設定!$L$5-0.000000001,E749&lt;=01_因子設定!$M$5+0.000000001,F749&gt;=01_因子設定!$L$6-0.000000001,F749&lt;=01_因子設定!$M$6+0.000000001,G749&gt;=01_因子設定!$L$7-0.000000001,G749&lt;=01_因子設定!$M$7+0.000000001,H749&gt;=01_因子設定!$L$8-0.000000001,H749&lt;=01_因子設定!$M$8+0.000000001,IF(01_因子設定!$B$20="Box-Behnken",E749^2+F749^2+G749^2+H749^2&lt;=2+0.000000001,TRUE()))</f>
        <v>1</v>
      </c>
      <c r="AD749" s="55" t="n">
        <f aca="false">IF(AC749,IF(01_因子設定!$B$13="最大化",AA749-01_因子設定!$B$14,IF(01_因子設定!$B$13="最小化",01_因子設定!$B$15-AB749,MIN(AA749-01_因子設定!$B$14,01_因子設定!$B$15-AB749))),-1E+030)</f>
        <v>-8.13530202545019</v>
      </c>
      <c r="AE749" s="55" t="n">
        <f aca="false">IF(AC749,IF(01_因子設定!$B$13="最大化",X749,IF(01_因子設定!$B$13="最小化",-X749,-ABS(X749-01_因子設定!$B$16))),-1E+030)</f>
        <v>39.9240405701754</v>
      </c>
      <c r="AF749" s="55" t="n">
        <f aca="false">AD749+ROW()*0.000000001</f>
        <v>-8.13530127645019</v>
      </c>
      <c r="AG749" s="55" t="n">
        <f aca="false">AE749+ROW()*0.000000001</f>
        <v>39.9240413191754</v>
      </c>
    </row>
    <row r="750" customFormat="false" ht="15" hidden="false" customHeight="false" outlineLevel="0" collapsed="false">
      <c r="A750" s="0" t="n">
        <v>1</v>
      </c>
      <c r="B750" s="0" t="n">
        <v>0</v>
      </c>
      <c r="C750" s="0" t="n">
        <v>1</v>
      </c>
      <c r="D750" s="0" t="n">
        <v>7</v>
      </c>
      <c r="E750" s="0" t="n">
        <f aca="false">-1+A750*0.25</f>
        <v>-0.75</v>
      </c>
      <c r="F750" s="0" t="n">
        <f aca="false">-1+B750*0.25</f>
        <v>-1</v>
      </c>
      <c r="G750" s="0" t="n">
        <f aca="false">-1+C750*0.25</f>
        <v>-0.75</v>
      </c>
      <c r="H750" s="0" t="n">
        <f aca="false">-1+D750*0.25</f>
        <v>0.75</v>
      </c>
      <c r="I750" s="0" t="n">
        <f aca="false">1</f>
        <v>1</v>
      </c>
      <c r="J750" s="0" t="n">
        <f aca="false">E750</f>
        <v>-0.75</v>
      </c>
      <c r="K750" s="0" t="n">
        <f aca="false">F750</f>
        <v>-1</v>
      </c>
      <c r="L750" s="0" t="n">
        <f aca="false">G750</f>
        <v>-0.75</v>
      </c>
      <c r="M750" s="0" t="n">
        <f aca="false">H750</f>
        <v>0.75</v>
      </c>
      <c r="N750" s="0" t="n">
        <f aca="false">E750*F750</f>
        <v>0.75</v>
      </c>
      <c r="O750" s="0" t="n">
        <f aca="false">E750*G750</f>
        <v>0.5625</v>
      </c>
      <c r="P750" s="0" t="n">
        <f aca="false">E750*H750</f>
        <v>-0.5625</v>
      </c>
      <c r="Q750" s="0" t="n">
        <f aca="false">F750*G750</f>
        <v>0.75</v>
      </c>
      <c r="R750" s="0" t="n">
        <f aca="false">F750*H750</f>
        <v>-0.75</v>
      </c>
      <c r="S750" s="0" t="n">
        <f aca="false">G750*H750</f>
        <v>-0.5625</v>
      </c>
      <c r="T750" s="0" t="n">
        <f aca="false">E750*E750</f>
        <v>0.5625</v>
      </c>
      <c r="U750" s="0" t="n">
        <f aca="false">F750*F750</f>
        <v>1</v>
      </c>
      <c r="V750" s="0" t="n">
        <f aca="false">G750*G750</f>
        <v>0.5625</v>
      </c>
      <c r="W750" s="0" t="n">
        <f aca="false">H750*H750</f>
        <v>0.5625</v>
      </c>
      <c r="X750" s="0" t="n">
        <f aca="false">SUMPRODUCT(I750:W750,_XtX!$B$96:$P$96)</f>
        <v>39.8816931652047</v>
      </c>
      <c r="Y750" s="0" t="n">
        <f aca="false">SUMPRODUCT(MMULT(I750:W750,_XtX!$B$78:$P$92),I750:W750)</f>
        <v>0.420117473044591</v>
      </c>
      <c r="Z750" s="0" t="n">
        <f aca="false">04_回帰ANOVA!$K$19*04_回帰ANOVA!$K$14*SQRT(1+Y750)</f>
        <v>1.55331854827765</v>
      </c>
      <c r="AA750" s="0" t="n">
        <f aca="false">X750-Z750</f>
        <v>38.328374616927</v>
      </c>
      <c r="AB750" s="0" t="n">
        <f aca="false">X750+Z750</f>
        <v>41.4350117134823</v>
      </c>
      <c r="AC750" s="54" t="b">
        <f aca="false">AND(E750&gt;=01_因子設定!$L$5-0.000000001,E750&lt;=01_因子設定!$M$5+0.000000001,F750&gt;=01_因子設定!$L$6-0.000000001,F750&lt;=01_因子設定!$M$6+0.000000001,G750&gt;=01_因子設定!$L$7-0.000000001,G750&lt;=01_因子設定!$M$7+0.000000001,H750&gt;=01_因子設定!$L$8-0.000000001,H750&lt;=01_因子設定!$M$8+0.000000001,IF(01_因子設定!$B$20="Box-Behnken",E750^2+F750^2+G750^2+H750^2&lt;=2+0.000000001,TRUE()))</f>
        <v>1</v>
      </c>
      <c r="AD750" s="55" t="n">
        <f aca="false">IF(AC750,IF(01_因子設定!$B$13="最大化",AA750-01_因子設定!$B$14,IF(01_因子設定!$B$13="最小化",01_因子設定!$B$15-AB750,MIN(AA750-01_因子設定!$B$14,01_因子設定!$B$15-AB750))),-1E+030)</f>
        <v>-8.17162538307296</v>
      </c>
      <c r="AE750" s="55" t="n">
        <f aca="false">IF(AC750,IF(01_因子設定!$B$13="最大化",X750,IF(01_因子設定!$B$13="最小化",-X750,-ABS(X750-01_因子設定!$B$16))),-1E+030)</f>
        <v>39.8816931652047</v>
      </c>
      <c r="AF750" s="55" t="n">
        <f aca="false">AD750+ROW()*0.000000001</f>
        <v>-8.17162463307296</v>
      </c>
      <c r="AG750" s="55" t="n">
        <f aca="false">AE750+ROW()*0.000000001</f>
        <v>39.8816939152047</v>
      </c>
    </row>
    <row r="751" customFormat="false" ht="15" hidden="false" customHeight="false" outlineLevel="0" collapsed="false">
      <c r="A751" s="0" t="n">
        <v>1</v>
      </c>
      <c r="B751" s="0" t="n">
        <v>0</v>
      </c>
      <c r="C751" s="0" t="n">
        <v>1</v>
      </c>
      <c r="D751" s="0" t="n">
        <v>8</v>
      </c>
      <c r="E751" s="0" t="n">
        <f aca="false">-1+A751*0.25</f>
        <v>-0.75</v>
      </c>
      <c r="F751" s="0" t="n">
        <f aca="false">-1+B751*0.25</f>
        <v>-1</v>
      </c>
      <c r="G751" s="0" t="n">
        <f aca="false">-1+C751*0.25</f>
        <v>-0.75</v>
      </c>
      <c r="H751" s="0" t="n">
        <f aca="false">-1+D751*0.25</f>
        <v>1</v>
      </c>
      <c r="I751" s="0" t="n">
        <f aca="false">1</f>
        <v>1</v>
      </c>
      <c r="J751" s="0" t="n">
        <f aca="false">E751</f>
        <v>-0.75</v>
      </c>
      <c r="K751" s="0" t="n">
        <f aca="false">F751</f>
        <v>-1</v>
      </c>
      <c r="L751" s="0" t="n">
        <f aca="false">G751</f>
        <v>-0.75</v>
      </c>
      <c r="M751" s="0" t="n">
        <f aca="false">H751</f>
        <v>1</v>
      </c>
      <c r="N751" s="0" t="n">
        <f aca="false">E751*F751</f>
        <v>0.75</v>
      </c>
      <c r="O751" s="0" t="n">
        <f aca="false">E751*G751</f>
        <v>0.5625</v>
      </c>
      <c r="P751" s="0" t="n">
        <f aca="false">E751*H751</f>
        <v>-0.75</v>
      </c>
      <c r="Q751" s="0" t="n">
        <f aca="false">F751*G751</f>
        <v>0.75</v>
      </c>
      <c r="R751" s="0" t="n">
        <f aca="false">F751*H751</f>
        <v>-1</v>
      </c>
      <c r="S751" s="0" t="n">
        <f aca="false">G751*H751</f>
        <v>-0.75</v>
      </c>
      <c r="T751" s="0" t="n">
        <f aca="false">E751*E751</f>
        <v>0.5625</v>
      </c>
      <c r="U751" s="0" t="n">
        <f aca="false">F751*F751</f>
        <v>1</v>
      </c>
      <c r="V751" s="0" t="n">
        <f aca="false">G751*G751</f>
        <v>0.5625</v>
      </c>
      <c r="W751" s="0" t="n">
        <f aca="false">H751*H751</f>
        <v>1</v>
      </c>
      <c r="X751" s="0" t="n">
        <f aca="false">SUMPRODUCT(I751:W751,_XtX!$B$96:$P$96)</f>
        <v>39.7915387426901</v>
      </c>
      <c r="Y751" s="0" t="n">
        <f aca="false">SUMPRODUCT(MMULT(I751:W751,_XtX!$B$78:$P$92),I751:W751)</f>
        <v>0.531311392086988</v>
      </c>
      <c r="Z751" s="0" t="n">
        <f aca="false">04_回帰ANOVA!$K$19*04_回帰ANOVA!$K$14*SQRT(1+Y751)</f>
        <v>1.61298433431428</v>
      </c>
      <c r="AA751" s="0" t="n">
        <f aca="false">X751-Z751</f>
        <v>38.1785544083758</v>
      </c>
      <c r="AB751" s="0" t="n">
        <f aca="false">X751+Z751</f>
        <v>41.4045230770044</v>
      </c>
      <c r="AC751" s="54" t="b">
        <f aca="false">AND(E751&gt;=01_因子設定!$L$5-0.000000001,E751&lt;=01_因子設定!$M$5+0.000000001,F751&gt;=01_因子設定!$L$6-0.000000001,F751&lt;=01_因子設定!$M$6+0.000000001,G751&gt;=01_因子設定!$L$7-0.000000001,G751&lt;=01_因子設定!$M$7+0.000000001,H751&gt;=01_因子設定!$L$8-0.000000001,H751&lt;=01_因子設定!$M$8+0.000000001,IF(01_因子設定!$B$20="Box-Behnken",E751^2+F751^2+G751^2+H751^2&lt;=2+0.000000001,TRUE()))</f>
        <v>1</v>
      </c>
      <c r="AD751" s="55" t="n">
        <f aca="false">IF(AC751,IF(01_因子設定!$B$13="最大化",AA751-01_因子設定!$B$14,IF(01_因子設定!$B$13="最小化",01_因子設定!$B$15-AB751,MIN(AA751-01_因子設定!$B$14,01_因子設定!$B$15-AB751))),-1E+030)</f>
        <v>-8.3214455916242</v>
      </c>
      <c r="AE751" s="55" t="n">
        <f aca="false">IF(AC751,IF(01_因子設定!$B$13="最大化",X751,IF(01_因子設定!$B$13="最小化",-X751,-ABS(X751-01_因子設定!$B$16))),-1E+030)</f>
        <v>39.7915387426901</v>
      </c>
      <c r="AF751" s="55" t="n">
        <f aca="false">AD751+ROW()*0.000000001</f>
        <v>-8.32144484062421</v>
      </c>
      <c r="AG751" s="55" t="n">
        <f aca="false">AE751+ROW()*0.000000001</f>
        <v>39.7915394936901</v>
      </c>
    </row>
    <row r="752" customFormat="false" ht="15" hidden="false" customHeight="false" outlineLevel="0" collapsed="false">
      <c r="A752" s="0" t="n">
        <v>1</v>
      </c>
      <c r="B752" s="0" t="n">
        <v>0</v>
      </c>
      <c r="C752" s="0" t="n">
        <v>2</v>
      </c>
      <c r="D752" s="0" t="n">
        <v>0</v>
      </c>
      <c r="E752" s="0" t="n">
        <f aca="false">-1+A752*0.25</f>
        <v>-0.75</v>
      </c>
      <c r="F752" s="0" t="n">
        <f aca="false">-1+B752*0.25</f>
        <v>-1</v>
      </c>
      <c r="G752" s="0" t="n">
        <f aca="false">-1+C752*0.25</f>
        <v>-0.5</v>
      </c>
      <c r="H752" s="0" t="n">
        <f aca="false">-1+D752*0.25</f>
        <v>-1</v>
      </c>
      <c r="I752" s="0" t="n">
        <f aca="false">1</f>
        <v>1</v>
      </c>
      <c r="J752" s="0" t="n">
        <f aca="false">E752</f>
        <v>-0.75</v>
      </c>
      <c r="K752" s="0" t="n">
        <f aca="false">F752</f>
        <v>-1</v>
      </c>
      <c r="L752" s="0" t="n">
        <f aca="false">G752</f>
        <v>-0.5</v>
      </c>
      <c r="M752" s="0" t="n">
        <f aca="false">H752</f>
        <v>-1</v>
      </c>
      <c r="N752" s="0" t="n">
        <f aca="false">E752*F752</f>
        <v>0.75</v>
      </c>
      <c r="O752" s="0" t="n">
        <f aca="false">E752*G752</f>
        <v>0.375</v>
      </c>
      <c r="P752" s="0" t="n">
        <f aca="false">E752*H752</f>
        <v>0.75</v>
      </c>
      <c r="Q752" s="0" t="n">
        <f aca="false">F752*G752</f>
        <v>0.5</v>
      </c>
      <c r="R752" s="0" t="n">
        <f aca="false">F752*H752</f>
        <v>1</v>
      </c>
      <c r="S752" s="0" t="n">
        <f aca="false">G752*H752</f>
        <v>0.5</v>
      </c>
      <c r="T752" s="0" t="n">
        <f aca="false">E752*E752</f>
        <v>0.5625</v>
      </c>
      <c r="U752" s="0" t="n">
        <f aca="false">F752*F752</f>
        <v>1</v>
      </c>
      <c r="V752" s="0" t="n">
        <f aca="false">G752*G752</f>
        <v>0.25</v>
      </c>
      <c r="W752" s="0" t="n">
        <f aca="false">H752*H752</f>
        <v>1</v>
      </c>
      <c r="X752" s="0" t="n">
        <f aca="false">SUMPRODUCT(I752:W752,_XtX!$B$96:$P$96)</f>
        <v>39.605153508772</v>
      </c>
      <c r="Y752" s="0" t="n">
        <f aca="false">SUMPRODUCT(MMULT(I752:W752,_XtX!$B$78:$P$92),I752:W752)</f>
        <v>0.564984237938597</v>
      </c>
      <c r="Z752" s="0" t="n">
        <f aca="false">04_回帰ANOVA!$K$19*04_回帰ANOVA!$K$14*SQRT(1+Y752)</f>
        <v>1.63062229734503</v>
      </c>
      <c r="AA752" s="0" t="n">
        <f aca="false">X752-Z752</f>
        <v>37.9745312114269</v>
      </c>
      <c r="AB752" s="0" t="n">
        <f aca="false">X752+Z752</f>
        <v>41.235775806117</v>
      </c>
      <c r="AC752" s="54" t="b">
        <f aca="false">AND(E752&gt;=01_因子設定!$L$5-0.000000001,E752&lt;=01_因子設定!$M$5+0.000000001,F752&gt;=01_因子設定!$L$6-0.000000001,F752&lt;=01_因子設定!$M$6+0.000000001,G752&gt;=01_因子設定!$L$7-0.000000001,G752&lt;=01_因子設定!$M$7+0.000000001,H752&gt;=01_因子設定!$L$8-0.000000001,H752&lt;=01_因子設定!$M$8+0.000000001,IF(01_因子設定!$B$20="Box-Behnken",E752^2+F752^2+G752^2+H752^2&lt;=2+0.000000001,TRUE()))</f>
        <v>1</v>
      </c>
      <c r="AD752" s="55" t="n">
        <f aca="false">IF(AC752,IF(01_因子設定!$B$13="最大化",AA752-01_因子設定!$B$14,IF(01_因子設定!$B$13="最小化",01_因子設定!$B$15-AB752,MIN(AA752-01_因子設定!$B$14,01_因子設定!$B$15-AB752))),-1E+030)</f>
        <v>-8.52546878857308</v>
      </c>
      <c r="AE752" s="55" t="n">
        <f aca="false">IF(AC752,IF(01_因子設定!$B$13="最大化",X752,IF(01_因子設定!$B$13="最小化",-X752,-ABS(X752-01_因子設定!$B$16))),-1E+030)</f>
        <v>39.605153508772</v>
      </c>
      <c r="AF752" s="55" t="n">
        <f aca="false">AD752+ROW()*0.000000001</f>
        <v>-8.52546803657308</v>
      </c>
      <c r="AG752" s="55" t="n">
        <f aca="false">AE752+ROW()*0.000000001</f>
        <v>39.605154260772</v>
      </c>
    </row>
    <row r="753" customFormat="false" ht="15" hidden="false" customHeight="false" outlineLevel="0" collapsed="false">
      <c r="A753" s="0" t="n">
        <v>1</v>
      </c>
      <c r="B753" s="0" t="n">
        <v>0</v>
      </c>
      <c r="C753" s="0" t="n">
        <v>2</v>
      </c>
      <c r="D753" s="0" t="n">
        <v>1</v>
      </c>
      <c r="E753" s="0" t="n">
        <f aca="false">-1+A753*0.25</f>
        <v>-0.75</v>
      </c>
      <c r="F753" s="0" t="n">
        <f aca="false">-1+B753*0.25</f>
        <v>-1</v>
      </c>
      <c r="G753" s="0" t="n">
        <f aca="false">-1+C753*0.25</f>
        <v>-0.5</v>
      </c>
      <c r="H753" s="0" t="n">
        <f aca="false">-1+D753*0.25</f>
        <v>-0.75</v>
      </c>
      <c r="I753" s="0" t="n">
        <f aca="false">1</f>
        <v>1</v>
      </c>
      <c r="J753" s="0" t="n">
        <f aca="false">E753</f>
        <v>-0.75</v>
      </c>
      <c r="K753" s="0" t="n">
        <f aca="false">F753</f>
        <v>-1</v>
      </c>
      <c r="L753" s="0" t="n">
        <f aca="false">G753</f>
        <v>-0.5</v>
      </c>
      <c r="M753" s="0" t="n">
        <f aca="false">H753</f>
        <v>-0.75</v>
      </c>
      <c r="N753" s="0" t="n">
        <f aca="false">E753*F753</f>
        <v>0.75</v>
      </c>
      <c r="O753" s="0" t="n">
        <f aca="false">E753*G753</f>
        <v>0.375</v>
      </c>
      <c r="P753" s="0" t="n">
        <f aca="false">E753*H753</f>
        <v>0.5625</v>
      </c>
      <c r="Q753" s="0" t="n">
        <f aca="false">F753*G753</f>
        <v>0.5</v>
      </c>
      <c r="R753" s="0" t="n">
        <f aca="false">F753*H753</f>
        <v>0.75</v>
      </c>
      <c r="S753" s="0" t="n">
        <f aca="false">G753*H753</f>
        <v>0.375</v>
      </c>
      <c r="T753" s="0" t="n">
        <f aca="false">E753*E753</f>
        <v>0.5625</v>
      </c>
      <c r="U753" s="0" t="n">
        <f aca="false">F753*F753</f>
        <v>1</v>
      </c>
      <c r="V753" s="0" t="n">
        <f aca="false">G753*G753</f>
        <v>0.25</v>
      </c>
      <c r="W753" s="0" t="n">
        <f aca="false">H753*H753</f>
        <v>0.5625</v>
      </c>
      <c r="X753" s="0" t="n">
        <f aca="false">SUMPRODUCT(I753:W753,_XtX!$B$96:$P$96)</f>
        <v>39.8676169590643</v>
      </c>
      <c r="Y753" s="0" t="n">
        <f aca="false">SUMPRODUCT(MMULT(I753:W753,_XtX!$B$78:$P$92),I753:W753)</f>
        <v>0.431153771472953</v>
      </c>
      <c r="Z753" s="0" t="n">
        <f aca="false">04_回帰ANOVA!$K$19*04_回帰ANOVA!$K$14*SQRT(1+Y753)</f>
        <v>1.55934259562563</v>
      </c>
      <c r="AA753" s="0" t="n">
        <f aca="false">X753-Z753</f>
        <v>38.3082743634387</v>
      </c>
      <c r="AB753" s="0" t="n">
        <f aca="false">X753+Z753</f>
        <v>41.42695955469</v>
      </c>
      <c r="AC753" s="54" t="b">
        <f aca="false">AND(E753&gt;=01_因子設定!$L$5-0.000000001,E753&lt;=01_因子設定!$M$5+0.000000001,F753&gt;=01_因子設定!$L$6-0.000000001,F753&lt;=01_因子設定!$M$6+0.000000001,G753&gt;=01_因子設定!$L$7-0.000000001,G753&lt;=01_因子設定!$M$7+0.000000001,H753&gt;=01_因子設定!$L$8-0.000000001,H753&lt;=01_因子設定!$M$8+0.000000001,IF(01_因子設定!$B$20="Box-Behnken",E753^2+F753^2+G753^2+H753^2&lt;=2+0.000000001,TRUE()))</f>
        <v>1</v>
      </c>
      <c r="AD753" s="55" t="n">
        <f aca="false">IF(AC753,IF(01_因子設定!$B$13="最大化",AA753-01_因子設定!$B$14,IF(01_因子設定!$B$13="最小化",01_因子設定!$B$15-AB753,MIN(AA753-01_因子設定!$B$14,01_因子設定!$B$15-AB753))),-1E+030)</f>
        <v>-8.19172563656129</v>
      </c>
      <c r="AE753" s="55" t="n">
        <f aca="false">IF(AC753,IF(01_因子設定!$B$13="最大化",X753,IF(01_因子設定!$B$13="最小化",-X753,-ABS(X753-01_因子設定!$B$16))),-1E+030)</f>
        <v>39.8676169590643</v>
      </c>
      <c r="AF753" s="55" t="n">
        <f aca="false">AD753+ROW()*0.000000001</f>
        <v>-8.19172488356129</v>
      </c>
      <c r="AG753" s="55" t="n">
        <f aca="false">AE753+ROW()*0.000000001</f>
        <v>39.8676177120643</v>
      </c>
    </row>
    <row r="754" customFormat="false" ht="15" hidden="false" customHeight="false" outlineLevel="0" collapsed="false">
      <c r="A754" s="0" t="n">
        <v>1</v>
      </c>
      <c r="B754" s="0" t="n">
        <v>0</v>
      </c>
      <c r="C754" s="0" t="n">
        <v>2</v>
      </c>
      <c r="D754" s="0" t="n">
        <v>2</v>
      </c>
      <c r="E754" s="0" t="n">
        <f aca="false">-1+A754*0.25</f>
        <v>-0.75</v>
      </c>
      <c r="F754" s="0" t="n">
        <f aca="false">-1+B754*0.25</f>
        <v>-1</v>
      </c>
      <c r="G754" s="0" t="n">
        <f aca="false">-1+C754*0.25</f>
        <v>-0.5</v>
      </c>
      <c r="H754" s="0" t="n">
        <f aca="false">-1+D754*0.25</f>
        <v>-0.5</v>
      </c>
      <c r="I754" s="0" t="n">
        <f aca="false">1</f>
        <v>1</v>
      </c>
      <c r="J754" s="0" t="n">
        <f aca="false">E754</f>
        <v>-0.75</v>
      </c>
      <c r="K754" s="0" t="n">
        <f aca="false">F754</f>
        <v>-1</v>
      </c>
      <c r="L754" s="0" t="n">
        <f aca="false">G754</f>
        <v>-0.5</v>
      </c>
      <c r="M754" s="0" t="n">
        <f aca="false">H754</f>
        <v>-0.5</v>
      </c>
      <c r="N754" s="0" t="n">
        <f aca="false">E754*F754</f>
        <v>0.75</v>
      </c>
      <c r="O754" s="0" t="n">
        <f aca="false">E754*G754</f>
        <v>0.375</v>
      </c>
      <c r="P754" s="0" t="n">
        <f aca="false">E754*H754</f>
        <v>0.375</v>
      </c>
      <c r="Q754" s="0" t="n">
        <f aca="false">F754*G754</f>
        <v>0.5</v>
      </c>
      <c r="R754" s="0" t="n">
        <f aca="false">F754*H754</f>
        <v>0.5</v>
      </c>
      <c r="S754" s="0" t="n">
        <f aca="false">G754*H754</f>
        <v>0.25</v>
      </c>
      <c r="T754" s="0" t="n">
        <f aca="false">E754*E754</f>
        <v>0.5625</v>
      </c>
      <c r="U754" s="0" t="n">
        <f aca="false">F754*F754</f>
        <v>1</v>
      </c>
      <c r="V754" s="0" t="n">
        <f aca="false">G754*G754</f>
        <v>0.25</v>
      </c>
      <c r="W754" s="0" t="n">
        <f aca="false">H754*H754</f>
        <v>0.25</v>
      </c>
      <c r="X754" s="0" t="n">
        <f aca="false">SUMPRODUCT(I754:W754,_XtX!$B$96:$P$96)</f>
        <v>40.0822733918129</v>
      </c>
      <c r="Y754" s="0" t="n">
        <f aca="false">SUMPRODUCT(MMULT(I754:W754,_XtX!$B$78:$P$92),I754:W754)</f>
        <v>0.42602110745614</v>
      </c>
      <c r="Z754" s="0" t="n">
        <f aca="false">04_回帰ANOVA!$K$19*04_回帰ANOVA!$K$14*SQRT(1+Y754)</f>
        <v>1.55654388501114</v>
      </c>
      <c r="AA754" s="0" t="n">
        <f aca="false">X754-Z754</f>
        <v>38.5257295068017</v>
      </c>
      <c r="AB754" s="0" t="n">
        <f aca="false">X754+Z754</f>
        <v>41.638817276824</v>
      </c>
      <c r="AC754" s="54" t="b">
        <f aca="false">AND(E754&gt;=01_因子設定!$L$5-0.000000001,E754&lt;=01_因子設定!$M$5+0.000000001,F754&gt;=01_因子設定!$L$6-0.000000001,F754&lt;=01_因子設定!$M$6+0.000000001,G754&gt;=01_因子設定!$L$7-0.000000001,G754&lt;=01_因子設定!$M$7+0.000000001,H754&gt;=01_因子設定!$L$8-0.000000001,H754&lt;=01_因子設定!$M$8+0.000000001,IF(01_因子設定!$B$20="Box-Behnken",E754^2+F754^2+G754^2+H754^2&lt;=2+0.000000001,TRUE()))</f>
        <v>1</v>
      </c>
      <c r="AD754" s="55" t="n">
        <f aca="false">IF(AC754,IF(01_因子設定!$B$13="最大化",AA754-01_因子設定!$B$14,IF(01_因子設定!$B$13="最小化",01_因子設定!$B$15-AB754,MIN(AA754-01_因子設定!$B$14,01_因子設定!$B$15-AB754))),-1E+030)</f>
        <v>-7.97427049319828</v>
      </c>
      <c r="AE754" s="55" t="n">
        <f aca="false">IF(AC754,IF(01_因子設定!$B$13="最大化",X754,IF(01_因子設定!$B$13="最小化",-X754,-ABS(X754-01_因子設定!$B$16))),-1E+030)</f>
        <v>40.0822733918129</v>
      </c>
      <c r="AF754" s="55" t="n">
        <f aca="false">AD754+ROW()*0.000000001</f>
        <v>-7.97426973919828</v>
      </c>
      <c r="AG754" s="55" t="n">
        <f aca="false">AE754+ROW()*0.000000001</f>
        <v>40.0822741458129</v>
      </c>
    </row>
    <row r="755" customFormat="false" ht="15" hidden="false" customHeight="false" outlineLevel="0" collapsed="false">
      <c r="A755" s="0" t="n">
        <v>1</v>
      </c>
      <c r="B755" s="0" t="n">
        <v>0</v>
      </c>
      <c r="C755" s="0" t="n">
        <v>2</v>
      </c>
      <c r="D755" s="0" t="n">
        <v>3</v>
      </c>
      <c r="E755" s="0" t="n">
        <f aca="false">-1+A755*0.25</f>
        <v>-0.75</v>
      </c>
      <c r="F755" s="0" t="n">
        <f aca="false">-1+B755*0.25</f>
        <v>-1</v>
      </c>
      <c r="G755" s="0" t="n">
        <f aca="false">-1+C755*0.25</f>
        <v>-0.5</v>
      </c>
      <c r="H755" s="0" t="n">
        <f aca="false">-1+D755*0.25</f>
        <v>-0.25</v>
      </c>
      <c r="I755" s="0" t="n">
        <f aca="false">1</f>
        <v>1</v>
      </c>
      <c r="J755" s="0" t="n">
        <f aca="false">E755</f>
        <v>-0.75</v>
      </c>
      <c r="K755" s="0" t="n">
        <f aca="false">F755</f>
        <v>-1</v>
      </c>
      <c r="L755" s="0" t="n">
        <f aca="false">G755</f>
        <v>-0.5</v>
      </c>
      <c r="M755" s="0" t="n">
        <f aca="false">H755</f>
        <v>-0.25</v>
      </c>
      <c r="N755" s="0" t="n">
        <f aca="false">E755*F755</f>
        <v>0.75</v>
      </c>
      <c r="O755" s="0" t="n">
        <f aca="false">E755*G755</f>
        <v>0.375</v>
      </c>
      <c r="P755" s="0" t="n">
        <f aca="false">E755*H755</f>
        <v>0.1875</v>
      </c>
      <c r="Q755" s="0" t="n">
        <f aca="false">F755*G755</f>
        <v>0.5</v>
      </c>
      <c r="R755" s="0" t="n">
        <f aca="false">F755*H755</f>
        <v>0.25</v>
      </c>
      <c r="S755" s="0" t="n">
        <f aca="false">G755*H755</f>
        <v>0.125</v>
      </c>
      <c r="T755" s="0" t="n">
        <f aca="false">E755*E755</f>
        <v>0.5625</v>
      </c>
      <c r="U755" s="0" t="n">
        <f aca="false">F755*F755</f>
        <v>1</v>
      </c>
      <c r="V755" s="0" t="n">
        <f aca="false">G755*G755</f>
        <v>0.25</v>
      </c>
      <c r="W755" s="0" t="n">
        <f aca="false">H755*H755</f>
        <v>0.0625</v>
      </c>
      <c r="X755" s="0" t="n">
        <f aca="false">SUMPRODUCT(I755:W755,_XtX!$B$96:$P$96)</f>
        <v>40.2491228070175</v>
      </c>
      <c r="Y755" s="0" t="n">
        <f aca="false">SUMPRODUCT(MMULT(I755:W755,_XtX!$B$78:$P$92),I755:W755)</f>
        <v>0.459125719572369</v>
      </c>
      <c r="Z755" s="0" t="n">
        <f aca="false">04_回帰ANOVA!$K$19*04_回帰ANOVA!$K$14*SQRT(1+Y755)</f>
        <v>1.57450755575573</v>
      </c>
      <c r="AA755" s="0" t="n">
        <f aca="false">X755-Z755</f>
        <v>38.6746152512618</v>
      </c>
      <c r="AB755" s="0" t="n">
        <f aca="false">X755+Z755</f>
        <v>41.8236303627733</v>
      </c>
      <c r="AC755" s="54" t="b">
        <f aca="false">AND(E755&gt;=01_因子設定!$L$5-0.000000001,E755&lt;=01_因子設定!$M$5+0.000000001,F755&gt;=01_因子設定!$L$6-0.000000001,F755&lt;=01_因子設定!$M$6+0.000000001,G755&gt;=01_因子設定!$L$7-0.000000001,G755&lt;=01_因子設定!$M$7+0.000000001,H755&gt;=01_因子設定!$L$8-0.000000001,H755&lt;=01_因子設定!$M$8+0.000000001,IF(01_因子設定!$B$20="Box-Behnken",E755^2+F755^2+G755^2+H755^2&lt;=2+0.000000001,TRUE()))</f>
        <v>1</v>
      </c>
      <c r="AD755" s="55" t="n">
        <f aca="false">IF(AC755,IF(01_因子設定!$B$13="最大化",AA755-01_因子設定!$B$14,IF(01_因子設定!$B$13="最小化",01_因子設定!$B$15-AB755,MIN(AA755-01_因子設定!$B$14,01_因子設定!$B$15-AB755))),-1E+030)</f>
        <v>-7.8253847487382</v>
      </c>
      <c r="AE755" s="55" t="n">
        <f aca="false">IF(AC755,IF(01_因子設定!$B$13="最大化",X755,IF(01_因子設定!$B$13="最小化",-X755,-ABS(X755-01_因子設定!$B$16))),-1E+030)</f>
        <v>40.2491228070175</v>
      </c>
      <c r="AF755" s="55" t="n">
        <f aca="false">AD755+ROW()*0.000000001</f>
        <v>-7.82538399373819</v>
      </c>
      <c r="AG755" s="55" t="n">
        <f aca="false">AE755+ROW()*0.000000001</f>
        <v>40.2491235620175</v>
      </c>
    </row>
    <row r="756" customFormat="false" ht="15" hidden="false" customHeight="false" outlineLevel="0" collapsed="false">
      <c r="A756" s="0" t="n">
        <v>1</v>
      </c>
      <c r="B756" s="0" t="n">
        <v>0</v>
      </c>
      <c r="C756" s="0" t="n">
        <v>2</v>
      </c>
      <c r="D756" s="0" t="n">
        <v>4</v>
      </c>
      <c r="E756" s="0" t="n">
        <f aca="false">-1+A756*0.25</f>
        <v>-0.75</v>
      </c>
      <c r="F756" s="0" t="n">
        <f aca="false">-1+B756*0.25</f>
        <v>-1</v>
      </c>
      <c r="G756" s="0" t="n">
        <f aca="false">-1+C756*0.25</f>
        <v>-0.5</v>
      </c>
      <c r="H756" s="0" t="n">
        <f aca="false">-1+D756*0.25</f>
        <v>0</v>
      </c>
      <c r="I756" s="0" t="n">
        <f aca="false">1</f>
        <v>1</v>
      </c>
      <c r="J756" s="0" t="n">
        <f aca="false">E756</f>
        <v>-0.75</v>
      </c>
      <c r="K756" s="0" t="n">
        <f aca="false">F756</f>
        <v>-1</v>
      </c>
      <c r="L756" s="0" t="n">
        <f aca="false">G756</f>
        <v>-0.5</v>
      </c>
      <c r="M756" s="0" t="n">
        <f aca="false">H756</f>
        <v>0</v>
      </c>
      <c r="N756" s="0" t="n">
        <f aca="false">E756*F756</f>
        <v>0.75</v>
      </c>
      <c r="O756" s="0" t="n">
        <f aca="false">E756*G756</f>
        <v>0.375</v>
      </c>
      <c r="P756" s="0" t="n">
        <f aca="false">E756*H756</f>
        <v>-0</v>
      </c>
      <c r="Q756" s="0" t="n">
        <f aca="false">F756*G756</f>
        <v>0.5</v>
      </c>
      <c r="R756" s="0" t="n">
        <f aca="false">F756*H756</f>
        <v>-0</v>
      </c>
      <c r="S756" s="0" t="n">
        <f aca="false">G756*H756</f>
        <v>-0</v>
      </c>
      <c r="T756" s="0" t="n">
        <f aca="false">E756*E756</f>
        <v>0.5625</v>
      </c>
      <c r="U756" s="0" t="n">
        <f aca="false">F756*F756</f>
        <v>1</v>
      </c>
      <c r="V756" s="0" t="n">
        <f aca="false">G756*G756</f>
        <v>0.25</v>
      </c>
      <c r="W756" s="0" t="n">
        <f aca="false">H756*H756</f>
        <v>0</v>
      </c>
      <c r="X756" s="0" t="n">
        <f aca="false">SUMPRODUCT(I756:W756,_XtX!$B$96:$P$96)</f>
        <v>40.3681652046784</v>
      </c>
      <c r="Y756" s="0" t="n">
        <f aca="false">SUMPRODUCT(MMULT(I756:W756,_XtX!$B$78:$P$92),I756:W756)</f>
        <v>0.476191292032164</v>
      </c>
      <c r="Z756" s="0" t="n">
        <f aca="false">04_回帰ANOVA!$K$19*04_回帰ANOVA!$K$14*SQRT(1+Y756)</f>
        <v>1.58368831471718</v>
      </c>
      <c r="AA756" s="0" t="n">
        <f aca="false">X756-Z756</f>
        <v>38.7844768899612</v>
      </c>
      <c r="AB756" s="0" t="n">
        <f aca="false">X756+Z756</f>
        <v>41.9518535193955</v>
      </c>
      <c r="AC756" s="54" t="b">
        <f aca="false">AND(E756&gt;=01_因子設定!$L$5-0.000000001,E756&lt;=01_因子設定!$M$5+0.000000001,F756&gt;=01_因子設定!$L$6-0.000000001,F756&lt;=01_因子設定!$M$6+0.000000001,G756&gt;=01_因子設定!$L$7-0.000000001,G756&lt;=01_因子設定!$M$7+0.000000001,H756&gt;=01_因子設定!$L$8-0.000000001,H756&lt;=01_因子設定!$M$8+0.000000001,IF(01_因子設定!$B$20="Box-Behnken",E756^2+F756^2+G756^2+H756^2&lt;=2+0.000000001,TRUE()))</f>
        <v>1</v>
      </c>
      <c r="AD756" s="55" t="n">
        <f aca="false">IF(AC756,IF(01_因子設定!$B$13="最大化",AA756-01_因子設定!$B$14,IF(01_因子設定!$B$13="最小化",01_因子設定!$B$15-AB756,MIN(AA756-01_因子設定!$B$14,01_因子設定!$B$15-AB756))),-1E+030)</f>
        <v>-7.71552311003883</v>
      </c>
      <c r="AE756" s="55" t="n">
        <f aca="false">IF(AC756,IF(01_因子設定!$B$13="最大化",X756,IF(01_因子設定!$B$13="最小化",-X756,-ABS(X756-01_因子設定!$B$16))),-1E+030)</f>
        <v>40.3681652046784</v>
      </c>
      <c r="AF756" s="55" t="n">
        <f aca="false">AD756+ROW()*0.000000001</f>
        <v>-7.71552235403883</v>
      </c>
      <c r="AG756" s="55" t="n">
        <f aca="false">AE756+ROW()*0.000000001</f>
        <v>40.3681659606784</v>
      </c>
    </row>
    <row r="757" customFormat="false" ht="15" hidden="false" customHeight="false" outlineLevel="0" collapsed="false">
      <c r="A757" s="0" t="n">
        <v>1</v>
      </c>
      <c r="B757" s="0" t="n">
        <v>0</v>
      </c>
      <c r="C757" s="0" t="n">
        <v>2</v>
      </c>
      <c r="D757" s="0" t="n">
        <v>5</v>
      </c>
      <c r="E757" s="0" t="n">
        <f aca="false">-1+A757*0.25</f>
        <v>-0.75</v>
      </c>
      <c r="F757" s="0" t="n">
        <f aca="false">-1+B757*0.25</f>
        <v>-1</v>
      </c>
      <c r="G757" s="0" t="n">
        <f aca="false">-1+C757*0.25</f>
        <v>-0.5</v>
      </c>
      <c r="H757" s="0" t="n">
        <f aca="false">-1+D757*0.25</f>
        <v>0.25</v>
      </c>
      <c r="I757" s="0" t="n">
        <f aca="false">1</f>
        <v>1</v>
      </c>
      <c r="J757" s="0" t="n">
        <f aca="false">E757</f>
        <v>-0.75</v>
      </c>
      <c r="K757" s="0" t="n">
        <f aca="false">F757</f>
        <v>-1</v>
      </c>
      <c r="L757" s="0" t="n">
        <f aca="false">G757</f>
        <v>-0.5</v>
      </c>
      <c r="M757" s="0" t="n">
        <f aca="false">H757</f>
        <v>0.25</v>
      </c>
      <c r="N757" s="0" t="n">
        <f aca="false">E757*F757</f>
        <v>0.75</v>
      </c>
      <c r="O757" s="0" t="n">
        <f aca="false">E757*G757</f>
        <v>0.375</v>
      </c>
      <c r="P757" s="0" t="n">
        <f aca="false">E757*H757</f>
        <v>-0.1875</v>
      </c>
      <c r="Q757" s="0" t="n">
        <f aca="false">F757*G757</f>
        <v>0.5</v>
      </c>
      <c r="R757" s="0" t="n">
        <f aca="false">F757*H757</f>
        <v>-0.25</v>
      </c>
      <c r="S757" s="0" t="n">
        <f aca="false">G757*H757</f>
        <v>-0.125</v>
      </c>
      <c r="T757" s="0" t="n">
        <f aca="false">E757*E757</f>
        <v>0.5625</v>
      </c>
      <c r="U757" s="0" t="n">
        <f aca="false">F757*F757</f>
        <v>1</v>
      </c>
      <c r="V757" s="0" t="n">
        <f aca="false">G757*G757</f>
        <v>0.25</v>
      </c>
      <c r="W757" s="0" t="n">
        <f aca="false">H757*H757</f>
        <v>0.0625</v>
      </c>
      <c r="X757" s="0" t="n">
        <f aca="false">SUMPRODUCT(I757:W757,_XtX!$B$96:$P$96)</f>
        <v>40.4394005847953</v>
      </c>
      <c r="Y757" s="0" t="n">
        <f aca="false">SUMPRODUCT(MMULT(I757:W757,_XtX!$B$78:$P$92),I757:W757)</f>
        <v>0.459125719572369</v>
      </c>
      <c r="Z757" s="0" t="n">
        <f aca="false">04_回帰ANOVA!$K$19*04_回帰ANOVA!$K$14*SQRT(1+Y757)</f>
        <v>1.57450755575573</v>
      </c>
      <c r="AA757" s="0" t="n">
        <f aca="false">X757-Z757</f>
        <v>38.8648930290396</v>
      </c>
      <c r="AB757" s="0" t="n">
        <f aca="false">X757+Z757</f>
        <v>42.013908140551</v>
      </c>
      <c r="AC757" s="54" t="b">
        <f aca="false">AND(E757&gt;=01_因子設定!$L$5-0.000000001,E757&lt;=01_因子設定!$M$5+0.000000001,F757&gt;=01_因子設定!$L$6-0.000000001,F757&lt;=01_因子設定!$M$6+0.000000001,G757&gt;=01_因子設定!$L$7-0.000000001,G757&lt;=01_因子設定!$M$7+0.000000001,H757&gt;=01_因子設定!$L$8-0.000000001,H757&lt;=01_因子設定!$M$8+0.000000001,IF(01_因子設定!$B$20="Box-Behnken",E757^2+F757^2+G757^2+H757^2&lt;=2+0.000000001,TRUE()))</f>
        <v>1</v>
      </c>
      <c r="AD757" s="55" t="n">
        <f aca="false">IF(AC757,IF(01_因子設定!$B$13="最大化",AA757-01_因子設定!$B$14,IF(01_因子設定!$B$13="最小化",01_因子設定!$B$15-AB757,MIN(AA757-01_因子設定!$B$14,01_因子設定!$B$15-AB757))),-1E+030)</f>
        <v>-7.63510697096042</v>
      </c>
      <c r="AE757" s="55" t="n">
        <f aca="false">IF(AC757,IF(01_因子設定!$B$13="最大化",X757,IF(01_因子設定!$B$13="最小化",-X757,-ABS(X757-01_因子設定!$B$16))),-1E+030)</f>
        <v>40.4394005847953</v>
      </c>
      <c r="AF757" s="55" t="n">
        <f aca="false">AD757+ROW()*0.000000001</f>
        <v>-7.63510621396042</v>
      </c>
      <c r="AG757" s="55" t="n">
        <f aca="false">AE757+ROW()*0.000000001</f>
        <v>40.4394013417953</v>
      </c>
    </row>
    <row r="758" customFormat="false" ht="15" hidden="false" customHeight="false" outlineLevel="0" collapsed="false">
      <c r="A758" s="0" t="n">
        <v>1</v>
      </c>
      <c r="B758" s="0" t="n">
        <v>0</v>
      </c>
      <c r="C758" s="0" t="n">
        <v>2</v>
      </c>
      <c r="D758" s="0" t="n">
        <v>6</v>
      </c>
      <c r="E758" s="0" t="n">
        <f aca="false">-1+A758*0.25</f>
        <v>-0.75</v>
      </c>
      <c r="F758" s="0" t="n">
        <f aca="false">-1+B758*0.25</f>
        <v>-1</v>
      </c>
      <c r="G758" s="0" t="n">
        <f aca="false">-1+C758*0.25</f>
        <v>-0.5</v>
      </c>
      <c r="H758" s="0" t="n">
        <f aca="false">-1+D758*0.25</f>
        <v>0.5</v>
      </c>
      <c r="I758" s="0" t="n">
        <f aca="false">1</f>
        <v>1</v>
      </c>
      <c r="J758" s="0" t="n">
        <f aca="false">E758</f>
        <v>-0.75</v>
      </c>
      <c r="K758" s="0" t="n">
        <f aca="false">F758</f>
        <v>-1</v>
      </c>
      <c r="L758" s="0" t="n">
        <f aca="false">G758</f>
        <v>-0.5</v>
      </c>
      <c r="M758" s="0" t="n">
        <f aca="false">H758</f>
        <v>0.5</v>
      </c>
      <c r="N758" s="0" t="n">
        <f aca="false">E758*F758</f>
        <v>0.75</v>
      </c>
      <c r="O758" s="0" t="n">
        <f aca="false">E758*G758</f>
        <v>0.375</v>
      </c>
      <c r="P758" s="0" t="n">
        <f aca="false">E758*H758</f>
        <v>-0.375</v>
      </c>
      <c r="Q758" s="0" t="n">
        <f aca="false">F758*G758</f>
        <v>0.5</v>
      </c>
      <c r="R758" s="0" t="n">
        <f aca="false">F758*H758</f>
        <v>-0.5</v>
      </c>
      <c r="S758" s="0" t="n">
        <f aca="false">G758*H758</f>
        <v>-0.25</v>
      </c>
      <c r="T758" s="0" t="n">
        <f aca="false">E758*E758</f>
        <v>0.5625</v>
      </c>
      <c r="U758" s="0" t="n">
        <f aca="false">F758*F758</f>
        <v>1</v>
      </c>
      <c r="V758" s="0" t="n">
        <f aca="false">G758*G758</f>
        <v>0.25</v>
      </c>
      <c r="W758" s="0" t="n">
        <f aca="false">H758*H758</f>
        <v>0.25</v>
      </c>
      <c r="X758" s="0" t="n">
        <f aca="false">SUMPRODUCT(I758:W758,_XtX!$B$96:$P$96)</f>
        <v>40.4628289473684</v>
      </c>
      <c r="Y758" s="0" t="n">
        <f aca="false">SUMPRODUCT(MMULT(I758:W758,_XtX!$B$78:$P$92),I758:W758)</f>
        <v>0.42602110745614</v>
      </c>
      <c r="Z758" s="0" t="n">
        <f aca="false">04_回帰ANOVA!$K$19*04_回帰ANOVA!$K$14*SQRT(1+Y758)</f>
        <v>1.55654388501114</v>
      </c>
      <c r="AA758" s="0" t="n">
        <f aca="false">X758-Z758</f>
        <v>38.9062850623573</v>
      </c>
      <c r="AB758" s="0" t="n">
        <f aca="false">X758+Z758</f>
        <v>42.0193728323796</v>
      </c>
      <c r="AC758" s="54" t="b">
        <f aca="false">AND(E758&gt;=01_因子設定!$L$5-0.000000001,E758&lt;=01_因子設定!$M$5+0.000000001,F758&gt;=01_因子設定!$L$6-0.000000001,F758&lt;=01_因子設定!$M$6+0.000000001,G758&gt;=01_因子設定!$L$7-0.000000001,G758&lt;=01_因子設定!$M$7+0.000000001,H758&gt;=01_因子設定!$L$8-0.000000001,H758&lt;=01_因子設定!$M$8+0.000000001,IF(01_因子設定!$B$20="Box-Behnken",E758^2+F758^2+G758^2+H758^2&lt;=2+0.000000001,TRUE()))</f>
        <v>1</v>
      </c>
      <c r="AD758" s="55" t="n">
        <f aca="false">IF(AC758,IF(01_因子設定!$B$13="最大化",AA758-01_因子設定!$B$14,IF(01_因子設定!$B$13="最小化",01_因子設定!$B$15-AB758,MIN(AA758-01_因子設定!$B$14,01_因子設定!$B$15-AB758))),-1E+030)</f>
        <v>-7.59371493764272</v>
      </c>
      <c r="AE758" s="55" t="n">
        <f aca="false">IF(AC758,IF(01_因子設定!$B$13="最大化",X758,IF(01_因子設定!$B$13="最小化",-X758,-ABS(X758-01_因子設定!$B$16))),-1E+030)</f>
        <v>40.4628289473684</v>
      </c>
      <c r="AF758" s="55" t="n">
        <f aca="false">AD758+ROW()*0.000000001</f>
        <v>-7.59371417964272</v>
      </c>
      <c r="AG758" s="55" t="n">
        <f aca="false">AE758+ROW()*0.000000001</f>
        <v>40.4628297053684</v>
      </c>
    </row>
    <row r="759" customFormat="false" ht="15" hidden="false" customHeight="false" outlineLevel="0" collapsed="false">
      <c r="A759" s="0" t="n">
        <v>1</v>
      </c>
      <c r="B759" s="0" t="n">
        <v>0</v>
      </c>
      <c r="C759" s="0" t="n">
        <v>2</v>
      </c>
      <c r="D759" s="0" t="n">
        <v>7</v>
      </c>
      <c r="E759" s="0" t="n">
        <f aca="false">-1+A759*0.25</f>
        <v>-0.75</v>
      </c>
      <c r="F759" s="0" t="n">
        <f aca="false">-1+B759*0.25</f>
        <v>-1</v>
      </c>
      <c r="G759" s="0" t="n">
        <f aca="false">-1+C759*0.25</f>
        <v>-0.5</v>
      </c>
      <c r="H759" s="0" t="n">
        <f aca="false">-1+D759*0.25</f>
        <v>0.75</v>
      </c>
      <c r="I759" s="0" t="n">
        <f aca="false">1</f>
        <v>1</v>
      </c>
      <c r="J759" s="0" t="n">
        <f aca="false">E759</f>
        <v>-0.75</v>
      </c>
      <c r="K759" s="0" t="n">
        <f aca="false">F759</f>
        <v>-1</v>
      </c>
      <c r="L759" s="0" t="n">
        <f aca="false">G759</f>
        <v>-0.5</v>
      </c>
      <c r="M759" s="0" t="n">
        <f aca="false">H759</f>
        <v>0.75</v>
      </c>
      <c r="N759" s="0" t="n">
        <f aca="false">E759*F759</f>
        <v>0.75</v>
      </c>
      <c r="O759" s="0" t="n">
        <f aca="false">E759*G759</f>
        <v>0.375</v>
      </c>
      <c r="P759" s="0" t="n">
        <f aca="false">E759*H759</f>
        <v>-0.5625</v>
      </c>
      <c r="Q759" s="0" t="n">
        <f aca="false">F759*G759</f>
        <v>0.5</v>
      </c>
      <c r="R759" s="0" t="n">
        <f aca="false">F759*H759</f>
        <v>-0.75</v>
      </c>
      <c r="S759" s="0" t="n">
        <f aca="false">G759*H759</f>
        <v>-0.375</v>
      </c>
      <c r="T759" s="0" t="n">
        <f aca="false">E759*E759</f>
        <v>0.5625</v>
      </c>
      <c r="U759" s="0" t="n">
        <f aca="false">F759*F759</f>
        <v>1</v>
      </c>
      <c r="V759" s="0" t="n">
        <f aca="false">G759*G759</f>
        <v>0.25</v>
      </c>
      <c r="W759" s="0" t="n">
        <f aca="false">H759*H759</f>
        <v>0.5625</v>
      </c>
      <c r="X759" s="0" t="n">
        <f aca="false">SUMPRODUCT(I759:W759,_XtX!$B$96:$P$96)</f>
        <v>40.4384502923977</v>
      </c>
      <c r="Y759" s="0" t="n">
        <f aca="false">SUMPRODUCT(MMULT(I759:W759,_XtX!$B$78:$P$92),I759:W759)</f>
        <v>0.431153771472953</v>
      </c>
      <c r="Z759" s="0" t="n">
        <f aca="false">04_回帰ANOVA!$K$19*04_回帰ANOVA!$K$14*SQRT(1+Y759)</f>
        <v>1.55934259562563</v>
      </c>
      <c r="AA759" s="0" t="n">
        <f aca="false">X759-Z759</f>
        <v>38.879107696772</v>
      </c>
      <c r="AB759" s="0" t="n">
        <f aca="false">X759+Z759</f>
        <v>41.9977928880233</v>
      </c>
      <c r="AC759" s="54" t="b">
        <f aca="false">AND(E759&gt;=01_因子設定!$L$5-0.000000001,E759&lt;=01_因子設定!$M$5+0.000000001,F759&gt;=01_因子設定!$L$6-0.000000001,F759&lt;=01_因子設定!$M$6+0.000000001,G759&gt;=01_因子設定!$L$7-0.000000001,G759&lt;=01_因子設定!$M$7+0.000000001,H759&gt;=01_因子設定!$L$8-0.000000001,H759&lt;=01_因子設定!$M$8+0.000000001,IF(01_因子設定!$B$20="Box-Behnken",E759^2+F759^2+G759^2+H759^2&lt;=2+0.000000001,TRUE()))</f>
        <v>1</v>
      </c>
      <c r="AD759" s="55" t="n">
        <f aca="false">IF(AC759,IF(01_因子設定!$B$13="最大化",AA759-01_因子設定!$B$14,IF(01_因子設定!$B$13="最小化",01_因子設定!$B$15-AB759,MIN(AA759-01_因子設定!$B$14,01_因子設定!$B$15-AB759))),-1E+030)</f>
        <v>-7.62089230322796</v>
      </c>
      <c r="AE759" s="55" t="n">
        <f aca="false">IF(AC759,IF(01_因子設定!$B$13="最大化",X759,IF(01_因子設定!$B$13="最小化",-X759,-ABS(X759-01_因子設定!$B$16))),-1E+030)</f>
        <v>40.4384502923977</v>
      </c>
      <c r="AF759" s="55" t="n">
        <f aca="false">AD759+ROW()*0.000000001</f>
        <v>-7.62089154422796</v>
      </c>
      <c r="AG759" s="55" t="n">
        <f aca="false">AE759+ROW()*0.000000001</f>
        <v>40.4384510513977</v>
      </c>
    </row>
    <row r="760" customFormat="false" ht="15" hidden="false" customHeight="false" outlineLevel="0" collapsed="false">
      <c r="A760" s="0" t="n">
        <v>1</v>
      </c>
      <c r="B760" s="0" t="n">
        <v>0</v>
      </c>
      <c r="C760" s="0" t="n">
        <v>2</v>
      </c>
      <c r="D760" s="0" t="n">
        <v>8</v>
      </c>
      <c r="E760" s="0" t="n">
        <f aca="false">-1+A760*0.25</f>
        <v>-0.75</v>
      </c>
      <c r="F760" s="0" t="n">
        <f aca="false">-1+B760*0.25</f>
        <v>-1</v>
      </c>
      <c r="G760" s="0" t="n">
        <f aca="false">-1+C760*0.25</f>
        <v>-0.5</v>
      </c>
      <c r="H760" s="0" t="n">
        <f aca="false">-1+D760*0.25</f>
        <v>1</v>
      </c>
      <c r="I760" s="0" t="n">
        <f aca="false">1</f>
        <v>1</v>
      </c>
      <c r="J760" s="0" t="n">
        <f aca="false">E760</f>
        <v>-0.75</v>
      </c>
      <c r="K760" s="0" t="n">
        <f aca="false">F760</f>
        <v>-1</v>
      </c>
      <c r="L760" s="0" t="n">
        <f aca="false">G760</f>
        <v>-0.5</v>
      </c>
      <c r="M760" s="0" t="n">
        <f aca="false">H760</f>
        <v>1</v>
      </c>
      <c r="N760" s="0" t="n">
        <f aca="false">E760*F760</f>
        <v>0.75</v>
      </c>
      <c r="O760" s="0" t="n">
        <f aca="false">E760*G760</f>
        <v>0.375</v>
      </c>
      <c r="P760" s="0" t="n">
        <f aca="false">E760*H760</f>
        <v>-0.75</v>
      </c>
      <c r="Q760" s="0" t="n">
        <f aca="false">F760*G760</f>
        <v>0.5</v>
      </c>
      <c r="R760" s="0" t="n">
        <f aca="false">F760*H760</f>
        <v>-1</v>
      </c>
      <c r="S760" s="0" t="n">
        <f aca="false">G760*H760</f>
        <v>-0.5</v>
      </c>
      <c r="T760" s="0" t="n">
        <f aca="false">E760*E760</f>
        <v>0.5625</v>
      </c>
      <c r="U760" s="0" t="n">
        <f aca="false">F760*F760</f>
        <v>1</v>
      </c>
      <c r="V760" s="0" t="n">
        <f aca="false">G760*G760</f>
        <v>0.25</v>
      </c>
      <c r="W760" s="0" t="n">
        <f aca="false">H760*H760</f>
        <v>1</v>
      </c>
      <c r="X760" s="0" t="n">
        <f aca="false">SUMPRODUCT(I760:W760,_XtX!$B$96:$P$96)</f>
        <v>40.3662646198831</v>
      </c>
      <c r="Y760" s="0" t="n">
        <f aca="false">SUMPRODUCT(MMULT(I760:W760,_XtX!$B$78:$P$92),I760:W760)</f>
        <v>0.564984237938597</v>
      </c>
      <c r="Z760" s="0" t="n">
        <f aca="false">04_回帰ANOVA!$K$19*04_回帰ANOVA!$K$14*SQRT(1+Y760)</f>
        <v>1.63062229734503</v>
      </c>
      <c r="AA760" s="0" t="n">
        <f aca="false">X760-Z760</f>
        <v>38.735642322538</v>
      </c>
      <c r="AB760" s="0" t="n">
        <f aca="false">X760+Z760</f>
        <v>41.9968869172281</v>
      </c>
      <c r="AC760" s="54" t="b">
        <f aca="false">AND(E760&gt;=01_因子設定!$L$5-0.000000001,E760&lt;=01_因子設定!$M$5+0.000000001,F760&gt;=01_因子設定!$L$6-0.000000001,F760&lt;=01_因子設定!$M$6+0.000000001,G760&gt;=01_因子設定!$L$7-0.000000001,G760&lt;=01_因子設定!$M$7+0.000000001,H760&gt;=01_因子設定!$L$8-0.000000001,H760&lt;=01_因子設定!$M$8+0.000000001,IF(01_因子設定!$B$20="Box-Behnken",E760^2+F760^2+G760^2+H760^2&lt;=2+0.000000001,TRUE()))</f>
        <v>1</v>
      </c>
      <c r="AD760" s="55" t="n">
        <f aca="false">IF(AC760,IF(01_因子設定!$B$13="最大化",AA760-01_因子設定!$B$14,IF(01_因子設定!$B$13="最小化",01_因子設定!$B$15-AB760,MIN(AA760-01_因子設定!$B$14,01_因子設定!$B$15-AB760))),-1E+030)</f>
        <v>-7.76435767746197</v>
      </c>
      <c r="AE760" s="55" t="n">
        <f aca="false">IF(AC760,IF(01_因子設定!$B$13="最大化",X760,IF(01_因子設定!$B$13="最小化",-X760,-ABS(X760-01_因子設定!$B$16))),-1E+030)</f>
        <v>40.3662646198831</v>
      </c>
      <c r="AF760" s="55" t="n">
        <f aca="false">AD760+ROW()*0.000000001</f>
        <v>-7.76435691746197</v>
      </c>
      <c r="AG760" s="55" t="n">
        <f aca="false">AE760+ROW()*0.000000001</f>
        <v>40.3662653798831</v>
      </c>
    </row>
    <row r="761" customFormat="false" ht="15" hidden="false" customHeight="false" outlineLevel="0" collapsed="false">
      <c r="A761" s="0" t="n">
        <v>1</v>
      </c>
      <c r="B761" s="0" t="n">
        <v>0</v>
      </c>
      <c r="C761" s="0" t="n">
        <v>3</v>
      </c>
      <c r="D761" s="0" t="n">
        <v>0</v>
      </c>
      <c r="E761" s="0" t="n">
        <f aca="false">-1+A761*0.25</f>
        <v>-0.75</v>
      </c>
      <c r="F761" s="0" t="n">
        <f aca="false">-1+B761*0.25</f>
        <v>-1</v>
      </c>
      <c r="G761" s="0" t="n">
        <f aca="false">-1+C761*0.25</f>
        <v>-0.25</v>
      </c>
      <c r="H761" s="0" t="n">
        <f aca="false">-1+D761*0.25</f>
        <v>-1</v>
      </c>
      <c r="I761" s="0" t="n">
        <f aca="false">1</f>
        <v>1</v>
      </c>
      <c r="J761" s="0" t="n">
        <f aca="false">E761</f>
        <v>-0.75</v>
      </c>
      <c r="K761" s="0" t="n">
        <f aca="false">F761</f>
        <v>-1</v>
      </c>
      <c r="L761" s="0" t="n">
        <f aca="false">G761</f>
        <v>-0.25</v>
      </c>
      <c r="M761" s="0" t="n">
        <f aca="false">H761</f>
        <v>-1</v>
      </c>
      <c r="N761" s="0" t="n">
        <f aca="false">E761*F761</f>
        <v>0.75</v>
      </c>
      <c r="O761" s="0" t="n">
        <f aca="false">E761*G761</f>
        <v>0.1875</v>
      </c>
      <c r="P761" s="0" t="n">
        <f aca="false">E761*H761</f>
        <v>0.75</v>
      </c>
      <c r="Q761" s="0" t="n">
        <f aca="false">F761*G761</f>
        <v>0.25</v>
      </c>
      <c r="R761" s="0" t="n">
        <f aca="false">F761*H761</f>
        <v>1</v>
      </c>
      <c r="S761" s="0" t="n">
        <f aca="false">G761*H761</f>
        <v>0.25</v>
      </c>
      <c r="T761" s="0" t="n">
        <f aca="false">E761*E761</f>
        <v>0.5625</v>
      </c>
      <c r="U761" s="0" t="n">
        <f aca="false">F761*F761</f>
        <v>1</v>
      </c>
      <c r="V761" s="0" t="n">
        <f aca="false">G761*G761</f>
        <v>0.0625</v>
      </c>
      <c r="W761" s="0" t="n">
        <f aca="false">H761*H761</f>
        <v>1</v>
      </c>
      <c r="X761" s="0" t="n">
        <f aca="false">SUMPRODUCT(I761:W761,_XtX!$B$96:$P$96)</f>
        <v>39.9508223684211</v>
      </c>
      <c r="Y761" s="0" t="n">
        <f aca="false">SUMPRODUCT(MMULT(I761:W761,_XtX!$B$78:$P$92),I761:W761)</f>
        <v>0.621372155975877</v>
      </c>
      <c r="Z761" s="0" t="n">
        <f aca="false">04_回帰ANOVA!$K$19*04_回帰ANOVA!$K$14*SQRT(1+Y761)</f>
        <v>1.65973880499872</v>
      </c>
      <c r="AA761" s="0" t="n">
        <f aca="false">X761-Z761</f>
        <v>38.2910835634224</v>
      </c>
      <c r="AB761" s="0" t="n">
        <f aca="false">X761+Z761</f>
        <v>41.6105611734198</v>
      </c>
      <c r="AC761" s="54" t="b">
        <f aca="false">AND(E761&gt;=01_因子設定!$L$5-0.000000001,E761&lt;=01_因子設定!$M$5+0.000000001,F761&gt;=01_因子設定!$L$6-0.000000001,F761&lt;=01_因子設定!$M$6+0.000000001,G761&gt;=01_因子設定!$L$7-0.000000001,G761&lt;=01_因子設定!$M$7+0.000000001,H761&gt;=01_因子設定!$L$8-0.000000001,H761&lt;=01_因子設定!$M$8+0.000000001,IF(01_因子設定!$B$20="Box-Behnken",E761^2+F761^2+G761^2+H761^2&lt;=2+0.000000001,TRUE()))</f>
        <v>1</v>
      </c>
      <c r="AD761" s="55" t="n">
        <f aca="false">IF(AC761,IF(01_因子設定!$B$13="最大化",AA761-01_因子設定!$B$14,IF(01_因子設定!$B$13="最小化",01_因子設定!$B$15-AB761,MIN(AA761-01_因子設定!$B$14,01_因子設定!$B$15-AB761))),-1E+030)</f>
        <v>-8.20891643657765</v>
      </c>
      <c r="AE761" s="55" t="n">
        <f aca="false">IF(AC761,IF(01_因子設定!$B$13="最大化",X761,IF(01_因子設定!$B$13="最小化",-X761,-ABS(X761-01_因子設定!$B$16))),-1E+030)</f>
        <v>39.9508223684211</v>
      </c>
      <c r="AF761" s="55" t="n">
        <f aca="false">AD761+ROW()*0.000000001</f>
        <v>-8.20891567557765</v>
      </c>
      <c r="AG761" s="55" t="n">
        <f aca="false">AE761+ROW()*0.000000001</f>
        <v>39.9508231294211</v>
      </c>
    </row>
    <row r="762" customFormat="false" ht="15" hidden="false" customHeight="false" outlineLevel="0" collapsed="false">
      <c r="A762" s="0" t="n">
        <v>1</v>
      </c>
      <c r="B762" s="0" t="n">
        <v>0</v>
      </c>
      <c r="C762" s="0" t="n">
        <v>3</v>
      </c>
      <c r="D762" s="0" t="n">
        <v>1</v>
      </c>
      <c r="E762" s="0" t="n">
        <f aca="false">-1+A762*0.25</f>
        <v>-0.75</v>
      </c>
      <c r="F762" s="0" t="n">
        <f aca="false">-1+B762*0.25</f>
        <v>-1</v>
      </c>
      <c r="G762" s="0" t="n">
        <f aca="false">-1+C762*0.25</f>
        <v>-0.25</v>
      </c>
      <c r="H762" s="0" t="n">
        <f aca="false">-1+D762*0.25</f>
        <v>-0.75</v>
      </c>
      <c r="I762" s="0" t="n">
        <f aca="false">1</f>
        <v>1</v>
      </c>
      <c r="J762" s="0" t="n">
        <f aca="false">E762</f>
        <v>-0.75</v>
      </c>
      <c r="K762" s="0" t="n">
        <f aca="false">F762</f>
        <v>-1</v>
      </c>
      <c r="L762" s="0" t="n">
        <f aca="false">G762</f>
        <v>-0.25</v>
      </c>
      <c r="M762" s="0" t="n">
        <f aca="false">H762</f>
        <v>-0.75</v>
      </c>
      <c r="N762" s="0" t="n">
        <f aca="false">E762*F762</f>
        <v>0.75</v>
      </c>
      <c r="O762" s="0" t="n">
        <f aca="false">E762*G762</f>
        <v>0.1875</v>
      </c>
      <c r="P762" s="0" t="n">
        <f aca="false">E762*H762</f>
        <v>0.5625</v>
      </c>
      <c r="Q762" s="0" t="n">
        <f aca="false">F762*G762</f>
        <v>0.25</v>
      </c>
      <c r="R762" s="0" t="n">
        <f aca="false">F762*H762</f>
        <v>0.75</v>
      </c>
      <c r="S762" s="0" t="n">
        <f aca="false">G762*H762</f>
        <v>0.1875</v>
      </c>
      <c r="T762" s="0" t="n">
        <f aca="false">E762*E762</f>
        <v>0.5625</v>
      </c>
      <c r="U762" s="0" t="n">
        <f aca="false">F762*F762</f>
        <v>1</v>
      </c>
      <c r="V762" s="0" t="n">
        <f aca="false">G762*G762</f>
        <v>0.0625</v>
      </c>
      <c r="W762" s="0" t="n">
        <f aca="false">H762*H762</f>
        <v>0.5625</v>
      </c>
      <c r="X762" s="0" t="n">
        <f aca="false">SUMPRODUCT(I762:W762,_XtX!$B$96:$P$96)</f>
        <v>40.2312545687135</v>
      </c>
      <c r="Y762" s="0" t="n">
        <f aca="false">SUMPRODUCT(MMULT(I762:W762,_XtX!$B$78:$P$92),I762:W762)</f>
        <v>0.473959761056287</v>
      </c>
      <c r="Z762" s="0" t="n">
        <f aca="false">04_回帰ANOVA!$K$19*04_回帰ANOVA!$K$14*SQRT(1+Y762)</f>
        <v>1.58249084588329</v>
      </c>
      <c r="AA762" s="0" t="n">
        <f aca="false">X762-Z762</f>
        <v>38.6487637228302</v>
      </c>
      <c r="AB762" s="0" t="n">
        <f aca="false">X762+Z762</f>
        <v>41.8137454145967</v>
      </c>
      <c r="AC762" s="54" t="b">
        <f aca="false">AND(E762&gt;=01_因子設定!$L$5-0.000000001,E762&lt;=01_因子設定!$M$5+0.000000001,F762&gt;=01_因子設定!$L$6-0.000000001,F762&lt;=01_因子設定!$M$6+0.000000001,G762&gt;=01_因子設定!$L$7-0.000000001,G762&lt;=01_因子設定!$M$7+0.000000001,H762&gt;=01_因子設定!$L$8-0.000000001,H762&lt;=01_因子設定!$M$8+0.000000001,IF(01_因子設定!$B$20="Box-Behnken",E762^2+F762^2+G762^2+H762^2&lt;=2+0.000000001,TRUE()))</f>
        <v>1</v>
      </c>
      <c r="AD762" s="55" t="n">
        <f aca="false">IF(AC762,IF(01_因子設定!$B$13="最大化",AA762-01_因子設定!$B$14,IF(01_因子設定!$B$13="最小化",01_因子設定!$B$15-AB762,MIN(AA762-01_因子設定!$B$14,01_因子設定!$B$15-AB762))),-1E+030)</f>
        <v>-7.85123627716983</v>
      </c>
      <c r="AE762" s="55" t="n">
        <f aca="false">IF(AC762,IF(01_因子設定!$B$13="最大化",X762,IF(01_因子設定!$B$13="最小化",-X762,-ABS(X762-01_因子設定!$B$16))),-1E+030)</f>
        <v>40.2312545687135</v>
      </c>
      <c r="AF762" s="55" t="n">
        <f aca="false">AD762+ROW()*0.000000001</f>
        <v>-7.85123551516983</v>
      </c>
      <c r="AG762" s="55" t="n">
        <f aca="false">AE762+ROW()*0.000000001</f>
        <v>40.2312553307135</v>
      </c>
    </row>
    <row r="763" customFormat="false" ht="15" hidden="false" customHeight="false" outlineLevel="0" collapsed="false">
      <c r="A763" s="0" t="n">
        <v>1</v>
      </c>
      <c r="B763" s="0" t="n">
        <v>0</v>
      </c>
      <c r="C763" s="0" t="n">
        <v>3</v>
      </c>
      <c r="D763" s="0" t="n">
        <v>2</v>
      </c>
      <c r="E763" s="0" t="n">
        <f aca="false">-1+A763*0.25</f>
        <v>-0.75</v>
      </c>
      <c r="F763" s="0" t="n">
        <f aca="false">-1+B763*0.25</f>
        <v>-1</v>
      </c>
      <c r="G763" s="0" t="n">
        <f aca="false">-1+C763*0.25</f>
        <v>-0.25</v>
      </c>
      <c r="H763" s="0" t="n">
        <f aca="false">-1+D763*0.25</f>
        <v>-0.5</v>
      </c>
      <c r="I763" s="0" t="n">
        <f aca="false">1</f>
        <v>1</v>
      </c>
      <c r="J763" s="0" t="n">
        <f aca="false">E763</f>
        <v>-0.75</v>
      </c>
      <c r="K763" s="0" t="n">
        <f aca="false">F763</f>
        <v>-1</v>
      </c>
      <c r="L763" s="0" t="n">
        <f aca="false">G763</f>
        <v>-0.25</v>
      </c>
      <c r="M763" s="0" t="n">
        <f aca="false">H763</f>
        <v>-0.5</v>
      </c>
      <c r="N763" s="0" t="n">
        <f aca="false">E763*F763</f>
        <v>0.75</v>
      </c>
      <c r="O763" s="0" t="n">
        <f aca="false">E763*G763</f>
        <v>0.1875</v>
      </c>
      <c r="P763" s="0" t="n">
        <f aca="false">E763*H763</f>
        <v>0.375</v>
      </c>
      <c r="Q763" s="0" t="n">
        <f aca="false">F763*G763</f>
        <v>0.25</v>
      </c>
      <c r="R763" s="0" t="n">
        <f aca="false">F763*H763</f>
        <v>0.5</v>
      </c>
      <c r="S763" s="0" t="n">
        <f aca="false">G763*H763</f>
        <v>0.125</v>
      </c>
      <c r="T763" s="0" t="n">
        <f aca="false">E763*E763</f>
        <v>0.5625</v>
      </c>
      <c r="U763" s="0" t="n">
        <f aca="false">F763*F763</f>
        <v>1</v>
      </c>
      <c r="V763" s="0" t="n">
        <f aca="false">G763*G763</f>
        <v>0.0625</v>
      </c>
      <c r="W763" s="0" t="n">
        <f aca="false">H763*H763</f>
        <v>0.25</v>
      </c>
      <c r="X763" s="0" t="n">
        <f aca="false">SUMPRODUCT(I763:W763,_XtX!$B$96:$P$96)</f>
        <v>40.463879751462</v>
      </c>
      <c r="Y763" s="0" t="n">
        <f aca="false">SUMPRODUCT(MMULT(I763:W763,_XtX!$B$78:$P$92),I763:W763)</f>
        <v>0.459125719572369</v>
      </c>
      <c r="Z763" s="0" t="n">
        <f aca="false">04_回帰ANOVA!$K$19*04_回帰ANOVA!$K$14*SQRT(1+Y763)</f>
        <v>1.57450755575573</v>
      </c>
      <c r="AA763" s="0" t="n">
        <f aca="false">X763-Z763</f>
        <v>38.8893721957063</v>
      </c>
      <c r="AB763" s="0" t="n">
        <f aca="false">X763+Z763</f>
        <v>42.0383873072177</v>
      </c>
      <c r="AC763" s="54" t="b">
        <f aca="false">AND(E763&gt;=01_因子設定!$L$5-0.000000001,E763&lt;=01_因子設定!$M$5+0.000000001,F763&gt;=01_因子設定!$L$6-0.000000001,F763&lt;=01_因子設定!$M$6+0.000000001,G763&gt;=01_因子設定!$L$7-0.000000001,G763&lt;=01_因子設定!$M$7+0.000000001,H763&gt;=01_因子設定!$L$8-0.000000001,H763&lt;=01_因子設定!$M$8+0.000000001,IF(01_因子設定!$B$20="Box-Behnken",E763^2+F763^2+G763^2+H763^2&lt;=2+0.000000001,TRUE()))</f>
        <v>1</v>
      </c>
      <c r="AD763" s="55" t="n">
        <f aca="false">IF(AC763,IF(01_因子設定!$B$13="最大化",AA763-01_因子設定!$B$14,IF(01_因子設定!$B$13="最小化",01_因子設定!$B$15-AB763,MIN(AA763-01_因子設定!$B$14,01_因子設定!$B$15-AB763))),-1E+030)</f>
        <v>-7.61062780429375</v>
      </c>
      <c r="AE763" s="55" t="n">
        <f aca="false">IF(AC763,IF(01_因子設定!$B$13="最大化",X763,IF(01_因子設定!$B$13="最小化",-X763,-ABS(X763-01_因子設定!$B$16))),-1E+030)</f>
        <v>40.463879751462</v>
      </c>
      <c r="AF763" s="55" t="n">
        <f aca="false">AD763+ROW()*0.000000001</f>
        <v>-7.61062704129375</v>
      </c>
      <c r="AG763" s="55" t="n">
        <f aca="false">AE763+ROW()*0.000000001</f>
        <v>40.463880514462</v>
      </c>
    </row>
    <row r="764" customFormat="false" ht="15" hidden="false" customHeight="false" outlineLevel="0" collapsed="false">
      <c r="A764" s="0" t="n">
        <v>1</v>
      </c>
      <c r="B764" s="0" t="n">
        <v>0</v>
      </c>
      <c r="C764" s="0" t="n">
        <v>3</v>
      </c>
      <c r="D764" s="0" t="n">
        <v>3</v>
      </c>
      <c r="E764" s="0" t="n">
        <f aca="false">-1+A764*0.25</f>
        <v>-0.75</v>
      </c>
      <c r="F764" s="0" t="n">
        <f aca="false">-1+B764*0.25</f>
        <v>-1</v>
      </c>
      <c r="G764" s="0" t="n">
        <f aca="false">-1+C764*0.25</f>
        <v>-0.25</v>
      </c>
      <c r="H764" s="0" t="n">
        <f aca="false">-1+D764*0.25</f>
        <v>-0.25</v>
      </c>
      <c r="I764" s="0" t="n">
        <f aca="false">1</f>
        <v>1</v>
      </c>
      <c r="J764" s="0" t="n">
        <f aca="false">E764</f>
        <v>-0.75</v>
      </c>
      <c r="K764" s="0" t="n">
        <f aca="false">F764</f>
        <v>-1</v>
      </c>
      <c r="L764" s="0" t="n">
        <f aca="false">G764</f>
        <v>-0.25</v>
      </c>
      <c r="M764" s="0" t="n">
        <f aca="false">H764</f>
        <v>-0.25</v>
      </c>
      <c r="N764" s="0" t="n">
        <f aca="false">E764*F764</f>
        <v>0.75</v>
      </c>
      <c r="O764" s="0" t="n">
        <f aca="false">E764*G764</f>
        <v>0.1875</v>
      </c>
      <c r="P764" s="0" t="n">
        <f aca="false">E764*H764</f>
        <v>0.1875</v>
      </c>
      <c r="Q764" s="0" t="n">
        <f aca="false">F764*G764</f>
        <v>0.25</v>
      </c>
      <c r="R764" s="0" t="n">
        <f aca="false">F764*H764</f>
        <v>0.25</v>
      </c>
      <c r="S764" s="0" t="n">
        <f aca="false">G764*H764</f>
        <v>0.0625</v>
      </c>
      <c r="T764" s="0" t="n">
        <f aca="false">E764*E764</f>
        <v>0.5625</v>
      </c>
      <c r="U764" s="0" t="n">
        <f aca="false">F764*F764</f>
        <v>1</v>
      </c>
      <c r="V764" s="0" t="n">
        <f aca="false">G764*G764</f>
        <v>0.0625</v>
      </c>
      <c r="W764" s="0" t="n">
        <f aca="false">H764*H764</f>
        <v>0.0625</v>
      </c>
      <c r="X764" s="0" t="n">
        <f aca="false">SUMPRODUCT(I764:W764,_XtX!$B$96:$P$96)</f>
        <v>40.6486979166667</v>
      </c>
      <c r="Y764" s="0" t="n">
        <f aca="false">SUMPRODUCT(MMULT(I764:W764,_XtX!$B$78:$P$92),I764:W764)</f>
        <v>0.486409505208334</v>
      </c>
      <c r="Z764" s="0" t="n">
        <f aca="false">04_回帰ANOVA!$K$19*04_回帰ANOVA!$K$14*SQRT(1+Y764)</f>
        <v>1.58916001665498</v>
      </c>
      <c r="AA764" s="0" t="n">
        <f aca="false">X764-Z764</f>
        <v>39.0595379000117</v>
      </c>
      <c r="AB764" s="0" t="n">
        <f aca="false">X764+Z764</f>
        <v>42.2378579333216</v>
      </c>
      <c r="AC764" s="54" t="b">
        <f aca="false">AND(E764&gt;=01_因子設定!$L$5-0.000000001,E764&lt;=01_因子設定!$M$5+0.000000001,F764&gt;=01_因子設定!$L$6-0.000000001,F764&lt;=01_因子設定!$M$6+0.000000001,G764&gt;=01_因子設定!$L$7-0.000000001,G764&lt;=01_因子設定!$M$7+0.000000001,H764&gt;=01_因子設定!$L$8-0.000000001,H764&lt;=01_因子設定!$M$8+0.000000001,IF(01_因子設定!$B$20="Box-Behnken",E764^2+F764^2+G764^2+H764^2&lt;=2+0.000000001,TRUE()))</f>
        <v>1</v>
      </c>
      <c r="AD764" s="55" t="n">
        <f aca="false">IF(AC764,IF(01_因子設定!$B$13="最大化",AA764-01_因子設定!$B$14,IF(01_因子設定!$B$13="最小化",01_因子設定!$B$15-AB764,MIN(AA764-01_因子設定!$B$14,01_因子設定!$B$15-AB764))),-1E+030)</f>
        <v>-7.44046209998832</v>
      </c>
      <c r="AE764" s="55" t="n">
        <f aca="false">IF(AC764,IF(01_因子設定!$B$13="最大化",X764,IF(01_因子設定!$B$13="最小化",-X764,-ABS(X764-01_因子設定!$B$16))),-1E+030)</f>
        <v>40.6486979166667</v>
      </c>
      <c r="AF764" s="55" t="n">
        <f aca="false">AD764+ROW()*0.000000001</f>
        <v>-7.44046133598832</v>
      </c>
      <c r="AG764" s="55" t="n">
        <f aca="false">AE764+ROW()*0.000000001</f>
        <v>40.6486986806667</v>
      </c>
    </row>
    <row r="765" customFormat="false" ht="15" hidden="false" customHeight="false" outlineLevel="0" collapsed="false">
      <c r="A765" s="0" t="n">
        <v>1</v>
      </c>
      <c r="B765" s="0" t="n">
        <v>0</v>
      </c>
      <c r="C765" s="0" t="n">
        <v>3</v>
      </c>
      <c r="D765" s="0" t="n">
        <v>4</v>
      </c>
      <c r="E765" s="0" t="n">
        <f aca="false">-1+A765*0.25</f>
        <v>-0.75</v>
      </c>
      <c r="F765" s="0" t="n">
        <f aca="false">-1+B765*0.25</f>
        <v>-1</v>
      </c>
      <c r="G765" s="0" t="n">
        <f aca="false">-1+C765*0.25</f>
        <v>-0.25</v>
      </c>
      <c r="H765" s="0" t="n">
        <f aca="false">-1+D765*0.25</f>
        <v>0</v>
      </c>
      <c r="I765" s="0" t="n">
        <f aca="false">1</f>
        <v>1</v>
      </c>
      <c r="J765" s="0" t="n">
        <f aca="false">E765</f>
        <v>-0.75</v>
      </c>
      <c r="K765" s="0" t="n">
        <f aca="false">F765</f>
        <v>-1</v>
      </c>
      <c r="L765" s="0" t="n">
        <f aca="false">G765</f>
        <v>-0.25</v>
      </c>
      <c r="M765" s="0" t="n">
        <f aca="false">H765</f>
        <v>0</v>
      </c>
      <c r="N765" s="0" t="n">
        <f aca="false">E765*F765</f>
        <v>0.75</v>
      </c>
      <c r="O765" s="0" t="n">
        <f aca="false">E765*G765</f>
        <v>0.1875</v>
      </c>
      <c r="P765" s="0" t="n">
        <f aca="false">E765*H765</f>
        <v>-0</v>
      </c>
      <c r="Q765" s="0" t="n">
        <f aca="false">F765*G765</f>
        <v>0.25</v>
      </c>
      <c r="R765" s="0" t="n">
        <f aca="false">F765*H765</f>
        <v>-0</v>
      </c>
      <c r="S765" s="0" t="n">
        <f aca="false">G765*H765</f>
        <v>-0</v>
      </c>
      <c r="T765" s="0" t="n">
        <f aca="false">E765*E765</f>
        <v>0.5625</v>
      </c>
      <c r="U765" s="0" t="n">
        <f aca="false">F765*F765</f>
        <v>1</v>
      </c>
      <c r="V765" s="0" t="n">
        <f aca="false">G765*G765</f>
        <v>0.0625</v>
      </c>
      <c r="W765" s="0" t="n">
        <f aca="false">H765*H765</f>
        <v>0</v>
      </c>
      <c r="X765" s="0" t="n">
        <f aca="false">SUMPRODUCT(I765:W765,_XtX!$B$96:$P$96)</f>
        <v>40.7857090643275</v>
      </c>
      <c r="Y765" s="0" t="n">
        <f aca="false">SUMPRODUCT(MMULT(I765:W765,_XtX!$B$78:$P$92),I765:W765)</f>
        <v>0.501534802174708</v>
      </c>
      <c r="Z765" s="0" t="n">
        <f aca="false">04_回帰ANOVA!$K$19*04_回帰ANOVA!$K$14*SQRT(1+Y765)</f>
        <v>1.59722498091333</v>
      </c>
      <c r="AA765" s="0" t="n">
        <f aca="false">X765-Z765</f>
        <v>39.1884840834141</v>
      </c>
      <c r="AB765" s="0" t="n">
        <f aca="false">X765+Z765</f>
        <v>42.3829340452408</v>
      </c>
      <c r="AC765" s="54" t="b">
        <f aca="false">AND(E765&gt;=01_因子設定!$L$5-0.000000001,E765&lt;=01_因子設定!$M$5+0.000000001,F765&gt;=01_因子設定!$L$6-0.000000001,F765&lt;=01_因子設定!$M$6+0.000000001,G765&gt;=01_因子設定!$L$7-0.000000001,G765&lt;=01_因子設定!$M$7+0.000000001,H765&gt;=01_因子設定!$L$8-0.000000001,H765&lt;=01_因子設定!$M$8+0.000000001,IF(01_因子設定!$B$20="Box-Behnken",E765^2+F765^2+G765^2+H765^2&lt;=2+0.000000001,TRUE()))</f>
        <v>1</v>
      </c>
      <c r="AD765" s="55" t="n">
        <f aca="false">IF(AC765,IF(01_因子設定!$B$13="最大化",AA765-01_因子設定!$B$14,IF(01_因子設定!$B$13="最小化",01_因子設定!$B$15-AB765,MIN(AA765-01_因子設定!$B$14,01_因子設定!$B$15-AB765))),-1E+030)</f>
        <v>-7.31151591658586</v>
      </c>
      <c r="AE765" s="55" t="n">
        <f aca="false">IF(AC765,IF(01_因子設定!$B$13="最大化",X765,IF(01_因子設定!$B$13="最小化",-X765,-ABS(X765-01_因子設定!$B$16))),-1E+030)</f>
        <v>40.7857090643275</v>
      </c>
      <c r="AF765" s="55" t="n">
        <f aca="false">AD765+ROW()*0.000000001</f>
        <v>-7.31151515158586</v>
      </c>
      <c r="AG765" s="55" t="n">
        <f aca="false">AE765+ROW()*0.000000001</f>
        <v>40.7857098293275</v>
      </c>
    </row>
    <row r="766" customFormat="false" ht="15" hidden="false" customHeight="false" outlineLevel="0" collapsed="false">
      <c r="A766" s="0" t="n">
        <v>1</v>
      </c>
      <c r="B766" s="0" t="n">
        <v>0</v>
      </c>
      <c r="C766" s="0" t="n">
        <v>3</v>
      </c>
      <c r="D766" s="0" t="n">
        <v>5</v>
      </c>
      <c r="E766" s="0" t="n">
        <f aca="false">-1+A766*0.25</f>
        <v>-0.75</v>
      </c>
      <c r="F766" s="0" t="n">
        <f aca="false">-1+B766*0.25</f>
        <v>-1</v>
      </c>
      <c r="G766" s="0" t="n">
        <f aca="false">-1+C766*0.25</f>
        <v>-0.25</v>
      </c>
      <c r="H766" s="0" t="n">
        <f aca="false">-1+D766*0.25</f>
        <v>0.25</v>
      </c>
      <c r="I766" s="0" t="n">
        <f aca="false">1</f>
        <v>1</v>
      </c>
      <c r="J766" s="0" t="n">
        <f aca="false">E766</f>
        <v>-0.75</v>
      </c>
      <c r="K766" s="0" t="n">
        <f aca="false">F766</f>
        <v>-1</v>
      </c>
      <c r="L766" s="0" t="n">
        <f aca="false">G766</f>
        <v>-0.25</v>
      </c>
      <c r="M766" s="0" t="n">
        <f aca="false">H766</f>
        <v>0.25</v>
      </c>
      <c r="N766" s="0" t="n">
        <f aca="false">E766*F766</f>
        <v>0.75</v>
      </c>
      <c r="O766" s="0" t="n">
        <f aca="false">E766*G766</f>
        <v>0.1875</v>
      </c>
      <c r="P766" s="0" t="n">
        <f aca="false">E766*H766</f>
        <v>-0.1875</v>
      </c>
      <c r="Q766" s="0" t="n">
        <f aca="false">F766*G766</f>
        <v>0.25</v>
      </c>
      <c r="R766" s="0" t="n">
        <f aca="false">F766*H766</f>
        <v>-0.25</v>
      </c>
      <c r="S766" s="0" t="n">
        <f aca="false">G766*H766</f>
        <v>-0.0625</v>
      </c>
      <c r="T766" s="0" t="n">
        <f aca="false">E766*E766</f>
        <v>0.5625</v>
      </c>
      <c r="U766" s="0" t="n">
        <f aca="false">F766*F766</f>
        <v>1</v>
      </c>
      <c r="V766" s="0" t="n">
        <f aca="false">G766*G766</f>
        <v>0.0625</v>
      </c>
      <c r="W766" s="0" t="n">
        <f aca="false">H766*H766</f>
        <v>0.0625</v>
      </c>
      <c r="X766" s="0" t="n">
        <f aca="false">SUMPRODUCT(I766:W766,_XtX!$B$96:$P$96)</f>
        <v>40.8749131944444</v>
      </c>
      <c r="Y766" s="0" t="n">
        <f aca="false">SUMPRODUCT(MMULT(I766:W766,_XtX!$B$78:$P$92),I766:W766)</f>
        <v>0.486409505208334</v>
      </c>
      <c r="Z766" s="0" t="n">
        <f aca="false">04_回帰ANOVA!$K$19*04_回帰ANOVA!$K$14*SQRT(1+Y766)</f>
        <v>1.58916001665498</v>
      </c>
      <c r="AA766" s="0" t="n">
        <f aca="false">X766-Z766</f>
        <v>39.2857531777895</v>
      </c>
      <c r="AB766" s="0" t="n">
        <f aca="false">X766+Z766</f>
        <v>42.4640732110994</v>
      </c>
      <c r="AC766" s="54" t="b">
        <f aca="false">AND(E766&gt;=01_因子設定!$L$5-0.000000001,E766&lt;=01_因子設定!$M$5+0.000000001,F766&gt;=01_因子設定!$L$6-0.000000001,F766&lt;=01_因子設定!$M$6+0.000000001,G766&gt;=01_因子設定!$L$7-0.000000001,G766&lt;=01_因子設定!$M$7+0.000000001,H766&gt;=01_因子設定!$L$8-0.000000001,H766&lt;=01_因子設定!$M$8+0.000000001,IF(01_因子設定!$B$20="Box-Behnken",E766^2+F766^2+G766^2+H766^2&lt;=2+0.000000001,TRUE()))</f>
        <v>1</v>
      </c>
      <c r="AD766" s="55" t="n">
        <f aca="false">IF(AC766,IF(01_因子設定!$B$13="最大化",AA766-01_因子設定!$B$14,IF(01_因子設定!$B$13="最小化",01_因子設定!$B$15-AB766,MIN(AA766-01_因子設定!$B$14,01_因子設定!$B$15-AB766))),-1E+030)</f>
        <v>-7.21424682221055</v>
      </c>
      <c r="AE766" s="55" t="n">
        <f aca="false">IF(AC766,IF(01_因子設定!$B$13="最大化",X766,IF(01_因子設定!$B$13="最小化",-X766,-ABS(X766-01_因子設定!$B$16))),-1E+030)</f>
        <v>40.8749131944444</v>
      </c>
      <c r="AF766" s="55" t="n">
        <f aca="false">AD766+ROW()*0.000000001</f>
        <v>-7.21424605621055</v>
      </c>
      <c r="AG766" s="55" t="n">
        <f aca="false">AE766+ROW()*0.000000001</f>
        <v>40.8749139604444</v>
      </c>
    </row>
    <row r="767" customFormat="false" ht="15" hidden="false" customHeight="false" outlineLevel="0" collapsed="false">
      <c r="A767" s="0" t="n">
        <v>1</v>
      </c>
      <c r="B767" s="0" t="n">
        <v>0</v>
      </c>
      <c r="C767" s="0" t="n">
        <v>3</v>
      </c>
      <c r="D767" s="0" t="n">
        <v>6</v>
      </c>
      <c r="E767" s="0" t="n">
        <f aca="false">-1+A767*0.25</f>
        <v>-0.75</v>
      </c>
      <c r="F767" s="0" t="n">
        <f aca="false">-1+B767*0.25</f>
        <v>-1</v>
      </c>
      <c r="G767" s="0" t="n">
        <f aca="false">-1+C767*0.25</f>
        <v>-0.25</v>
      </c>
      <c r="H767" s="0" t="n">
        <f aca="false">-1+D767*0.25</f>
        <v>0.5</v>
      </c>
      <c r="I767" s="0" t="n">
        <f aca="false">1</f>
        <v>1</v>
      </c>
      <c r="J767" s="0" t="n">
        <f aca="false">E767</f>
        <v>-0.75</v>
      </c>
      <c r="K767" s="0" t="n">
        <f aca="false">F767</f>
        <v>-1</v>
      </c>
      <c r="L767" s="0" t="n">
        <f aca="false">G767</f>
        <v>-0.25</v>
      </c>
      <c r="M767" s="0" t="n">
        <f aca="false">H767</f>
        <v>0.5</v>
      </c>
      <c r="N767" s="0" t="n">
        <f aca="false">E767*F767</f>
        <v>0.75</v>
      </c>
      <c r="O767" s="0" t="n">
        <f aca="false">E767*G767</f>
        <v>0.1875</v>
      </c>
      <c r="P767" s="0" t="n">
        <f aca="false">E767*H767</f>
        <v>-0.375</v>
      </c>
      <c r="Q767" s="0" t="n">
        <f aca="false">F767*G767</f>
        <v>0.25</v>
      </c>
      <c r="R767" s="0" t="n">
        <f aca="false">F767*H767</f>
        <v>-0.5</v>
      </c>
      <c r="S767" s="0" t="n">
        <f aca="false">G767*H767</f>
        <v>-0.125</v>
      </c>
      <c r="T767" s="0" t="n">
        <f aca="false">E767*E767</f>
        <v>0.5625</v>
      </c>
      <c r="U767" s="0" t="n">
        <f aca="false">F767*F767</f>
        <v>1</v>
      </c>
      <c r="V767" s="0" t="n">
        <f aca="false">G767*G767</f>
        <v>0.0625</v>
      </c>
      <c r="W767" s="0" t="n">
        <f aca="false">H767*H767</f>
        <v>0.25</v>
      </c>
      <c r="X767" s="0" t="n">
        <f aca="false">SUMPRODUCT(I767:W767,_XtX!$B$96:$P$96)</f>
        <v>40.9163103070175</v>
      </c>
      <c r="Y767" s="0" t="n">
        <f aca="false">SUMPRODUCT(MMULT(I767:W767,_XtX!$B$78:$P$92),I767:W767)</f>
        <v>0.459125719572369</v>
      </c>
      <c r="Z767" s="0" t="n">
        <f aca="false">04_回帰ANOVA!$K$19*04_回帰ANOVA!$K$14*SQRT(1+Y767)</f>
        <v>1.57450755575573</v>
      </c>
      <c r="AA767" s="0" t="n">
        <f aca="false">X767-Z767</f>
        <v>39.3418027512618</v>
      </c>
      <c r="AB767" s="0" t="n">
        <f aca="false">X767+Z767</f>
        <v>42.4908178627733</v>
      </c>
      <c r="AC767" s="54" t="b">
        <f aca="false">AND(E767&gt;=01_因子設定!$L$5-0.000000001,E767&lt;=01_因子設定!$M$5+0.000000001,F767&gt;=01_因子設定!$L$6-0.000000001,F767&lt;=01_因子設定!$M$6+0.000000001,G767&gt;=01_因子設定!$L$7-0.000000001,G767&lt;=01_因子設定!$M$7+0.000000001,H767&gt;=01_因子設定!$L$8-0.000000001,H767&lt;=01_因子設定!$M$8+0.000000001,IF(01_因子設定!$B$20="Box-Behnken",E767^2+F767^2+G767^2+H767^2&lt;=2+0.000000001,TRUE()))</f>
        <v>1</v>
      </c>
      <c r="AD767" s="55" t="n">
        <f aca="false">IF(AC767,IF(01_因子設定!$B$13="最大化",AA767-01_因子設定!$B$14,IF(01_因子設定!$B$13="最小化",01_因子設定!$B$15-AB767,MIN(AA767-01_因子設定!$B$14,01_因子設定!$B$15-AB767))),-1E+030)</f>
        <v>-7.15819724873819</v>
      </c>
      <c r="AE767" s="55" t="n">
        <f aca="false">IF(AC767,IF(01_因子設定!$B$13="最大化",X767,IF(01_因子設定!$B$13="最小化",-X767,-ABS(X767-01_因子設定!$B$16))),-1E+030)</f>
        <v>40.9163103070175</v>
      </c>
      <c r="AF767" s="55" t="n">
        <f aca="false">AD767+ROW()*0.000000001</f>
        <v>-7.15819648173819</v>
      </c>
      <c r="AG767" s="55" t="n">
        <f aca="false">AE767+ROW()*0.000000001</f>
        <v>40.9163110740175</v>
      </c>
    </row>
    <row r="768" customFormat="false" ht="15" hidden="false" customHeight="false" outlineLevel="0" collapsed="false">
      <c r="A768" s="0" t="n">
        <v>1</v>
      </c>
      <c r="B768" s="0" t="n">
        <v>0</v>
      </c>
      <c r="C768" s="0" t="n">
        <v>3</v>
      </c>
      <c r="D768" s="0" t="n">
        <v>7</v>
      </c>
      <c r="E768" s="0" t="n">
        <f aca="false">-1+A768*0.25</f>
        <v>-0.75</v>
      </c>
      <c r="F768" s="0" t="n">
        <f aca="false">-1+B768*0.25</f>
        <v>-1</v>
      </c>
      <c r="G768" s="0" t="n">
        <f aca="false">-1+C768*0.25</f>
        <v>-0.25</v>
      </c>
      <c r="H768" s="0" t="n">
        <f aca="false">-1+D768*0.25</f>
        <v>0.75</v>
      </c>
      <c r="I768" s="0" t="n">
        <f aca="false">1</f>
        <v>1</v>
      </c>
      <c r="J768" s="0" t="n">
        <f aca="false">E768</f>
        <v>-0.75</v>
      </c>
      <c r="K768" s="0" t="n">
        <f aca="false">F768</f>
        <v>-1</v>
      </c>
      <c r="L768" s="0" t="n">
        <f aca="false">G768</f>
        <v>-0.25</v>
      </c>
      <c r="M768" s="0" t="n">
        <f aca="false">H768</f>
        <v>0.75</v>
      </c>
      <c r="N768" s="0" t="n">
        <f aca="false">E768*F768</f>
        <v>0.75</v>
      </c>
      <c r="O768" s="0" t="n">
        <f aca="false">E768*G768</f>
        <v>0.1875</v>
      </c>
      <c r="P768" s="0" t="n">
        <f aca="false">E768*H768</f>
        <v>-0.5625</v>
      </c>
      <c r="Q768" s="0" t="n">
        <f aca="false">F768*G768</f>
        <v>0.25</v>
      </c>
      <c r="R768" s="0" t="n">
        <f aca="false">F768*H768</f>
        <v>-0.75</v>
      </c>
      <c r="S768" s="0" t="n">
        <f aca="false">G768*H768</f>
        <v>-0.1875</v>
      </c>
      <c r="T768" s="0" t="n">
        <f aca="false">E768*E768</f>
        <v>0.5625</v>
      </c>
      <c r="U768" s="0" t="n">
        <f aca="false">F768*F768</f>
        <v>1</v>
      </c>
      <c r="V768" s="0" t="n">
        <f aca="false">G768*G768</f>
        <v>0.0625</v>
      </c>
      <c r="W768" s="0" t="n">
        <f aca="false">H768*H768</f>
        <v>0.5625</v>
      </c>
      <c r="X768" s="0" t="n">
        <f aca="false">SUMPRODUCT(I768:W768,_XtX!$B$96:$P$96)</f>
        <v>40.9099004020468</v>
      </c>
      <c r="Y768" s="0" t="n">
        <f aca="false">SUMPRODUCT(MMULT(I768:W768,_XtX!$B$78:$P$92),I768:W768)</f>
        <v>0.473959761056287</v>
      </c>
      <c r="Z768" s="0" t="n">
        <f aca="false">04_回帰ANOVA!$K$19*04_回帰ANOVA!$K$14*SQRT(1+Y768)</f>
        <v>1.58249084588329</v>
      </c>
      <c r="AA768" s="0" t="n">
        <f aca="false">X768-Z768</f>
        <v>39.3274095561635</v>
      </c>
      <c r="AB768" s="0" t="n">
        <f aca="false">X768+Z768</f>
        <v>42.4923912479301</v>
      </c>
      <c r="AC768" s="54" t="b">
        <f aca="false">AND(E768&gt;=01_因子設定!$L$5-0.000000001,E768&lt;=01_因子設定!$M$5+0.000000001,F768&gt;=01_因子設定!$L$6-0.000000001,F768&lt;=01_因子設定!$M$6+0.000000001,G768&gt;=01_因子設定!$L$7-0.000000001,G768&lt;=01_因子設定!$M$7+0.000000001,H768&gt;=01_因子設定!$L$8-0.000000001,H768&lt;=01_因子設定!$M$8+0.000000001,IF(01_因子設定!$B$20="Box-Behnken",E768^2+F768^2+G768^2+H768^2&lt;=2+0.000000001,TRUE()))</f>
        <v>1</v>
      </c>
      <c r="AD768" s="55" t="n">
        <f aca="false">IF(AC768,IF(01_因子設定!$B$13="最大化",AA768-01_因子設定!$B$14,IF(01_因子設定!$B$13="最小化",01_因子設定!$B$15-AB768,MIN(AA768-01_因子設定!$B$14,01_因子設定!$B$15-AB768))),-1E+030)</f>
        <v>-7.1725904438365</v>
      </c>
      <c r="AE768" s="55" t="n">
        <f aca="false">IF(AC768,IF(01_因子設定!$B$13="最大化",X768,IF(01_因子設定!$B$13="最小化",-X768,-ABS(X768-01_因子設定!$B$16))),-1E+030)</f>
        <v>40.9099004020468</v>
      </c>
      <c r="AF768" s="55" t="n">
        <f aca="false">AD768+ROW()*0.000000001</f>
        <v>-7.1725896758365</v>
      </c>
      <c r="AG768" s="55" t="n">
        <f aca="false">AE768+ROW()*0.000000001</f>
        <v>40.9099011700468</v>
      </c>
    </row>
    <row r="769" customFormat="false" ht="15" hidden="false" customHeight="false" outlineLevel="0" collapsed="false">
      <c r="A769" s="0" t="n">
        <v>1</v>
      </c>
      <c r="B769" s="0" t="n">
        <v>0</v>
      </c>
      <c r="C769" s="0" t="n">
        <v>3</v>
      </c>
      <c r="D769" s="0" t="n">
        <v>8</v>
      </c>
      <c r="E769" s="0" t="n">
        <f aca="false">-1+A769*0.25</f>
        <v>-0.75</v>
      </c>
      <c r="F769" s="0" t="n">
        <f aca="false">-1+B769*0.25</f>
        <v>-1</v>
      </c>
      <c r="G769" s="0" t="n">
        <f aca="false">-1+C769*0.25</f>
        <v>-0.25</v>
      </c>
      <c r="H769" s="0" t="n">
        <f aca="false">-1+D769*0.25</f>
        <v>1</v>
      </c>
      <c r="I769" s="0" t="n">
        <f aca="false">1</f>
        <v>1</v>
      </c>
      <c r="J769" s="0" t="n">
        <f aca="false">E769</f>
        <v>-0.75</v>
      </c>
      <c r="K769" s="0" t="n">
        <f aca="false">F769</f>
        <v>-1</v>
      </c>
      <c r="L769" s="0" t="n">
        <f aca="false">G769</f>
        <v>-0.25</v>
      </c>
      <c r="M769" s="0" t="n">
        <f aca="false">H769</f>
        <v>1</v>
      </c>
      <c r="N769" s="0" t="n">
        <f aca="false">E769*F769</f>
        <v>0.75</v>
      </c>
      <c r="O769" s="0" t="n">
        <f aca="false">E769*G769</f>
        <v>0.1875</v>
      </c>
      <c r="P769" s="0" t="n">
        <f aca="false">E769*H769</f>
        <v>-0.75</v>
      </c>
      <c r="Q769" s="0" t="n">
        <f aca="false">F769*G769</f>
        <v>0.25</v>
      </c>
      <c r="R769" s="0" t="n">
        <f aca="false">F769*H769</f>
        <v>-1</v>
      </c>
      <c r="S769" s="0" t="n">
        <f aca="false">G769*H769</f>
        <v>-0.25</v>
      </c>
      <c r="T769" s="0" t="n">
        <f aca="false">E769*E769</f>
        <v>0.5625</v>
      </c>
      <c r="U769" s="0" t="n">
        <f aca="false">F769*F769</f>
        <v>1</v>
      </c>
      <c r="V769" s="0" t="n">
        <f aca="false">G769*G769</f>
        <v>0.0625</v>
      </c>
      <c r="W769" s="0" t="n">
        <f aca="false">H769*H769</f>
        <v>1</v>
      </c>
      <c r="X769" s="0" t="n">
        <f aca="false">SUMPRODUCT(I769:W769,_XtX!$B$96:$P$96)</f>
        <v>40.8556834795322</v>
      </c>
      <c r="Y769" s="0" t="n">
        <f aca="false">SUMPRODUCT(MMULT(I769:W769,_XtX!$B$78:$P$92),I769:W769)</f>
        <v>0.621372155975877</v>
      </c>
      <c r="Z769" s="0" t="n">
        <f aca="false">04_回帰ANOVA!$K$19*04_回帰ANOVA!$K$14*SQRT(1+Y769)</f>
        <v>1.65973880499872</v>
      </c>
      <c r="AA769" s="0" t="n">
        <f aca="false">X769-Z769</f>
        <v>39.1959446745335</v>
      </c>
      <c r="AB769" s="0" t="n">
        <f aca="false">X769+Z769</f>
        <v>42.5154222845309</v>
      </c>
      <c r="AC769" s="54" t="b">
        <f aca="false">AND(E769&gt;=01_因子設定!$L$5-0.000000001,E769&lt;=01_因子設定!$M$5+0.000000001,F769&gt;=01_因子設定!$L$6-0.000000001,F769&lt;=01_因子設定!$M$6+0.000000001,G769&gt;=01_因子設定!$L$7-0.000000001,G769&lt;=01_因子設定!$M$7+0.000000001,H769&gt;=01_因子設定!$L$8-0.000000001,H769&lt;=01_因子設定!$M$8+0.000000001,IF(01_因子設定!$B$20="Box-Behnken",E769^2+F769^2+G769^2+H769^2&lt;=2+0.000000001,TRUE()))</f>
        <v>1</v>
      </c>
      <c r="AD769" s="55" t="n">
        <f aca="false">IF(AC769,IF(01_因子設定!$B$13="最大化",AA769-01_因子設定!$B$14,IF(01_因子設定!$B$13="最小化",01_因子設定!$B$15-AB769,MIN(AA769-01_因子設定!$B$14,01_因子設定!$B$15-AB769))),-1E+030)</f>
        <v>-7.30405532546654</v>
      </c>
      <c r="AE769" s="55" t="n">
        <f aca="false">IF(AC769,IF(01_因子設定!$B$13="最大化",X769,IF(01_因子設定!$B$13="最小化",-X769,-ABS(X769-01_因子設定!$B$16))),-1E+030)</f>
        <v>40.8556834795322</v>
      </c>
      <c r="AF769" s="55" t="n">
        <f aca="false">AD769+ROW()*0.000000001</f>
        <v>-7.30405455646654</v>
      </c>
      <c r="AG769" s="55" t="n">
        <f aca="false">AE769+ROW()*0.000000001</f>
        <v>40.8556842485322</v>
      </c>
    </row>
    <row r="770" customFormat="false" ht="15" hidden="false" customHeight="false" outlineLevel="0" collapsed="false">
      <c r="A770" s="0" t="n">
        <v>1</v>
      </c>
      <c r="B770" s="0" t="n">
        <v>0</v>
      </c>
      <c r="C770" s="0" t="n">
        <v>4</v>
      </c>
      <c r="D770" s="0" t="n">
        <v>0</v>
      </c>
      <c r="E770" s="0" t="n">
        <f aca="false">-1+A770*0.25</f>
        <v>-0.75</v>
      </c>
      <c r="F770" s="0" t="n">
        <f aca="false">-1+B770*0.25</f>
        <v>-1</v>
      </c>
      <c r="G770" s="0" t="n">
        <f aca="false">-1+C770*0.25</f>
        <v>0</v>
      </c>
      <c r="H770" s="0" t="n">
        <f aca="false">-1+D770*0.25</f>
        <v>-1</v>
      </c>
      <c r="I770" s="0" t="n">
        <f aca="false">1</f>
        <v>1</v>
      </c>
      <c r="J770" s="0" t="n">
        <f aca="false">E770</f>
        <v>-0.75</v>
      </c>
      <c r="K770" s="0" t="n">
        <f aca="false">F770</f>
        <v>-1</v>
      </c>
      <c r="L770" s="0" t="n">
        <f aca="false">G770</f>
        <v>0</v>
      </c>
      <c r="M770" s="0" t="n">
        <f aca="false">H770</f>
        <v>-1</v>
      </c>
      <c r="N770" s="0" t="n">
        <f aca="false">E770*F770</f>
        <v>0.75</v>
      </c>
      <c r="O770" s="0" t="n">
        <f aca="false">E770*G770</f>
        <v>-0</v>
      </c>
      <c r="P770" s="0" t="n">
        <f aca="false">E770*H770</f>
        <v>0.75</v>
      </c>
      <c r="Q770" s="0" t="n">
        <f aca="false">F770*G770</f>
        <v>-0</v>
      </c>
      <c r="R770" s="0" t="n">
        <f aca="false">F770*H770</f>
        <v>1</v>
      </c>
      <c r="S770" s="0" t="n">
        <f aca="false">G770*H770</f>
        <v>-0</v>
      </c>
      <c r="T770" s="0" t="n">
        <f aca="false">E770*E770</f>
        <v>0.5625</v>
      </c>
      <c r="U770" s="0" t="n">
        <f aca="false">F770*F770</f>
        <v>1</v>
      </c>
      <c r="V770" s="0" t="n">
        <f aca="false">G770*G770</f>
        <v>0</v>
      </c>
      <c r="W770" s="0" t="n">
        <f aca="false">H770*H770</f>
        <v>1</v>
      </c>
      <c r="X770" s="0" t="n">
        <f aca="false">SUMPRODUCT(I770:W770,_XtX!$B$96:$P$96)</f>
        <v>40.2111842105263</v>
      </c>
      <c r="Y770" s="0" t="n">
        <f aca="false">SUMPRODUCT(MMULT(I770:W770,_XtX!$B$78:$P$92),I770:W770)</f>
        <v>0.646198830409357</v>
      </c>
      <c r="Z770" s="0" t="n">
        <f aca="false">04_回帰ANOVA!$K$19*04_回帰ANOVA!$K$14*SQRT(1+Y770)</f>
        <v>1.67239760569756</v>
      </c>
      <c r="AA770" s="0" t="n">
        <f aca="false">X770-Z770</f>
        <v>38.5387866048288</v>
      </c>
      <c r="AB770" s="0" t="n">
        <f aca="false">X770+Z770</f>
        <v>41.8835818162239</v>
      </c>
      <c r="AC770" s="54" t="b">
        <f aca="false">AND(E770&gt;=01_因子設定!$L$5-0.000000001,E770&lt;=01_因子設定!$M$5+0.000000001,F770&gt;=01_因子設定!$L$6-0.000000001,F770&lt;=01_因子設定!$M$6+0.000000001,G770&gt;=01_因子設定!$L$7-0.000000001,G770&lt;=01_因子設定!$M$7+0.000000001,H770&gt;=01_因子設定!$L$8-0.000000001,H770&lt;=01_因子設定!$M$8+0.000000001,IF(01_因子設定!$B$20="Box-Behnken",E770^2+F770^2+G770^2+H770^2&lt;=2+0.000000001,TRUE()))</f>
        <v>1</v>
      </c>
      <c r="AD770" s="55" t="n">
        <f aca="false">IF(AC770,IF(01_因子設定!$B$13="最大化",AA770-01_因子設定!$B$14,IF(01_因子設定!$B$13="最小化",01_因子設定!$B$15-AB770,MIN(AA770-01_因子設定!$B$14,01_因子設定!$B$15-AB770))),-1E+030)</f>
        <v>-7.96121339517121</v>
      </c>
      <c r="AE770" s="55" t="n">
        <f aca="false">IF(AC770,IF(01_因子設定!$B$13="最大化",X770,IF(01_因子設定!$B$13="最小化",-X770,-ABS(X770-01_因子設定!$B$16))),-1E+030)</f>
        <v>40.2111842105263</v>
      </c>
      <c r="AF770" s="55" t="n">
        <f aca="false">AD770+ROW()*0.000000001</f>
        <v>-7.96121262517121</v>
      </c>
      <c r="AG770" s="55" t="n">
        <f aca="false">AE770+ROW()*0.000000001</f>
        <v>40.2111849805263</v>
      </c>
    </row>
    <row r="771" customFormat="false" ht="15" hidden="false" customHeight="false" outlineLevel="0" collapsed="false">
      <c r="A771" s="0" t="n">
        <v>1</v>
      </c>
      <c r="B771" s="0" t="n">
        <v>0</v>
      </c>
      <c r="C771" s="0" t="n">
        <v>4</v>
      </c>
      <c r="D771" s="0" t="n">
        <v>1</v>
      </c>
      <c r="E771" s="0" t="n">
        <f aca="false">-1+A771*0.25</f>
        <v>-0.75</v>
      </c>
      <c r="F771" s="0" t="n">
        <f aca="false">-1+B771*0.25</f>
        <v>-1</v>
      </c>
      <c r="G771" s="0" t="n">
        <f aca="false">-1+C771*0.25</f>
        <v>0</v>
      </c>
      <c r="H771" s="0" t="n">
        <f aca="false">-1+D771*0.25</f>
        <v>-0.75</v>
      </c>
      <c r="I771" s="0" t="n">
        <f aca="false">1</f>
        <v>1</v>
      </c>
      <c r="J771" s="0" t="n">
        <f aca="false">E771</f>
        <v>-0.75</v>
      </c>
      <c r="K771" s="0" t="n">
        <f aca="false">F771</f>
        <v>-1</v>
      </c>
      <c r="L771" s="0" t="n">
        <f aca="false">G771</f>
        <v>0</v>
      </c>
      <c r="M771" s="0" t="n">
        <f aca="false">H771</f>
        <v>-0.75</v>
      </c>
      <c r="N771" s="0" t="n">
        <f aca="false">E771*F771</f>
        <v>0.75</v>
      </c>
      <c r="O771" s="0" t="n">
        <f aca="false">E771*G771</f>
        <v>-0</v>
      </c>
      <c r="P771" s="0" t="n">
        <f aca="false">E771*H771</f>
        <v>0.5625</v>
      </c>
      <c r="Q771" s="0" t="n">
        <f aca="false">F771*G771</f>
        <v>-0</v>
      </c>
      <c r="R771" s="0" t="n">
        <f aca="false">F771*H771</f>
        <v>0.75</v>
      </c>
      <c r="S771" s="0" t="n">
        <f aca="false">G771*H771</f>
        <v>-0</v>
      </c>
      <c r="T771" s="0" t="n">
        <f aca="false">E771*E771</f>
        <v>0.5625</v>
      </c>
      <c r="U771" s="0" t="n">
        <f aca="false">F771*F771</f>
        <v>1</v>
      </c>
      <c r="V771" s="0" t="n">
        <f aca="false">G771*G771</f>
        <v>0</v>
      </c>
      <c r="W771" s="0" t="n">
        <f aca="false">H771*H771</f>
        <v>0.5625</v>
      </c>
      <c r="X771" s="0" t="n">
        <f aca="false">SUMPRODUCT(I771:W771,_XtX!$B$96:$P$96)</f>
        <v>40.5095851608187</v>
      </c>
      <c r="Y771" s="0" t="n">
        <f aca="false">SUMPRODUCT(MMULT(I771:W771,_XtX!$B$78:$P$92),I771:W771)</f>
        <v>0.494259126005117</v>
      </c>
      <c r="Z771" s="0" t="n">
        <f aca="false">04_回帰ANOVA!$K$19*04_回帰ANOVA!$K$14*SQRT(1+Y771)</f>
        <v>1.59335061078203</v>
      </c>
      <c r="AA771" s="0" t="n">
        <f aca="false">X771-Z771</f>
        <v>38.9162345500367</v>
      </c>
      <c r="AB771" s="0" t="n">
        <f aca="false">X771+Z771</f>
        <v>42.1029357716007</v>
      </c>
      <c r="AC771" s="54" t="b">
        <f aca="false">AND(E771&gt;=01_因子設定!$L$5-0.000000001,E771&lt;=01_因子設定!$M$5+0.000000001,F771&gt;=01_因子設定!$L$6-0.000000001,F771&lt;=01_因子設定!$M$6+0.000000001,G771&gt;=01_因子設定!$L$7-0.000000001,G771&lt;=01_因子設定!$M$7+0.000000001,H771&gt;=01_因子設定!$L$8-0.000000001,H771&lt;=01_因子設定!$M$8+0.000000001,IF(01_因子設定!$B$20="Box-Behnken",E771^2+F771^2+G771^2+H771^2&lt;=2+0.000000001,TRUE()))</f>
        <v>1</v>
      </c>
      <c r="AD771" s="55" t="n">
        <f aca="false">IF(AC771,IF(01_因子設定!$B$13="最大化",AA771-01_因子設定!$B$14,IF(01_因子設定!$B$13="最小化",01_因子設定!$B$15-AB771,MIN(AA771-01_因子設定!$B$14,01_因子設定!$B$15-AB771))),-1E+030)</f>
        <v>-7.58376544996331</v>
      </c>
      <c r="AE771" s="55" t="n">
        <f aca="false">IF(AC771,IF(01_因子設定!$B$13="最大化",X771,IF(01_因子設定!$B$13="最小化",-X771,-ABS(X771-01_因子設定!$B$16))),-1E+030)</f>
        <v>40.5095851608187</v>
      </c>
      <c r="AF771" s="55" t="n">
        <f aca="false">AD771+ROW()*0.000000001</f>
        <v>-7.58376467896331</v>
      </c>
      <c r="AG771" s="55" t="n">
        <f aca="false">AE771+ROW()*0.000000001</f>
        <v>40.5095859318187</v>
      </c>
    </row>
    <row r="772" customFormat="false" ht="15" hidden="false" customHeight="false" outlineLevel="0" collapsed="false">
      <c r="A772" s="0" t="n">
        <v>1</v>
      </c>
      <c r="B772" s="0" t="n">
        <v>0</v>
      </c>
      <c r="C772" s="0" t="n">
        <v>4</v>
      </c>
      <c r="D772" s="0" t="n">
        <v>2</v>
      </c>
      <c r="E772" s="0" t="n">
        <f aca="false">-1+A772*0.25</f>
        <v>-0.75</v>
      </c>
      <c r="F772" s="0" t="n">
        <f aca="false">-1+B772*0.25</f>
        <v>-1</v>
      </c>
      <c r="G772" s="0" t="n">
        <f aca="false">-1+C772*0.25</f>
        <v>0</v>
      </c>
      <c r="H772" s="0" t="n">
        <f aca="false">-1+D772*0.25</f>
        <v>-0.5</v>
      </c>
      <c r="I772" s="0" t="n">
        <f aca="false">1</f>
        <v>1</v>
      </c>
      <c r="J772" s="0" t="n">
        <f aca="false">E772</f>
        <v>-0.75</v>
      </c>
      <c r="K772" s="0" t="n">
        <f aca="false">F772</f>
        <v>-1</v>
      </c>
      <c r="L772" s="0" t="n">
        <f aca="false">G772</f>
        <v>0</v>
      </c>
      <c r="M772" s="0" t="n">
        <f aca="false">H772</f>
        <v>-0.5</v>
      </c>
      <c r="N772" s="0" t="n">
        <f aca="false">E772*F772</f>
        <v>0.75</v>
      </c>
      <c r="O772" s="0" t="n">
        <f aca="false">E772*G772</f>
        <v>-0</v>
      </c>
      <c r="P772" s="0" t="n">
        <f aca="false">E772*H772</f>
        <v>0.375</v>
      </c>
      <c r="Q772" s="0" t="n">
        <f aca="false">F772*G772</f>
        <v>-0</v>
      </c>
      <c r="R772" s="0" t="n">
        <f aca="false">F772*H772</f>
        <v>0.5</v>
      </c>
      <c r="S772" s="0" t="n">
        <f aca="false">G772*H772</f>
        <v>-0</v>
      </c>
      <c r="T772" s="0" t="n">
        <f aca="false">E772*E772</f>
        <v>0.5625</v>
      </c>
      <c r="U772" s="0" t="n">
        <f aca="false">F772*F772</f>
        <v>1</v>
      </c>
      <c r="V772" s="0" t="n">
        <f aca="false">G772*G772</f>
        <v>0</v>
      </c>
      <c r="W772" s="0" t="n">
        <f aca="false">H772*H772</f>
        <v>0.25</v>
      </c>
      <c r="X772" s="0" t="n">
        <f aca="false">SUMPRODUCT(I772:W772,_XtX!$B$96:$P$96)</f>
        <v>40.7601790935672</v>
      </c>
      <c r="Y772" s="0" t="n">
        <f aca="false">SUMPRODUCT(MMULT(I772:W772,_XtX!$B$78:$P$92),I772:W772)</f>
        <v>0.476191292032164</v>
      </c>
      <c r="Z772" s="0" t="n">
        <f aca="false">04_回帰ANOVA!$K$19*04_回帰ANOVA!$K$14*SQRT(1+Y772)</f>
        <v>1.58368831471718</v>
      </c>
      <c r="AA772" s="0" t="n">
        <f aca="false">X772-Z772</f>
        <v>39.1764907788501</v>
      </c>
      <c r="AB772" s="0" t="n">
        <f aca="false">X772+Z772</f>
        <v>42.3438674082844</v>
      </c>
      <c r="AC772" s="54" t="b">
        <f aca="false">AND(E772&gt;=01_因子設定!$L$5-0.000000001,E772&lt;=01_因子設定!$M$5+0.000000001,F772&gt;=01_因子設定!$L$6-0.000000001,F772&lt;=01_因子設定!$M$6+0.000000001,G772&gt;=01_因子設定!$L$7-0.000000001,G772&lt;=01_因子設定!$M$7+0.000000001,H772&gt;=01_因子設定!$L$8-0.000000001,H772&lt;=01_因子設定!$M$8+0.000000001,IF(01_因子設定!$B$20="Box-Behnken",E772^2+F772^2+G772^2+H772^2&lt;=2+0.000000001,TRUE()))</f>
        <v>1</v>
      </c>
      <c r="AD772" s="55" t="n">
        <f aca="false">IF(AC772,IF(01_因子設定!$B$13="最大化",AA772-01_因子設定!$B$14,IF(01_因子設定!$B$13="最小化",01_因子設定!$B$15-AB772,MIN(AA772-01_因子設定!$B$14,01_因子設定!$B$15-AB772))),-1E+030)</f>
        <v>-7.32350922114993</v>
      </c>
      <c r="AE772" s="55" t="n">
        <f aca="false">IF(AC772,IF(01_因子設定!$B$13="最大化",X772,IF(01_因子設定!$B$13="最小化",-X772,-ABS(X772-01_因子設定!$B$16))),-1E+030)</f>
        <v>40.7601790935672</v>
      </c>
      <c r="AF772" s="55" t="n">
        <f aca="false">AD772+ROW()*0.000000001</f>
        <v>-7.32350844914993</v>
      </c>
      <c r="AG772" s="55" t="n">
        <f aca="false">AE772+ROW()*0.000000001</f>
        <v>40.7601798655672</v>
      </c>
    </row>
    <row r="773" customFormat="false" ht="15" hidden="false" customHeight="false" outlineLevel="0" collapsed="false">
      <c r="A773" s="0" t="n">
        <v>1</v>
      </c>
      <c r="B773" s="0" t="n">
        <v>0</v>
      </c>
      <c r="C773" s="0" t="n">
        <v>4</v>
      </c>
      <c r="D773" s="0" t="n">
        <v>3</v>
      </c>
      <c r="E773" s="0" t="n">
        <f aca="false">-1+A773*0.25</f>
        <v>-0.75</v>
      </c>
      <c r="F773" s="0" t="n">
        <f aca="false">-1+B773*0.25</f>
        <v>-1</v>
      </c>
      <c r="G773" s="0" t="n">
        <f aca="false">-1+C773*0.25</f>
        <v>0</v>
      </c>
      <c r="H773" s="0" t="n">
        <f aca="false">-1+D773*0.25</f>
        <v>-0.25</v>
      </c>
      <c r="I773" s="0" t="n">
        <f aca="false">1</f>
        <v>1</v>
      </c>
      <c r="J773" s="0" t="n">
        <f aca="false">E773</f>
        <v>-0.75</v>
      </c>
      <c r="K773" s="0" t="n">
        <f aca="false">F773</f>
        <v>-1</v>
      </c>
      <c r="L773" s="0" t="n">
        <f aca="false">G773</f>
        <v>0</v>
      </c>
      <c r="M773" s="0" t="n">
        <f aca="false">H773</f>
        <v>-0.25</v>
      </c>
      <c r="N773" s="0" t="n">
        <f aca="false">E773*F773</f>
        <v>0.75</v>
      </c>
      <c r="O773" s="0" t="n">
        <f aca="false">E773*G773</f>
        <v>-0</v>
      </c>
      <c r="P773" s="0" t="n">
        <f aca="false">E773*H773</f>
        <v>0.1875</v>
      </c>
      <c r="Q773" s="0" t="n">
        <f aca="false">F773*G773</f>
        <v>-0</v>
      </c>
      <c r="R773" s="0" t="n">
        <f aca="false">F773*H773</f>
        <v>0.25</v>
      </c>
      <c r="S773" s="0" t="n">
        <f aca="false">G773*H773</f>
        <v>-0</v>
      </c>
      <c r="T773" s="0" t="n">
        <f aca="false">E773*E773</f>
        <v>0.5625</v>
      </c>
      <c r="U773" s="0" t="n">
        <f aca="false">F773*F773</f>
        <v>1</v>
      </c>
      <c r="V773" s="0" t="n">
        <f aca="false">G773*G773</f>
        <v>0</v>
      </c>
      <c r="W773" s="0" t="n">
        <f aca="false">H773*H773</f>
        <v>0.0625</v>
      </c>
      <c r="X773" s="0" t="n">
        <f aca="false">SUMPRODUCT(I773:W773,_XtX!$B$96:$P$96)</f>
        <v>40.9629660087719</v>
      </c>
      <c r="Y773" s="0" t="n">
        <f aca="false">SUMPRODUCT(MMULT(I773:W773,_XtX!$B$78:$P$92),I773:W773)</f>
        <v>0.501534802174708</v>
      </c>
      <c r="Z773" s="0" t="n">
        <f aca="false">04_回帰ANOVA!$K$19*04_回帰ANOVA!$K$14*SQRT(1+Y773)</f>
        <v>1.59722498091333</v>
      </c>
      <c r="AA773" s="0" t="n">
        <f aca="false">X773-Z773</f>
        <v>39.3657410278586</v>
      </c>
      <c r="AB773" s="0" t="n">
        <f aca="false">X773+Z773</f>
        <v>42.5601909896852</v>
      </c>
      <c r="AC773" s="54" t="b">
        <f aca="false">AND(E773&gt;=01_因子設定!$L$5-0.000000001,E773&lt;=01_因子設定!$M$5+0.000000001,F773&gt;=01_因子設定!$L$6-0.000000001,F773&lt;=01_因子設定!$M$6+0.000000001,G773&gt;=01_因子設定!$L$7-0.000000001,G773&lt;=01_因子設定!$M$7+0.000000001,H773&gt;=01_因子設定!$L$8-0.000000001,H773&lt;=01_因子設定!$M$8+0.000000001,IF(01_因子設定!$B$20="Box-Behnken",E773^2+F773^2+G773^2+H773^2&lt;=2+0.000000001,TRUE()))</f>
        <v>1</v>
      </c>
      <c r="AD773" s="55" t="n">
        <f aca="false">IF(AC773,IF(01_因子設定!$B$13="最大化",AA773-01_因子設定!$B$14,IF(01_因子設定!$B$13="最小化",01_因子設定!$B$15-AB773,MIN(AA773-01_因子設定!$B$14,01_因子設定!$B$15-AB773))),-1E+030)</f>
        <v>-7.13425897214142</v>
      </c>
      <c r="AE773" s="55" t="n">
        <f aca="false">IF(AC773,IF(01_因子設定!$B$13="最大化",X773,IF(01_因子設定!$B$13="最小化",-X773,-ABS(X773-01_因子設定!$B$16))),-1E+030)</f>
        <v>40.9629660087719</v>
      </c>
      <c r="AF773" s="55" t="n">
        <f aca="false">AD773+ROW()*0.000000001</f>
        <v>-7.13425819914142</v>
      </c>
      <c r="AG773" s="55" t="n">
        <f aca="false">AE773+ROW()*0.000000001</f>
        <v>40.9629667817719</v>
      </c>
    </row>
    <row r="774" customFormat="false" ht="15" hidden="false" customHeight="false" outlineLevel="0" collapsed="false">
      <c r="A774" s="0" t="n">
        <v>1</v>
      </c>
      <c r="B774" s="0" t="n">
        <v>0</v>
      </c>
      <c r="C774" s="0" t="n">
        <v>4</v>
      </c>
      <c r="D774" s="0" t="n">
        <v>4</v>
      </c>
      <c r="E774" s="0" t="n">
        <f aca="false">-1+A774*0.25</f>
        <v>-0.75</v>
      </c>
      <c r="F774" s="0" t="n">
        <f aca="false">-1+B774*0.25</f>
        <v>-1</v>
      </c>
      <c r="G774" s="0" t="n">
        <f aca="false">-1+C774*0.25</f>
        <v>0</v>
      </c>
      <c r="H774" s="0" t="n">
        <f aca="false">-1+D774*0.25</f>
        <v>0</v>
      </c>
      <c r="I774" s="0" t="n">
        <f aca="false">1</f>
        <v>1</v>
      </c>
      <c r="J774" s="0" t="n">
        <f aca="false">E774</f>
        <v>-0.75</v>
      </c>
      <c r="K774" s="0" t="n">
        <f aca="false">F774</f>
        <v>-1</v>
      </c>
      <c r="L774" s="0" t="n">
        <f aca="false">G774</f>
        <v>0</v>
      </c>
      <c r="M774" s="0" t="n">
        <f aca="false">H774</f>
        <v>0</v>
      </c>
      <c r="N774" s="0" t="n">
        <f aca="false">E774*F774</f>
        <v>0.75</v>
      </c>
      <c r="O774" s="0" t="n">
        <f aca="false">E774*G774</f>
        <v>-0</v>
      </c>
      <c r="P774" s="0" t="n">
        <f aca="false">E774*H774</f>
        <v>-0</v>
      </c>
      <c r="Q774" s="0" t="n">
        <f aca="false">F774*G774</f>
        <v>-0</v>
      </c>
      <c r="R774" s="0" t="n">
        <f aca="false">F774*H774</f>
        <v>-0</v>
      </c>
      <c r="S774" s="0" t="n">
        <f aca="false">G774*H774</f>
        <v>0</v>
      </c>
      <c r="T774" s="0" t="n">
        <f aca="false">E774*E774</f>
        <v>0.5625</v>
      </c>
      <c r="U774" s="0" t="n">
        <f aca="false">F774*F774</f>
        <v>1</v>
      </c>
      <c r="V774" s="0" t="n">
        <f aca="false">G774*G774</f>
        <v>0</v>
      </c>
      <c r="W774" s="0" t="n">
        <f aca="false">H774*H774</f>
        <v>0</v>
      </c>
      <c r="X774" s="0" t="n">
        <f aca="false">SUMPRODUCT(I774:W774,_XtX!$B$96:$P$96)</f>
        <v>41.1179459064327</v>
      </c>
      <c r="Y774" s="0" t="n">
        <f aca="false">SUMPRODUCT(MMULT(I774:W774,_XtX!$B$78:$P$92),I774:W774)</f>
        <v>0.516013340643275</v>
      </c>
      <c r="Z774" s="0" t="n">
        <f aca="false">04_回帰ANOVA!$K$19*04_回帰ANOVA!$K$14*SQRT(1+Y774)</f>
        <v>1.60490712175667</v>
      </c>
      <c r="AA774" s="0" t="n">
        <f aca="false">X774-Z774</f>
        <v>39.5130387846761</v>
      </c>
      <c r="AB774" s="0" t="n">
        <f aca="false">X774+Z774</f>
        <v>42.7228530281894</v>
      </c>
      <c r="AC774" s="54" t="b">
        <f aca="false">AND(E774&gt;=01_因子設定!$L$5-0.000000001,E774&lt;=01_因子設定!$M$5+0.000000001,F774&gt;=01_因子設定!$L$6-0.000000001,F774&lt;=01_因子設定!$M$6+0.000000001,G774&gt;=01_因子設定!$L$7-0.000000001,G774&lt;=01_因子設定!$M$7+0.000000001,H774&gt;=01_因子設定!$L$8-0.000000001,H774&lt;=01_因子設定!$M$8+0.000000001,IF(01_因子設定!$B$20="Box-Behnken",E774^2+F774^2+G774^2+H774^2&lt;=2+0.000000001,TRUE()))</f>
        <v>1</v>
      </c>
      <c r="AD774" s="55" t="n">
        <f aca="false">IF(AC774,IF(01_因子設定!$B$13="最大化",AA774-01_因子設定!$B$14,IF(01_因子設定!$B$13="最小化",01_因子設定!$B$15-AB774,MIN(AA774-01_因子設定!$B$14,01_因子設定!$B$15-AB774))),-1E+030)</f>
        <v>-6.98696121532394</v>
      </c>
      <c r="AE774" s="55" t="n">
        <f aca="false">IF(AC774,IF(01_因子設定!$B$13="最大化",X774,IF(01_因子設定!$B$13="最小化",-X774,-ABS(X774-01_因子設定!$B$16))),-1E+030)</f>
        <v>41.1179459064327</v>
      </c>
      <c r="AF774" s="55" t="n">
        <f aca="false">AD774+ROW()*0.000000001</f>
        <v>-6.98696044132394</v>
      </c>
      <c r="AG774" s="55" t="n">
        <f aca="false">AE774+ROW()*0.000000001</f>
        <v>41.1179466804327</v>
      </c>
    </row>
    <row r="775" customFormat="false" ht="15" hidden="false" customHeight="false" outlineLevel="0" collapsed="false">
      <c r="A775" s="0" t="n">
        <v>1</v>
      </c>
      <c r="B775" s="0" t="n">
        <v>0</v>
      </c>
      <c r="C775" s="0" t="n">
        <v>4</v>
      </c>
      <c r="D775" s="0" t="n">
        <v>5</v>
      </c>
      <c r="E775" s="0" t="n">
        <f aca="false">-1+A775*0.25</f>
        <v>-0.75</v>
      </c>
      <c r="F775" s="0" t="n">
        <f aca="false">-1+B775*0.25</f>
        <v>-1</v>
      </c>
      <c r="G775" s="0" t="n">
        <f aca="false">-1+C775*0.25</f>
        <v>0</v>
      </c>
      <c r="H775" s="0" t="n">
        <f aca="false">-1+D775*0.25</f>
        <v>0.25</v>
      </c>
      <c r="I775" s="0" t="n">
        <f aca="false">1</f>
        <v>1</v>
      </c>
      <c r="J775" s="0" t="n">
        <f aca="false">E775</f>
        <v>-0.75</v>
      </c>
      <c r="K775" s="0" t="n">
        <f aca="false">F775</f>
        <v>-1</v>
      </c>
      <c r="L775" s="0" t="n">
        <f aca="false">G775</f>
        <v>0</v>
      </c>
      <c r="M775" s="0" t="n">
        <f aca="false">H775</f>
        <v>0.25</v>
      </c>
      <c r="N775" s="0" t="n">
        <f aca="false">E775*F775</f>
        <v>0.75</v>
      </c>
      <c r="O775" s="0" t="n">
        <f aca="false">E775*G775</f>
        <v>-0</v>
      </c>
      <c r="P775" s="0" t="n">
        <f aca="false">E775*H775</f>
        <v>-0.1875</v>
      </c>
      <c r="Q775" s="0" t="n">
        <f aca="false">F775*G775</f>
        <v>-0</v>
      </c>
      <c r="R775" s="0" t="n">
        <f aca="false">F775*H775</f>
        <v>-0.25</v>
      </c>
      <c r="S775" s="0" t="n">
        <f aca="false">G775*H775</f>
        <v>0</v>
      </c>
      <c r="T775" s="0" t="n">
        <f aca="false">E775*E775</f>
        <v>0.5625</v>
      </c>
      <c r="U775" s="0" t="n">
        <f aca="false">F775*F775</f>
        <v>1</v>
      </c>
      <c r="V775" s="0" t="n">
        <f aca="false">G775*G775</f>
        <v>0</v>
      </c>
      <c r="W775" s="0" t="n">
        <f aca="false">H775*H775</f>
        <v>0.0625</v>
      </c>
      <c r="X775" s="0" t="n">
        <f aca="false">SUMPRODUCT(I775:W775,_XtX!$B$96:$P$96)</f>
        <v>41.2251187865497</v>
      </c>
      <c r="Y775" s="0" t="n">
        <f aca="false">SUMPRODUCT(MMULT(I775:W775,_XtX!$B$78:$P$92),I775:W775)</f>
        <v>0.501534802174708</v>
      </c>
      <c r="Z775" s="0" t="n">
        <f aca="false">04_回帰ANOVA!$K$19*04_回帰ANOVA!$K$14*SQRT(1+Y775)</f>
        <v>1.59722498091333</v>
      </c>
      <c r="AA775" s="0" t="n">
        <f aca="false">X775-Z775</f>
        <v>39.6278938056364</v>
      </c>
      <c r="AB775" s="0" t="n">
        <f aca="false">X775+Z775</f>
        <v>42.822343767463</v>
      </c>
      <c r="AC775" s="54" t="b">
        <f aca="false">AND(E775&gt;=01_因子設定!$L$5-0.000000001,E775&lt;=01_因子設定!$M$5+0.000000001,F775&gt;=01_因子設定!$L$6-0.000000001,F775&lt;=01_因子設定!$M$6+0.000000001,G775&gt;=01_因子設定!$L$7-0.000000001,G775&lt;=01_因子設定!$M$7+0.000000001,H775&gt;=01_因子設定!$L$8-0.000000001,H775&lt;=01_因子設定!$M$8+0.000000001,IF(01_因子設定!$B$20="Box-Behnken",E775^2+F775^2+G775^2+H775^2&lt;=2+0.000000001,TRUE()))</f>
        <v>1</v>
      </c>
      <c r="AD775" s="55" t="n">
        <f aca="false">IF(AC775,IF(01_因子設定!$B$13="最大化",AA775-01_因子設定!$B$14,IF(01_因子設定!$B$13="最小化",01_因子設定!$B$15-AB775,MIN(AA775-01_因子設定!$B$14,01_因子設定!$B$15-AB775))),-1E+030)</f>
        <v>-6.87210619436364</v>
      </c>
      <c r="AE775" s="55" t="n">
        <f aca="false">IF(AC775,IF(01_因子設定!$B$13="最大化",X775,IF(01_因子設定!$B$13="最小化",-X775,-ABS(X775-01_因子設定!$B$16))),-1E+030)</f>
        <v>41.2251187865497</v>
      </c>
      <c r="AF775" s="55" t="n">
        <f aca="false">AD775+ROW()*0.000000001</f>
        <v>-6.87210541936364</v>
      </c>
      <c r="AG775" s="55" t="n">
        <f aca="false">AE775+ROW()*0.000000001</f>
        <v>41.2251195615497</v>
      </c>
    </row>
    <row r="776" customFormat="false" ht="15" hidden="false" customHeight="false" outlineLevel="0" collapsed="false">
      <c r="A776" s="0" t="n">
        <v>1</v>
      </c>
      <c r="B776" s="0" t="n">
        <v>0</v>
      </c>
      <c r="C776" s="0" t="n">
        <v>4</v>
      </c>
      <c r="D776" s="0" t="n">
        <v>6</v>
      </c>
      <c r="E776" s="0" t="n">
        <f aca="false">-1+A776*0.25</f>
        <v>-0.75</v>
      </c>
      <c r="F776" s="0" t="n">
        <f aca="false">-1+B776*0.25</f>
        <v>-1</v>
      </c>
      <c r="G776" s="0" t="n">
        <f aca="false">-1+C776*0.25</f>
        <v>0</v>
      </c>
      <c r="H776" s="0" t="n">
        <f aca="false">-1+D776*0.25</f>
        <v>0.5</v>
      </c>
      <c r="I776" s="0" t="n">
        <f aca="false">1</f>
        <v>1</v>
      </c>
      <c r="J776" s="0" t="n">
        <f aca="false">E776</f>
        <v>-0.75</v>
      </c>
      <c r="K776" s="0" t="n">
        <f aca="false">F776</f>
        <v>-1</v>
      </c>
      <c r="L776" s="0" t="n">
        <f aca="false">G776</f>
        <v>0</v>
      </c>
      <c r="M776" s="0" t="n">
        <f aca="false">H776</f>
        <v>0.5</v>
      </c>
      <c r="N776" s="0" t="n">
        <f aca="false">E776*F776</f>
        <v>0.75</v>
      </c>
      <c r="O776" s="0" t="n">
        <f aca="false">E776*G776</f>
        <v>-0</v>
      </c>
      <c r="P776" s="0" t="n">
        <f aca="false">E776*H776</f>
        <v>-0.375</v>
      </c>
      <c r="Q776" s="0" t="n">
        <f aca="false">F776*G776</f>
        <v>-0</v>
      </c>
      <c r="R776" s="0" t="n">
        <f aca="false">F776*H776</f>
        <v>-0.5</v>
      </c>
      <c r="S776" s="0" t="n">
        <f aca="false">G776*H776</f>
        <v>0</v>
      </c>
      <c r="T776" s="0" t="n">
        <f aca="false">E776*E776</f>
        <v>0.5625</v>
      </c>
      <c r="U776" s="0" t="n">
        <f aca="false">F776*F776</f>
        <v>1</v>
      </c>
      <c r="V776" s="0" t="n">
        <f aca="false">G776*G776</f>
        <v>0</v>
      </c>
      <c r="W776" s="0" t="n">
        <f aca="false">H776*H776</f>
        <v>0.25</v>
      </c>
      <c r="X776" s="0" t="n">
        <f aca="false">SUMPRODUCT(I776:W776,_XtX!$B$96:$P$96)</f>
        <v>41.2844846491228</v>
      </c>
      <c r="Y776" s="0" t="n">
        <f aca="false">SUMPRODUCT(MMULT(I776:W776,_XtX!$B$78:$P$92),I776:W776)</f>
        <v>0.476191292032164</v>
      </c>
      <c r="Z776" s="0" t="n">
        <f aca="false">04_回帰ANOVA!$K$19*04_回帰ANOVA!$K$14*SQRT(1+Y776)</f>
        <v>1.58368831471718</v>
      </c>
      <c r="AA776" s="0" t="n">
        <f aca="false">X776-Z776</f>
        <v>39.7007963344056</v>
      </c>
      <c r="AB776" s="0" t="n">
        <f aca="false">X776+Z776</f>
        <v>42.86817296384</v>
      </c>
      <c r="AC776" s="54" t="b">
        <f aca="false">AND(E776&gt;=01_因子設定!$L$5-0.000000001,E776&lt;=01_因子設定!$M$5+0.000000001,F776&gt;=01_因子設定!$L$6-0.000000001,F776&lt;=01_因子設定!$M$6+0.000000001,G776&gt;=01_因子設定!$L$7-0.000000001,G776&lt;=01_因子設定!$M$7+0.000000001,H776&gt;=01_因子設定!$L$8-0.000000001,H776&lt;=01_因子設定!$M$8+0.000000001,IF(01_因子設定!$B$20="Box-Behnken",E776^2+F776^2+G776^2+H776^2&lt;=2+0.000000001,TRUE()))</f>
        <v>1</v>
      </c>
      <c r="AD776" s="55" t="n">
        <f aca="false">IF(AC776,IF(01_因子設定!$B$13="最大化",AA776-01_因子設定!$B$14,IF(01_因子設定!$B$13="最小化",01_因子設定!$B$15-AB776,MIN(AA776-01_因子設定!$B$14,01_因子設定!$B$15-AB776))),-1E+030)</f>
        <v>-6.79920366559438</v>
      </c>
      <c r="AE776" s="55" t="n">
        <f aca="false">IF(AC776,IF(01_因子設定!$B$13="最大化",X776,IF(01_因子設定!$B$13="最小化",-X776,-ABS(X776-01_因子設定!$B$16))),-1E+030)</f>
        <v>41.2844846491228</v>
      </c>
      <c r="AF776" s="55" t="n">
        <f aca="false">AD776+ROW()*0.000000001</f>
        <v>-6.79920288959438</v>
      </c>
      <c r="AG776" s="55" t="n">
        <f aca="false">AE776+ROW()*0.000000001</f>
        <v>41.2844854251228</v>
      </c>
    </row>
    <row r="777" customFormat="false" ht="15" hidden="false" customHeight="false" outlineLevel="0" collapsed="false">
      <c r="A777" s="0" t="n">
        <v>1</v>
      </c>
      <c r="B777" s="0" t="n">
        <v>0</v>
      </c>
      <c r="C777" s="0" t="n">
        <v>4</v>
      </c>
      <c r="D777" s="0" t="n">
        <v>7</v>
      </c>
      <c r="E777" s="0" t="n">
        <f aca="false">-1+A777*0.25</f>
        <v>-0.75</v>
      </c>
      <c r="F777" s="0" t="n">
        <f aca="false">-1+B777*0.25</f>
        <v>-1</v>
      </c>
      <c r="G777" s="0" t="n">
        <f aca="false">-1+C777*0.25</f>
        <v>0</v>
      </c>
      <c r="H777" s="0" t="n">
        <f aca="false">-1+D777*0.25</f>
        <v>0.75</v>
      </c>
      <c r="I777" s="0" t="n">
        <f aca="false">1</f>
        <v>1</v>
      </c>
      <c r="J777" s="0" t="n">
        <f aca="false">E777</f>
        <v>-0.75</v>
      </c>
      <c r="K777" s="0" t="n">
        <f aca="false">F777</f>
        <v>-1</v>
      </c>
      <c r="L777" s="0" t="n">
        <f aca="false">G777</f>
        <v>0</v>
      </c>
      <c r="M777" s="0" t="n">
        <f aca="false">H777</f>
        <v>0.75</v>
      </c>
      <c r="N777" s="0" t="n">
        <f aca="false">E777*F777</f>
        <v>0.75</v>
      </c>
      <c r="O777" s="0" t="n">
        <f aca="false">E777*G777</f>
        <v>-0</v>
      </c>
      <c r="P777" s="0" t="n">
        <f aca="false">E777*H777</f>
        <v>-0.5625</v>
      </c>
      <c r="Q777" s="0" t="n">
        <f aca="false">F777*G777</f>
        <v>-0</v>
      </c>
      <c r="R777" s="0" t="n">
        <f aca="false">F777*H777</f>
        <v>-0.75</v>
      </c>
      <c r="S777" s="0" t="n">
        <f aca="false">G777*H777</f>
        <v>0</v>
      </c>
      <c r="T777" s="0" t="n">
        <f aca="false">E777*E777</f>
        <v>0.5625</v>
      </c>
      <c r="U777" s="0" t="n">
        <f aca="false">F777*F777</f>
        <v>1</v>
      </c>
      <c r="V777" s="0" t="n">
        <f aca="false">G777*G777</f>
        <v>0</v>
      </c>
      <c r="W777" s="0" t="n">
        <f aca="false">H777*H777</f>
        <v>0.5625</v>
      </c>
      <c r="X777" s="0" t="n">
        <f aca="false">SUMPRODUCT(I777:W777,_XtX!$B$96:$P$96)</f>
        <v>41.2960434941521</v>
      </c>
      <c r="Y777" s="0" t="n">
        <f aca="false">SUMPRODUCT(MMULT(I777:W777,_XtX!$B$78:$P$92),I777:W777)</f>
        <v>0.494259126005117</v>
      </c>
      <c r="Z777" s="0" t="n">
        <f aca="false">04_回帰ANOVA!$K$19*04_回帰ANOVA!$K$14*SQRT(1+Y777)</f>
        <v>1.59335061078203</v>
      </c>
      <c r="AA777" s="0" t="n">
        <f aca="false">X777-Z777</f>
        <v>39.70269288337</v>
      </c>
      <c r="AB777" s="0" t="n">
        <f aca="false">X777+Z777</f>
        <v>42.8893941049341</v>
      </c>
      <c r="AC777" s="54" t="b">
        <f aca="false">AND(E777&gt;=01_因子設定!$L$5-0.000000001,E777&lt;=01_因子設定!$M$5+0.000000001,F777&gt;=01_因子設定!$L$6-0.000000001,F777&lt;=01_因子設定!$M$6+0.000000001,G777&gt;=01_因子設定!$L$7-0.000000001,G777&lt;=01_因子設定!$M$7+0.000000001,H777&gt;=01_因子設定!$L$8-0.000000001,H777&lt;=01_因子設定!$M$8+0.000000001,IF(01_因子設定!$B$20="Box-Behnken",E777^2+F777^2+G777^2+H777^2&lt;=2+0.000000001,TRUE()))</f>
        <v>1</v>
      </c>
      <c r="AD777" s="55" t="n">
        <f aca="false">IF(AC777,IF(01_因子設定!$B$13="最大化",AA777-01_因子設定!$B$14,IF(01_因子設定!$B$13="最小化",01_因子設定!$B$15-AB777,MIN(AA777-01_因子設定!$B$14,01_因子設定!$B$15-AB777))),-1E+030)</f>
        <v>-6.79730711662997</v>
      </c>
      <c r="AE777" s="55" t="n">
        <f aca="false">IF(AC777,IF(01_因子設定!$B$13="最大化",X777,IF(01_因子設定!$B$13="最小化",-X777,-ABS(X777-01_因子設定!$B$16))),-1E+030)</f>
        <v>41.2960434941521</v>
      </c>
      <c r="AF777" s="55" t="n">
        <f aca="false">AD777+ROW()*0.000000001</f>
        <v>-6.79730633962997</v>
      </c>
      <c r="AG777" s="55" t="n">
        <f aca="false">AE777+ROW()*0.000000001</f>
        <v>41.2960442711521</v>
      </c>
    </row>
    <row r="778" customFormat="false" ht="15" hidden="false" customHeight="false" outlineLevel="0" collapsed="false">
      <c r="A778" s="0" t="n">
        <v>1</v>
      </c>
      <c r="B778" s="0" t="n">
        <v>0</v>
      </c>
      <c r="C778" s="0" t="n">
        <v>4</v>
      </c>
      <c r="D778" s="0" t="n">
        <v>8</v>
      </c>
      <c r="E778" s="0" t="n">
        <f aca="false">-1+A778*0.25</f>
        <v>-0.75</v>
      </c>
      <c r="F778" s="0" t="n">
        <f aca="false">-1+B778*0.25</f>
        <v>-1</v>
      </c>
      <c r="G778" s="0" t="n">
        <f aca="false">-1+C778*0.25</f>
        <v>0</v>
      </c>
      <c r="H778" s="0" t="n">
        <f aca="false">-1+D778*0.25</f>
        <v>1</v>
      </c>
      <c r="I778" s="0" t="n">
        <f aca="false">1</f>
        <v>1</v>
      </c>
      <c r="J778" s="0" t="n">
        <f aca="false">E778</f>
        <v>-0.75</v>
      </c>
      <c r="K778" s="0" t="n">
        <f aca="false">F778</f>
        <v>-1</v>
      </c>
      <c r="L778" s="0" t="n">
        <f aca="false">G778</f>
        <v>0</v>
      </c>
      <c r="M778" s="0" t="n">
        <f aca="false">H778</f>
        <v>1</v>
      </c>
      <c r="N778" s="0" t="n">
        <f aca="false">E778*F778</f>
        <v>0.75</v>
      </c>
      <c r="O778" s="0" t="n">
        <f aca="false">E778*G778</f>
        <v>-0</v>
      </c>
      <c r="P778" s="0" t="n">
        <f aca="false">E778*H778</f>
        <v>-0.75</v>
      </c>
      <c r="Q778" s="0" t="n">
        <f aca="false">F778*G778</f>
        <v>-0</v>
      </c>
      <c r="R778" s="0" t="n">
        <f aca="false">F778*H778</f>
        <v>-1</v>
      </c>
      <c r="S778" s="0" t="n">
        <f aca="false">G778*H778</f>
        <v>0</v>
      </c>
      <c r="T778" s="0" t="n">
        <f aca="false">E778*E778</f>
        <v>0.5625</v>
      </c>
      <c r="U778" s="0" t="n">
        <f aca="false">F778*F778</f>
        <v>1</v>
      </c>
      <c r="V778" s="0" t="n">
        <f aca="false">G778*G778</f>
        <v>0</v>
      </c>
      <c r="W778" s="0" t="n">
        <f aca="false">H778*H778</f>
        <v>1</v>
      </c>
      <c r="X778" s="0" t="n">
        <f aca="false">SUMPRODUCT(I778:W778,_XtX!$B$96:$P$96)</f>
        <v>41.2597953216375</v>
      </c>
      <c r="Y778" s="0" t="n">
        <f aca="false">SUMPRODUCT(MMULT(I778:W778,_XtX!$B$78:$P$92),I778:W778)</f>
        <v>0.646198830409357</v>
      </c>
      <c r="Z778" s="0" t="n">
        <f aca="false">04_回帰ANOVA!$K$19*04_回帰ANOVA!$K$14*SQRT(1+Y778)</f>
        <v>1.67239760569756</v>
      </c>
      <c r="AA778" s="0" t="n">
        <f aca="false">X778-Z778</f>
        <v>39.5873977159399</v>
      </c>
      <c r="AB778" s="0" t="n">
        <f aca="false">X778+Z778</f>
        <v>42.932192927335</v>
      </c>
      <c r="AC778" s="54" t="b">
        <f aca="false">AND(E778&gt;=01_因子設定!$L$5-0.000000001,E778&lt;=01_因子設定!$M$5+0.000000001,F778&gt;=01_因子設定!$L$6-0.000000001,F778&lt;=01_因子設定!$M$6+0.000000001,G778&gt;=01_因子設定!$L$7-0.000000001,G778&lt;=01_因子設定!$M$7+0.000000001,H778&gt;=01_因子設定!$L$8-0.000000001,H778&lt;=01_因子設定!$M$8+0.000000001,IF(01_因子設定!$B$20="Box-Behnken",E778^2+F778^2+G778^2+H778^2&lt;=2+0.000000001,TRUE()))</f>
        <v>1</v>
      </c>
      <c r="AD778" s="55" t="n">
        <f aca="false">IF(AC778,IF(01_因子設定!$B$13="最大化",AA778-01_因子設定!$B$14,IF(01_因子設定!$B$13="最小化",01_因子設定!$B$15-AB778,MIN(AA778-01_因子設定!$B$14,01_因子設定!$B$15-AB778))),-1E+030)</f>
        <v>-6.91260228406011</v>
      </c>
      <c r="AE778" s="55" t="n">
        <f aca="false">IF(AC778,IF(01_因子設定!$B$13="最大化",X778,IF(01_因子設定!$B$13="最小化",-X778,-ABS(X778-01_因子設定!$B$16))),-1E+030)</f>
        <v>41.2597953216375</v>
      </c>
      <c r="AF778" s="55" t="n">
        <f aca="false">AD778+ROW()*0.000000001</f>
        <v>-6.91260150606011</v>
      </c>
      <c r="AG778" s="55" t="n">
        <f aca="false">AE778+ROW()*0.000000001</f>
        <v>41.2597960996375</v>
      </c>
    </row>
    <row r="779" customFormat="false" ht="15" hidden="false" customHeight="false" outlineLevel="0" collapsed="false">
      <c r="A779" s="0" t="n">
        <v>1</v>
      </c>
      <c r="B779" s="0" t="n">
        <v>0</v>
      </c>
      <c r="C779" s="0" t="n">
        <v>5</v>
      </c>
      <c r="D779" s="0" t="n">
        <v>0</v>
      </c>
      <c r="E779" s="0" t="n">
        <f aca="false">-1+A779*0.25</f>
        <v>-0.75</v>
      </c>
      <c r="F779" s="0" t="n">
        <f aca="false">-1+B779*0.25</f>
        <v>-1</v>
      </c>
      <c r="G779" s="0" t="n">
        <f aca="false">-1+C779*0.25</f>
        <v>0.25</v>
      </c>
      <c r="H779" s="0" t="n">
        <f aca="false">-1+D779*0.25</f>
        <v>-1</v>
      </c>
      <c r="I779" s="0" t="n">
        <f aca="false">1</f>
        <v>1</v>
      </c>
      <c r="J779" s="0" t="n">
        <f aca="false">E779</f>
        <v>-0.75</v>
      </c>
      <c r="K779" s="0" t="n">
        <f aca="false">F779</f>
        <v>-1</v>
      </c>
      <c r="L779" s="0" t="n">
        <f aca="false">G779</f>
        <v>0.25</v>
      </c>
      <c r="M779" s="0" t="n">
        <f aca="false">H779</f>
        <v>-1</v>
      </c>
      <c r="N779" s="0" t="n">
        <f aca="false">E779*F779</f>
        <v>0.75</v>
      </c>
      <c r="O779" s="0" t="n">
        <f aca="false">E779*G779</f>
        <v>-0.1875</v>
      </c>
      <c r="P779" s="0" t="n">
        <f aca="false">E779*H779</f>
        <v>0.75</v>
      </c>
      <c r="Q779" s="0" t="n">
        <f aca="false">F779*G779</f>
        <v>-0.25</v>
      </c>
      <c r="R779" s="0" t="n">
        <f aca="false">F779*H779</f>
        <v>1</v>
      </c>
      <c r="S779" s="0" t="n">
        <f aca="false">G779*H779</f>
        <v>-0.25</v>
      </c>
      <c r="T779" s="0" t="n">
        <f aca="false">E779*E779</f>
        <v>0.5625</v>
      </c>
      <c r="U779" s="0" t="n">
        <f aca="false">F779*F779</f>
        <v>1</v>
      </c>
      <c r="V779" s="0" t="n">
        <f aca="false">G779*G779</f>
        <v>0.0625</v>
      </c>
      <c r="W779" s="0" t="n">
        <f aca="false">H779*H779</f>
        <v>1</v>
      </c>
      <c r="X779" s="0" t="n">
        <f aca="false">SUMPRODUCT(I779:W779,_XtX!$B$96:$P$96)</f>
        <v>40.3862390350877</v>
      </c>
      <c r="Y779" s="0" t="n">
        <f aca="false">SUMPRODUCT(MMULT(I779:W779,_XtX!$B$78:$P$92),I779:W779)</f>
        <v>0.621372155975877</v>
      </c>
      <c r="Z779" s="0" t="n">
        <f aca="false">04_回帰ANOVA!$K$19*04_回帰ANOVA!$K$14*SQRT(1+Y779)</f>
        <v>1.65973880499872</v>
      </c>
      <c r="AA779" s="0" t="n">
        <f aca="false">X779-Z779</f>
        <v>38.726500230089</v>
      </c>
      <c r="AB779" s="0" t="n">
        <f aca="false">X779+Z779</f>
        <v>42.0459778400865</v>
      </c>
      <c r="AC779" s="54" t="b">
        <f aca="false">AND(E779&gt;=01_因子設定!$L$5-0.000000001,E779&lt;=01_因子設定!$M$5+0.000000001,F779&gt;=01_因子設定!$L$6-0.000000001,F779&lt;=01_因子設定!$M$6+0.000000001,G779&gt;=01_因子設定!$L$7-0.000000001,G779&lt;=01_因子設定!$M$7+0.000000001,H779&gt;=01_因子設定!$L$8-0.000000001,H779&lt;=01_因子設定!$M$8+0.000000001,IF(01_因子設定!$B$20="Box-Behnken",E779^2+F779^2+G779^2+H779^2&lt;=2+0.000000001,TRUE()))</f>
        <v>1</v>
      </c>
      <c r="AD779" s="55" t="n">
        <f aca="false">IF(AC779,IF(01_因子設定!$B$13="最大化",AA779-01_因子設定!$B$14,IF(01_因子設定!$B$13="最小化",01_因子設定!$B$15-AB779,MIN(AA779-01_因子設定!$B$14,01_因子設定!$B$15-AB779))),-1E+030)</f>
        <v>-7.77349976991098</v>
      </c>
      <c r="AE779" s="55" t="n">
        <f aca="false">IF(AC779,IF(01_因子設定!$B$13="最大化",X779,IF(01_因子設定!$B$13="最小化",-X779,-ABS(X779-01_因子設定!$B$16))),-1E+030)</f>
        <v>40.3862390350877</v>
      </c>
      <c r="AF779" s="55" t="n">
        <f aca="false">AD779+ROW()*0.000000001</f>
        <v>-7.77349899091098</v>
      </c>
      <c r="AG779" s="55" t="n">
        <f aca="false">AE779+ROW()*0.000000001</f>
        <v>40.3862398140877</v>
      </c>
    </row>
    <row r="780" customFormat="false" ht="15" hidden="false" customHeight="false" outlineLevel="0" collapsed="false">
      <c r="A780" s="0" t="n">
        <v>1</v>
      </c>
      <c r="B780" s="0" t="n">
        <v>0</v>
      </c>
      <c r="C780" s="0" t="n">
        <v>5</v>
      </c>
      <c r="D780" s="0" t="n">
        <v>1</v>
      </c>
      <c r="E780" s="0" t="n">
        <f aca="false">-1+A780*0.25</f>
        <v>-0.75</v>
      </c>
      <c r="F780" s="0" t="n">
        <f aca="false">-1+B780*0.25</f>
        <v>-1</v>
      </c>
      <c r="G780" s="0" t="n">
        <f aca="false">-1+C780*0.25</f>
        <v>0.25</v>
      </c>
      <c r="H780" s="0" t="n">
        <f aca="false">-1+D780*0.25</f>
        <v>-0.75</v>
      </c>
      <c r="I780" s="0" t="n">
        <f aca="false">1</f>
        <v>1</v>
      </c>
      <c r="J780" s="0" t="n">
        <f aca="false">E780</f>
        <v>-0.75</v>
      </c>
      <c r="K780" s="0" t="n">
        <f aca="false">F780</f>
        <v>-1</v>
      </c>
      <c r="L780" s="0" t="n">
        <f aca="false">G780</f>
        <v>0.25</v>
      </c>
      <c r="M780" s="0" t="n">
        <f aca="false">H780</f>
        <v>-0.75</v>
      </c>
      <c r="N780" s="0" t="n">
        <f aca="false">E780*F780</f>
        <v>0.75</v>
      </c>
      <c r="O780" s="0" t="n">
        <f aca="false">E780*G780</f>
        <v>-0.1875</v>
      </c>
      <c r="P780" s="0" t="n">
        <f aca="false">E780*H780</f>
        <v>0.5625</v>
      </c>
      <c r="Q780" s="0" t="n">
        <f aca="false">F780*G780</f>
        <v>-0.25</v>
      </c>
      <c r="R780" s="0" t="n">
        <f aca="false">F780*H780</f>
        <v>0.75</v>
      </c>
      <c r="S780" s="0" t="n">
        <f aca="false">G780*H780</f>
        <v>-0.1875</v>
      </c>
      <c r="T780" s="0" t="n">
        <f aca="false">E780*E780</f>
        <v>0.5625</v>
      </c>
      <c r="U780" s="0" t="n">
        <f aca="false">F780*F780</f>
        <v>1</v>
      </c>
      <c r="V780" s="0" t="n">
        <f aca="false">G780*G780</f>
        <v>0.0625</v>
      </c>
      <c r="W780" s="0" t="n">
        <f aca="false">H780*H780</f>
        <v>0.5625</v>
      </c>
      <c r="X780" s="0" t="n">
        <f aca="false">SUMPRODUCT(I780:W780,_XtX!$B$96:$P$96)</f>
        <v>40.7026087353801</v>
      </c>
      <c r="Y780" s="0" t="n">
        <f aca="false">SUMPRODUCT(MMULT(I780:W780,_XtX!$B$78:$P$92),I780:W780)</f>
        <v>0.473959761056287</v>
      </c>
      <c r="Z780" s="0" t="n">
        <f aca="false">04_回帰ANOVA!$K$19*04_回帰ANOVA!$K$14*SQRT(1+Y780)</f>
        <v>1.58249084588329</v>
      </c>
      <c r="AA780" s="0" t="n">
        <f aca="false">X780-Z780</f>
        <v>39.1201178894968</v>
      </c>
      <c r="AB780" s="0" t="n">
        <f aca="false">X780+Z780</f>
        <v>42.2850995812634</v>
      </c>
      <c r="AC780" s="54" t="b">
        <f aca="false">AND(E780&gt;=01_因子設定!$L$5-0.000000001,E780&lt;=01_因子設定!$M$5+0.000000001,F780&gt;=01_因子設定!$L$6-0.000000001,F780&lt;=01_因子設定!$M$6+0.000000001,G780&gt;=01_因子設定!$L$7-0.000000001,G780&lt;=01_因子設定!$M$7+0.000000001,H780&gt;=01_因子設定!$L$8-0.000000001,H780&lt;=01_因子設定!$M$8+0.000000001,IF(01_因子設定!$B$20="Box-Behnken",E780^2+F780^2+G780^2+H780^2&lt;=2+0.000000001,TRUE()))</f>
        <v>1</v>
      </c>
      <c r="AD780" s="55" t="n">
        <f aca="false">IF(AC780,IF(01_因子設定!$B$13="最大化",AA780-01_因子設定!$B$14,IF(01_因子設定!$B$13="最小化",01_因子設定!$B$15-AB780,MIN(AA780-01_因子設定!$B$14,01_因子設定!$B$15-AB780))),-1E+030)</f>
        <v>-7.37988211050316</v>
      </c>
      <c r="AE780" s="55" t="n">
        <f aca="false">IF(AC780,IF(01_因子設定!$B$13="最大化",X780,IF(01_因子設定!$B$13="最小化",-X780,-ABS(X780-01_因子設定!$B$16))),-1E+030)</f>
        <v>40.7026087353801</v>
      </c>
      <c r="AF780" s="55" t="n">
        <f aca="false">AD780+ROW()*0.000000001</f>
        <v>-7.37988133050316</v>
      </c>
      <c r="AG780" s="55" t="n">
        <f aca="false">AE780+ROW()*0.000000001</f>
        <v>40.7026095153801</v>
      </c>
    </row>
    <row r="781" customFormat="false" ht="15" hidden="false" customHeight="false" outlineLevel="0" collapsed="false">
      <c r="A781" s="0" t="n">
        <v>1</v>
      </c>
      <c r="B781" s="0" t="n">
        <v>0</v>
      </c>
      <c r="C781" s="0" t="n">
        <v>5</v>
      </c>
      <c r="D781" s="0" t="n">
        <v>2</v>
      </c>
      <c r="E781" s="0" t="n">
        <f aca="false">-1+A781*0.25</f>
        <v>-0.75</v>
      </c>
      <c r="F781" s="0" t="n">
        <f aca="false">-1+B781*0.25</f>
        <v>-1</v>
      </c>
      <c r="G781" s="0" t="n">
        <f aca="false">-1+C781*0.25</f>
        <v>0.25</v>
      </c>
      <c r="H781" s="0" t="n">
        <f aca="false">-1+D781*0.25</f>
        <v>-0.5</v>
      </c>
      <c r="I781" s="0" t="n">
        <f aca="false">1</f>
        <v>1</v>
      </c>
      <c r="J781" s="0" t="n">
        <f aca="false">E781</f>
        <v>-0.75</v>
      </c>
      <c r="K781" s="0" t="n">
        <f aca="false">F781</f>
        <v>-1</v>
      </c>
      <c r="L781" s="0" t="n">
        <f aca="false">G781</f>
        <v>0.25</v>
      </c>
      <c r="M781" s="0" t="n">
        <f aca="false">H781</f>
        <v>-0.5</v>
      </c>
      <c r="N781" s="0" t="n">
        <f aca="false">E781*F781</f>
        <v>0.75</v>
      </c>
      <c r="O781" s="0" t="n">
        <f aca="false">E781*G781</f>
        <v>-0.1875</v>
      </c>
      <c r="P781" s="0" t="n">
        <f aca="false">E781*H781</f>
        <v>0.375</v>
      </c>
      <c r="Q781" s="0" t="n">
        <f aca="false">F781*G781</f>
        <v>-0.25</v>
      </c>
      <c r="R781" s="0" t="n">
        <f aca="false">F781*H781</f>
        <v>0.5</v>
      </c>
      <c r="S781" s="0" t="n">
        <f aca="false">G781*H781</f>
        <v>-0.125</v>
      </c>
      <c r="T781" s="0" t="n">
        <f aca="false">E781*E781</f>
        <v>0.5625</v>
      </c>
      <c r="U781" s="0" t="n">
        <f aca="false">F781*F781</f>
        <v>1</v>
      </c>
      <c r="V781" s="0" t="n">
        <f aca="false">G781*G781</f>
        <v>0.0625</v>
      </c>
      <c r="W781" s="0" t="n">
        <f aca="false">H781*H781</f>
        <v>0.25</v>
      </c>
      <c r="X781" s="0" t="n">
        <f aca="false">SUMPRODUCT(I781:W781,_XtX!$B$96:$P$96)</f>
        <v>40.9711714181287</v>
      </c>
      <c r="Y781" s="0" t="n">
        <f aca="false">SUMPRODUCT(MMULT(I781:W781,_XtX!$B$78:$P$92),I781:W781)</f>
        <v>0.459125719572369</v>
      </c>
      <c r="Z781" s="0" t="n">
        <f aca="false">04_回帰ANOVA!$K$19*04_回帰ANOVA!$K$14*SQRT(1+Y781)</f>
        <v>1.57450755575573</v>
      </c>
      <c r="AA781" s="0" t="n">
        <f aca="false">X781-Z781</f>
        <v>39.3966638623729</v>
      </c>
      <c r="AB781" s="0" t="n">
        <f aca="false">X781+Z781</f>
        <v>42.5456789738844</v>
      </c>
      <c r="AC781" s="54" t="b">
        <f aca="false">AND(E781&gt;=01_因子設定!$L$5-0.000000001,E781&lt;=01_因子設定!$M$5+0.000000001,F781&gt;=01_因子設定!$L$6-0.000000001,F781&lt;=01_因子設定!$M$6+0.000000001,G781&gt;=01_因子設定!$L$7-0.000000001,G781&lt;=01_因子設定!$M$7+0.000000001,H781&gt;=01_因子設定!$L$8-0.000000001,H781&lt;=01_因子設定!$M$8+0.000000001,IF(01_因子設定!$B$20="Box-Behnken",E781^2+F781^2+G781^2+H781^2&lt;=2+0.000000001,TRUE()))</f>
        <v>1</v>
      </c>
      <c r="AD781" s="55" t="n">
        <f aca="false">IF(AC781,IF(01_因子設定!$B$13="最大化",AA781-01_因子設定!$B$14,IF(01_因子設定!$B$13="最小化",01_因子設定!$B$15-AB781,MIN(AA781-01_因子設定!$B$14,01_因子設定!$B$15-AB781))),-1E+030)</f>
        <v>-7.10333613762708</v>
      </c>
      <c r="AE781" s="55" t="n">
        <f aca="false">IF(AC781,IF(01_因子設定!$B$13="最大化",X781,IF(01_因子設定!$B$13="最小化",-X781,-ABS(X781-01_因子設定!$B$16))),-1E+030)</f>
        <v>40.9711714181287</v>
      </c>
      <c r="AF781" s="55" t="n">
        <f aca="false">AD781+ROW()*0.000000001</f>
        <v>-7.10333535662708</v>
      </c>
      <c r="AG781" s="55" t="n">
        <f aca="false">AE781+ROW()*0.000000001</f>
        <v>40.9711721991286</v>
      </c>
    </row>
    <row r="782" customFormat="false" ht="15" hidden="false" customHeight="false" outlineLevel="0" collapsed="false">
      <c r="A782" s="0" t="n">
        <v>1</v>
      </c>
      <c r="B782" s="0" t="n">
        <v>0</v>
      </c>
      <c r="C782" s="0" t="n">
        <v>5</v>
      </c>
      <c r="D782" s="0" t="n">
        <v>3</v>
      </c>
      <c r="E782" s="0" t="n">
        <f aca="false">-1+A782*0.25</f>
        <v>-0.75</v>
      </c>
      <c r="F782" s="0" t="n">
        <f aca="false">-1+B782*0.25</f>
        <v>-1</v>
      </c>
      <c r="G782" s="0" t="n">
        <f aca="false">-1+C782*0.25</f>
        <v>0.25</v>
      </c>
      <c r="H782" s="0" t="n">
        <f aca="false">-1+D782*0.25</f>
        <v>-0.25</v>
      </c>
      <c r="I782" s="0" t="n">
        <f aca="false">1</f>
        <v>1</v>
      </c>
      <c r="J782" s="0" t="n">
        <f aca="false">E782</f>
        <v>-0.75</v>
      </c>
      <c r="K782" s="0" t="n">
        <f aca="false">F782</f>
        <v>-1</v>
      </c>
      <c r="L782" s="0" t="n">
        <f aca="false">G782</f>
        <v>0.25</v>
      </c>
      <c r="M782" s="0" t="n">
        <f aca="false">H782</f>
        <v>-0.25</v>
      </c>
      <c r="N782" s="0" t="n">
        <f aca="false">E782*F782</f>
        <v>0.75</v>
      </c>
      <c r="O782" s="0" t="n">
        <f aca="false">E782*G782</f>
        <v>-0.1875</v>
      </c>
      <c r="P782" s="0" t="n">
        <f aca="false">E782*H782</f>
        <v>0.1875</v>
      </c>
      <c r="Q782" s="0" t="n">
        <f aca="false">F782*G782</f>
        <v>-0.25</v>
      </c>
      <c r="R782" s="0" t="n">
        <f aca="false">F782*H782</f>
        <v>0.25</v>
      </c>
      <c r="S782" s="0" t="n">
        <f aca="false">G782*H782</f>
        <v>-0.0625</v>
      </c>
      <c r="T782" s="0" t="n">
        <f aca="false">E782*E782</f>
        <v>0.5625</v>
      </c>
      <c r="U782" s="0" t="n">
        <f aca="false">F782*F782</f>
        <v>1</v>
      </c>
      <c r="V782" s="0" t="n">
        <f aca="false">G782*G782</f>
        <v>0.0625</v>
      </c>
      <c r="W782" s="0" t="n">
        <f aca="false">H782*H782</f>
        <v>0.0625</v>
      </c>
      <c r="X782" s="0" t="n">
        <f aca="false">SUMPRODUCT(I782:W782,_XtX!$B$96:$P$96)</f>
        <v>41.1919270833333</v>
      </c>
      <c r="Y782" s="0" t="n">
        <f aca="false">SUMPRODUCT(MMULT(I782:W782,_XtX!$B$78:$P$92),I782:W782)</f>
        <v>0.486409505208334</v>
      </c>
      <c r="Z782" s="0" t="n">
        <f aca="false">04_回帰ANOVA!$K$19*04_回帰ANOVA!$K$14*SQRT(1+Y782)</f>
        <v>1.58916001665498</v>
      </c>
      <c r="AA782" s="0" t="n">
        <f aca="false">X782-Z782</f>
        <v>39.6027670666783</v>
      </c>
      <c r="AB782" s="0" t="n">
        <f aca="false">X782+Z782</f>
        <v>42.7810870999883</v>
      </c>
      <c r="AC782" s="54" t="b">
        <f aca="false">AND(E782&gt;=01_因子設定!$L$5-0.000000001,E782&lt;=01_因子設定!$M$5+0.000000001,F782&gt;=01_因子設定!$L$6-0.000000001,F782&lt;=01_因子設定!$M$6+0.000000001,G782&gt;=01_因子設定!$L$7-0.000000001,G782&lt;=01_因子設定!$M$7+0.000000001,H782&gt;=01_因子設定!$L$8-0.000000001,H782&lt;=01_因子設定!$M$8+0.000000001,IF(01_因子設定!$B$20="Box-Behnken",E782^2+F782^2+G782^2+H782^2&lt;=2+0.000000001,TRUE()))</f>
        <v>1</v>
      </c>
      <c r="AD782" s="55" t="n">
        <f aca="false">IF(AC782,IF(01_因子設定!$B$13="最大化",AA782-01_因子設定!$B$14,IF(01_因子設定!$B$13="最小化",01_因子設定!$B$15-AB782,MIN(AA782-01_因子設定!$B$14,01_因子設定!$B$15-AB782))),-1E+030)</f>
        <v>-6.89723293332166</v>
      </c>
      <c r="AE782" s="55" t="n">
        <f aca="false">IF(AC782,IF(01_因子設定!$B$13="最大化",X782,IF(01_因子設定!$B$13="最小化",-X782,-ABS(X782-01_因子設定!$B$16))),-1E+030)</f>
        <v>41.1919270833333</v>
      </c>
      <c r="AF782" s="55" t="n">
        <f aca="false">AD782+ROW()*0.000000001</f>
        <v>-6.89723215132166</v>
      </c>
      <c r="AG782" s="55" t="n">
        <f aca="false">AE782+ROW()*0.000000001</f>
        <v>41.1919278653333</v>
      </c>
    </row>
    <row r="783" customFormat="false" ht="15" hidden="false" customHeight="false" outlineLevel="0" collapsed="false">
      <c r="A783" s="0" t="n">
        <v>1</v>
      </c>
      <c r="B783" s="0" t="n">
        <v>0</v>
      </c>
      <c r="C783" s="0" t="n">
        <v>5</v>
      </c>
      <c r="D783" s="0" t="n">
        <v>4</v>
      </c>
      <c r="E783" s="0" t="n">
        <f aca="false">-1+A783*0.25</f>
        <v>-0.75</v>
      </c>
      <c r="F783" s="0" t="n">
        <f aca="false">-1+B783*0.25</f>
        <v>-1</v>
      </c>
      <c r="G783" s="0" t="n">
        <f aca="false">-1+C783*0.25</f>
        <v>0.25</v>
      </c>
      <c r="H783" s="0" t="n">
        <f aca="false">-1+D783*0.25</f>
        <v>0</v>
      </c>
      <c r="I783" s="0" t="n">
        <f aca="false">1</f>
        <v>1</v>
      </c>
      <c r="J783" s="0" t="n">
        <f aca="false">E783</f>
        <v>-0.75</v>
      </c>
      <c r="K783" s="0" t="n">
        <f aca="false">F783</f>
        <v>-1</v>
      </c>
      <c r="L783" s="0" t="n">
        <f aca="false">G783</f>
        <v>0.25</v>
      </c>
      <c r="M783" s="0" t="n">
        <f aca="false">H783</f>
        <v>0</v>
      </c>
      <c r="N783" s="0" t="n">
        <f aca="false">E783*F783</f>
        <v>0.75</v>
      </c>
      <c r="O783" s="0" t="n">
        <f aca="false">E783*G783</f>
        <v>-0.1875</v>
      </c>
      <c r="P783" s="0" t="n">
        <f aca="false">E783*H783</f>
        <v>-0</v>
      </c>
      <c r="Q783" s="0" t="n">
        <f aca="false">F783*G783</f>
        <v>-0.25</v>
      </c>
      <c r="R783" s="0" t="n">
        <f aca="false">F783*H783</f>
        <v>-0</v>
      </c>
      <c r="S783" s="0" t="n">
        <f aca="false">G783*H783</f>
        <v>0</v>
      </c>
      <c r="T783" s="0" t="n">
        <f aca="false">E783*E783</f>
        <v>0.5625</v>
      </c>
      <c r="U783" s="0" t="n">
        <f aca="false">F783*F783</f>
        <v>1</v>
      </c>
      <c r="V783" s="0" t="n">
        <f aca="false">G783*G783</f>
        <v>0.0625</v>
      </c>
      <c r="W783" s="0" t="n">
        <f aca="false">H783*H783</f>
        <v>0</v>
      </c>
      <c r="X783" s="0" t="n">
        <f aca="false">SUMPRODUCT(I783:W783,_XtX!$B$96:$P$96)</f>
        <v>41.3648757309941</v>
      </c>
      <c r="Y783" s="0" t="n">
        <f aca="false">SUMPRODUCT(MMULT(I783:W783,_XtX!$B$78:$P$92),I783:W783)</f>
        <v>0.501534802174708</v>
      </c>
      <c r="Z783" s="0" t="n">
        <f aca="false">04_回帰ANOVA!$K$19*04_回帰ANOVA!$K$14*SQRT(1+Y783)</f>
        <v>1.59722498091333</v>
      </c>
      <c r="AA783" s="0" t="n">
        <f aca="false">X783-Z783</f>
        <v>39.7676507500808</v>
      </c>
      <c r="AB783" s="0" t="n">
        <f aca="false">X783+Z783</f>
        <v>42.9621007119075</v>
      </c>
      <c r="AC783" s="54" t="b">
        <f aca="false">AND(E783&gt;=01_因子設定!$L$5-0.000000001,E783&lt;=01_因子設定!$M$5+0.000000001,F783&gt;=01_因子設定!$L$6-0.000000001,F783&lt;=01_因子設定!$M$6+0.000000001,G783&gt;=01_因子設定!$L$7-0.000000001,G783&lt;=01_因子設定!$M$7+0.000000001,H783&gt;=01_因子設定!$L$8-0.000000001,H783&lt;=01_因子設定!$M$8+0.000000001,IF(01_因子設定!$B$20="Box-Behnken",E783^2+F783^2+G783^2+H783^2&lt;=2+0.000000001,TRUE()))</f>
        <v>1</v>
      </c>
      <c r="AD783" s="55" t="n">
        <f aca="false">IF(AC783,IF(01_因子設定!$B$13="最大化",AA783-01_因子設定!$B$14,IF(01_因子設定!$B$13="最小化",01_因子設定!$B$15-AB783,MIN(AA783-01_因子設定!$B$14,01_因子設定!$B$15-AB783))),-1E+030)</f>
        <v>-6.7323492499192</v>
      </c>
      <c r="AE783" s="55" t="n">
        <f aca="false">IF(AC783,IF(01_因子設定!$B$13="最大化",X783,IF(01_因子設定!$B$13="最小化",-X783,-ABS(X783-01_因子設定!$B$16))),-1E+030)</f>
        <v>41.3648757309941</v>
      </c>
      <c r="AF783" s="55" t="n">
        <f aca="false">AD783+ROW()*0.000000001</f>
        <v>-6.7323484669192</v>
      </c>
      <c r="AG783" s="55" t="n">
        <f aca="false">AE783+ROW()*0.000000001</f>
        <v>41.3648765139941</v>
      </c>
    </row>
    <row r="784" customFormat="false" ht="15" hidden="false" customHeight="false" outlineLevel="0" collapsed="false">
      <c r="A784" s="0" t="n">
        <v>1</v>
      </c>
      <c r="B784" s="0" t="n">
        <v>0</v>
      </c>
      <c r="C784" s="0" t="n">
        <v>5</v>
      </c>
      <c r="D784" s="0" t="n">
        <v>5</v>
      </c>
      <c r="E784" s="0" t="n">
        <f aca="false">-1+A784*0.25</f>
        <v>-0.75</v>
      </c>
      <c r="F784" s="0" t="n">
        <f aca="false">-1+B784*0.25</f>
        <v>-1</v>
      </c>
      <c r="G784" s="0" t="n">
        <f aca="false">-1+C784*0.25</f>
        <v>0.25</v>
      </c>
      <c r="H784" s="0" t="n">
        <f aca="false">-1+D784*0.25</f>
        <v>0.25</v>
      </c>
      <c r="I784" s="0" t="n">
        <f aca="false">1</f>
        <v>1</v>
      </c>
      <c r="J784" s="0" t="n">
        <f aca="false">E784</f>
        <v>-0.75</v>
      </c>
      <c r="K784" s="0" t="n">
        <f aca="false">F784</f>
        <v>-1</v>
      </c>
      <c r="L784" s="0" t="n">
        <f aca="false">G784</f>
        <v>0.25</v>
      </c>
      <c r="M784" s="0" t="n">
        <f aca="false">H784</f>
        <v>0.25</v>
      </c>
      <c r="N784" s="0" t="n">
        <f aca="false">E784*F784</f>
        <v>0.75</v>
      </c>
      <c r="O784" s="0" t="n">
        <f aca="false">E784*G784</f>
        <v>-0.1875</v>
      </c>
      <c r="P784" s="0" t="n">
        <f aca="false">E784*H784</f>
        <v>-0.1875</v>
      </c>
      <c r="Q784" s="0" t="n">
        <f aca="false">F784*G784</f>
        <v>-0.25</v>
      </c>
      <c r="R784" s="0" t="n">
        <f aca="false">F784*H784</f>
        <v>-0.25</v>
      </c>
      <c r="S784" s="0" t="n">
        <f aca="false">G784*H784</f>
        <v>0.0625</v>
      </c>
      <c r="T784" s="0" t="n">
        <f aca="false">E784*E784</f>
        <v>0.5625</v>
      </c>
      <c r="U784" s="0" t="n">
        <f aca="false">F784*F784</f>
        <v>1</v>
      </c>
      <c r="V784" s="0" t="n">
        <f aca="false">G784*G784</f>
        <v>0.0625</v>
      </c>
      <c r="W784" s="0" t="n">
        <f aca="false">H784*H784</f>
        <v>0.0625</v>
      </c>
      <c r="X784" s="0" t="n">
        <f aca="false">SUMPRODUCT(I784:W784,_XtX!$B$96:$P$96)</f>
        <v>41.4900173611111</v>
      </c>
      <c r="Y784" s="0" t="n">
        <f aca="false">SUMPRODUCT(MMULT(I784:W784,_XtX!$B$78:$P$92),I784:W784)</f>
        <v>0.486409505208334</v>
      </c>
      <c r="Z784" s="0" t="n">
        <f aca="false">04_回帰ANOVA!$K$19*04_回帰ANOVA!$K$14*SQRT(1+Y784)</f>
        <v>1.58916001665498</v>
      </c>
      <c r="AA784" s="0" t="n">
        <f aca="false">X784-Z784</f>
        <v>39.9008573444561</v>
      </c>
      <c r="AB784" s="0" t="n">
        <f aca="false">X784+Z784</f>
        <v>43.0791773777661</v>
      </c>
      <c r="AC784" s="54" t="b">
        <f aca="false">AND(E784&gt;=01_因子設定!$L$5-0.000000001,E784&lt;=01_因子設定!$M$5+0.000000001,F784&gt;=01_因子設定!$L$6-0.000000001,F784&lt;=01_因子設定!$M$6+0.000000001,G784&gt;=01_因子設定!$L$7-0.000000001,G784&lt;=01_因子設定!$M$7+0.000000001,H784&gt;=01_因子設定!$L$8-0.000000001,H784&lt;=01_因子設定!$M$8+0.000000001,IF(01_因子設定!$B$20="Box-Behnken",E784^2+F784^2+G784^2+H784^2&lt;=2+0.000000001,TRUE()))</f>
        <v>1</v>
      </c>
      <c r="AD784" s="55" t="n">
        <f aca="false">IF(AC784,IF(01_因子設定!$B$13="最大化",AA784-01_因子設定!$B$14,IF(01_因子設定!$B$13="最小化",01_因子設定!$B$15-AB784,MIN(AA784-01_因子設定!$B$14,01_因子設定!$B$15-AB784))),-1E+030)</f>
        <v>-6.59914265554388</v>
      </c>
      <c r="AE784" s="55" t="n">
        <f aca="false">IF(AC784,IF(01_因子設定!$B$13="最大化",X784,IF(01_因子設定!$B$13="最小化",-X784,-ABS(X784-01_因子設定!$B$16))),-1E+030)</f>
        <v>41.4900173611111</v>
      </c>
      <c r="AF784" s="55" t="n">
        <f aca="false">AD784+ROW()*0.000000001</f>
        <v>-6.59914187154388</v>
      </c>
      <c r="AG784" s="55" t="n">
        <f aca="false">AE784+ROW()*0.000000001</f>
        <v>41.4900181451111</v>
      </c>
    </row>
    <row r="785" customFormat="false" ht="15" hidden="false" customHeight="false" outlineLevel="0" collapsed="false">
      <c r="A785" s="0" t="n">
        <v>1</v>
      </c>
      <c r="B785" s="0" t="n">
        <v>0</v>
      </c>
      <c r="C785" s="0" t="n">
        <v>5</v>
      </c>
      <c r="D785" s="0" t="n">
        <v>6</v>
      </c>
      <c r="E785" s="0" t="n">
        <f aca="false">-1+A785*0.25</f>
        <v>-0.75</v>
      </c>
      <c r="F785" s="0" t="n">
        <f aca="false">-1+B785*0.25</f>
        <v>-1</v>
      </c>
      <c r="G785" s="0" t="n">
        <f aca="false">-1+C785*0.25</f>
        <v>0.25</v>
      </c>
      <c r="H785" s="0" t="n">
        <f aca="false">-1+D785*0.25</f>
        <v>0.5</v>
      </c>
      <c r="I785" s="0" t="n">
        <f aca="false">1</f>
        <v>1</v>
      </c>
      <c r="J785" s="0" t="n">
        <f aca="false">E785</f>
        <v>-0.75</v>
      </c>
      <c r="K785" s="0" t="n">
        <f aca="false">F785</f>
        <v>-1</v>
      </c>
      <c r="L785" s="0" t="n">
        <f aca="false">G785</f>
        <v>0.25</v>
      </c>
      <c r="M785" s="0" t="n">
        <f aca="false">H785</f>
        <v>0.5</v>
      </c>
      <c r="N785" s="0" t="n">
        <f aca="false">E785*F785</f>
        <v>0.75</v>
      </c>
      <c r="O785" s="0" t="n">
        <f aca="false">E785*G785</f>
        <v>-0.1875</v>
      </c>
      <c r="P785" s="0" t="n">
        <f aca="false">E785*H785</f>
        <v>-0.375</v>
      </c>
      <c r="Q785" s="0" t="n">
        <f aca="false">F785*G785</f>
        <v>-0.25</v>
      </c>
      <c r="R785" s="0" t="n">
        <f aca="false">F785*H785</f>
        <v>-0.5</v>
      </c>
      <c r="S785" s="0" t="n">
        <f aca="false">G785*H785</f>
        <v>0.125</v>
      </c>
      <c r="T785" s="0" t="n">
        <f aca="false">E785*E785</f>
        <v>0.5625</v>
      </c>
      <c r="U785" s="0" t="n">
        <f aca="false">F785*F785</f>
        <v>1</v>
      </c>
      <c r="V785" s="0" t="n">
        <f aca="false">G785*G785</f>
        <v>0.0625</v>
      </c>
      <c r="W785" s="0" t="n">
        <f aca="false">H785*H785</f>
        <v>0.25</v>
      </c>
      <c r="X785" s="0" t="n">
        <f aca="false">SUMPRODUCT(I785:W785,_XtX!$B$96:$P$96)</f>
        <v>41.5673519736842</v>
      </c>
      <c r="Y785" s="0" t="n">
        <f aca="false">SUMPRODUCT(MMULT(I785:W785,_XtX!$B$78:$P$92),I785:W785)</f>
        <v>0.459125719572369</v>
      </c>
      <c r="Z785" s="0" t="n">
        <f aca="false">04_回帰ANOVA!$K$19*04_回帰ANOVA!$K$14*SQRT(1+Y785)</f>
        <v>1.57450755575573</v>
      </c>
      <c r="AA785" s="0" t="n">
        <f aca="false">X785-Z785</f>
        <v>39.9928444179285</v>
      </c>
      <c r="AB785" s="0" t="n">
        <f aca="false">X785+Z785</f>
        <v>43.1418595294399</v>
      </c>
      <c r="AC785" s="54" t="b">
        <f aca="false">AND(E785&gt;=01_因子設定!$L$5-0.000000001,E785&lt;=01_因子設定!$M$5+0.000000001,F785&gt;=01_因子設定!$L$6-0.000000001,F785&lt;=01_因子設定!$M$6+0.000000001,G785&gt;=01_因子設定!$L$7-0.000000001,G785&lt;=01_因子設定!$M$7+0.000000001,H785&gt;=01_因子設定!$L$8-0.000000001,H785&lt;=01_因子設定!$M$8+0.000000001,IF(01_因子設定!$B$20="Box-Behnken",E785^2+F785^2+G785^2+H785^2&lt;=2+0.000000001,TRUE()))</f>
        <v>1</v>
      </c>
      <c r="AD785" s="55" t="n">
        <f aca="false">IF(AC785,IF(01_因子設定!$B$13="最大化",AA785-01_因子設定!$B$14,IF(01_因子設定!$B$13="最小化",01_因子設定!$B$15-AB785,MIN(AA785-01_因子設定!$B$14,01_因子設定!$B$15-AB785))),-1E+030)</f>
        <v>-6.50715558207153</v>
      </c>
      <c r="AE785" s="55" t="n">
        <f aca="false">IF(AC785,IF(01_因子設定!$B$13="最大化",X785,IF(01_因子設定!$B$13="最小化",-X785,-ABS(X785-01_因子設定!$B$16))),-1E+030)</f>
        <v>41.5673519736842</v>
      </c>
      <c r="AF785" s="55" t="n">
        <f aca="false">AD785+ROW()*0.000000001</f>
        <v>-6.50715479707153</v>
      </c>
      <c r="AG785" s="55" t="n">
        <f aca="false">AE785+ROW()*0.000000001</f>
        <v>41.5673527586842</v>
      </c>
    </row>
    <row r="786" customFormat="false" ht="15" hidden="false" customHeight="false" outlineLevel="0" collapsed="false">
      <c r="A786" s="0" t="n">
        <v>1</v>
      </c>
      <c r="B786" s="0" t="n">
        <v>0</v>
      </c>
      <c r="C786" s="0" t="n">
        <v>5</v>
      </c>
      <c r="D786" s="0" t="n">
        <v>7</v>
      </c>
      <c r="E786" s="0" t="n">
        <f aca="false">-1+A786*0.25</f>
        <v>-0.75</v>
      </c>
      <c r="F786" s="0" t="n">
        <f aca="false">-1+B786*0.25</f>
        <v>-1</v>
      </c>
      <c r="G786" s="0" t="n">
        <f aca="false">-1+C786*0.25</f>
        <v>0.25</v>
      </c>
      <c r="H786" s="0" t="n">
        <f aca="false">-1+D786*0.25</f>
        <v>0.75</v>
      </c>
      <c r="I786" s="0" t="n">
        <f aca="false">1</f>
        <v>1</v>
      </c>
      <c r="J786" s="0" t="n">
        <f aca="false">E786</f>
        <v>-0.75</v>
      </c>
      <c r="K786" s="0" t="n">
        <f aca="false">F786</f>
        <v>-1</v>
      </c>
      <c r="L786" s="0" t="n">
        <f aca="false">G786</f>
        <v>0.25</v>
      </c>
      <c r="M786" s="0" t="n">
        <f aca="false">H786</f>
        <v>0.75</v>
      </c>
      <c r="N786" s="0" t="n">
        <f aca="false">E786*F786</f>
        <v>0.75</v>
      </c>
      <c r="O786" s="0" t="n">
        <f aca="false">E786*G786</f>
        <v>-0.1875</v>
      </c>
      <c r="P786" s="0" t="n">
        <f aca="false">E786*H786</f>
        <v>-0.5625</v>
      </c>
      <c r="Q786" s="0" t="n">
        <f aca="false">F786*G786</f>
        <v>-0.25</v>
      </c>
      <c r="R786" s="0" t="n">
        <f aca="false">F786*H786</f>
        <v>-0.75</v>
      </c>
      <c r="S786" s="0" t="n">
        <f aca="false">G786*H786</f>
        <v>0.1875</v>
      </c>
      <c r="T786" s="0" t="n">
        <f aca="false">E786*E786</f>
        <v>0.5625</v>
      </c>
      <c r="U786" s="0" t="n">
        <f aca="false">F786*F786</f>
        <v>1</v>
      </c>
      <c r="V786" s="0" t="n">
        <f aca="false">G786*G786</f>
        <v>0.0625</v>
      </c>
      <c r="W786" s="0" t="n">
        <f aca="false">H786*H786</f>
        <v>0.5625</v>
      </c>
      <c r="X786" s="0" t="n">
        <f aca="false">SUMPRODUCT(I786:W786,_XtX!$B$96:$P$96)</f>
        <v>41.5968795687135</v>
      </c>
      <c r="Y786" s="0" t="n">
        <f aca="false">SUMPRODUCT(MMULT(I786:W786,_XtX!$B$78:$P$92),I786:W786)</f>
        <v>0.473959761056287</v>
      </c>
      <c r="Z786" s="0" t="n">
        <f aca="false">04_回帰ANOVA!$K$19*04_回帰ANOVA!$K$14*SQRT(1+Y786)</f>
        <v>1.58249084588329</v>
      </c>
      <c r="AA786" s="0" t="n">
        <f aca="false">X786-Z786</f>
        <v>40.0143887228302</v>
      </c>
      <c r="AB786" s="0" t="n">
        <f aca="false">X786+Z786</f>
        <v>43.1793704145967</v>
      </c>
      <c r="AC786" s="54" t="b">
        <f aca="false">AND(E786&gt;=01_因子設定!$L$5-0.000000001,E786&lt;=01_因子設定!$M$5+0.000000001,F786&gt;=01_因子設定!$L$6-0.000000001,F786&lt;=01_因子設定!$M$6+0.000000001,G786&gt;=01_因子設定!$L$7-0.000000001,G786&lt;=01_因子設定!$M$7+0.000000001,H786&gt;=01_因子設定!$L$8-0.000000001,H786&lt;=01_因子設定!$M$8+0.000000001,IF(01_因子設定!$B$20="Box-Behnken",E786^2+F786^2+G786^2+H786^2&lt;=2+0.000000001,TRUE()))</f>
        <v>1</v>
      </c>
      <c r="AD786" s="55" t="n">
        <f aca="false">IF(AC786,IF(01_因子設定!$B$13="最大化",AA786-01_因子設定!$B$14,IF(01_因子設定!$B$13="最小化",01_因子設定!$B$15-AB786,MIN(AA786-01_因子設定!$B$14,01_因子設定!$B$15-AB786))),-1E+030)</f>
        <v>-6.48561127716983</v>
      </c>
      <c r="AE786" s="55" t="n">
        <f aca="false">IF(AC786,IF(01_因子設定!$B$13="最大化",X786,IF(01_因子設定!$B$13="最小化",-X786,-ABS(X786-01_因子設定!$B$16))),-1E+030)</f>
        <v>41.5968795687135</v>
      </c>
      <c r="AF786" s="55" t="n">
        <f aca="false">AD786+ROW()*0.000000001</f>
        <v>-6.48561049116983</v>
      </c>
      <c r="AG786" s="55" t="n">
        <f aca="false">AE786+ROW()*0.000000001</f>
        <v>41.5968803547135</v>
      </c>
    </row>
    <row r="787" customFormat="false" ht="15" hidden="false" customHeight="false" outlineLevel="0" collapsed="false">
      <c r="A787" s="0" t="n">
        <v>1</v>
      </c>
      <c r="B787" s="0" t="n">
        <v>0</v>
      </c>
      <c r="C787" s="0" t="n">
        <v>5</v>
      </c>
      <c r="D787" s="0" t="n">
        <v>8</v>
      </c>
      <c r="E787" s="0" t="n">
        <f aca="false">-1+A787*0.25</f>
        <v>-0.75</v>
      </c>
      <c r="F787" s="0" t="n">
        <f aca="false">-1+B787*0.25</f>
        <v>-1</v>
      </c>
      <c r="G787" s="0" t="n">
        <f aca="false">-1+C787*0.25</f>
        <v>0.25</v>
      </c>
      <c r="H787" s="0" t="n">
        <f aca="false">-1+D787*0.25</f>
        <v>1</v>
      </c>
      <c r="I787" s="0" t="n">
        <f aca="false">1</f>
        <v>1</v>
      </c>
      <c r="J787" s="0" t="n">
        <f aca="false">E787</f>
        <v>-0.75</v>
      </c>
      <c r="K787" s="0" t="n">
        <f aca="false">F787</f>
        <v>-1</v>
      </c>
      <c r="L787" s="0" t="n">
        <f aca="false">G787</f>
        <v>0.25</v>
      </c>
      <c r="M787" s="0" t="n">
        <f aca="false">H787</f>
        <v>1</v>
      </c>
      <c r="N787" s="0" t="n">
        <f aca="false">E787*F787</f>
        <v>0.75</v>
      </c>
      <c r="O787" s="0" t="n">
        <f aca="false">E787*G787</f>
        <v>-0.1875</v>
      </c>
      <c r="P787" s="0" t="n">
        <f aca="false">E787*H787</f>
        <v>-0.75</v>
      </c>
      <c r="Q787" s="0" t="n">
        <f aca="false">F787*G787</f>
        <v>-0.25</v>
      </c>
      <c r="R787" s="0" t="n">
        <f aca="false">F787*H787</f>
        <v>-1</v>
      </c>
      <c r="S787" s="0" t="n">
        <f aca="false">G787*H787</f>
        <v>0.25</v>
      </c>
      <c r="T787" s="0" t="n">
        <f aca="false">E787*E787</f>
        <v>0.5625</v>
      </c>
      <c r="U787" s="0" t="n">
        <f aca="false">F787*F787</f>
        <v>1</v>
      </c>
      <c r="V787" s="0" t="n">
        <f aca="false">G787*G787</f>
        <v>0.0625</v>
      </c>
      <c r="W787" s="0" t="n">
        <f aca="false">H787*H787</f>
        <v>1</v>
      </c>
      <c r="X787" s="0" t="n">
        <f aca="false">SUMPRODUCT(I787:W787,_XtX!$B$96:$P$96)</f>
        <v>41.5786001461989</v>
      </c>
      <c r="Y787" s="0" t="n">
        <f aca="false">SUMPRODUCT(MMULT(I787:W787,_XtX!$B$78:$P$92),I787:W787)</f>
        <v>0.621372155975877</v>
      </c>
      <c r="Z787" s="0" t="n">
        <f aca="false">04_回帰ANOVA!$K$19*04_回帰ANOVA!$K$14*SQRT(1+Y787)</f>
        <v>1.65973880499872</v>
      </c>
      <c r="AA787" s="0" t="n">
        <f aca="false">X787-Z787</f>
        <v>39.9188613412001</v>
      </c>
      <c r="AB787" s="0" t="n">
        <f aca="false">X787+Z787</f>
        <v>43.2383389511976</v>
      </c>
      <c r="AC787" s="54" t="b">
        <f aca="false">AND(E787&gt;=01_因子設定!$L$5-0.000000001,E787&lt;=01_因子設定!$M$5+0.000000001,F787&gt;=01_因子設定!$L$6-0.000000001,F787&lt;=01_因子設定!$M$6+0.000000001,G787&gt;=01_因子設定!$L$7-0.000000001,G787&lt;=01_因子設定!$M$7+0.000000001,H787&gt;=01_因子設定!$L$8-0.000000001,H787&lt;=01_因子設定!$M$8+0.000000001,IF(01_因子設定!$B$20="Box-Behnken",E787^2+F787^2+G787^2+H787^2&lt;=2+0.000000001,TRUE()))</f>
        <v>1</v>
      </c>
      <c r="AD787" s="55" t="n">
        <f aca="false">IF(AC787,IF(01_因子設定!$B$13="最大化",AA787-01_因子設定!$B$14,IF(01_因子設定!$B$13="最小化",01_因子設定!$B$15-AB787,MIN(AA787-01_因子設定!$B$14,01_因子設定!$B$15-AB787))),-1E+030)</f>
        <v>-6.58113865879987</v>
      </c>
      <c r="AE787" s="55" t="n">
        <f aca="false">IF(AC787,IF(01_因子設定!$B$13="最大化",X787,IF(01_因子設定!$B$13="最小化",-X787,-ABS(X787-01_因子設定!$B$16))),-1E+030)</f>
        <v>41.5786001461989</v>
      </c>
      <c r="AF787" s="55" t="n">
        <f aca="false">AD787+ROW()*0.000000001</f>
        <v>-6.58113787179987</v>
      </c>
      <c r="AG787" s="55" t="n">
        <f aca="false">AE787+ROW()*0.000000001</f>
        <v>41.5786009331989</v>
      </c>
    </row>
    <row r="788" customFormat="false" ht="15" hidden="false" customHeight="false" outlineLevel="0" collapsed="false">
      <c r="A788" s="0" t="n">
        <v>1</v>
      </c>
      <c r="B788" s="0" t="n">
        <v>0</v>
      </c>
      <c r="C788" s="0" t="n">
        <v>6</v>
      </c>
      <c r="D788" s="0" t="n">
        <v>0</v>
      </c>
      <c r="E788" s="0" t="n">
        <f aca="false">-1+A788*0.25</f>
        <v>-0.75</v>
      </c>
      <c r="F788" s="0" t="n">
        <f aca="false">-1+B788*0.25</f>
        <v>-1</v>
      </c>
      <c r="G788" s="0" t="n">
        <f aca="false">-1+C788*0.25</f>
        <v>0.5</v>
      </c>
      <c r="H788" s="0" t="n">
        <f aca="false">-1+D788*0.25</f>
        <v>-1</v>
      </c>
      <c r="I788" s="0" t="n">
        <f aca="false">1</f>
        <v>1</v>
      </c>
      <c r="J788" s="0" t="n">
        <f aca="false">E788</f>
        <v>-0.75</v>
      </c>
      <c r="K788" s="0" t="n">
        <f aca="false">F788</f>
        <v>-1</v>
      </c>
      <c r="L788" s="0" t="n">
        <f aca="false">G788</f>
        <v>0.5</v>
      </c>
      <c r="M788" s="0" t="n">
        <f aca="false">H788</f>
        <v>-1</v>
      </c>
      <c r="N788" s="0" t="n">
        <f aca="false">E788*F788</f>
        <v>0.75</v>
      </c>
      <c r="O788" s="0" t="n">
        <f aca="false">E788*G788</f>
        <v>-0.375</v>
      </c>
      <c r="P788" s="0" t="n">
        <f aca="false">E788*H788</f>
        <v>0.75</v>
      </c>
      <c r="Q788" s="0" t="n">
        <f aca="false">F788*G788</f>
        <v>-0.5</v>
      </c>
      <c r="R788" s="0" t="n">
        <f aca="false">F788*H788</f>
        <v>1</v>
      </c>
      <c r="S788" s="0" t="n">
        <f aca="false">G788*H788</f>
        <v>-0.5</v>
      </c>
      <c r="T788" s="0" t="n">
        <f aca="false">E788*E788</f>
        <v>0.5625</v>
      </c>
      <c r="U788" s="0" t="n">
        <f aca="false">F788*F788</f>
        <v>1</v>
      </c>
      <c r="V788" s="0" t="n">
        <f aca="false">G788*G788</f>
        <v>0.25</v>
      </c>
      <c r="W788" s="0" t="n">
        <f aca="false">H788*H788</f>
        <v>1</v>
      </c>
      <c r="X788" s="0" t="n">
        <f aca="false">SUMPRODUCT(I788:W788,_XtX!$B$96:$P$96)</f>
        <v>40.4759868421053</v>
      </c>
      <c r="Y788" s="0" t="n">
        <f aca="false">SUMPRODUCT(MMULT(I788:W788,_XtX!$B$78:$P$92),I788:W788)</f>
        <v>0.564984237938597</v>
      </c>
      <c r="Z788" s="0" t="n">
        <f aca="false">04_回帰ANOVA!$K$19*04_回帰ANOVA!$K$14*SQRT(1+Y788)</f>
        <v>1.63062229734503</v>
      </c>
      <c r="AA788" s="0" t="n">
        <f aca="false">X788-Z788</f>
        <v>38.8453645447603</v>
      </c>
      <c r="AB788" s="0" t="n">
        <f aca="false">X788+Z788</f>
        <v>42.1066091394503</v>
      </c>
      <c r="AC788" s="54" t="b">
        <f aca="false">AND(E788&gt;=01_因子設定!$L$5-0.000000001,E788&lt;=01_因子設定!$M$5+0.000000001,F788&gt;=01_因子設定!$L$6-0.000000001,F788&lt;=01_因子設定!$M$6+0.000000001,G788&gt;=01_因子設定!$L$7-0.000000001,G788&lt;=01_因子設定!$M$7+0.000000001,H788&gt;=01_因子設定!$L$8-0.000000001,H788&lt;=01_因子設定!$M$8+0.000000001,IF(01_因子設定!$B$20="Box-Behnken",E788^2+F788^2+G788^2+H788^2&lt;=2+0.000000001,TRUE()))</f>
        <v>1</v>
      </c>
      <c r="AD788" s="55" t="n">
        <f aca="false">IF(AC788,IF(01_因子設定!$B$13="最大化",AA788-01_因子設定!$B$14,IF(01_因子設定!$B$13="最小化",01_因子設定!$B$15-AB788,MIN(AA788-01_因子設定!$B$14,01_因子設定!$B$15-AB788))),-1E+030)</f>
        <v>-7.65463545523975</v>
      </c>
      <c r="AE788" s="55" t="n">
        <f aca="false">IF(AC788,IF(01_因子設定!$B$13="最大化",X788,IF(01_因子設定!$B$13="最小化",-X788,-ABS(X788-01_因子設定!$B$16))),-1E+030)</f>
        <v>40.4759868421053</v>
      </c>
      <c r="AF788" s="55" t="n">
        <f aca="false">AD788+ROW()*0.000000001</f>
        <v>-7.65463466723975</v>
      </c>
      <c r="AG788" s="55" t="n">
        <f aca="false">AE788+ROW()*0.000000001</f>
        <v>40.4759876301053</v>
      </c>
    </row>
    <row r="789" customFormat="false" ht="15" hidden="false" customHeight="false" outlineLevel="0" collapsed="false">
      <c r="A789" s="0" t="n">
        <v>1</v>
      </c>
      <c r="B789" s="0" t="n">
        <v>0</v>
      </c>
      <c r="C789" s="0" t="n">
        <v>6</v>
      </c>
      <c r="D789" s="0" t="n">
        <v>1</v>
      </c>
      <c r="E789" s="0" t="n">
        <f aca="false">-1+A789*0.25</f>
        <v>-0.75</v>
      </c>
      <c r="F789" s="0" t="n">
        <f aca="false">-1+B789*0.25</f>
        <v>-1</v>
      </c>
      <c r="G789" s="0" t="n">
        <f aca="false">-1+C789*0.25</f>
        <v>0.5</v>
      </c>
      <c r="H789" s="0" t="n">
        <f aca="false">-1+D789*0.25</f>
        <v>-0.75</v>
      </c>
      <c r="I789" s="0" t="n">
        <f aca="false">1</f>
        <v>1</v>
      </c>
      <c r="J789" s="0" t="n">
        <f aca="false">E789</f>
        <v>-0.75</v>
      </c>
      <c r="K789" s="0" t="n">
        <f aca="false">F789</f>
        <v>-1</v>
      </c>
      <c r="L789" s="0" t="n">
        <f aca="false">G789</f>
        <v>0.5</v>
      </c>
      <c r="M789" s="0" t="n">
        <f aca="false">H789</f>
        <v>-0.75</v>
      </c>
      <c r="N789" s="0" t="n">
        <f aca="false">E789*F789</f>
        <v>0.75</v>
      </c>
      <c r="O789" s="0" t="n">
        <f aca="false">E789*G789</f>
        <v>-0.375</v>
      </c>
      <c r="P789" s="0" t="n">
        <f aca="false">E789*H789</f>
        <v>0.5625</v>
      </c>
      <c r="Q789" s="0" t="n">
        <f aca="false">F789*G789</f>
        <v>-0.5</v>
      </c>
      <c r="R789" s="0" t="n">
        <f aca="false">F789*H789</f>
        <v>0.75</v>
      </c>
      <c r="S789" s="0" t="n">
        <f aca="false">G789*H789</f>
        <v>-0.375</v>
      </c>
      <c r="T789" s="0" t="n">
        <f aca="false">E789*E789</f>
        <v>0.5625</v>
      </c>
      <c r="U789" s="0" t="n">
        <f aca="false">F789*F789</f>
        <v>1</v>
      </c>
      <c r="V789" s="0" t="n">
        <f aca="false">G789*G789</f>
        <v>0.25</v>
      </c>
      <c r="W789" s="0" t="n">
        <f aca="false">H789*H789</f>
        <v>0.5625</v>
      </c>
      <c r="X789" s="0" t="n">
        <f aca="false">SUMPRODUCT(I789:W789,_XtX!$B$96:$P$96)</f>
        <v>40.8103252923977</v>
      </c>
      <c r="Y789" s="0" t="n">
        <f aca="false">SUMPRODUCT(MMULT(I789:W789,_XtX!$B$78:$P$92),I789:W789)</f>
        <v>0.431153771472953</v>
      </c>
      <c r="Z789" s="0" t="n">
        <f aca="false">04_回帰ANOVA!$K$19*04_回帰ANOVA!$K$14*SQRT(1+Y789)</f>
        <v>1.55934259562563</v>
      </c>
      <c r="AA789" s="0" t="n">
        <f aca="false">X789-Z789</f>
        <v>39.250982696772</v>
      </c>
      <c r="AB789" s="0" t="n">
        <f aca="false">X789+Z789</f>
        <v>42.3696678880233</v>
      </c>
      <c r="AC789" s="54" t="b">
        <f aca="false">AND(E789&gt;=01_因子設定!$L$5-0.000000001,E789&lt;=01_因子設定!$M$5+0.000000001,F789&gt;=01_因子設定!$L$6-0.000000001,F789&lt;=01_因子設定!$M$6+0.000000001,G789&gt;=01_因子設定!$L$7-0.000000001,G789&lt;=01_因子設定!$M$7+0.000000001,H789&gt;=01_因子設定!$L$8-0.000000001,H789&lt;=01_因子設定!$M$8+0.000000001,IF(01_因子設定!$B$20="Box-Behnken",E789^2+F789^2+G789^2+H789^2&lt;=2+0.000000001,TRUE()))</f>
        <v>1</v>
      </c>
      <c r="AD789" s="55" t="n">
        <f aca="false">IF(AC789,IF(01_因子設定!$B$13="最大化",AA789-01_因子設定!$B$14,IF(01_因子設定!$B$13="最小化",01_因子設定!$B$15-AB789,MIN(AA789-01_因子設定!$B$14,01_因子設定!$B$15-AB789))),-1E+030)</f>
        <v>-7.24901730322796</v>
      </c>
      <c r="AE789" s="55" t="n">
        <f aca="false">IF(AC789,IF(01_因子設定!$B$13="最大化",X789,IF(01_因子設定!$B$13="最小化",-X789,-ABS(X789-01_因子設定!$B$16))),-1E+030)</f>
        <v>40.8103252923977</v>
      </c>
      <c r="AF789" s="55" t="n">
        <f aca="false">AD789+ROW()*0.000000001</f>
        <v>-7.24901651422796</v>
      </c>
      <c r="AG789" s="55" t="n">
        <f aca="false">AE789+ROW()*0.000000001</f>
        <v>40.8103260813977</v>
      </c>
    </row>
    <row r="790" customFormat="false" ht="15" hidden="false" customHeight="false" outlineLevel="0" collapsed="false">
      <c r="A790" s="0" t="n">
        <v>1</v>
      </c>
      <c r="B790" s="0" t="n">
        <v>0</v>
      </c>
      <c r="C790" s="0" t="n">
        <v>6</v>
      </c>
      <c r="D790" s="0" t="n">
        <v>2</v>
      </c>
      <c r="E790" s="0" t="n">
        <f aca="false">-1+A790*0.25</f>
        <v>-0.75</v>
      </c>
      <c r="F790" s="0" t="n">
        <f aca="false">-1+B790*0.25</f>
        <v>-1</v>
      </c>
      <c r="G790" s="0" t="n">
        <f aca="false">-1+C790*0.25</f>
        <v>0.5</v>
      </c>
      <c r="H790" s="0" t="n">
        <f aca="false">-1+D790*0.25</f>
        <v>-0.5</v>
      </c>
      <c r="I790" s="0" t="n">
        <f aca="false">1</f>
        <v>1</v>
      </c>
      <c r="J790" s="0" t="n">
        <f aca="false">E790</f>
        <v>-0.75</v>
      </c>
      <c r="K790" s="0" t="n">
        <f aca="false">F790</f>
        <v>-1</v>
      </c>
      <c r="L790" s="0" t="n">
        <f aca="false">G790</f>
        <v>0.5</v>
      </c>
      <c r="M790" s="0" t="n">
        <f aca="false">H790</f>
        <v>-0.5</v>
      </c>
      <c r="N790" s="0" t="n">
        <f aca="false">E790*F790</f>
        <v>0.75</v>
      </c>
      <c r="O790" s="0" t="n">
        <f aca="false">E790*G790</f>
        <v>-0.375</v>
      </c>
      <c r="P790" s="0" t="n">
        <f aca="false">E790*H790</f>
        <v>0.375</v>
      </c>
      <c r="Q790" s="0" t="n">
        <f aca="false">F790*G790</f>
        <v>-0.5</v>
      </c>
      <c r="R790" s="0" t="n">
        <f aca="false">F790*H790</f>
        <v>0.5</v>
      </c>
      <c r="S790" s="0" t="n">
        <f aca="false">G790*H790</f>
        <v>-0.25</v>
      </c>
      <c r="T790" s="0" t="n">
        <f aca="false">E790*E790</f>
        <v>0.5625</v>
      </c>
      <c r="U790" s="0" t="n">
        <f aca="false">F790*F790</f>
        <v>1</v>
      </c>
      <c r="V790" s="0" t="n">
        <f aca="false">G790*G790</f>
        <v>0.25</v>
      </c>
      <c r="W790" s="0" t="n">
        <f aca="false">H790*H790</f>
        <v>0.25</v>
      </c>
      <c r="X790" s="0" t="n">
        <f aca="false">SUMPRODUCT(I790:W790,_XtX!$B$96:$P$96)</f>
        <v>41.0968567251462</v>
      </c>
      <c r="Y790" s="0" t="n">
        <f aca="false">SUMPRODUCT(MMULT(I790:W790,_XtX!$B$78:$P$92),I790:W790)</f>
        <v>0.42602110745614</v>
      </c>
      <c r="Z790" s="0" t="n">
        <f aca="false">04_回帰ANOVA!$K$19*04_回帰ANOVA!$K$14*SQRT(1+Y790)</f>
        <v>1.55654388501114</v>
      </c>
      <c r="AA790" s="0" t="n">
        <f aca="false">X790-Z790</f>
        <v>39.5403128401351</v>
      </c>
      <c r="AB790" s="0" t="n">
        <f aca="false">X790+Z790</f>
        <v>42.6534006101573</v>
      </c>
      <c r="AC790" s="54" t="b">
        <f aca="false">AND(E790&gt;=01_因子設定!$L$5-0.000000001,E790&lt;=01_因子設定!$M$5+0.000000001,F790&gt;=01_因子設定!$L$6-0.000000001,F790&lt;=01_因子設定!$M$6+0.000000001,G790&gt;=01_因子設定!$L$7-0.000000001,G790&lt;=01_因子設定!$M$7+0.000000001,H790&gt;=01_因子設定!$L$8-0.000000001,H790&lt;=01_因子設定!$M$8+0.000000001,IF(01_因子設定!$B$20="Box-Behnken",E790^2+F790^2+G790^2+H790^2&lt;=2+0.000000001,TRUE()))</f>
        <v>1</v>
      </c>
      <c r="AD790" s="55" t="n">
        <f aca="false">IF(AC790,IF(01_因子設定!$B$13="最大化",AA790-01_因子設定!$B$14,IF(01_因子設定!$B$13="最小化",01_因子設定!$B$15-AB790,MIN(AA790-01_因子設定!$B$14,01_因子設定!$B$15-AB790))),-1E+030)</f>
        <v>-6.95968715986494</v>
      </c>
      <c r="AE790" s="55" t="n">
        <f aca="false">IF(AC790,IF(01_因子設定!$B$13="最大化",X790,IF(01_因子設定!$B$13="最小化",-X790,-ABS(X790-01_因子設定!$B$16))),-1E+030)</f>
        <v>41.0968567251462</v>
      </c>
      <c r="AF790" s="55" t="n">
        <f aca="false">AD790+ROW()*0.000000001</f>
        <v>-6.95968636986494</v>
      </c>
      <c r="AG790" s="55" t="n">
        <f aca="false">AE790+ROW()*0.000000001</f>
        <v>41.0968575151462</v>
      </c>
    </row>
    <row r="791" customFormat="false" ht="15" hidden="false" customHeight="false" outlineLevel="0" collapsed="false">
      <c r="A791" s="0" t="n">
        <v>1</v>
      </c>
      <c r="B791" s="0" t="n">
        <v>0</v>
      </c>
      <c r="C791" s="0" t="n">
        <v>6</v>
      </c>
      <c r="D791" s="0" t="n">
        <v>3</v>
      </c>
      <c r="E791" s="0" t="n">
        <f aca="false">-1+A791*0.25</f>
        <v>-0.75</v>
      </c>
      <c r="F791" s="0" t="n">
        <f aca="false">-1+B791*0.25</f>
        <v>-1</v>
      </c>
      <c r="G791" s="0" t="n">
        <f aca="false">-1+C791*0.25</f>
        <v>0.5</v>
      </c>
      <c r="H791" s="0" t="n">
        <f aca="false">-1+D791*0.25</f>
        <v>-0.25</v>
      </c>
      <c r="I791" s="0" t="n">
        <f aca="false">1</f>
        <v>1</v>
      </c>
      <c r="J791" s="0" t="n">
        <f aca="false">E791</f>
        <v>-0.75</v>
      </c>
      <c r="K791" s="0" t="n">
        <f aca="false">F791</f>
        <v>-1</v>
      </c>
      <c r="L791" s="0" t="n">
        <f aca="false">G791</f>
        <v>0.5</v>
      </c>
      <c r="M791" s="0" t="n">
        <f aca="false">H791</f>
        <v>-0.25</v>
      </c>
      <c r="N791" s="0" t="n">
        <f aca="false">E791*F791</f>
        <v>0.75</v>
      </c>
      <c r="O791" s="0" t="n">
        <f aca="false">E791*G791</f>
        <v>-0.375</v>
      </c>
      <c r="P791" s="0" t="n">
        <f aca="false">E791*H791</f>
        <v>0.1875</v>
      </c>
      <c r="Q791" s="0" t="n">
        <f aca="false">F791*G791</f>
        <v>-0.5</v>
      </c>
      <c r="R791" s="0" t="n">
        <f aca="false">F791*H791</f>
        <v>0.25</v>
      </c>
      <c r="S791" s="0" t="n">
        <f aca="false">G791*H791</f>
        <v>-0.125</v>
      </c>
      <c r="T791" s="0" t="n">
        <f aca="false">E791*E791</f>
        <v>0.5625</v>
      </c>
      <c r="U791" s="0" t="n">
        <f aca="false">F791*F791</f>
        <v>1</v>
      </c>
      <c r="V791" s="0" t="n">
        <f aca="false">G791*G791</f>
        <v>0.25</v>
      </c>
      <c r="W791" s="0" t="n">
        <f aca="false">H791*H791</f>
        <v>0.0625</v>
      </c>
      <c r="X791" s="0" t="n">
        <f aca="false">SUMPRODUCT(I791:W791,_XtX!$B$96:$P$96)</f>
        <v>41.3355811403509</v>
      </c>
      <c r="Y791" s="0" t="n">
        <f aca="false">SUMPRODUCT(MMULT(I791:W791,_XtX!$B$78:$P$92),I791:W791)</f>
        <v>0.459125719572369</v>
      </c>
      <c r="Z791" s="0" t="n">
        <f aca="false">04_回帰ANOVA!$K$19*04_回帰ANOVA!$K$14*SQRT(1+Y791)</f>
        <v>1.57450755575573</v>
      </c>
      <c r="AA791" s="0" t="n">
        <f aca="false">X791-Z791</f>
        <v>39.7610735845951</v>
      </c>
      <c r="AB791" s="0" t="n">
        <f aca="false">X791+Z791</f>
        <v>42.9100886961066</v>
      </c>
      <c r="AC791" s="54" t="b">
        <f aca="false">AND(E791&gt;=01_因子設定!$L$5-0.000000001,E791&lt;=01_因子設定!$M$5+0.000000001,F791&gt;=01_因子設定!$L$6-0.000000001,F791&lt;=01_因子設定!$M$6+0.000000001,G791&gt;=01_因子設定!$L$7-0.000000001,G791&lt;=01_因子設定!$M$7+0.000000001,H791&gt;=01_因子設定!$L$8-0.000000001,H791&lt;=01_因子設定!$M$8+0.000000001,IF(01_因子設定!$B$20="Box-Behnken",E791^2+F791^2+G791^2+H791^2&lt;=2+0.000000001,TRUE()))</f>
        <v>1</v>
      </c>
      <c r="AD791" s="55" t="n">
        <f aca="false">IF(AC791,IF(01_因子設定!$B$13="最大化",AA791-01_因子設定!$B$14,IF(01_因子設定!$B$13="最小化",01_因子設定!$B$15-AB791,MIN(AA791-01_因子設定!$B$14,01_因子設定!$B$15-AB791))),-1E+030)</f>
        <v>-6.73892641540486</v>
      </c>
      <c r="AE791" s="55" t="n">
        <f aca="false">IF(AC791,IF(01_因子設定!$B$13="最大化",X791,IF(01_因子設定!$B$13="最小化",-X791,-ABS(X791-01_因子設定!$B$16))),-1E+030)</f>
        <v>41.3355811403509</v>
      </c>
      <c r="AF791" s="55" t="n">
        <f aca="false">AD791+ROW()*0.000000001</f>
        <v>-6.73892562440486</v>
      </c>
      <c r="AG791" s="55" t="n">
        <f aca="false">AE791+ROW()*0.000000001</f>
        <v>41.3355819313509</v>
      </c>
    </row>
    <row r="792" customFormat="false" ht="15" hidden="false" customHeight="false" outlineLevel="0" collapsed="false">
      <c r="A792" s="0" t="n">
        <v>1</v>
      </c>
      <c r="B792" s="0" t="n">
        <v>0</v>
      </c>
      <c r="C792" s="0" t="n">
        <v>6</v>
      </c>
      <c r="D792" s="0" t="n">
        <v>4</v>
      </c>
      <c r="E792" s="0" t="n">
        <f aca="false">-1+A792*0.25</f>
        <v>-0.75</v>
      </c>
      <c r="F792" s="0" t="n">
        <f aca="false">-1+B792*0.25</f>
        <v>-1</v>
      </c>
      <c r="G792" s="0" t="n">
        <f aca="false">-1+C792*0.25</f>
        <v>0.5</v>
      </c>
      <c r="H792" s="0" t="n">
        <f aca="false">-1+D792*0.25</f>
        <v>0</v>
      </c>
      <c r="I792" s="0" t="n">
        <f aca="false">1</f>
        <v>1</v>
      </c>
      <c r="J792" s="0" t="n">
        <f aca="false">E792</f>
        <v>-0.75</v>
      </c>
      <c r="K792" s="0" t="n">
        <f aca="false">F792</f>
        <v>-1</v>
      </c>
      <c r="L792" s="0" t="n">
        <f aca="false">G792</f>
        <v>0.5</v>
      </c>
      <c r="M792" s="0" t="n">
        <f aca="false">H792</f>
        <v>0</v>
      </c>
      <c r="N792" s="0" t="n">
        <f aca="false">E792*F792</f>
        <v>0.75</v>
      </c>
      <c r="O792" s="0" t="n">
        <f aca="false">E792*G792</f>
        <v>-0.375</v>
      </c>
      <c r="P792" s="0" t="n">
        <f aca="false">E792*H792</f>
        <v>-0</v>
      </c>
      <c r="Q792" s="0" t="n">
        <f aca="false">F792*G792</f>
        <v>-0.5</v>
      </c>
      <c r="R792" s="0" t="n">
        <f aca="false">F792*H792</f>
        <v>-0</v>
      </c>
      <c r="S792" s="0" t="n">
        <f aca="false">G792*H792</f>
        <v>0</v>
      </c>
      <c r="T792" s="0" t="n">
        <f aca="false">E792*E792</f>
        <v>0.5625</v>
      </c>
      <c r="U792" s="0" t="n">
        <f aca="false">F792*F792</f>
        <v>1</v>
      </c>
      <c r="V792" s="0" t="n">
        <f aca="false">G792*G792</f>
        <v>0.25</v>
      </c>
      <c r="W792" s="0" t="n">
        <f aca="false">H792*H792</f>
        <v>0</v>
      </c>
      <c r="X792" s="0" t="n">
        <f aca="false">SUMPRODUCT(I792:W792,_XtX!$B$96:$P$96)</f>
        <v>41.5264985380117</v>
      </c>
      <c r="Y792" s="0" t="n">
        <f aca="false">SUMPRODUCT(MMULT(I792:W792,_XtX!$B$78:$P$92),I792:W792)</f>
        <v>0.476191292032164</v>
      </c>
      <c r="Z792" s="0" t="n">
        <f aca="false">04_回帰ANOVA!$K$19*04_回帰ANOVA!$K$14*SQRT(1+Y792)</f>
        <v>1.58368831471718</v>
      </c>
      <c r="AA792" s="0" t="n">
        <f aca="false">X792-Z792</f>
        <v>39.9428102232945</v>
      </c>
      <c r="AB792" s="0" t="n">
        <f aca="false">X792+Z792</f>
        <v>43.1101868527289</v>
      </c>
      <c r="AC792" s="54" t="b">
        <f aca="false">AND(E792&gt;=01_因子設定!$L$5-0.000000001,E792&lt;=01_因子設定!$M$5+0.000000001,F792&gt;=01_因子設定!$L$6-0.000000001,F792&lt;=01_因子設定!$M$6+0.000000001,G792&gt;=01_因子設定!$L$7-0.000000001,G792&lt;=01_因子設定!$M$7+0.000000001,H792&gt;=01_因子設定!$L$8-0.000000001,H792&lt;=01_因子設定!$M$8+0.000000001,IF(01_因子設定!$B$20="Box-Behnken",E792^2+F792^2+G792^2+H792^2&lt;=2+0.000000001,TRUE()))</f>
        <v>1</v>
      </c>
      <c r="AD792" s="55" t="n">
        <f aca="false">IF(AC792,IF(01_因子設定!$B$13="最大化",AA792-01_因子設定!$B$14,IF(01_因子設定!$B$13="最小化",01_因子設定!$B$15-AB792,MIN(AA792-01_因子設定!$B$14,01_因子設定!$B$15-AB792))),-1E+030)</f>
        <v>-6.5571897767055</v>
      </c>
      <c r="AE792" s="55" t="n">
        <f aca="false">IF(AC792,IF(01_因子設定!$B$13="最大化",X792,IF(01_因子設定!$B$13="最小化",-X792,-ABS(X792-01_因子設定!$B$16))),-1E+030)</f>
        <v>41.5264985380117</v>
      </c>
      <c r="AF792" s="55" t="n">
        <f aca="false">AD792+ROW()*0.000000001</f>
        <v>-6.5571889847055</v>
      </c>
      <c r="AG792" s="55" t="n">
        <f aca="false">AE792+ROW()*0.000000001</f>
        <v>41.5264993300117</v>
      </c>
    </row>
    <row r="793" customFormat="false" ht="15" hidden="false" customHeight="false" outlineLevel="0" collapsed="false">
      <c r="A793" s="0" t="n">
        <v>1</v>
      </c>
      <c r="B793" s="0" t="n">
        <v>0</v>
      </c>
      <c r="C793" s="0" t="n">
        <v>6</v>
      </c>
      <c r="D793" s="0" t="n">
        <v>5</v>
      </c>
      <c r="E793" s="0" t="n">
        <f aca="false">-1+A793*0.25</f>
        <v>-0.75</v>
      </c>
      <c r="F793" s="0" t="n">
        <f aca="false">-1+B793*0.25</f>
        <v>-1</v>
      </c>
      <c r="G793" s="0" t="n">
        <f aca="false">-1+C793*0.25</f>
        <v>0.5</v>
      </c>
      <c r="H793" s="0" t="n">
        <f aca="false">-1+D793*0.25</f>
        <v>0.25</v>
      </c>
      <c r="I793" s="0" t="n">
        <f aca="false">1</f>
        <v>1</v>
      </c>
      <c r="J793" s="0" t="n">
        <f aca="false">E793</f>
        <v>-0.75</v>
      </c>
      <c r="K793" s="0" t="n">
        <f aca="false">F793</f>
        <v>-1</v>
      </c>
      <c r="L793" s="0" t="n">
        <f aca="false">G793</f>
        <v>0.5</v>
      </c>
      <c r="M793" s="0" t="n">
        <f aca="false">H793</f>
        <v>0.25</v>
      </c>
      <c r="N793" s="0" t="n">
        <f aca="false">E793*F793</f>
        <v>0.75</v>
      </c>
      <c r="O793" s="0" t="n">
        <f aca="false">E793*G793</f>
        <v>-0.375</v>
      </c>
      <c r="P793" s="0" t="n">
        <f aca="false">E793*H793</f>
        <v>-0.1875</v>
      </c>
      <c r="Q793" s="0" t="n">
        <f aca="false">F793*G793</f>
        <v>-0.5</v>
      </c>
      <c r="R793" s="0" t="n">
        <f aca="false">F793*H793</f>
        <v>-0.25</v>
      </c>
      <c r="S793" s="0" t="n">
        <f aca="false">G793*H793</f>
        <v>0.125</v>
      </c>
      <c r="T793" s="0" t="n">
        <f aca="false">E793*E793</f>
        <v>0.5625</v>
      </c>
      <c r="U793" s="0" t="n">
        <f aca="false">F793*F793</f>
        <v>1</v>
      </c>
      <c r="V793" s="0" t="n">
        <f aca="false">G793*G793</f>
        <v>0.25</v>
      </c>
      <c r="W793" s="0" t="n">
        <f aca="false">H793*H793</f>
        <v>0.0625</v>
      </c>
      <c r="X793" s="0" t="n">
        <f aca="false">SUMPRODUCT(I793:W793,_XtX!$B$96:$P$96)</f>
        <v>41.6696089181286</v>
      </c>
      <c r="Y793" s="0" t="n">
        <f aca="false">SUMPRODUCT(MMULT(I793:W793,_XtX!$B$78:$P$92),I793:W793)</f>
        <v>0.459125719572369</v>
      </c>
      <c r="Z793" s="0" t="n">
        <f aca="false">04_回帰ANOVA!$K$19*04_回帰ANOVA!$K$14*SQRT(1+Y793)</f>
        <v>1.57450755575573</v>
      </c>
      <c r="AA793" s="0" t="n">
        <f aca="false">X793-Z793</f>
        <v>40.0951013623729</v>
      </c>
      <c r="AB793" s="0" t="n">
        <f aca="false">X793+Z793</f>
        <v>43.2441164738844</v>
      </c>
      <c r="AC793" s="54" t="b">
        <f aca="false">AND(E793&gt;=01_因子設定!$L$5-0.000000001,E793&lt;=01_因子設定!$M$5+0.000000001,F793&gt;=01_因子設定!$L$6-0.000000001,F793&lt;=01_因子設定!$M$6+0.000000001,G793&gt;=01_因子設定!$L$7-0.000000001,G793&lt;=01_因子設定!$M$7+0.000000001,H793&gt;=01_因子設定!$L$8-0.000000001,H793&lt;=01_因子設定!$M$8+0.000000001,IF(01_因子設定!$B$20="Box-Behnken",E793^2+F793^2+G793^2+H793^2&lt;=2+0.000000001,TRUE()))</f>
        <v>1</v>
      </c>
      <c r="AD793" s="55" t="n">
        <f aca="false">IF(AC793,IF(01_因子設定!$B$13="最大化",AA793-01_因子設定!$B$14,IF(01_因子設定!$B$13="最小化",01_因子設定!$B$15-AB793,MIN(AA793-01_因子設定!$B$14,01_因子設定!$B$15-AB793))),-1E+030)</f>
        <v>-6.40489863762709</v>
      </c>
      <c r="AE793" s="55" t="n">
        <f aca="false">IF(AC793,IF(01_因子設定!$B$13="最大化",X793,IF(01_因子設定!$B$13="最小化",-X793,-ABS(X793-01_因子設定!$B$16))),-1E+030)</f>
        <v>41.6696089181286</v>
      </c>
      <c r="AF793" s="55" t="n">
        <f aca="false">AD793+ROW()*0.000000001</f>
        <v>-6.40489784462709</v>
      </c>
      <c r="AG793" s="55" t="n">
        <f aca="false">AE793+ROW()*0.000000001</f>
        <v>41.6696097111286</v>
      </c>
    </row>
    <row r="794" customFormat="false" ht="15" hidden="false" customHeight="false" outlineLevel="0" collapsed="false">
      <c r="A794" s="0" t="n">
        <v>1</v>
      </c>
      <c r="B794" s="0" t="n">
        <v>0</v>
      </c>
      <c r="C794" s="0" t="n">
        <v>6</v>
      </c>
      <c r="D794" s="0" t="n">
        <v>6</v>
      </c>
      <c r="E794" s="0" t="n">
        <f aca="false">-1+A794*0.25</f>
        <v>-0.75</v>
      </c>
      <c r="F794" s="0" t="n">
        <f aca="false">-1+B794*0.25</f>
        <v>-1</v>
      </c>
      <c r="G794" s="0" t="n">
        <f aca="false">-1+C794*0.25</f>
        <v>0.5</v>
      </c>
      <c r="H794" s="0" t="n">
        <f aca="false">-1+D794*0.25</f>
        <v>0.5</v>
      </c>
      <c r="I794" s="0" t="n">
        <f aca="false">1</f>
        <v>1</v>
      </c>
      <c r="J794" s="0" t="n">
        <f aca="false">E794</f>
        <v>-0.75</v>
      </c>
      <c r="K794" s="0" t="n">
        <f aca="false">F794</f>
        <v>-1</v>
      </c>
      <c r="L794" s="0" t="n">
        <f aca="false">G794</f>
        <v>0.5</v>
      </c>
      <c r="M794" s="0" t="n">
        <f aca="false">H794</f>
        <v>0.5</v>
      </c>
      <c r="N794" s="0" t="n">
        <f aca="false">E794*F794</f>
        <v>0.75</v>
      </c>
      <c r="O794" s="0" t="n">
        <f aca="false">E794*G794</f>
        <v>-0.375</v>
      </c>
      <c r="P794" s="0" t="n">
        <f aca="false">E794*H794</f>
        <v>-0.375</v>
      </c>
      <c r="Q794" s="0" t="n">
        <f aca="false">F794*G794</f>
        <v>-0.5</v>
      </c>
      <c r="R794" s="0" t="n">
        <f aca="false">F794*H794</f>
        <v>-0.5</v>
      </c>
      <c r="S794" s="0" t="n">
        <f aca="false">G794*H794</f>
        <v>0.25</v>
      </c>
      <c r="T794" s="0" t="n">
        <f aca="false">E794*E794</f>
        <v>0.5625</v>
      </c>
      <c r="U794" s="0" t="n">
        <f aca="false">F794*F794</f>
        <v>1</v>
      </c>
      <c r="V794" s="0" t="n">
        <f aca="false">G794*G794</f>
        <v>0.25</v>
      </c>
      <c r="W794" s="0" t="n">
        <f aca="false">H794*H794</f>
        <v>0.25</v>
      </c>
      <c r="X794" s="0" t="n">
        <f aca="false">SUMPRODUCT(I794:W794,_XtX!$B$96:$P$96)</f>
        <v>41.7649122807018</v>
      </c>
      <c r="Y794" s="0" t="n">
        <f aca="false">SUMPRODUCT(MMULT(I794:W794,_XtX!$B$78:$P$92),I794:W794)</f>
        <v>0.42602110745614</v>
      </c>
      <c r="Z794" s="0" t="n">
        <f aca="false">04_回帰ANOVA!$K$19*04_回帰ANOVA!$K$14*SQRT(1+Y794)</f>
        <v>1.55654388501114</v>
      </c>
      <c r="AA794" s="0" t="n">
        <f aca="false">X794-Z794</f>
        <v>40.2083683956906</v>
      </c>
      <c r="AB794" s="0" t="n">
        <f aca="false">X794+Z794</f>
        <v>43.3214561657129</v>
      </c>
      <c r="AC794" s="54" t="b">
        <f aca="false">AND(E794&gt;=01_因子設定!$L$5-0.000000001,E794&lt;=01_因子設定!$M$5+0.000000001,F794&gt;=01_因子設定!$L$6-0.000000001,F794&lt;=01_因子設定!$M$6+0.000000001,G794&gt;=01_因子設定!$L$7-0.000000001,G794&lt;=01_因子設定!$M$7+0.000000001,H794&gt;=01_因子設定!$L$8-0.000000001,H794&lt;=01_因子設定!$M$8+0.000000001,IF(01_因子設定!$B$20="Box-Behnken",E794^2+F794^2+G794^2+H794^2&lt;=2+0.000000001,TRUE()))</f>
        <v>1</v>
      </c>
      <c r="AD794" s="55" t="n">
        <f aca="false">IF(AC794,IF(01_因子設定!$B$13="最大化",AA794-01_因子設定!$B$14,IF(01_因子設定!$B$13="最小化",01_因子設定!$B$15-AB794,MIN(AA794-01_因子設定!$B$14,01_因子設定!$B$15-AB794))),-1E+030)</f>
        <v>-6.29163160430939</v>
      </c>
      <c r="AE794" s="55" t="n">
        <f aca="false">IF(AC794,IF(01_因子設定!$B$13="最大化",X794,IF(01_因子設定!$B$13="最小化",-X794,-ABS(X794-01_因子設定!$B$16))),-1E+030)</f>
        <v>41.7649122807018</v>
      </c>
      <c r="AF794" s="55" t="n">
        <f aca="false">AD794+ROW()*0.000000001</f>
        <v>-6.29163081030939</v>
      </c>
      <c r="AG794" s="55" t="n">
        <f aca="false">AE794+ROW()*0.000000001</f>
        <v>41.7649130747018</v>
      </c>
    </row>
    <row r="795" customFormat="false" ht="15" hidden="false" customHeight="false" outlineLevel="0" collapsed="false">
      <c r="A795" s="0" t="n">
        <v>1</v>
      </c>
      <c r="B795" s="0" t="n">
        <v>0</v>
      </c>
      <c r="C795" s="0" t="n">
        <v>6</v>
      </c>
      <c r="D795" s="0" t="n">
        <v>7</v>
      </c>
      <c r="E795" s="0" t="n">
        <f aca="false">-1+A795*0.25</f>
        <v>-0.75</v>
      </c>
      <c r="F795" s="0" t="n">
        <f aca="false">-1+B795*0.25</f>
        <v>-1</v>
      </c>
      <c r="G795" s="0" t="n">
        <f aca="false">-1+C795*0.25</f>
        <v>0.5</v>
      </c>
      <c r="H795" s="0" t="n">
        <f aca="false">-1+D795*0.25</f>
        <v>0.75</v>
      </c>
      <c r="I795" s="0" t="n">
        <f aca="false">1</f>
        <v>1</v>
      </c>
      <c r="J795" s="0" t="n">
        <f aca="false">E795</f>
        <v>-0.75</v>
      </c>
      <c r="K795" s="0" t="n">
        <f aca="false">F795</f>
        <v>-1</v>
      </c>
      <c r="L795" s="0" t="n">
        <f aca="false">G795</f>
        <v>0.5</v>
      </c>
      <c r="M795" s="0" t="n">
        <f aca="false">H795</f>
        <v>0.75</v>
      </c>
      <c r="N795" s="0" t="n">
        <f aca="false">E795*F795</f>
        <v>0.75</v>
      </c>
      <c r="O795" s="0" t="n">
        <f aca="false">E795*G795</f>
        <v>-0.375</v>
      </c>
      <c r="P795" s="0" t="n">
        <f aca="false">E795*H795</f>
        <v>-0.5625</v>
      </c>
      <c r="Q795" s="0" t="n">
        <f aca="false">F795*G795</f>
        <v>-0.5</v>
      </c>
      <c r="R795" s="0" t="n">
        <f aca="false">F795*H795</f>
        <v>-0.75</v>
      </c>
      <c r="S795" s="0" t="n">
        <f aca="false">G795*H795</f>
        <v>0.375</v>
      </c>
      <c r="T795" s="0" t="n">
        <f aca="false">E795*E795</f>
        <v>0.5625</v>
      </c>
      <c r="U795" s="0" t="n">
        <f aca="false">F795*F795</f>
        <v>1</v>
      </c>
      <c r="V795" s="0" t="n">
        <f aca="false">G795*G795</f>
        <v>0.25</v>
      </c>
      <c r="W795" s="0" t="n">
        <f aca="false">H795*H795</f>
        <v>0.5625</v>
      </c>
      <c r="X795" s="0" t="n">
        <f aca="false">SUMPRODUCT(I795:W795,_XtX!$B$96:$P$96)</f>
        <v>41.812408625731</v>
      </c>
      <c r="Y795" s="0" t="n">
        <f aca="false">SUMPRODUCT(MMULT(I795:W795,_XtX!$B$78:$P$92),I795:W795)</f>
        <v>0.431153771472953</v>
      </c>
      <c r="Z795" s="0" t="n">
        <f aca="false">04_回帰ANOVA!$K$19*04_回帰ANOVA!$K$14*SQRT(1+Y795)</f>
        <v>1.55934259562563</v>
      </c>
      <c r="AA795" s="0" t="n">
        <f aca="false">X795-Z795</f>
        <v>40.2530660301054</v>
      </c>
      <c r="AB795" s="0" t="n">
        <f aca="false">X795+Z795</f>
        <v>43.3717512213566</v>
      </c>
      <c r="AC795" s="54" t="b">
        <f aca="false">AND(E795&gt;=01_因子設定!$L$5-0.000000001,E795&lt;=01_因子設定!$M$5+0.000000001,F795&gt;=01_因子設定!$L$6-0.000000001,F795&lt;=01_因子設定!$M$6+0.000000001,G795&gt;=01_因子設定!$L$7-0.000000001,G795&lt;=01_因子設定!$M$7+0.000000001,H795&gt;=01_因子設定!$L$8-0.000000001,H795&lt;=01_因子設定!$M$8+0.000000001,IF(01_因子設定!$B$20="Box-Behnken",E795^2+F795^2+G795^2+H795^2&lt;=2+0.000000001,TRUE()))</f>
        <v>1</v>
      </c>
      <c r="AD795" s="55" t="n">
        <f aca="false">IF(AC795,IF(01_因子設定!$B$13="最大化",AA795-01_因子設定!$B$14,IF(01_因子設定!$B$13="最小化",01_因子設定!$B$15-AB795,MIN(AA795-01_因子設定!$B$14,01_因子設定!$B$15-AB795))),-1E+030)</f>
        <v>-6.24693396989463</v>
      </c>
      <c r="AE795" s="55" t="n">
        <f aca="false">IF(AC795,IF(01_因子設定!$B$13="最大化",X795,IF(01_因子設定!$B$13="最小化",-X795,-ABS(X795-01_因子設定!$B$16))),-1E+030)</f>
        <v>41.812408625731</v>
      </c>
      <c r="AF795" s="55" t="n">
        <f aca="false">AD795+ROW()*0.000000001</f>
        <v>-6.24693317489463</v>
      </c>
      <c r="AG795" s="55" t="n">
        <f aca="false">AE795+ROW()*0.000000001</f>
        <v>41.812409420731</v>
      </c>
    </row>
    <row r="796" customFormat="false" ht="15" hidden="false" customHeight="false" outlineLevel="0" collapsed="false">
      <c r="A796" s="0" t="n">
        <v>1</v>
      </c>
      <c r="B796" s="0" t="n">
        <v>0</v>
      </c>
      <c r="C796" s="0" t="n">
        <v>6</v>
      </c>
      <c r="D796" s="0" t="n">
        <v>8</v>
      </c>
      <c r="E796" s="0" t="n">
        <f aca="false">-1+A796*0.25</f>
        <v>-0.75</v>
      </c>
      <c r="F796" s="0" t="n">
        <f aca="false">-1+B796*0.25</f>
        <v>-1</v>
      </c>
      <c r="G796" s="0" t="n">
        <f aca="false">-1+C796*0.25</f>
        <v>0.5</v>
      </c>
      <c r="H796" s="0" t="n">
        <f aca="false">-1+D796*0.25</f>
        <v>1</v>
      </c>
      <c r="I796" s="0" t="n">
        <f aca="false">1</f>
        <v>1</v>
      </c>
      <c r="J796" s="0" t="n">
        <f aca="false">E796</f>
        <v>-0.75</v>
      </c>
      <c r="K796" s="0" t="n">
        <f aca="false">F796</f>
        <v>-1</v>
      </c>
      <c r="L796" s="0" t="n">
        <f aca="false">G796</f>
        <v>0.5</v>
      </c>
      <c r="M796" s="0" t="n">
        <f aca="false">H796</f>
        <v>1</v>
      </c>
      <c r="N796" s="0" t="n">
        <f aca="false">E796*F796</f>
        <v>0.75</v>
      </c>
      <c r="O796" s="0" t="n">
        <f aca="false">E796*G796</f>
        <v>-0.375</v>
      </c>
      <c r="P796" s="0" t="n">
        <f aca="false">E796*H796</f>
        <v>-0.75</v>
      </c>
      <c r="Q796" s="0" t="n">
        <f aca="false">F796*G796</f>
        <v>-0.5</v>
      </c>
      <c r="R796" s="0" t="n">
        <f aca="false">F796*H796</f>
        <v>-1</v>
      </c>
      <c r="S796" s="0" t="n">
        <f aca="false">G796*H796</f>
        <v>0.5</v>
      </c>
      <c r="T796" s="0" t="n">
        <f aca="false">E796*E796</f>
        <v>0.5625</v>
      </c>
      <c r="U796" s="0" t="n">
        <f aca="false">F796*F796</f>
        <v>1</v>
      </c>
      <c r="V796" s="0" t="n">
        <f aca="false">G796*G796</f>
        <v>0.25</v>
      </c>
      <c r="W796" s="0" t="n">
        <f aca="false">H796*H796</f>
        <v>1</v>
      </c>
      <c r="X796" s="0" t="n">
        <f aca="false">SUMPRODUCT(I796:W796,_XtX!$B$96:$P$96)</f>
        <v>41.8120979532164</v>
      </c>
      <c r="Y796" s="0" t="n">
        <f aca="false">SUMPRODUCT(MMULT(I796:W796,_XtX!$B$78:$P$92),I796:W796)</f>
        <v>0.564984237938597</v>
      </c>
      <c r="Z796" s="0" t="n">
        <f aca="false">04_回帰ANOVA!$K$19*04_回帰ANOVA!$K$14*SQRT(1+Y796)</f>
        <v>1.63062229734503</v>
      </c>
      <c r="AA796" s="0" t="n">
        <f aca="false">X796-Z796</f>
        <v>40.1814756558714</v>
      </c>
      <c r="AB796" s="0" t="n">
        <f aca="false">X796+Z796</f>
        <v>43.4427202505614</v>
      </c>
      <c r="AC796" s="54" t="b">
        <f aca="false">AND(E796&gt;=01_因子設定!$L$5-0.000000001,E796&lt;=01_因子設定!$M$5+0.000000001,F796&gt;=01_因子設定!$L$6-0.000000001,F796&lt;=01_因子設定!$M$6+0.000000001,G796&gt;=01_因子設定!$L$7-0.000000001,G796&lt;=01_因子設定!$M$7+0.000000001,H796&gt;=01_因子設定!$L$8-0.000000001,H796&lt;=01_因子設定!$M$8+0.000000001,IF(01_因子設定!$B$20="Box-Behnken",E796^2+F796^2+G796^2+H796^2&lt;=2+0.000000001,TRUE()))</f>
        <v>1</v>
      </c>
      <c r="AD796" s="55" t="n">
        <f aca="false">IF(AC796,IF(01_因子設定!$B$13="最大化",AA796-01_因子設定!$B$14,IF(01_因子設定!$B$13="最小化",01_因子設定!$B$15-AB796,MIN(AA796-01_因子設定!$B$14,01_因子設定!$B$15-AB796))),-1E+030)</f>
        <v>-6.31852434412864</v>
      </c>
      <c r="AE796" s="55" t="n">
        <f aca="false">IF(AC796,IF(01_因子設定!$B$13="最大化",X796,IF(01_因子設定!$B$13="最小化",-X796,-ABS(X796-01_因子設定!$B$16))),-1E+030)</f>
        <v>41.8120979532164</v>
      </c>
      <c r="AF796" s="55" t="n">
        <f aca="false">AD796+ROW()*0.000000001</f>
        <v>-6.31852354812864</v>
      </c>
      <c r="AG796" s="55" t="n">
        <f aca="false">AE796+ROW()*0.000000001</f>
        <v>41.8120987492164</v>
      </c>
    </row>
    <row r="797" customFormat="false" ht="15" hidden="false" customHeight="false" outlineLevel="0" collapsed="false">
      <c r="A797" s="0" t="n">
        <v>1</v>
      </c>
      <c r="B797" s="0" t="n">
        <v>0</v>
      </c>
      <c r="C797" s="0" t="n">
        <v>7</v>
      </c>
      <c r="D797" s="0" t="n">
        <v>0</v>
      </c>
      <c r="E797" s="0" t="n">
        <f aca="false">-1+A797*0.25</f>
        <v>-0.75</v>
      </c>
      <c r="F797" s="0" t="n">
        <f aca="false">-1+B797*0.25</f>
        <v>-1</v>
      </c>
      <c r="G797" s="0" t="n">
        <f aca="false">-1+C797*0.25</f>
        <v>0.75</v>
      </c>
      <c r="H797" s="0" t="n">
        <f aca="false">-1+D797*0.25</f>
        <v>-1</v>
      </c>
      <c r="I797" s="0" t="n">
        <f aca="false">1</f>
        <v>1</v>
      </c>
      <c r="J797" s="0" t="n">
        <f aca="false">E797</f>
        <v>-0.75</v>
      </c>
      <c r="K797" s="0" t="n">
        <f aca="false">F797</f>
        <v>-1</v>
      </c>
      <c r="L797" s="0" t="n">
        <f aca="false">G797</f>
        <v>0.75</v>
      </c>
      <c r="M797" s="0" t="n">
        <f aca="false">H797</f>
        <v>-1</v>
      </c>
      <c r="N797" s="0" t="n">
        <f aca="false">E797*F797</f>
        <v>0.75</v>
      </c>
      <c r="O797" s="0" t="n">
        <f aca="false">E797*G797</f>
        <v>-0.5625</v>
      </c>
      <c r="P797" s="0" t="n">
        <f aca="false">E797*H797</f>
        <v>0.75</v>
      </c>
      <c r="Q797" s="0" t="n">
        <f aca="false">F797*G797</f>
        <v>-0.75</v>
      </c>
      <c r="R797" s="0" t="n">
        <f aca="false">F797*H797</f>
        <v>1</v>
      </c>
      <c r="S797" s="0" t="n">
        <f aca="false">G797*H797</f>
        <v>-0.75</v>
      </c>
      <c r="T797" s="0" t="n">
        <f aca="false">E797*E797</f>
        <v>0.5625</v>
      </c>
      <c r="U797" s="0" t="n">
        <f aca="false">F797*F797</f>
        <v>1</v>
      </c>
      <c r="V797" s="0" t="n">
        <f aca="false">G797*G797</f>
        <v>0.5625</v>
      </c>
      <c r="W797" s="0" t="n">
        <f aca="false">H797*H797</f>
        <v>1</v>
      </c>
      <c r="X797" s="0" t="n">
        <f aca="false">SUMPRODUCT(I797:W797,_XtX!$B$96:$P$96)</f>
        <v>40.480427631579</v>
      </c>
      <c r="Y797" s="0" t="n">
        <f aca="false">SUMPRODUCT(MMULT(I797:W797,_XtX!$B$78:$P$92),I797:W797)</f>
        <v>0.531311392086988</v>
      </c>
      <c r="Z797" s="0" t="n">
        <f aca="false">04_回帰ANOVA!$K$19*04_回帰ANOVA!$K$14*SQRT(1+Y797)</f>
        <v>1.61298433431428</v>
      </c>
      <c r="AA797" s="0" t="n">
        <f aca="false">X797-Z797</f>
        <v>38.8674432972647</v>
      </c>
      <c r="AB797" s="0" t="n">
        <f aca="false">X797+Z797</f>
        <v>42.0934119658933</v>
      </c>
      <c r="AC797" s="54" t="b">
        <f aca="false">AND(E797&gt;=01_因子設定!$L$5-0.000000001,E797&lt;=01_因子設定!$M$5+0.000000001,F797&gt;=01_因子設定!$L$6-0.000000001,F797&lt;=01_因子設定!$M$6+0.000000001,G797&gt;=01_因子設定!$L$7-0.000000001,G797&lt;=01_因子設定!$M$7+0.000000001,H797&gt;=01_因子設定!$L$8-0.000000001,H797&lt;=01_因子設定!$M$8+0.000000001,IF(01_因子設定!$B$20="Box-Behnken",E797^2+F797^2+G797^2+H797^2&lt;=2+0.000000001,TRUE()))</f>
        <v>1</v>
      </c>
      <c r="AD797" s="55" t="n">
        <f aca="false">IF(AC797,IF(01_因子設定!$B$13="最大化",AA797-01_因子設定!$B$14,IF(01_因子設定!$B$13="最小化",01_因子設定!$B$15-AB797,MIN(AA797-01_因子設定!$B$14,01_因子設定!$B$15-AB797))),-1E+030)</f>
        <v>-7.63255670273531</v>
      </c>
      <c r="AE797" s="55" t="n">
        <f aca="false">IF(AC797,IF(01_因子設定!$B$13="最大化",X797,IF(01_因子設定!$B$13="最小化",-X797,-ABS(X797-01_因子設定!$B$16))),-1E+030)</f>
        <v>40.480427631579</v>
      </c>
      <c r="AF797" s="55" t="n">
        <f aca="false">AD797+ROW()*0.000000001</f>
        <v>-7.63255590573531</v>
      </c>
      <c r="AG797" s="55" t="n">
        <f aca="false">AE797+ROW()*0.000000001</f>
        <v>40.480428428579</v>
      </c>
    </row>
    <row r="798" customFormat="false" ht="15" hidden="false" customHeight="false" outlineLevel="0" collapsed="false">
      <c r="A798" s="0" t="n">
        <v>1</v>
      </c>
      <c r="B798" s="0" t="n">
        <v>0</v>
      </c>
      <c r="C798" s="0" t="n">
        <v>7</v>
      </c>
      <c r="D798" s="0" t="n">
        <v>1</v>
      </c>
      <c r="E798" s="0" t="n">
        <f aca="false">-1+A798*0.25</f>
        <v>-0.75</v>
      </c>
      <c r="F798" s="0" t="n">
        <f aca="false">-1+B798*0.25</f>
        <v>-1</v>
      </c>
      <c r="G798" s="0" t="n">
        <f aca="false">-1+C798*0.25</f>
        <v>0.75</v>
      </c>
      <c r="H798" s="0" t="n">
        <f aca="false">-1+D798*0.25</f>
        <v>-0.75</v>
      </c>
      <c r="I798" s="0" t="n">
        <f aca="false">1</f>
        <v>1</v>
      </c>
      <c r="J798" s="0" t="n">
        <f aca="false">E798</f>
        <v>-0.75</v>
      </c>
      <c r="K798" s="0" t="n">
        <f aca="false">F798</f>
        <v>-1</v>
      </c>
      <c r="L798" s="0" t="n">
        <f aca="false">G798</f>
        <v>0.75</v>
      </c>
      <c r="M798" s="0" t="n">
        <f aca="false">H798</f>
        <v>-0.75</v>
      </c>
      <c r="N798" s="0" t="n">
        <f aca="false">E798*F798</f>
        <v>0.75</v>
      </c>
      <c r="O798" s="0" t="n">
        <f aca="false">E798*G798</f>
        <v>-0.5625</v>
      </c>
      <c r="P798" s="0" t="n">
        <f aca="false">E798*H798</f>
        <v>0.5625</v>
      </c>
      <c r="Q798" s="0" t="n">
        <f aca="false">F798*G798</f>
        <v>-0.75</v>
      </c>
      <c r="R798" s="0" t="n">
        <f aca="false">F798*H798</f>
        <v>0.75</v>
      </c>
      <c r="S798" s="0" t="n">
        <f aca="false">G798*H798</f>
        <v>-0.5625</v>
      </c>
      <c r="T798" s="0" t="n">
        <f aca="false">E798*E798</f>
        <v>0.5625</v>
      </c>
      <c r="U798" s="0" t="n">
        <f aca="false">F798*F798</f>
        <v>1</v>
      </c>
      <c r="V798" s="0" t="n">
        <f aca="false">G798*G798</f>
        <v>0.5625</v>
      </c>
      <c r="W798" s="0" t="n">
        <f aca="false">H798*H798</f>
        <v>0.5625</v>
      </c>
      <c r="X798" s="0" t="n">
        <f aca="false">SUMPRODUCT(I798:W798,_XtX!$B$96:$P$96)</f>
        <v>40.8327348318714</v>
      </c>
      <c r="Y798" s="0" t="n">
        <f aca="false">SUMPRODUCT(MMULT(I798:W798,_XtX!$B$78:$P$92),I798:W798)</f>
        <v>0.420117473044591</v>
      </c>
      <c r="Z798" s="0" t="n">
        <f aca="false">04_回帰ANOVA!$K$19*04_回帰ANOVA!$K$14*SQRT(1+Y798)</f>
        <v>1.55331854827765</v>
      </c>
      <c r="AA798" s="0" t="n">
        <f aca="false">X798-Z798</f>
        <v>39.2794162835937</v>
      </c>
      <c r="AB798" s="0" t="n">
        <f aca="false">X798+Z798</f>
        <v>42.386053380149</v>
      </c>
      <c r="AC798" s="54" t="b">
        <f aca="false">AND(E798&gt;=01_因子設定!$L$5-0.000000001,E798&lt;=01_因子設定!$M$5+0.000000001,F798&gt;=01_因子設定!$L$6-0.000000001,F798&lt;=01_因子設定!$M$6+0.000000001,G798&gt;=01_因子設定!$L$7-0.000000001,G798&lt;=01_因子設定!$M$7+0.000000001,H798&gt;=01_因子設定!$L$8-0.000000001,H798&lt;=01_因子設定!$M$8+0.000000001,IF(01_因子設定!$B$20="Box-Behnken",E798^2+F798^2+G798^2+H798^2&lt;=2+0.000000001,TRUE()))</f>
        <v>1</v>
      </c>
      <c r="AD798" s="55" t="n">
        <f aca="false">IF(AC798,IF(01_因子設定!$B$13="最大化",AA798-01_因子設定!$B$14,IF(01_因子設定!$B$13="最小化",01_因子設定!$B$15-AB798,MIN(AA798-01_因子設定!$B$14,01_因子設定!$B$15-AB798))),-1E+030)</f>
        <v>-7.22058371640629</v>
      </c>
      <c r="AE798" s="55" t="n">
        <f aca="false">IF(AC798,IF(01_因子設定!$B$13="最大化",X798,IF(01_因子設定!$B$13="最小化",-X798,-ABS(X798-01_因子設定!$B$16))),-1E+030)</f>
        <v>40.8327348318714</v>
      </c>
      <c r="AF798" s="55" t="n">
        <f aca="false">AD798+ROW()*0.000000001</f>
        <v>-7.22058291840629</v>
      </c>
      <c r="AG798" s="55" t="n">
        <f aca="false">AE798+ROW()*0.000000001</f>
        <v>40.8327356298714</v>
      </c>
    </row>
    <row r="799" customFormat="false" ht="15" hidden="false" customHeight="false" outlineLevel="0" collapsed="false">
      <c r="A799" s="0" t="n">
        <v>1</v>
      </c>
      <c r="B799" s="0" t="n">
        <v>0</v>
      </c>
      <c r="C799" s="0" t="n">
        <v>7</v>
      </c>
      <c r="D799" s="0" t="n">
        <v>2</v>
      </c>
      <c r="E799" s="0" t="n">
        <f aca="false">-1+A799*0.25</f>
        <v>-0.75</v>
      </c>
      <c r="F799" s="0" t="n">
        <f aca="false">-1+B799*0.25</f>
        <v>-1</v>
      </c>
      <c r="G799" s="0" t="n">
        <f aca="false">-1+C799*0.25</f>
        <v>0.75</v>
      </c>
      <c r="H799" s="0" t="n">
        <f aca="false">-1+D799*0.25</f>
        <v>-0.5</v>
      </c>
      <c r="I799" s="0" t="n">
        <f aca="false">1</f>
        <v>1</v>
      </c>
      <c r="J799" s="0" t="n">
        <f aca="false">E799</f>
        <v>-0.75</v>
      </c>
      <c r="K799" s="0" t="n">
        <f aca="false">F799</f>
        <v>-1</v>
      </c>
      <c r="L799" s="0" t="n">
        <f aca="false">G799</f>
        <v>0.75</v>
      </c>
      <c r="M799" s="0" t="n">
        <f aca="false">H799</f>
        <v>-0.5</v>
      </c>
      <c r="N799" s="0" t="n">
        <f aca="false">E799*F799</f>
        <v>0.75</v>
      </c>
      <c r="O799" s="0" t="n">
        <f aca="false">E799*G799</f>
        <v>-0.5625</v>
      </c>
      <c r="P799" s="0" t="n">
        <f aca="false">E799*H799</f>
        <v>0.375</v>
      </c>
      <c r="Q799" s="0" t="n">
        <f aca="false">F799*G799</f>
        <v>-0.75</v>
      </c>
      <c r="R799" s="0" t="n">
        <f aca="false">F799*H799</f>
        <v>0.5</v>
      </c>
      <c r="S799" s="0" t="n">
        <f aca="false">G799*H799</f>
        <v>-0.375</v>
      </c>
      <c r="T799" s="0" t="n">
        <f aca="false">E799*E799</f>
        <v>0.5625</v>
      </c>
      <c r="U799" s="0" t="n">
        <f aca="false">F799*F799</f>
        <v>1</v>
      </c>
      <c r="V799" s="0" t="n">
        <f aca="false">G799*G799</f>
        <v>0.5625</v>
      </c>
      <c r="W799" s="0" t="n">
        <f aca="false">H799*H799</f>
        <v>0.25</v>
      </c>
      <c r="X799" s="0" t="n">
        <f aca="false">SUMPRODUCT(I799:W799,_XtX!$B$96:$P$96)</f>
        <v>41.1372350146199</v>
      </c>
      <c r="Y799" s="0" t="n">
        <f aca="false">SUMPRODUCT(MMULT(I799:W799,_XtX!$B$78:$P$92),I799:W799)</f>
        <v>0.431153771472953</v>
      </c>
      <c r="Z799" s="0" t="n">
        <f aca="false">04_回帰ANOVA!$K$19*04_回帰ANOVA!$K$14*SQRT(1+Y799)</f>
        <v>1.55934259562563</v>
      </c>
      <c r="AA799" s="0" t="n">
        <f aca="false">X799-Z799</f>
        <v>39.5778924189943</v>
      </c>
      <c r="AB799" s="0" t="n">
        <f aca="false">X799+Z799</f>
        <v>42.6965776102455</v>
      </c>
      <c r="AC799" s="54" t="b">
        <f aca="false">AND(E799&gt;=01_因子設定!$L$5-0.000000001,E799&lt;=01_因子設定!$M$5+0.000000001,F799&gt;=01_因子設定!$L$6-0.000000001,F799&lt;=01_因子設定!$M$6+0.000000001,G799&gt;=01_因子設定!$L$7-0.000000001,G799&lt;=01_因子設定!$M$7+0.000000001,H799&gt;=01_因子設定!$L$8-0.000000001,H799&lt;=01_因子設定!$M$8+0.000000001,IF(01_因子設定!$B$20="Box-Behnken",E799^2+F799^2+G799^2+H799^2&lt;=2+0.000000001,TRUE()))</f>
        <v>1</v>
      </c>
      <c r="AD799" s="55" t="n">
        <f aca="false">IF(AC799,IF(01_因子設定!$B$13="最大化",AA799-01_因子設定!$B$14,IF(01_因子設定!$B$13="最小化",01_因子設定!$B$15-AB799,MIN(AA799-01_因子設定!$B$14,01_因子設定!$B$15-AB799))),-1E+030)</f>
        <v>-6.92210758100575</v>
      </c>
      <c r="AE799" s="55" t="n">
        <f aca="false">IF(AC799,IF(01_因子設定!$B$13="最大化",X799,IF(01_因子設定!$B$13="最小化",-X799,-ABS(X799-01_因子設定!$B$16))),-1E+030)</f>
        <v>41.1372350146199</v>
      </c>
      <c r="AF799" s="55" t="n">
        <f aca="false">AD799+ROW()*0.000000001</f>
        <v>-6.92210678200575</v>
      </c>
      <c r="AG799" s="55" t="n">
        <f aca="false">AE799+ROW()*0.000000001</f>
        <v>41.1372358136199</v>
      </c>
    </row>
    <row r="800" customFormat="false" ht="15" hidden="false" customHeight="false" outlineLevel="0" collapsed="false">
      <c r="A800" s="0" t="n">
        <v>1</v>
      </c>
      <c r="B800" s="0" t="n">
        <v>0</v>
      </c>
      <c r="C800" s="0" t="n">
        <v>7</v>
      </c>
      <c r="D800" s="0" t="n">
        <v>3</v>
      </c>
      <c r="E800" s="0" t="n">
        <f aca="false">-1+A800*0.25</f>
        <v>-0.75</v>
      </c>
      <c r="F800" s="0" t="n">
        <f aca="false">-1+B800*0.25</f>
        <v>-1</v>
      </c>
      <c r="G800" s="0" t="n">
        <f aca="false">-1+C800*0.25</f>
        <v>0.75</v>
      </c>
      <c r="H800" s="0" t="n">
        <f aca="false">-1+D800*0.25</f>
        <v>-0.25</v>
      </c>
      <c r="I800" s="0" t="n">
        <f aca="false">1</f>
        <v>1</v>
      </c>
      <c r="J800" s="0" t="n">
        <f aca="false">E800</f>
        <v>-0.75</v>
      </c>
      <c r="K800" s="0" t="n">
        <f aca="false">F800</f>
        <v>-1</v>
      </c>
      <c r="L800" s="0" t="n">
        <f aca="false">G800</f>
        <v>0.75</v>
      </c>
      <c r="M800" s="0" t="n">
        <f aca="false">H800</f>
        <v>-0.25</v>
      </c>
      <c r="N800" s="0" t="n">
        <f aca="false">E800*F800</f>
        <v>0.75</v>
      </c>
      <c r="O800" s="0" t="n">
        <f aca="false">E800*G800</f>
        <v>-0.5625</v>
      </c>
      <c r="P800" s="0" t="n">
        <f aca="false">E800*H800</f>
        <v>0.1875</v>
      </c>
      <c r="Q800" s="0" t="n">
        <f aca="false">F800*G800</f>
        <v>-0.75</v>
      </c>
      <c r="R800" s="0" t="n">
        <f aca="false">F800*H800</f>
        <v>0.25</v>
      </c>
      <c r="S800" s="0" t="n">
        <f aca="false">G800*H800</f>
        <v>-0.1875</v>
      </c>
      <c r="T800" s="0" t="n">
        <f aca="false">E800*E800</f>
        <v>0.5625</v>
      </c>
      <c r="U800" s="0" t="n">
        <f aca="false">F800*F800</f>
        <v>1</v>
      </c>
      <c r="V800" s="0" t="n">
        <f aca="false">G800*G800</f>
        <v>0.5625</v>
      </c>
      <c r="W800" s="0" t="n">
        <f aca="false">H800*H800</f>
        <v>0.0625</v>
      </c>
      <c r="X800" s="0" t="n">
        <f aca="false">SUMPRODUCT(I800:W800,_XtX!$B$96:$P$96)</f>
        <v>41.3939281798246</v>
      </c>
      <c r="Y800" s="0" t="n">
        <f aca="false">SUMPRODUCT(MMULT(I800:W800,_XtX!$B$78:$P$92),I800:W800)</f>
        <v>0.473959761056287</v>
      </c>
      <c r="Z800" s="0" t="n">
        <f aca="false">04_回帰ANOVA!$K$19*04_回帰ANOVA!$K$14*SQRT(1+Y800)</f>
        <v>1.58249084588329</v>
      </c>
      <c r="AA800" s="0" t="n">
        <f aca="false">X800-Z800</f>
        <v>39.8114373339413</v>
      </c>
      <c r="AB800" s="0" t="n">
        <f aca="false">X800+Z800</f>
        <v>42.9764190257078</v>
      </c>
      <c r="AC800" s="54" t="b">
        <f aca="false">AND(E800&gt;=01_因子設定!$L$5-0.000000001,E800&lt;=01_因子設定!$M$5+0.000000001,F800&gt;=01_因子設定!$L$6-0.000000001,F800&lt;=01_因子設定!$M$6+0.000000001,G800&gt;=01_因子設定!$L$7-0.000000001,G800&lt;=01_因子設定!$M$7+0.000000001,H800&gt;=01_因子設定!$L$8-0.000000001,H800&lt;=01_因子設定!$M$8+0.000000001,IF(01_因子設定!$B$20="Box-Behnken",E800^2+F800^2+G800^2+H800^2&lt;=2+0.000000001,TRUE()))</f>
        <v>1</v>
      </c>
      <c r="AD800" s="55" t="n">
        <f aca="false">IF(AC800,IF(01_因子設定!$B$13="最大化",AA800-01_因子設定!$B$14,IF(01_因子設定!$B$13="最小化",01_因子設定!$B$15-AB800,MIN(AA800-01_因子設定!$B$14,01_因子設定!$B$15-AB800))),-1E+030)</f>
        <v>-6.68856266605874</v>
      </c>
      <c r="AE800" s="55" t="n">
        <f aca="false">IF(AC800,IF(01_因子設定!$B$13="最大化",X800,IF(01_因子設定!$B$13="最小化",-X800,-ABS(X800-01_因子設定!$B$16))),-1E+030)</f>
        <v>41.3939281798246</v>
      </c>
      <c r="AF800" s="55" t="n">
        <f aca="false">AD800+ROW()*0.000000001</f>
        <v>-6.68856186605874</v>
      </c>
      <c r="AG800" s="55" t="n">
        <f aca="false">AE800+ROW()*0.000000001</f>
        <v>41.3939289798246</v>
      </c>
    </row>
    <row r="801" customFormat="false" ht="15" hidden="false" customHeight="false" outlineLevel="0" collapsed="false">
      <c r="A801" s="0" t="n">
        <v>1</v>
      </c>
      <c r="B801" s="0" t="n">
        <v>0</v>
      </c>
      <c r="C801" s="0" t="n">
        <v>7</v>
      </c>
      <c r="D801" s="0" t="n">
        <v>4</v>
      </c>
      <c r="E801" s="0" t="n">
        <f aca="false">-1+A801*0.25</f>
        <v>-0.75</v>
      </c>
      <c r="F801" s="0" t="n">
        <f aca="false">-1+B801*0.25</f>
        <v>-1</v>
      </c>
      <c r="G801" s="0" t="n">
        <f aca="false">-1+C801*0.25</f>
        <v>0.75</v>
      </c>
      <c r="H801" s="0" t="n">
        <f aca="false">-1+D801*0.25</f>
        <v>0</v>
      </c>
      <c r="I801" s="0" t="n">
        <f aca="false">1</f>
        <v>1</v>
      </c>
      <c r="J801" s="0" t="n">
        <f aca="false">E801</f>
        <v>-0.75</v>
      </c>
      <c r="K801" s="0" t="n">
        <f aca="false">F801</f>
        <v>-1</v>
      </c>
      <c r="L801" s="0" t="n">
        <f aca="false">G801</f>
        <v>0.75</v>
      </c>
      <c r="M801" s="0" t="n">
        <f aca="false">H801</f>
        <v>0</v>
      </c>
      <c r="N801" s="0" t="n">
        <f aca="false">E801*F801</f>
        <v>0.75</v>
      </c>
      <c r="O801" s="0" t="n">
        <f aca="false">E801*G801</f>
        <v>-0.5625</v>
      </c>
      <c r="P801" s="0" t="n">
        <f aca="false">E801*H801</f>
        <v>-0</v>
      </c>
      <c r="Q801" s="0" t="n">
        <f aca="false">F801*G801</f>
        <v>-0.75</v>
      </c>
      <c r="R801" s="0" t="n">
        <f aca="false">F801*H801</f>
        <v>-0</v>
      </c>
      <c r="S801" s="0" t="n">
        <f aca="false">G801*H801</f>
        <v>0</v>
      </c>
      <c r="T801" s="0" t="n">
        <f aca="false">E801*E801</f>
        <v>0.5625</v>
      </c>
      <c r="U801" s="0" t="n">
        <f aca="false">F801*F801</f>
        <v>1</v>
      </c>
      <c r="V801" s="0" t="n">
        <f aca="false">G801*G801</f>
        <v>0.5625</v>
      </c>
      <c r="W801" s="0" t="n">
        <f aca="false">H801*H801</f>
        <v>0</v>
      </c>
      <c r="X801" s="0" t="n">
        <f aca="false">SUMPRODUCT(I801:W801,_XtX!$B$96:$P$96)</f>
        <v>41.6028143274854</v>
      </c>
      <c r="Y801" s="0" t="n">
        <f aca="false">SUMPRODUCT(MMULT(I801:W801,_XtX!$B$78:$P$92),I801:W801)</f>
        <v>0.494259126005117</v>
      </c>
      <c r="Z801" s="0" t="n">
        <f aca="false">04_回帰ANOVA!$K$19*04_回帰ANOVA!$K$14*SQRT(1+Y801)</f>
        <v>1.59335061078203</v>
      </c>
      <c r="AA801" s="0" t="n">
        <f aca="false">X801-Z801</f>
        <v>40.0094637167033</v>
      </c>
      <c r="AB801" s="0" t="n">
        <f aca="false">X801+Z801</f>
        <v>43.1961649382674</v>
      </c>
      <c r="AC801" s="54" t="b">
        <f aca="false">AND(E801&gt;=01_因子設定!$L$5-0.000000001,E801&lt;=01_因子設定!$M$5+0.000000001,F801&gt;=01_因子設定!$L$6-0.000000001,F801&lt;=01_因子設定!$M$6+0.000000001,G801&gt;=01_因子設定!$L$7-0.000000001,G801&lt;=01_因子設定!$M$7+0.000000001,H801&gt;=01_因子設定!$L$8-0.000000001,H801&lt;=01_因子設定!$M$8+0.000000001,IF(01_因子設定!$B$20="Box-Behnken",E801^2+F801^2+G801^2+H801^2&lt;=2+0.000000001,TRUE()))</f>
        <v>1</v>
      </c>
      <c r="AD801" s="55" t="n">
        <f aca="false">IF(AC801,IF(01_因子設定!$B$13="最大化",AA801-01_因子設定!$B$14,IF(01_因子設定!$B$13="最小化",01_因子設定!$B$15-AB801,MIN(AA801-01_因子設定!$B$14,01_因子設定!$B$15-AB801))),-1E+030)</f>
        <v>-6.49053628329666</v>
      </c>
      <c r="AE801" s="55" t="n">
        <f aca="false">IF(AC801,IF(01_因子設定!$B$13="最大化",X801,IF(01_因子設定!$B$13="最小化",-X801,-ABS(X801-01_因子設定!$B$16))),-1E+030)</f>
        <v>41.6028143274854</v>
      </c>
      <c r="AF801" s="55" t="n">
        <f aca="false">AD801+ROW()*0.000000001</f>
        <v>-6.49053548229666</v>
      </c>
      <c r="AG801" s="55" t="n">
        <f aca="false">AE801+ROW()*0.000000001</f>
        <v>41.6028151284854</v>
      </c>
    </row>
    <row r="802" customFormat="false" ht="15" hidden="false" customHeight="false" outlineLevel="0" collapsed="false">
      <c r="A802" s="0" t="n">
        <v>1</v>
      </c>
      <c r="B802" s="0" t="n">
        <v>0</v>
      </c>
      <c r="C802" s="0" t="n">
        <v>7</v>
      </c>
      <c r="D802" s="0" t="n">
        <v>5</v>
      </c>
      <c r="E802" s="0" t="n">
        <f aca="false">-1+A802*0.25</f>
        <v>-0.75</v>
      </c>
      <c r="F802" s="0" t="n">
        <f aca="false">-1+B802*0.25</f>
        <v>-1</v>
      </c>
      <c r="G802" s="0" t="n">
        <f aca="false">-1+C802*0.25</f>
        <v>0.75</v>
      </c>
      <c r="H802" s="0" t="n">
        <f aca="false">-1+D802*0.25</f>
        <v>0.25</v>
      </c>
      <c r="I802" s="0" t="n">
        <f aca="false">1</f>
        <v>1</v>
      </c>
      <c r="J802" s="0" t="n">
        <f aca="false">E802</f>
        <v>-0.75</v>
      </c>
      <c r="K802" s="0" t="n">
        <f aca="false">F802</f>
        <v>-1</v>
      </c>
      <c r="L802" s="0" t="n">
        <f aca="false">G802</f>
        <v>0.75</v>
      </c>
      <c r="M802" s="0" t="n">
        <f aca="false">H802</f>
        <v>0.25</v>
      </c>
      <c r="N802" s="0" t="n">
        <f aca="false">E802*F802</f>
        <v>0.75</v>
      </c>
      <c r="O802" s="0" t="n">
        <f aca="false">E802*G802</f>
        <v>-0.5625</v>
      </c>
      <c r="P802" s="0" t="n">
        <f aca="false">E802*H802</f>
        <v>-0.1875</v>
      </c>
      <c r="Q802" s="0" t="n">
        <f aca="false">F802*G802</f>
        <v>-0.75</v>
      </c>
      <c r="R802" s="0" t="n">
        <f aca="false">F802*H802</f>
        <v>-0.25</v>
      </c>
      <c r="S802" s="0" t="n">
        <f aca="false">G802*H802</f>
        <v>0.1875</v>
      </c>
      <c r="T802" s="0" t="n">
        <f aca="false">E802*E802</f>
        <v>0.5625</v>
      </c>
      <c r="U802" s="0" t="n">
        <f aca="false">F802*F802</f>
        <v>1</v>
      </c>
      <c r="V802" s="0" t="n">
        <f aca="false">G802*G802</f>
        <v>0.5625</v>
      </c>
      <c r="W802" s="0" t="n">
        <f aca="false">H802*H802</f>
        <v>0.0625</v>
      </c>
      <c r="X802" s="0" t="n">
        <f aca="false">SUMPRODUCT(I802:W802,_XtX!$B$96:$P$96)</f>
        <v>41.7638934576023</v>
      </c>
      <c r="Y802" s="0" t="n">
        <f aca="false">SUMPRODUCT(MMULT(I802:W802,_XtX!$B$78:$P$92),I802:W802)</f>
        <v>0.473959761056287</v>
      </c>
      <c r="Z802" s="0" t="n">
        <f aca="false">04_回帰ANOVA!$K$19*04_回帰ANOVA!$K$14*SQRT(1+Y802)</f>
        <v>1.58249084588329</v>
      </c>
      <c r="AA802" s="0" t="n">
        <f aca="false">X802-Z802</f>
        <v>40.181402611719</v>
      </c>
      <c r="AB802" s="0" t="n">
        <f aca="false">X802+Z802</f>
        <v>43.3463843034856</v>
      </c>
      <c r="AC802" s="54" t="b">
        <f aca="false">AND(E802&gt;=01_因子設定!$L$5-0.000000001,E802&lt;=01_因子設定!$M$5+0.000000001,F802&gt;=01_因子設定!$L$6-0.000000001,F802&lt;=01_因子設定!$M$6+0.000000001,G802&gt;=01_因子設定!$L$7-0.000000001,G802&lt;=01_因子設定!$M$7+0.000000001,H802&gt;=01_因子設定!$L$8-0.000000001,H802&lt;=01_因子設定!$M$8+0.000000001,IF(01_因子設定!$B$20="Box-Behnken",E802^2+F802^2+G802^2+H802^2&lt;=2+0.000000001,TRUE()))</f>
        <v>1</v>
      </c>
      <c r="AD802" s="55" t="n">
        <f aca="false">IF(AC802,IF(01_因子設定!$B$13="最大化",AA802-01_因子設定!$B$14,IF(01_因子設定!$B$13="最小化",01_因子設定!$B$15-AB802,MIN(AA802-01_因子設定!$B$14,01_因子設定!$B$15-AB802))),-1E+030)</f>
        <v>-6.31859738828096</v>
      </c>
      <c r="AE802" s="55" t="n">
        <f aca="false">IF(AC802,IF(01_因子設定!$B$13="最大化",X802,IF(01_因子設定!$B$13="最小化",-X802,-ABS(X802-01_因子設定!$B$16))),-1E+030)</f>
        <v>41.7638934576023</v>
      </c>
      <c r="AF802" s="55" t="n">
        <f aca="false">AD802+ROW()*0.000000001</f>
        <v>-6.31859658628096</v>
      </c>
      <c r="AG802" s="55" t="n">
        <f aca="false">AE802+ROW()*0.000000001</f>
        <v>41.7638942596023</v>
      </c>
    </row>
    <row r="803" customFormat="false" ht="15" hidden="false" customHeight="false" outlineLevel="0" collapsed="false">
      <c r="A803" s="0" t="n">
        <v>1</v>
      </c>
      <c r="B803" s="0" t="n">
        <v>0</v>
      </c>
      <c r="C803" s="0" t="n">
        <v>7</v>
      </c>
      <c r="D803" s="0" t="n">
        <v>6</v>
      </c>
      <c r="E803" s="0" t="n">
        <f aca="false">-1+A803*0.25</f>
        <v>-0.75</v>
      </c>
      <c r="F803" s="0" t="n">
        <f aca="false">-1+B803*0.25</f>
        <v>-1</v>
      </c>
      <c r="G803" s="0" t="n">
        <f aca="false">-1+C803*0.25</f>
        <v>0.75</v>
      </c>
      <c r="H803" s="0" t="n">
        <f aca="false">-1+D803*0.25</f>
        <v>0.5</v>
      </c>
      <c r="I803" s="0" t="n">
        <f aca="false">1</f>
        <v>1</v>
      </c>
      <c r="J803" s="0" t="n">
        <f aca="false">E803</f>
        <v>-0.75</v>
      </c>
      <c r="K803" s="0" t="n">
        <f aca="false">F803</f>
        <v>-1</v>
      </c>
      <c r="L803" s="0" t="n">
        <f aca="false">G803</f>
        <v>0.75</v>
      </c>
      <c r="M803" s="0" t="n">
        <f aca="false">H803</f>
        <v>0.5</v>
      </c>
      <c r="N803" s="0" t="n">
        <f aca="false">E803*F803</f>
        <v>0.75</v>
      </c>
      <c r="O803" s="0" t="n">
        <f aca="false">E803*G803</f>
        <v>-0.5625</v>
      </c>
      <c r="P803" s="0" t="n">
        <f aca="false">E803*H803</f>
        <v>-0.375</v>
      </c>
      <c r="Q803" s="0" t="n">
        <f aca="false">F803*G803</f>
        <v>-0.75</v>
      </c>
      <c r="R803" s="0" t="n">
        <f aca="false">F803*H803</f>
        <v>-0.5</v>
      </c>
      <c r="S803" s="0" t="n">
        <f aca="false">G803*H803</f>
        <v>0.375</v>
      </c>
      <c r="T803" s="0" t="n">
        <f aca="false">E803*E803</f>
        <v>0.5625</v>
      </c>
      <c r="U803" s="0" t="n">
        <f aca="false">F803*F803</f>
        <v>1</v>
      </c>
      <c r="V803" s="0" t="n">
        <f aca="false">G803*G803</f>
        <v>0.5625</v>
      </c>
      <c r="W803" s="0" t="n">
        <f aca="false">H803*H803</f>
        <v>0.25</v>
      </c>
      <c r="X803" s="0" t="n">
        <f aca="false">SUMPRODUCT(I803:W803,_XtX!$B$96:$P$96)</f>
        <v>41.8771655701754</v>
      </c>
      <c r="Y803" s="0" t="n">
        <f aca="false">SUMPRODUCT(MMULT(I803:W803,_XtX!$B$78:$P$92),I803:W803)</f>
        <v>0.431153771472953</v>
      </c>
      <c r="Z803" s="0" t="n">
        <f aca="false">04_回帰ANOVA!$K$19*04_回帰ANOVA!$K$14*SQRT(1+Y803)</f>
        <v>1.55934259562563</v>
      </c>
      <c r="AA803" s="0" t="n">
        <f aca="false">X803-Z803</f>
        <v>40.3178229745498</v>
      </c>
      <c r="AB803" s="0" t="n">
        <f aca="false">X803+Z803</f>
        <v>43.4365081658011</v>
      </c>
      <c r="AC803" s="54" t="b">
        <f aca="false">AND(E803&gt;=01_因子設定!$L$5-0.000000001,E803&lt;=01_因子設定!$M$5+0.000000001,F803&gt;=01_因子設定!$L$6-0.000000001,F803&lt;=01_因子設定!$M$6+0.000000001,G803&gt;=01_因子設定!$L$7-0.000000001,G803&lt;=01_因子設定!$M$7+0.000000001,H803&gt;=01_因子設定!$L$8-0.000000001,H803&lt;=01_因子設定!$M$8+0.000000001,IF(01_因子設定!$B$20="Box-Behnken",E803^2+F803^2+G803^2+H803^2&lt;=2+0.000000001,TRUE()))</f>
        <v>1</v>
      </c>
      <c r="AD803" s="55" t="n">
        <f aca="false">IF(AC803,IF(01_因子設定!$B$13="最大化",AA803-01_因子設定!$B$14,IF(01_因子設定!$B$13="最小化",01_因子設定!$B$15-AB803,MIN(AA803-01_因子設定!$B$14,01_因子設定!$B$15-AB803))),-1E+030)</f>
        <v>-6.18217702545019</v>
      </c>
      <c r="AE803" s="55" t="n">
        <f aca="false">IF(AC803,IF(01_因子設定!$B$13="最大化",X803,IF(01_因子設定!$B$13="最小化",-X803,-ABS(X803-01_因子設定!$B$16))),-1E+030)</f>
        <v>41.8771655701754</v>
      </c>
      <c r="AF803" s="55" t="n">
        <f aca="false">AD803+ROW()*0.000000001</f>
        <v>-6.18217622245019</v>
      </c>
      <c r="AG803" s="55" t="n">
        <f aca="false">AE803+ROW()*0.000000001</f>
        <v>41.8771663731754</v>
      </c>
    </row>
    <row r="804" customFormat="false" ht="15" hidden="false" customHeight="false" outlineLevel="0" collapsed="false">
      <c r="A804" s="0" t="n">
        <v>1</v>
      </c>
      <c r="B804" s="0" t="n">
        <v>0</v>
      </c>
      <c r="C804" s="0" t="n">
        <v>7</v>
      </c>
      <c r="D804" s="0" t="n">
        <v>7</v>
      </c>
      <c r="E804" s="0" t="n">
        <f aca="false">-1+A804*0.25</f>
        <v>-0.75</v>
      </c>
      <c r="F804" s="0" t="n">
        <f aca="false">-1+B804*0.25</f>
        <v>-1</v>
      </c>
      <c r="G804" s="0" t="n">
        <f aca="false">-1+C804*0.25</f>
        <v>0.75</v>
      </c>
      <c r="H804" s="0" t="n">
        <f aca="false">-1+D804*0.25</f>
        <v>0.75</v>
      </c>
      <c r="I804" s="0" t="n">
        <f aca="false">1</f>
        <v>1</v>
      </c>
      <c r="J804" s="0" t="n">
        <f aca="false">E804</f>
        <v>-0.75</v>
      </c>
      <c r="K804" s="0" t="n">
        <f aca="false">F804</f>
        <v>-1</v>
      </c>
      <c r="L804" s="0" t="n">
        <f aca="false">G804</f>
        <v>0.75</v>
      </c>
      <c r="M804" s="0" t="n">
        <f aca="false">H804</f>
        <v>0.75</v>
      </c>
      <c r="N804" s="0" t="n">
        <f aca="false">E804*F804</f>
        <v>0.75</v>
      </c>
      <c r="O804" s="0" t="n">
        <f aca="false">E804*G804</f>
        <v>-0.5625</v>
      </c>
      <c r="P804" s="0" t="n">
        <f aca="false">E804*H804</f>
        <v>-0.5625</v>
      </c>
      <c r="Q804" s="0" t="n">
        <f aca="false">F804*G804</f>
        <v>-0.75</v>
      </c>
      <c r="R804" s="0" t="n">
        <f aca="false">F804*H804</f>
        <v>-0.75</v>
      </c>
      <c r="S804" s="0" t="n">
        <f aca="false">G804*H804</f>
        <v>0.5625</v>
      </c>
      <c r="T804" s="0" t="n">
        <f aca="false">E804*E804</f>
        <v>0.5625</v>
      </c>
      <c r="U804" s="0" t="n">
        <f aca="false">F804*F804</f>
        <v>1</v>
      </c>
      <c r="V804" s="0" t="n">
        <f aca="false">G804*G804</f>
        <v>0.5625</v>
      </c>
      <c r="W804" s="0" t="n">
        <f aca="false">H804*H804</f>
        <v>0.5625</v>
      </c>
      <c r="X804" s="0" t="n">
        <f aca="false">SUMPRODUCT(I804:W804,_XtX!$B$96:$P$96)</f>
        <v>41.9426306652047</v>
      </c>
      <c r="Y804" s="0" t="n">
        <f aca="false">SUMPRODUCT(MMULT(I804:W804,_XtX!$B$78:$P$92),I804:W804)</f>
        <v>0.420117473044591</v>
      </c>
      <c r="Z804" s="0" t="n">
        <f aca="false">04_回帰ANOVA!$K$19*04_回帰ANOVA!$K$14*SQRT(1+Y804)</f>
        <v>1.55331854827765</v>
      </c>
      <c r="AA804" s="0" t="n">
        <f aca="false">X804-Z804</f>
        <v>40.389312116927</v>
      </c>
      <c r="AB804" s="0" t="n">
        <f aca="false">X804+Z804</f>
        <v>43.4959492134823</v>
      </c>
      <c r="AC804" s="54" t="b">
        <f aca="false">AND(E804&gt;=01_因子設定!$L$5-0.000000001,E804&lt;=01_因子設定!$M$5+0.000000001,F804&gt;=01_因子設定!$L$6-0.000000001,F804&lt;=01_因子設定!$M$6+0.000000001,G804&gt;=01_因子設定!$L$7-0.000000001,G804&lt;=01_因子設定!$M$7+0.000000001,H804&gt;=01_因子設定!$L$8-0.000000001,H804&lt;=01_因子設定!$M$8+0.000000001,IF(01_因子設定!$B$20="Box-Behnken",E804^2+F804^2+G804^2+H804^2&lt;=2+0.000000001,TRUE()))</f>
        <v>1</v>
      </c>
      <c r="AD804" s="55" t="n">
        <f aca="false">IF(AC804,IF(01_因子設定!$B$13="最大化",AA804-01_因子設定!$B$14,IF(01_因子設定!$B$13="最小化",01_因子設定!$B$15-AB804,MIN(AA804-01_因子設定!$B$14,01_因子設定!$B$15-AB804))),-1E+030)</f>
        <v>-6.11068788307296</v>
      </c>
      <c r="AE804" s="55" t="n">
        <f aca="false">IF(AC804,IF(01_因子設定!$B$13="最大化",X804,IF(01_因子設定!$B$13="最小化",-X804,-ABS(X804-01_因子設定!$B$16))),-1E+030)</f>
        <v>41.9426306652047</v>
      </c>
      <c r="AF804" s="55" t="n">
        <f aca="false">AD804+ROW()*0.000000001</f>
        <v>-6.11068707907296</v>
      </c>
      <c r="AG804" s="55" t="n">
        <f aca="false">AE804+ROW()*0.000000001</f>
        <v>41.9426314692047</v>
      </c>
    </row>
    <row r="805" customFormat="false" ht="15" hidden="false" customHeight="false" outlineLevel="0" collapsed="false">
      <c r="A805" s="0" t="n">
        <v>1</v>
      </c>
      <c r="B805" s="0" t="n">
        <v>0</v>
      </c>
      <c r="C805" s="0" t="n">
        <v>7</v>
      </c>
      <c r="D805" s="0" t="n">
        <v>8</v>
      </c>
      <c r="E805" s="0" t="n">
        <f aca="false">-1+A805*0.25</f>
        <v>-0.75</v>
      </c>
      <c r="F805" s="0" t="n">
        <f aca="false">-1+B805*0.25</f>
        <v>-1</v>
      </c>
      <c r="G805" s="0" t="n">
        <f aca="false">-1+C805*0.25</f>
        <v>0.75</v>
      </c>
      <c r="H805" s="0" t="n">
        <f aca="false">-1+D805*0.25</f>
        <v>1</v>
      </c>
      <c r="I805" s="0" t="n">
        <f aca="false">1</f>
        <v>1</v>
      </c>
      <c r="J805" s="0" t="n">
        <f aca="false">E805</f>
        <v>-0.75</v>
      </c>
      <c r="K805" s="0" t="n">
        <f aca="false">F805</f>
        <v>-1</v>
      </c>
      <c r="L805" s="0" t="n">
        <f aca="false">G805</f>
        <v>0.75</v>
      </c>
      <c r="M805" s="0" t="n">
        <f aca="false">H805</f>
        <v>1</v>
      </c>
      <c r="N805" s="0" t="n">
        <f aca="false">E805*F805</f>
        <v>0.75</v>
      </c>
      <c r="O805" s="0" t="n">
        <f aca="false">E805*G805</f>
        <v>-0.5625</v>
      </c>
      <c r="P805" s="0" t="n">
        <f aca="false">E805*H805</f>
        <v>-0.75</v>
      </c>
      <c r="Q805" s="0" t="n">
        <f aca="false">F805*G805</f>
        <v>-0.75</v>
      </c>
      <c r="R805" s="0" t="n">
        <f aca="false">F805*H805</f>
        <v>-1</v>
      </c>
      <c r="S805" s="0" t="n">
        <f aca="false">G805*H805</f>
        <v>0.75</v>
      </c>
      <c r="T805" s="0" t="n">
        <f aca="false">E805*E805</f>
        <v>0.5625</v>
      </c>
      <c r="U805" s="0" t="n">
        <f aca="false">F805*F805</f>
        <v>1</v>
      </c>
      <c r="V805" s="0" t="n">
        <f aca="false">G805*G805</f>
        <v>0.5625</v>
      </c>
      <c r="W805" s="0" t="n">
        <f aca="false">H805*H805</f>
        <v>1</v>
      </c>
      <c r="X805" s="0" t="n">
        <f aca="false">SUMPRODUCT(I805:W805,_XtX!$B$96:$P$96)</f>
        <v>41.9602887426901</v>
      </c>
      <c r="Y805" s="0" t="n">
        <f aca="false">SUMPRODUCT(MMULT(I805:W805,_XtX!$B$78:$P$92),I805:W805)</f>
        <v>0.531311392086988</v>
      </c>
      <c r="Z805" s="0" t="n">
        <f aca="false">04_回帰ANOVA!$K$19*04_回帰ANOVA!$K$14*SQRT(1+Y805)</f>
        <v>1.61298433431428</v>
      </c>
      <c r="AA805" s="0" t="n">
        <f aca="false">X805-Z805</f>
        <v>40.3473044083758</v>
      </c>
      <c r="AB805" s="0" t="n">
        <f aca="false">X805+Z805</f>
        <v>43.5732730770044</v>
      </c>
      <c r="AC805" s="54" t="b">
        <f aca="false">AND(E805&gt;=01_因子設定!$L$5-0.000000001,E805&lt;=01_因子設定!$M$5+0.000000001,F805&gt;=01_因子設定!$L$6-0.000000001,F805&lt;=01_因子設定!$M$6+0.000000001,G805&gt;=01_因子設定!$L$7-0.000000001,G805&lt;=01_因子設定!$M$7+0.000000001,H805&gt;=01_因子設定!$L$8-0.000000001,H805&lt;=01_因子設定!$M$8+0.000000001,IF(01_因子設定!$B$20="Box-Behnken",E805^2+F805^2+G805^2+H805^2&lt;=2+0.000000001,TRUE()))</f>
        <v>1</v>
      </c>
      <c r="AD805" s="55" t="n">
        <f aca="false">IF(AC805,IF(01_因子設定!$B$13="最大化",AA805-01_因子設定!$B$14,IF(01_因子設定!$B$13="最小化",01_因子設定!$B$15-AB805,MIN(AA805-01_因子設定!$B$14,01_因子設定!$B$15-AB805))),-1E+030)</f>
        <v>-6.1526955916242</v>
      </c>
      <c r="AE805" s="55" t="n">
        <f aca="false">IF(AC805,IF(01_因子設定!$B$13="最大化",X805,IF(01_因子設定!$B$13="最小化",-X805,-ABS(X805-01_因子設定!$B$16))),-1E+030)</f>
        <v>41.9602887426901</v>
      </c>
      <c r="AF805" s="55" t="n">
        <f aca="false">AD805+ROW()*0.000000001</f>
        <v>-6.1526947866242</v>
      </c>
      <c r="AG805" s="55" t="n">
        <f aca="false">AE805+ROW()*0.000000001</f>
        <v>41.9602895476901</v>
      </c>
    </row>
    <row r="806" customFormat="false" ht="15" hidden="false" customHeight="false" outlineLevel="0" collapsed="false">
      <c r="A806" s="0" t="n">
        <v>1</v>
      </c>
      <c r="B806" s="0" t="n">
        <v>0</v>
      </c>
      <c r="C806" s="0" t="n">
        <v>8</v>
      </c>
      <c r="D806" s="0" t="n">
        <v>0</v>
      </c>
      <c r="E806" s="0" t="n">
        <f aca="false">-1+A806*0.25</f>
        <v>-0.75</v>
      </c>
      <c r="F806" s="0" t="n">
        <f aca="false">-1+B806*0.25</f>
        <v>-1</v>
      </c>
      <c r="G806" s="0" t="n">
        <f aca="false">-1+C806*0.25</f>
        <v>1</v>
      </c>
      <c r="H806" s="0" t="n">
        <f aca="false">-1+D806*0.25</f>
        <v>-1</v>
      </c>
      <c r="I806" s="0" t="n">
        <f aca="false">1</f>
        <v>1</v>
      </c>
      <c r="J806" s="0" t="n">
        <f aca="false">E806</f>
        <v>-0.75</v>
      </c>
      <c r="K806" s="0" t="n">
        <f aca="false">F806</f>
        <v>-1</v>
      </c>
      <c r="L806" s="0" t="n">
        <f aca="false">G806</f>
        <v>1</v>
      </c>
      <c r="M806" s="0" t="n">
        <f aca="false">H806</f>
        <v>-1</v>
      </c>
      <c r="N806" s="0" t="n">
        <f aca="false">E806*F806</f>
        <v>0.75</v>
      </c>
      <c r="O806" s="0" t="n">
        <f aca="false">E806*G806</f>
        <v>-0.75</v>
      </c>
      <c r="P806" s="0" t="n">
        <f aca="false">E806*H806</f>
        <v>0.75</v>
      </c>
      <c r="Q806" s="0" t="n">
        <f aca="false">F806*G806</f>
        <v>-1</v>
      </c>
      <c r="R806" s="0" t="n">
        <f aca="false">F806*H806</f>
        <v>1</v>
      </c>
      <c r="S806" s="0" t="n">
        <f aca="false">G806*H806</f>
        <v>-1</v>
      </c>
      <c r="T806" s="0" t="n">
        <f aca="false">E806*E806</f>
        <v>0.5625</v>
      </c>
      <c r="U806" s="0" t="n">
        <f aca="false">F806*F806</f>
        <v>1</v>
      </c>
      <c r="V806" s="0" t="n">
        <f aca="false">G806*G806</f>
        <v>1</v>
      </c>
      <c r="W806" s="0" t="n">
        <f aca="false">H806*H806</f>
        <v>1</v>
      </c>
      <c r="X806" s="0" t="n">
        <f aca="false">SUMPRODUCT(I806:W806,_XtX!$B$96:$P$96)</f>
        <v>40.3995614035088</v>
      </c>
      <c r="Y806" s="0" t="n">
        <f aca="false">SUMPRODUCT(MMULT(I806:W806,_XtX!$B$78:$P$92),I806:W806)</f>
        <v>0.610814144736842</v>
      </c>
      <c r="Z806" s="0" t="n">
        <f aca="false">04_回帰ANOVA!$K$19*04_回帰ANOVA!$K$14*SQRT(1+Y806)</f>
        <v>1.6543260558361</v>
      </c>
      <c r="AA806" s="0" t="n">
        <f aca="false">X806-Z806</f>
        <v>38.7452353476727</v>
      </c>
      <c r="AB806" s="0" t="n">
        <f aca="false">X806+Z806</f>
        <v>42.0538874593449</v>
      </c>
      <c r="AC806" s="54" t="b">
        <f aca="false">AND(E806&gt;=01_因子設定!$L$5-0.000000001,E806&lt;=01_因子設定!$M$5+0.000000001,F806&gt;=01_因子設定!$L$6-0.000000001,F806&lt;=01_因子設定!$M$6+0.000000001,G806&gt;=01_因子設定!$L$7-0.000000001,G806&lt;=01_因子設定!$M$7+0.000000001,H806&gt;=01_因子設定!$L$8-0.000000001,H806&lt;=01_因子設定!$M$8+0.000000001,IF(01_因子設定!$B$20="Box-Behnken",E806^2+F806^2+G806^2+H806^2&lt;=2+0.000000001,TRUE()))</f>
        <v>1</v>
      </c>
      <c r="AD806" s="55" t="n">
        <f aca="false">IF(AC806,IF(01_因子設定!$B$13="最大化",AA806-01_因子設定!$B$14,IF(01_因子設定!$B$13="最小化",01_因子設定!$B$15-AB806,MIN(AA806-01_因子設定!$B$14,01_因子設定!$B$15-AB806))),-1E+030)</f>
        <v>-7.7547646523273</v>
      </c>
      <c r="AE806" s="55" t="n">
        <f aca="false">IF(AC806,IF(01_因子設定!$B$13="最大化",X806,IF(01_因子設定!$B$13="最小化",-X806,-ABS(X806-01_因子設定!$B$16))),-1E+030)</f>
        <v>40.3995614035088</v>
      </c>
      <c r="AF806" s="55" t="n">
        <f aca="false">AD806+ROW()*0.000000001</f>
        <v>-7.7547638463273</v>
      </c>
      <c r="AG806" s="55" t="n">
        <f aca="false">AE806+ROW()*0.000000001</f>
        <v>40.3995622095088</v>
      </c>
    </row>
    <row r="807" customFormat="false" ht="15" hidden="false" customHeight="false" outlineLevel="0" collapsed="false">
      <c r="A807" s="0" t="n">
        <v>1</v>
      </c>
      <c r="B807" s="0" t="n">
        <v>0</v>
      </c>
      <c r="C807" s="0" t="n">
        <v>8</v>
      </c>
      <c r="D807" s="0" t="n">
        <v>1</v>
      </c>
      <c r="E807" s="0" t="n">
        <f aca="false">-1+A807*0.25</f>
        <v>-0.75</v>
      </c>
      <c r="F807" s="0" t="n">
        <f aca="false">-1+B807*0.25</f>
        <v>-1</v>
      </c>
      <c r="G807" s="0" t="n">
        <f aca="false">-1+C807*0.25</f>
        <v>1</v>
      </c>
      <c r="H807" s="0" t="n">
        <f aca="false">-1+D807*0.25</f>
        <v>-0.75</v>
      </c>
      <c r="I807" s="0" t="n">
        <f aca="false">1</f>
        <v>1</v>
      </c>
      <c r="J807" s="0" t="n">
        <f aca="false">E807</f>
        <v>-0.75</v>
      </c>
      <c r="K807" s="0" t="n">
        <f aca="false">F807</f>
        <v>-1</v>
      </c>
      <c r="L807" s="0" t="n">
        <f aca="false">G807</f>
        <v>1</v>
      </c>
      <c r="M807" s="0" t="n">
        <f aca="false">H807</f>
        <v>-0.75</v>
      </c>
      <c r="N807" s="0" t="n">
        <f aca="false">E807*F807</f>
        <v>0.75</v>
      </c>
      <c r="O807" s="0" t="n">
        <f aca="false">E807*G807</f>
        <v>-0.75</v>
      </c>
      <c r="P807" s="0" t="n">
        <f aca="false">E807*H807</f>
        <v>0.5625</v>
      </c>
      <c r="Q807" s="0" t="n">
        <f aca="false">F807*G807</f>
        <v>-1</v>
      </c>
      <c r="R807" s="0" t="n">
        <f aca="false">F807*H807</f>
        <v>0.75</v>
      </c>
      <c r="S807" s="0" t="n">
        <f aca="false">G807*H807</f>
        <v>-0.75</v>
      </c>
      <c r="T807" s="0" t="n">
        <f aca="false">E807*E807</f>
        <v>0.5625</v>
      </c>
      <c r="U807" s="0" t="n">
        <f aca="false">F807*F807</f>
        <v>1</v>
      </c>
      <c r="V807" s="0" t="n">
        <f aca="false">G807*G807</f>
        <v>1</v>
      </c>
      <c r="W807" s="0" t="n">
        <f aca="false">H807*H807</f>
        <v>0.5625</v>
      </c>
      <c r="X807" s="0" t="n">
        <f aca="false">SUMPRODUCT(I807:W807,_XtX!$B$96:$P$96)</f>
        <v>40.7698373538012</v>
      </c>
      <c r="Y807" s="0" t="n">
        <f aca="false">SUMPRODUCT(MMULT(I807:W807,_XtX!$B$78:$P$92),I807:W807)</f>
        <v>0.531311392086988</v>
      </c>
      <c r="Z807" s="0" t="n">
        <f aca="false">04_回帰ANOVA!$K$19*04_回帰ANOVA!$K$14*SQRT(1+Y807)</f>
        <v>1.61298433431428</v>
      </c>
      <c r="AA807" s="0" t="n">
        <f aca="false">X807-Z807</f>
        <v>39.1568530194869</v>
      </c>
      <c r="AB807" s="0" t="n">
        <f aca="false">X807+Z807</f>
        <v>42.3828216881155</v>
      </c>
      <c r="AC807" s="54" t="b">
        <f aca="false">AND(E807&gt;=01_因子設定!$L$5-0.000000001,E807&lt;=01_因子設定!$M$5+0.000000001,F807&gt;=01_因子設定!$L$6-0.000000001,F807&lt;=01_因子設定!$M$6+0.000000001,G807&gt;=01_因子設定!$L$7-0.000000001,G807&lt;=01_因子設定!$M$7+0.000000001,H807&gt;=01_因子設定!$L$8-0.000000001,H807&lt;=01_因子設定!$M$8+0.000000001,IF(01_因子設定!$B$20="Box-Behnken",E807^2+F807^2+G807^2+H807^2&lt;=2+0.000000001,TRUE()))</f>
        <v>1</v>
      </c>
      <c r="AD807" s="55" t="n">
        <f aca="false">IF(AC807,IF(01_因子設定!$B$13="最大化",AA807-01_因子設定!$B$14,IF(01_因子設定!$B$13="最小化",01_因子設定!$B$15-AB807,MIN(AA807-01_因子設定!$B$14,01_因子設定!$B$15-AB807))),-1E+030)</f>
        <v>-7.3431469805131</v>
      </c>
      <c r="AE807" s="55" t="n">
        <f aca="false">IF(AC807,IF(01_因子設定!$B$13="最大化",X807,IF(01_因子設定!$B$13="最小化",-X807,-ABS(X807-01_因子設定!$B$16))),-1E+030)</f>
        <v>40.7698373538012</v>
      </c>
      <c r="AF807" s="55" t="n">
        <f aca="false">AD807+ROW()*0.000000001</f>
        <v>-7.3431461735131</v>
      </c>
      <c r="AG807" s="55" t="n">
        <f aca="false">AE807+ROW()*0.000000001</f>
        <v>40.7698381608012</v>
      </c>
    </row>
    <row r="808" customFormat="false" ht="15" hidden="false" customHeight="false" outlineLevel="0" collapsed="false">
      <c r="A808" s="0" t="n">
        <v>1</v>
      </c>
      <c r="B808" s="0" t="n">
        <v>0</v>
      </c>
      <c r="C808" s="0" t="n">
        <v>8</v>
      </c>
      <c r="D808" s="0" t="n">
        <v>2</v>
      </c>
      <c r="E808" s="0" t="n">
        <f aca="false">-1+A808*0.25</f>
        <v>-0.75</v>
      </c>
      <c r="F808" s="0" t="n">
        <f aca="false">-1+B808*0.25</f>
        <v>-1</v>
      </c>
      <c r="G808" s="0" t="n">
        <f aca="false">-1+C808*0.25</f>
        <v>1</v>
      </c>
      <c r="H808" s="0" t="n">
        <f aca="false">-1+D808*0.25</f>
        <v>-0.5</v>
      </c>
      <c r="I808" s="0" t="n">
        <f aca="false">1</f>
        <v>1</v>
      </c>
      <c r="J808" s="0" t="n">
        <f aca="false">E808</f>
        <v>-0.75</v>
      </c>
      <c r="K808" s="0" t="n">
        <f aca="false">F808</f>
        <v>-1</v>
      </c>
      <c r="L808" s="0" t="n">
        <f aca="false">G808</f>
        <v>1</v>
      </c>
      <c r="M808" s="0" t="n">
        <f aca="false">H808</f>
        <v>-0.5</v>
      </c>
      <c r="N808" s="0" t="n">
        <f aca="false">E808*F808</f>
        <v>0.75</v>
      </c>
      <c r="O808" s="0" t="n">
        <f aca="false">E808*G808</f>
        <v>-0.75</v>
      </c>
      <c r="P808" s="0" t="n">
        <f aca="false">E808*H808</f>
        <v>0.375</v>
      </c>
      <c r="Q808" s="0" t="n">
        <f aca="false">F808*G808</f>
        <v>-1</v>
      </c>
      <c r="R808" s="0" t="n">
        <f aca="false">F808*H808</f>
        <v>0.5</v>
      </c>
      <c r="S808" s="0" t="n">
        <f aca="false">G808*H808</f>
        <v>-0.5</v>
      </c>
      <c r="T808" s="0" t="n">
        <f aca="false">E808*E808</f>
        <v>0.5625</v>
      </c>
      <c r="U808" s="0" t="n">
        <f aca="false">F808*F808</f>
        <v>1</v>
      </c>
      <c r="V808" s="0" t="n">
        <f aca="false">G808*G808</f>
        <v>1</v>
      </c>
      <c r="W808" s="0" t="n">
        <f aca="false">H808*H808</f>
        <v>0.25</v>
      </c>
      <c r="X808" s="0" t="n">
        <f aca="false">SUMPRODUCT(I808:W808,_XtX!$B$96:$P$96)</f>
        <v>41.0923062865497</v>
      </c>
      <c r="Y808" s="0" t="n">
        <f aca="false">SUMPRODUCT(MMULT(I808:W808,_XtX!$B$78:$P$92),I808:W808)</f>
        <v>0.564984237938597</v>
      </c>
      <c r="Z808" s="0" t="n">
        <f aca="false">04_回帰ANOVA!$K$19*04_回帰ANOVA!$K$14*SQRT(1+Y808)</f>
        <v>1.63062229734503</v>
      </c>
      <c r="AA808" s="0" t="n">
        <f aca="false">X808-Z808</f>
        <v>39.4616839892047</v>
      </c>
      <c r="AB808" s="0" t="n">
        <f aca="false">X808+Z808</f>
        <v>42.7229285838947</v>
      </c>
      <c r="AC808" s="54" t="b">
        <f aca="false">AND(E808&gt;=01_因子設定!$L$5-0.000000001,E808&lt;=01_因子設定!$M$5+0.000000001,F808&gt;=01_因子設定!$L$6-0.000000001,F808&lt;=01_因子設定!$M$6+0.000000001,G808&gt;=01_因子設定!$L$7-0.000000001,G808&lt;=01_因子設定!$M$7+0.000000001,H808&gt;=01_因子設定!$L$8-0.000000001,H808&lt;=01_因子設定!$M$8+0.000000001,IF(01_因子設定!$B$20="Box-Behnken",E808^2+F808^2+G808^2+H808^2&lt;=2+0.000000001,TRUE()))</f>
        <v>1</v>
      </c>
      <c r="AD808" s="55" t="n">
        <f aca="false">IF(AC808,IF(01_因子設定!$B$13="最大化",AA808-01_因子設定!$B$14,IF(01_因子設定!$B$13="最小化",01_因子設定!$B$15-AB808,MIN(AA808-01_因子設定!$B$14,01_因子設定!$B$15-AB808))),-1E+030)</f>
        <v>-7.03831601079533</v>
      </c>
      <c r="AE808" s="55" t="n">
        <f aca="false">IF(AC808,IF(01_因子設定!$B$13="最大化",X808,IF(01_因子設定!$B$13="最小化",-X808,-ABS(X808-01_因子設定!$B$16))),-1E+030)</f>
        <v>41.0923062865497</v>
      </c>
      <c r="AF808" s="55" t="n">
        <f aca="false">AD808+ROW()*0.000000001</f>
        <v>-7.03831520279533</v>
      </c>
      <c r="AG808" s="55" t="n">
        <f aca="false">AE808+ROW()*0.000000001</f>
        <v>41.0923070945497</v>
      </c>
    </row>
    <row r="809" customFormat="false" ht="15" hidden="false" customHeight="false" outlineLevel="0" collapsed="false">
      <c r="A809" s="0" t="n">
        <v>1</v>
      </c>
      <c r="B809" s="0" t="n">
        <v>0</v>
      </c>
      <c r="C809" s="0" t="n">
        <v>8</v>
      </c>
      <c r="D809" s="0" t="n">
        <v>3</v>
      </c>
      <c r="E809" s="0" t="n">
        <f aca="false">-1+A809*0.25</f>
        <v>-0.75</v>
      </c>
      <c r="F809" s="0" t="n">
        <f aca="false">-1+B809*0.25</f>
        <v>-1</v>
      </c>
      <c r="G809" s="0" t="n">
        <f aca="false">-1+C809*0.25</f>
        <v>1</v>
      </c>
      <c r="H809" s="0" t="n">
        <f aca="false">-1+D809*0.25</f>
        <v>-0.25</v>
      </c>
      <c r="I809" s="0" t="n">
        <f aca="false">1</f>
        <v>1</v>
      </c>
      <c r="J809" s="0" t="n">
        <f aca="false">E809</f>
        <v>-0.75</v>
      </c>
      <c r="K809" s="0" t="n">
        <f aca="false">F809</f>
        <v>-1</v>
      </c>
      <c r="L809" s="0" t="n">
        <f aca="false">G809</f>
        <v>1</v>
      </c>
      <c r="M809" s="0" t="n">
        <f aca="false">H809</f>
        <v>-0.25</v>
      </c>
      <c r="N809" s="0" t="n">
        <f aca="false">E809*F809</f>
        <v>0.75</v>
      </c>
      <c r="O809" s="0" t="n">
        <f aca="false">E809*G809</f>
        <v>-0.75</v>
      </c>
      <c r="P809" s="0" t="n">
        <f aca="false">E809*H809</f>
        <v>0.1875</v>
      </c>
      <c r="Q809" s="0" t="n">
        <f aca="false">F809*G809</f>
        <v>-1</v>
      </c>
      <c r="R809" s="0" t="n">
        <f aca="false">F809*H809</f>
        <v>0.25</v>
      </c>
      <c r="S809" s="0" t="n">
        <f aca="false">G809*H809</f>
        <v>-0.25</v>
      </c>
      <c r="T809" s="0" t="n">
        <f aca="false">E809*E809</f>
        <v>0.5625</v>
      </c>
      <c r="U809" s="0" t="n">
        <f aca="false">F809*F809</f>
        <v>1</v>
      </c>
      <c r="V809" s="0" t="n">
        <f aca="false">G809*G809</f>
        <v>1</v>
      </c>
      <c r="W809" s="0" t="n">
        <f aca="false">H809*H809</f>
        <v>0.0625</v>
      </c>
      <c r="X809" s="0" t="n">
        <f aca="false">SUMPRODUCT(I809:W809,_XtX!$B$96:$P$96)</f>
        <v>41.3669682017544</v>
      </c>
      <c r="Y809" s="0" t="n">
        <f aca="false">SUMPRODUCT(MMULT(I809:W809,_XtX!$B$78:$P$92),I809:W809)</f>
        <v>0.621372155975877</v>
      </c>
      <c r="Z809" s="0" t="n">
        <f aca="false">04_回帰ANOVA!$K$19*04_回帰ANOVA!$K$14*SQRT(1+Y809)</f>
        <v>1.65973880499872</v>
      </c>
      <c r="AA809" s="0" t="n">
        <f aca="false">X809-Z809</f>
        <v>39.7072293967557</v>
      </c>
      <c r="AB809" s="0" t="n">
        <f aca="false">X809+Z809</f>
        <v>43.0267070067531</v>
      </c>
      <c r="AC809" s="54" t="b">
        <f aca="false">AND(E809&gt;=01_因子設定!$L$5-0.000000001,E809&lt;=01_因子設定!$M$5+0.000000001,F809&gt;=01_因子設定!$L$6-0.000000001,F809&lt;=01_因子設定!$M$6+0.000000001,G809&gt;=01_因子設定!$L$7-0.000000001,G809&lt;=01_因子設定!$M$7+0.000000001,H809&gt;=01_因子設定!$L$8-0.000000001,H809&lt;=01_因子設定!$M$8+0.000000001,IF(01_因子設定!$B$20="Box-Behnken",E809^2+F809^2+G809^2+H809^2&lt;=2+0.000000001,TRUE()))</f>
        <v>1</v>
      </c>
      <c r="AD809" s="55" t="n">
        <f aca="false">IF(AC809,IF(01_因子設定!$B$13="最大化",AA809-01_因子設定!$B$14,IF(01_因子設定!$B$13="最小化",01_因子設定!$B$15-AB809,MIN(AA809-01_因子設定!$B$14,01_因子設定!$B$15-AB809))),-1E+030)</f>
        <v>-6.79277060324434</v>
      </c>
      <c r="AE809" s="55" t="n">
        <f aca="false">IF(AC809,IF(01_因子設定!$B$13="最大化",X809,IF(01_因子設定!$B$13="最小化",-X809,-ABS(X809-01_因子設定!$B$16))),-1E+030)</f>
        <v>41.3669682017544</v>
      </c>
      <c r="AF809" s="55" t="n">
        <f aca="false">AD809+ROW()*0.000000001</f>
        <v>-6.79276979424434</v>
      </c>
      <c r="AG809" s="55" t="n">
        <f aca="false">AE809+ROW()*0.000000001</f>
        <v>41.3669690107544</v>
      </c>
    </row>
    <row r="810" customFormat="false" ht="15" hidden="false" customHeight="false" outlineLevel="0" collapsed="false">
      <c r="A810" s="0" t="n">
        <v>1</v>
      </c>
      <c r="B810" s="0" t="n">
        <v>0</v>
      </c>
      <c r="C810" s="0" t="n">
        <v>8</v>
      </c>
      <c r="D810" s="0" t="n">
        <v>4</v>
      </c>
      <c r="E810" s="0" t="n">
        <f aca="false">-1+A810*0.25</f>
        <v>-0.75</v>
      </c>
      <c r="F810" s="0" t="n">
        <f aca="false">-1+B810*0.25</f>
        <v>-1</v>
      </c>
      <c r="G810" s="0" t="n">
        <f aca="false">-1+C810*0.25</f>
        <v>1</v>
      </c>
      <c r="H810" s="0" t="n">
        <f aca="false">-1+D810*0.25</f>
        <v>0</v>
      </c>
      <c r="I810" s="0" t="n">
        <f aca="false">1</f>
        <v>1</v>
      </c>
      <c r="J810" s="0" t="n">
        <f aca="false">E810</f>
        <v>-0.75</v>
      </c>
      <c r="K810" s="0" t="n">
        <f aca="false">F810</f>
        <v>-1</v>
      </c>
      <c r="L810" s="0" t="n">
        <f aca="false">G810</f>
        <v>1</v>
      </c>
      <c r="M810" s="0" t="n">
        <f aca="false">H810</f>
        <v>0</v>
      </c>
      <c r="N810" s="0" t="n">
        <f aca="false">E810*F810</f>
        <v>0.75</v>
      </c>
      <c r="O810" s="0" t="n">
        <f aca="false">E810*G810</f>
        <v>-0.75</v>
      </c>
      <c r="P810" s="0" t="n">
        <f aca="false">E810*H810</f>
        <v>-0</v>
      </c>
      <c r="Q810" s="0" t="n">
        <f aca="false">F810*G810</f>
        <v>-1</v>
      </c>
      <c r="R810" s="0" t="n">
        <f aca="false">F810*H810</f>
        <v>-0</v>
      </c>
      <c r="S810" s="0" t="n">
        <f aca="false">G810*H810</f>
        <v>0</v>
      </c>
      <c r="T810" s="0" t="n">
        <f aca="false">E810*E810</f>
        <v>0.5625</v>
      </c>
      <c r="U810" s="0" t="n">
        <f aca="false">F810*F810</f>
        <v>1</v>
      </c>
      <c r="V810" s="0" t="n">
        <f aca="false">G810*G810</f>
        <v>1</v>
      </c>
      <c r="W810" s="0" t="n">
        <f aca="false">H810*H810</f>
        <v>0</v>
      </c>
      <c r="X810" s="0" t="n">
        <f aca="false">SUMPRODUCT(I810:W810,_XtX!$B$96:$P$96)</f>
        <v>41.5938230994152</v>
      </c>
      <c r="Y810" s="0" t="n">
        <f aca="false">SUMPRODUCT(MMULT(I810:W810,_XtX!$B$78:$P$92),I810:W810)</f>
        <v>0.646198830409357</v>
      </c>
      <c r="Z810" s="0" t="n">
        <f aca="false">04_回帰ANOVA!$K$19*04_回帰ANOVA!$K$14*SQRT(1+Y810)</f>
        <v>1.67239760569756</v>
      </c>
      <c r="AA810" s="0" t="n">
        <f aca="false">X810-Z810</f>
        <v>39.9214254937176</v>
      </c>
      <c r="AB810" s="0" t="n">
        <f aca="false">X810+Z810</f>
        <v>43.2662207051128</v>
      </c>
      <c r="AC810" s="54" t="b">
        <f aca="false">AND(E810&gt;=01_因子設定!$L$5-0.000000001,E810&lt;=01_因子設定!$M$5+0.000000001,F810&gt;=01_因子設定!$L$6-0.000000001,F810&lt;=01_因子設定!$M$6+0.000000001,G810&gt;=01_因子設定!$L$7-0.000000001,G810&lt;=01_因子設定!$M$7+0.000000001,H810&gt;=01_因子設定!$L$8-0.000000001,H810&lt;=01_因子設定!$M$8+0.000000001,IF(01_因子設定!$B$20="Box-Behnken",E810^2+F810^2+G810^2+H810^2&lt;=2+0.000000001,TRUE()))</f>
        <v>1</v>
      </c>
      <c r="AD810" s="55" t="n">
        <f aca="false">IF(AC810,IF(01_因子設定!$B$13="最大化",AA810-01_因子設定!$B$14,IF(01_因子設定!$B$13="最小化",01_因子設定!$B$15-AB810,MIN(AA810-01_因子設定!$B$14,01_因子設定!$B$15-AB810))),-1E+030)</f>
        <v>-6.57857450628236</v>
      </c>
      <c r="AE810" s="55" t="n">
        <f aca="false">IF(AC810,IF(01_因子設定!$B$13="最大化",X810,IF(01_因子設定!$B$13="最小化",-X810,-ABS(X810-01_因子設定!$B$16))),-1E+030)</f>
        <v>41.5938230994152</v>
      </c>
      <c r="AF810" s="55" t="n">
        <f aca="false">AD810+ROW()*0.000000001</f>
        <v>-6.57857369628236</v>
      </c>
      <c r="AG810" s="55" t="n">
        <f aca="false">AE810+ROW()*0.000000001</f>
        <v>41.5938239094152</v>
      </c>
    </row>
    <row r="811" customFormat="false" ht="15" hidden="false" customHeight="false" outlineLevel="0" collapsed="false">
      <c r="A811" s="0" t="n">
        <v>1</v>
      </c>
      <c r="B811" s="0" t="n">
        <v>0</v>
      </c>
      <c r="C811" s="0" t="n">
        <v>8</v>
      </c>
      <c r="D811" s="0" t="n">
        <v>5</v>
      </c>
      <c r="E811" s="0" t="n">
        <f aca="false">-1+A811*0.25</f>
        <v>-0.75</v>
      </c>
      <c r="F811" s="0" t="n">
        <f aca="false">-1+B811*0.25</f>
        <v>-1</v>
      </c>
      <c r="G811" s="0" t="n">
        <f aca="false">-1+C811*0.25</f>
        <v>1</v>
      </c>
      <c r="H811" s="0" t="n">
        <f aca="false">-1+D811*0.25</f>
        <v>0.25</v>
      </c>
      <c r="I811" s="0" t="n">
        <f aca="false">1</f>
        <v>1</v>
      </c>
      <c r="J811" s="0" t="n">
        <f aca="false">E811</f>
        <v>-0.75</v>
      </c>
      <c r="K811" s="0" t="n">
        <f aca="false">F811</f>
        <v>-1</v>
      </c>
      <c r="L811" s="0" t="n">
        <f aca="false">G811</f>
        <v>1</v>
      </c>
      <c r="M811" s="0" t="n">
        <f aca="false">H811</f>
        <v>0.25</v>
      </c>
      <c r="N811" s="0" t="n">
        <f aca="false">E811*F811</f>
        <v>0.75</v>
      </c>
      <c r="O811" s="0" t="n">
        <f aca="false">E811*G811</f>
        <v>-0.75</v>
      </c>
      <c r="P811" s="0" t="n">
        <f aca="false">E811*H811</f>
        <v>-0.1875</v>
      </c>
      <c r="Q811" s="0" t="n">
        <f aca="false">F811*G811</f>
        <v>-1</v>
      </c>
      <c r="R811" s="0" t="n">
        <f aca="false">F811*H811</f>
        <v>-0.25</v>
      </c>
      <c r="S811" s="0" t="n">
        <f aca="false">G811*H811</f>
        <v>0.25</v>
      </c>
      <c r="T811" s="0" t="n">
        <f aca="false">E811*E811</f>
        <v>0.5625</v>
      </c>
      <c r="U811" s="0" t="n">
        <f aca="false">F811*F811</f>
        <v>1</v>
      </c>
      <c r="V811" s="0" t="n">
        <f aca="false">G811*G811</f>
        <v>1</v>
      </c>
      <c r="W811" s="0" t="n">
        <f aca="false">H811*H811</f>
        <v>0.0625</v>
      </c>
      <c r="X811" s="0" t="n">
        <f aca="false">SUMPRODUCT(I811:W811,_XtX!$B$96:$P$96)</f>
        <v>41.7728709795322</v>
      </c>
      <c r="Y811" s="0" t="n">
        <f aca="false">SUMPRODUCT(MMULT(I811:W811,_XtX!$B$78:$P$92),I811:W811)</f>
        <v>0.621372155975877</v>
      </c>
      <c r="Z811" s="0" t="n">
        <f aca="false">04_回帰ANOVA!$K$19*04_回帰ANOVA!$K$14*SQRT(1+Y811)</f>
        <v>1.65973880499872</v>
      </c>
      <c r="AA811" s="0" t="n">
        <f aca="false">X811-Z811</f>
        <v>40.1131321745334</v>
      </c>
      <c r="AB811" s="0" t="n">
        <f aca="false">X811+Z811</f>
        <v>43.4326097845309</v>
      </c>
      <c r="AC811" s="54" t="b">
        <f aca="false">AND(E811&gt;=01_因子設定!$L$5-0.000000001,E811&lt;=01_因子設定!$M$5+0.000000001,F811&gt;=01_因子設定!$L$6-0.000000001,F811&lt;=01_因子設定!$M$6+0.000000001,G811&gt;=01_因子設定!$L$7-0.000000001,G811&lt;=01_因子設定!$M$7+0.000000001,H811&gt;=01_因子設定!$L$8-0.000000001,H811&lt;=01_因子設定!$M$8+0.000000001,IF(01_因子設定!$B$20="Box-Behnken",E811^2+F811^2+G811^2+H811^2&lt;=2+0.000000001,TRUE()))</f>
        <v>1</v>
      </c>
      <c r="AD811" s="55" t="n">
        <f aca="false">IF(AC811,IF(01_因子設定!$B$13="最大化",AA811-01_因子設定!$B$14,IF(01_因子設定!$B$13="最小化",01_因子設定!$B$15-AB811,MIN(AA811-01_因子設定!$B$14,01_因子設定!$B$15-AB811))),-1E+030)</f>
        <v>-6.38686782546656</v>
      </c>
      <c r="AE811" s="55" t="n">
        <f aca="false">IF(AC811,IF(01_因子設定!$B$13="最大化",X811,IF(01_因子設定!$B$13="最小化",-X811,-ABS(X811-01_因子設定!$B$16))),-1E+030)</f>
        <v>41.7728709795322</v>
      </c>
      <c r="AF811" s="55" t="n">
        <f aca="false">AD811+ROW()*0.000000001</f>
        <v>-6.38686701446656</v>
      </c>
      <c r="AG811" s="55" t="n">
        <f aca="false">AE811+ROW()*0.000000001</f>
        <v>41.7728717905322</v>
      </c>
    </row>
    <row r="812" customFormat="false" ht="15" hidden="false" customHeight="false" outlineLevel="0" collapsed="false">
      <c r="A812" s="0" t="n">
        <v>1</v>
      </c>
      <c r="B812" s="0" t="n">
        <v>0</v>
      </c>
      <c r="C812" s="0" t="n">
        <v>8</v>
      </c>
      <c r="D812" s="0" t="n">
        <v>6</v>
      </c>
      <c r="E812" s="0" t="n">
        <f aca="false">-1+A812*0.25</f>
        <v>-0.75</v>
      </c>
      <c r="F812" s="0" t="n">
        <f aca="false">-1+B812*0.25</f>
        <v>-1</v>
      </c>
      <c r="G812" s="0" t="n">
        <f aca="false">-1+C812*0.25</f>
        <v>1</v>
      </c>
      <c r="H812" s="0" t="n">
        <f aca="false">-1+D812*0.25</f>
        <v>0.5</v>
      </c>
      <c r="I812" s="0" t="n">
        <f aca="false">1</f>
        <v>1</v>
      </c>
      <c r="J812" s="0" t="n">
        <f aca="false">E812</f>
        <v>-0.75</v>
      </c>
      <c r="K812" s="0" t="n">
        <f aca="false">F812</f>
        <v>-1</v>
      </c>
      <c r="L812" s="0" t="n">
        <f aca="false">G812</f>
        <v>1</v>
      </c>
      <c r="M812" s="0" t="n">
        <f aca="false">H812</f>
        <v>0.5</v>
      </c>
      <c r="N812" s="0" t="n">
        <f aca="false">E812*F812</f>
        <v>0.75</v>
      </c>
      <c r="O812" s="0" t="n">
        <f aca="false">E812*G812</f>
        <v>-0.75</v>
      </c>
      <c r="P812" s="0" t="n">
        <f aca="false">E812*H812</f>
        <v>-0.375</v>
      </c>
      <c r="Q812" s="0" t="n">
        <f aca="false">F812*G812</f>
        <v>-1</v>
      </c>
      <c r="R812" s="0" t="n">
        <f aca="false">F812*H812</f>
        <v>-0.5</v>
      </c>
      <c r="S812" s="0" t="n">
        <f aca="false">G812*H812</f>
        <v>0.5</v>
      </c>
      <c r="T812" s="0" t="n">
        <f aca="false">E812*E812</f>
        <v>0.5625</v>
      </c>
      <c r="U812" s="0" t="n">
        <f aca="false">F812*F812</f>
        <v>1</v>
      </c>
      <c r="V812" s="0" t="n">
        <f aca="false">G812*G812</f>
        <v>1</v>
      </c>
      <c r="W812" s="0" t="n">
        <f aca="false">H812*H812</f>
        <v>0.25</v>
      </c>
      <c r="X812" s="0" t="n">
        <f aca="false">SUMPRODUCT(I812:W812,_XtX!$B$96:$P$96)</f>
        <v>41.9041118421053</v>
      </c>
      <c r="Y812" s="0" t="n">
        <f aca="false">SUMPRODUCT(MMULT(I812:W812,_XtX!$B$78:$P$92),I812:W812)</f>
        <v>0.564984237938597</v>
      </c>
      <c r="Z812" s="0" t="n">
        <f aca="false">04_回帰ANOVA!$K$19*04_回帰ANOVA!$K$14*SQRT(1+Y812)</f>
        <v>1.63062229734503</v>
      </c>
      <c r="AA812" s="0" t="n">
        <f aca="false">X812-Z812</f>
        <v>40.2734895447602</v>
      </c>
      <c r="AB812" s="0" t="n">
        <f aca="false">X812+Z812</f>
        <v>43.5347341394503</v>
      </c>
      <c r="AC812" s="54" t="b">
        <f aca="false">AND(E812&gt;=01_因子設定!$L$5-0.000000001,E812&lt;=01_因子設定!$M$5+0.000000001,F812&gt;=01_因子設定!$L$6-0.000000001,F812&lt;=01_因子設定!$M$6+0.000000001,G812&gt;=01_因子設定!$L$7-0.000000001,G812&lt;=01_因子設定!$M$7+0.000000001,H812&gt;=01_因子設定!$L$8-0.000000001,H812&lt;=01_因子設定!$M$8+0.000000001,IF(01_因子設定!$B$20="Box-Behnken",E812^2+F812^2+G812^2+H812^2&lt;=2+0.000000001,TRUE()))</f>
        <v>1</v>
      </c>
      <c r="AD812" s="55" t="n">
        <f aca="false">IF(AC812,IF(01_因子設定!$B$13="最大化",AA812-01_因子設定!$B$14,IF(01_因子設定!$B$13="最小化",01_因子設定!$B$15-AB812,MIN(AA812-01_因子設定!$B$14,01_因子設定!$B$15-AB812))),-1E+030)</f>
        <v>-6.22651045523978</v>
      </c>
      <c r="AE812" s="55" t="n">
        <f aca="false">IF(AC812,IF(01_因子設定!$B$13="最大化",X812,IF(01_因子設定!$B$13="最小化",-X812,-ABS(X812-01_因子設定!$B$16))),-1E+030)</f>
        <v>41.9041118421053</v>
      </c>
      <c r="AF812" s="55" t="n">
        <f aca="false">AD812+ROW()*0.000000001</f>
        <v>-6.22650964323978</v>
      </c>
      <c r="AG812" s="55" t="n">
        <f aca="false">AE812+ROW()*0.000000001</f>
        <v>41.9041126541053</v>
      </c>
    </row>
    <row r="813" customFormat="false" ht="15" hidden="false" customHeight="false" outlineLevel="0" collapsed="false">
      <c r="A813" s="0" t="n">
        <v>1</v>
      </c>
      <c r="B813" s="0" t="n">
        <v>0</v>
      </c>
      <c r="C813" s="0" t="n">
        <v>8</v>
      </c>
      <c r="D813" s="0" t="n">
        <v>7</v>
      </c>
      <c r="E813" s="0" t="n">
        <f aca="false">-1+A813*0.25</f>
        <v>-0.75</v>
      </c>
      <c r="F813" s="0" t="n">
        <f aca="false">-1+B813*0.25</f>
        <v>-1</v>
      </c>
      <c r="G813" s="0" t="n">
        <f aca="false">-1+C813*0.25</f>
        <v>1</v>
      </c>
      <c r="H813" s="0" t="n">
        <f aca="false">-1+D813*0.25</f>
        <v>0.75</v>
      </c>
      <c r="I813" s="0" t="n">
        <f aca="false">1</f>
        <v>1</v>
      </c>
      <c r="J813" s="0" t="n">
        <f aca="false">E813</f>
        <v>-0.75</v>
      </c>
      <c r="K813" s="0" t="n">
        <f aca="false">F813</f>
        <v>-1</v>
      </c>
      <c r="L813" s="0" t="n">
        <f aca="false">G813</f>
        <v>1</v>
      </c>
      <c r="M813" s="0" t="n">
        <f aca="false">H813</f>
        <v>0.75</v>
      </c>
      <c r="N813" s="0" t="n">
        <f aca="false">E813*F813</f>
        <v>0.75</v>
      </c>
      <c r="O813" s="0" t="n">
        <f aca="false">E813*G813</f>
        <v>-0.75</v>
      </c>
      <c r="P813" s="0" t="n">
        <f aca="false">E813*H813</f>
        <v>-0.5625</v>
      </c>
      <c r="Q813" s="0" t="n">
        <f aca="false">F813*G813</f>
        <v>-1</v>
      </c>
      <c r="R813" s="0" t="n">
        <f aca="false">F813*H813</f>
        <v>-0.75</v>
      </c>
      <c r="S813" s="0" t="n">
        <f aca="false">G813*H813</f>
        <v>0.75</v>
      </c>
      <c r="T813" s="0" t="n">
        <f aca="false">E813*E813</f>
        <v>0.5625</v>
      </c>
      <c r="U813" s="0" t="n">
        <f aca="false">F813*F813</f>
        <v>1</v>
      </c>
      <c r="V813" s="0" t="n">
        <f aca="false">G813*G813</f>
        <v>1</v>
      </c>
      <c r="W813" s="0" t="n">
        <f aca="false">H813*H813</f>
        <v>0.5625</v>
      </c>
      <c r="X813" s="0" t="n">
        <f aca="false">SUMPRODUCT(I813:W813,_XtX!$B$96:$P$96)</f>
        <v>41.9875456871345</v>
      </c>
      <c r="Y813" s="0" t="n">
        <f aca="false">SUMPRODUCT(MMULT(I813:W813,_XtX!$B$78:$P$92),I813:W813)</f>
        <v>0.531311392086988</v>
      </c>
      <c r="Z813" s="0" t="n">
        <f aca="false">04_回帰ANOVA!$K$19*04_回帰ANOVA!$K$14*SQRT(1+Y813)</f>
        <v>1.61298433431428</v>
      </c>
      <c r="AA813" s="0" t="n">
        <f aca="false">X813-Z813</f>
        <v>40.3745613528202</v>
      </c>
      <c r="AB813" s="0" t="n">
        <f aca="false">X813+Z813</f>
        <v>43.6005300214488</v>
      </c>
      <c r="AC813" s="54" t="b">
        <f aca="false">AND(E813&gt;=01_因子設定!$L$5-0.000000001,E813&lt;=01_因子設定!$M$5+0.000000001,F813&gt;=01_因子設定!$L$6-0.000000001,F813&lt;=01_因子設定!$M$6+0.000000001,G813&gt;=01_因子設定!$L$7-0.000000001,G813&lt;=01_因子設定!$M$7+0.000000001,H813&gt;=01_因子設定!$L$8-0.000000001,H813&lt;=01_因子設定!$M$8+0.000000001,IF(01_因子設定!$B$20="Box-Behnken",E813^2+F813^2+G813^2+H813^2&lt;=2+0.000000001,TRUE()))</f>
        <v>1</v>
      </c>
      <c r="AD813" s="55" t="n">
        <f aca="false">IF(AC813,IF(01_因子設定!$B$13="最大化",AA813-01_因子設定!$B$14,IF(01_因子設定!$B$13="最小化",01_因子設定!$B$15-AB813,MIN(AA813-01_因子設定!$B$14,01_因子設定!$B$15-AB813))),-1E+030)</f>
        <v>-6.12543864717977</v>
      </c>
      <c r="AE813" s="55" t="n">
        <f aca="false">IF(AC813,IF(01_因子設定!$B$13="最大化",X813,IF(01_因子設定!$B$13="最小化",-X813,-ABS(X813-01_因子設定!$B$16))),-1E+030)</f>
        <v>41.9875456871345</v>
      </c>
      <c r="AF813" s="55" t="n">
        <f aca="false">AD813+ROW()*0.000000001</f>
        <v>-6.12543783417977</v>
      </c>
      <c r="AG813" s="55" t="n">
        <f aca="false">AE813+ROW()*0.000000001</f>
        <v>41.9875465001345</v>
      </c>
    </row>
    <row r="814" customFormat="false" ht="15" hidden="false" customHeight="false" outlineLevel="0" collapsed="false">
      <c r="A814" s="0" t="n">
        <v>1</v>
      </c>
      <c r="B814" s="0" t="n">
        <v>0</v>
      </c>
      <c r="C814" s="0" t="n">
        <v>8</v>
      </c>
      <c r="D814" s="0" t="n">
        <v>8</v>
      </c>
      <c r="E814" s="0" t="n">
        <f aca="false">-1+A814*0.25</f>
        <v>-0.75</v>
      </c>
      <c r="F814" s="0" t="n">
        <f aca="false">-1+B814*0.25</f>
        <v>-1</v>
      </c>
      <c r="G814" s="0" t="n">
        <f aca="false">-1+C814*0.25</f>
        <v>1</v>
      </c>
      <c r="H814" s="0" t="n">
        <f aca="false">-1+D814*0.25</f>
        <v>1</v>
      </c>
      <c r="I814" s="0" t="n">
        <f aca="false">1</f>
        <v>1</v>
      </c>
      <c r="J814" s="0" t="n">
        <f aca="false">E814</f>
        <v>-0.75</v>
      </c>
      <c r="K814" s="0" t="n">
        <f aca="false">F814</f>
        <v>-1</v>
      </c>
      <c r="L814" s="0" t="n">
        <f aca="false">G814</f>
        <v>1</v>
      </c>
      <c r="M814" s="0" t="n">
        <f aca="false">H814</f>
        <v>1</v>
      </c>
      <c r="N814" s="0" t="n">
        <f aca="false">E814*F814</f>
        <v>0.75</v>
      </c>
      <c r="O814" s="0" t="n">
        <f aca="false">E814*G814</f>
        <v>-0.75</v>
      </c>
      <c r="P814" s="0" t="n">
        <f aca="false">E814*H814</f>
        <v>-0.75</v>
      </c>
      <c r="Q814" s="0" t="n">
        <f aca="false">F814*G814</f>
        <v>-1</v>
      </c>
      <c r="R814" s="0" t="n">
        <f aca="false">F814*H814</f>
        <v>-1</v>
      </c>
      <c r="S814" s="0" t="n">
        <f aca="false">G814*H814</f>
        <v>1</v>
      </c>
      <c r="T814" s="0" t="n">
        <f aca="false">E814*E814</f>
        <v>0.5625</v>
      </c>
      <c r="U814" s="0" t="n">
        <f aca="false">F814*F814</f>
        <v>1</v>
      </c>
      <c r="V814" s="0" t="n">
        <f aca="false">G814*G814</f>
        <v>1</v>
      </c>
      <c r="W814" s="0" t="n">
        <f aca="false">H814*H814</f>
        <v>1</v>
      </c>
      <c r="X814" s="0" t="n">
        <f aca="false">SUMPRODUCT(I814:W814,_XtX!$B$96:$P$96)</f>
        <v>42.0231725146199</v>
      </c>
      <c r="Y814" s="0" t="n">
        <f aca="false">SUMPRODUCT(MMULT(I814:W814,_XtX!$B$78:$P$92),I814:W814)</f>
        <v>0.610814144736842</v>
      </c>
      <c r="Z814" s="0" t="n">
        <f aca="false">04_回帰ANOVA!$K$19*04_回帰ANOVA!$K$14*SQRT(1+Y814)</f>
        <v>1.6543260558361</v>
      </c>
      <c r="AA814" s="0" t="n">
        <f aca="false">X814-Z814</f>
        <v>40.3688464587838</v>
      </c>
      <c r="AB814" s="0" t="n">
        <f aca="false">X814+Z814</f>
        <v>43.677498570456</v>
      </c>
      <c r="AC814" s="54" t="b">
        <f aca="false">AND(E814&gt;=01_因子設定!$L$5-0.000000001,E814&lt;=01_因子設定!$M$5+0.000000001,F814&gt;=01_因子設定!$L$6-0.000000001,F814&lt;=01_因子設定!$M$6+0.000000001,G814&gt;=01_因子設定!$L$7-0.000000001,G814&lt;=01_因子設定!$M$7+0.000000001,H814&gt;=01_因子設定!$L$8-0.000000001,H814&lt;=01_因子設定!$M$8+0.000000001,IF(01_因子設定!$B$20="Box-Behnken",E814^2+F814^2+G814^2+H814^2&lt;=2+0.000000001,TRUE()))</f>
        <v>1</v>
      </c>
      <c r="AD814" s="55" t="n">
        <f aca="false">IF(AC814,IF(01_因子設定!$B$13="最大化",AA814-01_因子設定!$B$14,IF(01_因子設定!$B$13="最小化",01_因子設定!$B$15-AB814,MIN(AA814-01_因子設定!$B$14,01_因子設定!$B$15-AB814))),-1E+030)</f>
        <v>-6.13115354121619</v>
      </c>
      <c r="AE814" s="55" t="n">
        <f aca="false">IF(AC814,IF(01_因子設定!$B$13="最大化",X814,IF(01_因子設定!$B$13="最小化",-X814,-ABS(X814-01_因子設定!$B$16))),-1E+030)</f>
        <v>42.0231725146199</v>
      </c>
      <c r="AF814" s="55" t="n">
        <f aca="false">AD814+ROW()*0.000000001</f>
        <v>-6.13115272721619</v>
      </c>
      <c r="AG814" s="55" t="n">
        <f aca="false">AE814+ROW()*0.000000001</f>
        <v>42.0231733286199</v>
      </c>
    </row>
    <row r="815" customFormat="false" ht="15" hidden="false" customHeight="false" outlineLevel="0" collapsed="false">
      <c r="A815" s="0" t="n">
        <v>1</v>
      </c>
      <c r="B815" s="0" t="n">
        <v>1</v>
      </c>
      <c r="C815" s="0" t="n">
        <v>0</v>
      </c>
      <c r="D815" s="0" t="n">
        <v>0</v>
      </c>
      <c r="E815" s="0" t="n">
        <f aca="false">-1+A815*0.25</f>
        <v>-0.75</v>
      </c>
      <c r="F815" s="0" t="n">
        <f aca="false">-1+B815*0.25</f>
        <v>-0.75</v>
      </c>
      <c r="G815" s="0" t="n">
        <f aca="false">-1+C815*0.25</f>
        <v>-1</v>
      </c>
      <c r="H815" s="0" t="n">
        <f aca="false">-1+D815*0.25</f>
        <v>-1</v>
      </c>
      <c r="I815" s="0" t="n">
        <f aca="false">1</f>
        <v>1</v>
      </c>
      <c r="J815" s="0" t="n">
        <f aca="false">E815</f>
        <v>-0.75</v>
      </c>
      <c r="K815" s="0" t="n">
        <f aca="false">F815</f>
        <v>-0.75</v>
      </c>
      <c r="L815" s="0" t="n">
        <f aca="false">G815</f>
        <v>-1</v>
      </c>
      <c r="M815" s="0" t="n">
        <f aca="false">H815</f>
        <v>-1</v>
      </c>
      <c r="N815" s="0" t="n">
        <f aca="false">E815*F815</f>
        <v>0.5625</v>
      </c>
      <c r="O815" s="0" t="n">
        <f aca="false">E815*G815</f>
        <v>0.75</v>
      </c>
      <c r="P815" s="0" t="n">
        <f aca="false">E815*H815</f>
        <v>0.75</v>
      </c>
      <c r="Q815" s="0" t="n">
        <f aca="false">F815*G815</f>
        <v>0.75</v>
      </c>
      <c r="R815" s="0" t="n">
        <f aca="false">F815*H815</f>
        <v>0.75</v>
      </c>
      <c r="S815" s="0" t="n">
        <f aca="false">G815*H815</f>
        <v>1</v>
      </c>
      <c r="T815" s="0" t="n">
        <f aca="false">E815*E815</f>
        <v>0.5625</v>
      </c>
      <c r="U815" s="0" t="n">
        <f aca="false">F815*F815</f>
        <v>0.5625</v>
      </c>
      <c r="V815" s="0" t="n">
        <f aca="false">G815*G815</f>
        <v>1</v>
      </c>
      <c r="W815" s="0" t="n">
        <f aca="false">H815*H815</f>
        <v>1</v>
      </c>
      <c r="X815" s="0" t="n">
        <f aca="false">SUMPRODUCT(I815:W815,_XtX!$B$96:$P$96)</f>
        <v>40.0753929093568</v>
      </c>
      <c r="Y815" s="0" t="n">
        <f aca="false">SUMPRODUCT(MMULT(I815:W815,_XtX!$B$78:$P$92),I815:W815)</f>
        <v>0.531311392086988</v>
      </c>
      <c r="Z815" s="0" t="n">
        <f aca="false">04_回帰ANOVA!$K$19*04_回帰ANOVA!$K$14*SQRT(1+Y815)</f>
        <v>1.61298433431428</v>
      </c>
      <c r="AA815" s="0" t="n">
        <f aca="false">X815-Z815</f>
        <v>38.4624085750425</v>
      </c>
      <c r="AB815" s="0" t="n">
        <f aca="false">X815+Z815</f>
        <v>41.688377243671</v>
      </c>
      <c r="AC815" s="54" t="b">
        <f aca="false">AND(E815&gt;=01_因子設定!$L$5-0.000000001,E815&lt;=01_因子設定!$M$5+0.000000001,F815&gt;=01_因子設定!$L$6-0.000000001,F815&lt;=01_因子設定!$M$6+0.000000001,G815&gt;=01_因子設定!$L$7-0.000000001,G815&lt;=01_因子設定!$M$7+0.000000001,H815&gt;=01_因子設定!$L$8-0.000000001,H815&lt;=01_因子設定!$M$8+0.000000001,IF(01_因子設定!$B$20="Box-Behnken",E815^2+F815^2+G815^2+H815^2&lt;=2+0.000000001,TRUE()))</f>
        <v>1</v>
      </c>
      <c r="AD815" s="55" t="n">
        <f aca="false">IF(AC815,IF(01_因子設定!$B$13="最大化",AA815-01_因子設定!$B$14,IF(01_因子設定!$B$13="最小化",01_因子設定!$B$15-AB815,MIN(AA815-01_因子設定!$B$14,01_因子設定!$B$15-AB815))),-1E+030)</f>
        <v>-8.03759142495753</v>
      </c>
      <c r="AE815" s="55" t="n">
        <f aca="false">IF(AC815,IF(01_因子設定!$B$13="最大化",X815,IF(01_因子設定!$B$13="最小化",-X815,-ABS(X815-01_因子設定!$B$16))),-1E+030)</f>
        <v>40.0753929093568</v>
      </c>
      <c r="AF815" s="55" t="n">
        <f aca="false">AD815+ROW()*0.000000001</f>
        <v>-8.03759060995753</v>
      </c>
      <c r="AG815" s="55" t="n">
        <f aca="false">AE815+ROW()*0.000000001</f>
        <v>40.0753937243568</v>
      </c>
    </row>
    <row r="816" customFormat="false" ht="15" hidden="false" customHeight="false" outlineLevel="0" collapsed="false">
      <c r="A816" s="0" t="n">
        <v>1</v>
      </c>
      <c r="B816" s="0" t="n">
        <v>1</v>
      </c>
      <c r="C816" s="0" t="n">
        <v>0</v>
      </c>
      <c r="D816" s="0" t="n">
        <v>1</v>
      </c>
      <c r="E816" s="0" t="n">
        <f aca="false">-1+A816*0.25</f>
        <v>-0.75</v>
      </c>
      <c r="F816" s="0" t="n">
        <f aca="false">-1+B816*0.25</f>
        <v>-0.75</v>
      </c>
      <c r="G816" s="0" t="n">
        <f aca="false">-1+C816*0.25</f>
        <v>-1</v>
      </c>
      <c r="H816" s="0" t="n">
        <f aca="false">-1+D816*0.25</f>
        <v>-0.75</v>
      </c>
      <c r="I816" s="0" t="n">
        <f aca="false">1</f>
        <v>1</v>
      </c>
      <c r="J816" s="0" t="n">
        <f aca="false">E816</f>
        <v>-0.75</v>
      </c>
      <c r="K816" s="0" t="n">
        <f aca="false">F816</f>
        <v>-0.75</v>
      </c>
      <c r="L816" s="0" t="n">
        <f aca="false">G816</f>
        <v>-1</v>
      </c>
      <c r="M816" s="0" t="n">
        <f aca="false">H816</f>
        <v>-0.75</v>
      </c>
      <c r="N816" s="0" t="n">
        <f aca="false">E816*F816</f>
        <v>0.5625</v>
      </c>
      <c r="O816" s="0" t="n">
        <f aca="false">E816*G816</f>
        <v>0.75</v>
      </c>
      <c r="P816" s="0" t="n">
        <f aca="false">E816*H816</f>
        <v>0.5625</v>
      </c>
      <c r="Q816" s="0" t="n">
        <f aca="false">F816*G816</f>
        <v>0.75</v>
      </c>
      <c r="R816" s="0" t="n">
        <f aca="false">F816*H816</f>
        <v>0.5625</v>
      </c>
      <c r="S816" s="0" t="n">
        <f aca="false">G816*H816</f>
        <v>0.75</v>
      </c>
      <c r="T816" s="0" t="n">
        <f aca="false">E816*E816</f>
        <v>0.5625</v>
      </c>
      <c r="U816" s="0" t="n">
        <f aca="false">F816*F816</f>
        <v>0.5625</v>
      </c>
      <c r="V816" s="0" t="n">
        <f aca="false">G816*G816</f>
        <v>1</v>
      </c>
      <c r="W816" s="0" t="n">
        <f aca="false">H816*H816</f>
        <v>0.5625</v>
      </c>
      <c r="X816" s="0" t="n">
        <f aca="false">SUMPRODUCT(I816:W816,_XtX!$B$96:$P$96)</f>
        <v>40.2886376096491</v>
      </c>
      <c r="Y816" s="0" t="n">
        <f aca="false">SUMPRODUCT(MMULT(I816:W816,_XtX!$B$78:$P$92),I816:W816)</f>
        <v>0.420117473044591</v>
      </c>
      <c r="Z816" s="0" t="n">
        <f aca="false">04_回帰ANOVA!$K$19*04_回帰ANOVA!$K$14*SQRT(1+Y816)</f>
        <v>1.55331854827765</v>
      </c>
      <c r="AA816" s="0" t="n">
        <f aca="false">X816-Z816</f>
        <v>38.7353190613715</v>
      </c>
      <c r="AB816" s="0" t="n">
        <f aca="false">X816+Z816</f>
        <v>41.8419561579268</v>
      </c>
      <c r="AC816" s="54" t="b">
        <f aca="false">AND(E816&gt;=01_因子設定!$L$5-0.000000001,E816&lt;=01_因子設定!$M$5+0.000000001,F816&gt;=01_因子設定!$L$6-0.000000001,F816&lt;=01_因子設定!$M$6+0.000000001,G816&gt;=01_因子設定!$L$7-0.000000001,G816&lt;=01_因子設定!$M$7+0.000000001,H816&gt;=01_因子設定!$L$8-0.000000001,H816&lt;=01_因子設定!$M$8+0.000000001,IF(01_因子設定!$B$20="Box-Behnken",E816^2+F816^2+G816^2+H816^2&lt;=2+0.000000001,TRUE()))</f>
        <v>1</v>
      </c>
      <c r="AD816" s="55" t="n">
        <f aca="false">IF(AC816,IF(01_因子設定!$B$13="最大化",AA816-01_因子設定!$B$14,IF(01_因子設定!$B$13="最小化",01_因子設定!$B$15-AB816,MIN(AA816-01_因子設定!$B$14,01_因子設定!$B$15-AB816))),-1E+030)</f>
        <v>-7.76468093862851</v>
      </c>
      <c r="AE816" s="55" t="n">
        <f aca="false">IF(AC816,IF(01_因子設定!$B$13="最大化",X816,IF(01_因子設定!$B$13="最小化",-X816,-ABS(X816-01_因子設定!$B$16))),-1E+030)</f>
        <v>40.2886376096491</v>
      </c>
      <c r="AF816" s="55" t="n">
        <f aca="false">AD816+ROW()*0.000000001</f>
        <v>-7.76468012262851</v>
      </c>
      <c r="AG816" s="55" t="n">
        <f aca="false">AE816+ROW()*0.000000001</f>
        <v>40.2886384256491</v>
      </c>
    </row>
    <row r="817" customFormat="false" ht="15" hidden="false" customHeight="false" outlineLevel="0" collapsed="false">
      <c r="A817" s="0" t="n">
        <v>1</v>
      </c>
      <c r="B817" s="0" t="n">
        <v>1</v>
      </c>
      <c r="C817" s="0" t="n">
        <v>0</v>
      </c>
      <c r="D817" s="0" t="n">
        <v>2</v>
      </c>
      <c r="E817" s="0" t="n">
        <f aca="false">-1+A817*0.25</f>
        <v>-0.75</v>
      </c>
      <c r="F817" s="0" t="n">
        <f aca="false">-1+B817*0.25</f>
        <v>-0.75</v>
      </c>
      <c r="G817" s="0" t="n">
        <f aca="false">-1+C817*0.25</f>
        <v>-1</v>
      </c>
      <c r="H817" s="0" t="n">
        <f aca="false">-1+D817*0.25</f>
        <v>-0.5</v>
      </c>
      <c r="I817" s="0" t="n">
        <f aca="false">1</f>
        <v>1</v>
      </c>
      <c r="J817" s="0" t="n">
        <f aca="false">E817</f>
        <v>-0.75</v>
      </c>
      <c r="K817" s="0" t="n">
        <f aca="false">F817</f>
        <v>-0.75</v>
      </c>
      <c r="L817" s="0" t="n">
        <f aca="false">G817</f>
        <v>-1</v>
      </c>
      <c r="M817" s="0" t="n">
        <f aca="false">H817</f>
        <v>-0.5</v>
      </c>
      <c r="N817" s="0" t="n">
        <f aca="false">E817*F817</f>
        <v>0.5625</v>
      </c>
      <c r="O817" s="0" t="n">
        <f aca="false">E817*G817</f>
        <v>0.75</v>
      </c>
      <c r="P817" s="0" t="n">
        <f aca="false">E817*H817</f>
        <v>0.375</v>
      </c>
      <c r="Q817" s="0" t="n">
        <f aca="false">F817*G817</f>
        <v>0.75</v>
      </c>
      <c r="R817" s="0" t="n">
        <f aca="false">F817*H817</f>
        <v>0.375</v>
      </c>
      <c r="S817" s="0" t="n">
        <f aca="false">G817*H817</f>
        <v>0.5</v>
      </c>
      <c r="T817" s="0" t="n">
        <f aca="false">E817*E817</f>
        <v>0.5625</v>
      </c>
      <c r="U817" s="0" t="n">
        <f aca="false">F817*F817</f>
        <v>0.5625</v>
      </c>
      <c r="V817" s="0" t="n">
        <f aca="false">G817*G817</f>
        <v>1</v>
      </c>
      <c r="W817" s="0" t="n">
        <f aca="false">H817*H817</f>
        <v>0.25</v>
      </c>
      <c r="X817" s="0" t="n">
        <f aca="false">SUMPRODUCT(I817:W817,_XtX!$B$96:$P$96)</f>
        <v>40.4540752923977</v>
      </c>
      <c r="Y817" s="0" t="n">
        <f aca="false">SUMPRODUCT(MMULT(I817:W817,_XtX!$B$78:$P$92),I817:W817)</f>
        <v>0.431153771472953</v>
      </c>
      <c r="Z817" s="0" t="n">
        <f aca="false">04_回帰ANOVA!$K$19*04_回帰ANOVA!$K$14*SQRT(1+Y817)</f>
        <v>1.55934259562563</v>
      </c>
      <c r="AA817" s="0" t="n">
        <f aca="false">X817-Z817</f>
        <v>38.894732696772</v>
      </c>
      <c r="AB817" s="0" t="n">
        <f aca="false">X817+Z817</f>
        <v>42.0134178880233</v>
      </c>
      <c r="AC817" s="54" t="b">
        <f aca="false">AND(E817&gt;=01_因子設定!$L$5-0.000000001,E817&lt;=01_因子設定!$M$5+0.000000001,F817&gt;=01_因子設定!$L$6-0.000000001,F817&lt;=01_因子設定!$M$6+0.000000001,G817&gt;=01_因子設定!$L$7-0.000000001,G817&lt;=01_因子設定!$M$7+0.000000001,H817&gt;=01_因子設定!$L$8-0.000000001,H817&lt;=01_因子設定!$M$8+0.000000001,IF(01_因子設定!$B$20="Box-Behnken",E817^2+F817^2+G817^2+H817^2&lt;=2+0.000000001,TRUE()))</f>
        <v>1</v>
      </c>
      <c r="AD817" s="55" t="n">
        <f aca="false">IF(AC817,IF(01_因子設定!$B$13="最大化",AA817-01_因子設定!$B$14,IF(01_因子設定!$B$13="最小化",01_因子設定!$B$15-AB817,MIN(AA817-01_因子設定!$B$14,01_因子設定!$B$15-AB817))),-1E+030)</f>
        <v>-7.60526730322797</v>
      </c>
      <c r="AE817" s="55" t="n">
        <f aca="false">IF(AC817,IF(01_因子設定!$B$13="最大化",X817,IF(01_因子設定!$B$13="最小化",-X817,-ABS(X817-01_因子設定!$B$16))),-1E+030)</f>
        <v>40.4540752923977</v>
      </c>
      <c r="AF817" s="55" t="n">
        <f aca="false">AD817+ROW()*0.000000001</f>
        <v>-7.60526648622797</v>
      </c>
      <c r="AG817" s="55" t="n">
        <f aca="false">AE817+ROW()*0.000000001</f>
        <v>40.4540761093977</v>
      </c>
    </row>
    <row r="818" customFormat="false" ht="15" hidden="false" customHeight="false" outlineLevel="0" collapsed="false">
      <c r="A818" s="0" t="n">
        <v>1</v>
      </c>
      <c r="B818" s="0" t="n">
        <v>1</v>
      </c>
      <c r="C818" s="0" t="n">
        <v>0</v>
      </c>
      <c r="D818" s="0" t="n">
        <v>3</v>
      </c>
      <c r="E818" s="0" t="n">
        <f aca="false">-1+A818*0.25</f>
        <v>-0.75</v>
      </c>
      <c r="F818" s="0" t="n">
        <f aca="false">-1+B818*0.25</f>
        <v>-0.75</v>
      </c>
      <c r="G818" s="0" t="n">
        <f aca="false">-1+C818*0.25</f>
        <v>-1</v>
      </c>
      <c r="H818" s="0" t="n">
        <f aca="false">-1+D818*0.25</f>
        <v>-0.25</v>
      </c>
      <c r="I818" s="0" t="n">
        <f aca="false">1</f>
        <v>1</v>
      </c>
      <c r="J818" s="0" t="n">
        <f aca="false">E818</f>
        <v>-0.75</v>
      </c>
      <c r="K818" s="0" t="n">
        <f aca="false">F818</f>
        <v>-0.75</v>
      </c>
      <c r="L818" s="0" t="n">
        <f aca="false">G818</f>
        <v>-1</v>
      </c>
      <c r="M818" s="0" t="n">
        <f aca="false">H818</f>
        <v>-0.25</v>
      </c>
      <c r="N818" s="0" t="n">
        <f aca="false">E818*F818</f>
        <v>0.5625</v>
      </c>
      <c r="O818" s="0" t="n">
        <f aca="false">E818*G818</f>
        <v>0.75</v>
      </c>
      <c r="P818" s="0" t="n">
        <f aca="false">E818*H818</f>
        <v>0.1875</v>
      </c>
      <c r="Q818" s="0" t="n">
        <f aca="false">F818*G818</f>
        <v>0.75</v>
      </c>
      <c r="R818" s="0" t="n">
        <f aca="false">F818*H818</f>
        <v>0.1875</v>
      </c>
      <c r="S818" s="0" t="n">
        <f aca="false">G818*H818</f>
        <v>0.25</v>
      </c>
      <c r="T818" s="0" t="n">
        <f aca="false">E818*E818</f>
        <v>0.5625</v>
      </c>
      <c r="U818" s="0" t="n">
        <f aca="false">F818*F818</f>
        <v>0.5625</v>
      </c>
      <c r="V818" s="0" t="n">
        <f aca="false">G818*G818</f>
        <v>1</v>
      </c>
      <c r="W818" s="0" t="n">
        <f aca="false">H818*H818</f>
        <v>0.0625</v>
      </c>
      <c r="X818" s="0" t="n">
        <f aca="false">SUMPRODUCT(I818:W818,_XtX!$B$96:$P$96)</f>
        <v>40.5717059576023</v>
      </c>
      <c r="Y818" s="0" t="n">
        <f aca="false">SUMPRODUCT(MMULT(I818:W818,_XtX!$B$78:$P$92),I818:W818)</f>
        <v>0.473959761056287</v>
      </c>
      <c r="Z818" s="0" t="n">
        <f aca="false">04_回帰ANOVA!$K$19*04_回帰ANOVA!$K$14*SQRT(1+Y818)</f>
        <v>1.58249084588329</v>
      </c>
      <c r="AA818" s="0" t="n">
        <f aca="false">X818-Z818</f>
        <v>38.9892151117191</v>
      </c>
      <c r="AB818" s="0" t="n">
        <f aca="false">X818+Z818</f>
        <v>42.1541968034856</v>
      </c>
      <c r="AC818" s="54" t="b">
        <f aca="false">AND(E818&gt;=01_因子設定!$L$5-0.000000001,E818&lt;=01_因子設定!$M$5+0.000000001,F818&gt;=01_因子設定!$L$6-0.000000001,F818&lt;=01_因子設定!$M$6+0.000000001,G818&gt;=01_因子設定!$L$7-0.000000001,G818&lt;=01_因子設定!$M$7+0.000000001,H818&gt;=01_因子設定!$L$8-0.000000001,H818&lt;=01_因子設定!$M$8+0.000000001,IF(01_因子設定!$B$20="Box-Behnken",E818^2+F818^2+G818^2+H818^2&lt;=2+0.000000001,TRUE()))</f>
        <v>1</v>
      </c>
      <c r="AD818" s="55" t="n">
        <f aca="false">IF(AC818,IF(01_因子設定!$B$13="最大化",AA818-01_因子設定!$B$14,IF(01_因子設定!$B$13="最小化",01_因子設定!$B$15-AB818,MIN(AA818-01_因子設定!$B$14,01_因子設定!$B$15-AB818))),-1E+030)</f>
        <v>-7.51078488828095</v>
      </c>
      <c r="AE818" s="55" t="n">
        <f aca="false">IF(AC818,IF(01_因子設定!$B$13="最大化",X818,IF(01_因子設定!$B$13="最小化",-X818,-ABS(X818-01_因子設定!$B$16))),-1E+030)</f>
        <v>40.5717059576023</v>
      </c>
      <c r="AF818" s="55" t="n">
        <f aca="false">AD818+ROW()*0.000000001</f>
        <v>-7.51078407028095</v>
      </c>
      <c r="AG818" s="55" t="n">
        <f aca="false">AE818+ROW()*0.000000001</f>
        <v>40.5717067756023</v>
      </c>
    </row>
    <row r="819" customFormat="false" ht="15" hidden="false" customHeight="false" outlineLevel="0" collapsed="false">
      <c r="A819" s="0" t="n">
        <v>1</v>
      </c>
      <c r="B819" s="0" t="n">
        <v>1</v>
      </c>
      <c r="C819" s="0" t="n">
        <v>0</v>
      </c>
      <c r="D819" s="0" t="n">
        <v>4</v>
      </c>
      <c r="E819" s="0" t="n">
        <f aca="false">-1+A819*0.25</f>
        <v>-0.75</v>
      </c>
      <c r="F819" s="0" t="n">
        <f aca="false">-1+B819*0.25</f>
        <v>-0.75</v>
      </c>
      <c r="G819" s="0" t="n">
        <f aca="false">-1+C819*0.25</f>
        <v>-1</v>
      </c>
      <c r="H819" s="0" t="n">
        <f aca="false">-1+D819*0.25</f>
        <v>0</v>
      </c>
      <c r="I819" s="0" t="n">
        <f aca="false">1</f>
        <v>1</v>
      </c>
      <c r="J819" s="0" t="n">
        <f aca="false">E819</f>
        <v>-0.75</v>
      </c>
      <c r="K819" s="0" t="n">
        <f aca="false">F819</f>
        <v>-0.75</v>
      </c>
      <c r="L819" s="0" t="n">
        <f aca="false">G819</f>
        <v>-1</v>
      </c>
      <c r="M819" s="0" t="n">
        <f aca="false">H819</f>
        <v>0</v>
      </c>
      <c r="N819" s="0" t="n">
        <f aca="false">E819*F819</f>
        <v>0.5625</v>
      </c>
      <c r="O819" s="0" t="n">
        <f aca="false">E819*G819</f>
        <v>0.75</v>
      </c>
      <c r="P819" s="0" t="n">
        <f aca="false">E819*H819</f>
        <v>-0</v>
      </c>
      <c r="Q819" s="0" t="n">
        <f aca="false">F819*G819</f>
        <v>0.75</v>
      </c>
      <c r="R819" s="0" t="n">
        <f aca="false">F819*H819</f>
        <v>-0</v>
      </c>
      <c r="S819" s="0" t="n">
        <f aca="false">G819*H819</f>
        <v>-0</v>
      </c>
      <c r="T819" s="0" t="n">
        <f aca="false">E819*E819</f>
        <v>0.5625</v>
      </c>
      <c r="U819" s="0" t="n">
        <f aca="false">F819*F819</f>
        <v>0.5625</v>
      </c>
      <c r="V819" s="0" t="n">
        <f aca="false">G819*G819</f>
        <v>1</v>
      </c>
      <c r="W819" s="0" t="n">
        <f aca="false">H819*H819</f>
        <v>0</v>
      </c>
      <c r="X819" s="0" t="n">
        <f aca="false">SUMPRODUCT(I819:W819,_XtX!$B$96:$P$96)</f>
        <v>40.6415296052631</v>
      </c>
      <c r="Y819" s="0" t="n">
        <f aca="false">SUMPRODUCT(MMULT(I819:W819,_XtX!$B$78:$P$92),I819:W819)</f>
        <v>0.494259126005117</v>
      </c>
      <c r="Z819" s="0" t="n">
        <f aca="false">04_回帰ANOVA!$K$19*04_回帰ANOVA!$K$14*SQRT(1+Y819)</f>
        <v>1.59335061078203</v>
      </c>
      <c r="AA819" s="0" t="n">
        <f aca="false">X819-Z819</f>
        <v>39.0481789944811</v>
      </c>
      <c r="AB819" s="0" t="n">
        <f aca="false">X819+Z819</f>
        <v>42.2348802160452</v>
      </c>
      <c r="AC819" s="54" t="b">
        <f aca="false">AND(E819&gt;=01_因子設定!$L$5-0.000000001,E819&lt;=01_因子設定!$M$5+0.000000001,F819&gt;=01_因子設定!$L$6-0.000000001,F819&lt;=01_因子設定!$M$6+0.000000001,G819&gt;=01_因子設定!$L$7-0.000000001,G819&lt;=01_因子設定!$M$7+0.000000001,H819&gt;=01_因子設定!$L$8-0.000000001,H819&lt;=01_因子設定!$M$8+0.000000001,IF(01_因子設定!$B$20="Box-Behnken",E819^2+F819^2+G819^2+H819^2&lt;=2+0.000000001,TRUE()))</f>
        <v>1</v>
      </c>
      <c r="AD819" s="55" t="n">
        <f aca="false">IF(AC819,IF(01_因子設定!$B$13="最大化",AA819-01_因子設定!$B$14,IF(01_因子設定!$B$13="最小化",01_因子設定!$B$15-AB819,MIN(AA819-01_因子設定!$B$14,01_因子設定!$B$15-AB819))),-1E+030)</f>
        <v>-7.45182100551888</v>
      </c>
      <c r="AE819" s="55" t="n">
        <f aca="false">IF(AC819,IF(01_因子設定!$B$13="最大化",X819,IF(01_因子設定!$B$13="最小化",-X819,-ABS(X819-01_因子設定!$B$16))),-1E+030)</f>
        <v>40.6415296052631</v>
      </c>
      <c r="AF819" s="55" t="n">
        <f aca="false">AD819+ROW()*0.000000001</f>
        <v>-7.45182018651888</v>
      </c>
      <c r="AG819" s="55" t="n">
        <f aca="false">AE819+ROW()*0.000000001</f>
        <v>40.6415304242631</v>
      </c>
    </row>
    <row r="820" customFormat="false" ht="15" hidden="false" customHeight="false" outlineLevel="0" collapsed="false">
      <c r="A820" s="0" t="n">
        <v>1</v>
      </c>
      <c r="B820" s="0" t="n">
        <v>1</v>
      </c>
      <c r="C820" s="0" t="n">
        <v>0</v>
      </c>
      <c r="D820" s="0" t="n">
        <v>5</v>
      </c>
      <c r="E820" s="0" t="n">
        <f aca="false">-1+A820*0.25</f>
        <v>-0.75</v>
      </c>
      <c r="F820" s="0" t="n">
        <f aca="false">-1+B820*0.25</f>
        <v>-0.75</v>
      </c>
      <c r="G820" s="0" t="n">
        <f aca="false">-1+C820*0.25</f>
        <v>-1</v>
      </c>
      <c r="H820" s="0" t="n">
        <f aca="false">-1+D820*0.25</f>
        <v>0.25</v>
      </c>
      <c r="I820" s="0" t="n">
        <f aca="false">1</f>
        <v>1</v>
      </c>
      <c r="J820" s="0" t="n">
        <f aca="false">E820</f>
        <v>-0.75</v>
      </c>
      <c r="K820" s="0" t="n">
        <f aca="false">F820</f>
        <v>-0.75</v>
      </c>
      <c r="L820" s="0" t="n">
        <f aca="false">G820</f>
        <v>-1</v>
      </c>
      <c r="M820" s="0" t="n">
        <f aca="false">H820</f>
        <v>0.25</v>
      </c>
      <c r="N820" s="0" t="n">
        <f aca="false">E820*F820</f>
        <v>0.5625</v>
      </c>
      <c r="O820" s="0" t="n">
        <f aca="false">E820*G820</f>
        <v>0.75</v>
      </c>
      <c r="P820" s="0" t="n">
        <f aca="false">E820*H820</f>
        <v>-0.1875</v>
      </c>
      <c r="Q820" s="0" t="n">
        <f aca="false">F820*G820</f>
        <v>0.75</v>
      </c>
      <c r="R820" s="0" t="n">
        <f aca="false">F820*H820</f>
        <v>-0.1875</v>
      </c>
      <c r="S820" s="0" t="n">
        <f aca="false">G820*H820</f>
        <v>-0.25</v>
      </c>
      <c r="T820" s="0" t="n">
        <f aca="false">E820*E820</f>
        <v>0.5625</v>
      </c>
      <c r="U820" s="0" t="n">
        <f aca="false">F820*F820</f>
        <v>0.5625</v>
      </c>
      <c r="V820" s="0" t="n">
        <f aca="false">G820*G820</f>
        <v>1</v>
      </c>
      <c r="W820" s="0" t="n">
        <f aca="false">H820*H820</f>
        <v>0.0625</v>
      </c>
      <c r="X820" s="0" t="n">
        <f aca="false">SUMPRODUCT(I820:W820,_XtX!$B$96:$P$96)</f>
        <v>40.6635462353801</v>
      </c>
      <c r="Y820" s="0" t="n">
        <f aca="false">SUMPRODUCT(MMULT(I820:W820,_XtX!$B$78:$P$92),I820:W820)</f>
        <v>0.473959761056287</v>
      </c>
      <c r="Z820" s="0" t="n">
        <f aca="false">04_回帰ANOVA!$K$19*04_回帰ANOVA!$K$14*SQRT(1+Y820)</f>
        <v>1.58249084588329</v>
      </c>
      <c r="AA820" s="0" t="n">
        <f aca="false">X820-Z820</f>
        <v>39.0810553894968</v>
      </c>
      <c r="AB820" s="0" t="n">
        <f aca="false">X820+Z820</f>
        <v>42.2460370812634</v>
      </c>
      <c r="AC820" s="54" t="b">
        <f aca="false">AND(E820&gt;=01_因子設定!$L$5-0.000000001,E820&lt;=01_因子設定!$M$5+0.000000001,F820&gt;=01_因子設定!$L$6-0.000000001,F820&lt;=01_因子設定!$M$6+0.000000001,G820&gt;=01_因子設定!$L$7-0.000000001,G820&lt;=01_因子設定!$M$7+0.000000001,H820&gt;=01_因子設定!$L$8-0.000000001,H820&lt;=01_因子設定!$M$8+0.000000001,IF(01_因子設定!$B$20="Box-Behnken",E820^2+F820^2+G820^2+H820^2&lt;=2+0.000000001,TRUE()))</f>
        <v>1</v>
      </c>
      <c r="AD820" s="55" t="n">
        <f aca="false">IF(AC820,IF(01_因子設定!$B$13="最大化",AA820-01_因子設定!$B$14,IF(01_因子設定!$B$13="最小化",01_因子設定!$B$15-AB820,MIN(AA820-01_因子設定!$B$14,01_因子設定!$B$15-AB820))),-1E+030)</f>
        <v>-7.41894461050318</v>
      </c>
      <c r="AE820" s="55" t="n">
        <f aca="false">IF(AC820,IF(01_因子設定!$B$13="最大化",X820,IF(01_因子設定!$B$13="最小化",-X820,-ABS(X820-01_因子設定!$B$16))),-1E+030)</f>
        <v>40.6635462353801</v>
      </c>
      <c r="AF820" s="55" t="n">
        <f aca="false">AD820+ROW()*0.000000001</f>
        <v>-7.41894379050317</v>
      </c>
      <c r="AG820" s="55" t="n">
        <f aca="false">AE820+ROW()*0.000000001</f>
        <v>40.6635470553801</v>
      </c>
    </row>
    <row r="821" customFormat="false" ht="15" hidden="false" customHeight="false" outlineLevel="0" collapsed="false">
      <c r="A821" s="0" t="n">
        <v>1</v>
      </c>
      <c r="B821" s="0" t="n">
        <v>1</v>
      </c>
      <c r="C821" s="0" t="n">
        <v>0</v>
      </c>
      <c r="D821" s="0" t="n">
        <v>6</v>
      </c>
      <c r="E821" s="0" t="n">
        <f aca="false">-1+A821*0.25</f>
        <v>-0.75</v>
      </c>
      <c r="F821" s="0" t="n">
        <f aca="false">-1+B821*0.25</f>
        <v>-0.75</v>
      </c>
      <c r="G821" s="0" t="n">
        <f aca="false">-1+C821*0.25</f>
        <v>-1</v>
      </c>
      <c r="H821" s="0" t="n">
        <f aca="false">-1+D821*0.25</f>
        <v>0.5</v>
      </c>
      <c r="I821" s="0" t="n">
        <f aca="false">1</f>
        <v>1</v>
      </c>
      <c r="J821" s="0" t="n">
        <f aca="false">E821</f>
        <v>-0.75</v>
      </c>
      <c r="K821" s="0" t="n">
        <f aca="false">F821</f>
        <v>-0.75</v>
      </c>
      <c r="L821" s="0" t="n">
        <f aca="false">G821</f>
        <v>-1</v>
      </c>
      <c r="M821" s="0" t="n">
        <f aca="false">H821</f>
        <v>0.5</v>
      </c>
      <c r="N821" s="0" t="n">
        <f aca="false">E821*F821</f>
        <v>0.5625</v>
      </c>
      <c r="O821" s="0" t="n">
        <f aca="false">E821*G821</f>
        <v>0.75</v>
      </c>
      <c r="P821" s="0" t="n">
        <f aca="false">E821*H821</f>
        <v>-0.375</v>
      </c>
      <c r="Q821" s="0" t="n">
        <f aca="false">F821*G821</f>
        <v>0.75</v>
      </c>
      <c r="R821" s="0" t="n">
        <f aca="false">F821*H821</f>
        <v>-0.375</v>
      </c>
      <c r="S821" s="0" t="n">
        <f aca="false">G821*H821</f>
        <v>-0.5</v>
      </c>
      <c r="T821" s="0" t="n">
        <f aca="false">E821*E821</f>
        <v>0.5625</v>
      </c>
      <c r="U821" s="0" t="n">
        <f aca="false">F821*F821</f>
        <v>0.5625</v>
      </c>
      <c r="V821" s="0" t="n">
        <f aca="false">G821*G821</f>
        <v>1</v>
      </c>
      <c r="W821" s="0" t="n">
        <f aca="false">H821*H821</f>
        <v>0.25</v>
      </c>
      <c r="X821" s="0" t="n">
        <f aca="false">SUMPRODUCT(I821:W821,_XtX!$B$96:$P$96)</f>
        <v>40.6377558479532</v>
      </c>
      <c r="Y821" s="0" t="n">
        <f aca="false">SUMPRODUCT(MMULT(I821:W821,_XtX!$B$78:$P$92),I821:W821)</f>
        <v>0.431153771472953</v>
      </c>
      <c r="Z821" s="0" t="n">
        <f aca="false">04_回帰ANOVA!$K$19*04_回帰ANOVA!$K$14*SQRT(1+Y821)</f>
        <v>1.55934259562563</v>
      </c>
      <c r="AA821" s="0" t="n">
        <f aca="false">X821-Z821</f>
        <v>39.0784132523276</v>
      </c>
      <c r="AB821" s="0" t="n">
        <f aca="false">X821+Z821</f>
        <v>42.1970984435788</v>
      </c>
      <c r="AC821" s="54" t="b">
        <f aca="false">AND(E821&gt;=01_因子設定!$L$5-0.000000001,E821&lt;=01_因子設定!$M$5+0.000000001,F821&gt;=01_因子設定!$L$6-0.000000001,F821&lt;=01_因子設定!$M$6+0.000000001,G821&gt;=01_因子設定!$L$7-0.000000001,G821&lt;=01_因子設定!$M$7+0.000000001,H821&gt;=01_因子設定!$L$8-0.000000001,H821&lt;=01_因子設定!$M$8+0.000000001,IF(01_因子設定!$B$20="Box-Behnken",E821^2+F821^2+G821^2+H821^2&lt;=2+0.000000001,TRUE()))</f>
        <v>1</v>
      </c>
      <c r="AD821" s="55" t="n">
        <f aca="false">IF(AC821,IF(01_因子設定!$B$13="最大化",AA821-01_因子設定!$B$14,IF(01_因子設定!$B$13="最小化",01_因子設定!$B$15-AB821,MIN(AA821-01_因子設定!$B$14,01_因子設定!$B$15-AB821))),-1E+030)</f>
        <v>-7.42158674767241</v>
      </c>
      <c r="AE821" s="55" t="n">
        <f aca="false">IF(AC821,IF(01_因子設定!$B$13="最大化",X821,IF(01_因子設定!$B$13="最小化",-X821,-ABS(X821-01_因子設定!$B$16))),-1E+030)</f>
        <v>40.6377558479532</v>
      </c>
      <c r="AF821" s="55" t="n">
        <f aca="false">AD821+ROW()*0.000000001</f>
        <v>-7.42158592667241</v>
      </c>
      <c r="AG821" s="55" t="n">
        <f aca="false">AE821+ROW()*0.000000001</f>
        <v>40.6377566689532</v>
      </c>
    </row>
    <row r="822" customFormat="false" ht="15" hidden="false" customHeight="false" outlineLevel="0" collapsed="false">
      <c r="A822" s="0" t="n">
        <v>1</v>
      </c>
      <c r="B822" s="0" t="n">
        <v>1</v>
      </c>
      <c r="C822" s="0" t="n">
        <v>0</v>
      </c>
      <c r="D822" s="0" t="n">
        <v>7</v>
      </c>
      <c r="E822" s="0" t="n">
        <f aca="false">-1+A822*0.25</f>
        <v>-0.75</v>
      </c>
      <c r="F822" s="0" t="n">
        <f aca="false">-1+B822*0.25</f>
        <v>-0.75</v>
      </c>
      <c r="G822" s="0" t="n">
        <f aca="false">-1+C822*0.25</f>
        <v>-1</v>
      </c>
      <c r="H822" s="0" t="n">
        <f aca="false">-1+D822*0.25</f>
        <v>0.75</v>
      </c>
      <c r="I822" s="0" t="n">
        <f aca="false">1</f>
        <v>1</v>
      </c>
      <c r="J822" s="0" t="n">
        <f aca="false">E822</f>
        <v>-0.75</v>
      </c>
      <c r="K822" s="0" t="n">
        <f aca="false">F822</f>
        <v>-0.75</v>
      </c>
      <c r="L822" s="0" t="n">
        <f aca="false">G822</f>
        <v>-1</v>
      </c>
      <c r="M822" s="0" t="n">
        <f aca="false">H822</f>
        <v>0.75</v>
      </c>
      <c r="N822" s="0" t="n">
        <f aca="false">E822*F822</f>
        <v>0.5625</v>
      </c>
      <c r="O822" s="0" t="n">
        <f aca="false">E822*G822</f>
        <v>0.75</v>
      </c>
      <c r="P822" s="0" t="n">
        <f aca="false">E822*H822</f>
        <v>-0.5625</v>
      </c>
      <c r="Q822" s="0" t="n">
        <f aca="false">F822*G822</f>
        <v>0.75</v>
      </c>
      <c r="R822" s="0" t="n">
        <f aca="false">F822*H822</f>
        <v>-0.5625</v>
      </c>
      <c r="S822" s="0" t="n">
        <f aca="false">G822*H822</f>
        <v>-0.75</v>
      </c>
      <c r="T822" s="0" t="n">
        <f aca="false">E822*E822</f>
        <v>0.5625</v>
      </c>
      <c r="U822" s="0" t="n">
        <f aca="false">F822*F822</f>
        <v>0.5625</v>
      </c>
      <c r="V822" s="0" t="n">
        <f aca="false">G822*G822</f>
        <v>1</v>
      </c>
      <c r="W822" s="0" t="n">
        <f aca="false">H822*H822</f>
        <v>0.5625</v>
      </c>
      <c r="X822" s="0" t="n">
        <f aca="false">SUMPRODUCT(I822:W822,_XtX!$B$96:$P$96)</f>
        <v>40.5641584429825</v>
      </c>
      <c r="Y822" s="0" t="n">
        <f aca="false">SUMPRODUCT(MMULT(I822:W822,_XtX!$B$78:$P$92),I822:W822)</f>
        <v>0.420117473044591</v>
      </c>
      <c r="Z822" s="0" t="n">
        <f aca="false">04_回帰ANOVA!$K$19*04_回帰ANOVA!$K$14*SQRT(1+Y822)</f>
        <v>1.55331854827765</v>
      </c>
      <c r="AA822" s="0" t="n">
        <f aca="false">X822-Z822</f>
        <v>39.0108398947048</v>
      </c>
      <c r="AB822" s="0" t="n">
        <f aca="false">X822+Z822</f>
        <v>42.1174769912601</v>
      </c>
      <c r="AC822" s="54" t="b">
        <f aca="false">AND(E822&gt;=01_因子設定!$L$5-0.000000001,E822&lt;=01_因子設定!$M$5+0.000000001,F822&gt;=01_因子設定!$L$6-0.000000001,F822&lt;=01_因子設定!$M$6+0.000000001,G822&gt;=01_因子設定!$L$7-0.000000001,G822&lt;=01_因子設定!$M$7+0.000000001,H822&gt;=01_因子設定!$L$8-0.000000001,H822&lt;=01_因子設定!$M$8+0.000000001,IF(01_因子設定!$B$20="Box-Behnken",E822^2+F822^2+G822^2+H822^2&lt;=2+0.000000001,TRUE()))</f>
        <v>1</v>
      </c>
      <c r="AD822" s="55" t="n">
        <f aca="false">IF(AC822,IF(01_因子設定!$B$13="最大化",AA822-01_因子設定!$B$14,IF(01_因子設定!$B$13="最小化",01_因子設定!$B$15-AB822,MIN(AA822-01_因子設定!$B$14,01_因子設定!$B$15-AB822))),-1E+030)</f>
        <v>-7.48916010529518</v>
      </c>
      <c r="AE822" s="55" t="n">
        <f aca="false">IF(AC822,IF(01_因子設定!$B$13="最大化",X822,IF(01_因子設定!$B$13="最小化",-X822,-ABS(X822-01_因子設定!$B$16))),-1E+030)</f>
        <v>40.5641584429825</v>
      </c>
      <c r="AF822" s="55" t="n">
        <f aca="false">AD822+ROW()*0.000000001</f>
        <v>-7.48915928329518</v>
      </c>
      <c r="AG822" s="55" t="n">
        <f aca="false">AE822+ROW()*0.000000001</f>
        <v>40.5641592649825</v>
      </c>
    </row>
    <row r="823" customFormat="false" ht="15" hidden="false" customHeight="false" outlineLevel="0" collapsed="false">
      <c r="A823" s="0" t="n">
        <v>1</v>
      </c>
      <c r="B823" s="0" t="n">
        <v>1</v>
      </c>
      <c r="C823" s="0" t="n">
        <v>0</v>
      </c>
      <c r="D823" s="0" t="n">
        <v>8</v>
      </c>
      <c r="E823" s="0" t="n">
        <f aca="false">-1+A823*0.25</f>
        <v>-0.75</v>
      </c>
      <c r="F823" s="0" t="n">
        <f aca="false">-1+B823*0.25</f>
        <v>-0.75</v>
      </c>
      <c r="G823" s="0" t="n">
        <f aca="false">-1+C823*0.25</f>
        <v>-1</v>
      </c>
      <c r="H823" s="0" t="n">
        <f aca="false">-1+D823*0.25</f>
        <v>1</v>
      </c>
      <c r="I823" s="0" t="n">
        <f aca="false">1</f>
        <v>1</v>
      </c>
      <c r="J823" s="0" t="n">
        <f aca="false">E823</f>
        <v>-0.75</v>
      </c>
      <c r="K823" s="0" t="n">
        <f aca="false">F823</f>
        <v>-0.75</v>
      </c>
      <c r="L823" s="0" t="n">
        <f aca="false">G823</f>
        <v>-1</v>
      </c>
      <c r="M823" s="0" t="n">
        <f aca="false">H823</f>
        <v>1</v>
      </c>
      <c r="N823" s="0" t="n">
        <f aca="false">E823*F823</f>
        <v>0.5625</v>
      </c>
      <c r="O823" s="0" t="n">
        <f aca="false">E823*G823</f>
        <v>0.75</v>
      </c>
      <c r="P823" s="0" t="n">
        <f aca="false">E823*H823</f>
        <v>-0.75</v>
      </c>
      <c r="Q823" s="0" t="n">
        <f aca="false">F823*G823</f>
        <v>0.75</v>
      </c>
      <c r="R823" s="0" t="n">
        <f aca="false">F823*H823</f>
        <v>-0.75</v>
      </c>
      <c r="S823" s="0" t="n">
        <f aca="false">G823*H823</f>
        <v>-1</v>
      </c>
      <c r="T823" s="0" t="n">
        <f aca="false">E823*E823</f>
        <v>0.5625</v>
      </c>
      <c r="U823" s="0" t="n">
        <f aca="false">F823*F823</f>
        <v>0.5625</v>
      </c>
      <c r="V823" s="0" t="n">
        <f aca="false">G823*G823</f>
        <v>1</v>
      </c>
      <c r="W823" s="0" t="n">
        <f aca="false">H823*H823</f>
        <v>1</v>
      </c>
      <c r="X823" s="0" t="n">
        <f aca="false">SUMPRODUCT(I823:W823,_XtX!$B$96:$P$96)</f>
        <v>40.4427540204679</v>
      </c>
      <c r="Y823" s="0" t="n">
        <f aca="false">SUMPRODUCT(MMULT(I823:W823,_XtX!$B$78:$P$92),I823:W823)</f>
        <v>0.531311392086988</v>
      </c>
      <c r="Z823" s="0" t="n">
        <f aca="false">04_回帰ANOVA!$K$19*04_回帰ANOVA!$K$14*SQRT(1+Y823)</f>
        <v>1.61298433431428</v>
      </c>
      <c r="AA823" s="0" t="n">
        <f aca="false">X823-Z823</f>
        <v>38.8297696861536</v>
      </c>
      <c r="AB823" s="0" t="n">
        <f aca="false">X823+Z823</f>
        <v>42.0557383547821</v>
      </c>
      <c r="AC823" s="54" t="b">
        <f aca="false">AND(E823&gt;=01_因子設定!$L$5-0.000000001,E823&lt;=01_因子設定!$M$5+0.000000001,F823&gt;=01_因子設定!$L$6-0.000000001,F823&lt;=01_因子設定!$M$6+0.000000001,G823&gt;=01_因子設定!$L$7-0.000000001,G823&lt;=01_因子設定!$M$7+0.000000001,H823&gt;=01_因子設定!$L$8-0.000000001,H823&lt;=01_因子設定!$M$8+0.000000001,IF(01_因子設定!$B$20="Box-Behnken",E823^2+F823^2+G823^2+H823^2&lt;=2+0.000000001,TRUE()))</f>
        <v>1</v>
      </c>
      <c r="AD823" s="55" t="n">
        <f aca="false">IF(AC823,IF(01_因子設定!$B$13="最大化",AA823-01_因子設定!$B$14,IF(01_因子設定!$B$13="最小化",01_因子設定!$B$15-AB823,MIN(AA823-01_因子設定!$B$14,01_因子設定!$B$15-AB823))),-1E+030)</f>
        <v>-7.67023031384642</v>
      </c>
      <c r="AE823" s="55" t="n">
        <f aca="false">IF(AC823,IF(01_因子設定!$B$13="最大化",X823,IF(01_因子設定!$B$13="最小化",-X823,-ABS(X823-01_因子設定!$B$16))),-1E+030)</f>
        <v>40.4427540204679</v>
      </c>
      <c r="AF823" s="55" t="n">
        <f aca="false">AD823+ROW()*0.000000001</f>
        <v>-7.67022949084643</v>
      </c>
      <c r="AG823" s="55" t="n">
        <f aca="false">AE823+ROW()*0.000000001</f>
        <v>40.4427548434679</v>
      </c>
    </row>
    <row r="824" customFormat="false" ht="15" hidden="false" customHeight="false" outlineLevel="0" collapsed="false">
      <c r="A824" s="0" t="n">
        <v>1</v>
      </c>
      <c r="B824" s="0" t="n">
        <v>1</v>
      </c>
      <c r="C824" s="0" t="n">
        <v>1</v>
      </c>
      <c r="D824" s="0" t="n">
        <v>0</v>
      </c>
      <c r="E824" s="0" t="n">
        <f aca="false">-1+A824*0.25</f>
        <v>-0.75</v>
      </c>
      <c r="F824" s="0" t="n">
        <f aca="false">-1+B824*0.25</f>
        <v>-0.75</v>
      </c>
      <c r="G824" s="0" t="n">
        <f aca="false">-1+C824*0.25</f>
        <v>-0.75</v>
      </c>
      <c r="H824" s="0" t="n">
        <f aca="false">-1+D824*0.25</f>
        <v>-1</v>
      </c>
      <c r="I824" s="0" t="n">
        <f aca="false">1</f>
        <v>1</v>
      </c>
      <c r="J824" s="0" t="n">
        <f aca="false">E824</f>
        <v>-0.75</v>
      </c>
      <c r="K824" s="0" t="n">
        <f aca="false">F824</f>
        <v>-0.75</v>
      </c>
      <c r="L824" s="0" t="n">
        <f aca="false">G824</f>
        <v>-0.75</v>
      </c>
      <c r="M824" s="0" t="n">
        <f aca="false">H824</f>
        <v>-1</v>
      </c>
      <c r="N824" s="0" t="n">
        <f aca="false">E824*F824</f>
        <v>0.5625</v>
      </c>
      <c r="O824" s="0" t="n">
        <f aca="false">E824*G824</f>
        <v>0.5625</v>
      </c>
      <c r="P824" s="0" t="n">
        <f aca="false">E824*H824</f>
        <v>0.75</v>
      </c>
      <c r="Q824" s="0" t="n">
        <f aca="false">F824*G824</f>
        <v>0.5625</v>
      </c>
      <c r="R824" s="0" t="n">
        <f aca="false">F824*H824</f>
        <v>0.75</v>
      </c>
      <c r="S824" s="0" t="n">
        <f aca="false">G824*H824</f>
        <v>0.75</v>
      </c>
      <c r="T824" s="0" t="n">
        <f aca="false">E824*E824</f>
        <v>0.5625</v>
      </c>
      <c r="U824" s="0" t="n">
        <f aca="false">F824*F824</f>
        <v>0.5625</v>
      </c>
      <c r="V824" s="0" t="n">
        <f aca="false">G824*G824</f>
        <v>0.5625</v>
      </c>
      <c r="W824" s="0" t="n">
        <f aca="false">H824*H824</f>
        <v>1</v>
      </c>
      <c r="X824" s="0" t="n">
        <f aca="false">SUMPRODUCT(I824:W824,_XtX!$B$96:$P$96)</f>
        <v>40.6112070540936</v>
      </c>
      <c r="Y824" s="0" t="n">
        <f aca="false">SUMPRODUCT(MMULT(I824:W824,_XtX!$B$78:$P$92),I824:W824)</f>
        <v>0.420117473044591</v>
      </c>
      <c r="Z824" s="0" t="n">
        <f aca="false">04_回帰ANOVA!$K$19*04_回帰ANOVA!$K$14*SQRT(1+Y824)</f>
        <v>1.55331854827765</v>
      </c>
      <c r="AA824" s="0" t="n">
        <f aca="false">X824-Z824</f>
        <v>39.0578885058159</v>
      </c>
      <c r="AB824" s="0" t="n">
        <f aca="false">X824+Z824</f>
        <v>42.1645256023712</v>
      </c>
      <c r="AC824" s="54" t="b">
        <f aca="false">AND(E824&gt;=01_因子設定!$L$5-0.000000001,E824&lt;=01_因子設定!$M$5+0.000000001,F824&gt;=01_因子設定!$L$6-0.000000001,F824&lt;=01_因子設定!$M$6+0.000000001,G824&gt;=01_因子設定!$L$7-0.000000001,G824&lt;=01_因子設定!$M$7+0.000000001,H824&gt;=01_因子設定!$L$8-0.000000001,H824&lt;=01_因子設定!$M$8+0.000000001,IF(01_因子設定!$B$20="Box-Behnken",E824^2+F824^2+G824^2+H824^2&lt;=2+0.000000001,TRUE()))</f>
        <v>1</v>
      </c>
      <c r="AD824" s="55" t="n">
        <f aca="false">IF(AC824,IF(01_因子設定!$B$13="最大化",AA824-01_因子設定!$B$14,IF(01_因子設定!$B$13="最小化",01_因子設定!$B$15-AB824,MIN(AA824-01_因子設定!$B$14,01_因子設定!$B$15-AB824))),-1E+030)</f>
        <v>-7.44211149418405</v>
      </c>
      <c r="AE824" s="55" t="n">
        <f aca="false">IF(AC824,IF(01_因子設定!$B$13="最大化",X824,IF(01_因子設定!$B$13="最小化",-X824,-ABS(X824-01_因子設定!$B$16))),-1E+030)</f>
        <v>40.6112070540936</v>
      </c>
      <c r="AF824" s="55" t="n">
        <f aca="false">AD824+ROW()*0.000000001</f>
        <v>-7.44211067018405</v>
      </c>
      <c r="AG824" s="55" t="n">
        <f aca="false">AE824+ROW()*0.000000001</f>
        <v>40.6112078780936</v>
      </c>
    </row>
    <row r="825" customFormat="false" ht="15" hidden="false" customHeight="false" outlineLevel="0" collapsed="false">
      <c r="A825" s="0" t="n">
        <v>1</v>
      </c>
      <c r="B825" s="0" t="n">
        <v>1</v>
      </c>
      <c r="C825" s="0" t="n">
        <v>1</v>
      </c>
      <c r="D825" s="0" t="n">
        <v>1</v>
      </c>
      <c r="E825" s="0" t="n">
        <f aca="false">-1+A825*0.25</f>
        <v>-0.75</v>
      </c>
      <c r="F825" s="0" t="n">
        <f aca="false">-1+B825*0.25</f>
        <v>-0.75</v>
      </c>
      <c r="G825" s="0" t="n">
        <f aca="false">-1+C825*0.25</f>
        <v>-0.75</v>
      </c>
      <c r="H825" s="0" t="n">
        <f aca="false">-1+D825*0.25</f>
        <v>-0.75</v>
      </c>
      <c r="I825" s="0" t="n">
        <f aca="false">1</f>
        <v>1</v>
      </c>
      <c r="J825" s="0" t="n">
        <f aca="false">E825</f>
        <v>-0.75</v>
      </c>
      <c r="K825" s="0" t="n">
        <f aca="false">F825</f>
        <v>-0.75</v>
      </c>
      <c r="L825" s="0" t="n">
        <f aca="false">G825</f>
        <v>-0.75</v>
      </c>
      <c r="M825" s="0" t="n">
        <f aca="false">H825</f>
        <v>-0.75</v>
      </c>
      <c r="N825" s="0" t="n">
        <f aca="false">E825*F825</f>
        <v>0.5625</v>
      </c>
      <c r="O825" s="0" t="n">
        <f aca="false">E825*G825</f>
        <v>0.5625</v>
      </c>
      <c r="P825" s="0" t="n">
        <f aca="false">E825*H825</f>
        <v>0.5625</v>
      </c>
      <c r="Q825" s="0" t="n">
        <f aca="false">F825*G825</f>
        <v>0.5625</v>
      </c>
      <c r="R825" s="0" t="n">
        <f aca="false">F825*H825</f>
        <v>0.5625</v>
      </c>
      <c r="S825" s="0" t="n">
        <f aca="false">G825*H825</f>
        <v>0.5625</v>
      </c>
      <c r="T825" s="0" t="n">
        <f aca="false">E825*E825</f>
        <v>0.5625</v>
      </c>
      <c r="U825" s="0" t="n">
        <f aca="false">F825*F825</f>
        <v>0.5625</v>
      </c>
      <c r="V825" s="0" t="n">
        <f aca="false">G825*G825</f>
        <v>0.5625</v>
      </c>
      <c r="W825" s="0" t="n">
        <f aca="false">H825*H825</f>
        <v>0.5625</v>
      </c>
      <c r="X825" s="0" t="n">
        <f aca="false">SUMPRODUCT(I825:W825,_XtX!$B$96:$P$96)</f>
        <v>40.842420504386</v>
      </c>
      <c r="Y825" s="0" t="n">
        <f aca="false">SUMPRODUCT(MMULT(I825:W825,_XtX!$B$78:$P$92),I825:W825)</f>
        <v>0.277232387609649</v>
      </c>
      <c r="Z825" s="0" t="n">
        <f aca="false">04_回帰ANOVA!$K$19*04_回帰ANOVA!$K$14*SQRT(1+Y825)</f>
        <v>1.47310381441991</v>
      </c>
      <c r="AA825" s="0" t="n">
        <f aca="false">X825-Z825</f>
        <v>39.3693166899661</v>
      </c>
      <c r="AB825" s="0" t="n">
        <f aca="false">X825+Z825</f>
        <v>42.3155243188059</v>
      </c>
      <c r="AC825" s="54" t="b">
        <f aca="false">AND(E825&gt;=01_因子設定!$L$5-0.000000001,E825&lt;=01_因子設定!$M$5+0.000000001,F825&gt;=01_因子設定!$L$6-0.000000001,F825&lt;=01_因子設定!$M$6+0.000000001,G825&gt;=01_因子設定!$L$7-0.000000001,G825&lt;=01_因子設定!$M$7+0.000000001,H825&gt;=01_因子設定!$L$8-0.000000001,H825&lt;=01_因子設定!$M$8+0.000000001,IF(01_因子設定!$B$20="Box-Behnken",E825^2+F825^2+G825^2+H825^2&lt;=2+0.000000001,TRUE()))</f>
        <v>1</v>
      </c>
      <c r="AD825" s="55" t="n">
        <f aca="false">IF(AC825,IF(01_因子設定!$B$13="最大化",AA825-01_因子設定!$B$14,IF(01_因子設定!$B$13="最小化",01_因子設定!$B$15-AB825,MIN(AA825-01_因子設定!$B$14,01_因子設定!$B$15-AB825))),-1E+030)</f>
        <v>-7.13068331003393</v>
      </c>
      <c r="AE825" s="55" t="n">
        <f aca="false">IF(AC825,IF(01_因子設定!$B$13="最大化",X825,IF(01_因子設定!$B$13="最小化",-X825,-ABS(X825-01_因子設定!$B$16))),-1E+030)</f>
        <v>40.842420504386</v>
      </c>
      <c r="AF825" s="55" t="n">
        <f aca="false">AD825+ROW()*0.000000001</f>
        <v>-7.13068248503393</v>
      </c>
      <c r="AG825" s="55" t="n">
        <f aca="false">AE825+ROW()*0.000000001</f>
        <v>40.842421329386</v>
      </c>
    </row>
    <row r="826" customFormat="false" ht="15" hidden="false" customHeight="false" outlineLevel="0" collapsed="false">
      <c r="A826" s="0" t="n">
        <v>1</v>
      </c>
      <c r="B826" s="0" t="n">
        <v>1</v>
      </c>
      <c r="C826" s="0" t="n">
        <v>1</v>
      </c>
      <c r="D826" s="0" t="n">
        <v>2</v>
      </c>
      <c r="E826" s="0" t="n">
        <f aca="false">-1+A826*0.25</f>
        <v>-0.75</v>
      </c>
      <c r="F826" s="0" t="n">
        <f aca="false">-1+B826*0.25</f>
        <v>-0.75</v>
      </c>
      <c r="G826" s="0" t="n">
        <f aca="false">-1+C826*0.25</f>
        <v>-0.75</v>
      </c>
      <c r="H826" s="0" t="n">
        <f aca="false">-1+D826*0.25</f>
        <v>-0.5</v>
      </c>
      <c r="I826" s="0" t="n">
        <f aca="false">1</f>
        <v>1</v>
      </c>
      <c r="J826" s="0" t="n">
        <f aca="false">E826</f>
        <v>-0.75</v>
      </c>
      <c r="K826" s="0" t="n">
        <f aca="false">F826</f>
        <v>-0.75</v>
      </c>
      <c r="L826" s="0" t="n">
        <f aca="false">G826</f>
        <v>-0.75</v>
      </c>
      <c r="M826" s="0" t="n">
        <f aca="false">H826</f>
        <v>-0.5</v>
      </c>
      <c r="N826" s="0" t="n">
        <f aca="false">E826*F826</f>
        <v>0.5625</v>
      </c>
      <c r="O826" s="0" t="n">
        <f aca="false">E826*G826</f>
        <v>0.5625</v>
      </c>
      <c r="P826" s="0" t="n">
        <f aca="false">E826*H826</f>
        <v>0.375</v>
      </c>
      <c r="Q826" s="0" t="n">
        <f aca="false">F826*G826</f>
        <v>0.5625</v>
      </c>
      <c r="R826" s="0" t="n">
        <f aca="false">F826*H826</f>
        <v>0.375</v>
      </c>
      <c r="S826" s="0" t="n">
        <f aca="false">G826*H826</f>
        <v>0.375</v>
      </c>
      <c r="T826" s="0" t="n">
        <f aca="false">E826*E826</f>
        <v>0.5625</v>
      </c>
      <c r="U826" s="0" t="n">
        <f aca="false">F826*F826</f>
        <v>0.5625</v>
      </c>
      <c r="V826" s="0" t="n">
        <f aca="false">G826*G826</f>
        <v>0.5625</v>
      </c>
      <c r="W826" s="0" t="n">
        <f aca="false">H826*H826</f>
        <v>0.25</v>
      </c>
      <c r="X826" s="0" t="n">
        <f aca="false">SUMPRODUCT(I826:W826,_XtX!$B$96:$P$96)</f>
        <v>41.0258269371345</v>
      </c>
      <c r="Y826" s="0" t="n">
        <f aca="false">SUMPRODUCT(MMULT(I826:W826,_XtX!$B$78:$P$92),I826:W826)</f>
        <v>0.265632138614766</v>
      </c>
      <c r="Z826" s="0" t="n">
        <f aca="false">04_回帰ANOVA!$K$19*04_回帰ANOVA!$K$14*SQRT(1+Y826)</f>
        <v>1.46639894654257</v>
      </c>
      <c r="AA826" s="0" t="n">
        <f aca="false">X826-Z826</f>
        <v>39.5594279905919</v>
      </c>
      <c r="AB826" s="0" t="n">
        <f aca="false">X826+Z826</f>
        <v>42.4922258836771</v>
      </c>
      <c r="AC826" s="54" t="b">
        <f aca="false">AND(E826&gt;=01_因子設定!$L$5-0.000000001,E826&lt;=01_因子設定!$M$5+0.000000001,F826&gt;=01_因子設定!$L$6-0.000000001,F826&lt;=01_因子設定!$M$6+0.000000001,G826&gt;=01_因子設定!$L$7-0.000000001,G826&lt;=01_因子設定!$M$7+0.000000001,H826&gt;=01_因子設定!$L$8-0.000000001,H826&lt;=01_因子設定!$M$8+0.000000001,IF(01_因子設定!$B$20="Box-Behnken",E826^2+F826^2+G826^2+H826^2&lt;=2+0.000000001,TRUE()))</f>
        <v>1</v>
      </c>
      <c r="AD826" s="55" t="n">
        <f aca="false">IF(AC826,IF(01_因子設定!$B$13="最大化",AA826-01_因子設定!$B$14,IF(01_因子設定!$B$13="最小化",01_因子設定!$B$15-AB826,MIN(AA826-01_因子設定!$B$14,01_因子設定!$B$15-AB826))),-1E+030)</f>
        <v>-6.94057200940808</v>
      </c>
      <c r="AE826" s="55" t="n">
        <f aca="false">IF(AC826,IF(01_因子設定!$B$13="最大化",X826,IF(01_因子設定!$B$13="最小化",-X826,-ABS(X826-01_因子設定!$B$16))),-1E+030)</f>
        <v>41.0258269371345</v>
      </c>
      <c r="AF826" s="55" t="n">
        <f aca="false">AD826+ROW()*0.000000001</f>
        <v>-6.94057118340808</v>
      </c>
      <c r="AG826" s="55" t="n">
        <f aca="false">AE826+ROW()*0.000000001</f>
        <v>41.0258277631345</v>
      </c>
    </row>
    <row r="827" customFormat="false" ht="15" hidden="false" customHeight="false" outlineLevel="0" collapsed="false">
      <c r="A827" s="0" t="n">
        <v>1</v>
      </c>
      <c r="B827" s="0" t="n">
        <v>1</v>
      </c>
      <c r="C827" s="0" t="n">
        <v>1</v>
      </c>
      <c r="D827" s="0" t="n">
        <v>3</v>
      </c>
      <c r="E827" s="0" t="n">
        <f aca="false">-1+A827*0.25</f>
        <v>-0.75</v>
      </c>
      <c r="F827" s="0" t="n">
        <f aca="false">-1+B827*0.25</f>
        <v>-0.75</v>
      </c>
      <c r="G827" s="0" t="n">
        <f aca="false">-1+C827*0.25</f>
        <v>-0.75</v>
      </c>
      <c r="H827" s="0" t="n">
        <f aca="false">-1+D827*0.25</f>
        <v>-0.25</v>
      </c>
      <c r="I827" s="0" t="n">
        <f aca="false">1</f>
        <v>1</v>
      </c>
      <c r="J827" s="0" t="n">
        <f aca="false">E827</f>
        <v>-0.75</v>
      </c>
      <c r="K827" s="0" t="n">
        <f aca="false">F827</f>
        <v>-0.75</v>
      </c>
      <c r="L827" s="0" t="n">
        <f aca="false">G827</f>
        <v>-0.75</v>
      </c>
      <c r="M827" s="0" t="n">
        <f aca="false">H827</f>
        <v>-0.25</v>
      </c>
      <c r="N827" s="0" t="n">
        <f aca="false">E827*F827</f>
        <v>0.5625</v>
      </c>
      <c r="O827" s="0" t="n">
        <f aca="false">E827*G827</f>
        <v>0.5625</v>
      </c>
      <c r="P827" s="0" t="n">
        <f aca="false">E827*H827</f>
        <v>0.1875</v>
      </c>
      <c r="Q827" s="0" t="n">
        <f aca="false">F827*G827</f>
        <v>0.5625</v>
      </c>
      <c r="R827" s="0" t="n">
        <f aca="false">F827*H827</f>
        <v>0.1875</v>
      </c>
      <c r="S827" s="0" t="n">
        <f aca="false">G827*H827</f>
        <v>0.1875</v>
      </c>
      <c r="T827" s="0" t="n">
        <f aca="false">E827*E827</f>
        <v>0.5625</v>
      </c>
      <c r="U827" s="0" t="n">
        <f aca="false">F827*F827</f>
        <v>0.5625</v>
      </c>
      <c r="V827" s="0" t="n">
        <f aca="false">G827*G827</f>
        <v>0.5625</v>
      </c>
      <c r="W827" s="0" t="n">
        <f aca="false">H827*H827</f>
        <v>0.0625</v>
      </c>
      <c r="X827" s="0" t="n">
        <f aca="false">SUMPRODUCT(I827:W827,_XtX!$B$96:$P$96)</f>
        <v>41.1614263523392</v>
      </c>
      <c r="Y827" s="0" t="n">
        <f aca="false">SUMPRODUCT(MMULT(I827:W827,_XtX!$B$78:$P$92),I827:W827)</f>
        <v>0.294856199744152</v>
      </c>
      <c r="Z827" s="0" t="n">
        <f aca="false">04_回帰ANOVA!$K$19*04_回帰ANOVA!$K$14*SQRT(1+Y827)</f>
        <v>1.48323226089013</v>
      </c>
      <c r="AA827" s="0" t="n">
        <f aca="false">X827-Z827</f>
        <v>39.678194091449</v>
      </c>
      <c r="AB827" s="0" t="n">
        <f aca="false">X827+Z827</f>
        <v>42.6446586132293</v>
      </c>
      <c r="AC827" s="54" t="b">
        <f aca="false">AND(E827&gt;=01_因子設定!$L$5-0.000000001,E827&lt;=01_因子設定!$M$5+0.000000001,F827&gt;=01_因子設定!$L$6-0.000000001,F827&lt;=01_因子設定!$M$6+0.000000001,G827&gt;=01_因子設定!$L$7-0.000000001,G827&lt;=01_因子設定!$M$7+0.000000001,H827&gt;=01_因子設定!$L$8-0.000000001,H827&lt;=01_因子設定!$M$8+0.000000001,IF(01_因子設定!$B$20="Box-Behnken",E827^2+F827^2+G827^2+H827^2&lt;=2+0.000000001,TRUE()))</f>
        <v>1</v>
      </c>
      <c r="AD827" s="55" t="n">
        <f aca="false">IF(AC827,IF(01_因子設定!$B$13="最大化",AA827-01_因子設定!$B$14,IF(01_因子設定!$B$13="最小化",01_因子設定!$B$15-AB827,MIN(AA827-01_因子設定!$B$14,01_因子設定!$B$15-AB827))),-1E+030)</f>
        <v>-6.82180590855096</v>
      </c>
      <c r="AE827" s="55" t="n">
        <f aca="false">IF(AC827,IF(01_因子設定!$B$13="最大化",X827,IF(01_因子設定!$B$13="最小化",-X827,-ABS(X827-01_因子設定!$B$16))),-1E+030)</f>
        <v>41.1614263523392</v>
      </c>
      <c r="AF827" s="55" t="n">
        <f aca="false">AD827+ROW()*0.000000001</f>
        <v>-6.82180508155096</v>
      </c>
      <c r="AG827" s="55" t="n">
        <f aca="false">AE827+ROW()*0.000000001</f>
        <v>41.1614271793392</v>
      </c>
    </row>
    <row r="828" customFormat="false" ht="15" hidden="false" customHeight="false" outlineLevel="0" collapsed="false">
      <c r="A828" s="0" t="n">
        <v>1</v>
      </c>
      <c r="B828" s="0" t="n">
        <v>1</v>
      </c>
      <c r="C828" s="0" t="n">
        <v>1</v>
      </c>
      <c r="D828" s="0" t="n">
        <v>4</v>
      </c>
      <c r="E828" s="0" t="n">
        <f aca="false">-1+A828*0.25</f>
        <v>-0.75</v>
      </c>
      <c r="F828" s="0" t="n">
        <f aca="false">-1+B828*0.25</f>
        <v>-0.75</v>
      </c>
      <c r="G828" s="0" t="n">
        <f aca="false">-1+C828*0.25</f>
        <v>-0.75</v>
      </c>
      <c r="H828" s="0" t="n">
        <f aca="false">-1+D828*0.25</f>
        <v>0</v>
      </c>
      <c r="I828" s="0" t="n">
        <f aca="false">1</f>
        <v>1</v>
      </c>
      <c r="J828" s="0" t="n">
        <f aca="false">E828</f>
        <v>-0.75</v>
      </c>
      <c r="K828" s="0" t="n">
        <f aca="false">F828</f>
        <v>-0.75</v>
      </c>
      <c r="L828" s="0" t="n">
        <f aca="false">G828</f>
        <v>-0.75</v>
      </c>
      <c r="M828" s="0" t="n">
        <f aca="false">H828</f>
        <v>0</v>
      </c>
      <c r="N828" s="0" t="n">
        <f aca="false">E828*F828</f>
        <v>0.5625</v>
      </c>
      <c r="O828" s="0" t="n">
        <f aca="false">E828*G828</f>
        <v>0.5625</v>
      </c>
      <c r="P828" s="0" t="n">
        <f aca="false">E828*H828</f>
        <v>-0</v>
      </c>
      <c r="Q828" s="0" t="n">
        <f aca="false">F828*G828</f>
        <v>0.5625</v>
      </c>
      <c r="R828" s="0" t="n">
        <f aca="false">F828*H828</f>
        <v>-0</v>
      </c>
      <c r="S828" s="0" t="n">
        <f aca="false">G828*H828</f>
        <v>-0</v>
      </c>
      <c r="T828" s="0" t="n">
        <f aca="false">E828*E828</f>
        <v>0.5625</v>
      </c>
      <c r="U828" s="0" t="n">
        <f aca="false">F828*F828</f>
        <v>0.5625</v>
      </c>
      <c r="V828" s="0" t="n">
        <f aca="false">G828*G828</f>
        <v>0.5625</v>
      </c>
      <c r="W828" s="0" t="n">
        <f aca="false">H828*H828</f>
        <v>0</v>
      </c>
      <c r="X828" s="0" t="n">
        <f aca="false">SUMPRODUCT(I828:W828,_XtX!$B$96:$P$96)</f>
        <v>41.24921875</v>
      </c>
      <c r="Y828" s="0" t="n">
        <f aca="false">SUMPRODUCT(MMULT(I828:W828,_XtX!$B$78:$P$92),I828:W828)</f>
        <v>0.310628255208333</v>
      </c>
      <c r="Z828" s="0" t="n">
        <f aca="false">04_回帰ANOVA!$K$19*04_回帰ANOVA!$K$14*SQRT(1+Y828)</f>
        <v>1.49223820892344</v>
      </c>
      <c r="AA828" s="0" t="n">
        <f aca="false">X828-Z828</f>
        <v>39.7569805410766</v>
      </c>
      <c r="AB828" s="0" t="n">
        <f aca="false">X828+Z828</f>
        <v>42.7414569589234</v>
      </c>
      <c r="AC828" s="54" t="b">
        <f aca="false">AND(E828&gt;=01_因子設定!$L$5-0.000000001,E828&lt;=01_因子設定!$M$5+0.000000001,F828&gt;=01_因子設定!$L$6-0.000000001,F828&lt;=01_因子設定!$M$6+0.000000001,G828&gt;=01_因子設定!$L$7-0.000000001,G828&lt;=01_因子設定!$M$7+0.000000001,H828&gt;=01_因子設定!$L$8-0.000000001,H828&lt;=01_因子設定!$M$8+0.000000001,IF(01_因子設定!$B$20="Box-Behnken",E828^2+F828^2+G828^2+H828^2&lt;=2+0.000000001,TRUE()))</f>
        <v>1</v>
      </c>
      <c r="AD828" s="55" t="n">
        <f aca="false">IF(AC828,IF(01_因子設定!$B$13="最大化",AA828-01_因子設定!$B$14,IF(01_因子設定!$B$13="最小化",01_因子設定!$B$15-AB828,MIN(AA828-01_因子設定!$B$14,01_因子設定!$B$15-AB828))),-1E+030)</f>
        <v>-6.74301945892345</v>
      </c>
      <c r="AE828" s="55" t="n">
        <f aca="false">IF(AC828,IF(01_因子設定!$B$13="最大化",X828,IF(01_因子設定!$B$13="最小化",-X828,-ABS(X828-01_因子設定!$B$16))),-1E+030)</f>
        <v>41.24921875</v>
      </c>
      <c r="AF828" s="55" t="n">
        <f aca="false">AD828+ROW()*0.000000001</f>
        <v>-6.74301863092345</v>
      </c>
      <c r="AG828" s="55" t="n">
        <f aca="false">AE828+ROW()*0.000000001</f>
        <v>41.249219578</v>
      </c>
    </row>
    <row r="829" customFormat="false" ht="15" hidden="false" customHeight="false" outlineLevel="0" collapsed="false">
      <c r="A829" s="0" t="n">
        <v>1</v>
      </c>
      <c r="B829" s="0" t="n">
        <v>1</v>
      </c>
      <c r="C829" s="0" t="n">
        <v>1</v>
      </c>
      <c r="D829" s="0" t="n">
        <v>5</v>
      </c>
      <c r="E829" s="0" t="n">
        <f aca="false">-1+A829*0.25</f>
        <v>-0.75</v>
      </c>
      <c r="F829" s="0" t="n">
        <f aca="false">-1+B829*0.25</f>
        <v>-0.75</v>
      </c>
      <c r="G829" s="0" t="n">
        <f aca="false">-1+C829*0.25</f>
        <v>-0.75</v>
      </c>
      <c r="H829" s="0" t="n">
        <f aca="false">-1+D829*0.25</f>
        <v>0.25</v>
      </c>
      <c r="I829" s="0" t="n">
        <f aca="false">1</f>
        <v>1</v>
      </c>
      <c r="J829" s="0" t="n">
        <f aca="false">E829</f>
        <v>-0.75</v>
      </c>
      <c r="K829" s="0" t="n">
        <f aca="false">F829</f>
        <v>-0.75</v>
      </c>
      <c r="L829" s="0" t="n">
        <f aca="false">G829</f>
        <v>-0.75</v>
      </c>
      <c r="M829" s="0" t="n">
        <f aca="false">H829</f>
        <v>0.25</v>
      </c>
      <c r="N829" s="0" t="n">
        <f aca="false">E829*F829</f>
        <v>0.5625</v>
      </c>
      <c r="O829" s="0" t="n">
        <f aca="false">E829*G829</f>
        <v>0.5625</v>
      </c>
      <c r="P829" s="0" t="n">
        <f aca="false">E829*H829</f>
        <v>-0.1875</v>
      </c>
      <c r="Q829" s="0" t="n">
        <f aca="false">F829*G829</f>
        <v>0.5625</v>
      </c>
      <c r="R829" s="0" t="n">
        <f aca="false">F829*H829</f>
        <v>-0.1875</v>
      </c>
      <c r="S829" s="0" t="n">
        <f aca="false">G829*H829</f>
        <v>-0.1875</v>
      </c>
      <c r="T829" s="0" t="n">
        <f aca="false">E829*E829</f>
        <v>0.5625</v>
      </c>
      <c r="U829" s="0" t="n">
        <f aca="false">F829*F829</f>
        <v>0.5625</v>
      </c>
      <c r="V829" s="0" t="n">
        <f aca="false">G829*G829</f>
        <v>0.5625</v>
      </c>
      <c r="W829" s="0" t="n">
        <f aca="false">H829*H829</f>
        <v>0.0625</v>
      </c>
      <c r="X829" s="0" t="n">
        <f aca="false">SUMPRODUCT(I829:W829,_XtX!$B$96:$P$96)</f>
        <v>41.289204130117</v>
      </c>
      <c r="Y829" s="0" t="n">
        <f aca="false">SUMPRODUCT(MMULT(I829:W829,_XtX!$B$78:$P$92),I829:W829)</f>
        <v>0.294856199744152</v>
      </c>
      <c r="Z829" s="0" t="n">
        <f aca="false">04_回帰ANOVA!$K$19*04_回帰ANOVA!$K$14*SQRT(1+Y829)</f>
        <v>1.48323226089013</v>
      </c>
      <c r="AA829" s="0" t="n">
        <f aca="false">X829-Z829</f>
        <v>39.8059718692268</v>
      </c>
      <c r="AB829" s="0" t="n">
        <f aca="false">X829+Z829</f>
        <v>42.7724363910071</v>
      </c>
      <c r="AC829" s="54" t="b">
        <f aca="false">AND(E829&gt;=01_因子設定!$L$5-0.000000001,E829&lt;=01_因子設定!$M$5+0.000000001,F829&gt;=01_因子設定!$L$6-0.000000001,F829&lt;=01_因子設定!$M$6+0.000000001,G829&gt;=01_因子設定!$L$7-0.000000001,G829&lt;=01_因子設定!$M$7+0.000000001,H829&gt;=01_因子設定!$L$8-0.000000001,H829&lt;=01_因子設定!$M$8+0.000000001,IF(01_因子設定!$B$20="Box-Behnken",E829^2+F829^2+G829^2+H829^2&lt;=2+0.000000001,TRUE()))</f>
        <v>1</v>
      </c>
      <c r="AD829" s="55" t="n">
        <f aca="false">IF(AC829,IF(01_因子設定!$B$13="最大化",AA829-01_因子設定!$B$14,IF(01_因子設定!$B$13="最小化",01_因子設定!$B$15-AB829,MIN(AA829-01_因子設定!$B$14,01_因子設定!$B$15-AB829))),-1E+030)</f>
        <v>-6.69402813077318</v>
      </c>
      <c r="AE829" s="55" t="n">
        <f aca="false">IF(AC829,IF(01_因子設定!$B$13="最大化",X829,IF(01_因子設定!$B$13="最小化",-X829,-ABS(X829-01_因子設定!$B$16))),-1E+030)</f>
        <v>41.289204130117</v>
      </c>
      <c r="AF829" s="55" t="n">
        <f aca="false">AD829+ROW()*0.000000001</f>
        <v>-6.69402730177318</v>
      </c>
      <c r="AG829" s="55" t="n">
        <f aca="false">AE829+ROW()*0.000000001</f>
        <v>41.289204959117</v>
      </c>
    </row>
    <row r="830" customFormat="false" ht="15" hidden="false" customHeight="false" outlineLevel="0" collapsed="false">
      <c r="A830" s="0" t="n">
        <v>1</v>
      </c>
      <c r="B830" s="0" t="n">
        <v>1</v>
      </c>
      <c r="C830" s="0" t="n">
        <v>1</v>
      </c>
      <c r="D830" s="0" t="n">
        <v>6</v>
      </c>
      <c r="E830" s="0" t="n">
        <f aca="false">-1+A830*0.25</f>
        <v>-0.75</v>
      </c>
      <c r="F830" s="0" t="n">
        <f aca="false">-1+B830*0.25</f>
        <v>-0.75</v>
      </c>
      <c r="G830" s="0" t="n">
        <f aca="false">-1+C830*0.25</f>
        <v>-0.75</v>
      </c>
      <c r="H830" s="0" t="n">
        <f aca="false">-1+D830*0.25</f>
        <v>0.5</v>
      </c>
      <c r="I830" s="0" t="n">
        <f aca="false">1</f>
        <v>1</v>
      </c>
      <c r="J830" s="0" t="n">
        <f aca="false">E830</f>
        <v>-0.75</v>
      </c>
      <c r="K830" s="0" t="n">
        <f aca="false">F830</f>
        <v>-0.75</v>
      </c>
      <c r="L830" s="0" t="n">
        <f aca="false">G830</f>
        <v>-0.75</v>
      </c>
      <c r="M830" s="0" t="n">
        <f aca="false">H830</f>
        <v>0.5</v>
      </c>
      <c r="N830" s="0" t="n">
        <f aca="false">E830*F830</f>
        <v>0.5625</v>
      </c>
      <c r="O830" s="0" t="n">
        <f aca="false">E830*G830</f>
        <v>0.5625</v>
      </c>
      <c r="P830" s="0" t="n">
        <f aca="false">E830*H830</f>
        <v>-0.375</v>
      </c>
      <c r="Q830" s="0" t="n">
        <f aca="false">F830*G830</f>
        <v>0.5625</v>
      </c>
      <c r="R830" s="0" t="n">
        <f aca="false">F830*H830</f>
        <v>-0.375</v>
      </c>
      <c r="S830" s="0" t="n">
        <f aca="false">G830*H830</f>
        <v>-0.375</v>
      </c>
      <c r="T830" s="0" t="n">
        <f aca="false">E830*E830</f>
        <v>0.5625</v>
      </c>
      <c r="U830" s="0" t="n">
        <f aca="false">F830*F830</f>
        <v>0.5625</v>
      </c>
      <c r="V830" s="0" t="n">
        <f aca="false">G830*G830</f>
        <v>0.5625</v>
      </c>
      <c r="W830" s="0" t="n">
        <f aca="false">H830*H830</f>
        <v>0.25</v>
      </c>
      <c r="X830" s="0" t="n">
        <f aca="false">SUMPRODUCT(I830:W830,_XtX!$B$96:$P$96)</f>
        <v>41.2813824926901</v>
      </c>
      <c r="Y830" s="0" t="n">
        <f aca="false">SUMPRODUCT(MMULT(I830:W830,_XtX!$B$78:$P$92),I830:W830)</f>
        <v>0.265632138614766</v>
      </c>
      <c r="Z830" s="0" t="n">
        <f aca="false">04_回帰ANOVA!$K$19*04_回帰ANOVA!$K$14*SQRT(1+Y830)</f>
        <v>1.46639894654257</v>
      </c>
      <c r="AA830" s="0" t="n">
        <f aca="false">X830-Z830</f>
        <v>39.8149835461475</v>
      </c>
      <c r="AB830" s="0" t="n">
        <f aca="false">X830+Z830</f>
        <v>42.7477814392326</v>
      </c>
      <c r="AC830" s="54" t="b">
        <f aca="false">AND(E830&gt;=01_因子設定!$L$5-0.000000001,E830&lt;=01_因子設定!$M$5+0.000000001,F830&gt;=01_因子設定!$L$6-0.000000001,F830&lt;=01_因子設定!$M$6+0.000000001,G830&gt;=01_因子設定!$L$7-0.000000001,G830&lt;=01_因子設定!$M$7+0.000000001,H830&gt;=01_因子設定!$L$8-0.000000001,H830&lt;=01_因子設定!$M$8+0.000000001,IF(01_因子設定!$B$20="Box-Behnken",E830^2+F830^2+G830^2+H830^2&lt;=2+0.000000001,TRUE()))</f>
        <v>1</v>
      </c>
      <c r="AD830" s="55" t="n">
        <f aca="false">IF(AC830,IF(01_因子設定!$B$13="最大化",AA830-01_因子設定!$B$14,IF(01_因子設定!$B$13="最小化",01_因子設定!$B$15-AB830,MIN(AA830-01_因子設定!$B$14,01_因子設定!$B$15-AB830))),-1E+030)</f>
        <v>-6.68501645385252</v>
      </c>
      <c r="AE830" s="55" t="n">
        <f aca="false">IF(AC830,IF(01_因子設定!$B$13="最大化",X830,IF(01_因子設定!$B$13="最小化",-X830,-ABS(X830-01_因子設定!$B$16))),-1E+030)</f>
        <v>41.2813824926901</v>
      </c>
      <c r="AF830" s="55" t="n">
        <f aca="false">AD830+ROW()*0.000000001</f>
        <v>-6.68501562385252</v>
      </c>
      <c r="AG830" s="55" t="n">
        <f aca="false">AE830+ROW()*0.000000001</f>
        <v>41.2813833226901</v>
      </c>
    </row>
    <row r="831" customFormat="false" ht="15" hidden="false" customHeight="false" outlineLevel="0" collapsed="false">
      <c r="A831" s="0" t="n">
        <v>1</v>
      </c>
      <c r="B831" s="0" t="n">
        <v>1</v>
      </c>
      <c r="C831" s="0" t="n">
        <v>1</v>
      </c>
      <c r="D831" s="0" t="n">
        <v>7</v>
      </c>
      <c r="E831" s="0" t="n">
        <f aca="false">-1+A831*0.25</f>
        <v>-0.75</v>
      </c>
      <c r="F831" s="0" t="n">
        <f aca="false">-1+B831*0.25</f>
        <v>-0.75</v>
      </c>
      <c r="G831" s="0" t="n">
        <f aca="false">-1+C831*0.25</f>
        <v>-0.75</v>
      </c>
      <c r="H831" s="0" t="n">
        <f aca="false">-1+D831*0.25</f>
        <v>0.75</v>
      </c>
      <c r="I831" s="0" t="n">
        <f aca="false">1</f>
        <v>1</v>
      </c>
      <c r="J831" s="0" t="n">
        <f aca="false">E831</f>
        <v>-0.75</v>
      </c>
      <c r="K831" s="0" t="n">
        <f aca="false">F831</f>
        <v>-0.75</v>
      </c>
      <c r="L831" s="0" t="n">
        <f aca="false">G831</f>
        <v>-0.75</v>
      </c>
      <c r="M831" s="0" t="n">
        <f aca="false">H831</f>
        <v>0.75</v>
      </c>
      <c r="N831" s="0" t="n">
        <f aca="false">E831*F831</f>
        <v>0.5625</v>
      </c>
      <c r="O831" s="0" t="n">
        <f aca="false">E831*G831</f>
        <v>0.5625</v>
      </c>
      <c r="P831" s="0" t="n">
        <f aca="false">E831*H831</f>
        <v>-0.5625</v>
      </c>
      <c r="Q831" s="0" t="n">
        <f aca="false">F831*G831</f>
        <v>0.5625</v>
      </c>
      <c r="R831" s="0" t="n">
        <f aca="false">F831*H831</f>
        <v>-0.5625</v>
      </c>
      <c r="S831" s="0" t="n">
        <f aca="false">G831*H831</f>
        <v>-0.5625</v>
      </c>
      <c r="T831" s="0" t="n">
        <f aca="false">E831*E831</f>
        <v>0.5625</v>
      </c>
      <c r="U831" s="0" t="n">
        <f aca="false">F831*F831</f>
        <v>0.5625</v>
      </c>
      <c r="V831" s="0" t="n">
        <f aca="false">G831*G831</f>
        <v>0.5625</v>
      </c>
      <c r="W831" s="0" t="n">
        <f aca="false">H831*H831</f>
        <v>0.5625</v>
      </c>
      <c r="X831" s="0" t="n">
        <f aca="false">SUMPRODUCT(I831:W831,_XtX!$B$96:$P$96)</f>
        <v>41.2257538377193</v>
      </c>
      <c r="Y831" s="0" t="n">
        <f aca="false">SUMPRODUCT(MMULT(I831:W831,_XtX!$B$78:$P$92),I831:W831)</f>
        <v>0.277232387609649</v>
      </c>
      <c r="Z831" s="0" t="n">
        <f aca="false">04_回帰ANOVA!$K$19*04_回帰ANOVA!$K$14*SQRT(1+Y831)</f>
        <v>1.47310381441991</v>
      </c>
      <c r="AA831" s="0" t="n">
        <f aca="false">X831-Z831</f>
        <v>39.7526500232994</v>
      </c>
      <c r="AB831" s="0" t="n">
        <f aca="false">X831+Z831</f>
        <v>42.6988576521392</v>
      </c>
      <c r="AC831" s="54" t="b">
        <f aca="false">AND(E831&gt;=01_因子設定!$L$5-0.000000001,E831&lt;=01_因子設定!$M$5+0.000000001,F831&gt;=01_因子設定!$L$6-0.000000001,F831&lt;=01_因子設定!$M$6+0.000000001,G831&gt;=01_因子設定!$L$7-0.000000001,G831&lt;=01_因子設定!$M$7+0.000000001,H831&gt;=01_因子設定!$L$8-0.000000001,H831&lt;=01_因子設定!$M$8+0.000000001,IF(01_因子設定!$B$20="Box-Behnken",E831^2+F831^2+G831^2+H831^2&lt;=2+0.000000001,TRUE()))</f>
        <v>1</v>
      </c>
      <c r="AD831" s="55" t="n">
        <f aca="false">IF(AC831,IF(01_因子設定!$B$13="最大化",AA831-01_因子設定!$B$14,IF(01_因子設定!$B$13="最小化",01_因子設定!$B$15-AB831,MIN(AA831-01_因子設定!$B$14,01_因子設定!$B$15-AB831))),-1E+030)</f>
        <v>-6.7473499767006</v>
      </c>
      <c r="AE831" s="55" t="n">
        <f aca="false">IF(AC831,IF(01_因子設定!$B$13="最大化",X831,IF(01_因子設定!$B$13="最小化",-X831,-ABS(X831-01_因子設定!$B$16))),-1E+030)</f>
        <v>41.2257538377193</v>
      </c>
      <c r="AF831" s="55" t="n">
        <f aca="false">AD831+ROW()*0.000000001</f>
        <v>-6.7473491457006</v>
      </c>
      <c r="AG831" s="55" t="n">
        <f aca="false">AE831+ROW()*0.000000001</f>
        <v>41.2257546687193</v>
      </c>
    </row>
    <row r="832" customFormat="false" ht="15" hidden="false" customHeight="false" outlineLevel="0" collapsed="false">
      <c r="A832" s="0" t="n">
        <v>1</v>
      </c>
      <c r="B832" s="0" t="n">
        <v>1</v>
      </c>
      <c r="C832" s="0" t="n">
        <v>1</v>
      </c>
      <c r="D832" s="0" t="n">
        <v>8</v>
      </c>
      <c r="E832" s="0" t="n">
        <f aca="false">-1+A832*0.25</f>
        <v>-0.75</v>
      </c>
      <c r="F832" s="0" t="n">
        <f aca="false">-1+B832*0.25</f>
        <v>-0.75</v>
      </c>
      <c r="G832" s="0" t="n">
        <f aca="false">-1+C832*0.25</f>
        <v>-0.75</v>
      </c>
      <c r="H832" s="0" t="n">
        <f aca="false">-1+D832*0.25</f>
        <v>1</v>
      </c>
      <c r="I832" s="0" t="n">
        <f aca="false">1</f>
        <v>1</v>
      </c>
      <c r="J832" s="0" t="n">
        <f aca="false">E832</f>
        <v>-0.75</v>
      </c>
      <c r="K832" s="0" t="n">
        <f aca="false">F832</f>
        <v>-0.75</v>
      </c>
      <c r="L832" s="0" t="n">
        <f aca="false">G832</f>
        <v>-0.75</v>
      </c>
      <c r="M832" s="0" t="n">
        <f aca="false">H832</f>
        <v>1</v>
      </c>
      <c r="N832" s="0" t="n">
        <f aca="false">E832*F832</f>
        <v>0.5625</v>
      </c>
      <c r="O832" s="0" t="n">
        <f aca="false">E832*G832</f>
        <v>0.5625</v>
      </c>
      <c r="P832" s="0" t="n">
        <f aca="false">E832*H832</f>
        <v>-0.75</v>
      </c>
      <c r="Q832" s="0" t="n">
        <f aca="false">F832*G832</f>
        <v>0.5625</v>
      </c>
      <c r="R832" s="0" t="n">
        <f aca="false">F832*H832</f>
        <v>-0.75</v>
      </c>
      <c r="S832" s="0" t="n">
        <f aca="false">G832*H832</f>
        <v>-0.75</v>
      </c>
      <c r="T832" s="0" t="n">
        <f aca="false">E832*E832</f>
        <v>0.5625</v>
      </c>
      <c r="U832" s="0" t="n">
        <f aca="false">F832*F832</f>
        <v>0.5625</v>
      </c>
      <c r="V832" s="0" t="n">
        <f aca="false">G832*G832</f>
        <v>0.5625</v>
      </c>
      <c r="W832" s="0" t="n">
        <f aca="false">H832*H832</f>
        <v>1</v>
      </c>
      <c r="X832" s="0" t="n">
        <f aca="false">SUMPRODUCT(I832:W832,_XtX!$B$96:$P$96)</f>
        <v>41.1223181652047</v>
      </c>
      <c r="Y832" s="0" t="n">
        <f aca="false">SUMPRODUCT(MMULT(I832:W832,_XtX!$B$78:$P$92),I832:W832)</f>
        <v>0.420117473044591</v>
      </c>
      <c r="Z832" s="0" t="n">
        <f aca="false">04_回帰ANOVA!$K$19*04_回帰ANOVA!$K$14*SQRT(1+Y832)</f>
        <v>1.55331854827765</v>
      </c>
      <c r="AA832" s="0" t="n">
        <f aca="false">X832-Z832</f>
        <v>39.5689996169271</v>
      </c>
      <c r="AB832" s="0" t="n">
        <f aca="false">X832+Z832</f>
        <v>42.6756367134824</v>
      </c>
      <c r="AC832" s="54" t="b">
        <f aca="false">AND(E832&gt;=01_因子設定!$L$5-0.000000001,E832&lt;=01_因子設定!$M$5+0.000000001,F832&gt;=01_因子設定!$L$6-0.000000001,F832&lt;=01_因子設定!$M$6+0.000000001,G832&gt;=01_因子設定!$L$7-0.000000001,G832&lt;=01_因子設定!$M$7+0.000000001,H832&gt;=01_因子設定!$L$8-0.000000001,H832&lt;=01_因子設定!$M$8+0.000000001,IF(01_因子設定!$B$20="Box-Behnken",E832^2+F832^2+G832^2+H832^2&lt;=2+0.000000001,TRUE()))</f>
        <v>1</v>
      </c>
      <c r="AD832" s="55" t="n">
        <f aca="false">IF(AC832,IF(01_因子設定!$B$13="最大化",AA832-01_因子設定!$B$14,IF(01_因子設定!$B$13="最小化",01_因子設定!$B$15-AB832,MIN(AA832-01_因子設定!$B$14,01_因子設定!$B$15-AB832))),-1E+030)</f>
        <v>-6.93100038307294</v>
      </c>
      <c r="AE832" s="55" t="n">
        <f aca="false">IF(AC832,IF(01_因子設定!$B$13="最大化",X832,IF(01_因子設定!$B$13="最小化",-X832,-ABS(X832-01_因子設定!$B$16))),-1E+030)</f>
        <v>41.1223181652047</v>
      </c>
      <c r="AF832" s="55" t="n">
        <f aca="false">AD832+ROW()*0.000000001</f>
        <v>-6.93099955107294</v>
      </c>
      <c r="AG832" s="55" t="n">
        <f aca="false">AE832+ROW()*0.000000001</f>
        <v>41.1223189972047</v>
      </c>
    </row>
    <row r="833" customFormat="false" ht="15" hidden="false" customHeight="false" outlineLevel="0" collapsed="false">
      <c r="A833" s="0" t="n">
        <v>1</v>
      </c>
      <c r="B833" s="0" t="n">
        <v>1</v>
      </c>
      <c r="C833" s="0" t="n">
        <v>2</v>
      </c>
      <c r="D833" s="0" t="n">
        <v>0</v>
      </c>
      <c r="E833" s="0" t="n">
        <f aca="false">-1+A833*0.25</f>
        <v>-0.75</v>
      </c>
      <c r="F833" s="0" t="n">
        <f aca="false">-1+B833*0.25</f>
        <v>-0.75</v>
      </c>
      <c r="G833" s="0" t="n">
        <f aca="false">-1+C833*0.25</f>
        <v>-0.5</v>
      </c>
      <c r="H833" s="0" t="n">
        <f aca="false">-1+D833*0.25</f>
        <v>-1</v>
      </c>
      <c r="I833" s="0" t="n">
        <f aca="false">1</f>
        <v>1</v>
      </c>
      <c r="J833" s="0" t="n">
        <f aca="false">E833</f>
        <v>-0.75</v>
      </c>
      <c r="K833" s="0" t="n">
        <f aca="false">F833</f>
        <v>-0.75</v>
      </c>
      <c r="L833" s="0" t="n">
        <f aca="false">G833</f>
        <v>-0.5</v>
      </c>
      <c r="M833" s="0" t="n">
        <f aca="false">H833</f>
        <v>-1</v>
      </c>
      <c r="N833" s="0" t="n">
        <f aca="false">E833*F833</f>
        <v>0.5625</v>
      </c>
      <c r="O833" s="0" t="n">
        <f aca="false">E833*G833</f>
        <v>0.375</v>
      </c>
      <c r="P833" s="0" t="n">
        <f aca="false">E833*H833</f>
        <v>0.75</v>
      </c>
      <c r="Q833" s="0" t="n">
        <f aca="false">F833*G833</f>
        <v>0.375</v>
      </c>
      <c r="R833" s="0" t="n">
        <f aca="false">F833*H833</f>
        <v>0.75</v>
      </c>
      <c r="S833" s="0" t="n">
        <f aca="false">G833*H833</f>
        <v>0.5</v>
      </c>
      <c r="T833" s="0" t="n">
        <f aca="false">E833*E833</f>
        <v>0.5625</v>
      </c>
      <c r="U833" s="0" t="n">
        <f aca="false">F833*F833</f>
        <v>0.5625</v>
      </c>
      <c r="V833" s="0" t="n">
        <f aca="false">G833*G833</f>
        <v>0.25</v>
      </c>
      <c r="W833" s="0" t="n">
        <f aca="false">H833*H833</f>
        <v>1</v>
      </c>
      <c r="X833" s="0" t="n">
        <f aca="false">SUMPRODUCT(I833:W833,_XtX!$B$96:$P$96)</f>
        <v>41.0617141812866</v>
      </c>
      <c r="Y833" s="0" t="n">
        <f aca="false">SUMPRODUCT(MMULT(I833:W833,_XtX!$B$78:$P$92),I833:W833)</f>
        <v>0.431153771472953</v>
      </c>
      <c r="Z833" s="0" t="n">
        <f aca="false">04_回帰ANOVA!$K$19*04_回帰ANOVA!$K$14*SQRT(1+Y833)</f>
        <v>1.55934259562563</v>
      </c>
      <c r="AA833" s="0" t="n">
        <f aca="false">X833-Z833</f>
        <v>39.5023715856609</v>
      </c>
      <c r="AB833" s="0" t="n">
        <f aca="false">X833+Z833</f>
        <v>42.6210567769122</v>
      </c>
      <c r="AC833" s="54" t="b">
        <f aca="false">AND(E833&gt;=01_因子設定!$L$5-0.000000001,E833&lt;=01_因子設定!$M$5+0.000000001,F833&gt;=01_因子設定!$L$6-0.000000001,F833&lt;=01_因子設定!$M$6+0.000000001,G833&gt;=01_因子設定!$L$7-0.000000001,G833&lt;=01_因子設定!$M$7+0.000000001,H833&gt;=01_因子設定!$L$8-0.000000001,H833&lt;=01_因子設定!$M$8+0.000000001,IF(01_因子設定!$B$20="Box-Behnken",E833^2+F833^2+G833^2+H833^2&lt;=2+0.000000001,TRUE()))</f>
        <v>1</v>
      </c>
      <c r="AD833" s="55" t="n">
        <f aca="false">IF(AC833,IF(01_因子設定!$B$13="最大化",AA833-01_因子設定!$B$14,IF(01_因子設定!$B$13="最小化",01_因子設定!$B$15-AB833,MIN(AA833-01_因子設定!$B$14,01_因子設定!$B$15-AB833))),-1E+030)</f>
        <v>-6.99762841433905</v>
      </c>
      <c r="AE833" s="55" t="n">
        <f aca="false">IF(AC833,IF(01_因子設定!$B$13="最大化",X833,IF(01_因子設定!$B$13="最小化",-X833,-ABS(X833-01_因子設定!$B$16))),-1E+030)</f>
        <v>41.0617141812866</v>
      </c>
      <c r="AF833" s="55" t="n">
        <f aca="false">AD833+ROW()*0.000000001</f>
        <v>-6.99762758133906</v>
      </c>
      <c r="AG833" s="55" t="n">
        <f aca="false">AE833+ROW()*0.000000001</f>
        <v>41.0617150142866</v>
      </c>
    </row>
    <row r="834" customFormat="false" ht="15" hidden="false" customHeight="false" outlineLevel="0" collapsed="false">
      <c r="A834" s="0" t="n">
        <v>1</v>
      </c>
      <c r="B834" s="0" t="n">
        <v>1</v>
      </c>
      <c r="C834" s="0" t="n">
        <v>2</v>
      </c>
      <c r="D834" s="0" t="n">
        <v>1</v>
      </c>
      <c r="E834" s="0" t="n">
        <f aca="false">-1+A834*0.25</f>
        <v>-0.75</v>
      </c>
      <c r="F834" s="0" t="n">
        <f aca="false">-1+B834*0.25</f>
        <v>-0.75</v>
      </c>
      <c r="G834" s="0" t="n">
        <f aca="false">-1+C834*0.25</f>
        <v>-0.5</v>
      </c>
      <c r="H834" s="0" t="n">
        <f aca="false">-1+D834*0.25</f>
        <v>-0.75</v>
      </c>
      <c r="I834" s="0" t="n">
        <f aca="false">1</f>
        <v>1</v>
      </c>
      <c r="J834" s="0" t="n">
        <f aca="false">E834</f>
        <v>-0.75</v>
      </c>
      <c r="K834" s="0" t="n">
        <f aca="false">F834</f>
        <v>-0.75</v>
      </c>
      <c r="L834" s="0" t="n">
        <f aca="false">G834</f>
        <v>-0.5</v>
      </c>
      <c r="M834" s="0" t="n">
        <f aca="false">H834</f>
        <v>-0.75</v>
      </c>
      <c r="N834" s="0" t="n">
        <f aca="false">E834*F834</f>
        <v>0.5625</v>
      </c>
      <c r="O834" s="0" t="n">
        <f aca="false">E834*G834</f>
        <v>0.375</v>
      </c>
      <c r="P834" s="0" t="n">
        <f aca="false">E834*H834</f>
        <v>0.5625</v>
      </c>
      <c r="Q834" s="0" t="n">
        <f aca="false">F834*G834</f>
        <v>0.375</v>
      </c>
      <c r="R834" s="0" t="n">
        <f aca="false">F834*H834</f>
        <v>0.5625</v>
      </c>
      <c r="S834" s="0" t="n">
        <f aca="false">G834*H834</f>
        <v>0.375</v>
      </c>
      <c r="T834" s="0" t="n">
        <f aca="false">E834*E834</f>
        <v>0.5625</v>
      </c>
      <c r="U834" s="0" t="n">
        <f aca="false">F834*F834</f>
        <v>0.5625</v>
      </c>
      <c r="V834" s="0" t="n">
        <f aca="false">G834*G834</f>
        <v>0.25</v>
      </c>
      <c r="W834" s="0" t="n">
        <f aca="false">H834*H834</f>
        <v>0.5625</v>
      </c>
      <c r="X834" s="0" t="n">
        <f aca="false">SUMPRODUCT(I834:W834,_XtX!$B$96:$P$96)</f>
        <v>41.310896381579</v>
      </c>
      <c r="Y834" s="0" t="n">
        <f aca="false">SUMPRODUCT(MMULT(I834:W834,_XtX!$B$78:$P$92),I834:W834)</f>
        <v>0.265632138614766</v>
      </c>
      <c r="Z834" s="0" t="n">
        <f aca="false">04_回帰ANOVA!$K$19*04_回帰ANOVA!$K$14*SQRT(1+Y834)</f>
        <v>1.46639894654257</v>
      </c>
      <c r="AA834" s="0" t="n">
        <f aca="false">X834-Z834</f>
        <v>39.8444974350364</v>
      </c>
      <c r="AB834" s="0" t="n">
        <f aca="false">X834+Z834</f>
        <v>42.7772953281215</v>
      </c>
      <c r="AC834" s="54" t="b">
        <f aca="false">AND(E834&gt;=01_因子設定!$L$5-0.000000001,E834&lt;=01_因子設定!$M$5+0.000000001,F834&gt;=01_因子設定!$L$6-0.000000001,F834&lt;=01_因子設定!$M$6+0.000000001,G834&gt;=01_因子設定!$L$7-0.000000001,G834&lt;=01_因子設定!$M$7+0.000000001,H834&gt;=01_因子設定!$L$8-0.000000001,H834&lt;=01_因子設定!$M$8+0.000000001,IF(01_因子設定!$B$20="Box-Behnken",E834^2+F834^2+G834^2+H834^2&lt;=2+0.000000001,TRUE()))</f>
        <v>1</v>
      </c>
      <c r="AD834" s="55" t="n">
        <f aca="false">IF(AC834,IF(01_因子設定!$B$13="最大化",AA834-01_因子設定!$B$14,IF(01_因子設定!$B$13="最小化",01_因子設定!$B$15-AB834,MIN(AA834-01_因子設定!$B$14,01_因子設定!$B$15-AB834))),-1E+030)</f>
        <v>-6.65550256496362</v>
      </c>
      <c r="AE834" s="55" t="n">
        <f aca="false">IF(AC834,IF(01_因子設定!$B$13="最大化",X834,IF(01_因子設定!$B$13="最小化",-X834,-ABS(X834-01_因子設定!$B$16))),-1E+030)</f>
        <v>41.310896381579</v>
      </c>
      <c r="AF834" s="55" t="n">
        <f aca="false">AD834+ROW()*0.000000001</f>
        <v>-6.65550173096362</v>
      </c>
      <c r="AG834" s="55" t="n">
        <f aca="false">AE834+ROW()*0.000000001</f>
        <v>41.310897215579</v>
      </c>
    </row>
    <row r="835" customFormat="false" ht="15" hidden="false" customHeight="false" outlineLevel="0" collapsed="false">
      <c r="A835" s="0" t="n">
        <v>1</v>
      </c>
      <c r="B835" s="0" t="n">
        <v>1</v>
      </c>
      <c r="C835" s="0" t="n">
        <v>2</v>
      </c>
      <c r="D835" s="0" t="n">
        <v>2</v>
      </c>
      <c r="E835" s="0" t="n">
        <f aca="false">-1+A835*0.25</f>
        <v>-0.75</v>
      </c>
      <c r="F835" s="0" t="n">
        <f aca="false">-1+B835*0.25</f>
        <v>-0.75</v>
      </c>
      <c r="G835" s="0" t="n">
        <f aca="false">-1+C835*0.25</f>
        <v>-0.5</v>
      </c>
      <c r="H835" s="0" t="n">
        <f aca="false">-1+D835*0.25</f>
        <v>-0.5</v>
      </c>
      <c r="I835" s="0" t="n">
        <f aca="false">1</f>
        <v>1</v>
      </c>
      <c r="J835" s="0" t="n">
        <f aca="false">E835</f>
        <v>-0.75</v>
      </c>
      <c r="K835" s="0" t="n">
        <f aca="false">F835</f>
        <v>-0.75</v>
      </c>
      <c r="L835" s="0" t="n">
        <f aca="false">G835</f>
        <v>-0.5</v>
      </c>
      <c r="M835" s="0" t="n">
        <f aca="false">H835</f>
        <v>-0.5</v>
      </c>
      <c r="N835" s="0" t="n">
        <f aca="false">E835*F835</f>
        <v>0.5625</v>
      </c>
      <c r="O835" s="0" t="n">
        <f aca="false">E835*G835</f>
        <v>0.375</v>
      </c>
      <c r="P835" s="0" t="n">
        <f aca="false">E835*H835</f>
        <v>0.375</v>
      </c>
      <c r="Q835" s="0" t="n">
        <f aca="false">F835*G835</f>
        <v>0.375</v>
      </c>
      <c r="R835" s="0" t="n">
        <f aca="false">F835*H835</f>
        <v>0.375</v>
      </c>
      <c r="S835" s="0" t="n">
        <f aca="false">G835*H835</f>
        <v>0.25</v>
      </c>
      <c r="T835" s="0" t="n">
        <f aca="false">E835*E835</f>
        <v>0.5625</v>
      </c>
      <c r="U835" s="0" t="n">
        <f aca="false">F835*F835</f>
        <v>0.5625</v>
      </c>
      <c r="V835" s="0" t="n">
        <f aca="false">G835*G835</f>
        <v>0.25</v>
      </c>
      <c r="W835" s="0" t="n">
        <f aca="false">H835*H835</f>
        <v>0.25</v>
      </c>
      <c r="X835" s="0" t="n">
        <f aca="false">SUMPRODUCT(I835:W835,_XtX!$B$96:$P$96)</f>
        <v>41.5122715643275</v>
      </c>
      <c r="Y835" s="0" t="n">
        <f aca="false">SUMPRODUCT(MMULT(I835:W835,_XtX!$B$78:$P$92),I835:W835)</f>
        <v>0.237862927174708</v>
      </c>
      <c r="Z835" s="0" t="n">
        <f aca="false">04_回帰ANOVA!$K$19*04_回帰ANOVA!$K$14*SQRT(1+Y835)</f>
        <v>1.45022260708756</v>
      </c>
      <c r="AA835" s="0" t="n">
        <f aca="false">X835-Z835</f>
        <v>40.0620489572399</v>
      </c>
      <c r="AB835" s="0" t="n">
        <f aca="false">X835+Z835</f>
        <v>42.962494171415</v>
      </c>
      <c r="AC835" s="54" t="b">
        <f aca="false">AND(E835&gt;=01_因子設定!$L$5-0.000000001,E835&lt;=01_因子設定!$M$5+0.000000001,F835&gt;=01_因子設定!$L$6-0.000000001,F835&lt;=01_因子設定!$M$6+0.000000001,G835&gt;=01_因子設定!$L$7-0.000000001,G835&lt;=01_因子設定!$M$7+0.000000001,H835&gt;=01_因子設定!$L$8-0.000000001,H835&lt;=01_因子設定!$M$8+0.000000001,IF(01_因子設定!$B$20="Box-Behnken",E835^2+F835^2+G835^2+H835^2&lt;=2+0.000000001,TRUE()))</f>
        <v>1</v>
      </c>
      <c r="AD835" s="55" t="n">
        <f aca="false">IF(AC835,IF(01_因子設定!$B$13="最大化",AA835-01_因子設定!$B$14,IF(01_因子設定!$B$13="最小化",01_因子設定!$B$15-AB835,MIN(AA835-01_因子設定!$B$14,01_因子設定!$B$15-AB835))),-1E+030)</f>
        <v>-6.43795104276008</v>
      </c>
      <c r="AE835" s="55" t="n">
        <f aca="false">IF(AC835,IF(01_因子設定!$B$13="最大化",X835,IF(01_因子設定!$B$13="最小化",-X835,-ABS(X835-01_因子設定!$B$16))),-1E+030)</f>
        <v>41.5122715643275</v>
      </c>
      <c r="AF835" s="55" t="n">
        <f aca="false">AD835+ROW()*0.000000001</f>
        <v>-6.43795020776008</v>
      </c>
      <c r="AG835" s="55" t="n">
        <f aca="false">AE835+ROW()*0.000000001</f>
        <v>41.5122723993275</v>
      </c>
    </row>
    <row r="836" customFormat="false" ht="15" hidden="false" customHeight="false" outlineLevel="0" collapsed="false">
      <c r="A836" s="0" t="n">
        <v>1</v>
      </c>
      <c r="B836" s="0" t="n">
        <v>1</v>
      </c>
      <c r="C836" s="0" t="n">
        <v>2</v>
      </c>
      <c r="D836" s="0" t="n">
        <v>3</v>
      </c>
      <c r="E836" s="0" t="n">
        <f aca="false">-1+A836*0.25</f>
        <v>-0.75</v>
      </c>
      <c r="F836" s="0" t="n">
        <f aca="false">-1+B836*0.25</f>
        <v>-0.75</v>
      </c>
      <c r="G836" s="0" t="n">
        <f aca="false">-1+C836*0.25</f>
        <v>-0.5</v>
      </c>
      <c r="H836" s="0" t="n">
        <f aca="false">-1+D836*0.25</f>
        <v>-0.25</v>
      </c>
      <c r="I836" s="0" t="n">
        <f aca="false">1</f>
        <v>1</v>
      </c>
      <c r="J836" s="0" t="n">
        <f aca="false">E836</f>
        <v>-0.75</v>
      </c>
      <c r="K836" s="0" t="n">
        <f aca="false">F836</f>
        <v>-0.75</v>
      </c>
      <c r="L836" s="0" t="n">
        <f aca="false">G836</f>
        <v>-0.5</v>
      </c>
      <c r="M836" s="0" t="n">
        <f aca="false">H836</f>
        <v>-0.25</v>
      </c>
      <c r="N836" s="0" t="n">
        <f aca="false">E836*F836</f>
        <v>0.5625</v>
      </c>
      <c r="O836" s="0" t="n">
        <f aca="false">E836*G836</f>
        <v>0.375</v>
      </c>
      <c r="P836" s="0" t="n">
        <f aca="false">E836*H836</f>
        <v>0.1875</v>
      </c>
      <c r="Q836" s="0" t="n">
        <f aca="false">F836*G836</f>
        <v>0.375</v>
      </c>
      <c r="R836" s="0" t="n">
        <f aca="false">F836*H836</f>
        <v>0.1875</v>
      </c>
      <c r="S836" s="0" t="n">
        <f aca="false">G836*H836</f>
        <v>0.125</v>
      </c>
      <c r="T836" s="0" t="n">
        <f aca="false">E836*E836</f>
        <v>0.5625</v>
      </c>
      <c r="U836" s="0" t="n">
        <f aca="false">F836*F836</f>
        <v>0.5625</v>
      </c>
      <c r="V836" s="0" t="n">
        <f aca="false">G836*G836</f>
        <v>0.25</v>
      </c>
      <c r="W836" s="0" t="n">
        <f aca="false">H836*H836</f>
        <v>0.0625</v>
      </c>
      <c r="X836" s="0" t="n">
        <f aca="false">SUMPRODUCT(I836:W836,_XtX!$B$96:$P$96)</f>
        <v>41.6658397295322</v>
      </c>
      <c r="Y836" s="0" t="n">
        <f aca="false">SUMPRODUCT(MMULT(I836:W836,_XtX!$B$78:$P$92),I836:W836)</f>
        <v>0.257385610836988</v>
      </c>
      <c r="Z836" s="0" t="n">
        <f aca="false">04_回帰ANOVA!$K$19*04_回帰ANOVA!$K$14*SQRT(1+Y836)</f>
        <v>1.46161380324158</v>
      </c>
      <c r="AA836" s="0" t="n">
        <f aca="false">X836-Z836</f>
        <v>40.2042259262906</v>
      </c>
      <c r="AB836" s="0" t="n">
        <f aca="false">X836+Z836</f>
        <v>43.1274535327737</v>
      </c>
      <c r="AC836" s="54" t="b">
        <f aca="false">AND(E836&gt;=01_因子設定!$L$5-0.000000001,E836&lt;=01_因子設定!$M$5+0.000000001,F836&gt;=01_因子設定!$L$6-0.000000001,F836&lt;=01_因子設定!$M$6+0.000000001,G836&gt;=01_因子設定!$L$7-0.000000001,G836&lt;=01_因子設定!$M$7+0.000000001,H836&gt;=01_因子設定!$L$8-0.000000001,H836&lt;=01_因子設定!$M$8+0.000000001,IF(01_因子設定!$B$20="Box-Behnken",E836^2+F836^2+G836^2+H836^2&lt;=2+0.000000001,TRUE()))</f>
        <v>1</v>
      </c>
      <c r="AD836" s="55" t="n">
        <f aca="false">IF(AC836,IF(01_因子設定!$B$13="最大化",AA836-01_因子設定!$B$14,IF(01_因子設定!$B$13="最小化",01_因子設定!$B$15-AB836,MIN(AA836-01_因子設定!$B$14,01_因子設定!$B$15-AB836))),-1E+030)</f>
        <v>-6.29577407370943</v>
      </c>
      <c r="AE836" s="55" t="n">
        <f aca="false">IF(AC836,IF(01_因子設定!$B$13="最大化",X836,IF(01_因子設定!$B$13="最小化",-X836,-ABS(X836-01_因子設定!$B$16))),-1E+030)</f>
        <v>41.6658397295322</v>
      </c>
      <c r="AF836" s="55" t="n">
        <f aca="false">AD836+ROW()*0.000000001</f>
        <v>-6.29577323770943</v>
      </c>
      <c r="AG836" s="55" t="n">
        <f aca="false">AE836+ROW()*0.000000001</f>
        <v>41.6658405655322</v>
      </c>
    </row>
    <row r="837" customFormat="false" ht="15" hidden="false" customHeight="false" outlineLevel="0" collapsed="false">
      <c r="A837" s="0" t="n">
        <v>1</v>
      </c>
      <c r="B837" s="0" t="n">
        <v>1</v>
      </c>
      <c r="C837" s="0" t="n">
        <v>2</v>
      </c>
      <c r="D837" s="0" t="n">
        <v>4</v>
      </c>
      <c r="E837" s="0" t="n">
        <f aca="false">-1+A837*0.25</f>
        <v>-0.75</v>
      </c>
      <c r="F837" s="0" t="n">
        <f aca="false">-1+B837*0.25</f>
        <v>-0.75</v>
      </c>
      <c r="G837" s="0" t="n">
        <f aca="false">-1+C837*0.25</f>
        <v>-0.5</v>
      </c>
      <c r="H837" s="0" t="n">
        <f aca="false">-1+D837*0.25</f>
        <v>0</v>
      </c>
      <c r="I837" s="0" t="n">
        <f aca="false">1</f>
        <v>1</v>
      </c>
      <c r="J837" s="0" t="n">
        <f aca="false">E837</f>
        <v>-0.75</v>
      </c>
      <c r="K837" s="0" t="n">
        <f aca="false">F837</f>
        <v>-0.75</v>
      </c>
      <c r="L837" s="0" t="n">
        <f aca="false">G837</f>
        <v>-0.5</v>
      </c>
      <c r="M837" s="0" t="n">
        <f aca="false">H837</f>
        <v>0</v>
      </c>
      <c r="N837" s="0" t="n">
        <f aca="false">E837*F837</f>
        <v>0.5625</v>
      </c>
      <c r="O837" s="0" t="n">
        <f aca="false">E837*G837</f>
        <v>0.375</v>
      </c>
      <c r="P837" s="0" t="n">
        <f aca="false">E837*H837</f>
        <v>-0</v>
      </c>
      <c r="Q837" s="0" t="n">
        <f aca="false">F837*G837</f>
        <v>0.375</v>
      </c>
      <c r="R837" s="0" t="n">
        <f aca="false">F837*H837</f>
        <v>-0</v>
      </c>
      <c r="S837" s="0" t="n">
        <f aca="false">G837*H837</f>
        <v>-0</v>
      </c>
      <c r="T837" s="0" t="n">
        <f aca="false">E837*E837</f>
        <v>0.5625</v>
      </c>
      <c r="U837" s="0" t="n">
        <f aca="false">F837*F837</f>
        <v>0.5625</v>
      </c>
      <c r="V837" s="0" t="n">
        <f aca="false">G837*G837</f>
        <v>0.25</v>
      </c>
      <c r="W837" s="0" t="n">
        <f aca="false">H837*H837</f>
        <v>0</v>
      </c>
      <c r="X837" s="0" t="n">
        <f aca="false">SUMPRODUCT(I837:W837,_XtX!$B$96:$P$96)</f>
        <v>41.771600877193</v>
      </c>
      <c r="Y837" s="0" t="n">
        <f aca="false">SUMPRODUCT(MMULT(I837:W837,_XtX!$B$78:$P$92),I837:W837)</f>
        <v>0.269923873812135</v>
      </c>
      <c r="Z837" s="0" t="n">
        <f aca="false">04_回帰ANOVA!$K$19*04_回帰ANOVA!$K$14*SQRT(1+Y837)</f>
        <v>1.46888310825501</v>
      </c>
      <c r="AA837" s="0" t="n">
        <f aca="false">X837-Z837</f>
        <v>40.302717768938</v>
      </c>
      <c r="AB837" s="0" t="n">
        <f aca="false">X837+Z837</f>
        <v>43.240483985448</v>
      </c>
      <c r="AC837" s="54" t="b">
        <f aca="false">AND(E837&gt;=01_因子設定!$L$5-0.000000001,E837&lt;=01_因子設定!$M$5+0.000000001,F837&gt;=01_因子設定!$L$6-0.000000001,F837&lt;=01_因子設定!$M$6+0.000000001,G837&gt;=01_因子設定!$L$7-0.000000001,G837&lt;=01_因子設定!$M$7+0.000000001,H837&gt;=01_因子設定!$L$8-0.000000001,H837&lt;=01_因子設定!$M$8+0.000000001,IF(01_因子設定!$B$20="Box-Behnken",E837^2+F837^2+G837^2+H837^2&lt;=2+0.000000001,TRUE()))</f>
        <v>1</v>
      </c>
      <c r="AD837" s="55" t="n">
        <f aca="false">IF(AC837,IF(01_因子設定!$B$13="最大化",AA837-01_因子設定!$B$14,IF(01_因子設定!$B$13="最小化",01_因子設定!$B$15-AB837,MIN(AA837-01_因子設定!$B$14,01_因子設定!$B$15-AB837))),-1E+030)</f>
        <v>-6.19728223106204</v>
      </c>
      <c r="AE837" s="55" t="n">
        <f aca="false">IF(AC837,IF(01_因子設定!$B$13="最大化",X837,IF(01_因子設定!$B$13="最小化",-X837,-ABS(X837-01_因子設定!$B$16))),-1E+030)</f>
        <v>41.771600877193</v>
      </c>
      <c r="AF837" s="55" t="n">
        <f aca="false">AD837+ROW()*0.000000001</f>
        <v>-6.19728139406204</v>
      </c>
      <c r="AG837" s="55" t="n">
        <f aca="false">AE837+ROW()*0.000000001</f>
        <v>41.771601714193</v>
      </c>
    </row>
    <row r="838" customFormat="false" ht="15" hidden="false" customHeight="false" outlineLevel="0" collapsed="false">
      <c r="A838" s="0" t="n">
        <v>1</v>
      </c>
      <c r="B838" s="0" t="n">
        <v>1</v>
      </c>
      <c r="C838" s="0" t="n">
        <v>2</v>
      </c>
      <c r="D838" s="0" t="n">
        <v>5</v>
      </c>
      <c r="E838" s="0" t="n">
        <f aca="false">-1+A838*0.25</f>
        <v>-0.75</v>
      </c>
      <c r="F838" s="0" t="n">
        <f aca="false">-1+B838*0.25</f>
        <v>-0.75</v>
      </c>
      <c r="G838" s="0" t="n">
        <f aca="false">-1+C838*0.25</f>
        <v>-0.5</v>
      </c>
      <c r="H838" s="0" t="n">
        <f aca="false">-1+D838*0.25</f>
        <v>0.25</v>
      </c>
      <c r="I838" s="0" t="n">
        <f aca="false">1</f>
        <v>1</v>
      </c>
      <c r="J838" s="0" t="n">
        <f aca="false">E838</f>
        <v>-0.75</v>
      </c>
      <c r="K838" s="0" t="n">
        <f aca="false">F838</f>
        <v>-0.75</v>
      </c>
      <c r="L838" s="0" t="n">
        <f aca="false">G838</f>
        <v>-0.5</v>
      </c>
      <c r="M838" s="0" t="n">
        <f aca="false">H838</f>
        <v>0.25</v>
      </c>
      <c r="N838" s="0" t="n">
        <f aca="false">E838*F838</f>
        <v>0.5625</v>
      </c>
      <c r="O838" s="0" t="n">
        <f aca="false">E838*G838</f>
        <v>0.375</v>
      </c>
      <c r="P838" s="0" t="n">
        <f aca="false">E838*H838</f>
        <v>-0.1875</v>
      </c>
      <c r="Q838" s="0" t="n">
        <f aca="false">F838*G838</f>
        <v>0.375</v>
      </c>
      <c r="R838" s="0" t="n">
        <f aca="false">F838*H838</f>
        <v>-0.1875</v>
      </c>
      <c r="S838" s="0" t="n">
        <f aca="false">G838*H838</f>
        <v>-0.125</v>
      </c>
      <c r="T838" s="0" t="n">
        <f aca="false">E838*E838</f>
        <v>0.5625</v>
      </c>
      <c r="U838" s="0" t="n">
        <f aca="false">F838*F838</f>
        <v>0.5625</v>
      </c>
      <c r="V838" s="0" t="n">
        <f aca="false">G838*G838</f>
        <v>0.25</v>
      </c>
      <c r="W838" s="0" t="n">
        <f aca="false">H838*H838</f>
        <v>0.0625</v>
      </c>
      <c r="X838" s="0" t="n">
        <f aca="false">SUMPRODUCT(I838:W838,_XtX!$B$96:$P$96)</f>
        <v>41.8295550073099</v>
      </c>
      <c r="Y838" s="0" t="n">
        <f aca="false">SUMPRODUCT(MMULT(I838:W838,_XtX!$B$78:$P$92),I838:W838)</f>
        <v>0.257385610836988</v>
      </c>
      <c r="Z838" s="0" t="n">
        <f aca="false">04_回帰ANOVA!$K$19*04_回帰ANOVA!$K$14*SQRT(1+Y838)</f>
        <v>1.46161380324158</v>
      </c>
      <c r="AA838" s="0" t="n">
        <f aca="false">X838-Z838</f>
        <v>40.3679412040683</v>
      </c>
      <c r="AB838" s="0" t="n">
        <f aca="false">X838+Z838</f>
        <v>43.2911688105515</v>
      </c>
      <c r="AC838" s="54" t="b">
        <f aca="false">AND(E838&gt;=01_因子設定!$L$5-0.000000001,E838&lt;=01_因子設定!$M$5+0.000000001,F838&gt;=01_因子設定!$L$6-0.000000001,F838&lt;=01_因子設定!$M$6+0.000000001,G838&gt;=01_因子設定!$L$7-0.000000001,G838&lt;=01_因子設定!$M$7+0.000000001,H838&gt;=01_因子設定!$L$8-0.000000001,H838&lt;=01_因子設定!$M$8+0.000000001,IF(01_因子設定!$B$20="Box-Behnken",E838^2+F838^2+G838^2+H838^2&lt;=2+0.000000001,TRUE()))</f>
        <v>1</v>
      </c>
      <c r="AD838" s="55" t="n">
        <f aca="false">IF(AC838,IF(01_因子設定!$B$13="最大化",AA838-01_因子設定!$B$14,IF(01_因子設定!$B$13="最小化",01_因子設定!$B$15-AB838,MIN(AA838-01_因子設定!$B$14,01_因子設定!$B$15-AB838))),-1E+030)</f>
        <v>-6.13205879593166</v>
      </c>
      <c r="AE838" s="55" t="n">
        <f aca="false">IF(AC838,IF(01_因子設定!$B$13="最大化",X838,IF(01_因子設定!$B$13="最小化",-X838,-ABS(X838-01_因子設定!$B$16))),-1E+030)</f>
        <v>41.8295550073099</v>
      </c>
      <c r="AF838" s="55" t="n">
        <f aca="false">AD838+ROW()*0.000000001</f>
        <v>-6.13205795793166</v>
      </c>
      <c r="AG838" s="55" t="n">
        <f aca="false">AE838+ROW()*0.000000001</f>
        <v>41.8295558453099</v>
      </c>
    </row>
    <row r="839" customFormat="false" ht="15" hidden="false" customHeight="false" outlineLevel="0" collapsed="false">
      <c r="A839" s="0" t="n">
        <v>1</v>
      </c>
      <c r="B839" s="0" t="n">
        <v>1</v>
      </c>
      <c r="C839" s="0" t="n">
        <v>2</v>
      </c>
      <c r="D839" s="0" t="n">
        <v>6</v>
      </c>
      <c r="E839" s="0" t="n">
        <f aca="false">-1+A839*0.25</f>
        <v>-0.75</v>
      </c>
      <c r="F839" s="0" t="n">
        <f aca="false">-1+B839*0.25</f>
        <v>-0.75</v>
      </c>
      <c r="G839" s="0" t="n">
        <f aca="false">-1+C839*0.25</f>
        <v>-0.5</v>
      </c>
      <c r="H839" s="0" t="n">
        <f aca="false">-1+D839*0.25</f>
        <v>0.5</v>
      </c>
      <c r="I839" s="0" t="n">
        <f aca="false">1</f>
        <v>1</v>
      </c>
      <c r="J839" s="0" t="n">
        <f aca="false">E839</f>
        <v>-0.75</v>
      </c>
      <c r="K839" s="0" t="n">
        <f aca="false">F839</f>
        <v>-0.75</v>
      </c>
      <c r="L839" s="0" t="n">
        <f aca="false">G839</f>
        <v>-0.5</v>
      </c>
      <c r="M839" s="0" t="n">
        <f aca="false">H839</f>
        <v>0.5</v>
      </c>
      <c r="N839" s="0" t="n">
        <f aca="false">E839*F839</f>
        <v>0.5625</v>
      </c>
      <c r="O839" s="0" t="n">
        <f aca="false">E839*G839</f>
        <v>0.375</v>
      </c>
      <c r="P839" s="0" t="n">
        <f aca="false">E839*H839</f>
        <v>-0.375</v>
      </c>
      <c r="Q839" s="0" t="n">
        <f aca="false">F839*G839</f>
        <v>0.375</v>
      </c>
      <c r="R839" s="0" t="n">
        <f aca="false">F839*H839</f>
        <v>-0.375</v>
      </c>
      <c r="S839" s="0" t="n">
        <f aca="false">G839*H839</f>
        <v>-0.25</v>
      </c>
      <c r="T839" s="0" t="n">
        <f aca="false">E839*E839</f>
        <v>0.5625</v>
      </c>
      <c r="U839" s="0" t="n">
        <f aca="false">F839*F839</f>
        <v>0.5625</v>
      </c>
      <c r="V839" s="0" t="n">
        <f aca="false">G839*G839</f>
        <v>0.25</v>
      </c>
      <c r="W839" s="0" t="n">
        <f aca="false">H839*H839</f>
        <v>0.25</v>
      </c>
      <c r="X839" s="0" t="n">
        <f aca="false">SUMPRODUCT(I839:W839,_XtX!$B$96:$P$96)</f>
        <v>41.839702119883</v>
      </c>
      <c r="Y839" s="0" t="n">
        <f aca="false">SUMPRODUCT(MMULT(I839:W839,_XtX!$B$78:$P$92),I839:W839)</f>
        <v>0.237862927174708</v>
      </c>
      <c r="Z839" s="0" t="n">
        <f aca="false">04_回帰ANOVA!$K$19*04_回帰ANOVA!$K$14*SQRT(1+Y839)</f>
        <v>1.45022260708756</v>
      </c>
      <c r="AA839" s="0" t="n">
        <f aca="false">X839-Z839</f>
        <v>40.3894795127955</v>
      </c>
      <c r="AB839" s="0" t="n">
        <f aca="false">X839+Z839</f>
        <v>43.2899247269706</v>
      </c>
      <c r="AC839" s="54" t="b">
        <f aca="false">AND(E839&gt;=01_因子設定!$L$5-0.000000001,E839&lt;=01_因子設定!$M$5+0.000000001,F839&gt;=01_因子設定!$L$6-0.000000001,F839&lt;=01_因子設定!$M$6+0.000000001,G839&gt;=01_因子設定!$L$7-0.000000001,G839&lt;=01_因子設定!$M$7+0.000000001,H839&gt;=01_因子設定!$L$8-0.000000001,H839&lt;=01_因子設定!$M$8+0.000000001,IF(01_因子設定!$B$20="Box-Behnken",E839^2+F839^2+G839^2+H839^2&lt;=2+0.000000001,TRUE()))</f>
        <v>1</v>
      </c>
      <c r="AD839" s="55" t="n">
        <f aca="false">IF(AC839,IF(01_因子設定!$B$13="最大化",AA839-01_因子設定!$B$14,IF(01_因子設定!$B$13="最小化",01_因子設定!$B$15-AB839,MIN(AA839-01_因子設定!$B$14,01_因子設定!$B$15-AB839))),-1E+030)</f>
        <v>-6.11052048720453</v>
      </c>
      <c r="AE839" s="55" t="n">
        <f aca="false">IF(AC839,IF(01_因子設定!$B$13="最大化",X839,IF(01_因子設定!$B$13="最小化",-X839,-ABS(X839-01_因子設定!$B$16))),-1E+030)</f>
        <v>41.839702119883</v>
      </c>
      <c r="AF839" s="55" t="n">
        <f aca="false">AD839+ROW()*0.000000001</f>
        <v>-6.11051964820453</v>
      </c>
      <c r="AG839" s="55" t="n">
        <f aca="false">AE839+ROW()*0.000000001</f>
        <v>41.839702958883</v>
      </c>
    </row>
    <row r="840" customFormat="false" ht="15" hidden="false" customHeight="false" outlineLevel="0" collapsed="false">
      <c r="A840" s="0" t="n">
        <v>1</v>
      </c>
      <c r="B840" s="0" t="n">
        <v>1</v>
      </c>
      <c r="C840" s="0" t="n">
        <v>2</v>
      </c>
      <c r="D840" s="0" t="n">
        <v>7</v>
      </c>
      <c r="E840" s="0" t="n">
        <f aca="false">-1+A840*0.25</f>
        <v>-0.75</v>
      </c>
      <c r="F840" s="0" t="n">
        <f aca="false">-1+B840*0.25</f>
        <v>-0.75</v>
      </c>
      <c r="G840" s="0" t="n">
        <f aca="false">-1+C840*0.25</f>
        <v>-0.5</v>
      </c>
      <c r="H840" s="0" t="n">
        <f aca="false">-1+D840*0.25</f>
        <v>0.75</v>
      </c>
      <c r="I840" s="0" t="n">
        <f aca="false">1</f>
        <v>1</v>
      </c>
      <c r="J840" s="0" t="n">
        <f aca="false">E840</f>
        <v>-0.75</v>
      </c>
      <c r="K840" s="0" t="n">
        <f aca="false">F840</f>
        <v>-0.75</v>
      </c>
      <c r="L840" s="0" t="n">
        <f aca="false">G840</f>
        <v>-0.5</v>
      </c>
      <c r="M840" s="0" t="n">
        <f aca="false">H840</f>
        <v>0.75</v>
      </c>
      <c r="N840" s="0" t="n">
        <f aca="false">E840*F840</f>
        <v>0.5625</v>
      </c>
      <c r="O840" s="0" t="n">
        <f aca="false">E840*G840</f>
        <v>0.375</v>
      </c>
      <c r="P840" s="0" t="n">
        <f aca="false">E840*H840</f>
        <v>-0.5625</v>
      </c>
      <c r="Q840" s="0" t="n">
        <f aca="false">F840*G840</f>
        <v>0.375</v>
      </c>
      <c r="R840" s="0" t="n">
        <f aca="false">F840*H840</f>
        <v>-0.5625</v>
      </c>
      <c r="S840" s="0" t="n">
        <f aca="false">G840*H840</f>
        <v>-0.375</v>
      </c>
      <c r="T840" s="0" t="n">
        <f aca="false">E840*E840</f>
        <v>0.5625</v>
      </c>
      <c r="U840" s="0" t="n">
        <f aca="false">F840*F840</f>
        <v>0.5625</v>
      </c>
      <c r="V840" s="0" t="n">
        <f aca="false">G840*G840</f>
        <v>0.25</v>
      </c>
      <c r="W840" s="0" t="n">
        <f aca="false">H840*H840</f>
        <v>0.5625</v>
      </c>
      <c r="X840" s="0" t="n">
        <f aca="false">SUMPRODUCT(I840:W840,_XtX!$B$96:$P$96)</f>
        <v>41.8020422149123</v>
      </c>
      <c r="Y840" s="0" t="n">
        <f aca="false">SUMPRODUCT(MMULT(I840:W840,_XtX!$B$78:$P$92),I840:W840)</f>
        <v>0.265632138614766</v>
      </c>
      <c r="Z840" s="0" t="n">
        <f aca="false">04_回帰ANOVA!$K$19*04_回帰ANOVA!$K$14*SQRT(1+Y840)</f>
        <v>1.46639894654257</v>
      </c>
      <c r="AA840" s="0" t="n">
        <f aca="false">X840-Z840</f>
        <v>40.3356432683697</v>
      </c>
      <c r="AB840" s="0" t="n">
        <f aca="false">X840+Z840</f>
        <v>43.2684411614549</v>
      </c>
      <c r="AC840" s="54" t="b">
        <f aca="false">AND(E840&gt;=01_因子設定!$L$5-0.000000001,E840&lt;=01_因子設定!$M$5+0.000000001,F840&gt;=01_因子設定!$L$6-0.000000001,F840&lt;=01_因子設定!$M$6+0.000000001,G840&gt;=01_因子設定!$L$7-0.000000001,G840&lt;=01_因子設定!$M$7+0.000000001,H840&gt;=01_因子設定!$L$8-0.000000001,H840&lt;=01_因子設定!$M$8+0.000000001,IF(01_因子設定!$B$20="Box-Behnken",E840^2+F840^2+G840^2+H840^2&lt;=2+0.000000001,TRUE()))</f>
        <v>1</v>
      </c>
      <c r="AD840" s="55" t="n">
        <f aca="false">IF(AC840,IF(01_因子設定!$B$13="最大化",AA840-01_因子設定!$B$14,IF(01_因子設定!$B$13="最小化",01_因子設定!$B$15-AB840,MIN(AA840-01_因子設定!$B$14,01_因子設定!$B$15-AB840))),-1E+030)</f>
        <v>-6.16435673163029</v>
      </c>
      <c r="AE840" s="55" t="n">
        <f aca="false">IF(AC840,IF(01_因子設定!$B$13="最大化",X840,IF(01_因子設定!$B$13="最小化",-X840,-ABS(X840-01_因子設定!$B$16))),-1E+030)</f>
        <v>41.8020422149123</v>
      </c>
      <c r="AF840" s="55" t="n">
        <f aca="false">AD840+ROW()*0.000000001</f>
        <v>-6.16435589163029</v>
      </c>
      <c r="AG840" s="55" t="n">
        <f aca="false">AE840+ROW()*0.000000001</f>
        <v>41.8020430549123</v>
      </c>
    </row>
    <row r="841" customFormat="false" ht="15" hidden="false" customHeight="false" outlineLevel="0" collapsed="false">
      <c r="A841" s="0" t="n">
        <v>1</v>
      </c>
      <c r="B841" s="0" t="n">
        <v>1</v>
      </c>
      <c r="C841" s="0" t="n">
        <v>2</v>
      </c>
      <c r="D841" s="0" t="n">
        <v>8</v>
      </c>
      <c r="E841" s="0" t="n">
        <f aca="false">-1+A841*0.25</f>
        <v>-0.75</v>
      </c>
      <c r="F841" s="0" t="n">
        <f aca="false">-1+B841*0.25</f>
        <v>-0.75</v>
      </c>
      <c r="G841" s="0" t="n">
        <f aca="false">-1+C841*0.25</f>
        <v>-0.5</v>
      </c>
      <c r="H841" s="0" t="n">
        <f aca="false">-1+D841*0.25</f>
        <v>1</v>
      </c>
      <c r="I841" s="0" t="n">
        <f aca="false">1</f>
        <v>1</v>
      </c>
      <c r="J841" s="0" t="n">
        <f aca="false">E841</f>
        <v>-0.75</v>
      </c>
      <c r="K841" s="0" t="n">
        <f aca="false">F841</f>
        <v>-0.75</v>
      </c>
      <c r="L841" s="0" t="n">
        <f aca="false">G841</f>
        <v>-0.5</v>
      </c>
      <c r="M841" s="0" t="n">
        <f aca="false">H841</f>
        <v>1</v>
      </c>
      <c r="N841" s="0" t="n">
        <f aca="false">E841*F841</f>
        <v>0.5625</v>
      </c>
      <c r="O841" s="0" t="n">
        <f aca="false">E841*G841</f>
        <v>0.375</v>
      </c>
      <c r="P841" s="0" t="n">
        <f aca="false">E841*H841</f>
        <v>-0.75</v>
      </c>
      <c r="Q841" s="0" t="n">
        <f aca="false">F841*G841</f>
        <v>0.375</v>
      </c>
      <c r="R841" s="0" t="n">
        <f aca="false">F841*H841</f>
        <v>-0.75</v>
      </c>
      <c r="S841" s="0" t="n">
        <f aca="false">G841*H841</f>
        <v>-0.5</v>
      </c>
      <c r="T841" s="0" t="n">
        <f aca="false">E841*E841</f>
        <v>0.5625</v>
      </c>
      <c r="U841" s="0" t="n">
        <f aca="false">F841*F841</f>
        <v>0.5625</v>
      </c>
      <c r="V841" s="0" t="n">
        <f aca="false">G841*G841</f>
        <v>0.25</v>
      </c>
      <c r="W841" s="0" t="n">
        <f aca="false">H841*H841</f>
        <v>1</v>
      </c>
      <c r="X841" s="0" t="n">
        <f aca="false">SUMPRODUCT(I841:W841,_XtX!$B$96:$P$96)</f>
        <v>41.7165752923977</v>
      </c>
      <c r="Y841" s="0" t="n">
        <f aca="false">SUMPRODUCT(MMULT(I841:W841,_XtX!$B$78:$P$92),I841:W841)</f>
        <v>0.431153771472953</v>
      </c>
      <c r="Z841" s="0" t="n">
        <f aca="false">04_回帰ANOVA!$K$19*04_回帰ANOVA!$K$14*SQRT(1+Y841)</f>
        <v>1.55934259562563</v>
      </c>
      <c r="AA841" s="0" t="n">
        <f aca="false">X841-Z841</f>
        <v>40.1572326967721</v>
      </c>
      <c r="AB841" s="0" t="n">
        <f aca="false">X841+Z841</f>
        <v>43.2759178880233</v>
      </c>
      <c r="AC841" s="54" t="b">
        <f aca="false">AND(E841&gt;=01_因子設定!$L$5-0.000000001,E841&lt;=01_因子設定!$M$5+0.000000001,F841&gt;=01_因子設定!$L$6-0.000000001,F841&lt;=01_因子設定!$M$6+0.000000001,G841&gt;=01_因子設定!$L$7-0.000000001,G841&lt;=01_因子設定!$M$7+0.000000001,H841&gt;=01_因子設定!$L$8-0.000000001,H841&lt;=01_因子設定!$M$8+0.000000001,IF(01_因子設定!$B$20="Box-Behnken",E841^2+F841^2+G841^2+H841^2&lt;=2+0.000000001,TRUE()))</f>
        <v>1</v>
      </c>
      <c r="AD841" s="55" t="n">
        <f aca="false">IF(AC841,IF(01_因子設定!$B$13="最大化",AA841-01_因子設定!$B$14,IF(01_因子設定!$B$13="最小化",01_因子設定!$B$15-AB841,MIN(AA841-01_因子設定!$B$14,01_因子設定!$B$15-AB841))),-1E+030)</f>
        <v>-6.34276730322794</v>
      </c>
      <c r="AE841" s="55" t="n">
        <f aca="false">IF(AC841,IF(01_因子設定!$B$13="最大化",X841,IF(01_因子設定!$B$13="最小化",-X841,-ABS(X841-01_因子設定!$B$16))),-1E+030)</f>
        <v>41.7165752923977</v>
      </c>
      <c r="AF841" s="55" t="n">
        <f aca="false">AD841+ROW()*0.000000001</f>
        <v>-6.34276646222794</v>
      </c>
      <c r="AG841" s="55" t="n">
        <f aca="false">AE841+ROW()*0.000000001</f>
        <v>41.7165761333977</v>
      </c>
    </row>
    <row r="842" customFormat="false" ht="15" hidden="false" customHeight="false" outlineLevel="0" collapsed="false">
      <c r="A842" s="0" t="n">
        <v>1</v>
      </c>
      <c r="B842" s="0" t="n">
        <v>1</v>
      </c>
      <c r="C842" s="0" t="n">
        <v>3</v>
      </c>
      <c r="D842" s="0" t="n">
        <v>0</v>
      </c>
      <c r="E842" s="0" t="n">
        <f aca="false">-1+A842*0.25</f>
        <v>-0.75</v>
      </c>
      <c r="F842" s="0" t="n">
        <f aca="false">-1+B842*0.25</f>
        <v>-0.75</v>
      </c>
      <c r="G842" s="0" t="n">
        <f aca="false">-1+C842*0.25</f>
        <v>-0.25</v>
      </c>
      <c r="H842" s="0" t="n">
        <f aca="false">-1+D842*0.25</f>
        <v>-1</v>
      </c>
      <c r="I842" s="0" t="n">
        <f aca="false">1</f>
        <v>1</v>
      </c>
      <c r="J842" s="0" t="n">
        <f aca="false">E842</f>
        <v>-0.75</v>
      </c>
      <c r="K842" s="0" t="n">
        <f aca="false">F842</f>
        <v>-0.75</v>
      </c>
      <c r="L842" s="0" t="n">
        <f aca="false">G842</f>
        <v>-0.25</v>
      </c>
      <c r="M842" s="0" t="n">
        <f aca="false">H842</f>
        <v>-1</v>
      </c>
      <c r="N842" s="0" t="n">
        <f aca="false">E842*F842</f>
        <v>0.5625</v>
      </c>
      <c r="O842" s="0" t="n">
        <f aca="false">E842*G842</f>
        <v>0.1875</v>
      </c>
      <c r="P842" s="0" t="n">
        <f aca="false">E842*H842</f>
        <v>0.75</v>
      </c>
      <c r="Q842" s="0" t="n">
        <f aca="false">F842*G842</f>
        <v>0.1875</v>
      </c>
      <c r="R842" s="0" t="n">
        <f aca="false">F842*H842</f>
        <v>0.75</v>
      </c>
      <c r="S842" s="0" t="n">
        <f aca="false">G842*H842</f>
        <v>0.25</v>
      </c>
      <c r="T842" s="0" t="n">
        <f aca="false">E842*E842</f>
        <v>0.5625</v>
      </c>
      <c r="U842" s="0" t="n">
        <f aca="false">F842*F842</f>
        <v>0.5625</v>
      </c>
      <c r="V842" s="0" t="n">
        <f aca="false">G842*G842</f>
        <v>0.0625</v>
      </c>
      <c r="W842" s="0" t="n">
        <f aca="false">H842*H842</f>
        <v>1</v>
      </c>
      <c r="X842" s="0" t="n">
        <f aca="false">SUMPRODUCT(I842:W842,_XtX!$B$96:$P$96)</f>
        <v>41.4269142909357</v>
      </c>
      <c r="Y842" s="0" t="n">
        <f aca="false">SUMPRODUCT(MMULT(I842:W842,_XtX!$B$78:$P$92),I842:W842)</f>
        <v>0.473959761056287</v>
      </c>
      <c r="Z842" s="0" t="n">
        <f aca="false">04_回帰ANOVA!$K$19*04_回帰ANOVA!$K$14*SQRT(1+Y842)</f>
        <v>1.58249084588329</v>
      </c>
      <c r="AA842" s="0" t="n">
        <f aca="false">X842-Z842</f>
        <v>39.8444234450524</v>
      </c>
      <c r="AB842" s="0" t="n">
        <f aca="false">X842+Z842</f>
        <v>43.009405136819</v>
      </c>
      <c r="AC842" s="54" t="b">
        <f aca="false">AND(E842&gt;=01_因子設定!$L$5-0.000000001,E842&lt;=01_因子設定!$M$5+0.000000001,F842&gt;=01_因子設定!$L$6-0.000000001,F842&lt;=01_因子設定!$M$6+0.000000001,G842&gt;=01_因子設定!$L$7-0.000000001,G842&lt;=01_因子設定!$M$7+0.000000001,H842&gt;=01_因子設定!$L$8-0.000000001,H842&lt;=01_因子設定!$M$8+0.000000001,IF(01_因子設定!$B$20="Box-Behnken",E842^2+F842^2+G842^2+H842^2&lt;=2+0.000000001,TRUE()))</f>
        <v>1</v>
      </c>
      <c r="AD842" s="55" t="n">
        <f aca="false">IF(AC842,IF(01_因子設定!$B$13="最大化",AA842-01_因子設定!$B$14,IF(01_因子設定!$B$13="最小化",01_因子設定!$B$15-AB842,MIN(AA842-01_因子設定!$B$14,01_因子設定!$B$15-AB842))),-1E+030)</f>
        <v>-6.65557655494759</v>
      </c>
      <c r="AE842" s="55" t="n">
        <f aca="false">IF(AC842,IF(01_因子設定!$B$13="最大化",X842,IF(01_因子設定!$B$13="最小化",-X842,-ABS(X842-01_因子設定!$B$16))),-1E+030)</f>
        <v>41.4269142909357</v>
      </c>
      <c r="AF842" s="55" t="n">
        <f aca="false">AD842+ROW()*0.000000001</f>
        <v>-6.65557571294759</v>
      </c>
      <c r="AG842" s="55" t="n">
        <f aca="false">AE842+ROW()*0.000000001</f>
        <v>41.4269151329357</v>
      </c>
    </row>
    <row r="843" customFormat="false" ht="15" hidden="false" customHeight="false" outlineLevel="0" collapsed="false">
      <c r="A843" s="0" t="n">
        <v>1</v>
      </c>
      <c r="B843" s="0" t="n">
        <v>1</v>
      </c>
      <c r="C843" s="0" t="n">
        <v>3</v>
      </c>
      <c r="D843" s="0" t="n">
        <v>1</v>
      </c>
      <c r="E843" s="0" t="n">
        <f aca="false">-1+A843*0.25</f>
        <v>-0.75</v>
      </c>
      <c r="F843" s="0" t="n">
        <f aca="false">-1+B843*0.25</f>
        <v>-0.75</v>
      </c>
      <c r="G843" s="0" t="n">
        <f aca="false">-1+C843*0.25</f>
        <v>-0.25</v>
      </c>
      <c r="H843" s="0" t="n">
        <f aca="false">-1+D843*0.25</f>
        <v>-0.75</v>
      </c>
      <c r="I843" s="0" t="n">
        <f aca="false">1</f>
        <v>1</v>
      </c>
      <c r="J843" s="0" t="n">
        <f aca="false">E843</f>
        <v>-0.75</v>
      </c>
      <c r="K843" s="0" t="n">
        <f aca="false">F843</f>
        <v>-0.75</v>
      </c>
      <c r="L843" s="0" t="n">
        <f aca="false">G843</f>
        <v>-0.25</v>
      </c>
      <c r="M843" s="0" t="n">
        <f aca="false">H843</f>
        <v>-0.75</v>
      </c>
      <c r="N843" s="0" t="n">
        <f aca="false">E843*F843</f>
        <v>0.5625</v>
      </c>
      <c r="O843" s="0" t="n">
        <f aca="false">E843*G843</f>
        <v>0.1875</v>
      </c>
      <c r="P843" s="0" t="n">
        <f aca="false">E843*H843</f>
        <v>0.5625</v>
      </c>
      <c r="Q843" s="0" t="n">
        <f aca="false">F843*G843</f>
        <v>0.1875</v>
      </c>
      <c r="R843" s="0" t="n">
        <f aca="false">F843*H843</f>
        <v>0.5625</v>
      </c>
      <c r="S843" s="0" t="n">
        <f aca="false">G843*H843</f>
        <v>0.1875</v>
      </c>
      <c r="T843" s="0" t="n">
        <f aca="false">E843*E843</f>
        <v>0.5625</v>
      </c>
      <c r="U843" s="0" t="n">
        <f aca="false">F843*F843</f>
        <v>0.5625</v>
      </c>
      <c r="V843" s="0" t="n">
        <f aca="false">G843*G843</f>
        <v>0.0625</v>
      </c>
      <c r="W843" s="0" t="n">
        <f aca="false">H843*H843</f>
        <v>0.5625</v>
      </c>
      <c r="X843" s="0" t="n">
        <f aca="false">SUMPRODUCT(I843:W843,_XtX!$B$96:$P$96)</f>
        <v>41.6940652412281</v>
      </c>
      <c r="Y843" s="0" t="n">
        <f aca="false">SUMPRODUCT(MMULT(I843:W843,_XtX!$B$78:$P$92),I843:W843)</f>
        <v>0.294856199744152</v>
      </c>
      <c r="Z843" s="0" t="n">
        <f aca="false">04_回帰ANOVA!$K$19*04_回帰ANOVA!$K$14*SQRT(1+Y843)</f>
        <v>1.48323226089013</v>
      </c>
      <c r="AA843" s="0" t="n">
        <f aca="false">X843-Z843</f>
        <v>40.2108329803379</v>
      </c>
      <c r="AB843" s="0" t="n">
        <f aca="false">X843+Z843</f>
        <v>43.1772975021182</v>
      </c>
      <c r="AC843" s="54" t="b">
        <f aca="false">AND(E843&gt;=01_因子設定!$L$5-0.000000001,E843&lt;=01_因子設定!$M$5+0.000000001,F843&gt;=01_因子設定!$L$6-0.000000001,F843&lt;=01_因子設定!$M$6+0.000000001,G843&gt;=01_因子設定!$L$7-0.000000001,G843&lt;=01_因子設定!$M$7+0.000000001,H843&gt;=01_因子設定!$L$8-0.000000001,H843&lt;=01_因子設定!$M$8+0.000000001,IF(01_因子設定!$B$20="Box-Behnken",E843^2+F843^2+G843^2+H843^2&lt;=2+0.000000001,TRUE()))</f>
        <v>1</v>
      </c>
      <c r="AD843" s="55" t="n">
        <f aca="false">IF(AC843,IF(01_因子設定!$B$13="最大化",AA843-01_因子設定!$B$14,IF(01_因子設定!$B$13="最小化",01_因子設定!$B$15-AB843,MIN(AA843-01_因子設定!$B$14,01_因子設定!$B$15-AB843))),-1E+030)</f>
        <v>-6.28916701966206</v>
      </c>
      <c r="AE843" s="55" t="n">
        <f aca="false">IF(AC843,IF(01_因子設定!$B$13="最大化",X843,IF(01_因子設定!$B$13="最小化",-X843,-ABS(X843-01_因子設定!$B$16))),-1E+030)</f>
        <v>41.6940652412281</v>
      </c>
      <c r="AF843" s="55" t="n">
        <f aca="false">AD843+ROW()*0.000000001</f>
        <v>-6.28916617666206</v>
      </c>
      <c r="AG843" s="55" t="n">
        <f aca="false">AE843+ROW()*0.000000001</f>
        <v>41.6940660842281</v>
      </c>
    </row>
    <row r="844" customFormat="false" ht="15" hidden="false" customHeight="false" outlineLevel="0" collapsed="false">
      <c r="A844" s="0" t="n">
        <v>1</v>
      </c>
      <c r="B844" s="0" t="n">
        <v>1</v>
      </c>
      <c r="C844" s="0" t="n">
        <v>3</v>
      </c>
      <c r="D844" s="0" t="n">
        <v>2</v>
      </c>
      <c r="E844" s="0" t="n">
        <f aca="false">-1+A844*0.25</f>
        <v>-0.75</v>
      </c>
      <c r="F844" s="0" t="n">
        <f aca="false">-1+B844*0.25</f>
        <v>-0.75</v>
      </c>
      <c r="G844" s="0" t="n">
        <f aca="false">-1+C844*0.25</f>
        <v>-0.25</v>
      </c>
      <c r="H844" s="0" t="n">
        <f aca="false">-1+D844*0.25</f>
        <v>-0.5</v>
      </c>
      <c r="I844" s="0" t="n">
        <f aca="false">1</f>
        <v>1</v>
      </c>
      <c r="J844" s="0" t="n">
        <f aca="false">E844</f>
        <v>-0.75</v>
      </c>
      <c r="K844" s="0" t="n">
        <f aca="false">F844</f>
        <v>-0.75</v>
      </c>
      <c r="L844" s="0" t="n">
        <f aca="false">G844</f>
        <v>-0.25</v>
      </c>
      <c r="M844" s="0" t="n">
        <f aca="false">H844</f>
        <v>-0.5</v>
      </c>
      <c r="N844" s="0" t="n">
        <f aca="false">E844*F844</f>
        <v>0.5625</v>
      </c>
      <c r="O844" s="0" t="n">
        <f aca="false">E844*G844</f>
        <v>0.1875</v>
      </c>
      <c r="P844" s="0" t="n">
        <f aca="false">E844*H844</f>
        <v>0.375</v>
      </c>
      <c r="Q844" s="0" t="n">
        <f aca="false">F844*G844</f>
        <v>0.1875</v>
      </c>
      <c r="R844" s="0" t="n">
        <f aca="false">F844*H844</f>
        <v>0.375</v>
      </c>
      <c r="S844" s="0" t="n">
        <f aca="false">G844*H844</f>
        <v>0.125</v>
      </c>
      <c r="T844" s="0" t="n">
        <f aca="false">E844*E844</f>
        <v>0.5625</v>
      </c>
      <c r="U844" s="0" t="n">
        <f aca="false">F844*F844</f>
        <v>0.5625</v>
      </c>
      <c r="V844" s="0" t="n">
        <f aca="false">G844*G844</f>
        <v>0.0625</v>
      </c>
      <c r="W844" s="0" t="n">
        <f aca="false">H844*H844</f>
        <v>0.25</v>
      </c>
      <c r="X844" s="0" t="n">
        <f aca="false">SUMPRODUCT(I844:W844,_XtX!$B$96:$P$96)</f>
        <v>41.9134091739766</v>
      </c>
      <c r="Y844" s="0" t="n">
        <f aca="false">SUMPRODUCT(MMULT(I844:W844,_XtX!$B$78:$P$92),I844:W844)</f>
        <v>0.257385610836988</v>
      </c>
      <c r="Z844" s="0" t="n">
        <f aca="false">04_回帰ANOVA!$K$19*04_回帰ANOVA!$K$14*SQRT(1+Y844)</f>
        <v>1.46161380324158</v>
      </c>
      <c r="AA844" s="0" t="n">
        <f aca="false">X844-Z844</f>
        <v>40.451795370735</v>
      </c>
      <c r="AB844" s="0" t="n">
        <f aca="false">X844+Z844</f>
        <v>43.3750229772182</v>
      </c>
      <c r="AC844" s="54" t="b">
        <f aca="false">AND(E844&gt;=01_因子設定!$L$5-0.000000001,E844&lt;=01_因子設定!$M$5+0.000000001,F844&gt;=01_因子設定!$L$6-0.000000001,F844&lt;=01_因子設定!$M$6+0.000000001,G844&gt;=01_因子設定!$L$7-0.000000001,G844&lt;=01_因子設定!$M$7+0.000000001,H844&gt;=01_因子設定!$L$8-0.000000001,H844&lt;=01_因子設定!$M$8+0.000000001,IF(01_因子設定!$B$20="Box-Behnken",E844^2+F844^2+G844^2+H844^2&lt;=2+0.000000001,TRUE()))</f>
        <v>1</v>
      </c>
      <c r="AD844" s="55" t="n">
        <f aca="false">IF(AC844,IF(01_因子設定!$B$13="最大化",AA844-01_因子設定!$B$14,IF(01_因子設定!$B$13="最小化",01_因子設定!$B$15-AB844,MIN(AA844-01_因子設定!$B$14,01_因子設定!$B$15-AB844))),-1E+030)</f>
        <v>-6.04820462926498</v>
      </c>
      <c r="AE844" s="55" t="n">
        <f aca="false">IF(AC844,IF(01_因子設定!$B$13="最大化",X844,IF(01_因子設定!$B$13="最小化",-X844,-ABS(X844-01_因子設定!$B$16))),-1E+030)</f>
        <v>41.9134091739766</v>
      </c>
      <c r="AF844" s="55" t="n">
        <f aca="false">AD844+ROW()*0.000000001</f>
        <v>-6.04820378526498</v>
      </c>
      <c r="AG844" s="55" t="n">
        <f aca="false">AE844+ROW()*0.000000001</f>
        <v>41.9134100179766</v>
      </c>
    </row>
    <row r="845" customFormat="false" ht="15" hidden="false" customHeight="false" outlineLevel="0" collapsed="false">
      <c r="A845" s="0" t="n">
        <v>1</v>
      </c>
      <c r="B845" s="0" t="n">
        <v>1</v>
      </c>
      <c r="C845" s="0" t="n">
        <v>3</v>
      </c>
      <c r="D845" s="0" t="n">
        <v>3</v>
      </c>
      <c r="E845" s="0" t="n">
        <f aca="false">-1+A845*0.25</f>
        <v>-0.75</v>
      </c>
      <c r="F845" s="0" t="n">
        <f aca="false">-1+B845*0.25</f>
        <v>-0.75</v>
      </c>
      <c r="G845" s="0" t="n">
        <f aca="false">-1+C845*0.25</f>
        <v>-0.25</v>
      </c>
      <c r="H845" s="0" t="n">
        <f aca="false">-1+D845*0.25</f>
        <v>-0.25</v>
      </c>
      <c r="I845" s="0" t="n">
        <f aca="false">1</f>
        <v>1</v>
      </c>
      <c r="J845" s="0" t="n">
        <f aca="false">E845</f>
        <v>-0.75</v>
      </c>
      <c r="K845" s="0" t="n">
        <f aca="false">F845</f>
        <v>-0.75</v>
      </c>
      <c r="L845" s="0" t="n">
        <f aca="false">G845</f>
        <v>-0.25</v>
      </c>
      <c r="M845" s="0" t="n">
        <f aca="false">H845</f>
        <v>-0.25</v>
      </c>
      <c r="N845" s="0" t="n">
        <f aca="false">E845*F845</f>
        <v>0.5625</v>
      </c>
      <c r="O845" s="0" t="n">
        <f aca="false">E845*G845</f>
        <v>0.1875</v>
      </c>
      <c r="P845" s="0" t="n">
        <f aca="false">E845*H845</f>
        <v>0.1875</v>
      </c>
      <c r="Q845" s="0" t="n">
        <f aca="false">F845*G845</f>
        <v>0.1875</v>
      </c>
      <c r="R845" s="0" t="n">
        <f aca="false">F845*H845</f>
        <v>0.1875</v>
      </c>
      <c r="S845" s="0" t="n">
        <f aca="false">G845*H845</f>
        <v>0.0625</v>
      </c>
      <c r="T845" s="0" t="n">
        <f aca="false">E845*E845</f>
        <v>0.5625</v>
      </c>
      <c r="U845" s="0" t="n">
        <f aca="false">F845*F845</f>
        <v>0.5625</v>
      </c>
      <c r="V845" s="0" t="n">
        <f aca="false">G845*G845</f>
        <v>0.0625</v>
      </c>
      <c r="W845" s="0" t="n">
        <f aca="false">H845*H845</f>
        <v>0.0625</v>
      </c>
      <c r="X845" s="0" t="n">
        <f aca="false">SUMPRODUCT(I845:W845,_XtX!$B$96:$P$96)</f>
        <v>42.0849460891813</v>
      </c>
      <c r="Y845" s="0" t="n">
        <f aca="false">SUMPRODUCT(MMULT(I845:W845,_XtX!$B$78:$P$92),I845:W845)</f>
        <v>0.271087468019006</v>
      </c>
      <c r="Z845" s="0" t="n">
        <f aca="false">04_回帰ANOVA!$K$19*04_回帰ANOVA!$K$14*SQRT(1+Y845)</f>
        <v>1.46955590155034</v>
      </c>
      <c r="AA845" s="0" t="n">
        <f aca="false">X845-Z845</f>
        <v>40.6153901876309</v>
      </c>
      <c r="AB845" s="0" t="n">
        <f aca="false">X845+Z845</f>
        <v>43.5545019907316</v>
      </c>
      <c r="AC845" s="54" t="b">
        <f aca="false">AND(E845&gt;=01_因子設定!$L$5-0.000000001,E845&lt;=01_因子設定!$M$5+0.000000001,F845&gt;=01_因子設定!$L$6-0.000000001,F845&lt;=01_因子設定!$M$6+0.000000001,G845&gt;=01_因子設定!$L$7-0.000000001,G845&lt;=01_因子設定!$M$7+0.000000001,H845&gt;=01_因子設定!$L$8-0.000000001,H845&lt;=01_因子設定!$M$8+0.000000001,IF(01_因子設定!$B$20="Box-Behnken",E845^2+F845^2+G845^2+H845^2&lt;=2+0.000000001,TRUE()))</f>
        <v>1</v>
      </c>
      <c r="AD845" s="55" t="n">
        <f aca="false">IF(AC845,IF(01_因子設定!$B$13="最大化",AA845-01_因子設定!$B$14,IF(01_因子設定!$B$13="最小化",01_因子設定!$B$15-AB845,MIN(AA845-01_因子設定!$B$14,01_因子設定!$B$15-AB845))),-1E+030)</f>
        <v>-5.88460981236907</v>
      </c>
      <c r="AE845" s="55" t="n">
        <f aca="false">IF(AC845,IF(01_因子設定!$B$13="最大化",X845,IF(01_因子設定!$B$13="最小化",-X845,-ABS(X845-01_因子設定!$B$16))),-1E+030)</f>
        <v>42.0849460891813</v>
      </c>
      <c r="AF845" s="55" t="n">
        <f aca="false">AD845+ROW()*0.000000001</f>
        <v>-5.88460896736907</v>
      </c>
      <c r="AG845" s="55" t="n">
        <f aca="false">AE845+ROW()*0.000000001</f>
        <v>42.0849469341813</v>
      </c>
    </row>
    <row r="846" customFormat="false" ht="15" hidden="false" customHeight="false" outlineLevel="0" collapsed="false">
      <c r="A846" s="0" t="n">
        <v>1</v>
      </c>
      <c r="B846" s="0" t="n">
        <v>1</v>
      </c>
      <c r="C846" s="0" t="n">
        <v>3</v>
      </c>
      <c r="D846" s="0" t="n">
        <v>4</v>
      </c>
      <c r="E846" s="0" t="n">
        <f aca="false">-1+A846*0.25</f>
        <v>-0.75</v>
      </c>
      <c r="F846" s="0" t="n">
        <f aca="false">-1+B846*0.25</f>
        <v>-0.75</v>
      </c>
      <c r="G846" s="0" t="n">
        <f aca="false">-1+C846*0.25</f>
        <v>-0.25</v>
      </c>
      <c r="H846" s="0" t="n">
        <f aca="false">-1+D846*0.25</f>
        <v>0</v>
      </c>
      <c r="I846" s="0" t="n">
        <f aca="false">1</f>
        <v>1</v>
      </c>
      <c r="J846" s="0" t="n">
        <f aca="false">E846</f>
        <v>-0.75</v>
      </c>
      <c r="K846" s="0" t="n">
        <f aca="false">F846</f>
        <v>-0.75</v>
      </c>
      <c r="L846" s="0" t="n">
        <f aca="false">G846</f>
        <v>-0.25</v>
      </c>
      <c r="M846" s="0" t="n">
        <f aca="false">H846</f>
        <v>0</v>
      </c>
      <c r="N846" s="0" t="n">
        <f aca="false">E846*F846</f>
        <v>0.5625</v>
      </c>
      <c r="O846" s="0" t="n">
        <f aca="false">E846*G846</f>
        <v>0.1875</v>
      </c>
      <c r="P846" s="0" t="n">
        <f aca="false">E846*H846</f>
        <v>-0</v>
      </c>
      <c r="Q846" s="0" t="n">
        <f aca="false">F846*G846</f>
        <v>0.1875</v>
      </c>
      <c r="R846" s="0" t="n">
        <f aca="false">F846*H846</f>
        <v>-0</v>
      </c>
      <c r="S846" s="0" t="n">
        <f aca="false">G846*H846</f>
        <v>-0</v>
      </c>
      <c r="T846" s="0" t="n">
        <f aca="false">E846*E846</f>
        <v>0.5625</v>
      </c>
      <c r="U846" s="0" t="n">
        <f aca="false">F846*F846</f>
        <v>0.5625</v>
      </c>
      <c r="V846" s="0" t="n">
        <f aca="false">G846*G846</f>
        <v>0.0625</v>
      </c>
      <c r="W846" s="0" t="n">
        <f aca="false">H846*H846</f>
        <v>0</v>
      </c>
      <c r="X846" s="0" t="n">
        <f aca="false">SUMPRODUCT(I846:W846,_XtX!$B$96:$P$96)</f>
        <v>42.2086759868421</v>
      </c>
      <c r="Y846" s="0" t="n">
        <f aca="false">SUMPRODUCT(MMULT(I846:W846,_XtX!$B$78:$P$92),I846:W846)</f>
        <v>0.281685455500731</v>
      </c>
      <c r="Z846" s="0" t="n">
        <f aca="false">04_回帰ANOVA!$K$19*04_回帰ANOVA!$K$14*SQRT(1+Y846)</f>
        <v>1.47566956658694</v>
      </c>
      <c r="AA846" s="0" t="n">
        <f aca="false">X846-Z846</f>
        <v>40.7330064202552</v>
      </c>
      <c r="AB846" s="0" t="n">
        <f aca="false">X846+Z846</f>
        <v>43.684345553429</v>
      </c>
      <c r="AC846" s="54" t="b">
        <f aca="false">AND(E846&gt;=01_因子設定!$L$5-0.000000001,E846&lt;=01_因子設定!$M$5+0.000000001,F846&gt;=01_因子設定!$L$6-0.000000001,F846&lt;=01_因子設定!$M$6+0.000000001,G846&gt;=01_因子設定!$L$7-0.000000001,G846&lt;=01_因子設定!$M$7+0.000000001,H846&gt;=01_因子設定!$L$8-0.000000001,H846&lt;=01_因子設定!$M$8+0.000000001,IF(01_因子設定!$B$20="Box-Behnken",E846^2+F846^2+G846^2+H846^2&lt;=2+0.000000001,TRUE()))</f>
        <v>1</v>
      </c>
      <c r="AD846" s="55" t="n">
        <f aca="false">IF(AC846,IF(01_因子設定!$B$13="最大化",AA846-01_因子設定!$B$14,IF(01_因子設定!$B$13="最小化",01_因子設定!$B$15-AB846,MIN(AA846-01_因子設定!$B$14,01_因子設定!$B$15-AB846))),-1E+030)</f>
        <v>-5.76699357974485</v>
      </c>
      <c r="AE846" s="55" t="n">
        <f aca="false">IF(AC846,IF(01_因子設定!$B$13="最大化",X846,IF(01_因子設定!$B$13="最小化",-X846,-ABS(X846-01_因子設定!$B$16))),-1E+030)</f>
        <v>42.2086759868421</v>
      </c>
      <c r="AF846" s="55" t="n">
        <f aca="false">AD846+ROW()*0.000000001</f>
        <v>-5.76699273374485</v>
      </c>
      <c r="AG846" s="55" t="n">
        <f aca="false">AE846+ROW()*0.000000001</f>
        <v>42.2086768328421</v>
      </c>
    </row>
    <row r="847" customFormat="false" ht="15" hidden="false" customHeight="false" outlineLevel="0" collapsed="false">
      <c r="A847" s="0" t="n">
        <v>1</v>
      </c>
      <c r="B847" s="0" t="n">
        <v>1</v>
      </c>
      <c r="C847" s="0" t="n">
        <v>3</v>
      </c>
      <c r="D847" s="0" t="n">
        <v>5</v>
      </c>
      <c r="E847" s="0" t="n">
        <f aca="false">-1+A847*0.25</f>
        <v>-0.75</v>
      </c>
      <c r="F847" s="0" t="n">
        <f aca="false">-1+B847*0.25</f>
        <v>-0.75</v>
      </c>
      <c r="G847" s="0" t="n">
        <f aca="false">-1+C847*0.25</f>
        <v>-0.25</v>
      </c>
      <c r="H847" s="0" t="n">
        <f aca="false">-1+D847*0.25</f>
        <v>0.25</v>
      </c>
      <c r="I847" s="0" t="n">
        <f aca="false">1</f>
        <v>1</v>
      </c>
      <c r="J847" s="0" t="n">
        <f aca="false">E847</f>
        <v>-0.75</v>
      </c>
      <c r="K847" s="0" t="n">
        <f aca="false">F847</f>
        <v>-0.75</v>
      </c>
      <c r="L847" s="0" t="n">
        <f aca="false">G847</f>
        <v>-0.25</v>
      </c>
      <c r="M847" s="0" t="n">
        <f aca="false">H847</f>
        <v>0.25</v>
      </c>
      <c r="N847" s="0" t="n">
        <f aca="false">E847*F847</f>
        <v>0.5625</v>
      </c>
      <c r="O847" s="0" t="n">
        <f aca="false">E847*G847</f>
        <v>0.1875</v>
      </c>
      <c r="P847" s="0" t="n">
        <f aca="false">E847*H847</f>
        <v>-0.1875</v>
      </c>
      <c r="Q847" s="0" t="n">
        <f aca="false">F847*G847</f>
        <v>0.1875</v>
      </c>
      <c r="R847" s="0" t="n">
        <f aca="false">F847*H847</f>
        <v>-0.1875</v>
      </c>
      <c r="S847" s="0" t="n">
        <f aca="false">G847*H847</f>
        <v>-0.0625</v>
      </c>
      <c r="T847" s="0" t="n">
        <f aca="false">E847*E847</f>
        <v>0.5625</v>
      </c>
      <c r="U847" s="0" t="n">
        <f aca="false">F847*F847</f>
        <v>0.5625</v>
      </c>
      <c r="V847" s="0" t="n">
        <f aca="false">G847*G847</f>
        <v>0.0625</v>
      </c>
      <c r="W847" s="0" t="n">
        <f aca="false">H847*H847</f>
        <v>0.0625</v>
      </c>
      <c r="X847" s="0" t="n">
        <f aca="false">SUMPRODUCT(I847:W847,_XtX!$B$96:$P$96)</f>
        <v>42.2845988669591</v>
      </c>
      <c r="Y847" s="0" t="n">
        <f aca="false">SUMPRODUCT(MMULT(I847:W847,_XtX!$B$78:$P$92),I847:W847)</f>
        <v>0.271087468019006</v>
      </c>
      <c r="Z847" s="0" t="n">
        <f aca="false">04_回帰ANOVA!$K$19*04_回帰ANOVA!$K$14*SQRT(1+Y847)</f>
        <v>1.46955590155034</v>
      </c>
      <c r="AA847" s="0" t="n">
        <f aca="false">X847-Z847</f>
        <v>40.8150429654087</v>
      </c>
      <c r="AB847" s="0" t="n">
        <f aca="false">X847+Z847</f>
        <v>43.7541547685094</v>
      </c>
      <c r="AC847" s="54" t="b">
        <f aca="false">AND(E847&gt;=01_因子設定!$L$5-0.000000001,E847&lt;=01_因子設定!$M$5+0.000000001,F847&gt;=01_因子設定!$L$6-0.000000001,F847&lt;=01_因子設定!$M$6+0.000000001,G847&gt;=01_因子設定!$L$7-0.000000001,G847&lt;=01_因子設定!$M$7+0.000000001,H847&gt;=01_因子設定!$L$8-0.000000001,H847&lt;=01_因子設定!$M$8+0.000000001,IF(01_因子設定!$B$20="Box-Behnken",E847^2+F847^2+G847^2+H847^2&lt;=2+0.000000001,TRUE()))</f>
        <v>1</v>
      </c>
      <c r="AD847" s="55" t="n">
        <f aca="false">IF(AC847,IF(01_因子設定!$B$13="最大化",AA847-01_因子設定!$B$14,IF(01_因子設定!$B$13="最小化",01_因子設定!$B$15-AB847,MIN(AA847-01_因子設定!$B$14,01_因子設定!$B$15-AB847))),-1E+030)</f>
        <v>-5.68495703459129</v>
      </c>
      <c r="AE847" s="55" t="n">
        <f aca="false">IF(AC847,IF(01_因子設定!$B$13="最大化",X847,IF(01_因子設定!$B$13="最小化",-X847,-ABS(X847-01_因子設定!$B$16))),-1E+030)</f>
        <v>42.2845988669591</v>
      </c>
      <c r="AF847" s="55" t="n">
        <f aca="false">AD847+ROW()*0.000000001</f>
        <v>-5.68495618759129</v>
      </c>
      <c r="AG847" s="55" t="n">
        <f aca="false">AE847+ROW()*0.000000001</f>
        <v>42.2845997139591</v>
      </c>
    </row>
    <row r="848" customFormat="false" ht="15" hidden="false" customHeight="false" outlineLevel="0" collapsed="false">
      <c r="A848" s="0" t="n">
        <v>1</v>
      </c>
      <c r="B848" s="0" t="n">
        <v>1</v>
      </c>
      <c r="C848" s="0" t="n">
        <v>3</v>
      </c>
      <c r="D848" s="0" t="n">
        <v>6</v>
      </c>
      <c r="E848" s="0" t="n">
        <f aca="false">-1+A848*0.25</f>
        <v>-0.75</v>
      </c>
      <c r="F848" s="0" t="n">
        <f aca="false">-1+B848*0.25</f>
        <v>-0.75</v>
      </c>
      <c r="G848" s="0" t="n">
        <f aca="false">-1+C848*0.25</f>
        <v>-0.25</v>
      </c>
      <c r="H848" s="0" t="n">
        <f aca="false">-1+D848*0.25</f>
        <v>0.5</v>
      </c>
      <c r="I848" s="0" t="n">
        <f aca="false">1</f>
        <v>1</v>
      </c>
      <c r="J848" s="0" t="n">
        <f aca="false">E848</f>
        <v>-0.75</v>
      </c>
      <c r="K848" s="0" t="n">
        <f aca="false">F848</f>
        <v>-0.75</v>
      </c>
      <c r="L848" s="0" t="n">
        <f aca="false">G848</f>
        <v>-0.25</v>
      </c>
      <c r="M848" s="0" t="n">
        <f aca="false">H848</f>
        <v>0.5</v>
      </c>
      <c r="N848" s="0" t="n">
        <f aca="false">E848*F848</f>
        <v>0.5625</v>
      </c>
      <c r="O848" s="0" t="n">
        <f aca="false">E848*G848</f>
        <v>0.1875</v>
      </c>
      <c r="P848" s="0" t="n">
        <f aca="false">E848*H848</f>
        <v>-0.375</v>
      </c>
      <c r="Q848" s="0" t="n">
        <f aca="false">F848*G848</f>
        <v>0.1875</v>
      </c>
      <c r="R848" s="0" t="n">
        <f aca="false">F848*H848</f>
        <v>-0.375</v>
      </c>
      <c r="S848" s="0" t="n">
        <f aca="false">G848*H848</f>
        <v>-0.125</v>
      </c>
      <c r="T848" s="0" t="n">
        <f aca="false">E848*E848</f>
        <v>0.5625</v>
      </c>
      <c r="U848" s="0" t="n">
        <f aca="false">F848*F848</f>
        <v>0.5625</v>
      </c>
      <c r="V848" s="0" t="n">
        <f aca="false">G848*G848</f>
        <v>0.0625</v>
      </c>
      <c r="W848" s="0" t="n">
        <f aca="false">H848*H848</f>
        <v>0.25</v>
      </c>
      <c r="X848" s="0" t="n">
        <f aca="false">SUMPRODUCT(I848:W848,_XtX!$B$96:$P$96)</f>
        <v>42.3127147295322</v>
      </c>
      <c r="Y848" s="0" t="n">
        <f aca="false">SUMPRODUCT(MMULT(I848:W848,_XtX!$B$78:$P$92),I848:W848)</f>
        <v>0.257385610836988</v>
      </c>
      <c r="Z848" s="0" t="n">
        <f aca="false">04_回帰ANOVA!$K$19*04_回帰ANOVA!$K$14*SQRT(1+Y848)</f>
        <v>1.46161380324158</v>
      </c>
      <c r="AA848" s="0" t="n">
        <f aca="false">X848-Z848</f>
        <v>40.8511009262906</v>
      </c>
      <c r="AB848" s="0" t="n">
        <f aca="false">X848+Z848</f>
        <v>43.7743285327737</v>
      </c>
      <c r="AC848" s="54" t="b">
        <f aca="false">AND(E848&gt;=01_因子設定!$L$5-0.000000001,E848&lt;=01_因子設定!$M$5+0.000000001,F848&gt;=01_因子設定!$L$6-0.000000001,F848&lt;=01_因子設定!$M$6+0.000000001,G848&gt;=01_因子設定!$L$7-0.000000001,G848&lt;=01_因子設定!$M$7+0.000000001,H848&gt;=01_因子設定!$L$8-0.000000001,H848&lt;=01_因子設定!$M$8+0.000000001,IF(01_因子設定!$B$20="Box-Behnken",E848^2+F848^2+G848^2+H848^2&lt;=2+0.000000001,TRUE()))</f>
        <v>1</v>
      </c>
      <c r="AD848" s="55" t="n">
        <f aca="false">IF(AC848,IF(01_因子設定!$B$13="最大化",AA848-01_因子設定!$B$14,IF(01_因子設定!$B$13="最小化",01_因子設定!$B$15-AB848,MIN(AA848-01_因子設定!$B$14,01_因子設定!$B$15-AB848))),-1E+030)</f>
        <v>-5.64889907370942</v>
      </c>
      <c r="AE848" s="55" t="n">
        <f aca="false">IF(AC848,IF(01_因子設定!$B$13="最大化",X848,IF(01_因子設定!$B$13="最小化",-X848,-ABS(X848-01_因子設定!$B$16))),-1E+030)</f>
        <v>42.3127147295322</v>
      </c>
      <c r="AF848" s="55" t="n">
        <f aca="false">AD848+ROW()*0.000000001</f>
        <v>-5.64889822570942</v>
      </c>
      <c r="AG848" s="55" t="n">
        <f aca="false">AE848+ROW()*0.000000001</f>
        <v>42.3127155775322</v>
      </c>
    </row>
    <row r="849" customFormat="false" ht="15" hidden="false" customHeight="false" outlineLevel="0" collapsed="false">
      <c r="A849" s="0" t="n">
        <v>1</v>
      </c>
      <c r="B849" s="0" t="n">
        <v>1</v>
      </c>
      <c r="C849" s="0" t="n">
        <v>3</v>
      </c>
      <c r="D849" s="0" t="n">
        <v>7</v>
      </c>
      <c r="E849" s="0" t="n">
        <f aca="false">-1+A849*0.25</f>
        <v>-0.75</v>
      </c>
      <c r="F849" s="0" t="n">
        <f aca="false">-1+B849*0.25</f>
        <v>-0.75</v>
      </c>
      <c r="G849" s="0" t="n">
        <f aca="false">-1+C849*0.25</f>
        <v>-0.25</v>
      </c>
      <c r="H849" s="0" t="n">
        <f aca="false">-1+D849*0.25</f>
        <v>0.75</v>
      </c>
      <c r="I849" s="0" t="n">
        <f aca="false">1</f>
        <v>1</v>
      </c>
      <c r="J849" s="0" t="n">
        <f aca="false">E849</f>
        <v>-0.75</v>
      </c>
      <c r="K849" s="0" t="n">
        <f aca="false">F849</f>
        <v>-0.75</v>
      </c>
      <c r="L849" s="0" t="n">
        <f aca="false">G849</f>
        <v>-0.25</v>
      </c>
      <c r="M849" s="0" t="n">
        <f aca="false">H849</f>
        <v>0.75</v>
      </c>
      <c r="N849" s="0" t="n">
        <f aca="false">E849*F849</f>
        <v>0.5625</v>
      </c>
      <c r="O849" s="0" t="n">
        <f aca="false">E849*G849</f>
        <v>0.1875</v>
      </c>
      <c r="P849" s="0" t="n">
        <f aca="false">E849*H849</f>
        <v>-0.5625</v>
      </c>
      <c r="Q849" s="0" t="n">
        <f aca="false">F849*G849</f>
        <v>0.1875</v>
      </c>
      <c r="R849" s="0" t="n">
        <f aca="false">F849*H849</f>
        <v>-0.5625</v>
      </c>
      <c r="S849" s="0" t="n">
        <f aca="false">G849*H849</f>
        <v>-0.1875</v>
      </c>
      <c r="T849" s="0" t="n">
        <f aca="false">E849*E849</f>
        <v>0.5625</v>
      </c>
      <c r="U849" s="0" t="n">
        <f aca="false">F849*F849</f>
        <v>0.5625</v>
      </c>
      <c r="V849" s="0" t="n">
        <f aca="false">G849*G849</f>
        <v>0.0625</v>
      </c>
      <c r="W849" s="0" t="n">
        <f aca="false">H849*H849</f>
        <v>0.5625</v>
      </c>
      <c r="X849" s="0" t="n">
        <f aca="false">SUMPRODUCT(I849:W849,_XtX!$B$96:$P$96)</f>
        <v>42.2930235745614</v>
      </c>
      <c r="Y849" s="0" t="n">
        <f aca="false">SUMPRODUCT(MMULT(I849:W849,_XtX!$B$78:$P$92),I849:W849)</f>
        <v>0.294856199744152</v>
      </c>
      <c r="Z849" s="0" t="n">
        <f aca="false">04_回帰ANOVA!$K$19*04_回帰ANOVA!$K$14*SQRT(1+Y849)</f>
        <v>1.48323226089013</v>
      </c>
      <c r="AA849" s="0" t="n">
        <f aca="false">X849-Z849</f>
        <v>40.8097913136713</v>
      </c>
      <c r="AB849" s="0" t="n">
        <f aca="false">X849+Z849</f>
        <v>43.7762558354515</v>
      </c>
      <c r="AC849" s="54" t="b">
        <f aca="false">AND(E849&gt;=01_因子設定!$L$5-0.000000001,E849&lt;=01_因子設定!$M$5+0.000000001,F849&gt;=01_因子設定!$L$6-0.000000001,F849&lt;=01_因子設定!$M$6+0.000000001,G849&gt;=01_因子設定!$L$7-0.000000001,G849&lt;=01_因子設定!$M$7+0.000000001,H849&gt;=01_因子設定!$L$8-0.000000001,H849&lt;=01_因子設定!$M$8+0.000000001,IF(01_因子設定!$B$20="Box-Behnken",E849^2+F849^2+G849^2+H849^2&lt;=2+0.000000001,TRUE()))</f>
        <v>1</v>
      </c>
      <c r="AD849" s="55" t="n">
        <f aca="false">IF(AC849,IF(01_因子設定!$B$13="最大化",AA849-01_因子設定!$B$14,IF(01_因子設定!$B$13="最小化",01_因子設定!$B$15-AB849,MIN(AA849-01_因子設定!$B$14,01_因子設定!$B$15-AB849))),-1E+030)</f>
        <v>-5.69020868632872</v>
      </c>
      <c r="AE849" s="55" t="n">
        <f aca="false">IF(AC849,IF(01_因子設定!$B$13="最大化",X849,IF(01_因子設定!$B$13="最小化",-X849,-ABS(X849-01_因子設定!$B$16))),-1E+030)</f>
        <v>42.2930235745614</v>
      </c>
      <c r="AF849" s="55" t="n">
        <f aca="false">AD849+ROW()*0.000000001</f>
        <v>-5.69020783732872</v>
      </c>
      <c r="AG849" s="55" t="n">
        <f aca="false">AE849+ROW()*0.000000001</f>
        <v>42.2930244235614</v>
      </c>
    </row>
    <row r="850" customFormat="false" ht="15" hidden="false" customHeight="false" outlineLevel="0" collapsed="false">
      <c r="A850" s="0" t="n">
        <v>1</v>
      </c>
      <c r="B850" s="0" t="n">
        <v>1</v>
      </c>
      <c r="C850" s="0" t="n">
        <v>3</v>
      </c>
      <c r="D850" s="0" t="n">
        <v>8</v>
      </c>
      <c r="E850" s="0" t="n">
        <f aca="false">-1+A850*0.25</f>
        <v>-0.75</v>
      </c>
      <c r="F850" s="0" t="n">
        <f aca="false">-1+B850*0.25</f>
        <v>-0.75</v>
      </c>
      <c r="G850" s="0" t="n">
        <f aca="false">-1+C850*0.25</f>
        <v>-0.25</v>
      </c>
      <c r="H850" s="0" t="n">
        <f aca="false">-1+D850*0.25</f>
        <v>1</v>
      </c>
      <c r="I850" s="0" t="n">
        <f aca="false">1</f>
        <v>1</v>
      </c>
      <c r="J850" s="0" t="n">
        <f aca="false">E850</f>
        <v>-0.75</v>
      </c>
      <c r="K850" s="0" t="n">
        <f aca="false">F850</f>
        <v>-0.75</v>
      </c>
      <c r="L850" s="0" t="n">
        <f aca="false">G850</f>
        <v>-0.25</v>
      </c>
      <c r="M850" s="0" t="n">
        <f aca="false">H850</f>
        <v>1</v>
      </c>
      <c r="N850" s="0" t="n">
        <f aca="false">E850*F850</f>
        <v>0.5625</v>
      </c>
      <c r="O850" s="0" t="n">
        <f aca="false">E850*G850</f>
        <v>0.1875</v>
      </c>
      <c r="P850" s="0" t="n">
        <f aca="false">E850*H850</f>
        <v>-0.75</v>
      </c>
      <c r="Q850" s="0" t="n">
        <f aca="false">F850*G850</f>
        <v>0.1875</v>
      </c>
      <c r="R850" s="0" t="n">
        <f aca="false">F850*H850</f>
        <v>-0.75</v>
      </c>
      <c r="S850" s="0" t="n">
        <f aca="false">G850*H850</f>
        <v>-0.25</v>
      </c>
      <c r="T850" s="0" t="n">
        <f aca="false">E850*E850</f>
        <v>0.5625</v>
      </c>
      <c r="U850" s="0" t="n">
        <f aca="false">F850*F850</f>
        <v>0.5625</v>
      </c>
      <c r="V850" s="0" t="n">
        <f aca="false">G850*G850</f>
        <v>0.0625</v>
      </c>
      <c r="W850" s="0" t="n">
        <f aca="false">H850*H850</f>
        <v>1</v>
      </c>
      <c r="X850" s="0" t="n">
        <f aca="false">SUMPRODUCT(I850:W850,_XtX!$B$96:$P$96)</f>
        <v>42.2255254020468</v>
      </c>
      <c r="Y850" s="0" t="n">
        <f aca="false">SUMPRODUCT(MMULT(I850:W850,_XtX!$B$78:$P$92),I850:W850)</f>
        <v>0.473959761056287</v>
      </c>
      <c r="Z850" s="0" t="n">
        <f aca="false">04_回帰ANOVA!$K$19*04_回帰ANOVA!$K$14*SQRT(1+Y850)</f>
        <v>1.58249084588329</v>
      </c>
      <c r="AA850" s="0" t="n">
        <f aca="false">X850-Z850</f>
        <v>40.6430345561635</v>
      </c>
      <c r="AB850" s="0" t="n">
        <f aca="false">X850+Z850</f>
        <v>43.8080162479301</v>
      </c>
      <c r="AC850" s="54" t="b">
        <f aca="false">AND(E850&gt;=01_因子設定!$L$5-0.000000001,E850&lt;=01_因子設定!$M$5+0.000000001,F850&gt;=01_因子設定!$L$6-0.000000001,F850&lt;=01_因子設定!$M$6+0.000000001,G850&gt;=01_因子設定!$L$7-0.000000001,G850&lt;=01_因子設定!$M$7+0.000000001,H850&gt;=01_因子設定!$L$8-0.000000001,H850&lt;=01_因子設定!$M$8+0.000000001,IF(01_因子設定!$B$20="Box-Behnken",E850^2+F850^2+G850^2+H850^2&lt;=2+0.000000001,TRUE()))</f>
        <v>1</v>
      </c>
      <c r="AD850" s="55" t="n">
        <f aca="false">IF(AC850,IF(01_因子設定!$B$13="最大化",AA850-01_因子設定!$B$14,IF(01_因子設定!$B$13="最小化",01_因子設定!$B$15-AB850,MIN(AA850-01_因子設定!$B$14,01_因子設定!$B$15-AB850))),-1E+030)</f>
        <v>-5.85696544383648</v>
      </c>
      <c r="AE850" s="55" t="n">
        <f aca="false">IF(AC850,IF(01_因子設定!$B$13="最大化",X850,IF(01_因子設定!$B$13="最小化",-X850,-ABS(X850-01_因子設定!$B$16))),-1E+030)</f>
        <v>42.2255254020468</v>
      </c>
      <c r="AF850" s="55" t="n">
        <f aca="false">AD850+ROW()*0.000000001</f>
        <v>-5.85696459383648</v>
      </c>
      <c r="AG850" s="55" t="n">
        <f aca="false">AE850+ROW()*0.000000001</f>
        <v>42.2255262520468</v>
      </c>
    </row>
    <row r="851" customFormat="false" ht="15" hidden="false" customHeight="false" outlineLevel="0" collapsed="false">
      <c r="A851" s="0" t="n">
        <v>1</v>
      </c>
      <c r="B851" s="0" t="n">
        <v>1</v>
      </c>
      <c r="C851" s="0" t="n">
        <v>4</v>
      </c>
      <c r="D851" s="0" t="n">
        <v>0</v>
      </c>
      <c r="E851" s="0" t="n">
        <f aca="false">-1+A851*0.25</f>
        <v>-0.75</v>
      </c>
      <c r="F851" s="0" t="n">
        <f aca="false">-1+B851*0.25</f>
        <v>-0.75</v>
      </c>
      <c r="G851" s="0" t="n">
        <f aca="false">-1+C851*0.25</f>
        <v>0</v>
      </c>
      <c r="H851" s="0" t="n">
        <f aca="false">-1+D851*0.25</f>
        <v>-1</v>
      </c>
      <c r="I851" s="0" t="n">
        <f aca="false">1</f>
        <v>1</v>
      </c>
      <c r="J851" s="0" t="n">
        <f aca="false">E851</f>
        <v>-0.75</v>
      </c>
      <c r="K851" s="0" t="n">
        <f aca="false">F851</f>
        <v>-0.75</v>
      </c>
      <c r="L851" s="0" t="n">
        <f aca="false">G851</f>
        <v>0</v>
      </c>
      <c r="M851" s="0" t="n">
        <f aca="false">H851</f>
        <v>-1</v>
      </c>
      <c r="N851" s="0" t="n">
        <f aca="false">E851*F851</f>
        <v>0.5625</v>
      </c>
      <c r="O851" s="0" t="n">
        <f aca="false">E851*G851</f>
        <v>-0</v>
      </c>
      <c r="P851" s="0" t="n">
        <f aca="false">E851*H851</f>
        <v>0.75</v>
      </c>
      <c r="Q851" s="0" t="n">
        <f aca="false">F851*G851</f>
        <v>-0</v>
      </c>
      <c r="R851" s="0" t="n">
        <f aca="false">F851*H851</f>
        <v>0.75</v>
      </c>
      <c r="S851" s="0" t="n">
        <f aca="false">G851*H851</f>
        <v>-0</v>
      </c>
      <c r="T851" s="0" t="n">
        <f aca="false">E851*E851</f>
        <v>0.5625</v>
      </c>
      <c r="U851" s="0" t="n">
        <f aca="false">F851*F851</f>
        <v>0.5625</v>
      </c>
      <c r="V851" s="0" t="n">
        <f aca="false">G851*G851</f>
        <v>0</v>
      </c>
      <c r="W851" s="0" t="n">
        <f aca="false">H851*H851</f>
        <v>1</v>
      </c>
      <c r="X851" s="0" t="n">
        <f aca="false">SUMPRODUCT(I851:W851,_XtX!$B$96:$P$96)</f>
        <v>41.706807383041</v>
      </c>
      <c r="Y851" s="0" t="n">
        <f aca="false">SUMPRODUCT(MMULT(I851:W851,_XtX!$B$78:$P$92),I851:W851)</f>
        <v>0.494259126005117</v>
      </c>
      <c r="Z851" s="0" t="n">
        <f aca="false">04_回帰ANOVA!$K$19*04_回帰ANOVA!$K$14*SQRT(1+Y851)</f>
        <v>1.59335061078203</v>
      </c>
      <c r="AA851" s="0" t="n">
        <f aca="false">X851-Z851</f>
        <v>40.1134567722589</v>
      </c>
      <c r="AB851" s="0" t="n">
        <f aca="false">X851+Z851</f>
        <v>43.300157993823</v>
      </c>
      <c r="AC851" s="54" t="b">
        <f aca="false">AND(E851&gt;=01_因子設定!$L$5-0.000000001,E851&lt;=01_因子設定!$M$5+0.000000001,F851&gt;=01_因子設定!$L$6-0.000000001,F851&lt;=01_因子設定!$M$6+0.000000001,G851&gt;=01_因子設定!$L$7-0.000000001,G851&lt;=01_因子設定!$M$7+0.000000001,H851&gt;=01_因子設定!$L$8-0.000000001,H851&lt;=01_因子設定!$M$8+0.000000001,IF(01_因子設定!$B$20="Box-Behnken",E851^2+F851^2+G851^2+H851^2&lt;=2+0.000000001,TRUE()))</f>
        <v>1</v>
      </c>
      <c r="AD851" s="55" t="n">
        <f aca="false">IF(AC851,IF(01_因子設定!$B$13="最大化",AA851-01_因子設定!$B$14,IF(01_因子設定!$B$13="最小化",01_因子設定!$B$15-AB851,MIN(AA851-01_因子設定!$B$14,01_因子設定!$B$15-AB851))),-1E+030)</f>
        <v>-6.38654322774107</v>
      </c>
      <c r="AE851" s="55" t="n">
        <f aca="false">IF(AC851,IF(01_因子設定!$B$13="最大化",X851,IF(01_因子設定!$B$13="最小化",-X851,-ABS(X851-01_因子設定!$B$16))),-1E+030)</f>
        <v>41.706807383041</v>
      </c>
      <c r="AF851" s="55" t="n">
        <f aca="false">AD851+ROW()*0.000000001</f>
        <v>-6.38654237674106</v>
      </c>
      <c r="AG851" s="55" t="n">
        <f aca="false">AE851+ROW()*0.000000001</f>
        <v>41.706808234041</v>
      </c>
    </row>
    <row r="852" customFormat="false" ht="15" hidden="false" customHeight="false" outlineLevel="0" collapsed="false">
      <c r="A852" s="0" t="n">
        <v>1</v>
      </c>
      <c r="B852" s="0" t="n">
        <v>1</v>
      </c>
      <c r="C852" s="0" t="n">
        <v>4</v>
      </c>
      <c r="D852" s="0" t="n">
        <v>1</v>
      </c>
      <c r="E852" s="0" t="n">
        <f aca="false">-1+A852*0.25</f>
        <v>-0.75</v>
      </c>
      <c r="F852" s="0" t="n">
        <f aca="false">-1+B852*0.25</f>
        <v>-0.75</v>
      </c>
      <c r="G852" s="0" t="n">
        <f aca="false">-1+C852*0.25</f>
        <v>0</v>
      </c>
      <c r="H852" s="0" t="n">
        <f aca="false">-1+D852*0.25</f>
        <v>-0.75</v>
      </c>
      <c r="I852" s="0" t="n">
        <f aca="false">1</f>
        <v>1</v>
      </c>
      <c r="J852" s="0" t="n">
        <f aca="false">E852</f>
        <v>-0.75</v>
      </c>
      <c r="K852" s="0" t="n">
        <f aca="false">F852</f>
        <v>-0.75</v>
      </c>
      <c r="L852" s="0" t="n">
        <f aca="false">G852</f>
        <v>0</v>
      </c>
      <c r="M852" s="0" t="n">
        <f aca="false">H852</f>
        <v>-0.75</v>
      </c>
      <c r="N852" s="0" t="n">
        <f aca="false">E852*F852</f>
        <v>0.5625</v>
      </c>
      <c r="O852" s="0" t="n">
        <f aca="false">E852*G852</f>
        <v>-0</v>
      </c>
      <c r="P852" s="0" t="n">
        <f aca="false">E852*H852</f>
        <v>0.5625</v>
      </c>
      <c r="Q852" s="0" t="n">
        <f aca="false">F852*G852</f>
        <v>-0</v>
      </c>
      <c r="R852" s="0" t="n">
        <f aca="false">F852*H852</f>
        <v>0.5625</v>
      </c>
      <c r="S852" s="0" t="n">
        <f aca="false">G852*H852</f>
        <v>-0</v>
      </c>
      <c r="T852" s="0" t="n">
        <f aca="false">E852*E852</f>
        <v>0.5625</v>
      </c>
      <c r="U852" s="0" t="n">
        <f aca="false">F852*F852</f>
        <v>0.5625</v>
      </c>
      <c r="V852" s="0" t="n">
        <f aca="false">G852*G852</f>
        <v>0</v>
      </c>
      <c r="W852" s="0" t="n">
        <f aca="false">H852*H852</f>
        <v>0.5625</v>
      </c>
      <c r="X852" s="0" t="n">
        <f aca="false">SUMPRODUCT(I852:W852,_XtX!$B$96:$P$96)</f>
        <v>41.9919270833333</v>
      </c>
      <c r="Y852" s="0" t="n">
        <f aca="false">SUMPRODUCT(MMULT(I852:W852,_XtX!$B$78:$P$92),I852:W852)</f>
        <v>0.310628255208333</v>
      </c>
      <c r="Z852" s="0" t="n">
        <f aca="false">04_回帰ANOVA!$K$19*04_回帰ANOVA!$K$14*SQRT(1+Y852)</f>
        <v>1.49223820892344</v>
      </c>
      <c r="AA852" s="0" t="n">
        <f aca="false">X852-Z852</f>
        <v>40.4996888744099</v>
      </c>
      <c r="AB852" s="0" t="n">
        <f aca="false">X852+Z852</f>
        <v>43.4841652922568</v>
      </c>
      <c r="AC852" s="54" t="b">
        <f aca="false">AND(E852&gt;=01_因子設定!$L$5-0.000000001,E852&lt;=01_因子設定!$M$5+0.000000001,F852&gt;=01_因子設定!$L$6-0.000000001,F852&lt;=01_因子設定!$M$6+0.000000001,G852&gt;=01_因子設定!$L$7-0.000000001,G852&lt;=01_因子設定!$M$7+0.000000001,H852&gt;=01_因子設定!$L$8-0.000000001,H852&lt;=01_因子設定!$M$8+0.000000001,IF(01_因子設定!$B$20="Box-Behnken",E852^2+F852^2+G852^2+H852^2&lt;=2+0.000000001,TRUE()))</f>
        <v>1</v>
      </c>
      <c r="AD852" s="55" t="n">
        <f aca="false">IF(AC852,IF(01_因子設定!$B$13="最大化",AA852-01_因子設定!$B$14,IF(01_因子設定!$B$13="最小化",01_因子設定!$B$15-AB852,MIN(AA852-01_因子設定!$B$14,01_因子設定!$B$15-AB852))),-1E+030)</f>
        <v>-6.0003111255901</v>
      </c>
      <c r="AE852" s="55" t="n">
        <f aca="false">IF(AC852,IF(01_因子設定!$B$13="最大化",X852,IF(01_因子設定!$B$13="最小化",-X852,-ABS(X852-01_因子設定!$B$16))),-1E+030)</f>
        <v>41.9919270833333</v>
      </c>
      <c r="AF852" s="55" t="n">
        <f aca="false">AD852+ROW()*0.000000001</f>
        <v>-6.0003102735901</v>
      </c>
      <c r="AG852" s="55" t="n">
        <f aca="false">AE852+ROW()*0.000000001</f>
        <v>41.9919279353333</v>
      </c>
    </row>
    <row r="853" customFormat="false" ht="15" hidden="false" customHeight="false" outlineLevel="0" collapsed="false">
      <c r="A853" s="0" t="n">
        <v>1</v>
      </c>
      <c r="B853" s="0" t="n">
        <v>1</v>
      </c>
      <c r="C853" s="0" t="n">
        <v>4</v>
      </c>
      <c r="D853" s="0" t="n">
        <v>2</v>
      </c>
      <c r="E853" s="0" t="n">
        <f aca="false">-1+A853*0.25</f>
        <v>-0.75</v>
      </c>
      <c r="F853" s="0" t="n">
        <f aca="false">-1+B853*0.25</f>
        <v>-0.75</v>
      </c>
      <c r="G853" s="0" t="n">
        <f aca="false">-1+C853*0.25</f>
        <v>0</v>
      </c>
      <c r="H853" s="0" t="n">
        <f aca="false">-1+D853*0.25</f>
        <v>-0.5</v>
      </c>
      <c r="I853" s="0" t="n">
        <f aca="false">1</f>
        <v>1</v>
      </c>
      <c r="J853" s="0" t="n">
        <f aca="false">E853</f>
        <v>-0.75</v>
      </c>
      <c r="K853" s="0" t="n">
        <f aca="false">F853</f>
        <v>-0.75</v>
      </c>
      <c r="L853" s="0" t="n">
        <f aca="false">G853</f>
        <v>0</v>
      </c>
      <c r="M853" s="0" t="n">
        <f aca="false">H853</f>
        <v>-0.5</v>
      </c>
      <c r="N853" s="0" t="n">
        <f aca="false">E853*F853</f>
        <v>0.5625</v>
      </c>
      <c r="O853" s="0" t="n">
        <f aca="false">E853*G853</f>
        <v>-0</v>
      </c>
      <c r="P853" s="0" t="n">
        <f aca="false">E853*H853</f>
        <v>0.375</v>
      </c>
      <c r="Q853" s="0" t="n">
        <f aca="false">F853*G853</f>
        <v>-0</v>
      </c>
      <c r="R853" s="0" t="n">
        <f aca="false">F853*H853</f>
        <v>0.375</v>
      </c>
      <c r="S853" s="0" t="n">
        <f aca="false">G853*H853</f>
        <v>-0</v>
      </c>
      <c r="T853" s="0" t="n">
        <f aca="false">E853*E853</f>
        <v>0.5625</v>
      </c>
      <c r="U853" s="0" t="n">
        <f aca="false">F853*F853</f>
        <v>0.5625</v>
      </c>
      <c r="V853" s="0" t="n">
        <f aca="false">G853*G853</f>
        <v>0</v>
      </c>
      <c r="W853" s="0" t="n">
        <f aca="false">H853*H853</f>
        <v>0.25</v>
      </c>
      <c r="X853" s="0" t="n">
        <f aca="false">SUMPRODUCT(I853:W853,_XtX!$B$96:$P$96)</f>
        <v>42.2292397660819</v>
      </c>
      <c r="Y853" s="0" t="n">
        <f aca="false">SUMPRODUCT(MMULT(I853:W853,_XtX!$B$78:$P$92),I853:W853)</f>
        <v>0.269923873812135</v>
      </c>
      <c r="Z853" s="0" t="n">
        <f aca="false">04_回帰ANOVA!$K$19*04_回帰ANOVA!$K$14*SQRT(1+Y853)</f>
        <v>1.46888310825501</v>
      </c>
      <c r="AA853" s="0" t="n">
        <f aca="false">X853-Z853</f>
        <v>40.7603566578269</v>
      </c>
      <c r="AB853" s="0" t="n">
        <f aca="false">X853+Z853</f>
        <v>43.6981228743369</v>
      </c>
      <c r="AC853" s="54" t="b">
        <f aca="false">AND(E853&gt;=01_因子設定!$L$5-0.000000001,E853&lt;=01_因子設定!$M$5+0.000000001,F853&gt;=01_因子設定!$L$6-0.000000001,F853&lt;=01_因子設定!$M$6+0.000000001,G853&gt;=01_因子設定!$L$7-0.000000001,G853&lt;=01_因子設定!$M$7+0.000000001,H853&gt;=01_因子設定!$L$8-0.000000001,H853&lt;=01_因子設定!$M$8+0.000000001,IF(01_因子設定!$B$20="Box-Behnken",E853^2+F853^2+G853^2+H853^2&lt;=2+0.000000001,TRUE()))</f>
        <v>1</v>
      </c>
      <c r="AD853" s="55" t="n">
        <f aca="false">IF(AC853,IF(01_因子設定!$B$13="最大化",AA853-01_因子設定!$B$14,IF(01_因子設定!$B$13="最小化",01_因子設定!$B$15-AB853,MIN(AA853-01_因子設定!$B$14,01_因子設定!$B$15-AB853))),-1E+030)</f>
        <v>-5.73964334217314</v>
      </c>
      <c r="AE853" s="55" t="n">
        <f aca="false">IF(AC853,IF(01_因子設定!$B$13="最大化",X853,IF(01_因子設定!$B$13="最小化",-X853,-ABS(X853-01_因子設定!$B$16))),-1E+030)</f>
        <v>42.2292397660819</v>
      </c>
      <c r="AF853" s="55" t="n">
        <f aca="false">AD853+ROW()*0.000000001</f>
        <v>-5.73964248917314</v>
      </c>
      <c r="AG853" s="55" t="n">
        <f aca="false">AE853+ROW()*0.000000001</f>
        <v>42.2292406190819</v>
      </c>
    </row>
    <row r="854" customFormat="false" ht="15" hidden="false" customHeight="false" outlineLevel="0" collapsed="false">
      <c r="A854" s="0" t="n">
        <v>1</v>
      </c>
      <c r="B854" s="0" t="n">
        <v>1</v>
      </c>
      <c r="C854" s="0" t="n">
        <v>4</v>
      </c>
      <c r="D854" s="0" t="n">
        <v>3</v>
      </c>
      <c r="E854" s="0" t="n">
        <f aca="false">-1+A854*0.25</f>
        <v>-0.75</v>
      </c>
      <c r="F854" s="0" t="n">
        <f aca="false">-1+B854*0.25</f>
        <v>-0.75</v>
      </c>
      <c r="G854" s="0" t="n">
        <f aca="false">-1+C854*0.25</f>
        <v>0</v>
      </c>
      <c r="H854" s="0" t="n">
        <f aca="false">-1+D854*0.25</f>
        <v>-0.25</v>
      </c>
      <c r="I854" s="0" t="n">
        <f aca="false">1</f>
        <v>1</v>
      </c>
      <c r="J854" s="0" t="n">
        <f aca="false">E854</f>
        <v>-0.75</v>
      </c>
      <c r="K854" s="0" t="n">
        <f aca="false">F854</f>
        <v>-0.75</v>
      </c>
      <c r="L854" s="0" t="n">
        <f aca="false">G854</f>
        <v>0</v>
      </c>
      <c r="M854" s="0" t="n">
        <f aca="false">H854</f>
        <v>-0.25</v>
      </c>
      <c r="N854" s="0" t="n">
        <f aca="false">E854*F854</f>
        <v>0.5625</v>
      </c>
      <c r="O854" s="0" t="n">
        <f aca="false">E854*G854</f>
        <v>-0</v>
      </c>
      <c r="P854" s="0" t="n">
        <f aca="false">E854*H854</f>
        <v>0.1875</v>
      </c>
      <c r="Q854" s="0" t="n">
        <f aca="false">F854*G854</f>
        <v>-0</v>
      </c>
      <c r="R854" s="0" t="n">
        <f aca="false">F854*H854</f>
        <v>0.1875</v>
      </c>
      <c r="S854" s="0" t="n">
        <f aca="false">G854*H854</f>
        <v>-0</v>
      </c>
      <c r="T854" s="0" t="n">
        <f aca="false">E854*E854</f>
        <v>0.5625</v>
      </c>
      <c r="U854" s="0" t="n">
        <f aca="false">F854*F854</f>
        <v>0.5625</v>
      </c>
      <c r="V854" s="0" t="n">
        <f aca="false">G854*G854</f>
        <v>0</v>
      </c>
      <c r="W854" s="0" t="n">
        <f aca="false">H854*H854</f>
        <v>0.0625</v>
      </c>
      <c r="X854" s="0" t="n">
        <f aca="false">SUMPRODUCT(I854:W854,_XtX!$B$96:$P$96)</f>
        <v>42.4187454312865</v>
      </c>
      <c r="Y854" s="0" t="n">
        <f aca="false">SUMPRODUCT(MMULT(I854:W854,_XtX!$B$78:$P$92),I854:W854)</f>
        <v>0.281685455500731</v>
      </c>
      <c r="Z854" s="0" t="n">
        <f aca="false">04_回帰ANOVA!$K$19*04_回帰ANOVA!$K$14*SQRT(1+Y854)</f>
        <v>1.47566956658694</v>
      </c>
      <c r="AA854" s="0" t="n">
        <f aca="false">X854-Z854</f>
        <v>40.9430758646996</v>
      </c>
      <c r="AB854" s="0" t="n">
        <f aca="false">X854+Z854</f>
        <v>43.8944149978735</v>
      </c>
      <c r="AC854" s="54" t="b">
        <f aca="false">AND(E854&gt;=01_因子設定!$L$5-0.000000001,E854&lt;=01_因子設定!$M$5+0.000000001,F854&gt;=01_因子設定!$L$6-0.000000001,F854&lt;=01_因子設定!$M$6+0.000000001,G854&gt;=01_因子設定!$L$7-0.000000001,G854&lt;=01_因子設定!$M$7+0.000000001,H854&gt;=01_因子設定!$L$8-0.000000001,H854&lt;=01_因子設定!$M$8+0.000000001,IF(01_因子設定!$B$20="Box-Behnken",E854^2+F854^2+G854^2+H854^2&lt;=2+0.000000001,TRUE()))</f>
        <v>1</v>
      </c>
      <c r="AD854" s="55" t="n">
        <f aca="false">IF(AC854,IF(01_因子設定!$B$13="最大化",AA854-01_因子設定!$B$14,IF(01_因子設定!$B$13="最小化",01_因子設定!$B$15-AB854,MIN(AA854-01_因子設定!$B$14,01_因子設定!$B$15-AB854))),-1E+030)</f>
        <v>-5.5569241353004</v>
      </c>
      <c r="AE854" s="55" t="n">
        <f aca="false">IF(AC854,IF(01_因子設定!$B$13="最大化",X854,IF(01_因子設定!$B$13="最小化",-X854,-ABS(X854-01_因子設定!$B$16))),-1E+030)</f>
        <v>42.4187454312865</v>
      </c>
      <c r="AF854" s="55" t="n">
        <f aca="false">AD854+ROW()*0.000000001</f>
        <v>-5.5569232813004</v>
      </c>
      <c r="AG854" s="55" t="n">
        <f aca="false">AE854+ROW()*0.000000001</f>
        <v>42.4187462852865</v>
      </c>
    </row>
    <row r="855" customFormat="false" ht="15" hidden="false" customHeight="false" outlineLevel="0" collapsed="false">
      <c r="A855" s="0" t="n">
        <v>1</v>
      </c>
      <c r="B855" s="0" t="n">
        <v>1</v>
      </c>
      <c r="C855" s="0" t="n">
        <v>4</v>
      </c>
      <c r="D855" s="0" t="n">
        <v>4</v>
      </c>
      <c r="E855" s="0" t="n">
        <f aca="false">-1+A855*0.25</f>
        <v>-0.75</v>
      </c>
      <c r="F855" s="0" t="n">
        <f aca="false">-1+B855*0.25</f>
        <v>-0.75</v>
      </c>
      <c r="G855" s="0" t="n">
        <f aca="false">-1+C855*0.25</f>
        <v>0</v>
      </c>
      <c r="H855" s="0" t="n">
        <f aca="false">-1+D855*0.25</f>
        <v>0</v>
      </c>
      <c r="I855" s="0" t="n">
        <f aca="false">1</f>
        <v>1</v>
      </c>
      <c r="J855" s="0" t="n">
        <f aca="false">E855</f>
        <v>-0.75</v>
      </c>
      <c r="K855" s="0" t="n">
        <f aca="false">F855</f>
        <v>-0.75</v>
      </c>
      <c r="L855" s="0" t="n">
        <f aca="false">G855</f>
        <v>0</v>
      </c>
      <c r="M855" s="0" t="n">
        <f aca="false">H855</f>
        <v>0</v>
      </c>
      <c r="N855" s="0" t="n">
        <f aca="false">E855*F855</f>
        <v>0.5625</v>
      </c>
      <c r="O855" s="0" t="n">
        <f aca="false">E855*G855</f>
        <v>-0</v>
      </c>
      <c r="P855" s="0" t="n">
        <f aca="false">E855*H855</f>
        <v>-0</v>
      </c>
      <c r="Q855" s="0" t="n">
        <f aca="false">F855*G855</f>
        <v>-0</v>
      </c>
      <c r="R855" s="0" t="n">
        <f aca="false">F855*H855</f>
        <v>-0</v>
      </c>
      <c r="S855" s="0" t="n">
        <f aca="false">G855*H855</f>
        <v>0</v>
      </c>
      <c r="T855" s="0" t="n">
        <f aca="false">E855*E855</f>
        <v>0.5625</v>
      </c>
      <c r="U855" s="0" t="n">
        <f aca="false">F855*F855</f>
        <v>0.5625</v>
      </c>
      <c r="V855" s="0" t="n">
        <f aca="false">G855*G855</f>
        <v>0</v>
      </c>
      <c r="W855" s="0" t="n">
        <f aca="false">H855*H855</f>
        <v>0</v>
      </c>
      <c r="X855" s="0" t="n">
        <f aca="false">SUMPRODUCT(I855:W855,_XtX!$B$96:$P$96)</f>
        <v>42.5604440789474</v>
      </c>
      <c r="Y855" s="0" t="n">
        <f aca="false">SUMPRODUCT(MMULT(I855:W855,_XtX!$B$78:$P$92),I855:W855)</f>
        <v>0.291636684484649</v>
      </c>
      <c r="Z855" s="0" t="n">
        <f aca="false">04_回帰ANOVA!$K$19*04_回帰ANOVA!$K$14*SQRT(1+Y855)</f>
        <v>1.48138716762813</v>
      </c>
      <c r="AA855" s="0" t="n">
        <f aca="false">X855-Z855</f>
        <v>41.0790569113192</v>
      </c>
      <c r="AB855" s="0" t="n">
        <f aca="false">X855+Z855</f>
        <v>44.0418312465755</v>
      </c>
      <c r="AC855" s="54" t="b">
        <f aca="false">AND(E855&gt;=01_因子設定!$L$5-0.000000001,E855&lt;=01_因子設定!$M$5+0.000000001,F855&gt;=01_因子設定!$L$6-0.000000001,F855&lt;=01_因子設定!$M$6+0.000000001,G855&gt;=01_因子設定!$L$7-0.000000001,G855&lt;=01_因子設定!$M$7+0.000000001,H855&gt;=01_因子設定!$L$8-0.000000001,H855&lt;=01_因子設定!$M$8+0.000000001,IF(01_因子設定!$B$20="Box-Behnken",E855^2+F855^2+G855^2+H855^2&lt;=2+0.000000001,TRUE()))</f>
        <v>1</v>
      </c>
      <c r="AD855" s="55" t="n">
        <f aca="false">IF(AC855,IF(01_因子設定!$B$13="最大化",AA855-01_因子設定!$B$14,IF(01_因子設定!$B$13="最小化",01_因子設定!$B$15-AB855,MIN(AA855-01_因子設定!$B$14,01_因子設定!$B$15-AB855))),-1E+030)</f>
        <v>-5.42094308868077</v>
      </c>
      <c r="AE855" s="55" t="n">
        <f aca="false">IF(AC855,IF(01_因子設定!$B$13="最大化",X855,IF(01_因子設定!$B$13="最小化",-X855,-ABS(X855-01_因子設定!$B$16))),-1E+030)</f>
        <v>42.5604440789474</v>
      </c>
      <c r="AF855" s="55" t="n">
        <f aca="false">AD855+ROW()*0.000000001</f>
        <v>-5.42094223368077</v>
      </c>
      <c r="AG855" s="55" t="n">
        <f aca="false">AE855+ROW()*0.000000001</f>
        <v>42.5604449339474</v>
      </c>
    </row>
    <row r="856" customFormat="false" ht="15" hidden="false" customHeight="false" outlineLevel="0" collapsed="false">
      <c r="A856" s="0" t="n">
        <v>1</v>
      </c>
      <c r="B856" s="0" t="n">
        <v>1</v>
      </c>
      <c r="C856" s="0" t="n">
        <v>4</v>
      </c>
      <c r="D856" s="0" t="n">
        <v>5</v>
      </c>
      <c r="E856" s="0" t="n">
        <f aca="false">-1+A856*0.25</f>
        <v>-0.75</v>
      </c>
      <c r="F856" s="0" t="n">
        <f aca="false">-1+B856*0.25</f>
        <v>-0.75</v>
      </c>
      <c r="G856" s="0" t="n">
        <f aca="false">-1+C856*0.25</f>
        <v>0</v>
      </c>
      <c r="H856" s="0" t="n">
        <f aca="false">-1+D856*0.25</f>
        <v>0.25</v>
      </c>
      <c r="I856" s="0" t="n">
        <f aca="false">1</f>
        <v>1</v>
      </c>
      <c r="J856" s="0" t="n">
        <f aca="false">E856</f>
        <v>-0.75</v>
      </c>
      <c r="K856" s="0" t="n">
        <f aca="false">F856</f>
        <v>-0.75</v>
      </c>
      <c r="L856" s="0" t="n">
        <f aca="false">G856</f>
        <v>0</v>
      </c>
      <c r="M856" s="0" t="n">
        <f aca="false">H856</f>
        <v>0.25</v>
      </c>
      <c r="N856" s="0" t="n">
        <f aca="false">E856*F856</f>
        <v>0.5625</v>
      </c>
      <c r="O856" s="0" t="n">
        <f aca="false">E856*G856</f>
        <v>-0</v>
      </c>
      <c r="P856" s="0" t="n">
        <f aca="false">E856*H856</f>
        <v>-0.1875</v>
      </c>
      <c r="Q856" s="0" t="n">
        <f aca="false">F856*G856</f>
        <v>-0</v>
      </c>
      <c r="R856" s="0" t="n">
        <f aca="false">F856*H856</f>
        <v>-0.1875</v>
      </c>
      <c r="S856" s="0" t="n">
        <f aca="false">G856*H856</f>
        <v>0</v>
      </c>
      <c r="T856" s="0" t="n">
        <f aca="false">E856*E856</f>
        <v>0.5625</v>
      </c>
      <c r="U856" s="0" t="n">
        <f aca="false">F856*F856</f>
        <v>0.5625</v>
      </c>
      <c r="V856" s="0" t="n">
        <f aca="false">G856*G856</f>
        <v>0</v>
      </c>
      <c r="W856" s="0" t="n">
        <f aca="false">H856*H856</f>
        <v>0.0625</v>
      </c>
      <c r="X856" s="0" t="n">
        <f aca="false">SUMPRODUCT(I856:W856,_XtX!$B$96:$P$96)</f>
        <v>42.6543357090643</v>
      </c>
      <c r="Y856" s="0" t="n">
        <f aca="false">SUMPRODUCT(MMULT(I856:W856,_XtX!$B$78:$P$92),I856:W856)</f>
        <v>0.281685455500731</v>
      </c>
      <c r="Z856" s="0" t="n">
        <f aca="false">04_回帰ANOVA!$K$19*04_回帰ANOVA!$K$14*SQRT(1+Y856)</f>
        <v>1.47566956658694</v>
      </c>
      <c r="AA856" s="0" t="n">
        <f aca="false">X856-Z856</f>
        <v>41.1786661424774</v>
      </c>
      <c r="AB856" s="0" t="n">
        <f aca="false">X856+Z856</f>
        <v>44.1300052756513</v>
      </c>
      <c r="AC856" s="54" t="b">
        <f aca="false">AND(E856&gt;=01_因子設定!$L$5-0.000000001,E856&lt;=01_因子設定!$M$5+0.000000001,F856&gt;=01_因子設定!$L$6-0.000000001,F856&lt;=01_因子設定!$M$6+0.000000001,G856&gt;=01_因子設定!$L$7-0.000000001,G856&lt;=01_因子設定!$M$7+0.000000001,H856&gt;=01_因子設定!$L$8-0.000000001,H856&lt;=01_因子設定!$M$8+0.000000001,IF(01_因子設定!$B$20="Box-Behnken",E856^2+F856^2+G856^2+H856^2&lt;=2+0.000000001,TRUE()))</f>
        <v>1</v>
      </c>
      <c r="AD856" s="55" t="n">
        <f aca="false">IF(AC856,IF(01_因子設定!$B$13="最大化",AA856-01_因子設定!$B$14,IF(01_因子設定!$B$13="最小化",01_因子設定!$B$15-AB856,MIN(AA856-01_因子設定!$B$14,01_因子設定!$B$15-AB856))),-1E+030)</f>
        <v>-5.32133385752262</v>
      </c>
      <c r="AE856" s="55" t="n">
        <f aca="false">IF(AC856,IF(01_因子設定!$B$13="最大化",X856,IF(01_因子設定!$B$13="最小化",-X856,-ABS(X856-01_因子設定!$B$16))),-1E+030)</f>
        <v>42.6543357090643</v>
      </c>
      <c r="AF856" s="55" t="n">
        <f aca="false">AD856+ROW()*0.000000001</f>
        <v>-5.32133300152263</v>
      </c>
      <c r="AG856" s="55" t="n">
        <f aca="false">AE856+ROW()*0.000000001</f>
        <v>42.6543365650643</v>
      </c>
    </row>
    <row r="857" customFormat="false" ht="15" hidden="false" customHeight="false" outlineLevel="0" collapsed="false">
      <c r="A857" s="0" t="n">
        <v>1</v>
      </c>
      <c r="B857" s="0" t="n">
        <v>1</v>
      </c>
      <c r="C857" s="0" t="n">
        <v>4</v>
      </c>
      <c r="D857" s="0" t="n">
        <v>6</v>
      </c>
      <c r="E857" s="0" t="n">
        <f aca="false">-1+A857*0.25</f>
        <v>-0.75</v>
      </c>
      <c r="F857" s="0" t="n">
        <f aca="false">-1+B857*0.25</f>
        <v>-0.75</v>
      </c>
      <c r="G857" s="0" t="n">
        <f aca="false">-1+C857*0.25</f>
        <v>0</v>
      </c>
      <c r="H857" s="0" t="n">
        <f aca="false">-1+D857*0.25</f>
        <v>0.5</v>
      </c>
      <c r="I857" s="0" t="n">
        <f aca="false">1</f>
        <v>1</v>
      </c>
      <c r="J857" s="0" t="n">
        <f aca="false">E857</f>
        <v>-0.75</v>
      </c>
      <c r="K857" s="0" t="n">
        <f aca="false">F857</f>
        <v>-0.75</v>
      </c>
      <c r="L857" s="0" t="n">
        <f aca="false">G857</f>
        <v>0</v>
      </c>
      <c r="M857" s="0" t="n">
        <f aca="false">H857</f>
        <v>0.5</v>
      </c>
      <c r="N857" s="0" t="n">
        <f aca="false">E857*F857</f>
        <v>0.5625</v>
      </c>
      <c r="O857" s="0" t="n">
        <f aca="false">E857*G857</f>
        <v>-0</v>
      </c>
      <c r="P857" s="0" t="n">
        <f aca="false">E857*H857</f>
        <v>-0.375</v>
      </c>
      <c r="Q857" s="0" t="n">
        <f aca="false">F857*G857</f>
        <v>-0</v>
      </c>
      <c r="R857" s="0" t="n">
        <f aca="false">F857*H857</f>
        <v>-0.375</v>
      </c>
      <c r="S857" s="0" t="n">
        <f aca="false">G857*H857</f>
        <v>0</v>
      </c>
      <c r="T857" s="0" t="n">
        <f aca="false">E857*E857</f>
        <v>0.5625</v>
      </c>
      <c r="U857" s="0" t="n">
        <f aca="false">F857*F857</f>
        <v>0.5625</v>
      </c>
      <c r="V857" s="0" t="n">
        <f aca="false">G857*G857</f>
        <v>0</v>
      </c>
      <c r="W857" s="0" t="n">
        <f aca="false">H857*H857</f>
        <v>0.25</v>
      </c>
      <c r="X857" s="0" t="n">
        <f aca="false">SUMPRODUCT(I857:W857,_XtX!$B$96:$P$96)</f>
        <v>42.7004203216374</v>
      </c>
      <c r="Y857" s="0" t="n">
        <f aca="false">SUMPRODUCT(MMULT(I857:W857,_XtX!$B$78:$P$92),I857:W857)</f>
        <v>0.269923873812135</v>
      </c>
      <c r="Z857" s="0" t="n">
        <f aca="false">04_回帰ANOVA!$K$19*04_回帰ANOVA!$K$14*SQRT(1+Y857)</f>
        <v>1.46888310825501</v>
      </c>
      <c r="AA857" s="0" t="n">
        <f aca="false">X857-Z857</f>
        <v>41.2315372133824</v>
      </c>
      <c r="AB857" s="0" t="n">
        <f aca="false">X857+Z857</f>
        <v>44.1693034298924</v>
      </c>
      <c r="AC857" s="54" t="b">
        <f aca="false">AND(E857&gt;=01_因子設定!$L$5-0.000000001,E857&lt;=01_因子設定!$M$5+0.000000001,F857&gt;=01_因子設定!$L$6-0.000000001,F857&lt;=01_因子設定!$M$6+0.000000001,G857&gt;=01_因子設定!$L$7-0.000000001,G857&lt;=01_因子設定!$M$7+0.000000001,H857&gt;=01_因子設定!$L$8-0.000000001,H857&lt;=01_因子設定!$M$8+0.000000001,IF(01_因子設定!$B$20="Box-Behnken",E857^2+F857^2+G857^2+H857^2&lt;=2+0.000000001,TRUE()))</f>
        <v>1</v>
      </c>
      <c r="AD857" s="55" t="n">
        <f aca="false">IF(AC857,IF(01_因子設定!$B$13="最大化",AA857-01_因子設定!$B$14,IF(01_因子設定!$B$13="最小化",01_因子設定!$B$15-AB857,MIN(AA857-01_因子設定!$B$14,01_因子設定!$B$15-AB857))),-1E+030)</f>
        <v>-5.26846278661758</v>
      </c>
      <c r="AE857" s="55" t="n">
        <f aca="false">IF(AC857,IF(01_因子設定!$B$13="最大化",X857,IF(01_因子設定!$B$13="最小化",-X857,-ABS(X857-01_因子設定!$B$16))),-1E+030)</f>
        <v>42.7004203216374</v>
      </c>
      <c r="AF857" s="55" t="n">
        <f aca="false">AD857+ROW()*0.000000001</f>
        <v>-5.26846192961758</v>
      </c>
      <c r="AG857" s="55" t="n">
        <f aca="false">AE857+ROW()*0.000000001</f>
        <v>42.7004211786374</v>
      </c>
    </row>
    <row r="858" customFormat="false" ht="15" hidden="false" customHeight="false" outlineLevel="0" collapsed="false">
      <c r="A858" s="0" t="n">
        <v>1</v>
      </c>
      <c r="B858" s="0" t="n">
        <v>1</v>
      </c>
      <c r="C858" s="0" t="n">
        <v>4</v>
      </c>
      <c r="D858" s="0" t="n">
        <v>7</v>
      </c>
      <c r="E858" s="0" t="n">
        <f aca="false">-1+A858*0.25</f>
        <v>-0.75</v>
      </c>
      <c r="F858" s="0" t="n">
        <f aca="false">-1+B858*0.25</f>
        <v>-0.75</v>
      </c>
      <c r="G858" s="0" t="n">
        <f aca="false">-1+C858*0.25</f>
        <v>0</v>
      </c>
      <c r="H858" s="0" t="n">
        <f aca="false">-1+D858*0.25</f>
        <v>0.75</v>
      </c>
      <c r="I858" s="0" t="n">
        <f aca="false">1</f>
        <v>1</v>
      </c>
      <c r="J858" s="0" t="n">
        <f aca="false">E858</f>
        <v>-0.75</v>
      </c>
      <c r="K858" s="0" t="n">
        <f aca="false">F858</f>
        <v>-0.75</v>
      </c>
      <c r="L858" s="0" t="n">
        <f aca="false">G858</f>
        <v>0</v>
      </c>
      <c r="M858" s="0" t="n">
        <f aca="false">H858</f>
        <v>0.75</v>
      </c>
      <c r="N858" s="0" t="n">
        <f aca="false">E858*F858</f>
        <v>0.5625</v>
      </c>
      <c r="O858" s="0" t="n">
        <f aca="false">E858*G858</f>
        <v>-0</v>
      </c>
      <c r="P858" s="0" t="n">
        <f aca="false">E858*H858</f>
        <v>-0.5625</v>
      </c>
      <c r="Q858" s="0" t="n">
        <f aca="false">F858*G858</f>
        <v>-0</v>
      </c>
      <c r="R858" s="0" t="n">
        <f aca="false">F858*H858</f>
        <v>-0.5625</v>
      </c>
      <c r="S858" s="0" t="n">
        <f aca="false">G858*H858</f>
        <v>0</v>
      </c>
      <c r="T858" s="0" t="n">
        <f aca="false">E858*E858</f>
        <v>0.5625</v>
      </c>
      <c r="U858" s="0" t="n">
        <f aca="false">F858*F858</f>
        <v>0.5625</v>
      </c>
      <c r="V858" s="0" t="n">
        <f aca="false">G858*G858</f>
        <v>0</v>
      </c>
      <c r="W858" s="0" t="n">
        <f aca="false">H858*H858</f>
        <v>0.5625</v>
      </c>
      <c r="X858" s="0" t="n">
        <f aca="false">SUMPRODUCT(I858:W858,_XtX!$B$96:$P$96)</f>
        <v>42.6986979166667</v>
      </c>
      <c r="Y858" s="0" t="n">
        <f aca="false">SUMPRODUCT(MMULT(I858:W858,_XtX!$B$78:$P$92),I858:W858)</f>
        <v>0.310628255208333</v>
      </c>
      <c r="Z858" s="0" t="n">
        <f aca="false">04_回帰ANOVA!$K$19*04_回帰ANOVA!$K$14*SQRT(1+Y858)</f>
        <v>1.49223820892344</v>
      </c>
      <c r="AA858" s="0" t="n">
        <f aca="false">X858-Z858</f>
        <v>41.2064597077432</v>
      </c>
      <c r="AB858" s="0" t="n">
        <f aca="false">X858+Z858</f>
        <v>44.1909361255901</v>
      </c>
      <c r="AC858" s="54" t="b">
        <f aca="false">AND(E858&gt;=01_因子設定!$L$5-0.000000001,E858&lt;=01_因子設定!$M$5+0.000000001,F858&gt;=01_因子設定!$L$6-0.000000001,F858&lt;=01_因子設定!$M$6+0.000000001,G858&gt;=01_因子設定!$L$7-0.000000001,G858&lt;=01_因子設定!$M$7+0.000000001,H858&gt;=01_因子設定!$L$8-0.000000001,H858&lt;=01_因子設定!$M$8+0.000000001,IF(01_因子設定!$B$20="Box-Behnken",E858^2+F858^2+G858^2+H858^2&lt;=2+0.000000001,TRUE()))</f>
        <v>1</v>
      </c>
      <c r="AD858" s="55" t="n">
        <f aca="false">IF(AC858,IF(01_因子設定!$B$13="最大化",AA858-01_因子設定!$B$14,IF(01_因子設定!$B$13="最小化",01_因子設定!$B$15-AB858,MIN(AA858-01_因子設定!$B$14,01_因子設定!$B$15-AB858))),-1E+030)</f>
        <v>-5.29354029225677</v>
      </c>
      <c r="AE858" s="55" t="n">
        <f aca="false">IF(AC858,IF(01_因子設定!$B$13="最大化",X858,IF(01_因子設定!$B$13="最小化",-X858,-ABS(X858-01_因子設定!$B$16))),-1E+030)</f>
        <v>42.6986979166667</v>
      </c>
      <c r="AF858" s="55" t="n">
        <f aca="false">AD858+ROW()*0.000000001</f>
        <v>-5.29353943425677</v>
      </c>
      <c r="AG858" s="55" t="n">
        <f aca="false">AE858+ROW()*0.000000001</f>
        <v>42.6986987746667</v>
      </c>
    </row>
    <row r="859" customFormat="false" ht="15" hidden="false" customHeight="false" outlineLevel="0" collapsed="false">
      <c r="A859" s="0" t="n">
        <v>1</v>
      </c>
      <c r="B859" s="0" t="n">
        <v>1</v>
      </c>
      <c r="C859" s="0" t="n">
        <v>4</v>
      </c>
      <c r="D859" s="0" t="n">
        <v>8</v>
      </c>
      <c r="E859" s="0" t="n">
        <f aca="false">-1+A859*0.25</f>
        <v>-0.75</v>
      </c>
      <c r="F859" s="0" t="n">
        <f aca="false">-1+B859*0.25</f>
        <v>-0.75</v>
      </c>
      <c r="G859" s="0" t="n">
        <f aca="false">-1+C859*0.25</f>
        <v>0</v>
      </c>
      <c r="H859" s="0" t="n">
        <f aca="false">-1+D859*0.25</f>
        <v>1</v>
      </c>
      <c r="I859" s="0" t="n">
        <f aca="false">1</f>
        <v>1</v>
      </c>
      <c r="J859" s="0" t="n">
        <f aca="false">E859</f>
        <v>-0.75</v>
      </c>
      <c r="K859" s="0" t="n">
        <f aca="false">F859</f>
        <v>-0.75</v>
      </c>
      <c r="L859" s="0" t="n">
        <f aca="false">G859</f>
        <v>0</v>
      </c>
      <c r="M859" s="0" t="n">
        <f aca="false">H859</f>
        <v>1</v>
      </c>
      <c r="N859" s="0" t="n">
        <f aca="false">E859*F859</f>
        <v>0.5625</v>
      </c>
      <c r="O859" s="0" t="n">
        <f aca="false">E859*G859</f>
        <v>-0</v>
      </c>
      <c r="P859" s="0" t="n">
        <f aca="false">E859*H859</f>
        <v>-0.75</v>
      </c>
      <c r="Q859" s="0" t="n">
        <f aca="false">F859*G859</f>
        <v>-0</v>
      </c>
      <c r="R859" s="0" t="n">
        <f aca="false">F859*H859</f>
        <v>-0.75</v>
      </c>
      <c r="S859" s="0" t="n">
        <f aca="false">G859*H859</f>
        <v>0</v>
      </c>
      <c r="T859" s="0" t="n">
        <f aca="false">E859*E859</f>
        <v>0.5625</v>
      </c>
      <c r="U859" s="0" t="n">
        <f aca="false">F859*F859</f>
        <v>0.5625</v>
      </c>
      <c r="V859" s="0" t="n">
        <f aca="false">G859*G859</f>
        <v>0</v>
      </c>
      <c r="W859" s="0" t="n">
        <f aca="false">H859*H859</f>
        <v>1</v>
      </c>
      <c r="X859" s="0" t="n">
        <f aca="false">SUMPRODUCT(I859:W859,_XtX!$B$96:$P$96)</f>
        <v>42.6491684941521</v>
      </c>
      <c r="Y859" s="0" t="n">
        <f aca="false">SUMPRODUCT(MMULT(I859:W859,_XtX!$B$78:$P$92),I859:W859)</f>
        <v>0.494259126005117</v>
      </c>
      <c r="Z859" s="0" t="n">
        <f aca="false">04_回帰ANOVA!$K$19*04_回帰ANOVA!$K$14*SQRT(1+Y859)</f>
        <v>1.59335061078203</v>
      </c>
      <c r="AA859" s="0" t="n">
        <f aca="false">X859-Z859</f>
        <v>41.0558178833701</v>
      </c>
      <c r="AB859" s="0" t="n">
        <f aca="false">X859+Z859</f>
        <v>44.2425191049341</v>
      </c>
      <c r="AC859" s="54" t="b">
        <f aca="false">AND(E859&gt;=01_因子設定!$L$5-0.000000001,E859&lt;=01_因子設定!$M$5+0.000000001,F859&gt;=01_因子設定!$L$6-0.000000001,F859&lt;=01_因子設定!$M$6+0.000000001,G859&gt;=01_因子設定!$L$7-0.000000001,G859&lt;=01_因子設定!$M$7+0.000000001,H859&gt;=01_因子設定!$L$8-0.000000001,H859&lt;=01_因子設定!$M$8+0.000000001,IF(01_因子設定!$B$20="Box-Behnken",E859^2+F859^2+G859^2+H859^2&lt;=2+0.000000001,TRUE()))</f>
        <v>1</v>
      </c>
      <c r="AD859" s="55" t="n">
        <f aca="false">IF(AC859,IF(01_因子設定!$B$13="最大化",AA859-01_因子設定!$B$14,IF(01_因子設定!$B$13="最小化",01_因子設定!$B$15-AB859,MIN(AA859-01_因子設定!$B$14,01_因子設定!$B$15-AB859))),-1E+030)</f>
        <v>-5.44418211662995</v>
      </c>
      <c r="AE859" s="55" t="n">
        <f aca="false">IF(AC859,IF(01_因子設定!$B$13="最大化",X859,IF(01_因子設定!$B$13="最小化",-X859,-ABS(X859-01_因子設定!$B$16))),-1E+030)</f>
        <v>42.6491684941521</v>
      </c>
      <c r="AF859" s="55" t="n">
        <f aca="false">AD859+ROW()*0.000000001</f>
        <v>-5.44418125762995</v>
      </c>
      <c r="AG859" s="55" t="n">
        <f aca="false">AE859+ROW()*0.000000001</f>
        <v>42.6491693531521</v>
      </c>
    </row>
    <row r="860" customFormat="false" ht="15" hidden="false" customHeight="false" outlineLevel="0" collapsed="false">
      <c r="A860" s="0" t="n">
        <v>1</v>
      </c>
      <c r="B860" s="0" t="n">
        <v>1</v>
      </c>
      <c r="C860" s="0" t="n">
        <v>5</v>
      </c>
      <c r="D860" s="0" t="n">
        <v>0</v>
      </c>
      <c r="E860" s="0" t="n">
        <f aca="false">-1+A860*0.25</f>
        <v>-0.75</v>
      </c>
      <c r="F860" s="0" t="n">
        <f aca="false">-1+B860*0.25</f>
        <v>-0.75</v>
      </c>
      <c r="G860" s="0" t="n">
        <f aca="false">-1+C860*0.25</f>
        <v>0.25</v>
      </c>
      <c r="H860" s="0" t="n">
        <f aca="false">-1+D860*0.25</f>
        <v>-1</v>
      </c>
      <c r="I860" s="0" t="n">
        <f aca="false">1</f>
        <v>1</v>
      </c>
      <c r="J860" s="0" t="n">
        <f aca="false">E860</f>
        <v>-0.75</v>
      </c>
      <c r="K860" s="0" t="n">
        <f aca="false">F860</f>
        <v>-0.75</v>
      </c>
      <c r="L860" s="0" t="n">
        <f aca="false">G860</f>
        <v>0.25</v>
      </c>
      <c r="M860" s="0" t="n">
        <f aca="false">H860</f>
        <v>-1</v>
      </c>
      <c r="N860" s="0" t="n">
        <f aca="false">E860*F860</f>
        <v>0.5625</v>
      </c>
      <c r="O860" s="0" t="n">
        <f aca="false">E860*G860</f>
        <v>-0.1875</v>
      </c>
      <c r="P860" s="0" t="n">
        <f aca="false">E860*H860</f>
        <v>0.75</v>
      </c>
      <c r="Q860" s="0" t="n">
        <f aca="false">F860*G860</f>
        <v>-0.1875</v>
      </c>
      <c r="R860" s="0" t="n">
        <f aca="false">F860*H860</f>
        <v>0.75</v>
      </c>
      <c r="S860" s="0" t="n">
        <f aca="false">G860*H860</f>
        <v>-0.25</v>
      </c>
      <c r="T860" s="0" t="n">
        <f aca="false">E860*E860</f>
        <v>0.5625</v>
      </c>
      <c r="U860" s="0" t="n">
        <f aca="false">F860*F860</f>
        <v>0.5625</v>
      </c>
      <c r="V860" s="0" t="n">
        <f aca="false">G860*G860</f>
        <v>0.0625</v>
      </c>
      <c r="W860" s="0" t="n">
        <f aca="false">H860*H860</f>
        <v>1</v>
      </c>
      <c r="X860" s="0" t="n">
        <f aca="false">SUMPRODUCT(I860:W860,_XtX!$B$96:$P$96)</f>
        <v>41.9013934576024</v>
      </c>
      <c r="Y860" s="0" t="n">
        <f aca="false">SUMPRODUCT(MMULT(I860:W860,_XtX!$B$78:$P$92),I860:W860)</f>
        <v>0.473959761056287</v>
      </c>
      <c r="Z860" s="0" t="n">
        <f aca="false">04_回帰ANOVA!$K$19*04_回帰ANOVA!$K$14*SQRT(1+Y860)</f>
        <v>1.58249084588329</v>
      </c>
      <c r="AA860" s="0" t="n">
        <f aca="false">X860-Z860</f>
        <v>40.3189026117191</v>
      </c>
      <c r="AB860" s="0" t="n">
        <f aca="false">X860+Z860</f>
        <v>43.4838843034856</v>
      </c>
      <c r="AC860" s="54" t="b">
        <f aca="false">AND(E860&gt;=01_因子設定!$L$5-0.000000001,E860&lt;=01_因子設定!$M$5+0.000000001,F860&gt;=01_因子設定!$L$6-0.000000001,F860&lt;=01_因子設定!$M$6+0.000000001,G860&gt;=01_因子設定!$L$7-0.000000001,G860&lt;=01_因子設定!$M$7+0.000000001,H860&gt;=01_因子設定!$L$8-0.000000001,H860&lt;=01_因子設定!$M$8+0.000000001,IF(01_因子設定!$B$20="Box-Behnken",E860^2+F860^2+G860^2+H860^2&lt;=2+0.000000001,TRUE()))</f>
        <v>1</v>
      </c>
      <c r="AD860" s="55" t="n">
        <f aca="false">IF(AC860,IF(01_因子設定!$B$13="最大化",AA860-01_因子設定!$B$14,IF(01_因子設定!$B$13="最小化",01_因子設定!$B$15-AB860,MIN(AA860-01_因子設定!$B$14,01_因子設定!$B$15-AB860))),-1E+030)</f>
        <v>-6.18109738828093</v>
      </c>
      <c r="AE860" s="55" t="n">
        <f aca="false">IF(AC860,IF(01_因子設定!$B$13="最大化",X860,IF(01_因子設定!$B$13="最小化",-X860,-ABS(X860-01_因子設定!$B$16))),-1E+030)</f>
        <v>41.9013934576024</v>
      </c>
      <c r="AF860" s="55" t="n">
        <f aca="false">AD860+ROW()*0.000000001</f>
        <v>-6.18109652828093</v>
      </c>
      <c r="AG860" s="55" t="n">
        <f aca="false">AE860+ROW()*0.000000001</f>
        <v>41.9013943176024</v>
      </c>
    </row>
    <row r="861" customFormat="false" ht="15" hidden="false" customHeight="false" outlineLevel="0" collapsed="false">
      <c r="A861" s="0" t="n">
        <v>1</v>
      </c>
      <c r="B861" s="0" t="n">
        <v>1</v>
      </c>
      <c r="C861" s="0" t="n">
        <v>5</v>
      </c>
      <c r="D861" s="0" t="n">
        <v>1</v>
      </c>
      <c r="E861" s="0" t="n">
        <f aca="false">-1+A861*0.25</f>
        <v>-0.75</v>
      </c>
      <c r="F861" s="0" t="n">
        <f aca="false">-1+B861*0.25</f>
        <v>-0.75</v>
      </c>
      <c r="G861" s="0" t="n">
        <f aca="false">-1+C861*0.25</f>
        <v>0.25</v>
      </c>
      <c r="H861" s="0" t="n">
        <f aca="false">-1+D861*0.25</f>
        <v>-0.75</v>
      </c>
      <c r="I861" s="0" t="n">
        <f aca="false">1</f>
        <v>1</v>
      </c>
      <c r="J861" s="0" t="n">
        <f aca="false">E861</f>
        <v>-0.75</v>
      </c>
      <c r="K861" s="0" t="n">
        <f aca="false">F861</f>
        <v>-0.75</v>
      </c>
      <c r="L861" s="0" t="n">
        <f aca="false">G861</f>
        <v>0.25</v>
      </c>
      <c r="M861" s="0" t="n">
        <f aca="false">H861</f>
        <v>-0.75</v>
      </c>
      <c r="N861" s="0" t="n">
        <f aca="false">E861*F861</f>
        <v>0.5625</v>
      </c>
      <c r="O861" s="0" t="n">
        <f aca="false">E861*G861</f>
        <v>-0.1875</v>
      </c>
      <c r="P861" s="0" t="n">
        <f aca="false">E861*H861</f>
        <v>0.5625</v>
      </c>
      <c r="Q861" s="0" t="n">
        <f aca="false">F861*G861</f>
        <v>-0.1875</v>
      </c>
      <c r="R861" s="0" t="n">
        <f aca="false">F861*H861</f>
        <v>0.5625</v>
      </c>
      <c r="S861" s="0" t="n">
        <f aca="false">G861*H861</f>
        <v>-0.1875</v>
      </c>
      <c r="T861" s="0" t="n">
        <f aca="false">E861*E861</f>
        <v>0.5625</v>
      </c>
      <c r="U861" s="0" t="n">
        <f aca="false">F861*F861</f>
        <v>0.5625</v>
      </c>
      <c r="V861" s="0" t="n">
        <f aca="false">G861*G861</f>
        <v>0.0625</v>
      </c>
      <c r="W861" s="0" t="n">
        <f aca="false">H861*H861</f>
        <v>0.5625</v>
      </c>
      <c r="X861" s="0" t="n">
        <f aca="false">SUMPRODUCT(I861:W861,_XtX!$B$96:$P$96)</f>
        <v>42.2044819078947</v>
      </c>
      <c r="Y861" s="0" t="n">
        <f aca="false">SUMPRODUCT(MMULT(I861:W861,_XtX!$B$78:$P$92),I861:W861)</f>
        <v>0.294856199744152</v>
      </c>
      <c r="Z861" s="0" t="n">
        <f aca="false">04_回帰ANOVA!$K$19*04_回帰ANOVA!$K$14*SQRT(1+Y861)</f>
        <v>1.48323226089013</v>
      </c>
      <c r="AA861" s="0" t="n">
        <f aca="false">X861-Z861</f>
        <v>40.7212496470046</v>
      </c>
      <c r="AB861" s="0" t="n">
        <f aca="false">X861+Z861</f>
        <v>43.6877141687849</v>
      </c>
      <c r="AC861" s="54" t="b">
        <f aca="false">AND(E861&gt;=01_因子設定!$L$5-0.000000001,E861&lt;=01_因子設定!$M$5+0.000000001,F861&gt;=01_因子設定!$L$6-0.000000001,F861&lt;=01_因子設定!$M$6+0.000000001,G861&gt;=01_因子設定!$L$7-0.000000001,G861&lt;=01_因子設定!$M$7+0.000000001,H861&gt;=01_因子設定!$L$8-0.000000001,H861&lt;=01_因子設定!$M$8+0.000000001,IF(01_因子設定!$B$20="Box-Behnken",E861^2+F861^2+G861^2+H861^2&lt;=2+0.000000001,TRUE()))</f>
        <v>1</v>
      </c>
      <c r="AD861" s="55" t="n">
        <f aca="false">IF(AC861,IF(01_因子設定!$B$13="最大化",AA861-01_因子設定!$B$14,IF(01_因子設定!$B$13="最小化",01_因子設定!$B$15-AB861,MIN(AA861-01_因子設定!$B$14,01_因子設定!$B$15-AB861))),-1E+030)</f>
        <v>-5.77875035299539</v>
      </c>
      <c r="AE861" s="55" t="n">
        <f aca="false">IF(AC861,IF(01_因子設定!$B$13="最大化",X861,IF(01_因子設定!$B$13="最小化",-X861,-ABS(X861-01_因子設定!$B$16))),-1E+030)</f>
        <v>42.2044819078947</v>
      </c>
      <c r="AF861" s="55" t="n">
        <f aca="false">AD861+ROW()*0.000000001</f>
        <v>-5.77874949199539</v>
      </c>
      <c r="AG861" s="55" t="n">
        <f aca="false">AE861+ROW()*0.000000001</f>
        <v>42.2044827688947</v>
      </c>
    </row>
    <row r="862" customFormat="false" ht="15" hidden="false" customHeight="false" outlineLevel="0" collapsed="false">
      <c r="A862" s="0" t="n">
        <v>1</v>
      </c>
      <c r="B862" s="0" t="n">
        <v>1</v>
      </c>
      <c r="C862" s="0" t="n">
        <v>5</v>
      </c>
      <c r="D862" s="0" t="n">
        <v>2</v>
      </c>
      <c r="E862" s="0" t="n">
        <f aca="false">-1+A862*0.25</f>
        <v>-0.75</v>
      </c>
      <c r="F862" s="0" t="n">
        <f aca="false">-1+B862*0.25</f>
        <v>-0.75</v>
      </c>
      <c r="G862" s="0" t="n">
        <f aca="false">-1+C862*0.25</f>
        <v>0.25</v>
      </c>
      <c r="H862" s="0" t="n">
        <f aca="false">-1+D862*0.25</f>
        <v>-0.5</v>
      </c>
      <c r="I862" s="0" t="n">
        <f aca="false">1</f>
        <v>1</v>
      </c>
      <c r="J862" s="0" t="n">
        <f aca="false">E862</f>
        <v>-0.75</v>
      </c>
      <c r="K862" s="0" t="n">
        <f aca="false">F862</f>
        <v>-0.75</v>
      </c>
      <c r="L862" s="0" t="n">
        <f aca="false">G862</f>
        <v>0.25</v>
      </c>
      <c r="M862" s="0" t="n">
        <f aca="false">H862</f>
        <v>-0.5</v>
      </c>
      <c r="N862" s="0" t="n">
        <f aca="false">E862*F862</f>
        <v>0.5625</v>
      </c>
      <c r="O862" s="0" t="n">
        <f aca="false">E862*G862</f>
        <v>-0.1875</v>
      </c>
      <c r="P862" s="0" t="n">
        <f aca="false">E862*H862</f>
        <v>0.375</v>
      </c>
      <c r="Q862" s="0" t="n">
        <f aca="false">F862*G862</f>
        <v>-0.1875</v>
      </c>
      <c r="R862" s="0" t="n">
        <f aca="false">F862*H862</f>
        <v>0.375</v>
      </c>
      <c r="S862" s="0" t="n">
        <f aca="false">G862*H862</f>
        <v>-0.125</v>
      </c>
      <c r="T862" s="0" t="n">
        <f aca="false">E862*E862</f>
        <v>0.5625</v>
      </c>
      <c r="U862" s="0" t="n">
        <f aca="false">F862*F862</f>
        <v>0.5625</v>
      </c>
      <c r="V862" s="0" t="n">
        <f aca="false">G862*G862</f>
        <v>0.0625</v>
      </c>
      <c r="W862" s="0" t="n">
        <f aca="false">H862*H862</f>
        <v>0.25</v>
      </c>
      <c r="X862" s="0" t="n">
        <f aca="false">SUMPRODUCT(I862:W862,_XtX!$B$96:$P$96)</f>
        <v>42.4597633406433</v>
      </c>
      <c r="Y862" s="0" t="n">
        <f aca="false">SUMPRODUCT(MMULT(I862:W862,_XtX!$B$78:$P$92),I862:W862)</f>
        <v>0.257385610836988</v>
      </c>
      <c r="Z862" s="0" t="n">
        <f aca="false">04_回帰ANOVA!$K$19*04_回帰ANOVA!$K$14*SQRT(1+Y862)</f>
        <v>1.46161380324158</v>
      </c>
      <c r="AA862" s="0" t="n">
        <f aca="false">X862-Z862</f>
        <v>40.9981495374017</v>
      </c>
      <c r="AB862" s="0" t="n">
        <f aca="false">X862+Z862</f>
        <v>43.9213771438849</v>
      </c>
      <c r="AC862" s="54" t="b">
        <f aca="false">AND(E862&gt;=01_因子設定!$L$5-0.000000001,E862&lt;=01_因子設定!$M$5+0.000000001,F862&gt;=01_因子設定!$L$6-0.000000001,F862&lt;=01_因子設定!$M$6+0.000000001,G862&gt;=01_因子設定!$L$7-0.000000001,G862&lt;=01_因子設定!$M$7+0.000000001,H862&gt;=01_因子設定!$L$8-0.000000001,H862&lt;=01_因子設定!$M$8+0.000000001,IF(01_因子設定!$B$20="Box-Behnken",E862^2+F862^2+G862^2+H862^2&lt;=2+0.000000001,TRUE()))</f>
        <v>1</v>
      </c>
      <c r="AD862" s="55" t="n">
        <f aca="false">IF(AC862,IF(01_因子設定!$B$13="最大化",AA862-01_因子設定!$B$14,IF(01_因子設定!$B$13="最小化",01_因子設定!$B$15-AB862,MIN(AA862-01_因子設定!$B$14,01_因子設定!$B$15-AB862))),-1E+030)</f>
        <v>-5.50185046259831</v>
      </c>
      <c r="AE862" s="55" t="n">
        <f aca="false">IF(AC862,IF(01_因子設定!$B$13="最大化",X862,IF(01_因子設定!$B$13="最小化",-X862,-ABS(X862-01_因子設定!$B$16))),-1E+030)</f>
        <v>42.4597633406433</v>
      </c>
      <c r="AF862" s="55" t="n">
        <f aca="false">AD862+ROW()*0.000000001</f>
        <v>-5.50184960059831</v>
      </c>
      <c r="AG862" s="55" t="n">
        <f aca="false">AE862+ROW()*0.000000001</f>
        <v>42.4597642026433</v>
      </c>
    </row>
    <row r="863" customFormat="false" ht="15" hidden="false" customHeight="false" outlineLevel="0" collapsed="false">
      <c r="A863" s="0" t="n">
        <v>1</v>
      </c>
      <c r="B863" s="0" t="n">
        <v>1</v>
      </c>
      <c r="C863" s="0" t="n">
        <v>5</v>
      </c>
      <c r="D863" s="0" t="n">
        <v>3</v>
      </c>
      <c r="E863" s="0" t="n">
        <f aca="false">-1+A863*0.25</f>
        <v>-0.75</v>
      </c>
      <c r="F863" s="0" t="n">
        <f aca="false">-1+B863*0.25</f>
        <v>-0.75</v>
      </c>
      <c r="G863" s="0" t="n">
        <f aca="false">-1+C863*0.25</f>
        <v>0.25</v>
      </c>
      <c r="H863" s="0" t="n">
        <f aca="false">-1+D863*0.25</f>
        <v>-0.25</v>
      </c>
      <c r="I863" s="0" t="n">
        <f aca="false">1</f>
        <v>1</v>
      </c>
      <c r="J863" s="0" t="n">
        <f aca="false">E863</f>
        <v>-0.75</v>
      </c>
      <c r="K863" s="0" t="n">
        <f aca="false">F863</f>
        <v>-0.75</v>
      </c>
      <c r="L863" s="0" t="n">
        <f aca="false">G863</f>
        <v>0.25</v>
      </c>
      <c r="M863" s="0" t="n">
        <f aca="false">H863</f>
        <v>-0.25</v>
      </c>
      <c r="N863" s="0" t="n">
        <f aca="false">E863*F863</f>
        <v>0.5625</v>
      </c>
      <c r="O863" s="0" t="n">
        <f aca="false">E863*G863</f>
        <v>-0.1875</v>
      </c>
      <c r="P863" s="0" t="n">
        <f aca="false">E863*H863</f>
        <v>0.1875</v>
      </c>
      <c r="Q863" s="0" t="n">
        <f aca="false">F863*G863</f>
        <v>-0.1875</v>
      </c>
      <c r="R863" s="0" t="n">
        <f aca="false">F863*H863</f>
        <v>0.1875</v>
      </c>
      <c r="S863" s="0" t="n">
        <f aca="false">G863*H863</f>
        <v>-0.0625</v>
      </c>
      <c r="T863" s="0" t="n">
        <f aca="false">E863*E863</f>
        <v>0.5625</v>
      </c>
      <c r="U863" s="0" t="n">
        <f aca="false">F863*F863</f>
        <v>0.5625</v>
      </c>
      <c r="V863" s="0" t="n">
        <f aca="false">G863*G863</f>
        <v>0.0625</v>
      </c>
      <c r="W863" s="0" t="n">
        <f aca="false">H863*H863</f>
        <v>0.0625</v>
      </c>
      <c r="X863" s="0" t="n">
        <f aca="false">SUMPRODUCT(I863:W863,_XtX!$B$96:$P$96)</f>
        <v>42.6672377558479</v>
      </c>
      <c r="Y863" s="0" t="n">
        <f aca="false">SUMPRODUCT(MMULT(I863:W863,_XtX!$B$78:$P$92),I863:W863)</f>
        <v>0.271087468019006</v>
      </c>
      <c r="Z863" s="0" t="n">
        <f aca="false">04_回帰ANOVA!$K$19*04_回帰ANOVA!$K$14*SQRT(1+Y863)</f>
        <v>1.46955590155034</v>
      </c>
      <c r="AA863" s="0" t="n">
        <f aca="false">X863-Z863</f>
        <v>41.1976818542976</v>
      </c>
      <c r="AB863" s="0" t="n">
        <f aca="false">X863+Z863</f>
        <v>44.1367936573983</v>
      </c>
      <c r="AC863" s="54" t="b">
        <f aca="false">AND(E863&gt;=01_因子設定!$L$5-0.000000001,E863&lt;=01_因子設定!$M$5+0.000000001,F863&gt;=01_因子設定!$L$6-0.000000001,F863&lt;=01_因子設定!$M$6+0.000000001,G863&gt;=01_因子設定!$L$7-0.000000001,G863&lt;=01_因子設定!$M$7+0.000000001,H863&gt;=01_因子設定!$L$8-0.000000001,H863&lt;=01_因子設定!$M$8+0.000000001,IF(01_因子設定!$B$20="Box-Behnken",E863^2+F863^2+G863^2+H863^2&lt;=2+0.000000001,TRUE()))</f>
        <v>1</v>
      </c>
      <c r="AD863" s="55" t="n">
        <f aca="false">IF(AC863,IF(01_因子設定!$B$13="最大化",AA863-01_因子設定!$B$14,IF(01_因子設定!$B$13="最小化",01_因子設定!$B$15-AB863,MIN(AA863-01_因子設定!$B$14,01_因子設定!$B$15-AB863))),-1E+030)</f>
        <v>-5.3023181457024</v>
      </c>
      <c r="AE863" s="55" t="n">
        <f aca="false">IF(AC863,IF(01_因子設定!$B$13="最大化",X863,IF(01_因子設定!$B$13="最小化",-X863,-ABS(X863-01_因子設定!$B$16))),-1E+030)</f>
        <v>42.6672377558479</v>
      </c>
      <c r="AF863" s="55" t="n">
        <f aca="false">AD863+ROW()*0.000000001</f>
        <v>-5.3023172827024</v>
      </c>
      <c r="AG863" s="55" t="n">
        <f aca="false">AE863+ROW()*0.000000001</f>
        <v>42.6672386188479</v>
      </c>
    </row>
    <row r="864" customFormat="false" ht="15" hidden="false" customHeight="false" outlineLevel="0" collapsed="false">
      <c r="A864" s="0" t="n">
        <v>1</v>
      </c>
      <c r="B864" s="0" t="n">
        <v>1</v>
      </c>
      <c r="C864" s="0" t="n">
        <v>5</v>
      </c>
      <c r="D864" s="0" t="n">
        <v>4</v>
      </c>
      <c r="E864" s="0" t="n">
        <f aca="false">-1+A864*0.25</f>
        <v>-0.75</v>
      </c>
      <c r="F864" s="0" t="n">
        <f aca="false">-1+B864*0.25</f>
        <v>-0.75</v>
      </c>
      <c r="G864" s="0" t="n">
        <f aca="false">-1+C864*0.25</f>
        <v>0.25</v>
      </c>
      <c r="H864" s="0" t="n">
        <f aca="false">-1+D864*0.25</f>
        <v>0</v>
      </c>
      <c r="I864" s="0" t="n">
        <f aca="false">1</f>
        <v>1</v>
      </c>
      <c r="J864" s="0" t="n">
        <f aca="false">E864</f>
        <v>-0.75</v>
      </c>
      <c r="K864" s="0" t="n">
        <f aca="false">F864</f>
        <v>-0.75</v>
      </c>
      <c r="L864" s="0" t="n">
        <f aca="false">G864</f>
        <v>0.25</v>
      </c>
      <c r="M864" s="0" t="n">
        <f aca="false">H864</f>
        <v>0</v>
      </c>
      <c r="N864" s="0" t="n">
        <f aca="false">E864*F864</f>
        <v>0.5625</v>
      </c>
      <c r="O864" s="0" t="n">
        <f aca="false">E864*G864</f>
        <v>-0.1875</v>
      </c>
      <c r="P864" s="0" t="n">
        <f aca="false">E864*H864</f>
        <v>-0</v>
      </c>
      <c r="Q864" s="0" t="n">
        <f aca="false">F864*G864</f>
        <v>-0.1875</v>
      </c>
      <c r="R864" s="0" t="n">
        <f aca="false">F864*H864</f>
        <v>-0</v>
      </c>
      <c r="S864" s="0" t="n">
        <f aca="false">G864*H864</f>
        <v>0</v>
      </c>
      <c r="T864" s="0" t="n">
        <f aca="false">E864*E864</f>
        <v>0.5625</v>
      </c>
      <c r="U864" s="0" t="n">
        <f aca="false">F864*F864</f>
        <v>0.5625</v>
      </c>
      <c r="V864" s="0" t="n">
        <f aca="false">G864*G864</f>
        <v>0.0625</v>
      </c>
      <c r="W864" s="0" t="n">
        <f aca="false">H864*H864</f>
        <v>0</v>
      </c>
      <c r="X864" s="0" t="n">
        <f aca="false">SUMPRODUCT(I864:W864,_XtX!$B$96:$P$96)</f>
        <v>42.8269051535088</v>
      </c>
      <c r="Y864" s="0" t="n">
        <f aca="false">SUMPRODUCT(MMULT(I864:W864,_XtX!$B$78:$P$92),I864:W864)</f>
        <v>0.281685455500731</v>
      </c>
      <c r="Z864" s="0" t="n">
        <f aca="false">04_回帰ANOVA!$K$19*04_回帰ANOVA!$K$14*SQRT(1+Y864)</f>
        <v>1.47566956658694</v>
      </c>
      <c r="AA864" s="0" t="n">
        <f aca="false">X864-Z864</f>
        <v>41.3512355869218</v>
      </c>
      <c r="AB864" s="0" t="n">
        <f aca="false">X864+Z864</f>
        <v>44.3025747200957</v>
      </c>
      <c r="AC864" s="54" t="b">
        <f aca="false">AND(E864&gt;=01_因子設定!$L$5-0.000000001,E864&lt;=01_因子設定!$M$5+0.000000001,F864&gt;=01_因子設定!$L$6-0.000000001,F864&lt;=01_因子設定!$M$6+0.000000001,G864&gt;=01_因子設定!$L$7-0.000000001,G864&lt;=01_因子設定!$M$7+0.000000001,H864&gt;=01_因子設定!$L$8-0.000000001,H864&lt;=01_因子設定!$M$8+0.000000001,IF(01_因子設定!$B$20="Box-Behnken",E864^2+F864^2+G864^2+H864^2&lt;=2+0.000000001,TRUE()))</f>
        <v>1</v>
      </c>
      <c r="AD864" s="55" t="n">
        <f aca="false">IF(AC864,IF(01_因子設定!$B$13="最大化",AA864-01_因子設定!$B$14,IF(01_因子設定!$B$13="最小化",01_因子設定!$B$15-AB864,MIN(AA864-01_因子設定!$B$14,01_因子設定!$B$15-AB864))),-1E+030)</f>
        <v>-5.14876441307818</v>
      </c>
      <c r="AE864" s="55" t="n">
        <f aca="false">IF(AC864,IF(01_因子設定!$B$13="最大化",X864,IF(01_因子設定!$B$13="最小化",-X864,-ABS(X864-01_因子設定!$B$16))),-1E+030)</f>
        <v>42.8269051535088</v>
      </c>
      <c r="AF864" s="55" t="n">
        <f aca="false">AD864+ROW()*0.000000001</f>
        <v>-5.14876354907818</v>
      </c>
      <c r="AG864" s="55" t="n">
        <f aca="false">AE864+ROW()*0.000000001</f>
        <v>42.8269060175088</v>
      </c>
    </row>
    <row r="865" customFormat="false" ht="15" hidden="false" customHeight="false" outlineLevel="0" collapsed="false">
      <c r="A865" s="0" t="n">
        <v>1</v>
      </c>
      <c r="B865" s="0" t="n">
        <v>1</v>
      </c>
      <c r="C865" s="0" t="n">
        <v>5</v>
      </c>
      <c r="D865" s="0" t="n">
        <v>5</v>
      </c>
      <c r="E865" s="0" t="n">
        <f aca="false">-1+A865*0.25</f>
        <v>-0.75</v>
      </c>
      <c r="F865" s="0" t="n">
        <f aca="false">-1+B865*0.25</f>
        <v>-0.75</v>
      </c>
      <c r="G865" s="0" t="n">
        <f aca="false">-1+C865*0.25</f>
        <v>0.25</v>
      </c>
      <c r="H865" s="0" t="n">
        <f aca="false">-1+D865*0.25</f>
        <v>0.25</v>
      </c>
      <c r="I865" s="0" t="n">
        <f aca="false">1</f>
        <v>1</v>
      </c>
      <c r="J865" s="0" t="n">
        <f aca="false">E865</f>
        <v>-0.75</v>
      </c>
      <c r="K865" s="0" t="n">
        <f aca="false">F865</f>
        <v>-0.75</v>
      </c>
      <c r="L865" s="0" t="n">
        <f aca="false">G865</f>
        <v>0.25</v>
      </c>
      <c r="M865" s="0" t="n">
        <f aca="false">H865</f>
        <v>0.25</v>
      </c>
      <c r="N865" s="0" t="n">
        <f aca="false">E865*F865</f>
        <v>0.5625</v>
      </c>
      <c r="O865" s="0" t="n">
        <f aca="false">E865*G865</f>
        <v>-0.1875</v>
      </c>
      <c r="P865" s="0" t="n">
        <f aca="false">E865*H865</f>
        <v>-0.1875</v>
      </c>
      <c r="Q865" s="0" t="n">
        <f aca="false">F865*G865</f>
        <v>-0.1875</v>
      </c>
      <c r="R865" s="0" t="n">
        <f aca="false">F865*H865</f>
        <v>-0.1875</v>
      </c>
      <c r="S865" s="0" t="n">
        <f aca="false">G865*H865</f>
        <v>0.0625</v>
      </c>
      <c r="T865" s="0" t="n">
        <f aca="false">E865*E865</f>
        <v>0.5625</v>
      </c>
      <c r="U865" s="0" t="n">
        <f aca="false">F865*F865</f>
        <v>0.5625</v>
      </c>
      <c r="V865" s="0" t="n">
        <f aca="false">G865*G865</f>
        <v>0.0625</v>
      </c>
      <c r="W865" s="0" t="n">
        <f aca="false">H865*H865</f>
        <v>0.0625</v>
      </c>
      <c r="X865" s="0" t="n">
        <f aca="false">SUMPRODUCT(I865:W865,_XtX!$B$96:$P$96)</f>
        <v>42.9387655336257</v>
      </c>
      <c r="Y865" s="0" t="n">
        <f aca="false">SUMPRODUCT(MMULT(I865:W865,_XtX!$B$78:$P$92),I865:W865)</f>
        <v>0.271087468019006</v>
      </c>
      <c r="Z865" s="0" t="n">
        <f aca="false">04_回帰ANOVA!$K$19*04_回帰ANOVA!$K$14*SQRT(1+Y865)</f>
        <v>1.46955590155034</v>
      </c>
      <c r="AA865" s="0" t="n">
        <f aca="false">X865-Z865</f>
        <v>41.4692096320754</v>
      </c>
      <c r="AB865" s="0" t="n">
        <f aca="false">X865+Z865</f>
        <v>44.4083214351761</v>
      </c>
      <c r="AC865" s="54" t="b">
        <f aca="false">AND(E865&gt;=01_因子設定!$L$5-0.000000001,E865&lt;=01_因子設定!$M$5+0.000000001,F865&gt;=01_因子設定!$L$6-0.000000001,F865&lt;=01_因子設定!$M$6+0.000000001,G865&gt;=01_因子設定!$L$7-0.000000001,G865&lt;=01_因子設定!$M$7+0.000000001,H865&gt;=01_因子設定!$L$8-0.000000001,H865&lt;=01_因子設定!$M$8+0.000000001,IF(01_因子設定!$B$20="Box-Behnken",E865^2+F865^2+G865^2+H865^2&lt;=2+0.000000001,TRUE()))</f>
        <v>1</v>
      </c>
      <c r="AD865" s="55" t="n">
        <f aca="false">IF(AC865,IF(01_因子設定!$B$13="最大化",AA865-01_因子設定!$B$14,IF(01_因子設定!$B$13="最小化",01_因子設定!$B$15-AB865,MIN(AA865-01_因子設定!$B$14,01_因子設定!$B$15-AB865))),-1E+030)</f>
        <v>-5.03079036792462</v>
      </c>
      <c r="AE865" s="55" t="n">
        <f aca="false">IF(AC865,IF(01_因子設定!$B$13="最大化",X865,IF(01_因子設定!$B$13="最小化",-X865,-ABS(X865-01_因子設定!$B$16))),-1E+030)</f>
        <v>42.9387655336257</v>
      </c>
      <c r="AF865" s="55" t="n">
        <f aca="false">AD865+ROW()*0.000000001</f>
        <v>-5.03078950292462</v>
      </c>
      <c r="AG865" s="55" t="n">
        <f aca="false">AE865+ROW()*0.000000001</f>
        <v>42.9387663986257</v>
      </c>
    </row>
    <row r="866" customFormat="false" ht="15" hidden="false" customHeight="false" outlineLevel="0" collapsed="false">
      <c r="A866" s="0" t="n">
        <v>1</v>
      </c>
      <c r="B866" s="0" t="n">
        <v>1</v>
      </c>
      <c r="C866" s="0" t="n">
        <v>5</v>
      </c>
      <c r="D866" s="0" t="n">
        <v>6</v>
      </c>
      <c r="E866" s="0" t="n">
        <f aca="false">-1+A866*0.25</f>
        <v>-0.75</v>
      </c>
      <c r="F866" s="0" t="n">
        <f aca="false">-1+B866*0.25</f>
        <v>-0.75</v>
      </c>
      <c r="G866" s="0" t="n">
        <f aca="false">-1+C866*0.25</f>
        <v>0.25</v>
      </c>
      <c r="H866" s="0" t="n">
        <f aca="false">-1+D866*0.25</f>
        <v>0.5</v>
      </c>
      <c r="I866" s="0" t="n">
        <f aca="false">1</f>
        <v>1</v>
      </c>
      <c r="J866" s="0" t="n">
        <f aca="false">E866</f>
        <v>-0.75</v>
      </c>
      <c r="K866" s="0" t="n">
        <f aca="false">F866</f>
        <v>-0.75</v>
      </c>
      <c r="L866" s="0" t="n">
        <f aca="false">G866</f>
        <v>0.25</v>
      </c>
      <c r="M866" s="0" t="n">
        <f aca="false">H866</f>
        <v>0.5</v>
      </c>
      <c r="N866" s="0" t="n">
        <f aca="false">E866*F866</f>
        <v>0.5625</v>
      </c>
      <c r="O866" s="0" t="n">
        <f aca="false">E866*G866</f>
        <v>-0.1875</v>
      </c>
      <c r="P866" s="0" t="n">
        <f aca="false">E866*H866</f>
        <v>-0.375</v>
      </c>
      <c r="Q866" s="0" t="n">
        <f aca="false">F866*G866</f>
        <v>-0.1875</v>
      </c>
      <c r="R866" s="0" t="n">
        <f aca="false">F866*H866</f>
        <v>-0.375</v>
      </c>
      <c r="S866" s="0" t="n">
        <f aca="false">G866*H866</f>
        <v>0.125</v>
      </c>
      <c r="T866" s="0" t="n">
        <f aca="false">E866*E866</f>
        <v>0.5625</v>
      </c>
      <c r="U866" s="0" t="n">
        <f aca="false">F866*F866</f>
        <v>0.5625</v>
      </c>
      <c r="V866" s="0" t="n">
        <f aca="false">G866*G866</f>
        <v>0.0625</v>
      </c>
      <c r="W866" s="0" t="n">
        <f aca="false">H866*H866</f>
        <v>0.25</v>
      </c>
      <c r="X866" s="0" t="n">
        <f aca="false">SUMPRODUCT(I866:W866,_XtX!$B$96:$P$96)</f>
        <v>43.0028188961988</v>
      </c>
      <c r="Y866" s="0" t="n">
        <f aca="false">SUMPRODUCT(MMULT(I866:W866,_XtX!$B$78:$P$92),I866:W866)</f>
        <v>0.257385610836988</v>
      </c>
      <c r="Z866" s="0" t="n">
        <f aca="false">04_回帰ANOVA!$K$19*04_回帰ANOVA!$K$14*SQRT(1+Y866)</f>
        <v>1.46161380324158</v>
      </c>
      <c r="AA866" s="0" t="n">
        <f aca="false">X866-Z866</f>
        <v>41.5412050929572</v>
      </c>
      <c r="AB866" s="0" t="n">
        <f aca="false">X866+Z866</f>
        <v>44.4644326994404</v>
      </c>
      <c r="AC866" s="54" t="b">
        <f aca="false">AND(E866&gt;=01_因子設定!$L$5-0.000000001,E866&lt;=01_因子設定!$M$5+0.000000001,F866&gt;=01_因子設定!$L$6-0.000000001,F866&lt;=01_因子設定!$M$6+0.000000001,G866&gt;=01_因子設定!$L$7-0.000000001,G866&lt;=01_因子設定!$M$7+0.000000001,H866&gt;=01_因子設定!$L$8-0.000000001,H866&lt;=01_因子設定!$M$8+0.000000001,IF(01_因子設定!$B$20="Box-Behnken",E866^2+F866^2+G866^2+H866^2&lt;=2+0.000000001,TRUE()))</f>
        <v>1</v>
      </c>
      <c r="AD866" s="55" t="n">
        <f aca="false">IF(AC866,IF(01_因子設定!$B$13="最大化",AA866-01_因子設定!$B$14,IF(01_因子設定!$B$13="最小化",01_因子設定!$B$15-AB866,MIN(AA866-01_因子設定!$B$14,01_因子設定!$B$15-AB866))),-1E+030)</f>
        <v>-4.95879490704276</v>
      </c>
      <c r="AE866" s="55" t="n">
        <f aca="false">IF(AC866,IF(01_因子設定!$B$13="最大化",X866,IF(01_因子設定!$B$13="最小化",-X866,-ABS(X866-01_因子設定!$B$16))),-1E+030)</f>
        <v>43.0028188961988</v>
      </c>
      <c r="AF866" s="55" t="n">
        <f aca="false">AD866+ROW()*0.000000001</f>
        <v>-4.95879404104276</v>
      </c>
      <c r="AG866" s="55" t="n">
        <f aca="false">AE866+ROW()*0.000000001</f>
        <v>43.0028197621988</v>
      </c>
    </row>
    <row r="867" customFormat="false" ht="15" hidden="false" customHeight="false" outlineLevel="0" collapsed="false">
      <c r="A867" s="0" t="n">
        <v>1</v>
      </c>
      <c r="B867" s="0" t="n">
        <v>1</v>
      </c>
      <c r="C867" s="0" t="n">
        <v>5</v>
      </c>
      <c r="D867" s="0" t="n">
        <v>7</v>
      </c>
      <c r="E867" s="0" t="n">
        <f aca="false">-1+A867*0.25</f>
        <v>-0.75</v>
      </c>
      <c r="F867" s="0" t="n">
        <f aca="false">-1+B867*0.25</f>
        <v>-0.75</v>
      </c>
      <c r="G867" s="0" t="n">
        <f aca="false">-1+C867*0.25</f>
        <v>0.25</v>
      </c>
      <c r="H867" s="0" t="n">
        <f aca="false">-1+D867*0.25</f>
        <v>0.75</v>
      </c>
      <c r="I867" s="0" t="n">
        <f aca="false">1</f>
        <v>1</v>
      </c>
      <c r="J867" s="0" t="n">
        <f aca="false">E867</f>
        <v>-0.75</v>
      </c>
      <c r="K867" s="0" t="n">
        <f aca="false">F867</f>
        <v>-0.75</v>
      </c>
      <c r="L867" s="0" t="n">
        <f aca="false">G867</f>
        <v>0.25</v>
      </c>
      <c r="M867" s="0" t="n">
        <f aca="false">H867</f>
        <v>0.75</v>
      </c>
      <c r="N867" s="0" t="n">
        <f aca="false">E867*F867</f>
        <v>0.5625</v>
      </c>
      <c r="O867" s="0" t="n">
        <f aca="false">E867*G867</f>
        <v>-0.1875</v>
      </c>
      <c r="P867" s="0" t="n">
        <f aca="false">E867*H867</f>
        <v>-0.5625</v>
      </c>
      <c r="Q867" s="0" t="n">
        <f aca="false">F867*G867</f>
        <v>-0.1875</v>
      </c>
      <c r="R867" s="0" t="n">
        <f aca="false">F867*H867</f>
        <v>-0.5625</v>
      </c>
      <c r="S867" s="0" t="n">
        <f aca="false">G867*H867</f>
        <v>0.1875</v>
      </c>
      <c r="T867" s="0" t="n">
        <f aca="false">E867*E867</f>
        <v>0.5625</v>
      </c>
      <c r="U867" s="0" t="n">
        <f aca="false">F867*F867</f>
        <v>0.5625</v>
      </c>
      <c r="V867" s="0" t="n">
        <f aca="false">G867*G867</f>
        <v>0.0625</v>
      </c>
      <c r="W867" s="0" t="n">
        <f aca="false">H867*H867</f>
        <v>0.5625</v>
      </c>
      <c r="X867" s="0" t="n">
        <f aca="false">SUMPRODUCT(I867:W867,_XtX!$B$96:$P$96)</f>
        <v>43.0190652412281</v>
      </c>
      <c r="Y867" s="0" t="n">
        <f aca="false">SUMPRODUCT(MMULT(I867:W867,_XtX!$B$78:$P$92),I867:W867)</f>
        <v>0.294856199744152</v>
      </c>
      <c r="Z867" s="0" t="n">
        <f aca="false">04_回帰ANOVA!$K$19*04_回帰ANOVA!$K$14*SQRT(1+Y867)</f>
        <v>1.48323226089013</v>
      </c>
      <c r="AA867" s="0" t="n">
        <f aca="false">X867-Z867</f>
        <v>41.5358329803379</v>
      </c>
      <c r="AB867" s="0" t="n">
        <f aca="false">X867+Z867</f>
        <v>44.5022975021182</v>
      </c>
      <c r="AC867" s="54" t="b">
        <f aca="false">AND(E867&gt;=01_因子設定!$L$5-0.000000001,E867&lt;=01_因子設定!$M$5+0.000000001,F867&gt;=01_因子設定!$L$6-0.000000001,F867&lt;=01_因子設定!$M$6+0.000000001,G867&gt;=01_因子設定!$L$7-0.000000001,G867&lt;=01_因子設定!$M$7+0.000000001,H867&gt;=01_因子設定!$L$8-0.000000001,H867&lt;=01_因子設定!$M$8+0.000000001,IF(01_因子設定!$B$20="Box-Behnken",E867^2+F867^2+G867^2+H867^2&lt;=2+0.000000001,TRUE()))</f>
        <v>1</v>
      </c>
      <c r="AD867" s="55" t="n">
        <f aca="false">IF(AC867,IF(01_因子設定!$B$13="最大化",AA867-01_因子設定!$B$14,IF(01_因子設定!$B$13="最小化",01_因子設定!$B$15-AB867,MIN(AA867-01_因子設定!$B$14,01_因子設定!$B$15-AB867))),-1E+030)</f>
        <v>-4.96416701966206</v>
      </c>
      <c r="AE867" s="55" t="n">
        <f aca="false">IF(AC867,IF(01_因子設定!$B$13="最大化",X867,IF(01_因子設定!$B$13="最小化",-X867,-ABS(X867-01_因子設定!$B$16))),-1E+030)</f>
        <v>43.0190652412281</v>
      </c>
      <c r="AF867" s="55" t="n">
        <f aca="false">AD867+ROW()*0.000000001</f>
        <v>-4.96416615266206</v>
      </c>
      <c r="AG867" s="55" t="n">
        <f aca="false">AE867+ROW()*0.000000001</f>
        <v>43.0190661082281</v>
      </c>
    </row>
    <row r="868" customFormat="false" ht="15" hidden="false" customHeight="false" outlineLevel="0" collapsed="false">
      <c r="A868" s="0" t="n">
        <v>1</v>
      </c>
      <c r="B868" s="0" t="n">
        <v>1</v>
      </c>
      <c r="C868" s="0" t="n">
        <v>5</v>
      </c>
      <c r="D868" s="0" t="n">
        <v>8</v>
      </c>
      <c r="E868" s="0" t="n">
        <f aca="false">-1+A868*0.25</f>
        <v>-0.75</v>
      </c>
      <c r="F868" s="0" t="n">
        <f aca="false">-1+B868*0.25</f>
        <v>-0.75</v>
      </c>
      <c r="G868" s="0" t="n">
        <f aca="false">-1+C868*0.25</f>
        <v>0.25</v>
      </c>
      <c r="H868" s="0" t="n">
        <f aca="false">-1+D868*0.25</f>
        <v>1</v>
      </c>
      <c r="I868" s="0" t="n">
        <f aca="false">1</f>
        <v>1</v>
      </c>
      <c r="J868" s="0" t="n">
        <f aca="false">E868</f>
        <v>-0.75</v>
      </c>
      <c r="K868" s="0" t="n">
        <f aca="false">F868</f>
        <v>-0.75</v>
      </c>
      <c r="L868" s="0" t="n">
        <f aca="false">G868</f>
        <v>0.25</v>
      </c>
      <c r="M868" s="0" t="n">
        <f aca="false">H868</f>
        <v>1</v>
      </c>
      <c r="N868" s="0" t="n">
        <f aca="false">E868*F868</f>
        <v>0.5625</v>
      </c>
      <c r="O868" s="0" t="n">
        <f aca="false">E868*G868</f>
        <v>-0.1875</v>
      </c>
      <c r="P868" s="0" t="n">
        <f aca="false">E868*H868</f>
        <v>-0.75</v>
      </c>
      <c r="Q868" s="0" t="n">
        <f aca="false">F868*G868</f>
        <v>-0.1875</v>
      </c>
      <c r="R868" s="0" t="n">
        <f aca="false">F868*H868</f>
        <v>-0.75</v>
      </c>
      <c r="S868" s="0" t="n">
        <f aca="false">G868*H868</f>
        <v>0.25</v>
      </c>
      <c r="T868" s="0" t="n">
        <f aca="false">E868*E868</f>
        <v>0.5625</v>
      </c>
      <c r="U868" s="0" t="n">
        <f aca="false">F868*F868</f>
        <v>0.5625</v>
      </c>
      <c r="V868" s="0" t="n">
        <f aca="false">G868*G868</f>
        <v>0.0625</v>
      </c>
      <c r="W868" s="0" t="n">
        <f aca="false">H868*H868</f>
        <v>1</v>
      </c>
      <c r="X868" s="0" t="n">
        <f aca="false">SUMPRODUCT(I868:W868,_XtX!$B$96:$P$96)</f>
        <v>42.9875045687135</v>
      </c>
      <c r="Y868" s="0" t="n">
        <f aca="false">SUMPRODUCT(MMULT(I868:W868,_XtX!$B$78:$P$92),I868:W868)</f>
        <v>0.473959761056287</v>
      </c>
      <c r="Z868" s="0" t="n">
        <f aca="false">04_回帰ANOVA!$K$19*04_回帰ANOVA!$K$14*SQRT(1+Y868)</f>
        <v>1.58249084588329</v>
      </c>
      <c r="AA868" s="0" t="n">
        <f aca="false">X868-Z868</f>
        <v>41.4050137228302</v>
      </c>
      <c r="AB868" s="0" t="n">
        <f aca="false">X868+Z868</f>
        <v>44.5699954145968</v>
      </c>
      <c r="AC868" s="54" t="b">
        <f aca="false">AND(E868&gt;=01_因子設定!$L$5-0.000000001,E868&lt;=01_因子設定!$M$5+0.000000001,F868&gt;=01_因子設定!$L$6-0.000000001,F868&lt;=01_因子設定!$M$6+0.000000001,G868&gt;=01_因子設定!$L$7-0.000000001,G868&lt;=01_因子設定!$M$7+0.000000001,H868&gt;=01_因子設定!$L$8-0.000000001,H868&lt;=01_因子設定!$M$8+0.000000001,IF(01_因子設定!$B$20="Box-Behnken",E868^2+F868^2+G868^2+H868^2&lt;=2+0.000000001,TRUE()))</f>
        <v>1</v>
      </c>
      <c r="AD868" s="55" t="n">
        <f aca="false">IF(AC868,IF(01_因子設定!$B$13="最大化",AA868-01_因子設定!$B$14,IF(01_因子設定!$B$13="最小化",01_因子設定!$B$15-AB868,MIN(AA868-01_因子設定!$B$14,01_因子設定!$B$15-AB868))),-1E+030)</f>
        <v>-5.09498627716981</v>
      </c>
      <c r="AE868" s="55" t="n">
        <f aca="false">IF(AC868,IF(01_因子設定!$B$13="最大化",X868,IF(01_因子設定!$B$13="最小化",-X868,-ABS(X868-01_因子設定!$B$16))),-1E+030)</f>
        <v>42.9875045687135</v>
      </c>
      <c r="AF868" s="55" t="n">
        <f aca="false">AD868+ROW()*0.000000001</f>
        <v>-5.09498540916981</v>
      </c>
      <c r="AG868" s="55" t="n">
        <f aca="false">AE868+ROW()*0.000000001</f>
        <v>42.9875054367135</v>
      </c>
    </row>
    <row r="869" customFormat="false" ht="15" hidden="false" customHeight="false" outlineLevel="0" collapsed="false">
      <c r="A869" s="0" t="n">
        <v>1</v>
      </c>
      <c r="B869" s="0" t="n">
        <v>1</v>
      </c>
      <c r="C869" s="0" t="n">
        <v>6</v>
      </c>
      <c r="D869" s="0" t="n">
        <v>0</v>
      </c>
      <c r="E869" s="0" t="n">
        <f aca="false">-1+A869*0.25</f>
        <v>-0.75</v>
      </c>
      <c r="F869" s="0" t="n">
        <f aca="false">-1+B869*0.25</f>
        <v>-0.75</v>
      </c>
      <c r="G869" s="0" t="n">
        <f aca="false">-1+C869*0.25</f>
        <v>0.5</v>
      </c>
      <c r="H869" s="0" t="n">
        <f aca="false">-1+D869*0.25</f>
        <v>-1</v>
      </c>
      <c r="I869" s="0" t="n">
        <f aca="false">1</f>
        <v>1</v>
      </c>
      <c r="J869" s="0" t="n">
        <f aca="false">E869</f>
        <v>-0.75</v>
      </c>
      <c r="K869" s="0" t="n">
        <f aca="false">F869</f>
        <v>-0.75</v>
      </c>
      <c r="L869" s="0" t="n">
        <f aca="false">G869</f>
        <v>0.5</v>
      </c>
      <c r="M869" s="0" t="n">
        <f aca="false">H869</f>
        <v>-1</v>
      </c>
      <c r="N869" s="0" t="n">
        <f aca="false">E869*F869</f>
        <v>0.5625</v>
      </c>
      <c r="O869" s="0" t="n">
        <f aca="false">E869*G869</f>
        <v>-0.375</v>
      </c>
      <c r="P869" s="0" t="n">
        <f aca="false">E869*H869</f>
        <v>0.75</v>
      </c>
      <c r="Q869" s="0" t="n">
        <f aca="false">F869*G869</f>
        <v>-0.375</v>
      </c>
      <c r="R869" s="0" t="n">
        <f aca="false">F869*H869</f>
        <v>0.75</v>
      </c>
      <c r="S869" s="0" t="n">
        <f aca="false">G869*H869</f>
        <v>-0.5</v>
      </c>
      <c r="T869" s="0" t="n">
        <f aca="false">E869*E869</f>
        <v>0.5625</v>
      </c>
      <c r="U869" s="0" t="n">
        <f aca="false">F869*F869</f>
        <v>0.5625</v>
      </c>
      <c r="V869" s="0" t="n">
        <f aca="false">G869*G869</f>
        <v>0.25</v>
      </c>
      <c r="W869" s="0" t="n">
        <f aca="false">H869*H869</f>
        <v>1</v>
      </c>
      <c r="X869" s="0" t="n">
        <f aca="false">SUMPRODUCT(I869:W869,_XtX!$B$96:$P$96)</f>
        <v>42.0106725146199</v>
      </c>
      <c r="Y869" s="0" t="n">
        <f aca="false">SUMPRODUCT(MMULT(I869:W869,_XtX!$B$78:$P$92),I869:W869)</f>
        <v>0.431153771472953</v>
      </c>
      <c r="Z869" s="0" t="n">
        <f aca="false">04_回帰ANOVA!$K$19*04_回帰ANOVA!$K$14*SQRT(1+Y869)</f>
        <v>1.55934259562563</v>
      </c>
      <c r="AA869" s="0" t="n">
        <f aca="false">X869-Z869</f>
        <v>40.4513299189943</v>
      </c>
      <c r="AB869" s="0" t="n">
        <f aca="false">X869+Z869</f>
        <v>43.5700151102455</v>
      </c>
      <c r="AC869" s="54" t="b">
        <f aca="false">AND(E869&gt;=01_因子設定!$L$5-0.000000001,E869&lt;=01_因子設定!$M$5+0.000000001,F869&gt;=01_因子設定!$L$6-0.000000001,F869&lt;=01_因子設定!$M$6+0.000000001,G869&gt;=01_因子設定!$L$7-0.000000001,G869&lt;=01_因子設定!$M$7+0.000000001,H869&gt;=01_因子設定!$L$8-0.000000001,H869&lt;=01_因子設定!$M$8+0.000000001,IF(01_因子設定!$B$20="Box-Behnken",E869^2+F869^2+G869^2+H869^2&lt;=2+0.000000001,TRUE()))</f>
        <v>1</v>
      </c>
      <c r="AD869" s="55" t="n">
        <f aca="false">IF(AC869,IF(01_因子設定!$B$13="最大化",AA869-01_因子設定!$B$14,IF(01_因子設定!$B$13="最小化",01_因子設定!$B$15-AB869,MIN(AA869-01_因子設定!$B$14,01_因子設定!$B$15-AB869))),-1E+030)</f>
        <v>-6.04867008100572</v>
      </c>
      <c r="AE869" s="55" t="n">
        <f aca="false">IF(AC869,IF(01_因子設定!$B$13="最大化",X869,IF(01_因子設定!$B$13="最小化",-X869,-ABS(X869-01_因子設定!$B$16))),-1E+030)</f>
        <v>42.0106725146199</v>
      </c>
      <c r="AF869" s="55" t="n">
        <f aca="false">AD869+ROW()*0.000000001</f>
        <v>-6.04866921200572</v>
      </c>
      <c r="AG869" s="55" t="n">
        <f aca="false">AE869+ROW()*0.000000001</f>
        <v>42.0106733836199</v>
      </c>
    </row>
    <row r="870" customFormat="false" ht="15" hidden="false" customHeight="false" outlineLevel="0" collapsed="false">
      <c r="A870" s="0" t="n">
        <v>1</v>
      </c>
      <c r="B870" s="0" t="n">
        <v>1</v>
      </c>
      <c r="C870" s="0" t="n">
        <v>6</v>
      </c>
      <c r="D870" s="0" t="n">
        <v>1</v>
      </c>
      <c r="E870" s="0" t="n">
        <f aca="false">-1+A870*0.25</f>
        <v>-0.75</v>
      </c>
      <c r="F870" s="0" t="n">
        <f aca="false">-1+B870*0.25</f>
        <v>-0.75</v>
      </c>
      <c r="G870" s="0" t="n">
        <f aca="false">-1+C870*0.25</f>
        <v>0.5</v>
      </c>
      <c r="H870" s="0" t="n">
        <f aca="false">-1+D870*0.25</f>
        <v>-0.75</v>
      </c>
      <c r="I870" s="0" t="n">
        <f aca="false">1</f>
        <v>1</v>
      </c>
      <c r="J870" s="0" t="n">
        <f aca="false">E870</f>
        <v>-0.75</v>
      </c>
      <c r="K870" s="0" t="n">
        <f aca="false">F870</f>
        <v>-0.75</v>
      </c>
      <c r="L870" s="0" t="n">
        <f aca="false">G870</f>
        <v>0.5</v>
      </c>
      <c r="M870" s="0" t="n">
        <f aca="false">H870</f>
        <v>-0.75</v>
      </c>
      <c r="N870" s="0" t="n">
        <f aca="false">E870*F870</f>
        <v>0.5625</v>
      </c>
      <c r="O870" s="0" t="n">
        <f aca="false">E870*G870</f>
        <v>-0.375</v>
      </c>
      <c r="P870" s="0" t="n">
        <f aca="false">E870*H870</f>
        <v>0.5625</v>
      </c>
      <c r="Q870" s="0" t="n">
        <f aca="false">F870*G870</f>
        <v>-0.375</v>
      </c>
      <c r="R870" s="0" t="n">
        <f aca="false">F870*H870</f>
        <v>0.5625</v>
      </c>
      <c r="S870" s="0" t="n">
        <f aca="false">G870*H870</f>
        <v>-0.375</v>
      </c>
      <c r="T870" s="0" t="n">
        <f aca="false">E870*E870</f>
        <v>0.5625</v>
      </c>
      <c r="U870" s="0" t="n">
        <f aca="false">F870*F870</f>
        <v>0.5625</v>
      </c>
      <c r="V870" s="0" t="n">
        <f aca="false">G870*G870</f>
        <v>0.25</v>
      </c>
      <c r="W870" s="0" t="n">
        <f aca="false">H870*H870</f>
        <v>0.5625</v>
      </c>
      <c r="X870" s="0" t="n">
        <f aca="false">SUMPRODUCT(I870:W870,_XtX!$B$96:$P$96)</f>
        <v>42.3317297149123</v>
      </c>
      <c r="Y870" s="0" t="n">
        <f aca="false">SUMPRODUCT(MMULT(I870:W870,_XtX!$B$78:$P$92),I870:W870)</f>
        <v>0.265632138614766</v>
      </c>
      <c r="Z870" s="0" t="n">
        <f aca="false">04_回帰ANOVA!$K$19*04_回帰ANOVA!$K$14*SQRT(1+Y870)</f>
        <v>1.46639894654257</v>
      </c>
      <c r="AA870" s="0" t="n">
        <f aca="false">X870-Z870</f>
        <v>40.8653307683697</v>
      </c>
      <c r="AB870" s="0" t="n">
        <f aca="false">X870+Z870</f>
        <v>43.7981286614549</v>
      </c>
      <c r="AC870" s="54" t="b">
        <f aca="false">AND(E870&gt;=01_因子設定!$L$5-0.000000001,E870&lt;=01_因子設定!$M$5+0.000000001,F870&gt;=01_因子設定!$L$6-0.000000001,F870&lt;=01_因子設定!$M$6+0.000000001,G870&gt;=01_因子設定!$L$7-0.000000001,G870&lt;=01_因子設定!$M$7+0.000000001,H870&gt;=01_因子設定!$L$8-0.000000001,H870&lt;=01_因子設定!$M$8+0.000000001,IF(01_因子設定!$B$20="Box-Behnken",E870^2+F870^2+G870^2+H870^2&lt;=2+0.000000001,TRUE()))</f>
        <v>1</v>
      </c>
      <c r="AD870" s="55" t="n">
        <f aca="false">IF(AC870,IF(01_因子設定!$B$13="最大化",AA870-01_因子設定!$B$14,IF(01_因子設定!$B$13="最小化",01_因子設定!$B$15-AB870,MIN(AA870-01_因子設定!$B$14,01_因子設定!$B$15-AB870))),-1E+030)</f>
        <v>-5.63466923163028</v>
      </c>
      <c r="AE870" s="55" t="n">
        <f aca="false">IF(AC870,IF(01_因子設定!$B$13="最大化",X870,IF(01_因子設定!$B$13="最小化",-X870,-ABS(X870-01_因子設定!$B$16))),-1E+030)</f>
        <v>42.3317297149123</v>
      </c>
      <c r="AF870" s="55" t="n">
        <f aca="false">AD870+ROW()*0.000000001</f>
        <v>-5.63466836163028</v>
      </c>
      <c r="AG870" s="55" t="n">
        <f aca="false">AE870+ROW()*0.000000001</f>
        <v>42.3317305849123</v>
      </c>
    </row>
    <row r="871" customFormat="false" ht="15" hidden="false" customHeight="false" outlineLevel="0" collapsed="false">
      <c r="A871" s="0" t="n">
        <v>1</v>
      </c>
      <c r="B871" s="0" t="n">
        <v>1</v>
      </c>
      <c r="C871" s="0" t="n">
        <v>6</v>
      </c>
      <c r="D871" s="0" t="n">
        <v>2</v>
      </c>
      <c r="E871" s="0" t="n">
        <f aca="false">-1+A871*0.25</f>
        <v>-0.75</v>
      </c>
      <c r="F871" s="0" t="n">
        <f aca="false">-1+B871*0.25</f>
        <v>-0.75</v>
      </c>
      <c r="G871" s="0" t="n">
        <f aca="false">-1+C871*0.25</f>
        <v>0.5</v>
      </c>
      <c r="H871" s="0" t="n">
        <f aca="false">-1+D871*0.25</f>
        <v>-0.5</v>
      </c>
      <c r="I871" s="0" t="n">
        <f aca="false">1</f>
        <v>1</v>
      </c>
      <c r="J871" s="0" t="n">
        <f aca="false">E871</f>
        <v>-0.75</v>
      </c>
      <c r="K871" s="0" t="n">
        <f aca="false">F871</f>
        <v>-0.75</v>
      </c>
      <c r="L871" s="0" t="n">
        <f aca="false">G871</f>
        <v>0.5</v>
      </c>
      <c r="M871" s="0" t="n">
        <f aca="false">H871</f>
        <v>-0.5</v>
      </c>
      <c r="N871" s="0" t="n">
        <f aca="false">E871*F871</f>
        <v>0.5625</v>
      </c>
      <c r="O871" s="0" t="n">
        <f aca="false">E871*G871</f>
        <v>-0.375</v>
      </c>
      <c r="P871" s="0" t="n">
        <f aca="false">E871*H871</f>
        <v>0.375</v>
      </c>
      <c r="Q871" s="0" t="n">
        <f aca="false">F871*G871</f>
        <v>-0.375</v>
      </c>
      <c r="R871" s="0" t="n">
        <f aca="false">F871*H871</f>
        <v>0.375</v>
      </c>
      <c r="S871" s="0" t="n">
        <f aca="false">G871*H871</f>
        <v>-0.25</v>
      </c>
      <c r="T871" s="0" t="n">
        <f aca="false">E871*E871</f>
        <v>0.5625</v>
      </c>
      <c r="U871" s="0" t="n">
        <f aca="false">F871*F871</f>
        <v>0.5625</v>
      </c>
      <c r="V871" s="0" t="n">
        <f aca="false">G871*G871</f>
        <v>0.25</v>
      </c>
      <c r="W871" s="0" t="n">
        <f aca="false">H871*H871</f>
        <v>0.25</v>
      </c>
      <c r="X871" s="0" t="n">
        <f aca="false">SUMPRODUCT(I871:W871,_XtX!$B$96:$P$96)</f>
        <v>42.6049798976608</v>
      </c>
      <c r="Y871" s="0" t="n">
        <f aca="false">SUMPRODUCT(MMULT(I871:W871,_XtX!$B$78:$P$92),I871:W871)</f>
        <v>0.237862927174708</v>
      </c>
      <c r="Z871" s="0" t="n">
        <f aca="false">04_回帰ANOVA!$K$19*04_回帰ANOVA!$K$14*SQRT(1+Y871)</f>
        <v>1.45022260708756</v>
      </c>
      <c r="AA871" s="0" t="n">
        <f aca="false">X871-Z871</f>
        <v>41.1547572905733</v>
      </c>
      <c r="AB871" s="0" t="n">
        <f aca="false">X871+Z871</f>
        <v>44.0552025047484</v>
      </c>
      <c r="AC871" s="54" t="b">
        <f aca="false">AND(E871&gt;=01_因子設定!$L$5-0.000000001,E871&lt;=01_因子設定!$M$5+0.000000001,F871&gt;=01_因子設定!$L$6-0.000000001,F871&lt;=01_因子設定!$M$6+0.000000001,G871&gt;=01_因子設定!$L$7-0.000000001,G871&lt;=01_因子設定!$M$7+0.000000001,H871&gt;=01_因子設定!$L$8-0.000000001,H871&lt;=01_因子設定!$M$8+0.000000001,IF(01_因子設定!$B$20="Box-Behnken",E871^2+F871^2+G871^2+H871^2&lt;=2+0.000000001,TRUE()))</f>
        <v>1</v>
      </c>
      <c r="AD871" s="55" t="n">
        <f aca="false">IF(AC871,IF(01_因子設定!$B$13="最大化",AA871-01_因子設定!$B$14,IF(01_因子設定!$B$13="最小化",01_因子設定!$B$15-AB871,MIN(AA871-01_因子設定!$B$14,01_因子設定!$B$15-AB871))),-1E+030)</f>
        <v>-5.34524270942675</v>
      </c>
      <c r="AE871" s="55" t="n">
        <f aca="false">IF(AC871,IF(01_因子設定!$B$13="最大化",X871,IF(01_因子設定!$B$13="最小化",-X871,-ABS(X871-01_因子設定!$B$16))),-1E+030)</f>
        <v>42.6049798976608</v>
      </c>
      <c r="AF871" s="55" t="n">
        <f aca="false">AD871+ROW()*0.000000001</f>
        <v>-5.34524183842675</v>
      </c>
      <c r="AG871" s="55" t="n">
        <f aca="false">AE871+ROW()*0.000000001</f>
        <v>42.6049807686608</v>
      </c>
    </row>
    <row r="872" customFormat="false" ht="15" hidden="false" customHeight="false" outlineLevel="0" collapsed="false">
      <c r="A872" s="0" t="n">
        <v>1</v>
      </c>
      <c r="B872" s="0" t="n">
        <v>1</v>
      </c>
      <c r="C872" s="0" t="n">
        <v>6</v>
      </c>
      <c r="D872" s="0" t="n">
        <v>3</v>
      </c>
      <c r="E872" s="0" t="n">
        <f aca="false">-1+A872*0.25</f>
        <v>-0.75</v>
      </c>
      <c r="F872" s="0" t="n">
        <f aca="false">-1+B872*0.25</f>
        <v>-0.75</v>
      </c>
      <c r="G872" s="0" t="n">
        <f aca="false">-1+C872*0.25</f>
        <v>0.5</v>
      </c>
      <c r="H872" s="0" t="n">
        <f aca="false">-1+D872*0.25</f>
        <v>-0.25</v>
      </c>
      <c r="I872" s="0" t="n">
        <f aca="false">1</f>
        <v>1</v>
      </c>
      <c r="J872" s="0" t="n">
        <f aca="false">E872</f>
        <v>-0.75</v>
      </c>
      <c r="K872" s="0" t="n">
        <f aca="false">F872</f>
        <v>-0.75</v>
      </c>
      <c r="L872" s="0" t="n">
        <f aca="false">G872</f>
        <v>0.5</v>
      </c>
      <c r="M872" s="0" t="n">
        <f aca="false">H872</f>
        <v>-0.25</v>
      </c>
      <c r="N872" s="0" t="n">
        <f aca="false">E872*F872</f>
        <v>0.5625</v>
      </c>
      <c r="O872" s="0" t="n">
        <f aca="false">E872*G872</f>
        <v>-0.375</v>
      </c>
      <c r="P872" s="0" t="n">
        <f aca="false">E872*H872</f>
        <v>0.1875</v>
      </c>
      <c r="Q872" s="0" t="n">
        <f aca="false">F872*G872</f>
        <v>-0.375</v>
      </c>
      <c r="R872" s="0" t="n">
        <f aca="false">F872*H872</f>
        <v>0.1875</v>
      </c>
      <c r="S872" s="0" t="n">
        <f aca="false">G872*H872</f>
        <v>-0.125</v>
      </c>
      <c r="T872" s="0" t="n">
        <f aca="false">E872*E872</f>
        <v>0.5625</v>
      </c>
      <c r="U872" s="0" t="n">
        <f aca="false">F872*F872</f>
        <v>0.5625</v>
      </c>
      <c r="V872" s="0" t="n">
        <f aca="false">G872*G872</f>
        <v>0.25</v>
      </c>
      <c r="W872" s="0" t="n">
        <f aca="false">H872*H872</f>
        <v>0.0625</v>
      </c>
      <c r="X872" s="0" t="n">
        <f aca="false">SUMPRODUCT(I872:W872,_XtX!$B$96:$P$96)</f>
        <v>42.8304230628655</v>
      </c>
      <c r="Y872" s="0" t="n">
        <f aca="false">SUMPRODUCT(MMULT(I872:W872,_XtX!$B$78:$P$92),I872:W872)</f>
        <v>0.257385610836988</v>
      </c>
      <c r="Z872" s="0" t="n">
        <f aca="false">04_回帰ANOVA!$K$19*04_回帰ANOVA!$K$14*SQRT(1+Y872)</f>
        <v>1.46161380324158</v>
      </c>
      <c r="AA872" s="0" t="n">
        <f aca="false">X872-Z872</f>
        <v>41.3688092596239</v>
      </c>
      <c r="AB872" s="0" t="n">
        <f aca="false">X872+Z872</f>
        <v>44.2920368661071</v>
      </c>
      <c r="AC872" s="54" t="b">
        <f aca="false">AND(E872&gt;=01_因子設定!$L$5-0.000000001,E872&lt;=01_因子設定!$M$5+0.000000001,F872&gt;=01_因子設定!$L$6-0.000000001,F872&lt;=01_因子設定!$M$6+0.000000001,G872&gt;=01_因子設定!$L$7-0.000000001,G872&lt;=01_因子設定!$M$7+0.000000001,H872&gt;=01_因子設定!$L$8-0.000000001,H872&lt;=01_因子設定!$M$8+0.000000001,IF(01_因子設定!$B$20="Box-Behnken",E872^2+F872^2+G872^2+H872^2&lt;=2+0.000000001,TRUE()))</f>
        <v>1</v>
      </c>
      <c r="AD872" s="55" t="n">
        <f aca="false">IF(AC872,IF(01_因子設定!$B$13="最大化",AA872-01_因子設定!$B$14,IF(01_因子設定!$B$13="最小化",01_因子設定!$B$15-AB872,MIN(AA872-01_因子設定!$B$14,01_因子設定!$B$15-AB872))),-1E+030)</f>
        <v>-5.1311907403761</v>
      </c>
      <c r="AE872" s="55" t="n">
        <f aca="false">IF(AC872,IF(01_因子設定!$B$13="最大化",X872,IF(01_因子設定!$B$13="最小化",-X872,-ABS(X872-01_因子設定!$B$16))),-1E+030)</f>
        <v>42.8304230628655</v>
      </c>
      <c r="AF872" s="55" t="n">
        <f aca="false">AD872+ROW()*0.000000001</f>
        <v>-5.1311898683761</v>
      </c>
      <c r="AG872" s="55" t="n">
        <f aca="false">AE872+ROW()*0.000000001</f>
        <v>42.8304239348655</v>
      </c>
    </row>
    <row r="873" customFormat="false" ht="15" hidden="false" customHeight="false" outlineLevel="0" collapsed="false">
      <c r="A873" s="0" t="n">
        <v>1</v>
      </c>
      <c r="B873" s="0" t="n">
        <v>1</v>
      </c>
      <c r="C873" s="0" t="n">
        <v>6</v>
      </c>
      <c r="D873" s="0" t="n">
        <v>4</v>
      </c>
      <c r="E873" s="0" t="n">
        <f aca="false">-1+A873*0.25</f>
        <v>-0.75</v>
      </c>
      <c r="F873" s="0" t="n">
        <f aca="false">-1+B873*0.25</f>
        <v>-0.75</v>
      </c>
      <c r="G873" s="0" t="n">
        <f aca="false">-1+C873*0.25</f>
        <v>0.5</v>
      </c>
      <c r="H873" s="0" t="n">
        <f aca="false">-1+D873*0.25</f>
        <v>0</v>
      </c>
      <c r="I873" s="0" t="n">
        <f aca="false">1</f>
        <v>1</v>
      </c>
      <c r="J873" s="0" t="n">
        <f aca="false">E873</f>
        <v>-0.75</v>
      </c>
      <c r="K873" s="0" t="n">
        <f aca="false">F873</f>
        <v>-0.75</v>
      </c>
      <c r="L873" s="0" t="n">
        <f aca="false">G873</f>
        <v>0.5</v>
      </c>
      <c r="M873" s="0" t="n">
        <f aca="false">H873</f>
        <v>0</v>
      </c>
      <c r="N873" s="0" t="n">
        <f aca="false">E873*F873</f>
        <v>0.5625</v>
      </c>
      <c r="O873" s="0" t="n">
        <f aca="false">E873*G873</f>
        <v>-0.375</v>
      </c>
      <c r="P873" s="0" t="n">
        <f aca="false">E873*H873</f>
        <v>-0</v>
      </c>
      <c r="Q873" s="0" t="n">
        <f aca="false">F873*G873</f>
        <v>-0.375</v>
      </c>
      <c r="R873" s="0" t="n">
        <f aca="false">F873*H873</f>
        <v>-0</v>
      </c>
      <c r="S873" s="0" t="n">
        <f aca="false">G873*H873</f>
        <v>0</v>
      </c>
      <c r="T873" s="0" t="n">
        <f aca="false">E873*E873</f>
        <v>0.5625</v>
      </c>
      <c r="U873" s="0" t="n">
        <f aca="false">F873*F873</f>
        <v>0.5625</v>
      </c>
      <c r="V873" s="0" t="n">
        <f aca="false">G873*G873</f>
        <v>0.25</v>
      </c>
      <c r="W873" s="0" t="n">
        <f aca="false">H873*H873</f>
        <v>0</v>
      </c>
      <c r="X873" s="0" t="n">
        <f aca="false">SUMPRODUCT(I873:W873,_XtX!$B$96:$P$96)</f>
        <v>43.0080592105263</v>
      </c>
      <c r="Y873" s="0" t="n">
        <f aca="false">SUMPRODUCT(MMULT(I873:W873,_XtX!$B$78:$P$92),I873:W873)</f>
        <v>0.269923873812135</v>
      </c>
      <c r="Z873" s="0" t="n">
        <f aca="false">04_回帰ANOVA!$K$19*04_回帰ANOVA!$K$14*SQRT(1+Y873)</f>
        <v>1.46888310825501</v>
      </c>
      <c r="AA873" s="0" t="n">
        <f aca="false">X873-Z873</f>
        <v>41.5391761022713</v>
      </c>
      <c r="AB873" s="0" t="n">
        <f aca="false">X873+Z873</f>
        <v>44.4769423187813</v>
      </c>
      <c r="AC873" s="54" t="b">
        <f aca="false">AND(E873&gt;=01_因子設定!$L$5-0.000000001,E873&lt;=01_因子設定!$M$5+0.000000001,F873&gt;=01_因子設定!$L$6-0.000000001,F873&lt;=01_因子設定!$M$6+0.000000001,G873&gt;=01_因子設定!$L$7-0.000000001,G873&lt;=01_因子設定!$M$7+0.000000001,H873&gt;=01_因子設定!$L$8-0.000000001,H873&lt;=01_因子設定!$M$8+0.000000001,IF(01_因子設定!$B$20="Box-Behnken",E873^2+F873^2+G873^2+H873^2&lt;=2+0.000000001,TRUE()))</f>
        <v>1</v>
      </c>
      <c r="AD873" s="55" t="n">
        <f aca="false">IF(AC873,IF(01_因子設定!$B$13="最大化",AA873-01_因子設定!$B$14,IF(01_因子設定!$B$13="最小化",01_因子設定!$B$15-AB873,MIN(AA873-01_因子設定!$B$14,01_因子設定!$B$15-AB873))),-1E+030)</f>
        <v>-4.9608238977287</v>
      </c>
      <c r="AE873" s="55" t="n">
        <f aca="false">IF(AC873,IF(01_因子設定!$B$13="最大化",X873,IF(01_因子設定!$B$13="最小化",-X873,-ABS(X873-01_因子設定!$B$16))),-1E+030)</f>
        <v>43.0080592105263</v>
      </c>
      <c r="AF873" s="55" t="n">
        <f aca="false">AD873+ROW()*0.000000001</f>
        <v>-4.9608230247287</v>
      </c>
      <c r="AG873" s="55" t="n">
        <f aca="false">AE873+ROW()*0.000000001</f>
        <v>43.0080600835263</v>
      </c>
    </row>
    <row r="874" customFormat="false" ht="15" hidden="false" customHeight="false" outlineLevel="0" collapsed="false">
      <c r="A874" s="0" t="n">
        <v>1</v>
      </c>
      <c r="B874" s="0" t="n">
        <v>1</v>
      </c>
      <c r="C874" s="0" t="n">
        <v>6</v>
      </c>
      <c r="D874" s="0" t="n">
        <v>5</v>
      </c>
      <c r="E874" s="0" t="n">
        <f aca="false">-1+A874*0.25</f>
        <v>-0.75</v>
      </c>
      <c r="F874" s="0" t="n">
        <f aca="false">-1+B874*0.25</f>
        <v>-0.75</v>
      </c>
      <c r="G874" s="0" t="n">
        <f aca="false">-1+C874*0.25</f>
        <v>0.5</v>
      </c>
      <c r="H874" s="0" t="n">
        <f aca="false">-1+D874*0.25</f>
        <v>0.25</v>
      </c>
      <c r="I874" s="0" t="n">
        <f aca="false">1</f>
        <v>1</v>
      </c>
      <c r="J874" s="0" t="n">
        <f aca="false">E874</f>
        <v>-0.75</v>
      </c>
      <c r="K874" s="0" t="n">
        <f aca="false">F874</f>
        <v>-0.75</v>
      </c>
      <c r="L874" s="0" t="n">
        <f aca="false">G874</f>
        <v>0.5</v>
      </c>
      <c r="M874" s="0" t="n">
        <f aca="false">H874</f>
        <v>0.25</v>
      </c>
      <c r="N874" s="0" t="n">
        <f aca="false">E874*F874</f>
        <v>0.5625</v>
      </c>
      <c r="O874" s="0" t="n">
        <f aca="false">E874*G874</f>
        <v>-0.375</v>
      </c>
      <c r="P874" s="0" t="n">
        <f aca="false">E874*H874</f>
        <v>-0.1875</v>
      </c>
      <c r="Q874" s="0" t="n">
        <f aca="false">F874*G874</f>
        <v>-0.375</v>
      </c>
      <c r="R874" s="0" t="n">
        <f aca="false">F874*H874</f>
        <v>-0.1875</v>
      </c>
      <c r="S874" s="0" t="n">
        <f aca="false">G874*H874</f>
        <v>0.125</v>
      </c>
      <c r="T874" s="0" t="n">
        <f aca="false">E874*E874</f>
        <v>0.5625</v>
      </c>
      <c r="U874" s="0" t="n">
        <f aca="false">F874*F874</f>
        <v>0.5625</v>
      </c>
      <c r="V874" s="0" t="n">
        <f aca="false">G874*G874</f>
        <v>0.25</v>
      </c>
      <c r="W874" s="0" t="n">
        <f aca="false">H874*H874</f>
        <v>0.0625</v>
      </c>
      <c r="X874" s="0" t="n">
        <f aca="false">SUMPRODUCT(I874:W874,_XtX!$B$96:$P$96)</f>
        <v>43.1378883406433</v>
      </c>
      <c r="Y874" s="0" t="n">
        <f aca="false">SUMPRODUCT(MMULT(I874:W874,_XtX!$B$78:$P$92),I874:W874)</f>
        <v>0.257385610836988</v>
      </c>
      <c r="Z874" s="0" t="n">
        <f aca="false">04_回帰ANOVA!$K$19*04_回帰ANOVA!$K$14*SQRT(1+Y874)</f>
        <v>1.46161380324158</v>
      </c>
      <c r="AA874" s="0" t="n">
        <f aca="false">X874-Z874</f>
        <v>41.6762745374017</v>
      </c>
      <c r="AB874" s="0" t="n">
        <f aca="false">X874+Z874</f>
        <v>44.5995021438849</v>
      </c>
      <c r="AC874" s="54" t="b">
        <f aca="false">AND(E874&gt;=01_因子設定!$L$5-0.000000001,E874&lt;=01_因子設定!$M$5+0.000000001,F874&gt;=01_因子設定!$L$6-0.000000001,F874&lt;=01_因子設定!$M$6+0.000000001,G874&gt;=01_因子設定!$L$7-0.000000001,G874&lt;=01_因子設定!$M$7+0.000000001,H874&gt;=01_因子設定!$L$8-0.000000001,H874&lt;=01_因子設定!$M$8+0.000000001,IF(01_因子設定!$B$20="Box-Behnken",E874^2+F874^2+G874^2+H874^2&lt;=2+0.000000001,TRUE()))</f>
        <v>1</v>
      </c>
      <c r="AD874" s="55" t="n">
        <f aca="false">IF(AC874,IF(01_因子設定!$B$13="最大化",AA874-01_因子設定!$B$14,IF(01_因子設定!$B$13="最小化",01_因子設定!$B$15-AB874,MIN(AA874-01_因子設定!$B$14,01_因子設定!$B$15-AB874))),-1E+030)</f>
        <v>-4.82372546259832</v>
      </c>
      <c r="AE874" s="55" t="n">
        <f aca="false">IF(AC874,IF(01_因子設定!$B$13="最大化",X874,IF(01_因子設定!$B$13="最小化",-X874,-ABS(X874-01_因子設定!$B$16))),-1E+030)</f>
        <v>43.1378883406433</v>
      </c>
      <c r="AF874" s="55" t="n">
        <f aca="false">AD874+ROW()*0.000000001</f>
        <v>-4.82372458859832</v>
      </c>
      <c r="AG874" s="55" t="n">
        <f aca="false">AE874+ROW()*0.000000001</f>
        <v>43.1378892146433</v>
      </c>
    </row>
    <row r="875" customFormat="false" ht="15" hidden="false" customHeight="false" outlineLevel="0" collapsed="false">
      <c r="A875" s="0" t="n">
        <v>1</v>
      </c>
      <c r="B875" s="0" t="n">
        <v>1</v>
      </c>
      <c r="C875" s="0" t="n">
        <v>6</v>
      </c>
      <c r="D875" s="0" t="n">
        <v>6</v>
      </c>
      <c r="E875" s="0" t="n">
        <f aca="false">-1+A875*0.25</f>
        <v>-0.75</v>
      </c>
      <c r="F875" s="0" t="n">
        <f aca="false">-1+B875*0.25</f>
        <v>-0.75</v>
      </c>
      <c r="G875" s="0" t="n">
        <f aca="false">-1+C875*0.25</f>
        <v>0.5</v>
      </c>
      <c r="H875" s="0" t="n">
        <f aca="false">-1+D875*0.25</f>
        <v>0.5</v>
      </c>
      <c r="I875" s="0" t="n">
        <f aca="false">1</f>
        <v>1</v>
      </c>
      <c r="J875" s="0" t="n">
        <f aca="false">E875</f>
        <v>-0.75</v>
      </c>
      <c r="K875" s="0" t="n">
        <f aca="false">F875</f>
        <v>-0.75</v>
      </c>
      <c r="L875" s="0" t="n">
        <f aca="false">G875</f>
        <v>0.5</v>
      </c>
      <c r="M875" s="0" t="n">
        <f aca="false">H875</f>
        <v>0.5</v>
      </c>
      <c r="N875" s="0" t="n">
        <f aca="false">E875*F875</f>
        <v>0.5625</v>
      </c>
      <c r="O875" s="0" t="n">
        <f aca="false">E875*G875</f>
        <v>-0.375</v>
      </c>
      <c r="P875" s="0" t="n">
        <f aca="false">E875*H875</f>
        <v>-0.375</v>
      </c>
      <c r="Q875" s="0" t="n">
        <f aca="false">F875*G875</f>
        <v>-0.375</v>
      </c>
      <c r="R875" s="0" t="n">
        <f aca="false">F875*H875</f>
        <v>-0.375</v>
      </c>
      <c r="S875" s="0" t="n">
        <f aca="false">G875*H875</f>
        <v>0.25</v>
      </c>
      <c r="T875" s="0" t="n">
        <f aca="false">E875*E875</f>
        <v>0.5625</v>
      </c>
      <c r="U875" s="0" t="n">
        <f aca="false">F875*F875</f>
        <v>0.5625</v>
      </c>
      <c r="V875" s="0" t="n">
        <f aca="false">G875*G875</f>
        <v>0.25</v>
      </c>
      <c r="W875" s="0" t="n">
        <f aca="false">H875*H875</f>
        <v>0.25</v>
      </c>
      <c r="X875" s="0" t="n">
        <f aca="false">SUMPRODUCT(I875:W875,_XtX!$B$96:$P$96)</f>
        <v>43.2199104532164</v>
      </c>
      <c r="Y875" s="0" t="n">
        <f aca="false">SUMPRODUCT(MMULT(I875:W875,_XtX!$B$78:$P$92),I875:W875)</f>
        <v>0.237862927174708</v>
      </c>
      <c r="Z875" s="0" t="n">
        <f aca="false">04_回帰ANOVA!$K$19*04_回帰ANOVA!$K$14*SQRT(1+Y875)</f>
        <v>1.45022260708756</v>
      </c>
      <c r="AA875" s="0" t="n">
        <f aca="false">X875-Z875</f>
        <v>41.7696878461288</v>
      </c>
      <c r="AB875" s="0" t="n">
        <f aca="false">X875+Z875</f>
        <v>44.6701330603039</v>
      </c>
      <c r="AC875" s="54" t="b">
        <f aca="false">AND(E875&gt;=01_因子設定!$L$5-0.000000001,E875&lt;=01_因子設定!$M$5+0.000000001,F875&gt;=01_因子設定!$L$6-0.000000001,F875&lt;=01_因子設定!$M$6+0.000000001,G875&gt;=01_因子設定!$L$7-0.000000001,G875&lt;=01_因子設定!$M$7+0.000000001,H875&gt;=01_因子設定!$L$8-0.000000001,H875&lt;=01_因子設定!$M$8+0.000000001,IF(01_因子設定!$B$20="Box-Behnken",E875^2+F875^2+G875^2+H875^2&lt;=2+0.000000001,TRUE()))</f>
        <v>1</v>
      </c>
      <c r="AD875" s="55" t="n">
        <f aca="false">IF(AC875,IF(01_因子設定!$B$13="最大化",AA875-01_因子設定!$B$14,IF(01_因子設定!$B$13="最小化",01_因子設定!$B$15-AB875,MIN(AA875-01_因子設定!$B$14,01_因子設定!$B$15-AB875))),-1E+030)</f>
        <v>-4.73031215387119</v>
      </c>
      <c r="AE875" s="55" t="n">
        <f aca="false">IF(AC875,IF(01_因子設定!$B$13="最大化",X875,IF(01_因子設定!$B$13="最小化",-X875,-ABS(X875-01_因子設定!$B$16))),-1E+030)</f>
        <v>43.2199104532164</v>
      </c>
      <c r="AF875" s="55" t="n">
        <f aca="false">AD875+ROW()*0.000000001</f>
        <v>-4.73031127887119</v>
      </c>
      <c r="AG875" s="55" t="n">
        <f aca="false">AE875+ROW()*0.000000001</f>
        <v>43.2199113282164</v>
      </c>
    </row>
    <row r="876" customFormat="false" ht="15" hidden="false" customHeight="false" outlineLevel="0" collapsed="false">
      <c r="A876" s="0" t="n">
        <v>1</v>
      </c>
      <c r="B876" s="0" t="n">
        <v>1</v>
      </c>
      <c r="C876" s="0" t="n">
        <v>6</v>
      </c>
      <c r="D876" s="0" t="n">
        <v>7</v>
      </c>
      <c r="E876" s="0" t="n">
        <f aca="false">-1+A876*0.25</f>
        <v>-0.75</v>
      </c>
      <c r="F876" s="0" t="n">
        <f aca="false">-1+B876*0.25</f>
        <v>-0.75</v>
      </c>
      <c r="G876" s="0" t="n">
        <f aca="false">-1+C876*0.25</f>
        <v>0.5</v>
      </c>
      <c r="H876" s="0" t="n">
        <f aca="false">-1+D876*0.25</f>
        <v>0.75</v>
      </c>
      <c r="I876" s="0" t="n">
        <f aca="false">1</f>
        <v>1</v>
      </c>
      <c r="J876" s="0" t="n">
        <f aca="false">E876</f>
        <v>-0.75</v>
      </c>
      <c r="K876" s="0" t="n">
        <f aca="false">F876</f>
        <v>-0.75</v>
      </c>
      <c r="L876" s="0" t="n">
        <f aca="false">G876</f>
        <v>0.5</v>
      </c>
      <c r="M876" s="0" t="n">
        <f aca="false">H876</f>
        <v>0.75</v>
      </c>
      <c r="N876" s="0" t="n">
        <f aca="false">E876*F876</f>
        <v>0.5625</v>
      </c>
      <c r="O876" s="0" t="n">
        <f aca="false">E876*G876</f>
        <v>-0.375</v>
      </c>
      <c r="P876" s="0" t="n">
        <f aca="false">E876*H876</f>
        <v>-0.5625</v>
      </c>
      <c r="Q876" s="0" t="n">
        <f aca="false">F876*G876</f>
        <v>-0.375</v>
      </c>
      <c r="R876" s="0" t="n">
        <f aca="false">F876*H876</f>
        <v>-0.5625</v>
      </c>
      <c r="S876" s="0" t="n">
        <f aca="false">G876*H876</f>
        <v>0.375</v>
      </c>
      <c r="T876" s="0" t="n">
        <f aca="false">E876*E876</f>
        <v>0.5625</v>
      </c>
      <c r="U876" s="0" t="n">
        <f aca="false">F876*F876</f>
        <v>0.5625</v>
      </c>
      <c r="V876" s="0" t="n">
        <f aca="false">G876*G876</f>
        <v>0.25</v>
      </c>
      <c r="W876" s="0" t="n">
        <f aca="false">H876*H876</f>
        <v>0.5625</v>
      </c>
      <c r="X876" s="0" t="n">
        <f aca="false">SUMPRODUCT(I876:W876,_XtX!$B$96:$P$96)</f>
        <v>43.2541255482456</v>
      </c>
      <c r="Y876" s="0" t="n">
        <f aca="false">SUMPRODUCT(MMULT(I876:W876,_XtX!$B$78:$P$92),I876:W876)</f>
        <v>0.265632138614766</v>
      </c>
      <c r="Z876" s="0" t="n">
        <f aca="false">04_回帰ANOVA!$K$19*04_回帰ANOVA!$K$14*SQRT(1+Y876)</f>
        <v>1.46639894654257</v>
      </c>
      <c r="AA876" s="0" t="n">
        <f aca="false">X876-Z876</f>
        <v>41.787726601703</v>
      </c>
      <c r="AB876" s="0" t="n">
        <f aca="false">X876+Z876</f>
        <v>44.7205244947882</v>
      </c>
      <c r="AC876" s="54" t="b">
        <f aca="false">AND(E876&gt;=01_因子設定!$L$5-0.000000001,E876&lt;=01_因子設定!$M$5+0.000000001,F876&gt;=01_因子設定!$L$6-0.000000001,F876&lt;=01_因子設定!$M$6+0.000000001,G876&gt;=01_因子設定!$L$7-0.000000001,G876&lt;=01_因子設定!$M$7+0.000000001,H876&gt;=01_因子設定!$L$8-0.000000001,H876&lt;=01_因子設定!$M$8+0.000000001,IF(01_因子設定!$B$20="Box-Behnken",E876^2+F876^2+G876^2+H876^2&lt;=2+0.000000001,TRUE()))</f>
        <v>1</v>
      </c>
      <c r="AD876" s="55" t="n">
        <f aca="false">IF(AC876,IF(01_因子設定!$B$13="最大化",AA876-01_因子設定!$B$14,IF(01_因子設定!$B$13="最小化",01_因子設定!$B$15-AB876,MIN(AA876-01_因子設定!$B$14,01_因子設定!$B$15-AB876))),-1E+030)</f>
        <v>-4.71227339829696</v>
      </c>
      <c r="AE876" s="55" t="n">
        <f aca="false">IF(AC876,IF(01_因子設定!$B$13="最大化",X876,IF(01_因子設定!$B$13="最小化",-X876,-ABS(X876-01_因子設定!$B$16))),-1E+030)</f>
        <v>43.2541255482456</v>
      </c>
      <c r="AF876" s="55" t="n">
        <f aca="false">AD876+ROW()*0.000000001</f>
        <v>-4.71227252229696</v>
      </c>
      <c r="AG876" s="55" t="n">
        <f aca="false">AE876+ROW()*0.000000001</f>
        <v>43.2541264242456</v>
      </c>
    </row>
    <row r="877" customFormat="false" ht="15" hidden="false" customHeight="false" outlineLevel="0" collapsed="false">
      <c r="A877" s="0" t="n">
        <v>1</v>
      </c>
      <c r="B877" s="0" t="n">
        <v>1</v>
      </c>
      <c r="C877" s="0" t="n">
        <v>6</v>
      </c>
      <c r="D877" s="0" t="n">
        <v>8</v>
      </c>
      <c r="E877" s="0" t="n">
        <f aca="false">-1+A877*0.25</f>
        <v>-0.75</v>
      </c>
      <c r="F877" s="0" t="n">
        <f aca="false">-1+B877*0.25</f>
        <v>-0.75</v>
      </c>
      <c r="G877" s="0" t="n">
        <f aca="false">-1+C877*0.25</f>
        <v>0.5</v>
      </c>
      <c r="H877" s="0" t="n">
        <f aca="false">-1+D877*0.25</f>
        <v>1</v>
      </c>
      <c r="I877" s="0" t="n">
        <f aca="false">1</f>
        <v>1</v>
      </c>
      <c r="J877" s="0" t="n">
        <f aca="false">E877</f>
        <v>-0.75</v>
      </c>
      <c r="K877" s="0" t="n">
        <f aca="false">F877</f>
        <v>-0.75</v>
      </c>
      <c r="L877" s="0" t="n">
        <f aca="false">G877</f>
        <v>0.5</v>
      </c>
      <c r="M877" s="0" t="n">
        <f aca="false">H877</f>
        <v>1</v>
      </c>
      <c r="N877" s="0" t="n">
        <f aca="false">E877*F877</f>
        <v>0.5625</v>
      </c>
      <c r="O877" s="0" t="n">
        <f aca="false">E877*G877</f>
        <v>-0.375</v>
      </c>
      <c r="P877" s="0" t="n">
        <f aca="false">E877*H877</f>
        <v>-0.75</v>
      </c>
      <c r="Q877" s="0" t="n">
        <f aca="false">F877*G877</f>
        <v>-0.375</v>
      </c>
      <c r="R877" s="0" t="n">
        <f aca="false">F877*H877</f>
        <v>-0.75</v>
      </c>
      <c r="S877" s="0" t="n">
        <f aca="false">G877*H877</f>
        <v>0.5</v>
      </c>
      <c r="T877" s="0" t="n">
        <f aca="false">E877*E877</f>
        <v>0.5625</v>
      </c>
      <c r="U877" s="0" t="n">
        <f aca="false">F877*F877</f>
        <v>0.5625</v>
      </c>
      <c r="V877" s="0" t="n">
        <f aca="false">G877*G877</f>
        <v>0.25</v>
      </c>
      <c r="W877" s="0" t="n">
        <f aca="false">H877*H877</f>
        <v>1</v>
      </c>
      <c r="X877" s="0" t="n">
        <f aca="false">SUMPRODUCT(I877:W877,_XtX!$B$96:$P$96)</f>
        <v>43.240533625731</v>
      </c>
      <c r="Y877" s="0" t="n">
        <f aca="false">SUMPRODUCT(MMULT(I877:W877,_XtX!$B$78:$P$92),I877:W877)</f>
        <v>0.431153771472953</v>
      </c>
      <c r="Z877" s="0" t="n">
        <f aca="false">04_回帰ANOVA!$K$19*04_回帰ANOVA!$K$14*SQRT(1+Y877)</f>
        <v>1.55934259562563</v>
      </c>
      <c r="AA877" s="0" t="n">
        <f aca="false">X877-Z877</f>
        <v>41.6811910301054</v>
      </c>
      <c r="AB877" s="0" t="n">
        <f aca="false">X877+Z877</f>
        <v>44.7998762213567</v>
      </c>
      <c r="AC877" s="54" t="b">
        <f aca="false">AND(E877&gt;=01_因子設定!$L$5-0.000000001,E877&lt;=01_因子設定!$M$5+0.000000001,F877&gt;=01_因子設定!$L$6-0.000000001,F877&lt;=01_因子設定!$M$6+0.000000001,G877&gt;=01_因子設定!$L$7-0.000000001,G877&lt;=01_因子設定!$M$7+0.000000001,H877&gt;=01_因子設定!$L$8-0.000000001,H877&lt;=01_因子設定!$M$8+0.000000001,IF(01_因子設定!$B$20="Box-Behnken",E877^2+F877^2+G877^2+H877^2&lt;=2+0.000000001,TRUE()))</f>
        <v>1</v>
      </c>
      <c r="AD877" s="55" t="n">
        <f aca="false">IF(AC877,IF(01_因子設定!$B$13="最大化",AA877-01_因子設定!$B$14,IF(01_因子設定!$B$13="最小化",01_因子設定!$B$15-AB877,MIN(AA877-01_因子設定!$B$14,01_因子設定!$B$15-AB877))),-1E+030)</f>
        <v>-4.81880896989461</v>
      </c>
      <c r="AE877" s="55" t="n">
        <f aca="false">IF(AC877,IF(01_因子設定!$B$13="最大化",X877,IF(01_因子設定!$B$13="最小化",-X877,-ABS(X877-01_因子設定!$B$16))),-1E+030)</f>
        <v>43.240533625731</v>
      </c>
      <c r="AF877" s="55" t="n">
        <f aca="false">AD877+ROW()*0.000000001</f>
        <v>-4.81880809289461</v>
      </c>
      <c r="AG877" s="55" t="n">
        <f aca="false">AE877+ROW()*0.000000001</f>
        <v>43.240534502731</v>
      </c>
    </row>
    <row r="878" customFormat="false" ht="15" hidden="false" customHeight="false" outlineLevel="0" collapsed="false">
      <c r="A878" s="0" t="n">
        <v>1</v>
      </c>
      <c r="B878" s="0" t="n">
        <v>1</v>
      </c>
      <c r="C878" s="0" t="n">
        <v>7</v>
      </c>
      <c r="D878" s="0" t="n">
        <v>0</v>
      </c>
      <c r="E878" s="0" t="n">
        <f aca="false">-1+A878*0.25</f>
        <v>-0.75</v>
      </c>
      <c r="F878" s="0" t="n">
        <f aca="false">-1+B878*0.25</f>
        <v>-0.75</v>
      </c>
      <c r="G878" s="0" t="n">
        <f aca="false">-1+C878*0.25</f>
        <v>0.75</v>
      </c>
      <c r="H878" s="0" t="n">
        <f aca="false">-1+D878*0.25</f>
        <v>-1</v>
      </c>
      <c r="I878" s="0" t="n">
        <f aca="false">1</f>
        <v>1</v>
      </c>
      <c r="J878" s="0" t="n">
        <f aca="false">E878</f>
        <v>-0.75</v>
      </c>
      <c r="K878" s="0" t="n">
        <f aca="false">F878</f>
        <v>-0.75</v>
      </c>
      <c r="L878" s="0" t="n">
        <f aca="false">G878</f>
        <v>0.75</v>
      </c>
      <c r="M878" s="0" t="n">
        <f aca="false">H878</f>
        <v>-1</v>
      </c>
      <c r="N878" s="0" t="n">
        <f aca="false">E878*F878</f>
        <v>0.5625</v>
      </c>
      <c r="O878" s="0" t="n">
        <f aca="false">E878*G878</f>
        <v>-0.5625</v>
      </c>
      <c r="P878" s="0" t="n">
        <f aca="false">E878*H878</f>
        <v>0.75</v>
      </c>
      <c r="Q878" s="0" t="n">
        <f aca="false">F878*G878</f>
        <v>-0.5625</v>
      </c>
      <c r="R878" s="0" t="n">
        <f aca="false">F878*H878</f>
        <v>0.75</v>
      </c>
      <c r="S878" s="0" t="n">
        <f aca="false">G878*H878</f>
        <v>-0.75</v>
      </c>
      <c r="T878" s="0" t="n">
        <f aca="false">E878*E878</f>
        <v>0.5625</v>
      </c>
      <c r="U878" s="0" t="n">
        <f aca="false">F878*F878</f>
        <v>0.5625</v>
      </c>
      <c r="V878" s="0" t="n">
        <f aca="false">G878*G878</f>
        <v>0.5625</v>
      </c>
      <c r="W878" s="0" t="n">
        <f aca="false">H878*H878</f>
        <v>1</v>
      </c>
      <c r="X878" s="0" t="n">
        <f aca="false">SUMPRODUCT(I878:W878,_XtX!$B$96:$P$96)</f>
        <v>42.0346445540936</v>
      </c>
      <c r="Y878" s="0" t="n">
        <f aca="false">SUMPRODUCT(MMULT(I878:W878,_XtX!$B$78:$P$92),I878:W878)</f>
        <v>0.420117473044591</v>
      </c>
      <c r="Z878" s="0" t="n">
        <f aca="false">04_回帰ANOVA!$K$19*04_回帰ANOVA!$K$14*SQRT(1+Y878)</f>
        <v>1.55331854827765</v>
      </c>
      <c r="AA878" s="0" t="n">
        <f aca="false">X878-Z878</f>
        <v>40.481326005816</v>
      </c>
      <c r="AB878" s="0" t="n">
        <f aca="false">X878+Z878</f>
        <v>43.5879631023712</v>
      </c>
      <c r="AC878" s="54" t="b">
        <f aca="false">AND(E878&gt;=01_因子設定!$L$5-0.000000001,E878&lt;=01_因子設定!$M$5+0.000000001,F878&gt;=01_因子設定!$L$6-0.000000001,F878&lt;=01_因子設定!$M$6+0.000000001,G878&gt;=01_因子設定!$L$7-0.000000001,G878&lt;=01_因子設定!$M$7+0.000000001,H878&gt;=01_因子設定!$L$8-0.000000001,H878&lt;=01_因子設定!$M$8+0.000000001,IF(01_因子設定!$B$20="Box-Behnken",E878^2+F878^2+G878^2+H878^2&lt;=2+0.000000001,TRUE()))</f>
        <v>1</v>
      </c>
      <c r="AD878" s="55" t="n">
        <f aca="false">IF(AC878,IF(01_因子設定!$B$13="最大化",AA878-01_因子設定!$B$14,IF(01_因子設定!$B$13="最小化",01_因子設定!$B$15-AB878,MIN(AA878-01_因子設定!$B$14,01_因子設定!$B$15-AB878))),-1E+030)</f>
        <v>-6.01867399418405</v>
      </c>
      <c r="AE878" s="55" t="n">
        <f aca="false">IF(AC878,IF(01_因子設定!$B$13="最大化",X878,IF(01_因子設定!$B$13="最小化",-X878,-ABS(X878-01_因子設定!$B$16))),-1E+030)</f>
        <v>42.0346445540936</v>
      </c>
      <c r="AF878" s="55" t="n">
        <f aca="false">AD878+ROW()*0.000000001</f>
        <v>-6.01867311618405</v>
      </c>
      <c r="AG878" s="55" t="n">
        <f aca="false">AE878+ROW()*0.000000001</f>
        <v>42.0346454320936</v>
      </c>
    </row>
    <row r="879" customFormat="false" ht="15" hidden="false" customHeight="false" outlineLevel="0" collapsed="false">
      <c r="A879" s="0" t="n">
        <v>1</v>
      </c>
      <c r="B879" s="0" t="n">
        <v>1</v>
      </c>
      <c r="C879" s="0" t="n">
        <v>7</v>
      </c>
      <c r="D879" s="0" t="n">
        <v>1</v>
      </c>
      <c r="E879" s="0" t="n">
        <f aca="false">-1+A879*0.25</f>
        <v>-0.75</v>
      </c>
      <c r="F879" s="0" t="n">
        <f aca="false">-1+B879*0.25</f>
        <v>-0.75</v>
      </c>
      <c r="G879" s="0" t="n">
        <f aca="false">-1+C879*0.25</f>
        <v>0.75</v>
      </c>
      <c r="H879" s="0" t="n">
        <f aca="false">-1+D879*0.25</f>
        <v>-0.75</v>
      </c>
      <c r="I879" s="0" t="n">
        <f aca="false">1</f>
        <v>1</v>
      </c>
      <c r="J879" s="0" t="n">
        <f aca="false">E879</f>
        <v>-0.75</v>
      </c>
      <c r="K879" s="0" t="n">
        <f aca="false">F879</f>
        <v>-0.75</v>
      </c>
      <c r="L879" s="0" t="n">
        <f aca="false">G879</f>
        <v>0.75</v>
      </c>
      <c r="M879" s="0" t="n">
        <f aca="false">H879</f>
        <v>-0.75</v>
      </c>
      <c r="N879" s="0" t="n">
        <f aca="false">E879*F879</f>
        <v>0.5625</v>
      </c>
      <c r="O879" s="0" t="n">
        <f aca="false">E879*G879</f>
        <v>-0.5625</v>
      </c>
      <c r="P879" s="0" t="n">
        <f aca="false">E879*H879</f>
        <v>0.5625</v>
      </c>
      <c r="Q879" s="0" t="n">
        <f aca="false">F879*G879</f>
        <v>-0.5625</v>
      </c>
      <c r="R879" s="0" t="n">
        <f aca="false">F879*H879</f>
        <v>0.5625</v>
      </c>
      <c r="S879" s="0" t="n">
        <f aca="false">G879*H879</f>
        <v>-0.5625</v>
      </c>
      <c r="T879" s="0" t="n">
        <f aca="false">E879*E879</f>
        <v>0.5625</v>
      </c>
      <c r="U879" s="0" t="n">
        <f aca="false">F879*F879</f>
        <v>0.5625</v>
      </c>
      <c r="V879" s="0" t="n">
        <f aca="false">G879*G879</f>
        <v>0.5625</v>
      </c>
      <c r="W879" s="0" t="n">
        <f aca="false">H879*H879</f>
        <v>0.5625</v>
      </c>
      <c r="X879" s="0" t="n">
        <f aca="false">SUMPRODUCT(I879:W879,_XtX!$B$96:$P$96)</f>
        <v>42.373670504386</v>
      </c>
      <c r="Y879" s="0" t="n">
        <f aca="false">SUMPRODUCT(MMULT(I879:W879,_XtX!$B$78:$P$92),I879:W879)</f>
        <v>0.277232387609649</v>
      </c>
      <c r="Z879" s="0" t="n">
        <f aca="false">04_回帰ANOVA!$K$19*04_回帰ANOVA!$K$14*SQRT(1+Y879)</f>
        <v>1.47310381441991</v>
      </c>
      <c r="AA879" s="0" t="n">
        <f aca="false">X879-Z879</f>
        <v>40.9005666899661</v>
      </c>
      <c r="AB879" s="0" t="n">
        <f aca="false">X879+Z879</f>
        <v>43.8467743188059</v>
      </c>
      <c r="AC879" s="54" t="b">
        <f aca="false">AND(E879&gt;=01_因子設定!$L$5-0.000000001,E879&lt;=01_因子設定!$M$5+0.000000001,F879&gt;=01_因子設定!$L$6-0.000000001,F879&lt;=01_因子設定!$M$6+0.000000001,G879&gt;=01_因子設定!$L$7-0.000000001,G879&lt;=01_因子設定!$M$7+0.000000001,H879&gt;=01_因子設定!$L$8-0.000000001,H879&lt;=01_因子設定!$M$8+0.000000001,IF(01_因子設定!$B$20="Box-Behnken",E879^2+F879^2+G879^2+H879^2&lt;=2+0.000000001,TRUE()))</f>
        <v>1</v>
      </c>
      <c r="AD879" s="55" t="n">
        <f aca="false">IF(AC879,IF(01_因子設定!$B$13="最大化",AA879-01_因子設定!$B$14,IF(01_因子設定!$B$13="最小化",01_因子設定!$B$15-AB879,MIN(AA879-01_因子設定!$B$14,01_因子設定!$B$15-AB879))),-1E+030)</f>
        <v>-5.59943331003393</v>
      </c>
      <c r="AE879" s="55" t="n">
        <f aca="false">IF(AC879,IF(01_因子設定!$B$13="最大化",X879,IF(01_因子設定!$B$13="最小化",-X879,-ABS(X879-01_因子設定!$B$16))),-1E+030)</f>
        <v>42.373670504386</v>
      </c>
      <c r="AF879" s="55" t="n">
        <f aca="false">AD879+ROW()*0.000000001</f>
        <v>-5.59943243103393</v>
      </c>
      <c r="AG879" s="55" t="n">
        <f aca="false">AE879+ROW()*0.000000001</f>
        <v>42.373671383386</v>
      </c>
    </row>
    <row r="880" customFormat="false" ht="15" hidden="false" customHeight="false" outlineLevel="0" collapsed="false">
      <c r="A880" s="0" t="n">
        <v>1</v>
      </c>
      <c r="B880" s="0" t="n">
        <v>1</v>
      </c>
      <c r="C880" s="0" t="n">
        <v>7</v>
      </c>
      <c r="D880" s="0" t="n">
        <v>2</v>
      </c>
      <c r="E880" s="0" t="n">
        <f aca="false">-1+A880*0.25</f>
        <v>-0.75</v>
      </c>
      <c r="F880" s="0" t="n">
        <f aca="false">-1+B880*0.25</f>
        <v>-0.75</v>
      </c>
      <c r="G880" s="0" t="n">
        <f aca="false">-1+C880*0.25</f>
        <v>0.75</v>
      </c>
      <c r="H880" s="0" t="n">
        <f aca="false">-1+D880*0.25</f>
        <v>-0.5</v>
      </c>
      <c r="I880" s="0" t="n">
        <f aca="false">1</f>
        <v>1</v>
      </c>
      <c r="J880" s="0" t="n">
        <f aca="false">E880</f>
        <v>-0.75</v>
      </c>
      <c r="K880" s="0" t="n">
        <f aca="false">F880</f>
        <v>-0.75</v>
      </c>
      <c r="L880" s="0" t="n">
        <f aca="false">G880</f>
        <v>0.75</v>
      </c>
      <c r="M880" s="0" t="n">
        <f aca="false">H880</f>
        <v>-0.5</v>
      </c>
      <c r="N880" s="0" t="n">
        <f aca="false">E880*F880</f>
        <v>0.5625</v>
      </c>
      <c r="O880" s="0" t="n">
        <f aca="false">E880*G880</f>
        <v>-0.5625</v>
      </c>
      <c r="P880" s="0" t="n">
        <f aca="false">E880*H880</f>
        <v>0.375</v>
      </c>
      <c r="Q880" s="0" t="n">
        <f aca="false">F880*G880</f>
        <v>-0.5625</v>
      </c>
      <c r="R880" s="0" t="n">
        <f aca="false">F880*H880</f>
        <v>0.375</v>
      </c>
      <c r="S880" s="0" t="n">
        <f aca="false">G880*H880</f>
        <v>-0.375</v>
      </c>
      <c r="T880" s="0" t="n">
        <f aca="false">E880*E880</f>
        <v>0.5625</v>
      </c>
      <c r="U880" s="0" t="n">
        <f aca="false">F880*F880</f>
        <v>0.5625</v>
      </c>
      <c r="V880" s="0" t="n">
        <f aca="false">G880*G880</f>
        <v>0.5625</v>
      </c>
      <c r="W880" s="0" t="n">
        <f aca="false">H880*H880</f>
        <v>0.25</v>
      </c>
      <c r="X880" s="0" t="n">
        <f aca="false">SUMPRODUCT(I880:W880,_XtX!$B$96:$P$96)</f>
        <v>42.6648894371345</v>
      </c>
      <c r="Y880" s="0" t="n">
        <f aca="false">SUMPRODUCT(MMULT(I880:W880,_XtX!$B$78:$P$92),I880:W880)</f>
        <v>0.265632138614766</v>
      </c>
      <c r="Z880" s="0" t="n">
        <f aca="false">04_回帰ANOVA!$K$19*04_回帰ANOVA!$K$14*SQRT(1+Y880)</f>
        <v>1.46639894654257</v>
      </c>
      <c r="AA880" s="0" t="n">
        <f aca="false">X880-Z880</f>
        <v>41.1984904905919</v>
      </c>
      <c r="AB880" s="0" t="n">
        <f aca="false">X880+Z880</f>
        <v>44.1312883836771</v>
      </c>
      <c r="AC880" s="54" t="b">
        <f aca="false">AND(E880&gt;=01_因子設定!$L$5-0.000000001,E880&lt;=01_因子設定!$M$5+0.000000001,F880&gt;=01_因子設定!$L$6-0.000000001,F880&lt;=01_因子設定!$M$6+0.000000001,G880&gt;=01_因子設定!$L$7-0.000000001,G880&lt;=01_因子設定!$M$7+0.000000001,H880&gt;=01_因子設定!$L$8-0.000000001,H880&lt;=01_因子設定!$M$8+0.000000001,IF(01_因子設定!$B$20="Box-Behnken",E880^2+F880^2+G880^2+H880^2&lt;=2+0.000000001,TRUE()))</f>
        <v>1</v>
      </c>
      <c r="AD880" s="55" t="n">
        <f aca="false">IF(AC880,IF(01_因子設定!$B$13="最大化",AA880-01_因子設定!$B$14,IF(01_因子設定!$B$13="最小化",01_因子設定!$B$15-AB880,MIN(AA880-01_因子設定!$B$14,01_因子設定!$B$15-AB880))),-1E+030)</f>
        <v>-5.30150950940808</v>
      </c>
      <c r="AE880" s="55" t="n">
        <f aca="false">IF(AC880,IF(01_因子設定!$B$13="最大化",X880,IF(01_因子設定!$B$13="最小化",-X880,-ABS(X880-01_因子設定!$B$16))),-1E+030)</f>
        <v>42.6648894371345</v>
      </c>
      <c r="AF880" s="55" t="n">
        <f aca="false">AD880+ROW()*0.000000001</f>
        <v>-5.30150862940808</v>
      </c>
      <c r="AG880" s="55" t="n">
        <f aca="false">AE880+ROW()*0.000000001</f>
        <v>42.6648903171345</v>
      </c>
    </row>
    <row r="881" customFormat="false" ht="15" hidden="false" customHeight="false" outlineLevel="0" collapsed="false">
      <c r="A881" s="0" t="n">
        <v>1</v>
      </c>
      <c r="B881" s="0" t="n">
        <v>1</v>
      </c>
      <c r="C881" s="0" t="n">
        <v>7</v>
      </c>
      <c r="D881" s="0" t="n">
        <v>3</v>
      </c>
      <c r="E881" s="0" t="n">
        <f aca="false">-1+A881*0.25</f>
        <v>-0.75</v>
      </c>
      <c r="F881" s="0" t="n">
        <f aca="false">-1+B881*0.25</f>
        <v>-0.75</v>
      </c>
      <c r="G881" s="0" t="n">
        <f aca="false">-1+C881*0.25</f>
        <v>0.75</v>
      </c>
      <c r="H881" s="0" t="n">
        <f aca="false">-1+D881*0.25</f>
        <v>-0.25</v>
      </c>
      <c r="I881" s="0" t="n">
        <f aca="false">1</f>
        <v>1</v>
      </c>
      <c r="J881" s="0" t="n">
        <f aca="false">E881</f>
        <v>-0.75</v>
      </c>
      <c r="K881" s="0" t="n">
        <f aca="false">F881</f>
        <v>-0.75</v>
      </c>
      <c r="L881" s="0" t="n">
        <f aca="false">G881</f>
        <v>0.75</v>
      </c>
      <c r="M881" s="0" t="n">
        <f aca="false">H881</f>
        <v>-0.25</v>
      </c>
      <c r="N881" s="0" t="n">
        <f aca="false">E881*F881</f>
        <v>0.5625</v>
      </c>
      <c r="O881" s="0" t="n">
        <f aca="false">E881*G881</f>
        <v>-0.5625</v>
      </c>
      <c r="P881" s="0" t="n">
        <f aca="false">E881*H881</f>
        <v>0.1875</v>
      </c>
      <c r="Q881" s="0" t="n">
        <f aca="false">F881*G881</f>
        <v>-0.5625</v>
      </c>
      <c r="R881" s="0" t="n">
        <f aca="false">F881*H881</f>
        <v>0.1875</v>
      </c>
      <c r="S881" s="0" t="n">
        <f aca="false">G881*H881</f>
        <v>-0.1875</v>
      </c>
      <c r="T881" s="0" t="n">
        <f aca="false">E881*E881</f>
        <v>0.5625</v>
      </c>
      <c r="U881" s="0" t="n">
        <f aca="false">F881*F881</f>
        <v>0.5625</v>
      </c>
      <c r="V881" s="0" t="n">
        <f aca="false">G881*G881</f>
        <v>0.5625</v>
      </c>
      <c r="W881" s="0" t="n">
        <f aca="false">H881*H881</f>
        <v>0.0625</v>
      </c>
      <c r="X881" s="0" t="n">
        <f aca="false">SUMPRODUCT(I881:W881,_XtX!$B$96:$P$96)</f>
        <v>42.9083013523392</v>
      </c>
      <c r="Y881" s="0" t="n">
        <f aca="false">SUMPRODUCT(MMULT(I881:W881,_XtX!$B$78:$P$92),I881:W881)</f>
        <v>0.294856199744152</v>
      </c>
      <c r="Z881" s="0" t="n">
        <f aca="false">04_回帰ANOVA!$K$19*04_回帰ANOVA!$K$14*SQRT(1+Y881)</f>
        <v>1.48323226089013</v>
      </c>
      <c r="AA881" s="0" t="n">
        <f aca="false">X881-Z881</f>
        <v>41.425069091449</v>
      </c>
      <c r="AB881" s="0" t="n">
        <f aca="false">X881+Z881</f>
        <v>44.3915336132293</v>
      </c>
      <c r="AC881" s="54" t="b">
        <f aca="false">AND(E881&gt;=01_因子設定!$L$5-0.000000001,E881&lt;=01_因子設定!$M$5+0.000000001,F881&gt;=01_因子設定!$L$6-0.000000001,F881&lt;=01_因子設定!$M$6+0.000000001,G881&gt;=01_因子設定!$L$7-0.000000001,G881&lt;=01_因子設定!$M$7+0.000000001,H881&gt;=01_因子設定!$L$8-0.000000001,H881&lt;=01_因子設定!$M$8+0.000000001,IF(01_因子設定!$B$20="Box-Behnken",E881^2+F881^2+G881^2+H881^2&lt;=2+0.000000001,TRUE()))</f>
        <v>1</v>
      </c>
      <c r="AD881" s="55" t="n">
        <f aca="false">IF(AC881,IF(01_因子設定!$B$13="最大化",AA881-01_因子設定!$B$14,IF(01_因子設定!$B$13="最小化",01_因子設定!$B$15-AB881,MIN(AA881-01_因子設定!$B$14,01_因子設定!$B$15-AB881))),-1E+030)</f>
        <v>-5.07493090855096</v>
      </c>
      <c r="AE881" s="55" t="n">
        <f aca="false">IF(AC881,IF(01_因子設定!$B$13="最大化",X881,IF(01_因子設定!$B$13="最小化",-X881,-ABS(X881-01_因子設定!$B$16))),-1E+030)</f>
        <v>42.9083013523392</v>
      </c>
      <c r="AF881" s="55" t="n">
        <f aca="false">AD881+ROW()*0.000000001</f>
        <v>-5.07493002755096</v>
      </c>
      <c r="AG881" s="55" t="n">
        <f aca="false">AE881+ROW()*0.000000001</f>
        <v>42.9083022333392</v>
      </c>
    </row>
    <row r="882" customFormat="false" ht="15" hidden="false" customHeight="false" outlineLevel="0" collapsed="false">
      <c r="A882" s="0" t="n">
        <v>1</v>
      </c>
      <c r="B882" s="0" t="n">
        <v>1</v>
      </c>
      <c r="C882" s="0" t="n">
        <v>7</v>
      </c>
      <c r="D882" s="0" t="n">
        <v>4</v>
      </c>
      <c r="E882" s="0" t="n">
        <f aca="false">-1+A882*0.25</f>
        <v>-0.75</v>
      </c>
      <c r="F882" s="0" t="n">
        <f aca="false">-1+B882*0.25</f>
        <v>-0.75</v>
      </c>
      <c r="G882" s="0" t="n">
        <f aca="false">-1+C882*0.25</f>
        <v>0.75</v>
      </c>
      <c r="H882" s="0" t="n">
        <f aca="false">-1+D882*0.25</f>
        <v>0</v>
      </c>
      <c r="I882" s="0" t="n">
        <f aca="false">1</f>
        <v>1</v>
      </c>
      <c r="J882" s="0" t="n">
        <f aca="false">E882</f>
        <v>-0.75</v>
      </c>
      <c r="K882" s="0" t="n">
        <f aca="false">F882</f>
        <v>-0.75</v>
      </c>
      <c r="L882" s="0" t="n">
        <f aca="false">G882</f>
        <v>0.75</v>
      </c>
      <c r="M882" s="0" t="n">
        <f aca="false">H882</f>
        <v>0</v>
      </c>
      <c r="N882" s="0" t="n">
        <f aca="false">E882*F882</f>
        <v>0.5625</v>
      </c>
      <c r="O882" s="0" t="n">
        <f aca="false">E882*G882</f>
        <v>-0.5625</v>
      </c>
      <c r="P882" s="0" t="n">
        <f aca="false">E882*H882</f>
        <v>-0</v>
      </c>
      <c r="Q882" s="0" t="n">
        <f aca="false">F882*G882</f>
        <v>-0.5625</v>
      </c>
      <c r="R882" s="0" t="n">
        <f aca="false">F882*H882</f>
        <v>-0</v>
      </c>
      <c r="S882" s="0" t="n">
        <f aca="false">G882*H882</f>
        <v>0</v>
      </c>
      <c r="T882" s="0" t="n">
        <f aca="false">E882*E882</f>
        <v>0.5625</v>
      </c>
      <c r="U882" s="0" t="n">
        <f aca="false">F882*F882</f>
        <v>0.5625</v>
      </c>
      <c r="V882" s="0" t="n">
        <f aca="false">G882*G882</f>
        <v>0.5625</v>
      </c>
      <c r="W882" s="0" t="n">
        <f aca="false">H882*H882</f>
        <v>0</v>
      </c>
      <c r="X882" s="0" t="n">
        <f aca="false">SUMPRODUCT(I882:W882,_XtX!$B$96:$P$96)</f>
        <v>43.10390625</v>
      </c>
      <c r="Y882" s="0" t="n">
        <f aca="false">SUMPRODUCT(MMULT(I882:W882,_XtX!$B$78:$P$92),I882:W882)</f>
        <v>0.310628255208333</v>
      </c>
      <c r="Z882" s="0" t="n">
        <f aca="false">04_回帰ANOVA!$K$19*04_回帰ANOVA!$K$14*SQRT(1+Y882)</f>
        <v>1.49223820892344</v>
      </c>
      <c r="AA882" s="0" t="n">
        <f aca="false">X882-Z882</f>
        <v>41.6116680410766</v>
      </c>
      <c r="AB882" s="0" t="n">
        <f aca="false">X882+Z882</f>
        <v>44.5961444589234</v>
      </c>
      <c r="AC882" s="54" t="b">
        <f aca="false">AND(E882&gt;=01_因子設定!$L$5-0.000000001,E882&lt;=01_因子設定!$M$5+0.000000001,F882&gt;=01_因子設定!$L$6-0.000000001,F882&lt;=01_因子設定!$M$6+0.000000001,G882&gt;=01_因子設定!$L$7-0.000000001,G882&lt;=01_因子設定!$M$7+0.000000001,H882&gt;=01_因子設定!$L$8-0.000000001,H882&lt;=01_因子設定!$M$8+0.000000001,IF(01_因子設定!$B$20="Box-Behnken",E882^2+F882^2+G882^2+H882^2&lt;=2+0.000000001,TRUE()))</f>
        <v>1</v>
      </c>
      <c r="AD882" s="55" t="n">
        <f aca="false">IF(AC882,IF(01_因子設定!$B$13="最大化",AA882-01_因子設定!$B$14,IF(01_因子設定!$B$13="最小化",01_因子設定!$B$15-AB882,MIN(AA882-01_因子設定!$B$14,01_因子設定!$B$15-AB882))),-1E+030)</f>
        <v>-4.88833195892345</v>
      </c>
      <c r="AE882" s="55" t="n">
        <f aca="false">IF(AC882,IF(01_因子設定!$B$13="最大化",X882,IF(01_因子設定!$B$13="最小化",-X882,-ABS(X882-01_因子設定!$B$16))),-1E+030)</f>
        <v>43.10390625</v>
      </c>
      <c r="AF882" s="55" t="n">
        <f aca="false">AD882+ROW()*0.000000001</f>
        <v>-4.88833107692345</v>
      </c>
      <c r="AG882" s="55" t="n">
        <f aca="false">AE882+ROW()*0.000000001</f>
        <v>43.103907132</v>
      </c>
    </row>
    <row r="883" customFormat="false" ht="15" hidden="false" customHeight="false" outlineLevel="0" collapsed="false">
      <c r="A883" s="0" t="n">
        <v>1</v>
      </c>
      <c r="B883" s="0" t="n">
        <v>1</v>
      </c>
      <c r="C883" s="0" t="n">
        <v>7</v>
      </c>
      <c r="D883" s="0" t="n">
        <v>5</v>
      </c>
      <c r="E883" s="0" t="n">
        <f aca="false">-1+A883*0.25</f>
        <v>-0.75</v>
      </c>
      <c r="F883" s="0" t="n">
        <f aca="false">-1+B883*0.25</f>
        <v>-0.75</v>
      </c>
      <c r="G883" s="0" t="n">
        <f aca="false">-1+C883*0.25</f>
        <v>0.75</v>
      </c>
      <c r="H883" s="0" t="n">
        <f aca="false">-1+D883*0.25</f>
        <v>0.25</v>
      </c>
      <c r="I883" s="0" t="n">
        <f aca="false">1</f>
        <v>1</v>
      </c>
      <c r="J883" s="0" t="n">
        <f aca="false">E883</f>
        <v>-0.75</v>
      </c>
      <c r="K883" s="0" t="n">
        <f aca="false">F883</f>
        <v>-0.75</v>
      </c>
      <c r="L883" s="0" t="n">
        <f aca="false">G883</f>
        <v>0.75</v>
      </c>
      <c r="M883" s="0" t="n">
        <f aca="false">H883</f>
        <v>0.25</v>
      </c>
      <c r="N883" s="0" t="n">
        <f aca="false">E883*F883</f>
        <v>0.5625</v>
      </c>
      <c r="O883" s="0" t="n">
        <f aca="false">E883*G883</f>
        <v>-0.5625</v>
      </c>
      <c r="P883" s="0" t="n">
        <f aca="false">E883*H883</f>
        <v>-0.1875</v>
      </c>
      <c r="Q883" s="0" t="n">
        <f aca="false">F883*G883</f>
        <v>-0.5625</v>
      </c>
      <c r="R883" s="0" t="n">
        <f aca="false">F883*H883</f>
        <v>-0.1875</v>
      </c>
      <c r="S883" s="0" t="n">
        <f aca="false">G883*H883</f>
        <v>0.1875</v>
      </c>
      <c r="T883" s="0" t="n">
        <f aca="false">E883*E883</f>
        <v>0.5625</v>
      </c>
      <c r="U883" s="0" t="n">
        <f aca="false">F883*F883</f>
        <v>0.5625</v>
      </c>
      <c r="V883" s="0" t="n">
        <f aca="false">G883*G883</f>
        <v>0.5625</v>
      </c>
      <c r="W883" s="0" t="n">
        <f aca="false">H883*H883</f>
        <v>0.0625</v>
      </c>
      <c r="X883" s="0" t="n">
        <f aca="false">SUMPRODUCT(I883:W883,_XtX!$B$96:$P$96)</f>
        <v>43.251704130117</v>
      </c>
      <c r="Y883" s="0" t="n">
        <f aca="false">SUMPRODUCT(MMULT(I883:W883,_XtX!$B$78:$P$92),I883:W883)</f>
        <v>0.294856199744152</v>
      </c>
      <c r="Z883" s="0" t="n">
        <f aca="false">04_回帰ANOVA!$K$19*04_回帰ANOVA!$K$14*SQRT(1+Y883)</f>
        <v>1.48323226089013</v>
      </c>
      <c r="AA883" s="0" t="n">
        <f aca="false">X883-Z883</f>
        <v>41.7684718692268</v>
      </c>
      <c r="AB883" s="0" t="n">
        <f aca="false">X883+Z883</f>
        <v>44.7349363910071</v>
      </c>
      <c r="AC883" s="54" t="b">
        <f aca="false">AND(E883&gt;=01_因子設定!$L$5-0.000000001,E883&lt;=01_因子設定!$M$5+0.000000001,F883&gt;=01_因子設定!$L$6-0.000000001,F883&lt;=01_因子設定!$M$6+0.000000001,G883&gt;=01_因子設定!$L$7-0.000000001,G883&lt;=01_因子設定!$M$7+0.000000001,H883&gt;=01_因子設定!$L$8-0.000000001,H883&lt;=01_因子設定!$M$8+0.000000001,IF(01_因子設定!$B$20="Box-Behnken",E883^2+F883^2+G883^2+H883^2&lt;=2+0.000000001,TRUE()))</f>
        <v>1</v>
      </c>
      <c r="AD883" s="55" t="n">
        <f aca="false">IF(AC883,IF(01_因子設定!$B$13="最大化",AA883-01_因子設定!$B$14,IF(01_因子設定!$B$13="最小化",01_因子設定!$B$15-AB883,MIN(AA883-01_因子設定!$B$14,01_因子設定!$B$15-AB883))),-1E+030)</f>
        <v>-4.73152813077319</v>
      </c>
      <c r="AE883" s="55" t="n">
        <f aca="false">IF(AC883,IF(01_因子設定!$B$13="最大化",X883,IF(01_因子設定!$B$13="最小化",-X883,-ABS(X883-01_因子設定!$B$16))),-1E+030)</f>
        <v>43.251704130117</v>
      </c>
      <c r="AF883" s="55" t="n">
        <f aca="false">AD883+ROW()*0.000000001</f>
        <v>-4.73152724777319</v>
      </c>
      <c r="AG883" s="55" t="n">
        <f aca="false">AE883+ROW()*0.000000001</f>
        <v>43.251705013117</v>
      </c>
    </row>
    <row r="884" customFormat="false" ht="15" hidden="false" customHeight="false" outlineLevel="0" collapsed="false">
      <c r="A884" s="0" t="n">
        <v>1</v>
      </c>
      <c r="B884" s="0" t="n">
        <v>1</v>
      </c>
      <c r="C884" s="0" t="n">
        <v>7</v>
      </c>
      <c r="D884" s="0" t="n">
        <v>6</v>
      </c>
      <c r="E884" s="0" t="n">
        <f aca="false">-1+A884*0.25</f>
        <v>-0.75</v>
      </c>
      <c r="F884" s="0" t="n">
        <f aca="false">-1+B884*0.25</f>
        <v>-0.75</v>
      </c>
      <c r="G884" s="0" t="n">
        <f aca="false">-1+C884*0.25</f>
        <v>0.75</v>
      </c>
      <c r="H884" s="0" t="n">
        <f aca="false">-1+D884*0.25</f>
        <v>0.5</v>
      </c>
      <c r="I884" s="0" t="n">
        <f aca="false">1</f>
        <v>1</v>
      </c>
      <c r="J884" s="0" t="n">
        <f aca="false">E884</f>
        <v>-0.75</v>
      </c>
      <c r="K884" s="0" t="n">
        <f aca="false">F884</f>
        <v>-0.75</v>
      </c>
      <c r="L884" s="0" t="n">
        <f aca="false">G884</f>
        <v>0.75</v>
      </c>
      <c r="M884" s="0" t="n">
        <f aca="false">H884</f>
        <v>0.5</v>
      </c>
      <c r="N884" s="0" t="n">
        <f aca="false">E884*F884</f>
        <v>0.5625</v>
      </c>
      <c r="O884" s="0" t="n">
        <f aca="false">E884*G884</f>
        <v>-0.5625</v>
      </c>
      <c r="P884" s="0" t="n">
        <f aca="false">E884*H884</f>
        <v>-0.375</v>
      </c>
      <c r="Q884" s="0" t="n">
        <f aca="false">F884*G884</f>
        <v>-0.5625</v>
      </c>
      <c r="R884" s="0" t="n">
        <f aca="false">F884*H884</f>
        <v>-0.375</v>
      </c>
      <c r="S884" s="0" t="n">
        <f aca="false">G884*H884</f>
        <v>0.375</v>
      </c>
      <c r="T884" s="0" t="n">
        <f aca="false">E884*E884</f>
        <v>0.5625</v>
      </c>
      <c r="U884" s="0" t="n">
        <f aca="false">F884*F884</f>
        <v>0.5625</v>
      </c>
      <c r="V884" s="0" t="n">
        <f aca="false">G884*G884</f>
        <v>0.5625</v>
      </c>
      <c r="W884" s="0" t="n">
        <f aca="false">H884*H884</f>
        <v>0.25</v>
      </c>
      <c r="X884" s="0" t="n">
        <f aca="false">SUMPRODUCT(I884:W884,_XtX!$B$96:$P$96)</f>
        <v>43.3516949926901</v>
      </c>
      <c r="Y884" s="0" t="n">
        <f aca="false">SUMPRODUCT(MMULT(I884:W884,_XtX!$B$78:$P$92),I884:W884)</f>
        <v>0.265632138614766</v>
      </c>
      <c r="Z884" s="0" t="n">
        <f aca="false">04_回帰ANOVA!$K$19*04_回帰ANOVA!$K$14*SQRT(1+Y884)</f>
        <v>1.46639894654257</v>
      </c>
      <c r="AA884" s="0" t="n">
        <f aca="false">X884-Z884</f>
        <v>41.8852960461475</v>
      </c>
      <c r="AB884" s="0" t="n">
        <f aca="false">X884+Z884</f>
        <v>44.8180939392326</v>
      </c>
      <c r="AC884" s="54" t="b">
        <f aca="false">AND(E884&gt;=01_因子設定!$L$5-0.000000001,E884&lt;=01_因子設定!$M$5+0.000000001,F884&gt;=01_因子設定!$L$6-0.000000001,F884&lt;=01_因子設定!$M$6+0.000000001,G884&gt;=01_因子設定!$L$7-0.000000001,G884&lt;=01_因子設定!$M$7+0.000000001,H884&gt;=01_因子設定!$L$8-0.000000001,H884&lt;=01_因子設定!$M$8+0.000000001,IF(01_因子設定!$B$20="Box-Behnken",E884^2+F884^2+G884^2+H884^2&lt;=2+0.000000001,TRUE()))</f>
        <v>1</v>
      </c>
      <c r="AD884" s="55" t="n">
        <f aca="false">IF(AC884,IF(01_因子設定!$B$13="最大化",AA884-01_因子設定!$B$14,IF(01_因子設定!$B$13="最小化",01_因子設定!$B$15-AB884,MIN(AA884-01_因子設定!$B$14,01_因子設定!$B$15-AB884))),-1E+030)</f>
        <v>-4.61470395385252</v>
      </c>
      <c r="AE884" s="55" t="n">
        <f aca="false">IF(AC884,IF(01_因子設定!$B$13="最大化",X884,IF(01_因子設定!$B$13="最小化",-X884,-ABS(X884-01_因子設定!$B$16))),-1E+030)</f>
        <v>43.3516949926901</v>
      </c>
      <c r="AF884" s="55" t="n">
        <f aca="false">AD884+ROW()*0.000000001</f>
        <v>-4.61470306985252</v>
      </c>
      <c r="AG884" s="55" t="n">
        <f aca="false">AE884+ROW()*0.000000001</f>
        <v>43.3516958766901</v>
      </c>
    </row>
    <row r="885" customFormat="false" ht="15" hidden="false" customHeight="false" outlineLevel="0" collapsed="false">
      <c r="A885" s="0" t="n">
        <v>1</v>
      </c>
      <c r="B885" s="0" t="n">
        <v>1</v>
      </c>
      <c r="C885" s="0" t="n">
        <v>7</v>
      </c>
      <c r="D885" s="0" t="n">
        <v>7</v>
      </c>
      <c r="E885" s="0" t="n">
        <f aca="false">-1+A885*0.25</f>
        <v>-0.75</v>
      </c>
      <c r="F885" s="0" t="n">
        <f aca="false">-1+B885*0.25</f>
        <v>-0.75</v>
      </c>
      <c r="G885" s="0" t="n">
        <f aca="false">-1+C885*0.25</f>
        <v>0.75</v>
      </c>
      <c r="H885" s="0" t="n">
        <f aca="false">-1+D885*0.25</f>
        <v>0.75</v>
      </c>
      <c r="I885" s="0" t="n">
        <f aca="false">1</f>
        <v>1</v>
      </c>
      <c r="J885" s="0" t="n">
        <f aca="false">E885</f>
        <v>-0.75</v>
      </c>
      <c r="K885" s="0" t="n">
        <f aca="false">F885</f>
        <v>-0.75</v>
      </c>
      <c r="L885" s="0" t="n">
        <f aca="false">G885</f>
        <v>0.75</v>
      </c>
      <c r="M885" s="0" t="n">
        <f aca="false">H885</f>
        <v>0.75</v>
      </c>
      <c r="N885" s="0" t="n">
        <f aca="false">E885*F885</f>
        <v>0.5625</v>
      </c>
      <c r="O885" s="0" t="n">
        <f aca="false">E885*G885</f>
        <v>-0.5625</v>
      </c>
      <c r="P885" s="0" t="n">
        <f aca="false">E885*H885</f>
        <v>-0.5625</v>
      </c>
      <c r="Q885" s="0" t="n">
        <f aca="false">F885*G885</f>
        <v>-0.5625</v>
      </c>
      <c r="R885" s="0" t="n">
        <f aca="false">F885*H885</f>
        <v>-0.5625</v>
      </c>
      <c r="S885" s="0" t="n">
        <f aca="false">G885*H885</f>
        <v>0.5625</v>
      </c>
      <c r="T885" s="0" t="n">
        <f aca="false">E885*E885</f>
        <v>0.5625</v>
      </c>
      <c r="U885" s="0" t="n">
        <f aca="false">F885*F885</f>
        <v>0.5625</v>
      </c>
      <c r="V885" s="0" t="n">
        <f aca="false">G885*G885</f>
        <v>0.5625</v>
      </c>
      <c r="W885" s="0" t="n">
        <f aca="false">H885*H885</f>
        <v>0.5625</v>
      </c>
      <c r="X885" s="0" t="n">
        <f aca="false">SUMPRODUCT(I885:W885,_XtX!$B$96:$P$96)</f>
        <v>43.4038788377193</v>
      </c>
      <c r="Y885" s="0" t="n">
        <f aca="false">SUMPRODUCT(MMULT(I885:W885,_XtX!$B$78:$P$92),I885:W885)</f>
        <v>0.277232387609649</v>
      </c>
      <c r="Z885" s="0" t="n">
        <f aca="false">04_回帰ANOVA!$K$19*04_回帰ANOVA!$K$14*SQRT(1+Y885)</f>
        <v>1.47310381441991</v>
      </c>
      <c r="AA885" s="0" t="n">
        <f aca="false">X885-Z885</f>
        <v>41.9307750232994</v>
      </c>
      <c r="AB885" s="0" t="n">
        <f aca="false">X885+Z885</f>
        <v>44.8769826521392</v>
      </c>
      <c r="AC885" s="54" t="b">
        <f aca="false">AND(E885&gt;=01_因子設定!$L$5-0.000000001,E885&lt;=01_因子設定!$M$5+0.000000001,F885&gt;=01_因子設定!$L$6-0.000000001,F885&lt;=01_因子設定!$M$6+0.000000001,G885&gt;=01_因子設定!$L$7-0.000000001,G885&lt;=01_因子設定!$M$7+0.000000001,H885&gt;=01_因子設定!$L$8-0.000000001,H885&lt;=01_因子設定!$M$8+0.000000001,IF(01_因子設定!$B$20="Box-Behnken",E885^2+F885^2+G885^2+H885^2&lt;=2+0.000000001,TRUE()))</f>
        <v>1</v>
      </c>
      <c r="AD885" s="55" t="n">
        <f aca="false">IF(AC885,IF(01_因子設定!$B$13="最大化",AA885-01_因子設定!$B$14,IF(01_因子設定!$B$13="最小化",01_因子設定!$B$15-AB885,MIN(AA885-01_因子設定!$B$14,01_因子設定!$B$15-AB885))),-1E+030)</f>
        <v>-4.5692249767006</v>
      </c>
      <c r="AE885" s="55" t="n">
        <f aca="false">IF(AC885,IF(01_因子設定!$B$13="最大化",X885,IF(01_因子設定!$B$13="最小化",-X885,-ABS(X885-01_因子設定!$B$16))),-1E+030)</f>
        <v>43.4038788377193</v>
      </c>
      <c r="AF885" s="55" t="n">
        <f aca="false">AD885+ROW()*0.000000001</f>
        <v>-4.5692240917006</v>
      </c>
      <c r="AG885" s="55" t="n">
        <f aca="false">AE885+ROW()*0.000000001</f>
        <v>43.4038797227193</v>
      </c>
    </row>
    <row r="886" customFormat="false" ht="15" hidden="false" customHeight="false" outlineLevel="0" collapsed="false">
      <c r="A886" s="0" t="n">
        <v>1</v>
      </c>
      <c r="B886" s="0" t="n">
        <v>1</v>
      </c>
      <c r="C886" s="0" t="n">
        <v>7</v>
      </c>
      <c r="D886" s="0" t="n">
        <v>8</v>
      </c>
      <c r="E886" s="0" t="n">
        <f aca="false">-1+A886*0.25</f>
        <v>-0.75</v>
      </c>
      <c r="F886" s="0" t="n">
        <f aca="false">-1+B886*0.25</f>
        <v>-0.75</v>
      </c>
      <c r="G886" s="0" t="n">
        <f aca="false">-1+C886*0.25</f>
        <v>0.75</v>
      </c>
      <c r="H886" s="0" t="n">
        <f aca="false">-1+D886*0.25</f>
        <v>1</v>
      </c>
      <c r="I886" s="0" t="n">
        <f aca="false">1</f>
        <v>1</v>
      </c>
      <c r="J886" s="0" t="n">
        <f aca="false">E886</f>
        <v>-0.75</v>
      </c>
      <c r="K886" s="0" t="n">
        <f aca="false">F886</f>
        <v>-0.75</v>
      </c>
      <c r="L886" s="0" t="n">
        <f aca="false">G886</f>
        <v>0.75</v>
      </c>
      <c r="M886" s="0" t="n">
        <f aca="false">H886</f>
        <v>1</v>
      </c>
      <c r="N886" s="0" t="n">
        <f aca="false">E886*F886</f>
        <v>0.5625</v>
      </c>
      <c r="O886" s="0" t="n">
        <f aca="false">E886*G886</f>
        <v>-0.5625</v>
      </c>
      <c r="P886" s="0" t="n">
        <f aca="false">E886*H886</f>
        <v>-0.75</v>
      </c>
      <c r="Q886" s="0" t="n">
        <f aca="false">F886*G886</f>
        <v>-0.5625</v>
      </c>
      <c r="R886" s="0" t="n">
        <f aca="false">F886*H886</f>
        <v>-0.75</v>
      </c>
      <c r="S886" s="0" t="n">
        <f aca="false">G886*H886</f>
        <v>0.75</v>
      </c>
      <c r="T886" s="0" t="n">
        <f aca="false">E886*E886</f>
        <v>0.5625</v>
      </c>
      <c r="U886" s="0" t="n">
        <f aca="false">F886*F886</f>
        <v>0.5625</v>
      </c>
      <c r="V886" s="0" t="n">
        <f aca="false">G886*G886</f>
        <v>0.5625</v>
      </c>
      <c r="W886" s="0" t="n">
        <f aca="false">H886*H886</f>
        <v>1</v>
      </c>
      <c r="X886" s="0" t="n">
        <f aca="false">SUMPRODUCT(I886:W886,_XtX!$B$96:$P$96)</f>
        <v>43.4082556652047</v>
      </c>
      <c r="Y886" s="0" t="n">
        <f aca="false">SUMPRODUCT(MMULT(I886:W886,_XtX!$B$78:$P$92),I886:W886)</f>
        <v>0.420117473044591</v>
      </c>
      <c r="Z886" s="0" t="n">
        <f aca="false">04_回帰ANOVA!$K$19*04_回帰ANOVA!$K$14*SQRT(1+Y886)</f>
        <v>1.55331854827765</v>
      </c>
      <c r="AA886" s="0" t="n">
        <f aca="false">X886-Z886</f>
        <v>41.8549371169271</v>
      </c>
      <c r="AB886" s="0" t="n">
        <f aca="false">X886+Z886</f>
        <v>44.9615742134824</v>
      </c>
      <c r="AC886" s="54" t="b">
        <f aca="false">AND(E886&gt;=01_因子設定!$L$5-0.000000001,E886&lt;=01_因子設定!$M$5+0.000000001,F886&gt;=01_因子設定!$L$6-0.000000001,F886&lt;=01_因子設定!$M$6+0.000000001,G886&gt;=01_因子設定!$L$7-0.000000001,G886&lt;=01_因子設定!$M$7+0.000000001,H886&gt;=01_因子設定!$L$8-0.000000001,H886&lt;=01_因子設定!$M$8+0.000000001,IF(01_因子設定!$B$20="Box-Behnken",E886^2+F886^2+G886^2+H886^2&lt;=2+0.000000001,TRUE()))</f>
        <v>1</v>
      </c>
      <c r="AD886" s="55" t="n">
        <f aca="false">IF(AC886,IF(01_因子設定!$B$13="最大化",AA886-01_因子設定!$B$14,IF(01_因子設定!$B$13="最小化",01_因子設定!$B$15-AB886,MIN(AA886-01_因子設定!$B$14,01_因子設定!$B$15-AB886))),-1E+030)</f>
        <v>-4.64506288307294</v>
      </c>
      <c r="AE886" s="55" t="n">
        <f aca="false">IF(AC886,IF(01_因子設定!$B$13="最大化",X886,IF(01_因子設定!$B$13="最小化",-X886,-ABS(X886-01_因子設定!$B$16))),-1E+030)</f>
        <v>43.4082556652047</v>
      </c>
      <c r="AF886" s="55" t="n">
        <f aca="false">AD886+ROW()*0.000000001</f>
        <v>-4.64506199707294</v>
      </c>
      <c r="AG886" s="55" t="n">
        <f aca="false">AE886+ROW()*0.000000001</f>
        <v>43.4082565512047</v>
      </c>
    </row>
    <row r="887" customFormat="false" ht="15" hidden="false" customHeight="false" outlineLevel="0" collapsed="false">
      <c r="A887" s="0" t="n">
        <v>1</v>
      </c>
      <c r="B887" s="0" t="n">
        <v>1</v>
      </c>
      <c r="C887" s="0" t="n">
        <v>8</v>
      </c>
      <c r="D887" s="0" t="n">
        <v>0</v>
      </c>
      <c r="E887" s="0" t="n">
        <f aca="false">-1+A887*0.25</f>
        <v>-0.75</v>
      </c>
      <c r="F887" s="0" t="n">
        <f aca="false">-1+B887*0.25</f>
        <v>-0.75</v>
      </c>
      <c r="G887" s="0" t="n">
        <f aca="false">-1+C887*0.25</f>
        <v>1</v>
      </c>
      <c r="H887" s="0" t="n">
        <f aca="false">-1+D887*0.25</f>
        <v>-1</v>
      </c>
      <c r="I887" s="0" t="n">
        <f aca="false">1</f>
        <v>1</v>
      </c>
      <c r="J887" s="0" t="n">
        <f aca="false">E887</f>
        <v>-0.75</v>
      </c>
      <c r="K887" s="0" t="n">
        <f aca="false">F887</f>
        <v>-0.75</v>
      </c>
      <c r="L887" s="0" t="n">
        <f aca="false">G887</f>
        <v>1</v>
      </c>
      <c r="M887" s="0" t="n">
        <f aca="false">H887</f>
        <v>-1</v>
      </c>
      <c r="N887" s="0" t="n">
        <f aca="false">E887*F887</f>
        <v>0.5625</v>
      </c>
      <c r="O887" s="0" t="n">
        <f aca="false">E887*G887</f>
        <v>-0.75</v>
      </c>
      <c r="P887" s="0" t="n">
        <f aca="false">E887*H887</f>
        <v>0.75</v>
      </c>
      <c r="Q887" s="0" t="n">
        <f aca="false">F887*G887</f>
        <v>-0.75</v>
      </c>
      <c r="R887" s="0" t="n">
        <f aca="false">F887*H887</f>
        <v>0.75</v>
      </c>
      <c r="S887" s="0" t="n">
        <f aca="false">G887*H887</f>
        <v>-1</v>
      </c>
      <c r="T887" s="0" t="n">
        <f aca="false">E887*E887</f>
        <v>0.5625</v>
      </c>
      <c r="U887" s="0" t="n">
        <f aca="false">F887*F887</f>
        <v>0.5625</v>
      </c>
      <c r="V887" s="0" t="n">
        <f aca="false">G887*G887</f>
        <v>1</v>
      </c>
      <c r="W887" s="0" t="n">
        <f aca="false">H887*H887</f>
        <v>1</v>
      </c>
      <c r="X887" s="0" t="n">
        <f aca="false">SUMPRODUCT(I887:W887,_XtX!$B$96:$P$96)</f>
        <v>41.9733095760234</v>
      </c>
      <c r="Y887" s="0" t="n">
        <f aca="false">SUMPRODUCT(MMULT(I887:W887,_XtX!$B$78:$P$92),I887:W887)</f>
        <v>0.531311392086988</v>
      </c>
      <c r="Z887" s="0" t="n">
        <f aca="false">04_回帰ANOVA!$K$19*04_回帰ANOVA!$K$14*SQRT(1+Y887)</f>
        <v>1.61298433431428</v>
      </c>
      <c r="AA887" s="0" t="n">
        <f aca="false">X887-Z887</f>
        <v>40.3603252417091</v>
      </c>
      <c r="AB887" s="0" t="n">
        <f aca="false">X887+Z887</f>
        <v>43.5862939103377</v>
      </c>
      <c r="AC887" s="54" t="b">
        <f aca="false">AND(E887&gt;=01_因子設定!$L$5-0.000000001,E887&lt;=01_因子設定!$M$5+0.000000001,F887&gt;=01_因子設定!$L$6-0.000000001,F887&lt;=01_因子設定!$M$6+0.000000001,G887&gt;=01_因子設定!$L$7-0.000000001,G887&lt;=01_因子設定!$M$7+0.000000001,H887&gt;=01_因子設定!$L$8-0.000000001,H887&lt;=01_因子設定!$M$8+0.000000001,IF(01_因子設定!$B$20="Box-Behnken",E887^2+F887^2+G887^2+H887^2&lt;=2+0.000000001,TRUE()))</f>
        <v>1</v>
      </c>
      <c r="AD887" s="55" t="n">
        <f aca="false">IF(AC887,IF(01_因子設定!$B$13="最大化",AA887-01_因子設定!$B$14,IF(01_因子設定!$B$13="最小化",01_因子設定!$B$15-AB887,MIN(AA887-01_因子設定!$B$14,01_因子設定!$B$15-AB887))),-1E+030)</f>
        <v>-6.13967475829087</v>
      </c>
      <c r="AE887" s="55" t="n">
        <f aca="false">IF(AC887,IF(01_因子設定!$B$13="最大化",X887,IF(01_因子設定!$B$13="最小化",-X887,-ABS(X887-01_因子設定!$B$16))),-1E+030)</f>
        <v>41.9733095760234</v>
      </c>
      <c r="AF887" s="55" t="n">
        <f aca="false">AD887+ROW()*0.000000001</f>
        <v>-6.13967387129087</v>
      </c>
      <c r="AG887" s="55" t="n">
        <f aca="false">AE887+ROW()*0.000000001</f>
        <v>41.9733104630234</v>
      </c>
    </row>
    <row r="888" customFormat="false" ht="15" hidden="false" customHeight="false" outlineLevel="0" collapsed="false">
      <c r="A888" s="0" t="n">
        <v>1</v>
      </c>
      <c r="B888" s="0" t="n">
        <v>1</v>
      </c>
      <c r="C888" s="0" t="n">
        <v>8</v>
      </c>
      <c r="D888" s="0" t="n">
        <v>1</v>
      </c>
      <c r="E888" s="0" t="n">
        <f aca="false">-1+A888*0.25</f>
        <v>-0.75</v>
      </c>
      <c r="F888" s="0" t="n">
        <f aca="false">-1+B888*0.25</f>
        <v>-0.75</v>
      </c>
      <c r="G888" s="0" t="n">
        <f aca="false">-1+C888*0.25</f>
        <v>1</v>
      </c>
      <c r="H888" s="0" t="n">
        <f aca="false">-1+D888*0.25</f>
        <v>-0.75</v>
      </c>
      <c r="I888" s="0" t="n">
        <f aca="false">1</f>
        <v>1</v>
      </c>
      <c r="J888" s="0" t="n">
        <f aca="false">E888</f>
        <v>-0.75</v>
      </c>
      <c r="K888" s="0" t="n">
        <f aca="false">F888</f>
        <v>-0.75</v>
      </c>
      <c r="L888" s="0" t="n">
        <f aca="false">G888</f>
        <v>1</v>
      </c>
      <c r="M888" s="0" t="n">
        <f aca="false">H888</f>
        <v>-0.75</v>
      </c>
      <c r="N888" s="0" t="n">
        <f aca="false">E888*F888</f>
        <v>0.5625</v>
      </c>
      <c r="O888" s="0" t="n">
        <f aca="false">E888*G888</f>
        <v>-0.75</v>
      </c>
      <c r="P888" s="0" t="n">
        <f aca="false">E888*H888</f>
        <v>0.5625</v>
      </c>
      <c r="Q888" s="0" t="n">
        <f aca="false">F888*G888</f>
        <v>-0.75</v>
      </c>
      <c r="R888" s="0" t="n">
        <f aca="false">F888*H888</f>
        <v>0.5625</v>
      </c>
      <c r="S888" s="0" t="n">
        <f aca="false">G888*H888</f>
        <v>-0.75</v>
      </c>
      <c r="T888" s="0" t="n">
        <f aca="false">E888*E888</f>
        <v>0.5625</v>
      </c>
      <c r="U888" s="0" t="n">
        <f aca="false">F888*F888</f>
        <v>0.5625</v>
      </c>
      <c r="V888" s="0" t="n">
        <f aca="false">G888*G888</f>
        <v>1</v>
      </c>
      <c r="W888" s="0" t="n">
        <f aca="false">H888*H888</f>
        <v>0.5625</v>
      </c>
      <c r="X888" s="0" t="n">
        <f aca="false">SUMPRODUCT(I888:W888,_XtX!$B$96:$P$96)</f>
        <v>42.3303042763158</v>
      </c>
      <c r="Y888" s="0" t="n">
        <f aca="false">SUMPRODUCT(MMULT(I888:W888,_XtX!$B$78:$P$92),I888:W888)</f>
        <v>0.420117473044591</v>
      </c>
      <c r="Z888" s="0" t="n">
        <f aca="false">04_回帰ANOVA!$K$19*04_回帰ANOVA!$K$14*SQRT(1+Y888)</f>
        <v>1.55331854827765</v>
      </c>
      <c r="AA888" s="0" t="n">
        <f aca="false">X888-Z888</f>
        <v>40.7769857280382</v>
      </c>
      <c r="AB888" s="0" t="n">
        <f aca="false">X888+Z888</f>
        <v>43.8836228245934</v>
      </c>
      <c r="AC888" s="54" t="b">
        <f aca="false">AND(E888&gt;=01_因子設定!$L$5-0.000000001,E888&lt;=01_因子設定!$M$5+0.000000001,F888&gt;=01_因子設定!$L$6-0.000000001,F888&lt;=01_因子設定!$M$6+0.000000001,G888&gt;=01_因子設定!$L$7-0.000000001,G888&lt;=01_因子設定!$M$7+0.000000001,H888&gt;=01_因子設定!$L$8-0.000000001,H888&lt;=01_因子設定!$M$8+0.000000001,IF(01_因子設定!$B$20="Box-Behnken",E888^2+F888^2+G888^2+H888^2&lt;=2+0.000000001,TRUE()))</f>
        <v>1</v>
      </c>
      <c r="AD888" s="55" t="n">
        <f aca="false">IF(AC888,IF(01_因子設定!$B$13="最大化",AA888-01_因子設定!$B$14,IF(01_因子設定!$B$13="最小化",01_因子設定!$B$15-AB888,MIN(AA888-01_因子設定!$B$14,01_因子設定!$B$15-AB888))),-1E+030)</f>
        <v>-5.72301427196184</v>
      </c>
      <c r="AE888" s="55" t="n">
        <f aca="false">IF(AC888,IF(01_因子設定!$B$13="最大化",X888,IF(01_因子設定!$B$13="最小化",-X888,-ABS(X888-01_因子設定!$B$16))),-1E+030)</f>
        <v>42.3303042763158</v>
      </c>
      <c r="AF888" s="55" t="n">
        <f aca="false">AD888+ROW()*0.000000001</f>
        <v>-5.72301338396184</v>
      </c>
      <c r="AG888" s="55" t="n">
        <f aca="false">AE888+ROW()*0.000000001</f>
        <v>42.3303051643158</v>
      </c>
    </row>
    <row r="889" customFormat="false" ht="15" hidden="false" customHeight="false" outlineLevel="0" collapsed="false">
      <c r="A889" s="0" t="n">
        <v>1</v>
      </c>
      <c r="B889" s="0" t="n">
        <v>1</v>
      </c>
      <c r="C889" s="0" t="n">
        <v>8</v>
      </c>
      <c r="D889" s="0" t="n">
        <v>2</v>
      </c>
      <c r="E889" s="0" t="n">
        <f aca="false">-1+A889*0.25</f>
        <v>-0.75</v>
      </c>
      <c r="F889" s="0" t="n">
        <f aca="false">-1+B889*0.25</f>
        <v>-0.75</v>
      </c>
      <c r="G889" s="0" t="n">
        <f aca="false">-1+C889*0.25</f>
        <v>1</v>
      </c>
      <c r="H889" s="0" t="n">
        <f aca="false">-1+D889*0.25</f>
        <v>-0.5</v>
      </c>
      <c r="I889" s="0" t="n">
        <f aca="false">1</f>
        <v>1</v>
      </c>
      <c r="J889" s="0" t="n">
        <f aca="false">E889</f>
        <v>-0.75</v>
      </c>
      <c r="K889" s="0" t="n">
        <f aca="false">F889</f>
        <v>-0.75</v>
      </c>
      <c r="L889" s="0" t="n">
        <f aca="false">G889</f>
        <v>1</v>
      </c>
      <c r="M889" s="0" t="n">
        <f aca="false">H889</f>
        <v>-0.5</v>
      </c>
      <c r="N889" s="0" t="n">
        <f aca="false">E889*F889</f>
        <v>0.5625</v>
      </c>
      <c r="O889" s="0" t="n">
        <f aca="false">E889*G889</f>
        <v>-0.75</v>
      </c>
      <c r="P889" s="0" t="n">
        <f aca="false">E889*H889</f>
        <v>0.375</v>
      </c>
      <c r="Q889" s="0" t="n">
        <f aca="false">F889*G889</f>
        <v>-0.75</v>
      </c>
      <c r="R889" s="0" t="n">
        <f aca="false">F889*H889</f>
        <v>0.375</v>
      </c>
      <c r="S889" s="0" t="n">
        <f aca="false">G889*H889</f>
        <v>-0.5</v>
      </c>
      <c r="T889" s="0" t="n">
        <f aca="false">E889*E889</f>
        <v>0.5625</v>
      </c>
      <c r="U889" s="0" t="n">
        <f aca="false">F889*F889</f>
        <v>0.5625</v>
      </c>
      <c r="V889" s="0" t="n">
        <f aca="false">G889*G889</f>
        <v>1</v>
      </c>
      <c r="W889" s="0" t="n">
        <f aca="false">H889*H889</f>
        <v>0.25</v>
      </c>
      <c r="X889" s="0" t="n">
        <f aca="false">SUMPRODUCT(I889:W889,_XtX!$B$96:$P$96)</f>
        <v>42.6394919590643</v>
      </c>
      <c r="Y889" s="0" t="n">
        <f aca="false">SUMPRODUCT(MMULT(I889:W889,_XtX!$B$78:$P$92),I889:W889)</f>
        <v>0.431153771472953</v>
      </c>
      <c r="Z889" s="0" t="n">
        <f aca="false">04_回帰ANOVA!$K$19*04_回帰ANOVA!$K$14*SQRT(1+Y889)</f>
        <v>1.55934259562563</v>
      </c>
      <c r="AA889" s="0" t="n">
        <f aca="false">X889-Z889</f>
        <v>41.0801493634387</v>
      </c>
      <c r="AB889" s="0" t="n">
        <f aca="false">X889+Z889</f>
        <v>44.19883455469</v>
      </c>
      <c r="AC889" s="54" t="b">
        <f aca="false">AND(E889&gt;=01_因子設定!$L$5-0.000000001,E889&lt;=01_因子設定!$M$5+0.000000001,F889&gt;=01_因子設定!$L$6-0.000000001,F889&lt;=01_因子設定!$M$6+0.000000001,G889&gt;=01_因子設定!$L$7-0.000000001,G889&lt;=01_因子設定!$M$7+0.000000001,H889&gt;=01_因子設定!$L$8-0.000000001,H889&lt;=01_因子設定!$M$8+0.000000001,IF(01_因子設定!$B$20="Box-Behnken",E889^2+F889^2+G889^2+H889^2&lt;=2+0.000000001,TRUE()))</f>
        <v>1</v>
      </c>
      <c r="AD889" s="55" t="n">
        <f aca="false">IF(AC889,IF(01_因子設定!$B$13="最大化",AA889-01_因子設定!$B$14,IF(01_因子設定!$B$13="最小化",01_因子設定!$B$15-AB889,MIN(AA889-01_因子設定!$B$14,01_因子設定!$B$15-AB889))),-1E+030)</f>
        <v>-5.4198506365613</v>
      </c>
      <c r="AE889" s="55" t="n">
        <f aca="false">IF(AC889,IF(01_因子設定!$B$13="最大化",X889,IF(01_因子設定!$B$13="最小化",-X889,-ABS(X889-01_因子設定!$B$16))),-1E+030)</f>
        <v>42.6394919590643</v>
      </c>
      <c r="AF889" s="55" t="n">
        <f aca="false">AD889+ROW()*0.000000001</f>
        <v>-5.4198497475613</v>
      </c>
      <c r="AG889" s="55" t="n">
        <f aca="false">AE889+ROW()*0.000000001</f>
        <v>42.6394928480643</v>
      </c>
    </row>
    <row r="890" customFormat="false" ht="15" hidden="false" customHeight="false" outlineLevel="0" collapsed="false">
      <c r="A890" s="0" t="n">
        <v>1</v>
      </c>
      <c r="B890" s="0" t="n">
        <v>1</v>
      </c>
      <c r="C890" s="0" t="n">
        <v>8</v>
      </c>
      <c r="D890" s="0" t="n">
        <v>3</v>
      </c>
      <c r="E890" s="0" t="n">
        <f aca="false">-1+A890*0.25</f>
        <v>-0.75</v>
      </c>
      <c r="F890" s="0" t="n">
        <f aca="false">-1+B890*0.25</f>
        <v>-0.75</v>
      </c>
      <c r="G890" s="0" t="n">
        <f aca="false">-1+C890*0.25</f>
        <v>1</v>
      </c>
      <c r="H890" s="0" t="n">
        <f aca="false">-1+D890*0.25</f>
        <v>-0.25</v>
      </c>
      <c r="I890" s="0" t="n">
        <f aca="false">1</f>
        <v>1</v>
      </c>
      <c r="J890" s="0" t="n">
        <f aca="false">E890</f>
        <v>-0.75</v>
      </c>
      <c r="K890" s="0" t="n">
        <f aca="false">F890</f>
        <v>-0.75</v>
      </c>
      <c r="L890" s="0" t="n">
        <f aca="false">G890</f>
        <v>1</v>
      </c>
      <c r="M890" s="0" t="n">
        <f aca="false">H890</f>
        <v>-0.25</v>
      </c>
      <c r="N890" s="0" t="n">
        <f aca="false">E890*F890</f>
        <v>0.5625</v>
      </c>
      <c r="O890" s="0" t="n">
        <f aca="false">E890*G890</f>
        <v>-0.75</v>
      </c>
      <c r="P890" s="0" t="n">
        <f aca="false">E890*H890</f>
        <v>0.1875</v>
      </c>
      <c r="Q890" s="0" t="n">
        <f aca="false">F890*G890</f>
        <v>-0.75</v>
      </c>
      <c r="R890" s="0" t="n">
        <f aca="false">F890*H890</f>
        <v>0.1875</v>
      </c>
      <c r="S890" s="0" t="n">
        <f aca="false">G890*H890</f>
        <v>-0.25</v>
      </c>
      <c r="T890" s="0" t="n">
        <f aca="false">E890*E890</f>
        <v>0.5625</v>
      </c>
      <c r="U890" s="0" t="n">
        <f aca="false">F890*F890</f>
        <v>0.5625</v>
      </c>
      <c r="V890" s="0" t="n">
        <f aca="false">G890*G890</f>
        <v>1</v>
      </c>
      <c r="W890" s="0" t="n">
        <f aca="false">H890*H890</f>
        <v>0.0625</v>
      </c>
      <c r="X890" s="0" t="n">
        <f aca="false">SUMPRODUCT(I890:W890,_XtX!$B$96:$P$96)</f>
        <v>42.900872624269</v>
      </c>
      <c r="Y890" s="0" t="n">
        <f aca="false">SUMPRODUCT(MMULT(I890:W890,_XtX!$B$78:$P$92),I890:W890)</f>
        <v>0.473959761056287</v>
      </c>
      <c r="Z890" s="0" t="n">
        <f aca="false">04_回帰ANOVA!$K$19*04_回帰ANOVA!$K$14*SQRT(1+Y890)</f>
        <v>1.58249084588329</v>
      </c>
      <c r="AA890" s="0" t="n">
        <f aca="false">X890-Z890</f>
        <v>41.3183817783857</v>
      </c>
      <c r="AB890" s="0" t="n">
        <f aca="false">X890+Z890</f>
        <v>44.4833634701523</v>
      </c>
      <c r="AC890" s="54" t="b">
        <f aca="false">AND(E890&gt;=01_因子設定!$L$5-0.000000001,E890&lt;=01_因子設定!$M$5+0.000000001,F890&gt;=01_因子設定!$L$6-0.000000001,F890&lt;=01_因子設定!$M$6+0.000000001,G890&gt;=01_因子設定!$L$7-0.000000001,G890&lt;=01_因子設定!$M$7+0.000000001,H890&gt;=01_因子設定!$L$8-0.000000001,H890&lt;=01_因子設定!$M$8+0.000000001,IF(01_因子設定!$B$20="Box-Behnken",E890^2+F890^2+G890^2+H890^2&lt;=2+0.000000001,TRUE()))</f>
        <v>1</v>
      </c>
      <c r="AD890" s="55" t="n">
        <f aca="false">IF(AC890,IF(01_因子設定!$B$13="最大化",AA890-01_因子設定!$B$14,IF(01_因子設定!$B$13="最小化",01_因子設定!$B$15-AB890,MIN(AA890-01_因子設定!$B$14,01_因子設定!$B$15-AB890))),-1E+030)</f>
        <v>-5.18161822161429</v>
      </c>
      <c r="AE890" s="55" t="n">
        <f aca="false">IF(AC890,IF(01_因子設定!$B$13="最大化",X890,IF(01_因子設定!$B$13="最小化",-X890,-ABS(X890-01_因子設定!$B$16))),-1E+030)</f>
        <v>42.900872624269</v>
      </c>
      <c r="AF890" s="55" t="n">
        <f aca="false">AD890+ROW()*0.000000001</f>
        <v>-5.18161733161429</v>
      </c>
      <c r="AG890" s="55" t="n">
        <f aca="false">AE890+ROW()*0.000000001</f>
        <v>42.900873514269</v>
      </c>
    </row>
    <row r="891" customFormat="false" ht="15" hidden="false" customHeight="false" outlineLevel="0" collapsed="false">
      <c r="A891" s="0" t="n">
        <v>1</v>
      </c>
      <c r="B891" s="0" t="n">
        <v>1</v>
      </c>
      <c r="C891" s="0" t="n">
        <v>8</v>
      </c>
      <c r="D891" s="0" t="n">
        <v>4</v>
      </c>
      <c r="E891" s="0" t="n">
        <f aca="false">-1+A891*0.25</f>
        <v>-0.75</v>
      </c>
      <c r="F891" s="0" t="n">
        <f aca="false">-1+B891*0.25</f>
        <v>-0.75</v>
      </c>
      <c r="G891" s="0" t="n">
        <f aca="false">-1+C891*0.25</f>
        <v>1</v>
      </c>
      <c r="H891" s="0" t="n">
        <f aca="false">-1+D891*0.25</f>
        <v>0</v>
      </c>
      <c r="I891" s="0" t="n">
        <f aca="false">1</f>
        <v>1</v>
      </c>
      <c r="J891" s="0" t="n">
        <f aca="false">E891</f>
        <v>-0.75</v>
      </c>
      <c r="K891" s="0" t="n">
        <f aca="false">F891</f>
        <v>-0.75</v>
      </c>
      <c r="L891" s="0" t="n">
        <f aca="false">G891</f>
        <v>1</v>
      </c>
      <c r="M891" s="0" t="n">
        <f aca="false">H891</f>
        <v>0</v>
      </c>
      <c r="N891" s="0" t="n">
        <f aca="false">E891*F891</f>
        <v>0.5625</v>
      </c>
      <c r="O891" s="0" t="n">
        <f aca="false">E891*G891</f>
        <v>-0.75</v>
      </c>
      <c r="P891" s="0" t="n">
        <f aca="false">E891*H891</f>
        <v>-0</v>
      </c>
      <c r="Q891" s="0" t="n">
        <f aca="false">F891*G891</f>
        <v>-0.75</v>
      </c>
      <c r="R891" s="0" t="n">
        <f aca="false">F891*H891</f>
        <v>-0</v>
      </c>
      <c r="S891" s="0" t="n">
        <f aca="false">G891*H891</f>
        <v>0</v>
      </c>
      <c r="T891" s="0" t="n">
        <f aca="false">E891*E891</f>
        <v>0.5625</v>
      </c>
      <c r="U891" s="0" t="n">
        <f aca="false">F891*F891</f>
        <v>0.5625</v>
      </c>
      <c r="V891" s="0" t="n">
        <f aca="false">G891*G891</f>
        <v>1</v>
      </c>
      <c r="W891" s="0" t="n">
        <f aca="false">H891*H891</f>
        <v>0</v>
      </c>
      <c r="X891" s="0" t="n">
        <f aca="false">SUMPRODUCT(I891:W891,_XtX!$B$96:$P$96)</f>
        <v>43.1144462719298</v>
      </c>
      <c r="Y891" s="0" t="n">
        <f aca="false">SUMPRODUCT(MMULT(I891:W891,_XtX!$B$78:$P$92),I891:W891)</f>
        <v>0.494259126005117</v>
      </c>
      <c r="Z891" s="0" t="n">
        <f aca="false">04_回帰ANOVA!$K$19*04_回帰ANOVA!$K$14*SQRT(1+Y891)</f>
        <v>1.59335061078203</v>
      </c>
      <c r="AA891" s="0" t="n">
        <f aca="false">X891-Z891</f>
        <v>41.5210956611478</v>
      </c>
      <c r="AB891" s="0" t="n">
        <f aca="false">X891+Z891</f>
        <v>44.7077968827118</v>
      </c>
      <c r="AC891" s="54" t="b">
        <f aca="false">AND(E891&gt;=01_因子設定!$L$5-0.000000001,E891&lt;=01_因子設定!$M$5+0.000000001,F891&gt;=01_因子設定!$L$6-0.000000001,F891&lt;=01_因子設定!$M$6+0.000000001,G891&gt;=01_因子設定!$L$7-0.000000001,G891&lt;=01_因子設定!$M$7+0.000000001,H891&gt;=01_因子設定!$L$8-0.000000001,H891&lt;=01_因子設定!$M$8+0.000000001,IF(01_因子設定!$B$20="Box-Behnken",E891^2+F891^2+G891^2+H891^2&lt;=2+0.000000001,TRUE()))</f>
        <v>1</v>
      </c>
      <c r="AD891" s="55" t="n">
        <f aca="false">IF(AC891,IF(01_因子設定!$B$13="最大化",AA891-01_因子設定!$B$14,IF(01_因子設定!$B$13="最小化",01_因子設定!$B$15-AB891,MIN(AA891-01_因子設定!$B$14,01_因子設定!$B$15-AB891))),-1E+030)</f>
        <v>-4.97890433885221</v>
      </c>
      <c r="AE891" s="55" t="n">
        <f aca="false">IF(AC891,IF(01_因子設定!$B$13="最大化",X891,IF(01_因子設定!$B$13="最小化",-X891,-ABS(X891-01_因子設定!$B$16))),-1E+030)</f>
        <v>43.1144462719298</v>
      </c>
      <c r="AF891" s="55" t="n">
        <f aca="false">AD891+ROW()*0.000000001</f>
        <v>-4.97890344785221</v>
      </c>
      <c r="AG891" s="55" t="n">
        <f aca="false">AE891+ROW()*0.000000001</f>
        <v>43.1144471629298</v>
      </c>
    </row>
    <row r="892" customFormat="false" ht="15" hidden="false" customHeight="false" outlineLevel="0" collapsed="false">
      <c r="A892" s="0" t="n">
        <v>1</v>
      </c>
      <c r="B892" s="0" t="n">
        <v>1</v>
      </c>
      <c r="C892" s="0" t="n">
        <v>8</v>
      </c>
      <c r="D892" s="0" t="n">
        <v>5</v>
      </c>
      <c r="E892" s="0" t="n">
        <f aca="false">-1+A892*0.25</f>
        <v>-0.75</v>
      </c>
      <c r="F892" s="0" t="n">
        <f aca="false">-1+B892*0.25</f>
        <v>-0.75</v>
      </c>
      <c r="G892" s="0" t="n">
        <f aca="false">-1+C892*0.25</f>
        <v>1</v>
      </c>
      <c r="H892" s="0" t="n">
        <f aca="false">-1+D892*0.25</f>
        <v>0.25</v>
      </c>
      <c r="I892" s="0" t="n">
        <f aca="false">1</f>
        <v>1</v>
      </c>
      <c r="J892" s="0" t="n">
        <f aca="false">E892</f>
        <v>-0.75</v>
      </c>
      <c r="K892" s="0" t="n">
        <f aca="false">F892</f>
        <v>-0.75</v>
      </c>
      <c r="L892" s="0" t="n">
        <f aca="false">G892</f>
        <v>1</v>
      </c>
      <c r="M892" s="0" t="n">
        <f aca="false">H892</f>
        <v>0.25</v>
      </c>
      <c r="N892" s="0" t="n">
        <f aca="false">E892*F892</f>
        <v>0.5625</v>
      </c>
      <c r="O892" s="0" t="n">
        <f aca="false">E892*G892</f>
        <v>-0.75</v>
      </c>
      <c r="P892" s="0" t="n">
        <f aca="false">E892*H892</f>
        <v>-0.1875</v>
      </c>
      <c r="Q892" s="0" t="n">
        <f aca="false">F892*G892</f>
        <v>-0.75</v>
      </c>
      <c r="R892" s="0" t="n">
        <f aca="false">F892*H892</f>
        <v>-0.1875</v>
      </c>
      <c r="S892" s="0" t="n">
        <f aca="false">G892*H892</f>
        <v>0.25</v>
      </c>
      <c r="T892" s="0" t="n">
        <f aca="false">E892*E892</f>
        <v>0.5625</v>
      </c>
      <c r="U892" s="0" t="n">
        <f aca="false">F892*F892</f>
        <v>0.5625</v>
      </c>
      <c r="V892" s="0" t="n">
        <f aca="false">G892*G892</f>
        <v>1</v>
      </c>
      <c r="W892" s="0" t="n">
        <f aca="false">H892*H892</f>
        <v>0.0625</v>
      </c>
      <c r="X892" s="0" t="n">
        <f aca="false">SUMPRODUCT(I892:W892,_XtX!$B$96:$P$96)</f>
        <v>43.2802129020468</v>
      </c>
      <c r="Y892" s="0" t="n">
        <f aca="false">SUMPRODUCT(MMULT(I892:W892,_XtX!$B$78:$P$92),I892:W892)</f>
        <v>0.473959761056287</v>
      </c>
      <c r="Z892" s="0" t="n">
        <f aca="false">04_回帰ANOVA!$K$19*04_回帰ANOVA!$K$14*SQRT(1+Y892)</f>
        <v>1.58249084588329</v>
      </c>
      <c r="AA892" s="0" t="n">
        <f aca="false">X892-Z892</f>
        <v>41.6977220561635</v>
      </c>
      <c r="AB892" s="0" t="n">
        <f aca="false">X892+Z892</f>
        <v>44.8627037479301</v>
      </c>
      <c r="AC892" s="54" t="b">
        <f aca="false">AND(E892&gt;=01_因子設定!$L$5-0.000000001,E892&lt;=01_因子設定!$M$5+0.000000001,F892&gt;=01_因子設定!$L$6-0.000000001,F892&lt;=01_因子設定!$M$6+0.000000001,G892&gt;=01_因子設定!$L$7-0.000000001,G892&lt;=01_因子設定!$M$7+0.000000001,H892&gt;=01_因子設定!$L$8-0.000000001,H892&lt;=01_因子設定!$M$8+0.000000001,IF(01_因子設定!$B$20="Box-Behnken",E892^2+F892^2+G892^2+H892^2&lt;=2+0.000000001,TRUE()))</f>
        <v>1</v>
      </c>
      <c r="AD892" s="55" t="n">
        <f aca="false">IF(AC892,IF(01_因子設定!$B$13="最大化",AA892-01_因子設定!$B$14,IF(01_因子設定!$B$13="最小化",01_因子設定!$B$15-AB892,MIN(AA892-01_因子設定!$B$14,01_因子設定!$B$15-AB892))),-1E+030)</f>
        <v>-4.80227794383651</v>
      </c>
      <c r="AE892" s="55" t="n">
        <f aca="false">IF(AC892,IF(01_因子設定!$B$13="最大化",X892,IF(01_因子設定!$B$13="最小化",-X892,-ABS(X892-01_因子設定!$B$16))),-1E+030)</f>
        <v>43.2802129020468</v>
      </c>
      <c r="AF892" s="55" t="n">
        <f aca="false">AD892+ROW()*0.000000001</f>
        <v>-4.80227705183651</v>
      </c>
      <c r="AG892" s="55" t="n">
        <f aca="false">AE892+ROW()*0.000000001</f>
        <v>43.2802137940468</v>
      </c>
    </row>
    <row r="893" customFormat="false" ht="15" hidden="false" customHeight="false" outlineLevel="0" collapsed="false">
      <c r="A893" s="0" t="n">
        <v>1</v>
      </c>
      <c r="B893" s="0" t="n">
        <v>1</v>
      </c>
      <c r="C893" s="0" t="n">
        <v>8</v>
      </c>
      <c r="D893" s="0" t="n">
        <v>6</v>
      </c>
      <c r="E893" s="0" t="n">
        <f aca="false">-1+A893*0.25</f>
        <v>-0.75</v>
      </c>
      <c r="F893" s="0" t="n">
        <f aca="false">-1+B893*0.25</f>
        <v>-0.75</v>
      </c>
      <c r="G893" s="0" t="n">
        <f aca="false">-1+C893*0.25</f>
        <v>1</v>
      </c>
      <c r="H893" s="0" t="n">
        <f aca="false">-1+D893*0.25</f>
        <v>0.5</v>
      </c>
      <c r="I893" s="0" t="n">
        <f aca="false">1</f>
        <v>1</v>
      </c>
      <c r="J893" s="0" t="n">
        <f aca="false">E893</f>
        <v>-0.75</v>
      </c>
      <c r="K893" s="0" t="n">
        <f aca="false">F893</f>
        <v>-0.75</v>
      </c>
      <c r="L893" s="0" t="n">
        <f aca="false">G893</f>
        <v>1</v>
      </c>
      <c r="M893" s="0" t="n">
        <f aca="false">H893</f>
        <v>0.5</v>
      </c>
      <c r="N893" s="0" t="n">
        <f aca="false">E893*F893</f>
        <v>0.5625</v>
      </c>
      <c r="O893" s="0" t="n">
        <f aca="false">E893*G893</f>
        <v>-0.75</v>
      </c>
      <c r="P893" s="0" t="n">
        <f aca="false">E893*H893</f>
        <v>-0.375</v>
      </c>
      <c r="Q893" s="0" t="n">
        <f aca="false">F893*G893</f>
        <v>-0.75</v>
      </c>
      <c r="R893" s="0" t="n">
        <f aca="false">F893*H893</f>
        <v>-0.375</v>
      </c>
      <c r="S893" s="0" t="n">
        <f aca="false">G893*H893</f>
        <v>0.5</v>
      </c>
      <c r="T893" s="0" t="n">
        <f aca="false">E893*E893</f>
        <v>0.5625</v>
      </c>
      <c r="U893" s="0" t="n">
        <f aca="false">F893*F893</f>
        <v>0.5625</v>
      </c>
      <c r="V893" s="0" t="n">
        <f aca="false">G893*G893</f>
        <v>1</v>
      </c>
      <c r="W893" s="0" t="n">
        <f aca="false">H893*H893</f>
        <v>0.25</v>
      </c>
      <c r="X893" s="0" t="n">
        <f aca="false">SUMPRODUCT(I893:W893,_XtX!$B$96:$P$96)</f>
        <v>43.3981725146199</v>
      </c>
      <c r="Y893" s="0" t="n">
        <f aca="false">SUMPRODUCT(MMULT(I893:W893,_XtX!$B$78:$P$92),I893:W893)</f>
        <v>0.431153771472953</v>
      </c>
      <c r="Z893" s="0" t="n">
        <f aca="false">04_回帰ANOVA!$K$19*04_回帰ANOVA!$K$14*SQRT(1+Y893)</f>
        <v>1.55934259562563</v>
      </c>
      <c r="AA893" s="0" t="n">
        <f aca="false">X893-Z893</f>
        <v>41.8388299189943</v>
      </c>
      <c r="AB893" s="0" t="n">
        <f aca="false">X893+Z893</f>
        <v>44.9575151102455</v>
      </c>
      <c r="AC893" s="54" t="b">
        <f aca="false">AND(E893&gt;=01_因子設定!$L$5-0.000000001,E893&lt;=01_因子設定!$M$5+0.000000001,F893&gt;=01_因子設定!$L$6-0.000000001,F893&lt;=01_因子設定!$M$6+0.000000001,G893&gt;=01_因子設定!$L$7-0.000000001,G893&lt;=01_因子設定!$M$7+0.000000001,H893&gt;=01_因子設定!$L$8-0.000000001,H893&lt;=01_因子設定!$M$8+0.000000001,IF(01_因子設定!$B$20="Box-Behnken",E893^2+F893^2+G893^2+H893^2&lt;=2+0.000000001,TRUE()))</f>
        <v>1</v>
      </c>
      <c r="AD893" s="55" t="n">
        <f aca="false">IF(AC893,IF(01_因子設定!$B$13="最大化",AA893-01_因子設定!$B$14,IF(01_因子設定!$B$13="最小化",01_因子設定!$B$15-AB893,MIN(AA893-01_因子設定!$B$14,01_因子設定!$B$15-AB893))),-1E+030)</f>
        <v>-4.66117008100575</v>
      </c>
      <c r="AE893" s="55" t="n">
        <f aca="false">IF(AC893,IF(01_因子設定!$B$13="最大化",X893,IF(01_因子設定!$B$13="最小化",-X893,-ABS(X893-01_因子設定!$B$16))),-1E+030)</f>
        <v>43.3981725146199</v>
      </c>
      <c r="AF893" s="55" t="n">
        <f aca="false">AD893+ROW()*0.000000001</f>
        <v>-4.66116918800575</v>
      </c>
      <c r="AG893" s="55" t="n">
        <f aca="false">AE893+ROW()*0.000000001</f>
        <v>43.3981734076199</v>
      </c>
    </row>
    <row r="894" customFormat="false" ht="15" hidden="false" customHeight="false" outlineLevel="0" collapsed="false">
      <c r="A894" s="0" t="n">
        <v>1</v>
      </c>
      <c r="B894" s="0" t="n">
        <v>1</v>
      </c>
      <c r="C894" s="0" t="n">
        <v>8</v>
      </c>
      <c r="D894" s="0" t="n">
        <v>7</v>
      </c>
      <c r="E894" s="0" t="n">
        <f aca="false">-1+A894*0.25</f>
        <v>-0.75</v>
      </c>
      <c r="F894" s="0" t="n">
        <f aca="false">-1+B894*0.25</f>
        <v>-0.75</v>
      </c>
      <c r="G894" s="0" t="n">
        <f aca="false">-1+C894*0.25</f>
        <v>1</v>
      </c>
      <c r="H894" s="0" t="n">
        <f aca="false">-1+D894*0.25</f>
        <v>0.75</v>
      </c>
      <c r="I894" s="0" t="n">
        <f aca="false">1</f>
        <v>1</v>
      </c>
      <c r="J894" s="0" t="n">
        <f aca="false">E894</f>
        <v>-0.75</v>
      </c>
      <c r="K894" s="0" t="n">
        <f aca="false">F894</f>
        <v>-0.75</v>
      </c>
      <c r="L894" s="0" t="n">
        <f aca="false">G894</f>
        <v>1</v>
      </c>
      <c r="M894" s="0" t="n">
        <f aca="false">H894</f>
        <v>0.75</v>
      </c>
      <c r="N894" s="0" t="n">
        <f aca="false">E894*F894</f>
        <v>0.5625</v>
      </c>
      <c r="O894" s="0" t="n">
        <f aca="false">E894*G894</f>
        <v>-0.75</v>
      </c>
      <c r="P894" s="0" t="n">
        <f aca="false">E894*H894</f>
        <v>-0.5625</v>
      </c>
      <c r="Q894" s="0" t="n">
        <f aca="false">F894*G894</f>
        <v>-0.75</v>
      </c>
      <c r="R894" s="0" t="n">
        <f aca="false">F894*H894</f>
        <v>-0.5625</v>
      </c>
      <c r="S894" s="0" t="n">
        <f aca="false">G894*H894</f>
        <v>0.75</v>
      </c>
      <c r="T894" s="0" t="n">
        <f aca="false">E894*E894</f>
        <v>0.5625</v>
      </c>
      <c r="U894" s="0" t="n">
        <f aca="false">F894*F894</f>
        <v>0.5625</v>
      </c>
      <c r="V894" s="0" t="n">
        <f aca="false">G894*G894</f>
        <v>1</v>
      </c>
      <c r="W894" s="0" t="n">
        <f aca="false">H894*H894</f>
        <v>0.5625</v>
      </c>
      <c r="X894" s="0" t="n">
        <f aca="false">SUMPRODUCT(I894:W894,_XtX!$B$96:$P$96)</f>
        <v>43.4683251096491</v>
      </c>
      <c r="Y894" s="0" t="n">
        <f aca="false">SUMPRODUCT(MMULT(I894:W894,_XtX!$B$78:$P$92),I894:W894)</f>
        <v>0.420117473044591</v>
      </c>
      <c r="Z894" s="0" t="n">
        <f aca="false">04_回帰ANOVA!$K$19*04_回帰ANOVA!$K$14*SQRT(1+Y894)</f>
        <v>1.55331854827765</v>
      </c>
      <c r="AA894" s="0" t="n">
        <f aca="false">X894-Z894</f>
        <v>41.9150065613715</v>
      </c>
      <c r="AB894" s="0" t="n">
        <f aca="false">X894+Z894</f>
        <v>45.0216436579268</v>
      </c>
      <c r="AC894" s="54" t="b">
        <f aca="false">AND(E894&gt;=01_因子設定!$L$5-0.000000001,E894&lt;=01_因子設定!$M$5+0.000000001,F894&gt;=01_因子設定!$L$6-0.000000001,F894&lt;=01_因子設定!$M$6+0.000000001,G894&gt;=01_因子設定!$L$7-0.000000001,G894&lt;=01_因子設定!$M$7+0.000000001,H894&gt;=01_因子設定!$L$8-0.000000001,H894&lt;=01_因子設定!$M$8+0.000000001,IF(01_因子設定!$B$20="Box-Behnken",E894^2+F894^2+G894^2+H894^2&lt;=2+0.000000001,TRUE()))</f>
        <v>1</v>
      </c>
      <c r="AD894" s="55" t="n">
        <f aca="false">IF(AC894,IF(01_因子設定!$B$13="最大化",AA894-01_因子設定!$B$14,IF(01_因子設定!$B$13="最小化",01_因子設定!$B$15-AB894,MIN(AA894-01_因子設定!$B$14,01_因子設定!$B$15-AB894))),-1E+030)</f>
        <v>-4.58499343862851</v>
      </c>
      <c r="AE894" s="55" t="n">
        <f aca="false">IF(AC894,IF(01_因子設定!$B$13="最大化",X894,IF(01_因子設定!$B$13="最小化",-X894,-ABS(X894-01_因子設定!$B$16))),-1E+030)</f>
        <v>43.4683251096491</v>
      </c>
      <c r="AF894" s="55" t="n">
        <f aca="false">AD894+ROW()*0.000000001</f>
        <v>-4.58499254462851</v>
      </c>
      <c r="AG894" s="55" t="n">
        <f aca="false">AE894+ROW()*0.000000001</f>
        <v>43.4683260036491</v>
      </c>
    </row>
    <row r="895" customFormat="false" ht="15" hidden="false" customHeight="false" outlineLevel="0" collapsed="false">
      <c r="A895" s="0" t="n">
        <v>1</v>
      </c>
      <c r="B895" s="0" t="n">
        <v>1</v>
      </c>
      <c r="C895" s="0" t="n">
        <v>8</v>
      </c>
      <c r="D895" s="0" t="n">
        <v>8</v>
      </c>
      <c r="E895" s="0" t="n">
        <f aca="false">-1+A895*0.25</f>
        <v>-0.75</v>
      </c>
      <c r="F895" s="0" t="n">
        <f aca="false">-1+B895*0.25</f>
        <v>-0.75</v>
      </c>
      <c r="G895" s="0" t="n">
        <f aca="false">-1+C895*0.25</f>
        <v>1</v>
      </c>
      <c r="H895" s="0" t="n">
        <f aca="false">-1+D895*0.25</f>
        <v>1</v>
      </c>
      <c r="I895" s="0" t="n">
        <f aca="false">1</f>
        <v>1</v>
      </c>
      <c r="J895" s="0" t="n">
        <f aca="false">E895</f>
        <v>-0.75</v>
      </c>
      <c r="K895" s="0" t="n">
        <f aca="false">F895</f>
        <v>-0.75</v>
      </c>
      <c r="L895" s="0" t="n">
        <f aca="false">G895</f>
        <v>1</v>
      </c>
      <c r="M895" s="0" t="n">
        <f aca="false">H895</f>
        <v>1</v>
      </c>
      <c r="N895" s="0" t="n">
        <f aca="false">E895*F895</f>
        <v>0.5625</v>
      </c>
      <c r="O895" s="0" t="n">
        <f aca="false">E895*G895</f>
        <v>-0.75</v>
      </c>
      <c r="P895" s="0" t="n">
        <f aca="false">E895*H895</f>
        <v>-0.75</v>
      </c>
      <c r="Q895" s="0" t="n">
        <f aca="false">F895*G895</f>
        <v>-0.75</v>
      </c>
      <c r="R895" s="0" t="n">
        <f aca="false">F895*H895</f>
        <v>-0.75</v>
      </c>
      <c r="S895" s="0" t="n">
        <f aca="false">G895*H895</f>
        <v>1</v>
      </c>
      <c r="T895" s="0" t="n">
        <f aca="false">E895*E895</f>
        <v>0.5625</v>
      </c>
      <c r="U895" s="0" t="n">
        <f aca="false">F895*F895</f>
        <v>0.5625</v>
      </c>
      <c r="V895" s="0" t="n">
        <f aca="false">G895*G895</f>
        <v>1</v>
      </c>
      <c r="W895" s="0" t="n">
        <f aca="false">H895*H895</f>
        <v>1</v>
      </c>
      <c r="X895" s="0" t="n">
        <f aca="false">SUMPRODUCT(I895:W895,_XtX!$B$96:$P$96)</f>
        <v>43.4906706871345</v>
      </c>
      <c r="Y895" s="0" t="n">
        <f aca="false">SUMPRODUCT(MMULT(I895:W895,_XtX!$B$78:$P$92),I895:W895)</f>
        <v>0.531311392086988</v>
      </c>
      <c r="Z895" s="0" t="n">
        <f aca="false">04_回帰ANOVA!$K$19*04_回帰ANOVA!$K$14*SQRT(1+Y895)</f>
        <v>1.61298433431428</v>
      </c>
      <c r="AA895" s="0" t="n">
        <f aca="false">X895-Z895</f>
        <v>41.8776863528203</v>
      </c>
      <c r="AB895" s="0" t="n">
        <f aca="false">X895+Z895</f>
        <v>45.1036550214488</v>
      </c>
      <c r="AC895" s="54" t="b">
        <f aca="false">AND(E895&gt;=01_因子設定!$L$5-0.000000001,E895&lt;=01_因子設定!$M$5+0.000000001,F895&gt;=01_因子設定!$L$6-0.000000001,F895&lt;=01_因子設定!$M$6+0.000000001,G895&gt;=01_因子設定!$L$7-0.000000001,G895&lt;=01_因子設定!$M$7+0.000000001,H895&gt;=01_因子設定!$L$8-0.000000001,H895&lt;=01_因子設定!$M$8+0.000000001,IF(01_因子設定!$B$20="Box-Behnken",E895^2+F895^2+G895^2+H895^2&lt;=2+0.000000001,TRUE()))</f>
        <v>1</v>
      </c>
      <c r="AD895" s="55" t="n">
        <f aca="false">IF(AC895,IF(01_因子設定!$B$13="最大化",AA895-01_因子設定!$B$14,IF(01_因子設定!$B$13="最小化",01_因子設定!$B$15-AB895,MIN(AA895-01_因子設定!$B$14,01_因子設定!$B$15-AB895))),-1E+030)</f>
        <v>-4.62231364717975</v>
      </c>
      <c r="AE895" s="55" t="n">
        <f aca="false">IF(AC895,IF(01_因子設定!$B$13="最大化",X895,IF(01_因子設定!$B$13="最小化",-X895,-ABS(X895-01_因子設定!$B$16))),-1E+030)</f>
        <v>43.4906706871345</v>
      </c>
      <c r="AF895" s="55" t="n">
        <f aca="false">AD895+ROW()*0.000000001</f>
        <v>-4.62231275217975</v>
      </c>
      <c r="AG895" s="55" t="n">
        <f aca="false">AE895+ROW()*0.000000001</f>
        <v>43.4906715821345</v>
      </c>
    </row>
    <row r="896" customFormat="false" ht="15" hidden="false" customHeight="false" outlineLevel="0" collapsed="false">
      <c r="A896" s="0" t="n">
        <v>1</v>
      </c>
      <c r="B896" s="0" t="n">
        <v>2</v>
      </c>
      <c r="C896" s="0" t="n">
        <v>0</v>
      </c>
      <c r="D896" s="0" t="n">
        <v>0</v>
      </c>
      <c r="E896" s="0" t="n">
        <f aca="false">-1+A896*0.25</f>
        <v>-0.75</v>
      </c>
      <c r="F896" s="0" t="n">
        <f aca="false">-1+B896*0.25</f>
        <v>-0.5</v>
      </c>
      <c r="G896" s="0" t="n">
        <f aca="false">-1+C896*0.25</f>
        <v>-1</v>
      </c>
      <c r="H896" s="0" t="n">
        <f aca="false">-1+D896*0.25</f>
        <v>-1</v>
      </c>
      <c r="I896" s="0" t="n">
        <f aca="false">1</f>
        <v>1</v>
      </c>
      <c r="J896" s="0" t="n">
        <f aca="false">E896</f>
        <v>-0.75</v>
      </c>
      <c r="K896" s="0" t="n">
        <f aca="false">F896</f>
        <v>-0.5</v>
      </c>
      <c r="L896" s="0" t="n">
        <f aca="false">G896</f>
        <v>-1</v>
      </c>
      <c r="M896" s="0" t="n">
        <f aca="false">H896</f>
        <v>-1</v>
      </c>
      <c r="N896" s="0" t="n">
        <f aca="false">E896*F896</f>
        <v>0.375</v>
      </c>
      <c r="O896" s="0" t="n">
        <f aca="false">E896*G896</f>
        <v>0.75</v>
      </c>
      <c r="P896" s="0" t="n">
        <f aca="false">E896*H896</f>
        <v>0.75</v>
      </c>
      <c r="Q896" s="0" t="n">
        <f aca="false">F896*G896</f>
        <v>0.5</v>
      </c>
      <c r="R896" s="0" t="n">
        <f aca="false">F896*H896</f>
        <v>0.5</v>
      </c>
      <c r="S896" s="0" t="n">
        <f aca="false">G896*H896</f>
        <v>1</v>
      </c>
      <c r="T896" s="0" t="n">
        <f aca="false">E896*E896</f>
        <v>0.5625</v>
      </c>
      <c r="U896" s="0" t="n">
        <f aca="false">F896*F896</f>
        <v>0.25</v>
      </c>
      <c r="V896" s="0" t="n">
        <f aca="false">G896*G896</f>
        <v>1</v>
      </c>
      <c r="W896" s="0" t="n">
        <f aca="false">H896*H896</f>
        <v>1</v>
      </c>
      <c r="X896" s="0" t="n">
        <f aca="false">SUMPRODUCT(I896:W896,_XtX!$B$96:$P$96)</f>
        <v>41.1700840643275</v>
      </c>
      <c r="Y896" s="0" t="n">
        <f aca="false">SUMPRODUCT(MMULT(I896:W896,_XtX!$B$78:$P$92),I896:W896)</f>
        <v>0.564984237938597</v>
      </c>
      <c r="Z896" s="0" t="n">
        <f aca="false">04_回帰ANOVA!$K$19*04_回帰ANOVA!$K$14*SQRT(1+Y896)</f>
        <v>1.63062229734503</v>
      </c>
      <c r="AA896" s="0" t="n">
        <f aca="false">X896-Z896</f>
        <v>39.5394617669825</v>
      </c>
      <c r="AB896" s="0" t="n">
        <f aca="false">X896+Z896</f>
        <v>42.8007063616725</v>
      </c>
      <c r="AC896" s="54" t="b">
        <f aca="false">AND(E896&gt;=01_因子設定!$L$5-0.000000001,E896&lt;=01_因子設定!$M$5+0.000000001,F896&gt;=01_因子設定!$L$6-0.000000001,F896&lt;=01_因子設定!$M$6+0.000000001,G896&gt;=01_因子設定!$L$7-0.000000001,G896&lt;=01_因子設定!$M$7+0.000000001,H896&gt;=01_因子設定!$L$8-0.000000001,H896&lt;=01_因子設定!$M$8+0.000000001,IF(01_因子設定!$B$20="Box-Behnken",E896^2+F896^2+G896^2+H896^2&lt;=2+0.000000001,TRUE()))</f>
        <v>1</v>
      </c>
      <c r="AD896" s="55" t="n">
        <f aca="false">IF(AC896,IF(01_因子設定!$B$13="最大化",AA896-01_因子設定!$B$14,IF(01_因子設定!$B$13="最小化",01_因子設定!$B$15-AB896,MIN(AA896-01_因子設定!$B$14,01_因子設定!$B$15-AB896))),-1E+030)</f>
        <v>-6.96053823301752</v>
      </c>
      <c r="AE896" s="55" t="n">
        <f aca="false">IF(AC896,IF(01_因子設定!$B$13="最大化",X896,IF(01_因子設定!$B$13="最小化",-X896,-ABS(X896-01_因子設定!$B$16))),-1E+030)</f>
        <v>41.1700840643275</v>
      </c>
      <c r="AF896" s="55" t="n">
        <f aca="false">AD896+ROW()*0.000000001</f>
        <v>-6.96053733701752</v>
      </c>
      <c r="AG896" s="55" t="n">
        <f aca="false">AE896+ROW()*0.000000001</f>
        <v>41.1700849603275</v>
      </c>
    </row>
    <row r="897" customFormat="false" ht="15" hidden="false" customHeight="false" outlineLevel="0" collapsed="false">
      <c r="A897" s="0" t="n">
        <v>1</v>
      </c>
      <c r="B897" s="0" t="n">
        <v>2</v>
      </c>
      <c r="C897" s="0" t="n">
        <v>0</v>
      </c>
      <c r="D897" s="0" t="n">
        <v>1</v>
      </c>
      <c r="E897" s="0" t="n">
        <f aca="false">-1+A897*0.25</f>
        <v>-0.75</v>
      </c>
      <c r="F897" s="0" t="n">
        <f aca="false">-1+B897*0.25</f>
        <v>-0.5</v>
      </c>
      <c r="G897" s="0" t="n">
        <f aca="false">-1+C897*0.25</f>
        <v>-1</v>
      </c>
      <c r="H897" s="0" t="n">
        <f aca="false">-1+D897*0.25</f>
        <v>-0.75</v>
      </c>
      <c r="I897" s="0" t="n">
        <f aca="false">1</f>
        <v>1</v>
      </c>
      <c r="J897" s="0" t="n">
        <f aca="false">E897</f>
        <v>-0.75</v>
      </c>
      <c r="K897" s="0" t="n">
        <f aca="false">F897</f>
        <v>-0.5</v>
      </c>
      <c r="L897" s="0" t="n">
        <f aca="false">G897</f>
        <v>-1</v>
      </c>
      <c r="M897" s="0" t="n">
        <f aca="false">H897</f>
        <v>-0.75</v>
      </c>
      <c r="N897" s="0" t="n">
        <f aca="false">E897*F897</f>
        <v>0.375</v>
      </c>
      <c r="O897" s="0" t="n">
        <f aca="false">E897*G897</f>
        <v>0.75</v>
      </c>
      <c r="P897" s="0" t="n">
        <f aca="false">E897*H897</f>
        <v>0.5625</v>
      </c>
      <c r="Q897" s="0" t="n">
        <f aca="false">F897*G897</f>
        <v>0.5</v>
      </c>
      <c r="R897" s="0" t="n">
        <f aca="false">F897*H897</f>
        <v>0.375</v>
      </c>
      <c r="S897" s="0" t="n">
        <f aca="false">G897*H897</f>
        <v>0.75</v>
      </c>
      <c r="T897" s="0" t="n">
        <f aca="false">E897*E897</f>
        <v>0.5625</v>
      </c>
      <c r="U897" s="0" t="n">
        <f aca="false">F897*F897</f>
        <v>0.25</v>
      </c>
      <c r="V897" s="0" t="n">
        <f aca="false">G897*G897</f>
        <v>1</v>
      </c>
      <c r="W897" s="0" t="n">
        <f aca="false">H897*H897</f>
        <v>0.5625</v>
      </c>
      <c r="X897" s="0" t="n">
        <f aca="false">SUMPRODUCT(I897:W897,_XtX!$B$96:$P$96)</f>
        <v>41.3700475146199</v>
      </c>
      <c r="Y897" s="0" t="n">
        <f aca="false">SUMPRODUCT(MMULT(I897:W897,_XtX!$B$78:$P$92),I897:W897)</f>
        <v>0.431153771472953</v>
      </c>
      <c r="Z897" s="0" t="n">
        <f aca="false">04_回帰ANOVA!$K$19*04_回帰ANOVA!$K$14*SQRT(1+Y897)</f>
        <v>1.55934259562563</v>
      </c>
      <c r="AA897" s="0" t="n">
        <f aca="false">X897-Z897</f>
        <v>39.8107049189943</v>
      </c>
      <c r="AB897" s="0" t="n">
        <f aca="false">X897+Z897</f>
        <v>42.9293901102455</v>
      </c>
      <c r="AC897" s="54" t="b">
        <f aca="false">AND(E897&gt;=01_因子設定!$L$5-0.000000001,E897&lt;=01_因子設定!$M$5+0.000000001,F897&gt;=01_因子設定!$L$6-0.000000001,F897&lt;=01_因子設定!$M$6+0.000000001,G897&gt;=01_因子設定!$L$7-0.000000001,G897&lt;=01_因子設定!$M$7+0.000000001,H897&gt;=01_因子設定!$L$8-0.000000001,H897&lt;=01_因子設定!$M$8+0.000000001,IF(01_因子設定!$B$20="Box-Behnken",E897^2+F897^2+G897^2+H897^2&lt;=2+0.000000001,TRUE()))</f>
        <v>1</v>
      </c>
      <c r="AD897" s="55" t="n">
        <f aca="false">IF(AC897,IF(01_因子設定!$B$13="最大化",AA897-01_因子設定!$B$14,IF(01_因子設定!$B$13="最小化",01_因子設定!$B$15-AB897,MIN(AA897-01_因子設定!$B$14,01_因子設定!$B$15-AB897))),-1E+030)</f>
        <v>-6.68929508100574</v>
      </c>
      <c r="AE897" s="55" t="n">
        <f aca="false">IF(AC897,IF(01_因子設定!$B$13="最大化",X897,IF(01_因子設定!$B$13="最小化",-X897,-ABS(X897-01_因子設定!$B$16))),-1E+030)</f>
        <v>41.3700475146199</v>
      </c>
      <c r="AF897" s="55" t="n">
        <f aca="false">AD897+ROW()*0.000000001</f>
        <v>-6.68929418400574</v>
      </c>
      <c r="AG897" s="55" t="n">
        <f aca="false">AE897+ROW()*0.000000001</f>
        <v>41.3700484116199</v>
      </c>
    </row>
    <row r="898" customFormat="false" ht="15" hidden="false" customHeight="false" outlineLevel="0" collapsed="false">
      <c r="A898" s="0" t="n">
        <v>1</v>
      </c>
      <c r="B898" s="0" t="n">
        <v>2</v>
      </c>
      <c r="C898" s="0" t="n">
        <v>0</v>
      </c>
      <c r="D898" s="0" t="n">
        <v>2</v>
      </c>
      <c r="E898" s="0" t="n">
        <f aca="false">-1+A898*0.25</f>
        <v>-0.75</v>
      </c>
      <c r="F898" s="0" t="n">
        <f aca="false">-1+B898*0.25</f>
        <v>-0.5</v>
      </c>
      <c r="G898" s="0" t="n">
        <f aca="false">-1+C898*0.25</f>
        <v>-1</v>
      </c>
      <c r="H898" s="0" t="n">
        <f aca="false">-1+D898*0.25</f>
        <v>-0.5</v>
      </c>
      <c r="I898" s="0" t="n">
        <f aca="false">1</f>
        <v>1</v>
      </c>
      <c r="J898" s="0" t="n">
        <f aca="false">E898</f>
        <v>-0.75</v>
      </c>
      <c r="K898" s="0" t="n">
        <f aca="false">F898</f>
        <v>-0.5</v>
      </c>
      <c r="L898" s="0" t="n">
        <f aca="false">G898</f>
        <v>-1</v>
      </c>
      <c r="M898" s="0" t="n">
        <f aca="false">H898</f>
        <v>-0.5</v>
      </c>
      <c r="N898" s="0" t="n">
        <f aca="false">E898*F898</f>
        <v>0.375</v>
      </c>
      <c r="O898" s="0" t="n">
        <f aca="false">E898*G898</f>
        <v>0.75</v>
      </c>
      <c r="P898" s="0" t="n">
        <f aca="false">E898*H898</f>
        <v>0.375</v>
      </c>
      <c r="Q898" s="0" t="n">
        <f aca="false">F898*G898</f>
        <v>0.5</v>
      </c>
      <c r="R898" s="0" t="n">
        <f aca="false">F898*H898</f>
        <v>0.25</v>
      </c>
      <c r="S898" s="0" t="n">
        <f aca="false">G898*H898</f>
        <v>0.5</v>
      </c>
      <c r="T898" s="0" t="n">
        <f aca="false">E898*E898</f>
        <v>0.5625</v>
      </c>
      <c r="U898" s="0" t="n">
        <f aca="false">F898*F898</f>
        <v>0.25</v>
      </c>
      <c r="V898" s="0" t="n">
        <f aca="false">G898*G898</f>
        <v>1</v>
      </c>
      <c r="W898" s="0" t="n">
        <f aca="false">H898*H898</f>
        <v>0.25</v>
      </c>
      <c r="X898" s="0" t="n">
        <f aca="false">SUMPRODUCT(I898:W898,_XtX!$B$96:$P$96)</f>
        <v>41.5222039473684</v>
      </c>
      <c r="Y898" s="0" t="n">
        <f aca="false">SUMPRODUCT(MMULT(I898:W898,_XtX!$B$78:$P$92),I898:W898)</f>
        <v>0.42602110745614</v>
      </c>
      <c r="Z898" s="0" t="n">
        <f aca="false">04_回帰ANOVA!$K$19*04_回帰ANOVA!$K$14*SQRT(1+Y898)</f>
        <v>1.55654388501114</v>
      </c>
      <c r="AA898" s="0" t="n">
        <f aca="false">X898-Z898</f>
        <v>39.9656600623573</v>
      </c>
      <c r="AB898" s="0" t="n">
        <f aca="false">X898+Z898</f>
        <v>43.0787478323796</v>
      </c>
      <c r="AC898" s="54" t="b">
        <f aca="false">AND(E898&gt;=01_因子設定!$L$5-0.000000001,E898&lt;=01_因子設定!$M$5+0.000000001,F898&gt;=01_因子設定!$L$6-0.000000001,F898&lt;=01_因子設定!$M$6+0.000000001,G898&gt;=01_因子設定!$L$7-0.000000001,G898&lt;=01_因子設定!$M$7+0.000000001,H898&gt;=01_因子設定!$L$8-0.000000001,H898&lt;=01_因子設定!$M$8+0.000000001,IF(01_因子設定!$B$20="Box-Behnken",E898^2+F898^2+G898^2+H898^2&lt;=2+0.000000001,TRUE()))</f>
        <v>1</v>
      </c>
      <c r="AD898" s="55" t="n">
        <f aca="false">IF(AC898,IF(01_因子設定!$B$13="最大化",AA898-01_因子設定!$B$14,IF(01_因子設定!$B$13="最小化",01_因子設定!$B$15-AB898,MIN(AA898-01_因子設定!$B$14,01_因子設定!$B$15-AB898))),-1E+030)</f>
        <v>-6.53433993764272</v>
      </c>
      <c r="AE898" s="55" t="n">
        <f aca="false">IF(AC898,IF(01_因子設定!$B$13="最大化",X898,IF(01_因子設定!$B$13="最小化",-X898,-ABS(X898-01_因子設定!$B$16))),-1E+030)</f>
        <v>41.5222039473684</v>
      </c>
      <c r="AF898" s="55" t="n">
        <f aca="false">AD898+ROW()*0.000000001</f>
        <v>-6.53433903964272</v>
      </c>
      <c r="AG898" s="55" t="n">
        <f aca="false">AE898+ROW()*0.000000001</f>
        <v>41.5222048453684</v>
      </c>
    </row>
    <row r="899" customFormat="false" ht="15" hidden="false" customHeight="false" outlineLevel="0" collapsed="false">
      <c r="A899" s="0" t="n">
        <v>1</v>
      </c>
      <c r="B899" s="0" t="n">
        <v>2</v>
      </c>
      <c r="C899" s="0" t="n">
        <v>0</v>
      </c>
      <c r="D899" s="0" t="n">
        <v>3</v>
      </c>
      <c r="E899" s="0" t="n">
        <f aca="false">-1+A899*0.25</f>
        <v>-0.75</v>
      </c>
      <c r="F899" s="0" t="n">
        <f aca="false">-1+B899*0.25</f>
        <v>-0.5</v>
      </c>
      <c r="G899" s="0" t="n">
        <f aca="false">-1+C899*0.25</f>
        <v>-1</v>
      </c>
      <c r="H899" s="0" t="n">
        <f aca="false">-1+D899*0.25</f>
        <v>-0.25</v>
      </c>
      <c r="I899" s="0" t="n">
        <f aca="false">1</f>
        <v>1</v>
      </c>
      <c r="J899" s="0" t="n">
        <f aca="false">E899</f>
        <v>-0.75</v>
      </c>
      <c r="K899" s="0" t="n">
        <f aca="false">F899</f>
        <v>-0.5</v>
      </c>
      <c r="L899" s="0" t="n">
        <f aca="false">G899</f>
        <v>-1</v>
      </c>
      <c r="M899" s="0" t="n">
        <f aca="false">H899</f>
        <v>-0.25</v>
      </c>
      <c r="N899" s="0" t="n">
        <f aca="false">E899*F899</f>
        <v>0.375</v>
      </c>
      <c r="O899" s="0" t="n">
        <f aca="false">E899*G899</f>
        <v>0.75</v>
      </c>
      <c r="P899" s="0" t="n">
        <f aca="false">E899*H899</f>
        <v>0.1875</v>
      </c>
      <c r="Q899" s="0" t="n">
        <f aca="false">F899*G899</f>
        <v>0.5</v>
      </c>
      <c r="R899" s="0" t="n">
        <f aca="false">F899*H899</f>
        <v>0.125</v>
      </c>
      <c r="S899" s="0" t="n">
        <f aca="false">G899*H899</f>
        <v>0.25</v>
      </c>
      <c r="T899" s="0" t="n">
        <f aca="false">E899*E899</f>
        <v>0.5625</v>
      </c>
      <c r="U899" s="0" t="n">
        <f aca="false">F899*F899</f>
        <v>0.25</v>
      </c>
      <c r="V899" s="0" t="n">
        <f aca="false">G899*G899</f>
        <v>1</v>
      </c>
      <c r="W899" s="0" t="n">
        <f aca="false">H899*H899</f>
        <v>0.0625</v>
      </c>
      <c r="X899" s="0" t="n">
        <f aca="false">SUMPRODUCT(I899:W899,_XtX!$B$96:$P$96)</f>
        <v>41.6265533625731</v>
      </c>
      <c r="Y899" s="0" t="n">
        <f aca="false">SUMPRODUCT(MMULT(I899:W899,_XtX!$B$78:$P$92),I899:W899)</f>
        <v>0.459125719572369</v>
      </c>
      <c r="Z899" s="0" t="n">
        <f aca="false">04_回帰ANOVA!$K$19*04_回帰ANOVA!$K$14*SQRT(1+Y899)</f>
        <v>1.57450755575573</v>
      </c>
      <c r="AA899" s="0" t="n">
        <f aca="false">X899-Z899</f>
        <v>40.0520458068174</v>
      </c>
      <c r="AB899" s="0" t="n">
        <f aca="false">X899+Z899</f>
        <v>43.2010609183288</v>
      </c>
      <c r="AC899" s="54" t="b">
        <f aca="false">AND(E899&gt;=01_因子設定!$L$5-0.000000001,E899&lt;=01_因子設定!$M$5+0.000000001,F899&gt;=01_因子設定!$L$6-0.000000001,F899&lt;=01_因子設定!$M$6+0.000000001,G899&gt;=01_因子設定!$L$7-0.000000001,G899&lt;=01_因子設定!$M$7+0.000000001,H899&gt;=01_因子設定!$L$8-0.000000001,H899&lt;=01_因子設定!$M$8+0.000000001,IF(01_因子設定!$B$20="Box-Behnken",E899^2+F899^2+G899^2+H899^2&lt;=2+0.000000001,TRUE()))</f>
        <v>1</v>
      </c>
      <c r="AD899" s="55" t="n">
        <f aca="false">IF(AC899,IF(01_因子設定!$B$13="最大化",AA899-01_因子設定!$B$14,IF(01_因子設定!$B$13="最小化",01_因子設定!$B$15-AB899,MIN(AA899-01_因子設定!$B$14,01_因子設定!$B$15-AB899))),-1E+030)</f>
        <v>-6.44795419318264</v>
      </c>
      <c r="AE899" s="55" t="n">
        <f aca="false">IF(AC899,IF(01_因子設定!$B$13="最大化",X899,IF(01_因子設定!$B$13="最小化",-X899,-ABS(X899-01_因子設定!$B$16))),-1E+030)</f>
        <v>41.6265533625731</v>
      </c>
      <c r="AF899" s="55" t="n">
        <f aca="false">AD899+ROW()*0.000000001</f>
        <v>-6.44795329418264</v>
      </c>
      <c r="AG899" s="55" t="n">
        <f aca="false">AE899+ROW()*0.000000001</f>
        <v>41.6265542615731</v>
      </c>
    </row>
    <row r="900" customFormat="false" ht="15" hidden="false" customHeight="false" outlineLevel="0" collapsed="false">
      <c r="A900" s="0" t="n">
        <v>1</v>
      </c>
      <c r="B900" s="0" t="n">
        <v>2</v>
      </c>
      <c r="C900" s="0" t="n">
        <v>0</v>
      </c>
      <c r="D900" s="0" t="n">
        <v>4</v>
      </c>
      <c r="E900" s="0" t="n">
        <f aca="false">-1+A900*0.25</f>
        <v>-0.75</v>
      </c>
      <c r="F900" s="0" t="n">
        <f aca="false">-1+B900*0.25</f>
        <v>-0.5</v>
      </c>
      <c r="G900" s="0" t="n">
        <f aca="false">-1+C900*0.25</f>
        <v>-1</v>
      </c>
      <c r="H900" s="0" t="n">
        <f aca="false">-1+D900*0.25</f>
        <v>0</v>
      </c>
      <c r="I900" s="0" t="n">
        <f aca="false">1</f>
        <v>1</v>
      </c>
      <c r="J900" s="0" t="n">
        <f aca="false">E900</f>
        <v>-0.75</v>
      </c>
      <c r="K900" s="0" t="n">
        <f aca="false">F900</f>
        <v>-0.5</v>
      </c>
      <c r="L900" s="0" t="n">
        <f aca="false">G900</f>
        <v>-1</v>
      </c>
      <c r="M900" s="0" t="n">
        <f aca="false">H900</f>
        <v>0</v>
      </c>
      <c r="N900" s="0" t="n">
        <f aca="false">E900*F900</f>
        <v>0.375</v>
      </c>
      <c r="O900" s="0" t="n">
        <f aca="false">E900*G900</f>
        <v>0.75</v>
      </c>
      <c r="P900" s="0" t="n">
        <f aca="false">E900*H900</f>
        <v>-0</v>
      </c>
      <c r="Q900" s="0" t="n">
        <f aca="false">F900*G900</f>
        <v>0.5</v>
      </c>
      <c r="R900" s="0" t="n">
        <f aca="false">F900*H900</f>
        <v>-0</v>
      </c>
      <c r="S900" s="0" t="n">
        <f aca="false">G900*H900</f>
        <v>-0</v>
      </c>
      <c r="T900" s="0" t="n">
        <f aca="false">E900*E900</f>
        <v>0.5625</v>
      </c>
      <c r="U900" s="0" t="n">
        <f aca="false">F900*F900</f>
        <v>0.25</v>
      </c>
      <c r="V900" s="0" t="n">
        <f aca="false">G900*G900</f>
        <v>1</v>
      </c>
      <c r="W900" s="0" t="n">
        <f aca="false">H900*H900</f>
        <v>0</v>
      </c>
      <c r="X900" s="0" t="n">
        <f aca="false">SUMPRODUCT(I900:W900,_XtX!$B$96:$P$96)</f>
        <v>41.6830957602339</v>
      </c>
      <c r="Y900" s="0" t="n">
        <f aca="false">SUMPRODUCT(MMULT(I900:W900,_XtX!$B$78:$P$92),I900:W900)</f>
        <v>0.476191292032164</v>
      </c>
      <c r="Z900" s="0" t="n">
        <f aca="false">04_回帰ANOVA!$K$19*04_回帰ANOVA!$K$14*SQRT(1+Y900)</f>
        <v>1.58368831471718</v>
      </c>
      <c r="AA900" s="0" t="n">
        <f aca="false">X900-Z900</f>
        <v>40.0994074455167</v>
      </c>
      <c r="AB900" s="0" t="n">
        <f aca="false">X900+Z900</f>
        <v>43.2667840749511</v>
      </c>
      <c r="AC900" s="54" t="b">
        <f aca="false">AND(E900&gt;=01_因子設定!$L$5-0.000000001,E900&lt;=01_因子設定!$M$5+0.000000001,F900&gt;=01_因子設定!$L$6-0.000000001,F900&lt;=01_因子設定!$M$6+0.000000001,G900&gt;=01_因子設定!$L$7-0.000000001,G900&lt;=01_因子設定!$M$7+0.000000001,H900&gt;=01_因子設定!$L$8-0.000000001,H900&lt;=01_因子設定!$M$8+0.000000001,IF(01_因子設定!$B$20="Box-Behnken",E900^2+F900^2+G900^2+H900^2&lt;=2+0.000000001,TRUE()))</f>
        <v>1</v>
      </c>
      <c r="AD900" s="55" t="n">
        <f aca="false">IF(AC900,IF(01_因子設定!$B$13="最大化",AA900-01_因子設定!$B$14,IF(01_因子設定!$B$13="最小化",01_因子設定!$B$15-AB900,MIN(AA900-01_因子設定!$B$14,01_因子設定!$B$15-AB900))),-1E+030)</f>
        <v>-6.40059255448327</v>
      </c>
      <c r="AE900" s="55" t="n">
        <f aca="false">IF(AC900,IF(01_因子設定!$B$13="最大化",X900,IF(01_因子設定!$B$13="最小化",-X900,-ABS(X900-01_因子設定!$B$16))),-1E+030)</f>
        <v>41.6830957602339</v>
      </c>
      <c r="AF900" s="55" t="n">
        <f aca="false">AD900+ROW()*0.000000001</f>
        <v>-6.40059165448327</v>
      </c>
      <c r="AG900" s="55" t="n">
        <f aca="false">AE900+ROW()*0.000000001</f>
        <v>41.6830966602339</v>
      </c>
    </row>
    <row r="901" customFormat="false" ht="15" hidden="false" customHeight="false" outlineLevel="0" collapsed="false">
      <c r="A901" s="0" t="n">
        <v>1</v>
      </c>
      <c r="B901" s="0" t="n">
        <v>2</v>
      </c>
      <c r="C901" s="0" t="n">
        <v>0</v>
      </c>
      <c r="D901" s="0" t="n">
        <v>5</v>
      </c>
      <c r="E901" s="0" t="n">
        <f aca="false">-1+A901*0.25</f>
        <v>-0.75</v>
      </c>
      <c r="F901" s="0" t="n">
        <f aca="false">-1+B901*0.25</f>
        <v>-0.5</v>
      </c>
      <c r="G901" s="0" t="n">
        <f aca="false">-1+C901*0.25</f>
        <v>-1</v>
      </c>
      <c r="H901" s="0" t="n">
        <f aca="false">-1+D901*0.25</f>
        <v>0.25</v>
      </c>
      <c r="I901" s="0" t="n">
        <f aca="false">1</f>
        <v>1</v>
      </c>
      <c r="J901" s="0" t="n">
        <f aca="false">E901</f>
        <v>-0.75</v>
      </c>
      <c r="K901" s="0" t="n">
        <f aca="false">F901</f>
        <v>-0.5</v>
      </c>
      <c r="L901" s="0" t="n">
        <f aca="false">G901</f>
        <v>-1</v>
      </c>
      <c r="M901" s="0" t="n">
        <f aca="false">H901</f>
        <v>0.25</v>
      </c>
      <c r="N901" s="0" t="n">
        <f aca="false">E901*F901</f>
        <v>0.375</v>
      </c>
      <c r="O901" s="0" t="n">
        <f aca="false">E901*G901</f>
        <v>0.75</v>
      </c>
      <c r="P901" s="0" t="n">
        <f aca="false">E901*H901</f>
        <v>-0.1875</v>
      </c>
      <c r="Q901" s="0" t="n">
        <f aca="false">F901*G901</f>
        <v>0.5</v>
      </c>
      <c r="R901" s="0" t="n">
        <f aca="false">F901*H901</f>
        <v>-0.125</v>
      </c>
      <c r="S901" s="0" t="n">
        <f aca="false">G901*H901</f>
        <v>-0.25</v>
      </c>
      <c r="T901" s="0" t="n">
        <f aca="false">E901*E901</f>
        <v>0.5625</v>
      </c>
      <c r="U901" s="0" t="n">
        <f aca="false">F901*F901</f>
        <v>0.25</v>
      </c>
      <c r="V901" s="0" t="n">
        <f aca="false">G901*G901</f>
        <v>1</v>
      </c>
      <c r="W901" s="0" t="n">
        <f aca="false">H901*H901</f>
        <v>0.0625</v>
      </c>
      <c r="X901" s="0" t="n">
        <f aca="false">SUMPRODUCT(I901:W901,_XtX!$B$96:$P$96)</f>
        <v>41.6918311403509</v>
      </c>
      <c r="Y901" s="0" t="n">
        <f aca="false">SUMPRODUCT(MMULT(I901:W901,_XtX!$B$78:$P$92),I901:W901)</f>
        <v>0.459125719572369</v>
      </c>
      <c r="Z901" s="0" t="n">
        <f aca="false">04_回帰ANOVA!$K$19*04_回帰ANOVA!$K$14*SQRT(1+Y901)</f>
        <v>1.57450755575573</v>
      </c>
      <c r="AA901" s="0" t="n">
        <f aca="false">X901-Z901</f>
        <v>40.1173235845951</v>
      </c>
      <c r="AB901" s="0" t="n">
        <f aca="false">X901+Z901</f>
        <v>43.2663386961066</v>
      </c>
      <c r="AC901" s="54" t="b">
        <f aca="false">AND(E901&gt;=01_因子設定!$L$5-0.000000001,E901&lt;=01_因子設定!$M$5+0.000000001,F901&gt;=01_因子設定!$L$6-0.000000001,F901&lt;=01_因子設定!$M$6+0.000000001,G901&gt;=01_因子設定!$L$7-0.000000001,G901&lt;=01_因子設定!$M$7+0.000000001,H901&gt;=01_因子設定!$L$8-0.000000001,H901&lt;=01_因子設定!$M$8+0.000000001,IF(01_因子設定!$B$20="Box-Behnken",E901^2+F901^2+G901^2+H901^2&lt;=2+0.000000001,TRUE()))</f>
        <v>1</v>
      </c>
      <c r="AD901" s="55" t="n">
        <f aca="false">IF(AC901,IF(01_因子設定!$B$13="最大化",AA901-01_因子設定!$B$14,IF(01_因子設定!$B$13="最小化",01_因子設定!$B$15-AB901,MIN(AA901-01_因子設定!$B$14,01_因子設定!$B$15-AB901))),-1E+030)</f>
        <v>-6.38267641540486</v>
      </c>
      <c r="AE901" s="55" t="n">
        <f aca="false">IF(AC901,IF(01_因子設定!$B$13="最大化",X901,IF(01_因子設定!$B$13="最小化",-X901,-ABS(X901-01_因子設定!$B$16))),-1E+030)</f>
        <v>41.6918311403509</v>
      </c>
      <c r="AF901" s="55" t="n">
        <f aca="false">AD901+ROW()*0.000000001</f>
        <v>-6.38267551440486</v>
      </c>
      <c r="AG901" s="55" t="n">
        <f aca="false">AE901+ROW()*0.000000001</f>
        <v>41.6918320413509</v>
      </c>
    </row>
    <row r="902" customFormat="false" ht="15" hidden="false" customHeight="false" outlineLevel="0" collapsed="false">
      <c r="A902" s="0" t="n">
        <v>1</v>
      </c>
      <c r="B902" s="0" t="n">
        <v>2</v>
      </c>
      <c r="C902" s="0" t="n">
        <v>0</v>
      </c>
      <c r="D902" s="0" t="n">
        <v>6</v>
      </c>
      <c r="E902" s="0" t="n">
        <f aca="false">-1+A902*0.25</f>
        <v>-0.75</v>
      </c>
      <c r="F902" s="0" t="n">
        <f aca="false">-1+B902*0.25</f>
        <v>-0.5</v>
      </c>
      <c r="G902" s="0" t="n">
        <f aca="false">-1+C902*0.25</f>
        <v>-1</v>
      </c>
      <c r="H902" s="0" t="n">
        <f aca="false">-1+D902*0.25</f>
        <v>0.5</v>
      </c>
      <c r="I902" s="0" t="n">
        <f aca="false">1</f>
        <v>1</v>
      </c>
      <c r="J902" s="0" t="n">
        <f aca="false">E902</f>
        <v>-0.75</v>
      </c>
      <c r="K902" s="0" t="n">
        <f aca="false">F902</f>
        <v>-0.5</v>
      </c>
      <c r="L902" s="0" t="n">
        <f aca="false">G902</f>
        <v>-1</v>
      </c>
      <c r="M902" s="0" t="n">
        <f aca="false">H902</f>
        <v>0.5</v>
      </c>
      <c r="N902" s="0" t="n">
        <f aca="false">E902*F902</f>
        <v>0.375</v>
      </c>
      <c r="O902" s="0" t="n">
        <f aca="false">E902*G902</f>
        <v>0.75</v>
      </c>
      <c r="P902" s="0" t="n">
        <f aca="false">E902*H902</f>
        <v>-0.375</v>
      </c>
      <c r="Q902" s="0" t="n">
        <f aca="false">F902*G902</f>
        <v>0.5</v>
      </c>
      <c r="R902" s="0" t="n">
        <f aca="false">F902*H902</f>
        <v>-0.25</v>
      </c>
      <c r="S902" s="0" t="n">
        <f aca="false">G902*H902</f>
        <v>-0.5</v>
      </c>
      <c r="T902" s="0" t="n">
        <f aca="false">E902*E902</f>
        <v>0.5625</v>
      </c>
      <c r="U902" s="0" t="n">
        <f aca="false">F902*F902</f>
        <v>0.25</v>
      </c>
      <c r="V902" s="0" t="n">
        <f aca="false">G902*G902</f>
        <v>1</v>
      </c>
      <c r="W902" s="0" t="n">
        <f aca="false">H902*H902</f>
        <v>0.25</v>
      </c>
      <c r="X902" s="0" t="n">
        <f aca="false">SUMPRODUCT(I902:W902,_XtX!$B$96:$P$96)</f>
        <v>41.652759502924</v>
      </c>
      <c r="Y902" s="0" t="n">
        <f aca="false">SUMPRODUCT(MMULT(I902:W902,_XtX!$B$78:$P$92),I902:W902)</f>
        <v>0.42602110745614</v>
      </c>
      <c r="Z902" s="0" t="n">
        <f aca="false">04_回帰ANOVA!$K$19*04_回帰ANOVA!$K$14*SQRT(1+Y902)</f>
        <v>1.55654388501114</v>
      </c>
      <c r="AA902" s="0" t="n">
        <f aca="false">X902-Z902</f>
        <v>40.0962156179128</v>
      </c>
      <c r="AB902" s="0" t="n">
        <f aca="false">X902+Z902</f>
        <v>43.2093033879351</v>
      </c>
      <c r="AC902" s="54" t="b">
        <f aca="false">AND(E902&gt;=01_因子設定!$L$5-0.000000001,E902&lt;=01_因子設定!$M$5+0.000000001,F902&gt;=01_因子設定!$L$6-0.000000001,F902&lt;=01_因子設定!$M$6+0.000000001,G902&gt;=01_因子設定!$L$7-0.000000001,G902&lt;=01_因子設定!$M$7+0.000000001,H902&gt;=01_因子設定!$L$8-0.000000001,H902&lt;=01_因子設定!$M$8+0.000000001,IF(01_因子設定!$B$20="Box-Behnken",E902^2+F902^2+G902^2+H902^2&lt;=2+0.000000001,TRUE()))</f>
        <v>1</v>
      </c>
      <c r="AD902" s="55" t="n">
        <f aca="false">IF(AC902,IF(01_因子設定!$B$13="最大化",AA902-01_因子設定!$B$14,IF(01_因子設定!$B$13="最小化",01_因子設定!$B$15-AB902,MIN(AA902-01_因子設定!$B$14,01_因子設定!$B$15-AB902))),-1E+030)</f>
        <v>-6.40378438208716</v>
      </c>
      <c r="AE902" s="55" t="n">
        <f aca="false">IF(AC902,IF(01_因子設定!$B$13="最大化",X902,IF(01_因子設定!$B$13="最小化",-X902,-ABS(X902-01_因子設定!$B$16))),-1E+030)</f>
        <v>41.652759502924</v>
      </c>
      <c r="AF902" s="55" t="n">
        <f aca="false">AD902+ROW()*0.000000001</f>
        <v>-6.40378348008716</v>
      </c>
      <c r="AG902" s="55" t="n">
        <f aca="false">AE902+ROW()*0.000000001</f>
        <v>41.652760404924</v>
      </c>
    </row>
    <row r="903" customFormat="false" ht="15" hidden="false" customHeight="false" outlineLevel="0" collapsed="false">
      <c r="A903" s="0" t="n">
        <v>1</v>
      </c>
      <c r="B903" s="0" t="n">
        <v>2</v>
      </c>
      <c r="C903" s="0" t="n">
        <v>0</v>
      </c>
      <c r="D903" s="0" t="n">
        <v>7</v>
      </c>
      <c r="E903" s="0" t="n">
        <f aca="false">-1+A903*0.25</f>
        <v>-0.75</v>
      </c>
      <c r="F903" s="0" t="n">
        <f aca="false">-1+B903*0.25</f>
        <v>-0.5</v>
      </c>
      <c r="G903" s="0" t="n">
        <f aca="false">-1+C903*0.25</f>
        <v>-1</v>
      </c>
      <c r="H903" s="0" t="n">
        <f aca="false">-1+D903*0.25</f>
        <v>0.75</v>
      </c>
      <c r="I903" s="0" t="n">
        <f aca="false">1</f>
        <v>1</v>
      </c>
      <c r="J903" s="0" t="n">
        <f aca="false">E903</f>
        <v>-0.75</v>
      </c>
      <c r="K903" s="0" t="n">
        <f aca="false">F903</f>
        <v>-0.5</v>
      </c>
      <c r="L903" s="0" t="n">
        <f aca="false">G903</f>
        <v>-1</v>
      </c>
      <c r="M903" s="0" t="n">
        <f aca="false">H903</f>
        <v>0.75</v>
      </c>
      <c r="N903" s="0" t="n">
        <f aca="false">E903*F903</f>
        <v>0.375</v>
      </c>
      <c r="O903" s="0" t="n">
        <f aca="false">E903*G903</f>
        <v>0.75</v>
      </c>
      <c r="P903" s="0" t="n">
        <f aca="false">E903*H903</f>
        <v>-0.5625</v>
      </c>
      <c r="Q903" s="0" t="n">
        <f aca="false">F903*G903</f>
        <v>0.5</v>
      </c>
      <c r="R903" s="0" t="n">
        <f aca="false">F903*H903</f>
        <v>-0.375</v>
      </c>
      <c r="S903" s="0" t="n">
        <f aca="false">G903*H903</f>
        <v>-0.75</v>
      </c>
      <c r="T903" s="0" t="n">
        <f aca="false">E903*E903</f>
        <v>0.5625</v>
      </c>
      <c r="U903" s="0" t="n">
        <f aca="false">F903*F903</f>
        <v>0.25</v>
      </c>
      <c r="V903" s="0" t="n">
        <f aca="false">G903*G903</f>
        <v>1</v>
      </c>
      <c r="W903" s="0" t="n">
        <f aca="false">H903*H903</f>
        <v>0.5625</v>
      </c>
      <c r="X903" s="0" t="n">
        <f aca="false">SUMPRODUCT(I903:W903,_XtX!$B$96:$P$96)</f>
        <v>41.5658808479532</v>
      </c>
      <c r="Y903" s="0" t="n">
        <f aca="false">SUMPRODUCT(MMULT(I903:W903,_XtX!$B$78:$P$92),I903:W903)</f>
        <v>0.431153771472953</v>
      </c>
      <c r="Z903" s="0" t="n">
        <f aca="false">04_回帰ANOVA!$K$19*04_回帰ANOVA!$K$14*SQRT(1+Y903)</f>
        <v>1.55934259562563</v>
      </c>
      <c r="AA903" s="0" t="n">
        <f aca="false">X903-Z903</f>
        <v>40.0065382523276</v>
      </c>
      <c r="AB903" s="0" t="n">
        <f aca="false">X903+Z903</f>
        <v>43.1252234435789</v>
      </c>
      <c r="AC903" s="54" t="b">
        <f aca="false">AND(E903&gt;=01_因子設定!$L$5-0.000000001,E903&lt;=01_因子設定!$M$5+0.000000001,F903&gt;=01_因子設定!$L$6-0.000000001,F903&lt;=01_因子設定!$M$6+0.000000001,G903&gt;=01_因子設定!$L$7-0.000000001,G903&lt;=01_因子設定!$M$7+0.000000001,H903&gt;=01_因子設定!$L$8-0.000000001,H903&lt;=01_因子設定!$M$8+0.000000001,IF(01_因子設定!$B$20="Box-Behnken",E903^2+F903^2+G903^2+H903^2&lt;=2+0.000000001,TRUE()))</f>
        <v>1</v>
      </c>
      <c r="AD903" s="55" t="n">
        <f aca="false">IF(AC903,IF(01_因子設定!$B$13="最大化",AA903-01_因子設定!$B$14,IF(01_因子設定!$B$13="最小化",01_因子設定!$B$15-AB903,MIN(AA903-01_因子設定!$B$14,01_因子設定!$B$15-AB903))),-1E+030)</f>
        <v>-6.49346174767241</v>
      </c>
      <c r="AE903" s="55" t="n">
        <f aca="false">IF(AC903,IF(01_因子設定!$B$13="最大化",X903,IF(01_因子設定!$B$13="最小化",-X903,-ABS(X903-01_因子設定!$B$16))),-1E+030)</f>
        <v>41.5658808479532</v>
      </c>
      <c r="AF903" s="55" t="n">
        <f aca="false">AD903+ROW()*0.000000001</f>
        <v>-6.49346084467241</v>
      </c>
      <c r="AG903" s="55" t="n">
        <f aca="false">AE903+ROW()*0.000000001</f>
        <v>41.5658817509532</v>
      </c>
    </row>
    <row r="904" customFormat="false" ht="15" hidden="false" customHeight="false" outlineLevel="0" collapsed="false">
      <c r="A904" s="0" t="n">
        <v>1</v>
      </c>
      <c r="B904" s="0" t="n">
        <v>2</v>
      </c>
      <c r="C904" s="0" t="n">
        <v>0</v>
      </c>
      <c r="D904" s="0" t="n">
        <v>8</v>
      </c>
      <c r="E904" s="0" t="n">
        <f aca="false">-1+A904*0.25</f>
        <v>-0.75</v>
      </c>
      <c r="F904" s="0" t="n">
        <f aca="false">-1+B904*0.25</f>
        <v>-0.5</v>
      </c>
      <c r="G904" s="0" t="n">
        <f aca="false">-1+C904*0.25</f>
        <v>-1</v>
      </c>
      <c r="H904" s="0" t="n">
        <f aca="false">-1+D904*0.25</f>
        <v>1</v>
      </c>
      <c r="I904" s="0" t="n">
        <f aca="false">1</f>
        <v>1</v>
      </c>
      <c r="J904" s="0" t="n">
        <f aca="false">E904</f>
        <v>-0.75</v>
      </c>
      <c r="K904" s="0" t="n">
        <f aca="false">F904</f>
        <v>-0.5</v>
      </c>
      <c r="L904" s="0" t="n">
        <f aca="false">G904</f>
        <v>-1</v>
      </c>
      <c r="M904" s="0" t="n">
        <f aca="false">H904</f>
        <v>1</v>
      </c>
      <c r="N904" s="0" t="n">
        <f aca="false">E904*F904</f>
        <v>0.375</v>
      </c>
      <c r="O904" s="0" t="n">
        <f aca="false">E904*G904</f>
        <v>0.75</v>
      </c>
      <c r="P904" s="0" t="n">
        <f aca="false">E904*H904</f>
        <v>-0.75</v>
      </c>
      <c r="Q904" s="0" t="n">
        <f aca="false">F904*G904</f>
        <v>0.5</v>
      </c>
      <c r="R904" s="0" t="n">
        <f aca="false">F904*H904</f>
        <v>-0.5</v>
      </c>
      <c r="S904" s="0" t="n">
        <f aca="false">G904*H904</f>
        <v>-1</v>
      </c>
      <c r="T904" s="0" t="n">
        <f aca="false">E904*E904</f>
        <v>0.5625</v>
      </c>
      <c r="U904" s="0" t="n">
        <f aca="false">F904*F904</f>
        <v>0.25</v>
      </c>
      <c r="V904" s="0" t="n">
        <f aca="false">G904*G904</f>
        <v>1</v>
      </c>
      <c r="W904" s="0" t="n">
        <f aca="false">H904*H904</f>
        <v>1</v>
      </c>
      <c r="X904" s="0" t="n">
        <f aca="false">SUMPRODUCT(I904:W904,_XtX!$B$96:$P$96)</f>
        <v>41.4311951754386</v>
      </c>
      <c r="Y904" s="0" t="n">
        <f aca="false">SUMPRODUCT(MMULT(I904:W904,_XtX!$B$78:$P$92),I904:W904)</f>
        <v>0.564984237938597</v>
      </c>
      <c r="Z904" s="0" t="n">
        <f aca="false">04_回帰ANOVA!$K$19*04_回帰ANOVA!$K$14*SQRT(1+Y904)</f>
        <v>1.63062229734503</v>
      </c>
      <c r="AA904" s="0" t="n">
        <f aca="false">X904-Z904</f>
        <v>39.8005728780936</v>
      </c>
      <c r="AB904" s="0" t="n">
        <f aca="false">X904+Z904</f>
        <v>43.0618174727837</v>
      </c>
      <c r="AC904" s="54" t="b">
        <f aca="false">AND(E904&gt;=01_因子設定!$L$5-0.000000001,E904&lt;=01_因子設定!$M$5+0.000000001,F904&gt;=01_因子設定!$L$6-0.000000001,F904&lt;=01_因子設定!$M$6+0.000000001,G904&gt;=01_因子設定!$L$7-0.000000001,G904&lt;=01_因子設定!$M$7+0.000000001,H904&gt;=01_因子設定!$L$8-0.000000001,H904&lt;=01_因子設定!$M$8+0.000000001,IF(01_因子設定!$B$20="Box-Behnken",E904^2+F904^2+G904^2+H904^2&lt;=2+0.000000001,TRUE()))</f>
        <v>1</v>
      </c>
      <c r="AD904" s="55" t="n">
        <f aca="false">IF(AC904,IF(01_因子設定!$B$13="最大化",AA904-01_因子設定!$B$14,IF(01_因子設定!$B$13="最小化",01_因子設定!$B$15-AB904,MIN(AA904-01_因子設定!$B$14,01_因子設定!$B$15-AB904))),-1E+030)</f>
        <v>-6.69942712190641</v>
      </c>
      <c r="AE904" s="55" t="n">
        <f aca="false">IF(AC904,IF(01_因子設定!$B$13="最大化",X904,IF(01_因子設定!$B$13="最小化",-X904,-ABS(X904-01_因子設定!$B$16))),-1E+030)</f>
        <v>41.4311951754386</v>
      </c>
      <c r="AF904" s="55" t="n">
        <f aca="false">AD904+ROW()*0.000000001</f>
        <v>-6.69942621790641</v>
      </c>
      <c r="AG904" s="55" t="n">
        <f aca="false">AE904+ROW()*0.000000001</f>
        <v>41.4311960794386</v>
      </c>
    </row>
    <row r="905" customFormat="false" ht="15" hidden="false" customHeight="false" outlineLevel="0" collapsed="false">
      <c r="A905" s="0" t="n">
        <v>1</v>
      </c>
      <c r="B905" s="0" t="n">
        <v>2</v>
      </c>
      <c r="C905" s="0" t="n">
        <v>1</v>
      </c>
      <c r="D905" s="0" t="n">
        <v>0</v>
      </c>
      <c r="E905" s="0" t="n">
        <f aca="false">-1+A905*0.25</f>
        <v>-0.75</v>
      </c>
      <c r="F905" s="0" t="n">
        <f aca="false">-1+B905*0.25</f>
        <v>-0.5</v>
      </c>
      <c r="G905" s="0" t="n">
        <f aca="false">-1+C905*0.25</f>
        <v>-0.75</v>
      </c>
      <c r="H905" s="0" t="n">
        <f aca="false">-1+D905*0.25</f>
        <v>-1</v>
      </c>
      <c r="I905" s="0" t="n">
        <f aca="false">1</f>
        <v>1</v>
      </c>
      <c r="J905" s="0" t="n">
        <f aca="false">E905</f>
        <v>-0.75</v>
      </c>
      <c r="K905" s="0" t="n">
        <f aca="false">F905</f>
        <v>-0.5</v>
      </c>
      <c r="L905" s="0" t="n">
        <f aca="false">G905</f>
        <v>-0.75</v>
      </c>
      <c r="M905" s="0" t="n">
        <f aca="false">H905</f>
        <v>-1</v>
      </c>
      <c r="N905" s="0" t="n">
        <f aca="false">E905*F905</f>
        <v>0.375</v>
      </c>
      <c r="O905" s="0" t="n">
        <f aca="false">E905*G905</f>
        <v>0.5625</v>
      </c>
      <c r="P905" s="0" t="n">
        <f aca="false">E905*H905</f>
        <v>0.75</v>
      </c>
      <c r="Q905" s="0" t="n">
        <f aca="false">F905*G905</f>
        <v>0.375</v>
      </c>
      <c r="R905" s="0" t="n">
        <f aca="false">F905*H905</f>
        <v>0.5</v>
      </c>
      <c r="S905" s="0" t="n">
        <f aca="false">G905*H905</f>
        <v>0.75</v>
      </c>
      <c r="T905" s="0" t="n">
        <f aca="false">E905*E905</f>
        <v>0.5625</v>
      </c>
      <c r="U905" s="0" t="n">
        <f aca="false">F905*F905</f>
        <v>0.25</v>
      </c>
      <c r="V905" s="0" t="n">
        <f aca="false">G905*G905</f>
        <v>0.5625</v>
      </c>
      <c r="W905" s="0" t="n">
        <f aca="false">H905*H905</f>
        <v>1</v>
      </c>
      <c r="X905" s="0" t="n">
        <f aca="false">SUMPRODUCT(I905:W905,_XtX!$B$96:$P$96)</f>
        <v>41.7254294590644</v>
      </c>
      <c r="Y905" s="0" t="n">
        <f aca="false">SUMPRODUCT(MMULT(I905:W905,_XtX!$B$78:$P$92),I905:W905)</f>
        <v>0.431153771472953</v>
      </c>
      <c r="Z905" s="0" t="n">
        <f aca="false">04_回帰ANOVA!$K$19*04_回帰ANOVA!$K$14*SQRT(1+Y905)</f>
        <v>1.55934259562563</v>
      </c>
      <c r="AA905" s="0" t="n">
        <f aca="false">X905-Z905</f>
        <v>40.1660868634387</v>
      </c>
      <c r="AB905" s="0" t="n">
        <f aca="false">X905+Z905</f>
        <v>43.28477205469</v>
      </c>
      <c r="AC905" s="54" t="b">
        <f aca="false">AND(E905&gt;=01_因子設定!$L$5-0.000000001,E905&lt;=01_因子設定!$M$5+0.000000001,F905&gt;=01_因子設定!$L$6-0.000000001,F905&lt;=01_因子設定!$M$6+0.000000001,G905&gt;=01_因子設定!$L$7-0.000000001,G905&lt;=01_因子設定!$M$7+0.000000001,H905&gt;=01_因子設定!$L$8-0.000000001,H905&lt;=01_因子設定!$M$8+0.000000001,IF(01_因子設定!$B$20="Box-Behnken",E905^2+F905^2+G905^2+H905^2&lt;=2+0.000000001,TRUE()))</f>
        <v>1</v>
      </c>
      <c r="AD905" s="55" t="n">
        <f aca="false">IF(AC905,IF(01_因子設定!$B$13="最大化",AA905-01_因子設定!$B$14,IF(01_因子設定!$B$13="最小化",01_因子設定!$B$15-AB905,MIN(AA905-01_因子設定!$B$14,01_因子設定!$B$15-AB905))),-1E+030)</f>
        <v>-6.33391313656128</v>
      </c>
      <c r="AE905" s="55" t="n">
        <f aca="false">IF(AC905,IF(01_因子設定!$B$13="最大化",X905,IF(01_因子設定!$B$13="最小化",-X905,-ABS(X905-01_因子設定!$B$16))),-1E+030)</f>
        <v>41.7254294590644</v>
      </c>
      <c r="AF905" s="55" t="n">
        <f aca="false">AD905+ROW()*0.000000001</f>
        <v>-6.33391223156128</v>
      </c>
      <c r="AG905" s="55" t="n">
        <f aca="false">AE905+ROW()*0.000000001</f>
        <v>41.7254303640644</v>
      </c>
    </row>
    <row r="906" customFormat="false" ht="15" hidden="false" customHeight="false" outlineLevel="0" collapsed="false">
      <c r="A906" s="0" t="n">
        <v>1</v>
      </c>
      <c r="B906" s="0" t="n">
        <v>2</v>
      </c>
      <c r="C906" s="0" t="n">
        <v>1</v>
      </c>
      <c r="D906" s="0" t="n">
        <v>1</v>
      </c>
      <c r="E906" s="0" t="n">
        <f aca="false">-1+A906*0.25</f>
        <v>-0.75</v>
      </c>
      <c r="F906" s="0" t="n">
        <f aca="false">-1+B906*0.25</f>
        <v>-0.5</v>
      </c>
      <c r="G906" s="0" t="n">
        <f aca="false">-1+C906*0.25</f>
        <v>-0.75</v>
      </c>
      <c r="H906" s="0" t="n">
        <f aca="false">-1+D906*0.25</f>
        <v>-0.75</v>
      </c>
      <c r="I906" s="0" t="n">
        <f aca="false">1</f>
        <v>1</v>
      </c>
      <c r="J906" s="0" t="n">
        <f aca="false">E906</f>
        <v>-0.75</v>
      </c>
      <c r="K906" s="0" t="n">
        <f aca="false">F906</f>
        <v>-0.5</v>
      </c>
      <c r="L906" s="0" t="n">
        <f aca="false">G906</f>
        <v>-0.75</v>
      </c>
      <c r="M906" s="0" t="n">
        <f aca="false">H906</f>
        <v>-0.75</v>
      </c>
      <c r="N906" s="0" t="n">
        <f aca="false">E906*F906</f>
        <v>0.375</v>
      </c>
      <c r="O906" s="0" t="n">
        <f aca="false">E906*G906</f>
        <v>0.5625</v>
      </c>
      <c r="P906" s="0" t="n">
        <f aca="false">E906*H906</f>
        <v>0.5625</v>
      </c>
      <c r="Q906" s="0" t="n">
        <f aca="false">F906*G906</f>
        <v>0.375</v>
      </c>
      <c r="R906" s="0" t="n">
        <f aca="false">F906*H906</f>
        <v>0.375</v>
      </c>
      <c r="S906" s="0" t="n">
        <f aca="false">G906*H906</f>
        <v>0.5625</v>
      </c>
      <c r="T906" s="0" t="n">
        <f aca="false">E906*E906</f>
        <v>0.5625</v>
      </c>
      <c r="U906" s="0" t="n">
        <f aca="false">F906*F906</f>
        <v>0.25</v>
      </c>
      <c r="V906" s="0" t="n">
        <f aca="false">G906*G906</f>
        <v>0.5625</v>
      </c>
      <c r="W906" s="0" t="n">
        <f aca="false">H906*H906</f>
        <v>0.5625</v>
      </c>
      <c r="X906" s="0" t="n">
        <f aca="false">SUMPRODUCT(I906:W906,_XtX!$B$96:$P$96)</f>
        <v>41.9433616593567</v>
      </c>
      <c r="Y906" s="0" t="n">
        <f aca="false">SUMPRODUCT(MMULT(I906:W906,_XtX!$B$78:$P$92),I906:W906)</f>
        <v>0.265632138614766</v>
      </c>
      <c r="Z906" s="0" t="n">
        <f aca="false">04_回帰ANOVA!$K$19*04_回帰ANOVA!$K$14*SQRT(1+Y906)</f>
        <v>1.46639894654257</v>
      </c>
      <c r="AA906" s="0" t="n">
        <f aca="false">X906-Z906</f>
        <v>40.4769627128142</v>
      </c>
      <c r="AB906" s="0" t="n">
        <f aca="false">X906+Z906</f>
        <v>43.4097606058993</v>
      </c>
      <c r="AC906" s="54" t="b">
        <f aca="false">AND(E906&gt;=01_因子設定!$L$5-0.000000001,E906&lt;=01_因子設定!$M$5+0.000000001,F906&gt;=01_因子設定!$L$6-0.000000001,F906&lt;=01_因子設定!$M$6+0.000000001,G906&gt;=01_因子設定!$L$7-0.000000001,G906&lt;=01_因子設定!$M$7+0.000000001,H906&gt;=01_因子設定!$L$8-0.000000001,H906&lt;=01_因子設定!$M$8+0.000000001,IF(01_因子設定!$B$20="Box-Behnken",E906^2+F906^2+G906^2+H906^2&lt;=2+0.000000001,TRUE()))</f>
        <v>1</v>
      </c>
      <c r="AD906" s="55" t="n">
        <f aca="false">IF(AC906,IF(01_因子設定!$B$13="最大化",AA906-01_因子設定!$B$14,IF(01_因子設定!$B$13="最小化",01_因子設定!$B$15-AB906,MIN(AA906-01_因子設定!$B$14,01_因子設定!$B$15-AB906))),-1E+030)</f>
        <v>-6.02303728718584</v>
      </c>
      <c r="AE906" s="55" t="n">
        <f aca="false">IF(AC906,IF(01_因子設定!$B$13="最大化",X906,IF(01_因子設定!$B$13="最小化",-X906,-ABS(X906-01_因子設定!$B$16))),-1E+030)</f>
        <v>41.9433616593567</v>
      </c>
      <c r="AF906" s="55" t="n">
        <f aca="false">AD906+ROW()*0.000000001</f>
        <v>-6.02303638118584</v>
      </c>
      <c r="AG906" s="55" t="n">
        <f aca="false">AE906+ROW()*0.000000001</f>
        <v>41.9433625653567</v>
      </c>
    </row>
    <row r="907" customFormat="false" ht="15" hidden="false" customHeight="false" outlineLevel="0" collapsed="false">
      <c r="A907" s="0" t="n">
        <v>1</v>
      </c>
      <c r="B907" s="0" t="n">
        <v>2</v>
      </c>
      <c r="C907" s="0" t="n">
        <v>1</v>
      </c>
      <c r="D907" s="0" t="n">
        <v>2</v>
      </c>
      <c r="E907" s="0" t="n">
        <f aca="false">-1+A907*0.25</f>
        <v>-0.75</v>
      </c>
      <c r="F907" s="0" t="n">
        <f aca="false">-1+B907*0.25</f>
        <v>-0.5</v>
      </c>
      <c r="G907" s="0" t="n">
        <f aca="false">-1+C907*0.25</f>
        <v>-0.75</v>
      </c>
      <c r="H907" s="0" t="n">
        <f aca="false">-1+D907*0.25</f>
        <v>-0.5</v>
      </c>
      <c r="I907" s="0" t="n">
        <f aca="false">1</f>
        <v>1</v>
      </c>
      <c r="J907" s="0" t="n">
        <f aca="false">E907</f>
        <v>-0.75</v>
      </c>
      <c r="K907" s="0" t="n">
        <f aca="false">F907</f>
        <v>-0.5</v>
      </c>
      <c r="L907" s="0" t="n">
        <f aca="false">G907</f>
        <v>-0.75</v>
      </c>
      <c r="M907" s="0" t="n">
        <f aca="false">H907</f>
        <v>-0.5</v>
      </c>
      <c r="N907" s="0" t="n">
        <f aca="false">E907*F907</f>
        <v>0.375</v>
      </c>
      <c r="O907" s="0" t="n">
        <f aca="false">E907*G907</f>
        <v>0.5625</v>
      </c>
      <c r="P907" s="0" t="n">
        <f aca="false">E907*H907</f>
        <v>0.375</v>
      </c>
      <c r="Q907" s="0" t="n">
        <f aca="false">F907*G907</f>
        <v>0.375</v>
      </c>
      <c r="R907" s="0" t="n">
        <f aca="false">F907*H907</f>
        <v>0.25</v>
      </c>
      <c r="S907" s="0" t="n">
        <f aca="false">G907*H907</f>
        <v>0.375</v>
      </c>
      <c r="T907" s="0" t="n">
        <f aca="false">E907*E907</f>
        <v>0.5625</v>
      </c>
      <c r="U907" s="0" t="n">
        <f aca="false">F907*F907</f>
        <v>0.25</v>
      </c>
      <c r="V907" s="0" t="n">
        <f aca="false">G907*G907</f>
        <v>0.5625</v>
      </c>
      <c r="W907" s="0" t="n">
        <f aca="false">H907*H907</f>
        <v>0.25</v>
      </c>
      <c r="X907" s="0" t="n">
        <f aca="false">SUMPRODUCT(I907:W907,_XtX!$B$96:$P$96)</f>
        <v>42.1134868421053</v>
      </c>
      <c r="Y907" s="0" t="n">
        <f aca="false">SUMPRODUCT(MMULT(I907:W907,_XtX!$B$78:$P$92),I907:W907)</f>
        <v>0.237862927174708</v>
      </c>
      <c r="Z907" s="0" t="n">
        <f aca="false">04_回帰ANOVA!$K$19*04_回帰ANOVA!$K$14*SQRT(1+Y907)</f>
        <v>1.45022260708756</v>
      </c>
      <c r="AA907" s="0" t="n">
        <f aca="false">X907-Z907</f>
        <v>40.6632642350177</v>
      </c>
      <c r="AB907" s="0" t="n">
        <f aca="false">X907+Z907</f>
        <v>43.5637094491928</v>
      </c>
      <c r="AC907" s="54" t="b">
        <f aca="false">AND(E907&gt;=01_因子設定!$L$5-0.000000001,E907&lt;=01_因子設定!$M$5+0.000000001,F907&gt;=01_因子設定!$L$6-0.000000001,F907&lt;=01_因子設定!$M$6+0.000000001,G907&gt;=01_因子設定!$L$7-0.000000001,G907&lt;=01_因子設定!$M$7+0.000000001,H907&gt;=01_因子設定!$L$8-0.000000001,H907&lt;=01_因子設定!$M$8+0.000000001,IF(01_因子設定!$B$20="Box-Behnken",E907^2+F907^2+G907^2+H907^2&lt;=2+0.000000001,TRUE()))</f>
        <v>1</v>
      </c>
      <c r="AD907" s="55" t="n">
        <f aca="false">IF(AC907,IF(01_因子設定!$B$13="最大化",AA907-01_因子設定!$B$14,IF(01_因子設定!$B$13="最小化",01_因子設定!$B$15-AB907,MIN(AA907-01_因子設定!$B$14,01_因子設定!$B$15-AB907))),-1E+030)</f>
        <v>-5.8367357649823</v>
      </c>
      <c r="AE907" s="55" t="n">
        <f aca="false">IF(AC907,IF(01_因子設定!$B$13="最大化",X907,IF(01_因子設定!$B$13="最小化",-X907,-ABS(X907-01_因子設定!$B$16))),-1E+030)</f>
        <v>42.1134868421053</v>
      </c>
      <c r="AF907" s="55" t="n">
        <f aca="false">AD907+ROW()*0.000000001</f>
        <v>-5.8367348579823</v>
      </c>
      <c r="AG907" s="55" t="n">
        <f aca="false">AE907+ROW()*0.000000001</f>
        <v>42.1134877491053</v>
      </c>
    </row>
    <row r="908" customFormat="false" ht="15" hidden="false" customHeight="false" outlineLevel="0" collapsed="false">
      <c r="A908" s="0" t="n">
        <v>1</v>
      </c>
      <c r="B908" s="0" t="n">
        <v>2</v>
      </c>
      <c r="C908" s="0" t="n">
        <v>1</v>
      </c>
      <c r="D908" s="0" t="n">
        <v>3</v>
      </c>
      <c r="E908" s="0" t="n">
        <f aca="false">-1+A908*0.25</f>
        <v>-0.75</v>
      </c>
      <c r="F908" s="0" t="n">
        <f aca="false">-1+B908*0.25</f>
        <v>-0.5</v>
      </c>
      <c r="G908" s="0" t="n">
        <f aca="false">-1+C908*0.25</f>
        <v>-0.75</v>
      </c>
      <c r="H908" s="0" t="n">
        <f aca="false">-1+D908*0.25</f>
        <v>-0.25</v>
      </c>
      <c r="I908" s="0" t="n">
        <f aca="false">1</f>
        <v>1</v>
      </c>
      <c r="J908" s="0" t="n">
        <f aca="false">E908</f>
        <v>-0.75</v>
      </c>
      <c r="K908" s="0" t="n">
        <f aca="false">F908</f>
        <v>-0.5</v>
      </c>
      <c r="L908" s="0" t="n">
        <f aca="false">G908</f>
        <v>-0.75</v>
      </c>
      <c r="M908" s="0" t="n">
        <f aca="false">H908</f>
        <v>-0.25</v>
      </c>
      <c r="N908" s="0" t="n">
        <f aca="false">E908*F908</f>
        <v>0.375</v>
      </c>
      <c r="O908" s="0" t="n">
        <f aca="false">E908*G908</f>
        <v>0.5625</v>
      </c>
      <c r="P908" s="0" t="n">
        <f aca="false">E908*H908</f>
        <v>0.1875</v>
      </c>
      <c r="Q908" s="0" t="n">
        <f aca="false">F908*G908</f>
        <v>0.375</v>
      </c>
      <c r="R908" s="0" t="n">
        <f aca="false">F908*H908</f>
        <v>0.125</v>
      </c>
      <c r="S908" s="0" t="n">
        <f aca="false">G908*H908</f>
        <v>0.1875</v>
      </c>
      <c r="T908" s="0" t="n">
        <f aca="false">E908*E908</f>
        <v>0.5625</v>
      </c>
      <c r="U908" s="0" t="n">
        <f aca="false">F908*F908</f>
        <v>0.25</v>
      </c>
      <c r="V908" s="0" t="n">
        <f aca="false">G908*G908</f>
        <v>0.5625</v>
      </c>
      <c r="W908" s="0" t="n">
        <f aca="false">H908*H908</f>
        <v>0.0625</v>
      </c>
      <c r="X908" s="0" t="n">
        <f aca="false">SUMPRODUCT(I908:W908,_XtX!$B$96:$P$96)</f>
        <v>42.2358050073099</v>
      </c>
      <c r="Y908" s="0" t="n">
        <f aca="false">SUMPRODUCT(MMULT(I908:W908,_XtX!$B$78:$P$92),I908:W908)</f>
        <v>0.257385610836988</v>
      </c>
      <c r="Z908" s="0" t="n">
        <f aca="false">04_回帰ANOVA!$K$19*04_回帰ANOVA!$K$14*SQRT(1+Y908)</f>
        <v>1.46161380324158</v>
      </c>
      <c r="AA908" s="0" t="n">
        <f aca="false">X908-Z908</f>
        <v>40.7741912040684</v>
      </c>
      <c r="AB908" s="0" t="n">
        <f aca="false">X908+Z908</f>
        <v>43.6974188105515</v>
      </c>
      <c r="AC908" s="54" t="b">
        <f aca="false">AND(E908&gt;=01_因子設定!$L$5-0.000000001,E908&lt;=01_因子設定!$M$5+0.000000001,F908&gt;=01_因子設定!$L$6-0.000000001,F908&lt;=01_因子設定!$M$6+0.000000001,G908&gt;=01_因子設定!$L$7-0.000000001,G908&lt;=01_因子設定!$M$7+0.000000001,H908&gt;=01_因子設定!$L$8-0.000000001,H908&lt;=01_因子設定!$M$8+0.000000001,IF(01_因子設定!$B$20="Box-Behnken",E908^2+F908^2+G908^2+H908^2&lt;=2+0.000000001,TRUE()))</f>
        <v>1</v>
      </c>
      <c r="AD908" s="55" t="n">
        <f aca="false">IF(AC908,IF(01_因子設定!$B$13="最大化",AA908-01_因子設定!$B$14,IF(01_因子設定!$B$13="最小化",01_因子設定!$B$15-AB908,MIN(AA908-01_因子設定!$B$14,01_因子設定!$B$15-AB908))),-1E+030)</f>
        <v>-5.72580879593165</v>
      </c>
      <c r="AE908" s="55" t="n">
        <f aca="false">IF(AC908,IF(01_因子設定!$B$13="最大化",X908,IF(01_因子設定!$B$13="最小化",-X908,-ABS(X908-01_因子設定!$B$16))),-1E+030)</f>
        <v>42.2358050073099</v>
      </c>
      <c r="AF908" s="55" t="n">
        <f aca="false">AD908+ROW()*0.000000001</f>
        <v>-5.72580788793165</v>
      </c>
      <c r="AG908" s="55" t="n">
        <f aca="false">AE908+ROW()*0.000000001</f>
        <v>42.2358059153099</v>
      </c>
    </row>
    <row r="909" customFormat="false" ht="15" hidden="false" customHeight="false" outlineLevel="0" collapsed="false">
      <c r="A909" s="0" t="n">
        <v>1</v>
      </c>
      <c r="B909" s="0" t="n">
        <v>2</v>
      </c>
      <c r="C909" s="0" t="n">
        <v>1</v>
      </c>
      <c r="D909" s="0" t="n">
        <v>4</v>
      </c>
      <c r="E909" s="0" t="n">
        <f aca="false">-1+A909*0.25</f>
        <v>-0.75</v>
      </c>
      <c r="F909" s="0" t="n">
        <f aca="false">-1+B909*0.25</f>
        <v>-0.5</v>
      </c>
      <c r="G909" s="0" t="n">
        <f aca="false">-1+C909*0.25</f>
        <v>-0.75</v>
      </c>
      <c r="H909" s="0" t="n">
        <f aca="false">-1+D909*0.25</f>
        <v>0</v>
      </c>
      <c r="I909" s="0" t="n">
        <f aca="false">1</f>
        <v>1</v>
      </c>
      <c r="J909" s="0" t="n">
        <f aca="false">E909</f>
        <v>-0.75</v>
      </c>
      <c r="K909" s="0" t="n">
        <f aca="false">F909</f>
        <v>-0.5</v>
      </c>
      <c r="L909" s="0" t="n">
        <f aca="false">G909</f>
        <v>-0.75</v>
      </c>
      <c r="M909" s="0" t="n">
        <f aca="false">H909</f>
        <v>0</v>
      </c>
      <c r="N909" s="0" t="n">
        <f aca="false">E909*F909</f>
        <v>0.375</v>
      </c>
      <c r="O909" s="0" t="n">
        <f aca="false">E909*G909</f>
        <v>0.5625</v>
      </c>
      <c r="P909" s="0" t="n">
        <f aca="false">E909*H909</f>
        <v>-0</v>
      </c>
      <c r="Q909" s="0" t="n">
        <f aca="false">F909*G909</f>
        <v>0.375</v>
      </c>
      <c r="R909" s="0" t="n">
        <f aca="false">F909*H909</f>
        <v>-0</v>
      </c>
      <c r="S909" s="0" t="n">
        <f aca="false">G909*H909</f>
        <v>-0</v>
      </c>
      <c r="T909" s="0" t="n">
        <f aca="false">E909*E909</f>
        <v>0.5625</v>
      </c>
      <c r="U909" s="0" t="n">
        <f aca="false">F909*F909</f>
        <v>0.25</v>
      </c>
      <c r="V909" s="0" t="n">
        <f aca="false">G909*G909</f>
        <v>0.5625</v>
      </c>
      <c r="W909" s="0" t="n">
        <f aca="false">H909*H909</f>
        <v>0</v>
      </c>
      <c r="X909" s="0" t="n">
        <f aca="false">SUMPRODUCT(I909:W909,_XtX!$B$96:$P$96)</f>
        <v>42.3103161549708</v>
      </c>
      <c r="Y909" s="0" t="n">
        <f aca="false">SUMPRODUCT(MMULT(I909:W909,_XtX!$B$78:$P$92),I909:W909)</f>
        <v>0.269923873812135</v>
      </c>
      <c r="Z909" s="0" t="n">
        <f aca="false">04_回帰ANOVA!$K$19*04_回帰ANOVA!$K$14*SQRT(1+Y909)</f>
        <v>1.46888310825501</v>
      </c>
      <c r="AA909" s="0" t="n">
        <f aca="false">X909-Z909</f>
        <v>40.8414330467157</v>
      </c>
      <c r="AB909" s="0" t="n">
        <f aca="false">X909+Z909</f>
        <v>43.7791992632258</v>
      </c>
      <c r="AC909" s="54" t="b">
        <f aca="false">AND(E909&gt;=01_因子設定!$L$5-0.000000001,E909&lt;=01_因子設定!$M$5+0.000000001,F909&gt;=01_因子設定!$L$6-0.000000001,F909&lt;=01_因子設定!$M$6+0.000000001,G909&gt;=01_因子設定!$L$7-0.000000001,G909&lt;=01_因子設定!$M$7+0.000000001,H909&gt;=01_因子設定!$L$8-0.000000001,H909&lt;=01_因子設定!$M$8+0.000000001,IF(01_因子設定!$B$20="Box-Behnken",E909^2+F909^2+G909^2+H909^2&lt;=2+0.000000001,TRUE()))</f>
        <v>1</v>
      </c>
      <c r="AD909" s="55" t="n">
        <f aca="false">IF(AC909,IF(01_因子設定!$B$13="最大化",AA909-01_因子設定!$B$14,IF(01_因子設定!$B$13="最小化",01_因子設定!$B$15-AB909,MIN(AA909-01_因子設定!$B$14,01_因子設定!$B$15-AB909))),-1E+030)</f>
        <v>-5.65856695328426</v>
      </c>
      <c r="AE909" s="55" t="n">
        <f aca="false">IF(AC909,IF(01_因子設定!$B$13="最大化",X909,IF(01_因子設定!$B$13="最小化",-X909,-ABS(X909-01_因子設定!$B$16))),-1E+030)</f>
        <v>42.3103161549708</v>
      </c>
      <c r="AF909" s="55" t="n">
        <f aca="false">AD909+ROW()*0.000000001</f>
        <v>-5.65856604428426</v>
      </c>
      <c r="AG909" s="55" t="n">
        <f aca="false">AE909+ROW()*0.000000001</f>
        <v>42.3103170639708</v>
      </c>
    </row>
    <row r="910" customFormat="false" ht="15" hidden="false" customHeight="false" outlineLevel="0" collapsed="false">
      <c r="A910" s="0" t="n">
        <v>1</v>
      </c>
      <c r="B910" s="0" t="n">
        <v>2</v>
      </c>
      <c r="C910" s="0" t="n">
        <v>1</v>
      </c>
      <c r="D910" s="0" t="n">
        <v>5</v>
      </c>
      <c r="E910" s="0" t="n">
        <f aca="false">-1+A910*0.25</f>
        <v>-0.75</v>
      </c>
      <c r="F910" s="0" t="n">
        <f aca="false">-1+B910*0.25</f>
        <v>-0.5</v>
      </c>
      <c r="G910" s="0" t="n">
        <f aca="false">-1+C910*0.25</f>
        <v>-0.75</v>
      </c>
      <c r="H910" s="0" t="n">
        <f aca="false">-1+D910*0.25</f>
        <v>0.25</v>
      </c>
      <c r="I910" s="0" t="n">
        <f aca="false">1</f>
        <v>1</v>
      </c>
      <c r="J910" s="0" t="n">
        <f aca="false">E910</f>
        <v>-0.75</v>
      </c>
      <c r="K910" s="0" t="n">
        <f aca="false">F910</f>
        <v>-0.5</v>
      </c>
      <c r="L910" s="0" t="n">
        <f aca="false">G910</f>
        <v>-0.75</v>
      </c>
      <c r="M910" s="0" t="n">
        <f aca="false">H910</f>
        <v>0.25</v>
      </c>
      <c r="N910" s="0" t="n">
        <f aca="false">E910*F910</f>
        <v>0.375</v>
      </c>
      <c r="O910" s="0" t="n">
        <f aca="false">E910*G910</f>
        <v>0.5625</v>
      </c>
      <c r="P910" s="0" t="n">
        <f aca="false">E910*H910</f>
        <v>-0.1875</v>
      </c>
      <c r="Q910" s="0" t="n">
        <f aca="false">F910*G910</f>
        <v>0.375</v>
      </c>
      <c r="R910" s="0" t="n">
        <f aca="false">F910*H910</f>
        <v>-0.125</v>
      </c>
      <c r="S910" s="0" t="n">
        <f aca="false">G910*H910</f>
        <v>-0.1875</v>
      </c>
      <c r="T910" s="0" t="n">
        <f aca="false">E910*E910</f>
        <v>0.5625</v>
      </c>
      <c r="U910" s="0" t="n">
        <f aca="false">F910*F910</f>
        <v>0.25</v>
      </c>
      <c r="V910" s="0" t="n">
        <f aca="false">G910*G910</f>
        <v>0.5625</v>
      </c>
      <c r="W910" s="0" t="n">
        <f aca="false">H910*H910</f>
        <v>0.0625</v>
      </c>
      <c r="X910" s="0" t="n">
        <f aca="false">SUMPRODUCT(I910:W910,_XtX!$B$96:$P$96)</f>
        <v>42.3370202850877</v>
      </c>
      <c r="Y910" s="0" t="n">
        <f aca="false">SUMPRODUCT(MMULT(I910:W910,_XtX!$B$78:$P$92),I910:W910)</f>
        <v>0.257385610836988</v>
      </c>
      <c r="Z910" s="0" t="n">
        <f aca="false">04_回帰ANOVA!$K$19*04_回帰ANOVA!$K$14*SQRT(1+Y910)</f>
        <v>1.46161380324158</v>
      </c>
      <c r="AA910" s="0" t="n">
        <f aca="false">X910-Z910</f>
        <v>40.8754064818461</v>
      </c>
      <c r="AB910" s="0" t="n">
        <f aca="false">X910+Z910</f>
        <v>43.7986340883293</v>
      </c>
      <c r="AC910" s="54" t="b">
        <f aca="false">AND(E910&gt;=01_因子設定!$L$5-0.000000001,E910&lt;=01_因子設定!$M$5+0.000000001,F910&gt;=01_因子設定!$L$6-0.000000001,F910&lt;=01_因子設定!$M$6+0.000000001,G910&gt;=01_因子設定!$L$7-0.000000001,G910&lt;=01_因子設定!$M$7+0.000000001,H910&gt;=01_因子設定!$L$8-0.000000001,H910&lt;=01_因子設定!$M$8+0.000000001,IF(01_因子設定!$B$20="Box-Behnken",E910^2+F910^2+G910^2+H910^2&lt;=2+0.000000001,TRUE()))</f>
        <v>1</v>
      </c>
      <c r="AD910" s="55" t="n">
        <f aca="false">IF(AC910,IF(01_因子設定!$B$13="最大化",AA910-01_因子設定!$B$14,IF(01_因子設定!$B$13="最小化",01_因子設定!$B$15-AB910,MIN(AA910-01_因子設定!$B$14,01_因子設定!$B$15-AB910))),-1E+030)</f>
        <v>-5.62459351815387</v>
      </c>
      <c r="AE910" s="55" t="n">
        <f aca="false">IF(AC910,IF(01_因子設定!$B$13="最大化",X910,IF(01_因子設定!$B$13="最小化",-X910,-ABS(X910-01_因子設定!$B$16))),-1E+030)</f>
        <v>42.3370202850877</v>
      </c>
      <c r="AF910" s="55" t="n">
        <f aca="false">AD910+ROW()*0.000000001</f>
        <v>-5.62459260815387</v>
      </c>
      <c r="AG910" s="55" t="n">
        <f aca="false">AE910+ROW()*0.000000001</f>
        <v>42.3370211950877</v>
      </c>
    </row>
    <row r="911" customFormat="false" ht="15" hidden="false" customHeight="false" outlineLevel="0" collapsed="false">
      <c r="A911" s="0" t="n">
        <v>1</v>
      </c>
      <c r="B911" s="0" t="n">
        <v>2</v>
      </c>
      <c r="C911" s="0" t="n">
        <v>1</v>
      </c>
      <c r="D911" s="0" t="n">
        <v>6</v>
      </c>
      <c r="E911" s="0" t="n">
        <f aca="false">-1+A911*0.25</f>
        <v>-0.75</v>
      </c>
      <c r="F911" s="0" t="n">
        <f aca="false">-1+B911*0.25</f>
        <v>-0.5</v>
      </c>
      <c r="G911" s="0" t="n">
        <f aca="false">-1+C911*0.25</f>
        <v>-0.75</v>
      </c>
      <c r="H911" s="0" t="n">
        <f aca="false">-1+D911*0.25</f>
        <v>0.5</v>
      </c>
      <c r="I911" s="0" t="n">
        <f aca="false">1</f>
        <v>1</v>
      </c>
      <c r="J911" s="0" t="n">
        <f aca="false">E911</f>
        <v>-0.75</v>
      </c>
      <c r="K911" s="0" t="n">
        <f aca="false">F911</f>
        <v>-0.5</v>
      </c>
      <c r="L911" s="0" t="n">
        <f aca="false">G911</f>
        <v>-0.75</v>
      </c>
      <c r="M911" s="0" t="n">
        <f aca="false">H911</f>
        <v>0.5</v>
      </c>
      <c r="N911" s="0" t="n">
        <f aca="false">E911*F911</f>
        <v>0.375</v>
      </c>
      <c r="O911" s="0" t="n">
        <f aca="false">E911*G911</f>
        <v>0.5625</v>
      </c>
      <c r="P911" s="0" t="n">
        <f aca="false">E911*H911</f>
        <v>-0.375</v>
      </c>
      <c r="Q911" s="0" t="n">
        <f aca="false">F911*G911</f>
        <v>0.375</v>
      </c>
      <c r="R911" s="0" t="n">
        <f aca="false">F911*H911</f>
        <v>-0.25</v>
      </c>
      <c r="S911" s="0" t="n">
        <f aca="false">G911*H911</f>
        <v>-0.375</v>
      </c>
      <c r="T911" s="0" t="n">
        <f aca="false">E911*E911</f>
        <v>0.5625</v>
      </c>
      <c r="U911" s="0" t="n">
        <f aca="false">F911*F911</f>
        <v>0.25</v>
      </c>
      <c r="V911" s="0" t="n">
        <f aca="false">G911*G911</f>
        <v>0.5625</v>
      </c>
      <c r="W911" s="0" t="n">
        <f aca="false">H911*H911</f>
        <v>0.25</v>
      </c>
      <c r="X911" s="0" t="n">
        <f aca="false">SUMPRODUCT(I911:W911,_XtX!$B$96:$P$96)</f>
        <v>42.3159173976608</v>
      </c>
      <c r="Y911" s="0" t="n">
        <f aca="false">SUMPRODUCT(MMULT(I911:W911,_XtX!$B$78:$P$92),I911:W911)</f>
        <v>0.237862927174708</v>
      </c>
      <c r="Z911" s="0" t="n">
        <f aca="false">04_回帰ANOVA!$K$19*04_回帰ANOVA!$K$14*SQRT(1+Y911)</f>
        <v>1.45022260708756</v>
      </c>
      <c r="AA911" s="0" t="n">
        <f aca="false">X911-Z911</f>
        <v>40.8656947905733</v>
      </c>
      <c r="AB911" s="0" t="n">
        <f aca="false">X911+Z911</f>
        <v>43.7661400047484</v>
      </c>
      <c r="AC911" s="54" t="b">
        <f aca="false">AND(E911&gt;=01_因子設定!$L$5-0.000000001,E911&lt;=01_因子設定!$M$5+0.000000001,F911&gt;=01_因子設定!$L$6-0.000000001,F911&lt;=01_因子設定!$M$6+0.000000001,G911&gt;=01_因子設定!$L$7-0.000000001,G911&lt;=01_因子設定!$M$7+0.000000001,H911&gt;=01_因子設定!$L$8-0.000000001,H911&lt;=01_因子設定!$M$8+0.000000001,IF(01_因子設定!$B$20="Box-Behnken",E911^2+F911^2+G911^2+H911^2&lt;=2+0.000000001,TRUE()))</f>
        <v>1</v>
      </c>
      <c r="AD911" s="55" t="n">
        <f aca="false">IF(AC911,IF(01_因子設定!$B$13="最大化",AA911-01_因子設定!$B$14,IF(01_因子設定!$B$13="最小化",01_因子設定!$B$15-AB911,MIN(AA911-01_因子設定!$B$14,01_因子設定!$B$15-AB911))),-1E+030)</f>
        <v>-5.63430520942674</v>
      </c>
      <c r="AE911" s="55" t="n">
        <f aca="false">IF(AC911,IF(01_因子設定!$B$13="最大化",X911,IF(01_因子設定!$B$13="最小化",-X911,-ABS(X911-01_因子設定!$B$16))),-1E+030)</f>
        <v>42.3159173976608</v>
      </c>
      <c r="AF911" s="55" t="n">
        <f aca="false">AD911+ROW()*0.000000001</f>
        <v>-5.63430429842674</v>
      </c>
      <c r="AG911" s="55" t="n">
        <f aca="false">AE911+ROW()*0.000000001</f>
        <v>42.3159183086608</v>
      </c>
    </row>
    <row r="912" customFormat="false" ht="15" hidden="false" customHeight="false" outlineLevel="0" collapsed="false">
      <c r="A912" s="0" t="n">
        <v>1</v>
      </c>
      <c r="B912" s="0" t="n">
        <v>2</v>
      </c>
      <c r="C912" s="0" t="n">
        <v>1</v>
      </c>
      <c r="D912" s="0" t="n">
        <v>7</v>
      </c>
      <c r="E912" s="0" t="n">
        <f aca="false">-1+A912*0.25</f>
        <v>-0.75</v>
      </c>
      <c r="F912" s="0" t="n">
        <f aca="false">-1+B912*0.25</f>
        <v>-0.5</v>
      </c>
      <c r="G912" s="0" t="n">
        <f aca="false">-1+C912*0.25</f>
        <v>-0.75</v>
      </c>
      <c r="H912" s="0" t="n">
        <f aca="false">-1+D912*0.25</f>
        <v>0.75</v>
      </c>
      <c r="I912" s="0" t="n">
        <f aca="false">1</f>
        <v>1</v>
      </c>
      <c r="J912" s="0" t="n">
        <f aca="false">E912</f>
        <v>-0.75</v>
      </c>
      <c r="K912" s="0" t="n">
        <f aca="false">F912</f>
        <v>-0.5</v>
      </c>
      <c r="L912" s="0" t="n">
        <f aca="false">G912</f>
        <v>-0.75</v>
      </c>
      <c r="M912" s="0" t="n">
        <f aca="false">H912</f>
        <v>0.75</v>
      </c>
      <c r="N912" s="0" t="n">
        <f aca="false">E912*F912</f>
        <v>0.375</v>
      </c>
      <c r="O912" s="0" t="n">
        <f aca="false">E912*G912</f>
        <v>0.5625</v>
      </c>
      <c r="P912" s="0" t="n">
        <f aca="false">E912*H912</f>
        <v>-0.5625</v>
      </c>
      <c r="Q912" s="0" t="n">
        <f aca="false">F912*G912</f>
        <v>0.375</v>
      </c>
      <c r="R912" s="0" t="n">
        <f aca="false">F912*H912</f>
        <v>-0.375</v>
      </c>
      <c r="S912" s="0" t="n">
        <f aca="false">G912*H912</f>
        <v>-0.5625</v>
      </c>
      <c r="T912" s="0" t="n">
        <f aca="false">E912*E912</f>
        <v>0.5625</v>
      </c>
      <c r="U912" s="0" t="n">
        <f aca="false">F912*F912</f>
        <v>0.25</v>
      </c>
      <c r="V912" s="0" t="n">
        <f aca="false">G912*G912</f>
        <v>0.5625</v>
      </c>
      <c r="W912" s="0" t="n">
        <f aca="false">H912*H912</f>
        <v>0.5625</v>
      </c>
      <c r="X912" s="0" t="n">
        <f aca="false">SUMPRODUCT(I912:W912,_XtX!$B$96:$P$96)</f>
        <v>42.2470074926901</v>
      </c>
      <c r="Y912" s="0" t="n">
        <f aca="false">SUMPRODUCT(MMULT(I912:W912,_XtX!$B$78:$P$92),I912:W912)</f>
        <v>0.265632138614766</v>
      </c>
      <c r="Z912" s="0" t="n">
        <f aca="false">04_回帰ANOVA!$K$19*04_回帰ANOVA!$K$14*SQRT(1+Y912)</f>
        <v>1.46639894654257</v>
      </c>
      <c r="AA912" s="0" t="n">
        <f aca="false">X912-Z912</f>
        <v>40.7806085461475</v>
      </c>
      <c r="AB912" s="0" t="n">
        <f aca="false">X912+Z912</f>
        <v>43.7134064392326</v>
      </c>
      <c r="AC912" s="54" t="b">
        <f aca="false">AND(E912&gt;=01_因子設定!$L$5-0.000000001,E912&lt;=01_因子設定!$M$5+0.000000001,F912&gt;=01_因子設定!$L$6-0.000000001,F912&lt;=01_因子設定!$M$6+0.000000001,G912&gt;=01_因子設定!$L$7-0.000000001,G912&lt;=01_因子設定!$M$7+0.000000001,H912&gt;=01_因子設定!$L$8-0.000000001,H912&lt;=01_因子設定!$M$8+0.000000001,IF(01_因子設定!$B$20="Box-Behnken",E912^2+F912^2+G912^2+H912^2&lt;=2+0.000000001,TRUE()))</f>
        <v>1</v>
      </c>
      <c r="AD912" s="55" t="n">
        <f aca="false">IF(AC912,IF(01_因子設定!$B$13="最大化",AA912-01_因子設定!$B$14,IF(01_因子設定!$B$13="最小化",01_因子設定!$B$15-AB912,MIN(AA912-01_因子設定!$B$14,01_因子設定!$B$15-AB912))),-1E+030)</f>
        <v>-5.71939145385251</v>
      </c>
      <c r="AE912" s="55" t="n">
        <f aca="false">IF(AC912,IF(01_因子設定!$B$13="最大化",X912,IF(01_因子設定!$B$13="最小化",-X912,-ABS(X912-01_因子設定!$B$16))),-1E+030)</f>
        <v>42.2470074926901</v>
      </c>
      <c r="AF912" s="55" t="n">
        <f aca="false">AD912+ROW()*0.000000001</f>
        <v>-5.71939054185251</v>
      </c>
      <c r="AG912" s="55" t="n">
        <f aca="false">AE912+ROW()*0.000000001</f>
        <v>42.2470084046901</v>
      </c>
    </row>
    <row r="913" customFormat="false" ht="15" hidden="false" customHeight="false" outlineLevel="0" collapsed="false">
      <c r="A913" s="0" t="n">
        <v>1</v>
      </c>
      <c r="B913" s="0" t="n">
        <v>2</v>
      </c>
      <c r="C913" s="0" t="n">
        <v>1</v>
      </c>
      <c r="D913" s="0" t="n">
        <v>8</v>
      </c>
      <c r="E913" s="0" t="n">
        <f aca="false">-1+A913*0.25</f>
        <v>-0.75</v>
      </c>
      <c r="F913" s="0" t="n">
        <f aca="false">-1+B913*0.25</f>
        <v>-0.5</v>
      </c>
      <c r="G913" s="0" t="n">
        <f aca="false">-1+C913*0.25</f>
        <v>-0.75</v>
      </c>
      <c r="H913" s="0" t="n">
        <f aca="false">-1+D913*0.25</f>
        <v>1</v>
      </c>
      <c r="I913" s="0" t="n">
        <f aca="false">1</f>
        <v>1</v>
      </c>
      <c r="J913" s="0" t="n">
        <f aca="false">E913</f>
        <v>-0.75</v>
      </c>
      <c r="K913" s="0" t="n">
        <f aca="false">F913</f>
        <v>-0.5</v>
      </c>
      <c r="L913" s="0" t="n">
        <f aca="false">G913</f>
        <v>-0.75</v>
      </c>
      <c r="M913" s="0" t="n">
        <f aca="false">H913</f>
        <v>1</v>
      </c>
      <c r="N913" s="0" t="n">
        <f aca="false">E913*F913</f>
        <v>0.375</v>
      </c>
      <c r="O913" s="0" t="n">
        <f aca="false">E913*G913</f>
        <v>0.5625</v>
      </c>
      <c r="P913" s="0" t="n">
        <f aca="false">E913*H913</f>
        <v>-0.75</v>
      </c>
      <c r="Q913" s="0" t="n">
        <f aca="false">F913*G913</f>
        <v>0.375</v>
      </c>
      <c r="R913" s="0" t="n">
        <f aca="false">F913*H913</f>
        <v>-0.5</v>
      </c>
      <c r="S913" s="0" t="n">
        <f aca="false">G913*H913</f>
        <v>-0.75</v>
      </c>
      <c r="T913" s="0" t="n">
        <f aca="false">E913*E913</f>
        <v>0.5625</v>
      </c>
      <c r="U913" s="0" t="n">
        <f aca="false">F913*F913</f>
        <v>0.25</v>
      </c>
      <c r="V913" s="0" t="n">
        <f aca="false">G913*G913</f>
        <v>0.5625</v>
      </c>
      <c r="W913" s="0" t="n">
        <f aca="false">H913*H913</f>
        <v>1</v>
      </c>
      <c r="X913" s="0" t="n">
        <f aca="false">SUMPRODUCT(I913:W913,_XtX!$B$96:$P$96)</f>
        <v>42.1302905701755</v>
      </c>
      <c r="Y913" s="0" t="n">
        <f aca="false">SUMPRODUCT(MMULT(I913:W913,_XtX!$B$78:$P$92),I913:W913)</f>
        <v>0.431153771472953</v>
      </c>
      <c r="Z913" s="0" t="n">
        <f aca="false">04_回帰ANOVA!$K$19*04_回帰ANOVA!$K$14*SQRT(1+Y913)</f>
        <v>1.55934259562563</v>
      </c>
      <c r="AA913" s="0" t="n">
        <f aca="false">X913-Z913</f>
        <v>40.5709479745498</v>
      </c>
      <c r="AB913" s="0" t="n">
        <f aca="false">X913+Z913</f>
        <v>43.6896331658011</v>
      </c>
      <c r="AC913" s="54" t="b">
        <f aca="false">AND(E913&gt;=01_因子設定!$L$5-0.000000001,E913&lt;=01_因子設定!$M$5+0.000000001,F913&gt;=01_因子設定!$L$6-0.000000001,F913&lt;=01_因子設定!$M$6+0.000000001,G913&gt;=01_因子設定!$L$7-0.000000001,G913&lt;=01_因子設定!$M$7+0.000000001,H913&gt;=01_因子設定!$L$8-0.000000001,H913&lt;=01_因子設定!$M$8+0.000000001,IF(01_因子設定!$B$20="Box-Behnken",E913^2+F913^2+G913^2+H913^2&lt;=2+0.000000001,TRUE()))</f>
        <v>1</v>
      </c>
      <c r="AD913" s="55" t="n">
        <f aca="false">IF(AC913,IF(01_因子設定!$B$13="最大化",AA913-01_因子設定!$B$14,IF(01_因子設定!$B$13="最小化",01_因子設定!$B$15-AB913,MIN(AA913-01_因子設定!$B$14,01_因子設定!$B$15-AB913))),-1E+030)</f>
        <v>-5.92905202545017</v>
      </c>
      <c r="AE913" s="55" t="n">
        <f aca="false">IF(AC913,IF(01_因子設定!$B$13="最大化",X913,IF(01_因子設定!$B$13="最小化",-X913,-ABS(X913-01_因子設定!$B$16))),-1E+030)</f>
        <v>42.1302905701755</v>
      </c>
      <c r="AF913" s="55" t="n">
        <f aca="false">AD913+ROW()*0.000000001</f>
        <v>-5.92905111245017</v>
      </c>
      <c r="AG913" s="55" t="n">
        <f aca="false">AE913+ROW()*0.000000001</f>
        <v>42.1302914831755</v>
      </c>
    </row>
    <row r="914" customFormat="false" ht="15" hidden="false" customHeight="false" outlineLevel="0" collapsed="false">
      <c r="A914" s="0" t="n">
        <v>1</v>
      </c>
      <c r="B914" s="0" t="n">
        <v>2</v>
      </c>
      <c r="C914" s="0" t="n">
        <v>2</v>
      </c>
      <c r="D914" s="0" t="n">
        <v>0</v>
      </c>
      <c r="E914" s="0" t="n">
        <f aca="false">-1+A914*0.25</f>
        <v>-0.75</v>
      </c>
      <c r="F914" s="0" t="n">
        <f aca="false">-1+B914*0.25</f>
        <v>-0.5</v>
      </c>
      <c r="G914" s="0" t="n">
        <f aca="false">-1+C914*0.25</f>
        <v>-0.5</v>
      </c>
      <c r="H914" s="0" t="n">
        <f aca="false">-1+D914*0.25</f>
        <v>-1</v>
      </c>
      <c r="I914" s="0" t="n">
        <f aca="false">1</f>
        <v>1</v>
      </c>
      <c r="J914" s="0" t="n">
        <f aca="false">E914</f>
        <v>-0.75</v>
      </c>
      <c r="K914" s="0" t="n">
        <f aca="false">F914</f>
        <v>-0.5</v>
      </c>
      <c r="L914" s="0" t="n">
        <f aca="false">G914</f>
        <v>-0.5</v>
      </c>
      <c r="M914" s="0" t="n">
        <f aca="false">H914</f>
        <v>-1</v>
      </c>
      <c r="N914" s="0" t="n">
        <f aca="false">E914*F914</f>
        <v>0.375</v>
      </c>
      <c r="O914" s="0" t="n">
        <f aca="false">E914*G914</f>
        <v>0.375</v>
      </c>
      <c r="P914" s="0" t="n">
        <f aca="false">E914*H914</f>
        <v>0.75</v>
      </c>
      <c r="Q914" s="0" t="n">
        <f aca="false">F914*G914</f>
        <v>0.25</v>
      </c>
      <c r="R914" s="0" t="n">
        <f aca="false">F914*H914</f>
        <v>0.5</v>
      </c>
      <c r="S914" s="0" t="n">
        <f aca="false">G914*H914</f>
        <v>0.5</v>
      </c>
      <c r="T914" s="0" t="n">
        <f aca="false">E914*E914</f>
        <v>0.5625</v>
      </c>
      <c r="U914" s="0" t="n">
        <f aca="false">F914*F914</f>
        <v>0.25</v>
      </c>
      <c r="V914" s="0" t="n">
        <f aca="false">G914*G914</f>
        <v>0.25</v>
      </c>
      <c r="W914" s="0" t="n">
        <f aca="false">H914*H914</f>
        <v>1</v>
      </c>
      <c r="X914" s="0" t="n">
        <f aca="false">SUMPRODUCT(I914:W914,_XtX!$B$96:$P$96)</f>
        <v>42.1954678362573</v>
      </c>
      <c r="Y914" s="0" t="n">
        <f aca="false">SUMPRODUCT(MMULT(I914:W914,_XtX!$B$78:$P$92),I914:W914)</f>
        <v>0.42602110745614</v>
      </c>
      <c r="Z914" s="0" t="n">
        <f aca="false">04_回帰ANOVA!$K$19*04_回帰ANOVA!$K$14*SQRT(1+Y914)</f>
        <v>1.55654388501114</v>
      </c>
      <c r="AA914" s="0" t="n">
        <f aca="false">X914-Z914</f>
        <v>40.6389239512462</v>
      </c>
      <c r="AB914" s="0" t="n">
        <f aca="false">X914+Z914</f>
        <v>43.7520117212685</v>
      </c>
      <c r="AC914" s="54" t="b">
        <f aca="false">AND(E914&gt;=01_因子設定!$L$5-0.000000001,E914&lt;=01_因子設定!$M$5+0.000000001,F914&gt;=01_因子設定!$L$6-0.000000001,F914&lt;=01_因子設定!$M$6+0.000000001,G914&gt;=01_因子設定!$L$7-0.000000001,G914&lt;=01_因子設定!$M$7+0.000000001,H914&gt;=01_因子設定!$L$8-0.000000001,H914&lt;=01_因子設定!$M$8+0.000000001,IF(01_因子設定!$B$20="Box-Behnken",E914^2+F914^2+G914^2+H914^2&lt;=2+0.000000001,TRUE()))</f>
        <v>1</v>
      </c>
      <c r="AD914" s="55" t="n">
        <f aca="false">IF(AC914,IF(01_因子設定!$B$13="最大化",AA914-01_因子設定!$B$14,IF(01_因子設定!$B$13="最小化",01_因子設定!$B$15-AB914,MIN(AA914-01_因子設定!$B$14,01_因子設定!$B$15-AB914))),-1E+030)</f>
        <v>-5.8610760487538</v>
      </c>
      <c r="AE914" s="55" t="n">
        <f aca="false">IF(AC914,IF(01_因子設定!$B$13="最大化",X914,IF(01_因子設定!$B$13="最小化",-X914,-ABS(X914-01_因子設定!$B$16))),-1E+030)</f>
        <v>42.1954678362573</v>
      </c>
      <c r="AF914" s="55" t="n">
        <f aca="false">AD914+ROW()*0.000000001</f>
        <v>-5.8610751347538</v>
      </c>
      <c r="AG914" s="55" t="n">
        <f aca="false">AE914+ROW()*0.000000001</f>
        <v>42.1954687502573</v>
      </c>
    </row>
    <row r="915" customFormat="false" ht="15" hidden="false" customHeight="false" outlineLevel="0" collapsed="false">
      <c r="A915" s="0" t="n">
        <v>1</v>
      </c>
      <c r="B915" s="0" t="n">
        <v>2</v>
      </c>
      <c r="C915" s="0" t="n">
        <v>2</v>
      </c>
      <c r="D915" s="0" t="n">
        <v>1</v>
      </c>
      <c r="E915" s="0" t="n">
        <f aca="false">-1+A915*0.25</f>
        <v>-0.75</v>
      </c>
      <c r="F915" s="0" t="n">
        <f aca="false">-1+B915*0.25</f>
        <v>-0.5</v>
      </c>
      <c r="G915" s="0" t="n">
        <f aca="false">-1+C915*0.25</f>
        <v>-0.5</v>
      </c>
      <c r="H915" s="0" t="n">
        <f aca="false">-1+D915*0.25</f>
        <v>-0.75</v>
      </c>
      <c r="I915" s="0" t="n">
        <f aca="false">1</f>
        <v>1</v>
      </c>
      <c r="J915" s="0" t="n">
        <f aca="false">E915</f>
        <v>-0.75</v>
      </c>
      <c r="K915" s="0" t="n">
        <f aca="false">F915</f>
        <v>-0.5</v>
      </c>
      <c r="L915" s="0" t="n">
        <f aca="false">G915</f>
        <v>-0.5</v>
      </c>
      <c r="M915" s="0" t="n">
        <f aca="false">H915</f>
        <v>-0.75</v>
      </c>
      <c r="N915" s="0" t="n">
        <f aca="false">E915*F915</f>
        <v>0.375</v>
      </c>
      <c r="O915" s="0" t="n">
        <f aca="false">E915*G915</f>
        <v>0.375</v>
      </c>
      <c r="P915" s="0" t="n">
        <f aca="false">E915*H915</f>
        <v>0.5625</v>
      </c>
      <c r="Q915" s="0" t="n">
        <f aca="false">F915*G915</f>
        <v>0.25</v>
      </c>
      <c r="R915" s="0" t="n">
        <f aca="false">F915*H915</f>
        <v>0.375</v>
      </c>
      <c r="S915" s="0" t="n">
        <f aca="false">G915*H915</f>
        <v>0.375</v>
      </c>
      <c r="T915" s="0" t="n">
        <f aca="false">E915*E915</f>
        <v>0.5625</v>
      </c>
      <c r="U915" s="0" t="n">
        <f aca="false">F915*F915</f>
        <v>0.25</v>
      </c>
      <c r="V915" s="0" t="n">
        <f aca="false">G915*G915</f>
        <v>0.25</v>
      </c>
      <c r="W915" s="0" t="n">
        <f aca="false">H915*H915</f>
        <v>0.5625</v>
      </c>
      <c r="X915" s="0" t="n">
        <f aca="false">SUMPRODUCT(I915:W915,_XtX!$B$96:$P$96)</f>
        <v>42.4313687865497</v>
      </c>
      <c r="Y915" s="0" t="n">
        <f aca="false">SUMPRODUCT(MMULT(I915:W915,_XtX!$B$78:$P$92),I915:W915)</f>
        <v>0.237862927174708</v>
      </c>
      <c r="Z915" s="0" t="n">
        <f aca="false">04_回帰ANOVA!$K$19*04_回帰ANOVA!$K$14*SQRT(1+Y915)</f>
        <v>1.45022260708756</v>
      </c>
      <c r="AA915" s="0" t="n">
        <f aca="false">X915-Z915</f>
        <v>40.9811461794622</v>
      </c>
      <c r="AB915" s="0" t="n">
        <f aca="false">X915+Z915</f>
        <v>43.8815913936373</v>
      </c>
      <c r="AC915" s="54" t="b">
        <f aca="false">AND(E915&gt;=01_因子設定!$L$5-0.000000001,E915&lt;=01_因子設定!$M$5+0.000000001,F915&gt;=01_因子設定!$L$6-0.000000001,F915&lt;=01_因子設定!$M$6+0.000000001,G915&gt;=01_因子設定!$L$7-0.000000001,G915&lt;=01_因子設定!$M$7+0.000000001,H915&gt;=01_因子設定!$L$8-0.000000001,H915&lt;=01_因子設定!$M$8+0.000000001,IF(01_因子設定!$B$20="Box-Behnken",E915^2+F915^2+G915^2+H915^2&lt;=2+0.000000001,TRUE()))</f>
        <v>1</v>
      </c>
      <c r="AD915" s="55" t="n">
        <f aca="false">IF(AC915,IF(01_因子設定!$B$13="最大化",AA915-01_因子設定!$B$14,IF(01_因子設定!$B$13="最小化",01_因子設定!$B$15-AB915,MIN(AA915-01_因子設定!$B$14,01_因子設定!$B$15-AB915))),-1E+030)</f>
        <v>-5.51885382053784</v>
      </c>
      <c r="AE915" s="55" t="n">
        <f aca="false">IF(AC915,IF(01_因子設定!$B$13="最大化",X915,IF(01_因子設定!$B$13="最小化",-X915,-ABS(X915-01_因子設定!$B$16))),-1E+030)</f>
        <v>42.4313687865497</v>
      </c>
      <c r="AF915" s="55" t="n">
        <f aca="false">AD915+ROW()*0.000000001</f>
        <v>-5.51885290553784</v>
      </c>
      <c r="AG915" s="55" t="n">
        <f aca="false">AE915+ROW()*0.000000001</f>
        <v>42.4313697015497</v>
      </c>
    </row>
    <row r="916" customFormat="false" ht="15" hidden="false" customHeight="false" outlineLevel="0" collapsed="false">
      <c r="A916" s="0" t="n">
        <v>1</v>
      </c>
      <c r="B916" s="0" t="n">
        <v>2</v>
      </c>
      <c r="C916" s="0" t="n">
        <v>2</v>
      </c>
      <c r="D916" s="0" t="n">
        <v>2</v>
      </c>
      <c r="E916" s="0" t="n">
        <f aca="false">-1+A916*0.25</f>
        <v>-0.75</v>
      </c>
      <c r="F916" s="0" t="n">
        <f aca="false">-1+B916*0.25</f>
        <v>-0.5</v>
      </c>
      <c r="G916" s="0" t="n">
        <f aca="false">-1+C916*0.25</f>
        <v>-0.5</v>
      </c>
      <c r="H916" s="0" t="n">
        <f aca="false">-1+D916*0.25</f>
        <v>-0.5</v>
      </c>
      <c r="I916" s="0" t="n">
        <f aca="false">1</f>
        <v>1</v>
      </c>
      <c r="J916" s="0" t="n">
        <f aca="false">E916</f>
        <v>-0.75</v>
      </c>
      <c r="K916" s="0" t="n">
        <f aca="false">F916</f>
        <v>-0.5</v>
      </c>
      <c r="L916" s="0" t="n">
        <f aca="false">G916</f>
        <v>-0.5</v>
      </c>
      <c r="M916" s="0" t="n">
        <f aca="false">H916</f>
        <v>-0.5</v>
      </c>
      <c r="N916" s="0" t="n">
        <f aca="false">E916*F916</f>
        <v>0.375</v>
      </c>
      <c r="O916" s="0" t="n">
        <f aca="false">E916*G916</f>
        <v>0.375</v>
      </c>
      <c r="P916" s="0" t="n">
        <f aca="false">E916*H916</f>
        <v>0.375</v>
      </c>
      <c r="Q916" s="0" t="n">
        <f aca="false">F916*G916</f>
        <v>0.25</v>
      </c>
      <c r="R916" s="0" t="n">
        <f aca="false">F916*H916</f>
        <v>0.25</v>
      </c>
      <c r="S916" s="0" t="n">
        <f aca="false">G916*H916</f>
        <v>0.25</v>
      </c>
      <c r="T916" s="0" t="n">
        <f aca="false">E916*E916</f>
        <v>0.5625</v>
      </c>
      <c r="U916" s="0" t="n">
        <f aca="false">F916*F916</f>
        <v>0.25</v>
      </c>
      <c r="V916" s="0" t="n">
        <f aca="false">G916*G916</f>
        <v>0.25</v>
      </c>
      <c r="W916" s="0" t="n">
        <f aca="false">H916*H916</f>
        <v>0.25</v>
      </c>
      <c r="X916" s="0" t="n">
        <f aca="false">SUMPRODUCT(I916:W916,_XtX!$B$96:$P$96)</f>
        <v>42.6194627192982</v>
      </c>
      <c r="Y916" s="0" t="n">
        <f aca="false">SUMPRODUCT(MMULT(I916:W916,_XtX!$B$78:$P$92),I916:W916)</f>
        <v>0.193924753289474</v>
      </c>
      <c r="Z916" s="0" t="n">
        <f aca="false">04_回帰ANOVA!$K$19*04_回帰ANOVA!$K$14*SQRT(1+Y916)</f>
        <v>1.4242521079916</v>
      </c>
      <c r="AA916" s="0" t="n">
        <f aca="false">X916-Z916</f>
        <v>41.1952106113066</v>
      </c>
      <c r="AB916" s="0" t="n">
        <f aca="false">X916+Z916</f>
        <v>44.0437148272898</v>
      </c>
      <c r="AC916" s="54" t="b">
        <f aca="false">AND(E916&gt;=01_因子設定!$L$5-0.000000001,E916&lt;=01_因子設定!$M$5+0.000000001,F916&gt;=01_因子設定!$L$6-0.000000001,F916&lt;=01_因子設定!$M$6+0.000000001,G916&gt;=01_因子設定!$L$7-0.000000001,G916&lt;=01_因子設定!$M$7+0.000000001,H916&gt;=01_因子設定!$L$8-0.000000001,H916&lt;=01_因子設定!$M$8+0.000000001,IF(01_因子設定!$B$20="Box-Behnken",E916^2+F916^2+G916^2+H916^2&lt;=2+0.000000001,TRUE()))</f>
        <v>1</v>
      </c>
      <c r="AD916" s="55" t="n">
        <f aca="false">IF(AC916,IF(01_因子設定!$B$13="最大化",AA916-01_因子設定!$B$14,IF(01_因子設定!$B$13="最小化",01_因子設定!$B$15-AB916,MIN(AA916-01_因子設定!$B$14,01_因子設定!$B$15-AB916))),-1E+030)</f>
        <v>-5.30478938869336</v>
      </c>
      <c r="AE916" s="55" t="n">
        <f aca="false">IF(AC916,IF(01_因子設定!$B$13="最大化",X916,IF(01_因子設定!$B$13="最小化",-X916,-ABS(X916-01_因子設定!$B$16))),-1E+030)</f>
        <v>42.6194627192982</v>
      </c>
      <c r="AF916" s="55" t="n">
        <f aca="false">AD916+ROW()*0.000000001</f>
        <v>-5.30478847269336</v>
      </c>
      <c r="AG916" s="55" t="n">
        <f aca="false">AE916+ROW()*0.000000001</f>
        <v>42.6194636352982</v>
      </c>
    </row>
    <row r="917" customFormat="false" ht="15" hidden="false" customHeight="false" outlineLevel="0" collapsed="false">
      <c r="A917" s="0" t="n">
        <v>1</v>
      </c>
      <c r="B917" s="0" t="n">
        <v>2</v>
      </c>
      <c r="C917" s="0" t="n">
        <v>2</v>
      </c>
      <c r="D917" s="0" t="n">
        <v>3</v>
      </c>
      <c r="E917" s="0" t="n">
        <f aca="false">-1+A917*0.25</f>
        <v>-0.75</v>
      </c>
      <c r="F917" s="0" t="n">
        <f aca="false">-1+B917*0.25</f>
        <v>-0.5</v>
      </c>
      <c r="G917" s="0" t="n">
        <f aca="false">-1+C917*0.25</f>
        <v>-0.5</v>
      </c>
      <c r="H917" s="0" t="n">
        <f aca="false">-1+D917*0.25</f>
        <v>-0.25</v>
      </c>
      <c r="I917" s="0" t="n">
        <f aca="false">1</f>
        <v>1</v>
      </c>
      <c r="J917" s="0" t="n">
        <f aca="false">E917</f>
        <v>-0.75</v>
      </c>
      <c r="K917" s="0" t="n">
        <f aca="false">F917</f>
        <v>-0.5</v>
      </c>
      <c r="L917" s="0" t="n">
        <f aca="false">G917</f>
        <v>-0.5</v>
      </c>
      <c r="M917" s="0" t="n">
        <f aca="false">H917</f>
        <v>-0.25</v>
      </c>
      <c r="N917" s="0" t="n">
        <f aca="false">E917*F917</f>
        <v>0.375</v>
      </c>
      <c r="O917" s="0" t="n">
        <f aca="false">E917*G917</f>
        <v>0.375</v>
      </c>
      <c r="P917" s="0" t="n">
        <f aca="false">E917*H917</f>
        <v>0.1875</v>
      </c>
      <c r="Q917" s="0" t="n">
        <f aca="false">F917*G917</f>
        <v>0.25</v>
      </c>
      <c r="R917" s="0" t="n">
        <f aca="false">F917*H917</f>
        <v>0.125</v>
      </c>
      <c r="S917" s="0" t="n">
        <f aca="false">G917*H917</f>
        <v>0.125</v>
      </c>
      <c r="T917" s="0" t="n">
        <f aca="false">E917*E917</f>
        <v>0.5625</v>
      </c>
      <c r="U917" s="0" t="n">
        <f aca="false">F917*F917</f>
        <v>0.25</v>
      </c>
      <c r="V917" s="0" t="n">
        <f aca="false">G917*G917</f>
        <v>0.25</v>
      </c>
      <c r="W917" s="0" t="n">
        <f aca="false">H917*H917</f>
        <v>0.0625</v>
      </c>
      <c r="X917" s="0" t="n">
        <f aca="false">SUMPRODUCT(I917:W917,_XtX!$B$96:$P$96)</f>
        <v>42.7597496345029</v>
      </c>
      <c r="Y917" s="0" t="n">
        <f aca="false">SUMPRODUCT(MMULT(I917:W917,_XtX!$B$78:$P$92),I917:W917)</f>
        <v>0.203746059484649</v>
      </c>
      <c r="Z917" s="0" t="n">
        <f aca="false">04_回帰ANOVA!$K$19*04_回帰ANOVA!$K$14*SQRT(1+Y917)</f>
        <v>1.43009810755465</v>
      </c>
      <c r="AA917" s="0" t="n">
        <f aca="false">X917-Z917</f>
        <v>41.3296515269483</v>
      </c>
      <c r="AB917" s="0" t="n">
        <f aca="false">X917+Z917</f>
        <v>44.1898477420576</v>
      </c>
      <c r="AC917" s="54" t="b">
        <f aca="false">AND(E917&gt;=01_因子設定!$L$5-0.000000001,E917&lt;=01_因子設定!$M$5+0.000000001,F917&gt;=01_因子設定!$L$6-0.000000001,F917&lt;=01_因子設定!$M$6+0.000000001,G917&gt;=01_因子設定!$L$7-0.000000001,G917&lt;=01_因子設定!$M$7+0.000000001,H917&gt;=01_因子設定!$L$8-0.000000001,H917&lt;=01_因子設定!$M$8+0.000000001,IF(01_因子設定!$B$20="Box-Behnken",E917^2+F917^2+G917^2+H917^2&lt;=2+0.000000001,TRUE()))</f>
        <v>1</v>
      </c>
      <c r="AD917" s="55" t="n">
        <f aca="false">IF(AC917,IF(01_因子設定!$B$13="最大化",AA917-01_因子設定!$B$14,IF(01_因子設定!$B$13="最小化",01_因子設定!$B$15-AB917,MIN(AA917-01_因子設定!$B$14,01_因子設定!$B$15-AB917))),-1E+030)</f>
        <v>-5.17034847305174</v>
      </c>
      <c r="AE917" s="55" t="n">
        <f aca="false">IF(AC917,IF(01_因子設定!$B$13="最大化",X917,IF(01_因子設定!$B$13="最小化",-X917,-ABS(X917-01_因子設定!$B$16))),-1E+030)</f>
        <v>42.7597496345029</v>
      </c>
      <c r="AF917" s="55" t="n">
        <f aca="false">AD917+ROW()*0.000000001</f>
        <v>-5.17034755605174</v>
      </c>
      <c r="AG917" s="55" t="n">
        <f aca="false">AE917+ROW()*0.000000001</f>
        <v>42.7597505515029</v>
      </c>
    </row>
    <row r="918" customFormat="false" ht="15" hidden="false" customHeight="false" outlineLevel="0" collapsed="false">
      <c r="A918" s="0" t="n">
        <v>1</v>
      </c>
      <c r="B918" s="0" t="n">
        <v>2</v>
      </c>
      <c r="C918" s="0" t="n">
        <v>2</v>
      </c>
      <c r="D918" s="0" t="n">
        <v>4</v>
      </c>
      <c r="E918" s="0" t="n">
        <f aca="false">-1+A918*0.25</f>
        <v>-0.75</v>
      </c>
      <c r="F918" s="0" t="n">
        <f aca="false">-1+B918*0.25</f>
        <v>-0.5</v>
      </c>
      <c r="G918" s="0" t="n">
        <f aca="false">-1+C918*0.25</f>
        <v>-0.5</v>
      </c>
      <c r="H918" s="0" t="n">
        <f aca="false">-1+D918*0.25</f>
        <v>0</v>
      </c>
      <c r="I918" s="0" t="n">
        <f aca="false">1</f>
        <v>1</v>
      </c>
      <c r="J918" s="0" t="n">
        <f aca="false">E918</f>
        <v>-0.75</v>
      </c>
      <c r="K918" s="0" t="n">
        <f aca="false">F918</f>
        <v>-0.5</v>
      </c>
      <c r="L918" s="0" t="n">
        <f aca="false">G918</f>
        <v>-0.5</v>
      </c>
      <c r="M918" s="0" t="n">
        <f aca="false">H918</f>
        <v>0</v>
      </c>
      <c r="N918" s="0" t="n">
        <f aca="false">E918*F918</f>
        <v>0.375</v>
      </c>
      <c r="O918" s="0" t="n">
        <f aca="false">E918*G918</f>
        <v>0.375</v>
      </c>
      <c r="P918" s="0" t="n">
        <f aca="false">E918*H918</f>
        <v>-0</v>
      </c>
      <c r="Q918" s="0" t="n">
        <f aca="false">F918*G918</f>
        <v>0.25</v>
      </c>
      <c r="R918" s="0" t="n">
        <f aca="false">F918*H918</f>
        <v>-0</v>
      </c>
      <c r="S918" s="0" t="n">
        <f aca="false">G918*H918</f>
        <v>-0</v>
      </c>
      <c r="T918" s="0" t="n">
        <f aca="false">E918*E918</f>
        <v>0.5625</v>
      </c>
      <c r="U918" s="0" t="n">
        <f aca="false">F918*F918</f>
        <v>0.25</v>
      </c>
      <c r="V918" s="0" t="n">
        <f aca="false">G918*G918</f>
        <v>0.25</v>
      </c>
      <c r="W918" s="0" t="n">
        <f aca="false">H918*H918</f>
        <v>0</v>
      </c>
      <c r="X918" s="0" t="n">
        <f aca="false">SUMPRODUCT(I918:W918,_XtX!$B$96:$P$96)</f>
        <v>42.8522295321637</v>
      </c>
      <c r="Y918" s="0" t="n">
        <f aca="false">SUMPRODUCT(MMULT(I918:W918,_XtX!$B$78:$P$92),I918:W918)</f>
        <v>0.21305052997076</v>
      </c>
      <c r="Z918" s="0" t="n">
        <f aca="false">04_回帰ANOVA!$K$19*04_回帰ANOVA!$K$14*SQRT(1+Y918)</f>
        <v>1.43561450835061</v>
      </c>
      <c r="AA918" s="0" t="n">
        <f aca="false">X918-Z918</f>
        <v>41.4166150238131</v>
      </c>
      <c r="AB918" s="0" t="n">
        <f aca="false">X918+Z918</f>
        <v>44.2878440405143</v>
      </c>
      <c r="AC918" s="54" t="b">
        <f aca="false">AND(E918&gt;=01_因子設定!$L$5-0.000000001,E918&lt;=01_因子設定!$M$5+0.000000001,F918&gt;=01_因子設定!$L$6-0.000000001,F918&lt;=01_因子設定!$M$6+0.000000001,G918&gt;=01_因子設定!$L$7-0.000000001,G918&lt;=01_因子設定!$M$7+0.000000001,H918&gt;=01_因子設定!$L$8-0.000000001,H918&lt;=01_因子設定!$M$8+0.000000001,IF(01_因子設定!$B$20="Box-Behnken",E918^2+F918^2+G918^2+H918^2&lt;=2+0.000000001,TRUE()))</f>
        <v>1</v>
      </c>
      <c r="AD918" s="55" t="n">
        <f aca="false">IF(AC918,IF(01_因子設定!$B$13="最大化",AA918-01_因子設定!$B$14,IF(01_因子設定!$B$13="最小化",01_因子設定!$B$15-AB918,MIN(AA918-01_因子設定!$B$14,01_因子設定!$B$15-AB918))),-1E+030)</f>
        <v>-5.08338497618688</v>
      </c>
      <c r="AE918" s="55" t="n">
        <f aca="false">IF(AC918,IF(01_因子設定!$B$13="最大化",X918,IF(01_因子設定!$B$13="最小化",-X918,-ABS(X918-01_因子設定!$B$16))),-1E+030)</f>
        <v>42.8522295321637</v>
      </c>
      <c r="AF918" s="55" t="n">
        <f aca="false">AD918+ROW()*0.000000001</f>
        <v>-5.08338405818688</v>
      </c>
      <c r="AG918" s="55" t="n">
        <f aca="false">AE918+ROW()*0.000000001</f>
        <v>42.8522304501637</v>
      </c>
    </row>
    <row r="919" customFormat="false" ht="15" hidden="false" customHeight="false" outlineLevel="0" collapsed="false">
      <c r="A919" s="0" t="n">
        <v>1</v>
      </c>
      <c r="B919" s="0" t="n">
        <v>2</v>
      </c>
      <c r="C919" s="0" t="n">
        <v>2</v>
      </c>
      <c r="D919" s="0" t="n">
        <v>5</v>
      </c>
      <c r="E919" s="0" t="n">
        <f aca="false">-1+A919*0.25</f>
        <v>-0.75</v>
      </c>
      <c r="F919" s="0" t="n">
        <f aca="false">-1+B919*0.25</f>
        <v>-0.5</v>
      </c>
      <c r="G919" s="0" t="n">
        <f aca="false">-1+C919*0.25</f>
        <v>-0.5</v>
      </c>
      <c r="H919" s="0" t="n">
        <f aca="false">-1+D919*0.25</f>
        <v>0.25</v>
      </c>
      <c r="I919" s="0" t="n">
        <f aca="false">1</f>
        <v>1</v>
      </c>
      <c r="J919" s="0" t="n">
        <f aca="false">E919</f>
        <v>-0.75</v>
      </c>
      <c r="K919" s="0" t="n">
        <f aca="false">F919</f>
        <v>-0.5</v>
      </c>
      <c r="L919" s="0" t="n">
        <f aca="false">G919</f>
        <v>-0.5</v>
      </c>
      <c r="M919" s="0" t="n">
        <f aca="false">H919</f>
        <v>0.25</v>
      </c>
      <c r="N919" s="0" t="n">
        <f aca="false">E919*F919</f>
        <v>0.375</v>
      </c>
      <c r="O919" s="0" t="n">
        <f aca="false">E919*G919</f>
        <v>0.375</v>
      </c>
      <c r="P919" s="0" t="n">
        <f aca="false">E919*H919</f>
        <v>-0.1875</v>
      </c>
      <c r="Q919" s="0" t="n">
        <f aca="false">F919*G919</f>
        <v>0.25</v>
      </c>
      <c r="R919" s="0" t="n">
        <f aca="false">F919*H919</f>
        <v>-0.125</v>
      </c>
      <c r="S919" s="0" t="n">
        <f aca="false">G919*H919</f>
        <v>-0.125</v>
      </c>
      <c r="T919" s="0" t="n">
        <f aca="false">E919*E919</f>
        <v>0.5625</v>
      </c>
      <c r="U919" s="0" t="n">
        <f aca="false">F919*F919</f>
        <v>0.25</v>
      </c>
      <c r="V919" s="0" t="n">
        <f aca="false">G919*G919</f>
        <v>0.25</v>
      </c>
      <c r="W919" s="0" t="n">
        <f aca="false">H919*H919</f>
        <v>0.0625</v>
      </c>
      <c r="X919" s="0" t="n">
        <f aca="false">SUMPRODUCT(I919:W919,_XtX!$B$96:$P$96)</f>
        <v>42.8969024122807</v>
      </c>
      <c r="Y919" s="0" t="n">
        <f aca="false">SUMPRODUCT(MMULT(I919:W919,_XtX!$B$78:$P$92),I919:W919)</f>
        <v>0.203746059484649</v>
      </c>
      <c r="Z919" s="0" t="n">
        <f aca="false">04_回帰ANOVA!$K$19*04_回帰ANOVA!$K$14*SQRT(1+Y919)</f>
        <v>1.43009810755465</v>
      </c>
      <c r="AA919" s="0" t="n">
        <f aca="false">X919-Z919</f>
        <v>41.466804304726</v>
      </c>
      <c r="AB919" s="0" t="n">
        <f aca="false">X919+Z919</f>
        <v>44.3270005198353</v>
      </c>
      <c r="AC919" s="54" t="b">
        <f aca="false">AND(E919&gt;=01_因子設定!$L$5-0.000000001,E919&lt;=01_因子設定!$M$5+0.000000001,F919&gt;=01_因子設定!$L$6-0.000000001,F919&lt;=01_因子設定!$M$6+0.000000001,G919&gt;=01_因子設定!$L$7-0.000000001,G919&lt;=01_因子設定!$M$7+0.000000001,H919&gt;=01_因子設定!$L$8-0.000000001,H919&lt;=01_因子設定!$M$8+0.000000001,IF(01_因子設定!$B$20="Box-Behnken",E919^2+F919^2+G919^2+H919^2&lt;=2+0.000000001,TRUE()))</f>
        <v>1</v>
      </c>
      <c r="AD919" s="55" t="n">
        <f aca="false">IF(AC919,IF(01_因子設定!$B$13="最大化",AA919-01_因子設定!$B$14,IF(01_因子設定!$B$13="最小化",01_因子設定!$B$15-AB919,MIN(AA919-01_因子設定!$B$14,01_因子設定!$B$15-AB919))),-1E+030)</f>
        <v>-5.03319569527396</v>
      </c>
      <c r="AE919" s="55" t="n">
        <f aca="false">IF(AC919,IF(01_因子設定!$B$13="最大化",X919,IF(01_因子設定!$B$13="最小化",-X919,-ABS(X919-01_因子設定!$B$16))),-1E+030)</f>
        <v>42.8969024122807</v>
      </c>
      <c r="AF919" s="55" t="n">
        <f aca="false">AD919+ROW()*0.000000001</f>
        <v>-5.03319477627396</v>
      </c>
      <c r="AG919" s="55" t="n">
        <f aca="false">AE919+ROW()*0.000000001</f>
        <v>42.8969033312807</v>
      </c>
    </row>
    <row r="920" customFormat="false" ht="15" hidden="false" customHeight="false" outlineLevel="0" collapsed="false">
      <c r="A920" s="0" t="n">
        <v>1</v>
      </c>
      <c r="B920" s="0" t="n">
        <v>2</v>
      </c>
      <c r="C920" s="0" t="n">
        <v>2</v>
      </c>
      <c r="D920" s="0" t="n">
        <v>6</v>
      </c>
      <c r="E920" s="0" t="n">
        <f aca="false">-1+A920*0.25</f>
        <v>-0.75</v>
      </c>
      <c r="F920" s="0" t="n">
        <f aca="false">-1+B920*0.25</f>
        <v>-0.5</v>
      </c>
      <c r="G920" s="0" t="n">
        <f aca="false">-1+C920*0.25</f>
        <v>-0.5</v>
      </c>
      <c r="H920" s="0" t="n">
        <f aca="false">-1+D920*0.25</f>
        <v>0.5</v>
      </c>
      <c r="I920" s="0" t="n">
        <f aca="false">1</f>
        <v>1</v>
      </c>
      <c r="J920" s="0" t="n">
        <f aca="false">E920</f>
        <v>-0.75</v>
      </c>
      <c r="K920" s="0" t="n">
        <f aca="false">F920</f>
        <v>-0.5</v>
      </c>
      <c r="L920" s="0" t="n">
        <f aca="false">G920</f>
        <v>-0.5</v>
      </c>
      <c r="M920" s="0" t="n">
        <f aca="false">H920</f>
        <v>0.5</v>
      </c>
      <c r="N920" s="0" t="n">
        <f aca="false">E920*F920</f>
        <v>0.375</v>
      </c>
      <c r="O920" s="0" t="n">
        <f aca="false">E920*G920</f>
        <v>0.375</v>
      </c>
      <c r="P920" s="0" t="n">
        <f aca="false">E920*H920</f>
        <v>-0.375</v>
      </c>
      <c r="Q920" s="0" t="n">
        <f aca="false">F920*G920</f>
        <v>0.25</v>
      </c>
      <c r="R920" s="0" t="n">
        <f aca="false">F920*H920</f>
        <v>-0.25</v>
      </c>
      <c r="S920" s="0" t="n">
        <f aca="false">G920*H920</f>
        <v>-0.25</v>
      </c>
      <c r="T920" s="0" t="n">
        <f aca="false">E920*E920</f>
        <v>0.5625</v>
      </c>
      <c r="U920" s="0" t="n">
        <f aca="false">F920*F920</f>
        <v>0.25</v>
      </c>
      <c r="V920" s="0" t="n">
        <f aca="false">G920*G920</f>
        <v>0.25</v>
      </c>
      <c r="W920" s="0" t="n">
        <f aca="false">H920*H920</f>
        <v>0.25</v>
      </c>
      <c r="X920" s="0" t="n">
        <f aca="false">SUMPRODUCT(I920:W920,_XtX!$B$96:$P$96)</f>
        <v>42.8937682748538</v>
      </c>
      <c r="Y920" s="0" t="n">
        <f aca="false">SUMPRODUCT(MMULT(I920:W920,_XtX!$B$78:$P$92),I920:W920)</f>
        <v>0.193924753289474</v>
      </c>
      <c r="Z920" s="0" t="n">
        <f aca="false">04_回帰ANOVA!$K$19*04_回帰ANOVA!$K$14*SQRT(1+Y920)</f>
        <v>1.4242521079916</v>
      </c>
      <c r="AA920" s="0" t="n">
        <f aca="false">X920-Z920</f>
        <v>41.4695161668622</v>
      </c>
      <c r="AB920" s="0" t="n">
        <f aca="false">X920+Z920</f>
        <v>44.3180203828454</v>
      </c>
      <c r="AC920" s="54" t="b">
        <f aca="false">AND(E920&gt;=01_因子設定!$L$5-0.000000001,E920&lt;=01_因子設定!$M$5+0.000000001,F920&gt;=01_因子設定!$L$6-0.000000001,F920&lt;=01_因子設定!$M$6+0.000000001,G920&gt;=01_因子設定!$L$7-0.000000001,G920&lt;=01_因子設定!$M$7+0.000000001,H920&gt;=01_因子設定!$L$8-0.000000001,H920&lt;=01_因子設定!$M$8+0.000000001,IF(01_因子設定!$B$20="Box-Behnken",E920^2+F920^2+G920^2+H920^2&lt;=2+0.000000001,TRUE()))</f>
        <v>1</v>
      </c>
      <c r="AD920" s="55" t="n">
        <f aca="false">IF(AC920,IF(01_因子設定!$B$13="最大化",AA920-01_因子設定!$B$14,IF(01_因子設定!$B$13="最小化",01_因子設定!$B$15-AB920,MIN(AA920-01_因子設定!$B$14,01_因子設定!$B$15-AB920))),-1E+030)</f>
        <v>-5.0304838331378</v>
      </c>
      <c r="AE920" s="55" t="n">
        <f aca="false">IF(AC920,IF(01_因子設定!$B$13="最大化",X920,IF(01_因子設定!$B$13="最小化",-X920,-ABS(X920-01_因子設定!$B$16))),-1E+030)</f>
        <v>42.8937682748538</v>
      </c>
      <c r="AF920" s="55" t="n">
        <f aca="false">AD920+ROW()*0.000000001</f>
        <v>-5.0304829131378</v>
      </c>
      <c r="AG920" s="55" t="n">
        <f aca="false">AE920+ROW()*0.000000001</f>
        <v>42.8937691948538</v>
      </c>
    </row>
    <row r="921" customFormat="false" ht="15" hidden="false" customHeight="false" outlineLevel="0" collapsed="false">
      <c r="A921" s="0" t="n">
        <v>1</v>
      </c>
      <c r="B921" s="0" t="n">
        <v>2</v>
      </c>
      <c r="C921" s="0" t="n">
        <v>2</v>
      </c>
      <c r="D921" s="0" t="n">
        <v>7</v>
      </c>
      <c r="E921" s="0" t="n">
        <f aca="false">-1+A921*0.25</f>
        <v>-0.75</v>
      </c>
      <c r="F921" s="0" t="n">
        <f aca="false">-1+B921*0.25</f>
        <v>-0.5</v>
      </c>
      <c r="G921" s="0" t="n">
        <f aca="false">-1+C921*0.25</f>
        <v>-0.5</v>
      </c>
      <c r="H921" s="0" t="n">
        <f aca="false">-1+D921*0.25</f>
        <v>0.75</v>
      </c>
      <c r="I921" s="0" t="n">
        <f aca="false">1</f>
        <v>1</v>
      </c>
      <c r="J921" s="0" t="n">
        <f aca="false">E921</f>
        <v>-0.75</v>
      </c>
      <c r="K921" s="0" t="n">
        <f aca="false">F921</f>
        <v>-0.5</v>
      </c>
      <c r="L921" s="0" t="n">
        <f aca="false">G921</f>
        <v>-0.5</v>
      </c>
      <c r="M921" s="0" t="n">
        <f aca="false">H921</f>
        <v>0.75</v>
      </c>
      <c r="N921" s="0" t="n">
        <f aca="false">E921*F921</f>
        <v>0.375</v>
      </c>
      <c r="O921" s="0" t="n">
        <f aca="false">E921*G921</f>
        <v>0.375</v>
      </c>
      <c r="P921" s="0" t="n">
        <f aca="false">E921*H921</f>
        <v>-0.5625</v>
      </c>
      <c r="Q921" s="0" t="n">
        <f aca="false">F921*G921</f>
        <v>0.25</v>
      </c>
      <c r="R921" s="0" t="n">
        <f aca="false">F921*H921</f>
        <v>-0.375</v>
      </c>
      <c r="S921" s="0" t="n">
        <f aca="false">G921*H921</f>
        <v>-0.375</v>
      </c>
      <c r="T921" s="0" t="n">
        <f aca="false">E921*E921</f>
        <v>0.5625</v>
      </c>
      <c r="U921" s="0" t="n">
        <f aca="false">F921*F921</f>
        <v>0.25</v>
      </c>
      <c r="V921" s="0" t="n">
        <f aca="false">G921*G921</f>
        <v>0.25</v>
      </c>
      <c r="W921" s="0" t="n">
        <f aca="false">H921*H921</f>
        <v>0.5625</v>
      </c>
      <c r="X921" s="0" t="n">
        <f aca="false">SUMPRODUCT(I921:W921,_XtX!$B$96:$P$96)</f>
        <v>42.8428271198831</v>
      </c>
      <c r="Y921" s="0" t="n">
        <f aca="false">SUMPRODUCT(MMULT(I921:W921,_XtX!$B$78:$P$92),I921:W921)</f>
        <v>0.237862927174708</v>
      </c>
      <c r="Z921" s="0" t="n">
        <f aca="false">04_回帰ANOVA!$K$19*04_回帰ANOVA!$K$14*SQRT(1+Y921)</f>
        <v>1.45022260708756</v>
      </c>
      <c r="AA921" s="0" t="n">
        <f aca="false">X921-Z921</f>
        <v>41.3926045127955</v>
      </c>
      <c r="AB921" s="0" t="n">
        <f aca="false">X921+Z921</f>
        <v>44.2930497269706</v>
      </c>
      <c r="AC921" s="54" t="b">
        <f aca="false">AND(E921&gt;=01_因子設定!$L$5-0.000000001,E921&lt;=01_因子設定!$M$5+0.000000001,F921&gt;=01_因子設定!$L$6-0.000000001,F921&lt;=01_因子設定!$M$6+0.000000001,G921&gt;=01_因子設定!$L$7-0.000000001,G921&lt;=01_因子設定!$M$7+0.000000001,H921&gt;=01_因子設定!$L$8-0.000000001,H921&lt;=01_因子設定!$M$8+0.000000001,IF(01_因子設定!$B$20="Box-Behnken",E921^2+F921^2+G921^2+H921^2&lt;=2+0.000000001,TRUE()))</f>
        <v>1</v>
      </c>
      <c r="AD921" s="55" t="n">
        <f aca="false">IF(AC921,IF(01_因子設定!$B$13="最大化",AA921-01_因子設定!$B$14,IF(01_因子設定!$B$13="最小化",01_因子設定!$B$15-AB921,MIN(AA921-01_因子設定!$B$14,01_因子設定!$B$15-AB921))),-1E+030)</f>
        <v>-5.10739548720451</v>
      </c>
      <c r="AE921" s="55" t="n">
        <f aca="false">IF(AC921,IF(01_因子設定!$B$13="最大化",X921,IF(01_因子設定!$B$13="最小化",-X921,-ABS(X921-01_因子設定!$B$16))),-1E+030)</f>
        <v>42.8428271198831</v>
      </c>
      <c r="AF921" s="55" t="n">
        <f aca="false">AD921+ROW()*0.000000001</f>
        <v>-5.10739456620451</v>
      </c>
      <c r="AG921" s="55" t="n">
        <f aca="false">AE921+ROW()*0.000000001</f>
        <v>42.8428280408831</v>
      </c>
    </row>
    <row r="922" customFormat="false" ht="15" hidden="false" customHeight="false" outlineLevel="0" collapsed="false">
      <c r="A922" s="0" t="n">
        <v>1</v>
      </c>
      <c r="B922" s="0" t="n">
        <v>2</v>
      </c>
      <c r="C922" s="0" t="n">
        <v>2</v>
      </c>
      <c r="D922" s="0" t="n">
        <v>8</v>
      </c>
      <c r="E922" s="0" t="n">
        <f aca="false">-1+A922*0.25</f>
        <v>-0.75</v>
      </c>
      <c r="F922" s="0" t="n">
        <f aca="false">-1+B922*0.25</f>
        <v>-0.5</v>
      </c>
      <c r="G922" s="0" t="n">
        <f aca="false">-1+C922*0.25</f>
        <v>-0.5</v>
      </c>
      <c r="H922" s="0" t="n">
        <f aca="false">-1+D922*0.25</f>
        <v>1</v>
      </c>
      <c r="I922" s="0" t="n">
        <f aca="false">1</f>
        <v>1</v>
      </c>
      <c r="J922" s="0" t="n">
        <f aca="false">E922</f>
        <v>-0.75</v>
      </c>
      <c r="K922" s="0" t="n">
        <f aca="false">F922</f>
        <v>-0.5</v>
      </c>
      <c r="L922" s="0" t="n">
        <f aca="false">G922</f>
        <v>-0.5</v>
      </c>
      <c r="M922" s="0" t="n">
        <f aca="false">H922</f>
        <v>1</v>
      </c>
      <c r="N922" s="0" t="n">
        <f aca="false">E922*F922</f>
        <v>0.375</v>
      </c>
      <c r="O922" s="0" t="n">
        <f aca="false">E922*G922</f>
        <v>0.375</v>
      </c>
      <c r="P922" s="0" t="n">
        <f aca="false">E922*H922</f>
        <v>-0.75</v>
      </c>
      <c r="Q922" s="0" t="n">
        <f aca="false">F922*G922</f>
        <v>0.25</v>
      </c>
      <c r="R922" s="0" t="n">
        <f aca="false">F922*H922</f>
        <v>-0.5</v>
      </c>
      <c r="S922" s="0" t="n">
        <f aca="false">G922*H922</f>
        <v>-0.5</v>
      </c>
      <c r="T922" s="0" t="n">
        <f aca="false">E922*E922</f>
        <v>0.5625</v>
      </c>
      <c r="U922" s="0" t="n">
        <f aca="false">F922*F922</f>
        <v>0.25</v>
      </c>
      <c r="V922" s="0" t="n">
        <f aca="false">G922*G922</f>
        <v>0.25</v>
      </c>
      <c r="W922" s="0" t="n">
        <f aca="false">H922*H922</f>
        <v>1</v>
      </c>
      <c r="X922" s="0" t="n">
        <f aca="false">SUMPRODUCT(I922:W922,_XtX!$B$96:$P$96)</f>
        <v>42.7440789473684</v>
      </c>
      <c r="Y922" s="0" t="n">
        <f aca="false">SUMPRODUCT(MMULT(I922:W922,_XtX!$B$78:$P$92),I922:W922)</f>
        <v>0.42602110745614</v>
      </c>
      <c r="Z922" s="0" t="n">
        <f aca="false">04_回帰ANOVA!$K$19*04_回帰ANOVA!$K$14*SQRT(1+Y922)</f>
        <v>1.55654388501114</v>
      </c>
      <c r="AA922" s="0" t="n">
        <f aca="false">X922-Z922</f>
        <v>41.1875350623573</v>
      </c>
      <c r="AB922" s="0" t="n">
        <f aca="false">X922+Z922</f>
        <v>44.3006228323796</v>
      </c>
      <c r="AC922" s="54" t="b">
        <f aca="false">AND(E922&gt;=01_因子設定!$L$5-0.000000001,E922&lt;=01_因子設定!$M$5+0.000000001,F922&gt;=01_因子設定!$L$6-0.000000001,F922&lt;=01_因子設定!$M$6+0.000000001,G922&gt;=01_因子設定!$L$7-0.000000001,G922&lt;=01_因子設定!$M$7+0.000000001,H922&gt;=01_因子設定!$L$8-0.000000001,H922&lt;=01_因子設定!$M$8+0.000000001,IF(01_因子設定!$B$20="Box-Behnken",E922^2+F922^2+G922^2+H922^2&lt;=2+0.000000001,TRUE()))</f>
        <v>1</v>
      </c>
      <c r="AD922" s="55" t="n">
        <f aca="false">IF(AC922,IF(01_因子設定!$B$13="最大化",AA922-01_因子設定!$B$14,IF(01_因子設定!$B$13="最小化",01_因子設定!$B$15-AB922,MIN(AA922-01_因子設定!$B$14,01_因子設定!$B$15-AB922))),-1E+030)</f>
        <v>-5.31246493764269</v>
      </c>
      <c r="AE922" s="55" t="n">
        <f aca="false">IF(AC922,IF(01_因子設定!$B$13="最大化",X922,IF(01_因子設定!$B$13="最小化",-X922,-ABS(X922-01_因子設定!$B$16))),-1E+030)</f>
        <v>42.7440789473684</v>
      </c>
      <c r="AF922" s="55" t="n">
        <f aca="false">AD922+ROW()*0.000000001</f>
        <v>-5.31246401564269</v>
      </c>
      <c r="AG922" s="55" t="n">
        <f aca="false">AE922+ROW()*0.000000001</f>
        <v>42.7440798693684</v>
      </c>
    </row>
    <row r="923" customFormat="false" ht="15" hidden="false" customHeight="false" outlineLevel="0" collapsed="false">
      <c r="A923" s="0" t="n">
        <v>1</v>
      </c>
      <c r="B923" s="0" t="n">
        <v>2</v>
      </c>
      <c r="C923" s="0" t="n">
        <v>3</v>
      </c>
      <c r="D923" s="0" t="n">
        <v>0</v>
      </c>
      <c r="E923" s="0" t="n">
        <f aca="false">-1+A923*0.25</f>
        <v>-0.75</v>
      </c>
      <c r="F923" s="0" t="n">
        <f aca="false">-1+B923*0.25</f>
        <v>-0.5</v>
      </c>
      <c r="G923" s="0" t="n">
        <f aca="false">-1+C923*0.25</f>
        <v>-0.25</v>
      </c>
      <c r="H923" s="0" t="n">
        <f aca="false">-1+D923*0.25</f>
        <v>-1</v>
      </c>
      <c r="I923" s="0" t="n">
        <f aca="false">1</f>
        <v>1</v>
      </c>
      <c r="J923" s="0" t="n">
        <f aca="false">E923</f>
        <v>-0.75</v>
      </c>
      <c r="K923" s="0" t="n">
        <f aca="false">F923</f>
        <v>-0.5</v>
      </c>
      <c r="L923" s="0" t="n">
        <f aca="false">G923</f>
        <v>-0.25</v>
      </c>
      <c r="M923" s="0" t="n">
        <f aca="false">H923</f>
        <v>-1</v>
      </c>
      <c r="N923" s="0" t="n">
        <f aca="false">E923*F923</f>
        <v>0.375</v>
      </c>
      <c r="O923" s="0" t="n">
        <f aca="false">E923*G923</f>
        <v>0.1875</v>
      </c>
      <c r="P923" s="0" t="n">
        <f aca="false">E923*H923</f>
        <v>0.75</v>
      </c>
      <c r="Q923" s="0" t="n">
        <f aca="false">F923*G923</f>
        <v>0.125</v>
      </c>
      <c r="R923" s="0" t="n">
        <f aca="false">F923*H923</f>
        <v>0.5</v>
      </c>
      <c r="S923" s="0" t="n">
        <f aca="false">G923*H923</f>
        <v>0.25</v>
      </c>
      <c r="T923" s="0" t="n">
        <f aca="false">E923*E923</f>
        <v>0.5625</v>
      </c>
      <c r="U923" s="0" t="n">
        <f aca="false">F923*F923</f>
        <v>0.25</v>
      </c>
      <c r="V923" s="0" t="n">
        <f aca="false">G923*G923</f>
        <v>0.0625</v>
      </c>
      <c r="W923" s="0" t="n">
        <f aca="false">H923*H923</f>
        <v>1</v>
      </c>
      <c r="X923" s="0" t="n">
        <f aca="false">SUMPRODUCT(I923:W923,_XtX!$B$96:$P$96)</f>
        <v>42.5801991959065</v>
      </c>
      <c r="Y923" s="0" t="n">
        <f aca="false">SUMPRODUCT(MMULT(I923:W923,_XtX!$B$78:$P$92),I923:W923)</f>
        <v>0.459125719572369</v>
      </c>
      <c r="Z923" s="0" t="n">
        <f aca="false">04_回帰ANOVA!$K$19*04_回帰ANOVA!$K$14*SQRT(1+Y923)</f>
        <v>1.57450755575573</v>
      </c>
      <c r="AA923" s="0" t="n">
        <f aca="false">X923-Z923</f>
        <v>41.0056916401507</v>
      </c>
      <c r="AB923" s="0" t="n">
        <f aca="false">X923+Z923</f>
        <v>44.1547067516622</v>
      </c>
      <c r="AC923" s="54" t="b">
        <f aca="false">AND(E923&gt;=01_因子設定!$L$5-0.000000001,E923&lt;=01_因子設定!$M$5+0.000000001,F923&gt;=01_因子設定!$L$6-0.000000001,F923&lt;=01_因子設定!$M$6+0.000000001,G923&gt;=01_因子設定!$L$7-0.000000001,G923&lt;=01_因子設定!$M$7+0.000000001,H923&gt;=01_因子設定!$L$8-0.000000001,H923&lt;=01_因子設定!$M$8+0.000000001,IF(01_因子設定!$B$20="Box-Behnken",E923^2+F923^2+G923^2+H923^2&lt;=2+0.000000001,TRUE()))</f>
        <v>1</v>
      </c>
      <c r="AD923" s="55" t="n">
        <f aca="false">IF(AC923,IF(01_因子設定!$B$13="最大化",AA923-01_因子設定!$B$14,IF(01_因子設定!$B$13="最小化",01_因子設定!$B$15-AB923,MIN(AA923-01_因子設定!$B$14,01_因子設定!$B$15-AB923))),-1E+030)</f>
        <v>-5.49430835984927</v>
      </c>
      <c r="AE923" s="55" t="n">
        <f aca="false">IF(AC923,IF(01_因子設定!$B$13="最大化",X923,IF(01_因子設定!$B$13="最小化",-X923,-ABS(X923-01_因子設定!$B$16))),-1E+030)</f>
        <v>42.5801991959065</v>
      </c>
      <c r="AF923" s="55" t="n">
        <f aca="false">AD923+ROW()*0.000000001</f>
        <v>-5.49430743684927</v>
      </c>
      <c r="AG923" s="55" t="n">
        <f aca="false">AE923+ROW()*0.000000001</f>
        <v>42.5802001189065</v>
      </c>
    </row>
    <row r="924" customFormat="false" ht="15" hidden="false" customHeight="false" outlineLevel="0" collapsed="false">
      <c r="A924" s="0" t="n">
        <v>1</v>
      </c>
      <c r="B924" s="0" t="n">
        <v>2</v>
      </c>
      <c r="C924" s="0" t="n">
        <v>3</v>
      </c>
      <c r="D924" s="0" t="n">
        <v>1</v>
      </c>
      <c r="E924" s="0" t="n">
        <f aca="false">-1+A924*0.25</f>
        <v>-0.75</v>
      </c>
      <c r="F924" s="0" t="n">
        <f aca="false">-1+B924*0.25</f>
        <v>-0.5</v>
      </c>
      <c r="G924" s="0" t="n">
        <f aca="false">-1+C924*0.25</f>
        <v>-0.25</v>
      </c>
      <c r="H924" s="0" t="n">
        <f aca="false">-1+D924*0.25</f>
        <v>-0.75</v>
      </c>
      <c r="I924" s="0" t="n">
        <f aca="false">1</f>
        <v>1</v>
      </c>
      <c r="J924" s="0" t="n">
        <f aca="false">E924</f>
        <v>-0.75</v>
      </c>
      <c r="K924" s="0" t="n">
        <f aca="false">F924</f>
        <v>-0.5</v>
      </c>
      <c r="L924" s="0" t="n">
        <f aca="false">G924</f>
        <v>-0.25</v>
      </c>
      <c r="M924" s="0" t="n">
        <f aca="false">H924</f>
        <v>-0.75</v>
      </c>
      <c r="N924" s="0" t="n">
        <f aca="false">E924*F924</f>
        <v>0.375</v>
      </c>
      <c r="O924" s="0" t="n">
        <f aca="false">E924*G924</f>
        <v>0.1875</v>
      </c>
      <c r="P924" s="0" t="n">
        <f aca="false">E924*H924</f>
        <v>0.5625</v>
      </c>
      <c r="Q924" s="0" t="n">
        <f aca="false">F924*G924</f>
        <v>0.125</v>
      </c>
      <c r="R924" s="0" t="n">
        <f aca="false">F924*H924</f>
        <v>0.375</v>
      </c>
      <c r="S924" s="0" t="n">
        <f aca="false">G924*H924</f>
        <v>0.1875</v>
      </c>
      <c r="T924" s="0" t="n">
        <f aca="false">E924*E924</f>
        <v>0.5625</v>
      </c>
      <c r="U924" s="0" t="n">
        <f aca="false">F924*F924</f>
        <v>0.25</v>
      </c>
      <c r="V924" s="0" t="n">
        <f aca="false">G924*G924</f>
        <v>0.0625</v>
      </c>
      <c r="W924" s="0" t="n">
        <f aca="false">H924*H924</f>
        <v>0.5625</v>
      </c>
      <c r="X924" s="0" t="n">
        <f aca="false">SUMPRODUCT(I924:W924,_XtX!$B$96:$P$96)</f>
        <v>42.8340688961988</v>
      </c>
      <c r="Y924" s="0" t="n">
        <f aca="false">SUMPRODUCT(MMULT(I924:W924,_XtX!$B$78:$P$92),I924:W924)</f>
        <v>0.257385610836988</v>
      </c>
      <c r="Z924" s="0" t="n">
        <f aca="false">04_回帰ANOVA!$K$19*04_回帰ANOVA!$K$14*SQRT(1+Y924)</f>
        <v>1.46161380324158</v>
      </c>
      <c r="AA924" s="0" t="n">
        <f aca="false">X924-Z924</f>
        <v>41.3724550929573</v>
      </c>
      <c r="AB924" s="0" t="n">
        <f aca="false">X924+Z924</f>
        <v>44.2956826994404</v>
      </c>
      <c r="AC924" s="54" t="b">
        <f aca="false">AND(E924&gt;=01_因子設定!$L$5-0.000000001,E924&lt;=01_因子設定!$M$5+0.000000001,F924&gt;=01_因子設定!$L$6-0.000000001,F924&lt;=01_因子設定!$M$6+0.000000001,G924&gt;=01_因子設定!$L$7-0.000000001,G924&lt;=01_因子設定!$M$7+0.000000001,H924&gt;=01_因子設定!$L$8-0.000000001,H924&lt;=01_因子設定!$M$8+0.000000001,IF(01_因子設定!$B$20="Box-Behnken",E924^2+F924^2+G924^2+H924^2&lt;=2+0.000000001,TRUE()))</f>
        <v>1</v>
      </c>
      <c r="AD924" s="55" t="n">
        <f aca="false">IF(AC924,IF(01_因子設定!$B$13="最大化",AA924-01_因子設定!$B$14,IF(01_因子設定!$B$13="最小化",01_因子設定!$B$15-AB924,MIN(AA924-01_因子設定!$B$14,01_因子設定!$B$15-AB924))),-1E+030)</f>
        <v>-5.12754490704275</v>
      </c>
      <c r="AE924" s="55" t="n">
        <f aca="false">IF(AC924,IF(01_因子設定!$B$13="最大化",X924,IF(01_因子設定!$B$13="最小化",-X924,-ABS(X924-01_因子設定!$B$16))),-1E+030)</f>
        <v>42.8340688961988</v>
      </c>
      <c r="AF924" s="55" t="n">
        <f aca="false">AD924+ROW()*0.000000001</f>
        <v>-5.12754398304275</v>
      </c>
      <c r="AG924" s="55" t="n">
        <f aca="false">AE924+ROW()*0.000000001</f>
        <v>42.8340698201988</v>
      </c>
    </row>
    <row r="925" customFormat="false" ht="15" hidden="false" customHeight="false" outlineLevel="0" collapsed="false">
      <c r="A925" s="0" t="n">
        <v>1</v>
      </c>
      <c r="B925" s="0" t="n">
        <v>2</v>
      </c>
      <c r="C925" s="0" t="n">
        <v>3</v>
      </c>
      <c r="D925" s="0" t="n">
        <v>2</v>
      </c>
      <c r="E925" s="0" t="n">
        <f aca="false">-1+A925*0.25</f>
        <v>-0.75</v>
      </c>
      <c r="F925" s="0" t="n">
        <f aca="false">-1+B925*0.25</f>
        <v>-0.5</v>
      </c>
      <c r="G925" s="0" t="n">
        <f aca="false">-1+C925*0.25</f>
        <v>-0.25</v>
      </c>
      <c r="H925" s="0" t="n">
        <f aca="false">-1+D925*0.25</f>
        <v>-0.5</v>
      </c>
      <c r="I925" s="0" t="n">
        <f aca="false">1</f>
        <v>1</v>
      </c>
      <c r="J925" s="0" t="n">
        <f aca="false">E925</f>
        <v>-0.75</v>
      </c>
      <c r="K925" s="0" t="n">
        <f aca="false">F925</f>
        <v>-0.5</v>
      </c>
      <c r="L925" s="0" t="n">
        <f aca="false">G925</f>
        <v>-0.25</v>
      </c>
      <c r="M925" s="0" t="n">
        <f aca="false">H925</f>
        <v>-0.5</v>
      </c>
      <c r="N925" s="0" t="n">
        <f aca="false">E925*F925</f>
        <v>0.375</v>
      </c>
      <c r="O925" s="0" t="n">
        <f aca="false">E925*G925</f>
        <v>0.1875</v>
      </c>
      <c r="P925" s="0" t="n">
        <f aca="false">E925*H925</f>
        <v>0.375</v>
      </c>
      <c r="Q925" s="0" t="n">
        <f aca="false">F925*G925</f>
        <v>0.125</v>
      </c>
      <c r="R925" s="0" t="n">
        <f aca="false">F925*H925</f>
        <v>0.25</v>
      </c>
      <c r="S925" s="0" t="n">
        <f aca="false">G925*H925</f>
        <v>0.125</v>
      </c>
      <c r="T925" s="0" t="n">
        <f aca="false">E925*E925</f>
        <v>0.5625</v>
      </c>
      <c r="U925" s="0" t="n">
        <f aca="false">F925*F925</f>
        <v>0.25</v>
      </c>
      <c r="V925" s="0" t="n">
        <f aca="false">G925*G925</f>
        <v>0.0625</v>
      </c>
      <c r="W925" s="0" t="n">
        <f aca="false">H925*H925</f>
        <v>0.25</v>
      </c>
      <c r="X925" s="0" t="n">
        <f aca="false">SUMPRODUCT(I925:W925,_XtX!$B$96:$P$96)</f>
        <v>43.0401315789474</v>
      </c>
      <c r="Y925" s="0" t="n">
        <f aca="false">SUMPRODUCT(MMULT(I925:W925,_XtX!$B$78:$P$92),I925:W925)</f>
        <v>0.203746059484649</v>
      </c>
      <c r="Z925" s="0" t="n">
        <f aca="false">04_回帰ANOVA!$K$19*04_回帰ANOVA!$K$14*SQRT(1+Y925)</f>
        <v>1.43009810755465</v>
      </c>
      <c r="AA925" s="0" t="n">
        <f aca="false">X925-Z925</f>
        <v>41.6100334713927</v>
      </c>
      <c r="AB925" s="0" t="n">
        <f aca="false">X925+Z925</f>
        <v>44.470229686502</v>
      </c>
      <c r="AC925" s="54" t="b">
        <f aca="false">AND(E925&gt;=01_因子設定!$L$5-0.000000001,E925&lt;=01_因子設定!$M$5+0.000000001,F925&gt;=01_因子設定!$L$6-0.000000001,F925&lt;=01_因子設定!$M$6+0.000000001,G925&gt;=01_因子設定!$L$7-0.000000001,G925&lt;=01_因子設定!$M$7+0.000000001,H925&gt;=01_因子設定!$L$8-0.000000001,H925&lt;=01_因子設定!$M$8+0.000000001,IF(01_因子設定!$B$20="Box-Behnken",E925^2+F925^2+G925^2+H925^2&lt;=2+0.000000001,TRUE()))</f>
        <v>1</v>
      </c>
      <c r="AD925" s="55" t="n">
        <f aca="false">IF(AC925,IF(01_因子設定!$B$13="最大化",AA925-01_因子設定!$B$14,IF(01_因子設定!$B$13="最小化",01_因子設定!$B$15-AB925,MIN(AA925-01_因子設定!$B$14,01_因子設定!$B$15-AB925))),-1E+030)</f>
        <v>-4.88996652860728</v>
      </c>
      <c r="AE925" s="55" t="n">
        <f aca="false">IF(AC925,IF(01_因子設定!$B$13="最大化",X925,IF(01_因子設定!$B$13="最小化",-X925,-ABS(X925-01_因子設定!$B$16))),-1E+030)</f>
        <v>43.0401315789474</v>
      </c>
      <c r="AF925" s="55" t="n">
        <f aca="false">AD925+ROW()*0.000000001</f>
        <v>-4.88996560360728</v>
      </c>
      <c r="AG925" s="55" t="n">
        <f aca="false">AE925+ROW()*0.000000001</f>
        <v>43.0401325039474</v>
      </c>
    </row>
    <row r="926" customFormat="false" ht="15" hidden="false" customHeight="false" outlineLevel="0" collapsed="false">
      <c r="A926" s="0" t="n">
        <v>1</v>
      </c>
      <c r="B926" s="0" t="n">
        <v>2</v>
      </c>
      <c r="C926" s="0" t="n">
        <v>3</v>
      </c>
      <c r="D926" s="0" t="n">
        <v>3</v>
      </c>
      <c r="E926" s="0" t="n">
        <f aca="false">-1+A926*0.25</f>
        <v>-0.75</v>
      </c>
      <c r="F926" s="0" t="n">
        <f aca="false">-1+B926*0.25</f>
        <v>-0.5</v>
      </c>
      <c r="G926" s="0" t="n">
        <f aca="false">-1+C926*0.25</f>
        <v>-0.25</v>
      </c>
      <c r="H926" s="0" t="n">
        <f aca="false">-1+D926*0.25</f>
        <v>-0.25</v>
      </c>
      <c r="I926" s="0" t="n">
        <f aca="false">1</f>
        <v>1</v>
      </c>
      <c r="J926" s="0" t="n">
        <f aca="false">E926</f>
        <v>-0.75</v>
      </c>
      <c r="K926" s="0" t="n">
        <f aca="false">F926</f>
        <v>-0.5</v>
      </c>
      <c r="L926" s="0" t="n">
        <f aca="false">G926</f>
        <v>-0.25</v>
      </c>
      <c r="M926" s="0" t="n">
        <f aca="false">H926</f>
        <v>-0.25</v>
      </c>
      <c r="N926" s="0" t="n">
        <f aca="false">E926*F926</f>
        <v>0.375</v>
      </c>
      <c r="O926" s="0" t="n">
        <f aca="false">E926*G926</f>
        <v>0.1875</v>
      </c>
      <c r="P926" s="0" t="n">
        <f aca="false">E926*H926</f>
        <v>0.1875</v>
      </c>
      <c r="Q926" s="0" t="n">
        <f aca="false">F926*G926</f>
        <v>0.125</v>
      </c>
      <c r="R926" s="0" t="n">
        <f aca="false">F926*H926</f>
        <v>0.125</v>
      </c>
      <c r="S926" s="0" t="n">
        <f aca="false">G926*H926</f>
        <v>0.0625</v>
      </c>
      <c r="T926" s="0" t="n">
        <f aca="false">E926*E926</f>
        <v>0.5625</v>
      </c>
      <c r="U926" s="0" t="n">
        <f aca="false">F926*F926</f>
        <v>0.25</v>
      </c>
      <c r="V926" s="0" t="n">
        <f aca="false">G926*G926</f>
        <v>0.0625</v>
      </c>
      <c r="W926" s="0" t="n">
        <f aca="false">H926*H926</f>
        <v>0.0625</v>
      </c>
      <c r="X926" s="0" t="n">
        <f aca="false">SUMPRODUCT(I926:W926,_XtX!$B$96:$P$96)</f>
        <v>43.198387244152</v>
      </c>
      <c r="Y926" s="0" t="n">
        <f aca="false">SUMPRODUCT(MMULT(I926:W926,_XtX!$B$78:$P$92),I926:W926)</f>
        <v>0.207746539199561</v>
      </c>
      <c r="Z926" s="0" t="n">
        <f aca="false">04_回帰ANOVA!$K$19*04_回帰ANOVA!$K$14*SQRT(1+Y926)</f>
        <v>1.43247250081141</v>
      </c>
      <c r="AA926" s="0" t="n">
        <f aca="false">X926-Z926</f>
        <v>41.7659147433406</v>
      </c>
      <c r="AB926" s="0" t="n">
        <f aca="false">X926+Z926</f>
        <v>44.6308597449634</v>
      </c>
      <c r="AC926" s="54" t="b">
        <f aca="false">AND(E926&gt;=01_因子設定!$L$5-0.000000001,E926&lt;=01_因子設定!$M$5+0.000000001,F926&gt;=01_因子設定!$L$6-0.000000001,F926&lt;=01_因子設定!$M$6+0.000000001,G926&gt;=01_因子設定!$L$7-0.000000001,G926&lt;=01_因子設定!$M$7+0.000000001,H926&gt;=01_因子設定!$L$8-0.000000001,H926&lt;=01_因子設定!$M$8+0.000000001,IF(01_因子設定!$B$20="Box-Behnken",E926^2+F926^2+G926^2+H926^2&lt;=2+0.000000001,TRUE()))</f>
        <v>1</v>
      </c>
      <c r="AD926" s="55" t="n">
        <f aca="false">IF(AC926,IF(01_因子設定!$B$13="最大化",AA926-01_因子設定!$B$14,IF(01_因子設定!$B$13="最小化",01_因子設定!$B$15-AB926,MIN(AA926-01_因子設定!$B$14,01_因子設定!$B$15-AB926))),-1E+030)</f>
        <v>-4.73408525665937</v>
      </c>
      <c r="AE926" s="55" t="n">
        <f aca="false">IF(AC926,IF(01_因子設定!$B$13="最大化",X926,IF(01_因子設定!$B$13="最小化",-X926,-ABS(X926-01_因子設定!$B$16))),-1E+030)</f>
        <v>43.198387244152</v>
      </c>
      <c r="AF926" s="55" t="n">
        <f aca="false">AD926+ROW()*0.000000001</f>
        <v>-4.73408433065937</v>
      </c>
      <c r="AG926" s="55" t="n">
        <f aca="false">AE926+ROW()*0.000000001</f>
        <v>43.198388170152</v>
      </c>
    </row>
    <row r="927" customFormat="false" ht="15" hidden="false" customHeight="false" outlineLevel="0" collapsed="false">
      <c r="A927" s="0" t="n">
        <v>1</v>
      </c>
      <c r="B927" s="0" t="n">
        <v>2</v>
      </c>
      <c r="C927" s="0" t="n">
        <v>3</v>
      </c>
      <c r="D927" s="0" t="n">
        <v>4</v>
      </c>
      <c r="E927" s="0" t="n">
        <f aca="false">-1+A927*0.25</f>
        <v>-0.75</v>
      </c>
      <c r="F927" s="0" t="n">
        <f aca="false">-1+B927*0.25</f>
        <v>-0.5</v>
      </c>
      <c r="G927" s="0" t="n">
        <f aca="false">-1+C927*0.25</f>
        <v>-0.25</v>
      </c>
      <c r="H927" s="0" t="n">
        <f aca="false">-1+D927*0.25</f>
        <v>0</v>
      </c>
      <c r="I927" s="0" t="n">
        <f aca="false">1</f>
        <v>1</v>
      </c>
      <c r="J927" s="0" t="n">
        <f aca="false">E927</f>
        <v>-0.75</v>
      </c>
      <c r="K927" s="0" t="n">
        <f aca="false">F927</f>
        <v>-0.5</v>
      </c>
      <c r="L927" s="0" t="n">
        <f aca="false">G927</f>
        <v>-0.25</v>
      </c>
      <c r="M927" s="0" t="n">
        <f aca="false">H927</f>
        <v>0</v>
      </c>
      <c r="N927" s="0" t="n">
        <f aca="false">E927*F927</f>
        <v>0.375</v>
      </c>
      <c r="O927" s="0" t="n">
        <f aca="false">E927*G927</f>
        <v>0.1875</v>
      </c>
      <c r="P927" s="0" t="n">
        <f aca="false">E927*H927</f>
        <v>-0</v>
      </c>
      <c r="Q927" s="0" t="n">
        <f aca="false">F927*G927</f>
        <v>0.125</v>
      </c>
      <c r="R927" s="0" t="n">
        <f aca="false">F927*H927</f>
        <v>-0</v>
      </c>
      <c r="S927" s="0" t="n">
        <f aca="false">G927*H927</f>
        <v>-0</v>
      </c>
      <c r="T927" s="0" t="n">
        <f aca="false">E927*E927</f>
        <v>0.5625</v>
      </c>
      <c r="U927" s="0" t="n">
        <f aca="false">F927*F927</f>
        <v>0.25</v>
      </c>
      <c r="V927" s="0" t="n">
        <f aca="false">G927*G927</f>
        <v>0.0625</v>
      </c>
      <c r="W927" s="0" t="n">
        <f aca="false">H927*H927</f>
        <v>0</v>
      </c>
      <c r="X927" s="0" t="n">
        <f aca="false">SUMPRODUCT(I927:W927,_XtX!$B$96:$P$96)</f>
        <v>43.3088358918129</v>
      </c>
      <c r="Y927" s="0" t="n">
        <f aca="false">SUMPRODUCT(MMULT(I927:W927,_XtX!$B$78:$P$92),I927:W927)</f>
        <v>0.215110734192252</v>
      </c>
      <c r="Z927" s="0" t="n">
        <f aca="false">04_回帰ANOVA!$K$19*04_回帰ANOVA!$K$14*SQRT(1+Y927)</f>
        <v>1.43683309086864</v>
      </c>
      <c r="AA927" s="0" t="n">
        <f aca="false">X927-Z927</f>
        <v>41.8720028009442</v>
      </c>
      <c r="AB927" s="0" t="n">
        <f aca="false">X927+Z927</f>
        <v>44.7456689826815</v>
      </c>
      <c r="AC927" s="54" t="b">
        <f aca="false">AND(E927&gt;=01_因子設定!$L$5-0.000000001,E927&lt;=01_因子設定!$M$5+0.000000001,F927&gt;=01_因子設定!$L$6-0.000000001,F927&lt;=01_因子設定!$M$6+0.000000001,G927&gt;=01_因子設定!$L$7-0.000000001,G927&lt;=01_因子設定!$M$7+0.000000001,H927&gt;=01_因子設定!$L$8-0.000000001,H927&lt;=01_因子設定!$M$8+0.000000001,IF(01_因子設定!$B$20="Box-Behnken",E927^2+F927^2+G927^2+H927^2&lt;=2+0.000000001,TRUE()))</f>
        <v>1</v>
      </c>
      <c r="AD927" s="55" t="n">
        <f aca="false">IF(AC927,IF(01_因子設定!$B$13="最大化",AA927-01_因子設定!$B$14,IF(01_因子設定!$B$13="最小化",01_因子設定!$B$15-AB927,MIN(AA927-01_因子設定!$B$14,01_因子設定!$B$15-AB927))),-1E+030)</f>
        <v>-4.6279971990558</v>
      </c>
      <c r="AE927" s="55" t="n">
        <f aca="false">IF(AC927,IF(01_因子設定!$B$13="最大化",X927,IF(01_因子設定!$B$13="最小化",-X927,-ABS(X927-01_因子設定!$B$16))),-1E+030)</f>
        <v>43.3088358918129</v>
      </c>
      <c r="AF927" s="55" t="n">
        <f aca="false">AD927+ROW()*0.000000001</f>
        <v>-4.6279962720558</v>
      </c>
      <c r="AG927" s="55" t="n">
        <f aca="false">AE927+ROW()*0.000000001</f>
        <v>43.3088368188129</v>
      </c>
    </row>
    <row r="928" customFormat="false" ht="15" hidden="false" customHeight="false" outlineLevel="0" collapsed="false">
      <c r="A928" s="0" t="n">
        <v>1</v>
      </c>
      <c r="B928" s="0" t="n">
        <v>2</v>
      </c>
      <c r="C928" s="0" t="n">
        <v>3</v>
      </c>
      <c r="D928" s="0" t="n">
        <v>5</v>
      </c>
      <c r="E928" s="0" t="n">
        <f aca="false">-1+A928*0.25</f>
        <v>-0.75</v>
      </c>
      <c r="F928" s="0" t="n">
        <f aca="false">-1+B928*0.25</f>
        <v>-0.5</v>
      </c>
      <c r="G928" s="0" t="n">
        <f aca="false">-1+C928*0.25</f>
        <v>-0.25</v>
      </c>
      <c r="H928" s="0" t="n">
        <f aca="false">-1+D928*0.25</f>
        <v>0.25</v>
      </c>
      <c r="I928" s="0" t="n">
        <f aca="false">1</f>
        <v>1</v>
      </c>
      <c r="J928" s="0" t="n">
        <f aca="false">E928</f>
        <v>-0.75</v>
      </c>
      <c r="K928" s="0" t="n">
        <f aca="false">F928</f>
        <v>-0.5</v>
      </c>
      <c r="L928" s="0" t="n">
        <f aca="false">G928</f>
        <v>-0.25</v>
      </c>
      <c r="M928" s="0" t="n">
        <f aca="false">H928</f>
        <v>0.25</v>
      </c>
      <c r="N928" s="0" t="n">
        <f aca="false">E928*F928</f>
        <v>0.375</v>
      </c>
      <c r="O928" s="0" t="n">
        <f aca="false">E928*G928</f>
        <v>0.1875</v>
      </c>
      <c r="P928" s="0" t="n">
        <f aca="false">E928*H928</f>
        <v>-0.1875</v>
      </c>
      <c r="Q928" s="0" t="n">
        <f aca="false">F928*G928</f>
        <v>0.125</v>
      </c>
      <c r="R928" s="0" t="n">
        <f aca="false">F928*H928</f>
        <v>-0.125</v>
      </c>
      <c r="S928" s="0" t="n">
        <f aca="false">G928*H928</f>
        <v>-0.0625</v>
      </c>
      <c r="T928" s="0" t="n">
        <f aca="false">E928*E928</f>
        <v>0.5625</v>
      </c>
      <c r="U928" s="0" t="n">
        <f aca="false">F928*F928</f>
        <v>0.25</v>
      </c>
      <c r="V928" s="0" t="n">
        <f aca="false">G928*G928</f>
        <v>0.0625</v>
      </c>
      <c r="W928" s="0" t="n">
        <f aca="false">H928*H928</f>
        <v>0.0625</v>
      </c>
      <c r="X928" s="0" t="n">
        <f aca="false">SUMPRODUCT(I928:W928,_XtX!$B$96:$P$96)</f>
        <v>43.3714775219298</v>
      </c>
      <c r="Y928" s="0" t="n">
        <f aca="false">SUMPRODUCT(MMULT(I928:W928,_XtX!$B$78:$P$92),I928:W928)</f>
        <v>0.207746539199561</v>
      </c>
      <c r="Z928" s="0" t="n">
        <f aca="false">04_回帰ANOVA!$K$19*04_回帰ANOVA!$K$14*SQRT(1+Y928)</f>
        <v>1.43247250081141</v>
      </c>
      <c r="AA928" s="0" t="n">
        <f aca="false">X928-Z928</f>
        <v>41.9390050211184</v>
      </c>
      <c r="AB928" s="0" t="n">
        <f aca="false">X928+Z928</f>
        <v>44.8039500227412</v>
      </c>
      <c r="AC928" s="54" t="b">
        <f aca="false">AND(E928&gt;=01_因子設定!$L$5-0.000000001,E928&lt;=01_因子設定!$M$5+0.000000001,F928&gt;=01_因子設定!$L$6-0.000000001,F928&lt;=01_因子設定!$M$6+0.000000001,G928&gt;=01_因子設定!$L$7-0.000000001,G928&lt;=01_因子設定!$M$7+0.000000001,H928&gt;=01_因子設定!$L$8-0.000000001,H928&lt;=01_因子設定!$M$8+0.000000001,IF(01_因子設定!$B$20="Box-Behnken",E928^2+F928^2+G928^2+H928^2&lt;=2+0.000000001,TRUE()))</f>
        <v>1</v>
      </c>
      <c r="AD928" s="55" t="n">
        <f aca="false">IF(AC928,IF(01_因子設定!$B$13="最大化",AA928-01_因子設定!$B$14,IF(01_因子設定!$B$13="最小化",01_因子設定!$B$15-AB928,MIN(AA928-01_因子設定!$B$14,01_因子設定!$B$15-AB928))),-1E+030)</f>
        <v>-4.5609949788816</v>
      </c>
      <c r="AE928" s="55" t="n">
        <f aca="false">IF(AC928,IF(01_因子設定!$B$13="最大化",X928,IF(01_因子設定!$B$13="最小化",-X928,-ABS(X928-01_因子設定!$B$16))),-1E+030)</f>
        <v>43.3714775219298</v>
      </c>
      <c r="AF928" s="55" t="n">
        <f aca="false">AD928+ROW()*0.000000001</f>
        <v>-4.5609940508816</v>
      </c>
      <c r="AG928" s="55" t="n">
        <f aca="false">AE928+ROW()*0.000000001</f>
        <v>43.3714784499298</v>
      </c>
    </row>
    <row r="929" customFormat="false" ht="15" hidden="false" customHeight="false" outlineLevel="0" collapsed="false">
      <c r="A929" s="0" t="n">
        <v>1</v>
      </c>
      <c r="B929" s="0" t="n">
        <v>2</v>
      </c>
      <c r="C929" s="0" t="n">
        <v>3</v>
      </c>
      <c r="D929" s="0" t="n">
        <v>6</v>
      </c>
      <c r="E929" s="0" t="n">
        <f aca="false">-1+A929*0.25</f>
        <v>-0.75</v>
      </c>
      <c r="F929" s="0" t="n">
        <f aca="false">-1+B929*0.25</f>
        <v>-0.5</v>
      </c>
      <c r="G929" s="0" t="n">
        <f aca="false">-1+C929*0.25</f>
        <v>-0.25</v>
      </c>
      <c r="H929" s="0" t="n">
        <f aca="false">-1+D929*0.25</f>
        <v>0.5</v>
      </c>
      <c r="I929" s="0" t="n">
        <f aca="false">1</f>
        <v>1</v>
      </c>
      <c r="J929" s="0" t="n">
        <f aca="false">E929</f>
        <v>-0.75</v>
      </c>
      <c r="K929" s="0" t="n">
        <f aca="false">F929</f>
        <v>-0.5</v>
      </c>
      <c r="L929" s="0" t="n">
        <f aca="false">G929</f>
        <v>-0.25</v>
      </c>
      <c r="M929" s="0" t="n">
        <f aca="false">H929</f>
        <v>0.5</v>
      </c>
      <c r="N929" s="0" t="n">
        <f aca="false">E929*F929</f>
        <v>0.375</v>
      </c>
      <c r="O929" s="0" t="n">
        <f aca="false">E929*G929</f>
        <v>0.1875</v>
      </c>
      <c r="P929" s="0" t="n">
        <f aca="false">E929*H929</f>
        <v>-0.375</v>
      </c>
      <c r="Q929" s="0" t="n">
        <f aca="false">F929*G929</f>
        <v>0.125</v>
      </c>
      <c r="R929" s="0" t="n">
        <f aca="false">F929*H929</f>
        <v>-0.25</v>
      </c>
      <c r="S929" s="0" t="n">
        <f aca="false">G929*H929</f>
        <v>-0.125</v>
      </c>
      <c r="T929" s="0" t="n">
        <f aca="false">E929*E929</f>
        <v>0.5625</v>
      </c>
      <c r="U929" s="0" t="n">
        <f aca="false">F929*F929</f>
        <v>0.25</v>
      </c>
      <c r="V929" s="0" t="n">
        <f aca="false">G929*G929</f>
        <v>0.0625</v>
      </c>
      <c r="W929" s="0" t="n">
        <f aca="false">H929*H929</f>
        <v>0.25</v>
      </c>
      <c r="X929" s="0" t="n">
        <f aca="false">SUMPRODUCT(I929:W929,_XtX!$B$96:$P$96)</f>
        <v>43.3863121345029</v>
      </c>
      <c r="Y929" s="0" t="n">
        <f aca="false">SUMPRODUCT(MMULT(I929:W929,_XtX!$B$78:$P$92),I929:W929)</f>
        <v>0.203746059484649</v>
      </c>
      <c r="Z929" s="0" t="n">
        <f aca="false">04_回帰ANOVA!$K$19*04_回帰ANOVA!$K$14*SQRT(1+Y929)</f>
        <v>1.43009810755465</v>
      </c>
      <c r="AA929" s="0" t="n">
        <f aca="false">X929-Z929</f>
        <v>41.9562140269483</v>
      </c>
      <c r="AB929" s="0" t="n">
        <f aca="false">X929+Z929</f>
        <v>44.8164102420576</v>
      </c>
      <c r="AC929" s="54" t="b">
        <f aca="false">AND(E929&gt;=01_因子設定!$L$5-0.000000001,E929&lt;=01_因子設定!$M$5+0.000000001,F929&gt;=01_因子設定!$L$6-0.000000001,F929&lt;=01_因子設定!$M$6+0.000000001,G929&gt;=01_因子設定!$L$7-0.000000001,G929&lt;=01_因子設定!$M$7+0.000000001,H929&gt;=01_因子設定!$L$8-0.000000001,H929&lt;=01_因子設定!$M$8+0.000000001,IF(01_因子設定!$B$20="Box-Behnken",E929^2+F929^2+G929^2+H929^2&lt;=2+0.000000001,TRUE()))</f>
        <v>1</v>
      </c>
      <c r="AD929" s="55" t="n">
        <f aca="false">IF(AC929,IF(01_因子設定!$B$13="最大化",AA929-01_因子設定!$B$14,IF(01_因子設定!$B$13="最小化",01_因子設定!$B$15-AB929,MIN(AA929-01_因子設定!$B$14,01_因子設定!$B$15-AB929))),-1E+030)</f>
        <v>-4.54378597305173</v>
      </c>
      <c r="AE929" s="55" t="n">
        <f aca="false">IF(AC929,IF(01_因子設定!$B$13="最大化",X929,IF(01_因子設定!$B$13="最小化",-X929,-ABS(X929-01_因子設定!$B$16))),-1E+030)</f>
        <v>43.3863121345029</v>
      </c>
      <c r="AF929" s="55" t="n">
        <f aca="false">AD929+ROW()*0.000000001</f>
        <v>-4.54378504405173</v>
      </c>
      <c r="AG929" s="55" t="n">
        <f aca="false">AE929+ROW()*0.000000001</f>
        <v>43.3863130635029</v>
      </c>
    </row>
    <row r="930" customFormat="false" ht="15" hidden="false" customHeight="false" outlineLevel="0" collapsed="false">
      <c r="A930" s="0" t="n">
        <v>1</v>
      </c>
      <c r="B930" s="0" t="n">
        <v>2</v>
      </c>
      <c r="C930" s="0" t="n">
        <v>3</v>
      </c>
      <c r="D930" s="0" t="n">
        <v>7</v>
      </c>
      <c r="E930" s="0" t="n">
        <f aca="false">-1+A930*0.25</f>
        <v>-0.75</v>
      </c>
      <c r="F930" s="0" t="n">
        <f aca="false">-1+B930*0.25</f>
        <v>-0.5</v>
      </c>
      <c r="G930" s="0" t="n">
        <f aca="false">-1+C930*0.25</f>
        <v>-0.25</v>
      </c>
      <c r="H930" s="0" t="n">
        <f aca="false">-1+D930*0.25</f>
        <v>0.75</v>
      </c>
      <c r="I930" s="0" t="n">
        <f aca="false">1</f>
        <v>1</v>
      </c>
      <c r="J930" s="0" t="n">
        <f aca="false">E930</f>
        <v>-0.75</v>
      </c>
      <c r="K930" s="0" t="n">
        <f aca="false">F930</f>
        <v>-0.5</v>
      </c>
      <c r="L930" s="0" t="n">
        <f aca="false">G930</f>
        <v>-0.25</v>
      </c>
      <c r="M930" s="0" t="n">
        <f aca="false">H930</f>
        <v>0.75</v>
      </c>
      <c r="N930" s="0" t="n">
        <f aca="false">E930*F930</f>
        <v>0.375</v>
      </c>
      <c r="O930" s="0" t="n">
        <f aca="false">E930*G930</f>
        <v>0.1875</v>
      </c>
      <c r="P930" s="0" t="n">
        <f aca="false">E930*H930</f>
        <v>-0.5625</v>
      </c>
      <c r="Q930" s="0" t="n">
        <f aca="false">F930*G930</f>
        <v>0.125</v>
      </c>
      <c r="R930" s="0" t="n">
        <f aca="false">F930*H930</f>
        <v>-0.375</v>
      </c>
      <c r="S930" s="0" t="n">
        <f aca="false">G930*H930</f>
        <v>-0.1875</v>
      </c>
      <c r="T930" s="0" t="n">
        <f aca="false">E930*E930</f>
        <v>0.5625</v>
      </c>
      <c r="U930" s="0" t="n">
        <f aca="false">F930*F930</f>
        <v>0.25</v>
      </c>
      <c r="V930" s="0" t="n">
        <f aca="false">G930*G930</f>
        <v>0.0625</v>
      </c>
      <c r="W930" s="0" t="n">
        <f aca="false">H930*H930</f>
        <v>0.5625</v>
      </c>
      <c r="X930" s="0" t="n">
        <f aca="false">SUMPRODUCT(I930:W930,_XtX!$B$96:$P$96)</f>
        <v>43.3533397295322</v>
      </c>
      <c r="Y930" s="0" t="n">
        <f aca="false">SUMPRODUCT(MMULT(I930:W930,_XtX!$B$78:$P$92),I930:W930)</f>
        <v>0.257385610836988</v>
      </c>
      <c r="Z930" s="0" t="n">
        <f aca="false">04_回帰ANOVA!$K$19*04_回帰ANOVA!$K$14*SQRT(1+Y930)</f>
        <v>1.46161380324158</v>
      </c>
      <c r="AA930" s="0" t="n">
        <f aca="false">X930-Z930</f>
        <v>41.8917259262906</v>
      </c>
      <c r="AB930" s="0" t="n">
        <f aca="false">X930+Z930</f>
        <v>44.8149535327738</v>
      </c>
      <c r="AC930" s="54" t="b">
        <f aca="false">AND(E930&gt;=01_因子設定!$L$5-0.000000001,E930&lt;=01_因子設定!$M$5+0.000000001,F930&gt;=01_因子設定!$L$6-0.000000001,F930&lt;=01_因子設定!$M$6+0.000000001,G930&gt;=01_因子設定!$L$7-0.000000001,G930&lt;=01_因子設定!$M$7+0.000000001,H930&gt;=01_因子設定!$L$8-0.000000001,H930&lt;=01_因子設定!$M$8+0.000000001,IF(01_因子設定!$B$20="Box-Behnken",E930^2+F930^2+G930^2+H930^2&lt;=2+0.000000001,TRUE()))</f>
        <v>1</v>
      </c>
      <c r="AD930" s="55" t="n">
        <f aca="false">IF(AC930,IF(01_因子設定!$B$13="最大化",AA930-01_因子設定!$B$14,IF(01_因子設定!$B$13="最小化",01_因子設定!$B$15-AB930,MIN(AA930-01_因子設定!$B$14,01_因子設定!$B$15-AB930))),-1E+030)</f>
        <v>-4.60827407370942</v>
      </c>
      <c r="AE930" s="55" t="n">
        <f aca="false">IF(AC930,IF(01_因子設定!$B$13="最大化",X930,IF(01_因子設定!$B$13="最小化",-X930,-ABS(X930-01_因子設定!$B$16))),-1E+030)</f>
        <v>43.3533397295322</v>
      </c>
      <c r="AF930" s="55" t="n">
        <f aca="false">AD930+ROW()*0.000000001</f>
        <v>-4.60827314370942</v>
      </c>
      <c r="AG930" s="55" t="n">
        <f aca="false">AE930+ROW()*0.000000001</f>
        <v>43.3533406595322</v>
      </c>
    </row>
    <row r="931" customFormat="false" ht="15" hidden="false" customHeight="false" outlineLevel="0" collapsed="false">
      <c r="A931" s="0" t="n">
        <v>1</v>
      </c>
      <c r="B931" s="0" t="n">
        <v>2</v>
      </c>
      <c r="C931" s="0" t="n">
        <v>3</v>
      </c>
      <c r="D931" s="0" t="n">
        <v>8</v>
      </c>
      <c r="E931" s="0" t="n">
        <f aca="false">-1+A931*0.25</f>
        <v>-0.75</v>
      </c>
      <c r="F931" s="0" t="n">
        <f aca="false">-1+B931*0.25</f>
        <v>-0.5</v>
      </c>
      <c r="G931" s="0" t="n">
        <f aca="false">-1+C931*0.25</f>
        <v>-0.25</v>
      </c>
      <c r="H931" s="0" t="n">
        <f aca="false">-1+D931*0.25</f>
        <v>1</v>
      </c>
      <c r="I931" s="0" t="n">
        <f aca="false">1</f>
        <v>1</v>
      </c>
      <c r="J931" s="0" t="n">
        <f aca="false">E931</f>
        <v>-0.75</v>
      </c>
      <c r="K931" s="0" t="n">
        <f aca="false">F931</f>
        <v>-0.5</v>
      </c>
      <c r="L931" s="0" t="n">
        <f aca="false">G931</f>
        <v>-0.25</v>
      </c>
      <c r="M931" s="0" t="n">
        <f aca="false">H931</f>
        <v>1</v>
      </c>
      <c r="N931" s="0" t="n">
        <f aca="false">E931*F931</f>
        <v>0.375</v>
      </c>
      <c r="O931" s="0" t="n">
        <f aca="false">E931*G931</f>
        <v>0.1875</v>
      </c>
      <c r="P931" s="0" t="n">
        <f aca="false">E931*H931</f>
        <v>-0.75</v>
      </c>
      <c r="Q931" s="0" t="n">
        <f aca="false">F931*G931</f>
        <v>0.125</v>
      </c>
      <c r="R931" s="0" t="n">
        <f aca="false">F931*H931</f>
        <v>-0.5</v>
      </c>
      <c r="S931" s="0" t="n">
        <f aca="false">G931*H931</f>
        <v>-0.25</v>
      </c>
      <c r="T931" s="0" t="n">
        <f aca="false">E931*E931</f>
        <v>0.5625</v>
      </c>
      <c r="U931" s="0" t="n">
        <f aca="false">F931*F931</f>
        <v>0.25</v>
      </c>
      <c r="V931" s="0" t="n">
        <f aca="false">G931*G931</f>
        <v>0.0625</v>
      </c>
      <c r="W931" s="0" t="n">
        <f aca="false">H931*H931</f>
        <v>1</v>
      </c>
      <c r="X931" s="0" t="n">
        <f aca="false">SUMPRODUCT(I931:W931,_XtX!$B$96:$P$96)</f>
        <v>43.2725603070176</v>
      </c>
      <c r="Y931" s="0" t="n">
        <f aca="false">SUMPRODUCT(MMULT(I931:W931,_XtX!$B$78:$P$92),I931:W931)</f>
        <v>0.459125719572369</v>
      </c>
      <c r="Z931" s="0" t="n">
        <f aca="false">04_回帰ANOVA!$K$19*04_回帰ANOVA!$K$14*SQRT(1+Y931)</f>
        <v>1.57450755575573</v>
      </c>
      <c r="AA931" s="0" t="n">
        <f aca="false">X931-Z931</f>
        <v>41.6980527512618</v>
      </c>
      <c r="AB931" s="0" t="n">
        <f aca="false">X931+Z931</f>
        <v>44.8470678627733</v>
      </c>
      <c r="AC931" s="54" t="b">
        <f aca="false">AND(E931&gt;=01_因子設定!$L$5-0.000000001,E931&lt;=01_因子設定!$M$5+0.000000001,F931&gt;=01_因子設定!$L$6-0.000000001,F931&lt;=01_因子設定!$M$6+0.000000001,G931&gt;=01_因子設定!$L$7-0.000000001,G931&lt;=01_因子設定!$M$7+0.000000001,H931&gt;=01_因子設定!$L$8-0.000000001,H931&lt;=01_因子設定!$M$8+0.000000001,IF(01_因子設定!$B$20="Box-Behnken",E931^2+F931^2+G931^2+H931^2&lt;=2+0.000000001,TRUE()))</f>
        <v>1</v>
      </c>
      <c r="AD931" s="55" t="n">
        <f aca="false">IF(AC931,IF(01_因子設定!$B$13="最大化",AA931-01_因子設定!$B$14,IF(01_因子設定!$B$13="最小化",01_因子設定!$B$15-AB931,MIN(AA931-01_因子設定!$B$14,01_因子設定!$B$15-AB931))),-1E+030)</f>
        <v>-4.80194724873817</v>
      </c>
      <c r="AE931" s="55" t="n">
        <f aca="false">IF(AC931,IF(01_因子設定!$B$13="最大化",X931,IF(01_因子設定!$B$13="最小化",-X931,-ABS(X931-01_因子設定!$B$16))),-1E+030)</f>
        <v>43.2725603070176</v>
      </c>
      <c r="AF931" s="55" t="n">
        <f aca="false">AD931+ROW()*0.000000001</f>
        <v>-4.80194631773817</v>
      </c>
      <c r="AG931" s="55" t="n">
        <f aca="false">AE931+ROW()*0.000000001</f>
        <v>43.2725612380176</v>
      </c>
    </row>
    <row r="932" customFormat="false" ht="15" hidden="false" customHeight="false" outlineLevel="0" collapsed="false">
      <c r="A932" s="0" t="n">
        <v>1</v>
      </c>
      <c r="B932" s="0" t="n">
        <v>2</v>
      </c>
      <c r="C932" s="0" t="n">
        <v>4</v>
      </c>
      <c r="D932" s="0" t="n">
        <v>0</v>
      </c>
      <c r="E932" s="0" t="n">
        <f aca="false">-1+A932*0.25</f>
        <v>-0.75</v>
      </c>
      <c r="F932" s="0" t="n">
        <f aca="false">-1+B932*0.25</f>
        <v>-0.5</v>
      </c>
      <c r="G932" s="0" t="n">
        <f aca="false">-1+C932*0.25</f>
        <v>0</v>
      </c>
      <c r="H932" s="0" t="n">
        <f aca="false">-1+D932*0.25</f>
        <v>-1</v>
      </c>
      <c r="I932" s="0" t="n">
        <f aca="false">1</f>
        <v>1</v>
      </c>
      <c r="J932" s="0" t="n">
        <f aca="false">E932</f>
        <v>-0.75</v>
      </c>
      <c r="K932" s="0" t="n">
        <f aca="false">F932</f>
        <v>-0.5</v>
      </c>
      <c r="L932" s="0" t="n">
        <f aca="false">G932</f>
        <v>0</v>
      </c>
      <c r="M932" s="0" t="n">
        <f aca="false">H932</f>
        <v>-1</v>
      </c>
      <c r="N932" s="0" t="n">
        <f aca="false">E932*F932</f>
        <v>0.375</v>
      </c>
      <c r="O932" s="0" t="n">
        <f aca="false">E932*G932</f>
        <v>-0</v>
      </c>
      <c r="P932" s="0" t="n">
        <f aca="false">E932*H932</f>
        <v>0.75</v>
      </c>
      <c r="Q932" s="0" t="n">
        <f aca="false">F932*G932</f>
        <v>-0</v>
      </c>
      <c r="R932" s="0" t="n">
        <f aca="false">F932*H932</f>
        <v>0.5</v>
      </c>
      <c r="S932" s="0" t="n">
        <f aca="false">G932*H932</f>
        <v>-0</v>
      </c>
      <c r="T932" s="0" t="n">
        <f aca="false">E932*E932</f>
        <v>0.5625</v>
      </c>
      <c r="U932" s="0" t="n">
        <f aca="false">F932*F932</f>
        <v>0.25</v>
      </c>
      <c r="V932" s="0" t="n">
        <f aca="false">G932*G932</f>
        <v>0</v>
      </c>
      <c r="W932" s="0" t="n">
        <f aca="false">H932*H932</f>
        <v>1</v>
      </c>
      <c r="X932" s="0" t="n">
        <f aca="false">SUMPRODUCT(I932:W932,_XtX!$B$96:$P$96)</f>
        <v>42.8796235380117</v>
      </c>
      <c r="Y932" s="0" t="n">
        <f aca="false">SUMPRODUCT(MMULT(I932:W932,_XtX!$B$78:$P$92),I932:W932)</f>
        <v>0.476191292032164</v>
      </c>
      <c r="Z932" s="0" t="n">
        <f aca="false">04_回帰ANOVA!$K$19*04_回帰ANOVA!$K$14*SQRT(1+Y932)</f>
        <v>1.58368831471718</v>
      </c>
      <c r="AA932" s="0" t="n">
        <f aca="false">X932-Z932</f>
        <v>41.2959352232945</v>
      </c>
      <c r="AB932" s="0" t="n">
        <f aca="false">X932+Z932</f>
        <v>44.4633118527289</v>
      </c>
      <c r="AC932" s="54" t="b">
        <f aca="false">AND(E932&gt;=01_因子設定!$L$5-0.000000001,E932&lt;=01_因子設定!$M$5+0.000000001,F932&gt;=01_因子設定!$L$6-0.000000001,F932&lt;=01_因子設定!$M$6+0.000000001,G932&gt;=01_因子設定!$L$7-0.000000001,G932&lt;=01_因子設定!$M$7+0.000000001,H932&gt;=01_因子設定!$L$8-0.000000001,H932&lt;=01_因子設定!$M$8+0.000000001,IF(01_因子設定!$B$20="Box-Behnken",E932^2+F932^2+G932^2+H932^2&lt;=2+0.000000001,TRUE()))</f>
        <v>1</v>
      </c>
      <c r="AD932" s="55" t="n">
        <f aca="false">IF(AC932,IF(01_因子設定!$B$13="最大化",AA932-01_因子設定!$B$14,IF(01_因子設定!$B$13="最小化",01_因子設定!$B$15-AB932,MIN(AA932-01_因子設定!$B$14,01_因子設定!$B$15-AB932))),-1E+030)</f>
        <v>-5.20406477670546</v>
      </c>
      <c r="AE932" s="55" t="n">
        <f aca="false">IF(AC932,IF(01_因子設定!$B$13="最大化",X932,IF(01_因子設定!$B$13="最小化",-X932,-ABS(X932-01_因子設定!$B$16))),-1E+030)</f>
        <v>42.8796235380117</v>
      </c>
      <c r="AF932" s="55" t="n">
        <f aca="false">AD932+ROW()*0.000000001</f>
        <v>-5.20406384470546</v>
      </c>
      <c r="AG932" s="55" t="n">
        <f aca="false">AE932+ROW()*0.000000001</f>
        <v>42.8796244700117</v>
      </c>
    </row>
    <row r="933" customFormat="false" ht="15" hidden="false" customHeight="false" outlineLevel="0" collapsed="false">
      <c r="A933" s="0" t="n">
        <v>1</v>
      </c>
      <c r="B933" s="0" t="n">
        <v>2</v>
      </c>
      <c r="C933" s="0" t="n">
        <v>4</v>
      </c>
      <c r="D933" s="0" t="n">
        <v>1</v>
      </c>
      <c r="E933" s="0" t="n">
        <f aca="false">-1+A933*0.25</f>
        <v>-0.75</v>
      </c>
      <c r="F933" s="0" t="n">
        <f aca="false">-1+B933*0.25</f>
        <v>-0.5</v>
      </c>
      <c r="G933" s="0" t="n">
        <f aca="false">-1+C933*0.25</f>
        <v>0</v>
      </c>
      <c r="H933" s="0" t="n">
        <f aca="false">-1+D933*0.25</f>
        <v>-0.75</v>
      </c>
      <c r="I933" s="0" t="n">
        <f aca="false">1</f>
        <v>1</v>
      </c>
      <c r="J933" s="0" t="n">
        <f aca="false">E933</f>
        <v>-0.75</v>
      </c>
      <c r="K933" s="0" t="n">
        <f aca="false">F933</f>
        <v>-0.5</v>
      </c>
      <c r="L933" s="0" t="n">
        <f aca="false">G933</f>
        <v>0</v>
      </c>
      <c r="M933" s="0" t="n">
        <f aca="false">H933</f>
        <v>-0.75</v>
      </c>
      <c r="N933" s="0" t="n">
        <f aca="false">E933*F933</f>
        <v>0.375</v>
      </c>
      <c r="O933" s="0" t="n">
        <f aca="false">E933*G933</f>
        <v>-0</v>
      </c>
      <c r="P933" s="0" t="n">
        <f aca="false">E933*H933</f>
        <v>0.5625</v>
      </c>
      <c r="Q933" s="0" t="n">
        <f aca="false">F933*G933</f>
        <v>-0</v>
      </c>
      <c r="R933" s="0" t="n">
        <f aca="false">F933*H933</f>
        <v>0.375</v>
      </c>
      <c r="S933" s="0" t="n">
        <f aca="false">G933*H933</f>
        <v>-0</v>
      </c>
      <c r="T933" s="0" t="n">
        <f aca="false">E933*E933</f>
        <v>0.5625</v>
      </c>
      <c r="U933" s="0" t="n">
        <f aca="false">F933*F933</f>
        <v>0.25</v>
      </c>
      <c r="V933" s="0" t="n">
        <f aca="false">G933*G933</f>
        <v>0</v>
      </c>
      <c r="W933" s="0" t="n">
        <f aca="false">H933*H933</f>
        <v>0.5625</v>
      </c>
      <c r="X933" s="0" t="n">
        <f aca="false">SUMPRODUCT(I933:W933,_XtX!$B$96:$P$96)</f>
        <v>43.1514619883041</v>
      </c>
      <c r="Y933" s="0" t="n">
        <f aca="false">SUMPRODUCT(MMULT(I933:W933,_XtX!$B$78:$P$92),I933:W933)</f>
        <v>0.269923873812135</v>
      </c>
      <c r="Z933" s="0" t="n">
        <f aca="false">04_回帰ANOVA!$K$19*04_回帰ANOVA!$K$14*SQRT(1+Y933)</f>
        <v>1.46888310825501</v>
      </c>
      <c r="AA933" s="0" t="n">
        <f aca="false">X933-Z933</f>
        <v>41.6825788800491</v>
      </c>
      <c r="AB933" s="0" t="n">
        <f aca="false">X933+Z933</f>
        <v>44.6203450965591</v>
      </c>
      <c r="AC933" s="54" t="b">
        <f aca="false">AND(E933&gt;=01_因子設定!$L$5-0.000000001,E933&lt;=01_因子設定!$M$5+0.000000001,F933&gt;=01_因子設定!$L$6-0.000000001,F933&lt;=01_因子設定!$M$6+0.000000001,G933&gt;=01_因子設定!$L$7-0.000000001,G933&lt;=01_因子設定!$M$7+0.000000001,H933&gt;=01_因子設定!$L$8-0.000000001,H933&lt;=01_因子設定!$M$8+0.000000001,IF(01_因子設定!$B$20="Box-Behnken",E933^2+F933^2+G933^2+H933^2&lt;=2+0.000000001,TRUE()))</f>
        <v>1</v>
      </c>
      <c r="AD933" s="55" t="n">
        <f aca="false">IF(AC933,IF(01_因子設定!$B$13="最大化",AA933-01_因子設定!$B$14,IF(01_因子設定!$B$13="最小化",01_因子設定!$B$15-AB933,MIN(AA933-01_因子設定!$B$14,01_因子設定!$B$15-AB933))),-1E+030)</f>
        <v>-4.81742111995091</v>
      </c>
      <c r="AE933" s="55" t="n">
        <f aca="false">IF(AC933,IF(01_因子設定!$B$13="最大化",X933,IF(01_因子設定!$B$13="最小化",-X933,-ABS(X933-01_因子設定!$B$16))),-1E+030)</f>
        <v>43.1514619883041</v>
      </c>
      <c r="AF933" s="55" t="n">
        <f aca="false">AD933+ROW()*0.000000001</f>
        <v>-4.81742018695091</v>
      </c>
      <c r="AG933" s="55" t="n">
        <f aca="false">AE933+ROW()*0.000000001</f>
        <v>43.1514629213041</v>
      </c>
    </row>
    <row r="934" customFormat="false" ht="15" hidden="false" customHeight="false" outlineLevel="0" collapsed="false">
      <c r="A934" s="0" t="n">
        <v>1</v>
      </c>
      <c r="B934" s="0" t="n">
        <v>2</v>
      </c>
      <c r="C934" s="0" t="n">
        <v>4</v>
      </c>
      <c r="D934" s="0" t="n">
        <v>2</v>
      </c>
      <c r="E934" s="0" t="n">
        <f aca="false">-1+A934*0.25</f>
        <v>-0.75</v>
      </c>
      <c r="F934" s="0" t="n">
        <f aca="false">-1+B934*0.25</f>
        <v>-0.5</v>
      </c>
      <c r="G934" s="0" t="n">
        <f aca="false">-1+C934*0.25</f>
        <v>0</v>
      </c>
      <c r="H934" s="0" t="n">
        <f aca="false">-1+D934*0.25</f>
        <v>-0.5</v>
      </c>
      <c r="I934" s="0" t="n">
        <f aca="false">1</f>
        <v>1</v>
      </c>
      <c r="J934" s="0" t="n">
        <f aca="false">E934</f>
        <v>-0.75</v>
      </c>
      <c r="K934" s="0" t="n">
        <f aca="false">F934</f>
        <v>-0.5</v>
      </c>
      <c r="L934" s="0" t="n">
        <f aca="false">G934</f>
        <v>0</v>
      </c>
      <c r="M934" s="0" t="n">
        <f aca="false">H934</f>
        <v>-0.5</v>
      </c>
      <c r="N934" s="0" t="n">
        <f aca="false">E934*F934</f>
        <v>0.375</v>
      </c>
      <c r="O934" s="0" t="n">
        <f aca="false">E934*G934</f>
        <v>-0</v>
      </c>
      <c r="P934" s="0" t="n">
        <f aca="false">E934*H934</f>
        <v>0.375</v>
      </c>
      <c r="Q934" s="0" t="n">
        <f aca="false">F934*G934</f>
        <v>-0</v>
      </c>
      <c r="R934" s="0" t="n">
        <f aca="false">F934*H934</f>
        <v>0.25</v>
      </c>
      <c r="S934" s="0" t="n">
        <f aca="false">G934*H934</f>
        <v>-0</v>
      </c>
      <c r="T934" s="0" t="n">
        <f aca="false">E934*E934</f>
        <v>0.5625</v>
      </c>
      <c r="U934" s="0" t="n">
        <f aca="false">F934*F934</f>
        <v>0.25</v>
      </c>
      <c r="V934" s="0" t="n">
        <f aca="false">G934*G934</f>
        <v>0</v>
      </c>
      <c r="W934" s="0" t="n">
        <f aca="false">H934*H934</f>
        <v>0.25</v>
      </c>
      <c r="X934" s="0" t="n">
        <f aca="false">SUMPRODUCT(I934:W934,_XtX!$B$96:$P$96)</f>
        <v>43.3754934210526</v>
      </c>
      <c r="Y934" s="0" t="n">
        <f aca="false">SUMPRODUCT(MMULT(I934:W934,_XtX!$B$78:$P$92),I934:W934)</f>
        <v>0.21305052997076</v>
      </c>
      <c r="Z934" s="0" t="n">
        <f aca="false">04_回帰ANOVA!$K$19*04_回帰ANOVA!$K$14*SQRT(1+Y934)</f>
        <v>1.43561450835061</v>
      </c>
      <c r="AA934" s="0" t="n">
        <f aca="false">X934-Z934</f>
        <v>41.939878912702</v>
      </c>
      <c r="AB934" s="0" t="n">
        <f aca="false">X934+Z934</f>
        <v>44.8111079294032</v>
      </c>
      <c r="AC934" s="54" t="b">
        <f aca="false">AND(E934&gt;=01_因子設定!$L$5-0.000000001,E934&lt;=01_因子設定!$M$5+0.000000001,F934&gt;=01_因子設定!$L$6-0.000000001,F934&lt;=01_因子設定!$M$6+0.000000001,G934&gt;=01_因子設定!$L$7-0.000000001,G934&lt;=01_因子設定!$M$7+0.000000001,H934&gt;=01_因子設定!$L$8-0.000000001,H934&lt;=01_因子設定!$M$8+0.000000001,IF(01_因子設定!$B$20="Box-Behnken",E934^2+F934^2+G934^2+H934^2&lt;=2+0.000000001,TRUE()))</f>
        <v>1</v>
      </c>
      <c r="AD934" s="55" t="n">
        <f aca="false">IF(AC934,IF(01_因子設定!$B$13="最大化",AA934-01_因子設定!$B$14,IF(01_因子設定!$B$13="最小化",01_因子設定!$B$15-AB934,MIN(AA934-01_因子設定!$B$14,01_因子設定!$B$15-AB934))),-1E+030)</f>
        <v>-4.56012108729798</v>
      </c>
      <c r="AE934" s="55" t="n">
        <f aca="false">IF(AC934,IF(01_因子設定!$B$13="最大化",X934,IF(01_因子設定!$B$13="最小化",-X934,-ABS(X934-01_因子設定!$B$16))),-1E+030)</f>
        <v>43.3754934210526</v>
      </c>
      <c r="AF934" s="55" t="n">
        <f aca="false">AD934+ROW()*0.000000001</f>
        <v>-4.56012015329798</v>
      </c>
      <c r="AG934" s="55" t="n">
        <f aca="false">AE934+ROW()*0.000000001</f>
        <v>43.3754943550526</v>
      </c>
    </row>
    <row r="935" customFormat="false" ht="15" hidden="false" customHeight="false" outlineLevel="0" collapsed="false">
      <c r="A935" s="0" t="n">
        <v>1</v>
      </c>
      <c r="B935" s="0" t="n">
        <v>2</v>
      </c>
      <c r="C935" s="0" t="n">
        <v>4</v>
      </c>
      <c r="D935" s="0" t="n">
        <v>3</v>
      </c>
      <c r="E935" s="0" t="n">
        <f aca="false">-1+A935*0.25</f>
        <v>-0.75</v>
      </c>
      <c r="F935" s="0" t="n">
        <f aca="false">-1+B935*0.25</f>
        <v>-0.5</v>
      </c>
      <c r="G935" s="0" t="n">
        <f aca="false">-1+C935*0.25</f>
        <v>0</v>
      </c>
      <c r="H935" s="0" t="n">
        <f aca="false">-1+D935*0.25</f>
        <v>-0.25</v>
      </c>
      <c r="I935" s="0" t="n">
        <f aca="false">1</f>
        <v>1</v>
      </c>
      <c r="J935" s="0" t="n">
        <f aca="false">E935</f>
        <v>-0.75</v>
      </c>
      <c r="K935" s="0" t="n">
        <f aca="false">F935</f>
        <v>-0.5</v>
      </c>
      <c r="L935" s="0" t="n">
        <f aca="false">G935</f>
        <v>0</v>
      </c>
      <c r="M935" s="0" t="n">
        <f aca="false">H935</f>
        <v>-0.25</v>
      </c>
      <c r="N935" s="0" t="n">
        <f aca="false">E935*F935</f>
        <v>0.375</v>
      </c>
      <c r="O935" s="0" t="n">
        <f aca="false">E935*G935</f>
        <v>-0</v>
      </c>
      <c r="P935" s="0" t="n">
        <f aca="false">E935*H935</f>
        <v>0.1875</v>
      </c>
      <c r="Q935" s="0" t="n">
        <f aca="false">F935*G935</f>
        <v>-0</v>
      </c>
      <c r="R935" s="0" t="n">
        <f aca="false">F935*H935</f>
        <v>0.125</v>
      </c>
      <c r="S935" s="0" t="n">
        <f aca="false">G935*H935</f>
        <v>-0</v>
      </c>
      <c r="T935" s="0" t="n">
        <f aca="false">E935*E935</f>
        <v>0.5625</v>
      </c>
      <c r="U935" s="0" t="n">
        <f aca="false">F935*F935</f>
        <v>0.25</v>
      </c>
      <c r="V935" s="0" t="n">
        <f aca="false">G935*G935</f>
        <v>0</v>
      </c>
      <c r="W935" s="0" t="n">
        <f aca="false">H935*H935</f>
        <v>0.0625</v>
      </c>
      <c r="X935" s="0" t="n">
        <f aca="false">SUMPRODUCT(I935:W935,_XtX!$B$96:$P$96)</f>
        <v>43.5517178362573</v>
      </c>
      <c r="Y935" s="0" t="n">
        <f aca="false">SUMPRODUCT(MMULT(I935:W935,_XtX!$B$78:$P$92),I935:W935)</f>
        <v>0.215110734192252</v>
      </c>
      <c r="Z935" s="0" t="n">
        <f aca="false">04_回帰ANOVA!$K$19*04_回帰ANOVA!$K$14*SQRT(1+Y935)</f>
        <v>1.43683309086864</v>
      </c>
      <c r="AA935" s="0" t="n">
        <f aca="false">X935-Z935</f>
        <v>42.1148847453887</v>
      </c>
      <c r="AB935" s="0" t="n">
        <f aca="false">X935+Z935</f>
        <v>44.9885509271259</v>
      </c>
      <c r="AC935" s="54" t="b">
        <f aca="false">AND(E935&gt;=01_因子設定!$L$5-0.000000001,E935&lt;=01_因子設定!$M$5+0.000000001,F935&gt;=01_因子設定!$L$6-0.000000001,F935&lt;=01_因子設定!$M$6+0.000000001,G935&gt;=01_因子設定!$L$7-0.000000001,G935&lt;=01_因子設定!$M$7+0.000000001,H935&gt;=01_因子設定!$L$8-0.000000001,H935&lt;=01_因子設定!$M$8+0.000000001,IF(01_因子設定!$B$20="Box-Behnken",E935^2+F935^2+G935^2+H935^2&lt;=2+0.000000001,TRUE()))</f>
        <v>1</v>
      </c>
      <c r="AD935" s="55" t="n">
        <f aca="false">IF(AC935,IF(01_因子設定!$B$13="最大化",AA935-01_因子設定!$B$14,IF(01_因子設定!$B$13="最小化",01_因子設定!$B$15-AB935,MIN(AA935-01_因子設定!$B$14,01_因子設定!$B$15-AB935))),-1E+030)</f>
        <v>-4.38511525461135</v>
      </c>
      <c r="AE935" s="55" t="n">
        <f aca="false">IF(AC935,IF(01_因子設定!$B$13="最大化",X935,IF(01_因子設定!$B$13="最小化",-X935,-ABS(X935-01_因子設定!$B$16))),-1E+030)</f>
        <v>43.5517178362573</v>
      </c>
      <c r="AF935" s="55" t="n">
        <f aca="false">AD935+ROW()*0.000000001</f>
        <v>-4.38511431961135</v>
      </c>
      <c r="AG935" s="55" t="n">
        <f aca="false">AE935+ROW()*0.000000001</f>
        <v>43.5517187712573</v>
      </c>
    </row>
    <row r="936" customFormat="false" ht="15" hidden="false" customHeight="false" outlineLevel="0" collapsed="false">
      <c r="A936" s="0" t="n">
        <v>1</v>
      </c>
      <c r="B936" s="0" t="n">
        <v>2</v>
      </c>
      <c r="C936" s="0" t="n">
        <v>4</v>
      </c>
      <c r="D936" s="0" t="n">
        <v>4</v>
      </c>
      <c r="E936" s="0" t="n">
        <f aca="false">-1+A936*0.25</f>
        <v>-0.75</v>
      </c>
      <c r="F936" s="0" t="n">
        <f aca="false">-1+B936*0.25</f>
        <v>-0.5</v>
      </c>
      <c r="G936" s="0" t="n">
        <f aca="false">-1+C936*0.25</f>
        <v>0</v>
      </c>
      <c r="H936" s="0" t="n">
        <f aca="false">-1+D936*0.25</f>
        <v>0</v>
      </c>
      <c r="I936" s="0" t="n">
        <f aca="false">1</f>
        <v>1</v>
      </c>
      <c r="J936" s="0" t="n">
        <f aca="false">E936</f>
        <v>-0.75</v>
      </c>
      <c r="K936" s="0" t="n">
        <f aca="false">F936</f>
        <v>-0.5</v>
      </c>
      <c r="L936" s="0" t="n">
        <f aca="false">G936</f>
        <v>0</v>
      </c>
      <c r="M936" s="0" t="n">
        <f aca="false">H936</f>
        <v>0</v>
      </c>
      <c r="N936" s="0" t="n">
        <f aca="false">E936*F936</f>
        <v>0.375</v>
      </c>
      <c r="O936" s="0" t="n">
        <f aca="false">E936*G936</f>
        <v>-0</v>
      </c>
      <c r="P936" s="0" t="n">
        <f aca="false">E936*H936</f>
        <v>-0</v>
      </c>
      <c r="Q936" s="0" t="n">
        <f aca="false">F936*G936</f>
        <v>-0</v>
      </c>
      <c r="R936" s="0" t="n">
        <f aca="false">F936*H936</f>
        <v>-0</v>
      </c>
      <c r="S936" s="0" t="n">
        <f aca="false">G936*H936</f>
        <v>0</v>
      </c>
      <c r="T936" s="0" t="n">
        <f aca="false">E936*E936</f>
        <v>0.5625</v>
      </c>
      <c r="U936" s="0" t="n">
        <f aca="false">F936*F936</f>
        <v>0.25</v>
      </c>
      <c r="V936" s="0" t="n">
        <f aca="false">G936*G936</f>
        <v>0</v>
      </c>
      <c r="W936" s="0" t="n">
        <f aca="false">H936*H936</f>
        <v>0</v>
      </c>
      <c r="X936" s="0" t="n">
        <f aca="false">SUMPRODUCT(I936:W936,_XtX!$B$96:$P$96)</f>
        <v>43.6801352339181</v>
      </c>
      <c r="Y936" s="0" t="n">
        <f aca="false">SUMPRODUCT(MMULT(I936:W936,_XtX!$B$78:$P$92),I936:W936)</f>
        <v>0.221828170687135</v>
      </c>
      <c r="Z936" s="0" t="n">
        <f aca="false">04_回帰ANOVA!$K$19*04_回帰ANOVA!$K$14*SQRT(1+Y936)</f>
        <v>1.44079920361664</v>
      </c>
      <c r="AA936" s="0" t="n">
        <f aca="false">X936-Z936</f>
        <v>42.2393360303015</v>
      </c>
      <c r="AB936" s="0" t="n">
        <f aca="false">X936+Z936</f>
        <v>45.1209344375348</v>
      </c>
      <c r="AC936" s="54" t="b">
        <f aca="false">AND(E936&gt;=01_因子設定!$L$5-0.000000001,E936&lt;=01_因子設定!$M$5+0.000000001,F936&gt;=01_因子設定!$L$6-0.000000001,F936&lt;=01_因子設定!$M$6+0.000000001,G936&gt;=01_因子設定!$L$7-0.000000001,G936&lt;=01_因子設定!$M$7+0.000000001,H936&gt;=01_因子設定!$L$8-0.000000001,H936&lt;=01_因子設定!$M$8+0.000000001,IF(01_因子設定!$B$20="Box-Behnken",E936^2+F936^2+G936^2+H936^2&lt;=2+0.000000001,TRUE()))</f>
        <v>1</v>
      </c>
      <c r="AD936" s="55" t="n">
        <f aca="false">IF(AC936,IF(01_因子設定!$B$13="最大化",AA936-01_因子設定!$B$14,IF(01_因子設定!$B$13="最小化",01_因子設定!$B$15-AB936,MIN(AA936-01_因子設定!$B$14,01_因子設定!$B$15-AB936))),-1E+030)</f>
        <v>-4.26066396969853</v>
      </c>
      <c r="AE936" s="55" t="n">
        <f aca="false">IF(AC936,IF(01_因子設定!$B$13="最大化",X936,IF(01_因子設定!$B$13="最小化",-X936,-ABS(X936-01_因子設定!$B$16))),-1E+030)</f>
        <v>43.6801352339181</v>
      </c>
      <c r="AF936" s="55" t="n">
        <f aca="false">AD936+ROW()*0.000000001</f>
        <v>-4.26066303369853</v>
      </c>
      <c r="AG936" s="55" t="n">
        <f aca="false">AE936+ROW()*0.000000001</f>
        <v>43.6801361699181</v>
      </c>
    </row>
    <row r="937" customFormat="false" ht="15" hidden="false" customHeight="false" outlineLevel="0" collapsed="false">
      <c r="A937" s="0" t="n">
        <v>1</v>
      </c>
      <c r="B937" s="0" t="n">
        <v>2</v>
      </c>
      <c r="C937" s="0" t="n">
        <v>4</v>
      </c>
      <c r="D937" s="0" t="n">
        <v>5</v>
      </c>
      <c r="E937" s="0" t="n">
        <f aca="false">-1+A937*0.25</f>
        <v>-0.75</v>
      </c>
      <c r="F937" s="0" t="n">
        <f aca="false">-1+B937*0.25</f>
        <v>-0.5</v>
      </c>
      <c r="G937" s="0" t="n">
        <f aca="false">-1+C937*0.25</f>
        <v>0</v>
      </c>
      <c r="H937" s="0" t="n">
        <f aca="false">-1+D937*0.25</f>
        <v>0.25</v>
      </c>
      <c r="I937" s="0" t="n">
        <f aca="false">1</f>
        <v>1</v>
      </c>
      <c r="J937" s="0" t="n">
        <f aca="false">E937</f>
        <v>-0.75</v>
      </c>
      <c r="K937" s="0" t="n">
        <f aca="false">F937</f>
        <v>-0.5</v>
      </c>
      <c r="L937" s="0" t="n">
        <f aca="false">G937</f>
        <v>0</v>
      </c>
      <c r="M937" s="0" t="n">
        <f aca="false">H937</f>
        <v>0.25</v>
      </c>
      <c r="N937" s="0" t="n">
        <f aca="false">E937*F937</f>
        <v>0.375</v>
      </c>
      <c r="O937" s="0" t="n">
        <f aca="false">E937*G937</f>
        <v>-0</v>
      </c>
      <c r="P937" s="0" t="n">
        <f aca="false">E937*H937</f>
        <v>-0.1875</v>
      </c>
      <c r="Q937" s="0" t="n">
        <f aca="false">F937*G937</f>
        <v>-0</v>
      </c>
      <c r="R937" s="0" t="n">
        <f aca="false">F937*H937</f>
        <v>-0.125</v>
      </c>
      <c r="S937" s="0" t="n">
        <f aca="false">G937*H937</f>
        <v>0</v>
      </c>
      <c r="T937" s="0" t="n">
        <f aca="false">E937*E937</f>
        <v>0.5625</v>
      </c>
      <c r="U937" s="0" t="n">
        <f aca="false">F937*F937</f>
        <v>0.25</v>
      </c>
      <c r="V937" s="0" t="n">
        <f aca="false">G937*G937</f>
        <v>0</v>
      </c>
      <c r="W937" s="0" t="n">
        <f aca="false">H937*H937</f>
        <v>0.0625</v>
      </c>
      <c r="X937" s="0" t="n">
        <f aca="false">SUMPRODUCT(I937:W937,_XtX!$B$96:$P$96)</f>
        <v>43.7607456140351</v>
      </c>
      <c r="Y937" s="0" t="n">
        <f aca="false">SUMPRODUCT(MMULT(I937:W937,_XtX!$B$78:$P$92),I937:W937)</f>
        <v>0.215110734192252</v>
      </c>
      <c r="Z937" s="0" t="n">
        <f aca="false">04_回帰ANOVA!$K$19*04_回帰ANOVA!$K$14*SQRT(1+Y937)</f>
        <v>1.43683309086864</v>
      </c>
      <c r="AA937" s="0" t="n">
        <f aca="false">X937-Z937</f>
        <v>42.3239125231664</v>
      </c>
      <c r="AB937" s="0" t="n">
        <f aca="false">X937+Z937</f>
        <v>45.1975787049037</v>
      </c>
      <c r="AC937" s="54" t="b">
        <f aca="false">AND(E937&gt;=01_因子設定!$L$5-0.000000001,E937&lt;=01_因子設定!$M$5+0.000000001,F937&gt;=01_因子設定!$L$6-0.000000001,F937&lt;=01_因子設定!$M$6+0.000000001,G937&gt;=01_因子設定!$L$7-0.000000001,G937&lt;=01_因子設定!$M$7+0.000000001,H937&gt;=01_因子設定!$L$8-0.000000001,H937&lt;=01_因子設定!$M$8+0.000000001,IF(01_因子設定!$B$20="Box-Behnken",E937^2+F937^2+G937^2+H937^2&lt;=2+0.000000001,TRUE()))</f>
        <v>1</v>
      </c>
      <c r="AD937" s="55" t="n">
        <f aca="false">IF(AC937,IF(01_因子設定!$B$13="最大化",AA937-01_因子設定!$B$14,IF(01_因子設定!$B$13="最小化",01_因子設定!$B$15-AB937,MIN(AA937-01_因子設定!$B$14,01_因子設定!$B$15-AB937))),-1E+030)</f>
        <v>-4.17608747683357</v>
      </c>
      <c r="AE937" s="55" t="n">
        <f aca="false">IF(AC937,IF(01_因子設定!$B$13="最大化",X937,IF(01_因子設定!$B$13="最小化",-X937,-ABS(X937-01_因子設定!$B$16))),-1E+030)</f>
        <v>43.7607456140351</v>
      </c>
      <c r="AF937" s="55" t="n">
        <f aca="false">AD937+ROW()*0.000000001</f>
        <v>-4.17608653983357</v>
      </c>
      <c r="AG937" s="55" t="n">
        <f aca="false">AE937+ROW()*0.000000001</f>
        <v>43.7607465510351</v>
      </c>
    </row>
    <row r="938" customFormat="false" ht="15" hidden="false" customHeight="false" outlineLevel="0" collapsed="false">
      <c r="A938" s="0" t="n">
        <v>1</v>
      </c>
      <c r="B938" s="0" t="n">
        <v>2</v>
      </c>
      <c r="C938" s="0" t="n">
        <v>4</v>
      </c>
      <c r="D938" s="0" t="n">
        <v>6</v>
      </c>
      <c r="E938" s="0" t="n">
        <f aca="false">-1+A938*0.25</f>
        <v>-0.75</v>
      </c>
      <c r="F938" s="0" t="n">
        <f aca="false">-1+B938*0.25</f>
        <v>-0.5</v>
      </c>
      <c r="G938" s="0" t="n">
        <f aca="false">-1+C938*0.25</f>
        <v>0</v>
      </c>
      <c r="H938" s="0" t="n">
        <f aca="false">-1+D938*0.25</f>
        <v>0.5</v>
      </c>
      <c r="I938" s="0" t="n">
        <f aca="false">1</f>
        <v>1</v>
      </c>
      <c r="J938" s="0" t="n">
        <f aca="false">E938</f>
        <v>-0.75</v>
      </c>
      <c r="K938" s="0" t="n">
        <f aca="false">F938</f>
        <v>-0.5</v>
      </c>
      <c r="L938" s="0" t="n">
        <f aca="false">G938</f>
        <v>0</v>
      </c>
      <c r="M938" s="0" t="n">
        <f aca="false">H938</f>
        <v>0.5</v>
      </c>
      <c r="N938" s="0" t="n">
        <f aca="false">E938*F938</f>
        <v>0.375</v>
      </c>
      <c r="O938" s="0" t="n">
        <f aca="false">E938*G938</f>
        <v>-0</v>
      </c>
      <c r="P938" s="0" t="n">
        <f aca="false">E938*H938</f>
        <v>-0.375</v>
      </c>
      <c r="Q938" s="0" t="n">
        <f aca="false">F938*G938</f>
        <v>-0</v>
      </c>
      <c r="R938" s="0" t="n">
        <f aca="false">F938*H938</f>
        <v>-0.25</v>
      </c>
      <c r="S938" s="0" t="n">
        <f aca="false">G938*H938</f>
        <v>0</v>
      </c>
      <c r="T938" s="0" t="n">
        <f aca="false">E938*E938</f>
        <v>0.5625</v>
      </c>
      <c r="U938" s="0" t="n">
        <f aca="false">F938*F938</f>
        <v>0.25</v>
      </c>
      <c r="V938" s="0" t="n">
        <f aca="false">G938*G938</f>
        <v>0</v>
      </c>
      <c r="W938" s="0" t="n">
        <f aca="false">H938*H938</f>
        <v>0.25</v>
      </c>
      <c r="X938" s="0" t="n">
        <f aca="false">SUMPRODUCT(I938:W938,_XtX!$B$96:$P$96)</f>
        <v>43.7935489766082</v>
      </c>
      <c r="Y938" s="0" t="n">
        <f aca="false">SUMPRODUCT(MMULT(I938:W938,_XtX!$B$78:$P$92),I938:W938)</f>
        <v>0.21305052997076</v>
      </c>
      <c r="Z938" s="0" t="n">
        <f aca="false">04_回帰ANOVA!$K$19*04_回帰ANOVA!$K$14*SQRT(1+Y938)</f>
        <v>1.43561450835061</v>
      </c>
      <c r="AA938" s="0" t="n">
        <f aca="false">X938-Z938</f>
        <v>42.3579344682576</v>
      </c>
      <c r="AB938" s="0" t="n">
        <f aca="false">X938+Z938</f>
        <v>45.2291634849588</v>
      </c>
      <c r="AC938" s="54" t="b">
        <f aca="false">AND(E938&gt;=01_因子設定!$L$5-0.000000001,E938&lt;=01_因子設定!$M$5+0.000000001,F938&gt;=01_因子設定!$L$6-0.000000001,F938&lt;=01_因子設定!$M$6+0.000000001,G938&gt;=01_因子設定!$L$7-0.000000001,G938&lt;=01_因子設定!$M$7+0.000000001,H938&gt;=01_因子設定!$L$8-0.000000001,H938&lt;=01_因子設定!$M$8+0.000000001,IF(01_因子設定!$B$20="Box-Behnken",E938^2+F938^2+G938^2+H938^2&lt;=2+0.000000001,TRUE()))</f>
        <v>1</v>
      </c>
      <c r="AD938" s="55" t="n">
        <f aca="false">IF(AC938,IF(01_因子設定!$B$13="最大化",AA938-01_因子設定!$B$14,IF(01_因子設定!$B$13="最小化",01_因子設定!$B$15-AB938,MIN(AA938-01_因子設定!$B$14,01_因子設定!$B$15-AB938))),-1E+030)</f>
        <v>-4.14206553174243</v>
      </c>
      <c r="AE938" s="55" t="n">
        <f aca="false">IF(AC938,IF(01_因子設定!$B$13="最大化",X938,IF(01_因子設定!$B$13="最小化",-X938,-ABS(X938-01_因子設定!$B$16))),-1E+030)</f>
        <v>43.7935489766082</v>
      </c>
      <c r="AF938" s="55" t="n">
        <f aca="false">AD938+ROW()*0.000000001</f>
        <v>-4.14206459374242</v>
      </c>
      <c r="AG938" s="55" t="n">
        <f aca="false">AE938+ROW()*0.000000001</f>
        <v>43.7935499146082</v>
      </c>
    </row>
    <row r="939" customFormat="false" ht="15" hidden="false" customHeight="false" outlineLevel="0" collapsed="false">
      <c r="A939" s="0" t="n">
        <v>1</v>
      </c>
      <c r="B939" s="0" t="n">
        <v>2</v>
      </c>
      <c r="C939" s="0" t="n">
        <v>4</v>
      </c>
      <c r="D939" s="0" t="n">
        <v>7</v>
      </c>
      <c r="E939" s="0" t="n">
        <f aca="false">-1+A939*0.25</f>
        <v>-0.75</v>
      </c>
      <c r="F939" s="0" t="n">
        <f aca="false">-1+B939*0.25</f>
        <v>-0.5</v>
      </c>
      <c r="G939" s="0" t="n">
        <f aca="false">-1+C939*0.25</f>
        <v>0</v>
      </c>
      <c r="H939" s="0" t="n">
        <f aca="false">-1+D939*0.25</f>
        <v>0.75</v>
      </c>
      <c r="I939" s="0" t="n">
        <f aca="false">1</f>
        <v>1</v>
      </c>
      <c r="J939" s="0" t="n">
        <f aca="false">E939</f>
        <v>-0.75</v>
      </c>
      <c r="K939" s="0" t="n">
        <f aca="false">F939</f>
        <v>-0.5</v>
      </c>
      <c r="L939" s="0" t="n">
        <f aca="false">G939</f>
        <v>0</v>
      </c>
      <c r="M939" s="0" t="n">
        <f aca="false">H939</f>
        <v>0.75</v>
      </c>
      <c r="N939" s="0" t="n">
        <f aca="false">E939*F939</f>
        <v>0.375</v>
      </c>
      <c r="O939" s="0" t="n">
        <f aca="false">E939*G939</f>
        <v>-0</v>
      </c>
      <c r="P939" s="0" t="n">
        <f aca="false">E939*H939</f>
        <v>-0.5625</v>
      </c>
      <c r="Q939" s="0" t="n">
        <f aca="false">F939*G939</f>
        <v>-0</v>
      </c>
      <c r="R939" s="0" t="n">
        <f aca="false">F939*H939</f>
        <v>-0.375</v>
      </c>
      <c r="S939" s="0" t="n">
        <f aca="false">G939*H939</f>
        <v>0</v>
      </c>
      <c r="T939" s="0" t="n">
        <f aca="false">E939*E939</f>
        <v>0.5625</v>
      </c>
      <c r="U939" s="0" t="n">
        <f aca="false">F939*F939</f>
        <v>0.25</v>
      </c>
      <c r="V939" s="0" t="n">
        <f aca="false">G939*G939</f>
        <v>0</v>
      </c>
      <c r="W939" s="0" t="n">
        <f aca="false">H939*H939</f>
        <v>0.5625</v>
      </c>
      <c r="X939" s="0" t="n">
        <f aca="false">SUMPRODUCT(I939:W939,_XtX!$B$96:$P$96)</f>
        <v>43.7785453216374</v>
      </c>
      <c r="Y939" s="0" t="n">
        <f aca="false">SUMPRODUCT(MMULT(I939:W939,_XtX!$B$78:$P$92),I939:W939)</f>
        <v>0.269923873812135</v>
      </c>
      <c r="Z939" s="0" t="n">
        <f aca="false">04_回帰ANOVA!$K$19*04_回帰ANOVA!$K$14*SQRT(1+Y939)</f>
        <v>1.46888310825501</v>
      </c>
      <c r="AA939" s="0" t="n">
        <f aca="false">X939-Z939</f>
        <v>42.3096622133824</v>
      </c>
      <c r="AB939" s="0" t="n">
        <f aca="false">X939+Z939</f>
        <v>45.2474284298924</v>
      </c>
      <c r="AC939" s="54" t="b">
        <f aca="false">AND(E939&gt;=01_因子設定!$L$5-0.000000001,E939&lt;=01_因子設定!$M$5+0.000000001,F939&gt;=01_因子設定!$L$6-0.000000001,F939&lt;=01_因子設定!$M$6+0.000000001,G939&gt;=01_因子設定!$L$7-0.000000001,G939&lt;=01_因子設定!$M$7+0.000000001,H939&gt;=01_因子設定!$L$8-0.000000001,H939&lt;=01_因子設定!$M$8+0.000000001,IF(01_因子設定!$B$20="Box-Behnken",E939^2+F939^2+G939^2+H939^2&lt;=2+0.000000001,TRUE()))</f>
        <v>1</v>
      </c>
      <c r="AD939" s="55" t="n">
        <f aca="false">IF(AC939,IF(01_因子設定!$B$13="最大化",AA939-01_因子設定!$B$14,IF(01_因子設定!$B$13="最小化",01_因子設定!$B$15-AB939,MIN(AA939-01_因子設定!$B$14,01_因子設定!$B$15-AB939))),-1E+030)</f>
        <v>-4.19033778661758</v>
      </c>
      <c r="AE939" s="55" t="n">
        <f aca="false">IF(AC939,IF(01_因子設定!$B$13="最大化",X939,IF(01_因子設定!$B$13="最小化",-X939,-ABS(X939-01_因子設定!$B$16))),-1E+030)</f>
        <v>43.7785453216374</v>
      </c>
      <c r="AF939" s="55" t="n">
        <f aca="false">AD939+ROW()*0.000000001</f>
        <v>-4.19033684761758</v>
      </c>
      <c r="AG939" s="55" t="n">
        <f aca="false">AE939+ROW()*0.000000001</f>
        <v>43.7785462606374</v>
      </c>
    </row>
    <row r="940" customFormat="false" ht="15" hidden="false" customHeight="false" outlineLevel="0" collapsed="false">
      <c r="A940" s="0" t="n">
        <v>1</v>
      </c>
      <c r="B940" s="0" t="n">
        <v>2</v>
      </c>
      <c r="C940" s="0" t="n">
        <v>4</v>
      </c>
      <c r="D940" s="0" t="n">
        <v>8</v>
      </c>
      <c r="E940" s="0" t="n">
        <f aca="false">-1+A940*0.25</f>
        <v>-0.75</v>
      </c>
      <c r="F940" s="0" t="n">
        <f aca="false">-1+B940*0.25</f>
        <v>-0.5</v>
      </c>
      <c r="G940" s="0" t="n">
        <f aca="false">-1+C940*0.25</f>
        <v>0</v>
      </c>
      <c r="H940" s="0" t="n">
        <f aca="false">-1+D940*0.25</f>
        <v>1</v>
      </c>
      <c r="I940" s="0" t="n">
        <f aca="false">1</f>
        <v>1</v>
      </c>
      <c r="J940" s="0" t="n">
        <f aca="false">E940</f>
        <v>-0.75</v>
      </c>
      <c r="K940" s="0" t="n">
        <f aca="false">F940</f>
        <v>-0.5</v>
      </c>
      <c r="L940" s="0" t="n">
        <f aca="false">G940</f>
        <v>0</v>
      </c>
      <c r="M940" s="0" t="n">
        <f aca="false">H940</f>
        <v>1</v>
      </c>
      <c r="N940" s="0" t="n">
        <f aca="false">E940*F940</f>
        <v>0.375</v>
      </c>
      <c r="O940" s="0" t="n">
        <f aca="false">E940*G940</f>
        <v>-0</v>
      </c>
      <c r="P940" s="0" t="n">
        <f aca="false">E940*H940</f>
        <v>-0.75</v>
      </c>
      <c r="Q940" s="0" t="n">
        <f aca="false">F940*G940</f>
        <v>-0</v>
      </c>
      <c r="R940" s="0" t="n">
        <f aca="false">F940*H940</f>
        <v>-0.5</v>
      </c>
      <c r="S940" s="0" t="n">
        <f aca="false">G940*H940</f>
        <v>0</v>
      </c>
      <c r="T940" s="0" t="n">
        <f aca="false">E940*E940</f>
        <v>0.5625</v>
      </c>
      <c r="U940" s="0" t="n">
        <f aca="false">F940*F940</f>
        <v>0.25</v>
      </c>
      <c r="V940" s="0" t="n">
        <f aca="false">G940*G940</f>
        <v>0</v>
      </c>
      <c r="W940" s="0" t="n">
        <f aca="false">H940*H940</f>
        <v>1</v>
      </c>
      <c r="X940" s="0" t="n">
        <f aca="false">SUMPRODUCT(I940:W940,_XtX!$B$96:$P$96)</f>
        <v>43.7157346491228</v>
      </c>
      <c r="Y940" s="0" t="n">
        <f aca="false">SUMPRODUCT(MMULT(I940:W940,_XtX!$B$78:$P$92),I940:W940)</f>
        <v>0.476191292032164</v>
      </c>
      <c r="Z940" s="0" t="n">
        <f aca="false">04_回帰ANOVA!$K$19*04_回帰ANOVA!$K$14*SQRT(1+Y940)</f>
        <v>1.58368831471718</v>
      </c>
      <c r="AA940" s="0" t="n">
        <f aca="false">X940-Z940</f>
        <v>42.1320463344057</v>
      </c>
      <c r="AB940" s="0" t="n">
        <f aca="false">X940+Z940</f>
        <v>45.29942296384</v>
      </c>
      <c r="AC940" s="54" t="b">
        <f aca="false">AND(E940&gt;=01_因子設定!$L$5-0.000000001,E940&lt;=01_因子設定!$M$5+0.000000001,F940&gt;=01_因子設定!$L$6-0.000000001,F940&lt;=01_因子設定!$M$6+0.000000001,G940&gt;=01_因子設定!$L$7-0.000000001,G940&lt;=01_因子設定!$M$7+0.000000001,H940&gt;=01_因子設定!$L$8-0.000000001,H940&lt;=01_因子設定!$M$8+0.000000001,IF(01_因子設定!$B$20="Box-Behnken",E940^2+F940^2+G940^2+H940^2&lt;=2+0.000000001,TRUE()))</f>
        <v>1</v>
      </c>
      <c r="AD940" s="55" t="n">
        <f aca="false">IF(AC940,IF(01_因子設定!$B$13="最大化",AA940-01_因子設定!$B$14,IF(01_因子設定!$B$13="最小化",01_因子設定!$B$15-AB940,MIN(AA940-01_因子設定!$B$14,01_因子設定!$B$15-AB940))),-1E+030)</f>
        <v>-4.36795366559435</v>
      </c>
      <c r="AE940" s="55" t="n">
        <f aca="false">IF(AC940,IF(01_因子設定!$B$13="最大化",X940,IF(01_因子設定!$B$13="最小化",-X940,-ABS(X940-01_因子設定!$B$16))),-1E+030)</f>
        <v>43.7157346491228</v>
      </c>
      <c r="AF940" s="55" t="n">
        <f aca="false">AD940+ROW()*0.000000001</f>
        <v>-4.36795272559435</v>
      </c>
      <c r="AG940" s="55" t="n">
        <f aca="false">AE940+ROW()*0.000000001</f>
        <v>43.7157355891228</v>
      </c>
    </row>
    <row r="941" customFormat="false" ht="15" hidden="false" customHeight="false" outlineLevel="0" collapsed="false">
      <c r="A941" s="0" t="n">
        <v>1</v>
      </c>
      <c r="B941" s="0" t="n">
        <v>2</v>
      </c>
      <c r="C941" s="0" t="n">
        <v>5</v>
      </c>
      <c r="D941" s="0" t="n">
        <v>0</v>
      </c>
      <c r="E941" s="0" t="n">
        <f aca="false">-1+A941*0.25</f>
        <v>-0.75</v>
      </c>
      <c r="F941" s="0" t="n">
        <f aca="false">-1+B941*0.25</f>
        <v>-0.5</v>
      </c>
      <c r="G941" s="0" t="n">
        <f aca="false">-1+C941*0.25</f>
        <v>0.25</v>
      </c>
      <c r="H941" s="0" t="n">
        <f aca="false">-1+D941*0.25</f>
        <v>-1</v>
      </c>
      <c r="I941" s="0" t="n">
        <f aca="false">1</f>
        <v>1</v>
      </c>
      <c r="J941" s="0" t="n">
        <f aca="false">E941</f>
        <v>-0.75</v>
      </c>
      <c r="K941" s="0" t="n">
        <f aca="false">F941</f>
        <v>-0.5</v>
      </c>
      <c r="L941" s="0" t="n">
        <f aca="false">G941</f>
        <v>0.25</v>
      </c>
      <c r="M941" s="0" t="n">
        <f aca="false">H941</f>
        <v>-1</v>
      </c>
      <c r="N941" s="0" t="n">
        <f aca="false">E941*F941</f>
        <v>0.375</v>
      </c>
      <c r="O941" s="0" t="n">
        <f aca="false">E941*G941</f>
        <v>-0.1875</v>
      </c>
      <c r="P941" s="0" t="n">
        <f aca="false">E941*H941</f>
        <v>0.75</v>
      </c>
      <c r="Q941" s="0" t="n">
        <f aca="false">F941*G941</f>
        <v>-0.125</v>
      </c>
      <c r="R941" s="0" t="n">
        <f aca="false">F941*H941</f>
        <v>0.5</v>
      </c>
      <c r="S941" s="0" t="n">
        <f aca="false">G941*H941</f>
        <v>-0.25</v>
      </c>
      <c r="T941" s="0" t="n">
        <f aca="false">E941*E941</f>
        <v>0.5625</v>
      </c>
      <c r="U941" s="0" t="n">
        <f aca="false">F941*F941</f>
        <v>0.25</v>
      </c>
      <c r="V941" s="0" t="n">
        <f aca="false">G941*G941</f>
        <v>0.0625</v>
      </c>
      <c r="W941" s="0" t="n">
        <f aca="false">H941*H941</f>
        <v>1</v>
      </c>
      <c r="X941" s="0" t="n">
        <f aca="false">SUMPRODUCT(I941:W941,_XtX!$B$96:$P$96)</f>
        <v>43.0937408625731</v>
      </c>
      <c r="Y941" s="0" t="n">
        <f aca="false">SUMPRODUCT(MMULT(I941:W941,_XtX!$B$78:$P$92),I941:W941)</f>
        <v>0.459125719572369</v>
      </c>
      <c r="Z941" s="0" t="n">
        <f aca="false">04_回帰ANOVA!$K$19*04_回帰ANOVA!$K$14*SQRT(1+Y941)</f>
        <v>1.57450755575573</v>
      </c>
      <c r="AA941" s="0" t="n">
        <f aca="false">X941-Z941</f>
        <v>41.5192333068174</v>
      </c>
      <c r="AB941" s="0" t="n">
        <f aca="false">X941+Z941</f>
        <v>44.6682484183289</v>
      </c>
      <c r="AC941" s="54" t="b">
        <f aca="false">AND(E941&gt;=01_因子設定!$L$5-0.000000001,E941&lt;=01_因子設定!$M$5+0.000000001,F941&gt;=01_因子設定!$L$6-0.000000001,F941&lt;=01_因子設定!$M$6+0.000000001,G941&gt;=01_因子設定!$L$7-0.000000001,G941&lt;=01_因子設定!$M$7+0.000000001,H941&gt;=01_因子設定!$L$8-0.000000001,H941&lt;=01_因子設定!$M$8+0.000000001,IF(01_因子設定!$B$20="Box-Behnken",E941^2+F941^2+G941^2+H941^2&lt;=2+0.000000001,TRUE()))</f>
        <v>1</v>
      </c>
      <c r="AD941" s="55" t="n">
        <f aca="false">IF(AC941,IF(01_因子設定!$B$13="最大化",AA941-01_因子設定!$B$14,IF(01_因子設定!$B$13="最小化",01_因子設定!$B$15-AB941,MIN(AA941-01_因子設定!$B$14,01_因子設定!$B$15-AB941))),-1E+030)</f>
        <v>-4.98076669318261</v>
      </c>
      <c r="AE941" s="55" t="n">
        <f aca="false">IF(AC941,IF(01_因子設定!$B$13="最大化",X941,IF(01_因子設定!$B$13="最小化",-X941,-ABS(X941-01_因子設定!$B$16))),-1E+030)</f>
        <v>43.0937408625731</v>
      </c>
      <c r="AF941" s="55" t="n">
        <f aca="false">AD941+ROW()*0.000000001</f>
        <v>-4.98076575218261</v>
      </c>
      <c r="AG941" s="55" t="n">
        <f aca="false">AE941+ROW()*0.000000001</f>
        <v>43.0937418035731</v>
      </c>
    </row>
    <row r="942" customFormat="false" ht="15" hidden="false" customHeight="false" outlineLevel="0" collapsed="false">
      <c r="A942" s="0" t="n">
        <v>1</v>
      </c>
      <c r="B942" s="0" t="n">
        <v>2</v>
      </c>
      <c r="C942" s="0" t="n">
        <v>5</v>
      </c>
      <c r="D942" s="0" t="n">
        <v>1</v>
      </c>
      <c r="E942" s="0" t="n">
        <f aca="false">-1+A942*0.25</f>
        <v>-0.75</v>
      </c>
      <c r="F942" s="0" t="n">
        <f aca="false">-1+B942*0.25</f>
        <v>-0.5</v>
      </c>
      <c r="G942" s="0" t="n">
        <f aca="false">-1+C942*0.25</f>
        <v>0.25</v>
      </c>
      <c r="H942" s="0" t="n">
        <f aca="false">-1+D942*0.25</f>
        <v>-0.75</v>
      </c>
      <c r="I942" s="0" t="n">
        <f aca="false">1</f>
        <v>1</v>
      </c>
      <c r="J942" s="0" t="n">
        <f aca="false">E942</f>
        <v>-0.75</v>
      </c>
      <c r="K942" s="0" t="n">
        <f aca="false">F942</f>
        <v>-0.5</v>
      </c>
      <c r="L942" s="0" t="n">
        <f aca="false">G942</f>
        <v>0.25</v>
      </c>
      <c r="M942" s="0" t="n">
        <f aca="false">H942</f>
        <v>-0.75</v>
      </c>
      <c r="N942" s="0" t="n">
        <f aca="false">E942*F942</f>
        <v>0.375</v>
      </c>
      <c r="O942" s="0" t="n">
        <f aca="false">E942*G942</f>
        <v>-0.1875</v>
      </c>
      <c r="P942" s="0" t="n">
        <f aca="false">E942*H942</f>
        <v>0.5625</v>
      </c>
      <c r="Q942" s="0" t="n">
        <f aca="false">F942*G942</f>
        <v>-0.125</v>
      </c>
      <c r="R942" s="0" t="n">
        <f aca="false">F942*H942</f>
        <v>0.375</v>
      </c>
      <c r="S942" s="0" t="n">
        <f aca="false">G942*H942</f>
        <v>-0.1875</v>
      </c>
      <c r="T942" s="0" t="n">
        <f aca="false">E942*E942</f>
        <v>0.5625</v>
      </c>
      <c r="U942" s="0" t="n">
        <f aca="false">F942*F942</f>
        <v>0.25</v>
      </c>
      <c r="V942" s="0" t="n">
        <f aca="false">G942*G942</f>
        <v>0.0625</v>
      </c>
      <c r="W942" s="0" t="n">
        <f aca="false">H942*H942</f>
        <v>0.5625</v>
      </c>
      <c r="X942" s="0" t="n">
        <f aca="false">SUMPRODUCT(I942:W942,_XtX!$B$96:$P$96)</f>
        <v>43.3835480628655</v>
      </c>
      <c r="Y942" s="0" t="n">
        <f aca="false">SUMPRODUCT(MMULT(I942:W942,_XtX!$B$78:$P$92),I942:W942)</f>
        <v>0.257385610836988</v>
      </c>
      <c r="Z942" s="0" t="n">
        <f aca="false">04_回帰ANOVA!$K$19*04_回帰ANOVA!$K$14*SQRT(1+Y942)</f>
        <v>1.46161380324158</v>
      </c>
      <c r="AA942" s="0" t="n">
        <f aca="false">X942-Z942</f>
        <v>41.9219342596239</v>
      </c>
      <c r="AB942" s="0" t="n">
        <f aca="false">X942+Z942</f>
        <v>44.8451618661071</v>
      </c>
      <c r="AC942" s="54" t="b">
        <f aca="false">AND(E942&gt;=01_因子設定!$L$5-0.000000001,E942&lt;=01_因子設定!$M$5+0.000000001,F942&gt;=01_因子設定!$L$6-0.000000001,F942&lt;=01_因子設定!$M$6+0.000000001,G942&gt;=01_因子設定!$L$7-0.000000001,G942&lt;=01_因子設定!$M$7+0.000000001,H942&gt;=01_因子設定!$L$8-0.000000001,H942&lt;=01_因子設定!$M$8+0.000000001,IF(01_因子設定!$B$20="Box-Behnken",E942^2+F942^2+G942^2+H942^2&lt;=2+0.000000001,TRUE()))</f>
        <v>1</v>
      </c>
      <c r="AD942" s="55" t="n">
        <f aca="false">IF(AC942,IF(01_因子設定!$B$13="最大化",AA942-01_因子設定!$B$14,IF(01_因子設定!$B$13="最小化",01_因子設定!$B$15-AB942,MIN(AA942-01_因子設定!$B$14,01_因子設定!$B$15-AB942))),-1E+030)</f>
        <v>-4.57806574037608</v>
      </c>
      <c r="AE942" s="55" t="n">
        <f aca="false">IF(AC942,IF(01_因子設定!$B$13="最大化",X942,IF(01_因子設定!$B$13="最小化",-X942,-ABS(X942-01_因子設定!$B$16))),-1E+030)</f>
        <v>43.3835480628655</v>
      </c>
      <c r="AF942" s="55" t="n">
        <f aca="false">AD942+ROW()*0.000000001</f>
        <v>-4.57806479837608</v>
      </c>
      <c r="AG942" s="55" t="n">
        <f aca="false">AE942+ROW()*0.000000001</f>
        <v>43.3835490048655</v>
      </c>
    </row>
    <row r="943" customFormat="false" ht="15" hidden="false" customHeight="false" outlineLevel="0" collapsed="false">
      <c r="A943" s="0" t="n">
        <v>1</v>
      </c>
      <c r="B943" s="0" t="n">
        <v>2</v>
      </c>
      <c r="C943" s="0" t="n">
        <v>5</v>
      </c>
      <c r="D943" s="0" t="n">
        <v>2</v>
      </c>
      <c r="E943" s="0" t="n">
        <f aca="false">-1+A943*0.25</f>
        <v>-0.75</v>
      </c>
      <c r="F943" s="0" t="n">
        <f aca="false">-1+B943*0.25</f>
        <v>-0.5</v>
      </c>
      <c r="G943" s="0" t="n">
        <f aca="false">-1+C943*0.25</f>
        <v>0.25</v>
      </c>
      <c r="H943" s="0" t="n">
        <f aca="false">-1+D943*0.25</f>
        <v>-0.5</v>
      </c>
      <c r="I943" s="0" t="n">
        <f aca="false">1</f>
        <v>1</v>
      </c>
      <c r="J943" s="0" t="n">
        <f aca="false">E943</f>
        <v>-0.75</v>
      </c>
      <c r="K943" s="0" t="n">
        <f aca="false">F943</f>
        <v>-0.5</v>
      </c>
      <c r="L943" s="0" t="n">
        <f aca="false">G943</f>
        <v>0.25</v>
      </c>
      <c r="M943" s="0" t="n">
        <f aca="false">H943</f>
        <v>-0.5</v>
      </c>
      <c r="N943" s="0" t="n">
        <f aca="false">E943*F943</f>
        <v>0.375</v>
      </c>
      <c r="O943" s="0" t="n">
        <f aca="false">E943*G943</f>
        <v>-0.1875</v>
      </c>
      <c r="P943" s="0" t="n">
        <f aca="false">E943*H943</f>
        <v>0.375</v>
      </c>
      <c r="Q943" s="0" t="n">
        <f aca="false">F943*G943</f>
        <v>-0.125</v>
      </c>
      <c r="R943" s="0" t="n">
        <f aca="false">F943*H943</f>
        <v>0.25</v>
      </c>
      <c r="S943" s="0" t="n">
        <f aca="false">G943*H943</f>
        <v>-0.125</v>
      </c>
      <c r="T943" s="0" t="n">
        <f aca="false">E943*E943</f>
        <v>0.5625</v>
      </c>
      <c r="U943" s="0" t="n">
        <f aca="false">F943*F943</f>
        <v>0.25</v>
      </c>
      <c r="V943" s="0" t="n">
        <f aca="false">G943*G943</f>
        <v>0.0625</v>
      </c>
      <c r="W943" s="0" t="n">
        <f aca="false">H943*H943</f>
        <v>0.25</v>
      </c>
      <c r="X943" s="0" t="n">
        <f aca="false">SUMPRODUCT(I943:W943,_XtX!$B$96:$P$96)</f>
        <v>43.625548245614</v>
      </c>
      <c r="Y943" s="0" t="n">
        <f aca="false">SUMPRODUCT(MMULT(I943:W943,_XtX!$B$78:$P$92),I943:W943)</f>
        <v>0.203746059484649</v>
      </c>
      <c r="Z943" s="0" t="n">
        <f aca="false">04_回帰ANOVA!$K$19*04_回帰ANOVA!$K$14*SQRT(1+Y943)</f>
        <v>1.43009810755465</v>
      </c>
      <c r="AA943" s="0" t="n">
        <f aca="false">X943-Z943</f>
        <v>42.1954501380594</v>
      </c>
      <c r="AB943" s="0" t="n">
        <f aca="false">X943+Z943</f>
        <v>45.0556463531687</v>
      </c>
      <c r="AC943" s="54" t="b">
        <f aca="false">AND(E943&gt;=01_因子設定!$L$5-0.000000001,E943&lt;=01_因子設定!$M$5+0.000000001,F943&gt;=01_因子設定!$L$6-0.000000001,F943&lt;=01_因子設定!$M$6+0.000000001,G943&gt;=01_因子設定!$L$7-0.000000001,G943&lt;=01_因子設定!$M$7+0.000000001,H943&gt;=01_因子設定!$L$8-0.000000001,H943&lt;=01_因子設定!$M$8+0.000000001,IF(01_因子設定!$B$20="Box-Behnken",E943^2+F943^2+G943^2+H943^2&lt;=2+0.000000001,TRUE()))</f>
        <v>1</v>
      </c>
      <c r="AD943" s="55" t="n">
        <f aca="false">IF(AC943,IF(01_因子設定!$B$13="最大化",AA943-01_因子設定!$B$14,IF(01_因子設定!$B$13="最小化",01_因子設定!$B$15-AB943,MIN(AA943-01_因子設定!$B$14,01_因子設定!$B$15-AB943))),-1E+030)</f>
        <v>-4.30454986194062</v>
      </c>
      <c r="AE943" s="55" t="n">
        <f aca="false">IF(AC943,IF(01_因子設定!$B$13="最大化",X943,IF(01_因子設定!$B$13="最小化",-X943,-ABS(X943-01_因子設定!$B$16))),-1E+030)</f>
        <v>43.625548245614</v>
      </c>
      <c r="AF943" s="55" t="n">
        <f aca="false">AD943+ROW()*0.000000001</f>
        <v>-4.30454891894062</v>
      </c>
      <c r="AG943" s="55" t="n">
        <f aca="false">AE943+ROW()*0.000000001</f>
        <v>43.625549188614</v>
      </c>
    </row>
    <row r="944" customFormat="false" ht="15" hidden="false" customHeight="false" outlineLevel="0" collapsed="false">
      <c r="A944" s="0" t="n">
        <v>1</v>
      </c>
      <c r="B944" s="0" t="n">
        <v>2</v>
      </c>
      <c r="C944" s="0" t="n">
        <v>5</v>
      </c>
      <c r="D944" s="0" t="n">
        <v>3</v>
      </c>
      <c r="E944" s="0" t="n">
        <f aca="false">-1+A944*0.25</f>
        <v>-0.75</v>
      </c>
      <c r="F944" s="0" t="n">
        <f aca="false">-1+B944*0.25</f>
        <v>-0.5</v>
      </c>
      <c r="G944" s="0" t="n">
        <f aca="false">-1+C944*0.25</f>
        <v>0.25</v>
      </c>
      <c r="H944" s="0" t="n">
        <f aca="false">-1+D944*0.25</f>
        <v>-0.25</v>
      </c>
      <c r="I944" s="0" t="n">
        <f aca="false">1</f>
        <v>1</v>
      </c>
      <c r="J944" s="0" t="n">
        <f aca="false">E944</f>
        <v>-0.75</v>
      </c>
      <c r="K944" s="0" t="n">
        <f aca="false">F944</f>
        <v>-0.5</v>
      </c>
      <c r="L944" s="0" t="n">
        <f aca="false">G944</f>
        <v>0.25</v>
      </c>
      <c r="M944" s="0" t="n">
        <f aca="false">H944</f>
        <v>-0.25</v>
      </c>
      <c r="N944" s="0" t="n">
        <f aca="false">E944*F944</f>
        <v>0.375</v>
      </c>
      <c r="O944" s="0" t="n">
        <f aca="false">E944*G944</f>
        <v>-0.1875</v>
      </c>
      <c r="P944" s="0" t="n">
        <f aca="false">E944*H944</f>
        <v>0.1875</v>
      </c>
      <c r="Q944" s="0" t="n">
        <f aca="false">F944*G944</f>
        <v>-0.125</v>
      </c>
      <c r="R944" s="0" t="n">
        <f aca="false">F944*H944</f>
        <v>0.125</v>
      </c>
      <c r="S944" s="0" t="n">
        <f aca="false">G944*H944</f>
        <v>-0.0625</v>
      </c>
      <c r="T944" s="0" t="n">
        <f aca="false">E944*E944</f>
        <v>0.5625</v>
      </c>
      <c r="U944" s="0" t="n">
        <f aca="false">F944*F944</f>
        <v>0.25</v>
      </c>
      <c r="V944" s="0" t="n">
        <f aca="false">G944*G944</f>
        <v>0.0625</v>
      </c>
      <c r="W944" s="0" t="n">
        <f aca="false">H944*H944</f>
        <v>0.0625</v>
      </c>
      <c r="X944" s="0" t="n">
        <f aca="false">SUMPRODUCT(I944:W944,_XtX!$B$96:$P$96)</f>
        <v>43.8197414108187</v>
      </c>
      <c r="Y944" s="0" t="n">
        <f aca="false">SUMPRODUCT(MMULT(I944:W944,_XtX!$B$78:$P$92),I944:W944)</f>
        <v>0.207746539199561</v>
      </c>
      <c r="Z944" s="0" t="n">
        <f aca="false">04_回帰ANOVA!$K$19*04_回帰ANOVA!$K$14*SQRT(1+Y944)</f>
        <v>1.43247250081141</v>
      </c>
      <c r="AA944" s="0" t="n">
        <f aca="false">X944-Z944</f>
        <v>42.3872689100073</v>
      </c>
      <c r="AB944" s="0" t="n">
        <f aca="false">X944+Z944</f>
        <v>45.2522139116301</v>
      </c>
      <c r="AC944" s="54" t="b">
        <f aca="false">AND(E944&gt;=01_因子設定!$L$5-0.000000001,E944&lt;=01_因子設定!$M$5+0.000000001,F944&gt;=01_因子設定!$L$6-0.000000001,F944&lt;=01_因子設定!$M$6+0.000000001,G944&gt;=01_因子設定!$L$7-0.000000001,G944&lt;=01_因子設定!$M$7+0.000000001,H944&gt;=01_因子設定!$L$8-0.000000001,H944&lt;=01_因子設定!$M$8+0.000000001,IF(01_因子設定!$B$20="Box-Behnken",E944^2+F944^2+G944^2+H944^2&lt;=2+0.000000001,TRUE()))</f>
        <v>1</v>
      </c>
      <c r="AD944" s="55" t="n">
        <f aca="false">IF(AC944,IF(01_因子設定!$B$13="最大化",AA944-01_因子設定!$B$14,IF(01_因子設定!$B$13="最小化",01_因子設定!$B$15-AB944,MIN(AA944-01_因子設定!$B$14,01_因子設定!$B$15-AB944))),-1E+030)</f>
        <v>-4.11273108999271</v>
      </c>
      <c r="AE944" s="55" t="n">
        <f aca="false">IF(AC944,IF(01_因子設定!$B$13="最大化",X944,IF(01_因子設定!$B$13="最小化",-X944,-ABS(X944-01_因子設定!$B$16))),-1E+030)</f>
        <v>43.8197414108187</v>
      </c>
      <c r="AF944" s="55" t="n">
        <f aca="false">AD944+ROW()*0.000000001</f>
        <v>-4.11273014599271</v>
      </c>
      <c r="AG944" s="55" t="n">
        <f aca="false">AE944+ROW()*0.000000001</f>
        <v>43.8197423548187</v>
      </c>
    </row>
    <row r="945" customFormat="false" ht="15" hidden="false" customHeight="false" outlineLevel="0" collapsed="false">
      <c r="A945" s="0" t="n">
        <v>1</v>
      </c>
      <c r="B945" s="0" t="n">
        <v>2</v>
      </c>
      <c r="C945" s="0" t="n">
        <v>5</v>
      </c>
      <c r="D945" s="0" t="n">
        <v>4</v>
      </c>
      <c r="E945" s="0" t="n">
        <f aca="false">-1+A945*0.25</f>
        <v>-0.75</v>
      </c>
      <c r="F945" s="0" t="n">
        <f aca="false">-1+B945*0.25</f>
        <v>-0.5</v>
      </c>
      <c r="G945" s="0" t="n">
        <f aca="false">-1+C945*0.25</f>
        <v>0.25</v>
      </c>
      <c r="H945" s="0" t="n">
        <f aca="false">-1+D945*0.25</f>
        <v>0</v>
      </c>
      <c r="I945" s="0" t="n">
        <f aca="false">1</f>
        <v>1</v>
      </c>
      <c r="J945" s="0" t="n">
        <f aca="false">E945</f>
        <v>-0.75</v>
      </c>
      <c r="K945" s="0" t="n">
        <f aca="false">F945</f>
        <v>-0.5</v>
      </c>
      <c r="L945" s="0" t="n">
        <f aca="false">G945</f>
        <v>0.25</v>
      </c>
      <c r="M945" s="0" t="n">
        <f aca="false">H945</f>
        <v>0</v>
      </c>
      <c r="N945" s="0" t="n">
        <f aca="false">E945*F945</f>
        <v>0.375</v>
      </c>
      <c r="O945" s="0" t="n">
        <f aca="false">E945*G945</f>
        <v>-0.1875</v>
      </c>
      <c r="P945" s="0" t="n">
        <f aca="false">E945*H945</f>
        <v>-0</v>
      </c>
      <c r="Q945" s="0" t="n">
        <f aca="false">F945*G945</f>
        <v>-0.125</v>
      </c>
      <c r="R945" s="0" t="n">
        <f aca="false">F945*H945</f>
        <v>-0</v>
      </c>
      <c r="S945" s="0" t="n">
        <f aca="false">G945*H945</f>
        <v>0</v>
      </c>
      <c r="T945" s="0" t="n">
        <f aca="false">E945*E945</f>
        <v>0.5625</v>
      </c>
      <c r="U945" s="0" t="n">
        <f aca="false">F945*F945</f>
        <v>0.25</v>
      </c>
      <c r="V945" s="0" t="n">
        <f aca="false">G945*G945</f>
        <v>0.0625</v>
      </c>
      <c r="W945" s="0" t="n">
        <f aca="false">H945*H945</f>
        <v>0</v>
      </c>
      <c r="X945" s="0" t="n">
        <f aca="false">SUMPRODUCT(I945:W945,_XtX!$B$96:$P$96)</f>
        <v>43.9661275584795</v>
      </c>
      <c r="Y945" s="0" t="n">
        <f aca="false">SUMPRODUCT(MMULT(I945:W945,_XtX!$B$78:$P$92),I945:W945)</f>
        <v>0.215110734192252</v>
      </c>
      <c r="Z945" s="0" t="n">
        <f aca="false">04_回帰ANOVA!$K$19*04_回帰ANOVA!$K$14*SQRT(1+Y945)</f>
        <v>1.43683309086864</v>
      </c>
      <c r="AA945" s="0" t="n">
        <f aca="false">X945-Z945</f>
        <v>42.5292944676109</v>
      </c>
      <c r="AB945" s="0" t="n">
        <f aca="false">X945+Z945</f>
        <v>45.4029606493482</v>
      </c>
      <c r="AC945" s="54" t="b">
        <f aca="false">AND(E945&gt;=01_因子設定!$L$5-0.000000001,E945&lt;=01_因子設定!$M$5+0.000000001,F945&gt;=01_因子設定!$L$6-0.000000001,F945&lt;=01_因子設定!$M$6+0.000000001,G945&gt;=01_因子設定!$L$7-0.000000001,G945&lt;=01_因子設定!$M$7+0.000000001,H945&gt;=01_因子設定!$L$8-0.000000001,H945&lt;=01_因子設定!$M$8+0.000000001,IF(01_因子設定!$B$20="Box-Behnken",E945^2+F945^2+G945^2+H945^2&lt;=2+0.000000001,TRUE()))</f>
        <v>1</v>
      </c>
      <c r="AD945" s="55" t="n">
        <f aca="false">IF(AC945,IF(01_因子設定!$B$13="最大化",AA945-01_因子設定!$B$14,IF(01_因子設定!$B$13="最小化",01_因子設定!$B$15-AB945,MIN(AA945-01_因子設定!$B$14,01_因子設定!$B$15-AB945))),-1E+030)</f>
        <v>-3.97070553238913</v>
      </c>
      <c r="AE945" s="55" t="n">
        <f aca="false">IF(AC945,IF(01_因子設定!$B$13="最大化",X945,IF(01_因子設定!$B$13="最小化",-X945,-ABS(X945-01_因子設定!$B$16))),-1E+030)</f>
        <v>43.9661275584795</v>
      </c>
      <c r="AF945" s="55" t="n">
        <f aca="false">AD945+ROW()*0.000000001</f>
        <v>-3.97070458738913</v>
      </c>
      <c r="AG945" s="55" t="n">
        <f aca="false">AE945+ROW()*0.000000001</f>
        <v>43.9661285034795</v>
      </c>
    </row>
    <row r="946" customFormat="false" ht="15" hidden="false" customHeight="false" outlineLevel="0" collapsed="false">
      <c r="A946" s="0" t="n">
        <v>1</v>
      </c>
      <c r="B946" s="0" t="n">
        <v>2</v>
      </c>
      <c r="C946" s="0" t="n">
        <v>5</v>
      </c>
      <c r="D946" s="0" t="n">
        <v>5</v>
      </c>
      <c r="E946" s="0" t="n">
        <f aca="false">-1+A946*0.25</f>
        <v>-0.75</v>
      </c>
      <c r="F946" s="0" t="n">
        <f aca="false">-1+B946*0.25</f>
        <v>-0.5</v>
      </c>
      <c r="G946" s="0" t="n">
        <f aca="false">-1+C946*0.25</f>
        <v>0.25</v>
      </c>
      <c r="H946" s="0" t="n">
        <f aca="false">-1+D946*0.25</f>
        <v>0.25</v>
      </c>
      <c r="I946" s="0" t="n">
        <f aca="false">1</f>
        <v>1</v>
      </c>
      <c r="J946" s="0" t="n">
        <f aca="false">E946</f>
        <v>-0.75</v>
      </c>
      <c r="K946" s="0" t="n">
        <f aca="false">F946</f>
        <v>-0.5</v>
      </c>
      <c r="L946" s="0" t="n">
        <f aca="false">G946</f>
        <v>0.25</v>
      </c>
      <c r="M946" s="0" t="n">
        <f aca="false">H946</f>
        <v>0.25</v>
      </c>
      <c r="N946" s="0" t="n">
        <f aca="false">E946*F946</f>
        <v>0.375</v>
      </c>
      <c r="O946" s="0" t="n">
        <f aca="false">E946*G946</f>
        <v>-0.1875</v>
      </c>
      <c r="P946" s="0" t="n">
        <f aca="false">E946*H946</f>
        <v>-0.1875</v>
      </c>
      <c r="Q946" s="0" t="n">
        <f aca="false">F946*G946</f>
        <v>-0.125</v>
      </c>
      <c r="R946" s="0" t="n">
        <f aca="false">F946*H946</f>
        <v>-0.125</v>
      </c>
      <c r="S946" s="0" t="n">
        <f aca="false">G946*H946</f>
        <v>0.0625</v>
      </c>
      <c r="T946" s="0" t="n">
        <f aca="false">E946*E946</f>
        <v>0.5625</v>
      </c>
      <c r="U946" s="0" t="n">
        <f aca="false">F946*F946</f>
        <v>0.25</v>
      </c>
      <c r="V946" s="0" t="n">
        <f aca="false">G946*G946</f>
        <v>0.0625</v>
      </c>
      <c r="W946" s="0" t="n">
        <f aca="false">H946*H946</f>
        <v>0.0625</v>
      </c>
      <c r="X946" s="0" t="n">
        <f aca="false">SUMPRODUCT(I946:W946,_XtX!$B$96:$P$96)</f>
        <v>44.0647066885965</v>
      </c>
      <c r="Y946" s="0" t="n">
        <f aca="false">SUMPRODUCT(MMULT(I946:W946,_XtX!$B$78:$P$92),I946:W946)</f>
        <v>0.207746539199561</v>
      </c>
      <c r="Z946" s="0" t="n">
        <f aca="false">04_回帰ANOVA!$K$19*04_回帰ANOVA!$K$14*SQRT(1+Y946)</f>
        <v>1.43247250081141</v>
      </c>
      <c r="AA946" s="0" t="n">
        <f aca="false">X946-Z946</f>
        <v>42.6322341877851</v>
      </c>
      <c r="AB946" s="0" t="n">
        <f aca="false">X946+Z946</f>
        <v>45.4971791894079</v>
      </c>
      <c r="AC946" s="54" t="b">
        <f aca="false">AND(E946&gt;=01_因子設定!$L$5-0.000000001,E946&lt;=01_因子設定!$M$5+0.000000001,F946&gt;=01_因子設定!$L$6-0.000000001,F946&lt;=01_因子設定!$M$6+0.000000001,G946&gt;=01_因子設定!$L$7-0.000000001,G946&lt;=01_因子設定!$M$7+0.000000001,H946&gt;=01_因子設定!$L$8-0.000000001,H946&lt;=01_因子設定!$M$8+0.000000001,IF(01_因子設定!$B$20="Box-Behnken",E946^2+F946^2+G946^2+H946^2&lt;=2+0.000000001,TRUE()))</f>
        <v>1</v>
      </c>
      <c r="AD946" s="55" t="n">
        <f aca="false">IF(AC946,IF(01_因子設定!$B$13="最大化",AA946-01_因子設定!$B$14,IF(01_因子設定!$B$13="最小化",01_因子設定!$B$15-AB946,MIN(AA946-01_因子設定!$B$14,01_因子設定!$B$15-AB946))),-1E+030)</f>
        <v>-3.86776581221493</v>
      </c>
      <c r="AE946" s="55" t="n">
        <f aca="false">IF(AC946,IF(01_因子設定!$B$13="最大化",X946,IF(01_因子設定!$B$13="最小化",-X946,-ABS(X946-01_因子設定!$B$16))),-1E+030)</f>
        <v>44.0647066885965</v>
      </c>
      <c r="AF946" s="55" t="n">
        <f aca="false">AD946+ROW()*0.000000001</f>
        <v>-3.86776486621493</v>
      </c>
      <c r="AG946" s="55" t="n">
        <f aca="false">AE946+ROW()*0.000000001</f>
        <v>44.0647076345965</v>
      </c>
    </row>
    <row r="947" customFormat="false" ht="15" hidden="false" customHeight="false" outlineLevel="0" collapsed="false">
      <c r="A947" s="0" t="n">
        <v>1</v>
      </c>
      <c r="B947" s="0" t="n">
        <v>2</v>
      </c>
      <c r="C947" s="0" t="n">
        <v>5</v>
      </c>
      <c r="D947" s="0" t="n">
        <v>6</v>
      </c>
      <c r="E947" s="0" t="n">
        <f aca="false">-1+A947*0.25</f>
        <v>-0.75</v>
      </c>
      <c r="F947" s="0" t="n">
        <f aca="false">-1+B947*0.25</f>
        <v>-0.5</v>
      </c>
      <c r="G947" s="0" t="n">
        <f aca="false">-1+C947*0.25</f>
        <v>0.25</v>
      </c>
      <c r="H947" s="0" t="n">
        <f aca="false">-1+D947*0.25</f>
        <v>0.5</v>
      </c>
      <c r="I947" s="0" t="n">
        <f aca="false">1</f>
        <v>1</v>
      </c>
      <c r="J947" s="0" t="n">
        <f aca="false">E947</f>
        <v>-0.75</v>
      </c>
      <c r="K947" s="0" t="n">
        <f aca="false">F947</f>
        <v>-0.5</v>
      </c>
      <c r="L947" s="0" t="n">
        <f aca="false">G947</f>
        <v>0.25</v>
      </c>
      <c r="M947" s="0" t="n">
        <f aca="false">H947</f>
        <v>0.5</v>
      </c>
      <c r="N947" s="0" t="n">
        <f aca="false">E947*F947</f>
        <v>0.375</v>
      </c>
      <c r="O947" s="0" t="n">
        <f aca="false">E947*G947</f>
        <v>-0.1875</v>
      </c>
      <c r="P947" s="0" t="n">
        <f aca="false">E947*H947</f>
        <v>-0.375</v>
      </c>
      <c r="Q947" s="0" t="n">
        <f aca="false">F947*G947</f>
        <v>-0.125</v>
      </c>
      <c r="R947" s="0" t="n">
        <f aca="false">F947*H947</f>
        <v>-0.25</v>
      </c>
      <c r="S947" s="0" t="n">
        <f aca="false">G947*H947</f>
        <v>0.125</v>
      </c>
      <c r="T947" s="0" t="n">
        <f aca="false">E947*E947</f>
        <v>0.5625</v>
      </c>
      <c r="U947" s="0" t="n">
        <f aca="false">F947*F947</f>
        <v>0.25</v>
      </c>
      <c r="V947" s="0" t="n">
        <f aca="false">G947*G947</f>
        <v>0.0625</v>
      </c>
      <c r="W947" s="0" t="n">
        <f aca="false">H947*H947</f>
        <v>0.25</v>
      </c>
      <c r="X947" s="0" t="n">
        <f aca="false">SUMPRODUCT(I947:W947,_XtX!$B$96:$P$96)</f>
        <v>44.1154788011696</v>
      </c>
      <c r="Y947" s="0" t="n">
        <f aca="false">SUMPRODUCT(MMULT(I947:W947,_XtX!$B$78:$P$92),I947:W947)</f>
        <v>0.203746059484649</v>
      </c>
      <c r="Z947" s="0" t="n">
        <f aca="false">04_回帰ANOVA!$K$19*04_回帰ANOVA!$K$14*SQRT(1+Y947)</f>
        <v>1.43009810755465</v>
      </c>
      <c r="AA947" s="0" t="n">
        <f aca="false">X947-Z947</f>
        <v>42.6853806936149</v>
      </c>
      <c r="AB947" s="0" t="n">
        <f aca="false">X947+Z947</f>
        <v>45.5455769087242</v>
      </c>
      <c r="AC947" s="54" t="b">
        <f aca="false">AND(E947&gt;=01_因子設定!$L$5-0.000000001,E947&lt;=01_因子設定!$M$5+0.000000001,F947&gt;=01_因子設定!$L$6-0.000000001,F947&lt;=01_因子設定!$M$6+0.000000001,G947&gt;=01_因子設定!$L$7-0.000000001,G947&lt;=01_因子設定!$M$7+0.000000001,H947&gt;=01_因子設定!$L$8-0.000000001,H947&lt;=01_因子設定!$M$8+0.000000001,IF(01_因子設定!$B$20="Box-Behnken",E947^2+F947^2+G947^2+H947^2&lt;=2+0.000000001,TRUE()))</f>
        <v>1</v>
      </c>
      <c r="AD947" s="55" t="n">
        <f aca="false">IF(AC947,IF(01_因子設定!$B$13="最大化",AA947-01_因子設定!$B$14,IF(01_因子設定!$B$13="最小化",01_因子設定!$B$15-AB947,MIN(AA947-01_因子設定!$B$14,01_因子設定!$B$15-AB947))),-1E+030)</f>
        <v>-3.81461930638506</v>
      </c>
      <c r="AE947" s="55" t="n">
        <f aca="false">IF(AC947,IF(01_因子設定!$B$13="最大化",X947,IF(01_因子設定!$B$13="最小化",-X947,-ABS(X947-01_因子設定!$B$16))),-1E+030)</f>
        <v>44.1154788011696</v>
      </c>
      <c r="AF947" s="55" t="n">
        <f aca="false">AD947+ROW()*0.000000001</f>
        <v>-3.81461835938506</v>
      </c>
      <c r="AG947" s="55" t="n">
        <f aca="false">AE947+ROW()*0.000000001</f>
        <v>44.1154797481696</v>
      </c>
    </row>
    <row r="948" customFormat="false" ht="15" hidden="false" customHeight="false" outlineLevel="0" collapsed="false">
      <c r="A948" s="0" t="n">
        <v>1</v>
      </c>
      <c r="B948" s="0" t="n">
        <v>2</v>
      </c>
      <c r="C948" s="0" t="n">
        <v>5</v>
      </c>
      <c r="D948" s="0" t="n">
        <v>7</v>
      </c>
      <c r="E948" s="0" t="n">
        <f aca="false">-1+A948*0.25</f>
        <v>-0.75</v>
      </c>
      <c r="F948" s="0" t="n">
        <f aca="false">-1+B948*0.25</f>
        <v>-0.5</v>
      </c>
      <c r="G948" s="0" t="n">
        <f aca="false">-1+C948*0.25</f>
        <v>0.25</v>
      </c>
      <c r="H948" s="0" t="n">
        <f aca="false">-1+D948*0.25</f>
        <v>0.75</v>
      </c>
      <c r="I948" s="0" t="n">
        <f aca="false">1</f>
        <v>1</v>
      </c>
      <c r="J948" s="0" t="n">
        <f aca="false">E948</f>
        <v>-0.75</v>
      </c>
      <c r="K948" s="0" t="n">
        <f aca="false">F948</f>
        <v>-0.5</v>
      </c>
      <c r="L948" s="0" t="n">
        <f aca="false">G948</f>
        <v>0.25</v>
      </c>
      <c r="M948" s="0" t="n">
        <f aca="false">H948</f>
        <v>0.75</v>
      </c>
      <c r="N948" s="0" t="n">
        <f aca="false">E948*F948</f>
        <v>0.375</v>
      </c>
      <c r="O948" s="0" t="n">
        <f aca="false">E948*G948</f>
        <v>-0.1875</v>
      </c>
      <c r="P948" s="0" t="n">
        <f aca="false">E948*H948</f>
        <v>-0.5625</v>
      </c>
      <c r="Q948" s="0" t="n">
        <f aca="false">F948*G948</f>
        <v>-0.125</v>
      </c>
      <c r="R948" s="0" t="n">
        <f aca="false">F948*H948</f>
        <v>-0.375</v>
      </c>
      <c r="S948" s="0" t="n">
        <f aca="false">G948*H948</f>
        <v>0.1875</v>
      </c>
      <c r="T948" s="0" t="n">
        <f aca="false">E948*E948</f>
        <v>0.5625</v>
      </c>
      <c r="U948" s="0" t="n">
        <f aca="false">F948*F948</f>
        <v>0.25</v>
      </c>
      <c r="V948" s="0" t="n">
        <f aca="false">G948*G948</f>
        <v>0.0625</v>
      </c>
      <c r="W948" s="0" t="n">
        <f aca="false">H948*H948</f>
        <v>0.5625</v>
      </c>
      <c r="X948" s="0" t="n">
        <f aca="false">SUMPRODUCT(I948:W948,_XtX!$B$96:$P$96)</f>
        <v>44.1184438961988</v>
      </c>
      <c r="Y948" s="0" t="n">
        <f aca="false">SUMPRODUCT(MMULT(I948:W948,_XtX!$B$78:$P$92),I948:W948)</f>
        <v>0.257385610836988</v>
      </c>
      <c r="Z948" s="0" t="n">
        <f aca="false">04_回帰ANOVA!$K$19*04_回帰ANOVA!$K$14*SQRT(1+Y948)</f>
        <v>1.46161380324158</v>
      </c>
      <c r="AA948" s="0" t="n">
        <f aca="false">X948-Z948</f>
        <v>42.6568300929573</v>
      </c>
      <c r="AB948" s="0" t="n">
        <f aca="false">X948+Z948</f>
        <v>45.5800576994404</v>
      </c>
      <c r="AC948" s="54" t="b">
        <f aca="false">AND(E948&gt;=01_因子設定!$L$5-0.000000001,E948&lt;=01_因子設定!$M$5+0.000000001,F948&gt;=01_因子設定!$L$6-0.000000001,F948&lt;=01_因子設定!$M$6+0.000000001,G948&gt;=01_因子設定!$L$7-0.000000001,G948&lt;=01_因子設定!$M$7+0.000000001,H948&gt;=01_因子設定!$L$8-0.000000001,H948&lt;=01_因子設定!$M$8+0.000000001,IF(01_因子設定!$B$20="Box-Behnken",E948^2+F948^2+G948^2+H948^2&lt;=2+0.000000001,TRUE()))</f>
        <v>1</v>
      </c>
      <c r="AD948" s="55" t="n">
        <f aca="false">IF(AC948,IF(01_因子設定!$B$13="最大化",AA948-01_因子設定!$B$14,IF(01_因子設定!$B$13="最小化",01_因子設定!$B$15-AB948,MIN(AA948-01_因子設定!$B$14,01_因子設定!$B$15-AB948))),-1E+030)</f>
        <v>-3.84316990704275</v>
      </c>
      <c r="AE948" s="55" t="n">
        <f aca="false">IF(AC948,IF(01_因子設定!$B$13="最大化",X948,IF(01_因子設定!$B$13="最小化",-X948,-ABS(X948-01_因子設定!$B$16))),-1E+030)</f>
        <v>44.1184438961988</v>
      </c>
      <c r="AF948" s="55" t="n">
        <f aca="false">AD948+ROW()*0.000000001</f>
        <v>-3.84316895904275</v>
      </c>
      <c r="AG948" s="55" t="n">
        <f aca="false">AE948+ROW()*0.000000001</f>
        <v>44.1184448441988</v>
      </c>
    </row>
    <row r="949" customFormat="false" ht="15" hidden="false" customHeight="false" outlineLevel="0" collapsed="false">
      <c r="A949" s="0" t="n">
        <v>1</v>
      </c>
      <c r="B949" s="0" t="n">
        <v>2</v>
      </c>
      <c r="C949" s="0" t="n">
        <v>5</v>
      </c>
      <c r="D949" s="0" t="n">
        <v>8</v>
      </c>
      <c r="E949" s="0" t="n">
        <f aca="false">-1+A949*0.25</f>
        <v>-0.75</v>
      </c>
      <c r="F949" s="0" t="n">
        <f aca="false">-1+B949*0.25</f>
        <v>-0.5</v>
      </c>
      <c r="G949" s="0" t="n">
        <f aca="false">-1+C949*0.25</f>
        <v>0.25</v>
      </c>
      <c r="H949" s="0" t="n">
        <f aca="false">-1+D949*0.25</f>
        <v>1</v>
      </c>
      <c r="I949" s="0" t="n">
        <f aca="false">1</f>
        <v>1</v>
      </c>
      <c r="J949" s="0" t="n">
        <f aca="false">E949</f>
        <v>-0.75</v>
      </c>
      <c r="K949" s="0" t="n">
        <f aca="false">F949</f>
        <v>-0.5</v>
      </c>
      <c r="L949" s="0" t="n">
        <f aca="false">G949</f>
        <v>0.25</v>
      </c>
      <c r="M949" s="0" t="n">
        <f aca="false">H949</f>
        <v>1</v>
      </c>
      <c r="N949" s="0" t="n">
        <f aca="false">E949*F949</f>
        <v>0.375</v>
      </c>
      <c r="O949" s="0" t="n">
        <f aca="false">E949*G949</f>
        <v>-0.1875</v>
      </c>
      <c r="P949" s="0" t="n">
        <f aca="false">E949*H949</f>
        <v>-0.75</v>
      </c>
      <c r="Q949" s="0" t="n">
        <f aca="false">F949*G949</f>
        <v>-0.125</v>
      </c>
      <c r="R949" s="0" t="n">
        <f aca="false">F949*H949</f>
        <v>-0.5</v>
      </c>
      <c r="S949" s="0" t="n">
        <f aca="false">G949*H949</f>
        <v>0.25</v>
      </c>
      <c r="T949" s="0" t="n">
        <f aca="false">E949*E949</f>
        <v>0.5625</v>
      </c>
      <c r="U949" s="0" t="n">
        <f aca="false">F949*F949</f>
        <v>0.25</v>
      </c>
      <c r="V949" s="0" t="n">
        <f aca="false">G949*G949</f>
        <v>0.0625</v>
      </c>
      <c r="W949" s="0" t="n">
        <f aca="false">H949*H949</f>
        <v>1</v>
      </c>
      <c r="X949" s="0" t="n">
        <f aca="false">SUMPRODUCT(I949:W949,_XtX!$B$96:$P$96)</f>
        <v>44.0736019736842</v>
      </c>
      <c r="Y949" s="0" t="n">
        <f aca="false">SUMPRODUCT(MMULT(I949:W949,_XtX!$B$78:$P$92),I949:W949)</f>
        <v>0.459125719572369</v>
      </c>
      <c r="Z949" s="0" t="n">
        <f aca="false">04_回帰ANOVA!$K$19*04_回帰ANOVA!$K$14*SQRT(1+Y949)</f>
        <v>1.57450755575573</v>
      </c>
      <c r="AA949" s="0" t="n">
        <f aca="false">X949-Z949</f>
        <v>42.4990944179285</v>
      </c>
      <c r="AB949" s="0" t="n">
        <f aca="false">X949+Z949</f>
        <v>45.64810952944</v>
      </c>
      <c r="AC949" s="54" t="b">
        <f aca="false">AND(E949&gt;=01_因子設定!$L$5-0.000000001,E949&lt;=01_因子設定!$M$5+0.000000001,F949&gt;=01_因子設定!$L$6-0.000000001,F949&lt;=01_因子設定!$M$6+0.000000001,G949&gt;=01_因子設定!$L$7-0.000000001,G949&lt;=01_因子設定!$M$7+0.000000001,H949&gt;=01_因子設定!$L$8-0.000000001,H949&lt;=01_因子設定!$M$8+0.000000001,IF(01_因子設定!$B$20="Box-Behnken",E949^2+F949^2+G949^2+H949^2&lt;=2+0.000000001,TRUE()))</f>
        <v>1</v>
      </c>
      <c r="AD949" s="55" t="n">
        <f aca="false">IF(AC949,IF(01_因子設定!$B$13="最大化",AA949-01_因子設定!$B$14,IF(01_因子設定!$B$13="最小化",01_因子設定!$B$15-AB949,MIN(AA949-01_因子設定!$B$14,01_因子設定!$B$15-AB949))),-1E+030)</f>
        <v>-4.0009055820715</v>
      </c>
      <c r="AE949" s="55" t="n">
        <f aca="false">IF(AC949,IF(01_因子設定!$B$13="最大化",X949,IF(01_因子設定!$B$13="最小化",-X949,-ABS(X949-01_因子設定!$B$16))),-1E+030)</f>
        <v>44.0736019736842</v>
      </c>
      <c r="AF949" s="55" t="n">
        <f aca="false">AD949+ROW()*0.000000001</f>
        <v>-4.0009046330715</v>
      </c>
      <c r="AG949" s="55" t="n">
        <f aca="false">AE949+ROW()*0.000000001</f>
        <v>44.0736029226842</v>
      </c>
    </row>
    <row r="950" customFormat="false" ht="15" hidden="false" customHeight="false" outlineLevel="0" collapsed="false">
      <c r="A950" s="0" t="n">
        <v>1</v>
      </c>
      <c r="B950" s="0" t="n">
        <v>2</v>
      </c>
      <c r="C950" s="0" t="n">
        <v>6</v>
      </c>
      <c r="D950" s="0" t="n">
        <v>0</v>
      </c>
      <c r="E950" s="0" t="n">
        <f aca="false">-1+A950*0.25</f>
        <v>-0.75</v>
      </c>
      <c r="F950" s="0" t="n">
        <f aca="false">-1+B950*0.25</f>
        <v>-0.5</v>
      </c>
      <c r="G950" s="0" t="n">
        <f aca="false">-1+C950*0.25</f>
        <v>0.5</v>
      </c>
      <c r="H950" s="0" t="n">
        <f aca="false">-1+D950*0.25</f>
        <v>-1</v>
      </c>
      <c r="I950" s="0" t="n">
        <f aca="false">1</f>
        <v>1</v>
      </c>
      <c r="J950" s="0" t="n">
        <f aca="false">E950</f>
        <v>-0.75</v>
      </c>
      <c r="K950" s="0" t="n">
        <f aca="false">F950</f>
        <v>-0.5</v>
      </c>
      <c r="L950" s="0" t="n">
        <f aca="false">G950</f>
        <v>0.5</v>
      </c>
      <c r="M950" s="0" t="n">
        <f aca="false">H950</f>
        <v>-1</v>
      </c>
      <c r="N950" s="0" t="n">
        <f aca="false">E950*F950</f>
        <v>0.375</v>
      </c>
      <c r="O950" s="0" t="n">
        <f aca="false">E950*G950</f>
        <v>-0.375</v>
      </c>
      <c r="P950" s="0" t="n">
        <f aca="false">E950*H950</f>
        <v>0.75</v>
      </c>
      <c r="Q950" s="0" t="n">
        <f aca="false">F950*G950</f>
        <v>-0.25</v>
      </c>
      <c r="R950" s="0" t="n">
        <f aca="false">F950*H950</f>
        <v>0.5</v>
      </c>
      <c r="S950" s="0" t="n">
        <f aca="false">G950*H950</f>
        <v>-0.5</v>
      </c>
      <c r="T950" s="0" t="n">
        <f aca="false">E950*E950</f>
        <v>0.5625</v>
      </c>
      <c r="U950" s="0" t="n">
        <f aca="false">F950*F950</f>
        <v>0.25</v>
      </c>
      <c r="V950" s="0" t="n">
        <f aca="false">G950*G950</f>
        <v>0.25</v>
      </c>
      <c r="W950" s="0" t="n">
        <f aca="false">H950*H950</f>
        <v>1</v>
      </c>
      <c r="X950" s="0" t="n">
        <f aca="false">SUMPRODUCT(I950:W950,_XtX!$B$96:$P$96)</f>
        <v>43.2225511695907</v>
      </c>
      <c r="Y950" s="0" t="n">
        <f aca="false">SUMPRODUCT(MMULT(I950:W950,_XtX!$B$78:$P$92),I950:W950)</f>
        <v>0.42602110745614</v>
      </c>
      <c r="Z950" s="0" t="n">
        <f aca="false">04_回帰ANOVA!$K$19*04_回帰ANOVA!$K$14*SQRT(1+Y950)</f>
        <v>1.55654388501114</v>
      </c>
      <c r="AA950" s="0" t="n">
        <f aca="false">X950-Z950</f>
        <v>41.6660072845795</v>
      </c>
      <c r="AB950" s="0" t="n">
        <f aca="false">X950+Z950</f>
        <v>44.7790950546018</v>
      </c>
      <c r="AC950" s="54" t="b">
        <f aca="false">AND(E950&gt;=01_因子設定!$L$5-0.000000001,E950&lt;=01_因子設定!$M$5+0.000000001,F950&gt;=01_因子設定!$L$6-0.000000001,F950&lt;=01_因子設定!$M$6+0.000000001,G950&gt;=01_因子設定!$L$7-0.000000001,G950&lt;=01_因子設定!$M$7+0.000000001,H950&gt;=01_因子設定!$L$8-0.000000001,H950&lt;=01_因子設定!$M$8+0.000000001,IF(01_因子設定!$B$20="Box-Behnken",E950^2+F950^2+G950^2+H950^2&lt;=2+0.000000001,TRUE()))</f>
        <v>1</v>
      </c>
      <c r="AD950" s="55" t="n">
        <f aca="false">IF(AC950,IF(01_因子設定!$B$13="最大化",AA950-01_因子設定!$B$14,IF(01_因子設定!$B$13="最小化",01_因子設定!$B$15-AB950,MIN(AA950-01_因子設定!$B$14,01_因子設定!$B$15-AB950))),-1E+030)</f>
        <v>-4.83399271542047</v>
      </c>
      <c r="AE950" s="55" t="n">
        <f aca="false">IF(AC950,IF(01_因子設定!$B$13="最大化",X950,IF(01_因子設定!$B$13="最小化",-X950,-ABS(X950-01_因子設定!$B$16))),-1E+030)</f>
        <v>43.2225511695907</v>
      </c>
      <c r="AF950" s="55" t="n">
        <f aca="false">AD950+ROW()*0.000000001</f>
        <v>-4.83399176542047</v>
      </c>
      <c r="AG950" s="55" t="n">
        <f aca="false">AE950+ROW()*0.000000001</f>
        <v>43.2225521195907</v>
      </c>
    </row>
    <row r="951" customFormat="false" ht="15" hidden="false" customHeight="false" outlineLevel="0" collapsed="false">
      <c r="A951" s="0" t="n">
        <v>1</v>
      </c>
      <c r="B951" s="0" t="n">
        <v>2</v>
      </c>
      <c r="C951" s="0" t="n">
        <v>6</v>
      </c>
      <c r="D951" s="0" t="n">
        <v>1</v>
      </c>
      <c r="E951" s="0" t="n">
        <f aca="false">-1+A951*0.25</f>
        <v>-0.75</v>
      </c>
      <c r="F951" s="0" t="n">
        <f aca="false">-1+B951*0.25</f>
        <v>-0.5</v>
      </c>
      <c r="G951" s="0" t="n">
        <f aca="false">-1+C951*0.25</f>
        <v>0.5</v>
      </c>
      <c r="H951" s="0" t="n">
        <f aca="false">-1+D951*0.25</f>
        <v>-0.75</v>
      </c>
      <c r="I951" s="0" t="n">
        <f aca="false">1</f>
        <v>1</v>
      </c>
      <c r="J951" s="0" t="n">
        <f aca="false">E951</f>
        <v>-0.75</v>
      </c>
      <c r="K951" s="0" t="n">
        <f aca="false">F951</f>
        <v>-0.5</v>
      </c>
      <c r="L951" s="0" t="n">
        <f aca="false">G951</f>
        <v>0.5</v>
      </c>
      <c r="M951" s="0" t="n">
        <f aca="false">H951</f>
        <v>-0.75</v>
      </c>
      <c r="N951" s="0" t="n">
        <f aca="false">E951*F951</f>
        <v>0.375</v>
      </c>
      <c r="O951" s="0" t="n">
        <f aca="false">E951*G951</f>
        <v>-0.375</v>
      </c>
      <c r="P951" s="0" t="n">
        <f aca="false">E951*H951</f>
        <v>0.5625</v>
      </c>
      <c r="Q951" s="0" t="n">
        <f aca="false">F951*G951</f>
        <v>-0.25</v>
      </c>
      <c r="R951" s="0" t="n">
        <f aca="false">F951*H951</f>
        <v>0.375</v>
      </c>
      <c r="S951" s="0" t="n">
        <f aca="false">G951*H951</f>
        <v>-0.375</v>
      </c>
      <c r="T951" s="0" t="n">
        <f aca="false">E951*E951</f>
        <v>0.5625</v>
      </c>
      <c r="U951" s="0" t="n">
        <f aca="false">F951*F951</f>
        <v>0.25</v>
      </c>
      <c r="V951" s="0" t="n">
        <f aca="false">G951*G951</f>
        <v>0.25</v>
      </c>
      <c r="W951" s="0" t="n">
        <f aca="false">H951*H951</f>
        <v>0.5625</v>
      </c>
      <c r="X951" s="0" t="n">
        <f aca="false">SUMPRODUCT(I951:W951,_XtX!$B$96:$P$96)</f>
        <v>43.5303271198831</v>
      </c>
      <c r="Y951" s="0" t="n">
        <f aca="false">SUMPRODUCT(MMULT(I951:W951,_XtX!$B$78:$P$92),I951:W951)</f>
        <v>0.237862927174708</v>
      </c>
      <c r="Z951" s="0" t="n">
        <f aca="false">04_回帰ANOVA!$K$19*04_回帰ANOVA!$K$14*SQRT(1+Y951)</f>
        <v>1.45022260708756</v>
      </c>
      <c r="AA951" s="0" t="n">
        <f aca="false">X951-Z951</f>
        <v>42.0801045127955</v>
      </c>
      <c r="AB951" s="0" t="n">
        <f aca="false">X951+Z951</f>
        <v>44.9805497269706</v>
      </c>
      <c r="AC951" s="54" t="b">
        <f aca="false">AND(E951&gt;=01_因子設定!$L$5-0.000000001,E951&lt;=01_因子設定!$M$5+0.000000001,F951&gt;=01_因子設定!$L$6-0.000000001,F951&lt;=01_因子設定!$M$6+0.000000001,G951&gt;=01_因子設定!$L$7-0.000000001,G951&lt;=01_因子設定!$M$7+0.000000001,H951&gt;=01_因子設定!$L$8-0.000000001,H951&lt;=01_因子設定!$M$8+0.000000001,IF(01_因子設定!$B$20="Box-Behnken",E951^2+F951^2+G951^2+H951^2&lt;=2+0.000000001,TRUE()))</f>
        <v>1</v>
      </c>
      <c r="AD951" s="55" t="n">
        <f aca="false">IF(AC951,IF(01_因子設定!$B$13="最大化",AA951-01_因子設定!$B$14,IF(01_因子設定!$B$13="最小化",01_因子設定!$B$15-AB951,MIN(AA951-01_因子設定!$B$14,01_因子設定!$B$15-AB951))),-1E+030)</f>
        <v>-4.41989548720451</v>
      </c>
      <c r="AE951" s="55" t="n">
        <f aca="false">IF(AC951,IF(01_因子設定!$B$13="最大化",X951,IF(01_因子設定!$B$13="最小化",-X951,-ABS(X951-01_因子設定!$B$16))),-1E+030)</f>
        <v>43.5303271198831</v>
      </c>
      <c r="AF951" s="55" t="n">
        <f aca="false">AD951+ROW()*0.000000001</f>
        <v>-4.41989453620451</v>
      </c>
      <c r="AG951" s="55" t="n">
        <f aca="false">AE951+ROW()*0.000000001</f>
        <v>43.530328070883</v>
      </c>
    </row>
    <row r="952" customFormat="false" ht="15" hidden="false" customHeight="false" outlineLevel="0" collapsed="false">
      <c r="A952" s="0" t="n">
        <v>1</v>
      </c>
      <c r="B952" s="0" t="n">
        <v>2</v>
      </c>
      <c r="C952" s="0" t="n">
        <v>6</v>
      </c>
      <c r="D952" s="0" t="n">
        <v>2</v>
      </c>
      <c r="E952" s="0" t="n">
        <f aca="false">-1+A952*0.25</f>
        <v>-0.75</v>
      </c>
      <c r="F952" s="0" t="n">
        <f aca="false">-1+B952*0.25</f>
        <v>-0.5</v>
      </c>
      <c r="G952" s="0" t="n">
        <f aca="false">-1+C952*0.25</f>
        <v>0.5</v>
      </c>
      <c r="H952" s="0" t="n">
        <f aca="false">-1+D952*0.25</f>
        <v>-0.5</v>
      </c>
      <c r="I952" s="0" t="n">
        <f aca="false">1</f>
        <v>1</v>
      </c>
      <c r="J952" s="0" t="n">
        <f aca="false">E952</f>
        <v>-0.75</v>
      </c>
      <c r="K952" s="0" t="n">
        <f aca="false">F952</f>
        <v>-0.5</v>
      </c>
      <c r="L952" s="0" t="n">
        <f aca="false">G952</f>
        <v>0.5</v>
      </c>
      <c r="M952" s="0" t="n">
        <f aca="false">H952</f>
        <v>-0.5</v>
      </c>
      <c r="N952" s="0" t="n">
        <f aca="false">E952*F952</f>
        <v>0.375</v>
      </c>
      <c r="O952" s="0" t="n">
        <f aca="false">E952*G952</f>
        <v>-0.375</v>
      </c>
      <c r="P952" s="0" t="n">
        <f aca="false">E952*H952</f>
        <v>0.375</v>
      </c>
      <c r="Q952" s="0" t="n">
        <f aca="false">F952*G952</f>
        <v>-0.25</v>
      </c>
      <c r="R952" s="0" t="n">
        <f aca="false">F952*H952</f>
        <v>0.25</v>
      </c>
      <c r="S952" s="0" t="n">
        <f aca="false">G952*H952</f>
        <v>-0.25</v>
      </c>
      <c r="T952" s="0" t="n">
        <f aca="false">E952*E952</f>
        <v>0.5625</v>
      </c>
      <c r="U952" s="0" t="n">
        <f aca="false">F952*F952</f>
        <v>0.25</v>
      </c>
      <c r="V952" s="0" t="n">
        <f aca="false">G952*G952</f>
        <v>0.25</v>
      </c>
      <c r="W952" s="0" t="n">
        <f aca="false">H952*H952</f>
        <v>0.25</v>
      </c>
      <c r="X952" s="0" t="n">
        <f aca="false">SUMPRODUCT(I952:W952,_XtX!$B$96:$P$96)</f>
        <v>43.7902960526316</v>
      </c>
      <c r="Y952" s="0" t="n">
        <f aca="false">SUMPRODUCT(MMULT(I952:W952,_XtX!$B$78:$P$92),I952:W952)</f>
        <v>0.193924753289474</v>
      </c>
      <c r="Z952" s="0" t="n">
        <f aca="false">04_回帰ANOVA!$K$19*04_回帰ANOVA!$K$14*SQRT(1+Y952)</f>
        <v>1.4242521079916</v>
      </c>
      <c r="AA952" s="0" t="n">
        <f aca="false">X952-Z952</f>
        <v>42.36604394464</v>
      </c>
      <c r="AB952" s="0" t="n">
        <f aca="false">X952+Z952</f>
        <v>45.2145481606232</v>
      </c>
      <c r="AC952" s="54" t="b">
        <f aca="false">AND(E952&gt;=01_因子設定!$L$5-0.000000001,E952&lt;=01_因子設定!$M$5+0.000000001,F952&gt;=01_因子設定!$L$6-0.000000001,F952&lt;=01_因子設定!$M$6+0.000000001,G952&gt;=01_因子設定!$L$7-0.000000001,G952&lt;=01_因子設定!$M$7+0.000000001,H952&gt;=01_因子設定!$L$8-0.000000001,H952&lt;=01_因子設定!$M$8+0.000000001,IF(01_因子設定!$B$20="Box-Behnken",E952^2+F952^2+G952^2+H952^2&lt;=2+0.000000001,TRUE()))</f>
        <v>1</v>
      </c>
      <c r="AD952" s="55" t="n">
        <f aca="false">IF(AC952,IF(01_因子設定!$B$13="最大化",AA952-01_因子設定!$B$14,IF(01_因子設定!$B$13="最小化",01_因子設定!$B$15-AB952,MIN(AA952-01_因子設定!$B$14,01_因子設定!$B$15-AB952))),-1E+030)</f>
        <v>-4.13395605536002</v>
      </c>
      <c r="AE952" s="55" t="n">
        <f aca="false">IF(AC952,IF(01_因子設定!$B$13="最大化",X952,IF(01_因子設定!$B$13="最小化",-X952,-ABS(X952-01_因子設定!$B$16))),-1E+030)</f>
        <v>43.7902960526316</v>
      </c>
      <c r="AF952" s="55" t="n">
        <f aca="false">AD952+ROW()*0.000000001</f>
        <v>-4.13395510336002</v>
      </c>
      <c r="AG952" s="55" t="n">
        <f aca="false">AE952+ROW()*0.000000001</f>
        <v>43.7902970046316</v>
      </c>
    </row>
    <row r="953" customFormat="false" ht="15" hidden="false" customHeight="false" outlineLevel="0" collapsed="false">
      <c r="A953" s="0" t="n">
        <v>1</v>
      </c>
      <c r="B953" s="0" t="n">
        <v>2</v>
      </c>
      <c r="C953" s="0" t="n">
        <v>6</v>
      </c>
      <c r="D953" s="0" t="n">
        <v>3</v>
      </c>
      <c r="E953" s="0" t="n">
        <f aca="false">-1+A953*0.25</f>
        <v>-0.75</v>
      </c>
      <c r="F953" s="0" t="n">
        <f aca="false">-1+B953*0.25</f>
        <v>-0.5</v>
      </c>
      <c r="G953" s="0" t="n">
        <f aca="false">-1+C953*0.25</f>
        <v>0.5</v>
      </c>
      <c r="H953" s="0" t="n">
        <f aca="false">-1+D953*0.25</f>
        <v>-0.25</v>
      </c>
      <c r="I953" s="0" t="n">
        <f aca="false">1</f>
        <v>1</v>
      </c>
      <c r="J953" s="0" t="n">
        <f aca="false">E953</f>
        <v>-0.75</v>
      </c>
      <c r="K953" s="0" t="n">
        <f aca="false">F953</f>
        <v>-0.5</v>
      </c>
      <c r="L953" s="0" t="n">
        <f aca="false">G953</f>
        <v>0.5</v>
      </c>
      <c r="M953" s="0" t="n">
        <f aca="false">H953</f>
        <v>-0.25</v>
      </c>
      <c r="N953" s="0" t="n">
        <f aca="false">E953*F953</f>
        <v>0.375</v>
      </c>
      <c r="O953" s="0" t="n">
        <f aca="false">E953*G953</f>
        <v>-0.375</v>
      </c>
      <c r="P953" s="0" t="n">
        <f aca="false">E953*H953</f>
        <v>0.1875</v>
      </c>
      <c r="Q953" s="0" t="n">
        <f aca="false">F953*G953</f>
        <v>-0.25</v>
      </c>
      <c r="R953" s="0" t="n">
        <f aca="false">F953*H953</f>
        <v>0.125</v>
      </c>
      <c r="S953" s="0" t="n">
        <f aca="false">G953*H953</f>
        <v>-0.125</v>
      </c>
      <c r="T953" s="0" t="n">
        <f aca="false">E953*E953</f>
        <v>0.5625</v>
      </c>
      <c r="U953" s="0" t="n">
        <f aca="false">F953*F953</f>
        <v>0.25</v>
      </c>
      <c r="V953" s="0" t="n">
        <f aca="false">G953*G953</f>
        <v>0.25</v>
      </c>
      <c r="W953" s="0" t="n">
        <f aca="false">H953*H953</f>
        <v>0.0625</v>
      </c>
      <c r="X953" s="0" t="n">
        <f aca="false">SUMPRODUCT(I953:W953,_XtX!$B$96:$P$96)</f>
        <v>44.0024579678363</v>
      </c>
      <c r="Y953" s="0" t="n">
        <f aca="false">SUMPRODUCT(MMULT(I953:W953,_XtX!$B$78:$P$92),I953:W953)</f>
        <v>0.203746059484649</v>
      </c>
      <c r="Z953" s="0" t="n">
        <f aca="false">04_回帰ANOVA!$K$19*04_回帰ANOVA!$K$14*SQRT(1+Y953)</f>
        <v>1.43009810755465</v>
      </c>
      <c r="AA953" s="0" t="n">
        <f aca="false">X953-Z953</f>
        <v>42.5723598602816</v>
      </c>
      <c r="AB953" s="0" t="n">
        <f aca="false">X953+Z953</f>
        <v>45.4325560753909</v>
      </c>
      <c r="AC953" s="54" t="b">
        <f aca="false">AND(E953&gt;=01_因子設定!$L$5-0.000000001,E953&lt;=01_因子設定!$M$5+0.000000001,F953&gt;=01_因子設定!$L$6-0.000000001,F953&lt;=01_因子設定!$M$6+0.000000001,G953&gt;=01_因子設定!$L$7-0.000000001,G953&lt;=01_因子設定!$M$7+0.000000001,H953&gt;=01_因子設定!$L$8-0.000000001,H953&lt;=01_因子設定!$M$8+0.000000001,IF(01_因子設定!$B$20="Box-Behnken",E953^2+F953^2+G953^2+H953^2&lt;=2+0.000000001,TRUE()))</f>
        <v>1</v>
      </c>
      <c r="AD953" s="55" t="n">
        <f aca="false">IF(AC953,IF(01_因子設定!$B$13="最大化",AA953-01_因子設定!$B$14,IF(01_因子設定!$B$13="最小化",01_因子設定!$B$15-AB953,MIN(AA953-01_因子設定!$B$14,01_因子設定!$B$15-AB953))),-1E+030)</f>
        <v>-3.9276401397184</v>
      </c>
      <c r="AE953" s="55" t="n">
        <f aca="false">IF(AC953,IF(01_因子設定!$B$13="最大化",X953,IF(01_因子設定!$B$13="最小化",-X953,-ABS(X953-01_因子設定!$B$16))),-1E+030)</f>
        <v>44.0024579678363</v>
      </c>
      <c r="AF953" s="55" t="n">
        <f aca="false">AD953+ROW()*0.000000001</f>
        <v>-3.9276391867184</v>
      </c>
      <c r="AG953" s="55" t="n">
        <f aca="false">AE953+ROW()*0.000000001</f>
        <v>44.0024589208363</v>
      </c>
    </row>
    <row r="954" customFormat="false" ht="15" hidden="false" customHeight="false" outlineLevel="0" collapsed="false">
      <c r="A954" s="0" t="n">
        <v>1</v>
      </c>
      <c r="B954" s="0" t="n">
        <v>2</v>
      </c>
      <c r="C954" s="0" t="n">
        <v>6</v>
      </c>
      <c r="D954" s="0" t="n">
        <v>4</v>
      </c>
      <c r="E954" s="0" t="n">
        <f aca="false">-1+A954*0.25</f>
        <v>-0.75</v>
      </c>
      <c r="F954" s="0" t="n">
        <f aca="false">-1+B954*0.25</f>
        <v>-0.5</v>
      </c>
      <c r="G954" s="0" t="n">
        <f aca="false">-1+C954*0.25</f>
        <v>0.5</v>
      </c>
      <c r="H954" s="0" t="n">
        <f aca="false">-1+D954*0.25</f>
        <v>0</v>
      </c>
      <c r="I954" s="0" t="n">
        <f aca="false">1</f>
        <v>1</v>
      </c>
      <c r="J954" s="0" t="n">
        <f aca="false">E954</f>
        <v>-0.75</v>
      </c>
      <c r="K954" s="0" t="n">
        <f aca="false">F954</f>
        <v>-0.5</v>
      </c>
      <c r="L954" s="0" t="n">
        <f aca="false">G954</f>
        <v>0.5</v>
      </c>
      <c r="M954" s="0" t="n">
        <f aca="false">H954</f>
        <v>0</v>
      </c>
      <c r="N954" s="0" t="n">
        <f aca="false">E954*F954</f>
        <v>0.375</v>
      </c>
      <c r="O954" s="0" t="n">
        <f aca="false">E954*G954</f>
        <v>-0.375</v>
      </c>
      <c r="P954" s="0" t="n">
        <f aca="false">E954*H954</f>
        <v>-0</v>
      </c>
      <c r="Q954" s="0" t="n">
        <f aca="false">F954*G954</f>
        <v>-0.25</v>
      </c>
      <c r="R954" s="0" t="n">
        <f aca="false">F954*H954</f>
        <v>-0</v>
      </c>
      <c r="S954" s="0" t="n">
        <f aca="false">G954*H954</f>
        <v>0</v>
      </c>
      <c r="T954" s="0" t="n">
        <f aca="false">E954*E954</f>
        <v>0.5625</v>
      </c>
      <c r="U954" s="0" t="n">
        <f aca="false">F954*F954</f>
        <v>0.25</v>
      </c>
      <c r="V954" s="0" t="n">
        <f aca="false">G954*G954</f>
        <v>0.25</v>
      </c>
      <c r="W954" s="0" t="n">
        <f aca="false">H954*H954</f>
        <v>0</v>
      </c>
      <c r="X954" s="0" t="n">
        <f aca="false">SUMPRODUCT(I954:W954,_XtX!$B$96:$P$96)</f>
        <v>44.1668128654971</v>
      </c>
      <c r="Y954" s="0" t="n">
        <f aca="false">SUMPRODUCT(MMULT(I954:W954,_XtX!$B$78:$P$92),I954:W954)</f>
        <v>0.21305052997076</v>
      </c>
      <c r="Z954" s="0" t="n">
        <f aca="false">04_回帰ANOVA!$K$19*04_回帰ANOVA!$K$14*SQRT(1+Y954)</f>
        <v>1.43561450835061</v>
      </c>
      <c r="AA954" s="0" t="n">
        <f aca="false">X954-Z954</f>
        <v>42.7311983571465</v>
      </c>
      <c r="AB954" s="0" t="n">
        <f aca="false">X954+Z954</f>
        <v>45.6024273738477</v>
      </c>
      <c r="AC954" s="54" t="b">
        <f aca="false">AND(E954&gt;=01_因子設定!$L$5-0.000000001,E954&lt;=01_因子設定!$M$5+0.000000001,F954&gt;=01_因子設定!$L$6-0.000000001,F954&lt;=01_因子設定!$M$6+0.000000001,G954&gt;=01_因子設定!$L$7-0.000000001,G954&lt;=01_因子設定!$M$7+0.000000001,H954&gt;=01_因子設定!$L$8-0.000000001,H954&lt;=01_因子設定!$M$8+0.000000001,IF(01_因子設定!$B$20="Box-Behnken",E954^2+F954^2+G954^2+H954^2&lt;=2+0.000000001,TRUE()))</f>
        <v>1</v>
      </c>
      <c r="AD954" s="55" t="n">
        <f aca="false">IF(AC954,IF(01_因子設定!$B$13="最大化",AA954-01_因子設定!$B$14,IF(01_因子設定!$B$13="最小化",01_因子設定!$B$15-AB954,MIN(AA954-01_因子設定!$B$14,01_因子設定!$B$15-AB954))),-1E+030)</f>
        <v>-3.76880164285354</v>
      </c>
      <c r="AE954" s="55" t="n">
        <f aca="false">IF(AC954,IF(01_因子設定!$B$13="最大化",X954,IF(01_因子設定!$B$13="最小化",-X954,-ABS(X954-01_因子設定!$B$16))),-1E+030)</f>
        <v>44.1668128654971</v>
      </c>
      <c r="AF954" s="55" t="n">
        <f aca="false">AD954+ROW()*0.000000001</f>
        <v>-3.76880068885354</v>
      </c>
      <c r="AG954" s="55" t="n">
        <f aca="false">AE954+ROW()*0.000000001</f>
        <v>44.1668138194971</v>
      </c>
    </row>
    <row r="955" customFormat="false" ht="15" hidden="false" customHeight="false" outlineLevel="0" collapsed="false">
      <c r="A955" s="0" t="n">
        <v>1</v>
      </c>
      <c r="B955" s="0" t="n">
        <v>2</v>
      </c>
      <c r="C955" s="0" t="n">
        <v>6</v>
      </c>
      <c r="D955" s="0" t="n">
        <v>5</v>
      </c>
      <c r="E955" s="0" t="n">
        <f aca="false">-1+A955*0.25</f>
        <v>-0.75</v>
      </c>
      <c r="F955" s="0" t="n">
        <f aca="false">-1+B955*0.25</f>
        <v>-0.5</v>
      </c>
      <c r="G955" s="0" t="n">
        <f aca="false">-1+C955*0.25</f>
        <v>0.5</v>
      </c>
      <c r="H955" s="0" t="n">
        <f aca="false">-1+D955*0.25</f>
        <v>0.25</v>
      </c>
      <c r="I955" s="0" t="n">
        <f aca="false">1</f>
        <v>1</v>
      </c>
      <c r="J955" s="0" t="n">
        <f aca="false">E955</f>
        <v>-0.75</v>
      </c>
      <c r="K955" s="0" t="n">
        <f aca="false">F955</f>
        <v>-0.5</v>
      </c>
      <c r="L955" s="0" t="n">
        <f aca="false">G955</f>
        <v>0.5</v>
      </c>
      <c r="M955" s="0" t="n">
        <f aca="false">H955</f>
        <v>0.25</v>
      </c>
      <c r="N955" s="0" t="n">
        <f aca="false">E955*F955</f>
        <v>0.375</v>
      </c>
      <c r="O955" s="0" t="n">
        <f aca="false">E955*G955</f>
        <v>-0.375</v>
      </c>
      <c r="P955" s="0" t="n">
        <f aca="false">E955*H955</f>
        <v>-0.1875</v>
      </c>
      <c r="Q955" s="0" t="n">
        <f aca="false">F955*G955</f>
        <v>-0.25</v>
      </c>
      <c r="R955" s="0" t="n">
        <f aca="false">F955*H955</f>
        <v>-0.125</v>
      </c>
      <c r="S955" s="0" t="n">
        <f aca="false">G955*H955</f>
        <v>0.125</v>
      </c>
      <c r="T955" s="0" t="n">
        <f aca="false">E955*E955</f>
        <v>0.5625</v>
      </c>
      <c r="U955" s="0" t="n">
        <f aca="false">F955*F955</f>
        <v>0.25</v>
      </c>
      <c r="V955" s="0" t="n">
        <f aca="false">G955*G955</f>
        <v>0.25</v>
      </c>
      <c r="W955" s="0" t="n">
        <f aca="false">H955*H955</f>
        <v>0.0625</v>
      </c>
      <c r="X955" s="0" t="n">
        <f aca="false">SUMPRODUCT(I955:W955,_XtX!$B$96:$P$96)</f>
        <v>44.283360745614</v>
      </c>
      <c r="Y955" s="0" t="n">
        <f aca="false">SUMPRODUCT(MMULT(I955:W955,_XtX!$B$78:$P$92),I955:W955)</f>
        <v>0.203746059484649</v>
      </c>
      <c r="Z955" s="0" t="n">
        <f aca="false">04_回帰ANOVA!$K$19*04_回帰ANOVA!$K$14*SQRT(1+Y955)</f>
        <v>1.43009810755465</v>
      </c>
      <c r="AA955" s="0" t="n">
        <f aca="false">X955-Z955</f>
        <v>42.8532626380594</v>
      </c>
      <c r="AB955" s="0" t="n">
        <f aca="false">X955+Z955</f>
        <v>45.7134588531687</v>
      </c>
      <c r="AC955" s="54" t="b">
        <f aca="false">AND(E955&gt;=01_因子設定!$L$5-0.000000001,E955&lt;=01_因子設定!$M$5+0.000000001,F955&gt;=01_因子設定!$L$6-0.000000001,F955&lt;=01_因子設定!$M$6+0.000000001,G955&gt;=01_因子設定!$L$7-0.000000001,G955&lt;=01_因子設定!$M$7+0.000000001,H955&gt;=01_因子設定!$L$8-0.000000001,H955&lt;=01_因子設定!$M$8+0.000000001,IF(01_因子設定!$B$20="Box-Behnken",E955^2+F955^2+G955^2+H955^2&lt;=2+0.000000001,TRUE()))</f>
        <v>1</v>
      </c>
      <c r="AD955" s="55" t="n">
        <f aca="false">IF(AC955,IF(01_因子設定!$B$13="最大化",AA955-01_因子設定!$B$14,IF(01_因子設定!$B$13="最小化",01_因子設定!$B$15-AB955,MIN(AA955-01_因子設定!$B$14,01_因子設定!$B$15-AB955))),-1E+030)</f>
        <v>-3.64673736194062</v>
      </c>
      <c r="AE955" s="55" t="n">
        <f aca="false">IF(AC955,IF(01_因子設定!$B$13="最大化",X955,IF(01_因子設定!$B$13="最小化",-X955,-ABS(X955-01_因子設定!$B$16))),-1E+030)</f>
        <v>44.283360745614</v>
      </c>
      <c r="AF955" s="55" t="n">
        <f aca="false">AD955+ROW()*0.000000001</f>
        <v>-3.64673640694062</v>
      </c>
      <c r="AG955" s="55" t="n">
        <f aca="false">AE955+ROW()*0.000000001</f>
        <v>44.283361700614</v>
      </c>
    </row>
    <row r="956" customFormat="false" ht="15" hidden="false" customHeight="false" outlineLevel="0" collapsed="false">
      <c r="A956" s="0" t="n">
        <v>1</v>
      </c>
      <c r="B956" s="0" t="n">
        <v>2</v>
      </c>
      <c r="C956" s="0" t="n">
        <v>6</v>
      </c>
      <c r="D956" s="0" t="n">
        <v>6</v>
      </c>
      <c r="E956" s="0" t="n">
        <f aca="false">-1+A956*0.25</f>
        <v>-0.75</v>
      </c>
      <c r="F956" s="0" t="n">
        <f aca="false">-1+B956*0.25</f>
        <v>-0.5</v>
      </c>
      <c r="G956" s="0" t="n">
        <f aca="false">-1+C956*0.25</f>
        <v>0.5</v>
      </c>
      <c r="H956" s="0" t="n">
        <f aca="false">-1+D956*0.25</f>
        <v>0.5</v>
      </c>
      <c r="I956" s="0" t="n">
        <f aca="false">1</f>
        <v>1</v>
      </c>
      <c r="J956" s="0" t="n">
        <f aca="false">E956</f>
        <v>-0.75</v>
      </c>
      <c r="K956" s="0" t="n">
        <f aca="false">F956</f>
        <v>-0.5</v>
      </c>
      <c r="L956" s="0" t="n">
        <f aca="false">G956</f>
        <v>0.5</v>
      </c>
      <c r="M956" s="0" t="n">
        <f aca="false">H956</f>
        <v>0.5</v>
      </c>
      <c r="N956" s="0" t="n">
        <f aca="false">E956*F956</f>
        <v>0.375</v>
      </c>
      <c r="O956" s="0" t="n">
        <f aca="false">E956*G956</f>
        <v>-0.375</v>
      </c>
      <c r="P956" s="0" t="n">
        <f aca="false">E956*H956</f>
        <v>-0.375</v>
      </c>
      <c r="Q956" s="0" t="n">
        <f aca="false">F956*G956</f>
        <v>-0.25</v>
      </c>
      <c r="R956" s="0" t="n">
        <f aca="false">F956*H956</f>
        <v>-0.25</v>
      </c>
      <c r="S956" s="0" t="n">
        <f aca="false">G956*H956</f>
        <v>0.25</v>
      </c>
      <c r="T956" s="0" t="n">
        <f aca="false">E956*E956</f>
        <v>0.5625</v>
      </c>
      <c r="U956" s="0" t="n">
        <f aca="false">F956*F956</f>
        <v>0.25</v>
      </c>
      <c r="V956" s="0" t="n">
        <f aca="false">G956*G956</f>
        <v>0.25</v>
      </c>
      <c r="W956" s="0" t="n">
        <f aca="false">H956*H956</f>
        <v>0.25</v>
      </c>
      <c r="X956" s="0" t="n">
        <f aca="false">SUMPRODUCT(I956:W956,_XtX!$B$96:$P$96)</f>
        <v>44.3521016081871</v>
      </c>
      <c r="Y956" s="0" t="n">
        <f aca="false">SUMPRODUCT(MMULT(I956:W956,_XtX!$B$78:$P$92),I956:W956)</f>
        <v>0.193924753289474</v>
      </c>
      <c r="Z956" s="0" t="n">
        <f aca="false">04_回帰ANOVA!$K$19*04_回帰ANOVA!$K$14*SQRT(1+Y956)</f>
        <v>1.4242521079916</v>
      </c>
      <c r="AA956" s="0" t="n">
        <f aca="false">X956-Z956</f>
        <v>42.9278495001955</v>
      </c>
      <c r="AB956" s="0" t="n">
        <f aca="false">X956+Z956</f>
        <v>45.7763537161787</v>
      </c>
      <c r="AC956" s="54" t="b">
        <f aca="false">AND(E956&gt;=01_因子設定!$L$5-0.000000001,E956&lt;=01_因子設定!$M$5+0.000000001,F956&gt;=01_因子設定!$L$6-0.000000001,F956&lt;=01_因子設定!$M$6+0.000000001,G956&gt;=01_因子設定!$L$7-0.000000001,G956&lt;=01_因子設定!$M$7+0.000000001,H956&gt;=01_因子設定!$L$8-0.000000001,H956&lt;=01_因子設定!$M$8+0.000000001,IF(01_因子設定!$B$20="Box-Behnken",E956^2+F956^2+G956^2+H956^2&lt;=2+0.000000001,TRUE()))</f>
        <v>1</v>
      </c>
      <c r="AD956" s="55" t="n">
        <f aca="false">IF(AC956,IF(01_因子設定!$B$13="最大化",AA956-01_因子設定!$B$14,IF(01_因子設定!$B$13="最小化",01_因子設定!$B$15-AB956,MIN(AA956-01_因子設定!$B$14,01_因子設定!$B$15-AB956))),-1E+030)</f>
        <v>-3.57215049980447</v>
      </c>
      <c r="AE956" s="55" t="n">
        <f aca="false">IF(AC956,IF(01_因子設定!$B$13="最大化",X956,IF(01_因子設定!$B$13="最小化",-X956,-ABS(X956-01_因子設定!$B$16))),-1E+030)</f>
        <v>44.3521016081871</v>
      </c>
      <c r="AF956" s="55" t="n">
        <f aca="false">AD956+ROW()*0.000000001</f>
        <v>-3.57214954380447</v>
      </c>
      <c r="AG956" s="55" t="n">
        <f aca="false">AE956+ROW()*0.000000001</f>
        <v>44.3521025641871</v>
      </c>
    </row>
    <row r="957" customFormat="false" ht="15" hidden="false" customHeight="false" outlineLevel="0" collapsed="false">
      <c r="A957" s="0" t="n">
        <v>1</v>
      </c>
      <c r="B957" s="0" t="n">
        <v>2</v>
      </c>
      <c r="C957" s="0" t="n">
        <v>6</v>
      </c>
      <c r="D957" s="0" t="n">
        <v>7</v>
      </c>
      <c r="E957" s="0" t="n">
        <f aca="false">-1+A957*0.25</f>
        <v>-0.75</v>
      </c>
      <c r="F957" s="0" t="n">
        <f aca="false">-1+B957*0.25</f>
        <v>-0.5</v>
      </c>
      <c r="G957" s="0" t="n">
        <f aca="false">-1+C957*0.25</f>
        <v>0.5</v>
      </c>
      <c r="H957" s="0" t="n">
        <f aca="false">-1+D957*0.25</f>
        <v>0.75</v>
      </c>
      <c r="I957" s="0" t="n">
        <f aca="false">1</f>
        <v>1</v>
      </c>
      <c r="J957" s="0" t="n">
        <f aca="false">E957</f>
        <v>-0.75</v>
      </c>
      <c r="K957" s="0" t="n">
        <f aca="false">F957</f>
        <v>-0.5</v>
      </c>
      <c r="L957" s="0" t="n">
        <f aca="false">G957</f>
        <v>0.5</v>
      </c>
      <c r="M957" s="0" t="n">
        <f aca="false">H957</f>
        <v>0.75</v>
      </c>
      <c r="N957" s="0" t="n">
        <f aca="false">E957*F957</f>
        <v>0.375</v>
      </c>
      <c r="O957" s="0" t="n">
        <f aca="false">E957*G957</f>
        <v>-0.375</v>
      </c>
      <c r="P957" s="0" t="n">
        <f aca="false">E957*H957</f>
        <v>-0.5625</v>
      </c>
      <c r="Q957" s="0" t="n">
        <f aca="false">F957*G957</f>
        <v>-0.25</v>
      </c>
      <c r="R957" s="0" t="n">
        <f aca="false">F957*H957</f>
        <v>-0.375</v>
      </c>
      <c r="S957" s="0" t="n">
        <f aca="false">G957*H957</f>
        <v>0.375</v>
      </c>
      <c r="T957" s="0" t="n">
        <f aca="false">E957*E957</f>
        <v>0.5625</v>
      </c>
      <c r="U957" s="0" t="n">
        <f aca="false">F957*F957</f>
        <v>0.25</v>
      </c>
      <c r="V957" s="0" t="n">
        <f aca="false">G957*G957</f>
        <v>0.25</v>
      </c>
      <c r="W957" s="0" t="n">
        <f aca="false">H957*H957</f>
        <v>0.5625</v>
      </c>
      <c r="X957" s="0" t="n">
        <f aca="false">SUMPRODUCT(I957:W957,_XtX!$B$96:$P$96)</f>
        <v>44.3730354532164</v>
      </c>
      <c r="Y957" s="0" t="n">
        <f aca="false">SUMPRODUCT(MMULT(I957:W957,_XtX!$B$78:$P$92),I957:W957)</f>
        <v>0.237862927174708</v>
      </c>
      <c r="Z957" s="0" t="n">
        <f aca="false">04_回帰ANOVA!$K$19*04_回帰ANOVA!$K$14*SQRT(1+Y957)</f>
        <v>1.45022260708756</v>
      </c>
      <c r="AA957" s="0" t="n">
        <f aca="false">X957-Z957</f>
        <v>42.9228128461288</v>
      </c>
      <c r="AB957" s="0" t="n">
        <f aca="false">X957+Z957</f>
        <v>45.8232580603039</v>
      </c>
      <c r="AC957" s="54" t="b">
        <f aca="false">AND(E957&gt;=01_因子設定!$L$5-0.000000001,E957&lt;=01_因子設定!$M$5+0.000000001,F957&gt;=01_因子設定!$L$6-0.000000001,F957&lt;=01_因子設定!$M$6+0.000000001,G957&gt;=01_因子設定!$L$7-0.000000001,G957&lt;=01_因子設定!$M$7+0.000000001,H957&gt;=01_因子設定!$L$8-0.000000001,H957&lt;=01_因子設定!$M$8+0.000000001,IF(01_因子設定!$B$20="Box-Behnken",E957^2+F957^2+G957^2+H957^2&lt;=2+0.000000001,TRUE()))</f>
        <v>1</v>
      </c>
      <c r="AD957" s="55" t="n">
        <f aca="false">IF(AC957,IF(01_因子設定!$B$13="最大化",AA957-01_因子設定!$B$14,IF(01_因子設定!$B$13="最小化",01_因子設定!$B$15-AB957,MIN(AA957-01_因子設定!$B$14,01_因子設定!$B$15-AB957))),-1E+030)</f>
        <v>-3.57718715387118</v>
      </c>
      <c r="AE957" s="55" t="n">
        <f aca="false">IF(AC957,IF(01_因子設定!$B$13="最大化",X957,IF(01_因子設定!$B$13="最小化",-X957,-ABS(X957-01_因子設定!$B$16))),-1E+030)</f>
        <v>44.3730354532164</v>
      </c>
      <c r="AF957" s="55" t="n">
        <f aca="false">AD957+ROW()*0.000000001</f>
        <v>-3.57718619687118</v>
      </c>
      <c r="AG957" s="55" t="n">
        <f aca="false">AE957+ROW()*0.000000001</f>
        <v>44.3730364102164</v>
      </c>
    </row>
    <row r="958" customFormat="false" ht="15" hidden="false" customHeight="false" outlineLevel="0" collapsed="false">
      <c r="A958" s="0" t="n">
        <v>1</v>
      </c>
      <c r="B958" s="0" t="n">
        <v>2</v>
      </c>
      <c r="C958" s="0" t="n">
        <v>6</v>
      </c>
      <c r="D958" s="0" t="n">
        <v>8</v>
      </c>
      <c r="E958" s="0" t="n">
        <f aca="false">-1+A958*0.25</f>
        <v>-0.75</v>
      </c>
      <c r="F958" s="0" t="n">
        <f aca="false">-1+B958*0.25</f>
        <v>-0.5</v>
      </c>
      <c r="G958" s="0" t="n">
        <f aca="false">-1+C958*0.25</f>
        <v>0.5</v>
      </c>
      <c r="H958" s="0" t="n">
        <f aca="false">-1+D958*0.25</f>
        <v>1</v>
      </c>
      <c r="I958" s="0" t="n">
        <f aca="false">1</f>
        <v>1</v>
      </c>
      <c r="J958" s="0" t="n">
        <f aca="false">E958</f>
        <v>-0.75</v>
      </c>
      <c r="K958" s="0" t="n">
        <f aca="false">F958</f>
        <v>-0.5</v>
      </c>
      <c r="L958" s="0" t="n">
        <f aca="false">G958</f>
        <v>0.5</v>
      </c>
      <c r="M958" s="0" t="n">
        <f aca="false">H958</f>
        <v>1</v>
      </c>
      <c r="N958" s="0" t="n">
        <f aca="false">E958*F958</f>
        <v>0.375</v>
      </c>
      <c r="O958" s="0" t="n">
        <f aca="false">E958*G958</f>
        <v>-0.375</v>
      </c>
      <c r="P958" s="0" t="n">
        <f aca="false">E958*H958</f>
        <v>-0.75</v>
      </c>
      <c r="Q958" s="0" t="n">
        <f aca="false">F958*G958</f>
        <v>-0.25</v>
      </c>
      <c r="R958" s="0" t="n">
        <f aca="false">F958*H958</f>
        <v>-0.5</v>
      </c>
      <c r="S958" s="0" t="n">
        <f aca="false">G958*H958</f>
        <v>0.5</v>
      </c>
      <c r="T958" s="0" t="n">
        <f aca="false">E958*E958</f>
        <v>0.5625</v>
      </c>
      <c r="U958" s="0" t="n">
        <f aca="false">F958*F958</f>
        <v>0.25</v>
      </c>
      <c r="V958" s="0" t="n">
        <f aca="false">G958*G958</f>
        <v>0.25</v>
      </c>
      <c r="W958" s="0" t="n">
        <f aca="false">H958*H958</f>
        <v>1</v>
      </c>
      <c r="X958" s="0" t="n">
        <f aca="false">SUMPRODUCT(I958:W958,_XtX!$B$96:$P$96)</f>
        <v>44.3461622807018</v>
      </c>
      <c r="Y958" s="0" t="n">
        <f aca="false">SUMPRODUCT(MMULT(I958:W958,_XtX!$B$78:$P$92),I958:W958)</f>
        <v>0.42602110745614</v>
      </c>
      <c r="Z958" s="0" t="n">
        <f aca="false">04_回帰ANOVA!$K$19*04_回帰ANOVA!$K$14*SQRT(1+Y958)</f>
        <v>1.55654388501114</v>
      </c>
      <c r="AA958" s="0" t="n">
        <f aca="false">X958-Z958</f>
        <v>42.7896183956906</v>
      </c>
      <c r="AB958" s="0" t="n">
        <f aca="false">X958+Z958</f>
        <v>45.9027061657129</v>
      </c>
      <c r="AC958" s="54" t="b">
        <f aca="false">AND(E958&gt;=01_因子設定!$L$5-0.000000001,E958&lt;=01_因子設定!$M$5+0.000000001,F958&gt;=01_因子設定!$L$6-0.000000001,F958&lt;=01_因子設定!$M$6+0.000000001,G958&gt;=01_因子設定!$L$7-0.000000001,G958&lt;=01_因子設定!$M$7+0.000000001,H958&gt;=01_因子設定!$L$8-0.000000001,H958&lt;=01_因子設定!$M$8+0.000000001,IF(01_因子設定!$B$20="Box-Behnken",E958^2+F958^2+G958^2+H958^2&lt;=2+0.000000001,TRUE()))</f>
        <v>1</v>
      </c>
      <c r="AD958" s="55" t="n">
        <f aca="false">IF(AC958,IF(01_因子設定!$B$13="最大化",AA958-01_因子設定!$B$14,IF(01_因子設定!$B$13="最小化",01_因子設定!$B$15-AB958,MIN(AA958-01_因子設定!$B$14,01_因子設定!$B$15-AB958))),-1E+030)</f>
        <v>-3.71038160430936</v>
      </c>
      <c r="AE958" s="55" t="n">
        <f aca="false">IF(AC958,IF(01_因子設定!$B$13="最大化",X958,IF(01_因子設定!$B$13="最小化",-X958,-ABS(X958-01_因子設定!$B$16))),-1E+030)</f>
        <v>44.3461622807018</v>
      </c>
      <c r="AF958" s="55" t="n">
        <f aca="false">AD958+ROW()*0.000000001</f>
        <v>-3.71038064630936</v>
      </c>
      <c r="AG958" s="55" t="n">
        <f aca="false">AE958+ROW()*0.000000001</f>
        <v>44.3461632387018</v>
      </c>
    </row>
    <row r="959" customFormat="false" ht="15" hidden="false" customHeight="false" outlineLevel="0" collapsed="false">
      <c r="A959" s="0" t="n">
        <v>1</v>
      </c>
      <c r="B959" s="0" t="n">
        <v>2</v>
      </c>
      <c r="C959" s="0" t="n">
        <v>7</v>
      </c>
      <c r="D959" s="0" t="n">
        <v>0</v>
      </c>
      <c r="E959" s="0" t="n">
        <f aca="false">-1+A959*0.25</f>
        <v>-0.75</v>
      </c>
      <c r="F959" s="0" t="n">
        <f aca="false">-1+B959*0.25</f>
        <v>-0.5</v>
      </c>
      <c r="G959" s="0" t="n">
        <f aca="false">-1+C959*0.25</f>
        <v>0.75</v>
      </c>
      <c r="H959" s="0" t="n">
        <f aca="false">-1+D959*0.25</f>
        <v>-1</v>
      </c>
      <c r="I959" s="0" t="n">
        <f aca="false">1</f>
        <v>1</v>
      </c>
      <c r="J959" s="0" t="n">
        <f aca="false">E959</f>
        <v>-0.75</v>
      </c>
      <c r="K959" s="0" t="n">
        <f aca="false">F959</f>
        <v>-0.5</v>
      </c>
      <c r="L959" s="0" t="n">
        <f aca="false">G959</f>
        <v>0.75</v>
      </c>
      <c r="M959" s="0" t="n">
        <f aca="false">H959</f>
        <v>-1</v>
      </c>
      <c r="N959" s="0" t="n">
        <f aca="false">E959*F959</f>
        <v>0.375</v>
      </c>
      <c r="O959" s="0" t="n">
        <f aca="false">E959*G959</f>
        <v>-0.5625</v>
      </c>
      <c r="P959" s="0" t="n">
        <f aca="false">E959*H959</f>
        <v>0.75</v>
      </c>
      <c r="Q959" s="0" t="n">
        <f aca="false">F959*G959</f>
        <v>-0.375</v>
      </c>
      <c r="R959" s="0" t="n">
        <f aca="false">F959*H959</f>
        <v>0.5</v>
      </c>
      <c r="S959" s="0" t="n">
        <f aca="false">G959*H959</f>
        <v>-0.75</v>
      </c>
      <c r="T959" s="0" t="n">
        <f aca="false">E959*E959</f>
        <v>0.5625</v>
      </c>
      <c r="U959" s="0" t="n">
        <f aca="false">F959*F959</f>
        <v>0.25</v>
      </c>
      <c r="V959" s="0" t="n">
        <f aca="false">G959*G959</f>
        <v>0.5625</v>
      </c>
      <c r="W959" s="0" t="n">
        <f aca="false">H959*H959</f>
        <v>1</v>
      </c>
      <c r="X959" s="0" t="n">
        <f aca="false">SUMPRODUCT(I959:W959,_XtX!$B$96:$P$96)</f>
        <v>43.2660544590644</v>
      </c>
      <c r="Y959" s="0" t="n">
        <f aca="false">SUMPRODUCT(MMULT(I959:W959,_XtX!$B$78:$P$92),I959:W959)</f>
        <v>0.431153771472953</v>
      </c>
      <c r="Z959" s="0" t="n">
        <f aca="false">04_回帰ANOVA!$K$19*04_回帰ANOVA!$K$14*SQRT(1+Y959)</f>
        <v>1.55934259562563</v>
      </c>
      <c r="AA959" s="0" t="n">
        <f aca="false">X959-Z959</f>
        <v>41.7067118634387</v>
      </c>
      <c r="AB959" s="0" t="n">
        <f aca="false">X959+Z959</f>
        <v>44.82539705469</v>
      </c>
      <c r="AC959" s="54" t="b">
        <f aca="false">AND(E959&gt;=01_因子設定!$L$5-0.000000001,E959&lt;=01_因子設定!$M$5+0.000000001,F959&gt;=01_因子設定!$L$6-0.000000001,F959&lt;=01_因子設定!$M$6+0.000000001,G959&gt;=01_因子設定!$L$7-0.000000001,G959&lt;=01_因子設定!$M$7+0.000000001,H959&gt;=01_因子設定!$L$8-0.000000001,H959&lt;=01_因子設定!$M$8+0.000000001,IF(01_因子設定!$B$20="Box-Behnken",E959^2+F959^2+G959^2+H959^2&lt;=2+0.000000001,TRUE()))</f>
        <v>1</v>
      </c>
      <c r="AD959" s="55" t="n">
        <f aca="false">IF(AC959,IF(01_因子設定!$B$13="最大化",AA959-01_因子設定!$B$14,IF(01_因子設定!$B$13="最小化",01_因子設定!$B$15-AB959,MIN(AA959-01_因子設定!$B$14,01_因子設定!$B$15-AB959))),-1E+030)</f>
        <v>-4.79328813656127</v>
      </c>
      <c r="AE959" s="55" t="n">
        <f aca="false">IF(AC959,IF(01_因子設定!$B$13="最大化",X959,IF(01_因子設定!$B$13="最小化",-X959,-ABS(X959-01_因子設定!$B$16))),-1E+030)</f>
        <v>43.2660544590644</v>
      </c>
      <c r="AF959" s="55" t="n">
        <f aca="false">AD959+ROW()*0.000000001</f>
        <v>-4.79328717756127</v>
      </c>
      <c r="AG959" s="55" t="n">
        <f aca="false">AE959+ROW()*0.000000001</f>
        <v>43.2660554180644</v>
      </c>
    </row>
    <row r="960" customFormat="false" ht="15" hidden="false" customHeight="false" outlineLevel="0" collapsed="false">
      <c r="A960" s="0" t="n">
        <v>1</v>
      </c>
      <c r="B960" s="0" t="n">
        <v>2</v>
      </c>
      <c r="C960" s="0" t="n">
        <v>7</v>
      </c>
      <c r="D960" s="0" t="n">
        <v>1</v>
      </c>
      <c r="E960" s="0" t="n">
        <f aca="false">-1+A960*0.25</f>
        <v>-0.75</v>
      </c>
      <c r="F960" s="0" t="n">
        <f aca="false">-1+B960*0.25</f>
        <v>-0.5</v>
      </c>
      <c r="G960" s="0" t="n">
        <f aca="false">-1+C960*0.25</f>
        <v>0.75</v>
      </c>
      <c r="H960" s="0" t="n">
        <f aca="false">-1+D960*0.25</f>
        <v>-0.75</v>
      </c>
      <c r="I960" s="0" t="n">
        <f aca="false">1</f>
        <v>1</v>
      </c>
      <c r="J960" s="0" t="n">
        <f aca="false">E960</f>
        <v>-0.75</v>
      </c>
      <c r="K960" s="0" t="n">
        <f aca="false">F960</f>
        <v>-0.5</v>
      </c>
      <c r="L960" s="0" t="n">
        <f aca="false">G960</f>
        <v>0.75</v>
      </c>
      <c r="M960" s="0" t="n">
        <f aca="false">H960</f>
        <v>-0.75</v>
      </c>
      <c r="N960" s="0" t="n">
        <f aca="false">E960*F960</f>
        <v>0.375</v>
      </c>
      <c r="O960" s="0" t="n">
        <f aca="false">E960*G960</f>
        <v>-0.5625</v>
      </c>
      <c r="P960" s="0" t="n">
        <f aca="false">E960*H960</f>
        <v>0.5625</v>
      </c>
      <c r="Q960" s="0" t="n">
        <f aca="false">F960*G960</f>
        <v>-0.375</v>
      </c>
      <c r="R960" s="0" t="n">
        <f aca="false">F960*H960</f>
        <v>0.375</v>
      </c>
      <c r="S960" s="0" t="n">
        <f aca="false">G960*H960</f>
        <v>-0.5625</v>
      </c>
      <c r="T960" s="0" t="n">
        <f aca="false">E960*E960</f>
        <v>0.5625</v>
      </c>
      <c r="U960" s="0" t="n">
        <f aca="false">F960*F960</f>
        <v>0.25</v>
      </c>
      <c r="V960" s="0" t="n">
        <f aca="false">G960*G960</f>
        <v>0.5625</v>
      </c>
      <c r="W960" s="0" t="n">
        <f aca="false">H960*H960</f>
        <v>0.5625</v>
      </c>
      <c r="X960" s="0" t="n">
        <f aca="false">SUMPRODUCT(I960:W960,_XtX!$B$96:$P$96)</f>
        <v>43.5917991593567</v>
      </c>
      <c r="Y960" s="0" t="n">
        <f aca="false">SUMPRODUCT(MMULT(I960:W960,_XtX!$B$78:$P$92),I960:W960)</f>
        <v>0.265632138614766</v>
      </c>
      <c r="Z960" s="0" t="n">
        <f aca="false">04_回帰ANOVA!$K$19*04_回帰ANOVA!$K$14*SQRT(1+Y960)</f>
        <v>1.46639894654257</v>
      </c>
      <c r="AA960" s="0" t="n">
        <f aca="false">X960-Z960</f>
        <v>42.1254002128142</v>
      </c>
      <c r="AB960" s="0" t="n">
        <f aca="false">X960+Z960</f>
        <v>45.0581981058993</v>
      </c>
      <c r="AC960" s="54" t="b">
        <f aca="false">AND(E960&gt;=01_因子設定!$L$5-0.000000001,E960&lt;=01_因子設定!$M$5+0.000000001,F960&gt;=01_因子設定!$L$6-0.000000001,F960&lt;=01_因子設定!$M$6+0.000000001,G960&gt;=01_因子設定!$L$7-0.000000001,G960&lt;=01_因子設定!$M$7+0.000000001,H960&gt;=01_因子設定!$L$8-0.000000001,H960&lt;=01_因子設定!$M$8+0.000000001,IF(01_因子設定!$B$20="Box-Behnken",E960^2+F960^2+G960^2+H960^2&lt;=2+0.000000001,TRUE()))</f>
        <v>1</v>
      </c>
      <c r="AD960" s="55" t="n">
        <f aca="false">IF(AC960,IF(01_因子設定!$B$13="最大化",AA960-01_因子設定!$B$14,IF(01_因子設定!$B$13="最小化",01_因子設定!$B$15-AB960,MIN(AA960-01_因子設定!$B$14,01_因子設定!$B$15-AB960))),-1E+030)</f>
        <v>-4.37459978718584</v>
      </c>
      <c r="AE960" s="55" t="n">
        <f aca="false">IF(AC960,IF(01_因子設定!$B$13="最大化",X960,IF(01_因子設定!$B$13="最小化",-X960,-ABS(X960-01_因子設定!$B$16))),-1E+030)</f>
        <v>43.5917991593567</v>
      </c>
      <c r="AF960" s="55" t="n">
        <f aca="false">AD960+ROW()*0.000000001</f>
        <v>-4.37459882718584</v>
      </c>
      <c r="AG960" s="55" t="n">
        <f aca="false">AE960+ROW()*0.000000001</f>
        <v>43.5918001193567</v>
      </c>
    </row>
    <row r="961" customFormat="false" ht="15" hidden="false" customHeight="false" outlineLevel="0" collapsed="false">
      <c r="A961" s="0" t="n">
        <v>1</v>
      </c>
      <c r="B961" s="0" t="n">
        <v>2</v>
      </c>
      <c r="C961" s="0" t="n">
        <v>7</v>
      </c>
      <c r="D961" s="0" t="n">
        <v>2</v>
      </c>
      <c r="E961" s="0" t="n">
        <f aca="false">-1+A961*0.25</f>
        <v>-0.75</v>
      </c>
      <c r="F961" s="0" t="n">
        <f aca="false">-1+B961*0.25</f>
        <v>-0.5</v>
      </c>
      <c r="G961" s="0" t="n">
        <f aca="false">-1+C961*0.25</f>
        <v>0.75</v>
      </c>
      <c r="H961" s="0" t="n">
        <f aca="false">-1+D961*0.25</f>
        <v>-0.5</v>
      </c>
      <c r="I961" s="0" t="n">
        <f aca="false">1</f>
        <v>1</v>
      </c>
      <c r="J961" s="0" t="n">
        <f aca="false">E961</f>
        <v>-0.75</v>
      </c>
      <c r="K961" s="0" t="n">
        <f aca="false">F961</f>
        <v>-0.5</v>
      </c>
      <c r="L961" s="0" t="n">
        <f aca="false">G961</f>
        <v>0.75</v>
      </c>
      <c r="M961" s="0" t="n">
        <f aca="false">H961</f>
        <v>-0.5</v>
      </c>
      <c r="N961" s="0" t="n">
        <f aca="false">E961*F961</f>
        <v>0.375</v>
      </c>
      <c r="O961" s="0" t="n">
        <f aca="false">E961*G961</f>
        <v>-0.5625</v>
      </c>
      <c r="P961" s="0" t="n">
        <f aca="false">E961*H961</f>
        <v>0.375</v>
      </c>
      <c r="Q961" s="0" t="n">
        <f aca="false">F961*G961</f>
        <v>-0.375</v>
      </c>
      <c r="R961" s="0" t="n">
        <f aca="false">F961*H961</f>
        <v>0.25</v>
      </c>
      <c r="S961" s="0" t="n">
        <f aca="false">G961*H961</f>
        <v>-0.375</v>
      </c>
      <c r="T961" s="0" t="n">
        <f aca="false">E961*E961</f>
        <v>0.5625</v>
      </c>
      <c r="U961" s="0" t="n">
        <f aca="false">F961*F961</f>
        <v>0.25</v>
      </c>
      <c r="V961" s="0" t="n">
        <f aca="false">G961*G961</f>
        <v>0.5625</v>
      </c>
      <c r="W961" s="0" t="n">
        <f aca="false">H961*H961</f>
        <v>0.25</v>
      </c>
      <c r="X961" s="0" t="n">
        <f aca="false">SUMPRODUCT(I961:W961,_XtX!$B$96:$P$96)</f>
        <v>43.8697368421053</v>
      </c>
      <c r="Y961" s="0" t="n">
        <f aca="false">SUMPRODUCT(MMULT(I961:W961,_XtX!$B$78:$P$92),I961:W961)</f>
        <v>0.237862927174708</v>
      </c>
      <c r="Z961" s="0" t="n">
        <f aca="false">04_回帰ANOVA!$K$19*04_回帰ANOVA!$K$14*SQRT(1+Y961)</f>
        <v>1.45022260708756</v>
      </c>
      <c r="AA961" s="0" t="n">
        <f aca="false">X961-Z961</f>
        <v>42.4195142350177</v>
      </c>
      <c r="AB961" s="0" t="n">
        <f aca="false">X961+Z961</f>
        <v>45.3199594491928</v>
      </c>
      <c r="AC961" s="54" t="b">
        <f aca="false">AND(E961&gt;=01_因子設定!$L$5-0.000000001,E961&lt;=01_因子設定!$M$5+0.000000001,F961&gt;=01_因子設定!$L$6-0.000000001,F961&lt;=01_因子設定!$M$6+0.000000001,G961&gt;=01_因子設定!$L$7-0.000000001,G961&lt;=01_因子設定!$M$7+0.000000001,H961&gt;=01_因子設定!$L$8-0.000000001,H961&lt;=01_因子設定!$M$8+0.000000001,IF(01_因子設定!$B$20="Box-Behnken",E961^2+F961^2+G961^2+H961^2&lt;=2+0.000000001,TRUE()))</f>
        <v>1</v>
      </c>
      <c r="AD961" s="55" t="n">
        <f aca="false">IF(AC961,IF(01_因子設定!$B$13="最大化",AA961-01_因子設定!$B$14,IF(01_因子設定!$B$13="最小化",01_因子設定!$B$15-AB961,MIN(AA961-01_因子設定!$B$14,01_因子設定!$B$15-AB961))),-1E+030)</f>
        <v>-4.0804857649823</v>
      </c>
      <c r="AE961" s="55" t="n">
        <f aca="false">IF(AC961,IF(01_因子設定!$B$13="最大化",X961,IF(01_因子設定!$B$13="最小化",-X961,-ABS(X961-01_因子設定!$B$16))),-1E+030)</f>
        <v>43.8697368421053</v>
      </c>
      <c r="AF961" s="55" t="n">
        <f aca="false">AD961+ROW()*0.000000001</f>
        <v>-4.0804848039823</v>
      </c>
      <c r="AG961" s="55" t="n">
        <f aca="false">AE961+ROW()*0.000000001</f>
        <v>43.8697378031053</v>
      </c>
    </row>
    <row r="962" customFormat="false" ht="15" hidden="false" customHeight="false" outlineLevel="0" collapsed="false">
      <c r="A962" s="0" t="n">
        <v>1</v>
      </c>
      <c r="B962" s="0" t="n">
        <v>2</v>
      </c>
      <c r="C962" s="0" t="n">
        <v>7</v>
      </c>
      <c r="D962" s="0" t="n">
        <v>3</v>
      </c>
      <c r="E962" s="0" t="n">
        <f aca="false">-1+A962*0.25</f>
        <v>-0.75</v>
      </c>
      <c r="F962" s="0" t="n">
        <f aca="false">-1+B962*0.25</f>
        <v>-0.5</v>
      </c>
      <c r="G962" s="0" t="n">
        <f aca="false">-1+C962*0.25</f>
        <v>0.75</v>
      </c>
      <c r="H962" s="0" t="n">
        <f aca="false">-1+D962*0.25</f>
        <v>-0.25</v>
      </c>
      <c r="I962" s="0" t="n">
        <f aca="false">1</f>
        <v>1</v>
      </c>
      <c r="J962" s="0" t="n">
        <f aca="false">E962</f>
        <v>-0.75</v>
      </c>
      <c r="K962" s="0" t="n">
        <f aca="false">F962</f>
        <v>-0.5</v>
      </c>
      <c r="L962" s="0" t="n">
        <f aca="false">G962</f>
        <v>0.75</v>
      </c>
      <c r="M962" s="0" t="n">
        <f aca="false">H962</f>
        <v>-0.25</v>
      </c>
      <c r="N962" s="0" t="n">
        <f aca="false">E962*F962</f>
        <v>0.375</v>
      </c>
      <c r="O962" s="0" t="n">
        <f aca="false">E962*G962</f>
        <v>-0.5625</v>
      </c>
      <c r="P962" s="0" t="n">
        <f aca="false">E962*H962</f>
        <v>0.1875</v>
      </c>
      <c r="Q962" s="0" t="n">
        <f aca="false">F962*G962</f>
        <v>-0.375</v>
      </c>
      <c r="R962" s="0" t="n">
        <f aca="false">F962*H962</f>
        <v>0.125</v>
      </c>
      <c r="S962" s="0" t="n">
        <f aca="false">G962*H962</f>
        <v>-0.1875</v>
      </c>
      <c r="T962" s="0" t="n">
        <f aca="false">E962*E962</f>
        <v>0.5625</v>
      </c>
      <c r="U962" s="0" t="n">
        <f aca="false">F962*F962</f>
        <v>0.25</v>
      </c>
      <c r="V962" s="0" t="n">
        <f aca="false">G962*G962</f>
        <v>0.5625</v>
      </c>
      <c r="W962" s="0" t="n">
        <f aca="false">H962*H962</f>
        <v>0.0625</v>
      </c>
      <c r="X962" s="0" t="n">
        <f aca="false">SUMPRODUCT(I962:W962,_XtX!$B$96:$P$96)</f>
        <v>44.0998675073099</v>
      </c>
      <c r="Y962" s="0" t="n">
        <f aca="false">SUMPRODUCT(MMULT(I962:W962,_XtX!$B$78:$P$92),I962:W962)</f>
        <v>0.257385610836988</v>
      </c>
      <c r="Z962" s="0" t="n">
        <f aca="false">04_回帰ANOVA!$K$19*04_回帰ANOVA!$K$14*SQRT(1+Y962)</f>
        <v>1.46161380324158</v>
      </c>
      <c r="AA962" s="0" t="n">
        <f aca="false">X962-Z962</f>
        <v>42.6382537040684</v>
      </c>
      <c r="AB962" s="0" t="n">
        <f aca="false">X962+Z962</f>
        <v>45.5614813105515</v>
      </c>
      <c r="AC962" s="54" t="b">
        <f aca="false">AND(E962&gt;=01_因子設定!$L$5-0.000000001,E962&lt;=01_因子設定!$M$5+0.000000001,F962&gt;=01_因子設定!$L$6-0.000000001,F962&lt;=01_因子設定!$M$6+0.000000001,G962&gt;=01_因子設定!$L$7-0.000000001,G962&lt;=01_因子設定!$M$7+0.000000001,H962&gt;=01_因子設定!$L$8-0.000000001,H962&lt;=01_因子設定!$M$8+0.000000001,IF(01_因子設定!$B$20="Box-Behnken",E962^2+F962^2+G962^2+H962^2&lt;=2+0.000000001,TRUE()))</f>
        <v>1</v>
      </c>
      <c r="AD962" s="55" t="n">
        <f aca="false">IF(AC962,IF(01_因子設定!$B$13="最大化",AA962-01_因子設定!$B$14,IF(01_因子設定!$B$13="最小化",01_因子設定!$B$15-AB962,MIN(AA962-01_因子設定!$B$14,01_因子設定!$B$15-AB962))),-1E+030)</f>
        <v>-3.86174629593165</v>
      </c>
      <c r="AE962" s="55" t="n">
        <f aca="false">IF(AC962,IF(01_因子設定!$B$13="最大化",X962,IF(01_因子設定!$B$13="最小化",-X962,-ABS(X962-01_因子設定!$B$16))),-1E+030)</f>
        <v>44.0998675073099</v>
      </c>
      <c r="AF962" s="55" t="n">
        <f aca="false">AD962+ROW()*0.000000001</f>
        <v>-3.86174533393165</v>
      </c>
      <c r="AG962" s="55" t="n">
        <f aca="false">AE962+ROW()*0.000000001</f>
        <v>44.0998684693099</v>
      </c>
    </row>
    <row r="963" customFormat="false" ht="15" hidden="false" customHeight="false" outlineLevel="0" collapsed="false">
      <c r="A963" s="0" t="n">
        <v>1</v>
      </c>
      <c r="B963" s="0" t="n">
        <v>2</v>
      </c>
      <c r="C963" s="0" t="n">
        <v>7</v>
      </c>
      <c r="D963" s="0" t="n">
        <v>4</v>
      </c>
      <c r="E963" s="0" t="n">
        <f aca="false">-1+A963*0.25</f>
        <v>-0.75</v>
      </c>
      <c r="F963" s="0" t="n">
        <f aca="false">-1+B963*0.25</f>
        <v>-0.5</v>
      </c>
      <c r="G963" s="0" t="n">
        <f aca="false">-1+C963*0.25</f>
        <v>0.75</v>
      </c>
      <c r="H963" s="0" t="n">
        <f aca="false">-1+D963*0.25</f>
        <v>0</v>
      </c>
      <c r="I963" s="0" t="n">
        <f aca="false">1</f>
        <v>1</v>
      </c>
      <c r="J963" s="0" t="n">
        <f aca="false">E963</f>
        <v>-0.75</v>
      </c>
      <c r="K963" s="0" t="n">
        <f aca="false">F963</f>
        <v>-0.5</v>
      </c>
      <c r="L963" s="0" t="n">
        <f aca="false">G963</f>
        <v>0.75</v>
      </c>
      <c r="M963" s="0" t="n">
        <f aca="false">H963</f>
        <v>0</v>
      </c>
      <c r="N963" s="0" t="n">
        <f aca="false">E963*F963</f>
        <v>0.375</v>
      </c>
      <c r="O963" s="0" t="n">
        <f aca="false">E963*G963</f>
        <v>-0.5625</v>
      </c>
      <c r="P963" s="0" t="n">
        <f aca="false">E963*H963</f>
        <v>-0</v>
      </c>
      <c r="Q963" s="0" t="n">
        <f aca="false">F963*G963</f>
        <v>-0.375</v>
      </c>
      <c r="R963" s="0" t="n">
        <f aca="false">F963*H963</f>
        <v>-0</v>
      </c>
      <c r="S963" s="0" t="n">
        <f aca="false">G963*H963</f>
        <v>0</v>
      </c>
      <c r="T963" s="0" t="n">
        <f aca="false">E963*E963</f>
        <v>0.5625</v>
      </c>
      <c r="U963" s="0" t="n">
        <f aca="false">F963*F963</f>
        <v>0.25</v>
      </c>
      <c r="V963" s="0" t="n">
        <f aca="false">G963*G963</f>
        <v>0.5625</v>
      </c>
      <c r="W963" s="0" t="n">
        <f aca="false">H963*H963</f>
        <v>0</v>
      </c>
      <c r="X963" s="0" t="n">
        <f aca="false">SUMPRODUCT(I963:W963,_XtX!$B$96:$P$96)</f>
        <v>44.2821911549708</v>
      </c>
      <c r="Y963" s="0" t="n">
        <f aca="false">SUMPRODUCT(MMULT(I963:W963,_XtX!$B$78:$P$92),I963:W963)</f>
        <v>0.269923873812135</v>
      </c>
      <c r="Z963" s="0" t="n">
        <f aca="false">04_回帰ANOVA!$K$19*04_回帰ANOVA!$K$14*SQRT(1+Y963)</f>
        <v>1.46888310825501</v>
      </c>
      <c r="AA963" s="0" t="n">
        <f aca="false">X963-Z963</f>
        <v>42.8133080467157</v>
      </c>
      <c r="AB963" s="0" t="n">
        <f aca="false">X963+Z963</f>
        <v>45.7510742632258</v>
      </c>
      <c r="AC963" s="54" t="b">
        <f aca="false">AND(E963&gt;=01_因子設定!$L$5-0.000000001,E963&lt;=01_因子設定!$M$5+0.000000001,F963&gt;=01_因子設定!$L$6-0.000000001,F963&lt;=01_因子設定!$M$6+0.000000001,G963&gt;=01_因子設定!$L$7-0.000000001,G963&lt;=01_因子設定!$M$7+0.000000001,H963&gt;=01_因子設定!$L$8-0.000000001,H963&lt;=01_因子設定!$M$8+0.000000001,IF(01_因子設定!$B$20="Box-Behnken",E963^2+F963^2+G963^2+H963^2&lt;=2+0.000000001,TRUE()))</f>
        <v>1</v>
      </c>
      <c r="AD963" s="55" t="n">
        <f aca="false">IF(AC963,IF(01_因子設定!$B$13="最大化",AA963-01_因子設定!$B$14,IF(01_因子設定!$B$13="最小化",01_因子設定!$B$15-AB963,MIN(AA963-01_因子設定!$B$14,01_因子設定!$B$15-AB963))),-1E+030)</f>
        <v>-3.68669195328426</v>
      </c>
      <c r="AE963" s="55" t="n">
        <f aca="false">IF(AC963,IF(01_因子設定!$B$13="最大化",X963,IF(01_因子設定!$B$13="最小化",-X963,-ABS(X963-01_因子設定!$B$16))),-1E+030)</f>
        <v>44.2821911549708</v>
      </c>
      <c r="AF963" s="55" t="n">
        <f aca="false">AD963+ROW()*0.000000001</f>
        <v>-3.68669099028426</v>
      </c>
      <c r="AG963" s="55" t="n">
        <f aca="false">AE963+ROW()*0.000000001</f>
        <v>44.2821921179707</v>
      </c>
    </row>
    <row r="964" customFormat="false" ht="15" hidden="false" customHeight="false" outlineLevel="0" collapsed="false">
      <c r="A964" s="0" t="n">
        <v>1</v>
      </c>
      <c r="B964" s="0" t="n">
        <v>2</v>
      </c>
      <c r="C964" s="0" t="n">
        <v>7</v>
      </c>
      <c r="D964" s="0" t="n">
        <v>5</v>
      </c>
      <c r="E964" s="0" t="n">
        <f aca="false">-1+A964*0.25</f>
        <v>-0.75</v>
      </c>
      <c r="F964" s="0" t="n">
        <f aca="false">-1+B964*0.25</f>
        <v>-0.5</v>
      </c>
      <c r="G964" s="0" t="n">
        <f aca="false">-1+C964*0.25</f>
        <v>0.75</v>
      </c>
      <c r="H964" s="0" t="n">
        <f aca="false">-1+D964*0.25</f>
        <v>0.25</v>
      </c>
      <c r="I964" s="0" t="n">
        <f aca="false">1</f>
        <v>1</v>
      </c>
      <c r="J964" s="0" t="n">
        <f aca="false">E964</f>
        <v>-0.75</v>
      </c>
      <c r="K964" s="0" t="n">
        <f aca="false">F964</f>
        <v>-0.5</v>
      </c>
      <c r="L964" s="0" t="n">
        <f aca="false">G964</f>
        <v>0.75</v>
      </c>
      <c r="M964" s="0" t="n">
        <f aca="false">H964</f>
        <v>0.25</v>
      </c>
      <c r="N964" s="0" t="n">
        <f aca="false">E964*F964</f>
        <v>0.375</v>
      </c>
      <c r="O964" s="0" t="n">
        <f aca="false">E964*G964</f>
        <v>-0.5625</v>
      </c>
      <c r="P964" s="0" t="n">
        <f aca="false">E964*H964</f>
        <v>-0.1875</v>
      </c>
      <c r="Q964" s="0" t="n">
        <f aca="false">F964*G964</f>
        <v>-0.375</v>
      </c>
      <c r="R964" s="0" t="n">
        <f aca="false">F964*H964</f>
        <v>-0.125</v>
      </c>
      <c r="S964" s="0" t="n">
        <f aca="false">G964*H964</f>
        <v>0.1875</v>
      </c>
      <c r="T964" s="0" t="n">
        <f aca="false">E964*E964</f>
        <v>0.5625</v>
      </c>
      <c r="U964" s="0" t="n">
        <f aca="false">F964*F964</f>
        <v>0.25</v>
      </c>
      <c r="V964" s="0" t="n">
        <f aca="false">G964*G964</f>
        <v>0.5625</v>
      </c>
      <c r="W964" s="0" t="n">
        <f aca="false">H964*H964</f>
        <v>0.0625</v>
      </c>
      <c r="X964" s="0" t="n">
        <f aca="false">SUMPRODUCT(I964:W964,_XtX!$B$96:$P$96)</f>
        <v>44.4167077850877</v>
      </c>
      <c r="Y964" s="0" t="n">
        <f aca="false">SUMPRODUCT(MMULT(I964:W964,_XtX!$B$78:$P$92),I964:W964)</f>
        <v>0.257385610836988</v>
      </c>
      <c r="Z964" s="0" t="n">
        <f aca="false">04_回帰ANOVA!$K$19*04_回帰ANOVA!$K$14*SQRT(1+Y964)</f>
        <v>1.46161380324158</v>
      </c>
      <c r="AA964" s="0" t="n">
        <f aca="false">X964-Z964</f>
        <v>42.9550939818461</v>
      </c>
      <c r="AB964" s="0" t="n">
        <f aca="false">X964+Z964</f>
        <v>45.8783215883293</v>
      </c>
      <c r="AC964" s="54" t="b">
        <f aca="false">AND(E964&gt;=01_因子設定!$L$5-0.000000001,E964&lt;=01_因子設定!$M$5+0.000000001,F964&gt;=01_因子設定!$L$6-0.000000001,F964&lt;=01_因子設定!$M$6+0.000000001,G964&gt;=01_因子設定!$L$7-0.000000001,G964&lt;=01_因子設定!$M$7+0.000000001,H964&gt;=01_因子設定!$L$8-0.000000001,H964&lt;=01_因子設定!$M$8+0.000000001,IF(01_因子設定!$B$20="Box-Behnken",E964^2+F964^2+G964^2+H964^2&lt;=2+0.000000001,TRUE()))</f>
        <v>1</v>
      </c>
      <c r="AD964" s="55" t="n">
        <f aca="false">IF(AC964,IF(01_因子設定!$B$13="最大化",AA964-01_因子設定!$B$14,IF(01_因子設定!$B$13="最小化",01_因子設定!$B$15-AB964,MIN(AA964-01_因子設定!$B$14,01_因子設定!$B$15-AB964))),-1E+030)</f>
        <v>-3.54490601815387</v>
      </c>
      <c r="AE964" s="55" t="n">
        <f aca="false">IF(AC964,IF(01_因子設定!$B$13="最大化",X964,IF(01_因子設定!$B$13="最小化",-X964,-ABS(X964-01_因子設定!$B$16))),-1E+030)</f>
        <v>44.4167077850877</v>
      </c>
      <c r="AF964" s="55" t="n">
        <f aca="false">AD964+ROW()*0.000000001</f>
        <v>-3.54490505415387</v>
      </c>
      <c r="AG964" s="55" t="n">
        <f aca="false">AE964+ROW()*0.000000001</f>
        <v>44.4167087490877</v>
      </c>
    </row>
    <row r="965" customFormat="false" ht="15" hidden="false" customHeight="false" outlineLevel="0" collapsed="false">
      <c r="A965" s="0" t="n">
        <v>1</v>
      </c>
      <c r="B965" s="0" t="n">
        <v>2</v>
      </c>
      <c r="C965" s="0" t="n">
        <v>7</v>
      </c>
      <c r="D965" s="0" t="n">
        <v>6</v>
      </c>
      <c r="E965" s="0" t="n">
        <f aca="false">-1+A965*0.25</f>
        <v>-0.75</v>
      </c>
      <c r="F965" s="0" t="n">
        <f aca="false">-1+B965*0.25</f>
        <v>-0.5</v>
      </c>
      <c r="G965" s="0" t="n">
        <f aca="false">-1+C965*0.25</f>
        <v>0.75</v>
      </c>
      <c r="H965" s="0" t="n">
        <f aca="false">-1+D965*0.25</f>
        <v>0.5</v>
      </c>
      <c r="I965" s="0" t="n">
        <f aca="false">1</f>
        <v>1</v>
      </c>
      <c r="J965" s="0" t="n">
        <f aca="false">E965</f>
        <v>-0.75</v>
      </c>
      <c r="K965" s="0" t="n">
        <f aca="false">F965</f>
        <v>-0.5</v>
      </c>
      <c r="L965" s="0" t="n">
        <f aca="false">G965</f>
        <v>0.75</v>
      </c>
      <c r="M965" s="0" t="n">
        <f aca="false">H965</f>
        <v>0.5</v>
      </c>
      <c r="N965" s="0" t="n">
        <f aca="false">E965*F965</f>
        <v>0.375</v>
      </c>
      <c r="O965" s="0" t="n">
        <f aca="false">E965*G965</f>
        <v>-0.5625</v>
      </c>
      <c r="P965" s="0" t="n">
        <f aca="false">E965*H965</f>
        <v>-0.375</v>
      </c>
      <c r="Q965" s="0" t="n">
        <f aca="false">F965*G965</f>
        <v>-0.375</v>
      </c>
      <c r="R965" s="0" t="n">
        <f aca="false">F965*H965</f>
        <v>-0.25</v>
      </c>
      <c r="S965" s="0" t="n">
        <f aca="false">G965*H965</f>
        <v>0.375</v>
      </c>
      <c r="T965" s="0" t="n">
        <f aca="false">E965*E965</f>
        <v>0.5625</v>
      </c>
      <c r="U965" s="0" t="n">
        <f aca="false">F965*F965</f>
        <v>0.25</v>
      </c>
      <c r="V965" s="0" t="n">
        <f aca="false">G965*G965</f>
        <v>0.5625</v>
      </c>
      <c r="W965" s="0" t="n">
        <f aca="false">H965*H965</f>
        <v>0.25</v>
      </c>
      <c r="X965" s="0" t="n">
        <f aca="false">SUMPRODUCT(I965:W965,_XtX!$B$96:$P$96)</f>
        <v>44.5034173976608</v>
      </c>
      <c r="Y965" s="0" t="n">
        <f aca="false">SUMPRODUCT(MMULT(I965:W965,_XtX!$B$78:$P$92),I965:W965)</f>
        <v>0.237862927174708</v>
      </c>
      <c r="Z965" s="0" t="n">
        <f aca="false">04_回帰ANOVA!$K$19*04_回帰ANOVA!$K$14*SQRT(1+Y965)</f>
        <v>1.45022260708756</v>
      </c>
      <c r="AA965" s="0" t="n">
        <f aca="false">X965-Z965</f>
        <v>43.0531947905733</v>
      </c>
      <c r="AB965" s="0" t="n">
        <f aca="false">X965+Z965</f>
        <v>45.9536400047484</v>
      </c>
      <c r="AC965" s="54" t="b">
        <f aca="false">AND(E965&gt;=01_因子設定!$L$5-0.000000001,E965&lt;=01_因子設定!$M$5+0.000000001,F965&gt;=01_因子設定!$L$6-0.000000001,F965&lt;=01_因子設定!$M$6+0.000000001,G965&gt;=01_因子設定!$L$7-0.000000001,G965&lt;=01_因子設定!$M$7+0.000000001,H965&gt;=01_因子設定!$L$8-0.000000001,H965&lt;=01_因子設定!$M$8+0.000000001,IF(01_因子設定!$B$20="Box-Behnken",E965^2+F965^2+G965^2+H965^2&lt;=2+0.000000001,TRUE()))</f>
        <v>1</v>
      </c>
      <c r="AD965" s="55" t="n">
        <f aca="false">IF(AC965,IF(01_因子設定!$B$13="最大化",AA965-01_因子設定!$B$14,IF(01_因子設定!$B$13="最小化",01_因子設定!$B$15-AB965,MIN(AA965-01_因子設定!$B$14,01_因子設定!$B$15-AB965))),-1E+030)</f>
        <v>-3.44680520942674</v>
      </c>
      <c r="AE965" s="55" t="n">
        <f aca="false">IF(AC965,IF(01_因子設定!$B$13="最大化",X965,IF(01_因子設定!$B$13="最小化",-X965,-ABS(X965-01_因子設定!$B$16))),-1E+030)</f>
        <v>44.5034173976608</v>
      </c>
      <c r="AF965" s="55" t="n">
        <f aca="false">AD965+ROW()*0.000000001</f>
        <v>-3.44680424442674</v>
      </c>
      <c r="AG965" s="55" t="n">
        <f aca="false">AE965+ROW()*0.000000001</f>
        <v>44.5034183626608</v>
      </c>
    </row>
    <row r="966" customFormat="false" ht="15" hidden="false" customHeight="false" outlineLevel="0" collapsed="false">
      <c r="A966" s="0" t="n">
        <v>1</v>
      </c>
      <c r="B966" s="0" t="n">
        <v>2</v>
      </c>
      <c r="C966" s="0" t="n">
        <v>7</v>
      </c>
      <c r="D966" s="0" t="n">
        <v>7</v>
      </c>
      <c r="E966" s="0" t="n">
        <f aca="false">-1+A966*0.25</f>
        <v>-0.75</v>
      </c>
      <c r="F966" s="0" t="n">
        <f aca="false">-1+B966*0.25</f>
        <v>-0.5</v>
      </c>
      <c r="G966" s="0" t="n">
        <f aca="false">-1+C966*0.25</f>
        <v>0.75</v>
      </c>
      <c r="H966" s="0" t="n">
        <f aca="false">-1+D966*0.25</f>
        <v>0.75</v>
      </c>
      <c r="I966" s="0" t="n">
        <f aca="false">1</f>
        <v>1</v>
      </c>
      <c r="J966" s="0" t="n">
        <f aca="false">E966</f>
        <v>-0.75</v>
      </c>
      <c r="K966" s="0" t="n">
        <f aca="false">F966</f>
        <v>-0.5</v>
      </c>
      <c r="L966" s="0" t="n">
        <f aca="false">G966</f>
        <v>0.75</v>
      </c>
      <c r="M966" s="0" t="n">
        <f aca="false">H966</f>
        <v>0.75</v>
      </c>
      <c r="N966" s="0" t="n">
        <f aca="false">E966*F966</f>
        <v>0.375</v>
      </c>
      <c r="O966" s="0" t="n">
        <f aca="false">E966*G966</f>
        <v>-0.5625</v>
      </c>
      <c r="P966" s="0" t="n">
        <f aca="false">E966*H966</f>
        <v>-0.5625</v>
      </c>
      <c r="Q966" s="0" t="n">
        <f aca="false">F966*G966</f>
        <v>-0.375</v>
      </c>
      <c r="R966" s="0" t="n">
        <f aca="false">F966*H966</f>
        <v>-0.375</v>
      </c>
      <c r="S966" s="0" t="n">
        <f aca="false">G966*H966</f>
        <v>0.5625</v>
      </c>
      <c r="T966" s="0" t="n">
        <f aca="false">E966*E966</f>
        <v>0.5625</v>
      </c>
      <c r="U966" s="0" t="n">
        <f aca="false">F966*F966</f>
        <v>0.25</v>
      </c>
      <c r="V966" s="0" t="n">
        <f aca="false">G966*G966</f>
        <v>0.5625</v>
      </c>
      <c r="W966" s="0" t="n">
        <f aca="false">H966*H966</f>
        <v>0.5625</v>
      </c>
      <c r="X966" s="0" t="n">
        <f aca="false">SUMPRODUCT(I966:W966,_XtX!$B$96:$P$96)</f>
        <v>44.5423199926901</v>
      </c>
      <c r="Y966" s="0" t="n">
        <f aca="false">SUMPRODUCT(MMULT(I966:W966,_XtX!$B$78:$P$92),I966:W966)</f>
        <v>0.265632138614766</v>
      </c>
      <c r="Z966" s="0" t="n">
        <f aca="false">04_回帰ANOVA!$K$19*04_回帰ANOVA!$K$14*SQRT(1+Y966)</f>
        <v>1.46639894654257</v>
      </c>
      <c r="AA966" s="0" t="n">
        <f aca="false">X966-Z966</f>
        <v>43.0759210461475</v>
      </c>
      <c r="AB966" s="0" t="n">
        <f aca="false">X966+Z966</f>
        <v>46.0087189392326</v>
      </c>
      <c r="AC966" s="54" t="b">
        <f aca="false">AND(E966&gt;=01_因子設定!$L$5-0.000000001,E966&lt;=01_因子設定!$M$5+0.000000001,F966&gt;=01_因子設定!$L$6-0.000000001,F966&lt;=01_因子設定!$M$6+0.000000001,G966&gt;=01_因子設定!$L$7-0.000000001,G966&lt;=01_因子設定!$M$7+0.000000001,H966&gt;=01_因子設定!$L$8-0.000000001,H966&lt;=01_因子設定!$M$8+0.000000001,IF(01_因子設定!$B$20="Box-Behnken",E966^2+F966^2+G966^2+H966^2&lt;=2+0.000000001,TRUE()))</f>
        <v>1</v>
      </c>
      <c r="AD966" s="55" t="n">
        <f aca="false">IF(AC966,IF(01_因子設定!$B$13="最大化",AA966-01_因子設定!$B$14,IF(01_因子設定!$B$13="最小化",01_因子設定!$B$15-AB966,MIN(AA966-01_因子設定!$B$14,01_因子設定!$B$15-AB966))),-1E+030)</f>
        <v>-3.42407895385251</v>
      </c>
      <c r="AE966" s="55" t="n">
        <f aca="false">IF(AC966,IF(01_因子設定!$B$13="最大化",X966,IF(01_因子設定!$B$13="最小化",-X966,-ABS(X966-01_因子設定!$B$16))),-1E+030)</f>
        <v>44.5423199926901</v>
      </c>
      <c r="AF966" s="55" t="n">
        <f aca="false">AD966+ROW()*0.000000001</f>
        <v>-3.42407798785251</v>
      </c>
      <c r="AG966" s="55" t="n">
        <f aca="false">AE966+ROW()*0.000000001</f>
        <v>44.5423209586901</v>
      </c>
    </row>
    <row r="967" customFormat="false" ht="15" hidden="false" customHeight="false" outlineLevel="0" collapsed="false">
      <c r="A967" s="0" t="n">
        <v>1</v>
      </c>
      <c r="B967" s="0" t="n">
        <v>2</v>
      </c>
      <c r="C967" s="0" t="n">
        <v>7</v>
      </c>
      <c r="D967" s="0" t="n">
        <v>8</v>
      </c>
      <c r="E967" s="0" t="n">
        <f aca="false">-1+A967*0.25</f>
        <v>-0.75</v>
      </c>
      <c r="F967" s="0" t="n">
        <f aca="false">-1+B967*0.25</f>
        <v>-0.5</v>
      </c>
      <c r="G967" s="0" t="n">
        <f aca="false">-1+C967*0.25</f>
        <v>0.75</v>
      </c>
      <c r="H967" s="0" t="n">
        <f aca="false">-1+D967*0.25</f>
        <v>1</v>
      </c>
      <c r="I967" s="0" t="n">
        <f aca="false">1</f>
        <v>1</v>
      </c>
      <c r="J967" s="0" t="n">
        <f aca="false">E967</f>
        <v>-0.75</v>
      </c>
      <c r="K967" s="0" t="n">
        <f aca="false">F967</f>
        <v>-0.5</v>
      </c>
      <c r="L967" s="0" t="n">
        <f aca="false">G967</f>
        <v>0.75</v>
      </c>
      <c r="M967" s="0" t="n">
        <f aca="false">H967</f>
        <v>1</v>
      </c>
      <c r="N967" s="0" t="n">
        <f aca="false">E967*F967</f>
        <v>0.375</v>
      </c>
      <c r="O967" s="0" t="n">
        <f aca="false">E967*G967</f>
        <v>-0.5625</v>
      </c>
      <c r="P967" s="0" t="n">
        <f aca="false">E967*H967</f>
        <v>-0.75</v>
      </c>
      <c r="Q967" s="0" t="n">
        <f aca="false">F967*G967</f>
        <v>-0.375</v>
      </c>
      <c r="R967" s="0" t="n">
        <f aca="false">F967*H967</f>
        <v>-0.5</v>
      </c>
      <c r="S967" s="0" t="n">
        <f aca="false">G967*H967</f>
        <v>0.75</v>
      </c>
      <c r="T967" s="0" t="n">
        <f aca="false">E967*E967</f>
        <v>0.5625</v>
      </c>
      <c r="U967" s="0" t="n">
        <f aca="false">F967*F967</f>
        <v>0.25</v>
      </c>
      <c r="V967" s="0" t="n">
        <f aca="false">G967*G967</f>
        <v>0.5625</v>
      </c>
      <c r="W967" s="0" t="n">
        <f aca="false">H967*H967</f>
        <v>1</v>
      </c>
      <c r="X967" s="0" t="n">
        <f aca="false">SUMPRODUCT(I967:W967,_XtX!$B$96:$P$96)</f>
        <v>44.5334155701755</v>
      </c>
      <c r="Y967" s="0" t="n">
        <f aca="false">SUMPRODUCT(MMULT(I967:W967,_XtX!$B$78:$P$92),I967:W967)</f>
        <v>0.431153771472953</v>
      </c>
      <c r="Z967" s="0" t="n">
        <f aca="false">04_回帰ANOVA!$K$19*04_回帰ANOVA!$K$14*SQRT(1+Y967)</f>
        <v>1.55934259562563</v>
      </c>
      <c r="AA967" s="0" t="n">
        <f aca="false">X967-Z967</f>
        <v>42.9740729745498</v>
      </c>
      <c r="AB967" s="0" t="n">
        <f aca="false">X967+Z967</f>
        <v>46.0927581658011</v>
      </c>
      <c r="AC967" s="54" t="b">
        <f aca="false">AND(E967&gt;=01_因子設定!$L$5-0.000000001,E967&lt;=01_因子設定!$M$5+0.000000001,F967&gt;=01_因子設定!$L$6-0.000000001,F967&lt;=01_因子設定!$M$6+0.000000001,G967&gt;=01_因子設定!$L$7-0.000000001,G967&lt;=01_因子設定!$M$7+0.000000001,H967&gt;=01_因子設定!$L$8-0.000000001,H967&lt;=01_因子設定!$M$8+0.000000001,IF(01_因子設定!$B$20="Box-Behnken",E967^2+F967^2+G967^2+H967^2&lt;=2+0.000000001,TRUE()))</f>
        <v>1</v>
      </c>
      <c r="AD967" s="55" t="n">
        <f aca="false">IF(AC967,IF(01_因子設定!$B$13="最大化",AA967-01_因子設定!$B$14,IF(01_因子設定!$B$13="最小化",01_因子設定!$B$15-AB967,MIN(AA967-01_因子設定!$B$14,01_因子設定!$B$15-AB967))),-1E+030)</f>
        <v>-3.52592702545017</v>
      </c>
      <c r="AE967" s="55" t="n">
        <f aca="false">IF(AC967,IF(01_因子設定!$B$13="最大化",X967,IF(01_因子設定!$B$13="最小化",-X967,-ABS(X967-01_因子設定!$B$16))),-1E+030)</f>
        <v>44.5334155701755</v>
      </c>
      <c r="AF967" s="55" t="n">
        <f aca="false">AD967+ROW()*0.000000001</f>
        <v>-3.52592605845017</v>
      </c>
      <c r="AG967" s="55" t="n">
        <f aca="false">AE967+ROW()*0.000000001</f>
        <v>44.5334165371755</v>
      </c>
    </row>
    <row r="968" customFormat="false" ht="15" hidden="false" customHeight="false" outlineLevel="0" collapsed="false">
      <c r="A968" s="0" t="n">
        <v>1</v>
      </c>
      <c r="B968" s="0" t="n">
        <v>2</v>
      </c>
      <c r="C968" s="0" t="n">
        <v>8</v>
      </c>
      <c r="D968" s="0" t="n">
        <v>0</v>
      </c>
      <c r="E968" s="0" t="n">
        <f aca="false">-1+A968*0.25</f>
        <v>-0.75</v>
      </c>
      <c r="F968" s="0" t="n">
        <f aca="false">-1+B968*0.25</f>
        <v>-0.5</v>
      </c>
      <c r="G968" s="0" t="n">
        <f aca="false">-1+C968*0.25</f>
        <v>1</v>
      </c>
      <c r="H968" s="0" t="n">
        <f aca="false">-1+D968*0.25</f>
        <v>-1</v>
      </c>
      <c r="I968" s="0" t="n">
        <f aca="false">1</f>
        <v>1</v>
      </c>
      <c r="J968" s="0" t="n">
        <f aca="false">E968</f>
        <v>-0.75</v>
      </c>
      <c r="K968" s="0" t="n">
        <f aca="false">F968</f>
        <v>-0.5</v>
      </c>
      <c r="L968" s="0" t="n">
        <f aca="false">G968</f>
        <v>1</v>
      </c>
      <c r="M968" s="0" t="n">
        <f aca="false">H968</f>
        <v>-1</v>
      </c>
      <c r="N968" s="0" t="n">
        <f aca="false">E968*F968</f>
        <v>0.375</v>
      </c>
      <c r="O968" s="0" t="n">
        <f aca="false">E968*G968</f>
        <v>-0.75</v>
      </c>
      <c r="P968" s="0" t="n">
        <f aca="false">E968*H968</f>
        <v>0.75</v>
      </c>
      <c r="Q968" s="0" t="n">
        <f aca="false">F968*G968</f>
        <v>-0.5</v>
      </c>
      <c r="R968" s="0" t="n">
        <f aca="false">F968*H968</f>
        <v>0.5</v>
      </c>
      <c r="S968" s="0" t="n">
        <f aca="false">G968*H968</f>
        <v>-1</v>
      </c>
      <c r="T968" s="0" t="n">
        <f aca="false">E968*E968</f>
        <v>0.5625</v>
      </c>
      <c r="U968" s="0" t="n">
        <f aca="false">F968*F968</f>
        <v>0.25</v>
      </c>
      <c r="V968" s="0" t="n">
        <f aca="false">G968*G968</f>
        <v>1</v>
      </c>
      <c r="W968" s="0" t="n">
        <f aca="false">H968*H968</f>
        <v>1</v>
      </c>
      <c r="X968" s="0" t="n">
        <f aca="false">SUMPRODUCT(I968:W968,_XtX!$B$96:$P$96)</f>
        <v>43.2242507309942</v>
      </c>
      <c r="Y968" s="0" t="n">
        <f aca="false">SUMPRODUCT(MMULT(I968:W968,_XtX!$B$78:$P$92),I968:W968)</f>
        <v>0.564984237938597</v>
      </c>
      <c r="Z968" s="0" t="n">
        <f aca="false">04_回帰ANOVA!$K$19*04_回帰ANOVA!$K$14*SQRT(1+Y968)</f>
        <v>1.63062229734503</v>
      </c>
      <c r="AA968" s="0" t="n">
        <f aca="false">X968-Z968</f>
        <v>41.5936284336491</v>
      </c>
      <c r="AB968" s="0" t="n">
        <f aca="false">X968+Z968</f>
        <v>44.8548730283392</v>
      </c>
      <c r="AC968" s="54" t="b">
        <f aca="false">AND(E968&gt;=01_因子設定!$L$5-0.000000001,E968&lt;=01_因子設定!$M$5+0.000000001,F968&gt;=01_因子設定!$L$6-0.000000001,F968&lt;=01_因子設定!$M$6+0.000000001,G968&gt;=01_因子設定!$L$7-0.000000001,G968&lt;=01_因子設定!$M$7+0.000000001,H968&gt;=01_因子設定!$L$8-0.000000001,H968&lt;=01_因子設定!$M$8+0.000000001,IF(01_因子設定!$B$20="Box-Behnken",E968^2+F968^2+G968^2+H968^2&lt;=2+0.000000001,TRUE()))</f>
        <v>1</v>
      </c>
      <c r="AD968" s="55" t="n">
        <f aca="false">IF(AC968,IF(01_因子設定!$B$13="最大化",AA968-01_因子設定!$B$14,IF(01_因子設定!$B$13="最小化",01_因子設定!$B$15-AB968,MIN(AA968-01_因子設定!$B$14,01_因子設定!$B$15-AB968))),-1E+030)</f>
        <v>-4.90637156635086</v>
      </c>
      <c r="AE968" s="55" t="n">
        <f aca="false">IF(AC968,IF(01_因子設定!$B$13="最大化",X968,IF(01_因子設定!$B$13="最小化",-X968,-ABS(X968-01_因子設定!$B$16))),-1E+030)</f>
        <v>43.2242507309942</v>
      </c>
      <c r="AF968" s="55" t="n">
        <f aca="false">AD968+ROW()*0.000000001</f>
        <v>-4.90637059835086</v>
      </c>
      <c r="AG968" s="55" t="n">
        <f aca="false">AE968+ROW()*0.000000001</f>
        <v>43.2242516989942</v>
      </c>
    </row>
    <row r="969" customFormat="false" ht="15" hidden="false" customHeight="false" outlineLevel="0" collapsed="false">
      <c r="A969" s="0" t="n">
        <v>1</v>
      </c>
      <c r="B969" s="0" t="n">
        <v>2</v>
      </c>
      <c r="C969" s="0" t="n">
        <v>8</v>
      </c>
      <c r="D969" s="0" t="n">
        <v>1</v>
      </c>
      <c r="E969" s="0" t="n">
        <f aca="false">-1+A969*0.25</f>
        <v>-0.75</v>
      </c>
      <c r="F969" s="0" t="n">
        <f aca="false">-1+B969*0.25</f>
        <v>-0.5</v>
      </c>
      <c r="G969" s="0" t="n">
        <f aca="false">-1+C969*0.25</f>
        <v>1</v>
      </c>
      <c r="H969" s="0" t="n">
        <f aca="false">-1+D969*0.25</f>
        <v>-0.75</v>
      </c>
      <c r="I969" s="0" t="n">
        <f aca="false">1</f>
        <v>1</v>
      </c>
      <c r="J969" s="0" t="n">
        <f aca="false">E969</f>
        <v>-0.75</v>
      </c>
      <c r="K969" s="0" t="n">
        <f aca="false">F969</f>
        <v>-0.5</v>
      </c>
      <c r="L969" s="0" t="n">
        <f aca="false">G969</f>
        <v>1</v>
      </c>
      <c r="M969" s="0" t="n">
        <f aca="false">H969</f>
        <v>-0.75</v>
      </c>
      <c r="N969" s="0" t="n">
        <f aca="false">E969*F969</f>
        <v>0.375</v>
      </c>
      <c r="O969" s="0" t="n">
        <f aca="false">E969*G969</f>
        <v>-0.75</v>
      </c>
      <c r="P969" s="0" t="n">
        <f aca="false">E969*H969</f>
        <v>0.5625</v>
      </c>
      <c r="Q969" s="0" t="n">
        <f aca="false">F969*G969</f>
        <v>-0.5</v>
      </c>
      <c r="R969" s="0" t="n">
        <f aca="false">F969*H969</f>
        <v>0.375</v>
      </c>
      <c r="S969" s="0" t="n">
        <f aca="false">G969*H969</f>
        <v>-0.75</v>
      </c>
      <c r="T969" s="0" t="n">
        <f aca="false">E969*E969</f>
        <v>0.5625</v>
      </c>
      <c r="U969" s="0" t="n">
        <f aca="false">F969*F969</f>
        <v>0.25</v>
      </c>
      <c r="V969" s="0" t="n">
        <f aca="false">G969*G969</f>
        <v>1</v>
      </c>
      <c r="W969" s="0" t="n">
        <f aca="false">H969*H969</f>
        <v>0.5625</v>
      </c>
      <c r="X969" s="0" t="n">
        <f aca="false">SUMPRODUCT(I969:W969,_XtX!$B$96:$P$96)</f>
        <v>43.5679641812866</v>
      </c>
      <c r="Y969" s="0" t="n">
        <f aca="false">SUMPRODUCT(MMULT(I969:W969,_XtX!$B$78:$P$92),I969:W969)</f>
        <v>0.431153771472953</v>
      </c>
      <c r="Z969" s="0" t="n">
        <f aca="false">04_回帰ANOVA!$K$19*04_回帰ANOVA!$K$14*SQRT(1+Y969)</f>
        <v>1.55934259562563</v>
      </c>
      <c r="AA969" s="0" t="n">
        <f aca="false">X969-Z969</f>
        <v>42.0086215856609</v>
      </c>
      <c r="AB969" s="0" t="n">
        <f aca="false">X969+Z969</f>
        <v>45.1273067769122</v>
      </c>
      <c r="AC969" s="54" t="b">
        <f aca="false">AND(E969&gt;=01_因子設定!$L$5-0.000000001,E969&lt;=01_因子設定!$M$5+0.000000001,F969&gt;=01_因子設定!$L$6-0.000000001,F969&lt;=01_因子設定!$M$6+0.000000001,G969&gt;=01_因子設定!$L$7-0.000000001,G969&lt;=01_因子設定!$M$7+0.000000001,H969&gt;=01_因子設定!$L$8-0.000000001,H969&lt;=01_因子設定!$M$8+0.000000001,IF(01_因子設定!$B$20="Box-Behnken",E969^2+F969^2+G969^2+H969^2&lt;=2+0.000000001,TRUE()))</f>
        <v>1</v>
      </c>
      <c r="AD969" s="55" t="n">
        <f aca="false">IF(AC969,IF(01_因子設定!$B$13="最大化",AA969-01_因子設定!$B$14,IF(01_因子設定!$B$13="最小化",01_因子設定!$B$15-AB969,MIN(AA969-01_因子設定!$B$14,01_因子設定!$B$15-AB969))),-1E+030)</f>
        <v>-4.49137841433907</v>
      </c>
      <c r="AE969" s="55" t="n">
        <f aca="false">IF(AC969,IF(01_因子設定!$B$13="最大化",X969,IF(01_因子設定!$B$13="最小化",-X969,-ABS(X969-01_因子設定!$B$16))),-1E+030)</f>
        <v>43.5679641812866</v>
      </c>
      <c r="AF969" s="55" t="n">
        <f aca="false">AD969+ROW()*0.000000001</f>
        <v>-4.49137744533907</v>
      </c>
      <c r="AG969" s="55" t="n">
        <f aca="false">AE969+ROW()*0.000000001</f>
        <v>43.5679651502866</v>
      </c>
    </row>
    <row r="970" customFormat="false" ht="15" hidden="false" customHeight="false" outlineLevel="0" collapsed="false">
      <c r="A970" s="0" t="n">
        <v>1</v>
      </c>
      <c r="B970" s="0" t="n">
        <v>2</v>
      </c>
      <c r="C970" s="0" t="n">
        <v>8</v>
      </c>
      <c r="D970" s="0" t="n">
        <v>2</v>
      </c>
      <c r="E970" s="0" t="n">
        <f aca="false">-1+A970*0.25</f>
        <v>-0.75</v>
      </c>
      <c r="F970" s="0" t="n">
        <f aca="false">-1+B970*0.25</f>
        <v>-0.5</v>
      </c>
      <c r="G970" s="0" t="n">
        <f aca="false">-1+C970*0.25</f>
        <v>1</v>
      </c>
      <c r="H970" s="0" t="n">
        <f aca="false">-1+D970*0.25</f>
        <v>-0.5</v>
      </c>
      <c r="I970" s="0" t="n">
        <f aca="false">1</f>
        <v>1</v>
      </c>
      <c r="J970" s="0" t="n">
        <f aca="false">E970</f>
        <v>-0.75</v>
      </c>
      <c r="K970" s="0" t="n">
        <f aca="false">F970</f>
        <v>-0.5</v>
      </c>
      <c r="L970" s="0" t="n">
        <f aca="false">G970</f>
        <v>1</v>
      </c>
      <c r="M970" s="0" t="n">
        <f aca="false">H970</f>
        <v>-0.5</v>
      </c>
      <c r="N970" s="0" t="n">
        <f aca="false">E970*F970</f>
        <v>0.375</v>
      </c>
      <c r="O970" s="0" t="n">
        <f aca="false">E970*G970</f>
        <v>-0.75</v>
      </c>
      <c r="P970" s="0" t="n">
        <f aca="false">E970*H970</f>
        <v>0.375</v>
      </c>
      <c r="Q970" s="0" t="n">
        <f aca="false">F970*G970</f>
        <v>-0.5</v>
      </c>
      <c r="R970" s="0" t="n">
        <f aca="false">F970*H970</f>
        <v>0.25</v>
      </c>
      <c r="S970" s="0" t="n">
        <f aca="false">G970*H970</f>
        <v>-0.5</v>
      </c>
      <c r="T970" s="0" t="n">
        <f aca="false">E970*E970</f>
        <v>0.5625</v>
      </c>
      <c r="U970" s="0" t="n">
        <f aca="false">F970*F970</f>
        <v>0.25</v>
      </c>
      <c r="V970" s="0" t="n">
        <f aca="false">G970*G970</f>
        <v>1</v>
      </c>
      <c r="W970" s="0" t="n">
        <f aca="false">H970*H970</f>
        <v>0.25</v>
      </c>
      <c r="X970" s="0" t="n">
        <f aca="false">SUMPRODUCT(I970:W970,_XtX!$B$96:$P$96)</f>
        <v>43.8638706140351</v>
      </c>
      <c r="Y970" s="0" t="n">
        <f aca="false">SUMPRODUCT(MMULT(I970:W970,_XtX!$B$78:$P$92),I970:W970)</f>
        <v>0.42602110745614</v>
      </c>
      <c r="Z970" s="0" t="n">
        <f aca="false">04_回帰ANOVA!$K$19*04_回帰ANOVA!$K$14*SQRT(1+Y970)</f>
        <v>1.55654388501114</v>
      </c>
      <c r="AA970" s="0" t="n">
        <f aca="false">X970-Z970</f>
        <v>42.307326729024</v>
      </c>
      <c r="AB970" s="0" t="n">
        <f aca="false">X970+Z970</f>
        <v>45.4204144990462</v>
      </c>
      <c r="AC970" s="54" t="b">
        <f aca="false">AND(E970&gt;=01_因子設定!$L$5-0.000000001,E970&lt;=01_因子設定!$M$5+0.000000001,F970&gt;=01_因子設定!$L$6-0.000000001,F970&lt;=01_因子設定!$M$6+0.000000001,G970&gt;=01_因子設定!$L$7-0.000000001,G970&lt;=01_因子設定!$M$7+0.000000001,H970&gt;=01_因子設定!$L$8-0.000000001,H970&lt;=01_因子設定!$M$8+0.000000001,IF(01_因子設定!$B$20="Box-Behnken",E970^2+F970^2+G970^2+H970^2&lt;=2+0.000000001,TRUE()))</f>
        <v>1</v>
      </c>
      <c r="AD970" s="55" t="n">
        <f aca="false">IF(AC970,IF(01_因子設定!$B$13="最大化",AA970-01_因子設定!$B$14,IF(01_因子設定!$B$13="最小化",01_因子設定!$B$15-AB970,MIN(AA970-01_因子設定!$B$14,01_因子設定!$B$15-AB970))),-1E+030)</f>
        <v>-4.19267327097605</v>
      </c>
      <c r="AE970" s="55" t="n">
        <f aca="false">IF(AC970,IF(01_因子設定!$B$13="最大化",X970,IF(01_因子設定!$B$13="最小化",-X970,-ABS(X970-01_因子設定!$B$16))),-1E+030)</f>
        <v>43.8638706140351</v>
      </c>
      <c r="AF970" s="55" t="n">
        <f aca="false">AD970+ROW()*0.000000001</f>
        <v>-4.19267230097605</v>
      </c>
      <c r="AG970" s="55" t="n">
        <f aca="false">AE970+ROW()*0.000000001</f>
        <v>43.8638715840351</v>
      </c>
    </row>
    <row r="971" customFormat="false" ht="15" hidden="false" customHeight="false" outlineLevel="0" collapsed="false">
      <c r="A971" s="0" t="n">
        <v>1</v>
      </c>
      <c r="B971" s="0" t="n">
        <v>2</v>
      </c>
      <c r="C971" s="0" t="n">
        <v>8</v>
      </c>
      <c r="D971" s="0" t="n">
        <v>3</v>
      </c>
      <c r="E971" s="0" t="n">
        <f aca="false">-1+A971*0.25</f>
        <v>-0.75</v>
      </c>
      <c r="F971" s="0" t="n">
        <f aca="false">-1+B971*0.25</f>
        <v>-0.5</v>
      </c>
      <c r="G971" s="0" t="n">
        <f aca="false">-1+C971*0.25</f>
        <v>1</v>
      </c>
      <c r="H971" s="0" t="n">
        <f aca="false">-1+D971*0.25</f>
        <v>-0.25</v>
      </c>
      <c r="I971" s="0" t="n">
        <f aca="false">1</f>
        <v>1</v>
      </c>
      <c r="J971" s="0" t="n">
        <f aca="false">E971</f>
        <v>-0.75</v>
      </c>
      <c r="K971" s="0" t="n">
        <f aca="false">F971</f>
        <v>-0.5</v>
      </c>
      <c r="L971" s="0" t="n">
        <f aca="false">G971</f>
        <v>1</v>
      </c>
      <c r="M971" s="0" t="n">
        <f aca="false">H971</f>
        <v>-0.25</v>
      </c>
      <c r="N971" s="0" t="n">
        <f aca="false">E971*F971</f>
        <v>0.375</v>
      </c>
      <c r="O971" s="0" t="n">
        <f aca="false">E971*G971</f>
        <v>-0.75</v>
      </c>
      <c r="P971" s="0" t="n">
        <f aca="false">E971*H971</f>
        <v>0.1875</v>
      </c>
      <c r="Q971" s="0" t="n">
        <f aca="false">F971*G971</f>
        <v>-0.5</v>
      </c>
      <c r="R971" s="0" t="n">
        <f aca="false">F971*H971</f>
        <v>0.125</v>
      </c>
      <c r="S971" s="0" t="n">
        <f aca="false">G971*H971</f>
        <v>-0.25</v>
      </c>
      <c r="T971" s="0" t="n">
        <f aca="false">E971*E971</f>
        <v>0.5625</v>
      </c>
      <c r="U971" s="0" t="n">
        <f aca="false">F971*F971</f>
        <v>0.25</v>
      </c>
      <c r="V971" s="0" t="n">
        <f aca="false">G971*G971</f>
        <v>1</v>
      </c>
      <c r="W971" s="0" t="n">
        <f aca="false">H971*H971</f>
        <v>0.0625</v>
      </c>
      <c r="X971" s="0" t="n">
        <f aca="false">SUMPRODUCT(I971:W971,_XtX!$B$96:$P$96)</f>
        <v>44.1119700292398</v>
      </c>
      <c r="Y971" s="0" t="n">
        <f aca="false">SUMPRODUCT(MMULT(I971:W971,_XtX!$B$78:$P$92),I971:W971)</f>
        <v>0.459125719572369</v>
      </c>
      <c r="Z971" s="0" t="n">
        <f aca="false">04_回帰ANOVA!$K$19*04_回帰ANOVA!$K$14*SQRT(1+Y971)</f>
        <v>1.57450755575573</v>
      </c>
      <c r="AA971" s="0" t="n">
        <f aca="false">X971-Z971</f>
        <v>42.537462473484</v>
      </c>
      <c r="AB971" s="0" t="n">
        <f aca="false">X971+Z971</f>
        <v>45.6864775849955</v>
      </c>
      <c r="AC971" s="54" t="b">
        <f aca="false">AND(E971&gt;=01_因子設定!$L$5-0.000000001,E971&lt;=01_因子設定!$M$5+0.000000001,F971&gt;=01_因子設定!$L$6-0.000000001,F971&lt;=01_因子設定!$M$6+0.000000001,G971&gt;=01_因子設定!$L$7-0.000000001,G971&lt;=01_因子設定!$M$7+0.000000001,H971&gt;=01_因子設定!$L$8-0.000000001,H971&lt;=01_因子設定!$M$8+0.000000001,IF(01_因子設定!$B$20="Box-Behnken",E971^2+F971^2+G971^2+H971^2&lt;=2+0.000000001,TRUE()))</f>
        <v>1</v>
      </c>
      <c r="AD971" s="55" t="n">
        <f aca="false">IF(AC971,IF(01_因子設定!$B$13="最大化",AA971-01_因子設定!$B$14,IF(01_因子設定!$B$13="最小化",01_因子設定!$B$15-AB971,MIN(AA971-01_因子設定!$B$14,01_因子設定!$B$15-AB971))),-1E+030)</f>
        <v>-3.96253752651597</v>
      </c>
      <c r="AE971" s="55" t="n">
        <f aca="false">IF(AC971,IF(01_因子設定!$B$13="最大化",X971,IF(01_因子設定!$B$13="最小化",-X971,-ABS(X971-01_因子設定!$B$16))),-1E+030)</f>
        <v>44.1119700292398</v>
      </c>
      <c r="AF971" s="55" t="n">
        <f aca="false">AD971+ROW()*0.000000001</f>
        <v>-3.96253655551597</v>
      </c>
      <c r="AG971" s="55" t="n">
        <f aca="false">AE971+ROW()*0.000000001</f>
        <v>44.1119710002398</v>
      </c>
    </row>
    <row r="972" customFormat="false" ht="15" hidden="false" customHeight="false" outlineLevel="0" collapsed="false">
      <c r="A972" s="0" t="n">
        <v>1</v>
      </c>
      <c r="B972" s="0" t="n">
        <v>2</v>
      </c>
      <c r="C972" s="0" t="n">
        <v>8</v>
      </c>
      <c r="D972" s="0" t="n">
        <v>4</v>
      </c>
      <c r="E972" s="0" t="n">
        <f aca="false">-1+A972*0.25</f>
        <v>-0.75</v>
      </c>
      <c r="F972" s="0" t="n">
        <f aca="false">-1+B972*0.25</f>
        <v>-0.5</v>
      </c>
      <c r="G972" s="0" t="n">
        <f aca="false">-1+C972*0.25</f>
        <v>1</v>
      </c>
      <c r="H972" s="0" t="n">
        <f aca="false">-1+D972*0.25</f>
        <v>0</v>
      </c>
      <c r="I972" s="0" t="n">
        <f aca="false">1</f>
        <v>1</v>
      </c>
      <c r="J972" s="0" t="n">
        <f aca="false">E972</f>
        <v>-0.75</v>
      </c>
      <c r="K972" s="0" t="n">
        <f aca="false">F972</f>
        <v>-0.5</v>
      </c>
      <c r="L972" s="0" t="n">
        <f aca="false">G972</f>
        <v>1</v>
      </c>
      <c r="M972" s="0" t="n">
        <f aca="false">H972</f>
        <v>0</v>
      </c>
      <c r="N972" s="0" t="n">
        <f aca="false">E972*F972</f>
        <v>0.375</v>
      </c>
      <c r="O972" s="0" t="n">
        <f aca="false">E972*G972</f>
        <v>-0.75</v>
      </c>
      <c r="P972" s="0" t="n">
        <f aca="false">E972*H972</f>
        <v>-0</v>
      </c>
      <c r="Q972" s="0" t="n">
        <f aca="false">F972*G972</f>
        <v>-0.5</v>
      </c>
      <c r="R972" s="0" t="n">
        <f aca="false">F972*H972</f>
        <v>-0</v>
      </c>
      <c r="S972" s="0" t="n">
        <f aca="false">G972*H972</f>
        <v>0</v>
      </c>
      <c r="T972" s="0" t="n">
        <f aca="false">E972*E972</f>
        <v>0.5625</v>
      </c>
      <c r="U972" s="0" t="n">
        <f aca="false">F972*F972</f>
        <v>0.25</v>
      </c>
      <c r="V972" s="0" t="n">
        <f aca="false">G972*G972</f>
        <v>1</v>
      </c>
      <c r="W972" s="0" t="n">
        <f aca="false">H972*H972</f>
        <v>0</v>
      </c>
      <c r="X972" s="0" t="n">
        <f aca="false">SUMPRODUCT(I972:W972,_XtX!$B$96:$P$96)</f>
        <v>44.3122624269006</v>
      </c>
      <c r="Y972" s="0" t="n">
        <f aca="false">SUMPRODUCT(MMULT(I972:W972,_XtX!$B$78:$P$92),I972:W972)</f>
        <v>0.476191292032164</v>
      </c>
      <c r="Z972" s="0" t="n">
        <f aca="false">04_回帰ANOVA!$K$19*04_回帰ANOVA!$K$14*SQRT(1+Y972)</f>
        <v>1.58368831471718</v>
      </c>
      <c r="AA972" s="0" t="n">
        <f aca="false">X972-Z972</f>
        <v>42.7285741121834</v>
      </c>
      <c r="AB972" s="0" t="n">
        <f aca="false">X972+Z972</f>
        <v>45.8959507416178</v>
      </c>
      <c r="AC972" s="54" t="b">
        <f aca="false">AND(E972&gt;=01_因子設定!$L$5-0.000000001,E972&lt;=01_因子設定!$M$5+0.000000001,F972&gt;=01_因子設定!$L$6-0.000000001,F972&lt;=01_因子設定!$M$6+0.000000001,G972&gt;=01_因子設定!$L$7-0.000000001,G972&lt;=01_因子設定!$M$7+0.000000001,H972&gt;=01_因子設定!$L$8-0.000000001,H972&lt;=01_因子設定!$M$8+0.000000001,IF(01_因子設定!$B$20="Box-Behnken",E972^2+F972^2+G972^2+H972^2&lt;=2+0.000000001,TRUE()))</f>
        <v>1</v>
      </c>
      <c r="AD972" s="55" t="n">
        <f aca="false">IF(AC972,IF(01_因子設定!$B$13="最大化",AA972-01_因子設定!$B$14,IF(01_因子設定!$B$13="最小化",01_因子設定!$B$15-AB972,MIN(AA972-01_因子設定!$B$14,01_因子設定!$B$15-AB972))),-1E+030)</f>
        <v>-3.77142588781661</v>
      </c>
      <c r="AE972" s="55" t="n">
        <f aca="false">IF(AC972,IF(01_因子設定!$B$13="最大化",X972,IF(01_因子設定!$B$13="最小化",-X972,-ABS(X972-01_因子設定!$B$16))),-1E+030)</f>
        <v>44.3122624269006</v>
      </c>
      <c r="AF972" s="55" t="n">
        <f aca="false">AD972+ROW()*0.000000001</f>
        <v>-3.77142491581661</v>
      </c>
      <c r="AG972" s="55" t="n">
        <f aca="false">AE972+ROW()*0.000000001</f>
        <v>44.3122633989006</v>
      </c>
    </row>
    <row r="973" customFormat="false" ht="15" hidden="false" customHeight="false" outlineLevel="0" collapsed="false">
      <c r="A973" s="0" t="n">
        <v>1</v>
      </c>
      <c r="B973" s="0" t="n">
        <v>2</v>
      </c>
      <c r="C973" s="0" t="n">
        <v>8</v>
      </c>
      <c r="D973" s="0" t="n">
        <v>5</v>
      </c>
      <c r="E973" s="0" t="n">
        <f aca="false">-1+A973*0.25</f>
        <v>-0.75</v>
      </c>
      <c r="F973" s="0" t="n">
        <f aca="false">-1+B973*0.25</f>
        <v>-0.5</v>
      </c>
      <c r="G973" s="0" t="n">
        <f aca="false">-1+C973*0.25</f>
        <v>1</v>
      </c>
      <c r="H973" s="0" t="n">
        <f aca="false">-1+D973*0.25</f>
        <v>0.25</v>
      </c>
      <c r="I973" s="0" t="n">
        <f aca="false">1</f>
        <v>1</v>
      </c>
      <c r="J973" s="0" t="n">
        <f aca="false">E973</f>
        <v>-0.75</v>
      </c>
      <c r="K973" s="0" t="n">
        <f aca="false">F973</f>
        <v>-0.5</v>
      </c>
      <c r="L973" s="0" t="n">
        <f aca="false">G973</f>
        <v>1</v>
      </c>
      <c r="M973" s="0" t="n">
        <f aca="false">H973</f>
        <v>0.25</v>
      </c>
      <c r="N973" s="0" t="n">
        <f aca="false">E973*F973</f>
        <v>0.375</v>
      </c>
      <c r="O973" s="0" t="n">
        <f aca="false">E973*G973</f>
        <v>-0.75</v>
      </c>
      <c r="P973" s="0" t="n">
        <f aca="false">E973*H973</f>
        <v>-0.1875</v>
      </c>
      <c r="Q973" s="0" t="n">
        <f aca="false">F973*G973</f>
        <v>-0.5</v>
      </c>
      <c r="R973" s="0" t="n">
        <f aca="false">F973*H973</f>
        <v>-0.125</v>
      </c>
      <c r="S973" s="0" t="n">
        <f aca="false">G973*H973</f>
        <v>0.25</v>
      </c>
      <c r="T973" s="0" t="n">
        <f aca="false">E973*E973</f>
        <v>0.5625</v>
      </c>
      <c r="U973" s="0" t="n">
        <f aca="false">F973*F973</f>
        <v>0.25</v>
      </c>
      <c r="V973" s="0" t="n">
        <f aca="false">G973*G973</f>
        <v>1</v>
      </c>
      <c r="W973" s="0" t="n">
        <f aca="false">H973*H973</f>
        <v>0.0625</v>
      </c>
      <c r="X973" s="0" t="n">
        <f aca="false">SUMPRODUCT(I973:W973,_XtX!$B$96:$P$96)</f>
        <v>44.4647478070175</v>
      </c>
      <c r="Y973" s="0" t="n">
        <f aca="false">SUMPRODUCT(MMULT(I973:W973,_XtX!$B$78:$P$92),I973:W973)</f>
        <v>0.459125719572369</v>
      </c>
      <c r="Z973" s="0" t="n">
        <f aca="false">04_回帰ANOVA!$K$19*04_回帰ANOVA!$K$14*SQRT(1+Y973)</f>
        <v>1.57450755575573</v>
      </c>
      <c r="AA973" s="0" t="n">
        <f aca="false">X973-Z973</f>
        <v>42.8902402512618</v>
      </c>
      <c r="AB973" s="0" t="n">
        <f aca="false">X973+Z973</f>
        <v>46.0392553627733</v>
      </c>
      <c r="AC973" s="54" t="b">
        <f aca="false">AND(E973&gt;=01_因子設定!$L$5-0.000000001,E973&lt;=01_因子設定!$M$5+0.000000001,F973&gt;=01_因子設定!$L$6-0.000000001,F973&lt;=01_因子設定!$M$6+0.000000001,G973&gt;=01_因子設定!$L$7-0.000000001,G973&lt;=01_因子設定!$M$7+0.000000001,H973&gt;=01_因子設定!$L$8-0.000000001,H973&lt;=01_因子設定!$M$8+0.000000001,IF(01_因子設定!$B$20="Box-Behnken",E973^2+F973^2+G973^2+H973^2&lt;=2+0.000000001,TRUE()))</f>
        <v>1</v>
      </c>
      <c r="AD973" s="55" t="n">
        <f aca="false">IF(AC973,IF(01_因子設定!$B$13="最大化",AA973-01_因子設定!$B$14,IF(01_因子設定!$B$13="最小化",01_因子設定!$B$15-AB973,MIN(AA973-01_因子設定!$B$14,01_因子設定!$B$15-AB973))),-1E+030)</f>
        <v>-3.60975974873819</v>
      </c>
      <c r="AE973" s="55" t="n">
        <f aca="false">IF(AC973,IF(01_因子設定!$B$13="最大化",X973,IF(01_因子設定!$B$13="最小化",-X973,-ABS(X973-01_因子設定!$B$16))),-1E+030)</f>
        <v>44.4647478070175</v>
      </c>
      <c r="AF973" s="55" t="n">
        <f aca="false">AD973+ROW()*0.000000001</f>
        <v>-3.60975877573819</v>
      </c>
      <c r="AG973" s="55" t="n">
        <f aca="false">AE973+ROW()*0.000000001</f>
        <v>44.4647487800175</v>
      </c>
    </row>
    <row r="974" customFormat="false" ht="15" hidden="false" customHeight="false" outlineLevel="0" collapsed="false">
      <c r="A974" s="0" t="n">
        <v>1</v>
      </c>
      <c r="B974" s="0" t="n">
        <v>2</v>
      </c>
      <c r="C974" s="0" t="n">
        <v>8</v>
      </c>
      <c r="D974" s="0" t="n">
        <v>6</v>
      </c>
      <c r="E974" s="0" t="n">
        <f aca="false">-1+A974*0.25</f>
        <v>-0.75</v>
      </c>
      <c r="F974" s="0" t="n">
        <f aca="false">-1+B974*0.25</f>
        <v>-0.5</v>
      </c>
      <c r="G974" s="0" t="n">
        <f aca="false">-1+C974*0.25</f>
        <v>1</v>
      </c>
      <c r="H974" s="0" t="n">
        <f aca="false">-1+D974*0.25</f>
        <v>0.5</v>
      </c>
      <c r="I974" s="0" t="n">
        <f aca="false">1</f>
        <v>1</v>
      </c>
      <c r="J974" s="0" t="n">
        <f aca="false">E974</f>
        <v>-0.75</v>
      </c>
      <c r="K974" s="0" t="n">
        <f aca="false">F974</f>
        <v>-0.5</v>
      </c>
      <c r="L974" s="0" t="n">
        <f aca="false">G974</f>
        <v>1</v>
      </c>
      <c r="M974" s="0" t="n">
        <f aca="false">H974</f>
        <v>0.5</v>
      </c>
      <c r="N974" s="0" t="n">
        <f aca="false">E974*F974</f>
        <v>0.375</v>
      </c>
      <c r="O974" s="0" t="n">
        <f aca="false">E974*G974</f>
        <v>-0.75</v>
      </c>
      <c r="P974" s="0" t="n">
        <f aca="false">E974*H974</f>
        <v>-0.375</v>
      </c>
      <c r="Q974" s="0" t="n">
        <f aca="false">F974*G974</f>
        <v>-0.5</v>
      </c>
      <c r="R974" s="0" t="n">
        <f aca="false">F974*H974</f>
        <v>-0.25</v>
      </c>
      <c r="S974" s="0" t="n">
        <f aca="false">G974*H974</f>
        <v>0.5</v>
      </c>
      <c r="T974" s="0" t="n">
        <f aca="false">E974*E974</f>
        <v>0.5625</v>
      </c>
      <c r="U974" s="0" t="n">
        <f aca="false">F974*F974</f>
        <v>0.25</v>
      </c>
      <c r="V974" s="0" t="n">
        <f aca="false">G974*G974</f>
        <v>1</v>
      </c>
      <c r="W974" s="0" t="n">
        <f aca="false">H974*H974</f>
        <v>0.25</v>
      </c>
      <c r="X974" s="0" t="n">
        <f aca="false">SUMPRODUCT(I974:W974,_XtX!$B$96:$P$96)</f>
        <v>44.5694261695906</v>
      </c>
      <c r="Y974" s="0" t="n">
        <f aca="false">SUMPRODUCT(MMULT(I974:W974,_XtX!$B$78:$P$92),I974:W974)</f>
        <v>0.42602110745614</v>
      </c>
      <c r="Z974" s="0" t="n">
        <f aca="false">04_回帰ANOVA!$K$19*04_回帰ANOVA!$K$14*SQRT(1+Y974)</f>
        <v>1.55654388501114</v>
      </c>
      <c r="AA974" s="0" t="n">
        <f aca="false">X974-Z974</f>
        <v>43.0128822845795</v>
      </c>
      <c r="AB974" s="0" t="n">
        <f aca="false">X974+Z974</f>
        <v>46.1259700546018</v>
      </c>
      <c r="AC974" s="54" t="b">
        <f aca="false">AND(E974&gt;=01_因子設定!$L$5-0.000000001,E974&lt;=01_因子設定!$M$5+0.000000001,F974&gt;=01_因子設定!$L$6-0.000000001,F974&lt;=01_因子設定!$M$6+0.000000001,G974&gt;=01_因子設定!$L$7-0.000000001,G974&lt;=01_因子設定!$M$7+0.000000001,H974&gt;=01_因子設定!$L$8-0.000000001,H974&lt;=01_因子設定!$M$8+0.000000001,IF(01_因子設定!$B$20="Box-Behnken",E974^2+F974^2+G974^2+H974^2&lt;=2+0.000000001,TRUE()))</f>
        <v>1</v>
      </c>
      <c r="AD974" s="55" t="n">
        <f aca="false">IF(AC974,IF(01_因子設定!$B$13="最大化",AA974-01_因子設定!$B$14,IF(01_因子設定!$B$13="最小化",01_因子設定!$B$15-AB974,MIN(AA974-01_因子設定!$B$14,01_因子設定!$B$15-AB974))),-1E+030)</f>
        <v>-3.4871177154205</v>
      </c>
      <c r="AE974" s="55" t="n">
        <f aca="false">IF(AC974,IF(01_因子設定!$B$13="最大化",X974,IF(01_因子設定!$B$13="最小化",-X974,-ABS(X974-01_因子設定!$B$16))),-1E+030)</f>
        <v>44.5694261695906</v>
      </c>
      <c r="AF974" s="55" t="n">
        <f aca="false">AD974+ROW()*0.000000001</f>
        <v>-3.4871167414205</v>
      </c>
      <c r="AG974" s="55" t="n">
        <f aca="false">AE974+ROW()*0.000000001</f>
        <v>44.5694271435906</v>
      </c>
    </row>
    <row r="975" customFormat="false" ht="15" hidden="false" customHeight="false" outlineLevel="0" collapsed="false">
      <c r="A975" s="0" t="n">
        <v>1</v>
      </c>
      <c r="B975" s="0" t="n">
        <v>2</v>
      </c>
      <c r="C975" s="0" t="n">
        <v>8</v>
      </c>
      <c r="D975" s="0" t="n">
        <v>7</v>
      </c>
      <c r="E975" s="0" t="n">
        <f aca="false">-1+A975*0.25</f>
        <v>-0.75</v>
      </c>
      <c r="F975" s="0" t="n">
        <f aca="false">-1+B975*0.25</f>
        <v>-0.5</v>
      </c>
      <c r="G975" s="0" t="n">
        <f aca="false">-1+C975*0.25</f>
        <v>1</v>
      </c>
      <c r="H975" s="0" t="n">
        <f aca="false">-1+D975*0.25</f>
        <v>0.75</v>
      </c>
      <c r="I975" s="0" t="n">
        <f aca="false">1</f>
        <v>1</v>
      </c>
      <c r="J975" s="0" t="n">
        <f aca="false">E975</f>
        <v>-0.75</v>
      </c>
      <c r="K975" s="0" t="n">
        <f aca="false">F975</f>
        <v>-0.5</v>
      </c>
      <c r="L975" s="0" t="n">
        <f aca="false">G975</f>
        <v>1</v>
      </c>
      <c r="M975" s="0" t="n">
        <f aca="false">H975</f>
        <v>0.75</v>
      </c>
      <c r="N975" s="0" t="n">
        <f aca="false">E975*F975</f>
        <v>0.375</v>
      </c>
      <c r="O975" s="0" t="n">
        <f aca="false">E975*G975</f>
        <v>-0.75</v>
      </c>
      <c r="P975" s="0" t="n">
        <f aca="false">E975*H975</f>
        <v>-0.5625</v>
      </c>
      <c r="Q975" s="0" t="n">
        <f aca="false">F975*G975</f>
        <v>-0.5</v>
      </c>
      <c r="R975" s="0" t="n">
        <f aca="false">F975*H975</f>
        <v>-0.375</v>
      </c>
      <c r="S975" s="0" t="n">
        <f aca="false">G975*H975</f>
        <v>0.75</v>
      </c>
      <c r="T975" s="0" t="n">
        <f aca="false">E975*E975</f>
        <v>0.5625</v>
      </c>
      <c r="U975" s="0" t="n">
        <f aca="false">F975*F975</f>
        <v>0.25</v>
      </c>
      <c r="V975" s="0" t="n">
        <f aca="false">G975*G975</f>
        <v>1</v>
      </c>
      <c r="W975" s="0" t="n">
        <f aca="false">H975*H975</f>
        <v>0.5625</v>
      </c>
      <c r="X975" s="0" t="n">
        <f aca="false">SUMPRODUCT(I975:W975,_XtX!$B$96:$P$96)</f>
        <v>44.6262975146199</v>
      </c>
      <c r="Y975" s="0" t="n">
        <f aca="false">SUMPRODUCT(MMULT(I975:W975,_XtX!$B$78:$P$92),I975:W975)</f>
        <v>0.431153771472953</v>
      </c>
      <c r="Z975" s="0" t="n">
        <f aca="false">04_回帰ANOVA!$K$19*04_回帰ANOVA!$K$14*SQRT(1+Y975)</f>
        <v>1.55934259562563</v>
      </c>
      <c r="AA975" s="0" t="n">
        <f aca="false">X975-Z975</f>
        <v>43.0669549189943</v>
      </c>
      <c r="AB975" s="0" t="n">
        <f aca="false">X975+Z975</f>
        <v>46.1856401102455</v>
      </c>
      <c r="AC975" s="54" t="b">
        <f aca="false">AND(E975&gt;=01_因子設定!$L$5-0.000000001,E975&lt;=01_因子設定!$M$5+0.000000001,F975&gt;=01_因子設定!$L$6-0.000000001,F975&lt;=01_因子設定!$M$6+0.000000001,G975&gt;=01_因子設定!$L$7-0.000000001,G975&lt;=01_因子設定!$M$7+0.000000001,H975&gt;=01_因子設定!$L$8-0.000000001,H975&lt;=01_因子設定!$M$8+0.000000001,IF(01_因子設定!$B$20="Box-Behnken",E975^2+F975^2+G975^2+H975^2&lt;=2+0.000000001,TRUE()))</f>
        <v>1</v>
      </c>
      <c r="AD975" s="55" t="n">
        <f aca="false">IF(AC975,IF(01_因子設定!$B$13="最大化",AA975-01_因子設定!$B$14,IF(01_因子設定!$B$13="最小化",01_因子設定!$B$15-AB975,MIN(AA975-01_因子設定!$B$14,01_因子設定!$B$15-AB975))),-1E+030)</f>
        <v>-3.43304508100574</v>
      </c>
      <c r="AE975" s="55" t="n">
        <f aca="false">IF(AC975,IF(01_因子設定!$B$13="最大化",X975,IF(01_因子設定!$B$13="最小化",-X975,-ABS(X975-01_因子設定!$B$16))),-1E+030)</f>
        <v>44.6262975146199</v>
      </c>
      <c r="AF975" s="55" t="n">
        <f aca="false">AD975+ROW()*0.000000001</f>
        <v>-3.43304410600574</v>
      </c>
      <c r="AG975" s="55" t="n">
        <f aca="false">AE975+ROW()*0.000000001</f>
        <v>44.6262984896199</v>
      </c>
    </row>
    <row r="976" customFormat="false" ht="15" hidden="false" customHeight="false" outlineLevel="0" collapsed="false">
      <c r="A976" s="0" t="n">
        <v>1</v>
      </c>
      <c r="B976" s="0" t="n">
        <v>2</v>
      </c>
      <c r="C976" s="0" t="n">
        <v>8</v>
      </c>
      <c r="D976" s="0" t="n">
        <v>8</v>
      </c>
      <c r="E976" s="0" t="n">
        <f aca="false">-1+A976*0.25</f>
        <v>-0.75</v>
      </c>
      <c r="F976" s="0" t="n">
        <f aca="false">-1+B976*0.25</f>
        <v>-0.5</v>
      </c>
      <c r="G976" s="0" t="n">
        <f aca="false">-1+C976*0.25</f>
        <v>1</v>
      </c>
      <c r="H976" s="0" t="n">
        <f aca="false">-1+D976*0.25</f>
        <v>1</v>
      </c>
      <c r="I976" s="0" t="n">
        <f aca="false">1</f>
        <v>1</v>
      </c>
      <c r="J976" s="0" t="n">
        <f aca="false">E976</f>
        <v>-0.75</v>
      </c>
      <c r="K976" s="0" t="n">
        <f aca="false">F976</f>
        <v>-0.5</v>
      </c>
      <c r="L976" s="0" t="n">
        <f aca="false">G976</f>
        <v>1</v>
      </c>
      <c r="M976" s="0" t="n">
        <f aca="false">H976</f>
        <v>1</v>
      </c>
      <c r="N976" s="0" t="n">
        <f aca="false">E976*F976</f>
        <v>0.375</v>
      </c>
      <c r="O976" s="0" t="n">
        <f aca="false">E976*G976</f>
        <v>-0.75</v>
      </c>
      <c r="P976" s="0" t="n">
        <f aca="false">E976*H976</f>
        <v>-0.75</v>
      </c>
      <c r="Q976" s="0" t="n">
        <f aca="false">F976*G976</f>
        <v>-0.5</v>
      </c>
      <c r="R976" s="0" t="n">
        <f aca="false">F976*H976</f>
        <v>-0.5</v>
      </c>
      <c r="S976" s="0" t="n">
        <f aca="false">G976*H976</f>
        <v>1</v>
      </c>
      <c r="T976" s="0" t="n">
        <f aca="false">E976*E976</f>
        <v>0.5625</v>
      </c>
      <c r="U976" s="0" t="n">
        <f aca="false">F976*F976</f>
        <v>0.25</v>
      </c>
      <c r="V976" s="0" t="n">
        <f aca="false">G976*G976</f>
        <v>1</v>
      </c>
      <c r="W976" s="0" t="n">
        <f aca="false">H976*H976</f>
        <v>1</v>
      </c>
      <c r="X976" s="0" t="n">
        <f aca="false">SUMPRODUCT(I976:W976,_XtX!$B$96:$P$96)</f>
        <v>44.6353618421053</v>
      </c>
      <c r="Y976" s="0" t="n">
        <f aca="false">SUMPRODUCT(MMULT(I976:W976,_XtX!$B$78:$P$92),I976:W976)</f>
        <v>0.564984237938597</v>
      </c>
      <c r="Z976" s="0" t="n">
        <f aca="false">04_回帰ANOVA!$K$19*04_回帰ANOVA!$K$14*SQRT(1+Y976)</f>
        <v>1.63062229734503</v>
      </c>
      <c r="AA976" s="0" t="n">
        <f aca="false">X976-Z976</f>
        <v>43.0047395447603</v>
      </c>
      <c r="AB976" s="0" t="n">
        <f aca="false">X976+Z976</f>
        <v>46.2659841394503</v>
      </c>
      <c r="AC976" s="54" t="b">
        <f aca="false">AND(E976&gt;=01_因子設定!$L$5-0.000000001,E976&lt;=01_因子設定!$M$5+0.000000001,F976&gt;=01_因子設定!$L$6-0.000000001,F976&lt;=01_因子設定!$M$6+0.000000001,G976&gt;=01_因子設定!$L$7-0.000000001,G976&lt;=01_因子設定!$M$7+0.000000001,H976&gt;=01_因子設定!$L$8-0.000000001,H976&lt;=01_因子設定!$M$8+0.000000001,IF(01_因子設定!$B$20="Box-Behnken",E976^2+F976^2+G976^2+H976^2&lt;=2+0.000000001,TRUE()))</f>
        <v>1</v>
      </c>
      <c r="AD976" s="55" t="n">
        <f aca="false">IF(AC976,IF(01_因子設定!$B$13="最大化",AA976-01_因子設定!$B$14,IF(01_因子設定!$B$13="最小化",01_因子設定!$B$15-AB976,MIN(AA976-01_因子設定!$B$14,01_因子設定!$B$15-AB976))),-1E+030)</f>
        <v>-3.49526045523974</v>
      </c>
      <c r="AE976" s="55" t="n">
        <f aca="false">IF(AC976,IF(01_因子設定!$B$13="最大化",X976,IF(01_因子設定!$B$13="最小化",-X976,-ABS(X976-01_因子設定!$B$16))),-1E+030)</f>
        <v>44.6353618421053</v>
      </c>
      <c r="AF976" s="55" t="n">
        <f aca="false">AD976+ROW()*0.000000001</f>
        <v>-3.49525947923974</v>
      </c>
      <c r="AG976" s="55" t="n">
        <f aca="false">AE976+ROW()*0.000000001</f>
        <v>44.6353628181053</v>
      </c>
    </row>
    <row r="977" customFormat="false" ht="15" hidden="false" customHeight="false" outlineLevel="0" collapsed="false">
      <c r="A977" s="0" t="n">
        <v>1</v>
      </c>
      <c r="B977" s="0" t="n">
        <v>3</v>
      </c>
      <c r="C977" s="0" t="n">
        <v>0</v>
      </c>
      <c r="D977" s="0" t="n">
        <v>0</v>
      </c>
      <c r="E977" s="0" t="n">
        <f aca="false">-1+A977*0.25</f>
        <v>-0.75</v>
      </c>
      <c r="F977" s="0" t="n">
        <f aca="false">-1+B977*0.25</f>
        <v>-0.25</v>
      </c>
      <c r="G977" s="0" t="n">
        <f aca="false">-1+C977*0.25</f>
        <v>-1</v>
      </c>
      <c r="H977" s="0" t="n">
        <f aca="false">-1+D977*0.25</f>
        <v>-1</v>
      </c>
      <c r="I977" s="0" t="n">
        <f aca="false">1</f>
        <v>1</v>
      </c>
      <c r="J977" s="0" t="n">
        <f aca="false">E977</f>
        <v>-0.75</v>
      </c>
      <c r="K977" s="0" t="n">
        <f aca="false">F977</f>
        <v>-0.25</v>
      </c>
      <c r="L977" s="0" t="n">
        <f aca="false">G977</f>
        <v>-1</v>
      </c>
      <c r="M977" s="0" t="n">
        <f aca="false">H977</f>
        <v>-1</v>
      </c>
      <c r="N977" s="0" t="n">
        <f aca="false">E977*F977</f>
        <v>0.1875</v>
      </c>
      <c r="O977" s="0" t="n">
        <f aca="false">E977*G977</f>
        <v>0.75</v>
      </c>
      <c r="P977" s="0" t="n">
        <f aca="false">E977*H977</f>
        <v>0.75</v>
      </c>
      <c r="Q977" s="0" t="n">
        <f aca="false">F977*G977</f>
        <v>0.25</v>
      </c>
      <c r="R977" s="0" t="n">
        <f aca="false">F977*H977</f>
        <v>0.25</v>
      </c>
      <c r="S977" s="0" t="n">
        <f aca="false">G977*H977</f>
        <v>1</v>
      </c>
      <c r="T977" s="0" t="n">
        <f aca="false">E977*E977</f>
        <v>0.5625</v>
      </c>
      <c r="U977" s="0" t="n">
        <f aca="false">F977*F977</f>
        <v>0.0625</v>
      </c>
      <c r="V977" s="0" t="n">
        <f aca="false">G977*G977</f>
        <v>1</v>
      </c>
      <c r="W977" s="0" t="n">
        <f aca="false">H977*H977</f>
        <v>1</v>
      </c>
      <c r="X977" s="0" t="n">
        <f aca="false">SUMPRODUCT(I977:W977,_XtX!$B$96:$P$96)</f>
        <v>41.9419682017544</v>
      </c>
      <c r="Y977" s="0" t="n">
        <f aca="false">SUMPRODUCT(MMULT(I977:W977,_XtX!$B$78:$P$92),I977:W977)</f>
        <v>0.621372155975877</v>
      </c>
      <c r="Z977" s="0" t="n">
        <f aca="false">04_回帰ANOVA!$K$19*04_回帰ANOVA!$K$14*SQRT(1+Y977)</f>
        <v>1.65973880499872</v>
      </c>
      <c r="AA977" s="0" t="n">
        <f aca="false">X977-Z977</f>
        <v>40.2822293967557</v>
      </c>
      <c r="AB977" s="0" t="n">
        <f aca="false">X977+Z977</f>
        <v>43.6017070067531</v>
      </c>
      <c r="AC977" s="54" t="b">
        <f aca="false">AND(E977&gt;=01_因子設定!$L$5-0.000000001,E977&lt;=01_因子設定!$M$5+0.000000001,F977&gt;=01_因子設定!$L$6-0.000000001,F977&lt;=01_因子設定!$M$6+0.000000001,G977&gt;=01_因子設定!$L$7-0.000000001,G977&lt;=01_因子設定!$M$7+0.000000001,H977&gt;=01_因子設定!$L$8-0.000000001,H977&lt;=01_因子設定!$M$8+0.000000001,IF(01_因子設定!$B$20="Box-Behnken",E977^2+F977^2+G977^2+H977^2&lt;=2+0.000000001,TRUE()))</f>
        <v>1</v>
      </c>
      <c r="AD977" s="55" t="n">
        <f aca="false">IF(AC977,IF(01_因子設定!$B$13="最大化",AA977-01_因子設定!$B$14,IF(01_因子設定!$B$13="最小化",01_因子設定!$B$15-AB977,MIN(AA977-01_因子設定!$B$14,01_因子設定!$B$15-AB977))),-1E+030)</f>
        <v>-6.2177706032443</v>
      </c>
      <c r="AE977" s="55" t="n">
        <f aca="false">IF(AC977,IF(01_因子設定!$B$13="最大化",X977,IF(01_因子設定!$B$13="最小化",-X977,-ABS(X977-01_因子設定!$B$16))),-1E+030)</f>
        <v>41.9419682017544</v>
      </c>
      <c r="AF977" s="55" t="n">
        <f aca="false">AD977+ROW()*0.000000001</f>
        <v>-6.2177696262443</v>
      </c>
      <c r="AG977" s="55" t="n">
        <f aca="false">AE977+ROW()*0.000000001</f>
        <v>41.9419691787544</v>
      </c>
    </row>
    <row r="978" customFormat="false" ht="15" hidden="false" customHeight="false" outlineLevel="0" collapsed="false">
      <c r="A978" s="0" t="n">
        <v>1</v>
      </c>
      <c r="B978" s="0" t="n">
        <v>3</v>
      </c>
      <c r="C978" s="0" t="n">
        <v>0</v>
      </c>
      <c r="D978" s="0" t="n">
        <v>1</v>
      </c>
      <c r="E978" s="0" t="n">
        <f aca="false">-1+A978*0.25</f>
        <v>-0.75</v>
      </c>
      <c r="F978" s="0" t="n">
        <f aca="false">-1+B978*0.25</f>
        <v>-0.25</v>
      </c>
      <c r="G978" s="0" t="n">
        <f aca="false">-1+C978*0.25</f>
        <v>-1</v>
      </c>
      <c r="H978" s="0" t="n">
        <f aca="false">-1+D978*0.25</f>
        <v>-0.75</v>
      </c>
      <c r="I978" s="0" t="n">
        <f aca="false">1</f>
        <v>1</v>
      </c>
      <c r="J978" s="0" t="n">
        <f aca="false">E978</f>
        <v>-0.75</v>
      </c>
      <c r="K978" s="0" t="n">
        <f aca="false">F978</f>
        <v>-0.25</v>
      </c>
      <c r="L978" s="0" t="n">
        <f aca="false">G978</f>
        <v>-1</v>
      </c>
      <c r="M978" s="0" t="n">
        <f aca="false">H978</f>
        <v>-0.75</v>
      </c>
      <c r="N978" s="0" t="n">
        <f aca="false">E978*F978</f>
        <v>0.1875</v>
      </c>
      <c r="O978" s="0" t="n">
        <f aca="false">E978*G978</f>
        <v>0.75</v>
      </c>
      <c r="P978" s="0" t="n">
        <f aca="false">E978*H978</f>
        <v>0.5625</v>
      </c>
      <c r="Q978" s="0" t="n">
        <f aca="false">F978*G978</f>
        <v>0.25</v>
      </c>
      <c r="R978" s="0" t="n">
        <f aca="false">F978*H978</f>
        <v>0.1875</v>
      </c>
      <c r="S978" s="0" t="n">
        <f aca="false">G978*H978</f>
        <v>0.75</v>
      </c>
      <c r="T978" s="0" t="n">
        <f aca="false">E978*E978</f>
        <v>0.5625</v>
      </c>
      <c r="U978" s="0" t="n">
        <f aca="false">F978*F978</f>
        <v>0.0625</v>
      </c>
      <c r="V978" s="0" t="n">
        <f aca="false">G978*G978</f>
        <v>1</v>
      </c>
      <c r="W978" s="0" t="n">
        <f aca="false">H978*H978</f>
        <v>0.5625</v>
      </c>
      <c r="X978" s="0" t="n">
        <f aca="false">SUMPRODUCT(I978:W978,_XtX!$B$96:$P$96)</f>
        <v>42.1286504020468</v>
      </c>
      <c r="Y978" s="0" t="n">
        <f aca="false">SUMPRODUCT(MMULT(I978:W978,_XtX!$B$78:$P$92),I978:W978)</f>
        <v>0.473959761056287</v>
      </c>
      <c r="Z978" s="0" t="n">
        <f aca="false">04_回帰ANOVA!$K$19*04_回帰ANOVA!$K$14*SQRT(1+Y978)</f>
        <v>1.58249084588329</v>
      </c>
      <c r="AA978" s="0" t="n">
        <f aca="false">X978-Z978</f>
        <v>40.5461595561635</v>
      </c>
      <c r="AB978" s="0" t="n">
        <f aca="false">X978+Z978</f>
        <v>43.7111412479301</v>
      </c>
      <c r="AC978" s="54" t="b">
        <f aca="false">AND(E978&gt;=01_因子設定!$L$5-0.000000001,E978&lt;=01_因子設定!$M$5+0.000000001,F978&gt;=01_因子設定!$L$6-0.000000001,F978&lt;=01_因子設定!$M$6+0.000000001,G978&gt;=01_因子設定!$L$7-0.000000001,G978&lt;=01_因子設定!$M$7+0.000000001,H978&gt;=01_因子設定!$L$8-0.000000001,H978&lt;=01_因子設定!$M$8+0.000000001,IF(01_因子設定!$B$20="Box-Behnken",E978^2+F978^2+G978^2+H978^2&lt;=2+0.000000001,TRUE()))</f>
        <v>1</v>
      </c>
      <c r="AD978" s="55" t="n">
        <f aca="false">IF(AC978,IF(01_因子設定!$B$13="最大化",AA978-01_因子設定!$B$14,IF(01_因子設定!$B$13="最小化",01_因子設定!$B$15-AB978,MIN(AA978-01_因子設定!$B$14,01_因子設定!$B$15-AB978))),-1E+030)</f>
        <v>-5.95384044383649</v>
      </c>
      <c r="AE978" s="55" t="n">
        <f aca="false">IF(AC978,IF(01_因子設定!$B$13="最大化",X978,IF(01_因子設定!$B$13="最小化",-X978,-ABS(X978-01_因子設定!$B$16))),-1E+030)</f>
        <v>42.1286504020468</v>
      </c>
      <c r="AF978" s="55" t="n">
        <f aca="false">AD978+ROW()*0.000000001</f>
        <v>-5.95383946583649</v>
      </c>
      <c r="AG978" s="55" t="n">
        <f aca="false">AE978+ROW()*0.000000001</f>
        <v>42.1286513800468</v>
      </c>
    </row>
    <row r="979" customFormat="false" ht="15" hidden="false" customHeight="false" outlineLevel="0" collapsed="false">
      <c r="A979" s="0" t="n">
        <v>1</v>
      </c>
      <c r="B979" s="0" t="n">
        <v>3</v>
      </c>
      <c r="C979" s="0" t="n">
        <v>0</v>
      </c>
      <c r="D979" s="0" t="n">
        <v>2</v>
      </c>
      <c r="E979" s="0" t="n">
        <f aca="false">-1+A979*0.25</f>
        <v>-0.75</v>
      </c>
      <c r="F979" s="0" t="n">
        <f aca="false">-1+B979*0.25</f>
        <v>-0.25</v>
      </c>
      <c r="G979" s="0" t="n">
        <f aca="false">-1+C979*0.25</f>
        <v>-1</v>
      </c>
      <c r="H979" s="0" t="n">
        <f aca="false">-1+D979*0.25</f>
        <v>-0.5</v>
      </c>
      <c r="I979" s="0" t="n">
        <f aca="false">1</f>
        <v>1</v>
      </c>
      <c r="J979" s="0" t="n">
        <f aca="false">E979</f>
        <v>-0.75</v>
      </c>
      <c r="K979" s="0" t="n">
        <f aca="false">F979</f>
        <v>-0.25</v>
      </c>
      <c r="L979" s="0" t="n">
        <f aca="false">G979</f>
        <v>-1</v>
      </c>
      <c r="M979" s="0" t="n">
        <f aca="false">H979</f>
        <v>-0.5</v>
      </c>
      <c r="N979" s="0" t="n">
        <f aca="false">E979*F979</f>
        <v>0.1875</v>
      </c>
      <c r="O979" s="0" t="n">
        <f aca="false">E979*G979</f>
        <v>0.75</v>
      </c>
      <c r="P979" s="0" t="n">
        <f aca="false">E979*H979</f>
        <v>0.375</v>
      </c>
      <c r="Q979" s="0" t="n">
        <f aca="false">F979*G979</f>
        <v>0.25</v>
      </c>
      <c r="R979" s="0" t="n">
        <f aca="false">F979*H979</f>
        <v>0.125</v>
      </c>
      <c r="S979" s="0" t="n">
        <f aca="false">G979*H979</f>
        <v>0.5</v>
      </c>
      <c r="T979" s="0" t="n">
        <f aca="false">E979*E979</f>
        <v>0.5625</v>
      </c>
      <c r="U979" s="0" t="n">
        <f aca="false">F979*F979</f>
        <v>0.0625</v>
      </c>
      <c r="V979" s="0" t="n">
        <f aca="false">G979*G979</f>
        <v>1</v>
      </c>
      <c r="W979" s="0" t="n">
        <f aca="false">H979*H979</f>
        <v>0.25</v>
      </c>
      <c r="X979" s="0" t="n">
        <f aca="false">SUMPRODUCT(I979:W979,_XtX!$B$96:$P$96)</f>
        <v>42.2675255847953</v>
      </c>
      <c r="Y979" s="0" t="n">
        <f aca="false">SUMPRODUCT(MMULT(I979:W979,_XtX!$B$78:$P$92),I979:W979)</f>
        <v>0.459125719572369</v>
      </c>
      <c r="Z979" s="0" t="n">
        <f aca="false">04_回帰ANOVA!$K$19*04_回帰ANOVA!$K$14*SQRT(1+Y979)</f>
        <v>1.57450755575573</v>
      </c>
      <c r="AA979" s="0" t="n">
        <f aca="false">X979-Z979</f>
        <v>40.6930180290396</v>
      </c>
      <c r="AB979" s="0" t="n">
        <f aca="false">X979+Z979</f>
        <v>43.8420331405511</v>
      </c>
      <c r="AC979" s="54" t="b">
        <f aca="false">AND(E979&gt;=01_因子設定!$L$5-0.000000001,E979&lt;=01_因子設定!$M$5+0.000000001,F979&gt;=01_因子設定!$L$6-0.000000001,F979&lt;=01_因子設定!$M$6+0.000000001,G979&gt;=01_因子設定!$L$7-0.000000001,G979&lt;=01_因子設定!$M$7+0.000000001,H979&gt;=01_因子設定!$L$8-0.000000001,H979&lt;=01_因子設定!$M$8+0.000000001,IF(01_因子設定!$B$20="Box-Behnken",E979^2+F979^2+G979^2+H979^2&lt;=2+0.000000001,TRUE()))</f>
        <v>1</v>
      </c>
      <c r="AD979" s="55" t="n">
        <f aca="false">IF(AC979,IF(01_因子設定!$B$13="最大化",AA979-01_因子設定!$B$14,IF(01_因子設定!$B$13="最小化",01_因子設定!$B$15-AB979,MIN(AA979-01_因子設定!$B$14,01_因子設定!$B$15-AB979))),-1E+030)</f>
        <v>-5.80698197096041</v>
      </c>
      <c r="AE979" s="55" t="n">
        <f aca="false">IF(AC979,IF(01_因子設定!$B$13="最大化",X979,IF(01_因子設定!$B$13="最小化",-X979,-ABS(X979-01_因子設定!$B$16))),-1E+030)</f>
        <v>42.2675255847953</v>
      </c>
      <c r="AF979" s="55" t="n">
        <f aca="false">AD979+ROW()*0.000000001</f>
        <v>-5.80698099196041</v>
      </c>
      <c r="AG979" s="55" t="n">
        <f aca="false">AE979+ROW()*0.000000001</f>
        <v>42.2675265637953</v>
      </c>
    </row>
    <row r="980" customFormat="false" ht="15" hidden="false" customHeight="false" outlineLevel="0" collapsed="false">
      <c r="A980" s="0" t="n">
        <v>1</v>
      </c>
      <c r="B980" s="0" t="n">
        <v>3</v>
      </c>
      <c r="C980" s="0" t="n">
        <v>0</v>
      </c>
      <c r="D980" s="0" t="n">
        <v>3</v>
      </c>
      <c r="E980" s="0" t="n">
        <f aca="false">-1+A980*0.25</f>
        <v>-0.75</v>
      </c>
      <c r="F980" s="0" t="n">
        <f aca="false">-1+B980*0.25</f>
        <v>-0.25</v>
      </c>
      <c r="G980" s="0" t="n">
        <f aca="false">-1+C980*0.25</f>
        <v>-1</v>
      </c>
      <c r="H980" s="0" t="n">
        <f aca="false">-1+D980*0.25</f>
        <v>-0.25</v>
      </c>
      <c r="I980" s="0" t="n">
        <f aca="false">1</f>
        <v>1</v>
      </c>
      <c r="J980" s="0" t="n">
        <f aca="false">E980</f>
        <v>-0.75</v>
      </c>
      <c r="K980" s="0" t="n">
        <f aca="false">F980</f>
        <v>-0.25</v>
      </c>
      <c r="L980" s="0" t="n">
        <f aca="false">G980</f>
        <v>-1</v>
      </c>
      <c r="M980" s="0" t="n">
        <f aca="false">H980</f>
        <v>-0.25</v>
      </c>
      <c r="N980" s="0" t="n">
        <f aca="false">E980*F980</f>
        <v>0.1875</v>
      </c>
      <c r="O980" s="0" t="n">
        <f aca="false">E980*G980</f>
        <v>0.75</v>
      </c>
      <c r="P980" s="0" t="n">
        <f aca="false">E980*H980</f>
        <v>0.1875</v>
      </c>
      <c r="Q980" s="0" t="n">
        <f aca="false">F980*G980</f>
        <v>0.25</v>
      </c>
      <c r="R980" s="0" t="n">
        <f aca="false">F980*H980</f>
        <v>0.0625</v>
      </c>
      <c r="S980" s="0" t="n">
        <f aca="false">G980*H980</f>
        <v>0.25</v>
      </c>
      <c r="T980" s="0" t="n">
        <f aca="false">E980*E980</f>
        <v>0.5625</v>
      </c>
      <c r="U980" s="0" t="n">
        <f aca="false">F980*F980</f>
        <v>0.0625</v>
      </c>
      <c r="V980" s="0" t="n">
        <f aca="false">G980*G980</f>
        <v>1</v>
      </c>
      <c r="W980" s="0" t="n">
        <f aca="false">H980*H980</f>
        <v>0.0625</v>
      </c>
      <c r="X980" s="0" t="n">
        <f aca="false">SUMPRODUCT(I980:W980,_XtX!$B$96:$P$96)</f>
        <v>42.35859375</v>
      </c>
      <c r="Y980" s="0" t="n">
        <f aca="false">SUMPRODUCT(MMULT(I980:W980,_XtX!$B$78:$P$92),I980:W980)</f>
        <v>0.486409505208334</v>
      </c>
      <c r="Z980" s="0" t="n">
        <f aca="false">04_回帰ANOVA!$K$19*04_回帰ANOVA!$K$14*SQRT(1+Y980)</f>
        <v>1.58916001665498</v>
      </c>
      <c r="AA980" s="0" t="n">
        <f aca="false">X980-Z980</f>
        <v>40.769433733345</v>
      </c>
      <c r="AB980" s="0" t="n">
        <f aca="false">X980+Z980</f>
        <v>43.947753766655</v>
      </c>
      <c r="AC980" s="54" t="b">
        <f aca="false">AND(E980&gt;=01_因子設定!$L$5-0.000000001,E980&lt;=01_因子設定!$M$5+0.000000001,F980&gt;=01_因子設定!$L$6-0.000000001,F980&lt;=01_因子設定!$M$6+0.000000001,G980&gt;=01_因子設定!$L$7-0.000000001,G980&lt;=01_因子設定!$M$7+0.000000001,H980&gt;=01_因子設定!$L$8-0.000000001,H980&lt;=01_因子設定!$M$8+0.000000001,IF(01_因子設定!$B$20="Box-Behnken",E980^2+F980^2+G980^2+H980^2&lt;=2+0.000000001,TRUE()))</f>
        <v>1</v>
      </c>
      <c r="AD980" s="55" t="n">
        <f aca="false">IF(AC980,IF(01_因子設定!$B$13="最大化",AA980-01_因子設定!$B$14,IF(01_因子設定!$B$13="最小化",01_因子設定!$B$15-AB980,MIN(AA980-01_因子設定!$B$14,01_因子設定!$B$15-AB980))),-1E+030)</f>
        <v>-5.73056626665499</v>
      </c>
      <c r="AE980" s="55" t="n">
        <f aca="false">IF(AC980,IF(01_因子設定!$B$13="最大化",X980,IF(01_因子設定!$B$13="最小化",-X980,-ABS(X980-01_因子設定!$B$16))),-1E+030)</f>
        <v>42.35859375</v>
      </c>
      <c r="AF980" s="55" t="n">
        <f aca="false">AD980+ROW()*0.000000001</f>
        <v>-5.73056528665499</v>
      </c>
      <c r="AG980" s="55" t="n">
        <f aca="false">AE980+ROW()*0.000000001</f>
        <v>42.35859473</v>
      </c>
    </row>
    <row r="981" customFormat="false" ht="15" hidden="false" customHeight="false" outlineLevel="0" collapsed="false">
      <c r="A981" s="0" t="n">
        <v>1</v>
      </c>
      <c r="B981" s="0" t="n">
        <v>3</v>
      </c>
      <c r="C981" s="0" t="n">
        <v>0</v>
      </c>
      <c r="D981" s="0" t="n">
        <v>4</v>
      </c>
      <c r="E981" s="0" t="n">
        <f aca="false">-1+A981*0.25</f>
        <v>-0.75</v>
      </c>
      <c r="F981" s="0" t="n">
        <f aca="false">-1+B981*0.25</f>
        <v>-0.25</v>
      </c>
      <c r="G981" s="0" t="n">
        <f aca="false">-1+C981*0.25</f>
        <v>-1</v>
      </c>
      <c r="H981" s="0" t="n">
        <f aca="false">-1+D981*0.25</f>
        <v>0</v>
      </c>
      <c r="I981" s="0" t="n">
        <f aca="false">1</f>
        <v>1</v>
      </c>
      <c r="J981" s="0" t="n">
        <f aca="false">E981</f>
        <v>-0.75</v>
      </c>
      <c r="K981" s="0" t="n">
        <f aca="false">F981</f>
        <v>-0.25</v>
      </c>
      <c r="L981" s="0" t="n">
        <f aca="false">G981</f>
        <v>-1</v>
      </c>
      <c r="M981" s="0" t="n">
        <f aca="false">H981</f>
        <v>0</v>
      </c>
      <c r="N981" s="0" t="n">
        <f aca="false">E981*F981</f>
        <v>0.1875</v>
      </c>
      <c r="O981" s="0" t="n">
        <f aca="false">E981*G981</f>
        <v>0.75</v>
      </c>
      <c r="P981" s="0" t="n">
        <f aca="false">E981*H981</f>
        <v>-0</v>
      </c>
      <c r="Q981" s="0" t="n">
        <f aca="false">F981*G981</f>
        <v>0.25</v>
      </c>
      <c r="R981" s="0" t="n">
        <f aca="false">F981*H981</f>
        <v>-0</v>
      </c>
      <c r="S981" s="0" t="n">
        <f aca="false">G981*H981</f>
        <v>-0</v>
      </c>
      <c r="T981" s="0" t="n">
        <f aca="false">E981*E981</f>
        <v>0.5625</v>
      </c>
      <c r="U981" s="0" t="n">
        <f aca="false">F981*F981</f>
        <v>0.0625</v>
      </c>
      <c r="V981" s="0" t="n">
        <f aca="false">G981*G981</f>
        <v>1</v>
      </c>
      <c r="W981" s="0" t="n">
        <f aca="false">H981*H981</f>
        <v>0</v>
      </c>
      <c r="X981" s="0" t="n">
        <f aca="false">SUMPRODUCT(I981:W981,_XtX!$B$96:$P$96)</f>
        <v>42.4018548976608</v>
      </c>
      <c r="Y981" s="0" t="n">
        <f aca="false">SUMPRODUCT(MMULT(I981:W981,_XtX!$B$78:$P$92),I981:W981)</f>
        <v>0.501534802174708</v>
      </c>
      <c r="Z981" s="0" t="n">
        <f aca="false">04_回帰ANOVA!$K$19*04_回帰ANOVA!$K$14*SQRT(1+Y981)</f>
        <v>1.59722498091333</v>
      </c>
      <c r="AA981" s="0" t="n">
        <f aca="false">X981-Z981</f>
        <v>40.8046299167475</v>
      </c>
      <c r="AB981" s="0" t="n">
        <f aca="false">X981+Z981</f>
        <v>43.9990798785741</v>
      </c>
      <c r="AC981" s="54" t="b">
        <f aca="false">AND(E981&gt;=01_因子設定!$L$5-0.000000001,E981&lt;=01_因子設定!$M$5+0.000000001,F981&gt;=01_因子設定!$L$6-0.000000001,F981&lt;=01_因子設定!$M$6+0.000000001,G981&gt;=01_因子設定!$L$7-0.000000001,G981&lt;=01_因子設定!$M$7+0.000000001,H981&gt;=01_因子設定!$L$8-0.000000001,H981&lt;=01_因子設定!$M$8+0.000000001,IF(01_因子設定!$B$20="Box-Behnken",E981^2+F981^2+G981^2+H981^2&lt;=2+0.000000001,TRUE()))</f>
        <v>1</v>
      </c>
      <c r="AD981" s="55" t="n">
        <f aca="false">IF(AC981,IF(01_因子設定!$B$13="最大化",AA981-01_因子設定!$B$14,IF(01_因子設定!$B$13="最小化",01_因子設定!$B$15-AB981,MIN(AA981-01_因子設定!$B$14,01_因子設定!$B$15-AB981))),-1E+030)</f>
        <v>-5.69537008325252</v>
      </c>
      <c r="AE981" s="55" t="n">
        <f aca="false">IF(AC981,IF(01_因子設定!$B$13="最大化",X981,IF(01_因子設定!$B$13="最小化",-X981,-ABS(X981-01_因子設定!$B$16))),-1E+030)</f>
        <v>42.4018548976608</v>
      </c>
      <c r="AF981" s="55" t="n">
        <f aca="false">AD981+ROW()*0.000000001</f>
        <v>-5.69536910225252</v>
      </c>
      <c r="AG981" s="55" t="n">
        <f aca="false">AE981+ROW()*0.000000001</f>
        <v>42.4018558786608</v>
      </c>
    </row>
    <row r="982" customFormat="false" ht="15" hidden="false" customHeight="false" outlineLevel="0" collapsed="false">
      <c r="A982" s="0" t="n">
        <v>1</v>
      </c>
      <c r="B982" s="0" t="n">
        <v>3</v>
      </c>
      <c r="C982" s="0" t="n">
        <v>0</v>
      </c>
      <c r="D982" s="0" t="n">
        <v>5</v>
      </c>
      <c r="E982" s="0" t="n">
        <f aca="false">-1+A982*0.25</f>
        <v>-0.75</v>
      </c>
      <c r="F982" s="0" t="n">
        <f aca="false">-1+B982*0.25</f>
        <v>-0.25</v>
      </c>
      <c r="G982" s="0" t="n">
        <f aca="false">-1+C982*0.25</f>
        <v>-1</v>
      </c>
      <c r="H982" s="0" t="n">
        <f aca="false">-1+D982*0.25</f>
        <v>0.25</v>
      </c>
      <c r="I982" s="0" t="n">
        <f aca="false">1</f>
        <v>1</v>
      </c>
      <c r="J982" s="0" t="n">
        <f aca="false">E982</f>
        <v>-0.75</v>
      </c>
      <c r="K982" s="0" t="n">
        <f aca="false">F982</f>
        <v>-0.25</v>
      </c>
      <c r="L982" s="0" t="n">
        <f aca="false">G982</f>
        <v>-1</v>
      </c>
      <c r="M982" s="0" t="n">
        <f aca="false">H982</f>
        <v>0.25</v>
      </c>
      <c r="N982" s="0" t="n">
        <f aca="false">E982*F982</f>
        <v>0.1875</v>
      </c>
      <c r="O982" s="0" t="n">
        <f aca="false">E982*G982</f>
        <v>0.75</v>
      </c>
      <c r="P982" s="0" t="n">
        <f aca="false">E982*H982</f>
        <v>-0.1875</v>
      </c>
      <c r="Q982" s="0" t="n">
        <f aca="false">F982*G982</f>
        <v>0.25</v>
      </c>
      <c r="R982" s="0" t="n">
        <f aca="false">F982*H982</f>
        <v>-0.0625</v>
      </c>
      <c r="S982" s="0" t="n">
        <f aca="false">G982*H982</f>
        <v>-0.25</v>
      </c>
      <c r="T982" s="0" t="n">
        <f aca="false">E982*E982</f>
        <v>0.5625</v>
      </c>
      <c r="U982" s="0" t="n">
        <f aca="false">F982*F982</f>
        <v>0.0625</v>
      </c>
      <c r="V982" s="0" t="n">
        <f aca="false">G982*G982</f>
        <v>1</v>
      </c>
      <c r="W982" s="0" t="n">
        <f aca="false">H982*H982</f>
        <v>0.0625</v>
      </c>
      <c r="X982" s="0" t="n">
        <f aca="false">SUMPRODUCT(I982:W982,_XtX!$B$96:$P$96)</f>
        <v>42.3973090277778</v>
      </c>
      <c r="Y982" s="0" t="n">
        <f aca="false">SUMPRODUCT(MMULT(I982:W982,_XtX!$B$78:$P$92),I982:W982)</f>
        <v>0.486409505208334</v>
      </c>
      <c r="Z982" s="0" t="n">
        <f aca="false">04_回帰ANOVA!$K$19*04_回帰ANOVA!$K$14*SQRT(1+Y982)</f>
        <v>1.58916001665498</v>
      </c>
      <c r="AA982" s="0" t="n">
        <f aca="false">X982-Z982</f>
        <v>40.8081490111228</v>
      </c>
      <c r="AB982" s="0" t="n">
        <f aca="false">X982+Z982</f>
        <v>43.9864690444328</v>
      </c>
      <c r="AC982" s="54" t="b">
        <f aca="false">AND(E982&gt;=01_因子設定!$L$5-0.000000001,E982&lt;=01_因子設定!$M$5+0.000000001,F982&gt;=01_因子設定!$L$6-0.000000001,F982&lt;=01_因子設定!$M$6+0.000000001,G982&gt;=01_因子設定!$L$7-0.000000001,G982&lt;=01_因子設定!$M$7+0.000000001,H982&gt;=01_因子設定!$L$8-0.000000001,H982&lt;=01_因子設定!$M$8+0.000000001,IF(01_因子設定!$B$20="Box-Behnken",E982^2+F982^2+G982^2+H982^2&lt;=2+0.000000001,TRUE()))</f>
        <v>1</v>
      </c>
      <c r="AD982" s="55" t="n">
        <f aca="false">IF(AC982,IF(01_因子設定!$B$13="最大化",AA982-01_因子設定!$B$14,IF(01_因子設定!$B$13="最小化",01_因子設定!$B$15-AB982,MIN(AA982-01_因子設定!$B$14,01_因子設定!$B$15-AB982))),-1E+030)</f>
        <v>-5.69185098887721</v>
      </c>
      <c r="AE982" s="55" t="n">
        <f aca="false">IF(AC982,IF(01_因子設定!$B$13="最大化",X982,IF(01_因子設定!$B$13="最小化",-X982,-ABS(X982-01_因子設定!$B$16))),-1E+030)</f>
        <v>42.3973090277778</v>
      </c>
      <c r="AF982" s="55" t="n">
        <f aca="false">AD982+ROW()*0.000000001</f>
        <v>-5.69185000687721</v>
      </c>
      <c r="AG982" s="55" t="n">
        <f aca="false">AE982+ROW()*0.000000001</f>
        <v>42.3973100097778</v>
      </c>
    </row>
    <row r="983" customFormat="false" ht="15" hidden="false" customHeight="false" outlineLevel="0" collapsed="false">
      <c r="A983" s="0" t="n">
        <v>1</v>
      </c>
      <c r="B983" s="0" t="n">
        <v>3</v>
      </c>
      <c r="C983" s="0" t="n">
        <v>0</v>
      </c>
      <c r="D983" s="0" t="n">
        <v>6</v>
      </c>
      <c r="E983" s="0" t="n">
        <f aca="false">-1+A983*0.25</f>
        <v>-0.75</v>
      </c>
      <c r="F983" s="0" t="n">
        <f aca="false">-1+B983*0.25</f>
        <v>-0.25</v>
      </c>
      <c r="G983" s="0" t="n">
        <f aca="false">-1+C983*0.25</f>
        <v>-1</v>
      </c>
      <c r="H983" s="0" t="n">
        <f aca="false">-1+D983*0.25</f>
        <v>0.5</v>
      </c>
      <c r="I983" s="0" t="n">
        <f aca="false">1</f>
        <v>1</v>
      </c>
      <c r="J983" s="0" t="n">
        <f aca="false">E983</f>
        <v>-0.75</v>
      </c>
      <c r="K983" s="0" t="n">
        <f aca="false">F983</f>
        <v>-0.25</v>
      </c>
      <c r="L983" s="0" t="n">
        <f aca="false">G983</f>
        <v>-1</v>
      </c>
      <c r="M983" s="0" t="n">
        <f aca="false">H983</f>
        <v>0.5</v>
      </c>
      <c r="N983" s="0" t="n">
        <f aca="false">E983*F983</f>
        <v>0.1875</v>
      </c>
      <c r="O983" s="0" t="n">
        <f aca="false">E983*G983</f>
        <v>0.75</v>
      </c>
      <c r="P983" s="0" t="n">
        <f aca="false">E983*H983</f>
        <v>-0.375</v>
      </c>
      <c r="Q983" s="0" t="n">
        <f aca="false">F983*G983</f>
        <v>0.25</v>
      </c>
      <c r="R983" s="0" t="n">
        <f aca="false">F983*H983</f>
        <v>-0.125</v>
      </c>
      <c r="S983" s="0" t="n">
        <f aca="false">G983*H983</f>
        <v>-0.5</v>
      </c>
      <c r="T983" s="0" t="n">
        <f aca="false">E983*E983</f>
        <v>0.5625</v>
      </c>
      <c r="U983" s="0" t="n">
        <f aca="false">F983*F983</f>
        <v>0.0625</v>
      </c>
      <c r="V983" s="0" t="n">
        <f aca="false">G983*G983</f>
        <v>1</v>
      </c>
      <c r="W983" s="0" t="n">
        <f aca="false">H983*H983</f>
        <v>0.25</v>
      </c>
      <c r="X983" s="0" t="n">
        <f aca="false">SUMPRODUCT(I983:W983,_XtX!$B$96:$P$96)</f>
        <v>42.3449561403509</v>
      </c>
      <c r="Y983" s="0" t="n">
        <f aca="false">SUMPRODUCT(MMULT(I983:W983,_XtX!$B$78:$P$92),I983:W983)</f>
        <v>0.459125719572369</v>
      </c>
      <c r="Z983" s="0" t="n">
        <f aca="false">04_回帰ANOVA!$K$19*04_回帰ANOVA!$K$14*SQRT(1+Y983)</f>
        <v>1.57450755575573</v>
      </c>
      <c r="AA983" s="0" t="n">
        <f aca="false">X983-Z983</f>
        <v>40.7704485845951</v>
      </c>
      <c r="AB983" s="0" t="n">
        <f aca="false">X983+Z983</f>
        <v>43.9194636961066</v>
      </c>
      <c r="AC983" s="54" t="b">
        <f aca="false">AND(E983&gt;=01_因子設定!$L$5-0.000000001,E983&lt;=01_因子設定!$M$5+0.000000001,F983&gt;=01_因子設定!$L$6-0.000000001,F983&lt;=01_因子設定!$M$6+0.000000001,G983&gt;=01_因子設定!$L$7-0.000000001,G983&lt;=01_因子設定!$M$7+0.000000001,H983&gt;=01_因子設定!$L$8-0.000000001,H983&lt;=01_因子設定!$M$8+0.000000001,IF(01_因子設定!$B$20="Box-Behnken",E983^2+F983^2+G983^2+H983^2&lt;=2+0.000000001,TRUE()))</f>
        <v>1</v>
      </c>
      <c r="AD983" s="55" t="n">
        <f aca="false">IF(AC983,IF(01_因子設定!$B$13="最大化",AA983-01_因子設定!$B$14,IF(01_因子設定!$B$13="最小化",01_因子設定!$B$15-AB983,MIN(AA983-01_因子設定!$B$14,01_因子設定!$B$15-AB983))),-1E+030)</f>
        <v>-5.72955141540486</v>
      </c>
      <c r="AE983" s="55" t="n">
        <f aca="false">IF(AC983,IF(01_因子設定!$B$13="最大化",X983,IF(01_因子設定!$B$13="最小化",-X983,-ABS(X983-01_因子設定!$B$16))),-1E+030)</f>
        <v>42.3449561403509</v>
      </c>
      <c r="AF983" s="55" t="n">
        <f aca="false">AD983+ROW()*0.000000001</f>
        <v>-5.72955043240486</v>
      </c>
      <c r="AG983" s="55" t="n">
        <f aca="false">AE983+ROW()*0.000000001</f>
        <v>42.3449571233509</v>
      </c>
    </row>
    <row r="984" customFormat="false" ht="15" hidden="false" customHeight="false" outlineLevel="0" collapsed="false">
      <c r="A984" s="0" t="n">
        <v>1</v>
      </c>
      <c r="B984" s="0" t="n">
        <v>3</v>
      </c>
      <c r="C984" s="0" t="n">
        <v>0</v>
      </c>
      <c r="D984" s="0" t="n">
        <v>7</v>
      </c>
      <c r="E984" s="0" t="n">
        <f aca="false">-1+A984*0.25</f>
        <v>-0.75</v>
      </c>
      <c r="F984" s="0" t="n">
        <f aca="false">-1+B984*0.25</f>
        <v>-0.25</v>
      </c>
      <c r="G984" s="0" t="n">
        <f aca="false">-1+C984*0.25</f>
        <v>-1</v>
      </c>
      <c r="H984" s="0" t="n">
        <f aca="false">-1+D984*0.25</f>
        <v>0.75</v>
      </c>
      <c r="I984" s="0" t="n">
        <f aca="false">1</f>
        <v>1</v>
      </c>
      <c r="J984" s="0" t="n">
        <f aca="false">E984</f>
        <v>-0.75</v>
      </c>
      <c r="K984" s="0" t="n">
        <f aca="false">F984</f>
        <v>-0.25</v>
      </c>
      <c r="L984" s="0" t="n">
        <f aca="false">G984</f>
        <v>-1</v>
      </c>
      <c r="M984" s="0" t="n">
        <f aca="false">H984</f>
        <v>0.75</v>
      </c>
      <c r="N984" s="0" t="n">
        <f aca="false">E984*F984</f>
        <v>0.1875</v>
      </c>
      <c r="O984" s="0" t="n">
        <f aca="false">E984*G984</f>
        <v>0.75</v>
      </c>
      <c r="P984" s="0" t="n">
        <f aca="false">E984*H984</f>
        <v>-0.5625</v>
      </c>
      <c r="Q984" s="0" t="n">
        <f aca="false">F984*G984</f>
        <v>0.25</v>
      </c>
      <c r="R984" s="0" t="n">
        <f aca="false">F984*H984</f>
        <v>-0.1875</v>
      </c>
      <c r="S984" s="0" t="n">
        <f aca="false">G984*H984</f>
        <v>-0.75</v>
      </c>
      <c r="T984" s="0" t="n">
        <f aca="false">E984*E984</f>
        <v>0.5625</v>
      </c>
      <c r="U984" s="0" t="n">
        <f aca="false">F984*F984</f>
        <v>0.0625</v>
      </c>
      <c r="V984" s="0" t="n">
        <f aca="false">G984*G984</f>
        <v>1</v>
      </c>
      <c r="W984" s="0" t="n">
        <f aca="false">H984*H984</f>
        <v>0.5625</v>
      </c>
      <c r="X984" s="0" t="n">
        <f aca="false">SUMPRODUCT(I984:W984,_XtX!$B$96:$P$96)</f>
        <v>42.2447962353801</v>
      </c>
      <c r="Y984" s="0" t="n">
        <f aca="false">SUMPRODUCT(MMULT(I984:W984,_XtX!$B$78:$P$92),I984:W984)</f>
        <v>0.473959761056287</v>
      </c>
      <c r="Z984" s="0" t="n">
        <f aca="false">04_回帰ANOVA!$K$19*04_回帰ANOVA!$K$14*SQRT(1+Y984)</f>
        <v>1.58249084588329</v>
      </c>
      <c r="AA984" s="0" t="n">
        <f aca="false">X984-Z984</f>
        <v>40.6623053894968</v>
      </c>
      <c r="AB984" s="0" t="n">
        <f aca="false">X984+Z984</f>
        <v>43.8272870812634</v>
      </c>
      <c r="AC984" s="54" t="b">
        <f aca="false">AND(E984&gt;=01_因子設定!$L$5-0.000000001,E984&lt;=01_因子設定!$M$5+0.000000001,F984&gt;=01_因子設定!$L$6-0.000000001,F984&lt;=01_因子設定!$M$6+0.000000001,G984&gt;=01_因子設定!$L$7-0.000000001,G984&lt;=01_因子設定!$M$7+0.000000001,H984&gt;=01_因子設定!$L$8-0.000000001,H984&lt;=01_因子設定!$M$8+0.000000001,IF(01_因子設定!$B$20="Box-Behnken",E984^2+F984^2+G984^2+H984^2&lt;=2+0.000000001,TRUE()))</f>
        <v>1</v>
      </c>
      <c r="AD984" s="55" t="n">
        <f aca="false">IF(AC984,IF(01_因子設定!$B$13="最大化",AA984-01_因子設定!$B$14,IF(01_因子設定!$B$13="最小化",01_因子設定!$B$15-AB984,MIN(AA984-01_因子設定!$B$14,01_因子設定!$B$15-AB984))),-1E+030)</f>
        <v>-5.83769461050316</v>
      </c>
      <c r="AE984" s="55" t="n">
        <f aca="false">IF(AC984,IF(01_因子設定!$B$13="最大化",X984,IF(01_因子設定!$B$13="最小化",-X984,-ABS(X984-01_因子設定!$B$16))),-1E+030)</f>
        <v>42.2447962353801</v>
      </c>
      <c r="AF984" s="55" t="n">
        <f aca="false">AD984+ROW()*0.000000001</f>
        <v>-5.83769362650316</v>
      </c>
      <c r="AG984" s="55" t="n">
        <f aca="false">AE984+ROW()*0.000000001</f>
        <v>42.2447972193801</v>
      </c>
    </row>
    <row r="985" customFormat="false" ht="15" hidden="false" customHeight="false" outlineLevel="0" collapsed="false">
      <c r="A985" s="0" t="n">
        <v>1</v>
      </c>
      <c r="B985" s="0" t="n">
        <v>3</v>
      </c>
      <c r="C985" s="0" t="n">
        <v>0</v>
      </c>
      <c r="D985" s="0" t="n">
        <v>8</v>
      </c>
      <c r="E985" s="0" t="n">
        <f aca="false">-1+A985*0.25</f>
        <v>-0.75</v>
      </c>
      <c r="F985" s="0" t="n">
        <f aca="false">-1+B985*0.25</f>
        <v>-0.25</v>
      </c>
      <c r="G985" s="0" t="n">
        <f aca="false">-1+C985*0.25</f>
        <v>-1</v>
      </c>
      <c r="H985" s="0" t="n">
        <f aca="false">-1+D985*0.25</f>
        <v>1</v>
      </c>
      <c r="I985" s="0" t="n">
        <f aca="false">1</f>
        <v>1</v>
      </c>
      <c r="J985" s="0" t="n">
        <f aca="false">E985</f>
        <v>-0.75</v>
      </c>
      <c r="K985" s="0" t="n">
        <f aca="false">F985</f>
        <v>-0.25</v>
      </c>
      <c r="L985" s="0" t="n">
        <f aca="false">G985</f>
        <v>-1</v>
      </c>
      <c r="M985" s="0" t="n">
        <f aca="false">H985</f>
        <v>1</v>
      </c>
      <c r="N985" s="0" t="n">
        <f aca="false">E985*F985</f>
        <v>0.1875</v>
      </c>
      <c r="O985" s="0" t="n">
        <f aca="false">E985*G985</f>
        <v>0.75</v>
      </c>
      <c r="P985" s="0" t="n">
        <f aca="false">E985*H985</f>
        <v>-0.75</v>
      </c>
      <c r="Q985" s="0" t="n">
        <f aca="false">F985*G985</f>
        <v>0.25</v>
      </c>
      <c r="R985" s="0" t="n">
        <f aca="false">F985*H985</f>
        <v>-0.25</v>
      </c>
      <c r="S985" s="0" t="n">
        <f aca="false">G985*H985</f>
        <v>-1</v>
      </c>
      <c r="T985" s="0" t="n">
        <f aca="false">E985*E985</f>
        <v>0.5625</v>
      </c>
      <c r="U985" s="0" t="n">
        <f aca="false">F985*F985</f>
        <v>0.0625</v>
      </c>
      <c r="V985" s="0" t="n">
        <f aca="false">G985*G985</f>
        <v>1</v>
      </c>
      <c r="W985" s="0" t="n">
        <f aca="false">H985*H985</f>
        <v>1</v>
      </c>
      <c r="X985" s="0" t="n">
        <f aca="false">SUMPRODUCT(I985:W985,_XtX!$B$96:$P$96)</f>
        <v>42.0968293128655</v>
      </c>
      <c r="Y985" s="0" t="n">
        <f aca="false">SUMPRODUCT(MMULT(I985:W985,_XtX!$B$78:$P$92),I985:W985)</f>
        <v>0.621372155975877</v>
      </c>
      <c r="Z985" s="0" t="n">
        <f aca="false">04_回帰ANOVA!$K$19*04_回帰ANOVA!$K$14*SQRT(1+Y985)</f>
        <v>1.65973880499872</v>
      </c>
      <c r="AA985" s="0" t="n">
        <f aca="false">X985-Z985</f>
        <v>40.4370905078668</v>
      </c>
      <c r="AB985" s="0" t="n">
        <f aca="false">X985+Z985</f>
        <v>43.7565681178642</v>
      </c>
      <c r="AC985" s="54" t="b">
        <f aca="false">AND(E985&gt;=01_因子設定!$L$5-0.000000001,E985&lt;=01_因子設定!$M$5+0.000000001,F985&gt;=01_因子設定!$L$6-0.000000001,F985&lt;=01_因子設定!$M$6+0.000000001,G985&gt;=01_因子設定!$L$7-0.000000001,G985&lt;=01_因子設定!$M$7+0.000000001,H985&gt;=01_因子設定!$L$8-0.000000001,H985&lt;=01_因子設定!$M$8+0.000000001,IF(01_因子設定!$B$20="Box-Behnken",E985^2+F985^2+G985^2+H985^2&lt;=2+0.000000001,TRUE()))</f>
        <v>1</v>
      </c>
      <c r="AD985" s="55" t="n">
        <f aca="false">IF(AC985,IF(01_因子設定!$B$13="最大化",AA985-01_因子設定!$B$14,IF(01_因子設定!$B$13="最小化",01_因子設定!$B$15-AB985,MIN(AA985-01_因子設定!$B$14,01_因子設定!$B$15-AB985))),-1E+030)</f>
        <v>-6.06290949213319</v>
      </c>
      <c r="AE985" s="55" t="n">
        <f aca="false">IF(AC985,IF(01_因子設定!$B$13="最大化",X985,IF(01_因子設定!$B$13="最小化",-X985,-ABS(X985-01_因子設定!$B$16))),-1E+030)</f>
        <v>42.0968293128655</v>
      </c>
      <c r="AF985" s="55" t="n">
        <f aca="false">AD985+ROW()*0.000000001</f>
        <v>-6.06290850713319</v>
      </c>
      <c r="AG985" s="55" t="n">
        <f aca="false">AE985+ROW()*0.000000001</f>
        <v>42.0968302978655</v>
      </c>
    </row>
    <row r="986" customFormat="false" ht="15" hidden="false" customHeight="false" outlineLevel="0" collapsed="false">
      <c r="A986" s="0" t="n">
        <v>1</v>
      </c>
      <c r="B986" s="0" t="n">
        <v>3</v>
      </c>
      <c r="C986" s="0" t="n">
        <v>1</v>
      </c>
      <c r="D986" s="0" t="n">
        <v>0</v>
      </c>
      <c r="E986" s="0" t="n">
        <f aca="false">-1+A986*0.25</f>
        <v>-0.75</v>
      </c>
      <c r="F986" s="0" t="n">
        <f aca="false">-1+B986*0.25</f>
        <v>-0.25</v>
      </c>
      <c r="G986" s="0" t="n">
        <f aca="false">-1+C986*0.25</f>
        <v>-0.75</v>
      </c>
      <c r="H986" s="0" t="n">
        <f aca="false">-1+D986*0.25</f>
        <v>-1</v>
      </c>
      <c r="I986" s="0" t="n">
        <f aca="false">1</f>
        <v>1</v>
      </c>
      <c r="J986" s="0" t="n">
        <f aca="false">E986</f>
        <v>-0.75</v>
      </c>
      <c r="K986" s="0" t="n">
        <f aca="false">F986</f>
        <v>-0.25</v>
      </c>
      <c r="L986" s="0" t="n">
        <f aca="false">G986</f>
        <v>-0.75</v>
      </c>
      <c r="M986" s="0" t="n">
        <f aca="false">H986</f>
        <v>-1</v>
      </c>
      <c r="N986" s="0" t="n">
        <f aca="false">E986*F986</f>
        <v>0.1875</v>
      </c>
      <c r="O986" s="0" t="n">
        <f aca="false">E986*G986</f>
        <v>0.5625</v>
      </c>
      <c r="P986" s="0" t="n">
        <f aca="false">E986*H986</f>
        <v>0.75</v>
      </c>
      <c r="Q986" s="0" t="n">
        <f aca="false">F986*G986</f>
        <v>0.1875</v>
      </c>
      <c r="R986" s="0" t="n">
        <f aca="false">F986*H986</f>
        <v>0.25</v>
      </c>
      <c r="S986" s="0" t="n">
        <f aca="false">G986*H986</f>
        <v>0.75</v>
      </c>
      <c r="T986" s="0" t="n">
        <f aca="false">E986*E986</f>
        <v>0.5625</v>
      </c>
      <c r="U986" s="0" t="n">
        <f aca="false">F986*F986</f>
        <v>0.0625</v>
      </c>
      <c r="V986" s="0" t="n">
        <f aca="false">G986*G986</f>
        <v>0.5625</v>
      </c>
      <c r="W986" s="0" t="n">
        <f aca="false">H986*H986</f>
        <v>1</v>
      </c>
      <c r="X986" s="0" t="n">
        <f aca="false">SUMPRODUCT(I986:W986,_XtX!$B$96:$P$96)</f>
        <v>42.5168448464913</v>
      </c>
      <c r="Y986" s="0" t="n">
        <f aca="false">SUMPRODUCT(MMULT(I986:W986,_XtX!$B$78:$P$92),I986:W986)</f>
        <v>0.473959761056287</v>
      </c>
      <c r="Z986" s="0" t="n">
        <f aca="false">04_回帰ANOVA!$K$19*04_回帰ANOVA!$K$14*SQRT(1+Y986)</f>
        <v>1.58249084588329</v>
      </c>
      <c r="AA986" s="0" t="n">
        <f aca="false">X986-Z986</f>
        <v>40.934354000608</v>
      </c>
      <c r="AB986" s="0" t="n">
        <f aca="false">X986+Z986</f>
        <v>44.0993356923745</v>
      </c>
      <c r="AC986" s="54" t="b">
        <f aca="false">AND(E986&gt;=01_因子設定!$L$5-0.000000001,E986&lt;=01_因子設定!$M$5+0.000000001,F986&gt;=01_因子設定!$L$6-0.000000001,F986&lt;=01_因子設定!$M$6+0.000000001,G986&gt;=01_因子設定!$L$7-0.000000001,G986&lt;=01_因子設定!$M$7+0.000000001,H986&gt;=01_因子設定!$L$8-0.000000001,H986&lt;=01_因子設定!$M$8+0.000000001,IF(01_因子設定!$B$20="Box-Behnken",E986^2+F986^2+G986^2+H986^2&lt;=2+0.000000001,TRUE()))</f>
        <v>1</v>
      </c>
      <c r="AD986" s="55" t="n">
        <f aca="false">IF(AC986,IF(01_因子設定!$B$13="最大化",AA986-01_因子設定!$B$14,IF(01_因子設定!$B$13="最小化",01_因子設定!$B$15-AB986,MIN(AA986-01_因子設定!$B$14,01_因子設定!$B$15-AB986))),-1E+030)</f>
        <v>-5.56564599939203</v>
      </c>
      <c r="AE986" s="55" t="n">
        <f aca="false">IF(AC986,IF(01_因子設定!$B$13="最大化",X986,IF(01_因子設定!$B$13="最小化",-X986,-ABS(X986-01_因子設定!$B$16))),-1E+030)</f>
        <v>42.5168448464913</v>
      </c>
      <c r="AF986" s="55" t="n">
        <f aca="false">AD986+ROW()*0.000000001</f>
        <v>-5.56564501339203</v>
      </c>
      <c r="AG986" s="55" t="n">
        <f aca="false">AE986+ROW()*0.000000001</f>
        <v>42.5168458324913</v>
      </c>
    </row>
    <row r="987" customFormat="false" ht="15" hidden="false" customHeight="false" outlineLevel="0" collapsed="false">
      <c r="A987" s="0" t="n">
        <v>1</v>
      </c>
      <c r="B987" s="0" t="n">
        <v>3</v>
      </c>
      <c r="C987" s="0" t="n">
        <v>1</v>
      </c>
      <c r="D987" s="0" t="n">
        <v>1</v>
      </c>
      <c r="E987" s="0" t="n">
        <f aca="false">-1+A987*0.25</f>
        <v>-0.75</v>
      </c>
      <c r="F987" s="0" t="n">
        <f aca="false">-1+B987*0.25</f>
        <v>-0.25</v>
      </c>
      <c r="G987" s="0" t="n">
        <f aca="false">-1+C987*0.25</f>
        <v>-0.75</v>
      </c>
      <c r="H987" s="0" t="n">
        <f aca="false">-1+D987*0.25</f>
        <v>-0.75</v>
      </c>
      <c r="I987" s="0" t="n">
        <f aca="false">1</f>
        <v>1</v>
      </c>
      <c r="J987" s="0" t="n">
        <f aca="false">E987</f>
        <v>-0.75</v>
      </c>
      <c r="K987" s="0" t="n">
        <f aca="false">F987</f>
        <v>-0.25</v>
      </c>
      <c r="L987" s="0" t="n">
        <f aca="false">G987</f>
        <v>-0.75</v>
      </c>
      <c r="M987" s="0" t="n">
        <f aca="false">H987</f>
        <v>-0.75</v>
      </c>
      <c r="N987" s="0" t="n">
        <f aca="false">E987*F987</f>
        <v>0.1875</v>
      </c>
      <c r="O987" s="0" t="n">
        <f aca="false">E987*G987</f>
        <v>0.5625</v>
      </c>
      <c r="P987" s="0" t="n">
        <f aca="false">E987*H987</f>
        <v>0.5625</v>
      </c>
      <c r="Q987" s="0" t="n">
        <f aca="false">F987*G987</f>
        <v>0.1875</v>
      </c>
      <c r="R987" s="0" t="n">
        <f aca="false">F987*H987</f>
        <v>0.1875</v>
      </c>
      <c r="S987" s="0" t="n">
        <f aca="false">G987*H987</f>
        <v>0.5625</v>
      </c>
      <c r="T987" s="0" t="n">
        <f aca="false">E987*E987</f>
        <v>0.5625</v>
      </c>
      <c r="U987" s="0" t="n">
        <f aca="false">F987*F987</f>
        <v>0.0625</v>
      </c>
      <c r="V987" s="0" t="n">
        <f aca="false">G987*G987</f>
        <v>0.5625</v>
      </c>
      <c r="W987" s="0" t="n">
        <f aca="false">H987*H987</f>
        <v>0.5625</v>
      </c>
      <c r="X987" s="0" t="n">
        <f aca="false">SUMPRODUCT(I987:W987,_XtX!$B$96:$P$96)</f>
        <v>42.7214957967836</v>
      </c>
      <c r="Y987" s="0" t="n">
        <f aca="false">SUMPRODUCT(MMULT(I987:W987,_XtX!$B$78:$P$92),I987:W987)</f>
        <v>0.294856199744152</v>
      </c>
      <c r="Z987" s="0" t="n">
        <f aca="false">04_回帰ANOVA!$K$19*04_回帰ANOVA!$K$14*SQRT(1+Y987)</f>
        <v>1.48323226089013</v>
      </c>
      <c r="AA987" s="0" t="n">
        <f aca="false">X987-Z987</f>
        <v>41.2382635358935</v>
      </c>
      <c r="AB987" s="0" t="n">
        <f aca="false">X987+Z987</f>
        <v>44.2047280576738</v>
      </c>
      <c r="AC987" s="54" t="b">
        <f aca="false">AND(E987&gt;=01_因子設定!$L$5-0.000000001,E987&lt;=01_因子設定!$M$5+0.000000001,F987&gt;=01_因子設定!$L$6-0.000000001,F987&lt;=01_因子設定!$M$6+0.000000001,G987&gt;=01_因子設定!$L$7-0.000000001,G987&lt;=01_因子設定!$M$7+0.000000001,H987&gt;=01_因子設定!$L$8-0.000000001,H987&lt;=01_因子設定!$M$8+0.000000001,IF(01_因子設定!$B$20="Box-Behnken",E987^2+F987^2+G987^2+H987^2&lt;=2+0.000000001,TRUE()))</f>
        <v>1</v>
      </c>
      <c r="AD987" s="55" t="n">
        <f aca="false">IF(AC987,IF(01_因子設定!$B$13="最大化",AA987-01_因子設定!$B$14,IF(01_因子設定!$B$13="最小化",01_因子設定!$B$15-AB987,MIN(AA987-01_因子設定!$B$14,01_因子設定!$B$15-AB987))),-1E+030)</f>
        <v>-5.2617364641065</v>
      </c>
      <c r="AE987" s="55" t="n">
        <f aca="false">IF(AC987,IF(01_因子設定!$B$13="最大化",X987,IF(01_因子設定!$B$13="最小化",-X987,-ABS(X987-01_因子設定!$B$16))),-1E+030)</f>
        <v>42.7214957967836</v>
      </c>
      <c r="AF987" s="55" t="n">
        <f aca="false">AD987+ROW()*0.000000001</f>
        <v>-5.2617354771065</v>
      </c>
      <c r="AG987" s="55" t="n">
        <f aca="false">AE987+ROW()*0.000000001</f>
        <v>42.7214967837836</v>
      </c>
    </row>
    <row r="988" customFormat="false" ht="15" hidden="false" customHeight="false" outlineLevel="0" collapsed="false">
      <c r="A988" s="0" t="n">
        <v>1</v>
      </c>
      <c r="B988" s="0" t="n">
        <v>3</v>
      </c>
      <c r="C988" s="0" t="n">
        <v>1</v>
      </c>
      <c r="D988" s="0" t="n">
        <v>2</v>
      </c>
      <c r="E988" s="0" t="n">
        <f aca="false">-1+A988*0.25</f>
        <v>-0.75</v>
      </c>
      <c r="F988" s="0" t="n">
        <f aca="false">-1+B988*0.25</f>
        <v>-0.25</v>
      </c>
      <c r="G988" s="0" t="n">
        <f aca="false">-1+C988*0.25</f>
        <v>-0.75</v>
      </c>
      <c r="H988" s="0" t="n">
        <f aca="false">-1+D988*0.25</f>
        <v>-0.5</v>
      </c>
      <c r="I988" s="0" t="n">
        <f aca="false">1</f>
        <v>1</v>
      </c>
      <c r="J988" s="0" t="n">
        <f aca="false">E988</f>
        <v>-0.75</v>
      </c>
      <c r="K988" s="0" t="n">
        <f aca="false">F988</f>
        <v>-0.25</v>
      </c>
      <c r="L988" s="0" t="n">
        <f aca="false">G988</f>
        <v>-0.75</v>
      </c>
      <c r="M988" s="0" t="n">
        <f aca="false">H988</f>
        <v>-0.5</v>
      </c>
      <c r="N988" s="0" t="n">
        <f aca="false">E988*F988</f>
        <v>0.1875</v>
      </c>
      <c r="O988" s="0" t="n">
        <f aca="false">E988*G988</f>
        <v>0.5625</v>
      </c>
      <c r="P988" s="0" t="n">
        <f aca="false">E988*H988</f>
        <v>0.375</v>
      </c>
      <c r="Q988" s="0" t="n">
        <f aca="false">F988*G988</f>
        <v>0.1875</v>
      </c>
      <c r="R988" s="0" t="n">
        <f aca="false">F988*H988</f>
        <v>0.125</v>
      </c>
      <c r="S988" s="0" t="n">
        <f aca="false">G988*H988</f>
        <v>0.375</v>
      </c>
      <c r="T988" s="0" t="n">
        <f aca="false">E988*E988</f>
        <v>0.5625</v>
      </c>
      <c r="U988" s="0" t="n">
        <f aca="false">F988*F988</f>
        <v>0.0625</v>
      </c>
      <c r="V988" s="0" t="n">
        <f aca="false">G988*G988</f>
        <v>0.5625</v>
      </c>
      <c r="W988" s="0" t="n">
        <f aca="false">H988*H988</f>
        <v>0.25</v>
      </c>
      <c r="X988" s="0" t="n">
        <f aca="false">SUMPRODUCT(I988:W988,_XtX!$B$96:$P$96)</f>
        <v>42.8783397295322</v>
      </c>
      <c r="Y988" s="0" t="n">
        <f aca="false">SUMPRODUCT(MMULT(I988:W988,_XtX!$B$78:$P$92),I988:W988)</f>
        <v>0.257385610836988</v>
      </c>
      <c r="Z988" s="0" t="n">
        <f aca="false">04_回帰ANOVA!$K$19*04_回帰ANOVA!$K$14*SQRT(1+Y988)</f>
        <v>1.46161380324158</v>
      </c>
      <c r="AA988" s="0" t="n">
        <f aca="false">X988-Z988</f>
        <v>41.4167259262906</v>
      </c>
      <c r="AB988" s="0" t="n">
        <f aca="false">X988+Z988</f>
        <v>44.3399535327737</v>
      </c>
      <c r="AC988" s="54" t="b">
        <f aca="false">AND(E988&gt;=01_因子設定!$L$5-0.000000001,E988&lt;=01_因子設定!$M$5+0.000000001,F988&gt;=01_因子設定!$L$6-0.000000001,F988&lt;=01_因子設定!$M$6+0.000000001,G988&gt;=01_因子設定!$L$7-0.000000001,G988&lt;=01_因子設定!$M$7+0.000000001,H988&gt;=01_因子設定!$L$8-0.000000001,H988&lt;=01_因子設定!$M$8+0.000000001,IF(01_因子設定!$B$20="Box-Behnken",E988^2+F988^2+G988^2+H988^2&lt;=2+0.000000001,TRUE()))</f>
        <v>1</v>
      </c>
      <c r="AD988" s="55" t="n">
        <f aca="false">IF(AC988,IF(01_因子設定!$B$13="最大化",AA988-01_因子設定!$B$14,IF(01_因子設定!$B$13="最小化",01_因子設定!$B$15-AB988,MIN(AA988-01_因子設定!$B$14,01_因子設定!$B$15-AB988))),-1E+030)</f>
        <v>-5.08327407370943</v>
      </c>
      <c r="AE988" s="55" t="n">
        <f aca="false">IF(AC988,IF(01_因子設定!$B$13="最大化",X988,IF(01_因子設定!$B$13="最小化",-X988,-ABS(X988-01_因子設定!$B$16))),-1E+030)</f>
        <v>42.8783397295322</v>
      </c>
      <c r="AF988" s="55" t="n">
        <f aca="false">AD988+ROW()*0.000000001</f>
        <v>-5.08327308570943</v>
      </c>
      <c r="AG988" s="55" t="n">
        <f aca="false">AE988+ROW()*0.000000001</f>
        <v>42.8783407175322</v>
      </c>
    </row>
    <row r="989" customFormat="false" ht="15" hidden="false" customHeight="false" outlineLevel="0" collapsed="false">
      <c r="A989" s="0" t="n">
        <v>1</v>
      </c>
      <c r="B989" s="0" t="n">
        <v>3</v>
      </c>
      <c r="C989" s="0" t="n">
        <v>1</v>
      </c>
      <c r="D989" s="0" t="n">
        <v>3</v>
      </c>
      <c r="E989" s="0" t="n">
        <f aca="false">-1+A989*0.25</f>
        <v>-0.75</v>
      </c>
      <c r="F989" s="0" t="n">
        <f aca="false">-1+B989*0.25</f>
        <v>-0.25</v>
      </c>
      <c r="G989" s="0" t="n">
        <f aca="false">-1+C989*0.25</f>
        <v>-0.75</v>
      </c>
      <c r="H989" s="0" t="n">
        <f aca="false">-1+D989*0.25</f>
        <v>-0.25</v>
      </c>
      <c r="I989" s="0" t="n">
        <f aca="false">1</f>
        <v>1</v>
      </c>
      <c r="J989" s="0" t="n">
        <f aca="false">E989</f>
        <v>-0.75</v>
      </c>
      <c r="K989" s="0" t="n">
        <f aca="false">F989</f>
        <v>-0.25</v>
      </c>
      <c r="L989" s="0" t="n">
        <f aca="false">G989</f>
        <v>-0.75</v>
      </c>
      <c r="M989" s="0" t="n">
        <f aca="false">H989</f>
        <v>-0.25</v>
      </c>
      <c r="N989" s="0" t="n">
        <f aca="false">E989*F989</f>
        <v>0.1875</v>
      </c>
      <c r="O989" s="0" t="n">
        <f aca="false">E989*G989</f>
        <v>0.5625</v>
      </c>
      <c r="P989" s="0" t="n">
        <f aca="false">E989*H989</f>
        <v>0.1875</v>
      </c>
      <c r="Q989" s="0" t="n">
        <f aca="false">F989*G989</f>
        <v>0.1875</v>
      </c>
      <c r="R989" s="0" t="n">
        <f aca="false">F989*H989</f>
        <v>0.0625</v>
      </c>
      <c r="S989" s="0" t="n">
        <f aca="false">G989*H989</f>
        <v>0.1875</v>
      </c>
      <c r="T989" s="0" t="n">
        <f aca="false">E989*E989</f>
        <v>0.5625</v>
      </c>
      <c r="U989" s="0" t="n">
        <f aca="false">F989*F989</f>
        <v>0.0625</v>
      </c>
      <c r="V989" s="0" t="n">
        <f aca="false">G989*G989</f>
        <v>0.5625</v>
      </c>
      <c r="W989" s="0" t="n">
        <f aca="false">H989*H989</f>
        <v>0.0625</v>
      </c>
      <c r="X989" s="0" t="n">
        <f aca="false">SUMPRODUCT(I989:W989,_XtX!$B$96:$P$96)</f>
        <v>42.9873766447368</v>
      </c>
      <c r="Y989" s="0" t="n">
        <f aca="false">SUMPRODUCT(MMULT(I989:W989,_XtX!$B$78:$P$92),I989:W989)</f>
        <v>0.271087468019006</v>
      </c>
      <c r="Z989" s="0" t="n">
        <f aca="false">04_回帰ANOVA!$K$19*04_回帰ANOVA!$K$14*SQRT(1+Y989)</f>
        <v>1.46955590155034</v>
      </c>
      <c r="AA989" s="0" t="n">
        <f aca="false">X989-Z989</f>
        <v>41.5178207431865</v>
      </c>
      <c r="AB989" s="0" t="n">
        <f aca="false">X989+Z989</f>
        <v>44.4569325462872</v>
      </c>
      <c r="AC989" s="54" t="b">
        <f aca="false">AND(E989&gt;=01_因子設定!$L$5-0.000000001,E989&lt;=01_因子設定!$M$5+0.000000001,F989&gt;=01_因子設定!$L$6-0.000000001,F989&lt;=01_因子設定!$M$6+0.000000001,G989&gt;=01_因子設定!$L$7-0.000000001,G989&lt;=01_因子設定!$M$7+0.000000001,H989&gt;=01_因子設定!$L$8-0.000000001,H989&lt;=01_因子設定!$M$8+0.000000001,IF(01_因子設定!$B$20="Box-Behnken",E989^2+F989^2+G989^2+H989^2&lt;=2+0.000000001,TRUE()))</f>
        <v>1</v>
      </c>
      <c r="AD989" s="55" t="n">
        <f aca="false">IF(AC989,IF(01_因子設定!$B$13="最大化",AA989-01_因子設定!$B$14,IF(01_因子設定!$B$13="最小化",01_因子設定!$B$15-AB989,MIN(AA989-01_因子設定!$B$14,01_因子設定!$B$15-AB989))),-1E+030)</f>
        <v>-4.98217925681351</v>
      </c>
      <c r="AE989" s="55" t="n">
        <f aca="false">IF(AC989,IF(01_因子設定!$B$13="最大化",X989,IF(01_因子設定!$B$13="最小化",-X989,-ABS(X989-01_因子設定!$B$16))),-1E+030)</f>
        <v>42.9873766447368</v>
      </c>
      <c r="AF989" s="55" t="n">
        <f aca="false">AD989+ROW()*0.000000001</f>
        <v>-4.98217826781351</v>
      </c>
      <c r="AG989" s="55" t="n">
        <f aca="false">AE989+ROW()*0.000000001</f>
        <v>42.9873776337368</v>
      </c>
    </row>
    <row r="990" customFormat="false" ht="15" hidden="false" customHeight="false" outlineLevel="0" collapsed="false">
      <c r="A990" s="0" t="n">
        <v>1</v>
      </c>
      <c r="B990" s="0" t="n">
        <v>3</v>
      </c>
      <c r="C990" s="0" t="n">
        <v>1</v>
      </c>
      <c r="D990" s="0" t="n">
        <v>4</v>
      </c>
      <c r="E990" s="0" t="n">
        <f aca="false">-1+A990*0.25</f>
        <v>-0.75</v>
      </c>
      <c r="F990" s="0" t="n">
        <f aca="false">-1+B990*0.25</f>
        <v>-0.25</v>
      </c>
      <c r="G990" s="0" t="n">
        <f aca="false">-1+C990*0.25</f>
        <v>-0.75</v>
      </c>
      <c r="H990" s="0" t="n">
        <f aca="false">-1+D990*0.25</f>
        <v>0</v>
      </c>
      <c r="I990" s="0" t="n">
        <f aca="false">1</f>
        <v>1</v>
      </c>
      <c r="J990" s="0" t="n">
        <f aca="false">E990</f>
        <v>-0.75</v>
      </c>
      <c r="K990" s="0" t="n">
        <f aca="false">F990</f>
        <v>-0.25</v>
      </c>
      <c r="L990" s="0" t="n">
        <f aca="false">G990</f>
        <v>-0.75</v>
      </c>
      <c r="M990" s="0" t="n">
        <f aca="false">H990</f>
        <v>0</v>
      </c>
      <c r="N990" s="0" t="n">
        <f aca="false">E990*F990</f>
        <v>0.1875</v>
      </c>
      <c r="O990" s="0" t="n">
        <f aca="false">E990*G990</f>
        <v>0.5625</v>
      </c>
      <c r="P990" s="0" t="n">
        <f aca="false">E990*H990</f>
        <v>-0</v>
      </c>
      <c r="Q990" s="0" t="n">
        <f aca="false">F990*G990</f>
        <v>0.1875</v>
      </c>
      <c r="R990" s="0" t="n">
        <f aca="false">F990*H990</f>
        <v>-0</v>
      </c>
      <c r="S990" s="0" t="n">
        <f aca="false">G990*H990</f>
        <v>-0</v>
      </c>
      <c r="T990" s="0" t="n">
        <f aca="false">E990*E990</f>
        <v>0.5625</v>
      </c>
      <c r="U990" s="0" t="n">
        <f aca="false">F990*F990</f>
        <v>0.0625</v>
      </c>
      <c r="V990" s="0" t="n">
        <f aca="false">G990*G990</f>
        <v>0.5625</v>
      </c>
      <c r="W990" s="0" t="n">
        <f aca="false">H990*H990</f>
        <v>0</v>
      </c>
      <c r="X990" s="0" t="n">
        <f aca="false">SUMPRODUCT(I990:W990,_XtX!$B$96:$P$96)</f>
        <v>43.0486065423977</v>
      </c>
      <c r="Y990" s="0" t="n">
        <f aca="false">SUMPRODUCT(MMULT(I990:W990,_XtX!$B$78:$P$92),I990:W990)</f>
        <v>0.281685455500731</v>
      </c>
      <c r="Z990" s="0" t="n">
        <f aca="false">04_回帰ANOVA!$K$19*04_回帰ANOVA!$K$14*SQRT(1+Y990)</f>
        <v>1.47566956658694</v>
      </c>
      <c r="AA990" s="0" t="n">
        <f aca="false">X990-Z990</f>
        <v>41.5729369758107</v>
      </c>
      <c r="AB990" s="0" t="n">
        <f aca="false">X990+Z990</f>
        <v>44.5242761089846</v>
      </c>
      <c r="AC990" s="54" t="b">
        <f aca="false">AND(E990&gt;=01_因子設定!$L$5-0.000000001,E990&lt;=01_因子設定!$M$5+0.000000001,F990&gt;=01_因子設定!$L$6-0.000000001,F990&lt;=01_因子設定!$M$6+0.000000001,G990&gt;=01_因子設定!$L$7-0.000000001,G990&lt;=01_因子設定!$M$7+0.000000001,H990&gt;=01_因子設定!$L$8-0.000000001,H990&lt;=01_因子設定!$M$8+0.000000001,IF(01_因子設定!$B$20="Box-Behnken",E990^2+F990^2+G990^2+H990^2&lt;=2+0.000000001,TRUE()))</f>
        <v>1</v>
      </c>
      <c r="AD990" s="55" t="n">
        <f aca="false">IF(AC990,IF(01_因子設定!$B$13="最大化",AA990-01_因子設定!$B$14,IF(01_因子設定!$B$13="最小化",01_因子設定!$B$15-AB990,MIN(AA990-01_因子設定!$B$14,01_因子設定!$B$15-AB990))),-1E+030)</f>
        <v>-4.92706302418929</v>
      </c>
      <c r="AE990" s="55" t="n">
        <f aca="false">IF(AC990,IF(01_因子設定!$B$13="最大化",X990,IF(01_因子設定!$B$13="最小化",-X990,-ABS(X990-01_因子設定!$B$16))),-1E+030)</f>
        <v>43.0486065423977</v>
      </c>
      <c r="AF990" s="55" t="n">
        <f aca="false">AD990+ROW()*0.000000001</f>
        <v>-4.92706203418929</v>
      </c>
      <c r="AG990" s="55" t="n">
        <f aca="false">AE990+ROW()*0.000000001</f>
        <v>43.0486075323977</v>
      </c>
    </row>
    <row r="991" customFormat="false" ht="15" hidden="false" customHeight="false" outlineLevel="0" collapsed="false">
      <c r="A991" s="0" t="n">
        <v>1</v>
      </c>
      <c r="B991" s="0" t="n">
        <v>3</v>
      </c>
      <c r="C991" s="0" t="n">
        <v>1</v>
      </c>
      <c r="D991" s="0" t="n">
        <v>5</v>
      </c>
      <c r="E991" s="0" t="n">
        <f aca="false">-1+A991*0.25</f>
        <v>-0.75</v>
      </c>
      <c r="F991" s="0" t="n">
        <f aca="false">-1+B991*0.25</f>
        <v>-0.25</v>
      </c>
      <c r="G991" s="0" t="n">
        <f aca="false">-1+C991*0.25</f>
        <v>-0.75</v>
      </c>
      <c r="H991" s="0" t="n">
        <f aca="false">-1+D991*0.25</f>
        <v>0.25</v>
      </c>
      <c r="I991" s="0" t="n">
        <f aca="false">1</f>
        <v>1</v>
      </c>
      <c r="J991" s="0" t="n">
        <f aca="false">E991</f>
        <v>-0.75</v>
      </c>
      <c r="K991" s="0" t="n">
        <f aca="false">F991</f>
        <v>-0.25</v>
      </c>
      <c r="L991" s="0" t="n">
        <f aca="false">G991</f>
        <v>-0.75</v>
      </c>
      <c r="M991" s="0" t="n">
        <f aca="false">H991</f>
        <v>0.25</v>
      </c>
      <c r="N991" s="0" t="n">
        <f aca="false">E991*F991</f>
        <v>0.1875</v>
      </c>
      <c r="O991" s="0" t="n">
        <f aca="false">E991*G991</f>
        <v>0.5625</v>
      </c>
      <c r="P991" s="0" t="n">
        <f aca="false">E991*H991</f>
        <v>-0.1875</v>
      </c>
      <c r="Q991" s="0" t="n">
        <f aca="false">F991*G991</f>
        <v>0.1875</v>
      </c>
      <c r="R991" s="0" t="n">
        <f aca="false">F991*H991</f>
        <v>-0.0625</v>
      </c>
      <c r="S991" s="0" t="n">
        <f aca="false">G991*H991</f>
        <v>-0.1875</v>
      </c>
      <c r="T991" s="0" t="n">
        <f aca="false">E991*E991</f>
        <v>0.5625</v>
      </c>
      <c r="U991" s="0" t="n">
        <f aca="false">F991*F991</f>
        <v>0.0625</v>
      </c>
      <c r="V991" s="0" t="n">
        <f aca="false">G991*G991</f>
        <v>0.5625</v>
      </c>
      <c r="W991" s="0" t="n">
        <f aca="false">H991*H991</f>
        <v>0.0625</v>
      </c>
      <c r="X991" s="0" t="n">
        <f aca="false">SUMPRODUCT(I991:W991,_XtX!$B$96:$P$96)</f>
        <v>43.0620294225146</v>
      </c>
      <c r="Y991" s="0" t="n">
        <f aca="false">SUMPRODUCT(MMULT(I991:W991,_XtX!$B$78:$P$92),I991:W991)</f>
        <v>0.271087468019006</v>
      </c>
      <c r="Z991" s="0" t="n">
        <f aca="false">04_回帰ANOVA!$K$19*04_回帰ANOVA!$K$14*SQRT(1+Y991)</f>
        <v>1.46955590155034</v>
      </c>
      <c r="AA991" s="0" t="n">
        <f aca="false">X991-Z991</f>
        <v>41.5924735209643</v>
      </c>
      <c r="AB991" s="0" t="n">
        <f aca="false">X991+Z991</f>
        <v>44.531585324065</v>
      </c>
      <c r="AC991" s="54" t="b">
        <f aca="false">AND(E991&gt;=01_因子設定!$L$5-0.000000001,E991&lt;=01_因子設定!$M$5+0.000000001,F991&gt;=01_因子設定!$L$6-0.000000001,F991&lt;=01_因子設定!$M$6+0.000000001,G991&gt;=01_因子設定!$L$7-0.000000001,G991&lt;=01_因子設定!$M$7+0.000000001,H991&gt;=01_因子設定!$L$8-0.000000001,H991&lt;=01_因子設定!$M$8+0.000000001,IF(01_因子設定!$B$20="Box-Behnken",E991^2+F991^2+G991^2+H991^2&lt;=2+0.000000001,TRUE()))</f>
        <v>1</v>
      </c>
      <c r="AD991" s="55" t="n">
        <f aca="false">IF(AC991,IF(01_因子設定!$B$13="最大化",AA991-01_因子設定!$B$14,IF(01_因子設定!$B$13="最小化",01_因子設定!$B$15-AB991,MIN(AA991-01_因子設定!$B$14,01_因子設定!$B$15-AB991))),-1E+030)</f>
        <v>-4.90752647903573</v>
      </c>
      <c r="AE991" s="55" t="n">
        <f aca="false">IF(AC991,IF(01_因子設定!$B$13="最大化",X991,IF(01_因子設定!$B$13="最小化",-X991,-ABS(X991-01_因子設定!$B$16))),-1E+030)</f>
        <v>43.0620294225146</v>
      </c>
      <c r="AF991" s="55" t="n">
        <f aca="false">AD991+ROW()*0.000000001</f>
        <v>-4.90752548803573</v>
      </c>
      <c r="AG991" s="55" t="n">
        <f aca="false">AE991+ROW()*0.000000001</f>
        <v>43.0620304135146</v>
      </c>
    </row>
    <row r="992" customFormat="false" ht="15" hidden="false" customHeight="false" outlineLevel="0" collapsed="false">
      <c r="A992" s="0" t="n">
        <v>1</v>
      </c>
      <c r="B992" s="0" t="n">
        <v>3</v>
      </c>
      <c r="C992" s="0" t="n">
        <v>1</v>
      </c>
      <c r="D992" s="0" t="n">
        <v>6</v>
      </c>
      <c r="E992" s="0" t="n">
        <f aca="false">-1+A992*0.25</f>
        <v>-0.75</v>
      </c>
      <c r="F992" s="0" t="n">
        <f aca="false">-1+B992*0.25</f>
        <v>-0.25</v>
      </c>
      <c r="G992" s="0" t="n">
        <f aca="false">-1+C992*0.25</f>
        <v>-0.75</v>
      </c>
      <c r="H992" s="0" t="n">
        <f aca="false">-1+D992*0.25</f>
        <v>0.5</v>
      </c>
      <c r="I992" s="0" t="n">
        <f aca="false">1</f>
        <v>1</v>
      </c>
      <c r="J992" s="0" t="n">
        <f aca="false">E992</f>
        <v>-0.75</v>
      </c>
      <c r="K992" s="0" t="n">
        <f aca="false">F992</f>
        <v>-0.25</v>
      </c>
      <c r="L992" s="0" t="n">
        <f aca="false">G992</f>
        <v>-0.75</v>
      </c>
      <c r="M992" s="0" t="n">
        <f aca="false">H992</f>
        <v>0.5</v>
      </c>
      <c r="N992" s="0" t="n">
        <f aca="false">E992*F992</f>
        <v>0.1875</v>
      </c>
      <c r="O992" s="0" t="n">
        <f aca="false">E992*G992</f>
        <v>0.5625</v>
      </c>
      <c r="P992" s="0" t="n">
        <f aca="false">E992*H992</f>
        <v>-0.375</v>
      </c>
      <c r="Q992" s="0" t="n">
        <f aca="false">F992*G992</f>
        <v>0.1875</v>
      </c>
      <c r="R992" s="0" t="n">
        <f aca="false">F992*H992</f>
        <v>-0.125</v>
      </c>
      <c r="S992" s="0" t="n">
        <f aca="false">G992*H992</f>
        <v>-0.375</v>
      </c>
      <c r="T992" s="0" t="n">
        <f aca="false">E992*E992</f>
        <v>0.5625</v>
      </c>
      <c r="U992" s="0" t="n">
        <f aca="false">F992*F992</f>
        <v>0.0625</v>
      </c>
      <c r="V992" s="0" t="n">
        <f aca="false">G992*G992</f>
        <v>0.5625</v>
      </c>
      <c r="W992" s="0" t="n">
        <f aca="false">H992*H992</f>
        <v>0.25</v>
      </c>
      <c r="X992" s="0" t="n">
        <f aca="false">SUMPRODUCT(I992:W992,_XtX!$B$96:$P$96)</f>
        <v>43.0276452850877</v>
      </c>
      <c r="Y992" s="0" t="n">
        <f aca="false">SUMPRODUCT(MMULT(I992:W992,_XtX!$B$78:$P$92),I992:W992)</f>
        <v>0.257385610836988</v>
      </c>
      <c r="Z992" s="0" t="n">
        <f aca="false">04_回帰ANOVA!$K$19*04_回帰ANOVA!$K$14*SQRT(1+Y992)</f>
        <v>1.46161380324158</v>
      </c>
      <c r="AA992" s="0" t="n">
        <f aca="false">X992-Z992</f>
        <v>41.5660314818461</v>
      </c>
      <c r="AB992" s="0" t="n">
        <f aca="false">X992+Z992</f>
        <v>44.4892590883293</v>
      </c>
      <c r="AC992" s="54" t="b">
        <f aca="false">AND(E992&gt;=01_因子設定!$L$5-0.000000001,E992&lt;=01_因子設定!$M$5+0.000000001,F992&gt;=01_因子設定!$L$6-0.000000001,F992&lt;=01_因子設定!$M$6+0.000000001,G992&gt;=01_因子設定!$L$7-0.000000001,G992&lt;=01_因子設定!$M$7+0.000000001,H992&gt;=01_因子設定!$L$8-0.000000001,H992&lt;=01_因子設定!$M$8+0.000000001,IF(01_因子設定!$B$20="Box-Behnken",E992^2+F992^2+G992^2+H992^2&lt;=2+0.000000001,TRUE()))</f>
        <v>1</v>
      </c>
      <c r="AD992" s="55" t="n">
        <f aca="false">IF(AC992,IF(01_因子設定!$B$13="最大化",AA992-01_因子設定!$B$14,IF(01_因子設定!$B$13="最小化",01_因子設定!$B$15-AB992,MIN(AA992-01_因子設定!$B$14,01_因子設定!$B$15-AB992))),-1E+030)</f>
        <v>-4.93396851815387</v>
      </c>
      <c r="AE992" s="55" t="n">
        <f aca="false">IF(AC992,IF(01_因子設定!$B$13="最大化",X992,IF(01_因子設定!$B$13="最小化",-X992,-ABS(X992-01_因子設定!$B$16))),-1E+030)</f>
        <v>43.0276452850877</v>
      </c>
      <c r="AF992" s="55" t="n">
        <f aca="false">AD992+ROW()*0.000000001</f>
        <v>-4.93396752615387</v>
      </c>
      <c r="AG992" s="55" t="n">
        <f aca="false">AE992+ROW()*0.000000001</f>
        <v>43.0276462770877</v>
      </c>
    </row>
    <row r="993" customFormat="false" ht="15" hidden="false" customHeight="false" outlineLevel="0" collapsed="false">
      <c r="A993" s="0" t="n">
        <v>1</v>
      </c>
      <c r="B993" s="0" t="n">
        <v>3</v>
      </c>
      <c r="C993" s="0" t="n">
        <v>1</v>
      </c>
      <c r="D993" s="0" t="n">
        <v>7</v>
      </c>
      <c r="E993" s="0" t="n">
        <f aca="false">-1+A993*0.25</f>
        <v>-0.75</v>
      </c>
      <c r="F993" s="0" t="n">
        <f aca="false">-1+B993*0.25</f>
        <v>-0.25</v>
      </c>
      <c r="G993" s="0" t="n">
        <f aca="false">-1+C993*0.25</f>
        <v>-0.75</v>
      </c>
      <c r="H993" s="0" t="n">
        <f aca="false">-1+D993*0.25</f>
        <v>0.75</v>
      </c>
      <c r="I993" s="0" t="n">
        <f aca="false">1</f>
        <v>1</v>
      </c>
      <c r="J993" s="0" t="n">
        <f aca="false">E993</f>
        <v>-0.75</v>
      </c>
      <c r="K993" s="0" t="n">
        <f aca="false">F993</f>
        <v>-0.25</v>
      </c>
      <c r="L993" s="0" t="n">
        <f aca="false">G993</f>
        <v>-0.75</v>
      </c>
      <c r="M993" s="0" t="n">
        <f aca="false">H993</f>
        <v>0.75</v>
      </c>
      <c r="N993" s="0" t="n">
        <f aca="false">E993*F993</f>
        <v>0.1875</v>
      </c>
      <c r="O993" s="0" t="n">
        <f aca="false">E993*G993</f>
        <v>0.5625</v>
      </c>
      <c r="P993" s="0" t="n">
        <f aca="false">E993*H993</f>
        <v>-0.5625</v>
      </c>
      <c r="Q993" s="0" t="n">
        <f aca="false">F993*G993</f>
        <v>0.1875</v>
      </c>
      <c r="R993" s="0" t="n">
        <f aca="false">F993*H993</f>
        <v>-0.1875</v>
      </c>
      <c r="S993" s="0" t="n">
        <f aca="false">G993*H993</f>
        <v>-0.5625</v>
      </c>
      <c r="T993" s="0" t="n">
        <f aca="false">E993*E993</f>
        <v>0.5625</v>
      </c>
      <c r="U993" s="0" t="n">
        <f aca="false">F993*F993</f>
        <v>0.0625</v>
      </c>
      <c r="V993" s="0" t="n">
        <f aca="false">G993*G993</f>
        <v>0.5625</v>
      </c>
      <c r="W993" s="0" t="n">
        <f aca="false">H993*H993</f>
        <v>0.5625</v>
      </c>
      <c r="X993" s="0" t="n">
        <f aca="false">SUMPRODUCT(I993:W993,_XtX!$B$96:$P$96)</f>
        <v>42.945454130117</v>
      </c>
      <c r="Y993" s="0" t="n">
        <f aca="false">SUMPRODUCT(MMULT(I993:W993,_XtX!$B$78:$P$92),I993:W993)</f>
        <v>0.294856199744152</v>
      </c>
      <c r="Z993" s="0" t="n">
        <f aca="false">04_回帰ANOVA!$K$19*04_回帰ANOVA!$K$14*SQRT(1+Y993)</f>
        <v>1.48323226089013</v>
      </c>
      <c r="AA993" s="0" t="n">
        <f aca="false">X993-Z993</f>
        <v>41.4622218692268</v>
      </c>
      <c r="AB993" s="0" t="n">
        <f aca="false">X993+Z993</f>
        <v>44.4286863910071</v>
      </c>
      <c r="AC993" s="54" t="b">
        <f aca="false">AND(E993&gt;=01_因子設定!$L$5-0.000000001,E993&lt;=01_因子設定!$M$5+0.000000001,F993&gt;=01_因子設定!$L$6-0.000000001,F993&lt;=01_因子設定!$M$6+0.000000001,G993&gt;=01_因子設定!$L$7-0.000000001,G993&lt;=01_因子設定!$M$7+0.000000001,H993&gt;=01_因子設定!$L$8-0.000000001,H993&lt;=01_因子設定!$M$8+0.000000001,IF(01_因子設定!$B$20="Box-Behnken",E993^2+F993^2+G993^2+H993^2&lt;=2+0.000000001,TRUE()))</f>
        <v>1</v>
      </c>
      <c r="AD993" s="55" t="n">
        <f aca="false">IF(AC993,IF(01_因子設定!$B$13="最大化",AA993-01_因子設定!$B$14,IF(01_因子設定!$B$13="最小化",01_因子設定!$B$15-AB993,MIN(AA993-01_因子設定!$B$14,01_因子設定!$B$15-AB993))),-1E+030)</f>
        <v>-5.03777813077317</v>
      </c>
      <c r="AE993" s="55" t="n">
        <f aca="false">IF(AC993,IF(01_因子設定!$B$13="最大化",X993,IF(01_因子設定!$B$13="最小化",-X993,-ABS(X993-01_因子設定!$B$16))),-1E+030)</f>
        <v>42.945454130117</v>
      </c>
      <c r="AF993" s="55" t="n">
        <f aca="false">AD993+ROW()*0.000000001</f>
        <v>-5.03777713777317</v>
      </c>
      <c r="AG993" s="55" t="n">
        <f aca="false">AE993+ROW()*0.000000001</f>
        <v>42.945455123117</v>
      </c>
    </row>
    <row r="994" customFormat="false" ht="15" hidden="false" customHeight="false" outlineLevel="0" collapsed="false">
      <c r="A994" s="0" t="n">
        <v>1</v>
      </c>
      <c r="B994" s="0" t="n">
        <v>3</v>
      </c>
      <c r="C994" s="0" t="n">
        <v>1</v>
      </c>
      <c r="D994" s="0" t="n">
        <v>8</v>
      </c>
      <c r="E994" s="0" t="n">
        <f aca="false">-1+A994*0.25</f>
        <v>-0.75</v>
      </c>
      <c r="F994" s="0" t="n">
        <f aca="false">-1+B994*0.25</f>
        <v>-0.25</v>
      </c>
      <c r="G994" s="0" t="n">
        <f aca="false">-1+C994*0.25</f>
        <v>-0.75</v>
      </c>
      <c r="H994" s="0" t="n">
        <f aca="false">-1+D994*0.25</f>
        <v>1</v>
      </c>
      <c r="I994" s="0" t="n">
        <f aca="false">1</f>
        <v>1</v>
      </c>
      <c r="J994" s="0" t="n">
        <f aca="false">E994</f>
        <v>-0.75</v>
      </c>
      <c r="K994" s="0" t="n">
        <f aca="false">F994</f>
        <v>-0.25</v>
      </c>
      <c r="L994" s="0" t="n">
        <f aca="false">G994</f>
        <v>-0.75</v>
      </c>
      <c r="M994" s="0" t="n">
        <f aca="false">H994</f>
        <v>1</v>
      </c>
      <c r="N994" s="0" t="n">
        <f aca="false">E994*F994</f>
        <v>0.1875</v>
      </c>
      <c r="O994" s="0" t="n">
        <f aca="false">E994*G994</f>
        <v>0.5625</v>
      </c>
      <c r="P994" s="0" t="n">
        <f aca="false">E994*H994</f>
        <v>-0.75</v>
      </c>
      <c r="Q994" s="0" t="n">
        <f aca="false">F994*G994</f>
        <v>0.1875</v>
      </c>
      <c r="R994" s="0" t="n">
        <f aca="false">F994*H994</f>
        <v>-0.25</v>
      </c>
      <c r="S994" s="0" t="n">
        <f aca="false">G994*H994</f>
        <v>-0.75</v>
      </c>
      <c r="T994" s="0" t="n">
        <f aca="false">E994*E994</f>
        <v>0.5625</v>
      </c>
      <c r="U994" s="0" t="n">
        <f aca="false">F994*F994</f>
        <v>0.0625</v>
      </c>
      <c r="V994" s="0" t="n">
        <f aca="false">G994*G994</f>
        <v>0.5625</v>
      </c>
      <c r="W994" s="0" t="n">
        <f aca="false">H994*H994</f>
        <v>1</v>
      </c>
      <c r="X994" s="0" t="n">
        <f aca="false">SUMPRODUCT(I994:W994,_XtX!$B$96:$P$96)</f>
        <v>42.8154559576024</v>
      </c>
      <c r="Y994" s="0" t="n">
        <f aca="false">SUMPRODUCT(MMULT(I994:W994,_XtX!$B$78:$P$92),I994:W994)</f>
        <v>0.473959761056287</v>
      </c>
      <c r="Z994" s="0" t="n">
        <f aca="false">04_回帰ANOVA!$K$19*04_回帰ANOVA!$K$14*SQRT(1+Y994)</f>
        <v>1.58249084588329</v>
      </c>
      <c r="AA994" s="0" t="n">
        <f aca="false">X994-Z994</f>
        <v>41.2329651117191</v>
      </c>
      <c r="AB994" s="0" t="n">
        <f aca="false">X994+Z994</f>
        <v>44.3979468034857</v>
      </c>
      <c r="AC994" s="54" t="b">
        <f aca="false">AND(E994&gt;=01_因子設定!$L$5-0.000000001,E994&lt;=01_因子設定!$M$5+0.000000001,F994&gt;=01_因子設定!$L$6-0.000000001,F994&lt;=01_因子設定!$M$6+0.000000001,G994&gt;=01_因子設定!$L$7-0.000000001,G994&lt;=01_因子設定!$M$7+0.000000001,H994&gt;=01_因子設定!$L$8-0.000000001,H994&lt;=01_因子設定!$M$8+0.000000001,IF(01_因子設定!$B$20="Box-Behnken",E994^2+F994^2+G994^2+H994^2&lt;=2+0.000000001,TRUE()))</f>
        <v>1</v>
      </c>
      <c r="AD994" s="55" t="n">
        <f aca="false">IF(AC994,IF(01_因子設定!$B$13="最大化",AA994-01_因子設定!$B$14,IF(01_因子設定!$B$13="最小化",01_因子設定!$B$15-AB994,MIN(AA994-01_因子設定!$B$14,01_因子設定!$B$15-AB994))),-1E+030)</f>
        <v>-5.26703488828092</v>
      </c>
      <c r="AE994" s="55" t="n">
        <f aca="false">IF(AC994,IF(01_因子設定!$B$13="最大化",X994,IF(01_因子設定!$B$13="最小化",-X994,-ABS(X994-01_因子設定!$B$16))),-1E+030)</f>
        <v>42.8154559576024</v>
      </c>
      <c r="AF994" s="55" t="n">
        <f aca="false">AD994+ROW()*0.000000001</f>
        <v>-5.26703389428092</v>
      </c>
      <c r="AG994" s="55" t="n">
        <f aca="false">AE994+ROW()*0.000000001</f>
        <v>42.8154569516024</v>
      </c>
    </row>
    <row r="995" customFormat="false" ht="15" hidden="false" customHeight="false" outlineLevel="0" collapsed="false">
      <c r="A995" s="0" t="n">
        <v>1</v>
      </c>
      <c r="B995" s="0" t="n">
        <v>3</v>
      </c>
      <c r="C995" s="0" t="n">
        <v>2</v>
      </c>
      <c r="D995" s="0" t="n">
        <v>0</v>
      </c>
      <c r="E995" s="0" t="n">
        <f aca="false">-1+A995*0.25</f>
        <v>-0.75</v>
      </c>
      <c r="F995" s="0" t="n">
        <f aca="false">-1+B995*0.25</f>
        <v>-0.25</v>
      </c>
      <c r="G995" s="0" t="n">
        <f aca="false">-1+C995*0.25</f>
        <v>-0.5</v>
      </c>
      <c r="H995" s="0" t="n">
        <f aca="false">-1+D995*0.25</f>
        <v>-1</v>
      </c>
      <c r="I995" s="0" t="n">
        <f aca="false">1</f>
        <v>1</v>
      </c>
      <c r="J995" s="0" t="n">
        <f aca="false">E995</f>
        <v>-0.75</v>
      </c>
      <c r="K995" s="0" t="n">
        <f aca="false">F995</f>
        <v>-0.25</v>
      </c>
      <c r="L995" s="0" t="n">
        <f aca="false">G995</f>
        <v>-0.5</v>
      </c>
      <c r="M995" s="0" t="n">
        <f aca="false">H995</f>
        <v>-1</v>
      </c>
      <c r="N995" s="0" t="n">
        <f aca="false">E995*F995</f>
        <v>0.1875</v>
      </c>
      <c r="O995" s="0" t="n">
        <f aca="false">E995*G995</f>
        <v>0.375</v>
      </c>
      <c r="P995" s="0" t="n">
        <f aca="false">E995*H995</f>
        <v>0.75</v>
      </c>
      <c r="Q995" s="0" t="n">
        <f aca="false">F995*G995</f>
        <v>0.125</v>
      </c>
      <c r="R995" s="0" t="n">
        <f aca="false">F995*H995</f>
        <v>0.25</v>
      </c>
      <c r="S995" s="0" t="n">
        <f aca="false">G995*H995</f>
        <v>0.5</v>
      </c>
      <c r="T995" s="0" t="n">
        <f aca="false">E995*E995</f>
        <v>0.5625</v>
      </c>
      <c r="U995" s="0" t="n">
        <f aca="false">F995*F995</f>
        <v>0.0625</v>
      </c>
      <c r="V995" s="0" t="n">
        <f aca="false">G995*G995</f>
        <v>0.25</v>
      </c>
      <c r="W995" s="0" t="n">
        <f aca="false">H995*H995</f>
        <v>1</v>
      </c>
      <c r="X995" s="0" t="n">
        <f aca="false">SUMPRODUCT(I995:W995,_XtX!$B$96:$P$96)</f>
        <v>43.0064144736842</v>
      </c>
      <c r="Y995" s="0" t="n">
        <f aca="false">SUMPRODUCT(MMULT(I995:W995,_XtX!$B$78:$P$92),I995:W995)</f>
        <v>0.459125719572369</v>
      </c>
      <c r="Z995" s="0" t="n">
        <f aca="false">04_回帰ANOVA!$K$19*04_回帰ANOVA!$K$14*SQRT(1+Y995)</f>
        <v>1.57450755575573</v>
      </c>
      <c r="AA995" s="0" t="n">
        <f aca="false">X995-Z995</f>
        <v>41.4319069179285</v>
      </c>
      <c r="AB995" s="0" t="n">
        <f aca="false">X995+Z995</f>
        <v>44.58092202944</v>
      </c>
      <c r="AC995" s="54" t="b">
        <f aca="false">AND(E995&gt;=01_因子設定!$L$5-0.000000001,E995&lt;=01_因子設定!$M$5+0.000000001,F995&gt;=01_因子設定!$L$6-0.000000001,F995&lt;=01_因子設定!$M$6+0.000000001,G995&gt;=01_因子設定!$L$7-0.000000001,G995&lt;=01_因子設定!$M$7+0.000000001,H995&gt;=01_因子設定!$L$8-0.000000001,H995&lt;=01_因子設定!$M$8+0.000000001,IF(01_因子設定!$B$20="Box-Behnken",E995^2+F995^2+G995^2+H995^2&lt;=2+0.000000001,TRUE()))</f>
        <v>1</v>
      </c>
      <c r="AD995" s="55" t="n">
        <f aca="false">IF(AC995,IF(01_因子設定!$B$13="最大化",AA995-01_因子設定!$B$14,IF(01_因子設定!$B$13="最小化",01_因子設定!$B$15-AB995,MIN(AA995-01_因子設定!$B$14,01_因子設定!$B$15-AB995))),-1E+030)</f>
        <v>-5.06809308207149</v>
      </c>
      <c r="AE995" s="55" t="n">
        <f aca="false">IF(AC995,IF(01_因子設定!$B$13="最大化",X995,IF(01_因子設定!$B$13="最小化",-X995,-ABS(X995-01_因子設定!$B$16))),-1E+030)</f>
        <v>43.0064144736842</v>
      </c>
      <c r="AF995" s="55" t="n">
        <f aca="false">AD995+ROW()*0.000000001</f>
        <v>-5.06809208707149</v>
      </c>
      <c r="AG995" s="55" t="n">
        <f aca="false">AE995+ROW()*0.000000001</f>
        <v>43.0064154686842</v>
      </c>
    </row>
    <row r="996" customFormat="false" ht="15" hidden="false" customHeight="false" outlineLevel="0" collapsed="false">
      <c r="A996" s="0" t="n">
        <v>1</v>
      </c>
      <c r="B996" s="0" t="n">
        <v>3</v>
      </c>
      <c r="C996" s="0" t="n">
        <v>2</v>
      </c>
      <c r="D996" s="0" t="n">
        <v>1</v>
      </c>
      <c r="E996" s="0" t="n">
        <f aca="false">-1+A996*0.25</f>
        <v>-0.75</v>
      </c>
      <c r="F996" s="0" t="n">
        <f aca="false">-1+B996*0.25</f>
        <v>-0.25</v>
      </c>
      <c r="G996" s="0" t="n">
        <f aca="false">-1+C996*0.25</f>
        <v>-0.5</v>
      </c>
      <c r="H996" s="0" t="n">
        <f aca="false">-1+D996*0.25</f>
        <v>-0.75</v>
      </c>
      <c r="I996" s="0" t="n">
        <f aca="false">1</f>
        <v>1</v>
      </c>
      <c r="J996" s="0" t="n">
        <f aca="false">E996</f>
        <v>-0.75</v>
      </c>
      <c r="K996" s="0" t="n">
        <f aca="false">F996</f>
        <v>-0.25</v>
      </c>
      <c r="L996" s="0" t="n">
        <f aca="false">G996</f>
        <v>-0.5</v>
      </c>
      <c r="M996" s="0" t="n">
        <f aca="false">H996</f>
        <v>-0.75</v>
      </c>
      <c r="N996" s="0" t="n">
        <f aca="false">E996*F996</f>
        <v>0.1875</v>
      </c>
      <c r="O996" s="0" t="n">
        <f aca="false">E996*G996</f>
        <v>0.375</v>
      </c>
      <c r="P996" s="0" t="n">
        <f aca="false">E996*H996</f>
        <v>0.5625</v>
      </c>
      <c r="Q996" s="0" t="n">
        <f aca="false">F996*G996</f>
        <v>0.125</v>
      </c>
      <c r="R996" s="0" t="n">
        <f aca="false">F996*H996</f>
        <v>0.1875</v>
      </c>
      <c r="S996" s="0" t="n">
        <f aca="false">G996*H996</f>
        <v>0.375</v>
      </c>
      <c r="T996" s="0" t="n">
        <f aca="false">E996*E996</f>
        <v>0.5625</v>
      </c>
      <c r="U996" s="0" t="n">
        <f aca="false">F996*F996</f>
        <v>0.0625</v>
      </c>
      <c r="V996" s="0" t="n">
        <f aca="false">G996*G996</f>
        <v>0.25</v>
      </c>
      <c r="W996" s="0" t="n">
        <f aca="false">H996*H996</f>
        <v>0.5625</v>
      </c>
      <c r="X996" s="0" t="n">
        <f aca="false">SUMPRODUCT(I996:W996,_XtX!$B$96:$P$96)</f>
        <v>43.2290341739766</v>
      </c>
      <c r="Y996" s="0" t="n">
        <f aca="false">SUMPRODUCT(MMULT(I996:W996,_XtX!$B$78:$P$92),I996:W996)</f>
        <v>0.257385610836988</v>
      </c>
      <c r="Z996" s="0" t="n">
        <f aca="false">04_回帰ANOVA!$K$19*04_回帰ANOVA!$K$14*SQRT(1+Y996)</f>
        <v>1.46161380324158</v>
      </c>
      <c r="AA996" s="0" t="n">
        <f aca="false">X996-Z996</f>
        <v>41.767420370735</v>
      </c>
      <c r="AB996" s="0" t="n">
        <f aca="false">X996+Z996</f>
        <v>44.6906479772182</v>
      </c>
      <c r="AC996" s="54" t="b">
        <f aca="false">AND(E996&gt;=01_因子設定!$L$5-0.000000001,E996&lt;=01_因子設定!$M$5+0.000000001,F996&gt;=01_因子設定!$L$6-0.000000001,F996&lt;=01_因子設定!$M$6+0.000000001,G996&gt;=01_因子設定!$L$7-0.000000001,G996&lt;=01_因子設定!$M$7+0.000000001,H996&gt;=01_因子設定!$L$8-0.000000001,H996&lt;=01_因子設定!$M$8+0.000000001,IF(01_因子設定!$B$20="Box-Behnken",E996^2+F996^2+G996^2+H996^2&lt;=2+0.000000001,TRUE()))</f>
        <v>1</v>
      </c>
      <c r="AD996" s="55" t="n">
        <f aca="false">IF(AC996,IF(01_因子設定!$B$13="最大化",AA996-01_因子設定!$B$14,IF(01_因子設定!$B$13="最小化",01_因子設定!$B$15-AB996,MIN(AA996-01_因子設定!$B$14,01_因子設定!$B$15-AB996))),-1E+030)</f>
        <v>-4.73257962926497</v>
      </c>
      <c r="AE996" s="55" t="n">
        <f aca="false">IF(AC996,IF(01_因子設定!$B$13="最大化",X996,IF(01_因子設定!$B$13="最小化",-X996,-ABS(X996-01_因子設定!$B$16))),-1E+030)</f>
        <v>43.2290341739766</v>
      </c>
      <c r="AF996" s="55" t="n">
        <f aca="false">AD996+ROW()*0.000000001</f>
        <v>-4.73257863326497</v>
      </c>
      <c r="AG996" s="55" t="n">
        <f aca="false">AE996+ROW()*0.000000001</f>
        <v>43.2290351699766</v>
      </c>
    </row>
    <row r="997" customFormat="false" ht="15" hidden="false" customHeight="false" outlineLevel="0" collapsed="false">
      <c r="A997" s="0" t="n">
        <v>1</v>
      </c>
      <c r="B997" s="0" t="n">
        <v>3</v>
      </c>
      <c r="C997" s="0" t="n">
        <v>2</v>
      </c>
      <c r="D997" s="0" t="n">
        <v>2</v>
      </c>
      <c r="E997" s="0" t="n">
        <f aca="false">-1+A997*0.25</f>
        <v>-0.75</v>
      </c>
      <c r="F997" s="0" t="n">
        <f aca="false">-1+B997*0.25</f>
        <v>-0.25</v>
      </c>
      <c r="G997" s="0" t="n">
        <f aca="false">-1+C997*0.25</f>
        <v>-0.5</v>
      </c>
      <c r="H997" s="0" t="n">
        <f aca="false">-1+D997*0.25</f>
        <v>-0.5</v>
      </c>
      <c r="I997" s="0" t="n">
        <f aca="false">1</f>
        <v>1</v>
      </c>
      <c r="J997" s="0" t="n">
        <f aca="false">E997</f>
        <v>-0.75</v>
      </c>
      <c r="K997" s="0" t="n">
        <f aca="false">F997</f>
        <v>-0.25</v>
      </c>
      <c r="L997" s="0" t="n">
        <f aca="false">G997</f>
        <v>-0.5</v>
      </c>
      <c r="M997" s="0" t="n">
        <f aca="false">H997</f>
        <v>-0.5</v>
      </c>
      <c r="N997" s="0" t="n">
        <f aca="false">E997*F997</f>
        <v>0.1875</v>
      </c>
      <c r="O997" s="0" t="n">
        <f aca="false">E997*G997</f>
        <v>0.375</v>
      </c>
      <c r="P997" s="0" t="n">
        <f aca="false">E997*H997</f>
        <v>0.375</v>
      </c>
      <c r="Q997" s="0" t="n">
        <f aca="false">F997*G997</f>
        <v>0.125</v>
      </c>
      <c r="R997" s="0" t="n">
        <f aca="false">F997*H997</f>
        <v>0.125</v>
      </c>
      <c r="S997" s="0" t="n">
        <f aca="false">G997*H997</f>
        <v>0.25</v>
      </c>
      <c r="T997" s="0" t="n">
        <f aca="false">E997*E997</f>
        <v>0.5625</v>
      </c>
      <c r="U997" s="0" t="n">
        <f aca="false">F997*F997</f>
        <v>0.0625</v>
      </c>
      <c r="V997" s="0" t="n">
        <f aca="false">G997*G997</f>
        <v>0.25</v>
      </c>
      <c r="W997" s="0" t="n">
        <f aca="false">H997*H997</f>
        <v>0.25</v>
      </c>
      <c r="X997" s="0" t="n">
        <f aca="false">SUMPRODUCT(I997:W997,_XtX!$B$96:$P$96)</f>
        <v>43.4038468567251</v>
      </c>
      <c r="Y997" s="0" t="n">
        <f aca="false">SUMPRODUCT(MMULT(I997:W997,_XtX!$B$78:$P$92),I997:W997)</f>
        <v>0.203746059484649</v>
      </c>
      <c r="Z997" s="0" t="n">
        <f aca="false">04_回帰ANOVA!$K$19*04_回帰ANOVA!$K$14*SQRT(1+Y997)</f>
        <v>1.43009810755465</v>
      </c>
      <c r="AA997" s="0" t="n">
        <f aca="false">X997-Z997</f>
        <v>41.9737487491705</v>
      </c>
      <c r="AB997" s="0" t="n">
        <f aca="false">X997+Z997</f>
        <v>44.8339449642798</v>
      </c>
      <c r="AC997" s="54" t="b">
        <f aca="false">AND(E997&gt;=01_因子設定!$L$5-0.000000001,E997&lt;=01_因子設定!$M$5+0.000000001,F997&gt;=01_因子設定!$L$6-0.000000001,F997&lt;=01_因子設定!$M$6+0.000000001,G997&gt;=01_因子設定!$L$7-0.000000001,G997&lt;=01_因子設定!$M$7+0.000000001,H997&gt;=01_因子設定!$L$8-0.000000001,H997&lt;=01_因子設定!$M$8+0.000000001,IF(01_因子設定!$B$20="Box-Behnken",E997^2+F997^2+G997^2+H997^2&lt;=2+0.000000001,TRUE()))</f>
        <v>1</v>
      </c>
      <c r="AD997" s="55" t="n">
        <f aca="false">IF(AC997,IF(01_因子設定!$B$13="最大化",AA997-01_因子設定!$B$14,IF(01_因子設定!$B$13="最小化",01_因子設定!$B$15-AB997,MIN(AA997-01_因子設定!$B$14,01_因子設定!$B$15-AB997))),-1E+030)</f>
        <v>-4.5262512508295</v>
      </c>
      <c r="AE997" s="55" t="n">
        <f aca="false">IF(AC997,IF(01_因子設定!$B$13="最大化",X997,IF(01_因子設定!$B$13="最小化",-X997,-ABS(X997-01_因子設定!$B$16))),-1E+030)</f>
        <v>43.4038468567251</v>
      </c>
      <c r="AF997" s="55" t="n">
        <f aca="false">AD997+ROW()*0.000000001</f>
        <v>-4.5262502538295</v>
      </c>
      <c r="AG997" s="55" t="n">
        <f aca="false">AE997+ROW()*0.000000001</f>
        <v>43.4038478537251</v>
      </c>
    </row>
    <row r="998" customFormat="false" ht="15" hidden="false" customHeight="false" outlineLevel="0" collapsed="false">
      <c r="A998" s="0" t="n">
        <v>1</v>
      </c>
      <c r="B998" s="0" t="n">
        <v>3</v>
      </c>
      <c r="C998" s="0" t="n">
        <v>2</v>
      </c>
      <c r="D998" s="0" t="n">
        <v>3</v>
      </c>
      <c r="E998" s="0" t="n">
        <f aca="false">-1+A998*0.25</f>
        <v>-0.75</v>
      </c>
      <c r="F998" s="0" t="n">
        <f aca="false">-1+B998*0.25</f>
        <v>-0.25</v>
      </c>
      <c r="G998" s="0" t="n">
        <f aca="false">-1+C998*0.25</f>
        <v>-0.5</v>
      </c>
      <c r="H998" s="0" t="n">
        <f aca="false">-1+D998*0.25</f>
        <v>-0.25</v>
      </c>
      <c r="I998" s="0" t="n">
        <f aca="false">1</f>
        <v>1</v>
      </c>
      <c r="J998" s="0" t="n">
        <f aca="false">E998</f>
        <v>-0.75</v>
      </c>
      <c r="K998" s="0" t="n">
        <f aca="false">F998</f>
        <v>-0.25</v>
      </c>
      <c r="L998" s="0" t="n">
        <f aca="false">G998</f>
        <v>-0.5</v>
      </c>
      <c r="M998" s="0" t="n">
        <f aca="false">H998</f>
        <v>-0.25</v>
      </c>
      <c r="N998" s="0" t="n">
        <f aca="false">E998*F998</f>
        <v>0.1875</v>
      </c>
      <c r="O998" s="0" t="n">
        <f aca="false">E998*G998</f>
        <v>0.375</v>
      </c>
      <c r="P998" s="0" t="n">
        <f aca="false">E998*H998</f>
        <v>0.1875</v>
      </c>
      <c r="Q998" s="0" t="n">
        <f aca="false">F998*G998</f>
        <v>0.125</v>
      </c>
      <c r="R998" s="0" t="n">
        <f aca="false">F998*H998</f>
        <v>0.0625</v>
      </c>
      <c r="S998" s="0" t="n">
        <f aca="false">G998*H998</f>
        <v>0.125</v>
      </c>
      <c r="T998" s="0" t="n">
        <f aca="false">E998*E998</f>
        <v>0.5625</v>
      </c>
      <c r="U998" s="0" t="n">
        <f aca="false">F998*F998</f>
        <v>0.0625</v>
      </c>
      <c r="V998" s="0" t="n">
        <f aca="false">G998*G998</f>
        <v>0.25</v>
      </c>
      <c r="W998" s="0" t="n">
        <f aca="false">H998*H998</f>
        <v>0.0625</v>
      </c>
      <c r="X998" s="0" t="n">
        <f aca="false">SUMPRODUCT(I998:W998,_XtX!$B$96:$P$96)</f>
        <v>43.5308525219298</v>
      </c>
      <c r="Y998" s="0" t="n">
        <f aca="false">SUMPRODUCT(MMULT(I998:W998,_XtX!$B$78:$P$92),I998:W998)</f>
        <v>0.207746539199561</v>
      </c>
      <c r="Z998" s="0" t="n">
        <f aca="false">04_回帰ANOVA!$K$19*04_回帰ANOVA!$K$14*SQRT(1+Y998)</f>
        <v>1.43247250081141</v>
      </c>
      <c r="AA998" s="0" t="n">
        <f aca="false">X998-Z998</f>
        <v>42.0983800211184</v>
      </c>
      <c r="AB998" s="0" t="n">
        <f aca="false">X998+Z998</f>
        <v>44.9633250227412</v>
      </c>
      <c r="AC998" s="54" t="b">
        <f aca="false">AND(E998&gt;=01_因子設定!$L$5-0.000000001,E998&lt;=01_因子設定!$M$5+0.000000001,F998&gt;=01_因子設定!$L$6-0.000000001,F998&lt;=01_因子設定!$M$6+0.000000001,G998&gt;=01_因子設定!$L$7-0.000000001,G998&lt;=01_因子設定!$M$7+0.000000001,H998&gt;=01_因子設定!$L$8-0.000000001,H998&lt;=01_因子設定!$M$8+0.000000001,IF(01_因子設定!$B$20="Box-Behnken",E998^2+F998^2+G998^2+H998^2&lt;=2+0.000000001,TRUE()))</f>
        <v>1</v>
      </c>
      <c r="AD998" s="55" t="n">
        <f aca="false">IF(AC998,IF(01_因子設定!$B$13="最大化",AA998-01_因子設定!$B$14,IF(01_因子設定!$B$13="最小化",01_因子設定!$B$15-AB998,MIN(AA998-01_因子設定!$B$14,01_因子設定!$B$15-AB998))),-1E+030)</f>
        <v>-4.40161997888159</v>
      </c>
      <c r="AE998" s="55" t="n">
        <f aca="false">IF(AC998,IF(01_因子設定!$B$13="最大化",X998,IF(01_因子設定!$B$13="最小化",-X998,-ABS(X998-01_因子設定!$B$16))),-1E+030)</f>
        <v>43.5308525219298</v>
      </c>
      <c r="AF998" s="55" t="n">
        <f aca="false">AD998+ROW()*0.000000001</f>
        <v>-4.40161898088159</v>
      </c>
      <c r="AG998" s="55" t="n">
        <f aca="false">AE998+ROW()*0.000000001</f>
        <v>43.5308535199298</v>
      </c>
    </row>
    <row r="999" customFormat="false" ht="15" hidden="false" customHeight="false" outlineLevel="0" collapsed="false">
      <c r="A999" s="0" t="n">
        <v>1</v>
      </c>
      <c r="B999" s="0" t="n">
        <v>3</v>
      </c>
      <c r="C999" s="0" t="n">
        <v>2</v>
      </c>
      <c r="D999" s="0" t="n">
        <v>4</v>
      </c>
      <c r="E999" s="0" t="n">
        <f aca="false">-1+A999*0.25</f>
        <v>-0.75</v>
      </c>
      <c r="F999" s="0" t="n">
        <f aca="false">-1+B999*0.25</f>
        <v>-0.25</v>
      </c>
      <c r="G999" s="0" t="n">
        <f aca="false">-1+C999*0.25</f>
        <v>-0.5</v>
      </c>
      <c r="H999" s="0" t="n">
        <f aca="false">-1+D999*0.25</f>
        <v>0</v>
      </c>
      <c r="I999" s="0" t="n">
        <f aca="false">1</f>
        <v>1</v>
      </c>
      <c r="J999" s="0" t="n">
        <f aca="false">E999</f>
        <v>-0.75</v>
      </c>
      <c r="K999" s="0" t="n">
        <f aca="false">F999</f>
        <v>-0.25</v>
      </c>
      <c r="L999" s="0" t="n">
        <f aca="false">G999</f>
        <v>-0.5</v>
      </c>
      <c r="M999" s="0" t="n">
        <f aca="false">H999</f>
        <v>0</v>
      </c>
      <c r="N999" s="0" t="n">
        <f aca="false">E999*F999</f>
        <v>0.1875</v>
      </c>
      <c r="O999" s="0" t="n">
        <f aca="false">E999*G999</f>
        <v>0.375</v>
      </c>
      <c r="P999" s="0" t="n">
        <f aca="false">E999*H999</f>
        <v>-0</v>
      </c>
      <c r="Q999" s="0" t="n">
        <f aca="false">F999*G999</f>
        <v>0.125</v>
      </c>
      <c r="R999" s="0" t="n">
        <f aca="false">F999*H999</f>
        <v>-0</v>
      </c>
      <c r="S999" s="0" t="n">
        <f aca="false">G999*H999</f>
        <v>-0</v>
      </c>
      <c r="T999" s="0" t="n">
        <f aca="false">E999*E999</f>
        <v>0.5625</v>
      </c>
      <c r="U999" s="0" t="n">
        <f aca="false">F999*F999</f>
        <v>0.0625</v>
      </c>
      <c r="V999" s="0" t="n">
        <f aca="false">G999*G999</f>
        <v>0.25</v>
      </c>
      <c r="W999" s="0" t="n">
        <f aca="false">H999*H999</f>
        <v>0</v>
      </c>
      <c r="X999" s="0" t="n">
        <f aca="false">SUMPRODUCT(I999:W999,_XtX!$B$96:$P$96)</f>
        <v>43.6100511695906</v>
      </c>
      <c r="Y999" s="0" t="n">
        <f aca="false">SUMPRODUCT(MMULT(I999:W999,_XtX!$B$78:$P$92),I999:W999)</f>
        <v>0.215110734192252</v>
      </c>
      <c r="Z999" s="0" t="n">
        <f aca="false">04_回帰ANOVA!$K$19*04_回帰ANOVA!$K$14*SQRT(1+Y999)</f>
        <v>1.43683309086864</v>
      </c>
      <c r="AA999" s="0" t="n">
        <f aca="false">X999-Z999</f>
        <v>42.173218078722</v>
      </c>
      <c r="AB999" s="0" t="n">
        <f aca="false">X999+Z999</f>
        <v>45.0468842604593</v>
      </c>
      <c r="AC999" s="54" t="b">
        <f aca="false">AND(E999&gt;=01_因子設定!$L$5-0.000000001,E999&lt;=01_因子設定!$M$5+0.000000001,F999&gt;=01_因子設定!$L$6-0.000000001,F999&lt;=01_因子設定!$M$6+0.000000001,G999&gt;=01_因子設定!$L$7-0.000000001,G999&lt;=01_因子設定!$M$7+0.000000001,H999&gt;=01_因子設定!$L$8-0.000000001,H999&lt;=01_因子設定!$M$8+0.000000001,IF(01_因子設定!$B$20="Box-Behnken",E999^2+F999^2+G999^2+H999^2&lt;=2+0.000000001,TRUE()))</f>
        <v>1</v>
      </c>
      <c r="AD999" s="55" t="n">
        <f aca="false">IF(AC999,IF(01_因子設定!$B$13="最大化",AA999-01_因子設定!$B$14,IF(01_因子設定!$B$13="最小化",01_因子設定!$B$15-AB999,MIN(AA999-01_因子設定!$B$14,01_因子設定!$B$15-AB999))),-1E+030)</f>
        <v>-4.32678192127802</v>
      </c>
      <c r="AE999" s="55" t="n">
        <f aca="false">IF(AC999,IF(01_因子設定!$B$13="最大化",X999,IF(01_因子設定!$B$13="最小化",-X999,-ABS(X999-01_因子設定!$B$16))),-1E+030)</f>
        <v>43.6100511695906</v>
      </c>
      <c r="AF999" s="55" t="n">
        <f aca="false">AD999+ROW()*0.000000001</f>
        <v>-4.32678092227802</v>
      </c>
      <c r="AG999" s="55" t="n">
        <f aca="false">AE999+ROW()*0.000000001</f>
        <v>43.6100521685906</v>
      </c>
    </row>
    <row r="1000" customFormat="false" ht="15" hidden="false" customHeight="false" outlineLevel="0" collapsed="false">
      <c r="A1000" s="0" t="n">
        <v>1</v>
      </c>
      <c r="B1000" s="0" t="n">
        <v>3</v>
      </c>
      <c r="C1000" s="0" t="n">
        <v>2</v>
      </c>
      <c r="D1000" s="0" t="n">
        <v>5</v>
      </c>
      <c r="E1000" s="0" t="n">
        <f aca="false">-1+A1000*0.25</f>
        <v>-0.75</v>
      </c>
      <c r="F1000" s="0" t="n">
        <f aca="false">-1+B1000*0.25</f>
        <v>-0.25</v>
      </c>
      <c r="G1000" s="0" t="n">
        <f aca="false">-1+C1000*0.25</f>
        <v>-0.5</v>
      </c>
      <c r="H1000" s="0" t="n">
        <f aca="false">-1+D1000*0.25</f>
        <v>0.25</v>
      </c>
      <c r="I1000" s="0" t="n">
        <f aca="false">1</f>
        <v>1</v>
      </c>
      <c r="J1000" s="0" t="n">
        <f aca="false">E1000</f>
        <v>-0.75</v>
      </c>
      <c r="K1000" s="0" t="n">
        <f aca="false">F1000</f>
        <v>-0.25</v>
      </c>
      <c r="L1000" s="0" t="n">
        <f aca="false">G1000</f>
        <v>-0.5</v>
      </c>
      <c r="M1000" s="0" t="n">
        <f aca="false">H1000</f>
        <v>0.25</v>
      </c>
      <c r="N1000" s="0" t="n">
        <f aca="false">E1000*F1000</f>
        <v>0.1875</v>
      </c>
      <c r="O1000" s="0" t="n">
        <f aca="false">E1000*G1000</f>
        <v>0.375</v>
      </c>
      <c r="P1000" s="0" t="n">
        <f aca="false">E1000*H1000</f>
        <v>-0.1875</v>
      </c>
      <c r="Q1000" s="0" t="n">
        <f aca="false">F1000*G1000</f>
        <v>0.125</v>
      </c>
      <c r="R1000" s="0" t="n">
        <f aca="false">F1000*H1000</f>
        <v>-0.0625</v>
      </c>
      <c r="S1000" s="0" t="n">
        <f aca="false">G1000*H1000</f>
        <v>-0.125</v>
      </c>
      <c r="T1000" s="0" t="n">
        <f aca="false">E1000*E1000</f>
        <v>0.5625</v>
      </c>
      <c r="U1000" s="0" t="n">
        <f aca="false">F1000*F1000</f>
        <v>0.0625</v>
      </c>
      <c r="V1000" s="0" t="n">
        <f aca="false">G1000*G1000</f>
        <v>0.25</v>
      </c>
      <c r="W1000" s="0" t="n">
        <f aca="false">H1000*H1000</f>
        <v>0.0625</v>
      </c>
      <c r="X1000" s="0" t="n">
        <f aca="false">SUMPRODUCT(I1000:W1000,_XtX!$B$96:$P$96)</f>
        <v>43.6414427997076</v>
      </c>
      <c r="Y1000" s="0" t="n">
        <f aca="false">SUMPRODUCT(MMULT(I1000:W1000,_XtX!$B$78:$P$92),I1000:W1000)</f>
        <v>0.207746539199561</v>
      </c>
      <c r="Z1000" s="0" t="n">
        <f aca="false">04_回帰ANOVA!$K$19*04_回帰ANOVA!$K$14*SQRT(1+Y1000)</f>
        <v>1.43247250081141</v>
      </c>
      <c r="AA1000" s="0" t="n">
        <f aca="false">X1000-Z1000</f>
        <v>42.2089702988962</v>
      </c>
      <c r="AB1000" s="0" t="n">
        <f aca="false">X1000+Z1000</f>
        <v>45.073915300519</v>
      </c>
      <c r="AC1000" s="54" t="b">
        <f aca="false">AND(E1000&gt;=01_因子設定!$L$5-0.000000001,E1000&lt;=01_因子設定!$M$5+0.000000001,F1000&gt;=01_因子設定!$L$6-0.000000001,F1000&lt;=01_因子設定!$M$6+0.000000001,G1000&gt;=01_因子設定!$L$7-0.000000001,G1000&lt;=01_因子設定!$M$7+0.000000001,H1000&gt;=01_因子設定!$L$8-0.000000001,H1000&lt;=01_因子設定!$M$8+0.000000001,IF(01_因子設定!$B$20="Box-Behnken",E1000^2+F1000^2+G1000^2+H1000^2&lt;=2+0.000000001,TRUE()))</f>
        <v>1</v>
      </c>
      <c r="AD1000" s="55" t="n">
        <f aca="false">IF(AC1000,IF(01_因子設定!$B$13="最大化",AA1000-01_因子設定!$B$14,IF(01_因子設定!$B$13="最小化",01_因子設定!$B$15-AB1000,MIN(AA1000-01_因子設定!$B$14,01_因子設定!$B$15-AB1000))),-1E+030)</f>
        <v>-4.29102970110382</v>
      </c>
      <c r="AE1000" s="55" t="n">
        <f aca="false">IF(AC1000,IF(01_因子設定!$B$13="最大化",X1000,IF(01_因子設定!$B$13="最小化",-X1000,-ABS(X1000-01_因子設定!$B$16))),-1E+030)</f>
        <v>43.6414427997076</v>
      </c>
      <c r="AF1000" s="55" t="n">
        <f aca="false">AD1000+ROW()*0.000000001</f>
        <v>-4.29102870110382</v>
      </c>
      <c r="AG1000" s="55" t="n">
        <f aca="false">AE1000+ROW()*0.000000001</f>
        <v>43.6414437997076</v>
      </c>
    </row>
    <row r="1001" customFormat="false" ht="15" hidden="false" customHeight="false" outlineLevel="0" collapsed="false">
      <c r="A1001" s="0" t="n">
        <v>1</v>
      </c>
      <c r="B1001" s="0" t="n">
        <v>3</v>
      </c>
      <c r="C1001" s="0" t="n">
        <v>2</v>
      </c>
      <c r="D1001" s="0" t="n">
        <v>6</v>
      </c>
      <c r="E1001" s="0" t="n">
        <f aca="false">-1+A1001*0.25</f>
        <v>-0.75</v>
      </c>
      <c r="F1001" s="0" t="n">
        <f aca="false">-1+B1001*0.25</f>
        <v>-0.25</v>
      </c>
      <c r="G1001" s="0" t="n">
        <f aca="false">-1+C1001*0.25</f>
        <v>-0.5</v>
      </c>
      <c r="H1001" s="0" t="n">
        <f aca="false">-1+D1001*0.25</f>
        <v>0.5</v>
      </c>
      <c r="I1001" s="0" t="n">
        <f aca="false">1</f>
        <v>1</v>
      </c>
      <c r="J1001" s="0" t="n">
        <f aca="false">E1001</f>
        <v>-0.75</v>
      </c>
      <c r="K1001" s="0" t="n">
        <f aca="false">F1001</f>
        <v>-0.25</v>
      </c>
      <c r="L1001" s="0" t="n">
        <f aca="false">G1001</f>
        <v>-0.5</v>
      </c>
      <c r="M1001" s="0" t="n">
        <f aca="false">H1001</f>
        <v>0.5</v>
      </c>
      <c r="N1001" s="0" t="n">
        <f aca="false">E1001*F1001</f>
        <v>0.1875</v>
      </c>
      <c r="O1001" s="0" t="n">
        <f aca="false">E1001*G1001</f>
        <v>0.375</v>
      </c>
      <c r="P1001" s="0" t="n">
        <f aca="false">E1001*H1001</f>
        <v>-0.375</v>
      </c>
      <c r="Q1001" s="0" t="n">
        <f aca="false">F1001*G1001</f>
        <v>0.125</v>
      </c>
      <c r="R1001" s="0" t="n">
        <f aca="false">F1001*H1001</f>
        <v>-0.125</v>
      </c>
      <c r="S1001" s="0" t="n">
        <f aca="false">G1001*H1001</f>
        <v>-0.25</v>
      </c>
      <c r="T1001" s="0" t="n">
        <f aca="false">E1001*E1001</f>
        <v>0.5625</v>
      </c>
      <c r="U1001" s="0" t="n">
        <f aca="false">F1001*F1001</f>
        <v>0.0625</v>
      </c>
      <c r="V1001" s="0" t="n">
        <f aca="false">G1001*G1001</f>
        <v>0.25</v>
      </c>
      <c r="W1001" s="0" t="n">
        <f aca="false">H1001*H1001</f>
        <v>0.25</v>
      </c>
      <c r="X1001" s="0" t="n">
        <f aca="false">SUMPRODUCT(I1001:W1001,_XtX!$B$96:$P$96)</f>
        <v>43.6250274122807</v>
      </c>
      <c r="Y1001" s="0" t="n">
        <f aca="false">SUMPRODUCT(MMULT(I1001:W1001,_XtX!$B$78:$P$92),I1001:W1001)</f>
        <v>0.203746059484649</v>
      </c>
      <c r="Z1001" s="0" t="n">
        <f aca="false">04_回帰ANOVA!$K$19*04_回帰ANOVA!$K$14*SQRT(1+Y1001)</f>
        <v>1.43009810755465</v>
      </c>
      <c r="AA1001" s="0" t="n">
        <f aca="false">X1001-Z1001</f>
        <v>42.194929304726</v>
      </c>
      <c r="AB1001" s="0" t="n">
        <f aca="false">X1001+Z1001</f>
        <v>45.0551255198353</v>
      </c>
      <c r="AC1001" s="54" t="b">
        <f aca="false">AND(E1001&gt;=01_因子設定!$L$5-0.000000001,E1001&lt;=01_因子設定!$M$5+0.000000001,F1001&gt;=01_因子設定!$L$6-0.000000001,F1001&lt;=01_因子設定!$M$6+0.000000001,G1001&gt;=01_因子設定!$L$7-0.000000001,G1001&lt;=01_因子設定!$M$7+0.000000001,H1001&gt;=01_因子設定!$L$8-0.000000001,H1001&lt;=01_因子設定!$M$8+0.000000001,IF(01_因子設定!$B$20="Box-Behnken",E1001^2+F1001^2+G1001^2+H1001^2&lt;=2+0.000000001,TRUE()))</f>
        <v>1</v>
      </c>
      <c r="AD1001" s="55" t="n">
        <f aca="false">IF(AC1001,IF(01_因子設定!$B$13="最大化",AA1001-01_因子設定!$B$14,IF(01_因子設定!$B$13="最小化",01_因子設定!$B$15-AB1001,MIN(AA1001-01_因子設定!$B$14,01_因子設定!$B$15-AB1001))),-1E+030)</f>
        <v>-4.30507069527396</v>
      </c>
      <c r="AE1001" s="55" t="n">
        <f aca="false">IF(AC1001,IF(01_因子設定!$B$13="最大化",X1001,IF(01_因子設定!$B$13="最小化",-X1001,-ABS(X1001-01_因子設定!$B$16))),-1E+030)</f>
        <v>43.6250274122807</v>
      </c>
      <c r="AF1001" s="55" t="n">
        <f aca="false">AD1001+ROW()*0.000000001</f>
        <v>-4.30506969427395</v>
      </c>
      <c r="AG1001" s="55" t="n">
        <f aca="false">AE1001+ROW()*0.000000001</f>
        <v>43.6250284132807</v>
      </c>
    </row>
    <row r="1002" customFormat="false" ht="15" hidden="false" customHeight="false" outlineLevel="0" collapsed="false">
      <c r="A1002" s="0" t="n">
        <v>1</v>
      </c>
      <c r="B1002" s="0" t="n">
        <v>3</v>
      </c>
      <c r="C1002" s="0" t="n">
        <v>2</v>
      </c>
      <c r="D1002" s="0" t="n">
        <v>7</v>
      </c>
      <c r="E1002" s="0" t="n">
        <f aca="false">-1+A1002*0.25</f>
        <v>-0.75</v>
      </c>
      <c r="F1002" s="0" t="n">
        <f aca="false">-1+B1002*0.25</f>
        <v>-0.25</v>
      </c>
      <c r="G1002" s="0" t="n">
        <f aca="false">-1+C1002*0.25</f>
        <v>-0.5</v>
      </c>
      <c r="H1002" s="0" t="n">
        <f aca="false">-1+D1002*0.25</f>
        <v>0.75</v>
      </c>
      <c r="I1002" s="0" t="n">
        <f aca="false">1</f>
        <v>1</v>
      </c>
      <c r="J1002" s="0" t="n">
        <f aca="false">E1002</f>
        <v>-0.75</v>
      </c>
      <c r="K1002" s="0" t="n">
        <f aca="false">F1002</f>
        <v>-0.25</v>
      </c>
      <c r="L1002" s="0" t="n">
        <f aca="false">G1002</f>
        <v>-0.5</v>
      </c>
      <c r="M1002" s="0" t="n">
        <f aca="false">H1002</f>
        <v>0.75</v>
      </c>
      <c r="N1002" s="0" t="n">
        <f aca="false">E1002*F1002</f>
        <v>0.1875</v>
      </c>
      <c r="O1002" s="0" t="n">
        <f aca="false">E1002*G1002</f>
        <v>0.375</v>
      </c>
      <c r="P1002" s="0" t="n">
        <f aca="false">E1002*H1002</f>
        <v>-0.5625</v>
      </c>
      <c r="Q1002" s="0" t="n">
        <f aca="false">F1002*G1002</f>
        <v>0.125</v>
      </c>
      <c r="R1002" s="0" t="n">
        <f aca="false">F1002*H1002</f>
        <v>-0.1875</v>
      </c>
      <c r="S1002" s="0" t="n">
        <f aca="false">G1002*H1002</f>
        <v>-0.375</v>
      </c>
      <c r="T1002" s="0" t="n">
        <f aca="false">E1002*E1002</f>
        <v>0.5625</v>
      </c>
      <c r="U1002" s="0" t="n">
        <f aca="false">F1002*F1002</f>
        <v>0.0625</v>
      </c>
      <c r="V1002" s="0" t="n">
        <f aca="false">G1002*G1002</f>
        <v>0.25</v>
      </c>
      <c r="W1002" s="0" t="n">
        <f aca="false">H1002*H1002</f>
        <v>0.5625</v>
      </c>
      <c r="X1002" s="0" t="n">
        <f aca="false">SUMPRODUCT(I1002:W1002,_XtX!$B$96:$P$96)</f>
        <v>43.56080500731</v>
      </c>
      <c r="Y1002" s="0" t="n">
        <f aca="false">SUMPRODUCT(MMULT(I1002:W1002,_XtX!$B$78:$P$92),I1002:W1002)</f>
        <v>0.257385610836988</v>
      </c>
      <c r="Z1002" s="0" t="n">
        <f aca="false">04_回帰ANOVA!$K$19*04_回帰ANOVA!$K$14*SQRT(1+Y1002)</f>
        <v>1.46161380324158</v>
      </c>
      <c r="AA1002" s="0" t="n">
        <f aca="false">X1002-Z1002</f>
        <v>42.0991912040684</v>
      </c>
      <c r="AB1002" s="0" t="n">
        <f aca="false">X1002+Z1002</f>
        <v>45.0224188105515</v>
      </c>
      <c r="AC1002" s="54" t="b">
        <f aca="false">AND(E1002&gt;=01_因子設定!$L$5-0.000000001,E1002&lt;=01_因子設定!$M$5+0.000000001,F1002&gt;=01_因子設定!$L$6-0.000000001,F1002&lt;=01_因子設定!$M$6+0.000000001,G1002&gt;=01_因子設定!$L$7-0.000000001,G1002&lt;=01_因子設定!$M$7+0.000000001,H1002&gt;=01_因子設定!$L$8-0.000000001,H1002&lt;=01_因子設定!$M$8+0.000000001,IF(01_因子設定!$B$20="Box-Behnken",E1002^2+F1002^2+G1002^2+H1002^2&lt;=2+0.000000001,TRUE()))</f>
        <v>1</v>
      </c>
      <c r="AD1002" s="55" t="n">
        <f aca="false">IF(AC1002,IF(01_因子設定!$B$13="最大化",AA1002-01_因子設定!$B$14,IF(01_因子設定!$B$13="最小化",01_因子設定!$B$15-AB1002,MIN(AA1002-01_因子設定!$B$14,01_因子設定!$B$15-AB1002))),-1E+030)</f>
        <v>-4.40080879593163</v>
      </c>
      <c r="AE1002" s="55" t="n">
        <f aca="false">IF(AC1002,IF(01_因子設定!$B$13="最大化",X1002,IF(01_因子設定!$B$13="最小化",-X1002,-ABS(X1002-01_因子設定!$B$16))),-1E+030)</f>
        <v>43.56080500731</v>
      </c>
      <c r="AF1002" s="55" t="n">
        <f aca="false">AD1002+ROW()*0.000000001</f>
        <v>-4.40080779393163</v>
      </c>
      <c r="AG1002" s="55" t="n">
        <f aca="false">AE1002+ROW()*0.000000001</f>
        <v>43.56080600931</v>
      </c>
    </row>
    <row r="1003" customFormat="false" ht="15" hidden="false" customHeight="false" outlineLevel="0" collapsed="false">
      <c r="A1003" s="0" t="n">
        <v>1</v>
      </c>
      <c r="B1003" s="0" t="n">
        <v>3</v>
      </c>
      <c r="C1003" s="0" t="n">
        <v>2</v>
      </c>
      <c r="D1003" s="0" t="n">
        <v>8</v>
      </c>
      <c r="E1003" s="0" t="n">
        <f aca="false">-1+A1003*0.25</f>
        <v>-0.75</v>
      </c>
      <c r="F1003" s="0" t="n">
        <f aca="false">-1+B1003*0.25</f>
        <v>-0.25</v>
      </c>
      <c r="G1003" s="0" t="n">
        <f aca="false">-1+C1003*0.25</f>
        <v>-0.5</v>
      </c>
      <c r="H1003" s="0" t="n">
        <f aca="false">-1+D1003*0.25</f>
        <v>1</v>
      </c>
      <c r="I1003" s="0" t="n">
        <f aca="false">1</f>
        <v>1</v>
      </c>
      <c r="J1003" s="0" t="n">
        <f aca="false">E1003</f>
        <v>-0.75</v>
      </c>
      <c r="K1003" s="0" t="n">
        <f aca="false">F1003</f>
        <v>-0.25</v>
      </c>
      <c r="L1003" s="0" t="n">
        <f aca="false">G1003</f>
        <v>-0.5</v>
      </c>
      <c r="M1003" s="0" t="n">
        <f aca="false">H1003</f>
        <v>1</v>
      </c>
      <c r="N1003" s="0" t="n">
        <f aca="false">E1003*F1003</f>
        <v>0.1875</v>
      </c>
      <c r="O1003" s="0" t="n">
        <f aca="false">E1003*G1003</f>
        <v>0.375</v>
      </c>
      <c r="P1003" s="0" t="n">
        <f aca="false">E1003*H1003</f>
        <v>-0.75</v>
      </c>
      <c r="Q1003" s="0" t="n">
        <f aca="false">F1003*G1003</f>
        <v>0.125</v>
      </c>
      <c r="R1003" s="0" t="n">
        <f aca="false">F1003*H1003</f>
        <v>-0.25</v>
      </c>
      <c r="S1003" s="0" t="n">
        <f aca="false">G1003*H1003</f>
        <v>-0.5</v>
      </c>
      <c r="T1003" s="0" t="n">
        <f aca="false">E1003*E1003</f>
        <v>0.5625</v>
      </c>
      <c r="U1003" s="0" t="n">
        <f aca="false">F1003*F1003</f>
        <v>0.0625</v>
      </c>
      <c r="V1003" s="0" t="n">
        <f aca="false">G1003*G1003</f>
        <v>0.25</v>
      </c>
      <c r="W1003" s="0" t="n">
        <f aca="false">H1003*H1003</f>
        <v>1</v>
      </c>
      <c r="X1003" s="0" t="n">
        <f aca="false">SUMPRODUCT(I1003:W1003,_XtX!$B$96:$P$96)</f>
        <v>43.4487755847953</v>
      </c>
      <c r="Y1003" s="0" t="n">
        <f aca="false">SUMPRODUCT(MMULT(I1003:W1003,_XtX!$B$78:$P$92),I1003:W1003)</f>
        <v>0.459125719572369</v>
      </c>
      <c r="Z1003" s="0" t="n">
        <f aca="false">04_回帰ANOVA!$K$19*04_回帰ANOVA!$K$14*SQRT(1+Y1003)</f>
        <v>1.57450755575573</v>
      </c>
      <c r="AA1003" s="0" t="n">
        <f aca="false">X1003-Z1003</f>
        <v>41.8742680290396</v>
      </c>
      <c r="AB1003" s="0" t="n">
        <f aca="false">X1003+Z1003</f>
        <v>45.0232831405511</v>
      </c>
      <c r="AC1003" s="54" t="b">
        <f aca="false">AND(E1003&gt;=01_因子設定!$L$5-0.000000001,E1003&lt;=01_因子設定!$M$5+0.000000001,F1003&gt;=01_因子設定!$L$6-0.000000001,F1003&lt;=01_因子設定!$M$6+0.000000001,G1003&gt;=01_因子設定!$L$7-0.000000001,G1003&lt;=01_因子設定!$M$7+0.000000001,H1003&gt;=01_因子設定!$L$8-0.000000001,H1003&lt;=01_因子設定!$M$8+0.000000001,IF(01_因子設定!$B$20="Box-Behnken",E1003^2+F1003^2+G1003^2+H1003^2&lt;=2+0.000000001,TRUE()))</f>
        <v>1</v>
      </c>
      <c r="AD1003" s="55" t="n">
        <f aca="false">IF(AC1003,IF(01_因子設定!$B$13="最大化",AA1003-01_因子設定!$B$14,IF(01_因子設定!$B$13="最小化",01_因子設定!$B$15-AB1003,MIN(AA1003-01_因子設定!$B$14,01_因子設定!$B$15-AB1003))),-1E+030)</f>
        <v>-4.62573197096039</v>
      </c>
      <c r="AE1003" s="55" t="n">
        <f aca="false">IF(AC1003,IF(01_因子設定!$B$13="最大化",X1003,IF(01_因子設定!$B$13="最小化",-X1003,-ABS(X1003-01_因子設定!$B$16))),-1E+030)</f>
        <v>43.4487755847953</v>
      </c>
      <c r="AF1003" s="55" t="n">
        <f aca="false">AD1003+ROW()*0.000000001</f>
        <v>-4.62573096796039</v>
      </c>
      <c r="AG1003" s="55" t="n">
        <f aca="false">AE1003+ROW()*0.000000001</f>
        <v>43.4487765877953</v>
      </c>
    </row>
    <row r="1004" customFormat="false" ht="15" hidden="false" customHeight="false" outlineLevel="0" collapsed="false">
      <c r="A1004" s="0" t="n">
        <v>1</v>
      </c>
      <c r="B1004" s="0" t="n">
        <v>3</v>
      </c>
      <c r="C1004" s="0" t="n">
        <v>3</v>
      </c>
      <c r="D1004" s="0" t="n">
        <v>0</v>
      </c>
      <c r="E1004" s="0" t="n">
        <f aca="false">-1+A1004*0.25</f>
        <v>-0.75</v>
      </c>
      <c r="F1004" s="0" t="n">
        <f aca="false">-1+B1004*0.25</f>
        <v>-0.25</v>
      </c>
      <c r="G1004" s="0" t="n">
        <f aca="false">-1+C1004*0.25</f>
        <v>-0.25</v>
      </c>
      <c r="H1004" s="0" t="n">
        <f aca="false">-1+D1004*0.25</f>
        <v>-1</v>
      </c>
      <c r="I1004" s="0" t="n">
        <f aca="false">1</f>
        <v>1</v>
      </c>
      <c r="J1004" s="0" t="n">
        <f aca="false">E1004</f>
        <v>-0.75</v>
      </c>
      <c r="K1004" s="0" t="n">
        <f aca="false">F1004</f>
        <v>-0.25</v>
      </c>
      <c r="L1004" s="0" t="n">
        <f aca="false">G1004</f>
        <v>-0.25</v>
      </c>
      <c r="M1004" s="0" t="n">
        <f aca="false">H1004</f>
        <v>-1</v>
      </c>
      <c r="N1004" s="0" t="n">
        <f aca="false">E1004*F1004</f>
        <v>0.1875</v>
      </c>
      <c r="O1004" s="0" t="n">
        <f aca="false">E1004*G1004</f>
        <v>0.1875</v>
      </c>
      <c r="P1004" s="0" t="n">
        <f aca="false">E1004*H1004</f>
        <v>0.75</v>
      </c>
      <c r="Q1004" s="0" t="n">
        <f aca="false">F1004*G1004</f>
        <v>0.0625</v>
      </c>
      <c r="R1004" s="0" t="n">
        <f aca="false">F1004*H1004</f>
        <v>0.25</v>
      </c>
      <c r="S1004" s="0" t="n">
        <f aca="false">G1004*H1004</f>
        <v>0.25</v>
      </c>
      <c r="T1004" s="0" t="n">
        <f aca="false">E1004*E1004</f>
        <v>0.5625</v>
      </c>
      <c r="U1004" s="0" t="n">
        <f aca="false">F1004*F1004</f>
        <v>0.0625</v>
      </c>
      <c r="V1004" s="0" t="n">
        <f aca="false">G1004*G1004</f>
        <v>0.0625</v>
      </c>
      <c r="W1004" s="0" t="n">
        <f aca="false">H1004*H1004</f>
        <v>1</v>
      </c>
      <c r="X1004" s="0" t="n">
        <f aca="false">SUMPRODUCT(I1004:W1004,_XtX!$B$96:$P$96)</f>
        <v>43.4106770833334</v>
      </c>
      <c r="Y1004" s="0" t="n">
        <f aca="false">SUMPRODUCT(MMULT(I1004:W1004,_XtX!$B$78:$P$92),I1004:W1004)</f>
        <v>0.486409505208334</v>
      </c>
      <c r="Z1004" s="0" t="n">
        <f aca="false">04_回帰ANOVA!$K$19*04_回帰ANOVA!$K$14*SQRT(1+Y1004)</f>
        <v>1.58916001665498</v>
      </c>
      <c r="AA1004" s="0" t="n">
        <f aca="false">X1004-Z1004</f>
        <v>41.8215170666784</v>
      </c>
      <c r="AB1004" s="0" t="n">
        <f aca="false">X1004+Z1004</f>
        <v>44.9998370999883</v>
      </c>
      <c r="AC1004" s="54" t="b">
        <f aca="false">AND(E1004&gt;=01_因子設定!$L$5-0.000000001,E1004&lt;=01_因子設定!$M$5+0.000000001,F1004&gt;=01_因子設定!$L$6-0.000000001,F1004&lt;=01_因子設定!$M$6+0.000000001,G1004&gt;=01_因子設定!$L$7-0.000000001,G1004&lt;=01_因子設定!$M$7+0.000000001,H1004&gt;=01_因子設定!$L$8-0.000000001,H1004&lt;=01_因子設定!$M$8+0.000000001,IF(01_因子設定!$B$20="Box-Behnken",E1004^2+F1004^2+G1004^2+H1004^2&lt;=2+0.000000001,TRUE()))</f>
        <v>1</v>
      </c>
      <c r="AD1004" s="55" t="n">
        <f aca="false">IF(AC1004,IF(01_因子設定!$B$13="最大化",AA1004-01_因子設定!$B$14,IF(01_因子設定!$B$13="最小化",01_因子設定!$B$15-AB1004,MIN(AA1004-01_因子設定!$B$14,01_因子設定!$B$15-AB1004))),-1E+030)</f>
        <v>-4.67848293332163</v>
      </c>
      <c r="AE1004" s="55" t="n">
        <f aca="false">IF(AC1004,IF(01_因子設定!$B$13="最大化",X1004,IF(01_因子設定!$B$13="最小化",-X1004,-ABS(X1004-01_因子設定!$B$16))),-1E+030)</f>
        <v>43.4106770833334</v>
      </c>
      <c r="AF1004" s="55" t="n">
        <f aca="false">AD1004+ROW()*0.000000001</f>
        <v>-4.67848192932163</v>
      </c>
      <c r="AG1004" s="55" t="n">
        <f aca="false">AE1004+ROW()*0.000000001</f>
        <v>43.4106780873334</v>
      </c>
    </row>
    <row r="1005" customFormat="false" ht="15" hidden="false" customHeight="false" outlineLevel="0" collapsed="false">
      <c r="A1005" s="0" t="n">
        <v>1</v>
      </c>
      <c r="B1005" s="0" t="n">
        <v>3</v>
      </c>
      <c r="C1005" s="0" t="n">
        <v>3</v>
      </c>
      <c r="D1005" s="0" t="n">
        <v>1</v>
      </c>
      <c r="E1005" s="0" t="n">
        <f aca="false">-1+A1005*0.25</f>
        <v>-0.75</v>
      </c>
      <c r="F1005" s="0" t="n">
        <f aca="false">-1+B1005*0.25</f>
        <v>-0.25</v>
      </c>
      <c r="G1005" s="0" t="n">
        <f aca="false">-1+C1005*0.25</f>
        <v>-0.25</v>
      </c>
      <c r="H1005" s="0" t="n">
        <f aca="false">-1+D1005*0.25</f>
        <v>-0.75</v>
      </c>
      <c r="I1005" s="0" t="n">
        <f aca="false">1</f>
        <v>1</v>
      </c>
      <c r="J1005" s="0" t="n">
        <f aca="false">E1005</f>
        <v>-0.75</v>
      </c>
      <c r="K1005" s="0" t="n">
        <f aca="false">F1005</f>
        <v>-0.25</v>
      </c>
      <c r="L1005" s="0" t="n">
        <f aca="false">G1005</f>
        <v>-0.25</v>
      </c>
      <c r="M1005" s="0" t="n">
        <f aca="false">H1005</f>
        <v>-0.75</v>
      </c>
      <c r="N1005" s="0" t="n">
        <f aca="false">E1005*F1005</f>
        <v>0.1875</v>
      </c>
      <c r="O1005" s="0" t="n">
        <f aca="false">E1005*G1005</f>
        <v>0.1875</v>
      </c>
      <c r="P1005" s="0" t="n">
        <f aca="false">E1005*H1005</f>
        <v>0.5625</v>
      </c>
      <c r="Q1005" s="0" t="n">
        <f aca="false">F1005*G1005</f>
        <v>0.0625</v>
      </c>
      <c r="R1005" s="0" t="n">
        <f aca="false">F1005*H1005</f>
        <v>0.1875</v>
      </c>
      <c r="S1005" s="0" t="n">
        <f aca="false">G1005*H1005</f>
        <v>0.1875</v>
      </c>
      <c r="T1005" s="0" t="n">
        <f aca="false">E1005*E1005</f>
        <v>0.5625</v>
      </c>
      <c r="U1005" s="0" t="n">
        <f aca="false">F1005*F1005</f>
        <v>0.0625</v>
      </c>
      <c r="V1005" s="0" t="n">
        <f aca="false">G1005*G1005</f>
        <v>0.0625</v>
      </c>
      <c r="W1005" s="0" t="n">
        <f aca="false">H1005*H1005</f>
        <v>0.5625</v>
      </c>
      <c r="X1005" s="0" t="n">
        <f aca="false">SUMPRODUCT(I1005:W1005,_XtX!$B$96:$P$96)</f>
        <v>43.6512655336257</v>
      </c>
      <c r="Y1005" s="0" t="n">
        <f aca="false">SUMPRODUCT(MMULT(I1005:W1005,_XtX!$B$78:$P$92),I1005:W1005)</f>
        <v>0.271087468019006</v>
      </c>
      <c r="Z1005" s="0" t="n">
        <f aca="false">04_回帰ANOVA!$K$19*04_回帰ANOVA!$K$14*SQRT(1+Y1005)</f>
        <v>1.46955590155034</v>
      </c>
      <c r="AA1005" s="0" t="n">
        <f aca="false">X1005-Z1005</f>
        <v>42.1817096320754</v>
      </c>
      <c r="AB1005" s="0" t="n">
        <f aca="false">X1005+Z1005</f>
        <v>45.1208214351761</v>
      </c>
      <c r="AC1005" s="54" t="b">
        <f aca="false">AND(E1005&gt;=01_因子設定!$L$5-0.000000001,E1005&lt;=01_因子設定!$M$5+0.000000001,F1005&gt;=01_因子設定!$L$6-0.000000001,F1005&lt;=01_因子設定!$M$6+0.000000001,G1005&gt;=01_因子設定!$L$7-0.000000001,G1005&lt;=01_因子設定!$M$7+0.000000001,H1005&gt;=01_因子設定!$L$8-0.000000001,H1005&lt;=01_因子設定!$M$8+0.000000001,IF(01_因子設定!$B$20="Box-Behnken",E1005^2+F1005^2+G1005^2+H1005^2&lt;=2+0.000000001,TRUE()))</f>
        <v>1</v>
      </c>
      <c r="AD1005" s="55" t="n">
        <f aca="false">IF(AC1005,IF(01_因子設定!$B$13="最大化",AA1005-01_因子設定!$B$14,IF(01_因子設定!$B$13="最小化",01_因子設定!$B$15-AB1005,MIN(AA1005-01_因子設定!$B$14,01_因子設定!$B$15-AB1005))),-1E+030)</f>
        <v>-4.3182903679246</v>
      </c>
      <c r="AE1005" s="55" t="n">
        <f aca="false">IF(AC1005,IF(01_因子設定!$B$13="最大化",X1005,IF(01_因子設定!$B$13="最小化",-X1005,-ABS(X1005-01_因子設定!$B$16))),-1E+030)</f>
        <v>43.6512655336257</v>
      </c>
      <c r="AF1005" s="55" t="n">
        <f aca="false">AD1005+ROW()*0.000000001</f>
        <v>-4.3182893629246</v>
      </c>
      <c r="AG1005" s="55" t="n">
        <f aca="false">AE1005+ROW()*0.000000001</f>
        <v>43.6512665386257</v>
      </c>
    </row>
    <row r="1006" customFormat="false" ht="15" hidden="false" customHeight="false" outlineLevel="0" collapsed="false">
      <c r="A1006" s="0" t="n">
        <v>1</v>
      </c>
      <c r="B1006" s="0" t="n">
        <v>3</v>
      </c>
      <c r="C1006" s="0" t="n">
        <v>3</v>
      </c>
      <c r="D1006" s="0" t="n">
        <v>2</v>
      </c>
      <c r="E1006" s="0" t="n">
        <f aca="false">-1+A1006*0.25</f>
        <v>-0.75</v>
      </c>
      <c r="F1006" s="0" t="n">
        <f aca="false">-1+B1006*0.25</f>
        <v>-0.25</v>
      </c>
      <c r="G1006" s="0" t="n">
        <f aca="false">-1+C1006*0.25</f>
        <v>-0.25</v>
      </c>
      <c r="H1006" s="0" t="n">
        <f aca="false">-1+D1006*0.25</f>
        <v>-0.5</v>
      </c>
      <c r="I1006" s="0" t="n">
        <f aca="false">1</f>
        <v>1</v>
      </c>
      <c r="J1006" s="0" t="n">
        <f aca="false">E1006</f>
        <v>-0.75</v>
      </c>
      <c r="K1006" s="0" t="n">
        <f aca="false">F1006</f>
        <v>-0.25</v>
      </c>
      <c r="L1006" s="0" t="n">
        <f aca="false">G1006</f>
        <v>-0.25</v>
      </c>
      <c r="M1006" s="0" t="n">
        <f aca="false">H1006</f>
        <v>-0.5</v>
      </c>
      <c r="N1006" s="0" t="n">
        <f aca="false">E1006*F1006</f>
        <v>0.1875</v>
      </c>
      <c r="O1006" s="0" t="n">
        <f aca="false">E1006*G1006</f>
        <v>0.1875</v>
      </c>
      <c r="P1006" s="0" t="n">
        <f aca="false">E1006*H1006</f>
        <v>0.375</v>
      </c>
      <c r="Q1006" s="0" t="n">
        <f aca="false">F1006*G1006</f>
        <v>0.0625</v>
      </c>
      <c r="R1006" s="0" t="n">
        <f aca="false">F1006*H1006</f>
        <v>0.125</v>
      </c>
      <c r="S1006" s="0" t="n">
        <f aca="false">G1006*H1006</f>
        <v>0.125</v>
      </c>
      <c r="T1006" s="0" t="n">
        <f aca="false">E1006*E1006</f>
        <v>0.5625</v>
      </c>
      <c r="U1006" s="0" t="n">
        <f aca="false">F1006*F1006</f>
        <v>0.0625</v>
      </c>
      <c r="V1006" s="0" t="n">
        <f aca="false">G1006*G1006</f>
        <v>0.0625</v>
      </c>
      <c r="W1006" s="0" t="n">
        <f aca="false">H1006*H1006</f>
        <v>0.25</v>
      </c>
      <c r="X1006" s="0" t="n">
        <f aca="false">SUMPRODUCT(I1006:W1006,_XtX!$B$96:$P$96)</f>
        <v>43.8440469663743</v>
      </c>
      <c r="Y1006" s="0" t="n">
        <f aca="false">SUMPRODUCT(MMULT(I1006:W1006,_XtX!$B$78:$P$92),I1006:W1006)</f>
        <v>0.207746539199561</v>
      </c>
      <c r="Z1006" s="0" t="n">
        <f aca="false">04_回帰ANOVA!$K$19*04_回帰ANOVA!$K$14*SQRT(1+Y1006)</f>
        <v>1.43247250081141</v>
      </c>
      <c r="AA1006" s="0" t="n">
        <f aca="false">X1006-Z1006</f>
        <v>42.4115744655629</v>
      </c>
      <c r="AB1006" s="0" t="n">
        <f aca="false">X1006+Z1006</f>
        <v>45.2765194671857</v>
      </c>
      <c r="AC1006" s="54" t="b">
        <f aca="false">AND(E1006&gt;=01_因子設定!$L$5-0.000000001,E1006&lt;=01_因子設定!$M$5+0.000000001,F1006&gt;=01_因子設定!$L$6-0.000000001,F1006&lt;=01_因子設定!$M$6+0.000000001,G1006&gt;=01_因子設定!$L$7-0.000000001,G1006&lt;=01_因子設定!$M$7+0.000000001,H1006&gt;=01_因子設定!$L$8-0.000000001,H1006&lt;=01_因子設定!$M$8+0.000000001,IF(01_因子設定!$B$20="Box-Behnken",E1006^2+F1006^2+G1006^2+H1006^2&lt;=2+0.000000001,TRUE()))</f>
        <v>1</v>
      </c>
      <c r="AD1006" s="55" t="n">
        <f aca="false">IF(AC1006,IF(01_因子設定!$B$13="最大化",AA1006-01_因子設定!$B$14,IF(01_因子設定!$B$13="最小化",01_因子設定!$B$15-AB1006,MIN(AA1006-01_因子設定!$B$14,01_因子設定!$B$15-AB1006))),-1E+030)</f>
        <v>-4.08842553443714</v>
      </c>
      <c r="AE1006" s="55" t="n">
        <f aca="false">IF(AC1006,IF(01_因子設定!$B$13="最大化",X1006,IF(01_因子設定!$B$13="最小化",-X1006,-ABS(X1006-01_因子設定!$B$16))),-1E+030)</f>
        <v>43.8440469663743</v>
      </c>
      <c r="AF1006" s="55" t="n">
        <f aca="false">AD1006+ROW()*0.000000001</f>
        <v>-4.08842452843714</v>
      </c>
      <c r="AG1006" s="55" t="n">
        <f aca="false">AE1006+ROW()*0.000000001</f>
        <v>43.8440479723743</v>
      </c>
    </row>
    <row r="1007" customFormat="false" ht="15" hidden="false" customHeight="false" outlineLevel="0" collapsed="false">
      <c r="A1007" s="0" t="n">
        <v>1</v>
      </c>
      <c r="B1007" s="0" t="n">
        <v>3</v>
      </c>
      <c r="C1007" s="0" t="n">
        <v>3</v>
      </c>
      <c r="D1007" s="0" t="n">
        <v>3</v>
      </c>
      <c r="E1007" s="0" t="n">
        <f aca="false">-1+A1007*0.25</f>
        <v>-0.75</v>
      </c>
      <c r="F1007" s="0" t="n">
        <f aca="false">-1+B1007*0.25</f>
        <v>-0.25</v>
      </c>
      <c r="G1007" s="0" t="n">
        <f aca="false">-1+C1007*0.25</f>
        <v>-0.25</v>
      </c>
      <c r="H1007" s="0" t="n">
        <f aca="false">-1+D1007*0.25</f>
        <v>-0.25</v>
      </c>
      <c r="I1007" s="0" t="n">
        <f aca="false">1</f>
        <v>1</v>
      </c>
      <c r="J1007" s="0" t="n">
        <f aca="false">E1007</f>
        <v>-0.75</v>
      </c>
      <c r="K1007" s="0" t="n">
        <f aca="false">F1007</f>
        <v>-0.25</v>
      </c>
      <c r="L1007" s="0" t="n">
        <f aca="false">G1007</f>
        <v>-0.25</v>
      </c>
      <c r="M1007" s="0" t="n">
        <f aca="false">H1007</f>
        <v>-0.25</v>
      </c>
      <c r="N1007" s="0" t="n">
        <f aca="false">E1007*F1007</f>
        <v>0.1875</v>
      </c>
      <c r="O1007" s="0" t="n">
        <f aca="false">E1007*G1007</f>
        <v>0.1875</v>
      </c>
      <c r="P1007" s="0" t="n">
        <f aca="false">E1007*H1007</f>
        <v>0.1875</v>
      </c>
      <c r="Q1007" s="0" t="n">
        <f aca="false">F1007*G1007</f>
        <v>0.0625</v>
      </c>
      <c r="R1007" s="0" t="n">
        <f aca="false">F1007*H1007</f>
        <v>0.0625</v>
      </c>
      <c r="S1007" s="0" t="n">
        <f aca="false">G1007*H1007</f>
        <v>0.0625</v>
      </c>
      <c r="T1007" s="0" t="n">
        <f aca="false">E1007*E1007</f>
        <v>0.5625</v>
      </c>
      <c r="U1007" s="0" t="n">
        <f aca="false">F1007*F1007</f>
        <v>0.0625</v>
      </c>
      <c r="V1007" s="0" t="n">
        <f aca="false">G1007*G1007</f>
        <v>0.0625</v>
      </c>
      <c r="W1007" s="0" t="n">
        <f aca="false">H1007*H1007</f>
        <v>0.0625</v>
      </c>
      <c r="X1007" s="0" t="n">
        <f aca="false">SUMPRODUCT(I1007:W1007,_XtX!$B$96:$P$96)</f>
        <v>43.9890213815789</v>
      </c>
      <c r="Y1007" s="0" t="n">
        <f aca="false">SUMPRODUCT(MMULT(I1007:W1007,_XtX!$B$78:$P$92),I1007:W1007)</f>
        <v>0.205926192434211</v>
      </c>
      <c r="Z1007" s="0" t="n">
        <f aca="false">04_回帰ANOVA!$K$19*04_回帰ANOVA!$K$14*SQRT(1+Y1007)</f>
        <v>1.43139256396246</v>
      </c>
      <c r="AA1007" s="0" t="n">
        <f aca="false">X1007-Z1007</f>
        <v>42.5576288176165</v>
      </c>
      <c r="AB1007" s="0" t="n">
        <f aca="false">X1007+Z1007</f>
        <v>45.4204139455414</v>
      </c>
      <c r="AC1007" s="54" t="b">
        <f aca="false">AND(E1007&gt;=01_因子設定!$L$5-0.000000001,E1007&lt;=01_因子設定!$M$5+0.000000001,F1007&gt;=01_因子設定!$L$6-0.000000001,F1007&lt;=01_因子設定!$M$6+0.000000001,G1007&gt;=01_因子設定!$L$7-0.000000001,G1007&lt;=01_因子設定!$M$7+0.000000001,H1007&gt;=01_因子設定!$L$8-0.000000001,H1007&lt;=01_因子設定!$M$8+0.000000001,IF(01_因子設定!$B$20="Box-Behnken",E1007^2+F1007^2+G1007^2+H1007^2&lt;=2+0.000000001,TRUE()))</f>
        <v>1</v>
      </c>
      <c r="AD1007" s="55" t="n">
        <f aca="false">IF(AC1007,IF(01_因子設定!$B$13="最大化",AA1007-01_因子設定!$B$14,IF(01_因子設定!$B$13="最小化",01_因子設定!$B$15-AB1007,MIN(AA1007-01_因子設定!$B$14,01_因子設定!$B$15-AB1007))),-1E+030)</f>
        <v>-3.94237118238353</v>
      </c>
      <c r="AE1007" s="55" t="n">
        <f aca="false">IF(AC1007,IF(01_因子設定!$B$13="最大化",X1007,IF(01_因子設定!$B$13="最小化",-X1007,-ABS(X1007-01_因子設定!$B$16))),-1E+030)</f>
        <v>43.9890213815789</v>
      </c>
      <c r="AF1007" s="55" t="n">
        <f aca="false">AD1007+ROW()*0.000000001</f>
        <v>-3.94237017538353</v>
      </c>
      <c r="AG1007" s="55" t="n">
        <f aca="false">AE1007+ROW()*0.000000001</f>
        <v>43.9890223885789</v>
      </c>
    </row>
    <row r="1008" customFormat="false" ht="15" hidden="false" customHeight="false" outlineLevel="0" collapsed="false">
      <c r="A1008" s="0" t="n">
        <v>1</v>
      </c>
      <c r="B1008" s="0" t="n">
        <v>3</v>
      </c>
      <c r="C1008" s="0" t="n">
        <v>3</v>
      </c>
      <c r="D1008" s="0" t="n">
        <v>4</v>
      </c>
      <c r="E1008" s="0" t="n">
        <f aca="false">-1+A1008*0.25</f>
        <v>-0.75</v>
      </c>
      <c r="F1008" s="0" t="n">
        <f aca="false">-1+B1008*0.25</f>
        <v>-0.25</v>
      </c>
      <c r="G1008" s="0" t="n">
        <f aca="false">-1+C1008*0.25</f>
        <v>-0.25</v>
      </c>
      <c r="H1008" s="0" t="n">
        <f aca="false">-1+D1008*0.25</f>
        <v>0</v>
      </c>
      <c r="I1008" s="0" t="n">
        <f aca="false">1</f>
        <v>1</v>
      </c>
      <c r="J1008" s="0" t="n">
        <f aca="false">E1008</f>
        <v>-0.75</v>
      </c>
      <c r="K1008" s="0" t="n">
        <f aca="false">F1008</f>
        <v>-0.25</v>
      </c>
      <c r="L1008" s="0" t="n">
        <f aca="false">G1008</f>
        <v>-0.25</v>
      </c>
      <c r="M1008" s="0" t="n">
        <f aca="false">H1008</f>
        <v>0</v>
      </c>
      <c r="N1008" s="0" t="n">
        <f aca="false">E1008*F1008</f>
        <v>0.1875</v>
      </c>
      <c r="O1008" s="0" t="n">
        <f aca="false">E1008*G1008</f>
        <v>0.1875</v>
      </c>
      <c r="P1008" s="0" t="n">
        <f aca="false">E1008*H1008</f>
        <v>-0</v>
      </c>
      <c r="Q1008" s="0" t="n">
        <f aca="false">F1008*G1008</f>
        <v>0.0625</v>
      </c>
      <c r="R1008" s="0" t="n">
        <f aca="false">F1008*H1008</f>
        <v>-0</v>
      </c>
      <c r="S1008" s="0" t="n">
        <f aca="false">G1008*H1008</f>
        <v>-0</v>
      </c>
      <c r="T1008" s="0" t="n">
        <f aca="false">E1008*E1008</f>
        <v>0.5625</v>
      </c>
      <c r="U1008" s="0" t="n">
        <f aca="false">F1008*F1008</f>
        <v>0.0625</v>
      </c>
      <c r="V1008" s="0" t="n">
        <f aca="false">G1008*G1008</f>
        <v>0.0625</v>
      </c>
      <c r="W1008" s="0" t="n">
        <f aca="false">H1008*H1008</f>
        <v>0</v>
      </c>
      <c r="X1008" s="0" t="n">
        <f aca="false">SUMPRODUCT(I1008:W1008,_XtX!$B$96:$P$96)</f>
        <v>44.0861887792398</v>
      </c>
      <c r="Y1008" s="0" t="n">
        <f aca="false">SUMPRODUCT(MMULT(I1008:W1008,_XtX!$B$78:$P$92),I1008:W1008)</f>
        <v>0.21135011193348</v>
      </c>
      <c r="Z1008" s="0" t="n">
        <f aca="false">04_回帰ANOVA!$K$19*04_回帰ANOVA!$K$14*SQRT(1+Y1008)</f>
        <v>1.43460795469709</v>
      </c>
      <c r="AA1008" s="0" t="n">
        <f aca="false">X1008-Z1008</f>
        <v>42.6515808245427</v>
      </c>
      <c r="AB1008" s="0" t="n">
        <f aca="false">X1008+Z1008</f>
        <v>45.5207967339368</v>
      </c>
      <c r="AC1008" s="54" t="b">
        <f aca="false">AND(E1008&gt;=01_因子設定!$L$5-0.000000001,E1008&lt;=01_因子設定!$M$5+0.000000001,F1008&gt;=01_因子設定!$L$6-0.000000001,F1008&lt;=01_因子設定!$M$6+0.000000001,G1008&gt;=01_因子設定!$L$7-0.000000001,G1008&lt;=01_因子設定!$M$7+0.000000001,H1008&gt;=01_因子設定!$L$8-0.000000001,H1008&lt;=01_因子設定!$M$8+0.000000001,IF(01_因子設定!$B$20="Box-Behnken",E1008^2+F1008^2+G1008^2+H1008^2&lt;=2+0.000000001,TRUE()))</f>
        <v>1</v>
      </c>
      <c r="AD1008" s="55" t="n">
        <f aca="false">IF(AC1008,IF(01_因子設定!$B$13="最大化",AA1008-01_因子設定!$B$14,IF(01_因子設定!$B$13="最小化",01_因子設定!$B$15-AB1008,MIN(AA1008-01_因子設定!$B$14,01_因子設定!$B$15-AB1008))),-1E+030)</f>
        <v>-3.84841917545734</v>
      </c>
      <c r="AE1008" s="55" t="n">
        <f aca="false">IF(AC1008,IF(01_因子設定!$B$13="最大化",X1008,IF(01_因子設定!$B$13="最小化",-X1008,-ABS(X1008-01_因子設定!$B$16))),-1E+030)</f>
        <v>44.0861887792398</v>
      </c>
      <c r="AF1008" s="55" t="n">
        <f aca="false">AD1008+ROW()*0.000000001</f>
        <v>-3.84841816745734</v>
      </c>
      <c r="AG1008" s="55" t="n">
        <f aca="false">AE1008+ROW()*0.000000001</f>
        <v>44.0861897872397</v>
      </c>
    </row>
    <row r="1009" customFormat="false" ht="15" hidden="false" customHeight="false" outlineLevel="0" collapsed="false">
      <c r="A1009" s="0" t="n">
        <v>1</v>
      </c>
      <c r="B1009" s="0" t="n">
        <v>3</v>
      </c>
      <c r="C1009" s="0" t="n">
        <v>3</v>
      </c>
      <c r="D1009" s="0" t="n">
        <v>5</v>
      </c>
      <c r="E1009" s="0" t="n">
        <f aca="false">-1+A1009*0.25</f>
        <v>-0.75</v>
      </c>
      <c r="F1009" s="0" t="n">
        <f aca="false">-1+B1009*0.25</f>
        <v>-0.25</v>
      </c>
      <c r="G1009" s="0" t="n">
        <f aca="false">-1+C1009*0.25</f>
        <v>-0.25</v>
      </c>
      <c r="H1009" s="0" t="n">
        <f aca="false">-1+D1009*0.25</f>
        <v>0.25</v>
      </c>
      <c r="I1009" s="0" t="n">
        <f aca="false">1</f>
        <v>1</v>
      </c>
      <c r="J1009" s="0" t="n">
        <f aca="false">E1009</f>
        <v>-0.75</v>
      </c>
      <c r="K1009" s="0" t="n">
        <f aca="false">F1009</f>
        <v>-0.25</v>
      </c>
      <c r="L1009" s="0" t="n">
        <f aca="false">G1009</f>
        <v>-0.25</v>
      </c>
      <c r="M1009" s="0" t="n">
        <f aca="false">H1009</f>
        <v>0.25</v>
      </c>
      <c r="N1009" s="0" t="n">
        <f aca="false">E1009*F1009</f>
        <v>0.1875</v>
      </c>
      <c r="O1009" s="0" t="n">
        <f aca="false">E1009*G1009</f>
        <v>0.1875</v>
      </c>
      <c r="P1009" s="0" t="n">
        <f aca="false">E1009*H1009</f>
        <v>-0.1875</v>
      </c>
      <c r="Q1009" s="0" t="n">
        <f aca="false">F1009*G1009</f>
        <v>0.0625</v>
      </c>
      <c r="R1009" s="0" t="n">
        <f aca="false">F1009*H1009</f>
        <v>-0.0625</v>
      </c>
      <c r="S1009" s="0" t="n">
        <f aca="false">G1009*H1009</f>
        <v>-0.0625</v>
      </c>
      <c r="T1009" s="0" t="n">
        <f aca="false">E1009*E1009</f>
        <v>0.5625</v>
      </c>
      <c r="U1009" s="0" t="n">
        <f aca="false">F1009*F1009</f>
        <v>0.0625</v>
      </c>
      <c r="V1009" s="0" t="n">
        <f aca="false">G1009*G1009</f>
        <v>0.0625</v>
      </c>
      <c r="W1009" s="0" t="n">
        <f aca="false">H1009*H1009</f>
        <v>0.0625</v>
      </c>
      <c r="X1009" s="0" t="n">
        <f aca="false">SUMPRODUCT(I1009:W1009,_XtX!$B$96:$P$96)</f>
        <v>44.1355491593567</v>
      </c>
      <c r="Y1009" s="0" t="n">
        <f aca="false">SUMPRODUCT(MMULT(I1009:W1009,_XtX!$B$78:$P$92),I1009:W1009)</f>
        <v>0.205926192434211</v>
      </c>
      <c r="Z1009" s="0" t="n">
        <f aca="false">04_回帰ANOVA!$K$19*04_回帰ANOVA!$K$14*SQRT(1+Y1009)</f>
        <v>1.43139256396246</v>
      </c>
      <c r="AA1009" s="0" t="n">
        <f aca="false">X1009-Z1009</f>
        <v>42.7041565953943</v>
      </c>
      <c r="AB1009" s="0" t="n">
        <f aca="false">X1009+Z1009</f>
        <v>45.5669417233192</v>
      </c>
      <c r="AC1009" s="54" t="b">
        <f aca="false">AND(E1009&gt;=01_因子設定!$L$5-0.000000001,E1009&lt;=01_因子設定!$M$5+0.000000001,F1009&gt;=01_因子設定!$L$6-0.000000001,F1009&lt;=01_因子設定!$M$6+0.000000001,G1009&gt;=01_因子設定!$L$7-0.000000001,G1009&lt;=01_因子設定!$M$7+0.000000001,H1009&gt;=01_因子設定!$L$8-0.000000001,H1009&lt;=01_因子設定!$M$8+0.000000001,IF(01_因子設定!$B$20="Box-Behnken",E1009^2+F1009^2+G1009^2+H1009^2&lt;=2+0.000000001,TRUE()))</f>
        <v>1</v>
      </c>
      <c r="AD1009" s="55" t="n">
        <f aca="false">IF(AC1009,IF(01_因子設定!$B$13="最大化",AA1009-01_因子設定!$B$14,IF(01_因子設定!$B$13="最小化",01_因子設定!$B$15-AB1009,MIN(AA1009-01_因子設定!$B$14,01_因子設定!$B$15-AB1009))),-1E+030)</f>
        <v>-3.79584340460575</v>
      </c>
      <c r="AE1009" s="55" t="n">
        <f aca="false">IF(AC1009,IF(01_因子設定!$B$13="最大化",X1009,IF(01_因子設定!$B$13="最小化",-X1009,-ABS(X1009-01_因子設定!$B$16))),-1E+030)</f>
        <v>44.1355491593567</v>
      </c>
      <c r="AF1009" s="55" t="n">
        <f aca="false">AD1009+ROW()*0.000000001</f>
        <v>-3.79584239560575</v>
      </c>
      <c r="AG1009" s="55" t="n">
        <f aca="false">AE1009+ROW()*0.000000001</f>
        <v>44.1355501683567</v>
      </c>
    </row>
    <row r="1010" customFormat="false" ht="15" hidden="false" customHeight="false" outlineLevel="0" collapsed="false">
      <c r="A1010" s="0" t="n">
        <v>1</v>
      </c>
      <c r="B1010" s="0" t="n">
        <v>3</v>
      </c>
      <c r="C1010" s="0" t="n">
        <v>3</v>
      </c>
      <c r="D1010" s="0" t="n">
        <v>6</v>
      </c>
      <c r="E1010" s="0" t="n">
        <f aca="false">-1+A1010*0.25</f>
        <v>-0.75</v>
      </c>
      <c r="F1010" s="0" t="n">
        <f aca="false">-1+B1010*0.25</f>
        <v>-0.25</v>
      </c>
      <c r="G1010" s="0" t="n">
        <f aca="false">-1+C1010*0.25</f>
        <v>-0.25</v>
      </c>
      <c r="H1010" s="0" t="n">
        <f aca="false">-1+D1010*0.25</f>
        <v>0.5</v>
      </c>
      <c r="I1010" s="0" t="n">
        <f aca="false">1</f>
        <v>1</v>
      </c>
      <c r="J1010" s="0" t="n">
        <f aca="false">E1010</f>
        <v>-0.75</v>
      </c>
      <c r="K1010" s="0" t="n">
        <f aca="false">F1010</f>
        <v>-0.25</v>
      </c>
      <c r="L1010" s="0" t="n">
        <f aca="false">G1010</f>
        <v>-0.25</v>
      </c>
      <c r="M1010" s="0" t="n">
        <f aca="false">H1010</f>
        <v>0.5</v>
      </c>
      <c r="N1010" s="0" t="n">
        <f aca="false">E1010*F1010</f>
        <v>0.1875</v>
      </c>
      <c r="O1010" s="0" t="n">
        <f aca="false">E1010*G1010</f>
        <v>0.1875</v>
      </c>
      <c r="P1010" s="0" t="n">
        <f aca="false">E1010*H1010</f>
        <v>-0.375</v>
      </c>
      <c r="Q1010" s="0" t="n">
        <f aca="false">F1010*G1010</f>
        <v>0.0625</v>
      </c>
      <c r="R1010" s="0" t="n">
        <f aca="false">F1010*H1010</f>
        <v>-0.125</v>
      </c>
      <c r="S1010" s="0" t="n">
        <f aca="false">G1010*H1010</f>
        <v>-0.125</v>
      </c>
      <c r="T1010" s="0" t="n">
        <f aca="false">E1010*E1010</f>
        <v>0.5625</v>
      </c>
      <c r="U1010" s="0" t="n">
        <f aca="false">F1010*F1010</f>
        <v>0.0625</v>
      </c>
      <c r="V1010" s="0" t="n">
        <f aca="false">G1010*G1010</f>
        <v>0.0625</v>
      </c>
      <c r="W1010" s="0" t="n">
        <f aca="false">H1010*H1010</f>
        <v>0.25</v>
      </c>
      <c r="X1010" s="0" t="n">
        <f aca="false">SUMPRODUCT(I1010:W1010,_XtX!$B$96:$P$96)</f>
        <v>44.1371025219298</v>
      </c>
      <c r="Y1010" s="0" t="n">
        <f aca="false">SUMPRODUCT(MMULT(I1010:W1010,_XtX!$B$78:$P$92),I1010:W1010)</f>
        <v>0.207746539199561</v>
      </c>
      <c r="Z1010" s="0" t="n">
        <f aca="false">04_回帰ANOVA!$K$19*04_回帰ANOVA!$K$14*SQRT(1+Y1010)</f>
        <v>1.43247250081141</v>
      </c>
      <c r="AA1010" s="0" t="n">
        <f aca="false">X1010-Z1010</f>
        <v>42.7046300211184</v>
      </c>
      <c r="AB1010" s="0" t="n">
        <f aca="false">X1010+Z1010</f>
        <v>45.5695750227412</v>
      </c>
      <c r="AC1010" s="54" t="b">
        <f aca="false">AND(E1010&gt;=01_因子設定!$L$5-0.000000001,E1010&lt;=01_因子設定!$M$5+0.000000001,F1010&gt;=01_因子設定!$L$6-0.000000001,F1010&lt;=01_因子設定!$M$6+0.000000001,G1010&gt;=01_因子設定!$L$7-0.000000001,G1010&lt;=01_因子設定!$M$7+0.000000001,H1010&gt;=01_因子設定!$L$8-0.000000001,H1010&lt;=01_因子設定!$M$8+0.000000001,IF(01_因子設定!$B$20="Box-Behnken",E1010^2+F1010^2+G1010^2+H1010^2&lt;=2+0.000000001,TRUE()))</f>
        <v>1</v>
      </c>
      <c r="AD1010" s="55" t="n">
        <f aca="false">IF(AC1010,IF(01_因子設定!$B$13="最大化",AA1010-01_因子設定!$B$14,IF(01_因子設定!$B$13="最小化",01_因子設定!$B$15-AB1010,MIN(AA1010-01_因子設定!$B$14,01_因子設定!$B$15-AB1010))),-1E+030)</f>
        <v>-3.79536997888159</v>
      </c>
      <c r="AE1010" s="55" t="n">
        <f aca="false">IF(AC1010,IF(01_因子設定!$B$13="最大化",X1010,IF(01_因子設定!$B$13="最小化",-X1010,-ABS(X1010-01_因子設定!$B$16))),-1E+030)</f>
        <v>44.1371025219298</v>
      </c>
      <c r="AF1010" s="55" t="n">
        <f aca="false">AD1010+ROW()*0.000000001</f>
        <v>-3.79536896888159</v>
      </c>
      <c r="AG1010" s="55" t="n">
        <f aca="false">AE1010+ROW()*0.000000001</f>
        <v>44.1371035319298</v>
      </c>
    </row>
    <row r="1011" customFormat="false" ht="15" hidden="false" customHeight="false" outlineLevel="0" collapsed="false">
      <c r="A1011" s="0" t="n">
        <v>1</v>
      </c>
      <c r="B1011" s="0" t="n">
        <v>3</v>
      </c>
      <c r="C1011" s="0" t="n">
        <v>3</v>
      </c>
      <c r="D1011" s="0" t="n">
        <v>7</v>
      </c>
      <c r="E1011" s="0" t="n">
        <f aca="false">-1+A1011*0.25</f>
        <v>-0.75</v>
      </c>
      <c r="F1011" s="0" t="n">
        <f aca="false">-1+B1011*0.25</f>
        <v>-0.25</v>
      </c>
      <c r="G1011" s="0" t="n">
        <f aca="false">-1+C1011*0.25</f>
        <v>-0.25</v>
      </c>
      <c r="H1011" s="0" t="n">
        <f aca="false">-1+D1011*0.25</f>
        <v>0.75</v>
      </c>
      <c r="I1011" s="0" t="n">
        <f aca="false">1</f>
        <v>1</v>
      </c>
      <c r="J1011" s="0" t="n">
        <f aca="false">E1011</f>
        <v>-0.75</v>
      </c>
      <c r="K1011" s="0" t="n">
        <f aca="false">F1011</f>
        <v>-0.25</v>
      </c>
      <c r="L1011" s="0" t="n">
        <f aca="false">G1011</f>
        <v>-0.25</v>
      </c>
      <c r="M1011" s="0" t="n">
        <f aca="false">H1011</f>
        <v>0.75</v>
      </c>
      <c r="N1011" s="0" t="n">
        <f aca="false">E1011*F1011</f>
        <v>0.1875</v>
      </c>
      <c r="O1011" s="0" t="n">
        <f aca="false">E1011*G1011</f>
        <v>0.1875</v>
      </c>
      <c r="P1011" s="0" t="n">
        <f aca="false">E1011*H1011</f>
        <v>-0.5625</v>
      </c>
      <c r="Q1011" s="0" t="n">
        <f aca="false">F1011*G1011</f>
        <v>0.0625</v>
      </c>
      <c r="R1011" s="0" t="n">
        <f aca="false">F1011*H1011</f>
        <v>-0.1875</v>
      </c>
      <c r="S1011" s="0" t="n">
        <f aca="false">G1011*H1011</f>
        <v>-0.1875</v>
      </c>
      <c r="T1011" s="0" t="n">
        <f aca="false">E1011*E1011</f>
        <v>0.5625</v>
      </c>
      <c r="U1011" s="0" t="n">
        <f aca="false">F1011*F1011</f>
        <v>0.0625</v>
      </c>
      <c r="V1011" s="0" t="n">
        <f aca="false">G1011*G1011</f>
        <v>0.0625</v>
      </c>
      <c r="W1011" s="0" t="n">
        <f aca="false">H1011*H1011</f>
        <v>0.5625</v>
      </c>
      <c r="X1011" s="0" t="n">
        <f aca="false">SUMPRODUCT(I1011:W1011,_XtX!$B$96:$P$96)</f>
        <v>44.0908488669591</v>
      </c>
      <c r="Y1011" s="0" t="n">
        <f aca="false">SUMPRODUCT(MMULT(I1011:W1011,_XtX!$B$78:$P$92),I1011:W1011)</f>
        <v>0.271087468019006</v>
      </c>
      <c r="Z1011" s="0" t="n">
        <f aca="false">04_回帰ANOVA!$K$19*04_回帰ANOVA!$K$14*SQRT(1+Y1011)</f>
        <v>1.46955590155034</v>
      </c>
      <c r="AA1011" s="0" t="n">
        <f aca="false">X1011-Z1011</f>
        <v>42.6212929654087</v>
      </c>
      <c r="AB1011" s="0" t="n">
        <f aca="false">X1011+Z1011</f>
        <v>45.5604047685094</v>
      </c>
      <c r="AC1011" s="54" t="b">
        <f aca="false">AND(E1011&gt;=01_因子設定!$L$5-0.000000001,E1011&lt;=01_因子設定!$M$5+0.000000001,F1011&gt;=01_因子設定!$L$6-0.000000001,F1011&lt;=01_因子設定!$M$6+0.000000001,G1011&gt;=01_因子設定!$L$7-0.000000001,G1011&lt;=01_因子設定!$M$7+0.000000001,H1011&gt;=01_因子設定!$L$8-0.000000001,H1011&lt;=01_因子設定!$M$8+0.000000001,IF(01_因子設定!$B$20="Box-Behnken",E1011^2+F1011^2+G1011^2+H1011^2&lt;=2+0.000000001,TRUE()))</f>
        <v>1</v>
      </c>
      <c r="AD1011" s="55" t="n">
        <f aca="false">IF(AC1011,IF(01_因子設定!$B$13="最大化",AA1011-01_因子設定!$B$14,IF(01_因子設定!$B$13="最小化",01_因子設定!$B$15-AB1011,MIN(AA1011-01_因子設定!$B$14,01_因子設定!$B$15-AB1011))),-1E+030)</f>
        <v>-3.87870703459127</v>
      </c>
      <c r="AE1011" s="55" t="n">
        <f aca="false">IF(AC1011,IF(01_因子設定!$B$13="最大化",X1011,IF(01_因子設定!$B$13="最小化",-X1011,-ABS(X1011-01_因子設定!$B$16))),-1E+030)</f>
        <v>44.0908488669591</v>
      </c>
      <c r="AF1011" s="55" t="n">
        <f aca="false">AD1011+ROW()*0.000000001</f>
        <v>-3.87870602359127</v>
      </c>
      <c r="AG1011" s="55" t="n">
        <f aca="false">AE1011+ROW()*0.000000001</f>
        <v>44.0908498779591</v>
      </c>
    </row>
    <row r="1012" customFormat="false" ht="15" hidden="false" customHeight="false" outlineLevel="0" collapsed="false">
      <c r="A1012" s="0" t="n">
        <v>1</v>
      </c>
      <c r="B1012" s="0" t="n">
        <v>3</v>
      </c>
      <c r="C1012" s="0" t="n">
        <v>3</v>
      </c>
      <c r="D1012" s="0" t="n">
        <v>8</v>
      </c>
      <c r="E1012" s="0" t="n">
        <f aca="false">-1+A1012*0.25</f>
        <v>-0.75</v>
      </c>
      <c r="F1012" s="0" t="n">
        <f aca="false">-1+B1012*0.25</f>
        <v>-0.25</v>
      </c>
      <c r="G1012" s="0" t="n">
        <f aca="false">-1+C1012*0.25</f>
        <v>-0.25</v>
      </c>
      <c r="H1012" s="0" t="n">
        <f aca="false">-1+D1012*0.25</f>
        <v>1</v>
      </c>
      <c r="I1012" s="0" t="n">
        <f aca="false">1</f>
        <v>1</v>
      </c>
      <c r="J1012" s="0" t="n">
        <f aca="false">E1012</f>
        <v>-0.75</v>
      </c>
      <c r="K1012" s="0" t="n">
        <f aca="false">F1012</f>
        <v>-0.25</v>
      </c>
      <c r="L1012" s="0" t="n">
        <f aca="false">G1012</f>
        <v>-0.25</v>
      </c>
      <c r="M1012" s="0" t="n">
        <f aca="false">H1012</f>
        <v>1</v>
      </c>
      <c r="N1012" s="0" t="n">
        <f aca="false">E1012*F1012</f>
        <v>0.1875</v>
      </c>
      <c r="O1012" s="0" t="n">
        <f aca="false">E1012*G1012</f>
        <v>0.1875</v>
      </c>
      <c r="P1012" s="0" t="n">
        <f aca="false">E1012*H1012</f>
        <v>-0.75</v>
      </c>
      <c r="Q1012" s="0" t="n">
        <f aca="false">F1012*G1012</f>
        <v>0.0625</v>
      </c>
      <c r="R1012" s="0" t="n">
        <f aca="false">F1012*H1012</f>
        <v>-0.25</v>
      </c>
      <c r="S1012" s="0" t="n">
        <f aca="false">G1012*H1012</f>
        <v>-0.25</v>
      </c>
      <c r="T1012" s="0" t="n">
        <f aca="false">E1012*E1012</f>
        <v>0.5625</v>
      </c>
      <c r="U1012" s="0" t="n">
        <f aca="false">F1012*F1012</f>
        <v>0.0625</v>
      </c>
      <c r="V1012" s="0" t="n">
        <f aca="false">G1012*G1012</f>
        <v>0.0625</v>
      </c>
      <c r="W1012" s="0" t="n">
        <f aca="false">H1012*H1012</f>
        <v>1</v>
      </c>
      <c r="X1012" s="0" t="n">
        <f aca="false">SUMPRODUCT(I1012:W1012,_XtX!$B$96:$P$96)</f>
        <v>43.9967881944445</v>
      </c>
      <c r="Y1012" s="0" t="n">
        <f aca="false">SUMPRODUCT(MMULT(I1012:W1012,_XtX!$B$78:$P$92),I1012:W1012)</f>
        <v>0.486409505208334</v>
      </c>
      <c r="Z1012" s="0" t="n">
        <f aca="false">04_回帰ANOVA!$K$19*04_回帰ANOVA!$K$14*SQRT(1+Y1012)</f>
        <v>1.58916001665498</v>
      </c>
      <c r="AA1012" s="0" t="n">
        <f aca="false">X1012-Z1012</f>
        <v>42.4076281777895</v>
      </c>
      <c r="AB1012" s="0" t="n">
        <f aca="false">X1012+Z1012</f>
        <v>45.5859482110995</v>
      </c>
      <c r="AC1012" s="54" t="b">
        <f aca="false">AND(E1012&gt;=01_因子設定!$L$5-0.000000001,E1012&lt;=01_因子設定!$M$5+0.000000001,F1012&gt;=01_因子設定!$L$6-0.000000001,F1012&lt;=01_因子設定!$M$6+0.000000001,G1012&gt;=01_因子設定!$L$7-0.000000001,G1012&lt;=01_因子設定!$M$7+0.000000001,H1012&gt;=01_因子設定!$L$8-0.000000001,H1012&lt;=01_因子設定!$M$8+0.000000001,IF(01_因子設定!$B$20="Box-Behnken",E1012^2+F1012^2+G1012^2+H1012^2&lt;=2+0.000000001,TRUE()))</f>
        <v>1</v>
      </c>
      <c r="AD1012" s="55" t="n">
        <f aca="false">IF(AC1012,IF(01_因子設定!$B$13="最大化",AA1012-01_因子設定!$B$14,IF(01_因子設定!$B$13="最小化",01_因子設定!$B$15-AB1012,MIN(AA1012-01_因子設定!$B$14,01_因子設定!$B$15-AB1012))),-1E+030)</f>
        <v>-4.09237182221051</v>
      </c>
      <c r="AE1012" s="55" t="n">
        <f aca="false">IF(AC1012,IF(01_因子設定!$B$13="最大化",X1012,IF(01_因子設定!$B$13="最小化",-X1012,-ABS(X1012-01_因子設定!$B$16))),-1E+030)</f>
        <v>43.9967881944445</v>
      </c>
      <c r="AF1012" s="55" t="n">
        <f aca="false">AD1012+ROW()*0.000000001</f>
        <v>-4.09237081021051</v>
      </c>
      <c r="AG1012" s="55" t="n">
        <f aca="false">AE1012+ROW()*0.000000001</f>
        <v>43.9967892064445</v>
      </c>
    </row>
    <row r="1013" customFormat="false" ht="15" hidden="false" customHeight="false" outlineLevel="0" collapsed="false">
      <c r="A1013" s="0" t="n">
        <v>1</v>
      </c>
      <c r="B1013" s="0" t="n">
        <v>3</v>
      </c>
      <c r="C1013" s="0" t="n">
        <v>4</v>
      </c>
      <c r="D1013" s="0" t="n">
        <v>0</v>
      </c>
      <c r="E1013" s="0" t="n">
        <f aca="false">-1+A1013*0.25</f>
        <v>-0.75</v>
      </c>
      <c r="F1013" s="0" t="n">
        <f aca="false">-1+B1013*0.25</f>
        <v>-0.25</v>
      </c>
      <c r="G1013" s="0" t="n">
        <f aca="false">-1+C1013*0.25</f>
        <v>0</v>
      </c>
      <c r="H1013" s="0" t="n">
        <f aca="false">-1+D1013*0.25</f>
        <v>-1</v>
      </c>
      <c r="I1013" s="0" t="n">
        <f aca="false">1</f>
        <v>1</v>
      </c>
      <c r="J1013" s="0" t="n">
        <f aca="false">E1013</f>
        <v>-0.75</v>
      </c>
      <c r="K1013" s="0" t="n">
        <f aca="false">F1013</f>
        <v>-0.25</v>
      </c>
      <c r="L1013" s="0" t="n">
        <f aca="false">G1013</f>
        <v>0</v>
      </c>
      <c r="M1013" s="0" t="n">
        <f aca="false">H1013</f>
        <v>-1</v>
      </c>
      <c r="N1013" s="0" t="n">
        <f aca="false">E1013*F1013</f>
        <v>0.1875</v>
      </c>
      <c r="O1013" s="0" t="n">
        <f aca="false">E1013*G1013</f>
        <v>-0</v>
      </c>
      <c r="P1013" s="0" t="n">
        <f aca="false">E1013*H1013</f>
        <v>0.75</v>
      </c>
      <c r="Q1013" s="0" t="n">
        <f aca="false">F1013*G1013</f>
        <v>-0</v>
      </c>
      <c r="R1013" s="0" t="n">
        <f aca="false">F1013*H1013</f>
        <v>0.25</v>
      </c>
      <c r="S1013" s="0" t="n">
        <f aca="false">G1013*H1013</f>
        <v>-0</v>
      </c>
      <c r="T1013" s="0" t="n">
        <f aca="false">E1013*E1013</f>
        <v>0.5625</v>
      </c>
      <c r="U1013" s="0" t="n">
        <f aca="false">F1013*F1013</f>
        <v>0.0625</v>
      </c>
      <c r="V1013" s="0" t="n">
        <f aca="false">G1013*G1013</f>
        <v>0</v>
      </c>
      <c r="W1013" s="0" t="n">
        <f aca="false">H1013*H1013</f>
        <v>1</v>
      </c>
      <c r="X1013" s="0" t="n">
        <f aca="false">SUMPRODUCT(I1013:W1013,_XtX!$B$96:$P$96)</f>
        <v>43.7296326754386</v>
      </c>
      <c r="Y1013" s="0" t="n">
        <f aca="false">SUMPRODUCT(MMULT(I1013:W1013,_XtX!$B$78:$P$92),I1013:W1013)</f>
        <v>0.501534802174708</v>
      </c>
      <c r="Z1013" s="0" t="n">
        <f aca="false">04_回帰ANOVA!$K$19*04_回帰ANOVA!$K$14*SQRT(1+Y1013)</f>
        <v>1.59722498091333</v>
      </c>
      <c r="AA1013" s="0" t="n">
        <f aca="false">X1013-Z1013</f>
        <v>42.1324076945253</v>
      </c>
      <c r="AB1013" s="0" t="n">
        <f aca="false">X1013+Z1013</f>
        <v>45.326857656352</v>
      </c>
      <c r="AC1013" s="54" t="b">
        <f aca="false">AND(E1013&gt;=01_因子設定!$L$5-0.000000001,E1013&lt;=01_因子設定!$M$5+0.000000001,F1013&gt;=01_因子設定!$L$6-0.000000001,F1013&lt;=01_因子設定!$M$6+0.000000001,G1013&gt;=01_因子設定!$L$7-0.000000001,G1013&lt;=01_因子設定!$M$7+0.000000001,H1013&gt;=01_因子設定!$L$8-0.000000001,H1013&lt;=01_因子設定!$M$8+0.000000001,IF(01_因子設定!$B$20="Box-Behnken",E1013^2+F1013^2+G1013^2+H1013^2&lt;=2+0.000000001,TRUE()))</f>
        <v>1</v>
      </c>
      <c r="AD1013" s="55" t="n">
        <f aca="false">IF(AC1013,IF(01_因子設定!$B$13="最大化",AA1013-01_因子設定!$B$14,IF(01_因子設定!$B$13="最小化",01_因子設定!$B$15-AB1013,MIN(AA1013-01_因子設定!$B$14,01_因子設定!$B$15-AB1013))),-1E+030)</f>
        <v>-4.36759230547471</v>
      </c>
      <c r="AE1013" s="55" t="n">
        <f aca="false">IF(AC1013,IF(01_因子設定!$B$13="最大化",X1013,IF(01_因子設定!$B$13="最小化",-X1013,-ABS(X1013-01_因子設定!$B$16))),-1E+030)</f>
        <v>43.7296326754386</v>
      </c>
      <c r="AF1013" s="55" t="n">
        <f aca="false">AD1013+ROW()*0.000000001</f>
        <v>-4.36759129247471</v>
      </c>
      <c r="AG1013" s="55" t="n">
        <f aca="false">AE1013+ROW()*0.000000001</f>
        <v>43.7296336884386</v>
      </c>
    </row>
    <row r="1014" customFormat="false" ht="15" hidden="false" customHeight="false" outlineLevel="0" collapsed="false">
      <c r="A1014" s="0" t="n">
        <v>1</v>
      </c>
      <c r="B1014" s="0" t="n">
        <v>3</v>
      </c>
      <c r="C1014" s="0" t="n">
        <v>4</v>
      </c>
      <c r="D1014" s="0" t="n">
        <v>1</v>
      </c>
      <c r="E1014" s="0" t="n">
        <f aca="false">-1+A1014*0.25</f>
        <v>-0.75</v>
      </c>
      <c r="F1014" s="0" t="n">
        <f aca="false">-1+B1014*0.25</f>
        <v>-0.25</v>
      </c>
      <c r="G1014" s="0" t="n">
        <f aca="false">-1+C1014*0.25</f>
        <v>0</v>
      </c>
      <c r="H1014" s="0" t="n">
        <f aca="false">-1+D1014*0.25</f>
        <v>-0.75</v>
      </c>
      <c r="I1014" s="0" t="n">
        <f aca="false">1</f>
        <v>1</v>
      </c>
      <c r="J1014" s="0" t="n">
        <f aca="false">E1014</f>
        <v>-0.75</v>
      </c>
      <c r="K1014" s="0" t="n">
        <f aca="false">F1014</f>
        <v>-0.25</v>
      </c>
      <c r="L1014" s="0" t="n">
        <f aca="false">G1014</f>
        <v>0</v>
      </c>
      <c r="M1014" s="0" t="n">
        <f aca="false">H1014</f>
        <v>-0.75</v>
      </c>
      <c r="N1014" s="0" t="n">
        <f aca="false">E1014*F1014</f>
        <v>0.1875</v>
      </c>
      <c r="O1014" s="0" t="n">
        <f aca="false">E1014*G1014</f>
        <v>-0</v>
      </c>
      <c r="P1014" s="0" t="n">
        <f aca="false">E1014*H1014</f>
        <v>0.5625</v>
      </c>
      <c r="Q1014" s="0" t="n">
        <f aca="false">F1014*G1014</f>
        <v>-0</v>
      </c>
      <c r="R1014" s="0" t="n">
        <f aca="false">F1014*H1014</f>
        <v>0.1875</v>
      </c>
      <c r="S1014" s="0" t="n">
        <f aca="false">G1014*H1014</f>
        <v>-0</v>
      </c>
      <c r="T1014" s="0" t="n">
        <f aca="false">E1014*E1014</f>
        <v>0.5625</v>
      </c>
      <c r="U1014" s="0" t="n">
        <f aca="false">F1014*F1014</f>
        <v>0.0625</v>
      </c>
      <c r="V1014" s="0" t="n">
        <f aca="false">G1014*G1014</f>
        <v>0</v>
      </c>
      <c r="W1014" s="0" t="n">
        <f aca="false">H1014*H1014</f>
        <v>0.5625</v>
      </c>
      <c r="X1014" s="0" t="n">
        <f aca="false">SUMPRODUCT(I1014:W1014,_XtX!$B$96:$P$96)</f>
        <v>43.988189875731</v>
      </c>
      <c r="Y1014" s="0" t="n">
        <f aca="false">SUMPRODUCT(MMULT(I1014:W1014,_XtX!$B$78:$P$92),I1014:W1014)</f>
        <v>0.281685455500731</v>
      </c>
      <c r="Z1014" s="0" t="n">
        <f aca="false">04_回帰ANOVA!$K$19*04_回帰ANOVA!$K$14*SQRT(1+Y1014)</f>
        <v>1.47566956658694</v>
      </c>
      <c r="AA1014" s="0" t="n">
        <f aca="false">X1014-Z1014</f>
        <v>42.5125203091441</v>
      </c>
      <c r="AB1014" s="0" t="n">
        <f aca="false">X1014+Z1014</f>
        <v>45.4638594423179</v>
      </c>
      <c r="AC1014" s="54" t="b">
        <f aca="false">AND(E1014&gt;=01_因子設定!$L$5-0.000000001,E1014&lt;=01_因子設定!$M$5+0.000000001,F1014&gt;=01_因子設定!$L$6-0.000000001,F1014&lt;=01_因子設定!$M$6+0.000000001,G1014&gt;=01_因子設定!$L$7-0.000000001,G1014&lt;=01_因子設定!$M$7+0.000000001,H1014&gt;=01_因子設定!$L$8-0.000000001,H1014&lt;=01_因子設定!$M$8+0.000000001,IF(01_因子設定!$B$20="Box-Behnken",E1014^2+F1014^2+G1014^2+H1014^2&lt;=2+0.000000001,TRUE()))</f>
        <v>1</v>
      </c>
      <c r="AD1014" s="55" t="n">
        <f aca="false">IF(AC1014,IF(01_因子設定!$B$13="最大化",AA1014-01_因子設定!$B$14,IF(01_因子設定!$B$13="最小化",01_因子設定!$B$15-AB1014,MIN(AA1014-01_因子設定!$B$14,01_因子設定!$B$15-AB1014))),-1E+030)</f>
        <v>-3.98747969085593</v>
      </c>
      <c r="AE1014" s="55" t="n">
        <f aca="false">IF(AC1014,IF(01_因子設定!$B$13="最大化",X1014,IF(01_因子設定!$B$13="最小化",-X1014,-ABS(X1014-01_因子設定!$B$16))),-1E+030)</f>
        <v>43.988189875731</v>
      </c>
      <c r="AF1014" s="55" t="n">
        <f aca="false">AD1014+ROW()*0.000000001</f>
        <v>-3.98747867685593</v>
      </c>
      <c r="AG1014" s="55" t="n">
        <f aca="false">AE1014+ROW()*0.000000001</f>
        <v>43.988190889731</v>
      </c>
    </row>
    <row r="1015" customFormat="false" ht="15" hidden="false" customHeight="false" outlineLevel="0" collapsed="false">
      <c r="A1015" s="0" t="n">
        <v>1</v>
      </c>
      <c r="B1015" s="0" t="n">
        <v>3</v>
      </c>
      <c r="C1015" s="0" t="n">
        <v>4</v>
      </c>
      <c r="D1015" s="0" t="n">
        <v>2</v>
      </c>
      <c r="E1015" s="0" t="n">
        <f aca="false">-1+A1015*0.25</f>
        <v>-0.75</v>
      </c>
      <c r="F1015" s="0" t="n">
        <f aca="false">-1+B1015*0.25</f>
        <v>-0.25</v>
      </c>
      <c r="G1015" s="0" t="n">
        <f aca="false">-1+C1015*0.25</f>
        <v>0</v>
      </c>
      <c r="H1015" s="0" t="n">
        <f aca="false">-1+D1015*0.25</f>
        <v>-0.5</v>
      </c>
      <c r="I1015" s="0" t="n">
        <f aca="false">1</f>
        <v>1</v>
      </c>
      <c r="J1015" s="0" t="n">
        <f aca="false">E1015</f>
        <v>-0.75</v>
      </c>
      <c r="K1015" s="0" t="n">
        <f aca="false">F1015</f>
        <v>-0.25</v>
      </c>
      <c r="L1015" s="0" t="n">
        <f aca="false">G1015</f>
        <v>0</v>
      </c>
      <c r="M1015" s="0" t="n">
        <f aca="false">H1015</f>
        <v>-0.5</v>
      </c>
      <c r="N1015" s="0" t="n">
        <f aca="false">E1015*F1015</f>
        <v>0.1875</v>
      </c>
      <c r="O1015" s="0" t="n">
        <f aca="false">E1015*G1015</f>
        <v>-0</v>
      </c>
      <c r="P1015" s="0" t="n">
        <f aca="false">E1015*H1015</f>
        <v>0.375</v>
      </c>
      <c r="Q1015" s="0" t="n">
        <f aca="false">F1015*G1015</f>
        <v>-0</v>
      </c>
      <c r="R1015" s="0" t="n">
        <f aca="false">F1015*H1015</f>
        <v>0.125</v>
      </c>
      <c r="S1015" s="0" t="n">
        <f aca="false">G1015*H1015</f>
        <v>-0</v>
      </c>
      <c r="T1015" s="0" t="n">
        <f aca="false">E1015*E1015</f>
        <v>0.5625</v>
      </c>
      <c r="U1015" s="0" t="n">
        <f aca="false">F1015*F1015</f>
        <v>0.0625</v>
      </c>
      <c r="V1015" s="0" t="n">
        <f aca="false">G1015*G1015</f>
        <v>0</v>
      </c>
      <c r="W1015" s="0" t="n">
        <f aca="false">H1015*H1015</f>
        <v>0.25</v>
      </c>
      <c r="X1015" s="0" t="n">
        <f aca="false">SUMPRODUCT(I1015:W1015,_XtX!$B$96:$P$96)</f>
        <v>44.1989400584795</v>
      </c>
      <c r="Y1015" s="0" t="n">
        <f aca="false">SUMPRODUCT(MMULT(I1015:W1015,_XtX!$B$78:$P$92),I1015:W1015)</f>
        <v>0.215110734192252</v>
      </c>
      <c r="Z1015" s="0" t="n">
        <f aca="false">04_回帰ANOVA!$K$19*04_回帰ANOVA!$K$14*SQRT(1+Y1015)</f>
        <v>1.43683309086864</v>
      </c>
      <c r="AA1015" s="0" t="n">
        <f aca="false">X1015-Z1015</f>
        <v>42.7621069676109</v>
      </c>
      <c r="AB1015" s="0" t="n">
        <f aca="false">X1015+Z1015</f>
        <v>45.6357731493482</v>
      </c>
      <c r="AC1015" s="54" t="b">
        <f aca="false">AND(E1015&gt;=01_因子設定!$L$5-0.000000001,E1015&lt;=01_因子設定!$M$5+0.000000001,F1015&gt;=01_因子設定!$L$6-0.000000001,F1015&lt;=01_因子設定!$M$6+0.000000001,G1015&gt;=01_因子設定!$L$7-0.000000001,G1015&lt;=01_因子設定!$M$7+0.000000001,H1015&gt;=01_因子設定!$L$8-0.000000001,H1015&lt;=01_因子設定!$M$8+0.000000001,IF(01_因子設定!$B$20="Box-Behnken",E1015^2+F1015^2+G1015^2+H1015^2&lt;=2+0.000000001,TRUE()))</f>
        <v>1</v>
      </c>
      <c r="AD1015" s="55" t="n">
        <f aca="false">IF(AC1015,IF(01_因子設定!$B$13="最大化",AA1015-01_因子設定!$B$14,IF(01_因子設定!$B$13="最小化",01_因子設定!$B$15-AB1015,MIN(AA1015-01_因子設定!$B$14,01_因子設定!$B$15-AB1015))),-1E+030)</f>
        <v>-3.73789303238912</v>
      </c>
      <c r="AE1015" s="55" t="n">
        <f aca="false">IF(AC1015,IF(01_因子設定!$B$13="最大化",X1015,IF(01_因子設定!$B$13="最小化",-X1015,-ABS(X1015-01_因子設定!$B$16))),-1E+030)</f>
        <v>44.1989400584795</v>
      </c>
      <c r="AF1015" s="55" t="n">
        <f aca="false">AD1015+ROW()*0.000000001</f>
        <v>-3.73789201738912</v>
      </c>
      <c r="AG1015" s="55" t="n">
        <f aca="false">AE1015+ROW()*0.000000001</f>
        <v>44.1989410734795</v>
      </c>
    </row>
    <row r="1016" customFormat="false" ht="15" hidden="false" customHeight="false" outlineLevel="0" collapsed="false">
      <c r="A1016" s="0" t="n">
        <v>1</v>
      </c>
      <c r="B1016" s="0" t="n">
        <v>3</v>
      </c>
      <c r="C1016" s="0" t="n">
        <v>4</v>
      </c>
      <c r="D1016" s="0" t="n">
        <v>3</v>
      </c>
      <c r="E1016" s="0" t="n">
        <f aca="false">-1+A1016*0.25</f>
        <v>-0.75</v>
      </c>
      <c r="F1016" s="0" t="n">
        <f aca="false">-1+B1016*0.25</f>
        <v>-0.25</v>
      </c>
      <c r="G1016" s="0" t="n">
        <f aca="false">-1+C1016*0.25</f>
        <v>0</v>
      </c>
      <c r="H1016" s="0" t="n">
        <f aca="false">-1+D1016*0.25</f>
        <v>-0.25</v>
      </c>
      <c r="I1016" s="0" t="n">
        <f aca="false">1</f>
        <v>1</v>
      </c>
      <c r="J1016" s="0" t="n">
        <f aca="false">E1016</f>
        <v>-0.75</v>
      </c>
      <c r="K1016" s="0" t="n">
        <f aca="false">F1016</f>
        <v>-0.25</v>
      </c>
      <c r="L1016" s="0" t="n">
        <f aca="false">G1016</f>
        <v>0</v>
      </c>
      <c r="M1016" s="0" t="n">
        <f aca="false">H1016</f>
        <v>-0.25</v>
      </c>
      <c r="N1016" s="0" t="n">
        <f aca="false">E1016*F1016</f>
        <v>0.1875</v>
      </c>
      <c r="O1016" s="0" t="n">
        <f aca="false">E1016*G1016</f>
        <v>-0</v>
      </c>
      <c r="P1016" s="0" t="n">
        <f aca="false">E1016*H1016</f>
        <v>0.1875</v>
      </c>
      <c r="Q1016" s="0" t="n">
        <f aca="false">F1016*G1016</f>
        <v>-0</v>
      </c>
      <c r="R1016" s="0" t="n">
        <f aca="false">F1016*H1016</f>
        <v>0.0625</v>
      </c>
      <c r="S1016" s="0" t="n">
        <f aca="false">G1016*H1016</f>
        <v>-0</v>
      </c>
      <c r="T1016" s="0" t="n">
        <f aca="false">E1016*E1016</f>
        <v>0.5625</v>
      </c>
      <c r="U1016" s="0" t="n">
        <f aca="false">F1016*F1016</f>
        <v>0.0625</v>
      </c>
      <c r="V1016" s="0" t="n">
        <f aca="false">G1016*G1016</f>
        <v>0</v>
      </c>
      <c r="W1016" s="0" t="n">
        <f aca="false">H1016*H1016</f>
        <v>0.0625</v>
      </c>
      <c r="X1016" s="0" t="n">
        <f aca="false">SUMPRODUCT(I1016:W1016,_XtX!$B$96:$P$96)</f>
        <v>44.3618832236842</v>
      </c>
      <c r="Y1016" s="0" t="n">
        <f aca="false">SUMPRODUCT(MMULT(I1016:W1016,_XtX!$B$78:$P$92),I1016:W1016)</f>
        <v>0.21135011193348</v>
      </c>
      <c r="Z1016" s="0" t="n">
        <f aca="false">04_回帰ANOVA!$K$19*04_回帰ANOVA!$K$14*SQRT(1+Y1016)</f>
        <v>1.43460795469709</v>
      </c>
      <c r="AA1016" s="0" t="n">
        <f aca="false">X1016-Z1016</f>
        <v>42.9272752689871</v>
      </c>
      <c r="AB1016" s="0" t="n">
        <f aca="false">X1016+Z1016</f>
        <v>45.7964911783813</v>
      </c>
      <c r="AC1016" s="54" t="b">
        <f aca="false">AND(E1016&gt;=01_因子設定!$L$5-0.000000001,E1016&lt;=01_因子設定!$M$5+0.000000001,F1016&gt;=01_因子設定!$L$6-0.000000001,F1016&lt;=01_因子設定!$M$6+0.000000001,G1016&gt;=01_因子設定!$L$7-0.000000001,G1016&lt;=01_因子設定!$M$7+0.000000001,H1016&gt;=01_因子設定!$L$8-0.000000001,H1016&lt;=01_因子設定!$M$8+0.000000001,IF(01_因子設定!$B$20="Box-Behnken",E1016^2+F1016^2+G1016^2+H1016^2&lt;=2+0.000000001,TRUE()))</f>
        <v>1</v>
      </c>
      <c r="AD1016" s="55" t="n">
        <f aca="false">IF(AC1016,IF(01_因子設定!$B$13="最大化",AA1016-01_因子設定!$B$14,IF(01_因子設定!$B$13="最小化",01_因子設定!$B$15-AB1016,MIN(AA1016-01_因子設定!$B$14,01_因子設定!$B$15-AB1016))),-1E+030)</f>
        <v>-3.57272473101289</v>
      </c>
      <c r="AE1016" s="55" t="n">
        <f aca="false">IF(AC1016,IF(01_因子設定!$B$13="最大化",X1016,IF(01_因子設定!$B$13="最小化",-X1016,-ABS(X1016-01_因子設定!$B$16))),-1E+030)</f>
        <v>44.3618832236842</v>
      </c>
      <c r="AF1016" s="55" t="n">
        <f aca="false">AD1016+ROW()*0.000000001</f>
        <v>-3.57272371501289</v>
      </c>
      <c r="AG1016" s="55" t="n">
        <f aca="false">AE1016+ROW()*0.000000001</f>
        <v>44.3618842396842</v>
      </c>
    </row>
    <row r="1017" customFormat="false" ht="15" hidden="false" customHeight="false" outlineLevel="0" collapsed="false">
      <c r="A1017" s="0" t="n">
        <v>1</v>
      </c>
      <c r="B1017" s="0" t="n">
        <v>3</v>
      </c>
      <c r="C1017" s="0" t="n">
        <v>4</v>
      </c>
      <c r="D1017" s="0" t="n">
        <v>4</v>
      </c>
      <c r="E1017" s="0" t="n">
        <f aca="false">-1+A1017*0.25</f>
        <v>-0.75</v>
      </c>
      <c r="F1017" s="0" t="n">
        <f aca="false">-1+B1017*0.25</f>
        <v>-0.25</v>
      </c>
      <c r="G1017" s="0" t="n">
        <f aca="false">-1+C1017*0.25</f>
        <v>0</v>
      </c>
      <c r="H1017" s="0" t="n">
        <f aca="false">-1+D1017*0.25</f>
        <v>0</v>
      </c>
      <c r="I1017" s="0" t="n">
        <f aca="false">1</f>
        <v>1</v>
      </c>
      <c r="J1017" s="0" t="n">
        <f aca="false">E1017</f>
        <v>-0.75</v>
      </c>
      <c r="K1017" s="0" t="n">
        <f aca="false">F1017</f>
        <v>-0.25</v>
      </c>
      <c r="L1017" s="0" t="n">
        <f aca="false">G1017</f>
        <v>0</v>
      </c>
      <c r="M1017" s="0" t="n">
        <f aca="false">H1017</f>
        <v>0</v>
      </c>
      <c r="N1017" s="0" t="n">
        <f aca="false">E1017*F1017</f>
        <v>0.1875</v>
      </c>
      <c r="O1017" s="0" t="n">
        <f aca="false">E1017*G1017</f>
        <v>-0</v>
      </c>
      <c r="P1017" s="0" t="n">
        <f aca="false">E1017*H1017</f>
        <v>-0</v>
      </c>
      <c r="Q1017" s="0" t="n">
        <f aca="false">F1017*G1017</f>
        <v>-0</v>
      </c>
      <c r="R1017" s="0" t="n">
        <f aca="false">F1017*H1017</f>
        <v>-0</v>
      </c>
      <c r="S1017" s="0" t="n">
        <f aca="false">G1017*H1017</f>
        <v>0</v>
      </c>
      <c r="T1017" s="0" t="n">
        <f aca="false">E1017*E1017</f>
        <v>0.5625</v>
      </c>
      <c r="U1017" s="0" t="n">
        <f aca="false">F1017*F1017</f>
        <v>0.0625</v>
      </c>
      <c r="V1017" s="0" t="n">
        <f aca="false">G1017*G1017</f>
        <v>0</v>
      </c>
      <c r="W1017" s="0" t="n">
        <f aca="false">H1017*H1017</f>
        <v>0</v>
      </c>
      <c r="X1017" s="0" t="n">
        <f aca="false">SUMPRODUCT(I1017:W1017,_XtX!$B$96:$P$96)</f>
        <v>44.477019371345</v>
      </c>
      <c r="Y1017" s="0" t="n">
        <f aca="false">SUMPRODUCT(MMULT(I1017:W1017,_XtX!$B$78:$P$92),I1017:W1017)</f>
        <v>0.216127272934942</v>
      </c>
      <c r="Z1017" s="0" t="n">
        <f aca="false">04_回帰ANOVA!$K$19*04_回帰ANOVA!$K$14*SQRT(1+Y1017)</f>
        <v>1.43743397896608</v>
      </c>
      <c r="AA1017" s="0" t="n">
        <f aca="false">X1017-Z1017</f>
        <v>43.0395853923789</v>
      </c>
      <c r="AB1017" s="0" t="n">
        <f aca="false">X1017+Z1017</f>
        <v>45.9144533503111</v>
      </c>
      <c r="AC1017" s="54" t="b">
        <f aca="false">AND(E1017&gt;=01_因子設定!$L$5-0.000000001,E1017&lt;=01_因子設定!$M$5+0.000000001,F1017&gt;=01_因子設定!$L$6-0.000000001,F1017&lt;=01_因子設定!$M$6+0.000000001,G1017&gt;=01_因子設定!$L$7-0.000000001,G1017&lt;=01_因子設定!$M$7+0.000000001,H1017&gt;=01_因子設定!$L$8-0.000000001,H1017&lt;=01_因子設定!$M$8+0.000000001,IF(01_因子設定!$B$20="Box-Behnken",E1017^2+F1017^2+G1017^2+H1017^2&lt;=2+0.000000001,TRUE()))</f>
        <v>1</v>
      </c>
      <c r="AD1017" s="55" t="n">
        <f aca="false">IF(AC1017,IF(01_因子設定!$B$13="最大化",AA1017-01_因子設定!$B$14,IF(01_因子設定!$B$13="最小化",01_因子設定!$B$15-AB1017,MIN(AA1017-01_因子設定!$B$14,01_因子設定!$B$15-AB1017))),-1E+030)</f>
        <v>-3.46041460762106</v>
      </c>
      <c r="AE1017" s="55" t="n">
        <f aca="false">IF(AC1017,IF(01_因子設定!$B$13="最大化",X1017,IF(01_因子設定!$B$13="最小化",-X1017,-ABS(X1017-01_因子設定!$B$16))),-1E+030)</f>
        <v>44.477019371345</v>
      </c>
      <c r="AF1017" s="55" t="n">
        <f aca="false">AD1017+ROW()*0.000000001</f>
        <v>-3.46041359062106</v>
      </c>
      <c r="AG1017" s="55" t="n">
        <f aca="false">AE1017+ROW()*0.000000001</f>
        <v>44.477020388345</v>
      </c>
    </row>
    <row r="1018" customFormat="false" ht="15" hidden="false" customHeight="false" outlineLevel="0" collapsed="false">
      <c r="A1018" s="0" t="n">
        <v>1</v>
      </c>
      <c r="B1018" s="0" t="n">
        <v>3</v>
      </c>
      <c r="C1018" s="0" t="n">
        <v>4</v>
      </c>
      <c r="D1018" s="0" t="n">
        <v>5</v>
      </c>
      <c r="E1018" s="0" t="n">
        <f aca="false">-1+A1018*0.25</f>
        <v>-0.75</v>
      </c>
      <c r="F1018" s="0" t="n">
        <f aca="false">-1+B1018*0.25</f>
        <v>-0.25</v>
      </c>
      <c r="G1018" s="0" t="n">
        <f aca="false">-1+C1018*0.25</f>
        <v>0</v>
      </c>
      <c r="H1018" s="0" t="n">
        <f aca="false">-1+D1018*0.25</f>
        <v>0.25</v>
      </c>
      <c r="I1018" s="0" t="n">
        <f aca="false">1</f>
        <v>1</v>
      </c>
      <c r="J1018" s="0" t="n">
        <f aca="false">E1018</f>
        <v>-0.75</v>
      </c>
      <c r="K1018" s="0" t="n">
        <f aca="false">F1018</f>
        <v>-0.25</v>
      </c>
      <c r="L1018" s="0" t="n">
        <f aca="false">G1018</f>
        <v>0</v>
      </c>
      <c r="M1018" s="0" t="n">
        <f aca="false">H1018</f>
        <v>0.25</v>
      </c>
      <c r="N1018" s="0" t="n">
        <f aca="false">E1018*F1018</f>
        <v>0.1875</v>
      </c>
      <c r="O1018" s="0" t="n">
        <f aca="false">E1018*G1018</f>
        <v>-0</v>
      </c>
      <c r="P1018" s="0" t="n">
        <f aca="false">E1018*H1018</f>
        <v>-0.1875</v>
      </c>
      <c r="Q1018" s="0" t="n">
        <f aca="false">F1018*G1018</f>
        <v>-0</v>
      </c>
      <c r="R1018" s="0" t="n">
        <f aca="false">F1018*H1018</f>
        <v>-0.0625</v>
      </c>
      <c r="S1018" s="0" t="n">
        <f aca="false">G1018*H1018</f>
        <v>0</v>
      </c>
      <c r="T1018" s="0" t="n">
        <f aca="false">E1018*E1018</f>
        <v>0.5625</v>
      </c>
      <c r="U1018" s="0" t="n">
        <f aca="false">F1018*F1018</f>
        <v>0.0625</v>
      </c>
      <c r="V1018" s="0" t="n">
        <f aca="false">G1018*G1018</f>
        <v>0</v>
      </c>
      <c r="W1018" s="0" t="n">
        <f aca="false">H1018*H1018</f>
        <v>0.0625</v>
      </c>
      <c r="X1018" s="0" t="n">
        <f aca="false">SUMPRODUCT(I1018:W1018,_XtX!$B$96:$P$96)</f>
        <v>44.544348501462</v>
      </c>
      <c r="Y1018" s="0" t="n">
        <f aca="false">SUMPRODUCT(MMULT(I1018:W1018,_XtX!$B$78:$P$92),I1018:W1018)</f>
        <v>0.21135011193348</v>
      </c>
      <c r="Z1018" s="0" t="n">
        <f aca="false">04_回帰ANOVA!$K$19*04_回帰ANOVA!$K$14*SQRT(1+Y1018)</f>
        <v>1.43460795469709</v>
      </c>
      <c r="AA1018" s="0" t="n">
        <f aca="false">X1018-Z1018</f>
        <v>43.1097405467649</v>
      </c>
      <c r="AB1018" s="0" t="n">
        <f aca="false">X1018+Z1018</f>
        <v>45.9789564561591</v>
      </c>
      <c r="AC1018" s="54" t="b">
        <f aca="false">AND(E1018&gt;=01_因子設定!$L$5-0.000000001,E1018&lt;=01_因子設定!$M$5+0.000000001,F1018&gt;=01_因子設定!$L$6-0.000000001,F1018&lt;=01_因子設定!$M$6+0.000000001,G1018&gt;=01_因子設定!$L$7-0.000000001,G1018&lt;=01_因子設定!$M$7+0.000000001,H1018&gt;=01_因子設定!$L$8-0.000000001,H1018&lt;=01_因子設定!$M$8+0.000000001,IF(01_因子設定!$B$20="Box-Behnken",E1018^2+F1018^2+G1018^2+H1018^2&lt;=2+0.000000001,TRUE()))</f>
        <v>1</v>
      </c>
      <c r="AD1018" s="55" t="n">
        <f aca="false">IF(AC1018,IF(01_因子設定!$B$13="最大化",AA1018-01_因子設定!$B$14,IF(01_因子設定!$B$13="最小化",01_因子設定!$B$15-AB1018,MIN(AA1018-01_因子設定!$B$14,01_因子設定!$B$15-AB1018))),-1E+030)</f>
        <v>-3.39025945323511</v>
      </c>
      <c r="AE1018" s="55" t="n">
        <f aca="false">IF(AC1018,IF(01_因子設定!$B$13="最大化",X1018,IF(01_因子設定!$B$13="最小化",-X1018,-ABS(X1018-01_因子設定!$B$16))),-1E+030)</f>
        <v>44.544348501462</v>
      </c>
      <c r="AF1018" s="55" t="n">
        <f aca="false">AD1018+ROW()*0.000000001</f>
        <v>-3.39025843523511</v>
      </c>
      <c r="AG1018" s="55" t="n">
        <f aca="false">AE1018+ROW()*0.000000001</f>
        <v>44.544349519462</v>
      </c>
    </row>
    <row r="1019" customFormat="false" ht="15" hidden="false" customHeight="false" outlineLevel="0" collapsed="false">
      <c r="A1019" s="0" t="n">
        <v>1</v>
      </c>
      <c r="B1019" s="0" t="n">
        <v>3</v>
      </c>
      <c r="C1019" s="0" t="n">
        <v>4</v>
      </c>
      <c r="D1019" s="0" t="n">
        <v>6</v>
      </c>
      <c r="E1019" s="0" t="n">
        <f aca="false">-1+A1019*0.25</f>
        <v>-0.75</v>
      </c>
      <c r="F1019" s="0" t="n">
        <f aca="false">-1+B1019*0.25</f>
        <v>-0.25</v>
      </c>
      <c r="G1019" s="0" t="n">
        <f aca="false">-1+C1019*0.25</f>
        <v>0</v>
      </c>
      <c r="H1019" s="0" t="n">
        <f aca="false">-1+D1019*0.25</f>
        <v>0.5</v>
      </c>
      <c r="I1019" s="0" t="n">
        <f aca="false">1</f>
        <v>1</v>
      </c>
      <c r="J1019" s="0" t="n">
        <f aca="false">E1019</f>
        <v>-0.75</v>
      </c>
      <c r="K1019" s="0" t="n">
        <f aca="false">F1019</f>
        <v>-0.25</v>
      </c>
      <c r="L1019" s="0" t="n">
        <f aca="false">G1019</f>
        <v>0</v>
      </c>
      <c r="M1019" s="0" t="n">
        <f aca="false">H1019</f>
        <v>0.5</v>
      </c>
      <c r="N1019" s="0" t="n">
        <f aca="false">E1019*F1019</f>
        <v>0.1875</v>
      </c>
      <c r="O1019" s="0" t="n">
        <f aca="false">E1019*G1019</f>
        <v>-0</v>
      </c>
      <c r="P1019" s="0" t="n">
        <f aca="false">E1019*H1019</f>
        <v>-0.375</v>
      </c>
      <c r="Q1019" s="0" t="n">
        <f aca="false">F1019*G1019</f>
        <v>-0</v>
      </c>
      <c r="R1019" s="0" t="n">
        <f aca="false">F1019*H1019</f>
        <v>-0.125</v>
      </c>
      <c r="S1019" s="0" t="n">
        <f aca="false">G1019*H1019</f>
        <v>0</v>
      </c>
      <c r="T1019" s="0" t="n">
        <f aca="false">E1019*E1019</f>
        <v>0.5625</v>
      </c>
      <c r="U1019" s="0" t="n">
        <f aca="false">F1019*F1019</f>
        <v>0.0625</v>
      </c>
      <c r="V1019" s="0" t="n">
        <f aca="false">G1019*G1019</f>
        <v>0</v>
      </c>
      <c r="W1019" s="0" t="n">
        <f aca="false">H1019*H1019</f>
        <v>0.25</v>
      </c>
      <c r="X1019" s="0" t="n">
        <f aca="false">SUMPRODUCT(I1019:W1019,_XtX!$B$96:$P$96)</f>
        <v>44.5638706140351</v>
      </c>
      <c r="Y1019" s="0" t="n">
        <f aca="false">SUMPRODUCT(MMULT(I1019:W1019,_XtX!$B$78:$P$92),I1019:W1019)</f>
        <v>0.215110734192252</v>
      </c>
      <c r="Z1019" s="0" t="n">
        <f aca="false">04_回帰ANOVA!$K$19*04_回帰ANOVA!$K$14*SQRT(1+Y1019)</f>
        <v>1.43683309086864</v>
      </c>
      <c r="AA1019" s="0" t="n">
        <f aca="false">X1019-Z1019</f>
        <v>43.1270375231664</v>
      </c>
      <c r="AB1019" s="0" t="n">
        <f aca="false">X1019+Z1019</f>
        <v>46.0007037049037</v>
      </c>
      <c r="AC1019" s="54" t="b">
        <f aca="false">AND(E1019&gt;=01_因子設定!$L$5-0.000000001,E1019&lt;=01_因子設定!$M$5+0.000000001,F1019&gt;=01_因子設定!$L$6-0.000000001,F1019&lt;=01_因子設定!$M$6+0.000000001,G1019&gt;=01_因子設定!$L$7-0.000000001,G1019&lt;=01_因子設定!$M$7+0.000000001,H1019&gt;=01_因子設定!$L$8-0.000000001,H1019&lt;=01_因子設定!$M$8+0.000000001,IF(01_因子設定!$B$20="Box-Behnken",E1019^2+F1019^2+G1019^2+H1019^2&lt;=2+0.000000001,TRUE()))</f>
        <v>1</v>
      </c>
      <c r="AD1019" s="55" t="n">
        <f aca="false">IF(AC1019,IF(01_因子設定!$B$13="最大化",AA1019-01_因子設定!$B$14,IF(01_因子設定!$B$13="最小化",01_因子設定!$B$15-AB1019,MIN(AA1019-01_因子設定!$B$14,01_因子設定!$B$15-AB1019))),-1E+030)</f>
        <v>-3.37296247683356</v>
      </c>
      <c r="AE1019" s="55" t="n">
        <f aca="false">IF(AC1019,IF(01_因子設定!$B$13="最大化",X1019,IF(01_因子設定!$B$13="最小化",-X1019,-ABS(X1019-01_因子設定!$B$16))),-1E+030)</f>
        <v>44.5638706140351</v>
      </c>
      <c r="AF1019" s="55" t="n">
        <f aca="false">AD1019+ROW()*0.000000001</f>
        <v>-3.37296145783356</v>
      </c>
      <c r="AG1019" s="55" t="n">
        <f aca="false">AE1019+ROW()*0.000000001</f>
        <v>44.5638716330351</v>
      </c>
    </row>
    <row r="1020" customFormat="false" ht="15" hidden="false" customHeight="false" outlineLevel="0" collapsed="false">
      <c r="A1020" s="0" t="n">
        <v>1</v>
      </c>
      <c r="B1020" s="0" t="n">
        <v>3</v>
      </c>
      <c r="C1020" s="0" t="n">
        <v>4</v>
      </c>
      <c r="D1020" s="0" t="n">
        <v>7</v>
      </c>
      <c r="E1020" s="0" t="n">
        <f aca="false">-1+A1020*0.25</f>
        <v>-0.75</v>
      </c>
      <c r="F1020" s="0" t="n">
        <f aca="false">-1+B1020*0.25</f>
        <v>-0.25</v>
      </c>
      <c r="G1020" s="0" t="n">
        <f aca="false">-1+C1020*0.25</f>
        <v>0</v>
      </c>
      <c r="H1020" s="0" t="n">
        <f aca="false">-1+D1020*0.25</f>
        <v>0.75</v>
      </c>
      <c r="I1020" s="0" t="n">
        <f aca="false">1</f>
        <v>1</v>
      </c>
      <c r="J1020" s="0" t="n">
        <f aca="false">E1020</f>
        <v>-0.75</v>
      </c>
      <c r="K1020" s="0" t="n">
        <f aca="false">F1020</f>
        <v>-0.25</v>
      </c>
      <c r="L1020" s="0" t="n">
        <f aca="false">G1020</f>
        <v>0</v>
      </c>
      <c r="M1020" s="0" t="n">
        <f aca="false">H1020</f>
        <v>0.75</v>
      </c>
      <c r="N1020" s="0" t="n">
        <f aca="false">E1020*F1020</f>
        <v>0.1875</v>
      </c>
      <c r="O1020" s="0" t="n">
        <f aca="false">E1020*G1020</f>
        <v>-0</v>
      </c>
      <c r="P1020" s="0" t="n">
        <f aca="false">E1020*H1020</f>
        <v>-0.5625</v>
      </c>
      <c r="Q1020" s="0" t="n">
        <f aca="false">F1020*G1020</f>
        <v>-0</v>
      </c>
      <c r="R1020" s="0" t="n">
        <f aca="false">F1020*H1020</f>
        <v>-0.1875</v>
      </c>
      <c r="S1020" s="0" t="n">
        <f aca="false">G1020*H1020</f>
        <v>0</v>
      </c>
      <c r="T1020" s="0" t="n">
        <f aca="false">E1020*E1020</f>
        <v>0.5625</v>
      </c>
      <c r="U1020" s="0" t="n">
        <f aca="false">F1020*F1020</f>
        <v>0.0625</v>
      </c>
      <c r="V1020" s="0" t="n">
        <f aca="false">G1020*G1020</f>
        <v>0</v>
      </c>
      <c r="W1020" s="0" t="n">
        <f aca="false">H1020*H1020</f>
        <v>0.5625</v>
      </c>
      <c r="X1020" s="0" t="n">
        <f aca="false">SUMPRODUCT(I1020:W1020,_XtX!$B$96:$P$96)</f>
        <v>44.5355857090643</v>
      </c>
      <c r="Y1020" s="0" t="n">
        <f aca="false">SUMPRODUCT(MMULT(I1020:W1020,_XtX!$B$78:$P$92),I1020:W1020)</f>
        <v>0.281685455500731</v>
      </c>
      <c r="Z1020" s="0" t="n">
        <f aca="false">04_回帰ANOVA!$K$19*04_回帰ANOVA!$K$14*SQRT(1+Y1020)</f>
        <v>1.47566956658694</v>
      </c>
      <c r="AA1020" s="0" t="n">
        <f aca="false">X1020-Z1020</f>
        <v>43.0599161424774</v>
      </c>
      <c r="AB1020" s="0" t="n">
        <f aca="false">X1020+Z1020</f>
        <v>46.0112552756513</v>
      </c>
      <c r="AC1020" s="54" t="b">
        <f aca="false">AND(E1020&gt;=01_因子設定!$L$5-0.000000001,E1020&lt;=01_因子設定!$M$5+0.000000001,F1020&gt;=01_因子設定!$L$6-0.000000001,F1020&lt;=01_因子設定!$M$6+0.000000001,G1020&gt;=01_因子設定!$L$7-0.000000001,G1020&lt;=01_因子設定!$M$7+0.000000001,H1020&gt;=01_因子設定!$L$8-0.000000001,H1020&lt;=01_因子設定!$M$8+0.000000001,IF(01_因子設定!$B$20="Box-Behnken",E1020^2+F1020^2+G1020^2+H1020^2&lt;=2+0.000000001,TRUE()))</f>
        <v>1</v>
      </c>
      <c r="AD1020" s="55" t="n">
        <f aca="false">IF(AC1020,IF(01_因子設定!$B$13="最大化",AA1020-01_因子設定!$B$14,IF(01_因子設定!$B$13="最小化",01_因子設定!$B$15-AB1020,MIN(AA1020-01_因子設定!$B$14,01_因子設定!$B$15-AB1020))),-1E+030)</f>
        <v>-3.4400838575226</v>
      </c>
      <c r="AE1020" s="55" t="n">
        <f aca="false">IF(AC1020,IF(01_因子設定!$B$13="最大化",X1020,IF(01_因子設定!$B$13="最小化",-X1020,-ABS(X1020-01_因子設定!$B$16))),-1E+030)</f>
        <v>44.5355857090643</v>
      </c>
      <c r="AF1020" s="55" t="n">
        <f aca="false">AD1020+ROW()*0.000000001</f>
        <v>-3.4400828375226</v>
      </c>
      <c r="AG1020" s="55" t="n">
        <f aca="false">AE1020+ROW()*0.000000001</f>
        <v>44.5355867290643</v>
      </c>
    </row>
    <row r="1021" customFormat="false" ht="15" hidden="false" customHeight="false" outlineLevel="0" collapsed="false">
      <c r="A1021" s="0" t="n">
        <v>1</v>
      </c>
      <c r="B1021" s="0" t="n">
        <v>3</v>
      </c>
      <c r="C1021" s="0" t="n">
        <v>4</v>
      </c>
      <c r="D1021" s="0" t="n">
        <v>8</v>
      </c>
      <c r="E1021" s="0" t="n">
        <f aca="false">-1+A1021*0.25</f>
        <v>-0.75</v>
      </c>
      <c r="F1021" s="0" t="n">
        <f aca="false">-1+B1021*0.25</f>
        <v>-0.25</v>
      </c>
      <c r="G1021" s="0" t="n">
        <f aca="false">-1+C1021*0.25</f>
        <v>0</v>
      </c>
      <c r="H1021" s="0" t="n">
        <f aca="false">-1+D1021*0.25</f>
        <v>1</v>
      </c>
      <c r="I1021" s="0" t="n">
        <f aca="false">1</f>
        <v>1</v>
      </c>
      <c r="J1021" s="0" t="n">
        <f aca="false">E1021</f>
        <v>-0.75</v>
      </c>
      <c r="K1021" s="0" t="n">
        <f aca="false">F1021</f>
        <v>-0.25</v>
      </c>
      <c r="L1021" s="0" t="n">
        <f aca="false">G1021</f>
        <v>0</v>
      </c>
      <c r="M1021" s="0" t="n">
        <f aca="false">H1021</f>
        <v>1</v>
      </c>
      <c r="N1021" s="0" t="n">
        <f aca="false">E1021*F1021</f>
        <v>0.1875</v>
      </c>
      <c r="O1021" s="0" t="n">
        <f aca="false">E1021*G1021</f>
        <v>-0</v>
      </c>
      <c r="P1021" s="0" t="n">
        <f aca="false">E1021*H1021</f>
        <v>-0.75</v>
      </c>
      <c r="Q1021" s="0" t="n">
        <f aca="false">F1021*G1021</f>
        <v>-0</v>
      </c>
      <c r="R1021" s="0" t="n">
        <f aca="false">F1021*H1021</f>
        <v>-0.25</v>
      </c>
      <c r="S1021" s="0" t="n">
        <f aca="false">G1021*H1021</f>
        <v>0</v>
      </c>
      <c r="T1021" s="0" t="n">
        <f aca="false">E1021*E1021</f>
        <v>0.5625</v>
      </c>
      <c r="U1021" s="0" t="n">
        <f aca="false">F1021*F1021</f>
        <v>0.0625</v>
      </c>
      <c r="V1021" s="0" t="n">
        <f aca="false">G1021*G1021</f>
        <v>0</v>
      </c>
      <c r="W1021" s="0" t="n">
        <f aca="false">H1021*H1021</f>
        <v>1</v>
      </c>
      <c r="X1021" s="0" t="n">
        <f aca="false">SUMPRODUCT(I1021:W1021,_XtX!$B$96:$P$96)</f>
        <v>44.4594937865497</v>
      </c>
      <c r="Y1021" s="0" t="n">
        <f aca="false">SUMPRODUCT(MMULT(I1021:W1021,_XtX!$B$78:$P$92),I1021:W1021)</f>
        <v>0.501534802174708</v>
      </c>
      <c r="Z1021" s="0" t="n">
        <f aca="false">04_回帰ANOVA!$K$19*04_回帰ANOVA!$K$14*SQRT(1+Y1021)</f>
        <v>1.59722498091333</v>
      </c>
      <c r="AA1021" s="0" t="n">
        <f aca="false">X1021-Z1021</f>
        <v>42.8622688056364</v>
      </c>
      <c r="AB1021" s="0" t="n">
        <f aca="false">X1021+Z1021</f>
        <v>46.0567187674631</v>
      </c>
      <c r="AC1021" s="54" t="b">
        <f aca="false">AND(E1021&gt;=01_因子設定!$L$5-0.000000001,E1021&lt;=01_因子設定!$M$5+0.000000001,F1021&gt;=01_因子設定!$L$6-0.000000001,F1021&lt;=01_因子設定!$M$6+0.000000001,G1021&gt;=01_因子設定!$L$7-0.000000001,G1021&lt;=01_因子設定!$M$7+0.000000001,H1021&gt;=01_因子設定!$L$8-0.000000001,H1021&lt;=01_因子設定!$M$8+0.000000001,IF(01_因子設定!$B$20="Box-Behnken",E1021^2+F1021^2+G1021^2+H1021^2&lt;=2+0.000000001,TRUE()))</f>
        <v>1</v>
      </c>
      <c r="AD1021" s="55" t="n">
        <f aca="false">IF(AC1021,IF(01_因子設定!$B$13="最大化",AA1021-01_因子設定!$B$14,IF(01_因子設定!$B$13="最小化",01_因子設定!$B$15-AB1021,MIN(AA1021-01_因子設定!$B$14,01_因子設定!$B$15-AB1021))),-1E+030)</f>
        <v>-3.6377311943636</v>
      </c>
      <c r="AE1021" s="55" t="n">
        <f aca="false">IF(AC1021,IF(01_因子設定!$B$13="最大化",X1021,IF(01_因子設定!$B$13="最小化",-X1021,-ABS(X1021-01_因子設定!$B$16))),-1E+030)</f>
        <v>44.4594937865497</v>
      </c>
      <c r="AF1021" s="55" t="n">
        <f aca="false">AD1021+ROW()*0.000000001</f>
        <v>-3.6377301733636</v>
      </c>
      <c r="AG1021" s="55" t="n">
        <f aca="false">AE1021+ROW()*0.000000001</f>
        <v>44.4594948075497</v>
      </c>
    </row>
    <row r="1022" customFormat="false" ht="15" hidden="false" customHeight="false" outlineLevel="0" collapsed="false">
      <c r="A1022" s="0" t="n">
        <v>1</v>
      </c>
      <c r="B1022" s="0" t="n">
        <v>3</v>
      </c>
      <c r="C1022" s="0" t="n">
        <v>5</v>
      </c>
      <c r="D1022" s="0" t="n">
        <v>0</v>
      </c>
      <c r="E1022" s="0" t="n">
        <f aca="false">-1+A1022*0.25</f>
        <v>-0.75</v>
      </c>
      <c r="F1022" s="0" t="n">
        <f aca="false">-1+B1022*0.25</f>
        <v>-0.25</v>
      </c>
      <c r="G1022" s="0" t="n">
        <f aca="false">-1+C1022*0.25</f>
        <v>0.25</v>
      </c>
      <c r="H1022" s="0" t="n">
        <f aca="false">-1+D1022*0.25</f>
        <v>-1</v>
      </c>
      <c r="I1022" s="0" t="n">
        <f aca="false">1</f>
        <v>1</v>
      </c>
      <c r="J1022" s="0" t="n">
        <f aca="false">E1022</f>
        <v>-0.75</v>
      </c>
      <c r="K1022" s="0" t="n">
        <f aca="false">F1022</f>
        <v>-0.25</v>
      </c>
      <c r="L1022" s="0" t="n">
        <f aca="false">G1022</f>
        <v>0.25</v>
      </c>
      <c r="M1022" s="0" t="n">
        <f aca="false">H1022</f>
        <v>-1</v>
      </c>
      <c r="N1022" s="0" t="n">
        <f aca="false">E1022*F1022</f>
        <v>0.1875</v>
      </c>
      <c r="O1022" s="0" t="n">
        <f aca="false">E1022*G1022</f>
        <v>-0.1875</v>
      </c>
      <c r="P1022" s="0" t="n">
        <f aca="false">E1022*H1022</f>
        <v>0.75</v>
      </c>
      <c r="Q1022" s="0" t="n">
        <f aca="false">F1022*G1022</f>
        <v>-0.0625</v>
      </c>
      <c r="R1022" s="0" t="n">
        <f aca="false">F1022*H1022</f>
        <v>0.25</v>
      </c>
      <c r="S1022" s="0" t="n">
        <f aca="false">G1022*H1022</f>
        <v>-0.25</v>
      </c>
      <c r="T1022" s="0" t="n">
        <f aca="false">E1022*E1022</f>
        <v>0.5625</v>
      </c>
      <c r="U1022" s="0" t="n">
        <f aca="false">F1022*F1022</f>
        <v>0.0625</v>
      </c>
      <c r="V1022" s="0" t="n">
        <f aca="false">G1022*G1022</f>
        <v>0.0625</v>
      </c>
      <c r="W1022" s="0" t="n">
        <f aca="false">H1022*H1022</f>
        <v>1</v>
      </c>
      <c r="X1022" s="0" t="n">
        <f aca="false">SUMPRODUCT(I1022:W1022,_XtX!$B$96:$P$96)</f>
        <v>43.96328125</v>
      </c>
      <c r="Y1022" s="0" t="n">
        <f aca="false">SUMPRODUCT(MMULT(I1022:W1022,_XtX!$B$78:$P$92),I1022:W1022)</f>
        <v>0.486409505208334</v>
      </c>
      <c r="Z1022" s="0" t="n">
        <f aca="false">04_回帰ANOVA!$K$19*04_回帰ANOVA!$K$14*SQRT(1+Y1022)</f>
        <v>1.58916001665498</v>
      </c>
      <c r="AA1022" s="0" t="n">
        <f aca="false">X1022-Z1022</f>
        <v>42.374121233345</v>
      </c>
      <c r="AB1022" s="0" t="n">
        <f aca="false">X1022+Z1022</f>
        <v>45.552441266655</v>
      </c>
      <c r="AC1022" s="54" t="b">
        <f aca="false">AND(E1022&gt;=01_因子設定!$L$5-0.000000001,E1022&lt;=01_因子設定!$M$5+0.000000001,F1022&gt;=01_因子設定!$L$6-0.000000001,F1022&lt;=01_因子設定!$M$6+0.000000001,G1022&gt;=01_因子設定!$L$7-0.000000001,G1022&lt;=01_因子設定!$M$7+0.000000001,H1022&gt;=01_因子設定!$L$8-0.000000001,H1022&lt;=01_因子設定!$M$8+0.000000001,IF(01_因子設定!$B$20="Box-Behnken",E1022^2+F1022^2+G1022^2+H1022^2&lt;=2+0.000000001,TRUE()))</f>
        <v>1</v>
      </c>
      <c r="AD1022" s="55" t="n">
        <f aca="false">IF(AC1022,IF(01_因子設定!$B$13="最大化",AA1022-01_因子設定!$B$14,IF(01_因子設定!$B$13="最小化",01_因子設定!$B$15-AB1022,MIN(AA1022-01_因子設定!$B$14,01_因子設定!$B$15-AB1022))),-1E+030)</f>
        <v>-4.12587876665496</v>
      </c>
      <c r="AE1022" s="55" t="n">
        <f aca="false">IF(AC1022,IF(01_因子設定!$B$13="最大化",X1022,IF(01_因子設定!$B$13="最小化",-X1022,-ABS(X1022-01_因子設定!$B$16))),-1E+030)</f>
        <v>43.96328125</v>
      </c>
      <c r="AF1022" s="55" t="n">
        <f aca="false">AD1022+ROW()*0.000000001</f>
        <v>-4.12587774465496</v>
      </c>
      <c r="AG1022" s="55" t="n">
        <f aca="false">AE1022+ROW()*0.000000001</f>
        <v>43.963282272</v>
      </c>
    </row>
    <row r="1023" customFormat="false" ht="15" hidden="false" customHeight="false" outlineLevel="0" collapsed="false">
      <c r="A1023" s="0" t="n">
        <v>1</v>
      </c>
      <c r="B1023" s="0" t="n">
        <v>3</v>
      </c>
      <c r="C1023" s="0" t="n">
        <v>5</v>
      </c>
      <c r="D1023" s="0" t="n">
        <v>1</v>
      </c>
      <c r="E1023" s="0" t="n">
        <f aca="false">-1+A1023*0.25</f>
        <v>-0.75</v>
      </c>
      <c r="F1023" s="0" t="n">
        <f aca="false">-1+B1023*0.25</f>
        <v>-0.25</v>
      </c>
      <c r="G1023" s="0" t="n">
        <f aca="false">-1+C1023*0.25</f>
        <v>0.25</v>
      </c>
      <c r="H1023" s="0" t="n">
        <f aca="false">-1+D1023*0.25</f>
        <v>-0.75</v>
      </c>
      <c r="I1023" s="0" t="n">
        <f aca="false">1</f>
        <v>1</v>
      </c>
      <c r="J1023" s="0" t="n">
        <f aca="false">E1023</f>
        <v>-0.75</v>
      </c>
      <c r="K1023" s="0" t="n">
        <f aca="false">F1023</f>
        <v>-0.25</v>
      </c>
      <c r="L1023" s="0" t="n">
        <f aca="false">G1023</f>
        <v>0.25</v>
      </c>
      <c r="M1023" s="0" t="n">
        <f aca="false">H1023</f>
        <v>-0.75</v>
      </c>
      <c r="N1023" s="0" t="n">
        <f aca="false">E1023*F1023</f>
        <v>0.1875</v>
      </c>
      <c r="O1023" s="0" t="n">
        <f aca="false">E1023*G1023</f>
        <v>-0.1875</v>
      </c>
      <c r="P1023" s="0" t="n">
        <f aca="false">E1023*H1023</f>
        <v>0.5625</v>
      </c>
      <c r="Q1023" s="0" t="n">
        <f aca="false">F1023*G1023</f>
        <v>-0.0625</v>
      </c>
      <c r="R1023" s="0" t="n">
        <f aca="false">F1023*H1023</f>
        <v>0.1875</v>
      </c>
      <c r="S1023" s="0" t="n">
        <f aca="false">G1023*H1023</f>
        <v>-0.1875</v>
      </c>
      <c r="T1023" s="0" t="n">
        <f aca="false">E1023*E1023</f>
        <v>0.5625</v>
      </c>
      <c r="U1023" s="0" t="n">
        <f aca="false">F1023*F1023</f>
        <v>0.0625</v>
      </c>
      <c r="V1023" s="0" t="n">
        <f aca="false">G1023*G1023</f>
        <v>0.0625</v>
      </c>
      <c r="W1023" s="0" t="n">
        <f aca="false">H1023*H1023</f>
        <v>0.5625</v>
      </c>
      <c r="X1023" s="0" t="n">
        <f aca="false">SUMPRODUCT(I1023:W1023,_XtX!$B$96:$P$96)</f>
        <v>44.2398072002924</v>
      </c>
      <c r="Y1023" s="0" t="n">
        <f aca="false">SUMPRODUCT(MMULT(I1023:W1023,_XtX!$B$78:$P$92),I1023:W1023)</f>
        <v>0.271087468019006</v>
      </c>
      <c r="Z1023" s="0" t="n">
        <f aca="false">04_回帰ANOVA!$K$19*04_回帰ANOVA!$K$14*SQRT(1+Y1023)</f>
        <v>1.46955590155034</v>
      </c>
      <c r="AA1023" s="0" t="n">
        <f aca="false">X1023-Z1023</f>
        <v>42.7702512987421</v>
      </c>
      <c r="AB1023" s="0" t="n">
        <f aca="false">X1023+Z1023</f>
        <v>45.7093631018428</v>
      </c>
      <c r="AC1023" s="54" t="b">
        <f aca="false">AND(E1023&gt;=01_因子設定!$L$5-0.000000001,E1023&lt;=01_因子設定!$M$5+0.000000001,F1023&gt;=01_因子設定!$L$6-0.000000001,F1023&lt;=01_因子設定!$M$6+0.000000001,G1023&gt;=01_因子設定!$L$7-0.000000001,G1023&lt;=01_因子設定!$M$7+0.000000001,H1023&gt;=01_因子設定!$L$8-0.000000001,H1023&lt;=01_因子設定!$M$8+0.000000001,IF(01_因子設定!$B$20="Box-Behnken",E1023^2+F1023^2+G1023^2+H1023^2&lt;=2+0.000000001,TRUE()))</f>
        <v>1</v>
      </c>
      <c r="AD1023" s="55" t="n">
        <f aca="false">IF(AC1023,IF(01_因子設定!$B$13="最大化",AA1023-01_因子設定!$B$14,IF(01_因子設定!$B$13="最小化",01_因子設定!$B$15-AB1023,MIN(AA1023-01_因子設定!$B$14,01_因子設定!$B$15-AB1023))),-1E+030)</f>
        <v>-3.72974870125794</v>
      </c>
      <c r="AE1023" s="55" t="n">
        <f aca="false">IF(AC1023,IF(01_因子設定!$B$13="最大化",X1023,IF(01_因子設定!$B$13="最小化",-X1023,-ABS(X1023-01_因子設定!$B$16))),-1E+030)</f>
        <v>44.2398072002924</v>
      </c>
      <c r="AF1023" s="55" t="n">
        <f aca="false">AD1023+ROW()*0.000000001</f>
        <v>-3.72974767825794</v>
      </c>
      <c r="AG1023" s="55" t="n">
        <f aca="false">AE1023+ROW()*0.000000001</f>
        <v>44.2398082232924</v>
      </c>
    </row>
    <row r="1024" customFormat="false" ht="15" hidden="false" customHeight="false" outlineLevel="0" collapsed="false">
      <c r="A1024" s="0" t="n">
        <v>1</v>
      </c>
      <c r="B1024" s="0" t="n">
        <v>3</v>
      </c>
      <c r="C1024" s="0" t="n">
        <v>5</v>
      </c>
      <c r="D1024" s="0" t="n">
        <v>2</v>
      </c>
      <c r="E1024" s="0" t="n">
        <f aca="false">-1+A1024*0.25</f>
        <v>-0.75</v>
      </c>
      <c r="F1024" s="0" t="n">
        <f aca="false">-1+B1024*0.25</f>
        <v>-0.25</v>
      </c>
      <c r="G1024" s="0" t="n">
        <f aca="false">-1+C1024*0.25</f>
        <v>0.25</v>
      </c>
      <c r="H1024" s="0" t="n">
        <f aca="false">-1+D1024*0.25</f>
        <v>-0.5</v>
      </c>
      <c r="I1024" s="0" t="n">
        <f aca="false">1</f>
        <v>1</v>
      </c>
      <c r="J1024" s="0" t="n">
        <f aca="false">E1024</f>
        <v>-0.75</v>
      </c>
      <c r="K1024" s="0" t="n">
        <f aca="false">F1024</f>
        <v>-0.25</v>
      </c>
      <c r="L1024" s="0" t="n">
        <f aca="false">G1024</f>
        <v>0.25</v>
      </c>
      <c r="M1024" s="0" t="n">
        <f aca="false">H1024</f>
        <v>-0.5</v>
      </c>
      <c r="N1024" s="0" t="n">
        <f aca="false">E1024*F1024</f>
        <v>0.1875</v>
      </c>
      <c r="O1024" s="0" t="n">
        <f aca="false">E1024*G1024</f>
        <v>-0.1875</v>
      </c>
      <c r="P1024" s="0" t="n">
        <f aca="false">E1024*H1024</f>
        <v>0.375</v>
      </c>
      <c r="Q1024" s="0" t="n">
        <f aca="false">F1024*G1024</f>
        <v>-0.0625</v>
      </c>
      <c r="R1024" s="0" t="n">
        <f aca="false">F1024*H1024</f>
        <v>0.125</v>
      </c>
      <c r="S1024" s="0" t="n">
        <f aca="false">G1024*H1024</f>
        <v>-0.125</v>
      </c>
      <c r="T1024" s="0" t="n">
        <f aca="false">E1024*E1024</f>
        <v>0.5625</v>
      </c>
      <c r="U1024" s="0" t="n">
        <f aca="false">F1024*F1024</f>
        <v>0.0625</v>
      </c>
      <c r="V1024" s="0" t="n">
        <f aca="false">G1024*G1024</f>
        <v>0.0625</v>
      </c>
      <c r="W1024" s="0" t="n">
        <f aca="false">H1024*H1024</f>
        <v>0.25</v>
      </c>
      <c r="X1024" s="0" t="n">
        <f aca="false">SUMPRODUCT(I1024:W1024,_XtX!$B$96:$P$96)</f>
        <v>44.4685261330409</v>
      </c>
      <c r="Y1024" s="0" t="n">
        <f aca="false">SUMPRODUCT(MMULT(I1024:W1024,_XtX!$B$78:$P$92),I1024:W1024)</f>
        <v>0.207746539199561</v>
      </c>
      <c r="Z1024" s="0" t="n">
        <f aca="false">04_回帰ANOVA!$K$19*04_回帰ANOVA!$K$14*SQRT(1+Y1024)</f>
        <v>1.43247250081141</v>
      </c>
      <c r="AA1024" s="0" t="n">
        <f aca="false">X1024-Z1024</f>
        <v>43.0360536322295</v>
      </c>
      <c r="AB1024" s="0" t="n">
        <f aca="false">X1024+Z1024</f>
        <v>45.9009986338523</v>
      </c>
      <c r="AC1024" s="54" t="b">
        <f aca="false">AND(E1024&gt;=01_因子設定!$L$5-0.000000001,E1024&lt;=01_因子設定!$M$5+0.000000001,F1024&gt;=01_因子設定!$L$6-0.000000001,F1024&lt;=01_因子設定!$M$6+0.000000001,G1024&gt;=01_因子設定!$L$7-0.000000001,G1024&lt;=01_因子設定!$M$7+0.000000001,H1024&gt;=01_因子設定!$L$8-0.000000001,H1024&lt;=01_因子設定!$M$8+0.000000001,IF(01_因子設定!$B$20="Box-Behnken",E1024^2+F1024^2+G1024^2+H1024^2&lt;=2+0.000000001,TRUE()))</f>
        <v>1</v>
      </c>
      <c r="AD1024" s="55" t="n">
        <f aca="false">IF(AC1024,IF(01_因子設定!$B$13="最大化",AA1024-01_因子設定!$B$14,IF(01_因子設定!$B$13="最小化",01_因子設定!$B$15-AB1024,MIN(AA1024-01_因子設定!$B$14,01_因子設定!$B$15-AB1024))),-1E+030)</f>
        <v>-3.46394636777048</v>
      </c>
      <c r="AE1024" s="55" t="n">
        <f aca="false">IF(AC1024,IF(01_因子設定!$B$13="最大化",X1024,IF(01_因子設定!$B$13="最小化",-X1024,-ABS(X1024-01_因子設定!$B$16))),-1E+030)</f>
        <v>44.4685261330409</v>
      </c>
      <c r="AF1024" s="55" t="n">
        <f aca="false">AD1024+ROW()*0.000000001</f>
        <v>-3.46394534377048</v>
      </c>
      <c r="AG1024" s="55" t="n">
        <f aca="false">AE1024+ROW()*0.000000001</f>
        <v>44.4685271570409</v>
      </c>
    </row>
    <row r="1025" customFormat="false" ht="15" hidden="false" customHeight="false" outlineLevel="0" collapsed="false">
      <c r="A1025" s="0" t="n">
        <v>1</v>
      </c>
      <c r="B1025" s="0" t="n">
        <v>3</v>
      </c>
      <c r="C1025" s="0" t="n">
        <v>5</v>
      </c>
      <c r="D1025" s="0" t="n">
        <v>3</v>
      </c>
      <c r="E1025" s="0" t="n">
        <f aca="false">-1+A1025*0.25</f>
        <v>-0.75</v>
      </c>
      <c r="F1025" s="0" t="n">
        <f aca="false">-1+B1025*0.25</f>
        <v>-0.25</v>
      </c>
      <c r="G1025" s="0" t="n">
        <f aca="false">-1+C1025*0.25</f>
        <v>0.25</v>
      </c>
      <c r="H1025" s="0" t="n">
        <f aca="false">-1+D1025*0.25</f>
        <v>-0.25</v>
      </c>
      <c r="I1025" s="0" t="n">
        <f aca="false">1</f>
        <v>1</v>
      </c>
      <c r="J1025" s="0" t="n">
        <f aca="false">E1025</f>
        <v>-0.75</v>
      </c>
      <c r="K1025" s="0" t="n">
        <f aca="false">F1025</f>
        <v>-0.25</v>
      </c>
      <c r="L1025" s="0" t="n">
        <f aca="false">G1025</f>
        <v>0.25</v>
      </c>
      <c r="M1025" s="0" t="n">
        <f aca="false">H1025</f>
        <v>-0.25</v>
      </c>
      <c r="N1025" s="0" t="n">
        <f aca="false">E1025*F1025</f>
        <v>0.1875</v>
      </c>
      <c r="O1025" s="0" t="n">
        <f aca="false">E1025*G1025</f>
        <v>-0.1875</v>
      </c>
      <c r="P1025" s="0" t="n">
        <f aca="false">E1025*H1025</f>
        <v>0.1875</v>
      </c>
      <c r="Q1025" s="0" t="n">
        <f aca="false">F1025*G1025</f>
        <v>-0.0625</v>
      </c>
      <c r="R1025" s="0" t="n">
        <f aca="false">F1025*H1025</f>
        <v>0.0625</v>
      </c>
      <c r="S1025" s="0" t="n">
        <f aca="false">G1025*H1025</f>
        <v>-0.0625</v>
      </c>
      <c r="T1025" s="0" t="n">
        <f aca="false">E1025*E1025</f>
        <v>0.5625</v>
      </c>
      <c r="U1025" s="0" t="n">
        <f aca="false">F1025*F1025</f>
        <v>0.0625</v>
      </c>
      <c r="V1025" s="0" t="n">
        <f aca="false">G1025*G1025</f>
        <v>0.0625</v>
      </c>
      <c r="W1025" s="0" t="n">
        <f aca="false">H1025*H1025</f>
        <v>0.0625</v>
      </c>
      <c r="X1025" s="0" t="n">
        <f aca="false">SUMPRODUCT(I1025:W1025,_XtX!$B$96:$P$96)</f>
        <v>44.6494380482456</v>
      </c>
      <c r="Y1025" s="0" t="n">
        <f aca="false">SUMPRODUCT(MMULT(I1025:W1025,_XtX!$B$78:$P$92),I1025:W1025)</f>
        <v>0.205926192434211</v>
      </c>
      <c r="Z1025" s="0" t="n">
        <f aca="false">04_回帰ANOVA!$K$19*04_回帰ANOVA!$K$14*SQRT(1+Y1025)</f>
        <v>1.43139256396246</v>
      </c>
      <c r="AA1025" s="0" t="n">
        <f aca="false">X1025-Z1025</f>
        <v>43.2180454842831</v>
      </c>
      <c r="AB1025" s="0" t="n">
        <f aca="false">X1025+Z1025</f>
        <v>46.0808306122081</v>
      </c>
      <c r="AC1025" s="54" t="b">
        <f aca="false">AND(E1025&gt;=01_因子設定!$L$5-0.000000001,E1025&lt;=01_因子設定!$M$5+0.000000001,F1025&gt;=01_因子設定!$L$6-0.000000001,F1025&lt;=01_因子設定!$M$6+0.000000001,G1025&gt;=01_因子設定!$L$7-0.000000001,G1025&lt;=01_因子設定!$M$7+0.000000001,H1025&gt;=01_因子設定!$L$8-0.000000001,H1025&lt;=01_因子設定!$M$8+0.000000001,IF(01_因子設定!$B$20="Box-Behnken",E1025^2+F1025^2+G1025^2+H1025^2&lt;=2+0.000000001,TRUE()))</f>
        <v>1</v>
      </c>
      <c r="AD1025" s="55" t="n">
        <f aca="false">IF(AC1025,IF(01_因子設定!$B$13="最大化",AA1025-01_因子設定!$B$14,IF(01_因子設定!$B$13="最小化",01_因子設定!$B$15-AB1025,MIN(AA1025-01_因子設定!$B$14,01_因子設定!$B$15-AB1025))),-1E+030)</f>
        <v>-3.28195451571686</v>
      </c>
      <c r="AE1025" s="55" t="n">
        <f aca="false">IF(AC1025,IF(01_因子設定!$B$13="最大化",X1025,IF(01_因子設定!$B$13="最小化",-X1025,-ABS(X1025-01_因子設定!$B$16))),-1E+030)</f>
        <v>44.6494380482456</v>
      </c>
      <c r="AF1025" s="55" t="n">
        <f aca="false">AD1025+ROW()*0.000000001</f>
        <v>-3.28195349071686</v>
      </c>
      <c r="AG1025" s="55" t="n">
        <f aca="false">AE1025+ROW()*0.000000001</f>
        <v>44.6494390732456</v>
      </c>
    </row>
    <row r="1026" customFormat="false" ht="15" hidden="false" customHeight="false" outlineLevel="0" collapsed="false">
      <c r="A1026" s="0" t="n">
        <v>1</v>
      </c>
      <c r="B1026" s="0" t="n">
        <v>3</v>
      </c>
      <c r="C1026" s="0" t="n">
        <v>5</v>
      </c>
      <c r="D1026" s="0" t="n">
        <v>4</v>
      </c>
      <c r="E1026" s="0" t="n">
        <f aca="false">-1+A1026*0.25</f>
        <v>-0.75</v>
      </c>
      <c r="F1026" s="0" t="n">
        <f aca="false">-1+B1026*0.25</f>
        <v>-0.25</v>
      </c>
      <c r="G1026" s="0" t="n">
        <f aca="false">-1+C1026*0.25</f>
        <v>0.25</v>
      </c>
      <c r="H1026" s="0" t="n">
        <f aca="false">-1+D1026*0.25</f>
        <v>0</v>
      </c>
      <c r="I1026" s="0" t="n">
        <f aca="false">1</f>
        <v>1</v>
      </c>
      <c r="J1026" s="0" t="n">
        <f aca="false">E1026</f>
        <v>-0.75</v>
      </c>
      <c r="K1026" s="0" t="n">
        <f aca="false">F1026</f>
        <v>-0.25</v>
      </c>
      <c r="L1026" s="0" t="n">
        <f aca="false">G1026</f>
        <v>0.25</v>
      </c>
      <c r="M1026" s="0" t="n">
        <f aca="false">H1026</f>
        <v>0</v>
      </c>
      <c r="N1026" s="0" t="n">
        <f aca="false">E1026*F1026</f>
        <v>0.1875</v>
      </c>
      <c r="O1026" s="0" t="n">
        <f aca="false">E1026*G1026</f>
        <v>-0.1875</v>
      </c>
      <c r="P1026" s="0" t="n">
        <f aca="false">E1026*H1026</f>
        <v>-0</v>
      </c>
      <c r="Q1026" s="0" t="n">
        <f aca="false">F1026*G1026</f>
        <v>-0.0625</v>
      </c>
      <c r="R1026" s="0" t="n">
        <f aca="false">F1026*H1026</f>
        <v>-0</v>
      </c>
      <c r="S1026" s="0" t="n">
        <f aca="false">G1026*H1026</f>
        <v>0</v>
      </c>
      <c r="T1026" s="0" t="n">
        <f aca="false">E1026*E1026</f>
        <v>0.5625</v>
      </c>
      <c r="U1026" s="0" t="n">
        <f aca="false">F1026*F1026</f>
        <v>0.0625</v>
      </c>
      <c r="V1026" s="0" t="n">
        <f aca="false">G1026*G1026</f>
        <v>0.0625</v>
      </c>
      <c r="W1026" s="0" t="n">
        <f aca="false">H1026*H1026</f>
        <v>0</v>
      </c>
      <c r="X1026" s="0" t="n">
        <f aca="false">SUMPRODUCT(I1026:W1026,_XtX!$B$96:$P$96)</f>
        <v>44.7825429459064</v>
      </c>
      <c r="Y1026" s="0" t="n">
        <f aca="false">SUMPRODUCT(MMULT(I1026:W1026,_XtX!$B$78:$P$92),I1026:W1026)</f>
        <v>0.21135011193348</v>
      </c>
      <c r="Z1026" s="0" t="n">
        <f aca="false">04_回帰ANOVA!$K$19*04_回帰ANOVA!$K$14*SQRT(1+Y1026)</f>
        <v>1.43460795469709</v>
      </c>
      <c r="AA1026" s="0" t="n">
        <f aca="false">X1026-Z1026</f>
        <v>43.3479349912093</v>
      </c>
      <c r="AB1026" s="0" t="n">
        <f aca="false">X1026+Z1026</f>
        <v>46.2171509006035</v>
      </c>
      <c r="AC1026" s="54" t="b">
        <f aca="false">AND(E1026&gt;=01_因子設定!$L$5-0.000000001,E1026&lt;=01_因子設定!$M$5+0.000000001,F1026&gt;=01_因子設定!$L$6-0.000000001,F1026&lt;=01_因子設定!$M$6+0.000000001,G1026&gt;=01_因子設定!$L$7-0.000000001,G1026&lt;=01_因子設定!$M$7+0.000000001,H1026&gt;=01_因子設定!$L$8-0.000000001,H1026&lt;=01_因子設定!$M$8+0.000000001,IF(01_因子設定!$B$20="Box-Behnken",E1026^2+F1026^2+G1026^2+H1026^2&lt;=2+0.000000001,TRUE()))</f>
        <v>1</v>
      </c>
      <c r="AD1026" s="55" t="n">
        <f aca="false">IF(AC1026,IF(01_因子設定!$B$13="最大化",AA1026-01_因子設定!$B$14,IF(01_因子設定!$B$13="最小化",01_因子設定!$B$15-AB1026,MIN(AA1026-01_因子設定!$B$14,01_因子設定!$B$15-AB1026))),-1E+030)</f>
        <v>-3.15206500879066</v>
      </c>
      <c r="AE1026" s="55" t="n">
        <f aca="false">IF(AC1026,IF(01_因子設定!$B$13="最大化",X1026,IF(01_因子設定!$B$13="最小化",-X1026,-ABS(X1026-01_因子設定!$B$16))),-1E+030)</f>
        <v>44.7825429459064</v>
      </c>
      <c r="AF1026" s="55" t="n">
        <f aca="false">AD1026+ROW()*0.000000001</f>
        <v>-3.15206398279066</v>
      </c>
      <c r="AG1026" s="55" t="n">
        <f aca="false">AE1026+ROW()*0.000000001</f>
        <v>44.7825439719064</v>
      </c>
    </row>
    <row r="1027" customFormat="false" ht="15" hidden="false" customHeight="false" outlineLevel="0" collapsed="false">
      <c r="A1027" s="0" t="n">
        <v>1</v>
      </c>
      <c r="B1027" s="0" t="n">
        <v>3</v>
      </c>
      <c r="C1027" s="0" t="n">
        <v>5</v>
      </c>
      <c r="D1027" s="0" t="n">
        <v>5</v>
      </c>
      <c r="E1027" s="0" t="n">
        <f aca="false">-1+A1027*0.25</f>
        <v>-0.75</v>
      </c>
      <c r="F1027" s="0" t="n">
        <f aca="false">-1+B1027*0.25</f>
        <v>-0.25</v>
      </c>
      <c r="G1027" s="0" t="n">
        <f aca="false">-1+C1027*0.25</f>
        <v>0.25</v>
      </c>
      <c r="H1027" s="0" t="n">
        <f aca="false">-1+D1027*0.25</f>
        <v>0.25</v>
      </c>
      <c r="I1027" s="0" t="n">
        <f aca="false">1</f>
        <v>1</v>
      </c>
      <c r="J1027" s="0" t="n">
        <f aca="false">E1027</f>
        <v>-0.75</v>
      </c>
      <c r="K1027" s="0" t="n">
        <f aca="false">F1027</f>
        <v>-0.25</v>
      </c>
      <c r="L1027" s="0" t="n">
        <f aca="false">G1027</f>
        <v>0.25</v>
      </c>
      <c r="M1027" s="0" t="n">
        <f aca="false">H1027</f>
        <v>0.25</v>
      </c>
      <c r="N1027" s="0" t="n">
        <f aca="false">E1027*F1027</f>
        <v>0.1875</v>
      </c>
      <c r="O1027" s="0" t="n">
        <f aca="false">E1027*G1027</f>
        <v>-0.1875</v>
      </c>
      <c r="P1027" s="0" t="n">
        <f aca="false">E1027*H1027</f>
        <v>-0.1875</v>
      </c>
      <c r="Q1027" s="0" t="n">
        <f aca="false">F1027*G1027</f>
        <v>-0.0625</v>
      </c>
      <c r="R1027" s="0" t="n">
        <f aca="false">F1027*H1027</f>
        <v>-0.0625</v>
      </c>
      <c r="S1027" s="0" t="n">
        <f aca="false">G1027*H1027</f>
        <v>0.0625</v>
      </c>
      <c r="T1027" s="0" t="n">
        <f aca="false">E1027*E1027</f>
        <v>0.5625</v>
      </c>
      <c r="U1027" s="0" t="n">
        <f aca="false">F1027*F1027</f>
        <v>0.0625</v>
      </c>
      <c r="V1027" s="0" t="n">
        <f aca="false">G1027*G1027</f>
        <v>0.0625</v>
      </c>
      <c r="W1027" s="0" t="n">
        <f aca="false">H1027*H1027</f>
        <v>0.0625</v>
      </c>
      <c r="X1027" s="0" t="n">
        <f aca="false">SUMPRODUCT(I1027:W1027,_XtX!$B$96:$P$96)</f>
        <v>44.8678408260234</v>
      </c>
      <c r="Y1027" s="0" t="n">
        <f aca="false">SUMPRODUCT(MMULT(I1027:W1027,_XtX!$B$78:$P$92),I1027:W1027)</f>
        <v>0.205926192434211</v>
      </c>
      <c r="Z1027" s="0" t="n">
        <f aca="false">04_回帰ANOVA!$K$19*04_回帰ANOVA!$K$14*SQRT(1+Y1027)</f>
        <v>1.43139256396246</v>
      </c>
      <c r="AA1027" s="0" t="n">
        <f aca="false">X1027-Z1027</f>
        <v>43.4364482620609</v>
      </c>
      <c r="AB1027" s="0" t="n">
        <f aca="false">X1027+Z1027</f>
        <v>46.2992333899858</v>
      </c>
      <c r="AC1027" s="54" t="b">
        <f aca="false">AND(E1027&gt;=01_因子設定!$L$5-0.000000001,E1027&lt;=01_因子設定!$M$5+0.000000001,F1027&gt;=01_因子設定!$L$6-0.000000001,F1027&lt;=01_因子設定!$M$6+0.000000001,G1027&gt;=01_因子設定!$L$7-0.000000001,G1027&lt;=01_因子設定!$M$7+0.000000001,H1027&gt;=01_因子設定!$L$8-0.000000001,H1027&lt;=01_因子設定!$M$8+0.000000001,IF(01_因子設定!$B$20="Box-Behnken",E1027^2+F1027^2+G1027^2+H1027^2&lt;=2+0.000000001,TRUE()))</f>
        <v>1</v>
      </c>
      <c r="AD1027" s="55" t="n">
        <f aca="false">IF(AC1027,IF(01_因子設定!$B$13="最大化",AA1027-01_因子設定!$B$14,IF(01_因子設定!$B$13="最小化",01_因子設定!$B$15-AB1027,MIN(AA1027-01_因子設定!$B$14,01_因子設定!$B$15-AB1027))),-1E+030)</f>
        <v>-3.06355173793908</v>
      </c>
      <c r="AE1027" s="55" t="n">
        <f aca="false">IF(AC1027,IF(01_因子設定!$B$13="最大化",X1027,IF(01_因子設定!$B$13="最小化",-X1027,-ABS(X1027-01_因子設定!$B$16))),-1E+030)</f>
        <v>44.8678408260234</v>
      </c>
      <c r="AF1027" s="55" t="n">
        <f aca="false">AD1027+ROW()*0.000000001</f>
        <v>-3.06355071093908</v>
      </c>
      <c r="AG1027" s="55" t="n">
        <f aca="false">AE1027+ROW()*0.000000001</f>
        <v>44.8678418530234</v>
      </c>
    </row>
    <row r="1028" customFormat="false" ht="15" hidden="false" customHeight="false" outlineLevel="0" collapsed="false">
      <c r="A1028" s="0" t="n">
        <v>1</v>
      </c>
      <c r="B1028" s="0" t="n">
        <v>3</v>
      </c>
      <c r="C1028" s="0" t="n">
        <v>5</v>
      </c>
      <c r="D1028" s="0" t="n">
        <v>6</v>
      </c>
      <c r="E1028" s="0" t="n">
        <f aca="false">-1+A1028*0.25</f>
        <v>-0.75</v>
      </c>
      <c r="F1028" s="0" t="n">
        <f aca="false">-1+B1028*0.25</f>
        <v>-0.25</v>
      </c>
      <c r="G1028" s="0" t="n">
        <f aca="false">-1+C1028*0.25</f>
        <v>0.25</v>
      </c>
      <c r="H1028" s="0" t="n">
        <f aca="false">-1+D1028*0.25</f>
        <v>0.5</v>
      </c>
      <c r="I1028" s="0" t="n">
        <f aca="false">1</f>
        <v>1</v>
      </c>
      <c r="J1028" s="0" t="n">
        <f aca="false">E1028</f>
        <v>-0.75</v>
      </c>
      <c r="K1028" s="0" t="n">
        <f aca="false">F1028</f>
        <v>-0.25</v>
      </c>
      <c r="L1028" s="0" t="n">
        <f aca="false">G1028</f>
        <v>0.25</v>
      </c>
      <c r="M1028" s="0" t="n">
        <f aca="false">H1028</f>
        <v>0.5</v>
      </c>
      <c r="N1028" s="0" t="n">
        <f aca="false">E1028*F1028</f>
        <v>0.1875</v>
      </c>
      <c r="O1028" s="0" t="n">
        <f aca="false">E1028*G1028</f>
        <v>-0.1875</v>
      </c>
      <c r="P1028" s="0" t="n">
        <f aca="false">E1028*H1028</f>
        <v>-0.375</v>
      </c>
      <c r="Q1028" s="0" t="n">
        <f aca="false">F1028*G1028</f>
        <v>-0.0625</v>
      </c>
      <c r="R1028" s="0" t="n">
        <f aca="false">F1028*H1028</f>
        <v>-0.125</v>
      </c>
      <c r="S1028" s="0" t="n">
        <f aca="false">G1028*H1028</f>
        <v>0.125</v>
      </c>
      <c r="T1028" s="0" t="n">
        <f aca="false">E1028*E1028</f>
        <v>0.5625</v>
      </c>
      <c r="U1028" s="0" t="n">
        <f aca="false">F1028*F1028</f>
        <v>0.0625</v>
      </c>
      <c r="V1028" s="0" t="n">
        <f aca="false">G1028*G1028</f>
        <v>0.0625</v>
      </c>
      <c r="W1028" s="0" t="n">
        <f aca="false">H1028*H1028</f>
        <v>0.25</v>
      </c>
      <c r="X1028" s="0" t="n">
        <f aca="false">SUMPRODUCT(I1028:W1028,_XtX!$B$96:$P$96)</f>
        <v>44.9053316885965</v>
      </c>
      <c r="Y1028" s="0" t="n">
        <f aca="false">SUMPRODUCT(MMULT(I1028:W1028,_XtX!$B$78:$P$92),I1028:W1028)</f>
        <v>0.207746539199561</v>
      </c>
      <c r="Z1028" s="0" t="n">
        <f aca="false">04_回帰ANOVA!$K$19*04_回帰ANOVA!$K$14*SQRT(1+Y1028)</f>
        <v>1.43247250081141</v>
      </c>
      <c r="AA1028" s="0" t="n">
        <f aca="false">X1028-Z1028</f>
        <v>43.4728591877851</v>
      </c>
      <c r="AB1028" s="0" t="n">
        <f aca="false">X1028+Z1028</f>
        <v>46.3378041894079</v>
      </c>
      <c r="AC1028" s="54" t="b">
        <f aca="false">AND(E1028&gt;=01_因子設定!$L$5-0.000000001,E1028&lt;=01_因子設定!$M$5+0.000000001,F1028&gt;=01_因子設定!$L$6-0.000000001,F1028&lt;=01_因子設定!$M$6+0.000000001,G1028&gt;=01_因子設定!$L$7-0.000000001,G1028&lt;=01_因子設定!$M$7+0.000000001,H1028&gt;=01_因子設定!$L$8-0.000000001,H1028&lt;=01_因子設定!$M$8+0.000000001,IF(01_因子設定!$B$20="Box-Behnken",E1028^2+F1028^2+G1028^2+H1028^2&lt;=2+0.000000001,TRUE()))</f>
        <v>1</v>
      </c>
      <c r="AD1028" s="55" t="n">
        <f aca="false">IF(AC1028,IF(01_因子設定!$B$13="最大化",AA1028-01_因子設定!$B$14,IF(01_因子設定!$B$13="最小化",01_因子設定!$B$15-AB1028,MIN(AA1028-01_因子設定!$B$14,01_因子設定!$B$15-AB1028))),-1E+030)</f>
        <v>-3.02714081221492</v>
      </c>
      <c r="AE1028" s="55" t="n">
        <f aca="false">IF(AC1028,IF(01_因子設定!$B$13="最大化",X1028,IF(01_因子設定!$B$13="最小化",-X1028,-ABS(X1028-01_因子設定!$B$16))),-1E+030)</f>
        <v>44.9053316885965</v>
      </c>
      <c r="AF1028" s="55" t="n">
        <f aca="false">AD1028+ROW()*0.000000001</f>
        <v>-3.02713978421492</v>
      </c>
      <c r="AG1028" s="55" t="n">
        <f aca="false">AE1028+ROW()*0.000000001</f>
        <v>44.9053327165965</v>
      </c>
    </row>
    <row r="1029" customFormat="false" ht="15" hidden="false" customHeight="false" outlineLevel="0" collapsed="false">
      <c r="A1029" s="0" t="n">
        <v>1</v>
      </c>
      <c r="B1029" s="0" t="n">
        <v>3</v>
      </c>
      <c r="C1029" s="0" t="n">
        <v>5</v>
      </c>
      <c r="D1029" s="0" t="n">
        <v>7</v>
      </c>
      <c r="E1029" s="0" t="n">
        <f aca="false">-1+A1029*0.25</f>
        <v>-0.75</v>
      </c>
      <c r="F1029" s="0" t="n">
        <f aca="false">-1+B1029*0.25</f>
        <v>-0.25</v>
      </c>
      <c r="G1029" s="0" t="n">
        <f aca="false">-1+C1029*0.25</f>
        <v>0.25</v>
      </c>
      <c r="H1029" s="0" t="n">
        <f aca="false">-1+D1029*0.25</f>
        <v>0.75</v>
      </c>
      <c r="I1029" s="0" t="n">
        <f aca="false">1</f>
        <v>1</v>
      </c>
      <c r="J1029" s="0" t="n">
        <f aca="false">E1029</f>
        <v>-0.75</v>
      </c>
      <c r="K1029" s="0" t="n">
        <f aca="false">F1029</f>
        <v>-0.25</v>
      </c>
      <c r="L1029" s="0" t="n">
        <f aca="false">G1029</f>
        <v>0.25</v>
      </c>
      <c r="M1029" s="0" t="n">
        <f aca="false">H1029</f>
        <v>0.75</v>
      </c>
      <c r="N1029" s="0" t="n">
        <f aca="false">E1029*F1029</f>
        <v>0.1875</v>
      </c>
      <c r="O1029" s="0" t="n">
        <f aca="false">E1029*G1029</f>
        <v>-0.1875</v>
      </c>
      <c r="P1029" s="0" t="n">
        <f aca="false">E1029*H1029</f>
        <v>-0.5625</v>
      </c>
      <c r="Q1029" s="0" t="n">
        <f aca="false">F1029*G1029</f>
        <v>-0.0625</v>
      </c>
      <c r="R1029" s="0" t="n">
        <f aca="false">F1029*H1029</f>
        <v>-0.1875</v>
      </c>
      <c r="S1029" s="0" t="n">
        <f aca="false">G1029*H1029</f>
        <v>0.1875</v>
      </c>
      <c r="T1029" s="0" t="n">
        <f aca="false">E1029*E1029</f>
        <v>0.5625</v>
      </c>
      <c r="U1029" s="0" t="n">
        <f aca="false">F1029*F1029</f>
        <v>0.0625</v>
      </c>
      <c r="V1029" s="0" t="n">
        <f aca="false">G1029*G1029</f>
        <v>0.0625</v>
      </c>
      <c r="W1029" s="0" t="n">
        <f aca="false">H1029*H1029</f>
        <v>0.5625</v>
      </c>
      <c r="X1029" s="0" t="n">
        <f aca="false">SUMPRODUCT(I1029:W1029,_XtX!$B$96:$P$96)</f>
        <v>44.8950155336257</v>
      </c>
      <c r="Y1029" s="0" t="n">
        <f aca="false">SUMPRODUCT(MMULT(I1029:W1029,_XtX!$B$78:$P$92),I1029:W1029)</f>
        <v>0.271087468019006</v>
      </c>
      <c r="Z1029" s="0" t="n">
        <f aca="false">04_回帰ANOVA!$K$19*04_回帰ANOVA!$K$14*SQRT(1+Y1029)</f>
        <v>1.46955590155034</v>
      </c>
      <c r="AA1029" s="0" t="n">
        <f aca="false">X1029-Z1029</f>
        <v>43.4254596320754</v>
      </c>
      <c r="AB1029" s="0" t="n">
        <f aca="false">X1029+Z1029</f>
        <v>46.3645714351761</v>
      </c>
      <c r="AC1029" s="54" t="b">
        <f aca="false">AND(E1029&gt;=01_因子設定!$L$5-0.000000001,E1029&lt;=01_因子設定!$M$5+0.000000001,F1029&gt;=01_因子設定!$L$6-0.000000001,F1029&lt;=01_因子設定!$M$6+0.000000001,G1029&gt;=01_因子設定!$L$7-0.000000001,G1029&lt;=01_因子設定!$M$7+0.000000001,H1029&gt;=01_因子設定!$L$8-0.000000001,H1029&lt;=01_因子設定!$M$8+0.000000001,IF(01_因子設定!$B$20="Box-Behnken",E1029^2+F1029^2+G1029^2+H1029^2&lt;=2+0.000000001,TRUE()))</f>
        <v>1</v>
      </c>
      <c r="AD1029" s="55" t="n">
        <f aca="false">IF(AC1029,IF(01_因子設定!$B$13="最大化",AA1029-01_因子設定!$B$14,IF(01_因子設定!$B$13="最小化",01_因子設定!$B$15-AB1029,MIN(AA1029-01_因子設定!$B$14,01_因子設定!$B$15-AB1029))),-1E+030)</f>
        <v>-3.07454036792461</v>
      </c>
      <c r="AE1029" s="55" t="n">
        <f aca="false">IF(AC1029,IF(01_因子設定!$B$13="最大化",X1029,IF(01_因子設定!$B$13="最小化",-X1029,-ABS(X1029-01_因子設定!$B$16))),-1E+030)</f>
        <v>44.8950155336257</v>
      </c>
      <c r="AF1029" s="55" t="n">
        <f aca="false">AD1029+ROW()*0.000000001</f>
        <v>-3.07453933892461</v>
      </c>
      <c r="AG1029" s="55" t="n">
        <f aca="false">AE1029+ROW()*0.000000001</f>
        <v>44.8950165626257</v>
      </c>
    </row>
    <row r="1030" customFormat="false" ht="15" hidden="false" customHeight="false" outlineLevel="0" collapsed="false">
      <c r="A1030" s="0" t="n">
        <v>1</v>
      </c>
      <c r="B1030" s="0" t="n">
        <v>3</v>
      </c>
      <c r="C1030" s="0" t="n">
        <v>5</v>
      </c>
      <c r="D1030" s="0" t="n">
        <v>8</v>
      </c>
      <c r="E1030" s="0" t="n">
        <f aca="false">-1+A1030*0.25</f>
        <v>-0.75</v>
      </c>
      <c r="F1030" s="0" t="n">
        <f aca="false">-1+B1030*0.25</f>
        <v>-0.25</v>
      </c>
      <c r="G1030" s="0" t="n">
        <f aca="false">-1+C1030*0.25</f>
        <v>0.25</v>
      </c>
      <c r="H1030" s="0" t="n">
        <f aca="false">-1+D1030*0.25</f>
        <v>1</v>
      </c>
      <c r="I1030" s="0" t="n">
        <f aca="false">1</f>
        <v>1</v>
      </c>
      <c r="J1030" s="0" t="n">
        <f aca="false">E1030</f>
        <v>-0.75</v>
      </c>
      <c r="K1030" s="0" t="n">
        <f aca="false">F1030</f>
        <v>-0.25</v>
      </c>
      <c r="L1030" s="0" t="n">
        <f aca="false">G1030</f>
        <v>0.25</v>
      </c>
      <c r="M1030" s="0" t="n">
        <f aca="false">H1030</f>
        <v>1</v>
      </c>
      <c r="N1030" s="0" t="n">
        <f aca="false">E1030*F1030</f>
        <v>0.1875</v>
      </c>
      <c r="O1030" s="0" t="n">
        <f aca="false">E1030*G1030</f>
        <v>-0.1875</v>
      </c>
      <c r="P1030" s="0" t="n">
        <f aca="false">E1030*H1030</f>
        <v>-0.75</v>
      </c>
      <c r="Q1030" s="0" t="n">
        <f aca="false">F1030*G1030</f>
        <v>-0.0625</v>
      </c>
      <c r="R1030" s="0" t="n">
        <f aca="false">F1030*H1030</f>
        <v>-0.25</v>
      </c>
      <c r="S1030" s="0" t="n">
        <f aca="false">G1030*H1030</f>
        <v>0.25</v>
      </c>
      <c r="T1030" s="0" t="n">
        <f aca="false">E1030*E1030</f>
        <v>0.5625</v>
      </c>
      <c r="U1030" s="0" t="n">
        <f aca="false">F1030*F1030</f>
        <v>0.0625</v>
      </c>
      <c r="V1030" s="0" t="n">
        <f aca="false">G1030*G1030</f>
        <v>0.0625</v>
      </c>
      <c r="W1030" s="0" t="n">
        <f aca="false">H1030*H1030</f>
        <v>1</v>
      </c>
      <c r="X1030" s="0" t="n">
        <f aca="false">SUMPRODUCT(I1030:W1030,_XtX!$B$96:$P$96)</f>
        <v>44.8368923611111</v>
      </c>
      <c r="Y1030" s="0" t="n">
        <f aca="false">SUMPRODUCT(MMULT(I1030:W1030,_XtX!$B$78:$P$92),I1030:W1030)</f>
        <v>0.486409505208334</v>
      </c>
      <c r="Z1030" s="0" t="n">
        <f aca="false">04_回帰ANOVA!$K$19*04_回帰ANOVA!$K$14*SQRT(1+Y1030)</f>
        <v>1.58916001665498</v>
      </c>
      <c r="AA1030" s="0" t="n">
        <f aca="false">X1030-Z1030</f>
        <v>43.2477323444562</v>
      </c>
      <c r="AB1030" s="0" t="n">
        <f aca="false">X1030+Z1030</f>
        <v>46.4260523777661</v>
      </c>
      <c r="AC1030" s="54" t="b">
        <f aca="false">AND(E1030&gt;=01_因子設定!$L$5-0.000000001,E1030&lt;=01_因子設定!$M$5+0.000000001,F1030&gt;=01_因子設定!$L$6-0.000000001,F1030&lt;=01_因子設定!$M$6+0.000000001,G1030&gt;=01_因子設定!$L$7-0.000000001,G1030&lt;=01_因子設定!$M$7+0.000000001,H1030&gt;=01_因子設定!$L$8-0.000000001,H1030&lt;=01_因子設定!$M$8+0.000000001,IF(01_因子設定!$B$20="Box-Behnken",E1030^2+F1030^2+G1030^2+H1030^2&lt;=2+0.000000001,TRUE()))</f>
        <v>1</v>
      </c>
      <c r="AD1030" s="55" t="n">
        <f aca="false">IF(AC1030,IF(01_因子設定!$B$13="最大化",AA1030-01_因子設定!$B$14,IF(01_因子設定!$B$13="最小化",01_因子設定!$B$15-AB1030,MIN(AA1030-01_因子設定!$B$14,01_因子設定!$B$15-AB1030))),-1E+030)</f>
        <v>-3.25226765554385</v>
      </c>
      <c r="AE1030" s="55" t="n">
        <f aca="false">IF(AC1030,IF(01_因子設定!$B$13="最大化",X1030,IF(01_因子設定!$B$13="最小化",-X1030,-ABS(X1030-01_因子設定!$B$16))),-1E+030)</f>
        <v>44.8368923611111</v>
      </c>
      <c r="AF1030" s="55" t="n">
        <f aca="false">AD1030+ROW()*0.000000001</f>
        <v>-3.25226662554385</v>
      </c>
      <c r="AG1030" s="55" t="n">
        <f aca="false">AE1030+ROW()*0.000000001</f>
        <v>44.8368933911111</v>
      </c>
    </row>
    <row r="1031" customFormat="false" ht="15" hidden="false" customHeight="false" outlineLevel="0" collapsed="false">
      <c r="A1031" s="0" t="n">
        <v>1</v>
      </c>
      <c r="B1031" s="0" t="n">
        <v>3</v>
      </c>
      <c r="C1031" s="0" t="n">
        <v>6</v>
      </c>
      <c r="D1031" s="0" t="n">
        <v>0</v>
      </c>
      <c r="E1031" s="0" t="n">
        <f aca="false">-1+A1031*0.25</f>
        <v>-0.75</v>
      </c>
      <c r="F1031" s="0" t="n">
        <f aca="false">-1+B1031*0.25</f>
        <v>-0.25</v>
      </c>
      <c r="G1031" s="0" t="n">
        <f aca="false">-1+C1031*0.25</f>
        <v>0.5</v>
      </c>
      <c r="H1031" s="0" t="n">
        <f aca="false">-1+D1031*0.25</f>
        <v>-1</v>
      </c>
      <c r="I1031" s="0" t="n">
        <f aca="false">1</f>
        <v>1</v>
      </c>
      <c r="J1031" s="0" t="n">
        <f aca="false">E1031</f>
        <v>-0.75</v>
      </c>
      <c r="K1031" s="0" t="n">
        <f aca="false">F1031</f>
        <v>-0.25</v>
      </c>
      <c r="L1031" s="0" t="n">
        <f aca="false">G1031</f>
        <v>0.5</v>
      </c>
      <c r="M1031" s="0" t="n">
        <f aca="false">H1031</f>
        <v>-1</v>
      </c>
      <c r="N1031" s="0" t="n">
        <f aca="false">E1031*F1031</f>
        <v>0.1875</v>
      </c>
      <c r="O1031" s="0" t="n">
        <f aca="false">E1031*G1031</f>
        <v>-0.375</v>
      </c>
      <c r="P1031" s="0" t="n">
        <f aca="false">E1031*H1031</f>
        <v>0.75</v>
      </c>
      <c r="Q1031" s="0" t="n">
        <f aca="false">F1031*G1031</f>
        <v>-0.125</v>
      </c>
      <c r="R1031" s="0" t="n">
        <f aca="false">F1031*H1031</f>
        <v>0.25</v>
      </c>
      <c r="S1031" s="0" t="n">
        <f aca="false">G1031*H1031</f>
        <v>-0.5</v>
      </c>
      <c r="T1031" s="0" t="n">
        <f aca="false">E1031*E1031</f>
        <v>0.5625</v>
      </c>
      <c r="U1031" s="0" t="n">
        <f aca="false">F1031*F1031</f>
        <v>0.0625</v>
      </c>
      <c r="V1031" s="0" t="n">
        <f aca="false">G1031*G1031</f>
        <v>0.25</v>
      </c>
      <c r="W1031" s="0" t="n">
        <f aca="false">H1031*H1031</f>
        <v>1</v>
      </c>
      <c r="X1031" s="0" t="n">
        <f aca="false">SUMPRODUCT(I1031:W1031,_XtX!$B$96:$P$96)</f>
        <v>44.1116228070176</v>
      </c>
      <c r="Y1031" s="0" t="n">
        <f aca="false">SUMPRODUCT(MMULT(I1031:W1031,_XtX!$B$78:$P$92),I1031:W1031)</f>
        <v>0.459125719572369</v>
      </c>
      <c r="Z1031" s="0" t="n">
        <f aca="false">04_回帰ANOVA!$K$19*04_回帰ANOVA!$K$14*SQRT(1+Y1031)</f>
        <v>1.57450755575573</v>
      </c>
      <c r="AA1031" s="0" t="n">
        <f aca="false">X1031-Z1031</f>
        <v>42.5371152512618</v>
      </c>
      <c r="AB1031" s="0" t="n">
        <f aca="false">X1031+Z1031</f>
        <v>45.6861303627733</v>
      </c>
      <c r="AC1031" s="54" t="b">
        <f aca="false">AND(E1031&gt;=01_因子設定!$L$5-0.000000001,E1031&lt;=01_因子設定!$M$5+0.000000001,F1031&gt;=01_因子設定!$L$6-0.000000001,F1031&lt;=01_因子設定!$M$6+0.000000001,G1031&gt;=01_因子設定!$L$7-0.000000001,G1031&lt;=01_因子設定!$M$7+0.000000001,H1031&gt;=01_因子設定!$L$8-0.000000001,H1031&lt;=01_因子設定!$M$8+0.000000001,IF(01_因子設定!$B$20="Box-Behnken",E1031^2+F1031^2+G1031^2+H1031^2&lt;=2+0.000000001,TRUE()))</f>
        <v>1</v>
      </c>
      <c r="AD1031" s="55" t="n">
        <f aca="false">IF(AC1031,IF(01_因子設定!$B$13="最大化",AA1031-01_因子設定!$B$14,IF(01_因子設定!$B$13="最小化",01_因子設定!$B$15-AB1031,MIN(AA1031-01_因子設定!$B$14,01_因子設定!$B$15-AB1031))),-1E+030)</f>
        <v>-3.96288474873816</v>
      </c>
      <c r="AE1031" s="55" t="n">
        <f aca="false">IF(AC1031,IF(01_因子設定!$B$13="最大化",X1031,IF(01_因子設定!$B$13="最小化",-X1031,-ABS(X1031-01_因子設定!$B$16))),-1E+030)</f>
        <v>44.1116228070176</v>
      </c>
      <c r="AF1031" s="55" t="n">
        <f aca="false">AD1031+ROW()*0.000000001</f>
        <v>-3.96288371773816</v>
      </c>
      <c r="AG1031" s="55" t="n">
        <f aca="false">AE1031+ROW()*0.000000001</f>
        <v>44.1116238380176</v>
      </c>
    </row>
    <row r="1032" customFormat="false" ht="15" hidden="false" customHeight="false" outlineLevel="0" collapsed="false">
      <c r="A1032" s="0" t="n">
        <v>1</v>
      </c>
      <c r="B1032" s="0" t="n">
        <v>3</v>
      </c>
      <c r="C1032" s="0" t="n">
        <v>6</v>
      </c>
      <c r="D1032" s="0" t="n">
        <v>1</v>
      </c>
      <c r="E1032" s="0" t="n">
        <f aca="false">-1+A1032*0.25</f>
        <v>-0.75</v>
      </c>
      <c r="F1032" s="0" t="n">
        <f aca="false">-1+B1032*0.25</f>
        <v>-0.25</v>
      </c>
      <c r="G1032" s="0" t="n">
        <f aca="false">-1+C1032*0.25</f>
        <v>0.5</v>
      </c>
      <c r="H1032" s="0" t="n">
        <f aca="false">-1+D1032*0.25</f>
        <v>-0.75</v>
      </c>
      <c r="I1032" s="0" t="n">
        <f aca="false">1</f>
        <v>1</v>
      </c>
      <c r="J1032" s="0" t="n">
        <f aca="false">E1032</f>
        <v>-0.75</v>
      </c>
      <c r="K1032" s="0" t="n">
        <f aca="false">F1032</f>
        <v>-0.25</v>
      </c>
      <c r="L1032" s="0" t="n">
        <f aca="false">G1032</f>
        <v>0.5</v>
      </c>
      <c r="M1032" s="0" t="n">
        <f aca="false">H1032</f>
        <v>-0.75</v>
      </c>
      <c r="N1032" s="0" t="n">
        <f aca="false">E1032*F1032</f>
        <v>0.1875</v>
      </c>
      <c r="O1032" s="0" t="n">
        <f aca="false">E1032*G1032</f>
        <v>-0.375</v>
      </c>
      <c r="P1032" s="0" t="n">
        <f aca="false">E1032*H1032</f>
        <v>0.5625</v>
      </c>
      <c r="Q1032" s="0" t="n">
        <f aca="false">F1032*G1032</f>
        <v>-0.125</v>
      </c>
      <c r="R1032" s="0" t="n">
        <f aca="false">F1032*H1032</f>
        <v>0.1875</v>
      </c>
      <c r="S1032" s="0" t="n">
        <f aca="false">G1032*H1032</f>
        <v>-0.375</v>
      </c>
      <c r="T1032" s="0" t="n">
        <f aca="false">E1032*E1032</f>
        <v>0.5625</v>
      </c>
      <c r="U1032" s="0" t="n">
        <f aca="false">F1032*F1032</f>
        <v>0.0625</v>
      </c>
      <c r="V1032" s="0" t="n">
        <f aca="false">G1032*G1032</f>
        <v>0.25</v>
      </c>
      <c r="W1032" s="0" t="n">
        <f aca="false">H1032*H1032</f>
        <v>0.5625</v>
      </c>
      <c r="X1032" s="0" t="n">
        <f aca="false">SUMPRODUCT(I1032:W1032,_XtX!$B$96:$P$96)</f>
        <v>44.40611750731</v>
      </c>
      <c r="Y1032" s="0" t="n">
        <f aca="false">SUMPRODUCT(MMULT(I1032:W1032,_XtX!$B$78:$P$92),I1032:W1032)</f>
        <v>0.257385610836988</v>
      </c>
      <c r="Z1032" s="0" t="n">
        <f aca="false">04_回帰ANOVA!$K$19*04_回帰ANOVA!$K$14*SQRT(1+Y1032)</f>
        <v>1.46161380324158</v>
      </c>
      <c r="AA1032" s="0" t="n">
        <f aca="false">X1032-Z1032</f>
        <v>42.9445037040684</v>
      </c>
      <c r="AB1032" s="0" t="n">
        <f aca="false">X1032+Z1032</f>
        <v>45.8677313105515</v>
      </c>
      <c r="AC1032" s="54" t="b">
        <f aca="false">AND(E1032&gt;=01_因子設定!$L$5-0.000000001,E1032&lt;=01_因子設定!$M$5+0.000000001,F1032&gt;=01_因子設定!$L$6-0.000000001,F1032&lt;=01_因子設定!$M$6+0.000000001,G1032&gt;=01_因子設定!$L$7-0.000000001,G1032&lt;=01_因子設定!$M$7+0.000000001,H1032&gt;=01_因子設定!$L$8-0.000000001,H1032&lt;=01_因子設定!$M$8+0.000000001,IF(01_因子設定!$B$20="Box-Behnken",E1032^2+F1032^2+G1032^2+H1032^2&lt;=2+0.000000001,TRUE()))</f>
        <v>1</v>
      </c>
      <c r="AD1032" s="55" t="n">
        <f aca="false">IF(AC1032,IF(01_因子設定!$B$13="最大化",AA1032-01_因子設定!$B$14,IF(01_因子設定!$B$13="最小化",01_因子設定!$B$15-AB1032,MIN(AA1032-01_因子設定!$B$14,01_因子設定!$B$15-AB1032))),-1E+030)</f>
        <v>-3.55549629593163</v>
      </c>
      <c r="AE1032" s="55" t="n">
        <f aca="false">IF(AC1032,IF(01_因子設定!$B$13="最大化",X1032,IF(01_因子設定!$B$13="最小化",-X1032,-ABS(X1032-01_因子設定!$B$16))),-1E+030)</f>
        <v>44.40611750731</v>
      </c>
      <c r="AF1032" s="55" t="n">
        <f aca="false">AD1032+ROW()*0.000000001</f>
        <v>-3.55549526393163</v>
      </c>
      <c r="AG1032" s="55" t="n">
        <f aca="false">AE1032+ROW()*0.000000001</f>
        <v>44.40611853931</v>
      </c>
    </row>
    <row r="1033" customFormat="false" ht="15" hidden="false" customHeight="false" outlineLevel="0" collapsed="false">
      <c r="A1033" s="0" t="n">
        <v>1</v>
      </c>
      <c r="B1033" s="0" t="n">
        <v>3</v>
      </c>
      <c r="C1033" s="0" t="n">
        <v>6</v>
      </c>
      <c r="D1033" s="0" t="n">
        <v>2</v>
      </c>
      <c r="E1033" s="0" t="n">
        <f aca="false">-1+A1033*0.25</f>
        <v>-0.75</v>
      </c>
      <c r="F1033" s="0" t="n">
        <f aca="false">-1+B1033*0.25</f>
        <v>-0.25</v>
      </c>
      <c r="G1033" s="0" t="n">
        <f aca="false">-1+C1033*0.25</f>
        <v>0.5</v>
      </c>
      <c r="H1033" s="0" t="n">
        <f aca="false">-1+D1033*0.25</f>
        <v>-0.5</v>
      </c>
      <c r="I1033" s="0" t="n">
        <f aca="false">1</f>
        <v>1</v>
      </c>
      <c r="J1033" s="0" t="n">
        <f aca="false">E1033</f>
        <v>-0.75</v>
      </c>
      <c r="K1033" s="0" t="n">
        <f aca="false">F1033</f>
        <v>-0.25</v>
      </c>
      <c r="L1033" s="0" t="n">
        <f aca="false">G1033</f>
        <v>0.5</v>
      </c>
      <c r="M1033" s="0" t="n">
        <f aca="false">H1033</f>
        <v>-0.5</v>
      </c>
      <c r="N1033" s="0" t="n">
        <f aca="false">E1033*F1033</f>
        <v>0.1875</v>
      </c>
      <c r="O1033" s="0" t="n">
        <f aca="false">E1033*G1033</f>
        <v>-0.375</v>
      </c>
      <c r="P1033" s="0" t="n">
        <f aca="false">E1033*H1033</f>
        <v>0.375</v>
      </c>
      <c r="Q1033" s="0" t="n">
        <f aca="false">F1033*G1033</f>
        <v>-0.125</v>
      </c>
      <c r="R1033" s="0" t="n">
        <f aca="false">F1033*H1033</f>
        <v>0.125</v>
      </c>
      <c r="S1033" s="0" t="n">
        <f aca="false">G1033*H1033</f>
        <v>-0.25</v>
      </c>
      <c r="T1033" s="0" t="n">
        <f aca="false">E1033*E1033</f>
        <v>0.5625</v>
      </c>
      <c r="U1033" s="0" t="n">
        <f aca="false">F1033*F1033</f>
        <v>0.0625</v>
      </c>
      <c r="V1033" s="0" t="n">
        <f aca="false">G1033*G1033</f>
        <v>0.25</v>
      </c>
      <c r="W1033" s="0" t="n">
        <f aca="false">H1033*H1033</f>
        <v>0.25</v>
      </c>
      <c r="X1033" s="0" t="n">
        <f aca="false">SUMPRODUCT(I1033:W1033,_XtX!$B$96:$P$96)</f>
        <v>44.6528051900585</v>
      </c>
      <c r="Y1033" s="0" t="n">
        <f aca="false">SUMPRODUCT(MMULT(I1033:W1033,_XtX!$B$78:$P$92),I1033:W1033)</f>
        <v>0.203746059484649</v>
      </c>
      <c r="Z1033" s="0" t="n">
        <f aca="false">04_回帰ANOVA!$K$19*04_回帰ANOVA!$K$14*SQRT(1+Y1033)</f>
        <v>1.43009810755465</v>
      </c>
      <c r="AA1033" s="0" t="n">
        <f aca="false">X1033-Z1033</f>
        <v>43.2227070825038</v>
      </c>
      <c r="AB1033" s="0" t="n">
        <f aca="false">X1033+Z1033</f>
        <v>46.0829032976131</v>
      </c>
      <c r="AC1033" s="54" t="b">
        <f aca="false">AND(E1033&gt;=01_因子設定!$L$5-0.000000001,E1033&lt;=01_因子設定!$M$5+0.000000001,F1033&gt;=01_因子設定!$L$6-0.000000001,F1033&lt;=01_因子設定!$M$6+0.000000001,G1033&gt;=01_因子設定!$L$7-0.000000001,G1033&lt;=01_因子設定!$M$7+0.000000001,H1033&gt;=01_因子設定!$L$8-0.000000001,H1033&lt;=01_因子設定!$M$8+0.000000001,IF(01_因子設定!$B$20="Box-Behnken",E1033^2+F1033^2+G1033^2+H1033^2&lt;=2+0.000000001,TRUE()))</f>
        <v>1</v>
      </c>
      <c r="AD1033" s="55" t="n">
        <f aca="false">IF(AC1033,IF(01_因子設定!$B$13="最大化",AA1033-01_因子設定!$B$14,IF(01_因子設定!$B$13="最小化",01_因子設定!$B$15-AB1033,MIN(AA1033-01_因子設定!$B$14,01_因子設定!$B$15-AB1033))),-1E+030)</f>
        <v>-3.27729291749618</v>
      </c>
      <c r="AE1033" s="55" t="n">
        <f aca="false">IF(AC1033,IF(01_因子設定!$B$13="最大化",X1033,IF(01_因子設定!$B$13="最小化",-X1033,-ABS(X1033-01_因子設定!$B$16))),-1E+030)</f>
        <v>44.6528051900585</v>
      </c>
      <c r="AF1033" s="55" t="n">
        <f aca="false">AD1033+ROW()*0.000000001</f>
        <v>-3.27729188449618</v>
      </c>
      <c r="AG1033" s="55" t="n">
        <f aca="false">AE1033+ROW()*0.000000001</f>
        <v>44.6528062230585</v>
      </c>
    </row>
    <row r="1034" customFormat="false" ht="15" hidden="false" customHeight="false" outlineLevel="0" collapsed="false">
      <c r="A1034" s="0" t="n">
        <v>1</v>
      </c>
      <c r="B1034" s="0" t="n">
        <v>3</v>
      </c>
      <c r="C1034" s="0" t="n">
        <v>6</v>
      </c>
      <c r="D1034" s="0" t="n">
        <v>3</v>
      </c>
      <c r="E1034" s="0" t="n">
        <f aca="false">-1+A1034*0.25</f>
        <v>-0.75</v>
      </c>
      <c r="F1034" s="0" t="n">
        <f aca="false">-1+B1034*0.25</f>
        <v>-0.25</v>
      </c>
      <c r="G1034" s="0" t="n">
        <f aca="false">-1+C1034*0.25</f>
        <v>0.5</v>
      </c>
      <c r="H1034" s="0" t="n">
        <f aca="false">-1+D1034*0.25</f>
        <v>-0.25</v>
      </c>
      <c r="I1034" s="0" t="n">
        <f aca="false">1</f>
        <v>1</v>
      </c>
      <c r="J1034" s="0" t="n">
        <f aca="false">E1034</f>
        <v>-0.75</v>
      </c>
      <c r="K1034" s="0" t="n">
        <f aca="false">F1034</f>
        <v>-0.25</v>
      </c>
      <c r="L1034" s="0" t="n">
        <f aca="false">G1034</f>
        <v>0.5</v>
      </c>
      <c r="M1034" s="0" t="n">
        <f aca="false">H1034</f>
        <v>-0.25</v>
      </c>
      <c r="N1034" s="0" t="n">
        <f aca="false">E1034*F1034</f>
        <v>0.1875</v>
      </c>
      <c r="O1034" s="0" t="n">
        <f aca="false">E1034*G1034</f>
        <v>-0.375</v>
      </c>
      <c r="P1034" s="0" t="n">
        <f aca="false">E1034*H1034</f>
        <v>0.1875</v>
      </c>
      <c r="Q1034" s="0" t="n">
        <f aca="false">F1034*G1034</f>
        <v>-0.125</v>
      </c>
      <c r="R1034" s="0" t="n">
        <f aca="false">F1034*H1034</f>
        <v>0.0625</v>
      </c>
      <c r="S1034" s="0" t="n">
        <f aca="false">G1034*H1034</f>
        <v>-0.125</v>
      </c>
      <c r="T1034" s="0" t="n">
        <f aca="false">E1034*E1034</f>
        <v>0.5625</v>
      </c>
      <c r="U1034" s="0" t="n">
        <f aca="false">F1034*F1034</f>
        <v>0.0625</v>
      </c>
      <c r="V1034" s="0" t="n">
        <f aca="false">G1034*G1034</f>
        <v>0.25</v>
      </c>
      <c r="W1034" s="0" t="n">
        <f aca="false">H1034*H1034</f>
        <v>0.0625</v>
      </c>
      <c r="X1034" s="0" t="n">
        <f aca="false">SUMPRODUCT(I1034:W1034,_XtX!$B$96:$P$96)</f>
        <v>44.8516858552632</v>
      </c>
      <c r="Y1034" s="0" t="n">
        <f aca="false">SUMPRODUCT(MMULT(I1034:W1034,_XtX!$B$78:$P$92),I1034:W1034)</f>
        <v>0.207746539199561</v>
      </c>
      <c r="Z1034" s="0" t="n">
        <f aca="false">04_回帰ANOVA!$K$19*04_回帰ANOVA!$K$14*SQRT(1+Y1034)</f>
        <v>1.43247250081141</v>
      </c>
      <c r="AA1034" s="0" t="n">
        <f aca="false">X1034-Z1034</f>
        <v>43.4192133544517</v>
      </c>
      <c r="AB1034" s="0" t="n">
        <f aca="false">X1034+Z1034</f>
        <v>46.2841583560746</v>
      </c>
      <c r="AC1034" s="54" t="b">
        <f aca="false">AND(E1034&gt;=01_因子設定!$L$5-0.000000001,E1034&lt;=01_因子設定!$M$5+0.000000001,F1034&gt;=01_因子設定!$L$6-0.000000001,F1034&lt;=01_因子設定!$M$6+0.000000001,G1034&gt;=01_因子設定!$L$7-0.000000001,G1034&lt;=01_因子設定!$M$7+0.000000001,H1034&gt;=01_因子設定!$L$8-0.000000001,H1034&lt;=01_因子設定!$M$8+0.000000001,IF(01_因子設定!$B$20="Box-Behnken",E1034^2+F1034^2+G1034^2+H1034^2&lt;=2+0.000000001,TRUE()))</f>
        <v>1</v>
      </c>
      <c r="AD1034" s="55" t="n">
        <f aca="false">IF(AC1034,IF(01_因子設定!$B$13="最大化",AA1034-01_因子設定!$B$14,IF(01_因子設定!$B$13="最小化",01_因子設定!$B$15-AB1034,MIN(AA1034-01_因子設定!$B$14,01_因子設定!$B$15-AB1034))),-1E+030)</f>
        <v>-3.08078664554826</v>
      </c>
      <c r="AE1034" s="55" t="n">
        <f aca="false">IF(AC1034,IF(01_因子設定!$B$13="最大化",X1034,IF(01_因子設定!$B$13="最小化",-X1034,-ABS(X1034-01_因子設定!$B$16))),-1E+030)</f>
        <v>44.8516858552632</v>
      </c>
      <c r="AF1034" s="55" t="n">
        <f aca="false">AD1034+ROW()*0.000000001</f>
        <v>-3.08078561154826</v>
      </c>
      <c r="AG1034" s="55" t="n">
        <f aca="false">AE1034+ROW()*0.000000001</f>
        <v>44.8516868892632</v>
      </c>
    </row>
    <row r="1035" customFormat="false" ht="15" hidden="false" customHeight="false" outlineLevel="0" collapsed="false">
      <c r="A1035" s="0" t="n">
        <v>1</v>
      </c>
      <c r="B1035" s="0" t="n">
        <v>3</v>
      </c>
      <c r="C1035" s="0" t="n">
        <v>6</v>
      </c>
      <c r="D1035" s="0" t="n">
        <v>4</v>
      </c>
      <c r="E1035" s="0" t="n">
        <f aca="false">-1+A1035*0.25</f>
        <v>-0.75</v>
      </c>
      <c r="F1035" s="0" t="n">
        <f aca="false">-1+B1035*0.25</f>
        <v>-0.25</v>
      </c>
      <c r="G1035" s="0" t="n">
        <f aca="false">-1+C1035*0.25</f>
        <v>0.5</v>
      </c>
      <c r="H1035" s="0" t="n">
        <f aca="false">-1+D1035*0.25</f>
        <v>0</v>
      </c>
      <c r="I1035" s="0" t="n">
        <f aca="false">1</f>
        <v>1</v>
      </c>
      <c r="J1035" s="0" t="n">
        <f aca="false">E1035</f>
        <v>-0.75</v>
      </c>
      <c r="K1035" s="0" t="n">
        <f aca="false">F1035</f>
        <v>-0.25</v>
      </c>
      <c r="L1035" s="0" t="n">
        <f aca="false">G1035</f>
        <v>0.5</v>
      </c>
      <c r="M1035" s="0" t="n">
        <f aca="false">H1035</f>
        <v>0</v>
      </c>
      <c r="N1035" s="0" t="n">
        <f aca="false">E1035*F1035</f>
        <v>0.1875</v>
      </c>
      <c r="O1035" s="0" t="n">
        <f aca="false">E1035*G1035</f>
        <v>-0.375</v>
      </c>
      <c r="P1035" s="0" t="n">
        <f aca="false">E1035*H1035</f>
        <v>-0</v>
      </c>
      <c r="Q1035" s="0" t="n">
        <f aca="false">F1035*G1035</f>
        <v>-0.125</v>
      </c>
      <c r="R1035" s="0" t="n">
        <f aca="false">F1035*H1035</f>
        <v>-0</v>
      </c>
      <c r="S1035" s="0" t="n">
        <f aca="false">G1035*H1035</f>
        <v>0</v>
      </c>
      <c r="T1035" s="0" t="n">
        <f aca="false">E1035*E1035</f>
        <v>0.5625</v>
      </c>
      <c r="U1035" s="0" t="n">
        <f aca="false">F1035*F1035</f>
        <v>0.0625</v>
      </c>
      <c r="V1035" s="0" t="n">
        <f aca="false">G1035*G1035</f>
        <v>0.25</v>
      </c>
      <c r="W1035" s="0" t="n">
        <f aca="false">H1035*H1035</f>
        <v>0</v>
      </c>
      <c r="X1035" s="0" t="n">
        <f aca="false">SUMPRODUCT(I1035:W1035,_XtX!$B$96:$P$96)</f>
        <v>45.002759502924</v>
      </c>
      <c r="Y1035" s="0" t="n">
        <f aca="false">SUMPRODUCT(MMULT(I1035:W1035,_XtX!$B$78:$P$92),I1035:W1035)</f>
        <v>0.215110734192252</v>
      </c>
      <c r="Z1035" s="0" t="n">
        <f aca="false">04_回帰ANOVA!$K$19*04_回帰ANOVA!$K$14*SQRT(1+Y1035)</f>
        <v>1.43683309086864</v>
      </c>
      <c r="AA1035" s="0" t="n">
        <f aca="false">X1035-Z1035</f>
        <v>43.5659264120553</v>
      </c>
      <c r="AB1035" s="0" t="n">
        <f aca="false">X1035+Z1035</f>
        <v>46.4395925937926</v>
      </c>
      <c r="AC1035" s="54" t="b">
        <f aca="false">AND(E1035&gt;=01_因子設定!$L$5-0.000000001,E1035&lt;=01_因子設定!$M$5+0.000000001,F1035&gt;=01_因子設定!$L$6-0.000000001,F1035&lt;=01_因子設定!$M$6+0.000000001,G1035&gt;=01_因子設定!$L$7-0.000000001,G1035&lt;=01_因子設定!$M$7+0.000000001,H1035&gt;=01_因子設定!$L$8-0.000000001,H1035&lt;=01_因子設定!$M$8+0.000000001,IF(01_因子設定!$B$20="Box-Behnken",E1035^2+F1035^2+G1035^2+H1035^2&lt;=2+0.000000001,TRUE()))</f>
        <v>1</v>
      </c>
      <c r="AD1035" s="55" t="n">
        <f aca="false">IF(AC1035,IF(01_因子設定!$B$13="最大化",AA1035-01_因子設定!$B$14,IF(01_因子設定!$B$13="最小化",01_因子設定!$B$15-AB1035,MIN(AA1035-01_因子設定!$B$14,01_因子設定!$B$15-AB1035))),-1E+030)</f>
        <v>-2.93407358794468</v>
      </c>
      <c r="AE1035" s="55" t="n">
        <f aca="false">IF(AC1035,IF(01_因子設定!$B$13="最大化",X1035,IF(01_因子設定!$B$13="最小化",-X1035,-ABS(X1035-01_因子設定!$B$16))),-1E+030)</f>
        <v>45.002759502924</v>
      </c>
      <c r="AF1035" s="55" t="n">
        <f aca="false">AD1035+ROW()*0.000000001</f>
        <v>-2.93407255294468</v>
      </c>
      <c r="AG1035" s="55" t="n">
        <f aca="false">AE1035+ROW()*0.000000001</f>
        <v>45.002760537924</v>
      </c>
    </row>
    <row r="1036" customFormat="false" ht="15" hidden="false" customHeight="false" outlineLevel="0" collapsed="false">
      <c r="A1036" s="0" t="n">
        <v>1</v>
      </c>
      <c r="B1036" s="0" t="n">
        <v>3</v>
      </c>
      <c r="C1036" s="0" t="n">
        <v>6</v>
      </c>
      <c r="D1036" s="0" t="n">
        <v>5</v>
      </c>
      <c r="E1036" s="0" t="n">
        <f aca="false">-1+A1036*0.25</f>
        <v>-0.75</v>
      </c>
      <c r="F1036" s="0" t="n">
        <f aca="false">-1+B1036*0.25</f>
        <v>-0.25</v>
      </c>
      <c r="G1036" s="0" t="n">
        <f aca="false">-1+C1036*0.25</f>
        <v>0.5</v>
      </c>
      <c r="H1036" s="0" t="n">
        <f aca="false">-1+D1036*0.25</f>
        <v>0.25</v>
      </c>
      <c r="I1036" s="0" t="n">
        <f aca="false">1</f>
        <v>1</v>
      </c>
      <c r="J1036" s="0" t="n">
        <f aca="false">E1036</f>
        <v>-0.75</v>
      </c>
      <c r="K1036" s="0" t="n">
        <f aca="false">F1036</f>
        <v>-0.25</v>
      </c>
      <c r="L1036" s="0" t="n">
        <f aca="false">G1036</f>
        <v>0.5</v>
      </c>
      <c r="M1036" s="0" t="n">
        <f aca="false">H1036</f>
        <v>0.25</v>
      </c>
      <c r="N1036" s="0" t="n">
        <f aca="false">E1036*F1036</f>
        <v>0.1875</v>
      </c>
      <c r="O1036" s="0" t="n">
        <f aca="false">E1036*G1036</f>
        <v>-0.375</v>
      </c>
      <c r="P1036" s="0" t="n">
        <f aca="false">E1036*H1036</f>
        <v>-0.1875</v>
      </c>
      <c r="Q1036" s="0" t="n">
        <f aca="false">F1036*G1036</f>
        <v>-0.125</v>
      </c>
      <c r="R1036" s="0" t="n">
        <f aca="false">F1036*H1036</f>
        <v>-0.0625</v>
      </c>
      <c r="S1036" s="0" t="n">
        <f aca="false">G1036*H1036</f>
        <v>0.125</v>
      </c>
      <c r="T1036" s="0" t="n">
        <f aca="false">E1036*E1036</f>
        <v>0.5625</v>
      </c>
      <c r="U1036" s="0" t="n">
        <f aca="false">F1036*F1036</f>
        <v>0.0625</v>
      </c>
      <c r="V1036" s="0" t="n">
        <f aca="false">G1036*G1036</f>
        <v>0.25</v>
      </c>
      <c r="W1036" s="0" t="n">
        <f aca="false">H1036*H1036</f>
        <v>0.0625</v>
      </c>
      <c r="X1036" s="0" t="n">
        <f aca="false">SUMPRODUCT(I1036:W1036,_XtX!$B$96:$P$96)</f>
        <v>45.1060261330409</v>
      </c>
      <c r="Y1036" s="0" t="n">
        <f aca="false">SUMPRODUCT(MMULT(I1036:W1036,_XtX!$B$78:$P$92),I1036:W1036)</f>
        <v>0.207746539199561</v>
      </c>
      <c r="Z1036" s="0" t="n">
        <f aca="false">04_回帰ANOVA!$K$19*04_回帰ANOVA!$K$14*SQRT(1+Y1036)</f>
        <v>1.43247250081141</v>
      </c>
      <c r="AA1036" s="0" t="n">
        <f aca="false">X1036-Z1036</f>
        <v>43.6735536322295</v>
      </c>
      <c r="AB1036" s="0" t="n">
        <f aca="false">X1036+Z1036</f>
        <v>46.5384986338523</v>
      </c>
      <c r="AC1036" s="54" t="b">
        <f aca="false">AND(E1036&gt;=01_因子設定!$L$5-0.000000001,E1036&lt;=01_因子設定!$M$5+0.000000001,F1036&gt;=01_因子設定!$L$6-0.000000001,F1036&lt;=01_因子設定!$M$6+0.000000001,G1036&gt;=01_因子設定!$L$7-0.000000001,G1036&lt;=01_因子設定!$M$7+0.000000001,H1036&gt;=01_因子設定!$L$8-0.000000001,H1036&lt;=01_因子設定!$M$8+0.000000001,IF(01_因子設定!$B$20="Box-Behnken",E1036^2+F1036^2+G1036^2+H1036^2&lt;=2+0.000000001,TRUE()))</f>
        <v>1</v>
      </c>
      <c r="AD1036" s="55" t="n">
        <f aca="false">IF(AC1036,IF(01_因子設定!$B$13="最大化",AA1036-01_因子設定!$B$14,IF(01_因子設定!$B$13="最小化",01_因子設定!$B$15-AB1036,MIN(AA1036-01_因子設定!$B$14,01_因子設定!$B$15-AB1036))),-1E+030)</f>
        <v>-2.82644636777048</v>
      </c>
      <c r="AE1036" s="55" t="n">
        <f aca="false">IF(AC1036,IF(01_因子設定!$B$13="最大化",X1036,IF(01_因子設定!$B$13="最小化",-X1036,-ABS(X1036-01_因子設定!$B$16))),-1E+030)</f>
        <v>45.1060261330409</v>
      </c>
      <c r="AF1036" s="55" t="n">
        <f aca="false">AD1036+ROW()*0.000000001</f>
        <v>-2.82644533177048</v>
      </c>
      <c r="AG1036" s="55" t="n">
        <f aca="false">AE1036+ROW()*0.000000001</f>
        <v>45.1060271690409</v>
      </c>
    </row>
    <row r="1037" customFormat="false" ht="15" hidden="false" customHeight="false" outlineLevel="0" collapsed="false">
      <c r="A1037" s="0" t="n">
        <v>1</v>
      </c>
      <c r="B1037" s="0" t="n">
        <v>3</v>
      </c>
      <c r="C1037" s="0" t="n">
        <v>6</v>
      </c>
      <c r="D1037" s="0" t="n">
        <v>6</v>
      </c>
      <c r="E1037" s="0" t="n">
        <f aca="false">-1+A1037*0.25</f>
        <v>-0.75</v>
      </c>
      <c r="F1037" s="0" t="n">
        <f aca="false">-1+B1037*0.25</f>
        <v>-0.25</v>
      </c>
      <c r="G1037" s="0" t="n">
        <f aca="false">-1+C1037*0.25</f>
        <v>0.5</v>
      </c>
      <c r="H1037" s="0" t="n">
        <f aca="false">-1+D1037*0.25</f>
        <v>0.5</v>
      </c>
      <c r="I1037" s="0" t="n">
        <f aca="false">1</f>
        <v>1</v>
      </c>
      <c r="J1037" s="0" t="n">
        <f aca="false">E1037</f>
        <v>-0.75</v>
      </c>
      <c r="K1037" s="0" t="n">
        <f aca="false">F1037</f>
        <v>-0.25</v>
      </c>
      <c r="L1037" s="0" t="n">
        <f aca="false">G1037</f>
        <v>0.5</v>
      </c>
      <c r="M1037" s="0" t="n">
        <f aca="false">H1037</f>
        <v>0.5</v>
      </c>
      <c r="N1037" s="0" t="n">
        <f aca="false">E1037*F1037</f>
        <v>0.1875</v>
      </c>
      <c r="O1037" s="0" t="n">
        <f aca="false">E1037*G1037</f>
        <v>-0.375</v>
      </c>
      <c r="P1037" s="0" t="n">
        <f aca="false">E1037*H1037</f>
        <v>-0.375</v>
      </c>
      <c r="Q1037" s="0" t="n">
        <f aca="false">F1037*G1037</f>
        <v>-0.125</v>
      </c>
      <c r="R1037" s="0" t="n">
        <f aca="false">F1037*H1037</f>
        <v>-0.125</v>
      </c>
      <c r="S1037" s="0" t="n">
        <f aca="false">G1037*H1037</f>
        <v>0.25</v>
      </c>
      <c r="T1037" s="0" t="n">
        <f aca="false">E1037*E1037</f>
        <v>0.5625</v>
      </c>
      <c r="U1037" s="0" t="n">
        <f aca="false">F1037*F1037</f>
        <v>0.0625</v>
      </c>
      <c r="V1037" s="0" t="n">
        <f aca="false">G1037*G1037</f>
        <v>0.25</v>
      </c>
      <c r="W1037" s="0" t="n">
        <f aca="false">H1037*H1037</f>
        <v>0.25</v>
      </c>
      <c r="X1037" s="0" t="n">
        <f aca="false">SUMPRODUCT(I1037:W1037,_XtX!$B$96:$P$96)</f>
        <v>45.161485745614</v>
      </c>
      <c r="Y1037" s="0" t="n">
        <f aca="false">SUMPRODUCT(MMULT(I1037:W1037,_XtX!$B$78:$P$92),I1037:W1037)</f>
        <v>0.203746059484649</v>
      </c>
      <c r="Z1037" s="0" t="n">
        <f aca="false">04_回帰ANOVA!$K$19*04_回帰ANOVA!$K$14*SQRT(1+Y1037)</f>
        <v>1.43009810755465</v>
      </c>
      <c r="AA1037" s="0" t="n">
        <f aca="false">X1037-Z1037</f>
        <v>43.7313876380594</v>
      </c>
      <c r="AB1037" s="0" t="n">
        <f aca="false">X1037+Z1037</f>
        <v>46.5915838531687</v>
      </c>
      <c r="AC1037" s="54" t="b">
        <f aca="false">AND(E1037&gt;=01_因子設定!$L$5-0.000000001,E1037&lt;=01_因子設定!$M$5+0.000000001,F1037&gt;=01_因子設定!$L$6-0.000000001,F1037&lt;=01_因子設定!$M$6+0.000000001,G1037&gt;=01_因子設定!$L$7-0.000000001,G1037&lt;=01_因子設定!$M$7+0.000000001,H1037&gt;=01_因子設定!$L$8-0.000000001,H1037&lt;=01_因子設定!$M$8+0.000000001,IF(01_因子設定!$B$20="Box-Behnken",E1037^2+F1037^2+G1037^2+H1037^2&lt;=2+0.000000001,TRUE()))</f>
        <v>1</v>
      </c>
      <c r="AD1037" s="55" t="n">
        <f aca="false">IF(AC1037,IF(01_因子設定!$B$13="最大化",AA1037-01_因子設定!$B$14,IF(01_因子設定!$B$13="最小化",01_因子設定!$B$15-AB1037,MIN(AA1037-01_因子設定!$B$14,01_因子設定!$B$15-AB1037))),-1E+030)</f>
        <v>-2.76861236194062</v>
      </c>
      <c r="AE1037" s="55" t="n">
        <f aca="false">IF(AC1037,IF(01_因子設定!$B$13="最大化",X1037,IF(01_因子設定!$B$13="最小化",-X1037,-ABS(X1037-01_因子設定!$B$16))),-1E+030)</f>
        <v>45.161485745614</v>
      </c>
      <c r="AF1037" s="55" t="n">
        <f aca="false">AD1037+ROW()*0.000000001</f>
        <v>-2.76861132494062</v>
      </c>
      <c r="AG1037" s="55" t="n">
        <f aca="false">AE1037+ROW()*0.000000001</f>
        <v>45.161486782614</v>
      </c>
    </row>
    <row r="1038" customFormat="false" ht="15" hidden="false" customHeight="false" outlineLevel="0" collapsed="false">
      <c r="A1038" s="0" t="n">
        <v>1</v>
      </c>
      <c r="B1038" s="0" t="n">
        <v>3</v>
      </c>
      <c r="C1038" s="0" t="n">
        <v>6</v>
      </c>
      <c r="D1038" s="0" t="n">
        <v>7</v>
      </c>
      <c r="E1038" s="0" t="n">
        <f aca="false">-1+A1038*0.25</f>
        <v>-0.75</v>
      </c>
      <c r="F1038" s="0" t="n">
        <f aca="false">-1+B1038*0.25</f>
        <v>-0.25</v>
      </c>
      <c r="G1038" s="0" t="n">
        <f aca="false">-1+C1038*0.25</f>
        <v>0.5</v>
      </c>
      <c r="H1038" s="0" t="n">
        <f aca="false">-1+D1038*0.25</f>
        <v>0.75</v>
      </c>
      <c r="I1038" s="0" t="n">
        <f aca="false">1</f>
        <v>1</v>
      </c>
      <c r="J1038" s="0" t="n">
        <f aca="false">E1038</f>
        <v>-0.75</v>
      </c>
      <c r="K1038" s="0" t="n">
        <f aca="false">F1038</f>
        <v>-0.25</v>
      </c>
      <c r="L1038" s="0" t="n">
        <f aca="false">G1038</f>
        <v>0.5</v>
      </c>
      <c r="M1038" s="0" t="n">
        <f aca="false">H1038</f>
        <v>0.75</v>
      </c>
      <c r="N1038" s="0" t="n">
        <f aca="false">E1038*F1038</f>
        <v>0.1875</v>
      </c>
      <c r="O1038" s="0" t="n">
        <f aca="false">E1038*G1038</f>
        <v>-0.375</v>
      </c>
      <c r="P1038" s="0" t="n">
        <f aca="false">E1038*H1038</f>
        <v>-0.5625</v>
      </c>
      <c r="Q1038" s="0" t="n">
        <f aca="false">F1038*G1038</f>
        <v>-0.125</v>
      </c>
      <c r="R1038" s="0" t="n">
        <f aca="false">F1038*H1038</f>
        <v>-0.1875</v>
      </c>
      <c r="S1038" s="0" t="n">
        <f aca="false">G1038*H1038</f>
        <v>0.375</v>
      </c>
      <c r="T1038" s="0" t="n">
        <f aca="false">E1038*E1038</f>
        <v>0.5625</v>
      </c>
      <c r="U1038" s="0" t="n">
        <f aca="false">F1038*F1038</f>
        <v>0.0625</v>
      </c>
      <c r="V1038" s="0" t="n">
        <f aca="false">G1038*G1038</f>
        <v>0.25</v>
      </c>
      <c r="W1038" s="0" t="n">
        <f aca="false">H1038*H1038</f>
        <v>0.5625</v>
      </c>
      <c r="X1038" s="0" t="n">
        <f aca="false">SUMPRODUCT(I1038:W1038,_XtX!$B$96:$P$96)</f>
        <v>45.1691383406433</v>
      </c>
      <c r="Y1038" s="0" t="n">
        <f aca="false">SUMPRODUCT(MMULT(I1038:W1038,_XtX!$B$78:$P$92),I1038:W1038)</f>
        <v>0.257385610836988</v>
      </c>
      <c r="Z1038" s="0" t="n">
        <f aca="false">04_回帰ANOVA!$K$19*04_回帰ANOVA!$K$14*SQRT(1+Y1038)</f>
        <v>1.46161380324158</v>
      </c>
      <c r="AA1038" s="0" t="n">
        <f aca="false">X1038-Z1038</f>
        <v>43.7075245374017</v>
      </c>
      <c r="AB1038" s="0" t="n">
        <f aca="false">X1038+Z1038</f>
        <v>46.6307521438849</v>
      </c>
      <c r="AC1038" s="54" t="b">
        <f aca="false">AND(E1038&gt;=01_因子設定!$L$5-0.000000001,E1038&lt;=01_因子設定!$M$5+0.000000001,F1038&gt;=01_因子設定!$L$6-0.000000001,F1038&lt;=01_因子設定!$M$6+0.000000001,G1038&gt;=01_因子設定!$L$7-0.000000001,G1038&lt;=01_因子設定!$M$7+0.000000001,H1038&gt;=01_因子設定!$L$8-0.000000001,H1038&lt;=01_因子設定!$M$8+0.000000001,IF(01_因子設定!$B$20="Box-Behnken",E1038^2+F1038^2+G1038^2+H1038^2&lt;=2+0.000000001,TRUE()))</f>
        <v>1</v>
      </c>
      <c r="AD1038" s="55" t="n">
        <f aca="false">IF(AC1038,IF(01_因子設定!$B$13="最大化",AA1038-01_因子設定!$B$14,IF(01_因子設定!$B$13="最小化",01_因子設定!$B$15-AB1038,MIN(AA1038-01_因子設定!$B$14,01_因子設定!$B$15-AB1038))),-1E+030)</f>
        <v>-2.7924754625983</v>
      </c>
      <c r="AE1038" s="55" t="n">
        <f aca="false">IF(AC1038,IF(01_因子設定!$B$13="最大化",X1038,IF(01_因子設定!$B$13="最小化",-X1038,-ABS(X1038-01_因子設定!$B$16))),-1E+030)</f>
        <v>45.1691383406433</v>
      </c>
      <c r="AF1038" s="55" t="n">
        <f aca="false">AD1038+ROW()*0.000000001</f>
        <v>-2.7924744245983</v>
      </c>
      <c r="AG1038" s="55" t="n">
        <f aca="false">AE1038+ROW()*0.000000001</f>
        <v>45.1691393786433</v>
      </c>
    </row>
    <row r="1039" customFormat="false" ht="15" hidden="false" customHeight="false" outlineLevel="0" collapsed="false">
      <c r="A1039" s="0" t="n">
        <v>1</v>
      </c>
      <c r="B1039" s="0" t="n">
        <v>3</v>
      </c>
      <c r="C1039" s="0" t="n">
        <v>6</v>
      </c>
      <c r="D1039" s="0" t="n">
        <v>8</v>
      </c>
      <c r="E1039" s="0" t="n">
        <f aca="false">-1+A1039*0.25</f>
        <v>-0.75</v>
      </c>
      <c r="F1039" s="0" t="n">
        <f aca="false">-1+B1039*0.25</f>
        <v>-0.25</v>
      </c>
      <c r="G1039" s="0" t="n">
        <f aca="false">-1+C1039*0.25</f>
        <v>0.5</v>
      </c>
      <c r="H1039" s="0" t="n">
        <f aca="false">-1+D1039*0.25</f>
        <v>1</v>
      </c>
      <c r="I1039" s="0" t="n">
        <f aca="false">1</f>
        <v>1</v>
      </c>
      <c r="J1039" s="0" t="n">
        <f aca="false">E1039</f>
        <v>-0.75</v>
      </c>
      <c r="K1039" s="0" t="n">
        <f aca="false">F1039</f>
        <v>-0.25</v>
      </c>
      <c r="L1039" s="0" t="n">
        <f aca="false">G1039</f>
        <v>0.5</v>
      </c>
      <c r="M1039" s="0" t="n">
        <f aca="false">H1039</f>
        <v>1</v>
      </c>
      <c r="N1039" s="0" t="n">
        <f aca="false">E1039*F1039</f>
        <v>0.1875</v>
      </c>
      <c r="O1039" s="0" t="n">
        <f aca="false">E1039*G1039</f>
        <v>-0.375</v>
      </c>
      <c r="P1039" s="0" t="n">
        <f aca="false">E1039*H1039</f>
        <v>-0.75</v>
      </c>
      <c r="Q1039" s="0" t="n">
        <f aca="false">F1039*G1039</f>
        <v>-0.125</v>
      </c>
      <c r="R1039" s="0" t="n">
        <f aca="false">F1039*H1039</f>
        <v>-0.25</v>
      </c>
      <c r="S1039" s="0" t="n">
        <f aca="false">G1039*H1039</f>
        <v>0.5</v>
      </c>
      <c r="T1039" s="0" t="n">
        <f aca="false">E1039*E1039</f>
        <v>0.5625</v>
      </c>
      <c r="U1039" s="0" t="n">
        <f aca="false">F1039*F1039</f>
        <v>0.0625</v>
      </c>
      <c r="V1039" s="0" t="n">
        <f aca="false">G1039*G1039</f>
        <v>0.25</v>
      </c>
      <c r="W1039" s="0" t="n">
        <f aca="false">H1039*H1039</f>
        <v>1</v>
      </c>
      <c r="X1039" s="0" t="n">
        <f aca="false">SUMPRODUCT(I1039:W1039,_XtX!$B$96:$P$96)</f>
        <v>45.1289839181287</v>
      </c>
      <c r="Y1039" s="0" t="n">
        <f aca="false">SUMPRODUCT(MMULT(I1039:W1039,_XtX!$B$78:$P$92),I1039:W1039)</f>
        <v>0.459125719572369</v>
      </c>
      <c r="Z1039" s="0" t="n">
        <f aca="false">04_回帰ANOVA!$K$19*04_回帰ANOVA!$K$14*SQRT(1+Y1039)</f>
        <v>1.57450755575573</v>
      </c>
      <c r="AA1039" s="0" t="n">
        <f aca="false">X1039-Z1039</f>
        <v>43.5544763623729</v>
      </c>
      <c r="AB1039" s="0" t="n">
        <f aca="false">X1039+Z1039</f>
        <v>46.7034914738844</v>
      </c>
      <c r="AC1039" s="54" t="b">
        <f aca="false">AND(E1039&gt;=01_因子設定!$L$5-0.000000001,E1039&lt;=01_因子設定!$M$5+0.000000001,F1039&gt;=01_因子設定!$L$6-0.000000001,F1039&lt;=01_因子設定!$M$6+0.000000001,G1039&gt;=01_因子設定!$L$7-0.000000001,G1039&lt;=01_因子設定!$M$7+0.000000001,H1039&gt;=01_因子設定!$L$8-0.000000001,H1039&lt;=01_因子設定!$M$8+0.000000001,IF(01_因子設定!$B$20="Box-Behnken",E1039^2+F1039^2+G1039^2+H1039^2&lt;=2+0.000000001,TRUE()))</f>
        <v>1</v>
      </c>
      <c r="AD1039" s="55" t="n">
        <f aca="false">IF(AC1039,IF(01_因子設定!$B$13="最大化",AA1039-01_因子設定!$B$14,IF(01_因子設定!$B$13="最小化",01_因子設定!$B$15-AB1039,MIN(AA1039-01_因子設定!$B$14,01_因子設定!$B$15-AB1039))),-1E+030)</f>
        <v>-2.94552363762706</v>
      </c>
      <c r="AE1039" s="55" t="n">
        <f aca="false">IF(AC1039,IF(01_因子設定!$B$13="最大化",X1039,IF(01_因子設定!$B$13="最小化",-X1039,-ABS(X1039-01_因子設定!$B$16))),-1E+030)</f>
        <v>45.1289839181287</v>
      </c>
      <c r="AF1039" s="55" t="n">
        <f aca="false">AD1039+ROW()*0.000000001</f>
        <v>-2.94552259862706</v>
      </c>
      <c r="AG1039" s="55" t="n">
        <f aca="false">AE1039+ROW()*0.000000001</f>
        <v>45.1289849571287</v>
      </c>
    </row>
    <row r="1040" customFormat="false" ht="15" hidden="false" customHeight="false" outlineLevel="0" collapsed="false">
      <c r="A1040" s="0" t="n">
        <v>1</v>
      </c>
      <c r="B1040" s="0" t="n">
        <v>3</v>
      </c>
      <c r="C1040" s="0" t="n">
        <v>7</v>
      </c>
      <c r="D1040" s="0" t="n">
        <v>0</v>
      </c>
      <c r="E1040" s="0" t="n">
        <f aca="false">-1+A1040*0.25</f>
        <v>-0.75</v>
      </c>
      <c r="F1040" s="0" t="n">
        <f aca="false">-1+B1040*0.25</f>
        <v>-0.25</v>
      </c>
      <c r="G1040" s="0" t="n">
        <f aca="false">-1+C1040*0.25</f>
        <v>0.75</v>
      </c>
      <c r="H1040" s="0" t="n">
        <f aca="false">-1+D1040*0.25</f>
        <v>-1</v>
      </c>
      <c r="I1040" s="0" t="n">
        <f aca="false">1</f>
        <v>1</v>
      </c>
      <c r="J1040" s="0" t="n">
        <f aca="false">E1040</f>
        <v>-0.75</v>
      </c>
      <c r="K1040" s="0" t="n">
        <f aca="false">F1040</f>
        <v>-0.25</v>
      </c>
      <c r="L1040" s="0" t="n">
        <f aca="false">G1040</f>
        <v>0.75</v>
      </c>
      <c r="M1040" s="0" t="n">
        <f aca="false">H1040</f>
        <v>-1</v>
      </c>
      <c r="N1040" s="0" t="n">
        <f aca="false">E1040*F1040</f>
        <v>0.1875</v>
      </c>
      <c r="O1040" s="0" t="n">
        <f aca="false">E1040*G1040</f>
        <v>-0.5625</v>
      </c>
      <c r="P1040" s="0" t="n">
        <f aca="false">E1040*H1040</f>
        <v>0.75</v>
      </c>
      <c r="Q1040" s="0" t="n">
        <f aca="false">F1040*G1040</f>
        <v>-0.1875</v>
      </c>
      <c r="R1040" s="0" t="n">
        <f aca="false">F1040*H1040</f>
        <v>0.25</v>
      </c>
      <c r="S1040" s="0" t="n">
        <f aca="false">G1040*H1040</f>
        <v>-0.75</v>
      </c>
      <c r="T1040" s="0" t="n">
        <f aca="false">E1040*E1040</f>
        <v>0.5625</v>
      </c>
      <c r="U1040" s="0" t="n">
        <f aca="false">F1040*F1040</f>
        <v>0.0625</v>
      </c>
      <c r="V1040" s="0" t="n">
        <f aca="false">G1040*G1040</f>
        <v>0.5625</v>
      </c>
      <c r="W1040" s="0" t="n">
        <f aca="false">H1040*H1040</f>
        <v>1</v>
      </c>
      <c r="X1040" s="0" t="n">
        <f aca="false">SUMPRODUCT(I1040:W1040,_XtX!$B$96:$P$96)</f>
        <v>44.1746573464913</v>
      </c>
      <c r="Y1040" s="0" t="n">
        <f aca="false">SUMPRODUCT(MMULT(I1040:W1040,_XtX!$B$78:$P$92),I1040:W1040)</f>
        <v>0.473959761056287</v>
      </c>
      <c r="Z1040" s="0" t="n">
        <f aca="false">04_回帰ANOVA!$K$19*04_回帰ANOVA!$K$14*SQRT(1+Y1040)</f>
        <v>1.58249084588329</v>
      </c>
      <c r="AA1040" s="0" t="n">
        <f aca="false">X1040-Z1040</f>
        <v>42.592166500608</v>
      </c>
      <c r="AB1040" s="0" t="n">
        <f aca="false">X1040+Z1040</f>
        <v>45.7571481923745</v>
      </c>
      <c r="AC1040" s="54" t="b">
        <f aca="false">AND(E1040&gt;=01_因子設定!$L$5-0.000000001,E1040&lt;=01_因子設定!$M$5+0.000000001,F1040&gt;=01_因子設定!$L$6-0.000000001,F1040&lt;=01_因子設定!$M$6+0.000000001,G1040&gt;=01_因子設定!$L$7-0.000000001,G1040&lt;=01_因子設定!$M$7+0.000000001,H1040&gt;=01_因子設定!$L$8-0.000000001,H1040&lt;=01_因子設定!$M$8+0.000000001,IF(01_因子設定!$B$20="Box-Behnken",E1040^2+F1040^2+G1040^2+H1040^2&lt;=2+0.000000001,TRUE()))</f>
        <v>1</v>
      </c>
      <c r="AD1040" s="55" t="n">
        <f aca="false">IF(AC1040,IF(01_因子設定!$B$13="最大化",AA1040-01_因子設定!$B$14,IF(01_因子設定!$B$13="最小化",01_因子設定!$B$15-AB1040,MIN(AA1040-01_因子設定!$B$14,01_因子設定!$B$15-AB1040))),-1E+030)</f>
        <v>-3.90783349939203</v>
      </c>
      <c r="AE1040" s="55" t="n">
        <f aca="false">IF(AC1040,IF(01_因子設定!$B$13="最大化",X1040,IF(01_因子設定!$B$13="最小化",-X1040,-ABS(X1040-01_因子設定!$B$16))),-1E+030)</f>
        <v>44.1746573464913</v>
      </c>
      <c r="AF1040" s="55" t="n">
        <f aca="false">AD1040+ROW()*0.000000001</f>
        <v>-3.90783245939203</v>
      </c>
      <c r="AG1040" s="55" t="n">
        <f aca="false">AE1040+ROW()*0.000000001</f>
        <v>44.1746583864913</v>
      </c>
    </row>
    <row r="1041" customFormat="false" ht="15" hidden="false" customHeight="false" outlineLevel="0" collapsed="false">
      <c r="A1041" s="0" t="n">
        <v>1</v>
      </c>
      <c r="B1041" s="0" t="n">
        <v>3</v>
      </c>
      <c r="C1041" s="0" t="n">
        <v>7</v>
      </c>
      <c r="D1041" s="0" t="n">
        <v>1</v>
      </c>
      <c r="E1041" s="0" t="n">
        <f aca="false">-1+A1041*0.25</f>
        <v>-0.75</v>
      </c>
      <c r="F1041" s="0" t="n">
        <f aca="false">-1+B1041*0.25</f>
        <v>-0.25</v>
      </c>
      <c r="G1041" s="0" t="n">
        <f aca="false">-1+C1041*0.25</f>
        <v>0.75</v>
      </c>
      <c r="H1041" s="0" t="n">
        <f aca="false">-1+D1041*0.25</f>
        <v>-0.75</v>
      </c>
      <c r="I1041" s="0" t="n">
        <f aca="false">1</f>
        <v>1</v>
      </c>
      <c r="J1041" s="0" t="n">
        <f aca="false">E1041</f>
        <v>-0.75</v>
      </c>
      <c r="K1041" s="0" t="n">
        <f aca="false">F1041</f>
        <v>-0.25</v>
      </c>
      <c r="L1041" s="0" t="n">
        <f aca="false">G1041</f>
        <v>0.75</v>
      </c>
      <c r="M1041" s="0" t="n">
        <f aca="false">H1041</f>
        <v>-0.75</v>
      </c>
      <c r="N1041" s="0" t="n">
        <f aca="false">E1041*F1041</f>
        <v>0.1875</v>
      </c>
      <c r="O1041" s="0" t="n">
        <f aca="false">E1041*G1041</f>
        <v>-0.5625</v>
      </c>
      <c r="P1041" s="0" t="n">
        <f aca="false">E1041*H1041</f>
        <v>0.5625</v>
      </c>
      <c r="Q1041" s="0" t="n">
        <f aca="false">F1041*G1041</f>
        <v>-0.1875</v>
      </c>
      <c r="R1041" s="0" t="n">
        <f aca="false">F1041*H1041</f>
        <v>0.1875</v>
      </c>
      <c r="S1041" s="0" t="n">
        <f aca="false">G1041*H1041</f>
        <v>-0.5625</v>
      </c>
      <c r="T1041" s="0" t="n">
        <f aca="false">E1041*E1041</f>
        <v>0.5625</v>
      </c>
      <c r="U1041" s="0" t="n">
        <f aca="false">F1041*F1041</f>
        <v>0.0625</v>
      </c>
      <c r="V1041" s="0" t="n">
        <f aca="false">G1041*G1041</f>
        <v>0.5625</v>
      </c>
      <c r="W1041" s="0" t="n">
        <f aca="false">H1041*H1041</f>
        <v>0.5625</v>
      </c>
      <c r="X1041" s="0" t="n">
        <f aca="false">SUMPRODUCT(I1041:W1041,_XtX!$B$96:$P$96)</f>
        <v>44.4871207967836</v>
      </c>
      <c r="Y1041" s="0" t="n">
        <f aca="false">SUMPRODUCT(MMULT(I1041:W1041,_XtX!$B$78:$P$92),I1041:W1041)</f>
        <v>0.294856199744152</v>
      </c>
      <c r="Z1041" s="0" t="n">
        <f aca="false">04_回帰ANOVA!$K$19*04_回帰ANOVA!$K$14*SQRT(1+Y1041)</f>
        <v>1.48323226089013</v>
      </c>
      <c r="AA1041" s="0" t="n">
        <f aca="false">X1041-Z1041</f>
        <v>43.0038885358935</v>
      </c>
      <c r="AB1041" s="0" t="n">
        <f aca="false">X1041+Z1041</f>
        <v>45.9703530576738</v>
      </c>
      <c r="AC1041" s="54" t="b">
        <f aca="false">AND(E1041&gt;=01_因子設定!$L$5-0.000000001,E1041&lt;=01_因子設定!$M$5+0.000000001,F1041&gt;=01_因子設定!$L$6-0.000000001,F1041&lt;=01_因子設定!$M$6+0.000000001,G1041&gt;=01_因子設定!$L$7-0.000000001,G1041&lt;=01_因子設定!$M$7+0.000000001,H1041&gt;=01_因子設定!$L$8-0.000000001,H1041&lt;=01_因子設定!$M$8+0.000000001,IF(01_因子設定!$B$20="Box-Behnken",E1041^2+F1041^2+G1041^2+H1041^2&lt;=2+0.000000001,TRUE()))</f>
        <v>1</v>
      </c>
      <c r="AD1041" s="55" t="n">
        <f aca="false">IF(AC1041,IF(01_因子設定!$B$13="最大化",AA1041-01_因子設定!$B$14,IF(01_因子設定!$B$13="最小化",01_因子設定!$B$15-AB1041,MIN(AA1041-01_因子設定!$B$14,01_因子設定!$B$15-AB1041))),-1E+030)</f>
        <v>-3.4961114641065</v>
      </c>
      <c r="AE1041" s="55" t="n">
        <f aca="false">IF(AC1041,IF(01_因子設定!$B$13="最大化",X1041,IF(01_因子設定!$B$13="最小化",-X1041,-ABS(X1041-01_因子設定!$B$16))),-1E+030)</f>
        <v>44.4871207967836</v>
      </c>
      <c r="AF1041" s="55" t="n">
        <f aca="false">AD1041+ROW()*0.000000001</f>
        <v>-3.4961104231065</v>
      </c>
      <c r="AG1041" s="55" t="n">
        <f aca="false">AE1041+ROW()*0.000000001</f>
        <v>44.4871218377836</v>
      </c>
    </row>
    <row r="1042" customFormat="false" ht="15" hidden="false" customHeight="false" outlineLevel="0" collapsed="false">
      <c r="A1042" s="0" t="n">
        <v>1</v>
      </c>
      <c r="B1042" s="0" t="n">
        <v>3</v>
      </c>
      <c r="C1042" s="0" t="n">
        <v>7</v>
      </c>
      <c r="D1042" s="0" t="n">
        <v>2</v>
      </c>
      <c r="E1042" s="0" t="n">
        <f aca="false">-1+A1042*0.25</f>
        <v>-0.75</v>
      </c>
      <c r="F1042" s="0" t="n">
        <f aca="false">-1+B1042*0.25</f>
        <v>-0.25</v>
      </c>
      <c r="G1042" s="0" t="n">
        <f aca="false">-1+C1042*0.25</f>
        <v>0.75</v>
      </c>
      <c r="H1042" s="0" t="n">
        <f aca="false">-1+D1042*0.25</f>
        <v>-0.5</v>
      </c>
      <c r="I1042" s="0" t="n">
        <f aca="false">1</f>
        <v>1</v>
      </c>
      <c r="J1042" s="0" t="n">
        <f aca="false">E1042</f>
        <v>-0.75</v>
      </c>
      <c r="K1042" s="0" t="n">
        <f aca="false">F1042</f>
        <v>-0.25</v>
      </c>
      <c r="L1042" s="0" t="n">
        <f aca="false">G1042</f>
        <v>0.75</v>
      </c>
      <c r="M1042" s="0" t="n">
        <f aca="false">H1042</f>
        <v>-0.5</v>
      </c>
      <c r="N1042" s="0" t="n">
        <f aca="false">E1042*F1042</f>
        <v>0.1875</v>
      </c>
      <c r="O1042" s="0" t="n">
        <f aca="false">E1042*G1042</f>
        <v>-0.5625</v>
      </c>
      <c r="P1042" s="0" t="n">
        <f aca="false">E1042*H1042</f>
        <v>0.375</v>
      </c>
      <c r="Q1042" s="0" t="n">
        <f aca="false">F1042*G1042</f>
        <v>-0.1875</v>
      </c>
      <c r="R1042" s="0" t="n">
        <f aca="false">F1042*H1042</f>
        <v>0.125</v>
      </c>
      <c r="S1042" s="0" t="n">
        <f aca="false">G1042*H1042</f>
        <v>-0.375</v>
      </c>
      <c r="T1042" s="0" t="n">
        <f aca="false">E1042*E1042</f>
        <v>0.5625</v>
      </c>
      <c r="U1042" s="0" t="n">
        <f aca="false">F1042*F1042</f>
        <v>0.0625</v>
      </c>
      <c r="V1042" s="0" t="n">
        <f aca="false">G1042*G1042</f>
        <v>0.5625</v>
      </c>
      <c r="W1042" s="0" t="n">
        <f aca="false">H1042*H1042</f>
        <v>0.25</v>
      </c>
      <c r="X1042" s="0" t="n">
        <f aca="false">SUMPRODUCT(I1042:W1042,_XtX!$B$96:$P$96)</f>
        <v>44.7517772295322</v>
      </c>
      <c r="Y1042" s="0" t="n">
        <f aca="false">SUMPRODUCT(MMULT(I1042:W1042,_XtX!$B$78:$P$92),I1042:W1042)</f>
        <v>0.257385610836988</v>
      </c>
      <c r="Z1042" s="0" t="n">
        <f aca="false">04_回帰ANOVA!$K$19*04_回帰ANOVA!$K$14*SQRT(1+Y1042)</f>
        <v>1.46161380324158</v>
      </c>
      <c r="AA1042" s="0" t="n">
        <f aca="false">X1042-Z1042</f>
        <v>43.2901634262906</v>
      </c>
      <c r="AB1042" s="0" t="n">
        <f aca="false">X1042+Z1042</f>
        <v>46.2133910327737</v>
      </c>
      <c r="AC1042" s="54" t="b">
        <f aca="false">AND(E1042&gt;=01_因子設定!$L$5-0.000000001,E1042&lt;=01_因子設定!$M$5+0.000000001,F1042&gt;=01_因子設定!$L$6-0.000000001,F1042&lt;=01_因子設定!$M$6+0.000000001,G1042&gt;=01_因子設定!$L$7-0.000000001,G1042&lt;=01_因子設定!$M$7+0.000000001,H1042&gt;=01_因子設定!$L$8-0.000000001,H1042&lt;=01_因子設定!$M$8+0.000000001,IF(01_因子設定!$B$20="Box-Behnken",E1042^2+F1042^2+G1042^2+H1042^2&lt;=2+0.000000001,TRUE()))</f>
        <v>1</v>
      </c>
      <c r="AD1042" s="55" t="n">
        <f aca="false">IF(AC1042,IF(01_因子設定!$B$13="最大化",AA1042-01_因子設定!$B$14,IF(01_因子設定!$B$13="最小化",01_因子設定!$B$15-AB1042,MIN(AA1042-01_因子設定!$B$14,01_因子設定!$B$15-AB1042))),-1E+030)</f>
        <v>-3.20983657370942</v>
      </c>
      <c r="AE1042" s="55" t="n">
        <f aca="false">IF(AC1042,IF(01_因子設定!$B$13="最大化",X1042,IF(01_因子設定!$B$13="最小化",-X1042,-ABS(X1042-01_因子設定!$B$16))),-1E+030)</f>
        <v>44.7517772295322</v>
      </c>
      <c r="AF1042" s="55" t="n">
        <f aca="false">AD1042+ROW()*0.000000001</f>
        <v>-3.20983553170942</v>
      </c>
      <c r="AG1042" s="55" t="n">
        <f aca="false">AE1042+ROW()*0.000000001</f>
        <v>44.7517782715322</v>
      </c>
    </row>
    <row r="1043" customFormat="false" ht="15" hidden="false" customHeight="false" outlineLevel="0" collapsed="false">
      <c r="A1043" s="0" t="n">
        <v>1</v>
      </c>
      <c r="B1043" s="0" t="n">
        <v>3</v>
      </c>
      <c r="C1043" s="0" t="n">
        <v>7</v>
      </c>
      <c r="D1043" s="0" t="n">
        <v>3</v>
      </c>
      <c r="E1043" s="0" t="n">
        <f aca="false">-1+A1043*0.25</f>
        <v>-0.75</v>
      </c>
      <c r="F1043" s="0" t="n">
        <f aca="false">-1+B1043*0.25</f>
        <v>-0.25</v>
      </c>
      <c r="G1043" s="0" t="n">
        <f aca="false">-1+C1043*0.25</f>
        <v>0.75</v>
      </c>
      <c r="H1043" s="0" t="n">
        <f aca="false">-1+D1043*0.25</f>
        <v>-0.25</v>
      </c>
      <c r="I1043" s="0" t="n">
        <f aca="false">1</f>
        <v>1</v>
      </c>
      <c r="J1043" s="0" t="n">
        <f aca="false">E1043</f>
        <v>-0.75</v>
      </c>
      <c r="K1043" s="0" t="n">
        <f aca="false">F1043</f>
        <v>-0.25</v>
      </c>
      <c r="L1043" s="0" t="n">
        <f aca="false">G1043</f>
        <v>0.75</v>
      </c>
      <c r="M1043" s="0" t="n">
        <f aca="false">H1043</f>
        <v>-0.25</v>
      </c>
      <c r="N1043" s="0" t="n">
        <f aca="false">E1043*F1043</f>
        <v>0.1875</v>
      </c>
      <c r="O1043" s="0" t="n">
        <f aca="false">E1043*G1043</f>
        <v>-0.5625</v>
      </c>
      <c r="P1043" s="0" t="n">
        <f aca="false">E1043*H1043</f>
        <v>0.1875</v>
      </c>
      <c r="Q1043" s="0" t="n">
        <f aca="false">F1043*G1043</f>
        <v>-0.1875</v>
      </c>
      <c r="R1043" s="0" t="n">
        <f aca="false">F1043*H1043</f>
        <v>0.0625</v>
      </c>
      <c r="S1043" s="0" t="n">
        <f aca="false">G1043*H1043</f>
        <v>-0.1875</v>
      </c>
      <c r="T1043" s="0" t="n">
        <f aca="false">E1043*E1043</f>
        <v>0.5625</v>
      </c>
      <c r="U1043" s="0" t="n">
        <f aca="false">F1043*F1043</f>
        <v>0.0625</v>
      </c>
      <c r="V1043" s="0" t="n">
        <f aca="false">G1043*G1043</f>
        <v>0.5625</v>
      </c>
      <c r="W1043" s="0" t="n">
        <f aca="false">H1043*H1043</f>
        <v>0.0625</v>
      </c>
      <c r="X1043" s="0" t="n">
        <f aca="false">SUMPRODUCT(I1043:W1043,_XtX!$B$96:$P$96)</f>
        <v>44.9686266447368</v>
      </c>
      <c r="Y1043" s="0" t="n">
        <f aca="false">SUMPRODUCT(MMULT(I1043:W1043,_XtX!$B$78:$P$92),I1043:W1043)</f>
        <v>0.271087468019006</v>
      </c>
      <c r="Z1043" s="0" t="n">
        <f aca="false">04_回帰ANOVA!$K$19*04_回帰ANOVA!$K$14*SQRT(1+Y1043)</f>
        <v>1.46955590155034</v>
      </c>
      <c r="AA1043" s="0" t="n">
        <f aca="false">X1043-Z1043</f>
        <v>43.4990707431865</v>
      </c>
      <c r="AB1043" s="0" t="n">
        <f aca="false">X1043+Z1043</f>
        <v>46.4381825462872</v>
      </c>
      <c r="AC1043" s="54" t="b">
        <f aca="false">AND(E1043&gt;=01_因子設定!$L$5-0.000000001,E1043&lt;=01_因子設定!$M$5+0.000000001,F1043&gt;=01_因子設定!$L$6-0.000000001,F1043&lt;=01_因子設定!$M$6+0.000000001,G1043&gt;=01_因子設定!$L$7-0.000000001,G1043&lt;=01_因子設定!$M$7+0.000000001,H1043&gt;=01_因子設定!$L$8-0.000000001,H1043&lt;=01_因子設定!$M$8+0.000000001,IF(01_因子設定!$B$20="Box-Behnken",E1043^2+F1043^2+G1043^2+H1043^2&lt;=2+0.000000001,TRUE()))</f>
        <v>1</v>
      </c>
      <c r="AD1043" s="55" t="n">
        <f aca="false">IF(AC1043,IF(01_因子設定!$B$13="最大化",AA1043-01_因子設定!$B$14,IF(01_因子設定!$B$13="最小化",01_因子設定!$B$15-AB1043,MIN(AA1043-01_因子設定!$B$14,01_因子設定!$B$15-AB1043))),-1E+030)</f>
        <v>-3.00092925681351</v>
      </c>
      <c r="AE1043" s="55" t="n">
        <f aca="false">IF(AC1043,IF(01_因子設定!$B$13="最大化",X1043,IF(01_因子設定!$B$13="最小化",-X1043,-ABS(X1043-01_因子設定!$B$16))),-1E+030)</f>
        <v>44.9686266447368</v>
      </c>
      <c r="AF1043" s="55" t="n">
        <f aca="false">AD1043+ROW()*0.000000001</f>
        <v>-3.00092821381351</v>
      </c>
      <c r="AG1043" s="55" t="n">
        <f aca="false">AE1043+ROW()*0.000000001</f>
        <v>44.9686276877368</v>
      </c>
    </row>
    <row r="1044" customFormat="false" ht="15" hidden="false" customHeight="false" outlineLevel="0" collapsed="false">
      <c r="A1044" s="0" t="n">
        <v>1</v>
      </c>
      <c r="B1044" s="0" t="n">
        <v>3</v>
      </c>
      <c r="C1044" s="0" t="n">
        <v>7</v>
      </c>
      <c r="D1044" s="0" t="n">
        <v>4</v>
      </c>
      <c r="E1044" s="0" t="n">
        <f aca="false">-1+A1044*0.25</f>
        <v>-0.75</v>
      </c>
      <c r="F1044" s="0" t="n">
        <f aca="false">-1+B1044*0.25</f>
        <v>-0.25</v>
      </c>
      <c r="G1044" s="0" t="n">
        <f aca="false">-1+C1044*0.25</f>
        <v>0.75</v>
      </c>
      <c r="H1044" s="0" t="n">
        <f aca="false">-1+D1044*0.25</f>
        <v>0</v>
      </c>
      <c r="I1044" s="0" t="n">
        <f aca="false">1</f>
        <v>1</v>
      </c>
      <c r="J1044" s="0" t="n">
        <f aca="false">E1044</f>
        <v>-0.75</v>
      </c>
      <c r="K1044" s="0" t="n">
        <f aca="false">F1044</f>
        <v>-0.25</v>
      </c>
      <c r="L1044" s="0" t="n">
        <f aca="false">G1044</f>
        <v>0.75</v>
      </c>
      <c r="M1044" s="0" t="n">
        <f aca="false">H1044</f>
        <v>0</v>
      </c>
      <c r="N1044" s="0" t="n">
        <f aca="false">E1044*F1044</f>
        <v>0.1875</v>
      </c>
      <c r="O1044" s="0" t="n">
        <f aca="false">E1044*G1044</f>
        <v>-0.5625</v>
      </c>
      <c r="P1044" s="0" t="n">
        <f aca="false">E1044*H1044</f>
        <v>-0</v>
      </c>
      <c r="Q1044" s="0" t="n">
        <f aca="false">F1044*G1044</f>
        <v>-0.1875</v>
      </c>
      <c r="R1044" s="0" t="n">
        <f aca="false">F1044*H1044</f>
        <v>-0</v>
      </c>
      <c r="S1044" s="0" t="n">
        <f aca="false">G1044*H1044</f>
        <v>0</v>
      </c>
      <c r="T1044" s="0" t="n">
        <f aca="false">E1044*E1044</f>
        <v>0.5625</v>
      </c>
      <c r="U1044" s="0" t="n">
        <f aca="false">F1044*F1044</f>
        <v>0.0625</v>
      </c>
      <c r="V1044" s="0" t="n">
        <f aca="false">G1044*G1044</f>
        <v>0.5625</v>
      </c>
      <c r="W1044" s="0" t="n">
        <f aca="false">H1044*H1044</f>
        <v>0</v>
      </c>
      <c r="X1044" s="0" t="n">
        <f aca="false">SUMPRODUCT(I1044:W1044,_XtX!$B$96:$P$96)</f>
        <v>45.1376690423977</v>
      </c>
      <c r="Y1044" s="0" t="n">
        <f aca="false">SUMPRODUCT(MMULT(I1044:W1044,_XtX!$B$78:$P$92),I1044:W1044)</f>
        <v>0.281685455500731</v>
      </c>
      <c r="Z1044" s="0" t="n">
        <f aca="false">04_回帰ANOVA!$K$19*04_回帰ANOVA!$K$14*SQRT(1+Y1044)</f>
        <v>1.47566956658694</v>
      </c>
      <c r="AA1044" s="0" t="n">
        <f aca="false">X1044-Z1044</f>
        <v>43.6619994758107</v>
      </c>
      <c r="AB1044" s="0" t="n">
        <f aca="false">X1044+Z1044</f>
        <v>46.6133386089846</v>
      </c>
      <c r="AC1044" s="54" t="b">
        <f aca="false">AND(E1044&gt;=01_因子設定!$L$5-0.000000001,E1044&lt;=01_因子設定!$M$5+0.000000001,F1044&gt;=01_因子設定!$L$6-0.000000001,F1044&lt;=01_因子設定!$M$6+0.000000001,G1044&gt;=01_因子設定!$L$7-0.000000001,G1044&lt;=01_因子設定!$M$7+0.000000001,H1044&gt;=01_因子設定!$L$8-0.000000001,H1044&lt;=01_因子設定!$M$8+0.000000001,IF(01_因子設定!$B$20="Box-Behnken",E1044^2+F1044^2+G1044^2+H1044^2&lt;=2+0.000000001,TRUE()))</f>
        <v>1</v>
      </c>
      <c r="AD1044" s="55" t="n">
        <f aca="false">IF(AC1044,IF(01_因子設定!$B$13="最大化",AA1044-01_因子設定!$B$14,IF(01_因子設定!$B$13="最小化",01_因子設定!$B$15-AB1044,MIN(AA1044-01_因子設定!$B$14,01_因子設定!$B$15-AB1044))),-1E+030)</f>
        <v>-2.83800052418929</v>
      </c>
      <c r="AE1044" s="55" t="n">
        <f aca="false">IF(AC1044,IF(01_因子設定!$B$13="最大化",X1044,IF(01_因子設定!$B$13="最小化",-X1044,-ABS(X1044-01_因子設定!$B$16))),-1E+030)</f>
        <v>45.1376690423977</v>
      </c>
      <c r="AF1044" s="55" t="n">
        <f aca="false">AD1044+ROW()*0.000000001</f>
        <v>-2.83799948018929</v>
      </c>
      <c r="AG1044" s="55" t="n">
        <f aca="false">AE1044+ROW()*0.000000001</f>
        <v>45.1376700863977</v>
      </c>
    </row>
    <row r="1045" customFormat="false" ht="15" hidden="false" customHeight="false" outlineLevel="0" collapsed="false">
      <c r="A1045" s="0" t="n">
        <v>1</v>
      </c>
      <c r="B1045" s="0" t="n">
        <v>3</v>
      </c>
      <c r="C1045" s="0" t="n">
        <v>7</v>
      </c>
      <c r="D1045" s="0" t="n">
        <v>5</v>
      </c>
      <c r="E1045" s="0" t="n">
        <f aca="false">-1+A1045*0.25</f>
        <v>-0.75</v>
      </c>
      <c r="F1045" s="0" t="n">
        <f aca="false">-1+B1045*0.25</f>
        <v>-0.25</v>
      </c>
      <c r="G1045" s="0" t="n">
        <f aca="false">-1+C1045*0.25</f>
        <v>0.75</v>
      </c>
      <c r="H1045" s="0" t="n">
        <f aca="false">-1+D1045*0.25</f>
        <v>0.25</v>
      </c>
      <c r="I1045" s="0" t="n">
        <f aca="false">1</f>
        <v>1</v>
      </c>
      <c r="J1045" s="0" t="n">
        <f aca="false">E1045</f>
        <v>-0.75</v>
      </c>
      <c r="K1045" s="0" t="n">
        <f aca="false">F1045</f>
        <v>-0.25</v>
      </c>
      <c r="L1045" s="0" t="n">
        <f aca="false">G1045</f>
        <v>0.75</v>
      </c>
      <c r="M1045" s="0" t="n">
        <f aca="false">H1045</f>
        <v>0.25</v>
      </c>
      <c r="N1045" s="0" t="n">
        <f aca="false">E1045*F1045</f>
        <v>0.1875</v>
      </c>
      <c r="O1045" s="0" t="n">
        <f aca="false">E1045*G1045</f>
        <v>-0.5625</v>
      </c>
      <c r="P1045" s="0" t="n">
        <f aca="false">E1045*H1045</f>
        <v>-0.1875</v>
      </c>
      <c r="Q1045" s="0" t="n">
        <f aca="false">F1045*G1045</f>
        <v>-0.1875</v>
      </c>
      <c r="R1045" s="0" t="n">
        <f aca="false">F1045*H1045</f>
        <v>-0.0625</v>
      </c>
      <c r="S1045" s="0" t="n">
        <f aca="false">G1045*H1045</f>
        <v>0.1875</v>
      </c>
      <c r="T1045" s="0" t="n">
        <f aca="false">E1045*E1045</f>
        <v>0.5625</v>
      </c>
      <c r="U1045" s="0" t="n">
        <f aca="false">F1045*F1045</f>
        <v>0.0625</v>
      </c>
      <c r="V1045" s="0" t="n">
        <f aca="false">G1045*G1045</f>
        <v>0.5625</v>
      </c>
      <c r="W1045" s="0" t="n">
        <f aca="false">H1045*H1045</f>
        <v>0.0625</v>
      </c>
      <c r="X1045" s="0" t="n">
        <f aca="false">SUMPRODUCT(I1045:W1045,_XtX!$B$96:$P$96)</f>
        <v>45.2589044225146</v>
      </c>
      <c r="Y1045" s="0" t="n">
        <f aca="false">SUMPRODUCT(MMULT(I1045:W1045,_XtX!$B$78:$P$92),I1045:W1045)</f>
        <v>0.271087468019006</v>
      </c>
      <c r="Z1045" s="0" t="n">
        <f aca="false">04_回帰ANOVA!$K$19*04_回帰ANOVA!$K$14*SQRT(1+Y1045)</f>
        <v>1.46955590155034</v>
      </c>
      <c r="AA1045" s="0" t="n">
        <f aca="false">X1045-Z1045</f>
        <v>43.7893485209643</v>
      </c>
      <c r="AB1045" s="0" t="n">
        <f aca="false">X1045+Z1045</f>
        <v>46.728460324065</v>
      </c>
      <c r="AC1045" s="54" t="b">
        <f aca="false">AND(E1045&gt;=01_因子設定!$L$5-0.000000001,E1045&lt;=01_因子設定!$M$5+0.000000001,F1045&gt;=01_因子設定!$L$6-0.000000001,F1045&lt;=01_因子設定!$M$6+0.000000001,G1045&gt;=01_因子設定!$L$7-0.000000001,G1045&lt;=01_因子設定!$M$7+0.000000001,H1045&gt;=01_因子設定!$L$8-0.000000001,H1045&lt;=01_因子設定!$M$8+0.000000001,IF(01_因子設定!$B$20="Box-Behnken",E1045^2+F1045^2+G1045^2+H1045^2&lt;=2+0.000000001,TRUE()))</f>
        <v>1</v>
      </c>
      <c r="AD1045" s="55" t="n">
        <f aca="false">IF(AC1045,IF(01_因子設定!$B$13="最大化",AA1045-01_因子設定!$B$14,IF(01_因子設定!$B$13="最小化",01_因子設定!$B$15-AB1045,MIN(AA1045-01_因子設定!$B$14,01_因子設定!$B$15-AB1045))),-1E+030)</f>
        <v>-2.71065147903573</v>
      </c>
      <c r="AE1045" s="55" t="n">
        <f aca="false">IF(AC1045,IF(01_因子設定!$B$13="最大化",X1045,IF(01_因子設定!$B$13="最小化",-X1045,-ABS(X1045-01_因子設定!$B$16))),-1E+030)</f>
        <v>45.2589044225146</v>
      </c>
      <c r="AF1045" s="55" t="n">
        <f aca="false">AD1045+ROW()*0.000000001</f>
        <v>-2.71065043403573</v>
      </c>
      <c r="AG1045" s="55" t="n">
        <f aca="false">AE1045+ROW()*0.000000001</f>
        <v>45.2589054675146</v>
      </c>
    </row>
    <row r="1046" customFormat="false" ht="15" hidden="false" customHeight="false" outlineLevel="0" collapsed="false">
      <c r="A1046" s="0" t="n">
        <v>1</v>
      </c>
      <c r="B1046" s="0" t="n">
        <v>3</v>
      </c>
      <c r="C1046" s="0" t="n">
        <v>7</v>
      </c>
      <c r="D1046" s="0" t="n">
        <v>6</v>
      </c>
      <c r="E1046" s="0" t="n">
        <f aca="false">-1+A1046*0.25</f>
        <v>-0.75</v>
      </c>
      <c r="F1046" s="0" t="n">
        <f aca="false">-1+B1046*0.25</f>
        <v>-0.25</v>
      </c>
      <c r="G1046" s="0" t="n">
        <f aca="false">-1+C1046*0.25</f>
        <v>0.75</v>
      </c>
      <c r="H1046" s="0" t="n">
        <f aca="false">-1+D1046*0.25</f>
        <v>0.5</v>
      </c>
      <c r="I1046" s="0" t="n">
        <f aca="false">1</f>
        <v>1</v>
      </c>
      <c r="J1046" s="0" t="n">
        <f aca="false">E1046</f>
        <v>-0.75</v>
      </c>
      <c r="K1046" s="0" t="n">
        <f aca="false">F1046</f>
        <v>-0.25</v>
      </c>
      <c r="L1046" s="0" t="n">
        <f aca="false">G1046</f>
        <v>0.75</v>
      </c>
      <c r="M1046" s="0" t="n">
        <f aca="false">H1046</f>
        <v>0.5</v>
      </c>
      <c r="N1046" s="0" t="n">
        <f aca="false">E1046*F1046</f>
        <v>0.1875</v>
      </c>
      <c r="O1046" s="0" t="n">
        <f aca="false">E1046*G1046</f>
        <v>-0.5625</v>
      </c>
      <c r="P1046" s="0" t="n">
        <f aca="false">E1046*H1046</f>
        <v>-0.375</v>
      </c>
      <c r="Q1046" s="0" t="n">
        <f aca="false">F1046*G1046</f>
        <v>-0.1875</v>
      </c>
      <c r="R1046" s="0" t="n">
        <f aca="false">F1046*H1046</f>
        <v>-0.125</v>
      </c>
      <c r="S1046" s="0" t="n">
        <f aca="false">G1046*H1046</f>
        <v>0.375</v>
      </c>
      <c r="T1046" s="0" t="n">
        <f aca="false">E1046*E1046</f>
        <v>0.5625</v>
      </c>
      <c r="U1046" s="0" t="n">
        <f aca="false">F1046*F1046</f>
        <v>0.0625</v>
      </c>
      <c r="V1046" s="0" t="n">
        <f aca="false">G1046*G1046</f>
        <v>0.5625</v>
      </c>
      <c r="W1046" s="0" t="n">
        <f aca="false">H1046*H1046</f>
        <v>0.25</v>
      </c>
      <c r="X1046" s="0" t="n">
        <f aca="false">SUMPRODUCT(I1046:W1046,_XtX!$B$96:$P$96)</f>
        <v>45.3323327850877</v>
      </c>
      <c r="Y1046" s="0" t="n">
        <f aca="false">SUMPRODUCT(MMULT(I1046:W1046,_XtX!$B$78:$P$92),I1046:W1046)</f>
        <v>0.257385610836988</v>
      </c>
      <c r="Z1046" s="0" t="n">
        <f aca="false">04_回帰ANOVA!$K$19*04_回帰ANOVA!$K$14*SQRT(1+Y1046)</f>
        <v>1.46161380324158</v>
      </c>
      <c r="AA1046" s="0" t="n">
        <f aca="false">X1046-Z1046</f>
        <v>43.8707189818461</v>
      </c>
      <c r="AB1046" s="0" t="n">
        <f aca="false">X1046+Z1046</f>
        <v>46.7939465883293</v>
      </c>
      <c r="AC1046" s="54" t="b">
        <f aca="false">AND(E1046&gt;=01_因子設定!$L$5-0.000000001,E1046&lt;=01_因子設定!$M$5+0.000000001,F1046&gt;=01_因子設定!$L$6-0.000000001,F1046&lt;=01_因子設定!$M$6+0.000000001,G1046&gt;=01_因子設定!$L$7-0.000000001,G1046&lt;=01_因子設定!$M$7+0.000000001,H1046&gt;=01_因子設定!$L$8-0.000000001,H1046&lt;=01_因子設定!$M$8+0.000000001,IF(01_因子設定!$B$20="Box-Behnken",E1046^2+F1046^2+G1046^2+H1046^2&lt;=2+0.000000001,TRUE()))</f>
        <v>1</v>
      </c>
      <c r="AD1046" s="55" t="n">
        <f aca="false">IF(AC1046,IF(01_因子設定!$B$13="最大化",AA1046-01_因子設定!$B$14,IF(01_因子設定!$B$13="最小化",01_因子設定!$B$15-AB1046,MIN(AA1046-01_因子設定!$B$14,01_因子設定!$B$15-AB1046))),-1E+030)</f>
        <v>-2.62928101815387</v>
      </c>
      <c r="AE1046" s="55" t="n">
        <f aca="false">IF(AC1046,IF(01_因子設定!$B$13="最大化",X1046,IF(01_因子設定!$B$13="最小化",-X1046,-ABS(X1046-01_因子設定!$B$16))),-1E+030)</f>
        <v>45.3323327850877</v>
      </c>
      <c r="AF1046" s="55" t="n">
        <f aca="false">AD1046+ROW()*0.000000001</f>
        <v>-2.62927997215387</v>
      </c>
      <c r="AG1046" s="55" t="n">
        <f aca="false">AE1046+ROW()*0.000000001</f>
        <v>45.3323338310877</v>
      </c>
    </row>
    <row r="1047" customFormat="false" ht="15" hidden="false" customHeight="false" outlineLevel="0" collapsed="false">
      <c r="A1047" s="0" t="n">
        <v>1</v>
      </c>
      <c r="B1047" s="0" t="n">
        <v>3</v>
      </c>
      <c r="C1047" s="0" t="n">
        <v>7</v>
      </c>
      <c r="D1047" s="0" t="n">
        <v>7</v>
      </c>
      <c r="E1047" s="0" t="n">
        <f aca="false">-1+A1047*0.25</f>
        <v>-0.75</v>
      </c>
      <c r="F1047" s="0" t="n">
        <f aca="false">-1+B1047*0.25</f>
        <v>-0.25</v>
      </c>
      <c r="G1047" s="0" t="n">
        <f aca="false">-1+C1047*0.25</f>
        <v>0.75</v>
      </c>
      <c r="H1047" s="0" t="n">
        <f aca="false">-1+D1047*0.25</f>
        <v>0.75</v>
      </c>
      <c r="I1047" s="0" t="n">
        <f aca="false">1</f>
        <v>1</v>
      </c>
      <c r="J1047" s="0" t="n">
        <f aca="false">E1047</f>
        <v>-0.75</v>
      </c>
      <c r="K1047" s="0" t="n">
        <f aca="false">F1047</f>
        <v>-0.25</v>
      </c>
      <c r="L1047" s="0" t="n">
        <f aca="false">G1047</f>
        <v>0.75</v>
      </c>
      <c r="M1047" s="0" t="n">
        <f aca="false">H1047</f>
        <v>0.75</v>
      </c>
      <c r="N1047" s="0" t="n">
        <f aca="false">E1047*F1047</f>
        <v>0.1875</v>
      </c>
      <c r="O1047" s="0" t="n">
        <f aca="false">E1047*G1047</f>
        <v>-0.5625</v>
      </c>
      <c r="P1047" s="0" t="n">
        <f aca="false">E1047*H1047</f>
        <v>-0.5625</v>
      </c>
      <c r="Q1047" s="0" t="n">
        <f aca="false">F1047*G1047</f>
        <v>-0.1875</v>
      </c>
      <c r="R1047" s="0" t="n">
        <f aca="false">F1047*H1047</f>
        <v>-0.1875</v>
      </c>
      <c r="S1047" s="0" t="n">
        <f aca="false">G1047*H1047</f>
        <v>0.5625</v>
      </c>
      <c r="T1047" s="0" t="n">
        <f aca="false">E1047*E1047</f>
        <v>0.5625</v>
      </c>
      <c r="U1047" s="0" t="n">
        <f aca="false">F1047*F1047</f>
        <v>0.0625</v>
      </c>
      <c r="V1047" s="0" t="n">
        <f aca="false">G1047*G1047</f>
        <v>0.5625</v>
      </c>
      <c r="W1047" s="0" t="n">
        <f aca="false">H1047*H1047</f>
        <v>0.5625</v>
      </c>
      <c r="X1047" s="0" t="n">
        <f aca="false">SUMPRODUCT(I1047:W1047,_XtX!$B$96:$P$96)</f>
        <v>45.357954130117</v>
      </c>
      <c r="Y1047" s="0" t="n">
        <f aca="false">SUMPRODUCT(MMULT(I1047:W1047,_XtX!$B$78:$P$92),I1047:W1047)</f>
        <v>0.294856199744152</v>
      </c>
      <c r="Z1047" s="0" t="n">
        <f aca="false">04_回帰ANOVA!$K$19*04_回帰ANOVA!$K$14*SQRT(1+Y1047)</f>
        <v>1.48323226089013</v>
      </c>
      <c r="AA1047" s="0" t="n">
        <f aca="false">X1047-Z1047</f>
        <v>43.8747218692268</v>
      </c>
      <c r="AB1047" s="0" t="n">
        <f aca="false">X1047+Z1047</f>
        <v>46.8411863910071</v>
      </c>
      <c r="AC1047" s="54" t="b">
        <f aca="false">AND(E1047&gt;=01_因子設定!$L$5-0.000000001,E1047&lt;=01_因子設定!$M$5+0.000000001,F1047&gt;=01_因子設定!$L$6-0.000000001,F1047&lt;=01_因子設定!$M$6+0.000000001,G1047&gt;=01_因子設定!$L$7-0.000000001,G1047&lt;=01_因子設定!$M$7+0.000000001,H1047&gt;=01_因子設定!$L$8-0.000000001,H1047&lt;=01_因子設定!$M$8+0.000000001,IF(01_因子設定!$B$20="Box-Behnken",E1047^2+F1047^2+G1047^2+H1047^2&lt;=2+0.000000001,TRUE()))</f>
        <v>1</v>
      </c>
      <c r="AD1047" s="55" t="n">
        <f aca="false">IF(AC1047,IF(01_因子設定!$B$13="最大化",AA1047-01_因子設定!$B$14,IF(01_因子設定!$B$13="最小化",01_因子設定!$B$15-AB1047,MIN(AA1047-01_因子設定!$B$14,01_因子設定!$B$15-AB1047))),-1E+030)</f>
        <v>-2.62527813077317</v>
      </c>
      <c r="AE1047" s="55" t="n">
        <f aca="false">IF(AC1047,IF(01_因子設定!$B$13="最大化",X1047,IF(01_因子設定!$B$13="最小化",-X1047,-ABS(X1047-01_因子設定!$B$16))),-1E+030)</f>
        <v>45.357954130117</v>
      </c>
      <c r="AF1047" s="55" t="n">
        <f aca="false">AD1047+ROW()*0.000000001</f>
        <v>-2.62527708377317</v>
      </c>
      <c r="AG1047" s="55" t="n">
        <f aca="false">AE1047+ROW()*0.000000001</f>
        <v>45.357955177117</v>
      </c>
    </row>
    <row r="1048" customFormat="false" ht="15" hidden="false" customHeight="false" outlineLevel="0" collapsed="false">
      <c r="A1048" s="0" t="n">
        <v>1</v>
      </c>
      <c r="B1048" s="0" t="n">
        <v>3</v>
      </c>
      <c r="C1048" s="0" t="n">
        <v>7</v>
      </c>
      <c r="D1048" s="0" t="n">
        <v>8</v>
      </c>
      <c r="E1048" s="0" t="n">
        <f aca="false">-1+A1048*0.25</f>
        <v>-0.75</v>
      </c>
      <c r="F1048" s="0" t="n">
        <f aca="false">-1+B1048*0.25</f>
        <v>-0.25</v>
      </c>
      <c r="G1048" s="0" t="n">
        <f aca="false">-1+C1048*0.25</f>
        <v>0.75</v>
      </c>
      <c r="H1048" s="0" t="n">
        <f aca="false">-1+D1048*0.25</f>
        <v>1</v>
      </c>
      <c r="I1048" s="0" t="n">
        <f aca="false">1</f>
        <v>1</v>
      </c>
      <c r="J1048" s="0" t="n">
        <f aca="false">E1048</f>
        <v>-0.75</v>
      </c>
      <c r="K1048" s="0" t="n">
        <f aca="false">F1048</f>
        <v>-0.25</v>
      </c>
      <c r="L1048" s="0" t="n">
        <f aca="false">G1048</f>
        <v>0.75</v>
      </c>
      <c r="M1048" s="0" t="n">
        <f aca="false">H1048</f>
        <v>1</v>
      </c>
      <c r="N1048" s="0" t="n">
        <f aca="false">E1048*F1048</f>
        <v>0.1875</v>
      </c>
      <c r="O1048" s="0" t="n">
        <f aca="false">E1048*G1048</f>
        <v>-0.5625</v>
      </c>
      <c r="P1048" s="0" t="n">
        <f aca="false">E1048*H1048</f>
        <v>-0.75</v>
      </c>
      <c r="Q1048" s="0" t="n">
        <f aca="false">F1048*G1048</f>
        <v>-0.1875</v>
      </c>
      <c r="R1048" s="0" t="n">
        <f aca="false">F1048*H1048</f>
        <v>-0.25</v>
      </c>
      <c r="S1048" s="0" t="n">
        <f aca="false">G1048*H1048</f>
        <v>0.75</v>
      </c>
      <c r="T1048" s="0" t="n">
        <f aca="false">E1048*E1048</f>
        <v>0.5625</v>
      </c>
      <c r="U1048" s="0" t="n">
        <f aca="false">F1048*F1048</f>
        <v>0.0625</v>
      </c>
      <c r="V1048" s="0" t="n">
        <f aca="false">G1048*G1048</f>
        <v>0.5625</v>
      </c>
      <c r="W1048" s="0" t="n">
        <f aca="false">H1048*H1048</f>
        <v>1</v>
      </c>
      <c r="X1048" s="0" t="n">
        <f aca="false">SUMPRODUCT(I1048:W1048,_XtX!$B$96:$P$96)</f>
        <v>45.3357684576024</v>
      </c>
      <c r="Y1048" s="0" t="n">
        <f aca="false">SUMPRODUCT(MMULT(I1048:W1048,_XtX!$B$78:$P$92),I1048:W1048)</f>
        <v>0.473959761056287</v>
      </c>
      <c r="Z1048" s="0" t="n">
        <f aca="false">04_回帰ANOVA!$K$19*04_回帰ANOVA!$K$14*SQRT(1+Y1048)</f>
        <v>1.58249084588329</v>
      </c>
      <c r="AA1048" s="0" t="n">
        <f aca="false">X1048-Z1048</f>
        <v>43.7532776117191</v>
      </c>
      <c r="AB1048" s="0" t="n">
        <f aca="false">X1048+Z1048</f>
        <v>46.9182593034857</v>
      </c>
      <c r="AC1048" s="54" t="b">
        <f aca="false">AND(E1048&gt;=01_因子設定!$L$5-0.000000001,E1048&lt;=01_因子設定!$M$5+0.000000001,F1048&gt;=01_因子設定!$L$6-0.000000001,F1048&lt;=01_因子設定!$M$6+0.000000001,G1048&gt;=01_因子設定!$L$7-0.000000001,G1048&lt;=01_因子設定!$M$7+0.000000001,H1048&gt;=01_因子設定!$L$8-0.000000001,H1048&lt;=01_因子設定!$M$8+0.000000001,IF(01_因子設定!$B$20="Box-Behnken",E1048^2+F1048^2+G1048^2+H1048^2&lt;=2+0.000000001,TRUE()))</f>
        <v>1</v>
      </c>
      <c r="AD1048" s="55" t="n">
        <f aca="false">IF(AC1048,IF(01_因子設定!$B$13="最大化",AA1048-01_因子設定!$B$14,IF(01_因子設定!$B$13="最小化",01_因子設定!$B$15-AB1048,MIN(AA1048-01_因子設定!$B$14,01_因子設定!$B$15-AB1048))),-1E+030)</f>
        <v>-2.74672238828092</v>
      </c>
      <c r="AE1048" s="55" t="n">
        <f aca="false">IF(AC1048,IF(01_因子設定!$B$13="最大化",X1048,IF(01_因子設定!$B$13="最小化",-X1048,-ABS(X1048-01_因子設定!$B$16))),-1E+030)</f>
        <v>45.3357684576024</v>
      </c>
      <c r="AF1048" s="55" t="n">
        <f aca="false">AD1048+ROW()*0.000000001</f>
        <v>-2.74672134028092</v>
      </c>
      <c r="AG1048" s="55" t="n">
        <f aca="false">AE1048+ROW()*0.000000001</f>
        <v>45.3357695056024</v>
      </c>
    </row>
    <row r="1049" customFormat="false" ht="15" hidden="false" customHeight="false" outlineLevel="0" collapsed="false">
      <c r="A1049" s="0" t="n">
        <v>1</v>
      </c>
      <c r="B1049" s="0" t="n">
        <v>3</v>
      </c>
      <c r="C1049" s="0" t="n">
        <v>8</v>
      </c>
      <c r="D1049" s="0" t="n">
        <v>0</v>
      </c>
      <c r="E1049" s="0" t="n">
        <f aca="false">-1+A1049*0.25</f>
        <v>-0.75</v>
      </c>
      <c r="F1049" s="0" t="n">
        <f aca="false">-1+B1049*0.25</f>
        <v>-0.25</v>
      </c>
      <c r="G1049" s="0" t="n">
        <f aca="false">-1+C1049*0.25</f>
        <v>1</v>
      </c>
      <c r="H1049" s="0" t="n">
        <f aca="false">-1+D1049*0.25</f>
        <v>-1</v>
      </c>
      <c r="I1049" s="0" t="n">
        <f aca="false">1</f>
        <v>1</v>
      </c>
      <c r="J1049" s="0" t="n">
        <f aca="false">E1049</f>
        <v>-0.75</v>
      </c>
      <c r="K1049" s="0" t="n">
        <f aca="false">F1049</f>
        <v>-0.25</v>
      </c>
      <c r="L1049" s="0" t="n">
        <f aca="false">G1049</f>
        <v>1</v>
      </c>
      <c r="M1049" s="0" t="n">
        <f aca="false">H1049</f>
        <v>-1</v>
      </c>
      <c r="N1049" s="0" t="n">
        <f aca="false">E1049*F1049</f>
        <v>0.1875</v>
      </c>
      <c r="O1049" s="0" t="n">
        <f aca="false">E1049*G1049</f>
        <v>-0.75</v>
      </c>
      <c r="P1049" s="0" t="n">
        <f aca="false">E1049*H1049</f>
        <v>0.75</v>
      </c>
      <c r="Q1049" s="0" t="n">
        <f aca="false">F1049*G1049</f>
        <v>-0.25</v>
      </c>
      <c r="R1049" s="0" t="n">
        <f aca="false">F1049*H1049</f>
        <v>0.25</v>
      </c>
      <c r="S1049" s="0" t="n">
        <f aca="false">G1049*H1049</f>
        <v>-1</v>
      </c>
      <c r="T1049" s="0" t="n">
        <f aca="false">E1049*E1049</f>
        <v>0.5625</v>
      </c>
      <c r="U1049" s="0" t="n">
        <f aca="false">F1049*F1049</f>
        <v>0.0625</v>
      </c>
      <c r="V1049" s="0" t="n">
        <f aca="false">G1049*G1049</f>
        <v>1</v>
      </c>
      <c r="W1049" s="0" t="n">
        <f aca="false">H1049*H1049</f>
        <v>1</v>
      </c>
      <c r="X1049" s="0" t="n">
        <f aca="false">SUMPRODUCT(I1049:W1049,_XtX!$B$96:$P$96)</f>
        <v>44.1523848684211</v>
      </c>
      <c r="Y1049" s="0" t="n">
        <f aca="false">SUMPRODUCT(MMULT(I1049:W1049,_XtX!$B$78:$P$92),I1049:W1049)</f>
        <v>0.621372155975877</v>
      </c>
      <c r="Z1049" s="0" t="n">
        <f aca="false">04_回帰ANOVA!$K$19*04_回帰ANOVA!$K$14*SQRT(1+Y1049)</f>
        <v>1.65973880499872</v>
      </c>
      <c r="AA1049" s="0" t="n">
        <f aca="false">X1049-Z1049</f>
        <v>42.4926460634224</v>
      </c>
      <c r="AB1049" s="0" t="n">
        <f aca="false">X1049+Z1049</f>
        <v>45.8121236734198</v>
      </c>
      <c r="AC1049" s="54" t="b">
        <f aca="false">AND(E1049&gt;=01_因子設定!$L$5-0.000000001,E1049&lt;=01_因子設定!$M$5+0.000000001,F1049&gt;=01_因子設定!$L$6-0.000000001,F1049&lt;=01_因子設定!$M$6+0.000000001,G1049&gt;=01_因子設定!$L$7-0.000000001,G1049&lt;=01_因子設定!$M$7+0.000000001,H1049&gt;=01_因子設定!$L$8-0.000000001,H1049&lt;=01_因子設定!$M$8+0.000000001,IF(01_因子設定!$B$20="Box-Behnken",E1049^2+F1049^2+G1049^2+H1049^2&lt;=2+0.000000001,TRUE()))</f>
        <v>1</v>
      </c>
      <c r="AD1049" s="55" t="n">
        <f aca="false">IF(AC1049,IF(01_因子設定!$B$13="最大化",AA1049-01_因子設定!$B$14,IF(01_因子設定!$B$13="最小化",01_因子設定!$B$15-AB1049,MIN(AA1049-01_因子設定!$B$14,01_因子設定!$B$15-AB1049))),-1E+030)</f>
        <v>-4.00735393657764</v>
      </c>
      <c r="AE1049" s="55" t="n">
        <f aca="false">IF(AC1049,IF(01_因子設定!$B$13="最大化",X1049,IF(01_因子設定!$B$13="最小化",-X1049,-ABS(X1049-01_因子設定!$B$16))),-1E+030)</f>
        <v>44.1523848684211</v>
      </c>
      <c r="AF1049" s="55" t="n">
        <f aca="false">AD1049+ROW()*0.000000001</f>
        <v>-4.00735288757764</v>
      </c>
      <c r="AG1049" s="55" t="n">
        <f aca="false">AE1049+ROW()*0.000000001</f>
        <v>44.1523859174211</v>
      </c>
    </row>
    <row r="1050" customFormat="false" ht="15" hidden="false" customHeight="false" outlineLevel="0" collapsed="false">
      <c r="A1050" s="0" t="n">
        <v>1</v>
      </c>
      <c r="B1050" s="0" t="n">
        <v>3</v>
      </c>
      <c r="C1050" s="0" t="n">
        <v>8</v>
      </c>
      <c r="D1050" s="0" t="n">
        <v>1</v>
      </c>
      <c r="E1050" s="0" t="n">
        <f aca="false">-1+A1050*0.25</f>
        <v>-0.75</v>
      </c>
      <c r="F1050" s="0" t="n">
        <f aca="false">-1+B1050*0.25</f>
        <v>-0.25</v>
      </c>
      <c r="G1050" s="0" t="n">
        <f aca="false">-1+C1050*0.25</f>
        <v>1</v>
      </c>
      <c r="H1050" s="0" t="n">
        <f aca="false">-1+D1050*0.25</f>
        <v>-0.75</v>
      </c>
      <c r="I1050" s="0" t="n">
        <f aca="false">1</f>
        <v>1</v>
      </c>
      <c r="J1050" s="0" t="n">
        <f aca="false">E1050</f>
        <v>-0.75</v>
      </c>
      <c r="K1050" s="0" t="n">
        <f aca="false">F1050</f>
        <v>-0.25</v>
      </c>
      <c r="L1050" s="0" t="n">
        <f aca="false">G1050</f>
        <v>1</v>
      </c>
      <c r="M1050" s="0" t="n">
        <f aca="false">H1050</f>
        <v>-0.75</v>
      </c>
      <c r="N1050" s="0" t="n">
        <f aca="false">E1050*F1050</f>
        <v>0.1875</v>
      </c>
      <c r="O1050" s="0" t="n">
        <f aca="false">E1050*G1050</f>
        <v>-0.75</v>
      </c>
      <c r="P1050" s="0" t="n">
        <f aca="false">E1050*H1050</f>
        <v>0.5625</v>
      </c>
      <c r="Q1050" s="0" t="n">
        <f aca="false">F1050*G1050</f>
        <v>-0.25</v>
      </c>
      <c r="R1050" s="0" t="n">
        <f aca="false">F1050*H1050</f>
        <v>0.1875</v>
      </c>
      <c r="S1050" s="0" t="n">
        <f aca="false">G1050*H1050</f>
        <v>-0.75</v>
      </c>
      <c r="T1050" s="0" t="n">
        <f aca="false">E1050*E1050</f>
        <v>0.5625</v>
      </c>
      <c r="U1050" s="0" t="n">
        <f aca="false">F1050*F1050</f>
        <v>0.0625</v>
      </c>
      <c r="V1050" s="0" t="n">
        <f aca="false">G1050*G1050</f>
        <v>1</v>
      </c>
      <c r="W1050" s="0" t="n">
        <f aca="false">H1050*H1050</f>
        <v>0.5625</v>
      </c>
      <c r="X1050" s="0" t="n">
        <f aca="false">SUMPRODUCT(I1050:W1050,_XtX!$B$96:$P$96)</f>
        <v>44.4828170687135</v>
      </c>
      <c r="Y1050" s="0" t="n">
        <f aca="false">SUMPRODUCT(MMULT(I1050:W1050,_XtX!$B$78:$P$92),I1050:W1050)</f>
        <v>0.473959761056287</v>
      </c>
      <c r="Z1050" s="0" t="n">
        <f aca="false">04_回帰ANOVA!$K$19*04_回帰ANOVA!$K$14*SQRT(1+Y1050)</f>
        <v>1.58249084588329</v>
      </c>
      <c r="AA1050" s="0" t="n">
        <f aca="false">X1050-Z1050</f>
        <v>42.9003262228302</v>
      </c>
      <c r="AB1050" s="0" t="n">
        <f aca="false">X1050+Z1050</f>
        <v>46.0653079145968</v>
      </c>
      <c r="AC1050" s="54" t="b">
        <f aca="false">AND(E1050&gt;=01_因子設定!$L$5-0.000000001,E1050&lt;=01_因子設定!$M$5+0.000000001,F1050&gt;=01_因子設定!$L$6-0.000000001,F1050&lt;=01_因子設定!$M$6+0.000000001,G1050&gt;=01_因子設定!$L$7-0.000000001,G1050&lt;=01_因子設定!$M$7+0.000000001,H1050&gt;=01_因子設定!$L$8-0.000000001,H1050&lt;=01_因子設定!$M$8+0.000000001,IF(01_因子設定!$B$20="Box-Behnken",E1050^2+F1050^2+G1050^2+H1050^2&lt;=2+0.000000001,TRUE()))</f>
        <v>1</v>
      </c>
      <c r="AD1050" s="55" t="n">
        <f aca="false">IF(AC1050,IF(01_因子設定!$B$13="最大化",AA1050-01_因子設定!$B$14,IF(01_因子設定!$B$13="最小化",01_因子設定!$B$15-AB1050,MIN(AA1050-01_因子設定!$B$14,01_因子設定!$B$15-AB1050))),-1E+030)</f>
        <v>-3.59967377716982</v>
      </c>
      <c r="AE1050" s="55" t="n">
        <f aca="false">IF(AC1050,IF(01_因子設定!$B$13="最大化",X1050,IF(01_因子設定!$B$13="最小化",-X1050,-ABS(X1050-01_因子設定!$B$16))),-1E+030)</f>
        <v>44.4828170687135</v>
      </c>
      <c r="AF1050" s="55" t="n">
        <f aca="false">AD1050+ROW()*0.000000001</f>
        <v>-3.59967272716982</v>
      </c>
      <c r="AG1050" s="55" t="n">
        <f aca="false">AE1050+ROW()*0.000000001</f>
        <v>44.4828181187135</v>
      </c>
    </row>
    <row r="1051" customFormat="false" ht="15" hidden="false" customHeight="false" outlineLevel="0" collapsed="false">
      <c r="A1051" s="0" t="n">
        <v>1</v>
      </c>
      <c r="B1051" s="0" t="n">
        <v>3</v>
      </c>
      <c r="C1051" s="0" t="n">
        <v>8</v>
      </c>
      <c r="D1051" s="0" t="n">
        <v>2</v>
      </c>
      <c r="E1051" s="0" t="n">
        <f aca="false">-1+A1051*0.25</f>
        <v>-0.75</v>
      </c>
      <c r="F1051" s="0" t="n">
        <f aca="false">-1+B1051*0.25</f>
        <v>-0.25</v>
      </c>
      <c r="G1051" s="0" t="n">
        <f aca="false">-1+C1051*0.25</f>
        <v>1</v>
      </c>
      <c r="H1051" s="0" t="n">
        <f aca="false">-1+D1051*0.25</f>
        <v>-0.5</v>
      </c>
      <c r="I1051" s="0" t="n">
        <f aca="false">1</f>
        <v>1</v>
      </c>
      <c r="J1051" s="0" t="n">
        <f aca="false">E1051</f>
        <v>-0.75</v>
      </c>
      <c r="K1051" s="0" t="n">
        <f aca="false">F1051</f>
        <v>-0.25</v>
      </c>
      <c r="L1051" s="0" t="n">
        <f aca="false">G1051</f>
        <v>1</v>
      </c>
      <c r="M1051" s="0" t="n">
        <f aca="false">H1051</f>
        <v>-0.5</v>
      </c>
      <c r="N1051" s="0" t="n">
        <f aca="false">E1051*F1051</f>
        <v>0.1875</v>
      </c>
      <c r="O1051" s="0" t="n">
        <f aca="false">E1051*G1051</f>
        <v>-0.75</v>
      </c>
      <c r="P1051" s="0" t="n">
        <f aca="false">E1051*H1051</f>
        <v>0.375</v>
      </c>
      <c r="Q1051" s="0" t="n">
        <f aca="false">F1051*G1051</f>
        <v>-0.25</v>
      </c>
      <c r="R1051" s="0" t="n">
        <f aca="false">F1051*H1051</f>
        <v>0.125</v>
      </c>
      <c r="S1051" s="0" t="n">
        <f aca="false">G1051*H1051</f>
        <v>-0.5</v>
      </c>
      <c r="T1051" s="0" t="n">
        <f aca="false">E1051*E1051</f>
        <v>0.5625</v>
      </c>
      <c r="U1051" s="0" t="n">
        <f aca="false">F1051*F1051</f>
        <v>0.0625</v>
      </c>
      <c r="V1051" s="0" t="n">
        <f aca="false">G1051*G1051</f>
        <v>1</v>
      </c>
      <c r="W1051" s="0" t="n">
        <f aca="false">H1051*H1051</f>
        <v>0.25</v>
      </c>
      <c r="X1051" s="0" t="n">
        <f aca="false">SUMPRODUCT(I1051:W1051,_XtX!$B$96:$P$96)</f>
        <v>44.765442251462</v>
      </c>
      <c r="Y1051" s="0" t="n">
        <f aca="false">SUMPRODUCT(MMULT(I1051:W1051,_XtX!$B$78:$P$92),I1051:W1051)</f>
        <v>0.459125719572369</v>
      </c>
      <c r="Z1051" s="0" t="n">
        <f aca="false">04_回帰ANOVA!$K$19*04_回帰ANOVA!$K$14*SQRT(1+Y1051)</f>
        <v>1.57450755575573</v>
      </c>
      <c r="AA1051" s="0" t="n">
        <f aca="false">X1051-Z1051</f>
        <v>43.1909346957063</v>
      </c>
      <c r="AB1051" s="0" t="n">
        <f aca="false">X1051+Z1051</f>
        <v>46.3399498072177</v>
      </c>
      <c r="AC1051" s="54" t="b">
        <f aca="false">AND(E1051&gt;=01_因子設定!$L$5-0.000000001,E1051&lt;=01_因子設定!$M$5+0.000000001,F1051&gt;=01_因子設定!$L$6-0.000000001,F1051&lt;=01_因子設定!$M$6+0.000000001,G1051&gt;=01_因子設定!$L$7-0.000000001,G1051&lt;=01_因子設定!$M$7+0.000000001,H1051&gt;=01_因子設定!$L$8-0.000000001,H1051&lt;=01_因子設定!$M$8+0.000000001,IF(01_因子設定!$B$20="Box-Behnken",E1051^2+F1051^2+G1051^2+H1051^2&lt;=2+0.000000001,TRUE()))</f>
        <v>1</v>
      </c>
      <c r="AD1051" s="55" t="n">
        <f aca="false">IF(AC1051,IF(01_因子設定!$B$13="最大化",AA1051-01_因子設定!$B$14,IF(01_因子設定!$B$13="最小化",01_因子設定!$B$15-AB1051,MIN(AA1051-01_因子設定!$B$14,01_因子設定!$B$15-AB1051))),-1E+030)</f>
        <v>-3.30906530429374</v>
      </c>
      <c r="AE1051" s="55" t="n">
        <f aca="false">IF(AC1051,IF(01_因子設定!$B$13="最大化",X1051,IF(01_因子設定!$B$13="最小化",-X1051,-ABS(X1051-01_因子設定!$B$16))),-1E+030)</f>
        <v>44.765442251462</v>
      </c>
      <c r="AF1051" s="55" t="n">
        <f aca="false">AD1051+ROW()*0.000000001</f>
        <v>-3.30906425329374</v>
      </c>
      <c r="AG1051" s="55" t="n">
        <f aca="false">AE1051+ROW()*0.000000001</f>
        <v>44.765443302462</v>
      </c>
    </row>
    <row r="1052" customFormat="false" ht="15" hidden="false" customHeight="false" outlineLevel="0" collapsed="false">
      <c r="A1052" s="0" t="n">
        <v>1</v>
      </c>
      <c r="B1052" s="0" t="n">
        <v>3</v>
      </c>
      <c r="C1052" s="0" t="n">
        <v>8</v>
      </c>
      <c r="D1052" s="0" t="n">
        <v>3</v>
      </c>
      <c r="E1052" s="0" t="n">
        <f aca="false">-1+A1052*0.25</f>
        <v>-0.75</v>
      </c>
      <c r="F1052" s="0" t="n">
        <f aca="false">-1+B1052*0.25</f>
        <v>-0.25</v>
      </c>
      <c r="G1052" s="0" t="n">
        <f aca="false">-1+C1052*0.25</f>
        <v>1</v>
      </c>
      <c r="H1052" s="0" t="n">
        <f aca="false">-1+D1052*0.25</f>
        <v>-0.25</v>
      </c>
      <c r="I1052" s="0" t="n">
        <f aca="false">1</f>
        <v>1</v>
      </c>
      <c r="J1052" s="0" t="n">
        <f aca="false">E1052</f>
        <v>-0.75</v>
      </c>
      <c r="K1052" s="0" t="n">
        <f aca="false">F1052</f>
        <v>-0.25</v>
      </c>
      <c r="L1052" s="0" t="n">
        <f aca="false">G1052</f>
        <v>1</v>
      </c>
      <c r="M1052" s="0" t="n">
        <f aca="false">H1052</f>
        <v>-0.25</v>
      </c>
      <c r="N1052" s="0" t="n">
        <f aca="false">E1052*F1052</f>
        <v>0.1875</v>
      </c>
      <c r="O1052" s="0" t="n">
        <f aca="false">E1052*G1052</f>
        <v>-0.75</v>
      </c>
      <c r="P1052" s="0" t="n">
        <f aca="false">E1052*H1052</f>
        <v>0.1875</v>
      </c>
      <c r="Q1052" s="0" t="n">
        <f aca="false">F1052*G1052</f>
        <v>-0.25</v>
      </c>
      <c r="R1052" s="0" t="n">
        <f aca="false">F1052*H1052</f>
        <v>0.0625</v>
      </c>
      <c r="S1052" s="0" t="n">
        <f aca="false">G1052*H1052</f>
        <v>-0.25</v>
      </c>
      <c r="T1052" s="0" t="n">
        <f aca="false">E1052*E1052</f>
        <v>0.5625</v>
      </c>
      <c r="U1052" s="0" t="n">
        <f aca="false">F1052*F1052</f>
        <v>0.0625</v>
      </c>
      <c r="V1052" s="0" t="n">
        <f aca="false">G1052*G1052</f>
        <v>1</v>
      </c>
      <c r="W1052" s="0" t="n">
        <f aca="false">H1052*H1052</f>
        <v>0.0625</v>
      </c>
      <c r="X1052" s="0" t="n">
        <f aca="false">SUMPRODUCT(I1052:W1052,_XtX!$B$96:$P$96)</f>
        <v>45.0002604166667</v>
      </c>
      <c r="Y1052" s="0" t="n">
        <f aca="false">SUMPRODUCT(MMULT(I1052:W1052,_XtX!$B$78:$P$92),I1052:W1052)</f>
        <v>0.486409505208334</v>
      </c>
      <c r="Z1052" s="0" t="n">
        <f aca="false">04_回帰ANOVA!$K$19*04_回帰ANOVA!$K$14*SQRT(1+Y1052)</f>
        <v>1.58916001665498</v>
      </c>
      <c r="AA1052" s="0" t="n">
        <f aca="false">X1052-Z1052</f>
        <v>43.4111004000117</v>
      </c>
      <c r="AB1052" s="0" t="n">
        <f aca="false">X1052+Z1052</f>
        <v>46.5894204333216</v>
      </c>
      <c r="AC1052" s="54" t="b">
        <f aca="false">AND(E1052&gt;=01_因子設定!$L$5-0.000000001,E1052&lt;=01_因子設定!$M$5+0.000000001,F1052&gt;=01_因子設定!$L$6-0.000000001,F1052&lt;=01_因子設定!$M$6+0.000000001,G1052&gt;=01_因子設定!$L$7-0.000000001,G1052&lt;=01_因子設定!$M$7+0.000000001,H1052&gt;=01_因子設定!$L$8-0.000000001,H1052&lt;=01_因子設定!$M$8+0.000000001,IF(01_因子設定!$B$20="Box-Behnken",E1052^2+F1052^2+G1052^2+H1052^2&lt;=2+0.000000001,TRUE()))</f>
        <v>1</v>
      </c>
      <c r="AD1052" s="55" t="n">
        <f aca="false">IF(AC1052,IF(01_因子設定!$B$13="最大化",AA1052-01_因子設定!$B$14,IF(01_因子設定!$B$13="最小化",01_因子設定!$B$15-AB1052,MIN(AA1052-01_因子設定!$B$14,01_因子設定!$B$15-AB1052))),-1E+030)</f>
        <v>-3.08889959998832</v>
      </c>
      <c r="AE1052" s="55" t="n">
        <f aca="false">IF(AC1052,IF(01_因子設定!$B$13="最大化",X1052,IF(01_因子設定!$B$13="最小化",-X1052,-ABS(X1052-01_因子設定!$B$16))),-1E+030)</f>
        <v>45.0002604166667</v>
      </c>
      <c r="AF1052" s="55" t="n">
        <f aca="false">AD1052+ROW()*0.000000001</f>
        <v>-3.08889854798832</v>
      </c>
      <c r="AG1052" s="55" t="n">
        <f aca="false">AE1052+ROW()*0.000000001</f>
        <v>45.0002614686667</v>
      </c>
    </row>
    <row r="1053" customFormat="false" ht="15" hidden="false" customHeight="false" outlineLevel="0" collapsed="false">
      <c r="A1053" s="0" t="n">
        <v>1</v>
      </c>
      <c r="B1053" s="0" t="n">
        <v>3</v>
      </c>
      <c r="C1053" s="0" t="n">
        <v>8</v>
      </c>
      <c r="D1053" s="0" t="n">
        <v>4</v>
      </c>
      <c r="E1053" s="0" t="n">
        <f aca="false">-1+A1053*0.25</f>
        <v>-0.75</v>
      </c>
      <c r="F1053" s="0" t="n">
        <f aca="false">-1+B1053*0.25</f>
        <v>-0.25</v>
      </c>
      <c r="G1053" s="0" t="n">
        <f aca="false">-1+C1053*0.25</f>
        <v>1</v>
      </c>
      <c r="H1053" s="0" t="n">
        <f aca="false">-1+D1053*0.25</f>
        <v>0</v>
      </c>
      <c r="I1053" s="0" t="n">
        <f aca="false">1</f>
        <v>1</v>
      </c>
      <c r="J1053" s="0" t="n">
        <f aca="false">E1053</f>
        <v>-0.75</v>
      </c>
      <c r="K1053" s="0" t="n">
        <f aca="false">F1053</f>
        <v>-0.25</v>
      </c>
      <c r="L1053" s="0" t="n">
        <f aca="false">G1053</f>
        <v>1</v>
      </c>
      <c r="M1053" s="0" t="n">
        <f aca="false">H1053</f>
        <v>0</v>
      </c>
      <c r="N1053" s="0" t="n">
        <f aca="false">E1053*F1053</f>
        <v>0.1875</v>
      </c>
      <c r="O1053" s="0" t="n">
        <f aca="false">E1053*G1053</f>
        <v>-0.75</v>
      </c>
      <c r="P1053" s="0" t="n">
        <f aca="false">E1053*H1053</f>
        <v>-0</v>
      </c>
      <c r="Q1053" s="0" t="n">
        <f aca="false">F1053*G1053</f>
        <v>-0.25</v>
      </c>
      <c r="R1053" s="0" t="n">
        <f aca="false">F1053*H1053</f>
        <v>-0</v>
      </c>
      <c r="S1053" s="0" t="n">
        <f aca="false">G1053*H1053</f>
        <v>0</v>
      </c>
      <c r="T1053" s="0" t="n">
        <f aca="false">E1053*E1053</f>
        <v>0.5625</v>
      </c>
      <c r="U1053" s="0" t="n">
        <f aca="false">F1053*F1053</f>
        <v>0.0625</v>
      </c>
      <c r="V1053" s="0" t="n">
        <f aca="false">G1053*G1053</f>
        <v>1</v>
      </c>
      <c r="W1053" s="0" t="n">
        <f aca="false">H1053*H1053</f>
        <v>0</v>
      </c>
      <c r="X1053" s="0" t="n">
        <f aca="false">SUMPRODUCT(I1053:W1053,_XtX!$B$96:$P$96)</f>
        <v>45.1872715643275</v>
      </c>
      <c r="Y1053" s="0" t="n">
        <f aca="false">SUMPRODUCT(MMULT(I1053:W1053,_XtX!$B$78:$P$92),I1053:W1053)</f>
        <v>0.501534802174708</v>
      </c>
      <c r="Z1053" s="0" t="n">
        <f aca="false">04_回帰ANOVA!$K$19*04_回帰ANOVA!$K$14*SQRT(1+Y1053)</f>
        <v>1.59722498091333</v>
      </c>
      <c r="AA1053" s="0" t="n">
        <f aca="false">X1053-Z1053</f>
        <v>43.5900465834141</v>
      </c>
      <c r="AB1053" s="0" t="n">
        <f aca="false">X1053+Z1053</f>
        <v>46.7844965452408</v>
      </c>
      <c r="AC1053" s="54" t="b">
        <f aca="false">AND(E1053&gt;=01_因子設定!$L$5-0.000000001,E1053&lt;=01_因子設定!$M$5+0.000000001,F1053&gt;=01_因子設定!$L$6-0.000000001,F1053&lt;=01_因子設定!$M$6+0.000000001,G1053&gt;=01_因子設定!$L$7-0.000000001,G1053&lt;=01_因子設定!$M$7+0.000000001,H1053&gt;=01_因子設定!$L$8-0.000000001,H1053&lt;=01_因子設定!$M$8+0.000000001,IF(01_因子設定!$B$20="Box-Behnken",E1053^2+F1053^2+G1053^2+H1053^2&lt;=2+0.000000001,TRUE()))</f>
        <v>1</v>
      </c>
      <c r="AD1053" s="55" t="n">
        <f aca="false">IF(AC1053,IF(01_因子設定!$B$13="最大化",AA1053-01_因子設定!$B$14,IF(01_因子設定!$B$13="最小化",01_因子設定!$B$15-AB1053,MIN(AA1053-01_因子設定!$B$14,01_因子設定!$B$15-AB1053))),-1E+030)</f>
        <v>-2.90995341658586</v>
      </c>
      <c r="AE1053" s="55" t="n">
        <f aca="false">IF(AC1053,IF(01_因子設定!$B$13="最大化",X1053,IF(01_因子設定!$B$13="最小化",-X1053,-ABS(X1053-01_因子設定!$B$16))),-1E+030)</f>
        <v>45.1872715643275</v>
      </c>
      <c r="AF1053" s="55" t="n">
        <f aca="false">AD1053+ROW()*0.000000001</f>
        <v>-2.90995236358586</v>
      </c>
      <c r="AG1053" s="55" t="n">
        <f aca="false">AE1053+ROW()*0.000000001</f>
        <v>45.1872726173275</v>
      </c>
    </row>
    <row r="1054" customFormat="false" ht="15" hidden="false" customHeight="false" outlineLevel="0" collapsed="false">
      <c r="A1054" s="0" t="n">
        <v>1</v>
      </c>
      <c r="B1054" s="0" t="n">
        <v>3</v>
      </c>
      <c r="C1054" s="0" t="n">
        <v>8</v>
      </c>
      <c r="D1054" s="0" t="n">
        <v>5</v>
      </c>
      <c r="E1054" s="0" t="n">
        <f aca="false">-1+A1054*0.25</f>
        <v>-0.75</v>
      </c>
      <c r="F1054" s="0" t="n">
        <f aca="false">-1+B1054*0.25</f>
        <v>-0.25</v>
      </c>
      <c r="G1054" s="0" t="n">
        <f aca="false">-1+C1054*0.25</f>
        <v>1</v>
      </c>
      <c r="H1054" s="0" t="n">
        <f aca="false">-1+D1054*0.25</f>
        <v>0.25</v>
      </c>
      <c r="I1054" s="0" t="n">
        <f aca="false">1</f>
        <v>1</v>
      </c>
      <c r="J1054" s="0" t="n">
        <f aca="false">E1054</f>
        <v>-0.75</v>
      </c>
      <c r="K1054" s="0" t="n">
        <f aca="false">F1054</f>
        <v>-0.25</v>
      </c>
      <c r="L1054" s="0" t="n">
        <f aca="false">G1054</f>
        <v>1</v>
      </c>
      <c r="M1054" s="0" t="n">
        <f aca="false">H1054</f>
        <v>0.25</v>
      </c>
      <c r="N1054" s="0" t="n">
        <f aca="false">E1054*F1054</f>
        <v>0.1875</v>
      </c>
      <c r="O1054" s="0" t="n">
        <f aca="false">E1054*G1054</f>
        <v>-0.75</v>
      </c>
      <c r="P1054" s="0" t="n">
        <f aca="false">E1054*H1054</f>
        <v>-0.1875</v>
      </c>
      <c r="Q1054" s="0" t="n">
        <f aca="false">F1054*G1054</f>
        <v>-0.25</v>
      </c>
      <c r="R1054" s="0" t="n">
        <f aca="false">F1054*H1054</f>
        <v>-0.0625</v>
      </c>
      <c r="S1054" s="0" t="n">
        <f aca="false">G1054*H1054</f>
        <v>0.25</v>
      </c>
      <c r="T1054" s="0" t="n">
        <f aca="false">E1054*E1054</f>
        <v>0.5625</v>
      </c>
      <c r="U1054" s="0" t="n">
        <f aca="false">F1054*F1054</f>
        <v>0.0625</v>
      </c>
      <c r="V1054" s="0" t="n">
        <f aca="false">G1054*G1054</f>
        <v>1</v>
      </c>
      <c r="W1054" s="0" t="n">
        <f aca="false">H1054*H1054</f>
        <v>0.0625</v>
      </c>
      <c r="X1054" s="0" t="n">
        <f aca="false">SUMPRODUCT(I1054:W1054,_XtX!$B$96:$P$96)</f>
        <v>45.3264756944444</v>
      </c>
      <c r="Y1054" s="0" t="n">
        <f aca="false">SUMPRODUCT(MMULT(I1054:W1054,_XtX!$B$78:$P$92),I1054:W1054)</f>
        <v>0.486409505208334</v>
      </c>
      <c r="Z1054" s="0" t="n">
        <f aca="false">04_回帰ANOVA!$K$19*04_回帰ANOVA!$K$14*SQRT(1+Y1054)</f>
        <v>1.58916001665498</v>
      </c>
      <c r="AA1054" s="0" t="n">
        <f aca="false">X1054-Z1054</f>
        <v>43.7373156777895</v>
      </c>
      <c r="AB1054" s="0" t="n">
        <f aca="false">X1054+Z1054</f>
        <v>46.9156357110994</v>
      </c>
      <c r="AC1054" s="54" t="b">
        <f aca="false">AND(E1054&gt;=01_因子設定!$L$5-0.000000001,E1054&lt;=01_因子設定!$M$5+0.000000001,F1054&gt;=01_因子設定!$L$6-0.000000001,F1054&lt;=01_因子設定!$M$6+0.000000001,G1054&gt;=01_因子設定!$L$7-0.000000001,G1054&lt;=01_因子設定!$M$7+0.000000001,H1054&gt;=01_因子設定!$L$8-0.000000001,H1054&lt;=01_因子設定!$M$8+0.000000001,IF(01_因子設定!$B$20="Box-Behnken",E1054^2+F1054^2+G1054^2+H1054^2&lt;=2+0.000000001,TRUE()))</f>
        <v>1</v>
      </c>
      <c r="AD1054" s="55" t="n">
        <f aca="false">IF(AC1054,IF(01_因子設定!$B$13="最大化",AA1054-01_因子設定!$B$14,IF(01_因子設定!$B$13="最小化",01_因子設定!$B$15-AB1054,MIN(AA1054-01_因子設定!$B$14,01_因子設定!$B$15-AB1054))),-1E+030)</f>
        <v>-2.76268432221054</v>
      </c>
      <c r="AE1054" s="55" t="n">
        <f aca="false">IF(AC1054,IF(01_因子設定!$B$13="最大化",X1054,IF(01_因子設定!$B$13="最小化",-X1054,-ABS(X1054-01_因子設定!$B$16))),-1E+030)</f>
        <v>45.3264756944444</v>
      </c>
      <c r="AF1054" s="55" t="n">
        <f aca="false">AD1054+ROW()*0.000000001</f>
        <v>-2.76268326821054</v>
      </c>
      <c r="AG1054" s="55" t="n">
        <f aca="false">AE1054+ROW()*0.000000001</f>
        <v>45.3264767484444</v>
      </c>
    </row>
    <row r="1055" customFormat="false" ht="15" hidden="false" customHeight="false" outlineLevel="0" collapsed="false">
      <c r="A1055" s="0" t="n">
        <v>1</v>
      </c>
      <c r="B1055" s="0" t="n">
        <v>3</v>
      </c>
      <c r="C1055" s="0" t="n">
        <v>8</v>
      </c>
      <c r="D1055" s="0" t="n">
        <v>6</v>
      </c>
      <c r="E1055" s="0" t="n">
        <f aca="false">-1+A1055*0.25</f>
        <v>-0.75</v>
      </c>
      <c r="F1055" s="0" t="n">
        <f aca="false">-1+B1055*0.25</f>
        <v>-0.25</v>
      </c>
      <c r="G1055" s="0" t="n">
        <f aca="false">-1+C1055*0.25</f>
        <v>1</v>
      </c>
      <c r="H1055" s="0" t="n">
        <f aca="false">-1+D1055*0.25</f>
        <v>0.5</v>
      </c>
      <c r="I1055" s="0" t="n">
        <f aca="false">1</f>
        <v>1</v>
      </c>
      <c r="J1055" s="0" t="n">
        <f aca="false">E1055</f>
        <v>-0.75</v>
      </c>
      <c r="K1055" s="0" t="n">
        <f aca="false">F1055</f>
        <v>-0.25</v>
      </c>
      <c r="L1055" s="0" t="n">
        <f aca="false">G1055</f>
        <v>1</v>
      </c>
      <c r="M1055" s="0" t="n">
        <f aca="false">H1055</f>
        <v>0.5</v>
      </c>
      <c r="N1055" s="0" t="n">
        <f aca="false">E1055*F1055</f>
        <v>0.1875</v>
      </c>
      <c r="O1055" s="0" t="n">
        <f aca="false">E1055*G1055</f>
        <v>-0.75</v>
      </c>
      <c r="P1055" s="0" t="n">
        <f aca="false">E1055*H1055</f>
        <v>-0.375</v>
      </c>
      <c r="Q1055" s="0" t="n">
        <f aca="false">F1055*G1055</f>
        <v>-0.25</v>
      </c>
      <c r="R1055" s="0" t="n">
        <f aca="false">F1055*H1055</f>
        <v>-0.125</v>
      </c>
      <c r="S1055" s="0" t="n">
        <f aca="false">G1055*H1055</f>
        <v>0.5</v>
      </c>
      <c r="T1055" s="0" t="n">
        <f aca="false">E1055*E1055</f>
        <v>0.5625</v>
      </c>
      <c r="U1055" s="0" t="n">
        <f aca="false">F1055*F1055</f>
        <v>0.0625</v>
      </c>
      <c r="V1055" s="0" t="n">
        <f aca="false">G1055*G1055</f>
        <v>1</v>
      </c>
      <c r="W1055" s="0" t="n">
        <f aca="false">H1055*H1055</f>
        <v>0.25</v>
      </c>
      <c r="X1055" s="0" t="n">
        <f aca="false">SUMPRODUCT(I1055:W1055,_XtX!$B$96:$P$96)</f>
        <v>45.4178728070175</v>
      </c>
      <c r="Y1055" s="0" t="n">
        <f aca="false">SUMPRODUCT(MMULT(I1055:W1055,_XtX!$B$78:$P$92),I1055:W1055)</f>
        <v>0.459125719572369</v>
      </c>
      <c r="Z1055" s="0" t="n">
        <f aca="false">04_回帰ANOVA!$K$19*04_回帰ANOVA!$K$14*SQRT(1+Y1055)</f>
        <v>1.57450755575573</v>
      </c>
      <c r="AA1055" s="0" t="n">
        <f aca="false">X1055-Z1055</f>
        <v>43.8433652512618</v>
      </c>
      <c r="AB1055" s="0" t="n">
        <f aca="false">X1055+Z1055</f>
        <v>46.9923803627733</v>
      </c>
      <c r="AC1055" s="54" t="b">
        <f aca="false">AND(E1055&gt;=01_因子設定!$L$5-0.000000001,E1055&lt;=01_因子設定!$M$5+0.000000001,F1055&gt;=01_因子設定!$L$6-0.000000001,F1055&lt;=01_因子設定!$M$6+0.000000001,G1055&gt;=01_因子設定!$L$7-0.000000001,G1055&lt;=01_因子設定!$M$7+0.000000001,H1055&gt;=01_因子設定!$L$8-0.000000001,H1055&lt;=01_因子設定!$M$8+0.000000001,IF(01_因子設定!$B$20="Box-Behnken",E1055^2+F1055^2+G1055^2+H1055^2&lt;=2+0.000000001,TRUE()))</f>
        <v>1</v>
      </c>
      <c r="AD1055" s="55" t="n">
        <f aca="false">IF(AC1055,IF(01_因子設定!$B$13="最大化",AA1055-01_因子設定!$B$14,IF(01_因子設定!$B$13="最小化",01_因子設定!$B$15-AB1055,MIN(AA1055-01_因子設定!$B$14,01_因子設定!$B$15-AB1055))),-1E+030)</f>
        <v>-2.65663474873818</v>
      </c>
      <c r="AE1055" s="55" t="n">
        <f aca="false">IF(AC1055,IF(01_因子設定!$B$13="最大化",X1055,IF(01_因子設定!$B$13="最小化",-X1055,-ABS(X1055-01_因子設定!$B$16))),-1E+030)</f>
        <v>45.4178728070175</v>
      </c>
      <c r="AF1055" s="55" t="n">
        <f aca="false">AD1055+ROW()*0.000000001</f>
        <v>-2.65663369373819</v>
      </c>
      <c r="AG1055" s="55" t="n">
        <f aca="false">AE1055+ROW()*0.000000001</f>
        <v>45.4178738620175</v>
      </c>
    </row>
    <row r="1056" customFormat="false" ht="15" hidden="false" customHeight="false" outlineLevel="0" collapsed="false">
      <c r="A1056" s="0" t="n">
        <v>1</v>
      </c>
      <c r="B1056" s="0" t="n">
        <v>3</v>
      </c>
      <c r="C1056" s="0" t="n">
        <v>8</v>
      </c>
      <c r="D1056" s="0" t="n">
        <v>7</v>
      </c>
      <c r="E1056" s="0" t="n">
        <f aca="false">-1+A1056*0.25</f>
        <v>-0.75</v>
      </c>
      <c r="F1056" s="0" t="n">
        <f aca="false">-1+B1056*0.25</f>
        <v>-0.25</v>
      </c>
      <c r="G1056" s="0" t="n">
        <f aca="false">-1+C1056*0.25</f>
        <v>1</v>
      </c>
      <c r="H1056" s="0" t="n">
        <f aca="false">-1+D1056*0.25</f>
        <v>0.75</v>
      </c>
      <c r="I1056" s="0" t="n">
        <f aca="false">1</f>
        <v>1</v>
      </c>
      <c r="J1056" s="0" t="n">
        <f aca="false">E1056</f>
        <v>-0.75</v>
      </c>
      <c r="K1056" s="0" t="n">
        <f aca="false">F1056</f>
        <v>-0.25</v>
      </c>
      <c r="L1056" s="0" t="n">
        <f aca="false">G1056</f>
        <v>1</v>
      </c>
      <c r="M1056" s="0" t="n">
        <f aca="false">H1056</f>
        <v>0.75</v>
      </c>
      <c r="N1056" s="0" t="n">
        <f aca="false">E1056*F1056</f>
        <v>0.1875</v>
      </c>
      <c r="O1056" s="0" t="n">
        <f aca="false">E1056*G1056</f>
        <v>-0.75</v>
      </c>
      <c r="P1056" s="0" t="n">
        <f aca="false">E1056*H1056</f>
        <v>-0.5625</v>
      </c>
      <c r="Q1056" s="0" t="n">
        <f aca="false">F1056*G1056</f>
        <v>-0.25</v>
      </c>
      <c r="R1056" s="0" t="n">
        <f aca="false">F1056*H1056</f>
        <v>-0.1875</v>
      </c>
      <c r="S1056" s="0" t="n">
        <f aca="false">G1056*H1056</f>
        <v>0.75</v>
      </c>
      <c r="T1056" s="0" t="n">
        <f aca="false">E1056*E1056</f>
        <v>0.5625</v>
      </c>
      <c r="U1056" s="0" t="n">
        <f aca="false">F1056*F1056</f>
        <v>0.0625</v>
      </c>
      <c r="V1056" s="0" t="n">
        <f aca="false">G1056*G1056</f>
        <v>1</v>
      </c>
      <c r="W1056" s="0" t="n">
        <f aca="false">H1056*H1056</f>
        <v>0.5625</v>
      </c>
      <c r="X1056" s="0" t="n">
        <f aca="false">SUMPRODUCT(I1056:W1056,_XtX!$B$96:$P$96)</f>
        <v>45.4614629020468</v>
      </c>
      <c r="Y1056" s="0" t="n">
        <f aca="false">SUMPRODUCT(MMULT(I1056:W1056,_XtX!$B$78:$P$92),I1056:W1056)</f>
        <v>0.473959761056287</v>
      </c>
      <c r="Z1056" s="0" t="n">
        <f aca="false">04_回帰ANOVA!$K$19*04_回帰ANOVA!$K$14*SQRT(1+Y1056)</f>
        <v>1.58249084588329</v>
      </c>
      <c r="AA1056" s="0" t="n">
        <f aca="false">X1056-Z1056</f>
        <v>43.8789720561635</v>
      </c>
      <c r="AB1056" s="0" t="n">
        <f aca="false">X1056+Z1056</f>
        <v>47.0439537479301</v>
      </c>
      <c r="AC1056" s="54" t="b">
        <f aca="false">AND(E1056&gt;=01_因子設定!$L$5-0.000000001,E1056&lt;=01_因子設定!$M$5+0.000000001,F1056&gt;=01_因子設定!$L$6-0.000000001,F1056&lt;=01_因子設定!$M$6+0.000000001,G1056&gt;=01_因子設定!$L$7-0.000000001,G1056&lt;=01_因子設定!$M$7+0.000000001,H1056&gt;=01_因子設定!$L$8-0.000000001,H1056&lt;=01_因子設定!$M$8+0.000000001,IF(01_因子設定!$B$20="Box-Behnken",E1056^2+F1056^2+G1056^2+H1056^2&lt;=2+0.000000001,TRUE()))</f>
        <v>1</v>
      </c>
      <c r="AD1056" s="55" t="n">
        <f aca="false">IF(AC1056,IF(01_因子設定!$B$13="最大化",AA1056-01_因子設定!$B$14,IF(01_因子設定!$B$13="最小化",01_因子設定!$B$15-AB1056,MIN(AA1056-01_因子設定!$B$14,01_因子設定!$B$15-AB1056))),-1E+030)</f>
        <v>-2.62102794383649</v>
      </c>
      <c r="AE1056" s="55" t="n">
        <f aca="false">IF(AC1056,IF(01_因子設定!$B$13="最大化",X1056,IF(01_因子設定!$B$13="最小化",-X1056,-ABS(X1056-01_因子設定!$B$16))),-1E+030)</f>
        <v>45.4614629020468</v>
      </c>
      <c r="AF1056" s="55" t="n">
        <f aca="false">AD1056+ROW()*0.000000001</f>
        <v>-2.62102688783649</v>
      </c>
      <c r="AG1056" s="55" t="n">
        <f aca="false">AE1056+ROW()*0.000000001</f>
        <v>45.4614639580468</v>
      </c>
    </row>
    <row r="1057" customFormat="false" ht="15" hidden="false" customHeight="false" outlineLevel="0" collapsed="false">
      <c r="A1057" s="0" t="n">
        <v>1</v>
      </c>
      <c r="B1057" s="0" t="n">
        <v>3</v>
      </c>
      <c r="C1057" s="0" t="n">
        <v>8</v>
      </c>
      <c r="D1057" s="0" t="n">
        <v>8</v>
      </c>
      <c r="E1057" s="0" t="n">
        <f aca="false">-1+A1057*0.25</f>
        <v>-0.75</v>
      </c>
      <c r="F1057" s="0" t="n">
        <f aca="false">-1+B1057*0.25</f>
        <v>-0.25</v>
      </c>
      <c r="G1057" s="0" t="n">
        <f aca="false">-1+C1057*0.25</f>
        <v>1</v>
      </c>
      <c r="H1057" s="0" t="n">
        <f aca="false">-1+D1057*0.25</f>
        <v>1</v>
      </c>
      <c r="I1057" s="0" t="n">
        <f aca="false">1</f>
        <v>1</v>
      </c>
      <c r="J1057" s="0" t="n">
        <f aca="false">E1057</f>
        <v>-0.75</v>
      </c>
      <c r="K1057" s="0" t="n">
        <f aca="false">F1057</f>
        <v>-0.25</v>
      </c>
      <c r="L1057" s="0" t="n">
        <f aca="false">G1057</f>
        <v>1</v>
      </c>
      <c r="M1057" s="0" t="n">
        <f aca="false">H1057</f>
        <v>1</v>
      </c>
      <c r="N1057" s="0" t="n">
        <f aca="false">E1057*F1057</f>
        <v>0.1875</v>
      </c>
      <c r="O1057" s="0" t="n">
        <f aca="false">E1057*G1057</f>
        <v>-0.75</v>
      </c>
      <c r="P1057" s="0" t="n">
        <f aca="false">E1057*H1057</f>
        <v>-0.75</v>
      </c>
      <c r="Q1057" s="0" t="n">
        <f aca="false">F1057*G1057</f>
        <v>-0.25</v>
      </c>
      <c r="R1057" s="0" t="n">
        <f aca="false">F1057*H1057</f>
        <v>-0.25</v>
      </c>
      <c r="S1057" s="0" t="n">
        <f aca="false">G1057*H1057</f>
        <v>1</v>
      </c>
      <c r="T1057" s="0" t="n">
        <f aca="false">E1057*E1057</f>
        <v>0.5625</v>
      </c>
      <c r="U1057" s="0" t="n">
        <f aca="false">F1057*F1057</f>
        <v>0.0625</v>
      </c>
      <c r="V1057" s="0" t="n">
        <f aca="false">G1057*G1057</f>
        <v>1</v>
      </c>
      <c r="W1057" s="0" t="n">
        <f aca="false">H1057*H1057</f>
        <v>1</v>
      </c>
      <c r="X1057" s="0" t="n">
        <f aca="false">SUMPRODUCT(I1057:W1057,_XtX!$B$96:$P$96)</f>
        <v>45.4572459795322</v>
      </c>
      <c r="Y1057" s="0" t="n">
        <f aca="false">SUMPRODUCT(MMULT(I1057:W1057,_XtX!$B$78:$P$92),I1057:W1057)</f>
        <v>0.621372155975877</v>
      </c>
      <c r="Z1057" s="0" t="n">
        <f aca="false">04_回帰ANOVA!$K$19*04_回帰ANOVA!$K$14*SQRT(1+Y1057)</f>
        <v>1.65973880499872</v>
      </c>
      <c r="AA1057" s="0" t="n">
        <f aca="false">X1057-Z1057</f>
        <v>43.7975071745335</v>
      </c>
      <c r="AB1057" s="0" t="n">
        <f aca="false">X1057+Z1057</f>
        <v>47.1169847845309</v>
      </c>
      <c r="AC1057" s="54" t="b">
        <f aca="false">AND(E1057&gt;=01_因子設定!$L$5-0.000000001,E1057&lt;=01_因子設定!$M$5+0.000000001,F1057&gt;=01_因子設定!$L$6-0.000000001,F1057&lt;=01_因子設定!$M$6+0.000000001,G1057&gt;=01_因子設定!$L$7-0.000000001,G1057&lt;=01_因子設定!$M$7+0.000000001,H1057&gt;=01_因子設定!$L$8-0.000000001,H1057&lt;=01_因子設定!$M$8+0.000000001,IF(01_因子設定!$B$20="Box-Behnken",E1057^2+F1057^2+G1057^2+H1057^2&lt;=2+0.000000001,TRUE()))</f>
        <v>1</v>
      </c>
      <c r="AD1057" s="55" t="n">
        <f aca="false">IF(AC1057,IF(01_因子設定!$B$13="最大化",AA1057-01_因子設定!$B$14,IF(01_因子設定!$B$13="最小化",01_因子設定!$B$15-AB1057,MIN(AA1057-01_因子設定!$B$14,01_因子設定!$B$15-AB1057))),-1E+030)</f>
        <v>-2.70249282546653</v>
      </c>
      <c r="AE1057" s="55" t="n">
        <f aca="false">IF(AC1057,IF(01_因子設定!$B$13="最大化",X1057,IF(01_因子設定!$B$13="最小化",-X1057,-ABS(X1057-01_因子設定!$B$16))),-1E+030)</f>
        <v>45.4572459795322</v>
      </c>
      <c r="AF1057" s="55" t="n">
        <f aca="false">AD1057+ROW()*0.000000001</f>
        <v>-2.70249176846653</v>
      </c>
      <c r="AG1057" s="55" t="n">
        <f aca="false">AE1057+ROW()*0.000000001</f>
        <v>45.4572470365322</v>
      </c>
    </row>
    <row r="1058" customFormat="false" ht="15" hidden="false" customHeight="false" outlineLevel="0" collapsed="false">
      <c r="A1058" s="0" t="n">
        <v>1</v>
      </c>
      <c r="B1058" s="0" t="n">
        <v>4</v>
      </c>
      <c r="C1058" s="0" t="n">
        <v>0</v>
      </c>
      <c r="D1058" s="0" t="n">
        <v>0</v>
      </c>
      <c r="E1058" s="0" t="n">
        <f aca="false">-1+A1058*0.25</f>
        <v>-0.75</v>
      </c>
      <c r="F1058" s="0" t="n">
        <f aca="false">-1+B1058*0.25</f>
        <v>0</v>
      </c>
      <c r="G1058" s="0" t="n">
        <f aca="false">-1+C1058*0.25</f>
        <v>-1</v>
      </c>
      <c r="H1058" s="0" t="n">
        <f aca="false">-1+D1058*0.25</f>
        <v>-1</v>
      </c>
      <c r="I1058" s="0" t="n">
        <f aca="false">1</f>
        <v>1</v>
      </c>
      <c r="J1058" s="0" t="n">
        <f aca="false">E1058</f>
        <v>-0.75</v>
      </c>
      <c r="K1058" s="0" t="n">
        <f aca="false">F1058</f>
        <v>0</v>
      </c>
      <c r="L1058" s="0" t="n">
        <f aca="false">G1058</f>
        <v>-1</v>
      </c>
      <c r="M1058" s="0" t="n">
        <f aca="false">H1058</f>
        <v>-1</v>
      </c>
      <c r="N1058" s="0" t="n">
        <f aca="false">E1058*F1058</f>
        <v>-0</v>
      </c>
      <c r="O1058" s="0" t="n">
        <f aca="false">E1058*G1058</f>
        <v>0.75</v>
      </c>
      <c r="P1058" s="0" t="n">
        <f aca="false">E1058*H1058</f>
        <v>0.75</v>
      </c>
      <c r="Q1058" s="0" t="n">
        <f aca="false">F1058*G1058</f>
        <v>-0</v>
      </c>
      <c r="R1058" s="0" t="n">
        <f aca="false">F1058*H1058</f>
        <v>-0</v>
      </c>
      <c r="S1058" s="0" t="n">
        <f aca="false">G1058*H1058</f>
        <v>1</v>
      </c>
      <c r="T1058" s="0" t="n">
        <f aca="false">E1058*E1058</f>
        <v>0.5625</v>
      </c>
      <c r="U1058" s="0" t="n">
        <f aca="false">F1058*F1058</f>
        <v>0</v>
      </c>
      <c r="V1058" s="0" t="n">
        <f aca="false">G1058*G1058</f>
        <v>1</v>
      </c>
      <c r="W1058" s="0" t="n">
        <f aca="false">H1058*H1058</f>
        <v>1</v>
      </c>
      <c r="X1058" s="0" t="n">
        <f aca="false">SUMPRODUCT(I1058:W1058,_XtX!$B$96:$P$96)</f>
        <v>42.3910453216375</v>
      </c>
      <c r="Y1058" s="0" t="n">
        <f aca="false">SUMPRODUCT(MMULT(I1058:W1058,_XtX!$B$78:$P$92),I1058:W1058)</f>
        <v>0.646198830409357</v>
      </c>
      <c r="Z1058" s="0" t="n">
        <f aca="false">04_回帰ANOVA!$K$19*04_回帰ANOVA!$K$14*SQRT(1+Y1058)</f>
        <v>1.67239760569756</v>
      </c>
      <c r="AA1058" s="0" t="n">
        <f aca="false">X1058-Z1058</f>
        <v>40.7186477159399</v>
      </c>
      <c r="AB1058" s="0" t="n">
        <f aca="false">X1058+Z1058</f>
        <v>44.063442927335</v>
      </c>
      <c r="AC1058" s="54" t="b">
        <f aca="false">AND(E1058&gt;=01_因子設定!$L$5-0.000000001,E1058&lt;=01_因子設定!$M$5+0.000000001,F1058&gt;=01_因子設定!$L$6-0.000000001,F1058&lt;=01_因子設定!$M$6+0.000000001,G1058&gt;=01_因子設定!$L$7-0.000000001,G1058&lt;=01_因子設定!$M$7+0.000000001,H1058&gt;=01_因子設定!$L$8-0.000000001,H1058&lt;=01_因子設定!$M$8+0.000000001,IF(01_因子設定!$B$20="Box-Behnken",E1058^2+F1058^2+G1058^2+H1058^2&lt;=2+0.000000001,TRUE()))</f>
        <v>1</v>
      </c>
      <c r="AD1058" s="55" t="n">
        <f aca="false">IF(AC1058,IF(01_因子設定!$B$13="最大化",AA1058-01_因子設定!$B$14,IF(01_因子設定!$B$13="最小化",01_因子設定!$B$15-AB1058,MIN(AA1058-01_因子設定!$B$14,01_因子設定!$B$15-AB1058))),-1E+030)</f>
        <v>-5.7813522840601</v>
      </c>
      <c r="AE1058" s="55" t="n">
        <f aca="false">IF(AC1058,IF(01_因子設定!$B$13="最大化",X1058,IF(01_因子設定!$B$13="最小化",-X1058,-ABS(X1058-01_因子設定!$B$16))),-1E+030)</f>
        <v>42.3910453216375</v>
      </c>
      <c r="AF1058" s="55" t="n">
        <f aca="false">AD1058+ROW()*0.000000001</f>
        <v>-5.7813512260601</v>
      </c>
      <c r="AG1058" s="55" t="n">
        <f aca="false">AE1058+ROW()*0.000000001</f>
        <v>42.3910463796375</v>
      </c>
    </row>
    <row r="1059" customFormat="false" ht="15" hidden="false" customHeight="false" outlineLevel="0" collapsed="false">
      <c r="A1059" s="0" t="n">
        <v>1</v>
      </c>
      <c r="B1059" s="0" t="n">
        <v>4</v>
      </c>
      <c r="C1059" s="0" t="n">
        <v>0</v>
      </c>
      <c r="D1059" s="0" t="n">
        <v>1</v>
      </c>
      <c r="E1059" s="0" t="n">
        <f aca="false">-1+A1059*0.25</f>
        <v>-0.75</v>
      </c>
      <c r="F1059" s="0" t="n">
        <f aca="false">-1+B1059*0.25</f>
        <v>0</v>
      </c>
      <c r="G1059" s="0" t="n">
        <f aca="false">-1+C1059*0.25</f>
        <v>-1</v>
      </c>
      <c r="H1059" s="0" t="n">
        <f aca="false">-1+D1059*0.25</f>
        <v>-0.75</v>
      </c>
      <c r="I1059" s="0" t="n">
        <f aca="false">1</f>
        <v>1</v>
      </c>
      <c r="J1059" s="0" t="n">
        <f aca="false">E1059</f>
        <v>-0.75</v>
      </c>
      <c r="K1059" s="0" t="n">
        <f aca="false">F1059</f>
        <v>0</v>
      </c>
      <c r="L1059" s="0" t="n">
        <f aca="false">G1059</f>
        <v>-1</v>
      </c>
      <c r="M1059" s="0" t="n">
        <f aca="false">H1059</f>
        <v>-0.75</v>
      </c>
      <c r="N1059" s="0" t="n">
        <f aca="false">E1059*F1059</f>
        <v>-0</v>
      </c>
      <c r="O1059" s="0" t="n">
        <f aca="false">E1059*G1059</f>
        <v>0.75</v>
      </c>
      <c r="P1059" s="0" t="n">
        <f aca="false">E1059*H1059</f>
        <v>0.5625</v>
      </c>
      <c r="Q1059" s="0" t="n">
        <f aca="false">F1059*G1059</f>
        <v>-0</v>
      </c>
      <c r="R1059" s="0" t="n">
        <f aca="false">F1059*H1059</f>
        <v>-0</v>
      </c>
      <c r="S1059" s="0" t="n">
        <f aca="false">G1059*H1059</f>
        <v>0.75</v>
      </c>
      <c r="T1059" s="0" t="n">
        <f aca="false">E1059*E1059</f>
        <v>0.5625</v>
      </c>
      <c r="U1059" s="0" t="n">
        <f aca="false">F1059*F1059</f>
        <v>0</v>
      </c>
      <c r="V1059" s="0" t="n">
        <f aca="false">G1059*G1059</f>
        <v>1</v>
      </c>
      <c r="W1059" s="0" t="n">
        <f aca="false">H1059*H1059</f>
        <v>0.5625</v>
      </c>
      <c r="X1059" s="0" t="n">
        <f aca="false">SUMPRODUCT(I1059:W1059,_XtX!$B$96:$P$96)</f>
        <v>42.5644462719298</v>
      </c>
      <c r="Y1059" s="0" t="n">
        <f aca="false">SUMPRODUCT(MMULT(I1059:W1059,_XtX!$B$78:$P$92),I1059:W1059)</f>
        <v>0.494259126005117</v>
      </c>
      <c r="Z1059" s="0" t="n">
        <f aca="false">04_回帰ANOVA!$K$19*04_回帰ANOVA!$K$14*SQRT(1+Y1059)</f>
        <v>1.59335061078203</v>
      </c>
      <c r="AA1059" s="0" t="n">
        <f aca="false">X1059-Z1059</f>
        <v>40.9710956611478</v>
      </c>
      <c r="AB1059" s="0" t="n">
        <f aca="false">X1059+Z1059</f>
        <v>44.1577968827119</v>
      </c>
      <c r="AC1059" s="54" t="b">
        <f aca="false">AND(E1059&gt;=01_因子設定!$L$5-0.000000001,E1059&lt;=01_因子設定!$M$5+0.000000001,F1059&gt;=01_因子設定!$L$6-0.000000001,F1059&lt;=01_因子設定!$M$6+0.000000001,G1059&gt;=01_因子設定!$L$7-0.000000001,G1059&lt;=01_因子設定!$M$7+0.000000001,H1059&gt;=01_因子設定!$L$8-0.000000001,H1059&lt;=01_因子設定!$M$8+0.000000001,IF(01_因子設定!$B$20="Box-Behnken",E1059^2+F1059^2+G1059^2+H1059^2&lt;=2+0.000000001,TRUE()))</f>
        <v>1</v>
      </c>
      <c r="AD1059" s="55" t="n">
        <f aca="false">IF(AC1059,IF(01_因子設定!$B$13="最大化",AA1059-01_因子設定!$B$14,IF(01_因子設定!$B$13="最小化",01_因子設定!$B$15-AB1059,MIN(AA1059-01_因子設定!$B$14,01_因子設定!$B$15-AB1059))),-1E+030)</f>
        <v>-5.52890433885219</v>
      </c>
      <c r="AE1059" s="55" t="n">
        <f aca="false">IF(AC1059,IF(01_因子設定!$B$13="最大化",X1059,IF(01_因子設定!$B$13="最小化",-X1059,-ABS(X1059-01_因子設定!$B$16))),-1E+030)</f>
        <v>42.5644462719298</v>
      </c>
      <c r="AF1059" s="55" t="n">
        <f aca="false">AD1059+ROW()*0.000000001</f>
        <v>-5.52890327985219</v>
      </c>
      <c r="AG1059" s="55" t="n">
        <f aca="false">AE1059+ROW()*0.000000001</f>
        <v>42.5644473309298</v>
      </c>
    </row>
    <row r="1060" customFormat="false" ht="15" hidden="false" customHeight="false" outlineLevel="0" collapsed="false">
      <c r="A1060" s="0" t="n">
        <v>1</v>
      </c>
      <c r="B1060" s="0" t="n">
        <v>4</v>
      </c>
      <c r="C1060" s="0" t="n">
        <v>0</v>
      </c>
      <c r="D1060" s="0" t="n">
        <v>2</v>
      </c>
      <c r="E1060" s="0" t="n">
        <f aca="false">-1+A1060*0.25</f>
        <v>-0.75</v>
      </c>
      <c r="F1060" s="0" t="n">
        <f aca="false">-1+B1060*0.25</f>
        <v>0</v>
      </c>
      <c r="G1060" s="0" t="n">
        <f aca="false">-1+C1060*0.25</f>
        <v>-1</v>
      </c>
      <c r="H1060" s="0" t="n">
        <f aca="false">-1+D1060*0.25</f>
        <v>-0.5</v>
      </c>
      <c r="I1060" s="0" t="n">
        <f aca="false">1</f>
        <v>1</v>
      </c>
      <c r="J1060" s="0" t="n">
        <f aca="false">E1060</f>
        <v>-0.75</v>
      </c>
      <c r="K1060" s="0" t="n">
        <f aca="false">F1060</f>
        <v>0</v>
      </c>
      <c r="L1060" s="0" t="n">
        <f aca="false">G1060</f>
        <v>-1</v>
      </c>
      <c r="M1060" s="0" t="n">
        <f aca="false">H1060</f>
        <v>-0.5</v>
      </c>
      <c r="N1060" s="0" t="n">
        <f aca="false">E1060*F1060</f>
        <v>-0</v>
      </c>
      <c r="O1060" s="0" t="n">
        <f aca="false">E1060*G1060</f>
        <v>0.75</v>
      </c>
      <c r="P1060" s="0" t="n">
        <f aca="false">E1060*H1060</f>
        <v>0.375</v>
      </c>
      <c r="Q1060" s="0" t="n">
        <f aca="false">F1060*G1060</f>
        <v>-0</v>
      </c>
      <c r="R1060" s="0" t="n">
        <f aca="false">F1060*H1060</f>
        <v>-0</v>
      </c>
      <c r="S1060" s="0" t="n">
        <f aca="false">G1060*H1060</f>
        <v>0.5</v>
      </c>
      <c r="T1060" s="0" t="n">
        <f aca="false">E1060*E1060</f>
        <v>0.5625</v>
      </c>
      <c r="U1060" s="0" t="n">
        <f aca="false">F1060*F1060</f>
        <v>0</v>
      </c>
      <c r="V1060" s="0" t="n">
        <f aca="false">G1060*G1060</f>
        <v>1</v>
      </c>
      <c r="W1060" s="0" t="n">
        <f aca="false">H1060*H1060</f>
        <v>0.25</v>
      </c>
      <c r="X1060" s="0" t="n">
        <f aca="false">SUMPRODUCT(I1060:W1060,_XtX!$B$96:$P$96)</f>
        <v>42.6900402046784</v>
      </c>
      <c r="Y1060" s="0" t="n">
        <f aca="false">SUMPRODUCT(MMULT(I1060:W1060,_XtX!$B$78:$P$92),I1060:W1060)</f>
        <v>0.476191292032164</v>
      </c>
      <c r="Z1060" s="0" t="n">
        <f aca="false">04_回帰ANOVA!$K$19*04_回帰ANOVA!$K$14*SQRT(1+Y1060)</f>
        <v>1.58368831471718</v>
      </c>
      <c r="AA1060" s="0" t="n">
        <f aca="false">X1060-Z1060</f>
        <v>41.1063518899612</v>
      </c>
      <c r="AB1060" s="0" t="n">
        <f aca="false">X1060+Z1060</f>
        <v>44.2737285193955</v>
      </c>
      <c r="AC1060" s="54" t="b">
        <f aca="false">AND(E1060&gt;=01_因子設定!$L$5-0.000000001,E1060&lt;=01_因子設定!$M$5+0.000000001,F1060&gt;=01_因子設定!$L$6-0.000000001,F1060&lt;=01_因子設定!$M$6+0.000000001,G1060&gt;=01_因子設定!$L$7-0.000000001,G1060&lt;=01_因子設定!$M$7+0.000000001,H1060&gt;=01_因子設定!$L$8-0.000000001,H1060&lt;=01_因子設定!$M$8+0.000000001,IF(01_因子設定!$B$20="Box-Behnken",E1060^2+F1060^2+G1060^2+H1060^2&lt;=2+0.000000001,TRUE()))</f>
        <v>1</v>
      </c>
      <c r="AD1060" s="55" t="n">
        <f aca="false">IF(AC1060,IF(01_因子設定!$B$13="最大化",AA1060-01_因子設定!$B$14,IF(01_因子設定!$B$13="最小化",01_因子設定!$B$15-AB1060,MIN(AA1060-01_因子設定!$B$14,01_因子設定!$B$15-AB1060))),-1E+030)</f>
        <v>-5.39364811003882</v>
      </c>
      <c r="AE1060" s="55" t="n">
        <f aca="false">IF(AC1060,IF(01_因子設定!$B$13="最大化",X1060,IF(01_因子設定!$B$13="最小化",-X1060,-ABS(X1060-01_因子設定!$B$16))),-1E+030)</f>
        <v>42.6900402046784</v>
      </c>
      <c r="AF1060" s="55" t="n">
        <f aca="false">AD1060+ROW()*0.000000001</f>
        <v>-5.39364705003882</v>
      </c>
      <c r="AG1060" s="55" t="n">
        <f aca="false">AE1060+ROW()*0.000000001</f>
        <v>42.6900412646784</v>
      </c>
    </row>
    <row r="1061" customFormat="false" ht="15" hidden="false" customHeight="false" outlineLevel="0" collapsed="false">
      <c r="A1061" s="0" t="n">
        <v>1</v>
      </c>
      <c r="B1061" s="0" t="n">
        <v>4</v>
      </c>
      <c r="C1061" s="0" t="n">
        <v>0</v>
      </c>
      <c r="D1061" s="0" t="n">
        <v>3</v>
      </c>
      <c r="E1061" s="0" t="n">
        <f aca="false">-1+A1061*0.25</f>
        <v>-0.75</v>
      </c>
      <c r="F1061" s="0" t="n">
        <f aca="false">-1+B1061*0.25</f>
        <v>0</v>
      </c>
      <c r="G1061" s="0" t="n">
        <f aca="false">-1+C1061*0.25</f>
        <v>-1</v>
      </c>
      <c r="H1061" s="0" t="n">
        <f aca="false">-1+D1061*0.25</f>
        <v>-0.25</v>
      </c>
      <c r="I1061" s="0" t="n">
        <f aca="false">1</f>
        <v>1</v>
      </c>
      <c r="J1061" s="0" t="n">
        <f aca="false">E1061</f>
        <v>-0.75</v>
      </c>
      <c r="K1061" s="0" t="n">
        <f aca="false">F1061</f>
        <v>0</v>
      </c>
      <c r="L1061" s="0" t="n">
        <f aca="false">G1061</f>
        <v>-1</v>
      </c>
      <c r="M1061" s="0" t="n">
        <f aca="false">H1061</f>
        <v>-0.25</v>
      </c>
      <c r="N1061" s="0" t="n">
        <f aca="false">E1061*F1061</f>
        <v>-0</v>
      </c>
      <c r="O1061" s="0" t="n">
        <f aca="false">E1061*G1061</f>
        <v>0.75</v>
      </c>
      <c r="P1061" s="0" t="n">
        <f aca="false">E1061*H1061</f>
        <v>0.1875</v>
      </c>
      <c r="Q1061" s="0" t="n">
        <f aca="false">F1061*G1061</f>
        <v>-0</v>
      </c>
      <c r="R1061" s="0" t="n">
        <f aca="false">F1061*H1061</f>
        <v>-0</v>
      </c>
      <c r="S1061" s="0" t="n">
        <f aca="false">G1061*H1061</f>
        <v>0.25</v>
      </c>
      <c r="T1061" s="0" t="n">
        <f aca="false">E1061*E1061</f>
        <v>0.5625</v>
      </c>
      <c r="U1061" s="0" t="n">
        <f aca="false">F1061*F1061</f>
        <v>0</v>
      </c>
      <c r="V1061" s="0" t="n">
        <f aca="false">G1061*G1061</f>
        <v>1</v>
      </c>
      <c r="W1061" s="0" t="n">
        <f aca="false">H1061*H1061</f>
        <v>0.0625</v>
      </c>
      <c r="X1061" s="0" t="n">
        <f aca="false">SUMPRODUCT(I1061:W1061,_XtX!$B$96:$P$96)</f>
        <v>42.767827119883</v>
      </c>
      <c r="Y1061" s="0" t="n">
        <f aca="false">SUMPRODUCT(MMULT(I1061:W1061,_XtX!$B$78:$P$92),I1061:W1061)</f>
        <v>0.501534802174708</v>
      </c>
      <c r="Z1061" s="0" t="n">
        <f aca="false">04_回帰ANOVA!$K$19*04_回帰ANOVA!$K$14*SQRT(1+Y1061)</f>
        <v>1.59722498091333</v>
      </c>
      <c r="AA1061" s="0" t="n">
        <f aca="false">X1061-Z1061</f>
        <v>41.1706021389697</v>
      </c>
      <c r="AB1061" s="0" t="n">
        <f aca="false">X1061+Z1061</f>
        <v>44.3650521007964</v>
      </c>
      <c r="AC1061" s="54" t="b">
        <f aca="false">AND(E1061&gt;=01_因子設定!$L$5-0.000000001,E1061&lt;=01_因子設定!$M$5+0.000000001,F1061&gt;=01_因子設定!$L$6-0.000000001,F1061&lt;=01_因子設定!$M$6+0.000000001,G1061&gt;=01_因子設定!$L$7-0.000000001,G1061&lt;=01_因子設定!$M$7+0.000000001,H1061&gt;=01_因子設定!$L$8-0.000000001,H1061&lt;=01_因子設定!$M$8+0.000000001,IF(01_因子設定!$B$20="Box-Behnken",E1061^2+F1061^2+G1061^2+H1061^2&lt;=2+0.000000001,TRUE()))</f>
        <v>1</v>
      </c>
      <c r="AD1061" s="55" t="n">
        <f aca="false">IF(AC1061,IF(01_因子設定!$B$13="最大化",AA1061-01_因子設定!$B$14,IF(01_因子設定!$B$13="最小化",01_因子設定!$B$15-AB1061,MIN(AA1061-01_因子設定!$B$14,01_因子設定!$B$15-AB1061))),-1E+030)</f>
        <v>-5.3293978610303</v>
      </c>
      <c r="AE1061" s="55" t="n">
        <f aca="false">IF(AC1061,IF(01_因子設定!$B$13="最大化",X1061,IF(01_因子設定!$B$13="最小化",-X1061,-ABS(X1061-01_因子設定!$B$16))),-1E+030)</f>
        <v>42.767827119883</v>
      </c>
      <c r="AF1061" s="55" t="n">
        <f aca="false">AD1061+ROW()*0.000000001</f>
        <v>-5.3293968000303</v>
      </c>
      <c r="AG1061" s="55" t="n">
        <f aca="false">AE1061+ROW()*0.000000001</f>
        <v>42.767828180883</v>
      </c>
    </row>
    <row r="1062" customFormat="false" ht="15" hidden="false" customHeight="false" outlineLevel="0" collapsed="false">
      <c r="A1062" s="0" t="n">
        <v>1</v>
      </c>
      <c r="B1062" s="0" t="n">
        <v>4</v>
      </c>
      <c r="C1062" s="0" t="n">
        <v>0</v>
      </c>
      <c r="D1062" s="0" t="n">
        <v>4</v>
      </c>
      <c r="E1062" s="0" t="n">
        <f aca="false">-1+A1062*0.25</f>
        <v>-0.75</v>
      </c>
      <c r="F1062" s="0" t="n">
        <f aca="false">-1+B1062*0.25</f>
        <v>0</v>
      </c>
      <c r="G1062" s="0" t="n">
        <f aca="false">-1+C1062*0.25</f>
        <v>-1</v>
      </c>
      <c r="H1062" s="0" t="n">
        <f aca="false">-1+D1062*0.25</f>
        <v>0</v>
      </c>
      <c r="I1062" s="0" t="n">
        <f aca="false">1</f>
        <v>1</v>
      </c>
      <c r="J1062" s="0" t="n">
        <f aca="false">E1062</f>
        <v>-0.75</v>
      </c>
      <c r="K1062" s="0" t="n">
        <f aca="false">F1062</f>
        <v>0</v>
      </c>
      <c r="L1062" s="0" t="n">
        <f aca="false">G1062</f>
        <v>-1</v>
      </c>
      <c r="M1062" s="0" t="n">
        <f aca="false">H1062</f>
        <v>0</v>
      </c>
      <c r="N1062" s="0" t="n">
        <f aca="false">E1062*F1062</f>
        <v>-0</v>
      </c>
      <c r="O1062" s="0" t="n">
        <f aca="false">E1062*G1062</f>
        <v>0.75</v>
      </c>
      <c r="P1062" s="0" t="n">
        <f aca="false">E1062*H1062</f>
        <v>-0</v>
      </c>
      <c r="Q1062" s="0" t="n">
        <f aca="false">F1062*G1062</f>
        <v>-0</v>
      </c>
      <c r="R1062" s="0" t="n">
        <f aca="false">F1062*H1062</f>
        <v>0</v>
      </c>
      <c r="S1062" s="0" t="n">
        <f aca="false">G1062*H1062</f>
        <v>-0</v>
      </c>
      <c r="T1062" s="0" t="n">
        <f aca="false">E1062*E1062</f>
        <v>0.5625</v>
      </c>
      <c r="U1062" s="0" t="n">
        <f aca="false">F1062*F1062</f>
        <v>0</v>
      </c>
      <c r="V1062" s="0" t="n">
        <f aca="false">G1062*G1062</f>
        <v>1</v>
      </c>
      <c r="W1062" s="0" t="n">
        <f aca="false">H1062*H1062</f>
        <v>0</v>
      </c>
      <c r="X1062" s="0" t="n">
        <f aca="false">SUMPRODUCT(I1062:W1062,_XtX!$B$96:$P$96)</f>
        <v>42.7978070175438</v>
      </c>
      <c r="Y1062" s="0" t="n">
        <f aca="false">SUMPRODUCT(MMULT(I1062:W1062,_XtX!$B$78:$P$92),I1062:W1062)</f>
        <v>0.516013340643275</v>
      </c>
      <c r="Z1062" s="0" t="n">
        <f aca="false">04_回帰ANOVA!$K$19*04_回帰ANOVA!$K$14*SQRT(1+Y1062)</f>
        <v>1.60490712175667</v>
      </c>
      <c r="AA1062" s="0" t="n">
        <f aca="false">X1062-Z1062</f>
        <v>41.1928998957872</v>
      </c>
      <c r="AB1062" s="0" t="n">
        <f aca="false">X1062+Z1062</f>
        <v>44.4027141393005</v>
      </c>
      <c r="AC1062" s="54" t="b">
        <f aca="false">AND(E1062&gt;=01_因子設定!$L$5-0.000000001,E1062&lt;=01_因子設定!$M$5+0.000000001,F1062&gt;=01_因子設定!$L$6-0.000000001,F1062&lt;=01_因子設定!$M$6+0.000000001,G1062&gt;=01_因子設定!$L$7-0.000000001,G1062&lt;=01_因子設定!$M$7+0.000000001,H1062&gt;=01_因子設定!$L$8-0.000000001,H1062&lt;=01_因子設定!$M$8+0.000000001,IF(01_因子設定!$B$20="Box-Behnken",E1062^2+F1062^2+G1062^2+H1062^2&lt;=2+0.000000001,TRUE()))</f>
        <v>1</v>
      </c>
      <c r="AD1062" s="55" t="n">
        <f aca="false">IF(AC1062,IF(01_因子設定!$B$13="最大化",AA1062-01_因子設定!$B$14,IF(01_因子設定!$B$13="最小化",01_因子設定!$B$15-AB1062,MIN(AA1062-01_因子設定!$B$14,01_因子設定!$B$15-AB1062))),-1E+030)</f>
        <v>-5.30710010421282</v>
      </c>
      <c r="AE1062" s="55" t="n">
        <f aca="false">IF(AC1062,IF(01_因子設定!$B$13="最大化",X1062,IF(01_因子設定!$B$13="最小化",-X1062,-ABS(X1062-01_因子設定!$B$16))),-1E+030)</f>
        <v>42.7978070175438</v>
      </c>
      <c r="AF1062" s="55" t="n">
        <f aca="false">AD1062+ROW()*0.000000001</f>
        <v>-5.30709904221282</v>
      </c>
      <c r="AG1062" s="55" t="n">
        <f aca="false">AE1062+ROW()*0.000000001</f>
        <v>42.7978080795439</v>
      </c>
    </row>
    <row r="1063" customFormat="false" ht="15" hidden="false" customHeight="false" outlineLevel="0" collapsed="false">
      <c r="A1063" s="0" t="n">
        <v>1</v>
      </c>
      <c r="B1063" s="0" t="n">
        <v>4</v>
      </c>
      <c r="C1063" s="0" t="n">
        <v>0</v>
      </c>
      <c r="D1063" s="0" t="n">
        <v>5</v>
      </c>
      <c r="E1063" s="0" t="n">
        <f aca="false">-1+A1063*0.25</f>
        <v>-0.75</v>
      </c>
      <c r="F1063" s="0" t="n">
        <f aca="false">-1+B1063*0.25</f>
        <v>0</v>
      </c>
      <c r="G1063" s="0" t="n">
        <f aca="false">-1+C1063*0.25</f>
        <v>-1</v>
      </c>
      <c r="H1063" s="0" t="n">
        <f aca="false">-1+D1063*0.25</f>
        <v>0.25</v>
      </c>
      <c r="I1063" s="0" t="n">
        <f aca="false">1</f>
        <v>1</v>
      </c>
      <c r="J1063" s="0" t="n">
        <f aca="false">E1063</f>
        <v>-0.75</v>
      </c>
      <c r="K1063" s="0" t="n">
        <f aca="false">F1063</f>
        <v>0</v>
      </c>
      <c r="L1063" s="0" t="n">
        <f aca="false">G1063</f>
        <v>-1</v>
      </c>
      <c r="M1063" s="0" t="n">
        <f aca="false">H1063</f>
        <v>0.25</v>
      </c>
      <c r="N1063" s="0" t="n">
        <f aca="false">E1063*F1063</f>
        <v>-0</v>
      </c>
      <c r="O1063" s="0" t="n">
        <f aca="false">E1063*G1063</f>
        <v>0.75</v>
      </c>
      <c r="P1063" s="0" t="n">
        <f aca="false">E1063*H1063</f>
        <v>-0.1875</v>
      </c>
      <c r="Q1063" s="0" t="n">
        <f aca="false">F1063*G1063</f>
        <v>-0</v>
      </c>
      <c r="R1063" s="0" t="n">
        <f aca="false">F1063*H1063</f>
        <v>0</v>
      </c>
      <c r="S1063" s="0" t="n">
        <f aca="false">G1063*H1063</f>
        <v>-0.25</v>
      </c>
      <c r="T1063" s="0" t="n">
        <f aca="false">E1063*E1063</f>
        <v>0.5625</v>
      </c>
      <c r="U1063" s="0" t="n">
        <f aca="false">F1063*F1063</f>
        <v>0</v>
      </c>
      <c r="V1063" s="0" t="n">
        <f aca="false">G1063*G1063</f>
        <v>1</v>
      </c>
      <c r="W1063" s="0" t="n">
        <f aca="false">H1063*H1063</f>
        <v>0.0625</v>
      </c>
      <c r="X1063" s="0" t="n">
        <f aca="false">SUMPRODUCT(I1063:W1063,_XtX!$B$96:$P$96)</f>
        <v>42.7799798976608</v>
      </c>
      <c r="Y1063" s="0" t="n">
        <f aca="false">SUMPRODUCT(MMULT(I1063:W1063,_XtX!$B$78:$P$92),I1063:W1063)</f>
        <v>0.501534802174708</v>
      </c>
      <c r="Z1063" s="0" t="n">
        <f aca="false">04_回帰ANOVA!$K$19*04_回帰ANOVA!$K$14*SQRT(1+Y1063)</f>
        <v>1.59722498091333</v>
      </c>
      <c r="AA1063" s="0" t="n">
        <f aca="false">X1063-Z1063</f>
        <v>41.1827549167475</v>
      </c>
      <c r="AB1063" s="0" t="n">
        <f aca="false">X1063+Z1063</f>
        <v>44.3772048785741</v>
      </c>
      <c r="AC1063" s="54" t="b">
        <f aca="false">AND(E1063&gt;=01_因子設定!$L$5-0.000000001,E1063&lt;=01_因子設定!$M$5+0.000000001,F1063&gt;=01_因子設定!$L$6-0.000000001,F1063&lt;=01_因子設定!$M$6+0.000000001,G1063&gt;=01_因子設定!$L$7-0.000000001,G1063&lt;=01_因子設定!$M$7+0.000000001,H1063&gt;=01_因子設定!$L$8-0.000000001,H1063&lt;=01_因子設定!$M$8+0.000000001,IF(01_因子設定!$B$20="Box-Behnken",E1063^2+F1063^2+G1063^2+H1063^2&lt;=2+0.000000001,TRUE()))</f>
        <v>1</v>
      </c>
      <c r="AD1063" s="55" t="n">
        <f aca="false">IF(AC1063,IF(01_因子設定!$B$13="最大化",AA1063-01_因子設定!$B$14,IF(01_因子設定!$B$13="最小化",01_因子設定!$B$15-AB1063,MIN(AA1063-01_因子設定!$B$14,01_因子設定!$B$15-AB1063))),-1E+030)</f>
        <v>-5.31724508325252</v>
      </c>
      <c r="AE1063" s="55" t="n">
        <f aca="false">IF(AC1063,IF(01_因子設定!$B$13="最大化",X1063,IF(01_因子設定!$B$13="最小化",-X1063,-ABS(X1063-01_因子設定!$B$16))),-1E+030)</f>
        <v>42.7799798976608</v>
      </c>
      <c r="AF1063" s="55" t="n">
        <f aca="false">AD1063+ROW()*0.000000001</f>
        <v>-5.31724402025252</v>
      </c>
      <c r="AG1063" s="55" t="n">
        <f aca="false">AE1063+ROW()*0.000000001</f>
        <v>42.7799809606608</v>
      </c>
    </row>
    <row r="1064" customFormat="false" ht="15" hidden="false" customHeight="false" outlineLevel="0" collapsed="false">
      <c r="A1064" s="0" t="n">
        <v>1</v>
      </c>
      <c r="B1064" s="0" t="n">
        <v>4</v>
      </c>
      <c r="C1064" s="0" t="n">
        <v>0</v>
      </c>
      <c r="D1064" s="0" t="n">
        <v>6</v>
      </c>
      <c r="E1064" s="0" t="n">
        <f aca="false">-1+A1064*0.25</f>
        <v>-0.75</v>
      </c>
      <c r="F1064" s="0" t="n">
        <f aca="false">-1+B1064*0.25</f>
        <v>0</v>
      </c>
      <c r="G1064" s="0" t="n">
        <f aca="false">-1+C1064*0.25</f>
        <v>-1</v>
      </c>
      <c r="H1064" s="0" t="n">
        <f aca="false">-1+D1064*0.25</f>
        <v>0.5</v>
      </c>
      <c r="I1064" s="0" t="n">
        <f aca="false">1</f>
        <v>1</v>
      </c>
      <c r="J1064" s="0" t="n">
        <f aca="false">E1064</f>
        <v>-0.75</v>
      </c>
      <c r="K1064" s="0" t="n">
        <f aca="false">F1064</f>
        <v>0</v>
      </c>
      <c r="L1064" s="0" t="n">
        <f aca="false">G1064</f>
        <v>-1</v>
      </c>
      <c r="M1064" s="0" t="n">
        <f aca="false">H1064</f>
        <v>0.5</v>
      </c>
      <c r="N1064" s="0" t="n">
        <f aca="false">E1064*F1064</f>
        <v>-0</v>
      </c>
      <c r="O1064" s="0" t="n">
        <f aca="false">E1064*G1064</f>
        <v>0.75</v>
      </c>
      <c r="P1064" s="0" t="n">
        <f aca="false">E1064*H1064</f>
        <v>-0.375</v>
      </c>
      <c r="Q1064" s="0" t="n">
        <f aca="false">F1064*G1064</f>
        <v>-0</v>
      </c>
      <c r="R1064" s="0" t="n">
        <f aca="false">F1064*H1064</f>
        <v>0</v>
      </c>
      <c r="S1064" s="0" t="n">
        <f aca="false">G1064*H1064</f>
        <v>-0.5</v>
      </c>
      <c r="T1064" s="0" t="n">
        <f aca="false">E1064*E1064</f>
        <v>0.5625</v>
      </c>
      <c r="U1064" s="0" t="n">
        <f aca="false">F1064*F1064</f>
        <v>0</v>
      </c>
      <c r="V1064" s="0" t="n">
        <f aca="false">G1064*G1064</f>
        <v>1</v>
      </c>
      <c r="W1064" s="0" t="n">
        <f aca="false">H1064*H1064</f>
        <v>0.25</v>
      </c>
      <c r="X1064" s="0" t="n">
        <f aca="false">SUMPRODUCT(I1064:W1064,_XtX!$B$96:$P$96)</f>
        <v>42.7143457602339</v>
      </c>
      <c r="Y1064" s="0" t="n">
        <f aca="false">SUMPRODUCT(MMULT(I1064:W1064,_XtX!$B$78:$P$92),I1064:W1064)</f>
        <v>0.476191292032164</v>
      </c>
      <c r="Z1064" s="0" t="n">
        <f aca="false">04_回帰ANOVA!$K$19*04_回帰ANOVA!$K$14*SQRT(1+Y1064)</f>
        <v>1.58368831471718</v>
      </c>
      <c r="AA1064" s="0" t="n">
        <f aca="false">X1064-Z1064</f>
        <v>41.1306574455167</v>
      </c>
      <c r="AB1064" s="0" t="n">
        <f aca="false">X1064+Z1064</f>
        <v>44.2980340749511</v>
      </c>
      <c r="AC1064" s="54" t="b">
        <f aca="false">AND(E1064&gt;=01_因子設定!$L$5-0.000000001,E1064&lt;=01_因子設定!$M$5+0.000000001,F1064&gt;=01_因子設定!$L$6-0.000000001,F1064&lt;=01_因子設定!$M$6+0.000000001,G1064&gt;=01_因子設定!$L$7-0.000000001,G1064&lt;=01_因子設定!$M$7+0.000000001,H1064&gt;=01_因子設定!$L$8-0.000000001,H1064&lt;=01_因子設定!$M$8+0.000000001,IF(01_因子設定!$B$20="Box-Behnken",E1064^2+F1064^2+G1064^2+H1064^2&lt;=2+0.000000001,TRUE()))</f>
        <v>1</v>
      </c>
      <c r="AD1064" s="55" t="n">
        <f aca="false">IF(AC1064,IF(01_因子設定!$B$13="最大化",AA1064-01_因子設定!$B$14,IF(01_因子設定!$B$13="最小化",01_因子設定!$B$15-AB1064,MIN(AA1064-01_因子設定!$B$14,01_因子設定!$B$15-AB1064))),-1E+030)</f>
        <v>-5.36934255448326</v>
      </c>
      <c r="AE1064" s="55" t="n">
        <f aca="false">IF(AC1064,IF(01_因子設定!$B$13="最大化",X1064,IF(01_因子設定!$B$13="最小化",-X1064,-ABS(X1064-01_因子設定!$B$16))),-1E+030)</f>
        <v>42.7143457602339</v>
      </c>
      <c r="AF1064" s="55" t="n">
        <f aca="false">AD1064+ROW()*0.000000001</f>
        <v>-5.36934149048326</v>
      </c>
      <c r="AG1064" s="55" t="n">
        <f aca="false">AE1064+ROW()*0.000000001</f>
        <v>42.7143468242339</v>
      </c>
    </row>
    <row r="1065" customFormat="false" ht="15" hidden="false" customHeight="false" outlineLevel="0" collapsed="false">
      <c r="A1065" s="0" t="n">
        <v>1</v>
      </c>
      <c r="B1065" s="0" t="n">
        <v>4</v>
      </c>
      <c r="C1065" s="0" t="n">
        <v>0</v>
      </c>
      <c r="D1065" s="0" t="n">
        <v>7</v>
      </c>
      <c r="E1065" s="0" t="n">
        <f aca="false">-1+A1065*0.25</f>
        <v>-0.75</v>
      </c>
      <c r="F1065" s="0" t="n">
        <f aca="false">-1+B1065*0.25</f>
        <v>0</v>
      </c>
      <c r="G1065" s="0" t="n">
        <f aca="false">-1+C1065*0.25</f>
        <v>-1</v>
      </c>
      <c r="H1065" s="0" t="n">
        <f aca="false">-1+D1065*0.25</f>
        <v>0.75</v>
      </c>
      <c r="I1065" s="0" t="n">
        <f aca="false">1</f>
        <v>1</v>
      </c>
      <c r="J1065" s="0" t="n">
        <f aca="false">E1065</f>
        <v>-0.75</v>
      </c>
      <c r="K1065" s="0" t="n">
        <f aca="false">F1065</f>
        <v>0</v>
      </c>
      <c r="L1065" s="0" t="n">
        <f aca="false">G1065</f>
        <v>-1</v>
      </c>
      <c r="M1065" s="0" t="n">
        <f aca="false">H1065</f>
        <v>0.75</v>
      </c>
      <c r="N1065" s="0" t="n">
        <f aca="false">E1065*F1065</f>
        <v>-0</v>
      </c>
      <c r="O1065" s="0" t="n">
        <f aca="false">E1065*G1065</f>
        <v>0.75</v>
      </c>
      <c r="P1065" s="0" t="n">
        <f aca="false">E1065*H1065</f>
        <v>-0.5625</v>
      </c>
      <c r="Q1065" s="0" t="n">
        <f aca="false">F1065*G1065</f>
        <v>-0</v>
      </c>
      <c r="R1065" s="0" t="n">
        <f aca="false">F1065*H1065</f>
        <v>0</v>
      </c>
      <c r="S1065" s="0" t="n">
        <f aca="false">G1065*H1065</f>
        <v>-0.75</v>
      </c>
      <c r="T1065" s="0" t="n">
        <f aca="false">E1065*E1065</f>
        <v>0.5625</v>
      </c>
      <c r="U1065" s="0" t="n">
        <f aca="false">F1065*F1065</f>
        <v>0</v>
      </c>
      <c r="V1065" s="0" t="n">
        <f aca="false">G1065*G1065</f>
        <v>1</v>
      </c>
      <c r="W1065" s="0" t="n">
        <f aca="false">H1065*H1065</f>
        <v>0.5625</v>
      </c>
      <c r="X1065" s="0" t="n">
        <f aca="false">SUMPRODUCT(I1065:W1065,_XtX!$B$96:$P$96)</f>
        <v>42.6009046052632</v>
      </c>
      <c r="Y1065" s="0" t="n">
        <f aca="false">SUMPRODUCT(MMULT(I1065:W1065,_XtX!$B$78:$P$92),I1065:W1065)</f>
        <v>0.494259126005117</v>
      </c>
      <c r="Z1065" s="0" t="n">
        <f aca="false">04_回帰ANOVA!$K$19*04_回帰ANOVA!$K$14*SQRT(1+Y1065)</f>
        <v>1.59335061078203</v>
      </c>
      <c r="AA1065" s="0" t="n">
        <f aca="false">X1065-Z1065</f>
        <v>41.0075539944811</v>
      </c>
      <c r="AB1065" s="0" t="n">
        <f aca="false">X1065+Z1065</f>
        <v>44.1942552160452</v>
      </c>
      <c r="AC1065" s="54" t="b">
        <f aca="false">AND(E1065&gt;=01_因子設定!$L$5-0.000000001,E1065&lt;=01_因子設定!$M$5+0.000000001,F1065&gt;=01_因子設定!$L$6-0.000000001,F1065&lt;=01_因子設定!$M$6+0.000000001,G1065&gt;=01_因子設定!$L$7-0.000000001,G1065&lt;=01_因子設定!$M$7+0.000000001,H1065&gt;=01_因子設定!$L$8-0.000000001,H1065&lt;=01_因子設定!$M$8+0.000000001,IF(01_因子設定!$B$20="Box-Behnken",E1065^2+F1065^2+G1065^2+H1065^2&lt;=2+0.000000001,TRUE()))</f>
        <v>1</v>
      </c>
      <c r="AD1065" s="55" t="n">
        <f aca="false">IF(AC1065,IF(01_因子設定!$B$13="最大化",AA1065-01_因子設定!$B$14,IF(01_因子設定!$B$13="最小化",01_因子設定!$B$15-AB1065,MIN(AA1065-01_因子設定!$B$14,01_因子設定!$B$15-AB1065))),-1E+030)</f>
        <v>-5.49244600551886</v>
      </c>
      <c r="AE1065" s="55" t="n">
        <f aca="false">IF(AC1065,IF(01_因子設定!$B$13="最大化",X1065,IF(01_因子設定!$B$13="最小化",-X1065,-ABS(X1065-01_因子設定!$B$16))),-1E+030)</f>
        <v>42.6009046052632</v>
      </c>
      <c r="AF1065" s="55" t="n">
        <f aca="false">AD1065+ROW()*0.000000001</f>
        <v>-5.49244494051886</v>
      </c>
      <c r="AG1065" s="55" t="n">
        <f aca="false">AE1065+ROW()*0.000000001</f>
        <v>42.6009056702632</v>
      </c>
    </row>
    <row r="1066" customFormat="false" ht="15" hidden="false" customHeight="false" outlineLevel="0" collapsed="false">
      <c r="A1066" s="0" t="n">
        <v>1</v>
      </c>
      <c r="B1066" s="0" t="n">
        <v>4</v>
      </c>
      <c r="C1066" s="0" t="n">
        <v>0</v>
      </c>
      <c r="D1066" s="0" t="n">
        <v>8</v>
      </c>
      <c r="E1066" s="0" t="n">
        <f aca="false">-1+A1066*0.25</f>
        <v>-0.75</v>
      </c>
      <c r="F1066" s="0" t="n">
        <f aca="false">-1+B1066*0.25</f>
        <v>0</v>
      </c>
      <c r="G1066" s="0" t="n">
        <f aca="false">-1+C1066*0.25</f>
        <v>-1</v>
      </c>
      <c r="H1066" s="0" t="n">
        <f aca="false">-1+D1066*0.25</f>
        <v>1</v>
      </c>
      <c r="I1066" s="0" t="n">
        <f aca="false">1</f>
        <v>1</v>
      </c>
      <c r="J1066" s="0" t="n">
        <f aca="false">E1066</f>
        <v>-0.75</v>
      </c>
      <c r="K1066" s="0" t="n">
        <f aca="false">F1066</f>
        <v>0</v>
      </c>
      <c r="L1066" s="0" t="n">
        <f aca="false">G1066</f>
        <v>-1</v>
      </c>
      <c r="M1066" s="0" t="n">
        <f aca="false">H1066</f>
        <v>1</v>
      </c>
      <c r="N1066" s="0" t="n">
        <f aca="false">E1066*F1066</f>
        <v>-0</v>
      </c>
      <c r="O1066" s="0" t="n">
        <f aca="false">E1066*G1066</f>
        <v>0.75</v>
      </c>
      <c r="P1066" s="0" t="n">
        <f aca="false">E1066*H1066</f>
        <v>-0.75</v>
      </c>
      <c r="Q1066" s="0" t="n">
        <f aca="false">F1066*G1066</f>
        <v>-0</v>
      </c>
      <c r="R1066" s="0" t="n">
        <f aca="false">F1066*H1066</f>
        <v>0</v>
      </c>
      <c r="S1066" s="0" t="n">
        <f aca="false">G1066*H1066</f>
        <v>-1</v>
      </c>
      <c r="T1066" s="0" t="n">
        <f aca="false">E1066*E1066</f>
        <v>0.5625</v>
      </c>
      <c r="U1066" s="0" t="n">
        <f aca="false">F1066*F1066</f>
        <v>0</v>
      </c>
      <c r="V1066" s="0" t="n">
        <f aca="false">G1066*G1066</f>
        <v>1</v>
      </c>
      <c r="W1066" s="0" t="n">
        <f aca="false">H1066*H1066</f>
        <v>1</v>
      </c>
      <c r="X1066" s="0" t="n">
        <f aca="false">SUMPRODUCT(I1066:W1066,_XtX!$B$96:$P$96)</f>
        <v>42.4396564327486</v>
      </c>
      <c r="Y1066" s="0" t="n">
        <f aca="false">SUMPRODUCT(MMULT(I1066:W1066,_XtX!$B$78:$P$92),I1066:W1066)</f>
        <v>0.646198830409357</v>
      </c>
      <c r="Z1066" s="0" t="n">
        <f aca="false">04_回帰ANOVA!$K$19*04_回帰ANOVA!$K$14*SQRT(1+Y1066)</f>
        <v>1.67239760569756</v>
      </c>
      <c r="AA1066" s="0" t="n">
        <f aca="false">X1066-Z1066</f>
        <v>40.767258827051</v>
      </c>
      <c r="AB1066" s="0" t="n">
        <f aca="false">X1066+Z1066</f>
        <v>44.1120540384461</v>
      </c>
      <c r="AC1066" s="54" t="b">
        <f aca="false">AND(E1066&gt;=01_因子設定!$L$5-0.000000001,E1066&lt;=01_因子設定!$M$5+0.000000001,F1066&gt;=01_因子設定!$L$6-0.000000001,F1066&lt;=01_因子設定!$M$6+0.000000001,G1066&gt;=01_因子設定!$L$7-0.000000001,G1066&lt;=01_因子設定!$M$7+0.000000001,H1066&gt;=01_因子設定!$L$8-0.000000001,H1066&lt;=01_因子設定!$M$8+0.000000001,IF(01_因子設定!$B$20="Box-Behnken",E1066^2+F1066^2+G1066^2+H1066^2&lt;=2+0.000000001,TRUE()))</f>
        <v>1</v>
      </c>
      <c r="AD1066" s="55" t="n">
        <f aca="false">IF(AC1066,IF(01_因子設定!$B$13="最大化",AA1066-01_因子設定!$B$14,IF(01_因子設定!$B$13="最小化",01_因子設定!$B$15-AB1066,MIN(AA1066-01_因子設定!$B$14,01_因子設定!$B$15-AB1066))),-1E+030)</f>
        <v>-5.73274117294899</v>
      </c>
      <c r="AE1066" s="55" t="n">
        <f aca="false">IF(AC1066,IF(01_因子設定!$B$13="最大化",X1066,IF(01_因子設定!$B$13="最小化",-X1066,-ABS(X1066-01_因子設定!$B$16))),-1E+030)</f>
        <v>42.4396564327486</v>
      </c>
      <c r="AF1066" s="55" t="n">
        <f aca="false">AD1066+ROW()*0.000000001</f>
        <v>-5.73274010694899</v>
      </c>
      <c r="AG1066" s="55" t="n">
        <f aca="false">AE1066+ROW()*0.000000001</f>
        <v>42.4396574987486</v>
      </c>
    </row>
    <row r="1067" customFormat="false" ht="15" hidden="false" customHeight="false" outlineLevel="0" collapsed="false">
      <c r="A1067" s="0" t="n">
        <v>1</v>
      </c>
      <c r="B1067" s="0" t="n">
        <v>4</v>
      </c>
      <c r="C1067" s="0" t="n">
        <v>1</v>
      </c>
      <c r="D1067" s="0" t="n">
        <v>0</v>
      </c>
      <c r="E1067" s="0" t="n">
        <f aca="false">-1+A1067*0.25</f>
        <v>-0.75</v>
      </c>
      <c r="F1067" s="0" t="n">
        <f aca="false">-1+B1067*0.25</f>
        <v>0</v>
      </c>
      <c r="G1067" s="0" t="n">
        <f aca="false">-1+C1067*0.25</f>
        <v>-0.75</v>
      </c>
      <c r="H1067" s="0" t="n">
        <f aca="false">-1+D1067*0.25</f>
        <v>-1</v>
      </c>
      <c r="I1067" s="0" t="n">
        <f aca="false">1</f>
        <v>1</v>
      </c>
      <c r="J1067" s="0" t="n">
        <f aca="false">E1067</f>
        <v>-0.75</v>
      </c>
      <c r="K1067" s="0" t="n">
        <f aca="false">F1067</f>
        <v>0</v>
      </c>
      <c r="L1067" s="0" t="n">
        <f aca="false">G1067</f>
        <v>-0.75</v>
      </c>
      <c r="M1067" s="0" t="n">
        <f aca="false">H1067</f>
        <v>-1</v>
      </c>
      <c r="N1067" s="0" t="n">
        <f aca="false">E1067*F1067</f>
        <v>-0</v>
      </c>
      <c r="O1067" s="0" t="n">
        <f aca="false">E1067*G1067</f>
        <v>0.5625</v>
      </c>
      <c r="P1067" s="0" t="n">
        <f aca="false">E1067*H1067</f>
        <v>0.75</v>
      </c>
      <c r="Q1067" s="0" t="n">
        <f aca="false">F1067*G1067</f>
        <v>-0</v>
      </c>
      <c r="R1067" s="0" t="n">
        <f aca="false">F1067*H1067</f>
        <v>-0</v>
      </c>
      <c r="S1067" s="0" t="n">
        <f aca="false">G1067*H1067</f>
        <v>0.75</v>
      </c>
      <c r="T1067" s="0" t="n">
        <f aca="false">E1067*E1067</f>
        <v>0.5625</v>
      </c>
      <c r="U1067" s="0" t="n">
        <f aca="false">F1067*F1067</f>
        <v>0</v>
      </c>
      <c r="V1067" s="0" t="n">
        <f aca="false">G1067*G1067</f>
        <v>0.5625</v>
      </c>
      <c r="W1067" s="0" t="n">
        <f aca="false">H1067*H1067</f>
        <v>1</v>
      </c>
      <c r="X1067" s="0" t="n">
        <f aca="false">SUMPRODUCT(I1067:W1067,_XtX!$B$96:$P$96)</f>
        <v>42.9854532163743</v>
      </c>
      <c r="Y1067" s="0" t="n">
        <f aca="false">SUMPRODUCT(MMULT(I1067:W1067,_XtX!$B$78:$P$92),I1067:W1067)</f>
        <v>0.494259126005117</v>
      </c>
      <c r="Z1067" s="0" t="n">
        <f aca="false">04_回帰ANOVA!$K$19*04_回帰ANOVA!$K$14*SQRT(1+Y1067)</f>
        <v>1.59335061078203</v>
      </c>
      <c r="AA1067" s="0" t="n">
        <f aca="false">X1067-Z1067</f>
        <v>41.3921026055923</v>
      </c>
      <c r="AB1067" s="0" t="n">
        <f aca="false">X1067+Z1067</f>
        <v>44.5788038271563</v>
      </c>
      <c r="AC1067" s="54" t="b">
        <f aca="false">AND(E1067&gt;=01_因子設定!$L$5-0.000000001,E1067&lt;=01_因子設定!$M$5+0.000000001,F1067&gt;=01_因子設定!$L$6-0.000000001,F1067&lt;=01_因子設定!$M$6+0.000000001,G1067&gt;=01_因子設定!$L$7-0.000000001,G1067&lt;=01_因子設定!$M$7+0.000000001,H1067&gt;=01_因子設定!$L$8-0.000000001,H1067&lt;=01_因子設定!$M$8+0.000000001,IF(01_因子設定!$B$20="Box-Behnken",E1067^2+F1067^2+G1067^2+H1067^2&lt;=2+0.000000001,TRUE()))</f>
        <v>1</v>
      </c>
      <c r="AD1067" s="55" t="n">
        <f aca="false">IF(AC1067,IF(01_因子設定!$B$13="最大化",AA1067-01_因子設定!$B$14,IF(01_因子設定!$B$13="最小化",01_因子設定!$B$15-AB1067,MIN(AA1067-01_因子設定!$B$14,01_因子設定!$B$15-AB1067))),-1E+030)</f>
        <v>-5.10789739440773</v>
      </c>
      <c r="AE1067" s="55" t="n">
        <f aca="false">IF(AC1067,IF(01_因子設定!$B$13="最大化",X1067,IF(01_因子設定!$B$13="最小化",-X1067,-ABS(X1067-01_因子設定!$B$16))),-1E+030)</f>
        <v>42.9854532163743</v>
      </c>
      <c r="AF1067" s="55" t="n">
        <f aca="false">AD1067+ROW()*0.000000001</f>
        <v>-5.10789632740773</v>
      </c>
      <c r="AG1067" s="55" t="n">
        <f aca="false">AE1067+ROW()*0.000000001</f>
        <v>42.9854542833743</v>
      </c>
    </row>
    <row r="1068" customFormat="false" ht="15" hidden="false" customHeight="false" outlineLevel="0" collapsed="false">
      <c r="A1068" s="0" t="n">
        <v>1</v>
      </c>
      <c r="B1068" s="0" t="n">
        <v>4</v>
      </c>
      <c r="C1068" s="0" t="n">
        <v>1</v>
      </c>
      <c r="D1068" s="0" t="n">
        <v>1</v>
      </c>
      <c r="E1068" s="0" t="n">
        <f aca="false">-1+A1068*0.25</f>
        <v>-0.75</v>
      </c>
      <c r="F1068" s="0" t="n">
        <f aca="false">-1+B1068*0.25</f>
        <v>0</v>
      </c>
      <c r="G1068" s="0" t="n">
        <f aca="false">-1+C1068*0.25</f>
        <v>-0.75</v>
      </c>
      <c r="H1068" s="0" t="n">
        <f aca="false">-1+D1068*0.25</f>
        <v>-0.75</v>
      </c>
      <c r="I1068" s="0" t="n">
        <f aca="false">1</f>
        <v>1</v>
      </c>
      <c r="J1068" s="0" t="n">
        <f aca="false">E1068</f>
        <v>-0.75</v>
      </c>
      <c r="K1068" s="0" t="n">
        <f aca="false">F1068</f>
        <v>0</v>
      </c>
      <c r="L1068" s="0" t="n">
        <f aca="false">G1068</f>
        <v>-0.75</v>
      </c>
      <c r="M1068" s="0" t="n">
        <f aca="false">H1068</f>
        <v>-0.75</v>
      </c>
      <c r="N1068" s="0" t="n">
        <f aca="false">E1068*F1068</f>
        <v>-0</v>
      </c>
      <c r="O1068" s="0" t="n">
        <f aca="false">E1068*G1068</f>
        <v>0.5625</v>
      </c>
      <c r="P1068" s="0" t="n">
        <f aca="false">E1068*H1068</f>
        <v>0.5625</v>
      </c>
      <c r="Q1068" s="0" t="n">
        <f aca="false">F1068*G1068</f>
        <v>-0</v>
      </c>
      <c r="R1068" s="0" t="n">
        <f aca="false">F1068*H1068</f>
        <v>-0</v>
      </c>
      <c r="S1068" s="0" t="n">
        <f aca="false">G1068*H1068</f>
        <v>0.5625</v>
      </c>
      <c r="T1068" s="0" t="n">
        <f aca="false">E1068*E1068</f>
        <v>0.5625</v>
      </c>
      <c r="U1068" s="0" t="n">
        <f aca="false">F1068*F1068</f>
        <v>0</v>
      </c>
      <c r="V1068" s="0" t="n">
        <f aca="false">G1068*G1068</f>
        <v>0.5625</v>
      </c>
      <c r="W1068" s="0" t="n">
        <f aca="false">H1068*H1068</f>
        <v>0.5625</v>
      </c>
      <c r="X1068" s="0" t="n">
        <f aca="false">SUMPRODUCT(I1068:W1068,_XtX!$B$96:$P$96)</f>
        <v>43.1768229166667</v>
      </c>
      <c r="Y1068" s="0" t="n">
        <f aca="false">SUMPRODUCT(MMULT(I1068:W1068,_XtX!$B$78:$P$92),I1068:W1068)</f>
        <v>0.310628255208333</v>
      </c>
      <c r="Z1068" s="0" t="n">
        <f aca="false">04_回帰ANOVA!$K$19*04_回帰ANOVA!$K$14*SQRT(1+Y1068)</f>
        <v>1.49223820892344</v>
      </c>
      <c r="AA1068" s="0" t="n">
        <f aca="false">X1068-Z1068</f>
        <v>41.6845847077432</v>
      </c>
      <c r="AB1068" s="0" t="n">
        <f aca="false">X1068+Z1068</f>
        <v>44.6690611255901</v>
      </c>
      <c r="AC1068" s="54" t="b">
        <f aca="false">AND(E1068&gt;=01_因子設定!$L$5-0.000000001,E1068&lt;=01_因子設定!$M$5+0.000000001,F1068&gt;=01_因子設定!$L$6-0.000000001,F1068&lt;=01_因子設定!$M$6+0.000000001,G1068&gt;=01_因子設定!$L$7-0.000000001,G1068&lt;=01_因子設定!$M$7+0.000000001,H1068&gt;=01_因子設定!$L$8-0.000000001,H1068&lt;=01_因子設定!$M$8+0.000000001,IF(01_因子設定!$B$20="Box-Behnken",E1068^2+F1068^2+G1068^2+H1068^2&lt;=2+0.000000001,TRUE()))</f>
        <v>1</v>
      </c>
      <c r="AD1068" s="55" t="n">
        <f aca="false">IF(AC1068,IF(01_因子設定!$B$13="最大化",AA1068-01_因子設定!$B$14,IF(01_因子設定!$B$13="最小化",01_因子設定!$B$15-AB1068,MIN(AA1068-01_因子設定!$B$14,01_因子設定!$B$15-AB1068))),-1E+030)</f>
        <v>-4.81541529225677</v>
      </c>
      <c r="AE1068" s="55" t="n">
        <f aca="false">IF(AC1068,IF(01_因子設定!$B$13="最大化",X1068,IF(01_因子設定!$B$13="最小化",-X1068,-ABS(X1068-01_因子設定!$B$16))),-1E+030)</f>
        <v>43.1768229166667</v>
      </c>
      <c r="AF1068" s="55" t="n">
        <f aca="false">AD1068+ROW()*0.000000001</f>
        <v>-4.81541422425677</v>
      </c>
      <c r="AG1068" s="55" t="n">
        <f aca="false">AE1068+ROW()*0.000000001</f>
        <v>43.1768239846667</v>
      </c>
    </row>
    <row r="1069" customFormat="false" ht="15" hidden="false" customHeight="false" outlineLevel="0" collapsed="false">
      <c r="A1069" s="0" t="n">
        <v>1</v>
      </c>
      <c r="B1069" s="0" t="n">
        <v>4</v>
      </c>
      <c r="C1069" s="0" t="n">
        <v>1</v>
      </c>
      <c r="D1069" s="0" t="n">
        <v>2</v>
      </c>
      <c r="E1069" s="0" t="n">
        <f aca="false">-1+A1069*0.25</f>
        <v>-0.75</v>
      </c>
      <c r="F1069" s="0" t="n">
        <f aca="false">-1+B1069*0.25</f>
        <v>0</v>
      </c>
      <c r="G1069" s="0" t="n">
        <f aca="false">-1+C1069*0.25</f>
        <v>-0.75</v>
      </c>
      <c r="H1069" s="0" t="n">
        <f aca="false">-1+D1069*0.25</f>
        <v>-0.5</v>
      </c>
      <c r="I1069" s="0" t="n">
        <f aca="false">1</f>
        <v>1</v>
      </c>
      <c r="J1069" s="0" t="n">
        <f aca="false">E1069</f>
        <v>-0.75</v>
      </c>
      <c r="K1069" s="0" t="n">
        <f aca="false">F1069</f>
        <v>0</v>
      </c>
      <c r="L1069" s="0" t="n">
        <f aca="false">G1069</f>
        <v>-0.75</v>
      </c>
      <c r="M1069" s="0" t="n">
        <f aca="false">H1069</f>
        <v>-0.5</v>
      </c>
      <c r="N1069" s="0" t="n">
        <f aca="false">E1069*F1069</f>
        <v>-0</v>
      </c>
      <c r="O1069" s="0" t="n">
        <f aca="false">E1069*G1069</f>
        <v>0.5625</v>
      </c>
      <c r="P1069" s="0" t="n">
        <f aca="false">E1069*H1069</f>
        <v>0.375</v>
      </c>
      <c r="Q1069" s="0" t="n">
        <f aca="false">F1069*G1069</f>
        <v>-0</v>
      </c>
      <c r="R1069" s="0" t="n">
        <f aca="false">F1069*H1069</f>
        <v>-0</v>
      </c>
      <c r="S1069" s="0" t="n">
        <f aca="false">G1069*H1069</f>
        <v>0.375</v>
      </c>
      <c r="T1069" s="0" t="n">
        <f aca="false">E1069*E1069</f>
        <v>0.5625</v>
      </c>
      <c r="U1069" s="0" t="n">
        <f aca="false">F1069*F1069</f>
        <v>0</v>
      </c>
      <c r="V1069" s="0" t="n">
        <f aca="false">G1069*G1069</f>
        <v>0.5625</v>
      </c>
      <c r="W1069" s="0" t="n">
        <f aca="false">H1069*H1069</f>
        <v>0.25</v>
      </c>
      <c r="X1069" s="0" t="n">
        <f aca="false">SUMPRODUCT(I1069:W1069,_XtX!$B$96:$P$96)</f>
        <v>43.3203855994152</v>
      </c>
      <c r="Y1069" s="0" t="n">
        <f aca="false">SUMPRODUCT(MMULT(I1069:W1069,_XtX!$B$78:$P$92),I1069:W1069)</f>
        <v>0.269923873812135</v>
      </c>
      <c r="Z1069" s="0" t="n">
        <f aca="false">04_回帰ANOVA!$K$19*04_回帰ANOVA!$K$14*SQRT(1+Y1069)</f>
        <v>1.46888310825501</v>
      </c>
      <c r="AA1069" s="0" t="n">
        <f aca="false">X1069-Z1069</f>
        <v>41.8515024911602</v>
      </c>
      <c r="AB1069" s="0" t="n">
        <f aca="false">X1069+Z1069</f>
        <v>44.7892687076702</v>
      </c>
      <c r="AC1069" s="54" t="b">
        <f aca="false">AND(E1069&gt;=01_因子設定!$L$5-0.000000001,E1069&lt;=01_因子設定!$M$5+0.000000001,F1069&gt;=01_因子設定!$L$6-0.000000001,F1069&lt;=01_因子設定!$M$6+0.000000001,G1069&gt;=01_因子設定!$L$7-0.000000001,G1069&lt;=01_因子設定!$M$7+0.000000001,H1069&gt;=01_因子設定!$L$8-0.000000001,H1069&lt;=01_因子設定!$M$8+0.000000001,IF(01_因子設定!$B$20="Box-Behnken",E1069^2+F1069^2+G1069^2+H1069^2&lt;=2+0.000000001,TRUE()))</f>
        <v>1</v>
      </c>
      <c r="AD1069" s="55" t="n">
        <f aca="false">IF(AC1069,IF(01_因子設定!$B$13="最大化",AA1069-01_因子設定!$B$14,IF(01_因子設定!$B$13="最小化",01_因子設定!$B$15-AB1069,MIN(AA1069-01_因子設定!$B$14,01_因子設定!$B$15-AB1069))),-1E+030)</f>
        <v>-4.6484975088398</v>
      </c>
      <c r="AE1069" s="55" t="n">
        <f aca="false">IF(AC1069,IF(01_因子設定!$B$13="最大化",X1069,IF(01_因子設定!$B$13="最小化",-X1069,-ABS(X1069-01_因子設定!$B$16))),-1E+030)</f>
        <v>43.3203855994152</v>
      </c>
      <c r="AF1069" s="55" t="n">
        <f aca="false">AD1069+ROW()*0.000000001</f>
        <v>-4.6484964398398</v>
      </c>
      <c r="AG1069" s="55" t="n">
        <f aca="false">AE1069+ROW()*0.000000001</f>
        <v>43.3203866684152</v>
      </c>
    </row>
    <row r="1070" customFormat="false" ht="15" hidden="false" customHeight="false" outlineLevel="0" collapsed="false">
      <c r="A1070" s="0" t="n">
        <v>1</v>
      </c>
      <c r="B1070" s="0" t="n">
        <v>4</v>
      </c>
      <c r="C1070" s="0" t="n">
        <v>1</v>
      </c>
      <c r="D1070" s="0" t="n">
        <v>3</v>
      </c>
      <c r="E1070" s="0" t="n">
        <f aca="false">-1+A1070*0.25</f>
        <v>-0.75</v>
      </c>
      <c r="F1070" s="0" t="n">
        <f aca="false">-1+B1070*0.25</f>
        <v>0</v>
      </c>
      <c r="G1070" s="0" t="n">
        <f aca="false">-1+C1070*0.25</f>
        <v>-0.75</v>
      </c>
      <c r="H1070" s="0" t="n">
        <f aca="false">-1+D1070*0.25</f>
        <v>-0.25</v>
      </c>
      <c r="I1070" s="0" t="n">
        <f aca="false">1</f>
        <v>1</v>
      </c>
      <c r="J1070" s="0" t="n">
        <f aca="false">E1070</f>
        <v>-0.75</v>
      </c>
      <c r="K1070" s="0" t="n">
        <f aca="false">F1070</f>
        <v>0</v>
      </c>
      <c r="L1070" s="0" t="n">
        <f aca="false">G1070</f>
        <v>-0.75</v>
      </c>
      <c r="M1070" s="0" t="n">
        <f aca="false">H1070</f>
        <v>-0.25</v>
      </c>
      <c r="N1070" s="0" t="n">
        <f aca="false">E1070*F1070</f>
        <v>-0</v>
      </c>
      <c r="O1070" s="0" t="n">
        <f aca="false">E1070*G1070</f>
        <v>0.5625</v>
      </c>
      <c r="P1070" s="0" t="n">
        <f aca="false">E1070*H1070</f>
        <v>0.1875</v>
      </c>
      <c r="Q1070" s="0" t="n">
        <f aca="false">F1070*G1070</f>
        <v>-0</v>
      </c>
      <c r="R1070" s="0" t="n">
        <f aca="false">F1070*H1070</f>
        <v>-0</v>
      </c>
      <c r="S1070" s="0" t="n">
        <f aca="false">G1070*H1070</f>
        <v>0.1875</v>
      </c>
      <c r="T1070" s="0" t="n">
        <f aca="false">E1070*E1070</f>
        <v>0.5625</v>
      </c>
      <c r="U1070" s="0" t="n">
        <f aca="false">F1070*F1070</f>
        <v>0</v>
      </c>
      <c r="V1070" s="0" t="n">
        <f aca="false">G1070*G1070</f>
        <v>0.5625</v>
      </c>
      <c r="W1070" s="0" t="n">
        <f aca="false">H1070*H1070</f>
        <v>0.0625</v>
      </c>
      <c r="X1070" s="0" t="n">
        <f aca="false">SUMPRODUCT(I1070:W1070,_XtX!$B$96:$P$96)</f>
        <v>43.4161412646199</v>
      </c>
      <c r="Y1070" s="0" t="n">
        <f aca="false">SUMPRODUCT(MMULT(I1070:W1070,_XtX!$B$78:$P$92),I1070:W1070)</f>
        <v>0.281685455500731</v>
      </c>
      <c r="Z1070" s="0" t="n">
        <f aca="false">04_回帰ANOVA!$K$19*04_回帰ANOVA!$K$14*SQRT(1+Y1070)</f>
        <v>1.47566956658694</v>
      </c>
      <c r="AA1070" s="0" t="n">
        <f aca="false">X1070-Z1070</f>
        <v>41.9404716980329</v>
      </c>
      <c r="AB1070" s="0" t="n">
        <f aca="false">X1070+Z1070</f>
        <v>44.8918108312068</v>
      </c>
      <c r="AC1070" s="54" t="b">
        <f aca="false">AND(E1070&gt;=01_因子設定!$L$5-0.000000001,E1070&lt;=01_因子設定!$M$5+0.000000001,F1070&gt;=01_因子設定!$L$6-0.000000001,F1070&lt;=01_因子設定!$M$6+0.000000001,G1070&gt;=01_因子設定!$L$7-0.000000001,G1070&lt;=01_因子設定!$M$7+0.000000001,H1070&gt;=01_因子設定!$L$8-0.000000001,H1070&lt;=01_因子設定!$M$8+0.000000001,IF(01_因子設定!$B$20="Box-Behnken",E1070^2+F1070^2+G1070^2+H1070^2&lt;=2+0.000000001,TRUE()))</f>
        <v>1</v>
      </c>
      <c r="AD1070" s="55" t="n">
        <f aca="false">IF(AC1070,IF(01_因子設定!$B$13="最大化",AA1070-01_因子設定!$B$14,IF(01_因子設定!$B$13="最小化",01_因子設定!$B$15-AB1070,MIN(AA1070-01_因子設定!$B$14,01_因子設定!$B$15-AB1070))),-1E+030)</f>
        <v>-4.55952830196706</v>
      </c>
      <c r="AE1070" s="55" t="n">
        <f aca="false">IF(AC1070,IF(01_因子設定!$B$13="最大化",X1070,IF(01_因子設定!$B$13="最小化",-X1070,-ABS(X1070-01_因子設定!$B$16))),-1E+030)</f>
        <v>43.4161412646199</v>
      </c>
      <c r="AF1070" s="55" t="n">
        <f aca="false">AD1070+ROW()*0.000000001</f>
        <v>-4.55952723196706</v>
      </c>
      <c r="AG1070" s="55" t="n">
        <f aca="false">AE1070+ROW()*0.000000001</f>
        <v>43.4161423346199</v>
      </c>
    </row>
    <row r="1071" customFormat="false" ht="15" hidden="false" customHeight="false" outlineLevel="0" collapsed="false">
      <c r="A1071" s="0" t="n">
        <v>1</v>
      </c>
      <c r="B1071" s="0" t="n">
        <v>4</v>
      </c>
      <c r="C1071" s="0" t="n">
        <v>1</v>
      </c>
      <c r="D1071" s="0" t="n">
        <v>4</v>
      </c>
      <c r="E1071" s="0" t="n">
        <f aca="false">-1+A1071*0.25</f>
        <v>-0.75</v>
      </c>
      <c r="F1071" s="0" t="n">
        <f aca="false">-1+B1071*0.25</f>
        <v>0</v>
      </c>
      <c r="G1071" s="0" t="n">
        <f aca="false">-1+C1071*0.25</f>
        <v>-0.75</v>
      </c>
      <c r="H1071" s="0" t="n">
        <f aca="false">-1+D1071*0.25</f>
        <v>0</v>
      </c>
      <c r="I1071" s="0" t="n">
        <f aca="false">1</f>
        <v>1</v>
      </c>
      <c r="J1071" s="0" t="n">
        <f aca="false">E1071</f>
        <v>-0.75</v>
      </c>
      <c r="K1071" s="0" t="n">
        <f aca="false">F1071</f>
        <v>0</v>
      </c>
      <c r="L1071" s="0" t="n">
        <f aca="false">G1071</f>
        <v>-0.75</v>
      </c>
      <c r="M1071" s="0" t="n">
        <f aca="false">H1071</f>
        <v>0</v>
      </c>
      <c r="N1071" s="0" t="n">
        <f aca="false">E1071*F1071</f>
        <v>-0</v>
      </c>
      <c r="O1071" s="0" t="n">
        <f aca="false">E1071*G1071</f>
        <v>0.5625</v>
      </c>
      <c r="P1071" s="0" t="n">
        <f aca="false">E1071*H1071</f>
        <v>-0</v>
      </c>
      <c r="Q1071" s="0" t="n">
        <f aca="false">F1071*G1071</f>
        <v>-0</v>
      </c>
      <c r="R1071" s="0" t="n">
        <f aca="false">F1071*H1071</f>
        <v>0</v>
      </c>
      <c r="S1071" s="0" t="n">
        <f aca="false">G1071*H1071</f>
        <v>-0</v>
      </c>
      <c r="T1071" s="0" t="n">
        <f aca="false">E1071*E1071</f>
        <v>0.5625</v>
      </c>
      <c r="U1071" s="0" t="n">
        <f aca="false">F1071*F1071</f>
        <v>0</v>
      </c>
      <c r="V1071" s="0" t="n">
        <f aca="false">G1071*G1071</f>
        <v>0.5625</v>
      </c>
      <c r="W1071" s="0" t="n">
        <f aca="false">H1071*H1071</f>
        <v>0</v>
      </c>
      <c r="X1071" s="0" t="n">
        <f aca="false">SUMPRODUCT(I1071:W1071,_XtX!$B$96:$P$96)</f>
        <v>43.4640899122807</v>
      </c>
      <c r="Y1071" s="0" t="n">
        <f aca="false">SUMPRODUCT(MMULT(I1071:W1071,_XtX!$B$78:$P$92),I1071:W1071)</f>
        <v>0.291636684484649</v>
      </c>
      <c r="Z1071" s="0" t="n">
        <f aca="false">04_回帰ANOVA!$K$19*04_回帰ANOVA!$K$14*SQRT(1+Y1071)</f>
        <v>1.48138716762813</v>
      </c>
      <c r="AA1071" s="0" t="n">
        <f aca="false">X1071-Z1071</f>
        <v>41.9827027446526</v>
      </c>
      <c r="AB1071" s="0" t="n">
        <f aca="false">X1071+Z1071</f>
        <v>44.9454770799088</v>
      </c>
      <c r="AC1071" s="54" t="b">
        <f aca="false">AND(E1071&gt;=01_因子設定!$L$5-0.000000001,E1071&lt;=01_因子設定!$M$5+0.000000001,F1071&gt;=01_因子設定!$L$6-0.000000001,F1071&lt;=01_因子設定!$M$6+0.000000001,G1071&gt;=01_因子設定!$L$7-0.000000001,G1071&lt;=01_因子設定!$M$7+0.000000001,H1071&gt;=01_因子設定!$L$8-0.000000001,H1071&lt;=01_因子設定!$M$8+0.000000001,IF(01_因子設定!$B$20="Box-Behnken",E1071^2+F1071^2+G1071^2+H1071^2&lt;=2+0.000000001,TRUE()))</f>
        <v>1</v>
      </c>
      <c r="AD1071" s="55" t="n">
        <f aca="false">IF(AC1071,IF(01_因子設定!$B$13="最大化",AA1071-01_因子設定!$B$14,IF(01_因子設定!$B$13="最小化",01_因子設定!$B$15-AB1071,MIN(AA1071-01_因子設定!$B$14,01_因子設定!$B$15-AB1071))),-1E+030)</f>
        <v>-4.51729725534744</v>
      </c>
      <c r="AE1071" s="55" t="n">
        <f aca="false">IF(AC1071,IF(01_因子設定!$B$13="最大化",X1071,IF(01_因子設定!$B$13="最小化",-X1071,-ABS(X1071-01_因子設定!$B$16))),-1E+030)</f>
        <v>43.4640899122807</v>
      </c>
      <c r="AF1071" s="55" t="n">
        <f aca="false">AD1071+ROW()*0.000000001</f>
        <v>-4.51729618434744</v>
      </c>
      <c r="AG1071" s="55" t="n">
        <f aca="false">AE1071+ROW()*0.000000001</f>
        <v>43.4640909832807</v>
      </c>
    </row>
    <row r="1072" customFormat="false" ht="15" hidden="false" customHeight="false" outlineLevel="0" collapsed="false">
      <c r="A1072" s="0" t="n">
        <v>1</v>
      </c>
      <c r="B1072" s="0" t="n">
        <v>4</v>
      </c>
      <c r="C1072" s="0" t="n">
        <v>1</v>
      </c>
      <c r="D1072" s="0" t="n">
        <v>5</v>
      </c>
      <c r="E1072" s="0" t="n">
        <f aca="false">-1+A1072*0.25</f>
        <v>-0.75</v>
      </c>
      <c r="F1072" s="0" t="n">
        <f aca="false">-1+B1072*0.25</f>
        <v>0</v>
      </c>
      <c r="G1072" s="0" t="n">
        <f aca="false">-1+C1072*0.25</f>
        <v>-0.75</v>
      </c>
      <c r="H1072" s="0" t="n">
        <f aca="false">-1+D1072*0.25</f>
        <v>0.25</v>
      </c>
      <c r="I1072" s="0" t="n">
        <f aca="false">1</f>
        <v>1</v>
      </c>
      <c r="J1072" s="0" t="n">
        <f aca="false">E1072</f>
        <v>-0.75</v>
      </c>
      <c r="K1072" s="0" t="n">
        <f aca="false">F1072</f>
        <v>0</v>
      </c>
      <c r="L1072" s="0" t="n">
        <f aca="false">G1072</f>
        <v>-0.75</v>
      </c>
      <c r="M1072" s="0" t="n">
        <f aca="false">H1072</f>
        <v>0.25</v>
      </c>
      <c r="N1072" s="0" t="n">
        <f aca="false">E1072*F1072</f>
        <v>-0</v>
      </c>
      <c r="O1072" s="0" t="n">
        <f aca="false">E1072*G1072</f>
        <v>0.5625</v>
      </c>
      <c r="P1072" s="0" t="n">
        <f aca="false">E1072*H1072</f>
        <v>-0.1875</v>
      </c>
      <c r="Q1072" s="0" t="n">
        <f aca="false">F1072*G1072</f>
        <v>-0</v>
      </c>
      <c r="R1072" s="0" t="n">
        <f aca="false">F1072*H1072</f>
        <v>0</v>
      </c>
      <c r="S1072" s="0" t="n">
        <f aca="false">G1072*H1072</f>
        <v>-0.1875</v>
      </c>
      <c r="T1072" s="0" t="n">
        <f aca="false">E1072*E1072</f>
        <v>0.5625</v>
      </c>
      <c r="U1072" s="0" t="n">
        <f aca="false">F1072*F1072</f>
        <v>0</v>
      </c>
      <c r="V1072" s="0" t="n">
        <f aca="false">G1072*G1072</f>
        <v>0.5625</v>
      </c>
      <c r="W1072" s="0" t="n">
        <f aca="false">H1072*H1072</f>
        <v>0.0625</v>
      </c>
      <c r="X1072" s="0" t="n">
        <f aca="false">SUMPRODUCT(I1072:W1072,_XtX!$B$96:$P$96)</f>
        <v>43.4642315423977</v>
      </c>
      <c r="Y1072" s="0" t="n">
        <f aca="false">SUMPRODUCT(MMULT(I1072:W1072,_XtX!$B$78:$P$92),I1072:W1072)</f>
        <v>0.281685455500731</v>
      </c>
      <c r="Z1072" s="0" t="n">
        <f aca="false">04_回帰ANOVA!$K$19*04_回帰ANOVA!$K$14*SQRT(1+Y1072)</f>
        <v>1.47566956658694</v>
      </c>
      <c r="AA1072" s="0" t="n">
        <f aca="false">X1072-Z1072</f>
        <v>41.9885619758107</v>
      </c>
      <c r="AB1072" s="0" t="n">
        <f aca="false">X1072+Z1072</f>
        <v>44.9399011089846</v>
      </c>
      <c r="AC1072" s="54" t="b">
        <f aca="false">AND(E1072&gt;=01_因子設定!$L$5-0.000000001,E1072&lt;=01_因子設定!$M$5+0.000000001,F1072&gt;=01_因子設定!$L$6-0.000000001,F1072&lt;=01_因子設定!$M$6+0.000000001,G1072&gt;=01_因子設定!$L$7-0.000000001,G1072&lt;=01_因子設定!$M$7+0.000000001,H1072&gt;=01_因子設定!$L$8-0.000000001,H1072&lt;=01_因子設定!$M$8+0.000000001,IF(01_因子設定!$B$20="Box-Behnken",E1072^2+F1072^2+G1072^2+H1072^2&lt;=2+0.000000001,TRUE()))</f>
        <v>1</v>
      </c>
      <c r="AD1072" s="55" t="n">
        <f aca="false">IF(AC1072,IF(01_因子設定!$B$13="最大化",AA1072-01_因子設定!$B$14,IF(01_因子設定!$B$13="最小化",01_因子設定!$B$15-AB1072,MIN(AA1072-01_因子設定!$B$14,01_因子設定!$B$15-AB1072))),-1E+030)</f>
        <v>-4.51143802418929</v>
      </c>
      <c r="AE1072" s="55" t="n">
        <f aca="false">IF(AC1072,IF(01_因子設定!$B$13="最大化",X1072,IF(01_因子設定!$B$13="最小化",-X1072,-ABS(X1072-01_因子設定!$B$16))),-1E+030)</f>
        <v>43.4642315423977</v>
      </c>
      <c r="AF1072" s="55" t="n">
        <f aca="false">AD1072+ROW()*0.000000001</f>
        <v>-4.51143695218929</v>
      </c>
      <c r="AG1072" s="55" t="n">
        <f aca="false">AE1072+ROW()*0.000000001</f>
        <v>43.4642326143977</v>
      </c>
    </row>
    <row r="1073" customFormat="false" ht="15" hidden="false" customHeight="false" outlineLevel="0" collapsed="false">
      <c r="A1073" s="0" t="n">
        <v>1</v>
      </c>
      <c r="B1073" s="0" t="n">
        <v>4</v>
      </c>
      <c r="C1073" s="0" t="n">
        <v>1</v>
      </c>
      <c r="D1073" s="0" t="n">
        <v>6</v>
      </c>
      <c r="E1073" s="0" t="n">
        <f aca="false">-1+A1073*0.25</f>
        <v>-0.75</v>
      </c>
      <c r="F1073" s="0" t="n">
        <f aca="false">-1+B1073*0.25</f>
        <v>0</v>
      </c>
      <c r="G1073" s="0" t="n">
        <f aca="false">-1+C1073*0.25</f>
        <v>-0.75</v>
      </c>
      <c r="H1073" s="0" t="n">
        <f aca="false">-1+D1073*0.25</f>
        <v>0.5</v>
      </c>
      <c r="I1073" s="0" t="n">
        <f aca="false">1</f>
        <v>1</v>
      </c>
      <c r="J1073" s="0" t="n">
        <f aca="false">E1073</f>
        <v>-0.75</v>
      </c>
      <c r="K1073" s="0" t="n">
        <f aca="false">F1073</f>
        <v>0</v>
      </c>
      <c r="L1073" s="0" t="n">
        <f aca="false">G1073</f>
        <v>-0.75</v>
      </c>
      <c r="M1073" s="0" t="n">
        <f aca="false">H1073</f>
        <v>0.5</v>
      </c>
      <c r="N1073" s="0" t="n">
        <f aca="false">E1073*F1073</f>
        <v>-0</v>
      </c>
      <c r="O1073" s="0" t="n">
        <f aca="false">E1073*G1073</f>
        <v>0.5625</v>
      </c>
      <c r="P1073" s="0" t="n">
        <f aca="false">E1073*H1073</f>
        <v>-0.375</v>
      </c>
      <c r="Q1073" s="0" t="n">
        <f aca="false">F1073*G1073</f>
        <v>-0</v>
      </c>
      <c r="R1073" s="0" t="n">
        <f aca="false">F1073*H1073</f>
        <v>0</v>
      </c>
      <c r="S1073" s="0" t="n">
        <f aca="false">G1073*H1073</f>
        <v>-0.375</v>
      </c>
      <c r="T1073" s="0" t="n">
        <f aca="false">E1073*E1073</f>
        <v>0.5625</v>
      </c>
      <c r="U1073" s="0" t="n">
        <f aca="false">F1073*F1073</f>
        <v>0</v>
      </c>
      <c r="V1073" s="0" t="n">
        <f aca="false">G1073*G1073</f>
        <v>0.5625</v>
      </c>
      <c r="W1073" s="0" t="n">
        <f aca="false">H1073*H1073</f>
        <v>0.25</v>
      </c>
      <c r="X1073" s="0" t="n">
        <f aca="false">SUMPRODUCT(I1073:W1073,_XtX!$B$96:$P$96)</f>
        <v>43.4165661549708</v>
      </c>
      <c r="Y1073" s="0" t="n">
        <f aca="false">SUMPRODUCT(MMULT(I1073:W1073,_XtX!$B$78:$P$92),I1073:W1073)</f>
        <v>0.269923873812135</v>
      </c>
      <c r="Z1073" s="0" t="n">
        <f aca="false">04_回帰ANOVA!$K$19*04_回帰ANOVA!$K$14*SQRT(1+Y1073)</f>
        <v>1.46888310825501</v>
      </c>
      <c r="AA1073" s="0" t="n">
        <f aca="false">X1073-Z1073</f>
        <v>41.9476830467158</v>
      </c>
      <c r="AB1073" s="0" t="n">
        <f aca="false">X1073+Z1073</f>
        <v>44.8854492632258</v>
      </c>
      <c r="AC1073" s="54" t="b">
        <f aca="false">AND(E1073&gt;=01_因子設定!$L$5-0.000000001,E1073&lt;=01_因子設定!$M$5+0.000000001,F1073&gt;=01_因子設定!$L$6-0.000000001,F1073&lt;=01_因子設定!$M$6+0.000000001,G1073&gt;=01_因子設定!$L$7-0.000000001,G1073&lt;=01_因子設定!$M$7+0.000000001,H1073&gt;=01_因子設定!$L$8-0.000000001,H1073&lt;=01_因子設定!$M$8+0.000000001,IF(01_因子設定!$B$20="Box-Behnken",E1073^2+F1073^2+G1073^2+H1073^2&lt;=2+0.000000001,TRUE()))</f>
        <v>1</v>
      </c>
      <c r="AD1073" s="55" t="n">
        <f aca="false">IF(AC1073,IF(01_因子設定!$B$13="最大化",AA1073-01_因子設定!$B$14,IF(01_因子設定!$B$13="最小化",01_因子設定!$B$15-AB1073,MIN(AA1073-01_因子設定!$B$14,01_因子設定!$B$15-AB1073))),-1E+030)</f>
        <v>-4.55231695328425</v>
      </c>
      <c r="AE1073" s="55" t="n">
        <f aca="false">IF(AC1073,IF(01_因子設定!$B$13="最大化",X1073,IF(01_因子設定!$B$13="最小化",-X1073,-ABS(X1073-01_因子設定!$B$16))),-1E+030)</f>
        <v>43.4165661549708</v>
      </c>
      <c r="AF1073" s="55" t="n">
        <f aca="false">AD1073+ROW()*0.000000001</f>
        <v>-4.55231588028425</v>
      </c>
      <c r="AG1073" s="55" t="n">
        <f aca="false">AE1073+ROW()*0.000000001</f>
        <v>43.4165672279708</v>
      </c>
    </row>
    <row r="1074" customFormat="false" ht="15" hidden="false" customHeight="false" outlineLevel="0" collapsed="false">
      <c r="A1074" s="0" t="n">
        <v>1</v>
      </c>
      <c r="B1074" s="0" t="n">
        <v>4</v>
      </c>
      <c r="C1074" s="0" t="n">
        <v>1</v>
      </c>
      <c r="D1074" s="0" t="n">
        <v>7</v>
      </c>
      <c r="E1074" s="0" t="n">
        <f aca="false">-1+A1074*0.25</f>
        <v>-0.75</v>
      </c>
      <c r="F1074" s="0" t="n">
        <f aca="false">-1+B1074*0.25</f>
        <v>0</v>
      </c>
      <c r="G1074" s="0" t="n">
        <f aca="false">-1+C1074*0.25</f>
        <v>-0.75</v>
      </c>
      <c r="H1074" s="0" t="n">
        <f aca="false">-1+D1074*0.25</f>
        <v>0.75</v>
      </c>
      <c r="I1074" s="0" t="n">
        <f aca="false">1</f>
        <v>1</v>
      </c>
      <c r="J1074" s="0" t="n">
        <f aca="false">E1074</f>
        <v>-0.75</v>
      </c>
      <c r="K1074" s="0" t="n">
        <f aca="false">F1074</f>
        <v>0</v>
      </c>
      <c r="L1074" s="0" t="n">
        <f aca="false">G1074</f>
        <v>-0.75</v>
      </c>
      <c r="M1074" s="0" t="n">
        <f aca="false">H1074</f>
        <v>0.75</v>
      </c>
      <c r="N1074" s="0" t="n">
        <f aca="false">E1074*F1074</f>
        <v>-0</v>
      </c>
      <c r="O1074" s="0" t="n">
        <f aca="false">E1074*G1074</f>
        <v>0.5625</v>
      </c>
      <c r="P1074" s="0" t="n">
        <f aca="false">E1074*H1074</f>
        <v>-0.5625</v>
      </c>
      <c r="Q1074" s="0" t="n">
        <f aca="false">F1074*G1074</f>
        <v>-0</v>
      </c>
      <c r="R1074" s="0" t="n">
        <f aca="false">F1074*H1074</f>
        <v>0</v>
      </c>
      <c r="S1074" s="0" t="n">
        <f aca="false">G1074*H1074</f>
        <v>-0.5625</v>
      </c>
      <c r="T1074" s="0" t="n">
        <f aca="false">E1074*E1074</f>
        <v>0.5625</v>
      </c>
      <c r="U1074" s="0" t="n">
        <f aca="false">F1074*F1074</f>
        <v>0</v>
      </c>
      <c r="V1074" s="0" t="n">
        <f aca="false">G1074*G1074</f>
        <v>0.5625</v>
      </c>
      <c r="W1074" s="0" t="n">
        <f aca="false">H1074*H1074</f>
        <v>0.5625</v>
      </c>
      <c r="X1074" s="0" t="n">
        <f aca="false">SUMPRODUCT(I1074:W1074,_XtX!$B$96:$P$96)</f>
        <v>43.32109375</v>
      </c>
      <c r="Y1074" s="0" t="n">
        <f aca="false">SUMPRODUCT(MMULT(I1074:W1074,_XtX!$B$78:$P$92),I1074:W1074)</f>
        <v>0.310628255208333</v>
      </c>
      <c r="Z1074" s="0" t="n">
        <f aca="false">04_回帰ANOVA!$K$19*04_回帰ANOVA!$K$14*SQRT(1+Y1074)</f>
        <v>1.49223820892344</v>
      </c>
      <c r="AA1074" s="0" t="n">
        <f aca="false">X1074-Z1074</f>
        <v>41.8288555410766</v>
      </c>
      <c r="AB1074" s="0" t="n">
        <f aca="false">X1074+Z1074</f>
        <v>44.8133319589235</v>
      </c>
      <c r="AC1074" s="54" t="b">
        <f aca="false">AND(E1074&gt;=01_因子設定!$L$5-0.000000001,E1074&lt;=01_因子設定!$M$5+0.000000001,F1074&gt;=01_因子設定!$L$6-0.000000001,F1074&lt;=01_因子設定!$M$6+0.000000001,G1074&gt;=01_因子設定!$L$7-0.000000001,G1074&lt;=01_因子設定!$M$7+0.000000001,H1074&gt;=01_因子設定!$L$8-0.000000001,H1074&lt;=01_因子設定!$M$8+0.000000001,IF(01_因子設定!$B$20="Box-Behnken",E1074^2+F1074^2+G1074^2+H1074^2&lt;=2+0.000000001,TRUE()))</f>
        <v>1</v>
      </c>
      <c r="AD1074" s="55" t="n">
        <f aca="false">IF(AC1074,IF(01_因子設定!$B$13="最大化",AA1074-01_因子設定!$B$14,IF(01_因子設定!$B$13="最小化",01_因子設定!$B$15-AB1074,MIN(AA1074-01_因子設定!$B$14,01_因子設定!$B$15-AB1074))),-1E+030)</f>
        <v>-4.67114445892343</v>
      </c>
      <c r="AE1074" s="55" t="n">
        <f aca="false">IF(AC1074,IF(01_因子設定!$B$13="最大化",X1074,IF(01_因子設定!$B$13="最小化",-X1074,-ABS(X1074-01_因子設定!$B$16))),-1E+030)</f>
        <v>43.32109375</v>
      </c>
      <c r="AF1074" s="55" t="n">
        <f aca="false">AD1074+ROW()*0.000000001</f>
        <v>-4.67114338492343</v>
      </c>
      <c r="AG1074" s="55" t="n">
        <f aca="false">AE1074+ROW()*0.000000001</f>
        <v>43.321094824</v>
      </c>
    </row>
    <row r="1075" customFormat="false" ht="15" hidden="false" customHeight="false" outlineLevel="0" collapsed="false">
      <c r="A1075" s="0" t="n">
        <v>1</v>
      </c>
      <c r="B1075" s="0" t="n">
        <v>4</v>
      </c>
      <c r="C1075" s="0" t="n">
        <v>1</v>
      </c>
      <c r="D1075" s="0" t="n">
        <v>8</v>
      </c>
      <c r="E1075" s="0" t="n">
        <f aca="false">-1+A1075*0.25</f>
        <v>-0.75</v>
      </c>
      <c r="F1075" s="0" t="n">
        <f aca="false">-1+B1075*0.25</f>
        <v>0</v>
      </c>
      <c r="G1075" s="0" t="n">
        <f aca="false">-1+C1075*0.25</f>
        <v>-0.75</v>
      </c>
      <c r="H1075" s="0" t="n">
        <f aca="false">-1+D1075*0.25</f>
        <v>1</v>
      </c>
      <c r="I1075" s="0" t="n">
        <f aca="false">1</f>
        <v>1</v>
      </c>
      <c r="J1075" s="0" t="n">
        <f aca="false">E1075</f>
        <v>-0.75</v>
      </c>
      <c r="K1075" s="0" t="n">
        <f aca="false">F1075</f>
        <v>0</v>
      </c>
      <c r="L1075" s="0" t="n">
        <f aca="false">G1075</f>
        <v>-0.75</v>
      </c>
      <c r="M1075" s="0" t="n">
        <f aca="false">H1075</f>
        <v>1</v>
      </c>
      <c r="N1075" s="0" t="n">
        <f aca="false">E1075*F1075</f>
        <v>-0</v>
      </c>
      <c r="O1075" s="0" t="n">
        <f aca="false">E1075*G1075</f>
        <v>0.5625</v>
      </c>
      <c r="P1075" s="0" t="n">
        <f aca="false">E1075*H1075</f>
        <v>-0.75</v>
      </c>
      <c r="Q1075" s="0" t="n">
        <f aca="false">F1075*G1075</f>
        <v>-0</v>
      </c>
      <c r="R1075" s="0" t="n">
        <f aca="false">F1075*H1075</f>
        <v>0</v>
      </c>
      <c r="S1075" s="0" t="n">
        <f aca="false">G1075*H1075</f>
        <v>-0.75</v>
      </c>
      <c r="T1075" s="0" t="n">
        <f aca="false">E1075*E1075</f>
        <v>0.5625</v>
      </c>
      <c r="U1075" s="0" t="n">
        <f aca="false">F1075*F1075</f>
        <v>0</v>
      </c>
      <c r="V1075" s="0" t="n">
        <f aca="false">G1075*G1075</f>
        <v>0.5625</v>
      </c>
      <c r="W1075" s="0" t="n">
        <f aca="false">H1075*H1075</f>
        <v>1</v>
      </c>
      <c r="X1075" s="0" t="n">
        <f aca="false">SUMPRODUCT(I1075:W1075,_XtX!$B$96:$P$96)</f>
        <v>43.1778143274854</v>
      </c>
      <c r="Y1075" s="0" t="n">
        <f aca="false">SUMPRODUCT(MMULT(I1075:W1075,_XtX!$B$78:$P$92),I1075:W1075)</f>
        <v>0.494259126005117</v>
      </c>
      <c r="Z1075" s="0" t="n">
        <f aca="false">04_回帰ANOVA!$K$19*04_回帰ANOVA!$K$14*SQRT(1+Y1075)</f>
        <v>1.59335061078203</v>
      </c>
      <c r="AA1075" s="0" t="n">
        <f aca="false">X1075-Z1075</f>
        <v>41.5844637167034</v>
      </c>
      <c r="AB1075" s="0" t="n">
        <f aca="false">X1075+Z1075</f>
        <v>44.7711649382674</v>
      </c>
      <c r="AC1075" s="54" t="b">
        <f aca="false">AND(E1075&gt;=01_因子設定!$L$5-0.000000001,E1075&lt;=01_因子設定!$M$5+0.000000001,F1075&gt;=01_因子設定!$L$6-0.000000001,F1075&lt;=01_因子設定!$M$6+0.000000001,G1075&gt;=01_因子設定!$L$7-0.000000001,G1075&lt;=01_因子設定!$M$7+0.000000001,H1075&gt;=01_因子設定!$L$8-0.000000001,H1075&lt;=01_因子設定!$M$8+0.000000001,IF(01_因子設定!$B$20="Box-Behnken",E1075^2+F1075^2+G1075^2+H1075^2&lt;=2+0.000000001,TRUE()))</f>
        <v>1</v>
      </c>
      <c r="AD1075" s="55" t="n">
        <f aca="false">IF(AC1075,IF(01_因子設定!$B$13="最大化",AA1075-01_因子設定!$B$14,IF(01_因子設定!$B$13="最小化",01_因子設定!$B$15-AB1075,MIN(AA1075-01_因子設定!$B$14,01_因子設定!$B$15-AB1075))),-1E+030)</f>
        <v>-4.91553628329662</v>
      </c>
      <c r="AE1075" s="55" t="n">
        <f aca="false">IF(AC1075,IF(01_因子設定!$B$13="最大化",X1075,IF(01_因子設定!$B$13="最小化",-X1075,-ABS(X1075-01_因子設定!$B$16))),-1E+030)</f>
        <v>43.1778143274854</v>
      </c>
      <c r="AF1075" s="55" t="n">
        <f aca="false">AD1075+ROW()*0.000000001</f>
        <v>-4.91553520829662</v>
      </c>
      <c r="AG1075" s="55" t="n">
        <f aca="false">AE1075+ROW()*0.000000001</f>
        <v>43.1778154024854</v>
      </c>
    </row>
    <row r="1076" customFormat="false" ht="15" hidden="false" customHeight="false" outlineLevel="0" collapsed="false">
      <c r="A1076" s="0" t="n">
        <v>1</v>
      </c>
      <c r="B1076" s="0" t="n">
        <v>4</v>
      </c>
      <c r="C1076" s="0" t="n">
        <v>2</v>
      </c>
      <c r="D1076" s="0" t="n">
        <v>0</v>
      </c>
      <c r="E1076" s="0" t="n">
        <f aca="false">-1+A1076*0.25</f>
        <v>-0.75</v>
      </c>
      <c r="F1076" s="0" t="n">
        <f aca="false">-1+B1076*0.25</f>
        <v>0</v>
      </c>
      <c r="G1076" s="0" t="n">
        <f aca="false">-1+C1076*0.25</f>
        <v>-0.5</v>
      </c>
      <c r="H1076" s="0" t="n">
        <f aca="false">-1+D1076*0.25</f>
        <v>-1</v>
      </c>
      <c r="I1076" s="0" t="n">
        <f aca="false">1</f>
        <v>1</v>
      </c>
      <c r="J1076" s="0" t="n">
        <f aca="false">E1076</f>
        <v>-0.75</v>
      </c>
      <c r="K1076" s="0" t="n">
        <f aca="false">F1076</f>
        <v>0</v>
      </c>
      <c r="L1076" s="0" t="n">
        <f aca="false">G1076</f>
        <v>-0.5</v>
      </c>
      <c r="M1076" s="0" t="n">
        <f aca="false">H1076</f>
        <v>-1</v>
      </c>
      <c r="N1076" s="0" t="n">
        <f aca="false">E1076*F1076</f>
        <v>-0</v>
      </c>
      <c r="O1076" s="0" t="n">
        <f aca="false">E1076*G1076</f>
        <v>0.375</v>
      </c>
      <c r="P1076" s="0" t="n">
        <f aca="false">E1076*H1076</f>
        <v>0.75</v>
      </c>
      <c r="Q1076" s="0" t="n">
        <f aca="false">F1076*G1076</f>
        <v>-0</v>
      </c>
      <c r="R1076" s="0" t="n">
        <f aca="false">F1076*H1076</f>
        <v>-0</v>
      </c>
      <c r="S1076" s="0" t="n">
        <f aca="false">G1076*H1076</f>
        <v>0.5</v>
      </c>
      <c r="T1076" s="0" t="n">
        <f aca="false">E1076*E1076</f>
        <v>0.5625</v>
      </c>
      <c r="U1076" s="0" t="n">
        <f aca="false">F1076*F1076</f>
        <v>0</v>
      </c>
      <c r="V1076" s="0" t="n">
        <f aca="false">G1076*G1076</f>
        <v>0.25</v>
      </c>
      <c r="W1076" s="0" t="n">
        <f aca="false">H1076*H1076</f>
        <v>1</v>
      </c>
      <c r="X1076" s="0" t="n">
        <f aca="false">SUMPRODUCT(I1076:W1076,_XtX!$B$96:$P$96)</f>
        <v>43.4945540935673</v>
      </c>
      <c r="Y1076" s="0" t="n">
        <f aca="false">SUMPRODUCT(MMULT(I1076:W1076,_XtX!$B$78:$P$92),I1076:W1076)</f>
        <v>0.476191292032164</v>
      </c>
      <c r="Z1076" s="0" t="n">
        <f aca="false">04_回帰ANOVA!$K$19*04_回帰ANOVA!$K$14*SQRT(1+Y1076)</f>
        <v>1.58368831471718</v>
      </c>
      <c r="AA1076" s="0" t="n">
        <f aca="false">X1076-Z1076</f>
        <v>41.9108657788501</v>
      </c>
      <c r="AB1076" s="0" t="n">
        <f aca="false">X1076+Z1076</f>
        <v>45.0782424082845</v>
      </c>
      <c r="AC1076" s="54" t="b">
        <f aca="false">AND(E1076&gt;=01_因子設定!$L$5-0.000000001,E1076&lt;=01_因子設定!$M$5+0.000000001,F1076&gt;=01_因子設定!$L$6-0.000000001,F1076&lt;=01_因子設定!$M$6+0.000000001,G1076&gt;=01_因子設定!$L$7-0.000000001,G1076&lt;=01_因子設定!$M$7+0.000000001,H1076&gt;=01_因子設定!$L$8-0.000000001,H1076&lt;=01_因子設定!$M$8+0.000000001,IF(01_因子設定!$B$20="Box-Behnken",E1076^2+F1076^2+G1076^2+H1076^2&lt;=2+0.000000001,TRUE()))</f>
        <v>1</v>
      </c>
      <c r="AD1076" s="55" t="n">
        <f aca="false">IF(AC1076,IF(01_因子設定!$B$13="最大化",AA1076-01_因子設定!$B$14,IF(01_因子設定!$B$13="最小化",01_因子設定!$B$15-AB1076,MIN(AA1076-01_因子設定!$B$14,01_因子設定!$B$15-AB1076))),-1E+030)</f>
        <v>-4.58913422114991</v>
      </c>
      <c r="AE1076" s="55" t="n">
        <f aca="false">IF(AC1076,IF(01_因子設定!$B$13="最大化",X1076,IF(01_因子設定!$B$13="最小化",-X1076,-ABS(X1076-01_因子設定!$B$16))),-1E+030)</f>
        <v>43.4945540935673</v>
      </c>
      <c r="AF1076" s="55" t="n">
        <f aca="false">AD1076+ROW()*0.000000001</f>
        <v>-4.58913314514991</v>
      </c>
      <c r="AG1076" s="55" t="n">
        <f aca="false">AE1076+ROW()*0.000000001</f>
        <v>43.4945551695673</v>
      </c>
    </row>
    <row r="1077" customFormat="false" ht="15" hidden="false" customHeight="false" outlineLevel="0" collapsed="false">
      <c r="A1077" s="0" t="n">
        <v>1</v>
      </c>
      <c r="B1077" s="0" t="n">
        <v>4</v>
      </c>
      <c r="C1077" s="0" t="n">
        <v>2</v>
      </c>
      <c r="D1077" s="0" t="n">
        <v>1</v>
      </c>
      <c r="E1077" s="0" t="n">
        <f aca="false">-1+A1077*0.25</f>
        <v>-0.75</v>
      </c>
      <c r="F1077" s="0" t="n">
        <f aca="false">-1+B1077*0.25</f>
        <v>0</v>
      </c>
      <c r="G1077" s="0" t="n">
        <f aca="false">-1+C1077*0.25</f>
        <v>-0.5</v>
      </c>
      <c r="H1077" s="0" t="n">
        <f aca="false">-1+D1077*0.25</f>
        <v>-0.75</v>
      </c>
      <c r="I1077" s="0" t="n">
        <f aca="false">1</f>
        <v>1</v>
      </c>
      <c r="J1077" s="0" t="n">
        <f aca="false">E1077</f>
        <v>-0.75</v>
      </c>
      <c r="K1077" s="0" t="n">
        <f aca="false">F1077</f>
        <v>0</v>
      </c>
      <c r="L1077" s="0" t="n">
        <f aca="false">G1077</f>
        <v>-0.5</v>
      </c>
      <c r="M1077" s="0" t="n">
        <f aca="false">H1077</f>
        <v>-0.75</v>
      </c>
      <c r="N1077" s="0" t="n">
        <f aca="false">E1077*F1077</f>
        <v>-0</v>
      </c>
      <c r="O1077" s="0" t="n">
        <f aca="false">E1077*G1077</f>
        <v>0.375</v>
      </c>
      <c r="P1077" s="0" t="n">
        <f aca="false">E1077*H1077</f>
        <v>0.5625</v>
      </c>
      <c r="Q1077" s="0" t="n">
        <f aca="false">F1077*G1077</f>
        <v>-0</v>
      </c>
      <c r="R1077" s="0" t="n">
        <f aca="false">F1077*H1077</f>
        <v>-0</v>
      </c>
      <c r="S1077" s="0" t="n">
        <f aca="false">G1077*H1077</f>
        <v>0.375</v>
      </c>
      <c r="T1077" s="0" t="n">
        <f aca="false">E1077*E1077</f>
        <v>0.5625</v>
      </c>
      <c r="U1077" s="0" t="n">
        <f aca="false">F1077*F1077</f>
        <v>0</v>
      </c>
      <c r="V1077" s="0" t="n">
        <f aca="false">G1077*G1077</f>
        <v>0.25</v>
      </c>
      <c r="W1077" s="0" t="n">
        <f aca="false">H1077*H1077</f>
        <v>0.5625</v>
      </c>
      <c r="X1077" s="0" t="n">
        <f aca="false">SUMPRODUCT(I1077:W1077,_XtX!$B$96:$P$96)</f>
        <v>43.7038925438597</v>
      </c>
      <c r="Y1077" s="0" t="n">
        <f aca="false">SUMPRODUCT(MMULT(I1077:W1077,_XtX!$B$78:$P$92),I1077:W1077)</f>
        <v>0.269923873812135</v>
      </c>
      <c r="Z1077" s="0" t="n">
        <f aca="false">04_回帰ANOVA!$K$19*04_回帰ANOVA!$K$14*SQRT(1+Y1077)</f>
        <v>1.46888310825501</v>
      </c>
      <c r="AA1077" s="0" t="n">
        <f aca="false">X1077-Z1077</f>
        <v>42.2350094356047</v>
      </c>
      <c r="AB1077" s="0" t="n">
        <f aca="false">X1077+Z1077</f>
        <v>45.1727756521147</v>
      </c>
      <c r="AC1077" s="54" t="b">
        <f aca="false">AND(E1077&gt;=01_因子設定!$L$5-0.000000001,E1077&lt;=01_因子設定!$M$5+0.000000001,F1077&gt;=01_因子設定!$L$6-0.000000001,F1077&lt;=01_因子設定!$M$6+0.000000001,G1077&gt;=01_因子設定!$L$7-0.000000001,G1077&lt;=01_因子設定!$M$7+0.000000001,H1077&gt;=01_因子設定!$L$8-0.000000001,H1077&lt;=01_因子設定!$M$8+0.000000001,IF(01_因子設定!$B$20="Box-Behnken",E1077^2+F1077^2+G1077^2+H1077^2&lt;=2+0.000000001,TRUE()))</f>
        <v>1</v>
      </c>
      <c r="AD1077" s="55" t="n">
        <f aca="false">IF(AC1077,IF(01_因子設定!$B$13="最大化",AA1077-01_因子設定!$B$14,IF(01_因子設定!$B$13="最小化",01_因子設定!$B$15-AB1077,MIN(AA1077-01_因子設定!$B$14,01_因子設定!$B$15-AB1077))),-1E+030)</f>
        <v>-4.26499056439535</v>
      </c>
      <c r="AE1077" s="55" t="n">
        <f aca="false">IF(AC1077,IF(01_因子設定!$B$13="最大化",X1077,IF(01_因子設定!$B$13="最小化",-X1077,-ABS(X1077-01_因子設定!$B$16))),-1E+030)</f>
        <v>43.7038925438597</v>
      </c>
      <c r="AF1077" s="55" t="n">
        <f aca="false">AD1077+ROW()*0.000000001</f>
        <v>-4.26498948739535</v>
      </c>
      <c r="AG1077" s="55" t="n">
        <f aca="false">AE1077+ROW()*0.000000001</f>
        <v>43.7038936208597</v>
      </c>
    </row>
    <row r="1078" customFormat="false" ht="15" hidden="false" customHeight="false" outlineLevel="0" collapsed="false">
      <c r="A1078" s="0" t="n">
        <v>1</v>
      </c>
      <c r="B1078" s="0" t="n">
        <v>4</v>
      </c>
      <c r="C1078" s="0" t="n">
        <v>2</v>
      </c>
      <c r="D1078" s="0" t="n">
        <v>2</v>
      </c>
      <c r="E1078" s="0" t="n">
        <f aca="false">-1+A1078*0.25</f>
        <v>-0.75</v>
      </c>
      <c r="F1078" s="0" t="n">
        <f aca="false">-1+B1078*0.25</f>
        <v>0</v>
      </c>
      <c r="G1078" s="0" t="n">
        <f aca="false">-1+C1078*0.25</f>
        <v>-0.5</v>
      </c>
      <c r="H1078" s="0" t="n">
        <f aca="false">-1+D1078*0.25</f>
        <v>-0.5</v>
      </c>
      <c r="I1078" s="0" t="n">
        <f aca="false">1</f>
        <v>1</v>
      </c>
      <c r="J1078" s="0" t="n">
        <f aca="false">E1078</f>
        <v>-0.75</v>
      </c>
      <c r="K1078" s="0" t="n">
        <f aca="false">F1078</f>
        <v>0</v>
      </c>
      <c r="L1078" s="0" t="n">
        <f aca="false">G1078</f>
        <v>-0.5</v>
      </c>
      <c r="M1078" s="0" t="n">
        <f aca="false">H1078</f>
        <v>-0.5</v>
      </c>
      <c r="N1078" s="0" t="n">
        <f aca="false">E1078*F1078</f>
        <v>-0</v>
      </c>
      <c r="O1078" s="0" t="n">
        <f aca="false">E1078*G1078</f>
        <v>0.375</v>
      </c>
      <c r="P1078" s="0" t="n">
        <f aca="false">E1078*H1078</f>
        <v>0.375</v>
      </c>
      <c r="Q1078" s="0" t="n">
        <f aca="false">F1078*G1078</f>
        <v>-0</v>
      </c>
      <c r="R1078" s="0" t="n">
        <f aca="false">F1078*H1078</f>
        <v>-0</v>
      </c>
      <c r="S1078" s="0" t="n">
        <f aca="false">G1078*H1078</f>
        <v>0.25</v>
      </c>
      <c r="T1078" s="0" t="n">
        <f aca="false">E1078*E1078</f>
        <v>0.5625</v>
      </c>
      <c r="U1078" s="0" t="n">
        <f aca="false">F1078*F1078</f>
        <v>0</v>
      </c>
      <c r="V1078" s="0" t="n">
        <f aca="false">G1078*G1078</f>
        <v>0.25</v>
      </c>
      <c r="W1078" s="0" t="n">
        <f aca="false">H1078*H1078</f>
        <v>0.25</v>
      </c>
      <c r="X1078" s="0" t="n">
        <f aca="false">SUMPRODUCT(I1078:W1078,_XtX!$B$96:$P$96)</f>
        <v>43.8654239766082</v>
      </c>
      <c r="Y1078" s="0" t="n">
        <f aca="false">SUMPRODUCT(MMULT(I1078:W1078,_XtX!$B$78:$P$92),I1078:W1078)</f>
        <v>0.21305052997076</v>
      </c>
      <c r="Z1078" s="0" t="n">
        <f aca="false">04_回帰ANOVA!$K$19*04_回帰ANOVA!$K$14*SQRT(1+Y1078)</f>
        <v>1.43561450835061</v>
      </c>
      <c r="AA1078" s="0" t="n">
        <f aca="false">X1078-Z1078</f>
        <v>42.4298094682576</v>
      </c>
      <c r="AB1078" s="0" t="n">
        <f aca="false">X1078+Z1078</f>
        <v>45.3010384849588</v>
      </c>
      <c r="AC1078" s="54" t="b">
        <f aca="false">AND(E1078&gt;=01_因子設定!$L$5-0.000000001,E1078&lt;=01_因子設定!$M$5+0.000000001,F1078&gt;=01_因子設定!$L$6-0.000000001,F1078&lt;=01_因子設定!$M$6+0.000000001,G1078&gt;=01_因子設定!$L$7-0.000000001,G1078&lt;=01_因子設定!$M$7+0.000000001,H1078&gt;=01_因子設定!$L$8-0.000000001,H1078&lt;=01_因子設定!$M$8+0.000000001,IF(01_因子設定!$B$20="Box-Behnken",E1078^2+F1078^2+G1078^2+H1078^2&lt;=2+0.000000001,TRUE()))</f>
        <v>1</v>
      </c>
      <c r="AD1078" s="55" t="n">
        <f aca="false">IF(AC1078,IF(01_因子設定!$B$13="最大化",AA1078-01_因子設定!$B$14,IF(01_因子設定!$B$13="最小化",01_因子設定!$B$15-AB1078,MIN(AA1078-01_因子設定!$B$14,01_因子設定!$B$15-AB1078))),-1E+030)</f>
        <v>-4.07019053174242</v>
      </c>
      <c r="AE1078" s="55" t="n">
        <f aca="false">IF(AC1078,IF(01_因子設定!$B$13="最大化",X1078,IF(01_因子設定!$B$13="最小化",-X1078,-ABS(X1078-01_因子設定!$B$16))),-1E+030)</f>
        <v>43.8654239766082</v>
      </c>
      <c r="AF1078" s="55" t="n">
        <f aca="false">AD1078+ROW()*0.000000001</f>
        <v>-4.07018945374242</v>
      </c>
      <c r="AG1078" s="55" t="n">
        <f aca="false">AE1078+ROW()*0.000000001</f>
        <v>43.8654250546082</v>
      </c>
    </row>
    <row r="1079" customFormat="false" ht="15" hidden="false" customHeight="false" outlineLevel="0" collapsed="false">
      <c r="A1079" s="0" t="n">
        <v>1</v>
      </c>
      <c r="B1079" s="0" t="n">
        <v>4</v>
      </c>
      <c r="C1079" s="0" t="n">
        <v>2</v>
      </c>
      <c r="D1079" s="0" t="n">
        <v>3</v>
      </c>
      <c r="E1079" s="0" t="n">
        <f aca="false">-1+A1079*0.25</f>
        <v>-0.75</v>
      </c>
      <c r="F1079" s="0" t="n">
        <f aca="false">-1+B1079*0.25</f>
        <v>0</v>
      </c>
      <c r="G1079" s="0" t="n">
        <f aca="false">-1+C1079*0.25</f>
        <v>-0.5</v>
      </c>
      <c r="H1079" s="0" t="n">
        <f aca="false">-1+D1079*0.25</f>
        <v>-0.25</v>
      </c>
      <c r="I1079" s="0" t="n">
        <f aca="false">1</f>
        <v>1</v>
      </c>
      <c r="J1079" s="0" t="n">
        <f aca="false">E1079</f>
        <v>-0.75</v>
      </c>
      <c r="K1079" s="0" t="n">
        <f aca="false">F1079</f>
        <v>0</v>
      </c>
      <c r="L1079" s="0" t="n">
        <f aca="false">G1079</f>
        <v>-0.5</v>
      </c>
      <c r="M1079" s="0" t="n">
        <f aca="false">H1079</f>
        <v>-0.25</v>
      </c>
      <c r="N1079" s="0" t="n">
        <f aca="false">E1079*F1079</f>
        <v>-0</v>
      </c>
      <c r="O1079" s="0" t="n">
        <f aca="false">E1079*G1079</f>
        <v>0.375</v>
      </c>
      <c r="P1079" s="0" t="n">
        <f aca="false">E1079*H1079</f>
        <v>0.1875</v>
      </c>
      <c r="Q1079" s="0" t="n">
        <f aca="false">F1079*G1079</f>
        <v>-0</v>
      </c>
      <c r="R1079" s="0" t="n">
        <f aca="false">F1079*H1079</f>
        <v>-0</v>
      </c>
      <c r="S1079" s="0" t="n">
        <f aca="false">G1079*H1079</f>
        <v>0.125</v>
      </c>
      <c r="T1079" s="0" t="n">
        <f aca="false">E1079*E1079</f>
        <v>0.5625</v>
      </c>
      <c r="U1079" s="0" t="n">
        <f aca="false">F1079*F1079</f>
        <v>0</v>
      </c>
      <c r="V1079" s="0" t="n">
        <f aca="false">G1079*G1079</f>
        <v>0.25</v>
      </c>
      <c r="W1079" s="0" t="n">
        <f aca="false">H1079*H1079</f>
        <v>0.0625</v>
      </c>
      <c r="X1079" s="0" t="n">
        <f aca="false">SUMPRODUCT(I1079:W1079,_XtX!$B$96:$P$96)</f>
        <v>43.9791483918129</v>
      </c>
      <c r="Y1079" s="0" t="n">
        <f aca="false">SUMPRODUCT(MMULT(I1079:W1079,_XtX!$B$78:$P$92),I1079:W1079)</f>
        <v>0.215110734192252</v>
      </c>
      <c r="Z1079" s="0" t="n">
        <f aca="false">04_回帰ANOVA!$K$19*04_回帰ANOVA!$K$14*SQRT(1+Y1079)</f>
        <v>1.43683309086864</v>
      </c>
      <c r="AA1079" s="0" t="n">
        <f aca="false">X1079-Z1079</f>
        <v>42.5423153009442</v>
      </c>
      <c r="AB1079" s="0" t="n">
        <f aca="false">X1079+Z1079</f>
        <v>45.4159814826815</v>
      </c>
      <c r="AC1079" s="54" t="b">
        <f aca="false">AND(E1079&gt;=01_因子設定!$L$5-0.000000001,E1079&lt;=01_因子設定!$M$5+0.000000001,F1079&gt;=01_因子設定!$L$6-0.000000001,F1079&lt;=01_因子設定!$M$6+0.000000001,G1079&gt;=01_因子設定!$L$7-0.000000001,G1079&lt;=01_因子設定!$M$7+0.000000001,H1079&gt;=01_因子設定!$L$8-0.000000001,H1079&lt;=01_因子設定!$M$8+0.000000001,IF(01_因子設定!$B$20="Box-Behnken",E1079^2+F1079^2+G1079^2+H1079^2&lt;=2+0.000000001,TRUE()))</f>
        <v>1</v>
      </c>
      <c r="AD1079" s="55" t="n">
        <f aca="false">IF(AC1079,IF(01_因子設定!$B$13="最大化",AA1079-01_因子設定!$B$14,IF(01_因子設定!$B$13="最小化",01_因子設定!$B$15-AB1079,MIN(AA1079-01_因子設定!$B$14,01_因子設定!$B$15-AB1079))),-1E+030)</f>
        <v>-3.95768469905579</v>
      </c>
      <c r="AE1079" s="55" t="n">
        <f aca="false">IF(AC1079,IF(01_因子設定!$B$13="最大化",X1079,IF(01_因子設定!$B$13="最小化",-X1079,-ABS(X1079-01_因子設定!$B$16))),-1E+030)</f>
        <v>43.9791483918129</v>
      </c>
      <c r="AF1079" s="55" t="n">
        <f aca="false">AD1079+ROW()*0.000000001</f>
        <v>-3.95768362005579</v>
      </c>
      <c r="AG1079" s="55" t="n">
        <f aca="false">AE1079+ROW()*0.000000001</f>
        <v>43.9791494708129</v>
      </c>
    </row>
    <row r="1080" customFormat="false" ht="15" hidden="false" customHeight="false" outlineLevel="0" collapsed="false">
      <c r="A1080" s="0" t="n">
        <v>1</v>
      </c>
      <c r="B1080" s="0" t="n">
        <v>4</v>
      </c>
      <c r="C1080" s="0" t="n">
        <v>2</v>
      </c>
      <c r="D1080" s="0" t="n">
        <v>4</v>
      </c>
      <c r="E1080" s="0" t="n">
        <f aca="false">-1+A1080*0.25</f>
        <v>-0.75</v>
      </c>
      <c r="F1080" s="0" t="n">
        <f aca="false">-1+B1080*0.25</f>
        <v>0</v>
      </c>
      <c r="G1080" s="0" t="n">
        <f aca="false">-1+C1080*0.25</f>
        <v>-0.5</v>
      </c>
      <c r="H1080" s="0" t="n">
        <f aca="false">-1+D1080*0.25</f>
        <v>0</v>
      </c>
      <c r="I1080" s="0" t="n">
        <f aca="false">1</f>
        <v>1</v>
      </c>
      <c r="J1080" s="0" t="n">
        <f aca="false">E1080</f>
        <v>-0.75</v>
      </c>
      <c r="K1080" s="0" t="n">
        <f aca="false">F1080</f>
        <v>0</v>
      </c>
      <c r="L1080" s="0" t="n">
        <f aca="false">G1080</f>
        <v>-0.5</v>
      </c>
      <c r="M1080" s="0" t="n">
        <f aca="false">H1080</f>
        <v>0</v>
      </c>
      <c r="N1080" s="0" t="n">
        <f aca="false">E1080*F1080</f>
        <v>-0</v>
      </c>
      <c r="O1080" s="0" t="n">
        <f aca="false">E1080*G1080</f>
        <v>0.375</v>
      </c>
      <c r="P1080" s="0" t="n">
        <f aca="false">E1080*H1080</f>
        <v>-0</v>
      </c>
      <c r="Q1080" s="0" t="n">
        <f aca="false">F1080*G1080</f>
        <v>-0</v>
      </c>
      <c r="R1080" s="0" t="n">
        <f aca="false">F1080*H1080</f>
        <v>0</v>
      </c>
      <c r="S1080" s="0" t="n">
        <f aca="false">G1080*H1080</f>
        <v>-0</v>
      </c>
      <c r="T1080" s="0" t="n">
        <f aca="false">E1080*E1080</f>
        <v>0.5625</v>
      </c>
      <c r="U1080" s="0" t="n">
        <f aca="false">F1080*F1080</f>
        <v>0</v>
      </c>
      <c r="V1080" s="0" t="n">
        <f aca="false">G1080*G1080</f>
        <v>0.25</v>
      </c>
      <c r="W1080" s="0" t="n">
        <f aca="false">H1080*H1080</f>
        <v>0</v>
      </c>
      <c r="X1080" s="0" t="n">
        <f aca="false">SUMPRODUCT(I1080:W1080,_XtX!$B$96:$P$96)</f>
        <v>44.0450657894737</v>
      </c>
      <c r="Y1080" s="0" t="n">
        <f aca="false">SUMPRODUCT(MMULT(I1080:W1080,_XtX!$B$78:$P$92),I1080:W1080)</f>
        <v>0.221828170687135</v>
      </c>
      <c r="Z1080" s="0" t="n">
        <f aca="false">04_回帰ANOVA!$K$19*04_回帰ANOVA!$K$14*SQRT(1+Y1080)</f>
        <v>1.44079920361664</v>
      </c>
      <c r="AA1080" s="0" t="n">
        <f aca="false">X1080-Z1080</f>
        <v>42.604266585857</v>
      </c>
      <c r="AB1080" s="0" t="n">
        <f aca="false">X1080+Z1080</f>
        <v>45.4858649930903</v>
      </c>
      <c r="AC1080" s="54" t="b">
        <f aca="false">AND(E1080&gt;=01_因子設定!$L$5-0.000000001,E1080&lt;=01_因子設定!$M$5+0.000000001,F1080&gt;=01_因子設定!$L$6-0.000000001,F1080&lt;=01_因子設定!$M$6+0.000000001,G1080&gt;=01_因子設定!$L$7-0.000000001,G1080&lt;=01_因子設定!$M$7+0.000000001,H1080&gt;=01_因子設定!$L$8-0.000000001,H1080&lt;=01_因子設定!$M$8+0.000000001,IF(01_因子設定!$B$20="Box-Behnken",E1080^2+F1080^2+G1080^2+H1080^2&lt;=2+0.000000001,TRUE()))</f>
        <v>1</v>
      </c>
      <c r="AD1080" s="55" t="n">
        <f aca="false">IF(AC1080,IF(01_因子設定!$B$13="最大化",AA1080-01_因子設定!$B$14,IF(01_因子設定!$B$13="最小化",01_因子設定!$B$15-AB1080,MIN(AA1080-01_因子設定!$B$14,01_因子設定!$B$15-AB1080))),-1E+030)</f>
        <v>-3.89573341414297</v>
      </c>
      <c r="AE1080" s="55" t="n">
        <f aca="false">IF(AC1080,IF(01_因子設定!$B$13="最大化",X1080,IF(01_因子設定!$B$13="最小化",-X1080,-ABS(X1080-01_因子設定!$B$16))),-1E+030)</f>
        <v>44.0450657894737</v>
      </c>
      <c r="AF1080" s="55" t="n">
        <f aca="false">AD1080+ROW()*0.000000001</f>
        <v>-3.89573233414297</v>
      </c>
      <c r="AG1080" s="55" t="n">
        <f aca="false">AE1080+ROW()*0.000000001</f>
        <v>44.0450668694737</v>
      </c>
    </row>
    <row r="1081" customFormat="false" ht="15" hidden="false" customHeight="false" outlineLevel="0" collapsed="false">
      <c r="A1081" s="0" t="n">
        <v>1</v>
      </c>
      <c r="B1081" s="0" t="n">
        <v>4</v>
      </c>
      <c r="C1081" s="0" t="n">
        <v>2</v>
      </c>
      <c r="D1081" s="0" t="n">
        <v>5</v>
      </c>
      <c r="E1081" s="0" t="n">
        <f aca="false">-1+A1081*0.25</f>
        <v>-0.75</v>
      </c>
      <c r="F1081" s="0" t="n">
        <f aca="false">-1+B1081*0.25</f>
        <v>0</v>
      </c>
      <c r="G1081" s="0" t="n">
        <f aca="false">-1+C1081*0.25</f>
        <v>-0.5</v>
      </c>
      <c r="H1081" s="0" t="n">
        <f aca="false">-1+D1081*0.25</f>
        <v>0.25</v>
      </c>
      <c r="I1081" s="0" t="n">
        <f aca="false">1</f>
        <v>1</v>
      </c>
      <c r="J1081" s="0" t="n">
        <f aca="false">E1081</f>
        <v>-0.75</v>
      </c>
      <c r="K1081" s="0" t="n">
        <f aca="false">F1081</f>
        <v>0</v>
      </c>
      <c r="L1081" s="0" t="n">
        <f aca="false">G1081</f>
        <v>-0.5</v>
      </c>
      <c r="M1081" s="0" t="n">
        <f aca="false">H1081</f>
        <v>0.25</v>
      </c>
      <c r="N1081" s="0" t="n">
        <f aca="false">E1081*F1081</f>
        <v>-0</v>
      </c>
      <c r="O1081" s="0" t="n">
        <f aca="false">E1081*G1081</f>
        <v>0.375</v>
      </c>
      <c r="P1081" s="0" t="n">
        <f aca="false">E1081*H1081</f>
        <v>-0.1875</v>
      </c>
      <c r="Q1081" s="0" t="n">
        <f aca="false">F1081*G1081</f>
        <v>-0</v>
      </c>
      <c r="R1081" s="0" t="n">
        <f aca="false">F1081*H1081</f>
        <v>0</v>
      </c>
      <c r="S1081" s="0" t="n">
        <f aca="false">G1081*H1081</f>
        <v>-0.125</v>
      </c>
      <c r="T1081" s="0" t="n">
        <f aca="false">E1081*E1081</f>
        <v>0.5625</v>
      </c>
      <c r="U1081" s="0" t="n">
        <f aca="false">F1081*F1081</f>
        <v>0</v>
      </c>
      <c r="V1081" s="0" t="n">
        <f aca="false">G1081*G1081</f>
        <v>0.25</v>
      </c>
      <c r="W1081" s="0" t="n">
        <f aca="false">H1081*H1081</f>
        <v>0.0625</v>
      </c>
      <c r="X1081" s="0" t="n">
        <f aca="false">SUMPRODUCT(I1081:W1081,_XtX!$B$96:$P$96)</f>
        <v>44.0631761695906</v>
      </c>
      <c r="Y1081" s="0" t="n">
        <f aca="false">SUMPRODUCT(MMULT(I1081:W1081,_XtX!$B$78:$P$92),I1081:W1081)</f>
        <v>0.215110734192252</v>
      </c>
      <c r="Z1081" s="0" t="n">
        <f aca="false">04_回帰ANOVA!$K$19*04_回帰ANOVA!$K$14*SQRT(1+Y1081)</f>
        <v>1.43683309086864</v>
      </c>
      <c r="AA1081" s="0" t="n">
        <f aca="false">X1081-Z1081</f>
        <v>42.626343078722</v>
      </c>
      <c r="AB1081" s="0" t="n">
        <f aca="false">X1081+Z1081</f>
        <v>45.5000092604593</v>
      </c>
      <c r="AC1081" s="54" t="b">
        <f aca="false">AND(E1081&gt;=01_因子設定!$L$5-0.000000001,E1081&lt;=01_因子設定!$M$5+0.000000001,F1081&gt;=01_因子設定!$L$6-0.000000001,F1081&lt;=01_因子設定!$M$6+0.000000001,G1081&gt;=01_因子設定!$L$7-0.000000001,G1081&lt;=01_因子設定!$M$7+0.000000001,H1081&gt;=01_因子設定!$L$8-0.000000001,H1081&lt;=01_因子設定!$M$8+0.000000001,IF(01_因子設定!$B$20="Box-Behnken",E1081^2+F1081^2+G1081^2+H1081^2&lt;=2+0.000000001,TRUE()))</f>
        <v>1</v>
      </c>
      <c r="AD1081" s="55" t="n">
        <f aca="false">IF(AC1081,IF(01_因子設定!$B$13="最大化",AA1081-01_因子設定!$B$14,IF(01_因子設定!$B$13="最小化",01_因子設定!$B$15-AB1081,MIN(AA1081-01_因子設定!$B$14,01_因子設定!$B$15-AB1081))),-1E+030)</f>
        <v>-3.87365692127801</v>
      </c>
      <c r="AE1081" s="55" t="n">
        <f aca="false">IF(AC1081,IF(01_因子設定!$B$13="最大化",X1081,IF(01_因子設定!$B$13="最小化",-X1081,-ABS(X1081-01_因子設定!$B$16))),-1E+030)</f>
        <v>44.0631761695906</v>
      </c>
      <c r="AF1081" s="55" t="n">
        <f aca="false">AD1081+ROW()*0.000000001</f>
        <v>-3.87365584027801</v>
      </c>
      <c r="AG1081" s="55" t="n">
        <f aca="false">AE1081+ROW()*0.000000001</f>
        <v>44.0631772505906</v>
      </c>
    </row>
    <row r="1082" customFormat="false" ht="15" hidden="false" customHeight="false" outlineLevel="0" collapsed="false">
      <c r="A1082" s="0" t="n">
        <v>1</v>
      </c>
      <c r="B1082" s="0" t="n">
        <v>4</v>
      </c>
      <c r="C1082" s="0" t="n">
        <v>2</v>
      </c>
      <c r="D1082" s="0" t="n">
        <v>6</v>
      </c>
      <c r="E1082" s="0" t="n">
        <f aca="false">-1+A1082*0.25</f>
        <v>-0.75</v>
      </c>
      <c r="F1082" s="0" t="n">
        <f aca="false">-1+B1082*0.25</f>
        <v>0</v>
      </c>
      <c r="G1082" s="0" t="n">
        <f aca="false">-1+C1082*0.25</f>
        <v>-0.5</v>
      </c>
      <c r="H1082" s="0" t="n">
        <f aca="false">-1+D1082*0.25</f>
        <v>0.5</v>
      </c>
      <c r="I1082" s="0" t="n">
        <f aca="false">1</f>
        <v>1</v>
      </c>
      <c r="J1082" s="0" t="n">
        <f aca="false">E1082</f>
        <v>-0.75</v>
      </c>
      <c r="K1082" s="0" t="n">
        <f aca="false">F1082</f>
        <v>0</v>
      </c>
      <c r="L1082" s="0" t="n">
        <f aca="false">G1082</f>
        <v>-0.5</v>
      </c>
      <c r="M1082" s="0" t="n">
        <f aca="false">H1082</f>
        <v>0.5</v>
      </c>
      <c r="N1082" s="0" t="n">
        <f aca="false">E1082*F1082</f>
        <v>-0</v>
      </c>
      <c r="O1082" s="0" t="n">
        <f aca="false">E1082*G1082</f>
        <v>0.375</v>
      </c>
      <c r="P1082" s="0" t="n">
        <f aca="false">E1082*H1082</f>
        <v>-0.375</v>
      </c>
      <c r="Q1082" s="0" t="n">
        <f aca="false">F1082*G1082</f>
        <v>-0</v>
      </c>
      <c r="R1082" s="0" t="n">
        <f aca="false">F1082*H1082</f>
        <v>0</v>
      </c>
      <c r="S1082" s="0" t="n">
        <f aca="false">G1082*H1082</f>
        <v>-0.25</v>
      </c>
      <c r="T1082" s="0" t="n">
        <f aca="false">E1082*E1082</f>
        <v>0.5625</v>
      </c>
      <c r="U1082" s="0" t="n">
        <f aca="false">F1082*F1082</f>
        <v>0</v>
      </c>
      <c r="V1082" s="0" t="n">
        <f aca="false">G1082*G1082</f>
        <v>0.25</v>
      </c>
      <c r="W1082" s="0" t="n">
        <f aca="false">H1082*H1082</f>
        <v>0.25</v>
      </c>
      <c r="X1082" s="0" t="n">
        <f aca="false">SUMPRODUCT(I1082:W1082,_XtX!$B$96:$P$96)</f>
        <v>44.0334795321637</v>
      </c>
      <c r="Y1082" s="0" t="n">
        <f aca="false">SUMPRODUCT(MMULT(I1082:W1082,_XtX!$B$78:$P$92),I1082:W1082)</f>
        <v>0.21305052997076</v>
      </c>
      <c r="Z1082" s="0" t="n">
        <f aca="false">04_回帰ANOVA!$K$19*04_回帰ANOVA!$K$14*SQRT(1+Y1082)</f>
        <v>1.43561450835061</v>
      </c>
      <c r="AA1082" s="0" t="n">
        <f aca="false">X1082-Z1082</f>
        <v>42.5978650238131</v>
      </c>
      <c r="AB1082" s="0" t="n">
        <f aca="false">X1082+Z1082</f>
        <v>45.4690940405143</v>
      </c>
      <c r="AC1082" s="54" t="b">
        <f aca="false">AND(E1082&gt;=01_因子設定!$L$5-0.000000001,E1082&lt;=01_因子設定!$M$5+0.000000001,F1082&gt;=01_因子設定!$L$6-0.000000001,F1082&lt;=01_因子設定!$M$6+0.000000001,G1082&gt;=01_因子設定!$L$7-0.000000001,G1082&lt;=01_因子設定!$M$7+0.000000001,H1082&gt;=01_因子設定!$L$8-0.000000001,H1082&lt;=01_因子設定!$M$8+0.000000001,IF(01_因子設定!$B$20="Box-Behnken",E1082^2+F1082^2+G1082^2+H1082^2&lt;=2+0.000000001,TRUE()))</f>
        <v>1</v>
      </c>
      <c r="AD1082" s="55" t="n">
        <f aca="false">IF(AC1082,IF(01_因子設定!$B$13="最大化",AA1082-01_因子設定!$B$14,IF(01_因子設定!$B$13="最小化",01_因子設定!$B$15-AB1082,MIN(AA1082-01_因子設定!$B$14,01_因子設定!$B$15-AB1082))),-1E+030)</f>
        <v>-3.90213497618687</v>
      </c>
      <c r="AE1082" s="55" t="n">
        <f aca="false">IF(AC1082,IF(01_因子設定!$B$13="最大化",X1082,IF(01_因子設定!$B$13="最小化",-X1082,-ABS(X1082-01_因子設定!$B$16))),-1E+030)</f>
        <v>44.0334795321637</v>
      </c>
      <c r="AF1082" s="55" t="n">
        <f aca="false">AD1082+ROW()*0.000000001</f>
        <v>-3.90213389418687</v>
      </c>
      <c r="AG1082" s="55" t="n">
        <f aca="false">AE1082+ROW()*0.000000001</f>
        <v>44.0334806141637</v>
      </c>
    </row>
    <row r="1083" customFormat="false" ht="15" hidden="false" customHeight="false" outlineLevel="0" collapsed="false">
      <c r="A1083" s="0" t="n">
        <v>1</v>
      </c>
      <c r="B1083" s="0" t="n">
        <v>4</v>
      </c>
      <c r="C1083" s="0" t="n">
        <v>2</v>
      </c>
      <c r="D1083" s="0" t="n">
        <v>7</v>
      </c>
      <c r="E1083" s="0" t="n">
        <f aca="false">-1+A1083*0.25</f>
        <v>-0.75</v>
      </c>
      <c r="F1083" s="0" t="n">
        <f aca="false">-1+B1083*0.25</f>
        <v>0</v>
      </c>
      <c r="G1083" s="0" t="n">
        <f aca="false">-1+C1083*0.25</f>
        <v>-0.5</v>
      </c>
      <c r="H1083" s="0" t="n">
        <f aca="false">-1+D1083*0.25</f>
        <v>0.75</v>
      </c>
      <c r="I1083" s="0" t="n">
        <f aca="false">1</f>
        <v>1</v>
      </c>
      <c r="J1083" s="0" t="n">
        <f aca="false">E1083</f>
        <v>-0.75</v>
      </c>
      <c r="K1083" s="0" t="n">
        <f aca="false">F1083</f>
        <v>0</v>
      </c>
      <c r="L1083" s="0" t="n">
        <f aca="false">G1083</f>
        <v>-0.5</v>
      </c>
      <c r="M1083" s="0" t="n">
        <f aca="false">H1083</f>
        <v>0.75</v>
      </c>
      <c r="N1083" s="0" t="n">
        <f aca="false">E1083*F1083</f>
        <v>-0</v>
      </c>
      <c r="O1083" s="0" t="n">
        <f aca="false">E1083*G1083</f>
        <v>0.375</v>
      </c>
      <c r="P1083" s="0" t="n">
        <f aca="false">E1083*H1083</f>
        <v>-0.5625</v>
      </c>
      <c r="Q1083" s="0" t="n">
        <f aca="false">F1083*G1083</f>
        <v>-0</v>
      </c>
      <c r="R1083" s="0" t="n">
        <f aca="false">F1083*H1083</f>
        <v>0</v>
      </c>
      <c r="S1083" s="0" t="n">
        <f aca="false">G1083*H1083</f>
        <v>-0.375</v>
      </c>
      <c r="T1083" s="0" t="n">
        <f aca="false">E1083*E1083</f>
        <v>0.5625</v>
      </c>
      <c r="U1083" s="0" t="n">
        <f aca="false">F1083*F1083</f>
        <v>0</v>
      </c>
      <c r="V1083" s="0" t="n">
        <f aca="false">G1083*G1083</f>
        <v>0.25</v>
      </c>
      <c r="W1083" s="0" t="n">
        <f aca="false">H1083*H1083</f>
        <v>0.5625</v>
      </c>
      <c r="X1083" s="0" t="n">
        <f aca="false">SUMPRODUCT(I1083:W1083,_XtX!$B$96:$P$96)</f>
        <v>43.955975877193</v>
      </c>
      <c r="Y1083" s="0" t="n">
        <f aca="false">SUMPRODUCT(MMULT(I1083:W1083,_XtX!$B$78:$P$92),I1083:W1083)</f>
        <v>0.269923873812135</v>
      </c>
      <c r="Z1083" s="0" t="n">
        <f aca="false">04_回帰ANOVA!$K$19*04_回帰ANOVA!$K$14*SQRT(1+Y1083)</f>
        <v>1.46888310825501</v>
      </c>
      <c r="AA1083" s="0" t="n">
        <f aca="false">X1083-Z1083</f>
        <v>42.487092768938</v>
      </c>
      <c r="AB1083" s="0" t="n">
        <f aca="false">X1083+Z1083</f>
        <v>45.424858985448</v>
      </c>
      <c r="AC1083" s="54" t="b">
        <f aca="false">AND(E1083&gt;=01_因子設定!$L$5-0.000000001,E1083&lt;=01_因子設定!$M$5+0.000000001,F1083&gt;=01_因子設定!$L$6-0.000000001,F1083&lt;=01_因子設定!$M$6+0.000000001,G1083&gt;=01_因子設定!$L$7-0.000000001,G1083&lt;=01_因子設定!$M$7+0.000000001,H1083&gt;=01_因子設定!$L$8-0.000000001,H1083&lt;=01_因子設定!$M$8+0.000000001,IF(01_因子設定!$B$20="Box-Behnken",E1083^2+F1083^2+G1083^2+H1083^2&lt;=2+0.000000001,TRUE()))</f>
        <v>1</v>
      </c>
      <c r="AD1083" s="55" t="n">
        <f aca="false">IF(AC1083,IF(01_因子設定!$B$13="最大化",AA1083-01_因子設定!$B$14,IF(01_因子設定!$B$13="最小化",01_因子設定!$B$15-AB1083,MIN(AA1083-01_因子設定!$B$14,01_因子設定!$B$15-AB1083))),-1E+030)</f>
        <v>-4.01290723106202</v>
      </c>
      <c r="AE1083" s="55" t="n">
        <f aca="false">IF(AC1083,IF(01_因子設定!$B$13="最大化",X1083,IF(01_因子設定!$B$13="最小化",-X1083,-ABS(X1083-01_因子設定!$B$16))),-1E+030)</f>
        <v>43.955975877193</v>
      </c>
      <c r="AF1083" s="55" t="n">
        <f aca="false">AD1083+ROW()*0.000000001</f>
        <v>-4.01290614806202</v>
      </c>
      <c r="AG1083" s="55" t="n">
        <f aca="false">AE1083+ROW()*0.000000001</f>
        <v>43.955976960193</v>
      </c>
    </row>
    <row r="1084" customFormat="false" ht="15" hidden="false" customHeight="false" outlineLevel="0" collapsed="false">
      <c r="A1084" s="0" t="n">
        <v>1</v>
      </c>
      <c r="B1084" s="0" t="n">
        <v>4</v>
      </c>
      <c r="C1084" s="0" t="n">
        <v>2</v>
      </c>
      <c r="D1084" s="0" t="n">
        <v>8</v>
      </c>
      <c r="E1084" s="0" t="n">
        <f aca="false">-1+A1084*0.25</f>
        <v>-0.75</v>
      </c>
      <c r="F1084" s="0" t="n">
        <f aca="false">-1+B1084*0.25</f>
        <v>0</v>
      </c>
      <c r="G1084" s="0" t="n">
        <f aca="false">-1+C1084*0.25</f>
        <v>-0.5</v>
      </c>
      <c r="H1084" s="0" t="n">
        <f aca="false">-1+D1084*0.25</f>
        <v>1</v>
      </c>
      <c r="I1084" s="0" t="n">
        <f aca="false">1</f>
        <v>1</v>
      </c>
      <c r="J1084" s="0" t="n">
        <f aca="false">E1084</f>
        <v>-0.75</v>
      </c>
      <c r="K1084" s="0" t="n">
        <f aca="false">F1084</f>
        <v>0</v>
      </c>
      <c r="L1084" s="0" t="n">
        <f aca="false">G1084</f>
        <v>-0.5</v>
      </c>
      <c r="M1084" s="0" t="n">
        <f aca="false">H1084</f>
        <v>1</v>
      </c>
      <c r="N1084" s="0" t="n">
        <f aca="false">E1084*F1084</f>
        <v>-0</v>
      </c>
      <c r="O1084" s="0" t="n">
        <f aca="false">E1084*G1084</f>
        <v>0.375</v>
      </c>
      <c r="P1084" s="0" t="n">
        <f aca="false">E1084*H1084</f>
        <v>-0.75</v>
      </c>
      <c r="Q1084" s="0" t="n">
        <f aca="false">F1084*G1084</f>
        <v>-0</v>
      </c>
      <c r="R1084" s="0" t="n">
        <f aca="false">F1084*H1084</f>
        <v>0</v>
      </c>
      <c r="S1084" s="0" t="n">
        <f aca="false">G1084*H1084</f>
        <v>-0.5</v>
      </c>
      <c r="T1084" s="0" t="n">
        <f aca="false">E1084*E1084</f>
        <v>0.5625</v>
      </c>
      <c r="U1084" s="0" t="n">
        <f aca="false">F1084*F1084</f>
        <v>0</v>
      </c>
      <c r="V1084" s="0" t="n">
        <f aca="false">G1084*G1084</f>
        <v>0.25</v>
      </c>
      <c r="W1084" s="0" t="n">
        <f aca="false">H1084*H1084</f>
        <v>1</v>
      </c>
      <c r="X1084" s="0" t="n">
        <f aca="false">SUMPRODUCT(I1084:W1084,_XtX!$B$96:$P$96)</f>
        <v>43.8306652046784</v>
      </c>
      <c r="Y1084" s="0" t="n">
        <f aca="false">SUMPRODUCT(MMULT(I1084:W1084,_XtX!$B$78:$P$92),I1084:W1084)</f>
        <v>0.476191292032164</v>
      </c>
      <c r="Z1084" s="0" t="n">
        <f aca="false">04_回帰ANOVA!$K$19*04_回帰ANOVA!$K$14*SQRT(1+Y1084)</f>
        <v>1.58368831471718</v>
      </c>
      <c r="AA1084" s="0" t="n">
        <f aca="false">X1084-Z1084</f>
        <v>42.2469768899612</v>
      </c>
      <c r="AB1084" s="0" t="n">
        <f aca="false">X1084+Z1084</f>
        <v>45.4143535193956</v>
      </c>
      <c r="AC1084" s="54" t="b">
        <f aca="false">AND(E1084&gt;=01_因子設定!$L$5-0.000000001,E1084&lt;=01_因子設定!$M$5+0.000000001,F1084&gt;=01_因子設定!$L$6-0.000000001,F1084&lt;=01_因子設定!$M$6+0.000000001,G1084&gt;=01_因子設定!$L$7-0.000000001,G1084&lt;=01_因子設定!$M$7+0.000000001,H1084&gt;=01_因子設定!$L$8-0.000000001,H1084&lt;=01_因子設定!$M$8+0.000000001,IF(01_因子設定!$B$20="Box-Behnken",E1084^2+F1084^2+G1084^2+H1084^2&lt;=2+0.000000001,TRUE()))</f>
        <v>1</v>
      </c>
      <c r="AD1084" s="55" t="n">
        <f aca="false">IF(AC1084,IF(01_因子設定!$B$13="最大化",AA1084-01_因子設定!$B$14,IF(01_因子設定!$B$13="最小化",01_因子設定!$B$15-AB1084,MIN(AA1084-01_因子設定!$B$14,01_因子設定!$B$15-AB1084))),-1E+030)</f>
        <v>-4.2530231100388</v>
      </c>
      <c r="AE1084" s="55" t="n">
        <f aca="false">IF(AC1084,IF(01_因子設定!$B$13="最大化",X1084,IF(01_因子設定!$B$13="最小化",-X1084,-ABS(X1084-01_因子設定!$B$16))),-1E+030)</f>
        <v>43.8306652046784</v>
      </c>
      <c r="AF1084" s="55" t="n">
        <f aca="false">AD1084+ROW()*0.000000001</f>
        <v>-4.2530220260388</v>
      </c>
      <c r="AG1084" s="55" t="n">
        <f aca="false">AE1084+ROW()*0.000000001</f>
        <v>43.8306662886784</v>
      </c>
    </row>
    <row r="1085" customFormat="false" ht="15" hidden="false" customHeight="false" outlineLevel="0" collapsed="false">
      <c r="A1085" s="0" t="n">
        <v>1</v>
      </c>
      <c r="B1085" s="0" t="n">
        <v>4</v>
      </c>
      <c r="C1085" s="0" t="n">
        <v>3</v>
      </c>
      <c r="D1085" s="0" t="n">
        <v>0</v>
      </c>
      <c r="E1085" s="0" t="n">
        <f aca="false">-1+A1085*0.25</f>
        <v>-0.75</v>
      </c>
      <c r="F1085" s="0" t="n">
        <f aca="false">-1+B1085*0.25</f>
        <v>0</v>
      </c>
      <c r="G1085" s="0" t="n">
        <f aca="false">-1+C1085*0.25</f>
        <v>-0.25</v>
      </c>
      <c r="H1085" s="0" t="n">
        <f aca="false">-1+D1085*0.25</f>
        <v>-1</v>
      </c>
      <c r="I1085" s="0" t="n">
        <f aca="false">1</f>
        <v>1</v>
      </c>
      <c r="J1085" s="0" t="n">
        <f aca="false">E1085</f>
        <v>-0.75</v>
      </c>
      <c r="K1085" s="0" t="n">
        <f aca="false">F1085</f>
        <v>0</v>
      </c>
      <c r="L1085" s="0" t="n">
        <f aca="false">G1085</f>
        <v>-0.25</v>
      </c>
      <c r="M1085" s="0" t="n">
        <f aca="false">H1085</f>
        <v>-1</v>
      </c>
      <c r="N1085" s="0" t="n">
        <f aca="false">E1085*F1085</f>
        <v>-0</v>
      </c>
      <c r="O1085" s="0" t="n">
        <f aca="false">E1085*G1085</f>
        <v>0.1875</v>
      </c>
      <c r="P1085" s="0" t="n">
        <f aca="false">E1085*H1085</f>
        <v>0.75</v>
      </c>
      <c r="Q1085" s="0" t="n">
        <f aca="false">F1085*G1085</f>
        <v>-0</v>
      </c>
      <c r="R1085" s="0" t="n">
        <f aca="false">F1085*H1085</f>
        <v>-0</v>
      </c>
      <c r="S1085" s="0" t="n">
        <f aca="false">G1085*H1085</f>
        <v>0.25</v>
      </c>
      <c r="T1085" s="0" t="n">
        <f aca="false">E1085*E1085</f>
        <v>0.5625</v>
      </c>
      <c r="U1085" s="0" t="n">
        <f aca="false">F1085*F1085</f>
        <v>0</v>
      </c>
      <c r="V1085" s="0" t="n">
        <f aca="false">G1085*G1085</f>
        <v>0.0625</v>
      </c>
      <c r="W1085" s="0" t="n">
        <f aca="false">H1085*H1085</f>
        <v>1</v>
      </c>
      <c r="X1085" s="0" t="n">
        <f aca="false">SUMPRODUCT(I1085:W1085,_XtX!$B$96:$P$96)</f>
        <v>43.9183479532164</v>
      </c>
      <c r="Y1085" s="0" t="n">
        <f aca="false">SUMPRODUCT(MMULT(I1085:W1085,_XtX!$B$78:$P$92),I1085:W1085)</f>
        <v>0.501534802174708</v>
      </c>
      <c r="Z1085" s="0" t="n">
        <f aca="false">04_回帰ANOVA!$K$19*04_回帰ANOVA!$K$14*SQRT(1+Y1085)</f>
        <v>1.59722498091333</v>
      </c>
      <c r="AA1085" s="0" t="n">
        <f aca="false">X1085-Z1085</f>
        <v>42.3211229723031</v>
      </c>
      <c r="AB1085" s="0" t="n">
        <f aca="false">X1085+Z1085</f>
        <v>45.5155729341297</v>
      </c>
      <c r="AC1085" s="54" t="b">
        <f aca="false">AND(E1085&gt;=01_因子設定!$L$5-0.000000001,E1085&lt;=01_因子設定!$M$5+0.000000001,F1085&gt;=01_因子設定!$L$6-0.000000001,F1085&lt;=01_因子設定!$M$6+0.000000001,G1085&gt;=01_因子設定!$L$7-0.000000001,G1085&lt;=01_因子設定!$M$7+0.000000001,H1085&gt;=01_因子設定!$L$8-0.000000001,H1085&lt;=01_因子設定!$M$8+0.000000001,IF(01_因子設定!$B$20="Box-Behnken",E1085^2+F1085^2+G1085^2+H1085^2&lt;=2+0.000000001,TRUE()))</f>
        <v>1</v>
      </c>
      <c r="AD1085" s="55" t="n">
        <f aca="false">IF(AC1085,IF(01_因子設定!$B$13="最大化",AA1085-01_因子設定!$B$14,IF(01_因子設定!$B$13="最小化",01_因子設定!$B$15-AB1085,MIN(AA1085-01_因子設定!$B$14,01_因子設定!$B$15-AB1085))),-1E+030)</f>
        <v>-4.17887702769693</v>
      </c>
      <c r="AE1085" s="55" t="n">
        <f aca="false">IF(AC1085,IF(01_因子設定!$B$13="最大化",X1085,IF(01_因子設定!$B$13="最小化",-X1085,-ABS(X1085-01_因子設定!$B$16))),-1E+030)</f>
        <v>43.9183479532164</v>
      </c>
      <c r="AF1085" s="55" t="n">
        <f aca="false">AD1085+ROW()*0.000000001</f>
        <v>-4.17887594269693</v>
      </c>
      <c r="AG1085" s="55" t="n">
        <f aca="false">AE1085+ROW()*0.000000001</f>
        <v>43.9183490382164</v>
      </c>
    </row>
    <row r="1086" customFormat="false" ht="15" hidden="false" customHeight="false" outlineLevel="0" collapsed="false">
      <c r="A1086" s="0" t="n">
        <v>1</v>
      </c>
      <c r="B1086" s="0" t="n">
        <v>4</v>
      </c>
      <c r="C1086" s="0" t="n">
        <v>3</v>
      </c>
      <c r="D1086" s="0" t="n">
        <v>1</v>
      </c>
      <c r="E1086" s="0" t="n">
        <f aca="false">-1+A1086*0.25</f>
        <v>-0.75</v>
      </c>
      <c r="F1086" s="0" t="n">
        <f aca="false">-1+B1086*0.25</f>
        <v>0</v>
      </c>
      <c r="G1086" s="0" t="n">
        <f aca="false">-1+C1086*0.25</f>
        <v>-0.25</v>
      </c>
      <c r="H1086" s="0" t="n">
        <f aca="false">-1+D1086*0.25</f>
        <v>-0.75</v>
      </c>
      <c r="I1086" s="0" t="n">
        <f aca="false">1</f>
        <v>1</v>
      </c>
      <c r="J1086" s="0" t="n">
        <f aca="false">E1086</f>
        <v>-0.75</v>
      </c>
      <c r="K1086" s="0" t="n">
        <f aca="false">F1086</f>
        <v>0</v>
      </c>
      <c r="L1086" s="0" t="n">
        <f aca="false">G1086</f>
        <v>-0.25</v>
      </c>
      <c r="M1086" s="0" t="n">
        <f aca="false">H1086</f>
        <v>-0.75</v>
      </c>
      <c r="N1086" s="0" t="n">
        <f aca="false">E1086*F1086</f>
        <v>-0</v>
      </c>
      <c r="O1086" s="0" t="n">
        <f aca="false">E1086*G1086</f>
        <v>0.1875</v>
      </c>
      <c r="P1086" s="0" t="n">
        <f aca="false">E1086*H1086</f>
        <v>0.5625</v>
      </c>
      <c r="Q1086" s="0" t="n">
        <f aca="false">F1086*G1086</f>
        <v>-0</v>
      </c>
      <c r="R1086" s="0" t="n">
        <f aca="false">F1086*H1086</f>
        <v>-0</v>
      </c>
      <c r="S1086" s="0" t="n">
        <f aca="false">G1086*H1086</f>
        <v>0.1875</v>
      </c>
      <c r="T1086" s="0" t="n">
        <f aca="false">E1086*E1086</f>
        <v>0.5625</v>
      </c>
      <c r="U1086" s="0" t="n">
        <f aca="false">F1086*F1086</f>
        <v>0</v>
      </c>
      <c r="V1086" s="0" t="n">
        <f aca="false">G1086*G1086</f>
        <v>0.0625</v>
      </c>
      <c r="W1086" s="0" t="n">
        <f aca="false">H1086*H1086</f>
        <v>0.5625</v>
      </c>
      <c r="X1086" s="0" t="n">
        <f aca="false">SUMPRODUCT(I1086:W1086,_XtX!$B$96:$P$96)</f>
        <v>44.1456551535088</v>
      </c>
      <c r="Y1086" s="0" t="n">
        <f aca="false">SUMPRODUCT(MMULT(I1086:W1086,_XtX!$B$78:$P$92),I1086:W1086)</f>
        <v>0.281685455500731</v>
      </c>
      <c r="Z1086" s="0" t="n">
        <f aca="false">04_回帰ANOVA!$K$19*04_回帰ANOVA!$K$14*SQRT(1+Y1086)</f>
        <v>1.47566956658694</v>
      </c>
      <c r="AA1086" s="0" t="n">
        <f aca="false">X1086-Z1086</f>
        <v>42.6699855869218</v>
      </c>
      <c r="AB1086" s="0" t="n">
        <f aca="false">X1086+Z1086</f>
        <v>45.6213247200957</v>
      </c>
      <c r="AC1086" s="54" t="b">
        <f aca="false">AND(E1086&gt;=01_因子設定!$L$5-0.000000001,E1086&lt;=01_因子設定!$M$5+0.000000001,F1086&gt;=01_因子設定!$L$6-0.000000001,F1086&lt;=01_因子設定!$M$6+0.000000001,G1086&gt;=01_因子設定!$L$7-0.000000001,G1086&lt;=01_因子設定!$M$7+0.000000001,H1086&gt;=01_因子設定!$L$8-0.000000001,H1086&lt;=01_因子設定!$M$8+0.000000001,IF(01_因子設定!$B$20="Box-Behnken",E1086^2+F1086^2+G1086^2+H1086^2&lt;=2+0.000000001,TRUE()))</f>
        <v>1</v>
      </c>
      <c r="AD1086" s="55" t="n">
        <f aca="false">IF(AC1086,IF(01_因子設定!$B$13="最大化",AA1086-01_因子設定!$B$14,IF(01_因子設定!$B$13="最小化",01_因子設定!$B$15-AB1086,MIN(AA1086-01_因子設定!$B$14,01_因子設定!$B$15-AB1086))),-1E+030)</f>
        <v>-3.83001441307816</v>
      </c>
      <c r="AE1086" s="55" t="n">
        <f aca="false">IF(AC1086,IF(01_因子設定!$B$13="最大化",X1086,IF(01_因子設定!$B$13="最小化",-X1086,-ABS(X1086-01_因子設定!$B$16))),-1E+030)</f>
        <v>44.1456551535088</v>
      </c>
      <c r="AF1086" s="55" t="n">
        <f aca="false">AD1086+ROW()*0.000000001</f>
        <v>-3.83001332707816</v>
      </c>
      <c r="AG1086" s="55" t="n">
        <f aca="false">AE1086+ROW()*0.000000001</f>
        <v>44.1456562395088</v>
      </c>
    </row>
    <row r="1087" customFormat="false" ht="15" hidden="false" customHeight="false" outlineLevel="0" collapsed="false">
      <c r="A1087" s="0" t="n">
        <v>1</v>
      </c>
      <c r="B1087" s="0" t="n">
        <v>4</v>
      </c>
      <c r="C1087" s="0" t="n">
        <v>3</v>
      </c>
      <c r="D1087" s="0" t="n">
        <v>2</v>
      </c>
      <c r="E1087" s="0" t="n">
        <f aca="false">-1+A1087*0.25</f>
        <v>-0.75</v>
      </c>
      <c r="F1087" s="0" t="n">
        <f aca="false">-1+B1087*0.25</f>
        <v>0</v>
      </c>
      <c r="G1087" s="0" t="n">
        <f aca="false">-1+C1087*0.25</f>
        <v>-0.25</v>
      </c>
      <c r="H1087" s="0" t="n">
        <f aca="false">-1+D1087*0.25</f>
        <v>-0.5</v>
      </c>
      <c r="I1087" s="0" t="n">
        <f aca="false">1</f>
        <v>1</v>
      </c>
      <c r="J1087" s="0" t="n">
        <f aca="false">E1087</f>
        <v>-0.75</v>
      </c>
      <c r="K1087" s="0" t="n">
        <f aca="false">F1087</f>
        <v>0</v>
      </c>
      <c r="L1087" s="0" t="n">
        <f aca="false">G1087</f>
        <v>-0.25</v>
      </c>
      <c r="M1087" s="0" t="n">
        <f aca="false">H1087</f>
        <v>-0.5</v>
      </c>
      <c r="N1087" s="0" t="n">
        <f aca="false">E1087*F1087</f>
        <v>-0</v>
      </c>
      <c r="O1087" s="0" t="n">
        <f aca="false">E1087*G1087</f>
        <v>0.1875</v>
      </c>
      <c r="P1087" s="0" t="n">
        <f aca="false">E1087*H1087</f>
        <v>0.375</v>
      </c>
      <c r="Q1087" s="0" t="n">
        <f aca="false">F1087*G1087</f>
        <v>-0</v>
      </c>
      <c r="R1087" s="0" t="n">
        <f aca="false">F1087*H1087</f>
        <v>-0</v>
      </c>
      <c r="S1087" s="0" t="n">
        <f aca="false">G1087*H1087</f>
        <v>0.125</v>
      </c>
      <c r="T1087" s="0" t="n">
        <f aca="false">E1087*E1087</f>
        <v>0.5625</v>
      </c>
      <c r="U1087" s="0" t="n">
        <f aca="false">F1087*F1087</f>
        <v>0</v>
      </c>
      <c r="V1087" s="0" t="n">
        <f aca="false">G1087*G1087</f>
        <v>0.0625</v>
      </c>
      <c r="W1087" s="0" t="n">
        <f aca="false">H1087*H1087</f>
        <v>0.25</v>
      </c>
      <c r="X1087" s="0" t="n">
        <f aca="false">SUMPRODUCT(I1087:W1087,_XtX!$B$96:$P$96)</f>
        <v>44.3251553362573</v>
      </c>
      <c r="Y1087" s="0" t="n">
        <f aca="false">SUMPRODUCT(MMULT(I1087:W1087,_XtX!$B$78:$P$92),I1087:W1087)</f>
        <v>0.215110734192252</v>
      </c>
      <c r="Z1087" s="0" t="n">
        <f aca="false">04_回帰ANOVA!$K$19*04_回帰ANOVA!$K$14*SQRT(1+Y1087)</f>
        <v>1.43683309086864</v>
      </c>
      <c r="AA1087" s="0" t="n">
        <f aca="false">X1087-Z1087</f>
        <v>42.8883222453887</v>
      </c>
      <c r="AB1087" s="0" t="n">
        <f aca="false">X1087+Z1087</f>
        <v>45.761988427126</v>
      </c>
      <c r="AC1087" s="54" t="b">
        <f aca="false">AND(E1087&gt;=01_因子設定!$L$5-0.000000001,E1087&lt;=01_因子設定!$M$5+0.000000001,F1087&gt;=01_因子設定!$L$6-0.000000001,F1087&lt;=01_因子設定!$M$6+0.000000001,G1087&gt;=01_因子設定!$L$7-0.000000001,G1087&lt;=01_因子設定!$M$7+0.000000001,H1087&gt;=01_因子設定!$L$8-0.000000001,H1087&lt;=01_因子設定!$M$8+0.000000001,IF(01_因子設定!$B$20="Box-Behnken",E1087^2+F1087^2+G1087^2+H1087^2&lt;=2+0.000000001,TRUE()))</f>
        <v>1</v>
      </c>
      <c r="AD1087" s="55" t="n">
        <f aca="false">IF(AC1087,IF(01_因子設定!$B$13="最大化",AA1087-01_因子設定!$B$14,IF(01_因子設定!$B$13="最小化",01_因子設定!$B$15-AB1087,MIN(AA1087-01_因子設定!$B$14,01_因子設定!$B$15-AB1087))),-1E+030)</f>
        <v>-3.61167775461134</v>
      </c>
      <c r="AE1087" s="55" t="n">
        <f aca="false">IF(AC1087,IF(01_因子設定!$B$13="最大化",X1087,IF(01_因子設定!$B$13="最小化",-X1087,-ABS(X1087-01_因子設定!$B$16))),-1E+030)</f>
        <v>44.3251553362573</v>
      </c>
      <c r="AF1087" s="55" t="n">
        <f aca="false">AD1087+ROW()*0.000000001</f>
        <v>-3.61167666761134</v>
      </c>
      <c r="AG1087" s="55" t="n">
        <f aca="false">AE1087+ROW()*0.000000001</f>
        <v>44.3251564232573</v>
      </c>
    </row>
    <row r="1088" customFormat="false" ht="15" hidden="false" customHeight="false" outlineLevel="0" collapsed="false">
      <c r="A1088" s="0" t="n">
        <v>1</v>
      </c>
      <c r="B1088" s="0" t="n">
        <v>4</v>
      </c>
      <c r="C1088" s="0" t="n">
        <v>3</v>
      </c>
      <c r="D1088" s="0" t="n">
        <v>3</v>
      </c>
      <c r="E1088" s="0" t="n">
        <f aca="false">-1+A1088*0.25</f>
        <v>-0.75</v>
      </c>
      <c r="F1088" s="0" t="n">
        <f aca="false">-1+B1088*0.25</f>
        <v>0</v>
      </c>
      <c r="G1088" s="0" t="n">
        <f aca="false">-1+C1088*0.25</f>
        <v>-0.25</v>
      </c>
      <c r="H1088" s="0" t="n">
        <f aca="false">-1+D1088*0.25</f>
        <v>-0.25</v>
      </c>
      <c r="I1088" s="0" t="n">
        <f aca="false">1</f>
        <v>1</v>
      </c>
      <c r="J1088" s="0" t="n">
        <f aca="false">E1088</f>
        <v>-0.75</v>
      </c>
      <c r="K1088" s="0" t="n">
        <f aca="false">F1088</f>
        <v>0</v>
      </c>
      <c r="L1088" s="0" t="n">
        <f aca="false">G1088</f>
        <v>-0.25</v>
      </c>
      <c r="M1088" s="0" t="n">
        <f aca="false">H1088</f>
        <v>-0.25</v>
      </c>
      <c r="N1088" s="0" t="n">
        <f aca="false">E1088*F1088</f>
        <v>-0</v>
      </c>
      <c r="O1088" s="0" t="n">
        <f aca="false">E1088*G1088</f>
        <v>0.1875</v>
      </c>
      <c r="P1088" s="0" t="n">
        <f aca="false">E1088*H1088</f>
        <v>0.1875</v>
      </c>
      <c r="Q1088" s="0" t="n">
        <f aca="false">F1088*G1088</f>
        <v>-0</v>
      </c>
      <c r="R1088" s="0" t="n">
        <f aca="false">F1088*H1088</f>
        <v>-0</v>
      </c>
      <c r="S1088" s="0" t="n">
        <f aca="false">G1088*H1088</f>
        <v>0.0625</v>
      </c>
      <c r="T1088" s="0" t="n">
        <f aca="false">E1088*E1088</f>
        <v>0.5625</v>
      </c>
      <c r="U1088" s="0" t="n">
        <f aca="false">F1088*F1088</f>
        <v>0</v>
      </c>
      <c r="V1088" s="0" t="n">
        <f aca="false">G1088*G1088</f>
        <v>0.0625</v>
      </c>
      <c r="W1088" s="0" t="n">
        <f aca="false">H1088*H1088</f>
        <v>0.0625</v>
      </c>
      <c r="X1088" s="0" t="n">
        <f aca="false">SUMPRODUCT(I1088:W1088,_XtX!$B$96:$P$96)</f>
        <v>44.456848501462</v>
      </c>
      <c r="Y1088" s="0" t="n">
        <f aca="false">SUMPRODUCT(MMULT(I1088:W1088,_XtX!$B$78:$P$92),I1088:W1088)</f>
        <v>0.21135011193348</v>
      </c>
      <c r="Z1088" s="0" t="n">
        <f aca="false">04_回帰ANOVA!$K$19*04_回帰ANOVA!$K$14*SQRT(1+Y1088)</f>
        <v>1.43460795469709</v>
      </c>
      <c r="AA1088" s="0" t="n">
        <f aca="false">X1088-Z1088</f>
        <v>43.0222405467649</v>
      </c>
      <c r="AB1088" s="0" t="n">
        <f aca="false">X1088+Z1088</f>
        <v>45.8914564561591</v>
      </c>
      <c r="AC1088" s="54" t="b">
        <f aca="false">AND(E1088&gt;=01_因子設定!$L$5-0.000000001,E1088&lt;=01_因子設定!$M$5+0.000000001,F1088&gt;=01_因子設定!$L$6-0.000000001,F1088&lt;=01_因子設定!$M$6+0.000000001,G1088&gt;=01_因子設定!$L$7-0.000000001,G1088&lt;=01_因子設定!$M$7+0.000000001,H1088&gt;=01_因子設定!$L$8-0.000000001,H1088&lt;=01_因子設定!$M$8+0.000000001,IF(01_因子設定!$B$20="Box-Behnken",E1088^2+F1088^2+G1088^2+H1088^2&lt;=2+0.000000001,TRUE()))</f>
        <v>1</v>
      </c>
      <c r="AD1088" s="55" t="n">
        <f aca="false">IF(AC1088,IF(01_因子設定!$B$13="最大化",AA1088-01_因子設定!$B$14,IF(01_因子設定!$B$13="最小化",01_因子設定!$B$15-AB1088,MIN(AA1088-01_因子設定!$B$14,01_因子設定!$B$15-AB1088))),-1E+030)</f>
        <v>-3.47775945323511</v>
      </c>
      <c r="AE1088" s="55" t="n">
        <f aca="false">IF(AC1088,IF(01_因子設定!$B$13="最大化",X1088,IF(01_因子設定!$B$13="最小化",-X1088,-ABS(X1088-01_因子設定!$B$16))),-1E+030)</f>
        <v>44.456848501462</v>
      </c>
      <c r="AF1088" s="55" t="n">
        <f aca="false">AD1088+ROW()*0.000000001</f>
        <v>-3.47775836523511</v>
      </c>
      <c r="AG1088" s="55" t="n">
        <f aca="false">AE1088+ROW()*0.000000001</f>
        <v>44.456849589462</v>
      </c>
    </row>
    <row r="1089" customFormat="false" ht="15" hidden="false" customHeight="false" outlineLevel="0" collapsed="false">
      <c r="A1089" s="0" t="n">
        <v>1</v>
      </c>
      <c r="B1089" s="0" t="n">
        <v>4</v>
      </c>
      <c r="C1089" s="0" t="n">
        <v>3</v>
      </c>
      <c r="D1089" s="0" t="n">
        <v>4</v>
      </c>
      <c r="E1089" s="0" t="n">
        <f aca="false">-1+A1089*0.25</f>
        <v>-0.75</v>
      </c>
      <c r="F1089" s="0" t="n">
        <f aca="false">-1+B1089*0.25</f>
        <v>0</v>
      </c>
      <c r="G1089" s="0" t="n">
        <f aca="false">-1+C1089*0.25</f>
        <v>-0.25</v>
      </c>
      <c r="H1089" s="0" t="n">
        <f aca="false">-1+D1089*0.25</f>
        <v>0</v>
      </c>
      <c r="I1089" s="0" t="n">
        <f aca="false">1</f>
        <v>1</v>
      </c>
      <c r="J1089" s="0" t="n">
        <f aca="false">E1089</f>
        <v>-0.75</v>
      </c>
      <c r="K1089" s="0" t="n">
        <f aca="false">F1089</f>
        <v>0</v>
      </c>
      <c r="L1089" s="0" t="n">
        <f aca="false">G1089</f>
        <v>-0.25</v>
      </c>
      <c r="M1089" s="0" t="n">
        <f aca="false">H1089</f>
        <v>0</v>
      </c>
      <c r="N1089" s="0" t="n">
        <f aca="false">E1089*F1089</f>
        <v>-0</v>
      </c>
      <c r="O1089" s="0" t="n">
        <f aca="false">E1089*G1089</f>
        <v>0.1875</v>
      </c>
      <c r="P1089" s="0" t="n">
        <f aca="false">E1089*H1089</f>
        <v>-0</v>
      </c>
      <c r="Q1089" s="0" t="n">
        <f aca="false">F1089*G1089</f>
        <v>-0</v>
      </c>
      <c r="R1089" s="0" t="n">
        <f aca="false">F1089*H1089</f>
        <v>0</v>
      </c>
      <c r="S1089" s="0" t="n">
        <f aca="false">G1089*H1089</f>
        <v>-0</v>
      </c>
      <c r="T1089" s="0" t="n">
        <f aca="false">E1089*E1089</f>
        <v>0.5625</v>
      </c>
      <c r="U1089" s="0" t="n">
        <f aca="false">F1089*F1089</f>
        <v>0</v>
      </c>
      <c r="V1089" s="0" t="n">
        <f aca="false">G1089*G1089</f>
        <v>0.0625</v>
      </c>
      <c r="W1089" s="0" t="n">
        <f aca="false">H1089*H1089</f>
        <v>0</v>
      </c>
      <c r="X1089" s="0" t="n">
        <f aca="false">SUMPRODUCT(I1089:W1089,_XtX!$B$96:$P$96)</f>
        <v>44.5407346491228</v>
      </c>
      <c r="Y1089" s="0" t="n">
        <f aca="false">SUMPRODUCT(MMULT(I1089:W1089,_XtX!$B$78:$P$92),I1089:W1089)</f>
        <v>0.216127272934942</v>
      </c>
      <c r="Z1089" s="0" t="n">
        <f aca="false">04_回帰ANOVA!$K$19*04_回帰ANOVA!$K$14*SQRT(1+Y1089)</f>
        <v>1.43743397896608</v>
      </c>
      <c r="AA1089" s="0" t="n">
        <f aca="false">X1089-Z1089</f>
        <v>43.1033006701567</v>
      </c>
      <c r="AB1089" s="0" t="n">
        <f aca="false">X1089+Z1089</f>
        <v>45.9781686280889</v>
      </c>
      <c r="AC1089" s="54" t="b">
        <f aca="false">AND(E1089&gt;=01_因子設定!$L$5-0.000000001,E1089&lt;=01_因子設定!$M$5+0.000000001,F1089&gt;=01_因子設定!$L$6-0.000000001,F1089&lt;=01_因子設定!$M$6+0.000000001,G1089&gt;=01_因子設定!$L$7-0.000000001,G1089&lt;=01_因子設定!$M$7+0.000000001,H1089&gt;=01_因子設定!$L$8-0.000000001,H1089&lt;=01_因子設定!$M$8+0.000000001,IF(01_因子設定!$B$20="Box-Behnken",E1089^2+F1089^2+G1089^2+H1089^2&lt;=2+0.000000001,TRUE()))</f>
        <v>1</v>
      </c>
      <c r="AD1089" s="55" t="n">
        <f aca="false">IF(AC1089,IF(01_因子設定!$B$13="最大化",AA1089-01_因子設定!$B$14,IF(01_因子設定!$B$13="最小化",01_因子設定!$B$15-AB1089,MIN(AA1089-01_因子設定!$B$14,01_因子設定!$B$15-AB1089))),-1E+030)</f>
        <v>-3.39669932984329</v>
      </c>
      <c r="AE1089" s="55" t="n">
        <f aca="false">IF(AC1089,IF(01_因子設定!$B$13="最大化",X1089,IF(01_因子設定!$B$13="最小化",-X1089,-ABS(X1089-01_因子設定!$B$16))),-1E+030)</f>
        <v>44.5407346491228</v>
      </c>
      <c r="AF1089" s="55" t="n">
        <f aca="false">AD1089+ROW()*0.000000001</f>
        <v>-3.39669824084329</v>
      </c>
      <c r="AG1089" s="55" t="n">
        <f aca="false">AE1089+ROW()*0.000000001</f>
        <v>44.5407357381228</v>
      </c>
    </row>
    <row r="1090" customFormat="false" ht="15" hidden="false" customHeight="false" outlineLevel="0" collapsed="false">
      <c r="A1090" s="0" t="n">
        <v>1</v>
      </c>
      <c r="B1090" s="0" t="n">
        <v>4</v>
      </c>
      <c r="C1090" s="0" t="n">
        <v>3</v>
      </c>
      <c r="D1090" s="0" t="n">
        <v>5</v>
      </c>
      <c r="E1090" s="0" t="n">
        <f aca="false">-1+A1090*0.25</f>
        <v>-0.75</v>
      </c>
      <c r="F1090" s="0" t="n">
        <f aca="false">-1+B1090*0.25</f>
        <v>0</v>
      </c>
      <c r="G1090" s="0" t="n">
        <f aca="false">-1+C1090*0.25</f>
        <v>-0.25</v>
      </c>
      <c r="H1090" s="0" t="n">
        <f aca="false">-1+D1090*0.25</f>
        <v>0.25</v>
      </c>
      <c r="I1090" s="0" t="n">
        <f aca="false">1</f>
        <v>1</v>
      </c>
      <c r="J1090" s="0" t="n">
        <f aca="false">E1090</f>
        <v>-0.75</v>
      </c>
      <c r="K1090" s="0" t="n">
        <f aca="false">F1090</f>
        <v>0</v>
      </c>
      <c r="L1090" s="0" t="n">
        <f aca="false">G1090</f>
        <v>-0.25</v>
      </c>
      <c r="M1090" s="0" t="n">
        <f aca="false">H1090</f>
        <v>0.25</v>
      </c>
      <c r="N1090" s="0" t="n">
        <f aca="false">E1090*F1090</f>
        <v>-0</v>
      </c>
      <c r="O1090" s="0" t="n">
        <f aca="false">E1090*G1090</f>
        <v>0.1875</v>
      </c>
      <c r="P1090" s="0" t="n">
        <f aca="false">E1090*H1090</f>
        <v>-0.1875</v>
      </c>
      <c r="Q1090" s="0" t="n">
        <f aca="false">F1090*G1090</f>
        <v>-0</v>
      </c>
      <c r="R1090" s="0" t="n">
        <f aca="false">F1090*H1090</f>
        <v>0</v>
      </c>
      <c r="S1090" s="0" t="n">
        <f aca="false">G1090*H1090</f>
        <v>-0.0625</v>
      </c>
      <c r="T1090" s="0" t="n">
        <f aca="false">E1090*E1090</f>
        <v>0.5625</v>
      </c>
      <c r="U1090" s="0" t="n">
        <f aca="false">F1090*F1090</f>
        <v>0</v>
      </c>
      <c r="V1090" s="0" t="n">
        <f aca="false">G1090*G1090</f>
        <v>0.0625</v>
      </c>
      <c r="W1090" s="0" t="n">
        <f aca="false">H1090*H1090</f>
        <v>0.0625</v>
      </c>
      <c r="X1090" s="0" t="n">
        <f aca="false">SUMPRODUCT(I1090:W1090,_XtX!$B$96:$P$96)</f>
        <v>44.5768137792398</v>
      </c>
      <c r="Y1090" s="0" t="n">
        <f aca="false">SUMPRODUCT(MMULT(I1090:W1090,_XtX!$B$78:$P$92),I1090:W1090)</f>
        <v>0.21135011193348</v>
      </c>
      <c r="Z1090" s="0" t="n">
        <f aca="false">04_回帰ANOVA!$K$19*04_回帰ANOVA!$K$14*SQRT(1+Y1090)</f>
        <v>1.43460795469709</v>
      </c>
      <c r="AA1090" s="0" t="n">
        <f aca="false">X1090-Z1090</f>
        <v>43.1422058245427</v>
      </c>
      <c r="AB1090" s="0" t="n">
        <f aca="false">X1090+Z1090</f>
        <v>46.0114217339368</v>
      </c>
      <c r="AC1090" s="54" t="b">
        <f aca="false">AND(E1090&gt;=01_因子設定!$L$5-0.000000001,E1090&lt;=01_因子設定!$M$5+0.000000001,F1090&gt;=01_因子設定!$L$6-0.000000001,F1090&lt;=01_因子設定!$M$6+0.000000001,G1090&gt;=01_因子設定!$L$7-0.000000001,G1090&lt;=01_因子設定!$M$7+0.000000001,H1090&gt;=01_因子設定!$L$8-0.000000001,H1090&lt;=01_因子設定!$M$8+0.000000001,IF(01_因子設定!$B$20="Box-Behnken",E1090^2+F1090^2+G1090^2+H1090^2&lt;=2+0.000000001,TRUE()))</f>
        <v>1</v>
      </c>
      <c r="AD1090" s="55" t="n">
        <f aca="false">IF(AC1090,IF(01_因子設定!$B$13="最大化",AA1090-01_因子設定!$B$14,IF(01_因子設定!$B$13="最小化",01_因子設定!$B$15-AB1090,MIN(AA1090-01_因子設定!$B$14,01_因子設定!$B$15-AB1090))),-1E+030)</f>
        <v>-3.35779417545733</v>
      </c>
      <c r="AE1090" s="55" t="n">
        <f aca="false">IF(AC1090,IF(01_因子設定!$B$13="最大化",X1090,IF(01_因子設定!$B$13="最小化",-X1090,-ABS(X1090-01_因子設定!$B$16))),-1E+030)</f>
        <v>44.5768137792398</v>
      </c>
      <c r="AF1090" s="55" t="n">
        <f aca="false">AD1090+ROW()*0.000000001</f>
        <v>-3.35779308545733</v>
      </c>
      <c r="AG1090" s="55" t="n">
        <f aca="false">AE1090+ROW()*0.000000001</f>
        <v>44.5768148692398</v>
      </c>
    </row>
    <row r="1091" customFormat="false" ht="15" hidden="false" customHeight="false" outlineLevel="0" collapsed="false">
      <c r="A1091" s="0" t="n">
        <v>1</v>
      </c>
      <c r="B1091" s="0" t="n">
        <v>4</v>
      </c>
      <c r="C1091" s="0" t="n">
        <v>3</v>
      </c>
      <c r="D1091" s="0" t="n">
        <v>6</v>
      </c>
      <c r="E1091" s="0" t="n">
        <f aca="false">-1+A1091*0.25</f>
        <v>-0.75</v>
      </c>
      <c r="F1091" s="0" t="n">
        <f aca="false">-1+B1091*0.25</f>
        <v>0</v>
      </c>
      <c r="G1091" s="0" t="n">
        <f aca="false">-1+C1091*0.25</f>
        <v>-0.25</v>
      </c>
      <c r="H1091" s="0" t="n">
        <f aca="false">-1+D1091*0.25</f>
        <v>0.5</v>
      </c>
      <c r="I1091" s="0" t="n">
        <f aca="false">1</f>
        <v>1</v>
      </c>
      <c r="J1091" s="0" t="n">
        <f aca="false">E1091</f>
        <v>-0.75</v>
      </c>
      <c r="K1091" s="0" t="n">
        <f aca="false">F1091</f>
        <v>0</v>
      </c>
      <c r="L1091" s="0" t="n">
        <f aca="false">G1091</f>
        <v>-0.25</v>
      </c>
      <c r="M1091" s="0" t="n">
        <f aca="false">H1091</f>
        <v>0.5</v>
      </c>
      <c r="N1091" s="0" t="n">
        <f aca="false">E1091*F1091</f>
        <v>-0</v>
      </c>
      <c r="O1091" s="0" t="n">
        <f aca="false">E1091*G1091</f>
        <v>0.1875</v>
      </c>
      <c r="P1091" s="0" t="n">
        <f aca="false">E1091*H1091</f>
        <v>-0.375</v>
      </c>
      <c r="Q1091" s="0" t="n">
        <f aca="false">F1091*G1091</f>
        <v>-0</v>
      </c>
      <c r="R1091" s="0" t="n">
        <f aca="false">F1091*H1091</f>
        <v>0</v>
      </c>
      <c r="S1091" s="0" t="n">
        <f aca="false">G1091*H1091</f>
        <v>-0.125</v>
      </c>
      <c r="T1091" s="0" t="n">
        <f aca="false">E1091*E1091</f>
        <v>0.5625</v>
      </c>
      <c r="U1091" s="0" t="n">
        <f aca="false">F1091*F1091</f>
        <v>0</v>
      </c>
      <c r="V1091" s="0" t="n">
        <f aca="false">G1091*G1091</f>
        <v>0.0625</v>
      </c>
      <c r="W1091" s="0" t="n">
        <f aca="false">H1091*H1091</f>
        <v>0.25</v>
      </c>
      <c r="X1091" s="0" t="n">
        <f aca="false">SUMPRODUCT(I1091:W1091,_XtX!$B$96:$P$96)</f>
        <v>44.5650858918129</v>
      </c>
      <c r="Y1091" s="0" t="n">
        <f aca="false">SUMPRODUCT(MMULT(I1091:W1091,_XtX!$B$78:$P$92),I1091:W1091)</f>
        <v>0.215110734192252</v>
      </c>
      <c r="Z1091" s="0" t="n">
        <f aca="false">04_回帰ANOVA!$K$19*04_回帰ANOVA!$K$14*SQRT(1+Y1091)</f>
        <v>1.43683309086864</v>
      </c>
      <c r="AA1091" s="0" t="n">
        <f aca="false">X1091-Z1091</f>
        <v>43.1282528009442</v>
      </c>
      <c r="AB1091" s="0" t="n">
        <f aca="false">X1091+Z1091</f>
        <v>46.0019189826815</v>
      </c>
      <c r="AC1091" s="54" t="b">
        <f aca="false">AND(E1091&gt;=01_因子設定!$L$5-0.000000001,E1091&lt;=01_因子設定!$M$5+0.000000001,F1091&gt;=01_因子設定!$L$6-0.000000001,F1091&lt;=01_因子設定!$M$6+0.000000001,G1091&gt;=01_因子設定!$L$7-0.000000001,G1091&lt;=01_因子設定!$M$7+0.000000001,H1091&gt;=01_因子設定!$L$8-0.000000001,H1091&lt;=01_因子設定!$M$8+0.000000001,IF(01_因子設定!$B$20="Box-Behnken",E1091^2+F1091^2+G1091^2+H1091^2&lt;=2+0.000000001,TRUE()))</f>
        <v>1</v>
      </c>
      <c r="AD1091" s="55" t="n">
        <f aca="false">IF(AC1091,IF(01_因子設定!$B$13="最大化",AA1091-01_因子設定!$B$14,IF(01_因子設定!$B$13="最小化",01_因子設定!$B$15-AB1091,MIN(AA1091-01_因子設定!$B$14,01_因子設定!$B$15-AB1091))),-1E+030)</f>
        <v>-3.37174719905578</v>
      </c>
      <c r="AE1091" s="55" t="n">
        <f aca="false">IF(AC1091,IF(01_因子設定!$B$13="最大化",X1091,IF(01_因子設定!$B$13="最小化",-X1091,-ABS(X1091-01_因子設定!$B$16))),-1E+030)</f>
        <v>44.5650858918129</v>
      </c>
      <c r="AF1091" s="55" t="n">
        <f aca="false">AD1091+ROW()*0.000000001</f>
        <v>-3.37174610805578</v>
      </c>
      <c r="AG1091" s="55" t="n">
        <f aca="false">AE1091+ROW()*0.000000001</f>
        <v>44.5650869828129</v>
      </c>
    </row>
    <row r="1092" customFormat="false" ht="15" hidden="false" customHeight="false" outlineLevel="0" collapsed="false">
      <c r="A1092" s="0" t="n">
        <v>1</v>
      </c>
      <c r="B1092" s="0" t="n">
        <v>4</v>
      </c>
      <c r="C1092" s="0" t="n">
        <v>3</v>
      </c>
      <c r="D1092" s="0" t="n">
        <v>7</v>
      </c>
      <c r="E1092" s="0" t="n">
        <f aca="false">-1+A1092*0.25</f>
        <v>-0.75</v>
      </c>
      <c r="F1092" s="0" t="n">
        <f aca="false">-1+B1092*0.25</f>
        <v>0</v>
      </c>
      <c r="G1092" s="0" t="n">
        <f aca="false">-1+C1092*0.25</f>
        <v>-0.25</v>
      </c>
      <c r="H1092" s="0" t="n">
        <f aca="false">-1+D1092*0.25</f>
        <v>0.75</v>
      </c>
      <c r="I1092" s="0" t="n">
        <f aca="false">1</f>
        <v>1</v>
      </c>
      <c r="J1092" s="0" t="n">
        <f aca="false">E1092</f>
        <v>-0.75</v>
      </c>
      <c r="K1092" s="0" t="n">
        <f aca="false">F1092</f>
        <v>0</v>
      </c>
      <c r="L1092" s="0" t="n">
        <f aca="false">G1092</f>
        <v>-0.25</v>
      </c>
      <c r="M1092" s="0" t="n">
        <f aca="false">H1092</f>
        <v>0.75</v>
      </c>
      <c r="N1092" s="0" t="n">
        <f aca="false">E1092*F1092</f>
        <v>-0</v>
      </c>
      <c r="O1092" s="0" t="n">
        <f aca="false">E1092*G1092</f>
        <v>0.1875</v>
      </c>
      <c r="P1092" s="0" t="n">
        <f aca="false">E1092*H1092</f>
        <v>-0.5625</v>
      </c>
      <c r="Q1092" s="0" t="n">
        <f aca="false">F1092*G1092</f>
        <v>-0</v>
      </c>
      <c r="R1092" s="0" t="n">
        <f aca="false">F1092*H1092</f>
        <v>0</v>
      </c>
      <c r="S1092" s="0" t="n">
        <f aca="false">G1092*H1092</f>
        <v>-0.1875</v>
      </c>
      <c r="T1092" s="0" t="n">
        <f aca="false">E1092*E1092</f>
        <v>0.5625</v>
      </c>
      <c r="U1092" s="0" t="n">
        <f aca="false">F1092*F1092</f>
        <v>0</v>
      </c>
      <c r="V1092" s="0" t="n">
        <f aca="false">G1092*G1092</f>
        <v>0.0625</v>
      </c>
      <c r="W1092" s="0" t="n">
        <f aca="false">H1092*H1092</f>
        <v>0.5625</v>
      </c>
      <c r="X1092" s="0" t="n">
        <f aca="false">SUMPRODUCT(I1092:W1092,_XtX!$B$96:$P$96)</f>
        <v>44.5055509868421</v>
      </c>
      <c r="Y1092" s="0" t="n">
        <f aca="false">SUMPRODUCT(MMULT(I1092:W1092,_XtX!$B$78:$P$92),I1092:W1092)</f>
        <v>0.281685455500731</v>
      </c>
      <c r="Z1092" s="0" t="n">
        <f aca="false">04_回帰ANOVA!$K$19*04_回帰ANOVA!$K$14*SQRT(1+Y1092)</f>
        <v>1.47566956658694</v>
      </c>
      <c r="AA1092" s="0" t="n">
        <f aca="false">X1092-Z1092</f>
        <v>43.0298814202552</v>
      </c>
      <c r="AB1092" s="0" t="n">
        <f aca="false">X1092+Z1092</f>
        <v>45.9812205534291</v>
      </c>
      <c r="AC1092" s="54" t="b">
        <f aca="false">AND(E1092&gt;=01_因子設定!$L$5-0.000000001,E1092&lt;=01_因子設定!$M$5+0.000000001,F1092&gt;=01_因子設定!$L$6-0.000000001,F1092&lt;=01_因子設定!$M$6+0.000000001,G1092&gt;=01_因子設定!$L$7-0.000000001,G1092&lt;=01_因子設定!$M$7+0.000000001,H1092&gt;=01_因子設定!$L$8-0.000000001,H1092&lt;=01_因子設定!$M$8+0.000000001,IF(01_因子設定!$B$20="Box-Behnken",E1092^2+F1092^2+G1092^2+H1092^2&lt;=2+0.000000001,TRUE()))</f>
        <v>1</v>
      </c>
      <c r="AD1092" s="55" t="n">
        <f aca="false">IF(AC1092,IF(01_因子設定!$B$13="最大化",AA1092-01_因子設定!$B$14,IF(01_因子設定!$B$13="最小化",01_因子設定!$B$15-AB1092,MIN(AA1092-01_因子設定!$B$14,01_因子設定!$B$15-AB1092))),-1E+030)</f>
        <v>-3.47011857974483</v>
      </c>
      <c r="AE1092" s="55" t="n">
        <f aca="false">IF(AC1092,IF(01_因子設定!$B$13="最大化",X1092,IF(01_因子設定!$B$13="最小化",-X1092,-ABS(X1092-01_因子設定!$B$16))),-1E+030)</f>
        <v>44.5055509868421</v>
      </c>
      <c r="AF1092" s="55" t="n">
        <f aca="false">AD1092+ROW()*0.000000001</f>
        <v>-3.47011748774483</v>
      </c>
      <c r="AG1092" s="55" t="n">
        <f aca="false">AE1092+ROW()*0.000000001</f>
        <v>44.5055520788421</v>
      </c>
    </row>
    <row r="1093" customFormat="false" ht="15" hidden="false" customHeight="false" outlineLevel="0" collapsed="false">
      <c r="A1093" s="0" t="n">
        <v>1</v>
      </c>
      <c r="B1093" s="0" t="n">
        <v>4</v>
      </c>
      <c r="C1093" s="0" t="n">
        <v>3</v>
      </c>
      <c r="D1093" s="0" t="n">
        <v>8</v>
      </c>
      <c r="E1093" s="0" t="n">
        <f aca="false">-1+A1093*0.25</f>
        <v>-0.75</v>
      </c>
      <c r="F1093" s="0" t="n">
        <f aca="false">-1+B1093*0.25</f>
        <v>0</v>
      </c>
      <c r="G1093" s="0" t="n">
        <f aca="false">-1+C1093*0.25</f>
        <v>-0.25</v>
      </c>
      <c r="H1093" s="0" t="n">
        <f aca="false">-1+D1093*0.25</f>
        <v>1</v>
      </c>
      <c r="I1093" s="0" t="n">
        <f aca="false">1</f>
        <v>1</v>
      </c>
      <c r="J1093" s="0" t="n">
        <f aca="false">E1093</f>
        <v>-0.75</v>
      </c>
      <c r="K1093" s="0" t="n">
        <f aca="false">F1093</f>
        <v>0</v>
      </c>
      <c r="L1093" s="0" t="n">
        <f aca="false">G1093</f>
        <v>-0.25</v>
      </c>
      <c r="M1093" s="0" t="n">
        <f aca="false">H1093</f>
        <v>1</v>
      </c>
      <c r="N1093" s="0" t="n">
        <f aca="false">E1093*F1093</f>
        <v>-0</v>
      </c>
      <c r="O1093" s="0" t="n">
        <f aca="false">E1093*G1093</f>
        <v>0.1875</v>
      </c>
      <c r="P1093" s="0" t="n">
        <f aca="false">E1093*H1093</f>
        <v>-0.75</v>
      </c>
      <c r="Q1093" s="0" t="n">
        <f aca="false">F1093*G1093</f>
        <v>-0</v>
      </c>
      <c r="R1093" s="0" t="n">
        <f aca="false">F1093*H1093</f>
        <v>0</v>
      </c>
      <c r="S1093" s="0" t="n">
        <f aca="false">G1093*H1093</f>
        <v>-0.25</v>
      </c>
      <c r="T1093" s="0" t="n">
        <f aca="false">E1093*E1093</f>
        <v>0.5625</v>
      </c>
      <c r="U1093" s="0" t="n">
        <f aca="false">F1093*F1093</f>
        <v>0</v>
      </c>
      <c r="V1093" s="0" t="n">
        <f aca="false">G1093*G1093</f>
        <v>0.0625</v>
      </c>
      <c r="W1093" s="0" t="n">
        <f aca="false">H1093*H1093</f>
        <v>1</v>
      </c>
      <c r="X1093" s="0" t="n">
        <f aca="false">SUMPRODUCT(I1093:W1093,_XtX!$B$96:$P$96)</f>
        <v>44.3982090643275</v>
      </c>
      <c r="Y1093" s="0" t="n">
        <f aca="false">SUMPRODUCT(MMULT(I1093:W1093,_XtX!$B$78:$P$92),I1093:W1093)</f>
        <v>0.501534802174708</v>
      </c>
      <c r="Z1093" s="0" t="n">
        <f aca="false">04_回帰ANOVA!$K$19*04_回帰ANOVA!$K$14*SQRT(1+Y1093)</f>
        <v>1.59722498091333</v>
      </c>
      <c r="AA1093" s="0" t="n">
        <f aca="false">X1093-Z1093</f>
        <v>42.8009840834142</v>
      </c>
      <c r="AB1093" s="0" t="n">
        <f aca="false">X1093+Z1093</f>
        <v>45.9954340452408</v>
      </c>
      <c r="AC1093" s="54" t="b">
        <f aca="false">AND(E1093&gt;=01_因子設定!$L$5-0.000000001,E1093&lt;=01_因子設定!$M$5+0.000000001,F1093&gt;=01_因子設定!$L$6-0.000000001,F1093&lt;=01_因子設定!$M$6+0.000000001,G1093&gt;=01_因子設定!$L$7-0.000000001,G1093&lt;=01_因子設定!$M$7+0.000000001,H1093&gt;=01_因子設定!$L$8-0.000000001,H1093&lt;=01_因子設定!$M$8+0.000000001,IF(01_因子設定!$B$20="Box-Behnken",E1093^2+F1093^2+G1093^2+H1093^2&lt;=2+0.000000001,TRUE()))</f>
        <v>1</v>
      </c>
      <c r="AD1093" s="55" t="n">
        <f aca="false">IF(AC1093,IF(01_因子設定!$B$13="最大化",AA1093-01_因子設定!$B$14,IF(01_因子設定!$B$13="最小化",01_因子設定!$B$15-AB1093,MIN(AA1093-01_因子設定!$B$14,01_因子設定!$B$15-AB1093))),-1E+030)</f>
        <v>-3.69901591658582</v>
      </c>
      <c r="AE1093" s="55" t="n">
        <f aca="false">IF(AC1093,IF(01_因子設定!$B$13="最大化",X1093,IF(01_因子設定!$B$13="最小化",-X1093,-ABS(X1093-01_因子設定!$B$16))),-1E+030)</f>
        <v>44.3982090643275</v>
      </c>
      <c r="AF1093" s="55" t="n">
        <f aca="false">AD1093+ROW()*0.000000001</f>
        <v>-3.69901482358582</v>
      </c>
      <c r="AG1093" s="55" t="n">
        <f aca="false">AE1093+ROW()*0.000000001</f>
        <v>44.3982101573275</v>
      </c>
    </row>
    <row r="1094" customFormat="false" ht="15" hidden="false" customHeight="false" outlineLevel="0" collapsed="false">
      <c r="A1094" s="0" t="n">
        <v>1</v>
      </c>
      <c r="B1094" s="0" t="n">
        <v>4</v>
      </c>
      <c r="C1094" s="0" t="n">
        <v>4</v>
      </c>
      <c r="D1094" s="0" t="n">
        <v>0</v>
      </c>
      <c r="E1094" s="0" t="n">
        <f aca="false">-1+A1094*0.25</f>
        <v>-0.75</v>
      </c>
      <c r="F1094" s="0" t="n">
        <f aca="false">-1+B1094*0.25</f>
        <v>0</v>
      </c>
      <c r="G1094" s="0" t="n">
        <f aca="false">-1+C1094*0.25</f>
        <v>0</v>
      </c>
      <c r="H1094" s="0" t="n">
        <f aca="false">-1+D1094*0.25</f>
        <v>-1</v>
      </c>
      <c r="I1094" s="0" t="n">
        <f aca="false">1</f>
        <v>1</v>
      </c>
      <c r="J1094" s="0" t="n">
        <f aca="false">E1094</f>
        <v>-0.75</v>
      </c>
      <c r="K1094" s="0" t="n">
        <f aca="false">F1094</f>
        <v>0</v>
      </c>
      <c r="L1094" s="0" t="n">
        <f aca="false">G1094</f>
        <v>0</v>
      </c>
      <c r="M1094" s="0" t="n">
        <f aca="false">H1094</f>
        <v>-1</v>
      </c>
      <c r="N1094" s="0" t="n">
        <f aca="false">E1094*F1094</f>
        <v>-0</v>
      </c>
      <c r="O1094" s="0" t="n">
        <f aca="false">E1094*G1094</f>
        <v>-0</v>
      </c>
      <c r="P1094" s="0" t="n">
        <f aca="false">E1094*H1094</f>
        <v>0.75</v>
      </c>
      <c r="Q1094" s="0" t="n">
        <f aca="false">F1094*G1094</f>
        <v>0</v>
      </c>
      <c r="R1094" s="0" t="n">
        <f aca="false">F1094*H1094</f>
        <v>-0</v>
      </c>
      <c r="S1094" s="0" t="n">
        <f aca="false">G1094*H1094</f>
        <v>-0</v>
      </c>
      <c r="T1094" s="0" t="n">
        <f aca="false">E1094*E1094</f>
        <v>0.5625</v>
      </c>
      <c r="U1094" s="0" t="n">
        <f aca="false">F1094*F1094</f>
        <v>0</v>
      </c>
      <c r="V1094" s="0" t="n">
        <f aca="false">G1094*G1094</f>
        <v>0</v>
      </c>
      <c r="W1094" s="0" t="n">
        <f aca="false">H1094*H1094</f>
        <v>1</v>
      </c>
      <c r="X1094" s="0" t="n">
        <f aca="false">SUMPRODUCT(I1094:W1094,_XtX!$B$96:$P$96)</f>
        <v>44.2568347953217</v>
      </c>
      <c r="Y1094" s="0" t="n">
        <f aca="false">SUMPRODUCT(MMULT(I1094:W1094,_XtX!$B$78:$P$92),I1094:W1094)</f>
        <v>0.516013340643275</v>
      </c>
      <c r="Z1094" s="0" t="n">
        <f aca="false">04_回帰ANOVA!$K$19*04_回帰ANOVA!$K$14*SQRT(1+Y1094)</f>
        <v>1.60490712175667</v>
      </c>
      <c r="AA1094" s="0" t="n">
        <f aca="false">X1094-Z1094</f>
        <v>42.651927673565</v>
      </c>
      <c r="AB1094" s="0" t="n">
        <f aca="false">X1094+Z1094</f>
        <v>45.8617419170783</v>
      </c>
      <c r="AC1094" s="54" t="b">
        <f aca="false">AND(E1094&gt;=01_因子設定!$L$5-0.000000001,E1094&lt;=01_因子設定!$M$5+0.000000001,F1094&gt;=01_因子設定!$L$6-0.000000001,F1094&lt;=01_因子設定!$M$6+0.000000001,G1094&gt;=01_因子設定!$L$7-0.000000001,G1094&lt;=01_因子設定!$M$7+0.000000001,H1094&gt;=01_因子設定!$L$8-0.000000001,H1094&lt;=01_因子設定!$M$8+0.000000001,IF(01_因子設定!$B$20="Box-Behnken",E1094^2+F1094^2+G1094^2+H1094^2&lt;=2+0.000000001,TRUE()))</f>
        <v>1</v>
      </c>
      <c r="AD1094" s="55" t="n">
        <f aca="false">IF(AC1094,IF(01_因子設定!$B$13="最大化",AA1094-01_因子設定!$B$14,IF(01_因子設定!$B$13="最小化",01_因子設定!$B$15-AB1094,MIN(AA1094-01_因子設定!$B$14,01_因子設定!$B$15-AB1094))),-1E+030)</f>
        <v>-3.84807232643501</v>
      </c>
      <c r="AE1094" s="55" t="n">
        <f aca="false">IF(AC1094,IF(01_因子設定!$B$13="最大化",X1094,IF(01_因子設定!$B$13="最小化",-X1094,-ABS(X1094-01_因子設定!$B$16))),-1E+030)</f>
        <v>44.2568347953217</v>
      </c>
      <c r="AF1094" s="55" t="n">
        <f aca="false">AD1094+ROW()*0.000000001</f>
        <v>-3.84807123243501</v>
      </c>
      <c r="AG1094" s="55" t="n">
        <f aca="false">AE1094+ROW()*0.000000001</f>
        <v>44.2568358893217</v>
      </c>
    </row>
    <row r="1095" customFormat="false" ht="15" hidden="false" customHeight="false" outlineLevel="0" collapsed="false">
      <c r="A1095" s="0" t="n">
        <v>1</v>
      </c>
      <c r="B1095" s="0" t="n">
        <v>4</v>
      </c>
      <c r="C1095" s="0" t="n">
        <v>4</v>
      </c>
      <c r="D1095" s="0" t="n">
        <v>1</v>
      </c>
      <c r="E1095" s="0" t="n">
        <f aca="false">-1+A1095*0.25</f>
        <v>-0.75</v>
      </c>
      <c r="F1095" s="0" t="n">
        <f aca="false">-1+B1095*0.25</f>
        <v>0</v>
      </c>
      <c r="G1095" s="0" t="n">
        <f aca="false">-1+C1095*0.25</f>
        <v>0</v>
      </c>
      <c r="H1095" s="0" t="n">
        <f aca="false">-1+D1095*0.25</f>
        <v>-0.75</v>
      </c>
      <c r="I1095" s="0" t="n">
        <f aca="false">1</f>
        <v>1</v>
      </c>
      <c r="J1095" s="0" t="n">
        <f aca="false">E1095</f>
        <v>-0.75</v>
      </c>
      <c r="K1095" s="0" t="n">
        <f aca="false">F1095</f>
        <v>0</v>
      </c>
      <c r="L1095" s="0" t="n">
        <f aca="false">G1095</f>
        <v>0</v>
      </c>
      <c r="M1095" s="0" t="n">
        <f aca="false">H1095</f>
        <v>-0.75</v>
      </c>
      <c r="N1095" s="0" t="n">
        <f aca="false">E1095*F1095</f>
        <v>-0</v>
      </c>
      <c r="O1095" s="0" t="n">
        <f aca="false">E1095*G1095</f>
        <v>-0</v>
      </c>
      <c r="P1095" s="0" t="n">
        <f aca="false">E1095*H1095</f>
        <v>0.5625</v>
      </c>
      <c r="Q1095" s="0" t="n">
        <f aca="false">F1095*G1095</f>
        <v>0</v>
      </c>
      <c r="R1095" s="0" t="n">
        <f aca="false">F1095*H1095</f>
        <v>-0</v>
      </c>
      <c r="S1095" s="0" t="n">
        <f aca="false">G1095*H1095</f>
        <v>-0</v>
      </c>
      <c r="T1095" s="0" t="n">
        <f aca="false">E1095*E1095</f>
        <v>0.5625</v>
      </c>
      <c r="U1095" s="0" t="n">
        <f aca="false">F1095*F1095</f>
        <v>0</v>
      </c>
      <c r="V1095" s="0" t="n">
        <f aca="false">G1095*G1095</f>
        <v>0</v>
      </c>
      <c r="W1095" s="0" t="n">
        <f aca="false">H1095*H1095</f>
        <v>0.5625</v>
      </c>
      <c r="X1095" s="0" t="n">
        <f aca="false">SUMPRODUCT(I1095:W1095,_XtX!$B$96:$P$96)</f>
        <v>44.502110745614</v>
      </c>
      <c r="Y1095" s="0" t="n">
        <f aca="false">SUMPRODUCT(MMULT(I1095:W1095,_XtX!$B$78:$P$92),I1095:W1095)</f>
        <v>0.291636684484649</v>
      </c>
      <c r="Z1095" s="0" t="n">
        <f aca="false">04_回帰ANOVA!$K$19*04_回帰ANOVA!$K$14*SQRT(1+Y1095)</f>
        <v>1.48138716762813</v>
      </c>
      <c r="AA1095" s="0" t="n">
        <f aca="false">X1095-Z1095</f>
        <v>43.0207235779859</v>
      </c>
      <c r="AB1095" s="0" t="n">
        <f aca="false">X1095+Z1095</f>
        <v>45.9834979132422</v>
      </c>
      <c r="AC1095" s="54" t="b">
        <f aca="false">AND(E1095&gt;=01_因子設定!$L$5-0.000000001,E1095&lt;=01_因子設定!$M$5+0.000000001,F1095&gt;=01_因子設定!$L$6-0.000000001,F1095&lt;=01_因子設定!$M$6+0.000000001,G1095&gt;=01_因子設定!$L$7-0.000000001,G1095&lt;=01_因子設定!$M$7+0.000000001,H1095&gt;=01_因子設定!$L$8-0.000000001,H1095&lt;=01_因子設定!$M$8+0.000000001,IF(01_因子設定!$B$20="Box-Behnken",E1095^2+F1095^2+G1095^2+H1095^2&lt;=2+0.000000001,TRUE()))</f>
        <v>1</v>
      </c>
      <c r="AD1095" s="55" t="n">
        <f aca="false">IF(AC1095,IF(01_因子設定!$B$13="最大化",AA1095-01_因子設定!$B$14,IF(01_因子設定!$B$13="最小化",01_因子設定!$B$15-AB1095,MIN(AA1095-01_因子設定!$B$14,01_因子設定!$B$15-AB1095))),-1E+030)</f>
        <v>-3.47927642201409</v>
      </c>
      <c r="AE1095" s="55" t="n">
        <f aca="false">IF(AC1095,IF(01_因子設定!$B$13="最大化",X1095,IF(01_因子設定!$B$13="最小化",-X1095,-ABS(X1095-01_因子設定!$B$16))),-1E+030)</f>
        <v>44.502110745614</v>
      </c>
      <c r="AF1095" s="55" t="n">
        <f aca="false">AD1095+ROW()*0.000000001</f>
        <v>-3.47927532701409</v>
      </c>
      <c r="AG1095" s="55" t="n">
        <f aca="false">AE1095+ROW()*0.000000001</f>
        <v>44.502111840614</v>
      </c>
    </row>
    <row r="1096" customFormat="false" ht="15" hidden="false" customHeight="false" outlineLevel="0" collapsed="false">
      <c r="A1096" s="0" t="n">
        <v>1</v>
      </c>
      <c r="B1096" s="0" t="n">
        <v>4</v>
      </c>
      <c r="C1096" s="0" t="n">
        <v>4</v>
      </c>
      <c r="D1096" s="0" t="n">
        <v>2</v>
      </c>
      <c r="E1096" s="0" t="n">
        <f aca="false">-1+A1096*0.25</f>
        <v>-0.75</v>
      </c>
      <c r="F1096" s="0" t="n">
        <f aca="false">-1+B1096*0.25</f>
        <v>0</v>
      </c>
      <c r="G1096" s="0" t="n">
        <f aca="false">-1+C1096*0.25</f>
        <v>0</v>
      </c>
      <c r="H1096" s="0" t="n">
        <f aca="false">-1+D1096*0.25</f>
        <v>-0.5</v>
      </c>
      <c r="I1096" s="0" t="n">
        <f aca="false">1</f>
        <v>1</v>
      </c>
      <c r="J1096" s="0" t="n">
        <f aca="false">E1096</f>
        <v>-0.75</v>
      </c>
      <c r="K1096" s="0" t="n">
        <f aca="false">F1096</f>
        <v>0</v>
      </c>
      <c r="L1096" s="0" t="n">
        <f aca="false">G1096</f>
        <v>0</v>
      </c>
      <c r="M1096" s="0" t="n">
        <f aca="false">H1096</f>
        <v>-0.5</v>
      </c>
      <c r="N1096" s="0" t="n">
        <f aca="false">E1096*F1096</f>
        <v>-0</v>
      </c>
      <c r="O1096" s="0" t="n">
        <f aca="false">E1096*G1096</f>
        <v>-0</v>
      </c>
      <c r="P1096" s="0" t="n">
        <f aca="false">E1096*H1096</f>
        <v>0.375</v>
      </c>
      <c r="Q1096" s="0" t="n">
        <f aca="false">F1096*G1096</f>
        <v>0</v>
      </c>
      <c r="R1096" s="0" t="n">
        <f aca="false">F1096*H1096</f>
        <v>-0</v>
      </c>
      <c r="S1096" s="0" t="n">
        <f aca="false">G1096*H1096</f>
        <v>-0</v>
      </c>
      <c r="T1096" s="0" t="n">
        <f aca="false">E1096*E1096</f>
        <v>0.5625</v>
      </c>
      <c r="U1096" s="0" t="n">
        <f aca="false">F1096*F1096</f>
        <v>0</v>
      </c>
      <c r="V1096" s="0" t="n">
        <f aca="false">G1096*G1096</f>
        <v>0</v>
      </c>
      <c r="W1096" s="0" t="n">
        <f aca="false">H1096*H1096</f>
        <v>0.25</v>
      </c>
      <c r="X1096" s="0" t="n">
        <f aca="false">SUMPRODUCT(I1096:W1096,_XtX!$B$96:$P$96)</f>
        <v>44.6995796783626</v>
      </c>
      <c r="Y1096" s="0" t="n">
        <f aca="false">SUMPRODUCT(MMULT(I1096:W1096,_XtX!$B$78:$P$92),I1096:W1096)</f>
        <v>0.221828170687135</v>
      </c>
      <c r="Z1096" s="0" t="n">
        <f aca="false">04_回帰ANOVA!$K$19*04_回帰ANOVA!$K$14*SQRT(1+Y1096)</f>
        <v>1.44079920361664</v>
      </c>
      <c r="AA1096" s="0" t="n">
        <f aca="false">X1096-Z1096</f>
        <v>43.2587804747459</v>
      </c>
      <c r="AB1096" s="0" t="n">
        <f aca="false">X1096+Z1096</f>
        <v>46.1403788819792</v>
      </c>
      <c r="AC1096" s="54" t="b">
        <f aca="false">AND(E1096&gt;=01_因子設定!$L$5-0.000000001,E1096&lt;=01_因子設定!$M$5+0.000000001,F1096&gt;=01_因子設定!$L$6-0.000000001,F1096&lt;=01_因子設定!$M$6+0.000000001,G1096&gt;=01_因子設定!$L$7-0.000000001,G1096&lt;=01_因子設定!$M$7+0.000000001,H1096&gt;=01_因子設定!$L$8-0.000000001,H1096&lt;=01_因子設定!$M$8+0.000000001,IF(01_因子設定!$B$20="Box-Behnken",E1096^2+F1096^2+G1096^2+H1096^2&lt;=2+0.000000001,TRUE()))</f>
        <v>1</v>
      </c>
      <c r="AD1096" s="55" t="n">
        <f aca="false">IF(AC1096,IF(01_因子設定!$B$13="最大化",AA1096-01_因子設定!$B$14,IF(01_因子設定!$B$13="最小化",01_因子設定!$B$15-AB1096,MIN(AA1096-01_因子設定!$B$14,01_因子設定!$B$15-AB1096))),-1E+030)</f>
        <v>-3.24121952525407</v>
      </c>
      <c r="AE1096" s="55" t="n">
        <f aca="false">IF(AC1096,IF(01_因子設定!$B$13="最大化",X1096,IF(01_因子設定!$B$13="最小化",-X1096,-ABS(X1096-01_因子設定!$B$16))),-1E+030)</f>
        <v>44.6995796783626</v>
      </c>
      <c r="AF1096" s="55" t="n">
        <f aca="false">AD1096+ROW()*0.000000001</f>
        <v>-3.24121842925407</v>
      </c>
      <c r="AG1096" s="55" t="n">
        <f aca="false">AE1096+ROW()*0.000000001</f>
        <v>44.6995807743626</v>
      </c>
    </row>
    <row r="1097" customFormat="false" ht="15" hidden="false" customHeight="false" outlineLevel="0" collapsed="false">
      <c r="A1097" s="0" t="n">
        <v>1</v>
      </c>
      <c r="B1097" s="0" t="n">
        <v>4</v>
      </c>
      <c r="C1097" s="0" t="n">
        <v>4</v>
      </c>
      <c r="D1097" s="0" t="n">
        <v>3</v>
      </c>
      <c r="E1097" s="0" t="n">
        <f aca="false">-1+A1097*0.25</f>
        <v>-0.75</v>
      </c>
      <c r="F1097" s="0" t="n">
        <f aca="false">-1+B1097*0.25</f>
        <v>0</v>
      </c>
      <c r="G1097" s="0" t="n">
        <f aca="false">-1+C1097*0.25</f>
        <v>0</v>
      </c>
      <c r="H1097" s="0" t="n">
        <f aca="false">-1+D1097*0.25</f>
        <v>-0.25</v>
      </c>
      <c r="I1097" s="0" t="n">
        <f aca="false">1</f>
        <v>1</v>
      </c>
      <c r="J1097" s="0" t="n">
        <f aca="false">E1097</f>
        <v>-0.75</v>
      </c>
      <c r="K1097" s="0" t="n">
        <f aca="false">F1097</f>
        <v>0</v>
      </c>
      <c r="L1097" s="0" t="n">
        <f aca="false">G1097</f>
        <v>0</v>
      </c>
      <c r="M1097" s="0" t="n">
        <f aca="false">H1097</f>
        <v>-0.25</v>
      </c>
      <c r="N1097" s="0" t="n">
        <f aca="false">E1097*F1097</f>
        <v>-0</v>
      </c>
      <c r="O1097" s="0" t="n">
        <f aca="false">E1097*G1097</f>
        <v>-0</v>
      </c>
      <c r="P1097" s="0" t="n">
        <f aca="false">E1097*H1097</f>
        <v>0.1875</v>
      </c>
      <c r="Q1097" s="0" t="n">
        <f aca="false">F1097*G1097</f>
        <v>0</v>
      </c>
      <c r="R1097" s="0" t="n">
        <f aca="false">F1097*H1097</f>
        <v>-0</v>
      </c>
      <c r="S1097" s="0" t="n">
        <f aca="false">G1097*H1097</f>
        <v>-0</v>
      </c>
      <c r="T1097" s="0" t="n">
        <f aca="false">E1097*E1097</f>
        <v>0.5625</v>
      </c>
      <c r="U1097" s="0" t="n">
        <f aca="false">F1097*F1097</f>
        <v>0</v>
      </c>
      <c r="V1097" s="0" t="n">
        <f aca="false">G1097*G1097</f>
        <v>0</v>
      </c>
      <c r="W1097" s="0" t="n">
        <f aca="false">H1097*H1097</f>
        <v>0.0625</v>
      </c>
      <c r="X1097" s="0" t="n">
        <f aca="false">SUMPRODUCT(I1097:W1097,_XtX!$B$96:$P$96)</f>
        <v>44.8492415935672</v>
      </c>
      <c r="Y1097" s="0" t="n">
        <f aca="false">SUMPRODUCT(MMULT(I1097:W1097,_XtX!$B$78:$P$92),I1097:W1097)</f>
        <v>0.216127272934942</v>
      </c>
      <c r="Z1097" s="0" t="n">
        <f aca="false">04_回帰ANOVA!$K$19*04_回帰ANOVA!$K$14*SQRT(1+Y1097)</f>
        <v>1.43743397896608</v>
      </c>
      <c r="AA1097" s="0" t="n">
        <f aca="false">X1097-Z1097</f>
        <v>43.4118076146012</v>
      </c>
      <c r="AB1097" s="0" t="n">
        <f aca="false">X1097+Z1097</f>
        <v>46.2866755725333</v>
      </c>
      <c r="AC1097" s="54" t="b">
        <f aca="false">AND(E1097&gt;=01_因子設定!$L$5-0.000000001,E1097&lt;=01_因子設定!$M$5+0.000000001,F1097&gt;=01_因子設定!$L$6-0.000000001,F1097&lt;=01_因子設定!$M$6+0.000000001,G1097&gt;=01_因子設定!$L$7-0.000000001,G1097&lt;=01_因子設定!$M$7+0.000000001,H1097&gt;=01_因子設定!$L$8-0.000000001,H1097&lt;=01_因子設定!$M$8+0.000000001,IF(01_因子設定!$B$20="Box-Behnken",E1097^2+F1097^2+G1097^2+H1097^2&lt;=2+0.000000001,TRUE()))</f>
        <v>1</v>
      </c>
      <c r="AD1097" s="55" t="n">
        <f aca="false">IF(AC1097,IF(01_因子設定!$B$13="最大化",AA1097-01_因子設定!$B$14,IF(01_因子設定!$B$13="最小化",01_因子設定!$B$15-AB1097,MIN(AA1097-01_因子設定!$B$14,01_因子設定!$B$15-AB1097))),-1E+030)</f>
        <v>-3.08819238539883</v>
      </c>
      <c r="AE1097" s="55" t="n">
        <f aca="false">IF(AC1097,IF(01_因子設定!$B$13="最大化",X1097,IF(01_因子設定!$B$13="最小化",-X1097,-ABS(X1097-01_因子設定!$B$16))),-1E+030)</f>
        <v>44.8492415935672</v>
      </c>
      <c r="AF1097" s="55" t="n">
        <f aca="false">AD1097+ROW()*0.000000001</f>
        <v>-3.08819128839883</v>
      </c>
      <c r="AG1097" s="55" t="n">
        <f aca="false">AE1097+ROW()*0.000000001</f>
        <v>44.8492426905672</v>
      </c>
    </row>
    <row r="1098" customFormat="false" ht="15" hidden="false" customHeight="false" outlineLevel="0" collapsed="false">
      <c r="A1098" s="0" t="n">
        <v>1</v>
      </c>
      <c r="B1098" s="0" t="n">
        <v>4</v>
      </c>
      <c r="C1098" s="0" t="n">
        <v>4</v>
      </c>
      <c r="D1098" s="0" t="n">
        <v>4</v>
      </c>
      <c r="E1098" s="0" t="n">
        <f aca="false">-1+A1098*0.25</f>
        <v>-0.75</v>
      </c>
      <c r="F1098" s="0" t="n">
        <f aca="false">-1+B1098*0.25</f>
        <v>0</v>
      </c>
      <c r="G1098" s="0" t="n">
        <f aca="false">-1+C1098*0.25</f>
        <v>0</v>
      </c>
      <c r="H1098" s="0" t="n">
        <f aca="false">-1+D1098*0.25</f>
        <v>0</v>
      </c>
      <c r="I1098" s="0" t="n">
        <f aca="false">1</f>
        <v>1</v>
      </c>
      <c r="J1098" s="0" t="n">
        <f aca="false">E1098</f>
        <v>-0.75</v>
      </c>
      <c r="K1098" s="0" t="n">
        <f aca="false">F1098</f>
        <v>0</v>
      </c>
      <c r="L1098" s="0" t="n">
        <f aca="false">G1098</f>
        <v>0</v>
      </c>
      <c r="M1098" s="0" t="n">
        <f aca="false">H1098</f>
        <v>0</v>
      </c>
      <c r="N1098" s="0" t="n">
        <f aca="false">E1098*F1098</f>
        <v>-0</v>
      </c>
      <c r="O1098" s="0" t="n">
        <f aca="false">E1098*G1098</f>
        <v>-0</v>
      </c>
      <c r="P1098" s="0" t="n">
        <f aca="false">E1098*H1098</f>
        <v>-0</v>
      </c>
      <c r="Q1098" s="0" t="n">
        <f aca="false">F1098*G1098</f>
        <v>0</v>
      </c>
      <c r="R1098" s="0" t="n">
        <f aca="false">F1098*H1098</f>
        <v>0</v>
      </c>
      <c r="S1098" s="0" t="n">
        <f aca="false">G1098*H1098</f>
        <v>0</v>
      </c>
      <c r="T1098" s="0" t="n">
        <f aca="false">E1098*E1098</f>
        <v>0.5625</v>
      </c>
      <c r="U1098" s="0" t="n">
        <f aca="false">F1098*F1098</f>
        <v>0</v>
      </c>
      <c r="V1098" s="0" t="n">
        <f aca="false">G1098*G1098</f>
        <v>0</v>
      </c>
      <c r="W1098" s="0" t="n">
        <f aca="false">H1098*H1098</f>
        <v>0</v>
      </c>
      <c r="X1098" s="0" t="n">
        <f aca="false">SUMPRODUCT(I1098:W1098,_XtX!$B$96:$P$96)</f>
        <v>44.9510964912281</v>
      </c>
      <c r="Y1098" s="0" t="n">
        <f aca="false">SUMPRODUCT(MMULT(I1098:W1098,_XtX!$B$78:$P$92),I1098:W1098)</f>
        <v>0.220257675438597</v>
      </c>
      <c r="Z1098" s="0" t="n">
        <f aca="false">04_回帰ANOVA!$K$19*04_回帰ANOVA!$K$14*SQRT(1+Y1098)</f>
        <v>1.43987292938832</v>
      </c>
      <c r="AA1098" s="0" t="n">
        <f aca="false">X1098-Z1098</f>
        <v>43.5112235618397</v>
      </c>
      <c r="AB1098" s="0" t="n">
        <f aca="false">X1098+Z1098</f>
        <v>46.3909694206164</v>
      </c>
      <c r="AC1098" s="54" t="b">
        <f aca="false">AND(E1098&gt;=01_因子設定!$L$5-0.000000001,E1098&lt;=01_因子設定!$M$5+0.000000001,F1098&gt;=01_因子設定!$L$6-0.000000001,F1098&lt;=01_因子設定!$M$6+0.000000001,G1098&gt;=01_因子設定!$L$7-0.000000001,G1098&lt;=01_因子設定!$M$7+0.000000001,H1098&gt;=01_因子設定!$L$8-0.000000001,H1098&lt;=01_因子設定!$M$8+0.000000001,IF(01_因子設定!$B$20="Box-Behnken",E1098^2+F1098^2+G1098^2+H1098^2&lt;=2+0.000000001,TRUE()))</f>
        <v>1</v>
      </c>
      <c r="AD1098" s="55" t="n">
        <f aca="false">IF(AC1098,IF(01_因子設定!$B$13="最大化",AA1098-01_因子設定!$B$14,IF(01_因子設定!$B$13="最小化",01_因子設定!$B$15-AB1098,MIN(AA1098-01_因子設定!$B$14,01_因子設定!$B$15-AB1098))),-1E+030)</f>
        <v>-2.98877643816026</v>
      </c>
      <c r="AE1098" s="55" t="n">
        <f aca="false">IF(AC1098,IF(01_因子設定!$B$13="最大化",X1098,IF(01_因子設定!$B$13="最小化",-X1098,-ABS(X1098-01_因子設定!$B$16))),-1E+030)</f>
        <v>44.9510964912281</v>
      </c>
      <c r="AF1098" s="55" t="n">
        <f aca="false">AD1098+ROW()*0.000000001</f>
        <v>-2.98877534016026</v>
      </c>
      <c r="AG1098" s="55" t="n">
        <f aca="false">AE1098+ROW()*0.000000001</f>
        <v>44.9510975892281</v>
      </c>
    </row>
    <row r="1099" customFormat="false" ht="15" hidden="false" customHeight="false" outlineLevel="0" collapsed="false">
      <c r="A1099" s="0" t="n">
        <v>1</v>
      </c>
      <c r="B1099" s="0" t="n">
        <v>4</v>
      </c>
      <c r="C1099" s="0" t="n">
        <v>4</v>
      </c>
      <c r="D1099" s="0" t="n">
        <v>5</v>
      </c>
      <c r="E1099" s="0" t="n">
        <f aca="false">-1+A1099*0.25</f>
        <v>-0.75</v>
      </c>
      <c r="F1099" s="0" t="n">
        <f aca="false">-1+B1099*0.25</f>
        <v>0</v>
      </c>
      <c r="G1099" s="0" t="n">
        <f aca="false">-1+C1099*0.25</f>
        <v>0</v>
      </c>
      <c r="H1099" s="0" t="n">
        <f aca="false">-1+D1099*0.25</f>
        <v>0.25</v>
      </c>
      <c r="I1099" s="0" t="n">
        <f aca="false">1</f>
        <v>1</v>
      </c>
      <c r="J1099" s="0" t="n">
        <f aca="false">E1099</f>
        <v>-0.75</v>
      </c>
      <c r="K1099" s="0" t="n">
        <f aca="false">F1099</f>
        <v>0</v>
      </c>
      <c r="L1099" s="0" t="n">
        <f aca="false">G1099</f>
        <v>0</v>
      </c>
      <c r="M1099" s="0" t="n">
        <f aca="false">H1099</f>
        <v>0.25</v>
      </c>
      <c r="N1099" s="0" t="n">
        <f aca="false">E1099*F1099</f>
        <v>-0</v>
      </c>
      <c r="O1099" s="0" t="n">
        <f aca="false">E1099*G1099</f>
        <v>-0</v>
      </c>
      <c r="P1099" s="0" t="n">
        <f aca="false">E1099*H1099</f>
        <v>-0.1875</v>
      </c>
      <c r="Q1099" s="0" t="n">
        <f aca="false">F1099*G1099</f>
        <v>0</v>
      </c>
      <c r="R1099" s="0" t="n">
        <f aca="false">F1099*H1099</f>
        <v>0</v>
      </c>
      <c r="S1099" s="0" t="n">
        <f aca="false">G1099*H1099</f>
        <v>0</v>
      </c>
      <c r="T1099" s="0" t="n">
        <f aca="false">E1099*E1099</f>
        <v>0.5625</v>
      </c>
      <c r="U1099" s="0" t="n">
        <f aca="false">F1099*F1099</f>
        <v>0</v>
      </c>
      <c r="V1099" s="0" t="n">
        <f aca="false">G1099*G1099</f>
        <v>0</v>
      </c>
      <c r="W1099" s="0" t="n">
        <f aca="false">H1099*H1099</f>
        <v>0.0625</v>
      </c>
      <c r="X1099" s="0" t="n">
        <f aca="false">SUMPRODUCT(I1099:W1099,_XtX!$B$96:$P$96)</f>
        <v>45.005144371345</v>
      </c>
      <c r="Y1099" s="0" t="n">
        <f aca="false">SUMPRODUCT(MMULT(I1099:W1099,_XtX!$B$78:$P$92),I1099:W1099)</f>
        <v>0.216127272934942</v>
      </c>
      <c r="Z1099" s="0" t="n">
        <f aca="false">04_回帰ANOVA!$K$19*04_回帰ANOVA!$K$14*SQRT(1+Y1099)</f>
        <v>1.43743397896608</v>
      </c>
      <c r="AA1099" s="0" t="n">
        <f aca="false">X1099-Z1099</f>
        <v>43.5677103923789</v>
      </c>
      <c r="AB1099" s="0" t="n">
        <f aca="false">X1099+Z1099</f>
        <v>46.4425783503111</v>
      </c>
      <c r="AC1099" s="54" t="b">
        <f aca="false">AND(E1099&gt;=01_因子設定!$L$5-0.000000001,E1099&lt;=01_因子設定!$M$5+0.000000001,F1099&gt;=01_因子設定!$L$6-0.000000001,F1099&lt;=01_因子設定!$M$6+0.000000001,G1099&gt;=01_因子設定!$L$7-0.000000001,G1099&lt;=01_因子設定!$M$7+0.000000001,H1099&gt;=01_因子設定!$L$8-0.000000001,H1099&lt;=01_因子設定!$M$8+0.000000001,IF(01_因子設定!$B$20="Box-Behnken",E1099^2+F1099^2+G1099^2+H1099^2&lt;=2+0.000000001,TRUE()))</f>
        <v>1</v>
      </c>
      <c r="AD1099" s="55" t="n">
        <f aca="false">IF(AC1099,IF(01_因子設定!$B$13="最大化",AA1099-01_因子設定!$B$14,IF(01_因子設定!$B$13="最小化",01_因子設定!$B$15-AB1099,MIN(AA1099-01_因子設定!$B$14,01_因子設定!$B$15-AB1099))),-1E+030)</f>
        <v>-2.93228960762106</v>
      </c>
      <c r="AE1099" s="55" t="n">
        <f aca="false">IF(AC1099,IF(01_因子設定!$B$13="最大化",X1099,IF(01_因子設定!$B$13="最小化",-X1099,-ABS(X1099-01_因子設定!$B$16))),-1E+030)</f>
        <v>45.005144371345</v>
      </c>
      <c r="AF1099" s="55" t="n">
        <f aca="false">AD1099+ROW()*0.000000001</f>
        <v>-2.93228850862106</v>
      </c>
      <c r="AG1099" s="55" t="n">
        <f aca="false">AE1099+ROW()*0.000000001</f>
        <v>45.005145470345</v>
      </c>
    </row>
    <row r="1100" customFormat="false" ht="15" hidden="false" customHeight="false" outlineLevel="0" collapsed="false">
      <c r="A1100" s="0" t="n">
        <v>1</v>
      </c>
      <c r="B1100" s="0" t="n">
        <v>4</v>
      </c>
      <c r="C1100" s="0" t="n">
        <v>4</v>
      </c>
      <c r="D1100" s="0" t="n">
        <v>6</v>
      </c>
      <c r="E1100" s="0" t="n">
        <f aca="false">-1+A1100*0.25</f>
        <v>-0.75</v>
      </c>
      <c r="F1100" s="0" t="n">
        <f aca="false">-1+B1100*0.25</f>
        <v>0</v>
      </c>
      <c r="G1100" s="0" t="n">
        <f aca="false">-1+C1100*0.25</f>
        <v>0</v>
      </c>
      <c r="H1100" s="0" t="n">
        <f aca="false">-1+D1100*0.25</f>
        <v>0.5</v>
      </c>
      <c r="I1100" s="0" t="n">
        <f aca="false">1</f>
        <v>1</v>
      </c>
      <c r="J1100" s="0" t="n">
        <f aca="false">E1100</f>
        <v>-0.75</v>
      </c>
      <c r="K1100" s="0" t="n">
        <f aca="false">F1100</f>
        <v>0</v>
      </c>
      <c r="L1100" s="0" t="n">
        <f aca="false">G1100</f>
        <v>0</v>
      </c>
      <c r="M1100" s="0" t="n">
        <f aca="false">H1100</f>
        <v>0.5</v>
      </c>
      <c r="N1100" s="0" t="n">
        <f aca="false">E1100*F1100</f>
        <v>-0</v>
      </c>
      <c r="O1100" s="0" t="n">
        <f aca="false">E1100*G1100</f>
        <v>-0</v>
      </c>
      <c r="P1100" s="0" t="n">
        <f aca="false">E1100*H1100</f>
        <v>-0.375</v>
      </c>
      <c r="Q1100" s="0" t="n">
        <f aca="false">F1100*G1100</f>
        <v>0</v>
      </c>
      <c r="R1100" s="0" t="n">
        <f aca="false">F1100*H1100</f>
        <v>0</v>
      </c>
      <c r="S1100" s="0" t="n">
        <f aca="false">G1100*H1100</f>
        <v>0</v>
      </c>
      <c r="T1100" s="0" t="n">
        <f aca="false">E1100*E1100</f>
        <v>0.5625</v>
      </c>
      <c r="U1100" s="0" t="n">
        <f aca="false">F1100*F1100</f>
        <v>0</v>
      </c>
      <c r="V1100" s="0" t="n">
        <f aca="false">G1100*G1100</f>
        <v>0</v>
      </c>
      <c r="W1100" s="0" t="n">
        <f aca="false">H1100*H1100</f>
        <v>0.25</v>
      </c>
      <c r="X1100" s="0" t="n">
        <f aca="false">SUMPRODUCT(I1100:W1100,_XtX!$B$96:$P$96)</f>
        <v>45.0113852339181</v>
      </c>
      <c r="Y1100" s="0" t="n">
        <f aca="false">SUMPRODUCT(MMULT(I1100:W1100,_XtX!$B$78:$P$92),I1100:W1100)</f>
        <v>0.221828170687135</v>
      </c>
      <c r="Z1100" s="0" t="n">
        <f aca="false">04_回帰ANOVA!$K$19*04_回帰ANOVA!$K$14*SQRT(1+Y1100)</f>
        <v>1.44079920361664</v>
      </c>
      <c r="AA1100" s="0" t="n">
        <f aca="false">X1100-Z1100</f>
        <v>43.5705860303015</v>
      </c>
      <c r="AB1100" s="0" t="n">
        <f aca="false">X1100+Z1100</f>
        <v>46.4521844375348</v>
      </c>
      <c r="AC1100" s="54" t="b">
        <f aca="false">AND(E1100&gt;=01_因子設定!$L$5-0.000000001,E1100&lt;=01_因子設定!$M$5+0.000000001,F1100&gt;=01_因子設定!$L$6-0.000000001,F1100&lt;=01_因子設定!$M$6+0.000000001,G1100&gt;=01_因子設定!$L$7-0.000000001,G1100&lt;=01_因子設定!$M$7+0.000000001,H1100&gt;=01_因子設定!$L$8-0.000000001,H1100&lt;=01_因子設定!$M$8+0.000000001,IF(01_因子設定!$B$20="Box-Behnken",E1100^2+F1100^2+G1100^2+H1100^2&lt;=2+0.000000001,TRUE()))</f>
        <v>1</v>
      </c>
      <c r="AD1100" s="55" t="n">
        <f aca="false">IF(AC1100,IF(01_因子設定!$B$13="最大化",AA1100-01_因子設定!$B$14,IF(01_因子設定!$B$13="最小化",01_因子設定!$B$15-AB1100,MIN(AA1100-01_因子設定!$B$14,01_因子設定!$B$15-AB1100))),-1E+030)</f>
        <v>-2.92941396969852</v>
      </c>
      <c r="AE1100" s="55" t="n">
        <f aca="false">IF(AC1100,IF(01_因子設定!$B$13="最大化",X1100,IF(01_因子設定!$B$13="最小化",-X1100,-ABS(X1100-01_因子設定!$B$16))),-1E+030)</f>
        <v>45.0113852339181</v>
      </c>
      <c r="AF1100" s="55" t="n">
        <f aca="false">AD1100+ROW()*0.000000001</f>
        <v>-2.92941286969852</v>
      </c>
      <c r="AG1100" s="55" t="n">
        <f aca="false">AE1100+ROW()*0.000000001</f>
        <v>45.0113863339181</v>
      </c>
    </row>
    <row r="1101" customFormat="false" ht="15" hidden="false" customHeight="false" outlineLevel="0" collapsed="false">
      <c r="A1101" s="0" t="n">
        <v>1</v>
      </c>
      <c r="B1101" s="0" t="n">
        <v>4</v>
      </c>
      <c r="C1101" s="0" t="n">
        <v>4</v>
      </c>
      <c r="D1101" s="0" t="n">
        <v>7</v>
      </c>
      <c r="E1101" s="0" t="n">
        <f aca="false">-1+A1101*0.25</f>
        <v>-0.75</v>
      </c>
      <c r="F1101" s="0" t="n">
        <f aca="false">-1+B1101*0.25</f>
        <v>0</v>
      </c>
      <c r="G1101" s="0" t="n">
        <f aca="false">-1+C1101*0.25</f>
        <v>0</v>
      </c>
      <c r="H1101" s="0" t="n">
        <f aca="false">-1+D1101*0.25</f>
        <v>0.75</v>
      </c>
      <c r="I1101" s="0" t="n">
        <f aca="false">1</f>
        <v>1</v>
      </c>
      <c r="J1101" s="0" t="n">
        <f aca="false">E1101</f>
        <v>-0.75</v>
      </c>
      <c r="K1101" s="0" t="n">
        <f aca="false">F1101</f>
        <v>0</v>
      </c>
      <c r="L1101" s="0" t="n">
        <f aca="false">G1101</f>
        <v>0</v>
      </c>
      <c r="M1101" s="0" t="n">
        <f aca="false">H1101</f>
        <v>0.75</v>
      </c>
      <c r="N1101" s="0" t="n">
        <f aca="false">E1101*F1101</f>
        <v>-0</v>
      </c>
      <c r="O1101" s="0" t="n">
        <f aca="false">E1101*G1101</f>
        <v>-0</v>
      </c>
      <c r="P1101" s="0" t="n">
        <f aca="false">E1101*H1101</f>
        <v>-0.5625</v>
      </c>
      <c r="Q1101" s="0" t="n">
        <f aca="false">F1101*G1101</f>
        <v>0</v>
      </c>
      <c r="R1101" s="0" t="n">
        <f aca="false">F1101*H1101</f>
        <v>0</v>
      </c>
      <c r="S1101" s="0" t="n">
        <f aca="false">G1101*H1101</f>
        <v>0</v>
      </c>
      <c r="T1101" s="0" t="n">
        <f aca="false">E1101*E1101</f>
        <v>0.5625</v>
      </c>
      <c r="U1101" s="0" t="n">
        <f aca="false">F1101*F1101</f>
        <v>0</v>
      </c>
      <c r="V1101" s="0" t="n">
        <f aca="false">G1101*G1101</f>
        <v>0</v>
      </c>
      <c r="W1101" s="0" t="n">
        <f aca="false">H1101*H1101</f>
        <v>0.5625</v>
      </c>
      <c r="X1101" s="0" t="n">
        <f aca="false">SUMPRODUCT(I1101:W1101,_XtX!$B$96:$P$96)</f>
        <v>44.9698190789474</v>
      </c>
      <c r="Y1101" s="0" t="n">
        <f aca="false">SUMPRODUCT(MMULT(I1101:W1101,_XtX!$B$78:$P$92),I1101:W1101)</f>
        <v>0.291636684484649</v>
      </c>
      <c r="Z1101" s="0" t="n">
        <f aca="false">04_回帰ANOVA!$K$19*04_回帰ANOVA!$K$14*SQRT(1+Y1101)</f>
        <v>1.48138716762813</v>
      </c>
      <c r="AA1101" s="0" t="n">
        <f aca="false">X1101-Z1101</f>
        <v>43.4884319113192</v>
      </c>
      <c r="AB1101" s="0" t="n">
        <f aca="false">X1101+Z1101</f>
        <v>46.4512062465755</v>
      </c>
      <c r="AC1101" s="54" t="b">
        <f aca="false">AND(E1101&gt;=01_因子設定!$L$5-0.000000001,E1101&lt;=01_因子設定!$M$5+0.000000001,F1101&gt;=01_因子設定!$L$6-0.000000001,F1101&lt;=01_因子設定!$M$6+0.000000001,G1101&gt;=01_因子設定!$L$7-0.000000001,G1101&lt;=01_因子設定!$M$7+0.000000001,H1101&gt;=01_因子設定!$L$8-0.000000001,H1101&lt;=01_因子設定!$M$8+0.000000001,IF(01_因子設定!$B$20="Box-Behnken",E1101^2+F1101^2+G1101^2+H1101^2&lt;=2+0.000000001,TRUE()))</f>
        <v>1</v>
      </c>
      <c r="AD1101" s="55" t="n">
        <f aca="false">IF(AC1101,IF(01_因子設定!$B$13="最大化",AA1101-01_因子設定!$B$14,IF(01_因子設定!$B$13="最小化",01_因子設定!$B$15-AB1101,MIN(AA1101-01_因子設定!$B$14,01_因子設定!$B$15-AB1101))),-1E+030)</f>
        <v>-3.01156808868075</v>
      </c>
      <c r="AE1101" s="55" t="n">
        <f aca="false">IF(AC1101,IF(01_因子設定!$B$13="最大化",X1101,IF(01_因子設定!$B$13="最小化",-X1101,-ABS(X1101-01_因子設定!$B$16))),-1E+030)</f>
        <v>44.9698190789474</v>
      </c>
      <c r="AF1101" s="55" t="n">
        <f aca="false">AD1101+ROW()*0.000000001</f>
        <v>-3.01156698768075</v>
      </c>
      <c r="AG1101" s="55" t="n">
        <f aca="false">AE1101+ROW()*0.000000001</f>
        <v>44.9698201799474</v>
      </c>
    </row>
    <row r="1102" customFormat="false" ht="15" hidden="false" customHeight="false" outlineLevel="0" collapsed="false">
      <c r="A1102" s="0" t="n">
        <v>1</v>
      </c>
      <c r="B1102" s="0" t="n">
        <v>4</v>
      </c>
      <c r="C1102" s="0" t="n">
        <v>4</v>
      </c>
      <c r="D1102" s="0" t="n">
        <v>8</v>
      </c>
      <c r="E1102" s="0" t="n">
        <f aca="false">-1+A1102*0.25</f>
        <v>-0.75</v>
      </c>
      <c r="F1102" s="0" t="n">
        <f aca="false">-1+B1102*0.25</f>
        <v>0</v>
      </c>
      <c r="G1102" s="0" t="n">
        <f aca="false">-1+C1102*0.25</f>
        <v>0</v>
      </c>
      <c r="H1102" s="0" t="n">
        <f aca="false">-1+D1102*0.25</f>
        <v>1</v>
      </c>
      <c r="I1102" s="0" t="n">
        <f aca="false">1</f>
        <v>1</v>
      </c>
      <c r="J1102" s="0" t="n">
        <f aca="false">E1102</f>
        <v>-0.75</v>
      </c>
      <c r="K1102" s="0" t="n">
        <f aca="false">F1102</f>
        <v>0</v>
      </c>
      <c r="L1102" s="0" t="n">
        <f aca="false">G1102</f>
        <v>0</v>
      </c>
      <c r="M1102" s="0" t="n">
        <f aca="false">H1102</f>
        <v>1</v>
      </c>
      <c r="N1102" s="0" t="n">
        <f aca="false">E1102*F1102</f>
        <v>-0</v>
      </c>
      <c r="O1102" s="0" t="n">
        <f aca="false">E1102*G1102</f>
        <v>-0</v>
      </c>
      <c r="P1102" s="0" t="n">
        <f aca="false">E1102*H1102</f>
        <v>-0.75</v>
      </c>
      <c r="Q1102" s="0" t="n">
        <f aca="false">F1102*G1102</f>
        <v>0</v>
      </c>
      <c r="R1102" s="0" t="n">
        <f aca="false">F1102*H1102</f>
        <v>0</v>
      </c>
      <c r="S1102" s="0" t="n">
        <f aca="false">G1102*H1102</f>
        <v>0</v>
      </c>
      <c r="T1102" s="0" t="n">
        <f aca="false">E1102*E1102</f>
        <v>0.5625</v>
      </c>
      <c r="U1102" s="0" t="n">
        <f aca="false">F1102*F1102</f>
        <v>0</v>
      </c>
      <c r="V1102" s="0" t="n">
        <f aca="false">G1102*G1102</f>
        <v>0</v>
      </c>
      <c r="W1102" s="0" t="n">
        <f aca="false">H1102*H1102</f>
        <v>1</v>
      </c>
      <c r="X1102" s="0" t="n">
        <f aca="false">SUMPRODUCT(I1102:W1102,_XtX!$B$96:$P$96)</f>
        <v>44.8804459064328</v>
      </c>
      <c r="Y1102" s="0" t="n">
        <f aca="false">SUMPRODUCT(MMULT(I1102:W1102,_XtX!$B$78:$P$92),I1102:W1102)</f>
        <v>0.516013340643275</v>
      </c>
      <c r="Z1102" s="0" t="n">
        <f aca="false">04_回帰ANOVA!$K$19*04_回帰ANOVA!$K$14*SQRT(1+Y1102)</f>
        <v>1.60490712175667</v>
      </c>
      <c r="AA1102" s="0" t="n">
        <f aca="false">X1102-Z1102</f>
        <v>43.2755387846761</v>
      </c>
      <c r="AB1102" s="0" t="n">
        <f aca="false">X1102+Z1102</f>
        <v>46.4853530281894</v>
      </c>
      <c r="AC1102" s="54" t="b">
        <f aca="false">AND(E1102&gt;=01_因子設定!$L$5-0.000000001,E1102&lt;=01_因子設定!$M$5+0.000000001,F1102&gt;=01_因子設定!$L$6-0.000000001,F1102&lt;=01_因子設定!$M$6+0.000000001,G1102&gt;=01_因子設定!$L$7-0.000000001,G1102&lt;=01_因子設定!$M$7+0.000000001,H1102&gt;=01_因子設定!$L$8-0.000000001,H1102&lt;=01_因子設定!$M$8+0.000000001,IF(01_因子設定!$B$20="Box-Behnken",E1102^2+F1102^2+G1102^2+H1102^2&lt;=2+0.000000001,TRUE()))</f>
        <v>1</v>
      </c>
      <c r="AD1102" s="55" t="n">
        <f aca="false">IF(AC1102,IF(01_因子設定!$B$13="最大化",AA1102-01_因子設定!$B$14,IF(01_因子設定!$B$13="最小化",01_因子設定!$B$15-AB1102,MIN(AA1102-01_因子設定!$B$14,01_因子設定!$B$15-AB1102))),-1E+030)</f>
        <v>-3.2244612153239</v>
      </c>
      <c r="AE1102" s="55" t="n">
        <f aca="false">IF(AC1102,IF(01_因子設定!$B$13="最大化",X1102,IF(01_因子設定!$B$13="最小化",-X1102,-ABS(X1102-01_因子設定!$B$16))),-1E+030)</f>
        <v>44.8804459064328</v>
      </c>
      <c r="AF1102" s="55" t="n">
        <f aca="false">AD1102+ROW()*0.000000001</f>
        <v>-3.2244601133239</v>
      </c>
      <c r="AG1102" s="55" t="n">
        <f aca="false">AE1102+ROW()*0.000000001</f>
        <v>44.8804470084328</v>
      </c>
    </row>
    <row r="1103" customFormat="false" ht="15" hidden="false" customHeight="false" outlineLevel="0" collapsed="false">
      <c r="A1103" s="0" t="n">
        <v>1</v>
      </c>
      <c r="B1103" s="0" t="n">
        <v>4</v>
      </c>
      <c r="C1103" s="0" t="n">
        <v>5</v>
      </c>
      <c r="D1103" s="0" t="n">
        <v>0</v>
      </c>
      <c r="E1103" s="0" t="n">
        <f aca="false">-1+A1103*0.25</f>
        <v>-0.75</v>
      </c>
      <c r="F1103" s="0" t="n">
        <f aca="false">-1+B1103*0.25</f>
        <v>0</v>
      </c>
      <c r="G1103" s="0" t="n">
        <f aca="false">-1+C1103*0.25</f>
        <v>0.25</v>
      </c>
      <c r="H1103" s="0" t="n">
        <f aca="false">-1+D1103*0.25</f>
        <v>-1</v>
      </c>
      <c r="I1103" s="0" t="n">
        <f aca="false">1</f>
        <v>1</v>
      </c>
      <c r="J1103" s="0" t="n">
        <f aca="false">E1103</f>
        <v>-0.75</v>
      </c>
      <c r="K1103" s="0" t="n">
        <f aca="false">F1103</f>
        <v>0</v>
      </c>
      <c r="L1103" s="0" t="n">
        <f aca="false">G1103</f>
        <v>0.25</v>
      </c>
      <c r="M1103" s="0" t="n">
        <f aca="false">H1103</f>
        <v>-1</v>
      </c>
      <c r="N1103" s="0" t="n">
        <f aca="false">E1103*F1103</f>
        <v>-0</v>
      </c>
      <c r="O1103" s="0" t="n">
        <f aca="false">E1103*G1103</f>
        <v>-0.1875</v>
      </c>
      <c r="P1103" s="0" t="n">
        <f aca="false">E1103*H1103</f>
        <v>0.75</v>
      </c>
      <c r="Q1103" s="0" t="n">
        <f aca="false">F1103*G1103</f>
        <v>0</v>
      </c>
      <c r="R1103" s="0" t="n">
        <f aca="false">F1103*H1103</f>
        <v>-0</v>
      </c>
      <c r="S1103" s="0" t="n">
        <f aca="false">G1103*H1103</f>
        <v>-0.25</v>
      </c>
      <c r="T1103" s="0" t="n">
        <f aca="false">E1103*E1103</f>
        <v>0.5625</v>
      </c>
      <c r="U1103" s="0" t="n">
        <f aca="false">F1103*F1103</f>
        <v>0</v>
      </c>
      <c r="V1103" s="0" t="n">
        <f aca="false">G1103*G1103</f>
        <v>0.0625</v>
      </c>
      <c r="W1103" s="0" t="n">
        <f aca="false">H1103*H1103</f>
        <v>1</v>
      </c>
      <c r="X1103" s="0" t="n">
        <f aca="false">SUMPRODUCT(I1103:W1103,_XtX!$B$96:$P$96)</f>
        <v>44.5100146198831</v>
      </c>
      <c r="Y1103" s="0" t="n">
        <f aca="false">SUMPRODUCT(MMULT(I1103:W1103,_XtX!$B$78:$P$92),I1103:W1103)</f>
        <v>0.501534802174708</v>
      </c>
      <c r="Z1103" s="0" t="n">
        <f aca="false">04_回帰ANOVA!$K$19*04_回帰ANOVA!$K$14*SQRT(1+Y1103)</f>
        <v>1.59722498091333</v>
      </c>
      <c r="AA1103" s="0" t="n">
        <f aca="false">X1103-Z1103</f>
        <v>42.9127896389697</v>
      </c>
      <c r="AB1103" s="0" t="n">
        <f aca="false">X1103+Z1103</f>
        <v>46.1072396007964</v>
      </c>
      <c r="AC1103" s="54" t="b">
        <f aca="false">AND(E1103&gt;=01_因子設定!$L$5-0.000000001,E1103&lt;=01_因子設定!$M$5+0.000000001,F1103&gt;=01_因子設定!$L$6-0.000000001,F1103&lt;=01_因子設定!$M$6+0.000000001,G1103&gt;=01_因子設定!$L$7-0.000000001,G1103&lt;=01_因子設定!$M$7+0.000000001,H1103&gt;=01_因子設定!$L$8-0.000000001,H1103&lt;=01_因子設定!$M$8+0.000000001,IF(01_因子設定!$B$20="Box-Behnken",E1103^2+F1103^2+G1103^2+H1103^2&lt;=2+0.000000001,TRUE()))</f>
        <v>1</v>
      </c>
      <c r="AD1103" s="55" t="n">
        <f aca="false">IF(AC1103,IF(01_因子設定!$B$13="最大化",AA1103-01_因子設定!$B$14,IF(01_因子設定!$B$13="最小化",01_因子設定!$B$15-AB1103,MIN(AA1103-01_因子設定!$B$14,01_因子設定!$B$15-AB1103))),-1E+030)</f>
        <v>-3.58721036103027</v>
      </c>
      <c r="AE1103" s="55" t="n">
        <f aca="false">IF(AC1103,IF(01_因子設定!$B$13="最大化",X1103,IF(01_因子設定!$B$13="最小化",-X1103,-ABS(X1103-01_因子設定!$B$16))),-1E+030)</f>
        <v>44.5100146198831</v>
      </c>
      <c r="AF1103" s="55" t="n">
        <f aca="false">AD1103+ROW()*0.000000001</f>
        <v>-3.58720925803027</v>
      </c>
      <c r="AG1103" s="55" t="n">
        <f aca="false">AE1103+ROW()*0.000000001</f>
        <v>44.5100157228831</v>
      </c>
    </row>
    <row r="1104" customFormat="false" ht="15" hidden="false" customHeight="false" outlineLevel="0" collapsed="false">
      <c r="A1104" s="0" t="n">
        <v>1</v>
      </c>
      <c r="B1104" s="0" t="n">
        <v>4</v>
      </c>
      <c r="C1104" s="0" t="n">
        <v>5</v>
      </c>
      <c r="D1104" s="0" t="n">
        <v>1</v>
      </c>
      <c r="E1104" s="0" t="n">
        <f aca="false">-1+A1104*0.25</f>
        <v>-0.75</v>
      </c>
      <c r="F1104" s="0" t="n">
        <f aca="false">-1+B1104*0.25</f>
        <v>0</v>
      </c>
      <c r="G1104" s="0" t="n">
        <f aca="false">-1+C1104*0.25</f>
        <v>0.25</v>
      </c>
      <c r="H1104" s="0" t="n">
        <f aca="false">-1+D1104*0.25</f>
        <v>-0.75</v>
      </c>
      <c r="I1104" s="0" t="n">
        <f aca="false">1</f>
        <v>1</v>
      </c>
      <c r="J1104" s="0" t="n">
        <f aca="false">E1104</f>
        <v>-0.75</v>
      </c>
      <c r="K1104" s="0" t="n">
        <f aca="false">F1104</f>
        <v>0</v>
      </c>
      <c r="L1104" s="0" t="n">
        <f aca="false">G1104</f>
        <v>0.25</v>
      </c>
      <c r="M1104" s="0" t="n">
        <f aca="false">H1104</f>
        <v>-0.75</v>
      </c>
      <c r="N1104" s="0" t="n">
        <f aca="false">E1104*F1104</f>
        <v>-0</v>
      </c>
      <c r="O1104" s="0" t="n">
        <f aca="false">E1104*G1104</f>
        <v>-0.1875</v>
      </c>
      <c r="P1104" s="0" t="n">
        <f aca="false">E1104*H1104</f>
        <v>0.5625</v>
      </c>
      <c r="Q1104" s="0" t="n">
        <f aca="false">F1104*G1104</f>
        <v>0</v>
      </c>
      <c r="R1104" s="0" t="n">
        <f aca="false">F1104*H1104</f>
        <v>-0</v>
      </c>
      <c r="S1104" s="0" t="n">
        <f aca="false">G1104*H1104</f>
        <v>-0.1875</v>
      </c>
      <c r="T1104" s="0" t="n">
        <f aca="false">E1104*E1104</f>
        <v>0.5625</v>
      </c>
      <c r="U1104" s="0" t="n">
        <f aca="false">F1104*F1104</f>
        <v>0</v>
      </c>
      <c r="V1104" s="0" t="n">
        <f aca="false">G1104*G1104</f>
        <v>0.0625</v>
      </c>
      <c r="W1104" s="0" t="n">
        <f aca="false">H1104*H1104</f>
        <v>0.5625</v>
      </c>
      <c r="X1104" s="0" t="n">
        <f aca="false">SUMPRODUCT(I1104:W1104,_XtX!$B$96:$P$96)</f>
        <v>44.7732593201755</v>
      </c>
      <c r="Y1104" s="0" t="n">
        <f aca="false">SUMPRODUCT(MMULT(I1104:W1104,_XtX!$B$78:$P$92),I1104:W1104)</f>
        <v>0.281685455500731</v>
      </c>
      <c r="Z1104" s="0" t="n">
        <f aca="false">04_回帰ANOVA!$K$19*04_回帰ANOVA!$K$14*SQRT(1+Y1104)</f>
        <v>1.47566956658694</v>
      </c>
      <c r="AA1104" s="0" t="n">
        <f aca="false">X1104-Z1104</f>
        <v>43.2975897535885</v>
      </c>
      <c r="AB1104" s="0" t="n">
        <f aca="false">X1104+Z1104</f>
        <v>46.2489288867624</v>
      </c>
      <c r="AC1104" s="54" t="b">
        <f aca="false">AND(E1104&gt;=01_因子設定!$L$5-0.000000001,E1104&lt;=01_因子設定!$M$5+0.000000001,F1104&gt;=01_因子設定!$L$6-0.000000001,F1104&lt;=01_因子設定!$M$6+0.000000001,G1104&gt;=01_因子設定!$L$7-0.000000001,G1104&lt;=01_因子設定!$M$7+0.000000001,H1104&gt;=01_因子設定!$L$8-0.000000001,H1104&lt;=01_因子設定!$M$8+0.000000001,IF(01_因子設定!$B$20="Box-Behnken",E1104^2+F1104^2+G1104^2+H1104^2&lt;=2+0.000000001,TRUE()))</f>
        <v>1</v>
      </c>
      <c r="AD1104" s="55" t="n">
        <f aca="false">IF(AC1104,IF(01_因子設定!$B$13="最大化",AA1104-01_因子設定!$B$14,IF(01_因子設定!$B$13="最小化",01_因子設定!$B$15-AB1104,MIN(AA1104-01_因子設定!$B$14,01_因子設定!$B$15-AB1104))),-1E+030)</f>
        <v>-3.20241024641149</v>
      </c>
      <c r="AE1104" s="55" t="n">
        <f aca="false">IF(AC1104,IF(01_因子設定!$B$13="最大化",X1104,IF(01_因子設定!$B$13="最小化",-X1104,-ABS(X1104-01_因子設定!$B$16))),-1E+030)</f>
        <v>44.7732593201755</v>
      </c>
      <c r="AF1104" s="55" t="n">
        <f aca="false">AD1104+ROW()*0.000000001</f>
        <v>-3.20240914241149</v>
      </c>
      <c r="AG1104" s="55" t="n">
        <f aca="false">AE1104+ROW()*0.000000001</f>
        <v>44.7732604241755</v>
      </c>
    </row>
    <row r="1105" customFormat="false" ht="15" hidden="false" customHeight="false" outlineLevel="0" collapsed="false">
      <c r="A1105" s="0" t="n">
        <v>1</v>
      </c>
      <c r="B1105" s="0" t="n">
        <v>4</v>
      </c>
      <c r="C1105" s="0" t="n">
        <v>5</v>
      </c>
      <c r="D1105" s="0" t="n">
        <v>2</v>
      </c>
      <c r="E1105" s="0" t="n">
        <f aca="false">-1+A1105*0.25</f>
        <v>-0.75</v>
      </c>
      <c r="F1105" s="0" t="n">
        <f aca="false">-1+B1105*0.25</f>
        <v>0</v>
      </c>
      <c r="G1105" s="0" t="n">
        <f aca="false">-1+C1105*0.25</f>
        <v>0.25</v>
      </c>
      <c r="H1105" s="0" t="n">
        <f aca="false">-1+D1105*0.25</f>
        <v>-0.5</v>
      </c>
      <c r="I1105" s="0" t="n">
        <f aca="false">1</f>
        <v>1</v>
      </c>
      <c r="J1105" s="0" t="n">
        <f aca="false">E1105</f>
        <v>-0.75</v>
      </c>
      <c r="K1105" s="0" t="n">
        <f aca="false">F1105</f>
        <v>0</v>
      </c>
      <c r="L1105" s="0" t="n">
        <f aca="false">G1105</f>
        <v>0.25</v>
      </c>
      <c r="M1105" s="0" t="n">
        <f aca="false">H1105</f>
        <v>-0.5</v>
      </c>
      <c r="N1105" s="0" t="n">
        <f aca="false">E1105*F1105</f>
        <v>-0</v>
      </c>
      <c r="O1105" s="0" t="n">
        <f aca="false">E1105*G1105</f>
        <v>-0.1875</v>
      </c>
      <c r="P1105" s="0" t="n">
        <f aca="false">E1105*H1105</f>
        <v>0.375</v>
      </c>
      <c r="Q1105" s="0" t="n">
        <f aca="false">F1105*G1105</f>
        <v>0</v>
      </c>
      <c r="R1105" s="0" t="n">
        <f aca="false">F1105*H1105</f>
        <v>-0</v>
      </c>
      <c r="S1105" s="0" t="n">
        <f aca="false">G1105*H1105</f>
        <v>-0.125</v>
      </c>
      <c r="T1105" s="0" t="n">
        <f aca="false">E1105*E1105</f>
        <v>0.5625</v>
      </c>
      <c r="U1105" s="0" t="n">
        <f aca="false">F1105*F1105</f>
        <v>0</v>
      </c>
      <c r="V1105" s="0" t="n">
        <f aca="false">G1105*G1105</f>
        <v>0.0625</v>
      </c>
      <c r="W1105" s="0" t="n">
        <f aca="false">H1105*H1105</f>
        <v>0.25</v>
      </c>
      <c r="X1105" s="0" t="n">
        <f aca="false">SUMPRODUCT(I1105:W1105,_XtX!$B$96:$P$96)</f>
        <v>44.988697002924</v>
      </c>
      <c r="Y1105" s="0" t="n">
        <f aca="false">SUMPRODUCT(MMULT(I1105:W1105,_XtX!$B$78:$P$92),I1105:W1105)</f>
        <v>0.215110734192252</v>
      </c>
      <c r="Z1105" s="0" t="n">
        <f aca="false">04_回帰ANOVA!$K$19*04_回帰ANOVA!$K$14*SQRT(1+Y1105)</f>
        <v>1.43683309086864</v>
      </c>
      <c r="AA1105" s="0" t="n">
        <f aca="false">X1105-Z1105</f>
        <v>43.5518639120553</v>
      </c>
      <c r="AB1105" s="0" t="n">
        <f aca="false">X1105+Z1105</f>
        <v>46.4255300937926</v>
      </c>
      <c r="AC1105" s="54" t="b">
        <f aca="false">AND(E1105&gt;=01_因子設定!$L$5-0.000000001,E1105&lt;=01_因子設定!$M$5+0.000000001,F1105&gt;=01_因子設定!$L$6-0.000000001,F1105&lt;=01_因子設定!$M$6+0.000000001,G1105&gt;=01_因子設定!$L$7-0.000000001,G1105&lt;=01_因子設定!$M$7+0.000000001,H1105&gt;=01_因子設定!$L$8-0.000000001,H1105&lt;=01_因子設定!$M$8+0.000000001,IF(01_因子設定!$B$20="Box-Behnken",E1105^2+F1105^2+G1105^2+H1105^2&lt;=2+0.000000001,TRUE()))</f>
        <v>1</v>
      </c>
      <c r="AD1105" s="55" t="n">
        <f aca="false">IF(AC1105,IF(01_因子設定!$B$13="最大化",AA1105-01_因子設定!$B$14,IF(01_因子設定!$B$13="最小化",01_因子設定!$B$15-AB1105,MIN(AA1105-01_因子設定!$B$14,01_因子設定!$B$15-AB1105))),-1E+030)</f>
        <v>-2.94813608794468</v>
      </c>
      <c r="AE1105" s="55" t="n">
        <f aca="false">IF(AC1105,IF(01_因子設定!$B$13="最大化",X1105,IF(01_因子設定!$B$13="最小化",-X1105,-ABS(X1105-01_因子設定!$B$16))),-1E+030)</f>
        <v>44.988697002924</v>
      </c>
      <c r="AF1105" s="55" t="n">
        <f aca="false">AD1105+ROW()*0.000000001</f>
        <v>-2.94813498294468</v>
      </c>
      <c r="AG1105" s="55" t="n">
        <f aca="false">AE1105+ROW()*0.000000001</f>
        <v>44.988698107924</v>
      </c>
    </row>
    <row r="1106" customFormat="false" ht="15" hidden="false" customHeight="false" outlineLevel="0" collapsed="false">
      <c r="A1106" s="0" t="n">
        <v>1</v>
      </c>
      <c r="B1106" s="0" t="n">
        <v>4</v>
      </c>
      <c r="C1106" s="0" t="n">
        <v>5</v>
      </c>
      <c r="D1106" s="0" t="n">
        <v>3</v>
      </c>
      <c r="E1106" s="0" t="n">
        <f aca="false">-1+A1106*0.25</f>
        <v>-0.75</v>
      </c>
      <c r="F1106" s="0" t="n">
        <f aca="false">-1+B1106*0.25</f>
        <v>0</v>
      </c>
      <c r="G1106" s="0" t="n">
        <f aca="false">-1+C1106*0.25</f>
        <v>0.25</v>
      </c>
      <c r="H1106" s="0" t="n">
        <f aca="false">-1+D1106*0.25</f>
        <v>-0.25</v>
      </c>
      <c r="I1106" s="0" t="n">
        <f aca="false">1</f>
        <v>1</v>
      </c>
      <c r="J1106" s="0" t="n">
        <f aca="false">E1106</f>
        <v>-0.75</v>
      </c>
      <c r="K1106" s="0" t="n">
        <f aca="false">F1106</f>
        <v>0</v>
      </c>
      <c r="L1106" s="0" t="n">
        <f aca="false">G1106</f>
        <v>0.25</v>
      </c>
      <c r="M1106" s="0" t="n">
        <f aca="false">H1106</f>
        <v>-0.25</v>
      </c>
      <c r="N1106" s="0" t="n">
        <f aca="false">E1106*F1106</f>
        <v>-0</v>
      </c>
      <c r="O1106" s="0" t="n">
        <f aca="false">E1106*G1106</f>
        <v>-0.1875</v>
      </c>
      <c r="P1106" s="0" t="n">
        <f aca="false">E1106*H1106</f>
        <v>0.1875</v>
      </c>
      <c r="Q1106" s="0" t="n">
        <f aca="false">F1106*G1106</f>
        <v>0</v>
      </c>
      <c r="R1106" s="0" t="n">
        <f aca="false">F1106*H1106</f>
        <v>-0</v>
      </c>
      <c r="S1106" s="0" t="n">
        <f aca="false">G1106*H1106</f>
        <v>-0.0625</v>
      </c>
      <c r="T1106" s="0" t="n">
        <f aca="false">E1106*E1106</f>
        <v>0.5625</v>
      </c>
      <c r="U1106" s="0" t="n">
        <f aca="false">F1106*F1106</f>
        <v>0</v>
      </c>
      <c r="V1106" s="0" t="n">
        <f aca="false">G1106*G1106</f>
        <v>0.0625</v>
      </c>
      <c r="W1106" s="0" t="n">
        <f aca="false">H1106*H1106</f>
        <v>0.0625</v>
      </c>
      <c r="X1106" s="0" t="n">
        <f aca="false">SUMPRODUCT(I1106:W1106,_XtX!$B$96:$P$96)</f>
        <v>45.1563276681287</v>
      </c>
      <c r="Y1106" s="0" t="n">
        <f aca="false">SUMPRODUCT(MMULT(I1106:W1106,_XtX!$B$78:$P$92),I1106:W1106)</f>
        <v>0.21135011193348</v>
      </c>
      <c r="Z1106" s="0" t="n">
        <f aca="false">04_回帰ANOVA!$K$19*04_回帰ANOVA!$K$14*SQRT(1+Y1106)</f>
        <v>1.43460795469709</v>
      </c>
      <c r="AA1106" s="0" t="n">
        <f aca="false">X1106-Z1106</f>
        <v>43.7217197134316</v>
      </c>
      <c r="AB1106" s="0" t="n">
        <f aca="false">X1106+Z1106</f>
        <v>46.5909356228257</v>
      </c>
      <c r="AC1106" s="54" t="b">
        <f aca="false">AND(E1106&gt;=01_因子設定!$L$5-0.000000001,E1106&lt;=01_因子設定!$M$5+0.000000001,F1106&gt;=01_因子設定!$L$6-0.000000001,F1106&lt;=01_因子設定!$M$6+0.000000001,G1106&gt;=01_因子設定!$L$7-0.000000001,G1106&lt;=01_因子設定!$M$7+0.000000001,H1106&gt;=01_因子設定!$L$8-0.000000001,H1106&lt;=01_因子設定!$M$8+0.000000001,IF(01_因子設定!$B$20="Box-Behnken",E1106^2+F1106^2+G1106^2+H1106^2&lt;=2+0.000000001,TRUE()))</f>
        <v>1</v>
      </c>
      <c r="AD1106" s="55" t="n">
        <f aca="false">IF(AC1106,IF(01_因子設定!$B$13="最大化",AA1106-01_因子設定!$B$14,IF(01_因子設定!$B$13="最小化",01_因子設定!$B$15-AB1106,MIN(AA1106-01_因子設定!$B$14,01_因子設定!$B$15-AB1106))),-1E+030)</f>
        <v>-2.77828028656844</v>
      </c>
      <c r="AE1106" s="55" t="n">
        <f aca="false">IF(AC1106,IF(01_因子設定!$B$13="最大化",X1106,IF(01_因子設定!$B$13="最小化",-X1106,-ABS(X1106-01_因子設定!$B$16))),-1E+030)</f>
        <v>45.1563276681287</v>
      </c>
      <c r="AF1106" s="55" t="n">
        <f aca="false">AD1106+ROW()*0.000000001</f>
        <v>-2.77827918056844</v>
      </c>
      <c r="AG1106" s="55" t="n">
        <f aca="false">AE1106+ROW()*0.000000001</f>
        <v>45.1563287741286</v>
      </c>
    </row>
    <row r="1107" customFormat="false" ht="15" hidden="false" customHeight="false" outlineLevel="0" collapsed="false">
      <c r="A1107" s="0" t="n">
        <v>1</v>
      </c>
      <c r="B1107" s="0" t="n">
        <v>4</v>
      </c>
      <c r="C1107" s="0" t="n">
        <v>5</v>
      </c>
      <c r="D1107" s="0" t="n">
        <v>4</v>
      </c>
      <c r="E1107" s="0" t="n">
        <f aca="false">-1+A1107*0.25</f>
        <v>-0.75</v>
      </c>
      <c r="F1107" s="0" t="n">
        <f aca="false">-1+B1107*0.25</f>
        <v>0</v>
      </c>
      <c r="G1107" s="0" t="n">
        <f aca="false">-1+C1107*0.25</f>
        <v>0.25</v>
      </c>
      <c r="H1107" s="0" t="n">
        <f aca="false">-1+D1107*0.25</f>
        <v>0</v>
      </c>
      <c r="I1107" s="0" t="n">
        <f aca="false">1</f>
        <v>1</v>
      </c>
      <c r="J1107" s="0" t="n">
        <f aca="false">E1107</f>
        <v>-0.75</v>
      </c>
      <c r="K1107" s="0" t="n">
        <f aca="false">F1107</f>
        <v>0</v>
      </c>
      <c r="L1107" s="0" t="n">
        <f aca="false">G1107</f>
        <v>0.25</v>
      </c>
      <c r="M1107" s="0" t="n">
        <f aca="false">H1107</f>
        <v>0</v>
      </c>
      <c r="N1107" s="0" t="n">
        <f aca="false">E1107*F1107</f>
        <v>-0</v>
      </c>
      <c r="O1107" s="0" t="n">
        <f aca="false">E1107*G1107</f>
        <v>-0.1875</v>
      </c>
      <c r="P1107" s="0" t="n">
        <f aca="false">E1107*H1107</f>
        <v>-0</v>
      </c>
      <c r="Q1107" s="0" t="n">
        <f aca="false">F1107*G1107</f>
        <v>0</v>
      </c>
      <c r="R1107" s="0" t="n">
        <f aca="false">F1107*H1107</f>
        <v>0</v>
      </c>
      <c r="S1107" s="0" t="n">
        <f aca="false">G1107*H1107</f>
        <v>0</v>
      </c>
      <c r="T1107" s="0" t="n">
        <f aca="false">E1107*E1107</f>
        <v>0.5625</v>
      </c>
      <c r="U1107" s="0" t="n">
        <f aca="false">F1107*F1107</f>
        <v>0</v>
      </c>
      <c r="V1107" s="0" t="n">
        <f aca="false">G1107*G1107</f>
        <v>0.0625</v>
      </c>
      <c r="W1107" s="0" t="n">
        <f aca="false">H1107*H1107</f>
        <v>0</v>
      </c>
      <c r="X1107" s="0" t="n">
        <f aca="false">SUMPRODUCT(I1107:W1107,_XtX!$B$96:$P$96)</f>
        <v>45.2761513157895</v>
      </c>
      <c r="Y1107" s="0" t="n">
        <f aca="false">SUMPRODUCT(MMULT(I1107:W1107,_XtX!$B$78:$P$92),I1107:W1107)</f>
        <v>0.216127272934942</v>
      </c>
      <c r="Z1107" s="0" t="n">
        <f aca="false">04_回帰ANOVA!$K$19*04_回帰ANOVA!$K$14*SQRT(1+Y1107)</f>
        <v>1.43743397896608</v>
      </c>
      <c r="AA1107" s="0" t="n">
        <f aca="false">X1107-Z1107</f>
        <v>43.8387173368234</v>
      </c>
      <c r="AB1107" s="0" t="n">
        <f aca="false">X1107+Z1107</f>
        <v>46.7135852947555</v>
      </c>
      <c r="AC1107" s="54" t="b">
        <f aca="false">AND(E1107&gt;=01_因子設定!$L$5-0.000000001,E1107&lt;=01_因子設定!$M$5+0.000000001,F1107&gt;=01_因子設定!$L$6-0.000000001,F1107&lt;=01_因子設定!$M$6+0.000000001,G1107&gt;=01_因子設定!$L$7-0.000000001,G1107&lt;=01_因子設定!$M$7+0.000000001,H1107&gt;=01_因子設定!$L$8-0.000000001,H1107&lt;=01_因子設定!$M$8+0.000000001,IF(01_因子設定!$B$20="Box-Behnken",E1107^2+F1107^2+G1107^2+H1107^2&lt;=2+0.000000001,TRUE()))</f>
        <v>1</v>
      </c>
      <c r="AD1107" s="55" t="n">
        <f aca="false">IF(AC1107,IF(01_因子設定!$B$13="最大化",AA1107-01_因子設定!$B$14,IF(01_因子設定!$B$13="最小化",01_因子設定!$B$15-AB1107,MIN(AA1107-01_因子設定!$B$14,01_因子設定!$B$15-AB1107))),-1E+030)</f>
        <v>-2.66128266317661</v>
      </c>
      <c r="AE1107" s="55" t="n">
        <f aca="false">IF(AC1107,IF(01_因子設定!$B$13="最大化",X1107,IF(01_因子設定!$B$13="最小化",-X1107,-ABS(X1107-01_因子設定!$B$16))),-1E+030)</f>
        <v>45.2761513157895</v>
      </c>
      <c r="AF1107" s="55" t="n">
        <f aca="false">AD1107+ROW()*0.000000001</f>
        <v>-2.66128155617661</v>
      </c>
      <c r="AG1107" s="55" t="n">
        <f aca="false">AE1107+ROW()*0.000000001</f>
        <v>45.2761524227895</v>
      </c>
    </row>
    <row r="1108" customFormat="false" ht="15" hidden="false" customHeight="false" outlineLevel="0" collapsed="false">
      <c r="A1108" s="0" t="n">
        <v>1</v>
      </c>
      <c r="B1108" s="0" t="n">
        <v>4</v>
      </c>
      <c r="C1108" s="0" t="n">
        <v>5</v>
      </c>
      <c r="D1108" s="0" t="n">
        <v>5</v>
      </c>
      <c r="E1108" s="0" t="n">
        <f aca="false">-1+A1108*0.25</f>
        <v>-0.75</v>
      </c>
      <c r="F1108" s="0" t="n">
        <f aca="false">-1+B1108*0.25</f>
        <v>0</v>
      </c>
      <c r="G1108" s="0" t="n">
        <f aca="false">-1+C1108*0.25</f>
        <v>0.25</v>
      </c>
      <c r="H1108" s="0" t="n">
        <f aca="false">-1+D1108*0.25</f>
        <v>0.25</v>
      </c>
      <c r="I1108" s="0" t="n">
        <f aca="false">1</f>
        <v>1</v>
      </c>
      <c r="J1108" s="0" t="n">
        <f aca="false">E1108</f>
        <v>-0.75</v>
      </c>
      <c r="K1108" s="0" t="n">
        <f aca="false">F1108</f>
        <v>0</v>
      </c>
      <c r="L1108" s="0" t="n">
        <f aca="false">G1108</f>
        <v>0.25</v>
      </c>
      <c r="M1108" s="0" t="n">
        <f aca="false">H1108</f>
        <v>0.25</v>
      </c>
      <c r="N1108" s="0" t="n">
        <f aca="false">E1108*F1108</f>
        <v>-0</v>
      </c>
      <c r="O1108" s="0" t="n">
        <f aca="false">E1108*G1108</f>
        <v>-0.1875</v>
      </c>
      <c r="P1108" s="0" t="n">
        <f aca="false">E1108*H1108</f>
        <v>-0.1875</v>
      </c>
      <c r="Q1108" s="0" t="n">
        <f aca="false">F1108*G1108</f>
        <v>0</v>
      </c>
      <c r="R1108" s="0" t="n">
        <f aca="false">F1108*H1108</f>
        <v>0</v>
      </c>
      <c r="S1108" s="0" t="n">
        <f aca="false">G1108*H1108</f>
        <v>0.0625</v>
      </c>
      <c r="T1108" s="0" t="n">
        <f aca="false">E1108*E1108</f>
        <v>0.5625</v>
      </c>
      <c r="U1108" s="0" t="n">
        <f aca="false">F1108*F1108</f>
        <v>0</v>
      </c>
      <c r="V1108" s="0" t="n">
        <f aca="false">G1108*G1108</f>
        <v>0.0625</v>
      </c>
      <c r="W1108" s="0" t="n">
        <f aca="false">H1108*H1108</f>
        <v>0.0625</v>
      </c>
      <c r="X1108" s="0" t="n">
        <f aca="false">SUMPRODUCT(I1108:W1108,_XtX!$B$96:$P$96)</f>
        <v>45.3481679459064</v>
      </c>
      <c r="Y1108" s="0" t="n">
        <f aca="false">SUMPRODUCT(MMULT(I1108:W1108,_XtX!$B$78:$P$92),I1108:W1108)</f>
        <v>0.21135011193348</v>
      </c>
      <c r="Z1108" s="0" t="n">
        <f aca="false">04_回帰ANOVA!$K$19*04_回帰ANOVA!$K$14*SQRT(1+Y1108)</f>
        <v>1.43460795469709</v>
      </c>
      <c r="AA1108" s="0" t="n">
        <f aca="false">X1108-Z1108</f>
        <v>43.9135599912093</v>
      </c>
      <c r="AB1108" s="0" t="n">
        <f aca="false">X1108+Z1108</f>
        <v>46.7827759006035</v>
      </c>
      <c r="AC1108" s="54" t="b">
        <f aca="false">AND(E1108&gt;=01_因子設定!$L$5-0.000000001,E1108&lt;=01_因子設定!$M$5+0.000000001,F1108&gt;=01_因子設定!$L$6-0.000000001,F1108&lt;=01_因子設定!$M$6+0.000000001,G1108&gt;=01_因子設定!$L$7-0.000000001,G1108&lt;=01_因子設定!$M$7+0.000000001,H1108&gt;=01_因子設定!$L$8-0.000000001,H1108&lt;=01_因子設定!$M$8+0.000000001,IF(01_因子設定!$B$20="Box-Behnken",E1108^2+F1108^2+G1108^2+H1108^2&lt;=2+0.000000001,TRUE()))</f>
        <v>1</v>
      </c>
      <c r="AD1108" s="55" t="n">
        <f aca="false">IF(AC1108,IF(01_因子設定!$B$13="最大化",AA1108-01_因子設定!$B$14,IF(01_因子設定!$B$13="最小化",01_因子設定!$B$15-AB1108,MIN(AA1108-01_因子設定!$B$14,01_因子設定!$B$15-AB1108))),-1E+030)</f>
        <v>-2.58644000879067</v>
      </c>
      <c r="AE1108" s="55" t="n">
        <f aca="false">IF(AC1108,IF(01_因子設定!$B$13="最大化",X1108,IF(01_因子設定!$B$13="最小化",-X1108,-ABS(X1108-01_因子設定!$B$16))),-1E+030)</f>
        <v>45.3481679459064</v>
      </c>
      <c r="AF1108" s="55" t="n">
        <f aca="false">AD1108+ROW()*0.000000001</f>
        <v>-2.58643890079067</v>
      </c>
      <c r="AG1108" s="55" t="n">
        <f aca="false">AE1108+ROW()*0.000000001</f>
        <v>45.3481690539064</v>
      </c>
    </row>
    <row r="1109" customFormat="false" ht="15" hidden="false" customHeight="false" outlineLevel="0" collapsed="false">
      <c r="A1109" s="0" t="n">
        <v>1</v>
      </c>
      <c r="B1109" s="0" t="n">
        <v>4</v>
      </c>
      <c r="C1109" s="0" t="n">
        <v>5</v>
      </c>
      <c r="D1109" s="0" t="n">
        <v>6</v>
      </c>
      <c r="E1109" s="0" t="n">
        <f aca="false">-1+A1109*0.25</f>
        <v>-0.75</v>
      </c>
      <c r="F1109" s="0" t="n">
        <f aca="false">-1+B1109*0.25</f>
        <v>0</v>
      </c>
      <c r="G1109" s="0" t="n">
        <f aca="false">-1+C1109*0.25</f>
        <v>0.25</v>
      </c>
      <c r="H1109" s="0" t="n">
        <f aca="false">-1+D1109*0.25</f>
        <v>0.5</v>
      </c>
      <c r="I1109" s="0" t="n">
        <f aca="false">1</f>
        <v>1</v>
      </c>
      <c r="J1109" s="0" t="n">
        <f aca="false">E1109</f>
        <v>-0.75</v>
      </c>
      <c r="K1109" s="0" t="n">
        <f aca="false">F1109</f>
        <v>0</v>
      </c>
      <c r="L1109" s="0" t="n">
        <f aca="false">G1109</f>
        <v>0.25</v>
      </c>
      <c r="M1109" s="0" t="n">
        <f aca="false">H1109</f>
        <v>0.5</v>
      </c>
      <c r="N1109" s="0" t="n">
        <f aca="false">E1109*F1109</f>
        <v>-0</v>
      </c>
      <c r="O1109" s="0" t="n">
        <f aca="false">E1109*G1109</f>
        <v>-0.1875</v>
      </c>
      <c r="P1109" s="0" t="n">
        <f aca="false">E1109*H1109</f>
        <v>-0.375</v>
      </c>
      <c r="Q1109" s="0" t="n">
        <f aca="false">F1109*G1109</f>
        <v>0</v>
      </c>
      <c r="R1109" s="0" t="n">
        <f aca="false">F1109*H1109</f>
        <v>0</v>
      </c>
      <c r="S1109" s="0" t="n">
        <f aca="false">G1109*H1109</f>
        <v>0.125</v>
      </c>
      <c r="T1109" s="0" t="n">
        <f aca="false">E1109*E1109</f>
        <v>0.5625</v>
      </c>
      <c r="U1109" s="0" t="n">
        <f aca="false">F1109*F1109</f>
        <v>0</v>
      </c>
      <c r="V1109" s="0" t="n">
        <f aca="false">G1109*G1109</f>
        <v>0.0625</v>
      </c>
      <c r="W1109" s="0" t="n">
        <f aca="false">H1109*H1109</f>
        <v>0.25</v>
      </c>
      <c r="X1109" s="0" t="n">
        <f aca="false">SUMPRODUCT(I1109:W1109,_XtX!$B$96:$P$96)</f>
        <v>45.3723775584795</v>
      </c>
      <c r="Y1109" s="0" t="n">
        <f aca="false">SUMPRODUCT(MMULT(I1109:W1109,_XtX!$B$78:$P$92),I1109:W1109)</f>
        <v>0.215110734192252</v>
      </c>
      <c r="Z1109" s="0" t="n">
        <f aca="false">04_回帰ANOVA!$K$19*04_回帰ANOVA!$K$14*SQRT(1+Y1109)</f>
        <v>1.43683309086864</v>
      </c>
      <c r="AA1109" s="0" t="n">
        <f aca="false">X1109-Z1109</f>
        <v>43.9355444676109</v>
      </c>
      <c r="AB1109" s="0" t="n">
        <f aca="false">X1109+Z1109</f>
        <v>46.8092106493482</v>
      </c>
      <c r="AC1109" s="54" t="b">
        <f aca="false">AND(E1109&gt;=01_因子設定!$L$5-0.000000001,E1109&lt;=01_因子設定!$M$5+0.000000001,F1109&gt;=01_因子設定!$L$6-0.000000001,F1109&lt;=01_因子設定!$M$6+0.000000001,G1109&gt;=01_因子設定!$L$7-0.000000001,G1109&lt;=01_因子設定!$M$7+0.000000001,H1109&gt;=01_因子設定!$L$8-0.000000001,H1109&lt;=01_因子設定!$M$8+0.000000001,IF(01_因子設定!$B$20="Box-Behnken",E1109^2+F1109^2+G1109^2+H1109^2&lt;=2+0.000000001,TRUE()))</f>
        <v>1</v>
      </c>
      <c r="AD1109" s="55" t="n">
        <f aca="false">IF(AC1109,IF(01_因子設定!$B$13="最大化",AA1109-01_因子設定!$B$14,IF(01_因子設定!$B$13="最小化",01_因子設定!$B$15-AB1109,MIN(AA1109-01_因子設定!$B$14,01_因子設定!$B$15-AB1109))),-1E+030)</f>
        <v>-2.56445553238912</v>
      </c>
      <c r="AE1109" s="55" t="n">
        <f aca="false">IF(AC1109,IF(01_因子設定!$B$13="最大化",X1109,IF(01_因子設定!$B$13="最小化",-X1109,-ABS(X1109-01_因子設定!$B$16))),-1E+030)</f>
        <v>45.3723775584795</v>
      </c>
      <c r="AF1109" s="55" t="n">
        <f aca="false">AD1109+ROW()*0.000000001</f>
        <v>-2.56445442338912</v>
      </c>
      <c r="AG1109" s="55" t="n">
        <f aca="false">AE1109+ROW()*0.000000001</f>
        <v>45.3723786674795</v>
      </c>
    </row>
    <row r="1110" customFormat="false" ht="15" hidden="false" customHeight="false" outlineLevel="0" collapsed="false">
      <c r="A1110" s="0" t="n">
        <v>1</v>
      </c>
      <c r="B1110" s="0" t="n">
        <v>4</v>
      </c>
      <c r="C1110" s="0" t="n">
        <v>5</v>
      </c>
      <c r="D1110" s="0" t="n">
        <v>7</v>
      </c>
      <c r="E1110" s="0" t="n">
        <f aca="false">-1+A1110*0.25</f>
        <v>-0.75</v>
      </c>
      <c r="F1110" s="0" t="n">
        <f aca="false">-1+B1110*0.25</f>
        <v>0</v>
      </c>
      <c r="G1110" s="0" t="n">
        <f aca="false">-1+C1110*0.25</f>
        <v>0.25</v>
      </c>
      <c r="H1110" s="0" t="n">
        <f aca="false">-1+D1110*0.25</f>
        <v>0.75</v>
      </c>
      <c r="I1110" s="0" t="n">
        <f aca="false">1</f>
        <v>1</v>
      </c>
      <c r="J1110" s="0" t="n">
        <f aca="false">E1110</f>
        <v>-0.75</v>
      </c>
      <c r="K1110" s="0" t="n">
        <f aca="false">F1110</f>
        <v>0</v>
      </c>
      <c r="L1110" s="0" t="n">
        <f aca="false">G1110</f>
        <v>0.25</v>
      </c>
      <c r="M1110" s="0" t="n">
        <f aca="false">H1110</f>
        <v>0.75</v>
      </c>
      <c r="N1110" s="0" t="n">
        <f aca="false">E1110*F1110</f>
        <v>-0</v>
      </c>
      <c r="O1110" s="0" t="n">
        <f aca="false">E1110*G1110</f>
        <v>-0.1875</v>
      </c>
      <c r="P1110" s="0" t="n">
        <f aca="false">E1110*H1110</f>
        <v>-0.5625</v>
      </c>
      <c r="Q1110" s="0" t="n">
        <f aca="false">F1110*G1110</f>
        <v>0</v>
      </c>
      <c r="R1110" s="0" t="n">
        <f aca="false">F1110*H1110</f>
        <v>0</v>
      </c>
      <c r="S1110" s="0" t="n">
        <f aca="false">G1110*H1110</f>
        <v>0.1875</v>
      </c>
      <c r="T1110" s="0" t="n">
        <f aca="false">E1110*E1110</f>
        <v>0.5625</v>
      </c>
      <c r="U1110" s="0" t="n">
        <f aca="false">F1110*F1110</f>
        <v>0</v>
      </c>
      <c r="V1110" s="0" t="n">
        <f aca="false">G1110*G1110</f>
        <v>0.0625</v>
      </c>
      <c r="W1110" s="0" t="n">
        <f aca="false">H1110*H1110</f>
        <v>0.5625</v>
      </c>
      <c r="X1110" s="0" t="n">
        <f aca="false">SUMPRODUCT(I1110:W1110,_XtX!$B$96:$P$96)</f>
        <v>45.3487801535088</v>
      </c>
      <c r="Y1110" s="0" t="n">
        <f aca="false">SUMPRODUCT(MMULT(I1110:W1110,_XtX!$B$78:$P$92),I1110:W1110)</f>
        <v>0.281685455500731</v>
      </c>
      <c r="Z1110" s="0" t="n">
        <f aca="false">04_回帰ANOVA!$K$19*04_回帰ANOVA!$K$14*SQRT(1+Y1110)</f>
        <v>1.47566956658694</v>
      </c>
      <c r="AA1110" s="0" t="n">
        <f aca="false">X1110-Z1110</f>
        <v>43.8731105869218</v>
      </c>
      <c r="AB1110" s="0" t="n">
        <f aca="false">X1110+Z1110</f>
        <v>46.8244497200957</v>
      </c>
      <c r="AC1110" s="54" t="b">
        <f aca="false">AND(E1110&gt;=01_因子設定!$L$5-0.000000001,E1110&lt;=01_因子設定!$M$5+0.000000001,F1110&gt;=01_因子設定!$L$6-0.000000001,F1110&lt;=01_因子設定!$M$6+0.000000001,G1110&gt;=01_因子設定!$L$7-0.000000001,G1110&lt;=01_因子設定!$M$7+0.000000001,H1110&gt;=01_因子設定!$L$8-0.000000001,H1110&lt;=01_因子設定!$M$8+0.000000001,IF(01_因子設定!$B$20="Box-Behnken",E1110^2+F1110^2+G1110^2+H1110^2&lt;=2+0.000000001,TRUE()))</f>
        <v>1</v>
      </c>
      <c r="AD1110" s="55" t="n">
        <f aca="false">IF(AC1110,IF(01_因子設定!$B$13="最大化",AA1110-01_因子設定!$B$14,IF(01_因子設定!$B$13="最小化",01_因子設定!$B$15-AB1110,MIN(AA1110-01_因子設定!$B$14,01_因子設定!$B$15-AB1110))),-1E+030)</f>
        <v>-2.62688941307816</v>
      </c>
      <c r="AE1110" s="55" t="n">
        <f aca="false">IF(AC1110,IF(01_因子設定!$B$13="最大化",X1110,IF(01_因子設定!$B$13="最小化",-X1110,-ABS(X1110-01_因子設定!$B$16))),-1E+030)</f>
        <v>45.3487801535088</v>
      </c>
      <c r="AF1110" s="55" t="n">
        <f aca="false">AD1110+ROW()*0.000000001</f>
        <v>-2.62688830307816</v>
      </c>
      <c r="AG1110" s="55" t="n">
        <f aca="false">AE1110+ROW()*0.000000001</f>
        <v>45.3487812635088</v>
      </c>
    </row>
    <row r="1111" customFormat="false" ht="15" hidden="false" customHeight="false" outlineLevel="0" collapsed="false">
      <c r="A1111" s="0" t="n">
        <v>1</v>
      </c>
      <c r="B1111" s="0" t="n">
        <v>4</v>
      </c>
      <c r="C1111" s="0" t="n">
        <v>5</v>
      </c>
      <c r="D1111" s="0" t="n">
        <v>8</v>
      </c>
      <c r="E1111" s="0" t="n">
        <f aca="false">-1+A1111*0.25</f>
        <v>-0.75</v>
      </c>
      <c r="F1111" s="0" t="n">
        <f aca="false">-1+B1111*0.25</f>
        <v>0</v>
      </c>
      <c r="G1111" s="0" t="n">
        <f aca="false">-1+C1111*0.25</f>
        <v>0.25</v>
      </c>
      <c r="H1111" s="0" t="n">
        <f aca="false">-1+D1111*0.25</f>
        <v>1</v>
      </c>
      <c r="I1111" s="0" t="n">
        <f aca="false">1</f>
        <v>1</v>
      </c>
      <c r="J1111" s="0" t="n">
        <f aca="false">E1111</f>
        <v>-0.75</v>
      </c>
      <c r="K1111" s="0" t="n">
        <f aca="false">F1111</f>
        <v>0</v>
      </c>
      <c r="L1111" s="0" t="n">
        <f aca="false">G1111</f>
        <v>0.25</v>
      </c>
      <c r="M1111" s="0" t="n">
        <f aca="false">H1111</f>
        <v>1</v>
      </c>
      <c r="N1111" s="0" t="n">
        <f aca="false">E1111*F1111</f>
        <v>-0</v>
      </c>
      <c r="O1111" s="0" t="n">
        <f aca="false">E1111*G1111</f>
        <v>-0.1875</v>
      </c>
      <c r="P1111" s="0" t="n">
        <f aca="false">E1111*H1111</f>
        <v>-0.75</v>
      </c>
      <c r="Q1111" s="0" t="n">
        <f aca="false">F1111*G1111</f>
        <v>0</v>
      </c>
      <c r="R1111" s="0" t="n">
        <f aca="false">F1111*H1111</f>
        <v>0</v>
      </c>
      <c r="S1111" s="0" t="n">
        <f aca="false">G1111*H1111</f>
        <v>0.25</v>
      </c>
      <c r="T1111" s="0" t="n">
        <f aca="false">E1111*E1111</f>
        <v>0.5625</v>
      </c>
      <c r="U1111" s="0" t="n">
        <f aca="false">F1111*F1111</f>
        <v>0</v>
      </c>
      <c r="V1111" s="0" t="n">
        <f aca="false">G1111*G1111</f>
        <v>0.0625</v>
      </c>
      <c r="W1111" s="0" t="n">
        <f aca="false">H1111*H1111</f>
        <v>1</v>
      </c>
      <c r="X1111" s="0" t="n">
        <f aca="false">SUMPRODUCT(I1111:W1111,_XtX!$B$96:$P$96)</f>
        <v>45.2773757309942</v>
      </c>
      <c r="Y1111" s="0" t="n">
        <f aca="false">SUMPRODUCT(MMULT(I1111:W1111,_XtX!$B$78:$P$92),I1111:W1111)</f>
        <v>0.501534802174708</v>
      </c>
      <c r="Z1111" s="0" t="n">
        <f aca="false">04_回帰ANOVA!$K$19*04_回帰ANOVA!$K$14*SQRT(1+Y1111)</f>
        <v>1.59722498091333</v>
      </c>
      <c r="AA1111" s="0" t="n">
        <f aca="false">X1111-Z1111</f>
        <v>43.6801507500808</v>
      </c>
      <c r="AB1111" s="0" t="n">
        <f aca="false">X1111+Z1111</f>
        <v>46.8746007119075</v>
      </c>
      <c r="AC1111" s="54" t="b">
        <f aca="false">AND(E1111&gt;=01_因子設定!$L$5-0.000000001,E1111&lt;=01_因子設定!$M$5+0.000000001,F1111&gt;=01_因子設定!$L$6-0.000000001,F1111&lt;=01_因子設定!$M$6+0.000000001,G1111&gt;=01_因子設定!$L$7-0.000000001,G1111&lt;=01_因子設定!$M$7+0.000000001,H1111&gt;=01_因子設定!$L$8-0.000000001,H1111&lt;=01_因子設定!$M$8+0.000000001,IF(01_因子設定!$B$20="Box-Behnken",E1111^2+F1111^2+G1111^2+H1111^2&lt;=2+0.000000001,TRUE()))</f>
        <v>1</v>
      </c>
      <c r="AD1111" s="55" t="n">
        <f aca="false">IF(AC1111,IF(01_因子設定!$B$13="最大化",AA1111-01_因子設定!$B$14,IF(01_因子設定!$B$13="最小化",01_因子設定!$B$15-AB1111,MIN(AA1111-01_因子設定!$B$14,01_因子設定!$B$15-AB1111))),-1E+030)</f>
        <v>-2.81984924991916</v>
      </c>
      <c r="AE1111" s="55" t="n">
        <f aca="false">IF(AC1111,IF(01_因子設定!$B$13="最大化",X1111,IF(01_因子設定!$B$13="最小化",-X1111,-ABS(X1111-01_因子設定!$B$16))),-1E+030)</f>
        <v>45.2773757309942</v>
      </c>
      <c r="AF1111" s="55" t="n">
        <f aca="false">AD1111+ROW()*0.000000001</f>
        <v>-2.81984813891916</v>
      </c>
      <c r="AG1111" s="55" t="n">
        <f aca="false">AE1111+ROW()*0.000000001</f>
        <v>45.2773768419942</v>
      </c>
    </row>
    <row r="1112" customFormat="false" ht="15" hidden="false" customHeight="false" outlineLevel="0" collapsed="false">
      <c r="A1112" s="0" t="n">
        <v>1</v>
      </c>
      <c r="B1112" s="0" t="n">
        <v>4</v>
      </c>
      <c r="C1112" s="0" t="n">
        <v>6</v>
      </c>
      <c r="D1112" s="0" t="n">
        <v>0</v>
      </c>
      <c r="E1112" s="0" t="n">
        <f aca="false">-1+A1112*0.25</f>
        <v>-0.75</v>
      </c>
      <c r="F1112" s="0" t="n">
        <f aca="false">-1+B1112*0.25</f>
        <v>0</v>
      </c>
      <c r="G1112" s="0" t="n">
        <f aca="false">-1+C1112*0.25</f>
        <v>0.5</v>
      </c>
      <c r="H1112" s="0" t="n">
        <f aca="false">-1+D1112*0.25</f>
        <v>-1</v>
      </c>
      <c r="I1112" s="0" t="n">
        <f aca="false">1</f>
        <v>1</v>
      </c>
      <c r="J1112" s="0" t="n">
        <f aca="false">E1112</f>
        <v>-0.75</v>
      </c>
      <c r="K1112" s="0" t="n">
        <f aca="false">F1112</f>
        <v>0</v>
      </c>
      <c r="L1112" s="0" t="n">
        <f aca="false">G1112</f>
        <v>0.5</v>
      </c>
      <c r="M1112" s="0" t="n">
        <f aca="false">H1112</f>
        <v>-1</v>
      </c>
      <c r="N1112" s="0" t="n">
        <f aca="false">E1112*F1112</f>
        <v>-0</v>
      </c>
      <c r="O1112" s="0" t="n">
        <f aca="false">E1112*G1112</f>
        <v>-0.375</v>
      </c>
      <c r="P1112" s="0" t="n">
        <f aca="false">E1112*H1112</f>
        <v>0.75</v>
      </c>
      <c r="Q1112" s="0" t="n">
        <f aca="false">F1112*G1112</f>
        <v>0</v>
      </c>
      <c r="R1112" s="0" t="n">
        <f aca="false">F1112*H1112</f>
        <v>-0</v>
      </c>
      <c r="S1112" s="0" t="n">
        <f aca="false">G1112*H1112</f>
        <v>-0.5</v>
      </c>
      <c r="T1112" s="0" t="n">
        <f aca="false">E1112*E1112</f>
        <v>0.5625</v>
      </c>
      <c r="U1112" s="0" t="n">
        <f aca="false">F1112*F1112</f>
        <v>0</v>
      </c>
      <c r="V1112" s="0" t="n">
        <f aca="false">G1112*G1112</f>
        <v>0.25</v>
      </c>
      <c r="W1112" s="0" t="n">
        <f aca="false">H1112*H1112</f>
        <v>1</v>
      </c>
      <c r="X1112" s="0" t="n">
        <f aca="false">SUMPRODUCT(I1112:W1112,_XtX!$B$96:$P$96)</f>
        <v>44.6778874269006</v>
      </c>
      <c r="Y1112" s="0" t="n">
        <f aca="false">SUMPRODUCT(MMULT(I1112:W1112,_XtX!$B$78:$P$92),I1112:W1112)</f>
        <v>0.476191292032164</v>
      </c>
      <c r="Z1112" s="0" t="n">
        <f aca="false">04_回帰ANOVA!$K$19*04_回帰ANOVA!$K$14*SQRT(1+Y1112)</f>
        <v>1.58368831471718</v>
      </c>
      <c r="AA1112" s="0" t="n">
        <f aca="false">X1112-Z1112</f>
        <v>43.0941991121834</v>
      </c>
      <c r="AB1112" s="0" t="n">
        <f aca="false">X1112+Z1112</f>
        <v>46.2615757416178</v>
      </c>
      <c r="AC1112" s="54" t="b">
        <f aca="false">AND(E1112&gt;=01_因子設定!$L$5-0.000000001,E1112&lt;=01_因子設定!$M$5+0.000000001,F1112&gt;=01_因子設定!$L$6-0.000000001,F1112&lt;=01_因子設定!$M$6+0.000000001,G1112&gt;=01_因子設定!$L$7-0.000000001,G1112&lt;=01_因子設定!$M$7+0.000000001,H1112&gt;=01_因子設定!$L$8-0.000000001,H1112&lt;=01_因子設定!$M$8+0.000000001,IF(01_因子設定!$B$20="Box-Behnken",E1112^2+F1112^2+G1112^2+H1112^2&lt;=2+0.000000001,TRUE()))</f>
        <v>1</v>
      </c>
      <c r="AD1112" s="55" t="n">
        <f aca="false">IF(AC1112,IF(01_因子設定!$B$13="最大化",AA1112-01_因子設定!$B$14,IF(01_因子設定!$B$13="最小化",01_因子設定!$B$15-AB1112,MIN(AA1112-01_因子設定!$B$14,01_因子設定!$B$15-AB1112))),-1E+030)</f>
        <v>-3.40580088781657</v>
      </c>
      <c r="AE1112" s="55" t="n">
        <f aca="false">IF(AC1112,IF(01_因子設定!$B$13="最大化",X1112,IF(01_因子設定!$B$13="最小化",-X1112,-ABS(X1112-01_因子設定!$B$16))),-1E+030)</f>
        <v>44.6778874269006</v>
      </c>
      <c r="AF1112" s="55" t="n">
        <f aca="false">AD1112+ROW()*0.000000001</f>
        <v>-3.40579977581657</v>
      </c>
      <c r="AG1112" s="55" t="n">
        <f aca="false">AE1112+ROW()*0.000000001</f>
        <v>44.6778885389006</v>
      </c>
    </row>
    <row r="1113" customFormat="false" ht="15" hidden="false" customHeight="false" outlineLevel="0" collapsed="false">
      <c r="A1113" s="0" t="n">
        <v>1</v>
      </c>
      <c r="B1113" s="0" t="n">
        <v>4</v>
      </c>
      <c r="C1113" s="0" t="n">
        <v>6</v>
      </c>
      <c r="D1113" s="0" t="n">
        <v>1</v>
      </c>
      <c r="E1113" s="0" t="n">
        <f aca="false">-1+A1113*0.25</f>
        <v>-0.75</v>
      </c>
      <c r="F1113" s="0" t="n">
        <f aca="false">-1+B1113*0.25</f>
        <v>0</v>
      </c>
      <c r="G1113" s="0" t="n">
        <f aca="false">-1+C1113*0.25</f>
        <v>0.5</v>
      </c>
      <c r="H1113" s="0" t="n">
        <f aca="false">-1+D1113*0.25</f>
        <v>-0.75</v>
      </c>
      <c r="I1113" s="0" t="n">
        <f aca="false">1</f>
        <v>1</v>
      </c>
      <c r="J1113" s="0" t="n">
        <f aca="false">E1113</f>
        <v>-0.75</v>
      </c>
      <c r="K1113" s="0" t="n">
        <f aca="false">F1113</f>
        <v>0</v>
      </c>
      <c r="L1113" s="0" t="n">
        <f aca="false">G1113</f>
        <v>0.5</v>
      </c>
      <c r="M1113" s="0" t="n">
        <f aca="false">H1113</f>
        <v>-0.75</v>
      </c>
      <c r="N1113" s="0" t="n">
        <f aca="false">E1113*F1113</f>
        <v>-0</v>
      </c>
      <c r="O1113" s="0" t="n">
        <f aca="false">E1113*G1113</f>
        <v>-0.375</v>
      </c>
      <c r="P1113" s="0" t="n">
        <f aca="false">E1113*H1113</f>
        <v>0.5625</v>
      </c>
      <c r="Q1113" s="0" t="n">
        <f aca="false">F1113*G1113</f>
        <v>0</v>
      </c>
      <c r="R1113" s="0" t="n">
        <f aca="false">F1113*H1113</f>
        <v>-0</v>
      </c>
      <c r="S1113" s="0" t="n">
        <f aca="false">G1113*H1113</f>
        <v>-0.375</v>
      </c>
      <c r="T1113" s="0" t="n">
        <f aca="false">E1113*E1113</f>
        <v>0.5625</v>
      </c>
      <c r="U1113" s="0" t="n">
        <f aca="false">F1113*F1113</f>
        <v>0</v>
      </c>
      <c r="V1113" s="0" t="n">
        <f aca="false">G1113*G1113</f>
        <v>0.25</v>
      </c>
      <c r="W1113" s="0" t="n">
        <f aca="false">H1113*H1113</f>
        <v>0.5625</v>
      </c>
      <c r="X1113" s="0" t="n">
        <f aca="false">SUMPRODUCT(I1113:W1113,_XtX!$B$96:$P$96)</f>
        <v>44.959100877193</v>
      </c>
      <c r="Y1113" s="0" t="n">
        <f aca="false">SUMPRODUCT(MMULT(I1113:W1113,_XtX!$B$78:$P$92),I1113:W1113)</f>
        <v>0.269923873812135</v>
      </c>
      <c r="Z1113" s="0" t="n">
        <f aca="false">04_回帰ANOVA!$K$19*04_回帰ANOVA!$K$14*SQRT(1+Y1113)</f>
        <v>1.46888310825501</v>
      </c>
      <c r="AA1113" s="0" t="n">
        <f aca="false">X1113-Z1113</f>
        <v>43.490217768938</v>
      </c>
      <c r="AB1113" s="0" t="n">
        <f aca="false">X1113+Z1113</f>
        <v>46.427983985448</v>
      </c>
      <c r="AC1113" s="54" t="b">
        <f aca="false">AND(E1113&gt;=01_因子設定!$L$5-0.000000001,E1113&lt;=01_因子設定!$M$5+0.000000001,F1113&gt;=01_因子設定!$L$6-0.000000001,F1113&lt;=01_因子設定!$M$6+0.000000001,G1113&gt;=01_因子設定!$L$7-0.000000001,G1113&lt;=01_因子設定!$M$7+0.000000001,H1113&gt;=01_因子設定!$L$8-0.000000001,H1113&lt;=01_因子設定!$M$8+0.000000001,IF(01_因子設定!$B$20="Box-Behnken",E1113^2+F1113^2+G1113^2+H1113^2&lt;=2+0.000000001,TRUE()))</f>
        <v>1</v>
      </c>
      <c r="AD1113" s="55" t="n">
        <f aca="false">IF(AC1113,IF(01_因子設定!$B$13="最大化",AA1113-01_因子設定!$B$14,IF(01_因子設定!$B$13="最小化",01_因子設定!$B$15-AB1113,MIN(AA1113-01_因子設定!$B$14,01_因子設定!$B$15-AB1113))),-1E+030)</f>
        <v>-3.00978223106202</v>
      </c>
      <c r="AE1113" s="55" t="n">
        <f aca="false">IF(AC1113,IF(01_因子設定!$B$13="最大化",X1113,IF(01_因子設定!$B$13="最小化",-X1113,-ABS(X1113-01_因子設定!$B$16))),-1E+030)</f>
        <v>44.959100877193</v>
      </c>
      <c r="AF1113" s="55" t="n">
        <f aca="false">AD1113+ROW()*0.000000001</f>
        <v>-3.00978111806202</v>
      </c>
      <c r="AG1113" s="55" t="n">
        <f aca="false">AE1113+ROW()*0.000000001</f>
        <v>44.959101990193</v>
      </c>
    </row>
    <row r="1114" customFormat="false" ht="15" hidden="false" customHeight="false" outlineLevel="0" collapsed="false">
      <c r="A1114" s="0" t="n">
        <v>1</v>
      </c>
      <c r="B1114" s="0" t="n">
        <v>4</v>
      </c>
      <c r="C1114" s="0" t="n">
        <v>6</v>
      </c>
      <c r="D1114" s="0" t="n">
        <v>2</v>
      </c>
      <c r="E1114" s="0" t="n">
        <f aca="false">-1+A1114*0.25</f>
        <v>-0.75</v>
      </c>
      <c r="F1114" s="0" t="n">
        <f aca="false">-1+B1114*0.25</f>
        <v>0</v>
      </c>
      <c r="G1114" s="0" t="n">
        <f aca="false">-1+C1114*0.25</f>
        <v>0.5</v>
      </c>
      <c r="H1114" s="0" t="n">
        <f aca="false">-1+D1114*0.25</f>
        <v>-0.5</v>
      </c>
      <c r="I1114" s="0" t="n">
        <f aca="false">1</f>
        <v>1</v>
      </c>
      <c r="J1114" s="0" t="n">
        <f aca="false">E1114</f>
        <v>-0.75</v>
      </c>
      <c r="K1114" s="0" t="n">
        <f aca="false">F1114</f>
        <v>0</v>
      </c>
      <c r="L1114" s="0" t="n">
        <f aca="false">G1114</f>
        <v>0.5</v>
      </c>
      <c r="M1114" s="0" t="n">
        <f aca="false">H1114</f>
        <v>-0.5</v>
      </c>
      <c r="N1114" s="0" t="n">
        <f aca="false">E1114*F1114</f>
        <v>-0</v>
      </c>
      <c r="O1114" s="0" t="n">
        <f aca="false">E1114*G1114</f>
        <v>-0.375</v>
      </c>
      <c r="P1114" s="0" t="n">
        <f aca="false">E1114*H1114</f>
        <v>0.375</v>
      </c>
      <c r="Q1114" s="0" t="n">
        <f aca="false">F1114*G1114</f>
        <v>0</v>
      </c>
      <c r="R1114" s="0" t="n">
        <f aca="false">F1114*H1114</f>
        <v>-0</v>
      </c>
      <c r="S1114" s="0" t="n">
        <f aca="false">G1114*H1114</f>
        <v>-0.25</v>
      </c>
      <c r="T1114" s="0" t="n">
        <f aca="false">E1114*E1114</f>
        <v>0.5625</v>
      </c>
      <c r="U1114" s="0" t="n">
        <f aca="false">F1114*F1114</f>
        <v>0</v>
      </c>
      <c r="V1114" s="0" t="n">
        <f aca="false">G1114*G1114</f>
        <v>0.25</v>
      </c>
      <c r="W1114" s="0" t="n">
        <f aca="false">H1114*H1114</f>
        <v>0.25</v>
      </c>
      <c r="X1114" s="0" t="n">
        <f aca="false">SUMPRODUCT(I1114:W1114,_XtX!$B$96:$P$96)</f>
        <v>45.1925073099415</v>
      </c>
      <c r="Y1114" s="0" t="n">
        <f aca="false">SUMPRODUCT(MMULT(I1114:W1114,_XtX!$B$78:$P$92),I1114:W1114)</f>
        <v>0.21305052997076</v>
      </c>
      <c r="Z1114" s="0" t="n">
        <f aca="false">04_回帰ANOVA!$K$19*04_回帰ANOVA!$K$14*SQRT(1+Y1114)</f>
        <v>1.43561450835061</v>
      </c>
      <c r="AA1114" s="0" t="n">
        <f aca="false">X1114-Z1114</f>
        <v>43.7568928015909</v>
      </c>
      <c r="AB1114" s="0" t="n">
        <f aca="false">X1114+Z1114</f>
        <v>46.6281218182921</v>
      </c>
      <c r="AC1114" s="54" t="b">
        <f aca="false">AND(E1114&gt;=01_因子設定!$L$5-0.000000001,E1114&lt;=01_因子設定!$M$5+0.000000001,F1114&gt;=01_因子設定!$L$6-0.000000001,F1114&lt;=01_因子設定!$M$6+0.000000001,G1114&gt;=01_因子設定!$L$7-0.000000001,G1114&lt;=01_因子設定!$M$7+0.000000001,H1114&gt;=01_因子設定!$L$8-0.000000001,H1114&lt;=01_因子設定!$M$8+0.000000001,IF(01_因子設定!$B$20="Box-Behnken",E1114^2+F1114^2+G1114^2+H1114^2&lt;=2+0.000000001,TRUE()))</f>
        <v>1</v>
      </c>
      <c r="AD1114" s="55" t="n">
        <f aca="false">IF(AC1114,IF(01_因子設定!$B$13="最大化",AA1114-01_因子設定!$B$14,IF(01_因子設定!$B$13="最小化",01_因子設定!$B$15-AB1114,MIN(AA1114-01_因子設定!$B$14,01_因子設定!$B$15-AB1114))),-1E+030)</f>
        <v>-2.74310719840909</v>
      </c>
      <c r="AE1114" s="55" t="n">
        <f aca="false">IF(AC1114,IF(01_因子設定!$B$13="最大化",X1114,IF(01_因子設定!$B$13="最小化",-X1114,-ABS(X1114-01_因子設定!$B$16))),-1E+030)</f>
        <v>45.1925073099415</v>
      </c>
      <c r="AF1114" s="55" t="n">
        <f aca="false">AD1114+ROW()*0.000000001</f>
        <v>-2.74310608440909</v>
      </c>
      <c r="AG1114" s="55" t="n">
        <f aca="false">AE1114+ROW()*0.000000001</f>
        <v>45.1925084239415</v>
      </c>
    </row>
    <row r="1115" customFormat="false" ht="15" hidden="false" customHeight="false" outlineLevel="0" collapsed="false">
      <c r="A1115" s="0" t="n">
        <v>1</v>
      </c>
      <c r="B1115" s="0" t="n">
        <v>4</v>
      </c>
      <c r="C1115" s="0" t="n">
        <v>6</v>
      </c>
      <c r="D1115" s="0" t="n">
        <v>3</v>
      </c>
      <c r="E1115" s="0" t="n">
        <f aca="false">-1+A1115*0.25</f>
        <v>-0.75</v>
      </c>
      <c r="F1115" s="0" t="n">
        <f aca="false">-1+B1115*0.25</f>
        <v>0</v>
      </c>
      <c r="G1115" s="0" t="n">
        <f aca="false">-1+C1115*0.25</f>
        <v>0.5</v>
      </c>
      <c r="H1115" s="0" t="n">
        <f aca="false">-1+D1115*0.25</f>
        <v>-0.25</v>
      </c>
      <c r="I1115" s="0" t="n">
        <f aca="false">1</f>
        <v>1</v>
      </c>
      <c r="J1115" s="0" t="n">
        <f aca="false">E1115</f>
        <v>-0.75</v>
      </c>
      <c r="K1115" s="0" t="n">
        <f aca="false">F1115</f>
        <v>0</v>
      </c>
      <c r="L1115" s="0" t="n">
        <f aca="false">G1115</f>
        <v>0.5</v>
      </c>
      <c r="M1115" s="0" t="n">
        <f aca="false">H1115</f>
        <v>-0.25</v>
      </c>
      <c r="N1115" s="0" t="n">
        <f aca="false">E1115*F1115</f>
        <v>-0</v>
      </c>
      <c r="O1115" s="0" t="n">
        <f aca="false">E1115*G1115</f>
        <v>-0.375</v>
      </c>
      <c r="P1115" s="0" t="n">
        <f aca="false">E1115*H1115</f>
        <v>0.1875</v>
      </c>
      <c r="Q1115" s="0" t="n">
        <f aca="false">F1115*G1115</f>
        <v>0</v>
      </c>
      <c r="R1115" s="0" t="n">
        <f aca="false">F1115*H1115</f>
        <v>-0</v>
      </c>
      <c r="S1115" s="0" t="n">
        <f aca="false">G1115*H1115</f>
        <v>-0.125</v>
      </c>
      <c r="T1115" s="0" t="n">
        <f aca="false">E1115*E1115</f>
        <v>0.5625</v>
      </c>
      <c r="U1115" s="0" t="n">
        <f aca="false">F1115*F1115</f>
        <v>0</v>
      </c>
      <c r="V1115" s="0" t="n">
        <f aca="false">G1115*G1115</f>
        <v>0.25</v>
      </c>
      <c r="W1115" s="0" t="n">
        <f aca="false">H1115*H1115</f>
        <v>0.0625</v>
      </c>
      <c r="X1115" s="0" t="n">
        <f aca="false">SUMPRODUCT(I1115:W1115,_XtX!$B$96:$P$96)</f>
        <v>45.3781067251462</v>
      </c>
      <c r="Y1115" s="0" t="n">
        <f aca="false">SUMPRODUCT(MMULT(I1115:W1115,_XtX!$B$78:$P$92),I1115:W1115)</f>
        <v>0.215110734192252</v>
      </c>
      <c r="Z1115" s="0" t="n">
        <f aca="false">04_回帰ANOVA!$K$19*04_回帰ANOVA!$K$14*SQRT(1+Y1115)</f>
        <v>1.43683309086864</v>
      </c>
      <c r="AA1115" s="0" t="n">
        <f aca="false">X1115-Z1115</f>
        <v>43.9412736342775</v>
      </c>
      <c r="AB1115" s="0" t="n">
        <f aca="false">X1115+Z1115</f>
        <v>46.8149398160148</v>
      </c>
      <c r="AC1115" s="54" t="b">
        <f aca="false">AND(E1115&gt;=01_因子設定!$L$5-0.000000001,E1115&lt;=01_因子設定!$M$5+0.000000001,F1115&gt;=01_因子設定!$L$6-0.000000001,F1115&lt;=01_因子設定!$M$6+0.000000001,G1115&gt;=01_因子設定!$L$7-0.000000001,G1115&lt;=01_因子設定!$M$7+0.000000001,H1115&gt;=01_因子設定!$L$8-0.000000001,H1115&lt;=01_因子設定!$M$8+0.000000001,IF(01_因子設定!$B$20="Box-Behnken",E1115^2+F1115^2+G1115^2+H1115^2&lt;=2+0.000000001,TRUE()))</f>
        <v>1</v>
      </c>
      <c r="AD1115" s="55" t="n">
        <f aca="false">IF(AC1115,IF(01_因子設定!$B$13="最大化",AA1115-01_因子設定!$B$14,IF(01_因子設定!$B$13="最小化",01_因子設定!$B$15-AB1115,MIN(AA1115-01_因子設定!$B$14,01_因子設定!$B$15-AB1115))),-1E+030)</f>
        <v>-2.55872636572246</v>
      </c>
      <c r="AE1115" s="55" t="n">
        <f aca="false">IF(AC1115,IF(01_因子設定!$B$13="最大化",X1115,IF(01_因子設定!$B$13="最小化",-X1115,-ABS(X1115-01_因子設定!$B$16))),-1E+030)</f>
        <v>45.3781067251462</v>
      </c>
      <c r="AF1115" s="55" t="n">
        <f aca="false">AD1115+ROW()*0.000000001</f>
        <v>-2.55872525072246</v>
      </c>
      <c r="AG1115" s="55" t="n">
        <f aca="false">AE1115+ROW()*0.000000001</f>
        <v>45.3781078401462</v>
      </c>
    </row>
    <row r="1116" customFormat="false" ht="15" hidden="false" customHeight="false" outlineLevel="0" collapsed="false">
      <c r="A1116" s="0" t="n">
        <v>1</v>
      </c>
      <c r="B1116" s="0" t="n">
        <v>4</v>
      </c>
      <c r="C1116" s="0" t="n">
        <v>6</v>
      </c>
      <c r="D1116" s="0" t="n">
        <v>4</v>
      </c>
      <c r="E1116" s="0" t="n">
        <f aca="false">-1+A1116*0.25</f>
        <v>-0.75</v>
      </c>
      <c r="F1116" s="0" t="n">
        <f aca="false">-1+B1116*0.25</f>
        <v>0</v>
      </c>
      <c r="G1116" s="0" t="n">
        <f aca="false">-1+C1116*0.25</f>
        <v>0.5</v>
      </c>
      <c r="H1116" s="0" t="n">
        <f aca="false">-1+D1116*0.25</f>
        <v>0</v>
      </c>
      <c r="I1116" s="0" t="n">
        <f aca="false">1</f>
        <v>1</v>
      </c>
      <c r="J1116" s="0" t="n">
        <f aca="false">E1116</f>
        <v>-0.75</v>
      </c>
      <c r="K1116" s="0" t="n">
        <f aca="false">F1116</f>
        <v>0</v>
      </c>
      <c r="L1116" s="0" t="n">
        <f aca="false">G1116</f>
        <v>0.5</v>
      </c>
      <c r="M1116" s="0" t="n">
        <f aca="false">H1116</f>
        <v>0</v>
      </c>
      <c r="N1116" s="0" t="n">
        <f aca="false">E1116*F1116</f>
        <v>-0</v>
      </c>
      <c r="O1116" s="0" t="n">
        <f aca="false">E1116*G1116</f>
        <v>-0.375</v>
      </c>
      <c r="P1116" s="0" t="n">
        <f aca="false">E1116*H1116</f>
        <v>-0</v>
      </c>
      <c r="Q1116" s="0" t="n">
        <f aca="false">F1116*G1116</f>
        <v>0</v>
      </c>
      <c r="R1116" s="0" t="n">
        <f aca="false">F1116*H1116</f>
        <v>0</v>
      </c>
      <c r="S1116" s="0" t="n">
        <f aca="false">G1116*H1116</f>
        <v>0</v>
      </c>
      <c r="T1116" s="0" t="n">
        <f aca="false">E1116*E1116</f>
        <v>0.5625</v>
      </c>
      <c r="U1116" s="0" t="n">
        <f aca="false">F1116*F1116</f>
        <v>0</v>
      </c>
      <c r="V1116" s="0" t="n">
        <f aca="false">G1116*G1116</f>
        <v>0.25</v>
      </c>
      <c r="W1116" s="0" t="n">
        <f aca="false">H1116*H1116</f>
        <v>0</v>
      </c>
      <c r="X1116" s="0" t="n">
        <f aca="false">SUMPRODUCT(I1116:W1116,_XtX!$B$96:$P$96)</f>
        <v>45.515899122807</v>
      </c>
      <c r="Y1116" s="0" t="n">
        <f aca="false">SUMPRODUCT(MMULT(I1116:W1116,_XtX!$B$78:$P$92),I1116:W1116)</f>
        <v>0.221828170687135</v>
      </c>
      <c r="Z1116" s="0" t="n">
        <f aca="false">04_回帰ANOVA!$K$19*04_回帰ANOVA!$K$14*SQRT(1+Y1116)</f>
        <v>1.44079920361664</v>
      </c>
      <c r="AA1116" s="0" t="n">
        <f aca="false">X1116-Z1116</f>
        <v>44.0750999191904</v>
      </c>
      <c r="AB1116" s="0" t="n">
        <f aca="false">X1116+Z1116</f>
        <v>46.9566983264237</v>
      </c>
      <c r="AC1116" s="54" t="b">
        <f aca="false">AND(E1116&gt;=01_因子設定!$L$5-0.000000001,E1116&lt;=01_因子設定!$M$5+0.000000001,F1116&gt;=01_因子設定!$L$6-0.000000001,F1116&lt;=01_因子設定!$M$6+0.000000001,G1116&gt;=01_因子設定!$L$7-0.000000001,G1116&lt;=01_因子設定!$M$7+0.000000001,H1116&gt;=01_因子設定!$L$8-0.000000001,H1116&lt;=01_因子設定!$M$8+0.000000001,IF(01_因子設定!$B$20="Box-Behnken",E1116^2+F1116^2+G1116^2+H1116^2&lt;=2+0.000000001,TRUE()))</f>
        <v>1</v>
      </c>
      <c r="AD1116" s="55" t="n">
        <f aca="false">IF(AC1116,IF(01_因子設定!$B$13="最大化",AA1116-01_因子設定!$B$14,IF(01_因子設定!$B$13="最小化",01_因子設定!$B$15-AB1116,MIN(AA1116-01_因子設定!$B$14,01_因子設定!$B$15-AB1116))),-1E+030)</f>
        <v>-2.42490008080964</v>
      </c>
      <c r="AE1116" s="55" t="n">
        <f aca="false">IF(AC1116,IF(01_因子設定!$B$13="最大化",X1116,IF(01_因子設定!$B$13="最小化",-X1116,-ABS(X1116-01_因子設定!$B$16))),-1E+030)</f>
        <v>45.515899122807</v>
      </c>
      <c r="AF1116" s="55" t="n">
        <f aca="false">AD1116+ROW()*0.000000001</f>
        <v>-2.42489896480964</v>
      </c>
      <c r="AG1116" s="55" t="n">
        <f aca="false">AE1116+ROW()*0.000000001</f>
        <v>45.515900238807</v>
      </c>
    </row>
    <row r="1117" customFormat="false" ht="15" hidden="false" customHeight="false" outlineLevel="0" collapsed="false">
      <c r="A1117" s="0" t="n">
        <v>1</v>
      </c>
      <c r="B1117" s="0" t="n">
        <v>4</v>
      </c>
      <c r="C1117" s="0" t="n">
        <v>6</v>
      </c>
      <c r="D1117" s="0" t="n">
        <v>5</v>
      </c>
      <c r="E1117" s="0" t="n">
        <f aca="false">-1+A1117*0.25</f>
        <v>-0.75</v>
      </c>
      <c r="F1117" s="0" t="n">
        <f aca="false">-1+B1117*0.25</f>
        <v>0</v>
      </c>
      <c r="G1117" s="0" t="n">
        <f aca="false">-1+C1117*0.25</f>
        <v>0.5</v>
      </c>
      <c r="H1117" s="0" t="n">
        <f aca="false">-1+D1117*0.25</f>
        <v>0.25</v>
      </c>
      <c r="I1117" s="0" t="n">
        <f aca="false">1</f>
        <v>1</v>
      </c>
      <c r="J1117" s="0" t="n">
        <f aca="false">E1117</f>
        <v>-0.75</v>
      </c>
      <c r="K1117" s="0" t="n">
        <f aca="false">F1117</f>
        <v>0</v>
      </c>
      <c r="L1117" s="0" t="n">
        <f aca="false">G1117</f>
        <v>0.5</v>
      </c>
      <c r="M1117" s="0" t="n">
        <f aca="false">H1117</f>
        <v>0.25</v>
      </c>
      <c r="N1117" s="0" t="n">
        <f aca="false">E1117*F1117</f>
        <v>-0</v>
      </c>
      <c r="O1117" s="0" t="n">
        <f aca="false">E1117*G1117</f>
        <v>-0.375</v>
      </c>
      <c r="P1117" s="0" t="n">
        <f aca="false">E1117*H1117</f>
        <v>-0.1875</v>
      </c>
      <c r="Q1117" s="0" t="n">
        <f aca="false">F1117*G1117</f>
        <v>0</v>
      </c>
      <c r="R1117" s="0" t="n">
        <f aca="false">F1117*H1117</f>
        <v>0</v>
      </c>
      <c r="S1117" s="0" t="n">
        <f aca="false">G1117*H1117</f>
        <v>0.125</v>
      </c>
      <c r="T1117" s="0" t="n">
        <f aca="false">E1117*E1117</f>
        <v>0.5625</v>
      </c>
      <c r="U1117" s="0" t="n">
        <f aca="false">F1117*F1117</f>
        <v>0</v>
      </c>
      <c r="V1117" s="0" t="n">
        <f aca="false">G1117*G1117</f>
        <v>0.25</v>
      </c>
      <c r="W1117" s="0" t="n">
        <f aca="false">H1117*H1117</f>
        <v>0.0625</v>
      </c>
      <c r="X1117" s="0" t="n">
        <f aca="false">SUMPRODUCT(I1117:W1117,_XtX!$B$96:$P$96)</f>
        <v>45.605884502924</v>
      </c>
      <c r="Y1117" s="0" t="n">
        <f aca="false">SUMPRODUCT(MMULT(I1117:W1117,_XtX!$B$78:$P$92),I1117:W1117)</f>
        <v>0.215110734192252</v>
      </c>
      <c r="Z1117" s="0" t="n">
        <f aca="false">04_回帰ANOVA!$K$19*04_回帰ANOVA!$K$14*SQRT(1+Y1117)</f>
        <v>1.43683309086864</v>
      </c>
      <c r="AA1117" s="0" t="n">
        <f aca="false">X1117-Z1117</f>
        <v>44.1690514120553</v>
      </c>
      <c r="AB1117" s="0" t="n">
        <f aca="false">X1117+Z1117</f>
        <v>47.0427175937926</v>
      </c>
      <c r="AC1117" s="54" t="b">
        <f aca="false">AND(E1117&gt;=01_因子設定!$L$5-0.000000001,E1117&lt;=01_因子設定!$M$5+0.000000001,F1117&gt;=01_因子設定!$L$6-0.000000001,F1117&lt;=01_因子設定!$M$6+0.000000001,G1117&gt;=01_因子設定!$L$7-0.000000001,G1117&lt;=01_因子設定!$M$7+0.000000001,H1117&gt;=01_因子設定!$L$8-0.000000001,H1117&lt;=01_因子設定!$M$8+0.000000001,IF(01_因子設定!$B$20="Box-Behnken",E1117^2+F1117^2+G1117^2+H1117^2&lt;=2+0.000000001,TRUE()))</f>
        <v>1</v>
      </c>
      <c r="AD1117" s="55" t="n">
        <f aca="false">IF(AC1117,IF(01_因子設定!$B$13="最大化",AA1117-01_因子設定!$B$14,IF(01_因子設定!$B$13="最小化",01_因子設定!$B$15-AB1117,MIN(AA1117-01_因子設定!$B$14,01_因子設定!$B$15-AB1117))),-1E+030)</f>
        <v>-2.33094858794468</v>
      </c>
      <c r="AE1117" s="55" t="n">
        <f aca="false">IF(AC1117,IF(01_因子設定!$B$13="最大化",X1117,IF(01_因子設定!$B$13="最小化",-X1117,-ABS(X1117-01_因子設定!$B$16))),-1E+030)</f>
        <v>45.605884502924</v>
      </c>
      <c r="AF1117" s="55" t="n">
        <f aca="false">AD1117+ROW()*0.000000001</f>
        <v>-2.33094747094468</v>
      </c>
      <c r="AG1117" s="55" t="n">
        <f aca="false">AE1117+ROW()*0.000000001</f>
        <v>45.605885619924</v>
      </c>
    </row>
    <row r="1118" customFormat="false" ht="15" hidden="false" customHeight="false" outlineLevel="0" collapsed="false">
      <c r="A1118" s="0" t="n">
        <v>1</v>
      </c>
      <c r="B1118" s="0" t="n">
        <v>4</v>
      </c>
      <c r="C1118" s="0" t="n">
        <v>6</v>
      </c>
      <c r="D1118" s="0" t="n">
        <v>6</v>
      </c>
      <c r="E1118" s="0" t="n">
        <f aca="false">-1+A1118*0.25</f>
        <v>-0.75</v>
      </c>
      <c r="F1118" s="0" t="n">
        <f aca="false">-1+B1118*0.25</f>
        <v>0</v>
      </c>
      <c r="G1118" s="0" t="n">
        <f aca="false">-1+C1118*0.25</f>
        <v>0.5</v>
      </c>
      <c r="H1118" s="0" t="n">
        <f aca="false">-1+D1118*0.25</f>
        <v>0.5</v>
      </c>
      <c r="I1118" s="0" t="n">
        <f aca="false">1</f>
        <v>1</v>
      </c>
      <c r="J1118" s="0" t="n">
        <f aca="false">E1118</f>
        <v>-0.75</v>
      </c>
      <c r="K1118" s="0" t="n">
        <f aca="false">F1118</f>
        <v>0</v>
      </c>
      <c r="L1118" s="0" t="n">
        <f aca="false">G1118</f>
        <v>0.5</v>
      </c>
      <c r="M1118" s="0" t="n">
        <f aca="false">H1118</f>
        <v>0.5</v>
      </c>
      <c r="N1118" s="0" t="n">
        <f aca="false">E1118*F1118</f>
        <v>-0</v>
      </c>
      <c r="O1118" s="0" t="n">
        <f aca="false">E1118*G1118</f>
        <v>-0.375</v>
      </c>
      <c r="P1118" s="0" t="n">
        <f aca="false">E1118*H1118</f>
        <v>-0.375</v>
      </c>
      <c r="Q1118" s="0" t="n">
        <f aca="false">F1118*G1118</f>
        <v>0</v>
      </c>
      <c r="R1118" s="0" t="n">
        <f aca="false">F1118*H1118</f>
        <v>0</v>
      </c>
      <c r="S1118" s="0" t="n">
        <f aca="false">G1118*H1118</f>
        <v>0.25</v>
      </c>
      <c r="T1118" s="0" t="n">
        <f aca="false">E1118*E1118</f>
        <v>0.5625</v>
      </c>
      <c r="U1118" s="0" t="n">
        <f aca="false">F1118*F1118</f>
        <v>0</v>
      </c>
      <c r="V1118" s="0" t="n">
        <f aca="false">G1118*G1118</f>
        <v>0.25</v>
      </c>
      <c r="W1118" s="0" t="n">
        <f aca="false">H1118*H1118</f>
        <v>0.25</v>
      </c>
      <c r="X1118" s="0" t="n">
        <f aca="false">SUMPRODUCT(I1118:W1118,_XtX!$B$96:$P$96)</f>
        <v>45.6480628654971</v>
      </c>
      <c r="Y1118" s="0" t="n">
        <f aca="false">SUMPRODUCT(MMULT(I1118:W1118,_XtX!$B$78:$P$92),I1118:W1118)</f>
        <v>0.21305052997076</v>
      </c>
      <c r="Z1118" s="0" t="n">
        <f aca="false">04_回帰ANOVA!$K$19*04_回帰ANOVA!$K$14*SQRT(1+Y1118)</f>
        <v>1.43561450835061</v>
      </c>
      <c r="AA1118" s="0" t="n">
        <f aca="false">X1118-Z1118</f>
        <v>44.2124483571465</v>
      </c>
      <c r="AB1118" s="0" t="n">
        <f aca="false">X1118+Z1118</f>
        <v>47.0836773738477</v>
      </c>
      <c r="AC1118" s="54" t="b">
        <f aca="false">AND(E1118&gt;=01_因子設定!$L$5-0.000000001,E1118&lt;=01_因子設定!$M$5+0.000000001,F1118&gt;=01_因子設定!$L$6-0.000000001,F1118&lt;=01_因子設定!$M$6+0.000000001,G1118&gt;=01_因子設定!$L$7-0.000000001,G1118&lt;=01_因子設定!$M$7+0.000000001,H1118&gt;=01_因子設定!$L$8-0.000000001,H1118&lt;=01_因子設定!$M$8+0.000000001,IF(01_因子設定!$B$20="Box-Behnken",E1118^2+F1118^2+G1118^2+H1118^2&lt;=2+0.000000001,TRUE()))</f>
        <v>1</v>
      </c>
      <c r="AD1118" s="55" t="n">
        <f aca="false">IF(AC1118,IF(01_因子設定!$B$13="最大化",AA1118-01_因子設定!$B$14,IF(01_因子設定!$B$13="最小化",01_因子設定!$B$15-AB1118,MIN(AA1118-01_因子設定!$B$14,01_因子設定!$B$15-AB1118))),-1E+030)</f>
        <v>-2.28755164285353</v>
      </c>
      <c r="AE1118" s="55" t="n">
        <f aca="false">IF(AC1118,IF(01_因子設定!$B$13="最大化",X1118,IF(01_因子設定!$B$13="最小化",-X1118,-ABS(X1118-01_因子設定!$B$16))),-1E+030)</f>
        <v>45.6480628654971</v>
      </c>
      <c r="AF1118" s="55" t="n">
        <f aca="false">AD1118+ROW()*0.000000001</f>
        <v>-2.28755052485353</v>
      </c>
      <c r="AG1118" s="55" t="n">
        <f aca="false">AE1118+ROW()*0.000000001</f>
        <v>45.6480639834971</v>
      </c>
    </row>
    <row r="1119" customFormat="false" ht="15" hidden="false" customHeight="false" outlineLevel="0" collapsed="false">
      <c r="A1119" s="0" t="n">
        <v>1</v>
      </c>
      <c r="B1119" s="0" t="n">
        <v>4</v>
      </c>
      <c r="C1119" s="0" t="n">
        <v>6</v>
      </c>
      <c r="D1119" s="0" t="n">
        <v>7</v>
      </c>
      <c r="E1119" s="0" t="n">
        <f aca="false">-1+A1119*0.25</f>
        <v>-0.75</v>
      </c>
      <c r="F1119" s="0" t="n">
        <f aca="false">-1+B1119*0.25</f>
        <v>0</v>
      </c>
      <c r="G1119" s="0" t="n">
        <f aca="false">-1+C1119*0.25</f>
        <v>0.5</v>
      </c>
      <c r="H1119" s="0" t="n">
        <f aca="false">-1+D1119*0.25</f>
        <v>0.75</v>
      </c>
      <c r="I1119" s="0" t="n">
        <f aca="false">1</f>
        <v>1</v>
      </c>
      <c r="J1119" s="0" t="n">
        <f aca="false">E1119</f>
        <v>-0.75</v>
      </c>
      <c r="K1119" s="0" t="n">
        <f aca="false">F1119</f>
        <v>0</v>
      </c>
      <c r="L1119" s="0" t="n">
        <f aca="false">G1119</f>
        <v>0.5</v>
      </c>
      <c r="M1119" s="0" t="n">
        <f aca="false">H1119</f>
        <v>0.75</v>
      </c>
      <c r="N1119" s="0" t="n">
        <f aca="false">E1119*F1119</f>
        <v>-0</v>
      </c>
      <c r="O1119" s="0" t="n">
        <f aca="false">E1119*G1119</f>
        <v>-0.375</v>
      </c>
      <c r="P1119" s="0" t="n">
        <f aca="false">E1119*H1119</f>
        <v>-0.5625</v>
      </c>
      <c r="Q1119" s="0" t="n">
        <f aca="false">F1119*G1119</f>
        <v>0</v>
      </c>
      <c r="R1119" s="0" t="n">
        <f aca="false">F1119*H1119</f>
        <v>0</v>
      </c>
      <c r="S1119" s="0" t="n">
        <f aca="false">G1119*H1119</f>
        <v>0.375</v>
      </c>
      <c r="T1119" s="0" t="n">
        <f aca="false">E1119*E1119</f>
        <v>0.5625</v>
      </c>
      <c r="U1119" s="0" t="n">
        <f aca="false">F1119*F1119</f>
        <v>0</v>
      </c>
      <c r="V1119" s="0" t="n">
        <f aca="false">G1119*G1119</f>
        <v>0.25</v>
      </c>
      <c r="W1119" s="0" t="n">
        <f aca="false">H1119*H1119</f>
        <v>0.5625</v>
      </c>
      <c r="X1119" s="0" t="n">
        <f aca="false">SUMPRODUCT(I1119:W1119,_XtX!$B$96:$P$96)</f>
        <v>45.6424342105263</v>
      </c>
      <c r="Y1119" s="0" t="n">
        <f aca="false">SUMPRODUCT(MMULT(I1119:W1119,_XtX!$B$78:$P$92),I1119:W1119)</f>
        <v>0.269923873812135</v>
      </c>
      <c r="Z1119" s="0" t="n">
        <f aca="false">04_回帰ANOVA!$K$19*04_回帰ANOVA!$K$14*SQRT(1+Y1119)</f>
        <v>1.46888310825501</v>
      </c>
      <c r="AA1119" s="0" t="n">
        <f aca="false">X1119-Z1119</f>
        <v>44.1735511022713</v>
      </c>
      <c r="AB1119" s="0" t="n">
        <f aca="false">X1119+Z1119</f>
        <v>47.1113173187813</v>
      </c>
      <c r="AC1119" s="54" t="b">
        <f aca="false">AND(E1119&gt;=01_因子設定!$L$5-0.000000001,E1119&lt;=01_因子設定!$M$5+0.000000001,F1119&gt;=01_因子設定!$L$6-0.000000001,F1119&lt;=01_因子設定!$M$6+0.000000001,G1119&gt;=01_因子設定!$L$7-0.000000001,G1119&lt;=01_因子設定!$M$7+0.000000001,H1119&gt;=01_因子設定!$L$8-0.000000001,H1119&lt;=01_因子設定!$M$8+0.000000001,IF(01_因子設定!$B$20="Box-Behnken",E1119^2+F1119^2+G1119^2+H1119^2&lt;=2+0.000000001,TRUE()))</f>
        <v>1</v>
      </c>
      <c r="AD1119" s="55" t="n">
        <f aca="false">IF(AC1119,IF(01_因子設定!$B$13="最大化",AA1119-01_因子設定!$B$14,IF(01_因子設定!$B$13="最小化",01_因子設定!$B$15-AB1119,MIN(AA1119-01_因子設定!$B$14,01_因子設定!$B$15-AB1119))),-1E+030)</f>
        <v>-2.32644889772868</v>
      </c>
      <c r="AE1119" s="55" t="n">
        <f aca="false">IF(AC1119,IF(01_因子設定!$B$13="最大化",X1119,IF(01_因子設定!$B$13="最小化",-X1119,-ABS(X1119-01_因子設定!$B$16))),-1E+030)</f>
        <v>45.6424342105263</v>
      </c>
      <c r="AF1119" s="55" t="n">
        <f aca="false">AD1119+ROW()*0.000000001</f>
        <v>-2.32644777872868</v>
      </c>
      <c r="AG1119" s="55" t="n">
        <f aca="false">AE1119+ROW()*0.000000001</f>
        <v>45.6424353295263</v>
      </c>
    </row>
    <row r="1120" customFormat="false" ht="15" hidden="false" customHeight="false" outlineLevel="0" collapsed="false">
      <c r="A1120" s="0" t="n">
        <v>1</v>
      </c>
      <c r="B1120" s="0" t="n">
        <v>4</v>
      </c>
      <c r="C1120" s="0" t="n">
        <v>6</v>
      </c>
      <c r="D1120" s="0" t="n">
        <v>8</v>
      </c>
      <c r="E1120" s="0" t="n">
        <f aca="false">-1+A1120*0.25</f>
        <v>-0.75</v>
      </c>
      <c r="F1120" s="0" t="n">
        <f aca="false">-1+B1120*0.25</f>
        <v>0</v>
      </c>
      <c r="G1120" s="0" t="n">
        <f aca="false">-1+C1120*0.25</f>
        <v>0.5</v>
      </c>
      <c r="H1120" s="0" t="n">
        <f aca="false">-1+D1120*0.25</f>
        <v>1</v>
      </c>
      <c r="I1120" s="0" t="n">
        <f aca="false">1</f>
        <v>1</v>
      </c>
      <c r="J1120" s="0" t="n">
        <f aca="false">E1120</f>
        <v>-0.75</v>
      </c>
      <c r="K1120" s="0" t="n">
        <f aca="false">F1120</f>
        <v>0</v>
      </c>
      <c r="L1120" s="0" t="n">
        <f aca="false">G1120</f>
        <v>0.5</v>
      </c>
      <c r="M1120" s="0" t="n">
        <f aca="false">H1120</f>
        <v>1</v>
      </c>
      <c r="N1120" s="0" t="n">
        <f aca="false">E1120*F1120</f>
        <v>-0</v>
      </c>
      <c r="O1120" s="0" t="n">
        <f aca="false">E1120*G1120</f>
        <v>-0.375</v>
      </c>
      <c r="P1120" s="0" t="n">
        <f aca="false">E1120*H1120</f>
        <v>-0.75</v>
      </c>
      <c r="Q1120" s="0" t="n">
        <f aca="false">F1120*G1120</f>
        <v>0</v>
      </c>
      <c r="R1120" s="0" t="n">
        <f aca="false">F1120*H1120</f>
        <v>0</v>
      </c>
      <c r="S1120" s="0" t="n">
        <f aca="false">G1120*H1120</f>
        <v>0.5</v>
      </c>
      <c r="T1120" s="0" t="n">
        <f aca="false">E1120*E1120</f>
        <v>0.5625</v>
      </c>
      <c r="U1120" s="0" t="n">
        <f aca="false">F1120*F1120</f>
        <v>0</v>
      </c>
      <c r="V1120" s="0" t="n">
        <f aca="false">G1120*G1120</f>
        <v>0.25</v>
      </c>
      <c r="W1120" s="0" t="n">
        <f aca="false">H1120*H1120</f>
        <v>1</v>
      </c>
      <c r="X1120" s="0" t="n">
        <f aca="false">SUMPRODUCT(I1120:W1120,_XtX!$B$96:$P$96)</f>
        <v>45.5889985380117</v>
      </c>
      <c r="Y1120" s="0" t="n">
        <f aca="false">SUMPRODUCT(MMULT(I1120:W1120,_XtX!$B$78:$P$92),I1120:W1120)</f>
        <v>0.476191292032164</v>
      </c>
      <c r="Z1120" s="0" t="n">
        <f aca="false">04_回帰ANOVA!$K$19*04_回帰ANOVA!$K$14*SQRT(1+Y1120)</f>
        <v>1.58368831471718</v>
      </c>
      <c r="AA1120" s="0" t="n">
        <f aca="false">X1120-Z1120</f>
        <v>44.0053102232945</v>
      </c>
      <c r="AB1120" s="0" t="n">
        <f aca="false">X1120+Z1120</f>
        <v>47.1726868527289</v>
      </c>
      <c r="AC1120" s="54" t="b">
        <f aca="false">AND(E1120&gt;=01_因子設定!$L$5-0.000000001,E1120&lt;=01_因子設定!$M$5+0.000000001,F1120&gt;=01_因子設定!$L$6-0.000000001,F1120&lt;=01_因子設定!$M$6+0.000000001,G1120&gt;=01_因子設定!$L$7-0.000000001,G1120&lt;=01_因子設定!$M$7+0.000000001,H1120&gt;=01_因子設定!$L$8-0.000000001,H1120&lt;=01_因子設定!$M$8+0.000000001,IF(01_因子設定!$B$20="Box-Behnken",E1120^2+F1120^2+G1120^2+H1120^2&lt;=2+0.000000001,TRUE()))</f>
        <v>1</v>
      </c>
      <c r="AD1120" s="55" t="n">
        <f aca="false">IF(AC1120,IF(01_因子設定!$B$13="最大化",AA1120-01_因子設定!$B$14,IF(01_因子設定!$B$13="最小化",01_因子設定!$B$15-AB1120,MIN(AA1120-01_因子設定!$B$14,01_因子設定!$B$15-AB1120))),-1E+030)</f>
        <v>-2.49468977670546</v>
      </c>
      <c r="AE1120" s="55" t="n">
        <f aca="false">IF(AC1120,IF(01_因子設定!$B$13="最大化",X1120,IF(01_因子設定!$B$13="最小化",-X1120,-ABS(X1120-01_因子設定!$B$16))),-1E+030)</f>
        <v>45.5889985380117</v>
      </c>
      <c r="AF1120" s="55" t="n">
        <f aca="false">AD1120+ROW()*0.000000001</f>
        <v>-2.49468865670546</v>
      </c>
      <c r="AG1120" s="55" t="n">
        <f aca="false">AE1120+ROW()*0.000000001</f>
        <v>45.5889996580117</v>
      </c>
    </row>
    <row r="1121" customFormat="false" ht="15" hidden="false" customHeight="false" outlineLevel="0" collapsed="false">
      <c r="A1121" s="0" t="n">
        <v>1</v>
      </c>
      <c r="B1121" s="0" t="n">
        <v>4</v>
      </c>
      <c r="C1121" s="0" t="n">
        <v>7</v>
      </c>
      <c r="D1121" s="0" t="n">
        <v>0</v>
      </c>
      <c r="E1121" s="0" t="n">
        <f aca="false">-1+A1121*0.25</f>
        <v>-0.75</v>
      </c>
      <c r="F1121" s="0" t="n">
        <f aca="false">-1+B1121*0.25</f>
        <v>0</v>
      </c>
      <c r="G1121" s="0" t="n">
        <f aca="false">-1+C1121*0.25</f>
        <v>0.75</v>
      </c>
      <c r="H1121" s="0" t="n">
        <f aca="false">-1+D1121*0.25</f>
        <v>-1</v>
      </c>
      <c r="I1121" s="0" t="n">
        <f aca="false">1</f>
        <v>1</v>
      </c>
      <c r="J1121" s="0" t="n">
        <f aca="false">E1121</f>
        <v>-0.75</v>
      </c>
      <c r="K1121" s="0" t="n">
        <f aca="false">F1121</f>
        <v>0</v>
      </c>
      <c r="L1121" s="0" t="n">
        <f aca="false">G1121</f>
        <v>0.75</v>
      </c>
      <c r="M1121" s="0" t="n">
        <f aca="false">H1121</f>
        <v>-1</v>
      </c>
      <c r="N1121" s="0" t="n">
        <f aca="false">E1121*F1121</f>
        <v>-0</v>
      </c>
      <c r="O1121" s="0" t="n">
        <f aca="false">E1121*G1121</f>
        <v>-0.5625</v>
      </c>
      <c r="P1121" s="0" t="n">
        <f aca="false">E1121*H1121</f>
        <v>0.75</v>
      </c>
      <c r="Q1121" s="0" t="n">
        <f aca="false">F1121*G1121</f>
        <v>0</v>
      </c>
      <c r="R1121" s="0" t="n">
        <f aca="false">F1121*H1121</f>
        <v>-0</v>
      </c>
      <c r="S1121" s="0" t="n">
        <f aca="false">G1121*H1121</f>
        <v>-0.75</v>
      </c>
      <c r="T1121" s="0" t="n">
        <f aca="false">E1121*E1121</f>
        <v>0.5625</v>
      </c>
      <c r="U1121" s="0" t="n">
        <f aca="false">F1121*F1121</f>
        <v>0</v>
      </c>
      <c r="V1121" s="0" t="n">
        <f aca="false">G1121*G1121</f>
        <v>0.5625</v>
      </c>
      <c r="W1121" s="0" t="n">
        <f aca="false">H1121*H1121</f>
        <v>1</v>
      </c>
      <c r="X1121" s="0" t="n">
        <f aca="false">SUMPRODUCT(I1121:W1121,_XtX!$B$96:$P$96)</f>
        <v>44.7604532163743</v>
      </c>
      <c r="Y1121" s="0" t="n">
        <f aca="false">SUMPRODUCT(MMULT(I1121:W1121,_XtX!$B$78:$P$92),I1121:W1121)</f>
        <v>0.494259126005117</v>
      </c>
      <c r="Z1121" s="0" t="n">
        <f aca="false">04_回帰ANOVA!$K$19*04_回帰ANOVA!$K$14*SQRT(1+Y1121)</f>
        <v>1.59335061078203</v>
      </c>
      <c r="AA1121" s="0" t="n">
        <f aca="false">X1121-Z1121</f>
        <v>43.1671026055923</v>
      </c>
      <c r="AB1121" s="0" t="n">
        <f aca="false">X1121+Z1121</f>
        <v>46.3538038271563</v>
      </c>
      <c r="AC1121" s="54" t="b">
        <f aca="false">AND(E1121&gt;=01_因子設定!$L$5-0.000000001,E1121&lt;=01_因子設定!$M$5+0.000000001,F1121&gt;=01_因子設定!$L$6-0.000000001,F1121&lt;=01_因子設定!$M$6+0.000000001,G1121&gt;=01_因子設定!$L$7-0.000000001,G1121&lt;=01_因子設定!$M$7+0.000000001,H1121&gt;=01_因子設定!$L$8-0.000000001,H1121&lt;=01_因子設定!$M$8+0.000000001,IF(01_因子設定!$B$20="Box-Behnken",E1121^2+F1121^2+G1121^2+H1121^2&lt;=2+0.000000001,TRUE()))</f>
        <v>1</v>
      </c>
      <c r="AD1121" s="55" t="n">
        <f aca="false">IF(AC1121,IF(01_因子設定!$B$13="最大化",AA1121-01_因子設定!$B$14,IF(01_因子設定!$B$13="最小化",01_因子設定!$B$15-AB1121,MIN(AA1121-01_因子設定!$B$14,01_因子設定!$B$15-AB1121))),-1E+030)</f>
        <v>-3.33289739440773</v>
      </c>
      <c r="AE1121" s="55" t="n">
        <f aca="false">IF(AC1121,IF(01_因子設定!$B$13="最大化",X1121,IF(01_因子設定!$B$13="最小化",-X1121,-ABS(X1121-01_因子設定!$B$16))),-1E+030)</f>
        <v>44.7604532163743</v>
      </c>
      <c r="AF1121" s="55" t="n">
        <f aca="false">AD1121+ROW()*0.000000001</f>
        <v>-3.33289627340773</v>
      </c>
      <c r="AG1121" s="55" t="n">
        <f aca="false">AE1121+ROW()*0.000000001</f>
        <v>44.7604543373743</v>
      </c>
    </row>
    <row r="1122" customFormat="false" ht="15" hidden="false" customHeight="false" outlineLevel="0" collapsed="false">
      <c r="A1122" s="0" t="n">
        <v>1</v>
      </c>
      <c r="B1122" s="0" t="n">
        <v>4</v>
      </c>
      <c r="C1122" s="0" t="n">
        <v>7</v>
      </c>
      <c r="D1122" s="0" t="n">
        <v>1</v>
      </c>
      <c r="E1122" s="0" t="n">
        <f aca="false">-1+A1122*0.25</f>
        <v>-0.75</v>
      </c>
      <c r="F1122" s="0" t="n">
        <f aca="false">-1+B1122*0.25</f>
        <v>0</v>
      </c>
      <c r="G1122" s="0" t="n">
        <f aca="false">-1+C1122*0.25</f>
        <v>0.75</v>
      </c>
      <c r="H1122" s="0" t="n">
        <f aca="false">-1+D1122*0.25</f>
        <v>-0.75</v>
      </c>
      <c r="I1122" s="0" t="n">
        <f aca="false">1</f>
        <v>1</v>
      </c>
      <c r="J1122" s="0" t="n">
        <f aca="false">E1122</f>
        <v>-0.75</v>
      </c>
      <c r="K1122" s="0" t="n">
        <f aca="false">F1122</f>
        <v>0</v>
      </c>
      <c r="L1122" s="0" t="n">
        <f aca="false">G1122</f>
        <v>0.75</v>
      </c>
      <c r="M1122" s="0" t="n">
        <f aca="false">H1122</f>
        <v>-0.75</v>
      </c>
      <c r="N1122" s="0" t="n">
        <f aca="false">E1122*F1122</f>
        <v>-0</v>
      </c>
      <c r="O1122" s="0" t="n">
        <f aca="false">E1122*G1122</f>
        <v>-0.5625</v>
      </c>
      <c r="P1122" s="0" t="n">
        <f aca="false">E1122*H1122</f>
        <v>0.5625</v>
      </c>
      <c r="Q1122" s="0" t="n">
        <f aca="false">F1122*G1122</f>
        <v>0</v>
      </c>
      <c r="R1122" s="0" t="n">
        <f aca="false">F1122*H1122</f>
        <v>-0</v>
      </c>
      <c r="S1122" s="0" t="n">
        <f aca="false">G1122*H1122</f>
        <v>-0.5625</v>
      </c>
      <c r="T1122" s="0" t="n">
        <f aca="false">E1122*E1122</f>
        <v>0.5625</v>
      </c>
      <c r="U1122" s="0" t="n">
        <f aca="false">F1122*F1122</f>
        <v>0</v>
      </c>
      <c r="V1122" s="0" t="n">
        <f aca="false">G1122*G1122</f>
        <v>0.5625</v>
      </c>
      <c r="W1122" s="0" t="n">
        <f aca="false">H1122*H1122</f>
        <v>0.5625</v>
      </c>
      <c r="X1122" s="0" t="n">
        <f aca="false">SUMPRODUCT(I1122:W1122,_XtX!$B$96:$P$96)</f>
        <v>45.0596354166667</v>
      </c>
      <c r="Y1122" s="0" t="n">
        <f aca="false">SUMPRODUCT(MMULT(I1122:W1122,_XtX!$B$78:$P$92),I1122:W1122)</f>
        <v>0.310628255208333</v>
      </c>
      <c r="Z1122" s="0" t="n">
        <f aca="false">04_回帰ANOVA!$K$19*04_回帰ANOVA!$K$14*SQRT(1+Y1122)</f>
        <v>1.49223820892344</v>
      </c>
      <c r="AA1122" s="0" t="n">
        <f aca="false">X1122-Z1122</f>
        <v>43.5673972077432</v>
      </c>
      <c r="AB1122" s="0" t="n">
        <f aca="false">X1122+Z1122</f>
        <v>46.5518736255901</v>
      </c>
      <c r="AC1122" s="54" t="b">
        <f aca="false">AND(E1122&gt;=01_因子設定!$L$5-0.000000001,E1122&lt;=01_因子設定!$M$5+0.000000001,F1122&gt;=01_因子設定!$L$6-0.000000001,F1122&lt;=01_因子設定!$M$6+0.000000001,G1122&gt;=01_因子設定!$L$7-0.000000001,G1122&lt;=01_因子設定!$M$7+0.000000001,H1122&gt;=01_因子設定!$L$8-0.000000001,H1122&lt;=01_因子設定!$M$8+0.000000001,IF(01_因子設定!$B$20="Box-Behnken",E1122^2+F1122^2+G1122^2+H1122^2&lt;=2+0.000000001,TRUE()))</f>
        <v>1</v>
      </c>
      <c r="AD1122" s="55" t="n">
        <f aca="false">IF(AC1122,IF(01_因子設定!$B$13="最大化",AA1122-01_因子設定!$B$14,IF(01_因子設定!$B$13="最小化",01_因子設定!$B$15-AB1122,MIN(AA1122-01_因子設定!$B$14,01_因子設定!$B$15-AB1122))),-1E+030)</f>
        <v>-2.93260279225676</v>
      </c>
      <c r="AE1122" s="55" t="n">
        <f aca="false">IF(AC1122,IF(01_因子設定!$B$13="最大化",X1122,IF(01_因子設定!$B$13="最小化",-X1122,-ABS(X1122-01_因子設定!$B$16))),-1E+030)</f>
        <v>45.0596354166667</v>
      </c>
      <c r="AF1122" s="55" t="n">
        <f aca="false">AD1122+ROW()*0.000000001</f>
        <v>-2.93260167025676</v>
      </c>
      <c r="AG1122" s="55" t="n">
        <f aca="false">AE1122+ROW()*0.000000001</f>
        <v>45.0596365386667</v>
      </c>
    </row>
    <row r="1123" customFormat="false" ht="15" hidden="false" customHeight="false" outlineLevel="0" collapsed="false">
      <c r="A1123" s="0" t="n">
        <v>1</v>
      </c>
      <c r="B1123" s="0" t="n">
        <v>4</v>
      </c>
      <c r="C1123" s="0" t="n">
        <v>7</v>
      </c>
      <c r="D1123" s="0" t="n">
        <v>2</v>
      </c>
      <c r="E1123" s="0" t="n">
        <f aca="false">-1+A1123*0.25</f>
        <v>-0.75</v>
      </c>
      <c r="F1123" s="0" t="n">
        <f aca="false">-1+B1123*0.25</f>
        <v>0</v>
      </c>
      <c r="G1123" s="0" t="n">
        <f aca="false">-1+C1123*0.25</f>
        <v>0.75</v>
      </c>
      <c r="H1123" s="0" t="n">
        <f aca="false">-1+D1123*0.25</f>
        <v>-0.5</v>
      </c>
      <c r="I1123" s="0" t="n">
        <f aca="false">1</f>
        <v>1</v>
      </c>
      <c r="J1123" s="0" t="n">
        <f aca="false">E1123</f>
        <v>-0.75</v>
      </c>
      <c r="K1123" s="0" t="n">
        <f aca="false">F1123</f>
        <v>0</v>
      </c>
      <c r="L1123" s="0" t="n">
        <f aca="false">G1123</f>
        <v>0.75</v>
      </c>
      <c r="M1123" s="0" t="n">
        <f aca="false">H1123</f>
        <v>-0.5</v>
      </c>
      <c r="N1123" s="0" t="n">
        <f aca="false">E1123*F1123</f>
        <v>-0</v>
      </c>
      <c r="O1123" s="0" t="n">
        <f aca="false">E1123*G1123</f>
        <v>-0.5625</v>
      </c>
      <c r="P1123" s="0" t="n">
        <f aca="false">E1123*H1123</f>
        <v>0.375</v>
      </c>
      <c r="Q1123" s="0" t="n">
        <f aca="false">F1123*G1123</f>
        <v>0</v>
      </c>
      <c r="R1123" s="0" t="n">
        <f aca="false">F1123*H1123</f>
        <v>-0</v>
      </c>
      <c r="S1123" s="0" t="n">
        <f aca="false">G1123*H1123</f>
        <v>-0.375</v>
      </c>
      <c r="T1123" s="0" t="n">
        <f aca="false">E1123*E1123</f>
        <v>0.5625</v>
      </c>
      <c r="U1123" s="0" t="n">
        <f aca="false">F1123*F1123</f>
        <v>0</v>
      </c>
      <c r="V1123" s="0" t="n">
        <f aca="false">G1123*G1123</f>
        <v>0.5625</v>
      </c>
      <c r="W1123" s="0" t="n">
        <f aca="false">H1123*H1123</f>
        <v>0.25</v>
      </c>
      <c r="X1123" s="0" t="n">
        <f aca="false">SUMPRODUCT(I1123:W1123,_XtX!$B$96:$P$96)</f>
        <v>45.3110105994152</v>
      </c>
      <c r="Y1123" s="0" t="n">
        <f aca="false">SUMPRODUCT(MMULT(I1123:W1123,_XtX!$B$78:$P$92),I1123:W1123)</f>
        <v>0.269923873812135</v>
      </c>
      <c r="Z1123" s="0" t="n">
        <f aca="false">04_回帰ANOVA!$K$19*04_回帰ANOVA!$K$14*SQRT(1+Y1123)</f>
        <v>1.46888310825501</v>
      </c>
      <c r="AA1123" s="0" t="n">
        <f aca="false">X1123-Z1123</f>
        <v>43.8421274911602</v>
      </c>
      <c r="AB1123" s="0" t="n">
        <f aca="false">X1123+Z1123</f>
        <v>46.7798937076702</v>
      </c>
      <c r="AC1123" s="54" t="b">
        <f aca="false">AND(E1123&gt;=01_因子設定!$L$5-0.000000001,E1123&lt;=01_因子設定!$M$5+0.000000001,F1123&gt;=01_因子設定!$L$6-0.000000001,F1123&lt;=01_因子設定!$M$6+0.000000001,G1123&gt;=01_因子設定!$L$7-0.000000001,G1123&lt;=01_因子設定!$M$7+0.000000001,H1123&gt;=01_因子設定!$L$8-0.000000001,H1123&lt;=01_因子設定!$M$8+0.000000001,IF(01_因子設定!$B$20="Box-Behnken",E1123^2+F1123^2+G1123^2+H1123^2&lt;=2+0.000000001,TRUE()))</f>
        <v>1</v>
      </c>
      <c r="AD1123" s="55" t="n">
        <f aca="false">IF(AC1123,IF(01_因子設定!$B$13="最大化",AA1123-01_因子設定!$B$14,IF(01_因子設定!$B$13="最小化",01_因子設定!$B$15-AB1123,MIN(AA1123-01_因子設定!$B$14,01_因子設定!$B$15-AB1123))),-1E+030)</f>
        <v>-2.6578725088398</v>
      </c>
      <c r="AE1123" s="55" t="n">
        <f aca="false">IF(AC1123,IF(01_因子設定!$B$13="最大化",X1123,IF(01_因子設定!$B$13="最小化",-X1123,-ABS(X1123-01_因子設定!$B$16))),-1E+030)</f>
        <v>45.3110105994152</v>
      </c>
      <c r="AF1123" s="55" t="n">
        <f aca="false">AD1123+ROW()*0.000000001</f>
        <v>-2.6578713858398</v>
      </c>
      <c r="AG1123" s="55" t="n">
        <f aca="false">AE1123+ROW()*0.000000001</f>
        <v>45.3110117224152</v>
      </c>
    </row>
    <row r="1124" customFormat="false" ht="15" hidden="false" customHeight="false" outlineLevel="0" collapsed="false">
      <c r="A1124" s="0" t="n">
        <v>1</v>
      </c>
      <c r="B1124" s="0" t="n">
        <v>4</v>
      </c>
      <c r="C1124" s="0" t="n">
        <v>7</v>
      </c>
      <c r="D1124" s="0" t="n">
        <v>3</v>
      </c>
      <c r="E1124" s="0" t="n">
        <f aca="false">-1+A1124*0.25</f>
        <v>-0.75</v>
      </c>
      <c r="F1124" s="0" t="n">
        <f aca="false">-1+B1124*0.25</f>
        <v>0</v>
      </c>
      <c r="G1124" s="0" t="n">
        <f aca="false">-1+C1124*0.25</f>
        <v>0.75</v>
      </c>
      <c r="H1124" s="0" t="n">
        <f aca="false">-1+D1124*0.25</f>
        <v>-0.25</v>
      </c>
      <c r="I1124" s="0" t="n">
        <f aca="false">1</f>
        <v>1</v>
      </c>
      <c r="J1124" s="0" t="n">
        <f aca="false">E1124</f>
        <v>-0.75</v>
      </c>
      <c r="K1124" s="0" t="n">
        <f aca="false">F1124</f>
        <v>0</v>
      </c>
      <c r="L1124" s="0" t="n">
        <f aca="false">G1124</f>
        <v>0.75</v>
      </c>
      <c r="M1124" s="0" t="n">
        <f aca="false">H1124</f>
        <v>-0.25</v>
      </c>
      <c r="N1124" s="0" t="n">
        <f aca="false">E1124*F1124</f>
        <v>-0</v>
      </c>
      <c r="O1124" s="0" t="n">
        <f aca="false">E1124*G1124</f>
        <v>-0.5625</v>
      </c>
      <c r="P1124" s="0" t="n">
        <f aca="false">E1124*H1124</f>
        <v>0.1875</v>
      </c>
      <c r="Q1124" s="0" t="n">
        <f aca="false">F1124*G1124</f>
        <v>0</v>
      </c>
      <c r="R1124" s="0" t="n">
        <f aca="false">F1124*H1124</f>
        <v>-0</v>
      </c>
      <c r="S1124" s="0" t="n">
        <f aca="false">G1124*H1124</f>
        <v>-0.1875</v>
      </c>
      <c r="T1124" s="0" t="n">
        <f aca="false">E1124*E1124</f>
        <v>0.5625</v>
      </c>
      <c r="U1124" s="0" t="n">
        <f aca="false">F1124*F1124</f>
        <v>0</v>
      </c>
      <c r="V1124" s="0" t="n">
        <f aca="false">G1124*G1124</f>
        <v>0.5625</v>
      </c>
      <c r="W1124" s="0" t="n">
        <f aca="false">H1124*H1124</f>
        <v>0.0625</v>
      </c>
      <c r="X1124" s="0" t="n">
        <f aca="false">SUMPRODUCT(I1124:W1124,_XtX!$B$96:$P$96)</f>
        <v>45.5145787646199</v>
      </c>
      <c r="Y1124" s="0" t="n">
        <f aca="false">SUMPRODUCT(MMULT(I1124:W1124,_XtX!$B$78:$P$92),I1124:W1124)</f>
        <v>0.281685455500731</v>
      </c>
      <c r="Z1124" s="0" t="n">
        <f aca="false">04_回帰ANOVA!$K$19*04_回帰ANOVA!$K$14*SQRT(1+Y1124)</f>
        <v>1.47566956658694</v>
      </c>
      <c r="AA1124" s="0" t="n">
        <f aca="false">X1124-Z1124</f>
        <v>44.0389091980329</v>
      </c>
      <c r="AB1124" s="0" t="n">
        <f aca="false">X1124+Z1124</f>
        <v>46.9902483312068</v>
      </c>
      <c r="AC1124" s="54" t="b">
        <f aca="false">AND(E1124&gt;=01_因子設定!$L$5-0.000000001,E1124&lt;=01_因子設定!$M$5+0.000000001,F1124&gt;=01_因子設定!$L$6-0.000000001,F1124&lt;=01_因子設定!$M$6+0.000000001,G1124&gt;=01_因子設定!$L$7-0.000000001,G1124&lt;=01_因子設定!$M$7+0.000000001,H1124&gt;=01_因子設定!$L$8-0.000000001,H1124&lt;=01_因子設定!$M$8+0.000000001,IF(01_因子設定!$B$20="Box-Behnken",E1124^2+F1124^2+G1124^2+H1124^2&lt;=2+0.000000001,TRUE()))</f>
        <v>1</v>
      </c>
      <c r="AD1124" s="55" t="n">
        <f aca="false">IF(AC1124,IF(01_因子設定!$B$13="最大化",AA1124-01_因子設定!$B$14,IF(01_因子設定!$B$13="最小化",01_因子設定!$B$15-AB1124,MIN(AA1124-01_因子設定!$B$14,01_因子設定!$B$15-AB1124))),-1E+030)</f>
        <v>-2.46109080196706</v>
      </c>
      <c r="AE1124" s="55" t="n">
        <f aca="false">IF(AC1124,IF(01_因子設定!$B$13="最大化",X1124,IF(01_因子設定!$B$13="最小化",-X1124,-ABS(X1124-01_因子設定!$B$16))),-1E+030)</f>
        <v>45.5145787646199</v>
      </c>
      <c r="AF1124" s="55" t="n">
        <f aca="false">AD1124+ROW()*0.000000001</f>
        <v>-2.46108967796706</v>
      </c>
      <c r="AG1124" s="55" t="n">
        <f aca="false">AE1124+ROW()*0.000000001</f>
        <v>45.5145798886199</v>
      </c>
    </row>
    <row r="1125" customFormat="false" ht="15" hidden="false" customHeight="false" outlineLevel="0" collapsed="false">
      <c r="A1125" s="0" t="n">
        <v>1</v>
      </c>
      <c r="B1125" s="0" t="n">
        <v>4</v>
      </c>
      <c r="C1125" s="0" t="n">
        <v>7</v>
      </c>
      <c r="D1125" s="0" t="n">
        <v>4</v>
      </c>
      <c r="E1125" s="0" t="n">
        <f aca="false">-1+A1125*0.25</f>
        <v>-0.75</v>
      </c>
      <c r="F1125" s="0" t="n">
        <f aca="false">-1+B1125*0.25</f>
        <v>0</v>
      </c>
      <c r="G1125" s="0" t="n">
        <f aca="false">-1+C1125*0.25</f>
        <v>0.75</v>
      </c>
      <c r="H1125" s="0" t="n">
        <f aca="false">-1+D1125*0.25</f>
        <v>0</v>
      </c>
      <c r="I1125" s="0" t="n">
        <f aca="false">1</f>
        <v>1</v>
      </c>
      <c r="J1125" s="0" t="n">
        <f aca="false">E1125</f>
        <v>-0.75</v>
      </c>
      <c r="K1125" s="0" t="n">
        <f aca="false">F1125</f>
        <v>0</v>
      </c>
      <c r="L1125" s="0" t="n">
        <f aca="false">G1125</f>
        <v>0.75</v>
      </c>
      <c r="M1125" s="0" t="n">
        <f aca="false">H1125</f>
        <v>0</v>
      </c>
      <c r="N1125" s="0" t="n">
        <f aca="false">E1125*F1125</f>
        <v>-0</v>
      </c>
      <c r="O1125" s="0" t="n">
        <f aca="false">E1125*G1125</f>
        <v>-0.5625</v>
      </c>
      <c r="P1125" s="0" t="n">
        <f aca="false">E1125*H1125</f>
        <v>-0</v>
      </c>
      <c r="Q1125" s="0" t="n">
        <f aca="false">F1125*G1125</f>
        <v>0</v>
      </c>
      <c r="R1125" s="0" t="n">
        <f aca="false">F1125*H1125</f>
        <v>0</v>
      </c>
      <c r="S1125" s="0" t="n">
        <f aca="false">G1125*H1125</f>
        <v>0</v>
      </c>
      <c r="T1125" s="0" t="n">
        <f aca="false">E1125*E1125</f>
        <v>0.5625</v>
      </c>
      <c r="U1125" s="0" t="n">
        <f aca="false">F1125*F1125</f>
        <v>0</v>
      </c>
      <c r="V1125" s="0" t="n">
        <f aca="false">G1125*G1125</f>
        <v>0.5625</v>
      </c>
      <c r="W1125" s="0" t="n">
        <f aca="false">H1125*H1125</f>
        <v>0</v>
      </c>
      <c r="X1125" s="0" t="n">
        <f aca="false">SUMPRODUCT(I1125:W1125,_XtX!$B$96:$P$96)</f>
        <v>45.6703399122807</v>
      </c>
      <c r="Y1125" s="0" t="n">
        <f aca="false">SUMPRODUCT(MMULT(I1125:W1125,_XtX!$B$78:$P$92),I1125:W1125)</f>
        <v>0.291636684484649</v>
      </c>
      <c r="Z1125" s="0" t="n">
        <f aca="false">04_回帰ANOVA!$K$19*04_回帰ANOVA!$K$14*SQRT(1+Y1125)</f>
        <v>1.48138716762813</v>
      </c>
      <c r="AA1125" s="0" t="n">
        <f aca="false">X1125-Z1125</f>
        <v>44.1889527446526</v>
      </c>
      <c r="AB1125" s="0" t="n">
        <f aca="false">X1125+Z1125</f>
        <v>47.1517270799088</v>
      </c>
      <c r="AC1125" s="54" t="b">
        <f aca="false">AND(E1125&gt;=01_因子設定!$L$5-0.000000001,E1125&lt;=01_因子設定!$M$5+0.000000001,F1125&gt;=01_因子設定!$L$6-0.000000001,F1125&lt;=01_因子設定!$M$6+0.000000001,G1125&gt;=01_因子設定!$L$7-0.000000001,G1125&lt;=01_因子設定!$M$7+0.000000001,H1125&gt;=01_因子設定!$L$8-0.000000001,H1125&lt;=01_因子設定!$M$8+0.000000001,IF(01_因子設定!$B$20="Box-Behnken",E1125^2+F1125^2+G1125^2+H1125^2&lt;=2+0.000000001,TRUE()))</f>
        <v>1</v>
      </c>
      <c r="AD1125" s="55" t="n">
        <f aca="false">IF(AC1125,IF(01_因子設定!$B$13="最大化",AA1125-01_因子設定!$B$14,IF(01_因子設定!$B$13="最小化",01_因子設定!$B$15-AB1125,MIN(AA1125-01_因子設定!$B$14,01_因子設定!$B$15-AB1125))),-1E+030)</f>
        <v>-2.31104725534744</v>
      </c>
      <c r="AE1125" s="55" t="n">
        <f aca="false">IF(AC1125,IF(01_因子設定!$B$13="最大化",X1125,IF(01_因子設定!$B$13="最小化",-X1125,-ABS(X1125-01_因子設定!$B$16))),-1E+030)</f>
        <v>45.6703399122807</v>
      </c>
      <c r="AF1125" s="55" t="n">
        <f aca="false">AD1125+ROW()*0.000000001</f>
        <v>-2.31104613034744</v>
      </c>
      <c r="AG1125" s="55" t="n">
        <f aca="false">AE1125+ROW()*0.000000001</f>
        <v>45.6703410372807</v>
      </c>
    </row>
    <row r="1126" customFormat="false" ht="15" hidden="false" customHeight="false" outlineLevel="0" collapsed="false">
      <c r="A1126" s="0" t="n">
        <v>1</v>
      </c>
      <c r="B1126" s="0" t="n">
        <v>4</v>
      </c>
      <c r="C1126" s="0" t="n">
        <v>7</v>
      </c>
      <c r="D1126" s="0" t="n">
        <v>5</v>
      </c>
      <c r="E1126" s="0" t="n">
        <f aca="false">-1+A1126*0.25</f>
        <v>-0.75</v>
      </c>
      <c r="F1126" s="0" t="n">
        <f aca="false">-1+B1126*0.25</f>
        <v>0</v>
      </c>
      <c r="G1126" s="0" t="n">
        <f aca="false">-1+C1126*0.25</f>
        <v>0.75</v>
      </c>
      <c r="H1126" s="0" t="n">
        <f aca="false">-1+D1126*0.25</f>
        <v>0.25</v>
      </c>
      <c r="I1126" s="0" t="n">
        <f aca="false">1</f>
        <v>1</v>
      </c>
      <c r="J1126" s="0" t="n">
        <f aca="false">E1126</f>
        <v>-0.75</v>
      </c>
      <c r="K1126" s="0" t="n">
        <f aca="false">F1126</f>
        <v>0</v>
      </c>
      <c r="L1126" s="0" t="n">
        <f aca="false">G1126</f>
        <v>0.75</v>
      </c>
      <c r="M1126" s="0" t="n">
        <f aca="false">H1126</f>
        <v>0.25</v>
      </c>
      <c r="N1126" s="0" t="n">
        <f aca="false">E1126*F1126</f>
        <v>-0</v>
      </c>
      <c r="O1126" s="0" t="n">
        <f aca="false">E1126*G1126</f>
        <v>-0.5625</v>
      </c>
      <c r="P1126" s="0" t="n">
        <f aca="false">E1126*H1126</f>
        <v>-0.1875</v>
      </c>
      <c r="Q1126" s="0" t="n">
        <f aca="false">F1126*G1126</f>
        <v>0</v>
      </c>
      <c r="R1126" s="0" t="n">
        <f aca="false">F1126*H1126</f>
        <v>0</v>
      </c>
      <c r="S1126" s="0" t="n">
        <f aca="false">G1126*H1126</f>
        <v>0.1875</v>
      </c>
      <c r="T1126" s="0" t="n">
        <f aca="false">E1126*E1126</f>
        <v>0.5625</v>
      </c>
      <c r="U1126" s="0" t="n">
        <f aca="false">F1126*F1126</f>
        <v>0</v>
      </c>
      <c r="V1126" s="0" t="n">
        <f aca="false">G1126*G1126</f>
        <v>0.5625</v>
      </c>
      <c r="W1126" s="0" t="n">
        <f aca="false">H1126*H1126</f>
        <v>0.0625</v>
      </c>
      <c r="X1126" s="0" t="n">
        <f aca="false">SUMPRODUCT(I1126:W1126,_XtX!$B$96:$P$96)</f>
        <v>45.7782940423977</v>
      </c>
      <c r="Y1126" s="0" t="n">
        <f aca="false">SUMPRODUCT(MMULT(I1126:W1126,_XtX!$B$78:$P$92),I1126:W1126)</f>
        <v>0.281685455500731</v>
      </c>
      <c r="Z1126" s="0" t="n">
        <f aca="false">04_回帰ANOVA!$K$19*04_回帰ANOVA!$K$14*SQRT(1+Y1126)</f>
        <v>1.47566956658694</v>
      </c>
      <c r="AA1126" s="0" t="n">
        <f aca="false">X1126-Z1126</f>
        <v>44.3026244758107</v>
      </c>
      <c r="AB1126" s="0" t="n">
        <f aca="false">X1126+Z1126</f>
        <v>47.2539636089846</v>
      </c>
      <c r="AC1126" s="54" t="b">
        <f aca="false">AND(E1126&gt;=01_因子設定!$L$5-0.000000001,E1126&lt;=01_因子設定!$M$5+0.000000001,F1126&gt;=01_因子設定!$L$6-0.000000001,F1126&lt;=01_因子設定!$M$6+0.000000001,G1126&gt;=01_因子設定!$L$7-0.000000001,G1126&lt;=01_因子設定!$M$7+0.000000001,H1126&gt;=01_因子設定!$L$8-0.000000001,H1126&lt;=01_因子設定!$M$8+0.000000001,IF(01_因子設定!$B$20="Box-Behnken",E1126^2+F1126^2+G1126^2+H1126^2&lt;=2+0.000000001,TRUE()))</f>
        <v>1</v>
      </c>
      <c r="AD1126" s="55" t="n">
        <f aca="false">IF(AC1126,IF(01_因子設定!$B$13="最大化",AA1126-01_因子設定!$B$14,IF(01_因子設定!$B$13="最小化",01_因子設定!$B$15-AB1126,MIN(AA1126-01_因子設定!$B$14,01_因子設定!$B$15-AB1126))),-1E+030)</f>
        <v>-2.19737552418928</v>
      </c>
      <c r="AE1126" s="55" t="n">
        <f aca="false">IF(AC1126,IF(01_因子設定!$B$13="最大化",X1126,IF(01_因子設定!$B$13="最小化",-X1126,-ABS(X1126-01_因子設定!$B$16))),-1E+030)</f>
        <v>45.7782940423977</v>
      </c>
      <c r="AF1126" s="55" t="n">
        <f aca="false">AD1126+ROW()*0.000000001</f>
        <v>-2.19737439818928</v>
      </c>
      <c r="AG1126" s="55" t="n">
        <f aca="false">AE1126+ROW()*0.000000001</f>
        <v>45.7782951683977</v>
      </c>
    </row>
    <row r="1127" customFormat="false" ht="15" hidden="false" customHeight="false" outlineLevel="0" collapsed="false">
      <c r="A1127" s="0" t="n">
        <v>1</v>
      </c>
      <c r="B1127" s="0" t="n">
        <v>4</v>
      </c>
      <c r="C1127" s="0" t="n">
        <v>7</v>
      </c>
      <c r="D1127" s="0" t="n">
        <v>6</v>
      </c>
      <c r="E1127" s="0" t="n">
        <f aca="false">-1+A1127*0.25</f>
        <v>-0.75</v>
      </c>
      <c r="F1127" s="0" t="n">
        <f aca="false">-1+B1127*0.25</f>
        <v>0</v>
      </c>
      <c r="G1127" s="0" t="n">
        <f aca="false">-1+C1127*0.25</f>
        <v>0.75</v>
      </c>
      <c r="H1127" s="0" t="n">
        <f aca="false">-1+D1127*0.25</f>
        <v>0.5</v>
      </c>
      <c r="I1127" s="0" t="n">
        <f aca="false">1</f>
        <v>1</v>
      </c>
      <c r="J1127" s="0" t="n">
        <f aca="false">E1127</f>
        <v>-0.75</v>
      </c>
      <c r="K1127" s="0" t="n">
        <f aca="false">F1127</f>
        <v>0</v>
      </c>
      <c r="L1127" s="0" t="n">
        <f aca="false">G1127</f>
        <v>0.75</v>
      </c>
      <c r="M1127" s="0" t="n">
        <f aca="false">H1127</f>
        <v>0.5</v>
      </c>
      <c r="N1127" s="0" t="n">
        <f aca="false">E1127*F1127</f>
        <v>-0</v>
      </c>
      <c r="O1127" s="0" t="n">
        <f aca="false">E1127*G1127</f>
        <v>-0.5625</v>
      </c>
      <c r="P1127" s="0" t="n">
        <f aca="false">E1127*H1127</f>
        <v>-0.375</v>
      </c>
      <c r="Q1127" s="0" t="n">
        <f aca="false">F1127*G1127</f>
        <v>0</v>
      </c>
      <c r="R1127" s="0" t="n">
        <f aca="false">F1127*H1127</f>
        <v>0</v>
      </c>
      <c r="S1127" s="0" t="n">
        <f aca="false">G1127*H1127</f>
        <v>0.375</v>
      </c>
      <c r="T1127" s="0" t="n">
        <f aca="false">E1127*E1127</f>
        <v>0.5625</v>
      </c>
      <c r="U1127" s="0" t="n">
        <f aca="false">F1127*F1127</f>
        <v>0</v>
      </c>
      <c r="V1127" s="0" t="n">
        <f aca="false">G1127*G1127</f>
        <v>0.5625</v>
      </c>
      <c r="W1127" s="0" t="n">
        <f aca="false">H1127*H1127</f>
        <v>0.25</v>
      </c>
      <c r="X1127" s="0" t="n">
        <f aca="false">SUMPRODUCT(I1127:W1127,_XtX!$B$96:$P$96)</f>
        <v>45.8384411549708</v>
      </c>
      <c r="Y1127" s="0" t="n">
        <f aca="false">SUMPRODUCT(MMULT(I1127:W1127,_XtX!$B$78:$P$92),I1127:W1127)</f>
        <v>0.269923873812135</v>
      </c>
      <c r="Z1127" s="0" t="n">
        <f aca="false">04_回帰ANOVA!$K$19*04_回帰ANOVA!$K$14*SQRT(1+Y1127)</f>
        <v>1.46888310825501</v>
      </c>
      <c r="AA1127" s="0" t="n">
        <f aca="false">X1127-Z1127</f>
        <v>44.3695580467158</v>
      </c>
      <c r="AB1127" s="0" t="n">
        <f aca="false">X1127+Z1127</f>
        <v>47.3073242632258</v>
      </c>
      <c r="AC1127" s="54" t="b">
        <f aca="false">AND(E1127&gt;=01_因子設定!$L$5-0.000000001,E1127&lt;=01_因子設定!$M$5+0.000000001,F1127&gt;=01_因子設定!$L$6-0.000000001,F1127&lt;=01_因子設定!$M$6+0.000000001,G1127&gt;=01_因子設定!$L$7-0.000000001,G1127&lt;=01_因子設定!$M$7+0.000000001,H1127&gt;=01_因子設定!$L$8-0.000000001,H1127&lt;=01_因子設定!$M$8+0.000000001,IF(01_因子設定!$B$20="Box-Behnken",E1127^2+F1127^2+G1127^2+H1127^2&lt;=2+0.000000001,TRUE()))</f>
        <v>1</v>
      </c>
      <c r="AD1127" s="55" t="n">
        <f aca="false">IF(AC1127,IF(01_因子設定!$B$13="最大化",AA1127-01_因子設定!$B$14,IF(01_因子設定!$B$13="最小化",01_因子設定!$B$15-AB1127,MIN(AA1127-01_因子設定!$B$14,01_因子設定!$B$15-AB1127))),-1E+030)</f>
        <v>-2.13044195328425</v>
      </c>
      <c r="AE1127" s="55" t="n">
        <f aca="false">IF(AC1127,IF(01_因子設定!$B$13="最大化",X1127,IF(01_因子設定!$B$13="最小化",-X1127,-ABS(X1127-01_因子設定!$B$16))),-1E+030)</f>
        <v>45.8384411549708</v>
      </c>
      <c r="AF1127" s="55" t="n">
        <f aca="false">AD1127+ROW()*0.000000001</f>
        <v>-2.13044082628425</v>
      </c>
      <c r="AG1127" s="55" t="n">
        <f aca="false">AE1127+ROW()*0.000000001</f>
        <v>45.8384422819708</v>
      </c>
    </row>
    <row r="1128" customFormat="false" ht="15" hidden="false" customHeight="false" outlineLevel="0" collapsed="false">
      <c r="A1128" s="0" t="n">
        <v>1</v>
      </c>
      <c r="B1128" s="0" t="n">
        <v>4</v>
      </c>
      <c r="C1128" s="0" t="n">
        <v>7</v>
      </c>
      <c r="D1128" s="0" t="n">
        <v>7</v>
      </c>
      <c r="E1128" s="0" t="n">
        <f aca="false">-1+A1128*0.25</f>
        <v>-0.75</v>
      </c>
      <c r="F1128" s="0" t="n">
        <f aca="false">-1+B1128*0.25</f>
        <v>0</v>
      </c>
      <c r="G1128" s="0" t="n">
        <f aca="false">-1+C1128*0.25</f>
        <v>0.75</v>
      </c>
      <c r="H1128" s="0" t="n">
        <f aca="false">-1+D1128*0.25</f>
        <v>0.75</v>
      </c>
      <c r="I1128" s="0" t="n">
        <f aca="false">1</f>
        <v>1</v>
      </c>
      <c r="J1128" s="0" t="n">
        <f aca="false">E1128</f>
        <v>-0.75</v>
      </c>
      <c r="K1128" s="0" t="n">
        <f aca="false">F1128</f>
        <v>0</v>
      </c>
      <c r="L1128" s="0" t="n">
        <f aca="false">G1128</f>
        <v>0.75</v>
      </c>
      <c r="M1128" s="0" t="n">
        <f aca="false">H1128</f>
        <v>0.75</v>
      </c>
      <c r="N1128" s="0" t="n">
        <f aca="false">E1128*F1128</f>
        <v>-0</v>
      </c>
      <c r="O1128" s="0" t="n">
        <f aca="false">E1128*G1128</f>
        <v>-0.5625</v>
      </c>
      <c r="P1128" s="0" t="n">
        <f aca="false">E1128*H1128</f>
        <v>-0.5625</v>
      </c>
      <c r="Q1128" s="0" t="n">
        <f aca="false">F1128*G1128</f>
        <v>0</v>
      </c>
      <c r="R1128" s="0" t="n">
        <f aca="false">F1128*H1128</f>
        <v>0</v>
      </c>
      <c r="S1128" s="0" t="n">
        <f aca="false">G1128*H1128</f>
        <v>0.5625</v>
      </c>
      <c r="T1128" s="0" t="n">
        <f aca="false">E1128*E1128</f>
        <v>0.5625</v>
      </c>
      <c r="U1128" s="0" t="n">
        <f aca="false">F1128*F1128</f>
        <v>0</v>
      </c>
      <c r="V1128" s="0" t="n">
        <f aca="false">G1128*G1128</f>
        <v>0.5625</v>
      </c>
      <c r="W1128" s="0" t="n">
        <f aca="false">H1128*H1128</f>
        <v>0.5625</v>
      </c>
      <c r="X1128" s="0" t="n">
        <f aca="false">SUMPRODUCT(I1128:W1128,_XtX!$B$96:$P$96)</f>
        <v>45.85078125</v>
      </c>
      <c r="Y1128" s="0" t="n">
        <f aca="false">SUMPRODUCT(MMULT(I1128:W1128,_XtX!$B$78:$P$92),I1128:W1128)</f>
        <v>0.310628255208333</v>
      </c>
      <c r="Z1128" s="0" t="n">
        <f aca="false">04_回帰ANOVA!$K$19*04_回帰ANOVA!$K$14*SQRT(1+Y1128)</f>
        <v>1.49223820892344</v>
      </c>
      <c r="AA1128" s="0" t="n">
        <f aca="false">X1128-Z1128</f>
        <v>44.3585430410766</v>
      </c>
      <c r="AB1128" s="0" t="n">
        <f aca="false">X1128+Z1128</f>
        <v>47.3430194589235</v>
      </c>
      <c r="AC1128" s="54" t="b">
        <f aca="false">AND(E1128&gt;=01_因子設定!$L$5-0.000000001,E1128&lt;=01_因子設定!$M$5+0.000000001,F1128&gt;=01_因子設定!$L$6-0.000000001,F1128&lt;=01_因子設定!$M$6+0.000000001,G1128&gt;=01_因子設定!$L$7-0.000000001,G1128&lt;=01_因子設定!$M$7+0.000000001,H1128&gt;=01_因子設定!$L$8-0.000000001,H1128&lt;=01_因子設定!$M$8+0.000000001,IF(01_因子設定!$B$20="Box-Behnken",E1128^2+F1128^2+G1128^2+H1128^2&lt;=2+0.000000001,TRUE()))</f>
        <v>1</v>
      </c>
      <c r="AD1128" s="55" t="n">
        <f aca="false">IF(AC1128,IF(01_因子設定!$B$13="最大化",AA1128-01_因子設定!$B$14,IF(01_因子設定!$B$13="最小化",01_因子設定!$B$15-AB1128,MIN(AA1128-01_因子設定!$B$14,01_因子設定!$B$15-AB1128))),-1E+030)</f>
        <v>-2.14145695892343</v>
      </c>
      <c r="AE1128" s="55" t="n">
        <f aca="false">IF(AC1128,IF(01_因子設定!$B$13="最大化",X1128,IF(01_因子設定!$B$13="最小化",-X1128,-ABS(X1128-01_因子設定!$B$16))),-1E+030)</f>
        <v>45.85078125</v>
      </c>
      <c r="AF1128" s="55" t="n">
        <f aca="false">AD1128+ROW()*0.000000001</f>
        <v>-2.14145583092343</v>
      </c>
      <c r="AG1128" s="55" t="n">
        <f aca="false">AE1128+ROW()*0.000000001</f>
        <v>45.850782378</v>
      </c>
    </row>
    <row r="1129" customFormat="false" ht="15" hidden="false" customHeight="false" outlineLevel="0" collapsed="false">
      <c r="A1129" s="0" t="n">
        <v>1</v>
      </c>
      <c r="B1129" s="0" t="n">
        <v>4</v>
      </c>
      <c r="C1129" s="0" t="n">
        <v>7</v>
      </c>
      <c r="D1129" s="0" t="n">
        <v>8</v>
      </c>
      <c r="E1129" s="0" t="n">
        <f aca="false">-1+A1129*0.25</f>
        <v>-0.75</v>
      </c>
      <c r="F1129" s="0" t="n">
        <f aca="false">-1+B1129*0.25</f>
        <v>0</v>
      </c>
      <c r="G1129" s="0" t="n">
        <f aca="false">-1+C1129*0.25</f>
        <v>0.75</v>
      </c>
      <c r="H1129" s="0" t="n">
        <f aca="false">-1+D1129*0.25</f>
        <v>1</v>
      </c>
      <c r="I1129" s="0" t="n">
        <f aca="false">1</f>
        <v>1</v>
      </c>
      <c r="J1129" s="0" t="n">
        <f aca="false">E1129</f>
        <v>-0.75</v>
      </c>
      <c r="K1129" s="0" t="n">
        <f aca="false">F1129</f>
        <v>0</v>
      </c>
      <c r="L1129" s="0" t="n">
        <f aca="false">G1129</f>
        <v>0.75</v>
      </c>
      <c r="M1129" s="0" t="n">
        <f aca="false">H1129</f>
        <v>1</v>
      </c>
      <c r="N1129" s="0" t="n">
        <f aca="false">E1129*F1129</f>
        <v>-0</v>
      </c>
      <c r="O1129" s="0" t="n">
        <f aca="false">E1129*G1129</f>
        <v>-0.5625</v>
      </c>
      <c r="P1129" s="0" t="n">
        <f aca="false">E1129*H1129</f>
        <v>-0.75</v>
      </c>
      <c r="Q1129" s="0" t="n">
        <f aca="false">F1129*G1129</f>
        <v>0</v>
      </c>
      <c r="R1129" s="0" t="n">
        <f aca="false">F1129*H1129</f>
        <v>0</v>
      </c>
      <c r="S1129" s="0" t="n">
        <f aca="false">G1129*H1129</f>
        <v>0.75</v>
      </c>
      <c r="T1129" s="0" t="n">
        <f aca="false">E1129*E1129</f>
        <v>0.5625</v>
      </c>
      <c r="U1129" s="0" t="n">
        <f aca="false">F1129*F1129</f>
        <v>0</v>
      </c>
      <c r="V1129" s="0" t="n">
        <f aca="false">G1129*G1129</f>
        <v>0.5625</v>
      </c>
      <c r="W1129" s="0" t="n">
        <f aca="false">H1129*H1129</f>
        <v>1</v>
      </c>
      <c r="X1129" s="0" t="n">
        <f aca="false">SUMPRODUCT(I1129:W1129,_XtX!$B$96:$P$96)</f>
        <v>45.8153143274854</v>
      </c>
      <c r="Y1129" s="0" t="n">
        <f aca="false">SUMPRODUCT(MMULT(I1129:W1129,_XtX!$B$78:$P$92),I1129:W1129)</f>
        <v>0.494259126005117</v>
      </c>
      <c r="Z1129" s="0" t="n">
        <f aca="false">04_回帰ANOVA!$K$19*04_回帰ANOVA!$K$14*SQRT(1+Y1129)</f>
        <v>1.59335061078203</v>
      </c>
      <c r="AA1129" s="0" t="n">
        <f aca="false">X1129-Z1129</f>
        <v>44.2219637167034</v>
      </c>
      <c r="AB1129" s="0" t="n">
        <f aca="false">X1129+Z1129</f>
        <v>47.4086649382674</v>
      </c>
      <c r="AC1129" s="54" t="b">
        <f aca="false">AND(E1129&gt;=01_因子設定!$L$5-0.000000001,E1129&lt;=01_因子設定!$M$5+0.000000001,F1129&gt;=01_因子設定!$L$6-0.000000001,F1129&lt;=01_因子設定!$M$6+0.000000001,G1129&gt;=01_因子設定!$L$7-0.000000001,G1129&lt;=01_因子設定!$M$7+0.000000001,H1129&gt;=01_因子設定!$L$8-0.000000001,H1129&lt;=01_因子設定!$M$8+0.000000001,IF(01_因子設定!$B$20="Box-Behnken",E1129^2+F1129^2+G1129^2+H1129^2&lt;=2+0.000000001,TRUE()))</f>
        <v>1</v>
      </c>
      <c r="AD1129" s="55" t="n">
        <f aca="false">IF(AC1129,IF(01_因子設定!$B$13="最大化",AA1129-01_因子設定!$B$14,IF(01_因子設定!$B$13="最小化",01_因子設定!$B$15-AB1129,MIN(AA1129-01_因子設定!$B$14,01_因子設定!$B$15-AB1129))),-1E+030)</f>
        <v>-2.27803628329662</v>
      </c>
      <c r="AE1129" s="55" t="n">
        <f aca="false">IF(AC1129,IF(01_因子設定!$B$13="最大化",X1129,IF(01_因子設定!$B$13="最小化",-X1129,-ABS(X1129-01_因子設定!$B$16))),-1E+030)</f>
        <v>45.8153143274854</v>
      </c>
      <c r="AF1129" s="55" t="n">
        <f aca="false">AD1129+ROW()*0.000000001</f>
        <v>-2.27803515429662</v>
      </c>
      <c r="AG1129" s="55" t="n">
        <f aca="false">AE1129+ROW()*0.000000001</f>
        <v>45.8153154564854</v>
      </c>
    </row>
    <row r="1130" customFormat="false" ht="15" hidden="false" customHeight="false" outlineLevel="0" collapsed="false">
      <c r="A1130" s="0" t="n">
        <v>1</v>
      </c>
      <c r="B1130" s="0" t="n">
        <v>4</v>
      </c>
      <c r="C1130" s="0" t="n">
        <v>8</v>
      </c>
      <c r="D1130" s="0" t="n">
        <v>0</v>
      </c>
      <c r="E1130" s="0" t="n">
        <f aca="false">-1+A1130*0.25</f>
        <v>-0.75</v>
      </c>
      <c r="F1130" s="0" t="n">
        <f aca="false">-1+B1130*0.25</f>
        <v>0</v>
      </c>
      <c r="G1130" s="0" t="n">
        <f aca="false">-1+C1130*0.25</f>
        <v>1</v>
      </c>
      <c r="H1130" s="0" t="n">
        <f aca="false">-1+D1130*0.25</f>
        <v>-1</v>
      </c>
      <c r="I1130" s="0" t="n">
        <f aca="false">1</f>
        <v>1</v>
      </c>
      <c r="J1130" s="0" t="n">
        <f aca="false">E1130</f>
        <v>-0.75</v>
      </c>
      <c r="K1130" s="0" t="n">
        <f aca="false">F1130</f>
        <v>0</v>
      </c>
      <c r="L1130" s="0" t="n">
        <f aca="false">G1130</f>
        <v>1</v>
      </c>
      <c r="M1130" s="0" t="n">
        <f aca="false">H1130</f>
        <v>-1</v>
      </c>
      <c r="N1130" s="0" t="n">
        <f aca="false">E1130*F1130</f>
        <v>-0</v>
      </c>
      <c r="O1130" s="0" t="n">
        <f aca="false">E1130*G1130</f>
        <v>-0.75</v>
      </c>
      <c r="P1130" s="0" t="n">
        <f aca="false">E1130*H1130</f>
        <v>0.75</v>
      </c>
      <c r="Q1130" s="0" t="n">
        <f aca="false">F1130*G1130</f>
        <v>0</v>
      </c>
      <c r="R1130" s="0" t="n">
        <f aca="false">F1130*H1130</f>
        <v>-0</v>
      </c>
      <c r="S1130" s="0" t="n">
        <f aca="false">G1130*H1130</f>
        <v>-1</v>
      </c>
      <c r="T1130" s="0" t="n">
        <f aca="false">E1130*E1130</f>
        <v>0.5625</v>
      </c>
      <c r="U1130" s="0" t="n">
        <f aca="false">F1130*F1130</f>
        <v>0</v>
      </c>
      <c r="V1130" s="0" t="n">
        <f aca="false">G1130*G1130</f>
        <v>1</v>
      </c>
      <c r="W1130" s="0" t="n">
        <f aca="false">H1130*H1130</f>
        <v>1</v>
      </c>
      <c r="X1130" s="0" t="n">
        <f aca="false">SUMPRODUCT(I1130:W1130,_XtX!$B$96:$P$96)</f>
        <v>44.7577119883041</v>
      </c>
      <c r="Y1130" s="0" t="n">
        <f aca="false">SUMPRODUCT(MMULT(I1130:W1130,_XtX!$B$78:$P$92),I1130:W1130)</f>
        <v>0.646198830409357</v>
      </c>
      <c r="Z1130" s="0" t="n">
        <f aca="false">04_回帰ANOVA!$K$19*04_回帰ANOVA!$K$14*SQRT(1+Y1130)</f>
        <v>1.67239760569756</v>
      </c>
      <c r="AA1130" s="0" t="n">
        <f aca="false">X1130-Z1130</f>
        <v>43.0853143826066</v>
      </c>
      <c r="AB1130" s="0" t="n">
        <f aca="false">X1130+Z1130</f>
        <v>46.4301095940017</v>
      </c>
      <c r="AC1130" s="54" t="b">
        <f aca="false">AND(E1130&gt;=01_因子設定!$L$5-0.000000001,E1130&lt;=01_因子設定!$M$5+0.000000001,F1130&gt;=01_因子設定!$L$6-0.000000001,F1130&lt;=01_因子設定!$M$6+0.000000001,G1130&gt;=01_因子設定!$L$7-0.000000001,G1130&lt;=01_因子設定!$M$7+0.000000001,H1130&gt;=01_因子設定!$L$8-0.000000001,H1130&lt;=01_因子設定!$M$8+0.000000001,IF(01_因子設定!$B$20="Box-Behnken",E1130^2+F1130^2+G1130^2+H1130^2&lt;=2+0.000000001,TRUE()))</f>
        <v>1</v>
      </c>
      <c r="AD1130" s="55" t="n">
        <f aca="false">IF(AC1130,IF(01_因子設定!$B$13="最大化",AA1130-01_因子設定!$B$14,IF(01_因子設定!$B$13="最小化",01_因子設定!$B$15-AB1130,MIN(AA1130-01_因子設定!$B$14,01_因子設定!$B$15-AB1130))),-1E+030)</f>
        <v>-3.41468561739343</v>
      </c>
      <c r="AE1130" s="55" t="n">
        <f aca="false">IF(AC1130,IF(01_因子設定!$B$13="最大化",X1130,IF(01_因子設定!$B$13="最小化",-X1130,-ABS(X1130-01_因子設定!$B$16))),-1E+030)</f>
        <v>44.7577119883041</v>
      </c>
      <c r="AF1130" s="55" t="n">
        <f aca="false">AD1130+ROW()*0.000000001</f>
        <v>-3.41468448739343</v>
      </c>
      <c r="AG1130" s="55" t="n">
        <f aca="false">AE1130+ROW()*0.000000001</f>
        <v>44.7577131183041</v>
      </c>
    </row>
    <row r="1131" customFormat="false" ht="15" hidden="false" customHeight="false" outlineLevel="0" collapsed="false">
      <c r="A1131" s="0" t="n">
        <v>1</v>
      </c>
      <c r="B1131" s="0" t="n">
        <v>4</v>
      </c>
      <c r="C1131" s="0" t="n">
        <v>8</v>
      </c>
      <c r="D1131" s="0" t="n">
        <v>1</v>
      </c>
      <c r="E1131" s="0" t="n">
        <f aca="false">-1+A1131*0.25</f>
        <v>-0.75</v>
      </c>
      <c r="F1131" s="0" t="n">
        <f aca="false">-1+B1131*0.25</f>
        <v>0</v>
      </c>
      <c r="G1131" s="0" t="n">
        <f aca="false">-1+C1131*0.25</f>
        <v>1</v>
      </c>
      <c r="H1131" s="0" t="n">
        <f aca="false">-1+D1131*0.25</f>
        <v>-0.75</v>
      </c>
      <c r="I1131" s="0" t="n">
        <f aca="false">1</f>
        <v>1</v>
      </c>
      <c r="J1131" s="0" t="n">
        <f aca="false">E1131</f>
        <v>-0.75</v>
      </c>
      <c r="K1131" s="0" t="n">
        <f aca="false">F1131</f>
        <v>0</v>
      </c>
      <c r="L1131" s="0" t="n">
        <f aca="false">G1131</f>
        <v>1</v>
      </c>
      <c r="M1131" s="0" t="n">
        <f aca="false">H1131</f>
        <v>-0.75</v>
      </c>
      <c r="N1131" s="0" t="n">
        <f aca="false">E1131*F1131</f>
        <v>-0</v>
      </c>
      <c r="O1131" s="0" t="n">
        <f aca="false">E1131*G1131</f>
        <v>-0.75</v>
      </c>
      <c r="P1131" s="0" t="n">
        <f aca="false">E1131*H1131</f>
        <v>0.5625</v>
      </c>
      <c r="Q1131" s="0" t="n">
        <f aca="false">F1131*G1131</f>
        <v>0</v>
      </c>
      <c r="R1131" s="0" t="n">
        <f aca="false">F1131*H1131</f>
        <v>-0</v>
      </c>
      <c r="S1131" s="0" t="n">
        <f aca="false">G1131*H1131</f>
        <v>-0.75</v>
      </c>
      <c r="T1131" s="0" t="n">
        <f aca="false">E1131*E1131</f>
        <v>0.5625</v>
      </c>
      <c r="U1131" s="0" t="n">
        <f aca="false">F1131*F1131</f>
        <v>0</v>
      </c>
      <c r="V1131" s="0" t="n">
        <f aca="false">G1131*G1131</f>
        <v>1</v>
      </c>
      <c r="W1131" s="0" t="n">
        <f aca="false">H1131*H1131</f>
        <v>0.5625</v>
      </c>
      <c r="X1131" s="0" t="n">
        <f aca="false">SUMPRODUCT(I1131:W1131,_XtX!$B$96:$P$96)</f>
        <v>45.0748629385965</v>
      </c>
      <c r="Y1131" s="0" t="n">
        <f aca="false">SUMPRODUCT(MMULT(I1131:W1131,_XtX!$B$78:$P$92),I1131:W1131)</f>
        <v>0.494259126005117</v>
      </c>
      <c r="Z1131" s="0" t="n">
        <f aca="false">04_回帰ANOVA!$K$19*04_回帰ANOVA!$K$14*SQRT(1+Y1131)</f>
        <v>1.59335061078203</v>
      </c>
      <c r="AA1131" s="0" t="n">
        <f aca="false">X1131-Z1131</f>
        <v>43.4815123278145</v>
      </c>
      <c r="AB1131" s="0" t="n">
        <f aca="false">X1131+Z1131</f>
        <v>46.6682135493785</v>
      </c>
      <c r="AC1131" s="54" t="b">
        <f aca="false">AND(E1131&gt;=01_因子設定!$L$5-0.000000001,E1131&lt;=01_因子設定!$M$5+0.000000001,F1131&gt;=01_因子設定!$L$6-0.000000001,F1131&lt;=01_因子設定!$M$6+0.000000001,G1131&gt;=01_因子設定!$L$7-0.000000001,G1131&lt;=01_因子設定!$M$7+0.000000001,H1131&gt;=01_因子設定!$L$8-0.000000001,H1131&lt;=01_因子設定!$M$8+0.000000001,IF(01_因子設定!$B$20="Box-Behnken",E1131^2+F1131^2+G1131^2+H1131^2&lt;=2+0.000000001,TRUE()))</f>
        <v>1</v>
      </c>
      <c r="AD1131" s="55" t="n">
        <f aca="false">IF(AC1131,IF(01_因子設定!$B$13="最大化",AA1131-01_因子設定!$B$14,IF(01_因子設定!$B$13="最小化",01_因子設定!$B$15-AB1131,MIN(AA1131-01_因子設定!$B$14,01_因子設定!$B$15-AB1131))),-1E+030)</f>
        <v>-3.01848767218552</v>
      </c>
      <c r="AE1131" s="55" t="n">
        <f aca="false">IF(AC1131,IF(01_因子設定!$B$13="最大化",X1131,IF(01_因子設定!$B$13="最小化",-X1131,-ABS(X1131-01_因子設定!$B$16))),-1E+030)</f>
        <v>45.0748629385965</v>
      </c>
      <c r="AF1131" s="55" t="n">
        <f aca="false">AD1131+ROW()*0.000000001</f>
        <v>-3.01848654118552</v>
      </c>
      <c r="AG1131" s="55" t="n">
        <f aca="false">AE1131+ROW()*0.000000001</f>
        <v>45.0748640695965</v>
      </c>
    </row>
    <row r="1132" customFormat="false" ht="15" hidden="false" customHeight="false" outlineLevel="0" collapsed="false">
      <c r="A1132" s="0" t="n">
        <v>1</v>
      </c>
      <c r="B1132" s="0" t="n">
        <v>4</v>
      </c>
      <c r="C1132" s="0" t="n">
        <v>8</v>
      </c>
      <c r="D1132" s="0" t="n">
        <v>2</v>
      </c>
      <c r="E1132" s="0" t="n">
        <f aca="false">-1+A1132*0.25</f>
        <v>-0.75</v>
      </c>
      <c r="F1132" s="0" t="n">
        <f aca="false">-1+B1132*0.25</f>
        <v>0</v>
      </c>
      <c r="G1132" s="0" t="n">
        <f aca="false">-1+C1132*0.25</f>
        <v>1</v>
      </c>
      <c r="H1132" s="0" t="n">
        <f aca="false">-1+D1132*0.25</f>
        <v>-0.5</v>
      </c>
      <c r="I1132" s="0" t="n">
        <f aca="false">1</f>
        <v>1</v>
      </c>
      <c r="J1132" s="0" t="n">
        <f aca="false">E1132</f>
        <v>-0.75</v>
      </c>
      <c r="K1132" s="0" t="n">
        <f aca="false">F1132</f>
        <v>0</v>
      </c>
      <c r="L1132" s="0" t="n">
        <f aca="false">G1132</f>
        <v>1</v>
      </c>
      <c r="M1132" s="0" t="n">
        <f aca="false">H1132</f>
        <v>-0.5</v>
      </c>
      <c r="N1132" s="0" t="n">
        <f aca="false">E1132*F1132</f>
        <v>-0</v>
      </c>
      <c r="O1132" s="0" t="n">
        <f aca="false">E1132*G1132</f>
        <v>-0.75</v>
      </c>
      <c r="P1132" s="0" t="n">
        <f aca="false">E1132*H1132</f>
        <v>0.375</v>
      </c>
      <c r="Q1132" s="0" t="n">
        <f aca="false">F1132*G1132</f>
        <v>0</v>
      </c>
      <c r="R1132" s="0" t="n">
        <f aca="false">F1132*H1132</f>
        <v>-0</v>
      </c>
      <c r="S1132" s="0" t="n">
        <f aca="false">G1132*H1132</f>
        <v>-0.5</v>
      </c>
      <c r="T1132" s="0" t="n">
        <f aca="false">E1132*E1132</f>
        <v>0.5625</v>
      </c>
      <c r="U1132" s="0" t="n">
        <f aca="false">F1132*F1132</f>
        <v>0</v>
      </c>
      <c r="V1132" s="0" t="n">
        <f aca="false">G1132*G1132</f>
        <v>1</v>
      </c>
      <c r="W1132" s="0" t="n">
        <f aca="false">H1132*H1132</f>
        <v>0.25</v>
      </c>
      <c r="X1132" s="0" t="n">
        <f aca="false">SUMPRODUCT(I1132:W1132,_XtX!$B$96:$P$96)</f>
        <v>45.344206871345</v>
      </c>
      <c r="Y1132" s="0" t="n">
        <f aca="false">SUMPRODUCT(MMULT(I1132:W1132,_XtX!$B$78:$P$92),I1132:W1132)</f>
        <v>0.476191292032164</v>
      </c>
      <c r="Z1132" s="0" t="n">
        <f aca="false">04_回帰ANOVA!$K$19*04_回帰ANOVA!$K$14*SQRT(1+Y1132)</f>
        <v>1.58368831471718</v>
      </c>
      <c r="AA1132" s="0" t="n">
        <f aca="false">X1132-Z1132</f>
        <v>43.7605185566279</v>
      </c>
      <c r="AB1132" s="0" t="n">
        <f aca="false">X1132+Z1132</f>
        <v>46.9278951860622</v>
      </c>
      <c r="AC1132" s="54" t="b">
        <f aca="false">AND(E1132&gt;=01_因子設定!$L$5-0.000000001,E1132&lt;=01_因子設定!$M$5+0.000000001,F1132&gt;=01_因子設定!$L$6-0.000000001,F1132&lt;=01_因子設定!$M$6+0.000000001,G1132&gt;=01_因子設定!$L$7-0.000000001,G1132&lt;=01_因子設定!$M$7+0.000000001,H1132&gt;=01_因子設定!$L$8-0.000000001,H1132&lt;=01_因子設定!$M$8+0.000000001,IF(01_因子設定!$B$20="Box-Behnken",E1132^2+F1132^2+G1132^2+H1132^2&lt;=2+0.000000001,TRUE()))</f>
        <v>1</v>
      </c>
      <c r="AD1132" s="55" t="n">
        <f aca="false">IF(AC1132,IF(01_因子設定!$B$13="最大化",AA1132-01_因子設定!$B$14,IF(01_因子設定!$B$13="最小化",01_因子設定!$B$15-AB1132,MIN(AA1132-01_因子設定!$B$14,01_因子設定!$B$15-AB1132))),-1E+030)</f>
        <v>-2.73948144337215</v>
      </c>
      <c r="AE1132" s="55" t="n">
        <f aca="false">IF(AC1132,IF(01_因子設定!$B$13="最大化",X1132,IF(01_因子設定!$B$13="最小化",-X1132,-ABS(X1132-01_因子設定!$B$16))),-1E+030)</f>
        <v>45.344206871345</v>
      </c>
      <c r="AF1132" s="55" t="n">
        <f aca="false">AD1132+ROW()*0.000000001</f>
        <v>-2.73948031137215</v>
      </c>
      <c r="AG1132" s="55" t="n">
        <f aca="false">AE1132+ROW()*0.000000001</f>
        <v>45.344208003345</v>
      </c>
    </row>
    <row r="1133" customFormat="false" ht="15" hidden="false" customHeight="false" outlineLevel="0" collapsed="false">
      <c r="A1133" s="0" t="n">
        <v>1</v>
      </c>
      <c r="B1133" s="0" t="n">
        <v>4</v>
      </c>
      <c r="C1133" s="0" t="n">
        <v>8</v>
      </c>
      <c r="D1133" s="0" t="n">
        <v>3</v>
      </c>
      <c r="E1133" s="0" t="n">
        <f aca="false">-1+A1133*0.25</f>
        <v>-0.75</v>
      </c>
      <c r="F1133" s="0" t="n">
        <f aca="false">-1+B1133*0.25</f>
        <v>0</v>
      </c>
      <c r="G1133" s="0" t="n">
        <f aca="false">-1+C1133*0.25</f>
        <v>1</v>
      </c>
      <c r="H1133" s="0" t="n">
        <f aca="false">-1+D1133*0.25</f>
        <v>-0.25</v>
      </c>
      <c r="I1133" s="0" t="n">
        <f aca="false">1</f>
        <v>1</v>
      </c>
      <c r="J1133" s="0" t="n">
        <f aca="false">E1133</f>
        <v>-0.75</v>
      </c>
      <c r="K1133" s="0" t="n">
        <f aca="false">F1133</f>
        <v>0</v>
      </c>
      <c r="L1133" s="0" t="n">
        <f aca="false">G1133</f>
        <v>1</v>
      </c>
      <c r="M1133" s="0" t="n">
        <f aca="false">H1133</f>
        <v>-0.25</v>
      </c>
      <c r="N1133" s="0" t="n">
        <f aca="false">E1133*F1133</f>
        <v>-0</v>
      </c>
      <c r="O1133" s="0" t="n">
        <f aca="false">E1133*G1133</f>
        <v>-0.75</v>
      </c>
      <c r="P1133" s="0" t="n">
        <f aca="false">E1133*H1133</f>
        <v>0.1875</v>
      </c>
      <c r="Q1133" s="0" t="n">
        <f aca="false">F1133*G1133</f>
        <v>0</v>
      </c>
      <c r="R1133" s="0" t="n">
        <f aca="false">F1133*H1133</f>
        <v>-0</v>
      </c>
      <c r="S1133" s="0" t="n">
        <f aca="false">G1133*H1133</f>
        <v>-0.25</v>
      </c>
      <c r="T1133" s="0" t="n">
        <f aca="false">E1133*E1133</f>
        <v>0.5625</v>
      </c>
      <c r="U1133" s="0" t="n">
        <f aca="false">F1133*F1133</f>
        <v>0</v>
      </c>
      <c r="V1133" s="0" t="n">
        <f aca="false">G1133*G1133</f>
        <v>1</v>
      </c>
      <c r="W1133" s="0" t="n">
        <f aca="false">H1133*H1133</f>
        <v>0.0625</v>
      </c>
      <c r="X1133" s="0" t="n">
        <f aca="false">SUMPRODUCT(I1133:W1133,_XtX!$B$96:$P$96)</f>
        <v>45.5657437865497</v>
      </c>
      <c r="Y1133" s="0" t="n">
        <f aca="false">SUMPRODUCT(MMULT(I1133:W1133,_XtX!$B$78:$P$92),I1133:W1133)</f>
        <v>0.501534802174708</v>
      </c>
      <c r="Z1133" s="0" t="n">
        <f aca="false">04_回帰ANOVA!$K$19*04_回帰ANOVA!$K$14*SQRT(1+Y1133)</f>
        <v>1.59722498091333</v>
      </c>
      <c r="AA1133" s="0" t="n">
        <f aca="false">X1133-Z1133</f>
        <v>43.9685188056364</v>
      </c>
      <c r="AB1133" s="0" t="n">
        <f aca="false">X1133+Z1133</f>
        <v>47.162968767463</v>
      </c>
      <c r="AC1133" s="54" t="b">
        <f aca="false">AND(E1133&gt;=01_因子設定!$L$5-0.000000001,E1133&lt;=01_因子設定!$M$5+0.000000001,F1133&gt;=01_因子設定!$L$6-0.000000001,F1133&lt;=01_因子設定!$M$6+0.000000001,G1133&gt;=01_因子設定!$L$7-0.000000001,G1133&lt;=01_因子設定!$M$7+0.000000001,H1133&gt;=01_因子設定!$L$8-0.000000001,H1133&lt;=01_因子設定!$M$8+0.000000001,IF(01_因子設定!$B$20="Box-Behnken",E1133^2+F1133^2+G1133^2+H1133^2&lt;=2+0.000000001,TRUE()))</f>
        <v>1</v>
      </c>
      <c r="AD1133" s="55" t="n">
        <f aca="false">IF(AC1133,IF(01_因子設定!$B$13="最大化",AA1133-01_因子設定!$B$14,IF(01_因子設定!$B$13="最小化",01_因子設定!$B$15-AB1133,MIN(AA1133-01_因子設定!$B$14,01_因子設定!$B$15-AB1133))),-1E+030)</f>
        <v>-2.53148119436363</v>
      </c>
      <c r="AE1133" s="55" t="n">
        <f aca="false">IF(AC1133,IF(01_因子設定!$B$13="最大化",X1133,IF(01_因子設定!$B$13="最小化",-X1133,-ABS(X1133-01_因子設定!$B$16))),-1E+030)</f>
        <v>45.5657437865497</v>
      </c>
      <c r="AF1133" s="55" t="n">
        <f aca="false">AD1133+ROW()*0.000000001</f>
        <v>-2.53148006136363</v>
      </c>
      <c r="AG1133" s="55" t="n">
        <f aca="false">AE1133+ROW()*0.000000001</f>
        <v>45.5657449195497</v>
      </c>
    </row>
    <row r="1134" customFormat="false" ht="15" hidden="false" customHeight="false" outlineLevel="0" collapsed="false">
      <c r="A1134" s="0" t="n">
        <v>1</v>
      </c>
      <c r="B1134" s="0" t="n">
        <v>4</v>
      </c>
      <c r="C1134" s="0" t="n">
        <v>8</v>
      </c>
      <c r="D1134" s="0" t="n">
        <v>4</v>
      </c>
      <c r="E1134" s="0" t="n">
        <f aca="false">-1+A1134*0.25</f>
        <v>-0.75</v>
      </c>
      <c r="F1134" s="0" t="n">
        <f aca="false">-1+B1134*0.25</f>
        <v>0</v>
      </c>
      <c r="G1134" s="0" t="n">
        <f aca="false">-1+C1134*0.25</f>
        <v>1</v>
      </c>
      <c r="H1134" s="0" t="n">
        <f aca="false">-1+D1134*0.25</f>
        <v>0</v>
      </c>
      <c r="I1134" s="0" t="n">
        <f aca="false">1</f>
        <v>1</v>
      </c>
      <c r="J1134" s="0" t="n">
        <f aca="false">E1134</f>
        <v>-0.75</v>
      </c>
      <c r="K1134" s="0" t="n">
        <f aca="false">F1134</f>
        <v>0</v>
      </c>
      <c r="L1134" s="0" t="n">
        <f aca="false">G1134</f>
        <v>1</v>
      </c>
      <c r="M1134" s="0" t="n">
        <f aca="false">H1134</f>
        <v>0</v>
      </c>
      <c r="N1134" s="0" t="n">
        <f aca="false">E1134*F1134</f>
        <v>-0</v>
      </c>
      <c r="O1134" s="0" t="n">
        <f aca="false">E1134*G1134</f>
        <v>-0.75</v>
      </c>
      <c r="P1134" s="0" t="n">
        <f aca="false">E1134*H1134</f>
        <v>-0</v>
      </c>
      <c r="Q1134" s="0" t="n">
        <f aca="false">F1134*G1134</f>
        <v>0</v>
      </c>
      <c r="R1134" s="0" t="n">
        <f aca="false">F1134*H1134</f>
        <v>0</v>
      </c>
      <c r="S1134" s="0" t="n">
        <f aca="false">G1134*H1134</f>
        <v>0</v>
      </c>
      <c r="T1134" s="0" t="n">
        <f aca="false">E1134*E1134</f>
        <v>0.5625</v>
      </c>
      <c r="U1134" s="0" t="n">
        <f aca="false">F1134*F1134</f>
        <v>0</v>
      </c>
      <c r="V1134" s="0" t="n">
        <f aca="false">G1134*G1134</f>
        <v>1</v>
      </c>
      <c r="W1134" s="0" t="n">
        <f aca="false">H1134*H1134</f>
        <v>0</v>
      </c>
      <c r="X1134" s="0" t="n">
        <f aca="false">SUMPRODUCT(I1134:W1134,_XtX!$B$96:$P$96)</f>
        <v>45.7394736842105</v>
      </c>
      <c r="Y1134" s="0" t="n">
        <f aca="false">SUMPRODUCT(MMULT(I1134:W1134,_XtX!$B$78:$P$92),I1134:W1134)</f>
        <v>0.516013340643275</v>
      </c>
      <c r="Z1134" s="0" t="n">
        <f aca="false">04_回帰ANOVA!$K$19*04_回帰ANOVA!$K$14*SQRT(1+Y1134)</f>
        <v>1.60490712175667</v>
      </c>
      <c r="AA1134" s="0" t="n">
        <f aca="false">X1134-Z1134</f>
        <v>44.1345665624539</v>
      </c>
      <c r="AB1134" s="0" t="n">
        <f aca="false">X1134+Z1134</f>
        <v>47.3443808059672</v>
      </c>
      <c r="AC1134" s="54" t="b">
        <f aca="false">AND(E1134&gt;=01_因子設定!$L$5-0.000000001,E1134&lt;=01_因子設定!$M$5+0.000000001,F1134&gt;=01_因子設定!$L$6-0.000000001,F1134&lt;=01_因子設定!$M$6+0.000000001,G1134&gt;=01_因子設定!$L$7-0.000000001,G1134&lt;=01_因子設定!$M$7+0.000000001,H1134&gt;=01_因子設定!$L$8-0.000000001,H1134&lt;=01_因子設定!$M$8+0.000000001,IF(01_因子設定!$B$20="Box-Behnken",E1134^2+F1134^2+G1134^2+H1134^2&lt;=2+0.000000001,TRUE()))</f>
        <v>1</v>
      </c>
      <c r="AD1134" s="55" t="n">
        <f aca="false">IF(AC1134,IF(01_因子設定!$B$13="最大化",AA1134-01_因子設定!$B$14,IF(01_因子設定!$B$13="最小化",01_因子設定!$B$15-AB1134,MIN(AA1134-01_因子設定!$B$14,01_因子設定!$B$15-AB1134))),-1E+030)</f>
        <v>-2.36543343754615</v>
      </c>
      <c r="AE1134" s="55" t="n">
        <f aca="false">IF(AC1134,IF(01_因子設定!$B$13="最大化",X1134,IF(01_因子設定!$B$13="最小化",-X1134,-ABS(X1134-01_因子設定!$B$16))),-1E+030)</f>
        <v>45.7394736842105</v>
      </c>
      <c r="AF1134" s="55" t="n">
        <f aca="false">AD1134+ROW()*0.000000001</f>
        <v>-2.36543230354615</v>
      </c>
      <c r="AG1134" s="55" t="n">
        <f aca="false">AE1134+ROW()*0.000000001</f>
        <v>45.7394748182105</v>
      </c>
    </row>
    <row r="1135" customFormat="false" ht="15" hidden="false" customHeight="false" outlineLevel="0" collapsed="false">
      <c r="A1135" s="0" t="n">
        <v>1</v>
      </c>
      <c r="B1135" s="0" t="n">
        <v>4</v>
      </c>
      <c r="C1135" s="0" t="n">
        <v>8</v>
      </c>
      <c r="D1135" s="0" t="n">
        <v>5</v>
      </c>
      <c r="E1135" s="0" t="n">
        <f aca="false">-1+A1135*0.25</f>
        <v>-0.75</v>
      </c>
      <c r="F1135" s="0" t="n">
        <f aca="false">-1+B1135*0.25</f>
        <v>0</v>
      </c>
      <c r="G1135" s="0" t="n">
        <f aca="false">-1+C1135*0.25</f>
        <v>1</v>
      </c>
      <c r="H1135" s="0" t="n">
        <f aca="false">-1+D1135*0.25</f>
        <v>0.25</v>
      </c>
      <c r="I1135" s="0" t="n">
        <f aca="false">1</f>
        <v>1</v>
      </c>
      <c r="J1135" s="0" t="n">
        <f aca="false">E1135</f>
        <v>-0.75</v>
      </c>
      <c r="K1135" s="0" t="n">
        <f aca="false">F1135</f>
        <v>0</v>
      </c>
      <c r="L1135" s="0" t="n">
        <f aca="false">G1135</f>
        <v>1</v>
      </c>
      <c r="M1135" s="0" t="n">
        <f aca="false">H1135</f>
        <v>0.25</v>
      </c>
      <c r="N1135" s="0" t="n">
        <f aca="false">E1135*F1135</f>
        <v>-0</v>
      </c>
      <c r="O1135" s="0" t="n">
        <f aca="false">E1135*G1135</f>
        <v>-0.75</v>
      </c>
      <c r="P1135" s="0" t="n">
        <f aca="false">E1135*H1135</f>
        <v>-0.1875</v>
      </c>
      <c r="Q1135" s="0" t="n">
        <f aca="false">F1135*G1135</f>
        <v>0</v>
      </c>
      <c r="R1135" s="0" t="n">
        <f aca="false">F1135*H1135</f>
        <v>0</v>
      </c>
      <c r="S1135" s="0" t="n">
        <f aca="false">G1135*H1135</f>
        <v>0.25</v>
      </c>
      <c r="T1135" s="0" t="n">
        <f aca="false">E1135*E1135</f>
        <v>0.5625</v>
      </c>
      <c r="U1135" s="0" t="n">
        <f aca="false">F1135*F1135</f>
        <v>0</v>
      </c>
      <c r="V1135" s="0" t="n">
        <f aca="false">G1135*G1135</f>
        <v>1</v>
      </c>
      <c r="W1135" s="0" t="n">
        <f aca="false">H1135*H1135</f>
        <v>0.0625</v>
      </c>
      <c r="X1135" s="0" t="n">
        <f aca="false">SUMPRODUCT(I1135:W1135,_XtX!$B$96:$P$96)</f>
        <v>45.8653965643275</v>
      </c>
      <c r="Y1135" s="0" t="n">
        <f aca="false">SUMPRODUCT(MMULT(I1135:W1135,_XtX!$B$78:$P$92),I1135:W1135)</f>
        <v>0.501534802174708</v>
      </c>
      <c r="Z1135" s="0" t="n">
        <f aca="false">04_回帰ANOVA!$K$19*04_回帰ANOVA!$K$14*SQRT(1+Y1135)</f>
        <v>1.59722498091333</v>
      </c>
      <c r="AA1135" s="0" t="n">
        <f aca="false">X1135-Z1135</f>
        <v>44.2681715834141</v>
      </c>
      <c r="AB1135" s="0" t="n">
        <f aca="false">X1135+Z1135</f>
        <v>47.4626215452408</v>
      </c>
      <c r="AC1135" s="54" t="b">
        <f aca="false">AND(E1135&gt;=01_因子設定!$L$5-0.000000001,E1135&lt;=01_因子設定!$M$5+0.000000001,F1135&gt;=01_因子設定!$L$6-0.000000001,F1135&lt;=01_因子設定!$M$6+0.000000001,G1135&gt;=01_因子設定!$L$7-0.000000001,G1135&lt;=01_因子設定!$M$7+0.000000001,H1135&gt;=01_因子設定!$L$8-0.000000001,H1135&lt;=01_因子設定!$M$8+0.000000001,IF(01_因子設定!$B$20="Box-Behnken",E1135^2+F1135^2+G1135^2+H1135^2&lt;=2+0.000000001,TRUE()))</f>
        <v>1</v>
      </c>
      <c r="AD1135" s="55" t="n">
        <f aca="false">IF(AC1135,IF(01_因子設定!$B$13="最大化",AA1135-01_因子設定!$B$14,IF(01_因子設定!$B$13="最小化",01_因子設定!$B$15-AB1135,MIN(AA1135-01_因子設定!$B$14,01_因子設定!$B$15-AB1135))),-1E+030)</f>
        <v>-2.23182841658586</v>
      </c>
      <c r="AE1135" s="55" t="n">
        <f aca="false">IF(AC1135,IF(01_因子設定!$B$13="最大化",X1135,IF(01_因子設定!$B$13="最小化",-X1135,-ABS(X1135-01_因子設定!$B$16))),-1E+030)</f>
        <v>45.8653965643275</v>
      </c>
      <c r="AF1135" s="55" t="n">
        <f aca="false">AD1135+ROW()*0.000000001</f>
        <v>-2.23182728158586</v>
      </c>
      <c r="AG1135" s="55" t="n">
        <f aca="false">AE1135+ROW()*0.000000001</f>
        <v>45.8653976993275</v>
      </c>
    </row>
    <row r="1136" customFormat="false" ht="15" hidden="false" customHeight="false" outlineLevel="0" collapsed="false">
      <c r="A1136" s="0" t="n">
        <v>1</v>
      </c>
      <c r="B1136" s="0" t="n">
        <v>4</v>
      </c>
      <c r="C1136" s="0" t="n">
        <v>8</v>
      </c>
      <c r="D1136" s="0" t="n">
        <v>6</v>
      </c>
      <c r="E1136" s="0" t="n">
        <f aca="false">-1+A1136*0.25</f>
        <v>-0.75</v>
      </c>
      <c r="F1136" s="0" t="n">
        <f aca="false">-1+B1136*0.25</f>
        <v>0</v>
      </c>
      <c r="G1136" s="0" t="n">
        <f aca="false">-1+C1136*0.25</f>
        <v>1</v>
      </c>
      <c r="H1136" s="0" t="n">
        <f aca="false">-1+D1136*0.25</f>
        <v>0.5</v>
      </c>
      <c r="I1136" s="0" t="n">
        <f aca="false">1</f>
        <v>1</v>
      </c>
      <c r="J1136" s="0" t="n">
        <f aca="false">E1136</f>
        <v>-0.75</v>
      </c>
      <c r="K1136" s="0" t="n">
        <f aca="false">F1136</f>
        <v>0</v>
      </c>
      <c r="L1136" s="0" t="n">
        <f aca="false">G1136</f>
        <v>1</v>
      </c>
      <c r="M1136" s="0" t="n">
        <f aca="false">H1136</f>
        <v>0.5</v>
      </c>
      <c r="N1136" s="0" t="n">
        <f aca="false">E1136*F1136</f>
        <v>-0</v>
      </c>
      <c r="O1136" s="0" t="n">
        <f aca="false">E1136*G1136</f>
        <v>-0.75</v>
      </c>
      <c r="P1136" s="0" t="n">
        <f aca="false">E1136*H1136</f>
        <v>-0.375</v>
      </c>
      <c r="Q1136" s="0" t="n">
        <f aca="false">F1136*G1136</f>
        <v>0</v>
      </c>
      <c r="R1136" s="0" t="n">
        <f aca="false">F1136*H1136</f>
        <v>0</v>
      </c>
      <c r="S1136" s="0" t="n">
        <f aca="false">G1136*H1136</f>
        <v>0.5</v>
      </c>
      <c r="T1136" s="0" t="n">
        <f aca="false">E1136*E1136</f>
        <v>0.5625</v>
      </c>
      <c r="U1136" s="0" t="n">
        <f aca="false">F1136*F1136</f>
        <v>0</v>
      </c>
      <c r="V1136" s="0" t="n">
        <f aca="false">G1136*G1136</f>
        <v>1</v>
      </c>
      <c r="W1136" s="0" t="n">
        <f aca="false">H1136*H1136</f>
        <v>0.25</v>
      </c>
      <c r="X1136" s="0" t="n">
        <f aca="false">SUMPRODUCT(I1136:W1136,_XtX!$B$96:$P$96)</f>
        <v>45.9435124269006</v>
      </c>
      <c r="Y1136" s="0" t="n">
        <f aca="false">SUMPRODUCT(MMULT(I1136:W1136,_XtX!$B$78:$P$92),I1136:W1136)</f>
        <v>0.476191292032164</v>
      </c>
      <c r="Z1136" s="0" t="n">
        <f aca="false">04_回帰ANOVA!$K$19*04_回帰ANOVA!$K$14*SQRT(1+Y1136)</f>
        <v>1.58368831471718</v>
      </c>
      <c r="AA1136" s="0" t="n">
        <f aca="false">X1136-Z1136</f>
        <v>44.3598241121834</v>
      </c>
      <c r="AB1136" s="0" t="n">
        <f aca="false">X1136+Z1136</f>
        <v>47.5272007416178</v>
      </c>
      <c r="AC1136" s="54" t="b">
        <f aca="false">AND(E1136&gt;=01_因子設定!$L$5-0.000000001,E1136&lt;=01_因子設定!$M$5+0.000000001,F1136&gt;=01_因子設定!$L$6-0.000000001,F1136&lt;=01_因子設定!$M$6+0.000000001,G1136&gt;=01_因子設定!$L$7-0.000000001,G1136&lt;=01_因子設定!$M$7+0.000000001,H1136&gt;=01_因子設定!$L$8-0.000000001,H1136&lt;=01_因子設定!$M$8+0.000000001,IF(01_因子設定!$B$20="Box-Behnken",E1136^2+F1136^2+G1136^2+H1136^2&lt;=2+0.000000001,TRUE()))</f>
        <v>1</v>
      </c>
      <c r="AD1136" s="55" t="n">
        <f aca="false">IF(AC1136,IF(01_因子設定!$B$13="最大化",AA1136-01_因子設定!$B$14,IF(01_因子設定!$B$13="最小化",01_因子設定!$B$15-AB1136,MIN(AA1136-01_因子設定!$B$14,01_因子設定!$B$15-AB1136))),-1E+030)</f>
        <v>-2.1401758878166</v>
      </c>
      <c r="AE1136" s="55" t="n">
        <f aca="false">IF(AC1136,IF(01_因子設定!$B$13="最大化",X1136,IF(01_因子設定!$B$13="最小化",-X1136,-ABS(X1136-01_因子設定!$B$16))),-1E+030)</f>
        <v>45.9435124269006</v>
      </c>
      <c r="AF1136" s="55" t="n">
        <f aca="false">AD1136+ROW()*0.000000001</f>
        <v>-2.1401747518166</v>
      </c>
      <c r="AG1136" s="55" t="n">
        <f aca="false">AE1136+ROW()*0.000000001</f>
        <v>45.9435135629006</v>
      </c>
    </row>
    <row r="1137" customFormat="false" ht="15" hidden="false" customHeight="false" outlineLevel="0" collapsed="false">
      <c r="A1137" s="0" t="n">
        <v>1</v>
      </c>
      <c r="B1137" s="0" t="n">
        <v>4</v>
      </c>
      <c r="C1137" s="0" t="n">
        <v>8</v>
      </c>
      <c r="D1137" s="0" t="n">
        <v>7</v>
      </c>
      <c r="E1137" s="0" t="n">
        <f aca="false">-1+A1137*0.25</f>
        <v>-0.75</v>
      </c>
      <c r="F1137" s="0" t="n">
        <f aca="false">-1+B1137*0.25</f>
        <v>0</v>
      </c>
      <c r="G1137" s="0" t="n">
        <f aca="false">-1+C1137*0.25</f>
        <v>1</v>
      </c>
      <c r="H1137" s="0" t="n">
        <f aca="false">-1+D1137*0.25</f>
        <v>0.75</v>
      </c>
      <c r="I1137" s="0" t="n">
        <f aca="false">1</f>
        <v>1</v>
      </c>
      <c r="J1137" s="0" t="n">
        <f aca="false">E1137</f>
        <v>-0.75</v>
      </c>
      <c r="K1137" s="0" t="n">
        <f aca="false">F1137</f>
        <v>0</v>
      </c>
      <c r="L1137" s="0" t="n">
        <f aca="false">G1137</f>
        <v>1</v>
      </c>
      <c r="M1137" s="0" t="n">
        <f aca="false">H1137</f>
        <v>0.75</v>
      </c>
      <c r="N1137" s="0" t="n">
        <f aca="false">E1137*F1137</f>
        <v>-0</v>
      </c>
      <c r="O1137" s="0" t="n">
        <f aca="false">E1137*G1137</f>
        <v>-0.75</v>
      </c>
      <c r="P1137" s="0" t="n">
        <f aca="false">E1137*H1137</f>
        <v>-0.5625</v>
      </c>
      <c r="Q1137" s="0" t="n">
        <f aca="false">F1137*G1137</f>
        <v>0</v>
      </c>
      <c r="R1137" s="0" t="n">
        <f aca="false">F1137*H1137</f>
        <v>0</v>
      </c>
      <c r="S1137" s="0" t="n">
        <f aca="false">G1137*H1137</f>
        <v>0.75</v>
      </c>
      <c r="T1137" s="0" t="n">
        <f aca="false">E1137*E1137</f>
        <v>0.5625</v>
      </c>
      <c r="U1137" s="0" t="n">
        <f aca="false">F1137*F1137</f>
        <v>0</v>
      </c>
      <c r="V1137" s="0" t="n">
        <f aca="false">G1137*G1137</f>
        <v>1</v>
      </c>
      <c r="W1137" s="0" t="n">
        <f aca="false">H1137*H1137</f>
        <v>0.5625</v>
      </c>
      <c r="X1137" s="0" t="n">
        <f aca="false">SUMPRODUCT(I1137:W1137,_XtX!$B$96:$P$96)</f>
        <v>45.9738212719298</v>
      </c>
      <c r="Y1137" s="0" t="n">
        <f aca="false">SUMPRODUCT(MMULT(I1137:W1137,_XtX!$B$78:$P$92),I1137:W1137)</f>
        <v>0.494259126005117</v>
      </c>
      <c r="Z1137" s="0" t="n">
        <f aca="false">04_回帰ANOVA!$K$19*04_回帰ANOVA!$K$14*SQRT(1+Y1137)</f>
        <v>1.59335061078203</v>
      </c>
      <c r="AA1137" s="0" t="n">
        <f aca="false">X1137-Z1137</f>
        <v>44.3804706611478</v>
      </c>
      <c r="AB1137" s="0" t="n">
        <f aca="false">X1137+Z1137</f>
        <v>47.5671718827119</v>
      </c>
      <c r="AC1137" s="54" t="b">
        <f aca="false">AND(E1137&gt;=01_因子設定!$L$5-0.000000001,E1137&lt;=01_因子設定!$M$5+0.000000001,F1137&gt;=01_因子設定!$L$6-0.000000001,F1137&lt;=01_因子設定!$M$6+0.000000001,G1137&gt;=01_因子設定!$L$7-0.000000001,G1137&lt;=01_因子設定!$M$7+0.000000001,H1137&gt;=01_因子設定!$L$8-0.000000001,H1137&lt;=01_因子設定!$M$8+0.000000001,IF(01_因子設定!$B$20="Box-Behnken",E1137^2+F1137^2+G1137^2+H1137^2&lt;=2+0.000000001,TRUE()))</f>
        <v>1</v>
      </c>
      <c r="AD1137" s="55" t="n">
        <f aca="false">IF(AC1137,IF(01_因子設定!$B$13="最大化",AA1137-01_因子設定!$B$14,IF(01_因子設定!$B$13="最小化",01_因子設定!$B$15-AB1137,MIN(AA1137-01_因子設定!$B$14,01_因子設定!$B$15-AB1137))),-1E+030)</f>
        <v>-2.11952933885219</v>
      </c>
      <c r="AE1137" s="55" t="n">
        <f aca="false">IF(AC1137,IF(01_因子設定!$B$13="最大化",X1137,IF(01_因子設定!$B$13="最小化",-X1137,-ABS(X1137-01_因子設定!$B$16))),-1E+030)</f>
        <v>45.9738212719298</v>
      </c>
      <c r="AF1137" s="55" t="n">
        <f aca="false">AD1137+ROW()*0.000000001</f>
        <v>-2.11952820185219</v>
      </c>
      <c r="AG1137" s="55" t="n">
        <f aca="false">AE1137+ROW()*0.000000001</f>
        <v>45.9738224089298</v>
      </c>
    </row>
    <row r="1138" customFormat="false" ht="15" hidden="false" customHeight="false" outlineLevel="0" collapsed="false">
      <c r="A1138" s="0" t="n">
        <v>1</v>
      </c>
      <c r="B1138" s="0" t="n">
        <v>4</v>
      </c>
      <c r="C1138" s="0" t="n">
        <v>8</v>
      </c>
      <c r="D1138" s="0" t="n">
        <v>8</v>
      </c>
      <c r="E1138" s="0" t="n">
        <f aca="false">-1+A1138*0.25</f>
        <v>-0.75</v>
      </c>
      <c r="F1138" s="0" t="n">
        <f aca="false">-1+B1138*0.25</f>
        <v>0</v>
      </c>
      <c r="G1138" s="0" t="n">
        <f aca="false">-1+C1138*0.25</f>
        <v>1</v>
      </c>
      <c r="H1138" s="0" t="n">
        <f aca="false">-1+D1138*0.25</f>
        <v>1</v>
      </c>
      <c r="I1138" s="0" t="n">
        <f aca="false">1</f>
        <v>1</v>
      </c>
      <c r="J1138" s="0" t="n">
        <f aca="false">E1138</f>
        <v>-0.75</v>
      </c>
      <c r="K1138" s="0" t="n">
        <f aca="false">F1138</f>
        <v>0</v>
      </c>
      <c r="L1138" s="0" t="n">
        <f aca="false">G1138</f>
        <v>1</v>
      </c>
      <c r="M1138" s="0" t="n">
        <f aca="false">H1138</f>
        <v>1</v>
      </c>
      <c r="N1138" s="0" t="n">
        <f aca="false">E1138*F1138</f>
        <v>-0</v>
      </c>
      <c r="O1138" s="0" t="n">
        <f aca="false">E1138*G1138</f>
        <v>-0.75</v>
      </c>
      <c r="P1138" s="0" t="n">
        <f aca="false">E1138*H1138</f>
        <v>-0.75</v>
      </c>
      <c r="Q1138" s="0" t="n">
        <f aca="false">F1138*G1138</f>
        <v>0</v>
      </c>
      <c r="R1138" s="0" t="n">
        <f aca="false">F1138*H1138</f>
        <v>0</v>
      </c>
      <c r="S1138" s="0" t="n">
        <f aca="false">G1138*H1138</f>
        <v>1</v>
      </c>
      <c r="T1138" s="0" t="n">
        <f aca="false">E1138*E1138</f>
        <v>0.5625</v>
      </c>
      <c r="U1138" s="0" t="n">
        <f aca="false">F1138*F1138</f>
        <v>0</v>
      </c>
      <c r="V1138" s="0" t="n">
        <f aca="false">G1138*G1138</f>
        <v>1</v>
      </c>
      <c r="W1138" s="0" t="n">
        <f aca="false">H1138*H1138</f>
        <v>1</v>
      </c>
      <c r="X1138" s="0" t="n">
        <f aca="false">SUMPRODUCT(I1138:W1138,_XtX!$B$96:$P$96)</f>
        <v>45.9563230994152</v>
      </c>
      <c r="Y1138" s="0" t="n">
        <f aca="false">SUMPRODUCT(MMULT(I1138:W1138,_XtX!$B$78:$P$92),I1138:W1138)</f>
        <v>0.646198830409357</v>
      </c>
      <c r="Z1138" s="0" t="n">
        <f aca="false">04_回帰ANOVA!$K$19*04_回帰ANOVA!$K$14*SQRT(1+Y1138)</f>
        <v>1.67239760569756</v>
      </c>
      <c r="AA1138" s="0" t="n">
        <f aca="false">X1138-Z1138</f>
        <v>44.2839254937177</v>
      </c>
      <c r="AB1138" s="0" t="n">
        <f aca="false">X1138+Z1138</f>
        <v>47.6287207051128</v>
      </c>
      <c r="AC1138" s="54" t="b">
        <f aca="false">AND(E1138&gt;=01_因子設定!$L$5-0.000000001,E1138&lt;=01_因子設定!$M$5+0.000000001,F1138&gt;=01_因子設定!$L$6-0.000000001,F1138&lt;=01_因子設定!$M$6+0.000000001,G1138&gt;=01_因子設定!$L$7-0.000000001,G1138&lt;=01_因子設定!$M$7+0.000000001,H1138&gt;=01_因子設定!$L$8-0.000000001,H1138&lt;=01_因子設定!$M$8+0.000000001,IF(01_因子設定!$B$20="Box-Behnken",E1138^2+F1138^2+G1138^2+H1138^2&lt;=2+0.000000001,TRUE()))</f>
        <v>1</v>
      </c>
      <c r="AD1138" s="55" t="n">
        <f aca="false">IF(AC1138,IF(01_因子設定!$B$13="最大化",AA1138-01_因子設定!$B$14,IF(01_因子設定!$B$13="最小化",01_因子設定!$B$15-AB1138,MIN(AA1138-01_因子設定!$B$14,01_因子設定!$B$15-AB1138))),-1E+030)</f>
        <v>-2.21607450628233</v>
      </c>
      <c r="AE1138" s="55" t="n">
        <f aca="false">IF(AC1138,IF(01_因子設定!$B$13="最大化",X1138,IF(01_因子設定!$B$13="最小化",-X1138,-ABS(X1138-01_因子設定!$B$16))),-1E+030)</f>
        <v>45.9563230994152</v>
      </c>
      <c r="AF1138" s="55" t="n">
        <f aca="false">AD1138+ROW()*0.000000001</f>
        <v>-2.21607336828233</v>
      </c>
      <c r="AG1138" s="55" t="n">
        <f aca="false">AE1138+ROW()*0.000000001</f>
        <v>45.9563242374152</v>
      </c>
    </row>
    <row r="1139" customFormat="false" ht="15" hidden="false" customHeight="false" outlineLevel="0" collapsed="false">
      <c r="A1139" s="0" t="n">
        <v>1</v>
      </c>
      <c r="B1139" s="0" t="n">
        <v>5</v>
      </c>
      <c r="C1139" s="0" t="n">
        <v>0</v>
      </c>
      <c r="D1139" s="0" t="n">
        <v>0</v>
      </c>
      <c r="E1139" s="0" t="n">
        <f aca="false">-1+A1139*0.25</f>
        <v>-0.75</v>
      </c>
      <c r="F1139" s="0" t="n">
        <f aca="false">-1+B1139*0.25</f>
        <v>0.25</v>
      </c>
      <c r="G1139" s="0" t="n">
        <f aca="false">-1+C1139*0.25</f>
        <v>-1</v>
      </c>
      <c r="H1139" s="0" t="n">
        <f aca="false">-1+D1139*0.25</f>
        <v>-1</v>
      </c>
      <c r="I1139" s="0" t="n">
        <f aca="false">1</f>
        <v>1</v>
      </c>
      <c r="J1139" s="0" t="n">
        <f aca="false">E1139</f>
        <v>-0.75</v>
      </c>
      <c r="K1139" s="0" t="n">
        <f aca="false">F1139</f>
        <v>0.25</v>
      </c>
      <c r="L1139" s="0" t="n">
        <f aca="false">G1139</f>
        <v>-1</v>
      </c>
      <c r="M1139" s="0" t="n">
        <f aca="false">H1139</f>
        <v>-1</v>
      </c>
      <c r="N1139" s="0" t="n">
        <f aca="false">E1139*F1139</f>
        <v>-0.1875</v>
      </c>
      <c r="O1139" s="0" t="n">
        <f aca="false">E1139*G1139</f>
        <v>0.75</v>
      </c>
      <c r="P1139" s="0" t="n">
        <f aca="false">E1139*H1139</f>
        <v>0.75</v>
      </c>
      <c r="Q1139" s="0" t="n">
        <f aca="false">F1139*G1139</f>
        <v>-0.25</v>
      </c>
      <c r="R1139" s="0" t="n">
        <f aca="false">F1139*H1139</f>
        <v>-0.25</v>
      </c>
      <c r="S1139" s="0" t="n">
        <f aca="false">G1139*H1139</f>
        <v>1</v>
      </c>
      <c r="T1139" s="0" t="n">
        <f aca="false">E1139*E1139</f>
        <v>0.5625</v>
      </c>
      <c r="U1139" s="0" t="n">
        <f aca="false">F1139*F1139</f>
        <v>0.0625</v>
      </c>
      <c r="V1139" s="0" t="n">
        <f aca="false">G1139*G1139</f>
        <v>1</v>
      </c>
      <c r="W1139" s="0" t="n">
        <f aca="false">H1139*H1139</f>
        <v>1</v>
      </c>
      <c r="X1139" s="0" t="n">
        <f aca="false">SUMPRODUCT(I1139:W1139,_XtX!$B$96:$P$96)</f>
        <v>42.5173154239766</v>
      </c>
      <c r="Y1139" s="0" t="n">
        <f aca="false">SUMPRODUCT(MMULT(I1139:W1139,_XtX!$B$78:$P$92),I1139:W1139)</f>
        <v>0.621372155975877</v>
      </c>
      <c r="Z1139" s="0" t="n">
        <f aca="false">04_回帰ANOVA!$K$19*04_回帰ANOVA!$K$14*SQRT(1+Y1139)</f>
        <v>1.65973880499872</v>
      </c>
      <c r="AA1139" s="0" t="n">
        <f aca="false">X1139-Z1139</f>
        <v>40.8575766189779</v>
      </c>
      <c r="AB1139" s="0" t="n">
        <f aca="false">X1139+Z1139</f>
        <v>44.1770542289754</v>
      </c>
      <c r="AC1139" s="54" t="b">
        <f aca="false">AND(E1139&gt;=01_因子設定!$L$5-0.000000001,E1139&lt;=01_因子設定!$M$5+0.000000001,F1139&gt;=01_因子設定!$L$6-0.000000001,F1139&lt;=01_因子設定!$M$6+0.000000001,G1139&gt;=01_因子設定!$L$7-0.000000001,G1139&lt;=01_因子設定!$M$7+0.000000001,H1139&gt;=01_因子設定!$L$8-0.000000001,H1139&lt;=01_因子設定!$M$8+0.000000001,IF(01_因子設定!$B$20="Box-Behnken",E1139^2+F1139^2+G1139^2+H1139^2&lt;=2+0.000000001,TRUE()))</f>
        <v>1</v>
      </c>
      <c r="AD1139" s="55" t="n">
        <f aca="false">IF(AC1139,IF(01_因子設定!$B$13="最大化",AA1139-01_因子設定!$B$14,IF(01_因子設定!$B$13="最小化",01_因子設定!$B$15-AB1139,MIN(AA1139-01_因子設定!$B$14,01_因子設定!$B$15-AB1139))),-1E+030)</f>
        <v>-5.64242338102208</v>
      </c>
      <c r="AE1139" s="55" t="n">
        <f aca="false">IF(AC1139,IF(01_因子設定!$B$13="最大化",X1139,IF(01_因子設定!$B$13="最小化",-X1139,-ABS(X1139-01_因子設定!$B$16))),-1E+030)</f>
        <v>42.5173154239766</v>
      </c>
      <c r="AF1139" s="55" t="n">
        <f aca="false">AD1139+ROW()*0.000000001</f>
        <v>-5.64242224202208</v>
      </c>
      <c r="AG1139" s="55" t="n">
        <f aca="false">AE1139+ROW()*0.000000001</f>
        <v>42.5173165629766</v>
      </c>
    </row>
    <row r="1140" customFormat="false" ht="15" hidden="false" customHeight="false" outlineLevel="0" collapsed="false">
      <c r="A1140" s="0" t="n">
        <v>1</v>
      </c>
      <c r="B1140" s="0" t="n">
        <v>5</v>
      </c>
      <c r="C1140" s="0" t="n">
        <v>0</v>
      </c>
      <c r="D1140" s="0" t="n">
        <v>1</v>
      </c>
      <c r="E1140" s="0" t="n">
        <f aca="false">-1+A1140*0.25</f>
        <v>-0.75</v>
      </c>
      <c r="F1140" s="0" t="n">
        <f aca="false">-1+B1140*0.25</f>
        <v>0.25</v>
      </c>
      <c r="G1140" s="0" t="n">
        <f aca="false">-1+C1140*0.25</f>
        <v>-1</v>
      </c>
      <c r="H1140" s="0" t="n">
        <f aca="false">-1+D1140*0.25</f>
        <v>-0.75</v>
      </c>
      <c r="I1140" s="0" t="n">
        <f aca="false">1</f>
        <v>1</v>
      </c>
      <c r="J1140" s="0" t="n">
        <f aca="false">E1140</f>
        <v>-0.75</v>
      </c>
      <c r="K1140" s="0" t="n">
        <f aca="false">F1140</f>
        <v>0.25</v>
      </c>
      <c r="L1140" s="0" t="n">
        <f aca="false">G1140</f>
        <v>-1</v>
      </c>
      <c r="M1140" s="0" t="n">
        <f aca="false">H1140</f>
        <v>-0.75</v>
      </c>
      <c r="N1140" s="0" t="n">
        <f aca="false">E1140*F1140</f>
        <v>-0.1875</v>
      </c>
      <c r="O1140" s="0" t="n">
        <f aca="false">E1140*G1140</f>
        <v>0.75</v>
      </c>
      <c r="P1140" s="0" t="n">
        <f aca="false">E1140*H1140</f>
        <v>0.5625</v>
      </c>
      <c r="Q1140" s="0" t="n">
        <f aca="false">F1140*G1140</f>
        <v>-0.25</v>
      </c>
      <c r="R1140" s="0" t="n">
        <f aca="false">F1140*H1140</f>
        <v>-0.1875</v>
      </c>
      <c r="S1140" s="0" t="n">
        <f aca="false">G1140*H1140</f>
        <v>0.75</v>
      </c>
      <c r="T1140" s="0" t="n">
        <f aca="false">E1140*E1140</f>
        <v>0.5625</v>
      </c>
      <c r="U1140" s="0" t="n">
        <f aca="false">F1140*F1140</f>
        <v>0.0625</v>
      </c>
      <c r="V1140" s="0" t="n">
        <f aca="false">G1140*G1140</f>
        <v>1</v>
      </c>
      <c r="W1140" s="0" t="n">
        <f aca="false">H1140*H1140</f>
        <v>0.5625</v>
      </c>
      <c r="X1140" s="0" t="n">
        <f aca="false">SUMPRODUCT(I1140:W1140,_XtX!$B$96:$P$96)</f>
        <v>42.677435124269</v>
      </c>
      <c r="Y1140" s="0" t="n">
        <f aca="false">SUMPRODUCT(MMULT(I1140:W1140,_XtX!$B$78:$P$92),I1140:W1140)</f>
        <v>0.473959761056287</v>
      </c>
      <c r="Z1140" s="0" t="n">
        <f aca="false">04_回帰ANOVA!$K$19*04_回帰ANOVA!$K$14*SQRT(1+Y1140)</f>
        <v>1.58249084588329</v>
      </c>
      <c r="AA1140" s="0" t="n">
        <f aca="false">X1140-Z1140</f>
        <v>41.0949442783857</v>
      </c>
      <c r="AB1140" s="0" t="n">
        <f aca="false">X1140+Z1140</f>
        <v>44.2599259701523</v>
      </c>
      <c r="AC1140" s="54" t="b">
        <f aca="false">AND(E1140&gt;=01_因子設定!$L$5-0.000000001,E1140&lt;=01_因子設定!$M$5+0.000000001,F1140&gt;=01_因子設定!$L$6-0.000000001,F1140&lt;=01_因子設定!$M$6+0.000000001,G1140&gt;=01_因子設定!$L$7-0.000000001,G1140&lt;=01_因子設定!$M$7+0.000000001,H1140&gt;=01_因子設定!$L$8-0.000000001,H1140&lt;=01_因子設定!$M$8+0.000000001,IF(01_因子設定!$B$20="Box-Behnken",E1140^2+F1140^2+G1140^2+H1140^2&lt;=2+0.000000001,TRUE()))</f>
        <v>1</v>
      </c>
      <c r="AD1140" s="55" t="n">
        <f aca="false">IF(AC1140,IF(01_因子設定!$B$13="最大化",AA1140-01_因子設定!$B$14,IF(01_因子設定!$B$13="最小化",01_因子設定!$B$15-AB1140,MIN(AA1140-01_因子設定!$B$14,01_因子設定!$B$15-AB1140))),-1E+030)</f>
        <v>-5.40505572161427</v>
      </c>
      <c r="AE1140" s="55" t="n">
        <f aca="false">IF(AC1140,IF(01_因子設定!$B$13="最大化",X1140,IF(01_因子設定!$B$13="最小化",-X1140,-ABS(X1140-01_因子設定!$B$16))),-1E+030)</f>
        <v>42.677435124269</v>
      </c>
      <c r="AF1140" s="55" t="n">
        <f aca="false">AD1140+ROW()*0.000000001</f>
        <v>-5.40505458161427</v>
      </c>
      <c r="AG1140" s="55" t="n">
        <f aca="false">AE1140+ROW()*0.000000001</f>
        <v>42.677436264269</v>
      </c>
    </row>
    <row r="1141" customFormat="false" ht="15" hidden="false" customHeight="false" outlineLevel="0" collapsed="false">
      <c r="A1141" s="0" t="n">
        <v>1</v>
      </c>
      <c r="B1141" s="0" t="n">
        <v>5</v>
      </c>
      <c r="C1141" s="0" t="n">
        <v>0</v>
      </c>
      <c r="D1141" s="0" t="n">
        <v>2</v>
      </c>
      <c r="E1141" s="0" t="n">
        <f aca="false">-1+A1141*0.25</f>
        <v>-0.75</v>
      </c>
      <c r="F1141" s="0" t="n">
        <f aca="false">-1+B1141*0.25</f>
        <v>0.25</v>
      </c>
      <c r="G1141" s="0" t="n">
        <f aca="false">-1+C1141*0.25</f>
        <v>-1</v>
      </c>
      <c r="H1141" s="0" t="n">
        <f aca="false">-1+D1141*0.25</f>
        <v>-0.5</v>
      </c>
      <c r="I1141" s="0" t="n">
        <f aca="false">1</f>
        <v>1</v>
      </c>
      <c r="J1141" s="0" t="n">
        <f aca="false">E1141</f>
        <v>-0.75</v>
      </c>
      <c r="K1141" s="0" t="n">
        <f aca="false">F1141</f>
        <v>0.25</v>
      </c>
      <c r="L1141" s="0" t="n">
        <f aca="false">G1141</f>
        <v>-1</v>
      </c>
      <c r="M1141" s="0" t="n">
        <f aca="false">H1141</f>
        <v>-0.5</v>
      </c>
      <c r="N1141" s="0" t="n">
        <f aca="false">E1141*F1141</f>
        <v>-0.1875</v>
      </c>
      <c r="O1141" s="0" t="n">
        <f aca="false">E1141*G1141</f>
        <v>0.75</v>
      </c>
      <c r="P1141" s="0" t="n">
        <f aca="false">E1141*H1141</f>
        <v>0.375</v>
      </c>
      <c r="Q1141" s="0" t="n">
        <f aca="false">F1141*G1141</f>
        <v>-0.25</v>
      </c>
      <c r="R1141" s="0" t="n">
        <f aca="false">F1141*H1141</f>
        <v>-0.125</v>
      </c>
      <c r="S1141" s="0" t="n">
        <f aca="false">G1141*H1141</f>
        <v>0.5</v>
      </c>
      <c r="T1141" s="0" t="n">
        <f aca="false">E1141*E1141</f>
        <v>0.5625</v>
      </c>
      <c r="U1141" s="0" t="n">
        <f aca="false">F1141*F1141</f>
        <v>0.0625</v>
      </c>
      <c r="V1141" s="0" t="n">
        <f aca="false">G1141*G1141</f>
        <v>1</v>
      </c>
      <c r="W1141" s="0" t="n">
        <f aca="false">H1141*H1141</f>
        <v>0.25</v>
      </c>
      <c r="X1141" s="0" t="n">
        <f aca="false">SUMPRODUCT(I1141:W1141,_XtX!$B$96:$P$96)</f>
        <v>42.7897478070175</v>
      </c>
      <c r="Y1141" s="0" t="n">
        <f aca="false">SUMPRODUCT(MMULT(I1141:W1141,_XtX!$B$78:$P$92),I1141:W1141)</f>
        <v>0.459125719572369</v>
      </c>
      <c r="Z1141" s="0" t="n">
        <f aca="false">04_回帰ANOVA!$K$19*04_回帰ANOVA!$K$14*SQRT(1+Y1141)</f>
        <v>1.57450755575573</v>
      </c>
      <c r="AA1141" s="0" t="n">
        <f aca="false">X1141-Z1141</f>
        <v>41.2152402512618</v>
      </c>
      <c r="AB1141" s="0" t="n">
        <f aca="false">X1141+Z1141</f>
        <v>44.3642553627733</v>
      </c>
      <c r="AC1141" s="54" t="b">
        <f aca="false">AND(E1141&gt;=01_因子設定!$L$5-0.000000001,E1141&lt;=01_因子設定!$M$5+0.000000001,F1141&gt;=01_因子設定!$L$6-0.000000001,F1141&lt;=01_因子設定!$M$6+0.000000001,G1141&gt;=01_因子設定!$L$7-0.000000001,G1141&lt;=01_因子設定!$M$7+0.000000001,H1141&gt;=01_因子設定!$L$8-0.000000001,H1141&lt;=01_因子設定!$M$8+0.000000001,IF(01_因子設定!$B$20="Box-Behnken",E1141^2+F1141^2+G1141^2+H1141^2&lt;=2+0.000000001,TRUE()))</f>
        <v>1</v>
      </c>
      <c r="AD1141" s="55" t="n">
        <f aca="false">IF(AC1141,IF(01_因子設定!$B$13="最大化",AA1141-01_因子設定!$B$14,IF(01_因子設定!$B$13="最小化",01_因子設定!$B$15-AB1141,MIN(AA1141-01_因子設定!$B$14,01_因子設定!$B$15-AB1141))),-1E+030)</f>
        <v>-5.28475974873819</v>
      </c>
      <c r="AE1141" s="55" t="n">
        <f aca="false">IF(AC1141,IF(01_因子設定!$B$13="最大化",X1141,IF(01_因子設定!$B$13="最小化",-X1141,-ABS(X1141-01_因子設定!$B$16))),-1E+030)</f>
        <v>42.7897478070175</v>
      </c>
      <c r="AF1141" s="55" t="n">
        <f aca="false">AD1141+ROW()*0.000000001</f>
        <v>-5.28475860773819</v>
      </c>
      <c r="AG1141" s="55" t="n">
        <f aca="false">AE1141+ROW()*0.000000001</f>
        <v>42.7897489480175</v>
      </c>
    </row>
    <row r="1142" customFormat="false" ht="15" hidden="false" customHeight="false" outlineLevel="0" collapsed="false">
      <c r="A1142" s="0" t="n">
        <v>1</v>
      </c>
      <c r="B1142" s="0" t="n">
        <v>5</v>
      </c>
      <c r="C1142" s="0" t="n">
        <v>0</v>
      </c>
      <c r="D1142" s="0" t="n">
        <v>3</v>
      </c>
      <c r="E1142" s="0" t="n">
        <f aca="false">-1+A1142*0.25</f>
        <v>-0.75</v>
      </c>
      <c r="F1142" s="0" t="n">
        <f aca="false">-1+B1142*0.25</f>
        <v>0.25</v>
      </c>
      <c r="G1142" s="0" t="n">
        <f aca="false">-1+C1142*0.25</f>
        <v>-1</v>
      </c>
      <c r="H1142" s="0" t="n">
        <f aca="false">-1+D1142*0.25</f>
        <v>-0.25</v>
      </c>
      <c r="I1142" s="0" t="n">
        <f aca="false">1</f>
        <v>1</v>
      </c>
      <c r="J1142" s="0" t="n">
        <f aca="false">E1142</f>
        <v>-0.75</v>
      </c>
      <c r="K1142" s="0" t="n">
        <f aca="false">F1142</f>
        <v>0.25</v>
      </c>
      <c r="L1142" s="0" t="n">
        <f aca="false">G1142</f>
        <v>-1</v>
      </c>
      <c r="M1142" s="0" t="n">
        <f aca="false">H1142</f>
        <v>-0.25</v>
      </c>
      <c r="N1142" s="0" t="n">
        <f aca="false">E1142*F1142</f>
        <v>-0.1875</v>
      </c>
      <c r="O1142" s="0" t="n">
        <f aca="false">E1142*G1142</f>
        <v>0.75</v>
      </c>
      <c r="P1142" s="0" t="n">
        <f aca="false">E1142*H1142</f>
        <v>0.1875</v>
      </c>
      <c r="Q1142" s="0" t="n">
        <f aca="false">F1142*G1142</f>
        <v>-0.25</v>
      </c>
      <c r="R1142" s="0" t="n">
        <f aca="false">F1142*H1142</f>
        <v>-0.0625</v>
      </c>
      <c r="S1142" s="0" t="n">
        <f aca="false">G1142*H1142</f>
        <v>0.25</v>
      </c>
      <c r="T1142" s="0" t="n">
        <f aca="false">E1142*E1142</f>
        <v>0.5625</v>
      </c>
      <c r="U1142" s="0" t="n">
        <f aca="false">F1142*F1142</f>
        <v>0.0625</v>
      </c>
      <c r="V1142" s="0" t="n">
        <f aca="false">G1142*G1142</f>
        <v>1</v>
      </c>
      <c r="W1142" s="0" t="n">
        <f aca="false">H1142*H1142</f>
        <v>0.0625</v>
      </c>
      <c r="X1142" s="0" t="n">
        <f aca="false">SUMPRODUCT(I1142:W1142,_XtX!$B$96:$P$96)</f>
        <v>42.8542534722222</v>
      </c>
      <c r="Y1142" s="0" t="n">
        <f aca="false">SUMPRODUCT(MMULT(I1142:W1142,_XtX!$B$78:$P$92),I1142:W1142)</f>
        <v>0.486409505208334</v>
      </c>
      <c r="Z1142" s="0" t="n">
        <f aca="false">04_回帰ANOVA!$K$19*04_回帰ANOVA!$K$14*SQRT(1+Y1142)</f>
        <v>1.58916001665498</v>
      </c>
      <c r="AA1142" s="0" t="n">
        <f aca="false">X1142-Z1142</f>
        <v>41.2650934555672</v>
      </c>
      <c r="AB1142" s="0" t="n">
        <f aca="false">X1142+Z1142</f>
        <v>44.4434134888772</v>
      </c>
      <c r="AC1142" s="54" t="b">
        <f aca="false">AND(E1142&gt;=01_因子設定!$L$5-0.000000001,E1142&lt;=01_因子設定!$M$5+0.000000001,F1142&gt;=01_因子設定!$L$6-0.000000001,F1142&lt;=01_因子設定!$M$6+0.000000001,G1142&gt;=01_因子設定!$L$7-0.000000001,G1142&lt;=01_因子設定!$M$7+0.000000001,H1142&gt;=01_因子設定!$L$8-0.000000001,H1142&lt;=01_因子設定!$M$8+0.000000001,IF(01_因子設定!$B$20="Box-Behnken",E1142^2+F1142^2+G1142^2+H1142^2&lt;=2+0.000000001,TRUE()))</f>
        <v>1</v>
      </c>
      <c r="AD1142" s="55" t="n">
        <f aca="false">IF(AC1142,IF(01_因子設定!$B$13="最大化",AA1142-01_因子設定!$B$14,IF(01_因子設定!$B$13="最小化",01_因子設定!$B$15-AB1142,MIN(AA1142-01_因子設定!$B$14,01_因子設定!$B$15-AB1142))),-1E+030)</f>
        <v>-5.23490654443277</v>
      </c>
      <c r="AE1142" s="55" t="n">
        <f aca="false">IF(AC1142,IF(01_因子設定!$B$13="最大化",X1142,IF(01_因子設定!$B$13="最小化",-X1142,-ABS(X1142-01_因子設定!$B$16))),-1E+030)</f>
        <v>42.8542534722222</v>
      </c>
      <c r="AF1142" s="55" t="n">
        <f aca="false">AD1142+ROW()*0.000000001</f>
        <v>-5.23490540243277</v>
      </c>
      <c r="AG1142" s="55" t="n">
        <f aca="false">AE1142+ROW()*0.000000001</f>
        <v>42.8542546142222</v>
      </c>
    </row>
    <row r="1143" customFormat="false" ht="15" hidden="false" customHeight="false" outlineLevel="0" collapsed="false">
      <c r="A1143" s="0" t="n">
        <v>1</v>
      </c>
      <c r="B1143" s="0" t="n">
        <v>5</v>
      </c>
      <c r="C1143" s="0" t="n">
        <v>0</v>
      </c>
      <c r="D1143" s="0" t="n">
        <v>4</v>
      </c>
      <c r="E1143" s="0" t="n">
        <f aca="false">-1+A1143*0.25</f>
        <v>-0.75</v>
      </c>
      <c r="F1143" s="0" t="n">
        <f aca="false">-1+B1143*0.25</f>
        <v>0.25</v>
      </c>
      <c r="G1143" s="0" t="n">
        <f aca="false">-1+C1143*0.25</f>
        <v>-1</v>
      </c>
      <c r="H1143" s="0" t="n">
        <f aca="false">-1+D1143*0.25</f>
        <v>0</v>
      </c>
      <c r="I1143" s="0" t="n">
        <f aca="false">1</f>
        <v>1</v>
      </c>
      <c r="J1143" s="0" t="n">
        <f aca="false">E1143</f>
        <v>-0.75</v>
      </c>
      <c r="K1143" s="0" t="n">
        <f aca="false">F1143</f>
        <v>0.25</v>
      </c>
      <c r="L1143" s="0" t="n">
        <f aca="false">G1143</f>
        <v>-1</v>
      </c>
      <c r="M1143" s="0" t="n">
        <f aca="false">H1143</f>
        <v>0</v>
      </c>
      <c r="N1143" s="0" t="n">
        <f aca="false">E1143*F1143</f>
        <v>-0.1875</v>
      </c>
      <c r="O1143" s="0" t="n">
        <f aca="false">E1143*G1143</f>
        <v>0.75</v>
      </c>
      <c r="P1143" s="0" t="n">
        <f aca="false">E1143*H1143</f>
        <v>-0</v>
      </c>
      <c r="Q1143" s="0" t="n">
        <f aca="false">F1143*G1143</f>
        <v>-0.25</v>
      </c>
      <c r="R1143" s="0" t="n">
        <f aca="false">F1143*H1143</f>
        <v>0</v>
      </c>
      <c r="S1143" s="0" t="n">
        <f aca="false">G1143*H1143</f>
        <v>-0</v>
      </c>
      <c r="T1143" s="0" t="n">
        <f aca="false">E1143*E1143</f>
        <v>0.5625</v>
      </c>
      <c r="U1143" s="0" t="n">
        <f aca="false">F1143*F1143</f>
        <v>0.0625</v>
      </c>
      <c r="V1143" s="0" t="n">
        <f aca="false">G1143*G1143</f>
        <v>1</v>
      </c>
      <c r="W1143" s="0" t="n">
        <f aca="false">H1143*H1143</f>
        <v>0</v>
      </c>
      <c r="X1143" s="0" t="n">
        <f aca="false">SUMPRODUCT(I1143:W1143,_XtX!$B$96:$P$96)</f>
        <v>42.870952119883</v>
      </c>
      <c r="Y1143" s="0" t="n">
        <f aca="false">SUMPRODUCT(MMULT(I1143:W1143,_XtX!$B$78:$P$92),I1143:W1143)</f>
        <v>0.501534802174708</v>
      </c>
      <c r="Z1143" s="0" t="n">
        <f aca="false">04_回帰ANOVA!$K$19*04_回帰ANOVA!$K$14*SQRT(1+Y1143)</f>
        <v>1.59722498091333</v>
      </c>
      <c r="AA1143" s="0" t="n">
        <f aca="false">X1143-Z1143</f>
        <v>41.2737271389697</v>
      </c>
      <c r="AB1143" s="0" t="n">
        <f aca="false">X1143+Z1143</f>
        <v>44.4681771007964</v>
      </c>
      <c r="AC1143" s="54" t="b">
        <f aca="false">AND(E1143&gt;=01_因子設定!$L$5-0.000000001,E1143&lt;=01_因子設定!$M$5+0.000000001,F1143&gt;=01_因子設定!$L$6-0.000000001,F1143&lt;=01_因子設定!$M$6+0.000000001,G1143&gt;=01_因子設定!$L$7-0.000000001,G1143&lt;=01_因子設定!$M$7+0.000000001,H1143&gt;=01_因子設定!$L$8-0.000000001,H1143&lt;=01_因子設定!$M$8+0.000000001,IF(01_因子設定!$B$20="Box-Behnken",E1143^2+F1143^2+G1143^2+H1143^2&lt;=2+0.000000001,TRUE()))</f>
        <v>1</v>
      </c>
      <c r="AD1143" s="55" t="n">
        <f aca="false">IF(AC1143,IF(01_因子設定!$B$13="最大化",AA1143-01_因子設定!$B$14,IF(01_因子設定!$B$13="最小化",01_因子設定!$B$15-AB1143,MIN(AA1143-01_因子設定!$B$14,01_因子設定!$B$15-AB1143))),-1E+030)</f>
        <v>-5.2262728610303</v>
      </c>
      <c r="AE1143" s="55" t="n">
        <f aca="false">IF(AC1143,IF(01_因子設定!$B$13="最大化",X1143,IF(01_因子設定!$B$13="最小化",-X1143,-ABS(X1143-01_因子設定!$B$16))),-1E+030)</f>
        <v>42.870952119883</v>
      </c>
      <c r="AF1143" s="55" t="n">
        <f aca="false">AD1143+ROW()*0.000000001</f>
        <v>-5.2262717180303</v>
      </c>
      <c r="AG1143" s="55" t="n">
        <f aca="false">AE1143+ROW()*0.000000001</f>
        <v>42.870953262883</v>
      </c>
    </row>
    <row r="1144" customFormat="false" ht="15" hidden="false" customHeight="false" outlineLevel="0" collapsed="false">
      <c r="A1144" s="0" t="n">
        <v>1</v>
      </c>
      <c r="B1144" s="0" t="n">
        <v>5</v>
      </c>
      <c r="C1144" s="0" t="n">
        <v>0</v>
      </c>
      <c r="D1144" s="0" t="n">
        <v>5</v>
      </c>
      <c r="E1144" s="0" t="n">
        <f aca="false">-1+A1144*0.25</f>
        <v>-0.75</v>
      </c>
      <c r="F1144" s="0" t="n">
        <f aca="false">-1+B1144*0.25</f>
        <v>0.25</v>
      </c>
      <c r="G1144" s="0" t="n">
        <f aca="false">-1+C1144*0.25</f>
        <v>-1</v>
      </c>
      <c r="H1144" s="0" t="n">
        <f aca="false">-1+D1144*0.25</f>
        <v>0.25</v>
      </c>
      <c r="I1144" s="0" t="n">
        <f aca="false">1</f>
        <v>1</v>
      </c>
      <c r="J1144" s="0" t="n">
        <f aca="false">E1144</f>
        <v>-0.75</v>
      </c>
      <c r="K1144" s="0" t="n">
        <f aca="false">F1144</f>
        <v>0.25</v>
      </c>
      <c r="L1144" s="0" t="n">
        <f aca="false">G1144</f>
        <v>-1</v>
      </c>
      <c r="M1144" s="0" t="n">
        <f aca="false">H1144</f>
        <v>0.25</v>
      </c>
      <c r="N1144" s="0" t="n">
        <f aca="false">E1144*F1144</f>
        <v>-0.1875</v>
      </c>
      <c r="O1144" s="0" t="n">
        <f aca="false">E1144*G1144</f>
        <v>0.75</v>
      </c>
      <c r="P1144" s="0" t="n">
        <f aca="false">E1144*H1144</f>
        <v>-0.1875</v>
      </c>
      <c r="Q1144" s="0" t="n">
        <f aca="false">F1144*G1144</f>
        <v>-0.25</v>
      </c>
      <c r="R1144" s="0" t="n">
        <f aca="false">F1144*H1144</f>
        <v>0.0625</v>
      </c>
      <c r="S1144" s="0" t="n">
        <f aca="false">G1144*H1144</f>
        <v>-0.25</v>
      </c>
      <c r="T1144" s="0" t="n">
        <f aca="false">E1144*E1144</f>
        <v>0.5625</v>
      </c>
      <c r="U1144" s="0" t="n">
        <f aca="false">F1144*F1144</f>
        <v>0.0625</v>
      </c>
      <c r="V1144" s="0" t="n">
        <f aca="false">G1144*G1144</f>
        <v>1</v>
      </c>
      <c r="W1144" s="0" t="n">
        <f aca="false">H1144*H1144</f>
        <v>0.0625</v>
      </c>
      <c r="X1144" s="0" t="n">
        <f aca="false">SUMPRODUCT(I1144:W1144,_XtX!$B$96:$P$96)</f>
        <v>42.83984375</v>
      </c>
      <c r="Y1144" s="0" t="n">
        <f aca="false">SUMPRODUCT(MMULT(I1144:W1144,_XtX!$B$78:$P$92),I1144:W1144)</f>
        <v>0.486409505208334</v>
      </c>
      <c r="Z1144" s="0" t="n">
        <f aca="false">04_回帰ANOVA!$K$19*04_回帰ANOVA!$K$14*SQRT(1+Y1144)</f>
        <v>1.58916001665498</v>
      </c>
      <c r="AA1144" s="0" t="n">
        <f aca="false">X1144-Z1144</f>
        <v>41.250683733345</v>
      </c>
      <c r="AB1144" s="0" t="n">
        <f aca="false">X1144+Z1144</f>
        <v>44.429003766655</v>
      </c>
      <c r="AC1144" s="54" t="b">
        <f aca="false">AND(E1144&gt;=01_因子設定!$L$5-0.000000001,E1144&lt;=01_因子設定!$M$5+0.000000001,F1144&gt;=01_因子設定!$L$6-0.000000001,F1144&lt;=01_因子設定!$M$6+0.000000001,G1144&gt;=01_因子設定!$L$7-0.000000001,G1144&lt;=01_因子設定!$M$7+0.000000001,H1144&gt;=01_因子設定!$L$8-0.000000001,H1144&lt;=01_因子設定!$M$8+0.000000001,IF(01_因子設定!$B$20="Box-Behnken",E1144^2+F1144^2+G1144^2+H1144^2&lt;=2+0.000000001,TRUE()))</f>
        <v>1</v>
      </c>
      <c r="AD1144" s="55" t="n">
        <f aca="false">IF(AC1144,IF(01_因子設定!$B$13="最大化",AA1144-01_因子設定!$B$14,IF(01_因子設定!$B$13="最小化",01_因子設定!$B$15-AB1144,MIN(AA1144-01_因子設定!$B$14,01_因子設定!$B$15-AB1144))),-1E+030)</f>
        <v>-5.24931626665499</v>
      </c>
      <c r="AE1144" s="55" t="n">
        <f aca="false">IF(AC1144,IF(01_因子設定!$B$13="最大化",X1144,IF(01_因子設定!$B$13="最小化",-X1144,-ABS(X1144-01_因子設定!$B$16))),-1E+030)</f>
        <v>42.83984375</v>
      </c>
      <c r="AF1144" s="55" t="n">
        <f aca="false">AD1144+ROW()*0.000000001</f>
        <v>-5.24931512265499</v>
      </c>
      <c r="AG1144" s="55" t="n">
        <f aca="false">AE1144+ROW()*0.000000001</f>
        <v>42.839844894</v>
      </c>
    </row>
    <row r="1145" customFormat="false" ht="15" hidden="false" customHeight="false" outlineLevel="0" collapsed="false">
      <c r="A1145" s="0" t="n">
        <v>1</v>
      </c>
      <c r="B1145" s="0" t="n">
        <v>5</v>
      </c>
      <c r="C1145" s="0" t="n">
        <v>0</v>
      </c>
      <c r="D1145" s="0" t="n">
        <v>6</v>
      </c>
      <c r="E1145" s="0" t="n">
        <f aca="false">-1+A1145*0.25</f>
        <v>-0.75</v>
      </c>
      <c r="F1145" s="0" t="n">
        <f aca="false">-1+B1145*0.25</f>
        <v>0.25</v>
      </c>
      <c r="G1145" s="0" t="n">
        <f aca="false">-1+C1145*0.25</f>
        <v>-1</v>
      </c>
      <c r="H1145" s="0" t="n">
        <f aca="false">-1+D1145*0.25</f>
        <v>0.5</v>
      </c>
      <c r="I1145" s="0" t="n">
        <f aca="false">1</f>
        <v>1</v>
      </c>
      <c r="J1145" s="0" t="n">
        <f aca="false">E1145</f>
        <v>-0.75</v>
      </c>
      <c r="K1145" s="0" t="n">
        <f aca="false">F1145</f>
        <v>0.25</v>
      </c>
      <c r="L1145" s="0" t="n">
        <f aca="false">G1145</f>
        <v>-1</v>
      </c>
      <c r="M1145" s="0" t="n">
        <f aca="false">H1145</f>
        <v>0.5</v>
      </c>
      <c r="N1145" s="0" t="n">
        <f aca="false">E1145*F1145</f>
        <v>-0.1875</v>
      </c>
      <c r="O1145" s="0" t="n">
        <f aca="false">E1145*G1145</f>
        <v>0.75</v>
      </c>
      <c r="P1145" s="0" t="n">
        <f aca="false">E1145*H1145</f>
        <v>-0.375</v>
      </c>
      <c r="Q1145" s="0" t="n">
        <f aca="false">F1145*G1145</f>
        <v>-0.25</v>
      </c>
      <c r="R1145" s="0" t="n">
        <f aca="false">F1145*H1145</f>
        <v>0.125</v>
      </c>
      <c r="S1145" s="0" t="n">
        <f aca="false">G1145*H1145</f>
        <v>-0.5</v>
      </c>
      <c r="T1145" s="0" t="n">
        <f aca="false">E1145*E1145</f>
        <v>0.5625</v>
      </c>
      <c r="U1145" s="0" t="n">
        <f aca="false">F1145*F1145</f>
        <v>0.0625</v>
      </c>
      <c r="V1145" s="0" t="n">
        <f aca="false">G1145*G1145</f>
        <v>1</v>
      </c>
      <c r="W1145" s="0" t="n">
        <f aca="false">H1145*H1145</f>
        <v>0.25</v>
      </c>
      <c r="X1145" s="0" t="n">
        <f aca="false">SUMPRODUCT(I1145:W1145,_XtX!$B$96:$P$96)</f>
        <v>42.7609283625731</v>
      </c>
      <c r="Y1145" s="0" t="n">
        <f aca="false">SUMPRODUCT(MMULT(I1145:W1145,_XtX!$B$78:$P$92),I1145:W1145)</f>
        <v>0.459125719572369</v>
      </c>
      <c r="Z1145" s="0" t="n">
        <f aca="false">04_回帰ANOVA!$K$19*04_回帰ANOVA!$K$14*SQRT(1+Y1145)</f>
        <v>1.57450755575573</v>
      </c>
      <c r="AA1145" s="0" t="n">
        <f aca="false">X1145-Z1145</f>
        <v>41.1864208068174</v>
      </c>
      <c r="AB1145" s="0" t="n">
        <f aca="false">X1145+Z1145</f>
        <v>44.3354359183288</v>
      </c>
      <c r="AC1145" s="54" t="b">
        <f aca="false">AND(E1145&gt;=01_因子設定!$L$5-0.000000001,E1145&lt;=01_因子設定!$M$5+0.000000001,F1145&gt;=01_因子設定!$L$6-0.000000001,F1145&lt;=01_因子設定!$M$6+0.000000001,G1145&gt;=01_因子設定!$L$7-0.000000001,G1145&lt;=01_因子設定!$M$7+0.000000001,H1145&gt;=01_因子設定!$L$8-0.000000001,H1145&lt;=01_因子設定!$M$8+0.000000001,IF(01_因子設定!$B$20="Box-Behnken",E1145^2+F1145^2+G1145^2+H1145^2&lt;=2+0.000000001,TRUE()))</f>
        <v>1</v>
      </c>
      <c r="AD1145" s="55" t="n">
        <f aca="false">IF(AC1145,IF(01_因子設定!$B$13="最大化",AA1145-01_因子設定!$B$14,IF(01_因子設定!$B$13="最小化",01_因子設定!$B$15-AB1145,MIN(AA1145-01_因子設定!$B$14,01_因子設定!$B$15-AB1145))),-1E+030)</f>
        <v>-5.31357919318263</v>
      </c>
      <c r="AE1145" s="55" t="n">
        <f aca="false">IF(AC1145,IF(01_因子設定!$B$13="最大化",X1145,IF(01_因子設定!$B$13="最小化",-X1145,-ABS(X1145-01_因子設定!$B$16))),-1E+030)</f>
        <v>42.7609283625731</v>
      </c>
      <c r="AF1145" s="55" t="n">
        <f aca="false">AD1145+ROW()*0.000000001</f>
        <v>-5.31357804818263</v>
      </c>
      <c r="AG1145" s="55" t="n">
        <f aca="false">AE1145+ROW()*0.000000001</f>
        <v>42.7609295075731</v>
      </c>
    </row>
    <row r="1146" customFormat="false" ht="15" hidden="false" customHeight="false" outlineLevel="0" collapsed="false">
      <c r="A1146" s="0" t="n">
        <v>1</v>
      </c>
      <c r="B1146" s="0" t="n">
        <v>5</v>
      </c>
      <c r="C1146" s="0" t="n">
        <v>0</v>
      </c>
      <c r="D1146" s="0" t="n">
        <v>7</v>
      </c>
      <c r="E1146" s="0" t="n">
        <f aca="false">-1+A1146*0.25</f>
        <v>-0.75</v>
      </c>
      <c r="F1146" s="0" t="n">
        <f aca="false">-1+B1146*0.25</f>
        <v>0.25</v>
      </c>
      <c r="G1146" s="0" t="n">
        <f aca="false">-1+C1146*0.25</f>
        <v>-1</v>
      </c>
      <c r="H1146" s="0" t="n">
        <f aca="false">-1+D1146*0.25</f>
        <v>0.75</v>
      </c>
      <c r="I1146" s="0" t="n">
        <f aca="false">1</f>
        <v>1</v>
      </c>
      <c r="J1146" s="0" t="n">
        <f aca="false">E1146</f>
        <v>-0.75</v>
      </c>
      <c r="K1146" s="0" t="n">
        <f aca="false">F1146</f>
        <v>0.25</v>
      </c>
      <c r="L1146" s="0" t="n">
        <f aca="false">G1146</f>
        <v>-1</v>
      </c>
      <c r="M1146" s="0" t="n">
        <f aca="false">H1146</f>
        <v>0.75</v>
      </c>
      <c r="N1146" s="0" t="n">
        <f aca="false">E1146*F1146</f>
        <v>-0.1875</v>
      </c>
      <c r="O1146" s="0" t="n">
        <f aca="false">E1146*G1146</f>
        <v>0.75</v>
      </c>
      <c r="P1146" s="0" t="n">
        <f aca="false">E1146*H1146</f>
        <v>-0.5625</v>
      </c>
      <c r="Q1146" s="0" t="n">
        <f aca="false">F1146*G1146</f>
        <v>-0.25</v>
      </c>
      <c r="R1146" s="0" t="n">
        <f aca="false">F1146*H1146</f>
        <v>0.1875</v>
      </c>
      <c r="S1146" s="0" t="n">
        <f aca="false">G1146*H1146</f>
        <v>-0.75</v>
      </c>
      <c r="T1146" s="0" t="n">
        <f aca="false">E1146*E1146</f>
        <v>0.5625</v>
      </c>
      <c r="U1146" s="0" t="n">
        <f aca="false">F1146*F1146</f>
        <v>0.0625</v>
      </c>
      <c r="V1146" s="0" t="n">
        <f aca="false">G1146*G1146</f>
        <v>1</v>
      </c>
      <c r="W1146" s="0" t="n">
        <f aca="false">H1146*H1146</f>
        <v>0.5625</v>
      </c>
      <c r="X1146" s="0" t="n">
        <f aca="false">SUMPRODUCT(I1146:W1146,_XtX!$B$96:$P$96)</f>
        <v>42.6342059576024</v>
      </c>
      <c r="Y1146" s="0" t="n">
        <f aca="false">SUMPRODUCT(MMULT(I1146:W1146,_XtX!$B$78:$P$92),I1146:W1146)</f>
        <v>0.473959761056287</v>
      </c>
      <c r="Z1146" s="0" t="n">
        <f aca="false">04_回帰ANOVA!$K$19*04_回帰ANOVA!$K$14*SQRT(1+Y1146)</f>
        <v>1.58249084588329</v>
      </c>
      <c r="AA1146" s="0" t="n">
        <f aca="false">X1146-Z1146</f>
        <v>41.0517151117191</v>
      </c>
      <c r="AB1146" s="0" t="n">
        <f aca="false">X1146+Z1146</f>
        <v>44.2166968034856</v>
      </c>
      <c r="AC1146" s="54" t="b">
        <f aca="false">AND(E1146&gt;=01_因子設定!$L$5-0.000000001,E1146&lt;=01_因子設定!$M$5+0.000000001,F1146&gt;=01_因子設定!$L$6-0.000000001,F1146&lt;=01_因子設定!$M$6+0.000000001,G1146&gt;=01_因子設定!$L$7-0.000000001,G1146&lt;=01_因子設定!$M$7+0.000000001,H1146&gt;=01_因子設定!$L$8-0.000000001,H1146&lt;=01_因子設定!$M$8+0.000000001,IF(01_因子設定!$B$20="Box-Behnken",E1146^2+F1146^2+G1146^2+H1146^2&lt;=2+0.000000001,TRUE()))</f>
        <v>1</v>
      </c>
      <c r="AD1146" s="55" t="n">
        <f aca="false">IF(AC1146,IF(01_因子設定!$B$13="最大化",AA1146-01_因子設定!$B$14,IF(01_因子設定!$B$13="最小化",01_因子設定!$B$15-AB1146,MIN(AA1146-01_因子設定!$B$14,01_因子設定!$B$15-AB1146))),-1E+030)</f>
        <v>-5.44828488828094</v>
      </c>
      <c r="AE1146" s="55" t="n">
        <f aca="false">IF(AC1146,IF(01_因子設定!$B$13="最大化",X1146,IF(01_因子設定!$B$13="最小化",-X1146,-ABS(X1146-01_因子設定!$B$16))),-1E+030)</f>
        <v>42.6342059576024</v>
      </c>
      <c r="AF1146" s="55" t="n">
        <f aca="false">AD1146+ROW()*0.000000001</f>
        <v>-5.44828374228094</v>
      </c>
      <c r="AG1146" s="55" t="n">
        <f aca="false">AE1146+ROW()*0.000000001</f>
        <v>42.6342071036024</v>
      </c>
    </row>
    <row r="1147" customFormat="false" ht="15" hidden="false" customHeight="false" outlineLevel="0" collapsed="false">
      <c r="A1147" s="0" t="n">
        <v>1</v>
      </c>
      <c r="B1147" s="0" t="n">
        <v>5</v>
      </c>
      <c r="C1147" s="0" t="n">
        <v>0</v>
      </c>
      <c r="D1147" s="0" t="n">
        <v>8</v>
      </c>
      <c r="E1147" s="0" t="n">
        <f aca="false">-1+A1147*0.25</f>
        <v>-0.75</v>
      </c>
      <c r="F1147" s="0" t="n">
        <f aca="false">-1+B1147*0.25</f>
        <v>0.25</v>
      </c>
      <c r="G1147" s="0" t="n">
        <f aca="false">-1+C1147*0.25</f>
        <v>-1</v>
      </c>
      <c r="H1147" s="0" t="n">
        <f aca="false">-1+D1147*0.25</f>
        <v>1</v>
      </c>
      <c r="I1147" s="0" t="n">
        <f aca="false">1</f>
        <v>1</v>
      </c>
      <c r="J1147" s="0" t="n">
        <f aca="false">E1147</f>
        <v>-0.75</v>
      </c>
      <c r="K1147" s="0" t="n">
        <f aca="false">F1147</f>
        <v>0.25</v>
      </c>
      <c r="L1147" s="0" t="n">
        <f aca="false">G1147</f>
        <v>-1</v>
      </c>
      <c r="M1147" s="0" t="n">
        <f aca="false">H1147</f>
        <v>1</v>
      </c>
      <c r="N1147" s="0" t="n">
        <f aca="false">E1147*F1147</f>
        <v>-0.1875</v>
      </c>
      <c r="O1147" s="0" t="n">
        <f aca="false">E1147*G1147</f>
        <v>0.75</v>
      </c>
      <c r="P1147" s="0" t="n">
        <f aca="false">E1147*H1147</f>
        <v>-0.75</v>
      </c>
      <c r="Q1147" s="0" t="n">
        <f aca="false">F1147*G1147</f>
        <v>-0.25</v>
      </c>
      <c r="R1147" s="0" t="n">
        <f aca="false">F1147*H1147</f>
        <v>0.25</v>
      </c>
      <c r="S1147" s="0" t="n">
        <f aca="false">G1147*H1147</f>
        <v>-1</v>
      </c>
      <c r="T1147" s="0" t="n">
        <f aca="false">E1147*E1147</f>
        <v>0.5625</v>
      </c>
      <c r="U1147" s="0" t="n">
        <f aca="false">F1147*F1147</f>
        <v>0.0625</v>
      </c>
      <c r="V1147" s="0" t="n">
        <f aca="false">G1147*G1147</f>
        <v>1</v>
      </c>
      <c r="W1147" s="0" t="n">
        <f aca="false">H1147*H1147</f>
        <v>1</v>
      </c>
      <c r="X1147" s="0" t="n">
        <f aca="false">SUMPRODUCT(I1147:W1147,_XtX!$B$96:$P$96)</f>
        <v>42.4596765350877</v>
      </c>
      <c r="Y1147" s="0" t="n">
        <f aca="false">SUMPRODUCT(MMULT(I1147:W1147,_XtX!$B$78:$P$92),I1147:W1147)</f>
        <v>0.621372155975877</v>
      </c>
      <c r="Z1147" s="0" t="n">
        <f aca="false">04_回帰ANOVA!$K$19*04_回帰ANOVA!$K$14*SQRT(1+Y1147)</f>
        <v>1.65973880499872</v>
      </c>
      <c r="AA1147" s="0" t="n">
        <f aca="false">X1147-Z1147</f>
        <v>40.799937730089</v>
      </c>
      <c r="AB1147" s="0" t="n">
        <f aca="false">X1147+Z1147</f>
        <v>44.1194153400865</v>
      </c>
      <c r="AC1147" s="54" t="b">
        <f aca="false">AND(E1147&gt;=01_因子設定!$L$5-0.000000001,E1147&lt;=01_因子設定!$M$5+0.000000001,F1147&gt;=01_因子設定!$L$6-0.000000001,F1147&lt;=01_因子設定!$M$6+0.000000001,G1147&gt;=01_因子設定!$L$7-0.000000001,G1147&lt;=01_因子設定!$M$7+0.000000001,H1147&gt;=01_因子設定!$L$8-0.000000001,H1147&lt;=01_因子設定!$M$8+0.000000001,IF(01_因子設定!$B$20="Box-Behnken",E1147^2+F1147^2+G1147^2+H1147^2&lt;=2+0.000000001,TRUE()))</f>
        <v>1</v>
      </c>
      <c r="AD1147" s="55" t="n">
        <f aca="false">IF(AC1147,IF(01_因子設定!$B$13="最大化",AA1147-01_因子設定!$B$14,IF(01_因子設定!$B$13="最小化",01_因子設定!$B$15-AB1147,MIN(AA1147-01_因子設定!$B$14,01_因子設定!$B$15-AB1147))),-1E+030)</f>
        <v>-5.70006226991097</v>
      </c>
      <c r="AE1147" s="55" t="n">
        <f aca="false">IF(AC1147,IF(01_因子設定!$B$13="最大化",X1147,IF(01_因子設定!$B$13="最小化",-X1147,-ABS(X1147-01_因子設定!$B$16))),-1E+030)</f>
        <v>42.4596765350877</v>
      </c>
      <c r="AF1147" s="55" t="n">
        <f aca="false">AD1147+ROW()*0.000000001</f>
        <v>-5.70006112291097</v>
      </c>
      <c r="AG1147" s="55" t="n">
        <f aca="false">AE1147+ROW()*0.000000001</f>
        <v>42.4596776820877</v>
      </c>
    </row>
    <row r="1148" customFormat="false" ht="15" hidden="false" customHeight="false" outlineLevel="0" collapsed="false">
      <c r="A1148" s="0" t="n">
        <v>1</v>
      </c>
      <c r="B1148" s="0" t="n">
        <v>5</v>
      </c>
      <c r="C1148" s="0" t="n">
        <v>1</v>
      </c>
      <c r="D1148" s="0" t="n">
        <v>0</v>
      </c>
      <c r="E1148" s="0" t="n">
        <f aca="false">-1+A1148*0.25</f>
        <v>-0.75</v>
      </c>
      <c r="F1148" s="0" t="n">
        <f aca="false">-1+B1148*0.25</f>
        <v>0.25</v>
      </c>
      <c r="G1148" s="0" t="n">
        <f aca="false">-1+C1148*0.25</f>
        <v>-0.75</v>
      </c>
      <c r="H1148" s="0" t="n">
        <f aca="false">-1+D1148*0.25</f>
        <v>-1</v>
      </c>
      <c r="I1148" s="0" t="n">
        <f aca="false">1</f>
        <v>1</v>
      </c>
      <c r="J1148" s="0" t="n">
        <f aca="false">E1148</f>
        <v>-0.75</v>
      </c>
      <c r="K1148" s="0" t="n">
        <f aca="false">F1148</f>
        <v>0.25</v>
      </c>
      <c r="L1148" s="0" t="n">
        <f aca="false">G1148</f>
        <v>-0.75</v>
      </c>
      <c r="M1148" s="0" t="n">
        <f aca="false">H1148</f>
        <v>-1</v>
      </c>
      <c r="N1148" s="0" t="n">
        <f aca="false">E1148*F1148</f>
        <v>-0.1875</v>
      </c>
      <c r="O1148" s="0" t="n">
        <f aca="false">E1148*G1148</f>
        <v>0.5625</v>
      </c>
      <c r="P1148" s="0" t="n">
        <f aca="false">E1148*H1148</f>
        <v>0.75</v>
      </c>
      <c r="Q1148" s="0" t="n">
        <f aca="false">F1148*G1148</f>
        <v>-0.1875</v>
      </c>
      <c r="R1148" s="0" t="n">
        <f aca="false">F1148*H1148</f>
        <v>-0.25</v>
      </c>
      <c r="S1148" s="0" t="n">
        <f aca="false">G1148*H1148</f>
        <v>0.75</v>
      </c>
      <c r="T1148" s="0" t="n">
        <f aca="false">E1148*E1148</f>
        <v>0.5625</v>
      </c>
      <c r="U1148" s="0" t="n">
        <f aca="false">F1148*F1148</f>
        <v>0.0625</v>
      </c>
      <c r="V1148" s="0" t="n">
        <f aca="false">G1148*G1148</f>
        <v>0.5625</v>
      </c>
      <c r="W1148" s="0" t="n">
        <f aca="false">H1148*H1148</f>
        <v>1</v>
      </c>
      <c r="X1148" s="0" t="n">
        <f aca="false">SUMPRODUCT(I1148:W1148,_XtX!$B$96:$P$96)</f>
        <v>43.1312545687135</v>
      </c>
      <c r="Y1148" s="0" t="n">
        <f aca="false">SUMPRODUCT(MMULT(I1148:W1148,_XtX!$B$78:$P$92),I1148:W1148)</f>
        <v>0.473959761056287</v>
      </c>
      <c r="Z1148" s="0" t="n">
        <f aca="false">04_回帰ANOVA!$K$19*04_回帰ANOVA!$K$14*SQRT(1+Y1148)</f>
        <v>1.58249084588329</v>
      </c>
      <c r="AA1148" s="0" t="n">
        <f aca="false">X1148-Z1148</f>
        <v>41.5487637228302</v>
      </c>
      <c r="AB1148" s="0" t="n">
        <f aca="false">X1148+Z1148</f>
        <v>44.7137454145968</v>
      </c>
      <c r="AC1148" s="54" t="b">
        <f aca="false">AND(E1148&gt;=01_因子設定!$L$5-0.000000001,E1148&lt;=01_因子設定!$M$5+0.000000001,F1148&gt;=01_因子設定!$L$6-0.000000001,F1148&lt;=01_因子設定!$M$6+0.000000001,G1148&gt;=01_因子設定!$L$7-0.000000001,G1148&lt;=01_因子設定!$M$7+0.000000001,H1148&gt;=01_因子設定!$L$8-0.000000001,H1148&lt;=01_因子設定!$M$8+0.000000001,IF(01_因子設定!$B$20="Box-Behnken",E1148^2+F1148^2+G1148^2+H1148^2&lt;=2+0.000000001,TRUE()))</f>
        <v>1</v>
      </c>
      <c r="AD1148" s="55" t="n">
        <f aca="false">IF(AC1148,IF(01_因子設定!$B$13="最大化",AA1148-01_因子設定!$B$14,IF(01_因子設定!$B$13="最小化",01_因子設定!$B$15-AB1148,MIN(AA1148-01_因子設定!$B$14,01_因子設定!$B$15-AB1148))),-1E+030)</f>
        <v>-4.95123627716981</v>
      </c>
      <c r="AE1148" s="55" t="n">
        <f aca="false">IF(AC1148,IF(01_因子設定!$B$13="最大化",X1148,IF(01_因子設定!$B$13="最小化",-X1148,-ABS(X1148-01_因子設定!$B$16))),-1E+030)</f>
        <v>43.1312545687135</v>
      </c>
      <c r="AF1148" s="55" t="n">
        <f aca="false">AD1148+ROW()*0.000000001</f>
        <v>-4.95123512916981</v>
      </c>
      <c r="AG1148" s="55" t="n">
        <f aca="false">AE1148+ROW()*0.000000001</f>
        <v>43.1312557167135</v>
      </c>
    </row>
    <row r="1149" customFormat="false" ht="15" hidden="false" customHeight="false" outlineLevel="0" collapsed="false">
      <c r="A1149" s="0" t="n">
        <v>1</v>
      </c>
      <c r="B1149" s="0" t="n">
        <v>5</v>
      </c>
      <c r="C1149" s="0" t="n">
        <v>1</v>
      </c>
      <c r="D1149" s="0" t="n">
        <v>1</v>
      </c>
      <c r="E1149" s="0" t="n">
        <f aca="false">-1+A1149*0.25</f>
        <v>-0.75</v>
      </c>
      <c r="F1149" s="0" t="n">
        <f aca="false">-1+B1149*0.25</f>
        <v>0.25</v>
      </c>
      <c r="G1149" s="0" t="n">
        <f aca="false">-1+C1149*0.25</f>
        <v>-0.75</v>
      </c>
      <c r="H1149" s="0" t="n">
        <f aca="false">-1+D1149*0.25</f>
        <v>-0.75</v>
      </c>
      <c r="I1149" s="0" t="n">
        <f aca="false">1</f>
        <v>1</v>
      </c>
      <c r="J1149" s="0" t="n">
        <f aca="false">E1149</f>
        <v>-0.75</v>
      </c>
      <c r="K1149" s="0" t="n">
        <f aca="false">F1149</f>
        <v>0.25</v>
      </c>
      <c r="L1149" s="0" t="n">
        <f aca="false">G1149</f>
        <v>-0.75</v>
      </c>
      <c r="M1149" s="0" t="n">
        <f aca="false">H1149</f>
        <v>-0.75</v>
      </c>
      <c r="N1149" s="0" t="n">
        <f aca="false">E1149*F1149</f>
        <v>-0.1875</v>
      </c>
      <c r="O1149" s="0" t="n">
        <f aca="false">E1149*G1149</f>
        <v>0.5625</v>
      </c>
      <c r="P1149" s="0" t="n">
        <f aca="false">E1149*H1149</f>
        <v>0.5625</v>
      </c>
      <c r="Q1149" s="0" t="n">
        <f aca="false">F1149*G1149</f>
        <v>-0.1875</v>
      </c>
      <c r="R1149" s="0" t="n">
        <f aca="false">F1149*H1149</f>
        <v>-0.1875</v>
      </c>
      <c r="S1149" s="0" t="n">
        <f aca="false">G1149*H1149</f>
        <v>0.5625</v>
      </c>
      <c r="T1149" s="0" t="n">
        <f aca="false">E1149*E1149</f>
        <v>0.5625</v>
      </c>
      <c r="U1149" s="0" t="n">
        <f aca="false">F1149*F1149</f>
        <v>0.0625</v>
      </c>
      <c r="V1149" s="0" t="n">
        <f aca="false">G1149*G1149</f>
        <v>0.5625</v>
      </c>
      <c r="W1149" s="0" t="n">
        <f aca="false">H1149*H1149</f>
        <v>0.5625</v>
      </c>
      <c r="X1149" s="0" t="n">
        <f aca="false">SUMPRODUCT(I1149:W1149,_XtX!$B$96:$P$96)</f>
        <v>43.3093430190059</v>
      </c>
      <c r="Y1149" s="0" t="n">
        <f aca="false">SUMPRODUCT(MMULT(I1149:W1149,_XtX!$B$78:$P$92),I1149:W1149)</f>
        <v>0.294856199744152</v>
      </c>
      <c r="Z1149" s="0" t="n">
        <f aca="false">04_回帰ANOVA!$K$19*04_回帰ANOVA!$K$14*SQRT(1+Y1149)</f>
        <v>1.48323226089013</v>
      </c>
      <c r="AA1149" s="0" t="n">
        <f aca="false">X1149-Z1149</f>
        <v>41.8261107581157</v>
      </c>
      <c r="AB1149" s="0" t="n">
        <f aca="false">X1149+Z1149</f>
        <v>44.792575279896</v>
      </c>
      <c r="AC1149" s="54" t="b">
        <f aca="false">AND(E1149&gt;=01_因子設定!$L$5-0.000000001,E1149&lt;=01_因子設定!$M$5+0.000000001,F1149&gt;=01_因子設定!$L$6-0.000000001,F1149&lt;=01_因子設定!$M$6+0.000000001,G1149&gt;=01_因子設定!$L$7-0.000000001,G1149&lt;=01_因子設定!$M$7+0.000000001,H1149&gt;=01_因子設定!$L$8-0.000000001,H1149&lt;=01_因子設定!$M$8+0.000000001,IF(01_因子設定!$B$20="Box-Behnken",E1149^2+F1149^2+G1149^2+H1149^2&lt;=2+0.000000001,TRUE()))</f>
        <v>1</v>
      </c>
      <c r="AD1149" s="55" t="n">
        <f aca="false">IF(AC1149,IF(01_因子設定!$B$13="最大化",AA1149-01_因子設定!$B$14,IF(01_因子設定!$B$13="最小化",01_因子設定!$B$15-AB1149,MIN(AA1149-01_因子設定!$B$14,01_因子設定!$B$15-AB1149))),-1E+030)</f>
        <v>-4.67388924188428</v>
      </c>
      <c r="AE1149" s="55" t="n">
        <f aca="false">IF(AC1149,IF(01_因子設定!$B$13="最大化",X1149,IF(01_因子設定!$B$13="最小化",-X1149,-ABS(X1149-01_因子設定!$B$16))),-1E+030)</f>
        <v>43.3093430190059</v>
      </c>
      <c r="AF1149" s="55" t="n">
        <f aca="false">AD1149+ROW()*0.000000001</f>
        <v>-4.67388809288428</v>
      </c>
      <c r="AG1149" s="55" t="n">
        <f aca="false">AE1149+ROW()*0.000000001</f>
        <v>43.3093441680059</v>
      </c>
    </row>
    <row r="1150" customFormat="false" ht="15" hidden="false" customHeight="false" outlineLevel="0" collapsed="false">
      <c r="A1150" s="0" t="n">
        <v>1</v>
      </c>
      <c r="B1150" s="0" t="n">
        <v>5</v>
      </c>
      <c r="C1150" s="0" t="n">
        <v>1</v>
      </c>
      <c r="D1150" s="0" t="n">
        <v>2</v>
      </c>
      <c r="E1150" s="0" t="n">
        <f aca="false">-1+A1150*0.25</f>
        <v>-0.75</v>
      </c>
      <c r="F1150" s="0" t="n">
        <f aca="false">-1+B1150*0.25</f>
        <v>0.25</v>
      </c>
      <c r="G1150" s="0" t="n">
        <f aca="false">-1+C1150*0.25</f>
        <v>-0.75</v>
      </c>
      <c r="H1150" s="0" t="n">
        <f aca="false">-1+D1150*0.25</f>
        <v>-0.5</v>
      </c>
      <c r="I1150" s="0" t="n">
        <f aca="false">1</f>
        <v>1</v>
      </c>
      <c r="J1150" s="0" t="n">
        <f aca="false">E1150</f>
        <v>-0.75</v>
      </c>
      <c r="K1150" s="0" t="n">
        <f aca="false">F1150</f>
        <v>0.25</v>
      </c>
      <c r="L1150" s="0" t="n">
        <f aca="false">G1150</f>
        <v>-0.75</v>
      </c>
      <c r="M1150" s="0" t="n">
        <f aca="false">H1150</f>
        <v>-0.5</v>
      </c>
      <c r="N1150" s="0" t="n">
        <f aca="false">E1150*F1150</f>
        <v>-0.1875</v>
      </c>
      <c r="O1150" s="0" t="n">
        <f aca="false">E1150*G1150</f>
        <v>0.5625</v>
      </c>
      <c r="P1150" s="0" t="n">
        <f aca="false">E1150*H1150</f>
        <v>0.375</v>
      </c>
      <c r="Q1150" s="0" t="n">
        <f aca="false">F1150*G1150</f>
        <v>-0.1875</v>
      </c>
      <c r="R1150" s="0" t="n">
        <f aca="false">F1150*H1150</f>
        <v>-0.125</v>
      </c>
      <c r="S1150" s="0" t="n">
        <f aca="false">G1150*H1150</f>
        <v>0.375</v>
      </c>
      <c r="T1150" s="0" t="n">
        <f aca="false">E1150*E1150</f>
        <v>0.5625</v>
      </c>
      <c r="U1150" s="0" t="n">
        <f aca="false">F1150*F1150</f>
        <v>0.0625</v>
      </c>
      <c r="V1150" s="0" t="n">
        <f aca="false">G1150*G1150</f>
        <v>0.5625</v>
      </c>
      <c r="W1150" s="0" t="n">
        <f aca="false">H1150*H1150</f>
        <v>0.25</v>
      </c>
      <c r="X1150" s="0" t="n">
        <f aca="false">SUMPRODUCT(I1150:W1150,_XtX!$B$96:$P$96)</f>
        <v>43.4396244517544</v>
      </c>
      <c r="Y1150" s="0" t="n">
        <f aca="false">SUMPRODUCT(MMULT(I1150:W1150,_XtX!$B$78:$P$92),I1150:W1150)</f>
        <v>0.257385610836988</v>
      </c>
      <c r="Z1150" s="0" t="n">
        <f aca="false">04_回帰ANOVA!$K$19*04_回帰ANOVA!$K$14*SQRT(1+Y1150)</f>
        <v>1.46161380324158</v>
      </c>
      <c r="AA1150" s="0" t="n">
        <f aca="false">X1150-Z1150</f>
        <v>41.9780106485128</v>
      </c>
      <c r="AB1150" s="0" t="n">
        <f aca="false">X1150+Z1150</f>
        <v>44.901238254996</v>
      </c>
      <c r="AC1150" s="54" t="b">
        <f aca="false">AND(E1150&gt;=01_因子設定!$L$5-0.000000001,E1150&lt;=01_因子設定!$M$5+0.000000001,F1150&gt;=01_因子設定!$L$6-0.000000001,F1150&lt;=01_因子設定!$M$6+0.000000001,G1150&gt;=01_因子設定!$L$7-0.000000001,G1150&lt;=01_因子設定!$M$7+0.000000001,H1150&gt;=01_因子設定!$L$8-0.000000001,H1150&lt;=01_因子設定!$M$8+0.000000001,IF(01_因子設定!$B$20="Box-Behnken",E1150^2+F1150^2+G1150^2+H1150^2&lt;=2+0.000000001,TRUE()))</f>
        <v>1</v>
      </c>
      <c r="AD1150" s="55" t="n">
        <f aca="false">IF(AC1150,IF(01_因子設定!$B$13="最大化",AA1150-01_因子設定!$B$14,IF(01_因子設定!$B$13="最小化",01_因子設定!$B$15-AB1150,MIN(AA1150-01_因子設定!$B$14,01_因子設定!$B$15-AB1150))),-1E+030)</f>
        <v>-4.5219893514872</v>
      </c>
      <c r="AE1150" s="55" t="n">
        <f aca="false">IF(AC1150,IF(01_因子設定!$B$13="最大化",X1150,IF(01_因子設定!$B$13="最小化",-X1150,-ABS(X1150-01_因子設定!$B$16))),-1E+030)</f>
        <v>43.4396244517544</v>
      </c>
      <c r="AF1150" s="55" t="n">
        <f aca="false">AD1150+ROW()*0.000000001</f>
        <v>-4.5219882014872</v>
      </c>
      <c r="AG1150" s="55" t="n">
        <f aca="false">AE1150+ROW()*0.000000001</f>
        <v>43.4396256017544</v>
      </c>
    </row>
    <row r="1151" customFormat="false" ht="15" hidden="false" customHeight="false" outlineLevel="0" collapsed="false">
      <c r="A1151" s="0" t="n">
        <v>1</v>
      </c>
      <c r="B1151" s="0" t="n">
        <v>5</v>
      </c>
      <c r="C1151" s="0" t="n">
        <v>1</v>
      </c>
      <c r="D1151" s="0" t="n">
        <v>3</v>
      </c>
      <c r="E1151" s="0" t="n">
        <f aca="false">-1+A1151*0.25</f>
        <v>-0.75</v>
      </c>
      <c r="F1151" s="0" t="n">
        <f aca="false">-1+B1151*0.25</f>
        <v>0.25</v>
      </c>
      <c r="G1151" s="0" t="n">
        <f aca="false">-1+C1151*0.25</f>
        <v>-0.75</v>
      </c>
      <c r="H1151" s="0" t="n">
        <f aca="false">-1+D1151*0.25</f>
        <v>-0.25</v>
      </c>
      <c r="I1151" s="0" t="n">
        <f aca="false">1</f>
        <v>1</v>
      </c>
      <c r="J1151" s="0" t="n">
        <f aca="false">E1151</f>
        <v>-0.75</v>
      </c>
      <c r="K1151" s="0" t="n">
        <f aca="false">F1151</f>
        <v>0.25</v>
      </c>
      <c r="L1151" s="0" t="n">
        <f aca="false">G1151</f>
        <v>-0.75</v>
      </c>
      <c r="M1151" s="0" t="n">
        <f aca="false">H1151</f>
        <v>-0.25</v>
      </c>
      <c r="N1151" s="0" t="n">
        <f aca="false">E1151*F1151</f>
        <v>-0.1875</v>
      </c>
      <c r="O1151" s="0" t="n">
        <f aca="false">E1151*G1151</f>
        <v>0.5625</v>
      </c>
      <c r="P1151" s="0" t="n">
        <f aca="false">E1151*H1151</f>
        <v>0.1875</v>
      </c>
      <c r="Q1151" s="0" t="n">
        <f aca="false">F1151*G1151</f>
        <v>-0.1875</v>
      </c>
      <c r="R1151" s="0" t="n">
        <f aca="false">F1151*H1151</f>
        <v>-0.0625</v>
      </c>
      <c r="S1151" s="0" t="n">
        <f aca="false">G1151*H1151</f>
        <v>0.1875</v>
      </c>
      <c r="T1151" s="0" t="n">
        <f aca="false">E1151*E1151</f>
        <v>0.5625</v>
      </c>
      <c r="U1151" s="0" t="n">
        <f aca="false">F1151*F1151</f>
        <v>0.0625</v>
      </c>
      <c r="V1151" s="0" t="n">
        <f aca="false">G1151*G1151</f>
        <v>0.5625</v>
      </c>
      <c r="W1151" s="0" t="n">
        <f aca="false">H1151*H1151</f>
        <v>0.0625</v>
      </c>
      <c r="X1151" s="0" t="n">
        <f aca="false">SUMPRODUCT(I1151:W1151,_XtX!$B$96:$P$96)</f>
        <v>43.5220988669591</v>
      </c>
      <c r="Y1151" s="0" t="n">
        <f aca="false">SUMPRODUCT(MMULT(I1151:W1151,_XtX!$B$78:$P$92),I1151:W1151)</f>
        <v>0.271087468019006</v>
      </c>
      <c r="Z1151" s="0" t="n">
        <f aca="false">04_回帰ANOVA!$K$19*04_回帰ANOVA!$K$14*SQRT(1+Y1151)</f>
        <v>1.46955590155034</v>
      </c>
      <c r="AA1151" s="0" t="n">
        <f aca="false">X1151-Z1151</f>
        <v>42.0525429654087</v>
      </c>
      <c r="AB1151" s="0" t="n">
        <f aca="false">X1151+Z1151</f>
        <v>44.9916547685094</v>
      </c>
      <c r="AC1151" s="54" t="b">
        <f aca="false">AND(E1151&gt;=01_因子設定!$L$5-0.000000001,E1151&lt;=01_因子設定!$M$5+0.000000001,F1151&gt;=01_因子設定!$L$6-0.000000001,F1151&lt;=01_因子設定!$M$6+0.000000001,G1151&gt;=01_因子設定!$L$7-0.000000001,G1151&lt;=01_因子設定!$M$7+0.000000001,H1151&gt;=01_因子設定!$L$8-0.000000001,H1151&lt;=01_因子設定!$M$8+0.000000001,IF(01_因子設定!$B$20="Box-Behnken",E1151^2+F1151^2+G1151^2+H1151^2&lt;=2+0.000000001,TRUE()))</f>
        <v>1</v>
      </c>
      <c r="AD1151" s="55" t="n">
        <f aca="false">IF(AC1151,IF(01_因子設定!$B$13="最大化",AA1151-01_因子設定!$B$14,IF(01_因子設定!$B$13="最小化",01_因子設定!$B$15-AB1151,MIN(AA1151-01_因子設定!$B$14,01_因子設定!$B$15-AB1151))),-1E+030)</f>
        <v>-4.44745703459129</v>
      </c>
      <c r="AE1151" s="55" t="n">
        <f aca="false">IF(AC1151,IF(01_因子設定!$B$13="最大化",X1151,IF(01_因子設定!$B$13="最小化",-X1151,-ABS(X1151-01_因子設定!$B$16))),-1E+030)</f>
        <v>43.5220988669591</v>
      </c>
      <c r="AF1151" s="55" t="n">
        <f aca="false">AD1151+ROW()*0.000000001</f>
        <v>-4.44745588359129</v>
      </c>
      <c r="AG1151" s="55" t="n">
        <f aca="false">AE1151+ROW()*0.000000001</f>
        <v>43.5221000179591</v>
      </c>
    </row>
    <row r="1152" customFormat="false" ht="15" hidden="false" customHeight="false" outlineLevel="0" collapsed="false">
      <c r="A1152" s="0" t="n">
        <v>1</v>
      </c>
      <c r="B1152" s="0" t="n">
        <v>5</v>
      </c>
      <c r="C1152" s="0" t="n">
        <v>1</v>
      </c>
      <c r="D1152" s="0" t="n">
        <v>4</v>
      </c>
      <c r="E1152" s="0" t="n">
        <f aca="false">-1+A1152*0.25</f>
        <v>-0.75</v>
      </c>
      <c r="F1152" s="0" t="n">
        <f aca="false">-1+B1152*0.25</f>
        <v>0.25</v>
      </c>
      <c r="G1152" s="0" t="n">
        <f aca="false">-1+C1152*0.25</f>
        <v>-0.75</v>
      </c>
      <c r="H1152" s="0" t="n">
        <f aca="false">-1+D1152*0.25</f>
        <v>0</v>
      </c>
      <c r="I1152" s="0" t="n">
        <f aca="false">1</f>
        <v>1</v>
      </c>
      <c r="J1152" s="0" t="n">
        <f aca="false">E1152</f>
        <v>-0.75</v>
      </c>
      <c r="K1152" s="0" t="n">
        <f aca="false">F1152</f>
        <v>0.25</v>
      </c>
      <c r="L1152" s="0" t="n">
        <f aca="false">G1152</f>
        <v>-0.75</v>
      </c>
      <c r="M1152" s="0" t="n">
        <f aca="false">H1152</f>
        <v>0</v>
      </c>
      <c r="N1152" s="0" t="n">
        <f aca="false">E1152*F1152</f>
        <v>-0.1875</v>
      </c>
      <c r="O1152" s="0" t="n">
        <f aca="false">E1152*G1152</f>
        <v>0.5625</v>
      </c>
      <c r="P1152" s="0" t="n">
        <f aca="false">E1152*H1152</f>
        <v>-0</v>
      </c>
      <c r="Q1152" s="0" t="n">
        <f aca="false">F1152*G1152</f>
        <v>-0.1875</v>
      </c>
      <c r="R1152" s="0" t="n">
        <f aca="false">F1152*H1152</f>
        <v>0</v>
      </c>
      <c r="S1152" s="0" t="n">
        <f aca="false">G1152*H1152</f>
        <v>-0</v>
      </c>
      <c r="T1152" s="0" t="n">
        <f aca="false">E1152*E1152</f>
        <v>0.5625</v>
      </c>
      <c r="U1152" s="0" t="n">
        <f aca="false">F1152*F1152</f>
        <v>0.0625</v>
      </c>
      <c r="V1152" s="0" t="n">
        <f aca="false">G1152*G1152</f>
        <v>0.5625</v>
      </c>
      <c r="W1152" s="0" t="n">
        <f aca="false">H1152*H1152</f>
        <v>0</v>
      </c>
      <c r="X1152" s="0" t="n">
        <f aca="false">SUMPRODUCT(I1152:W1152,_XtX!$B$96:$P$96)</f>
        <v>43.5567662646199</v>
      </c>
      <c r="Y1152" s="0" t="n">
        <f aca="false">SUMPRODUCT(MMULT(I1152:W1152,_XtX!$B$78:$P$92),I1152:W1152)</f>
        <v>0.281685455500731</v>
      </c>
      <c r="Z1152" s="0" t="n">
        <f aca="false">04_回帰ANOVA!$K$19*04_回帰ANOVA!$K$14*SQRT(1+Y1152)</f>
        <v>1.47566956658694</v>
      </c>
      <c r="AA1152" s="0" t="n">
        <f aca="false">X1152-Z1152</f>
        <v>42.0810966980329</v>
      </c>
      <c r="AB1152" s="0" t="n">
        <f aca="false">X1152+Z1152</f>
        <v>45.0324358312068</v>
      </c>
      <c r="AC1152" s="54" t="b">
        <f aca="false">AND(E1152&gt;=01_因子設定!$L$5-0.000000001,E1152&lt;=01_因子設定!$M$5+0.000000001,F1152&gt;=01_因子設定!$L$6-0.000000001,F1152&lt;=01_因子設定!$M$6+0.000000001,G1152&gt;=01_因子設定!$L$7-0.000000001,G1152&lt;=01_因子設定!$M$7+0.000000001,H1152&gt;=01_因子設定!$L$8-0.000000001,H1152&lt;=01_因子設定!$M$8+0.000000001,IF(01_因子設定!$B$20="Box-Behnken",E1152^2+F1152^2+G1152^2+H1152^2&lt;=2+0.000000001,TRUE()))</f>
        <v>1</v>
      </c>
      <c r="AD1152" s="55" t="n">
        <f aca="false">IF(AC1152,IF(01_因子設定!$B$13="最大化",AA1152-01_因子設定!$B$14,IF(01_因子設定!$B$13="最小化",01_因子設定!$B$15-AB1152,MIN(AA1152-01_因子設定!$B$14,01_因子設定!$B$15-AB1152))),-1E+030)</f>
        <v>-4.41890330196706</v>
      </c>
      <c r="AE1152" s="55" t="n">
        <f aca="false">IF(AC1152,IF(01_因子設定!$B$13="最大化",X1152,IF(01_因子設定!$B$13="最小化",-X1152,-ABS(X1152-01_因子設定!$B$16))),-1E+030)</f>
        <v>43.5567662646199</v>
      </c>
      <c r="AF1152" s="55" t="n">
        <f aca="false">AD1152+ROW()*0.000000001</f>
        <v>-4.41890214996706</v>
      </c>
      <c r="AG1152" s="55" t="n">
        <f aca="false">AE1152+ROW()*0.000000001</f>
        <v>43.5567674166199</v>
      </c>
    </row>
    <row r="1153" customFormat="false" ht="15" hidden="false" customHeight="false" outlineLevel="0" collapsed="false">
      <c r="A1153" s="0" t="n">
        <v>1</v>
      </c>
      <c r="B1153" s="0" t="n">
        <v>5</v>
      </c>
      <c r="C1153" s="0" t="n">
        <v>1</v>
      </c>
      <c r="D1153" s="0" t="n">
        <v>5</v>
      </c>
      <c r="E1153" s="0" t="n">
        <f aca="false">-1+A1153*0.25</f>
        <v>-0.75</v>
      </c>
      <c r="F1153" s="0" t="n">
        <f aca="false">-1+B1153*0.25</f>
        <v>0.25</v>
      </c>
      <c r="G1153" s="0" t="n">
        <f aca="false">-1+C1153*0.25</f>
        <v>-0.75</v>
      </c>
      <c r="H1153" s="0" t="n">
        <f aca="false">-1+D1153*0.25</f>
        <v>0.25</v>
      </c>
      <c r="I1153" s="0" t="n">
        <f aca="false">1</f>
        <v>1</v>
      </c>
      <c r="J1153" s="0" t="n">
        <f aca="false">E1153</f>
        <v>-0.75</v>
      </c>
      <c r="K1153" s="0" t="n">
        <f aca="false">F1153</f>
        <v>0.25</v>
      </c>
      <c r="L1153" s="0" t="n">
        <f aca="false">G1153</f>
        <v>-0.75</v>
      </c>
      <c r="M1153" s="0" t="n">
        <f aca="false">H1153</f>
        <v>0.25</v>
      </c>
      <c r="N1153" s="0" t="n">
        <f aca="false">E1153*F1153</f>
        <v>-0.1875</v>
      </c>
      <c r="O1153" s="0" t="n">
        <f aca="false">E1153*G1153</f>
        <v>0.5625</v>
      </c>
      <c r="P1153" s="0" t="n">
        <f aca="false">E1153*H1153</f>
        <v>-0.1875</v>
      </c>
      <c r="Q1153" s="0" t="n">
        <f aca="false">F1153*G1153</f>
        <v>-0.1875</v>
      </c>
      <c r="R1153" s="0" t="n">
        <f aca="false">F1153*H1153</f>
        <v>0.0625</v>
      </c>
      <c r="S1153" s="0" t="n">
        <f aca="false">G1153*H1153</f>
        <v>-0.1875</v>
      </c>
      <c r="T1153" s="0" t="n">
        <f aca="false">E1153*E1153</f>
        <v>0.5625</v>
      </c>
      <c r="U1153" s="0" t="n">
        <f aca="false">F1153*F1153</f>
        <v>0.0625</v>
      </c>
      <c r="V1153" s="0" t="n">
        <f aca="false">G1153*G1153</f>
        <v>0.5625</v>
      </c>
      <c r="W1153" s="0" t="n">
        <f aca="false">H1153*H1153</f>
        <v>0.0625</v>
      </c>
      <c r="X1153" s="0" t="n">
        <f aca="false">SUMPRODUCT(I1153:W1153,_XtX!$B$96:$P$96)</f>
        <v>43.5436266447368</v>
      </c>
      <c r="Y1153" s="0" t="n">
        <f aca="false">SUMPRODUCT(MMULT(I1153:W1153,_XtX!$B$78:$P$92),I1153:W1153)</f>
        <v>0.271087468019006</v>
      </c>
      <c r="Z1153" s="0" t="n">
        <f aca="false">04_回帰ANOVA!$K$19*04_回帰ANOVA!$K$14*SQRT(1+Y1153)</f>
        <v>1.46955590155034</v>
      </c>
      <c r="AA1153" s="0" t="n">
        <f aca="false">X1153-Z1153</f>
        <v>42.0740707431865</v>
      </c>
      <c r="AB1153" s="0" t="n">
        <f aca="false">X1153+Z1153</f>
        <v>45.0131825462872</v>
      </c>
      <c r="AC1153" s="54" t="b">
        <f aca="false">AND(E1153&gt;=01_因子設定!$L$5-0.000000001,E1153&lt;=01_因子設定!$M$5+0.000000001,F1153&gt;=01_因子設定!$L$6-0.000000001,F1153&lt;=01_因子設定!$M$6+0.000000001,G1153&gt;=01_因子設定!$L$7-0.000000001,G1153&lt;=01_因子設定!$M$7+0.000000001,H1153&gt;=01_因子設定!$L$8-0.000000001,H1153&lt;=01_因子設定!$M$8+0.000000001,IF(01_因子設定!$B$20="Box-Behnken",E1153^2+F1153^2+G1153^2+H1153^2&lt;=2+0.000000001,TRUE()))</f>
        <v>1</v>
      </c>
      <c r="AD1153" s="55" t="n">
        <f aca="false">IF(AC1153,IF(01_因子設定!$B$13="最大化",AA1153-01_因子設定!$B$14,IF(01_因子設定!$B$13="最小化",01_因子設定!$B$15-AB1153,MIN(AA1153-01_因子設定!$B$14,01_因子設定!$B$15-AB1153))),-1E+030)</f>
        <v>-4.42592925681351</v>
      </c>
      <c r="AE1153" s="55" t="n">
        <f aca="false">IF(AC1153,IF(01_因子設定!$B$13="最大化",X1153,IF(01_因子設定!$B$13="最小化",-X1153,-ABS(X1153-01_因子設定!$B$16))),-1E+030)</f>
        <v>43.5436266447368</v>
      </c>
      <c r="AF1153" s="55" t="n">
        <f aca="false">AD1153+ROW()*0.000000001</f>
        <v>-4.42592810381351</v>
      </c>
      <c r="AG1153" s="55" t="n">
        <f aca="false">AE1153+ROW()*0.000000001</f>
        <v>43.5436277977368</v>
      </c>
    </row>
    <row r="1154" customFormat="false" ht="15" hidden="false" customHeight="false" outlineLevel="0" collapsed="false">
      <c r="A1154" s="0" t="n">
        <v>1</v>
      </c>
      <c r="B1154" s="0" t="n">
        <v>5</v>
      </c>
      <c r="C1154" s="0" t="n">
        <v>1</v>
      </c>
      <c r="D1154" s="0" t="n">
        <v>6</v>
      </c>
      <c r="E1154" s="0" t="n">
        <f aca="false">-1+A1154*0.25</f>
        <v>-0.75</v>
      </c>
      <c r="F1154" s="0" t="n">
        <f aca="false">-1+B1154*0.25</f>
        <v>0.25</v>
      </c>
      <c r="G1154" s="0" t="n">
        <f aca="false">-1+C1154*0.25</f>
        <v>-0.75</v>
      </c>
      <c r="H1154" s="0" t="n">
        <f aca="false">-1+D1154*0.25</f>
        <v>0.5</v>
      </c>
      <c r="I1154" s="0" t="n">
        <f aca="false">1</f>
        <v>1</v>
      </c>
      <c r="J1154" s="0" t="n">
        <f aca="false">E1154</f>
        <v>-0.75</v>
      </c>
      <c r="K1154" s="0" t="n">
        <f aca="false">F1154</f>
        <v>0.25</v>
      </c>
      <c r="L1154" s="0" t="n">
        <f aca="false">G1154</f>
        <v>-0.75</v>
      </c>
      <c r="M1154" s="0" t="n">
        <f aca="false">H1154</f>
        <v>0.5</v>
      </c>
      <c r="N1154" s="0" t="n">
        <f aca="false">E1154*F1154</f>
        <v>-0.1875</v>
      </c>
      <c r="O1154" s="0" t="n">
        <f aca="false">E1154*G1154</f>
        <v>0.5625</v>
      </c>
      <c r="P1154" s="0" t="n">
        <f aca="false">E1154*H1154</f>
        <v>-0.375</v>
      </c>
      <c r="Q1154" s="0" t="n">
        <f aca="false">F1154*G1154</f>
        <v>-0.1875</v>
      </c>
      <c r="R1154" s="0" t="n">
        <f aca="false">F1154*H1154</f>
        <v>0.125</v>
      </c>
      <c r="S1154" s="0" t="n">
        <f aca="false">G1154*H1154</f>
        <v>-0.375</v>
      </c>
      <c r="T1154" s="0" t="n">
        <f aca="false">E1154*E1154</f>
        <v>0.5625</v>
      </c>
      <c r="U1154" s="0" t="n">
        <f aca="false">F1154*F1154</f>
        <v>0.0625</v>
      </c>
      <c r="V1154" s="0" t="n">
        <f aca="false">G1154*G1154</f>
        <v>0.5625</v>
      </c>
      <c r="W1154" s="0" t="n">
        <f aca="false">H1154*H1154</f>
        <v>0.25</v>
      </c>
      <c r="X1154" s="0" t="n">
        <f aca="false">SUMPRODUCT(I1154:W1154,_XtX!$B$96:$P$96)</f>
        <v>43.4826800073099</v>
      </c>
      <c r="Y1154" s="0" t="n">
        <f aca="false">SUMPRODUCT(MMULT(I1154:W1154,_XtX!$B$78:$P$92),I1154:W1154)</f>
        <v>0.257385610836988</v>
      </c>
      <c r="Z1154" s="0" t="n">
        <f aca="false">04_回帰ANOVA!$K$19*04_回帰ANOVA!$K$14*SQRT(1+Y1154)</f>
        <v>1.46161380324158</v>
      </c>
      <c r="AA1154" s="0" t="n">
        <f aca="false">X1154-Z1154</f>
        <v>42.0210662040684</v>
      </c>
      <c r="AB1154" s="0" t="n">
        <f aca="false">X1154+Z1154</f>
        <v>44.9442938105515</v>
      </c>
      <c r="AC1154" s="54" t="b">
        <f aca="false">AND(E1154&gt;=01_因子設定!$L$5-0.000000001,E1154&lt;=01_因子設定!$M$5+0.000000001,F1154&gt;=01_因子設定!$L$6-0.000000001,F1154&lt;=01_因子設定!$M$6+0.000000001,G1154&gt;=01_因子設定!$L$7-0.000000001,G1154&lt;=01_因子設定!$M$7+0.000000001,H1154&gt;=01_因子設定!$L$8-0.000000001,H1154&lt;=01_因子設定!$M$8+0.000000001,IF(01_因子設定!$B$20="Box-Behnken",E1154^2+F1154^2+G1154^2+H1154^2&lt;=2+0.000000001,TRUE()))</f>
        <v>1</v>
      </c>
      <c r="AD1154" s="55" t="n">
        <f aca="false">IF(AC1154,IF(01_因子設定!$B$13="最大化",AA1154-01_因子設定!$B$14,IF(01_因子設定!$B$13="最小化",01_因子設定!$B$15-AB1154,MIN(AA1154-01_因子設定!$B$14,01_因子設定!$B$15-AB1154))),-1E+030)</f>
        <v>-4.47893379593165</v>
      </c>
      <c r="AE1154" s="55" t="n">
        <f aca="false">IF(AC1154,IF(01_因子設定!$B$13="最大化",X1154,IF(01_因子設定!$B$13="最小化",-X1154,-ABS(X1154-01_因子設定!$B$16))),-1E+030)</f>
        <v>43.4826800073099</v>
      </c>
      <c r="AF1154" s="55" t="n">
        <f aca="false">AD1154+ROW()*0.000000001</f>
        <v>-4.47893264193165</v>
      </c>
      <c r="AG1154" s="55" t="n">
        <f aca="false">AE1154+ROW()*0.000000001</f>
        <v>43.4826811613099</v>
      </c>
    </row>
    <row r="1155" customFormat="false" ht="15" hidden="false" customHeight="false" outlineLevel="0" collapsed="false">
      <c r="A1155" s="0" t="n">
        <v>1</v>
      </c>
      <c r="B1155" s="0" t="n">
        <v>5</v>
      </c>
      <c r="C1155" s="0" t="n">
        <v>1</v>
      </c>
      <c r="D1155" s="0" t="n">
        <v>7</v>
      </c>
      <c r="E1155" s="0" t="n">
        <f aca="false">-1+A1155*0.25</f>
        <v>-0.75</v>
      </c>
      <c r="F1155" s="0" t="n">
        <f aca="false">-1+B1155*0.25</f>
        <v>0.25</v>
      </c>
      <c r="G1155" s="0" t="n">
        <f aca="false">-1+C1155*0.25</f>
        <v>-0.75</v>
      </c>
      <c r="H1155" s="0" t="n">
        <f aca="false">-1+D1155*0.25</f>
        <v>0.75</v>
      </c>
      <c r="I1155" s="0" t="n">
        <f aca="false">1</f>
        <v>1</v>
      </c>
      <c r="J1155" s="0" t="n">
        <f aca="false">E1155</f>
        <v>-0.75</v>
      </c>
      <c r="K1155" s="0" t="n">
        <f aca="false">F1155</f>
        <v>0.25</v>
      </c>
      <c r="L1155" s="0" t="n">
        <f aca="false">G1155</f>
        <v>-0.75</v>
      </c>
      <c r="M1155" s="0" t="n">
        <f aca="false">H1155</f>
        <v>0.75</v>
      </c>
      <c r="N1155" s="0" t="n">
        <f aca="false">E1155*F1155</f>
        <v>-0.1875</v>
      </c>
      <c r="O1155" s="0" t="n">
        <f aca="false">E1155*G1155</f>
        <v>0.5625</v>
      </c>
      <c r="P1155" s="0" t="n">
        <f aca="false">E1155*H1155</f>
        <v>-0.5625</v>
      </c>
      <c r="Q1155" s="0" t="n">
        <f aca="false">F1155*G1155</f>
        <v>-0.1875</v>
      </c>
      <c r="R1155" s="0" t="n">
        <f aca="false">F1155*H1155</f>
        <v>0.1875</v>
      </c>
      <c r="S1155" s="0" t="n">
        <f aca="false">G1155*H1155</f>
        <v>-0.5625</v>
      </c>
      <c r="T1155" s="0" t="n">
        <f aca="false">E1155*E1155</f>
        <v>0.5625</v>
      </c>
      <c r="U1155" s="0" t="n">
        <f aca="false">F1155*F1155</f>
        <v>0.0625</v>
      </c>
      <c r="V1155" s="0" t="n">
        <f aca="false">G1155*G1155</f>
        <v>0.5625</v>
      </c>
      <c r="W1155" s="0" t="n">
        <f aca="false">H1155*H1155</f>
        <v>0.5625</v>
      </c>
      <c r="X1155" s="0" t="n">
        <f aca="false">SUMPRODUCT(I1155:W1155,_XtX!$B$96:$P$96)</f>
        <v>43.3739263523392</v>
      </c>
      <c r="Y1155" s="0" t="n">
        <f aca="false">SUMPRODUCT(MMULT(I1155:W1155,_XtX!$B$78:$P$92),I1155:W1155)</f>
        <v>0.294856199744152</v>
      </c>
      <c r="Z1155" s="0" t="n">
        <f aca="false">04_回帰ANOVA!$K$19*04_回帰ANOVA!$K$14*SQRT(1+Y1155)</f>
        <v>1.48323226089013</v>
      </c>
      <c r="AA1155" s="0" t="n">
        <f aca="false">X1155-Z1155</f>
        <v>41.8906940914491</v>
      </c>
      <c r="AB1155" s="0" t="n">
        <f aca="false">X1155+Z1155</f>
        <v>44.8571586132293</v>
      </c>
      <c r="AC1155" s="54" t="b">
        <f aca="false">AND(E1155&gt;=01_因子設定!$L$5-0.000000001,E1155&lt;=01_因子設定!$M$5+0.000000001,F1155&gt;=01_因子設定!$L$6-0.000000001,F1155&lt;=01_因子設定!$M$6+0.000000001,G1155&gt;=01_因子設定!$L$7-0.000000001,G1155&lt;=01_因子設定!$M$7+0.000000001,H1155&gt;=01_因子設定!$L$8-0.000000001,H1155&lt;=01_因子設定!$M$8+0.000000001,IF(01_因子設定!$B$20="Box-Behnken",E1155^2+F1155^2+G1155^2+H1155^2&lt;=2+0.000000001,TRUE()))</f>
        <v>1</v>
      </c>
      <c r="AD1155" s="55" t="n">
        <f aca="false">IF(AC1155,IF(01_因子設定!$B$13="最大化",AA1155-01_因子設定!$B$14,IF(01_因子設定!$B$13="最小化",01_因子設定!$B$15-AB1155,MIN(AA1155-01_因子設定!$B$14,01_因子設定!$B$15-AB1155))),-1E+030)</f>
        <v>-4.60930590855094</v>
      </c>
      <c r="AE1155" s="55" t="n">
        <f aca="false">IF(AC1155,IF(01_因子設定!$B$13="最大化",X1155,IF(01_因子設定!$B$13="最小化",-X1155,-ABS(X1155-01_因子設定!$B$16))),-1E+030)</f>
        <v>43.3739263523392</v>
      </c>
      <c r="AF1155" s="55" t="n">
        <f aca="false">AD1155+ROW()*0.000000001</f>
        <v>-4.60930475355094</v>
      </c>
      <c r="AG1155" s="55" t="n">
        <f aca="false">AE1155+ROW()*0.000000001</f>
        <v>43.3739275073392</v>
      </c>
    </row>
    <row r="1156" customFormat="false" ht="15" hidden="false" customHeight="false" outlineLevel="0" collapsed="false">
      <c r="A1156" s="0" t="n">
        <v>1</v>
      </c>
      <c r="B1156" s="0" t="n">
        <v>5</v>
      </c>
      <c r="C1156" s="0" t="n">
        <v>1</v>
      </c>
      <c r="D1156" s="0" t="n">
        <v>8</v>
      </c>
      <c r="E1156" s="0" t="n">
        <f aca="false">-1+A1156*0.25</f>
        <v>-0.75</v>
      </c>
      <c r="F1156" s="0" t="n">
        <f aca="false">-1+B1156*0.25</f>
        <v>0.25</v>
      </c>
      <c r="G1156" s="0" t="n">
        <f aca="false">-1+C1156*0.25</f>
        <v>-0.75</v>
      </c>
      <c r="H1156" s="0" t="n">
        <f aca="false">-1+D1156*0.25</f>
        <v>1</v>
      </c>
      <c r="I1156" s="0" t="n">
        <f aca="false">1</f>
        <v>1</v>
      </c>
      <c r="J1156" s="0" t="n">
        <f aca="false">E1156</f>
        <v>-0.75</v>
      </c>
      <c r="K1156" s="0" t="n">
        <f aca="false">F1156</f>
        <v>0.25</v>
      </c>
      <c r="L1156" s="0" t="n">
        <f aca="false">G1156</f>
        <v>-0.75</v>
      </c>
      <c r="M1156" s="0" t="n">
        <f aca="false">H1156</f>
        <v>1</v>
      </c>
      <c r="N1156" s="0" t="n">
        <f aca="false">E1156*F1156</f>
        <v>-0.1875</v>
      </c>
      <c r="O1156" s="0" t="n">
        <f aca="false">E1156*G1156</f>
        <v>0.5625</v>
      </c>
      <c r="P1156" s="0" t="n">
        <f aca="false">E1156*H1156</f>
        <v>-0.75</v>
      </c>
      <c r="Q1156" s="0" t="n">
        <f aca="false">F1156*G1156</f>
        <v>-0.1875</v>
      </c>
      <c r="R1156" s="0" t="n">
        <f aca="false">F1156*H1156</f>
        <v>0.25</v>
      </c>
      <c r="S1156" s="0" t="n">
        <f aca="false">G1156*H1156</f>
        <v>-0.75</v>
      </c>
      <c r="T1156" s="0" t="n">
        <f aca="false">E1156*E1156</f>
        <v>0.5625</v>
      </c>
      <c r="U1156" s="0" t="n">
        <f aca="false">F1156*F1156</f>
        <v>0.0625</v>
      </c>
      <c r="V1156" s="0" t="n">
        <f aca="false">G1156*G1156</f>
        <v>0.5625</v>
      </c>
      <c r="W1156" s="0" t="n">
        <f aca="false">H1156*H1156</f>
        <v>1</v>
      </c>
      <c r="X1156" s="0" t="n">
        <f aca="false">SUMPRODUCT(I1156:W1156,_XtX!$B$96:$P$96)</f>
        <v>43.2173656798246</v>
      </c>
      <c r="Y1156" s="0" t="n">
        <f aca="false">SUMPRODUCT(MMULT(I1156:W1156,_XtX!$B$78:$P$92),I1156:W1156)</f>
        <v>0.473959761056287</v>
      </c>
      <c r="Z1156" s="0" t="n">
        <f aca="false">04_回帰ANOVA!$K$19*04_回帰ANOVA!$K$14*SQRT(1+Y1156)</f>
        <v>1.58249084588329</v>
      </c>
      <c r="AA1156" s="0" t="n">
        <f aca="false">X1156-Z1156</f>
        <v>41.6348748339413</v>
      </c>
      <c r="AB1156" s="0" t="n">
        <f aca="false">X1156+Z1156</f>
        <v>44.7998565257079</v>
      </c>
      <c r="AC1156" s="54" t="b">
        <f aca="false">AND(E1156&gt;=01_因子設定!$L$5-0.000000001,E1156&lt;=01_因子設定!$M$5+0.000000001,F1156&gt;=01_因子設定!$L$6-0.000000001,F1156&lt;=01_因子設定!$M$6+0.000000001,G1156&gt;=01_因子設定!$L$7-0.000000001,G1156&lt;=01_因子設定!$M$7+0.000000001,H1156&gt;=01_因子設定!$L$8-0.000000001,H1156&lt;=01_因子設定!$M$8+0.000000001,IF(01_因子設定!$B$20="Box-Behnken",E1156^2+F1156^2+G1156^2+H1156^2&lt;=2+0.000000001,TRUE()))</f>
        <v>1</v>
      </c>
      <c r="AD1156" s="55" t="n">
        <f aca="false">IF(AC1156,IF(01_因子設定!$B$13="最大化",AA1156-01_因子設定!$B$14,IF(01_因子設定!$B$13="最小化",01_因子設定!$B$15-AB1156,MIN(AA1156-01_因子設定!$B$14,01_因子設定!$B$15-AB1156))),-1E+030)</f>
        <v>-4.8651251660587</v>
      </c>
      <c r="AE1156" s="55" t="n">
        <f aca="false">IF(AC1156,IF(01_因子設定!$B$13="最大化",X1156,IF(01_因子設定!$B$13="最小化",-X1156,-ABS(X1156-01_因子設定!$B$16))),-1E+030)</f>
        <v>43.2173656798246</v>
      </c>
      <c r="AF1156" s="55" t="n">
        <f aca="false">AD1156+ROW()*0.000000001</f>
        <v>-4.8651240100587</v>
      </c>
      <c r="AG1156" s="55" t="n">
        <f aca="false">AE1156+ROW()*0.000000001</f>
        <v>43.2173668358246</v>
      </c>
    </row>
    <row r="1157" customFormat="false" ht="15" hidden="false" customHeight="false" outlineLevel="0" collapsed="false">
      <c r="A1157" s="0" t="n">
        <v>1</v>
      </c>
      <c r="B1157" s="0" t="n">
        <v>5</v>
      </c>
      <c r="C1157" s="0" t="n">
        <v>2</v>
      </c>
      <c r="D1157" s="0" t="n">
        <v>0</v>
      </c>
      <c r="E1157" s="0" t="n">
        <f aca="false">-1+A1157*0.25</f>
        <v>-0.75</v>
      </c>
      <c r="F1157" s="0" t="n">
        <f aca="false">-1+B1157*0.25</f>
        <v>0.25</v>
      </c>
      <c r="G1157" s="0" t="n">
        <f aca="false">-1+C1157*0.25</f>
        <v>-0.5</v>
      </c>
      <c r="H1157" s="0" t="n">
        <f aca="false">-1+D1157*0.25</f>
        <v>-1</v>
      </c>
      <c r="I1157" s="0" t="n">
        <f aca="false">1</f>
        <v>1</v>
      </c>
      <c r="J1157" s="0" t="n">
        <f aca="false">E1157</f>
        <v>-0.75</v>
      </c>
      <c r="K1157" s="0" t="n">
        <f aca="false">F1157</f>
        <v>0.25</v>
      </c>
      <c r="L1157" s="0" t="n">
        <f aca="false">G1157</f>
        <v>-0.5</v>
      </c>
      <c r="M1157" s="0" t="n">
        <f aca="false">H1157</f>
        <v>-1</v>
      </c>
      <c r="N1157" s="0" t="n">
        <f aca="false">E1157*F1157</f>
        <v>-0.1875</v>
      </c>
      <c r="O1157" s="0" t="n">
        <f aca="false">E1157*G1157</f>
        <v>0.375</v>
      </c>
      <c r="P1157" s="0" t="n">
        <f aca="false">E1157*H1157</f>
        <v>0.75</v>
      </c>
      <c r="Q1157" s="0" t="n">
        <f aca="false">F1157*G1157</f>
        <v>-0.125</v>
      </c>
      <c r="R1157" s="0" t="n">
        <f aca="false">F1157*H1157</f>
        <v>-0.25</v>
      </c>
      <c r="S1157" s="0" t="n">
        <f aca="false">G1157*H1157</f>
        <v>0.5</v>
      </c>
      <c r="T1157" s="0" t="n">
        <f aca="false">E1157*E1157</f>
        <v>0.5625</v>
      </c>
      <c r="U1157" s="0" t="n">
        <f aca="false">F1157*F1157</f>
        <v>0.0625</v>
      </c>
      <c r="V1157" s="0" t="n">
        <f aca="false">G1157*G1157</f>
        <v>0.25</v>
      </c>
      <c r="W1157" s="0" t="n">
        <f aca="false">H1157*H1157</f>
        <v>1</v>
      </c>
      <c r="X1157" s="0" t="n">
        <f aca="false">SUMPRODUCT(I1157:W1157,_XtX!$B$96:$P$96)</f>
        <v>43.6598866959065</v>
      </c>
      <c r="Y1157" s="0" t="n">
        <f aca="false">SUMPRODUCT(MMULT(I1157:W1157,_XtX!$B$78:$P$92),I1157:W1157)</f>
        <v>0.459125719572369</v>
      </c>
      <c r="Z1157" s="0" t="n">
        <f aca="false">04_回帰ANOVA!$K$19*04_回帰ANOVA!$K$14*SQRT(1+Y1157)</f>
        <v>1.57450755575573</v>
      </c>
      <c r="AA1157" s="0" t="n">
        <f aca="false">X1157-Z1157</f>
        <v>42.0853791401507</v>
      </c>
      <c r="AB1157" s="0" t="n">
        <f aca="false">X1157+Z1157</f>
        <v>45.2343942516622</v>
      </c>
      <c r="AC1157" s="54" t="b">
        <f aca="false">AND(E1157&gt;=01_因子設定!$L$5-0.000000001,E1157&lt;=01_因子設定!$M$5+0.000000001,F1157&gt;=01_因子設定!$L$6-0.000000001,F1157&lt;=01_因子設定!$M$6+0.000000001,G1157&gt;=01_因子設定!$L$7-0.000000001,G1157&lt;=01_因子設定!$M$7+0.000000001,H1157&gt;=01_因子設定!$L$8-0.000000001,H1157&lt;=01_因子設定!$M$8+0.000000001,IF(01_因子設定!$B$20="Box-Behnken",E1157^2+F1157^2+G1157^2+H1157^2&lt;=2+0.000000001,TRUE()))</f>
        <v>1</v>
      </c>
      <c r="AD1157" s="55" t="n">
        <f aca="false">IF(AC1157,IF(01_因子設定!$B$13="最大化",AA1157-01_因子設定!$B$14,IF(01_因子設定!$B$13="最小化",01_因子設定!$B$15-AB1157,MIN(AA1157-01_因子設定!$B$14,01_因子設定!$B$15-AB1157))),-1E+030)</f>
        <v>-4.41462085984927</v>
      </c>
      <c r="AE1157" s="55" t="n">
        <f aca="false">IF(AC1157,IF(01_因子設定!$B$13="最大化",X1157,IF(01_因子設定!$B$13="最小化",-X1157,-ABS(X1157-01_因子設定!$B$16))),-1E+030)</f>
        <v>43.6598866959065</v>
      </c>
      <c r="AF1157" s="55" t="n">
        <f aca="false">AD1157+ROW()*0.000000001</f>
        <v>-4.41461970284927</v>
      </c>
      <c r="AG1157" s="55" t="n">
        <f aca="false">AE1157+ROW()*0.000000001</f>
        <v>43.6598878529065</v>
      </c>
    </row>
    <row r="1158" customFormat="false" ht="15" hidden="false" customHeight="false" outlineLevel="0" collapsed="false">
      <c r="A1158" s="0" t="n">
        <v>1</v>
      </c>
      <c r="B1158" s="0" t="n">
        <v>5</v>
      </c>
      <c r="C1158" s="0" t="n">
        <v>2</v>
      </c>
      <c r="D1158" s="0" t="n">
        <v>1</v>
      </c>
      <c r="E1158" s="0" t="n">
        <f aca="false">-1+A1158*0.25</f>
        <v>-0.75</v>
      </c>
      <c r="F1158" s="0" t="n">
        <f aca="false">-1+B1158*0.25</f>
        <v>0.25</v>
      </c>
      <c r="G1158" s="0" t="n">
        <f aca="false">-1+C1158*0.25</f>
        <v>-0.5</v>
      </c>
      <c r="H1158" s="0" t="n">
        <f aca="false">-1+D1158*0.25</f>
        <v>-0.75</v>
      </c>
      <c r="I1158" s="0" t="n">
        <f aca="false">1</f>
        <v>1</v>
      </c>
      <c r="J1158" s="0" t="n">
        <f aca="false">E1158</f>
        <v>-0.75</v>
      </c>
      <c r="K1158" s="0" t="n">
        <f aca="false">F1158</f>
        <v>0.25</v>
      </c>
      <c r="L1158" s="0" t="n">
        <f aca="false">G1158</f>
        <v>-0.5</v>
      </c>
      <c r="M1158" s="0" t="n">
        <f aca="false">H1158</f>
        <v>-0.75</v>
      </c>
      <c r="N1158" s="0" t="n">
        <f aca="false">E1158*F1158</f>
        <v>-0.1875</v>
      </c>
      <c r="O1158" s="0" t="n">
        <f aca="false">E1158*G1158</f>
        <v>0.375</v>
      </c>
      <c r="P1158" s="0" t="n">
        <f aca="false">E1158*H1158</f>
        <v>0.5625</v>
      </c>
      <c r="Q1158" s="0" t="n">
        <f aca="false">F1158*G1158</f>
        <v>-0.125</v>
      </c>
      <c r="R1158" s="0" t="n">
        <f aca="false">F1158*H1158</f>
        <v>-0.1875</v>
      </c>
      <c r="S1158" s="0" t="n">
        <f aca="false">G1158*H1158</f>
        <v>0.375</v>
      </c>
      <c r="T1158" s="0" t="n">
        <f aca="false">E1158*E1158</f>
        <v>0.5625</v>
      </c>
      <c r="U1158" s="0" t="n">
        <f aca="false">F1158*F1158</f>
        <v>0.0625</v>
      </c>
      <c r="V1158" s="0" t="n">
        <f aca="false">G1158*G1158</f>
        <v>0.25</v>
      </c>
      <c r="W1158" s="0" t="n">
        <f aca="false">H1158*H1158</f>
        <v>0.5625</v>
      </c>
      <c r="X1158" s="0" t="n">
        <f aca="false">SUMPRODUCT(I1158:W1158,_XtX!$B$96:$P$96)</f>
        <v>43.8559438961988</v>
      </c>
      <c r="Y1158" s="0" t="n">
        <f aca="false">SUMPRODUCT(MMULT(I1158:W1158,_XtX!$B$78:$P$92),I1158:W1158)</f>
        <v>0.257385610836988</v>
      </c>
      <c r="Z1158" s="0" t="n">
        <f aca="false">04_回帰ANOVA!$K$19*04_回帰ANOVA!$K$14*SQRT(1+Y1158)</f>
        <v>1.46161380324158</v>
      </c>
      <c r="AA1158" s="0" t="n">
        <f aca="false">X1158-Z1158</f>
        <v>42.3943300929573</v>
      </c>
      <c r="AB1158" s="0" t="n">
        <f aca="false">X1158+Z1158</f>
        <v>45.3175576994404</v>
      </c>
      <c r="AC1158" s="54" t="b">
        <f aca="false">AND(E1158&gt;=01_因子設定!$L$5-0.000000001,E1158&lt;=01_因子設定!$M$5+0.000000001,F1158&gt;=01_因子設定!$L$6-0.000000001,F1158&lt;=01_因子設定!$M$6+0.000000001,G1158&gt;=01_因子設定!$L$7-0.000000001,G1158&lt;=01_因子設定!$M$7+0.000000001,H1158&gt;=01_因子設定!$L$8-0.000000001,H1158&lt;=01_因子設定!$M$8+0.000000001,IF(01_因子設定!$B$20="Box-Behnken",E1158^2+F1158^2+G1158^2+H1158^2&lt;=2+0.000000001,TRUE()))</f>
        <v>1</v>
      </c>
      <c r="AD1158" s="55" t="n">
        <f aca="false">IF(AC1158,IF(01_因子設定!$B$13="最大化",AA1158-01_因子設定!$B$14,IF(01_因子設定!$B$13="最小化",01_因子設定!$B$15-AB1158,MIN(AA1158-01_因子設定!$B$14,01_因子設定!$B$15-AB1158))),-1E+030)</f>
        <v>-4.10566990704275</v>
      </c>
      <c r="AE1158" s="55" t="n">
        <f aca="false">IF(AC1158,IF(01_因子設定!$B$13="最大化",X1158,IF(01_因子設定!$B$13="最小化",-X1158,-ABS(X1158-01_因子設定!$B$16))),-1E+030)</f>
        <v>43.8559438961988</v>
      </c>
      <c r="AF1158" s="55" t="n">
        <f aca="false">AD1158+ROW()*0.000000001</f>
        <v>-4.10566874904275</v>
      </c>
      <c r="AG1158" s="55" t="n">
        <f aca="false">AE1158+ROW()*0.000000001</f>
        <v>43.8559450541988</v>
      </c>
    </row>
    <row r="1159" customFormat="false" ht="15" hidden="false" customHeight="false" outlineLevel="0" collapsed="false">
      <c r="A1159" s="0" t="n">
        <v>1</v>
      </c>
      <c r="B1159" s="0" t="n">
        <v>5</v>
      </c>
      <c r="C1159" s="0" t="n">
        <v>2</v>
      </c>
      <c r="D1159" s="0" t="n">
        <v>2</v>
      </c>
      <c r="E1159" s="0" t="n">
        <f aca="false">-1+A1159*0.25</f>
        <v>-0.75</v>
      </c>
      <c r="F1159" s="0" t="n">
        <f aca="false">-1+B1159*0.25</f>
        <v>0.25</v>
      </c>
      <c r="G1159" s="0" t="n">
        <f aca="false">-1+C1159*0.25</f>
        <v>-0.5</v>
      </c>
      <c r="H1159" s="0" t="n">
        <f aca="false">-1+D1159*0.25</f>
        <v>-0.5</v>
      </c>
      <c r="I1159" s="0" t="n">
        <f aca="false">1</f>
        <v>1</v>
      </c>
      <c r="J1159" s="0" t="n">
        <f aca="false">E1159</f>
        <v>-0.75</v>
      </c>
      <c r="K1159" s="0" t="n">
        <f aca="false">F1159</f>
        <v>0.25</v>
      </c>
      <c r="L1159" s="0" t="n">
        <f aca="false">G1159</f>
        <v>-0.5</v>
      </c>
      <c r="M1159" s="0" t="n">
        <f aca="false">H1159</f>
        <v>-0.5</v>
      </c>
      <c r="N1159" s="0" t="n">
        <f aca="false">E1159*F1159</f>
        <v>-0.1875</v>
      </c>
      <c r="O1159" s="0" t="n">
        <f aca="false">E1159*G1159</f>
        <v>0.375</v>
      </c>
      <c r="P1159" s="0" t="n">
        <f aca="false">E1159*H1159</f>
        <v>0.375</v>
      </c>
      <c r="Q1159" s="0" t="n">
        <f aca="false">F1159*G1159</f>
        <v>-0.125</v>
      </c>
      <c r="R1159" s="0" t="n">
        <f aca="false">F1159*H1159</f>
        <v>-0.125</v>
      </c>
      <c r="S1159" s="0" t="n">
        <f aca="false">G1159*H1159</f>
        <v>0.25</v>
      </c>
      <c r="T1159" s="0" t="n">
        <f aca="false">E1159*E1159</f>
        <v>0.5625</v>
      </c>
      <c r="U1159" s="0" t="n">
        <f aca="false">F1159*F1159</f>
        <v>0.0625</v>
      </c>
      <c r="V1159" s="0" t="n">
        <f aca="false">G1159*G1159</f>
        <v>0.25</v>
      </c>
      <c r="W1159" s="0" t="n">
        <f aca="false">H1159*H1159</f>
        <v>0.25</v>
      </c>
      <c r="X1159" s="0" t="n">
        <f aca="false">SUMPRODUCT(I1159:W1159,_XtX!$B$96:$P$96)</f>
        <v>44.0041940789474</v>
      </c>
      <c r="Y1159" s="0" t="n">
        <f aca="false">SUMPRODUCT(MMULT(I1159:W1159,_XtX!$B$78:$P$92),I1159:W1159)</f>
        <v>0.203746059484649</v>
      </c>
      <c r="Z1159" s="0" t="n">
        <f aca="false">04_回帰ANOVA!$K$19*04_回帰ANOVA!$K$14*SQRT(1+Y1159)</f>
        <v>1.43009810755465</v>
      </c>
      <c r="AA1159" s="0" t="n">
        <f aca="false">X1159-Z1159</f>
        <v>42.5740959713927</v>
      </c>
      <c r="AB1159" s="0" t="n">
        <f aca="false">X1159+Z1159</f>
        <v>45.434292186502</v>
      </c>
      <c r="AC1159" s="54" t="b">
        <f aca="false">AND(E1159&gt;=01_因子設定!$L$5-0.000000001,E1159&lt;=01_因子設定!$M$5+0.000000001,F1159&gt;=01_因子設定!$L$6-0.000000001,F1159&lt;=01_因子設定!$M$6+0.000000001,G1159&gt;=01_因子設定!$L$7-0.000000001,G1159&lt;=01_因子設定!$M$7+0.000000001,H1159&gt;=01_因子設定!$L$8-0.000000001,H1159&lt;=01_因子設定!$M$8+0.000000001,IF(01_因子設定!$B$20="Box-Behnken",E1159^2+F1159^2+G1159^2+H1159^2&lt;=2+0.000000001,TRUE()))</f>
        <v>1</v>
      </c>
      <c r="AD1159" s="55" t="n">
        <f aca="false">IF(AC1159,IF(01_因子設定!$B$13="最大化",AA1159-01_因子設定!$B$14,IF(01_因子設定!$B$13="最小化",01_因子設定!$B$15-AB1159,MIN(AA1159-01_因子設定!$B$14,01_因子設定!$B$15-AB1159))),-1E+030)</f>
        <v>-3.92590402860728</v>
      </c>
      <c r="AE1159" s="55" t="n">
        <f aca="false">IF(AC1159,IF(01_因子設定!$B$13="最大化",X1159,IF(01_因子設定!$B$13="最小化",-X1159,-ABS(X1159-01_因子設定!$B$16))),-1E+030)</f>
        <v>44.0041940789474</v>
      </c>
      <c r="AF1159" s="55" t="n">
        <f aca="false">AD1159+ROW()*0.000000001</f>
        <v>-3.92590286960728</v>
      </c>
      <c r="AG1159" s="55" t="n">
        <f aca="false">AE1159+ROW()*0.000000001</f>
        <v>44.0041952379474</v>
      </c>
    </row>
    <row r="1160" customFormat="false" ht="15" hidden="false" customHeight="false" outlineLevel="0" collapsed="false">
      <c r="A1160" s="0" t="n">
        <v>1</v>
      </c>
      <c r="B1160" s="0" t="n">
        <v>5</v>
      </c>
      <c r="C1160" s="0" t="n">
        <v>2</v>
      </c>
      <c r="D1160" s="0" t="n">
        <v>3</v>
      </c>
      <c r="E1160" s="0" t="n">
        <f aca="false">-1+A1160*0.25</f>
        <v>-0.75</v>
      </c>
      <c r="F1160" s="0" t="n">
        <f aca="false">-1+B1160*0.25</f>
        <v>0.25</v>
      </c>
      <c r="G1160" s="0" t="n">
        <f aca="false">-1+C1160*0.25</f>
        <v>-0.5</v>
      </c>
      <c r="H1160" s="0" t="n">
        <f aca="false">-1+D1160*0.25</f>
        <v>-0.25</v>
      </c>
      <c r="I1160" s="0" t="n">
        <f aca="false">1</f>
        <v>1</v>
      </c>
      <c r="J1160" s="0" t="n">
        <f aca="false">E1160</f>
        <v>-0.75</v>
      </c>
      <c r="K1160" s="0" t="n">
        <f aca="false">F1160</f>
        <v>0.25</v>
      </c>
      <c r="L1160" s="0" t="n">
        <f aca="false">G1160</f>
        <v>-0.5</v>
      </c>
      <c r="M1160" s="0" t="n">
        <f aca="false">H1160</f>
        <v>-0.25</v>
      </c>
      <c r="N1160" s="0" t="n">
        <f aca="false">E1160*F1160</f>
        <v>-0.1875</v>
      </c>
      <c r="O1160" s="0" t="n">
        <f aca="false">E1160*G1160</f>
        <v>0.375</v>
      </c>
      <c r="P1160" s="0" t="n">
        <f aca="false">E1160*H1160</f>
        <v>0.1875</v>
      </c>
      <c r="Q1160" s="0" t="n">
        <f aca="false">F1160*G1160</f>
        <v>-0.125</v>
      </c>
      <c r="R1160" s="0" t="n">
        <f aca="false">F1160*H1160</f>
        <v>-0.0625</v>
      </c>
      <c r="S1160" s="0" t="n">
        <f aca="false">G1160*H1160</f>
        <v>0.125</v>
      </c>
      <c r="T1160" s="0" t="n">
        <f aca="false">E1160*E1160</f>
        <v>0.5625</v>
      </c>
      <c r="U1160" s="0" t="n">
        <f aca="false">F1160*F1160</f>
        <v>0.0625</v>
      </c>
      <c r="V1160" s="0" t="n">
        <f aca="false">G1160*G1160</f>
        <v>0.25</v>
      </c>
      <c r="W1160" s="0" t="n">
        <f aca="false">H1160*H1160</f>
        <v>0.0625</v>
      </c>
      <c r="X1160" s="0" t="n">
        <f aca="false">SUMPRODUCT(I1160:W1160,_XtX!$B$96:$P$96)</f>
        <v>44.104637244152</v>
      </c>
      <c r="Y1160" s="0" t="n">
        <f aca="false">SUMPRODUCT(MMULT(I1160:W1160,_XtX!$B$78:$P$92),I1160:W1160)</f>
        <v>0.207746539199561</v>
      </c>
      <c r="Z1160" s="0" t="n">
        <f aca="false">04_回帰ANOVA!$K$19*04_回帰ANOVA!$K$14*SQRT(1+Y1160)</f>
        <v>1.43247250081141</v>
      </c>
      <c r="AA1160" s="0" t="n">
        <f aca="false">X1160-Z1160</f>
        <v>42.6721647433406</v>
      </c>
      <c r="AB1160" s="0" t="n">
        <f aca="false">X1160+Z1160</f>
        <v>45.5371097449634</v>
      </c>
      <c r="AC1160" s="54" t="b">
        <f aca="false">AND(E1160&gt;=01_因子設定!$L$5-0.000000001,E1160&lt;=01_因子設定!$M$5+0.000000001,F1160&gt;=01_因子設定!$L$6-0.000000001,F1160&lt;=01_因子設定!$M$6+0.000000001,G1160&gt;=01_因子設定!$L$7-0.000000001,G1160&lt;=01_因子設定!$M$7+0.000000001,H1160&gt;=01_因子設定!$L$8-0.000000001,H1160&lt;=01_因子設定!$M$8+0.000000001,IF(01_因子設定!$B$20="Box-Behnken",E1160^2+F1160^2+G1160^2+H1160^2&lt;=2+0.000000001,TRUE()))</f>
        <v>1</v>
      </c>
      <c r="AD1160" s="55" t="n">
        <f aca="false">IF(AC1160,IF(01_因子設定!$B$13="最大化",AA1160-01_因子設定!$B$14,IF(01_因子設定!$B$13="最小化",01_因子設定!$B$15-AB1160,MIN(AA1160-01_因子設定!$B$14,01_因子設定!$B$15-AB1160))),-1E+030)</f>
        <v>-3.82783525665937</v>
      </c>
      <c r="AE1160" s="55" t="n">
        <f aca="false">IF(AC1160,IF(01_因子設定!$B$13="最大化",X1160,IF(01_因子設定!$B$13="最小化",-X1160,-ABS(X1160-01_因子設定!$B$16))),-1E+030)</f>
        <v>44.104637244152</v>
      </c>
      <c r="AF1160" s="55" t="n">
        <f aca="false">AD1160+ROW()*0.000000001</f>
        <v>-3.82783409665937</v>
      </c>
      <c r="AG1160" s="55" t="n">
        <f aca="false">AE1160+ROW()*0.000000001</f>
        <v>44.104638404152</v>
      </c>
    </row>
    <row r="1161" customFormat="false" ht="15" hidden="false" customHeight="false" outlineLevel="0" collapsed="false">
      <c r="A1161" s="0" t="n">
        <v>1</v>
      </c>
      <c r="B1161" s="0" t="n">
        <v>5</v>
      </c>
      <c r="C1161" s="0" t="n">
        <v>2</v>
      </c>
      <c r="D1161" s="0" t="n">
        <v>4</v>
      </c>
      <c r="E1161" s="0" t="n">
        <f aca="false">-1+A1161*0.25</f>
        <v>-0.75</v>
      </c>
      <c r="F1161" s="0" t="n">
        <f aca="false">-1+B1161*0.25</f>
        <v>0.25</v>
      </c>
      <c r="G1161" s="0" t="n">
        <f aca="false">-1+C1161*0.25</f>
        <v>-0.5</v>
      </c>
      <c r="H1161" s="0" t="n">
        <f aca="false">-1+D1161*0.25</f>
        <v>0</v>
      </c>
      <c r="I1161" s="0" t="n">
        <f aca="false">1</f>
        <v>1</v>
      </c>
      <c r="J1161" s="0" t="n">
        <f aca="false">E1161</f>
        <v>-0.75</v>
      </c>
      <c r="K1161" s="0" t="n">
        <f aca="false">F1161</f>
        <v>0.25</v>
      </c>
      <c r="L1161" s="0" t="n">
        <f aca="false">G1161</f>
        <v>-0.5</v>
      </c>
      <c r="M1161" s="0" t="n">
        <f aca="false">H1161</f>
        <v>0</v>
      </c>
      <c r="N1161" s="0" t="n">
        <f aca="false">E1161*F1161</f>
        <v>-0.1875</v>
      </c>
      <c r="O1161" s="0" t="n">
        <f aca="false">E1161*G1161</f>
        <v>0.375</v>
      </c>
      <c r="P1161" s="0" t="n">
        <f aca="false">E1161*H1161</f>
        <v>-0</v>
      </c>
      <c r="Q1161" s="0" t="n">
        <f aca="false">F1161*G1161</f>
        <v>-0.125</v>
      </c>
      <c r="R1161" s="0" t="n">
        <f aca="false">F1161*H1161</f>
        <v>0</v>
      </c>
      <c r="S1161" s="0" t="n">
        <f aca="false">G1161*H1161</f>
        <v>-0</v>
      </c>
      <c r="T1161" s="0" t="n">
        <f aca="false">E1161*E1161</f>
        <v>0.5625</v>
      </c>
      <c r="U1161" s="0" t="n">
        <f aca="false">F1161*F1161</f>
        <v>0.0625</v>
      </c>
      <c r="V1161" s="0" t="n">
        <f aca="false">G1161*G1161</f>
        <v>0.25</v>
      </c>
      <c r="W1161" s="0" t="n">
        <f aca="false">H1161*H1161</f>
        <v>0</v>
      </c>
      <c r="X1161" s="0" t="n">
        <f aca="false">SUMPRODUCT(I1161:W1161,_XtX!$B$96:$P$96)</f>
        <v>44.1572733918129</v>
      </c>
      <c r="Y1161" s="0" t="n">
        <f aca="false">SUMPRODUCT(MMULT(I1161:W1161,_XtX!$B$78:$P$92),I1161:W1161)</f>
        <v>0.215110734192252</v>
      </c>
      <c r="Z1161" s="0" t="n">
        <f aca="false">04_回帰ANOVA!$K$19*04_回帰ANOVA!$K$14*SQRT(1+Y1161)</f>
        <v>1.43683309086864</v>
      </c>
      <c r="AA1161" s="0" t="n">
        <f aca="false">X1161-Z1161</f>
        <v>42.7204403009442</v>
      </c>
      <c r="AB1161" s="0" t="n">
        <f aca="false">X1161+Z1161</f>
        <v>45.5941064826815</v>
      </c>
      <c r="AC1161" s="54" t="b">
        <f aca="false">AND(E1161&gt;=01_因子設定!$L$5-0.000000001,E1161&lt;=01_因子設定!$M$5+0.000000001,F1161&gt;=01_因子設定!$L$6-0.000000001,F1161&lt;=01_因子設定!$M$6+0.000000001,G1161&gt;=01_因子設定!$L$7-0.000000001,G1161&lt;=01_因子設定!$M$7+0.000000001,H1161&gt;=01_因子設定!$L$8-0.000000001,H1161&lt;=01_因子設定!$M$8+0.000000001,IF(01_因子設定!$B$20="Box-Behnken",E1161^2+F1161^2+G1161^2+H1161^2&lt;=2+0.000000001,TRUE()))</f>
        <v>1</v>
      </c>
      <c r="AD1161" s="55" t="n">
        <f aca="false">IF(AC1161,IF(01_因子設定!$B$13="最大化",AA1161-01_因子設定!$B$14,IF(01_因子設定!$B$13="最小化",01_因子設定!$B$15-AB1161,MIN(AA1161-01_因子設定!$B$14,01_因子設定!$B$15-AB1161))),-1E+030)</f>
        <v>-3.7795596990558</v>
      </c>
      <c r="AE1161" s="55" t="n">
        <f aca="false">IF(AC1161,IF(01_因子設定!$B$13="最大化",X1161,IF(01_因子設定!$B$13="最小化",-X1161,-ABS(X1161-01_因子設定!$B$16))),-1E+030)</f>
        <v>44.1572733918129</v>
      </c>
      <c r="AF1161" s="55" t="n">
        <f aca="false">AD1161+ROW()*0.000000001</f>
        <v>-3.7795585380558</v>
      </c>
      <c r="AG1161" s="55" t="n">
        <f aca="false">AE1161+ROW()*0.000000001</f>
        <v>44.1572745528129</v>
      </c>
    </row>
    <row r="1162" customFormat="false" ht="15" hidden="false" customHeight="false" outlineLevel="0" collapsed="false">
      <c r="A1162" s="0" t="n">
        <v>1</v>
      </c>
      <c r="B1162" s="0" t="n">
        <v>5</v>
      </c>
      <c r="C1162" s="0" t="n">
        <v>2</v>
      </c>
      <c r="D1162" s="0" t="n">
        <v>5</v>
      </c>
      <c r="E1162" s="0" t="n">
        <f aca="false">-1+A1162*0.25</f>
        <v>-0.75</v>
      </c>
      <c r="F1162" s="0" t="n">
        <f aca="false">-1+B1162*0.25</f>
        <v>0.25</v>
      </c>
      <c r="G1162" s="0" t="n">
        <f aca="false">-1+C1162*0.25</f>
        <v>-0.5</v>
      </c>
      <c r="H1162" s="0" t="n">
        <f aca="false">-1+D1162*0.25</f>
        <v>0.25</v>
      </c>
      <c r="I1162" s="0" t="n">
        <f aca="false">1</f>
        <v>1</v>
      </c>
      <c r="J1162" s="0" t="n">
        <f aca="false">E1162</f>
        <v>-0.75</v>
      </c>
      <c r="K1162" s="0" t="n">
        <f aca="false">F1162</f>
        <v>0.25</v>
      </c>
      <c r="L1162" s="0" t="n">
        <f aca="false">G1162</f>
        <v>-0.5</v>
      </c>
      <c r="M1162" s="0" t="n">
        <f aca="false">H1162</f>
        <v>0.25</v>
      </c>
      <c r="N1162" s="0" t="n">
        <f aca="false">E1162*F1162</f>
        <v>-0.1875</v>
      </c>
      <c r="O1162" s="0" t="n">
        <f aca="false">E1162*G1162</f>
        <v>0.375</v>
      </c>
      <c r="P1162" s="0" t="n">
        <f aca="false">E1162*H1162</f>
        <v>-0.1875</v>
      </c>
      <c r="Q1162" s="0" t="n">
        <f aca="false">F1162*G1162</f>
        <v>-0.125</v>
      </c>
      <c r="R1162" s="0" t="n">
        <f aca="false">F1162*H1162</f>
        <v>0.0625</v>
      </c>
      <c r="S1162" s="0" t="n">
        <f aca="false">G1162*H1162</f>
        <v>-0.125</v>
      </c>
      <c r="T1162" s="0" t="n">
        <f aca="false">E1162*E1162</f>
        <v>0.5625</v>
      </c>
      <c r="U1162" s="0" t="n">
        <f aca="false">F1162*F1162</f>
        <v>0.0625</v>
      </c>
      <c r="V1162" s="0" t="n">
        <f aca="false">G1162*G1162</f>
        <v>0.25</v>
      </c>
      <c r="W1162" s="0" t="n">
        <f aca="false">H1162*H1162</f>
        <v>0.0625</v>
      </c>
      <c r="X1162" s="0" t="n">
        <f aca="false">SUMPRODUCT(I1162:W1162,_XtX!$B$96:$P$96)</f>
        <v>44.1621025219298</v>
      </c>
      <c r="Y1162" s="0" t="n">
        <f aca="false">SUMPRODUCT(MMULT(I1162:W1162,_XtX!$B$78:$P$92),I1162:W1162)</f>
        <v>0.207746539199561</v>
      </c>
      <c r="Z1162" s="0" t="n">
        <f aca="false">04_回帰ANOVA!$K$19*04_回帰ANOVA!$K$14*SQRT(1+Y1162)</f>
        <v>1.43247250081141</v>
      </c>
      <c r="AA1162" s="0" t="n">
        <f aca="false">X1162-Z1162</f>
        <v>42.7296300211184</v>
      </c>
      <c r="AB1162" s="0" t="n">
        <f aca="false">X1162+Z1162</f>
        <v>45.5945750227412</v>
      </c>
      <c r="AC1162" s="54" t="b">
        <f aca="false">AND(E1162&gt;=01_因子設定!$L$5-0.000000001,E1162&lt;=01_因子設定!$M$5+0.000000001,F1162&gt;=01_因子設定!$L$6-0.000000001,F1162&lt;=01_因子設定!$M$6+0.000000001,G1162&gt;=01_因子設定!$L$7-0.000000001,G1162&lt;=01_因子設定!$M$7+0.000000001,H1162&gt;=01_因子設定!$L$8-0.000000001,H1162&lt;=01_因子設定!$M$8+0.000000001,IF(01_因子設定!$B$20="Box-Behnken",E1162^2+F1162^2+G1162^2+H1162^2&lt;=2+0.000000001,TRUE()))</f>
        <v>1</v>
      </c>
      <c r="AD1162" s="55" t="n">
        <f aca="false">IF(AC1162,IF(01_因子設定!$B$13="最大化",AA1162-01_因子設定!$B$14,IF(01_因子設定!$B$13="最小化",01_因子設定!$B$15-AB1162,MIN(AA1162-01_因子設定!$B$14,01_因子設定!$B$15-AB1162))),-1E+030)</f>
        <v>-3.7703699788816</v>
      </c>
      <c r="AE1162" s="55" t="n">
        <f aca="false">IF(AC1162,IF(01_因子設定!$B$13="最大化",X1162,IF(01_因子設定!$B$13="最小化",-X1162,-ABS(X1162-01_因子設定!$B$16))),-1E+030)</f>
        <v>44.1621025219298</v>
      </c>
      <c r="AF1162" s="55" t="n">
        <f aca="false">AD1162+ROW()*0.000000001</f>
        <v>-3.7703688168816</v>
      </c>
      <c r="AG1162" s="55" t="n">
        <f aca="false">AE1162+ROW()*0.000000001</f>
        <v>44.1621036839298</v>
      </c>
    </row>
    <row r="1163" customFormat="false" ht="15" hidden="false" customHeight="false" outlineLevel="0" collapsed="false">
      <c r="A1163" s="0" t="n">
        <v>1</v>
      </c>
      <c r="B1163" s="0" t="n">
        <v>5</v>
      </c>
      <c r="C1163" s="0" t="n">
        <v>2</v>
      </c>
      <c r="D1163" s="0" t="n">
        <v>6</v>
      </c>
      <c r="E1163" s="0" t="n">
        <f aca="false">-1+A1163*0.25</f>
        <v>-0.75</v>
      </c>
      <c r="F1163" s="0" t="n">
        <f aca="false">-1+B1163*0.25</f>
        <v>0.25</v>
      </c>
      <c r="G1163" s="0" t="n">
        <f aca="false">-1+C1163*0.25</f>
        <v>-0.5</v>
      </c>
      <c r="H1163" s="0" t="n">
        <f aca="false">-1+D1163*0.25</f>
        <v>0.5</v>
      </c>
      <c r="I1163" s="0" t="n">
        <f aca="false">1</f>
        <v>1</v>
      </c>
      <c r="J1163" s="0" t="n">
        <f aca="false">E1163</f>
        <v>-0.75</v>
      </c>
      <c r="K1163" s="0" t="n">
        <f aca="false">F1163</f>
        <v>0.25</v>
      </c>
      <c r="L1163" s="0" t="n">
        <f aca="false">G1163</f>
        <v>-0.5</v>
      </c>
      <c r="M1163" s="0" t="n">
        <f aca="false">H1163</f>
        <v>0.5</v>
      </c>
      <c r="N1163" s="0" t="n">
        <f aca="false">E1163*F1163</f>
        <v>-0.1875</v>
      </c>
      <c r="O1163" s="0" t="n">
        <f aca="false">E1163*G1163</f>
        <v>0.375</v>
      </c>
      <c r="P1163" s="0" t="n">
        <f aca="false">E1163*H1163</f>
        <v>-0.375</v>
      </c>
      <c r="Q1163" s="0" t="n">
        <f aca="false">F1163*G1163</f>
        <v>-0.125</v>
      </c>
      <c r="R1163" s="0" t="n">
        <f aca="false">F1163*H1163</f>
        <v>0.125</v>
      </c>
      <c r="S1163" s="0" t="n">
        <f aca="false">G1163*H1163</f>
        <v>-0.25</v>
      </c>
      <c r="T1163" s="0" t="n">
        <f aca="false">E1163*E1163</f>
        <v>0.5625</v>
      </c>
      <c r="U1163" s="0" t="n">
        <f aca="false">F1163*F1163</f>
        <v>0.0625</v>
      </c>
      <c r="V1163" s="0" t="n">
        <f aca="false">G1163*G1163</f>
        <v>0.25</v>
      </c>
      <c r="W1163" s="0" t="n">
        <f aca="false">H1163*H1163</f>
        <v>0.25</v>
      </c>
      <c r="X1163" s="0" t="n">
        <f aca="false">SUMPRODUCT(I1163:W1163,_XtX!$B$96:$P$96)</f>
        <v>44.1191246345029</v>
      </c>
      <c r="Y1163" s="0" t="n">
        <f aca="false">SUMPRODUCT(MMULT(I1163:W1163,_XtX!$B$78:$P$92),I1163:W1163)</f>
        <v>0.203746059484649</v>
      </c>
      <c r="Z1163" s="0" t="n">
        <f aca="false">04_回帰ANOVA!$K$19*04_回帰ANOVA!$K$14*SQRT(1+Y1163)</f>
        <v>1.43009810755465</v>
      </c>
      <c r="AA1163" s="0" t="n">
        <f aca="false">X1163-Z1163</f>
        <v>42.6890265269483</v>
      </c>
      <c r="AB1163" s="0" t="n">
        <f aca="false">X1163+Z1163</f>
        <v>45.5492227420576</v>
      </c>
      <c r="AC1163" s="54" t="b">
        <f aca="false">AND(E1163&gt;=01_因子設定!$L$5-0.000000001,E1163&lt;=01_因子設定!$M$5+0.000000001,F1163&gt;=01_因子設定!$L$6-0.000000001,F1163&lt;=01_因子設定!$M$6+0.000000001,G1163&gt;=01_因子設定!$L$7-0.000000001,G1163&lt;=01_因子設定!$M$7+0.000000001,H1163&gt;=01_因子設定!$L$8-0.000000001,H1163&lt;=01_因子設定!$M$8+0.000000001,IF(01_因子設定!$B$20="Box-Behnken",E1163^2+F1163^2+G1163^2+H1163^2&lt;=2+0.000000001,TRUE()))</f>
        <v>1</v>
      </c>
      <c r="AD1163" s="55" t="n">
        <f aca="false">IF(AC1163,IF(01_因子設定!$B$13="最大化",AA1163-01_因子設定!$B$14,IF(01_因子設定!$B$13="最小化",01_因子設定!$B$15-AB1163,MIN(AA1163-01_因子設定!$B$14,01_因子設定!$B$15-AB1163))),-1E+030)</f>
        <v>-3.81097347305173</v>
      </c>
      <c r="AE1163" s="55" t="n">
        <f aca="false">IF(AC1163,IF(01_因子設定!$B$13="最大化",X1163,IF(01_因子設定!$B$13="最小化",-X1163,-ABS(X1163-01_因子設定!$B$16))),-1E+030)</f>
        <v>44.1191246345029</v>
      </c>
      <c r="AF1163" s="55" t="n">
        <f aca="false">AD1163+ROW()*0.000000001</f>
        <v>-3.81097231005173</v>
      </c>
      <c r="AG1163" s="55" t="n">
        <f aca="false">AE1163+ROW()*0.000000001</f>
        <v>44.1191257975029</v>
      </c>
    </row>
    <row r="1164" customFormat="false" ht="15" hidden="false" customHeight="false" outlineLevel="0" collapsed="false">
      <c r="A1164" s="0" t="n">
        <v>1</v>
      </c>
      <c r="B1164" s="0" t="n">
        <v>5</v>
      </c>
      <c r="C1164" s="0" t="n">
        <v>2</v>
      </c>
      <c r="D1164" s="0" t="n">
        <v>7</v>
      </c>
      <c r="E1164" s="0" t="n">
        <f aca="false">-1+A1164*0.25</f>
        <v>-0.75</v>
      </c>
      <c r="F1164" s="0" t="n">
        <f aca="false">-1+B1164*0.25</f>
        <v>0.25</v>
      </c>
      <c r="G1164" s="0" t="n">
        <f aca="false">-1+C1164*0.25</f>
        <v>-0.5</v>
      </c>
      <c r="H1164" s="0" t="n">
        <f aca="false">-1+D1164*0.25</f>
        <v>0.75</v>
      </c>
      <c r="I1164" s="0" t="n">
        <f aca="false">1</f>
        <v>1</v>
      </c>
      <c r="J1164" s="0" t="n">
        <f aca="false">E1164</f>
        <v>-0.75</v>
      </c>
      <c r="K1164" s="0" t="n">
        <f aca="false">F1164</f>
        <v>0.25</v>
      </c>
      <c r="L1164" s="0" t="n">
        <f aca="false">G1164</f>
        <v>-0.5</v>
      </c>
      <c r="M1164" s="0" t="n">
        <f aca="false">H1164</f>
        <v>0.75</v>
      </c>
      <c r="N1164" s="0" t="n">
        <f aca="false">E1164*F1164</f>
        <v>-0.1875</v>
      </c>
      <c r="O1164" s="0" t="n">
        <f aca="false">E1164*G1164</f>
        <v>0.375</v>
      </c>
      <c r="P1164" s="0" t="n">
        <f aca="false">E1164*H1164</f>
        <v>-0.5625</v>
      </c>
      <c r="Q1164" s="0" t="n">
        <f aca="false">F1164*G1164</f>
        <v>-0.125</v>
      </c>
      <c r="R1164" s="0" t="n">
        <f aca="false">F1164*H1164</f>
        <v>0.1875</v>
      </c>
      <c r="S1164" s="0" t="n">
        <f aca="false">G1164*H1164</f>
        <v>-0.375</v>
      </c>
      <c r="T1164" s="0" t="n">
        <f aca="false">E1164*E1164</f>
        <v>0.5625</v>
      </c>
      <c r="U1164" s="0" t="n">
        <f aca="false">F1164*F1164</f>
        <v>0.0625</v>
      </c>
      <c r="V1164" s="0" t="n">
        <f aca="false">G1164*G1164</f>
        <v>0.25</v>
      </c>
      <c r="W1164" s="0" t="n">
        <f aca="false">H1164*H1164</f>
        <v>0.5625</v>
      </c>
      <c r="X1164" s="0" t="n">
        <f aca="false">SUMPRODUCT(I1164:W1164,_XtX!$B$96:$P$96)</f>
        <v>44.0283397295322</v>
      </c>
      <c r="Y1164" s="0" t="n">
        <f aca="false">SUMPRODUCT(MMULT(I1164:W1164,_XtX!$B$78:$P$92),I1164:W1164)</f>
        <v>0.257385610836988</v>
      </c>
      <c r="Z1164" s="0" t="n">
        <f aca="false">04_回帰ANOVA!$K$19*04_回帰ANOVA!$K$14*SQRT(1+Y1164)</f>
        <v>1.46161380324158</v>
      </c>
      <c r="AA1164" s="0" t="n">
        <f aca="false">X1164-Z1164</f>
        <v>42.5667259262906</v>
      </c>
      <c r="AB1164" s="0" t="n">
        <f aca="false">X1164+Z1164</f>
        <v>45.4899535327738</v>
      </c>
      <c r="AC1164" s="54" t="b">
        <f aca="false">AND(E1164&gt;=01_因子設定!$L$5-0.000000001,E1164&lt;=01_因子設定!$M$5+0.000000001,F1164&gt;=01_因子設定!$L$6-0.000000001,F1164&lt;=01_因子設定!$M$6+0.000000001,G1164&gt;=01_因子設定!$L$7-0.000000001,G1164&lt;=01_因子設定!$M$7+0.000000001,H1164&gt;=01_因子設定!$L$8-0.000000001,H1164&lt;=01_因子設定!$M$8+0.000000001,IF(01_因子設定!$B$20="Box-Behnken",E1164^2+F1164^2+G1164^2+H1164^2&lt;=2+0.000000001,TRUE()))</f>
        <v>1</v>
      </c>
      <c r="AD1164" s="55" t="n">
        <f aca="false">IF(AC1164,IF(01_因子設定!$B$13="最大化",AA1164-01_因子設定!$B$14,IF(01_因子設定!$B$13="最小化",01_因子設定!$B$15-AB1164,MIN(AA1164-01_因子設定!$B$14,01_因子設定!$B$15-AB1164))),-1E+030)</f>
        <v>-3.93327407370941</v>
      </c>
      <c r="AE1164" s="55" t="n">
        <f aca="false">IF(AC1164,IF(01_因子設定!$B$13="最大化",X1164,IF(01_因子設定!$B$13="最小化",-X1164,-ABS(X1164-01_因子設定!$B$16))),-1E+030)</f>
        <v>44.0283397295322</v>
      </c>
      <c r="AF1164" s="55" t="n">
        <f aca="false">AD1164+ROW()*0.000000001</f>
        <v>-3.93327290970941</v>
      </c>
      <c r="AG1164" s="55" t="n">
        <f aca="false">AE1164+ROW()*0.000000001</f>
        <v>44.0283408935322</v>
      </c>
    </row>
    <row r="1165" customFormat="false" ht="15" hidden="false" customHeight="false" outlineLevel="0" collapsed="false">
      <c r="A1165" s="0" t="n">
        <v>1</v>
      </c>
      <c r="B1165" s="0" t="n">
        <v>5</v>
      </c>
      <c r="C1165" s="0" t="n">
        <v>2</v>
      </c>
      <c r="D1165" s="0" t="n">
        <v>8</v>
      </c>
      <c r="E1165" s="0" t="n">
        <f aca="false">-1+A1165*0.25</f>
        <v>-0.75</v>
      </c>
      <c r="F1165" s="0" t="n">
        <f aca="false">-1+B1165*0.25</f>
        <v>0.25</v>
      </c>
      <c r="G1165" s="0" t="n">
        <f aca="false">-1+C1165*0.25</f>
        <v>-0.5</v>
      </c>
      <c r="H1165" s="0" t="n">
        <f aca="false">-1+D1165*0.25</f>
        <v>1</v>
      </c>
      <c r="I1165" s="0" t="n">
        <f aca="false">1</f>
        <v>1</v>
      </c>
      <c r="J1165" s="0" t="n">
        <f aca="false">E1165</f>
        <v>-0.75</v>
      </c>
      <c r="K1165" s="0" t="n">
        <f aca="false">F1165</f>
        <v>0.25</v>
      </c>
      <c r="L1165" s="0" t="n">
        <f aca="false">G1165</f>
        <v>-0.5</v>
      </c>
      <c r="M1165" s="0" t="n">
        <f aca="false">H1165</f>
        <v>1</v>
      </c>
      <c r="N1165" s="0" t="n">
        <f aca="false">E1165*F1165</f>
        <v>-0.1875</v>
      </c>
      <c r="O1165" s="0" t="n">
        <f aca="false">E1165*G1165</f>
        <v>0.375</v>
      </c>
      <c r="P1165" s="0" t="n">
        <f aca="false">E1165*H1165</f>
        <v>-0.75</v>
      </c>
      <c r="Q1165" s="0" t="n">
        <f aca="false">F1165*G1165</f>
        <v>-0.125</v>
      </c>
      <c r="R1165" s="0" t="n">
        <f aca="false">F1165*H1165</f>
        <v>0.25</v>
      </c>
      <c r="S1165" s="0" t="n">
        <f aca="false">G1165*H1165</f>
        <v>-0.5</v>
      </c>
      <c r="T1165" s="0" t="n">
        <f aca="false">E1165*E1165</f>
        <v>0.5625</v>
      </c>
      <c r="U1165" s="0" t="n">
        <f aca="false">F1165*F1165</f>
        <v>0.0625</v>
      </c>
      <c r="V1165" s="0" t="n">
        <f aca="false">G1165*G1165</f>
        <v>0.25</v>
      </c>
      <c r="W1165" s="0" t="n">
        <f aca="false">H1165*H1165</f>
        <v>1</v>
      </c>
      <c r="X1165" s="0" t="n">
        <f aca="false">SUMPRODUCT(I1165:W1165,_XtX!$B$96:$P$96)</f>
        <v>43.8897478070176</v>
      </c>
      <c r="Y1165" s="0" t="n">
        <f aca="false">SUMPRODUCT(MMULT(I1165:W1165,_XtX!$B$78:$P$92),I1165:W1165)</f>
        <v>0.459125719572369</v>
      </c>
      <c r="Z1165" s="0" t="n">
        <f aca="false">04_回帰ANOVA!$K$19*04_回帰ANOVA!$K$14*SQRT(1+Y1165)</f>
        <v>1.57450755575573</v>
      </c>
      <c r="AA1165" s="0" t="n">
        <f aca="false">X1165-Z1165</f>
        <v>42.3152402512618</v>
      </c>
      <c r="AB1165" s="0" t="n">
        <f aca="false">X1165+Z1165</f>
        <v>45.4642553627733</v>
      </c>
      <c r="AC1165" s="54" t="b">
        <f aca="false">AND(E1165&gt;=01_因子設定!$L$5-0.000000001,E1165&lt;=01_因子設定!$M$5+0.000000001,F1165&gt;=01_因子設定!$L$6-0.000000001,F1165&lt;=01_因子設定!$M$6+0.000000001,G1165&gt;=01_因子設定!$L$7-0.000000001,G1165&lt;=01_因子設定!$M$7+0.000000001,H1165&gt;=01_因子設定!$L$8-0.000000001,H1165&lt;=01_因子設定!$M$8+0.000000001,IF(01_因子設定!$B$20="Box-Behnken",E1165^2+F1165^2+G1165^2+H1165^2&lt;=2+0.000000001,TRUE()))</f>
        <v>1</v>
      </c>
      <c r="AD1165" s="55" t="n">
        <f aca="false">IF(AC1165,IF(01_因子設定!$B$13="最大化",AA1165-01_因子設定!$B$14,IF(01_因子設定!$B$13="最小化",01_因子設定!$B$15-AB1165,MIN(AA1165-01_因子設定!$B$14,01_因子設定!$B$15-AB1165))),-1E+030)</f>
        <v>-4.18475974873817</v>
      </c>
      <c r="AE1165" s="55" t="n">
        <f aca="false">IF(AC1165,IF(01_因子設定!$B$13="最大化",X1165,IF(01_因子設定!$B$13="最小化",-X1165,-ABS(X1165-01_因子設定!$B$16))),-1E+030)</f>
        <v>43.8897478070176</v>
      </c>
      <c r="AF1165" s="55" t="n">
        <f aca="false">AD1165+ROW()*0.000000001</f>
        <v>-4.18475858373817</v>
      </c>
      <c r="AG1165" s="55" t="n">
        <f aca="false">AE1165+ROW()*0.000000001</f>
        <v>43.8897489720176</v>
      </c>
    </row>
    <row r="1166" customFormat="false" ht="15" hidden="false" customHeight="false" outlineLevel="0" collapsed="false">
      <c r="A1166" s="0" t="n">
        <v>1</v>
      </c>
      <c r="B1166" s="0" t="n">
        <v>5</v>
      </c>
      <c r="C1166" s="0" t="n">
        <v>3</v>
      </c>
      <c r="D1166" s="0" t="n">
        <v>0</v>
      </c>
      <c r="E1166" s="0" t="n">
        <f aca="false">-1+A1166*0.25</f>
        <v>-0.75</v>
      </c>
      <c r="F1166" s="0" t="n">
        <f aca="false">-1+B1166*0.25</f>
        <v>0.25</v>
      </c>
      <c r="G1166" s="0" t="n">
        <f aca="false">-1+C1166*0.25</f>
        <v>-0.25</v>
      </c>
      <c r="H1166" s="0" t="n">
        <f aca="false">-1+D1166*0.25</f>
        <v>-1</v>
      </c>
      <c r="I1166" s="0" t="n">
        <f aca="false">1</f>
        <v>1</v>
      </c>
      <c r="J1166" s="0" t="n">
        <f aca="false">E1166</f>
        <v>-0.75</v>
      </c>
      <c r="K1166" s="0" t="n">
        <f aca="false">F1166</f>
        <v>0.25</v>
      </c>
      <c r="L1166" s="0" t="n">
        <f aca="false">G1166</f>
        <v>-0.25</v>
      </c>
      <c r="M1166" s="0" t="n">
        <f aca="false">H1166</f>
        <v>-1</v>
      </c>
      <c r="N1166" s="0" t="n">
        <f aca="false">E1166*F1166</f>
        <v>-0.1875</v>
      </c>
      <c r="O1166" s="0" t="n">
        <f aca="false">E1166*G1166</f>
        <v>0.1875</v>
      </c>
      <c r="P1166" s="0" t="n">
        <f aca="false">E1166*H1166</f>
        <v>0.75</v>
      </c>
      <c r="Q1166" s="0" t="n">
        <f aca="false">F1166*G1166</f>
        <v>-0.0625</v>
      </c>
      <c r="R1166" s="0" t="n">
        <f aca="false">F1166*H1166</f>
        <v>-0.25</v>
      </c>
      <c r="S1166" s="0" t="n">
        <f aca="false">G1166*H1166</f>
        <v>0.25</v>
      </c>
      <c r="T1166" s="0" t="n">
        <f aca="false">E1166*E1166</f>
        <v>0.5625</v>
      </c>
      <c r="U1166" s="0" t="n">
        <f aca="false">F1166*F1166</f>
        <v>0.0625</v>
      </c>
      <c r="V1166" s="0" t="n">
        <f aca="false">G1166*G1166</f>
        <v>0.0625</v>
      </c>
      <c r="W1166" s="0" t="n">
        <f aca="false">H1166*H1166</f>
        <v>1</v>
      </c>
      <c r="X1166" s="0" t="n">
        <f aca="false">SUMPRODUCT(I1166:W1166,_XtX!$B$96:$P$96)</f>
        <v>44.1032118055556</v>
      </c>
      <c r="Y1166" s="0" t="n">
        <f aca="false">SUMPRODUCT(MMULT(I1166:W1166,_XtX!$B$78:$P$92),I1166:W1166)</f>
        <v>0.486409505208334</v>
      </c>
      <c r="Z1166" s="0" t="n">
        <f aca="false">04_回帰ANOVA!$K$19*04_回帰ANOVA!$K$14*SQRT(1+Y1166)</f>
        <v>1.58916001665498</v>
      </c>
      <c r="AA1166" s="0" t="n">
        <f aca="false">X1166-Z1166</f>
        <v>42.5140517889006</v>
      </c>
      <c r="AB1166" s="0" t="n">
        <f aca="false">X1166+Z1166</f>
        <v>45.6923718222106</v>
      </c>
      <c r="AC1166" s="54" t="b">
        <f aca="false">AND(E1166&gt;=01_因子設定!$L$5-0.000000001,E1166&lt;=01_因子設定!$M$5+0.000000001,F1166&gt;=01_因子設定!$L$6-0.000000001,F1166&lt;=01_因子設定!$M$6+0.000000001,G1166&gt;=01_因子設定!$L$7-0.000000001,G1166&lt;=01_因子設定!$M$7+0.000000001,H1166&gt;=01_因子設定!$L$8-0.000000001,H1166&lt;=01_因子設定!$M$8+0.000000001,IF(01_因子設定!$B$20="Box-Behnken",E1166^2+F1166^2+G1166^2+H1166^2&lt;=2+0.000000001,TRUE()))</f>
        <v>1</v>
      </c>
      <c r="AD1166" s="55" t="n">
        <f aca="false">IF(AC1166,IF(01_因子設定!$B$13="最大化",AA1166-01_因子設定!$B$14,IF(01_因子設定!$B$13="最小化",01_因子設定!$B$15-AB1166,MIN(AA1166-01_因子設定!$B$14,01_因子設定!$B$15-AB1166))),-1E+030)</f>
        <v>-3.9859482110994</v>
      </c>
      <c r="AE1166" s="55" t="n">
        <f aca="false">IF(AC1166,IF(01_因子設定!$B$13="最大化",X1166,IF(01_因子設定!$B$13="最小化",-X1166,-ABS(X1166-01_因子設定!$B$16))),-1E+030)</f>
        <v>44.1032118055556</v>
      </c>
      <c r="AF1166" s="55" t="n">
        <f aca="false">AD1166+ROW()*0.000000001</f>
        <v>-3.9859470450994</v>
      </c>
      <c r="AG1166" s="55" t="n">
        <f aca="false">AE1166+ROW()*0.000000001</f>
        <v>44.1032129715556</v>
      </c>
    </row>
    <row r="1167" customFormat="false" ht="15" hidden="false" customHeight="false" outlineLevel="0" collapsed="false">
      <c r="A1167" s="0" t="n">
        <v>1</v>
      </c>
      <c r="B1167" s="0" t="n">
        <v>5</v>
      </c>
      <c r="C1167" s="0" t="n">
        <v>3</v>
      </c>
      <c r="D1167" s="0" t="n">
        <v>1</v>
      </c>
      <c r="E1167" s="0" t="n">
        <f aca="false">-1+A1167*0.25</f>
        <v>-0.75</v>
      </c>
      <c r="F1167" s="0" t="n">
        <f aca="false">-1+B1167*0.25</f>
        <v>0.25</v>
      </c>
      <c r="G1167" s="0" t="n">
        <f aca="false">-1+C1167*0.25</f>
        <v>-0.25</v>
      </c>
      <c r="H1167" s="0" t="n">
        <f aca="false">-1+D1167*0.25</f>
        <v>-0.75</v>
      </c>
      <c r="I1167" s="0" t="n">
        <f aca="false">1</f>
        <v>1</v>
      </c>
      <c r="J1167" s="0" t="n">
        <f aca="false">E1167</f>
        <v>-0.75</v>
      </c>
      <c r="K1167" s="0" t="n">
        <f aca="false">F1167</f>
        <v>0.25</v>
      </c>
      <c r="L1167" s="0" t="n">
        <f aca="false">G1167</f>
        <v>-0.25</v>
      </c>
      <c r="M1167" s="0" t="n">
        <f aca="false">H1167</f>
        <v>-0.75</v>
      </c>
      <c r="N1167" s="0" t="n">
        <f aca="false">E1167*F1167</f>
        <v>-0.1875</v>
      </c>
      <c r="O1167" s="0" t="n">
        <f aca="false">E1167*G1167</f>
        <v>0.1875</v>
      </c>
      <c r="P1167" s="0" t="n">
        <f aca="false">E1167*H1167</f>
        <v>0.5625</v>
      </c>
      <c r="Q1167" s="0" t="n">
        <f aca="false">F1167*G1167</f>
        <v>-0.0625</v>
      </c>
      <c r="R1167" s="0" t="n">
        <f aca="false">F1167*H1167</f>
        <v>-0.1875</v>
      </c>
      <c r="S1167" s="0" t="n">
        <f aca="false">G1167*H1167</f>
        <v>0.1875</v>
      </c>
      <c r="T1167" s="0" t="n">
        <f aca="false">E1167*E1167</f>
        <v>0.5625</v>
      </c>
      <c r="U1167" s="0" t="n">
        <f aca="false">F1167*F1167</f>
        <v>0.0625</v>
      </c>
      <c r="V1167" s="0" t="n">
        <f aca="false">G1167*G1167</f>
        <v>0.0625</v>
      </c>
      <c r="W1167" s="0" t="n">
        <f aca="false">H1167*H1167</f>
        <v>0.5625</v>
      </c>
      <c r="X1167" s="0" t="n">
        <f aca="false">SUMPRODUCT(I1167:W1167,_XtX!$B$96:$P$96)</f>
        <v>44.317237755848</v>
      </c>
      <c r="Y1167" s="0" t="n">
        <f aca="false">SUMPRODUCT(MMULT(I1167:W1167,_XtX!$B$78:$P$92),I1167:W1167)</f>
        <v>0.271087468019006</v>
      </c>
      <c r="Z1167" s="0" t="n">
        <f aca="false">04_回帰ANOVA!$K$19*04_回帰ANOVA!$K$14*SQRT(1+Y1167)</f>
        <v>1.46955590155034</v>
      </c>
      <c r="AA1167" s="0" t="n">
        <f aca="false">X1167-Z1167</f>
        <v>42.8476818542976</v>
      </c>
      <c r="AB1167" s="0" t="n">
        <f aca="false">X1167+Z1167</f>
        <v>45.7867936573983</v>
      </c>
      <c r="AC1167" s="54" t="b">
        <f aca="false">AND(E1167&gt;=01_因子設定!$L$5-0.000000001,E1167&lt;=01_因子設定!$M$5+0.000000001,F1167&gt;=01_因子設定!$L$6-0.000000001,F1167&lt;=01_因子設定!$M$6+0.000000001,G1167&gt;=01_因子設定!$L$7-0.000000001,G1167&lt;=01_因子設定!$M$7+0.000000001,H1167&gt;=01_因子設定!$L$8-0.000000001,H1167&lt;=01_因子設定!$M$8+0.000000001,IF(01_因子設定!$B$20="Box-Behnken",E1167^2+F1167^2+G1167^2+H1167^2&lt;=2+0.000000001,TRUE()))</f>
        <v>1</v>
      </c>
      <c r="AD1167" s="55" t="n">
        <f aca="false">IF(AC1167,IF(01_因子設定!$B$13="最大化",AA1167-01_因子設定!$B$14,IF(01_因子設定!$B$13="最小化",01_因子設定!$B$15-AB1167,MIN(AA1167-01_因子設定!$B$14,01_因子設定!$B$15-AB1167))),-1E+030)</f>
        <v>-3.65231814570238</v>
      </c>
      <c r="AE1167" s="55" t="n">
        <f aca="false">IF(AC1167,IF(01_因子設定!$B$13="最大化",X1167,IF(01_因子設定!$B$13="最小化",-X1167,-ABS(X1167-01_因子設定!$B$16))),-1E+030)</f>
        <v>44.317237755848</v>
      </c>
      <c r="AF1167" s="55" t="n">
        <f aca="false">AD1167+ROW()*0.000000001</f>
        <v>-3.65231697870238</v>
      </c>
      <c r="AG1167" s="55" t="n">
        <f aca="false">AE1167+ROW()*0.000000001</f>
        <v>44.317238922848</v>
      </c>
    </row>
    <row r="1168" customFormat="false" ht="15" hidden="false" customHeight="false" outlineLevel="0" collapsed="false">
      <c r="A1168" s="0" t="n">
        <v>1</v>
      </c>
      <c r="B1168" s="0" t="n">
        <v>5</v>
      </c>
      <c r="C1168" s="0" t="n">
        <v>3</v>
      </c>
      <c r="D1168" s="0" t="n">
        <v>2</v>
      </c>
      <c r="E1168" s="0" t="n">
        <f aca="false">-1+A1168*0.25</f>
        <v>-0.75</v>
      </c>
      <c r="F1168" s="0" t="n">
        <f aca="false">-1+B1168*0.25</f>
        <v>0.25</v>
      </c>
      <c r="G1168" s="0" t="n">
        <f aca="false">-1+C1168*0.25</f>
        <v>-0.25</v>
      </c>
      <c r="H1168" s="0" t="n">
        <f aca="false">-1+D1168*0.25</f>
        <v>-0.5</v>
      </c>
      <c r="I1168" s="0" t="n">
        <f aca="false">1</f>
        <v>1</v>
      </c>
      <c r="J1168" s="0" t="n">
        <f aca="false">E1168</f>
        <v>-0.75</v>
      </c>
      <c r="K1168" s="0" t="n">
        <f aca="false">F1168</f>
        <v>0.25</v>
      </c>
      <c r="L1168" s="0" t="n">
        <f aca="false">G1168</f>
        <v>-0.25</v>
      </c>
      <c r="M1168" s="0" t="n">
        <f aca="false">H1168</f>
        <v>-0.5</v>
      </c>
      <c r="N1168" s="0" t="n">
        <f aca="false">E1168*F1168</f>
        <v>-0.1875</v>
      </c>
      <c r="O1168" s="0" t="n">
        <f aca="false">E1168*G1168</f>
        <v>0.1875</v>
      </c>
      <c r="P1168" s="0" t="n">
        <f aca="false">E1168*H1168</f>
        <v>0.375</v>
      </c>
      <c r="Q1168" s="0" t="n">
        <f aca="false">F1168*G1168</f>
        <v>-0.0625</v>
      </c>
      <c r="R1168" s="0" t="n">
        <f aca="false">F1168*H1168</f>
        <v>-0.125</v>
      </c>
      <c r="S1168" s="0" t="n">
        <f aca="false">G1168*H1168</f>
        <v>0.125</v>
      </c>
      <c r="T1168" s="0" t="n">
        <f aca="false">E1168*E1168</f>
        <v>0.5625</v>
      </c>
      <c r="U1168" s="0" t="n">
        <f aca="false">F1168*F1168</f>
        <v>0.0625</v>
      </c>
      <c r="V1168" s="0" t="n">
        <f aca="false">G1168*G1168</f>
        <v>0.0625</v>
      </c>
      <c r="W1168" s="0" t="n">
        <f aca="false">H1168*H1168</f>
        <v>0.25</v>
      </c>
      <c r="X1168" s="0" t="n">
        <f aca="false">SUMPRODUCT(I1168:W1168,_XtX!$B$96:$P$96)</f>
        <v>44.4834566885965</v>
      </c>
      <c r="Y1168" s="0" t="n">
        <f aca="false">SUMPRODUCT(MMULT(I1168:W1168,_XtX!$B$78:$P$92),I1168:W1168)</f>
        <v>0.207746539199561</v>
      </c>
      <c r="Z1168" s="0" t="n">
        <f aca="false">04_回帰ANOVA!$K$19*04_回帰ANOVA!$K$14*SQRT(1+Y1168)</f>
        <v>1.43247250081141</v>
      </c>
      <c r="AA1168" s="0" t="n">
        <f aca="false">X1168-Z1168</f>
        <v>43.0509841877851</v>
      </c>
      <c r="AB1168" s="0" t="n">
        <f aca="false">X1168+Z1168</f>
        <v>45.9159291894079</v>
      </c>
      <c r="AC1168" s="54" t="b">
        <f aca="false">AND(E1168&gt;=01_因子設定!$L$5-0.000000001,E1168&lt;=01_因子設定!$M$5+0.000000001,F1168&gt;=01_因子設定!$L$6-0.000000001,F1168&lt;=01_因子設定!$M$6+0.000000001,G1168&gt;=01_因子設定!$L$7-0.000000001,G1168&lt;=01_因子設定!$M$7+0.000000001,H1168&gt;=01_因子設定!$L$8-0.000000001,H1168&lt;=01_因子設定!$M$8+0.000000001,IF(01_因子設定!$B$20="Box-Behnken",E1168^2+F1168^2+G1168^2+H1168^2&lt;=2+0.000000001,TRUE()))</f>
        <v>1</v>
      </c>
      <c r="AD1168" s="55" t="n">
        <f aca="false">IF(AC1168,IF(01_因子設定!$B$13="最大化",AA1168-01_因子設定!$B$14,IF(01_因子設定!$B$13="最小化",01_因子設定!$B$15-AB1168,MIN(AA1168-01_因子設定!$B$14,01_因子設定!$B$15-AB1168))),-1E+030)</f>
        <v>-3.44901581221492</v>
      </c>
      <c r="AE1168" s="55" t="n">
        <f aca="false">IF(AC1168,IF(01_因子設定!$B$13="最大化",X1168,IF(01_因子設定!$B$13="最小化",-X1168,-ABS(X1168-01_因子設定!$B$16))),-1E+030)</f>
        <v>44.4834566885965</v>
      </c>
      <c r="AF1168" s="55" t="n">
        <f aca="false">AD1168+ROW()*0.000000001</f>
        <v>-3.44901464421492</v>
      </c>
      <c r="AG1168" s="55" t="n">
        <f aca="false">AE1168+ROW()*0.000000001</f>
        <v>44.4834578565965</v>
      </c>
    </row>
    <row r="1169" customFormat="false" ht="15" hidden="false" customHeight="false" outlineLevel="0" collapsed="false">
      <c r="A1169" s="0" t="n">
        <v>1</v>
      </c>
      <c r="B1169" s="0" t="n">
        <v>5</v>
      </c>
      <c r="C1169" s="0" t="n">
        <v>3</v>
      </c>
      <c r="D1169" s="0" t="n">
        <v>3</v>
      </c>
      <c r="E1169" s="0" t="n">
        <f aca="false">-1+A1169*0.25</f>
        <v>-0.75</v>
      </c>
      <c r="F1169" s="0" t="n">
        <f aca="false">-1+B1169*0.25</f>
        <v>0.25</v>
      </c>
      <c r="G1169" s="0" t="n">
        <f aca="false">-1+C1169*0.25</f>
        <v>-0.25</v>
      </c>
      <c r="H1169" s="0" t="n">
        <f aca="false">-1+D1169*0.25</f>
        <v>-0.25</v>
      </c>
      <c r="I1169" s="0" t="n">
        <f aca="false">1</f>
        <v>1</v>
      </c>
      <c r="J1169" s="0" t="n">
        <f aca="false">E1169</f>
        <v>-0.75</v>
      </c>
      <c r="K1169" s="0" t="n">
        <f aca="false">F1169</f>
        <v>0.25</v>
      </c>
      <c r="L1169" s="0" t="n">
        <f aca="false">G1169</f>
        <v>-0.25</v>
      </c>
      <c r="M1169" s="0" t="n">
        <f aca="false">H1169</f>
        <v>-0.25</v>
      </c>
      <c r="N1169" s="0" t="n">
        <f aca="false">E1169*F1169</f>
        <v>-0.1875</v>
      </c>
      <c r="O1169" s="0" t="n">
        <f aca="false">E1169*G1169</f>
        <v>0.1875</v>
      </c>
      <c r="P1169" s="0" t="n">
        <f aca="false">E1169*H1169</f>
        <v>0.1875</v>
      </c>
      <c r="Q1169" s="0" t="n">
        <f aca="false">F1169*G1169</f>
        <v>-0.0625</v>
      </c>
      <c r="R1169" s="0" t="n">
        <f aca="false">F1169*H1169</f>
        <v>-0.0625</v>
      </c>
      <c r="S1169" s="0" t="n">
        <f aca="false">G1169*H1169</f>
        <v>0.0625</v>
      </c>
      <c r="T1169" s="0" t="n">
        <f aca="false">E1169*E1169</f>
        <v>0.5625</v>
      </c>
      <c r="U1169" s="0" t="n">
        <f aca="false">F1169*F1169</f>
        <v>0.0625</v>
      </c>
      <c r="V1169" s="0" t="n">
        <f aca="false">G1169*G1169</f>
        <v>0.0625</v>
      </c>
      <c r="W1169" s="0" t="n">
        <f aca="false">H1169*H1169</f>
        <v>0.0625</v>
      </c>
      <c r="X1169" s="0" t="n">
        <f aca="false">SUMPRODUCT(I1169:W1169,_XtX!$B$96:$P$96)</f>
        <v>44.6018686038012</v>
      </c>
      <c r="Y1169" s="0" t="n">
        <f aca="false">SUMPRODUCT(MMULT(I1169:W1169,_XtX!$B$78:$P$92),I1169:W1169)</f>
        <v>0.205926192434211</v>
      </c>
      <c r="Z1169" s="0" t="n">
        <f aca="false">04_回帰ANOVA!$K$19*04_回帰ANOVA!$K$14*SQRT(1+Y1169)</f>
        <v>1.43139256396246</v>
      </c>
      <c r="AA1169" s="0" t="n">
        <f aca="false">X1169-Z1169</f>
        <v>43.1704760398387</v>
      </c>
      <c r="AB1169" s="0" t="n">
        <f aca="false">X1169+Z1169</f>
        <v>46.0332611677636</v>
      </c>
      <c r="AC1169" s="54" t="b">
        <f aca="false">AND(E1169&gt;=01_因子設定!$L$5-0.000000001,E1169&lt;=01_因子設定!$M$5+0.000000001,F1169&gt;=01_因子設定!$L$6-0.000000001,F1169&lt;=01_因子設定!$M$6+0.000000001,G1169&gt;=01_因子設定!$L$7-0.000000001,G1169&lt;=01_因子設定!$M$7+0.000000001,H1169&gt;=01_因子設定!$L$8-0.000000001,H1169&lt;=01_因子設定!$M$8+0.000000001,IF(01_因子設定!$B$20="Box-Behnken",E1169^2+F1169^2+G1169^2+H1169^2&lt;=2+0.000000001,TRUE()))</f>
        <v>1</v>
      </c>
      <c r="AD1169" s="55" t="n">
        <f aca="false">IF(AC1169,IF(01_因子設定!$B$13="最大化",AA1169-01_因子設定!$B$14,IF(01_因子設定!$B$13="最小化",01_因子設定!$B$15-AB1169,MIN(AA1169-01_因子設定!$B$14,01_因子設定!$B$15-AB1169))),-1E+030)</f>
        <v>-3.3295239601613</v>
      </c>
      <c r="AE1169" s="55" t="n">
        <f aca="false">IF(AC1169,IF(01_因子設定!$B$13="最大化",X1169,IF(01_因子設定!$B$13="最小化",-X1169,-ABS(X1169-01_因子設定!$B$16))),-1E+030)</f>
        <v>44.6018686038012</v>
      </c>
      <c r="AF1169" s="55" t="n">
        <f aca="false">AD1169+ROW()*0.000000001</f>
        <v>-3.3295227911613</v>
      </c>
      <c r="AG1169" s="55" t="n">
        <f aca="false">AE1169+ROW()*0.000000001</f>
        <v>44.6018697728012</v>
      </c>
    </row>
    <row r="1170" customFormat="false" ht="15" hidden="false" customHeight="false" outlineLevel="0" collapsed="false">
      <c r="A1170" s="0" t="n">
        <v>1</v>
      </c>
      <c r="B1170" s="0" t="n">
        <v>5</v>
      </c>
      <c r="C1170" s="0" t="n">
        <v>3</v>
      </c>
      <c r="D1170" s="0" t="n">
        <v>4</v>
      </c>
      <c r="E1170" s="0" t="n">
        <f aca="false">-1+A1170*0.25</f>
        <v>-0.75</v>
      </c>
      <c r="F1170" s="0" t="n">
        <f aca="false">-1+B1170*0.25</f>
        <v>0.25</v>
      </c>
      <c r="G1170" s="0" t="n">
        <f aca="false">-1+C1170*0.25</f>
        <v>-0.25</v>
      </c>
      <c r="H1170" s="0" t="n">
        <f aca="false">-1+D1170*0.25</f>
        <v>0</v>
      </c>
      <c r="I1170" s="0" t="n">
        <f aca="false">1</f>
        <v>1</v>
      </c>
      <c r="J1170" s="0" t="n">
        <f aca="false">E1170</f>
        <v>-0.75</v>
      </c>
      <c r="K1170" s="0" t="n">
        <f aca="false">F1170</f>
        <v>0.25</v>
      </c>
      <c r="L1170" s="0" t="n">
        <f aca="false">G1170</f>
        <v>-0.25</v>
      </c>
      <c r="M1170" s="0" t="n">
        <f aca="false">H1170</f>
        <v>0</v>
      </c>
      <c r="N1170" s="0" t="n">
        <f aca="false">E1170*F1170</f>
        <v>-0.1875</v>
      </c>
      <c r="O1170" s="0" t="n">
        <f aca="false">E1170*G1170</f>
        <v>0.1875</v>
      </c>
      <c r="P1170" s="0" t="n">
        <f aca="false">E1170*H1170</f>
        <v>-0</v>
      </c>
      <c r="Q1170" s="0" t="n">
        <f aca="false">F1170*G1170</f>
        <v>-0.0625</v>
      </c>
      <c r="R1170" s="0" t="n">
        <f aca="false">F1170*H1170</f>
        <v>0</v>
      </c>
      <c r="S1170" s="0" t="n">
        <f aca="false">G1170*H1170</f>
        <v>-0</v>
      </c>
      <c r="T1170" s="0" t="n">
        <f aca="false">E1170*E1170</f>
        <v>0.5625</v>
      </c>
      <c r="U1170" s="0" t="n">
        <f aca="false">F1170*F1170</f>
        <v>0.0625</v>
      </c>
      <c r="V1170" s="0" t="n">
        <f aca="false">G1170*G1170</f>
        <v>0.0625</v>
      </c>
      <c r="W1170" s="0" t="n">
        <f aca="false">H1170*H1170</f>
        <v>0</v>
      </c>
      <c r="X1170" s="0" t="n">
        <f aca="false">SUMPRODUCT(I1170:W1170,_XtX!$B$96:$P$96)</f>
        <v>44.672473501462</v>
      </c>
      <c r="Y1170" s="0" t="n">
        <f aca="false">SUMPRODUCT(MMULT(I1170:W1170,_XtX!$B$78:$P$92),I1170:W1170)</f>
        <v>0.21135011193348</v>
      </c>
      <c r="Z1170" s="0" t="n">
        <f aca="false">04_回帰ANOVA!$K$19*04_回帰ANOVA!$K$14*SQRT(1+Y1170)</f>
        <v>1.43460795469709</v>
      </c>
      <c r="AA1170" s="0" t="n">
        <f aca="false">X1170-Z1170</f>
        <v>43.2378655467649</v>
      </c>
      <c r="AB1170" s="0" t="n">
        <f aca="false">X1170+Z1170</f>
        <v>46.1070814561591</v>
      </c>
      <c r="AC1170" s="54" t="b">
        <f aca="false">AND(E1170&gt;=01_因子設定!$L$5-0.000000001,E1170&lt;=01_因子設定!$M$5+0.000000001,F1170&gt;=01_因子設定!$L$6-0.000000001,F1170&lt;=01_因子設定!$M$6+0.000000001,G1170&gt;=01_因子設定!$L$7-0.000000001,G1170&lt;=01_因子設定!$M$7+0.000000001,H1170&gt;=01_因子設定!$L$8-0.000000001,H1170&lt;=01_因子設定!$M$8+0.000000001,IF(01_因子設定!$B$20="Box-Behnken",E1170^2+F1170^2+G1170^2+H1170^2&lt;=2+0.000000001,TRUE()))</f>
        <v>1</v>
      </c>
      <c r="AD1170" s="55" t="n">
        <f aca="false">IF(AC1170,IF(01_因子設定!$B$13="最大化",AA1170-01_因子設定!$B$14,IF(01_因子設定!$B$13="最小化",01_因子設定!$B$15-AB1170,MIN(AA1170-01_因子設定!$B$14,01_因子設定!$B$15-AB1170))),-1E+030)</f>
        <v>-3.26213445323511</v>
      </c>
      <c r="AE1170" s="55" t="n">
        <f aca="false">IF(AC1170,IF(01_因子設定!$B$13="最大化",X1170,IF(01_因子設定!$B$13="最小化",-X1170,-ABS(X1170-01_因子設定!$B$16))),-1E+030)</f>
        <v>44.672473501462</v>
      </c>
      <c r="AF1170" s="55" t="n">
        <f aca="false">AD1170+ROW()*0.000000001</f>
        <v>-3.26213328323511</v>
      </c>
      <c r="AG1170" s="55" t="n">
        <f aca="false">AE1170+ROW()*0.000000001</f>
        <v>44.672474671462</v>
      </c>
    </row>
    <row r="1171" customFormat="false" ht="15" hidden="false" customHeight="false" outlineLevel="0" collapsed="false">
      <c r="A1171" s="0" t="n">
        <v>1</v>
      </c>
      <c r="B1171" s="0" t="n">
        <v>5</v>
      </c>
      <c r="C1171" s="0" t="n">
        <v>3</v>
      </c>
      <c r="D1171" s="0" t="n">
        <v>5</v>
      </c>
      <c r="E1171" s="0" t="n">
        <f aca="false">-1+A1171*0.25</f>
        <v>-0.75</v>
      </c>
      <c r="F1171" s="0" t="n">
        <f aca="false">-1+B1171*0.25</f>
        <v>0.25</v>
      </c>
      <c r="G1171" s="0" t="n">
        <f aca="false">-1+C1171*0.25</f>
        <v>-0.25</v>
      </c>
      <c r="H1171" s="0" t="n">
        <f aca="false">-1+D1171*0.25</f>
        <v>0.25</v>
      </c>
      <c r="I1171" s="0" t="n">
        <f aca="false">1</f>
        <v>1</v>
      </c>
      <c r="J1171" s="0" t="n">
        <f aca="false">E1171</f>
        <v>-0.75</v>
      </c>
      <c r="K1171" s="0" t="n">
        <f aca="false">F1171</f>
        <v>0.25</v>
      </c>
      <c r="L1171" s="0" t="n">
        <f aca="false">G1171</f>
        <v>-0.25</v>
      </c>
      <c r="M1171" s="0" t="n">
        <f aca="false">H1171</f>
        <v>0.25</v>
      </c>
      <c r="N1171" s="0" t="n">
        <f aca="false">E1171*F1171</f>
        <v>-0.1875</v>
      </c>
      <c r="O1171" s="0" t="n">
        <f aca="false">E1171*G1171</f>
        <v>0.1875</v>
      </c>
      <c r="P1171" s="0" t="n">
        <f aca="false">E1171*H1171</f>
        <v>-0.1875</v>
      </c>
      <c r="Q1171" s="0" t="n">
        <f aca="false">F1171*G1171</f>
        <v>-0.0625</v>
      </c>
      <c r="R1171" s="0" t="n">
        <f aca="false">F1171*H1171</f>
        <v>0.0625</v>
      </c>
      <c r="S1171" s="0" t="n">
        <f aca="false">G1171*H1171</f>
        <v>-0.0625</v>
      </c>
      <c r="T1171" s="0" t="n">
        <f aca="false">E1171*E1171</f>
        <v>0.5625</v>
      </c>
      <c r="U1171" s="0" t="n">
        <f aca="false">F1171*F1171</f>
        <v>0.0625</v>
      </c>
      <c r="V1171" s="0" t="n">
        <f aca="false">G1171*G1171</f>
        <v>0.0625</v>
      </c>
      <c r="W1171" s="0" t="n">
        <f aca="false">H1171*H1171</f>
        <v>0.0625</v>
      </c>
      <c r="X1171" s="0" t="n">
        <f aca="false">SUMPRODUCT(I1171:W1171,_XtX!$B$96:$P$96)</f>
        <v>44.6952713815789</v>
      </c>
      <c r="Y1171" s="0" t="n">
        <f aca="false">SUMPRODUCT(MMULT(I1171:W1171,_XtX!$B$78:$P$92),I1171:W1171)</f>
        <v>0.205926192434211</v>
      </c>
      <c r="Z1171" s="0" t="n">
        <f aca="false">04_回帰ANOVA!$K$19*04_回帰ANOVA!$K$14*SQRT(1+Y1171)</f>
        <v>1.43139256396246</v>
      </c>
      <c r="AA1171" s="0" t="n">
        <f aca="false">X1171-Z1171</f>
        <v>43.2638788176165</v>
      </c>
      <c r="AB1171" s="0" t="n">
        <f aca="false">X1171+Z1171</f>
        <v>46.1266639455414</v>
      </c>
      <c r="AC1171" s="54" t="b">
        <f aca="false">AND(E1171&gt;=01_因子設定!$L$5-0.000000001,E1171&lt;=01_因子設定!$M$5+0.000000001,F1171&gt;=01_因子設定!$L$6-0.000000001,F1171&lt;=01_因子設定!$M$6+0.000000001,G1171&gt;=01_因子設定!$L$7-0.000000001,G1171&lt;=01_因子設定!$M$7+0.000000001,H1171&gt;=01_因子設定!$L$8-0.000000001,H1171&lt;=01_因子設定!$M$8+0.000000001,IF(01_因子設定!$B$20="Box-Behnken",E1171^2+F1171^2+G1171^2+H1171^2&lt;=2+0.000000001,TRUE()))</f>
        <v>1</v>
      </c>
      <c r="AD1171" s="55" t="n">
        <f aca="false">IF(AC1171,IF(01_因子設定!$B$13="最大化",AA1171-01_因子設定!$B$14,IF(01_因子設定!$B$13="最小化",01_因子設定!$B$15-AB1171,MIN(AA1171-01_因子設定!$B$14,01_因子設定!$B$15-AB1171))),-1E+030)</f>
        <v>-3.23612118238353</v>
      </c>
      <c r="AE1171" s="55" t="n">
        <f aca="false">IF(AC1171,IF(01_因子設定!$B$13="最大化",X1171,IF(01_因子設定!$B$13="最小化",-X1171,-ABS(X1171-01_因子設定!$B$16))),-1E+030)</f>
        <v>44.6952713815789</v>
      </c>
      <c r="AF1171" s="55" t="n">
        <f aca="false">AD1171+ROW()*0.000000001</f>
        <v>-3.23612001138353</v>
      </c>
      <c r="AG1171" s="55" t="n">
        <f aca="false">AE1171+ROW()*0.000000001</f>
        <v>44.6952725525789</v>
      </c>
    </row>
    <row r="1172" customFormat="false" ht="15" hidden="false" customHeight="false" outlineLevel="0" collapsed="false">
      <c r="A1172" s="0" t="n">
        <v>1</v>
      </c>
      <c r="B1172" s="0" t="n">
        <v>5</v>
      </c>
      <c r="C1172" s="0" t="n">
        <v>3</v>
      </c>
      <c r="D1172" s="0" t="n">
        <v>6</v>
      </c>
      <c r="E1172" s="0" t="n">
        <f aca="false">-1+A1172*0.25</f>
        <v>-0.75</v>
      </c>
      <c r="F1172" s="0" t="n">
        <f aca="false">-1+B1172*0.25</f>
        <v>0.25</v>
      </c>
      <c r="G1172" s="0" t="n">
        <f aca="false">-1+C1172*0.25</f>
        <v>-0.25</v>
      </c>
      <c r="H1172" s="0" t="n">
        <f aca="false">-1+D1172*0.25</f>
        <v>0.5</v>
      </c>
      <c r="I1172" s="0" t="n">
        <f aca="false">1</f>
        <v>1</v>
      </c>
      <c r="J1172" s="0" t="n">
        <f aca="false">E1172</f>
        <v>-0.75</v>
      </c>
      <c r="K1172" s="0" t="n">
        <f aca="false">F1172</f>
        <v>0.25</v>
      </c>
      <c r="L1172" s="0" t="n">
        <f aca="false">G1172</f>
        <v>-0.25</v>
      </c>
      <c r="M1172" s="0" t="n">
        <f aca="false">H1172</f>
        <v>0.5</v>
      </c>
      <c r="N1172" s="0" t="n">
        <f aca="false">E1172*F1172</f>
        <v>-0.1875</v>
      </c>
      <c r="O1172" s="0" t="n">
        <f aca="false">E1172*G1172</f>
        <v>0.1875</v>
      </c>
      <c r="P1172" s="0" t="n">
        <f aca="false">E1172*H1172</f>
        <v>-0.375</v>
      </c>
      <c r="Q1172" s="0" t="n">
        <f aca="false">F1172*G1172</f>
        <v>-0.0625</v>
      </c>
      <c r="R1172" s="0" t="n">
        <f aca="false">F1172*H1172</f>
        <v>0.125</v>
      </c>
      <c r="S1172" s="0" t="n">
        <f aca="false">G1172*H1172</f>
        <v>-0.125</v>
      </c>
      <c r="T1172" s="0" t="n">
        <f aca="false">E1172*E1172</f>
        <v>0.5625</v>
      </c>
      <c r="U1172" s="0" t="n">
        <f aca="false">F1172*F1172</f>
        <v>0.0625</v>
      </c>
      <c r="V1172" s="0" t="n">
        <f aca="false">G1172*G1172</f>
        <v>0.0625</v>
      </c>
      <c r="W1172" s="0" t="n">
        <f aca="false">H1172*H1172</f>
        <v>0.25</v>
      </c>
      <c r="X1172" s="0" t="n">
        <f aca="false">SUMPRODUCT(I1172:W1172,_XtX!$B$96:$P$96)</f>
        <v>44.670262244152</v>
      </c>
      <c r="Y1172" s="0" t="n">
        <f aca="false">SUMPRODUCT(MMULT(I1172:W1172,_XtX!$B$78:$P$92),I1172:W1172)</f>
        <v>0.207746539199561</v>
      </c>
      <c r="Z1172" s="0" t="n">
        <f aca="false">04_回帰ANOVA!$K$19*04_回帰ANOVA!$K$14*SQRT(1+Y1172)</f>
        <v>1.43247250081141</v>
      </c>
      <c r="AA1172" s="0" t="n">
        <f aca="false">X1172-Z1172</f>
        <v>43.2377897433406</v>
      </c>
      <c r="AB1172" s="0" t="n">
        <f aca="false">X1172+Z1172</f>
        <v>46.1027347449635</v>
      </c>
      <c r="AC1172" s="54" t="b">
        <f aca="false">AND(E1172&gt;=01_因子設定!$L$5-0.000000001,E1172&lt;=01_因子設定!$M$5+0.000000001,F1172&gt;=01_因子設定!$L$6-0.000000001,F1172&lt;=01_因子設定!$M$6+0.000000001,G1172&gt;=01_因子設定!$L$7-0.000000001,G1172&lt;=01_因子設定!$M$7+0.000000001,H1172&gt;=01_因子設定!$L$8-0.000000001,H1172&lt;=01_因子設定!$M$8+0.000000001,IF(01_因子設定!$B$20="Box-Behnken",E1172^2+F1172^2+G1172^2+H1172^2&lt;=2+0.000000001,TRUE()))</f>
        <v>1</v>
      </c>
      <c r="AD1172" s="55" t="n">
        <f aca="false">IF(AC1172,IF(01_因子設定!$B$13="最大化",AA1172-01_因子設定!$B$14,IF(01_因子設定!$B$13="最小化",01_因子設定!$B$15-AB1172,MIN(AA1172-01_因子設定!$B$14,01_因子設定!$B$15-AB1172))),-1E+030)</f>
        <v>-3.26221025665937</v>
      </c>
      <c r="AE1172" s="55" t="n">
        <f aca="false">IF(AC1172,IF(01_因子設定!$B$13="最大化",X1172,IF(01_因子設定!$B$13="最小化",-X1172,-ABS(X1172-01_因子設定!$B$16))),-1E+030)</f>
        <v>44.670262244152</v>
      </c>
      <c r="AF1172" s="55" t="n">
        <f aca="false">AD1172+ROW()*0.000000001</f>
        <v>-3.26220908465937</v>
      </c>
      <c r="AG1172" s="55" t="n">
        <f aca="false">AE1172+ROW()*0.000000001</f>
        <v>44.670263416152</v>
      </c>
    </row>
    <row r="1173" customFormat="false" ht="15" hidden="false" customHeight="false" outlineLevel="0" collapsed="false">
      <c r="A1173" s="0" t="n">
        <v>1</v>
      </c>
      <c r="B1173" s="0" t="n">
        <v>5</v>
      </c>
      <c r="C1173" s="0" t="n">
        <v>3</v>
      </c>
      <c r="D1173" s="0" t="n">
        <v>7</v>
      </c>
      <c r="E1173" s="0" t="n">
        <f aca="false">-1+A1173*0.25</f>
        <v>-0.75</v>
      </c>
      <c r="F1173" s="0" t="n">
        <f aca="false">-1+B1173*0.25</f>
        <v>0.25</v>
      </c>
      <c r="G1173" s="0" t="n">
        <f aca="false">-1+C1173*0.25</f>
        <v>-0.25</v>
      </c>
      <c r="H1173" s="0" t="n">
        <f aca="false">-1+D1173*0.25</f>
        <v>0.75</v>
      </c>
      <c r="I1173" s="0" t="n">
        <f aca="false">1</f>
        <v>1</v>
      </c>
      <c r="J1173" s="0" t="n">
        <f aca="false">E1173</f>
        <v>-0.75</v>
      </c>
      <c r="K1173" s="0" t="n">
        <f aca="false">F1173</f>
        <v>0.25</v>
      </c>
      <c r="L1173" s="0" t="n">
        <f aca="false">G1173</f>
        <v>-0.25</v>
      </c>
      <c r="M1173" s="0" t="n">
        <f aca="false">H1173</f>
        <v>0.75</v>
      </c>
      <c r="N1173" s="0" t="n">
        <f aca="false">E1173*F1173</f>
        <v>-0.1875</v>
      </c>
      <c r="O1173" s="0" t="n">
        <f aca="false">E1173*G1173</f>
        <v>0.1875</v>
      </c>
      <c r="P1173" s="0" t="n">
        <f aca="false">E1173*H1173</f>
        <v>-0.5625</v>
      </c>
      <c r="Q1173" s="0" t="n">
        <f aca="false">F1173*G1173</f>
        <v>-0.0625</v>
      </c>
      <c r="R1173" s="0" t="n">
        <f aca="false">F1173*H1173</f>
        <v>0.1875</v>
      </c>
      <c r="S1173" s="0" t="n">
        <f aca="false">G1173*H1173</f>
        <v>-0.1875</v>
      </c>
      <c r="T1173" s="0" t="n">
        <f aca="false">E1173*E1173</f>
        <v>0.5625</v>
      </c>
      <c r="U1173" s="0" t="n">
        <f aca="false">F1173*F1173</f>
        <v>0.0625</v>
      </c>
      <c r="V1173" s="0" t="n">
        <f aca="false">G1173*G1173</f>
        <v>0.0625</v>
      </c>
      <c r="W1173" s="0" t="n">
        <f aca="false">H1173*H1173</f>
        <v>0.5625</v>
      </c>
      <c r="X1173" s="0" t="n">
        <f aca="false">SUMPRODUCT(I1173:W1173,_XtX!$B$96:$P$96)</f>
        <v>44.5974460891813</v>
      </c>
      <c r="Y1173" s="0" t="n">
        <f aca="false">SUMPRODUCT(MMULT(I1173:W1173,_XtX!$B$78:$P$92),I1173:W1173)</f>
        <v>0.271087468019006</v>
      </c>
      <c r="Z1173" s="0" t="n">
        <f aca="false">04_回帰ANOVA!$K$19*04_回帰ANOVA!$K$14*SQRT(1+Y1173)</f>
        <v>1.46955590155034</v>
      </c>
      <c r="AA1173" s="0" t="n">
        <f aca="false">X1173-Z1173</f>
        <v>43.1278901876309</v>
      </c>
      <c r="AB1173" s="0" t="n">
        <f aca="false">X1173+Z1173</f>
        <v>46.0670019907316</v>
      </c>
      <c r="AC1173" s="54" t="b">
        <f aca="false">AND(E1173&gt;=01_因子設定!$L$5-0.000000001,E1173&lt;=01_因子設定!$M$5+0.000000001,F1173&gt;=01_因子設定!$L$6-0.000000001,F1173&lt;=01_因子設定!$M$6+0.000000001,G1173&gt;=01_因子設定!$L$7-0.000000001,G1173&lt;=01_因子設定!$M$7+0.000000001,H1173&gt;=01_因子設定!$L$8-0.000000001,H1173&lt;=01_因子設定!$M$8+0.000000001,IF(01_因子設定!$B$20="Box-Behnken",E1173^2+F1173^2+G1173^2+H1173^2&lt;=2+0.000000001,TRUE()))</f>
        <v>1</v>
      </c>
      <c r="AD1173" s="55" t="n">
        <f aca="false">IF(AC1173,IF(01_因子設定!$B$13="最大化",AA1173-01_因子設定!$B$14,IF(01_因子設定!$B$13="最小化",01_因子設定!$B$15-AB1173,MIN(AA1173-01_因子設定!$B$14,01_因子設定!$B$15-AB1173))),-1E+030)</f>
        <v>-3.37210981236905</v>
      </c>
      <c r="AE1173" s="55" t="n">
        <f aca="false">IF(AC1173,IF(01_因子設定!$B$13="最大化",X1173,IF(01_因子設定!$B$13="最小化",-X1173,-ABS(X1173-01_因子設定!$B$16))),-1E+030)</f>
        <v>44.5974460891813</v>
      </c>
      <c r="AF1173" s="55" t="n">
        <f aca="false">AD1173+ROW()*0.000000001</f>
        <v>-3.37210863936905</v>
      </c>
      <c r="AG1173" s="55" t="n">
        <f aca="false">AE1173+ROW()*0.000000001</f>
        <v>44.5974472621813</v>
      </c>
    </row>
    <row r="1174" customFormat="false" ht="15" hidden="false" customHeight="false" outlineLevel="0" collapsed="false">
      <c r="A1174" s="0" t="n">
        <v>1</v>
      </c>
      <c r="B1174" s="0" t="n">
        <v>5</v>
      </c>
      <c r="C1174" s="0" t="n">
        <v>3</v>
      </c>
      <c r="D1174" s="0" t="n">
        <v>8</v>
      </c>
      <c r="E1174" s="0" t="n">
        <f aca="false">-1+A1174*0.25</f>
        <v>-0.75</v>
      </c>
      <c r="F1174" s="0" t="n">
        <f aca="false">-1+B1174*0.25</f>
        <v>0.25</v>
      </c>
      <c r="G1174" s="0" t="n">
        <f aca="false">-1+C1174*0.25</f>
        <v>-0.25</v>
      </c>
      <c r="H1174" s="0" t="n">
        <f aca="false">-1+D1174*0.25</f>
        <v>1</v>
      </c>
      <c r="I1174" s="0" t="n">
        <f aca="false">1</f>
        <v>1</v>
      </c>
      <c r="J1174" s="0" t="n">
        <f aca="false">E1174</f>
        <v>-0.75</v>
      </c>
      <c r="K1174" s="0" t="n">
        <f aca="false">F1174</f>
        <v>0.25</v>
      </c>
      <c r="L1174" s="0" t="n">
        <f aca="false">G1174</f>
        <v>-0.25</v>
      </c>
      <c r="M1174" s="0" t="n">
        <f aca="false">H1174</f>
        <v>1</v>
      </c>
      <c r="N1174" s="0" t="n">
        <f aca="false">E1174*F1174</f>
        <v>-0.1875</v>
      </c>
      <c r="O1174" s="0" t="n">
        <f aca="false">E1174*G1174</f>
        <v>0.1875</v>
      </c>
      <c r="P1174" s="0" t="n">
        <f aca="false">E1174*H1174</f>
        <v>-0.75</v>
      </c>
      <c r="Q1174" s="0" t="n">
        <f aca="false">F1174*G1174</f>
        <v>-0.0625</v>
      </c>
      <c r="R1174" s="0" t="n">
        <f aca="false">F1174*H1174</f>
        <v>0.25</v>
      </c>
      <c r="S1174" s="0" t="n">
        <f aca="false">G1174*H1174</f>
        <v>-0.25</v>
      </c>
      <c r="T1174" s="0" t="n">
        <f aca="false">E1174*E1174</f>
        <v>0.5625</v>
      </c>
      <c r="U1174" s="0" t="n">
        <f aca="false">F1174*F1174</f>
        <v>0.0625</v>
      </c>
      <c r="V1174" s="0" t="n">
        <f aca="false">G1174*G1174</f>
        <v>0.0625</v>
      </c>
      <c r="W1174" s="0" t="n">
        <f aca="false">H1174*H1174</f>
        <v>1</v>
      </c>
      <c r="X1174" s="0" t="n">
        <f aca="false">SUMPRODUCT(I1174:W1174,_XtX!$B$96:$P$96)</f>
        <v>44.4768229166667</v>
      </c>
      <c r="Y1174" s="0" t="n">
        <f aca="false">SUMPRODUCT(MMULT(I1174:W1174,_XtX!$B$78:$P$92),I1174:W1174)</f>
        <v>0.486409505208334</v>
      </c>
      <c r="Z1174" s="0" t="n">
        <f aca="false">04_回帰ANOVA!$K$19*04_回帰ANOVA!$K$14*SQRT(1+Y1174)</f>
        <v>1.58916001665498</v>
      </c>
      <c r="AA1174" s="0" t="n">
        <f aca="false">X1174-Z1174</f>
        <v>42.8876629000117</v>
      </c>
      <c r="AB1174" s="0" t="n">
        <f aca="false">X1174+Z1174</f>
        <v>46.0659829333217</v>
      </c>
      <c r="AC1174" s="54" t="b">
        <f aca="false">AND(E1174&gt;=01_因子設定!$L$5-0.000000001,E1174&lt;=01_因子設定!$M$5+0.000000001,F1174&gt;=01_因子設定!$L$6-0.000000001,F1174&lt;=01_因子設定!$M$6+0.000000001,G1174&gt;=01_因子設定!$L$7-0.000000001,G1174&lt;=01_因子設定!$M$7+0.000000001,H1174&gt;=01_因子設定!$L$8-0.000000001,H1174&lt;=01_因子設定!$M$8+0.000000001,IF(01_因子設定!$B$20="Box-Behnken",E1174^2+F1174^2+G1174^2+H1174^2&lt;=2+0.000000001,TRUE()))</f>
        <v>1</v>
      </c>
      <c r="AD1174" s="55" t="n">
        <f aca="false">IF(AC1174,IF(01_因子設定!$B$13="最大化",AA1174-01_因子設定!$B$14,IF(01_因子設定!$B$13="最小化",01_因子設定!$B$15-AB1174,MIN(AA1174-01_因子設定!$B$14,01_因子設定!$B$15-AB1174))),-1E+030)</f>
        <v>-3.61233709998829</v>
      </c>
      <c r="AE1174" s="55" t="n">
        <f aca="false">IF(AC1174,IF(01_因子設定!$B$13="最大化",X1174,IF(01_因子設定!$B$13="最小化",-X1174,-ABS(X1174-01_因子設定!$B$16))),-1E+030)</f>
        <v>44.4768229166667</v>
      </c>
      <c r="AF1174" s="55" t="n">
        <f aca="false">AD1174+ROW()*0.000000001</f>
        <v>-3.61233592598829</v>
      </c>
      <c r="AG1174" s="55" t="n">
        <f aca="false">AE1174+ROW()*0.000000001</f>
        <v>44.4768240906667</v>
      </c>
    </row>
    <row r="1175" customFormat="false" ht="15" hidden="false" customHeight="false" outlineLevel="0" collapsed="false">
      <c r="A1175" s="0" t="n">
        <v>1</v>
      </c>
      <c r="B1175" s="0" t="n">
        <v>5</v>
      </c>
      <c r="C1175" s="0" t="n">
        <v>4</v>
      </c>
      <c r="D1175" s="0" t="n">
        <v>0</v>
      </c>
      <c r="E1175" s="0" t="n">
        <f aca="false">-1+A1175*0.25</f>
        <v>-0.75</v>
      </c>
      <c r="F1175" s="0" t="n">
        <f aca="false">-1+B1175*0.25</f>
        <v>0.25</v>
      </c>
      <c r="G1175" s="0" t="n">
        <f aca="false">-1+C1175*0.25</f>
        <v>0</v>
      </c>
      <c r="H1175" s="0" t="n">
        <f aca="false">-1+D1175*0.25</f>
        <v>-1</v>
      </c>
      <c r="I1175" s="0" t="n">
        <f aca="false">1</f>
        <v>1</v>
      </c>
      <c r="J1175" s="0" t="n">
        <f aca="false">E1175</f>
        <v>-0.75</v>
      </c>
      <c r="K1175" s="0" t="n">
        <f aca="false">F1175</f>
        <v>0.25</v>
      </c>
      <c r="L1175" s="0" t="n">
        <f aca="false">G1175</f>
        <v>0</v>
      </c>
      <c r="M1175" s="0" t="n">
        <f aca="false">H1175</f>
        <v>-1</v>
      </c>
      <c r="N1175" s="0" t="n">
        <f aca="false">E1175*F1175</f>
        <v>-0.1875</v>
      </c>
      <c r="O1175" s="0" t="n">
        <f aca="false">E1175*G1175</f>
        <v>-0</v>
      </c>
      <c r="P1175" s="0" t="n">
        <f aca="false">E1175*H1175</f>
        <v>0.75</v>
      </c>
      <c r="Q1175" s="0" t="n">
        <f aca="false">F1175*G1175</f>
        <v>0</v>
      </c>
      <c r="R1175" s="0" t="n">
        <f aca="false">F1175*H1175</f>
        <v>-0.25</v>
      </c>
      <c r="S1175" s="0" t="n">
        <f aca="false">G1175*H1175</f>
        <v>-0</v>
      </c>
      <c r="T1175" s="0" t="n">
        <f aca="false">E1175*E1175</f>
        <v>0.5625</v>
      </c>
      <c r="U1175" s="0" t="n">
        <f aca="false">F1175*F1175</f>
        <v>0.0625</v>
      </c>
      <c r="V1175" s="0" t="n">
        <f aca="false">G1175*G1175</f>
        <v>0</v>
      </c>
      <c r="W1175" s="0" t="n">
        <f aca="false">H1175*H1175</f>
        <v>1</v>
      </c>
      <c r="X1175" s="0" t="n">
        <f aca="false">SUMPRODUCT(I1175:W1175,_XtX!$B$96:$P$96)</f>
        <v>44.4612298976608</v>
      </c>
      <c r="Y1175" s="0" t="n">
        <f aca="false">SUMPRODUCT(MMULT(I1175:W1175,_XtX!$B$78:$P$92),I1175:W1175)</f>
        <v>0.501534802174708</v>
      </c>
      <c r="Z1175" s="0" t="n">
        <f aca="false">04_回帰ANOVA!$K$19*04_回帰ANOVA!$K$14*SQRT(1+Y1175)</f>
        <v>1.59722498091333</v>
      </c>
      <c r="AA1175" s="0" t="n">
        <f aca="false">X1175-Z1175</f>
        <v>42.8640049167475</v>
      </c>
      <c r="AB1175" s="0" t="n">
        <f aca="false">X1175+Z1175</f>
        <v>46.0584548785742</v>
      </c>
      <c r="AC1175" s="54" t="b">
        <f aca="false">AND(E1175&gt;=01_因子設定!$L$5-0.000000001,E1175&lt;=01_因子設定!$M$5+0.000000001,F1175&gt;=01_因子設定!$L$6-0.000000001,F1175&lt;=01_因子設定!$M$6+0.000000001,G1175&gt;=01_因子設定!$L$7-0.000000001,G1175&lt;=01_因子設定!$M$7+0.000000001,H1175&gt;=01_因子設定!$L$8-0.000000001,H1175&lt;=01_因子設定!$M$8+0.000000001,IF(01_因子設定!$B$20="Box-Behnken",E1175^2+F1175^2+G1175^2+H1175^2&lt;=2+0.000000001,TRUE()))</f>
        <v>1</v>
      </c>
      <c r="AD1175" s="55" t="n">
        <f aca="false">IF(AC1175,IF(01_因子設定!$B$13="最大化",AA1175-01_因子設定!$B$14,IF(01_因子設定!$B$13="最小化",01_因子設定!$B$15-AB1175,MIN(AA1175-01_因子設定!$B$14,01_因子設定!$B$15-AB1175))),-1E+030)</f>
        <v>-3.63599508325249</v>
      </c>
      <c r="AE1175" s="55" t="n">
        <f aca="false">IF(AC1175,IF(01_因子設定!$B$13="最大化",X1175,IF(01_因子設定!$B$13="最小化",-X1175,-ABS(X1175-01_因子設定!$B$16))),-1E+030)</f>
        <v>44.4612298976608</v>
      </c>
      <c r="AF1175" s="55" t="n">
        <f aca="false">AD1175+ROW()*0.000000001</f>
        <v>-3.63599390825249</v>
      </c>
      <c r="AG1175" s="55" t="n">
        <f aca="false">AE1175+ROW()*0.000000001</f>
        <v>44.4612310726608</v>
      </c>
    </row>
    <row r="1176" customFormat="false" ht="15" hidden="false" customHeight="false" outlineLevel="0" collapsed="false">
      <c r="A1176" s="0" t="n">
        <v>1</v>
      </c>
      <c r="B1176" s="0" t="n">
        <v>5</v>
      </c>
      <c r="C1176" s="0" t="n">
        <v>4</v>
      </c>
      <c r="D1176" s="0" t="n">
        <v>1</v>
      </c>
      <c r="E1176" s="0" t="n">
        <f aca="false">-1+A1176*0.25</f>
        <v>-0.75</v>
      </c>
      <c r="F1176" s="0" t="n">
        <f aca="false">-1+B1176*0.25</f>
        <v>0.25</v>
      </c>
      <c r="G1176" s="0" t="n">
        <f aca="false">-1+C1176*0.25</f>
        <v>0</v>
      </c>
      <c r="H1176" s="0" t="n">
        <f aca="false">-1+D1176*0.25</f>
        <v>-0.75</v>
      </c>
      <c r="I1176" s="0" t="n">
        <f aca="false">1</f>
        <v>1</v>
      </c>
      <c r="J1176" s="0" t="n">
        <f aca="false">E1176</f>
        <v>-0.75</v>
      </c>
      <c r="K1176" s="0" t="n">
        <f aca="false">F1176</f>
        <v>0.25</v>
      </c>
      <c r="L1176" s="0" t="n">
        <f aca="false">G1176</f>
        <v>0</v>
      </c>
      <c r="M1176" s="0" t="n">
        <f aca="false">H1176</f>
        <v>-0.75</v>
      </c>
      <c r="N1176" s="0" t="n">
        <f aca="false">E1176*F1176</f>
        <v>-0.1875</v>
      </c>
      <c r="O1176" s="0" t="n">
        <f aca="false">E1176*G1176</f>
        <v>-0</v>
      </c>
      <c r="P1176" s="0" t="n">
        <f aca="false">E1176*H1176</f>
        <v>0.5625</v>
      </c>
      <c r="Q1176" s="0" t="n">
        <f aca="false">F1176*G1176</f>
        <v>0</v>
      </c>
      <c r="R1176" s="0" t="n">
        <f aca="false">F1176*H1176</f>
        <v>-0.1875</v>
      </c>
      <c r="S1176" s="0" t="n">
        <f aca="false">G1176*H1176</f>
        <v>-0</v>
      </c>
      <c r="T1176" s="0" t="n">
        <f aca="false">E1176*E1176</f>
        <v>0.5625</v>
      </c>
      <c r="U1176" s="0" t="n">
        <f aca="false">F1176*F1176</f>
        <v>0.0625</v>
      </c>
      <c r="V1176" s="0" t="n">
        <f aca="false">G1176*G1176</f>
        <v>0</v>
      </c>
      <c r="W1176" s="0" t="n">
        <f aca="false">H1176*H1176</f>
        <v>0.5625</v>
      </c>
      <c r="X1176" s="0" t="n">
        <f aca="false">SUMPRODUCT(I1176:W1176,_XtX!$B$96:$P$96)</f>
        <v>44.6932245979532</v>
      </c>
      <c r="Y1176" s="0" t="n">
        <f aca="false">SUMPRODUCT(MMULT(I1176:W1176,_XtX!$B$78:$P$92),I1176:W1176)</f>
        <v>0.281685455500731</v>
      </c>
      <c r="Z1176" s="0" t="n">
        <f aca="false">04_回帰ANOVA!$K$19*04_回帰ANOVA!$K$14*SQRT(1+Y1176)</f>
        <v>1.47566956658694</v>
      </c>
      <c r="AA1176" s="0" t="n">
        <f aca="false">X1176-Z1176</f>
        <v>43.2175550313663</v>
      </c>
      <c r="AB1176" s="0" t="n">
        <f aca="false">X1176+Z1176</f>
        <v>46.1688941645402</v>
      </c>
      <c r="AC1176" s="54" t="b">
        <f aca="false">AND(E1176&gt;=01_因子設定!$L$5-0.000000001,E1176&lt;=01_因子設定!$M$5+0.000000001,F1176&gt;=01_因子設定!$L$6-0.000000001,F1176&lt;=01_因子設定!$M$6+0.000000001,G1176&gt;=01_因子設定!$L$7-0.000000001,G1176&lt;=01_因子設定!$M$7+0.000000001,H1176&gt;=01_因子設定!$L$8-0.000000001,H1176&lt;=01_因子設定!$M$8+0.000000001,IF(01_因子設定!$B$20="Box-Behnken",E1176^2+F1176^2+G1176^2+H1176^2&lt;=2+0.000000001,TRUE()))</f>
        <v>1</v>
      </c>
      <c r="AD1176" s="55" t="n">
        <f aca="false">IF(AC1176,IF(01_因子設定!$B$13="最大化",AA1176-01_因子設定!$B$14,IF(01_因子設定!$B$13="最小化",01_因子設定!$B$15-AB1176,MIN(AA1176-01_因子設定!$B$14,01_因子設定!$B$15-AB1176))),-1E+030)</f>
        <v>-3.28244496863371</v>
      </c>
      <c r="AE1176" s="55" t="n">
        <f aca="false">IF(AC1176,IF(01_因子設定!$B$13="最大化",X1176,IF(01_因子設定!$B$13="最小化",-X1176,-ABS(X1176-01_因子設定!$B$16))),-1E+030)</f>
        <v>44.6932245979532</v>
      </c>
      <c r="AF1176" s="55" t="n">
        <f aca="false">AD1176+ROW()*0.000000001</f>
        <v>-3.28244379263371</v>
      </c>
      <c r="AG1176" s="55" t="n">
        <f aca="false">AE1176+ROW()*0.000000001</f>
        <v>44.6932257739532</v>
      </c>
    </row>
    <row r="1177" customFormat="false" ht="15" hidden="false" customHeight="false" outlineLevel="0" collapsed="false">
      <c r="A1177" s="0" t="n">
        <v>1</v>
      </c>
      <c r="B1177" s="0" t="n">
        <v>5</v>
      </c>
      <c r="C1177" s="0" t="n">
        <v>4</v>
      </c>
      <c r="D1177" s="0" t="n">
        <v>2</v>
      </c>
      <c r="E1177" s="0" t="n">
        <f aca="false">-1+A1177*0.25</f>
        <v>-0.75</v>
      </c>
      <c r="F1177" s="0" t="n">
        <f aca="false">-1+B1177*0.25</f>
        <v>0.25</v>
      </c>
      <c r="G1177" s="0" t="n">
        <f aca="false">-1+C1177*0.25</f>
        <v>0</v>
      </c>
      <c r="H1177" s="0" t="n">
        <f aca="false">-1+D1177*0.25</f>
        <v>-0.5</v>
      </c>
      <c r="I1177" s="0" t="n">
        <f aca="false">1</f>
        <v>1</v>
      </c>
      <c r="J1177" s="0" t="n">
        <f aca="false">E1177</f>
        <v>-0.75</v>
      </c>
      <c r="K1177" s="0" t="n">
        <f aca="false">F1177</f>
        <v>0.25</v>
      </c>
      <c r="L1177" s="0" t="n">
        <f aca="false">G1177</f>
        <v>0</v>
      </c>
      <c r="M1177" s="0" t="n">
        <f aca="false">H1177</f>
        <v>-0.5</v>
      </c>
      <c r="N1177" s="0" t="n">
        <f aca="false">E1177*F1177</f>
        <v>-0.1875</v>
      </c>
      <c r="O1177" s="0" t="n">
        <f aca="false">E1177*G1177</f>
        <v>-0</v>
      </c>
      <c r="P1177" s="0" t="n">
        <f aca="false">E1177*H1177</f>
        <v>0.375</v>
      </c>
      <c r="Q1177" s="0" t="n">
        <f aca="false">F1177*G1177</f>
        <v>0</v>
      </c>
      <c r="R1177" s="0" t="n">
        <f aca="false">F1177*H1177</f>
        <v>-0.125</v>
      </c>
      <c r="S1177" s="0" t="n">
        <f aca="false">G1177*H1177</f>
        <v>-0</v>
      </c>
      <c r="T1177" s="0" t="n">
        <f aca="false">E1177*E1177</f>
        <v>0.5625</v>
      </c>
      <c r="U1177" s="0" t="n">
        <f aca="false">F1177*F1177</f>
        <v>0.0625</v>
      </c>
      <c r="V1177" s="0" t="n">
        <f aca="false">G1177*G1177</f>
        <v>0</v>
      </c>
      <c r="W1177" s="0" t="n">
        <f aca="false">H1177*H1177</f>
        <v>0.25</v>
      </c>
      <c r="X1177" s="0" t="n">
        <f aca="false">SUMPRODUCT(I1177:W1177,_XtX!$B$96:$P$96)</f>
        <v>44.8774122807018</v>
      </c>
      <c r="Y1177" s="0" t="n">
        <f aca="false">SUMPRODUCT(MMULT(I1177:W1177,_XtX!$B$78:$P$92),I1177:W1177)</f>
        <v>0.215110734192252</v>
      </c>
      <c r="Z1177" s="0" t="n">
        <f aca="false">04_回帰ANOVA!$K$19*04_回帰ANOVA!$K$14*SQRT(1+Y1177)</f>
        <v>1.43683309086864</v>
      </c>
      <c r="AA1177" s="0" t="n">
        <f aca="false">X1177-Z1177</f>
        <v>43.4405791898331</v>
      </c>
      <c r="AB1177" s="0" t="n">
        <f aca="false">X1177+Z1177</f>
        <v>46.3142453715704</v>
      </c>
      <c r="AC1177" s="54" t="b">
        <f aca="false">AND(E1177&gt;=01_因子設定!$L$5-0.000000001,E1177&lt;=01_因子設定!$M$5+0.000000001,F1177&gt;=01_因子設定!$L$6-0.000000001,F1177&lt;=01_因子設定!$M$6+0.000000001,G1177&gt;=01_因子設定!$L$7-0.000000001,G1177&lt;=01_因子設定!$M$7+0.000000001,H1177&gt;=01_因子設定!$L$8-0.000000001,H1177&lt;=01_因子設定!$M$8+0.000000001,IF(01_因子設定!$B$20="Box-Behnken",E1177^2+F1177^2+G1177^2+H1177^2&lt;=2+0.000000001,TRUE()))</f>
        <v>1</v>
      </c>
      <c r="AD1177" s="55" t="n">
        <f aca="false">IF(AC1177,IF(01_因子設定!$B$13="最大化",AA1177-01_因子設定!$B$14,IF(01_因子設定!$B$13="最小化",01_因子設定!$B$15-AB1177,MIN(AA1177-01_因子設定!$B$14,01_因子設定!$B$15-AB1177))),-1E+030)</f>
        <v>-3.0594208101669</v>
      </c>
      <c r="AE1177" s="55" t="n">
        <f aca="false">IF(AC1177,IF(01_因子設定!$B$13="最大化",X1177,IF(01_因子設定!$B$13="最小化",-X1177,-ABS(X1177-01_因子設定!$B$16))),-1E+030)</f>
        <v>44.8774122807018</v>
      </c>
      <c r="AF1177" s="55" t="n">
        <f aca="false">AD1177+ROW()*0.000000001</f>
        <v>-3.0594196331669</v>
      </c>
      <c r="AG1177" s="55" t="n">
        <f aca="false">AE1177+ROW()*0.000000001</f>
        <v>44.8774134577018</v>
      </c>
    </row>
    <row r="1178" customFormat="false" ht="15" hidden="false" customHeight="false" outlineLevel="0" collapsed="false">
      <c r="A1178" s="0" t="n">
        <v>1</v>
      </c>
      <c r="B1178" s="0" t="n">
        <v>5</v>
      </c>
      <c r="C1178" s="0" t="n">
        <v>4</v>
      </c>
      <c r="D1178" s="0" t="n">
        <v>3</v>
      </c>
      <c r="E1178" s="0" t="n">
        <f aca="false">-1+A1178*0.25</f>
        <v>-0.75</v>
      </c>
      <c r="F1178" s="0" t="n">
        <f aca="false">-1+B1178*0.25</f>
        <v>0.25</v>
      </c>
      <c r="G1178" s="0" t="n">
        <f aca="false">-1+C1178*0.25</f>
        <v>0</v>
      </c>
      <c r="H1178" s="0" t="n">
        <f aca="false">-1+D1178*0.25</f>
        <v>-0.25</v>
      </c>
      <c r="I1178" s="0" t="n">
        <f aca="false">1</f>
        <v>1</v>
      </c>
      <c r="J1178" s="0" t="n">
        <f aca="false">E1178</f>
        <v>-0.75</v>
      </c>
      <c r="K1178" s="0" t="n">
        <f aca="false">F1178</f>
        <v>0.25</v>
      </c>
      <c r="L1178" s="0" t="n">
        <f aca="false">G1178</f>
        <v>0</v>
      </c>
      <c r="M1178" s="0" t="n">
        <f aca="false">H1178</f>
        <v>-0.25</v>
      </c>
      <c r="N1178" s="0" t="n">
        <f aca="false">E1178*F1178</f>
        <v>-0.1875</v>
      </c>
      <c r="O1178" s="0" t="n">
        <f aca="false">E1178*G1178</f>
        <v>-0</v>
      </c>
      <c r="P1178" s="0" t="n">
        <f aca="false">E1178*H1178</f>
        <v>0.1875</v>
      </c>
      <c r="Q1178" s="0" t="n">
        <f aca="false">F1178*G1178</f>
        <v>0</v>
      </c>
      <c r="R1178" s="0" t="n">
        <f aca="false">F1178*H1178</f>
        <v>-0.0625</v>
      </c>
      <c r="S1178" s="0" t="n">
        <f aca="false">G1178*H1178</f>
        <v>-0</v>
      </c>
      <c r="T1178" s="0" t="n">
        <f aca="false">E1178*E1178</f>
        <v>0.5625</v>
      </c>
      <c r="U1178" s="0" t="n">
        <f aca="false">F1178*F1178</f>
        <v>0.0625</v>
      </c>
      <c r="V1178" s="0" t="n">
        <f aca="false">G1178*G1178</f>
        <v>0</v>
      </c>
      <c r="W1178" s="0" t="n">
        <f aca="false">H1178*H1178</f>
        <v>0.0625</v>
      </c>
      <c r="X1178" s="0" t="n">
        <f aca="false">SUMPRODUCT(I1178:W1178,_XtX!$B$96:$P$96)</f>
        <v>45.0137929459064</v>
      </c>
      <c r="Y1178" s="0" t="n">
        <f aca="false">SUMPRODUCT(MMULT(I1178:W1178,_XtX!$B$78:$P$92),I1178:W1178)</f>
        <v>0.21135011193348</v>
      </c>
      <c r="Z1178" s="0" t="n">
        <f aca="false">04_回帰ANOVA!$K$19*04_回帰ANOVA!$K$14*SQRT(1+Y1178)</f>
        <v>1.43460795469709</v>
      </c>
      <c r="AA1178" s="0" t="n">
        <f aca="false">X1178-Z1178</f>
        <v>43.5791849912093</v>
      </c>
      <c r="AB1178" s="0" t="n">
        <f aca="false">X1178+Z1178</f>
        <v>46.4484009006035</v>
      </c>
      <c r="AC1178" s="54" t="b">
        <f aca="false">AND(E1178&gt;=01_因子設定!$L$5-0.000000001,E1178&lt;=01_因子設定!$M$5+0.000000001,F1178&gt;=01_因子設定!$L$6-0.000000001,F1178&lt;=01_因子設定!$M$6+0.000000001,G1178&gt;=01_因子設定!$L$7-0.000000001,G1178&lt;=01_因子設定!$M$7+0.000000001,H1178&gt;=01_因子設定!$L$8-0.000000001,H1178&lt;=01_因子設定!$M$8+0.000000001,IF(01_因子設定!$B$20="Box-Behnken",E1178^2+F1178^2+G1178^2+H1178^2&lt;=2+0.000000001,TRUE()))</f>
        <v>1</v>
      </c>
      <c r="AD1178" s="55" t="n">
        <f aca="false">IF(AC1178,IF(01_因子設定!$B$13="最大化",AA1178-01_因子設定!$B$14,IF(01_因子設定!$B$13="最小化",01_因子設定!$B$15-AB1178,MIN(AA1178-01_因子設定!$B$14,01_因子設定!$B$15-AB1178))),-1E+030)</f>
        <v>-2.92081500879066</v>
      </c>
      <c r="AE1178" s="55" t="n">
        <f aca="false">IF(AC1178,IF(01_因子設定!$B$13="最大化",X1178,IF(01_因子設定!$B$13="最小化",-X1178,-ABS(X1178-01_因子設定!$B$16))),-1E+030)</f>
        <v>45.0137929459064</v>
      </c>
      <c r="AF1178" s="55" t="n">
        <f aca="false">AD1178+ROW()*0.000000001</f>
        <v>-2.92081383079066</v>
      </c>
      <c r="AG1178" s="55" t="n">
        <f aca="false">AE1178+ROW()*0.000000001</f>
        <v>45.0137941239064</v>
      </c>
    </row>
    <row r="1179" customFormat="false" ht="15" hidden="false" customHeight="false" outlineLevel="0" collapsed="false">
      <c r="A1179" s="0" t="n">
        <v>1</v>
      </c>
      <c r="B1179" s="0" t="n">
        <v>5</v>
      </c>
      <c r="C1179" s="0" t="n">
        <v>4</v>
      </c>
      <c r="D1179" s="0" t="n">
        <v>4</v>
      </c>
      <c r="E1179" s="0" t="n">
        <f aca="false">-1+A1179*0.25</f>
        <v>-0.75</v>
      </c>
      <c r="F1179" s="0" t="n">
        <f aca="false">-1+B1179*0.25</f>
        <v>0.25</v>
      </c>
      <c r="G1179" s="0" t="n">
        <f aca="false">-1+C1179*0.25</f>
        <v>0</v>
      </c>
      <c r="H1179" s="0" t="n">
        <f aca="false">-1+D1179*0.25</f>
        <v>0</v>
      </c>
      <c r="I1179" s="0" t="n">
        <f aca="false">1</f>
        <v>1</v>
      </c>
      <c r="J1179" s="0" t="n">
        <f aca="false">E1179</f>
        <v>-0.75</v>
      </c>
      <c r="K1179" s="0" t="n">
        <f aca="false">F1179</f>
        <v>0.25</v>
      </c>
      <c r="L1179" s="0" t="n">
        <f aca="false">G1179</f>
        <v>0</v>
      </c>
      <c r="M1179" s="0" t="n">
        <f aca="false">H1179</f>
        <v>0</v>
      </c>
      <c r="N1179" s="0" t="n">
        <f aca="false">E1179*F1179</f>
        <v>-0.1875</v>
      </c>
      <c r="O1179" s="0" t="n">
        <f aca="false">E1179*G1179</f>
        <v>-0</v>
      </c>
      <c r="P1179" s="0" t="n">
        <f aca="false">E1179*H1179</f>
        <v>-0</v>
      </c>
      <c r="Q1179" s="0" t="n">
        <f aca="false">F1179*G1179</f>
        <v>0</v>
      </c>
      <c r="R1179" s="0" t="n">
        <f aca="false">F1179*H1179</f>
        <v>0</v>
      </c>
      <c r="S1179" s="0" t="n">
        <f aca="false">G1179*H1179</f>
        <v>0</v>
      </c>
      <c r="T1179" s="0" t="n">
        <f aca="false">E1179*E1179</f>
        <v>0.5625</v>
      </c>
      <c r="U1179" s="0" t="n">
        <f aca="false">F1179*F1179</f>
        <v>0.0625</v>
      </c>
      <c r="V1179" s="0" t="n">
        <f aca="false">G1179*G1179</f>
        <v>0</v>
      </c>
      <c r="W1179" s="0" t="n">
        <f aca="false">H1179*H1179</f>
        <v>0</v>
      </c>
      <c r="X1179" s="0" t="n">
        <f aca="false">SUMPRODUCT(I1179:W1179,_XtX!$B$96:$P$96)</f>
        <v>45.1023665935672</v>
      </c>
      <c r="Y1179" s="0" t="n">
        <f aca="false">SUMPRODUCT(MMULT(I1179:W1179,_XtX!$B$78:$P$92),I1179:W1179)</f>
        <v>0.216127272934942</v>
      </c>
      <c r="Z1179" s="0" t="n">
        <f aca="false">04_回帰ANOVA!$K$19*04_回帰ANOVA!$K$14*SQRT(1+Y1179)</f>
        <v>1.43743397896608</v>
      </c>
      <c r="AA1179" s="0" t="n">
        <f aca="false">X1179-Z1179</f>
        <v>43.6649326146012</v>
      </c>
      <c r="AB1179" s="0" t="n">
        <f aca="false">X1179+Z1179</f>
        <v>46.5398005725333</v>
      </c>
      <c r="AC1179" s="54" t="b">
        <f aca="false">AND(E1179&gt;=01_因子設定!$L$5-0.000000001,E1179&lt;=01_因子設定!$M$5+0.000000001,F1179&gt;=01_因子設定!$L$6-0.000000001,F1179&lt;=01_因子設定!$M$6+0.000000001,G1179&gt;=01_因子設定!$L$7-0.000000001,G1179&lt;=01_因子設定!$M$7+0.000000001,H1179&gt;=01_因子設定!$L$8-0.000000001,H1179&lt;=01_因子設定!$M$8+0.000000001,IF(01_因子設定!$B$20="Box-Behnken",E1179^2+F1179^2+G1179^2+H1179^2&lt;=2+0.000000001,TRUE()))</f>
        <v>1</v>
      </c>
      <c r="AD1179" s="55" t="n">
        <f aca="false">IF(AC1179,IF(01_因子設定!$B$13="最大化",AA1179-01_因子設定!$B$14,IF(01_因子設定!$B$13="最小化",01_因子設定!$B$15-AB1179,MIN(AA1179-01_因子設定!$B$14,01_因子設定!$B$15-AB1179))),-1E+030)</f>
        <v>-2.83506738539884</v>
      </c>
      <c r="AE1179" s="55" t="n">
        <f aca="false">IF(AC1179,IF(01_因子設定!$B$13="最大化",X1179,IF(01_因子設定!$B$13="最小化",-X1179,-ABS(X1179-01_因子設定!$B$16))),-1E+030)</f>
        <v>45.1023665935672</v>
      </c>
      <c r="AF1179" s="55" t="n">
        <f aca="false">AD1179+ROW()*0.000000001</f>
        <v>-2.83506620639884</v>
      </c>
      <c r="AG1179" s="55" t="n">
        <f aca="false">AE1179+ROW()*0.000000001</f>
        <v>45.1023677725672</v>
      </c>
    </row>
    <row r="1180" customFormat="false" ht="15" hidden="false" customHeight="false" outlineLevel="0" collapsed="false">
      <c r="A1180" s="0" t="n">
        <v>1</v>
      </c>
      <c r="B1180" s="0" t="n">
        <v>5</v>
      </c>
      <c r="C1180" s="0" t="n">
        <v>4</v>
      </c>
      <c r="D1180" s="0" t="n">
        <v>5</v>
      </c>
      <c r="E1180" s="0" t="n">
        <f aca="false">-1+A1180*0.25</f>
        <v>-0.75</v>
      </c>
      <c r="F1180" s="0" t="n">
        <f aca="false">-1+B1180*0.25</f>
        <v>0.25</v>
      </c>
      <c r="G1180" s="0" t="n">
        <f aca="false">-1+C1180*0.25</f>
        <v>0</v>
      </c>
      <c r="H1180" s="0" t="n">
        <f aca="false">-1+D1180*0.25</f>
        <v>0.25</v>
      </c>
      <c r="I1180" s="0" t="n">
        <f aca="false">1</f>
        <v>1</v>
      </c>
      <c r="J1180" s="0" t="n">
        <f aca="false">E1180</f>
        <v>-0.75</v>
      </c>
      <c r="K1180" s="0" t="n">
        <f aca="false">F1180</f>
        <v>0.25</v>
      </c>
      <c r="L1180" s="0" t="n">
        <f aca="false">G1180</f>
        <v>0</v>
      </c>
      <c r="M1180" s="0" t="n">
        <f aca="false">H1180</f>
        <v>0.25</v>
      </c>
      <c r="N1180" s="0" t="n">
        <f aca="false">E1180*F1180</f>
        <v>-0.1875</v>
      </c>
      <c r="O1180" s="0" t="n">
        <f aca="false">E1180*G1180</f>
        <v>-0</v>
      </c>
      <c r="P1180" s="0" t="n">
        <f aca="false">E1180*H1180</f>
        <v>-0.1875</v>
      </c>
      <c r="Q1180" s="0" t="n">
        <f aca="false">F1180*G1180</f>
        <v>0</v>
      </c>
      <c r="R1180" s="0" t="n">
        <f aca="false">F1180*H1180</f>
        <v>0.0625</v>
      </c>
      <c r="S1180" s="0" t="n">
        <f aca="false">G1180*H1180</f>
        <v>0</v>
      </c>
      <c r="T1180" s="0" t="n">
        <f aca="false">E1180*E1180</f>
        <v>0.5625</v>
      </c>
      <c r="U1180" s="0" t="n">
        <f aca="false">F1180*F1180</f>
        <v>0.0625</v>
      </c>
      <c r="V1180" s="0" t="n">
        <f aca="false">G1180*G1180</f>
        <v>0</v>
      </c>
      <c r="W1180" s="0" t="n">
        <f aca="false">H1180*H1180</f>
        <v>0.0625</v>
      </c>
      <c r="X1180" s="0" t="n">
        <f aca="false">SUMPRODUCT(I1180:W1180,_XtX!$B$96:$P$96)</f>
        <v>45.1431332236842</v>
      </c>
      <c r="Y1180" s="0" t="n">
        <f aca="false">SUMPRODUCT(MMULT(I1180:W1180,_XtX!$B$78:$P$92),I1180:W1180)</f>
        <v>0.21135011193348</v>
      </c>
      <c r="Z1180" s="0" t="n">
        <f aca="false">04_回帰ANOVA!$K$19*04_回帰ANOVA!$K$14*SQRT(1+Y1180)</f>
        <v>1.43460795469709</v>
      </c>
      <c r="AA1180" s="0" t="n">
        <f aca="false">X1180-Z1180</f>
        <v>43.7085252689871</v>
      </c>
      <c r="AB1180" s="0" t="n">
        <f aca="false">X1180+Z1180</f>
        <v>46.5777411783813</v>
      </c>
      <c r="AC1180" s="54" t="b">
        <f aca="false">AND(E1180&gt;=01_因子設定!$L$5-0.000000001,E1180&lt;=01_因子設定!$M$5+0.000000001,F1180&gt;=01_因子設定!$L$6-0.000000001,F1180&lt;=01_因子設定!$M$6+0.000000001,G1180&gt;=01_因子設定!$L$7-0.000000001,G1180&lt;=01_因子設定!$M$7+0.000000001,H1180&gt;=01_因子設定!$L$8-0.000000001,H1180&lt;=01_因子設定!$M$8+0.000000001,IF(01_因子設定!$B$20="Box-Behnken",E1180^2+F1180^2+G1180^2+H1180^2&lt;=2+0.000000001,TRUE()))</f>
        <v>1</v>
      </c>
      <c r="AD1180" s="55" t="n">
        <f aca="false">IF(AC1180,IF(01_因子設定!$B$13="最大化",AA1180-01_因子設定!$B$14,IF(01_因子設定!$B$13="最小化",01_因子設定!$B$15-AB1180,MIN(AA1180-01_因子設定!$B$14,01_因子設定!$B$15-AB1180))),-1E+030)</f>
        <v>-2.79147473101289</v>
      </c>
      <c r="AE1180" s="55" t="n">
        <f aca="false">IF(AC1180,IF(01_因子設定!$B$13="最大化",X1180,IF(01_因子設定!$B$13="最小化",-X1180,-ABS(X1180-01_因子設定!$B$16))),-1E+030)</f>
        <v>45.1431332236842</v>
      </c>
      <c r="AF1180" s="55" t="n">
        <f aca="false">AD1180+ROW()*0.000000001</f>
        <v>-2.79147355101289</v>
      </c>
      <c r="AG1180" s="55" t="n">
        <f aca="false">AE1180+ROW()*0.000000001</f>
        <v>45.1431344036842</v>
      </c>
    </row>
    <row r="1181" customFormat="false" ht="15" hidden="false" customHeight="false" outlineLevel="0" collapsed="false">
      <c r="A1181" s="0" t="n">
        <v>1</v>
      </c>
      <c r="B1181" s="0" t="n">
        <v>5</v>
      </c>
      <c r="C1181" s="0" t="n">
        <v>4</v>
      </c>
      <c r="D1181" s="0" t="n">
        <v>6</v>
      </c>
      <c r="E1181" s="0" t="n">
        <f aca="false">-1+A1181*0.25</f>
        <v>-0.75</v>
      </c>
      <c r="F1181" s="0" t="n">
        <f aca="false">-1+B1181*0.25</f>
        <v>0.25</v>
      </c>
      <c r="G1181" s="0" t="n">
        <f aca="false">-1+C1181*0.25</f>
        <v>0</v>
      </c>
      <c r="H1181" s="0" t="n">
        <f aca="false">-1+D1181*0.25</f>
        <v>0.5</v>
      </c>
      <c r="I1181" s="0" t="n">
        <f aca="false">1</f>
        <v>1</v>
      </c>
      <c r="J1181" s="0" t="n">
        <f aca="false">E1181</f>
        <v>-0.75</v>
      </c>
      <c r="K1181" s="0" t="n">
        <f aca="false">F1181</f>
        <v>0.25</v>
      </c>
      <c r="L1181" s="0" t="n">
        <f aca="false">G1181</f>
        <v>0</v>
      </c>
      <c r="M1181" s="0" t="n">
        <f aca="false">H1181</f>
        <v>0.5</v>
      </c>
      <c r="N1181" s="0" t="n">
        <f aca="false">E1181*F1181</f>
        <v>-0.1875</v>
      </c>
      <c r="O1181" s="0" t="n">
        <f aca="false">E1181*G1181</f>
        <v>-0</v>
      </c>
      <c r="P1181" s="0" t="n">
        <f aca="false">E1181*H1181</f>
        <v>-0.375</v>
      </c>
      <c r="Q1181" s="0" t="n">
        <f aca="false">F1181*G1181</f>
        <v>0</v>
      </c>
      <c r="R1181" s="0" t="n">
        <f aca="false">F1181*H1181</f>
        <v>0.125</v>
      </c>
      <c r="S1181" s="0" t="n">
        <f aca="false">G1181*H1181</f>
        <v>0</v>
      </c>
      <c r="T1181" s="0" t="n">
        <f aca="false">E1181*E1181</f>
        <v>0.5625</v>
      </c>
      <c r="U1181" s="0" t="n">
        <f aca="false">F1181*F1181</f>
        <v>0.0625</v>
      </c>
      <c r="V1181" s="0" t="n">
        <f aca="false">G1181*G1181</f>
        <v>0</v>
      </c>
      <c r="W1181" s="0" t="n">
        <f aca="false">H1181*H1181</f>
        <v>0.25</v>
      </c>
      <c r="X1181" s="0" t="n">
        <f aca="false">SUMPRODUCT(I1181:W1181,_XtX!$B$96:$P$96)</f>
        <v>45.1360928362573</v>
      </c>
      <c r="Y1181" s="0" t="n">
        <f aca="false">SUMPRODUCT(MMULT(I1181:W1181,_XtX!$B$78:$P$92),I1181:W1181)</f>
        <v>0.215110734192252</v>
      </c>
      <c r="Z1181" s="0" t="n">
        <f aca="false">04_回帰ANOVA!$K$19*04_回帰ANOVA!$K$14*SQRT(1+Y1181)</f>
        <v>1.43683309086864</v>
      </c>
      <c r="AA1181" s="0" t="n">
        <f aca="false">X1181-Z1181</f>
        <v>43.6992597453887</v>
      </c>
      <c r="AB1181" s="0" t="n">
        <f aca="false">X1181+Z1181</f>
        <v>46.572925927126</v>
      </c>
      <c r="AC1181" s="54" t="b">
        <f aca="false">AND(E1181&gt;=01_因子設定!$L$5-0.000000001,E1181&lt;=01_因子設定!$M$5+0.000000001,F1181&gt;=01_因子設定!$L$6-0.000000001,F1181&lt;=01_因子設定!$M$6+0.000000001,G1181&gt;=01_因子設定!$L$7-0.000000001,G1181&lt;=01_因子設定!$M$7+0.000000001,H1181&gt;=01_因子設定!$L$8-0.000000001,H1181&lt;=01_因子設定!$M$8+0.000000001,IF(01_因子設定!$B$20="Box-Behnken",E1181^2+F1181^2+G1181^2+H1181^2&lt;=2+0.000000001,TRUE()))</f>
        <v>1</v>
      </c>
      <c r="AD1181" s="55" t="n">
        <f aca="false">IF(AC1181,IF(01_因子設定!$B$13="最大化",AA1181-01_因子設定!$B$14,IF(01_因子設定!$B$13="最小化",01_因子設定!$B$15-AB1181,MIN(AA1181-01_因子設定!$B$14,01_因子設定!$B$15-AB1181))),-1E+030)</f>
        <v>-2.80074025461134</v>
      </c>
      <c r="AE1181" s="55" t="n">
        <f aca="false">IF(AC1181,IF(01_因子設定!$B$13="最大化",X1181,IF(01_因子設定!$B$13="最小化",-X1181,-ABS(X1181-01_因子設定!$B$16))),-1E+030)</f>
        <v>45.1360928362573</v>
      </c>
      <c r="AF1181" s="55" t="n">
        <f aca="false">AD1181+ROW()*0.000000001</f>
        <v>-2.80073907361134</v>
      </c>
      <c r="AG1181" s="55" t="n">
        <f aca="false">AE1181+ROW()*0.000000001</f>
        <v>45.1360940172573</v>
      </c>
    </row>
    <row r="1182" customFormat="false" ht="15" hidden="false" customHeight="false" outlineLevel="0" collapsed="false">
      <c r="A1182" s="0" t="n">
        <v>1</v>
      </c>
      <c r="B1182" s="0" t="n">
        <v>5</v>
      </c>
      <c r="C1182" s="0" t="n">
        <v>4</v>
      </c>
      <c r="D1182" s="0" t="n">
        <v>7</v>
      </c>
      <c r="E1182" s="0" t="n">
        <f aca="false">-1+A1182*0.25</f>
        <v>-0.75</v>
      </c>
      <c r="F1182" s="0" t="n">
        <f aca="false">-1+B1182*0.25</f>
        <v>0.25</v>
      </c>
      <c r="G1182" s="0" t="n">
        <f aca="false">-1+C1182*0.25</f>
        <v>0</v>
      </c>
      <c r="H1182" s="0" t="n">
        <f aca="false">-1+D1182*0.25</f>
        <v>0.75</v>
      </c>
      <c r="I1182" s="0" t="n">
        <f aca="false">1</f>
        <v>1</v>
      </c>
      <c r="J1182" s="0" t="n">
        <f aca="false">E1182</f>
        <v>-0.75</v>
      </c>
      <c r="K1182" s="0" t="n">
        <f aca="false">F1182</f>
        <v>0.25</v>
      </c>
      <c r="L1182" s="0" t="n">
        <f aca="false">G1182</f>
        <v>0</v>
      </c>
      <c r="M1182" s="0" t="n">
        <f aca="false">H1182</f>
        <v>0.75</v>
      </c>
      <c r="N1182" s="0" t="n">
        <f aca="false">E1182*F1182</f>
        <v>-0.1875</v>
      </c>
      <c r="O1182" s="0" t="n">
        <f aca="false">E1182*G1182</f>
        <v>-0</v>
      </c>
      <c r="P1182" s="0" t="n">
        <f aca="false">E1182*H1182</f>
        <v>-0.5625</v>
      </c>
      <c r="Q1182" s="0" t="n">
        <f aca="false">F1182*G1182</f>
        <v>0</v>
      </c>
      <c r="R1182" s="0" t="n">
        <f aca="false">F1182*H1182</f>
        <v>0.1875</v>
      </c>
      <c r="S1182" s="0" t="n">
        <f aca="false">G1182*H1182</f>
        <v>0</v>
      </c>
      <c r="T1182" s="0" t="n">
        <f aca="false">E1182*E1182</f>
        <v>0.5625</v>
      </c>
      <c r="U1182" s="0" t="n">
        <f aca="false">F1182*F1182</f>
        <v>0.0625</v>
      </c>
      <c r="V1182" s="0" t="n">
        <f aca="false">G1182*G1182</f>
        <v>0</v>
      </c>
      <c r="W1182" s="0" t="n">
        <f aca="false">H1182*H1182</f>
        <v>0.5625</v>
      </c>
      <c r="X1182" s="0" t="n">
        <f aca="false">SUMPRODUCT(I1182:W1182,_XtX!$B$96:$P$96)</f>
        <v>45.0812454312866</v>
      </c>
      <c r="Y1182" s="0" t="n">
        <f aca="false">SUMPRODUCT(MMULT(I1182:W1182,_XtX!$B$78:$P$92),I1182:W1182)</f>
        <v>0.281685455500731</v>
      </c>
      <c r="Z1182" s="0" t="n">
        <f aca="false">04_回帰ANOVA!$K$19*04_回帰ANOVA!$K$14*SQRT(1+Y1182)</f>
        <v>1.47566956658694</v>
      </c>
      <c r="AA1182" s="0" t="n">
        <f aca="false">X1182-Z1182</f>
        <v>43.6055758646996</v>
      </c>
      <c r="AB1182" s="0" t="n">
        <f aca="false">X1182+Z1182</f>
        <v>46.5569149978735</v>
      </c>
      <c r="AC1182" s="54" t="b">
        <f aca="false">AND(E1182&gt;=01_因子設定!$L$5-0.000000001,E1182&lt;=01_因子設定!$M$5+0.000000001,F1182&gt;=01_因子設定!$L$6-0.000000001,F1182&lt;=01_因子設定!$M$6+0.000000001,G1182&gt;=01_因子設定!$L$7-0.000000001,G1182&lt;=01_因子設定!$M$7+0.000000001,H1182&gt;=01_因子設定!$L$8-0.000000001,H1182&lt;=01_因子設定!$M$8+0.000000001,IF(01_因子設定!$B$20="Box-Behnken",E1182^2+F1182^2+G1182^2+H1182^2&lt;=2+0.000000001,TRUE()))</f>
        <v>1</v>
      </c>
      <c r="AD1182" s="55" t="n">
        <f aca="false">IF(AC1182,IF(01_因子設定!$B$13="最大化",AA1182-01_因子設定!$B$14,IF(01_因子設定!$B$13="最小化",01_因子設定!$B$15-AB1182,MIN(AA1182-01_因子設定!$B$14,01_因子設定!$B$15-AB1182))),-1E+030)</f>
        <v>-2.89442413530038</v>
      </c>
      <c r="AE1182" s="55" t="n">
        <f aca="false">IF(AC1182,IF(01_因子設定!$B$13="最大化",X1182,IF(01_因子設定!$B$13="最小化",-X1182,-ABS(X1182-01_因子設定!$B$16))),-1E+030)</f>
        <v>45.0812454312866</v>
      </c>
      <c r="AF1182" s="55" t="n">
        <f aca="false">AD1182+ROW()*0.000000001</f>
        <v>-2.89442295330038</v>
      </c>
      <c r="AG1182" s="55" t="n">
        <f aca="false">AE1182+ROW()*0.000000001</f>
        <v>45.0812466132866</v>
      </c>
    </row>
    <row r="1183" customFormat="false" ht="15" hidden="false" customHeight="false" outlineLevel="0" collapsed="false">
      <c r="A1183" s="0" t="n">
        <v>1</v>
      </c>
      <c r="B1183" s="0" t="n">
        <v>5</v>
      </c>
      <c r="C1183" s="0" t="n">
        <v>4</v>
      </c>
      <c r="D1183" s="0" t="n">
        <v>8</v>
      </c>
      <c r="E1183" s="0" t="n">
        <f aca="false">-1+A1183*0.25</f>
        <v>-0.75</v>
      </c>
      <c r="F1183" s="0" t="n">
        <f aca="false">-1+B1183*0.25</f>
        <v>0.25</v>
      </c>
      <c r="G1183" s="0" t="n">
        <f aca="false">-1+C1183*0.25</f>
        <v>0</v>
      </c>
      <c r="H1183" s="0" t="n">
        <f aca="false">-1+D1183*0.25</f>
        <v>1</v>
      </c>
      <c r="I1183" s="0" t="n">
        <f aca="false">1</f>
        <v>1</v>
      </c>
      <c r="J1183" s="0" t="n">
        <f aca="false">E1183</f>
        <v>-0.75</v>
      </c>
      <c r="K1183" s="0" t="n">
        <f aca="false">F1183</f>
        <v>0.25</v>
      </c>
      <c r="L1183" s="0" t="n">
        <f aca="false">G1183</f>
        <v>0</v>
      </c>
      <c r="M1183" s="0" t="n">
        <f aca="false">H1183</f>
        <v>1</v>
      </c>
      <c r="N1183" s="0" t="n">
        <f aca="false">E1183*F1183</f>
        <v>-0.1875</v>
      </c>
      <c r="O1183" s="0" t="n">
        <f aca="false">E1183*G1183</f>
        <v>-0</v>
      </c>
      <c r="P1183" s="0" t="n">
        <f aca="false">E1183*H1183</f>
        <v>-0.75</v>
      </c>
      <c r="Q1183" s="0" t="n">
        <f aca="false">F1183*G1183</f>
        <v>0</v>
      </c>
      <c r="R1183" s="0" t="n">
        <f aca="false">F1183*H1183</f>
        <v>0.25</v>
      </c>
      <c r="S1183" s="0" t="n">
        <f aca="false">G1183*H1183</f>
        <v>0</v>
      </c>
      <c r="T1183" s="0" t="n">
        <f aca="false">E1183*E1183</f>
        <v>0.5625</v>
      </c>
      <c r="U1183" s="0" t="n">
        <f aca="false">F1183*F1183</f>
        <v>0.0625</v>
      </c>
      <c r="V1183" s="0" t="n">
        <f aca="false">G1183*G1183</f>
        <v>0</v>
      </c>
      <c r="W1183" s="0" t="n">
        <f aca="false">H1183*H1183</f>
        <v>1</v>
      </c>
      <c r="X1183" s="0" t="n">
        <f aca="false">SUMPRODUCT(I1183:W1183,_XtX!$B$96:$P$96)</f>
        <v>44.978591008772</v>
      </c>
      <c r="Y1183" s="0" t="n">
        <f aca="false">SUMPRODUCT(MMULT(I1183:W1183,_XtX!$B$78:$P$92),I1183:W1183)</f>
        <v>0.501534802174708</v>
      </c>
      <c r="Z1183" s="0" t="n">
        <f aca="false">04_回帰ANOVA!$K$19*04_回帰ANOVA!$K$14*SQRT(1+Y1183)</f>
        <v>1.59722498091333</v>
      </c>
      <c r="AA1183" s="0" t="n">
        <f aca="false">X1183-Z1183</f>
        <v>43.3813660278586</v>
      </c>
      <c r="AB1183" s="0" t="n">
        <f aca="false">X1183+Z1183</f>
        <v>46.5758159896853</v>
      </c>
      <c r="AC1183" s="54" t="b">
        <f aca="false">AND(E1183&gt;=01_因子設定!$L$5-0.000000001,E1183&lt;=01_因子設定!$M$5+0.000000001,F1183&gt;=01_因子設定!$L$6-0.000000001,F1183&lt;=01_因子設定!$M$6+0.000000001,G1183&gt;=01_因子設定!$L$7-0.000000001,G1183&lt;=01_因子設定!$M$7+0.000000001,H1183&gt;=01_因子設定!$L$8-0.000000001,H1183&lt;=01_因子設定!$M$8+0.000000001,IF(01_因子設定!$B$20="Box-Behnken",E1183^2+F1183^2+G1183^2+H1183^2&lt;=2+0.000000001,TRUE()))</f>
        <v>1</v>
      </c>
      <c r="AD1183" s="55" t="n">
        <f aca="false">IF(AC1183,IF(01_因子設定!$B$13="最大化",AA1183-01_因子設定!$B$14,IF(01_因子設定!$B$13="最小化",01_因子設定!$B$15-AB1183,MIN(AA1183-01_因子設定!$B$14,01_因子設定!$B$15-AB1183))),-1E+030)</f>
        <v>-3.11863397214138</v>
      </c>
      <c r="AE1183" s="55" t="n">
        <f aca="false">IF(AC1183,IF(01_因子設定!$B$13="最大化",X1183,IF(01_因子設定!$B$13="最小化",-X1183,-ABS(X1183-01_因子設定!$B$16))),-1E+030)</f>
        <v>44.978591008772</v>
      </c>
      <c r="AF1183" s="55" t="n">
        <f aca="false">AD1183+ROW()*0.000000001</f>
        <v>-3.11863278914138</v>
      </c>
      <c r="AG1183" s="55" t="n">
        <f aca="false">AE1183+ROW()*0.000000001</f>
        <v>44.978592191772</v>
      </c>
    </row>
    <row r="1184" customFormat="false" ht="15" hidden="false" customHeight="false" outlineLevel="0" collapsed="false">
      <c r="A1184" s="0" t="n">
        <v>1</v>
      </c>
      <c r="B1184" s="0" t="n">
        <v>5</v>
      </c>
      <c r="C1184" s="0" t="n">
        <v>5</v>
      </c>
      <c r="D1184" s="0" t="n">
        <v>0</v>
      </c>
      <c r="E1184" s="0" t="n">
        <f aca="false">-1+A1184*0.25</f>
        <v>-0.75</v>
      </c>
      <c r="F1184" s="0" t="n">
        <f aca="false">-1+B1184*0.25</f>
        <v>0.25</v>
      </c>
      <c r="G1184" s="0" t="n">
        <f aca="false">-1+C1184*0.25</f>
        <v>0.25</v>
      </c>
      <c r="H1184" s="0" t="n">
        <f aca="false">-1+D1184*0.25</f>
        <v>-1</v>
      </c>
      <c r="I1184" s="0" t="n">
        <f aca="false">1</f>
        <v>1</v>
      </c>
      <c r="J1184" s="0" t="n">
        <f aca="false">E1184</f>
        <v>-0.75</v>
      </c>
      <c r="K1184" s="0" t="n">
        <f aca="false">F1184</f>
        <v>0.25</v>
      </c>
      <c r="L1184" s="0" t="n">
        <f aca="false">G1184</f>
        <v>0.25</v>
      </c>
      <c r="M1184" s="0" t="n">
        <f aca="false">H1184</f>
        <v>-1</v>
      </c>
      <c r="N1184" s="0" t="n">
        <f aca="false">E1184*F1184</f>
        <v>-0.1875</v>
      </c>
      <c r="O1184" s="0" t="n">
        <f aca="false">E1184*G1184</f>
        <v>-0.1875</v>
      </c>
      <c r="P1184" s="0" t="n">
        <f aca="false">E1184*H1184</f>
        <v>0.75</v>
      </c>
      <c r="Q1184" s="0" t="n">
        <f aca="false">F1184*G1184</f>
        <v>0.0625</v>
      </c>
      <c r="R1184" s="0" t="n">
        <f aca="false">F1184*H1184</f>
        <v>-0.25</v>
      </c>
      <c r="S1184" s="0" t="n">
        <f aca="false">G1184*H1184</f>
        <v>-0.25</v>
      </c>
      <c r="T1184" s="0" t="n">
        <f aca="false">E1184*E1184</f>
        <v>0.5625</v>
      </c>
      <c r="U1184" s="0" t="n">
        <f aca="false">F1184*F1184</f>
        <v>0.0625</v>
      </c>
      <c r="V1184" s="0" t="n">
        <f aca="false">G1184*G1184</f>
        <v>0.0625</v>
      </c>
      <c r="W1184" s="0" t="n">
        <f aca="false">H1184*H1184</f>
        <v>1</v>
      </c>
      <c r="X1184" s="0" t="n">
        <f aca="false">SUMPRODUCT(I1184:W1184,_XtX!$B$96:$P$96)</f>
        <v>44.7339409722223</v>
      </c>
      <c r="Y1184" s="0" t="n">
        <f aca="false">SUMPRODUCT(MMULT(I1184:W1184,_XtX!$B$78:$P$92),I1184:W1184)</f>
        <v>0.486409505208334</v>
      </c>
      <c r="Z1184" s="0" t="n">
        <f aca="false">04_回帰ANOVA!$K$19*04_回帰ANOVA!$K$14*SQRT(1+Y1184)</f>
        <v>1.58916001665498</v>
      </c>
      <c r="AA1184" s="0" t="n">
        <f aca="false">X1184-Z1184</f>
        <v>43.1447809555673</v>
      </c>
      <c r="AB1184" s="0" t="n">
        <f aca="false">X1184+Z1184</f>
        <v>46.3231009888772</v>
      </c>
      <c r="AC1184" s="54" t="b">
        <f aca="false">AND(E1184&gt;=01_因子設定!$L$5-0.000000001,E1184&lt;=01_因子設定!$M$5+0.000000001,F1184&gt;=01_因子設定!$L$6-0.000000001,F1184&lt;=01_因子設定!$M$6+0.000000001,G1184&gt;=01_因子設定!$L$7-0.000000001,G1184&lt;=01_因子設定!$M$7+0.000000001,H1184&gt;=01_因子設定!$L$8-0.000000001,H1184&lt;=01_因子設定!$M$8+0.000000001,IF(01_因子設定!$B$20="Box-Behnken",E1184^2+F1184^2+G1184^2+H1184^2&lt;=2+0.000000001,TRUE()))</f>
        <v>1</v>
      </c>
      <c r="AD1184" s="55" t="n">
        <f aca="false">IF(AC1184,IF(01_因子設定!$B$13="最大化",AA1184-01_因子設定!$B$14,IF(01_因子設定!$B$13="最小化",01_因子設定!$B$15-AB1184,MIN(AA1184-01_因子設定!$B$14,01_因子設定!$B$15-AB1184))),-1E+030)</f>
        <v>-3.35521904443273</v>
      </c>
      <c r="AE1184" s="55" t="n">
        <f aca="false">IF(AC1184,IF(01_因子設定!$B$13="最大化",X1184,IF(01_因子設定!$B$13="最小化",-X1184,-ABS(X1184-01_因子設定!$B$16))),-1E+030)</f>
        <v>44.7339409722223</v>
      </c>
      <c r="AF1184" s="55" t="n">
        <f aca="false">AD1184+ROW()*0.000000001</f>
        <v>-3.35521786043273</v>
      </c>
      <c r="AG1184" s="55" t="n">
        <f aca="false">AE1184+ROW()*0.000000001</f>
        <v>44.7339421562223</v>
      </c>
    </row>
    <row r="1185" customFormat="false" ht="15" hidden="false" customHeight="false" outlineLevel="0" collapsed="false">
      <c r="A1185" s="0" t="n">
        <v>1</v>
      </c>
      <c r="B1185" s="0" t="n">
        <v>5</v>
      </c>
      <c r="C1185" s="0" t="n">
        <v>5</v>
      </c>
      <c r="D1185" s="0" t="n">
        <v>1</v>
      </c>
      <c r="E1185" s="0" t="n">
        <f aca="false">-1+A1185*0.25</f>
        <v>-0.75</v>
      </c>
      <c r="F1185" s="0" t="n">
        <f aca="false">-1+B1185*0.25</f>
        <v>0.25</v>
      </c>
      <c r="G1185" s="0" t="n">
        <f aca="false">-1+C1185*0.25</f>
        <v>0.25</v>
      </c>
      <c r="H1185" s="0" t="n">
        <f aca="false">-1+D1185*0.25</f>
        <v>-0.75</v>
      </c>
      <c r="I1185" s="0" t="n">
        <f aca="false">1</f>
        <v>1</v>
      </c>
      <c r="J1185" s="0" t="n">
        <f aca="false">E1185</f>
        <v>-0.75</v>
      </c>
      <c r="K1185" s="0" t="n">
        <f aca="false">F1185</f>
        <v>0.25</v>
      </c>
      <c r="L1185" s="0" t="n">
        <f aca="false">G1185</f>
        <v>0.25</v>
      </c>
      <c r="M1185" s="0" t="n">
        <f aca="false">H1185</f>
        <v>-0.75</v>
      </c>
      <c r="N1185" s="0" t="n">
        <f aca="false">E1185*F1185</f>
        <v>-0.1875</v>
      </c>
      <c r="O1185" s="0" t="n">
        <f aca="false">E1185*G1185</f>
        <v>-0.1875</v>
      </c>
      <c r="P1185" s="0" t="n">
        <f aca="false">E1185*H1185</f>
        <v>0.5625</v>
      </c>
      <c r="Q1185" s="0" t="n">
        <f aca="false">F1185*G1185</f>
        <v>0.0625</v>
      </c>
      <c r="R1185" s="0" t="n">
        <f aca="false">F1185*H1185</f>
        <v>-0.1875</v>
      </c>
      <c r="S1185" s="0" t="n">
        <f aca="false">G1185*H1185</f>
        <v>-0.1875</v>
      </c>
      <c r="T1185" s="0" t="n">
        <f aca="false">E1185*E1185</f>
        <v>0.5625</v>
      </c>
      <c r="U1185" s="0" t="n">
        <f aca="false">F1185*F1185</f>
        <v>0.0625</v>
      </c>
      <c r="V1185" s="0" t="n">
        <f aca="false">G1185*G1185</f>
        <v>0.0625</v>
      </c>
      <c r="W1185" s="0" t="n">
        <f aca="false">H1185*H1185</f>
        <v>0.5625</v>
      </c>
      <c r="X1185" s="0" t="n">
        <f aca="false">SUMPRODUCT(I1185:W1185,_XtX!$B$96:$P$96)</f>
        <v>44.9839044225146</v>
      </c>
      <c r="Y1185" s="0" t="n">
        <f aca="false">SUMPRODUCT(MMULT(I1185:W1185,_XtX!$B$78:$P$92),I1185:W1185)</f>
        <v>0.271087468019006</v>
      </c>
      <c r="Z1185" s="0" t="n">
        <f aca="false">04_回帰ANOVA!$K$19*04_回帰ANOVA!$K$14*SQRT(1+Y1185)</f>
        <v>1.46955590155034</v>
      </c>
      <c r="AA1185" s="0" t="n">
        <f aca="false">X1185-Z1185</f>
        <v>43.5143485209643</v>
      </c>
      <c r="AB1185" s="0" t="n">
        <f aca="false">X1185+Z1185</f>
        <v>46.453460324065</v>
      </c>
      <c r="AC1185" s="54" t="b">
        <f aca="false">AND(E1185&gt;=01_因子設定!$L$5-0.000000001,E1185&lt;=01_因子設定!$M$5+0.000000001,F1185&gt;=01_因子設定!$L$6-0.000000001,F1185&lt;=01_因子設定!$M$6+0.000000001,G1185&gt;=01_因子設定!$L$7-0.000000001,G1185&lt;=01_因子設定!$M$7+0.000000001,H1185&gt;=01_因子設定!$L$8-0.000000001,H1185&lt;=01_因子設定!$M$8+0.000000001,IF(01_因子設定!$B$20="Box-Behnken",E1185^2+F1185^2+G1185^2+H1185^2&lt;=2+0.000000001,TRUE()))</f>
        <v>1</v>
      </c>
      <c r="AD1185" s="55" t="n">
        <f aca="false">IF(AC1185,IF(01_因子設定!$B$13="最大化",AA1185-01_因子設定!$B$14,IF(01_因子設定!$B$13="最小化",01_因子設定!$B$15-AB1185,MIN(AA1185-01_因子設定!$B$14,01_因子設定!$B$15-AB1185))),-1E+030)</f>
        <v>-2.98565147903572</v>
      </c>
      <c r="AE1185" s="55" t="n">
        <f aca="false">IF(AC1185,IF(01_因子設定!$B$13="最大化",X1185,IF(01_因子設定!$B$13="最小化",-X1185,-ABS(X1185-01_因子設定!$B$16))),-1E+030)</f>
        <v>44.9839044225146</v>
      </c>
      <c r="AF1185" s="55" t="n">
        <f aca="false">AD1185+ROW()*0.000000001</f>
        <v>-2.98565029403572</v>
      </c>
      <c r="AG1185" s="55" t="n">
        <f aca="false">AE1185+ROW()*0.000000001</f>
        <v>44.9839056075146</v>
      </c>
    </row>
    <row r="1186" customFormat="false" ht="15" hidden="false" customHeight="false" outlineLevel="0" collapsed="false">
      <c r="A1186" s="0" t="n">
        <v>1</v>
      </c>
      <c r="B1186" s="0" t="n">
        <v>5</v>
      </c>
      <c r="C1186" s="0" t="n">
        <v>5</v>
      </c>
      <c r="D1186" s="0" t="n">
        <v>2</v>
      </c>
      <c r="E1186" s="0" t="n">
        <f aca="false">-1+A1186*0.25</f>
        <v>-0.75</v>
      </c>
      <c r="F1186" s="0" t="n">
        <f aca="false">-1+B1186*0.25</f>
        <v>0.25</v>
      </c>
      <c r="G1186" s="0" t="n">
        <f aca="false">-1+C1186*0.25</f>
        <v>0.25</v>
      </c>
      <c r="H1186" s="0" t="n">
        <f aca="false">-1+D1186*0.25</f>
        <v>-0.5</v>
      </c>
      <c r="I1186" s="0" t="n">
        <f aca="false">1</f>
        <v>1</v>
      </c>
      <c r="J1186" s="0" t="n">
        <f aca="false">E1186</f>
        <v>-0.75</v>
      </c>
      <c r="K1186" s="0" t="n">
        <f aca="false">F1186</f>
        <v>0.25</v>
      </c>
      <c r="L1186" s="0" t="n">
        <f aca="false">G1186</f>
        <v>0.25</v>
      </c>
      <c r="M1186" s="0" t="n">
        <f aca="false">H1186</f>
        <v>-0.5</v>
      </c>
      <c r="N1186" s="0" t="n">
        <f aca="false">E1186*F1186</f>
        <v>-0.1875</v>
      </c>
      <c r="O1186" s="0" t="n">
        <f aca="false">E1186*G1186</f>
        <v>-0.1875</v>
      </c>
      <c r="P1186" s="0" t="n">
        <f aca="false">E1186*H1186</f>
        <v>0.375</v>
      </c>
      <c r="Q1186" s="0" t="n">
        <f aca="false">F1186*G1186</f>
        <v>0.0625</v>
      </c>
      <c r="R1186" s="0" t="n">
        <f aca="false">F1186*H1186</f>
        <v>-0.125</v>
      </c>
      <c r="S1186" s="0" t="n">
        <f aca="false">G1186*H1186</f>
        <v>-0.125</v>
      </c>
      <c r="T1186" s="0" t="n">
        <f aca="false">E1186*E1186</f>
        <v>0.5625</v>
      </c>
      <c r="U1186" s="0" t="n">
        <f aca="false">F1186*F1186</f>
        <v>0.0625</v>
      </c>
      <c r="V1186" s="0" t="n">
        <f aca="false">G1186*G1186</f>
        <v>0.0625</v>
      </c>
      <c r="W1186" s="0" t="n">
        <f aca="false">H1186*H1186</f>
        <v>0.25</v>
      </c>
      <c r="X1186" s="0" t="n">
        <f aca="false">SUMPRODUCT(I1186:W1186,_XtX!$B$96:$P$96)</f>
        <v>45.1860608552632</v>
      </c>
      <c r="Y1186" s="0" t="n">
        <f aca="false">SUMPRODUCT(MMULT(I1186:W1186,_XtX!$B$78:$P$92),I1186:W1186)</f>
        <v>0.207746539199561</v>
      </c>
      <c r="Z1186" s="0" t="n">
        <f aca="false">04_回帰ANOVA!$K$19*04_回帰ANOVA!$K$14*SQRT(1+Y1186)</f>
        <v>1.43247250081141</v>
      </c>
      <c r="AA1186" s="0" t="n">
        <f aca="false">X1186-Z1186</f>
        <v>43.7535883544517</v>
      </c>
      <c r="AB1186" s="0" t="n">
        <f aca="false">X1186+Z1186</f>
        <v>46.6185333560746</v>
      </c>
      <c r="AC1186" s="54" t="b">
        <f aca="false">AND(E1186&gt;=01_因子設定!$L$5-0.000000001,E1186&lt;=01_因子設定!$M$5+0.000000001,F1186&gt;=01_因子設定!$L$6-0.000000001,F1186&lt;=01_因子設定!$M$6+0.000000001,G1186&gt;=01_因子設定!$L$7-0.000000001,G1186&lt;=01_因子設定!$M$7+0.000000001,H1186&gt;=01_因子設定!$L$8-0.000000001,H1186&lt;=01_因子設定!$M$8+0.000000001,IF(01_因子設定!$B$20="Box-Behnken",E1186^2+F1186^2+G1186^2+H1186^2&lt;=2+0.000000001,TRUE()))</f>
        <v>1</v>
      </c>
      <c r="AD1186" s="55" t="n">
        <f aca="false">IF(AC1186,IF(01_因子設定!$B$13="最大化",AA1186-01_因子設定!$B$14,IF(01_因子設定!$B$13="最小化",01_因子設定!$B$15-AB1186,MIN(AA1186-01_因子設定!$B$14,01_因子設定!$B$15-AB1186))),-1E+030)</f>
        <v>-2.74641164554826</v>
      </c>
      <c r="AE1186" s="55" t="n">
        <f aca="false">IF(AC1186,IF(01_因子設定!$B$13="最大化",X1186,IF(01_因子設定!$B$13="最小化",-X1186,-ABS(X1186-01_因子設定!$B$16))),-1E+030)</f>
        <v>45.1860608552632</v>
      </c>
      <c r="AF1186" s="55" t="n">
        <f aca="false">AD1186+ROW()*0.000000001</f>
        <v>-2.74641045954826</v>
      </c>
      <c r="AG1186" s="55" t="n">
        <f aca="false">AE1186+ROW()*0.000000001</f>
        <v>45.1860620412632</v>
      </c>
    </row>
    <row r="1187" customFormat="false" ht="15" hidden="false" customHeight="false" outlineLevel="0" collapsed="false">
      <c r="A1187" s="0" t="n">
        <v>1</v>
      </c>
      <c r="B1187" s="0" t="n">
        <v>5</v>
      </c>
      <c r="C1187" s="0" t="n">
        <v>5</v>
      </c>
      <c r="D1187" s="0" t="n">
        <v>3</v>
      </c>
      <c r="E1187" s="0" t="n">
        <f aca="false">-1+A1187*0.25</f>
        <v>-0.75</v>
      </c>
      <c r="F1187" s="0" t="n">
        <f aca="false">-1+B1187*0.25</f>
        <v>0.25</v>
      </c>
      <c r="G1187" s="0" t="n">
        <f aca="false">-1+C1187*0.25</f>
        <v>0.25</v>
      </c>
      <c r="H1187" s="0" t="n">
        <f aca="false">-1+D1187*0.25</f>
        <v>-0.25</v>
      </c>
      <c r="I1187" s="0" t="n">
        <f aca="false">1</f>
        <v>1</v>
      </c>
      <c r="J1187" s="0" t="n">
        <f aca="false">E1187</f>
        <v>-0.75</v>
      </c>
      <c r="K1187" s="0" t="n">
        <f aca="false">F1187</f>
        <v>0.25</v>
      </c>
      <c r="L1187" s="0" t="n">
        <f aca="false">G1187</f>
        <v>0.25</v>
      </c>
      <c r="M1187" s="0" t="n">
        <f aca="false">H1187</f>
        <v>-0.25</v>
      </c>
      <c r="N1187" s="0" t="n">
        <f aca="false">E1187*F1187</f>
        <v>-0.1875</v>
      </c>
      <c r="O1187" s="0" t="n">
        <f aca="false">E1187*G1187</f>
        <v>-0.1875</v>
      </c>
      <c r="P1187" s="0" t="n">
        <f aca="false">E1187*H1187</f>
        <v>0.1875</v>
      </c>
      <c r="Q1187" s="0" t="n">
        <f aca="false">F1187*G1187</f>
        <v>0.0625</v>
      </c>
      <c r="R1187" s="0" t="n">
        <f aca="false">F1187*H1187</f>
        <v>-0.0625</v>
      </c>
      <c r="S1187" s="0" t="n">
        <f aca="false">G1187*H1187</f>
        <v>-0.0625</v>
      </c>
      <c r="T1187" s="0" t="n">
        <f aca="false">E1187*E1187</f>
        <v>0.5625</v>
      </c>
      <c r="U1187" s="0" t="n">
        <f aca="false">F1187*F1187</f>
        <v>0.0625</v>
      </c>
      <c r="V1187" s="0" t="n">
        <f aca="false">G1187*G1187</f>
        <v>0.0625</v>
      </c>
      <c r="W1187" s="0" t="n">
        <f aca="false">H1187*H1187</f>
        <v>0.0625</v>
      </c>
      <c r="X1187" s="0" t="n">
        <f aca="false">SUMPRODUCT(I1187:W1187,_XtX!$B$96:$P$96)</f>
        <v>45.3404102704678</v>
      </c>
      <c r="Y1187" s="0" t="n">
        <f aca="false">SUMPRODUCT(MMULT(I1187:W1187,_XtX!$B$78:$P$92),I1187:W1187)</f>
        <v>0.205926192434211</v>
      </c>
      <c r="Z1187" s="0" t="n">
        <f aca="false">04_回帰ANOVA!$K$19*04_回帰ANOVA!$K$14*SQRT(1+Y1187)</f>
        <v>1.43139256396246</v>
      </c>
      <c r="AA1187" s="0" t="n">
        <f aca="false">X1187-Z1187</f>
        <v>43.9090177065054</v>
      </c>
      <c r="AB1187" s="0" t="n">
        <f aca="false">X1187+Z1187</f>
        <v>46.7718028344303</v>
      </c>
      <c r="AC1187" s="54" t="b">
        <f aca="false">AND(E1187&gt;=01_因子設定!$L$5-0.000000001,E1187&lt;=01_因子設定!$M$5+0.000000001,F1187&gt;=01_因子設定!$L$6-0.000000001,F1187&lt;=01_因子設定!$M$6+0.000000001,G1187&gt;=01_因子設定!$L$7-0.000000001,G1187&lt;=01_因子設定!$M$7+0.000000001,H1187&gt;=01_因子設定!$L$8-0.000000001,H1187&lt;=01_因子設定!$M$8+0.000000001,IF(01_因子設定!$B$20="Box-Behnken",E1187^2+F1187^2+G1187^2+H1187^2&lt;=2+0.000000001,TRUE()))</f>
        <v>1</v>
      </c>
      <c r="AD1187" s="55" t="n">
        <f aca="false">IF(AC1187,IF(01_因子設定!$B$13="最大化",AA1187-01_因子設定!$B$14,IF(01_因子設定!$B$13="最小化",01_因子設定!$B$15-AB1187,MIN(AA1187-01_因子設定!$B$14,01_因子設定!$B$15-AB1187))),-1E+030)</f>
        <v>-2.59098229349463</v>
      </c>
      <c r="AE1187" s="55" t="n">
        <f aca="false">IF(AC1187,IF(01_因子設定!$B$13="最大化",X1187,IF(01_因子設定!$B$13="最小化",-X1187,-ABS(X1187-01_因子設定!$B$16))),-1E+030)</f>
        <v>45.3404102704678</v>
      </c>
      <c r="AF1187" s="55" t="n">
        <f aca="false">AD1187+ROW()*0.000000001</f>
        <v>-2.59098110649463</v>
      </c>
      <c r="AG1187" s="55" t="n">
        <f aca="false">AE1187+ROW()*0.000000001</f>
        <v>45.3404114574678</v>
      </c>
    </row>
    <row r="1188" customFormat="false" ht="15" hidden="false" customHeight="false" outlineLevel="0" collapsed="false">
      <c r="A1188" s="0" t="n">
        <v>1</v>
      </c>
      <c r="B1188" s="0" t="n">
        <v>5</v>
      </c>
      <c r="C1188" s="0" t="n">
        <v>5</v>
      </c>
      <c r="D1188" s="0" t="n">
        <v>4</v>
      </c>
      <c r="E1188" s="0" t="n">
        <f aca="false">-1+A1188*0.25</f>
        <v>-0.75</v>
      </c>
      <c r="F1188" s="0" t="n">
        <f aca="false">-1+B1188*0.25</f>
        <v>0.25</v>
      </c>
      <c r="G1188" s="0" t="n">
        <f aca="false">-1+C1188*0.25</f>
        <v>0.25</v>
      </c>
      <c r="H1188" s="0" t="n">
        <f aca="false">-1+D1188*0.25</f>
        <v>0</v>
      </c>
      <c r="I1188" s="0" t="n">
        <f aca="false">1</f>
        <v>1</v>
      </c>
      <c r="J1188" s="0" t="n">
        <f aca="false">E1188</f>
        <v>-0.75</v>
      </c>
      <c r="K1188" s="0" t="n">
        <f aca="false">F1188</f>
        <v>0.25</v>
      </c>
      <c r="L1188" s="0" t="n">
        <f aca="false">G1188</f>
        <v>0.25</v>
      </c>
      <c r="M1188" s="0" t="n">
        <f aca="false">H1188</f>
        <v>0</v>
      </c>
      <c r="N1188" s="0" t="n">
        <f aca="false">E1188*F1188</f>
        <v>-0.1875</v>
      </c>
      <c r="O1188" s="0" t="n">
        <f aca="false">E1188*G1188</f>
        <v>-0.1875</v>
      </c>
      <c r="P1188" s="0" t="n">
        <f aca="false">E1188*H1188</f>
        <v>-0</v>
      </c>
      <c r="Q1188" s="0" t="n">
        <f aca="false">F1188*G1188</f>
        <v>0.0625</v>
      </c>
      <c r="R1188" s="0" t="n">
        <f aca="false">F1188*H1188</f>
        <v>0</v>
      </c>
      <c r="S1188" s="0" t="n">
        <f aca="false">G1188*H1188</f>
        <v>0</v>
      </c>
      <c r="T1188" s="0" t="n">
        <f aca="false">E1188*E1188</f>
        <v>0.5625</v>
      </c>
      <c r="U1188" s="0" t="n">
        <f aca="false">F1188*F1188</f>
        <v>0.0625</v>
      </c>
      <c r="V1188" s="0" t="n">
        <f aca="false">G1188*G1188</f>
        <v>0.0625</v>
      </c>
      <c r="W1188" s="0" t="n">
        <f aca="false">H1188*H1188</f>
        <v>0</v>
      </c>
      <c r="X1188" s="0" t="n">
        <f aca="false">SUMPRODUCT(I1188:W1188,_XtX!$B$96:$P$96)</f>
        <v>45.4469526681286</v>
      </c>
      <c r="Y1188" s="0" t="n">
        <f aca="false">SUMPRODUCT(MMULT(I1188:W1188,_XtX!$B$78:$P$92),I1188:W1188)</f>
        <v>0.21135011193348</v>
      </c>
      <c r="Z1188" s="0" t="n">
        <f aca="false">04_回帰ANOVA!$K$19*04_回帰ANOVA!$K$14*SQRT(1+Y1188)</f>
        <v>1.43460795469709</v>
      </c>
      <c r="AA1188" s="0" t="n">
        <f aca="false">X1188-Z1188</f>
        <v>44.0123447134316</v>
      </c>
      <c r="AB1188" s="0" t="n">
        <f aca="false">X1188+Z1188</f>
        <v>46.8815606228257</v>
      </c>
      <c r="AC1188" s="54" t="b">
        <f aca="false">AND(E1188&gt;=01_因子設定!$L$5-0.000000001,E1188&lt;=01_因子設定!$M$5+0.000000001,F1188&gt;=01_因子設定!$L$6-0.000000001,F1188&lt;=01_因子設定!$M$6+0.000000001,G1188&gt;=01_因子設定!$L$7-0.000000001,G1188&lt;=01_因子設定!$M$7+0.000000001,H1188&gt;=01_因子設定!$L$8-0.000000001,H1188&lt;=01_因子設定!$M$8+0.000000001,IF(01_因子設定!$B$20="Box-Behnken",E1188^2+F1188^2+G1188^2+H1188^2&lt;=2+0.000000001,TRUE()))</f>
        <v>1</v>
      </c>
      <c r="AD1188" s="55" t="n">
        <f aca="false">IF(AC1188,IF(01_因子設定!$B$13="最大化",AA1188-01_因子設定!$B$14,IF(01_因子設定!$B$13="最小化",01_因子設定!$B$15-AB1188,MIN(AA1188-01_因子設定!$B$14,01_因子設定!$B$15-AB1188))),-1E+030)</f>
        <v>-2.48765528656845</v>
      </c>
      <c r="AE1188" s="55" t="n">
        <f aca="false">IF(AC1188,IF(01_因子設定!$B$13="最大化",X1188,IF(01_因子設定!$B$13="最小化",-X1188,-ABS(X1188-01_因子設定!$B$16))),-1E+030)</f>
        <v>45.4469526681286</v>
      </c>
      <c r="AF1188" s="55" t="n">
        <f aca="false">AD1188+ROW()*0.000000001</f>
        <v>-2.48765409856845</v>
      </c>
      <c r="AG1188" s="55" t="n">
        <f aca="false">AE1188+ROW()*0.000000001</f>
        <v>45.4469538561286</v>
      </c>
    </row>
    <row r="1189" customFormat="false" ht="15" hidden="false" customHeight="false" outlineLevel="0" collapsed="false">
      <c r="A1189" s="0" t="n">
        <v>1</v>
      </c>
      <c r="B1189" s="0" t="n">
        <v>5</v>
      </c>
      <c r="C1189" s="0" t="n">
        <v>5</v>
      </c>
      <c r="D1189" s="0" t="n">
        <v>5</v>
      </c>
      <c r="E1189" s="0" t="n">
        <f aca="false">-1+A1189*0.25</f>
        <v>-0.75</v>
      </c>
      <c r="F1189" s="0" t="n">
        <f aca="false">-1+B1189*0.25</f>
        <v>0.25</v>
      </c>
      <c r="G1189" s="0" t="n">
        <f aca="false">-1+C1189*0.25</f>
        <v>0.25</v>
      </c>
      <c r="H1189" s="0" t="n">
        <f aca="false">-1+D1189*0.25</f>
        <v>0.25</v>
      </c>
      <c r="I1189" s="0" t="n">
        <f aca="false">1</f>
        <v>1</v>
      </c>
      <c r="J1189" s="0" t="n">
        <f aca="false">E1189</f>
        <v>-0.75</v>
      </c>
      <c r="K1189" s="0" t="n">
        <f aca="false">F1189</f>
        <v>0.25</v>
      </c>
      <c r="L1189" s="0" t="n">
        <f aca="false">G1189</f>
        <v>0.25</v>
      </c>
      <c r="M1189" s="0" t="n">
        <f aca="false">H1189</f>
        <v>0.25</v>
      </c>
      <c r="N1189" s="0" t="n">
        <f aca="false">E1189*F1189</f>
        <v>-0.1875</v>
      </c>
      <c r="O1189" s="0" t="n">
        <f aca="false">E1189*G1189</f>
        <v>-0.1875</v>
      </c>
      <c r="P1189" s="0" t="n">
        <f aca="false">E1189*H1189</f>
        <v>-0.1875</v>
      </c>
      <c r="Q1189" s="0" t="n">
        <f aca="false">F1189*G1189</f>
        <v>0.0625</v>
      </c>
      <c r="R1189" s="0" t="n">
        <f aca="false">F1189*H1189</f>
        <v>0.0625</v>
      </c>
      <c r="S1189" s="0" t="n">
        <f aca="false">G1189*H1189</f>
        <v>0.0625</v>
      </c>
      <c r="T1189" s="0" t="n">
        <f aca="false">E1189*E1189</f>
        <v>0.5625</v>
      </c>
      <c r="U1189" s="0" t="n">
        <f aca="false">F1189*F1189</f>
        <v>0.0625</v>
      </c>
      <c r="V1189" s="0" t="n">
        <f aca="false">G1189*G1189</f>
        <v>0.0625</v>
      </c>
      <c r="W1189" s="0" t="n">
        <f aca="false">H1189*H1189</f>
        <v>0.0625</v>
      </c>
      <c r="X1189" s="0" t="n">
        <f aca="false">SUMPRODUCT(I1189:W1189,_XtX!$B$96:$P$96)</f>
        <v>45.5056880482456</v>
      </c>
      <c r="Y1189" s="0" t="n">
        <f aca="false">SUMPRODUCT(MMULT(I1189:W1189,_XtX!$B$78:$P$92),I1189:W1189)</f>
        <v>0.205926192434211</v>
      </c>
      <c r="Z1189" s="0" t="n">
        <f aca="false">04_回帰ANOVA!$K$19*04_回帰ANOVA!$K$14*SQRT(1+Y1189)</f>
        <v>1.43139256396246</v>
      </c>
      <c r="AA1189" s="0" t="n">
        <f aca="false">X1189-Z1189</f>
        <v>44.0742954842831</v>
      </c>
      <c r="AB1189" s="0" t="n">
        <f aca="false">X1189+Z1189</f>
        <v>46.9370806122081</v>
      </c>
      <c r="AC1189" s="54" t="b">
        <f aca="false">AND(E1189&gt;=01_因子設定!$L$5-0.000000001,E1189&lt;=01_因子設定!$M$5+0.000000001,F1189&gt;=01_因子設定!$L$6-0.000000001,F1189&lt;=01_因子設定!$M$6+0.000000001,G1189&gt;=01_因子設定!$L$7-0.000000001,G1189&lt;=01_因子設定!$M$7+0.000000001,H1189&gt;=01_因子設定!$L$8-0.000000001,H1189&lt;=01_因子設定!$M$8+0.000000001,IF(01_因子設定!$B$20="Box-Behnken",E1189^2+F1189^2+G1189^2+H1189^2&lt;=2+0.000000001,TRUE()))</f>
        <v>1</v>
      </c>
      <c r="AD1189" s="55" t="n">
        <f aca="false">IF(AC1189,IF(01_因子設定!$B$13="最大化",AA1189-01_因子設定!$B$14,IF(01_因子設定!$B$13="最小化",01_因子設定!$B$15-AB1189,MIN(AA1189-01_因子設定!$B$14,01_因子設定!$B$15-AB1189))),-1E+030)</f>
        <v>-2.42570451571686</v>
      </c>
      <c r="AE1189" s="55" t="n">
        <f aca="false">IF(AC1189,IF(01_因子設定!$B$13="最大化",X1189,IF(01_因子設定!$B$13="最小化",-X1189,-ABS(X1189-01_因子設定!$B$16))),-1E+030)</f>
        <v>45.5056880482456</v>
      </c>
      <c r="AF1189" s="55" t="n">
        <f aca="false">AD1189+ROW()*0.000000001</f>
        <v>-2.42570332671686</v>
      </c>
      <c r="AG1189" s="55" t="n">
        <f aca="false">AE1189+ROW()*0.000000001</f>
        <v>45.5056892372456</v>
      </c>
    </row>
    <row r="1190" customFormat="false" ht="15" hidden="false" customHeight="false" outlineLevel="0" collapsed="false">
      <c r="A1190" s="0" t="n">
        <v>1</v>
      </c>
      <c r="B1190" s="0" t="n">
        <v>5</v>
      </c>
      <c r="C1190" s="0" t="n">
        <v>5</v>
      </c>
      <c r="D1190" s="0" t="n">
        <v>6</v>
      </c>
      <c r="E1190" s="0" t="n">
        <f aca="false">-1+A1190*0.25</f>
        <v>-0.75</v>
      </c>
      <c r="F1190" s="0" t="n">
        <f aca="false">-1+B1190*0.25</f>
        <v>0.25</v>
      </c>
      <c r="G1190" s="0" t="n">
        <f aca="false">-1+C1190*0.25</f>
        <v>0.25</v>
      </c>
      <c r="H1190" s="0" t="n">
        <f aca="false">-1+D1190*0.25</f>
        <v>0.5</v>
      </c>
      <c r="I1190" s="0" t="n">
        <f aca="false">1</f>
        <v>1</v>
      </c>
      <c r="J1190" s="0" t="n">
        <f aca="false">E1190</f>
        <v>-0.75</v>
      </c>
      <c r="K1190" s="0" t="n">
        <f aca="false">F1190</f>
        <v>0.25</v>
      </c>
      <c r="L1190" s="0" t="n">
        <f aca="false">G1190</f>
        <v>0.25</v>
      </c>
      <c r="M1190" s="0" t="n">
        <f aca="false">H1190</f>
        <v>0.5</v>
      </c>
      <c r="N1190" s="0" t="n">
        <f aca="false">E1190*F1190</f>
        <v>-0.1875</v>
      </c>
      <c r="O1190" s="0" t="n">
        <f aca="false">E1190*G1190</f>
        <v>-0.1875</v>
      </c>
      <c r="P1190" s="0" t="n">
        <f aca="false">E1190*H1190</f>
        <v>-0.375</v>
      </c>
      <c r="Q1190" s="0" t="n">
        <f aca="false">F1190*G1190</f>
        <v>0.0625</v>
      </c>
      <c r="R1190" s="0" t="n">
        <f aca="false">F1190*H1190</f>
        <v>0.125</v>
      </c>
      <c r="S1190" s="0" t="n">
        <f aca="false">G1190*H1190</f>
        <v>0.125</v>
      </c>
      <c r="T1190" s="0" t="n">
        <f aca="false">E1190*E1190</f>
        <v>0.5625</v>
      </c>
      <c r="U1190" s="0" t="n">
        <f aca="false">F1190*F1190</f>
        <v>0.0625</v>
      </c>
      <c r="V1190" s="0" t="n">
        <f aca="false">G1190*G1190</f>
        <v>0.0625</v>
      </c>
      <c r="W1190" s="0" t="n">
        <f aca="false">H1190*H1190</f>
        <v>0.25</v>
      </c>
      <c r="X1190" s="0" t="n">
        <f aca="false">SUMPRODUCT(I1190:W1190,_XtX!$B$96:$P$96)</f>
        <v>45.5166164108187</v>
      </c>
      <c r="Y1190" s="0" t="n">
        <f aca="false">SUMPRODUCT(MMULT(I1190:W1190,_XtX!$B$78:$P$92),I1190:W1190)</f>
        <v>0.207746539199561</v>
      </c>
      <c r="Z1190" s="0" t="n">
        <f aca="false">04_回帰ANOVA!$K$19*04_回帰ANOVA!$K$14*SQRT(1+Y1190)</f>
        <v>1.43247250081141</v>
      </c>
      <c r="AA1190" s="0" t="n">
        <f aca="false">X1190-Z1190</f>
        <v>44.0841439100073</v>
      </c>
      <c r="AB1190" s="0" t="n">
        <f aca="false">X1190+Z1190</f>
        <v>46.9490889116301</v>
      </c>
      <c r="AC1190" s="54" t="b">
        <f aca="false">AND(E1190&gt;=01_因子設定!$L$5-0.000000001,E1190&lt;=01_因子設定!$M$5+0.000000001,F1190&gt;=01_因子設定!$L$6-0.000000001,F1190&lt;=01_因子設定!$M$6+0.000000001,G1190&gt;=01_因子設定!$L$7-0.000000001,G1190&lt;=01_因子設定!$M$7+0.000000001,H1190&gt;=01_因子設定!$L$8-0.000000001,H1190&lt;=01_因子設定!$M$8+0.000000001,IF(01_因子設定!$B$20="Box-Behnken",E1190^2+F1190^2+G1190^2+H1190^2&lt;=2+0.000000001,TRUE()))</f>
        <v>1</v>
      </c>
      <c r="AD1190" s="55" t="n">
        <f aca="false">IF(AC1190,IF(01_因子設定!$B$13="最大化",AA1190-01_因子設定!$B$14,IF(01_因子設定!$B$13="最小化",01_因子設定!$B$15-AB1190,MIN(AA1190-01_因子設定!$B$14,01_因子設定!$B$15-AB1190))),-1E+030)</f>
        <v>-2.4158560899927</v>
      </c>
      <c r="AE1190" s="55" t="n">
        <f aca="false">IF(AC1190,IF(01_因子設定!$B$13="最大化",X1190,IF(01_因子設定!$B$13="最小化",-X1190,-ABS(X1190-01_因子設定!$B$16))),-1E+030)</f>
        <v>45.5166164108187</v>
      </c>
      <c r="AF1190" s="55" t="n">
        <f aca="false">AD1190+ROW()*0.000000001</f>
        <v>-2.4158548999927</v>
      </c>
      <c r="AG1190" s="55" t="n">
        <f aca="false">AE1190+ROW()*0.000000001</f>
        <v>45.5166176008187</v>
      </c>
    </row>
    <row r="1191" customFormat="false" ht="15" hidden="false" customHeight="false" outlineLevel="0" collapsed="false">
      <c r="A1191" s="0" t="n">
        <v>1</v>
      </c>
      <c r="B1191" s="0" t="n">
        <v>5</v>
      </c>
      <c r="C1191" s="0" t="n">
        <v>5</v>
      </c>
      <c r="D1191" s="0" t="n">
        <v>7</v>
      </c>
      <c r="E1191" s="0" t="n">
        <f aca="false">-1+A1191*0.25</f>
        <v>-0.75</v>
      </c>
      <c r="F1191" s="0" t="n">
        <f aca="false">-1+B1191*0.25</f>
        <v>0.25</v>
      </c>
      <c r="G1191" s="0" t="n">
        <f aca="false">-1+C1191*0.25</f>
        <v>0.25</v>
      </c>
      <c r="H1191" s="0" t="n">
        <f aca="false">-1+D1191*0.25</f>
        <v>0.75</v>
      </c>
      <c r="I1191" s="0" t="n">
        <f aca="false">1</f>
        <v>1</v>
      </c>
      <c r="J1191" s="0" t="n">
        <f aca="false">E1191</f>
        <v>-0.75</v>
      </c>
      <c r="K1191" s="0" t="n">
        <f aca="false">F1191</f>
        <v>0.25</v>
      </c>
      <c r="L1191" s="0" t="n">
        <f aca="false">G1191</f>
        <v>0.25</v>
      </c>
      <c r="M1191" s="0" t="n">
        <f aca="false">H1191</f>
        <v>0.75</v>
      </c>
      <c r="N1191" s="0" t="n">
        <f aca="false">E1191*F1191</f>
        <v>-0.1875</v>
      </c>
      <c r="O1191" s="0" t="n">
        <f aca="false">E1191*G1191</f>
        <v>-0.1875</v>
      </c>
      <c r="P1191" s="0" t="n">
        <f aca="false">E1191*H1191</f>
        <v>-0.5625</v>
      </c>
      <c r="Q1191" s="0" t="n">
        <f aca="false">F1191*G1191</f>
        <v>0.0625</v>
      </c>
      <c r="R1191" s="0" t="n">
        <f aca="false">F1191*H1191</f>
        <v>0.1875</v>
      </c>
      <c r="S1191" s="0" t="n">
        <f aca="false">G1191*H1191</f>
        <v>0.1875</v>
      </c>
      <c r="T1191" s="0" t="n">
        <f aca="false">E1191*E1191</f>
        <v>0.5625</v>
      </c>
      <c r="U1191" s="0" t="n">
        <f aca="false">F1191*F1191</f>
        <v>0.0625</v>
      </c>
      <c r="V1191" s="0" t="n">
        <f aca="false">G1191*G1191</f>
        <v>0.0625</v>
      </c>
      <c r="W1191" s="0" t="n">
        <f aca="false">H1191*H1191</f>
        <v>0.5625</v>
      </c>
      <c r="X1191" s="0" t="n">
        <f aca="false">SUMPRODUCT(I1191:W1191,_XtX!$B$96:$P$96)</f>
        <v>45.479737755848</v>
      </c>
      <c r="Y1191" s="0" t="n">
        <f aca="false">SUMPRODUCT(MMULT(I1191:W1191,_XtX!$B$78:$P$92),I1191:W1191)</f>
        <v>0.271087468019006</v>
      </c>
      <c r="Z1191" s="0" t="n">
        <f aca="false">04_回帰ANOVA!$K$19*04_回帰ANOVA!$K$14*SQRT(1+Y1191)</f>
        <v>1.46955590155034</v>
      </c>
      <c r="AA1191" s="0" t="n">
        <f aca="false">X1191-Z1191</f>
        <v>44.0101818542976</v>
      </c>
      <c r="AB1191" s="0" t="n">
        <f aca="false">X1191+Z1191</f>
        <v>46.9492936573983</v>
      </c>
      <c r="AC1191" s="54" t="b">
        <f aca="false">AND(E1191&gt;=01_因子設定!$L$5-0.000000001,E1191&lt;=01_因子設定!$M$5+0.000000001,F1191&gt;=01_因子設定!$L$6-0.000000001,F1191&lt;=01_因子設定!$M$6+0.000000001,G1191&gt;=01_因子設定!$L$7-0.000000001,G1191&lt;=01_因子設定!$M$7+0.000000001,H1191&gt;=01_因子設定!$L$8-0.000000001,H1191&lt;=01_因子設定!$M$8+0.000000001,IF(01_因子設定!$B$20="Box-Behnken",E1191^2+F1191^2+G1191^2+H1191^2&lt;=2+0.000000001,TRUE()))</f>
        <v>1</v>
      </c>
      <c r="AD1191" s="55" t="n">
        <f aca="false">IF(AC1191,IF(01_因子設定!$B$13="最大化",AA1191-01_因子設定!$B$14,IF(01_因子設定!$B$13="最小化",01_因子設定!$B$15-AB1191,MIN(AA1191-01_因子設定!$B$14,01_因子設定!$B$15-AB1191))),-1E+030)</f>
        <v>-2.48981814570239</v>
      </c>
      <c r="AE1191" s="55" t="n">
        <f aca="false">IF(AC1191,IF(01_因子設定!$B$13="最大化",X1191,IF(01_因子設定!$B$13="最小化",-X1191,-ABS(X1191-01_因子設定!$B$16))),-1E+030)</f>
        <v>45.479737755848</v>
      </c>
      <c r="AF1191" s="55" t="n">
        <f aca="false">AD1191+ROW()*0.000000001</f>
        <v>-2.48981695470239</v>
      </c>
      <c r="AG1191" s="55" t="n">
        <f aca="false">AE1191+ROW()*0.000000001</f>
        <v>45.479738946848</v>
      </c>
    </row>
    <row r="1192" customFormat="false" ht="15" hidden="false" customHeight="false" outlineLevel="0" collapsed="false">
      <c r="A1192" s="0" t="n">
        <v>1</v>
      </c>
      <c r="B1192" s="0" t="n">
        <v>5</v>
      </c>
      <c r="C1192" s="0" t="n">
        <v>5</v>
      </c>
      <c r="D1192" s="0" t="n">
        <v>8</v>
      </c>
      <c r="E1192" s="0" t="n">
        <f aca="false">-1+A1192*0.25</f>
        <v>-0.75</v>
      </c>
      <c r="F1192" s="0" t="n">
        <f aca="false">-1+B1192*0.25</f>
        <v>0.25</v>
      </c>
      <c r="G1192" s="0" t="n">
        <f aca="false">-1+C1192*0.25</f>
        <v>0.25</v>
      </c>
      <c r="H1192" s="0" t="n">
        <f aca="false">-1+D1192*0.25</f>
        <v>1</v>
      </c>
      <c r="I1192" s="0" t="n">
        <f aca="false">1</f>
        <v>1</v>
      </c>
      <c r="J1192" s="0" t="n">
        <f aca="false">E1192</f>
        <v>-0.75</v>
      </c>
      <c r="K1192" s="0" t="n">
        <f aca="false">F1192</f>
        <v>0.25</v>
      </c>
      <c r="L1192" s="0" t="n">
        <f aca="false">G1192</f>
        <v>0.25</v>
      </c>
      <c r="M1192" s="0" t="n">
        <f aca="false">H1192</f>
        <v>1</v>
      </c>
      <c r="N1192" s="0" t="n">
        <f aca="false">E1192*F1192</f>
        <v>-0.1875</v>
      </c>
      <c r="O1192" s="0" t="n">
        <f aca="false">E1192*G1192</f>
        <v>-0.1875</v>
      </c>
      <c r="P1192" s="0" t="n">
        <f aca="false">E1192*H1192</f>
        <v>-0.75</v>
      </c>
      <c r="Q1192" s="0" t="n">
        <f aca="false">F1192*G1192</f>
        <v>0.0625</v>
      </c>
      <c r="R1192" s="0" t="n">
        <f aca="false">F1192*H1192</f>
        <v>0.25</v>
      </c>
      <c r="S1192" s="0" t="n">
        <f aca="false">G1192*H1192</f>
        <v>0.25</v>
      </c>
      <c r="T1192" s="0" t="n">
        <f aca="false">E1192*E1192</f>
        <v>0.5625</v>
      </c>
      <c r="U1192" s="0" t="n">
        <f aca="false">F1192*F1192</f>
        <v>0.0625</v>
      </c>
      <c r="V1192" s="0" t="n">
        <f aca="false">G1192*G1192</f>
        <v>0.0625</v>
      </c>
      <c r="W1192" s="0" t="n">
        <f aca="false">H1192*H1192</f>
        <v>1</v>
      </c>
      <c r="X1192" s="0" t="n">
        <f aca="false">SUMPRODUCT(I1192:W1192,_XtX!$B$96:$P$96)</f>
        <v>45.3950520833334</v>
      </c>
      <c r="Y1192" s="0" t="n">
        <f aca="false">SUMPRODUCT(MMULT(I1192:W1192,_XtX!$B$78:$P$92),I1192:W1192)</f>
        <v>0.486409505208334</v>
      </c>
      <c r="Z1192" s="0" t="n">
        <f aca="false">04_回帰ANOVA!$K$19*04_回帰ANOVA!$K$14*SQRT(1+Y1192)</f>
        <v>1.58916001665498</v>
      </c>
      <c r="AA1192" s="0" t="n">
        <f aca="false">X1192-Z1192</f>
        <v>43.8058920666784</v>
      </c>
      <c r="AB1192" s="0" t="n">
        <f aca="false">X1192+Z1192</f>
        <v>46.9842120999883</v>
      </c>
      <c r="AC1192" s="54" t="b">
        <f aca="false">AND(E1192&gt;=01_因子設定!$L$5-0.000000001,E1192&lt;=01_因子設定!$M$5+0.000000001,F1192&gt;=01_因子設定!$L$6-0.000000001,F1192&lt;=01_因子設定!$M$6+0.000000001,G1192&gt;=01_因子設定!$L$7-0.000000001,G1192&lt;=01_因子設定!$M$7+0.000000001,H1192&gt;=01_因子設定!$L$8-0.000000001,H1192&lt;=01_因子設定!$M$8+0.000000001,IF(01_因子設定!$B$20="Box-Behnken",E1192^2+F1192^2+G1192^2+H1192^2&lt;=2+0.000000001,TRUE()))</f>
        <v>1</v>
      </c>
      <c r="AD1192" s="55" t="n">
        <f aca="false">IF(AC1192,IF(01_因子設定!$B$13="最大化",AA1192-01_因子設定!$B$14,IF(01_因子設定!$B$13="最小化",01_因子設定!$B$15-AB1192,MIN(AA1192-01_因子設定!$B$14,01_因子設定!$B$15-AB1192))),-1E+030)</f>
        <v>-2.69410793332163</v>
      </c>
      <c r="AE1192" s="55" t="n">
        <f aca="false">IF(AC1192,IF(01_因子設定!$B$13="最大化",X1192,IF(01_因子設定!$B$13="最小化",-X1192,-ABS(X1192-01_因子設定!$B$16))),-1E+030)</f>
        <v>45.3950520833334</v>
      </c>
      <c r="AF1192" s="55" t="n">
        <f aca="false">AD1192+ROW()*0.000000001</f>
        <v>-2.69410674132163</v>
      </c>
      <c r="AG1192" s="55" t="n">
        <f aca="false">AE1192+ROW()*0.000000001</f>
        <v>45.3950532753334</v>
      </c>
    </row>
    <row r="1193" customFormat="false" ht="15" hidden="false" customHeight="false" outlineLevel="0" collapsed="false">
      <c r="A1193" s="0" t="n">
        <v>1</v>
      </c>
      <c r="B1193" s="0" t="n">
        <v>5</v>
      </c>
      <c r="C1193" s="0" t="n">
        <v>6</v>
      </c>
      <c r="D1193" s="0" t="n">
        <v>0</v>
      </c>
      <c r="E1193" s="0" t="n">
        <f aca="false">-1+A1193*0.25</f>
        <v>-0.75</v>
      </c>
      <c r="F1193" s="0" t="n">
        <f aca="false">-1+B1193*0.25</f>
        <v>0.25</v>
      </c>
      <c r="G1193" s="0" t="n">
        <f aca="false">-1+C1193*0.25</f>
        <v>0.5</v>
      </c>
      <c r="H1193" s="0" t="n">
        <f aca="false">-1+D1193*0.25</f>
        <v>-1</v>
      </c>
      <c r="I1193" s="0" t="n">
        <f aca="false">1</f>
        <v>1</v>
      </c>
      <c r="J1193" s="0" t="n">
        <f aca="false">E1193</f>
        <v>-0.75</v>
      </c>
      <c r="K1193" s="0" t="n">
        <f aca="false">F1193</f>
        <v>0.25</v>
      </c>
      <c r="L1193" s="0" t="n">
        <f aca="false">G1193</f>
        <v>0.5</v>
      </c>
      <c r="M1193" s="0" t="n">
        <f aca="false">H1193</f>
        <v>-1</v>
      </c>
      <c r="N1193" s="0" t="n">
        <f aca="false">E1193*F1193</f>
        <v>-0.1875</v>
      </c>
      <c r="O1193" s="0" t="n">
        <f aca="false">E1193*G1193</f>
        <v>-0.375</v>
      </c>
      <c r="P1193" s="0" t="n">
        <f aca="false">E1193*H1193</f>
        <v>0.75</v>
      </c>
      <c r="Q1193" s="0" t="n">
        <f aca="false">F1193*G1193</f>
        <v>0.125</v>
      </c>
      <c r="R1193" s="0" t="n">
        <f aca="false">F1193*H1193</f>
        <v>-0.25</v>
      </c>
      <c r="S1193" s="0" t="n">
        <f aca="false">G1193*H1193</f>
        <v>-0.5</v>
      </c>
      <c r="T1193" s="0" t="n">
        <f aca="false">E1193*E1193</f>
        <v>0.5625</v>
      </c>
      <c r="U1193" s="0" t="n">
        <f aca="false">F1193*F1193</f>
        <v>0.0625</v>
      </c>
      <c r="V1193" s="0" t="n">
        <f aca="false">G1193*G1193</f>
        <v>0.25</v>
      </c>
      <c r="W1193" s="0" t="n">
        <f aca="false">H1193*H1193</f>
        <v>1</v>
      </c>
      <c r="X1193" s="0" t="n">
        <f aca="false">SUMPRODUCT(I1193:W1193,_XtX!$B$96:$P$96)</f>
        <v>44.9213450292398</v>
      </c>
      <c r="Y1193" s="0" t="n">
        <f aca="false">SUMPRODUCT(MMULT(I1193:W1193,_XtX!$B$78:$P$92),I1193:W1193)</f>
        <v>0.459125719572369</v>
      </c>
      <c r="Z1193" s="0" t="n">
        <f aca="false">04_回帰ANOVA!$K$19*04_回帰ANOVA!$K$14*SQRT(1+Y1193)</f>
        <v>1.57450755575573</v>
      </c>
      <c r="AA1193" s="0" t="n">
        <f aca="false">X1193-Z1193</f>
        <v>43.3468374734841</v>
      </c>
      <c r="AB1193" s="0" t="n">
        <f aca="false">X1193+Z1193</f>
        <v>46.4958525849955</v>
      </c>
      <c r="AC1193" s="54" t="b">
        <f aca="false">AND(E1193&gt;=01_因子設定!$L$5-0.000000001,E1193&lt;=01_因子設定!$M$5+0.000000001,F1193&gt;=01_因子設定!$L$6-0.000000001,F1193&lt;=01_因子設定!$M$6+0.000000001,G1193&gt;=01_因子設定!$L$7-0.000000001,G1193&lt;=01_因子設定!$M$7+0.000000001,H1193&gt;=01_因子設定!$L$8-0.000000001,H1193&lt;=01_因子設定!$M$8+0.000000001,IF(01_因子設定!$B$20="Box-Behnken",E1193^2+F1193^2+G1193^2+H1193^2&lt;=2+0.000000001,TRUE()))</f>
        <v>1</v>
      </c>
      <c r="AD1193" s="55" t="n">
        <f aca="false">IF(AC1193,IF(01_因子設定!$B$13="最大化",AA1193-01_因子設定!$B$14,IF(01_因子設定!$B$13="最小化",01_因子設定!$B$15-AB1193,MIN(AA1193-01_因子設定!$B$14,01_因子設定!$B$15-AB1193))),-1E+030)</f>
        <v>-3.15316252651594</v>
      </c>
      <c r="AE1193" s="55" t="n">
        <f aca="false">IF(AC1193,IF(01_因子設定!$B$13="最大化",X1193,IF(01_因子設定!$B$13="最小化",-X1193,-ABS(X1193-01_因子設定!$B$16))),-1E+030)</f>
        <v>44.9213450292398</v>
      </c>
      <c r="AF1193" s="55" t="n">
        <f aca="false">AD1193+ROW()*0.000000001</f>
        <v>-3.15316133351593</v>
      </c>
      <c r="AG1193" s="55" t="n">
        <f aca="false">AE1193+ROW()*0.000000001</f>
        <v>44.9213462222398</v>
      </c>
    </row>
    <row r="1194" customFormat="false" ht="15" hidden="false" customHeight="false" outlineLevel="0" collapsed="false">
      <c r="A1194" s="0" t="n">
        <v>1</v>
      </c>
      <c r="B1194" s="0" t="n">
        <v>5</v>
      </c>
      <c r="C1194" s="0" t="n">
        <v>6</v>
      </c>
      <c r="D1194" s="0" t="n">
        <v>1</v>
      </c>
      <c r="E1194" s="0" t="n">
        <f aca="false">-1+A1194*0.25</f>
        <v>-0.75</v>
      </c>
      <c r="F1194" s="0" t="n">
        <f aca="false">-1+B1194*0.25</f>
        <v>0.25</v>
      </c>
      <c r="G1194" s="0" t="n">
        <f aca="false">-1+C1194*0.25</f>
        <v>0.5</v>
      </c>
      <c r="H1194" s="0" t="n">
        <f aca="false">-1+D1194*0.25</f>
        <v>-0.75</v>
      </c>
      <c r="I1194" s="0" t="n">
        <f aca="false">1</f>
        <v>1</v>
      </c>
      <c r="J1194" s="0" t="n">
        <f aca="false">E1194</f>
        <v>-0.75</v>
      </c>
      <c r="K1194" s="0" t="n">
        <f aca="false">F1194</f>
        <v>0.25</v>
      </c>
      <c r="L1194" s="0" t="n">
        <f aca="false">G1194</f>
        <v>0.5</v>
      </c>
      <c r="M1194" s="0" t="n">
        <f aca="false">H1194</f>
        <v>-0.75</v>
      </c>
      <c r="N1194" s="0" t="n">
        <f aca="false">E1194*F1194</f>
        <v>-0.1875</v>
      </c>
      <c r="O1194" s="0" t="n">
        <f aca="false">E1194*G1194</f>
        <v>-0.375</v>
      </c>
      <c r="P1194" s="0" t="n">
        <f aca="false">E1194*H1194</f>
        <v>0.5625</v>
      </c>
      <c r="Q1194" s="0" t="n">
        <f aca="false">F1194*G1194</f>
        <v>0.125</v>
      </c>
      <c r="R1194" s="0" t="n">
        <f aca="false">F1194*H1194</f>
        <v>-0.1875</v>
      </c>
      <c r="S1194" s="0" t="n">
        <f aca="false">G1194*H1194</f>
        <v>-0.375</v>
      </c>
      <c r="T1194" s="0" t="n">
        <f aca="false">E1194*E1194</f>
        <v>0.5625</v>
      </c>
      <c r="U1194" s="0" t="n">
        <f aca="false">F1194*F1194</f>
        <v>0.0625</v>
      </c>
      <c r="V1194" s="0" t="n">
        <f aca="false">G1194*G1194</f>
        <v>0.25</v>
      </c>
      <c r="W1194" s="0" t="n">
        <f aca="false">H1194*H1194</f>
        <v>0.5625</v>
      </c>
      <c r="X1194" s="0" t="n">
        <f aca="false">SUMPRODUCT(I1194:W1194,_XtX!$B$96:$P$96)</f>
        <v>45.1892772295322</v>
      </c>
      <c r="Y1194" s="0" t="n">
        <f aca="false">SUMPRODUCT(MMULT(I1194:W1194,_XtX!$B$78:$P$92),I1194:W1194)</f>
        <v>0.257385610836988</v>
      </c>
      <c r="Z1194" s="0" t="n">
        <f aca="false">04_回帰ANOVA!$K$19*04_回帰ANOVA!$K$14*SQRT(1+Y1194)</f>
        <v>1.46161380324158</v>
      </c>
      <c r="AA1194" s="0" t="n">
        <f aca="false">X1194-Z1194</f>
        <v>43.7276634262906</v>
      </c>
      <c r="AB1194" s="0" t="n">
        <f aca="false">X1194+Z1194</f>
        <v>46.6508910327738</v>
      </c>
      <c r="AC1194" s="54" t="b">
        <f aca="false">AND(E1194&gt;=01_因子設定!$L$5-0.000000001,E1194&lt;=01_因子設定!$M$5+0.000000001,F1194&gt;=01_因子設定!$L$6-0.000000001,F1194&lt;=01_因子設定!$M$6+0.000000001,G1194&gt;=01_因子設定!$L$7-0.000000001,G1194&lt;=01_因子設定!$M$7+0.000000001,H1194&gt;=01_因子設定!$L$8-0.000000001,H1194&lt;=01_因子設定!$M$8+0.000000001,IF(01_因子設定!$B$20="Box-Behnken",E1194^2+F1194^2+G1194^2+H1194^2&lt;=2+0.000000001,TRUE()))</f>
        <v>1</v>
      </c>
      <c r="AD1194" s="55" t="n">
        <f aca="false">IF(AC1194,IF(01_因子設定!$B$13="最大化",AA1194-01_因子設定!$B$14,IF(01_因子設定!$B$13="最小化",01_因子設定!$B$15-AB1194,MIN(AA1194-01_因子設定!$B$14,01_因子設定!$B$15-AB1194))),-1E+030)</f>
        <v>-2.77233657370941</v>
      </c>
      <c r="AE1194" s="55" t="n">
        <f aca="false">IF(AC1194,IF(01_因子設定!$B$13="最大化",X1194,IF(01_因子設定!$B$13="最小化",-X1194,-ABS(X1194-01_因子設定!$B$16))),-1E+030)</f>
        <v>45.1892772295322</v>
      </c>
      <c r="AF1194" s="55" t="n">
        <f aca="false">AD1194+ROW()*0.000000001</f>
        <v>-2.77233537970941</v>
      </c>
      <c r="AG1194" s="55" t="n">
        <f aca="false">AE1194+ROW()*0.000000001</f>
        <v>45.1892784235322</v>
      </c>
    </row>
    <row r="1195" customFormat="false" ht="15" hidden="false" customHeight="false" outlineLevel="0" collapsed="false">
      <c r="A1195" s="0" t="n">
        <v>1</v>
      </c>
      <c r="B1195" s="0" t="n">
        <v>5</v>
      </c>
      <c r="C1195" s="0" t="n">
        <v>6</v>
      </c>
      <c r="D1195" s="0" t="n">
        <v>2</v>
      </c>
      <c r="E1195" s="0" t="n">
        <f aca="false">-1+A1195*0.25</f>
        <v>-0.75</v>
      </c>
      <c r="F1195" s="0" t="n">
        <f aca="false">-1+B1195*0.25</f>
        <v>0.25</v>
      </c>
      <c r="G1195" s="0" t="n">
        <f aca="false">-1+C1195*0.25</f>
        <v>0.5</v>
      </c>
      <c r="H1195" s="0" t="n">
        <f aca="false">-1+D1195*0.25</f>
        <v>-0.5</v>
      </c>
      <c r="I1195" s="0" t="n">
        <f aca="false">1</f>
        <v>1</v>
      </c>
      <c r="J1195" s="0" t="n">
        <f aca="false">E1195</f>
        <v>-0.75</v>
      </c>
      <c r="K1195" s="0" t="n">
        <f aca="false">F1195</f>
        <v>0.25</v>
      </c>
      <c r="L1195" s="0" t="n">
        <f aca="false">G1195</f>
        <v>0.5</v>
      </c>
      <c r="M1195" s="0" t="n">
        <f aca="false">H1195</f>
        <v>-0.5</v>
      </c>
      <c r="N1195" s="0" t="n">
        <f aca="false">E1195*F1195</f>
        <v>-0.1875</v>
      </c>
      <c r="O1195" s="0" t="n">
        <f aca="false">E1195*G1195</f>
        <v>-0.375</v>
      </c>
      <c r="P1195" s="0" t="n">
        <f aca="false">E1195*H1195</f>
        <v>0.375</v>
      </c>
      <c r="Q1195" s="0" t="n">
        <f aca="false">F1195*G1195</f>
        <v>0.125</v>
      </c>
      <c r="R1195" s="0" t="n">
        <f aca="false">F1195*H1195</f>
        <v>-0.125</v>
      </c>
      <c r="S1195" s="0" t="n">
        <f aca="false">G1195*H1195</f>
        <v>-0.25</v>
      </c>
      <c r="T1195" s="0" t="n">
        <f aca="false">E1195*E1195</f>
        <v>0.5625</v>
      </c>
      <c r="U1195" s="0" t="n">
        <f aca="false">F1195*F1195</f>
        <v>0.0625</v>
      </c>
      <c r="V1195" s="0" t="n">
        <f aca="false">G1195*G1195</f>
        <v>0.25</v>
      </c>
      <c r="W1195" s="0" t="n">
        <f aca="false">H1195*H1195</f>
        <v>0.25</v>
      </c>
      <c r="X1195" s="0" t="n">
        <f aca="false">SUMPRODUCT(I1195:W1195,_XtX!$B$96:$P$96)</f>
        <v>45.4094024122807</v>
      </c>
      <c r="Y1195" s="0" t="n">
        <f aca="false">SUMPRODUCT(MMULT(I1195:W1195,_XtX!$B$78:$P$92),I1195:W1195)</f>
        <v>0.203746059484649</v>
      </c>
      <c r="Z1195" s="0" t="n">
        <f aca="false">04_回帰ANOVA!$K$19*04_回帰ANOVA!$K$14*SQRT(1+Y1195)</f>
        <v>1.43009810755465</v>
      </c>
      <c r="AA1195" s="0" t="n">
        <f aca="false">X1195-Z1195</f>
        <v>43.9793043047261</v>
      </c>
      <c r="AB1195" s="0" t="n">
        <f aca="false">X1195+Z1195</f>
        <v>46.8395005198354</v>
      </c>
      <c r="AC1195" s="54" t="b">
        <f aca="false">AND(E1195&gt;=01_因子設定!$L$5-0.000000001,E1195&lt;=01_因子設定!$M$5+0.000000001,F1195&gt;=01_因子設定!$L$6-0.000000001,F1195&lt;=01_因子設定!$M$6+0.000000001,G1195&gt;=01_因子設定!$L$7-0.000000001,G1195&lt;=01_因子設定!$M$7+0.000000001,H1195&gt;=01_因子設定!$L$8-0.000000001,H1195&lt;=01_因子設定!$M$8+0.000000001,IF(01_因子設定!$B$20="Box-Behnken",E1195^2+F1195^2+G1195^2+H1195^2&lt;=2+0.000000001,TRUE()))</f>
        <v>1</v>
      </c>
      <c r="AD1195" s="55" t="n">
        <f aca="false">IF(AC1195,IF(01_因子設定!$B$13="最大化",AA1195-01_因子設定!$B$14,IF(01_因子設定!$B$13="最小化",01_因子設定!$B$15-AB1195,MIN(AA1195-01_因子設定!$B$14,01_因子設定!$B$15-AB1195))),-1E+030)</f>
        <v>-2.52069569527395</v>
      </c>
      <c r="AE1195" s="55" t="n">
        <f aca="false">IF(AC1195,IF(01_因子設定!$B$13="最大化",X1195,IF(01_因子設定!$B$13="最小化",-X1195,-ABS(X1195-01_因子設定!$B$16))),-1E+030)</f>
        <v>45.4094024122807</v>
      </c>
      <c r="AF1195" s="55" t="n">
        <f aca="false">AD1195+ROW()*0.000000001</f>
        <v>-2.52069450027395</v>
      </c>
      <c r="AG1195" s="55" t="n">
        <f aca="false">AE1195+ROW()*0.000000001</f>
        <v>45.4094036072807</v>
      </c>
    </row>
    <row r="1196" customFormat="false" ht="15" hidden="false" customHeight="false" outlineLevel="0" collapsed="false">
      <c r="A1196" s="0" t="n">
        <v>1</v>
      </c>
      <c r="B1196" s="0" t="n">
        <v>5</v>
      </c>
      <c r="C1196" s="0" t="n">
        <v>6</v>
      </c>
      <c r="D1196" s="0" t="n">
        <v>3</v>
      </c>
      <c r="E1196" s="0" t="n">
        <f aca="false">-1+A1196*0.25</f>
        <v>-0.75</v>
      </c>
      <c r="F1196" s="0" t="n">
        <f aca="false">-1+B1196*0.25</f>
        <v>0.25</v>
      </c>
      <c r="G1196" s="0" t="n">
        <f aca="false">-1+C1196*0.25</f>
        <v>0.5</v>
      </c>
      <c r="H1196" s="0" t="n">
        <f aca="false">-1+D1196*0.25</f>
        <v>-0.25</v>
      </c>
      <c r="I1196" s="0" t="n">
        <f aca="false">1</f>
        <v>1</v>
      </c>
      <c r="J1196" s="0" t="n">
        <f aca="false">E1196</f>
        <v>-0.75</v>
      </c>
      <c r="K1196" s="0" t="n">
        <f aca="false">F1196</f>
        <v>0.25</v>
      </c>
      <c r="L1196" s="0" t="n">
        <f aca="false">G1196</f>
        <v>0.5</v>
      </c>
      <c r="M1196" s="0" t="n">
        <f aca="false">H1196</f>
        <v>-0.25</v>
      </c>
      <c r="N1196" s="0" t="n">
        <f aca="false">E1196*F1196</f>
        <v>-0.1875</v>
      </c>
      <c r="O1196" s="0" t="n">
        <f aca="false">E1196*G1196</f>
        <v>-0.375</v>
      </c>
      <c r="P1196" s="0" t="n">
        <f aca="false">E1196*H1196</f>
        <v>0.1875</v>
      </c>
      <c r="Q1196" s="0" t="n">
        <f aca="false">F1196*G1196</f>
        <v>0.125</v>
      </c>
      <c r="R1196" s="0" t="n">
        <f aca="false">F1196*H1196</f>
        <v>-0.0625</v>
      </c>
      <c r="S1196" s="0" t="n">
        <f aca="false">G1196*H1196</f>
        <v>-0.125</v>
      </c>
      <c r="T1196" s="0" t="n">
        <f aca="false">E1196*E1196</f>
        <v>0.5625</v>
      </c>
      <c r="U1196" s="0" t="n">
        <f aca="false">F1196*F1196</f>
        <v>0.0625</v>
      </c>
      <c r="V1196" s="0" t="n">
        <f aca="false">G1196*G1196</f>
        <v>0.25</v>
      </c>
      <c r="W1196" s="0" t="n">
        <f aca="false">H1196*H1196</f>
        <v>0.0625</v>
      </c>
      <c r="X1196" s="0" t="n">
        <f aca="false">SUMPRODUCT(I1196:W1196,_XtX!$B$96:$P$96)</f>
        <v>45.5817205774854</v>
      </c>
      <c r="Y1196" s="0" t="n">
        <f aca="false">SUMPRODUCT(MMULT(I1196:W1196,_XtX!$B$78:$P$92),I1196:W1196)</f>
        <v>0.207746539199561</v>
      </c>
      <c r="Z1196" s="0" t="n">
        <f aca="false">04_回帰ANOVA!$K$19*04_回帰ANOVA!$K$14*SQRT(1+Y1196)</f>
        <v>1.43247250081141</v>
      </c>
      <c r="AA1196" s="0" t="n">
        <f aca="false">X1196-Z1196</f>
        <v>44.149248076674</v>
      </c>
      <c r="AB1196" s="0" t="n">
        <f aca="false">X1196+Z1196</f>
        <v>47.0141930782968</v>
      </c>
      <c r="AC1196" s="54" t="b">
        <f aca="false">AND(E1196&gt;=01_因子設定!$L$5-0.000000001,E1196&lt;=01_因子設定!$M$5+0.000000001,F1196&gt;=01_因子設定!$L$6-0.000000001,F1196&lt;=01_因子設定!$M$6+0.000000001,G1196&gt;=01_因子設定!$L$7-0.000000001,G1196&lt;=01_因子設定!$M$7+0.000000001,H1196&gt;=01_因子設定!$L$8-0.000000001,H1196&lt;=01_因子設定!$M$8+0.000000001,IF(01_因子設定!$B$20="Box-Behnken",E1196^2+F1196^2+G1196^2+H1196^2&lt;=2+0.000000001,TRUE()))</f>
        <v>1</v>
      </c>
      <c r="AD1196" s="55" t="n">
        <f aca="false">IF(AC1196,IF(01_因子設定!$B$13="最大化",AA1196-01_因子設定!$B$14,IF(01_因子設定!$B$13="最小化",01_因子設定!$B$15-AB1196,MIN(AA1196-01_因子設定!$B$14,01_因子設定!$B$15-AB1196))),-1E+030)</f>
        <v>-2.35075192332604</v>
      </c>
      <c r="AE1196" s="55" t="n">
        <f aca="false">IF(AC1196,IF(01_因子設定!$B$13="最大化",X1196,IF(01_因子設定!$B$13="最小化",-X1196,-ABS(X1196-01_因子設定!$B$16))),-1E+030)</f>
        <v>45.5817205774854</v>
      </c>
      <c r="AF1196" s="55" t="n">
        <f aca="false">AD1196+ROW()*0.000000001</f>
        <v>-2.35075072732604</v>
      </c>
      <c r="AG1196" s="55" t="n">
        <f aca="false">AE1196+ROW()*0.000000001</f>
        <v>45.5817217734854</v>
      </c>
    </row>
    <row r="1197" customFormat="false" ht="15" hidden="false" customHeight="false" outlineLevel="0" collapsed="false">
      <c r="A1197" s="0" t="n">
        <v>1</v>
      </c>
      <c r="B1197" s="0" t="n">
        <v>5</v>
      </c>
      <c r="C1197" s="0" t="n">
        <v>6</v>
      </c>
      <c r="D1197" s="0" t="n">
        <v>4</v>
      </c>
      <c r="E1197" s="0" t="n">
        <f aca="false">-1+A1197*0.25</f>
        <v>-0.75</v>
      </c>
      <c r="F1197" s="0" t="n">
        <f aca="false">-1+B1197*0.25</f>
        <v>0.25</v>
      </c>
      <c r="G1197" s="0" t="n">
        <f aca="false">-1+C1197*0.25</f>
        <v>0.5</v>
      </c>
      <c r="H1197" s="0" t="n">
        <f aca="false">-1+D1197*0.25</f>
        <v>0</v>
      </c>
      <c r="I1197" s="0" t="n">
        <f aca="false">1</f>
        <v>1</v>
      </c>
      <c r="J1197" s="0" t="n">
        <f aca="false">E1197</f>
        <v>-0.75</v>
      </c>
      <c r="K1197" s="0" t="n">
        <f aca="false">F1197</f>
        <v>0.25</v>
      </c>
      <c r="L1197" s="0" t="n">
        <f aca="false">G1197</f>
        <v>0.5</v>
      </c>
      <c r="M1197" s="0" t="n">
        <f aca="false">H1197</f>
        <v>0</v>
      </c>
      <c r="N1197" s="0" t="n">
        <f aca="false">E1197*F1197</f>
        <v>-0.1875</v>
      </c>
      <c r="O1197" s="0" t="n">
        <f aca="false">E1197*G1197</f>
        <v>-0.375</v>
      </c>
      <c r="P1197" s="0" t="n">
        <f aca="false">E1197*H1197</f>
        <v>-0</v>
      </c>
      <c r="Q1197" s="0" t="n">
        <f aca="false">F1197*G1197</f>
        <v>0.125</v>
      </c>
      <c r="R1197" s="0" t="n">
        <f aca="false">F1197*H1197</f>
        <v>0</v>
      </c>
      <c r="S1197" s="0" t="n">
        <f aca="false">G1197*H1197</f>
        <v>0</v>
      </c>
      <c r="T1197" s="0" t="n">
        <f aca="false">E1197*E1197</f>
        <v>0.5625</v>
      </c>
      <c r="U1197" s="0" t="n">
        <f aca="false">F1197*F1197</f>
        <v>0.0625</v>
      </c>
      <c r="V1197" s="0" t="n">
        <f aca="false">G1197*G1197</f>
        <v>0.25</v>
      </c>
      <c r="W1197" s="0" t="n">
        <f aca="false">H1197*H1197</f>
        <v>0</v>
      </c>
      <c r="X1197" s="0" t="n">
        <f aca="false">SUMPRODUCT(I1197:W1197,_XtX!$B$96:$P$96)</f>
        <v>45.7062317251462</v>
      </c>
      <c r="Y1197" s="0" t="n">
        <f aca="false">SUMPRODUCT(MMULT(I1197:W1197,_XtX!$B$78:$P$92),I1197:W1197)</f>
        <v>0.215110734192252</v>
      </c>
      <c r="Z1197" s="0" t="n">
        <f aca="false">04_回帰ANOVA!$K$19*04_回帰ANOVA!$K$14*SQRT(1+Y1197)</f>
        <v>1.43683309086864</v>
      </c>
      <c r="AA1197" s="0" t="n">
        <f aca="false">X1197-Z1197</f>
        <v>44.2693986342775</v>
      </c>
      <c r="AB1197" s="0" t="n">
        <f aca="false">X1197+Z1197</f>
        <v>47.1430648160148</v>
      </c>
      <c r="AC1197" s="54" t="b">
        <f aca="false">AND(E1197&gt;=01_因子設定!$L$5-0.000000001,E1197&lt;=01_因子設定!$M$5+0.000000001,F1197&gt;=01_因子設定!$L$6-0.000000001,F1197&lt;=01_因子設定!$M$6+0.000000001,G1197&gt;=01_因子設定!$L$7-0.000000001,G1197&lt;=01_因子設定!$M$7+0.000000001,H1197&gt;=01_因子設定!$L$8-0.000000001,H1197&lt;=01_因子設定!$M$8+0.000000001,IF(01_因子設定!$B$20="Box-Behnken",E1197^2+F1197^2+G1197^2+H1197^2&lt;=2+0.000000001,TRUE()))</f>
        <v>1</v>
      </c>
      <c r="AD1197" s="55" t="n">
        <f aca="false">IF(AC1197,IF(01_因子設定!$B$13="最大化",AA1197-01_因子設定!$B$14,IF(01_因子設定!$B$13="最小化",01_因子設定!$B$15-AB1197,MIN(AA1197-01_因子設定!$B$14,01_因子設定!$B$15-AB1197))),-1E+030)</f>
        <v>-2.23060136572246</v>
      </c>
      <c r="AE1197" s="55" t="n">
        <f aca="false">IF(AC1197,IF(01_因子設定!$B$13="最大化",X1197,IF(01_因子設定!$B$13="最小化",-X1197,-ABS(X1197-01_因子設定!$B$16))),-1E+030)</f>
        <v>45.7062317251462</v>
      </c>
      <c r="AF1197" s="55" t="n">
        <f aca="false">AD1197+ROW()*0.000000001</f>
        <v>-2.23060016872246</v>
      </c>
      <c r="AG1197" s="55" t="n">
        <f aca="false">AE1197+ROW()*0.000000001</f>
        <v>45.7062329221462</v>
      </c>
    </row>
    <row r="1198" customFormat="false" ht="15" hidden="false" customHeight="false" outlineLevel="0" collapsed="false">
      <c r="A1198" s="0" t="n">
        <v>1</v>
      </c>
      <c r="B1198" s="0" t="n">
        <v>5</v>
      </c>
      <c r="C1198" s="0" t="n">
        <v>6</v>
      </c>
      <c r="D1198" s="0" t="n">
        <v>5</v>
      </c>
      <c r="E1198" s="0" t="n">
        <f aca="false">-1+A1198*0.25</f>
        <v>-0.75</v>
      </c>
      <c r="F1198" s="0" t="n">
        <f aca="false">-1+B1198*0.25</f>
        <v>0.25</v>
      </c>
      <c r="G1198" s="0" t="n">
        <f aca="false">-1+C1198*0.25</f>
        <v>0.5</v>
      </c>
      <c r="H1198" s="0" t="n">
        <f aca="false">-1+D1198*0.25</f>
        <v>0.25</v>
      </c>
      <c r="I1198" s="0" t="n">
        <f aca="false">1</f>
        <v>1</v>
      </c>
      <c r="J1198" s="0" t="n">
        <f aca="false">E1198</f>
        <v>-0.75</v>
      </c>
      <c r="K1198" s="0" t="n">
        <f aca="false">F1198</f>
        <v>0.25</v>
      </c>
      <c r="L1198" s="0" t="n">
        <f aca="false">G1198</f>
        <v>0.5</v>
      </c>
      <c r="M1198" s="0" t="n">
        <f aca="false">H1198</f>
        <v>0.25</v>
      </c>
      <c r="N1198" s="0" t="n">
        <f aca="false">E1198*F1198</f>
        <v>-0.1875</v>
      </c>
      <c r="O1198" s="0" t="n">
        <f aca="false">E1198*G1198</f>
        <v>-0.375</v>
      </c>
      <c r="P1198" s="0" t="n">
        <f aca="false">E1198*H1198</f>
        <v>-0.1875</v>
      </c>
      <c r="Q1198" s="0" t="n">
        <f aca="false">F1198*G1198</f>
        <v>0.125</v>
      </c>
      <c r="R1198" s="0" t="n">
        <f aca="false">F1198*H1198</f>
        <v>0.0625</v>
      </c>
      <c r="S1198" s="0" t="n">
        <f aca="false">G1198*H1198</f>
        <v>0.125</v>
      </c>
      <c r="T1198" s="0" t="n">
        <f aca="false">E1198*E1198</f>
        <v>0.5625</v>
      </c>
      <c r="U1198" s="0" t="n">
        <f aca="false">F1198*F1198</f>
        <v>0.0625</v>
      </c>
      <c r="V1198" s="0" t="n">
        <f aca="false">G1198*G1198</f>
        <v>0.25</v>
      </c>
      <c r="W1198" s="0" t="n">
        <f aca="false">H1198*H1198</f>
        <v>0.0625</v>
      </c>
      <c r="X1198" s="0" t="n">
        <f aca="false">SUMPRODUCT(I1198:W1198,_XtX!$B$96:$P$96)</f>
        <v>45.7829358552632</v>
      </c>
      <c r="Y1198" s="0" t="n">
        <f aca="false">SUMPRODUCT(MMULT(I1198:W1198,_XtX!$B$78:$P$92),I1198:W1198)</f>
        <v>0.207746539199561</v>
      </c>
      <c r="Z1198" s="0" t="n">
        <f aca="false">04_回帰ANOVA!$K$19*04_回帰ANOVA!$K$14*SQRT(1+Y1198)</f>
        <v>1.43247250081141</v>
      </c>
      <c r="AA1198" s="0" t="n">
        <f aca="false">X1198-Z1198</f>
        <v>44.3504633544517</v>
      </c>
      <c r="AB1198" s="0" t="n">
        <f aca="false">X1198+Z1198</f>
        <v>47.2154083560746</v>
      </c>
      <c r="AC1198" s="54" t="b">
        <f aca="false">AND(E1198&gt;=01_因子設定!$L$5-0.000000001,E1198&lt;=01_因子設定!$M$5+0.000000001,F1198&gt;=01_因子設定!$L$6-0.000000001,F1198&lt;=01_因子設定!$M$6+0.000000001,G1198&gt;=01_因子設定!$L$7-0.000000001,G1198&lt;=01_因子設定!$M$7+0.000000001,H1198&gt;=01_因子設定!$L$8-0.000000001,H1198&lt;=01_因子設定!$M$8+0.000000001,IF(01_因子設定!$B$20="Box-Behnken",E1198^2+F1198^2+G1198^2+H1198^2&lt;=2+0.000000001,TRUE()))</f>
        <v>1</v>
      </c>
      <c r="AD1198" s="55" t="n">
        <f aca="false">IF(AC1198,IF(01_因子設定!$B$13="最大化",AA1198-01_因子設定!$B$14,IF(01_因子設定!$B$13="最小化",01_因子設定!$B$15-AB1198,MIN(AA1198-01_因子設定!$B$14,01_因子設定!$B$15-AB1198))),-1E+030)</f>
        <v>-2.14953664554826</v>
      </c>
      <c r="AE1198" s="55" t="n">
        <f aca="false">IF(AC1198,IF(01_因子設定!$B$13="最大化",X1198,IF(01_因子設定!$B$13="最小化",-X1198,-ABS(X1198-01_因子設定!$B$16))),-1E+030)</f>
        <v>45.7829358552632</v>
      </c>
      <c r="AF1198" s="55" t="n">
        <f aca="false">AD1198+ROW()*0.000000001</f>
        <v>-2.14953544754826</v>
      </c>
      <c r="AG1198" s="55" t="n">
        <f aca="false">AE1198+ROW()*0.000000001</f>
        <v>45.7829370532632</v>
      </c>
    </row>
    <row r="1199" customFormat="false" ht="15" hidden="false" customHeight="false" outlineLevel="0" collapsed="false">
      <c r="A1199" s="0" t="n">
        <v>1</v>
      </c>
      <c r="B1199" s="0" t="n">
        <v>5</v>
      </c>
      <c r="C1199" s="0" t="n">
        <v>6</v>
      </c>
      <c r="D1199" s="0" t="n">
        <v>6</v>
      </c>
      <c r="E1199" s="0" t="n">
        <f aca="false">-1+A1199*0.25</f>
        <v>-0.75</v>
      </c>
      <c r="F1199" s="0" t="n">
        <f aca="false">-1+B1199*0.25</f>
        <v>0.25</v>
      </c>
      <c r="G1199" s="0" t="n">
        <f aca="false">-1+C1199*0.25</f>
        <v>0.5</v>
      </c>
      <c r="H1199" s="0" t="n">
        <f aca="false">-1+D1199*0.25</f>
        <v>0.5</v>
      </c>
      <c r="I1199" s="0" t="n">
        <f aca="false">1</f>
        <v>1</v>
      </c>
      <c r="J1199" s="0" t="n">
        <f aca="false">E1199</f>
        <v>-0.75</v>
      </c>
      <c r="K1199" s="0" t="n">
        <f aca="false">F1199</f>
        <v>0.25</v>
      </c>
      <c r="L1199" s="0" t="n">
        <f aca="false">G1199</f>
        <v>0.5</v>
      </c>
      <c r="M1199" s="0" t="n">
        <f aca="false">H1199</f>
        <v>0.5</v>
      </c>
      <c r="N1199" s="0" t="n">
        <f aca="false">E1199*F1199</f>
        <v>-0.1875</v>
      </c>
      <c r="O1199" s="0" t="n">
        <f aca="false">E1199*G1199</f>
        <v>-0.375</v>
      </c>
      <c r="P1199" s="0" t="n">
        <f aca="false">E1199*H1199</f>
        <v>-0.375</v>
      </c>
      <c r="Q1199" s="0" t="n">
        <f aca="false">F1199*G1199</f>
        <v>0.125</v>
      </c>
      <c r="R1199" s="0" t="n">
        <f aca="false">F1199*H1199</f>
        <v>0.125</v>
      </c>
      <c r="S1199" s="0" t="n">
        <f aca="false">G1199*H1199</f>
        <v>0.25</v>
      </c>
      <c r="T1199" s="0" t="n">
        <f aca="false">E1199*E1199</f>
        <v>0.5625</v>
      </c>
      <c r="U1199" s="0" t="n">
        <f aca="false">F1199*F1199</f>
        <v>0.0625</v>
      </c>
      <c r="V1199" s="0" t="n">
        <f aca="false">G1199*G1199</f>
        <v>0.25</v>
      </c>
      <c r="W1199" s="0" t="n">
        <f aca="false">H1199*H1199</f>
        <v>0.25</v>
      </c>
      <c r="X1199" s="0" t="n">
        <f aca="false">SUMPRODUCT(I1199:W1199,_XtX!$B$96:$P$96)</f>
        <v>45.8118329678363</v>
      </c>
      <c r="Y1199" s="0" t="n">
        <f aca="false">SUMPRODUCT(MMULT(I1199:W1199,_XtX!$B$78:$P$92),I1199:W1199)</f>
        <v>0.203746059484649</v>
      </c>
      <c r="Z1199" s="0" t="n">
        <f aca="false">04_回帰ANOVA!$K$19*04_回帰ANOVA!$K$14*SQRT(1+Y1199)</f>
        <v>1.43009810755465</v>
      </c>
      <c r="AA1199" s="0" t="n">
        <f aca="false">X1199-Z1199</f>
        <v>44.3817348602816</v>
      </c>
      <c r="AB1199" s="0" t="n">
        <f aca="false">X1199+Z1199</f>
        <v>47.2419310753909</v>
      </c>
      <c r="AC1199" s="54" t="b">
        <f aca="false">AND(E1199&gt;=01_因子設定!$L$5-0.000000001,E1199&lt;=01_因子設定!$M$5+0.000000001,F1199&gt;=01_因子設定!$L$6-0.000000001,F1199&lt;=01_因子設定!$M$6+0.000000001,G1199&gt;=01_因子設定!$L$7-0.000000001,G1199&lt;=01_因子設定!$M$7+0.000000001,H1199&gt;=01_因子設定!$L$8-0.000000001,H1199&lt;=01_因子設定!$M$8+0.000000001,IF(01_因子設定!$B$20="Box-Behnken",E1199^2+F1199^2+G1199^2+H1199^2&lt;=2+0.000000001,TRUE()))</f>
        <v>1</v>
      </c>
      <c r="AD1199" s="55" t="n">
        <f aca="false">IF(AC1199,IF(01_因子設定!$B$13="最大化",AA1199-01_因子設定!$B$14,IF(01_因子設定!$B$13="最小化",01_因子設定!$B$15-AB1199,MIN(AA1199-01_因子設定!$B$14,01_因子設定!$B$15-AB1199))),-1E+030)</f>
        <v>-2.1182651397184</v>
      </c>
      <c r="AE1199" s="55" t="n">
        <f aca="false">IF(AC1199,IF(01_因子設定!$B$13="最大化",X1199,IF(01_因子設定!$B$13="最小化",-X1199,-ABS(X1199-01_因子設定!$B$16))),-1E+030)</f>
        <v>45.8118329678363</v>
      </c>
      <c r="AF1199" s="55" t="n">
        <f aca="false">AD1199+ROW()*0.000000001</f>
        <v>-2.1182639407184</v>
      </c>
      <c r="AG1199" s="55" t="n">
        <f aca="false">AE1199+ROW()*0.000000001</f>
        <v>45.8118341668363</v>
      </c>
    </row>
    <row r="1200" customFormat="false" ht="15" hidden="false" customHeight="false" outlineLevel="0" collapsed="false">
      <c r="A1200" s="0" t="n">
        <v>1</v>
      </c>
      <c r="B1200" s="0" t="n">
        <v>5</v>
      </c>
      <c r="C1200" s="0" t="n">
        <v>6</v>
      </c>
      <c r="D1200" s="0" t="n">
        <v>7</v>
      </c>
      <c r="E1200" s="0" t="n">
        <f aca="false">-1+A1200*0.25</f>
        <v>-0.75</v>
      </c>
      <c r="F1200" s="0" t="n">
        <f aca="false">-1+B1200*0.25</f>
        <v>0.25</v>
      </c>
      <c r="G1200" s="0" t="n">
        <f aca="false">-1+C1200*0.25</f>
        <v>0.5</v>
      </c>
      <c r="H1200" s="0" t="n">
        <f aca="false">-1+D1200*0.25</f>
        <v>0.75</v>
      </c>
      <c r="I1200" s="0" t="n">
        <f aca="false">1</f>
        <v>1</v>
      </c>
      <c r="J1200" s="0" t="n">
        <f aca="false">E1200</f>
        <v>-0.75</v>
      </c>
      <c r="K1200" s="0" t="n">
        <f aca="false">F1200</f>
        <v>0.25</v>
      </c>
      <c r="L1200" s="0" t="n">
        <f aca="false">G1200</f>
        <v>0.5</v>
      </c>
      <c r="M1200" s="0" t="n">
        <f aca="false">H1200</f>
        <v>0.75</v>
      </c>
      <c r="N1200" s="0" t="n">
        <f aca="false">E1200*F1200</f>
        <v>-0.1875</v>
      </c>
      <c r="O1200" s="0" t="n">
        <f aca="false">E1200*G1200</f>
        <v>-0.375</v>
      </c>
      <c r="P1200" s="0" t="n">
        <f aca="false">E1200*H1200</f>
        <v>-0.5625</v>
      </c>
      <c r="Q1200" s="0" t="n">
        <f aca="false">F1200*G1200</f>
        <v>0.125</v>
      </c>
      <c r="R1200" s="0" t="n">
        <f aca="false">F1200*H1200</f>
        <v>0.1875</v>
      </c>
      <c r="S1200" s="0" t="n">
        <f aca="false">G1200*H1200</f>
        <v>0.375</v>
      </c>
      <c r="T1200" s="0" t="n">
        <f aca="false">E1200*E1200</f>
        <v>0.5625</v>
      </c>
      <c r="U1200" s="0" t="n">
        <f aca="false">F1200*F1200</f>
        <v>0.0625</v>
      </c>
      <c r="V1200" s="0" t="n">
        <f aca="false">G1200*G1200</f>
        <v>0.25</v>
      </c>
      <c r="W1200" s="0" t="n">
        <f aca="false">H1200*H1200</f>
        <v>0.5625</v>
      </c>
      <c r="X1200" s="0" t="n">
        <f aca="false">SUMPRODUCT(I1200:W1200,_XtX!$B$96:$P$96)</f>
        <v>45.7929230628655</v>
      </c>
      <c r="Y1200" s="0" t="n">
        <f aca="false">SUMPRODUCT(MMULT(I1200:W1200,_XtX!$B$78:$P$92),I1200:W1200)</f>
        <v>0.257385610836988</v>
      </c>
      <c r="Z1200" s="0" t="n">
        <f aca="false">04_回帰ANOVA!$K$19*04_回帰ANOVA!$K$14*SQRT(1+Y1200)</f>
        <v>1.46161380324158</v>
      </c>
      <c r="AA1200" s="0" t="n">
        <f aca="false">X1200-Z1200</f>
        <v>44.3313092596239</v>
      </c>
      <c r="AB1200" s="0" t="n">
        <f aca="false">X1200+Z1200</f>
        <v>47.2545368661071</v>
      </c>
      <c r="AC1200" s="54" t="b">
        <f aca="false">AND(E1200&gt;=01_因子設定!$L$5-0.000000001,E1200&lt;=01_因子設定!$M$5+0.000000001,F1200&gt;=01_因子設定!$L$6-0.000000001,F1200&lt;=01_因子設定!$M$6+0.000000001,G1200&gt;=01_因子設定!$L$7-0.000000001,G1200&lt;=01_因子設定!$M$7+0.000000001,H1200&gt;=01_因子設定!$L$8-0.000000001,H1200&lt;=01_因子設定!$M$8+0.000000001,IF(01_因子設定!$B$20="Box-Behnken",E1200^2+F1200^2+G1200^2+H1200^2&lt;=2+0.000000001,TRUE()))</f>
        <v>1</v>
      </c>
      <c r="AD1200" s="55" t="n">
        <f aca="false">IF(AC1200,IF(01_因子設定!$B$13="最大化",AA1200-01_因子設定!$B$14,IF(01_因子設定!$B$13="最小化",01_因子設定!$B$15-AB1200,MIN(AA1200-01_因子設定!$B$14,01_因子設定!$B$15-AB1200))),-1E+030)</f>
        <v>-2.16869074037608</v>
      </c>
      <c r="AE1200" s="55" t="n">
        <f aca="false">IF(AC1200,IF(01_因子設定!$B$13="最大化",X1200,IF(01_因子設定!$B$13="最小化",-X1200,-ABS(X1200-01_因子設定!$B$16))),-1E+030)</f>
        <v>45.7929230628655</v>
      </c>
      <c r="AF1200" s="55" t="n">
        <f aca="false">AD1200+ROW()*0.000000001</f>
        <v>-2.16868954037608</v>
      </c>
      <c r="AG1200" s="55" t="n">
        <f aca="false">AE1200+ROW()*0.000000001</f>
        <v>45.7929242628655</v>
      </c>
    </row>
    <row r="1201" customFormat="false" ht="15" hidden="false" customHeight="false" outlineLevel="0" collapsed="false">
      <c r="A1201" s="0" t="n">
        <v>1</v>
      </c>
      <c r="B1201" s="0" t="n">
        <v>5</v>
      </c>
      <c r="C1201" s="0" t="n">
        <v>6</v>
      </c>
      <c r="D1201" s="0" t="n">
        <v>8</v>
      </c>
      <c r="E1201" s="0" t="n">
        <f aca="false">-1+A1201*0.25</f>
        <v>-0.75</v>
      </c>
      <c r="F1201" s="0" t="n">
        <f aca="false">-1+B1201*0.25</f>
        <v>0.25</v>
      </c>
      <c r="G1201" s="0" t="n">
        <f aca="false">-1+C1201*0.25</f>
        <v>0.5</v>
      </c>
      <c r="H1201" s="0" t="n">
        <f aca="false">-1+D1201*0.25</f>
        <v>1</v>
      </c>
      <c r="I1201" s="0" t="n">
        <f aca="false">1</f>
        <v>1</v>
      </c>
      <c r="J1201" s="0" t="n">
        <f aca="false">E1201</f>
        <v>-0.75</v>
      </c>
      <c r="K1201" s="0" t="n">
        <f aca="false">F1201</f>
        <v>0.25</v>
      </c>
      <c r="L1201" s="0" t="n">
        <f aca="false">G1201</f>
        <v>0.5</v>
      </c>
      <c r="M1201" s="0" t="n">
        <f aca="false">H1201</f>
        <v>1</v>
      </c>
      <c r="N1201" s="0" t="n">
        <f aca="false">E1201*F1201</f>
        <v>-0.1875</v>
      </c>
      <c r="O1201" s="0" t="n">
        <f aca="false">E1201*G1201</f>
        <v>-0.375</v>
      </c>
      <c r="P1201" s="0" t="n">
        <f aca="false">E1201*H1201</f>
        <v>-0.75</v>
      </c>
      <c r="Q1201" s="0" t="n">
        <f aca="false">F1201*G1201</f>
        <v>0.125</v>
      </c>
      <c r="R1201" s="0" t="n">
        <f aca="false">F1201*H1201</f>
        <v>0.25</v>
      </c>
      <c r="S1201" s="0" t="n">
        <f aca="false">G1201*H1201</f>
        <v>0.5</v>
      </c>
      <c r="T1201" s="0" t="n">
        <f aca="false">E1201*E1201</f>
        <v>0.5625</v>
      </c>
      <c r="U1201" s="0" t="n">
        <f aca="false">F1201*F1201</f>
        <v>0.0625</v>
      </c>
      <c r="V1201" s="0" t="n">
        <f aca="false">G1201*G1201</f>
        <v>0.25</v>
      </c>
      <c r="W1201" s="0" t="n">
        <f aca="false">H1201*H1201</f>
        <v>1</v>
      </c>
      <c r="X1201" s="0" t="n">
        <f aca="false">SUMPRODUCT(I1201:W1201,_XtX!$B$96:$P$96)</f>
        <v>45.7262061403509</v>
      </c>
      <c r="Y1201" s="0" t="n">
        <f aca="false">SUMPRODUCT(MMULT(I1201:W1201,_XtX!$B$78:$P$92),I1201:W1201)</f>
        <v>0.459125719572369</v>
      </c>
      <c r="Z1201" s="0" t="n">
        <f aca="false">04_回帰ANOVA!$K$19*04_回帰ANOVA!$K$14*SQRT(1+Y1201)</f>
        <v>1.57450755575573</v>
      </c>
      <c r="AA1201" s="0" t="n">
        <f aca="false">X1201-Z1201</f>
        <v>44.1516985845952</v>
      </c>
      <c r="AB1201" s="0" t="n">
        <f aca="false">X1201+Z1201</f>
        <v>47.3007136961066</v>
      </c>
      <c r="AC1201" s="54" t="b">
        <f aca="false">AND(E1201&gt;=01_因子設定!$L$5-0.000000001,E1201&lt;=01_因子設定!$M$5+0.000000001,F1201&gt;=01_因子設定!$L$6-0.000000001,F1201&lt;=01_因子設定!$M$6+0.000000001,G1201&gt;=01_因子設定!$L$7-0.000000001,G1201&lt;=01_因子設定!$M$7+0.000000001,H1201&gt;=01_因子設定!$L$8-0.000000001,H1201&lt;=01_因子設定!$M$8+0.000000001,IF(01_因子設定!$B$20="Box-Behnken",E1201^2+F1201^2+G1201^2+H1201^2&lt;=2+0.000000001,TRUE()))</f>
        <v>1</v>
      </c>
      <c r="AD1201" s="55" t="n">
        <f aca="false">IF(AC1201,IF(01_因子設定!$B$13="最大化",AA1201-01_因子設定!$B$14,IF(01_因子設定!$B$13="最小化",01_因子設定!$B$15-AB1201,MIN(AA1201-01_因子設定!$B$14,01_因子設定!$B$15-AB1201))),-1E+030)</f>
        <v>-2.34830141540483</v>
      </c>
      <c r="AE1201" s="55" t="n">
        <f aca="false">IF(AC1201,IF(01_因子設定!$B$13="最大化",X1201,IF(01_因子設定!$B$13="最小化",-X1201,-ABS(X1201-01_因子設定!$B$16))),-1E+030)</f>
        <v>45.7262061403509</v>
      </c>
      <c r="AF1201" s="55" t="n">
        <f aca="false">AD1201+ROW()*0.000000001</f>
        <v>-2.34830021440483</v>
      </c>
      <c r="AG1201" s="55" t="n">
        <f aca="false">AE1201+ROW()*0.000000001</f>
        <v>45.7262073413509</v>
      </c>
    </row>
    <row r="1202" customFormat="false" ht="15" hidden="false" customHeight="false" outlineLevel="0" collapsed="false">
      <c r="A1202" s="0" t="n">
        <v>1</v>
      </c>
      <c r="B1202" s="0" t="n">
        <v>5</v>
      </c>
      <c r="C1202" s="0" t="n">
        <v>7</v>
      </c>
      <c r="D1202" s="0" t="n">
        <v>0</v>
      </c>
      <c r="E1202" s="0" t="n">
        <f aca="false">-1+A1202*0.25</f>
        <v>-0.75</v>
      </c>
      <c r="F1202" s="0" t="n">
        <f aca="false">-1+B1202*0.25</f>
        <v>0.25</v>
      </c>
      <c r="G1202" s="0" t="n">
        <f aca="false">-1+C1202*0.25</f>
        <v>0.75</v>
      </c>
      <c r="H1202" s="0" t="n">
        <f aca="false">-1+D1202*0.25</f>
        <v>-1</v>
      </c>
      <c r="I1202" s="0" t="n">
        <f aca="false">1</f>
        <v>1</v>
      </c>
      <c r="J1202" s="0" t="n">
        <f aca="false">E1202</f>
        <v>-0.75</v>
      </c>
      <c r="K1202" s="0" t="n">
        <f aca="false">F1202</f>
        <v>0.25</v>
      </c>
      <c r="L1202" s="0" t="n">
        <f aca="false">G1202</f>
        <v>0.75</v>
      </c>
      <c r="M1202" s="0" t="n">
        <f aca="false">H1202</f>
        <v>-1</v>
      </c>
      <c r="N1202" s="0" t="n">
        <f aca="false">E1202*F1202</f>
        <v>-0.1875</v>
      </c>
      <c r="O1202" s="0" t="n">
        <f aca="false">E1202*G1202</f>
        <v>-0.5625</v>
      </c>
      <c r="P1202" s="0" t="n">
        <f aca="false">E1202*H1202</f>
        <v>0.75</v>
      </c>
      <c r="Q1202" s="0" t="n">
        <f aca="false">F1202*G1202</f>
        <v>0.1875</v>
      </c>
      <c r="R1202" s="0" t="n">
        <f aca="false">F1202*H1202</f>
        <v>-0.25</v>
      </c>
      <c r="S1202" s="0" t="n">
        <f aca="false">G1202*H1202</f>
        <v>-0.75</v>
      </c>
      <c r="T1202" s="0" t="n">
        <f aca="false">E1202*E1202</f>
        <v>0.5625</v>
      </c>
      <c r="U1202" s="0" t="n">
        <f aca="false">F1202*F1202</f>
        <v>0.0625</v>
      </c>
      <c r="V1202" s="0" t="n">
        <f aca="false">G1202*G1202</f>
        <v>0.5625</v>
      </c>
      <c r="W1202" s="0" t="n">
        <f aca="false">H1202*H1202</f>
        <v>1</v>
      </c>
      <c r="X1202" s="0" t="n">
        <f aca="false">SUMPRODUCT(I1202:W1202,_XtX!$B$96:$P$96)</f>
        <v>45.0234420687135</v>
      </c>
      <c r="Y1202" s="0" t="n">
        <f aca="false">SUMPRODUCT(MMULT(I1202:W1202,_XtX!$B$78:$P$92),I1202:W1202)</f>
        <v>0.473959761056287</v>
      </c>
      <c r="Z1202" s="0" t="n">
        <f aca="false">04_回帰ANOVA!$K$19*04_回帰ANOVA!$K$14*SQRT(1+Y1202)</f>
        <v>1.58249084588329</v>
      </c>
      <c r="AA1202" s="0" t="n">
        <f aca="false">X1202-Z1202</f>
        <v>43.4409512228302</v>
      </c>
      <c r="AB1202" s="0" t="n">
        <f aca="false">X1202+Z1202</f>
        <v>46.6059329145968</v>
      </c>
      <c r="AC1202" s="54" t="b">
        <f aca="false">AND(E1202&gt;=01_因子設定!$L$5-0.000000001,E1202&lt;=01_因子設定!$M$5+0.000000001,F1202&gt;=01_因子設定!$L$6-0.000000001,F1202&lt;=01_因子設定!$M$6+0.000000001,G1202&gt;=01_因子設定!$L$7-0.000000001,G1202&lt;=01_因子設定!$M$7+0.000000001,H1202&gt;=01_因子設定!$L$8-0.000000001,H1202&lt;=01_因子設定!$M$8+0.000000001,IF(01_因子設定!$B$20="Box-Behnken",E1202^2+F1202^2+G1202^2+H1202^2&lt;=2+0.000000001,TRUE()))</f>
        <v>1</v>
      </c>
      <c r="AD1202" s="55" t="n">
        <f aca="false">IF(AC1202,IF(01_因子設定!$B$13="最大化",AA1202-01_因子設定!$B$14,IF(01_因子設定!$B$13="最小化",01_因子設定!$B$15-AB1202,MIN(AA1202-01_因子設定!$B$14,01_因子設定!$B$15-AB1202))),-1E+030)</f>
        <v>-3.05904877716981</v>
      </c>
      <c r="AE1202" s="55" t="n">
        <f aca="false">IF(AC1202,IF(01_因子設定!$B$13="最大化",X1202,IF(01_因子設定!$B$13="最小化",-X1202,-ABS(X1202-01_因子設定!$B$16))),-1E+030)</f>
        <v>45.0234420687135</v>
      </c>
      <c r="AF1202" s="55" t="n">
        <f aca="false">AD1202+ROW()*0.000000001</f>
        <v>-3.05904757516981</v>
      </c>
      <c r="AG1202" s="55" t="n">
        <f aca="false">AE1202+ROW()*0.000000001</f>
        <v>45.0234432707135</v>
      </c>
    </row>
    <row r="1203" customFormat="false" ht="15" hidden="false" customHeight="false" outlineLevel="0" collapsed="false">
      <c r="A1203" s="0" t="n">
        <v>1</v>
      </c>
      <c r="B1203" s="0" t="n">
        <v>5</v>
      </c>
      <c r="C1203" s="0" t="n">
        <v>7</v>
      </c>
      <c r="D1203" s="0" t="n">
        <v>1</v>
      </c>
      <c r="E1203" s="0" t="n">
        <f aca="false">-1+A1203*0.25</f>
        <v>-0.75</v>
      </c>
      <c r="F1203" s="0" t="n">
        <f aca="false">-1+B1203*0.25</f>
        <v>0.25</v>
      </c>
      <c r="G1203" s="0" t="n">
        <f aca="false">-1+C1203*0.25</f>
        <v>0.75</v>
      </c>
      <c r="H1203" s="0" t="n">
        <f aca="false">-1+D1203*0.25</f>
        <v>-0.75</v>
      </c>
      <c r="I1203" s="0" t="n">
        <f aca="false">1</f>
        <v>1</v>
      </c>
      <c r="J1203" s="0" t="n">
        <f aca="false">E1203</f>
        <v>-0.75</v>
      </c>
      <c r="K1203" s="0" t="n">
        <f aca="false">F1203</f>
        <v>0.25</v>
      </c>
      <c r="L1203" s="0" t="n">
        <f aca="false">G1203</f>
        <v>0.75</v>
      </c>
      <c r="M1203" s="0" t="n">
        <f aca="false">H1203</f>
        <v>-0.75</v>
      </c>
      <c r="N1203" s="0" t="n">
        <f aca="false">E1203*F1203</f>
        <v>-0.1875</v>
      </c>
      <c r="O1203" s="0" t="n">
        <f aca="false">E1203*G1203</f>
        <v>-0.5625</v>
      </c>
      <c r="P1203" s="0" t="n">
        <f aca="false">E1203*H1203</f>
        <v>0.5625</v>
      </c>
      <c r="Q1203" s="0" t="n">
        <f aca="false">F1203*G1203</f>
        <v>0.1875</v>
      </c>
      <c r="R1203" s="0" t="n">
        <f aca="false">F1203*H1203</f>
        <v>-0.1875</v>
      </c>
      <c r="S1203" s="0" t="n">
        <f aca="false">G1203*H1203</f>
        <v>-0.5625</v>
      </c>
      <c r="T1203" s="0" t="n">
        <f aca="false">E1203*E1203</f>
        <v>0.5625</v>
      </c>
      <c r="U1203" s="0" t="n">
        <f aca="false">F1203*F1203</f>
        <v>0.0625</v>
      </c>
      <c r="V1203" s="0" t="n">
        <f aca="false">G1203*G1203</f>
        <v>0.5625</v>
      </c>
      <c r="W1203" s="0" t="n">
        <f aca="false">H1203*H1203</f>
        <v>0.5625</v>
      </c>
      <c r="X1203" s="0" t="n">
        <f aca="false">SUMPRODUCT(I1203:W1203,_XtX!$B$96:$P$96)</f>
        <v>45.3093430190059</v>
      </c>
      <c r="Y1203" s="0" t="n">
        <f aca="false">SUMPRODUCT(MMULT(I1203:W1203,_XtX!$B$78:$P$92),I1203:W1203)</f>
        <v>0.294856199744152</v>
      </c>
      <c r="Z1203" s="0" t="n">
        <f aca="false">04_回帰ANOVA!$K$19*04_回帰ANOVA!$K$14*SQRT(1+Y1203)</f>
        <v>1.48323226089013</v>
      </c>
      <c r="AA1203" s="0" t="n">
        <f aca="false">X1203-Z1203</f>
        <v>43.8261107581157</v>
      </c>
      <c r="AB1203" s="0" t="n">
        <f aca="false">X1203+Z1203</f>
        <v>46.792575279896</v>
      </c>
      <c r="AC1203" s="54" t="b">
        <f aca="false">AND(E1203&gt;=01_因子設定!$L$5-0.000000001,E1203&lt;=01_因子設定!$M$5+0.000000001,F1203&gt;=01_因子設定!$L$6-0.000000001,F1203&lt;=01_因子設定!$M$6+0.000000001,G1203&gt;=01_因子設定!$L$7-0.000000001,G1203&lt;=01_因子設定!$M$7+0.000000001,H1203&gt;=01_因子設定!$L$8-0.000000001,H1203&lt;=01_因子設定!$M$8+0.000000001,IF(01_因子設定!$B$20="Box-Behnken",E1203^2+F1203^2+G1203^2+H1203^2&lt;=2+0.000000001,TRUE()))</f>
        <v>1</v>
      </c>
      <c r="AD1203" s="55" t="n">
        <f aca="false">IF(AC1203,IF(01_因子設定!$B$13="最大化",AA1203-01_因子設定!$B$14,IF(01_因子設定!$B$13="最小化",01_因子設定!$B$15-AB1203,MIN(AA1203-01_因子設定!$B$14,01_因子設定!$B$15-AB1203))),-1E+030)</f>
        <v>-2.67388924188428</v>
      </c>
      <c r="AE1203" s="55" t="n">
        <f aca="false">IF(AC1203,IF(01_因子設定!$B$13="最大化",X1203,IF(01_因子設定!$B$13="最小化",-X1203,-ABS(X1203-01_因子設定!$B$16))),-1E+030)</f>
        <v>45.3093430190059</v>
      </c>
      <c r="AF1203" s="55" t="n">
        <f aca="false">AD1203+ROW()*0.000000001</f>
        <v>-2.67388803888428</v>
      </c>
      <c r="AG1203" s="55" t="n">
        <f aca="false">AE1203+ROW()*0.000000001</f>
        <v>45.3093442220059</v>
      </c>
    </row>
    <row r="1204" customFormat="false" ht="15" hidden="false" customHeight="false" outlineLevel="0" collapsed="false">
      <c r="A1204" s="0" t="n">
        <v>1</v>
      </c>
      <c r="B1204" s="0" t="n">
        <v>5</v>
      </c>
      <c r="C1204" s="0" t="n">
        <v>7</v>
      </c>
      <c r="D1204" s="0" t="n">
        <v>2</v>
      </c>
      <c r="E1204" s="0" t="n">
        <f aca="false">-1+A1204*0.25</f>
        <v>-0.75</v>
      </c>
      <c r="F1204" s="0" t="n">
        <f aca="false">-1+B1204*0.25</f>
        <v>0.25</v>
      </c>
      <c r="G1204" s="0" t="n">
        <f aca="false">-1+C1204*0.25</f>
        <v>0.75</v>
      </c>
      <c r="H1204" s="0" t="n">
        <f aca="false">-1+D1204*0.25</f>
        <v>-0.5</v>
      </c>
      <c r="I1204" s="0" t="n">
        <f aca="false">1</f>
        <v>1</v>
      </c>
      <c r="J1204" s="0" t="n">
        <f aca="false">E1204</f>
        <v>-0.75</v>
      </c>
      <c r="K1204" s="0" t="n">
        <f aca="false">F1204</f>
        <v>0.25</v>
      </c>
      <c r="L1204" s="0" t="n">
        <f aca="false">G1204</f>
        <v>0.75</v>
      </c>
      <c r="M1204" s="0" t="n">
        <f aca="false">H1204</f>
        <v>-0.5</v>
      </c>
      <c r="N1204" s="0" t="n">
        <f aca="false">E1204*F1204</f>
        <v>-0.1875</v>
      </c>
      <c r="O1204" s="0" t="n">
        <f aca="false">E1204*G1204</f>
        <v>-0.5625</v>
      </c>
      <c r="P1204" s="0" t="n">
        <f aca="false">E1204*H1204</f>
        <v>0.375</v>
      </c>
      <c r="Q1204" s="0" t="n">
        <f aca="false">F1204*G1204</f>
        <v>0.1875</v>
      </c>
      <c r="R1204" s="0" t="n">
        <f aca="false">F1204*H1204</f>
        <v>-0.125</v>
      </c>
      <c r="S1204" s="0" t="n">
        <f aca="false">G1204*H1204</f>
        <v>-0.375</v>
      </c>
      <c r="T1204" s="0" t="n">
        <f aca="false">E1204*E1204</f>
        <v>0.5625</v>
      </c>
      <c r="U1204" s="0" t="n">
        <f aca="false">F1204*F1204</f>
        <v>0.0625</v>
      </c>
      <c r="V1204" s="0" t="n">
        <f aca="false">G1204*G1204</f>
        <v>0.5625</v>
      </c>
      <c r="W1204" s="0" t="n">
        <f aca="false">H1204*H1204</f>
        <v>0.25</v>
      </c>
      <c r="X1204" s="0" t="n">
        <f aca="false">SUMPRODUCT(I1204:W1204,_XtX!$B$96:$P$96)</f>
        <v>45.5474369517544</v>
      </c>
      <c r="Y1204" s="0" t="n">
        <f aca="false">SUMPRODUCT(MMULT(I1204:W1204,_XtX!$B$78:$P$92),I1204:W1204)</f>
        <v>0.257385610836988</v>
      </c>
      <c r="Z1204" s="0" t="n">
        <f aca="false">04_回帰ANOVA!$K$19*04_回帰ANOVA!$K$14*SQRT(1+Y1204)</f>
        <v>1.46161380324158</v>
      </c>
      <c r="AA1204" s="0" t="n">
        <f aca="false">X1204-Z1204</f>
        <v>44.0858231485128</v>
      </c>
      <c r="AB1204" s="0" t="n">
        <f aca="false">X1204+Z1204</f>
        <v>47.009050754996</v>
      </c>
      <c r="AC1204" s="54" t="b">
        <f aca="false">AND(E1204&gt;=01_因子設定!$L$5-0.000000001,E1204&lt;=01_因子設定!$M$5+0.000000001,F1204&gt;=01_因子設定!$L$6-0.000000001,F1204&lt;=01_因子設定!$M$6+0.000000001,G1204&gt;=01_因子設定!$L$7-0.000000001,G1204&lt;=01_因子設定!$M$7+0.000000001,H1204&gt;=01_因子設定!$L$8-0.000000001,H1204&lt;=01_因子設定!$M$8+0.000000001,IF(01_因子設定!$B$20="Box-Behnken",E1204^2+F1204^2+G1204^2+H1204^2&lt;=2+0.000000001,TRUE()))</f>
        <v>1</v>
      </c>
      <c r="AD1204" s="55" t="n">
        <f aca="false">IF(AC1204,IF(01_因子設定!$B$13="最大化",AA1204-01_因子設定!$B$14,IF(01_因子設定!$B$13="最小化",01_因子設定!$B$15-AB1204,MIN(AA1204-01_因子設定!$B$14,01_因子設定!$B$15-AB1204))),-1E+030)</f>
        <v>-2.4141768514872</v>
      </c>
      <c r="AE1204" s="55" t="n">
        <f aca="false">IF(AC1204,IF(01_因子設定!$B$13="最大化",X1204,IF(01_因子設定!$B$13="最小化",-X1204,-ABS(X1204-01_因子設定!$B$16))),-1E+030)</f>
        <v>45.5474369517544</v>
      </c>
      <c r="AF1204" s="55" t="n">
        <f aca="false">AD1204+ROW()*0.000000001</f>
        <v>-2.4141756474872</v>
      </c>
      <c r="AG1204" s="55" t="n">
        <f aca="false">AE1204+ROW()*0.000000001</f>
        <v>45.5474381557544</v>
      </c>
    </row>
    <row r="1205" customFormat="false" ht="15" hidden="false" customHeight="false" outlineLevel="0" collapsed="false">
      <c r="A1205" s="0" t="n">
        <v>1</v>
      </c>
      <c r="B1205" s="0" t="n">
        <v>5</v>
      </c>
      <c r="C1205" s="0" t="n">
        <v>7</v>
      </c>
      <c r="D1205" s="0" t="n">
        <v>3</v>
      </c>
      <c r="E1205" s="0" t="n">
        <f aca="false">-1+A1205*0.25</f>
        <v>-0.75</v>
      </c>
      <c r="F1205" s="0" t="n">
        <f aca="false">-1+B1205*0.25</f>
        <v>0.25</v>
      </c>
      <c r="G1205" s="0" t="n">
        <f aca="false">-1+C1205*0.25</f>
        <v>0.75</v>
      </c>
      <c r="H1205" s="0" t="n">
        <f aca="false">-1+D1205*0.25</f>
        <v>-0.25</v>
      </c>
      <c r="I1205" s="0" t="n">
        <f aca="false">1</f>
        <v>1</v>
      </c>
      <c r="J1205" s="0" t="n">
        <f aca="false">E1205</f>
        <v>-0.75</v>
      </c>
      <c r="K1205" s="0" t="n">
        <f aca="false">F1205</f>
        <v>0.25</v>
      </c>
      <c r="L1205" s="0" t="n">
        <f aca="false">G1205</f>
        <v>0.75</v>
      </c>
      <c r="M1205" s="0" t="n">
        <f aca="false">H1205</f>
        <v>-0.25</v>
      </c>
      <c r="N1205" s="0" t="n">
        <f aca="false">E1205*F1205</f>
        <v>-0.1875</v>
      </c>
      <c r="O1205" s="0" t="n">
        <f aca="false">E1205*G1205</f>
        <v>-0.5625</v>
      </c>
      <c r="P1205" s="0" t="n">
        <f aca="false">E1205*H1205</f>
        <v>0.1875</v>
      </c>
      <c r="Q1205" s="0" t="n">
        <f aca="false">F1205*G1205</f>
        <v>0.1875</v>
      </c>
      <c r="R1205" s="0" t="n">
        <f aca="false">F1205*H1205</f>
        <v>-0.0625</v>
      </c>
      <c r="S1205" s="0" t="n">
        <f aca="false">G1205*H1205</f>
        <v>-0.1875</v>
      </c>
      <c r="T1205" s="0" t="n">
        <f aca="false">E1205*E1205</f>
        <v>0.5625</v>
      </c>
      <c r="U1205" s="0" t="n">
        <f aca="false">F1205*F1205</f>
        <v>0.0625</v>
      </c>
      <c r="V1205" s="0" t="n">
        <f aca="false">G1205*G1205</f>
        <v>0.5625</v>
      </c>
      <c r="W1205" s="0" t="n">
        <f aca="false">H1205*H1205</f>
        <v>0.0625</v>
      </c>
      <c r="X1205" s="0" t="n">
        <f aca="false">SUMPRODUCT(I1205:W1205,_XtX!$B$96:$P$96)</f>
        <v>45.7377238669591</v>
      </c>
      <c r="Y1205" s="0" t="n">
        <f aca="false">SUMPRODUCT(MMULT(I1205:W1205,_XtX!$B$78:$P$92),I1205:W1205)</f>
        <v>0.271087468019006</v>
      </c>
      <c r="Z1205" s="0" t="n">
        <f aca="false">04_回帰ANOVA!$K$19*04_回帰ANOVA!$K$14*SQRT(1+Y1205)</f>
        <v>1.46955590155034</v>
      </c>
      <c r="AA1205" s="0" t="n">
        <f aca="false">X1205-Z1205</f>
        <v>44.2681679654087</v>
      </c>
      <c r="AB1205" s="0" t="n">
        <f aca="false">X1205+Z1205</f>
        <v>47.2072797685094</v>
      </c>
      <c r="AC1205" s="54" t="b">
        <f aca="false">AND(E1205&gt;=01_因子設定!$L$5-0.000000001,E1205&lt;=01_因子設定!$M$5+0.000000001,F1205&gt;=01_因子設定!$L$6-0.000000001,F1205&lt;=01_因子設定!$M$6+0.000000001,G1205&gt;=01_因子設定!$L$7-0.000000001,G1205&lt;=01_因子設定!$M$7+0.000000001,H1205&gt;=01_因子設定!$L$8-0.000000001,H1205&lt;=01_因子設定!$M$8+0.000000001,IF(01_因子設定!$B$20="Box-Behnken",E1205^2+F1205^2+G1205^2+H1205^2&lt;=2+0.000000001,TRUE()))</f>
        <v>1</v>
      </c>
      <c r="AD1205" s="55" t="n">
        <f aca="false">IF(AC1205,IF(01_因子設定!$B$13="最大化",AA1205-01_因子設定!$B$14,IF(01_因子設定!$B$13="最小化",01_因子設定!$B$15-AB1205,MIN(AA1205-01_因子設定!$B$14,01_因子設定!$B$15-AB1205))),-1E+030)</f>
        <v>-2.23183203459129</v>
      </c>
      <c r="AE1205" s="55" t="n">
        <f aca="false">IF(AC1205,IF(01_因子設定!$B$13="最大化",X1205,IF(01_因子設定!$B$13="最小化",-X1205,-ABS(X1205-01_因子設定!$B$16))),-1E+030)</f>
        <v>45.7377238669591</v>
      </c>
      <c r="AF1205" s="55" t="n">
        <f aca="false">AD1205+ROW()*0.000000001</f>
        <v>-2.23183082959129</v>
      </c>
      <c r="AG1205" s="55" t="n">
        <f aca="false">AE1205+ROW()*0.000000001</f>
        <v>45.7377250719591</v>
      </c>
    </row>
    <row r="1206" customFormat="false" ht="15" hidden="false" customHeight="false" outlineLevel="0" collapsed="false">
      <c r="A1206" s="0" t="n">
        <v>1</v>
      </c>
      <c r="B1206" s="0" t="n">
        <v>5</v>
      </c>
      <c r="C1206" s="0" t="n">
        <v>7</v>
      </c>
      <c r="D1206" s="0" t="n">
        <v>4</v>
      </c>
      <c r="E1206" s="0" t="n">
        <f aca="false">-1+A1206*0.25</f>
        <v>-0.75</v>
      </c>
      <c r="F1206" s="0" t="n">
        <f aca="false">-1+B1206*0.25</f>
        <v>0.25</v>
      </c>
      <c r="G1206" s="0" t="n">
        <f aca="false">-1+C1206*0.25</f>
        <v>0.75</v>
      </c>
      <c r="H1206" s="0" t="n">
        <f aca="false">-1+D1206*0.25</f>
        <v>0</v>
      </c>
      <c r="I1206" s="0" t="n">
        <f aca="false">1</f>
        <v>1</v>
      </c>
      <c r="J1206" s="0" t="n">
        <f aca="false">E1206</f>
        <v>-0.75</v>
      </c>
      <c r="K1206" s="0" t="n">
        <f aca="false">F1206</f>
        <v>0.25</v>
      </c>
      <c r="L1206" s="0" t="n">
        <f aca="false">G1206</f>
        <v>0.75</v>
      </c>
      <c r="M1206" s="0" t="n">
        <f aca="false">H1206</f>
        <v>0</v>
      </c>
      <c r="N1206" s="0" t="n">
        <f aca="false">E1206*F1206</f>
        <v>-0.1875</v>
      </c>
      <c r="O1206" s="0" t="n">
        <f aca="false">E1206*G1206</f>
        <v>-0.5625</v>
      </c>
      <c r="P1206" s="0" t="n">
        <f aca="false">E1206*H1206</f>
        <v>-0</v>
      </c>
      <c r="Q1206" s="0" t="n">
        <f aca="false">F1206*G1206</f>
        <v>0.1875</v>
      </c>
      <c r="R1206" s="0" t="n">
        <f aca="false">F1206*H1206</f>
        <v>0</v>
      </c>
      <c r="S1206" s="0" t="n">
        <f aca="false">G1206*H1206</f>
        <v>0</v>
      </c>
      <c r="T1206" s="0" t="n">
        <f aca="false">E1206*E1206</f>
        <v>0.5625</v>
      </c>
      <c r="U1206" s="0" t="n">
        <f aca="false">F1206*F1206</f>
        <v>0.0625</v>
      </c>
      <c r="V1206" s="0" t="n">
        <f aca="false">G1206*G1206</f>
        <v>0.5625</v>
      </c>
      <c r="W1206" s="0" t="n">
        <f aca="false">H1206*H1206</f>
        <v>0</v>
      </c>
      <c r="X1206" s="0" t="n">
        <f aca="false">SUMPRODUCT(I1206:W1206,_XtX!$B$96:$P$96)</f>
        <v>45.8802037646199</v>
      </c>
      <c r="Y1206" s="0" t="n">
        <f aca="false">SUMPRODUCT(MMULT(I1206:W1206,_XtX!$B$78:$P$92),I1206:W1206)</f>
        <v>0.281685455500731</v>
      </c>
      <c r="Z1206" s="0" t="n">
        <f aca="false">04_回帰ANOVA!$K$19*04_回帰ANOVA!$K$14*SQRT(1+Y1206)</f>
        <v>1.47566956658694</v>
      </c>
      <c r="AA1206" s="0" t="n">
        <f aca="false">X1206-Z1206</f>
        <v>44.4045341980329</v>
      </c>
      <c r="AB1206" s="0" t="n">
        <f aca="false">X1206+Z1206</f>
        <v>47.3558733312068</v>
      </c>
      <c r="AC1206" s="54" t="b">
        <f aca="false">AND(E1206&gt;=01_因子設定!$L$5-0.000000001,E1206&lt;=01_因子設定!$M$5+0.000000001,F1206&gt;=01_因子設定!$L$6-0.000000001,F1206&lt;=01_因子設定!$M$6+0.000000001,G1206&gt;=01_因子設定!$L$7-0.000000001,G1206&lt;=01_因子設定!$M$7+0.000000001,H1206&gt;=01_因子設定!$L$8-0.000000001,H1206&lt;=01_因子設定!$M$8+0.000000001,IF(01_因子設定!$B$20="Box-Behnken",E1206^2+F1206^2+G1206^2+H1206^2&lt;=2+0.000000001,TRUE()))</f>
        <v>1</v>
      </c>
      <c r="AD1206" s="55" t="n">
        <f aca="false">IF(AC1206,IF(01_因子設定!$B$13="最大化",AA1206-01_因子設定!$B$14,IF(01_因子設定!$B$13="最小化",01_因子設定!$B$15-AB1206,MIN(AA1206-01_因子設定!$B$14,01_因子設定!$B$15-AB1206))),-1E+030)</f>
        <v>-2.09546580196707</v>
      </c>
      <c r="AE1206" s="55" t="n">
        <f aca="false">IF(AC1206,IF(01_因子設定!$B$13="最大化",X1206,IF(01_因子設定!$B$13="最小化",-X1206,-ABS(X1206-01_因子設定!$B$16))),-1E+030)</f>
        <v>45.8802037646199</v>
      </c>
      <c r="AF1206" s="55" t="n">
        <f aca="false">AD1206+ROW()*0.000000001</f>
        <v>-2.09546459596707</v>
      </c>
      <c r="AG1206" s="55" t="n">
        <f aca="false">AE1206+ROW()*0.000000001</f>
        <v>45.8802049706199</v>
      </c>
    </row>
    <row r="1207" customFormat="false" ht="15" hidden="false" customHeight="false" outlineLevel="0" collapsed="false">
      <c r="A1207" s="0" t="n">
        <v>1</v>
      </c>
      <c r="B1207" s="0" t="n">
        <v>5</v>
      </c>
      <c r="C1207" s="0" t="n">
        <v>7</v>
      </c>
      <c r="D1207" s="0" t="n">
        <v>5</v>
      </c>
      <c r="E1207" s="0" t="n">
        <f aca="false">-1+A1207*0.25</f>
        <v>-0.75</v>
      </c>
      <c r="F1207" s="0" t="n">
        <f aca="false">-1+B1207*0.25</f>
        <v>0.25</v>
      </c>
      <c r="G1207" s="0" t="n">
        <f aca="false">-1+C1207*0.25</f>
        <v>0.75</v>
      </c>
      <c r="H1207" s="0" t="n">
        <f aca="false">-1+D1207*0.25</f>
        <v>0.25</v>
      </c>
      <c r="I1207" s="0" t="n">
        <f aca="false">1</f>
        <v>1</v>
      </c>
      <c r="J1207" s="0" t="n">
        <f aca="false">E1207</f>
        <v>-0.75</v>
      </c>
      <c r="K1207" s="0" t="n">
        <f aca="false">F1207</f>
        <v>0.25</v>
      </c>
      <c r="L1207" s="0" t="n">
        <f aca="false">G1207</f>
        <v>0.75</v>
      </c>
      <c r="M1207" s="0" t="n">
        <f aca="false">H1207</f>
        <v>0.25</v>
      </c>
      <c r="N1207" s="0" t="n">
        <f aca="false">E1207*F1207</f>
        <v>-0.1875</v>
      </c>
      <c r="O1207" s="0" t="n">
        <f aca="false">E1207*G1207</f>
        <v>-0.5625</v>
      </c>
      <c r="P1207" s="0" t="n">
        <f aca="false">E1207*H1207</f>
        <v>-0.1875</v>
      </c>
      <c r="Q1207" s="0" t="n">
        <f aca="false">F1207*G1207</f>
        <v>0.1875</v>
      </c>
      <c r="R1207" s="0" t="n">
        <f aca="false">F1207*H1207</f>
        <v>0.0625</v>
      </c>
      <c r="S1207" s="0" t="n">
        <f aca="false">G1207*H1207</f>
        <v>0.1875</v>
      </c>
      <c r="T1207" s="0" t="n">
        <f aca="false">E1207*E1207</f>
        <v>0.5625</v>
      </c>
      <c r="U1207" s="0" t="n">
        <f aca="false">F1207*F1207</f>
        <v>0.0625</v>
      </c>
      <c r="V1207" s="0" t="n">
        <f aca="false">G1207*G1207</f>
        <v>0.5625</v>
      </c>
      <c r="W1207" s="0" t="n">
        <f aca="false">H1207*H1207</f>
        <v>0.0625</v>
      </c>
      <c r="X1207" s="0" t="n">
        <f aca="false">SUMPRODUCT(I1207:W1207,_XtX!$B$96:$P$96)</f>
        <v>45.9748766447368</v>
      </c>
      <c r="Y1207" s="0" t="n">
        <f aca="false">SUMPRODUCT(MMULT(I1207:W1207,_XtX!$B$78:$P$92),I1207:W1207)</f>
        <v>0.271087468019006</v>
      </c>
      <c r="Z1207" s="0" t="n">
        <f aca="false">04_回帰ANOVA!$K$19*04_回帰ANOVA!$K$14*SQRT(1+Y1207)</f>
        <v>1.46955590155034</v>
      </c>
      <c r="AA1207" s="0" t="n">
        <f aca="false">X1207-Z1207</f>
        <v>44.5053207431865</v>
      </c>
      <c r="AB1207" s="0" t="n">
        <f aca="false">X1207+Z1207</f>
        <v>47.4444325462872</v>
      </c>
      <c r="AC1207" s="54" t="b">
        <f aca="false">AND(E1207&gt;=01_因子設定!$L$5-0.000000001,E1207&lt;=01_因子設定!$M$5+0.000000001,F1207&gt;=01_因子設定!$L$6-0.000000001,F1207&lt;=01_因子設定!$M$6+0.000000001,G1207&gt;=01_因子設定!$L$7-0.000000001,G1207&lt;=01_因子設定!$M$7+0.000000001,H1207&gt;=01_因子設定!$L$8-0.000000001,H1207&lt;=01_因子設定!$M$8+0.000000001,IF(01_因子設定!$B$20="Box-Behnken",E1207^2+F1207^2+G1207^2+H1207^2&lt;=2+0.000000001,TRUE()))</f>
        <v>1</v>
      </c>
      <c r="AD1207" s="55" t="n">
        <f aca="false">IF(AC1207,IF(01_因子設定!$B$13="最大化",AA1207-01_因子設定!$B$14,IF(01_因子設定!$B$13="最小化",01_因子設定!$B$15-AB1207,MIN(AA1207-01_因子設定!$B$14,01_因子設定!$B$15-AB1207))),-1E+030)</f>
        <v>-1.99467925681351</v>
      </c>
      <c r="AE1207" s="55" t="n">
        <f aca="false">IF(AC1207,IF(01_因子設定!$B$13="最大化",X1207,IF(01_因子設定!$B$13="最小化",-X1207,-ABS(X1207-01_因子設定!$B$16))),-1E+030)</f>
        <v>45.9748766447368</v>
      </c>
      <c r="AF1207" s="55" t="n">
        <f aca="false">AD1207+ROW()*0.000000001</f>
        <v>-1.99467804981351</v>
      </c>
      <c r="AG1207" s="55" t="n">
        <f aca="false">AE1207+ROW()*0.000000001</f>
        <v>45.9748778517368</v>
      </c>
    </row>
    <row r="1208" customFormat="false" ht="15" hidden="false" customHeight="false" outlineLevel="0" collapsed="false">
      <c r="A1208" s="0" t="n">
        <v>1</v>
      </c>
      <c r="B1208" s="0" t="n">
        <v>5</v>
      </c>
      <c r="C1208" s="0" t="n">
        <v>7</v>
      </c>
      <c r="D1208" s="0" t="n">
        <v>6</v>
      </c>
      <c r="E1208" s="0" t="n">
        <f aca="false">-1+A1208*0.25</f>
        <v>-0.75</v>
      </c>
      <c r="F1208" s="0" t="n">
        <f aca="false">-1+B1208*0.25</f>
        <v>0.25</v>
      </c>
      <c r="G1208" s="0" t="n">
        <f aca="false">-1+C1208*0.25</f>
        <v>0.75</v>
      </c>
      <c r="H1208" s="0" t="n">
        <f aca="false">-1+D1208*0.25</f>
        <v>0.5</v>
      </c>
      <c r="I1208" s="0" t="n">
        <f aca="false">1</f>
        <v>1</v>
      </c>
      <c r="J1208" s="0" t="n">
        <f aca="false">E1208</f>
        <v>-0.75</v>
      </c>
      <c r="K1208" s="0" t="n">
        <f aca="false">F1208</f>
        <v>0.25</v>
      </c>
      <c r="L1208" s="0" t="n">
        <f aca="false">G1208</f>
        <v>0.75</v>
      </c>
      <c r="M1208" s="0" t="n">
        <f aca="false">H1208</f>
        <v>0.5</v>
      </c>
      <c r="N1208" s="0" t="n">
        <f aca="false">E1208*F1208</f>
        <v>-0.1875</v>
      </c>
      <c r="O1208" s="0" t="n">
        <f aca="false">E1208*G1208</f>
        <v>-0.5625</v>
      </c>
      <c r="P1208" s="0" t="n">
        <f aca="false">E1208*H1208</f>
        <v>-0.375</v>
      </c>
      <c r="Q1208" s="0" t="n">
        <f aca="false">F1208*G1208</f>
        <v>0.1875</v>
      </c>
      <c r="R1208" s="0" t="n">
        <f aca="false">F1208*H1208</f>
        <v>0.125</v>
      </c>
      <c r="S1208" s="0" t="n">
        <f aca="false">G1208*H1208</f>
        <v>0.375</v>
      </c>
      <c r="T1208" s="0" t="n">
        <f aca="false">E1208*E1208</f>
        <v>0.5625</v>
      </c>
      <c r="U1208" s="0" t="n">
        <f aca="false">F1208*F1208</f>
        <v>0.0625</v>
      </c>
      <c r="V1208" s="0" t="n">
        <f aca="false">G1208*G1208</f>
        <v>0.5625</v>
      </c>
      <c r="W1208" s="0" t="n">
        <f aca="false">H1208*H1208</f>
        <v>0.25</v>
      </c>
      <c r="X1208" s="0" t="n">
        <f aca="false">SUMPRODUCT(I1208:W1208,_XtX!$B$96:$P$96)</f>
        <v>46.0217425073099</v>
      </c>
      <c r="Y1208" s="0" t="n">
        <f aca="false">SUMPRODUCT(MMULT(I1208:W1208,_XtX!$B$78:$P$92),I1208:W1208)</f>
        <v>0.257385610836988</v>
      </c>
      <c r="Z1208" s="0" t="n">
        <f aca="false">04_回帰ANOVA!$K$19*04_回帰ANOVA!$K$14*SQRT(1+Y1208)</f>
        <v>1.46161380324158</v>
      </c>
      <c r="AA1208" s="0" t="n">
        <f aca="false">X1208-Z1208</f>
        <v>44.5601287040684</v>
      </c>
      <c r="AB1208" s="0" t="n">
        <f aca="false">X1208+Z1208</f>
        <v>47.4833563105515</v>
      </c>
      <c r="AC1208" s="54" t="b">
        <f aca="false">AND(E1208&gt;=01_因子設定!$L$5-0.000000001,E1208&lt;=01_因子設定!$M$5+0.000000001,F1208&gt;=01_因子設定!$L$6-0.000000001,F1208&lt;=01_因子設定!$M$6+0.000000001,G1208&gt;=01_因子設定!$L$7-0.000000001,G1208&lt;=01_因子設定!$M$7+0.000000001,H1208&gt;=01_因子設定!$L$8-0.000000001,H1208&lt;=01_因子設定!$M$8+0.000000001,IF(01_因子設定!$B$20="Box-Behnken",E1208^2+F1208^2+G1208^2+H1208^2&lt;=2+0.000000001,TRUE()))</f>
        <v>1</v>
      </c>
      <c r="AD1208" s="55" t="n">
        <f aca="false">IF(AC1208,IF(01_因子設定!$B$13="最大化",AA1208-01_因子設定!$B$14,IF(01_因子設定!$B$13="最小化",01_因子設定!$B$15-AB1208,MIN(AA1208-01_因子設定!$B$14,01_因子設定!$B$15-AB1208))),-1E+030)</f>
        <v>-1.93987129593165</v>
      </c>
      <c r="AE1208" s="55" t="n">
        <f aca="false">IF(AC1208,IF(01_因子設定!$B$13="最大化",X1208,IF(01_因子設定!$B$13="最小化",-X1208,-ABS(X1208-01_因子設定!$B$16))),-1E+030)</f>
        <v>46.0217425073099</v>
      </c>
      <c r="AF1208" s="55" t="n">
        <f aca="false">AD1208+ROW()*0.000000001</f>
        <v>-1.93987008793165</v>
      </c>
      <c r="AG1208" s="55" t="n">
        <f aca="false">AE1208+ROW()*0.000000001</f>
        <v>46.0217437153099</v>
      </c>
    </row>
    <row r="1209" customFormat="false" ht="15" hidden="false" customHeight="false" outlineLevel="0" collapsed="false">
      <c r="A1209" s="0" t="n">
        <v>1</v>
      </c>
      <c r="B1209" s="0" t="n">
        <v>5</v>
      </c>
      <c r="C1209" s="0" t="n">
        <v>7</v>
      </c>
      <c r="D1209" s="0" t="n">
        <v>7</v>
      </c>
      <c r="E1209" s="0" t="n">
        <f aca="false">-1+A1209*0.25</f>
        <v>-0.75</v>
      </c>
      <c r="F1209" s="0" t="n">
        <f aca="false">-1+B1209*0.25</f>
        <v>0.25</v>
      </c>
      <c r="G1209" s="0" t="n">
        <f aca="false">-1+C1209*0.25</f>
        <v>0.75</v>
      </c>
      <c r="H1209" s="0" t="n">
        <f aca="false">-1+D1209*0.25</f>
        <v>0.75</v>
      </c>
      <c r="I1209" s="0" t="n">
        <f aca="false">1</f>
        <v>1</v>
      </c>
      <c r="J1209" s="0" t="n">
        <f aca="false">E1209</f>
        <v>-0.75</v>
      </c>
      <c r="K1209" s="0" t="n">
        <f aca="false">F1209</f>
        <v>0.25</v>
      </c>
      <c r="L1209" s="0" t="n">
        <f aca="false">G1209</f>
        <v>0.75</v>
      </c>
      <c r="M1209" s="0" t="n">
        <f aca="false">H1209</f>
        <v>0.75</v>
      </c>
      <c r="N1209" s="0" t="n">
        <f aca="false">E1209*F1209</f>
        <v>-0.1875</v>
      </c>
      <c r="O1209" s="0" t="n">
        <f aca="false">E1209*G1209</f>
        <v>-0.5625</v>
      </c>
      <c r="P1209" s="0" t="n">
        <f aca="false">E1209*H1209</f>
        <v>-0.5625</v>
      </c>
      <c r="Q1209" s="0" t="n">
        <f aca="false">F1209*G1209</f>
        <v>0.1875</v>
      </c>
      <c r="R1209" s="0" t="n">
        <f aca="false">F1209*H1209</f>
        <v>0.1875</v>
      </c>
      <c r="S1209" s="0" t="n">
        <f aca="false">G1209*H1209</f>
        <v>0.5625</v>
      </c>
      <c r="T1209" s="0" t="n">
        <f aca="false">E1209*E1209</f>
        <v>0.5625</v>
      </c>
      <c r="U1209" s="0" t="n">
        <f aca="false">F1209*F1209</f>
        <v>0.0625</v>
      </c>
      <c r="V1209" s="0" t="n">
        <f aca="false">G1209*G1209</f>
        <v>0.5625</v>
      </c>
      <c r="W1209" s="0" t="n">
        <f aca="false">H1209*H1209</f>
        <v>0.5625</v>
      </c>
      <c r="X1209" s="0" t="n">
        <f aca="false">SUMPRODUCT(I1209:W1209,_XtX!$B$96:$P$96)</f>
        <v>46.0208013523392</v>
      </c>
      <c r="Y1209" s="0" t="n">
        <f aca="false">SUMPRODUCT(MMULT(I1209:W1209,_XtX!$B$78:$P$92),I1209:W1209)</f>
        <v>0.294856199744152</v>
      </c>
      <c r="Z1209" s="0" t="n">
        <f aca="false">04_回帰ANOVA!$K$19*04_回帰ANOVA!$K$14*SQRT(1+Y1209)</f>
        <v>1.48323226089013</v>
      </c>
      <c r="AA1209" s="0" t="n">
        <f aca="false">X1209-Z1209</f>
        <v>44.5375690914491</v>
      </c>
      <c r="AB1209" s="0" t="n">
        <f aca="false">X1209+Z1209</f>
        <v>47.5040336132293</v>
      </c>
      <c r="AC1209" s="54" t="b">
        <f aca="false">AND(E1209&gt;=01_因子設定!$L$5-0.000000001,E1209&lt;=01_因子設定!$M$5+0.000000001,F1209&gt;=01_因子設定!$L$6-0.000000001,F1209&lt;=01_因子設定!$M$6+0.000000001,G1209&gt;=01_因子設定!$L$7-0.000000001,G1209&lt;=01_因子設定!$M$7+0.000000001,H1209&gt;=01_因子設定!$L$8-0.000000001,H1209&lt;=01_因子設定!$M$8+0.000000001,IF(01_因子設定!$B$20="Box-Behnken",E1209^2+F1209^2+G1209^2+H1209^2&lt;=2+0.000000001,TRUE()))</f>
        <v>1</v>
      </c>
      <c r="AD1209" s="55" t="n">
        <f aca="false">IF(AC1209,IF(01_因子設定!$B$13="最大化",AA1209-01_因子設定!$B$14,IF(01_因子設定!$B$13="最小化",01_因子設定!$B$15-AB1209,MIN(AA1209-01_因子設定!$B$14,01_因子設定!$B$15-AB1209))),-1E+030)</f>
        <v>-1.96243090855094</v>
      </c>
      <c r="AE1209" s="55" t="n">
        <f aca="false">IF(AC1209,IF(01_因子設定!$B$13="最大化",X1209,IF(01_因子設定!$B$13="最小化",-X1209,-ABS(X1209-01_因子設定!$B$16))),-1E+030)</f>
        <v>46.0208013523392</v>
      </c>
      <c r="AF1209" s="55" t="n">
        <f aca="false">AD1209+ROW()*0.000000001</f>
        <v>-1.96242969955094</v>
      </c>
      <c r="AG1209" s="55" t="n">
        <f aca="false">AE1209+ROW()*0.000000001</f>
        <v>46.0208025613392</v>
      </c>
    </row>
    <row r="1210" customFormat="false" ht="15" hidden="false" customHeight="false" outlineLevel="0" collapsed="false">
      <c r="A1210" s="0" t="n">
        <v>1</v>
      </c>
      <c r="B1210" s="0" t="n">
        <v>5</v>
      </c>
      <c r="C1210" s="0" t="n">
        <v>7</v>
      </c>
      <c r="D1210" s="0" t="n">
        <v>8</v>
      </c>
      <c r="E1210" s="0" t="n">
        <f aca="false">-1+A1210*0.25</f>
        <v>-0.75</v>
      </c>
      <c r="F1210" s="0" t="n">
        <f aca="false">-1+B1210*0.25</f>
        <v>0.25</v>
      </c>
      <c r="G1210" s="0" t="n">
        <f aca="false">-1+C1210*0.25</f>
        <v>0.75</v>
      </c>
      <c r="H1210" s="0" t="n">
        <f aca="false">-1+D1210*0.25</f>
        <v>1</v>
      </c>
      <c r="I1210" s="0" t="n">
        <f aca="false">1</f>
        <v>1</v>
      </c>
      <c r="J1210" s="0" t="n">
        <f aca="false">E1210</f>
        <v>-0.75</v>
      </c>
      <c r="K1210" s="0" t="n">
        <f aca="false">F1210</f>
        <v>0.25</v>
      </c>
      <c r="L1210" s="0" t="n">
        <f aca="false">G1210</f>
        <v>0.75</v>
      </c>
      <c r="M1210" s="0" t="n">
        <f aca="false">H1210</f>
        <v>1</v>
      </c>
      <c r="N1210" s="0" t="n">
        <f aca="false">E1210*F1210</f>
        <v>-0.1875</v>
      </c>
      <c r="O1210" s="0" t="n">
        <f aca="false">E1210*G1210</f>
        <v>-0.5625</v>
      </c>
      <c r="P1210" s="0" t="n">
        <f aca="false">E1210*H1210</f>
        <v>-0.75</v>
      </c>
      <c r="Q1210" s="0" t="n">
        <f aca="false">F1210*G1210</f>
        <v>0.1875</v>
      </c>
      <c r="R1210" s="0" t="n">
        <f aca="false">F1210*H1210</f>
        <v>0.25</v>
      </c>
      <c r="S1210" s="0" t="n">
        <f aca="false">G1210*H1210</f>
        <v>0.75</v>
      </c>
      <c r="T1210" s="0" t="n">
        <f aca="false">E1210*E1210</f>
        <v>0.5625</v>
      </c>
      <c r="U1210" s="0" t="n">
        <f aca="false">F1210*F1210</f>
        <v>0.0625</v>
      </c>
      <c r="V1210" s="0" t="n">
        <f aca="false">G1210*G1210</f>
        <v>0.5625</v>
      </c>
      <c r="W1210" s="0" t="n">
        <f aca="false">H1210*H1210</f>
        <v>1</v>
      </c>
      <c r="X1210" s="0" t="n">
        <f aca="false">SUMPRODUCT(I1210:W1210,_XtX!$B$96:$P$96)</f>
        <v>45.9720531798246</v>
      </c>
      <c r="Y1210" s="0" t="n">
        <f aca="false">SUMPRODUCT(MMULT(I1210:W1210,_XtX!$B$78:$P$92),I1210:W1210)</f>
        <v>0.473959761056287</v>
      </c>
      <c r="Z1210" s="0" t="n">
        <f aca="false">04_回帰ANOVA!$K$19*04_回帰ANOVA!$K$14*SQRT(1+Y1210)</f>
        <v>1.58249084588329</v>
      </c>
      <c r="AA1210" s="0" t="n">
        <f aca="false">X1210-Z1210</f>
        <v>44.3895623339413</v>
      </c>
      <c r="AB1210" s="0" t="n">
        <f aca="false">X1210+Z1210</f>
        <v>47.5545440257079</v>
      </c>
      <c r="AC1210" s="54" t="b">
        <f aca="false">AND(E1210&gt;=01_因子設定!$L$5-0.000000001,E1210&lt;=01_因子設定!$M$5+0.000000001,F1210&gt;=01_因子設定!$L$6-0.000000001,F1210&lt;=01_因子設定!$M$6+0.000000001,G1210&gt;=01_因子設定!$L$7-0.000000001,G1210&lt;=01_因子設定!$M$7+0.000000001,H1210&gt;=01_因子設定!$L$8-0.000000001,H1210&lt;=01_因子設定!$M$8+0.000000001,IF(01_因子設定!$B$20="Box-Behnken",E1210^2+F1210^2+G1210^2+H1210^2&lt;=2+0.000000001,TRUE()))</f>
        <v>1</v>
      </c>
      <c r="AD1210" s="55" t="n">
        <f aca="false">IF(AC1210,IF(01_因子設定!$B$13="最大化",AA1210-01_因子設定!$B$14,IF(01_因子設定!$B$13="最小化",01_因子設定!$B$15-AB1210,MIN(AA1210-01_因子設定!$B$14,01_因子設定!$B$15-AB1210))),-1E+030)</f>
        <v>-2.1104376660587</v>
      </c>
      <c r="AE1210" s="55" t="n">
        <f aca="false">IF(AC1210,IF(01_因子設定!$B$13="最大化",X1210,IF(01_因子設定!$B$13="最小化",-X1210,-ABS(X1210-01_因子設定!$B$16))),-1E+030)</f>
        <v>45.9720531798246</v>
      </c>
      <c r="AF1210" s="55" t="n">
        <f aca="false">AD1210+ROW()*0.000000001</f>
        <v>-2.1104364560587</v>
      </c>
      <c r="AG1210" s="55" t="n">
        <f aca="false">AE1210+ROW()*0.000000001</f>
        <v>45.9720543898246</v>
      </c>
    </row>
    <row r="1211" customFormat="false" ht="15" hidden="false" customHeight="false" outlineLevel="0" collapsed="false">
      <c r="A1211" s="0" t="n">
        <v>1</v>
      </c>
      <c r="B1211" s="0" t="n">
        <v>5</v>
      </c>
      <c r="C1211" s="0" t="n">
        <v>8</v>
      </c>
      <c r="D1211" s="0" t="n">
        <v>0</v>
      </c>
      <c r="E1211" s="0" t="n">
        <f aca="false">-1+A1211*0.25</f>
        <v>-0.75</v>
      </c>
      <c r="F1211" s="0" t="n">
        <f aca="false">-1+B1211*0.25</f>
        <v>0.25</v>
      </c>
      <c r="G1211" s="0" t="n">
        <f aca="false">-1+C1211*0.25</f>
        <v>1</v>
      </c>
      <c r="H1211" s="0" t="n">
        <f aca="false">-1+D1211*0.25</f>
        <v>-1</v>
      </c>
      <c r="I1211" s="0" t="n">
        <f aca="false">1</f>
        <v>1</v>
      </c>
      <c r="J1211" s="0" t="n">
        <f aca="false">E1211</f>
        <v>-0.75</v>
      </c>
      <c r="K1211" s="0" t="n">
        <f aca="false">F1211</f>
        <v>0.25</v>
      </c>
      <c r="L1211" s="0" t="n">
        <f aca="false">G1211</f>
        <v>1</v>
      </c>
      <c r="M1211" s="0" t="n">
        <f aca="false">H1211</f>
        <v>-1</v>
      </c>
      <c r="N1211" s="0" t="n">
        <f aca="false">E1211*F1211</f>
        <v>-0.1875</v>
      </c>
      <c r="O1211" s="0" t="n">
        <f aca="false">E1211*G1211</f>
        <v>-0.75</v>
      </c>
      <c r="P1211" s="0" t="n">
        <f aca="false">E1211*H1211</f>
        <v>0.75</v>
      </c>
      <c r="Q1211" s="0" t="n">
        <f aca="false">F1211*G1211</f>
        <v>0.25</v>
      </c>
      <c r="R1211" s="0" t="n">
        <f aca="false">F1211*H1211</f>
        <v>-0.25</v>
      </c>
      <c r="S1211" s="0" t="n">
        <f aca="false">G1211*H1211</f>
        <v>-1</v>
      </c>
      <c r="T1211" s="0" t="n">
        <f aca="false">E1211*E1211</f>
        <v>0.5625</v>
      </c>
      <c r="U1211" s="0" t="n">
        <f aca="false">F1211*F1211</f>
        <v>0.0625</v>
      </c>
      <c r="V1211" s="0" t="n">
        <f aca="false">G1211*G1211</f>
        <v>1</v>
      </c>
      <c r="W1211" s="0" t="n">
        <f aca="false">H1211*H1211</f>
        <v>1</v>
      </c>
      <c r="X1211" s="0" t="n">
        <f aca="false">SUMPRODUCT(I1211:W1211,_XtX!$B$96:$P$96)</f>
        <v>45.0402320906433</v>
      </c>
      <c r="Y1211" s="0" t="n">
        <f aca="false">SUMPRODUCT(MMULT(I1211:W1211,_XtX!$B$78:$P$92),I1211:W1211)</f>
        <v>0.621372155975877</v>
      </c>
      <c r="Z1211" s="0" t="n">
        <f aca="false">04_回帰ANOVA!$K$19*04_回帰ANOVA!$K$14*SQRT(1+Y1211)</f>
        <v>1.65973880499872</v>
      </c>
      <c r="AA1211" s="0" t="n">
        <f aca="false">X1211-Z1211</f>
        <v>43.3804932856446</v>
      </c>
      <c r="AB1211" s="0" t="n">
        <f aca="false">X1211+Z1211</f>
        <v>46.699970895642</v>
      </c>
      <c r="AC1211" s="54" t="b">
        <f aca="false">AND(E1211&gt;=01_因子設定!$L$5-0.000000001,E1211&lt;=01_因子設定!$M$5+0.000000001,F1211&gt;=01_因子設定!$L$6-0.000000001,F1211&lt;=01_因子設定!$M$6+0.000000001,G1211&gt;=01_因子設定!$L$7-0.000000001,G1211&lt;=01_因子設定!$M$7+0.000000001,H1211&gt;=01_因子設定!$L$8-0.000000001,H1211&lt;=01_因子設定!$M$8+0.000000001,IF(01_因子設定!$B$20="Box-Behnken",E1211^2+F1211^2+G1211^2+H1211^2&lt;=2+0.000000001,TRUE()))</f>
        <v>1</v>
      </c>
      <c r="AD1211" s="55" t="n">
        <f aca="false">IF(AC1211,IF(01_因子設定!$B$13="最大化",AA1211-01_因子設定!$B$14,IF(01_因子設定!$B$13="最小化",01_因子設定!$B$15-AB1211,MIN(AA1211-01_因子設定!$B$14,01_因子設定!$B$15-AB1211))),-1E+030)</f>
        <v>-3.11950671435541</v>
      </c>
      <c r="AE1211" s="55" t="n">
        <f aca="false">IF(AC1211,IF(01_因子設定!$B$13="最大化",X1211,IF(01_因子設定!$B$13="最小化",-X1211,-ABS(X1211-01_因子設定!$B$16))),-1E+030)</f>
        <v>45.0402320906433</v>
      </c>
      <c r="AF1211" s="55" t="n">
        <f aca="false">AD1211+ROW()*0.000000001</f>
        <v>-3.11950550335541</v>
      </c>
      <c r="AG1211" s="55" t="n">
        <f aca="false">AE1211+ROW()*0.000000001</f>
        <v>45.0402333016433</v>
      </c>
    </row>
    <row r="1212" customFormat="false" ht="15" hidden="false" customHeight="false" outlineLevel="0" collapsed="false">
      <c r="A1212" s="0" t="n">
        <v>1</v>
      </c>
      <c r="B1212" s="0" t="n">
        <v>5</v>
      </c>
      <c r="C1212" s="0" t="n">
        <v>8</v>
      </c>
      <c r="D1212" s="0" t="n">
        <v>1</v>
      </c>
      <c r="E1212" s="0" t="n">
        <f aca="false">-1+A1212*0.25</f>
        <v>-0.75</v>
      </c>
      <c r="F1212" s="0" t="n">
        <f aca="false">-1+B1212*0.25</f>
        <v>0.25</v>
      </c>
      <c r="G1212" s="0" t="n">
        <f aca="false">-1+C1212*0.25</f>
        <v>1</v>
      </c>
      <c r="H1212" s="0" t="n">
        <f aca="false">-1+D1212*0.25</f>
        <v>-0.75</v>
      </c>
      <c r="I1212" s="0" t="n">
        <f aca="false">1</f>
        <v>1</v>
      </c>
      <c r="J1212" s="0" t="n">
        <f aca="false">E1212</f>
        <v>-0.75</v>
      </c>
      <c r="K1212" s="0" t="n">
        <f aca="false">F1212</f>
        <v>0.25</v>
      </c>
      <c r="L1212" s="0" t="n">
        <f aca="false">G1212</f>
        <v>1</v>
      </c>
      <c r="M1212" s="0" t="n">
        <f aca="false">H1212</f>
        <v>-0.75</v>
      </c>
      <c r="N1212" s="0" t="n">
        <f aca="false">E1212*F1212</f>
        <v>-0.1875</v>
      </c>
      <c r="O1212" s="0" t="n">
        <f aca="false">E1212*G1212</f>
        <v>-0.75</v>
      </c>
      <c r="P1212" s="0" t="n">
        <f aca="false">E1212*H1212</f>
        <v>0.5625</v>
      </c>
      <c r="Q1212" s="0" t="n">
        <f aca="false">F1212*G1212</f>
        <v>0.25</v>
      </c>
      <c r="R1212" s="0" t="n">
        <f aca="false">F1212*H1212</f>
        <v>-0.1875</v>
      </c>
      <c r="S1212" s="0" t="n">
        <f aca="false">G1212*H1212</f>
        <v>-0.75</v>
      </c>
      <c r="T1212" s="0" t="n">
        <f aca="false">E1212*E1212</f>
        <v>0.5625</v>
      </c>
      <c r="U1212" s="0" t="n">
        <f aca="false">F1212*F1212</f>
        <v>0.0625</v>
      </c>
      <c r="V1212" s="0" t="n">
        <f aca="false">G1212*G1212</f>
        <v>1</v>
      </c>
      <c r="W1212" s="0" t="n">
        <f aca="false">H1212*H1212</f>
        <v>0.5625</v>
      </c>
      <c r="X1212" s="0" t="n">
        <f aca="false">SUMPRODUCT(I1212:W1212,_XtX!$B$96:$P$96)</f>
        <v>45.3441017909357</v>
      </c>
      <c r="Y1212" s="0" t="n">
        <f aca="false">SUMPRODUCT(MMULT(I1212:W1212,_XtX!$B$78:$P$92),I1212:W1212)</f>
        <v>0.473959761056287</v>
      </c>
      <c r="Z1212" s="0" t="n">
        <f aca="false">04_回帰ANOVA!$K$19*04_回帰ANOVA!$K$14*SQRT(1+Y1212)</f>
        <v>1.58249084588329</v>
      </c>
      <c r="AA1212" s="0" t="n">
        <f aca="false">X1212-Z1212</f>
        <v>43.7616109450524</v>
      </c>
      <c r="AB1212" s="0" t="n">
        <f aca="false">X1212+Z1212</f>
        <v>46.926592636819</v>
      </c>
      <c r="AC1212" s="54" t="b">
        <f aca="false">AND(E1212&gt;=01_因子設定!$L$5-0.000000001,E1212&lt;=01_因子設定!$M$5+0.000000001,F1212&gt;=01_因子設定!$L$6-0.000000001,F1212&lt;=01_因子設定!$M$6+0.000000001,G1212&gt;=01_因子設定!$L$7-0.000000001,G1212&lt;=01_因子設定!$M$7+0.000000001,H1212&gt;=01_因子設定!$L$8-0.000000001,H1212&lt;=01_因子設定!$M$8+0.000000001,IF(01_因子設定!$B$20="Box-Behnken",E1212^2+F1212^2+G1212^2+H1212^2&lt;=2+0.000000001,TRUE()))</f>
        <v>1</v>
      </c>
      <c r="AD1212" s="55" t="n">
        <f aca="false">IF(AC1212,IF(01_因子設定!$B$13="最大化",AA1212-01_因子設定!$B$14,IF(01_因子設定!$B$13="最小化",01_因子設定!$B$15-AB1212,MIN(AA1212-01_因子設定!$B$14,01_因子設定!$B$15-AB1212))),-1E+030)</f>
        <v>-2.7383890549476</v>
      </c>
      <c r="AE1212" s="55" t="n">
        <f aca="false">IF(AC1212,IF(01_因子設定!$B$13="最大化",X1212,IF(01_因子設定!$B$13="最小化",-X1212,-ABS(X1212-01_因子設定!$B$16))),-1E+030)</f>
        <v>45.3441017909357</v>
      </c>
      <c r="AF1212" s="55" t="n">
        <f aca="false">AD1212+ROW()*0.000000001</f>
        <v>-2.7383878429476</v>
      </c>
      <c r="AG1212" s="55" t="n">
        <f aca="false">AE1212+ROW()*0.000000001</f>
        <v>45.3441030029357</v>
      </c>
    </row>
    <row r="1213" customFormat="false" ht="15" hidden="false" customHeight="false" outlineLevel="0" collapsed="false">
      <c r="A1213" s="0" t="n">
        <v>1</v>
      </c>
      <c r="B1213" s="0" t="n">
        <v>5</v>
      </c>
      <c r="C1213" s="0" t="n">
        <v>8</v>
      </c>
      <c r="D1213" s="0" t="n">
        <v>2</v>
      </c>
      <c r="E1213" s="0" t="n">
        <f aca="false">-1+A1213*0.25</f>
        <v>-0.75</v>
      </c>
      <c r="F1213" s="0" t="n">
        <f aca="false">-1+B1213*0.25</f>
        <v>0.25</v>
      </c>
      <c r="G1213" s="0" t="n">
        <f aca="false">-1+C1213*0.25</f>
        <v>1</v>
      </c>
      <c r="H1213" s="0" t="n">
        <f aca="false">-1+D1213*0.25</f>
        <v>-0.5</v>
      </c>
      <c r="I1213" s="0" t="n">
        <f aca="false">1</f>
        <v>1</v>
      </c>
      <c r="J1213" s="0" t="n">
        <f aca="false">E1213</f>
        <v>-0.75</v>
      </c>
      <c r="K1213" s="0" t="n">
        <f aca="false">F1213</f>
        <v>0.25</v>
      </c>
      <c r="L1213" s="0" t="n">
        <f aca="false">G1213</f>
        <v>1</v>
      </c>
      <c r="M1213" s="0" t="n">
        <f aca="false">H1213</f>
        <v>-0.5</v>
      </c>
      <c r="N1213" s="0" t="n">
        <f aca="false">E1213*F1213</f>
        <v>-0.1875</v>
      </c>
      <c r="O1213" s="0" t="n">
        <f aca="false">E1213*G1213</f>
        <v>-0.75</v>
      </c>
      <c r="P1213" s="0" t="n">
        <f aca="false">E1213*H1213</f>
        <v>0.375</v>
      </c>
      <c r="Q1213" s="0" t="n">
        <f aca="false">F1213*G1213</f>
        <v>0.25</v>
      </c>
      <c r="R1213" s="0" t="n">
        <f aca="false">F1213*H1213</f>
        <v>-0.125</v>
      </c>
      <c r="S1213" s="0" t="n">
        <f aca="false">G1213*H1213</f>
        <v>-0.5</v>
      </c>
      <c r="T1213" s="0" t="n">
        <f aca="false">E1213*E1213</f>
        <v>0.5625</v>
      </c>
      <c r="U1213" s="0" t="n">
        <f aca="false">F1213*F1213</f>
        <v>0.0625</v>
      </c>
      <c r="V1213" s="0" t="n">
        <f aca="false">G1213*G1213</f>
        <v>1</v>
      </c>
      <c r="W1213" s="0" t="n">
        <f aca="false">H1213*H1213</f>
        <v>0.25</v>
      </c>
      <c r="X1213" s="0" t="n">
        <f aca="false">SUMPRODUCT(I1213:W1213,_XtX!$B$96:$P$96)</f>
        <v>45.6001644736842</v>
      </c>
      <c r="Y1213" s="0" t="n">
        <f aca="false">SUMPRODUCT(MMULT(I1213:W1213,_XtX!$B$78:$P$92),I1213:W1213)</f>
        <v>0.459125719572369</v>
      </c>
      <c r="Z1213" s="0" t="n">
        <f aca="false">04_回帰ANOVA!$K$19*04_回帰ANOVA!$K$14*SQRT(1+Y1213)</f>
        <v>1.57450755575573</v>
      </c>
      <c r="AA1213" s="0" t="n">
        <f aca="false">X1213-Z1213</f>
        <v>44.0256569179285</v>
      </c>
      <c r="AB1213" s="0" t="n">
        <f aca="false">X1213+Z1213</f>
        <v>47.1746720294399</v>
      </c>
      <c r="AC1213" s="54" t="b">
        <f aca="false">AND(E1213&gt;=01_因子設定!$L$5-0.000000001,E1213&lt;=01_因子設定!$M$5+0.000000001,F1213&gt;=01_因子設定!$L$6-0.000000001,F1213&lt;=01_因子設定!$M$6+0.000000001,G1213&gt;=01_因子設定!$L$7-0.000000001,G1213&lt;=01_因子設定!$M$7+0.000000001,H1213&gt;=01_因子設定!$L$8-0.000000001,H1213&lt;=01_因子設定!$M$8+0.000000001,IF(01_因子設定!$B$20="Box-Behnken",E1213^2+F1213^2+G1213^2+H1213^2&lt;=2+0.000000001,TRUE()))</f>
        <v>1</v>
      </c>
      <c r="AD1213" s="55" t="n">
        <f aca="false">IF(AC1213,IF(01_因子設定!$B$13="最大化",AA1213-01_因子設定!$B$14,IF(01_因子設定!$B$13="最小化",01_因子設定!$B$15-AB1213,MIN(AA1213-01_因子設定!$B$14,01_因子設定!$B$15-AB1213))),-1E+030)</f>
        <v>-2.47434308207152</v>
      </c>
      <c r="AE1213" s="55" t="n">
        <f aca="false">IF(AC1213,IF(01_因子設定!$B$13="最大化",X1213,IF(01_因子設定!$B$13="最小化",-X1213,-ABS(X1213-01_因子設定!$B$16))),-1E+030)</f>
        <v>45.6001644736842</v>
      </c>
      <c r="AF1213" s="55" t="n">
        <f aca="false">AD1213+ROW()*0.000000001</f>
        <v>-2.47434186907152</v>
      </c>
      <c r="AG1213" s="55" t="n">
        <f aca="false">AE1213+ROW()*0.000000001</f>
        <v>45.6001656866842</v>
      </c>
    </row>
    <row r="1214" customFormat="false" ht="15" hidden="false" customHeight="false" outlineLevel="0" collapsed="false">
      <c r="A1214" s="0" t="n">
        <v>1</v>
      </c>
      <c r="B1214" s="0" t="n">
        <v>5</v>
      </c>
      <c r="C1214" s="0" t="n">
        <v>8</v>
      </c>
      <c r="D1214" s="0" t="n">
        <v>3</v>
      </c>
      <c r="E1214" s="0" t="n">
        <f aca="false">-1+A1214*0.25</f>
        <v>-0.75</v>
      </c>
      <c r="F1214" s="0" t="n">
        <f aca="false">-1+B1214*0.25</f>
        <v>0.25</v>
      </c>
      <c r="G1214" s="0" t="n">
        <f aca="false">-1+C1214*0.25</f>
        <v>1</v>
      </c>
      <c r="H1214" s="0" t="n">
        <f aca="false">-1+D1214*0.25</f>
        <v>-0.25</v>
      </c>
      <c r="I1214" s="0" t="n">
        <f aca="false">1</f>
        <v>1</v>
      </c>
      <c r="J1214" s="0" t="n">
        <f aca="false">E1214</f>
        <v>-0.75</v>
      </c>
      <c r="K1214" s="0" t="n">
        <f aca="false">F1214</f>
        <v>0.25</v>
      </c>
      <c r="L1214" s="0" t="n">
        <f aca="false">G1214</f>
        <v>1</v>
      </c>
      <c r="M1214" s="0" t="n">
        <f aca="false">H1214</f>
        <v>-0.25</v>
      </c>
      <c r="N1214" s="0" t="n">
        <f aca="false">E1214*F1214</f>
        <v>-0.1875</v>
      </c>
      <c r="O1214" s="0" t="n">
        <f aca="false">E1214*G1214</f>
        <v>-0.75</v>
      </c>
      <c r="P1214" s="0" t="n">
        <f aca="false">E1214*H1214</f>
        <v>0.1875</v>
      </c>
      <c r="Q1214" s="0" t="n">
        <f aca="false">F1214*G1214</f>
        <v>0.25</v>
      </c>
      <c r="R1214" s="0" t="n">
        <f aca="false">F1214*H1214</f>
        <v>-0.0625</v>
      </c>
      <c r="S1214" s="0" t="n">
        <f aca="false">G1214*H1214</f>
        <v>-0.25</v>
      </c>
      <c r="T1214" s="0" t="n">
        <f aca="false">E1214*E1214</f>
        <v>0.5625</v>
      </c>
      <c r="U1214" s="0" t="n">
        <f aca="false">F1214*F1214</f>
        <v>0.0625</v>
      </c>
      <c r="V1214" s="0" t="n">
        <f aca="false">G1214*G1214</f>
        <v>1</v>
      </c>
      <c r="W1214" s="0" t="n">
        <f aca="false">H1214*H1214</f>
        <v>0.0625</v>
      </c>
      <c r="X1214" s="0" t="n">
        <f aca="false">SUMPRODUCT(I1214:W1214,_XtX!$B$96:$P$96)</f>
        <v>45.8084201388889</v>
      </c>
      <c r="Y1214" s="0" t="n">
        <f aca="false">SUMPRODUCT(MMULT(I1214:W1214,_XtX!$B$78:$P$92),I1214:W1214)</f>
        <v>0.486409505208334</v>
      </c>
      <c r="Z1214" s="0" t="n">
        <f aca="false">04_回帰ANOVA!$K$19*04_回帰ANOVA!$K$14*SQRT(1+Y1214)</f>
        <v>1.58916001665498</v>
      </c>
      <c r="AA1214" s="0" t="n">
        <f aca="false">X1214-Z1214</f>
        <v>44.2192601222339</v>
      </c>
      <c r="AB1214" s="0" t="n">
        <f aca="false">X1214+Z1214</f>
        <v>47.3975801555439</v>
      </c>
      <c r="AC1214" s="54" t="b">
        <f aca="false">AND(E1214&gt;=01_因子設定!$L$5-0.000000001,E1214&lt;=01_因子設定!$M$5+0.000000001,F1214&gt;=01_因子設定!$L$6-0.000000001,F1214&lt;=01_因子設定!$M$6+0.000000001,G1214&gt;=01_因子設定!$L$7-0.000000001,G1214&lt;=01_因子設定!$M$7+0.000000001,H1214&gt;=01_因子設定!$L$8-0.000000001,H1214&lt;=01_因子設定!$M$8+0.000000001,IF(01_因子設定!$B$20="Box-Behnken",E1214^2+F1214^2+G1214^2+H1214^2&lt;=2+0.000000001,TRUE()))</f>
        <v>1</v>
      </c>
      <c r="AD1214" s="55" t="n">
        <f aca="false">IF(AC1214,IF(01_因子設定!$B$13="最大化",AA1214-01_因子設定!$B$14,IF(01_因子設定!$B$13="最小化",01_因子設定!$B$15-AB1214,MIN(AA1214-01_因子設定!$B$14,01_因子設定!$B$15-AB1214))),-1E+030)</f>
        <v>-2.2807398777661</v>
      </c>
      <c r="AE1214" s="55" t="n">
        <f aca="false">IF(AC1214,IF(01_因子設定!$B$13="最大化",X1214,IF(01_因子設定!$B$13="最小化",-X1214,-ABS(X1214-01_因子設定!$B$16))),-1E+030)</f>
        <v>45.8084201388889</v>
      </c>
      <c r="AF1214" s="55" t="n">
        <f aca="false">AD1214+ROW()*0.000000001</f>
        <v>-2.2807386637661</v>
      </c>
      <c r="AG1214" s="55" t="n">
        <f aca="false">AE1214+ROW()*0.000000001</f>
        <v>45.8084213528889</v>
      </c>
    </row>
    <row r="1215" customFormat="false" ht="15" hidden="false" customHeight="false" outlineLevel="0" collapsed="false">
      <c r="A1215" s="0" t="n">
        <v>1</v>
      </c>
      <c r="B1215" s="0" t="n">
        <v>5</v>
      </c>
      <c r="C1215" s="0" t="n">
        <v>8</v>
      </c>
      <c r="D1215" s="0" t="n">
        <v>4</v>
      </c>
      <c r="E1215" s="0" t="n">
        <f aca="false">-1+A1215*0.25</f>
        <v>-0.75</v>
      </c>
      <c r="F1215" s="0" t="n">
        <f aca="false">-1+B1215*0.25</f>
        <v>0.25</v>
      </c>
      <c r="G1215" s="0" t="n">
        <f aca="false">-1+C1215*0.25</f>
        <v>1</v>
      </c>
      <c r="H1215" s="0" t="n">
        <f aca="false">-1+D1215*0.25</f>
        <v>0</v>
      </c>
      <c r="I1215" s="0" t="n">
        <f aca="false">1</f>
        <v>1</v>
      </c>
      <c r="J1215" s="0" t="n">
        <f aca="false">E1215</f>
        <v>-0.75</v>
      </c>
      <c r="K1215" s="0" t="n">
        <f aca="false">F1215</f>
        <v>0.25</v>
      </c>
      <c r="L1215" s="0" t="n">
        <f aca="false">G1215</f>
        <v>1</v>
      </c>
      <c r="M1215" s="0" t="n">
        <f aca="false">H1215</f>
        <v>0</v>
      </c>
      <c r="N1215" s="0" t="n">
        <f aca="false">E1215*F1215</f>
        <v>-0.1875</v>
      </c>
      <c r="O1215" s="0" t="n">
        <f aca="false">E1215*G1215</f>
        <v>-0.75</v>
      </c>
      <c r="P1215" s="0" t="n">
        <f aca="false">E1215*H1215</f>
        <v>-0</v>
      </c>
      <c r="Q1215" s="0" t="n">
        <f aca="false">F1215*G1215</f>
        <v>0.25</v>
      </c>
      <c r="R1215" s="0" t="n">
        <f aca="false">F1215*H1215</f>
        <v>0</v>
      </c>
      <c r="S1215" s="0" t="n">
        <f aca="false">G1215*H1215</f>
        <v>0</v>
      </c>
      <c r="T1215" s="0" t="n">
        <f aca="false">E1215*E1215</f>
        <v>0.5625</v>
      </c>
      <c r="U1215" s="0" t="n">
        <f aca="false">F1215*F1215</f>
        <v>0.0625</v>
      </c>
      <c r="V1215" s="0" t="n">
        <f aca="false">G1215*G1215</f>
        <v>1</v>
      </c>
      <c r="W1215" s="0" t="n">
        <f aca="false">H1215*H1215</f>
        <v>0</v>
      </c>
      <c r="X1215" s="0" t="n">
        <f aca="false">SUMPRODUCT(I1215:W1215,_XtX!$B$96:$P$96)</f>
        <v>45.9688687865497</v>
      </c>
      <c r="Y1215" s="0" t="n">
        <f aca="false">SUMPRODUCT(MMULT(I1215:W1215,_XtX!$B$78:$P$92),I1215:W1215)</f>
        <v>0.501534802174708</v>
      </c>
      <c r="Z1215" s="0" t="n">
        <f aca="false">04_回帰ANOVA!$K$19*04_回帰ANOVA!$K$14*SQRT(1+Y1215)</f>
        <v>1.59722498091333</v>
      </c>
      <c r="AA1215" s="0" t="n">
        <f aca="false">X1215-Z1215</f>
        <v>44.3716438056364</v>
      </c>
      <c r="AB1215" s="0" t="n">
        <f aca="false">X1215+Z1215</f>
        <v>47.566093767463</v>
      </c>
      <c r="AC1215" s="54" t="b">
        <f aca="false">AND(E1215&gt;=01_因子設定!$L$5-0.000000001,E1215&lt;=01_因子設定!$M$5+0.000000001,F1215&gt;=01_因子設定!$L$6-0.000000001,F1215&lt;=01_因子設定!$M$6+0.000000001,G1215&gt;=01_因子設定!$L$7-0.000000001,G1215&lt;=01_因子設定!$M$7+0.000000001,H1215&gt;=01_因子設定!$L$8-0.000000001,H1215&lt;=01_因子設定!$M$8+0.000000001,IF(01_因子設定!$B$20="Box-Behnken",E1215^2+F1215^2+G1215^2+H1215^2&lt;=2+0.000000001,TRUE()))</f>
        <v>1</v>
      </c>
      <c r="AD1215" s="55" t="n">
        <f aca="false">IF(AC1215,IF(01_因子設定!$B$13="最大化",AA1215-01_因子設定!$B$14,IF(01_因子設定!$B$13="最小化",01_因子設定!$B$15-AB1215,MIN(AA1215-01_因子設定!$B$14,01_因子設定!$B$15-AB1215))),-1E+030)</f>
        <v>-2.12835619436363</v>
      </c>
      <c r="AE1215" s="55" t="n">
        <f aca="false">IF(AC1215,IF(01_因子設定!$B$13="最大化",X1215,IF(01_因子設定!$B$13="最小化",-X1215,-ABS(X1215-01_因子設定!$B$16))),-1E+030)</f>
        <v>45.9688687865497</v>
      </c>
      <c r="AF1215" s="55" t="n">
        <f aca="false">AD1215+ROW()*0.000000001</f>
        <v>-2.12835497936363</v>
      </c>
      <c r="AG1215" s="55" t="n">
        <f aca="false">AE1215+ROW()*0.000000001</f>
        <v>45.9688700015497</v>
      </c>
    </row>
    <row r="1216" customFormat="false" ht="15" hidden="false" customHeight="false" outlineLevel="0" collapsed="false">
      <c r="A1216" s="0" t="n">
        <v>1</v>
      </c>
      <c r="B1216" s="0" t="n">
        <v>5</v>
      </c>
      <c r="C1216" s="0" t="n">
        <v>8</v>
      </c>
      <c r="D1216" s="0" t="n">
        <v>5</v>
      </c>
      <c r="E1216" s="0" t="n">
        <f aca="false">-1+A1216*0.25</f>
        <v>-0.75</v>
      </c>
      <c r="F1216" s="0" t="n">
        <f aca="false">-1+B1216*0.25</f>
        <v>0.25</v>
      </c>
      <c r="G1216" s="0" t="n">
        <f aca="false">-1+C1216*0.25</f>
        <v>1</v>
      </c>
      <c r="H1216" s="0" t="n">
        <f aca="false">-1+D1216*0.25</f>
        <v>0.25</v>
      </c>
      <c r="I1216" s="0" t="n">
        <f aca="false">1</f>
        <v>1</v>
      </c>
      <c r="J1216" s="0" t="n">
        <f aca="false">E1216</f>
        <v>-0.75</v>
      </c>
      <c r="K1216" s="0" t="n">
        <f aca="false">F1216</f>
        <v>0.25</v>
      </c>
      <c r="L1216" s="0" t="n">
        <f aca="false">G1216</f>
        <v>1</v>
      </c>
      <c r="M1216" s="0" t="n">
        <f aca="false">H1216</f>
        <v>0.25</v>
      </c>
      <c r="N1216" s="0" t="n">
        <f aca="false">E1216*F1216</f>
        <v>-0.1875</v>
      </c>
      <c r="O1216" s="0" t="n">
        <f aca="false">E1216*G1216</f>
        <v>-0.75</v>
      </c>
      <c r="P1216" s="0" t="n">
        <f aca="false">E1216*H1216</f>
        <v>-0.1875</v>
      </c>
      <c r="Q1216" s="0" t="n">
        <f aca="false">F1216*G1216</f>
        <v>0.25</v>
      </c>
      <c r="R1216" s="0" t="n">
        <f aca="false">F1216*H1216</f>
        <v>0.0625</v>
      </c>
      <c r="S1216" s="0" t="n">
        <f aca="false">G1216*H1216</f>
        <v>0.25</v>
      </c>
      <c r="T1216" s="0" t="n">
        <f aca="false">E1216*E1216</f>
        <v>0.5625</v>
      </c>
      <c r="U1216" s="0" t="n">
        <f aca="false">F1216*F1216</f>
        <v>0.0625</v>
      </c>
      <c r="V1216" s="0" t="n">
        <f aca="false">G1216*G1216</f>
        <v>1</v>
      </c>
      <c r="W1216" s="0" t="n">
        <f aca="false">H1216*H1216</f>
        <v>0.0625</v>
      </c>
      <c r="X1216" s="0" t="n">
        <f aca="false">SUMPRODUCT(I1216:W1216,_XtX!$B$96:$P$96)</f>
        <v>46.0815104166667</v>
      </c>
      <c r="Y1216" s="0" t="n">
        <f aca="false">SUMPRODUCT(MMULT(I1216:W1216,_XtX!$B$78:$P$92),I1216:W1216)</f>
        <v>0.486409505208334</v>
      </c>
      <c r="Z1216" s="0" t="n">
        <f aca="false">04_回帰ANOVA!$K$19*04_回帰ANOVA!$K$14*SQRT(1+Y1216)</f>
        <v>1.58916001665498</v>
      </c>
      <c r="AA1216" s="0" t="n">
        <f aca="false">X1216-Z1216</f>
        <v>44.4923504000117</v>
      </c>
      <c r="AB1216" s="0" t="n">
        <f aca="false">X1216+Z1216</f>
        <v>47.6706704333216</v>
      </c>
      <c r="AC1216" s="54" t="b">
        <f aca="false">AND(E1216&gt;=01_因子設定!$L$5-0.000000001,E1216&lt;=01_因子設定!$M$5+0.000000001,F1216&gt;=01_因子設定!$L$6-0.000000001,F1216&lt;=01_因子設定!$M$6+0.000000001,G1216&gt;=01_因子設定!$L$7-0.000000001,G1216&lt;=01_因子設定!$M$7+0.000000001,H1216&gt;=01_因子設定!$L$8-0.000000001,H1216&lt;=01_因子設定!$M$8+0.000000001,IF(01_因子設定!$B$20="Box-Behnken",E1216^2+F1216^2+G1216^2+H1216^2&lt;=2+0.000000001,TRUE()))</f>
        <v>1</v>
      </c>
      <c r="AD1216" s="55" t="n">
        <f aca="false">IF(AC1216,IF(01_因子設定!$B$13="最大化",AA1216-01_因子設定!$B$14,IF(01_因子設定!$B$13="最小化",01_因子設定!$B$15-AB1216,MIN(AA1216-01_因子設定!$B$14,01_因子設定!$B$15-AB1216))),-1E+030)</f>
        <v>-2.00764959998832</v>
      </c>
      <c r="AE1216" s="55" t="n">
        <f aca="false">IF(AC1216,IF(01_因子設定!$B$13="最大化",X1216,IF(01_因子設定!$B$13="最小化",-X1216,-ABS(X1216-01_因子設定!$B$16))),-1E+030)</f>
        <v>46.0815104166667</v>
      </c>
      <c r="AF1216" s="55" t="n">
        <f aca="false">AD1216+ROW()*0.000000001</f>
        <v>-2.00764838398832</v>
      </c>
      <c r="AG1216" s="55" t="n">
        <f aca="false">AE1216+ROW()*0.000000001</f>
        <v>46.0815116326667</v>
      </c>
    </row>
    <row r="1217" customFormat="false" ht="15" hidden="false" customHeight="false" outlineLevel="0" collapsed="false">
      <c r="A1217" s="0" t="n">
        <v>1</v>
      </c>
      <c r="B1217" s="0" t="n">
        <v>5</v>
      </c>
      <c r="C1217" s="0" t="n">
        <v>8</v>
      </c>
      <c r="D1217" s="0" t="n">
        <v>6</v>
      </c>
      <c r="E1217" s="0" t="n">
        <f aca="false">-1+A1217*0.25</f>
        <v>-0.75</v>
      </c>
      <c r="F1217" s="0" t="n">
        <f aca="false">-1+B1217*0.25</f>
        <v>0.25</v>
      </c>
      <c r="G1217" s="0" t="n">
        <f aca="false">-1+C1217*0.25</f>
        <v>1</v>
      </c>
      <c r="H1217" s="0" t="n">
        <f aca="false">-1+D1217*0.25</f>
        <v>0.5</v>
      </c>
      <c r="I1217" s="0" t="n">
        <f aca="false">1</f>
        <v>1</v>
      </c>
      <c r="J1217" s="0" t="n">
        <f aca="false">E1217</f>
        <v>-0.75</v>
      </c>
      <c r="K1217" s="0" t="n">
        <f aca="false">F1217</f>
        <v>0.25</v>
      </c>
      <c r="L1217" s="0" t="n">
        <f aca="false">G1217</f>
        <v>1</v>
      </c>
      <c r="M1217" s="0" t="n">
        <f aca="false">H1217</f>
        <v>0.5</v>
      </c>
      <c r="N1217" s="0" t="n">
        <f aca="false">E1217*F1217</f>
        <v>-0.1875</v>
      </c>
      <c r="O1217" s="0" t="n">
        <f aca="false">E1217*G1217</f>
        <v>-0.75</v>
      </c>
      <c r="P1217" s="0" t="n">
        <f aca="false">E1217*H1217</f>
        <v>-0.375</v>
      </c>
      <c r="Q1217" s="0" t="n">
        <f aca="false">F1217*G1217</f>
        <v>0.25</v>
      </c>
      <c r="R1217" s="0" t="n">
        <f aca="false">F1217*H1217</f>
        <v>0.125</v>
      </c>
      <c r="S1217" s="0" t="n">
        <f aca="false">G1217*H1217</f>
        <v>0.5</v>
      </c>
      <c r="T1217" s="0" t="n">
        <f aca="false">E1217*E1217</f>
        <v>0.5625</v>
      </c>
      <c r="U1217" s="0" t="n">
        <f aca="false">F1217*F1217</f>
        <v>0.0625</v>
      </c>
      <c r="V1217" s="0" t="n">
        <f aca="false">G1217*G1217</f>
        <v>1</v>
      </c>
      <c r="W1217" s="0" t="n">
        <f aca="false">H1217*H1217</f>
        <v>0.25</v>
      </c>
      <c r="X1217" s="0" t="n">
        <f aca="false">SUMPRODUCT(I1217:W1217,_XtX!$B$96:$P$96)</f>
        <v>46.1463450292398</v>
      </c>
      <c r="Y1217" s="0" t="n">
        <f aca="false">SUMPRODUCT(MMULT(I1217:W1217,_XtX!$B$78:$P$92),I1217:W1217)</f>
        <v>0.459125719572369</v>
      </c>
      <c r="Z1217" s="0" t="n">
        <f aca="false">04_回帰ANOVA!$K$19*04_回帰ANOVA!$K$14*SQRT(1+Y1217)</f>
        <v>1.57450755575573</v>
      </c>
      <c r="AA1217" s="0" t="n">
        <f aca="false">X1217-Z1217</f>
        <v>44.571837473484</v>
      </c>
      <c r="AB1217" s="0" t="n">
        <f aca="false">X1217+Z1217</f>
        <v>47.7208525849955</v>
      </c>
      <c r="AC1217" s="54" t="b">
        <f aca="false">AND(E1217&gt;=01_因子設定!$L$5-0.000000001,E1217&lt;=01_因子設定!$M$5+0.000000001,F1217&gt;=01_因子設定!$L$6-0.000000001,F1217&lt;=01_因子設定!$M$6+0.000000001,G1217&gt;=01_因子設定!$L$7-0.000000001,G1217&lt;=01_因子設定!$M$7+0.000000001,H1217&gt;=01_因子設定!$L$8-0.000000001,H1217&lt;=01_因子設定!$M$8+0.000000001,IF(01_因子設定!$B$20="Box-Behnken",E1217^2+F1217^2+G1217^2+H1217^2&lt;=2+0.000000001,TRUE()))</f>
        <v>1</v>
      </c>
      <c r="AD1217" s="55" t="n">
        <f aca="false">IF(AC1217,IF(01_因子設定!$B$13="最大化",AA1217-01_因子設定!$B$14,IF(01_因子設定!$B$13="最小化",01_因子設定!$B$15-AB1217,MIN(AA1217-01_因子設定!$B$14,01_因子設定!$B$15-AB1217))),-1E+030)</f>
        <v>-1.92816252651596</v>
      </c>
      <c r="AE1217" s="55" t="n">
        <f aca="false">IF(AC1217,IF(01_因子設定!$B$13="最大化",X1217,IF(01_因子設定!$B$13="最小化",-X1217,-ABS(X1217-01_因子設定!$B$16))),-1E+030)</f>
        <v>46.1463450292398</v>
      </c>
      <c r="AF1217" s="55" t="n">
        <f aca="false">AD1217+ROW()*0.000000001</f>
        <v>-1.92816130951596</v>
      </c>
      <c r="AG1217" s="55" t="n">
        <f aca="false">AE1217+ROW()*0.000000001</f>
        <v>46.1463462462398</v>
      </c>
    </row>
    <row r="1218" customFormat="false" ht="15" hidden="false" customHeight="false" outlineLevel="0" collapsed="false">
      <c r="A1218" s="0" t="n">
        <v>1</v>
      </c>
      <c r="B1218" s="0" t="n">
        <v>5</v>
      </c>
      <c r="C1218" s="0" t="n">
        <v>8</v>
      </c>
      <c r="D1218" s="0" t="n">
        <v>7</v>
      </c>
      <c r="E1218" s="0" t="n">
        <f aca="false">-1+A1218*0.25</f>
        <v>-0.75</v>
      </c>
      <c r="F1218" s="0" t="n">
        <f aca="false">-1+B1218*0.25</f>
        <v>0.25</v>
      </c>
      <c r="G1218" s="0" t="n">
        <f aca="false">-1+C1218*0.25</f>
        <v>1</v>
      </c>
      <c r="H1218" s="0" t="n">
        <f aca="false">-1+D1218*0.25</f>
        <v>0.75</v>
      </c>
      <c r="I1218" s="0" t="n">
        <f aca="false">1</f>
        <v>1</v>
      </c>
      <c r="J1218" s="0" t="n">
        <f aca="false">E1218</f>
        <v>-0.75</v>
      </c>
      <c r="K1218" s="0" t="n">
        <f aca="false">F1218</f>
        <v>0.25</v>
      </c>
      <c r="L1218" s="0" t="n">
        <f aca="false">G1218</f>
        <v>1</v>
      </c>
      <c r="M1218" s="0" t="n">
        <f aca="false">H1218</f>
        <v>0.75</v>
      </c>
      <c r="N1218" s="0" t="n">
        <f aca="false">E1218*F1218</f>
        <v>-0.1875</v>
      </c>
      <c r="O1218" s="0" t="n">
        <f aca="false">E1218*G1218</f>
        <v>-0.75</v>
      </c>
      <c r="P1218" s="0" t="n">
        <f aca="false">E1218*H1218</f>
        <v>-0.5625</v>
      </c>
      <c r="Q1218" s="0" t="n">
        <f aca="false">F1218*G1218</f>
        <v>0.25</v>
      </c>
      <c r="R1218" s="0" t="n">
        <f aca="false">F1218*H1218</f>
        <v>0.1875</v>
      </c>
      <c r="S1218" s="0" t="n">
        <f aca="false">G1218*H1218</f>
        <v>0.75</v>
      </c>
      <c r="T1218" s="0" t="n">
        <f aca="false">E1218*E1218</f>
        <v>0.5625</v>
      </c>
      <c r="U1218" s="0" t="n">
        <f aca="false">F1218*F1218</f>
        <v>0.0625</v>
      </c>
      <c r="V1218" s="0" t="n">
        <f aca="false">G1218*G1218</f>
        <v>1</v>
      </c>
      <c r="W1218" s="0" t="n">
        <f aca="false">H1218*H1218</f>
        <v>0.5625</v>
      </c>
      <c r="X1218" s="0" t="n">
        <f aca="false">SUMPRODUCT(I1218:W1218,_XtX!$B$96:$P$96)</f>
        <v>46.163372624269</v>
      </c>
      <c r="Y1218" s="0" t="n">
        <f aca="false">SUMPRODUCT(MMULT(I1218:W1218,_XtX!$B$78:$P$92),I1218:W1218)</f>
        <v>0.473959761056287</v>
      </c>
      <c r="Z1218" s="0" t="n">
        <f aca="false">04_回帰ANOVA!$K$19*04_回帰ANOVA!$K$14*SQRT(1+Y1218)</f>
        <v>1.58249084588329</v>
      </c>
      <c r="AA1218" s="0" t="n">
        <f aca="false">X1218-Z1218</f>
        <v>44.5808817783857</v>
      </c>
      <c r="AB1218" s="0" t="n">
        <f aca="false">X1218+Z1218</f>
        <v>47.7458634701523</v>
      </c>
      <c r="AC1218" s="54" t="b">
        <f aca="false">AND(E1218&gt;=01_因子設定!$L$5-0.000000001,E1218&lt;=01_因子設定!$M$5+0.000000001,F1218&gt;=01_因子設定!$L$6-0.000000001,F1218&lt;=01_因子設定!$M$6+0.000000001,G1218&gt;=01_因子設定!$L$7-0.000000001,G1218&lt;=01_因子設定!$M$7+0.000000001,H1218&gt;=01_因子設定!$L$8-0.000000001,H1218&lt;=01_因子設定!$M$8+0.000000001,IF(01_因子設定!$B$20="Box-Behnken",E1218^2+F1218^2+G1218^2+H1218^2&lt;=2+0.000000001,TRUE()))</f>
        <v>1</v>
      </c>
      <c r="AD1218" s="55" t="n">
        <f aca="false">IF(AC1218,IF(01_因子設定!$B$13="最大化",AA1218-01_因子設定!$B$14,IF(01_因子設定!$B$13="最小化",01_因子設定!$B$15-AB1218,MIN(AA1218-01_因子設定!$B$14,01_因子設定!$B$15-AB1218))),-1E+030)</f>
        <v>-1.91911822161427</v>
      </c>
      <c r="AE1218" s="55" t="n">
        <f aca="false">IF(AC1218,IF(01_因子設定!$B$13="最大化",X1218,IF(01_因子設定!$B$13="最小化",-X1218,-ABS(X1218-01_因子設定!$B$16))),-1E+030)</f>
        <v>46.163372624269</v>
      </c>
      <c r="AF1218" s="55" t="n">
        <f aca="false">AD1218+ROW()*0.000000001</f>
        <v>-1.91911700361427</v>
      </c>
      <c r="AG1218" s="55" t="n">
        <f aca="false">AE1218+ROW()*0.000000001</f>
        <v>46.163373842269</v>
      </c>
    </row>
    <row r="1219" customFormat="false" ht="15" hidden="false" customHeight="false" outlineLevel="0" collapsed="false">
      <c r="A1219" s="0" t="n">
        <v>1</v>
      </c>
      <c r="B1219" s="0" t="n">
        <v>5</v>
      </c>
      <c r="C1219" s="0" t="n">
        <v>8</v>
      </c>
      <c r="D1219" s="0" t="n">
        <v>8</v>
      </c>
      <c r="E1219" s="0" t="n">
        <f aca="false">-1+A1219*0.25</f>
        <v>-0.75</v>
      </c>
      <c r="F1219" s="0" t="n">
        <f aca="false">-1+B1219*0.25</f>
        <v>0.25</v>
      </c>
      <c r="G1219" s="0" t="n">
        <f aca="false">-1+C1219*0.25</f>
        <v>1</v>
      </c>
      <c r="H1219" s="0" t="n">
        <f aca="false">-1+D1219*0.25</f>
        <v>1</v>
      </c>
      <c r="I1219" s="0" t="n">
        <f aca="false">1</f>
        <v>1</v>
      </c>
      <c r="J1219" s="0" t="n">
        <f aca="false">E1219</f>
        <v>-0.75</v>
      </c>
      <c r="K1219" s="0" t="n">
        <f aca="false">F1219</f>
        <v>0.25</v>
      </c>
      <c r="L1219" s="0" t="n">
        <f aca="false">G1219</f>
        <v>1</v>
      </c>
      <c r="M1219" s="0" t="n">
        <f aca="false">H1219</f>
        <v>1</v>
      </c>
      <c r="N1219" s="0" t="n">
        <f aca="false">E1219*F1219</f>
        <v>-0.1875</v>
      </c>
      <c r="O1219" s="0" t="n">
        <f aca="false">E1219*G1219</f>
        <v>-0.75</v>
      </c>
      <c r="P1219" s="0" t="n">
        <f aca="false">E1219*H1219</f>
        <v>-0.75</v>
      </c>
      <c r="Q1219" s="0" t="n">
        <f aca="false">F1219*G1219</f>
        <v>0.25</v>
      </c>
      <c r="R1219" s="0" t="n">
        <f aca="false">F1219*H1219</f>
        <v>0.25</v>
      </c>
      <c r="S1219" s="0" t="n">
        <f aca="false">G1219*H1219</f>
        <v>1</v>
      </c>
      <c r="T1219" s="0" t="n">
        <f aca="false">E1219*E1219</f>
        <v>0.5625</v>
      </c>
      <c r="U1219" s="0" t="n">
        <f aca="false">F1219*F1219</f>
        <v>0.0625</v>
      </c>
      <c r="V1219" s="0" t="n">
        <f aca="false">G1219*G1219</f>
        <v>1</v>
      </c>
      <c r="W1219" s="0" t="n">
        <f aca="false">H1219*H1219</f>
        <v>1</v>
      </c>
      <c r="X1219" s="0" t="n">
        <f aca="false">SUMPRODUCT(I1219:W1219,_XtX!$B$96:$P$96)</f>
        <v>46.1325932017544</v>
      </c>
      <c r="Y1219" s="0" t="n">
        <f aca="false">SUMPRODUCT(MMULT(I1219:W1219,_XtX!$B$78:$P$92),I1219:W1219)</f>
        <v>0.621372155975877</v>
      </c>
      <c r="Z1219" s="0" t="n">
        <f aca="false">04_回帰ANOVA!$K$19*04_回帰ANOVA!$K$14*SQRT(1+Y1219)</f>
        <v>1.65973880499872</v>
      </c>
      <c r="AA1219" s="0" t="n">
        <f aca="false">X1219-Z1219</f>
        <v>44.4728543967557</v>
      </c>
      <c r="AB1219" s="0" t="n">
        <f aca="false">X1219+Z1219</f>
        <v>47.7923320067531</v>
      </c>
      <c r="AC1219" s="54" t="b">
        <f aca="false">AND(E1219&gt;=01_因子設定!$L$5-0.000000001,E1219&lt;=01_因子設定!$M$5+0.000000001,F1219&gt;=01_因子設定!$L$6-0.000000001,F1219&lt;=01_因子設定!$M$6+0.000000001,G1219&gt;=01_因子設定!$L$7-0.000000001,G1219&lt;=01_因子設定!$M$7+0.000000001,H1219&gt;=01_因子設定!$L$8-0.000000001,H1219&lt;=01_因子設定!$M$8+0.000000001,IF(01_因子設定!$B$20="Box-Behnken",E1219^2+F1219^2+G1219^2+H1219^2&lt;=2+0.000000001,TRUE()))</f>
        <v>1</v>
      </c>
      <c r="AD1219" s="55" t="n">
        <f aca="false">IF(AC1219,IF(01_因子設定!$B$13="最大化",AA1219-01_因子設定!$B$14,IF(01_因子設定!$B$13="最小化",01_因子設定!$B$15-AB1219,MIN(AA1219-01_因子設定!$B$14,01_因子設定!$B$15-AB1219))),-1E+030)</f>
        <v>-2.02714560324431</v>
      </c>
      <c r="AE1219" s="55" t="n">
        <f aca="false">IF(AC1219,IF(01_因子設定!$B$13="最大化",X1219,IF(01_因子設定!$B$13="最小化",-X1219,-ABS(X1219-01_因子設定!$B$16))),-1E+030)</f>
        <v>46.1325932017544</v>
      </c>
      <c r="AF1219" s="55" t="n">
        <f aca="false">AD1219+ROW()*0.000000001</f>
        <v>-2.02714438424431</v>
      </c>
      <c r="AG1219" s="55" t="n">
        <f aca="false">AE1219+ROW()*0.000000001</f>
        <v>46.1325944207544</v>
      </c>
    </row>
    <row r="1220" customFormat="false" ht="15" hidden="false" customHeight="false" outlineLevel="0" collapsed="false">
      <c r="A1220" s="0" t="n">
        <v>1</v>
      </c>
      <c r="B1220" s="0" t="n">
        <v>6</v>
      </c>
      <c r="C1220" s="0" t="n">
        <v>0</v>
      </c>
      <c r="D1220" s="0" t="n">
        <v>0</v>
      </c>
      <c r="E1220" s="0" t="n">
        <f aca="false">-1+A1220*0.25</f>
        <v>-0.75</v>
      </c>
      <c r="F1220" s="0" t="n">
        <f aca="false">-1+B1220*0.25</f>
        <v>0.5</v>
      </c>
      <c r="G1220" s="0" t="n">
        <f aca="false">-1+C1220*0.25</f>
        <v>-1</v>
      </c>
      <c r="H1220" s="0" t="n">
        <f aca="false">-1+D1220*0.25</f>
        <v>-1</v>
      </c>
      <c r="I1220" s="0" t="n">
        <f aca="false">1</f>
        <v>1</v>
      </c>
      <c r="J1220" s="0" t="n">
        <f aca="false">E1220</f>
        <v>-0.75</v>
      </c>
      <c r="K1220" s="0" t="n">
        <f aca="false">F1220</f>
        <v>0.5</v>
      </c>
      <c r="L1220" s="0" t="n">
        <f aca="false">G1220</f>
        <v>-1</v>
      </c>
      <c r="M1220" s="0" t="n">
        <f aca="false">H1220</f>
        <v>-1</v>
      </c>
      <c r="N1220" s="0" t="n">
        <f aca="false">E1220*F1220</f>
        <v>-0.375</v>
      </c>
      <c r="O1220" s="0" t="n">
        <f aca="false">E1220*G1220</f>
        <v>0.75</v>
      </c>
      <c r="P1220" s="0" t="n">
        <f aca="false">E1220*H1220</f>
        <v>0.75</v>
      </c>
      <c r="Q1220" s="0" t="n">
        <f aca="false">F1220*G1220</f>
        <v>-0.5</v>
      </c>
      <c r="R1220" s="0" t="n">
        <f aca="false">F1220*H1220</f>
        <v>-0.5</v>
      </c>
      <c r="S1220" s="0" t="n">
        <f aca="false">G1220*H1220</f>
        <v>1</v>
      </c>
      <c r="T1220" s="0" t="n">
        <f aca="false">E1220*E1220</f>
        <v>0.5625</v>
      </c>
      <c r="U1220" s="0" t="n">
        <f aca="false">F1220*F1220</f>
        <v>0.25</v>
      </c>
      <c r="V1220" s="0" t="n">
        <f aca="false">G1220*G1220</f>
        <v>1</v>
      </c>
      <c r="W1220" s="0" t="n">
        <f aca="false">H1220*H1220</f>
        <v>1</v>
      </c>
      <c r="X1220" s="0" t="n">
        <f aca="false">SUMPRODUCT(I1220:W1220,_XtX!$B$96:$P$96)</f>
        <v>42.320778508772</v>
      </c>
      <c r="Y1220" s="0" t="n">
        <f aca="false">SUMPRODUCT(MMULT(I1220:W1220,_XtX!$B$78:$P$92),I1220:W1220)</f>
        <v>0.564984237938597</v>
      </c>
      <c r="Z1220" s="0" t="n">
        <f aca="false">04_回帰ANOVA!$K$19*04_回帰ANOVA!$K$14*SQRT(1+Y1220)</f>
        <v>1.63062229734503</v>
      </c>
      <c r="AA1220" s="0" t="n">
        <f aca="false">X1220-Z1220</f>
        <v>40.6901562114269</v>
      </c>
      <c r="AB1220" s="0" t="n">
        <f aca="false">X1220+Z1220</f>
        <v>43.951400806117</v>
      </c>
      <c r="AC1220" s="54" t="b">
        <f aca="false">AND(E1220&gt;=01_因子設定!$L$5-0.000000001,E1220&lt;=01_因子設定!$M$5+0.000000001,F1220&gt;=01_因子設定!$L$6-0.000000001,F1220&lt;=01_因子設定!$M$6+0.000000001,G1220&gt;=01_因子設定!$L$7-0.000000001,G1220&lt;=01_因子設定!$M$7+0.000000001,H1220&gt;=01_因子設定!$L$8-0.000000001,H1220&lt;=01_因子設定!$M$8+0.000000001,IF(01_因子設定!$B$20="Box-Behnken",E1220^2+F1220^2+G1220^2+H1220^2&lt;=2+0.000000001,TRUE()))</f>
        <v>1</v>
      </c>
      <c r="AD1220" s="55" t="n">
        <f aca="false">IF(AC1220,IF(01_因子設定!$B$13="最大化",AA1220-01_因子設定!$B$14,IF(01_因子設定!$B$13="最小化",01_因子設定!$B$15-AB1220,MIN(AA1220-01_因子設定!$B$14,01_因子設定!$B$15-AB1220))),-1E+030)</f>
        <v>-5.80984378857308</v>
      </c>
      <c r="AE1220" s="55" t="n">
        <f aca="false">IF(AC1220,IF(01_因子設定!$B$13="最大化",X1220,IF(01_因子設定!$B$13="最小化",-X1220,-ABS(X1220-01_因子設定!$B$16))),-1E+030)</f>
        <v>42.320778508772</v>
      </c>
      <c r="AF1220" s="55" t="n">
        <f aca="false">AD1220+ROW()*0.000000001</f>
        <v>-5.80984256857308</v>
      </c>
      <c r="AG1220" s="55" t="n">
        <f aca="false">AE1220+ROW()*0.000000001</f>
        <v>42.320779728772</v>
      </c>
    </row>
    <row r="1221" customFormat="false" ht="15" hidden="false" customHeight="false" outlineLevel="0" collapsed="false">
      <c r="A1221" s="0" t="n">
        <v>1</v>
      </c>
      <c r="B1221" s="0" t="n">
        <v>6</v>
      </c>
      <c r="C1221" s="0" t="n">
        <v>0</v>
      </c>
      <c r="D1221" s="0" t="n">
        <v>1</v>
      </c>
      <c r="E1221" s="0" t="n">
        <f aca="false">-1+A1221*0.25</f>
        <v>-0.75</v>
      </c>
      <c r="F1221" s="0" t="n">
        <f aca="false">-1+B1221*0.25</f>
        <v>0.5</v>
      </c>
      <c r="G1221" s="0" t="n">
        <f aca="false">-1+C1221*0.25</f>
        <v>-1</v>
      </c>
      <c r="H1221" s="0" t="n">
        <f aca="false">-1+D1221*0.25</f>
        <v>-0.75</v>
      </c>
      <c r="I1221" s="0" t="n">
        <f aca="false">1</f>
        <v>1</v>
      </c>
      <c r="J1221" s="0" t="n">
        <f aca="false">E1221</f>
        <v>-0.75</v>
      </c>
      <c r="K1221" s="0" t="n">
        <f aca="false">F1221</f>
        <v>0.5</v>
      </c>
      <c r="L1221" s="0" t="n">
        <f aca="false">G1221</f>
        <v>-1</v>
      </c>
      <c r="M1221" s="0" t="n">
        <f aca="false">H1221</f>
        <v>-0.75</v>
      </c>
      <c r="N1221" s="0" t="n">
        <f aca="false">E1221*F1221</f>
        <v>-0.375</v>
      </c>
      <c r="O1221" s="0" t="n">
        <f aca="false">E1221*G1221</f>
        <v>0.75</v>
      </c>
      <c r="P1221" s="0" t="n">
        <f aca="false">E1221*H1221</f>
        <v>0.5625</v>
      </c>
      <c r="Q1221" s="0" t="n">
        <f aca="false">F1221*G1221</f>
        <v>-0.5</v>
      </c>
      <c r="R1221" s="0" t="n">
        <f aca="false">F1221*H1221</f>
        <v>-0.375</v>
      </c>
      <c r="S1221" s="0" t="n">
        <f aca="false">G1221*H1221</f>
        <v>0.75</v>
      </c>
      <c r="T1221" s="0" t="n">
        <f aca="false">E1221*E1221</f>
        <v>0.5625</v>
      </c>
      <c r="U1221" s="0" t="n">
        <f aca="false">F1221*F1221</f>
        <v>0.25</v>
      </c>
      <c r="V1221" s="0" t="n">
        <f aca="false">G1221*G1221</f>
        <v>1</v>
      </c>
      <c r="W1221" s="0" t="n">
        <f aca="false">H1221*H1221</f>
        <v>0.5625</v>
      </c>
      <c r="X1221" s="0" t="n">
        <f aca="false">SUMPRODUCT(I1221:W1221,_XtX!$B$96:$P$96)</f>
        <v>42.4676169590643</v>
      </c>
      <c r="Y1221" s="0" t="n">
        <f aca="false">SUMPRODUCT(MMULT(I1221:W1221,_XtX!$B$78:$P$92),I1221:W1221)</f>
        <v>0.431153771472953</v>
      </c>
      <c r="Z1221" s="0" t="n">
        <f aca="false">04_回帰ANOVA!$K$19*04_回帰ANOVA!$K$14*SQRT(1+Y1221)</f>
        <v>1.55934259562563</v>
      </c>
      <c r="AA1221" s="0" t="n">
        <f aca="false">X1221-Z1221</f>
        <v>40.9082743634387</v>
      </c>
      <c r="AB1221" s="0" t="n">
        <f aca="false">X1221+Z1221</f>
        <v>44.02695955469</v>
      </c>
      <c r="AC1221" s="54" t="b">
        <f aca="false">AND(E1221&gt;=01_因子設定!$L$5-0.000000001,E1221&lt;=01_因子設定!$M$5+0.000000001,F1221&gt;=01_因子設定!$L$6-0.000000001,F1221&lt;=01_因子設定!$M$6+0.000000001,G1221&gt;=01_因子設定!$L$7-0.000000001,G1221&lt;=01_因子設定!$M$7+0.000000001,H1221&gt;=01_因子設定!$L$8-0.000000001,H1221&lt;=01_因子設定!$M$8+0.000000001,IF(01_因子設定!$B$20="Box-Behnken",E1221^2+F1221^2+G1221^2+H1221^2&lt;=2+0.000000001,TRUE()))</f>
        <v>1</v>
      </c>
      <c r="AD1221" s="55" t="n">
        <f aca="false">IF(AC1221,IF(01_因子設定!$B$13="最大化",AA1221-01_因子設定!$B$14,IF(01_因子設定!$B$13="最小化",01_因子設定!$B$15-AB1221,MIN(AA1221-01_因子設定!$B$14,01_因子設定!$B$15-AB1221))),-1E+030)</f>
        <v>-5.59172563656129</v>
      </c>
      <c r="AE1221" s="55" t="n">
        <f aca="false">IF(AC1221,IF(01_因子設定!$B$13="最大化",X1221,IF(01_因子設定!$B$13="最小化",-X1221,-ABS(X1221-01_因子設定!$B$16))),-1E+030)</f>
        <v>42.4676169590643</v>
      </c>
      <c r="AF1221" s="55" t="n">
        <f aca="false">AD1221+ROW()*0.000000001</f>
        <v>-5.59172441556129</v>
      </c>
      <c r="AG1221" s="55" t="n">
        <f aca="false">AE1221+ROW()*0.000000001</f>
        <v>42.4676181800643</v>
      </c>
    </row>
    <row r="1222" customFormat="false" ht="15" hidden="false" customHeight="false" outlineLevel="0" collapsed="false">
      <c r="A1222" s="0" t="n">
        <v>1</v>
      </c>
      <c r="B1222" s="0" t="n">
        <v>6</v>
      </c>
      <c r="C1222" s="0" t="n">
        <v>0</v>
      </c>
      <c r="D1222" s="0" t="n">
        <v>2</v>
      </c>
      <c r="E1222" s="0" t="n">
        <f aca="false">-1+A1222*0.25</f>
        <v>-0.75</v>
      </c>
      <c r="F1222" s="0" t="n">
        <f aca="false">-1+B1222*0.25</f>
        <v>0.5</v>
      </c>
      <c r="G1222" s="0" t="n">
        <f aca="false">-1+C1222*0.25</f>
        <v>-1</v>
      </c>
      <c r="H1222" s="0" t="n">
        <f aca="false">-1+D1222*0.25</f>
        <v>-0.5</v>
      </c>
      <c r="I1222" s="0" t="n">
        <f aca="false">1</f>
        <v>1</v>
      </c>
      <c r="J1222" s="0" t="n">
        <f aca="false">E1222</f>
        <v>-0.75</v>
      </c>
      <c r="K1222" s="0" t="n">
        <f aca="false">F1222</f>
        <v>0.5</v>
      </c>
      <c r="L1222" s="0" t="n">
        <f aca="false">G1222</f>
        <v>-1</v>
      </c>
      <c r="M1222" s="0" t="n">
        <f aca="false">H1222</f>
        <v>-0.5</v>
      </c>
      <c r="N1222" s="0" t="n">
        <f aca="false">E1222*F1222</f>
        <v>-0.375</v>
      </c>
      <c r="O1222" s="0" t="n">
        <f aca="false">E1222*G1222</f>
        <v>0.75</v>
      </c>
      <c r="P1222" s="0" t="n">
        <f aca="false">E1222*H1222</f>
        <v>0.375</v>
      </c>
      <c r="Q1222" s="0" t="n">
        <f aca="false">F1222*G1222</f>
        <v>-0.5</v>
      </c>
      <c r="R1222" s="0" t="n">
        <f aca="false">F1222*H1222</f>
        <v>-0.25</v>
      </c>
      <c r="S1222" s="0" t="n">
        <f aca="false">G1222*H1222</f>
        <v>0.5</v>
      </c>
      <c r="T1222" s="0" t="n">
        <f aca="false">E1222*E1222</f>
        <v>0.5625</v>
      </c>
      <c r="U1222" s="0" t="n">
        <f aca="false">F1222*F1222</f>
        <v>0.25</v>
      </c>
      <c r="V1222" s="0" t="n">
        <f aca="false">G1222*G1222</f>
        <v>1</v>
      </c>
      <c r="W1222" s="0" t="n">
        <f aca="false">H1222*H1222</f>
        <v>0.25</v>
      </c>
      <c r="X1222" s="0" t="n">
        <f aca="false">SUMPRODUCT(I1222:W1222,_XtX!$B$96:$P$96)</f>
        <v>42.5666483918129</v>
      </c>
      <c r="Y1222" s="0" t="n">
        <f aca="false">SUMPRODUCT(MMULT(I1222:W1222,_XtX!$B$78:$P$92),I1222:W1222)</f>
        <v>0.42602110745614</v>
      </c>
      <c r="Z1222" s="0" t="n">
        <f aca="false">04_回帰ANOVA!$K$19*04_回帰ANOVA!$K$14*SQRT(1+Y1222)</f>
        <v>1.55654388501114</v>
      </c>
      <c r="AA1222" s="0" t="n">
        <f aca="false">X1222-Z1222</f>
        <v>41.0101045068017</v>
      </c>
      <c r="AB1222" s="0" t="n">
        <f aca="false">X1222+Z1222</f>
        <v>44.123192276824</v>
      </c>
      <c r="AC1222" s="54" t="b">
        <f aca="false">AND(E1222&gt;=01_因子設定!$L$5-0.000000001,E1222&lt;=01_因子設定!$M$5+0.000000001,F1222&gt;=01_因子設定!$L$6-0.000000001,F1222&lt;=01_因子設定!$M$6+0.000000001,G1222&gt;=01_因子設定!$L$7-0.000000001,G1222&lt;=01_因子設定!$M$7+0.000000001,H1222&gt;=01_因子設定!$L$8-0.000000001,H1222&lt;=01_因子設定!$M$8+0.000000001,IF(01_因子設定!$B$20="Box-Behnken",E1222^2+F1222^2+G1222^2+H1222^2&lt;=2+0.000000001,TRUE()))</f>
        <v>1</v>
      </c>
      <c r="AD1222" s="55" t="n">
        <f aca="false">IF(AC1222,IF(01_因子設定!$B$13="最大化",AA1222-01_因子設定!$B$14,IF(01_因子設定!$B$13="最小化",01_因子設定!$B$15-AB1222,MIN(AA1222-01_因子設定!$B$14,01_因子設定!$B$15-AB1222))),-1E+030)</f>
        <v>-5.48989549319828</v>
      </c>
      <c r="AE1222" s="55" t="n">
        <f aca="false">IF(AC1222,IF(01_因子設定!$B$13="最大化",X1222,IF(01_因子設定!$B$13="最小化",-X1222,-ABS(X1222-01_因子設定!$B$16))),-1E+030)</f>
        <v>42.5666483918129</v>
      </c>
      <c r="AF1222" s="55" t="n">
        <f aca="false">AD1222+ROW()*0.000000001</f>
        <v>-5.48989427119828</v>
      </c>
      <c r="AG1222" s="55" t="n">
        <f aca="false">AE1222+ROW()*0.000000001</f>
        <v>42.5666496138129</v>
      </c>
    </row>
    <row r="1223" customFormat="false" ht="15" hidden="false" customHeight="false" outlineLevel="0" collapsed="false">
      <c r="A1223" s="0" t="n">
        <v>1</v>
      </c>
      <c r="B1223" s="0" t="n">
        <v>6</v>
      </c>
      <c r="C1223" s="0" t="n">
        <v>0</v>
      </c>
      <c r="D1223" s="0" t="n">
        <v>3</v>
      </c>
      <c r="E1223" s="0" t="n">
        <f aca="false">-1+A1223*0.25</f>
        <v>-0.75</v>
      </c>
      <c r="F1223" s="0" t="n">
        <f aca="false">-1+B1223*0.25</f>
        <v>0.5</v>
      </c>
      <c r="G1223" s="0" t="n">
        <f aca="false">-1+C1223*0.25</f>
        <v>-1</v>
      </c>
      <c r="H1223" s="0" t="n">
        <f aca="false">-1+D1223*0.25</f>
        <v>-0.25</v>
      </c>
      <c r="I1223" s="0" t="n">
        <f aca="false">1</f>
        <v>1</v>
      </c>
      <c r="J1223" s="0" t="n">
        <f aca="false">E1223</f>
        <v>-0.75</v>
      </c>
      <c r="K1223" s="0" t="n">
        <f aca="false">F1223</f>
        <v>0.5</v>
      </c>
      <c r="L1223" s="0" t="n">
        <f aca="false">G1223</f>
        <v>-1</v>
      </c>
      <c r="M1223" s="0" t="n">
        <f aca="false">H1223</f>
        <v>-0.25</v>
      </c>
      <c r="N1223" s="0" t="n">
        <f aca="false">E1223*F1223</f>
        <v>-0.375</v>
      </c>
      <c r="O1223" s="0" t="n">
        <f aca="false">E1223*G1223</f>
        <v>0.75</v>
      </c>
      <c r="P1223" s="0" t="n">
        <f aca="false">E1223*H1223</f>
        <v>0.1875</v>
      </c>
      <c r="Q1223" s="0" t="n">
        <f aca="false">F1223*G1223</f>
        <v>-0.5</v>
      </c>
      <c r="R1223" s="0" t="n">
        <f aca="false">F1223*H1223</f>
        <v>-0.125</v>
      </c>
      <c r="S1223" s="0" t="n">
        <f aca="false">G1223*H1223</f>
        <v>0.25</v>
      </c>
      <c r="T1223" s="0" t="n">
        <f aca="false">E1223*E1223</f>
        <v>0.5625</v>
      </c>
      <c r="U1223" s="0" t="n">
        <f aca="false">F1223*F1223</f>
        <v>0.25</v>
      </c>
      <c r="V1223" s="0" t="n">
        <f aca="false">G1223*G1223</f>
        <v>1</v>
      </c>
      <c r="W1223" s="0" t="n">
        <f aca="false">H1223*H1223</f>
        <v>0.0625</v>
      </c>
      <c r="X1223" s="0" t="n">
        <f aca="false">SUMPRODUCT(I1223:W1223,_XtX!$B$96:$P$96)</f>
        <v>42.6178728070175</v>
      </c>
      <c r="Y1223" s="0" t="n">
        <f aca="false">SUMPRODUCT(MMULT(I1223:W1223,_XtX!$B$78:$P$92),I1223:W1223)</f>
        <v>0.459125719572369</v>
      </c>
      <c r="Z1223" s="0" t="n">
        <f aca="false">04_回帰ANOVA!$K$19*04_回帰ANOVA!$K$14*SQRT(1+Y1223)</f>
        <v>1.57450755575573</v>
      </c>
      <c r="AA1223" s="0" t="n">
        <f aca="false">X1223-Z1223</f>
        <v>41.0433652512618</v>
      </c>
      <c r="AB1223" s="0" t="n">
        <f aca="false">X1223+Z1223</f>
        <v>44.1923803627733</v>
      </c>
      <c r="AC1223" s="54" t="b">
        <f aca="false">AND(E1223&gt;=01_因子設定!$L$5-0.000000001,E1223&lt;=01_因子設定!$M$5+0.000000001,F1223&gt;=01_因子設定!$L$6-0.000000001,F1223&lt;=01_因子設定!$M$6+0.000000001,G1223&gt;=01_因子設定!$L$7-0.000000001,G1223&lt;=01_因子設定!$M$7+0.000000001,H1223&gt;=01_因子設定!$L$8-0.000000001,H1223&lt;=01_因子設定!$M$8+0.000000001,IF(01_因子設定!$B$20="Box-Behnken",E1223^2+F1223^2+G1223^2+H1223^2&lt;=2+0.000000001,TRUE()))</f>
        <v>1</v>
      </c>
      <c r="AD1223" s="55" t="n">
        <f aca="false">IF(AC1223,IF(01_因子設定!$B$13="最大化",AA1223-01_因子設定!$B$14,IF(01_因子設定!$B$13="最小化",01_因子設定!$B$15-AB1223,MIN(AA1223-01_因子設定!$B$14,01_因子設定!$B$15-AB1223))),-1E+030)</f>
        <v>-5.4566347487382</v>
      </c>
      <c r="AE1223" s="55" t="n">
        <f aca="false">IF(AC1223,IF(01_因子設定!$B$13="最大化",X1223,IF(01_因子設定!$B$13="最小化",-X1223,-ABS(X1223-01_因子設定!$B$16))),-1E+030)</f>
        <v>42.6178728070175</v>
      </c>
      <c r="AF1223" s="55" t="n">
        <f aca="false">AD1223+ROW()*0.000000001</f>
        <v>-5.4566335257382</v>
      </c>
      <c r="AG1223" s="55" t="n">
        <f aca="false">AE1223+ROW()*0.000000001</f>
        <v>42.6178740300175</v>
      </c>
    </row>
    <row r="1224" customFormat="false" ht="15" hidden="false" customHeight="false" outlineLevel="0" collapsed="false">
      <c r="A1224" s="0" t="n">
        <v>1</v>
      </c>
      <c r="B1224" s="0" t="n">
        <v>6</v>
      </c>
      <c r="C1224" s="0" t="n">
        <v>0</v>
      </c>
      <c r="D1224" s="0" t="n">
        <v>4</v>
      </c>
      <c r="E1224" s="0" t="n">
        <f aca="false">-1+A1224*0.25</f>
        <v>-0.75</v>
      </c>
      <c r="F1224" s="0" t="n">
        <f aca="false">-1+B1224*0.25</f>
        <v>0.5</v>
      </c>
      <c r="G1224" s="0" t="n">
        <f aca="false">-1+C1224*0.25</f>
        <v>-1</v>
      </c>
      <c r="H1224" s="0" t="n">
        <f aca="false">-1+D1224*0.25</f>
        <v>0</v>
      </c>
      <c r="I1224" s="0" t="n">
        <f aca="false">1</f>
        <v>1</v>
      </c>
      <c r="J1224" s="0" t="n">
        <f aca="false">E1224</f>
        <v>-0.75</v>
      </c>
      <c r="K1224" s="0" t="n">
        <f aca="false">F1224</f>
        <v>0.5</v>
      </c>
      <c r="L1224" s="0" t="n">
        <f aca="false">G1224</f>
        <v>-1</v>
      </c>
      <c r="M1224" s="0" t="n">
        <f aca="false">H1224</f>
        <v>0</v>
      </c>
      <c r="N1224" s="0" t="n">
        <f aca="false">E1224*F1224</f>
        <v>-0.375</v>
      </c>
      <c r="O1224" s="0" t="n">
        <f aca="false">E1224*G1224</f>
        <v>0.75</v>
      </c>
      <c r="P1224" s="0" t="n">
        <f aca="false">E1224*H1224</f>
        <v>-0</v>
      </c>
      <c r="Q1224" s="0" t="n">
        <f aca="false">F1224*G1224</f>
        <v>-0.5</v>
      </c>
      <c r="R1224" s="0" t="n">
        <f aca="false">F1224*H1224</f>
        <v>0</v>
      </c>
      <c r="S1224" s="0" t="n">
        <f aca="false">G1224*H1224</f>
        <v>-0</v>
      </c>
      <c r="T1224" s="0" t="n">
        <f aca="false">E1224*E1224</f>
        <v>0.5625</v>
      </c>
      <c r="U1224" s="0" t="n">
        <f aca="false">F1224*F1224</f>
        <v>0.25</v>
      </c>
      <c r="V1224" s="0" t="n">
        <f aca="false">G1224*G1224</f>
        <v>1</v>
      </c>
      <c r="W1224" s="0" t="n">
        <f aca="false">H1224*H1224</f>
        <v>0</v>
      </c>
      <c r="X1224" s="0" t="n">
        <f aca="false">SUMPRODUCT(I1224:W1224,_XtX!$B$96:$P$96)</f>
        <v>42.6212902046784</v>
      </c>
      <c r="Y1224" s="0" t="n">
        <f aca="false">SUMPRODUCT(MMULT(I1224:W1224,_XtX!$B$78:$P$92),I1224:W1224)</f>
        <v>0.476191292032164</v>
      </c>
      <c r="Z1224" s="0" t="n">
        <f aca="false">04_回帰ANOVA!$K$19*04_回帰ANOVA!$K$14*SQRT(1+Y1224)</f>
        <v>1.58368831471718</v>
      </c>
      <c r="AA1224" s="0" t="n">
        <f aca="false">X1224-Z1224</f>
        <v>41.0376018899612</v>
      </c>
      <c r="AB1224" s="0" t="n">
        <f aca="false">X1224+Z1224</f>
        <v>44.2049785193955</v>
      </c>
      <c r="AC1224" s="54" t="b">
        <f aca="false">AND(E1224&gt;=01_因子設定!$L$5-0.000000001,E1224&lt;=01_因子設定!$M$5+0.000000001,F1224&gt;=01_因子設定!$L$6-0.000000001,F1224&lt;=01_因子設定!$M$6+0.000000001,G1224&gt;=01_因子設定!$L$7-0.000000001,G1224&lt;=01_因子設定!$M$7+0.000000001,H1224&gt;=01_因子設定!$L$8-0.000000001,H1224&lt;=01_因子設定!$M$8+0.000000001,IF(01_因子設定!$B$20="Box-Behnken",E1224^2+F1224^2+G1224^2+H1224^2&lt;=2+0.000000001,TRUE()))</f>
        <v>1</v>
      </c>
      <c r="AD1224" s="55" t="n">
        <f aca="false">IF(AC1224,IF(01_因子設定!$B$13="最大化",AA1224-01_因子設定!$B$14,IF(01_因子設定!$B$13="最小化",01_因子設定!$B$15-AB1224,MIN(AA1224-01_因子設定!$B$14,01_因子設定!$B$15-AB1224))),-1E+030)</f>
        <v>-5.46239811003883</v>
      </c>
      <c r="AE1224" s="55" t="n">
        <f aca="false">IF(AC1224,IF(01_因子設定!$B$13="最大化",X1224,IF(01_因子設定!$B$13="最小化",-X1224,-ABS(X1224-01_因子設定!$B$16))),-1E+030)</f>
        <v>42.6212902046784</v>
      </c>
      <c r="AF1224" s="55" t="n">
        <f aca="false">AD1224+ROW()*0.000000001</f>
        <v>-5.46239688603883</v>
      </c>
      <c r="AG1224" s="55" t="n">
        <f aca="false">AE1224+ROW()*0.000000001</f>
        <v>42.6212914286784</v>
      </c>
    </row>
    <row r="1225" customFormat="false" ht="15" hidden="false" customHeight="false" outlineLevel="0" collapsed="false">
      <c r="A1225" s="0" t="n">
        <v>1</v>
      </c>
      <c r="B1225" s="0" t="n">
        <v>6</v>
      </c>
      <c r="C1225" s="0" t="n">
        <v>0</v>
      </c>
      <c r="D1225" s="0" t="n">
        <v>5</v>
      </c>
      <c r="E1225" s="0" t="n">
        <f aca="false">-1+A1225*0.25</f>
        <v>-0.75</v>
      </c>
      <c r="F1225" s="0" t="n">
        <f aca="false">-1+B1225*0.25</f>
        <v>0.5</v>
      </c>
      <c r="G1225" s="0" t="n">
        <f aca="false">-1+C1225*0.25</f>
        <v>-1</v>
      </c>
      <c r="H1225" s="0" t="n">
        <f aca="false">-1+D1225*0.25</f>
        <v>0.25</v>
      </c>
      <c r="I1225" s="0" t="n">
        <f aca="false">1</f>
        <v>1</v>
      </c>
      <c r="J1225" s="0" t="n">
        <f aca="false">E1225</f>
        <v>-0.75</v>
      </c>
      <c r="K1225" s="0" t="n">
        <f aca="false">F1225</f>
        <v>0.5</v>
      </c>
      <c r="L1225" s="0" t="n">
        <f aca="false">G1225</f>
        <v>-1</v>
      </c>
      <c r="M1225" s="0" t="n">
        <f aca="false">H1225</f>
        <v>0.25</v>
      </c>
      <c r="N1225" s="0" t="n">
        <f aca="false">E1225*F1225</f>
        <v>-0.375</v>
      </c>
      <c r="O1225" s="0" t="n">
        <f aca="false">E1225*G1225</f>
        <v>0.75</v>
      </c>
      <c r="P1225" s="0" t="n">
        <f aca="false">E1225*H1225</f>
        <v>-0.1875</v>
      </c>
      <c r="Q1225" s="0" t="n">
        <f aca="false">F1225*G1225</f>
        <v>-0.5</v>
      </c>
      <c r="R1225" s="0" t="n">
        <f aca="false">F1225*H1225</f>
        <v>0.125</v>
      </c>
      <c r="S1225" s="0" t="n">
        <f aca="false">G1225*H1225</f>
        <v>-0.25</v>
      </c>
      <c r="T1225" s="0" t="n">
        <f aca="false">E1225*E1225</f>
        <v>0.5625</v>
      </c>
      <c r="U1225" s="0" t="n">
        <f aca="false">F1225*F1225</f>
        <v>0.25</v>
      </c>
      <c r="V1225" s="0" t="n">
        <f aca="false">G1225*G1225</f>
        <v>1</v>
      </c>
      <c r="W1225" s="0" t="n">
        <f aca="false">H1225*H1225</f>
        <v>0.0625</v>
      </c>
      <c r="X1225" s="0" t="n">
        <f aca="false">SUMPRODUCT(I1225:W1225,_XtX!$B$96:$P$96)</f>
        <v>42.5769005847953</v>
      </c>
      <c r="Y1225" s="0" t="n">
        <f aca="false">SUMPRODUCT(MMULT(I1225:W1225,_XtX!$B$78:$P$92),I1225:W1225)</f>
        <v>0.459125719572369</v>
      </c>
      <c r="Z1225" s="0" t="n">
        <f aca="false">04_回帰ANOVA!$K$19*04_回帰ANOVA!$K$14*SQRT(1+Y1225)</f>
        <v>1.57450755575573</v>
      </c>
      <c r="AA1225" s="0" t="n">
        <f aca="false">X1225-Z1225</f>
        <v>41.0023930290396</v>
      </c>
      <c r="AB1225" s="0" t="n">
        <f aca="false">X1225+Z1225</f>
        <v>44.151408140551</v>
      </c>
      <c r="AC1225" s="54" t="b">
        <f aca="false">AND(E1225&gt;=01_因子設定!$L$5-0.000000001,E1225&lt;=01_因子設定!$M$5+0.000000001,F1225&gt;=01_因子設定!$L$6-0.000000001,F1225&lt;=01_因子設定!$M$6+0.000000001,G1225&gt;=01_因子設定!$L$7-0.000000001,G1225&lt;=01_因子設定!$M$7+0.000000001,H1225&gt;=01_因子設定!$L$8-0.000000001,H1225&lt;=01_因子設定!$M$8+0.000000001,IF(01_因子設定!$B$20="Box-Behnken",E1225^2+F1225^2+G1225^2+H1225^2&lt;=2+0.000000001,TRUE()))</f>
        <v>1</v>
      </c>
      <c r="AD1225" s="55" t="n">
        <f aca="false">IF(AC1225,IF(01_因子設定!$B$13="最大化",AA1225-01_因子設定!$B$14,IF(01_因子設定!$B$13="最小化",01_因子設定!$B$15-AB1225,MIN(AA1225-01_因子設定!$B$14,01_因子設定!$B$15-AB1225))),-1E+030)</f>
        <v>-5.49760697096042</v>
      </c>
      <c r="AE1225" s="55" t="n">
        <f aca="false">IF(AC1225,IF(01_因子設定!$B$13="最大化",X1225,IF(01_因子設定!$B$13="最小化",-X1225,-ABS(X1225-01_因子設定!$B$16))),-1E+030)</f>
        <v>42.5769005847953</v>
      </c>
      <c r="AF1225" s="55" t="n">
        <f aca="false">AD1225+ROW()*0.000000001</f>
        <v>-5.49760574596042</v>
      </c>
      <c r="AG1225" s="55" t="n">
        <f aca="false">AE1225+ROW()*0.000000001</f>
        <v>42.5769018097953</v>
      </c>
    </row>
    <row r="1226" customFormat="false" ht="15" hidden="false" customHeight="false" outlineLevel="0" collapsed="false">
      <c r="A1226" s="0" t="n">
        <v>1</v>
      </c>
      <c r="B1226" s="0" t="n">
        <v>6</v>
      </c>
      <c r="C1226" s="0" t="n">
        <v>0</v>
      </c>
      <c r="D1226" s="0" t="n">
        <v>6</v>
      </c>
      <c r="E1226" s="0" t="n">
        <f aca="false">-1+A1226*0.25</f>
        <v>-0.75</v>
      </c>
      <c r="F1226" s="0" t="n">
        <f aca="false">-1+B1226*0.25</f>
        <v>0.5</v>
      </c>
      <c r="G1226" s="0" t="n">
        <f aca="false">-1+C1226*0.25</f>
        <v>-1</v>
      </c>
      <c r="H1226" s="0" t="n">
        <f aca="false">-1+D1226*0.25</f>
        <v>0.5</v>
      </c>
      <c r="I1226" s="0" t="n">
        <f aca="false">1</f>
        <v>1</v>
      </c>
      <c r="J1226" s="0" t="n">
        <f aca="false">E1226</f>
        <v>-0.75</v>
      </c>
      <c r="K1226" s="0" t="n">
        <f aca="false">F1226</f>
        <v>0.5</v>
      </c>
      <c r="L1226" s="0" t="n">
        <f aca="false">G1226</f>
        <v>-1</v>
      </c>
      <c r="M1226" s="0" t="n">
        <f aca="false">H1226</f>
        <v>0.5</v>
      </c>
      <c r="N1226" s="0" t="n">
        <f aca="false">E1226*F1226</f>
        <v>-0.375</v>
      </c>
      <c r="O1226" s="0" t="n">
        <f aca="false">E1226*G1226</f>
        <v>0.75</v>
      </c>
      <c r="P1226" s="0" t="n">
        <f aca="false">E1226*H1226</f>
        <v>-0.375</v>
      </c>
      <c r="Q1226" s="0" t="n">
        <f aca="false">F1226*G1226</f>
        <v>-0.5</v>
      </c>
      <c r="R1226" s="0" t="n">
        <f aca="false">F1226*H1226</f>
        <v>0.25</v>
      </c>
      <c r="S1226" s="0" t="n">
        <f aca="false">G1226*H1226</f>
        <v>-0.5</v>
      </c>
      <c r="T1226" s="0" t="n">
        <f aca="false">E1226*E1226</f>
        <v>0.5625</v>
      </c>
      <c r="U1226" s="0" t="n">
        <f aca="false">F1226*F1226</f>
        <v>0.25</v>
      </c>
      <c r="V1226" s="0" t="n">
        <f aca="false">G1226*G1226</f>
        <v>1</v>
      </c>
      <c r="W1226" s="0" t="n">
        <f aca="false">H1226*H1226</f>
        <v>0.25</v>
      </c>
      <c r="X1226" s="0" t="n">
        <f aca="false">SUMPRODUCT(I1226:W1226,_XtX!$B$96:$P$96)</f>
        <v>42.4847039473684</v>
      </c>
      <c r="Y1226" s="0" t="n">
        <f aca="false">SUMPRODUCT(MMULT(I1226:W1226,_XtX!$B$78:$P$92),I1226:W1226)</f>
        <v>0.42602110745614</v>
      </c>
      <c r="Z1226" s="0" t="n">
        <f aca="false">04_回帰ANOVA!$K$19*04_回帰ANOVA!$K$14*SQRT(1+Y1226)</f>
        <v>1.55654388501114</v>
      </c>
      <c r="AA1226" s="0" t="n">
        <f aca="false">X1226-Z1226</f>
        <v>40.9281600623573</v>
      </c>
      <c r="AB1226" s="0" t="n">
        <f aca="false">X1226+Z1226</f>
        <v>44.0412478323796</v>
      </c>
      <c r="AC1226" s="54" t="b">
        <f aca="false">AND(E1226&gt;=01_因子設定!$L$5-0.000000001,E1226&lt;=01_因子設定!$M$5+0.000000001,F1226&gt;=01_因子設定!$L$6-0.000000001,F1226&lt;=01_因子設定!$M$6+0.000000001,G1226&gt;=01_因子設定!$L$7-0.000000001,G1226&lt;=01_因子設定!$M$7+0.000000001,H1226&gt;=01_因子設定!$L$8-0.000000001,H1226&lt;=01_因子設定!$M$8+0.000000001,IF(01_因子設定!$B$20="Box-Behnken",E1226^2+F1226^2+G1226^2+H1226^2&lt;=2+0.000000001,TRUE()))</f>
        <v>1</v>
      </c>
      <c r="AD1226" s="55" t="n">
        <f aca="false">IF(AC1226,IF(01_因子設定!$B$13="最大化",AA1226-01_因子設定!$B$14,IF(01_因子設定!$B$13="最小化",01_因子設定!$B$15-AB1226,MIN(AA1226-01_因子設定!$B$14,01_因子設定!$B$15-AB1226))),-1E+030)</f>
        <v>-5.57183993764272</v>
      </c>
      <c r="AE1226" s="55" t="n">
        <f aca="false">IF(AC1226,IF(01_因子設定!$B$13="最大化",X1226,IF(01_因子設定!$B$13="最小化",-X1226,-ABS(X1226-01_因子設定!$B$16))),-1E+030)</f>
        <v>42.4847039473684</v>
      </c>
      <c r="AF1226" s="55" t="n">
        <f aca="false">AD1226+ROW()*0.000000001</f>
        <v>-5.57183871164272</v>
      </c>
      <c r="AG1226" s="55" t="n">
        <f aca="false">AE1226+ROW()*0.000000001</f>
        <v>42.4847051733684</v>
      </c>
    </row>
    <row r="1227" customFormat="false" ht="15" hidden="false" customHeight="false" outlineLevel="0" collapsed="false">
      <c r="A1227" s="0" t="n">
        <v>1</v>
      </c>
      <c r="B1227" s="0" t="n">
        <v>6</v>
      </c>
      <c r="C1227" s="0" t="n">
        <v>0</v>
      </c>
      <c r="D1227" s="0" t="n">
        <v>7</v>
      </c>
      <c r="E1227" s="0" t="n">
        <f aca="false">-1+A1227*0.25</f>
        <v>-0.75</v>
      </c>
      <c r="F1227" s="0" t="n">
        <f aca="false">-1+B1227*0.25</f>
        <v>0.5</v>
      </c>
      <c r="G1227" s="0" t="n">
        <f aca="false">-1+C1227*0.25</f>
        <v>-1</v>
      </c>
      <c r="H1227" s="0" t="n">
        <f aca="false">-1+D1227*0.25</f>
        <v>0.75</v>
      </c>
      <c r="I1227" s="0" t="n">
        <f aca="false">1</f>
        <v>1</v>
      </c>
      <c r="J1227" s="0" t="n">
        <f aca="false">E1227</f>
        <v>-0.75</v>
      </c>
      <c r="K1227" s="0" t="n">
        <f aca="false">F1227</f>
        <v>0.5</v>
      </c>
      <c r="L1227" s="0" t="n">
        <f aca="false">G1227</f>
        <v>-1</v>
      </c>
      <c r="M1227" s="0" t="n">
        <f aca="false">H1227</f>
        <v>0.75</v>
      </c>
      <c r="N1227" s="0" t="n">
        <f aca="false">E1227*F1227</f>
        <v>-0.375</v>
      </c>
      <c r="O1227" s="0" t="n">
        <f aca="false">E1227*G1227</f>
        <v>0.75</v>
      </c>
      <c r="P1227" s="0" t="n">
        <f aca="false">E1227*H1227</f>
        <v>-0.5625</v>
      </c>
      <c r="Q1227" s="0" t="n">
        <f aca="false">F1227*G1227</f>
        <v>-0.5</v>
      </c>
      <c r="R1227" s="0" t="n">
        <f aca="false">F1227*H1227</f>
        <v>0.375</v>
      </c>
      <c r="S1227" s="0" t="n">
        <f aca="false">G1227*H1227</f>
        <v>-0.75</v>
      </c>
      <c r="T1227" s="0" t="n">
        <f aca="false">E1227*E1227</f>
        <v>0.5625</v>
      </c>
      <c r="U1227" s="0" t="n">
        <f aca="false">F1227*F1227</f>
        <v>0.25</v>
      </c>
      <c r="V1227" s="0" t="n">
        <f aca="false">G1227*G1227</f>
        <v>1</v>
      </c>
      <c r="W1227" s="0" t="n">
        <f aca="false">H1227*H1227</f>
        <v>0.5625</v>
      </c>
      <c r="X1227" s="0" t="n">
        <f aca="false">SUMPRODUCT(I1227:W1227,_XtX!$B$96:$P$96)</f>
        <v>42.3447002923977</v>
      </c>
      <c r="Y1227" s="0" t="n">
        <f aca="false">SUMPRODUCT(MMULT(I1227:W1227,_XtX!$B$78:$P$92),I1227:W1227)</f>
        <v>0.431153771472953</v>
      </c>
      <c r="Z1227" s="0" t="n">
        <f aca="false">04_回帰ANOVA!$K$19*04_回帰ANOVA!$K$14*SQRT(1+Y1227)</f>
        <v>1.55934259562563</v>
      </c>
      <c r="AA1227" s="0" t="n">
        <f aca="false">X1227-Z1227</f>
        <v>40.785357696772</v>
      </c>
      <c r="AB1227" s="0" t="n">
        <f aca="false">X1227+Z1227</f>
        <v>43.9040428880233</v>
      </c>
      <c r="AC1227" s="54" t="b">
        <f aca="false">AND(E1227&gt;=01_因子設定!$L$5-0.000000001,E1227&lt;=01_因子設定!$M$5+0.000000001,F1227&gt;=01_因子設定!$L$6-0.000000001,F1227&lt;=01_因子設定!$M$6+0.000000001,G1227&gt;=01_因子設定!$L$7-0.000000001,G1227&lt;=01_因子設定!$M$7+0.000000001,H1227&gt;=01_因子設定!$L$8-0.000000001,H1227&lt;=01_因子設定!$M$8+0.000000001,IF(01_因子設定!$B$20="Box-Behnken",E1227^2+F1227^2+G1227^2+H1227^2&lt;=2+0.000000001,TRUE()))</f>
        <v>1</v>
      </c>
      <c r="AD1227" s="55" t="n">
        <f aca="false">IF(AC1227,IF(01_因子設定!$B$13="最大化",AA1227-01_因子設定!$B$14,IF(01_因子設定!$B$13="最小化",01_因子設定!$B$15-AB1227,MIN(AA1227-01_因子設定!$B$14,01_因子設定!$B$15-AB1227))),-1E+030)</f>
        <v>-5.71464230322796</v>
      </c>
      <c r="AE1227" s="55" t="n">
        <f aca="false">IF(AC1227,IF(01_因子設定!$B$13="最大化",X1227,IF(01_因子設定!$B$13="最小化",-X1227,-ABS(X1227-01_因子設定!$B$16))),-1E+030)</f>
        <v>42.3447002923977</v>
      </c>
      <c r="AF1227" s="55" t="n">
        <f aca="false">AD1227+ROW()*0.000000001</f>
        <v>-5.71464107622796</v>
      </c>
      <c r="AG1227" s="55" t="n">
        <f aca="false">AE1227+ROW()*0.000000001</f>
        <v>42.3447015193977</v>
      </c>
    </row>
    <row r="1228" customFormat="false" ht="15" hidden="false" customHeight="false" outlineLevel="0" collapsed="false">
      <c r="A1228" s="0" t="n">
        <v>1</v>
      </c>
      <c r="B1228" s="0" t="n">
        <v>6</v>
      </c>
      <c r="C1228" s="0" t="n">
        <v>0</v>
      </c>
      <c r="D1228" s="0" t="n">
        <v>8</v>
      </c>
      <c r="E1228" s="0" t="n">
        <f aca="false">-1+A1228*0.25</f>
        <v>-0.75</v>
      </c>
      <c r="F1228" s="0" t="n">
        <f aca="false">-1+B1228*0.25</f>
        <v>0.5</v>
      </c>
      <c r="G1228" s="0" t="n">
        <f aca="false">-1+C1228*0.25</f>
        <v>-1</v>
      </c>
      <c r="H1228" s="0" t="n">
        <f aca="false">-1+D1228*0.25</f>
        <v>1</v>
      </c>
      <c r="I1228" s="0" t="n">
        <f aca="false">1</f>
        <v>1</v>
      </c>
      <c r="J1228" s="0" t="n">
        <f aca="false">E1228</f>
        <v>-0.75</v>
      </c>
      <c r="K1228" s="0" t="n">
        <f aca="false">F1228</f>
        <v>0.5</v>
      </c>
      <c r="L1228" s="0" t="n">
        <f aca="false">G1228</f>
        <v>-1</v>
      </c>
      <c r="M1228" s="0" t="n">
        <f aca="false">H1228</f>
        <v>1</v>
      </c>
      <c r="N1228" s="0" t="n">
        <f aca="false">E1228*F1228</f>
        <v>-0.375</v>
      </c>
      <c r="O1228" s="0" t="n">
        <f aca="false">E1228*G1228</f>
        <v>0.75</v>
      </c>
      <c r="P1228" s="0" t="n">
        <f aca="false">E1228*H1228</f>
        <v>-0.75</v>
      </c>
      <c r="Q1228" s="0" t="n">
        <f aca="false">F1228*G1228</f>
        <v>-0.5</v>
      </c>
      <c r="R1228" s="0" t="n">
        <f aca="false">F1228*H1228</f>
        <v>0.5</v>
      </c>
      <c r="S1228" s="0" t="n">
        <f aca="false">G1228*H1228</f>
        <v>-1</v>
      </c>
      <c r="T1228" s="0" t="n">
        <f aca="false">E1228*E1228</f>
        <v>0.5625</v>
      </c>
      <c r="U1228" s="0" t="n">
        <f aca="false">F1228*F1228</f>
        <v>0.25</v>
      </c>
      <c r="V1228" s="0" t="n">
        <f aca="false">G1228*G1228</f>
        <v>1</v>
      </c>
      <c r="W1228" s="0" t="n">
        <f aca="false">H1228*H1228</f>
        <v>1</v>
      </c>
      <c r="X1228" s="0" t="n">
        <f aca="false">SUMPRODUCT(I1228:W1228,_XtX!$B$96:$P$96)</f>
        <v>42.1568896198831</v>
      </c>
      <c r="Y1228" s="0" t="n">
        <f aca="false">SUMPRODUCT(MMULT(I1228:W1228,_XtX!$B$78:$P$92),I1228:W1228)</f>
        <v>0.564984237938597</v>
      </c>
      <c r="Z1228" s="0" t="n">
        <f aca="false">04_回帰ANOVA!$K$19*04_回帰ANOVA!$K$14*SQRT(1+Y1228)</f>
        <v>1.63062229734503</v>
      </c>
      <c r="AA1228" s="0" t="n">
        <f aca="false">X1228-Z1228</f>
        <v>40.526267322538</v>
      </c>
      <c r="AB1228" s="0" t="n">
        <f aca="false">X1228+Z1228</f>
        <v>43.7875119172281</v>
      </c>
      <c r="AC1228" s="54" t="b">
        <f aca="false">AND(E1228&gt;=01_因子設定!$L$5-0.000000001,E1228&lt;=01_因子設定!$M$5+0.000000001,F1228&gt;=01_因子設定!$L$6-0.000000001,F1228&lt;=01_因子設定!$M$6+0.000000001,G1228&gt;=01_因子設定!$L$7-0.000000001,G1228&lt;=01_因子設定!$M$7+0.000000001,H1228&gt;=01_因子設定!$L$8-0.000000001,H1228&lt;=01_因子設定!$M$8+0.000000001,IF(01_因子設定!$B$20="Box-Behnken",E1228^2+F1228^2+G1228^2+H1228^2&lt;=2+0.000000001,TRUE()))</f>
        <v>1</v>
      </c>
      <c r="AD1228" s="55" t="n">
        <f aca="false">IF(AC1228,IF(01_因子設定!$B$13="最大化",AA1228-01_因子設定!$B$14,IF(01_因子設定!$B$13="最小化",01_因子設定!$B$15-AB1228,MIN(AA1228-01_因子設定!$B$14,01_因子設定!$B$15-AB1228))),-1E+030)</f>
        <v>-5.97373267746197</v>
      </c>
      <c r="AE1228" s="55" t="n">
        <f aca="false">IF(AC1228,IF(01_因子設定!$B$13="最大化",X1228,IF(01_因子設定!$B$13="最小化",-X1228,-ABS(X1228-01_因子設定!$B$16))),-1E+030)</f>
        <v>42.1568896198831</v>
      </c>
      <c r="AF1228" s="55" t="n">
        <f aca="false">AD1228+ROW()*0.000000001</f>
        <v>-5.97373144946197</v>
      </c>
      <c r="AG1228" s="55" t="n">
        <f aca="false">AE1228+ROW()*0.000000001</f>
        <v>42.1568908478831</v>
      </c>
    </row>
    <row r="1229" customFormat="false" ht="15" hidden="false" customHeight="false" outlineLevel="0" collapsed="false">
      <c r="A1229" s="0" t="n">
        <v>1</v>
      </c>
      <c r="B1229" s="0" t="n">
        <v>6</v>
      </c>
      <c r="C1229" s="0" t="n">
        <v>1</v>
      </c>
      <c r="D1229" s="0" t="n">
        <v>0</v>
      </c>
      <c r="E1229" s="0" t="n">
        <f aca="false">-1+A1229*0.25</f>
        <v>-0.75</v>
      </c>
      <c r="F1229" s="0" t="n">
        <f aca="false">-1+B1229*0.25</f>
        <v>0.5</v>
      </c>
      <c r="G1229" s="0" t="n">
        <f aca="false">-1+C1229*0.25</f>
        <v>-0.75</v>
      </c>
      <c r="H1229" s="0" t="n">
        <f aca="false">-1+D1229*0.25</f>
        <v>-1</v>
      </c>
      <c r="I1229" s="0" t="n">
        <f aca="false">1</f>
        <v>1</v>
      </c>
      <c r="J1229" s="0" t="n">
        <f aca="false">E1229</f>
        <v>-0.75</v>
      </c>
      <c r="K1229" s="0" t="n">
        <f aca="false">F1229</f>
        <v>0.5</v>
      </c>
      <c r="L1229" s="0" t="n">
        <f aca="false">G1229</f>
        <v>-0.75</v>
      </c>
      <c r="M1229" s="0" t="n">
        <f aca="false">H1229</f>
        <v>-1</v>
      </c>
      <c r="N1229" s="0" t="n">
        <f aca="false">E1229*F1229</f>
        <v>-0.375</v>
      </c>
      <c r="O1229" s="0" t="n">
        <f aca="false">E1229*G1229</f>
        <v>0.5625</v>
      </c>
      <c r="P1229" s="0" t="n">
        <f aca="false">E1229*H1229</f>
        <v>0.75</v>
      </c>
      <c r="Q1229" s="0" t="n">
        <f aca="false">F1229*G1229</f>
        <v>-0.375</v>
      </c>
      <c r="R1229" s="0" t="n">
        <f aca="false">F1229*H1229</f>
        <v>-0.5</v>
      </c>
      <c r="S1229" s="0" t="n">
        <f aca="false">G1229*H1229</f>
        <v>0.75</v>
      </c>
      <c r="T1229" s="0" t="n">
        <f aca="false">E1229*E1229</f>
        <v>0.5625</v>
      </c>
      <c r="U1229" s="0" t="n">
        <f aca="false">F1229*F1229</f>
        <v>0.25</v>
      </c>
      <c r="V1229" s="0" t="n">
        <f aca="false">G1229*G1229</f>
        <v>0.5625</v>
      </c>
      <c r="W1229" s="0" t="n">
        <f aca="false">H1229*H1229</f>
        <v>1</v>
      </c>
      <c r="X1229" s="0" t="n">
        <f aca="false">SUMPRODUCT(I1229:W1229,_XtX!$B$96:$P$96)</f>
        <v>42.9542489035088</v>
      </c>
      <c r="Y1229" s="0" t="n">
        <f aca="false">SUMPRODUCT(MMULT(I1229:W1229,_XtX!$B$78:$P$92),I1229:W1229)</f>
        <v>0.431153771472953</v>
      </c>
      <c r="Z1229" s="0" t="n">
        <f aca="false">04_回帰ANOVA!$K$19*04_回帰ANOVA!$K$14*SQRT(1+Y1229)</f>
        <v>1.55934259562563</v>
      </c>
      <c r="AA1229" s="0" t="n">
        <f aca="false">X1229-Z1229</f>
        <v>41.3949063078832</v>
      </c>
      <c r="AB1229" s="0" t="n">
        <f aca="false">X1229+Z1229</f>
        <v>44.5135914991344</v>
      </c>
      <c r="AC1229" s="54" t="b">
        <f aca="false">AND(E1229&gt;=01_因子設定!$L$5-0.000000001,E1229&lt;=01_因子設定!$M$5+0.000000001,F1229&gt;=01_因子設定!$L$6-0.000000001,F1229&lt;=01_因子設定!$M$6+0.000000001,G1229&gt;=01_因子設定!$L$7-0.000000001,G1229&lt;=01_因子設定!$M$7+0.000000001,H1229&gt;=01_因子設定!$L$8-0.000000001,H1229&lt;=01_因子設定!$M$8+0.000000001,IF(01_因子設定!$B$20="Box-Behnken",E1229^2+F1229^2+G1229^2+H1229^2&lt;=2+0.000000001,TRUE()))</f>
        <v>1</v>
      </c>
      <c r="AD1229" s="55" t="n">
        <f aca="false">IF(AC1229,IF(01_因子設定!$B$13="最大化",AA1229-01_因子設定!$B$14,IF(01_因子設定!$B$13="最小化",01_因子設定!$B$15-AB1229,MIN(AA1229-01_因子設定!$B$14,01_因子設定!$B$15-AB1229))),-1E+030)</f>
        <v>-5.10509369211683</v>
      </c>
      <c r="AE1229" s="55" t="n">
        <f aca="false">IF(AC1229,IF(01_因子設定!$B$13="最大化",X1229,IF(01_因子設定!$B$13="最小化",-X1229,-ABS(X1229-01_因子設定!$B$16))),-1E+030)</f>
        <v>42.9542489035088</v>
      </c>
      <c r="AF1229" s="55" t="n">
        <f aca="false">AD1229+ROW()*0.000000001</f>
        <v>-5.10509246311683</v>
      </c>
      <c r="AG1229" s="55" t="n">
        <f aca="false">AE1229+ROW()*0.000000001</f>
        <v>42.9542501325088</v>
      </c>
    </row>
    <row r="1230" customFormat="false" ht="15" hidden="false" customHeight="false" outlineLevel="0" collapsed="false">
      <c r="A1230" s="0" t="n">
        <v>1</v>
      </c>
      <c r="B1230" s="0" t="n">
        <v>6</v>
      </c>
      <c r="C1230" s="0" t="n">
        <v>1</v>
      </c>
      <c r="D1230" s="0" t="n">
        <v>1</v>
      </c>
      <c r="E1230" s="0" t="n">
        <f aca="false">-1+A1230*0.25</f>
        <v>-0.75</v>
      </c>
      <c r="F1230" s="0" t="n">
        <f aca="false">-1+B1230*0.25</f>
        <v>0.5</v>
      </c>
      <c r="G1230" s="0" t="n">
        <f aca="false">-1+C1230*0.25</f>
        <v>-0.75</v>
      </c>
      <c r="H1230" s="0" t="n">
        <f aca="false">-1+D1230*0.25</f>
        <v>-0.75</v>
      </c>
      <c r="I1230" s="0" t="n">
        <f aca="false">1</f>
        <v>1</v>
      </c>
      <c r="J1230" s="0" t="n">
        <f aca="false">E1230</f>
        <v>-0.75</v>
      </c>
      <c r="K1230" s="0" t="n">
        <f aca="false">F1230</f>
        <v>0.5</v>
      </c>
      <c r="L1230" s="0" t="n">
        <f aca="false">G1230</f>
        <v>-0.75</v>
      </c>
      <c r="M1230" s="0" t="n">
        <f aca="false">H1230</f>
        <v>-0.75</v>
      </c>
      <c r="N1230" s="0" t="n">
        <f aca="false">E1230*F1230</f>
        <v>-0.375</v>
      </c>
      <c r="O1230" s="0" t="n">
        <f aca="false">E1230*G1230</f>
        <v>0.5625</v>
      </c>
      <c r="P1230" s="0" t="n">
        <f aca="false">E1230*H1230</f>
        <v>0.5625</v>
      </c>
      <c r="Q1230" s="0" t="n">
        <f aca="false">F1230*G1230</f>
        <v>-0.375</v>
      </c>
      <c r="R1230" s="0" t="n">
        <f aca="false">F1230*H1230</f>
        <v>-0.375</v>
      </c>
      <c r="S1230" s="0" t="n">
        <f aca="false">G1230*H1230</f>
        <v>0.5625</v>
      </c>
      <c r="T1230" s="0" t="n">
        <f aca="false">E1230*E1230</f>
        <v>0.5625</v>
      </c>
      <c r="U1230" s="0" t="n">
        <f aca="false">F1230*F1230</f>
        <v>0.25</v>
      </c>
      <c r="V1230" s="0" t="n">
        <f aca="false">G1230*G1230</f>
        <v>0.5625</v>
      </c>
      <c r="W1230" s="0" t="n">
        <f aca="false">H1230*H1230</f>
        <v>0.5625</v>
      </c>
      <c r="X1230" s="0" t="n">
        <f aca="false">SUMPRODUCT(I1230:W1230,_XtX!$B$96:$P$96)</f>
        <v>43.1190561038012</v>
      </c>
      <c r="Y1230" s="0" t="n">
        <f aca="false">SUMPRODUCT(MMULT(I1230:W1230,_XtX!$B$78:$P$92),I1230:W1230)</f>
        <v>0.265632138614766</v>
      </c>
      <c r="Z1230" s="0" t="n">
        <f aca="false">04_回帰ANOVA!$K$19*04_回帰ANOVA!$K$14*SQRT(1+Y1230)</f>
        <v>1.46639894654257</v>
      </c>
      <c r="AA1230" s="0" t="n">
        <f aca="false">X1230-Z1230</f>
        <v>41.6526571572586</v>
      </c>
      <c r="AB1230" s="0" t="n">
        <f aca="false">X1230+Z1230</f>
        <v>44.5854550503438</v>
      </c>
      <c r="AC1230" s="54" t="b">
        <f aca="false">AND(E1230&gt;=01_因子設定!$L$5-0.000000001,E1230&lt;=01_因子設定!$M$5+0.000000001,F1230&gt;=01_因子設定!$L$6-0.000000001,F1230&lt;=01_因子設定!$M$6+0.000000001,G1230&gt;=01_因子設定!$L$7-0.000000001,G1230&lt;=01_因子設定!$M$7+0.000000001,H1230&gt;=01_因子設定!$L$8-0.000000001,H1230&lt;=01_因子設定!$M$8+0.000000001,IF(01_因子設定!$B$20="Box-Behnken",E1230^2+F1230^2+G1230^2+H1230^2&lt;=2+0.000000001,TRUE()))</f>
        <v>1</v>
      </c>
      <c r="AD1230" s="55" t="n">
        <f aca="false">IF(AC1230,IF(01_因子設定!$B$13="最大化",AA1230-01_因子設定!$B$14,IF(01_因子設定!$B$13="最小化",01_因子設定!$B$15-AB1230,MIN(AA1230-01_因子設定!$B$14,01_因子設定!$B$15-AB1230))),-1E+030)</f>
        <v>-4.8473428427414</v>
      </c>
      <c r="AE1230" s="55" t="n">
        <f aca="false">IF(AC1230,IF(01_因子設定!$B$13="最大化",X1230,IF(01_因子設定!$B$13="最小化",-X1230,-ABS(X1230-01_因子設定!$B$16))),-1E+030)</f>
        <v>43.1190561038012</v>
      </c>
      <c r="AF1230" s="55" t="n">
        <f aca="false">AD1230+ROW()*0.000000001</f>
        <v>-4.8473416127414</v>
      </c>
      <c r="AG1230" s="55" t="n">
        <f aca="false">AE1230+ROW()*0.000000001</f>
        <v>43.1190573338012</v>
      </c>
    </row>
    <row r="1231" customFormat="false" ht="15" hidden="false" customHeight="false" outlineLevel="0" collapsed="false">
      <c r="A1231" s="0" t="n">
        <v>1</v>
      </c>
      <c r="B1231" s="0" t="n">
        <v>6</v>
      </c>
      <c r="C1231" s="0" t="n">
        <v>1</v>
      </c>
      <c r="D1231" s="0" t="n">
        <v>2</v>
      </c>
      <c r="E1231" s="0" t="n">
        <f aca="false">-1+A1231*0.25</f>
        <v>-0.75</v>
      </c>
      <c r="F1231" s="0" t="n">
        <f aca="false">-1+B1231*0.25</f>
        <v>0.5</v>
      </c>
      <c r="G1231" s="0" t="n">
        <f aca="false">-1+C1231*0.25</f>
        <v>-0.75</v>
      </c>
      <c r="H1231" s="0" t="n">
        <f aca="false">-1+D1231*0.25</f>
        <v>-0.5</v>
      </c>
      <c r="I1231" s="0" t="n">
        <f aca="false">1</f>
        <v>1</v>
      </c>
      <c r="J1231" s="0" t="n">
        <f aca="false">E1231</f>
        <v>-0.75</v>
      </c>
      <c r="K1231" s="0" t="n">
        <f aca="false">F1231</f>
        <v>0.5</v>
      </c>
      <c r="L1231" s="0" t="n">
        <f aca="false">G1231</f>
        <v>-0.75</v>
      </c>
      <c r="M1231" s="0" t="n">
        <f aca="false">H1231</f>
        <v>-0.5</v>
      </c>
      <c r="N1231" s="0" t="n">
        <f aca="false">E1231*F1231</f>
        <v>-0.375</v>
      </c>
      <c r="O1231" s="0" t="n">
        <f aca="false">E1231*G1231</f>
        <v>0.5625</v>
      </c>
      <c r="P1231" s="0" t="n">
        <f aca="false">E1231*H1231</f>
        <v>0.375</v>
      </c>
      <c r="Q1231" s="0" t="n">
        <f aca="false">F1231*G1231</f>
        <v>-0.375</v>
      </c>
      <c r="R1231" s="0" t="n">
        <f aca="false">F1231*H1231</f>
        <v>-0.25</v>
      </c>
      <c r="S1231" s="0" t="n">
        <f aca="false">G1231*H1231</f>
        <v>0.375</v>
      </c>
      <c r="T1231" s="0" t="n">
        <f aca="false">E1231*E1231</f>
        <v>0.5625</v>
      </c>
      <c r="U1231" s="0" t="n">
        <f aca="false">F1231*F1231</f>
        <v>0.25</v>
      </c>
      <c r="V1231" s="0" t="n">
        <f aca="false">G1231*G1231</f>
        <v>0.5625</v>
      </c>
      <c r="W1231" s="0" t="n">
        <f aca="false">H1231*H1231</f>
        <v>0.25</v>
      </c>
      <c r="X1231" s="0" t="n">
        <f aca="false">SUMPRODUCT(I1231:W1231,_XtX!$B$96:$P$96)</f>
        <v>43.2360562865497</v>
      </c>
      <c r="Y1231" s="0" t="n">
        <f aca="false">SUMPRODUCT(MMULT(I1231:W1231,_XtX!$B$78:$P$92),I1231:W1231)</f>
        <v>0.237862927174708</v>
      </c>
      <c r="Z1231" s="0" t="n">
        <f aca="false">04_回帰ANOVA!$K$19*04_回帰ANOVA!$K$14*SQRT(1+Y1231)</f>
        <v>1.45022260708756</v>
      </c>
      <c r="AA1231" s="0" t="n">
        <f aca="false">X1231-Z1231</f>
        <v>41.7858336794621</v>
      </c>
      <c r="AB1231" s="0" t="n">
        <f aca="false">X1231+Z1231</f>
        <v>44.6862788936373</v>
      </c>
      <c r="AC1231" s="54" t="b">
        <f aca="false">AND(E1231&gt;=01_因子設定!$L$5-0.000000001,E1231&lt;=01_因子設定!$M$5+0.000000001,F1231&gt;=01_因子設定!$L$6-0.000000001,F1231&lt;=01_因子設定!$M$6+0.000000001,G1231&gt;=01_因子設定!$L$7-0.000000001,G1231&lt;=01_因子設定!$M$7+0.000000001,H1231&gt;=01_因子設定!$L$8-0.000000001,H1231&lt;=01_因子設定!$M$8+0.000000001,IF(01_因子設定!$B$20="Box-Behnken",E1231^2+F1231^2+G1231^2+H1231^2&lt;=2+0.000000001,TRUE()))</f>
        <v>1</v>
      </c>
      <c r="AD1231" s="55" t="n">
        <f aca="false">IF(AC1231,IF(01_因子設定!$B$13="最大化",AA1231-01_因子設定!$B$14,IF(01_因子設定!$B$13="最小化",01_因子設定!$B$15-AB1231,MIN(AA1231-01_因子設定!$B$14,01_因子設定!$B$15-AB1231))),-1E+030)</f>
        <v>-4.71416632053786</v>
      </c>
      <c r="AE1231" s="55" t="n">
        <f aca="false">IF(AC1231,IF(01_因子設定!$B$13="最大化",X1231,IF(01_因子設定!$B$13="最小化",-X1231,-ABS(X1231-01_因子設定!$B$16))),-1E+030)</f>
        <v>43.2360562865497</v>
      </c>
      <c r="AF1231" s="55" t="n">
        <f aca="false">AD1231+ROW()*0.000000001</f>
        <v>-4.71416508953786</v>
      </c>
      <c r="AG1231" s="55" t="n">
        <f aca="false">AE1231+ROW()*0.000000001</f>
        <v>43.2360575175497</v>
      </c>
    </row>
    <row r="1232" customFormat="false" ht="15" hidden="false" customHeight="false" outlineLevel="0" collapsed="false">
      <c r="A1232" s="0" t="n">
        <v>1</v>
      </c>
      <c r="B1232" s="0" t="n">
        <v>6</v>
      </c>
      <c r="C1232" s="0" t="n">
        <v>1</v>
      </c>
      <c r="D1232" s="0" t="n">
        <v>3</v>
      </c>
      <c r="E1232" s="0" t="n">
        <f aca="false">-1+A1232*0.25</f>
        <v>-0.75</v>
      </c>
      <c r="F1232" s="0" t="n">
        <f aca="false">-1+B1232*0.25</f>
        <v>0.5</v>
      </c>
      <c r="G1232" s="0" t="n">
        <f aca="false">-1+C1232*0.25</f>
        <v>-0.75</v>
      </c>
      <c r="H1232" s="0" t="n">
        <f aca="false">-1+D1232*0.25</f>
        <v>-0.25</v>
      </c>
      <c r="I1232" s="0" t="n">
        <f aca="false">1</f>
        <v>1</v>
      </c>
      <c r="J1232" s="0" t="n">
        <f aca="false">E1232</f>
        <v>-0.75</v>
      </c>
      <c r="K1232" s="0" t="n">
        <f aca="false">F1232</f>
        <v>0.5</v>
      </c>
      <c r="L1232" s="0" t="n">
        <f aca="false">G1232</f>
        <v>-0.75</v>
      </c>
      <c r="M1232" s="0" t="n">
        <f aca="false">H1232</f>
        <v>-0.25</v>
      </c>
      <c r="N1232" s="0" t="n">
        <f aca="false">E1232*F1232</f>
        <v>-0.375</v>
      </c>
      <c r="O1232" s="0" t="n">
        <f aca="false">E1232*G1232</f>
        <v>0.5625</v>
      </c>
      <c r="P1232" s="0" t="n">
        <f aca="false">E1232*H1232</f>
        <v>0.1875</v>
      </c>
      <c r="Q1232" s="0" t="n">
        <f aca="false">F1232*G1232</f>
        <v>-0.375</v>
      </c>
      <c r="R1232" s="0" t="n">
        <f aca="false">F1232*H1232</f>
        <v>-0.125</v>
      </c>
      <c r="S1232" s="0" t="n">
        <f aca="false">G1232*H1232</f>
        <v>0.1875</v>
      </c>
      <c r="T1232" s="0" t="n">
        <f aca="false">E1232*E1232</f>
        <v>0.5625</v>
      </c>
      <c r="U1232" s="0" t="n">
        <f aca="false">F1232*F1232</f>
        <v>0.25</v>
      </c>
      <c r="V1232" s="0" t="n">
        <f aca="false">G1232*G1232</f>
        <v>0.5625</v>
      </c>
      <c r="W1232" s="0" t="n">
        <f aca="false">H1232*H1232</f>
        <v>0.0625</v>
      </c>
      <c r="X1232" s="0" t="n">
        <f aca="false">SUMPRODUCT(I1232:W1232,_XtX!$B$96:$P$96)</f>
        <v>43.3052494517544</v>
      </c>
      <c r="Y1232" s="0" t="n">
        <f aca="false">SUMPRODUCT(MMULT(I1232:W1232,_XtX!$B$78:$P$92),I1232:W1232)</f>
        <v>0.257385610836988</v>
      </c>
      <c r="Z1232" s="0" t="n">
        <f aca="false">04_回帰ANOVA!$K$19*04_回帰ANOVA!$K$14*SQRT(1+Y1232)</f>
        <v>1.46161380324158</v>
      </c>
      <c r="AA1232" s="0" t="n">
        <f aca="false">X1232-Z1232</f>
        <v>41.8436356485128</v>
      </c>
      <c r="AB1232" s="0" t="n">
        <f aca="false">X1232+Z1232</f>
        <v>44.766863254996</v>
      </c>
      <c r="AC1232" s="54" t="b">
        <f aca="false">AND(E1232&gt;=01_因子設定!$L$5-0.000000001,E1232&lt;=01_因子設定!$M$5+0.000000001,F1232&gt;=01_因子設定!$L$6-0.000000001,F1232&lt;=01_因子設定!$M$6+0.000000001,G1232&gt;=01_因子設定!$L$7-0.000000001,G1232&lt;=01_因子設定!$M$7+0.000000001,H1232&gt;=01_因子設定!$L$8-0.000000001,H1232&lt;=01_因子設定!$M$8+0.000000001,IF(01_因子設定!$B$20="Box-Behnken",E1232^2+F1232^2+G1232^2+H1232^2&lt;=2+0.000000001,TRUE()))</f>
        <v>1</v>
      </c>
      <c r="AD1232" s="55" t="n">
        <f aca="false">IF(AC1232,IF(01_因子設定!$B$13="最大化",AA1232-01_因子設定!$B$14,IF(01_因子設定!$B$13="最小化",01_因子設定!$B$15-AB1232,MIN(AA1232-01_因子設定!$B$14,01_因子設定!$B$15-AB1232))),-1E+030)</f>
        <v>-4.65636435148721</v>
      </c>
      <c r="AE1232" s="55" t="n">
        <f aca="false">IF(AC1232,IF(01_因子設定!$B$13="最大化",X1232,IF(01_因子設定!$B$13="最小化",-X1232,-ABS(X1232-01_因子設定!$B$16))),-1E+030)</f>
        <v>43.3052494517544</v>
      </c>
      <c r="AF1232" s="55" t="n">
        <f aca="false">AD1232+ROW()*0.000000001</f>
        <v>-4.65636311948721</v>
      </c>
      <c r="AG1232" s="55" t="n">
        <f aca="false">AE1232+ROW()*0.000000001</f>
        <v>43.3052506837544</v>
      </c>
    </row>
    <row r="1233" customFormat="false" ht="15" hidden="false" customHeight="false" outlineLevel="0" collapsed="false">
      <c r="A1233" s="0" t="n">
        <v>1</v>
      </c>
      <c r="B1233" s="0" t="n">
        <v>6</v>
      </c>
      <c r="C1233" s="0" t="n">
        <v>1</v>
      </c>
      <c r="D1233" s="0" t="n">
        <v>4</v>
      </c>
      <c r="E1233" s="0" t="n">
        <f aca="false">-1+A1233*0.25</f>
        <v>-0.75</v>
      </c>
      <c r="F1233" s="0" t="n">
        <f aca="false">-1+B1233*0.25</f>
        <v>0.5</v>
      </c>
      <c r="G1233" s="0" t="n">
        <f aca="false">-1+C1233*0.25</f>
        <v>-0.75</v>
      </c>
      <c r="H1233" s="0" t="n">
        <f aca="false">-1+D1233*0.25</f>
        <v>0</v>
      </c>
      <c r="I1233" s="0" t="n">
        <f aca="false">1</f>
        <v>1</v>
      </c>
      <c r="J1233" s="0" t="n">
        <f aca="false">E1233</f>
        <v>-0.75</v>
      </c>
      <c r="K1233" s="0" t="n">
        <f aca="false">F1233</f>
        <v>0.5</v>
      </c>
      <c r="L1233" s="0" t="n">
        <f aca="false">G1233</f>
        <v>-0.75</v>
      </c>
      <c r="M1233" s="0" t="n">
        <f aca="false">H1233</f>
        <v>0</v>
      </c>
      <c r="N1233" s="0" t="n">
        <f aca="false">E1233*F1233</f>
        <v>-0.375</v>
      </c>
      <c r="O1233" s="0" t="n">
        <f aca="false">E1233*G1233</f>
        <v>0.5625</v>
      </c>
      <c r="P1233" s="0" t="n">
        <f aca="false">E1233*H1233</f>
        <v>-0</v>
      </c>
      <c r="Q1233" s="0" t="n">
        <f aca="false">F1233*G1233</f>
        <v>-0.375</v>
      </c>
      <c r="R1233" s="0" t="n">
        <f aca="false">F1233*H1233</f>
        <v>0</v>
      </c>
      <c r="S1233" s="0" t="n">
        <f aca="false">G1233*H1233</f>
        <v>-0</v>
      </c>
      <c r="T1233" s="0" t="n">
        <f aca="false">E1233*E1233</f>
        <v>0.5625</v>
      </c>
      <c r="U1233" s="0" t="n">
        <f aca="false">F1233*F1233</f>
        <v>0.25</v>
      </c>
      <c r="V1233" s="0" t="n">
        <f aca="false">G1233*G1233</f>
        <v>0.5625</v>
      </c>
      <c r="W1233" s="0" t="n">
        <f aca="false">H1233*H1233</f>
        <v>0</v>
      </c>
      <c r="X1233" s="0" t="n">
        <f aca="false">SUMPRODUCT(I1233:W1233,_XtX!$B$96:$P$96)</f>
        <v>43.3266355994152</v>
      </c>
      <c r="Y1233" s="0" t="n">
        <f aca="false">SUMPRODUCT(MMULT(I1233:W1233,_XtX!$B$78:$P$92),I1233:W1233)</f>
        <v>0.269923873812135</v>
      </c>
      <c r="Z1233" s="0" t="n">
        <f aca="false">04_回帰ANOVA!$K$19*04_回帰ANOVA!$K$14*SQRT(1+Y1233)</f>
        <v>1.46888310825501</v>
      </c>
      <c r="AA1233" s="0" t="n">
        <f aca="false">X1233-Z1233</f>
        <v>41.8577524911602</v>
      </c>
      <c r="AB1233" s="0" t="n">
        <f aca="false">X1233+Z1233</f>
        <v>44.7955187076702</v>
      </c>
      <c r="AC1233" s="54" t="b">
        <f aca="false">AND(E1233&gt;=01_因子設定!$L$5-0.000000001,E1233&lt;=01_因子設定!$M$5+0.000000001,F1233&gt;=01_因子設定!$L$6-0.000000001,F1233&lt;=01_因子設定!$M$6+0.000000001,G1233&gt;=01_因子設定!$L$7-0.000000001,G1233&lt;=01_因子設定!$M$7+0.000000001,H1233&gt;=01_因子設定!$L$8-0.000000001,H1233&lt;=01_因子設定!$M$8+0.000000001,IF(01_因子設定!$B$20="Box-Behnken",E1233^2+F1233^2+G1233^2+H1233^2&lt;=2+0.000000001,TRUE()))</f>
        <v>1</v>
      </c>
      <c r="AD1233" s="55" t="n">
        <f aca="false">IF(AC1233,IF(01_因子設定!$B$13="最大化",AA1233-01_因子設定!$B$14,IF(01_因子設定!$B$13="最小化",01_因子設定!$B$15-AB1233,MIN(AA1233-01_因子設定!$B$14,01_因子設定!$B$15-AB1233))),-1E+030)</f>
        <v>-4.64224750883982</v>
      </c>
      <c r="AE1233" s="55" t="n">
        <f aca="false">IF(AC1233,IF(01_因子設定!$B$13="最大化",X1233,IF(01_因子設定!$B$13="最小化",-X1233,-ABS(X1233-01_因子設定!$B$16))),-1E+030)</f>
        <v>43.3266355994152</v>
      </c>
      <c r="AF1233" s="55" t="n">
        <f aca="false">AD1233+ROW()*0.000000001</f>
        <v>-4.64224627583982</v>
      </c>
      <c r="AG1233" s="55" t="n">
        <f aca="false">AE1233+ROW()*0.000000001</f>
        <v>43.3266368324152</v>
      </c>
    </row>
    <row r="1234" customFormat="false" ht="15" hidden="false" customHeight="false" outlineLevel="0" collapsed="false">
      <c r="A1234" s="0" t="n">
        <v>1</v>
      </c>
      <c r="B1234" s="0" t="n">
        <v>6</v>
      </c>
      <c r="C1234" s="0" t="n">
        <v>1</v>
      </c>
      <c r="D1234" s="0" t="n">
        <v>5</v>
      </c>
      <c r="E1234" s="0" t="n">
        <f aca="false">-1+A1234*0.25</f>
        <v>-0.75</v>
      </c>
      <c r="F1234" s="0" t="n">
        <f aca="false">-1+B1234*0.25</f>
        <v>0.5</v>
      </c>
      <c r="G1234" s="0" t="n">
        <f aca="false">-1+C1234*0.25</f>
        <v>-0.75</v>
      </c>
      <c r="H1234" s="0" t="n">
        <f aca="false">-1+D1234*0.25</f>
        <v>0.25</v>
      </c>
      <c r="I1234" s="0" t="n">
        <f aca="false">1</f>
        <v>1</v>
      </c>
      <c r="J1234" s="0" t="n">
        <f aca="false">E1234</f>
        <v>-0.75</v>
      </c>
      <c r="K1234" s="0" t="n">
        <f aca="false">F1234</f>
        <v>0.5</v>
      </c>
      <c r="L1234" s="0" t="n">
        <f aca="false">G1234</f>
        <v>-0.75</v>
      </c>
      <c r="M1234" s="0" t="n">
        <f aca="false">H1234</f>
        <v>0.25</v>
      </c>
      <c r="N1234" s="0" t="n">
        <f aca="false">E1234*F1234</f>
        <v>-0.375</v>
      </c>
      <c r="O1234" s="0" t="n">
        <f aca="false">E1234*G1234</f>
        <v>0.5625</v>
      </c>
      <c r="P1234" s="0" t="n">
        <f aca="false">E1234*H1234</f>
        <v>-0.1875</v>
      </c>
      <c r="Q1234" s="0" t="n">
        <f aca="false">F1234*G1234</f>
        <v>-0.375</v>
      </c>
      <c r="R1234" s="0" t="n">
        <f aca="false">F1234*H1234</f>
        <v>0.125</v>
      </c>
      <c r="S1234" s="0" t="n">
        <f aca="false">G1234*H1234</f>
        <v>-0.1875</v>
      </c>
      <c r="T1234" s="0" t="n">
        <f aca="false">E1234*E1234</f>
        <v>0.5625</v>
      </c>
      <c r="U1234" s="0" t="n">
        <f aca="false">F1234*F1234</f>
        <v>0.25</v>
      </c>
      <c r="V1234" s="0" t="n">
        <f aca="false">G1234*G1234</f>
        <v>0.5625</v>
      </c>
      <c r="W1234" s="0" t="n">
        <f aca="false">H1234*H1234</f>
        <v>0.0625</v>
      </c>
      <c r="X1234" s="0" t="n">
        <f aca="false">SUMPRODUCT(I1234:W1234,_XtX!$B$96:$P$96)</f>
        <v>43.3002147295322</v>
      </c>
      <c r="Y1234" s="0" t="n">
        <f aca="false">SUMPRODUCT(MMULT(I1234:W1234,_XtX!$B$78:$P$92),I1234:W1234)</f>
        <v>0.257385610836988</v>
      </c>
      <c r="Z1234" s="0" t="n">
        <f aca="false">04_回帰ANOVA!$K$19*04_回帰ANOVA!$K$14*SQRT(1+Y1234)</f>
        <v>1.46161380324158</v>
      </c>
      <c r="AA1234" s="0" t="n">
        <f aca="false">X1234-Z1234</f>
        <v>41.8386009262906</v>
      </c>
      <c r="AB1234" s="0" t="n">
        <f aca="false">X1234+Z1234</f>
        <v>44.7618285327737</v>
      </c>
      <c r="AC1234" s="54" t="b">
        <f aca="false">AND(E1234&gt;=01_因子設定!$L$5-0.000000001,E1234&lt;=01_因子設定!$M$5+0.000000001,F1234&gt;=01_因子設定!$L$6-0.000000001,F1234&lt;=01_因子設定!$M$6+0.000000001,G1234&gt;=01_因子設定!$L$7-0.000000001,G1234&lt;=01_因子設定!$M$7+0.000000001,H1234&gt;=01_因子設定!$L$8-0.000000001,H1234&lt;=01_因子設定!$M$8+0.000000001,IF(01_因子設定!$B$20="Box-Behnken",E1234^2+F1234^2+G1234^2+H1234^2&lt;=2+0.000000001,TRUE()))</f>
        <v>1</v>
      </c>
      <c r="AD1234" s="55" t="n">
        <f aca="false">IF(AC1234,IF(01_因子設定!$B$13="最大化",AA1234-01_因子設定!$B$14,IF(01_因子設定!$B$13="最小化",01_因子設定!$B$15-AB1234,MIN(AA1234-01_因子設定!$B$14,01_因子設定!$B$15-AB1234))),-1E+030)</f>
        <v>-4.66139907370943</v>
      </c>
      <c r="AE1234" s="55" t="n">
        <f aca="false">IF(AC1234,IF(01_因子設定!$B$13="最大化",X1234,IF(01_因子設定!$B$13="最小化",-X1234,-ABS(X1234-01_因子設定!$B$16))),-1E+030)</f>
        <v>43.3002147295322</v>
      </c>
      <c r="AF1234" s="55" t="n">
        <f aca="false">AD1234+ROW()*0.000000001</f>
        <v>-4.66139783970943</v>
      </c>
      <c r="AG1234" s="55" t="n">
        <f aca="false">AE1234+ROW()*0.000000001</f>
        <v>43.3002159635322</v>
      </c>
    </row>
    <row r="1235" customFormat="false" ht="15" hidden="false" customHeight="false" outlineLevel="0" collapsed="false">
      <c r="A1235" s="0" t="n">
        <v>1</v>
      </c>
      <c r="B1235" s="0" t="n">
        <v>6</v>
      </c>
      <c r="C1235" s="0" t="n">
        <v>1</v>
      </c>
      <c r="D1235" s="0" t="n">
        <v>6</v>
      </c>
      <c r="E1235" s="0" t="n">
        <f aca="false">-1+A1235*0.25</f>
        <v>-0.75</v>
      </c>
      <c r="F1235" s="0" t="n">
        <f aca="false">-1+B1235*0.25</f>
        <v>0.5</v>
      </c>
      <c r="G1235" s="0" t="n">
        <f aca="false">-1+C1235*0.25</f>
        <v>-0.75</v>
      </c>
      <c r="H1235" s="0" t="n">
        <f aca="false">-1+D1235*0.25</f>
        <v>0.5</v>
      </c>
      <c r="I1235" s="0" t="n">
        <f aca="false">1</f>
        <v>1</v>
      </c>
      <c r="J1235" s="0" t="n">
        <f aca="false">E1235</f>
        <v>-0.75</v>
      </c>
      <c r="K1235" s="0" t="n">
        <f aca="false">F1235</f>
        <v>0.5</v>
      </c>
      <c r="L1235" s="0" t="n">
        <f aca="false">G1235</f>
        <v>-0.75</v>
      </c>
      <c r="M1235" s="0" t="n">
        <f aca="false">H1235</f>
        <v>0.5</v>
      </c>
      <c r="N1235" s="0" t="n">
        <f aca="false">E1235*F1235</f>
        <v>-0.375</v>
      </c>
      <c r="O1235" s="0" t="n">
        <f aca="false">E1235*G1235</f>
        <v>0.5625</v>
      </c>
      <c r="P1235" s="0" t="n">
        <f aca="false">E1235*H1235</f>
        <v>-0.375</v>
      </c>
      <c r="Q1235" s="0" t="n">
        <f aca="false">F1235*G1235</f>
        <v>-0.375</v>
      </c>
      <c r="R1235" s="0" t="n">
        <f aca="false">F1235*H1235</f>
        <v>0.25</v>
      </c>
      <c r="S1235" s="0" t="n">
        <f aca="false">G1235*H1235</f>
        <v>-0.375</v>
      </c>
      <c r="T1235" s="0" t="n">
        <f aca="false">E1235*E1235</f>
        <v>0.5625</v>
      </c>
      <c r="U1235" s="0" t="n">
        <f aca="false">F1235*F1235</f>
        <v>0.25</v>
      </c>
      <c r="V1235" s="0" t="n">
        <f aca="false">G1235*G1235</f>
        <v>0.5625</v>
      </c>
      <c r="W1235" s="0" t="n">
        <f aca="false">H1235*H1235</f>
        <v>0.25</v>
      </c>
      <c r="X1235" s="0" t="n">
        <f aca="false">SUMPRODUCT(I1235:W1235,_XtX!$B$96:$P$96)</f>
        <v>43.2259868421053</v>
      </c>
      <c r="Y1235" s="0" t="n">
        <f aca="false">SUMPRODUCT(MMULT(I1235:W1235,_XtX!$B$78:$P$92),I1235:W1235)</f>
        <v>0.237862927174708</v>
      </c>
      <c r="Z1235" s="0" t="n">
        <f aca="false">04_回帰ANOVA!$K$19*04_回帰ANOVA!$K$14*SQRT(1+Y1235)</f>
        <v>1.45022260708756</v>
      </c>
      <c r="AA1235" s="0" t="n">
        <f aca="false">X1235-Z1235</f>
        <v>41.7757642350177</v>
      </c>
      <c r="AB1235" s="0" t="n">
        <f aca="false">X1235+Z1235</f>
        <v>44.6762094491928</v>
      </c>
      <c r="AC1235" s="54" t="b">
        <f aca="false">AND(E1235&gt;=01_因子設定!$L$5-0.000000001,E1235&lt;=01_因子設定!$M$5+0.000000001,F1235&gt;=01_因子設定!$L$6-0.000000001,F1235&lt;=01_因子設定!$M$6+0.000000001,G1235&gt;=01_因子設定!$L$7-0.000000001,G1235&lt;=01_因子設定!$M$7+0.000000001,H1235&gt;=01_因子設定!$L$8-0.000000001,H1235&lt;=01_因子設定!$M$8+0.000000001,IF(01_因子設定!$B$20="Box-Behnken",E1235^2+F1235^2+G1235^2+H1235^2&lt;=2+0.000000001,TRUE()))</f>
        <v>1</v>
      </c>
      <c r="AD1235" s="55" t="n">
        <f aca="false">IF(AC1235,IF(01_因子設定!$B$13="最大化",AA1235-01_因子設定!$B$14,IF(01_因子設定!$B$13="最小化",01_因子設定!$B$15-AB1235,MIN(AA1235-01_因子設定!$B$14,01_因子設定!$B$15-AB1235))),-1E+030)</f>
        <v>-4.7242357649823</v>
      </c>
      <c r="AE1235" s="55" t="n">
        <f aca="false">IF(AC1235,IF(01_因子設定!$B$13="最大化",X1235,IF(01_因子設定!$B$13="最小化",-X1235,-ABS(X1235-01_因子設定!$B$16))),-1E+030)</f>
        <v>43.2259868421053</v>
      </c>
      <c r="AF1235" s="55" t="n">
        <f aca="false">AD1235+ROW()*0.000000001</f>
        <v>-4.7242345299823</v>
      </c>
      <c r="AG1235" s="55" t="n">
        <f aca="false">AE1235+ROW()*0.000000001</f>
        <v>43.2259880771053</v>
      </c>
    </row>
    <row r="1236" customFormat="false" ht="15" hidden="false" customHeight="false" outlineLevel="0" collapsed="false">
      <c r="A1236" s="0" t="n">
        <v>1</v>
      </c>
      <c r="B1236" s="0" t="n">
        <v>6</v>
      </c>
      <c r="C1236" s="0" t="n">
        <v>1</v>
      </c>
      <c r="D1236" s="0" t="n">
        <v>7</v>
      </c>
      <c r="E1236" s="0" t="n">
        <f aca="false">-1+A1236*0.25</f>
        <v>-0.75</v>
      </c>
      <c r="F1236" s="0" t="n">
        <f aca="false">-1+B1236*0.25</f>
        <v>0.5</v>
      </c>
      <c r="G1236" s="0" t="n">
        <f aca="false">-1+C1236*0.25</f>
        <v>-0.75</v>
      </c>
      <c r="H1236" s="0" t="n">
        <f aca="false">-1+D1236*0.25</f>
        <v>0.75</v>
      </c>
      <c r="I1236" s="0" t="n">
        <f aca="false">1</f>
        <v>1</v>
      </c>
      <c r="J1236" s="0" t="n">
        <f aca="false">E1236</f>
        <v>-0.75</v>
      </c>
      <c r="K1236" s="0" t="n">
        <f aca="false">F1236</f>
        <v>0.5</v>
      </c>
      <c r="L1236" s="0" t="n">
        <f aca="false">G1236</f>
        <v>-0.75</v>
      </c>
      <c r="M1236" s="0" t="n">
        <f aca="false">H1236</f>
        <v>0.75</v>
      </c>
      <c r="N1236" s="0" t="n">
        <f aca="false">E1236*F1236</f>
        <v>-0.375</v>
      </c>
      <c r="O1236" s="0" t="n">
        <f aca="false">E1236*G1236</f>
        <v>0.5625</v>
      </c>
      <c r="P1236" s="0" t="n">
        <f aca="false">E1236*H1236</f>
        <v>-0.5625</v>
      </c>
      <c r="Q1236" s="0" t="n">
        <f aca="false">F1236*G1236</f>
        <v>-0.375</v>
      </c>
      <c r="R1236" s="0" t="n">
        <f aca="false">F1236*H1236</f>
        <v>0.375</v>
      </c>
      <c r="S1236" s="0" t="n">
        <f aca="false">G1236*H1236</f>
        <v>-0.5625</v>
      </c>
      <c r="T1236" s="0" t="n">
        <f aca="false">E1236*E1236</f>
        <v>0.5625</v>
      </c>
      <c r="U1236" s="0" t="n">
        <f aca="false">F1236*F1236</f>
        <v>0.25</v>
      </c>
      <c r="V1236" s="0" t="n">
        <f aca="false">G1236*G1236</f>
        <v>0.5625</v>
      </c>
      <c r="W1236" s="0" t="n">
        <f aca="false">H1236*H1236</f>
        <v>0.5625</v>
      </c>
      <c r="X1236" s="0" t="n">
        <f aca="false">SUMPRODUCT(I1236:W1236,_XtX!$B$96:$P$96)</f>
        <v>43.1039519371345</v>
      </c>
      <c r="Y1236" s="0" t="n">
        <f aca="false">SUMPRODUCT(MMULT(I1236:W1236,_XtX!$B$78:$P$92),I1236:W1236)</f>
        <v>0.265632138614766</v>
      </c>
      <c r="Z1236" s="0" t="n">
        <f aca="false">04_回帰ANOVA!$K$19*04_回帰ANOVA!$K$14*SQRT(1+Y1236)</f>
        <v>1.46639894654257</v>
      </c>
      <c r="AA1236" s="0" t="n">
        <f aca="false">X1236-Z1236</f>
        <v>41.6375529905919</v>
      </c>
      <c r="AB1236" s="0" t="n">
        <f aca="false">X1236+Z1236</f>
        <v>44.5703508836771</v>
      </c>
      <c r="AC1236" s="54" t="b">
        <f aca="false">AND(E1236&gt;=01_因子設定!$L$5-0.000000001,E1236&lt;=01_因子設定!$M$5+0.000000001,F1236&gt;=01_因子設定!$L$6-0.000000001,F1236&lt;=01_因子設定!$M$6+0.000000001,G1236&gt;=01_因子設定!$L$7-0.000000001,G1236&lt;=01_因子設定!$M$7+0.000000001,H1236&gt;=01_因子設定!$L$8-0.000000001,H1236&lt;=01_因子設定!$M$8+0.000000001,IF(01_因子設定!$B$20="Box-Behnken",E1236^2+F1236^2+G1236^2+H1236^2&lt;=2+0.000000001,TRUE()))</f>
        <v>1</v>
      </c>
      <c r="AD1236" s="55" t="n">
        <f aca="false">IF(AC1236,IF(01_因子設定!$B$13="最大化",AA1236-01_因子設定!$B$14,IF(01_因子設定!$B$13="最小化",01_因子設定!$B$15-AB1236,MIN(AA1236-01_因子設定!$B$14,01_因子設定!$B$15-AB1236))),-1E+030)</f>
        <v>-4.86244700940807</v>
      </c>
      <c r="AE1236" s="55" t="n">
        <f aca="false">IF(AC1236,IF(01_因子設定!$B$13="最大化",X1236,IF(01_因子設定!$B$13="最小化",-X1236,-ABS(X1236-01_因子設定!$B$16))),-1E+030)</f>
        <v>43.1039519371345</v>
      </c>
      <c r="AF1236" s="55" t="n">
        <f aca="false">AD1236+ROW()*0.000000001</f>
        <v>-4.86244577340807</v>
      </c>
      <c r="AG1236" s="55" t="n">
        <f aca="false">AE1236+ROW()*0.000000001</f>
        <v>43.1039531731345</v>
      </c>
    </row>
    <row r="1237" customFormat="false" ht="15" hidden="false" customHeight="false" outlineLevel="0" collapsed="false">
      <c r="A1237" s="0" t="n">
        <v>1</v>
      </c>
      <c r="B1237" s="0" t="n">
        <v>6</v>
      </c>
      <c r="C1237" s="0" t="n">
        <v>1</v>
      </c>
      <c r="D1237" s="0" t="n">
        <v>8</v>
      </c>
      <c r="E1237" s="0" t="n">
        <f aca="false">-1+A1237*0.25</f>
        <v>-0.75</v>
      </c>
      <c r="F1237" s="0" t="n">
        <f aca="false">-1+B1237*0.25</f>
        <v>0.5</v>
      </c>
      <c r="G1237" s="0" t="n">
        <f aca="false">-1+C1237*0.25</f>
        <v>-0.75</v>
      </c>
      <c r="H1237" s="0" t="n">
        <f aca="false">-1+D1237*0.25</f>
        <v>1</v>
      </c>
      <c r="I1237" s="0" t="n">
        <f aca="false">1</f>
        <v>1</v>
      </c>
      <c r="J1237" s="0" t="n">
        <f aca="false">E1237</f>
        <v>-0.75</v>
      </c>
      <c r="K1237" s="0" t="n">
        <f aca="false">F1237</f>
        <v>0.5</v>
      </c>
      <c r="L1237" s="0" t="n">
        <f aca="false">G1237</f>
        <v>-0.75</v>
      </c>
      <c r="M1237" s="0" t="n">
        <f aca="false">H1237</f>
        <v>1</v>
      </c>
      <c r="N1237" s="0" t="n">
        <f aca="false">E1237*F1237</f>
        <v>-0.375</v>
      </c>
      <c r="O1237" s="0" t="n">
        <f aca="false">E1237*G1237</f>
        <v>0.5625</v>
      </c>
      <c r="P1237" s="0" t="n">
        <f aca="false">E1237*H1237</f>
        <v>-0.75</v>
      </c>
      <c r="Q1237" s="0" t="n">
        <f aca="false">F1237*G1237</f>
        <v>-0.375</v>
      </c>
      <c r="R1237" s="0" t="n">
        <f aca="false">F1237*H1237</f>
        <v>0.5</v>
      </c>
      <c r="S1237" s="0" t="n">
        <f aca="false">G1237*H1237</f>
        <v>-0.75</v>
      </c>
      <c r="T1237" s="0" t="n">
        <f aca="false">E1237*E1237</f>
        <v>0.5625</v>
      </c>
      <c r="U1237" s="0" t="n">
        <f aca="false">F1237*F1237</f>
        <v>0.25</v>
      </c>
      <c r="V1237" s="0" t="n">
        <f aca="false">G1237*G1237</f>
        <v>0.5625</v>
      </c>
      <c r="W1237" s="0" t="n">
        <f aca="false">H1237*H1237</f>
        <v>1</v>
      </c>
      <c r="X1237" s="0" t="n">
        <f aca="false">SUMPRODUCT(I1237:W1237,_XtX!$B$96:$P$96)</f>
        <v>42.9341100146199</v>
      </c>
      <c r="Y1237" s="0" t="n">
        <f aca="false">SUMPRODUCT(MMULT(I1237:W1237,_XtX!$B$78:$P$92),I1237:W1237)</f>
        <v>0.431153771472953</v>
      </c>
      <c r="Z1237" s="0" t="n">
        <f aca="false">04_回帰ANOVA!$K$19*04_回帰ANOVA!$K$14*SQRT(1+Y1237)</f>
        <v>1.55934259562563</v>
      </c>
      <c r="AA1237" s="0" t="n">
        <f aca="false">X1237-Z1237</f>
        <v>41.3747674189943</v>
      </c>
      <c r="AB1237" s="0" t="n">
        <f aca="false">X1237+Z1237</f>
        <v>44.4934526102455</v>
      </c>
      <c r="AC1237" s="54" t="b">
        <f aca="false">AND(E1237&gt;=01_因子設定!$L$5-0.000000001,E1237&lt;=01_因子設定!$M$5+0.000000001,F1237&gt;=01_因子設定!$L$6-0.000000001,F1237&lt;=01_因子設定!$M$6+0.000000001,G1237&gt;=01_因子設定!$L$7-0.000000001,G1237&lt;=01_因子設定!$M$7+0.000000001,H1237&gt;=01_因子設定!$L$8-0.000000001,H1237&lt;=01_因子設定!$M$8+0.000000001,IF(01_因子設定!$B$20="Box-Behnken",E1237^2+F1237^2+G1237^2+H1237^2&lt;=2+0.000000001,TRUE()))</f>
        <v>1</v>
      </c>
      <c r="AD1237" s="55" t="n">
        <f aca="false">IF(AC1237,IF(01_因子設定!$B$13="最大化",AA1237-01_因子設定!$B$14,IF(01_因子設定!$B$13="最小化",01_因子設定!$B$15-AB1237,MIN(AA1237-01_因子設定!$B$14,01_因子設定!$B$15-AB1237))),-1E+030)</f>
        <v>-5.12523258100573</v>
      </c>
      <c r="AE1237" s="55" t="n">
        <f aca="false">IF(AC1237,IF(01_因子設定!$B$13="最大化",X1237,IF(01_因子設定!$B$13="最小化",-X1237,-ABS(X1237-01_因子設定!$B$16))),-1E+030)</f>
        <v>42.9341100146199</v>
      </c>
      <c r="AF1237" s="55" t="n">
        <f aca="false">AD1237+ROW()*0.000000001</f>
        <v>-5.12523134400573</v>
      </c>
      <c r="AG1237" s="55" t="n">
        <f aca="false">AE1237+ROW()*0.000000001</f>
        <v>42.9341112516199</v>
      </c>
    </row>
    <row r="1238" customFormat="false" ht="15" hidden="false" customHeight="false" outlineLevel="0" collapsed="false">
      <c r="A1238" s="0" t="n">
        <v>1</v>
      </c>
      <c r="B1238" s="0" t="n">
        <v>6</v>
      </c>
      <c r="C1238" s="0" t="n">
        <v>2</v>
      </c>
      <c r="D1238" s="0" t="n">
        <v>0</v>
      </c>
      <c r="E1238" s="0" t="n">
        <f aca="false">-1+A1238*0.25</f>
        <v>-0.75</v>
      </c>
      <c r="F1238" s="0" t="n">
        <f aca="false">-1+B1238*0.25</f>
        <v>0.5</v>
      </c>
      <c r="G1238" s="0" t="n">
        <f aca="false">-1+C1238*0.25</f>
        <v>-0.5</v>
      </c>
      <c r="H1238" s="0" t="n">
        <f aca="false">-1+D1238*0.25</f>
        <v>-1</v>
      </c>
      <c r="I1238" s="0" t="n">
        <f aca="false">1</f>
        <v>1</v>
      </c>
      <c r="J1238" s="0" t="n">
        <f aca="false">E1238</f>
        <v>-0.75</v>
      </c>
      <c r="K1238" s="0" t="n">
        <f aca="false">F1238</f>
        <v>0.5</v>
      </c>
      <c r="L1238" s="0" t="n">
        <f aca="false">G1238</f>
        <v>-0.5</v>
      </c>
      <c r="M1238" s="0" t="n">
        <f aca="false">H1238</f>
        <v>-1</v>
      </c>
      <c r="N1238" s="0" t="n">
        <f aca="false">E1238*F1238</f>
        <v>-0.375</v>
      </c>
      <c r="O1238" s="0" t="n">
        <f aca="false">E1238*G1238</f>
        <v>0.375</v>
      </c>
      <c r="P1238" s="0" t="n">
        <f aca="false">E1238*H1238</f>
        <v>0.75</v>
      </c>
      <c r="Q1238" s="0" t="n">
        <f aca="false">F1238*G1238</f>
        <v>-0.25</v>
      </c>
      <c r="R1238" s="0" t="n">
        <f aca="false">F1238*H1238</f>
        <v>-0.5</v>
      </c>
      <c r="S1238" s="0" t="n">
        <f aca="false">G1238*H1238</f>
        <v>0.5</v>
      </c>
      <c r="T1238" s="0" t="n">
        <f aca="false">E1238*E1238</f>
        <v>0.5625</v>
      </c>
      <c r="U1238" s="0" t="n">
        <f aca="false">F1238*F1238</f>
        <v>0.25</v>
      </c>
      <c r="V1238" s="0" t="n">
        <f aca="false">G1238*G1238</f>
        <v>0.25</v>
      </c>
      <c r="W1238" s="0" t="n">
        <f aca="false">H1238*H1238</f>
        <v>1</v>
      </c>
      <c r="X1238" s="0" t="n">
        <f aca="false">SUMPRODUCT(I1238:W1238,_XtX!$B$96:$P$96)</f>
        <v>43.5024122807018</v>
      </c>
      <c r="Y1238" s="0" t="n">
        <f aca="false">SUMPRODUCT(MMULT(I1238:W1238,_XtX!$B$78:$P$92),I1238:W1238)</f>
        <v>0.42602110745614</v>
      </c>
      <c r="Z1238" s="0" t="n">
        <f aca="false">04_回帰ANOVA!$K$19*04_回帰ANOVA!$K$14*SQRT(1+Y1238)</f>
        <v>1.55654388501114</v>
      </c>
      <c r="AA1238" s="0" t="n">
        <f aca="false">X1238-Z1238</f>
        <v>41.9458683956906</v>
      </c>
      <c r="AB1238" s="0" t="n">
        <f aca="false">X1238+Z1238</f>
        <v>45.0589561657129</v>
      </c>
      <c r="AC1238" s="54" t="b">
        <f aca="false">AND(E1238&gt;=01_因子設定!$L$5-0.000000001,E1238&lt;=01_因子設定!$M$5+0.000000001,F1238&gt;=01_因子設定!$L$6-0.000000001,F1238&lt;=01_因子設定!$M$6+0.000000001,G1238&gt;=01_因子設定!$L$7-0.000000001,G1238&lt;=01_因子設定!$M$7+0.000000001,H1238&gt;=01_因子設定!$L$8-0.000000001,H1238&lt;=01_因子設定!$M$8+0.000000001,IF(01_因子設定!$B$20="Box-Behnken",E1238^2+F1238^2+G1238^2+H1238^2&lt;=2+0.000000001,TRUE()))</f>
        <v>1</v>
      </c>
      <c r="AD1238" s="55" t="n">
        <f aca="false">IF(AC1238,IF(01_因子設定!$B$13="最大化",AA1238-01_因子設定!$B$14,IF(01_因子設定!$B$13="最小化",01_因子設定!$B$15-AB1238,MIN(AA1238-01_因子設定!$B$14,01_因子設定!$B$15-AB1238))),-1E+030)</f>
        <v>-4.55413160430936</v>
      </c>
      <c r="AE1238" s="55" t="n">
        <f aca="false">IF(AC1238,IF(01_因子設定!$B$13="最大化",X1238,IF(01_因子設定!$B$13="最小化",-X1238,-ABS(X1238-01_因子設定!$B$16))),-1E+030)</f>
        <v>43.5024122807018</v>
      </c>
      <c r="AF1238" s="55" t="n">
        <f aca="false">AD1238+ROW()*0.000000001</f>
        <v>-4.55413036630936</v>
      </c>
      <c r="AG1238" s="55" t="n">
        <f aca="false">AE1238+ROW()*0.000000001</f>
        <v>43.5024135187018</v>
      </c>
    </row>
    <row r="1239" customFormat="false" ht="15" hidden="false" customHeight="false" outlineLevel="0" collapsed="false">
      <c r="A1239" s="0" t="n">
        <v>1</v>
      </c>
      <c r="B1239" s="0" t="n">
        <v>6</v>
      </c>
      <c r="C1239" s="0" t="n">
        <v>2</v>
      </c>
      <c r="D1239" s="0" t="n">
        <v>1</v>
      </c>
      <c r="E1239" s="0" t="n">
        <f aca="false">-1+A1239*0.25</f>
        <v>-0.75</v>
      </c>
      <c r="F1239" s="0" t="n">
        <f aca="false">-1+B1239*0.25</f>
        <v>0.5</v>
      </c>
      <c r="G1239" s="0" t="n">
        <f aca="false">-1+C1239*0.25</f>
        <v>-0.5</v>
      </c>
      <c r="H1239" s="0" t="n">
        <f aca="false">-1+D1239*0.25</f>
        <v>-0.75</v>
      </c>
      <c r="I1239" s="0" t="n">
        <f aca="false">1</f>
        <v>1</v>
      </c>
      <c r="J1239" s="0" t="n">
        <f aca="false">E1239</f>
        <v>-0.75</v>
      </c>
      <c r="K1239" s="0" t="n">
        <f aca="false">F1239</f>
        <v>0.5</v>
      </c>
      <c r="L1239" s="0" t="n">
        <f aca="false">G1239</f>
        <v>-0.5</v>
      </c>
      <c r="M1239" s="0" t="n">
        <f aca="false">H1239</f>
        <v>-0.75</v>
      </c>
      <c r="N1239" s="0" t="n">
        <f aca="false">E1239*F1239</f>
        <v>-0.375</v>
      </c>
      <c r="O1239" s="0" t="n">
        <f aca="false">E1239*G1239</f>
        <v>0.375</v>
      </c>
      <c r="P1239" s="0" t="n">
        <f aca="false">E1239*H1239</f>
        <v>0.5625</v>
      </c>
      <c r="Q1239" s="0" t="n">
        <f aca="false">F1239*G1239</f>
        <v>-0.25</v>
      </c>
      <c r="R1239" s="0" t="n">
        <f aca="false">F1239*H1239</f>
        <v>-0.375</v>
      </c>
      <c r="S1239" s="0" t="n">
        <f aca="false">G1239*H1239</f>
        <v>0.375</v>
      </c>
      <c r="T1239" s="0" t="n">
        <f aca="false">E1239*E1239</f>
        <v>0.5625</v>
      </c>
      <c r="U1239" s="0" t="n">
        <f aca="false">F1239*F1239</f>
        <v>0.25</v>
      </c>
      <c r="V1239" s="0" t="n">
        <f aca="false">G1239*G1239</f>
        <v>0.25</v>
      </c>
      <c r="W1239" s="0" t="n">
        <f aca="false">H1239*H1239</f>
        <v>0.5625</v>
      </c>
      <c r="X1239" s="0" t="n">
        <f aca="false">SUMPRODUCT(I1239:W1239,_XtX!$B$96:$P$96)</f>
        <v>43.6851882309942</v>
      </c>
      <c r="Y1239" s="0" t="n">
        <f aca="false">SUMPRODUCT(MMULT(I1239:W1239,_XtX!$B$78:$P$92),I1239:W1239)</f>
        <v>0.237862927174708</v>
      </c>
      <c r="Z1239" s="0" t="n">
        <f aca="false">04_回帰ANOVA!$K$19*04_回帰ANOVA!$K$14*SQRT(1+Y1239)</f>
        <v>1.45022260708756</v>
      </c>
      <c r="AA1239" s="0" t="n">
        <f aca="false">X1239-Z1239</f>
        <v>42.2349656239066</v>
      </c>
      <c r="AB1239" s="0" t="n">
        <f aca="false">X1239+Z1239</f>
        <v>45.1354108380817</v>
      </c>
      <c r="AC1239" s="54" t="b">
        <f aca="false">AND(E1239&gt;=01_因子設定!$L$5-0.000000001,E1239&lt;=01_因子設定!$M$5+0.000000001,F1239&gt;=01_因子設定!$L$6-0.000000001,F1239&lt;=01_因子設定!$M$6+0.000000001,G1239&gt;=01_因子設定!$L$7-0.000000001,G1239&lt;=01_因子設定!$M$7+0.000000001,H1239&gt;=01_因子設定!$L$8-0.000000001,H1239&lt;=01_因子設定!$M$8+0.000000001,IF(01_因子設定!$B$20="Box-Behnken",E1239^2+F1239^2+G1239^2+H1239^2&lt;=2+0.000000001,TRUE()))</f>
        <v>1</v>
      </c>
      <c r="AD1239" s="55" t="n">
        <f aca="false">IF(AC1239,IF(01_因子設定!$B$13="最大化",AA1239-01_因子設定!$B$14,IF(01_因子設定!$B$13="最小化",01_因子設定!$B$15-AB1239,MIN(AA1239-01_因子設定!$B$14,01_因子設定!$B$15-AB1239))),-1E+030)</f>
        <v>-4.2650343760934</v>
      </c>
      <c r="AE1239" s="55" t="n">
        <f aca="false">IF(AC1239,IF(01_因子設定!$B$13="最大化",X1239,IF(01_因子設定!$B$13="最小化",-X1239,-ABS(X1239-01_因子設定!$B$16))),-1E+030)</f>
        <v>43.6851882309942</v>
      </c>
      <c r="AF1239" s="55" t="n">
        <f aca="false">AD1239+ROW()*0.000000001</f>
        <v>-4.2650331370934</v>
      </c>
      <c r="AG1239" s="55" t="n">
        <f aca="false">AE1239+ROW()*0.000000001</f>
        <v>43.6851894699942</v>
      </c>
    </row>
    <row r="1240" customFormat="false" ht="15" hidden="false" customHeight="false" outlineLevel="0" collapsed="false">
      <c r="A1240" s="0" t="n">
        <v>1</v>
      </c>
      <c r="B1240" s="0" t="n">
        <v>6</v>
      </c>
      <c r="C1240" s="0" t="n">
        <v>2</v>
      </c>
      <c r="D1240" s="0" t="n">
        <v>2</v>
      </c>
      <c r="E1240" s="0" t="n">
        <f aca="false">-1+A1240*0.25</f>
        <v>-0.75</v>
      </c>
      <c r="F1240" s="0" t="n">
        <f aca="false">-1+B1240*0.25</f>
        <v>0.5</v>
      </c>
      <c r="G1240" s="0" t="n">
        <f aca="false">-1+C1240*0.25</f>
        <v>-0.5</v>
      </c>
      <c r="H1240" s="0" t="n">
        <f aca="false">-1+D1240*0.25</f>
        <v>-0.5</v>
      </c>
      <c r="I1240" s="0" t="n">
        <f aca="false">1</f>
        <v>1</v>
      </c>
      <c r="J1240" s="0" t="n">
        <f aca="false">E1240</f>
        <v>-0.75</v>
      </c>
      <c r="K1240" s="0" t="n">
        <f aca="false">F1240</f>
        <v>0.5</v>
      </c>
      <c r="L1240" s="0" t="n">
        <f aca="false">G1240</f>
        <v>-0.5</v>
      </c>
      <c r="M1240" s="0" t="n">
        <f aca="false">H1240</f>
        <v>-0.5</v>
      </c>
      <c r="N1240" s="0" t="n">
        <f aca="false">E1240*F1240</f>
        <v>-0.375</v>
      </c>
      <c r="O1240" s="0" t="n">
        <f aca="false">E1240*G1240</f>
        <v>0.375</v>
      </c>
      <c r="P1240" s="0" t="n">
        <f aca="false">E1240*H1240</f>
        <v>0.375</v>
      </c>
      <c r="Q1240" s="0" t="n">
        <f aca="false">F1240*G1240</f>
        <v>-0.25</v>
      </c>
      <c r="R1240" s="0" t="n">
        <f aca="false">F1240*H1240</f>
        <v>-0.25</v>
      </c>
      <c r="S1240" s="0" t="n">
        <f aca="false">G1240*H1240</f>
        <v>0.25</v>
      </c>
      <c r="T1240" s="0" t="n">
        <f aca="false">E1240*E1240</f>
        <v>0.5625</v>
      </c>
      <c r="U1240" s="0" t="n">
        <f aca="false">F1240*F1240</f>
        <v>0.25</v>
      </c>
      <c r="V1240" s="0" t="n">
        <f aca="false">G1240*G1240</f>
        <v>0.25</v>
      </c>
      <c r="W1240" s="0" t="n">
        <f aca="false">H1240*H1240</f>
        <v>0.25</v>
      </c>
      <c r="X1240" s="0" t="n">
        <f aca="false">SUMPRODUCT(I1240:W1240,_XtX!$B$96:$P$96)</f>
        <v>43.8201571637427</v>
      </c>
      <c r="Y1240" s="0" t="n">
        <f aca="false">SUMPRODUCT(MMULT(I1240:W1240,_XtX!$B$78:$P$92),I1240:W1240)</f>
        <v>0.193924753289474</v>
      </c>
      <c r="Z1240" s="0" t="n">
        <f aca="false">04_回帰ANOVA!$K$19*04_回帰ANOVA!$K$14*SQRT(1+Y1240)</f>
        <v>1.4242521079916</v>
      </c>
      <c r="AA1240" s="0" t="n">
        <f aca="false">X1240-Z1240</f>
        <v>42.3959050557511</v>
      </c>
      <c r="AB1240" s="0" t="n">
        <f aca="false">X1240+Z1240</f>
        <v>45.2444092717343</v>
      </c>
      <c r="AC1240" s="54" t="b">
        <f aca="false">AND(E1240&gt;=01_因子設定!$L$5-0.000000001,E1240&lt;=01_因子設定!$M$5+0.000000001,F1240&gt;=01_因子設定!$L$6-0.000000001,F1240&lt;=01_因子設定!$M$6+0.000000001,G1240&gt;=01_因子設定!$L$7-0.000000001,G1240&lt;=01_因子設定!$M$7+0.000000001,H1240&gt;=01_因子設定!$L$8-0.000000001,H1240&lt;=01_因子設定!$M$8+0.000000001,IF(01_因子設定!$B$20="Box-Behnken",E1240^2+F1240^2+G1240^2+H1240^2&lt;=2+0.000000001,TRUE()))</f>
        <v>1</v>
      </c>
      <c r="AD1240" s="55" t="n">
        <f aca="false">IF(AC1240,IF(01_因子設定!$B$13="最大化",AA1240-01_因子設定!$B$14,IF(01_因子設定!$B$13="最小化",01_因子設定!$B$15-AB1240,MIN(AA1240-01_因子設定!$B$14,01_因子設定!$B$15-AB1240))),-1E+030)</f>
        <v>-4.10409494424891</v>
      </c>
      <c r="AE1240" s="55" t="n">
        <f aca="false">IF(AC1240,IF(01_因子設定!$B$13="最大化",X1240,IF(01_因子設定!$B$13="最小化",-X1240,-ABS(X1240-01_因子設定!$B$16))),-1E+030)</f>
        <v>43.8201571637427</v>
      </c>
      <c r="AF1240" s="55" t="n">
        <f aca="false">AD1240+ROW()*0.000000001</f>
        <v>-4.10409370424891</v>
      </c>
      <c r="AG1240" s="55" t="n">
        <f aca="false">AE1240+ROW()*0.000000001</f>
        <v>43.8201584037427</v>
      </c>
    </row>
    <row r="1241" customFormat="false" ht="15" hidden="false" customHeight="false" outlineLevel="0" collapsed="false">
      <c r="A1241" s="0" t="n">
        <v>1</v>
      </c>
      <c r="B1241" s="0" t="n">
        <v>6</v>
      </c>
      <c r="C1241" s="0" t="n">
        <v>2</v>
      </c>
      <c r="D1241" s="0" t="n">
        <v>3</v>
      </c>
      <c r="E1241" s="0" t="n">
        <f aca="false">-1+A1241*0.25</f>
        <v>-0.75</v>
      </c>
      <c r="F1241" s="0" t="n">
        <f aca="false">-1+B1241*0.25</f>
        <v>0.5</v>
      </c>
      <c r="G1241" s="0" t="n">
        <f aca="false">-1+C1241*0.25</f>
        <v>-0.5</v>
      </c>
      <c r="H1241" s="0" t="n">
        <f aca="false">-1+D1241*0.25</f>
        <v>-0.25</v>
      </c>
      <c r="I1241" s="0" t="n">
        <f aca="false">1</f>
        <v>1</v>
      </c>
      <c r="J1241" s="0" t="n">
        <f aca="false">E1241</f>
        <v>-0.75</v>
      </c>
      <c r="K1241" s="0" t="n">
        <f aca="false">F1241</f>
        <v>0.5</v>
      </c>
      <c r="L1241" s="0" t="n">
        <f aca="false">G1241</f>
        <v>-0.5</v>
      </c>
      <c r="M1241" s="0" t="n">
        <f aca="false">H1241</f>
        <v>-0.25</v>
      </c>
      <c r="N1241" s="0" t="n">
        <f aca="false">E1241*F1241</f>
        <v>-0.375</v>
      </c>
      <c r="O1241" s="0" t="n">
        <f aca="false">E1241*G1241</f>
        <v>0.375</v>
      </c>
      <c r="P1241" s="0" t="n">
        <f aca="false">E1241*H1241</f>
        <v>0.1875</v>
      </c>
      <c r="Q1241" s="0" t="n">
        <f aca="false">F1241*G1241</f>
        <v>-0.25</v>
      </c>
      <c r="R1241" s="0" t="n">
        <f aca="false">F1241*H1241</f>
        <v>-0.125</v>
      </c>
      <c r="S1241" s="0" t="n">
        <f aca="false">G1241*H1241</f>
        <v>0.125</v>
      </c>
      <c r="T1241" s="0" t="n">
        <f aca="false">E1241*E1241</f>
        <v>0.5625</v>
      </c>
      <c r="U1241" s="0" t="n">
        <f aca="false">F1241*F1241</f>
        <v>0.25</v>
      </c>
      <c r="V1241" s="0" t="n">
        <f aca="false">G1241*G1241</f>
        <v>0.25</v>
      </c>
      <c r="W1241" s="0" t="n">
        <f aca="false">H1241*H1241</f>
        <v>0.0625</v>
      </c>
      <c r="X1241" s="0" t="n">
        <f aca="false">SUMPRODUCT(I1241:W1241,_XtX!$B$96:$P$96)</f>
        <v>43.9073190789474</v>
      </c>
      <c r="Y1241" s="0" t="n">
        <f aca="false">SUMPRODUCT(MMULT(I1241:W1241,_XtX!$B$78:$P$92),I1241:W1241)</f>
        <v>0.203746059484649</v>
      </c>
      <c r="Z1241" s="0" t="n">
        <f aca="false">04_回帰ANOVA!$K$19*04_回帰ANOVA!$K$14*SQRT(1+Y1241)</f>
        <v>1.43009810755465</v>
      </c>
      <c r="AA1241" s="0" t="n">
        <f aca="false">X1241-Z1241</f>
        <v>42.4772209713927</v>
      </c>
      <c r="AB1241" s="0" t="n">
        <f aca="false">X1241+Z1241</f>
        <v>45.337417186502</v>
      </c>
      <c r="AC1241" s="54" t="b">
        <f aca="false">AND(E1241&gt;=01_因子設定!$L$5-0.000000001,E1241&lt;=01_因子設定!$M$5+0.000000001,F1241&gt;=01_因子設定!$L$6-0.000000001,F1241&lt;=01_因子設定!$M$6+0.000000001,G1241&gt;=01_因子設定!$L$7-0.000000001,G1241&lt;=01_因子設定!$M$7+0.000000001,H1241&gt;=01_因子設定!$L$8-0.000000001,H1241&lt;=01_因子設定!$M$8+0.000000001,IF(01_因子設定!$B$20="Box-Behnken",E1241^2+F1241^2+G1241^2+H1241^2&lt;=2+0.000000001,TRUE()))</f>
        <v>1</v>
      </c>
      <c r="AD1241" s="55" t="n">
        <f aca="false">IF(AC1241,IF(01_因子設定!$B$13="最大化",AA1241-01_因子設定!$B$14,IF(01_因子設定!$B$13="最小化",01_因子設定!$B$15-AB1241,MIN(AA1241-01_因子設定!$B$14,01_因子設定!$B$15-AB1241))),-1E+030)</f>
        <v>-4.02277902860729</v>
      </c>
      <c r="AE1241" s="55" t="n">
        <f aca="false">IF(AC1241,IF(01_因子設定!$B$13="最大化",X1241,IF(01_因子設定!$B$13="最小化",-X1241,-ABS(X1241-01_因子設定!$B$16))),-1E+030)</f>
        <v>43.9073190789474</v>
      </c>
      <c r="AF1241" s="55" t="n">
        <f aca="false">AD1241+ROW()*0.000000001</f>
        <v>-4.02277778760729</v>
      </c>
      <c r="AG1241" s="55" t="n">
        <f aca="false">AE1241+ROW()*0.000000001</f>
        <v>43.9073203199474</v>
      </c>
    </row>
    <row r="1242" customFormat="false" ht="15" hidden="false" customHeight="false" outlineLevel="0" collapsed="false">
      <c r="A1242" s="0" t="n">
        <v>1</v>
      </c>
      <c r="B1242" s="0" t="n">
        <v>6</v>
      </c>
      <c r="C1242" s="0" t="n">
        <v>2</v>
      </c>
      <c r="D1242" s="0" t="n">
        <v>4</v>
      </c>
      <c r="E1242" s="0" t="n">
        <f aca="false">-1+A1242*0.25</f>
        <v>-0.75</v>
      </c>
      <c r="F1242" s="0" t="n">
        <f aca="false">-1+B1242*0.25</f>
        <v>0.5</v>
      </c>
      <c r="G1242" s="0" t="n">
        <f aca="false">-1+C1242*0.25</f>
        <v>-0.5</v>
      </c>
      <c r="H1242" s="0" t="n">
        <f aca="false">-1+D1242*0.25</f>
        <v>0</v>
      </c>
      <c r="I1242" s="0" t="n">
        <f aca="false">1</f>
        <v>1</v>
      </c>
      <c r="J1242" s="0" t="n">
        <f aca="false">E1242</f>
        <v>-0.75</v>
      </c>
      <c r="K1242" s="0" t="n">
        <f aca="false">F1242</f>
        <v>0.5</v>
      </c>
      <c r="L1242" s="0" t="n">
        <f aca="false">G1242</f>
        <v>-0.5</v>
      </c>
      <c r="M1242" s="0" t="n">
        <f aca="false">H1242</f>
        <v>0</v>
      </c>
      <c r="N1242" s="0" t="n">
        <f aca="false">E1242*F1242</f>
        <v>-0.375</v>
      </c>
      <c r="O1242" s="0" t="n">
        <f aca="false">E1242*G1242</f>
        <v>0.375</v>
      </c>
      <c r="P1242" s="0" t="n">
        <f aca="false">E1242*H1242</f>
        <v>-0</v>
      </c>
      <c r="Q1242" s="0" t="n">
        <f aca="false">F1242*G1242</f>
        <v>-0.25</v>
      </c>
      <c r="R1242" s="0" t="n">
        <f aca="false">F1242*H1242</f>
        <v>0</v>
      </c>
      <c r="S1242" s="0" t="n">
        <f aca="false">G1242*H1242</f>
        <v>-0</v>
      </c>
      <c r="T1242" s="0" t="n">
        <f aca="false">E1242*E1242</f>
        <v>0.5625</v>
      </c>
      <c r="U1242" s="0" t="n">
        <f aca="false">F1242*F1242</f>
        <v>0.25</v>
      </c>
      <c r="V1242" s="0" t="n">
        <f aca="false">G1242*G1242</f>
        <v>0.25</v>
      </c>
      <c r="W1242" s="0" t="n">
        <f aca="false">H1242*H1242</f>
        <v>0</v>
      </c>
      <c r="X1242" s="0" t="n">
        <f aca="false">SUMPRODUCT(I1242:W1242,_XtX!$B$96:$P$96)</f>
        <v>43.9466739766082</v>
      </c>
      <c r="Y1242" s="0" t="n">
        <f aca="false">SUMPRODUCT(MMULT(I1242:W1242,_XtX!$B$78:$P$92),I1242:W1242)</f>
        <v>0.21305052997076</v>
      </c>
      <c r="Z1242" s="0" t="n">
        <f aca="false">04_回帰ANOVA!$K$19*04_回帰ANOVA!$K$14*SQRT(1+Y1242)</f>
        <v>1.43561450835061</v>
      </c>
      <c r="AA1242" s="0" t="n">
        <f aca="false">X1242-Z1242</f>
        <v>42.5110594682576</v>
      </c>
      <c r="AB1242" s="0" t="n">
        <f aca="false">X1242+Z1242</f>
        <v>45.3822884849588</v>
      </c>
      <c r="AC1242" s="54" t="b">
        <f aca="false">AND(E1242&gt;=01_因子設定!$L$5-0.000000001,E1242&lt;=01_因子設定!$M$5+0.000000001,F1242&gt;=01_因子設定!$L$6-0.000000001,F1242&lt;=01_因子設定!$M$6+0.000000001,G1242&gt;=01_因子設定!$L$7-0.000000001,G1242&lt;=01_因子設定!$M$7+0.000000001,H1242&gt;=01_因子設定!$L$8-0.000000001,H1242&lt;=01_因子設定!$M$8+0.000000001,IF(01_因子設定!$B$20="Box-Behnken",E1242^2+F1242^2+G1242^2+H1242^2&lt;=2+0.000000001,TRUE()))</f>
        <v>1</v>
      </c>
      <c r="AD1242" s="55" t="n">
        <f aca="false">IF(AC1242,IF(01_因子設定!$B$13="最大化",AA1242-01_因子設定!$B$14,IF(01_因子設定!$B$13="最小化",01_因子設定!$B$15-AB1242,MIN(AA1242-01_因子設定!$B$14,01_因子設定!$B$15-AB1242))),-1E+030)</f>
        <v>-3.98894053174243</v>
      </c>
      <c r="AE1242" s="55" t="n">
        <f aca="false">IF(AC1242,IF(01_因子設定!$B$13="最大化",X1242,IF(01_因子設定!$B$13="最小化",-X1242,-ABS(X1242-01_因子設定!$B$16))),-1E+030)</f>
        <v>43.9466739766082</v>
      </c>
      <c r="AF1242" s="55" t="n">
        <f aca="false">AD1242+ROW()*0.000000001</f>
        <v>-3.98893928974243</v>
      </c>
      <c r="AG1242" s="55" t="n">
        <f aca="false">AE1242+ROW()*0.000000001</f>
        <v>43.9466752186082</v>
      </c>
    </row>
    <row r="1243" customFormat="false" ht="15" hidden="false" customHeight="false" outlineLevel="0" collapsed="false">
      <c r="A1243" s="0" t="n">
        <v>1</v>
      </c>
      <c r="B1243" s="0" t="n">
        <v>6</v>
      </c>
      <c r="C1243" s="0" t="n">
        <v>2</v>
      </c>
      <c r="D1243" s="0" t="n">
        <v>5</v>
      </c>
      <c r="E1243" s="0" t="n">
        <f aca="false">-1+A1243*0.25</f>
        <v>-0.75</v>
      </c>
      <c r="F1243" s="0" t="n">
        <f aca="false">-1+B1243*0.25</f>
        <v>0.5</v>
      </c>
      <c r="G1243" s="0" t="n">
        <f aca="false">-1+C1243*0.25</f>
        <v>-0.5</v>
      </c>
      <c r="H1243" s="0" t="n">
        <f aca="false">-1+D1243*0.25</f>
        <v>0.25</v>
      </c>
      <c r="I1243" s="0" t="n">
        <f aca="false">1</f>
        <v>1</v>
      </c>
      <c r="J1243" s="0" t="n">
        <f aca="false">E1243</f>
        <v>-0.75</v>
      </c>
      <c r="K1243" s="0" t="n">
        <f aca="false">F1243</f>
        <v>0.5</v>
      </c>
      <c r="L1243" s="0" t="n">
        <f aca="false">G1243</f>
        <v>-0.5</v>
      </c>
      <c r="M1243" s="0" t="n">
        <f aca="false">H1243</f>
        <v>0.25</v>
      </c>
      <c r="N1243" s="0" t="n">
        <f aca="false">E1243*F1243</f>
        <v>-0.375</v>
      </c>
      <c r="O1243" s="0" t="n">
        <f aca="false">E1243*G1243</f>
        <v>0.375</v>
      </c>
      <c r="P1243" s="0" t="n">
        <f aca="false">E1243*H1243</f>
        <v>-0.1875</v>
      </c>
      <c r="Q1243" s="0" t="n">
        <f aca="false">F1243*G1243</f>
        <v>-0.25</v>
      </c>
      <c r="R1243" s="0" t="n">
        <f aca="false">F1243*H1243</f>
        <v>0.125</v>
      </c>
      <c r="S1243" s="0" t="n">
        <f aca="false">G1243*H1243</f>
        <v>-0.125</v>
      </c>
      <c r="T1243" s="0" t="n">
        <f aca="false">E1243*E1243</f>
        <v>0.5625</v>
      </c>
      <c r="U1243" s="0" t="n">
        <f aca="false">F1243*F1243</f>
        <v>0.25</v>
      </c>
      <c r="V1243" s="0" t="n">
        <f aca="false">G1243*G1243</f>
        <v>0.25</v>
      </c>
      <c r="W1243" s="0" t="n">
        <f aca="false">H1243*H1243</f>
        <v>0.0625</v>
      </c>
      <c r="X1243" s="0" t="n">
        <f aca="false">SUMPRODUCT(I1243:W1243,_XtX!$B$96:$P$96)</f>
        <v>43.9382218567251</v>
      </c>
      <c r="Y1243" s="0" t="n">
        <f aca="false">SUMPRODUCT(MMULT(I1243:W1243,_XtX!$B$78:$P$92),I1243:W1243)</f>
        <v>0.203746059484649</v>
      </c>
      <c r="Z1243" s="0" t="n">
        <f aca="false">04_回帰ANOVA!$K$19*04_回帰ANOVA!$K$14*SQRT(1+Y1243)</f>
        <v>1.43009810755465</v>
      </c>
      <c r="AA1243" s="0" t="n">
        <f aca="false">X1243-Z1243</f>
        <v>42.5081237491705</v>
      </c>
      <c r="AB1243" s="0" t="n">
        <f aca="false">X1243+Z1243</f>
        <v>45.3683199642798</v>
      </c>
      <c r="AC1243" s="54" t="b">
        <f aca="false">AND(E1243&gt;=01_因子設定!$L$5-0.000000001,E1243&lt;=01_因子設定!$M$5+0.000000001,F1243&gt;=01_因子設定!$L$6-0.000000001,F1243&lt;=01_因子設定!$M$6+0.000000001,G1243&gt;=01_因子設定!$L$7-0.000000001,G1243&lt;=01_因子設定!$M$7+0.000000001,H1243&gt;=01_因子設定!$L$8-0.000000001,H1243&lt;=01_因子設定!$M$8+0.000000001,IF(01_因子設定!$B$20="Box-Behnken",E1243^2+F1243^2+G1243^2+H1243^2&lt;=2+0.000000001,TRUE()))</f>
        <v>1</v>
      </c>
      <c r="AD1243" s="55" t="n">
        <f aca="false">IF(AC1243,IF(01_因子設定!$B$13="最大化",AA1243-01_因子設定!$B$14,IF(01_因子設定!$B$13="最小化",01_因子設定!$B$15-AB1243,MIN(AA1243-01_因子設定!$B$14,01_因子設定!$B$15-AB1243))),-1E+030)</f>
        <v>-3.99187625082951</v>
      </c>
      <c r="AE1243" s="55" t="n">
        <f aca="false">IF(AC1243,IF(01_因子設定!$B$13="最大化",X1243,IF(01_因子設定!$B$13="最小化",-X1243,-ABS(X1243-01_因子設定!$B$16))),-1E+030)</f>
        <v>43.9382218567251</v>
      </c>
      <c r="AF1243" s="55" t="n">
        <f aca="false">AD1243+ROW()*0.000000001</f>
        <v>-3.99187500782951</v>
      </c>
      <c r="AG1243" s="55" t="n">
        <f aca="false">AE1243+ROW()*0.000000001</f>
        <v>43.9382230997251</v>
      </c>
    </row>
    <row r="1244" customFormat="false" ht="15" hidden="false" customHeight="false" outlineLevel="0" collapsed="false">
      <c r="A1244" s="0" t="n">
        <v>1</v>
      </c>
      <c r="B1244" s="0" t="n">
        <v>6</v>
      </c>
      <c r="C1244" s="0" t="n">
        <v>2</v>
      </c>
      <c r="D1244" s="0" t="n">
        <v>6</v>
      </c>
      <c r="E1244" s="0" t="n">
        <f aca="false">-1+A1244*0.25</f>
        <v>-0.75</v>
      </c>
      <c r="F1244" s="0" t="n">
        <f aca="false">-1+B1244*0.25</f>
        <v>0.5</v>
      </c>
      <c r="G1244" s="0" t="n">
        <f aca="false">-1+C1244*0.25</f>
        <v>-0.5</v>
      </c>
      <c r="H1244" s="0" t="n">
        <f aca="false">-1+D1244*0.25</f>
        <v>0.5</v>
      </c>
      <c r="I1244" s="0" t="n">
        <f aca="false">1</f>
        <v>1</v>
      </c>
      <c r="J1244" s="0" t="n">
        <f aca="false">E1244</f>
        <v>-0.75</v>
      </c>
      <c r="K1244" s="0" t="n">
        <f aca="false">F1244</f>
        <v>0.5</v>
      </c>
      <c r="L1244" s="0" t="n">
        <f aca="false">G1244</f>
        <v>-0.5</v>
      </c>
      <c r="M1244" s="0" t="n">
        <f aca="false">H1244</f>
        <v>0.5</v>
      </c>
      <c r="N1244" s="0" t="n">
        <f aca="false">E1244*F1244</f>
        <v>-0.375</v>
      </c>
      <c r="O1244" s="0" t="n">
        <f aca="false">E1244*G1244</f>
        <v>0.375</v>
      </c>
      <c r="P1244" s="0" t="n">
        <f aca="false">E1244*H1244</f>
        <v>-0.375</v>
      </c>
      <c r="Q1244" s="0" t="n">
        <f aca="false">F1244*G1244</f>
        <v>-0.25</v>
      </c>
      <c r="R1244" s="0" t="n">
        <f aca="false">F1244*H1244</f>
        <v>0.25</v>
      </c>
      <c r="S1244" s="0" t="n">
        <f aca="false">G1244*H1244</f>
        <v>-0.25</v>
      </c>
      <c r="T1244" s="0" t="n">
        <f aca="false">E1244*E1244</f>
        <v>0.5625</v>
      </c>
      <c r="U1244" s="0" t="n">
        <f aca="false">F1244*F1244</f>
        <v>0.25</v>
      </c>
      <c r="V1244" s="0" t="n">
        <f aca="false">G1244*G1244</f>
        <v>0.25</v>
      </c>
      <c r="W1244" s="0" t="n">
        <f aca="false">H1244*H1244</f>
        <v>0.25</v>
      </c>
      <c r="X1244" s="0" t="n">
        <f aca="false">SUMPRODUCT(I1244:W1244,_XtX!$B$96:$P$96)</f>
        <v>43.8819627192982</v>
      </c>
      <c r="Y1244" s="0" t="n">
        <f aca="false">SUMPRODUCT(MMULT(I1244:W1244,_XtX!$B$78:$P$92),I1244:W1244)</f>
        <v>0.193924753289474</v>
      </c>
      <c r="Z1244" s="0" t="n">
        <f aca="false">04_回帰ANOVA!$K$19*04_回帰ANOVA!$K$14*SQRT(1+Y1244)</f>
        <v>1.4242521079916</v>
      </c>
      <c r="AA1244" s="0" t="n">
        <f aca="false">X1244-Z1244</f>
        <v>42.4577106113066</v>
      </c>
      <c r="AB1244" s="0" t="n">
        <f aca="false">X1244+Z1244</f>
        <v>45.3062148272898</v>
      </c>
      <c r="AC1244" s="54" t="b">
        <f aca="false">AND(E1244&gt;=01_因子設定!$L$5-0.000000001,E1244&lt;=01_因子設定!$M$5+0.000000001,F1244&gt;=01_因子設定!$L$6-0.000000001,F1244&lt;=01_因子設定!$M$6+0.000000001,G1244&gt;=01_因子設定!$L$7-0.000000001,G1244&lt;=01_因子設定!$M$7+0.000000001,H1244&gt;=01_因子設定!$L$8-0.000000001,H1244&lt;=01_因子設定!$M$8+0.000000001,IF(01_因子設定!$B$20="Box-Behnken",E1244^2+F1244^2+G1244^2+H1244^2&lt;=2+0.000000001,TRUE()))</f>
        <v>1</v>
      </c>
      <c r="AD1244" s="55" t="n">
        <f aca="false">IF(AC1244,IF(01_因子設定!$B$13="最大化",AA1244-01_因子設定!$B$14,IF(01_因子設定!$B$13="最小化",01_因子設定!$B$15-AB1244,MIN(AA1244-01_因子設定!$B$14,01_因子設定!$B$15-AB1244))),-1E+030)</f>
        <v>-4.04228938869336</v>
      </c>
      <c r="AE1244" s="55" t="n">
        <f aca="false">IF(AC1244,IF(01_因子設定!$B$13="最大化",X1244,IF(01_因子設定!$B$13="最小化",-X1244,-ABS(X1244-01_因子設定!$B$16))),-1E+030)</f>
        <v>43.8819627192982</v>
      </c>
      <c r="AF1244" s="55" t="n">
        <f aca="false">AD1244+ROW()*0.000000001</f>
        <v>-4.04228814469336</v>
      </c>
      <c r="AG1244" s="55" t="n">
        <f aca="false">AE1244+ROW()*0.000000001</f>
        <v>43.8819639632983</v>
      </c>
    </row>
    <row r="1245" customFormat="false" ht="15" hidden="false" customHeight="false" outlineLevel="0" collapsed="false">
      <c r="A1245" s="0" t="n">
        <v>1</v>
      </c>
      <c r="B1245" s="0" t="n">
        <v>6</v>
      </c>
      <c r="C1245" s="0" t="n">
        <v>2</v>
      </c>
      <c r="D1245" s="0" t="n">
        <v>7</v>
      </c>
      <c r="E1245" s="0" t="n">
        <f aca="false">-1+A1245*0.25</f>
        <v>-0.75</v>
      </c>
      <c r="F1245" s="0" t="n">
        <f aca="false">-1+B1245*0.25</f>
        <v>0.5</v>
      </c>
      <c r="G1245" s="0" t="n">
        <f aca="false">-1+C1245*0.25</f>
        <v>-0.5</v>
      </c>
      <c r="H1245" s="0" t="n">
        <f aca="false">-1+D1245*0.25</f>
        <v>0.75</v>
      </c>
      <c r="I1245" s="0" t="n">
        <f aca="false">1</f>
        <v>1</v>
      </c>
      <c r="J1245" s="0" t="n">
        <f aca="false">E1245</f>
        <v>-0.75</v>
      </c>
      <c r="K1245" s="0" t="n">
        <f aca="false">F1245</f>
        <v>0.5</v>
      </c>
      <c r="L1245" s="0" t="n">
        <f aca="false">G1245</f>
        <v>-0.5</v>
      </c>
      <c r="M1245" s="0" t="n">
        <f aca="false">H1245</f>
        <v>0.75</v>
      </c>
      <c r="N1245" s="0" t="n">
        <f aca="false">E1245*F1245</f>
        <v>-0.375</v>
      </c>
      <c r="O1245" s="0" t="n">
        <f aca="false">E1245*G1245</f>
        <v>0.375</v>
      </c>
      <c r="P1245" s="0" t="n">
        <f aca="false">E1245*H1245</f>
        <v>-0.5625</v>
      </c>
      <c r="Q1245" s="0" t="n">
        <f aca="false">F1245*G1245</f>
        <v>-0.25</v>
      </c>
      <c r="R1245" s="0" t="n">
        <f aca="false">F1245*H1245</f>
        <v>0.375</v>
      </c>
      <c r="S1245" s="0" t="n">
        <f aca="false">G1245*H1245</f>
        <v>-0.375</v>
      </c>
      <c r="T1245" s="0" t="n">
        <f aca="false">E1245*E1245</f>
        <v>0.5625</v>
      </c>
      <c r="U1245" s="0" t="n">
        <f aca="false">F1245*F1245</f>
        <v>0.25</v>
      </c>
      <c r="V1245" s="0" t="n">
        <f aca="false">G1245*G1245</f>
        <v>0.25</v>
      </c>
      <c r="W1245" s="0" t="n">
        <f aca="false">H1245*H1245</f>
        <v>0.5625</v>
      </c>
      <c r="X1245" s="0" t="n">
        <f aca="false">SUMPRODUCT(I1245:W1245,_XtX!$B$96:$P$96)</f>
        <v>43.7778965643275</v>
      </c>
      <c r="Y1245" s="0" t="n">
        <f aca="false">SUMPRODUCT(MMULT(I1245:W1245,_XtX!$B$78:$P$92),I1245:W1245)</f>
        <v>0.237862927174708</v>
      </c>
      <c r="Z1245" s="0" t="n">
        <f aca="false">04_回帰ANOVA!$K$19*04_回帰ANOVA!$K$14*SQRT(1+Y1245)</f>
        <v>1.45022260708756</v>
      </c>
      <c r="AA1245" s="0" t="n">
        <f aca="false">X1245-Z1245</f>
        <v>42.3276739572399</v>
      </c>
      <c r="AB1245" s="0" t="n">
        <f aca="false">X1245+Z1245</f>
        <v>45.2281191714151</v>
      </c>
      <c r="AC1245" s="54" t="b">
        <f aca="false">AND(E1245&gt;=01_因子設定!$L$5-0.000000001,E1245&lt;=01_因子設定!$M$5+0.000000001,F1245&gt;=01_因子設定!$L$6-0.000000001,F1245&lt;=01_因子設定!$M$6+0.000000001,G1245&gt;=01_因子設定!$L$7-0.000000001,G1245&lt;=01_因子設定!$M$7+0.000000001,H1245&gt;=01_因子設定!$L$8-0.000000001,H1245&lt;=01_因子設定!$M$8+0.000000001,IF(01_因子設定!$B$20="Box-Behnken",E1245^2+F1245^2+G1245^2+H1245^2&lt;=2+0.000000001,TRUE()))</f>
        <v>1</v>
      </c>
      <c r="AD1245" s="55" t="n">
        <f aca="false">IF(AC1245,IF(01_因子設定!$B$13="最大化",AA1245-01_因子設定!$B$14,IF(01_因子設定!$B$13="最小化",01_因子設定!$B$15-AB1245,MIN(AA1245-01_因子設定!$B$14,01_因子設定!$B$15-AB1245))),-1E+030)</f>
        <v>-4.17232604276007</v>
      </c>
      <c r="AE1245" s="55" t="n">
        <f aca="false">IF(AC1245,IF(01_因子設定!$B$13="最大化",X1245,IF(01_因子設定!$B$13="最小化",-X1245,-ABS(X1245-01_因子設定!$B$16))),-1E+030)</f>
        <v>43.7778965643275</v>
      </c>
      <c r="AF1245" s="55" t="n">
        <f aca="false">AD1245+ROW()*0.000000001</f>
        <v>-4.17232479776007</v>
      </c>
      <c r="AG1245" s="55" t="n">
        <f aca="false">AE1245+ROW()*0.000000001</f>
        <v>43.7778978093275</v>
      </c>
    </row>
    <row r="1246" customFormat="false" ht="15" hidden="false" customHeight="false" outlineLevel="0" collapsed="false">
      <c r="A1246" s="0" t="n">
        <v>1</v>
      </c>
      <c r="B1246" s="0" t="n">
        <v>6</v>
      </c>
      <c r="C1246" s="0" t="n">
        <v>2</v>
      </c>
      <c r="D1246" s="0" t="n">
        <v>8</v>
      </c>
      <c r="E1246" s="0" t="n">
        <f aca="false">-1+A1246*0.25</f>
        <v>-0.75</v>
      </c>
      <c r="F1246" s="0" t="n">
        <f aca="false">-1+B1246*0.25</f>
        <v>0.5</v>
      </c>
      <c r="G1246" s="0" t="n">
        <f aca="false">-1+C1246*0.25</f>
        <v>-0.5</v>
      </c>
      <c r="H1246" s="0" t="n">
        <f aca="false">-1+D1246*0.25</f>
        <v>1</v>
      </c>
      <c r="I1246" s="0" t="n">
        <f aca="false">1</f>
        <v>1</v>
      </c>
      <c r="J1246" s="0" t="n">
        <f aca="false">E1246</f>
        <v>-0.75</v>
      </c>
      <c r="K1246" s="0" t="n">
        <f aca="false">F1246</f>
        <v>0.5</v>
      </c>
      <c r="L1246" s="0" t="n">
        <f aca="false">G1246</f>
        <v>-0.5</v>
      </c>
      <c r="M1246" s="0" t="n">
        <f aca="false">H1246</f>
        <v>1</v>
      </c>
      <c r="N1246" s="0" t="n">
        <f aca="false">E1246*F1246</f>
        <v>-0.375</v>
      </c>
      <c r="O1246" s="0" t="n">
        <f aca="false">E1246*G1246</f>
        <v>0.375</v>
      </c>
      <c r="P1246" s="0" t="n">
        <f aca="false">E1246*H1246</f>
        <v>-0.75</v>
      </c>
      <c r="Q1246" s="0" t="n">
        <f aca="false">F1246*G1246</f>
        <v>-0.25</v>
      </c>
      <c r="R1246" s="0" t="n">
        <f aca="false">F1246*H1246</f>
        <v>0.5</v>
      </c>
      <c r="S1246" s="0" t="n">
        <f aca="false">G1246*H1246</f>
        <v>-0.5</v>
      </c>
      <c r="T1246" s="0" t="n">
        <f aca="false">E1246*E1246</f>
        <v>0.5625</v>
      </c>
      <c r="U1246" s="0" t="n">
        <f aca="false">F1246*F1246</f>
        <v>0.25</v>
      </c>
      <c r="V1246" s="0" t="n">
        <f aca="false">G1246*G1246</f>
        <v>0.25</v>
      </c>
      <c r="W1246" s="0" t="n">
        <f aca="false">H1246*H1246</f>
        <v>1</v>
      </c>
      <c r="X1246" s="0" t="n">
        <f aca="false">SUMPRODUCT(I1246:W1246,_XtX!$B$96:$P$96)</f>
        <v>43.6260233918129</v>
      </c>
      <c r="Y1246" s="0" t="n">
        <f aca="false">SUMPRODUCT(MMULT(I1246:W1246,_XtX!$B$78:$P$92),I1246:W1246)</f>
        <v>0.42602110745614</v>
      </c>
      <c r="Z1246" s="0" t="n">
        <f aca="false">04_回帰ANOVA!$K$19*04_回帰ANOVA!$K$14*SQRT(1+Y1246)</f>
        <v>1.55654388501114</v>
      </c>
      <c r="AA1246" s="0" t="n">
        <f aca="false">X1246-Z1246</f>
        <v>42.0694795068018</v>
      </c>
      <c r="AB1246" s="0" t="n">
        <f aca="false">X1246+Z1246</f>
        <v>45.182567276824</v>
      </c>
      <c r="AC1246" s="54" t="b">
        <f aca="false">AND(E1246&gt;=01_因子設定!$L$5-0.000000001,E1246&lt;=01_因子設定!$M$5+0.000000001,F1246&gt;=01_因子設定!$L$6-0.000000001,F1246&lt;=01_因子設定!$M$6+0.000000001,G1246&gt;=01_因子設定!$L$7-0.000000001,G1246&lt;=01_因子設定!$M$7+0.000000001,H1246&gt;=01_因子設定!$L$8-0.000000001,H1246&lt;=01_因子設定!$M$8+0.000000001,IF(01_因子設定!$B$20="Box-Behnken",E1246^2+F1246^2+G1246^2+H1246^2&lt;=2+0.000000001,TRUE()))</f>
        <v>1</v>
      </c>
      <c r="AD1246" s="55" t="n">
        <f aca="false">IF(AC1246,IF(01_因子設定!$B$13="最大化",AA1246-01_因子設定!$B$14,IF(01_因子設定!$B$13="最小化",01_因子設定!$B$15-AB1246,MIN(AA1246-01_因子設定!$B$14,01_因子設定!$B$15-AB1246))),-1E+030)</f>
        <v>-4.43052049319825</v>
      </c>
      <c r="AE1246" s="55" t="n">
        <f aca="false">IF(AC1246,IF(01_因子設定!$B$13="最大化",X1246,IF(01_因子設定!$B$13="最小化",-X1246,-ABS(X1246-01_因子設定!$B$16))),-1E+030)</f>
        <v>43.6260233918129</v>
      </c>
      <c r="AF1246" s="55" t="n">
        <f aca="false">AD1246+ROW()*0.000000001</f>
        <v>-4.43051924719825</v>
      </c>
      <c r="AG1246" s="55" t="n">
        <f aca="false">AE1246+ROW()*0.000000001</f>
        <v>43.6260246378129</v>
      </c>
    </row>
    <row r="1247" customFormat="false" ht="15" hidden="false" customHeight="false" outlineLevel="0" collapsed="false">
      <c r="A1247" s="0" t="n">
        <v>1</v>
      </c>
      <c r="B1247" s="0" t="n">
        <v>6</v>
      </c>
      <c r="C1247" s="0" t="n">
        <v>3</v>
      </c>
      <c r="D1247" s="0" t="n">
        <v>0</v>
      </c>
      <c r="E1247" s="0" t="n">
        <f aca="false">-1+A1247*0.25</f>
        <v>-0.75</v>
      </c>
      <c r="F1247" s="0" t="n">
        <f aca="false">-1+B1247*0.25</f>
        <v>0.5</v>
      </c>
      <c r="G1247" s="0" t="n">
        <f aca="false">-1+C1247*0.25</f>
        <v>-0.25</v>
      </c>
      <c r="H1247" s="0" t="n">
        <f aca="false">-1+D1247*0.25</f>
        <v>-1</v>
      </c>
      <c r="I1247" s="0" t="n">
        <f aca="false">1</f>
        <v>1</v>
      </c>
      <c r="J1247" s="0" t="n">
        <f aca="false">E1247</f>
        <v>-0.75</v>
      </c>
      <c r="K1247" s="0" t="n">
        <f aca="false">F1247</f>
        <v>0.5</v>
      </c>
      <c r="L1247" s="0" t="n">
        <f aca="false">G1247</f>
        <v>-0.25</v>
      </c>
      <c r="M1247" s="0" t="n">
        <f aca="false">H1247</f>
        <v>-1</v>
      </c>
      <c r="N1247" s="0" t="n">
        <f aca="false">E1247*F1247</f>
        <v>-0.375</v>
      </c>
      <c r="O1247" s="0" t="n">
        <f aca="false">E1247*G1247</f>
        <v>0.1875</v>
      </c>
      <c r="P1247" s="0" t="n">
        <f aca="false">E1247*H1247</f>
        <v>0.75</v>
      </c>
      <c r="Q1247" s="0" t="n">
        <f aca="false">F1247*G1247</f>
        <v>-0.125</v>
      </c>
      <c r="R1247" s="0" t="n">
        <f aca="false">F1247*H1247</f>
        <v>-0.5</v>
      </c>
      <c r="S1247" s="0" t="n">
        <f aca="false">G1247*H1247</f>
        <v>0.25</v>
      </c>
      <c r="T1247" s="0" t="n">
        <f aca="false">E1247*E1247</f>
        <v>0.5625</v>
      </c>
      <c r="U1247" s="0" t="n">
        <f aca="false">F1247*F1247</f>
        <v>0.25</v>
      </c>
      <c r="V1247" s="0" t="n">
        <f aca="false">G1247*G1247</f>
        <v>0.0625</v>
      </c>
      <c r="W1247" s="0" t="n">
        <f aca="false">H1247*H1247</f>
        <v>1</v>
      </c>
      <c r="X1247" s="0" t="n">
        <f aca="false">SUMPRODUCT(I1247:W1247,_XtX!$B$96:$P$96)</f>
        <v>43.9652686403509</v>
      </c>
      <c r="Y1247" s="0" t="n">
        <f aca="false">SUMPRODUCT(MMULT(I1247:W1247,_XtX!$B$78:$P$92),I1247:W1247)</f>
        <v>0.459125719572369</v>
      </c>
      <c r="Z1247" s="0" t="n">
        <f aca="false">04_回帰ANOVA!$K$19*04_回帰ANOVA!$K$14*SQRT(1+Y1247)</f>
        <v>1.57450755575573</v>
      </c>
      <c r="AA1247" s="0" t="n">
        <f aca="false">X1247-Z1247</f>
        <v>42.3907610845952</v>
      </c>
      <c r="AB1247" s="0" t="n">
        <f aca="false">X1247+Z1247</f>
        <v>45.5397761961066</v>
      </c>
      <c r="AC1247" s="54" t="b">
        <f aca="false">AND(E1247&gt;=01_因子設定!$L$5-0.000000001,E1247&lt;=01_因子設定!$M$5+0.000000001,F1247&gt;=01_因子設定!$L$6-0.000000001,F1247&lt;=01_因子設定!$M$6+0.000000001,G1247&gt;=01_因子設定!$L$7-0.000000001,G1247&lt;=01_因子設定!$M$7+0.000000001,H1247&gt;=01_因子設定!$L$8-0.000000001,H1247&lt;=01_因子設定!$M$8+0.000000001,IF(01_因子設定!$B$20="Box-Behnken",E1247^2+F1247^2+G1247^2+H1247^2&lt;=2+0.000000001,TRUE()))</f>
        <v>1</v>
      </c>
      <c r="AD1247" s="55" t="n">
        <f aca="false">IF(AC1247,IF(01_因子設定!$B$13="最大化",AA1247-01_因子設定!$B$14,IF(01_因子設定!$B$13="最小化",01_因子設定!$B$15-AB1247,MIN(AA1247-01_因子設定!$B$14,01_因子設定!$B$15-AB1247))),-1E+030)</f>
        <v>-4.10923891540483</v>
      </c>
      <c r="AE1247" s="55" t="n">
        <f aca="false">IF(AC1247,IF(01_因子設定!$B$13="最大化",X1247,IF(01_因子設定!$B$13="最小化",-X1247,-ABS(X1247-01_因子設定!$B$16))),-1E+030)</f>
        <v>43.9652686403509</v>
      </c>
      <c r="AF1247" s="55" t="n">
        <f aca="false">AD1247+ROW()*0.000000001</f>
        <v>-4.10923766840483</v>
      </c>
      <c r="AG1247" s="55" t="n">
        <f aca="false">AE1247+ROW()*0.000000001</f>
        <v>43.9652698873509</v>
      </c>
    </row>
    <row r="1248" customFormat="false" ht="15" hidden="false" customHeight="false" outlineLevel="0" collapsed="false">
      <c r="A1248" s="0" t="n">
        <v>1</v>
      </c>
      <c r="B1248" s="0" t="n">
        <v>6</v>
      </c>
      <c r="C1248" s="0" t="n">
        <v>3</v>
      </c>
      <c r="D1248" s="0" t="n">
        <v>1</v>
      </c>
      <c r="E1248" s="0" t="n">
        <f aca="false">-1+A1248*0.25</f>
        <v>-0.75</v>
      </c>
      <c r="F1248" s="0" t="n">
        <f aca="false">-1+B1248*0.25</f>
        <v>0.5</v>
      </c>
      <c r="G1248" s="0" t="n">
        <f aca="false">-1+C1248*0.25</f>
        <v>-0.25</v>
      </c>
      <c r="H1248" s="0" t="n">
        <f aca="false">-1+D1248*0.25</f>
        <v>-0.75</v>
      </c>
      <c r="I1248" s="0" t="n">
        <f aca="false">1</f>
        <v>1</v>
      </c>
      <c r="J1248" s="0" t="n">
        <f aca="false">E1248</f>
        <v>-0.75</v>
      </c>
      <c r="K1248" s="0" t="n">
        <f aca="false">F1248</f>
        <v>0.5</v>
      </c>
      <c r="L1248" s="0" t="n">
        <f aca="false">G1248</f>
        <v>-0.25</v>
      </c>
      <c r="M1248" s="0" t="n">
        <f aca="false">H1248</f>
        <v>-0.75</v>
      </c>
      <c r="N1248" s="0" t="n">
        <f aca="false">E1248*F1248</f>
        <v>-0.375</v>
      </c>
      <c r="O1248" s="0" t="n">
        <f aca="false">E1248*G1248</f>
        <v>0.1875</v>
      </c>
      <c r="P1248" s="0" t="n">
        <f aca="false">E1248*H1248</f>
        <v>0.5625</v>
      </c>
      <c r="Q1248" s="0" t="n">
        <f aca="false">F1248*G1248</f>
        <v>-0.125</v>
      </c>
      <c r="R1248" s="0" t="n">
        <f aca="false">F1248*H1248</f>
        <v>-0.375</v>
      </c>
      <c r="S1248" s="0" t="n">
        <f aca="false">G1248*H1248</f>
        <v>0.1875</v>
      </c>
      <c r="T1248" s="0" t="n">
        <f aca="false">E1248*E1248</f>
        <v>0.5625</v>
      </c>
      <c r="U1248" s="0" t="n">
        <f aca="false">F1248*F1248</f>
        <v>0.25</v>
      </c>
      <c r="V1248" s="0" t="n">
        <f aca="false">G1248*G1248</f>
        <v>0.0625</v>
      </c>
      <c r="W1248" s="0" t="n">
        <f aca="false">H1248*H1248</f>
        <v>0.5625</v>
      </c>
      <c r="X1248" s="0" t="n">
        <f aca="false">SUMPRODUCT(I1248:W1248,_XtX!$B$96:$P$96)</f>
        <v>44.1660133406433</v>
      </c>
      <c r="Y1248" s="0" t="n">
        <f aca="false">SUMPRODUCT(MMULT(I1248:W1248,_XtX!$B$78:$P$92),I1248:W1248)</f>
        <v>0.257385610836988</v>
      </c>
      <c r="Z1248" s="0" t="n">
        <f aca="false">04_回帰ANOVA!$K$19*04_回帰ANOVA!$K$14*SQRT(1+Y1248)</f>
        <v>1.46161380324158</v>
      </c>
      <c r="AA1248" s="0" t="n">
        <f aca="false">X1248-Z1248</f>
        <v>42.7043995374017</v>
      </c>
      <c r="AB1248" s="0" t="n">
        <f aca="false">X1248+Z1248</f>
        <v>45.6276271438849</v>
      </c>
      <c r="AC1248" s="54" t="b">
        <f aca="false">AND(E1248&gt;=01_因子設定!$L$5-0.000000001,E1248&lt;=01_因子設定!$M$5+0.000000001,F1248&gt;=01_因子設定!$L$6-0.000000001,F1248&lt;=01_因子設定!$M$6+0.000000001,G1248&gt;=01_因子設定!$L$7-0.000000001,G1248&lt;=01_因子設定!$M$7+0.000000001,H1248&gt;=01_因子設定!$L$8-0.000000001,H1248&lt;=01_因子設定!$M$8+0.000000001,IF(01_因子設定!$B$20="Box-Behnken",E1248^2+F1248^2+G1248^2+H1248^2&lt;=2+0.000000001,TRUE()))</f>
        <v>1</v>
      </c>
      <c r="AD1248" s="55" t="n">
        <f aca="false">IF(AC1248,IF(01_因子設定!$B$13="最大化",AA1248-01_因子設定!$B$14,IF(01_因子設定!$B$13="最小化",01_因子設定!$B$15-AB1248,MIN(AA1248-01_因子設定!$B$14,01_因子設定!$B$15-AB1248))),-1E+030)</f>
        <v>-3.7956004625983</v>
      </c>
      <c r="AE1248" s="55" t="n">
        <f aca="false">IF(AC1248,IF(01_因子設定!$B$13="最大化",X1248,IF(01_因子設定!$B$13="最小化",-X1248,-ABS(X1248-01_因子設定!$B$16))),-1E+030)</f>
        <v>44.1660133406433</v>
      </c>
      <c r="AF1248" s="55" t="n">
        <f aca="false">AD1248+ROW()*0.000000001</f>
        <v>-3.7955992145983</v>
      </c>
      <c r="AG1248" s="55" t="n">
        <f aca="false">AE1248+ROW()*0.000000001</f>
        <v>44.1660145886433</v>
      </c>
    </row>
    <row r="1249" customFormat="false" ht="15" hidden="false" customHeight="false" outlineLevel="0" collapsed="false">
      <c r="A1249" s="0" t="n">
        <v>1</v>
      </c>
      <c r="B1249" s="0" t="n">
        <v>6</v>
      </c>
      <c r="C1249" s="0" t="n">
        <v>3</v>
      </c>
      <c r="D1249" s="0" t="n">
        <v>2</v>
      </c>
      <c r="E1249" s="0" t="n">
        <f aca="false">-1+A1249*0.25</f>
        <v>-0.75</v>
      </c>
      <c r="F1249" s="0" t="n">
        <f aca="false">-1+B1249*0.25</f>
        <v>0.5</v>
      </c>
      <c r="G1249" s="0" t="n">
        <f aca="false">-1+C1249*0.25</f>
        <v>-0.25</v>
      </c>
      <c r="H1249" s="0" t="n">
        <f aca="false">-1+D1249*0.25</f>
        <v>-0.5</v>
      </c>
      <c r="I1249" s="0" t="n">
        <f aca="false">1</f>
        <v>1</v>
      </c>
      <c r="J1249" s="0" t="n">
        <f aca="false">E1249</f>
        <v>-0.75</v>
      </c>
      <c r="K1249" s="0" t="n">
        <f aca="false">F1249</f>
        <v>0.5</v>
      </c>
      <c r="L1249" s="0" t="n">
        <f aca="false">G1249</f>
        <v>-0.25</v>
      </c>
      <c r="M1249" s="0" t="n">
        <f aca="false">H1249</f>
        <v>-0.5</v>
      </c>
      <c r="N1249" s="0" t="n">
        <f aca="false">E1249*F1249</f>
        <v>-0.375</v>
      </c>
      <c r="O1249" s="0" t="n">
        <f aca="false">E1249*G1249</f>
        <v>0.1875</v>
      </c>
      <c r="P1249" s="0" t="n">
        <f aca="false">E1249*H1249</f>
        <v>0.375</v>
      </c>
      <c r="Q1249" s="0" t="n">
        <f aca="false">F1249*G1249</f>
        <v>-0.125</v>
      </c>
      <c r="R1249" s="0" t="n">
        <f aca="false">F1249*H1249</f>
        <v>-0.25</v>
      </c>
      <c r="S1249" s="0" t="n">
        <f aca="false">G1249*H1249</f>
        <v>0.125</v>
      </c>
      <c r="T1249" s="0" t="n">
        <f aca="false">E1249*E1249</f>
        <v>0.5625</v>
      </c>
      <c r="U1249" s="0" t="n">
        <f aca="false">F1249*F1249</f>
        <v>0.25</v>
      </c>
      <c r="V1249" s="0" t="n">
        <f aca="false">G1249*G1249</f>
        <v>0.0625</v>
      </c>
      <c r="W1249" s="0" t="n">
        <f aca="false">H1249*H1249</f>
        <v>0.25</v>
      </c>
      <c r="X1249" s="0" t="n">
        <f aca="false">SUMPRODUCT(I1249:W1249,_XtX!$B$96:$P$96)</f>
        <v>44.3189510233918</v>
      </c>
      <c r="Y1249" s="0" t="n">
        <f aca="false">SUMPRODUCT(MMULT(I1249:W1249,_XtX!$B$78:$P$92),I1249:W1249)</f>
        <v>0.203746059484649</v>
      </c>
      <c r="Z1249" s="0" t="n">
        <f aca="false">04_回帰ANOVA!$K$19*04_回帰ANOVA!$K$14*SQRT(1+Y1249)</f>
        <v>1.43009810755465</v>
      </c>
      <c r="AA1249" s="0" t="n">
        <f aca="false">X1249-Z1249</f>
        <v>42.8888529158372</v>
      </c>
      <c r="AB1249" s="0" t="n">
        <f aca="false">X1249+Z1249</f>
        <v>45.7490491309465</v>
      </c>
      <c r="AC1249" s="54" t="b">
        <f aca="false">AND(E1249&gt;=01_因子設定!$L$5-0.000000001,E1249&lt;=01_因子設定!$M$5+0.000000001,F1249&gt;=01_因子設定!$L$6-0.000000001,F1249&lt;=01_因子設定!$M$6+0.000000001,G1249&gt;=01_因子設定!$L$7-0.000000001,G1249&lt;=01_因子設定!$M$7+0.000000001,H1249&gt;=01_因子設定!$L$8-0.000000001,H1249&lt;=01_因子設定!$M$8+0.000000001,IF(01_因子設定!$B$20="Box-Behnken",E1249^2+F1249^2+G1249^2+H1249^2&lt;=2+0.000000001,TRUE()))</f>
        <v>1</v>
      </c>
      <c r="AD1249" s="55" t="n">
        <f aca="false">IF(AC1249,IF(01_因子設定!$B$13="最大化",AA1249-01_因子設定!$B$14,IF(01_因子設定!$B$13="最小化",01_因子設定!$B$15-AB1249,MIN(AA1249-01_因子設定!$B$14,01_因子設定!$B$15-AB1249))),-1E+030)</f>
        <v>-3.61114708416284</v>
      </c>
      <c r="AE1249" s="55" t="n">
        <f aca="false">IF(AC1249,IF(01_因子設定!$B$13="最大化",X1249,IF(01_因子設定!$B$13="最小化",-X1249,-ABS(X1249-01_因子設定!$B$16))),-1E+030)</f>
        <v>44.3189510233918</v>
      </c>
      <c r="AF1249" s="55" t="n">
        <f aca="false">AD1249+ROW()*0.000000001</f>
        <v>-3.61114583516284</v>
      </c>
      <c r="AG1249" s="55" t="n">
        <f aca="false">AE1249+ROW()*0.000000001</f>
        <v>44.3189522723918</v>
      </c>
    </row>
    <row r="1250" customFormat="false" ht="15" hidden="false" customHeight="false" outlineLevel="0" collapsed="false">
      <c r="A1250" s="0" t="n">
        <v>1</v>
      </c>
      <c r="B1250" s="0" t="n">
        <v>6</v>
      </c>
      <c r="C1250" s="0" t="n">
        <v>3</v>
      </c>
      <c r="D1250" s="0" t="n">
        <v>3</v>
      </c>
      <c r="E1250" s="0" t="n">
        <f aca="false">-1+A1250*0.25</f>
        <v>-0.75</v>
      </c>
      <c r="F1250" s="0" t="n">
        <f aca="false">-1+B1250*0.25</f>
        <v>0.5</v>
      </c>
      <c r="G1250" s="0" t="n">
        <f aca="false">-1+C1250*0.25</f>
        <v>-0.25</v>
      </c>
      <c r="H1250" s="0" t="n">
        <f aca="false">-1+D1250*0.25</f>
        <v>-0.25</v>
      </c>
      <c r="I1250" s="0" t="n">
        <f aca="false">1</f>
        <v>1</v>
      </c>
      <c r="J1250" s="0" t="n">
        <f aca="false">E1250</f>
        <v>-0.75</v>
      </c>
      <c r="K1250" s="0" t="n">
        <f aca="false">F1250</f>
        <v>0.5</v>
      </c>
      <c r="L1250" s="0" t="n">
        <f aca="false">G1250</f>
        <v>-0.25</v>
      </c>
      <c r="M1250" s="0" t="n">
        <f aca="false">H1250</f>
        <v>-0.25</v>
      </c>
      <c r="N1250" s="0" t="n">
        <f aca="false">E1250*F1250</f>
        <v>-0.375</v>
      </c>
      <c r="O1250" s="0" t="n">
        <f aca="false">E1250*G1250</f>
        <v>0.1875</v>
      </c>
      <c r="P1250" s="0" t="n">
        <f aca="false">E1250*H1250</f>
        <v>0.1875</v>
      </c>
      <c r="Q1250" s="0" t="n">
        <f aca="false">F1250*G1250</f>
        <v>-0.125</v>
      </c>
      <c r="R1250" s="0" t="n">
        <f aca="false">F1250*H1250</f>
        <v>-0.125</v>
      </c>
      <c r="S1250" s="0" t="n">
        <f aca="false">G1250*H1250</f>
        <v>0.0625</v>
      </c>
      <c r="T1250" s="0" t="n">
        <f aca="false">E1250*E1250</f>
        <v>0.5625</v>
      </c>
      <c r="U1250" s="0" t="n">
        <f aca="false">F1250*F1250</f>
        <v>0.25</v>
      </c>
      <c r="V1250" s="0" t="n">
        <f aca="false">G1250*G1250</f>
        <v>0.0625</v>
      </c>
      <c r="W1250" s="0" t="n">
        <f aca="false">H1250*H1250</f>
        <v>0.0625</v>
      </c>
      <c r="X1250" s="0" t="n">
        <f aca="false">SUMPRODUCT(I1250:W1250,_XtX!$B$96:$P$96)</f>
        <v>44.4240816885965</v>
      </c>
      <c r="Y1250" s="0" t="n">
        <f aca="false">SUMPRODUCT(MMULT(I1250:W1250,_XtX!$B$78:$P$92),I1250:W1250)</f>
        <v>0.207746539199561</v>
      </c>
      <c r="Z1250" s="0" t="n">
        <f aca="false">04_回帰ANOVA!$K$19*04_回帰ANOVA!$K$14*SQRT(1+Y1250)</f>
        <v>1.43247250081141</v>
      </c>
      <c r="AA1250" s="0" t="n">
        <f aca="false">X1250-Z1250</f>
        <v>42.9916091877851</v>
      </c>
      <c r="AB1250" s="0" t="n">
        <f aca="false">X1250+Z1250</f>
        <v>45.8565541894079</v>
      </c>
      <c r="AC1250" s="54" t="b">
        <f aca="false">AND(E1250&gt;=01_因子設定!$L$5-0.000000001,E1250&lt;=01_因子設定!$M$5+0.000000001,F1250&gt;=01_因子設定!$L$6-0.000000001,F1250&lt;=01_因子設定!$M$6+0.000000001,G1250&gt;=01_因子設定!$L$7-0.000000001,G1250&lt;=01_因子設定!$M$7+0.000000001,H1250&gt;=01_因子設定!$L$8-0.000000001,H1250&lt;=01_因子設定!$M$8+0.000000001,IF(01_因子設定!$B$20="Box-Behnken",E1250^2+F1250^2+G1250^2+H1250^2&lt;=2+0.000000001,TRUE()))</f>
        <v>1</v>
      </c>
      <c r="AD1250" s="55" t="n">
        <f aca="false">IF(AC1250,IF(01_因子設定!$B$13="最大化",AA1250-01_因子設定!$B$14,IF(01_因子設定!$B$13="最小化",01_因子設定!$B$15-AB1250,MIN(AA1250-01_因子設定!$B$14,01_因子設定!$B$15-AB1250))),-1E+030)</f>
        <v>-3.50839081221493</v>
      </c>
      <c r="AE1250" s="55" t="n">
        <f aca="false">IF(AC1250,IF(01_因子設定!$B$13="最大化",X1250,IF(01_因子設定!$B$13="最小化",-X1250,-ABS(X1250-01_因子設定!$B$16))),-1E+030)</f>
        <v>44.4240816885965</v>
      </c>
      <c r="AF1250" s="55" t="n">
        <f aca="false">AD1250+ROW()*0.000000001</f>
        <v>-3.50838956221493</v>
      </c>
      <c r="AG1250" s="55" t="n">
        <f aca="false">AE1250+ROW()*0.000000001</f>
        <v>44.4240829385965</v>
      </c>
    </row>
    <row r="1251" customFormat="false" ht="15" hidden="false" customHeight="false" outlineLevel="0" collapsed="false">
      <c r="A1251" s="0" t="n">
        <v>1</v>
      </c>
      <c r="B1251" s="0" t="n">
        <v>6</v>
      </c>
      <c r="C1251" s="0" t="n">
        <v>3</v>
      </c>
      <c r="D1251" s="0" t="n">
        <v>4</v>
      </c>
      <c r="E1251" s="0" t="n">
        <f aca="false">-1+A1251*0.25</f>
        <v>-0.75</v>
      </c>
      <c r="F1251" s="0" t="n">
        <f aca="false">-1+B1251*0.25</f>
        <v>0.5</v>
      </c>
      <c r="G1251" s="0" t="n">
        <f aca="false">-1+C1251*0.25</f>
        <v>-0.25</v>
      </c>
      <c r="H1251" s="0" t="n">
        <f aca="false">-1+D1251*0.25</f>
        <v>0</v>
      </c>
      <c r="I1251" s="0" t="n">
        <f aca="false">1</f>
        <v>1</v>
      </c>
      <c r="J1251" s="0" t="n">
        <f aca="false">E1251</f>
        <v>-0.75</v>
      </c>
      <c r="K1251" s="0" t="n">
        <f aca="false">F1251</f>
        <v>0.5</v>
      </c>
      <c r="L1251" s="0" t="n">
        <f aca="false">G1251</f>
        <v>-0.25</v>
      </c>
      <c r="M1251" s="0" t="n">
        <f aca="false">H1251</f>
        <v>0</v>
      </c>
      <c r="N1251" s="0" t="n">
        <f aca="false">E1251*F1251</f>
        <v>-0.375</v>
      </c>
      <c r="O1251" s="0" t="n">
        <f aca="false">E1251*G1251</f>
        <v>0.1875</v>
      </c>
      <c r="P1251" s="0" t="n">
        <f aca="false">E1251*H1251</f>
        <v>-0</v>
      </c>
      <c r="Q1251" s="0" t="n">
        <f aca="false">F1251*G1251</f>
        <v>-0.125</v>
      </c>
      <c r="R1251" s="0" t="n">
        <f aca="false">F1251*H1251</f>
        <v>0</v>
      </c>
      <c r="S1251" s="0" t="n">
        <f aca="false">G1251*H1251</f>
        <v>-0</v>
      </c>
      <c r="T1251" s="0" t="n">
        <f aca="false">E1251*E1251</f>
        <v>0.5625</v>
      </c>
      <c r="U1251" s="0" t="n">
        <f aca="false">F1251*F1251</f>
        <v>0.25</v>
      </c>
      <c r="V1251" s="0" t="n">
        <f aca="false">G1251*G1251</f>
        <v>0.0625</v>
      </c>
      <c r="W1251" s="0" t="n">
        <f aca="false">H1251*H1251</f>
        <v>0</v>
      </c>
      <c r="X1251" s="0" t="n">
        <f aca="false">SUMPRODUCT(I1251:W1251,_XtX!$B$96:$P$96)</f>
        <v>44.4814053362573</v>
      </c>
      <c r="Y1251" s="0" t="n">
        <f aca="false">SUMPRODUCT(MMULT(I1251:W1251,_XtX!$B$78:$P$92),I1251:W1251)</f>
        <v>0.215110734192252</v>
      </c>
      <c r="Z1251" s="0" t="n">
        <f aca="false">04_回帰ANOVA!$K$19*04_回帰ANOVA!$K$14*SQRT(1+Y1251)</f>
        <v>1.43683309086864</v>
      </c>
      <c r="AA1251" s="0" t="n">
        <f aca="false">X1251-Z1251</f>
        <v>43.0445722453887</v>
      </c>
      <c r="AB1251" s="0" t="n">
        <f aca="false">X1251+Z1251</f>
        <v>45.9182384271259</v>
      </c>
      <c r="AC1251" s="54" t="b">
        <f aca="false">AND(E1251&gt;=01_因子設定!$L$5-0.000000001,E1251&lt;=01_因子設定!$M$5+0.000000001,F1251&gt;=01_因子設定!$L$6-0.000000001,F1251&lt;=01_因子設定!$M$6+0.000000001,G1251&gt;=01_因子設定!$L$7-0.000000001,G1251&lt;=01_因子設定!$M$7+0.000000001,H1251&gt;=01_因子設定!$L$8-0.000000001,H1251&lt;=01_因子設定!$M$8+0.000000001,IF(01_因子設定!$B$20="Box-Behnken",E1251^2+F1251^2+G1251^2+H1251^2&lt;=2+0.000000001,TRUE()))</f>
        <v>1</v>
      </c>
      <c r="AD1251" s="55" t="n">
        <f aca="false">IF(AC1251,IF(01_因子設定!$B$13="最大化",AA1251-01_因子設定!$B$14,IF(01_因子設定!$B$13="最小化",01_因子設定!$B$15-AB1251,MIN(AA1251-01_因子設定!$B$14,01_因子設定!$B$15-AB1251))),-1E+030)</f>
        <v>-3.45542775461135</v>
      </c>
      <c r="AE1251" s="55" t="n">
        <f aca="false">IF(AC1251,IF(01_因子設定!$B$13="最大化",X1251,IF(01_因子設定!$B$13="最小化",-X1251,-ABS(X1251-01_因子設定!$B$16))),-1E+030)</f>
        <v>44.4814053362573</v>
      </c>
      <c r="AF1251" s="55" t="n">
        <f aca="false">AD1251+ROW()*0.000000001</f>
        <v>-3.45542650361135</v>
      </c>
      <c r="AG1251" s="55" t="n">
        <f aca="false">AE1251+ROW()*0.000000001</f>
        <v>44.4814065872573</v>
      </c>
    </row>
    <row r="1252" customFormat="false" ht="15" hidden="false" customHeight="false" outlineLevel="0" collapsed="false">
      <c r="A1252" s="0" t="n">
        <v>1</v>
      </c>
      <c r="B1252" s="0" t="n">
        <v>6</v>
      </c>
      <c r="C1252" s="0" t="n">
        <v>3</v>
      </c>
      <c r="D1252" s="0" t="n">
        <v>5</v>
      </c>
      <c r="E1252" s="0" t="n">
        <f aca="false">-1+A1252*0.25</f>
        <v>-0.75</v>
      </c>
      <c r="F1252" s="0" t="n">
        <f aca="false">-1+B1252*0.25</f>
        <v>0.5</v>
      </c>
      <c r="G1252" s="0" t="n">
        <f aca="false">-1+C1252*0.25</f>
        <v>-0.25</v>
      </c>
      <c r="H1252" s="0" t="n">
        <f aca="false">-1+D1252*0.25</f>
        <v>0.25</v>
      </c>
      <c r="I1252" s="0" t="n">
        <f aca="false">1</f>
        <v>1</v>
      </c>
      <c r="J1252" s="0" t="n">
        <f aca="false">E1252</f>
        <v>-0.75</v>
      </c>
      <c r="K1252" s="0" t="n">
        <f aca="false">F1252</f>
        <v>0.5</v>
      </c>
      <c r="L1252" s="0" t="n">
        <f aca="false">G1252</f>
        <v>-0.25</v>
      </c>
      <c r="M1252" s="0" t="n">
        <f aca="false">H1252</f>
        <v>0.25</v>
      </c>
      <c r="N1252" s="0" t="n">
        <f aca="false">E1252*F1252</f>
        <v>-0.375</v>
      </c>
      <c r="O1252" s="0" t="n">
        <f aca="false">E1252*G1252</f>
        <v>0.1875</v>
      </c>
      <c r="P1252" s="0" t="n">
        <f aca="false">E1252*H1252</f>
        <v>-0.1875</v>
      </c>
      <c r="Q1252" s="0" t="n">
        <f aca="false">F1252*G1252</f>
        <v>-0.125</v>
      </c>
      <c r="R1252" s="0" t="n">
        <f aca="false">F1252*H1252</f>
        <v>0.125</v>
      </c>
      <c r="S1252" s="0" t="n">
        <f aca="false">G1252*H1252</f>
        <v>-0.0625</v>
      </c>
      <c r="T1252" s="0" t="n">
        <f aca="false">E1252*E1252</f>
        <v>0.5625</v>
      </c>
      <c r="U1252" s="0" t="n">
        <f aca="false">F1252*F1252</f>
        <v>0.25</v>
      </c>
      <c r="V1252" s="0" t="n">
        <f aca="false">G1252*G1252</f>
        <v>0.0625</v>
      </c>
      <c r="W1252" s="0" t="n">
        <f aca="false">H1252*H1252</f>
        <v>0.0625</v>
      </c>
      <c r="X1252" s="0" t="n">
        <f aca="false">SUMPRODUCT(I1252:W1252,_XtX!$B$96:$P$96)</f>
        <v>44.4909219663743</v>
      </c>
      <c r="Y1252" s="0" t="n">
        <f aca="false">SUMPRODUCT(MMULT(I1252:W1252,_XtX!$B$78:$P$92),I1252:W1252)</f>
        <v>0.207746539199561</v>
      </c>
      <c r="Z1252" s="0" t="n">
        <f aca="false">04_回帰ANOVA!$K$19*04_回帰ANOVA!$K$14*SQRT(1+Y1252)</f>
        <v>1.43247250081141</v>
      </c>
      <c r="AA1252" s="0" t="n">
        <f aca="false">X1252-Z1252</f>
        <v>43.0584494655629</v>
      </c>
      <c r="AB1252" s="0" t="n">
        <f aca="false">X1252+Z1252</f>
        <v>45.9233944671857</v>
      </c>
      <c r="AC1252" s="54" t="b">
        <f aca="false">AND(E1252&gt;=01_因子設定!$L$5-0.000000001,E1252&lt;=01_因子設定!$M$5+0.000000001,F1252&gt;=01_因子設定!$L$6-0.000000001,F1252&lt;=01_因子設定!$M$6+0.000000001,G1252&gt;=01_因子設定!$L$7-0.000000001,G1252&lt;=01_因子設定!$M$7+0.000000001,H1252&gt;=01_因子設定!$L$8-0.000000001,H1252&lt;=01_因子設定!$M$8+0.000000001,IF(01_因子設定!$B$20="Box-Behnken",E1252^2+F1252^2+G1252^2+H1252^2&lt;=2+0.000000001,TRUE()))</f>
        <v>1</v>
      </c>
      <c r="AD1252" s="55" t="n">
        <f aca="false">IF(AC1252,IF(01_因子設定!$B$13="最大化",AA1252-01_因子設定!$B$14,IF(01_因子設定!$B$13="最小化",01_因子設定!$B$15-AB1252,MIN(AA1252-01_因子設定!$B$14,01_因子設定!$B$15-AB1252))),-1E+030)</f>
        <v>-3.44155053443715</v>
      </c>
      <c r="AE1252" s="55" t="n">
        <f aca="false">IF(AC1252,IF(01_因子設定!$B$13="最大化",X1252,IF(01_因子設定!$B$13="最小化",-X1252,-ABS(X1252-01_因子設定!$B$16))),-1E+030)</f>
        <v>44.4909219663743</v>
      </c>
      <c r="AF1252" s="55" t="n">
        <f aca="false">AD1252+ROW()*0.000000001</f>
        <v>-3.44154928243715</v>
      </c>
      <c r="AG1252" s="55" t="n">
        <f aca="false">AE1252+ROW()*0.000000001</f>
        <v>44.4909232183743</v>
      </c>
    </row>
    <row r="1253" customFormat="false" ht="15" hidden="false" customHeight="false" outlineLevel="0" collapsed="false">
      <c r="A1253" s="0" t="n">
        <v>1</v>
      </c>
      <c r="B1253" s="0" t="n">
        <v>6</v>
      </c>
      <c r="C1253" s="0" t="n">
        <v>3</v>
      </c>
      <c r="D1253" s="0" t="n">
        <v>6</v>
      </c>
      <c r="E1253" s="0" t="n">
        <f aca="false">-1+A1253*0.25</f>
        <v>-0.75</v>
      </c>
      <c r="F1253" s="0" t="n">
        <f aca="false">-1+B1253*0.25</f>
        <v>0.5</v>
      </c>
      <c r="G1253" s="0" t="n">
        <f aca="false">-1+C1253*0.25</f>
        <v>-0.25</v>
      </c>
      <c r="H1253" s="0" t="n">
        <f aca="false">-1+D1253*0.25</f>
        <v>0.5</v>
      </c>
      <c r="I1253" s="0" t="n">
        <f aca="false">1</f>
        <v>1</v>
      </c>
      <c r="J1253" s="0" t="n">
        <f aca="false">E1253</f>
        <v>-0.75</v>
      </c>
      <c r="K1253" s="0" t="n">
        <f aca="false">F1253</f>
        <v>0.5</v>
      </c>
      <c r="L1253" s="0" t="n">
        <f aca="false">G1253</f>
        <v>-0.25</v>
      </c>
      <c r="M1253" s="0" t="n">
        <f aca="false">H1253</f>
        <v>0.5</v>
      </c>
      <c r="N1253" s="0" t="n">
        <f aca="false">E1253*F1253</f>
        <v>-0.375</v>
      </c>
      <c r="O1253" s="0" t="n">
        <f aca="false">E1253*G1253</f>
        <v>0.1875</v>
      </c>
      <c r="P1253" s="0" t="n">
        <f aca="false">E1253*H1253</f>
        <v>-0.375</v>
      </c>
      <c r="Q1253" s="0" t="n">
        <f aca="false">F1253*G1253</f>
        <v>-0.125</v>
      </c>
      <c r="R1253" s="0" t="n">
        <f aca="false">F1253*H1253</f>
        <v>0.25</v>
      </c>
      <c r="S1253" s="0" t="n">
        <f aca="false">G1253*H1253</f>
        <v>-0.125</v>
      </c>
      <c r="T1253" s="0" t="n">
        <f aca="false">E1253*E1253</f>
        <v>0.5625</v>
      </c>
      <c r="U1253" s="0" t="n">
        <f aca="false">F1253*F1253</f>
        <v>0.25</v>
      </c>
      <c r="V1253" s="0" t="n">
        <f aca="false">G1253*G1253</f>
        <v>0.0625</v>
      </c>
      <c r="W1253" s="0" t="n">
        <f aca="false">H1253*H1253</f>
        <v>0.25</v>
      </c>
      <c r="X1253" s="0" t="n">
        <f aca="false">SUMPRODUCT(I1253:W1253,_XtX!$B$96:$P$96)</f>
        <v>44.4526315789474</v>
      </c>
      <c r="Y1253" s="0" t="n">
        <f aca="false">SUMPRODUCT(MMULT(I1253:W1253,_XtX!$B$78:$P$92),I1253:W1253)</f>
        <v>0.203746059484649</v>
      </c>
      <c r="Z1253" s="0" t="n">
        <f aca="false">04_回帰ANOVA!$K$19*04_回帰ANOVA!$K$14*SQRT(1+Y1253)</f>
        <v>1.43009810755465</v>
      </c>
      <c r="AA1253" s="0" t="n">
        <f aca="false">X1253-Z1253</f>
        <v>43.0225334713927</v>
      </c>
      <c r="AB1253" s="0" t="n">
        <f aca="false">X1253+Z1253</f>
        <v>45.882729686502</v>
      </c>
      <c r="AC1253" s="54" t="b">
        <f aca="false">AND(E1253&gt;=01_因子設定!$L$5-0.000000001,E1253&lt;=01_因子設定!$M$5+0.000000001,F1253&gt;=01_因子設定!$L$6-0.000000001,F1253&lt;=01_因子設定!$M$6+0.000000001,G1253&gt;=01_因子設定!$L$7-0.000000001,G1253&lt;=01_因子設定!$M$7+0.000000001,H1253&gt;=01_因子設定!$L$8-0.000000001,H1253&lt;=01_因子設定!$M$8+0.000000001,IF(01_因子設定!$B$20="Box-Behnken",E1253^2+F1253^2+G1253^2+H1253^2&lt;=2+0.000000001,TRUE()))</f>
        <v>1</v>
      </c>
      <c r="AD1253" s="55" t="n">
        <f aca="false">IF(AC1253,IF(01_因子設定!$B$13="最大化",AA1253-01_因子設定!$B$14,IF(01_因子設定!$B$13="最小化",01_因子設定!$B$15-AB1253,MIN(AA1253-01_因子設定!$B$14,01_因子設定!$B$15-AB1253))),-1E+030)</f>
        <v>-3.47746652860729</v>
      </c>
      <c r="AE1253" s="55" t="n">
        <f aca="false">IF(AC1253,IF(01_因子設定!$B$13="最大化",X1253,IF(01_因子設定!$B$13="最小化",-X1253,-ABS(X1253-01_因子設定!$B$16))),-1E+030)</f>
        <v>44.4526315789474</v>
      </c>
      <c r="AF1253" s="55" t="n">
        <f aca="false">AD1253+ROW()*0.000000001</f>
        <v>-3.47746527560729</v>
      </c>
      <c r="AG1253" s="55" t="n">
        <f aca="false">AE1253+ROW()*0.000000001</f>
        <v>44.4526328319474</v>
      </c>
    </row>
    <row r="1254" customFormat="false" ht="15" hidden="false" customHeight="false" outlineLevel="0" collapsed="false">
      <c r="A1254" s="0" t="n">
        <v>1</v>
      </c>
      <c r="B1254" s="0" t="n">
        <v>6</v>
      </c>
      <c r="C1254" s="0" t="n">
        <v>3</v>
      </c>
      <c r="D1254" s="0" t="n">
        <v>7</v>
      </c>
      <c r="E1254" s="0" t="n">
        <f aca="false">-1+A1254*0.25</f>
        <v>-0.75</v>
      </c>
      <c r="F1254" s="0" t="n">
        <f aca="false">-1+B1254*0.25</f>
        <v>0.5</v>
      </c>
      <c r="G1254" s="0" t="n">
        <f aca="false">-1+C1254*0.25</f>
        <v>-0.25</v>
      </c>
      <c r="H1254" s="0" t="n">
        <f aca="false">-1+D1254*0.25</f>
        <v>0.75</v>
      </c>
      <c r="I1254" s="0" t="n">
        <f aca="false">1</f>
        <v>1</v>
      </c>
      <c r="J1254" s="0" t="n">
        <f aca="false">E1254</f>
        <v>-0.75</v>
      </c>
      <c r="K1254" s="0" t="n">
        <f aca="false">F1254</f>
        <v>0.5</v>
      </c>
      <c r="L1254" s="0" t="n">
        <f aca="false">G1254</f>
        <v>-0.25</v>
      </c>
      <c r="M1254" s="0" t="n">
        <f aca="false">H1254</f>
        <v>0.75</v>
      </c>
      <c r="N1254" s="0" t="n">
        <f aca="false">E1254*F1254</f>
        <v>-0.375</v>
      </c>
      <c r="O1254" s="0" t="n">
        <f aca="false">E1254*G1254</f>
        <v>0.1875</v>
      </c>
      <c r="P1254" s="0" t="n">
        <f aca="false">E1254*H1254</f>
        <v>-0.5625</v>
      </c>
      <c r="Q1254" s="0" t="n">
        <f aca="false">F1254*G1254</f>
        <v>-0.125</v>
      </c>
      <c r="R1254" s="0" t="n">
        <f aca="false">F1254*H1254</f>
        <v>0.375</v>
      </c>
      <c r="S1254" s="0" t="n">
        <f aca="false">G1254*H1254</f>
        <v>-0.1875</v>
      </c>
      <c r="T1254" s="0" t="n">
        <f aca="false">E1254*E1254</f>
        <v>0.5625</v>
      </c>
      <c r="U1254" s="0" t="n">
        <f aca="false">F1254*F1254</f>
        <v>0.25</v>
      </c>
      <c r="V1254" s="0" t="n">
        <f aca="false">G1254*G1254</f>
        <v>0.0625</v>
      </c>
      <c r="W1254" s="0" t="n">
        <f aca="false">H1254*H1254</f>
        <v>0.5625</v>
      </c>
      <c r="X1254" s="0" t="n">
        <f aca="false">SUMPRODUCT(I1254:W1254,_XtX!$B$96:$P$96)</f>
        <v>44.3665341739766</v>
      </c>
      <c r="Y1254" s="0" t="n">
        <f aca="false">SUMPRODUCT(MMULT(I1254:W1254,_XtX!$B$78:$P$92),I1254:W1254)</f>
        <v>0.257385610836988</v>
      </c>
      <c r="Z1254" s="0" t="n">
        <f aca="false">04_回帰ANOVA!$K$19*04_回帰ANOVA!$K$14*SQRT(1+Y1254)</f>
        <v>1.46161380324158</v>
      </c>
      <c r="AA1254" s="0" t="n">
        <f aca="false">X1254-Z1254</f>
        <v>42.904920370735</v>
      </c>
      <c r="AB1254" s="0" t="n">
        <f aca="false">X1254+Z1254</f>
        <v>45.8281479772182</v>
      </c>
      <c r="AC1254" s="54" t="b">
        <f aca="false">AND(E1254&gt;=01_因子設定!$L$5-0.000000001,E1254&lt;=01_因子設定!$M$5+0.000000001,F1254&gt;=01_因子設定!$L$6-0.000000001,F1254&lt;=01_因子設定!$M$6+0.000000001,G1254&gt;=01_因子設定!$L$7-0.000000001,G1254&lt;=01_因子設定!$M$7+0.000000001,H1254&gt;=01_因子設定!$L$8-0.000000001,H1254&lt;=01_因子設定!$M$8+0.000000001,IF(01_因子設定!$B$20="Box-Behnken",E1254^2+F1254^2+G1254^2+H1254^2&lt;=2+0.000000001,TRUE()))</f>
        <v>1</v>
      </c>
      <c r="AD1254" s="55" t="n">
        <f aca="false">IF(AC1254,IF(01_因子設定!$B$13="最大化",AA1254-01_因子設定!$B$14,IF(01_因子設定!$B$13="最小化",01_因子設定!$B$15-AB1254,MIN(AA1254-01_因子設定!$B$14,01_因子設定!$B$15-AB1254))),-1E+030)</f>
        <v>-3.59507962926497</v>
      </c>
      <c r="AE1254" s="55" t="n">
        <f aca="false">IF(AC1254,IF(01_因子設定!$B$13="最大化",X1254,IF(01_因子設定!$B$13="最小化",-X1254,-ABS(X1254-01_因子設定!$B$16))),-1E+030)</f>
        <v>44.3665341739766</v>
      </c>
      <c r="AF1254" s="55" t="n">
        <f aca="false">AD1254+ROW()*0.000000001</f>
        <v>-3.59507837526497</v>
      </c>
      <c r="AG1254" s="55" t="n">
        <f aca="false">AE1254+ROW()*0.000000001</f>
        <v>44.3665354279766</v>
      </c>
    </row>
    <row r="1255" customFormat="false" ht="15" hidden="false" customHeight="false" outlineLevel="0" collapsed="false">
      <c r="A1255" s="0" t="n">
        <v>1</v>
      </c>
      <c r="B1255" s="0" t="n">
        <v>6</v>
      </c>
      <c r="C1255" s="0" t="n">
        <v>3</v>
      </c>
      <c r="D1255" s="0" t="n">
        <v>8</v>
      </c>
      <c r="E1255" s="0" t="n">
        <f aca="false">-1+A1255*0.25</f>
        <v>-0.75</v>
      </c>
      <c r="F1255" s="0" t="n">
        <f aca="false">-1+B1255*0.25</f>
        <v>0.5</v>
      </c>
      <c r="G1255" s="0" t="n">
        <f aca="false">-1+C1255*0.25</f>
        <v>-0.25</v>
      </c>
      <c r="H1255" s="0" t="n">
        <f aca="false">-1+D1255*0.25</f>
        <v>1</v>
      </c>
      <c r="I1255" s="0" t="n">
        <f aca="false">1</f>
        <v>1</v>
      </c>
      <c r="J1255" s="0" t="n">
        <f aca="false">E1255</f>
        <v>-0.75</v>
      </c>
      <c r="K1255" s="0" t="n">
        <f aca="false">F1255</f>
        <v>0.5</v>
      </c>
      <c r="L1255" s="0" t="n">
        <f aca="false">G1255</f>
        <v>-0.25</v>
      </c>
      <c r="M1255" s="0" t="n">
        <f aca="false">H1255</f>
        <v>1</v>
      </c>
      <c r="N1255" s="0" t="n">
        <f aca="false">E1255*F1255</f>
        <v>-0.375</v>
      </c>
      <c r="O1255" s="0" t="n">
        <f aca="false">E1255*G1255</f>
        <v>0.1875</v>
      </c>
      <c r="P1255" s="0" t="n">
        <f aca="false">E1255*H1255</f>
        <v>-0.75</v>
      </c>
      <c r="Q1255" s="0" t="n">
        <f aca="false">F1255*G1255</f>
        <v>-0.125</v>
      </c>
      <c r="R1255" s="0" t="n">
        <f aca="false">F1255*H1255</f>
        <v>0.5</v>
      </c>
      <c r="S1255" s="0" t="n">
        <f aca="false">G1255*H1255</f>
        <v>-0.25</v>
      </c>
      <c r="T1255" s="0" t="n">
        <f aca="false">E1255*E1255</f>
        <v>0.5625</v>
      </c>
      <c r="U1255" s="0" t="n">
        <f aca="false">F1255*F1255</f>
        <v>0.25</v>
      </c>
      <c r="V1255" s="0" t="n">
        <f aca="false">G1255*G1255</f>
        <v>0.0625</v>
      </c>
      <c r="W1255" s="0" t="n">
        <f aca="false">H1255*H1255</f>
        <v>1</v>
      </c>
      <c r="X1255" s="0" t="n">
        <f aca="false">SUMPRODUCT(I1255:W1255,_XtX!$B$96:$P$96)</f>
        <v>44.232629751462</v>
      </c>
      <c r="Y1255" s="0" t="n">
        <f aca="false">SUMPRODUCT(MMULT(I1255:W1255,_XtX!$B$78:$P$92),I1255:W1255)</f>
        <v>0.459125719572369</v>
      </c>
      <c r="Z1255" s="0" t="n">
        <f aca="false">04_回帰ANOVA!$K$19*04_回帰ANOVA!$K$14*SQRT(1+Y1255)</f>
        <v>1.57450755575573</v>
      </c>
      <c r="AA1255" s="0" t="n">
        <f aca="false">X1255-Z1255</f>
        <v>42.6581221957063</v>
      </c>
      <c r="AB1255" s="0" t="n">
        <f aca="false">X1255+Z1255</f>
        <v>45.8071373072177</v>
      </c>
      <c r="AC1255" s="54" t="b">
        <f aca="false">AND(E1255&gt;=01_因子設定!$L$5-0.000000001,E1255&lt;=01_因子設定!$M$5+0.000000001,F1255&gt;=01_因子設定!$L$6-0.000000001,F1255&lt;=01_因子設定!$M$6+0.000000001,G1255&gt;=01_因子設定!$L$7-0.000000001,G1255&lt;=01_因子設定!$M$7+0.000000001,H1255&gt;=01_因子設定!$L$8-0.000000001,H1255&lt;=01_因子設定!$M$8+0.000000001,IF(01_因子設定!$B$20="Box-Behnken",E1255^2+F1255^2+G1255^2+H1255^2&lt;=2+0.000000001,TRUE()))</f>
        <v>1</v>
      </c>
      <c r="AD1255" s="55" t="n">
        <f aca="false">IF(AC1255,IF(01_因子設定!$B$13="最大化",AA1255-01_因子設定!$B$14,IF(01_因子設定!$B$13="最小化",01_因子設定!$B$15-AB1255,MIN(AA1255-01_因子設定!$B$14,01_因子設定!$B$15-AB1255))),-1E+030)</f>
        <v>-3.84187780429372</v>
      </c>
      <c r="AE1255" s="55" t="n">
        <f aca="false">IF(AC1255,IF(01_因子設定!$B$13="最大化",X1255,IF(01_因子設定!$B$13="最小化",-X1255,-ABS(X1255-01_因子設定!$B$16))),-1E+030)</f>
        <v>44.232629751462</v>
      </c>
      <c r="AF1255" s="55" t="n">
        <f aca="false">AD1255+ROW()*0.000000001</f>
        <v>-3.84187654929372</v>
      </c>
      <c r="AG1255" s="55" t="n">
        <f aca="false">AE1255+ROW()*0.000000001</f>
        <v>44.232631006462</v>
      </c>
    </row>
    <row r="1256" customFormat="false" ht="15" hidden="false" customHeight="false" outlineLevel="0" collapsed="false">
      <c r="A1256" s="0" t="n">
        <v>1</v>
      </c>
      <c r="B1256" s="0" t="n">
        <v>6</v>
      </c>
      <c r="C1256" s="0" t="n">
        <v>4</v>
      </c>
      <c r="D1256" s="0" t="n">
        <v>0</v>
      </c>
      <c r="E1256" s="0" t="n">
        <f aca="false">-1+A1256*0.25</f>
        <v>-0.75</v>
      </c>
      <c r="F1256" s="0" t="n">
        <f aca="false">-1+B1256*0.25</f>
        <v>0.5</v>
      </c>
      <c r="G1256" s="0" t="n">
        <f aca="false">-1+C1256*0.25</f>
        <v>0</v>
      </c>
      <c r="H1256" s="0" t="n">
        <f aca="false">-1+D1256*0.25</f>
        <v>-1</v>
      </c>
      <c r="I1256" s="0" t="n">
        <f aca="false">1</f>
        <v>1</v>
      </c>
      <c r="J1256" s="0" t="n">
        <f aca="false">E1256</f>
        <v>-0.75</v>
      </c>
      <c r="K1256" s="0" t="n">
        <f aca="false">F1256</f>
        <v>0.5</v>
      </c>
      <c r="L1256" s="0" t="n">
        <f aca="false">G1256</f>
        <v>0</v>
      </c>
      <c r="M1256" s="0" t="n">
        <f aca="false">H1256</f>
        <v>-1</v>
      </c>
      <c r="N1256" s="0" t="n">
        <f aca="false">E1256*F1256</f>
        <v>-0.375</v>
      </c>
      <c r="O1256" s="0" t="n">
        <f aca="false">E1256*G1256</f>
        <v>-0</v>
      </c>
      <c r="P1256" s="0" t="n">
        <f aca="false">E1256*H1256</f>
        <v>0.75</v>
      </c>
      <c r="Q1256" s="0" t="n">
        <f aca="false">F1256*G1256</f>
        <v>0</v>
      </c>
      <c r="R1256" s="0" t="n">
        <f aca="false">F1256*H1256</f>
        <v>-0.5</v>
      </c>
      <c r="S1256" s="0" t="n">
        <f aca="false">G1256*H1256</f>
        <v>-0</v>
      </c>
      <c r="T1256" s="0" t="n">
        <f aca="false">E1256*E1256</f>
        <v>0.5625</v>
      </c>
      <c r="U1256" s="0" t="n">
        <f aca="false">F1256*F1256</f>
        <v>0.25</v>
      </c>
      <c r="V1256" s="0" t="n">
        <f aca="false">G1256*G1256</f>
        <v>0</v>
      </c>
      <c r="W1256" s="0" t="n">
        <f aca="false">H1256*H1256</f>
        <v>1</v>
      </c>
      <c r="X1256" s="0" t="n">
        <f aca="false">SUMPRODUCT(I1256:W1256,_XtX!$B$96:$P$96)</f>
        <v>44.3428179824562</v>
      </c>
      <c r="Y1256" s="0" t="n">
        <f aca="false">SUMPRODUCT(MMULT(I1256:W1256,_XtX!$B$78:$P$92),I1256:W1256)</f>
        <v>0.476191292032164</v>
      </c>
      <c r="Z1256" s="0" t="n">
        <f aca="false">04_回帰ANOVA!$K$19*04_回帰ANOVA!$K$14*SQRT(1+Y1256)</f>
        <v>1.58368831471718</v>
      </c>
      <c r="AA1256" s="0" t="n">
        <f aca="false">X1256-Z1256</f>
        <v>42.759129667739</v>
      </c>
      <c r="AB1256" s="0" t="n">
        <f aca="false">X1256+Z1256</f>
        <v>45.9265062971733</v>
      </c>
      <c r="AC1256" s="54" t="b">
        <f aca="false">AND(E1256&gt;=01_因子設定!$L$5-0.000000001,E1256&lt;=01_因子設定!$M$5+0.000000001,F1256&gt;=01_因子設定!$L$6-0.000000001,F1256&lt;=01_因子設定!$M$6+0.000000001,G1256&gt;=01_因子設定!$L$7-0.000000001,G1256&lt;=01_因子設定!$M$7+0.000000001,H1256&gt;=01_因子設定!$L$8-0.000000001,H1256&lt;=01_因子設定!$M$8+0.000000001,IF(01_因子設定!$B$20="Box-Behnken",E1256^2+F1256^2+G1256^2+H1256^2&lt;=2+0.000000001,TRUE()))</f>
        <v>1</v>
      </c>
      <c r="AD1256" s="55" t="n">
        <f aca="false">IF(AC1256,IF(01_因子設定!$B$13="最大化",AA1256-01_因子設定!$B$14,IF(01_因子設定!$B$13="最小化",01_因子設定!$B$15-AB1256,MIN(AA1256-01_因子設定!$B$14,01_因子設定!$B$15-AB1256))),-1E+030)</f>
        <v>-3.74087033226102</v>
      </c>
      <c r="AE1256" s="55" t="n">
        <f aca="false">IF(AC1256,IF(01_因子設定!$B$13="最大化",X1256,IF(01_因子設定!$B$13="最小化",-X1256,-ABS(X1256-01_因子設定!$B$16))),-1E+030)</f>
        <v>44.3428179824562</v>
      </c>
      <c r="AF1256" s="55" t="n">
        <f aca="false">AD1256+ROW()*0.000000001</f>
        <v>-3.74086907626102</v>
      </c>
      <c r="AG1256" s="55" t="n">
        <f aca="false">AE1256+ROW()*0.000000001</f>
        <v>44.3428192384562</v>
      </c>
    </row>
    <row r="1257" customFormat="false" ht="15" hidden="false" customHeight="false" outlineLevel="0" collapsed="false">
      <c r="A1257" s="0" t="n">
        <v>1</v>
      </c>
      <c r="B1257" s="0" t="n">
        <v>6</v>
      </c>
      <c r="C1257" s="0" t="n">
        <v>4</v>
      </c>
      <c r="D1257" s="0" t="n">
        <v>1</v>
      </c>
      <c r="E1257" s="0" t="n">
        <f aca="false">-1+A1257*0.25</f>
        <v>-0.75</v>
      </c>
      <c r="F1257" s="0" t="n">
        <f aca="false">-1+B1257*0.25</f>
        <v>0.5</v>
      </c>
      <c r="G1257" s="0" t="n">
        <f aca="false">-1+C1257*0.25</f>
        <v>0</v>
      </c>
      <c r="H1257" s="0" t="n">
        <f aca="false">-1+D1257*0.25</f>
        <v>-0.75</v>
      </c>
      <c r="I1257" s="0" t="n">
        <f aca="false">1</f>
        <v>1</v>
      </c>
      <c r="J1257" s="0" t="n">
        <f aca="false">E1257</f>
        <v>-0.75</v>
      </c>
      <c r="K1257" s="0" t="n">
        <f aca="false">F1257</f>
        <v>0.5</v>
      </c>
      <c r="L1257" s="0" t="n">
        <f aca="false">G1257</f>
        <v>0</v>
      </c>
      <c r="M1257" s="0" t="n">
        <f aca="false">H1257</f>
        <v>-0.75</v>
      </c>
      <c r="N1257" s="0" t="n">
        <f aca="false">E1257*F1257</f>
        <v>-0.375</v>
      </c>
      <c r="O1257" s="0" t="n">
        <f aca="false">E1257*G1257</f>
        <v>-0</v>
      </c>
      <c r="P1257" s="0" t="n">
        <f aca="false">E1257*H1257</f>
        <v>0.5625</v>
      </c>
      <c r="Q1257" s="0" t="n">
        <f aca="false">F1257*G1257</f>
        <v>0</v>
      </c>
      <c r="R1257" s="0" t="n">
        <f aca="false">F1257*H1257</f>
        <v>-0.375</v>
      </c>
      <c r="S1257" s="0" t="n">
        <f aca="false">G1257*H1257</f>
        <v>-0</v>
      </c>
      <c r="T1257" s="0" t="n">
        <f aca="false">E1257*E1257</f>
        <v>0.5625</v>
      </c>
      <c r="U1257" s="0" t="n">
        <f aca="false">F1257*F1257</f>
        <v>0.25</v>
      </c>
      <c r="V1257" s="0" t="n">
        <f aca="false">G1257*G1257</f>
        <v>0</v>
      </c>
      <c r="W1257" s="0" t="n">
        <f aca="false">H1257*H1257</f>
        <v>0.5625</v>
      </c>
      <c r="X1257" s="0" t="n">
        <f aca="false">SUMPRODUCT(I1257:W1257,_XtX!$B$96:$P$96)</f>
        <v>44.5615314327485</v>
      </c>
      <c r="Y1257" s="0" t="n">
        <f aca="false">SUMPRODUCT(MMULT(I1257:W1257,_XtX!$B$78:$P$92),I1257:W1257)</f>
        <v>0.269923873812135</v>
      </c>
      <c r="Z1257" s="0" t="n">
        <f aca="false">04_回帰ANOVA!$K$19*04_回帰ANOVA!$K$14*SQRT(1+Y1257)</f>
        <v>1.46888310825501</v>
      </c>
      <c r="AA1257" s="0" t="n">
        <f aca="false">X1257-Z1257</f>
        <v>43.0926483244935</v>
      </c>
      <c r="AB1257" s="0" t="n">
        <f aca="false">X1257+Z1257</f>
        <v>46.0304145410036</v>
      </c>
      <c r="AC1257" s="54" t="b">
        <f aca="false">AND(E1257&gt;=01_因子設定!$L$5-0.000000001,E1257&lt;=01_因子設定!$M$5+0.000000001,F1257&gt;=01_因子設定!$L$6-0.000000001,F1257&lt;=01_因子設定!$M$6+0.000000001,G1257&gt;=01_因子設定!$L$7-0.000000001,G1257&lt;=01_因子設定!$M$7+0.000000001,H1257&gt;=01_因子設定!$L$8-0.000000001,H1257&lt;=01_因子設定!$M$8+0.000000001,IF(01_因子設定!$B$20="Box-Behnken",E1257^2+F1257^2+G1257^2+H1257^2&lt;=2+0.000000001,TRUE()))</f>
        <v>1</v>
      </c>
      <c r="AD1257" s="55" t="n">
        <f aca="false">IF(AC1257,IF(01_因子設定!$B$13="最大化",AA1257-01_因子設定!$B$14,IF(01_因子設定!$B$13="最小化",01_因子設定!$B$15-AB1257,MIN(AA1257-01_因子設定!$B$14,01_因子設定!$B$15-AB1257))),-1E+030)</f>
        <v>-3.40735167550646</v>
      </c>
      <c r="AE1257" s="55" t="n">
        <f aca="false">IF(AC1257,IF(01_因子設定!$B$13="最大化",X1257,IF(01_因子設定!$B$13="最小化",-X1257,-ABS(X1257-01_因子設定!$B$16))),-1E+030)</f>
        <v>44.5615314327485</v>
      </c>
      <c r="AF1257" s="55" t="n">
        <f aca="false">AD1257+ROW()*0.000000001</f>
        <v>-3.40735041850646</v>
      </c>
      <c r="AG1257" s="55" t="n">
        <f aca="false">AE1257+ROW()*0.000000001</f>
        <v>44.5615326897485</v>
      </c>
    </row>
    <row r="1258" customFormat="false" ht="15" hidden="false" customHeight="false" outlineLevel="0" collapsed="false">
      <c r="A1258" s="0" t="n">
        <v>1</v>
      </c>
      <c r="B1258" s="0" t="n">
        <v>6</v>
      </c>
      <c r="C1258" s="0" t="n">
        <v>4</v>
      </c>
      <c r="D1258" s="0" t="n">
        <v>2</v>
      </c>
      <c r="E1258" s="0" t="n">
        <f aca="false">-1+A1258*0.25</f>
        <v>-0.75</v>
      </c>
      <c r="F1258" s="0" t="n">
        <f aca="false">-1+B1258*0.25</f>
        <v>0.5</v>
      </c>
      <c r="G1258" s="0" t="n">
        <f aca="false">-1+C1258*0.25</f>
        <v>0</v>
      </c>
      <c r="H1258" s="0" t="n">
        <f aca="false">-1+D1258*0.25</f>
        <v>-0.5</v>
      </c>
      <c r="I1258" s="0" t="n">
        <f aca="false">1</f>
        <v>1</v>
      </c>
      <c r="J1258" s="0" t="n">
        <f aca="false">E1258</f>
        <v>-0.75</v>
      </c>
      <c r="K1258" s="0" t="n">
        <f aca="false">F1258</f>
        <v>0.5</v>
      </c>
      <c r="L1258" s="0" t="n">
        <f aca="false">G1258</f>
        <v>0</v>
      </c>
      <c r="M1258" s="0" t="n">
        <f aca="false">H1258</f>
        <v>-0.5</v>
      </c>
      <c r="N1258" s="0" t="n">
        <f aca="false">E1258*F1258</f>
        <v>-0.375</v>
      </c>
      <c r="O1258" s="0" t="n">
        <f aca="false">E1258*G1258</f>
        <v>-0</v>
      </c>
      <c r="P1258" s="0" t="n">
        <f aca="false">E1258*H1258</f>
        <v>0.375</v>
      </c>
      <c r="Q1258" s="0" t="n">
        <f aca="false">F1258*G1258</f>
        <v>0</v>
      </c>
      <c r="R1258" s="0" t="n">
        <f aca="false">F1258*H1258</f>
        <v>-0.25</v>
      </c>
      <c r="S1258" s="0" t="n">
        <f aca="false">G1258*H1258</f>
        <v>-0</v>
      </c>
      <c r="T1258" s="0" t="n">
        <f aca="false">E1258*E1258</f>
        <v>0.5625</v>
      </c>
      <c r="U1258" s="0" t="n">
        <f aca="false">F1258*F1258</f>
        <v>0.25</v>
      </c>
      <c r="V1258" s="0" t="n">
        <f aca="false">G1258*G1258</f>
        <v>0</v>
      </c>
      <c r="W1258" s="0" t="n">
        <f aca="false">H1258*H1258</f>
        <v>0.25</v>
      </c>
      <c r="X1258" s="0" t="n">
        <f aca="false">SUMPRODUCT(I1258:W1258,_XtX!$B$96:$P$96)</f>
        <v>44.7324378654971</v>
      </c>
      <c r="Y1258" s="0" t="n">
        <f aca="false">SUMPRODUCT(MMULT(I1258:W1258,_XtX!$B$78:$P$92),I1258:W1258)</f>
        <v>0.21305052997076</v>
      </c>
      <c r="Z1258" s="0" t="n">
        <f aca="false">04_回帰ANOVA!$K$19*04_回帰ANOVA!$K$14*SQRT(1+Y1258)</f>
        <v>1.43561450835061</v>
      </c>
      <c r="AA1258" s="0" t="n">
        <f aca="false">X1258-Z1258</f>
        <v>43.2968233571465</v>
      </c>
      <c r="AB1258" s="0" t="n">
        <f aca="false">X1258+Z1258</f>
        <v>46.1680523738477</v>
      </c>
      <c r="AC1258" s="54" t="b">
        <f aca="false">AND(E1258&gt;=01_因子設定!$L$5-0.000000001,E1258&lt;=01_因子設定!$M$5+0.000000001,F1258&gt;=01_因子設定!$L$6-0.000000001,F1258&lt;=01_因子設定!$M$6+0.000000001,G1258&gt;=01_因子設定!$L$7-0.000000001,G1258&lt;=01_因子設定!$M$7+0.000000001,H1258&gt;=01_因子設定!$L$8-0.000000001,H1258&lt;=01_因子設定!$M$8+0.000000001,IF(01_因子設定!$B$20="Box-Behnken",E1258^2+F1258^2+G1258^2+H1258^2&lt;=2+0.000000001,TRUE()))</f>
        <v>1</v>
      </c>
      <c r="AD1258" s="55" t="n">
        <f aca="false">IF(AC1258,IF(01_因子設定!$B$13="最大化",AA1258-01_因子設定!$B$14,IF(01_因子設定!$B$13="最小化",01_因子設定!$B$15-AB1258,MIN(AA1258-01_因子設定!$B$14,01_因子設定!$B$15-AB1258))),-1E+030)</f>
        <v>-3.20317664285354</v>
      </c>
      <c r="AE1258" s="55" t="n">
        <f aca="false">IF(AC1258,IF(01_因子設定!$B$13="最大化",X1258,IF(01_因子設定!$B$13="最小化",-X1258,-ABS(X1258-01_因子設定!$B$16))),-1E+030)</f>
        <v>44.7324378654971</v>
      </c>
      <c r="AF1258" s="55" t="n">
        <f aca="false">AD1258+ROW()*0.000000001</f>
        <v>-3.20317538485353</v>
      </c>
      <c r="AG1258" s="55" t="n">
        <f aca="false">AE1258+ROW()*0.000000001</f>
        <v>44.7324391234971</v>
      </c>
    </row>
    <row r="1259" customFormat="false" ht="15" hidden="false" customHeight="false" outlineLevel="0" collapsed="false">
      <c r="A1259" s="0" t="n">
        <v>1</v>
      </c>
      <c r="B1259" s="0" t="n">
        <v>6</v>
      </c>
      <c r="C1259" s="0" t="n">
        <v>4</v>
      </c>
      <c r="D1259" s="0" t="n">
        <v>3</v>
      </c>
      <c r="E1259" s="0" t="n">
        <f aca="false">-1+A1259*0.25</f>
        <v>-0.75</v>
      </c>
      <c r="F1259" s="0" t="n">
        <f aca="false">-1+B1259*0.25</f>
        <v>0.5</v>
      </c>
      <c r="G1259" s="0" t="n">
        <f aca="false">-1+C1259*0.25</f>
        <v>0</v>
      </c>
      <c r="H1259" s="0" t="n">
        <f aca="false">-1+D1259*0.25</f>
        <v>-0.25</v>
      </c>
      <c r="I1259" s="0" t="n">
        <f aca="false">1</f>
        <v>1</v>
      </c>
      <c r="J1259" s="0" t="n">
        <f aca="false">E1259</f>
        <v>-0.75</v>
      </c>
      <c r="K1259" s="0" t="n">
        <f aca="false">F1259</f>
        <v>0.5</v>
      </c>
      <c r="L1259" s="0" t="n">
        <f aca="false">G1259</f>
        <v>0</v>
      </c>
      <c r="M1259" s="0" t="n">
        <f aca="false">H1259</f>
        <v>-0.25</v>
      </c>
      <c r="N1259" s="0" t="n">
        <f aca="false">E1259*F1259</f>
        <v>-0.375</v>
      </c>
      <c r="O1259" s="0" t="n">
        <f aca="false">E1259*G1259</f>
        <v>-0</v>
      </c>
      <c r="P1259" s="0" t="n">
        <f aca="false">E1259*H1259</f>
        <v>0.1875</v>
      </c>
      <c r="Q1259" s="0" t="n">
        <f aca="false">F1259*G1259</f>
        <v>0</v>
      </c>
      <c r="R1259" s="0" t="n">
        <f aca="false">F1259*H1259</f>
        <v>-0.125</v>
      </c>
      <c r="S1259" s="0" t="n">
        <f aca="false">G1259*H1259</f>
        <v>-0</v>
      </c>
      <c r="T1259" s="0" t="n">
        <f aca="false">E1259*E1259</f>
        <v>0.5625</v>
      </c>
      <c r="U1259" s="0" t="n">
        <f aca="false">F1259*F1259</f>
        <v>0.25</v>
      </c>
      <c r="V1259" s="0" t="n">
        <f aca="false">G1259*G1259</f>
        <v>0</v>
      </c>
      <c r="W1259" s="0" t="n">
        <f aca="false">H1259*H1259</f>
        <v>0.0625</v>
      </c>
      <c r="X1259" s="0" t="n">
        <f aca="false">SUMPRODUCT(I1259:W1259,_XtX!$B$96:$P$96)</f>
        <v>44.8555372807017</v>
      </c>
      <c r="Y1259" s="0" t="n">
        <f aca="false">SUMPRODUCT(MMULT(I1259:W1259,_XtX!$B$78:$P$92),I1259:W1259)</f>
        <v>0.215110734192252</v>
      </c>
      <c r="Z1259" s="0" t="n">
        <f aca="false">04_回帰ANOVA!$K$19*04_回帰ANOVA!$K$14*SQRT(1+Y1259)</f>
        <v>1.43683309086864</v>
      </c>
      <c r="AA1259" s="0" t="n">
        <f aca="false">X1259-Z1259</f>
        <v>43.4187041898331</v>
      </c>
      <c r="AB1259" s="0" t="n">
        <f aca="false">X1259+Z1259</f>
        <v>46.2923703715704</v>
      </c>
      <c r="AC1259" s="54" t="b">
        <f aca="false">AND(E1259&gt;=01_因子設定!$L$5-0.000000001,E1259&lt;=01_因子設定!$M$5+0.000000001,F1259&gt;=01_因子設定!$L$6-0.000000001,F1259&lt;=01_因子設定!$M$6+0.000000001,G1259&gt;=01_因子設定!$L$7-0.000000001,G1259&lt;=01_因子設定!$M$7+0.000000001,H1259&gt;=01_因子設定!$L$8-0.000000001,H1259&lt;=01_因子設定!$M$8+0.000000001,IF(01_因子設定!$B$20="Box-Behnken",E1259^2+F1259^2+G1259^2+H1259^2&lt;=2+0.000000001,TRUE()))</f>
        <v>1</v>
      </c>
      <c r="AD1259" s="55" t="n">
        <f aca="false">IF(AC1259,IF(01_因子設定!$B$13="最大化",AA1259-01_因子設定!$B$14,IF(01_因子設定!$B$13="最小化",01_因子設定!$B$15-AB1259,MIN(AA1259-01_因子設定!$B$14,01_因子設定!$B$15-AB1259))),-1E+030)</f>
        <v>-3.08129581016691</v>
      </c>
      <c r="AE1259" s="55" t="n">
        <f aca="false">IF(AC1259,IF(01_因子設定!$B$13="最大化",X1259,IF(01_因子設定!$B$13="最小化",-X1259,-ABS(X1259-01_因子設定!$B$16))),-1E+030)</f>
        <v>44.8555372807017</v>
      </c>
      <c r="AF1259" s="55" t="n">
        <f aca="false">AD1259+ROW()*0.000000001</f>
        <v>-3.08129455116691</v>
      </c>
      <c r="AG1259" s="55" t="n">
        <f aca="false">AE1259+ROW()*0.000000001</f>
        <v>44.8555385397017</v>
      </c>
    </row>
    <row r="1260" customFormat="false" ht="15" hidden="false" customHeight="false" outlineLevel="0" collapsed="false">
      <c r="A1260" s="0" t="n">
        <v>1</v>
      </c>
      <c r="B1260" s="0" t="n">
        <v>6</v>
      </c>
      <c r="C1260" s="0" t="n">
        <v>4</v>
      </c>
      <c r="D1260" s="0" t="n">
        <v>4</v>
      </c>
      <c r="E1260" s="0" t="n">
        <f aca="false">-1+A1260*0.25</f>
        <v>-0.75</v>
      </c>
      <c r="F1260" s="0" t="n">
        <f aca="false">-1+B1260*0.25</f>
        <v>0.5</v>
      </c>
      <c r="G1260" s="0" t="n">
        <f aca="false">-1+C1260*0.25</f>
        <v>0</v>
      </c>
      <c r="H1260" s="0" t="n">
        <f aca="false">-1+D1260*0.25</f>
        <v>0</v>
      </c>
      <c r="I1260" s="0" t="n">
        <f aca="false">1</f>
        <v>1</v>
      </c>
      <c r="J1260" s="0" t="n">
        <f aca="false">E1260</f>
        <v>-0.75</v>
      </c>
      <c r="K1260" s="0" t="n">
        <f aca="false">F1260</f>
        <v>0.5</v>
      </c>
      <c r="L1260" s="0" t="n">
        <f aca="false">G1260</f>
        <v>0</v>
      </c>
      <c r="M1260" s="0" t="n">
        <f aca="false">H1260</f>
        <v>0</v>
      </c>
      <c r="N1260" s="0" t="n">
        <f aca="false">E1260*F1260</f>
        <v>-0.375</v>
      </c>
      <c r="O1260" s="0" t="n">
        <f aca="false">E1260*G1260</f>
        <v>-0</v>
      </c>
      <c r="P1260" s="0" t="n">
        <f aca="false">E1260*H1260</f>
        <v>-0</v>
      </c>
      <c r="Q1260" s="0" t="n">
        <f aca="false">F1260*G1260</f>
        <v>0</v>
      </c>
      <c r="R1260" s="0" t="n">
        <f aca="false">F1260*H1260</f>
        <v>0</v>
      </c>
      <c r="S1260" s="0" t="n">
        <f aca="false">G1260*H1260</f>
        <v>0</v>
      </c>
      <c r="T1260" s="0" t="n">
        <f aca="false">E1260*E1260</f>
        <v>0.5625</v>
      </c>
      <c r="U1260" s="0" t="n">
        <f aca="false">F1260*F1260</f>
        <v>0.25</v>
      </c>
      <c r="V1260" s="0" t="n">
        <f aca="false">G1260*G1260</f>
        <v>0</v>
      </c>
      <c r="W1260" s="0" t="n">
        <f aca="false">H1260*H1260</f>
        <v>0</v>
      </c>
      <c r="X1260" s="0" t="n">
        <f aca="false">SUMPRODUCT(I1260:W1260,_XtX!$B$96:$P$96)</f>
        <v>44.9308296783626</v>
      </c>
      <c r="Y1260" s="0" t="n">
        <f aca="false">SUMPRODUCT(MMULT(I1260:W1260,_XtX!$B$78:$P$92),I1260:W1260)</f>
        <v>0.221828170687135</v>
      </c>
      <c r="Z1260" s="0" t="n">
        <f aca="false">04_回帰ANOVA!$K$19*04_回帰ANOVA!$K$14*SQRT(1+Y1260)</f>
        <v>1.44079920361664</v>
      </c>
      <c r="AA1260" s="0" t="n">
        <f aca="false">X1260-Z1260</f>
        <v>43.4900304747459</v>
      </c>
      <c r="AB1260" s="0" t="n">
        <f aca="false">X1260+Z1260</f>
        <v>46.3716288819792</v>
      </c>
      <c r="AC1260" s="54" t="b">
        <f aca="false">AND(E1260&gt;=01_因子設定!$L$5-0.000000001,E1260&lt;=01_因子設定!$M$5+0.000000001,F1260&gt;=01_因子設定!$L$6-0.000000001,F1260&lt;=01_因子設定!$M$6+0.000000001,G1260&gt;=01_因子設定!$L$7-0.000000001,G1260&lt;=01_因子設定!$M$7+0.000000001,H1260&gt;=01_因子設定!$L$8-0.000000001,H1260&lt;=01_因子設定!$M$8+0.000000001,IF(01_因子設定!$B$20="Box-Behnken",E1260^2+F1260^2+G1260^2+H1260^2&lt;=2+0.000000001,TRUE()))</f>
        <v>1</v>
      </c>
      <c r="AD1260" s="55" t="n">
        <f aca="false">IF(AC1260,IF(01_因子設定!$B$13="最大化",AA1260-01_因子設定!$B$14,IF(01_因子設定!$B$13="最小化",01_因子設定!$B$15-AB1260,MIN(AA1260-01_因子設定!$B$14,01_因子設定!$B$15-AB1260))),-1E+030)</f>
        <v>-3.00996952525409</v>
      </c>
      <c r="AE1260" s="55" t="n">
        <f aca="false">IF(AC1260,IF(01_因子設定!$B$13="最大化",X1260,IF(01_因子設定!$B$13="最小化",-X1260,-ABS(X1260-01_因子設定!$B$16))),-1E+030)</f>
        <v>44.9308296783626</v>
      </c>
      <c r="AF1260" s="55" t="n">
        <f aca="false">AD1260+ROW()*0.000000001</f>
        <v>-3.00996826525409</v>
      </c>
      <c r="AG1260" s="55" t="n">
        <f aca="false">AE1260+ROW()*0.000000001</f>
        <v>44.9308309383626</v>
      </c>
    </row>
    <row r="1261" customFormat="false" ht="15" hidden="false" customHeight="false" outlineLevel="0" collapsed="false">
      <c r="A1261" s="0" t="n">
        <v>1</v>
      </c>
      <c r="B1261" s="0" t="n">
        <v>6</v>
      </c>
      <c r="C1261" s="0" t="n">
        <v>4</v>
      </c>
      <c r="D1261" s="0" t="n">
        <v>5</v>
      </c>
      <c r="E1261" s="0" t="n">
        <f aca="false">-1+A1261*0.25</f>
        <v>-0.75</v>
      </c>
      <c r="F1261" s="0" t="n">
        <f aca="false">-1+B1261*0.25</f>
        <v>0.5</v>
      </c>
      <c r="G1261" s="0" t="n">
        <f aca="false">-1+C1261*0.25</f>
        <v>0</v>
      </c>
      <c r="H1261" s="0" t="n">
        <f aca="false">-1+D1261*0.25</f>
        <v>0.25</v>
      </c>
      <c r="I1261" s="0" t="n">
        <f aca="false">1</f>
        <v>1</v>
      </c>
      <c r="J1261" s="0" t="n">
        <f aca="false">E1261</f>
        <v>-0.75</v>
      </c>
      <c r="K1261" s="0" t="n">
        <f aca="false">F1261</f>
        <v>0.5</v>
      </c>
      <c r="L1261" s="0" t="n">
        <f aca="false">G1261</f>
        <v>0</v>
      </c>
      <c r="M1261" s="0" t="n">
        <f aca="false">H1261</f>
        <v>0.25</v>
      </c>
      <c r="N1261" s="0" t="n">
        <f aca="false">E1261*F1261</f>
        <v>-0.375</v>
      </c>
      <c r="O1261" s="0" t="n">
        <f aca="false">E1261*G1261</f>
        <v>-0</v>
      </c>
      <c r="P1261" s="0" t="n">
        <f aca="false">E1261*H1261</f>
        <v>-0.1875</v>
      </c>
      <c r="Q1261" s="0" t="n">
        <f aca="false">F1261*G1261</f>
        <v>0</v>
      </c>
      <c r="R1261" s="0" t="n">
        <f aca="false">F1261*H1261</f>
        <v>0.125</v>
      </c>
      <c r="S1261" s="0" t="n">
        <f aca="false">G1261*H1261</f>
        <v>0</v>
      </c>
      <c r="T1261" s="0" t="n">
        <f aca="false">E1261*E1261</f>
        <v>0.5625</v>
      </c>
      <c r="U1261" s="0" t="n">
        <f aca="false">F1261*F1261</f>
        <v>0.25</v>
      </c>
      <c r="V1261" s="0" t="n">
        <f aca="false">G1261*G1261</f>
        <v>0</v>
      </c>
      <c r="W1261" s="0" t="n">
        <f aca="false">H1261*H1261</f>
        <v>0.0625</v>
      </c>
      <c r="X1261" s="0" t="n">
        <f aca="false">SUMPRODUCT(I1261:W1261,_XtX!$B$96:$P$96)</f>
        <v>44.9583150584795</v>
      </c>
      <c r="Y1261" s="0" t="n">
        <f aca="false">SUMPRODUCT(MMULT(I1261:W1261,_XtX!$B$78:$P$92),I1261:W1261)</f>
        <v>0.215110734192252</v>
      </c>
      <c r="Z1261" s="0" t="n">
        <f aca="false">04_回帰ANOVA!$K$19*04_回帰ANOVA!$K$14*SQRT(1+Y1261)</f>
        <v>1.43683309086864</v>
      </c>
      <c r="AA1261" s="0" t="n">
        <f aca="false">X1261-Z1261</f>
        <v>43.5214819676109</v>
      </c>
      <c r="AB1261" s="0" t="n">
        <f aca="false">X1261+Z1261</f>
        <v>46.3951481493482</v>
      </c>
      <c r="AC1261" s="54" t="b">
        <f aca="false">AND(E1261&gt;=01_因子設定!$L$5-0.000000001,E1261&lt;=01_因子設定!$M$5+0.000000001,F1261&gt;=01_因子設定!$L$6-0.000000001,F1261&lt;=01_因子設定!$M$6+0.000000001,G1261&gt;=01_因子設定!$L$7-0.000000001,G1261&lt;=01_因子設定!$M$7+0.000000001,H1261&gt;=01_因子設定!$L$8-0.000000001,H1261&lt;=01_因子設定!$M$8+0.000000001,IF(01_因子設定!$B$20="Box-Behnken",E1261^2+F1261^2+G1261^2+H1261^2&lt;=2+0.000000001,TRUE()))</f>
        <v>1</v>
      </c>
      <c r="AD1261" s="55" t="n">
        <f aca="false">IF(AC1261,IF(01_因子設定!$B$13="最大化",AA1261-01_因子設定!$B$14,IF(01_因子設定!$B$13="最小化",01_因子設定!$B$15-AB1261,MIN(AA1261-01_因子設定!$B$14,01_因子設定!$B$15-AB1261))),-1E+030)</f>
        <v>-2.97851803238913</v>
      </c>
      <c r="AE1261" s="55" t="n">
        <f aca="false">IF(AC1261,IF(01_因子設定!$B$13="最大化",X1261,IF(01_因子設定!$B$13="最小化",-X1261,-ABS(X1261-01_因子設定!$B$16))),-1E+030)</f>
        <v>44.9583150584795</v>
      </c>
      <c r="AF1261" s="55" t="n">
        <f aca="false">AD1261+ROW()*0.000000001</f>
        <v>-2.97851677138913</v>
      </c>
      <c r="AG1261" s="55" t="n">
        <f aca="false">AE1261+ROW()*0.000000001</f>
        <v>44.9583163194795</v>
      </c>
    </row>
    <row r="1262" customFormat="false" ht="15" hidden="false" customHeight="false" outlineLevel="0" collapsed="false">
      <c r="A1262" s="0" t="n">
        <v>1</v>
      </c>
      <c r="B1262" s="0" t="n">
        <v>6</v>
      </c>
      <c r="C1262" s="0" t="n">
        <v>4</v>
      </c>
      <c r="D1262" s="0" t="n">
        <v>6</v>
      </c>
      <c r="E1262" s="0" t="n">
        <f aca="false">-1+A1262*0.25</f>
        <v>-0.75</v>
      </c>
      <c r="F1262" s="0" t="n">
        <f aca="false">-1+B1262*0.25</f>
        <v>0.5</v>
      </c>
      <c r="G1262" s="0" t="n">
        <f aca="false">-1+C1262*0.25</f>
        <v>0</v>
      </c>
      <c r="H1262" s="0" t="n">
        <f aca="false">-1+D1262*0.25</f>
        <v>0.5</v>
      </c>
      <c r="I1262" s="0" t="n">
        <f aca="false">1</f>
        <v>1</v>
      </c>
      <c r="J1262" s="0" t="n">
        <f aca="false">E1262</f>
        <v>-0.75</v>
      </c>
      <c r="K1262" s="0" t="n">
        <f aca="false">F1262</f>
        <v>0.5</v>
      </c>
      <c r="L1262" s="0" t="n">
        <f aca="false">G1262</f>
        <v>0</v>
      </c>
      <c r="M1262" s="0" t="n">
        <f aca="false">H1262</f>
        <v>0.5</v>
      </c>
      <c r="N1262" s="0" t="n">
        <f aca="false">E1262*F1262</f>
        <v>-0.375</v>
      </c>
      <c r="O1262" s="0" t="n">
        <f aca="false">E1262*G1262</f>
        <v>-0</v>
      </c>
      <c r="P1262" s="0" t="n">
        <f aca="false">E1262*H1262</f>
        <v>-0.375</v>
      </c>
      <c r="Q1262" s="0" t="n">
        <f aca="false">F1262*G1262</f>
        <v>0</v>
      </c>
      <c r="R1262" s="0" t="n">
        <f aca="false">F1262*H1262</f>
        <v>0.25</v>
      </c>
      <c r="S1262" s="0" t="n">
        <f aca="false">G1262*H1262</f>
        <v>0</v>
      </c>
      <c r="T1262" s="0" t="n">
        <f aca="false">E1262*E1262</f>
        <v>0.5625</v>
      </c>
      <c r="U1262" s="0" t="n">
        <f aca="false">F1262*F1262</f>
        <v>0.25</v>
      </c>
      <c r="V1262" s="0" t="n">
        <f aca="false">G1262*G1262</f>
        <v>0</v>
      </c>
      <c r="W1262" s="0" t="n">
        <f aca="false">H1262*H1262</f>
        <v>0.25</v>
      </c>
      <c r="X1262" s="0" t="n">
        <f aca="false">SUMPRODUCT(I1262:W1262,_XtX!$B$96:$P$96)</f>
        <v>44.9379934210526</v>
      </c>
      <c r="Y1262" s="0" t="n">
        <f aca="false">SUMPRODUCT(MMULT(I1262:W1262,_XtX!$B$78:$P$92),I1262:W1262)</f>
        <v>0.21305052997076</v>
      </c>
      <c r="Z1262" s="0" t="n">
        <f aca="false">04_回帰ANOVA!$K$19*04_回帰ANOVA!$K$14*SQRT(1+Y1262)</f>
        <v>1.43561450835061</v>
      </c>
      <c r="AA1262" s="0" t="n">
        <f aca="false">X1262-Z1262</f>
        <v>43.502378912702</v>
      </c>
      <c r="AB1262" s="0" t="n">
        <f aca="false">X1262+Z1262</f>
        <v>46.3736079294032</v>
      </c>
      <c r="AC1262" s="54" t="b">
        <f aca="false">AND(E1262&gt;=01_因子設定!$L$5-0.000000001,E1262&lt;=01_因子設定!$M$5+0.000000001,F1262&gt;=01_因子設定!$L$6-0.000000001,F1262&lt;=01_因子設定!$M$6+0.000000001,G1262&gt;=01_因子設定!$L$7-0.000000001,G1262&lt;=01_因子設定!$M$7+0.000000001,H1262&gt;=01_因子設定!$L$8-0.000000001,H1262&lt;=01_因子設定!$M$8+0.000000001,IF(01_因子設定!$B$20="Box-Behnken",E1262^2+F1262^2+G1262^2+H1262^2&lt;=2+0.000000001,TRUE()))</f>
        <v>1</v>
      </c>
      <c r="AD1262" s="55" t="n">
        <f aca="false">IF(AC1262,IF(01_因子設定!$B$13="最大化",AA1262-01_因子設定!$B$14,IF(01_因子設定!$B$13="最小化",01_因子設定!$B$15-AB1262,MIN(AA1262-01_因子設定!$B$14,01_因子設定!$B$15-AB1262))),-1E+030)</f>
        <v>-2.99762108729798</v>
      </c>
      <c r="AE1262" s="55" t="n">
        <f aca="false">IF(AC1262,IF(01_因子設定!$B$13="最大化",X1262,IF(01_因子設定!$B$13="最小化",-X1262,-ABS(X1262-01_因子設定!$B$16))),-1E+030)</f>
        <v>44.9379934210526</v>
      </c>
      <c r="AF1262" s="55" t="n">
        <f aca="false">AD1262+ROW()*0.000000001</f>
        <v>-2.99761982529798</v>
      </c>
      <c r="AG1262" s="55" t="n">
        <f aca="false">AE1262+ROW()*0.000000001</f>
        <v>44.9379946830526</v>
      </c>
    </row>
    <row r="1263" customFormat="false" ht="15" hidden="false" customHeight="false" outlineLevel="0" collapsed="false">
      <c r="A1263" s="0" t="n">
        <v>1</v>
      </c>
      <c r="B1263" s="0" t="n">
        <v>6</v>
      </c>
      <c r="C1263" s="0" t="n">
        <v>4</v>
      </c>
      <c r="D1263" s="0" t="n">
        <v>7</v>
      </c>
      <c r="E1263" s="0" t="n">
        <f aca="false">-1+A1263*0.25</f>
        <v>-0.75</v>
      </c>
      <c r="F1263" s="0" t="n">
        <f aca="false">-1+B1263*0.25</f>
        <v>0.5</v>
      </c>
      <c r="G1263" s="0" t="n">
        <f aca="false">-1+C1263*0.25</f>
        <v>0</v>
      </c>
      <c r="H1263" s="0" t="n">
        <f aca="false">-1+D1263*0.25</f>
        <v>0.75</v>
      </c>
      <c r="I1263" s="0" t="n">
        <f aca="false">1</f>
        <v>1</v>
      </c>
      <c r="J1263" s="0" t="n">
        <f aca="false">E1263</f>
        <v>-0.75</v>
      </c>
      <c r="K1263" s="0" t="n">
        <f aca="false">F1263</f>
        <v>0.5</v>
      </c>
      <c r="L1263" s="0" t="n">
        <f aca="false">G1263</f>
        <v>0</v>
      </c>
      <c r="M1263" s="0" t="n">
        <f aca="false">H1263</f>
        <v>0.75</v>
      </c>
      <c r="N1263" s="0" t="n">
        <f aca="false">E1263*F1263</f>
        <v>-0.375</v>
      </c>
      <c r="O1263" s="0" t="n">
        <f aca="false">E1263*G1263</f>
        <v>-0</v>
      </c>
      <c r="P1263" s="0" t="n">
        <f aca="false">E1263*H1263</f>
        <v>-0.5625</v>
      </c>
      <c r="Q1263" s="0" t="n">
        <f aca="false">F1263*G1263</f>
        <v>0</v>
      </c>
      <c r="R1263" s="0" t="n">
        <f aca="false">F1263*H1263</f>
        <v>0.375</v>
      </c>
      <c r="S1263" s="0" t="n">
        <f aca="false">G1263*H1263</f>
        <v>0</v>
      </c>
      <c r="T1263" s="0" t="n">
        <f aca="false">E1263*E1263</f>
        <v>0.5625</v>
      </c>
      <c r="U1263" s="0" t="n">
        <f aca="false">F1263*F1263</f>
        <v>0.25</v>
      </c>
      <c r="V1263" s="0" t="n">
        <f aca="false">G1263*G1263</f>
        <v>0</v>
      </c>
      <c r="W1263" s="0" t="n">
        <f aca="false">H1263*H1263</f>
        <v>0.5625</v>
      </c>
      <c r="X1263" s="0" t="n">
        <f aca="false">SUMPRODUCT(I1263:W1263,_XtX!$B$96:$P$96)</f>
        <v>44.8698647660819</v>
      </c>
      <c r="Y1263" s="0" t="n">
        <f aca="false">SUMPRODUCT(MMULT(I1263:W1263,_XtX!$B$78:$P$92),I1263:W1263)</f>
        <v>0.269923873812135</v>
      </c>
      <c r="Z1263" s="0" t="n">
        <f aca="false">04_回帰ANOVA!$K$19*04_回帰ANOVA!$K$14*SQRT(1+Y1263)</f>
        <v>1.46888310825501</v>
      </c>
      <c r="AA1263" s="0" t="n">
        <f aca="false">X1263-Z1263</f>
        <v>43.4009816578269</v>
      </c>
      <c r="AB1263" s="0" t="n">
        <f aca="false">X1263+Z1263</f>
        <v>46.3387478743369</v>
      </c>
      <c r="AC1263" s="54" t="b">
        <f aca="false">AND(E1263&gt;=01_因子設定!$L$5-0.000000001,E1263&lt;=01_因子設定!$M$5+0.000000001,F1263&gt;=01_因子設定!$L$6-0.000000001,F1263&lt;=01_因子設定!$M$6+0.000000001,G1263&gt;=01_因子設定!$L$7-0.000000001,G1263&lt;=01_因子設定!$M$7+0.000000001,H1263&gt;=01_因子設定!$L$8-0.000000001,H1263&lt;=01_因子設定!$M$8+0.000000001,IF(01_因子設定!$B$20="Box-Behnken",E1263^2+F1263^2+G1263^2+H1263^2&lt;=2+0.000000001,TRUE()))</f>
        <v>1</v>
      </c>
      <c r="AD1263" s="55" t="n">
        <f aca="false">IF(AC1263,IF(01_因子設定!$B$13="最大化",AA1263-01_因子設定!$B$14,IF(01_因子設定!$B$13="最小化",01_因子設定!$B$15-AB1263,MIN(AA1263-01_因子設定!$B$14,01_因子設定!$B$15-AB1263))),-1E+030)</f>
        <v>-3.09901834217313</v>
      </c>
      <c r="AE1263" s="55" t="n">
        <f aca="false">IF(AC1263,IF(01_因子設定!$B$13="最大化",X1263,IF(01_因子設定!$B$13="最小化",-X1263,-ABS(X1263-01_因子設定!$B$16))),-1E+030)</f>
        <v>44.8698647660819</v>
      </c>
      <c r="AF1263" s="55" t="n">
        <f aca="false">AD1263+ROW()*0.000000001</f>
        <v>-3.09901707917313</v>
      </c>
      <c r="AG1263" s="55" t="n">
        <f aca="false">AE1263+ROW()*0.000000001</f>
        <v>44.8698660290819</v>
      </c>
    </row>
    <row r="1264" customFormat="false" ht="15" hidden="false" customHeight="false" outlineLevel="0" collapsed="false">
      <c r="A1264" s="0" t="n">
        <v>1</v>
      </c>
      <c r="B1264" s="0" t="n">
        <v>6</v>
      </c>
      <c r="C1264" s="0" t="n">
        <v>4</v>
      </c>
      <c r="D1264" s="0" t="n">
        <v>8</v>
      </c>
      <c r="E1264" s="0" t="n">
        <f aca="false">-1+A1264*0.25</f>
        <v>-0.75</v>
      </c>
      <c r="F1264" s="0" t="n">
        <f aca="false">-1+B1264*0.25</f>
        <v>0.5</v>
      </c>
      <c r="G1264" s="0" t="n">
        <f aca="false">-1+C1264*0.25</f>
        <v>0</v>
      </c>
      <c r="H1264" s="0" t="n">
        <f aca="false">-1+D1264*0.25</f>
        <v>1</v>
      </c>
      <c r="I1264" s="0" t="n">
        <f aca="false">1</f>
        <v>1</v>
      </c>
      <c r="J1264" s="0" t="n">
        <f aca="false">E1264</f>
        <v>-0.75</v>
      </c>
      <c r="K1264" s="0" t="n">
        <f aca="false">F1264</f>
        <v>0.5</v>
      </c>
      <c r="L1264" s="0" t="n">
        <f aca="false">G1264</f>
        <v>0</v>
      </c>
      <c r="M1264" s="0" t="n">
        <f aca="false">H1264</f>
        <v>1</v>
      </c>
      <c r="N1264" s="0" t="n">
        <f aca="false">E1264*F1264</f>
        <v>-0.375</v>
      </c>
      <c r="O1264" s="0" t="n">
        <f aca="false">E1264*G1264</f>
        <v>-0</v>
      </c>
      <c r="P1264" s="0" t="n">
        <f aca="false">E1264*H1264</f>
        <v>-0.75</v>
      </c>
      <c r="Q1264" s="0" t="n">
        <f aca="false">F1264*G1264</f>
        <v>0</v>
      </c>
      <c r="R1264" s="0" t="n">
        <f aca="false">F1264*H1264</f>
        <v>0.5</v>
      </c>
      <c r="S1264" s="0" t="n">
        <f aca="false">G1264*H1264</f>
        <v>0</v>
      </c>
      <c r="T1264" s="0" t="n">
        <f aca="false">E1264*E1264</f>
        <v>0.5625</v>
      </c>
      <c r="U1264" s="0" t="n">
        <f aca="false">F1264*F1264</f>
        <v>0.25</v>
      </c>
      <c r="V1264" s="0" t="n">
        <f aca="false">G1264*G1264</f>
        <v>0</v>
      </c>
      <c r="W1264" s="0" t="n">
        <f aca="false">H1264*H1264</f>
        <v>1</v>
      </c>
      <c r="X1264" s="0" t="n">
        <f aca="false">SUMPRODUCT(I1264:W1264,_XtX!$B$96:$P$96)</f>
        <v>44.7539290935673</v>
      </c>
      <c r="Y1264" s="0" t="n">
        <f aca="false">SUMPRODUCT(MMULT(I1264:W1264,_XtX!$B$78:$P$92),I1264:W1264)</f>
        <v>0.476191292032164</v>
      </c>
      <c r="Z1264" s="0" t="n">
        <f aca="false">04_回帰ANOVA!$K$19*04_回帰ANOVA!$K$14*SQRT(1+Y1264)</f>
        <v>1.58368831471718</v>
      </c>
      <c r="AA1264" s="0" t="n">
        <f aca="false">X1264-Z1264</f>
        <v>43.1702407788501</v>
      </c>
      <c r="AB1264" s="0" t="n">
        <f aca="false">X1264+Z1264</f>
        <v>46.3376174082845</v>
      </c>
      <c r="AC1264" s="54" t="b">
        <f aca="false">AND(E1264&gt;=01_因子設定!$L$5-0.000000001,E1264&lt;=01_因子設定!$M$5+0.000000001,F1264&gt;=01_因子設定!$L$6-0.000000001,F1264&lt;=01_因子設定!$M$6+0.000000001,G1264&gt;=01_因子設定!$L$7-0.000000001,G1264&lt;=01_因子設定!$M$7+0.000000001,H1264&gt;=01_因子設定!$L$8-0.000000001,H1264&lt;=01_因子設定!$M$8+0.000000001,IF(01_因子設定!$B$20="Box-Behnken",E1264^2+F1264^2+G1264^2+H1264^2&lt;=2+0.000000001,TRUE()))</f>
        <v>1</v>
      </c>
      <c r="AD1264" s="55" t="n">
        <f aca="false">IF(AC1264,IF(01_因子設定!$B$13="最大化",AA1264-01_因子設定!$B$14,IF(01_因子設定!$B$13="最小化",01_因子設定!$B$15-AB1264,MIN(AA1264-01_因子設定!$B$14,01_因子設定!$B$15-AB1264))),-1E+030)</f>
        <v>-3.32975922114991</v>
      </c>
      <c r="AE1264" s="55" t="n">
        <f aca="false">IF(AC1264,IF(01_因子設定!$B$13="最大化",X1264,IF(01_因子設定!$B$13="最小化",-X1264,-ABS(X1264-01_因子設定!$B$16))),-1E+030)</f>
        <v>44.7539290935673</v>
      </c>
      <c r="AF1264" s="55" t="n">
        <f aca="false">AD1264+ROW()*0.000000001</f>
        <v>-3.32975795714991</v>
      </c>
      <c r="AG1264" s="55" t="n">
        <f aca="false">AE1264+ROW()*0.000000001</f>
        <v>44.7539303575673</v>
      </c>
    </row>
    <row r="1265" customFormat="false" ht="15" hidden="false" customHeight="false" outlineLevel="0" collapsed="false">
      <c r="A1265" s="0" t="n">
        <v>1</v>
      </c>
      <c r="B1265" s="0" t="n">
        <v>6</v>
      </c>
      <c r="C1265" s="0" t="n">
        <v>5</v>
      </c>
      <c r="D1265" s="0" t="n">
        <v>0</v>
      </c>
      <c r="E1265" s="0" t="n">
        <f aca="false">-1+A1265*0.25</f>
        <v>-0.75</v>
      </c>
      <c r="F1265" s="0" t="n">
        <f aca="false">-1+B1265*0.25</f>
        <v>0.5</v>
      </c>
      <c r="G1265" s="0" t="n">
        <f aca="false">-1+C1265*0.25</f>
        <v>0.25</v>
      </c>
      <c r="H1265" s="0" t="n">
        <f aca="false">-1+D1265*0.25</f>
        <v>-1</v>
      </c>
      <c r="I1265" s="0" t="n">
        <f aca="false">1</f>
        <v>1</v>
      </c>
      <c r="J1265" s="0" t="n">
        <f aca="false">E1265</f>
        <v>-0.75</v>
      </c>
      <c r="K1265" s="0" t="n">
        <f aca="false">F1265</f>
        <v>0.5</v>
      </c>
      <c r="L1265" s="0" t="n">
        <f aca="false">G1265</f>
        <v>0.25</v>
      </c>
      <c r="M1265" s="0" t="n">
        <f aca="false">H1265</f>
        <v>-1</v>
      </c>
      <c r="N1265" s="0" t="n">
        <f aca="false">E1265*F1265</f>
        <v>-0.375</v>
      </c>
      <c r="O1265" s="0" t="n">
        <f aca="false">E1265*G1265</f>
        <v>-0.1875</v>
      </c>
      <c r="P1265" s="0" t="n">
        <f aca="false">E1265*H1265</f>
        <v>0.75</v>
      </c>
      <c r="Q1265" s="0" t="n">
        <f aca="false">F1265*G1265</f>
        <v>0.125</v>
      </c>
      <c r="R1265" s="0" t="n">
        <f aca="false">F1265*H1265</f>
        <v>-0.5</v>
      </c>
      <c r="S1265" s="0" t="n">
        <f aca="false">G1265*H1265</f>
        <v>-0.25</v>
      </c>
      <c r="T1265" s="0" t="n">
        <f aca="false">E1265*E1265</f>
        <v>0.5625</v>
      </c>
      <c r="U1265" s="0" t="n">
        <f aca="false">F1265*F1265</f>
        <v>0.25</v>
      </c>
      <c r="V1265" s="0" t="n">
        <f aca="false">G1265*G1265</f>
        <v>0.0625</v>
      </c>
      <c r="W1265" s="0" t="n">
        <f aca="false">H1265*H1265</f>
        <v>1</v>
      </c>
      <c r="X1265" s="0" t="n">
        <f aca="false">SUMPRODUCT(I1265:W1265,_XtX!$B$96:$P$96)</f>
        <v>44.6350603070176</v>
      </c>
      <c r="Y1265" s="0" t="n">
        <f aca="false">SUMPRODUCT(MMULT(I1265:W1265,_XtX!$B$78:$P$92),I1265:W1265)</f>
        <v>0.459125719572369</v>
      </c>
      <c r="Z1265" s="0" t="n">
        <f aca="false">04_回帰ANOVA!$K$19*04_回帰ANOVA!$K$14*SQRT(1+Y1265)</f>
        <v>1.57450755575573</v>
      </c>
      <c r="AA1265" s="0" t="n">
        <f aca="false">X1265-Z1265</f>
        <v>43.0605527512618</v>
      </c>
      <c r="AB1265" s="0" t="n">
        <f aca="false">X1265+Z1265</f>
        <v>46.2095678627733</v>
      </c>
      <c r="AC1265" s="54" t="b">
        <f aca="false">AND(E1265&gt;=01_因子設定!$L$5-0.000000001,E1265&lt;=01_因子設定!$M$5+0.000000001,F1265&gt;=01_因子設定!$L$6-0.000000001,F1265&lt;=01_因子設定!$M$6+0.000000001,G1265&gt;=01_因子設定!$L$7-0.000000001,G1265&lt;=01_因子設定!$M$7+0.000000001,H1265&gt;=01_因子設定!$L$8-0.000000001,H1265&lt;=01_因子設定!$M$8+0.000000001,IF(01_因子設定!$B$20="Box-Behnken",E1265^2+F1265^2+G1265^2+H1265^2&lt;=2+0.000000001,TRUE()))</f>
        <v>1</v>
      </c>
      <c r="AD1265" s="55" t="n">
        <f aca="false">IF(AC1265,IF(01_因子設定!$B$13="最大化",AA1265-01_因子設定!$B$14,IF(01_因子設定!$B$13="最小化",01_因子設定!$B$15-AB1265,MIN(AA1265-01_因子設定!$B$14,01_因子設定!$B$15-AB1265))),-1E+030)</f>
        <v>-3.43944724873816</v>
      </c>
      <c r="AE1265" s="55" t="n">
        <f aca="false">IF(AC1265,IF(01_因子設定!$B$13="最大化",X1265,IF(01_因子設定!$B$13="最小化",-X1265,-ABS(X1265-01_因子設定!$B$16))),-1E+030)</f>
        <v>44.6350603070176</v>
      </c>
      <c r="AF1265" s="55" t="n">
        <f aca="false">AD1265+ROW()*0.000000001</f>
        <v>-3.43944598373816</v>
      </c>
      <c r="AG1265" s="55" t="n">
        <f aca="false">AE1265+ROW()*0.000000001</f>
        <v>44.6350615720176</v>
      </c>
    </row>
    <row r="1266" customFormat="false" ht="15" hidden="false" customHeight="false" outlineLevel="0" collapsed="false">
      <c r="A1266" s="0" t="n">
        <v>1</v>
      </c>
      <c r="B1266" s="0" t="n">
        <v>6</v>
      </c>
      <c r="C1266" s="0" t="n">
        <v>5</v>
      </c>
      <c r="D1266" s="0" t="n">
        <v>1</v>
      </c>
      <c r="E1266" s="0" t="n">
        <f aca="false">-1+A1266*0.25</f>
        <v>-0.75</v>
      </c>
      <c r="F1266" s="0" t="n">
        <f aca="false">-1+B1266*0.25</f>
        <v>0.5</v>
      </c>
      <c r="G1266" s="0" t="n">
        <f aca="false">-1+C1266*0.25</f>
        <v>0.25</v>
      </c>
      <c r="H1266" s="0" t="n">
        <f aca="false">-1+D1266*0.25</f>
        <v>-0.75</v>
      </c>
      <c r="I1266" s="0" t="n">
        <f aca="false">1</f>
        <v>1</v>
      </c>
      <c r="J1266" s="0" t="n">
        <f aca="false">E1266</f>
        <v>-0.75</v>
      </c>
      <c r="K1266" s="0" t="n">
        <f aca="false">F1266</f>
        <v>0.5</v>
      </c>
      <c r="L1266" s="0" t="n">
        <f aca="false">G1266</f>
        <v>0.25</v>
      </c>
      <c r="M1266" s="0" t="n">
        <f aca="false">H1266</f>
        <v>-0.75</v>
      </c>
      <c r="N1266" s="0" t="n">
        <f aca="false">E1266*F1266</f>
        <v>-0.375</v>
      </c>
      <c r="O1266" s="0" t="n">
        <f aca="false">E1266*G1266</f>
        <v>-0.1875</v>
      </c>
      <c r="P1266" s="0" t="n">
        <f aca="false">E1266*H1266</f>
        <v>0.5625</v>
      </c>
      <c r="Q1266" s="0" t="n">
        <f aca="false">F1266*G1266</f>
        <v>0.125</v>
      </c>
      <c r="R1266" s="0" t="n">
        <f aca="false">F1266*H1266</f>
        <v>-0.375</v>
      </c>
      <c r="S1266" s="0" t="n">
        <f aca="false">G1266*H1266</f>
        <v>-0.1875</v>
      </c>
      <c r="T1266" s="0" t="n">
        <f aca="false">E1266*E1266</f>
        <v>0.5625</v>
      </c>
      <c r="U1266" s="0" t="n">
        <f aca="false">F1266*F1266</f>
        <v>0.25</v>
      </c>
      <c r="V1266" s="0" t="n">
        <f aca="false">G1266*G1266</f>
        <v>0.0625</v>
      </c>
      <c r="W1266" s="0" t="n">
        <f aca="false">H1266*H1266</f>
        <v>0.5625</v>
      </c>
      <c r="X1266" s="0" t="n">
        <f aca="false">SUMPRODUCT(I1266:W1266,_XtX!$B$96:$P$96)</f>
        <v>44.8717425073099</v>
      </c>
      <c r="Y1266" s="0" t="n">
        <f aca="false">SUMPRODUCT(MMULT(I1266:W1266,_XtX!$B$78:$P$92),I1266:W1266)</f>
        <v>0.257385610836988</v>
      </c>
      <c r="Z1266" s="0" t="n">
        <f aca="false">04_回帰ANOVA!$K$19*04_回帰ANOVA!$K$14*SQRT(1+Y1266)</f>
        <v>1.46161380324158</v>
      </c>
      <c r="AA1266" s="0" t="n">
        <f aca="false">X1266-Z1266</f>
        <v>43.4101287040684</v>
      </c>
      <c r="AB1266" s="0" t="n">
        <f aca="false">X1266+Z1266</f>
        <v>46.3333563105515</v>
      </c>
      <c r="AC1266" s="54" t="b">
        <f aca="false">AND(E1266&gt;=01_因子設定!$L$5-0.000000001,E1266&lt;=01_因子設定!$M$5+0.000000001,F1266&gt;=01_因子設定!$L$6-0.000000001,F1266&lt;=01_因子設定!$M$6+0.000000001,G1266&gt;=01_因子設定!$L$7-0.000000001,G1266&lt;=01_因子設定!$M$7+0.000000001,H1266&gt;=01_因子設定!$L$8-0.000000001,H1266&lt;=01_因子設定!$M$8+0.000000001,IF(01_因子設定!$B$20="Box-Behnken",E1266^2+F1266^2+G1266^2+H1266^2&lt;=2+0.000000001,TRUE()))</f>
        <v>1</v>
      </c>
      <c r="AD1266" s="55" t="n">
        <f aca="false">IF(AC1266,IF(01_因子設定!$B$13="最大化",AA1266-01_因子設定!$B$14,IF(01_因子設定!$B$13="最小化",01_因子設定!$B$15-AB1266,MIN(AA1266-01_因子設定!$B$14,01_因子設定!$B$15-AB1266))),-1E+030)</f>
        <v>-3.08987129593164</v>
      </c>
      <c r="AE1266" s="55" t="n">
        <f aca="false">IF(AC1266,IF(01_因子設定!$B$13="最大化",X1266,IF(01_因子設定!$B$13="最小化",-X1266,-ABS(X1266-01_因子設定!$B$16))),-1E+030)</f>
        <v>44.8717425073099</v>
      </c>
      <c r="AF1266" s="55" t="n">
        <f aca="false">AD1266+ROW()*0.000000001</f>
        <v>-3.08987002993164</v>
      </c>
      <c r="AG1266" s="55" t="n">
        <f aca="false">AE1266+ROW()*0.000000001</f>
        <v>44.8717437733099</v>
      </c>
    </row>
    <row r="1267" customFormat="false" ht="15" hidden="false" customHeight="false" outlineLevel="0" collapsed="false">
      <c r="A1267" s="0" t="n">
        <v>1</v>
      </c>
      <c r="B1267" s="0" t="n">
        <v>6</v>
      </c>
      <c r="C1267" s="0" t="n">
        <v>5</v>
      </c>
      <c r="D1267" s="0" t="n">
        <v>2</v>
      </c>
      <c r="E1267" s="0" t="n">
        <f aca="false">-1+A1267*0.25</f>
        <v>-0.75</v>
      </c>
      <c r="F1267" s="0" t="n">
        <f aca="false">-1+B1267*0.25</f>
        <v>0.5</v>
      </c>
      <c r="G1267" s="0" t="n">
        <f aca="false">-1+C1267*0.25</f>
        <v>0.25</v>
      </c>
      <c r="H1267" s="0" t="n">
        <f aca="false">-1+D1267*0.25</f>
        <v>-0.5</v>
      </c>
      <c r="I1267" s="0" t="n">
        <f aca="false">1</f>
        <v>1</v>
      </c>
      <c r="J1267" s="0" t="n">
        <f aca="false">E1267</f>
        <v>-0.75</v>
      </c>
      <c r="K1267" s="0" t="n">
        <f aca="false">F1267</f>
        <v>0.5</v>
      </c>
      <c r="L1267" s="0" t="n">
        <f aca="false">G1267</f>
        <v>0.25</v>
      </c>
      <c r="M1267" s="0" t="n">
        <f aca="false">H1267</f>
        <v>-0.5</v>
      </c>
      <c r="N1267" s="0" t="n">
        <f aca="false">E1267*F1267</f>
        <v>-0.375</v>
      </c>
      <c r="O1267" s="0" t="n">
        <f aca="false">E1267*G1267</f>
        <v>-0.1875</v>
      </c>
      <c r="P1267" s="0" t="n">
        <f aca="false">E1267*H1267</f>
        <v>0.375</v>
      </c>
      <c r="Q1267" s="0" t="n">
        <f aca="false">F1267*G1267</f>
        <v>0.125</v>
      </c>
      <c r="R1267" s="0" t="n">
        <f aca="false">F1267*H1267</f>
        <v>-0.25</v>
      </c>
      <c r="S1267" s="0" t="n">
        <f aca="false">G1267*H1267</f>
        <v>-0.125</v>
      </c>
      <c r="T1267" s="0" t="n">
        <f aca="false">E1267*E1267</f>
        <v>0.5625</v>
      </c>
      <c r="U1267" s="0" t="n">
        <f aca="false">F1267*F1267</f>
        <v>0.25</v>
      </c>
      <c r="V1267" s="0" t="n">
        <f aca="false">G1267*G1267</f>
        <v>0.0625</v>
      </c>
      <c r="W1267" s="0" t="n">
        <f aca="false">H1267*H1267</f>
        <v>0.25</v>
      </c>
      <c r="X1267" s="0" t="n">
        <f aca="false">SUMPRODUCT(I1267:W1267,_XtX!$B$96:$P$96)</f>
        <v>45.0606176900585</v>
      </c>
      <c r="Y1267" s="0" t="n">
        <f aca="false">SUMPRODUCT(MMULT(I1267:W1267,_XtX!$B$78:$P$92),I1267:W1267)</f>
        <v>0.203746059484649</v>
      </c>
      <c r="Z1267" s="0" t="n">
        <f aca="false">04_回帰ANOVA!$K$19*04_回帰ANOVA!$K$14*SQRT(1+Y1267)</f>
        <v>1.43009810755465</v>
      </c>
      <c r="AA1267" s="0" t="n">
        <f aca="false">X1267-Z1267</f>
        <v>43.6305195825038</v>
      </c>
      <c r="AB1267" s="0" t="n">
        <f aca="false">X1267+Z1267</f>
        <v>46.4907157976131</v>
      </c>
      <c r="AC1267" s="54" t="b">
        <f aca="false">AND(E1267&gt;=01_因子設定!$L$5-0.000000001,E1267&lt;=01_因子設定!$M$5+0.000000001,F1267&gt;=01_因子設定!$L$6-0.000000001,F1267&lt;=01_因子設定!$M$6+0.000000001,G1267&gt;=01_因子設定!$L$7-0.000000001,G1267&lt;=01_因子設定!$M$7+0.000000001,H1267&gt;=01_因子設定!$L$8-0.000000001,H1267&lt;=01_因子設定!$M$8+0.000000001,IF(01_因子設定!$B$20="Box-Behnken",E1267^2+F1267^2+G1267^2+H1267^2&lt;=2+0.000000001,TRUE()))</f>
        <v>1</v>
      </c>
      <c r="AD1267" s="55" t="n">
        <f aca="false">IF(AC1267,IF(01_因子設定!$B$13="最大化",AA1267-01_因子設定!$B$14,IF(01_因子設定!$B$13="最小化",01_因子設定!$B$15-AB1267,MIN(AA1267-01_因子設定!$B$14,01_因子設定!$B$15-AB1267))),-1E+030)</f>
        <v>-2.86948041749617</v>
      </c>
      <c r="AE1267" s="55" t="n">
        <f aca="false">IF(AC1267,IF(01_因子設定!$B$13="最大化",X1267,IF(01_因子設定!$B$13="最小化",-X1267,-ABS(X1267-01_因子設定!$B$16))),-1E+030)</f>
        <v>45.0606176900585</v>
      </c>
      <c r="AF1267" s="55" t="n">
        <f aca="false">AD1267+ROW()*0.000000001</f>
        <v>-2.86947915049617</v>
      </c>
      <c r="AG1267" s="55" t="n">
        <f aca="false">AE1267+ROW()*0.000000001</f>
        <v>45.0606189570585</v>
      </c>
    </row>
    <row r="1268" customFormat="false" ht="15" hidden="false" customHeight="false" outlineLevel="0" collapsed="false">
      <c r="A1268" s="0" t="n">
        <v>1</v>
      </c>
      <c r="B1268" s="0" t="n">
        <v>6</v>
      </c>
      <c r="C1268" s="0" t="n">
        <v>5</v>
      </c>
      <c r="D1268" s="0" t="n">
        <v>3</v>
      </c>
      <c r="E1268" s="0" t="n">
        <f aca="false">-1+A1268*0.25</f>
        <v>-0.75</v>
      </c>
      <c r="F1268" s="0" t="n">
        <f aca="false">-1+B1268*0.25</f>
        <v>0.5</v>
      </c>
      <c r="G1268" s="0" t="n">
        <f aca="false">-1+C1268*0.25</f>
        <v>0.25</v>
      </c>
      <c r="H1268" s="0" t="n">
        <f aca="false">-1+D1268*0.25</f>
        <v>-0.25</v>
      </c>
      <c r="I1268" s="0" t="n">
        <f aca="false">1</f>
        <v>1</v>
      </c>
      <c r="J1268" s="0" t="n">
        <f aca="false">E1268</f>
        <v>-0.75</v>
      </c>
      <c r="K1268" s="0" t="n">
        <f aca="false">F1268</f>
        <v>0.5</v>
      </c>
      <c r="L1268" s="0" t="n">
        <f aca="false">G1268</f>
        <v>0.25</v>
      </c>
      <c r="M1268" s="0" t="n">
        <f aca="false">H1268</f>
        <v>-0.25</v>
      </c>
      <c r="N1268" s="0" t="n">
        <f aca="false">E1268*F1268</f>
        <v>-0.375</v>
      </c>
      <c r="O1268" s="0" t="n">
        <f aca="false">E1268*G1268</f>
        <v>-0.1875</v>
      </c>
      <c r="P1268" s="0" t="n">
        <f aca="false">E1268*H1268</f>
        <v>0.1875</v>
      </c>
      <c r="Q1268" s="0" t="n">
        <f aca="false">F1268*G1268</f>
        <v>0.125</v>
      </c>
      <c r="R1268" s="0" t="n">
        <f aca="false">F1268*H1268</f>
        <v>-0.125</v>
      </c>
      <c r="S1268" s="0" t="n">
        <f aca="false">G1268*H1268</f>
        <v>-0.0625</v>
      </c>
      <c r="T1268" s="0" t="n">
        <f aca="false">E1268*E1268</f>
        <v>0.5625</v>
      </c>
      <c r="U1268" s="0" t="n">
        <f aca="false">F1268*F1268</f>
        <v>0.25</v>
      </c>
      <c r="V1268" s="0" t="n">
        <f aca="false">G1268*G1268</f>
        <v>0.0625</v>
      </c>
      <c r="W1268" s="0" t="n">
        <f aca="false">H1268*H1268</f>
        <v>0.0625</v>
      </c>
      <c r="X1268" s="0" t="n">
        <f aca="false">SUMPRODUCT(I1268:W1268,_XtX!$B$96:$P$96)</f>
        <v>45.2016858552631</v>
      </c>
      <c r="Y1268" s="0" t="n">
        <f aca="false">SUMPRODUCT(MMULT(I1268:W1268,_XtX!$B$78:$P$92),I1268:W1268)</f>
        <v>0.207746539199561</v>
      </c>
      <c r="Z1268" s="0" t="n">
        <f aca="false">04_回帰ANOVA!$K$19*04_回帰ANOVA!$K$14*SQRT(1+Y1268)</f>
        <v>1.43247250081141</v>
      </c>
      <c r="AA1268" s="0" t="n">
        <f aca="false">X1268-Z1268</f>
        <v>43.7692133544517</v>
      </c>
      <c r="AB1268" s="0" t="n">
        <f aca="false">X1268+Z1268</f>
        <v>46.6341583560746</v>
      </c>
      <c r="AC1268" s="54" t="b">
        <f aca="false">AND(E1268&gt;=01_因子設定!$L$5-0.000000001,E1268&lt;=01_因子設定!$M$5+0.000000001,F1268&gt;=01_因子設定!$L$6-0.000000001,F1268&lt;=01_因子設定!$M$6+0.000000001,G1268&gt;=01_因子設定!$L$7-0.000000001,G1268&lt;=01_因子設定!$M$7+0.000000001,H1268&gt;=01_因子設定!$L$8-0.000000001,H1268&lt;=01_因子設定!$M$8+0.000000001,IF(01_因子設定!$B$20="Box-Behnken",E1268^2+F1268^2+G1268^2+H1268^2&lt;=2+0.000000001,TRUE()))</f>
        <v>1</v>
      </c>
      <c r="AD1268" s="55" t="n">
        <f aca="false">IF(AC1268,IF(01_因子設定!$B$13="最大化",AA1268-01_因子設定!$B$14,IF(01_因子設定!$B$13="最小化",01_因子設定!$B$15-AB1268,MIN(AA1268-01_因子設定!$B$14,01_因子設定!$B$15-AB1268))),-1E+030)</f>
        <v>-2.73078664554826</v>
      </c>
      <c r="AE1268" s="55" t="n">
        <f aca="false">IF(AC1268,IF(01_因子設定!$B$13="最大化",X1268,IF(01_因子設定!$B$13="最小化",-X1268,-ABS(X1268-01_因子設定!$B$16))),-1E+030)</f>
        <v>45.2016858552631</v>
      </c>
      <c r="AF1268" s="55" t="n">
        <f aca="false">AD1268+ROW()*0.000000001</f>
        <v>-2.73078537754826</v>
      </c>
      <c r="AG1268" s="55" t="n">
        <f aca="false">AE1268+ROW()*0.000000001</f>
        <v>45.2016871232631</v>
      </c>
    </row>
    <row r="1269" customFormat="false" ht="15" hidden="false" customHeight="false" outlineLevel="0" collapsed="false">
      <c r="A1269" s="0" t="n">
        <v>1</v>
      </c>
      <c r="B1269" s="0" t="n">
        <v>6</v>
      </c>
      <c r="C1269" s="0" t="n">
        <v>5</v>
      </c>
      <c r="D1269" s="0" t="n">
        <v>4</v>
      </c>
      <c r="E1269" s="0" t="n">
        <f aca="false">-1+A1269*0.25</f>
        <v>-0.75</v>
      </c>
      <c r="F1269" s="0" t="n">
        <f aca="false">-1+B1269*0.25</f>
        <v>0.5</v>
      </c>
      <c r="G1269" s="0" t="n">
        <f aca="false">-1+C1269*0.25</f>
        <v>0.25</v>
      </c>
      <c r="H1269" s="0" t="n">
        <f aca="false">-1+D1269*0.25</f>
        <v>0</v>
      </c>
      <c r="I1269" s="0" t="n">
        <f aca="false">1</f>
        <v>1</v>
      </c>
      <c r="J1269" s="0" t="n">
        <f aca="false">E1269</f>
        <v>-0.75</v>
      </c>
      <c r="K1269" s="0" t="n">
        <f aca="false">F1269</f>
        <v>0.5</v>
      </c>
      <c r="L1269" s="0" t="n">
        <f aca="false">G1269</f>
        <v>0.25</v>
      </c>
      <c r="M1269" s="0" t="n">
        <f aca="false">H1269</f>
        <v>0</v>
      </c>
      <c r="N1269" s="0" t="n">
        <f aca="false">E1269*F1269</f>
        <v>-0.375</v>
      </c>
      <c r="O1269" s="0" t="n">
        <f aca="false">E1269*G1269</f>
        <v>-0.1875</v>
      </c>
      <c r="P1269" s="0" t="n">
        <f aca="false">E1269*H1269</f>
        <v>-0</v>
      </c>
      <c r="Q1269" s="0" t="n">
        <f aca="false">F1269*G1269</f>
        <v>0.125</v>
      </c>
      <c r="R1269" s="0" t="n">
        <f aca="false">F1269*H1269</f>
        <v>0</v>
      </c>
      <c r="S1269" s="0" t="n">
        <f aca="false">G1269*H1269</f>
        <v>0</v>
      </c>
      <c r="T1269" s="0" t="n">
        <f aca="false">E1269*E1269</f>
        <v>0.5625</v>
      </c>
      <c r="U1269" s="0" t="n">
        <f aca="false">F1269*F1269</f>
        <v>0.25</v>
      </c>
      <c r="V1269" s="0" t="n">
        <f aca="false">G1269*G1269</f>
        <v>0.0625</v>
      </c>
      <c r="W1269" s="0" t="n">
        <f aca="false">H1269*H1269</f>
        <v>0</v>
      </c>
      <c r="X1269" s="0" t="n">
        <f aca="false">SUMPRODUCT(I1269:W1269,_XtX!$B$96:$P$96)</f>
        <v>45.294947002924</v>
      </c>
      <c r="Y1269" s="0" t="n">
        <f aca="false">SUMPRODUCT(MMULT(I1269:W1269,_XtX!$B$78:$P$92),I1269:W1269)</f>
        <v>0.215110734192252</v>
      </c>
      <c r="Z1269" s="0" t="n">
        <f aca="false">04_回帰ANOVA!$K$19*04_回帰ANOVA!$K$14*SQRT(1+Y1269)</f>
        <v>1.43683309086864</v>
      </c>
      <c r="AA1269" s="0" t="n">
        <f aca="false">X1269-Z1269</f>
        <v>43.8581139120553</v>
      </c>
      <c r="AB1269" s="0" t="n">
        <f aca="false">X1269+Z1269</f>
        <v>46.7317800937926</v>
      </c>
      <c r="AC1269" s="54" t="b">
        <f aca="false">AND(E1269&gt;=01_因子設定!$L$5-0.000000001,E1269&lt;=01_因子設定!$M$5+0.000000001,F1269&gt;=01_因子設定!$L$6-0.000000001,F1269&lt;=01_因子設定!$M$6+0.000000001,G1269&gt;=01_因子設定!$L$7-0.000000001,G1269&lt;=01_因子設定!$M$7+0.000000001,H1269&gt;=01_因子設定!$L$8-0.000000001,H1269&lt;=01_因子設定!$M$8+0.000000001,IF(01_因子設定!$B$20="Box-Behnken",E1269^2+F1269^2+G1269^2+H1269^2&lt;=2+0.000000001,TRUE()))</f>
        <v>1</v>
      </c>
      <c r="AD1269" s="55" t="n">
        <f aca="false">IF(AC1269,IF(01_因子設定!$B$13="最大化",AA1269-01_因子設定!$B$14,IF(01_因子設定!$B$13="最小化",01_因子設定!$B$15-AB1269,MIN(AA1269-01_因子設定!$B$14,01_因子設定!$B$15-AB1269))),-1E+030)</f>
        <v>-2.64188608794468</v>
      </c>
      <c r="AE1269" s="55" t="n">
        <f aca="false">IF(AC1269,IF(01_因子設定!$B$13="最大化",X1269,IF(01_因子設定!$B$13="最小化",-X1269,-ABS(X1269-01_因子設定!$B$16))),-1E+030)</f>
        <v>45.294947002924</v>
      </c>
      <c r="AF1269" s="55" t="n">
        <f aca="false">AD1269+ROW()*0.000000001</f>
        <v>-2.64188481894468</v>
      </c>
      <c r="AG1269" s="55" t="n">
        <f aca="false">AE1269+ROW()*0.000000001</f>
        <v>45.294948271924</v>
      </c>
    </row>
    <row r="1270" customFormat="false" ht="15" hidden="false" customHeight="false" outlineLevel="0" collapsed="false">
      <c r="A1270" s="0" t="n">
        <v>1</v>
      </c>
      <c r="B1270" s="0" t="n">
        <v>6</v>
      </c>
      <c r="C1270" s="0" t="n">
        <v>5</v>
      </c>
      <c r="D1270" s="0" t="n">
        <v>5</v>
      </c>
      <c r="E1270" s="0" t="n">
        <f aca="false">-1+A1270*0.25</f>
        <v>-0.75</v>
      </c>
      <c r="F1270" s="0" t="n">
        <f aca="false">-1+B1270*0.25</f>
        <v>0.5</v>
      </c>
      <c r="G1270" s="0" t="n">
        <f aca="false">-1+C1270*0.25</f>
        <v>0.25</v>
      </c>
      <c r="H1270" s="0" t="n">
        <f aca="false">-1+D1270*0.25</f>
        <v>0.25</v>
      </c>
      <c r="I1270" s="0" t="n">
        <f aca="false">1</f>
        <v>1</v>
      </c>
      <c r="J1270" s="0" t="n">
        <f aca="false">E1270</f>
        <v>-0.75</v>
      </c>
      <c r="K1270" s="0" t="n">
        <f aca="false">F1270</f>
        <v>0.5</v>
      </c>
      <c r="L1270" s="0" t="n">
        <f aca="false">G1270</f>
        <v>0.25</v>
      </c>
      <c r="M1270" s="0" t="n">
        <f aca="false">H1270</f>
        <v>0.25</v>
      </c>
      <c r="N1270" s="0" t="n">
        <f aca="false">E1270*F1270</f>
        <v>-0.375</v>
      </c>
      <c r="O1270" s="0" t="n">
        <f aca="false">E1270*G1270</f>
        <v>-0.1875</v>
      </c>
      <c r="P1270" s="0" t="n">
        <f aca="false">E1270*H1270</f>
        <v>-0.1875</v>
      </c>
      <c r="Q1270" s="0" t="n">
        <f aca="false">F1270*G1270</f>
        <v>0.125</v>
      </c>
      <c r="R1270" s="0" t="n">
        <f aca="false">F1270*H1270</f>
        <v>0.125</v>
      </c>
      <c r="S1270" s="0" t="n">
        <f aca="false">G1270*H1270</f>
        <v>0.0625</v>
      </c>
      <c r="T1270" s="0" t="n">
        <f aca="false">E1270*E1270</f>
        <v>0.5625</v>
      </c>
      <c r="U1270" s="0" t="n">
        <f aca="false">F1270*F1270</f>
        <v>0.25</v>
      </c>
      <c r="V1270" s="0" t="n">
        <f aca="false">G1270*G1270</f>
        <v>0.0625</v>
      </c>
      <c r="W1270" s="0" t="n">
        <f aca="false">H1270*H1270</f>
        <v>0.0625</v>
      </c>
      <c r="X1270" s="0" t="n">
        <f aca="false">SUMPRODUCT(I1270:W1270,_XtX!$B$96:$P$96)</f>
        <v>45.3404011330409</v>
      </c>
      <c r="Y1270" s="0" t="n">
        <f aca="false">SUMPRODUCT(MMULT(I1270:W1270,_XtX!$B$78:$P$92),I1270:W1270)</f>
        <v>0.207746539199561</v>
      </c>
      <c r="Z1270" s="0" t="n">
        <f aca="false">04_回帰ANOVA!$K$19*04_回帰ANOVA!$K$14*SQRT(1+Y1270)</f>
        <v>1.43247250081141</v>
      </c>
      <c r="AA1270" s="0" t="n">
        <f aca="false">X1270-Z1270</f>
        <v>43.9079286322295</v>
      </c>
      <c r="AB1270" s="0" t="n">
        <f aca="false">X1270+Z1270</f>
        <v>46.7728736338523</v>
      </c>
      <c r="AC1270" s="54" t="b">
        <f aca="false">AND(E1270&gt;=01_因子設定!$L$5-0.000000001,E1270&lt;=01_因子設定!$M$5+0.000000001,F1270&gt;=01_因子設定!$L$6-0.000000001,F1270&lt;=01_因子設定!$M$6+0.000000001,G1270&gt;=01_因子設定!$L$7-0.000000001,G1270&lt;=01_因子設定!$M$7+0.000000001,H1270&gt;=01_因子設定!$L$8-0.000000001,H1270&lt;=01_因子設定!$M$8+0.000000001,IF(01_因子設定!$B$20="Box-Behnken",E1270^2+F1270^2+G1270^2+H1270^2&lt;=2+0.000000001,TRUE()))</f>
        <v>1</v>
      </c>
      <c r="AD1270" s="55" t="n">
        <f aca="false">IF(AC1270,IF(01_因子設定!$B$13="最大化",AA1270-01_因子設定!$B$14,IF(01_因子設定!$B$13="最小化",01_因子設定!$B$15-AB1270,MIN(AA1270-01_因子設定!$B$14,01_因子設定!$B$15-AB1270))),-1E+030)</f>
        <v>-2.59207136777049</v>
      </c>
      <c r="AE1270" s="55" t="n">
        <f aca="false">IF(AC1270,IF(01_因子設定!$B$13="最大化",X1270,IF(01_因子設定!$B$13="最小化",-X1270,-ABS(X1270-01_因子設定!$B$16))),-1E+030)</f>
        <v>45.3404011330409</v>
      </c>
      <c r="AF1270" s="55" t="n">
        <f aca="false">AD1270+ROW()*0.000000001</f>
        <v>-2.59207009777049</v>
      </c>
      <c r="AG1270" s="55" t="n">
        <f aca="false">AE1270+ROW()*0.000000001</f>
        <v>45.3404024030409</v>
      </c>
    </row>
    <row r="1271" customFormat="false" ht="15" hidden="false" customHeight="false" outlineLevel="0" collapsed="false">
      <c r="A1271" s="0" t="n">
        <v>1</v>
      </c>
      <c r="B1271" s="0" t="n">
        <v>6</v>
      </c>
      <c r="C1271" s="0" t="n">
        <v>5</v>
      </c>
      <c r="D1271" s="0" t="n">
        <v>6</v>
      </c>
      <c r="E1271" s="0" t="n">
        <f aca="false">-1+A1271*0.25</f>
        <v>-0.75</v>
      </c>
      <c r="F1271" s="0" t="n">
        <f aca="false">-1+B1271*0.25</f>
        <v>0.5</v>
      </c>
      <c r="G1271" s="0" t="n">
        <f aca="false">-1+C1271*0.25</f>
        <v>0.25</v>
      </c>
      <c r="H1271" s="0" t="n">
        <f aca="false">-1+D1271*0.25</f>
        <v>0.5</v>
      </c>
      <c r="I1271" s="0" t="n">
        <f aca="false">1</f>
        <v>1</v>
      </c>
      <c r="J1271" s="0" t="n">
        <f aca="false">E1271</f>
        <v>-0.75</v>
      </c>
      <c r="K1271" s="0" t="n">
        <f aca="false">F1271</f>
        <v>0.5</v>
      </c>
      <c r="L1271" s="0" t="n">
        <f aca="false">G1271</f>
        <v>0.25</v>
      </c>
      <c r="M1271" s="0" t="n">
        <f aca="false">H1271</f>
        <v>0.5</v>
      </c>
      <c r="N1271" s="0" t="n">
        <f aca="false">E1271*F1271</f>
        <v>-0.375</v>
      </c>
      <c r="O1271" s="0" t="n">
        <f aca="false">E1271*G1271</f>
        <v>-0.1875</v>
      </c>
      <c r="P1271" s="0" t="n">
        <f aca="false">E1271*H1271</f>
        <v>-0.375</v>
      </c>
      <c r="Q1271" s="0" t="n">
        <f aca="false">F1271*G1271</f>
        <v>0.125</v>
      </c>
      <c r="R1271" s="0" t="n">
        <f aca="false">F1271*H1271</f>
        <v>0.25</v>
      </c>
      <c r="S1271" s="0" t="n">
        <f aca="false">G1271*H1271</f>
        <v>0.125</v>
      </c>
      <c r="T1271" s="0" t="n">
        <f aca="false">E1271*E1271</f>
        <v>0.5625</v>
      </c>
      <c r="U1271" s="0" t="n">
        <f aca="false">F1271*F1271</f>
        <v>0.25</v>
      </c>
      <c r="V1271" s="0" t="n">
        <f aca="false">G1271*G1271</f>
        <v>0.0625</v>
      </c>
      <c r="W1271" s="0" t="n">
        <f aca="false">H1271*H1271</f>
        <v>0.25</v>
      </c>
      <c r="X1271" s="0" t="n">
        <f aca="false">SUMPRODUCT(I1271:W1271,_XtX!$B$96:$P$96)</f>
        <v>45.338048245614</v>
      </c>
      <c r="Y1271" s="0" t="n">
        <f aca="false">SUMPRODUCT(MMULT(I1271:W1271,_XtX!$B$78:$P$92),I1271:W1271)</f>
        <v>0.203746059484649</v>
      </c>
      <c r="Z1271" s="0" t="n">
        <f aca="false">04_回帰ANOVA!$K$19*04_回帰ANOVA!$K$14*SQRT(1+Y1271)</f>
        <v>1.43009810755465</v>
      </c>
      <c r="AA1271" s="0" t="n">
        <f aca="false">X1271-Z1271</f>
        <v>43.9079501380594</v>
      </c>
      <c r="AB1271" s="0" t="n">
        <f aca="false">X1271+Z1271</f>
        <v>46.7681463531687</v>
      </c>
      <c r="AC1271" s="54" t="b">
        <f aca="false">AND(E1271&gt;=01_因子設定!$L$5-0.000000001,E1271&lt;=01_因子設定!$M$5+0.000000001,F1271&gt;=01_因子設定!$L$6-0.000000001,F1271&lt;=01_因子設定!$M$6+0.000000001,G1271&gt;=01_因子設定!$L$7-0.000000001,G1271&lt;=01_因子設定!$M$7+0.000000001,H1271&gt;=01_因子設定!$L$8-0.000000001,H1271&lt;=01_因子設定!$M$8+0.000000001,IF(01_因子設定!$B$20="Box-Behnken",E1271^2+F1271^2+G1271^2+H1271^2&lt;=2+0.000000001,TRUE()))</f>
        <v>1</v>
      </c>
      <c r="AD1271" s="55" t="n">
        <f aca="false">IF(AC1271,IF(01_因子設定!$B$13="最大化",AA1271-01_因子設定!$B$14,IF(01_因子設定!$B$13="最小化",01_因子設定!$B$15-AB1271,MIN(AA1271-01_因子設定!$B$14,01_因子設定!$B$15-AB1271))),-1E+030)</f>
        <v>-2.59204986194062</v>
      </c>
      <c r="AE1271" s="55" t="n">
        <f aca="false">IF(AC1271,IF(01_因子設定!$B$13="最大化",X1271,IF(01_因子設定!$B$13="最小化",-X1271,-ABS(X1271-01_因子設定!$B$16))),-1E+030)</f>
        <v>45.338048245614</v>
      </c>
      <c r="AF1271" s="55" t="n">
        <f aca="false">AD1271+ROW()*0.000000001</f>
        <v>-2.59204859094062</v>
      </c>
      <c r="AG1271" s="55" t="n">
        <f aca="false">AE1271+ROW()*0.000000001</f>
        <v>45.338049516614</v>
      </c>
    </row>
    <row r="1272" customFormat="false" ht="15" hidden="false" customHeight="false" outlineLevel="0" collapsed="false">
      <c r="A1272" s="0" t="n">
        <v>1</v>
      </c>
      <c r="B1272" s="0" t="n">
        <v>6</v>
      </c>
      <c r="C1272" s="0" t="n">
        <v>5</v>
      </c>
      <c r="D1272" s="0" t="n">
        <v>7</v>
      </c>
      <c r="E1272" s="0" t="n">
        <f aca="false">-1+A1272*0.25</f>
        <v>-0.75</v>
      </c>
      <c r="F1272" s="0" t="n">
        <f aca="false">-1+B1272*0.25</f>
        <v>0.5</v>
      </c>
      <c r="G1272" s="0" t="n">
        <f aca="false">-1+C1272*0.25</f>
        <v>0.25</v>
      </c>
      <c r="H1272" s="0" t="n">
        <f aca="false">-1+D1272*0.25</f>
        <v>0.75</v>
      </c>
      <c r="I1272" s="0" t="n">
        <f aca="false">1</f>
        <v>1</v>
      </c>
      <c r="J1272" s="0" t="n">
        <f aca="false">E1272</f>
        <v>-0.75</v>
      </c>
      <c r="K1272" s="0" t="n">
        <f aca="false">F1272</f>
        <v>0.5</v>
      </c>
      <c r="L1272" s="0" t="n">
        <f aca="false">G1272</f>
        <v>0.25</v>
      </c>
      <c r="M1272" s="0" t="n">
        <f aca="false">H1272</f>
        <v>0.75</v>
      </c>
      <c r="N1272" s="0" t="n">
        <f aca="false">E1272*F1272</f>
        <v>-0.375</v>
      </c>
      <c r="O1272" s="0" t="n">
        <f aca="false">E1272*G1272</f>
        <v>-0.1875</v>
      </c>
      <c r="P1272" s="0" t="n">
        <f aca="false">E1272*H1272</f>
        <v>-0.5625</v>
      </c>
      <c r="Q1272" s="0" t="n">
        <f aca="false">F1272*G1272</f>
        <v>0.125</v>
      </c>
      <c r="R1272" s="0" t="n">
        <f aca="false">F1272*H1272</f>
        <v>0.375</v>
      </c>
      <c r="S1272" s="0" t="n">
        <f aca="false">G1272*H1272</f>
        <v>0.1875</v>
      </c>
      <c r="T1272" s="0" t="n">
        <f aca="false">E1272*E1272</f>
        <v>0.5625</v>
      </c>
      <c r="U1272" s="0" t="n">
        <f aca="false">F1272*F1272</f>
        <v>0.25</v>
      </c>
      <c r="V1272" s="0" t="n">
        <f aca="false">G1272*G1272</f>
        <v>0.0625</v>
      </c>
      <c r="W1272" s="0" t="n">
        <f aca="false">H1272*H1272</f>
        <v>0.5625</v>
      </c>
      <c r="X1272" s="0" t="n">
        <f aca="false">SUMPRODUCT(I1272:W1272,_XtX!$B$96:$P$96)</f>
        <v>45.2878883406433</v>
      </c>
      <c r="Y1272" s="0" t="n">
        <f aca="false">SUMPRODUCT(MMULT(I1272:W1272,_XtX!$B$78:$P$92),I1272:W1272)</f>
        <v>0.257385610836988</v>
      </c>
      <c r="Z1272" s="0" t="n">
        <f aca="false">04_回帰ANOVA!$K$19*04_回帰ANOVA!$K$14*SQRT(1+Y1272)</f>
        <v>1.46161380324158</v>
      </c>
      <c r="AA1272" s="0" t="n">
        <f aca="false">X1272-Z1272</f>
        <v>43.8262745374017</v>
      </c>
      <c r="AB1272" s="0" t="n">
        <f aca="false">X1272+Z1272</f>
        <v>46.7495021438849</v>
      </c>
      <c r="AC1272" s="54" t="b">
        <f aca="false">AND(E1272&gt;=01_因子設定!$L$5-0.000000001,E1272&lt;=01_因子設定!$M$5+0.000000001,F1272&gt;=01_因子設定!$L$6-0.000000001,F1272&lt;=01_因子設定!$M$6+0.000000001,G1272&gt;=01_因子設定!$L$7-0.000000001,G1272&lt;=01_因子設定!$M$7+0.000000001,H1272&gt;=01_因子設定!$L$8-0.000000001,H1272&lt;=01_因子設定!$M$8+0.000000001,IF(01_因子設定!$B$20="Box-Behnken",E1272^2+F1272^2+G1272^2+H1272^2&lt;=2+0.000000001,TRUE()))</f>
        <v>1</v>
      </c>
      <c r="AD1272" s="55" t="n">
        <f aca="false">IF(AC1272,IF(01_因子設定!$B$13="最大化",AA1272-01_因子設定!$B$14,IF(01_因子設定!$B$13="最小化",01_因子設定!$B$15-AB1272,MIN(AA1272-01_因子設定!$B$14,01_因子設定!$B$15-AB1272))),-1E+030)</f>
        <v>-2.67372546259831</v>
      </c>
      <c r="AE1272" s="55" t="n">
        <f aca="false">IF(AC1272,IF(01_因子設定!$B$13="最大化",X1272,IF(01_因子設定!$B$13="最小化",-X1272,-ABS(X1272-01_因子設定!$B$16))),-1E+030)</f>
        <v>45.2878883406433</v>
      </c>
      <c r="AF1272" s="55" t="n">
        <f aca="false">AD1272+ROW()*0.000000001</f>
        <v>-2.67372419059831</v>
      </c>
      <c r="AG1272" s="55" t="n">
        <f aca="false">AE1272+ROW()*0.000000001</f>
        <v>45.2878896126433</v>
      </c>
    </row>
    <row r="1273" customFormat="false" ht="15" hidden="false" customHeight="false" outlineLevel="0" collapsed="false">
      <c r="A1273" s="0" t="n">
        <v>1</v>
      </c>
      <c r="B1273" s="0" t="n">
        <v>6</v>
      </c>
      <c r="C1273" s="0" t="n">
        <v>5</v>
      </c>
      <c r="D1273" s="0" t="n">
        <v>8</v>
      </c>
      <c r="E1273" s="0" t="n">
        <f aca="false">-1+A1273*0.25</f>
        <v>-0.75</v>
      </c>
      <c r="F1273" s="0" t="n">
        <f aca="false">-1+B1273*0.25</f>
        <v>0.5</v>
      </c>
      <c r="G1273" s="0" t="n">
        <f aca="false">-1+C1273*0.25</f>
        <v>0.25</v>
      </c>
      <c r="H1273" s="0" t="n">
        <f aca="false">-1+D1273*0.25</f>
        <v>1</v>
      </c>
      <c r="I1273" s="0" t="n">
        <f aca="false">1</f>
        <v>1</v>
      </c>
      <c r="J1273" s="0" t="n">
        <f aca="false">E1273</f>
        <v>-0.75</v>
      </c>
      <c r="K1273" s="0" t="n">
        <f aca="false">F1273</f>
        <v>0.5</v>
      </c>
      <c r="L1273" s="0" t="n">
        <f aca="false">G1273</f>
        <v>0.25</v>
      </c>
      <c r="M1273" s="0" t="n">
        <f aca="false">H1273</f>
        <v>1</v>
      </c>
      <c r="N1273" s="0" t="n">
        <f aca="false">E1273*F1273</f>
        <v>-0.375</v>
      </c>
      <c r="O1273" s="0" t="n">
        <f aca="false">E1273*G1273</f>
        <v>-0.1875</v>
      </c>
      <c r="P1273" s="0" t="n">
        <f aca="false">E1273*H1273</f>
        <v>-0.75</v>
      </c>
      <c r="Q1273" s="0" t="n">
        <f aca="false">F1273*G1273</f>
        <v>0.125</v>
      </c>
      <c r="R1273" s="0" t="n">
        <f aca="false">F1273*H1273</f>
        <v>0.5</v>
      </c>
      <c r="S1273" s="0" t="n">
        <f aca="false">G1273*H1273</f>
        <v>0.25</v>
      </c>
      <c r="T1273" s="0" t="n">
        <f aca="false">E1273*E1273</f>
        <v>0.5625</v>
      </c>
      <c r="U1273" s="0" t="n">
        <f aca="false">F1273*F1273</f>
        <v>0.25</v>
      </c>
      <c r="V1273" s="0" t="n">
        <f aca="false">G1273*G1273</f>
        <v>0.0625</v>
      </c>
      <c r="W1273" s="0" t="n">
        <f aca="false">H1273*H1273</f>
        <v>1</v>
      </c>
      <c r="X1273" s="0" t="n">
        <f aca="false">SUMPRODUCT(I1273:W1273,_XtX!$B$96:$P$96)</f>
        <v>45.1899214181287</v>
      </c>
      <c r="Y1273" s="0" t="n">
        <f aca="false">SUMPRODUCT(MMULT(I1273:W1273,_XtX!$B$78:$P$92),I1273:W1273)</f>
        <v>0.459125719572369</v>
      </c>
      <c r="Z1273" s="0" t="n">
        <f aca="false">04_回帰ANOVA!$K$19*04_回帰ANOVA!$K$14*SQRT(1+Y1273)</f>
        <v>1.57450755575573</v>
      </c>
      <c r="AA1273" s="0" t="n">
        <f aca="false">X1273-Z1273</f>
        <v>43.615413862373</v>
      </c>
      <c r="AB1273" s="0" t="n">
        <f aca="false">X1273+Z1273</f>
        <v>46.7644289738844</v>
      </c>
      <c r="AC1273" s="54" t="b">
        <f aca="false">AND(E1273&gt;=01_因子設定!$L$5-0.000000001,E1273&lt;=01_因子設定!$M$5+0.000000001,F1273&gt;=01_因子設定!$L$6-0.000000001,F1273&lt;=01_因子設定!$M$6+0.000000001,G1273&gt;=01_因子設定!$L$7-0.000000001,G1273&lt;=01_因子設定!$M$7+0.000000001,H1273&gt;=01_因子設定!$L$8-0.000000001,H1273&lt;=01_因子設定!$M$8+0.000000001,IF(01_因子設定!$B$20="Box-Behnken",E1273^2+F1273^2+G1273^2+H1273^2&lt;=2+0.000000001,TRUE()))</f>
        <v>1</v>
      </c>
      <c r="AD1273" s="55" t="n">
        <f aca="false">IF(AC1273,IF(01_因子設定!$B$13="最大化",AA1273-01_因子設定!$B$14,IF(01_因子設定!$B$13="最小化",01_因子設定!$B$15-AB1273,MIN(AA1273-01_因子設定!$B$14,01_因子設定!$B$15-AB1273))),-1E+030)</f>
        <v>-2.88458613762705</v>
      </c>
      <c r="AE1273" s="55" t="n">
        <f aca="false">IF(AC1273,IF(01_因子設定!$B$13="最大化",X1273,IF(01_因子設定!$B$13="最小化",-X1273,-ABS(X1273-01_因子設定!$B$16))),-1E+030)</f>
        <v>45.1899214181287</v>
      </c>
      <c r="AF1273" s="55" t="n">
        <f aca="false">AD1273+ROW()*0.000000001</f>
        <v>-2.88458486462705</v>
      </c>
      <c r="AG1273" s="55" t="n">
        <f aca="false">AE1273+ROW()*0.000000001</f>
        <v>45.1899226911287</v>
      </c>
    </row>
    <row r="1274" customFormat="false" ht="15" hidden="false" customHeight="false" outlineLevel="0" collapsed="false">
      <c r="A1274" s="0" t="n">
        <v>1</v>
      </c>
      <c r="B1274" s="0" t="n">
        <v>6</v>
      </c>
      <c r="C1274" s="0" t="n">
        <v>6</v>
      </c>
      <c r="D1274" s="0" t="n">
        <v>0</v>
      </c>
      <c r="E1274" s="0" t="n">
        <f aca="false">-1+A1274*0.25</f>
        <v>-0.75</v>
      </c>
      <c r="F1274" s="0" t="n">
        <f aca="false">-1+B1274*0.25</f>
        <v>0.5</v>
      </c>
      <c r="G1274" s="0" t="n">
        <f aca="false">-1+C1274*0.25</f>
        <v>0.5</v>
      </c>
      <c r="H1274" s="0" t="n">
        <f aca="false">-1+D1274*0.25</f>
        <v>-1</v>
      </c>
      <c r="I1274" s="0" t="n">
        <f aca="false">1</f>
        <v>1</v>
      </c>
      <c r="J1274" s="0" t="n">
        <f aca="false">E1274</f>
        <v>-0.75</v>
      </c>
      <c r="K1274" s="0" t="n">
        <f aca="false">F1274</f>
        <v>0.5</v>
      </c>
      <c r="L1274" s="0" t="n">
        <f aca="false">G1274</f>
        <v>0.5</v>
      </c>
      <c r="M1274" s="0" t="n">
        <f aca="false">H1274</f>
        <v>-1</v>
      </c>
      <c r="N1274" s="0" t="n">
        <f aca="false">E1274*F1274</f>
        <v>-0.375</v>
      </c>
      <c r="O1274" s="0" t="n">
        <f aca="false">E1274*G1274</f>
        <v>-0.375</v>
      </c>
      <c r="P1274" s="0" t="n">
        <f aca="false">E1274*H1274</f>
        <v>0.75</v>
      </c>
      <c r="Q1274" s="0" t="n">
        <f aca="false">F1274*G1274</f>
        <v>0.25</v>
      </c>
      <c r="R1274" s="0" t="n">
        <f aca="false">F1274*H1274</f>
        <v>-0.5</v>
      </c>
      <c r="S1274" s="0" t="n">
        <f aca="false">G1274*H1274</f>
        <v>-0.5</v>
      </c>
      <c r="T1274" s="0" t="n">
        <f aca="false">E1274*E1274</f>
        <v>0.5625</v>
      </c>
      <c r="U1274" s="0" t="n">
        <f aca="false">F1274*F1274</f>
        <v>0.25</v>
      </c>
      <c r="V1274" s="0" t="n">
        <f aca="false">G1274*G1274</f>
        <v>0.25</v>
      </c>
      <c r="W1274" s="0" t="n">
        <f aca="false">H1274*H1274</f>
        <v>1</v>
      </c>
      <c r="X1274" s="0" t="n">
        <f aca="false">SUMPRODUCT(I1274:W1274,_XtX!$B$96:$P$96)</f>
        <v>44.8419956140351</v>
      </c>
      <c r="Y1274" s="0" t="n">
        <f aca="false">SUMPRODUCT(MMULT(I1274:W1274,_XtX!$B$78:$P$92),I1274:W1274)</f>
        <v>0.42602110745614</v>
      </c>
      <c r="Z1274" s="0" t="n">
        <f aca="false">04_回帰ANOVA!$K$19*04_回帰ANOVA!$K$14*SQRT(1+Y1274)</f>
        <v>1.55654388501114</v>
      </c>
      <c r="AA1274" s="0" t="n">
        <f aca="false">X1274-Z1274</f>
        <v>43.285451729024</v>
      </c>
      <c r="AB1274" s="0" t="n">
        <f aca="false">X1274+Z1274</f>
        <v>46.3985394990463</v>
      </c>
      <c r="AC1274" s="54" t="b">
        <f aca="false">AND(E1274&gt;=01_因子設定!$L$5-0.000000001,E1274&lt;=01_因子設定!$M$5+0.000000001,F1274&gt;=01_因子設定!$L$6-0.000000001,F1274&lt;=01_因子設定!$M$6+0.000000001,G1274&gt;=01_因子設定!$L$7-0.000000001,G1274&lt;=01_因子設定!$M$7+0.000000001,H1274&gt;=01_因子設定!$L$8-0.000000001,H1274&lt;=01_因子設定!$M$8+0.000000001,IF(01_因子設定!$B$20="Box-Behnken",E1274^2+F1274^2+G1274^2+H1274^2&lt;=2+0.000000001,TRUE()))</f>
        <v>1</v>
      </c>
      <c r="AD1274" s="55" t="n">
        <f aca="false">IF(AC1274,IF(01_因子設定!$B$13="最大化",AA1274-01_因子設定!$B$14,IF(01_因子設定!$B$13="最小化",01_因子設定!$B$15-AB1274,MIN(AA1274-01_因子設定!$B$14,01_因子設定!$B$15-AB1274))),-1E+030)</f>
        <v>-3.21454827097602</v>
      </c>
      <c r="AE1274" s="55" t="n">
        <f aca="false">IF(AC1274,IF(01_因子設定!$B$13="最大化",X1274,IF(01_因子設定!$B$13="最小化",-X1274,-ABS(X1274-01_因子設定!$B$16))),-1E+030)</f>
        <v>44.8419956140351</v>
      </c>
      <c r="AF1274" s="55" t="n">
        <f aca="false">AD1274+ROW()*0.000000001</f>
        <v>-3.21454699697602</v>
      </c>
      <c r="AG1274" s="55" t="n">
        <f aca="false">AE1274+ROW()*0.000000001</f>
        <v>44.8419968880351</v>
      </c>
    </row>
    <row r="1275" customFormat="false" ht="15" hidden="false" customHeight="false" outlineLevel="0" collapsed="false">
      <c r="A1275" s="0" t="n">
        <v>1</v>
      </c>
      <c r="B1275" s="0" t="n">
        <v>6</v>
      </c>
      <c r="C1275" s="0" t="n">
        <v>6</v>
      </c>
      <c r="D1275" s="0" t="n">
        <v>1</v>
      </c>
      <c r="E1275" s="0" t="n">
        <f aca="false">-1+A1275*0.25</f>
        <v>-0.75</v>
      </c>
      <c r="F1275" s="0" t="n">
        <f aca="false">-1+B1275*0.25</f>
        <v>0.5</v>
      </c>
      <c r="G1275" s="0" t="n">
        <f aca="false">-1+C1275*0.25</f>
        <v>0.5</v>
      </c>
      <c r="H1275" s="0" t="n">
        <f aca="false">-1+D1275*0.25</f>
        <v>-0.75</v>
      </c>
      <c r="I1275" s="0" t="n">
        <f aca="false">1</f>
        <v>1</v>
      </c>
      <c r="J1275" s="0" t="n">
        <f aca="false">E1275</f>
        <v>-0.75</v>
      </c>
      <c r="K1275" s="0" t="n">
        <f aca="false">F1275</f>
        <v>0.5</v>
      </c>
      <c r="L1275" s="0" t="n">
        <f aca="false">G1275</f>
        <v>0.5</v>
      </c>
      <c r="M1275" s="0" t="n">
        <f aca="false">H1275</f>
        <v>-0.75</v>
      </c>
      <c r="N1275" s="0" t="n">
        <f aca="false">E1275*F1275</f>
        <v>-0.375</v>
      </c>
      <c r="O1275" s="0" t="n">
        <f aca="false">E1275*G1275</f>
        <v>-0.375</v>
      </c>
      <c r="P1275" s="0" t="n">
        <f aca="false">E1275*H1275</f>
        <v>0.5625</v>
      </c>
      <c r="Q1275" s="0" t="n">
        <f aca="false">F1275*G1275</f>
        <v>0.25</v>
      </c>
      <c r="R1275" s="0" t="n">
        <f aca="false">F1275*H1275</f>
        <v>-0.375</v>
      </c>
      <c r="S1275" s="0" t="n">
        <f aca="false">G1275*H1275</f>
        <v>-0.375</v>
      </c>
      <c r="T1275" s="0" t="n">
        <f aca="false">E1275*E1275</f>
        <v>0.5625</v>
      </c>
      <c r="U1275" s="0" t="n">
        <f aca="false">F1275*F1275</f>
        <v>0.25</v>
      </c>
      <c r="V1275" s="0" t="n">
        <f aca="false">G1275*G1275</f>
        <v>0.25</v>
      </c>
      <c r="W1275" s="0" t="n">
        <f aca="false">H1275*H1275</f>
        <v>0.5625</v>
      </c>
      <c r="X1275" s="0" t="n">
        <f aca="false">SUMPRODUCT(I1275:W1275,_XtX!$B$96:$P$96)</f>
        <v>45.0966465643275</v>
      </c>
      <c r="Y1275" s="0" t="n">
        <f aca="false">SUMPRODUCT(MMULT(I1275:W1275,_XtX!$B$78:$P$92),I1275:W1275)</f>
        <v>0.237862927174708</v>
      </c>
      <c r="Z1275" s="0" t="n">
        <f aca="false">04_回帰ANOVA!$K$19*04_回帰ANOVA!$K$14*SQRT(1+Y1275)</f>
        <v>1.45022260708756</v>
      </c>
      <c r="AA1275" s="0" t="n">
        <f aca="false">X1275-Z1275</f>
        <v>43.6464239572399</v>
      </c>
      <c r="AB1275" s="0" t="n">
        <f aca="false">X1275+Z1275</f>
        <v>46.5468691714151</v>
      </c>
      <c r="AC1275" s="54" t="b">
        <f aca="false">AND(E1275&gt;=01_因子設定!$L$5-0.000000001,E1275&lt;=01_因子設定!$M$5+0.000000001,F1275&gt;=01_因子設定!$L$6-0.000000001,F1275&lt;=01_因子設定!$M$6+0.000000001,G1275&gt;=01_因子設定!$L$7-0.000000001,G1275&lt;=01_因子設定!$M$7+0.000000001,H1275&gt;=01_因子設定!$L$8-0.000000001,H1275&lt;=01_因子設定!$M$8+0.000000001,IF(01_因子設定!$B$20="Box-Behnken",E1275^2+F1275^2+G1275^2+H1275^2&lt;=2+0.000000001,TRUE()))</f>
        <v>1</v>
      </c>
      <c r="AD1275" s="55" t="n">
        <f aca="false">IF(AC1275,IF(01_因子設定!$B$13="最大化",AA1275-01_因子設定!$B$14,IF(01_因子設定!$B$13="最小化",01_因子設定!$B$15-AB1275,MIN(AA1275-01_因子設定!$B$14,01_因子設定!$B$15-AB1275))),-1E+030)</f>
        <v>-2.85357604276007</v>
      </c>
      <c r="AE1275" s="55" t="n">
        <f aca="false">IF(AC1275,IF(01_因子設定!$B$13="最大化",X1275,IF(01_因子設定!$B$13="最小化",-X1275,-ABS(X1275-01_因子設定!$B$16))),-1E+030)</f>
        <v>45.0966465643275</v>
      </c>
      <c r="AF1275" s="55" t="n">
        <f aca="false">AD1275+ROW()*0.000000001</f>
        <v>-2.85357476776007</v>
      </c>
      <c r="AG1275" s="55" t="n">
        <f aca="false">AE1275+ROW()*0.000000001</f>
        <v>45.0966478393275</v>
      </c>
    </row>
    <row r="1276" customFormat="false" ht="15" hidden="false" customHeight="false" outlineLevel="0" collapsed="false">
      <c r="A1276" s="0" t="n">
        <v>1</v>
      </c>
      <c r="B1276" s="0" t="n">
        <v>6</v>
      </c>
      <c r="C1276" s="0" t="n">
        <v>6</v>
      </c>
      <c r="D1276" s="0" t="n">
        <v>2</v>
      </c>
      <c r="E1276" s="0" t="n">
        <f aca="false">-1+A1276*0.25</f>
        <v>-0.75</v>
      </c>
      <c r="F1276" s="0" t="n">
        <f aca="false">-1+B1276*0.25</f>
        <v>0.5</v>
      </c>
      <c r="G1276" s="0" t="n">
        <f aca="false">-1+C1276*0.25</f>
        <v>0.5</v>
      </c>
      <c r="H1276" s="0" t="n">
        <f aca="false">-1+D1276*0.25</f>
        <v>-0.5</v>
      </c>
      <c r="I1276" s="0" t="n">
        <f aca="false">1</f>
        <v>1</v>
      </c>
      <c r="J1276" s="0" t="n">
        <f aca="false">E1276</f>
        <v>-0.75</v>
      </c>
      <c r="K1276" s="0" t="n">
        <f aca="false">F1276</f>
        <v>0.5</v>
      </c>
      <c r="L1276" s="0" t="n">
        <f aca="false">G1276</f>
        <v>0.5</v>
      </c>
      <c r="M1276" s="0" t="n">
        <f aca="false">H1276</f>
        <v>-0.5</v>
      </c>
      <c r="N1276" s="0" t="n">
        <f aca="false">E1276*F1276</f>
        <v>-0.375</v>
      </c>
      <c r="O1276" s="0" t="n">
        <f aca="false">E1276*G1276</f>
        <v>-0.375</v>
      </c>
      <c r="P1276" s="0" t="n">
        <f aca="false">E1276*H1276</f>
        <v>0.375</v>
      </c>
      <c r="Q1276" s="0" t="n">
        <f aca="false">F1276*G1276</f>
        <v>0.25</v>
      </c>
      <c r="R1276" s="0" t="n">
        <f aca="false">F1276*H1276</f>
        <v>-0.25</v>
      </c>
      <c r="S1276" s="0" t="n">
        <f aca="false">G1276*H1276</f>
        <v>-0.25</v>
      </c>
      <c r="T1276" s="0" t="n">
        <f aca="false">E1276*E1276</f>
        <v>0.5625</v>
      </c>
      <c r="U1276" s="0" t="n">
        <f aca="false">F1276*F1276</f>
        <v>0.25</v>
      </c>
      <c r="V1276" s="0" t="n">
        <f aca="false">G1276*G1276</f>
        <v>0.25</v>
      </c>
      <c r="W1276" s="0" t="n">
        <f aca="false">H1276*H1276</f>
        <v>0.25</v>
      </c>
      <c r="X1276" s="0" t="n">
        <f aca="false">SUMPRODUCT(I1276:W1276,_XtX!$B$96:$P$96)</f>
        <v>45.303490497076</v>
      </c>
      <c r="Y1276" s="0" t="n">
        <f aca="false">SUMPRODUCT(MMULT(I1276:W1276,_XtX!$B$78:$P$92),I1276:W1276)</f>
        <v>0.193924753289474</v>
      </c>
      <c r="Z1276" s="0" t="n">
        <f aca="false">04_回帰ANOVA!$K$19*04_回帰ANOVA!$K$14*SQRT(1+Y1276)</f>
        <v>1.4242521079916</v>
      </c>
      <c r="AA1276" s="0" t="n">
        <f aca="false">X1276-Z1276</f>
        <v>43.8792383890844</v>
      </c>
      <c r="AB1276" s="0" t="n">
        <f aca="false">X1276+Z1276</f>
        <v>46.7277426050676</v>
      </c>
      <c r="AC1276" s="54" t="b">
        <f aca="false">AND(E1276&gt;=01_因子設定!$L$5-0.000000001,E1276&lt;=01_因子設定!$M$5+0.000000001,F1276&gt;=01_因子設定!$L$6-0.000000001,F1276&lt;=01_因子設定!$M$6+0.000000001,G1276&gt;=01_因子設定!$L$7-0.000000001,G1276&lt;=01_因子設定!$M$7+0.000000001,H1276&gt;=01_因子設定!$L$8-0.000000001,H1276&lt;=01_因子設定!$M$8+0.000000001,IF(01_因子設定!$B$20="Box-Behnken",E1276^2+F1276^2+G1276^2+H1276^2&lt;=2+0.000000001,TRUE()))</f>
        <v>1</v>
      </c>
      <c r="AD1276" s="55" t="n">
        <f aca="false">IF(AC1276,IF(01_因子設定!$B$13="最大化",AA1276-01_因子設定!$B$14,IF(01_因子設定!$B$13="最小化",01_因子設定!$B$15-AB1276,MIN(AA1276-01_因子設定!$B$14,01_因子設定!$B$15-AB1276))),-1E+030)</f>
        <v>-2.62076161091558</v>
      </c>
      <c r="AE1276" s="55" t="n">
        <f aca="false">IF(AC1276,IF(01_因子設定!$B$13="最大化",X1276,IF(01_因子設定!$B$13="最小化",-X1276,-ABS(X1276-01_因子設定!$B$16))),-1E+030)</f>
        <v>45.303490497076</v>
      </c>
      <c r="AF1276" s="55" t="n">
        <f aca="false">AD1276+ROW()*0.000000001</f>
        <v>-2.62076033491558</v>
      </c>
      <c r="AG1276" s="55" t="n">
        <f aca="false">AE1276+ROW()*0.000000001</f>
        <v>45.303491773076</v>
      </c>
    </row>
    <row r="1277" customFormat="false" ht="15" hidden="false" customHeight="false" outlineLevel="0" collapsed="false">
      <c r="A1277" s="0" t="n">
        <v>1</v>
      </c>
      <c r="B1277" s="0" t="n">
        <v>6</v>
      </c>
      <c r="C1277" s="0" t="n">
        <v>6</v>
      </c>
      <c r="D1277" s="0" t="n">
        <v>3</v>
      </c>
      <c r="E1277" s="0" t="n">
        <f aca="false">-1+A1277*0.25</f>
        <v>-0.75</v>
      </c>
      <c r="F1277" s="0" t="n">
        <f aca="false">-1+B1277*0.25</f>
        <v>0.5</v>
      </c>
      <c r="G1277" s="0" t="n">
        <f aca="false">-1+C1277*0.25</f>
        <v>0.5</v>
      </c>
      <c r="H1277" s="0" t="n">
        <f aca="false">-1+D1277*0.25</f>
        <v>-0.25</v>
      </c>
      <c r="I1277" s="0" t="n">
        <f aca="false">1</f>
        <v>1</v>
      </c>
      <c r="J1277" s="0" t="n">
        <f aca="false">E1277</f>
        <v>-0.75</v>
      </c>
      <c r="K1277" s="0" t="n">
        <f aca="false">F1277</f>
        <v>0.5</v>
      </c>
      <c r="L1277" s="0" t="n">
        <f aca="false">G1277</f>
        <v>0.5</v>
      </c>
      <c r="M1277" s="0" t="n">
        <f aca="false">H1277</f>
        <v>-0.25</v>
      </c>
      <c r="N1277" s="0" t="n">
        <f aca="false">E1277*F1277</f>
        <v>-0.375</v>
      </c>
      <c r="O1277" s="0" t="n">
        <f aca="false">E1277*G1277</f>
        <v>-0.375</v>
      </c>
      <c r="P1277" s="0" t="n">
        <f aca="false">E1277*H1277</f>
        <v>0.1875</v>
      </c>
      <c r="Q1277" s="0" t="n">
        <f aca="false">F1277*G1277</f>
        <v>0.25</v>
      </c>
      <c r="R1277" s="0" t="n">
        <f aca="false">F1277*H1277</f>
        <v>-0.125</v>
      </c>
      <c r="S1277" s="0" t="n">
        <f aca="false">G1277*H1277</f>
        <v>-0.125</v>
      </c>
      <c r="T1277" s="0" t="n">
        <f aca="false">E1277*E1277</f>
        <v>0.5625</v>
      </c>
      <c r="U1277" s="0" t="n">
        <f aca="false">F1277*F1277</f>
        <v>0.25</v>
      </c>
      <c r="V1277" s="0" t="n">
        <f aca="false">G1277*G1277</f>
        <v>0.25</v>
      </c>
      <c r="W1277" s="0" t="n">
        <f aca="false">H1277*H1277</f>
        <v>0.0625</v>
      </c>
      <c r="X1277" s="0" t="n">
        <f aca="false">SUMPRODUCT(I1277:W1277,_XtX!$B$96:$P$96)</f>
        <v>45.4625274122807</v>
      </c>
      <c r="Y1277" s="0" t="n">
        <f aca="false">SUMPRODUCT(MMULT(I1277:W1277,_XtX!$B$78:$P$92),I1277:W1277)</f>
        <v>0.203746059484649</v>
      </c>
      <c r="Z1277" s="0" t="n">
        <f aca="false">04_回帰ANOVA!$K$19*04_回帰ANOVA!$K$14*SQRT(1+Y1277)</f>
        <v>1.43009810755465</v>
      </c>
      <c r="AA1277" s="0" t="n">
        <f aca="false">X1277-Z1277</f>
        <v>44.032429304726</v>
      </c>
      <c r="AB1277" s="0" t="n">
        <f aca="false">X1277+Z1277</f>
        <v>46.8926255198353</v>
      </c>
      <c r="AC1277" s="54" t="b">
        <f aca="false">AND(E1277&gt;=01_因子設定!$L$5-0.000000001,E1277&lt;=01_因子設定!$M$5+0.000000001,F1277&gt;=01_因子設定!$L$6-0.000000001,F1277&lt;=01_因子設定!$M$6+0.000000001,G1277&gt;=01_因子設定!$L$7-0.000000001,G1277&lt;=01_因子設定!$M$7+0.000000001,H1277&gt;=01_因子設定!$L$8-0.000000001,H1277&lt;=01_因子設定!$M$8+0.000000001,IF(01_因子設定!$B$20="Box-Behnken",E1277^2+F1277^2+G1277^2+H1277^2&lt;=2+0.000000001,TRUE()))</f>
        <v>1</v>
      </c>
      <c r="AD1277" s="55" t="n">
        <f aca="false">IF(AC1277,IF(01_因子設定!$B$13="最大化",AA1277-01_因子設定!$B$14,IF(01_因子設定!$B$13="最小化",01_因子設定!$B$15-AB1277,MIN(AA1277-01_因子設定!$B$14,01_因子設定!$B$15-AB1277))),-1E+030)</f>
        <v>-2.46757069527396</v>
      </c>
      <c r="AE1277" s="55" t="n">
        <f aca="false">IF(AC1277,IF(01_因子設定!$B$13="最大化",X1277,IF(01_因子設定!$B$13="最小化",-X1277,-ABS(X1277-01_因子設定!$B$16))),-1E+030)</f>
        <v>45.4625274122807</v>
      </c>
      <c r="AF1277" s="55" t="n">
        <f aca="false">AD1277+ROW()*0.000000001</f>
        <v>-2.46756941827396</v>
      </c>
      <c r="AG1277" s="55" t="n">
        <f aca="false">AE1277+ROW()*0.000000001</f>
        <v>45.4625286892807</v>
      </c>
    </row>
    <row r="1278" customFormat="false" ht="15" hidden="false" customHeight="false" outlineLevel="0" collapsed="false">
      <c r="A1278" s="0" t="n">
        <v>1</v>
      </c>
      <c r="B1278" s="0" t="n">
        <v>6</v>
      </c>
      <c r="C1278" s="0" t="n">
        <v>6</v>
      </c>
      <c r="D1278" s="0" t="n">
        <v>4</v>
      </c>
      <c r="E1278" s="0" t="n">
        <f aca="false">-1+A1278*0.25</f>
        <v>-0.75</v>
      </c>
      <c r="F1278" s="0" t="n">
        <f aca="false">-1+B1278*0.25</f>
        <v>0.5</v>
      </c>
      <c r="G1278" s="0" t="n">
        <f aca="false">-1+C1278*0.25</f>
        <v>0.5</v>
      </c>
      <c r="H1278" s="0" t="n">
        <f aca="false">-1+D1278*0.25</f>
        <v>0</v>
      </c>
      <c r="I1278" s="0" t="n">
        <f aca="false">1</f>
        <v>1</v>
      </c>
      <c r="J1278" s="0" t="n">
        <f aca="false">E1278</f>
        <v>-0.75</v>
      </c>
      <c r="K1278" s="0" t="n">
        <f aca="false">F1278</f>
        <v>0.5</v>
      </c>
      <c r="L1278" s="0" t="n">
        <f aca="false">G1278</f>
        <v>0.5</v>
      </c>
      <c r="M1278" s="0" t="n">
        <f aca="false">H1278</f>
        <v>0</v>
      </c>
      <c r="N1278" s="0" t="n">
        <f aca="false">E1278*F1278</f>
        <v>-0.375</v>
      </c>
      <c r="O1278" s="0" t="n">
        <f aca="false">E1278*G1278</f>
        <v>-0.375</v>
      </c>
      <c r="P1278" s="0" t="n">
        <f aca="false">E1278*H1278</f>
        <v>-0</v>
      </c>
      <c r="Q1278" s="0" t="n">
        <f aca="false">F1278*G1278</f>
        <v>0.25</v>
      </c>
      <c r="R1278" s="0" t="n">
        <f aca="false">F1278*H1278</f>
        <v>0</v>
      </c>
      <c r="S1278" s="0" t="n">
        <f aca="false">G1278*H1278</f>
        <v>0</v>
      </c>
      <c r="T1278" s="0" t="n">
        <f aca="false">E1278*E1278</f>
        <v>0.5625</v>
      </c>
      <c r="U1278" s="0" t="n">
        <f aca="false">F1278*F1278</f>
        <v>0.25</v>
      </c>
      <c r="V1278" s="0" t="n">
        <f aca="false">G1278*G1278</f>
        <v>0.25</v>
      </c>
      <c r="W1278" s="0" t="n">
        <f aca="false">H1278*H1278</f>
        <v>0</v>
      </c>
      <c r="X1278" s="0" t="n">
        <f aca="false">SUMPRODUCT(I1278:W1278,_XtX!$B$96:$P$96)</f>
        <v>45.5737573099415</v>
      </c>
      <c r="Y1278" s="0" t="n">
        <f aca="false">SUMPRODUCT(MMULT(I1278:W1278,_XtX!$B$78:$P$92),I1278:W1278)</f>
        <v>0.21305052997076</v>
      </c>
      <c r="Z1278" s="0" t="n">
        <f aca="false">04_回帰ANOVA!$K$19*04_回帰ANOVA!$K$14*SQRT(1+Y1278)</f>
        <v>1.43561450835061</v>
      </c>
      <c r="AA1278" s="0" t="n">
        <f aca="false">X1278-Z1278</f>
        <v>44.1381428015909</v>
      </c>
      <c r="AB1278" s="0" t="n">
        <f aca="false">X1278+Z1278</f>
        <v>47.0093718182921</v>
      </c>
      <c r="AC1278" s="54" t="b">
        <f aca="false">AND(E1278&gt;=01_因子設定!$L$5-0.000000001,E1278&lt;=01_因子設定!$M$5+0.000000001,F1278&gt;=01_因子設定!$L$6-0.000000001,F1278&lt;=01_因子設定!$M$6+0.000000001,G1278&gt;=01_因子設定!$L$7-0.000000001,G1278&lt;=01_因子設定!$M$7+0.000000001,H1278&gt;=01_因子設定!$L$8-0.000000001,H1278&lt;=01_因子設定!$M$8+0.000000001,IF(01_因子設定!$B$20="Box-Behnken",E1278^2+F1278^2+G1278^2+H1278^2&lt;=2+0.000000001,TRUE()))</f>
        <v>1</v>
      </c>
      <c r="AD1278" s="55" t="n">
        <f aca="false">IF(AC1278,IF(01_因子設定!$B$13="最大化",AA1278-01_因子設定!$B$14,IF(01_因子設定!$B$13="最小化",01_因子設定!$B$15-AB1278,MIN(AA1278-01_因子設定!$B$14,01_因子設定!$B$15-AB1278))),-1E+030)</f>
        <v>-2.3618571984091</v>
      </c>
      <c r="AE1278" s="55" t="n">
        <f aca="false">IF(AC1278,IF(01_因子設定!$B$13="最大化",X1278,IF(01_因子設定!$B$13="最小化",-X1278,-ABS(X1278-01_因子設定!$B$16))),-1E+030)</f>
        <v>45.5737573099415</v>
      </c>
      <c r="AF1278" s="55" t="n">
        <f aca="false">AD1278+ROW()*0.000000001</f>
        <v>-2.3618559204091</v>
      </c>
      <c r="AG1278" s="55" t="n">
        <f aca="false">AE1278+ROW()*0.000000001</f>
        <v>45.5737585879415</v>
      </c>
    </row>
    <row r="1279" customFormat="false" ht="15" hidden="false" customHeight="false" outlineLevel="0" collapsed="false">
      <c r="A1279" s="0" t="n">
        <v>1</v>
      </c>
      <c r="B1279" s="0" t="n">
        <v>6</v>
      </c>
      <c r="C1279" s="0" t="n">
        <v>6</v>
      </c>
      <c r="D1279" s="0" t="n">
        <v>5</v>
      </c>
      <c r="E1279" s="0" t="n">
        <f aca="false">-1+A1279*0.25</f>
        <v>-0.75</v>
      </c>
      <c r="F1279" s="0" t="n">
        <f aca="false">-1+B1279*0.25</f>
        <v>0.5</v>
      </c>
      <c r="G1279" s="0" t="n">
        <f aca="false">-1+C1279*0.25</f>
        <v>0.5</v>
      </c>
      <c r="H1279" s="0" t="n">
        <f aca="false">-1+D1279*0.25</f>
        <v>0.25</v>
      </c>
      <c r="I1279" s="0" t="n">
        <f aca="false">1</f>
        <v>1</v>
      </c>
      <c r="J1279" s="0" t="n">
        <f aca="false">E1279</f>
        <v>-0.75</v>
      </c>
      <c r="K1279" s="0" t="n">
        <f aca="false">F1279</f>
        <v>0.5</v>
      </c>
      <c r="L1279" s="0" t="n">
        <f aca="false">G1279</f>
        <v>0.5</v>
      </c>
      <c r="M1279" s="0" t="n">
        <f aca="false">H1279</f>
        <v>0.25</v>
      </c>
      <c r="N1279" s="0" t="n">
        <f aca="false">E1279*F1279</f>
        <v>-0.375</v>
      </c>
      <c r="O1279" s="0" t="n">
        <f aca="false">E1279*G1279</f>
        <v>-0.375</v>
      </c>
      <c r="P1279" s="0" t="n">
        <f aca="false">E1279*H1279</f>
        <v>-0.1875</v>
      </c>
      <c r="Q1279" s="0" t="n">
        <f aca="false">F1279*G1279</f>
        <v>0.25</v>
      </c>
      <c r="R1279" s="0" t="n">
        <f aca="false">F1279*H1279</f>
        <v>0.125</v>
      </c>
      <c r="S1279" s="0" t="n">
        <f aca="false">G1279*H1279</f>
        <v>0.125</v>
      </c>
      <c r="T1279" s="0" t="n">
        <f aca="false">E1279*E1279</f>
        <v>0.5625</v>
      </c>
      <c r="U1279" s="0" t="n">
        <f aca="false">F1279*F1279</f>
        <v>0.25</v>
      </c>
      <c r="V1279" s="0" t="n">
        <f aca="false">G1279*G1279</f>
        <v>0.25</v>
      </c>
      <c r="W1279" s="0" t="n">
        <f aca="false">H1279*H1279</f>
        <v>0.0625</v>
      </c>
      <c r="X1279" s="0" t="n">
        <f aca="false">SUMPRODUCT(I1279:W1279,_XtX!$B$96:$P$96)</f>
        <v>45.6371801900585</v>
      </c>
      <c r="Y1279" s="0" t="n">
        <f aca="false">SUMPRODUCT(MMULT(I1279:W1279,_XtX!$B$78:$P$92),I1279:W1279)</f>
        <v>0.203746059484649</v>
      </c>
      <c r="Z1279" s="0" t="n">
        <f aca="false">04_回帰ANOVA!$K$19*04_回帰ANOVA!$K$14*SQRT(1+Y1279)</f>
        <v>1.43009810755465</v>
      </c>
      <c r="AA1279" s="0" t="n">
        <f aca="false">X1279-Z1279</f>
        <v>44.2070820825038</v>
      </c>
      <c r="AB1279" s="0" t="n">
        <f aca="false">X1279+Z1279</f>
        <v>47.0672782976131</v>
      </c>
      <c r="AC1279" s="54" t="b">
        <f aca="false">AND(E1279&gt;=01_因子設定!$L$5-0.000000001,E1279&lt;=01_因子設定!$M$5+0.000000001,F1279&gt;=01_因子設定!$L$6-0.000000001,F1279&lt;=01_因子設定!$M$6+0.000000001,G1279&gt;=01_因子設定!$L$7-0.000000001,G1279&lt;=01_因子設定!$M$7+0.000000001,H1279&gt;=01_因子設定!$L$8-0.000000001,H1279&lt;=01_因子設定!$M$8+0.000000001,IF(01_因子設定!$B$20="Box-Behnken",E1279^2+F1279^2+G1279^2+H1279^2&lt;=2+0.000000001,TRUE()))</f>
        <v>1</v>
      </c>
      <c r="AD1279" s="55" t="n">
        <f aca="false">IF(AC1279,IF(01_因子設定!$B$13="最大化",AA1279-01_因子設定!$B$14,IF(01_因子設定!$B$13="最小化",01_因子設定!$B$15-AB1279,MIN(AA1279-01_因子設定!$B$14,01_因子設定!$B$15-AB1279))),-1E+030)</f>
        <v>-2.29291791749618</v>
      </c>
      <c r="AE1279" s="55" t="n">
        <f aca="false">IF(AC1279,IF(01_因子設定!$B$13="最大化",X1279,IF(01_因子設定!$B$13="最小化",-X1279,-ABS(X1279-01_因子設定!$B$16))),-1E+030)</f>
        <v>45.6371801900585</v>
      </c>
      <c r="AF1279" s="55" t="n">
        <f aca="false">AD1279+ROW()*0.000000001</f>
        <v>-2.29291663849618</v>
      </c>
      <c r="AG1279" s="55" t="n">
        <f aca="false">AE1279+ROW()*0.000000001</f>
        <v>45.6371814690585</v>
      </c>
    </row>
    <row r="1280" customFormat="false" ht="15" hidden="false" customHeight="false" outlineLevel="0" collapsed="false">
      <c r="A1280" s="0" t="n">
        <v>1</v>
      </c>
      <c r="B1280" s="0" t="n">
        <v>6</v>
      </c>
      <c r="C1280" s="0" t="n">
        <v>6</v>
      </c>
      <c r="D1280" s="0" t="n">
        <v>6</v>
      </c>
      <c r="E1280" s="0" t="n">
        <f aca="false">-1+A1280*0.25</f>
        <v>-0.75</v>
      </c>
      <c r="F1280" s="0" t="n">
        <f aca="false">-1+B1280*0.25</f>
        <v>0.5</v>
      </c>
      <c r="G1280" s="0" t="n">
        <f aca="false">-1+C1280*0.25</f>
        <v>0.5</v>
      </c>
      <c r="H1280" s="0" t="n">
        <f aca="false">-1+D1280*0.25</f>
        <v>0.5</v>
      </c>
      <c r="I1280" s="0" t="n">
        <f aca="false">1</f>
        <v>1</v>
      </c>
      <c r="J1280" s="0" t="n">
        <f aca="false">E1280</f>
        <v>-0.75</v>
      </c>
      <c r="K1280" s="0" t="n">
        <f aca="false">F1280</f>
        <v>0.5</v>
      </c>
      <c r="L1280" s="0" t="n">
        <f aca="false">G1280</f>
        <v>0.5</v>
      </c>
      <c r="M1280" s="0" t="n">
        <f aca="false">H1280</f>
        <v>0.5</v>
      </c>
      <c r="N1280" s="0" t="n">
        <f aca="false">E1280*F1280</f>
        <v>-0.375</v>
      </c>
      <c r="O1280" s="0" t="n">
        <f aca="false">E1280*G1280</f>
        <v>-0.375</v>
      </c>
      <c r="P1280" s="0" t="n">
        <f aca="false">E1280*H1280</f>
        <v>-0.375</v>
      </c>
      <c r="Q1280" s="0" t="n">
        <f aca="false">F1280*G1280</f>
        <v>0.25</v>
      </c>
      <c r="R1280" s="0" t="n">
        <f aca="false">F1280*H1280</f>
        <v>0.25</v>
      </c>
      <c r="S1280" s="0" t="n">
        <f aca="false">G1280*H1280</f>
        <v>0.25</v>
      </c>
      <c r="T1280" s="0" t="n">
        <f aca="false">E1280*E1280</f>
        <v>0.5625</v>
      </c>
      <c r="U1280" s="0" t="n">
        <f aca="false">F1280*F1280</f>
        <v>0.25</v>
      </c>
      <c r="V1280" s="0" t="n">
        <f aca="false">G1280*G1280</f>
        <v>0.25</v>
      </c>
      <c r="W1280" s="0" t="n">
        <f aca="false">H1280*H1280</f>
        <v>0.25</v>
      </c>
      <c r="X1280" s="0" t="n">
        <f aca="false">SUMPRODUCT(I1280:W1280,_XtX!$B$96:$P$96)</f>
        <v>45.6527960526316</v>
      </c>
      <c r="Y1280" s="0" t="n">
        <f aca="false">SUMPRODUCT(MMULT(I1280:W1280,_XtX!$B$78:$P$92),I1280:W1280)</f>
        <v>0.193924753289474</v>
      </c>
      <c r="Z1280" s="0" t="n">
        <f aca="false">04_回帰ANOVA!$K$19*04_回帰ANOVA!$K$14*SQRT(1+Y1280)</f>
        <v>1.4242521079916</v>
      </c>
      <c r="AA1280" s="0" t="n">
        <f aca="false">X1280-Z1280</f>
        <v>44.22854394464</v>
      </c>
      <c r="AB1280" s="0" t="n">
        <f aca="false">X1280+Z1280</f>
        <v>47.0770481606232</v>
      </c>
      <c r="AC1280" s="54" t="b">
        <f aca="false">AND(E1280&gt;=01_因子設定!$L$5-0.000000001,E1280&lt;=01_因子設定!$M$5+0.000000001,F1280&gt;=01_因子設定!$L$6-0.000000001,F1280&lt;=01_因子設定!$M$6+0.000000001,G1280&gt;=01_因子設定!$L$7-0.000000001,G1280&lt;=01_因子設定!$M$7+0.000000001,H1280&gt;=01_因子設定!$L$8-0.000000001,H1280&lt;=01_因子設定!$M$8+0.000000001,IF(01_因子設定!$B$20="Box-Behnken",E1280^2+F1280^2+G1280^2+H1280^2&lt;=2+0.000000001,TRUE()))</f>
        <v>1</v>
      </c>
      <c r="AD1280" s="55" t="n">
        <f aca="false">IF(AC1280,IF(01_因子設定!$B$13="最大化",AA1280-01_因子設定!$B$14,IF(01_因子設定!$B$13="最小化",01_因子設定!$B$15-AB1280,MIN(AA1280-01_因子設定!$B$14,01_因子設定!$B$15-AB1280))),-1E+030)</f>
        <v>-2.27145605536003</v>
      </c>
      <c r="AE1280" s="55" t="n">
        <f aca="false">IF(AC1280,IF(01_因子設定!$B$13="最大化",X1280,IF(01_因子設定!$B$13="最小化",-X1280,-ABS(X1280-01_因子設定!$B$16))),-1E+030)</f>
        <v>45.6527960526316</v>
      </c>
      <c r="AF1280" s="55" t="n">
        <f aca="false">AD1280+ROW()*0.000000001</f>
        <v>-2.27145477536003</v>
      </c>
      <c r="AG1280" s="55" t="n">
        <f aca="false">AE1280+ROW()*0.000000001</f>
        <v>45.6527973326316</v>
      </c>
    </row>
    <row r="1281" customFormat="false" ht="15" hidden="false" customHeight="false" outlineLevel="0" collapsed="false">
      <c r="A1281" s="0" t="n">
        <v>1</v>
      </c>
      <c r="B1281" s="0" t="n">
        <v>6</v>
      </c>
      <c r="C1281" s="0" t="n">
        <v>6</v>
      </c>
      <c r="D1281" s="0" t="n">
        <v>7</v>
      </c>
      <c r="E1281" s="0" t="n">
        <f aca="false">-1+A1281*0.25</f>
        <v>-0.75</v>
      </c>
      <c r="F1281" s="0" t="n">
        <f aca="false">-1+B1281*0.25</f>
        <v>0.5</v>
      </c>
      <c r="G1281" s="0" t="n">
        <f aca="false">-1+C1281*0.25</f>
        <v>0.5</v>
      </c>
      <c r="H1281" s="0" t="n">
        <f aca="false">-1+D1281*0.25</f>
        <v>0.75</v>
      </c>
      <c r="I1281" s="0" t="n">
        <f aca="false">1</f>
        <v>1</v>
      </c>
      <c r="J1281" s="0" t="n">
        <f aca="false">E1281</f>
        <v>-0.75</v>
      </c>
      <c r="K1281" s="0" t="n">
        <f aca="false">F1281</f>
        <v>0.5</v>
      </c>
      <c r="L1281" s="0" t="n">
        <f aca="false">G1281</f>
        <v>0.5</v>
      </c>
      <c r="M1281" s="0" t="n">
        <f aca="false">H1281</f>
        <v>0.75</v>
      </c>
      <c r="N1281" s="0" t="n">
        <f aca="false">E1281*F1281</f>
        <v>-0.375</v>
      </c>
      <c r="O1281" s="0" t="n">
        <f aca="false">E1281*G1281</f>
        <v>-0.375</v>
      </c>
      <c r="P1281" s="0" t="n">
        <f aca="false">E1281*H1281</f>
        <v>-0.5625</v>
      </c>
      <c r="Q1281" s="0" t="n">
        <f aca="false">F1281*G1281</f>
        <v>0.25</v>
      </c>
      <c r="R1281" s="0" t="n">
        <f aca="false">F1281*H1281</f>
        <v>0.375</v>
      </c>
      <c r="S1281" s="0" t="n">
        <f aca="false">G1281*H1281</f>
        <v>0.375</v>
      </c>
      <c r="T1281" s="0" t="n">
        <f aca="false">E1281*E1281</f>
        <v>0.5625</v>
      </c>
      <c r="U1281" s="0" t="n">
        <f aca="false">F1281*F1281</f>
        <v>0.25</v>
      </c>
      <c r="V1281" s="0" t="n">
        <f aca="false">G1281*G1281</f>
        <v>0.25</v>
      </c>
      <c r="W1281" s="0" t="n">
        <f aca="false">H1281*H1281</f>
        <v>0.5625</v>
      </c>
      <c r="X1281" s="0" t="n">
        <f aca="false">SUMPRODUCT(I1281:W1281,_XtX!$B$96:$P$96)</f>
        <v>45.6206048976608</v>
      </c>
      <c r="Y1281" s="0" t="n">
        <f aca="false">SUMPRODUCT(MMULT(I1281:W1281,_XtX!$B$78:$P$92),I1281:W1281)</f>
        <v>0.237862927174708</v>
      </c>
      <c r="Z1281" s="0" t="n">
        <f aca="false">04_回帰ANOVA!$K$19*04_回帰ANOVA!$K$14*SQRT(1+Y1281)</f>
        <v>1.45022260708756</v>
      </c>
      <c r="AA1281" s="0" t="n">
        <f aca="false">X1281-Z1281</f>
        <v>44.1703822905733</v>
      </c>
      <c r="AB1281" s="0" t="n">
        <f aca="false">X1281+Z1281</f>
        <v>47.0708275047484</v>
      </c>
      <c r="AC1281" s="54" t="b">
        <f aca="false">AND(E1281&gt;=01_因子設定!$L$5-0.000000001,E1281&lt;=01_因子設定!$M$5+0.000000001,F1281&gt;=01_因子設定!$L$6-0.000000001,F1281&lt;=01_因子設定!$M$6+0.000000001,G1281&gt;=01_因子設定!$L$7-0.000000001,G1281&lt;=01_因子設定!$M$7+0.000000001,H1281&gt;=01_因子設定!$L$8-0.000000001,H1281&lt;=01_因子設定!$M$8+0.000000001,IF(01_因子設定!$B$20="Box-Behnken",E1281^2+F1281^2+G1281^2+H1281^2&lt;=2+0.000000001,TRUE()))</f>
        <v>1</v>
      </c>
      <c r="AD1281" s="55" t="n">
        <f aca="false">IF(AC1281,IF(01_因子設定!$B$13="最大化",AA1281-01_因子設定!$B$14,IF(01_因子設定!$B$13="最小化",01_因子設定!$B$15-AB1281,MIN(AA1281-01_因子設定!$B$14,01_因子設定!$B$15-AB1281))),-1E+030)</f>
        <v>-2.32961770942674</v>
      </c>
      <c r="AE1281" s="55" t="n">
        <f aca="false">IF(AC1281,IF(01_因子設定!$B$13="最大化",X1281,IF(01_因子設定!$B$13="最小化",-X1281,-ABS(X1281-01_因子設定!$B$16))),-1E+030)</f>
        <v>45.6206048976608</v>
      </c>
      <c r="AF1281" s="55" t="n">
        <f aca="false">AD1281+ROW()*0.000000001</f>
        <v>-2.32961642842674</v>
      </c>
      <c r="AG1281" s="55" t="n">
        <f aca="false">AE1281+ROW()*0.000000001</f>
        <v>45.6206061786608</v>
      </c>
    </row>
    <row r="1282" customFormat="false" ht="15" hidden="false" customHeight="false" outlineLevel="0" collapsed="false">
      <c r="A1282" s="0" t="n">
        <v>1</v>
      </c>
      <c r="B1282" s="0" t="n">
        <v>6</v>
      </c>
      <c r="C1282" s="0" t="n">
        <v>6</v>
      </c>
      <c r="D1282" s="0" t="n">
        <v>8</v>
      </c>
      <c r="E1282" s="0" t="n">
        <f aca="false">-1+A1282*0.25</f>
        <v>-0.75</v>
      </c>
      <c r="F1282" s="0" t="n">
        <f aca="false">-1+B1282*0.25</f>
        <v>0.5</v>
      </c>
      <c r="G1282" s="0" t="n">
        <f aca="false">-1+C1282*0.25</f>
        <v>0.5</v>
      </c>
      <c r="H1282" s="0" t="n">
        <f aca="false">-1+D1282*0.25</f>
        <v>1</v>
      </c>
      <c r="I1282" s="0" t="n">
        <f aca="false">1</f>
        <v>1</v>
      </c>
      <c r="J1282" s="0" t="n">
        <f aca="false">E1282</f>
        <v>-0.75</v>
      </c>
      <c r="K1282" s="0" t="n">
        <f aca="false">F1282</f>
        <v>0.5</v>
      </c>
      <c r="L1282" s="0" t="n">
        <f aca="false">G1282</f>
        <v>0.5</v>
      </c>
      <c r="M1282" s="0" t="n">
        <f aca="false">H1282</f>
        <v>1</v>
      </c>
      <c r="N1282" s="0" t="n">
        <f aca="false">E1282*F1282</f>
        <v>-0.375</v>
      </c>
      <c r="O1282" s="0" t="n">
        <f aca="false">E1282*G1282</f>
        <v>-0.375</v>
      </c>
      <c r="P1282" s="0" t="n">
        <f aca="false">E1282*H1282</f>
        <v>-0.75</v>
      </c>
      <c r="Q1282" s="0" t="n">
        <f aca="false">F1282*G1282</f>
        <v>0.25</v>
      </c>
      <c r="R1282" s="0" t="n">
        <f aca="false">F1282*H1282</f>
        <v>0.5</v>
      </c>
      <c r="S1282" s="0" t="n">
        <f aca="false">G1282*H1282</f>
        <v>0.5</v>
      </c>
      <c r="T1282" s="0" t="n">
        <f aca="false">E1282*E1282</f>
        <v>0.5625</v>
      </c>
      <c r="U1282" s="0" t="n">
        <f aca="false">F1282*F1282</f>
        <v>0.25</v>
      </c>
      <c r="V1282" s="0" t="n">
        <f aca="false">G1282*G1282</f>
        <v>0.25</v>
      </c>
      <c r="W1282" s="0" t="n">
        <f aca="false">H1282*H1282</f>
        <v>1</v>
      </c>
      <c r="X1282" s="0" t="n">
        <f aca="false">SUMPRODUCT(I1282:W1282,_XtX!$B$96:$P$96)</f>
        <v>45.5406067251462</v>
      </c>
      <c r="Y1282" s="0" t="n">
        <f aca="false">SUMPRODUCT(MMULT(I1282:W1282,_XtX!$B$78:$P$92),I1282:W1282)</f>
        <v>0.42602110745614</v>
      </c>
      <c r="Z1282" s="0" t="n">
        <f aca="false">04_回帰ANOVA!$K$19*04_回帰ANOVA!$K$14*SQRT(1+Y1282)</f>
        <v>1.55654388501114</v>
      </c>
      <c r="AA1282" s="0" t="n">
        <f aca="false">X1282-Z1282</f>
        <v>43.9840628401351</v>
      </c>
      <c r="AB1282" s="0" t="n">
        <f aca="false">X1282+Z1282</f>
        <v>47.0971506101574</v>
      </c>
      <c r="AC1282" s="54" t="b">
        <f aca="false">AND(E1282&gt;=01_因子設定!$L$5-0.000000001,E1282&lt;=01_因子設定!$M$5+0.000000001,F1282&gt;=01_因子設定!$L$6-0.000000001,F1282&lt;=01_因子設定!$M$6+0.000000001,G1282&gt;=01_因子設定!$L$7-0.000000001,G1282&lt;=01_因子設定!$M$7+0.000000001,H1282&gt;=01_因子設定!$L$8-0.000000001,H1282&lt;=01_因子設定!$M$8+0.000000001,IF(01_因子設定!$B$20="Box-Behnken",E1282^2+F1282^2+G1282^2+H1282^2&lt;=2+0.000000001,TRUE()))</f>
        <v>1</v>
      </c>
      <c r="AD1282" s="55" t="n">
        <f aca="false">IF(AC1282,IF(01_因子設定!$B$13="最大化",AA1282-01_因子設定!$B$14,IF(01_因子設定!$B$13="最小化",01_因子設定!$B$15-AB1282,MIN(AA1282-01_因子設定!$B$14,01_因子設定!$B$15-AB1282))),-1E+030)</f>
        <v>-2.51593715986492</v>
      </c>
      <c r="AE1282" s="55" t="n">
        <f aca="false">IF(AC1282,IF(01_因子設定!$B$13="最大化",X1282,IF(01_因子設定!$B$13="最小化",-X1282,-ABS(X1282-01_因子設定!$B$16))),-1E+030)</f>
        <v>45.5406067251462</v>
      </c>
      <c r="AF1282" s="55" t="n">
        <f aca="false">AD1282+ROW()*0.000000001</f>
        <v>-2.51593587786492</v>
      </c>
      <c r="AG1282" s="55" t="n">
        <f aca="false">AE1282+ROW()*0.000000001</f>
        <v>45.5406080071462</v>
      </c>
    </row>
    <row r="1283" customFormat="false" ht="15" hidden="false" customHeight="false" outlineLevel="0" collapsed="false">
      <c r="A1283" s="0" t="n">
        <v>1</v>
      </c>
      <c r="B1283" s="0" t="n">
        <v>6</v>
      </c>
      <c r="C1283" s="0" t="n">
        <v>7</v>
      </c>
      <c r="D1283" s="0" t="n">
        <v>0</v>
      </c>
      <c r="E1283" s="0" t="n">
        <f aca="false">-1+A1283*0.25</f>
        <v>-0.75</v>
      </c>
      <c r="F1283" s="0" t="n">
        <f aca="false">-1+B1283*0.25</f>
        <v>0.5</v>
      </c>
      <c r="G1283" s="0" t="n">
        <f aca="false">-1+C1283*0.25</f>
        <v>0.75</v>
      </c>
      <c r="H1283" s="0" t="n">
        <f aca="false">-1+D1283*0.25</f>
        <v>-1</v>
      </c>
      <c r="I1283" s="0" t="n">
        <f aca="false">1</f>
        <v>1</v>
      </c>
      <c r="J1283" s="0" t="n">
        <f aca="false">E1283</f>
        <v>-0.75</v>
      </c>
      <c r="K1283" s="0" t="n">
        <f aca="false">F1283</f>
        <v>0.5</v>
      </c>
      <c r="L1283" s="0" t="n">
        <f aca="false">G1283</f>
        <v>0.75</v>
      </c>
      <c r="M1283" s="0" t="n">
        <f aca="false">H1283</f>
        <v>-1</v>
      </c>
      <c r="N1283" s="0" t="n">
        <f aca="false">E1283*F1283</f>
        <v>-0.375</v>
      </c>
      <c r="O1283" s="0" t="n">
        <f aca="false">E1283*G1283</f>
        <v>-0.5625</v>
      </c>
      <c r="P1283" s="0" t="n">
        <f aca="false">E1283*H1283</f>
        <v>0.75</v>
      </c>
      <c r="Q1283" s="0" t="n">
        <f aca="false">F1283*G1283</f>
        <v>0.375</v>
      </c>
      <c r="R1283" s="0" t="n">
        <f aca="false">F1283*H1283</f>
        <v>-0.5</v>
      </c>
      <c r="S1283" s="0" t="n">
        <f aca="false">G1283*H1283</f>
        <v>-0.75</v>
      </c>
      <c r="T1283" s="0" t="n">
        <f aca="false">E1283*E1283</f>
        <v>0.5625</v>
      </c>
      <c r="U1283" s="0" t="n">
        <f aca="false">F1283*F1283</f>
        <v>0.25</v>
      </c>
      <c r="V1283" s="0" t="n">
        <f aca="false">G1283*G1283</f>
        <v>0.5625</v>
      </c>
      <c r="W1283" s="0" t="n">
        <f aca="false">H1283*H1283</f>
        <v>1</v>
      </c>
      <c r="X1283" s="0" t="n">
        <f aca="false">SUMPRODUCT(I1283:W1283,_XtX!$B$96:$P$96)</f>
        <v>44.9636239035088</v>
      </c>
      <c r="Y1283" s="0" t="n">
        <f aca="false">SUMPRODUCT(MMULT(I1283:W1283,_XtX!$B$78:$P$92),I1283:W1283)</f>
        <v>0.431153771472953</v>
      </c>
      <c r="Z1283" s="0" t="n">
        <f aca="false">04_回帰ANOVA!$K$19*04_回帰ANOVA!$K$14*SQRT(1+Y1283)</f>
        <v>1.55934259562563</v>
      </c>
      <c r="AA1283" s="0" t="n">
        <f aca="false">X1283-Z1283</f>
        <v>43.4042813078832</v>
      </c>
      <c r="AB1283" s="0" t="n">
        <f aca="false">X1283+Z1283</f>
        <v>46.5229664991344</v>
      </c>
      <c r="AC1283" s="54" t="b">
        <f aca="false">AND(E1283&gt;=01_因子設定!$L$5-0.000000001,E1283&lt;=01_因子設定!$M$5+0.000000001,F1283&gt;=01_因子設定!$L$6-0.000000001,F1283&lt;=01_因子設定!$M$6+0.000000001,G1283&gt;=01_因子設定!$L$7-0.000000001,G1283&lt;=01_因子設定!$M$7+0.000000001,H1283&gt;=01_因子設定!$L$8-0.000000001,H1283&lt;=01_因子設定!$M$8+0.000000001,IF(01_因子設定!$B$20="Box-Behnken",E1283^2+F1283^2+G1283^2+H1283^2&lt;=2+0.000000001,TRUE()))</f>
        <v>1</v>
      </c>
      <c r="AD1283" s="55" t="n">
        <f aca="false">IF(AC1283,IF(01_因子設定!$B$13="最大化",AA1283-01_因子設定!$B$14,IF(01_因子設定!$B$13="最小化",01_因子設定!$B$15-AB1283,MIN(AA1283-01_因子設定!$B$14,01_因子設定!$B$15-AB1283))),-1E+030)</f>
        <v>-3.09571869211683</v>
      </c>
      <c r="AE1283" s="55" t="n">
        <f aca="false">IF(AC1283,IF(01_因子設定!$B$13="最大化",X1283,IF(01_因子設定!$B$13="最小化",-X1283,-ABS(X1283-01_因子設定!$B$16))),-1E+030)</f>
        <v>44.9636239035088</v>
      </c>
      <c r="AF1283" s="55" t="n">
        <f aca="false">AD1283+ROW()*0.000000001</f>
        <v>-3.09571740911683</v>
      </c>
      <c r="AG1283" s="55" t="n">
        <f aca="false">AE1283+ROW()*0.000000001</f>
        <v>44.9636251865088</v>
      </c>
    </row>
    <row r="1284" customFormat="false" ht="15" hidden="false" customHeight="false" outlineLevel="0" collapsed="false">
      <c r="A1284" s="0" t="n">
        <v>1</v>
      </c>
      <c r="B1284" s="0" t="n">
        <v>6</v>
      </c>
      <c r="C1284" s="0" t="n">
        <v>7</v>
      </c>
      <c r="D1284" s="0" t="n">
        <v>1</v>
      </c>
      <c r="E1284" s="0" t="n">
        <f aca="false">-1+A1284*0.25</f>
        <v>-0.75</v>
      </c>
      <c r="F1284" s="0" t="n">
        <f aca="false">-1+B1284*0.25</f>
        <v>0.5</v>
      </c>
      <c r="G1284" s="0" t="n">
        <f aca="false">-1+C1284*0.25</f>
        <v>0.75</v>
      </c>
      <c r="H1284" s="0" t="n">
        <f aca="false">-1+D1284*0.25</f>
        <v>-0.75</v>
      </c>
      <c r="I1284" s="0" t="n">
        <f aca="false">1</f>
        <v>1</v>
      </c>
      <c r="J1284" s="0" t="n">
        <f aca="false">E1284</f>
        <v>-0.75</v>
      </c>
      <c r="K1284" s="0" t="n">
        <f aca="false">F1284</f>
        <v>0.5</v>
      </c>
      <c r="L1284" s="0" t="n">
        <f aca="false">G1284</f>
        <v>0.75</v>
      </c>
      <c r="M1284" s="0" t="n">
        <f aca="false">H1284</f>
        <v>-0.75</v>
      </c>
      <c r="N1284" s="0" t="n">
        <f aca="false">E1284*F1284</f>
        <v>-0.375</v>
      </c>
      <c r="O1284" s="0" t="n">
        <f aca="false">E1284*G1284</f>
        <v>-0.5625</v>
      </c>
      <c r="P1284" s="0" t="n">
        <f aca="false">E1284*H1284</f>
        <v>0.5625</v>
      </c>
      <c r="Q1284" s="0" t="n">
        <f aca="false">F1284*G1284</f>
        <v>0.375</v>
      </c>
      <c r="R1284" s="0" t="n">
        <f aca="false">F1284*H1284</f>
        <v>-0.375</v>
      </c>
      <c r="S1284" s="0" t="n">
        <f aca="false">G1284*H1284</f>
        <v>-0.5625</v>
      </c>
      <c r="T1284" s="0" t="n">
        <f aca="false">E1284*E1284</f>
        <v>0.5625</v>
      </c>
      <c r="U1284" s="0" t="n">
        <f aca="false">F1284*F1284</f>
        <v>0.25</v>
      </c>
      <c r="V1284" s="0" t="n">
        <f aca="false">G1284*G1284</f>
        <v>0.5625</v>
      </c>
      <c r="W1284" s="0" t="n">
        <f aca="false">H1284*H1284</f>
        <v>0.5625</v>
      </c>
      <c r="X1284" s="0" t="n">
        <f aca="false">SUMPRODUCT(I1284:W1284,_XtX!$B$96:$P$96)</f>
        <v>45.2362436038012</v>
      </c>
      <c r="Y1284" s="0" t="n">
        <f aca="false">SUMPRODUCT(MMULT(I1284:W1284,_XtX!$B$78:$P$92),I1284:W1284)</f>
        <v>0.265632138614766</v>
      </c>
      <c r="Z1284" s="0" t="n">
        <f aca="false">04_回帰ANOVA!$K$19*04_回帰ANOVA!$K$14*SQRT(1+Y1284)</f>
        <v>1.46639894654257</v>
      </c>
      <c r="AA1284" s="0" t="n">
        <f aca="false">X1284-Z1284</f>
        <v>43.7698446572586</v>
      </c>
      <c r="AB1284" s="0" t="n">
        <f aca="false">X1284+Z1284</f>
        <v>46.7026425503438</v>
      </c>
      <c r="AC1284" s="54" t="b">
        <f aca="false">AND(E1284&gt;=01_因子設定!$L$5-0.000000001,E1284&lt;=01_因子設定!$M$5+0.000000001,F1284&gt;=01_因子設定!$L$6-0.000000001,F1284&lt;=01_因子設定!$M$6+0.000000001,G1284&gt;=01_因子設定!$L$7-0.000000001,G1284&lt;=01_因子設定!$M$7+0.000000001,H1284&gt;=01_因子設定!$L$8-0.000000001,H1284&lt;=01_因子設定!$M$8+0.000000001,IF(01_因子設定!$B$20="Box-Behnken",E1284^2+F1284^2+G1284^2+H1284^2&lt;=2+0.000000001,TRUE()))</f>
        <v>1</v>
      </c>
      <c r="AD1284" s="55" t="n">
        <f aca="false">IF(AC1284,IF(01_因子設定!$B$13="最大化",AA1284-01_因子設定!$B$14,IF(01_因子設定!$B$13="最小化",01_因子設定!$B$15-AB1284,MIN(AA1284-01_因子設定!$B$14,01_因子設定!$B$15-AB1284))),-1E+030)</f>
        <v>-2.7301553427414</v>
      </c>
      <c r="AE1284" s="55" t="n">
        <f aca="false">IF(AC1284,IF(01_因子設定!$B$13="最大化",X1284,IF(01_因子設定!$B$13="最小化",-X1284,-ABS(X1284-01_因子設定!$B$16))),-1E+030)</f>
        <v>45.2362436038012</v>
      </c>
      <c r="AF1284" s="55" t="n">
        <f aca="false">AD1284+ROW()*0.000000001</f>
        <v>-2.7301540587414</v>
      </c>
      <c r="AG1284" s="55" t="n">
        <f aca="false">AE1284+ROW()*0.000000001</f>
        <v>45.2362448878012</v>
      </c>
    </row>
    <row r="1285" customFormat="false" ht="15" hidden="false" customHeight="false" outlineLevel="0" collapsed="false">
      <c r="A1285" s="0" t="n">
        <v>1</v>
      </c>
      <c r="B1285" s="0" t="n">
        <v>6</v>
      </c>
      <c r="C1285" s="0" t="n">
        <v>7</v>
      </c>
      <c r="D1285" s="0" t="n">
        <v>2</v>
      </c>
      <c r="E1285" s="0" t="n">
        <f aca="false">-1+A1285*0.25</f>
        <v>-0.75</v>
      </c>
      <c r="F1285" s="0" t="n">
        <f aca="false">-1+B1285*0.25</f>
        <v>0.5</v>
      </c>
      <c r="G1285" s="0" t="n">
        <f aca="false">-1+C1285*0.25</f>
        <v>0.75</v>
      </c>
      <c r="H1285" s="0" t="n">
        <f aca="false">-1+D1285*0.25</f>
        <v>-0.5</v>
      </c>
      <c r="I1285" s="0" t="n">
        <f aca="false">1</f>
        <v>1</v>
      </c>
      <c r="J1285" s="0" t="n">
        <f aca="false">E1285</f>
        <v>-0.75</v>
      </c>
      <c r="K1285" s="0" t="n">
        <f aca="false">F1285</f>
        <v>0.5</v>
      </c>
      <c r="L1285" s="0" t="n">
        <f aca="false">G1285</f>
        <v>0.75</v>
      </c>
      <c r="M1285" s="0" t="n">
        <f aca="false">H1285</f>
        <v>-0.5</v>
      </c>
      <c r="N1285" s="0" t="n">
        <f aca="false">E1285*F1285</f>
        <v>-0.375</v>
      </c>
      <c r="O1285" s="0" t="n">
        <f aca="false">E1285*G1285</f>
        <v>-0.5625</v>
      </c>
      <c r="P1285" s="0" t="n">
        <f aca="false">E1285*H1285</f>
        <v>0.375</v>
      </c>
      <c r="Q1285" s="0" t="n">
        <f aca="false">F1285*G1285</f>
        <v>0.375</v>
      </c>
      <c r="R1285" s="0" t="n">
        <f aca="false">F1285*H1285</f>
        <v>-0.25</v>
      </c>
      <c r="S1285" s="0" t="n">
        <f aca="false">G1285*H1285</f>
        <v>-0.375</v>
      </c>
      <c r="T1285" s="0" t="n">
        <f aca="false">E1285*E1285</f>
        <v>0.5625</v>
      </c>
      <c r="U1285" s="0" t="n">
        <f aca="false">F1285*F1285</f>
        <v>0.25</v>
      </c>
      <c r="V1285" s="0" t="n">
        <f aca="false">G1285*G1285</f>
        <v>0.5625</v>
      </c>
      <c r="W1285" s="0" t="n">
        <f aca="false">H1285*H1285</f>
        <v>0.25</v>
      </c>
      <c r="X1285" s="0" t="n">
        <f aca="false">SUMPRODUCT(I1285:W1285,_XtX!$B$96:$P$96)</f>
        <v>45.4610562865497</v>
      </c>
      <c r="Y1285" s="0" t="n">
        <f aca="false">SUMPRODUCT(MMULT(I1285:W1285,_XtX!$B$78:$P$92),I1285:W1285)</f>
        <v>0.237862927174708</v>
      </c>
      <c r="Z1285" s="0" t="n">
        <f aca="false">04_回帰ANOVA!$K$19*04_回帰ANOVA!$K$14*SQRT(1+Y1285)</f>
        <v>1.45022260708756</v>
      </c>
      <c r="AA1285" s="0" t="n">
        <f aca="false">X1285-Z1285</f>
        <v>44.0108336794621</v>
      </c>
      <c r="AB1285" s="0" t="n">
        <f aca="false">X1285+Z1285</f>
        <v>46.9112788936373</v>
      </c>
      <c r="AC1285" s="54" t="b">
        <f aca="false">AND(E1285&gt;=01_因子設定!$L$5-0.000000001,E1285&lt;=01_因子設定!$M$5+0.000000001,F1285&gt;=01_因子設定!$L$6-0.000000001,F1285&lt;=01_因子設定!$M$6+0.000000001,G1285&gt;=01_因子設定!$L$7-0.000000001,G1285&lt;=01_因子設定!$M$7+0.000000001,H1285&gt;=01_因子設定!$L$8-0.000000001,H1285&lt;=01_因子設定!$M$8+0.000000001,IF(01_因子設定!$B$20="Box-Behnken",E1285^2+F1285^2+G1285^2+H1285^2&lt;=2+0.000000001,TRUE()))</f>
        <v>1</v>
      </c>
      <c r="AD1285" s="55" t="n">
        <f aca="false">IF(AC1285,IF(01_因子設定!$B$13="最大化",AA1285-01_因子設定!$B$14,IF(01_因子設定!$B$13="最小化",01_因子設定!$B$15-AB1285,MIN(AA1285-01_因子設定!$B$14,01_因子設定!$B$15-AB1285))),-1E+030)</f>
        <v>-2.48916632053786</v>
      </c>
      <c r="AE1285" s="55" t="n">
        <f aca="false">IF(AC1285,IF(01_因子設定!$B$13="最大化",X1285,IF(01_因子設定!$B$13="最小化",-X1285,-ABS(X1285-01_因子設定!$B$16))),-1E+030)</f>
        <v>45.4610562865497</v>
      </c>
      <c r="AF1285" s="55" t="n">
        <f aca="false">AD1285+ROW()*0.000000001</f>
        <v>-2.48916503553785</v>
      </c>
      <c r="AG1285" s="55" t="n">
        <f aca="false">AE1285+ROW()*0.000000001</f>
        <v>45.4610575715497</v>
      </c>
    </row>
    <row r="1286" customFormat="false" ht="15" hidden="false" customHeight="false" outlineLevel="0" collapsed="false">
      <c r="A1286" s="0" t="n">
        <v>1</v>
      </c>
      <c r="B1286" s="0" t="n">
        <v>6</v>
      </c>
      <c r="C1286" s="0" t="n">
        <v>7</v>
      </c>
      <c r="D1286" s="0" t="n">
        <v>3</v>
      </c>
      <c r="E1286" s="0" t="n">
        <f aca="false">-1+A1286*0.25</f>
        <v>-0.75</v>
      </c>
      <c r="F1286" s="0" t="n">
        <f aca="false">-1+B1286*0.25</f>
        <v>0.5</v>
      </c>
      <c r="G1286" s="0" t="n">
        <f aca="false">-1+C1286*0.25</f>
        <v>0.75</v>
      </c>
      <c r="H1286" s="0" t="n">
        <f aca="false">-1+D1286*0.25</f>
        <v>-0.25</v>
      </c>
      <c r="I1286" s="0" t="n">
        <f aca="false">1</f>
        <v>1</v>
      </c>
      <c r="J1286" s="0" t="n">
        <f aca="false">E1286</f>
        <v>-0.75</v>
      </c>
      <c r="K1286" s="0" t="n">
        <f aca="false">F1286</f>
        <v>0.5</v>
      </c>
      <c r="L1286" s="0" t="n">
        <f aca="false">G1286</f>
        <v>0.75</v>
      </c>
      <c r="M1286" s="0" t="n">
        <f aca="false">H1286</f>
        <v>-0.25</v>
      </c>
      <c r="N1286" s="0" t="n">
        <f aca="false">E1286*F1286</f>
        <v>-0.375</v>
      </c>
      <c r="O1286" s="0" t="n">
        <f aca="false">E1286*G1286</f>
        <v>-0.5625</v>
      </c>
      <c r="P1286" s="0" t="n">
        <f aca="false">E1286*H1286</f>
        <v>0.1875</v>
      </c>
      <c r="Q1286" s="0" t="n">
        <f aca="false">F1286*G1286</f>
        <v>0.375</v>
      </c>
      <c r="R1286" s="0" t="n">
        <f aca="false">F1286*H1286</f>
        <v>-0.125</v>
      </c>
      <c r="S1286" s="0" t="n">
        <f aca="false">G1286*H1286</f>
        <v>-0.1875</v>
      </c>
      <c r="T1286" s="0" t="n">
        <f aca="false">E1286*E1286</f>
        <v>0.5625</v>
      </c>
      <c r="U1286" s="0" t="n">
        <f aca="false">F1286*F1286</f>
        <v>0.25</v>
      </c>
      <c r="V1286" s="0" t="n">
        <f aca="false">G1286*G1286</f>
        <v>0.5625</v>
      </c>
      <c r="W1286" s="0" t="n">
        <f aca="false">H1286*H1286</f>
        <v>0.0625</v>
      </c>
      <c r="X1286" s="0" t="n">
        <f aca="false">SUMPRODUCT(I1286:W1286,_XtX!$B$96:$P$96)</f>
        <v>45.6380619517544</v>
      </c>
      <c r="Y1286" s="0" t="n">
        <f aca="false">SUMPRODUCT(MMULT(I1286:W1286,_XtX!$B$78:$P$92),I1286:W1286)</f>
        <v>0.257385610836988</v>
      </c>
      <c r="Z1286" s="0" t="n">
        <f aca="false">04_回帰ANOVA!$K$19*04_回帰ANOVA!$K$14*SQRT(1+Y1286)</f>
        <v>1.46161380324158</v>
      </c>
      <c r="AA1286" s="0" t="n">
        <f aca="false">X1286-Z1286</f>
        <v>44.1764481485128</v>
      </c>
      <c r="AB1286" s="0" t="n">
        <f aca="false">X1286+Z1286</f>
        <v>47.099675754996</v>
      </c>
      <c r="AC1286" s="54" t="b">
        <f aca="false">AND(E1286&gt;=01_因子設定!$L$5-0.000000001,E1286&lt;=01_因子設定!$M$5+0.000000001,F1286&gt;=01_因子設定!$L$6-0.000000001,F1286&lt;=01_因子設定!$M$6+0.000000001,G1286&gt;=01_因子設定!$L$7-0.000000001,G1286&lt;=01_因子設定!$M$7+0.000000001,H1286&gt;=01_因子設定!$L$8-0.000000001,H1286&lt;=01_因子設定!$M$8+0.000000001,IF(01_因子設定!$B$20="Box-Behnken",E1286^2+F1286^2+G1286^2+H1286^2&lt;=2+0.000000001,TRUE()))</f>
        <v>1</v>
      </c>
      <c r="AD1286" s="55" t="n">
        <f aca="false">IF(AC1286,IF(01_因子設定!$B$13="最大化",AA1286-01_因子設定!$B$14,IF(01_因子設定!$B$13="最小化",01_因子設定!$B$15-AB1286,MIN(AA1286-01_因子設定!$B$14,01_因子設定!$B$15-AB1286))),-1E+030)</f>
        <v>-2.32355185148721</v>
      </c>
      <c r="AE1286" s="55" t="n">
        <f aca="false">IF(AC1286,IF(01_因子設定!$B$13="最大化",X1286,IF(01_因子設定!$B$13="最小化",-X1286,-ABS(X1286-01_因子設定!$B$16))),-1E+030)</f>
        <v>45.6380619517544</v>
      </c>
      <c r="AF1286" s="55" t="n">
        <f aca="false">AD1286+ROW()*0.000000001</f>
        <v>-2.32355056548721</v>
      </c>
      <c r="AG1286" s="55" t="n">
        <f aca="false">AE1286+ROW()*0.000000001</f>
        <v>45.6380632377544</v>
      </c>
    </row>
    <row r="1287" customFormat="false" ht="15" hidden="false" customHeight="false" outlineLevel="0" collapsed="false">
      <c r="A1287" s="0" t="n">
        <v>1</v>
      </c>
      <c r="B1287" s="0" t="n">
        <v>6</v>
      </c>
      <c r="C1287" s="0" t="n">
        <v>7</v>
      </c>
      <c r="D1287" s="0" t="n">
        <v>4</v>
      </c>
      <c r="E1287" s="0" t="n">
        <f aca="false">-1+A1287*0.25</f>
        <v>-0.75</v>
      </c>
      <c r="F1287" s="0" t="n">
        <f aca="false">-1+B1287*0.25</f>
        <v>0.5</v>
      </c>
      <c r="G1287" s="0" t="n">
        <f aca="false">-1+C1287*0.25</f>
        <v>0.75</v>
      </c>
      <c r="H1287" s="0" t="n">
        <f aca="false">-1+D1287*0.25</f>
        <v>0</v>
      </c>
      <c r="I1287" s="0" t="n">
        <f aca="false">1</f>
        <v>1</v>
      </c>
      <c r="J1287" s="0" t="n">
        <f aca="false">E1287</f>
        <v>-0.75</v>
      </c>
      <c r="K1287" s="0" t="n">
        <f aca="false">F1287</f>
        <v>0.5</v>
      </c>
      <c r="L1287" s="0" t="n">
        <f aca="false">G1287</f>
        <v>0.75</v>
      </c>
      <c r="M1287" s="0" t="n">
        <f aca="false">H1287</f>
        <v>0</v>
      </c>
      <c r="N1287" s="0" t="n">
        <f aca="false">E1287*F1287</f>
        <v>-0.375</v>
      </c>
      <c r="O1287" s="0" t="n">
        <f aca="false">E1287*G1287</f>
        <v>-0.5625</v>
      </c>
      <c r="P1287" s="0" t="n">
        <f aca="false">E1287*H1287</f>
        <v>-0</v>
      </c>
      <c r="Q1287" s="0" t="n">
        <f aca="false">F1287*G1287</f>
        <v>0.375</v>
      </c>
      <c r="R1287" s="0" t="n">
        <f aca="false">F1287*H1287</f>
        <v>0</v>
      </c>
      <c r="S1287" s="0" t="n">
        <f aca="false">G1287*H1287</f>
        <v>0</v>
      </c>
      <c r="T1287" s="0" t="n">
        <f aca="false">E1287*E1287</f>
        <v>0.5625</v>
      </c>
      <c r="U1287" s="0" t="n">
        <f aca="false">F1287*F1287</f>
        <v>0.25</v>
      </c>
      <c r="V1287" s="0" t="n">
        <f aca="false">G1287*G1287</f>
        <v>0.5625</v>
      </c>
      <c r="W1287" s="0" t="n">
        <f aca="false">H1287*H1287</f>
        <v>0</v>
      </c>
      <c r="X1287" s="0" t="n">
        <f aca="false">SUMPRODUCT(I1287:W1287,_XtX!$B$96:$P$96)</f>
        <v>45.7672605994152</v>
      </c>
      <c r="Y1287" s="0" t="n">
        <f aca="false">SUMPRODUCT(MMULT(I1287:W1287,_XtX!$B$78:$P$92),I1287:W1287)</f>
        <v>0.269923873812135</v>
      </c>
      <c r="Z1287" s="0" t="n">
        <f aca="false">04_回帰ANOVA!$K$19*04_回帰ANOVA!$K$14*SQRT(1+Y1287)</f>
        <v>1.46888310825501</v>
      </c>
      <c r="AA1287" s="0" t="n">
        <f aca="false">X1287-Z1287</f>
        <v>44.2983774911602</v>
      </c>
      <c r="AB1287" s="0" t="n">
        <f aca="false">X1287+Z1287</f>
        <v>47.2361437076702</v>
      </c>
      <c r="AC1287" s="54" t="b">
        <f aca="false">AND(E1287&gt;=01_因子設定!$L$5-0.000000001,E1287&lt;=01_因子設定!$M$5+0.000000001,F1287&gt;=01_因子設定!$L$6-0.000000001,F1287&lt;=01_因子設定!$M$6+0.000000001,G1287&gt;=01_因子設定!$L$7-0.000000001,G1287&lt;=01_因子設定!$M$7+0.000000001,H1287&gt;=01_因子設定!$L$8-0.000000001,H1287&lt;=01_因子設定!$M$8+0.000000001,IF(01_因子設定!$B$20="Box-Behnken",E1287^2+F1287^2+G1287^2+H1287^2&lt;=2+0.000000001,TRUE()))</f>
        <v>1</v>
      </c>
      <c r="AD1287" s="55" t="n">
        <f aca="false">IF(AC1287,IF(01_因子設定!$B$13="最大化",AA1287-01_因子設定!$B$14,IF(01_因子設定!$B$13="最小化",01_因子設定!$B$15-AB1287,MIN(AA1287-01_因子設定!$B$14,01_因子設定!$B$15-AB1287))),-1E+030)</f>
        <v>-2.20162250883981</v>
      </c>
      <c r="AE1287" s="55" t="n">
        <f aca="false">IF(AC1287,IF(01_因子設定!$B$13="最大化",X1287,IF(01_因子設定!$B$13="最小化",-X1287,-ABS(X1287-01_因子設定!$B$16))),-1E+030)</f>
        <v>45.7672605994152</v>
      </c>
      <c r="AF1287" s="55" t="n">
        <f aca="false">AD1287+ROW()*0.000000001</f>
        <v>-2.20162122183981</v>
      </c>
      <c r="AG1287" s="55" t="n">
        <f aca="false">AE1287+ROW()*0.000000001</f>
        <v>45.7672618864152</v>
      </c>
    </row>
    <row r="1288" customFormat="false" ht="15" hidden="false" customHeight="false" outlineLevel="0" collapsed="false">
      <c r="A1288" s="0" t="n">
        <v>1</v>
      </c>
      <c r="B1288" s="0" t="n">
        <v>6</v>
      </c>
      <c r="C1288" s="0" t="n">
        <v>7</v>
      </c>
      <c r="D1288" s="0" t="n">
        <v>5</v>
      </c>
      <c r="E1288" s="0" t="n">
        <f aca="false">-1+A1288*0.25</f>
        <v>-0.75</v>
      </c>
      <c r="F1288" s="0" t="n">
        <f aca="false">-1+B1288*0.25</f>
        <v>0.5</v>
      </c>
      <c r="G1288" s="0" t="n">
        <f aca="false">-1+C1288*0.25</f>
        <v>0.75</v>
      </c>
      <c r="H1288" s="0" t="n">
        <f aca="false">-1+D1288*0.25</f>
        <v>0.25</v>
      </c>
      <c r="I1288" s="0" t="n">
        <f aca="false">1</f>
        <v>1</v>
      </c>
      <c r="J1288" s="0" t="n">
        <f aca="false">E1288</f>
        <v>-0.75</v>
      </c>
      <c r="K1288" s="0" t="n">
        <f aca="false">F1288</f>
        <v>0.5</v>
      </c>
      <c r="L1288" s="0" t="n">
        <f aca="false">G1288</f>
        <v>0.75</v>
      </c>
      <c r="M1288" s="0" t="n">
        <f aca="false">H1288</f>
        <v>0.25</v>
      </c>
      <c r="N1288" s="0" t="n">
        <f aca="false">E1288*F1288</f>
        <v>-0.375</v>
      </c>
      <c r="O1288" s="0" t="n">
        <f aca="false">E1288*G1288</f>
        <v>-0.5625</v>
      </c>
      <c r="P1288" s="0" t="n">
        <f aca="false">E1288*H1288</f>
        <v>-0.1875</v>
      </c>
      <c r="Q1288" s="0" t="n">
        <f aca="false">F1288*G1288</f>
        <v>0.375</v>
      </c>
      <c r="R1288" s="0" t="n">
        <f aca="false">F1288*H1288</f>
        <v>0.125</v>
      </c>
      <c r="S1288" s="0" t="n">
        <f aca="false">G1288*H1288</f>
        <v>0.1875</v>
      </c>
      <c r="T1288" s="0" t="n">
        <f aca="false">E1288*E1288</f>
        <v>0.5625</v>
      </c>
      <c r="U1288" s="0" t="n">
        <f aca="false">F1288*F1288</f>
        <v>0.25</v>
      </c>
      <c r="V1288" s="0" t="n">
        <f aca="false">G1288*G1288</f>
        <v>0.5625</v>
      </c>
      <c r="W1288" s="0" t="n">
        <f aca="false">H1288*H1288</f>
        <v>0.0625</v>
      </c>
      <c r="X1288" s="0" t="n">
        <f aca="false">SUMPRODUCT(I1288:W1288,_XtX!$B$96:$P$96)</f>
        <v>45.8486522295322</v>
      </c>
      <c r="Y1288" s="0" t="n">
        <f aca="false">SUMPRODUCT(MMULT(I1288:W1288,_XtX!$B$78:$P$92),I1288:W1288)</f>
        <v>0.257385610836988</v>
      </c>
      <c r="Z1288" s="0" t="n">
        <f aca="false">04_回帰ANOVA!$K$19*04_回帰ANOVA!$K$14*SQRT(1+Y1288)</f>
        <v>1.46161380324158</v>
      </c>
      <c r="AA1288" s="0" t="n">
        <f aca="false">X1288-Z1288</f>
        <v>44.3870384262906</v>
      </c>
      <c r="AB1288" s="0" t="n">
        <f aca="false">X1288+Z1288</f>
        <v>47.3102660327737</v>
      </c>
      <c r="AC1288" s="54" t="b">
        <f aca="false">AND(E1288&gt;=01_因子設定!$L$5-0.000000001,E1288&lt;=01_因子設定!$M$5+0.000000001,F1288&gt;=01_因子設定!$L$6-0.000000001,F1288&lt;=01_因子設定!$M$6+0.000000001,G1288&gt;=01_因子設定!$L$7-0.000000001,G1288&lt;=01_因子設定!$M$7+0.000000001,H1288&gt;=01_因子設定!$L$8-0.000000001,H1288&lt;=01_因子設定!$M$8+0.000000001,IF(01_因子設定!$B$20="Box-Behnken",E1288^2+F1288^2+G1288^2+H1288^2&lt;=2+0.000000001,TRUE()))</f>
        <v>1</v>
      </c>
      <c r="AD1288" s="55" t="n">
        <f aca="false">IF(AC1288,IF(01_因子設定!$B$13="最大化",AA1288-01_因子設定!$B$14,IF(01_因子設定!$B$13="最小化",01_因子設定!$B$15-AB1288,MIN(AA1288-01_因子設定!$B$14,01_因子設定!$B$15-AB1288))),-1E+030)</f>
        <v>-2.11296157370943</v>
      </c>
      <c r="AE1288" s="55" t="n">
        <f aca="false">IF(AC1288,IF(01_因子設定!$B$13="最大化",X1288,IF(01_因子設定!$B$13="最小化",-X1288,-ABS(X1288-01_因子設定!$B$16))),-1E+030)</f>
        <v>45.8486522295322</v>
      </c>
      <c r="AF1288" s="55" t="n">
        <f aca="false">AD1288+ROW()*0.000000001</f>
        <v>-2.11296028570943</v>
      </c>
      <c r="AG1288" s="55" t="n">
        <f aca="false">AE1288+ROW()*0.000000001</f>
        <v>45.8486535175322</v>
      </c>
    </row>
    <row r="1289" customFormat="false" ht="15" hidden="false" customHeight="false" outlineLevel="0" collapsed="false">
      <c r="A1289" s="0" t="n">
        <v>1</v>
      </c>
      <c r="B1289" s="0" t="n">
        <v>6</v>
      </c>
      <c r="C1289" s="0" t="n">
        <v>7</v>
      </c>
      <c r="D1289" s="0" t="n">
        <v>6</v>
      </c>
      <c r="E1289" s="0" t="n">
        <f aca="false">-1+A1289*0.25</f>
        <v>-0.75</v>
      </c>
      <c r="F1289" s="0" t="n">
        <f aca="false">-1+B1289*0.25</f>
        <v>0.5</v>
      </c>
      <c r="G1289" s="0" t="n">
        <f aca="false">-1+C1289*0.25</f>
        <v>0.75</v>
      </c>
      <c r="H1289" s="0" t="n">
        <f aca="false">-1+D1289*0.25</f>
        <v>0.5</v>
      </c>
      <c r="I1289" s="0" t="n">
        <f aca="false">1</f>
        <v>1</v>
      </c>
      <c r="J1289" s="0" t="n">
        <f aca="false">E1289</f>
        <v>-0.75</v>
      </c>
      <c r="K1289" s="0" t="n">
        <f aca="false">F1289</f>
        <v>0.5</v>
      </c>
      <c r="L1289" s="0" t="n">
        <f aca="false">G1289</f>
        <v>0.75</v>
      </c>
      <c r="M1289" s="0" t="n">
        <f aca="false">H1289</f>
        <v>0.5</v>
      </c>
      <c r="N1289" s="0" t="n">
        <f aca="false">E1289*F1289</f>
        <v>-0.375</v>
      </c>
      <c r="O1289" s="0" t="n">
        <f aca="false">E1289*G1289</f>
        <v>-0.5625</v>
      </c>
      <c r="P1289" s="0" t="n">
        <f aca="false">E1289*H1289</f>
        <v>-0.375</v>
      </c>
      <c r="Q1289" s="0" t="n">
        <f aca="false">F1289*G1289</f>
        <v>0.375</v>
      </c>
      <c r="R1289" s="0" t="n">
        <f aca="false">F1289*H1289</f>
        <v>0.25</v>
      </c>
      <c r="S1289" s="0" t="n">
        <f aca="false">G1289*H1289</f>
        <v>0.375</v>
      </c>
      <c r="T1289" s="0" t="n">
        <f aca="false">E1289*E1289</f>
        <v>0.5625</v>
      </c>
      <c r="U1289" s="0" t="n">
        <f aca="false">F1289*F1289</f>
        <v>0.25</v>
      </c>
      <c r="V1289" s="0" t="n">
        <f aca="false">G1289*G1289</f>
        <v>0.5625</v>
      </c>
      <c r="W1289" s="0" t="n">
        <f aca="false">H1289*H1289</f>
        <v>0.25</v>
      </c>
      <c r="X1289" s="0" t="n">
        <f aca="false">SUMPRODUCT(I1289:W1289,_XtX!$B$96:$P$96)</f>
        <v>45.8822368421053</v>
      </c>
      <c r="Y1289" s="0" t="n">
        <f aca="false">SUMPRODUCT(MMULT(I1289:W1289,_XtX!$B$78:$P$92),I1289:W1289)</f>
        <v>0.237862927174708</v>
      </c>
      <c r="Z1289" s="0" t="n">
        <f aca="false">04_回帰ANOVA!$K$19*04_回帰ANOVA!$K$14*SQRT(1+Y1289)</f>
        <v>1.45022260708756</v>
      </c>
      <c r="AA1289" s="0" t="n">
        <f aca="false">X1289-Z1289</f>
        <v>44.4320142350177</v>
      </c>
      <c r="AB1289" s="0" t="n">
        <f aca="false">X1289+Z1289</f>
        <v>47.3324594491928</v>
      </c>
      <c r="AC1289" s="54" t="b">
        <f aca="false">AND(E1289&gt;=01_因子設定!$L$5-0.000000001,E1289&lt;=01_因子設定!$M$5+0.000000001,F1289&gt;=01_因子設定!$L$6-0.000000001,F1289&lt;=01_因子設定!$M$6+0.000000001,G1289&gt;=01_因子設定!$L$7-0.000000001,G1289&lt;=01_因子設定!$M$7+0.000000001,H1289&gt;=01_因子設定!$L$8-0.000000001,H1289&lt;=01_因子設定!$M$8+0.000000001,IF(01_因子設定!$B$20="Box-Behnken",E1289^2+F1289^2+G1289^2+H1289^2&lt;=2+0.000000001,TRUE()))</f>
        <v>1</v>
      </c>
      <c r="AD1289" s="55" t="n">
        <f aca="false">IF(AC1289,IF(01_因子設定!$B$13="最大化",AA1289-01_因子設定!$B$14,IF(01_因子設定!$B$13="最小化",01_因子設定!$B$15-AB1289,MIN(AA1289-01_因子設定!$B$14,01_因子設定!$B$15-AB1289))),-1E+030)</f>
        <v>-2.0679857649823</v>
      </c>
      <c r="AE1289" s="55" t="n">
        <f aca="false">IF(AC1289,IF(01_因子設定!$B$13="最大化",X1289,IF(01_因子設定!$B$13="最小化",-X1289,-ABS(X1289-01_因子設定!$B$16))),-1E+030)</f>
        <v>45.8822368421053</v>
      </c>
      <c r="AF1289" s="55" t="n">
        <f aca="false">AD1289+ROW()*0.000000001</f>
        <v>-2.0679844759823</v>
      </c>
      <c r="AG1289" s="55" t="n">
        <f aca="false">AE1289+ROW()*0.000000001</f>
        <v>45.8822381311053</v>
      </c>
    </row>
    <row r="1290" customFormat="false" ht="15" hidden="false" customHeight="false" outlineLevel="0" collapsed="false">
      <c r="A1290" s="0" t="n">
        <v>1</v>
      </c>
      <c r="B1290" s="0" t="n">
        <v>6</v>
      </c>
      <c r="C1290" s="0" t="n">
        <v>7</v>
      </c>
      <c r="D1290" s="0" t="n">
        <v>7</v>
      </c>
      <c r="E1290" s="0" t="n">
        <f aca="false">-1+A1290*0.25</f>
        <v>-0.75</v>
      </c>
      <c r="F1290" s="0" t="n">
        <f aca="false">-1+B1290*0.25</f>
        <v>0.5</v>
      </c>
      <c r="G1290" s="0" t="n">
        <f aca="false">-1+C1290*0.25</f>
        <v>0.75</v>
      </c>
      <c r="H1290" s="0" t="n">
        <f aca="false">-1+D1290*0.25</f>
        <v>0.75</v>
      </c>
      <c r="I1290" s="0" t="n">
        <f aca="false">1</f>
        <v>1</v>
      </c>
      <c r="J1290" s="0" t="n">
        <f aca="false">E1290</f>
        <v>-0.75</v>
      </c>
      <c r="K1290" s="0" t="n">
        <f aca="false">F1290</f>
        <v>0.5</v>
      </c>
      <c r="L1290" s="0" t="n">
        <f aca="false">G1290</f>
        <v>0.75</v>
      </c>
      <c r="M1290" s="0" t="n">
        <f aca="false">H1290</f>
        <v>0.75</v>
      </c>
      <c r="N1290" s="0" t="n">
        <f aca="false">E1290*F1290</f>
        <v>-0.375</v>
      </c>
      <c r="O1290" s="0" t="n">
        <f aca="false">E1290*G1290</f>
        <v>-0.5625</v>
      </c>
      <c r="P1290" s="0" t="n">
        <f aca="false">E1290*H1290</f>
        <v>-0.5625</v>
      </c>
      <c r="Q1290" s="0" t="n">
        <f aca="false">F1290*G1290</f>
        <v>0.375</v>
      </c>
      <c r="R1290" s="0" t="n">
        <f aca="false">F1290*H1290</f>
        <v>0.375</v>
      </c>
      <c r="S1290" s="0" t="n">
        <f aca="false">G1290*H1290</f>
        <v>0.5625</v>
      </c>
      <c r="T1290" s="0" t="n">
        <f aca="false">E1290*E1290</f>
        <v>0.5625</v>
      </c>
      <c r="U1290" s="0" t="n">
        <f aca="false">F1290*F1290</f>
        <v>0.25</v>
      </c>
      <c r="V1290" s="0" t="n">
        <f aca="false">G1290*G1290</f>
        <v>0.5625</v>
      </c>
      <c r="W1290" s="0" t="n">
        <f aca="false">H1290*H1290</f>
        <v>0.5625</v>
      </c>
      <c r="X1290" s="0" t="n">
        <f aca="false">SUMPRODUCT(I1290:W1290,_XtX!$B$96:$P$96)</f>
        <v>45.8680144371345</v>
      </c>
      <c r="Y1290" s="0" t="n">
        <f aca="false">SUMPRODUCT(MMULT(I1290:W1290,_XtX!$B$78:$P$92),I1290:W1290)</f>
        <v>0.265632138614766</v>
      </c>
      <c r="Z1290" s="0" t="n">
        <f aca="false">04_回帰ANOVA!$K$19*04_回帰ANOVA!$K$14*SQRT(1+Y1290)</f>
        <v>1.46639894654257</v>
      </c>
      <c r="AA1290" s="0" t="n">
        <f aca="false">X1290-Z1290</f>
        <v>44.4016154905919</v>
      </c>
      <c r="AB1290" s="0" t="n">
        <f aca="false">X1290+Z1290</f>
        <v>47.3344133836771</v>
      </c>
      <c r="AC1290" s="54" t="b">
        <f aca="false">AND(E1290&gt;=01_因子設定!$L$5-0.000000001,E1290&lt;=01_因子設定!$M$5+0.000000001,F1290&gt;=01_因子設定!$L$6-0.000000001,F1290&lt;=01_因子設定!$M$6+0.000000001,G1290&gt;=01_因子設定!$L$7-0.000000001,G1290&lt;=01_因子設定!$M$7+0.000000001,H1290&gt;=01_因子設定!$L$8-0.000000001,H1290&lt;=01_因子設定!$M$8+0.000000001,IF(01_因子設定!$B$20="Box-Behnken",E1290^2+F1290^2+G1290^2+H1290^2&lt;=2+0.000000001,TRUE()))</f>
        <v>1</v>
      </c>
      <c r="AD1290" s="55" t="n">
        <f aca="false">IF(AC1290,IF(01_因子設定!$B$13="最大化",AA1290-01_因子設定!$B$14,IF(01_因子設定!$B$13="最小化",01_因子設定!$B$15-AB1290,MIN(AA1290-01_因子設定!$B$14,01_因子設定!$B$15-AB1290))),-1E+030)</f>
        <v>-2.09838450940806</v>
      </c>
      <c r="AE1290" s="55" t="n">
        <f aca="false">IF(AC1290,IF(01_因子設定!$B$13="最大化",X1290,IF(01_因子設定!$B$13="最小化",-X1290,-ABS(X1290-01_因子設定!$B$16))),-1E+030)</f>
        <v>45.8680144371345</v>
      </c>
      <c r="AF1290" s="55" t="n">
        <f aca="false">AD1290+ROW()*0.000000001</f>
        <v>-2.09838321940806</v>
      </c>
      <c r="AG1290" s="55" t="n">
        <f aca="false">AE1290+ROW()*0.000000001</f>
        <v>45.8680157271345</v>
      </c>
    </row>
    <row r="1291" customFormat="false" ht="15" hidden="false" customHeight="false" outlineLevel="0" collapsed="false">
      <c r="A1291" s="0" t="n">
        <v>1</v>
      </c>
      <c r="B1291" s="0" t="n">
        <v>6</v>
      </c>
      <c r="C1291" s="0" t="n">
        <v>7</v>
      </c>
      <c r="D1291" s="0" t="n">
        <v>8</v>
      </c>
      <c r="E1291" s="0" t="n">
        <f aca="false">-1+A1291*0.25</f>
        <v>-0.75</v>
      </c>
      <c r="F1291" s="0" t="n">
        <f aca="false">-1+B1291*0.25</f>
        <v>0.5</v>
      </c>
      <c r="G1291" s="0" t="n">
        <f aca="false">-1+C1291*0.25</f>
        <v>0.75</v>
      </c>
      <c r="H1291" s="0" t="n">
        <f aca="false">-1+D1291*0.25</f>
        <v>1</v>
      </c>
      <c r="I1291" s="0" t="n">
        <f aca="false">1</f>
        <v>1</v>
      </c>
      <c r="J1291" s="0" t="n">
        <f aca="false">E1291</f>
        <v>-0.75</v>
      </c>
      <c r="K1291" s="0" t="n">
        <f aca="false">F1291</f>
        <v>0.5</v>
      </c>
      <c r="L1291" s="0" t="n">
        <f aca="false">G1291</f>
        <v>0.75</v>
      </c>
      <c r="M1291" s="0" t="n">
        <f aca="false">H1291</f>
        <v>1</v>
      </c>
      <c r="N1291" s="0" t="n">
        <f aca="false">E1291*F1291</f>
        <v>-0.375</v>
      </c>
      <c r="O1291" s="0" t="n">
        <f aca="false">E1291*G1291</f>
        <v>-0.5625</v>
      </c>
      <c r="P1291" s="0" t="n">
        <f aca="false">E1291*H1291</f>
        <v>-0.75</v>
      </c>
      <c r="Q1291" s="0" t="n">
        <f aca="false">F1291*G1291</f>
        <v>0.375</v>
      </c>
      <c r="R1291" s="0" t="n">
        <f aca="false">F1291*H1291</f>
        <v>0.5</v>
      </c>
      <c r="S1291" s="0" t="n">
        <f aca="false">G1291*H1291</f>
        <v>0.75</v>
      </c>
      <c r="T1291" s="0" t="n">
        <f aca="false">E1291*E1291</f>
        <v>0.5625</v>
      </c>
      <c r="U1291" s="0" t="n">
        <f aca="false">F1291*F1291</f>
        <v>0.25</v>
      </c>
      <c r="V1291" s="0" t="n">
        <f aca="false">G1291*G1291</f>
        <v>0.5625</v>
      </c>
      <c r="W1291" s="0" t="n">
        <f aca="false">H1291*H1291</f>
        <v>1</v>
      </c>
      <c r="X1291" s="0" t="n">
        <f aca="false">SUMPRODUCT(I1291:W1291,_XtX!$B$96:$P$96)</f>
        <v>45.8059850146199</v>
      </c>
      <c r="Y1291" s="0" t="n">
        <f aca="false">SUMPRODUCT(MMULT(I1291:W1291,_XtX!$B$78:$P$92),I1291:W1291)</f>
        <v>0.431153771472953</v>
      </c>
      <c r="Z1291" s="0" t="n">
        <f aca="false">04_回帰ANOVA!$K$19*04_回帰ANOVA!$K$14*SQRT(1+Y1291)</f>
        <v>1.55934259562563</v>
      </c>
      <c r="AA1291" s="0" t="n">
        <f aca="false">X1291-Z1291</f>
        <v>44.2466424189943</v>
      </c>
      <c r="AB1291" s="0" t="n">
        <f aca="false">X1291+Z1291</f>
        <v>47.3653276102455</v>
      </c>
      <c r="AC1291" s="54" t="b">
        <f aca="false">AND(E1291&gt;=01_因子設定!$L$5-0.000000001,E1291&lt;=01_因子設定!$M$5+0.000000001,F1291&gt;=01_因子設定!$L$6-0.000000001,F1291&lt;=01_因子設定!$M$6+0.000000001,G1291&gt;=01_因子設定!$L$7-0.000000001,G1291&lt;=01_因子設定!$M$7+0.000000001,H1291&gt;=01_因子設定!$L$8-0.000000001,H1291&lt;=01_因子設定!$M$8+0.000000001,IF(01_因子設定!$B$20="Box-Behnken",E1291^2+F1291^2+G1291^2+H1291^2&lt;=2+0.000000001,TRUE()))</f>
        <v>1</v>
      </c>
      <c r="AD1291" s="55" t="n">
        <f aca="false">IF(AC1291,IF(01_因子設定!$B$13="最大化",AA1291-01_因子設定!$B$14,IF(01_因子設定!$B$13="最小化",01_因子設定!$B$15-AB1291,MIN(AA1291-01_因子設定!$B$14,01_因子設定!$B$15-AB1291))),-1E+030)</f>
        <v>-2.25335758100572</v>
      </c>
      <c r="AE1291" s="55" t="n">
        <f aca="false">IF(AC1291,IF(01_因子設定!$B$13="最大化",X1291,IF(01_因子設定!$B$13="最小化",-X1291,-ABS(X1291-01_因子設定!$B$16))),-1E+030)</f>
        <v>45.8059850146199</v>
      </c>
      <c r="AF1291" s="55" t="n">
        <f aca="false">AD1291+ROW()*0.000000001</f>
        <v>-2.25335629000572</v>
      </c>
      <c r="AG1291" s="55" t="n">
        <f aca="false">AE1291+ROW()*0.000000001</f>
        <v>45.8059863056199</v>
      </c>
    </row>
    <row r="1292" customFormat="false" ht="15" hidden="false" customHeight="false" outlineLevel="0" collapsed="false">
      <c r="A1292" s="0" t="n">
        <v>1</v>
      </c>
      <c r="B1292" s="0" t="n">
        <v>6</v>
      </c>
      <c r="C1292" s="0" t="n">
        <v>8</v>
      </c>
      <c r="D1292" s="0" t="n">
        <v>0</v>
      </c>
      <c r="E1292" s="0" t="n">
        <f aca="false">-1+A1292*0.25</f>
        <v>-0.75</v>
      </c>
      <c r="F1292" s="0" t="n">
        <f aca="false">-1+B1292*0.25</f>
        <v>0.5</v>
      </c>
      <c r="G1292" s="0" t="n">
        <f aca="false">-1+C1292*0.25</f>
        <v>1</v>
      </c>
      <c r="H1292" s="0" t="n">
        <f aca="false">-1+D1292*0.25</f>
        <v>-1</v>
      </c>
      <c r="I1292" s="0" t="n">
        <f aca="false">1</f>
        <v>1</v>
      </c>
      <c r="J1292" s="0" t="n">
        <f aca="false">E1292</f>
        <v>-0.75</v>
      </c>
      <c r="K1292" s="0" t="n">
        <f aca="false">F1292</f>
        <v>0.5</v>
      </c>
      <c r="L1292" s="0" t="n">
        <f aca="false">G1292</f>
        <v>1</v>
      </c>
      <c r="M1292" s="0" t="n">
        <f aca="false">H1292</f>
        <v>-1</v>
      </c>
      <c r="N1292" s="0" t="n">
        <f aca="false">E1292*F1292</f>
        <v>-0.375</v>
      </c>
      <c r="O1292" s="0" t="n">
        <f aca="false">E1292*G1292</f>
        <v>-0.75</v>
      </c>
      <c r="P1292" s="0" t="n">
        <f aca="false">E1292*H1292</f>
        <v>0.75</v>
      </c>
      <c r="Q1292" s="0" t="n">
        <f aca="false">F1292*G1292</f>
        <v>0.5</v>
      </c>
      <c r="R1292" s="0" t="n">
        <f aca="false">F1292*H1292</f>
        <v>-0.5</v>
      </c>
      <c r="S1292" s="0" t="n">
        <f aca="false">G1292*H1292</f>
        <v>-1</v>
      </c>
      <c r="T1292" s="0" t="n">
        <f aca="false">E1292*E1292</f>
        <v>0.5625</v>
      </c>
      <c r="U1292" s="0" t="n">
        <f aca="false">F1292*F1292</f>
        <v>0.25</v>
      </c>
      <c r="V1292" s="0" t="n">
        <f aca="false">G1292*G1292</f>
        <v>1</v>
      </c>
      <c r="W1292" s="0" t="n">
        <f aca="false">H1292*H1292</f>
        <v>1</v>
      </c>
      <c r="X1292" s="0" t="n">
        <f aca="false">SUMPRODUCT(I1292:W1292,_XtX!$B$96:$P$96)</f>
        <v>44.9999451754386</v>
      </c>
      <c r="Y1292" s="0" t="n">
        <f aca="false">SUMPRODUCT(MMULT(I1292:W1292,_XtX!$B$78:$P$92),I1292:W1292)</f>
        <v>0.564984237938597</v>
      </c>
      <c r="Z1292" s="0" t="n">
        <f aca="false">04_回帰ANOVA!$K$19*04_回帰ANOVA!$K$14*SQRT(1+Y1292)</f>
        <v>1.63062229734503</v>
      </c>
      <c r="AA1292" s="0" t="n">
        <f aca="false">X1292-Z1292</f>
        <v>43.3693228780936</v>
      </c>
      <c r="AB1292" s="0" t="n">
        <f aca="false">X1292+Z1292</f>
        <v>46.6305674727837</v>
      </c>
      <c r="AC1292" s="54" t="b">
        <f aca="false">AND(E1292&gt;=01_因子設定!$L$5-0.000000001,E1292&lt;=01_因子設定!$M$5+0.000000001,F1292&gt;=01_因子設定!$L$6-0.000000001,F1292&lt;=01_因子設定!$M$6+0.000000001,G1292&gt;=01_因子設定!$L$7-0.000000001,G1292&lt;=01_因子設定!$M$7+0.000000001,H1292&gt;=01_因子設定!$L$8-0.000000001,H1292&lt;=01_因子設定!$M$8+0.000000001,IF(01_因子設定!$B$20="Box-Behnken",E1292^2+F1292^2+G1292^2+H1292^2&lt;=2+0.000000001,TRUE()))</f>
        <v>1</v>
      </c>
      <c r="AD1292" s="55" t="n">
        <f aca="false">IF(AC1292,IF(01_因子設定!$B$13="最大化",AA1292-01_因子設定!$B$14,IF(01_因子設定!$B$13="最小化",01_因子設定!$B$15-AB1292,MIN(AA1292-01_因子設定!$B$14,01_因子設定!$B$15-AB1292))),-1E+030)</f>
        <v>-3.13067712190641</v>
      </c>
      <c r="AE1292" s="55" t="n">
        <f aca="false">IF(AC1292,IF(01_因子設定!$B$13="最大化",X1292,IF(01_因子設定!$B$13="最小化",-X1292,-ABS(X1292-01_因子設定!$B$16))),-1E+030)</f>
        <v>44.9999451754386</v>
      </c>
      <c r="AF1292" s="55" t="n">
        <f aca="false">AD1292+ROW()*0.000000001</f>
        <v>-3.13067582990641</v>
      </c>
      <c r="AG1292" s="55" t="n">
        <f aca="false">AE1292+ROW()*0.000000001</f>
        <v>44.9999464674386</v>
      </c>
    </row>
    <row r="1293" customFormat="false" ht="15" hidden="false" customHeight="false" outlineLevel="0" collapsed="false">
      <c r="A1293" s="0" t="n">
        <v>1</v>
      </c>
      <c r="B1293" s="0" t="n">
        <v>6</v>
      </c>
      <c r="C1293" s="0" t="n">
        <v>8</v>
      </c>
      <c r="D1293" s="0" t="n">
        <v>1</v>
      </c>
      <c r="E1293" s="0" t="n">
        <f aca="false">-1+A1293*0.25</f>
        <v>-0.75</v>
      </c>
      <c r="F1293" s="0" t="n">
        <f aca="false">-1+B1293*0.25</f>
        <v>0.5</v>
      </c>
      <c r="G1293" s="0" t="n">
        <f aca="false">-1+C1293*0.25</f>
        <v>1</v>
      </c>
      <c r="H1293" s="0" t="n">
        <f aca="false">-1+D1293*0.25</f>
        <v>-0.75</v>
      </c>
      <c r="I1293" s="0" t="n">
        <f aca="false">1</f>
        <v>1</v>
      </c>
      <c r="J1293" s="0" t="n">
        <f aca="false">E1293</f>
        <v>-0.75</v>
      </c>
      <c r="K1293" s="0" t="n">
        <f aca="false">F1293</f>
        <v>0.5</v>
      </c>
      <c r="L1293" s="0" t="n">
        <f aca="false">G1293</f>
        <v>1</v>
      </c>
      <c r="M1293" s="0" t="n">
        <f aca="false">H1293</f>
        <v>-0.75</v>
      </c>
      <c r="N1293" s="0" t="n">
        <f aca="false">E1293*F1293</f>
        <v>-0.375</v>
      </c>
      <c r="O1293" s="0" t="n">
        <f aca="false">E1293*G1293</f>
        <v>-0.75</v>
      </c>
      <c r="P1293" s="0" t="n">
        <f aca="false">E1293*H1293</f>
        <v>0.5625</v>
      </c>
      <c r="Q1293" s="0" t="n">
        <f aca="false">F1293*G1293</f>
        <v>0.5</v>
      </c>
      <c r="R1293" s="0" t="n">
        <f aca="false">F1293*H1293</f>
        <v>-0.375</v>
      </c>
      <c r="S1293" s="0" t="n">
        <f aca="false">G1293*H1293</f>
        <v>-0.75</v>
      </c>
      <c r="T1293" s="0" t="n">
        <f aca="false">E1293*E1293</f>
        <v>0.5625</v>
      </c>
      <c r="U1293" s="0" t="n">
        <f aca="false">F1293*F1293</f>
        <v>0.25</v>
      </c>
      <c r="V1293" s="0" t="n">
        <f aca="false">G1293*G1293</f>
        <v>1</v>
      </c>
      <c r="W1293" s="0" t="n">
        <f aca="false">H1293*H1293</f>
        <v>0.5625</v>
      </c>
      <c r="X1293" s="0" t="n">
        <f aca="false">SUMPRODUCT(I1293:W1293,_XtX!$B$96:$P$96)</f>
        <v>45.290533625731</v>
      </c>
      <c r="Y1293" s="0" t="n">
        <f aca="false">SUMPRODUCT(MMULT(I1293:W1293,_XtX!$B$78:$P$92),I1293:W1293)</f>
        <v>0.431153771472953</v>
      </c>
      <c r="Z1293" s="0" t="n">
        <f aca="false">04_回帰ANOVA!$K$19*04_回帰ANOVA!$K$14*SQRT(1+Y1293)</f>
        <v>1.55934259562563</v>
      </c>
      <c r="AA1293" s="0" t="n">
        <f aca="false">X1293-Z1293</f>
        <v>43.7311910301054</v>
      </c>
      <c r="AB1293" s="0" t="n">
        <f aca="false">X1293+Z1293</f>
        <v>46.8498762213566</v>
      </c>
      <c r="AC1293" s="54" t="b">
        <f aca="false">AND(E1293&gt;=01_因子設定!$L$5-0.000000001,E1293&lt;=01_因子設定!$M$5+0.000000001,F1293&gt;=01_因子設定!$L$6-0.000000001,F1293&lt;=01_因子設定!$M$6+0.000000001,G1293&gt;=01_因子設定!$L$7-0.000000001,G1293&lt;=01_因子設定!$M$7+0.000000001,H1293&gt;=01_因子設定!$L$8-0.000000001,H1293&lt;=01_因子設定!$M$8+0.000000001,IF(01_因子設定!$B$20="Box-Behnken",E1293^2+F1293^2+G1293^2+H1293^2&lt;=2+0.000000001,TRUE()))</f>
        <v>1</v>
      </c>
      <c r="AD1293" s="55" t="n">
        <f aca="false">IF(AC1293,IF(01_因子設定!$B$13="最大化",AA1293-01_因子設定!$B$14,IF(01_因子設定!$B$13="最小化",01_因子設定!$B$15-AB1293,MIN(AA1293-01_因子設定!$B$14,01_因子設定!$B$15-AB1293))),-1E+030)</f>
        <v>-2.76880896989462</v>
      </c>
      <c r="AE1293" s="55" t="n">
        <f aca="false">IF(AC1293,IF(01_因子設定!$B$13="最大化",X1293,IF(01_因子設定!$B$13="最小化",-X1293,-ABS(X1293-01_因子設定!$B$16))),-1E+030)</f>
        <v>45.290533625731</v>
      </c>
      <c r="AF1293" s="55" t="n">
        <f aca="false">AD1293+ROW()*0.000000001</f>
        <v>-2.76880767689462</v>
      </c>
      <c r="AG1293" s="55" t="n">
        <f aca="false">AE1293+ROW()*0.000000001</f>
        <v>45.290534918731</v>
      </c>
    </row>
    <row r="1294" customFormat="false" ht="15" hidden="false" customHeight="false" outlineLevel="0" collapsed="false">
      <c r="A1294" s="0" t="n">
        <v>1</v>
      </c>
      <c r="B1294" s="0" t="n">
        <v>6</v>
      </c>
      <c r="C1294" s="0" t="n">
        <v>8</v>
      </c>
      <c r="D1294" s="0" t="n">
        <v>2</v>
      </c>
      <c r="E1294" s="0" t="n">
        <f aca="false">-1+A1294*0.25</f>
        <v>-0.75</v>
      </c>
      <c r="F1294" s="0" t="n">
        <f aca="false">-1+B1294*0.25</f>
        <v>0.5</v>
      </c>
      <c r="G1294" s="0" t="n">
        <f aca="false">-1+C1294*0.25</f>
        <v>1</v>
      </c>
      <c r="H1294" s="0" t="n">
        <f aca="false">-1+D1294*0.25</f>
        <v>-0.5</v>
      </c>
      <c r="I1294" s="0" t="n">
        <f aca="false">1</f>
        <v>1</v>
      </c>
      <c r="J1294" s="0" t="n">
        <f aca="false">E1294</f>
        <v>-0.75</v>
      </c>
      <c r="K1294" s="0" t="n">
        <f aca="false">F1294</f>
        <v>0.5</v>
      </c>
      <c r="L1294" s="0" t="n">
        <f aca="false">G1294</f>
        <v>1</v>
      </c>
      <c r="M1294" s="0" t="n">
        <f aca="false">H1294</f>
        <v>-0.5</v>
      </c>
      <c r="N1294" s="0" t="n">
        <f aca="false">E1294*F1294</f>
        <v>-0.375</v>
      </c>
      <c r="O1294" s="0" t="n">
        <f aca="false">E1294*G1294</f>
        <v>-0.75</v>
      </c>
      <c r="P1294" s="0" t="n">
        <f aca="false">E1294*H1294</f>
        <v>0.375</v>
      </c>
      <c r="Q1294" s="0" t="n">
        <f aca="false">F1294*G1294</f>
        <v>0.5</v>
      </c>
      <c r="R1294" s="0" t="n">
        <f aca="false">F1294*H1294</f>
        <v>-0.25</v>
      </c>
      <c r="S1294" s="0" t="n">
        <f aca="false">G1294*H1294</f>
        <v>-0.5</v>
      </c>
      <c r="T1294" s="0" t="n">
        <f aca="false">E1294*E1294</f>
        <v>0.5625</v>
      </c>
      <c r="U1294" s="0" t="n">
        <f aca="false">F1294*F1294</f>
        <v>0.25</v>
      </c>
      <c r="V1294" s="0" t="n">
        <f aca="false">G1294*G1294</f>
        <v>1</v>
      </c>
      <c r="W1294" s="0" t="n">
        <f aca="false">H1294*H1294</f>
        <v>0.25</v>
      </c>
      <c r="X1294" s="0" t="n">
        <f aca="false">SUMPRODUCT(I1294:W1294,_XtX!$B$96:$P$96)</f>
        <v>45.5333150584795</v>
      </c>
      <c r="Y1294" s="0" t="n">
        <f aca="false">SUMPRODUCT(MMULT(I1294:W1294,_XtX!$B$78:$P$92),I1294:W1294)</f>
        <v>0.42602110745614</v>
      </c>
      <c r="Z1294" s="0" t="n">
        <f aca="false">04_回帰ANOVA!$K$19*04_回帰ANOVA!$K$14*SQRT(1+Y1294)</f>
        <v>1.55654388501114</v>
      </c>
      <c r="AA1294" s="0" t="n">
        <f aca="false">X1294-Z1294</f>
        <v>43.9767711734684</v>
      </c>
      <c r="AB1294" s="0" t="n">
        <f aca="false">X1294+Z1294</f>
        <v>47.0898589434907</v>
      </c>
      <c r="AC1294" s="54" t="b">
        <f aca="false">AND(E1294&gt;=01_因子設定!$L$5-0.000000001,E1294&lt;=01_因子設定!$M$5+0.000000001,F1294&gt;=01_因子設定!$L$6-0.000000001,F1294&lt;=01_因子設定!$M$6+0.000000001,G1294&gt;=01_因子設定!$L$7-0.000000001,G1294&lt;=01_因子設定!$M$7+0.000000001,H1294&gt;=01_因子設定!$L$8-0.000000001,H1294&lt;=01_因子設定!$M$8+0.000000001,IF(01_因子設定!$B$20="Box-Behnken",E1294^2+F1294^2+G1294^2+H1294^2&lt;=2+0.000000001,TRUE()))</f>
        <v>1</v>
      </c>
      <c r="AD1294" s="55" t="n">
        <f aca="false">IF(AC1294,IF(01_因子設定!$B$13="最大化",AA1294-01_因子設定!$B$14,IF(01_因子設定!$B$13="最小化",01_因子設定!$B$15-AB1294,MIN(AA1294-01_因子設定!$B$14,01_因子設定!$B$15-AB1294))),-1E+030)</f>
        <v>-2.52322882653161</v>
      </c>
      <c r="AE1294" s="55" t="n">
        <f aca="false">IF(AC1294,IF(01_因子設定!$B$13="最大化",X1294,IF(01_因子設定!$B$13="最小化",-X1294,-ABS(X1294-01_因子設定!$B$16))),-1E+030)</f>
        <v>45.5333150584795</v>
      </c>
      <c r="AF1294" s="55" t="n">
        <f aca="false">AD1294+ROW()*0.000000001</f>
        <v>-2.52322753253161</v>
      </c>
      <c r="AG1294" s="55" t="n">
        <f aca="false">AE1294+ROW()*0.000000001</f>
        <v>45.5333163524795</v>
      </c>
    </row>
    <row r="1295" customFormat="false" ht="15" hidden="false" customHeight="false" outlineLevel="0" collapsed="false">
      <c r="A1295" s="0" t="n">
        <v>1</v>
      </c>
      <c r="B1295" s="0" t="n">
        <v>6</v>
      </c>
      <c r="C1295" s="0" t="n">
        <v>8</v>
      </c>
      <c r="D1295" s="0" t="n">
        <v>3</v>
      </c>
      <c r="E1295" s="0" t="n">
        <f aca="false">-1+A1295*0.25</f>
        <v>-0.75</v>
      </c>
      <c r="F1295" s="0" t="n">
        <f aca="false">-1+B1295*0.25</f>
        <v>0.5</v>
      </c>
      <c r="G1295" s="0" t="n">
        <f aca="false">-1+C1295*0.25</f>
        <v>1</v>
      </c>
      <c r="H1295" s="0" t="n">
        <f aca="false">-1+D1295*0.25</f>
        <v>-0.25</v>
      </c>
      <c r="I1295" s="0" t="n">
        <f aca="false">1</f>
        <v>1</v>
      </c>
      <c r="J1295" s="0" t="n">
        <f aca="false">E1295</f>
        <v>-0.75</v>
      </c>
      <c r="K1295" s="0" t="n">
        <f aca="false">F1295</f>
        <v>0.5</v>
      </c>
      <c r="L1295" s="0" t="n">
        <f aca="false">G1295</f>
        <v>1</v>
      </c>
      <c r="M1295" s="0" t="n">
        <f aca="false">H1295</f>
        <v>-0.25</v>
      </c>
      <c r="N1295" s="0" t="n">
        <f aca="false">E1295*F1295</f>
        <v>-0.375</v>
      </c>
      <c r="O1295" s="0" t="n">
        <f aca="false">E1295*G1295</f>
        <v>-0.75</v>
      </c>
      <c r="P1295" s="0" t="n">
        <f aca="false">E1295*H1295</f>
        <v>0.1875</v>
      </c>
      <c r="Q1295" s="0" t="n">
        <f aca="false">F1295*G1295</f>
        <v>0.5</v>
      </c>
      <c r="R1295" s="0" t="n">
        <f aca="false">F1295*H1295</f>
        <v>-0.125</v>
      </c>
      <c r="S1295" s="0" t="n">
        <f aca="false">G1295*H1295</f>
        <v>-0.25</v>
      </c>
      <c r="T1295" s="0" t="n">
        <f aca="false">E1295*E1295</f>
        <v>0.5625</v>
      </c>
      <c r="U1295" s="0" t="n">
        <f aca="false">F1295*F1295</f>
        <v>0.25</v>
      </c>
      <c r="V1295" s="0" t="n">
        <f aca="false">G1295*G1295</f>
        <v>1</v>
      </c>
      <c r="W1295" s="0" t="n">
        <f aca="false">H1295*H1295</f>
        <v>0.0625</v>
      </c>
      <c r="X1295" s="0" t="n">
        <f aca="false">SUMPRODUCT(I1295:W1295,_XtX!$B$96:$P$96)</f>
        <v>45.7282894736842</v>
      </c>
      <c r="Y1295" s="0" t="n">
        <f aca="false">SUMPRODUCT(MMULT(I1295:W1295,_XtX!$B$78:$P$92),I1295:W1295)</f>
        <v>0.459125719572369</v>
      </c>
      <c r="Z1295" s="0" t="n">
        <f aca="false">04_回帰ANOVA!$K$19*04_回帰ANOVA!$K$14*SQRT(1+Y1295)</f>
        <v>1.57450755575573</v>
      </c>
      <c r="AA1295" s="0" t="n">
        <f aca="false">X1295-Z1295</f>
        <v>44.1537819179285</v>
      </c>
      <c r="AB1295" s="0" t="n">
        <f aca="false">X1295+Z1295</f>
        <v>47.3027970294399</v>
      </c>
      <c r="AC1295" s="54" t="b">
        <f aca="false">AND(E1295&gt;=01_因子設定!$L$5-0.000000001,E1295&lt;=01_因子設定!$M$5+0.000000001,F1295&gt;=01_因子設定!$L$6-0.000000001,F1295&lt;=01_因子設定!$M$6+0.000000001,G1295&gt;=01_因子設定!$L$7-0.000000001,G1295&lt;=01_因子設定!$M$7+0.000000001,H1295&gt;=01_因子設定!$L$8-0.000000001,H1295&lt;=01_因子設定!$M$8+0.000000001,IF(01_因子設定!$B$20="Box-Behnken",E1295^2+F1295^2+G1295^2+H1295^2&lt;=2+0.000000001,TRUE()))</f>
        <v>1</v>
      </c>
      <c r="AD1295" s="55" t="n">
        <f aca="false">IF(AC1295,IF(01_因子設定!$B$13="最大化",AA1295-01_因子設定!$B$14,IF(01_因子設定!$B$13="最小化",01_因子設定!$B$15-AB1295,MIN(AA1295-01_因子設定!$B$14,01_因子設定!$B$15-AB1295))),-1E+030)</f>
        <v>-2.34621808207152</v>
      </c>
      <c r="AE1295" s="55" t="n">
        <f aca="false">IF(AC1295,IF(01_因子設定!$B$13="最大化",X1295,IF(01_因子設定!$B$13="最小化",-X1295,-ABS(X1295-01_因子設定!$B$16))),-1E+030)</f>
        <v>45.7282894736842</v>
      </c>
      <c r="AF1295" s="55" t="n">
        <f aca="false">AD1295+ROW()*0.000000001</f>
        <v>-2.34621678707152</v>
      </c>
      <c r="AG1295" s="55" t="n">
        <f aca="false">AE1295+ROW()*0.000000001</f>
        <v>45.7282907686842</v>
      </c>
    </row>
    <row r="1296" customFormat="false" ht="15" hidden="false" customHeight="false" outlineLevel="0" collapsed="false">
      <c r="A1296" s="0" t="n">
        <v>1</v>
      </c>
      <c r="B1296" s="0" t="n">
        <v>6</v>
      </c>
      <c r="C1296" s="0" t="n">
        <v>8</v>
      </c>
      <c r="D1296" s="0" t="n">
        <v>4</v>
      </c>
      <c r="E1296" s="0" t="n">
        <f aca="false">-1+A1296*0.25</f>
        <v>-0.75</v>
      </c>
      <c r="F1296" s="0" t="n">
        <f aca="false">-1+B1296*0.25</f>
        <v>0.5</v>
      </c>
      <c r="G1296" s="0" t="n">
        <f aca="false">-1+C1296*0.25</f>
        <v>1</v>
      </c>
      <c r="H1296" s="0" t="n">
        <f aca="false">-1+D1296*0.25</f>
        <v>0</v>
      </c>
      <c r="I1296" s="0" t="n">
        <f aca="false">1</f>
        <v>1</v>
      </c>
      <c r="J1296" s="0" t="n">
        <f aca="false">E1296</f>
        <v>-0.75</v>
      </c>
      <c r="K1296" s="0" t="n">
        <f aca="false">F1296</f>
        <v>0.5</v>
      </c>
      <c r="L1296" s="0" t="n">
        <f aca="false">G1296</f>
        <v>1</v>
      </c>
      <c r="M1296" s="0" t="n">
        <f aca="false">H1296</f>
        <v>0</v>
      </c>
      <c r="N1296" s="0" t="n">
        <f aca="false">E1296*F1296</f>
        <v>-0.375</v>
      </c>
      <c r="O1296" s="0" t="n">
        <f aca="false">E1296*G1296</f>
        <v>-0.75</v>
      </c>
      <c r="P1296" s="0" t="n">
        <f aca="false">E1296*H1296</f>
        <v>-0</v>
      </c>
      <c r="Q1296" s="0" t="n">
        <f aca="false">F1296*G1296</f>
        <v>0.5</v>
      </c>
      <c r="R1296" s="0" t="n">
        <f aca="false">F1296*H1296</f>
        <v>0</v>
      </c>
      <c r="S1296" s="0" t="n">
        <f aca="false">G1296*H1296</f>
        <v>0</v>
      </c>
      <c r="T1296" s="0" t="n">
        <f aca="false">E1296*E1296</f>
        <v>0.5625</v>
      </c>
      <c r="U1296" s="0" t="n">
        <f aca="false">F1296*F1296</f>
        <v>0.25</v>
      </c>
      <c r="V1296" s="0" t="n">
        <f aca="false">G1296*G1296</f>
        <v>1</v>
      </c>
      <c r="W1296" s="0" t="n">
        <f aca="false">H1296*H1296</f>
        <v>0</v>
      </c>
      <c r="X1296" s="0" t="n">
        <f aca="false">SUMPRODUCT(I1296:W1296,_XtX!$B$96:$P$96)</f>
        <v>45.875456871345</v>
      </c>
      <c r="Y1296" s="0" t="n">
        <f aca="false">SUMPRODUCT(MMULT(I1296:W1296,_XtX!$B$78:$P$92),I1296:W1296)</f>
        <v>0.476191292032164</v>
      </c>
      <c r="Z1296" s="0" t="n">
        <f aca="false">04_回帰ANOVA!$K$19*04_回帰ANOVA!$K$14*SQRT(1+Y1296)</f>
        <v>1.58368831471718</v>
      </c>
      <c r="AA1296" s="0" t="n">
        <f aca="false">X1296-Z1296</f>
        <v>44.2917685566278</v>
      </c>
      <c r="AB1296" s="0" t="n">
        <f aca="false">X1296+Z1296</f>
        <v>47.4591451860622</v>
      </c>
      <c r="AC1296" s="54" t="b">
        <f aca="false">AND(E1296&gt;=01_因子設定!$L$5-0.000000001,E1296&lt;=01_因子設定!$M$5+0.000000001,F1296&gt;=01_因子設定!$L$6-0.000000001,F1296&lt;=01_因子設定!$M$6+0.000000001,G1296&gt;=01_因子設定!$L$7-0.000000001,G1296&lt;=01_因子設定!$M$7+0.000000001,H1296&gt;=01_因子設定!$L$8-0.000000001,H1296&lt;=01_因子設定!$M$8+0.000000001,IF(01_因子設定!$B$20="Box-Behnken",E1296^2+F1296^2+G1296^2+H1296^2&lt;=2+0.000000001,TRUE()))</f>
        <v>1</v>
      </c>
      <c r="AD1296" s="55" t="n">
        <f aca="false">IF(AC1296,IF(01_因子設定!$B$13="最大化",AA1296-01_因子設定!$B$14,IF(01_因子設定!$B$13="最小化",01_因子設定!$B$15-AB1296,MIN(AA1296-01_因子設定!$B$14,01_因子設定!$B$15-AB1296))),-1E+030)</f>
        <v>-2.20823144337216</v>
      </c>
      <c r="AE1296" s="55" t="n">
        <f aca="false">IF(AC1296,IF(01_因子設定!$B$13="最大化",X1296,IF(01_因子設定!$B$13="最小化",-X1296,-ABS(X1296-01_因子設定!$B$16))),-1E+030)</f>
        <v>45.875456871345</v>
      </c>
      <c r="AF1296" s="55" t="n">
        <f aca="false">AD1296+ROW()*0.000000001</f>
        <v>-2.20823014737216</v>
      </c>
      <c r="AG1296" s="55" t="n">
        <f aca="false">AE1296+ROW()*0.000000001</f>
        <v>45.875458167345</v>
      </c>
    </row>
    <row r="1297" customFormat="false" ht="15" hidden="false" customHeight="false" outlineLevel="0" collapsed="false">
      <c r="A1297" s="0" t="n">
        <v>1</v>
      </c>
      <c r="B1297" s="0" t="n">
        <v>6</v>
      </c>
      <c r="C1297" s="0" t="n">
        <v>8</v>
      </c>
      <c r="D1297" s="0" t="n">
        <v>5</v>
      </c>
      <c r="E1297" s="0" t="n">
        <f aca="false">-1+A1297*0.25</f>
        <v>-0.75</v>
      </c>
      <c r="F1297" s="0" t="n">
        <f aca="false">-1+B1297*0.25</f>
        <v>0.5</v>
      </c>
      <c r="G1297" s="0" t="n">
        <f aca="false">-1+C1297*0.25</f>
        <v>1</v>
      </c>
      <c r="H1297" s="0" t="n">
        <f aca="false">-1+D1297*0.25</f>
        <v>0.25</v>
      </c>
      <c r="I1297" s="0" t="n">
        <f aca="false">1</f>
        <v>1</v>
      </c>
      <c r="J1297" s="0" t="n">
        <f aca="false">E1297</f>
        <v>-0.75</v>
      </c>
      <c r="K1297" s="0" t="n">
        <f aca="false">F1297</f>
        <v>0.5</v>
      </c>
      <c r="L1297" s="0" t="n">
        <f aca="false">G1297</f>
        <v>1</v>
      </c>
      <c r="M1297" s="0" t="n">
        <f aca="false">H1297</f>
        <v>0.25</v>
      </c>
      <c r="N1297" s="0" t="n">
        <f aca="false">E1297*F1297</f>
        <v>-0.375</v>
      </c>
      <c r="O1297" s="0" t="n">
        <f aca="false">E1297*G1297</f>
        <v>-0.75</v>
      </c>
      <c r="P1297" s="0" t="n">
        <f aca="false">E1297*H1297</f>
        <v>-0.1875</v>
      </c>
      <c r="Q1297" s="0" t="n">
        <f aca="false">F1297*G1297</f>
        <v>0.5</v>
      </c>
      <c r="R1297" s="0" t="n">
        <f aca="false">F1297*H1297</f>
        <v>0.125</v>
      </c>
      <c r="S1297" s="0" t="n">
        <f aca="false">G1297*H1297</f>
        <v>0.25</v>
      </c>
      <c r="T1297" s="0" t="n">
        <f aca="false">E1297*E1297</f>
        <v>0.5625</v>
      </c>
      <c r="U1297" s="0" t="n">
        <f aca="false">F1297*F1297</f>
        <v>0.25</v>
      </c>
      <c r="V1297" s="0" t="n">
        <f aca="false">G1297*G1297</f>
        <v>1</v>
      </c>
      <c r="W1297" s="0" t="n">
        <f aca="false">H1297*H1297</f>
        <v>0.0625</v>
      </c>
      <c r="X1297" s="0" t="n">
        <f aca="false">SUMPRODUCT(I1297:W1297,_XtX!$B$96:$P$96)</f>
        <v>45.974817251462</v>
      </c>
      <c r="Y1297" s="0" t="n">
        <f aca="false">SUMPRODUCT(MMULT(I1297:W1297,_XtX!$B$78:$P$92),I1297:W1297)</f>
        <v>0.459125719572369</v>
      </c>
      <c r="Z1297" s="0" t="n">
        <f aca="false">04_回帰ANOVA!$K$19*04_回帰ANOVA!$K$14*SQRT(1+Y1297)</f>
        <v>1.57450755575573</v>
      </c>
      <c r="AA1297" s="0" t="n">
        <f aca="false">X1297-Z1297</f>
        <v>44.4003096957063</v>
      </c>
      <c r="AB1297" s="0" t="n">
        <f aca="false">X1297+Z1297</f>
        <v>47.5493248072177</v>
      </c>
      <c r="AC1297" s="54" t="b">
        <f aca="false">AND(E1297&gt;=01_因子設定!$L$5-0.000000001,E1297&lt;=01_因子設定!$M$5+0.000000001,F1297&gt;=01_因子設定!$L$6-0.000000001,F1297&lt;=01_因子設定!$M$6+0.000000001,G1297&gt;=01_因子設定!$L$7-0.000000001,G1297&lt;=01_因子設定!$M$7+0.000000001,H1297&gt;=01_因子設定!$L$8-0.000000001,H1297&lt;=01_因子設定!$M$8+0.000000001,IF(01_因子設定!$B$20="Box-Behnken",E1297^2+F1297^2+G1297^2+H1297^2&lt;=2+0.000000001,TRUE()))</f>
        <v>1</v>
      </c>
      <c r="AD1297" s="55" t="n">
        <f aca="false">IF(AC1297,IF(01_因子設定!$B$13="最大化",AA1297-01_因子設定!$B$14,IF(01_因子設定!$B$13="最小化",01_因子設定!$B$15-AB1297,MIN(AA1297-01_因子設定!$B$14,01_因子設定!$B$15-AB1297))),-1E+030)</f>
        <v>-2.09969030429375</v>
      </c>
      <c r="AE1297" s="55" t="n">
        <f aca="false">IF(AC1297,IF(01_因子設定!$B$13="最大化",X1297,IF(01_因子設定!$B$13="最小化",-X1297,-ABS(X1297-01_因子設定!$B$16))),-1E+030)</f>
        <v>45.974817251462</v>
      </c>
      <c r="AF1297" s="55" t="n">
        <f aca="false">AD1297+ROW()*0.000000001</f>
        <v>-2.09968900729375</v>
      </c>
      <c r="AG1297" s="55" t="n">
        <f aca="false">AE1297+ROW()*0.000000001</f>
        <v>45.974818548462</v>
      </c>
    </row>
    <row r="1298" customFormat="false" ht="15" hidden="false" customHeight="false" outlineLevel="0" collapsed="false">
      <c r="A1298" s="0" t="n">
        <v>1</v>
      </c>
      <c r="B1298" s="0" t="n">
        <v>6</v>
      </c>
      <c r="C1298" s="0" t="n">
        <v>8</v>
      </c>
      <c r="D1298" s="0" t="n">
        <v>6</v>
      </c>
      <c r="E1298" s="0" t="n">
        <f aca="false">-1+A1298*0.25</f>
        <v>-0.75</v>
      </c>
      <c r="F1298" s="0" t="n">
        <f aca="false">-1+B1298*0.25</f>
        <v>0.5</v>
      </c>
      <c r="G1298" s="0" t="n">
        <f aca="false">-1+C1298*0.25</f>
        <v>1</v>
      </c>
      <c r="H1298" s="0" t="n">
        <f aca="false">-1+D1298*0.25</f>
        <v>0.5</v>
      </c>
      <c r="I1298" s="0" t="n">
        <f aca="false">1</f>
        <v>1</v>
      </c>
      <c r="J1298" s="0" t="n">
        <f aca="false">E1298</f>
        <v>-0.75</v>
      </c>
      <c r="K1298" s="0" t="n">
        <f aca="false">F1298</f>
        <v>0.5</v>
      </c>
      <c r="L1298" s="0" t="n">
        <f aca="false">G1298</f>
        <v>1</v>
      </c>
      <c r="M1298" s="0" t="n">
        <f aca="false">H1298</f>
        <v>0.5</v>
      </c>
      <c r="N1298" s="0" t="n">
        <f aca="false">E1298*F1298</f>
        <v>-0.375</v>
      </c>
      <c r="O1298" s="0" t="n">
        <f aca="false">E1298*G1298</f>
        <v>-0.75</v>
      </c>
      <c r="P1298" s="0" t="n">
        <f aca="false">E1298*H1298</f>
        <v>-0.375</v>
      </c>
      <c r="Q1298" s="0" t="n">
        <f aca="false">F1298*G1298</f>
        <v>0.5</v>
      </c>
      <c r="R1298" s="0" t="n">
        <f aca="false">F1298*H1298</f>
        <v>0.25</v>
      </c>
      <c r="S1298" s="0" t="n">
        <f aca="false">G1298*H1298</f>
        <v>0.5</v>
      </c>
      <c r="T1298" s="0" t="n">
        <f aca="false">E1298*E1298</f>
        <v>0.5625</v>
      </c>
      <c r="U1298" s="0" t="n">
        <f aca="false">F1298*F1298</f>
        <v>0.25</v>
      </c>
      <c r="V1298" s="0" t="n">
        <f aca="false">G1298*G1298</f>
        <v>1</v>
      </c>
      <c r="W1298" s="0" t="n">
        <f aca="false">H1298*H1298</f>
        <v>0.25</v>
      </c>
      <c r="X1298" s="0" t="n">
        <f aca="false">SUMPRODUCT(I1298:W1298,_XtX!$B$96:$P$96)</f>
        <v>46.0263706140351</v>
      </c>
      <c r="Y1298" s="0" t="n">
        <f aca="false">SUMPRODUCT(MMULT(I1298:W1298,_XtX!$B$78:$P$92),I1298:W1298)</f>
        <v>0.42602110745614</v>
      </c>
      <c r="Z1298" s="0" t="n">
        <f aca="false">04_回帰ANOVA!$K$19*04_回帰ANOVA!$K$14*SQRT(1+Y1298)</f>
        <v>1.55654388501114</v>
      </c>
      <c r="AA1298" s="0" t="n">
        <f aca="false">X1298-Z1298</f>
        <v>44.469826729024</v>
      </c>
      <c r="AB1298" s="0" t="n">
        <f aca="false">X1298+Z1298</f>
        <v>47.5829144990462</v>
      </c>
      <c r="AC1298" s="54" t="b">
        <f aca="false">AND(E1298&gt;=01_因子設定!$L$5-0.000000001,E1298&lt;=01_因子設定!$M$5+0.000000001,F1298&gt;=01_因子設定!$L$6-0.000000001,F1298&lt;=01_因子設定!$M$6+0.000000001,G1298&gt;=01_因子設定!$L$7-0.000000001,G1298&lt;=01_因子設定!$M$7+0.000000001,H1298&gt;=01_因子設定!$L$8-0.000000001,H1298&lt;=01_因子設定!$M$8+0.000000001,IF(01_因子設定!$B$20="Box-Behnken",E1298^2+F1298^2+G1298^2+H1298^2&lt;=2+0.000000001,TRUE()))</f>
        <v>1</v>
      </c>
      <c r="AD1298" s="55" t="n">
        <f aca="false">IF(AC1298,IF(01_因子設定!$B$13="最大化",AA1298-01_因子設定!$B$14,IF(01_因子設定!$B$13="最小化",01_因子設定!$B$15-AB1298,MIN(AA1298-01_因子設定!$B$14,01_因子設定!$B$15-AB1298))),-1E+030)</f>
        <v>-2.03017327097605</v>
      </c>
      <c r="AE1298" s="55" t="n">
        <f aca="false">IF(AC1298,IF(01_因子設定!$B$13="最大化",X1298,IF(01_因子設定!$B$13="最小化",-X1298,-ABS(X1298-01_因子設定!$B$16))),-1E+030)</f>
        <v>46.0263706140351</v>
      </c>
      <c r="AF1298" s="55" t="n">
        <f aca="false">AD1298+ROW()*0.000000001</f>
        <v>-2.03017197297605</v>
      </c>
      <c r="AG1298" s="55" t="n">
        <f aca="false">AE1298+ROW()*0.000000001</f>
        <v>46.0263719120351</v>
      </c>
    </row>
    <row r="1299" customFormat="false" ht="15" hidden="false" customHeight="false" outlineLevel="0" collapsed="false">
      <c r="A1299" s="0" t="n">
        <v>1</v>
      </c>
      <c r="B1299" s="0" t="n">
        <v>6</v>
      </c>
      <c r="C1299" s="0" t="n">
        <v>8</v>
      </c>
      <c r="D1299" s="0" t="n">
        <v>7</v>
      </c>
      <c r="E1299" s="0" t="n">
        <f aca="false">-1+A1299*0.25</f>
        <v>-0.75</v>
      </c>
      <c r="F1299" s="0" t="n">
        <f aca="false">-1+B1299*0.25</f>
        <v>0.5</v>
      </c>
      <c r="G1299" s="0" t="n">
        <f aca="false">-1+C1299*0.25</f>
        <v>1</v>
      </c>
      <c r="H1299" s="0" t="n">
        <f aca="false">-1+D1299*0.25</f>
        <v>0.75</v>
      </c>
      <c r="I1299" s="0" t="n">
        <f aca="false">1</f>
        <v>1</v>
      </c>
      <c r="J1299" s="0" t="n">
        <f aca="false">E1299</f>
        <v>-0.75</v>
      </c>
      <c r="K1299" s="0" t="n">
        <f aca="false">F1299</f>
        <v>0.5</v>
      </c>
      <c r="L1299" s="0" t="n">
        <f aca="false">G1299</f>
        <v>1</v>
      </c>
      <c r="M1299" s="0" t="n">
        <f aca="false">H1299</f>
        <v>0.75</v>
      </c>
      <c r="N1299" s="0" t="n">
        <f aca="false">E1299*F1299</f>
        <v>-0.375</v>
      </c>
      <c r="O1299" s="0" t="n">
        <f aca="false">E1299*G1299</f>
        <v>-0.75</v>
      </c>
      <c r="P1299" s="0" t="n">
        <f aca="false">E1299*H1299</f>
        <v>-0.5625</v>
      </c>
      <c r="Q1299" s="0" t="n">
        <f aca="false">F1299*G1299</f>
        <v>0.5</v>
      </c>
      <c r="R1299" s="0" t="n">
        <f aca="false">F1299*H1299</f>
        <v>0.375</v>
      </c>
      <c r="S1299" s="0" t="n">
        <f aca="false">G1299*H1299</f>
        <v>0.75</v>
      </c>
      <c r="T1299" s="0" t="n">
        <f aca="false">E1299*E1299</f>
        <v>0.5625</v>
      </c>
      <c r="U1299" s="0" t="n">
        <f aca="false">F1299*F1299</f>
        <v>0.25</v>
      </c>
      <c r="V1299" s="0" t="n">
        <f aca="false">G1299*G1299</f>
        <v>1</v>
      </c>
      <c r="W1299" s="0" t="n">
        <f aca="false">H1299*H1299</f>
        <v>0.5625</v>
      </c>
      <c r="X1299" s="0" t="n">
        <f aca="false">SUMPRODUCT(I1299:W1299,_XtX!$B$96:$P$96)</f>
        <v>46.0301169590643</v>
      </c>
      <c r="Y1299" s="0" t="n">
        <f aca="false">SUMPRODUCT(MMULT(I1299:W1299,_XtX!$B$78:$P$92),I1299:W1299)</f>
        <v>0.431153771472953</v>
      </c>
      <c r="Z1299" s="0" t="n">
        <f aca="false">04_回帰ANOVA!$K$19*04_回帰ANOVA!$K$14*SQRT(1+Y1299)</f>
        <v>1.55934259562563</v>
      </c>
      <c r="AA1299" s="0" t="n">
        <f aca="false">X1299-Z1299</f>
        <v>44.4707743634387</v>
      </c>
      <c r="AB1299" s="0" t="n">
        <f aca="false">X1299+Z1299</f>
        <v>47.58945955469</v>
      </c>
      <c r="AC1299" s="54" t="b">
        <f aca="false">AND(E1299&gt;=01_因子設定!$L$5-0.000000001,E1299&lt;=01_因子設定!$M$5+0.000000001,F1299&gt;=01_因子設定!$L$6-0.000000001,F1299&lt;=01_因子設定!$M$6+0.000000001,G1299&gt;=01_因子設定!$L$7-0.000000001,G1299&lt;=01_因子設定!$M$7+0.000000001,H1299&gt;=01_因子設定!$L$8-0.000000001,H1299&lt;=01_因子設定!$M$8+0.000000001,IF(01_因子設定!$B$20="Box-Behnken",E1299^2+F1299^2+G1299^2+H1299^2&lt;=2+0.000000001,TRUE()))</f>
        <v>1</v>
      </c>
      <c r="AD1299" s="55" t="n">
        <f aca="false">IF(AC1299,IF(01_因子設定!$B$13="最大化",AA1299-01_因子設定!$B$14,IF(01_因子設定!$B$13="最小化",01_因子設定!$B$15-AB1299,MIN(AA1299-01_因子設定!$B$14,01_因子設定!$B$15-AB1299))),-1E+030)</f>
        <v>-2.02922563656129</v>
      </c>
      <c r="AE1299" s="55" t="n">
        <f aca="false">IF(AC1299,IF(01_因子設定!$B$13="最大化",X1299,IF(01_因子設定!$B$13="最小化",-X1299,-ABS(X1299-01_因子設定!$B$16))),-1E+030)</f>
        <v>46.0301169590643</v>
      </c>
      <c r="AF1299" s="55" t="n">
        <f aca="false">AD1299+ROW()*0.000000001</f>
        <v>-2.02922433756129</v>
      </c>
      <c r="AG1299" s="55" t="n">
        <f aca="false">AE1299+ROW()*0.000000001</f>
        <v>46.0301182580643</v>
      </c>
    </row>
    <row r="1300" customFormat="false" ht="15" hidden="false" customHeight="false" outlineLevel="0" collapsed="false">
      <c r="A1300" s="0" t="n">
        <v>1</v>
      </c>
      <c r="B1300" s="0" t="n">
        <v>6</v>
      </c>
      <c r="C1300" s="0" t="n">
        <v>8</v>
      </c>
      <c r="D1300" s="0" t="n">
        <v>8</v>
      </c>
      <c r="E1300" s="0" t="n">
        <f aca="false">-1+A1300*0.25</f>
        <v>-0.75</v>
      </c>
      <c r="F1300" s="0" t="n">
        <f aca="false">-1+B1300*0.25</f>
        <v>0.5</v>
      </c>
      <c r="G1300" s="0" t="n">
        <f aca="false">-1+C1300*0.25</f>
        <v>1</v>
      </c>
      <c r="H1300" s="0" t="n">
        <f aca="false">-1+D1300*0.25</f>
        <v>1</v>
      </c>
      <c r="I1300" s="0" t="n">
        <f aca="false">1</f>
        <v>1</v>
      </c>
      <c r="J1300" s="0" t="n">
        <f aca="false">E1300</f>
        <v>-0.75</v>
      </c>
      <c r="K1300" s="0" t="n">
        <f aca="false">F1300</f>
        <v>0.5</v>
      </c>
      <c r="L1300" s="0" t="n">
        <f aca="false">G1300</f>
        <v>1</v>
      </c>
      <c r="M1300" s="0" t="n">
        <f aca="false">H1300</f>
        <v>1</v>
      </c>
      <c r="N1300" s="0" t="n">
        <f aca="false">E1300*F1300</f>
        <v>-0.375</v>
      </c>
      <c r="O1300" s="0" t="n">
        <f aca="false">E1300*G1300</f>
        <v>-0.75</v>
      </c>
      <c r="P1300" s="0" t="n">
        <f aca="false">E1300*H1300</f>
        <v>-0.75</v>
      </c>
      <c r="Q1300" s="0" t="n">
        <f aca="false">F1300*G1300</f>
        <v>0.5</v>
      </c>
      <c r="R1300" s="0" t="n">
        <f aca="false">F1300*H1300</f>
        <v>0.5</v>
      </c>
      <c r="S1300" s="0" t="n">
        <f aca="false">G1300*H1300</f>
        <v>1</v>
      </c>
      <c r="T1300" s="0" t="n">
        <f aca="false">E1300*E1300</f>
        <v>0.5625</v>
      </c>
      <c r="U1300" s="0" t="n">
        <f aca="false">F1300*F1300</f>
        <v>0.25</v>
      </c>
      <c r="V1300" s="0" t="n">
        <f aca="false">G1300*G1300</f>
        <v>1</v>
      </c>
      <c r="W1300" s="0" t="n">
        <f aca="false">H1300*H1300</f>
        <v>1</v>
      </c>
      <c r="X1300" s="0" t="n">
        <f aca="false">SUMPRODUCT(I1300:W1300,_XtX!$B$96:$P$96)</f>
        <v>45.9860562865497</v>
      </c>
      <c r="Y1300" s="0" t="n">
        <f aca="false">SUMPRODUCT(MMULT(I1300:W1300,_XtX!$B$78:$P$92),I1300:W1300)</f>
        <v>0.564984237938597</v>
      </c>
      <c r="Z1300" s="0" t="n">
        <f aca="false">04_回帰ANOVA!$K$19*04_回帰ANOVA!$K$14*SQRT(1+Y1300)</f>
        <v>1.63062229734503</v>
      </c>
      <c r="AA1300" s="0" t="n">
        <f aca="false">X1300-Z1300</f>
        <v>44.3554339892047</v>
      </c>
      <c r="AB1300" s="0" t="n">
        <f aca="false">X1300+Z1300</f>
        <v>47.6166785838948</v>
      </c>
      <c r="AC1300" s="54" t="b">
        <f aca="false">AND(E1300&gt;=01_因子設定!$L$5-0.000000001,E1300&lt;=01_因子設定!$M$5+0.000000001,F1300&gt;=01_因子設定!$L$6-0.000000001,F1300&lt;=01_因子設定!$M$6+0.000000001,G1300&gt;=01_因子設定!$L$7-0.000000001,G1300&lt;=01_因子設定!$M$7+0.000000001,H1300&gt;=01_因子設定!$L$8-0.000000001,H1300&lt;=01_因子設定!$M$8+0.000000001,IF(01_因子設定!$B$20="Box-Behnken",E1300^2+F1300^2+G1300^2+H1300^2&lt;=2+0.000000001,TRUE()))</f>
        <v>1</v>
      </c>
      <c r="AD1300" s="55" t="n">
        <f aca="false">IF(AC1300,IF(01_因子設定!$B$13="最大化",AA1300-01_因子設定!$B$14,IF(01_因子設定!$B$13="最小化",01_因子設定!$B$15-AB1300,MIN(AA1300-01_因子設定!$B$14,01_因子設定!$B$15-AB1300))),-1E+030)</f>
        <v>-2.1445660107953</v>
      </c>
      <c r="AE1300" s="55" t="n">
        <f aca="false">IF(AC1300,IF(01_因子設定!$B$13="最大化",X1300,IF(01_因子設定!$B$13="最小化",-X1300,-ABS(X1300-01_因子設定!$B$16))),-1E+030)</f>
        <v>45.9860562865497</v>
      </c>
      <c r="AF1300" s="55" t="n">
        <f aca="false">AD1300+ROW()*0.000000001</f>
        <v>-2.1445647107953</v>
      </c>
      <c r="AG1300" s="55" t="n">
        <f aca="false">AE1300+ROW()*0.000000001</f>
        <v>45.9860575865497</v>
      </c>
    </row>
    <row r="1301" customFormat="false" ht="15" hidden="false" customHeight="false" outlineLevel="0" collapsed="false">
      <c r="A1301" s="0" t="n">
        <v>1</v>
      </c>
      <c r="B1301" s="0" t="n">
        <v>7</v>
      </c>
      <c r="C1301" s="0" t="n">
        <v>0</v>
      </c>
      <c r="D1301" s="0" t="n">
        <v>0</v>
      </c>
      <c r="E1301" s="0" t="n">
        <f aca="false">-1+A1301*0.25</f>
        <v>-0.75</v>
      </c>
      <c r="F1301" s="0" t="n">
        <f aca="false">-1+B1301*0.25</f>
        <v>0.75</v>
      </c>
      <c r="G1301" s="0" t="n">
        <f aca="false">-1+C1301*0.25</f>
        <v>-1</v>
      </c>
      <c r="H1301" s="0" t="n">
        <f aca="false">-1+D1301*0.25</f>
        <v>-1</v>
      </c>
      <c r="I1301" s="0" t="n">
        <f aca="false">1</f>
        <v>1</v>
      </c>
      <c r="J1301" s="0" t="n">
        <f aca="false">E1301</f>
        <v>-0.75</v>
      </c>
      <c r="K1301" s="0" t="n">
        <f aca="false">F1301</f>
        <v>0.75</v>
      </c>
      <c r="L1301" s="0" t="n">
        <f aca="false">G1301</f>
        <v>-1</v>
      </c>
      <c r="M1301" s="0" t="n">
        <f aca="false">H1301</f>
        <v>-1</v>
      </c>
      <c r="N1301" s="0" t="n">
        <f aca="false">E1301*F1301</f>
        <v>-0.5625</v>
      </c>
      <c r="O1301" s="0" t="n">
        <f aca="false">E1301*G1301</f>
        <v>0.75</v>
      </c>
      <c r="P1301" s="0" t="n">
        <f aca="false">E1301*H1301</f>
        <v>0.75</v>
      </c>
      <c r="Q1301" s="0" t="n">
        <f aca="false">F1301*G1301</f>
        <v>-0.75</v>
      </c>
      <c r="R1301" s="0" t="n">
        <f aca="false">F1301*H1301</f>
        <v>-0.75</v>
      </c>
      <c r="S1301" s="0" t="n">
        <f aca="false">G1301*H1301</f>
        <v>1</v>
      </c>
      <c r="T1301" s="0" t="n">
        <f aca="false">E1301*E1301</f>
        <v>0.5625</v>
      </c>
      <c r="U1301" s="0" t="n">
        <f aca="false">F1301*F1301</f>
        <v>0.5625</v>
      </c>
      <c r="V1301" s="0" t="n">
        <f aca="false">G1301*G1301</f>
        <v>1</v>
      </c>
      <c r="W1301" s="0" t="n">
        <f aca="false">H1301*H1301</f>
        <v>1</v>
      </c>
      <c r="X1301" s="0" t="n">
        <f aca="false">SUMPRODUCT(I1301:W1301,_XtX!$B$96:$P$96)</f>
        <v>41.8014345760234</v>
      </c>
      <c r="Y1301" s="0" t="n">
        <f aca="false">SUMPRODUCT(MMULT(I1301:W1301,_XtX!$B$78:$P$92),I1301:W1301)</f>
        <v>0.531311392086988</v>
      </c>
      <c r="Z1301" s="0" t="n">
        <f aca="false">04_回帰ANOVA!$K$19*04_回帰ANOVA!$K$14*SQRT(1+Y1301)</f>
        <v>1.61298433431428</v>
      </c>
      <c r="AA1301" s="0" t="n">
        <f aca="false">X1301-Z1301</f>
        <v>40.1884502417091</v>
      </c>
      <c r="AB1301" s="0" t="n">
        <f aca="false">X1301+Z1301</f>
        <v>43.4144189103377</v>
      </c>
      <c r="AC1301" s="54" t="b">
        <f aca="false">AND(E1301&gt;=01_因子設定!$L$5-0.000000001,E1301&lt;=01_因子設定!$M$5+0.000000001,F1301&gt;=01_因子設定!$L$6-0.000000001,F1301&lt;=01_因子設定!$M$6+0.000000001,G1301&gt;=01_因子設定!$L$7-0.000000001,G1301&lt;=01_因子設定!$M$7+0.000000001,H1301&gt;=01_因子設定!$L$8-0.000000001,H1301&lt;=01_因子設定!$M$8+0.000000001,IF(01_因子設定!$B$20="Box-Behnken",E1301^2+F1301^2+G1301^2+H1301^2&lt;=2+0.000000001,TRUE()))</f>
        <v>1</v>
      </c>
      <c r="AD1301" s="55" t="n">
        <f aca="false">IF(AC1301,IF(01_因子設定!$B$13="最大化",AA1301-01_因子設定!$B$14,IF(01_因子設定!$B$13="最小化",01_因子設定!$B$15-AB1301,MIN(AA1301-01_因子設定!$B$14,01_因子設定!$B$15-AB1301))),-1E+030)</f>
        <v>-6.31154975829087</v>
      </c>
      <c r="AE1301" s="55" t="n">
        <f aca="false">IF(AC1301,IF(01_因子設定!$B$13="最大化",X1301,IF(01_因子設定!$B$13="最小化",-X1301,-ABS(X1301-01_因子設定!$B$16))),-1E+030)</f>
        <v>41.8014345760234</v>
      </c>
      <c r="AF1301" s="55" t="n">
        <f aca="false">AD1301+ROW()*0.000000001</f>
        <v>-6.31154845729087</v>
      </c>
      <c r="AG1301" s="55" t="n">
        <f aca="false">AE1301+ROW()*0.000000001</f>
        <v>41.8014358770234</v>
      </c>
    </row>
    <row r="1302" customFormat="false" ht="15" hidden="false" customHeight="false" outlineLevel="0" collapsed="false">
      <c r="A1302" s="0" t="n">
        <v>1</v>
      </c>
      <c r="B1302" s="0" t="n">
        <v>7</v>
      </c>
      <c r="C1302" s="0" t="n">
        <v>0</v>
      </c>
      <c r="D1302" s="0" t="n">
        <v>1</v>
      </c>
      <c r="E1302" s="0" t="n">
        <f aca="false">-1+A1302*0.25</f>
        <v>-0.75</v>
      </c>
      <c r="F1302" s="0" t="n">
        <f aca="false">-1+B1302*0.25</f>
        <v>0.75</v>
      </c>
      <c r="G1302" s="0" t="n">
        <f aca="false">-1+C1302*0.25</f>
        <v>-1</v>
      </c>
      <c r="H1302" s="0" t="n">
        <f aca="false">-1+D1302*0.25</f>
        <v>-0.75</v>
      </c>
      <c r="I1302" s="0" t="n">
        <f aca="false">1</f>
        <v>1</v>
      </c>
      <c r="J1302" s="0" t="n">
        <f aca="false">E1302</f>
        <v>-0.75</v>
      </c>
      <c r="K1302" s="0" t="n">
        <f aca="false">F1302</f>
        <v>0.75</v>
      </c>
      <c r="L1302" s="0" t="n">
        <f aca="false">G1302</f>
        <v>-1</v>
      </c>
      <c r="M1302" s="0" t="n">
        <f aca="false">H1302</f>
        <v>-0.75</v>
      </c>
      <c r="N1302" s="0" t="n">
        <f aca="false">E1302*F1302</f>
        <v>-0.5625</v>
      </c>
      <c r="O1302" s="0" t="n">
        <f aca="false">E1302*G1302</f>
        <v>0.75</v>
      </c>
      <c r="P1302" s="0" t="n">
        <f aca="false">E1302*H1302</f>
        <v>0.5625</v>
      </c>
      <c r="Q1302" s="0" t="n">
        <f aca="false">F1302*G1302</f>
        <v>-0.75</v>
      </c>
      <c r="R1302" s="0" t="n">
        <f aca="false">F1302*H1302</f>
        <v>-0.5625</v>
      </c>
      <c r="S1302" s="0" t="n">
        <f aca="false">G1302*H1302</f>
        <v>0.75</v>
      </c>
      <c r="T1302" s="0" t="n">
        <f aca="false">E1302*E1302</f>
        <v>0.5625</v>
      </c>
      <c r="U1302" s="0" t="n">
        <f aca="false">F1302*F1302</f>
        <v>0.5625</v>
      </c>
      <c r="V1302" s="0" t="n">
        <f aca="false">G1302*G1302</f>
        <v>1</v>
      </c>
      <c r="W1302" s="0" t="n">
        <f aca="false">H1302*H1302</f>
        <v>0.5625</v>
      </c>
      <c r="X1302" s="0" t="n">
        <f aca="false">SUMPRODUCT(I1302:W1302,_XtX!$B$96:$P$96)</f>
        <v>41.9349917763158</v>
      </c>
      <c r="Y1302" s="0" t="n">
        <f aca="false">SUMPRODUCT(MMULT(I1302:W1302,_XtX!$B$78:$P$92),I1302:W1302)</f>
        <v>0.420117473044591</v>
      </c>
      <c r="Z1302" s="0" t="n">
        <f aca="false">04_回帰ANOVA!$K$19*04_回帰ANOVA!$K$14*SQRT(1+Y1302)</f>
        <v>1.55331854827765</v>
      </c>
      <c r="AA1302" s="0" t="n">
        <f aca="false">X1302-Z1302</f>
        <v>40.3816732280382</v>
      </c>
      <c r="AB1302" s="0" t="n">
        <f aca="false">X1302+Z1302</f>
        <v>43.4883103245934</v>
      </c>
      <c r="AC1302" s="54" t="b">
        <f aca="false">AND(E1302&gt;=01_因子設定!$L$5-0.000000001,E1302&lt;=01_因子設定!$M$5+0.000000001,F1302&gt;=01_因子設定!$L$6-0.000000001,F1302&lt;=01_因子設定!$M$6+0.000000001,G1302&gt;=01_因子設定!$L$7-0.000000001,G1302&lt;=01_因子設定!$M$7+0.000000001,H1302&gt;=01_因子設定!$L$8-0.000000001,H1302&lt;=01_因子設定!$M$8+0.000000001,IF(01_因子設定!$B$20="Box-Behnken",E1302^2+F1302^2+G1302^2+H1302^2&lt;=2+0.000000001,TRUE()))</f>
        <v>1</v>
      </c>
      <c r="AD1302" s="55" t="n">
        <f aca="false">IF(AC1302,IF(01_因子設定!$B$13="最大化",AA1302-01_因子設定!$B$14,IF(01_因子設定!$B$13="最小化",01_因子設定!$B$15-AB1302,MIN(AA1302-01_因子設定!$B$14,01_因子設定!$B$15-AB1302))),-1E+030)</f>
        <v>-6.11832677196185</v>
      </c>
      <c r="AE1302" s="55" t="n">
        <f aca="false">IF(AC1302,IF(01_因子設定!$B$13="最大化",X1302,IF(01_因子設定!$B$13="最小化",-X1302,-ABS(X1302-01_因子設定!$B$16))),-1E+030)</f>
        <v>41.9349917763158</v>
      </c>
      <c r="AF1302" s="55" t="n">
        <f aca="false">AD1302+ROW()*0.000000001</f>
        <v>-6.11832546996185</v>
      </c>
      <c r="AG1302" s="55" t="n">
        <f aca="false">AE1302+ROW()*0.000000001</f>
        <v>41.9349930783158</v>
      </c>
    </row>
    <row r="1303" customFormat="false" ht="15" hidden="false" customHeight="false" outlineLevel="0" collapsed="false">
      <c r="A1303" s="0" t="n">
        <v>1</v>
      </c>
      <c r="B1303" s="0" t="n">
        <v>7</v>
      </c>
      <c r="C1303" s="0" t="n">
        <v>0</v>
      </c>
      <c r="D1303" s="0" t="n">
        <v>2</v>
      </c>
      <c r="E1303" s="0" t="n">
        <f aca="false">-1+A1303*0.25</f>
        <v>-0.75</v>
      </c>
      <c r="F1303" s="0" t="n">
        <f aca="false">-1+B1303*0.25</f>
        <v>0.75</v>
      </c>
      <c r="G1303" s="0" t="n">
        <f aca="false">-1+C1303*0.25</f>
        <v>-1</v>
      </c>
      <c r="H1303" s="0" t="n">
        <f aca="false">-1+D1303*0.25</f>
        <v>-0.5</v>
      </c>
      <c r="I1303" s="0" t="n">
        <f aca="false">1</f>
        <v>1</v>
      </c>
      <c r="J1303" s="0" t="n">
        <f aca="false">E1303</f>
        <v>-0.75</v>
      </c>
      <c r="K1303" s="0" t="n">
        <f aca="false">F1303</f>
        <v>0.75</v>
      </c>
      <c r="L1303" s="0" t="n">
        <f aca="false">G1303</f>
        <v>-1</v>
      </c>
      <c r="M1303" s="0" t="n">
        <f aca="false">H1303</f>
        <v>-0.5</v>
      </c>
      <c r="N1303" s="0" t="n">
        <f aca="false">E1303*F1303</f>
        <v>-0.5625</v>
      </c>
      <c r="O1303" s="0" t="n">
        <f aca="false">E1303*G1303</f>
        <v>0.75</v>
      </c>
      <c r="P1303" s="0" t="n">
        <f aca="false">E1303*H1303</f>
        <v>0.375</v>
      </c>
      <c r="Q1303" s="0" t="n">
        <f aca="false">F1303*G1303</f>
        <v>-0.75</v>
      </c>
      <c r="R1303" s="0" t="n">
        <f aca="false">F1303*H1303</f>
        <v>-0.375</v>
      </c>
      <c r="S1303" s="0" t="n">
        <f aca="false">G1303*H1303</f>
        <v>0.5</v>
      </c>
      <c r="T1303" s="0" t="n">
        <f aca="false">E1303*E1303</f>
        <v>0.5625</v>
      </c>
      <c r="U1303" s="0" t="n">
        <f aca="false">F1303*F1303</f>
        <v>0.5625</v>
      </c>
      <c r="V1303" s="0" t="n">
        <f aca="false">G1303*G1303</f>
        <v>1</v>
      </c>
      <c r="W1303" s="0" t="n">
        <f aca="false">H1303*H1303</f>
        <v>0.25</v>
      </c>
      <c r="X1303" s="0" t="n">
        <f aca="false">SUMPRODUCT(I1303:W1303,_XtX!$B$96:$P$96)</f>
        <v>42.0207419590643</v>
      </c>
      <c r="Y1303" s="0" t="n">
        <f aca="false">SUMPRODUCT(MMULT(I1303:W1303,_XtX!$B$78:$P$92),I1303:W1303)</f>
        <v>0.431153771472953</v>
      </c>
      <c r="Z1303" s="0" t="n">
        <f aca="false">04_回帰ANOVA!$K$19*04_回帰ANOVA!$K$14*SQRT(1+Y1303)</f>
        <v>1.55934259562563</v>
      </c>
      <c r="AA1303" s="0" t="n">
        <f aca="false">X1303-Z1303</f>
        <v>40.4613993634387</v>
      </c>
      <c r="AB1303" s="0" t="n">
        <f aca="false">X1303+Z1303</f>
        <v>43.58008455469</v>
      </c>
      <c r="AC1303" s="54" t="b">
        <f aca="false">AND(E1303&gt;=01_因子設定!$L$5-0.000000001,E1303&lt;=01_因子設定!$M$5+0.000000001,F1303&gt;=01_因子設定!$L$6-0.000000001,F1303&lt;=01_因子設定!$M$6+0.000000001,G1303&gt;=01_因子設定!$L$7-0.000000001,G1303&lt;=01_因子設定!$M$7+0.000000001,H1303&gt;=01_因子設定!$L$8-0.000000001,H1303&lt;=01_因子設定!$M$8+0.000000001,IF(01_因子設定!$B$20="Box-Behnken",E1303^2+F1303^2+G1303^2+H1303^2&lt;=2+0.000000001,TRUE()))</f>
        <v>1</v>
      </c>
      <c r="AD1303" s="55" t="n">
        <f aca="false">IF(AC1303,IF(01_因子設定!$B$13="最大化",AA1303-01_因子設定!$B$14,IF(01_因子設定!$B$13="最小化",01_因子設定!$B$15-AB1303,MIN(AA1303-01_因子設定!$B$14,01_因子設定!$B$15-AB1303))),-1E+030)</f>
        <v>-6.03860063656131</v>
      </c>
      <c r="AE1303" s="55" t="n">
        <f aca="false">IF(AC1303,IF(01_因子設定!$B$13="最大化",X1303,IF(01_因子設定!$B$13="最小化",-X1303,-ABS(X1303-01_因子設定!$B$16))),-1E+030)</f>
        <v>42.0207419590643</v>
      </c>
      <c r="AF1303" s="55" t="n">
        <f aca="false">AD1303+ROW()*0.000000001</f>
        <v>-6.03859933356131</v>
      </c>
      <c r="AG1303" s="55" t="n">
        <f aca="false">AE1303+ROW()*0.000000001</f>
        <v>42.0207432620643</v>
      </c>
    </row>
    <row r="1304" customFormat="false" ht="15" hidden="false" customHeight="false" outlineLevel="0" collapsed="false">
      <c r="A1304" s="0" t="n">
        <v>1</v>
      </c>
      <c r="B1304" s="0" t="n">
        <v>7</v>
      </c>
      <c r="C1304" s="0" t="n">
        <v>0</v>
      </c>
      <c r="D1304" s="0" t="n">
        <v>3</v>
      </c>
      <c r="E1304" s="0" t="n">
        <f aca="false">-1+A1304*0.25</f>
        <v>-0.75</v>
      </c>
      <c r="F1304" s="0" t="n">
        <f aca="false">-1+B1304*0.25</f>
        <v>0.75</v>
      </c>
      <c r="G1304" s="0" t="n">
        <f aca="false">-1+C1304*0.25</f>
        <v>-1</v>
      </c>
      <c r="H1304" s="0" t="n">
        <f aca="false">-1+D1304*0.25</f>
        <v>-0.25</v>
      </c>
      <c r="I1304" s="0" t="n">
        <f aca="false">1</f>
        <v>1</v>
      </c>
      <c r="J1304" s="0" t="n">
        <f aca="false">E1304</f>
        <v>-0.75</v>
      </c>
      <c r="K1304" s="0" t="n">
        <f aca="false">F1304</f>
        <v>0.75</v>
      </c>
      <c r="L1304" s="0" t="n">
        <f aca="false">G1304</f>
        <v>-1</v>
      </c>
      <c r="M1304" s="0" t="n">
        <f aca="false">H1304</f>
        <v>-0.25</v>
      </c>
      <c r="N1304" s="0" t="n">
        <f aca="false">E1304*F1304</f>
        <v>-0.5625</v>
      </c>
      <c r="O1304" s="0" t="n">
        <f aca="false">E1304*G1304</f>
        <v>0.75</v>
      </c>
      <c r="P1304" s="0" t="n">
        <f aca="false">E1304*H1304</f>
        <v>0.1875</v>
      </c>
      <c r="Q1304" s="0" t="n">
        <f aca="false">F1304*G1304</f>
        <v>-0.75</v>
      </c>
      <c r="R1304" s="0" t="n">
        <f aca="false">F1304*H1304</f>
        <v>-0.1875</v>
      </c>
      <c r="S1304" s="0" t="n">
        <f aca="false">G1304*H1304</f>
        <v>0.25</v>
      </c>
      <c r="T1304" s="0" t="n">
        <f aca="false">E1304*E1304</f>
        <v>0.5625</v>
      </c>
      <c r="U1304" s="0" t="n">
        <f aca="false">F1304*F1304</f>
        <v>0.5625</v>
      </c>
      <c r="V1304" s="0" t="n">
        <f aca="false">G1304*G1304</f>
        <v>1</v>
      </c>
      <c r="W1304" s="0" t="n">
        <f aca="false">H1304*H1304</f>
        <v>0.0625</v>
      </c>
      <c r="X1304" s="0" t="n">
        <f aca="false">SUMPRODUCT(I1304:W1304,_XtX!$B$96:$P$96)</f>
        <v>42.058685124269</v>
      </c>
      <c r="Y1304" s="0" t="n">
        <f aca="false">SUMPRODUCT(MMULT(I1304:W1304,_XtX!$B$78:$P$92),I1304:W1304)</f>
        <v>0.473959761056287</v>
      </c>
      <c r="Z1304" s="0" t="n">
        <f aca="false">04_回帰ANOVA!$K$19*04_回帰ANOVA!$K$14*SQRT(1+Y1304)</f>
        <v>1.58249084588329</v>
      </c>
      <c r="AA1304" s="0" t="n">
        <f aca="false">X1304-Z1304</f>
        <v>40.4761942783857</v>
      </c>
      <c r="AB1304" s="0" t="n">
        <f aca="false">X1304+Z1304</f>
        <v>43.6411759701523</v>
      </c>
      <c r="AC1304" s="54" t="b">
        <f aca="false">AND(E1304&gt;=01_因子設定!$L$5-0.000000001,E1304&lt;=01_因子設定!$M$5+0.000000001,F1304&gt;=01_因子設定!$L$6-0.000000001,F1304&lt;=01_因子設定!$M$6+0.000000001,G1304&gt;=01_因子設定!$L$7-0.000000001,G1304&lt;=01_因子設定!$M$7+0.000000001,H1304&gt;=01_因子設定!$L$8-0.000000001,H1304&lt;=01_因子設定!$M$8+0.000000001,IF(01_因子設定!$B$20="Box-Behnken",E1304^2+F1304^2+G1304^2+H1304^2&lt;=2+0.000000001,TRUE()))</f>
        <v>1</v>
      </c>
      <c r="AD1304" s="55" t="n">
        <f aca="false">IF(AC1304,IF(01_因子設定!$B$13="最大化",AA1304-01_因子設定!$B$14,IF(01_因子設定!$B$13="最小化",01_因子設定!$B$15-AB1304,MIN(AA1304-01_因子設定!$B$14,01_因子設定!$B$15-AB1304))),-1E+030)</f>
        <v>-6.02380572161429</v>
      </c>
      <c r="AE1304" s="55" t="n">
        <f aca="false">IF(AC1304,IF(01_因子設定!$B$13="最大化",X1304,IF(01_因子設定!$B$13="最小化",-X1304,-ABS(X1304-01_因子設定!$B$16))),-1E+030)</f>
        <v>42.058685124269</v>
      </c>
      <c r="AF1304" s="55" t="n">
        <f aca="false">AD1304+ROW()*0.000000001</f>
        <v>-6.02380441761429</v>
      </c>
      <c r="AG1304" s="55" t="n">
        <f aca="false">AE1304+ROW()*0.000000001</f>
        <v>42.058686428269</v>
      </c>
    </row>
    <row r="1305" customFormat="false" ht="15" hidden="false" customHeight="false" outlineLevel="0" collapsed="false">
      <c r="A1305" s="0" t="n">
        <v>1</v>
      </c>
      <c r="B1305" s="0" t="n">
        <v>7</v>
      </c>
      <c r="C1305" s="0" t="n">
        <v>0</v>
      </c>
      <c r="D1305" s="0" t="n">
        <v>4</v>
      </c>
      <c r="E1305" s="0" t="n">
        <f aca="false">-1+A1305*0.25</f>
        <v>-0.75</v>
      </c>
      <c r="F1305" s="0" t="n">
        <f aca="false">-1+B1305*0.25</f>
        <v>0.75</v>
      </c>
      <c r="G1305" s="0" t="n">
        <f aca="false">-1+C1305*0.25</f>
        <v>-1</v>
      </c>
      <c r="H1305" s="0" t="n">
        <f aca="false">-1+D1305*0.25</f>
        <v>0</v>
      </c>
      <c r="I1305" s="0" t="n">
        <f aca="false">1</f>
        <v>1</v>
      </c>
      <c r="J1305" s="0" t="n">
        <f aca="false">E1305</f>
        <v>-0.75</v>
      </c>
      <c r="K1305" s="0" t="n">
        <f aca="false">F1305</f>
        <v>0.75</v>
      </c>
      <c r="L1305" s="0" t="n">
        <f aca="false">G1305</f>
        <v>-1</v>
      </c>
      <c r="M1305" s="0" t="n">
        <f aca="false">H1305</f>
        <v>0</v>
      </c>
      <c r="N1305" s="0" t="n">
        <f aca="false">E1305*F1305</f>
        <v>-0.5625</v>
      </c>
      <c r="O1305" s="0" t="n">
        <f aca="false">E1305*G1305</f>
        <v>0.75</v>
      </c>
      <c r="P1305" s="0" t="n">
        <f aca="false">E1305*H1305</f>
        <v>-0</v>
      </c>
      <c r="Q1305" s="0" t="n">
        <f aca="false">F1305*G1305</f>
        <v>-0.75</v>
      </c>
      <c r="R1305" s="0" t="n">
        <f aca="false">F1305*H1305</f>
        <v>0</v>
      </c>
      <c r="S1305" s="0" t="n">
        <f aca="false">G1305*H1305</f>
        <v>-0</v>
      </c>
      <c r="T1305" s="0" t="n">
        <f aca="false">E1305*E1305</f>
        <v>0.5625</v>
      </c>
      <c r="U1305" s="0" t="n">
        <f aca="false">F1305*F1305</f>
        <v>0.5625</v>
      </c>
      <c r="V1305" s="0" t="n">
        <f aca="false">G1305*G1305</f>
        <v>1</v>
      </c>
      <c r="W1305" s="0" t="n">
        <f aca="false">H1305*H1305</f>
        <v>0</v>
      </c>
      <c r="X1305" s="0" t="n">
        <f aca="false">SUMPRODUCT(I1305:W1305,_XtX!$B$96:$P$96)</f>
        <v>42.0488212719298</v>
      </c>
      <c r="Y1305" s="0" t="n">
        <f aca="false">SUMPRODUCT(MMULT(I1305:W1305,_XtX!$B$78:$P$92),I1305:W1305)</f>
        <v>0.494259126005117</v>
      </c>
      <c r="Z1305" s="0" t="n">
        <f aca="false">04_回帰ANOVA!$K$19*04_回帰ANOVA!$K$14*SQRT(1+Y1305)</f>
        <v>1.59335061078203</v>
      </c>
      <c r="AA1305" s="0" t="n">
        <f aca="false">X1305-Z1305</f>
        <v>40.4554706611478</v>
      </c>
      <c r="AB1305" s="0" t="n">
        <f aca="false">X1305+Z1305</f>
        <v>43.6421718827118</v>
      </c>
      <c r="AC1305" s="54" t="b">
        <f aca="false">AND(E1305&gt;=01_因子設定!$L$5-0.000000001,E1305&lt;=01_因子設定!$M$5+0.000000001,F1305&gt;=01_因子設定!$L$6-0.000000001,F1305&lt;=01_因子設定!$M$6+0.000000001,G1305&gt;=01_因子設定!$L$7-0.000000001,G1305&lt;=01_因子設定!$M$7+0.000000001,H1305&gt;=01_因子設定!$L$8-0.000000001,H1305&lt;=01_因子設定!$M$8+0.000000001,IF(01_因子設定!$B$20="Box-Behnken",E1305^2+F1305^2+G1305^2+H1305^2&lt;=2+0.000000001,TRUE()))</f>
        <v>1</v>
      </c>
      <c r="AD1305" s="55" t="n">
        <f aca="false">IF(AC1305,IF(01_因子設定!$B$13="最大化",AA1305-01_因子設定!$B$14,IF(01_因子設定!$B$13="最小化",01_因子設定!$B$15-AB1305,MIN(AA1305-01_因子設定!$B$14,01_因子設定!$B$15-AB1305))),-1E+030)</f>
        <v>-6.04452933885221</v>
      </c>
      <c r="AE1305" s="55" t="n">
        <f aca="false">IF(AC1305,IF(01_因子設定!$B$13="最大化",X1305,IF(01_因子設定!$B$13="最小化",-X1305,-ABS(X1305-01_因子設定!$B$16))),-1E+030)</f>
        <v>42.0488212719298</v>
      </c>
      <c r="AF1305" s="55" t="n">
        <f aca="false">AD1305+ROW()*0.000000001</f>
        <v>-6.04452803385222</v>
      </c>
      <c r="AG1305" s="55" t="n">
        <f aca="false">AE1305+ROW()*0.000000001</f>
        <v>42.0488225769298</v>
      </c>
    </row>
    <row r="1306" customFormat="false" ht="15" hidden="false" customHeight="false" outlineLevel="0" collapsed="false">
      <c r="A1306" s="0" t="n">
        <v>1</v>
      </c>
      <c r="B1306" s="0" t="n">
        <v>7</v>
      </c>
      <c r="C1306" s="0" t="n">
        <v>0</v>
      </c>
      <c r="D1306" s="0" t="n">
        <v>5</v>
      </c>
      <c r="E1306" s="0" t="n">
        <f aca="false">-1+A1306*0.25</f>
        <v>-0.75</v>
      </c>
      <c r="F1306" s="0" t="n">
        <f aca="false">-1+B1306*0.25</f>
        <v>0.75</v>
      </c>
      <c r="G1306" s="0" t="n">
        <f aca="false">-1+C1306*0.25</f>
        <v>-1</v>
      </c>
      <c r="H1306" s="0" t="n">
        <f aca="false">-1+D1306*0.25</f>
        <v>0.25</v>
      </c>
      <c r="I1306" s="0" t="n">
        <f aca="false">1</f>
        <v>1</v>
      </c>
      <c r="J1306" s="0" t="n">
        <f aca="false">E1306</f>
        <v>-0.75</v>
      </c>
      <c r="K1306" s="0" t="n">
        <f aca="false">F1306</f>
        <v>0.75</v>
      </c>
      <c r="L1306" s="0" t="n">
        <f aca="false">G1306</f>
        <v>-1</v>
      </c>
      <c r="M1306" s="0" t="n">
        <f aca="false">H1306</f>
        <v>0.25</v>
      </c>
      <c r="N1306" s="0" t="n">
        <f aca="false">E1306*F1306</f>
        <v>-0.5625</v>
      </c>
      <c r="O1306" s="0" t="n">
        <f aca="false">E1306*G1306</f>
        <v>0.75</v>
      </c>
      <c r="P1306" s="0" t="n">
        <f aca="false">E1306*H1306</f>
        <v>-0.1875</v>
      </c>
      <c r="Q1306" s="0" t="n">
        <f aca="false">F1306*G1306</f>
        <v>-0.75</v>
      </c>
      <c r="R1306" s="0" t="n">
        <f aca="false">F1306*H1306</f>
        <v>0.1875</v>
      </c>
      <c r="S1306" s="0" t="n">
        <f aca="false">G1306*H1306</f>
        <v>-0.25</v>
      </c>
      <c r="T1306" s="0" t="n">
        <f aca="false">E1306*E1306</f>
        <v>0.5625</v>
      </c>
      <c r="U1306" s="0" t="n">
        <f aca="false">F1306*F1306</f>
        <v>0.5625</v>
      </c>
      <c r="V1306" s="0" t="n">
        <f aca="false">G1306*G1306</f>
        <v>1</v>
      </c>
      <c r="W1306" s="0" t="n">
        <f aca="false">H1306*H1306</f>
        <v>0.0625</v>
      </c>
      <c r="X1306" s="0" t="n">
        <f aca="false">SUMPRODUCT(I1306:W1306,_XtX!$B$96:$P$96)</f>
        <v>41.9911504020468</v>
      </c>
      <c r="Y1306" s="0" t="n">
        <f aca="false">SUMPRODUCT(MMULT(I1306:W1306,_XtX!$B$78:$P$92),I1306:W1306)</f>
        <v>0.473959761056287</v>
      </c>
      <c r="Z1306" s="0" t="n">
        <f aca="false">04_回帰ANOVA!$K$19*04_回帰ANOVA!$K$14*SQRT(1+Y1306)</f>
        <v>1.58249084588329</v>
      </c>
      <c r="AA1306" s="0" t="n">
        <f aca="false">X1306-Z1306</f>
        <v>40.4086595561635</v>
      </c>
      <c r="AB1306" s="0" t="n">
        <f aca="false">X1306+Z1306</f>
        <v>43.5736412479301</v>
      </c>
      <c r="AC1306" s="54" t="b">
        <f aca="false">AND(E1306&gt;=01_因子設定!$L$5-0.000000001,E1306&lt;=01_因子設定!$M$5+0.000000001,F1306&gt;=01_因子設定!$L$6-0.000000001,F1306&lt;=01_因子設定!$M$6+0.000000001,G1306&gt;=01_因子設定!$L$7-0.000000001,G1306&lt;=01_因子設定!$M$7+0.000000001,H1306&gt;=01_因子設定!$L$8-0.000000001,H1306&lt;=01_因子設定!$M$8+0.000000001,IF(01_因子設定!$B$20="Box-Behnken",E1306^2+F1306^2+G1306^2+H1306^2&lt;=2+0.000000001,TRUE()))</f>
        <v>1</v>
      </c>
      <c r="AD1306" s="55" t="n">
        <f aca="false">IF(AC1306,IF(01_因子設定!$B$13="最大化",AA1306-01_因子設定!$B$14,IF(01_因子設定!$B$13="最小化",01_因子設定!$B$15-AB1306,MIN(AA1306-01_因子設定!$B$14,01_因子設定!$B$15-AB1306))),-1E+030)</f>
        <v>-6.09134044383651</v>
      </c>
      <c r="AE1306" s="55" t="n">
        <f aca="false">IF(AC1306,IF(01_因子設定!$B$13="最大化",X1306,IF(01_因子設定!$B$13="最小化",-X1306,-ABS(X1306-01_因子設定!$B$16))),-1E+030)</f>
        <v>41.9911504020468</v>
      </c>
      <c r="AF1306" s="55" t="n">
        <f aca="false">AD1306+ROW()*0.000000001</f>
        <v>-6.09133913783651</v>
      </c>
      <c r="AG1306" s="55" t="n">
        <f aca="false">AE1306+ROW()*0.000000001</f>
        <v>41.9911517080468</v>
      </c>
    </row>
    <row r="1307" customFormat="false" ht="15" hidden="false" customHeight="false" outlineLevel="0" collapsed="false">
      <c r="A1307" s="0" t="n">
        <v>1</v>
      </c>
      <c r="B1307" s="0" t="n">
        <v>7</v>
      </c>
      <c r="C1307" s="0" t="n">
        <v>0</v>
      </c>
      <c r="D1307" s="0" t="n">
        <v>6</v>
      </c>
      <c r="E1307" s="0" t="n">
        <f aca="false">-1+A1307*0.25</f>
        <v>-0.75</v>
      </c>
      <c r="F1307" s="0" t="n">
        <f aca="false">-1+B1307*0.25</f>
        <v>0.75</v>
      </c>
      <c r="G1307" s="0" t="n">
        <f aca="false">-1+C1307*0.25</f>
        <v>-1</v>
      </c>
      <c r="H1307" s="0" t="n">
        <f aca="false">-1+D1307*0.25</f>
        <v>0.5</v>
      </c>
      <c r="I1307" s="0" t="n">
        <f aca="false">1</f>
        <v>1</v>
      </c>
      <c r="J1307" s="0" t="n">
        <f aca="false">E1307</f>
        <v>-0.75</v>
      </c>
      <c r="K1307" s="0" t="n">
        <f aca="false">F1307</f>
        <v>0.75</v>
      </c>
      <c r="L1307" s="0" t="n">
        <f aca="false">G1307</f>
        <v>-1</v>
      </c>
      <c r="M1307" s="0" t="n">
        <f aca="false">H1307</f>
        <v>0.5</v>
      </c>
      <c r="N1307" s="0" t="n">
        <f aca="false">E1307*F1307</f>
        <v>-0.5625</v>
      </c>
      <c r="O1307" s="0" t="n">
        <f aca="false">E1307*G1307</f>
        <v>0.75</v>
      </c>
      <c r="P1307" s="0" t="n">
        <f aca="false">E1307*H1307</f>
        <v>-0.375</v>
      </c>
      <c r="Q1307" s="0" t="n">
        <f aca="false">F1307*G1307</f>
        <v>-0.75</v>
      </c>
      <c r="R1307" s="0" t="n">
        <f aca="false">F1307*H1307</f>
        <v>0.375</v>
      </c>
      <c r="S1307" s="0" t="n">
        <f aca="false">G1307*H1307</f>
        <v>-0.5</v>
      </c>
      <c r="T1307" s="0" t="n">
        <f aca="false">E1307*E1307</f>
        <v>0.5625</v>
      </c>
      <c r="U1307" s="0" t="n">
        <f aca="false">F1307*F1307</f>
        <v>0.5625</v>
      </c>
      <c r="V1307" s="0" t="n">
        <f aca="false">G1307*G1307</f>
        <v>1</v>
      </c>
      <c r="W1307" s="0" t="n">
        <f aca="false">H1307*H1307</f>
        <v>0.25</v>
      </c>
      <c r="X1307" s="0" t="n">
        <f aca="false">SUMPRODUCT(I1307:W1307,_XtX!$B$96:$P$96)</f>
        <v>41.8856725146199</v>
      </c>
      <c r="Y1307" s="0" t="n">
        <f aca="false">SUMPRODUCT(MMULT(I1307:W1307,_XtX!$B$78:$P$92),I1307:W1307)</f>
        <v>0.431153771472953</v>
      </c>
      <c r="Z1307" s="0" t="n">
        <f aca="false">04_回帰ANOVA!$K$19*04_回帰ANOVA!$K$14*SQRT(1+Y1307)</f>
        <v>1.55934259562563</v>
      </c>
      <c r="AA1307" s="0" t="n">
        <f aca="false">X1307-Z1307</f>
        <v>40.3263299189943</v>
      </c>
      <c r="AB1307" s="0" t="n">
        <f aca="false">X1307+Z1307</f>
        <v>43.4450151102455</v>
      </c>
      <c r="AC1307" s="54" t="b">
        <f aca="false">AND(E1307&gt;=01_因子設定!$L$5-0.000000001,E1307&lt;=01_因子設定!$M$5+0.000000001,F1307&gt;=01_因子設定!$L$6-0.000000001,F1307&lt;=01_因子設定!$M$6+0.000000001,G1307&gt;=01_因子設定!$L$7-0.000000001,G1307&lt;=01_因子設定!$M$7+0.000000001,H1307&gt;=01_因子設定!$L$8-0.000000001,H1307&lt;=01_因子設定!$M$8+0.000000001,IF(01_因子設定!$B$20="Box-Behnken",E1307^2+F1307^2+G1307^2+H1307^2&lt;=2+0.000000001,TRUE()))</f>
        <v>1</v>
      </c>
      <c r="AD1307" s="55" t="n">
        <f aca="false">IF(AC1307,IF(01_因子設定!$B$13="最大化",AA1307-01_因子設定!$B$14,IF(01_因子設定!$B$13="最小化",01_因子設定!$B$15-AB1307,MIN(AA1307-01_因子設定!$B$14,01_因子設定!$B$15-AB1307))),-1E+030)</f>
        <v>-6.17367008100575</v>
      </c>
      <c r="AE1307" s="55" t="n">
        <f aca="false">IF(AC1307,IF(01_因子設定!$B$13="最大化",X1307,IF(01_因子設定!$B$13="最小化",-X1307,-ABS(X1307-01_因子設定!$B$16))),-1E+030)</f>
        <v>41.8856725146199</v>
      </c>
      <c r="AF1307" s="55" t="n">
        <f aca="false">AD1307+ROW()*0.000000001</f>
        <v>-6.17366877400575</v>
      </c>
      <c r="AG1307" s="55" t="n">
        <f aca="false">AE1307+ROW()*0.000000001</f>
        <v>41.8856738216199</v>
      </c>
    </row>
    <row r="1308" customFormat="false" ht="15" hidden="false" customHeight="false" outlineLevel="0" collapsed="false">
      <c r="A1308" s="0" t="n">
        <v>1</v>
      </c>
      <c r="B1308" s="0" t="n">
        <v>7</v>
      </c>
      <c r="C1308" s="0" t="n">
        <v>0</v>
      </c>
      <c r="D1308" s="0" t="n">
        <v>7</v>
      </c>
      <c r="E1308" s="0" t="n">
        <f aca="false">-1+A1308*0.25</f>
        <v>-0.75</v>
      </c>
      <c r="F1308" s="0" t="n">
        <f aca="false">-1+B1308*0.25</f>
        <v>0.75</v>
      </c>
      <c r="G1308" s="0" t="n">
        <f aca="false">-1+C1308*0.25</f>
        <v>-1</v>
      </c>
      <c r="H1308" s="0" t="n">
        <f aca="false">-1+D1308*0.25</f>
        <v>0.75</v>
      </c>
      <c r="I1308" s="0" t="n">
        <f aca="false">1</f>
        <v>1</v>
      </c>
      <c r="J1308" s="0" t="n">
        <f aca="false">E1308</f>
        <v>-0.75</v>
      </c>
      <c r="K1308" s="0" t="n">
        <f aca="false">F1308</f>
        <v>0.75</v>
      </c>
      <c r="L1308" s="0" t="n">
        <f aca="false">G1308</f>
        <v>-1</v>
      </c>
      <c r="M1308" s="0" t="n">
        <f aca="false">H1308</f>
        <v>0.75</v>
      </c>
      <c r="N1308" s="0" t="n">
        <f aca="false">E1308*F1308</f>
        <v>-0.5625</v>
      </c>
      <c r="O1308" s="0" t="n">
        <f aca="false">E1308*G1308</f>
        <v>0.75</v>
      </c>
      <c r="P1308" s="0" t="n">
        <f aca="false">E1308*H1308</f>
        <v>-0.5625</v>
      </c>
      <c r="Q1308" s="0" t="n">
        <f aca="false">F1308*G1308</f>
        <v>-0.75</v>
      </c>
      <c r="R1308" s="0" t="n">
        <f aca="false">F1308*H1308</f>
        <v>0.5625</v>
      </c>
      <c r="S1308" s="0" t="n">
        <f aca="false">G1308*H1308</f>
        <v>-0.75</v>
      </c>
      <c r="T1308" s="0" t="n">
        <f aca="false">E1308*E1308</f>
        <v>0.5625</v>
      </c>
      <c r="U1308" s="0" t="n">
        <f aca="false">F1308*F1308</f>
        <v>0.5625</v>
      </c>
      <c r="V1308" s="0" t="n">
        <f aca="false">G1308*G1308</f>
        <v>1</v>
      </c>
      <c r="W1308" s="0" t="n">
        <f aca="false">H1308*H1308</f>
        <v>0.5625</v>
      </c>
      <c r="X1308" s="0" t="n">
        <f aca="false">SUMPRODUCT(I1308:W1308,_XtX!$B$96:$P$96)</f>
        <v>41.7323876096491</v>
      </c>
      <c r="Y1308" s="0" t="n">
        <f aca="false">SUMPRODUCT(MMULT(I1308:W1308,_XtX!$B$78:$P$92),I1308:W1308)</f>
        <v>0.420117473044591</v>
      </c>
      <c r="Z1308" s="0" t="n">
        <f aca="false">04_回帰ANOVA!$K$19*04_回帰ANOVA!$K$14*SQRT(1+Y1308)</f>
        <v>1.55331854827765</v>
      </c>
      <c r="AA1308" s="0" t="n">
        <f aca="false">X1308-Z1308</f>
        <v>40.1790690613715</v>
      </c>
      <c r="AB1308" s="0" t="n">
        <f aca="false">X1308+Z1308</f>
        <v>43.2857061579268</v>
      </c>
      <c r="AC1308" s="54" t="b">
        <f aca="false">AND(E1308&gt;=01_因子設定!$L$5-0.000000001,E1308&lt;=01_因子設定!$M$5+0.000000001,F1308&gt;=01_因子設定!$L$6-0.000000001,F1308&lt;=01_因子設定!$M$6+0.000000001,G1308&gt;=01_因子設定!$L$7-0.000000001,G1308&lt;=01_因子設定!$M$7+0.000000001,H1308&gt;=01_因子設定!$L$8-0.000000001,H1308&lt;=01_因子設定!$M$8+0.000000001,IF(01_因子設定!$B$20="Box-Behnken",E1308^2+F1308^2+G1308^2+H1308^2&lt;=2+0.000000001,TRUE()))</f>
        <v>1</v>
      </c>
      <c r="AD1308" s="55" t="n">
        <f aca="false">IF(AC1308,IF(01_因子設定!$B$13="最大化",AA1308-01_因子設定!$B$14,IF(01_因子設定!$B$13="最小化",01_因子設定!$B$15-AB1308,MIN(AA1308-01_因子設定!$B$14,01_因子設定!$B$15-AB1308))),-1E+030)</f>
        <v>-6.32093093862851</v>
      </c>
      <c r="AE1308" s="55" t="n">
        <f aca="false">IF(AC1308,IF(01_因子設定!$B$13="最大化",X1308,IF(01_因子設定!$B$13="最小化",-X1308,-ABS(X1308-01_因子設定!$B$16))),-1E+030)</f>
        <v>41.7323876096491</v>
      </c>
      <c r="AF1308" s="55" t="n">
        <f aca="false">AD1308+ROW()*0.000000001</f>
        <v>-6.32092963062851</v>
      </c>
      <c r="AG1308" s="55" t="n">
        <f aca="false">AE1308+ROW()*0.000000001</f>
        <v>41.7323889176491</v>
      </c>
    </row>
    <row r="1309" customFormat="false" ht="15" hidden="false" customHeight="false" outlineLevel="0" collapsed="false">
      <c r="A1309" s="0" t="n">
        <v>1</v>
      </c>
      <c r="B1309" s="0" t="n">
        <v>7</v>
      </c>
      <c r="C1309" s="0" t="n">
        <v>0</v>
      </c>
      <c r="D1309" s="0" t="n">
        <v>8</v>
      </c>
      <c r="E1309" s="0" t="n">
        <f aca="false">-1+A1309*0.25</f>
        <v>-0.75</v>
      </c>
      <c r="F1309" s="0" t="n">
        <f aca="false">-1+B1309*0.25</f>
        <v>0.75</v>
      </c>
      <c r="G1309" s="0" t="n">
        <f aca="false">-1+C1309*0.25</f>
        <v>-1</v>
      </c>
      <c r="H1309" s="0" t="n">
        <f aca="false">-1+D1309*0.25</f>
        <v>1</v>
      </c>
      <c r="I1309" s="0" t="n">
        <f aca="false">1</f>
        <v>1</v>
      </c>
      <c r="J1309" s="0" t="n">
        <f aca="false">E1309</f>
        <v>-0.75</v>
      </c>
      <c r="K1309" s="0" t="n">
        <f aca="false">F1309</f>
        <v>0.75</v>
      </c>
      <c r="L1309" s="0" t="n">
        <f aca="false">G1309</f>
        <v>-1</v>
      </c>
      <c r="M1309" s="0" t="n">
        <f aca="false">H1309</f>
        <v>1</v>
      </c>
      <c r="N1309" s="0" t="n">
        <f aca="false">E1309*F1309</f>
        <v>-0.5625</v>
      </c>
      <c r="O1309" s="0" t="n">
        <f aca="false">E1309*G1309</f>
        <v>0.75</v>
      </c>
      <c r="P1309" s="0" t="n">
        <f aca="false">E1309*H1309</f>
        <v>-0.75</v>
      </c>
      <c r="Q1309" s="0" t="n">
        <f aca="false">F1309*G1309</f>
        <v>-0.75</v>
      </c>
      <c r="R1309" s="0" t="n">
        <f aca="false">F1309*H1309</f>
        <v>0.75</v>
      </c>
      <c r="S1309" s="0" t="n">
        <f aca="false">G1309*H1309</f>
        <v>-1</v>
      </c>
      <c r="T1309" s="0" t="n">
        <f aca="false">E1309*E1309</f>
        <v>0.5625</v>
      </c>
      <c r="U1309" s="0" t="n">
        <f aca="false">F1309*F1309</f>
        <v>0.5625</v>
      </c>
      <c r="V1309" s="0" t="n">
        <f aca="false">G1309*G1309</f>
        <v>1</v>
      </c>
      <c r="W1309" s="0" t="n">
        <f aca="false">H1309*H1309</f>
        <v>1</v>
      </c>
      <c r="X1309" s="0" t="n">
        <f aca="false">SUMPRODUCT(I1309:W1309,_XtX!$B$96:$P$96)</f>
        <v>41.5312956871345</v>
      </c>
      <c r="Y1309" s="0" t="n">
        <f aca="false">SUMPRODUCT(MMULT(I1309:W1309,_XtX!$B$78:$P$92),I1309:W1309)</f>
        <v>0.531311392086988</v>
      </c>
      <c r="Z1309" s="0" t="n">
        <f aca="false">04_回帰ANOVA!$K$19*04_回帰ANOVA!$K$14*SQRT(1+Y1309)</f>
        <v>1.61298433431428</v>
      </c>
      <c r="AA1309" s="0" t="n">
        <f aca="false">X1309-Z1309</f>
        <v>39.9183113528203</v>
      </c>
      <c r="AB1309" s="0" t="n">
        <f aca="false">X1309+Z1309</f>
        <v>43.1442800214488</v>
      </c>
      <c r="AC1309" s="54" t="b">
        <f aca="false">AND(E1309&gt;=01_因子設定!$L$5-0.000000001,E1309&lt;=01_因子設定!$M$5+0.000000001,F1309&gt;=01_因子設定!$L$6-0.000000001,F1309&lt;=01_因子設定!$M$6+0.000000001,G1309&gt;=01_因子設定!$L$7-0.000000001,G1309&lt;=01_因子設定!$M$7+0.000000001,H1309&gt;=01_因子設定!$L$8-0.000000001,H1309&lt;=01_因子設定!$M$8+0.000000001,IF(01_因子設定!$B$20="Box-Behnken",E1309^2+F1309^2+G1309^2+H1309^2&lt;=2+0.000000001,TRUE()))</f>
        <v>1</v>
      </c>
      <c r="AD1309" s="55" t="n">
        <f aca="false">IF(AC1309,IF(01_因子設定!$B$13="最大化",AA1309-01_因子設定!$B$14,IF(01_因子設定!$B$13="最小化",01_因子設定!$B$15-AB1309,MIN(AA1309-01_因子設定!$B$14,01_因子設定!$B$15-AB1309))),-1E+030)</f>
        <v>-6.58168864717975</v>
      </c>
      <c r="AE1309" s="55" t="n">
        <f aca="false">IF(AC1309,IF(01_因子設定!$B$13="最大化",X1309,IF(01_因子設定!$B$13="最小化",-X1309,-ABS(X1309-01_因子設定!$B$16))),-1E+030)</f>
        <v>41.5312956871345</v>
      </c>
      <c r="AF1309" s="55" t="n">
        <f aca="false">AD1309+ROW()*0.000000001</f>
        <v>-6.58168733817975</v>
      </c>
      <c r="AG1309" s="55" t="n">
        <f aca="false">AE1309+ROW()*0.000000001</f>
        <v>41.5312969961345</v>
      </c>
    </row>
    <row r="1310" customFormat="false" ht="15" hidden="false" customHeight="false" outlineLevel="0" collapsed="false">
      <c r="A1310" s="0" t="n">
        <v>1</v>
      </c>
      <c r="B1310" s="0" t="n">
        <v>7</v>
      </c>
      <c r="C1310" s="0" t="n">
        <v>1</v>
      </c>
      <c r="D1310" s="0" t="n">
        <v>0</v>
      </c>
      <c r="E1310" s="0" t="n">
        <f aca="false">-1+A1310*0.25</f>
        <v>-0.75</v>
      </c>
      <c r="F1310" s="0" t="n">
        <f aca="false">-1+B1310*0.25</f>
        <v>0.75</v>
      </c>
      <c r="G1310" s="0" t="n">
        <f aca="false">-1+C1310*0.25</f>
        <v>-0.75</v>
      </c>
      <c r="H1310" s="0" t="n">
        <f aca="false">-1+D1310*0.25</f>
        <v>-1</v>
      </c>
      <c r="I1310" s="0" t="n">
        <f aca="false">1</f>
        <v>1</v>
      </c>
      <c r="J1310" s="0" t="n">
        <f aca="false">E1310</f>
        <v>-0.75</v>
      </c>
      <c r="K1310" s="0" t="n">
        <f aca="false">F1310</f>
        <v>0.75</v>
      </c>
      <c r="L1310" s="0" t="n">
        <f aca="false">G1310</f>
        <v>-0.75</v>
      </c>
      <c r="M1310" s="0" t="n">
        <f aca="false">H1310</f>
        <v>-1</v>
      </c>
      <c r="N1310" s="0" t="n">
        <f aca="false">E1310*F1310</f>
        <v>-0.5625</v>
      </c>
      <c r="O1310" s="0" t="n">
        <f aca="false">E1310*G1310</f>
        <v>0.5625</v>
      </c>
      <c r="P1310" s="0" t="n">
        <f aca="false">E1310*H1310</f>
        <v>0.75</v>
      </c>
      <c r="Q1310" s="0" t="n">
        <f aca="false">F1310*G1310</f>
        <v>-0.5625</v>
      </c>
      <c r="R1310" s="0" t="n">
        <f aca="false">F1310*H1310</f>
        <v>-0.75</v>
      </c>
      <c r="S1310" s="0" t="n">
        <f aca="false">G1310*H1310</f>
        <v>0.75</v>
      </c>
      <c r="T1310" s="0" t="n">
        <f aca="false">E1310*E1310</f>
        <v>0.5625</v>
      </c>
      <c r="U1310" s="0" t="n">
        <f aca="false">F1310*F1310</f>
        <v>0.5625</v>
      </c>
      <c r="V1310" s="0" t="n">
        <f aca="false">G1310*G1310</f>
        <v>0.5625</v>
      </c>
      <c r="W1310" s="0" t="n">
        <f aca="false">H1310*H1310</f>
        <v>1</v>
      </c>
      <c r="X1310" s="0" t="n">
        <f aca="false">SUMPRODUCT(I1310:W1310,_XtX!$B$96:$P$96)</f>
        <v>42.4544362207603</v>
      </c>
      <c r="Y1310" s="0" t="n">
        <f aca="false">SUMPRODUCT(MMULT(I1310:W1310,_XtX!$B$78:$P$92),I1310:W1310)</f>
        <v>0.420117473044591</v>
      </c>
      <c r="Z1310" s="0" t="n">
        <f aca="false">04_回帰ANOVA!$K$19*04_回帰ANOVA!$K$14*SQRT(1+Y1310)</f>
        <v>1.55331854827765</v>
      </c>
      <c r="AA1310" s="0" t="n">
        <f aca="false">X1310-Z1310</f>
        <v>40.9011176724826</v>
      </c>
      <c r="AB1310" s="0" t="n">
        <f aca="false">X1310+Z1310</f>
        <v>44.0077547690379</v>
      </c>
      <c r="AC1310" s="54" t="b">
        <f aca="false">AND(E1310&gt;=01_因子設定!$L$5-0.000000001,E1310&lt;=01_因子設定!$M$5+0.000000001,F1310&gt;=01_因子設定!$L$6-0.000000001,F1310&lt;=01_因子設定!$M$6+0.000000001,G1310&gt;=01_因子設定!$L$7-0.000000001,G1310&lt;=01_因子設定!$M$7+0.000000001,H1310&gt;=01_因子設定!$L$8-0.000000001,H1310&lt;=01_因子設定!$M$8+0.000000001,IF(01_因子設定!$B$20="Box-Behnken",E1310^2+F1310^2+G1310^2+H1310^2&lt;=2+0.000000001,TRUE()))</f>
        <v>1</v>
      </c>
      <c r="AD1310" s="55" t="n">
        <f aca="false">IF(AC1310,IF(01_因子設定!$B$13="最大化",AA1310-01_因子設定!$B$14,IF(01_因子設定!$B$13="最小化",01_因子設定!$B$15-AB1310,MIN(AA1310-01_因子設定!$B$14,01_因子設定!$B$15-AB1310))),-1E+030)</f>
        <v>-5.59888232751739</v>
      </c>
      <c r="AE1310" s="55" t="n">
        <f aca="false">IF(AC1310,IF(01_因子設定!$B$13="最大化",X1310,IF(01_因子設定!$B$13="最小化",-X1310,-ABS(X1310-01_因子設定!$B$16))),-1E+030)</f>
        <v>42.4544362207603</v>
      </c>
      <c r="AF1310" s="55" t="n">
        <f aca="false">AD1310+ROW()*0.000000001</f>
        <v>-5.59888101751739</v>
      </c>
      <c r="AG1310" s="55" t="n">
        <f aca="false">AE1310+ROW()*0.000000001</f>
        <v>42.4544375307603</v>
      </c>
    </row>
    <row r="1311" customFormat="false" ht="15" hidden="false" customHeight="false" outlineLevel="0" collapsed="false">
      <c r="A1311" s="0" t="n">
        <v>1</v>
      </c>
      <c r="B1311" s="0" t="n">
        <v>7</v>
      </c>
      <c r="C1311" s="0" t="n">
        <v>1</v>
      </c>
      <c r="D1311" s="0" t="n">
        <v>1</v>
      </c>
      <c r="E1311" s="0" t="n">
        <f aca="false">-1+A1311*0.25</f>
        <v>-0.75</v>
      </c>
      <c r="F1311" s="0" t="n">
        <f aca="false">-1+B1311*0.25</f>
        <v>0.75</v>
      </c>
      <c r="G1311" s="0" t="n">
        <f aca="false">-1+C1311*0.25</f>
        <v>-0.75</v>
      </c>
      <c r="H1311" s="0" t="n">
        <f aca="false">-1+D1311*0.25</f>
        <v>-0.75</v>
      </c>
      <c r="I1311" s="0" t="n">
        <f aca="false">1</f>
        <v>1</v>
      </c>
      <c r="J1311" s="0" t="n">
        <f aca="false">E1311</f>
        <v>-0.75</v>
      </c>
      <c r="K1311" s="0" t="n">
        <f aca="false">F1311</f>
        <v>0.75</v>
      </c>
      <c r="L1311" s="0" t="n">
        <f aca="false">G1311</f>
        <v>-0.75</v>
      </c>
      <c r="M1311" s="0" t="n">
        <f aca="false">H1311</f>
        <v>-0.75</v>
      </c>
      <c r="N1311" s="0" t="n">
        <f aca="false">E1311*F1311</f>
        <v>-0.5625</v>
      </c>
      <c r="O1311" s="0" t="n">
        <f aca="false">E1311*G1311</f>
        <v>0.5625</v>
      </c>
      <c r="P1311" s="0" t="n">
        <f aca="false">E1311*H1311</f>
        <v>0.5625</v>
      </c>
      <c r="Q1311" s="0" t="n">
        <f aca="false">F1311*G1311</f>
        <v>-0.5625</v>
      </c>
      <c r="R1311" s="0" t="n">
        <f aca="false">F1311*H1311</f>
        <v>-0.5625</v>
      </c>
      <c r="S1311" s="0" t="n">
        <f aca="false">G1311*H1311</f>
        <v>0.5625</v>
      </c>
      <c r="T1311" s="0" t="n">
        <f aca="false">E1311*E1311</f>
        <v>0.5625</v>
      </c>
      <c r="U1311" s="0" t="n">
        <f aca="false">F1311*F1311</f>
        <v>0.5625</v>
      </c>
      <c r="V1311" s="0" t="n">
        <f aca="false">G1311*G1311</f>
        <v>0.5625</v>
      </c>
      <c r="W1311" s="0" t="n">
        <f aca="false">H1311*H1311</f>
        <v>0.5625</v>
      </c>
      <c r="X1311" s="0" t="n">
        <f aca="false">SUMPRODUCT(I1311:W1311,_XtX!$B$96:$P$96)</f>
        <v>42.6059621710526</v>
      </c>
      <c r="Y1311" s="0" t="n">
        <f aca="false">SUMPRODUCT(MMULT(I1311:W1311,_XtX!$B$78:$P$92),I1311:W1311)</f>
        <v>0.277232387609649</v>
      </c>
      <c r="Z1311" s="0" t="n">
        <f aca="false">04_回帰ANOVA!$K$19*04_回帰ANOVA!$K$14*SQRT(1+Y1311)</f>
        <v>1.47310381441991</v>
      </c>
      <c r="AA1311" s="0" t="n">
        <f aca="false">X1311-Z1311</f>
        <v>41.1328583566327</v>
      </c>
      <c r="AB1311" s="0" t="n">
        <f aca="false">X1311+Z1311</f>
        <v>44.0790659854725</v>
      </c>
      <c r="AC1311" s="54" t="b">
        <f aca="false">AND(E1311&gt;=01_因子設定!$L$5-0.000000001,E1311&lt;=01_因子設定!$M$5+0.000000001,F1311&gt;=01_因子設定!$L$6-0.000000001,F1311&lt;=01_因子設定!$M$6+0.000000001,G1311&gt;=01_因子設定!$L$7-0.000000001,G1311&lt;=01_因子設定!$M$7+0.000000001,H1311&gt;=01_因子設定!$L$8-0.000000001,H1311&lt;=01_因子設定!$M$8+0.000000001,IF(01_因子設定!$B$20="Box-Behnken",E1311^2+F1311^2+G1311^2+H1311^2&lt;=2+0.000000001,TRUE()))</f>
        <v>1</v>
      </c>
      <c r="AD1311" s="55" t="n">
        <f aca="false">IF(AC1311,IF(01_因子設定!$B$13="最大化",AA1311-01_因子設定!$B$14,IF(01_因子設定!$B$13="最小化",01_因子設定!$B$15-AB1311,MIN(AA1311-01_因子設定!$B$14,01_因子設定!$B$15-AB1311))),-1E+030)</f>
        <v>-5.36714164336727</v>
      </c>
      <c r="AE1311" s="55" t="n">
        <f aca="false">IF(AC1311,IF(01_因子設定!$B$13="最大化",X1311,IF(01_因子設定!$B$13="最小化",-X1311,-ABS(X1311-01_因子設定!$B$16))),-1E+030)</f>
        <v>42.6059621710526</v>
      </c>
      <c r="AF1311" s="55" t="n">
        <f aca="false">AD1311+ROW()*0.000000001</f>
        <v>-5.36714033236727</v>
      </c>
      <c r="AG1311" s="55" t="n">
        <f aca="false">AE1311+ROW()*0.000000001</f>
        <v>42.6059634820526</v>
      </c>
    </row>
    <row r="1312" customFormat="false" ht="15" hidden="false" customHeight="false" outlineLevel="0" collapsed="false">
      <c r="A1312" s="0" t="n">
        <v>1</v>
      </c>
      <c r="B1312" s="0" t="n">
        <v>7</v>
      </c>
      <c r="C1312" s="0" t="n">
        <v>1</v>
      </c>
      <c r="D1312" s="0" t="n">
        <v>2</v>
      </c>
      <c r="E1312" s="0" t="n">
        <f aca="false">-1+A1312*0.25</f>
        <v>-0.75</v>
      </c>
      <c r="F1312" s="0" t="n">
        <f aca="false">-1+B1312*0.25</f>
        <v>0.75</v>
      </c>
      <c r="G1312" s="0" t="n">
        <f aca="false">-1+C1312*0.25</f>
        <v>-0.75</v>
      </c>
      <c r="H1312" s="0" t="n">
        <f aca="false">-1+D1312*0.25</f>
        <v>-0.5</v>
      </c>
      <c r="I1312" s="0" t="n">
        <f aca="false">1</f>
        <v>1</v>
      </c>
      <c r="J1312" s="0" t="n">
        <f aca="false">E1312</f>
        <v>-0.75</v>
      </c>
      <c r="K1312" s="0" t="n">
        <f aca="false">F1312</f>
        <v>0.75</v>
      </c>
      <c r="L1312" s="0" t="n">
        <f aca="false">G1312</f>
        <v>-0.75</v>
      </c>
      <c r="M1312" s="0" t="n">
        <f aca="false">H1312</f>
        <v>-0.5</v>
      </c>
      <c r="N1312" s="0" t="n">
        <f aca="false">E1312*F1312</f>
        <v>-0.5625</v>
      </c>
      <c r="O1312" s="0" t="n">
        <f aca="false">E1312*G1312</f>
        <v>0.5625</v>
      </c>
      <c r="P1312" s="0" t="n">
        <f aca="false">E1312*H1312</f>
        <v>0.375</v>
      </c>
      <c r="Q1312" s="0" t="n">
        <f aca="false">F1312*G1312</f>
        <v>-0.5625</v>
      </c>
      <c r="R1312" s="0" t="n">
        <f aca="false">F1312*H1312</f>
        <v>-0.375</v>
      </c>
      <c r="S1312" s="0" t="n">
        <f aca="false">G1312*H1312</f>
        <v>0.375</v>
      </c>
      <c r="T1312" s="0" t="n">
        <f aca="false">E1312*E1312</f>
        <v>0.5625</v>
      </c>
      <c r="U1312" s="0" t="n">
        <f aca="false">F1312*F1312</f>
        <v>0.5625</v>
      </c>
      <c r="V1312" s="0" t="n">
        <f aca="false">G1312*G1312</f>
        <v>0.5625</v>
      </c>
      <c r="W1312" s="0" t="n">
        <f aca="false">H1312*H1312</f>
        <v>0.25</v>
      </c>
      <c r="X1312" s="0" t="n">
        <f aca="false">SUMPRODUCT(I1312:W1312,_XtX!$B$96:$P$96)</f>
        <v>42.7096811038012</v>
      </c>
      <c r="Y1312" s="0" t="n">
        <f aca="false">SUMPRODUCT(MMULT(I1312:W1312,_XtX!$B$78:$P$92),I1312:W1312)</f>
        <v>0.265632138614766</v>
      </c>
      <c r="Z1312" s="0" t="n">
        <f aca="false">04_回帰ANOVA!$K$19*04_回帰ANOVA!$K$14*SQRT(1+Y1312)</f>
        <v>1.46639894654257</v>
      </c>
      <c r="AA1312" s="0" t="n">
        <f aca="false">X1312-Z1312</f>
        <v>41.2432821572586</v>
      </c>
      <c r="AB1312" s="0" t="n">
        <f aca="false">X1312+Z1312</f>
        <v>44.1760800503437</v>
      </c>
      <c r="AC1312" s="54" t="b">
        <f aca="false">AND(E1312&gt;=01_因子設定!$L$5-0.000000001,E1312&lt;=01_因子設定!$M$5+0.000000001,F1312&gt;=01_因子設定!$L$6-0.000000001,F1312&lt;=01_因子設定!$M$6+0.000000001,G1312&gt;=01_因子設定!$L$7-0.000000001,G1312&lt;=01_因子設定!$M$7+0.000000001,H1312&gt;=01_因子設定!$L$8-0.000000001,H1312&lt;=01_因子設定!$M$8+0.000000001,IF(01_因子設定!$B$20="Box-Behnken",E1312^2+F1312^2+G1312^2+H1312^2&lt;=2+0.000000001,TRUE()))</f>
        <v>1</v>
      </c>
      <c r="AD1312" s="55" t="n">
        <f aca="false">IF(AC1312,IF(01_因子設定!$B$13="最大化",AA1312-01_因子設定!$B$14,IF(01_因子設定!$B$13="最小化",01_因子設定!$B$15-AB1312,MIN(AA1312-01_因子設定!$B$14,01_因子設定!$B$15-AB1312))),-1E+030)</f>
        <v>-5.25671784274141</v>
      </c>
      <c r="AE1312" s="55" t="n">
        <f aca="false">IF(AC1312,IF(01_因子設定!$B$13="最大化",X1312,IF(01_因子設定!$B$13="最小化",-X1312,-ABS(X1312-01_因子設定!$B$16))),-1E+030)</f>
        <v>42.7096811038012</v>
      </c>
      <c r="AF1312" s="55" t="n">
        <f aca="false">AD1312+ROW()*0.000000001</f>
        <v>-5.25671653074141</v>
      </c>
      <c r="AG1312" s="55" t="n">
        <f aca="false">AE1312+ROW()*0.000000001</f>
        <v>42.7096824158012</v>
      </c>
    </row>
    <row r="1313" customFormat="false" ht="15" hidden="false" customHeight="false" outlineLevel="0" collapsed="false">
      <c r="A1313" s="0" t="n">
        <v>1</v>
      </c>
      <c r="B1313" s="0" t="n">
        <v>7</v>
      </c>
      <c r="C1313" s="0" t="n">
        <v>1</v>
      </c>
      <c r="D1313" s="0" t="n">
        <v>3</v>
      </c>
      <c r="E1313" s="0" t="n">
        <f aca="false">-1+A1313*0.25</f>
        <v>-0.75</v>
      </c>
      <c r="F1313" s="0" t="n">
        <f aca="false">-1+B1313*0.25</f>
        <v>0.75</v>
      </c>
      <c r="G1313" s="0" t="n">
        <f aca="false">-1+C1313*0.25</f>
        <v>-0.75</v>
      </c>
      <c r="H1313" s="0" t="n">
        <f aca="false">-1+D1313*0.25</f>
        <v>-0.25</v>
      </c>
      <c r="I1313" s="0" t="n">
        <f aca="false">1</f>
        <v>1</v>
      </c>
      <c r="J1313" s="0" t="n">
        <f aca="false">E1313</f>
        <v>-0.75</v>
      </c>
      <c r="K1313" s="0" t="n">
        <f aca="false">F1313</f>
        <v>0.75</v>
      </c>
      <c r="L1313" s="0" t="n">
        <f aca="false">G1313</f>
        <v>-0.75</v>
      </c>
      <c r="M1313" s="0" t="n">
        <f aca="false">H1313</f>
        <v>-0.25</v>
      </c>
      <c r="N1313" s="0" t="n">
        <f aca="false">E1313*F1313</f>
        <v>-0.5625</v>
      </c>
      <c r="O1313" s="0" t="n">
        <f aca="false">E1313*G1313</f>
        <v>0.5625</v>
      </c>
      <c r="P1313" s="0" t="n">
        <f aca="false">E1313*H1313</f>
        <v>0.1875</v>
      </c>
      <c r="Q1313" s="0" t="n">
        <f aca="false">F1313*G1313</f>
        <v>-0.5625</v>
      </c>
      <c r="R1313" s="0" t="n">
        <f aca="false">F1313*H1313</f>
        <v>-0.1875</v>
      </c>
      <c r="S1313" s="0" t="n">
        <f aca="false">G1313*H1313</f>
        <v>0.1875</v>
      </c>
      <c r="T1313" s="0" t="n">
        <f aca="false">E1313*E1313</f>
        <v>0.5625</v>
      </c>
      <c r="U1313" s="0" t="n">
        <f aca="false">F1313*F1313</f>
        <v>0.5625</v>
      </c>
      <c r="V1313" s="0" t="n">
        <f aca="false">G1313*G1313</f>
        <v>0.5625</v>
      </c>
      <c r="W1313" s="0" t="n">
        <f aca="false">H1313*H1313</f>
        <v>0.0625</v>
      </c>
      <c r="X1313" s="0" t="n">
        <f aca="false">SUMPRODUCT(I1313:W1313,_XtX!$B$96:$P$96)</f>
        <v>42.7655930190058</v>
      </c>
      <c r="Y1313" s="0" t="n">
        <f aca="false">SUMPRODUCT(MMULT(I1313:W1313,_XtX!$B$78:$P$92),I1313:W1313)</f>
        <v>0.294856199744152</v>
      </c>
      <c r="Z1313" s="0" t="n">
        <f aca="false">04_回帰ANOVA!$K$19*04_回帰ANOVA!$K$14*SQRT(1+Y1313)</f>
        <v>1.48323226089013</v>
      </c>
      <c r="AA1313" s="0" t="n">
        <f aca="false">X1313-Z1313</f>
        <v>41.2823607581157</v>
      </c>
      <c r="AB1313" s="0" t="n">
        <f aca="false">X1313+Z1313</f>
        <v>44.248825279896</v>
      </c>
      <c r="AC1313" s="54" t="b">
        <f aca="false">AND(E1313&gt;=01_因子設定!$L$5-0.000000001,E1313&lt;=01_因子設定!$M$5+0.000000001,F1313&gt;=01_因子設定!$L$6-0.000000001,F1313&lt;=01_因子設定!$M$6+0.000000001,G1313&gt;=01_因子設定!$L$7-0.000000001,G1313&lt;=01_因子設定!$M$7+0.000000001,H1313&gt;=01_因子設定!$L$8-0.000000001,H1313&lt;=01_因子設定!$M$8+0.000000001,IF(01_因子設定!$B$20="Box-Behnken",E1313^2+F1313^2+G1313^2+H1313^2&lt;=2+0.000000001,TRUE()))</f>
        <v>1</v>
      </c>
      <c r="AD1313" s="55" t="n">
        <f aca="false">IF(AC1313,IF(01_因子設定!$B$13="最大化",AA1313-01_因子設定!$B$14,IF(01_因子設定!$B$13="最小化",01_因子設定!$B$15-AB1313,MIN(AA1313-01_因子設定!$B$14,01_因子設定!$B$15-AB1313))),-1E+030)</f>
        <v>-5.21763924188429</v>
      </c>
      <c r="AE1313" s="55" t="n">
        <f aca="false">IF(AC1313,IF(01_因子設定!$B$13="最大化",X1313,IF(01_因子設定!$B$13="最小化",-X1313,-ABS(X1313-01_因子設定!$B$16))),-1E+030)</f>
        <v>42.7655930190058</v>
      </c>
      <c r="AF1313" s="55" t="n">
        <f aca="false">AD1313+ROW()*0.000000001</f>
        <v>-5.21763792888429</v>
      </c>
      <c r="AG1313" s="55" t="n">
        <f aca="false">AE1313+ROW()*0.000000001</f>
        <v>42.7655943320058</v>
      </c>
    </row>
    <row r="1314" customFormat="false" ht="15" hidden="false" customHeight="false" outlineLevel="0" collapsed="false">
      <c r="A1314" s="0" t="n">
        <v>1</v>
      </c>
      <c r="B1314" s="0" t="n">
        <v>7</v>
      </c>
      <c r="C1314" s="0" t="n">
        <v>1</v>
      </c>
      <c r="D1314" s="0" t="n">
        <v>4</v>
      </c>
      <c r="E1314" s="0" t="n">
        <f aca="false">-1+A1314*0.25</f>
        <v>-0.75</v>
      </c>
      <c r="F1314" s="0" t="n">
        <f aca="false">-1+B1314*0.25</f>
        <v>0.75</v>
      </c>
      <c r="G1314" s="0" t="n">
        <f aca="false">-1+C1314*0.25</f>
        <v>-0.75</v>
      </c>
      <c r="H1314" s="0" t="n">
        <f aca="false">-1+D1314*0.25</f>
        <v>0</v>
      </c>
      <c r="I1314" s="0" t="n">
        <f aca="false">1</f>
        <v>1</v>
      </c>
      <c r="J1314" s="0" t="n">
        <f aca="false">E1314</f>
        <v>-0.75</v>
      </c>
      <c r="K1314" s="0" t="n">
        <f aca="false">F1314</f>
        <v>0.75</v>
      </c>
      <c r="L1314" s="0" t="n">
        <f aca="false">G1314</f>
        <v>-0.75</v>
      </c>
      <c r="M1314" s="0" t="n">
        <f aca="false">H1314</f>
        <v>0</v>
      </c>
      <c r="N1314" s="0" t="n">
        <f aca="false">E1314*F1314</f>
        <v>-0.5625</v>
      </c>
      <c r="O1314" s="0" t="n">
        <f aca="false">E1314*G1314</f>
        <v>0.5625</v>
      </c>
      <c r="P1314" s="0" t="n">
        <f aca="false">E1314*H1314</f>
        <v>-0</v>
      </c>
      <c r="Q1314" s="0" t="n">
        <f aca="false">F1314*G1314</f>
        <v>-0.5625</v>
      </c>
      <c r="R1314" s="0" t="n">
        <f aca="false">F1314*H1314</f>
        <v>0</v>
      </c>
      <c r="S1314" s="0" t="n">
        <f aca="false">G1314*H1314</f>
        <v>-0</v>
      </c>
      <c r="T1314" s="0" t="n">
        <f aca="false">E1314*E1314</f>
        <v>0.5625</v>
      </c>
      <c r="U1314" s="0" t="n">
        <f aca="false">F1314*F1314</f>
        <v>0.5625</v>
      </c>
      <c r="V1314" s="0" t="n">
        <f aca="false">G1314*G1314</f>
        <v>0.5625</v>
      </c>
      <c r="W1314" s="0" t="n">
        <f aca="false">H1314*H1314</f>
        <v>0</v>
      </c>
      <c r="X1314" s="0" t="n">
        <f aca="false">SUMPRODUCT(I1314:W1314,_XtX!$B$96:$P$96)</f>
        <v>42.7736979166667</v>
      </c>
      <c r="Y1314" s="0" t="n">
        <f aca="false">SUMPRODUCT(MMULT(I1314:W1314,_XtX!$B$78:$P$92),I1314:W1314)</f>
        <v>0.310628255208333</v>
      </c>
      <c r="Z1314" s="0" t="n">
        <f aca="false">04_回帰ANOVA!$K$19*04_回帰ANOVA!$K$14*SQRT(1+Y1314)</f>
        <v>1.49223820892344</v>
      </c>
      <c r="AA1314" s="0" t="n">
        <f aca="false">X1314-Z1314</f>
        <v>41.2814597077432</v>
      </c>
      <c r="AB1314" s="0" t="n">
        <f aca="false">X1314+Z1314</f>
        <v>44.2659361255901</v>
      </c>
      <c r="AC1314" s="54" t="b">
        <f aca="false">AND(E1314&gt;=01_因子設定!$L$5-0.000000001,E1314&lt;=01_因子設定!$M$5+0.000000001,F1314&gt;=01_因子設定!$L$6-0.000000001,F1314&lt;=01_因子設定!$M$6+0.000000001,G1314&gt;=01_因子設定!$L$7-0.000000001,G1314&lt;=01_因子設定!$M$7+0.000000001,H1314&gt;=01_因子設定!$L$8-0.000000001,H1314&lt;=01_因子設定!$M$8+0.000000001,IF(01_因子設定!$B$20="Box-Behnken",E1314^2+F1314^2+G1314^2+H1314^2&lt;=2+0.000000001,TRUE()))</f>
        <v>1</v>
      </c>
      <c r="AD1314" s="55" t="n">
        <f aca="false">IF(AC1314,IF(01_因子設定!$B$13="最大化",AA1314-01_因子設定!$B$14,IF(01_因子設定!$B$13="最小化",01_因子設定!$B$15-AB1314,MIN(AA1314-01_因子設定!$B$14,01_因子設定!$B$15-AB1314))),-1E+030)</f>
        <v>-5.21854029225678</v>
      </c>
      <c r="AE1314" s="55" t="n">
        <f aca="false">IF(AC1314,IF(01_因子設定!$B$13="最大化",X1314,IF(01_因子設定!$B$13="最小化",-X1314,-ABS(X1314-01_因子設定!$B$16))),-1E+030)</f>
        <v>42.7736979166667</v>
      </c>
      <c r="AF1314" s="55" t="n">
        <f aca="false">AD1314+ROW()*0.000000001</f>
        <v>-5.21853897825678</v>
      </c>
      <c r="AG1314" s="55" t="n">
        <f aca="false">AE1314+ROW()*0.000000001</f>
        <v>42.7736992306667</v>
      </c>
    </row>
    <row r="1315" customFormat="false" ht="15" hidden="false" customHeight="false" outlineLevel="0" collapsed="false">
      <c r="A1315" s="0" t="n">
        <v>1</v>
      </c>
      <c r="B1315" s="0" t="n">
        <v>7</v>
      </c>
      <c r="C1315" s="0" t="n">
        <v>1</v>
      </c>
      <c r="D1315" s="0" t="n">
        <v>5</v>
      </c>
      <c r="E1315" s="0" t="n">
        <f aca="false">-1+A1315*0.25</f>
        <v>-0.75</v>
      </c>
      <c r="F1315" s="0" t="n">
        <f aca="false">-1+B1315*0.25</f>
        <v>0.75</v>
      </c>
      <c r="G1315" s="0" t="n">
        <f aca="false">-1+C1315*0.25</f>
        <v>-0.75</v>
      </c>
      <c r="H1315" s="0" t="n">
        <f aca="false">-1+D1315*0.25</f>
        <v>0.25</v>
      </c>
      <c r="I1315" s="0" t="n">
        <f aca="false">1</f>
        <v>1</v>
      </c>
      <c r="J1315" s="0" t="n">
        <f aca="false">E1315</f>
        <v>-0.75</v>
      </c>
      <c r="K1315" s="0" t="n">
        <f aca="false">F1315</f>
        <v>0.75</v>
      </c>
      <c r="L1315" s="0" t="n">
        <f aca="false">G1315</f>
        <v>-0.75</v>
      </c>
      <c r="M1315" s="0" t="n">
        <f aca="false">H1315</f>
        <v>0.25</v>
      </c>
      <c r="N1315" s="0" t="n">
        <f aca="false">E1315*F1315</f>
        <v>-0.5625</v>
      </c>
      <c r="O1315" s="0" t="n">
        <f aca="false">E1315*G1315</f>
        <v>0.5625</v>
      </c>
      <c r="P1315" s="0" t="n">
        <f aca="false">E1315*H1315</f>
        <v>-0.1875</v>
      </c>
      <c r="Q1315" s="0" t="n">
        <f aca="false">F1315*G1315</f>
        <v>-0.5625</v>
      </c>
      <c r="R1315" s="0" t="n">
        <f aca="false">F1315*H1315</f>
        <v>0.1875</v>
      </c>
      <c r="S1315" s="0" t="n">
        <f aca="false">G1315*H1315</f>
        <v>-0.1875</v>
      </c>
      <c r="T1315" s="0" t="n">
        <f aca="false">E1315*E1315</f>
        <v>0.5625</v>
      </c>
      <c r="U1315" s="0" t="n">
        <f aca="false">F1315*F1315</f>
        <v>0.5625</v>
      </c>
      <c r="V1315" s="0" t="n">
        <f aca="false">G1315*G1315</f>
        <v>0.5625</v>
      </c>
      <c r="W1315" s="0" t="n">
        <f aca="false">H1315*H1315</f>
        <v>0.0625</v>
      </c>
      <c r="X1315" s="0" t="n">
        <f aca="false">SUMPRODUCT(I1315:W1315,_XtX!$B$96:$P$96)</f>
        <v>42.7339957967836</v>
      </c>
      <c r="Y1315" s="0" t="n">
        <f aca="false">SUMPRODUCT(MMULT(I1315:W1315,_XtX!$B$78:$P$92),I1315:W1315)</f>
        <v>0.294856199744152</v>
      </c>
      <c r="Z1315" s="0" t="n">
        <f aca="false">04_回帰ANOVA!$K$19*04_回帰ANOVA!$K$14*SQRT(1+Y1315)</f>
        <v>1.48323226089013</v>
      </c>
      <c r="AA1315" s="0" t="n">
        <f aca="false">X1315-Z1315</f>
        <v>41.2507635358935</v>
      </c>
      <c r="AB1315" s="0" t="n">
        <f aca="false">X1315+Z1315</f>
        <v>44.2172280576738</v>
      </c>
      <c r="AC1315" s="54" t="b">
        <f aca="false">AND(E1315&gt;=01_因子設定!$L$5-0.000000001,E1315&lt;=01_因子設定!$M$5+0.000000001,F1315&gt;=01_因子設定!$L$6-0.000000001,F1315&lt;=01_因子設定!$M$6+0.000000001,G1315&gt;=01_因子設定!$L$7-0.000000001,G1315&lt;=01_因子設定!$M$7+0.000000001,H1315&gt;=01_因子設定!$L$8-0.000000001,H1315&lt;=01_因子設定!$M$8+0.000000001,IF(01_因子設定!$B$20="Box-Behnken",E1315^2+F1315^2+G1315^2+H1315^2&lt;=2+0.000000001,TRUE()))</f>
        <v>1</v>
      </c>
      <c r="AD1315" s="55" t="n">
        <f aca="false">IF(AC1315,IF(01_因子設定!$B$13="最大化",AA1315-01_因子設定!$B$14,IF(01_因子設定!$B$13="最小化",01_因子設定!$B$15-AB1315,MIN(AA1315-01_因子設定!$B$14,01_因子設定!$B$15-AB1315))),-1E+030)</f>
        <v>-5.24923646410652</v>
      </c>
      <c r="AE1315" s="55" t="n">
        <f aca="false">IF(AC1315,IF(01_因子設定!$B$13="最大化",X1315,IF(01_因子設定!$B$13="最小化",-X1315,-ABS(X1315-01_因子設定!$B$16))),-1E+030)</f>
        <v>42.7339957967836</v>
      </c>
      <c r="AF1315" s="55" t="n">
        <f aca="false">AD1315+ROW()*0.000000001</f>
        <v>-5.24923514910652</v>
      </c>
      <c r="AG1315" s="55" t="n">
        <f aca="false">AE1315+ROW()*0.000000001</f>
        <v>42.7339971117836</v>
      </c>
    </row>
    <row r="1316" customFormat="false" ht="15" hidden="false" customHeight="false" outlineLevel="0" collapsed="false">
      <c r="A1316" s="0" t="n">
        <v>1</v>
      </c>
      <c r="B1316" s="0" t="n">
        <v>7</v>
      </c>
      <c r="C1316" s="0" t="n">
        <v>1</v>
      </c>
      <c r="D1316" s="0" t="n">
        <v>6</v>
      </c>
      <c r="E1316" s="0" t="n">
        <f aca="false">-1+A1316*0.25</f>
        <v>-0.75</v>
      </c>
      <c r="F1316" s="0" t="n">
        <f aca="false">-1+B1316*0.25</f>
        <v>0.75</v>
      </c>
      <c r="G1316" s="0" t="n">
        <f aca="false">-1+C1316*0.25</f>
        <v>-0.75</v>
      </c>
      <c r="H1316" s="0" t="n">
        <f aca="false">-1+D1316*0.25</f>
        <v>0.5</v>
      </c>
      <c r="I1316" s="0" t="n">
        <f aca="false">1</f>
        <v>1</v>
      </c>
      <c r="J1316" s="0" t="n">
        <f aca="false">E1316</f>
        <v>-0.75</v>
      </c>
      <c r="K1316" s="0" t="n">
        <f aca="false">F1316</f>
        <v>0.75</v>
      </c>
      <c r="L1316" s="0" t="n">
        <f aca="false">G1316</f>
        <v>-0.75</v>
      </c>
      <c r="M1316" s="0" t="n">
        <f aca="false">H1316</f>
        <v>0.5</v>
      </c>
      <c r="N1316" s="0" t="n">
        <f aca="false">E1316*F1316</f>
        <v>-0.5625</v>
      </c>
      <c r="O1316" s="0" t="n">
        <f aca="false">E1316*G1316</f>
        <v>0.5625</v>
      </c>
      <c r="P1316" s="0" t="n">
        <f aca="false">E1316*H1316</f>
        <v>-0.375</v>
      </c>
      <c r="Q1316" s="0" t="n">
        <f aca="false">F1316*G1316</f>
        <v>-0.5625</v>
      </c>
      <c r="R1316" s="0" t="n">
        <f aca="false">F1316*H1316</f>
        <v>0.375</v>
      </c>
      <c r="S1316" s="0" t="n">
        <f aca="false">G1316*H1316</f>
        <v>-0.375</v>
      </c>
      <c r="T1316" s="0" t="n">
        <f aca="false">E1316*E1316</f>
        <v>0.5625</v>
      </c>
      <c r="U1316" s="0" t="n">
        <f aca="false">F1316*F1316</f>
        <v>0.5625</v>
      </c>
      <c r="V1316" s="0" t="n">
        <f aca="false">G1316*G1316</f>
        <v>0.5625</v>
      </c>
      <c r="W1316" s="0" t="n">
        <f aca="false">H1316*H1316</f>
        <v>0.25</v>
      </c>
      <c r="X1316" s="0" t="n">
        <f aca="false">SUMPRODUCT(I1316:W1316,_XtX!$B$96:$P$96)</f>
        <v>42.6464866593567</v>
      </c>
      <c r="Y1316" s="0" t="n">
        <f aca="false">SUMPRODUCT(MMULT(I1316:W1316,_XtX!$B$78:$P$92),I1316:W1316)</f>
        <v>0.265632138614766</v>
      </c>
      <c r="Z1316" s="0" t="n">
        <f aca="false">04_回帰ANOVA!$K$19*04_回帰ANOVA!$K$14*SQRT(1+Y1316)</f>
        <v>1.46639894654257</v>
      </c>
      <c r="AA1316" s="0" t="n">
        <f aca="false">X1316-Z1316</f>
        <v>41.1800877128141</v>
      </c>
      <c r="AB1316" s="0" t="n">
        <f aca="false">X1316+Z1316</f>
        <v>44.1128856058993</v>
      </c>
      <c r="AC1316" s="54" t="b">
        <f aca="false">AND(E1316&gt;=01_因子設定!$L$5-0.000000001,E1316&lt;=01_因子設定!$M$5+0.000000001,F1316&gt;=01_因子設定!$L$6-0.000000001,F1316&lt;=01_因子設定!$M$6+0.000000001,G1316&gt;=01_因子設定!$L$7-0.000000001,G1316&lt;=01_因子設定!$M$7+0.000000001,H1316&gt;=01_因子設定!$L$8-0.000000001,H1316&lt;=01_因子設定!$M$8+0.000000001,IF(01_因子設定!$B$20="Box-Behnken",E1316^2+F1316^2+G1316^2+H1316^2&lt;=2+0.000000001,TRUE()))</f>
        <v>1</v>
      </c>
      <c r="AD1316" s="55" t="n">
        <f aca="false">IF(AC1316,IF(01_因子設定!$B$13="最大化",AA1316-01_因子設定!$B$14,IF(01_因子設定!$B$13="最小化",01_因子設定!$B$15-AB1316,MIN(AA1316-01_因子設定!$B$14,01_因子設定!$B$15-AB1316))),-1E+030)</f>
        <v>-5.31991228718586</v>
      </c>
      <c r="AE1316" s="55" t="n">
        <f aca="false">IF(AC1316,IF(01_因子設定!$B$13="最大化",X1316,IF(01_因子設定!$B$13="最小化",-X1316,-ABS(X1316-01_因子設定!$B$16))),-1E+030)</f>
        <v>42.6464866593567</v>
      </c>
      <c r="AF1316" s="55" t="n">
        <f aca="false">AD1316+ROW()*0.000000001</f>
        <v>-5.31991097118586</v>
      </c>
      <c r="AG1316" s="55" t="n">
        <f aca="false">AE1316+ROW()*0.000000001</f>
        <v>42.6464879753567</v>
      </c>
    </row>
    <row r="1317" customFormat="false" ht="15" hidden="false" customHeight="false" outlineLevel="0" collapsed="false">
      <c r="A1317" s="0" t="n">
        <v>1</v>
      </c>
      <c r="B1317" s="0" t="n">
        <v>7</v>
      </c>
      <c r="C1317" s="0" t="n">
        <v>1</v>
      </c>
      <c r="D1317" s="0" t="n">
        <v>7</v>
      </c>
      <c r="E1317" s="0" t="n">
        <f aca="false">-1+A1317*0.25</f>
        <v>-0.75</v>
      </c>
      <c r="F1317" s="0" t="n">
        <f aca="false">-1+B1317*0.25</f>
        <v>0.75</v>
      </c>
      <c r="G1317" s="0" t="n">
        <f aca="false">-1+C1317*0.25</f>
        <v>-0.75</v>
      </c>
      <c r="H1317" s="0" t="n">
        <f aca="false">-1+D1317*0.25</f>
        <v>0.75</v>
      </c>
      <c r="I1317" s="0" t="n">
        <f aca="false">1</f>
        <v>1</v>
      </c>
      <c r="J1317" s="0" t="n">
        <f aca="false">E1317</f>
        <v>-0.75</v>
      </c>
      <c r="K1317" s="0" t="n">
        <f aca="false">F1317</f>
        <v>0.75</v>
      </c>
      <c r="L1317" s="0" t="n">
        <f aca="false">G1317</f>
        <v>-0.75</v>
      </c>
      <c r="M1317" s="0" t="n">
        <f aca="false">H1317</f>
        <v>0.75</v>
      </c>
      <c r="N1317" s="0" t="n">
        <f aca="false">E1317*F1317</f>
        <v>-0.5625</v>
      </c>
      <c r="O1317" s="0" t="n">
        <f aca="false">E1317*G1317</f>
        <v>0.5625</v>
      </c>
      <c r="P1317" s="0" t="n">
        <f aca="false">E1317*H1317</f>
        <v>-0.5625</v>
      </c>
      <c r="Q1317" s="0" t="n">
        <f aca="false">F1317*G1317</f>
        <v>-0.5625</v>
      </c>
      <c r="R1317" s="0" t="n">
        <f aca="false">F1317*H1317</f>
        <v>0.5625</v>
      </c>
      <c r="S1317" s="0" t="n">
        <f aca="false">G1317*H1317</f>
        <v>-0.5625</v>
      </c>
      <c r="T1317" s="0" t="n">
        <f aca="false">E1317*E1317</f>
        <v>0.5625</v>
      </c>
      <c r="U1317" s="0" t="n">
        <f aca="false">F1317*F1317</f>
        <v>0.5625</v>
      </c>
      <c r="V1317" s="0" t="n">
        <f aca="false">G1317*G1317</f>
        <v>0.5625</v>
      </c>
      <c r="W1317" s="0" t="n">
        <f aca="false">H1317*H1317</f>
        <v>0.5625</v>
      </c>
      <c r="X1317" s="0" t="n">
        <f aca="false">SUMPRODUCT(I1317:W1317,_XtX!$B$96:$P$96)</f>
        <v>42.511170504386</v>
      </c>
      <c r="Y1317" s="0" t="n">
        <f aca="false">SUMPRODUCT(MMULT(I1317:W1317,_XtX!$B$78:$P$92),I1317:W1317)</f>
        <v>0.277232387609649</v>
      </c>
      <c r="Z1317" s="0" t="n">
        <f aca="false">04_回帰ANOVA!$K$19*04_回帰ANOVA!$K$14*SQRT(1+Y1317)</f>
        <v>1.47310381441991</v>
      </c>
      <c r="AA1317" s="0" t="n">
        <f aca="false">X1317-Z1317</f>
        <v>41.0380666899661</v>
      </c>
      <c r="AB1317" s="0" t="n">
        <f aca="false">X1317+Z1317</f>
        <v>43.9842743188059</v>
      </c>
      <c r="AC1317" s="54" t="b">
        <f aca="false">AND(E1317&gt;=01_因子設定!$L$5-0.000000001,E1317&lt;=01_因子設定!$M$5+0.000000001,F1317&gt;=01_因子設定!$L$6-0.000000001,F1317&lt;=01_因子設定!$M$6+0.000000001,G1317&gt;=01_因子設定!$L$7-0.000000001,G1317&lt;=01_因子設定!$M$7+0.000000001,H1317&gt;=01_因子設定!$L$8-0.000000001,H1317&lt;=01_因子設定!$M$8+0.000000001,IF(01_因子設定!$B$20="Box-Behnken",E1317^2+F1317^2+G1317^2+H1317^2&lt;=2+0.000000001,TRUE()))</f>
        <v>1</v>
      </c>
      <c r="AD1317" s="55" t="n">
        <f aca="false">IF(AC1317,IF(01_因子設定!$B$13="最大化",AA1317-01_因子設定!$B$14,IF(01_因子設定!$B$13="最小化",01_因子設定!$B$15-AB1317,MIN(AA1317-01_因子設定!$B$14,01_因子設定!$B$15-AB1317))),-1E+030)</f>
        <v>-5.46193331003394</v>
      </c>
      <c r="AE1317" s="55" t="n">
        <f aca="false">IF(AC1317,IF(01_因子設定!$B$13="最大化",X1317,IF(01_因子設定!$B$13="最小化",-X1317,-ABS(X1317-01_因子設定!$B$16))),-1E+030)</f>
        <v>42.511170504386</v>
      </c>
      <c r="AF1317" s="55" t="n">
        <f aca="false">AD1317+ROW()*0.000000001</f>
        <v>-5.46193199303394</v>
      </c>
      <c r="AG1317" s="55" t="n">
        <f aca="false">AE1317+ROW()*0.000000001</f>
        <v>42.511171821386</v>
      </c>
    </row>
    <row r="1318" customFormat="false" ht="15" hidden="false" customHeight="false" outlineLevel="0" collapsed="false">
      <c r="A1318" s="0" t="n">
        <v>1</v>
      </c>
      <c r="B1318" s="0" t="n">
        <v>7</v>
      </c>
      <c r="C1318" s="0" t="n">
        <v>1</v>
      </c>
      <c r="D1318" s="0" t="n">
        <v>8</v>
      </c>
      <c r="E1318" s="0" t="n">
        <f aca="false">-1+A1318*0.25</f>
        <v>-0.75</v>
      </c>
      <c r="F1318" s="0" t="n">
        <f aca="false">-1+B1318*0.25</f>
        <v>0.75</v>
      </c>
      <c r="G1318" s="0" t="n">
        <f aca="false">-1+C1318*0.25</f>
        <v>-0.75</v>
      </c>
      <c r="H1318" s="0" t="n">
        <f aca="false">-1+D1318*0.25</f>
        <v>1</v>
      </c>
      <c r="I1318" s="0" t="n">
        <f aca="false">1</f>
        <v>1</v>
      </c>
      <c r="J1318" s="0" t="n">
        <f aca="false">E1318</f>
        <v>-0.75</v>
      </c>
      <c r="K1318" s="0" t="n">
        <f aca="false">F1318</f>
        <v>0.75</v>
      </c>
      <c r="L1318" s="0" t="n">
        <f aca="false">G1318</f>
        <v>-0.75</v>
      </c>
      <c r="M1318" s="0" t="n">
        <f aca="false">H1318</f>
        <v>1</v>
      </c>
      <c r="N1318" s="0" t="n">
        <f aca="false">E1318*F1318</f>
        <v>-0.5625</v>
      </c>
      <c r="O1318" s="0" t="n">
        <f aca="false">E1318*G1318</f>
        <v>0.5625</v>
      </c>
      <c r="P1318" s="0" t="n">
        <f aca="false">E1318*H1318</f>
        <v>-0.75</v>
      </c>
      <c r="Q1318" s="0" t="n">
        <f aca="false">F1318*G1318</f>
        <v>-0.5625</v>
      </c>
      <c r="R1318" s="0" t="n">
        <f aca="false">F1318*H1318</f>
        <v>0.75</v>
      </c>
      <c r="S1318" s="0" t="n">
        <f aca="false">G1318*H1318</f>
        <v>-0.75</v>
      </c>
      <c r="T1318" s="0" t="n">
        <f aca="false">E1318*E1318</f>
        <v>0.5625</v>
      </c>
      <c r="U1318" s="0" t="n">
        <f aca="false">F1318*F1318</f>
        <v>0.5625</v>
      </c>
      <c r="V1318" s="0" t="n">
        <f aca="false">G1318*G1318</f>
        <v>0.5625</v>
      </c>
      <c r="W1318" s="0" t="n">
        <f aca="false">H1318*H1318</f>
        <v>1</v>
      </c>
      <c r="X1318" s="0" t="n">
        <f aca="false">SUMPRODUCT(I1318:W1318,_XtX!$B$96:$P$96)</f>
        <v>42.3280473318714</v>
      </c>
      <c r="Y1318" s="0" t="n">
        <f aca="false">SUMPRODUCT(MMULT(I1318:W1318,_XtX!$B$78:$P$92),I1318:W1318)</f>
        <v>0.420117473044591</v>
      </c>
      <c r="Z1318" s="0" t="n">
        <f aca="false">04_回帰ANOVA!$K$19*04_回帰ANOVA!$K$14*SQRT(1+Y1318)</f>
        <v>1.55331854827765</v>
      </c>
      <c r="AA1318" s="0" t="n">
        <f aca="false">X1318-Z1318</f>
        <v>40.7747287835937</v>
      </c>
      <c r="AB1318" s="0" t="n">
        <f aca="false">X1318+Z1318</f>
        <v>43.881365880149</v>
      </c>
      <c r="AC1318" s="54" t="b">
        <f aca="false">AND(E1318&gt;=01_因子設定!$L$5-0.000000001,E1318&lt;=01_因子設定!$M$5+0.000000001,F1318&gt;=01_因子設定!$L$6-0.000000001,F1318&lt;=01_因子設定!$M$6+0.000000001,G1318&gt;=01_因子設定!$L$7-0.000000001,G1318&lt;=01_因子設定!$M$7+0.000000001,H1318&gt;=01_因子設定!$L$8-0.000000001,H1318&lt;=01_因子設定!$M$8+0.000000001,IF(01_因子設定!$B$20="Box-Behnken",E1318^2+F1318^2+G1318^2+H1318^2&lt;=2+0.000000001,TRUE()))</f>
        <v>1</v>
      </c>
      <c r="AD1318" s="55" t="n">
        <f aca="false">IF(AC1318,IF(01_因子設定!$B$13="最大化",AA1318-01_因子設定!$B$14,IF(01_因子設定!$B$13="最小化",01_因子設定!$B$15-AB1318,MIN(AA1318-01_因子設定!$B$14,01_因子設定!$B$15-AB1318))),-1E+030)</f>
        <v>-5.72527121640628</v>
      </c>
      <c r="AE1318" s="55" t="n">
        <f aca="false">IF(AC1318,IF(01_因子設定!$B$13="最大化",X1318,IF(01_因子設定!$B$13="最小化",-X1318,-ABS(X1318-01_因子設定!$B$16))),-1E+030)</f>
        <v>42.3280473318714</v>
      </c>
      <c r="AF1318" s="55" t="n">
        <f aca="false">AD1318+ROW()*0.000000001</f>
        <v>-5.72526989840628</v>
      </c>
      <c r="AG1318" s="55" t="n">
        <f aca="false">AE1318+ROW()*0.000000001</f>
        <v>42.3280486498714</v>
      </c>
    </row>
    <row r="1319" customFormat="false" ht="15" hidden="false" customHeight="false" outlineLevel="0" collapsed="false">
      <c r="A1319" s="0" t="n">
        <v>1</v>
      </c>
      <c r="B1319" s="0" t="n">
        <v>7</v>
      </c>
      <c r="C1319" s="0" t="n">
        <v>2</v>
      </c>
      <c r="D1319" s="0" t="n">
        <v>0</v>
      </c>
      <c r="E1319" s="0" t="n">
        <f aca="false">-1+A1319*0.25</f>
        <v>-0.75</v>
      </c>
      <c r="F1319" s="0" t="n">
        <f aca="false">-1+B1319*0.25</f>
        <v>0.75</v>
      </c>
      <c r="G1319" s="0" t="n">
        <f aca="false">-1+C1319*0.25</f>
        <v>-0.5</v>
      </c>
      <c r="H1319" s="0" t="n">
        <f aca="false">-1+D1319*0.25</f>
        <v>-1</v>
      </c>
      <c r="I1319" s="0" t="n">
        <f aca="false">1</f>
        <v>1</v>
      </c>
      <c r="J1319" s="0" t="n">
        <f aca="false">E1319</f>
        <v>-0.75</v>
      </c>
      <c r="K1319" s="0" t="n">
        <f aca="false">F1319</f>
        <v>0.75</v>
      </c>
      <c r="L1319" s="0" t="n">
        <f aca="false">G1319</f>
        <v>-0.5</v>
      </c>
      <c r="M1319" s="0" t="n">
        <f aca="false">H1319</f>
        <v>-1</v>
      </c>
      <c r="N1319" s="0" t="n">
        <f aca="false">E1319*F1319</f>
        <v>-0.5625</v>
      </c>
      <c r="O1319" s="0" t="n">
        <f aca="false">E1319*G1319</f>
        <v>0.375</v>
      </c>
      <c r="P1319" s="0" t="n">
        <f aca="false">E1319*H1319</f>
        <v>0.75</v>
      </c>
      <c r="Q1319" s="0" t="n">
        <f aca="false">F1319*G1319</f>
        <v>-0.375</v>
      </c>
      <c r="R1319" s="0" t="n">
        <f aca="false">F1319*H1319</f>
        <v>-0.75</v>
      </c>
      <c r="S1319" s="0" t="n">
        <f aca="false">G1319*H1319</f>
        <v>0.5</v>
      </c>
      <c r="T1319" s="0" t="n">
        <f aca="false">E1319*E1319</f>
        <v>0.5625</v>
      </c>
      <c r="U1319" s="0" t="n">
        <f aca="false">F1319*F1319</f>
        <v>0.5625</v>
      </c>
      <c r="V1319" s="0" t="n">
        <f aca="false">G1319*G1319</f>
        <v>0.25</v>
      </c>
      <c r="W1319" s="0" t="n">
        <f aca="false">H1319*H1319</f>
        <v>1</v>
      </c>
      <c r="X1319" s="0" t="n">
        <f aca="false">SUMPRODUCT(I1319:W1319,_XtX!$B$96:$P$96)</f>
        <v>43.0221308479532</v>
      </c>
      <c r="Y1319" s="0" t="n">
        <f aca="false">SUMPRODUCT(MMULT(I1319:W1319,_XtX!$B$78:$P$92),I1319:W1319)</f>
        <v>0.431153771472953</v>
      </c>
      <c r="Z1319" s="0" t="n">
        <f aca="false">04_回帰ANOVA!$K$19*04_回帰ANOVA!$K$14*SQRT(1+Y1319)</f>
        <v>1.55934259562563</v>
      </c>
      <c r="AA1319" s="0" t="n">
        <f aca="false">X1319-Z1319</f>
        <v>41.4627882523276</v>
      </c>
      <c r="AB1319" s="0" t="n">
        <f aca="false">X1319+Z1319</f>
        <v>44.5814734435789</v>
      </c>
      <c r="AC1319" s="54" t="b">
        <f aca="false">AND(E1319&gt;=01_因子設定!$L$5-0.000000001,E1319&lt;=01_因子設定!$M$5+0.000000001,F1319&gt;=01_因子設定!$L$6-0.000000001,F1319&lt;=01_因子設定!$M$6+0.000000001,G1319&gt;=01_因子設定!$L$7-0.000000001,G1319&lt;=01_因子設定!$M$7+0.000000001,H1319&gt;=01_因子設定!$L$8-0.000000001,H1319&lt;=01_因子設定!$M$8+0.000000001,IF(01_因子設定!$B$20="Box-Behnken",E1319^2+F1319^2+G1319^2+H1319^2&lt;=2+0.000000001,TRUE()))</f>
        <v>1</v>
      </c>
      <c r="AD1319" s="55" t="n">
        <f aca="false">IF(AC1319,IF(01_因子設定!$B$13="最大化",AA1319-01_因子設定!$B$14,IF(01_因子設定!$B$13="最小化",01_因子設定!$B$15-AB1319,MIN(AA1319-01_因子設定!$B$14,01_因子設定!$B$15-AB1319))),-1E+030)</f>
        <v>-5.03721174767239</v>
      </c>
      <c r="AE1319" s="55" t="n">
        <f aca="false">IF(AC1319,IF(01_因子設定!$B$13="最大化",X1319,IF(01_因子設定!$B$13="最小化",-X1319,-ABS(X1319-01_因子設定!$B$16))),-1E+030)</f>
        <v>43.0221308479532</v>
      </c>
      <c r="AF1319" s="55" t="n">
        <f aca="false">AD1319+ROW()*0.000000001</f>
        <v>-5.03721042867239</v>
      </c>
      <c r="AG1319" s="55" t="n">
        <f aca="false">AE1319+ROW()*0.000000001</f>
        <v>43.0221321669532</v>
      </c>
    </row>
    <row r="1320" customFormat="false" ht="15" hidden="false" customHeight="false" outlineLevel="0" collapsed="false">
      <c r="A1320" s="0" t="n">
        <v>1</v>
      </c>
      <c r="B1320" s="0" t="n">
        <v>7</v>
      </c>
      <c r="C1320" s="0" t="n">
        <v>2</v>
      </c>
      <c r="D1320" s="0" t="n">
        <v>1</v>
      </c>
      <c r="E1320" s="0" t="n">
        <f aca="false">-1+A1320*0.25</f>
        <v>-0.75</v>
      </c>
      <c r="F1320" s="0" t="n">
        <f aca="false">-1+B1320*0.25</f>
        <v>0.75</v>
      </c>
      <c r="G1320" s="0" t="n">
        <f aca="false">-1+C1320*0.25</f>
        <v>-0.5</v>
      </c>
      <c r="H1320" s="0" t="n">
        <f aca="false">-1+D1320*0.25</f>
        <v>-0.75</v>
      </c>
      <c r="I1320" s="0" t="n">
        <f aca="false">1</f>
        <v>1</v>
      </c>
      <c r="J1320" s="0" t="n">
        <f aca="false">E1320</f>
        <v>-0.75</v>
      </c>
      <c r="K1320" s="0" t="n">
        <f aca="false">F1320</f>
        <v>0.75</v>
      </c>
      <c r="L1320" s="0" t="n">
        <f aca="false">G1320</f>
        <v>-0.5</v>
      </c>
      <c r="M1320" s="0" t="n">
        <f aca="false">H1320</f>
        <v>-0.75</v>
      </c>
      <c r="N1320" s="0" t="n">
        <f aca="false">E1320*F1320</f>
        <v>-0.5625</v>
      </c>
      <c r="O1320" s="0" t="n">
        <f aca="false">E1320*G1320</f>
        <v>0.375</v>
      </c>
      <c r="P1320" s="0" t="n">
        <f aca="false">E1320*H1320</f>
        <v>0.5625</v>
      </c>
      <c r="Q1320" s="0" t="n">
        <f aca="false">F1320*G1320</f>
        <v>-0.375</v>
      </c>
      <c r="R1320" s="0" t="n">
        <f aca="false">F1320*H1320</f>
        <v>-0.5625</v>
      </c>
      <c r="S1320" s="0" t="n">
        <f aca="false">G1320*H1320</f>
        <v>0.375</v>
      </c>
      <c r="T1320" s="0" t="n">
        <f aca="false">E1320*E1320</f>
        <v>0.5625</v>
      </c>
      <c r="U1320" s="0" t="n">
        <f aca="false">F1320*F1320</f>
        <v>0.5625</v>
      </c>
      <c r="V1320" s="0" t="n">
        <f aca="false">G1320*G1320</f>
        <v>0.25</v>
      </c>
      <c r="W1320" s="0" t="n">
        <f aca="false">H1320*H1320</f>
        <v>0.5625</v>
      </c>
      <c r="X1320" s="0" t="n">
        <f aca="false">SUMPRODUCT(I1320:W1320,_XtX!$B$96:$P$96)</f>
        <v>43.1916255482456</v>
      </c>
      <c r="Y1320" s="0" t="n">
        <f aca="false">SUMPRODUCT(MMULT(I1320:W1320,_XtX!$B$78:$P$92),I1320:W1320)</f>
        <v>0.265632138614766</v>
      </c>
      <c r="Z1320" s="0" t="n">
        <f aca="false">04_回帰ANOVA!$K$19*04_回帰ANOVA!$K$14*SQRT(1+Y1320)</f>
        <v>1.46639894654257</v>
      </c>
      <c r="AA1320" s="0" t="n">
        <f aca="false">X1320-Z1320</f>
        <v>41.7252266017031</v>
      </c>
      <c r="AB1320" s="0" t="n">
        <f aca="false">X1320+Z1320</f>
        <v>44.6580244947882</v>
      </c>
      <c r="AC1320" s="54" t="b">
        <f aca="false">AND(E1320&gt;=01_因子設定!$L$5-0.000000001,E1320&lt;=01_因子設定!$M$5+0.000000001,F1320&gt;=01_因子設定!$L$6-0.000000001,F1320&lt;=01_因子設定!$M$6+0.000000001,G1320&gt;=01_因子設定!$L$7-0.000000001,G1320&lt;=01_因子設定!$M$7+0.000000001,H1320&gt;=01_因子設定!$L$8-0.000000001,H1320&lt;=01_因子設定!$M$8+0.000000001,IF(01_因子設定!$B$20="Box-Behnken",E1320^2+F1320^2+G1320^2+H1320^2&lt;=2+0.000000001,TRUE()))</f>
        <v>1</v>
      </c>
      <c r="AD1320" s="55" t="n">
        <f aca="false">IF(AC1320,IF(01_因子設定!$B$13="最大化",AA1320-01_因子設定!$B$14,IF(01_因子設定!$B$13="最小化",01_因子設定!$B$15-AB1320,MIN(AA1320-01_因子設定!$B$14,01_因子設定!$B$15-AB1320))),-1E+030)</f>
        <v>-4.77477339829695</v>
      </c>
      <c r="AE1320" s="55" t="n">
        <f aca="false">IF(AC1320,IF(01_因子設定!$B$13="最大化",X1320,IF(01_因子設定!$B$13="最小化",-X1320,-ABS(X1320-01_因子設定!$B$16))),-1E+030)</f>
        <v>43.1916255482456</v>
      </c>
      <c r="AF1320" s="55" t="n">
        <f aca="false">AD1320+ROW()*0.000000001</f>
        <v>-4.77477207829695</v>
      </c>
      <c r="AG1320" s="55" t="n">
        <f aca="false">AE1320+ROW()*0.000000001</f>
        <v>43.1916268682456</v>
      </c>
    </row>
    <row r="1321" customFormat="false" ht="15" hidden="false" customHeight="false" outlineLevel="0" collapsed="false">
      <c r="A1321" s="0" t="n">
        <v>1</v>
      </c>
      <c r="B1321" s="0" t="n">
        <v>7</v>
      </c>
      <c r="C1321" s="0" t="n">
        <v>2</v>
      </c>
      <c r="D1321" s="0" t="n">
        <v>2</v>
      </c>
      <c r="E1321" s="0" t="n">
        <f aca="false">-1+A1321*0.25</f>
        <v>-0.75</v>
      </c>
      <c r="F1321" s="0" t="n">
        <f aca="false">-1+B1321*0.25</f>
        <v>0.75</v>
      </c>
      <c r="G1321" s="0" t="n">
        <f aca="false">-1+C1321*0.25</f>
        <v>-0.5</v>
      </c>
      <c r="H1321" s="0" t="n">
        <f aca="false">-1+D1321*0.25</f>
        <v>-0.5</v>
      </c>
      <c r="I1321" s="0" t="n">
        <f aca="false">1</f>
        <v>1</v>
      </c>
      <c r="J1321" s="0" t="n">
        <f aca="false">E1321</f>
        <v>-0.75</v>
      </c>
      <c r="K1321" s="0" t="n">
        <f aca="false">F1321</f>
        <v>0.75</v>
      </c>
      <c r="L1321" s="0" t="n">
        <f aca="false">G1321</f>
        <v>-0.5</v>
      </c>
      <c r="M1321" s="0" t="n">
        <f aca="false">H1321</f>
        <v>-0.5</v>
      </c>
      <c r="N1321" s="0" t="n">
        <f aca="false">E1321*F1321</f>
        <v>-0.5625</v>
      </c>
      <c r="O1321" s="0" t="n">
        <f aca="false">E1321*G1321</f>
        <v>0.375</v>
      </c>
      <c r="P1321" s="0" t="n">
        <f aca="false">E1321*H1321</f>
        <v>0.375</v>
      </c>
      <c r="Q1321" s="0" t="n">
        <f aca="false">F1321*G1321</f>
        <v>-0.375</v>
      </c>
      <c r="R1321" s="0" t="n">
        <f aca="false">F1321*H1321</f>
        <v>-0.375</v>
      </c>
      <c r="S1321" s="0" t="n">
        <f aca="false">G1321*H1321</f>
        <v>0.25</v>
      </c>
      <c r="T1321" s="0" t="n">
        <f aca="false">E1321*E1321</f>
        <v>0.5625</v>
      </c>
      <c r="U1321" s="0" t="n">
        <f aca="false">F1321*F1321</f>
        <v>0.5625</v>
      </c>
      <c r="V1321" s="0" t="n">
        <f aca="false">G1321*G1321</f>
        <v>0.25</v>
      </c>
      <c r="W1321" s="0" t="n">
        <f aca="false">H1321*H1321</f>
        <v>0.25</v>
      </c>
      <c r="X1321" s="0" t="n">
        <f aca="false">SUMPRODUCT(I1321:W1321,_XtX!$B$96:$P$96)</f>
        <v>43.3133132309942</v>
      </c>
      <c r="Y1321" s="0" t="n">
        <f aca="false">SUMPRODUCT(MMULT(I1321:W1321,_XtX!$B$78:$P$92),I1321:W1321)</f>
        <v>0.237862927174708</v>
      </c>
      <c r="Z1321" s="0" t="n">
        <f aca="false">04_回帰ANOVA!$K$19*04_回帰ANOVA!$K$14*SQRT(1+Y1321)</f>
        <v>1.45022260708756</v>
      </c>
      <c r="AA1321" s="0" t="n">
        <f aca="false">X1321-Z1321</f>
        <v>41.8630906239066</v>
      </c>
      <c r="AB1321" s="0" t="n">
        <f aca="false">X1321+Z1321</f>
        <v>44.7635358380817</v>
      </c>
      <c r="AC1321" s="54" t="b">
        <f aca="false">AND(E1321&gt;=01_因子設定!$L$5-0.000000001,E1321&lt;=01_因子設定!$M$5+0.000000001,F1321&gt;=01_因子設定!$L$6-0.000000001,F1321&lt;=01_因子設定!$M$6+0.000000001,G1321&gt;=01_因子設定!$L$7-0.000000001,G1321&lt;=01_因子設定!$M$7+0.000000001,H1321&gt;=01_因子設定!$L$8-0.000000001,H1321&lt;=01_因子設定!$M$8+0.000000001,IF(01_因子設定!$B$20="Box-Behnken",E1321^2+F1321^2+G1321^2+H1321^2&lt;=2+0.000000001,TRUE()))</f>
        <v>1</v>
      </c>
      <c r="AD1321" s="55" t="n">
        <f aca="false">IF(AC1321,IF(01_因子設定!$B$13="最大化",AA1321-01_因子設定!$B$14,IF(01_因子設定!$B$13="最小化",01_因子設定!$B$15-AB1321,MIN(AA1321-01_因子設定!$B$14,01_因子設定!$B$15-AB1321))),-1E+030)</f>
        <v>-4.63690937609341</v>
      </c>
      <c r="AE1321" s="55" t="n">
        <f aca="false">IF(AC1321,IF(01_因子設定!$B$13="最大化",X1321,IF(01_因子設定!$B$13="最小化",-X1321,-ABS(X1321-01_因子設定!$B$16))),-1E+030)</f>
        <v>43.3133132309942</v>
      </c>
      <c r="AF1321" s="55" t="n">
        <f aca="false">AD1321+ROW()*0.000000001</f>
        <v>-4.63690805509341</v>
      </c>
      <c r="AG1321" s="55" t="n">
        <f aca="false">AE1321+ROW()*0.000000001</f>
        <v>43.3133145519942</v>
      </c>
    </row>
    <row r="1322" customFormat="false" ht="15" hidden="false" customHeight="false" outlineLevel="0" collapsed="false">
      <c r="A1322" s="0" t="n">
        <v>1</v>
      </c>
      <c r="B1322" s="0" t="n">
        <v>7</v>
      </c>
      <c r="C1322" s="0" t="n">
        <v>2</v>
      </c>
      <c r="D1322" s="0" t="n">
        <v>3</v>
      </c>
      <c r="E1322" s="0" t="n">
        <f aca="false">-1+A1322*0.25</f>
        <v>-0.75</v>
      </c>
      <c r="F1322" s="0" t="n">
        <f aca="false">-1+B1322*0.25</f>
        <v>0.75</v>
      </c>
      <c r="G1322" s="0" t="n">
        <f aca="false">-1+C1322*0.25</f>
        <v>-0.5</v>
      </c>
      <c r="H1322" s="0" t="n">
        <f aca="false">-1+D1322*0.25</f>
        <v>-0.25</v>
      </c>
      <c r="I1322" s="0" t="n">
        <f aca="false">1</f>
        <v>1</v>
      </c>
      <c r="J1322" s="0" t="n">
        <f aca="false">E1322</f>
        <v>-0.75</v>
      </c>
      <c r="K1322" s="0" t="n">
        <f aca="false">F1322</f>
        <v>0.75</v>
      </c>
      <c r="L1322" s="0" t="n">
        <f aca="false">G1322</f>
        <v>-0.5</v>
      </c>
      <c r="M1322" s="0" t="n">
        <f aca="false">H1322</f>
        <v>-0.25</v>
      </c>
      <c r="N1322" s="0" t="n">
        <f aca="false">E1322*F1322</f>
        <v>-0.5625</v>
      </c>
      <c r="O1322" s="0" t="n">
        <f aca="false">E1322*G1322</f>
        <v>0.375</v>
      </c>
      <c r="P1322" s="0" t="n">
        <f aca="false">E1322*H1322</f>
        <v>0.1875</v>
      </c>
      <c r="Q1322" s="0" t="n">
        <f aca="false">F1322*G1322</f>
        <v>-0.375</v>
      </c>
      <c r="R1322" s="0" t="n">
        <f aca="false">F1322*H1322</f>
        <v>-0.1875</v>
      </c>
      <c r="S1322" s="0" t="n">
        <f aca="false">G1322*H1322</f>
        <v>0.125</v>
      </c>
      <c r="T1322" s="0" t="n">
        <f aca="false">E1322*E1322</f>
        <v>0.5625</v>
      </c>
      <c r="U1322" s="0" t="n">
        <f aca="false">F1322*F1322</f>
        <v>0.5625</v>
      </c>
      <c r="V1322" s="0" t="n">
        <f aca="false">G1322*G1322</f>
        <v>0.25</v>
      </c>
      <c r="W1322" s="0" t="n">
        <f aca="false">H1322*H1322</f>
        <v>0.0625</v>
      </c>
      <c r="X1322" s="0" t="n">
        <f aca="false">SUMPRODUCT(I1322:W1322,_XtX!$B$96:$P$96)</f>
        <v>43.3871938961988</v>
      </c>
      <c r="Y1322" s="0" t="n">
        <f aca="false">SUMPRODUCT(MMULT(I1322:W1322,_XtX!$B$78:$P$92),I1322:W1322)</f>
        <v>0.257385610836988</v>
      </c>
      <c r="Z1322" s="0" t="n">
        <f aca="false">04_回帰ANOVA!$K$19*04_回帰ANOVA!$K$14*SQRT(1+Y1322)</f>
        <v>1.46161380324158</v>
      </c>
      <c r="AA1322" s="0" t="n">
        <f aca="false">X1322-Z1322</f>
        <v>41.9255800929572</v>
      </c>
      <c r="AB1322" s="0" t="n">
        <f aca="false">X1322+Z1322</f>
        <v>44.8488076994404</v>
      </c>
      <c r="AC1322" s="54" t="b">
        <f aca="false">AND(E1322&gt;=01_因子設定!$L$5-0.000000001,E1322&lt;=01_因子設定!$M$5+0.000000001,F1322&gt;=01_因子設定!$L$6-0.000000001,F1322&lt;=01_因子設定!$M$6+0.000000001,G1322&gt;=01_因子設定!$L$7-0.000000001,G1322&lt;=01_因子設定!$M$7+0.000000001,H1322&gt;=01_因子設定!$L$8-0.000000001,H1322&lt;=01_因子設定!$M$8+0.000000001,IF(01_因子設定!$B$20="Box-Behnken",E1322^2+F1322^2+G1322^2+H1322^2&lt;=2+0.000000001,TRUE()))</f>
        <v>1</v>
      </c>
      <c r="AD1322" s="55" t="n">
        <f aca="false">IF(AC1322,IF(01_因子設定!$B$13="最大化",AA1322-01_因子設定!$B$14,IF(01_因子設定!$B$13="最小化",01_因子設定!$B$15-AB1322,MIN(AA1322-01_因子設定!$B$14,01_因子設定!$B$15-AB1322))),-1E+030)</f>
        <v>-4.57441990704277</v>
      </c>
      <c r="AE1322" s="55" t="n">
        <f aca="false">IF(AC1322,IF(01_因子設定!$B$13="最大化",X1322,IF(01_因子設定!$B$13="最小化",-X1322,-ABS(X1322-01_因子設定!$B$16))),-1E+030)</f>
        <v>43.3871938961988</v>
      </c>
      <c r="AF1322" s="55" t="n">
        <f aca="false">AD1322+ROW()*0.000000001</f>
        <v>-4.57441858504277</v>
      </c>
      <c r="AG1322" s="55" t="n">
        <f aca="false">AE1322+ROW()*0.000000001</f>
        <v>43.3871952181988</v>
      </c>
    </row>
    <row r="1323" customFormat="false" ht="15" hidden="false" customHeight="false" outlineLevel="0" collapsed="false">
      <c r="A1323" s="0" t="n">
        <v>1</v>
      </c>
      <c r="B1323" s="0" t="n">
        <v>7</v>
      </c>
      <c r="C1323" s="0" t="n">
        <v>2</v>
      </c>
      <c r="D1323" s="0" t="n">
        <v>4</v>
      </c>
      <c r="E1323" s="0" t="n">
        <f aca="false">-1+A1323*0.25</f>
        <v>-0.75</v>
      </c>
      <c r="F1323" s="0" t="n">
        <f aca="false">-1+B1323*0.25</f>
        <v>0.75</v>
      </c>
      <c r="G1323" s="0" t="n">
        <f aca="false">-1+C1323*0.25</f>
        <v>-0.5</v>
      </c>
      <c r="H1323" s="0" t="n">
        <f aca="false">-1+D1323*0.25</f>
        <v>0</v>
      </c>
      <c r="I1323" s="0" t="n">
        <f aca="false">1</f>
        <v>1</v>
      </c>
      <c r="J1323" s="0" t="n">
        <f aca="false">E1323</f>
        <v>-0.75</v>
      </c>
      <c r="K1323" s="0" t="n">
        <f aca="false">F1323</f>
        <v>0.75</v>
      </c>
      <c r="L1323" s="0" t="n">
        <f aca="false">G1323</f>
        <v>-0.5</v>
      </c>
      <c r="M1323" s="0" t="n">
        <f aca="false">H1323</f>
        <v>0</v>
      </c>
      <c r="N1323" s="0" t="n">
        <f aca="false">E1323*F1323</f>
        <v>-0.5625</v>
      </c>
      <c r="O1323" s="0" t="n">
        <f aca="false">E1323*G1323</f>
        <v>0.375</v>
      </c>
      <c r="P1323" s="0" t="n">
        <f aca="false">E1323*H1323</f>
        <v>-0</v>
      </c>
      <c r="Q1323" s="0" t="n">
        <f aca="false">F1323*G1323</f>
        <v>-0.375</v>
      </c>
      <c r="R1323" s="0" t="n">
        <f aca="false">F1323*H1323</f>
        <v>0</v>
      </c>
      <c r="S1323" s="0" t="n">
        <f aca="false">G1323*H1323</f>
        <v>-0</v>
      </c>
      <c r="T1323" s="0" t="n">
        <f aca="false">E1323*E1323</f>
        <v>0.5625</v>
      </c>
      <c r="U1323" s="0" t="n">
        <f aca="false">F1323*F1323</f>
        <v>0.5625</v>
      </c>
      <c r="V1323" s="0" t="n">
        <f aca="false">G1323*G1323</f>
        <v>0.25</v>
      </c>
      <c r="W1323" s="0" t="n">
        <f aca="false">H1323*H1323</f>
        <v>0</v>
      </c>
      <c r="X1323" s="0" t="n">
        <f aca="false">SUMPRODUCT(I1323:W1323,_XtX!$B$96:$P$96)</f>
        <v>43.4132675438596</v>
      </c>
      <c r="Y1323" s="0" t="n">
        <f aca="false">SUMPRODUCT(MMULT(I1323:W1323,_XtX!$B$78:$P$92),I1323:W1323)</f>
        <v>0.269923873812135</v>
      </c>
      <c r="Z1323" s="0" t="n">
        <f aca="false">04_回帰ANOVA!$K$19*04_回帰ANOVA!$K$14*SQRT(1+Y1323)</f>
        <v>1.46888310825501</v>
      </c>
      <c r="AA1323" s="0" t="n">
        <f aca="false">X1323-Z1323</f>
        <v>41.9443844356046</v>
      </c>
      <c r="AB1323" s="0" t="n">
        <f aca="false">X1323+Z1323</f>
        <v>44.8821506521146</v>
      </c>
      <c r="AC1323" s="54" t="b">
        <f aca="false">AND(E1323&gt;=01_因子設定!$L$5-0.000000001,E1323&lt;=01_因子設定!$M$5+0.000000001,F1323&gt;=01_因子設定!$L$6-0.000000001,F1323&lt;=01_因子設定!$M$6+0.000000001,G1323&gt;=01_因子設定!$L$7-0.000000001,G1323&lt;=01_因子設定!$M$7+0.000000001,H1323&gt;=01_因子設定!$L$8-0.000000001,H1323&lt;=01_因子設定!$M$8+0.000000001,IF(01_因子設定!$B$20="Box-Behnken",E1323^2+F1323^2+G1323^2+H1323^2&lt;=2+0.000000001,TRUE()))</f>
        <v>1</v>
      </c>
      <c r="AD1323" s="55" t="n">
        <f aca="false">IF(AC1323,IF(01_因子設定!$B$13="最大化",AA1323-01_因子設定!$B$14,IF(01_因子設定!$B$13="最小化",01_因子設定!$B$15-AB1323,MIN(AA1323-01_因子設定!$B$14,01_因子設定!$B$15-AB1323))),-1E+030)</f>
        <v>-4.55561556439537</v>
      </c>
      <c r="AE1323" s="55" t="n">
        <f aca="false">IF(AC1323,IF(01_因子設定!$B$13="最大化",X1323,IF(01_因子設定!$B$13="最小化",-X1323,-ABS(X1323-01_因子設定!$B$16))),-1E+030)</f>
        <v>43.4132675438596</v>
      </c>
      <c r="AF1323" s="55" t="n">
        <f aca="false">AD1323+ROW()*0.000000001</f>
        <v>-4.55561424139537</v>
      </c>
      <c r="AG1323" s="55" t="n">
        <f aca="false">AE1323+ROW()*0.000000001</f>
        <v>43.4132688668596</v>
      </c>
    </row>
    <row r="1324" customFormat="false" ht="15" hidden="false" customHeight="false" outlineLevel="0" collapsed="false">
      <c r="A1324" s="0" t="n">
        <v>1</v>
      </c>
      <c r="B1324" s="0" t="n">
        <v>7</v>
      </c>
      <c r="C1324" s="0" t="n">
        <v>2</v>
      </c>
      <c r="D1324" s="0" t="n">
        <v>5</v>
      </c>
      <c r="E1324" s="0" t="n">
        <f aca="false">-1+A1324*0.25</f>
        <v>-0.75</v>
      </c>
      <c r="F1324" s="0" t="n">
        <f aca="false">-1+B1324*0.25</f>
        <v>0.75</v>
      </c>
      <c r="G1324" s="0" t="n">
        <f aca="false">-1+C1324*0.25</f>
        <v>-0.5</v>
      </c>
      <c r="H1324" s="0" t="n">
        <f aca="false">-1+D1324*0.25</f>
        <v>0.25</v>
      </c>
      <c r="I1324" s="0" t="n">
        <f aca="false">1</f>
        <v>1</v>
      </c>
      <c r="J1324" s="0" t="n">
        <f aca="false">E1324</f>
        <v>-0.75</v>
      </c>
      <c r="K1324" s="0" t="n">
        <f aca="false">F1324</f>
        <v>0.75</v>
      </c>
      <c r="L1324" s="0" t="n">
        <f aca="false">G1324</f>
        <v>-0.5</v>
      </c>
      <c r="M1324" s="0" t="n">
        <f aca="false">H1324</f>
        <v>0.25</v>
      </c>
      <c r="N1324" s="0" t="n">
        <f aca="false">E1324*F1324</f>
        <v>-0.5625</v>
      </c>
      <c r="O1324" s="0" t="n">
        <f aca="false">E1324*G1324</f>
        <v>0.375</v>
      </c>
      <c r="P1324" s="0" t="n">
        <f aca="false">E1324*H1324</f>
        <v>-0.1875</v>
      </c>
      <c r="Q1324" s="0" t="n">
        <f aca="false">F1324*G1324</f>
        <v>-0.375</v>
      </c>
      <c r="R1324" s="0" t="n">
        <f aca="false">F1324*H1324</f>
        <v>0.1875</v>
      </c>
      <c r="S1324" s="0" t="n">
        <f aca="false">G1324*H1324</f>
        <v>-0.125</v>
      </c>
      <c r="T1324" s="0" t="n">
        <f aca="false">E1324*E1324</f>
        <v>0.5625</v>
      </c>
      <c r="U1324" s="0" t="n">
        <f aca="false">F1324*F1324</f>
        <v>0.5625</v>
      </c>
      <c r="V1324" s="0" t="n">
        <f aca="false">G1324*G1324</f>
        <v>0.25</v>
      </c>
      <c r="W1324" s="0" t="n">
        <f aca="false">H1324*H1324</f>
        <v>0.0625</v>
      </c>
      <c r="X1324" s="0" t="n">
        <f aca="false">SUMPRODUCT(I1324:W1324,_XtX!$B$96:$P$96)</f>
        <v>43.3915341739766</v>
      </c>
      <c r="Y1324" s="0" t="n">
        <f aca="false">SUMPRODUCT(MMULT(I1324:W1324,_XtX!$B$78:$P$92),I1324:W1324)</f>
        <v>0.257385610836988</v>
      </c>
      <c r="Z1324" s="0" t="n">
        <f aca="false">04_回帰ANOVA!$K$19*04_回帰ANOVA!$K$14*SQRT(1+Y1324)</f>
        <v>1.46161380324158</v>
      </c>
      <c r="AA1324" s="0" t="n">
        <f aca="false">X1324-Z1324</f>
        <v>41.929920370735</v>
      </c>
      <c r="AB1324" s="0" t="n">
        <f aca="false">X1324+Z1324</f>
        <v>44.8531479772182</v>
      </c>
      <c r="AC1324" s="54" t="b">
        <f aca="false">AND(E1324&gt;=01_因子設定!$L$5-0.000000001,E1324&lt;=01_因子設定!$M$5+0.000000001,F1324&gt;=01_因子設定!$L$6-0.000000001,F1324&lt;=01_因子設定!$M$6+0.000000001,G1324&gt;=01_因子設定!$L$7-0.000000001,G1324&lt;=01_因子設定!$M$7+0.000000001,H1324&gt;=01_因子設定!$L$8-0.000000001,H1324&lt;=01_因子設定!$M$8+0.000000001,IF(01_因子設定!$B$20="Box-Behnken",E1324^2+F1324^2+G1324^2+H1324^2&lt;=2+0.000000001,TRUE()))</f>
        <v>1</v>
      </c>
      <c r="AD1324" s="55" t="n">
        <f aca="false">IF(AC1324,IF(01_因子設定!$B$13="最大化",AA1324-01_因子設定!$B$14,IF(01_因子設定!$B$13="最小化",01_因子設定!$B$15-AB1324,MIN(AA1324-01_因子設定!$B$14,01_因子設定!$B$15-AB1324))),-1E+030)</f>
        <v>-4.57007962926499</v>
      </c>
      <c r="AE1324" s="55" t="n">
        <f aca="false">IF(AC1324,IF(01_因子設定!$B$13="最大化",X1324,IF(01_因子設定!$B$13="最小化",-X1324,-ABS(X1324-01_因子設定!$B$16))),-1E+030)</f>
        <v>43.3915341739766</v>
      </c>
      <c r="AF1324" s="55" t="n">
        <f aca="false">AD1324+ROW()*0.000000001</f>
        <v>-4.57007830526499</v>
      </c>
      <c r="AG1324" s="55" t="n">
        <f aca="false">AE1324+ROW()*0.000000001</f>
        <v>43.3915354979766</v>
      </c>
    </row>
    <row r="1325" customFormat="false" ht="15" hidden="false" customHeight="false" outlineLevel="0" collapsed="false">
      <c r="A1325" s="0" t="n">
        <v>1</v>
      </c>
      <c r="B1325" s="0" t="n">
        <v>7</v>
      </c>
      <c r="C1325" s="0" t="n">
        <v>2</v>
      </c>
      <c r="D1325" s="0" t="n">
        <v>6</v>
      </c>
      <c r="E1325" s="0" t="n">
        <f aca="false">-1+A1325*0.25</f>
        <v>-0.75</v>
      </c>
      <c r="F1325" s="0" t="n">
        <f aca="false">-1+B1325*0.25</f>
        <v>0.75</v>
      </c>
      <c r="G1325" s="0" t="n">
        <f aca="false">-1+C1325*0.25</f>
        <v>-0.5</v>
      </c>
      <c r="H1325" s="0" t="n">
        <f aca="false">-1+D1325*0.25</f>
        <v>0.5</v>
      </c>
      <c r="I1325" s="0" t="n">
        <f aca="false">1</f>
        <v>1</v>
      </c>
      <c r="J1325" s="0" t="n">
        <f aca="false">E1325</f>
        <v>-0.75</v>
      </c>
      <c r="K1325" s="0" t="n">
        <f aca="false">F1325</f>
        <v>0.75</v>
      </c>
      <c r="L1325" s="0" t="n">
        <f aca="false">G1325</f>
        <v>-0.5</v>
      </c>
      <c r="M1325" s="0" t="n">
        <f aca="false">H1325</f>
        <v>0.5</v>
      </c>
      <c r="N1325" s="0" t="n">
        <f aca="false">E1325*F1325</f>
        <v>-0.5625</v>
      </c>
      <c r="O1325" s="0" t="n">
        <f aca="false">E1325*G1325</f>
        <v>0.375</v>
      </c>
      <c r="P1325" s="0" t="n">
        <f aca="false">E1325*H1325</f>
        <v>-0.375</v>
      </c>
      <c r="Q1325" s="0" t="n">
        <f aca="false">F1325*G1325</f>
        <v>-0.375</v>
      </c>
      <c r="R1325" s="0" t="n">
        <f aca="false">F1325*H1325</f>
        <v>0.375</v>
      </c>
      <c r="S1325" s="0" t="n">
        <f aca="false">G1325*H1325</f>
        <v>-0.25</v>
      </c>
      <c r="T1325" s="0" t="n">
        <f aca="false">E1325*E1325</f>
        <v>0.5625</v>
      </c>
      <c r="U1325" s="0" t="n">
        <f aca="false">F1325*F1325</f>
        <v>0.5625</v>
      </c>
      <c r="V1325" s="0" t="n">
        <f aca="false">G1325*G1325</f>
        <v>0.25</v>
      </c>
      <c r="W1325" s="0" t="n">
        <f aca="false">H1325*H1325</f>
        <v>0.25</v>
      </c>
      <c r="X1325" s="0" t="n">
        <f aca="false">SUMPRODUCT(I1325:W1325,_XtX!$B$96:$P$96)</f>
        <v>43.3219937865497</v>
      </c>
      <c r="Y1325" s="0" t="n">
        <f aca="false">SUMPRODUCT(MMULT(I1325:W1325,_XtX!$B$78:$P$92),I1325:W1325)</f>
        <v>0.237862927174708</v>
      </c>
      <c r="Z1325" s="0" t="n">
        <f aca="false">04_回帰ANOVA!$K$19*04_回帰ANOVA!$K$14*SQRT(1+Y1325)</f>
        <v>1.45022260708756</v>
      </c>
      <c r="AA1325" s="0" t="n">
        <f aca="false">X1325-Z1325</f>
        <v>41.8717711794621</v>
      </c>
      <c r="AB1325" s="0" t="n">
        <f aca="false">X1325+Z1325</f>
        <v>44.7722163936373</v>
      </c>
      <c r="AC1325" s="54" t="b">
        <f aca="false">AND(E1325&gt;=01_因子設定!$L$5-0.000000001,E1325&lt;=01_因子設定!$M$5+0.000000001,F1325&gt;=01_因子設定!$L$6-0.000000001,F1325&lt;=01_因子設定!$M$6+0.000000001,G1325&gt;=01_因子設定!$L$7-0.000000001,G1325&lt;=01_因子設定!$M$7+0.000000001,H1325&gt;=01_因子設定!$L$8-0.000000001,H1325&lt;=01_因子設定!$M$8+0.000000001,IF(01_因子設定!$B$20="Box-Behnken",E1325^2+F1325^2+G1325^2+H1325^2&lt;=2+0.000000001,TRUE()))</f>
        <v>1</v>
      </c>
      <c r="AD1325" s="55" t="n">
        <f aca="false">IF(AC1325,IF(01_因子設定!$B$13="最大化",AA1325-01_因子設定!$B$14,IF(01_因子設定!$B$13="最小化",01_因子設定!$B$15-AB1325,MIN(AA1325-01_因子設定!$B$14,01_因子設定!$B$15-AB1325))),-1E+030)</f>
        <v>-4.62822882053786</v>
      </c>
      <c r="AE1325" s="55" t="n">
        <f aca="false">IF(AC1325,IF(01_因子設定!$B$13="最大化",X1325,IF(01_因子設定!$B$13="最小化",-X1325,-ABS(X1325-01_因子設定!$B$16))),-1E+030)</f>
        <v>43.3219937865497</v>
      </c>
      <c r="AF1325" s="55" t="n">
        <f aca="false">AD1325+ROW()*0.000000001</f>
        <v>-4.62822749553786</v>
      </c>
      <c r="AG1325" s="55" t="n">
        <f aca="false">AE1325+ROW()*0.000000001</f>
        <v>43.3219951115497</v>
      </c>
    </row>
    <row r="1326" customFormat="false" ht="15" hidden="false" customHeight="false" outlineLevel="0" collapsed="false">
      <c r="A1326" s="0" t="n">
        <v>1</v>
      </c>
      <c r="B1326" s="0" t="n">
        <v>7</v>
      </c>
      <c r="C1326" s="0" t="n">
        <v>2</v>
      </c>
      <c r="D1326" s="0" t="n">
        <v>7</v>
      </c>
      <c r="E1326" s="0" t="n">
        <f aca="false">-1+A1326*0.25</f>
        <v>-0.75</v>
      </c>
      <c r="F1326" s="0" t="n">
        <f aca="false">-1+B1326*0.25</f>
        <v>0.75</v>
      </c>
      <c r="G1326" s="0" t="n">
        <f aca="false">-1+C1326*0.25</f>
        <v>-0.5</v>
      </c>
      <c r="H1326" s="0" t="n">
        <f aca="false">-1+D1326*0.25</f>
        <v>0.75</v>
      </c>
      <c r="I1326" s="0" t="n">
        <f aca="false">1</f>
        <v>1</v>
      </c>
      <c r="J1326" s="0" t="n">
        <f aca="false">E1326</f>
        <v>-0.75</v>
      </c>
      <c r="K1326" s="0" t="n">
        <f aca="false">F1326</f>
        <v>0.75</v>
      </c>
      <c r="L1326" s="0" t="n">
        <f aca="false">G1326</f>
        <v>-0.5</v>
      </c>
      <c r="M1326" s="0" t="n">
        <f aca="false">H1326</f>
        <v>0.75</v>
      </c>
      <c r="N1326" s="0" t="n">
        <f aca="false">E1326*F1326</f>
        <v>-0.5625</v>
      </c>
      <c r="O1326" s="0" t="n">
        <f aca="false">E1326*G1326</f>
        <v>0.375</v>
      </c>
      <c r="P1326" s="0" t="n">
        <f aca="false">E1326*H1326</f>
        <v>-0.5625</v>
      </c>
      <c r="Q1326" s="0" t="n">
        <f aca="false">F1326*G1326</f>
        <v>-0.375</v>
      </c>
      <c r="R1326" s="0" t="n">
        <f aca="false">F1326*H1326</f>
        <v>0.5625</v>
      </c>
      <c r="S1326" s="0" t="n">
        <f aca="false">G1326*H1326</f>
        <v>-0.375</v>
      </c>
      <c r="T1326" s="0" t="n">
        <f aca="false">E1326*E1326</f>
        <v>0.5625</v>
      </c>
      <c r="U1326" s="0" t="n">
        <f aca="false">F1326*F1326</f>
        <v>0.5625</v>
      </c>
      <c r="V1326" s="0" t="n">
        <f aca="false">G1326*G1326</f>
        <v>0.25</v>
      </c>
      <c r="W1326" s="0" t="n">
        <f aca="false">H1326*H1326</f>
        <v>0.5625</v>
      </c>
      <c r="X1326" s="0" t="n">
        <f aca="false">SUMPRODUCT(I1326:W1326,_XtX!$B$96:$P$96)</f>
        <v>43.204646381579</v>
      </c>
      <c r="Y1326" s="0" t="n">
        <f aca="false">SUMPRODUCT(MMULT(I1326:W1326,_XtX!$B$78:$P$92),I1326:W1326)</f>
        <v>0.265632138614766</v>
      </c>
      <c r="Z1326" s="0" t="n">
        <f aca="false">04_回帰ANOVA!$K$19*04_回帰ANOVA!$K$14*SQRT(1+Y1326)</f>
        <v>1.46639894654257</v>
      </c>
      <c r="AA1326" s="0" t="n">
        <f aca="false">X1326-Z1326</f>
        <v>41.7382474350364</v>
      </c>
      <c r="AB1326" s="0" t="n">
        <f aca="false">X1326+Z1326</f>
        <v>44.6710453281215</v>
      </c>
      <c r="AC1326" s="54" t="b">
        <f aca="false">AND(E1326&gt;=01_因子設定!$L$5-0.000000001,E1326&lt;=01_因子設定!$M$5+0.000000001,F1326&gt;=01_因子設定!$L$6-0.000000001,F1326&lt;=01_因子設定!$M$6+0.000000001,G1326&gt;=01_因子設定!$L$7-0.000000001,G1326&lt;=01_因子設定!$M$7+0.000000001,H1326&gt;=01_因子設定!$L$8-0.000000001,H1326&lt;=01_因子設定!$M$8+0.000000001,IF(01_因子設定!$B$20="Box-Behnken",E1326^2+F1326^2+G1326^2+H1326^2&lt;=2+0.000000001,TRUE()))</f>
        <v>1</v>
      </c>
      <c r="AD1326" s="55" t="n">
        <f aca="false">IF(AC1326,IF(01_因子設定!$B$13="最大化",AA1326-01_因子設定!$B$14,IF(01_因子設定!$B$13="最小化",01_因子設定!$B$15-AB1326,MIN(AA1326-01_因子設定!$B$14,01_因子設定!$B$15-AB1326))),-1E+030)</f>
        <v>-4.76175256496362</v>
      </c>
      <c r="AE1326" s="55" t="n">
        <f aca="false">IF(AC1326,IF(01_因子設定!$B$13="最大化",X1326,IF(01_因子設定!$B$13="最小化",-X1326,-ABS(X1326-01_因子設定!$B$16))),-1E+030)</f>
        <v>43.204646381579</v>
      </c>
      <c r="AF1326" s="55" t="n">
        <f aca="false">AD1326+ROW()*0.000000001</f>
        <v>-4.76175123896362</v>
      </c>
      <c r="AG1326" s="55" t="n">
        <f aca="false">AE1326+ROW()*0.000000001</f>
        <v>43.204647707579</v>
      </c>
    </row>
    <row r="1327" customFormat="false" ht="15" hidden="false" customHeight="false" outlineLevel="0" collapsed="false">
      <c r="A1327" s="0" t="n">
        <v>1</v>
      </c>
      <c r="B1327" s="0" t="n">
        <v>7</v>
      </c>
      <c r="C1327" s="0" t="n">
        <v>2</v>
      </c>
      <c r="D1327" s="0" t="n">
        <v>8</v>
      </c>
      <c r="E1327" s="0" t="n">
        <f aca="false">-1+A1327*0.25</f>
        <v>-0.75</v>
      </c>
      <c r="F1327" s="0" t="n">
        <f aca="false">-1+B1327*0.25</f>
        <v>0.75</v>
      </c>
      <c r="G1327" s="0" t="n">
        <f aca="false">-1+C1327*0.25</f>
        <v>-0.5</v>
      </c>
      <c r="H1327" s="0" t="n">
        <f aca="false">-1+D1327*0.25</f>
        <v>1</v>
      </c>
      <c r="I1327" s="0" t="n">
        <f aca="false">1</f>
        <v>1</v>
      </c>
      <c r="J1327" s="0" t="n">
        <f aca="false">E1327</f>
        <v>-0.75</v>
      </c>
      <c r="K1327" s="0" t="n">
        <f aca="false">F1327</f>
        <v>0.75</v>
      </c>
      <c r="L1327" s="0" t="n">
        <f aca="false">G1327</f>
        <v>-0.5</v>
      </c>
      <c r="M1327" s="0" t="n">
        <f aca="false">H1327</f>
        <v>1</v>
      </c>
      <c r="N1327" s="0" t="n">
        <f aca="false">E1327*F1327</f>
        <v>-0.5625</v>
      </c>
      <c r="O1327" s="0" t="n">
        <f aca="false">E1327*G1327</f>
        <v>0.375</v>
      </c>
      <c r="P1327" s="0" t="n">
        <f aca="false">E1327*H1327</f>
        <v>-0.75</v>
      </c>
      <c r="Q1327" s="0" t="n">
        <f aca="false">F1327*G1327</f>
        <v>-0.375</v>
      </c>
      <c r="R1327" s="0" t="n">
        <f aca="false">F1327*H1327</f>
        <v>0.75</v>
      </c>
      <c r="S1327" s="0" t="n">
        <f aca="false">G1327*H1327</f>
        <v>-0.5</v>
      </c>
      <c r="T1327" s="0" t="n">
        <f aca="false">E1327*E1327</f>
        <v>0.5625</v>
      </c>
      <c r="U1327" s="0" t="n">
        <f aca="false">F1327*F1327</f>
        <v>0.5625</v>
      </c>
      <c r="V1327" s="0" t="n">
        <f aca="false">G1327*G1327</f>
        <v>0.25</v>
      </c>
      <c r="W1327" s="0" t="n">
        <f aca="false">H1327*H1327</f>
        <v>1</v>
      </c>
      <c r="X1327" s="0" t="n">
        <f aca="false">SUMPRODUCT(I1327:W1327,_XtX!$B$96:$P$96)</f>
        <v>43.0394919590644</v>
      </c>
      <c r="Y1327" s="0" t="n">
        <f aca="false">SUMPRODUCT(MMULT(I1327:W1327,_XtX!$B$78:$P$92),I1327:W1327)</f>
        <v>0.431153771472953</v>
      </c>
      <c r="Z1327" s="0" t="n">
        <f aca="false">04_回帰ANOVA!$K$19*04_回帰ANOVA!$K$14*SQRT(1+Y1327)</f>
        <v>1.55934259562563</v>
      </c>
      <c r="AA1327" s="0" t="n">
        <f aca="false">X1327-Z1327</f>
        <v>41.4801493634387</v>
      </c>
      <c r="AB1327" s="0" t="n">
        <f aca="false">X1327+Z1327</f>
        <v>44.59883455469</v>
      </c>
      <c r="AC1327" s="54" t="b">
        <f aca="false">AND(E1327&gt;=01_因子設定!$L$5-0.000000001,E1327&lt;=01_因子設定!$M$5+0.000000001,F1327&gt;=01_因子設定!$L$6-0.000000001,F1327&lt;=01_因子設定!$M$6+0.000000001,G1327&gt;=01_因子設定!$L$7-0.000000001,G1327&lt;=01_因子設定!$M$7+0.000000001,H1327&gt;=01_因子設定!$L$8-0.000000001,H1327&lt;=01_因子設定!$M$8+0.000000001,IF(01_因子設定!$B$20="Box-Behnken",E1327^2+F1327^2+G1327^2+H1327^2&lt;=2+0.000000001,TRUE()))</f>
        <v>1</v>
      </c>
      <c r="AD1327" s="55" t="n">
        <f aca="false">IF(AC1327,IF(01_因子設定!$B$13="最大化",AA1327-01_因子設定!$B$14,IF(01_因子設定!$B$13="最小化",01_因子設定!$B$15-AB1327,MIN(AA1327-01_因子設定!$B$14,01_因子設定!$B$15-AB1327))),-1E+030)</f>
        <v>-5.01985063656128</v>
      </c>
      <c r="AE1327" s="55" t="n">
        <f aca="false">IF(AC1327,IF(01_因子設定!$B$13="最大化",X1327,IF(01_因子設定!$B$13="最小化",-X1327,-ABS(X1327-01_因子設定!$B$16))),-1E+030)</f>
        <v>43.0394919590644</v>
      </c>
      <c r="AF1327" s="55" t="n">
        <f aca="false">AD1327+ROW()*0.000000001</f>
        <v>-5.01984930956128</v>
      </c>
      <c r="AG1327" s="55" t="n">
        <f aca="false">AE1327+ROW()*0.000000001</f>
        <v>43.0394932860644</v>
      </c>
    </row>
    <row r="1328" customFormat="false" ht="15" hidden="false" customHeight="false" outlineLevel="0" collapsed="false">
      <c r="A1328" s="0" t="n">
        <v>1</v>
      </c>
      <c r="B1328" s="0" t="n">
        <v>7</v>
      </c>
      <c r="C1328" s="0" t="n">
        <v>3</v>
      </c>
      <c r="D1328" s="0" t="n">
        <v>0</v>
      </c>
      <c r="E1328" s="0" t="n">
        <f aca="false">-1+A1328*0.25</f>
        <v>-0.75</v>
      </c>
      <c r="F1328" s="0" t="n">
        <f aca="false">-1+B1328*0.25</f>
        <v>0.75</v>
      </c>
      <c r="G1328" s="0" t="n">
        <f aca="false">-1+C1328*0.25</f>
        <v>-0.25</v>
      </c>
      <c r="H1328" s="0" t="n">
        <f aca="false">-1+D1328*0.25</f>
        <v>-1</v>
      </c>
      <c r="I1328" s="0" t="n">
        <f aca="false">1</f>
        <v>1</v>
      </c>
      <c r="J1328" s="0" t="n">
        <f aca="false">E1328</f>
        <v>-0.75</v>
      </c>
      <c r="K1328" s="0" t="n">
        <f aca="false">F1328</f>
        <v>0.75</v>
      </c>
      <c r="L1328" s="0" t="n">
        <f aca="false">G1328</f>
        <v>-0.25</v>
      </c>
      <c r="M1328" s="0" t="n">
        <f aca="false">H1328</f>
        <v>-1</v>
      </c>
      <c r="N1328" s="0" t="n">
        <f aca="false">E1328*F1328</f>
        <v>-0.5625</v>
      </c>
      <c r="O1328" s="0" t="n">
        <f aca="false">E1328*G1328</f>
        <v>0.1875</v>
      </c>
      <c r="P1328" s="0" t="n">
        <f aca="false">E1328*H1328</f>
        <v>0.75</v>
      </c>
      <c r="Q1328" s="0" t="n">
        <f aca="false">F1328*G1328</f>
        <v>-0.1875</v>
      </c>
      <c r="R1328" s="0" t="n">
        <f aca="false">F1328*H1328</f>
        <v>-0.75</v>
      </c>
      <c r="S1328" s="0" t="n">
        <f aca="false">G1328*H1328</f>
        <v>0.25</v>
      </c>
      <c r="T1328" s="0" t="n">
        <f aca="false">E1328*E1328</f>
        <v>0.5625</v>
      </c>
      <c r="U1328" s="0" t="n">
        <f aca="false">F1328*F1328</f>
        <v>0.5625</v>
      </c>
      <c r="V1328" s="0" t="n">
        <f aca="false">G1328*G1328</f>
        <v>0.0625</v>
      </c>
      <c r="W1328" s="0" t="n">
        <f aca="false">H1328*H1328</f>
        <v>1</v>
      </c>
      <c r="X1328" s="0" t="n">
        <f aca="false">SUMPRODUCT(I1328:W1328,_XtX!$B$96:$P$96)</f>
        <v>43.5045184576024</v>
      </c>
      <c r="Y1328" s="0" t="n">
        <f aca="false">SUMPRODUCT(MMULT(I1328:W1328,_XtX!$B$78:$P$92),I1328:W1328)</f>
        <v>0.473959761056287</v>
      </c>
      <c r="Z1328" s="0" t="n">
        <f aca="false">04_回帰ANOVA!$K$19*04_回帰ANOVA!$K$14*SQRT(1+Y1328)</f>
        <v>1.58249084588329</v>
      </c>
      <c r="AA1328" s="0" t="n">
        <f aca="false">X1328-Z1328</f>
        <v>41.9220276117191</v>
      </c>
      <c r="AB1328" s="0" t="n">
        <f aca="false">X1328+Z1328</f>
        <v>45.0870093034857</v>
      </c>
      <c r="AC1328" s="54" t="b">
        <f aca="false">AND(E1328&gt;=01_因子設定!$L$5-0.000000001,E1328&lt;=01_因子設定!$M$5+0.000000001,F1328&gt;=01_因子設定!$L$6-0.000000001,F1328&lt;=01_因子設定!$M$6+0.000000001,G1328&gt;=01_因子設定!$L$7-0.000000001,G1328&lt;=01_因子設定!$M$7+0.000000001,H1328&gt;=01_因子設定!$L$8-0.000000001,H1328&lt;=01_因子設定!$M$8+0.000000001,IF(01_因子設定!$B$20="Box-Behnken",E1328^2+F1328^2+G1328^2+H1328^2&lt;=2+0.000000001,TRUE()))</f>
        <v>1</v>
      </c>
      <c r="AD1328" s="55" t="n">
        <f aca="false">IF(AC1328,IF(01_因子設定!$B$13="最大化",AA1328-01_因子設定!$B$14,IF(01_因子設定!$B$13="最小化",01_因子設定!$B$15-AB1328,MIN(AA1328-01_因子設定!$B$14,01_因子設定!$B$15-AB1328))),-1E+030)</f>
        <v>-4.57797238828092</v>
      </c>
      <c r="AE1328" s="55" t="n">
        <f aca="false">IF(AC1328,IF(01_因子設定!$B$13="最大化",X1328,IF(01_因子設定!$B$13="最小化",-X1328,-ABS(X1328-01_因子設定!$B$16))),-1E+030)</f>
        <v>43.5045184576024</v>
      </c>
      <c r="AF1328" s="55" t="n">
        <f aca="false">AD1328+ROW()*0.000000001</f>
        <v>-4.57797106028092</v>
      </c>
      <c r="AG1328" s="55" t="n">
        <f aca="false">AE1328+ROW()*0.000000001</f>
        <v>43.5045197856024</v>
      </c>
    </row>
    <row r="1329" customFormat="false" ht="15" hidden="false" customHeight="false" outlineLevel="0" collapsed="false">
      <c r="A1329" s="0" t="n">
        <v>1</v>
      </c>
      <c r="B1329" s="0" t="n">
        <v>7</v>
      </c>
      <c r="C1329" s="0" t="n">
        <v>3</v>
      </c>
      <c r="D1329" s="0" t="n">
        <v>1</v>
      </c>
      <c r="E1329" s="0" t="n">
        <f aca="false">-1+A1329*0.25</f>
        <v>-0.75</v>
      </c>
      <c r="F1329" s="0" t="n">
        <f aca="false">-1+B1329*0.25</f>
        <v>0.75</v>
      </c>
      <c r="G1329" s="0" t="n">
        <f aca="false">-1+C1329*0.25</f>
        <v>-0.25</v>
      </c>
      <c r="H1329" s="0" t="n">
        <f aca="false">-1+D1329*0.25</f>
        <v>-0.75</v>
      </c>
      <c r="I1329" s="0" t="n">
        <f aca="false">1</f>
        <v>1</v>
      </c>
      <c r="J1329" s="0" t="n">
        <f aca="false">E1329</f>
        <v>-0.75</v>
      </c>
      <c r="K1329" s="0" t="n">
        <f aca="false">F1329</f>
        <v>0.75</v>
      </c>
      <c r="L1329" s="0" t="n">
        <f aca="false">G1329</f>
        <v>-0.25</v>
      </c>
      <c r="M1329" s="0" t="n">
        <f aca="false">H1329</f>
        <v>-0.75</v>
      </c>
      <c r="N1329" s="0" t="n">
        <f aca="false">E1329*F1329</f>
        <v>-0.5625</v>
      </c>
      <c r="O1329" s="0" t="n">
        <f aca="false">E1329*G1329</f>
        <v>0.1875</v>
      </c>
      <c r="P1329" s="0" t="n">
        <f aca="false">E1329*H1329</f>
        <v>0.5625</v>
      </c>
      <c r="Q1329" s="0" t="n">
        <f aca="false">F1329*G1329</f>
        <v>-0.1875</v>
      </c>
      <c r="R1329" s="0" t="n">
        <f aca="false">F1329*H1329</f>
        <v>-0.5625</v>
      </c>
      <c r="S1329" s="0" t="n">
        <f aca="false">G1329*H1329</f>
        <v>0.1875</v>
      </c>
      <c r="T1329" s="0" t="n">
        <f aca="false">E1329*E1329</f>
        <v>0.5625</v>
      </c>
      <c r="U1329" s="0" t="n">
        <f aca="false">F1329*F1329</f>
        <v>0.5625</v>
      </c>
      <c r="V1329" s="0" t="n">
        <f aca="false">G1329*G1329</f>
        <v>0.0625</v>
      </c>
      <c r="W1329" s="0" t="n">
        <f aca="false">H1329*H1329</f>
        <v>0.5625</v>
      </c>
      <c r="X1329" s="0" t="n">
        <f aca="false">SUMPRODUCT(I1329:W1329,_XtX!$B$96:$P$96)</f>
        <v>43.6919819078947</v>
      </c>
      <c r="Y1329" s="0" t="n">
        <f aca="false">SUMPRODUCT(MMULT(I1329:W1329,_XtX!$B$78:$P$92),I1329:W1329)</f>
        <v>0.294856199744152</v>
      </c>
      <c r="Z1329" s="0" t="n">
        <f aca="false">04_回帰ANOVA!$K$19*04_回帰ANOVA!$K$14*SQRT(1+Y1329)</f>
        <v>1.48323226089013</v>
      </c>
      <c r="AA1329" s="0" t="n">
        <f aca="false">X1329-Z1329</f>
        <v>42.2087496470046</v>
      </c>
      <c r="AB1329" s="0" t="n">
        <f aca="false">X1329+Z1329</f>
        <v>45.1752141687849</v>
      </c>
      <c r="AC1329" s="54" t="b">
        <f aca="false">AND(E1329&gt;=01_因子設定!$L$5-0.000000001,E1329&lt;=01_因子設定!$M$5+0.000000001,F1329&gt;=01_因子設定!$L$6-0.000000001,F1329&lt;=01_因子設定!$M$6+0.000000001,G1329&gt;=01_因子設定!$L$7-0.000000001,G1329&lt;=01_因子設定!$M$7+0.000000001,H1329&gt;=01_因子設定!$L$8-0.000000001,H1329&lt;=01_因子設定!$M$8+0.000000001,IF(01_因子設定!$B$20="Box-Behnken",E1329^2+F1329^2+G1329^2+H1329^2&lt;=2+0.000000001,TRUE()))</f>
        <v>1</v>
      </c>
      <c r="AD1329" s="55" t="n">
        <f aca="false">IF(AC1329,IF(01_因子設定!$B$13="最大化",AA1329-01_因子設定!$B$14,IF(01_因子設定!$B$13="最小化",01_因子設定!$B$15-AB1329,MIN(AA1329-01_因子設定!$B$14,01_因子設定!$B$15-AB1329))),-1E+030)</f>
        <v>-4.29125035299539</v>
      </c>
      <c r="AE1329" s="55" t="n">
        <f aca="false">IF(AC1329,IF(01_因子設定!$B$13="最大化",X1329,IF(01_因子設定!$B$13="最小化",-X1329,-ABS(X1329-01_因子設定!$B$16))),-1E+030)</f>
        <v>43.6919819078947</v>
      </c>
      <c r="AF1329" s="55" t="n">
        <f aca="false">AD1329+ROW()*0.000000001</f>
        <v>-4.29124902399539</v>
      </c>
      <c r="AG1329" s="55" t="n">
        <f aca="false">AE1329+ROW()*0.000000001</f>
        <v>43.6919832368947</v>
      </c>
    </row>
    <row r="1330" customFormat="false" ht="15" hidden="false" customHeight="false" outlineLevel="0" collapsed="false">
      <c r="A1330" s="0" t="n">
        <v>1</v>
      </c>
      <c r="B1330" s="0" t="n">
        <v>7</v>
      </c>
      <c r="C1330" s="0" t="n">
        <v>3</v>
      </c>
      <c r="D1330" s="0" t="n">
        <v>2</v>
      </c>
      <c r="E1330" s="0" t="n">
        <f aca="false">-1+A1330*0.25</f>
        <v>-0.75</v>
      </c>
      <c r="F1330" s="0" t="n">
        <f aca="false">-1+B1330*0.25</f>
        <v>0.75</v>
      </c>
      <c r="G1330" s="0" t="n">
        <f aca="false">-1+C1330*0.25</f>
        <v>-0.25</v>
      </c>
      <c r="H1330" s="0" t="n">
        <f aca="false">-1+D1330*0.25</f>
        <v>-0.5</v>
      </c>
      <c r="I1330" s="0" t="n">
        <f aca="false">1</f>
        <v>1</v>
      </c>
      <c r="J1330" s="0" t="n">
        <f aca="false">E1330</f>
        <v>-0.75</v>
      </c>
      <c r="K1330" s="0" t="n">
        <f aca="false">F1330</f>
        <v>0.75</v>
      </c>
      <c r="L1330" s="0" t="n">
        <f aca="false">G1330</f>
        <v>-0.25</v>
      </c>
      <c r="M1330" s="0" t="n">
        <f aca="false">H1330</f>
        <v>-0.5</v>
      </c>
      <c r="N1330" s="0" t="n">
        <f aca="false">E1330*F1330</f>
        <v>-0.5625</v>
      </c>
      <c r="O1330" s="0" t="n">
        <f aca="false">E1330*G1330</f>
        <v>0.1875</v>
      </c>
      <c r="P1330" s="0" t="n">
        <f aca="false">E1330*H1330</f>
        <v>0.375</v>
      </c>
      <c r="Q1330" s="0" t="n">
        <f aca="false">F1330*G1330</f>
        <v>-0.1875</v>
      </c>
      <c r="R1330" s="0" t="n">
        <f aca="false">F1330*H1330</f>
        <v>-0.375</v>
      </c>
      <c r="S1330" s="0" t="n">
        <f aca="false">G1330*H1330</f>
        <v>0.125</v>
      </c>
      <c r="T1330" s="0" t="n">
        <f aca="false">E1330*E1330</f>
        <v>0.5625</v>
      </c>
      <c r="U1330" s="0" t="n">
        <f aca="false">F1330*F1330</f>
        <v>0.5625</v>
      </c>
      <c r="V1330" s="0" t="n">
        <f aca="false">G1330*G1330</f>
        <v>0.0625</v>
      </c>
      <c r="W1330" s="0" t="n">
        <f aca="false">H1330*H1330</f>
        <v>0.25</v>
      </c>
      <c r="X1330" s="0" t="n">
        <f aca="false">SUMPRODUCT(I1330:W1330,_XtX!$B$96:$P$96)</f>
        <v>43.8316383406433</v>
      </c>
      <c r="Y1330" s="0" t="n">
        <f aca="false">SUMPRODUCT(MMULT(I1330:W1330,_XtX!$B$78:$P$92),I1330:W1330)</f>
        <v>0.257385610836988</v>
      </c>
      <c r="Z1330" s="0" t="n">
        <f aca="false">04_回帰ANOVA!$K$19*04_回帰ANOVA!$K$14*SQRT(1+Y1330)</f>
        <v>1.46161380324158</v>
      </c>
      <c r="AA1330" s="0" t="n">
        <f aca="false">X1330-Z1330</f>
        <v>42.3700245374017</v>
      </c>
      <c r="AB1330" s="0" t="n">
        <f aca="false">X1330+Z1330</f>
        <v>45.2932521438849</v>
      </c>
      <c r="AC1330" s="54" t="b">
        <f aca="false">AND(E1330&gt;=01_因子設定!$L$5-0.000000001,E1330&lt;=01_因子設定!$M$5+0.000000001,F1330&gt;=01_因子設定!$L$6-0.000000001,F1330&lt;=01_因子設定!$M$6+0.000000001,G1330&gt;=01_因子設定!$L$7-0.000000001,G1330&lt;=01_因子設定!$M$7+0.000000001,H1330&gt;=01_因子設定!$L$8-0.000000001,H1330&lt;=01_因子設定!$M$8+0.000000001,IF(01_因子設定!$B$20="Box-Behnken",E1330^2+F1330^2+G1330^2+H1330^2&lt;=2+0.000000001,TRUE()))</f>
        <v>1</v>
      </c>
      <c r="AD1330" s="55" t="n">
        <f aca="false">IF(AC1330,IF(01_因子設定!$B$13="最大化",AA1330-01_因子設定!$B$14,IF(01_因子設定!$B$13="最小化",01_因子設定!$B$15-AB1330,MIN(AA1330-01_因子設定!$B$14,01_因子設定!$B$15-AB1330))),-1E+030)</f>
        <v>-4.12997546259831</v>
      </c>
      <c r="AE1330" s="55" t="n">
        <f aca="false">IF(AC1330,IF(01_因子設定!$B$13="最大化",X1330,IF(01_因子設定!$B$13="最小化",-X1330,-ABS(X1330-01_因子設定!$B$16))),-1E+030)</f>
        <v>43.8316383406433</v>
      </c>
      <c r="AF1330" s="55" t="n">
        <f aca="false">AD1330+ROW()*0.000000001</f>
        <v>-4.12997413259831</v>
      </c>
      <c r="AG1330" s="55" t="n">
        <f aca="false">AE1330+ROW()*0.000000001</f>
        <v>43.8316396706433</v>
      </c>
    </row>
    <row r="1331" customFormat="false" ht="15" hidden="false" customHeight="false" outlineLevel="0" collapsed="false">
      <c r="A1331" s="0" t="n">
        <v>1</v>
      </c>
      <c r="B1331" s="0" t="n">
        <v>7</v>
      </c>
      <c r="C1331" s="0" t="n">
        <v>3</v>
      </c>
      <c r="D1331" s="0" t="n">
        <v>3</v>
      </c>
      <c r="E1331" s="0" t="n">
        <f aca="false">-1+A1331*0.25</f>
        <v>-0.75</v>
      </c>
      <c r="F1331" s="0" t="n">
        <f aca="false">-1+B1331*0.25</f>
        <v>0.75</v>
      </c>
      <c r="G1331" s="0" t="n">
        <f aca="false">-1+C1331*0.25</f>
        <v>-0.25</v>
      </c>
      <c r="H1331" s="0" t="n">
        <f aca="false">-1+D1331*0.25</f>
        <v>-0.25</v>
      </c>
      <c r="I1331" s="0" t="n">
        <f aca="false">1</f>
        <v>1</v>
      </c>
      <c r="J1331" s="0" t="n">
        <f aca="false">E1331</f>
        <v>-0.75</v>
      </c>
      <c r="K1331" s="0" t="n">
        <f aca="false">F1331</f>
        <v>0.75</v>
      </c>
      <c r="L1331" s="0" t="n">
        <f aca="false">G1331</f>
        <v>-0.25</v>
      </c>
      <c r="M1331" s="0" t="n">
        <f aca="false">H1331</f>
        <v>-0.25</v>
      </c>
      <c r="N1331" s="0" t="n">
        <f aca="false">E1331*F1331</f>
        <v>-0.5625</v>
      </c>
      <c r="O1331" s="0" t="n">
        <f aca="false">E1331*G1331</f>
        <v>0.1875</v>
      </c>
      <c r="P1331" s="0" t="n">
        <f aca="false">E1331*H1331</f>
        <v>0.1875</v>
      </c>
      <c r="Q1331" s="0" t="n">
        <f aca="false">F1331*G1331</f>
        <v>-0.1875</v>
      </c>
      <c r="R1331" s="0" t="n">
        <f aca="false">F1331*H1331</f>
        <v>-0.1875</v>
      </c>
      <c r="S1331" s="0" t="n">
        <f aca="false">G1331*H1331</f>
        <v>0.0625</v>
      </c>
      <c r="T1331" s="0" t="n">
        <f aca="false">E1331*E1331</f>
        <v>0.5625</v>
      </c>
      <c r="U1331" s="0" t="n">
        <f aca="false">F1331*F1331</f>
        <v>0.5625</v>
      </c>
      <c r="V1331" s="0" t="n">
        <f aca="false">G1331*G1331</f>
        <v>0.0625</v>
      </c>
      <c r="W1331" s="0" t="n">
        <f aca="false">H1331*H1331</f>
        <v>0.0625</v>
      </c>
      <c r="X1331" s="0" t="n">
        <f aca="false">SUMPRODUCT(I1331:W1331,_XtX!$B$96:$P$96)</f>
        <v>43.9234877558479</v>
      </c>
      <c r="Y1331" s="0" t="n">
        <f aca="false">SUMPRODUCT(MMULT(I1331:W1331,_XtX!$B$78:$P$92),I1331:W1331)</f>
        <v>0.271087468019006</v>
      </c>
      <c r="Z1331" s="0" t="n">
        <f aca="false">04_回帰ANOVA!$K$19*04_回帰ANOVA!$K$14*SQRT(1+Y1331)</f>
        <v>1.46955590155034</v>
      </c>
      <c r="AA1331" s="0" t="n">
        <f aca="false">X1331-Z1331</f>
        <v>42.4539318542976</v>
      </c>
      <c r="AB1331" s="0" t="n">
        <f aca="false">X1331+Z1331</f>
        <v>45.3930436573983</v>
      </c>
      <c r="AC1331" s="54" t="b">
        <f aca="false">AND(E1331&gt;=01_因子設定!$L$5-0.000000001,E1331&lt;=01_因子設定!$M$5+0.000000001,F1331&gt;=01_因子設定!$L$6-0.000000001,F1331&lt;=01_因子設定!$M$6+0.000000001,G1331&gt;=01_因子設定!$L$7-0.000000001,G1331&lt;=01_因子設定!$M$7+0.000000001,H1331&gt;=01_因子設定!$L$8-0.000000001,H1331&lt;=01_因子設定!$M$8+0.000000001,IF(01_因子設定!$B$20="Box-Behnken",E1331^2+F1331^2+G1331^2+H1331^2&lt;=2+0.000000001,TRUE()))</f>
        <v>1</v>
      </c>
      <c r="AD1331" s="55" t="n">
        <f aca="false">IF(AC1331,IF(01_因子設定!$B$13="最大化",AA1331-01_因子設定!$B$14,IF(01_因子設定!$B$13="最小化",01_因子設定!$B$15-AB1331,MIN(AA1331-01_因子設定!$B$14,01_因子設定!$B$15-AB1331))),-1E+030)</f>
        <v>-4.0460681457024</v>
      </c>
      <c r="AE1331" s="55" t="n">
        <f aca="false">IF(AC1331,IF(01_因子設定!$B$13="最大化",X1331,IF(01_因子設定!$B$13="最小化",-X1331,-ABS(X1331-01_因子設定!$B$16))),-1E+030)</f>
        <v>43.9234877558479</v>
      </c>
      <c r="AF1331" s="55" t="n">
        <f aca="false">AD1331+ROW()*0.000000001</f>
        <v>-4.0460668147024</v>
      </c>
      <c r="AG1331" s="55" t="n">
        <f aca="false">AE1331+ROW()*0.000000001</f>
        <v>43.9234890868479</v>
      </c>
    </row>
    <row r="1332" customFormat="false" ht="15" hidden="false" customHeight="false" outlineLevel="0" collapsed="false">
      <c r="A1332" s="0" t="n">
        <v>1</v>
      </c>
      <c r="B1332" s="0" t="n">
        <v>7</v>
      </c>
      <c r="C1332" s="0" t="n">
        <v>3</v>
      </c>
      <c r="D1332" s="0" t="n">
        <v>4</v>
      </c>
      <c r="E1332" s="0" t="n">
        <f aca="false">-1+A1332*0.25</f>
        <v>-0.75</v>
      </c>
      <c r="F1332" s="0" t="n">
        <f aca="false">-1+B1332*0.25</f>
        <v>0.75</v>
      </c>
      <c r="G1332" s="0" t="n">
        <f aca="false">-1+C1332*0.25</f>
        <v>-0.25</v>
      </c>
      <c r="H1332" s="0" t="n">
        <f aca="false">-1+D1332*0.25</f>
        <v>0</v>
      </c>
      <c r="I1332" s="0" t="n">
        <f aca="false">1</f>
        <v>1</v>
      </c>
      <c r="J1332" s="0" t="n">
        <f aca="false">E1332</f>
        <v>-0.75</v>
      </c>
      <c r="K1332" s="0" t="n">
        <f aca="false">F1332</f>
        <v>0.75</v>
      </c>
      <c r="L1332" s="0" t="n">
        <f aca="false">G1332</f>
        <v>-0.25</v>
      </c>
      <c r="M1332" s="0" t="n">
        <f aca="false">H1332</f>
        <v>0</v>
      </c>
      <c r="N1332" s="0" t="n">
        <f aca="false">E1332*F1332</f>
        <v>-0.5625</v>
      </c>
      <c r="O1332" s="0" t="n">
        <f aca="false">E1332*G1332</f>
        <v>0.1875</v>
      </c>
      <c r="P1332" s="0" t="n">
        <f aca="false">E1332*H1332</f>
        <v>-0</v>
      </c>
      <c r="Q1332" s="0" t="n">
        <f aca="false">F1332*G1332</f>
        <v>-0.1875</v>
      </c>
      <c r="R1332" s="0" t="n">
        <f aca="false">F1332*H1332</f>
        <v>0</v>
      </c>
      <c r="S1332" s="0" t="n">
        <f aca="false">G1332*H1332</f>
        <v>-0</v>
      </c>
      <c r="T1332" s="0" t="n">
        <f aca="false">E1332*E1332</f>
        <v>0.5625</v>
      </c>
      <c r="U1332" s="0" t="n">
        <f aca="false">F1332*F1332</f>
        <v>0.5625</v>
      </c>
      <c r="V1332" s="0" t="n">
        <f aca="false">G1332*G1332</f>
        <v>0.0625</v>
      </c>
      <c r="W1332" s="0" t="n">
        <f aca="false">H1332*H1332</f>
        <v>0</v>
      </c>
      <c r="X1332" s="0" t="n">
        <f aca="false">SUMPRODUCT(I1332:W1332,_XtX!$B$96:$P$96)</f>
        <v>43.9675301535088</v>
      </c>
      <c r="Y1332" s="0" t="n">
        <f aca="false">SUMPRODUCT(MMULT(I1332:W1332,_XtX!$B$78:$P$92),I1332:W1332)</f>
        <v>0.281685455500731</v>
      </c>
      <c r="Z1332" s="0" t="n">
        <f aca="false">04_回帰ANOVA!$K$19*04_回帰ANOVA!$K$14*SQRT(1+Y1332)</f>
        <v>1.47566956658694</v>
      </c>
      <c r="AA1332" s="0" t="n">
        <f aca="false">X1332-Z1332</f>
        <v>42.4918605869218</v>
      </c>
      <c r="AB1332" s="0" t="n">
        <f aca="false">X1332+Z1332</f>
        <v>45.4431997200957</v>
      </c>
      <c r="AC1332" s="54" t="b">
        <f aca="false">AND(E1332&gt;=01_因子設定!$L$5-0.000000001,E1332&lt;=01_因子設定!$M$5+0.000000001,F1332&gt;=01_因子設定!$L$6-0.000000001,F1332&lt;=01_因子設定!$M$6+0.000000001,G1332&gt;=01_因子設定!$L$7-0.000000001,G1332&lt;=01_因子設定!$M$7+0.000000001,H1332&gt;=01_因子設定!$L$8-0.000000001,H1332&lt;=01_因子設定!$M$8+0.000000001,IF(01_因子設定!$B$20="Box-Behnken",E1332^2+F1332^2+G1332^2+H1332^2&lt;=2+0.000000001,TRUE()))</f>
        <v>1</v>
      </c>
      <c r="AD1332" s="55" t="n">
        <f aca="false">IF(AC1332,IF(01_因子設定!$B$13="最大化",AA1332-01_因子設定!$B$14,IF(01_因子設定!$B$13="最小化",01_因子設定!$B$15-AB1332,MIN(AA1332-01_因子設定!$B$14,01_因子設定!$B$15-AB1332))),-1E+030)</f>
        <v>-4.00813941307818</v>
      </c>
      <c r="AE1332" s="55" t="n">
        <f aca="false">IF(AC1332,IF(01_因子設定!$B$13="最大化",X1332,IF(01_因子設定!$B$13="最小化",-X1332,-ABS(X1332-01_因子設定!$B$16))),-1E+030)</f>
        <v>43.9675301535088</v>
      </c>
      <c r="AF1332" s="55" t="n">
        <f aca="false">AD1332+ROW()*0.000000001</f>
        <v>-4.00813808107818</v>
      </c>
      <c r="AG1332" s="55" t="n">
        <f aca="false">AE1332+ROW()*0.000000001</f>
        <v>43.9675314855088</v>
      </c>
    </row>
    <row r="1333" customFormat="false" ht="15" hidden="false" customHeight="false" outlineLevel="0" collapsed="false">
      <c r="A1333" s="0" t="n">
        <v>1</v>
      </c>
      <c r="B1333" s="0" t="n">
        <v>7</v>
      </c>
      <c r="C1333" s="0" t="n">
        <v>3</v>
      </c>
      <c r="D1333" s="0" t="n">
        <v>5</v>
      </c>
      <c r="E1333" s="0" t="n">
        <f aca="false">-1+A1333*0.25</f>
        <v>-0.75</v>
      </c>
      <c r="F1333" s="0" t="n">
        <f aca="false">-1+B1333*0.25</f>
        <v>0.75</v>
      </c>
      <c r="G1333" s="0" t="n">
        <f aca="false">-1+C1333*0.25</f>
        <v>-0.25</v>
      </c>
      <c r="H1333" s="0" t="n">
        <f aca="false">-1+D1333*0.25</f>
        <v>0.25</v>
      </c>
      <c r="I1333" s="0" t="n">
        <f aca="false">1</f>
        <v>1</v>
      </c>
      <c r="J1333" s="0" t="n">
        <f aca="false">E1333</f>
        <v>-0.75</v>
      </c>
      <c r="K1333" s="0" t="n">
        <f aca="false">F1333</f>
        <v>0.75</v>
      </c>
      <c r="L1333" s="0" t="n">
        <f aca="false">G1333</f>
        <v>-0.25</v>
      </c>
      <c r="M1333" s="0" t="n">
        <f aca="false">H1333</f>
        <v>0.25</v>
      </c>
      <c r="N1333" s="0" t="n">
        <f aca="false">E1333*F1333</f>
        <v>-0.5625</v>
      </c>
      <c r="O1333" s="0" t="n">
        <f aca="false">E1333*G1333</f>
        <v>0.1875</v>
      </c>
      <c r="P1333" s="0" t="n">
        <f aca="false">E1333*H1333</f>
        <v>-0.1875</v>
      </c>
      <c r="Q1333" s="0" t="n">
        <f aca="false">F1333*G1333</f>
        <v>-0.1875</v>
      </c>
      <c r="R1333" s="0" t="n">
        <f aca="false">F1333*H1333</f>
        <v>0.1875</v>
      </c>
      <c r="S1333" s="0" t="n">
        <f aca="false">G1333*H1333</f>
        <v>-0.0625</v>
      </c>
      <c r="T1333" s="0" t="n">
        <f aca="false">E1333*E1333</f>
        <v>0.5625</v>
      </c>
      <c r="U1333" s="0" t="n">
        <f aca="false">F1333*F1333</f>
        <v>0.5625</v>
      </c>
      <c r="V1333" s="0" t="n">
        <f aca="false">G1333*G1333</f>
        <v>0.0625</v>
      </c>
      <c r="W1333" s="0" t="n">
        <f aca="false">H1333*H1333</f>
        <v>0.0625</v>
      </c>
      <c r="X1333" s="0" t="n">
        <f aca="false">SUMPRODUCT(I1333:W1333,_XtX!$B$96:$P$96)</f>
        <v>43.9637655336257</v>
      </c>
      <c r="Y1333" s="0" t="n">
        <f aca="false">SUMPRODUCT(MMULT(I1333:W1333,_XtX!$B$78:$P$92),I1333:W1333)</f>
        <v>0.271087468019006</v>
      </c>
      <c r="Z1333" s="0" t="n">
        <f aca="false">04_回帰ANOVA!$K$19*04_回帰ANOVA!$K$14*SQRT(1+Y1333)</f>
        <v>1.46955590155034</v>
      </c>
      <c r="AA1333" s="0" t="n">
        <f aca="false">X1333-Z1333</f>
        <v>42.4942096320754</v>
      </c>
      <c r="AB1333" s="0" t="n">
        <f aca="false">X1333+Z1333</f>
        <v>45.4333214351761</v>
      </c>
      <c r="AC1333" s="54" t="b">
        <f aca="false">AND(E1333&gt;=01_因子設定!$L$5-0.000000001,E1333&lt;=01_因子設定!$M$5+0.000000001,F1333&gt;=01_因子設定!$L$6-0.000000001,F1333&lt;=01_因子設定!$M$6+0.000000001,G1333&gt;=01_因子設定!$L$7-0.000000001,G1333&lt;=01_因子設定!$M$7+0.000000001,H1333&gt;=01_因子設定!$L$8-0.000000001,H1333&lt;=01_因子設定!$M$8+0.000000001,IF(01_因子設定!$B$20="Box-Behnken",E1333^2+F1333^2+G1333^2+H1333^2&lt;=2+0.000000001,TRUE()))</f>
        <v>1</v>
      </c>
      <c r="AD1333" s="55" t="n">
        <f aca="false">IF(AC1333,IF(01_因子設定!$B$13="最大化",AA1333-01_因子設定!$B$14,IF(01_因子設定!$B$13="最小化",01_因子設定!$B$15-AB1333,MIN(AA1333-01_因子設定!$B$14,01_因子設定!$B$15-AB1333))),-1E+030)</f>
        <v>-4.00579036792463</v>
      </c>
      <c r="AE1333" s="55" t="n">
        <f aca="false">IF(AC1333,IF(01_因子設定!$B$13="最大化",X1333,IF(01_因子設定!$B$13="最小化",-X1333,-ABS(X1333-01_因子設定!$B$16))),-1E+030)</f>
        <v>43.9637655336257</v>
      </c>
      <c r="AF1333" s="55" t="n">
        <f aca="false">AD1333+ROW()*0.000000001</f>
        <v>-4.00578903492463</v>
      </c>
      <c r="AG1333" s="55" t="n">
        <f aca="false">AE1333+ROW()*0.000000001</f>
        <v>43.9637668666257</v>
      </c>
    </row>
    <row r="1334" customFormat="false" ht="15" hidden="false" customHeight="false" outlineLevel="0" collapsed="false">
      <c r="A1334" s="0" t="n">
        <v>1</v>
      </c>
      <c r="B1334" s="0" t="n">
        <v>7</v>
      </c>
      <c r="C1334" s="0" t="n">
        <v>3</v>
      </c>
      <c r="D1334" s="0" t="n">
        <v>6</v>
      </c>
      <c r="E1334" s="0" t="n">
        <f aca="false">-1+A1334*0.25</f>
        <v>-0.75</v>
      </c>
      <c r="F1334" s="0" t="n">
        <f aca="false">-1+B1334*0.25</f>
        <v>0.75</v>
      </c>
      <c r="G1334" s="0" t="n">
        <f aca="false">-1+C1334*0.25</f>
        <v>-0.25</v>
      </c>
      <c r="H1334" s="0" t="n">
        <f aca="false">-1+D1334*0.25</f>
        <v>0.5</v>
      </c>
      <c r="I1334" s="0" t="n">
        <f aca="false">1</f>
        <v>1</v>
      </c>
      <c r="J1334" s="0" t="n">
        <f aca="false">E1334</f>
        <v>-0.75</v>
      </c>
      <c r="K1334" s="0" t="n">
        <f aca="false">F1334</f>
        <v>0.75</v>
      </c>
      <c r="L1334" s="0" t="n">
        <f aca="false">G1334</f>
        <v>-0.25</v>
      </c>
      <c r="M1334" s="0" t="n">
        <f aca="false">H1334</f>
        <v>0.5</v>
      </c>
      <c r="N1334" s="0" t="n">
        <f aca="false">E1334*F1334</f>
        <v>-0.5625</v>
      </c>
      <c r="O1334" s="0" t="n">
        <f aca="false">E1334*G1334</f>
        <v>0.1875</v>
      </c>
      <c r="P1334" s="0" t="n">
        <f aca="false">E1334*H1334</f>
        <v>-0.375</v>
      </c>
      <c r="Q1334" s="0" t="n">
        <f aca="false">F1334*G1334</f>
        <v>-0.1875</v>
      </c>
      <c r="R1334" s="0" t="n">
        <f aca="false">F1334*H1334</f>
        <v>0.375</v>
      </c>
      <c r="S1334" s="0" t="n">
        <f aca="false">G1334*H1334</f>
        <v>-0.125</v>
      </c>
      <c r="T1334" s="0" t="n">
        <f aca="false">E1334*E1334</f>
        <v>0.5625</v>
      </c>
      <c r="U1334" s="0" t="n">
        <f aca="false">F1334*F1334</f>
        <v>0.5625</v>
      </c>
      <c r="V1334" s="0" t="n">
        <f aca="false">G1334*G1334</f>
        <v>0.0625</v>
      </c>
      <c r="W1334" s="0" t="n">
        <f aca="false">H1334*H1334</f>
        <v>0.25</v>
      </c>
      <c r="X1334" s="0" t="n">
        <f aca="false">SUMPRODUCT(I1334:W1334,_XtX!$B$96:$P$96)</f>
        <v>43.9121938961988</v>
      </c>
      <c r="Y1334" s="0" t="n">
        <f aca="false">SUMPRODUCT(MMULT(I1334:W1334,_XtX!$B$78:$P$92),I1334:W1334)</f>
        <v>0.257385610836988</v>
      </c>
      <c r="Z1334" s="0" t="n">
        <f aca="false">04_回帰ANOVA!$K$19*04_回帰ANOVA!$K$14*SQRT(1+Y1334)</f>
        <v>1.46161380324158</v>
      </c>
      <c r="AA1334" s="0" t="n">
        <f aca="false">X1334-Z1334</f>
        <v>42.4505800929572</v>
      </c>
      <c r="AB1334" s="0" t="n">
        <f aca="false">X1334+Z1334</f>
        <v>45.3738076994404</v>
      </c>
      <c r="AC1334" s="54" t="b">
        <f aca="false">AND(E1334&gt;=01_因子設定!$L$5-0.000000001,E1334&lt;=01_因子設定!$M$5+0.000000001,F1334&gt;=01_因子設定!$L$6-0.000000001,F1334&lt;=01_因子設定!$M$6+0.000000001,G1334&gt;=01_因子設定!$L$7-0.000000001,G1334&lt;=01_因子設定!$M$7+0.000000001,H1334&gt;=01_因子設定!$L$8-0.000000001,H1334&lt;=01_因子設定!$M$8+0.000000001,IF(01_因子設定!$B$20="Box-Behnken",E1334^2+F1334^2+G1334^2+H1334^2&lt;=2+0.000000001,TRUE()))</f>
        <v>1</v>
      </c>
      <c r="AD1334" s="55" t="n">
        <f aca="false">IF(AC1334,IF(01_因子設定!$B$13="最大化",AA1334-01_因子設定!$B$14,IF(01_因子設定!$B$13="最小化",01_因子設定!$B$15-AB1334,MIN(AA1334-01_因子設定!$B$14,01_因子設定!$B$15-AB1334))),-1E+030)</f>
        <v>-4.04941990704276</v>
      </c>
      <c r="AE1334" s="55" t="n">
        <f aca="false">IF(AC1334,IF(01_因子設定!$B$13="最大化",X1334,IF(01_因子設定!$B$13="最小化",-X1334,-ABS(X1334-01_因子設定!$B$16))),-1E+030)</f>
        <v>43.9121938961988</v>
      </c>
      <c r="AF1334" s="55" t="n">
        <f aca="false">AD1334+ROW()*0.000000001</f>
        <v>-4.04941857304276</v>
      </c>
      <c r="AG1334" s="55" t="n">
        <f aca="false">AE1334+ROW()*0.000000001</f>
        <v>43.9121952301988</v>
      </c>
    </row>
    <row r="1335" customFormat="false" ht="15" hidden="false" customHeight="false" outlineLevel="0" collapsed="false">
      <c r="A1335" s="0" t="n">
        <v>1</v>
      </c>
      <c r="B1335" s="0" t="n">
        <v>7</v>
      </c>
      <c r="C1335" s="0" t="n">
        <v>3</v>
      </c>
      <c r="D1335" s="0" t="n">
        <v>7</v>
      </c>
      <c r="E1335" s="0" t="n">
        <f aca="false">-1+A1335*0.25</f>
        <v>-0.75</v>
      </c>
      <c r="F1335" s="0" t="n">
        <f aca="false">-1+B1335*0.25</f>
        <v>0.75</v>
      </c>
      <c r="G1335" s="0" t="n">
        <f aca="false">-1+C1335*0.25</f>
        <v>-0.25</v>
      </c>
      <c r="H1335" s="0" t="n">
        <f aca="false">-1+D1335*0.25</f>
        <v>0.75</v>
      </c>
      <c r="I1335" s="0" t="n">
        <f aca="false">1</f>
        <v>1</v>
      </c>
      <c r="J1335" s="0" t="n">
        <f aca="false">E1335</f>
        <v>-0.75</v>
      </c>
      <c r="K1335" s="0" t="n">
        <f aca="false">F1335</f>
        <v>0.75</v>
      </c>
      <c r="L1335" s="0" t="n">
        <f aca="false">G1335</f>
        <v>-0.25</v>
      </c>
      <c r="M1335" s="0" t="n">
        <f aca="false">H1335</f>
        <v>0.75</v>
      </c>
      <c r="N1335" s="0" t="n">
        <f aca="false">E1335*F1335</f>
        <v>-0.5625</v>
      </c>
      <c r="O1335" s="0" t="n">
        <f aca="false">E1335*G1335</f>
        <v>0.1875</v>
      </c>
      <c r="P1335" s="0" t="n">
        <f aca="false">E1335*H1335</f>
        <v>-0.5625</v>
      </c>
      <c r="Q1335" s="0" t="n">
        <f aca="false">F1335*G1335</f>
        <v>-0.1875</v>
      </c>
      <c r="R1335" s="0" t="n">
        <f aca="false">F1335*H1335</f>
        <v>0.5625</v>
      </c>
      <c r="S1335" s="0" t="n">
        <f aca="false">G1335*H1335</f>
        <v>-0.1875</v>
      </c>
      <c r="T1335" s="0" t="n">
        <f aca="false">E1335*E1335</f>
        <v>0.5625</v>
      </c>
      <c r="U1335" s="0" t="n">
        <f aca="false">F1335*F1335</f>
        <v>0.5625</v>
      </c>
      <c r="V1335" s="0" t="n">
        <f aca="false">G1335*G1335</f>
        <v>0.0625</v>
      </c>
      <c r="W1335" s="0" t="n">
        <f aca="false">H1335*H1335</f>
        <v>0.5625</v>
      </c>
      <c r="X1335" s="0" t="n">
        <f aca="false">SUMPRODUCT(I1335:W1335,_XtX!$B$96:$P$96)</f>
        <v>43.8128152412281</v>
      </c>
      <c r="Y1335" s="0" t="n">
        <f aca="false">SUMPRODUCT(MMULT(I1335:W1335,_XtX!$B$78:$P$92),I1335:W1335)</f>
        <v>0.294856199744152</v>
      </c>
      <c r="Z1335" s="0" t="n">
        <f aca="false">04_回帰ANOVA!$K$19*04_回帰ANOVA!$K$14*SQRT(1+Y1335)</f>
        <v>1.48323226089013</v>
      </c>
      <c r="AA1335" s="0" t="n">
        <f aca="false">X1335-Z1335</f>
        <v>42.3295829803379</v>
      </c>
      <c r="AB1335" s="0" t="n">
        <f aca="false">X1335+Z1335</f>
        <v>45.2960475021182</v>
      </c>
      <c r="AC1335" s="54" t="b">
        <f aca="false">AND(E1335&gt;=01_因子設定!$L$5-0.000000001,E1335&lt;=01_因子設定!$M$5+0.000000001,F1335&gt;=01_因子設定!$L$6-0.000000001,F1335&lt;=01_因子設定!$M$6+0.000000001,G1335&gt;=01_因子設定!$L$7-0.000000001,G1335&lt;=01_因子設定!$M$7+0.000000001,H1335&gt;=01_因子設定!$L$8-0.000000001,H1335&lt;=01_因子設定!$M$8+0.000000001,IF(01_因子設定!$B$20="Box-Behnken",E1335^2+F1335^2+G1335^2+H1335^2&lt;=2+0.000000001,TRUE()))</f>
        <v>1</v>
      </c>
      <c r="AD1335" s="55" t="n">
        <f aca="false">IF(AC1335,IF(01_因子設定!$B$13="最大化",AA1335-01_因子設定!$B$14,IF(01_因子設定!$B$13="最小化",01_因子設定!$B$15-AB1335,MIN(AA1335-01_因子設定!$B$14,01_因子設定!$B$15-AB1335))),-1E+030)</f>
        <v>-4.17041701966206</v>
      </c>
      <c r="AE1335" s="55" t="n">
        <f aca="false">IF(AC1335,IF(01_因子設定!$B$13="最大化",X1335,IF(01_因子設定!$B$13="最小化",-X1335,-ABS(X1335-01_因子設定!$B$16))),-1E+030)</f>
        <v>43.8128152412281</v>
      </c>
      <c r="AF1335" s="55" t="n">
        <f aca="false">AD1335+ROW()*0.000000001</f>
        <v>-4.17041568466206</v>
      </c>
      <c r="AG1335" s="55" t="n">
        <f aca="false">AE1335+ROW()*0.000000001</f>
        <v>43.8128165762281</v>
      </c>
    </row>
    <row r="1336" customFormat="false" ht="15" hidden="false" customHeight="false" outlineLevel="0" collapsed="false">
      <c r="A1336" s="0" t="n">
        <v>1</v>
      </c>
      <c r="B1336" s="0" t="n">
        <v>7</v>
      </c>
      <c r="C1336" s="0" t="n">
        <v>3</v>
      </c>
      <c r="D1336" s="0" t="n">
        <v>8</v>
      </c>
      <c r="E1336" s="0" t="n">
        <f aca="false">-1+A1336*0.25</f>
        <v>-0.75</v>
      </c>
      <c r="F1336" s="0" t="n">
        <f aca="false">-1+B1336*0.25</f>
        <v>0.75</v>
      </c>
      <c r="G1336" s="0" t="n">
        <f aca="false">-1+C1336*0.25</f>
        <v>-0.25</v>
      </c>
      <c r="H1336" s="0" t="n">
        <f aca="false">-1+D1336*0.25</f>
        <v>1</v>
      </c>
      <c r="I1336" s="0" t="n">
        <f aca="false">1</f>
        <v>1</v>
      </c>
      <c r="J1336" s="0" t="n">
        <f aca="false">E1336</f>
        <v>-0.75</v>
      </c>
      <c r="K1336" s="0" t="n">
        <f aca="false">F1336</f>
        <v>0.75</v>
      </c>
      <c r="L1336" s="0" t="n">
        <f aca="false">G1336</f>
        <v>-0.25</v>
      </c>
      <c r="M1336" s="0" t="n">
        <f aca="false">H1336</f>
        <v>1</v>
      </c>
      <c r="N1336" s="0" t="n">
        <f aca="false">E1336*F1336</f>
        <v>-0.5625</v>
      </c>
      <c r="O1336" s="0" t="n">
        <f aca="false">E1336*G1336</f>
        <v>0.1875</v>
      </c>
      <c r="P1336" s="0" t="n">
        <f aca="false">E1336*H1336</f>
        <v>-0.75</v>
      </c>
      <c r="Q1336" s="0" t="n">
        <f aca="false">F1336*G1336</f>
        <v>-0.1875</v>
      </c>
      <c r="R1336" s="0" t="n">
        <f aca="false">F1336*H1336</f>
        <v>0.75</v>
      </c>
      <c r="S1336" s="0" t="n">
        <f aca="false">G1336*H1336</f>
        <v>-0.25</v>
      </c>
      <c r="T1336" s="0" t="n">
        <f aca="false">E1336*E1336</f>
        <v>0.5625</v>
      </c>
      <c r="U1336" s="0" t="n">
        <f aca="false">F1336*F1336</f>
        <v>0.5625</v>
      </c>
      <c r="V1336" s="0" t="n">
        <f aca="false">G1336*G1336</f>
        <v>0.0625</v>
      </c>
      <c r="W1336" s="0" t="n">
        <f aca="false">H1336*H1336</f>
        <v>1</v>
      </c>
      <c r="X1336" s="0" t="n">
        <f aca="false">SUMPRODUCT(I1336:W1336,_XtX!$B$96:$P$96)</f>
        <v>43.6656295687135</v>
      </c>
      <c r="Y1336" s="0" t="n">
        <f aca="false">SUMPRODUCT(MMULT(I1336:W1336,_XtX!$B$78:$P$92),I1336:W1336)</f>
        <v>0.473959761056287</v>
      </c>
      <c r="Z1336" s="0" t="n">
        <f aca="false">04_回帰ANOVA!$K$19*04_回帰ANOVA!$K$14*SQRT(1+Y1336)</f>
        <v>1.58249084588329</v>
      </c>
      <c r="AA1336" s="0" t="n">
        <f aca="false">X1336-Z1336</f>
        <v>42.0831387228302</v>
      </c>
      <c r="AB1336" s="0" t="n">
        <f aca="false">X1336+Z1336</f>
        <v>45.2481204145968</v>
      </c>
      <c r="AC1336" s="54" t="b">
        <f aca="false">AND(E1336&gt;=01_因子設定!$L$5-0.000000001,E1336&lt;=01_因子設定!$M$5+0.000000001,F1336&gt;=01_因子設定!$L$6-0.000000001,F1336&lt;=01_因子設定!$M$6+0.000000001,G1336&gt;=01_因子設定!$L$7-0.000000001,G1336&lt;=01_因子設定!$M$7+0.000000001,H1336&gt;=01_因子設定!$L$8-0.000000001,H1336&lt;=01_因子設定!$M$8+0.000000001,IF(01_因子設定!$B$20="Box-Behnken",E1336^2+F1336^2+G1336^2+H1336^2&lt;=2+0.000000001,TRUE()))</f>
        <v>1</v>
      </c>
      <c r="AD1336" s="55" t="n">
        <f aca="false">IF(AC1336,IF(01_因子設定!$B$13="最大化",AA1336-01_因子設定!$B$14,IF(01_因子設定!$B$13="最小化",01_因子設定!$B$15-AB1336,MIN(AA1336-01_因子設定!$B$14,01_因子設定!$B$15-AB1336))),-1E+030)</f>
        <v>-4.41686127716982</v>
      </c>
      <c r="AE1336" s="55" t="n">
        <f aca="false">IF(AC1336,IF(01_因子設定!$B$13="最大化",X1336,IF(01_因子設定!$B$13="最小化",-X1336,-ABS(X1336-01_因子設定!$B$16))),-1E+030)</f>
        <v>43.6656295687135</v>
      </c>
      <c r="AF1336" s="55" t="n">
        <f aca="false">AD1336+ROW()*0.000000001</f>
        <v>-4.41685994116982</v>
      </c>
      <c r="AG1336" s="55" t="n">
        <f aca="false">AE1336+ROW()*0.000000001</f>
        <v>43.6656309047135</v>
      </c>
    </row>
    <row r="1337" customFormat="false" ht="15" hidden="false" customHeight="false" outlineLevel="0" collapsed="false">
      <c r="A1337" s="0" t="n">
        <v>1</v>
      </c>
      <c r="B1337" s="0" t="n">
        <v>7</v>
      </c>
      <c r="C1337" s="0" t="n">
        <v>4</v>
      </c>
      <c r="D1337" s="0" t="n">
        <v>0</v>
      </c>
      <c r="E1337" s="0" t="n">
        <f aca="false">-1+A1337*0.25</f>
        <v>-0.75</v>
      </c>
      <c r="F1337" s="0" t="n">
        <f aca="false">-1+B1337*0.25</f>
        <v>0.75</v>
      </c>
      <c r="G1337" s="0" t="n">
        <f aca="false">-1+C1337*0.25</f>
        <v>0</v>
      </c>
      <c r="H1337" s="0" t="n">
        <f aca="false">-1+D1337*0.25</f>
        <v>-1</v>
      </c>
      <c r="I1337" s="0" t="n">
        <f aca="false">1</f>
        <v>1</v>
      </c>
      <c r="J1337" s="0" t="n">
        <f aca="false">E1337</f>
        <v>-0.75</v>
      </c>
      <c r="K1337" s="0" t="n">
        <f aca="false">F1337</f>
        <v>0.75</v>
      </c>
      <c r="L1337" s="0" t="n">
        <f aca="false">G1337</f>
        <v>0</v>
      </c>
      <c r="M1337" s="0" t="n">
        <f aca="false">H1337</f>
        <v>-1</v>
      </c>
      <c r="N1337" s="0" t="n">
        <f aca="false">E1337*F1337</f>
        <v>-0.5625</v>
      </c>
      <c r="O1337" s="0" t="n">
        <f aca="false">E1337*G1337</f>
        <v>-0</v>
      </c>
      <c r="P1337" s="0" t="n">
        <f aca="false">E1337*H1337</f>
        <v>0.75</v>
      </c>
      <c r="Q1337" s="0" t="n">
        <f aca="false">F1337*G1337</f>
        <v>0</v>
      </c>
      <c r="R1337" s="0" t="n">
        <f aca="false">F1337*H1337</f>
        <v>-0.75</v>
      </c>
      <c r="S1337" s="0" t="n">
        <f aca="false">G1337*H1337</f>
        <v>-0</v>
      </c>
      <c r="T1337" s="0" t="n">
        <f aca="false">E1337*E1337</f>
        <v>0.5625</v>
      </c>
      <c r="U1337" s="0" t="n">
        <f aca="false">F1337*F1337</f>
        <v>0.5625</v>
      </c>
      <c r="V1337" s="0" t="n">
        <f aca="false">G1337*G1337</f>
        <v>0</v>
      </c>
      <c r="W1337" s="0" t="n">
        <f aca="false">H1337*H1337</f>
        <v>1</v>
      </c>
      <c r="X1337" s="0" t="n">
        <f aca="false">SUMPRODUCT(I1337:W1337,_XtX!$B$96:$P$96)</f>
        <v>43.9015990497076</v>
      </c>
      <c r="Y1337" s="0" t="n">
        <f aca="false">SUMPRODUCT(MMULT(I1337:W1337,_XtX!$B$78:$P$92),I1337:W1337)</f>
        <v>0.494259126005117</v>
      </c>
      <c r="Z1337" s="0" t="n">
        <f aca="false">04_回帰ANOVA!$K$19*04_回帰ANOVA!$K$14*SQRT(1+Y1337)</f>
        <v>1.59335061078203</v>
      </c>
      <c r="AA1337" s="0" t="n">
        <f aca="false">X1337-Z1337</f>
        <v>42.3082484389256</v>
      </c>
      <c r="AB1337" s="0" t="n">
        <f aca="false">X1337+Z1337</f>
        <v>45.4949496604897</v>
      </c>
      <c r="AC1337" s="54" t="b">
        <f aca="false">AND(E1337&gt;=01_因子設定!$L$5-0.000000001,E1337&lt;=01_因子設定!$M$5+0.000000001,F1337&gt;=01_因子設定!$L$6-0.000000001,F1337&lt;=01_因子設定!$M$6+0.000000001,G1337&gt;=01_因子設定!$L$7-0.000000001,G1337&lt;=01_因子設定!$M$7+0.000000001,H1337&gt;=01_因子設定!$L$8-0.000000001,H1337&lt;=01_因子設定!$M$8+0.000000001,IF(01_因子設定!$B$20="Box-Behnken",E1337^2+F1337^2+G1337^2+H1337^2&lt;=2+0.000000001,TRUE()))</f>
        <v>1</v>
      </c>
      <c r="AD1337" s="55" t="n">
        <f aca="false">IF(AC1337,IF(01_因子設定!$B$13="最大化",AA1337-01_因子設定!$B$14,IF(01_因子設定!$B$13="最小化",01_因子設定!$B$15-AB1337,MIN(AA1337-01_因子設定!$B$14,01_因子設定!$B$15-AB1337))),-1E+030)</f>
        <v>-4.1917515610744</v>
      </c>
      <c r="AE1337" s="55" t="n">
        <f aca="false">IF(AC1337,IF(01_因子設定!$B$13="最大化",X1337,IF(01_因子設定!$B$13="最小化",-X1337,-ABS(X1337-01_因子設定!$B$16))),-1E+030)</f>
        <v>43.9015990497076</v>
      </c>
      <c r="AF1337" s="55" t="n">
        <f aca="false">AD1337+ROW()*0.000000001</f>
        <v>-4.1917502240744</v>
      </c>
      <c r="AG1337" s="55" t="n">
        <f aca="false">AE1337+ROW()*0.000000001</f>
        <v>43.9016003867076</v>
      </c>
    </row>
    <row r="1338" customFormat="false" ht="15" hidden="false" customHeight="false" outlineLevel="0" collapsed="false">
      <c r="A1338" s="0" t="n">
        <v>1</v>
      </c>
      <c r="B1338" s="0" t="n">
        <v>7</v>
      </c>
      <c r="C1338" s="0" t="n">
        <v>4</v>
      </c>
      <c r="D1338" s="0" t="n">
        <v>1</v>
      </c>
      <c r="E1338" s="0" t="n">
        <f aca="false">-1+A1338*0.25</f>
        <v>-0.75</v>
      </c>
      <c r="F1338" s="0" t="n">
        <f aca="false">-1+B1338*0.25</f>
        <v>0.75</v>
      </c>
      <c r="G1338" s="0" t="n">
        <f aca="false">-1+C1338*0.25</f>
        <v>0</v>
      </c>
      <c r="H1338" s="0" t="n">
        <f aca="false">-1+D1338*0.25</f>
        <v>-0.75</v>
      </c>
      <c r="I1338" s="0" t="n">
        <f aca="false">1</f>
        <v>1</v>
      </c>
      <c r="J1338" s="0" t="n">
        <f aca="false">E1338</f>
        <v>-0.75</v>
      </c>
      <c r="K1338" s="0" t="n">
        <f aca="false">F1338</f>
        <v>0.75</v>
      </c>
      <c r="L1338" s="0" t="n">
        <f aca="false">G1338</f>
        <v>0</v>
      </c>
      <c r="M1338" s="0" t="n">
        <f aca="false">H1338</f>
        <v>-0.75</v>
      </c>
      <c r="N1338" s="0" t="n">
        <f aca="false">E1338*F1338</f>
        <v>-0.5625</v>
      </c>
      <c r="O1338" s="0" t="n">
        <f aca="false">E1338*G1338</f>
        <v>-0</v>
      </c>
      <c r="P1338" s="0" t="n">
        <f aca="false">E1338*H1338</f>
        <v>0.5625</v>
      </c>
      <c r="Q1338" s="0" t="n">
        <f aca="false">F1338*G1338</f>
        <v>0</v>
      </c>
      <c r="R1338" s="0" t="n">
        <f aca="false">F1338*H1338</f>
        <v>-0.5625</v>
      </c>
      <c r="S1338" s="0" t="n">
        <f aca="false">G1338*H1338</f>
        <v>-0</v>
      </c>
      <c r="T1338" s="0" t="n">
        <f aca="false">E1338*E1338</f>
        <v>0.5625</v>
      </c>
      <c r="U1338" s="0" t="n">
        <f aca="false">F1338*F1338</f>
        <v>0.5625</v>
      </c>
      <c r="V1338" s="0" t="n">
        <f aca="false">G1338*G1338</f>
        <v>0</v>
      </c>
      <c r="W1338" s="0" t="n">
        <f aca="false">H1338*H1338</f>
        <v>0.5625</v>
      </c>
      <c r="X1338" s="0" t="n">
        <f aca="false">SUMPRODUCT(I1338:W1338,_XtX!$B$96:$P$96)</f>
        <v>44.10703125</v>
      </c>
      <c r="Y1338" s="0" t="n">
        <f aca="false">SUMPRODUCT(MMULT(I1338:W1338,_XtX!$B$78:$P$92),I1338:W1338)</f>
        <v>0.310628255208333</v>
      </c>
      <c r="Z1338" s="0" t="n">
        <f aca="false">04_回帰ANOVA!$K$19*04_回帰ANOVA!$K$14*SQRT(1+Y1338)</f>
        <v>1.49223820892344</v>
      </c>
      <c r="AA1338" s="0" t="n">
        <f aca="false">X1338-Z1338</f>
        <v>42.6147930410766</v>
      </c>
      <c r="AB1338" s="0" t="n">
        <f aca="false">X1338+Z1338</f>
        <v>45.5992694589234</v>
      </c>
      <c r="AC1338" s="54" t="b">
        <f aca="false">AND(E1338&gt;=01_因子設定!$L$5-0.000000001,E1338&lt;=01_因子設定!$M$5+0.000000001,F1338&gt;=01_因子設定!$L$6-0.000000001,F1338&lt;=01_因子設定!$M$6+0.000000001,G1338&gt;=01_因子設定!$L$7-0.000000001,G1338&lt;=01_因子設定!$M$7+0.000000001,H1338&gt;=01_因子設定!$L$8-0.000000001,H1338&lt;=01_因子設定!$M$8+0.000000001,IF(01_因子設定!$B$20="Box-Behnken",E1338^2+F1338^2+G1338^2+H1338^2&lt;=2+0.000000001,TRUE()))</f>
        <v>1</v>
      </c>
      <c r="AD1338" s="55" t="n">
        <f aca="false">IF(AC1338,IF(01_因子設定!$B$13="最大化",AA1338-01_因子設定!$B$14,IF(01_因子設定!$B$13="最小化",01_因子設定!$B$15-AB1338,MIN(AA1338-01_因子設定!$B$14,01_因子設定!$B$15-AB1338))),-1E+030)</f>
        <v>-3.88520695892343</v>
      </c>
      <c r="AE1338" s="55" t="n">
        <f aca="false">IF(AC1338,IF(01_因子設定!$B$13="最大化",X1338,IF(01_因子設定!$B$13="最小化",-X1338,-ABS(X1338-01_因子設定!$B$16))),-1E+030)</f>
        <v>44.10703125</v>
      </c>
      <c r="AF1338" s="55" t="n">
        <f aca="false">AD1338+ROW()*0.000000001</f>
        <v>-3.88520562092343</v>
      </c>
      <c r="AG1338" s="55" t="n">
        <f aca="false">AE1338+ROW()*0.000000001</f>
        <v>44.107032588</v>
      </c>
    </row>
    <row r="1339" customFormat="false" ht="15" hidden="false" customHeight="false" outlineLevel="0" collapsed="false">
      <c r="A1339" s="0" t="n">
        <v>1</v>
      </c>
      <c r="B1339" s="0" t="n">
        <v>7</v>
      </c>
      <c r="C1339" s="0" t="n">
        <v>4</v>
      </c>
      <c r="D1339" s="0" t="n">
        <v>2</v>
      </c>
      <c r="E1339" s="0" t="n">
        <f aca="false">-1+A1339*0.25</f>
        <v>-0.75</v>
      </c>
      <c r="F1339" s="0" t="n">
        <f aca="false">-1+B1339*0.25</f>
        <v>0.75</v>
      </c>
      <c r="G1339" s="0" t="n">
        <f aca="false">-1+C1339*0.25</f>
        <v>0</v>
      </c>
      <c r="H1339" s="0" t="n">
        <f aca="false">-1+D1339*0.25</f>
        <v>-0.5</v>
      </c>
      <c r="I1339" s="0" t="n">
        <f aca="false">1</f>
        <v>1</v>
      </c>
      <c r="J1339" s="0" t="n">
        <f aca="false">E1339</f>
        <v>-0.75</v>
      </c>
      <c r="K1339" s="0" t="n">
        <f aca="false">F1339</f>
        <v>0.75</v>
      </c>
      <c r="L1339" s="0" t="n">
        <f aca="false">G1339</f>
        <v>0</v>
      </c>
      <c r="M1339" s="0" t="n">
        <f aca="false">H1339</f>
        <v>-0.5</v>
      </c>
      <c r="N1339" s="0" t="n">
        <f aca="false">E1339*F1339</f>
        <v>-0.5625</v>
      </c>
      <c r="O1339" s="0" t="n">
        <f aca="false">E1339*G1339</f>
        <v>-0</v>
      </c>
      <c r="P1339" s="0" t="n">
        <f aca="false">E1339*H1339</f>
        <v>0.375</v>
      </c>
      <c r="Q1339" s="0" t="n">
        <f aca="false">F1339*G1339</f>
        <v>0</v>
      </c>
      <c r="R1339" s="0" t="n">
        <f aca="false">F1339*H1339</f>
        <v>-0.375</v>
      </c>
      <c r="S1339" s="0" t="n">
        <f aca="false">G1339*H1339</f>
        <v>-0</v>
      </c>
      <c r="T1339" s="0" t="n">
        <f aca="false">E1339*E1339</f>
        <v>0.5625</v>
      </c>
      <c r="U1339" s="0" t="n">
        <f aca="false">F1339*F1339</f>
        <v>0.5625</v>
      </c>
      <c r="V1339" s="0" t="n">
        <f aca="false">G1339*G1339</f>
        <v>0</v>
      </c>
      <c r="W1339" s="0" t="n">
        <f aca="false">H1339*H1339</f>
        <v>0.25</v>
      </c>
      <c r="X1339" s="0" t="n">
        <f aca="false">SUMPRODUCT(I1339:W1339,_XtX!$B$96:$P$96)</f>
        <v>44.2646564327485</v>
      </c>
      <c r="Y1339" s="0" t="n">
        <f aca="false">SUMPRODUCT(MMULT(I1339:W1339,_XtX!$B$78:$P$92),I1339:W1339)</f>
        <v>0.269923873812135</v>
      </c>
      <c r="Z1339" s="0" t="n">
        <f aca="false">04_回帰ANOVA!$K$19*04_回帰ANOVA!$K$14*SQRT(1+Y1339)</f>
        <v>1.46888310825501</v>
      </c>
      <c r="AA1339" s="0" t="n">
        <f aca="false">X1339-Z1339</f>
        <v>42.7957733244935</v>
      </c>
      <c r="AB1339" s="0" t="n">
        <f aca="false">X1339+Z1339</f>
        <v>45.7335395410035</v>
      </c>
      <c r="AC1339" s="54" t="b">
        <f aca="false">AND(E1339&gt;=01_因子設定!$L$5-0.000000001,E1339&lt;=01_因子設定!$M$5+0.000000001,F1339&gt;=01_因子設定!$L$6-0.000000001,F1339&lt;=01_因子設定!$M$6+0.000000001,G1339&gt;=01_因子設定!$L$7-0.000000001,G1339&lt;=01_因子設定!$M$7+0.000000001,H1339&gt;=01_因子設定!$L$8-0.000000001,H1339&lt;=01_因子設定!$M$8+0.000000001,IF(01_因子設定!$B$20="Box-Behnken",E1339^2+F1339^2+G1339^2+H1339^2&lt;=2+0.000000001,TRUE()))</f>
        <v>1</v>
      </c>
      <c r="AD1339" s="55" t="n">
        <f aca="false">IF(AC1339,IF(01_因子設定!$B$13="最大化",AA1339-01_因子設定!$B$14,IF(01_因子設定!$B$13="最小化",01_因子設定!$B$15-AB1339,MIN(AA1339-01_因子設定!$B$14,01_因子設定!$B$15-AB1339))),-1E+030)</f>
        <v>-3.70422667550648</v>
      </c>
      <c r="AE1339" s="55" t="n">
        <f aca="false">IF(AC1339,IF(01_因子設定!$B$13="最大化",X1339,IF(01_因子設定!$B$13="最小化",-X1339,-ABS(X1339-01_因子設定!$B$16))),-1E+030)</f>
        <v>44.2646564327485</v>
      </c>
      <c r="AF1339" s="55" t="n">
        <f aca="false">AD1339+ROW()*0.000000001</f>
        <v>-3.70422533650648</v>
      </c>
      <c r="AG1339" s="55" t="n">
        <f aca="false">AE1339+ROW()*0.000000001</f>
        <v>44.2646577717485</v>
      </c>
    </row>
    <row r="1340" customFormat="false" ht="15" hidden="false" customHeight="false" outlineLevel="0" collapsed="false">
      <c r="A1340" s="0" t="n">
        <v>1</v>
      </c>
      <c r="B1340" s="0" t="n">
        <v>7</v>
      </c>
      <c r="C1340" s="0" t="n">
        <v>4</v>
      </c>
      <c r="D1340" s="0" t="n">
        <v>3</v>
      </c>
      <c r="E1340" s="0" t="n">
        <f aca="false">-1+A1340*0.25</f>
        <v>-0.75</v>
      </c>
      <c r="F1340" s="0" t="n">
        <f aca="false">-1+B1340*0.25</f>
        <v>0.75</v>
      </c>
      <c r="G1340" s="0" t="n">
        <f aca="false">-1+C1340*0.25</f>
        <v>0</v>
      </c>
      <c r="H1340" s="0" t="n">
        <f aca="false">-1+D1340*0.25</f>
        <v>-0.25</v>
      </c>
      <c r="I1340" s="0" t="n">
        <f aca="false">1</f>
        <v>1</v>
      </c>
      <c r="J1340" s="0" t="n">
        <f aca="false">E1340</f>
        <v>-0.75</v>
      </c>
      <c r="K1340" s="0" t="n">
        <f aca="false">F1340</f>
        <v>0.75</v>
      </c>
      <c r="L1340" s="0" t="n">
        <f aca="false">G1340</f>
        <v>0</v>
      </c>
      <c r="M1340" s="0" t="n">
        <f aca="false">H1340</f>
        <v>-0.25</v>
      </c>
      <c r="N1340" s="0" t="n">
        <f aca="false">E1340*F1340</f>
        <v>-0.5625</v>
      </c>
      <c r="O1340" s="0" t="n">
        <f aca="false">E1340*G1340</f>
        <v>-0</v>
      </c>
      <c r="P1340" s="0" t="n">
        <f aca="false">E1340*H1340</f>
        <v>0.1875</v>
      </c>
      <c r="Q1340" s="0" t="n">
        <f aca="false">F1340*G1340</f>
        <v>0</v>
      </c>
      <c r="R1340" s="0" t="n">
        <f aca="false">F1340*H1340</f>
        <v>-0.1875</v>
      </c>
      <c r="S1340" s="0" t="n">
        <f aca="false">G1340*H1340</f>
        <v>-0</v>
      </c>
      <c r="T1340" s="0" t="n">
        <f aca="false">E1340*E1340</f>
        <v>0.5625</v>
      </c>
      <c r="U1340" s="0" t="n">
        <f aca="false">F1340*F1340</f>
        <v>0.5625</v>
      </c>
      <c r="V1340" s="0" t="n">
        <f aca="false">G1340*G1340</f>
        <v>0</v>
      </c>
      <c r="W1340" s="0" t="n">
        <f aca="false">H1340*H1340</f>
        <v>0.0625</v>
      </c>
      <c r="X1340" s="0" t="n">
        <f aca="false">SUMPRODUCT(I1340:W1340,_XtX!$B$96:$P$96)</f>
        <v>44.3744745979532</v>
      </c>
      <c r="Y1340" s="0" t="n">
        <f aca="false">SUMPRODUCT(MMULT(I1340:W1340,_XtX!$B$78:$P$92),I1340:W1340)</f>
        <v>0.281685455500731</v>
      </c>
      <c r="Z1340" s="0" t="n">
        <f aca="false">04_回帰ANOVA!$K$19*04_回帰ANOVA!$K$14*SQRT(1+Y1340)</f>
        <v>1.47566956658694</v>
      </c>
      <c r="AA1340" s="0" t="n">
        <f aca="false">X1340-Z1340</f>
        <v>42.8988050313663</v>
      </c>
      <c r="AB1340" s="0" t="n">
        <f aca="false">X1340+Z1340</f>
        <v>45.8501441645401</v>
      </c>
      <c r="AC1340" s="54" t="b">
        <f aca="false">AND(E1340&gt;=01_因子設定!$L$5-0.000000001,E1340&lt;=01_因子設定!$M$5+0.000000001,F1340&gt;=01_因子設定!$L$6-0.000000001,F1340&lt;=01_因子設定!$M$6+0.000000001,G1340&gt;=01_因子設定!$L$7-0.000000001,G1340&lt;=01_因子設定!$M$7+0.000000001,H1340&gt;=01_因子設定!$L$8-0.000000001,H1340&lt;=01_因子設定!$M$8+0.000000001,IF(01_因子設定!$B$20="Box-Behnken",E1340^2+F1340^2+G1340^2+H1340^2&lt;=2+0.000000001,TRUE()))</f>
        <v>1</v>
      </c>
      <c r="AD1340" s="55" t="n">
        <f aca="false">IF(AC1340,IF(01_因子設定!$B$13="最大化",AA1340-01_因子設定!$B$14,IF(01_因子設定!$B$13="最小化",01_因子設定!$B$15-AB1340,MIN(AA1340-01_因子設定!$B$14,01_因子設定!$B$15-AB1340))),-1E+030)</f>
        <v>-3.60119496863373</v>
      </c>
      <c r="AE1340" s="55" t="n">
        <f aca="false">IF(AC1340,IF(01_因子設定!$B$13="最大化",X1340,IF(01_因子設定!$B$13="最小化",-X1340,-ABS(X1340-01_因子設定!$B$16))),-1E+030)</f>
        <v>44.3744745979532</v>
      </c>
      <c r="AF1340" s="55" t="n">
        <f aca="false">AD1340+ROW()*0.000000001</f>
        <v>-3.60119362863373</v>
      </c>
      <c r="AG1340" s="55" t="n">
        <f aca="false">AE1340+ROW()*0.000000001</f>
        <v>44.3744759379532</v>
      </c>
    </row>
    <row r="1341" customFormat="false" ht="15" hidden="false" customHeight="false" outlineLevel="0" collapsed="false">
      <c r="A1341" s="0" t="n">
        <v>1</v>
      </c>
      <c r="B1341" s="0" t="n">
        <v>7</v>
      </c>
      <c r="C1341" s="0" t="n">
        <v>4</v>
      </c>
      <c r="D1341" s="0" t="n">
        <v>4</v>
      </c>
      <c r="E1341" s="0" t="n">
        <f aca="false">-1+A1341*0.25</f>
        <v>-0.75</v>
      </c>
      <c r="F1341" s="0" t="n">
        <f aca="false">-1+B1341*0.25</f>
        <v>0.75</v>
      </c>
      <c r="G1341" s="0" t="n">
        <f aca="false">-1+C1341*0.25</f>
        <v>0</v>
      </c>
      <c r="H1341" s="0" t="n">
        <f aca="false">-1+D1341*0.25</f>
        <v>0</v>
      </c>
      <c r="I1341" s="0" t="n">
        <f aca="false">1</f>
        <v>1</v>
      </c>
      <c r="J1341" s="0" t="n">
        <f aca="false">E1341</f>
        <v>-0.75</v>
      </c>
      <c r="K1341" s="0" t="n">
        <f aca="false">F1341</f>
        <v>0.75</v>
      </c>
      <c r="L1341" s="0" t="n">
        <f aca="false">G1341</f>
        <v>0</v>
      </c>
      <c r="M1341" s="0" t="n">
        <f aca="false">H1341</f>
        <v>0</v>
      </c>
      <c r="N1341" s="0" t="n">
        <f aca="false">E1341*F1341</f>
        <v>-0.5625</v>
      </c>
      <c r="O1341" s="0" t="n">
        <f aca="false">E1341*G1341</f>
        <v>-0</v>
      </c>
      <c r="P1341" s="0" t="n">
        <f aca="false">E1341*H1341</f>
        <v>-0</v>
      </c>
      <c r="Q1341" s="0" t="n">
        <f aca="false">F1341*G1341</f>
        <v>0</v>
      </c>
      <c r="R1341" s="0" t="n">
        <f aca="false">F1341*H1341</f>
        <v>0</v>
      </c>
      <c r="S1341" s="0" t="n">
        <f aca="false">G1341*H1341</f>
        <v>0</v>
      </c>
      <c r="T1341" s="0" t="n">
        <f aca="false">E1341*E1341</f>
        <v>0.5625</v>
      </c>
      <c r="U1341" s="0" t="n">
        <f aca="false">F1341*F1341</f>
        <v>0.5625</v>
      </c>
      <c r="V1341" s="0" t="n">
        <f aca="false">G1341*G1341</f>
        <v>0</v>
      </c>
      <c r="W1341" s="0" t="n">
        <f aca="false">H1341*H1341</f>
        <v>0</v>
      </c>
      <c r="X1341" s="0" t="n">
        <f aca="false">SUMPRODUCT(I1341:W1341,_XtX!$B$96:$P$96)</f>
        <v>44.436485745614</v>
      </c>
      <c r="Y1341" s="0" t="n">
        <f aca="false">SUMPRODUCT(MMULT(I1341:W1341,_XtX!$B$78:$P$92),I1341:W1341)</f>
        <v>0.291636684484649</v>
      </c>
      <c r="Z1341" s="0" t="n">
        <f aca="false">04_回帰ANOVA!$K$19*04_回帰ANOVA!$K$14*SQRT(1+Y1341)</f>
        <v>1.48138716762813</v>
      </c>
      <c r="AA1341" s="0" t="n">
        <f aca="false">X1341-Z1341</f>
        <v>42.9550985779859</v>
      </c>
      <c r="AB1341" s="0" t="n">
        <f aca="false">X1341+Z1341</f>
        <v>45.9178729132422</v>
      </c>
      <c r="AC1341" s="54" t="b">
        <f aca="false">AND(E1341&gt;=01_因子設定!$L$5-0.000000001,E1341&lt;=01_因子設定!$M$5+0.000000001,F1341&gt;=01_因子設定!$L$6-0.000000001,F1341&lt;=01_因子設定!$M$6+0.000000001,G1341&gt;=01_因子設定!$L$7-0.000000001,G1341&lt;=01_因子設定!$M$7+0.000000001,H1341&gt;=01_因子設定!$L$8-0.000000001,H1341&lt;=01_因子設定!$M$8+0.000000001,IF(01_因子設定!$B$20="Box-Behnken",E1341^2+F1341^2+G1341^2+H1341^2&lt;=2+0.000000001,TRUE()))</f>
        <v>1</v>
      </c>
      <c r="AD1341" s="55" t="n">
        <f aca="false">IF(AC1341,IF(01_因子設定!$B$13="最大化",AA1341-01_因子設定!$B$14,IF(01_因子設定!$B$13="最小化",01_因子設定!$B$15-AB1341,MIN(AA1341-01_因子設定!$B$14,01_因子設定!$B$15-AB1341))),-1E+030)</f>
        <v>-3.54490142201411</v>
      </c>
      <c r="AE1341" s="55" t="n">
        <f aca="false">IF(AC1341,IF(01_因子設定!$B$13="最大化",X1341,IF(01_因子設定!$B$13="最小化",-X1341,-ABS(X1341-01_因子設定!$B$16))),-1E+030)</f>
        <v>44.436485745614</v>
      </c>
      <c r="AF1341" s="55" t="n">
        <f aca="false">AD1341+ROW()*0.000000001</f>
        <v>-3.54490008101411</v>
      </c>
      <c r="AG1341" s="55" t="n">
        <f aca="false">AE1341+ROW()*0.000000001</f>
        <v>44.436487086614</v>
      </c>
    </row>
    <row r="1342" customFormat="false" ht="15" hidden="false" customHeight="false" outlineLevel="0" collapsed="false">
      <c r="A1342" s="0" t="n">
        <v>1</v>
      </c>
      <c r="B1342" s="0" t="n">
        <v>7</v>
      </c>
      <c r="C1342" s="0" t="n">
        <v>4</v>
      </c>
      <c r="D1342" s="0" t="n">
        <v>5</v>
      </c>
      <c r="E1342" s="0" t="n">
        <f aca="false">-1+A1342*0.25</f>
        <v>-0.75</v>
      </c>
      <c r="F1342" s="0" t="n">
        <f aca="false">-1+B1342*0.25</f>
        <v>0.75</v>
      </c>
      <c r="G1342" s="0" t="n">
        <f aca="false">-1+C1342*0.25</f>
        <v>0</v>
      </c>
      <c r="H1342" s="0" t="n">
        <f aca="false">-1+D1342*0.25</f>
        <v>0.25</v>
      </c>
      <c r="I1342" s="0" t="n">
        <f aca="false">1</f>
        <v>1</v>
      </c>
      <c r="J1342" s="0" t="n">
        <f aca="false">E1342</f>
        <v>-0.75</v>
      </c>
      <c r="K1342" s="0" t="n">
        <f aca="false">F1342</f>
        <v>0.75</v>
      </c>
      <c r="L1342" s="0" t="n">
        <f aca="false">G1342</f>
        <v>0</v>
      </c>
      <c r="M1342" s="0" t="n">
        <f aca="false">H1342</f>
        <v>0.25</v>
      </c>
      <c r="N1342" s="0" t="n">
        <f aca="false">E1342*F1342</f>
        <v>-0.5625</v>
      </c>
      <c r="O1342" s="0" t="n">
        <f aca="false">E1342*G1342</f>
        <v>-0</v>
      </c>
      <c r="P1342" s="0" t="n">
        <f aca="false">E1342*H1342</f>
        <v>-0.1875</v>
      </c>
      <c r="Q1342" s="0" t="n">
        <f aca="false">F1342*G1342</f>
        <v>0</v>
      </c>
      <c r="R1342" s="0" t="n">
        <f aca="false">F1342*H1342</f>
        <v>0.1875</v>
      </c>
      <c r="S1342" s="0" t="n">
        <f aca="false">G1342*H1342</f>
        <v>0</v>
      </c>
      <c r="T1342" s="0" t="n">
        <f aca="false">E1342*E1342</f>
        <v>0.5625</v>
      </c>
      <c r="U1342" s="0" t="n">
        <f aca="false">F1342*F1342</f>
        <v>0.5625</v>
      </c>
      <c r="V1342" s="0" t="n">
        <f aca="false">G1342*G1342</f>
        <v>0</v>
      </c>
      <c r="W1342" s="0" t="n">
        <f aca="false">H1342*H1342</f>
        <v>0.0625</v>
      </c>
      <c r="X1342" s="0" t="n">
        <f aca="false">SUMPRODUCT(I1342:W1342,_XtX!$B$96:$P$96)</f>
        <v>44.450689875731</v>
      </c>
      <c r="Y1342" s="0" t="n">
        <f aca="false">SUMPRODUCT(MMULT(I1342:W1342,_XtX!$B$78:$P$92),I1342:W1342)</f>
        <v>0.281685455500731</v>
      </c>
      <c r="Z1342" s="0" t="n">
        <f aca="false">04_回帰ANOVA!$K$19*04_回帰ANOVA!$K$14*SQRT(1+Y1342)</f>
        <v>1.47566956658694</v>
      </c>
      <c r="AA1342" s="0" t="n">
        <f aca="false">X1342-Z1342</f>
        <v>42.975020309144</v>
      </c>
      <c r="AB1342" s="0" t="n">
        <f aca="false">X1342+Z1342</f>
        <v>45.9263594423179</v>
      </c>
      <c r="AC1342" s="54" t="b">
        <f aca="false">AND(E1342&gt;=01_因子設定!$L$5-0.000000001,E1342&lt;=01_因子設定!$M$5+0.000000001,F1342&gt;=01_因子設定!$L$6-0.000000001,F1342&lt;=01_因子設定!$M$6+0.000000001,G1342&gt;=01_因子設定!$L$7-0.000000001,G1342&lt;=01_因子設定!$M$7+0.000000001,H1342&gt;=01_因子設定!$L$8-0.000000001,H1342&lt;=01_因子設定!$M$8+0.000000001,IF(01_因子設定!$B$20="Box-Behnken",E1342^2+F1342^2+G1342^2+H1342^2&lt;=2+0.000000001,TRUE()))</f>
        <v>1</v>
      </c>
      <c r="AD1342" s="55" t="n">
        <f aca="false">IF(AC1342,IF(01_因子設定!$B$13="最大化",AA1342-01_因子設定!$B$14,IF(01_因子設定!$B$13="最小化",01_因子設定!$B$15-AB1342,MIN(AA1342-01_因子設定!$B$14,01_因子設定!$B$15-AB1342))),-1E+030)</f>
        <v>-3.52497969085596</v>
      </c>
      <c r="AE1342" s="55" t="n">
        <f aca="false">IF(AC1342,IF(01_因子設定!$B$13="最大化",X1342,IF(01_因子設定!$B$13="最小化",-X1342,-ABS(X1342-01_因子設定!$B$16))),-1E+030)</f>
        <v>44.450689875731</v>
      </c>
      <c r="AF1342" s="55" t="n">
        <f aca="false">AD1342+ROW()*0.000000001</f>
        <v>-3.52497834885596</v>
      </c>
      <c r="AG1342" s="55" t="n">
        <f aca="false">AE1342+ROW()*0.000000001</f>
        <v>44.450691217731</v>
      </c>
    </row>
    <row r="1343" customFormat="false" ht="15" hidden="false" customHeight="false" outlineLevel="0" collapsed="false">
      <c r="A1343" s="0" t="n">
        <v>1</v>
      </c>
      <c r="B1343" s="0" t="n">
        <v>7</v>
      </c>
      <c r="C1343" s="0" t="n">
        <v>4</v>
      </c>
      <c r="D1343" s="0" t="n">
        <v>6</v>
      </c>
      <c r="E1343" s="0" t="n">
        <f aca="false">-1+A1343*0.25</f>
        <v>-0.75</v>
      </c>
      <c r="F1343" s="0" t="n">
        <f aca="false">-1+B1343*0.25</f>
        <v>0.75</v>
      </c>
      <c r="G1343" s="0" t="n">
        <f aca="false">-1+C1343*0.25</f>
        <v>0</v>
      </c>
      <c r="H1343" s="0" t="n">
        <f aca="false">-1+D1343*0.25</f>
        <v>0.5</v>
      </c>
      <c r="I1343" s="0" t="n">
        <f aca="false">1</f>
        <v>1</v>
      </c>
      <c r="J1343" s="0" t="n">
        <f aca="false">E1343</f>
        <v>-0.75</v>
      </c>
      <c r="K1343" s="0" t="n">
        <f aca="false">F1343</f>
        <v>0.75</v>
      </c>
      <c r="L1343" s="0" t="n">
        <f aca="false">G1343</f>
        <v>0</v>
      </c>
      <c r="M1343" s="0" t="n">
        <f aca="false">H1343</f>
        <v>0.5</v>
      </c>
      <c r="N1343" s="0" t="n">
        <f aca="false">E1343*F1343</f>
        <v>-0.5625</v>
      </c>
      <c r="O1343" s="0" t="n">
        <f aca="false">E1343*G1343</f>
        <v>-0</v>
      </c>
      <c r="P1343" s="0" t="n">
        <f aca="false">E1343*H1343</f>
        <v>-0.375</v>
      </c>
      <c r="Q1343" s="0" t="n">
        <f aca="false">F1343*G1343</f>
        <v>0</v>
      </c>
      <c r="R1343" s="0" t="n">
        <f aca="false">F1343*H1343</f>
        <v>0.375</v>
      </c>
      <c r="S1343" s="0" t="n">
        <f aca="false">G1343*H1343</f>
        <v>0</v>
      </c>
      <c r="T1343" s="0" t="n">
        <f aca="false">E1343*E1343</f>
        <v>0.5625</v>
      </c>
      <c r="U1343" s="0" t="n">
        <f aca="false">F1343*F1343</f>
        <v>0.5625</v>
      </c>
      <c r="V1343" s="0" t="n">
        <f aca="false">G1343*G1343</f>
        <v>0</v>
      </c>
      <c r="W1343" s="0" t="n">
        <f aca="false">H1343*H1343</f>
        <v>0.25</v>
      </c>
      <c r="X1343" s="0" t="n">
        <f aca="false">SUMPRODUCT(I1343:W1343,_XtX!$B$96:$P$96)</f>
        <v>44.4170869883041</v>
      </c>
      <c r="Y1343" s="0" t="n">
        <f aca="false">SUMPRODUCT(MMULT(I1343:W1343,_XtX!$B$78:$P$92),I1343:W1343)</f>
        <v>0.269923873812135</v>
      </c>
      <c r="Z1343" s="0" t="n">
        <f aca="false">04_回帰ANOVA!$K$19*04_回帰ANOVA!$K$14*SQRT(1+Y1343)</f>
        <v>1.46888310825501</v>
      </c>
      <c r="AA1343" s="0" t="n">
        <f aca="false">X1343-Z1343</f>
        <v>42.9482038800491</v>
      </c>
      <c r="AB1343" s="0" t="n">
        <f aca="false">X1343+Z1343</f>
        <v>45.8859700965591</v>
      </c>
      <c r="AC1343" s="54" t="b">
        <f aca="false">AND(E1343&gt;=01_因子設定!$L$5-0.000000001,E1343&lt;=01_因子設定!$M$5+0.000000001,F1343&gt;=01_因子設定!$L$6-0.000000001,F1343&lt;=01_因子設定!$M$6+0.000000001,G1343&gt;=01_因子設定!$L$7-0.000000001,G1343&lt;=01_因子設定!$M$7+0.000000001,H1343&gt;=01_因子設定!$L$8-0.000000001,H1343&lt;=01_因子設定!$M$8+0.000000001,IF(01_因子設定!$B$20="Box-Behnken",E1343^2+F1343^2+G1343^2+H1343^2&lt;=2+0.000000001,TRUE()))</f>
        <v>1</v>
      </c>
      <c r="AD1343" s="55" t="n">
        <f aca="false">IF(AC1343,IF(01_因子設定!$B$13="最大化",AA1343-01_因子設定!$B$14,IF(01_因子設定!$B$13="最小化",01_因子設定!$B$15-AB1343,MIN(AA1343-01_因子設定!$B$14,01_因子設定!$B$15-AB1343))),-1E+030)</f>
        <v>-3.55179611995092</v>
      </c>
      <c r="AE1343" s="55" t="n">
        <f aca="false">IF(AC1343,IF(01_因子設定!$B$13="最大化",X1343,IF(01_因子設定!$B$13="最小化",-X1343,-ABS(X1343-01_因子設定!$B$16))),-1E+030)</f>
        <v>44.4170869883041</v>
      </c>
      <c r="AF1343" s="55" t="n">
        <f aca="false">AD1343+ROW()*0.000000001</f>
        <v>-3.55179477695092</v>
      </c>
      <c r="AG1343" s="55" t="n">
        <f aca="false">AE1343+ROW()*0.000000001</f>
        <v>44.4170883313041</v>
      </c>
    </row>
    <row r="1344" customFormat="false" ht="15" hidden="false" customHeight="false" outlineLevel="0" collapsed="false">
      <c r="A1344" s="0" t="n">
        <v>1</v>
      </c>
      <c r="B1344" s="0" t="n">
        <v>7</v>
      </c>
      <c r="C1344" s="0" t="n">
        <v>4</v>
      </c>
      <c r="D1344" s="0" t="n">
        <v>7</v>
      </c>
      <c r="E1344" s="0" t="n">
        <f aca="false">-1+A1344*0.25</f>
        <v>-0.75</v>
      </c>
      <c r="F1344" s="0" t="n">
        <f aca="false">-1+B1344*0.25</f>
        <v>0.75</v>
      </c>
      <c r="G1344" s="0" t="n">
        <f aca="false">-1+C1344*0.25</f>
        <v>0</v>
      </c>
      <c r="H1344" s="0" t="n">
        <f aca="false">-1+D1344*0.25</f>
        <v>0.75</v>
      </c>
      <c r="I1344" s="0" t="n">
        <f aca="false">1</f>
        <v>1</v>
      </c>
      <c r="J1344" s="0" t="n">
        <f aca="false">E1344</f>
        <v>-0.75</v>
      </c>
      <c r="K1344" s="0" t="n">
        <f aca="false">F1344</f>
        <v>0.75</v>
      </c>
      <c r="L1344" s="0" t="n">
        <f aca="false">G1344</f>
        <v>0</v>
      </c>
      <c r="M1344" s="0" t="n">
        <f aca="false">H1344</f>
        <v>0.75</v>
      </c>
      <c r="N1344" s="0" t="n">
        <f aca="false">E1344*F1344</f>
        <v>-0.5625</v>
      </c>
      <c r="O1344" s="0" t="n">
        <f aca="false">E1344*G1344</f>
        <v>-0</v>
      </c>
      <c r="P1344" s="0" t="n">
        <f aca="false">E1344*H1344</f>
        <v>-0.5625</v>
      </c>
      <c r="Q1344" s="0" t="n">
        <f aca="false">F1344*G1344</f>
        <v>0</v>
      </c>
      <c r="R1344" s="0" t="n">
        <f aca="false">F1344*H1344</f>
        <v>0.5625</v>
      </c>
      <c r="S1344" s="0" t="n">
        <f aca="false">G1344*H1344</f>
        <v>0</v>
      </c>
      <c r="T1344" s="0" t="n">
        <f aca="false">E1344*E1344</f>
        <v>0.5625</v>
      </c>
      <c r="U1344" s="0" t="n">
        <f aca="false">F1344*F1344</f>
        <v>0.5625</v>
      </c>
      <c r="V1344" s="0" t="n">
        <f aca="false">G1344*G1344</f>
        <v>0</v>
      </c>
      <c r="W1344" s="0" t="n">
        <f aca="false">H1344*H1344</f>
        <v>0.5625</v>
      </c>
      <c r="X1344" s="0" t="n">
        <f aca="false">SUMPRODUCT(I1344:W1344,_XtX!$B$96:$P$96)</f>
        <v>44.3356770833333</v>
      </c>
      <c r="Y1344" s="0" t="n">
        <f aca="false">SUMPRODUCT(MMULT(I1344:W1344,_XtX!$B$78:$P$92),I1344:W1344)</f>
        <v>0.310628255208333</v>
      </c>
      <c r="Z1344" s="0" t="n">
        <f aca="false">04_回帰ANOVA!$K$19*04_回帰ANOVA!$K$14*SQRT(1+Y1344)</f>
        <v>1.49223820892344</v>
      </c>
      <c r="AA1344" s="0" t="n">
        <f aca="false">X1344-Z1344</f>
        <v>42.8434388744099</v>
      </c>
      <c r="AB1344" s="0" t="n">
        <f aca="false">X1344+Z1344</f>
        <v>45.8279152922568</v>
      </c>
      <c r="AC1344" s="54" t="b">
        <f aca="false">AND(E1344&gt;=01_因子設定!$L$5-0.000000001,E1344&lt;=01_因子設定!$M$5+0.000000001,F1344&gt;=01_因子設定!$L$6-0.000000001,F1344&lt;=01_因子設定!$M$6+0.000000001,G1344&gt;=01_因子設定!$L$7-0.000000001,G1344&lt;=01_因子設定!$M$7+0.000000001,H1344&gt;=01_因子設定!$L$8-0.000000001,H1344&lt;=01_因子設定!$M$8+0.000000001,IF(01_因子設定!$B$20="Box-Behnken",E1344^2+F1344^2+G1344^2+H1344^2&lt;=2+0.000000001,TRUE()))</f>
        <v>1</v>
      </c>
      <c r="AD1344" s="55" t="n">
        <f aca="false">IF(AC1344,IF(01_因子設定!$B$13="最大化",AA1344-01_因子設定!$B$14,IF(01_因子設定!$B$13="最小化",01_因子設定!$B$15-AB1344,MIN(AA1344-01_因子設定!$B$14,01_因子設定!$B$15-AB1344))),-1E+030)</f>
        <v>-3.6565611255901</v>
      </c>
      <c r="AE1344" s="55" t="n">
        <f aca="false">IF(AC1344,IF(01_因子設定!$B$13="最大化",X1344,IF(01_因子設定!$B$13="最小化",-X1344,-ABS(X1344-01_因子設定!$B$16))),-1E+030)</f>
        <v>44.3356770833333</v>
      </c>
      <c r="AF1344" s="55" t="n">
        <f aca="false">AD1344+ROW()*0.000000001</f>
        <v>-3.6565597815901</v>
      </c>
      <c r="AG1344" s="55" t="n">
        <f aca="false">AE1344+ROW()*0.000000001</f>
        <v>44.3356784273333</v>
      </c>
    </row>
    <row r="1345" customFormat="false" ht="15" hidden="false" customHeight="false" outlineLevel="0" collapsed="false">
      <c r="A1345" s="0" t="n">
        <v>1</v>
      </c>
      <c r="B1345" s="0" t="n">
        <v>7</v>
      </c>
      <c r="C1345" s="0" t="n">
        <v>4</v>
      </c>
      <c r="D1345" s="0" t="n">
        <v>8</v>
      </c>
      <c r="E1345" s="0" t="n">
        <f aca="false">-1+A1345*0.25</f>
        <v>-0.75</v>
      </c>
      <c r="F1345" s="0" t="n">
        <f aca="false">-1+B1345*0.25</f>
        <v>0.75</v>
      </c>
      <c r="G1345" s="0" t="n">
        <f aca="false">-1+C1345*0.25</f>
        <v>0</v>
      </c>
      <c r="H1345" s="0" t="n">
        <f aca="false">-1+D1345*0.25</f>
        <v>1</v>
      </c>
      <c r="I1345" s="0" t="n">
        <f aca="false">1</f>
        <v>1</v>
      </c>
      <c r="J1345" s="0" t="n">
        <f aca="false">E1345</f>
        <v>-0.75</v>
      </c>
      <c r="K1345" s="0" t="n">
        <f aca="false">F1345</f>
        <v>0.75</v>
      </c>
      <c r="L1345" s="0" t="n">
        <f aca="false">G1345</f>
        <v>0</v>
      </c>
      <c r="M1345" s="0" t="n">
        <f aca="false">H1345</f>
        <v>1</v>
      </c>
      <c r="N1345" s="0" t="n">
        <f aca="false">E1345*F1345</f>
        <v>-0.5625</v>
      </c>
      <c r="O1345" s="0" t="n">
        <f aca="false">E1345*G1345</f>
        <v>-0</v>
      </c>
      <c r="P1345" s="0" t="n">
        <f aca="false">E1345*H1345</f>
        <v>-0.75</v>
      </c>
      <c r="Q1345" s="0" t="n">
        <f aca="false">F1345*G1345</f>
        <v>0</v>
      </c>
      <c r="R1345" s="0" t="n">
        <f aca="false">F1345*H1345</f>
        <v>0.75</v>
      </c>
      <c r="S1345" s="0" t="n">
        <f aca="false">G1345*H1345</f>
        <v>0</v>
      </c>
      <c r="T1345" s="0" t="n">
        <f aca="false">E1345*E1345</f>
        <v>0.5625</v>
      </c>
      <c r="U1345" s="0" t="n">
        <f aca="false">F1345*F1345</f>
        <v>0.5625</v>
      </c>
      <c r="V1345" s="0" t="n">
        <f aca="false">G1345*G1345</f>
        <v>0</v>
      </c>
      <c r="W1345" s="0" t="n">
        <f aca="false">H1345*H1345</f>
        <v>1</v>
      </c>
      <c r="X1345" s="0" t="n">
        <f aca="false">SUMPRODUCT(I1345:W1345,_XtX!$B$96:$P$96)</f>
        <v>44.2064601608187</v>
      </c>
      <c r="Y1345" s="0" t="n">
        <f aca="false">SUMPRODUCT(MMULT(I1345:W1345,_XtX!$B$78:$P$92),I1345:W1345)</f>
        <v>0.494259126005117</v>
      </c>
      <c r="Z1345" s="0" t="n">
        <f aca="false">04_回帰ANOVA!$K$19*04_回帰ANOVA!$K$14*SQRT(1+Y1345)</f>
        <v>1.59335061078203</v>
      </c>
      <c r="AA1345" s="0" t="n">
        <f aca="false">X1345-Z1345</f>
        <v>42.6131095500367</v>
      </c>
      <c r="AB1345" s="0" t="n">
        <f aca="false">X1345+Z1345</f>
        <v>45.7998107716008</v>
      </c>
      <c r="AC1345" s="54" t="b">
        <f aca="false">AND(E1345&gt;=01_因子設定!$L$5-0.000000001,E1345&lt;=01_因子設定!$M$5+0.000000001,F1345&gt;=01_因子設定!$L$6-0.000000001,F1345&lt;=01_因子設定!$M$6+0.000000001,G1345&gt;=01_因子設定!$L$7-0.000000001,G1345&lt;=01_因子設定!$M$7+0.000000001,H1345&gt;=01_因子設定!$L$8-0.000000001,H1345&lt;=01_因子設定!$M$8+0.000000001,IF(01_因子設定!$B$20="Box-Behnken",E1345^2+F1345^2+G1345^2+H1345^2&lt;=2+0.000000001,TRUE()))</f>
        <v>1</v>
      </c>
      <c r="AD1345" s="55" t="n">
        <f aca="false">IF(AC1345,IF(01_因子設定!$B$13="最大化",AA1345-01_因子設定!$B$14,IF(01_因子設定!$B$13="最小化",01_因子設定!$B$15-AB1345,MIN(AA1345-01_因子設定!$B$14,01_因子設定!$B$15-AB1345))),-1E+030)</f>
        <v>-3.88689044996329</v>
      </c>
      <c r="AE1345" s="55" t="n">
        <f aca="false">IF(AC1345,IF(01_因子設定!$B$13="最大化",X1345,IF(01_因子設定!$B$13="最小化",-X1345,-ABS(X1345-01_因子設定!$B$16))),-1E+030)</f>
        <v>44.2064601608187</v>
      </c>
      <c r="AF1345" s="55" t="n">
        <f aca="false">AD1345+ROW()*0.000000001</f>
        <v>-3.88688910496329</v>
      </c>
      <c r="AG1345" s="55" t="n">
        <f aca="false">AE1345+ROW()*0.000000001</f>
        <v>44.2064615058187</v>
      </c>
    </row>
    <row r="1346" customFormat="false" ht="15" hidden="false" customHeight="false" outlineLevel="0" collapsed="false">
      <c r="A1346" s="0" t="n">
        <v>1</v>
      </c>
      <c r="B1346" s="0" t="n">
        <v>7</v>
      </c>
      <c r="C1346" s="0" t="n">
        <v>5</v>
      </c>
      <c r="D1346" s="0" t="n">
        <v>0</v>
      </c>
      <c r="E1346" s="0" t="n">
        <f aca="false">-1+A1346*0.25</f>
        <v>-0.75</v>
      </c>
      <c r="F1346" s="0" t="n">
        <f aca="false">-1+B1346*0.25</f>
        <v>0.75</v>
      </c>
      <c r="G1346" s="0" t="n">
        <f aca="false">-1+C1346*0.25</f>
        <v>0.25</v>
      </c>
      <c r="H1346" s="0" t="n">
        <f aca="false">-1+D1346*0.25</f>
        <v>-1</v>
      </c>
      <c r="I1346" s="0" t="n">
        <f aca="false">1</f>
        <v>1</v>
      </c>
      <c r="J1346" s="0" t="n">
        <f aca="false">E1346</f>
        <v>-0.75</v>
      </c>
      <c r="K1346" s="0" t="n">
        <f aca="false">F1346</f>
        <v>0.75</v>
      </c>
      <c r="L1346" s="0" t="n">
        <f aca="false">G1346</f>
        <v>0.25</v>
      </c>
      <c r="M1346" s="0" t="n">
        <f aca="false">H1346</f>
        <v>-1</v>
      </c>
      <c r="N1346" s="0" t="n">
        <f aca="false">E1346*F1346</f>
        <v>-0.5625</v>
      </c>
      <c r="O1346" s="0" t="n">
        <f aca="false">E1346*G1346</f>
        <v>-0.1875</v>
      </c>
      <c r="P1346" s="0" t="n">
        <f aca="false">E1346*H1346</f>
        <v>0.75</v>
      </c>
      <c r="Q1346" s="0" t="n">
        <f aca="false">F1346*G1346</f>
        <v>0.1875</v>
      </c>
      <c r="R1346" s="0" t="n">
        <f aca="false">F1346*H1346</f>
        <v>-0.75</v>
      </c>
      <c r="S1346" s="0" t="n">
        <f aca="false">G1346*H1346</f>
        <v>-0.25</v>
      </c>
      <c r="T1346" s="0" t="n">
        <f aca="false">E1346*E1346</f>
        <v>0.5625</v>
      </c>
      <c r="U1346" s="0" t="n">
        <f aca="false">F1346*F1346</f>
        <v>0.5625</v>
      </c>
      <c r="V1346" s="0" t="n">
        <f aca="false">G1346*G1346</f>
        <v>0.0625</v>
      </c>
      <c r="W1346" s="0" t="n">
        <f aca="false">H1346*H1346</f>
        <v>1</v>
      </c>
      <c r="X1346" s="0" t="n">
        <f aca="false">SUMPRODUCT(I1346:W1346,_XtX!$B$96:$P$96)</f>
        <v>44.213372624269</v>
      </c>
      <c r="Y1346" s="0" t="n">
        <f aca="false">SUMPRODUCT(MMULT(I1346:W1346,_XtX!$B$78:$P$92),I1346:W1346)</f>
        <v>0.473959761056287</v>
      </c>
      <c r="Z1346" s="0" t="n">
        <f aca="false">04_回帰ANOVA!$K$19*04_回帰ANOVA!$K$14*SQRT(1+Y1346)</f>
        <v>1.58249084588329</v>
      </c>
      <c r="AA1346" s="0" t="n">
        <f aca="false">X1346-Z1346</f>
        <v>42.6308817783857</v>
      </c>
      <c r="AB1346" s="0" t="n">
        <f aca="false">X1346+Z1346</f>
        <v>45.7958634701523</v>
      </c>
      <c r="AC1346" s="54" t="b">
        <f aca="false">AND(E1346&gt;=01_因子設定!$L$5-0.000000001,E1346&lt;=01_因子設定!$M$5+0.000000001,F1346&gt;=01_因子設定!$L$6-0.000000001,F1346&lt;=01_因子設定!$M$6+0.000000001,G1346&gt;=01_因子設定!$L$7-0.000000001,G1346&lt;=01_因子設定!$M$7+0.000000001,H1346&gt;=01_因子設定!$L$8-0.000000001,H1346&lt;=01_因子設定!$M$8+0.000000001,IF(01_因子設定!$B$20="Box-Behnken",E1346^2+F1346^2+G1346^2+H1346^2&lt;=2+0.000000001,TRUE()))</f>
        <v>1</v>
      </c>
      <c r="AD1346" s="55" t="n">
        <f aca="false">IF(AC1346,IF(01_因子設定!$B$13="最大化",AA1346-01_因子設定!$B$14,IF(01_因子設定!$B$13="最小化",01_因子設定!$B$15-AB1346,MIN(AA1346-01_因子設定!$B$14,01_因子設定!$B$15-AB1346))),-1E+030)</f>
        <v>-3.86911822161426</v>
      </c>
      <c r="AE1346" s="55" t="n">
        <f aca="false">IF(AC1346,IF(01_因子設定!$B$13="最大化",X1346,IF(01_因子設定!$B$13="最小化",-X1346,-ABS(X1346-01_因子設定!$B$16))),-1E+030)</f>
        <v>44.213372624269</v>
      </c>
      <c r="AF1346" s="55" t="n">
        <f aca="false">AD1346+ROW()*0.000000001</f>
        <v>-3.86911687561426</v>
      </c>
      <c r="AG1346" s="55" t="n">
        <f aca="false">AE1346+ROW()*0.000000001</f>
        <v>44.213373970269</v>
      </c>
    </row>
    <row r="1347" customFormat="false" ht="15" hidden="false" customHeight="false" outlineLevel="0" collapsed="false">
      <c r="A1347" s="0" t="n">
        <v>1</v>
      </c>
      <c r="B1347" s="0" t="n">
        <v>7</v>
      </c>
      <c r="C1347" s="0" t="n">
        <v>5</v>
      </c>
      <c r="D1347" s="0" t="n">
        <v>1</v>
      </c>
      <c r="E1347" s="0" t="n">
        <f aca="false">-1+A1347*0.25</f>
        <v>-0.75</v>
      </c>
      <c r="F1347" s="0" t="n">
        <f aca="false">-1+B1347*0.25</f>
        <v>0.75</v>
      </c>
      <c r="G1347" s="0" t="n">
        <f aca="false">-1+C1347*0.25</f>
        <v>0.25</v>
      </c>
      <c r="H1347" s="0" t="n">
        <f aca="false">-1+D1347*0.25</f>
        <v>-0.75</v>
      </c>
      <c r="I1347" s="0" t="n">
        <f aca="false">1</f>
        <v>1</v>
      </c>
      <c r="J1347" s="0" t="n">
        <f aca="false">E1347</f>
        <v>-0.75</v>
      </c>
      <c r="K1347" s="0" t="n">
        <f aca="false">F1347</f>
        <v>0.75</v>
      </c>
      <c r="L1347" s="0" t="n">
        <f aca="false">G1347</f>
        <v>0.25</v>
      </c>
      <c r="M1347" s="0" t="n">
        <f aca="false">H1347</f>
        <v>-0.75</v>
      </c>
      <c r="N1347" s="0" t="n">
        <f aca="false">E1347*F1347</f>
        <v>-0.5625</v>
      </c>
      <c r="O1347" s="0" t="n">
        <f aca="false">E1347*G1347</f>
        <v>-0.1875</v>
      </c>
      <c r="P1347" s="0" t="n">
        <f aca="false">E1347*H1347</f>
        <v>0.5625</v>
      </c>
      <c r="Q1347" s="0" t="n">
        <f aca="false">F1347*G1347</f>
        <v>0.1875</v>
      </c>
      <c r="R1347" s="0" t="n">
        <f aca="false">F1347*H1347</f>
        <v>-0.5625</v>
      </c>
      <c r="S1347" s="0" t="n">
        <f aca="false">G1347*H1347</f>
        <v>-0.1875</v>
      </c>
      <c r="T1347" s="0" t="n">
        <f aca="false">E1347*E1347</f>
        <v>0.5625</v>
      </c>
      <c r="U1347" s="0" t="n">
        <f aca="false">F1347*F1347</f>
        <v>0.5625</v>
      </c>
      <c r="V1347" s="0" t="n">
        <f aca="false">G1347*G1347</f>
        <v>0.0625</v>
      </c>
      <c r="W1347" s="0" t="n">
        <f aca="false">H1347*H1347</f>
        <v>0.5625</v>
      </c>
      <c r="X1347" s="0" t="n">
        <f aca="false">SUMPRODUCT(I1347:W1347,_XtX!$B$96:$P$96)</f>
        <v>44.4367735745614</v>
      </c>
      <c r="Y1347" s="0" t="n">
        <f aca="false">SUMPRODUCT(MMULT(I1347:W1347,_XtX!$B$78:$P$92),I1347:W1347)</f>
        <v>0.294856199744152</v>
      </c>
      <c r="Z1347" s="0" t="n">
        <f aca="false">04_回帰ANOVA!$K$19*04_回帰ANOVA!$K$14*SQRT(1+Y1347)</f>
        <v>1.48323226089013</v>
      </c>
      <c r="AA1347" s="0" t="n">
        <f aca="false">X1347-Z1347</f>
        <v>42.9535413136713</v>
      </c>
      <c r="AB1347" s="0" t="n">
        <f aca="false">X1347+Z1347</f>
        <v>45.9200058354516</v>
      </c>
      <c r="AC1347" s="54" t="b">
        <f aca="false">AND(E1347&gt;=01_因子設定!$L$5-0.000000001,E1347&lt;=01_因子設定!$M$5+0.000000001,F1347&gt;=01_因子設定!$L$6-0.000000001,F1347&lt;=01_因子設定!$M$6+0.000000001,G1347&gt;=01_因子設定!$L$7-0.000000001,G1347&lt;=01_因子設定!$M$7+0.000000001,H1347&gt;=01_因子設定!$L$8-0.000000001,H1347&lt;=01_因子設定!$M$8+0.000000001,IF(01_因子設定!$B$20="Box-Behnken",E1347^2+F1347^2+G1347^2+H1347^2&lt;=2+0.000000001,TRUE()))</f>
        <v>1</v>
      </c>
      <c r="AD1347" s="55" t="n">
        <f aca="false">IF(AC1347,IF(01_因子設定!$B$13="最大化",AA1347-01_因子設定!$B$14,IF(01_因子設定!$B$13="最小化",01_因子設定!$B$15-AB1347,MIN(AA1347-01_因子設定!$B$14,01_因子設定!$B$15-AB1347))),-1E+030)</f>
        <v>-3.54645868632872</v>
      </c>
      <c r="AE1347" s="55" t="n">
        <f aca="false">IF(AC1347,IF(01_因子設定!$B$13="最大化",X1347,IF(01_因子設定!$B$13="最小化",-X1347,-ABS(X1347-01_因子設定!$B$16))),-1E+030)</f>
        <v>44.4367735745614</v>
      </c>
      <c r="AF1347" s="55" t="n">
        <f aca="false">AD1347+ROW()*0.000000001</f>
        <v>-3.54645733932872</v>
      </c>
      <c r="AG1347" s="55" t="n">
        <f aca="false">AE1347+ROW()*0.000000001</f>
        <v>44.4367749215614</v>
      </c>
    </row>
    <row r="1348" customFormat="false" ht="15" hidden="false" customHeight="false" outlineLevel="0" collapsed="false">
      <c r="A1348" s="0" t="n">
        <v>1</v>
      </c>
      <c r="B1348" s="0" t="n">
        <v>7</v>
      </c>
      <c r="C1348" s="0" t="n">
        <v>5</v>
      </c>
      <c r="D1348" s="0" t="n">
        <v>2</v>
      </c>
      <c r="E1348" s="0" t="n">
        <f aca="false">-1+A1348*0.25</f>
        <v>-0.75</v>
      </c>
      <c r="F1348" s="0" t="n">
        <f aca="false">-1+B1348*0.25</f>
        <v>0.75</v>
      </c>
      <c r="G1348" s="0" t="n">
        <f aca="false">-1+C1348*0.25</f>
        <v>0.25</v>
      </c>
      <c r="H1348" s="0" t="n">
        <f aca="false">-1+D1348*0.25</f>
        <v>-0.5</v>
      </c>
      <c r="I1348" s="0" t="n">
        <f aca="false">1</f>
        <v>1</v>
      </c>
      <c r="J1348" s="0" t="n">
        <f aca="false">E1348</f>
        <v>-0.75</v>
      </c>
      <c r="K1348" s="0" t="n">
        <f aca="false">F1348</f>
        <v>0.75</v>
      </c>
      <c r="L1348" s="0" t="n">
        <f aca="false">G1348</f>
        <v>0.25</v>
      </c>
      <c r="M1348" s="0" t="n">
        <f aca="false">H1348</f>
        <v>-0.5</v>
      </c>
      <c r="N1348" s="0" t="n">
        <f aca="false">E1348*F1348</f>
        <v>-0.5625</v>
      </c>
      <c r="O1348" s="0" t="n">
        <f aca="false">E1348*G1348</f>
        <v>-0.1875</v>
      </c>
      <c r="P1348" s="0" t="n">
        <f aca="false">E1348*H1348</f>
        <v>0.375</v>
      </c>
      <c r="Q1348" s="0" t="n">
        <f aca="false">F1348*G1348</f>
        <v>0.1875</v>
      </c>
      <c r="R1348" s="0" t="n">
        <f aca="false">F1348*H1348</f>
        <v>-0.375</v>
      </c>
      <c r="S1348" s="0" t="n">
        <f aca="false">G1348*H1348</f>
        <v>-0.125</v>
      </c>
      <c r="T1348" s="0" t="n">
        <f aca="false">E1348*E1348</f>
        <v>0.5625</v>
      </c>
      <c r="U1348" s="0" t="n">
        <f aca="false">F1348*F1348</f>
        <v>0.5625</v>
      </c>
      <c r="V1348" s="0" t="n">
        <f aca="false">G1348*G1348</f>
        <v>0.0625</v>
      </c>
      <c r="W1348" s="0" t="n">
        <f aca="false">H1348*H1348</f>
        <v>0.25</v>
      </c>
      <c r="X1348" s="0" t="n">
        <f aca="false">SUMPRODUCT(I1348:W1348,_XtX!$B$96:$P$96)</f>
        <v>44.6123675073099</v>
      </c>
      <c r="Y1348" s="0" t="n">
        <f aca="false">SUMPRODUCT(MMULT(I1348:W1348,_XtX!$B$78:$P$92),I1348:W1348)</f>
        <v>0.257385610836988</v>
      </c>
      <c r="Z1348" s="0" t="n">
        <f aca="false">04_回帰ANOVA!$K$19*04_回帰ANOVA!$K$14*SQRT(1+Y1348)</f>
        <v>1.46161380324158</v>
      </c>
      <c r="AA1348" s="0" t="n">
        <f aca="false">X1348-Z1348</f>
        <v>43.1507537040684</v>
      </c>
      <c r="AB1348" s="0" t="n">
        <f aca="false">X1348+Z1348</f>
        <v>46.0739813105515</v>
      </c>
      <c r="AC1348" s="54" t="b">
        <f aca="false">AND(E1348&gt;=01_因子設定!$L$5-0.000000001,E1348&lt;=01_因子設定!$M$5+0.000000001,F1348&gt;=01_因子設定!$L$6-0.000000001,F1348&lt;=01_因子設定!$M$6+0.000000001,G1348&gt;=01_因子設定!$L$7-0.000000001,G1348&lt;=01_因子設定!$M$7+0.000000001,H1348&gt;=01_因子設定!$L$8-0.000000001,H1348&lt;=01_因子設定!$M$8+0.000000001,IF(01_因子設定!$B$20="Box-Behnken",E1348^2+F1348^2+G1348^2+H1348^2&lt;=2+0.000000001,TRUE()))</f>
        <v>1</v>
      </c>
      <c r="AD1348" s="55" t="n">
        <f aca="false">IF(AC1348,IF(01_因子設定!$B$13="最大化",AA1348-01_因子設定!$B$14,IF(01_因子設定!$B$13="最小化",01_因子設定!$B$15-AB1348,MIN(AA1348-01_因子設定!$B$14,01_因子設定!$B$15-AB1348))),-1E+030)</f>
        <v>-3.34924629593165</v>
      </c>
      <c r="AE1348" s="55" t="n">
        <f aca="false">IF(AC1348,IF(01_因子設定!$B$13="最大化",X1348,IF(01_因子設定!$B$13="最小化",-X1348,-ABS(X1348-01_因子設定!$B$16))),-1E+030)</f>
        <v>44.6123675073099</v>
      </c>
      <c r="AF1348" s="55" t="n">
        <f aca="false">AD1348+ROW()*0.000000001</f>
        <v>-3.34924494793165</v>
      </c>
      <c r="AG1348" s="55" t="n">
        <f aca="false">AE1348+ROW()*0.000000001</f>
        <v>44.6123688553099</v>
      </c>
    </row>
    <row r="1349" customFormat="false" ht="15" hidden="false" customHeight="false" outlineLevel="0" collapsed="false">
      <c r="A1349" s="0" t="n">
        <v>1</v>
      </c>
      <c r="B1349" s="0" t="n">
        <v>7</v>
      </c>
      <c r="C1349" s="0" t="n">
        <v>5</v>
      </c>
      <c r="D1349" s="0" t="n">
        <v>3</v>
      </c>
      <c r="E1349" s="0" t="n">
        <f aca="false">-1+A1349*0.25</f>
        <v>-0.75</v>
      </c>
      <c r="F1349" s="0" t="n">
        <f aca="false">-1+B1349*0.25</f>
        <v>0.75</v>
      </c>
      <c r="G1349" s="0" t="n">
        <f aca="false">-1+C1349*0.25</f>
        <v>0.25</v>
      </c>
      <c r="H1349" s="0" t="n">
        <f aca="false">-1+D1349*0.25</f>
        <v>-0.25</v>
      </c>
      <c r="I1349" s="0" t="n">
        <f aca="false">1</f>
        <v>1</v>
      </c>
      <c r="J1349" s="0" t="n">
        <f aca="false">E1349</f>
        <v>-0.75</v>
      </c>
      <c r="K1349" s="0" t="n">
        <f aca="false">F1349</f>
        <v>0.75</v>
      </c>
      <c r="L1349" s="0" t="n">
        <f aca="false">G1349</f>
        <v>0.25</v>
      </c>
      <c r="M1349" s="0" t="n">
        <f aca="false">H1349</f>
        <v>-0.25</v>
      </c>
      <c r="N1349" s="0" t="n">
        <f aca="false">E1349*F1349</f>
        <v>-0.5625</v>
      </c>
      <c r="O1349" s="0" t="n">
        <f aca="false">E1349*G1349</f>
        <v>-0.1875</v>
      </c>
      <c r="P1349" s="0" t="n">
        <f aca="false">E1349*H1349</f>
        <v>0.1875</v>
      </c>
      <c r="Q1349" s="0" t="n">
        <f aca="false">F1349*G1349</f>
        <v>0.1875</v>
      </c>
      <c r="R1349" s="0" t="n">
        <f aca="false">F1349*H1349</f>
        <v>-0.1875</v>
      </c>
      <c r="S1349" s="0" t="n">
        <f aca="false">G1349*H1349</f>
        <v>-0.0625</v>
      </c>
      <c r="T1349" s="0" t="n">
        <f aca="false">E1349*E1349</f>
        <v>0.5625</v>
      </c>
      <c r="U1349" s="0" t="n">
        <f aca="false">F1349*F1349</f>
        <v>0.5625</v>
      </c>
      <c r="V1349" s="0" t="n">
        <f aca="false">G1349*G1349</f>
        <v>0.0625</v>
      </c>
      <c r="W1349" s="0" t="n">
        <f aca="false">H1349*H1349</f>
        <v>0.0625</v>
      </c>
      <c r="X1349" s="0" t="n">
        <f aca="false">SUMPRODUCT(I1349:W1349,_XtX!$B$96:$P$96)</f>
        <v>44.7401544225146</v>
      </c>
      <c r="Y1349" s="0" t="n">
        <f aca="false">SUMPRODUCT(MMULT(I1349:W1349,_XtX!$B$78:$P$92),I1349:W1349)</f>
        <v>0.271087468019006</v>
      </c>
      <c r="Z1349" s="0" t="n">
        <f aca="false">04_回帰ANOVA!$K$19*04_回帰ANOVA!$K$14*SQRT(1+Y1349)</f>
        <v>1.46955590155034</v>
      </c>
      <c r="AA1349" s="0" t="n">
        <f aca="false">X1349-Z1349</f>
        <v>43.2705985209643</v>
      </c>
      <c r="AB1349" s="0" t="n">
        <f aca="false">X1349+Z1349</f>
        <v>46.209710324065</v>
      </c>
      <c r="AC1349" s="54" t="b">
        <f aca="false">AND(E1349&gt;=01_因子設定!$L$5-0.000000001,E1349&lt;=01_因子設定!$M$5+0.000000001,F1349&gt;=01_因子設定!$L$6-0.000000001,F1349&lt;=01_因子設定!$M$6+0.000000001,G1349&gt;=01_因子設定!$L$7-0.000000001,G1349&lt;=01_因子設定!$M$7+0.000000001,H1349&gt;=01_因子設定!$L$8-0.000000001,H1349&lt;=01_因子設定!$M$8+0.000000001,IF(01_因子設定!$B$20="Box-Behnken",E1349^2+F1349^2+G1349^2+H1349^2&lt;=2+0.000000001,TRUE()))</f>
        <v>1</v>
      </c>
      <c r="AD1349" s="55" t="n">
        <f aca="false">IF(AC1349,IF(01_因子設定!$B$13="最大化",AA1349-01_因子設定!$B$14,IF(01_因子設定!$B$13="最小化",01_因子設定!$B$15-AB1349,MIN(AA1349-01_因子設定!$B$14,01_因子設定!$B$15-AB1349))),-1E+030)</f>
        <v>-3.22940147903574</v>
      </c>
      <c r="AE1349" s="55" t="n">
        <f aca="false">IF(AC1349,IF(01_因子設定!$B$13="最大化",X1349,IF(01_因子設定!$B$13="最小化",-X1349,-ABS(X1349-01_因子設定!$B$16))),-1E+030)</f>
        <v>44.7401544225146</v>
      </c>
      <c r="AF1349" s="55" t="n">
        <f aca="false">AD1349+ROW()*0.000000001</f>
        <v>-3.22940013003574</v>
      </c>
      <c r="AG1349" s="55" t="n">
        <f aca="false">AE1349+ROW()*0.000000001</f>
        <v>44.7401557715146</v>
      </c>
    </row>
    <row r="1350" customFormat="false" ht="15" hidden="false" customHeight="false" outlineLevel="0" collapsed="false">
      <c r="A1350" s="0" t="n">
        <v>1</v>
      </c>
      <c r="B1350" s="0" t="n">
        <v>7</v>
      </c>
      <c r="C1350" s="0" t="n">
        <v>5</v>
      </c>
      <c r="D1350" s="0" t="n">
        <v>4</v>
      </c>
      <c r="E1350" s="0" t="n">
        <f aca="false">-1+A1350*0.25</f>
        <v>-0.75</v>
      </c>
      <c r="F1350" s="0" t="n">
        <f aca="false">-1+B1350*0.25</f>
        <v>0.75</v>
      </c>
      <c r="G1350" s="0" t="n">
        <f aca="false">-1+C1350*0.25</f>
        <v>0.25</v>
      </c>
      <c r="H1350" s="0" t="n">
        <f aca="false">-1+D1350*0.25</f>
        <v>0</v>
      </c>
      <c r="I1350" s="0" t="n">
        <f aca="false">1</f>
        <v>1</v>
      </c>
      <c r="J1350" s="0" t="n">
        <f aca="false">E1350</f>
        <v>-0.75</v>
      </c>
      <c r="K1350" s="0" t="n">
        <f aca="false">F1350</f>
        <v>0.75</v>
      </c>
      <c r="L1350" s="0" t="n">
        <f aca="false">G1350</f>
        <v>0.25</v>
      </c>
      <c r="M1350" s="0" t="n">
        <f aca="false">H1350</f>
        <v>0</v>
      </c>
      <c r="N1350" s="0" t="n">
        <f aca="false">E1350*F1350</f>
        <v>-0.5625</v>
      </c>
      <c r="O1350" s="0" t="n">
        <f aca="false">E1350*G1350</f>
        <v>-0.1875</v>
      </c>
      <c r="P1350" s="0" t="n">
        <f aca="false">E1350*H1350</f>
        <v>-0</v>
      </c>
      <c r="Q1350" s="0" t="n">
        <f aca="false">F1350*G1350</f>
        <v>0.1875</v>
      </c>
      <c r="R1350" s="0" t="n">
        <f aca="false">F1350*H1350</f>
        <v>0</v>
      </c>
      <c r="S1350" s="0" t="n">
        <f aca="false">G1350*H1350</f>
        <v>0</v>
      </c>
      <c r="T1350" s="0" t="n">
        <f aca="false">E1350*E1350</f>
        <v>0.5625</v>
      </c>
      <c r="U1350" s="0" t="n">
        <f aca="false">F1350*F1350</f>
        <v>0.5625</v>
      </c>
      <c r="V1350" s="0" t="n">
        <f aca="false">G1350*G1350</f>
        <v>0.0625</v>
      </c>
      <c r="W1350" s="0" t="n">
        <f aca="false">H1350*H1350</f>
        <v>0</v>
      </c>
      <c r="X1350" s="0" t="n">
        <f aca="false">SUMPRODUCT(I1350:W1350,_XtX!$B$96:$P$96)</f>
        <v>44.8201343201754</v>
      </c>
      <c r="Y1350" s="0" t="n">
        <f aca="false">SUMPRODUCT(MMULT(I1350:W1350,_XtX!$B$78:$P$92),I1350:W1350)</f>
        <v>0.281685455500731</v>
      </c>
      <c r="Z1350" s="0" t="n">
        <f aca="false">04_回帰ANOVA!$K$19*04_回帰ANOVA!$K$14*SQRT(1+Y1350)</f>
        <v>1.47566956658694</v>
      </c>
      <c r="AA1350" s="0" t="n">
        <f aca="false">X1350-Z1350</f>
        <v>43.3444647535885</v>
      </c>
      <c r="AB1350" s="0" t="n">
        <f aca="false">X1350+Z1350</f>
        <v>46.2958038867624</v>
      </c>
      <c r="AC1350" s="54" t="b">
        <f aca="false">AND(E1350&gt;=01_因子設定!$L$5-0.000000001,E1350&lt;=01_因子設定!$M$5+0.000000001,F1350&gt;=01_因子設定!$L$6-0.000000001,F1350&lt;=01_因子設定!$M$6+0.000000001,G1350&gt;=01_因子設定!$L$7-0.000000001,G1350&lt;=01_因子設定!$M$7+0.000000001,H1350&gt;=01_因子設定!$L$8-0.000000001,H1350&lt;=01_因子設定!$M$8+0.000000001,IF(01_因子設定!$B$20="Box-Behnken",E1350^2+F1350^2+G1350^2+H1350^2&lt;=2+0.000000001,TRUE()))</f>
        <v>1</v>
      </c>
      <c r="AD1350" s="55" t="n">
        <f aca="false">IF(AC1350,IF(01_因子設定!$B$13="最大化",AA1350-01_因子設定!$B$14,IF(01_因子設定!$B$13="最小化",01_因子設定!$B$15-AB1350,MIN(AA1350-01_因子設定!$B$14,01_因子設定!$B$15-AB1350))),-1E+030)</f>
        <v>-3.15553524641151</v>
      </c>
      <c r="AE1350" s="55" t="n">
        <f aca="false">IF(AC1350,IF(01_因子設定!$B$13="最大化",X1350,IF(01_因子設定!$B$13="最小化",-X1350,-ABS(X1350-01_因子設定!$B$16))),-1E+030)</f>
        <v>44.8201343201754</v>
      </c>
      <c r="AF1350" s="55" t="n">
        <f aca="false">AD1350+ROW()*0.000000001</f>
        <v>-3.15553389641151</v>
      </c>
      <c r="AG1350" s="55" t="n">
        <f aca="false">AE1350+ROW()*0.000000001</f>
        <v>44.8201356701754</v>
      </c>
    </row>
    <row r="1351" customFormat="false" ht="15" hidden="false" customHeight="false" outlineLevel="0" collapsed="false">
      <c r="A1351" s="0" t="n">
        <v>1</v>
      </c>
      <c r="B1351" s="0" t="n">
        <v>7</v>
      </c>
      <c r="C1351" s="0" t="n">
        <v>5</v>
      </c>
      <c r="D1351" s="0" t="n">
        <v>5</v>
      </c>
      <c r="E1351" s="0" t="n">
        <f aca="false">-1+A1351*0.25</f>
        <v>-0.75</v>
      </c>
      <c r="F1351" s="0" t="n">
        <f aca="false">-1+B1351*0.25</f>
        <v>0.75</v>
      </c>
      <c r="G1351" s="0" t="n">
        <f aca="false">-1+C1351*0.25</f>
        <v>0.25</v>
      </c>
      <c r="H1351" s="0" t="n">
        <f aca="false">-1+D1351*0.25</f>
        <v>0.25</v>
      </c>
      <c r="I1351" s="0" t="n">
        <f aca="false">1</f>
        <v>1</v>
      </c>
      <c r="J1351" s="0" t="n">
        <f aca="false">E1351</f>
        <v>-0.75</v>
      </c>
      <c r="K1351" s="0" t="n">
        <f aca="false">F1351</f>
        <v>0.75</v>
      </c>
      <c r="L1351" s="0" t="n">
        <f aca="false">G1351</f>
        <v>0.25</v>
      </c>
      <c r="M1351" s="0" t="n">
        <f aca="false">H1351</f>
        <v>0.25</v>
      </c>
      <c r="N1351" s="0" t="n">
        <f aca="false">E1351*F1351</f>
        <v>-0.5625</v>
      </c>
      <c r="O1351" s="0" t="n">
        <f aca="false">E1351*G1351</f>
        <v>-0.1875</v>
      </c>
      <c r="P1351" s="0" t="n">
        <f aca="false">E1351*H1351</f>
        <v>-0.1875</v>
      </c>
      <c r="Q1351" s="0" t="n">
        <f aca="false">F1351*G1351</f>
        <v>0.1875</v>
      </c>
      <c r="R1351" s="0" t="n">
        <f aca="false">F1351*H1351</f>
        <v>0.1875</v>
      </c>
      <c r="S1351" s="0" t="n">
        <f aca="false">G1351*H1351</f>
        <v>0.0625</v>
      </c>
      <c r="T1351" s="0" t="n">
        <f aca="false">E1351*E1351</f>
        <v>0.5625</v>
      </c>
      <c r="U1351" s="0" t="n">
        <f aca="false">F1351*F1351</f>
        <v>0.5625</v>
      </c>
      <c r="V1351" s="0" t="n">
        <f aca="false">G1351*G1351</f>
        <v>0.0625</v>
      </c>
      <c r="W1351" s="0" t="n">
        <f aca="false">H1351*H1351</f>
        <v>0.0625</v>
      </c>
      <c r="X1351" s="0" t="n">
        <f aca="false">SUMPRODUCT(I1351:W1351,_XtX!$B$96:$P$96)</f>
        <v>44.8523072002924</v>
      </c>
      <c r="Y1351" s="0" t="n">
        <f aca="false">SUMPRODUCT(MMULT(I1351:W1351,_XtX!$B$78:$P$92),I1351:W1351)</f>
        <v>0.271087468019006</v>
      </c>
      <c r="Z1351" s="0" t="n">
        <f aca="false">04_回帰ANOVA!$K$19*04_回帰ANOVA!$K$14*SQRT(1+Y1351)</f>
        <v>1.46955590155034</v>
      </c>
      <c r="AA1351" s="0" t="n">
        <f aca="false">X1351-Z1351</f>
        <v>43.382751298742</v>
      </c>
      <c r="AB1351" s="0" t="n">
        <f aca="false">X1351+Z1351</f>
        <v>46.3218631018427</v>
      </c>
      <c r="AC1351" s="54" t="b">
        <f aca="false">AND(E1351&gt;=01_因子設定!$L$5-0.000000001,E1351&lt;=01_因子設定!$M$5+0.000000001,F1351&gt;=01_因子設定!$L$6-0.000000001,F1351&lt;=01_因子設定!$M$6+0.000000001,G1351&gt;=01_因子設定!$L$7-0.000000001,G1351&lt;=01_因子設定!$M$7+0.000000001,H1351&gt;=01_因子設定!$L$8-0.000000001,H1351&lt;=01_因子設定!$M$8+0.000000001,IF(01_因子設定!$B$20="Box-Behnken",E1351^2+F1351^2+G1351^2+H1351^2&lt;=2+0.000000001,TRUE()))</f>
        <v>1</v>
      </c>
      <c r="AD1351" s="55" t="n">
        <f aca="false">IF(AC1351,IF(01_因子設定!$B$13="最大化",AA1351-01_因子設定!$B$14,IF(01_因子設定!$B$13="最小化",01_因子設定!$B$15-AB1351,MIN(AA1351-01_因子設定!$B$14,01_因子設定!$B$15-AB1351))),-1E+030)</f>
        <v>-3.11724870125796</v>
      </c>
      <c r="AE1351" s="55" t="n">
        <f aca="false">IF(AC1351,IF(01_因子設定!$B$13="最大化",X1351,IF(01_因子設定!$B$13="最小化",-X1351,-ABS(X1351-01_因子設定!$B$16))),-1E+030)</f>
        <v>44.8523072002924</v>
      </c>
      <c r="AF1351" s="55" t="n">
        <f aca="false">AD1351+ROW()*0.000000001</f>
        <v>-3.11724735025796</v>
      </c>
      <c r="AG1351" s="55" t="n">
        <f aca="false">AE1351+ROW()*0.000000001</f>
        <v>44.8523085512924</v>
      </c>
    </row>
    <row r="1352" customFormat="false" ht="15" hidden="false" customHeight="false" outlineLevel="0" collapsed="false">
      <c r="A1352" s="0" t="n">
        <v>1</v>
      </c>
      <c r="B1352" s="0" t="n">
        <v>7</v>
      </c>
      <c r="C1352" s="0" t="n">
        <v>5</v>
      </c>
      <c r="D1352" s="0" t="n">
        <v>6</v>
      </c>
      <c r="E1352" s="0" t="n">
        <f aca="false">-1+A1352*0.25</f>
        <v>-0.75</v>
      </c>
      <c r="F1352" s="0" t="n">
        <f aca="false">-1+B1352*0.25</f>
        <v>0.75</v>
      </c>
      <c r="G1352" s="0" t="n">
        <f aca="false">-1+C1352*0.25</f>
        <v>0.25</v>
      </c>
      <c r="H1352" s="0" t="n">
        <f aca="false">-1+D1352*0.25</f>
        <v>0.5</v>
      </c>
      <c r="I1352" s="0" t="n">
        <f aca="false">1</f>
        <v>1</v>
      </c>
      <c r="J1352" s="0" t="n">
        <f aca="false">E1352</f>
        <v>-0.75</v>
      </c>
      <c r="K1352" s="0" t="n">
        <f aca="false">F1352</f>
        <v>0.75</v>
      </c>
      <c r="L1352" s="0" t="n">
        <f aca="false">G1352</f>
        <v>0.25</v>
      </c>
      <c r="M1352" s="0" t="n">
        <f aca="false">H1352</f>
        <v>0.5</v>
      </c>
      <c r="N1352" s="0" t="n">
        <f aca="false">E1352*F1352</f>
        <v>-0.5625</v>
      </c>
      <c r="O1352" s="0" t="n">
        <f aca="false">E1352*G1352</f>
        <v>-0.1875</v>
      </c>
      <c r="P1352" s="0" t="n">
        <f aca="false">E1352*H1352</f>
        <v>-0.375</v>
      </c>
      <c r="Q1352" s="0" t="n">
        <f aca="false">F1352*G1352</f>
        <v>0.1875</v>
      </c>
      <c r="R1352" s="0" t="n">
        <f aca="false">F1352*H1352</f>
        <v>0.375</v>
      </c>
      <c r="S1352" s="0" t="n">
        <f aca="false">G1352*H1352</f>
        <v>0.125</v>
      </c>
      <c r="T1352" s="0" t="n">
        <f aca="false">E1352*E1352</f>
        <v>0.5625</v>
      </c>
      <c r="U1352" s="0" t="n">
        <f aca="false">F1352*F1352</f>
        <v>0.5625</v>
      </c>
      <c r="V1352" s="0" t="n">
        <f aca="false">G1352*G1352</f>
        <v>0.0625</v>
      </c>
      <c r="W1352" s="0" t="n">
        <f aca="false">H1352*H1352</f>
        <v>0.25</v>
      </c>
      <c r="X1352" s="0" t="n">
        <f aca="false">SUMPRODUCT(I1352:W1352,_XtX!$B$96:$P$96)</f>
        <v>44.8366730628655</v>
      </c>
      <c r="Y1352" s="0" t="n">
        <f aca="false">SUMPRODUCT(MMULT(I1352:W1352,_XtX!$B$78:$P$92),I1352:W1352)</f>
        <v>0.257385610836988</v>
      </c>
      <c r="Z1352" s="0" t="n">
        <f aca="false">04_回帰ANOVA!$K$19*04_回帰ANOVA!$K$14*SQRT(1+Y1352)</f>
        <v>1.46161380324158</v>
      </c>
      <c r="AA1352" s="0" t="n">
        <f aca="false">X1352-Z1352</f>
        <v>43.3750592596239</v>
      </c>
      <c r="AB1352" s="0" t="n">
        <f aca="false">X1352+Z1352</f>
        <v>46.2982868661071</v>
      </c>
      <c r="AC1352" s="54" t="b">
        <f aca="false">AND(E1352&gt;=01_因子設定!$L$5-0.000000001,E1352&lt;=01_因子設定!$M$5+0.000000001,F1352&gt;=01_因子設定!$L$6-0.000000001,F1352&lt;=01_因子設定!$M$6+0.000000001,G1352&gt;=01_因子設定!$L$7-0.000000001,G1352&lt;=01_因子設定!$M$7+0.000000001,H1352&gt;=01_因子設定!$L$8-0.000000001,H1352&lt;=01_因子設定!$M$8+0.000000001,IF(01_因子設定!$B$20="Box-Behnken",E1352^2+F1352^2+G1352^2+H1352^2&lt;=2+0.000000001,TRUE()))</f>
        <v>1</v>
      </c>
      <c r="AD1352" s="55" t="n">
        <f aca="false">IF(AC1352,IF(01_因子設定!$B$13="最大化",AA1352-01_因子設定!$B$14,IF(01_因子設定!$B$13="最小化",01_因子設定!$B$15-AB1352,MIN(AA1352-01_因子設定!$B$14,01_因子設定!$B$15-AB1352))),-1E+030)</f>
        <v>-3.12494074037609</v>
      </c>
      <c r="AE1352" s="55" t="n">
        <f aca="false">IF(AC1352,IF(01_因子設定!$B$13="最大化",X1352,IF(01_因子設定!$B$13="最小化",-X1352,-ABS(X1352-01_因子設定!$B$16))),-1E+030)</f>
        <v>44.8366730628655</v>
      </c>
      <c r="AF1352" s="55" t="n">
        <f aca="false">AD1352+ROW()*0.000000001</f>
        <v>-3.12493938837609</v>
      </c>
      <c r="AG1352" s="55" t="n">
        <f aca="false">AE1352+ROW()*0.000000001</f>
        <v>44.8366744148655</v>
      </c>
    </row>
    <row r="1353" customFormat="false" ht="15" hidden="false" customHeight="false" outlineLevel="0" collapsed="false">
      <c r="A1353" s="0" t="n">
        <v>1</v>
      </c>
      <c r="B1353" s="0" t="n">
        <v>7</v>
      </c>
      <c r="C1353" s="0" t="n">
        <v>5</v>
      </c>
      <c r="D1353" s="0" t="n">
        <v>7</v>
      </c>
      <c r="E1353" s="0" t="n">
        <f aca="false">-1+A1353*0.25</f>
        <v>-0.75</v>
      </c>
      <c r="F1353" s="0" t="n">
        <f aca="false">-1+B1353*0.25</f>
        <v>0.75</v>
      </c>
      <c r="G1353" s="0" t="n">
        <f aca="false">-1+C1353*0.25</f>
        <v>0.25</v>
      </c>
      <c r="H1353" s="0" t="n">
        <f aca="false">-1+D1353*0.25</f>
        <v>0.75</v>
      </c>
      <c r="I1353" s="0" t="n">
        <f aca="false">1</f>
        <v>1</v>
      </c>
      <c r="J1353" s="0" t="n">
        <f aca="false">E1353</f>
        <v>-0.75</v>
      </c>
      <c r="K1353" s="0" t="n">
        <f aca="false">F1353</f>
        <v>0.75</v>
      </c>
      <c r="L1353" s="0" t="n">
        <f aca="false">G1353</f>
        <v>0.25</v>
      </c>
      <c r="M1353" s="0" t="n">
        <f aca="false">H1353</f>
        <v>0.75</v>
      </c>
      <c r="N1353" s="0" t="n">
        <f aca="false">E1353*F1353</f>
        <v>-0.5625</v>
      </c>
      <c r="O1353" s="0" t="n">
        <f aca="false">E1353*G1353</f>
        <v>-0.1875</v>
      </c>
      <c r="P1353" s="0" t="n">
        <f aca="false">E1353*H1353</f>
        <v>-0.5625</v>
      </c>
      <c r="Q1353" s="0" t="n">
        <f aca="false">F1353*G1353</f>
        <v>0.1875</v>
      </c>
      <c r="R1353" s="0" t="n">
        <f aca="false">F1353*H1353</f>
        <v>0.5625</v>
      </c>
      <c r="S1353" s="0" t="n">
        <f aca="false">G1353*H1353</f>
        <v>0.1875</v>
      </c>
      <c r="T1353" s="0" t="n">
        <f aca="false">E1353*E1353</f>
        <v>0.5625</v>
      </c>
      <c r="U1353" s="0" t="n">
        <f aca="false">F1353*F1353</f>
        <v>0.5625</v>
      </c>
      <c r="V1353" s="0" t="n">
        <f aca="false">G1353*G1353</f>
        <v>0.0625</v>
      </c>
      <c r="W1353" s="0" t="n">
        <f aca="false">H1353*H1353</f>
        <v>0.5625</v>
      </c>
      <c r="X1353" s="0" t="n">
        <f aca="false">SUMPRODUCT(I1353:W1353,_XtX!$B$96:$P$96)</f>
        <v>44.7732319078947</v>
      </c>
      <c r="Y1353" s="0" t="n">
        <f aca="false">SUMPRODUCT(MMULT(I1353:W1353,_XtX!$B$78:$P$92),I1353:W1353)</f>
        <v>0.294856199744152</v>
      </c>
      <c r="Z1353" s="0" t="n">
        <f aca="false">04_回帰ANOVA!$K$19*04_回帰ANOVA!$K$14*SQRT(1+Y1353)</f>
        <v>1.48323226089013</v>
      </c>
      <c r="AA1353" s="0" t="n">
        <f aca="false">X1353-Z1353</f>
        <v>43.2899996470046</v>
      </c>
      <c r="AB1353" s="0" t="n">
        <f aca="false">X1353+Z1353</f>
        <v>46.2564641687849</v>
      </c>
      <c r="AC1353" s="54" t="b">
        <f aca="false">AND(E1353&gt;=01_因子設定!$L$5-0.000000001,E1353&lt;=01_因子設定!$M$5+0.000000001,F1353&gt;=01_因子設定!$L$6-0.000000001,F1353&lt;=01_因子設定!$M$6+0.000000001,G1353&gt;=01_因子設定!$L$7-0.000000001,G1353&lt;=01_因子設定!$M$7+0.000000001,H1353&gt;=01_因子設定!$L$8-0.000000001,H1353&lt;=01_因子設定!$M$8+0.000000001,IF(01_因子設定!$B$20="Box-Behnken",E1353^2+F1353^2+G1353^2+H1353^2&lt;=2+0.000000001,TRUE()))</f>
        <v>1</v>
      </c>
      <c r="AD1353" s="55" t="n">
        <f aca="false">IF(AC1353,IF(01_因子設定!$B$13="最大化",AA1353-01_因子設定!$B$14,IF(01_因子設定!$B$13="最小化",01_因子設定!$B$15-AB1353,MIN(AA1353-01_因子設定!$B$14,01_因子設定!$B$15-AB1353))),-1E+030)</f>
        <v>-3.21000035299539</v>
      </c>
      <c r="AE1353" s="55" t="n">
        <f aca="false">IF(AC1353,IF(01_因子設定!$B$13="最大化",X1353,IF(01_因子設定!$B$13="最小化",-X1353,-ABS(X1353-01_因子設定!$B$16))),-1E+030)</f>
        <v>44.7732319078947</v>
      </c>
      <c r="AF1353" s="55" t="n">
        <f aca="false">AD1353+ROW()*0.000000001</f>
        <v>-3.20999899999539</v>
      </c>
      <c r="AG1353" s="55" t="n">
        <f aca="false">AE1353+ROW()*0.000000001</f>
        <v>44.7732332608947</v>
      </c>
    </row>
    <row r="1354" customFormat="false" ht="15" hidden="false" customHeight="false" outlineLevel="0" collapsed="false">
      <c r="A1354" s="0" t="n">
        <v>1</v>
      </c>
      <c r="B1354" s="0" t="n">
        <v>7</v>
      </c>
      <c r="C1354" s="0" t="n">
        <v>5</v>
      </c>
      <c r="D1354" s="0" t="n">
        <v>8</v>
      </c>
      <c r="E1354" s="0" t="n">
        <f aca="false">-1+A1354*0.25</f>
        <v>-0.75</v>
      </c>
      <c r="F1354" s="0" t="n">
        <f aca="false">-1+B1354*0.25</f>
        <v>0.75</v>
      </c>
      <c r="G1354" s="0" t="n">
        <f aca="false">-1+C1354*0.25</f>
        <v>0.25</v>
      </c>
      <c r="H1354" s="0" t="n">
        <f aca="false">-1+D1354*0.25</f>
        <v>1</v>
      </c>
      <c r="I1354" s="0" t="n">
        <f aca="false">1</f>
        <v>1</v>
      </c>
      <c r="J1354" s="0" t="n">
        <f aca="false">E1354</f>
        <v>-0.75</v>
      </c>
      <c r="K1354" s="0" t="n">
        <f aca="false">F1354</f>
        <v>0.75</v>
      </c>
      <c r="L1354" s="0" t="n">
        <f aca="false">G1354</f>
        <v>0.25</v>
      </c>
      <c r="M1354" s="0" t="n">
        <f aca="false">H1354</f>
        <v>1</v>
      </c>
      <c r="N1354" s="0" t="n">
        <f aca="false">E1354*F1354</f>
        <v>-0.5625</v>
      </c>
      <c r="O1354" s="0" t="n">
        <f aca="false">E1354*G1354</f>
        <v>-0.1875</v>
      </c>
      <c r="P1354" s="0" t="n">
        <f aca="false">E1354*H1354</f>
        <v>-0.75</v>
      </c>
      <c r="Q1354" s="0" t="n">
        <f aca="false">F1354*G1354</f>
        <v>0.1875</v>
      </c>
      <c r="R1354" s="0" t="n">
        <f aca="false">F1354*H1354</f>
        <v>0.75</v>
      </c>
      <c r="S1354" s="0" t="n">
        <f aca="false">G1354*H1354</f>
        <v>0.25</v>
      </c>
      <c r="T1354" s="0" t="n">
        <f aca="false">E1354*E1354</f>
        <v>0.5625</v>
      </c>
      <c r="U1354" s="0" t="n">
        <f aca="false">F1354*F1354</f>
        <v>0.5625</v>
      </c>
      <c r="V1354" s="0" t="n">
        <f aca="false">G1354*G1354</f>
        <v>0.0625</v>
      </c>
      <c r="W1354" s="0" t="n">
        <f aca="false">H1354*H1354</f>
        <v>1</v>
      </c>
      <c r="X1354" s="0" t="n">
        <f aca="false">SUMPRODUCT(I1354:W1354,_XtX!$B$96:$P$96)</f>
        <v>44.6619837353801</v>
      </c>
      <c r="Y1354" s="0" t="n">
        <f aca="false">SUMPRODUCT(MMULT(I1354:W1354,_XtX!$B$78:$P$92),I1354:W1354)</f>
        <v>0.473959761056287</v>
      </c>
      <c r="Z1354" s="0" t="n">
        <f aca="false">04_回帰ANOVA!$K$19*04_回帰ANOVA!$K$14*SQRT(1+Y1354)</f>
        <v>1.58249084588329</v>
      </c>
      <c r="AA1354" s="0" t="n">
        <f aca="false">X1354-Z1354</f>
        <v>43.0794928894969</v>
      </c>
      <c r="AB1354" s="0" t="n">
        <f aca="false">X1354+Z1354</f>
        <v>46.2444745812634</v>
      </c>
      <c r="AC1354" s="54" t="b">
        <f aca="false">AND(E1354&gt;=01_因子設定!$L$5-0.000000001,E1354&lt;=01_因子設定!$M$5+0.000000001,F1354&gt;=01_因子設定!$L$6-0.000000001,F1354&lt;=01_因子設定!$M$6+0.000000001,G1354&gt;=01_因子設定!$L$7-0.000000001,G1354&lt;=01_因子設定!$M$7+0.000000001,H1354&gt;=01_因子設定!$L$8-0.000000001,H1354&lt;=01_因子設定!$M$8+0.000000001,IF(01_因子設定!$B$20="Box-Behnken",E1354^2+F1354^2+G1354^2+H1354^2&lt;=2+0.000000001,TRUE()))</f>
        <v>1</v>
      </c>
      <c r="AD1354" s="55" t="n">
        <f aca="false">IF(AC1354,IF(01_因子設定!$B$13="最大化",AA1354-01_因子設定!$B$14,IF(01_因子設定!$B$13="最小化",01_因子設定!$B$15-AB1354,MIN(AA1354-01_因子設定!$B$14,01_因子設定!$B$15-AB1354))),-1E+030)</f>
        <v>-3.42050711050315</v>
      </c>
      <c r="AE1354" s="55" t="n">
        <f aca="false">IF(AC1354,IF(01_因子設定!$B$13="最大化",X1354,IF(01_因子設定!$B$13="最小化",-X1354,-ABS(X1354-01_因子設定!$B$16))),-1E+030)</f>
        <v>44.6619837353801</v>
      </c>
      <c r="AF1354" s="55" t="n">
        <f aca="false">AD1354+ROW()*0.000000001</f>
        <v>-3.42050575650315</v>
      </c>
      <c r="AG1354" s="55" t="n">
        <f aca="false">AE1354+ROW()*0.000000001</f>
        <v>44.6619850893801</v>
      </c>
    </row>
    <row r="1355" customFormat="false" ht="15" hidden="false" customHeight="false" outlineLevel="0" collapsed="false">
      <c r="A1355" s="0" t="n">
        <v>1</v>
      </c>
      <c r="B1355" s="0" t="n">
        <v>7</v>
      </c>
      <c r="C1355" s="0" t="n">
        <v>6</v>
      </c>
      <c r="D1355" s="0" t="n">
        <v>0</v>
      </c>
      <c r="E1355" s="0" t="n">
        <f aca="false">-1+A1355*0.25</f>
        <v>-0.75</v>
      </c>
      <c r="F1355" s="0" t="n">
        <f aca="false">-1+B1355*0.25</f>
        <v>0.75</v>
      </c>
      <c r="G1355" s="0" t="n">
        <f aca="false">-1+C1355*0.25</f>
        <v>0.5</v>
      </c>
      <c r="H1355" s="0" t="n">
        <f aca="false">-1+D1355*0.25</f>
        <v>-1</v>
      </c>
      <c r="I1355" s="0" t="n">
        <f aca="false">1</f>
        <v>1</v>
      </c>
      <c r="J1355" s="0" t="n">
        <f aca="false">E1355</f>
        <v>-0.75</v>
      </c>
      <c r="K1355" s="0" t="n">
        <f aca="false">F1355</f>
        <v>0.75</v>
      </c>
      <c r="L1355" s="0" t="n">
        <f aca="false">G1355</f>
        <v>0.5</v>
      </c>
      <c r="M1355" s="0" t="n">
        <f aca="false">H1355</f>
        <v>-1</v>
      </c>
      <c r="N1355" s="0" t="n">
        <f aca="false">E1355*F1355</f>
        <v>-0.5625</v>
      </c>
      <c r="O1355" s="0" t="n">
        <f aca="false">E1355*G1355</f>
        <v>-0.375</v>
      </c>
      <c r="P1355" s="0" t="n">
        <f aca="false">E1355*H1355</f>
        <v>0.75</v>
      </c>
      <c r="Q1355" s="0" t="n">
        <f aca="false">F1355*G1355</f>
        <v>0.375</v>
      </c>
      <c r="R1355" s="0" t="n">
        <f aca="false">F1355*H1355</f>
        <v>-0.75</v>
      </c>
      <c r="S1355" s="0" t="n">
        <f aca="false">G1355*H1355</f>
        <v>-0.5</v>
      </c>
      <c r="T1355" s="0" t="n">
        <f aca="false">E1355*E1355</f>
        <v>0.5625</v>
      </c>
      <c r="U1355" s="0" t="n">
        <f aca="false">F1355*F1355</f>
        <v>0.5625</v>
      </c>
      <c r="V1355" s="0" t="n">
        <f aca="false">G1355*G1355</f>
        <v>0.25</v>
      </c>
      <c r="W1355" s="0" t="n">
        <f aca="false">H1355*H1355</f>
        <v>1</v>
      </c>
      <c r="X1355" s="0" t="n">
        <f aca="false">SUMPRODUCT(I1355:W1355,_XtX!$B$96:$P$96)</f>
        <v>44.4398391812866</v>
      </c>
      <c r="Y1355" s="0" t="n">
        <f aca="false">SUMPRODUCT(MMULT(I1355:W1355,_XtX!$B$78:$P$92),I1355:W1355)</f>
        <v>0.431153771472953</v>
      </c>
      <c r="Z1355" s="0" t="n">
        <f aca="false">04_回帰ANOVA!$K$19*04_回帰ANOVA!$K$14*SQRT(1+Y1355)</f>
        <v>1.55934259562563</v>
      </c>
      <c r="AA1355" s="0" t="n">
        <f aca="false">X1355-Z1355</f>
        <v>42.8804965856609</v>
      </c>
      <c r="AB1355" s="0" t="n">
        <f aca="false">X1355+Z1355</f>
        <v>45.9991817769122</v>
      </c>
      <c r="AC1355" s="54" t="b">
        <f aca="false">AND(E1355&gt;=01_因子設定!$L$5-0.000000001,E1355&lt;=01_因子設定!$M$5+0.000000001,F1355&gt;=01_因子設定!$L$6-0.000000001,F1355&lt;=01_因子設定!$M$6+0.000000001,G1355&gt;=01_因子設定!$L$7-0.000000001,G1355&lt;=01_因子設定!$M$7+0.000000001,H1355&gt;=01_因子設定!$L$8-0.000000001,H1355&lt;=01_因子設定!$M$8+0.000000001,IF(01_因子設定!$B$20="Box-Behnken",E1355^2+F1355^2+G1355^2+H1355^2&lt;=2+0.000000001,TRUE()))</f>
        <v>1</v>
      </c>
      <c r="AD1355" s="55" t="n">
        <f aca="false">IF(AC1355,IF(01_因子設定!$B$13="最大化",AA1355-01_因子設定!$B$14,IF(01_因子設定!$B$13="最小化",01_因子設定!$B$15-AB1355,MIN(AA1355-01_因子設定!$B$14,01_因子設定!$B$15-AB1355))),-1E+030)</f>
        <v>-3.61950341433906</v>
      </c>
      <c r="AE1355" s="55" t="n">
        <f aca="false">IF(AC1355,IF(01_因子設定!$B$13="最大化",X1355,IF(01_因子設定!$B$13="最小化",-X1355,-ABS(X1355-01_因子設定!$B$16))),-1E+030)</f>
        <v>44.4398391812866</v>
      </c>
      <c r="AF1355" s="55" t="n">
        <f aca="false">AD1355+ROW()*0.000000001</f>
        <v>-3.61950205933906</v>
      </c>
      <c r="AG1355" s="55" t="n">
        <f aca="false">AE1355+ROW()*0.000000001</f>
        <v>44.4398405362866</v>
      </c>
    </row>
    <row r="1356" customFormat="false" ht="15" hidden="false" customHeight="false" outlineLevel="0" collapsed="false">
      <c r="A1356" s="0" t="n">
        <v>1</v>
      </c>
      <c r="B1356" s="0" t="n">
        <v>7</v>
      </c>
      <c r="C1356" s="0" t="n">
        <v>6</v>
      </c>
      <c r="D1356" s="0" t="n">
        <v>1</v>
      </c>
      <c r="E1356" s="0" t="n">
        <f aca="false">-1+A1356*0.25</f>
        <v>-0.75</v>
      </c>
      <c r="F1356" s="0" t="n">
        <f aca="false">-1+B1356*0.25</f>
        <v>0.75</v>
      </c>
      <c r="G1356" s="0" t="n">
        <f aca="false">-1+C1356*0.25</f>
        <v>0.5</v>
      </c>
      <c r="H1356" s="0" t="n">
        <f aca="false">-1+D1356*0.25</f>
        <v>-0.75</v>
      </c>
      <c r="I1356" s="0" t="n">
        <f aca="false">1</f>
        <v>1</v>
      </c>
      <c r="J1356" s="0" t="n">
        <f aca="false">E1356</f>
        <v>-0.75</v>
      </c>
      <c r="K1356" s="0" t="n">
        <f aca="false">F1356</f>
        <v>0.75</v>
      </c>
      <c r="L1356" s="0" t="n">
        <f aca="false">G1356</f>
        <v>0.5</v>
      </c>
      <c r="M1356" s="0" t="n">
        <f aca="false">H1356</f>
        <v>-0.75</v>
      </c>
      <c r="N1356" s="0" t="n">
        <f aca="false">E1356*F1356</f>
        <v>-0.5625</v>
      </c>
      <c r="O1356" s="0" t="n">
        <f aca="false">E1356*G1356</f>
        <v>-0.375</v>
      </c>
      <c r="P1356" s="0" t="n">
        <f aca="false">E1356*H1356</f>
        <v>0.5625</v>
      </c>
      <c r="Q1356" s="0" t="n">
        <f aca="false">F1356*G1356</f>
        <v>0.375</v>
      </c>
      <c r="R1356" s="0" t="n">
        <f aca="false">F1356*H1356</f>
        <v>-0.5625</v>
      </c>
      <c r="S1356" s="0" t="n">
        <f aca="false">G1356*H1356</f>
        <v>-0.375</v>
      </c>
      <c r="T1356" s="0" t="n">
        <f aca="false">E1356*E1356</f>
        <v>0.5625</v>
      </c>
      <c r="U1356" s="0" t="n">
        <f aca="false">F1356*F1356</f>
        <v>0.5625</v>
      </c>
      <c r="V1356" s="0" t="n">
        <f aca="false">G1356*G1356</f>
        <v>0.25</v>
      </c>
      <c r="W1356" s="0" t="n">
        <f aca="false">H1356*H1356</f>
        <v>0.5625</v>
      </c>
      <c r="X1356" s="0" t="n">
        <f aca="false">SUMPRODUCT(I1356:W1356,_XtX!$B$96:$P$96)</f>
        <v>44.681208881579</v>
      </c>
      <c r="Y1356" s="0" t="n">
        <f aca="false">SUMPRODUCT(MMULT(I1356:W1356,_XtX!$B$78:$P$92),I1356:W1356)</f>
        <v>0.265632138614766</v>
      </c>
      <c r="Z1356" s="0" t="n">
        <f aca="false">04_回帰ANOVA!$K$19*04_回帰ANOVA!$K$14*SQRT(1+Y1356)</f>
        <v>1.46639894654257</v>
      </c>
      <c r="AA1356" s="0" t="n">
        <f aca="false">X1356-Z1356</f>
        <v>43.2148099350364</v>
      </c>
      <c r="AB1356" s="0" t="n">
        <f aca="false">X1356+Z1356</f>
        <v>46.1476078281215</v>
      </c>
      <c r="AC1356" s="54" t="b">
        <f aca="false">AND(E1356&gt;=01_因子設定!$L$5-0.000000001,E1356&lt;=01_因子設定!$M$5+0.000000001,F1356&gt;=01_因子設定!$L$6-0.000000001,F1356&lt;=01_因子設定!$M$6+0.000000001,G1356&gt;=01_因子設定!$L$7-0.000000001,G1356&lt;=01_因子設定!$M$7+0.000000001,H1356&gt;=01_因子設定!$L$8-0.000000001,H1356&lt;=01_因子設定!$M$8+0.000000001,IF(01_因子設定!$B$20="Box-Behnken",E1356^2+F1356^2+G1356^2+H1356^2&lt;=2+0.000000001,TRUE()))</f>
        <v>1</v>
      </c>
      <c r="AD1356" s="55" t="n">
        <f aca="false">IF(AC1356,IF(01_因子設定!$B$13="最大化",AA1356-01_因子設定!$B$14,IF(01_因子設定!$B$13="最小化",01_因子設定!$B$15-AB1356,MIN(AA1356-01_因子設定!$B$14,01_因子設定!$B$15-AB1356))),-1E+030)</f>
        <v>-3.28519006496362</v>
      </c>
      <c r="AE1356" s="55" t="n">
        <f aca="false">IF(AC1356,IF(01_因子設定!$B$13="最大化",X1356,IF(01_因子設定!$B$13="最小化",-X1356,-ABS(X1356-01_因子設定!$B$16))),-1E+030)</f>
        <v>44.681208881579</v>
      </c>
      <c r="AF1356" s="55" t="n">
        <f aca="false">AD1356+ROW()*0.000000001</f>
        <v>-3.28518870896362</v>
      </c>
      <c r="AG1356" s="55" t="n">
        <f aca="false">AE1356+ROW()*0.000000001</f>
        <v>44.681210237579</v>
      </c>
    </row>
    <row r="1357" customFormat="false" ht="15" hidden="false" customHeight="false" outlineLevel="0" collapsed="false">
      <c r="A1357" s="0" t="n">
        <v>1</v>
      </c>
      <c r="B1357" s="0" t="n">
        <v>7</v>
      </c>
      <c r="C1357" s="0" t="n">
        <v>6</v>
      </c>
      <c r="D1357" s="0" t="n">
        <v>2</v>
      </c>
      <c r="E1357" s="0" t="n">
        <f aca="false">-1+A1357*0.25</f>
        <v>-0.75</v>
      </c>
      <c r="F1357" s="0" t="n">
        <f aca="false">-1+B1357*0.25</f>
        <v>0.75</v>
      </c>
      <c r="G1357" s="0" t="n">
        <f aca="false">-1+C1357*0.25</f>
        <v>0.5</v>
      </c>
      <c r="H1357" s="0" t="n">
        <f aca="false">-1+D1357*0.25</f>
        <v>-0.5</v>
      </c>
      <c r="I1357" s="0" t="n">
        <f aca="false">1</f>
        <v>1</v>
      </c>
      <c r="J1357" s="0" t="n">
        <f aca="false">E1357</f>
        <v>-0.75</v>
      </c>
      <c r="K1357" s="0" t="n">
        <f aca="false">F1357</f>
        <v>0.75</v>
      </c>
      <c r="L1357" s="0" t="n">
        <f aca="false">G1357</f>
        <v>0.5</v>
      </c>
      <c r="M1357" s="0" t="n">
        <f aca="false">H1357</f>
        <v>-0.5</v>
      </c>
      <c r="N1357" s="0" t="n">
        <f aca="false">E1357*F1357</f>
        <v>-0.5625</v>
      </c>
      <c r="O1357" s="0" t="n">
        <f aca="false">E1357*G1357</f>
        <v>-0.375</v>
      </c>
      <c r="P1357" s="0" t="n">
        <f aca="false">E1357*H1357</f>
        <v>0.375</v>
      </c>
      <c r="Q1357" s="0" t="n">
        <f aca="false">F1357*G1357</f>
        <v>0.375</v>
      </c>
      <c r="R1357" s="0" t="n">
        <f aca="false">F1357*H1357</f>
        <v>-0.375</v>
      </c>
      <c r="S1357" s="0" t="n">
        <f aca="false">G1357*H1357</f>
        <v>-0.25</v>
      </c>
      <c r="T1357" s="0" t="n">
        <f aca="false">E1357*E1357</f>
        <v>0.5625</v>
      </c>
      <c r="U1357" s="0" t="n">
        <f aca="false">F1357*F1357</f>
        <v>0.5625</v>
      </c>
      <c r="V1357" s="0" t="n">
        <f aca="false">G1357*G1357</f>
        <v>0.25</v>
      </c>
      <c r="W1357" s="0" t="n">
        <f aca="false">H1357*H1357</f>
        <v>0.25</v>
      </c>
      <c r="X1357" s="0" t="n">
        <f aca="false">SUMPRODUCT(I1357:W1357,_XtX!$B$96:$P$96)</f>
        <v>44.8747715643275</v>
      </c>
      <c r="Y1357" s="0" t="n">
        <f aca="false">SUMPRODUCT(MMULT(I1357:W1357,_XtX!$B$78:$P$92),I1357:W1357)</f>
        <v>0.237862927174708</v>
      </c>
      <c r="Z1357" s="0" t="n">
        <f aca="false">04_回帰ANOVA!$K$19*04_回帰ANOVA!$K$14*SQRT(1+Y1357)</f>
        <v>1.45022260708756</v>
      </c>
      <c r="AA1357" s="0" t="n">
        <f aca="false">X1357-Z1357</f>
        <v>43.4245489572399</v>
      </c>
      <c r="AB1357" s="0" t="n">
        <f aca="false">X1357+Z1357</f>
        <v>46.324994171415</v>
      </c>
      <c r="AC1357" s="54" t="b">
        <f aca="false">AND(E1357&gt;=01_因子設定!$L$5-0.000000001,E1357&lt;=01_因子設定!$M$5+0.000000001,F1357&gt;=01_因子設定!$L$6-0.000000001,F1357&lt;=01_因子設定!$M$6+0.000000001,G1357&gt;=01_因子設定!$L$7-0.000000001,G1357&lt;=01_因子設定!$M$7+0.000000001,H1357&gt;=01_因子設定!$L$8-0.000000001,H1357&lt;=01_因子設定!$M$8+0.000000001,IF(01_因子設定!$B$20="Box-Behnken",E1357^2+F1357^2+G1357^2+H1357^2&lt;=2+0.000000001,TRUE()))</f>
        <v>1</v>
      </c>
      <c r="AD1357" s="55" t="n">
        <f aca="false">IF(AC1357,IF(01_因子設定!$B$13="最大化",AA1357-01_因子設定!$B$14,IF(01_因子設定!$B$13="最小化",01_因子設定!$B$15-AB1357,MIN(AA1357-01_因子設定!$B$14,01_因子設定!$B$15-AB1357))),-1E+030)</f>
        <v>-3.07545104276008</v>
      </c>
      <c r="AE1357" s="55" t="n">
        <f aca="false">IF(AC1357,IF(01_因子設定!$B$13="最大化",X1357,IF(01_因子設定!$B$13="最小化",-X1357,-ABS(X1357-01_因子設定!$B$16))),-1E+030)</f>
        <v>44.8747715643275</v>
      </c>
      <c r="AF1357" s="55" t="n">
        <f aca="false">AD1357+ROW()*0.000000001</f>
        <v>-3.07544968576008</v>
      </c>
      <c r="AG1357" s="55" t="n">
        <f aca="false">AE1357+ROW()*0.000000001</f>
        <v>44.8747729213275</v>
      </c>
    </row>
    <row r="1358" customFormat="false" ht="15" hidden="false" customHeight="false" outlineLevel="0" collapsed="false">
      <c r="A1358" s="0" t="n">
        <v>1</v>
      </c>
      <c r="B1358" s="0" t="n">
        <v>7</v>
      </c>
      <c r="C1358" s="0" t="n">
        <v>6</v>
      </c>
      <c r="D1358" s="0" t="n">
        <v>3</v>
      </c>
      <c r="E1358" s="0" t="n">
        <f aca="false">-1+A1358*0.25</f>
        <v>-0.75</v>
      </c>
      <c r="F1358" s="0" t="n">
        <f aca="false">-1+B1358*0.25</f>
        <v>0.75</v>
      </c>
      <c r="G1358" s="0" t="n">
        <f aca="false">-1+C1358*0.25</f>
        <v>0.5</v>
      </c>
      <c r="H1358" s="0" t="n">
        <f aca="false">-1+D1358*0.25</f>
        <v>-0.25</v>
      </c>
      <c r="I1358" s="0" t="n">
        <f aca="false">1</f>
        <v>1</v>
      </c>
      <c r="J1358" s="0" t="n">
        <f aca="false">E1358</f>
        <v>-0.75</v>
      </c>
      <c r="K1358" s="0" t="n">
        <f aca="false">F1358</f>
        <v>0.75</v>
      </c>
      <c r="L1358" s="0" t="n">
        <f aca="false">G1358</f>
        <v>0.5</v>
      </c>
      <c r="M1358" s="0" t="n">
        <f aca="false">H1358</f>
        <v>-0.25</v>
      </c>
      <c r="N1358" s="0" t="n">
        <f aca="false">E1358*F1358</f>
        <v>-0.5625</v>
      </c>
      <c r="O1358" s="0" t="n">
        <f aca="false">E1358*G1358</f>
        <v>-0.375</v>
      </c>
      <c r="P1358" s="0" t="n">
        <f aca="false">E1358*H1358</f>
        <v>0.1875</v>
      </c>
      <c r="Q1358" s="0" t="n">
        <f aca="false">F1358*G1358</f>
        <v>0.375</v>
      </c>
      <c r="R1358" s="0" t="n">
        <f aca="false">F1358*H1358</f>
        <v>-0.1875</v>
      </c>
      <c r="S1358" s="0" t="n">
        <f aca="false">G1358*H1358</f>
        <v>-0.125</v>
      </c>
      <c r="T1358" s="0" t="n">
        <f aca="false">E1358*E1358</f>
        <v>0.5625</v>
      </c>
      <c r="U1358" s="0" t="n">
        <f aca="false">F1358*F1358</f>
        <v>0.5625</v>
      </c>
      <c r="V1358" s="0" t="n">
        <f aca="false">G1358*G1358</f>
        <v>0.25</v>
      </c>
      <c r="W1358" s="0" t="n">
        <f aca="false">H1358*H1358</f>
        <v>0.0625</v>
      </c>
      <c r="X1358" s="0" t="n">
        <f aca="false">SUMPRODUCT(I1358:W1358,_XtX!$B$96:$P$96)</f>
        <v>45.0205272295322</v>
      </c>
      <c r="Y1358" s="0" t="n">
        <f aca="false">SUMPRODUCT(MMULT(I1358:W1358,_XtX!$B$78:$P$92),I1358:W1358)</f>
        <v>0.257385610836988</v>
      </c>
      <c r="Z1358" s="0" t="n">
        <f aca="false">04_回帰ANOVA!$K$19*04_回帰ANOVA!$K$14*SQRT(1+Y1358)</f>
        <v>1.46161380324158</v>
      </c>
      <c r="AA1358" s="0" t="n">
        <f aca="false">X1358-Z1358</f>
        <v>43.5589134262906</v>
      </c>
      <c r="AB1358" s="0" t="n">
        <f aca="false">X1358+Z1358</f>
        <v>46.4821410327737</v>
      </c>
      <c r="AC1358" s="54" t="b">
        <f aca="false">AND(E1358&gt;=01_因子設定!$L$5-0.000000001,E1358&lt;=01_因子設定!$M$5+0.000000001,F1358&gt;=01_因子設定!$L$6-0.000000001,F1358&lt;=01_因子設定!$M$6+0.000000001,G1358&gt;=01_因子設定!$L$7-0.000000001,G1358&lt;=01_因子設定!$M$7+0.000000001,H1358&gt;=01_因子設定!$L$8-0.000000001,H1358&lt;=01_因子設定!$M$8+0.000000001,IF(01_因子設定!$B$20="Box-Behnken",E1358^2+F1358^2+G1358^2+H1358^2&lt;=2+0.000000001,TRUE()))</f>
        <v>1</v>
      </c>
      <c r="AD1358" s="55" t="n">
        <f aca="false">IF(AC1358,IF(01_因子設定!$B$13="最大化",AA1358-01_因子設定!$B$14,IF(01_因子設定!$B$13="最小化",01_因子設定!$B$15-AB1358,MIN(AA1358-01_因子設定!$B$14,01_因子設定!$B$15-AB1358))),-1E+030)</f>
        <v>-2.94108657370943</v>
      </c>
      <c r="AE1358" s="55" t="n">
        <f aca="false">IF(AC1358,IF(01_因子設定!$B$13="最大化",X1358,IF(01_因子設定!$B$13="最小化",-X1358,-ABS(X1358-01_因子設定!$B$16))),-1E+030)</f>
        <v>45.0205272295322</v>
      </c>
      <c r="AF1358" s="55" t="n">
        <f aca="false">AD1358+ROW()*0.000000001</f>
        <v>-2.94108521570943</v>
      </c>
      <c r="AG1358" s="55" t="n">
        <f aca="false">AE1358+ROW()*0.000000001</f>
        <v>45.0205285875322</v>
      </c>
    </row>
    <row r="1359" customFormat="false" ht="15" hidden="false" customHeight="false" outlineLevel="0" collapsed="false">
      <c r="A1359" s="0" t="n">
        <v>1</v>
      </c>
      <c r="B1359" s="0" t="n">
        <v>7</v>
      </c>
      <c r="C1359" s="0" t="n">
        <v>6</v>
      </c>
      <c r="D1359" s="0" t="n">
        <v>4</v>
      </c>
      <c r="E1359" s="0" t="n">
        <f aca="false">-1+A1359*0.25</f>
        <v>-0.75</v>
      </c>
      <c r="F1359" s="0" t="n">
        <f aca="false">-1+B1359*0.25</f>
        <v>0.75</v>
      </c>
      <c r="G1359" s="0" t="n">
        <f aca="false">-1+C1359*0.25</f>
        <v>0.5</v>
      </c>
      <c r="H1359" s="0" t="n">
        <f aca="false">-1+D1359*0.25</f>
        <v>0</v>
      </c>
      <c r="I1359" s="0" t="n">
        <f aca="false">1</f>
        <v>1</v>
      </c>
      <c r="J1359" s="0" t="n">
        <f aca="false">E1359</f>
        <v>-0.75</v>
      </c>
      <c r="K1359" s="0" t="n">
        <f aca="false">F1359</f>
        <v>0.75</v>
      </c>
      <c r="L1359" s="0" t="n">
        <f aca="false">G1359</f>
        <v>0.5</v>
      </c>
      <c r="M1359" s="0" t="n">
        <f aca="false">H1359</f>
        <v>0</v>
      </c>
      <c r="N1359" s="0" t="n">
        <f aca="false">E1359*F1359</f>
        <v>-0.5625</v>
      </c>
      <c r="O1359" s="0" t="n">
        <f aca="false">E1359*G1359</f>
        <v>-0.375</v>
      </c>
      <c r="P1359" s="0" t="n">
        <f aca="false">E1359*H1359</f>
        <v>-0</v>
      </c>
      <c r="Q1359" s="0" t="n">
        <f aca="false">F1359*G1359</f>
        <v>0.375</v>
      </c>
      <c r="R1359" s="0" t="n">
        <f aca="false">F1359*H1359</f>
        <v>0</v>
      </c>
      <c r="S1359" s="0" t="n">
        <f aca="false">G1359*H1359</f>
        <v>0</v>
      </c>
      <c r="T1359" s="0" t="n">
        <f aca="false">E1359*E1359</f>
        <v>0.5625</v>
      </c>
      <c r="U1359" s="0" t="n">
        <f aca="false">F1359*F1359</f>
        <v>0.5625</v>
      </c>
      <c r="V1359" s="0" t="n">
        <f aca="false">G1359*G1359</f>
        <v>0.25</v>
      </c>
      <c r="W1359" s="0" t="n">
        <f aca="false">H1359*H1359</f>
        <v>0</v>
      </c>
      <c r="X1359" s="0" t="n">
        <f aca="false">SUMPRODUCT(I1359:W1359,_XtX!$B$96:$P$96)</f>
        <v>45.118475877193</v>
      </c>
      <c r="Y1359" s="0" t="n">
        <f aca="false">SUMPRODUCT(MMULT(I1359:W1359,_XtX!$B$78:$P$92),I1359:W1359)</f>
        <v>0.269923873812135</v>
      </c>
      <c r="Z1359" s="0" t="n">
        <f aca="false">04_回帰ANOVA!$K$19*04_回帰ANOVA!$K$14*SQRT(1+Y1359)</f>
        <v>1.46888310825501</v>
      </c>
      <c r="AA1359" s="0" t="n">
        <f aca="false">X1359-Z1359</f>
        <v>43.649592768938</v>
      </c>
      <c r="AB1359" s="0" t="n">
        <f aca="false">X1359+Z1359</f>
        <v>46.587358985448</v>
      </c>
      <c r="AC1359" s="54" t="b">
        <f aca="false">AND(E1359&gt;=01_因子設定!$L$5-0.000000001,E1359&lt;=01_因子設定!$M$5+0.000000001,F1359&gt;=01_因子設定!$L$6-0.000000001,F1359&lt;=01_因子設定!$M$6+0.000000001,G1359&gt;=01_因子設定!$L$7-0.000000001,G1359&lt;=01_因子設定!$M$7+0.000000001,H1359&gt;=01_因子設定!$L$8-0.000000001,H1359&lt;=01_因子設定!$M$8+0.000000001,IF(01_因子設定!$B$20="Box-Behnken",E1359^2+F1359^2+G1359^2+H1359^2&lt;=2+0.000000001,TRUE()))</f>
        <v>1</v>
      </c>
      <c r="AD1359" s="55" t="n">
        <f aca="false">IF(AC1359,IF(01_因子設定!$B$13="最大化",AA1359-01_因子設定!$B$14,IF(01_因子設定!$B$13="最小化",01_因子設定!$B$15-AB1359,MIN(AA1359-01_因子設定!$B$14,01_因子設定!$B$15-AB1359))),-1E+030)</f>
        <v>-2.85040723106204</v>
      </c>
      <c r="AE1359" s="55" t="n">
        <f aca="false">IF(AC1359,IF(01_因子設定!$B$13="最大化",X1359,IF(01_因子設定!$B$13="最小化",-X1359,-ABS(X1359-01_因子設定!$B$16))),-1E+030)</f>
        <v>45.118475877193</v>
      </c>
      <c r="AF1359" s="55" t="n">
        <f aca="false">AD1359+ROW()*0.000000001</f>
        <v>-2.85040587206204</v>
      </c>
      <c r="AG1359" s="55" t="n">
        <f aca="false">AE1359+ROW()*0.000000001</f>
        <v>45.118477236193</v>
      </c>
    </row>
    <row r="1360" customFormat="false" ht="15" hidden="false" customHeight="false" outlineLevel="0" collapsed="false">
      <c r="A1360" s="0" t="n">
        <v>1</v>
      </c>
      <c r="B1360" s="0" t="n">
        <v>7</v>
      </c>
      <c r="C1360" s="0" t="n">
        <v>6</v>
      </c>
      <c r="D1360" s="0" t="n">
        <v>5</v>
      </c>
      <c r="E1360" s="0" t="n">
        <f aca="false">-1+A1360*0.25</f>
        <v>-0.75</v>
      </c>
      <c r="F1360" s="0" t="n">
        <f aca="false">-1+B1360*0.25</f>
        <v>0.75</v>
      </c>
      <c r="G1360" s="0" t="n">
        <f aca="false">-1+C1360*0.25</f>
        <v>0.5</v>
      </c>
      <c r="H1360" s="0" t="n">
        <f aca="false">-1+D1360*0.25</f>
        <v>0.25</v>
      </c>
      <c r="I1360" s="0" t="n">
        <f aca="false">1</f>
        <v>1</v>
      </c>
      <c r="J1360" s="0" t="n">
        <f aca="false">E1360</f>
        <v>-0.75</v>
      </c>
      <c r="K1360" s="0" t="n">
        <f aca="false">F1360</f>
        <v>0.75</v>
      </c>
      <c r="L1360" s="0" t="n">
        <f aca="false">G1360</f>
        <v>0.5</v>
      </c>
      <c r="M1360" s="0" t="n">
        <f aca="false">H1360</f>
        <v>0.25</v>
      </c>
      <c r="N1360" s="0" t="n">
        <f aca="false">E1360*F1360</f>
        <v>-0.5625</v>
      </c>
      <c r="O1360" s="0" t="n">
        <f aca="false">E1360*G1360</f>
        <v>-0.375</v>
      </c>
      <c r="P1360" s="0" t="n">
        <f aca="false">E1360*H1360</f>
        <v>-0.1875</v>
      </c>
      <c r="Q1360" s="0" t="n">
        <f aca="false">F1360*G1360</f>
        <v>0.375</v>
      </c>
      <c r="R1360" s="0" t="n">
        <f aca="false">F1360*H1360</f>
        <v>0.1875</v>
      </c>
      <c r="S1360" s="0" t="n">
        <f aca="false">G1360*H1360</f>
        <v>0.125</v>
      </c>
      <c r="T1360" s="0" t="n">
        <f aca="false">E1360*E1360</f>
        <v>0.5625</v>
      </c>
      <c r="U1360" s="0" t="n">
        <f aca="false">F1360*F1360</f>
        <v>0.5625</v>
      </c>
      <c r="V1360" s="0" t="n">
        <f aca="false">G1360*G1360</f>
        <v>0.25</v>
      </c>
      <c r="W1360" s="0" t="n">
        <f aca="false">H1360*H1360</f>
        <v>0.0625</v>
      </c>
      <c r="X1360" s="0" t="n">
        <f aca="false">SUMPRODUCT(I1360:W1360,_XtX!$B$96:$P$96)</f>
        <v>45.1686175073099</v>
      </c>
      <c r="Y1360" s="0" t="n">
        <f aca="false">SUMPRODUCT(MMULT(I1360:W1360,_XtX!$B$78:$P$92),I1360:W1360)</f>
        <v>0.257385610836988</v>
      </c>
      <c r="Z1360" s="0" t="n">
        <f aca="false">04_回帰ANOVA!$K$19*04_回帰ANOVA!$K$14*SQRT(1+Y1360)</f>
        <v>1.46161380324158</v>
      </c>
      <c r="AA1360" s="0" t="n">
        <f aca="false">X1360-Z1360</f>
        <v>43.7070037040684</v>
      </c>
      <c r="AB1360" s="0" t="n">
        <f aca="false">X1360+Z1360</f>
        <v>46.6302313105515</v>
      </c>
      <c r="AC1360" s="54" t="b">
        <f aca="false">AND(E1360&gt;=01_因子設定!$L$5-0.000000001,E1360&lt;=01_因子設定!$M$5+0.000000001,F1360&gt;=01_因子設定!$L$6-0.000000001,F1360&lt;=01_因子設定!$M$6+0.000000001,G1360&gt;=01_因子設定!$L$7-0.000000001,G1360&lt;=01_因子設定!$M$7+0.000000001,H1360&gt;=01_因子設定!$L$8-0.000000001,H1360&lt;=01_因子設定!$M$8+0.000000001,IF(01_因子設定!$B$20="Box-Behnken",E1360^2+F1360^2+G1360^2+H1360^2&lt;=2+0.000000001,TRUE()))</f>
        <v>1</v>
      </c>
      <c r="AD1360" s="55" t="n">
        <f aca="false">IF(AC1360,IF(01_因子設定!$B$13="最大化",AA1360-01_因子設定!$B$14,IF(01_因子設定!$B$13="最小化",01_因子設定!$B$15-AB1360,MIN(AA1360-01_因子設定!$B$14,01_因子設定!$B$15-AB1360))),-1E+030)</f>
        <v>-2.79299629593165</v>
      </c>
      <c r="AE1360" s="55" t="n">
        <f aca="false">IF(AC1360,IF(01_因子設定!$B$13="最大化",X1360,IF(01_因子設定!$B$13="最小化",-X1360,-ABS(X1360-01_因子設定!$B$16))),-1E+030)</f>
        <v>45.1686175073099</v>
      </c>
      <c r="AF1360" s="55" t="n">
        <f aca="false">AD1360+ROW()*0.000000001</f>
        <v>-2.79299493593165</v>
      </c>
      <c r="AG1360" s="55" t="n">
        <f aca="false">AE1360+ROW()*0.000000001</f>
        <v>45.1686188673099</v>
      </c>
    </row>
    <row r="1361" customFormat="false" ht="15" hidden="false" customHeight="false" outlineLevel="0" collapsed="false">
      <c r="A1361" s="0" t="n">
        <v>1</v>
      </c>
      <c r="B1361" s="0" t="n">
        <v>7</v>
      </c>
      <c r="C1361" s="0" t="n">
        <v>6</v>
      </c>
      <c r="D1361" s="0" t="n">
        <v>6</v>
      </c>
      <c r="E1361" s="0" t="n">
        <f aca="false">-1+A1361*0.25</f>
        <v>-0.75</v>
      </c>
      <c r="F1361" s="0" t="n">
        <f aca="false">-1+B1361*0.25</f>
        <v>0.75</v>
      </c>
      <c r="G1361" s="0" t="n">
        <f aca="false">-1+C1361*0.25</f>
        <v>0.5</v>
      </c>
      <c r="H1361" s="0" t="n">
        <f aca="false">-1+D1361*0.25</f>
        <v>0.5</v>
      </c>
      <c r="I1361" s="0" t="n">
        <f aca="false">1</f>
        <v>1</v>
      </c>
      <c r="J1361" s="0" t="n">
        <f aca="false">E1361</f>
        <v>-0.75</v>
      </c>
      <c r="K1361" s="0" t="n">
        <f aca="false">F1361</f>
        <v>0.75</v>
      </c>
      <c r="L1361" s="0" t="n">
        <f aca="false">G1361</f>
        <v>0.5</v>
      </c>
      <c r="M1361" s="0" t="n">
        <f aca="false">H1361</f>
        <v>0.5</v>
      </c>
      <c r="N1361" s="0" t="n">
        <f aca="false">E1361*F1361</f>
        <v>-0.5625</v>
      </c>
      <c r="O1361" s="0" t="n">
        <f aca="false">E1361*G1361</f>
        <v>-0.375</v>
      </c>
      <c r="P1361" s="0" t="n">
        <f aca="false">E1361*H1361</f>
        <v>-0.375</v>
      </c>
      <c r="Q1361" s="0" t="n">
        <f aca="false">F1361*G1361</f>
        <v>0.375</v>
      </c>
      <c r="R1361" s="0" t="n">
        <f aca="false">F1361*H1361</f>
        <v>0.375</v>
      </c>
      <c r="S1361" s="0" t="n">
        <f aca="false">G1361*H1361</f>
        <v>0.25</v>
      </c>
      <c r="T1361" s="0" t="n">
        <f aca="false">E1361*E1361</f>
        <v>0.5625</v>
      </c>
      <c r="U1361" s="0" t="n">
        <f aca="false">F1361*F1361</f>
        <v>0.5625</v>
      </c>
      <c r="V1361" s="0" t="n">
        <f aca="false">G1361*G1361</f>
        <v>0.25</v>
      </c>
      <c r="W1361" s="0" t="n">
        <f aca="false">H1361*H1361</f>
        <v>0.25</v>
      </c>
      <c r="X1361" s="0" t="n">
        <f aca="false">SUMPRODUCT(I1361:W1361,_XtX!$B$96:$P$96)</f>
        <v>45.170952119883</v>
      </c>
      <c r="Y1361" s="0" t="n">
        <f aca="false">SUMPRODUCT(MMULT(I1361:W1361,_XtX!$B$78:$P$92),I1361:W1361)</f>
        <v>0.237862927174708</v>
      </c>
      <c r="Z1361" s="0" t="n">
        <f aca="false">04_回帰ANOVA!$K$19*04_回帰ANOVA!$K$14*SQRT(1+Y1361)</f>
        <v>1.45022260708756</v>
      </c>
      <c r="AA1361" s="0" t="n">
        <f aca="false">X1361-Z1361</f>
        <v>43.7207295127955</v>
      </c>
      <c r="AB1361" s="0" t="n">
        <f aca="false">X1361+Z1361</f>
        <v>46.6211747269706</v>
      </c>
      <c r="AC1361" s="54" t="b">
        <f aca="false">AND(E1361&gt;=01_因子設定!$L$5-0.000000001,E1361&lt;=01_因子設定!$M$5+0.000000001,F1361&gt;=01_因子設定!$L$6-0.000000001,F1361&lt;=01_因子設定!$M$6+0.000000001,G1361&gt;=01_因子設定!$L$7-0.000000001,G1361&lt;=01_因子設定!$M$7+0.000000001,H1361&gt;=01_因子設定!$L$8-0.000000001,H1361&lt;=01_因子設定!$M$8+0.000000001,IF(01_因子設定!$B$20="Box-Behnken",E1361^2+F1361^2+G1361^2+H1361^2&lt;=2+0.000000001,TRUE()))</f>
        <v>1</v>
      </c>
      <c r="AD1361" s="55" t="n">
        <f aca="false">IF(AC1361,IF(01_因子設定!$B$13="最大化",AA1361-01_因子設定!$B$14,IF(01_因子設定!$B$13="最小化",01_因子設定!$B$15-AB1361,MIN(AA1361-01_因子設定!$B$14,01_因子設定!$B$15-AB1361))),-1E+030)</f>
        <v>-2.77927048720453</v>
      </c>
      <c r="AE1361" s="55" t="n">
        <f aca="false">IF(AC1361,IF(01_因子設定!$B$13="最大化",X1361,IF(01_因子設定!$B$13="最小化",-X1361,-ABS(X1361-01_因子設定!$B$16))),-1E+030)</f>
        <v>45.170952119883</v>
      </c>
      <c r="AF1361" s="55" t="n">
        <f aca="false">AD1361+ROW()*0.000000001</f>
        <v>-2.77926912620453</v>
      </c>
      <c r="AG1361" s="55" t="n">
        <f aca="false">AE1361+ROW()*0.000000001</f>
        <v>45.170953480883</v>
      </c>
    </row>
    <row r="1362" customFormat="false" ht="15" hidden="false" customHeight="false" outlineLevel="0" collapsed="false">
      <c r="A1362" s="0" t="n">
        <v>1</v>
      </c>
      <c r="B1362" s="0" t="n">
        <v>7</v>
      </c>
      <c r="C1362" s="0" t="n">
        <v>6</v>
      </c>
      <c r="D1362" s="0" t="n">
        <v>7</v>
      </c>
      <c r="E1362" s="0" t="n">
        <f aca="false">-1+A1362*0.25</f>
        <v>-0.75</v>
      </c>
      <c r="F1362" s="0" t="n">
        <f aca="false">-1+B1362*0.25</f>
        <v>0.75</v>
      </c>
      <c r="G1362" s="0" t="n">
        <f aca="false">-1+C1362*0.25</f>
        <v>0.5</v>
      </c>
      <c r="H1362" s="0" t="n">
        <f aca="false">-1+D1362*0.25</f>
        <v>0.75</v>
      </c>
      <c r="I1362" s="0" t="n">
        <f aca="false">1</f>
        <v>1</v>
      </c>
      <c r="J1362" s="0" t="n">
        <f aca="false">E1362</f>
        <v>-0.75</v>
      </c>
      <c r="K1362" s="0" t="n">
        <f aca="false">F1362</f>
        <v>0.75</v>
      </c>
      <c r="L1362" s="0" t="n">
        <f aca="false">G1362</f>
        <v>0.5</v>
      </c>
      <c r="M1362" s="0" t="n">
        <f aca="false">H1362</f>
        <v>0.75</v>
      </c>
      <c r="N1362" s="0" t="n">
        <f aca="false">E1362*F1362</f>
        <v>-0.5625</v>
      </c>
      <c r="O1362" s="0" t="n">
        <f aca="false">E1362*G1362</f>
        <v>-0.375</v>
      </c>
      <c r="P1362" s="0" t="n">
        <f aca="false">E1362*H1362</f>
        <v>-0.5625</v>
      </c>
      <c r="Q1362" s="0" t="n">
        <f aca="false">F1362*G1362</f>
        <v>0.375</v>
      </c>
      <c r="R1362" s="0" t="n">
        <f aca="false">F1362*H1362</f>
        <v>0.5625</v>
      </c>
      <c r="S1362" s="0" t="n">
        <f aca="false">G1362*H1362</f>
        <v>0.375</v>
      </c>
      <c r="T1362" s="0" t="n">
        <f aca="false">E1362*E1362</f>
        <v>0.5625</v>
      </c>
      <c r="U1362" s="0" t="n">
        <f aca="false">F1362*F1362</f>
        <v>0.5625</v>
      </c>
      <c r="V1362" s="0" t="n">
        <f aca="false">G1362*G1362</f>
        <v>0.25</v>
      </c>
      <c r="W1362" s="0" t="n">
        <f aca="false">H1362*H1362</f>
        <v>0.5625</v>
      </c>
      <c r="X1362" s="0" t="n">
        <f aca="false">SUMPRODUCT(I1362:W1362,_XtX!$B$96:$P$96)</f>
        <v>45.1254797149123</v>
      </c>
      <c r="Y1362" s="0" t="n">
        <f aca="false">SUMPRODUCT(MMULT(I1362:W1362,_XtX!$B$78:$P$92),I1362:W1362)</f>
        <v>0.265632138614766</v>
      </c>
      <c r="Z1362" s="0" t="n">
        <f aca="false">04_回帰ANOVA!$K$19*04_回帰ANOVA!$K$14*SQRT(1+Y1362)</f>
        <v>1.46639894654257</v>
      </c>
      <c r="AA1362" s="0" t="n">
        <f aca="false">X1362-Z1362</f>
        <v>43.6590807683697</v>
      </c>
      <c r="AB1362" s="0" t="n">
        <f aca="false">X1362+Z1362</f>
        <v>46.5918786614549</v>
      </c>
      <c r="AC1362" s="54" t="b">
        <f aca="false">AND(E1362&gt;=01_因子設定!$L$5-0.000000001,E1362&lt;=01_因子設定!$M$5+0.000000001,F1362&gt;=01_因子設定!$L$6-0.000000001,F1362&lt;=01_因子設定!$M$6+0.000000001,G1362&gt;=01_因子設定!$L$7-0.000000001,G1362&lt;=01_因子設定!$M$7+0.000000001,H1362&gt;=01_因子設定!$L$8-0.000000001,H1362&lt;=01_因子設定!$M$8+0.000000001,IF(01_因子設定!$B$20="Box-Behnken",E1362^2+F1362^2+G1362^2+H1362^2&lt;=2+0.000000001,TRUE()))</f>
        <v>1</v>
      </c>
      <c r="AD1362" s="55" t="n">
        <f aca="false">IF(AC1362,IF(01_因子設定!$B$13="最大化",AA1362-01_因子設定!$B$14,IF(01_因子設定!$B$13="最小化",01_因子設定!$B$15-AB1362,MIN(AA1362-01_因子設定!$B$14,01_因子設定!$B$15-AB1362))),-1E+030)</f>
        <v>-2.84091923163029</v>
      </c>
      <c r="AE1362" s="55" t="n">
        <f aca="false">IF(AC1362,IF(01_因子設定!$B$13="最大化",X1362,IF(01_因子設定!$B$13="最小化",-X1362,-ABS(X1362-01_因子設定!$B$16))),-1E+030)</f>
        <v>45.1254797149123</v>
      </c>
      <c r="AF1362" s="55" t="n">
        <f aca="false">AD1362+ROW()*0.000000001</f>
        <v>-2.84091786963029</v>
      </c>
      <c r="AG1362" s="55" t="n">
        <f aca="false">AE1362+ROW()*0.000000001</f>
        <v>45.1254810769123</v>
      </c>
    </row>
    <row r="1363" customFormat="false" ht="15" hidden="false" customHeight="false" outlineLevel="0" collapsed="false">
      <c r="A1363" s="0" t="n">
        <v>1</v>
      </c>
      <c r="B1363" s="0" t="n">
        <v>7</v>
      </c>
      <c r="C1363" s="0" t="n">
        <v>6</v>
      </c>
      <c r="D1363" s="0" t="n">
        <v>8</v>
      </c>
      <c r="E1363" s="0" t="n">
        <f aca="false">-1+A1363*0.25</f>
        <v>-0.75</v>
      </c>
      <c r="F1363" s="0" t="n">
        <f aca="false">-1+B1363*0.25</f>
        <v>0.75</v>
      </c>
      <c r="G1363" s="0" t="n">
        <f aca="false">-1+C1363*0.25</f>
        <v>0.5</v>
      </c>
      <c r="H1363" s="0" t="n">
        <f aca="false">-1+D1363*0.25</f>
        <v>1</v>
      </c>
      <c r="I1363" s="0" t="n">
        <f aca="false">1</f>
        <v>1</v>
      </c>
      <c r="J1363" s="0" t="n">
        <f aca="false">E1363</f>
        <v>-0.75</v>
      </c>
      <c r="K1363" s="0" t="n">
        <f aca="false">F1363</f>
        <v>0.75</v>
      </c>
      <c r="L1363" s="0" t="n">
        <f aca="false">G1363</f>
        <v>0.5</v>
      </c>
      <c r="M1363" s="0" t="n">
        <f aca="false">H1363</f>
        <v>1</v>
      </c>
      <c r="N1363" s="0" t="n">
        <f aca="false">E1363*F1363</f>
        <v>-0.5625</v>
      </c>
      <c r="O1363" s="0" t="n">
        <f aca="false">E1363*G1363</f>
        <v>-0.375</v>
      </c>
      <c r="P1363" s="0" t="n">
        <f aca="false">E1363*H1363</f>
        <v>-0.75</v>
      </c>
      <c r="Q1363" s="0" t="n">
        <f aca="false">F1363*G1363</f>
        <v>0.375</v>
      </c>
      <c r="R1363" s="0" t="n">
        <f aca="false">F1363*H1363</f>
        <v>0.75</v>
      </c>
      <c r="S1363" s="0" t="n">
        <f aca="false">G1363*H1363</f>
        <v>0.5</v>
      </c>
      <c r="T1363" s="0" t="n">
        <f aca="false">E1363*E1363</f>
        <v>0.5625</v>
      </c>
      <c r="U1363" s="0" t="n">
        <f aca="false">F1363*F1363</f>
        <v>0.5625</v>
      </c>
      <c r="V1363" s="0" t="n">
        <f aca="false">G1363*G1363</f>
        <v>0.25</v>
      </c>
      <c r="W1363" s="0" t="n">
        <f aca="false">H1363*H1363</f>
        <v>1</v>
      </c>
      <c r="X1363" s="0" t="n">
        <f aca="false">SUMPRODUCT(I1363:W1363,_XtX!$B$96:$P$96)</f>
        <v>45.0322002923977</v>
      </c>
      <c r="Y1363" s="0" t="n">
        <f aca="false">SUMPRODUCT(MMULT(I1363:W1363,_XtX!$B$78:$P$92),I1363:W1363)</f>
        <v>0.431153771472953</v>
      </c>
      <c r="Z1363" s="0" t="n">
        <f aca="false">04_回帰ANOVA!$K$19*04_回帰ANOVA!$K$14*SQRT(1+Y1363)</f>
        <v>1.55934259562563</v>
      </c>
      <c r="AA1363" s="0" t="n">
        <f aca="false">X1363-Z1363</f>
        <v>43.4728576967721</v>
      </c>
      <c r="AB1363" s="0" t="n">
        <f aca="false">X1363+Z1363</f>
        <v>46.5915428880233</v>
      </c>
      <c r="AC1363" s="54" t="b">
        <f aca="false">AND(E1363&gt;=01_因子設定!$L$5-0.000000001,E1363&lt;=01_因子設定!$M$5+0.000000001,F1363&gt;=01_因子設定!$L$6-0.000000001,F1363&lt;=01_因子設定!$M$6+0.000000001,G1363&gt;=01_因子設定!$L$7-0.000000001,G1363&lt;=01_因子設定!$M$7+0.000000001,H1363&gt;=01_因子設定!$L$8-0.000000001,H1363&lt;=01_因子設定!$M$8+0.000000001,IF(01_因子設定!$B$20="Box-Behnken",E1363^2+F1363^2+G1363^2+H1363^2&lt;=2+0.000000001,TRUE()))</f>
        <v>1</v>
      </c>
      <c r="AD1363" s="55" t="n">
        <f aca="false">IF(AC1363,IF(01_因子設定!$B$13="最大化",AA1363-01_因子設定!$B$14,IF(01_因子設定!$B$13="最小化",01_因子設定!$B$15-AB1363,MIN(AA1363-01_因子設定!$B$14,01_因子設定!$B$15-AB1363))),-1E+030)</f>
        <v>-3.02714230322795</v>
      </c>
      <c r="AE1363" s="55" t="n">
        <f aca="false">IF(AC1363,IF(01_因子設定!$B$13="最大化",X1363,IF(01_因子設定!$B$13="最小化",-X1363,-ABS(X1363-01_因子設定!$B$16))),-1E+030)</f>
        <v>45.0322002923977</v>
      </c>
      <c r="AF1363" s="55" t="n">
        <f aca="false">AD1363+ROW()*0.000000001</f>
        <v>-3.02714094022795</v>
      </c>
      <c r="AG1363" s="55" t="n">
        <f aca="false">AE1363+ROW()*0.000000001</f>
        <v>45.0322016553977</v>
      </c>
    </row>
    <row r="1364" customFormat="false" ht="15" hidden="false" customHeight="false" outlineLevel="0" collapsed="false">
      <c r="A1364" s="0" t="n">
        <v>1</v>
      </c>
      <c r="B1364" s="0" t="n">
        <v>7</v>
      </c>
      <c r="C1364" s="0" t="n">
        <v>7</v>
      </c>
      <c r="D1364" s="0" t="n">
        <v>0</v>
      </c>
      <c r="E1364" s="0" t="n">
        <f aca="false">-1+A1364*0.25</f>
        <v>-0.75</v>
      </c>
      <c r="F1364" s="0" t="n">
        <f aca="false">-1+B1364*0.25</f>
        <v>0.75</v>
      </c>
      <c r="G1364" s="0" t="n">
        <f aca="false">-1+C1364*0.25</f>
        <v>0.75</v>
      </c>
      <c r="H1364" s="0" t="n">
        <f aca="false">-1+D1364*0.25</f>
        <v>-1</v>
      </c>
      <c r="I1364" s="0" t="n">
        <f aca="false">1</f>
        <v>1</v>
      </c>
      <c r="J1364" s="0" t="n">
        <f aca="false">E1364</f>
        <v>-0.75</v>
      </c>
      <c r="K1364" s="0" t="n">
        <f aca="false">F1364</f>
        <v>0.75</v>
      </c>
      <c r="L1364" s="0" t="n">
        <f aca="false">G1364</f>
        <v>0.75</v>
      </c>
      <c r="M1364" s="0" t="n">
        <f aca="false">H1364</f>
        <v>-1</v>
      </c>
      <c r="N1364" s="0" t="n">
        <f aca="false">E1364*F1364</f>
        <v>-0.5625</v>
      </c>
      <c r="O1364" s="0" t="n">
        <f aca="false">E1364*G1364</f>
        <v>-0.5625</v>
      </c>
      <c r="P1364" s="0" t="n">
        <f aca="false">E1364*H1364</f>
        <v>0.75</v>
      </c>
      <c r="Q1364" s="0" t="n">
        <f aca="false">F1364*G1364</f>
        <v>0.5625</v>
      </c>
      <c r="R1364" s="0" t="n">
        <f aca="false">F1364*H1364</f>
        <v>-0.75</v>
      </c>
      <c r="S1364" s="0" t="n">
        <f aca="false">G1364*H1364</f>
        <v>-0.75</v>
      </c>
      <c r="T1364" s="0" t="n">
        <f aca="false">E1364*E1364</f>
        <v>0.5625</v>
      </c>
      <c r="U1364" s="0" t="n">
        <f aca="false">F1364*F1364</f>
        <v>0.5625</v>
      </c>
      <c r="V1364" s="0" t="n">
        <f aca="false">G1364*G1364</f>
        <v>0.5625</v>
      </c>
      <c r="W1364" s="0" t="n">
        <f aca="false">H1364*H1364</f>
        <v>1</v>
      </c>
      <c r="X1364" s="0" t="n">
        <f aca="false">SUMPRODUCT(I1364:W1364,_XtX!$B$96:$P$96)</f>
        <v>44.5809987207603</v>
      </c>
      <c r="Y1364" s="0" t="n">
        <f aca="false">SUMPRODUCT(MMULT(I1364:W1364,_XtX!$B$78:$P$92),I1364:W1364)</f>
        <v>0.420117473044591</v>
      </c>
      <c r="Z1364" s="0" t="n">
        <f aca="false">04_回帰ANOVA!$K$19*04_回帰ANOVA!$K$14*SQRT(1+Y1364)</f>
        <v>1.55331854827765</v>
      </c>
      <c r="AA1364" s="0" t="n">
        <f aca="false">X1364-Z1364</f>
        <v>43.0276801724826</v>
      </c>
      <c r="AB1364" s="0" t="n">
        <f aca="false">X1364+Z1364</f>
        <v>46.1343172690379</v>
      </c>
      <c r="AC1364" s="54" t="b">
        <f aca="false">AND(E1364&gt;=01_因子設定!$L$5-0.000000001,E1364&lt;=01_因子設定!$M$5+0.000000001,F1364&gt;=01_因子設定!$L$6-0.000000001,F1364&lt;=01_因子設定!$M$6+0.000000001,G1364&gt;=01_因子設定!$L$7-0.000000001,G1364&lt;=01_因子設定!$M$7+0.000000001,H1364&gt;=01_因子設定!$L$8-0.000000001,H1364&lt;=01_因子設定!$M$8+0.000000001,IF(01_因子設定!$B$20="Box-Behnken",E1364^2+F1364^2+G1364^2+H1364^2&lt;=2+0.000000001,TRUE()))</f>
        <v>1</v>
      </c>
      <c r="AD1364" s="55" t="n">
        <f aca="false">IF(AC1364,IF(01_因子設定!$B$13="最大化",AA1364-01_因子設定!$B$14,IF(01_因子設定!$B$13="最小化",01_因子設定!$B$15-AB1364,MIN(AA1364-01_因子設定!$B$14,01_因子設定!$B$15-AB1364))),-1E+030)</f>
        <v>-3.47231982751738</v>
      </c>
      <c r="AE1364" s="55" t="n">
        <f aca="false">IF(AC1364,IF(01_因子設定!$B$13="最大化",X1364,IF(01_因子設定!$B$13="最小化",-X1364,-ABS(X1364-01_因子設定!$B$16))),-1E+030)</f>
        <v>44.5809987207603</v>
      </c>
      <c r="AF1364" s="55" t="n">
        <f aca="false">AD1364+ROW()*0.000000001</f>
        <v>-3.47231846351738</v>
      </c>
      <c r="AG1364" s="55" t="n">
        <f aca="false">AE1364+ROW()*0.000000001</f>
        <v>44.5810000847603</v>
      </c>
    </row>
    <row r="1365" customFormat="false" ht="15" hidden="false" customHeight="false" outlineLevel="0" collapsed="false">
      <c r="A1365" s="0" t="n">
        <v>1</v>
      </c>
      <c r="B1365" s="0" t="n">
        <v>7</v>
      </c>
      <c r="C1365" s="0" t="n">
        <v>7</v>
      </c>
      <c r="D1365" s="0" t="n">
        <v>1</v>
      </c>
      <c r="E1365" s="0" t="n">
        <f aca="false">-1+A1365*0.25</f>
        <v>-0.75</v>
      </c>
      <c r="F1365" s="0" t="n">
        <f aca="false">-1+B1365*0.25</f>
        <v>0.75</v>
      </c>
      <c r="G1365" s="0" t="n">
        <f aca="false">-1+C1365*0.25</f>
        <v>0.75</v>
      </c>
      <c r="H1365" s="0" t="n">
        <f aca="false">-1+D1365*0.25</f>
        <v>-0.75</v>
      </c>
      <c r="I1365" s="0" t="n">
        <f aca="false">1</f>
        <v>1</v>
      </c>
      <c r="J1365" s="0" t="n">
        <f aca="false">E1365</f>
        <v>-0.75</v>
      </c>
      <c r="K1365" s="0" t="n">
        <f aca="false">F1365</f>
        <v>0.75</v>
      </c>
      <c r="L1365" s="0" t="n">
        <f aca="false">G1365</f>
        <v>0.75</v>
      </c>
      <c r="M1365" s="0" t="n">
        <f aca="false">H1365</f>
        <v>-0.75</v>
      </c>
      <c r="N1365" s="0" t="n">
        <f aca="false">E1365*F1365</f>
        <v>-0.5625</v>
      </c>
      <c r="O1365" s="0" t="n">
        <f aca="false">E1365*G1365</f>
        <v>-0.5625</v>
      </c>
      <c r="P1365" s="0" t="n">
        <f aca="false">E1365*H1365</f>
        <v>0.5625</v>
      </c>
      <c r="Q1365" s="0" t="n">
        <f aca="false">F1365*G1365</f>
        <v>0.5625</v>
      </c>
      <c r="R1365" s="0" t="n">
        <f aca="false">F1365*H1365</f>
        <v>-0.5625</v>
      </c>
      <c r="S1365" s="0" t="n">
        <f aca="false">G1365*H1365</f>
        <v>-0.5625</v>
      </c>
      <c r="T1365" s="0" t="n">
        <f aca="false">E1365*E1365</f>
        <v>0.5625</v>
      </c>
      <c r="U1365" s="0" t="n">
        <f aca="false">F1365*F1365</f>
        <v>0.5625</v>
      </c>
      <c r="V1365" s="0" t="n">
        <f aca="false">G1365*G1365</f>
        <v>0.5625</v>
      </c>
      <c r="W1365" s="0" t="n">
        <f aca="false">H1365*H1365</f>
        <v>0.5625</v>
      </c>
      <c r="X1365" s="0" t="n">
        <f aca="false">SUMPRODUCT(I1365:W1365,_XtX!$B$96:$P$96)</f>
        <v>44.8403371710526</v>
      </c>
      <c r="Y1365" s="0" t="n">
        <f aca="false">SUMPRODUCT(MMULT(I1365:W1365,_XtX!$B$78:$P$92),I1365:W1365)</f>
        <v>0.277232387609649</v>
      </c>
      <c r="Z1365" s="0" t="n">
        <f aca="false">04_回帰ANOVA!$K$19*04_回帰ANOVA!$K$14*SQRT(1+Y1365)</f>
        <v>1.47310381441991</v>
      </c>
      <c r="AA1365" s="0" t="n">
        <f aca="false">X1365-Z1365</f>
        <v>43.3672333566327</v>
      </c>
      <c r="AB1365" s="0" t="n">
        <f aca="false">X1365+Z1365</f>
        <v>46.3134409854725</v>
      </c>
      <c r="AC1365" s="54" t="b">
        <f aca="false">AND(E1365&gt;=01_因子設定!$L$5-0.000000001,E1365&lt;=01_因子設定!$M$5+0.000000001,F1365&gt;=01_因子設定!$L$6-0.000000001,F1365&lt;=01_因子設定!$M$6+0.000000001,G1365&gt;=01_因子設定!$L$7-0.000000001,G1365&lt;=01_因子設定!$M$7+0.000000001,H1365&gt;=01_因子設定!$L$8-0.000000001,H1365&lt;=01_因子設定!$M$8+0.000000001,IF(01_因子設定!$B$20="Box-Behnken",E1365^2+F1365^2+G1365^2+H1365^2&lt;=2+0.000000001,TRUE()))</f>
        <v>1</v>
      </c>
      <c r="AD1365" s="55" t="n">
        <f aca="false">IF(AC1365,IF(01_因子設定!$B$13="最大化",AA1365-01_因子設定!$B$14,IF(01_因子設定!$B$13="最小化",01_因子設定!$B$15-AB1365,MIN(AA1365-01_因子設定!$B$14,01_因子設定!$B$15-AB1365))),-1E+030)</f>
        <v>-3.13276664336727</v>
      </c>
      <c r="AE1365" s="55" t="n">
        <f aca="false">IF(AC1365,IF(01_因子設定!$B$13="最大化",X1365,IF(01_因子設定!$B$13="最小化",-X1365,-ABS(X1365-01_因子設定!$B$16))),-1E+030)</f>
        <v>44.8403371710526</v>
      </c>
      <c r="AF1365" s="55" t="n">
        <f aca="false">AD1365+ROW()*0.000000001</f>
        <v>-3.13276527836727</v>
      </c>
      <c r="AG1365" s="55" t="n">
        <f aca="false">AE1365+ROW()*0.000000001</f>
        <v>44.8403385360526</v>
      </c>
    </row>
    <row r="1366" customFormat="false" ht="15" hidden="false" customHeight="false" outlineLevel="0" collapsed="false">
      <c r="A1366" s="0" t="n">
        <v>1</v>
      </c>
      <c r="B1366" s="0" t="n">
        <v>7</v>
      </c>
      <c r="C1366" s="0" t="n">
        <v>7</v>
      </c>
      <c r="D1366" s="0" t="n">
        <v>2</v>
      </c>
      <c r="E1366" s="0" t="n">
        <f aca="false">-1+A1366*0.25</f>
        <v>-0.75</v>
      </c>
      <c r="F1366" s="0" t="n">
        <f aca="false">-1+B1366*0.25</f>
        <v>0.75</v>
      </c>
      <c r="G1366" s="0" t="n">
        <f aca="false">-1+C1366*0.25</f>
        <v>0.75</v>
      </c>
      <c r="H1366" s="0" t="n">
        <f aca="false">-1+D1366*0.25</f>
        <v>-0.5</v>
      </c>
      <c r="I1366" s="0" t="n">
        <f aca="false">1</f>
        <v>1</v>
      </c>
      <c r="J1366" s="0" t="n">
        <f aca="false">E1366</f>
        <v>-0.75</v>
      </c>
      <c r="K1366" s="0" t="n">
        <f aca="false">F1366</f>
        <v>0.75</v>
      </c>
      <c r="L1366" s="0" t="n">
        <f aca="false">G1366</f>
        <v>0.75</v>
      </c>
      <c r="M1366" s="0" t="n">
        <f aca="false">H1366</f>
        <v>-0.5</v>
      </c>
      <c r="N1366" s="0" t="n">
        <f aca="false">E1366*F1366</f>
        <v>-0.5625</v>
      </c>
      <c r="O1366" s="0" t="n">
        <f aca="false">E1366*G1366</f>
        <v>-0.5625</v>
      </c>
      <c r="P1366" s="0" t="n">
        <f aca="false">E1366*H1366</f>
        <v>0.375</v>
      </c>
      <c r="Q1366" s="0" t="n">
        <f aca="false">F1366*G1366</f>
        <v>0.5625</v>
      </c>
      <c r="R1366" s="0" t="n">
        <f aca="false">F1366*H1366</f>
        <v>-0.375</v>
      </c>
      <c r="S1366" s="0" t="n">
        <f aca="false">G1366*H1366</f>
        <v>-0.375</v>
      </c>
      <c r="T1366" s="0" t="n">
        <f aca="false">E1366*E1366</f>
        <v>0.5625</v>
      </c>
      <c r="U1366" s="0" t="n">
        <f aca="false">F1366*F1366</f>
        <v>0.5625</v>
      </c>
      <c r="V1366" s="0" t="n">
        <f aca="false">G1366*G1366</f>
        <v>0.5625</v>
      </c>
      <c r="W1366" s="0" t="n">
        <f aca="false">H1366*H1366</f>
        <v>0.25</v>
      </c>
      <c r="X1366" s="0" t="n">
        <f aca="false">SUMPRODUCT(I1366:W1366,_XtX!$B$96:$P$96)</f>
        <v>45.0518686038012</v>
      </c>
      <c r="Y1366" s="0" t="n">
        <f aca="false">SUMPRODUCT(MMULT(I1366:W1366,_XtX!$B$78:$P$92),I1366:W1366)</f>
        <v>0.265632138614766</v>
      </c>
      <c r="Z1366" s="0" t="n">
        <f aca="false">04_回帰ANOVA!$K$19*04_回帰ANOVA!$K$14*SQRT(1+Y1366)</f>
        <v>1.46639894654257</v>
      </c>
      <c r="AA1366" s="0" t="n">
        <f aca="false">X1366-Z1366</f>
        <v>43.5854696572586</v>
      </c>
      <c r="AB1366" s="0" t="n">
        <f aca="false">X1366+Z1366</f>
        <v>46.5182675503437</v>
      </c>
      <c r="AC1366" s="54" t="b">
        <f aca="false">AND(E1366&gt;=01_因子設定!$L$5-0.000000001,E1366&lt;=01_因子設定!$M$5+0.000000001,F1366&gt;=01_因子設定!$L$6-0.000000001,F1366&lt;=01_因子設定!$M$6+0.000000001,G1366&gt;=01_因子設定!$L$7-0.000000001,G1366&lt;=01_因子設定!$M$7+0.000000001,H1366&gt;=01_因子設定!$L$8-0.000000001,H1366&lt;=01_因子設定!$M$8+0.000000001,IF(01_因子設定!$B$20="Box-Behnken",E1366^2+F1366^2+G1366^2+H1366^2&lt;=2+0.000000001,TRUE()))</f>
        <v>1</v>
      </c>
      <c r="AD1366" s="55" t="n">
        <f aca="false">IF(AC1366,IF(01_因子設定!$B$13="最大化",AA1366-01_因子設定!$B$14,IF(01_因子設定!$B$13="最小化",01_因子設定!$B$15-AB1366,MIN(AA1366-01_因子設定!$B$14,01_因子設定!$B$15-AB1366))),-1E+030)</f>
        <v>-2.91453034274141</v>
      </c>
      <c r="AE1366" s="55" t="n">
        <f aca="false">IF(AC1366,IF(01_因子設定!$B$13="最大化",X1366,IF(01_因子設定!$B$13="最小化",-X1366,-ABS(X1366-01_因子設定!$B$16))),-1E+030)</f>
        <v>45.0518686038012</v>
      </c>
      <c r="AF1366" s="55" t="n">
        <f aca="false">AD1366+ROW()*0.000000001</f>
        <v>-2.91452897674141</v>
      </c>
      <c r="AG1366" s="55" t="n">
        <f aca="false">AE1366+ROW()*0.000000001</f>
        <v>45.0518699698012</v>
      </c>
    </row>
    <row r="1367" customFormat="false" ht="15" hidden="false" customHeight="false" outlineLevel="0" collapsed="false">
      <c r="A1367" s="0" t="n">
        <v>1</v>
      </c>
      <c r="B1367" s="0" t="n">
        <v>7</v>
      </c>
      <c r="C1367" s="0" t="n">
        <v>7</v>
      </c>
      <c r="D1367" s="0" t="n">
        <v>3</v>
      </c>
      <c r="E1367" s="0" t="n">
        <f aca="false">-1+A1367*0.25</f>
        <v>-0.75</v>
      </c>
      <c r="F1367" s="0" t="n">
        <f aca="false">-1+B1367*0.25</f>
        <v>0.75</v>
      </c>
      <c r="G1367" s="0" t="n">
        <f aca="false">-1+C1367*0.25</f>
        <v>0.75</v>
      </c>
      <c r="H1367" s="0" t="n">
        <f aca="false">-1+D1367*0.25</f>
        <v>-0.25</v>
      </c>
      <c r="I1367" s="0" t="n">
        <f aca="false">1</f>
        <v>1</v>
      </c>
      <c r="J1367" s="0" t="n">
        <f aca="false">E1367</f>
        <v>-0.75</v>
      </c>
      <c r="K1367" s="0" t="n">
        <f aca="false">F1367</f>
        <v>0.75</v>
      </c>
      <c r="L1367" s="0" t="n">
        <f aca="false">G1367</f>
        <v>0.75</v>
      </c>
      <c r="M1367" s="0" t="n">
        <f aca="false">H1367</f>
        <v>-0.25</v>
      </c>
      <c r="N1367" s="0" t="n">
        <f aca="false">E1367*F1367</f>
        <v>-0.5625</v>
      </c>
      <c r="O1367" s="0" t="n">
        <f aca="false">E1367*G1367</f>
        <v>-0.5625</v>
      </c>
      <c r="P1367" s="0" t="n">
        <f aca="false">E1367*H1367</f>
        <v>0.1875</v>
      </c>
      <c r="Q1367" s="0" t="n">
        <f aca="false">F1367*G1367</f>
        <v>0.5625</v>
      </c>
      <c r="R1367" s="0" t="n">
        <f aca="false">F1367*H1367</f>
        <v>-0.1875</v>
      </c>
      <c r="S1367" s="0" t="n">
        <f aca="false">G1367*H1367</f>
        <v>-0.1875</v>
      </c>
      <c r="T1367" s="0" t="n">
        <f aca="false">E1367*E1367</f>
        <v>0.5625</v>
      </c>
      <c r="U1367" s="0" t="n">
        <f aca="false">F1367*F1367</f>
        <v>0.5625</v>
      </c>
      <c r="V1367" s="0" t="n">
        <f aca="false">G1367*G1367</f>
        <v>0.5625</v>
      </c>
      <c r="W1367" s="0" t="n">
        <f aca="false">H1367*H1367</f>
        <v>0.0625</v>
      </c>
      <c r="X1367" s="0" t="n">
        <f aca="false">SUMPRODUCT(I1367:W1367,_XtX!$B$96:$P$96)</f>
        <v>45.2155930190058</v>
      </c>
      <c r="Y1367" s="0" t="n">
        <f aca="false">SUMPRODUCT(MMULT(I1367:W1367,_XtX!$B$78:$P$92),I1367:W1367)</f>
        <v>0.294856199744152</v>
      </c>
      <c r="Z1367" s="0" t="n">
        <f aca="false">04_回帰ANOVA!$K$19*04_回帰ANOVA!$K$14*SQRT(1+Y1367)</f>
        <v>1.48323226089013</v>
      </c>
      <c r="AA1367" s="0" t="n">
        <f aca="false">X1367-Z1367</f>
        <v>43.7323607581157</v>
      </c>
      <c r="AB1367" s="0" t="n">
        <f aca="false">X1367+Z1367</f>
        <v>46.698825279896</v>
      </c>
      <c r="AC1367" s="54" t="b">
        <f aca="false">AND(E1367&gt;=01_因子設定!$L$5-0.000000001,E1367&lt;=01_因子設定!$M$5+0.000000001,F1367&gt;=01_因子設定!$L$6-0.000000001,F1367&lt;=01_因子設定!$M$6+0.000000001,G1367&gt;=01_因子設定!$L$7-0.000000001,G1367&lt;=01_因子設定!$M$7+0.000000001,H1367&gt;=01_因子設定!$L$8-0.000000001,H1367&lt;=01_因子設定!$M$8+0.000000001,IF(01_因子設定!$B$20="Box-Behnken",E1367^2+F1367^2+G1367^2+H1367^2&lt;=2+0.000000001,TRUE()))</f>
        <v>1</v>
      </c>
      <c r="AD1367" s="55" t="n">
        <f aca="false">IF(AC1367,IF(01_因子設定!$B$13="最大化",AA1367-01_因子設定!$B$14,IF(01_因子設定!$B$13="最小化",01_因子設定!$B$15-AB1367,MIN(AA1367-01_因子設定!$B$14,01_因子設定!$B$15-AB1367))),-1E+030)</f>
        <v>-2.7676392418843</v>
      </c>
      <c r="AE1367" s="55" t="n">
        <f aca="false">IF(AC1367,IF(01_因子設定!$B$13="最大化",X1367,IF(01_因子設定!$B$13="最小化",-X1367,-ABS(X1367-01_因子設定!$B$16))),-1E+030)</f>
        <v>45.2155930190058</v>
      </c>
      <c r="AF1367" s="55" t="n">
        <f aca="false">AD1367+ROW()*0.000000001</f>
        <v>-2.7676378748843</v>
      </c>
      <c r="AG1367" s="55" t="n">
        <f aca="false">AE1367+ROW()*0.000000001</f>
        <v>45.2155943860058</v>
      </c>
    </row>
    <row r="1368" customFormat="false" ht="15" hidden="false" customHeight="false" outlineLevel="0" collapsed="false">
      <c r="A1368" s="0" t="n">
        <v>1</v>
      </c>
      <c r="B1368" s="0" t="n">
        <v>7</v>
      </c>
      <c r="C1368" s="0" t="n">
        <v>7</v>
      </c>
      <c r="D1368" s="0" t="n">
        <v>4</v>
      </c>
      <c r="E1368" s="0" t="n">
        <f aca="false">-1+A1368*0.25</f>
        <v>-0.75</v>
      </c>
      <c r="F1368" s="0" t="n">
        <f aca="false">-1+B1368*0.25</f>
        <v>0.75</v>
      </c>
      <c r="G1368" s="0" t="n">
        <f aca="false">-1+C1368*0.25</f>
        <v>0.75</v>
      </c>
      <c r="H1368" s="0" t="n">
        <f aca="false">-1+D1368*0.25</f>
        <v>0</v>
      </c>
      <c r="I1368" s="0" t="n">
        <f aca="false">1</f>
        <v>1</v>
      </c>
      <c r="J1368" s="0" t="n">
        <f aca="false">E1368</f>
        <v>-0.75</v>
      </c>
      <c r="K1368" s="0" t="n">
        <f aca="false">F1368</f>
        <v>0.75</v>
      </c>
      <c r="L1368" s="0" t="n">
        <f aca="false">G1368</f>
        <v>0.75</v>
      </c>
      <c r="M1368" s="0" t="n">
        <f aca="false">H1368</f>
        <v>0</v>
      </c>
      <c r="N1368" s="0" t="n">
        <f aca="false">E1368*F1368</f>
        <v>-0.5625</v>
      </c>
      <c r="O1368" s="0" t="n">
        <f aca="false">E1368*G1368</f>
        <v>-0.5625</v>
      </c>
      <c r="P1368" s="0" t="n">
        <f aca="false">E1368*H1368</f>
        <v>-0</v>
      </c>
      <c r="Q1368" s="0" t="n">
        <f aca="false">F1368*G1368</f>
        <v>0.5625</v>
      </c>
      <c r="R1368" s="0" t="n">
        <f aca="false">F1368*H1368</f>
        <v>0</v>
      </c>
      <c r="S1368" s="0" t="n">
        <f aca="false">G1368*H1368</f>
        <v>0</v>
      </c>
      <c r="T1368" s="0" t="n">
        <f aca="false">E1368*E1368</f>
        <v>0.5625</v>
      </c>
      <c r="U1368" s="0" t="n">
        <f aca="false">F1368*F1368</f>
        <v>0.5625</v>
      </c>
      <c r="V1368" s="0" t="n">
        <f aca="false">G1368*G1368</f>
        <v>0.5625</v>
      </c>
      <c r="W1368" s="0" t="n">
        <f aca="false">H1368*H1368</f>
        <v>0</v>
      </c>
      <c r="X1368" s="0" t="n">
        <f aca="false">SUMPRODUCT(I1368:W1368,_XtX!$B$96:$P$96)</f>
        <v>45.3315104166667</v>
      </c>
      <c r="Y1368" s="0" t="n">
        <f aca="false">SUMPRODUCT(MMULT(I1368:W1368,_XtX!$B$78:$P$92),I1368:W1368)</f>
        <v>0.310628255208333</v>
      </c>
      <c r="Z1368" s="0" t="n">
        <f aca="false">04_回帰ANOVA!$K$19*04_回帰ANOVA!$K$14*SQRT(1+Y1368)</f>
        <v>1.49223820892344</v>
      </c>
      <c r="AA1368" s="0" t="n">
        <f aca="false">X1368-Z1368</f>
        <v>43.8392722077432</v>
      </c>
      <c r="AB1368" s="0" t="n">
        <f aca="false">X1368+Z1368</f>
        <v>46.8237486255901</v>
      </c>
      <c r="AC1368" s="54" t="b">
        <f aca="false">AND(E1368&gt;=01_因子設定!$L$5-0.000000001,E1368&lt;=01_因子設定!$M$5+0.000000001,F1368&gt;=01_因子設定!$L$6-0.000000001,F1368&lt;=01_因子設定!$M$6+0.000000001,G1368&gt;=01_因子設定!$L$7-0.000000001,G1368&lt;=01_因子設定!$M$7+0.000000001,H1368&gt;=01_因子設定!$L$8-0.000000001,H1368&lt;=01_因子設定!$M$8+0.000000001,IF(01_因子設定!$B$20="Box-Behnken",E1368^2+F1368^2+G1368^2+H1368^2&lt;=2+0.000000001,TRUE()))</f>
        <v>1</v>
      </c>
      <c r="AD1368" s="55" t="n">
        <f aca="false">IF(AC1368,IF(01_因子設定!$B$13="最大化",AA1368-01_因子設定!$B$14,IF(01_因子設定!$B$13="最小化",01_因子設定!$B$15-AB1368,MIN(AA1368-01_因子設定!$B$14,01_因子設定!$B$15-AB1368))),-1E+030)</f>
        <v>-2.66072779225679</v>
      </c>
      <c r="AE1368" s="55" t="n">
        <f aca="false">IF(AC1368,IF(01_因子設定!$B$13="最大化",X1368,IF(01_因子設定!$B$13="最小化",-X1368,-ABS(X1368-01_因子設定!$B$16))),-1E+030)</f>
        <v>45.3315104166667</v>
      </c>
      <c r="AF1368" s="55" t="n">
        <f aca="false">AD1368+ROW()*0.000000001</f>
        <v>-2.66072642425679</v>
      </c>
      <c r="AG1368" s="55" t="n">
        <f aca="false">AE1368+ROW()*0.000000001</f>
        <v>45.3315117846667</v>
      </c>
    </row>
    <row r="1369" customFormat="false" ht="15" hidden="false" customHeight="false" outlineLevel="0" collapsed="false">
      <c r="A1369" s="0" t="n">
        <v>1</v>
      </c>
      <c r="B1369" s="0" t="n">
        <v>7</v>
      </c>
      <c r="C1369" s="0" t="n">
        <v>7</v>
      </c>
      <c r="D1369" s="0" t="n">
        <v>5</v>
      </c>
      <c r="E1369" s="0" t="n">
        <f aca="false">-1+A1369*0.25</f>
        <v>-0.75</v>
      </c>
      <c r="F1369" s="0" t="n">
        <f aca="false">-1+B1369*0.25</f>
        <v>0.75</v>
      </c>
      <c r="G1369" s="0" t="n">
        <f aca="false">-1+C1369*0.25</f>
        <v>0.75</v>
      </c>
      <c r="H1369" s="0" t="n">
        <f aca="false">-1+D1369*0.25</f>
        <v>0.25</v>
      </c>
      <c r="I1369" s="0" t="n">
        <f aca="false">1</f>
        <v>1</v>
      </c>
      <c r="J1369" s="0" t="n">
        <f aca="false">E1369</f>
        <v>-0.75</v>
      </c>
      <c r="K1369" s="0" t="n">
        <f aca="false">F1369</f>
        <v>0.75</v>
      </c>
      <c r="L1369" s="0" t="n">
        <f aca="false">G1369</f>
        <v>0.75</v>
      </c>
      <c r="M1369" s="0" t="n">
        <f aca="false">H1369</f>
        <v>0.25</v>
      </c>
      <c r="N1369" s="0" t="n">
        <f aca="false">E1369*F1369</f>
        <v>-0.5625</v>
      </c>
      <c r="O1369" s="0" t="n">
        <f aca="false">E1369*G1369</f>
        <v>-0.5625</v>
      </c>
      <c r="P1369" s="0" t="n">
        <f aca="false">E1369*H1369</f>
        <v>-0.1875</v>
      </c>
      <c r="Q1369" s="0" t="n">
        <f aca="false">F1369*G1369</f>
        <v>0.5625</v>
      </c>
      <c r="R1369" s="0" t="n">
        <f aca="false">F1369*H1369</f>
        <v>0.1875</v>
      </c>
      <c r="S1369" s="0" t="n">
        <f aca="false">G1369*H1369</f>
        <v>0.1875</v>
      </c>
      <c r="T1369" s="0" t="n">
        <f aca="false">E1369*E1369</f>
        <v>0.5625</v>
      </c>
      <c r="U1369" s="0" t="n">
        <f aca="false">F1369*F1369</f>
        <v>0.5625</v>
      </c>
      <c r="V1369" s="0" t="n">
        <f aca="false">G1369*G1369</f>
        <v>0.5625</v>
      </c>
      <c r="W1369" s="0" t="n">
        <f aca="false">H1369*H1369</f>
        <v>0.0625</v>
      </c>
      <c r="X1369" s="0" t="n">
        <f aca="false">SUMPRODUCT(I1369:W1369,_XtX!$B$96:$P$96)</f>
        <v>45.3996207967836</v>
      </c>
      <c r="Y1369" s="0" t="n">
        <f aca="false">SUMPRODUCT(MMULT(I1369:W1369,_XtX!$B$78:$P$92),I1369:W1369)</f>
        <v>0.294856199744152</v>
      </c>
      <c r="Z1369" s="0" t="n">
        <f aca="false">04_回帰ANOVA!$K$19*04_回帰ANOVA!$K$14*SQRT(1+Y1369)</f>
        <v>1.48323226089013</v>
      </c>
      <c r="AA1369" s="0" t="n">
        <f aca="false">X1369-Z1369</f>
        <v>43.9163885358935</v>
      </c>
      <c r="AB1369" s="0" t="n">
        <f aca="false">X1369+Z1369</f>
        <v>46.8828530576738</v>
      </c>
      <c r="AC1369" s="54" t="b">
        <f aca="false">AND(E1369&gt;=01_因子設定!$L$5-0.000000001,E1369&lt;=01_因子設定!$M$5+0.000000001,F1369&gt;=01_因子設定!$L$6-0.000000001,F1369&lt;=01_因子設定!$M$6+0.000000001,G1369&gt;=01_因子設定!$L$7-0.000000001,G1369&lt;=01_因子設定!$M$7+0.000000001,H1369&gt;=01_因子設定!$L$8-0.000000001,H1369&lt;=01_因子設定!$M$8+0.000000001,IF(01_因子設定!$B$20="Box-Behnken",E1369^2+F1369^2+G1369^2+H1369^2&lt;=2+0.000000001,TRUE()))</f>
        <v>1</v>
      </c>
      <c r="AD1369" s="55" t="n">
        <f aca="false">IF(AC1369,IF(01_因子設定!$B$13="最大化",AA1369-01_因子設定!$B$14,IF(01_因子設定!$B$13="最小化",01_因子設定!$B$15-AB1369,MIN(AA1369-01_因子設定!$B$14,01_因子設定!$B$15-AB1369))),-1E+030)</f>
        <v>-2.58361146410652</v>
      </c>
      <c r="AE1369" s="55" t="n">
        <f aca="false">IF(AC1369,IF(01_因子設定!$B$13="最大化",X1369,IF(01_因子設定!$B$13="最小化",-X1369,-ABS(X1369-01_因子設定!$B$16))),-1E+030)</f>
        <v>45.3996207967836</v>
      </c>
      <c r="AF1369" s="55" t="n">
        <f aca="false">AD1369+ROW()*0.000000001</f>
        <v>-2.58361009510652</v>
      </c>
      <c r="AG1369" s="55" t="n">
        <f aca="false">AE1369+ROW()*0.000000001</f>
        <v>45.3996221657836</v>
      </c>
    </row>
    <row r="1370" customFormat="false" ht="15" hidden="false" customHeight="false" outlineLevel="0" collapsed="false">
      <c r="A1370" s="0" t="n">
        <v>1</v>
      </c>
      <c r="B1370" s="0" t="n">
        <v>7</v>
      </c>
      <c r="C1370" s="0" t="n">
        <v>7</v>
      </c>
      <c r="D1370" s="0" t="n">
        <v>6</v>
      </c>
      <c r="E1370" s="0" t="n">
        <f aca="false">-1+A1370*0.25</f>
        <v>-0.75</v>
      </c>
      <c r="F1370" s="0" t="n">
        <f aca="false">-1+B1370*0.25</f>
        <v>0.75</v>
      </c>
      <c r="G1370" s="0" t="n">
        <f aca="false">-1+C1370*0.25</f>
        <v>0.75</v>
      </c>
      <c r="H1370" s="0" t="n">
        <f aca="false">-1+D1370*0.25</f>
        <v>0.5</v>
      </c>
      <c r="I1370" s="0" t="n">
        <f aca="false">1</f>
        <v>1</v>
      </c>
      <c r="J1370" s="0" t="n">
        <f aca="false">E1370</f>
        <v>-0.75</v>
      </c>
      <c r="K1370" s="0" t="n">
        <f aca="false">F1370</f>
        <v>0.75</v>
      </c>
      <c r="L1370" s="0" t="n">
        <f aca="false">G1370</f>
        <v>0.75</v>
      </c>
      <c r="M1370" s="0" t="n">
        <f aca="false">H1370</f>
        <v>0.5</v>
      </c>
      <c r="N1370" s="0" t="n">
        <f aca="false">E1370*F1370</f>
        <v>-0.5625</v>
      </c>
      <c r="O1370" s="0" t="n">
        <f aca="false">E1370*G1370</f>
        <v>-0.5625</v>
      </c>
      <c r="P1370" s="0" t="n">
        <f aca="false">E1370*H1370</f>
        <v>-0.375</v>
      </c>
      <c r="Q1370" s="0" t="n">
        <f aca="false">F1370*G1370</f>
        <v>0.5625</v>
      </c>
      <c r="R1370" s="0" t="n">
        <f aca="false">F1370*H1370</f>
        <v>0.375</v>
      </c>
      <c r="S1370" s="0" t="n">
        <f aca="false">G1370*H1370</f>
        <v>0.375</v>
      </c>
      <c r="T1370" s="0" t="n">
        <f aca="false">E1370*E1370</f>
        <v>0.5625</v>
      </c>
      <c r="U1370" s="0" t="n">
        <f aca="false">F1370*F1370</f>
        <v>0.5625</v>
      </c>
      <c r="V1370" s="0" t="n">
        <f aca="false">G1370*G1370</f>
        <v>0.5625</v>
      </c>
      <c r="W1370" s="0" t="n">
        <f aca="false">H1370*H1370</f>
        <v>0.25</v>
      </c>
      <c r="X1370" s="0" t="n">
        <f aca="false">SUMPRODUCT(I1370:W1370,_XtX!$B$96:$P$96)</f>
        <v>45.4199241593567</v>
      </c>
      <c r="Y1370" s="0" t="n">
        <f aca="false">SUMPRODUCT(MMULT(I1370:W1370,_XtX!$B$78:$P$92),I1370:W1370)</f>
        <v>0.265632138614766</v>
      </c>
      <c r="Z1370" s="0" t="n">
        <f aca="false">04_回帰ANOVA!$K$19*04_回帰ANOVA!$K$14*SQRT(1+Y1370)</f>
        <v>1.46639894654257</v>
      </c>
      <c r="AA1370" s="0" t="n">
        <f aca="false">X1370-Z1370</f>
        <v>43.9535252128142</v>
      </c>
      <c r="AB1370" s="0" t="n">
        <f aca="false">X1370+Z1370</f>
        <v>46.8863231058993</v>
      </c>
      <c r="AC1370" s="54" t="b">
        <f aca="false">AND(E1370&gt;=01_因子設定!$L$5-0.000000001,E1370&lt;=01_因子設定!$M$5+0.000000001,F1370&gt;=01_因子設定!$L$6-0.000000001,F1370&lt;=01_因子設定!$M$6+0.000000001,G1370&gt;=01_因子設定!$L$7-0.000000001,G1370&lt;=01_因子設定!$M$7+0.000000001,H1370&gt;=01_因子設定!$L$8-0.000000001,H1370&lt;=01_因子設定!$M$8+0.000000001,IF(01_因子設定!$B$20="Box-Behnken",E1370^2+F1370^2+G1370^2+H1370^2&lt;=2+0.000000001,TRUE()))</f>
        <v>1</v>
      </c>
      <c r="AD1370" s="55" t="n">
        <f aca="false">IF(AC1370,IF(01_因子設定!$B$13="最大化",AA1370-01_因子設定!$B$14,IF(01_因子設定!$B$13="最小化",01_因子設定!$B$15-AB1370,MIN(AA1370-01_因子設定!$B$14,01_因子設定!$B$15-AB1370))),-1E+030)</f>
        <v>-2.54647478718585</v>
      </c>
      <c r="AE1370" s="55" t="n">
        <f aca="false">IF(AC1370,IF(01_因子設定!$B$13="最大化",X1370,IF(01_因子設定!$B$13="最小化",-X1370,-ABS(X1370-01_因子設定!$B$16))),-1E+030)</f>
        <v>45.4199241593567</v>
      </c>
      <c r="AF1370" s="55" t="n">
        <f aca="false">AD1370+ROW()*0.000000001</f>
        <v>-2.54647341718585</v>
      </c>
      <c r="AG1370" s="55" t="n">
        <f aca="false">AE1370+ROW()*0.000000001</f>
        <v>45.4199255293567</v>
      </c>
    </row>
    <row r="1371" customFormat="false" ht="15" hidden="false" customHeight="false" outlineLevel="0" collapsed="false">
      <c r="A1371" s="0" t="n">
        <v>1</v>
      </c>
      <c r="B1371" s="0" t="n">
        <v>7</v>
      </c>
      <c r="C1371" s="0" t="n">
        <v>7</v>
      </c>
      <c r="D1371" s="0" t="n">
        <v>7</v>
      </c>
      <c r="E1371" s="0" t="n">
        <f aca="false">-1+A1371*0.25</f>
        <v>-0.75</v>
      </c>
      <c r="F1371" s="0" t="n">
        <f aca="false">-1+B1371*0.25</f>
        <v>0.75</v>
      </c>
      <c r="G1371" s="0" t="n">
        <f aca="false">-1+C1371*0.25</f>
        <v>0.75</v>
      </c>
      <c r="H1371" s="0" t="n">
        <f aca="false">-1+D1371*0.25</f>
        <v>0.75</v>
      </c>
      <c r="I1371" s="0" t="n">
        <f aca="false">1</f>
        <v>1</v>
      </c>
      <c r="J1371" s="0" t="n">
        <f aca="false">E1371</f>
        <v>-0.75</v>
      </c>
      <c r="K1371" s="0" t="n">
        <f aca="false">F1371</f>
        <v>0.75</v>
      </c>
      <c r="L1371" s="0" t="n">
        <f aca="false">G1371</f>
        <v>0.75</v>
      </c>
      <c r="M1371" s="0" t="n">
        <f aca="false">H1371</f>
        <v>0.75</v>
      </c>
      <c r="N1371" s="0" t="n">
        <f aca="false">E1371*F1371</f>
        <v>-0.5625</v>
      </c>
      <c r="O1371" s="0" t="n">
        <f aca="false">E1371*G1371</f>
        <v>-0.5625</v>
      </c>
      <c r="P1371" s="0" t="n">
        <f aca="false">E1371*H1371</f>
        <v>-0.5625</v>
      </c>
      <c r="Q1371" s="0" t="n">
        <f aca="false">F1371*G1371</f>
        <v>0.5625</v>
      </c>
      <c r="R1371" s="0" t="n">
        <f aca="false">F1371*H1371</f>
        <v>0.5625</v>
      </c>
      <c r="S1371" s="0" t="n">
        <f aca="false">G1371*H1371</f>
        <v>0.5625</v>
      </c>
      <c r="T1371" s="0" t="n">
        <f aca="false">E1371*E1371</f>
        <v>0.5625</v>
      </c>
      <c r="U1371" s="0" t="n">
        <f aca="false">F1371*F1371</f>
        <v>0.5625</v>
      </c>
      <c r="V1371" s="0" t="n">
        <f aca="false">G1371*G1371</f>
        <v>0.5625</v>
      </c>
      <c r="W1371" s="0" t="n">
        <f aca="false">H1371*H1371</f>
        <v>0.5625</v>
      </c>
      <c r="X1371" s="0" t="n">
        <f aca="false">SUMPRODUCT(I1371:W1371,_XtX!$B$96:$P$96)</f>
        <v>45.392420504386</v>
      </c>
      <c r="Y1371" s="0" t="n">
        <f aca="false">SUMPRODUCT(MMULT(I1371:W1371,_XtX!$B$78:$P$92),I1371:W1371)</f>
        <v>0.277232387609649</v>
      </c>
      <c r="Z1371" s="0" t="n">
        <f aca="false">04_回帰ANOVA!$K$19*04_回帰ANOVA!$K$14*SQRT(1+Y1371)</f>
        <v>1.47310381441991</v>
      </c>
      <c r="AA1371" s="0" t="n">
        <f aca="false">X1371-Z1371</f>
        <v>43.9193166899661</v>
      </c>
      <c r="AB1371" s="0" t="n">
        <f aca="false">X1371+Z1371</f>
        <v>46.8655243188059</v>
      </c>
      <c r="AC1371" s="54" t="b">
        <f aca="false">AND(E1371&gt;=01_因子設定!$L$5-0.000000001,E1371&lt;=01_因子設定!$M$5+0.000000001,F1371&gt;=01_因子設定!$L$6-0.000000001,F1371&lt;=01_因子設定!$M$6+0.000000001,G1371&gt;=01_因子設定!$L$7-0.000000001,G1371&lt;=01_因子設定!$M$7+0.000000001,H1371&gt;=01_因子設定!$L$8-0.000000001,H1371&lt;=01_因子設定!$M$8+0.000000001,IF(01_因子設定!$B$20="Box-Behnken",E1371^2+F1371^2+G1371^2+H1371^2&lt;=2+0.000000001,TRUE()))</f>
        <v>1</v>
      </c>
      <c r="AD1371" s="55" t="n">
        <f aca="false">IF(AC1371,IF(01_因子設定!$B$13="最大化",AA1371-01_因子設定!$B$14,IF(01_因子設定!$B$13="最小化",01_因子設定!$B$15-AB1371,MIN(AA1371-01_因子設定!$B$14,01_因子設定!$B$15-AB1371))),-1E+030)</f>
        <v>-2.58068331003393</v>
      </c>
      <c r="AE1371" s="55" t="n">
        <f aca="false">IF(AC1371,IF(01_因子設定!$B$13="最大化",X1371,IF(01_因子設定!$B$13="最小化",-X1371,-ABS(X1371-01_因子設定!$B$16))),-1E+030)</f>
        <v>45.392420504386</v>
      </c>
      <c r="AF1371" s="55" t="n">
        <f aca="false">AD1371+ROW()*0.000000001</f>
        <v>-2.58068193903393</v>
      </c>
      <c r="AG1371" s="55" t="n">
        <f aca="false">AE1371+ROW()*0.000000001</f>
        <v>45.392421875386</v>
      </c>
    </row>
    <row r="1372" customFormat="false" ht="15" hidden="false" customHeight="false" outlineLevel="0" collapsed="false">
      <c r="A1372" s="0" t="n">
        <v>1</v>
      </c>
      <c r="B1372" s="0" t="n">
        <v>7</v>
      </c>
      <c r="C1372" s="0" t="n">
        <v>7</v>
      </c>
      <c r="D1372" s="0" t="n">
        <v>8</v>
      </c>
      <c r="E1372" s="0" t="n">
        <f aca="false">-1+A1372*0.25</f>
        <v>-0.75</v>
      </c>
      <c r="F1372" s="0" t="n">
        <f aca="false">-1+B1372*0.25</f>
        <v>0.75</v>
      </c>
      <c r="G1372" s="0" t="n">
        <f aca="false">-1+C1372*0.25</f>
        <v>0.75</v>
      </c>
      <c r="H1372" s="0" t="n">
        <f aca="false">-1+D1372*0.25</f>
        <v>1</v>
      </c>
      <c r="I1372" s="0" t="n">
        <f aca="false">1</f>
        <v>1</v>
      </c>
      <c r="J1372" s="0" t="n">
        <f aca="false">E1372</f>
        <v>-0.75</v>
      </c>
      <c r="K1372" s="0" t="n">
        <f aca="false">F1372</f>
        <v>0.75</v>
      </c>
      <c r="L1372" s="0" t="n">
        <f aca="false">G1372</f>
        <v>0.75</v>
      </c>
      <c r="M1372" s="0" t="n">
        <f aca="false">H1372</f>
        <v>1</v>
      </c>
      <c r="N1372" s="0" t="n">
        <f aca="false">E1372*F1372</f>
        <v>-0.5625</v>
      </c>
      <c r="O1372" s="0" t="n">
        <f aca="false">E1372*G1372</f>
        <v>-0.5625</v>
      </c>
      <c r="P1372" s="0" t="n">
        <f aca="false">E1372*H1372</f>
        <v>-0.75</v>
      </c>
      <c r="Q1372" s="0" t="n">
        <f aca="false">F1372*G1372</f>
        <v>0.5625</v>
      </c>
      <c r="R1372" s="0" t="n">
        <f aca="false">F1372*H1372</f>
        <v>0.75</v>
      </c>
      <c r="S1372" s="0" t="n">
        <f aca="false">G1372*H1372</f>
        <v>0.75</v>
      </c>
      <c r="T1372" s="0" t="n">
        <f aca="false">E1372*E1372</f>
        <v>0.5625</v>
      </c>
      <c r="U1372" s="0" t="n">
        <f aca="false">F1372*F1372</f>
        <v>0.5625</v>
      </c>
      <c r="V1372" s="0" t="n">
        <f aca="false">G1372*G1372</f>
        <v>0.5625</v>
      </c>
      <c r="W1372" s="0" t="n">
        <f aca="false">H1372*H1372</f>
        <v>1</v>
      </c>
      <c r="X1372" s="0" t="n">
        <f aca="false">SUMPRODUCT(I1372:W1372,_XtX!$B$96:$P$96)</f>
        <v>45.3171098318714</v>
      </c>
      <c r="Y1372" s="0" t="n">
        <f aca="false">SUMPRODUCT(MMULT(I1372:W1372,_XtX!$B$78:$P$92),I1372:W1372)</f>
        <v>0.420117473044591</v>
      </c>
      <c r="Z1372" s="0" t="n">
        <f aca="false">04_回帰ANOVA!$K$19*04_回帰ANOVA!$K$14*SQRT(1+Y1372)</f>
        <v>1.55331854827765</v>
      </c>
      <c r="AA1372" s="0" t="n">
        <f aca="false">X1372-Z1372</f>
        <v>43.7637912835937</v>
      </c>
      <c r="AB1372" s="0" t="n">
        <f aca="false">X1372+Z1372</f>
        <v>46.870428380149</v>
      </c>
      <c r="AC1372" s="54" t="b">
        <f aca="false">AND(E1372&gt;=01_因子設定!$L$5-0.000000001,E1372&lt;=01_因子設定!$M$5+0.000000001,F1372&gt;=01_因子設定!$L$6-0.000000001,F1372&lt;=01_因子設定!$M$6+0.000000001,G1372&gt;=01_因子設定!$L$7-0.000000001,G1372&lt;=01_因子設定!$M$7+0.000000001,H1372&gt;=01_因子設定!$L$8-0.000000001,H1372&lt;=01_因子設定!$M$8+0.000000001,IF(01_因子設定!$B$20="Box-Behnken",E1372^2+F1372^2+G1372^2+H1372^2&lt;=2+0.000000001,TRUE()))</f>
        <v>1</v>
      </c>
      <c r="AD1372" s="55" t="n">
        <f aca="false">IF(AC1372,IF(01_因子設定!$B$13="最大化",AA1372-01_因子設定!$B$14,IF(01_因子設定!$B$13="最小化",01_因子設定!$B$15-AB1372,MIN(AA1372-01_因子設定!$B$14,01_因子設定!$B$15-AB1372))),-1E+030)</f>
        <v>-2.73620871640627</v>
      </c>
      <c r="AE1372" s="55" t="n">
        <f aca="false">IF(AC1372,IF(01_因子設定!$B$13="最大化",X1372,IF(01_因子設定!$B$13="最小化",-X1372,-ABS(X1372-01_因子設定!$B$16))),-1E+030)</f>
        <v>45.3171098318714</v>
      </c>
      <c r="AF1372" s="55" t="n">
        <f aca="false">AD1372+ROW()*0.000000001</f>
        <v>-2.73620734440627</v>
      </c>
      <c r="AG1372" s="55" t="n">
        <f aca="false">AE1372+ROW()*0.000000001</f>
        <v>45.3171112038714</v>
      </c>
    </row>
    <row r="1373" customFormat="false" ht="15" hidden="false" customHeight="false" outlineLevel="0" collapsed="false">
      <c r="A1373" s="0" t="n">
        <v>1</v>
      </c>
      <c r="B1373" s="0" t="n">
        <v>7</v>
      </c>
      <c r="C1373" s="0" t="n">
        <v>8</v>
      </c>
      <c r="D1373" s="0" t="n">
        <v>0</v>
      </c>
      <c r="E1373" s="0" t="n">
        <f aca="false">-1+A1373*0.25</f>
        <v>-0.75</v>
      </c>
      <c r="F1373" s="0" t="n">
        <f aca="false">-1+B1373*0.25</f>
        <v>0.75</v>
      </c>
      <c r="G1373" s="0" t="n">
        <f aca="false">-1+C1373*0.25</f>
        <v>1</v>
      </c>
      <c r="H1373" s="0" t="n">
        <f aca="false">-1+D1373*0.25</f>
        <v>-1</v>
      </c>
      <c r="I1373" s="0" t="n">
        <f aca="false">1</f>
        <v>1</v>
      </c>
      <c r="J1373" s="0" t="n">
        <f aca="false">E1373</f>
        <v>-0.75</v>
      </c>
      <c r="K1373" s="0" t="n">
        <f aca="false">F1373</f>
        <v>0.75</v>
      </c>
      <c r="L1373" s="0" t="n">
        <f aca="false">G1373</f>
        <v>1</v>
      </c>
      <c r="M1373" s="0" t="n">
        <f aca="false">H1373</f>
        <v>-1</v>
      </c>
      <c r="N1373" s="0" t="n">
        <f aca="false">E1373*F1373</f>
        <v>-0.5625</v>
      </c>
      <c r="O1373" s="0" t="n">
        <f aca="false">E1373*G1373</f>
        <v>-0.75</v>
      </c>
      <c r="P1373" s="0" t="n">
        <f aca="false">E1373*H1373</f>
        <v>0.75</v>
      </c>
      <c r="Q1373" s="0" t="n">
        <f aca="false">F1373*G1373</f>
        <v>0.75</v>
      </c>
      <c r="R1373" s="0" t="n">
        <f aca="false">F1373*H1373</f>
        <v>-0.75</v>
      </c>
      <c r="S1373" s="0" t="n">
        <f aca="false">G1373*H1373</f>
        <v>-1</v>
      </c>
      <c r="T1373" s="0" t="n">
        <f aca="false">E1373*E1373</f>
        <v>0.5625</v>
      </c>
      <c r="U1373" s="0" t="n">
        <f aca="false">F1373*F1373</f>
        <v>0.5625</v>
      </c>
      <c r="V1373" s="0" t="n">
        <f aca="false">G1373*G1373</f>
        <v>1</v>
      </c>
      <c r="W1373" s="0" t="n">
        <f aca="false">H1373*H1373</f>
        <v>1</v>
      </c>
      <c r="X1373" s="0" t="n">
        <f aca="false">SUMPRODUCT(I1373:W1373,_XtX!$B$96:$P$96)</f>
        <v>44.6368512426901</v>
      </c>
      <c r="Y1373" s="0" t="n">
        <f aca="false">SUMPRODUCT(MMULT(I1373:W1373,_XtX!$B$78:$P$92),I1373:W1373)</f>
        <v>0.531311392086988</v>
      </c>
      <c r="Z1373" s="0" t="n">
        <f aca="false">04_回帰ANOVA!$K$19*04_回帰ANOVA!$K$14*SQRT(1+Y1373)</f>
        <v>1.61298433431428</v>
      </c>
      <c r="AA1373" s="0" t="n">
        <f aca="false">X1373-Z1373</f>
        <v>43.0238669083758</v>
      </c>
      <c r="AB1373" s="0" t="n">
        <f aca="false">X1373+Z1373</f>
        <v>46.2498355770044</v>
      </c>
      <c r="AC1373" s="54" t="b">
        <f aca="false">AND(E1373&gt;=01_因子設定!$L$5-0.000000001,E1373&lt;=01_因子設定!$M$5+0.000000001,F1373&gt;=01_因子設定!$L$6-0.000000001,F1373&lt;=01_因子設定!$M$6+0.000000001,G1373&gt;=01_因子設定!$L$7-0.000000001,G1373&lt;=01_因子設定!$M$7+0.000000001,H1373&gt;=01_因子設定!$L$8-0.000000001,H1373&lt;=01_因子設定!$M$8+0.000000001,IF(01_因子設定!$B$20="Box-Behnken",E1373^2+F1373^2+G1373^2+H1373^2&lt;=2+0.000000001,TRUE()))</f>
        <v>1</v>
      </c>
      <c r="AD1373" s="55" t="n">
        <f aca="false">IF(AC1373,IF(01_因子設定!$B$13="最大化",AA1373-01_因子設定!$B$14,IF(01_因子設定!$B$13="最小化",01_因子設定!$B$15-AB1373,MIN(AA1373-01_因子設定!$B$14,01_因子設定!$B$15-AB1373))),-1E+030)</f>
        <v>-3.4761330916242</v>
      </c>
      <c r="AE1373" s="55" t="n">
        <f aca="false">IF(AC1373,IF(01_因子設定!$B$13="最大化",X1373,IF(01_因子設定!$B$13="最小化",-X1373,-ABS(X1373-01_因子設定!$B$16))),-1E+030)</f>
        <v>44.6368512426901</v>
      </c>
      <c r="AF1373" s="55" t="n">
        <f aca="false">AD1373+ROW()*0.000000001</f>
        <v>-3.4761317186242</v>
      </c>
      <c r="AG1373" s="55" t="n">
        <f aca="false">AE1373+ROW()*0.000000001</f>
        <v>44.6368526156901</v>
      </c>
    </row>
    <row r="1374" customFormat="false" ht="15" hidden="false" customHeight="false" outlineLevel="0" collapsed="false">
      <c r="A1374" s="0" t="n">
        <v>1</v>
      </c>
      <c r="B1374" s="0" t="n">
        <v>7</v>
      </c>
      <c r="C1374" s="0" t="n">
        <v>8</v>
      </c>
      <c r="D1374" s="0" t="n">
        <v>1</v>
      </c>
      <c r="E1374" s="0" t="n">
        <f aca="false">-1+A1374*0.25</f>
        <v>-0.75</v>
      </c>
      <c r="F1374" s="0" t="n">
        <f aca="false">-1+B1374*0.25</f>
        <v>0.75</v>
      </c>
      <c r="G1374" s="0" t="n">
        <f aca="false">-1+C1374*0.25</f>
        <v>1</v>
      </c>
      <c r="H1374" s="0" t="n">
        <f aca="false">-1+D1374*0.25</f>
        <v>-0.75</v>
      </c>
      <c r="I1374" s="0" t="n">
        <f aca="false">1</f>
        <v>1</v>
      </c>
      <c r="J1374" s="0" t="n">
        <f aca="false">E1374</f>
        <v>-0.75</v>
      </c>
      <c r="K1374" s="0" t="n">
        <f aca="false">F1374</f>
        <v>0.75</v>
      </c>
      <c r="L1374" s="0" t="n">
        <f aca="false">G1374</f>
        <v>1</v>
      </c>
      <c r="M1374" s="0" t="n">
        <f aca="false">H1374</f>
        <v>-0.75</v>
      </c>
      <c r="N1374" s="0" t="n">
        <f aca="false">E1374*F1374</f>
        <v>-0.5625</v>
      </c>
      <c r="O1374" s="0" t="n">
        <f aca="false">E1374*G1374</f>
        <v>-0.75</v>
      </c>
      <c r="P1374" s="0" t="n">
        <f aca="false">E1374*H1374</f>
        <v>0.5625</v>
      </c>
      <c r="Q1374" s="0" t="n">
        <f aca="false">F1374*G1374</f>
        <v>0.75</v>
      </c>
      <c r="R1374" s="0" t="n">
        <f aca="false">F1374*H1374</f>
        <v>-0.5625</v>
      </c>
      <c r="S1374" s="0" t="n">
        <f aca="false">G1374*H1374</f>
        <v>-0.75</v>
      </c>
      <c r="T1374" s="0" t="n">
        <f aca="false">E1374*E1374</f>
        <v>0.5625</v>
      </c>
      <c r="U1374" s="0" t="n">
        <f aca="false">F1374*F1374</f>
        <v>0.5625</v>
      </c>
      <c r="V1374" s="0" t="n">
        <f aca="false">G1374*G1374</f>
        <v>1</v>
      </c>
      <c r="W1374" s="0" t="n">
        <f aca="false">H1374*H1374</f>
        <v>0.5625</v>
      </c>
      <c r="X1374" s="0" t="n">
        <f aca="false">SUMPRODUCT(I1374:W1374,_XtX!$B$96:$P$96)</f>
        <v>44.9141584429825</v>
      </c>
      <c r="Y1374" s="0" t="n">
        <f aca="false">SUMPRODUCT(MMULT(I1374:W1374,_XtX!$B$78:$P$92),I1374:W1374)</f>
        <v>0.420117473044591</v>
      </c>
      <c r="Z1374" s="0" t="n">
        <f aca="false">04_回帰ANOVA!$K$19*04_回帰ANOVA!$K$14*SQRT(1+Y1374)</f>
        <v>1.55331854827765</v>
      </c>
      <c r="AA1374" s="0" t="n">
        <f aca="false">X1374-Z1374</f>
        <v>43.3608398947048</v>
      </c>
      <c r="AB1374" s="0" t="n">
        <f aca="false">X1374+Z1374</f>
        <v>46.4674769912601</v>
      </c>
      <c r="AC1374" s="54" t="b">
        <f aca="false">AND(E1374&gt;=01_因子設定!$L$5-0.000000001,E1374&lt;=01_因子設定!$M$5+0.000000001,F1374&gt;=01_因子設定!$L$6-0.000000001,F1374&lt;=01_因子設定!$M$6+0.000000001,G1374&gt;=01_因子設定!$L$7-0.000000001,G1374&lt;=01_因子設定!$M$7+0.000000001,H1374&gt;=01_因子設定!$L$8-0.000000001,H1374&lt;=01_因子設定!$M$8+0.000000001,IF(01_因子設定!$B$20="Box-Behnken",E1374^2+F1374^2+G1374^2+H1374^2&lt;=2+0.000000001,TRUE()))</f>
        <v>1</v>
      </c>
      <c r="AD1374" s="55" t="n">
        <f aca="false">IF(AC1374,IF(01_因子設定!$B$13="最大化",AA1374-01_因子設定!$B$14,IF(01_因子設定!$B$13="最小化",01_因子設定!$B$15-AB1374,MIN(AA1374-01_因子設定!$B$14,01_因子設定!$B$15-AB1374))),-1E+030)</f>
        <v>-3.13916010529518</v>
      </c>
      <c r="AE1374" s="55" t="n">
        <f aca="false">IF(AC1374,IF(01_因子設定!$B$13="最大化",X1374,IF(01_因子設定!$B$13="最小化",-X1374,-ABS(X1374-01_因子設定!$B$16))),-1E+030)</f>
        <v>44.9141584429825</v>
      </c>
      <c r="AF1374" s="55" t="n">
        <f aca="false">AD1374+ROW()*0.000000001</f>
        <v>-3.13915873129518</v>
      </c>
      <c r="AG1374" s="55" t="n">
        <f aca="false">AE1374+ROW()*0.000000001</f>
        <v>44.9141598169825</v>
      </c>
    </row>
    <row r="1375" customFormat="false" ht="15" hidden="false" customHeight="false" outlineLevel="0" collapsed="false">
      <c r="A1375" s="0" t="n">
        <v>1</v>
      </c>
      <c r="B1375" s="0" t="n">
        <v>7</v>
      </c>
      <c r="C1375" s="0" t="n">
        <v>8</v>
      </c>
      <c r="D1375" s="0" t="n">
        <v>2</v>
      </c>
      <c r="E1375" s="0" t="n">
        <f aca="false">-1+A1375*0.25</f>
        <v>-0.75</v>
      </c>
      <c r="F1375" s="0" t="n">
        <f aca="false">-1+B1375*0.25</f>
        <v>0.75</v>
      </c>
      <c r="G1375" s="0" t="n">
        <f aca="false">-1+C1375*0.25</f>
        <v>1</v>
      </c>
      <c r="H1375" s="0" t="n">
        <f aca="false">-1+D1375*0.25</f>
        <v>-0.5</v>
      </c>
      <c r="I1375" s="0" t="n">
        <f aca="false">1</f>
        <v>1</v>
      </c>
      <c r="J1375" s="0" t="n">
        <f aca="false">E1375</f>
        <v>-0.75</v>
      </c>
      <c r="K1375" s="0" t="n">
        <f aca="false">F1375</f>
        <v>0.75</v>
      </c>
      <c r="L1375" s="0" t="n">
        <f aca="false">G1375</f>
        <v>1</v>
      </c>
      <c r="M1375" s="0" t="n">
        <f aca="false">H1375</f>
        <v>-0.5</v>
      </c>
      <c r="N1375" s="0" t="n">
        <f aca="false">E1375*F1375</f>
        <v>-0.5625</v>
      </c>
      <c r="O1375" s="0" t="n">
        <f aca="false">E1375*G1375</f>
        <v>-0.75</v>
      </c>
      <c r="P1375" s="0" t="n">
        <f aca="false">E1375*H1375</f>
        <v>0.375</v>
      </c>
      <c r="Q1375" s="0" t="n">
        <f aca="false">F1375*G1375</f>
        <v>0.75</v>
      </c>
      <c r="R1375" s="0" t="n">
        <f aca="false">F1375*H1375</f>
        <v>-0.375</v>
      </c>
      <c r="S1375" s="0" t="n">
        <f aca="false">G1375*H1375</f>
        <v>-0.5</v>
      </c>
      <c r="T1375" s="0" t="n">
        <f aca="false">E1375*E1375</f>
        <v>0.5625</v>
      </c>
      <c r="U1375" s="0" t="n">
        <f aca="false">F1375*F1375</f>
        <v>0.5625</v>
      </c>
      <c r="V1375" s="0" t="n">
        <f aca="false">G1375*G1375</f>
        <v>1</v>
      </c>
      <c r="W1375" s="0" t="n">
        <f aca="false">H1375*H1375</f>
        <v>0.25</v>
      </c>
      <c r="X1375" s="0" t="n">
        <f aca="false">SUMPRODUCT(I1375:W1375,_XtX!$B$96:$P$96)</f>
        <v>45.143658625731</v>
      </c>
      <c r="Y1375" s="0" t="n">
        <f aca="false">SUMPRODUCT(MMULT(I1375:W1375,_XtX!$B$78:$P$92),I1375:W1375)</f>
        <v>0.431153771472953</v>
      </c>
      <c r="Z1375" s="0" t="n">
        <f aca="false">04_回帰ANOVA!$K$19*04_回帰ANOVA!$K$14*SQRT(1+Y1375)</f>
        <v>1.55934259562563</v>
      </c>
      <c r="AA1375" s="0" t="n">
        <f aca="false">X1375-Z1375</f>
        <v>43.5843160301054</v>
      </c>
      <c r="AB1375" s="0" t="n">
        <f aca="false">X1375+Z1375</f>
        <v>46.7030012213566</v>
      </c>
      <c r="AC1375" s="54" t="b">
        <f aca="false">AND(E1375&gt;=01_因子設定!$L$5-0.000000001,E1375&lt;=01_因子設定!$M$5+0.000000001,F1375&gt;=01_因子設定!$L$6-0.000000001,F1375&lt;=01_因子設定!$M$6+0.000000001,G1375&gt;=01_因子設定!$L$7-0.000000001,G1375&lt;=01_因子設定!$M$7+0.000000001,H1375&gt;=01_因子設定!$L$8-0.000000001,H1375&lt;=01_因子設定!$M$8+0.000000001,IF(01_因子設定!$B$20="Box-Behnken",E1375^2+F1375^2+G1375^2+H1375^2&lt;=2+0.000000001,TRUE()))</f>
        <v>1</v>
      </c>
      <c r="AD1375" s="55" t="n">
        <f aca="false">IF(AC1375,IF(01_因子設定!$B$13="最大化",AA1375-01_因子設定!$B$14,IF(01_因子設定!$B$13="最小化",01_因子設定!$B$15-AB1375,MIN(AA1375-01_因子設定!$B$14,01_因子設定!$B$15-AB1375))),-1E+030)</f>
        <v>-2.91568396989464</v>
      </c>
      <c r="AE1375" s="55" t="n">
        <f aca="false">IF(AC1375,IF(01_因子設定!$B$13="最大化",X1375,IF(01_因子設定!$B$13="最小化",-X1375,-ABS(X1375-01_因子設定!$B$16))),-1E+030)</f>
        <v>45.143658625731</v>
      </c>
      <c r="AF1375" s="55" t="n">
        <f aca="false">AD1375+ROW()*0.000000001</f>
        <v>-2.91568259489464</v>
      </c>
      <c r="AG1375" s="55" t="n">
        <f aca="false">AE1375+ROW()*0.000000001</f>
        <v>45.143660000731</v>
      </c>
    </row>
    <row r="1376" customFormat="false" ht="15" hidden="false" customHeight="false" outlineLevel="0" collapsed="false">
      <c r="A1376" s="0" t="n">
        <v>1</v>
      </c>
      <c r="B1376" s="0" t="n">
        <v>7</v>
      </c>
      <c r="C1376" s="0" t="n">
        <v>8</v>
      </c>
      <c r="D1376" s="0" t="n">
        <v>3</v>
      </c>
      <c r="E1376" s="0" t="n">
        <f aca="false">-1+A1376*0.25</f>
        <v>-0.75</v>
      </c>
      <c r="F1376" s="0" t="n">
        <f aca="false">-1+B1376*0.25</f>
        <v>0.75</v>
      </c>
      <c r="G1376" s="0" t="n">
        <f aca="false">-1+C1376*0.25</f>
        <v>1</v>
      </c>
      <c r="H1376" s="0" t="n">
        <f aca="false">-1+D1376*0.25</f>
        <v>-0.25</v>
      </c>
      <c r="I1376" s="0" t="n">
        <f aca="false">1</f>
        <v>1</v>
      </c>
      <c r="J1376" s="0" t="n">
        <f aca="false">E1376</f>
        <v>-0.75</v>
      </c>
      <c r="K1376" s="0" t="n">
        <f aca="false">F1376</f>
        <v>0.75</v>
      </c>
      <c r="L1376" s="0" t="n">
        <f aca="false">G1376</f>
        <v>1</v>
      </c>
      <c r="M1376" s="0" t="n">
        <f aca="false">H1376</f>
        <v>-0.25</v>
      </c>
      <c r="N1376" s="0" t="n">
        <f aca="false">E1376*F1376</f>
        <v>-0.5625</v>
      </c>
      <c r="O1376" s="0" t="n">
        <f aca="false">E1376*G1376</f>
        <v>-0.75</v>
      </c>
      <c r="P1376" s="0" t="n">
        <f aca="false">E1376*H1376</f>
        <v>0.1875</v>
      </c>
      <c r="Q1376" s="0" t="n">
        <f aca="false">F1376*G1376</f>
        <v>0.75</v>
      </c>
      <c r="R1376" s="0" t="n">
        <f aca="false">F1376*H1376</f>
        <v>-0.1875</v>
      </c>
      <c r="S1376" s="0" t="n">
        <f aca="false">G1376*H1376</f>
        <v>-0.25</v>
      </c>
      <c r="T1376" s="0" t="n">
        <f aca="false">E1376*E1376</f>
        <v>0.5625</v>
      </c>
      <c r="U1376" s="0" t="n">
        <f aca="false">F1376*F1376</f>
        <v>0.5625</v>
      </c>
      <c r="V1376" s="0" t="n">
        <f aca="false">G1376*G1376</f>
        <v>1</v>
      </c>
      <c r="W1376" s="0" t="n">
        <f aca="false">H1376*H1376</f>
        <v>0.0625</v>
      </c>
      <c r="X1376" s="0" t="n">
        <f aca="false">SUMPRODUCT(I1376:W1376,_XtX!$B$96:$P$96)</f>
        <v>45.3253517909357</v>
      </c>
      <c r="Y1376" s="0" t="n">
        <f aca="false">SUMPRODUCT(MMULT(I1376:W1376,_XtX!$B$78:$P$92),I1376:W1376)</f>
        <v>0.473959761056287</v>
      </c>
      <c r="Z1376" s="0" t="n">
        <f aca="false">04_回帰ANOVA!$K$19*04_回帰ANOVA!$K$14*SQRT(1+Y1376)</f>
        <v>1.58249084588329</v>
      </c>
      <c r="AA1376" s="0" t="n">
        <f aca="false">X1376-Z1376</f>
        <v>43.7428609450524</v>
      </c>
      <c r="AB1376" s="0" t="n">
        <f aca="false">X1376+Z1376</f>
        <v>46.907842636819</v>
      </c>
      <c r="AC1376" s="54" t="b">
        <f aca="false">AND(E1376&gt;=01_因子設定!$L$5-0.000000001,E1376&lt;=01_因子設定!$M$5+0.000000001,F1376&gt;=01_因子設定!$L$6-0.000000001,F1376&lt;=01_因子設定!$M$6+0.000000001,G1376&gt;=01_因子設定!$L$7-0.000000001,G1376&lt;=01_因子設定!$M$7+0.000000001,H1376&gt;=01_因子設定!$L$8-0.000000001,H1376&lt;=01_因子設定!$M$8+0.000000001,IF(01_因子設定!$B$20="Box-Behnken",E1376^2+F1376^2+G1376^2+H1376^2&lt;=2+0.000000001,TRUE()))</f>
        <v>1</v>
      </c>
      <c r="AD1376" s="55" t="n">
        <f aca="false">IF(AC1376,IF(01_因子設定!$B$13="最大化",AA1376-01_因子設定!$B$14,IF(01_因子設定!$B$13="最小化",01_因子設定!$B$15-AB1376,MIN(AA1376-01_因子設定!$B$14,01_因子設定!$B$15-AB1376))),-1E+030)</f>
        <v>-2.75713905494762</v>
      </c>
      <c r="AE1376" s="55" t="n">
        <f aca="false">IF(AC1376,IF(01_因子設定!$B$13="最大化",X1376,IF(01_因子設定!$B$13="最小化",-X1376,-ABS(X1376-01_因子設定!$B$16))),-1E+030)</f>
        <v>45.3253517909357</v>
      </c>
      <c r="AF1376" s="55" t="n">
        <f aca="false">AD1376+ROW()*0.000000001</f>
        <v>-2.75713767894762</v>
      </c>
      <c r="AG1376" s="55" t="n">
        <f aca="false">AE1376+ROW()*0.000000001</f>
        <v>45.3253531669357</v>
      </c>
    </row>
    <row r="1377" customFormat="false" ht="15" hidden="false" customHeight="false" outlineLevel="0" collapsed="false">
      <c r="A1377" s="0" t="n">
        <v>1</v>
      </c>
      <c r="B1377" s="0" t="n">
        <v>7</v>
      </c>
      <c r="C1377" s="0" t="n">
        <v>8</v>
      </c>
      <c r="D1377" s="0" t="n">
        <v>4</v>
      </c>
      <c r="E1377" s="0" t="n">
        <f aca="false">-1+A1377*0.25</f>
        <v>-0.75</v>
      </c>
      <c r="F1377" s="0" t="n">
        <f aca="false">-1+B1377*0.25</f>
        <v>0.75</v>
      </c>
      <c r="G1377" s="0" t="n">
        <f aca="false">-1+C1377*0.25</f>
        <v>1</v>
      </c>
      <c r="H1377" s="0" t="n">
        <f aca="false">-1+D1377*0.25</f>
        <v>0</v>
      </c>
      <c r="I1377" s="0" t="n">
        <f aca="false">1</f>
        <v>1</v>
      </c>
      <c r="J1377" s="0" t="n">
        <f aca="false">E1377</f>
        <v>-0.75</v>
      </c>
      <c r="K1377" s="0" t="n">
        <f aca="false">F1377</f>
        <v>0.75</v>
      </c>
      <c r="L1377" s="0" t="n">
        <f aca="false">G1377</f>
        <v>1</v>
      </c>
      <c r="M1377" s="0" t="n">
        <f aca="false">H1377</f>
        <v>0</v>
      </c>
      <c r="N1377" s="0" t="n">
        <f aca="false">E1377*F1377</f>
        <v>-0.5625</v>
      </c>
      <c r="O1377" s="0" t="n">
        <f aca="false">E1377*G1377</f>
        <v>-0.75</v>
      </c>
      <c r="P1377" s="0" t="n">
        <f aca="false">E1377*H1377</f>
        <v>-0</v>
      </c>
      <c r="Q1377" s="0" t="n">
        <f aca="false">F1377*G1377</f>
        <v>0.75</v>
      </c>
      <c r="R1377" s="0" t="n">
        <f aca="false">F1377*H1377</f>
        <v>0</v>
      </c>
      <c r="S1377" s="0" t="n">
        <f aca="false">G1377*H1377</f>
        <v>0</v>
      </c>
      <c r="T1377" s="0" t="n">
        <f aca="false">E1377*E1377</f>
        <v>0.5625</v>
      </c>
      <c r="U1377" s="0" t="n">
        <f aca="false">F1377*F1377</f>
        <v>0.5625</v>
      </c>
      <c r="V1377" s="0" t="n">
        <f aca="false">G1377*G1377</f>
        <v>1</v>
      </c>
      <c r="W1377" s="0" t="n">
        <f aca="false">H1377*H1377</f>
        <v>0</v>
      </c>
      <c r="X1377" s="0" t="n">
        <f aca="false">SUMPRODUCT(I1377:W1377,_XtX!$B$96:$P$96)</f>
        <v>45.4592379385965</v>
      </c>
      <c r="Y1377" s="0" t="n">
        <f aca="false">SUMPRODUCT(MMULT(I1377:W1377,_XtX!$B$78:$P$92),I1377:W1377)</f>
        <v>0.494259126005117</v>
      </c>
      <c r="Z1377" s="0" t="n">
        <f aca="false">04_回帰ANOVA!$K$19*04_回帰ANOVA!$K$14*SQRT(1+Y1377)</f>
        <v>1.59335061078203</v>
      </c>
      <c r="AA1377" s="0" t="n">
        <f aca="false">X1377-Z1377</f>
        <v>43.8658873278145</v>
      </c>
      <c r="AB1377" s="0" t="n">
        <f aca="false">X1377+Z1377</f>
        <v>47.0525885493785</v>
      </c>
      <c r="AC1377" s="54" t="b">
        <f aca="false">AND(E1377&gt;=01_因子設定!$L$5-0.000000001,E1377&lt;=01_因子設定!$M$5+0.000000001,F1377&gt;=01_因子設定!$L$6-0.000000001,F1377&lt;=01_因子設定!$M$6+0.000000001,G1377&gt;=01_因子設定!$L$7-0.000000001,G1377&lt;=01_因子設定!$M$7+0.000000001,H1377&gt;=01_因子設定!$L$8-0.000000001,H1377&lt;=01_因子設定!$M$8+0.000000001,IF(01_因子設定!$B$20="Box-Behnken",E1377^2+F1377^2+G1377^2+H1377^2&lt;=2+0.000000001,TRUE()))</f>
        <v>1</v>
      </c>
      <c r="AD1377" s="55" t="n">
        <f aca="false">IF(AC1377,IF(01_因子設定!$B$13="最大化",AA1377-01_因子設定!$B$14,IF(01_因子設定!$B$13="最小化",01_因子設定!$B$15-AB1377,MIN(AA1377-01_因子設定!$B$14,01_因子設定!$B$15-AB1377))),-1E+030)</f>
        <v>-2.63411267218554</v>
      </c>
      <c r="AE1377" s="55" t="n">
        <f aca="false">IF(AC1377,IF(01_因子設定!$B$13="最大化",X1377,IF(01_因子設定!$B$13="最小化",-X1377,-ABS(X1377-01_因子設定!$B$16))),-1E+030)</f>
        <v>45.4592379385965</v>
      </c>
      <c r="AF1377" s="55" t="n">
        <f aca="false">AD1377+ROW()*0.000000001</f>
        <v>-2.63411129518554</v>
      </c>
      <c r="AG1377" s="55" t="n">
        <f aca="false">AE1377+ROW()*0.000000001</f>
        <v>45.4592393155965</v>
      </c>
    </row>
    <row r="1378" customFormat="false" ht="15" hidden="false" customHeight="false" outlineLevel="0" collapsed="false">
      <c r="A1378" s="0" t="n">
        <v>1</v>
      </c>
      <c r="B1378" s="0" t="n">
        <v>7</v>
      </c>
      <c r="C1378" s="0" t="n">
        <v>8</v>
      </c>
      <c r="D1378" s="0" t="n">
        <v>5</v>
      </c>
      <c r="E1378" s="0" t="n">
        <f aca="false">-1+A1378*0.25</f>
        <v>-0.75</v>
      </c>
      <c r="F1378" s="0" t="n">
        <f aca="false">-1+B1378*0.25</f>
        <v>0.75</v>
      </c>
      <c r="G1378" s="0" t="n">
        <f aca="false">-1+C1378*0.25</f>
        <v>1</v>
      </c>
      <c r="H1378" s="0" t="n">
        <f aca="false">-1+D1378*0.25</f>
        <v>0.25</v>
      </c>
      <c r="I1378" s="0" t="n">
        <f aca="false">1</f>
        <v>1</v>
      </c>
      <c r="J1378" s="0" t="n">
        <f aca="false">E1378</f>
        <v>-0.75</v>
      </c>
      <c r="K1378" s="0" t="n">
        <f aca="false">F1378</f>
        <v>0.75</v>
      </c>
      <c r="L1378" s="0" t="n">
        <f aca="false">G1378</f>
        <v>1</v>
      </c>
      <c r="M1378" s="0" t="n">
        <f aca="false">H1378</f>
        <v>0.25</v>
      </c>
      <c r="N1378" s="0" t="n">
        <f aca="false">E1378*F1378</f>
        <v>-0.5625</v>
      </c>
      <c r="O1378" s="0" t="n">
        <f aca="false">E1378*G1378</f>
        <v>-0.75</v>
      </c>
      <c r="P1378" s="0" t="n">
        <f aca="false">E1378*H1378</f>
        <v>-0.1875</v>
      </c>
      <c r="Q1378" s="0" t="n">
        <f aca="false">F1378*G1378</f>
        <v>0.75</v>
      </c>
      <c r="R1378" s="0" t="n">
        <f aca="false">F1378*H1378</f>
        <v>0.1875</v>
      </c>
      <c r="S1378" s="0" t="n">
        <f aca="false">G1378*H1378</f>
        <v>0.25</v>
      </c>
      <c r="T1378" s="0" t="n">
        <f aca="false">E1378*E1378</f>
        <v>0.5625</v>
      </c>
      <c r="U1378" s="0" t="n">
        <f aca="false">F1378*F1378</f>
        <v>0.5625</v>
      </c>
      <c r="V1378" s="0" t="n">
        <f aca="false">G1378*G1378</f>
        <v>1</v>
      </c>
      <c r="W1378" s="0" t="n">
        <f aca="false">H1378*H1378</f>
        <v>0.0625</v>
      </c>
      <c r="X1378" s="0" t="n">
        <f aca="false">SUMPRODUCT(I1378:W1378,_XtX!$B$96:$P$96)</f>
        <v>45.5453170687134</v>
      </c>
      <c r="Y1378" s="0" t="n">
        <f aca="false">SUMPRODUCT(MMULT(I1378:W1378,_XtX!$B$78:$P$92),I1378:W1378)</f>
        <v>0.473959761056287</v>
      </c>
      <c r="Z1378" s="0" t="n">
        <f aca="false">04_回帰ANOVA!$K$19*04_回帰ANOVA!$K$14*SQRT(1+Y1378)</f>
        <v>1.58249084588329</v>
      </c>
      <c r="AA1378" s="0" t="n">
        <f aca="false">X1378-Z1378</f>
        <v>43.9628262228302</v>
      </c>
      <c r="AB1378" s="0" t="n">
        <f aca="false">X1378+Z1378</f>
        <v>47.1278079145967</v>
      </c>
      <c r="AC1378" s="54" t="b">
        <f aca="false">AND(E1378&gt;=01_因子設定!$L$5-0.000000001,E1378&lt;=01_因子設定!$M$5+0.000000001,F1378&gt;=01_因子設定!$L$6-0.000000001,F1378&lt;=01_因子設定!$M$6+0.000000001,G1378&gt;=01_因子設定!$L$7-0.000000001,G1378&lt;=01_因子設定!$M$7+0.000000001,H1378&gt;=01_因子設定!$L$8-0.000000001,H1378&lt;=01_因子設定!$M$8+0.000000001,IF(01_因子設定!$B$20="Box-Behnken",E1378^2+F1378^2+G1378^2+H1378^2&lt;=2+0.000000001,TRUE()))</f>
        <v>1</v>
      </c>
      <c r="AD1378" s="55" t="n">
        <f aca="false">IF(AC1378,IF(01_因子設定!$B$13="最大化",AA1378-01_因子設定!$B$14,IF(01_因子設定!$B$13="最小化",01_因子設定!$B$15-AB1378,MIN(AA1378-01_因子設定!$B$14,01_因子設定!$B$15-AB1378))),-1E+030)</f>
        <v>-2.53717377716984</v>
      </c>
      <c r="AE1378" s="55" t="n">
        <f aca="false">IF(AC1378,IF(01_因子設定!$B$13="最大化",X1378,IF(01_因子設定!$B$13="最小化",-X1378,-ABS(X1378-01_因子設定!$B$16))),-1E+030)</f>
        <v>45.5453170687134</v>
      </c>
      <c r="AF1378" s="55" t="n">
        <f aca="false">AD1378+ROW()*0.000000001</f>
        <v>-2.53717239916984</v>
      </c>
      <c r="AG1378" s="55" t="n">
        <f aca="false">AE1378+ROW()*0.000000001</f>
        <v>45.5453184467134</v>
      </c>
    </row>
    <row r="1379" customFormat="false" ht="15" hidden="false" customHeight="false" outlineLevel="0" collapsed="false">
      <c r="A1379" s="0" t="n">
        <v>1</v>
      </c>
      <c r="B1379" s="0" t="n">
        <v>7</v>
      </c>
      <c r="C1379" s="0" t="n">
        <v>8</v>
      </c>
      <c r="D1379" s="0" t="n">
        <v>6</v>
      </c>
      <c r="E1379" s="0" t="n">
        <f aca="false">-1+A1379*0.25</f>
        <v>-0.75</v>
      </c>
      <c r="F1379" s="0" t="n">
        <f aca="false">-1+B1379*0.25</f>
        <v>0.75</v>
      </c>
      <c r="G1379" s="0" t="n">
        <f aca="false">-1+C1379*0.25</f>
        <v>1</v>
      </c>
      <c r="H1379" s="0" t="n">
        <f aca="false">-1+D1379*0.25</f>
        <v>0.5</v>
      </c>
      <c r="I1379" s="0" t="n">
        <f aca="false">1</f>
        <v>1</v>
      </c>
      <c r="J1379" s="0" t="n">
        <f aca="false">E1379</f>
        <v>-0.75</v>
      </c>
      <c r="K1379" s="0" t="n">
        <f aca="false">F1379</f>
        <v>0.75</v>
      </c>
      <c r="L1379" s="0" t="n">
        <f aca="false">G1379</f>
        <v>1</v>
      </c>
      <c r="M1379" s="0" t="n">
        <f aca="false">H1379</f>
        <v>0.5</v>
      </c>
      <c r="N1379" s="0" t="n">
        <f aca="false">E1379*F1379</f>
        <v>-0.5625</v>
      </c>
      <c r="O1379" s="0" t="n">
        <f aca="false">E1379*G1379</f>
        <v>-0.75</v>
      </c>
      <c r="P1379" s="0" t="n">
        <f aca="false">E1379*H1379</f>
        <v>-0.375</v>
      </c>
      <c r="Q1379" s="0" t="n">
        <f aca="false">F1379*G1379</f>
        <v>0.75</v>
      </c>
      <c r="R1379" s="0" t="n">
        <f aca="false">F1379*H1379</f>
        <v>0.375</v>
      </c>
      <c r="S1379" s="0" t="n">
        <f aca="false">G1379*H1379</f>
        <v>0.5</v>
      </c>
      <c r="T1379" s="0" t="n">
        <f aca="false">E1379*E1379</f>
        <v>0.5625</v>
      </c>
      <c r="U1379" s="0" t="n">
        <f aca="false">F1379*F1379</f>
        <v>0.5625</v>
      </c>
      <c r="V1379" s="0" t="n">
        <f aca="false">G1379*G1379</f>
        <v>1</v>
      </c>
      <c r="W1379" s="0" t="n">
        <f aca="false">H1379*H1379</f>
        <v>0.25</v>
      </c>
      <c r="X1379" s="0" t="n">
        <f aca="false">SUMPRODUCT(I1379:W1379,_XtX!$B$96:$P$96)</f>
        <v>45.5835891812866</v>
      </c>
      <c r="Y1379" s="0" t="n">
        <f aca="false">SUMPRODUCT(MMULT(I1379:W1379,_XtX!$B$78:$P$92),I1379:W1379)</f>
        <v>0.431153771472953</v>
      </c>
      <c r="Z1379" s="0" t="n">
        <f aca="false">04_回帰ANOVA!$K$19*04_回帰ANOVA!$K$14*SQRT(1+Y1379)</f>
        <v>1.55934259562563</v>
      </c>
      <c r="AA1379" s="0" t="n">
        <f aca="false">X1379-Z1379</f>
        <v>44.0242465856609</v>
      </c>
      <c r="AB1379" s="0" t="n">
        <f aca="false">X1379+Z1379</f>
        <v>47.1429317769122</v>
      </c>
      <c r="AC1379" s="54" t="b">
        <f aca="false">AND(E1379&gt;=01_因子設定!$L$5-0.000000001,E1379&lt;=01_因子設定!$M$5+0.000000001,F1379&gt;=01_因子設定!$L$6-0.000000001,F1379&lt;=01_因子設定!$M$6+0.000000001,G1379&gt;=01_因子設定!$L$7-0.000000001,G1379&lt;=01_因子設定!$M$7+0.000000001,H1379&gt;=01_因子設定!$L$8-0.000000001,H1379&lt;=01_因子設定!$M$8+0.000000001,IF(01_因子設定!$B$20="Box-Behnken",E1379^2+F1379^2+G1379^2+H1379^2&lt;=2+0.000000001,TRUE()))</f>
        <v>1</v>
      </c>
      <c r="AD1379" s="55" t="n">
        <f aca="false">IF(AC1379,IF(01_因子設定!$B$13="最大化",AA1379-01_因子設定!$B$14,IF(01_因子設定!$B$13="最小化",01_因子設定!$B$15-AB1379,MIN(AA1379-01_因子設定!$B$14,01_因子設定!$B$15-AB1379))),-1E+030)</f>
        <v>-2.47575341433908</v>
      </c>
      <c r="AE1379" s="55" t="n">
        <f aca="false">IF(AC1379,IF(01_因子設定!$B$13="最大化",X1379,IF(01_因子設定!$B$13="最小化",-X1379,-ABS(X1379-01_因子設定!$B$16))),-1E+030)</f>
        <v>45.5835891812866</v>
      </c>
      <c r="AF1379" s="55" t="n">
        <f aca="false">AD1379+ROW()*0.000000001</f>
        <v>-2.47575203533908</v>
      </c>
      <c r="AG1379" s="55" t="n">
        <f aca="false">AE1379+ROW()*0.000000001</f>
        <v>45.5835905602865</v>
      </c>
    </row>
    <row r="1380" customFormat="false" ht="15" hidden="false" customHeight="false" outlineLevel="0" collapsed="false">
      <c r="A1380" s="0" t="n">
        <v>1</v>
      </c>
      <c r="B1380" s="0" t="n">
        <v>7</v>
      </c>
      <c r="C1380" s="0" t="n">
        <v>8</v>
      </c>
      <c r="D1380" s="0" t="n">
        <v>7</v>
      </c>
      <c r="E1380" s="0" t="n">
        <f aca="false">-1+A1380*0.25</f>
        <v>-0.75</v>
      </c>
      <c r="F1380" s="0" t="n">
        <f aca="false">-1+B1380*0.25</f>
        <v>0.75</v>
      </c>
      <c r="G1380" s="0" t="n">
        <f aca="false">-1+C1380*0.25</f>
        <v>1</v>
      </c>
      <c r="H1380" s="0" t="n">
        <f aca="false">-1+D1380*0.25</f>
        <v>0.75</v>
      </c>
      <c r="I1380" s="0" t="n">
        <f aca="false">1</f>
        <v>1</v>
      </c>
      <c r="J1380" s="0" t="n">
        <f aca="false">E1380</f>
        <v>-0.75</v>
      </c>
      <c r="K1380" s="0" t="n">
        <f aca="false">F1380</f>
        <v>0.75</v>
      </c>
      <c r="L1380" s="0" t="n">
        <f aca="false">G1380</f>
        <v>1</v>
      </c>
      <c r="M1380" s="0" t="n">
        <f aca="false">H1380</f>
        <v>0.75</v>
      </c>
      <c r="N1380" s="0" t="n">
        <f aca="false">E1380*F1380</f>
        <v>-0.5625</v>
      </c>
      <c r="O1380" s="0" t="n">
        <f aca="false">E1380*G1380</f>
        <v>-0.75</v>
      </c>
      <c r="P1380" s="0" t="n">
        <f aca="false">E1380*H1380</f>
        <v>-0.5625</v>
      </c>
      <c r="Q1380" s="0" t="n">
        <f aca="false">F1380*G1380</f>
        <v>0.75</v>
      </c>
      <c r="R1380" s="0" t="n">
        <f aca="false">F1380*H1380</f>
        <v>0.5625</v>
      </c>
      <c r="S1380" s="0" t="n">
        <f aca="false">G1380*H1380</f>
        <v>0.75</v>
      </c>
      <c r="T1380" s="0" t="n">
        <f aca="false">E1380*E1380</f>
        <v>0.5625</v>
      </c>
      <c r="U1380" s="0" t="n">
        <f aca="false">F1380*F1380</f>
        <v>0.5625</v>
      </c>
      <c r="V1380" s="0" t="n">
        <f aca="false">G1380*G1380</f>
        <v>1</v>
      </c>
      <c r="W1380" s="0" t="n">
        <f aca="false">H1380*H1380</f>
        <v>0.5625</v>
      </c>
      <c r="X1380" s="0" t="n">
        <f aca="false">SUMPRODUCT(I1380:W1380,_XtX!$B$96:$P$96)</f>
        <v>45.5740542763158</v>
      </c>
      <c r="Y1380" s="0" t="n">
        <f aca="false">SUMPRODUCT(MMULT(I1380:W1380,_XtX!$B$78:$P$92),I1380:W1380)</f>
        <v>0.420117473044591</v>
      </c>
      <c r="Z1380" s="0" t="n">
        <f aca="false">04_回帰ANOVA!$K$19*04_回帰ANOVA!$K$14*SQRT(1+Y1380)</f>
        <v>1.55331854827765</v>
      </c>
      <c r="AA1380" s="0" t="n">
        <f aca="false">X1380-Z1380</f>
        <v>44.0207357280382</v>
      </c>
      <c r="AB1380" s="0" t="n">
        <f aca="false">X1380+Z1380</f>
        <v>47.1273728245934</v>
      </c>
      <c r="AC1380" s="54" t="b">
        <f aca="false">AND(E1380&gt;=01_因子設定!$L$5-0.000000001,E1380&lt;=01_因子設定!$M$5+0.000000001,F1380&gt;=01_因子設定!$L$6-0.000000001,F1380&lt;=01_因子設定!$M$6+0.000000001,G1380&gt;=01_因子設定!$L$7-0.000000001,G1380&lt;=01_因子設定!$M$7+0.000000001,H1380&gt;=01_因子設定!$L$8-0.000000001,H1380&lt;=01_因子設定!$M$8+0.000000001,IF(01_因子設定!$B$20="Box-Behnken",E1380^2+F1380^2+G1380^2+H1380^2&lt;=2+0.000000001,TRUE()))</f>
        <v>1</v>
      </c>
      <c r="AD1380" s="55" t="n">
        <f aca="false">IF(AC1380,IF(01_因子設定!$B$13="最大化",AA1380-01_因子設定!$B$14,IF(01_因子設定!$B$13="最小化",01_因子設定!$B$15-AB1380,MIN(AA1380-01_因子設定!$B$14,01_因子設定!$B$15-AB1380))),-1E+030)</f>
        <v>-2.47926427196185</v>
      </c>
      <c r="AE1380" s="55" t="n">
        <f aca="false">IF(AC1380,IF(01_因子設定!$B$13="最大化",X1380,IF(01_因子設定!$B$13="最小化",-X1380,-ABS(X1380-01_因子設定!$B$16))),-1E+030)</f>
        <v>45.5740542763158</v>
      </c>
      <c r="AF1380" s="55" t="n">
        <f aca="false">AD1380+ROW()*0.000000001</f>
        <v>-2.47926289196185</v>
      </c>
      <c r="AG1380" s="55" t="n">
        <f aca="false">AE1380+ROW()*0.000000001</f>
        <v>45.5740556563158</v>
      </c>
    </row>
    <row r="1381" customFormat="false" ht="15" hidden="false" customHeight="false" outlineLevel="0" collapsed="false">
      <c r="A1381" s="0" t="n">
        <v>1</v>
      </c>
      <c r="B1381" s="0" t="n">
        <v>7</v>
      </c>
      <c r="C1381" s="0" t="n">
        <v>8</v>
      </c>
      <c r="D1381" s="0" t="n">
        <v>8</v>
      </c>
      <c r="E1381" s="0" t="n">
        <f aca="false">-1+A1381*0.25</f>
        <v>-0.75</v>
      </c>
      <c r="F1381" s="0" t="n">
        <f aca="false">-1+B1381*0.25</f>
        <v>0.75</v>
      </c>
      <c r="G1381" s="0" t="n">
        <f aca="false">-1+C1381*0.25</f>
        <v>1</v>
      </c>
      <c r="H1381" s="0" t="n">
        <f aca="false">-1+D1381*0.25</f>
        <v>1</v>
      </c>
      <c r="I1381" s="0" t="n">
        <f aca="false">1</f>
        <v>1</v>
      </c>
      <c r="J1381" s="0" t="n">
        <f aca="false">E1381</f>
        <v>-0.75</v>
      </c>
      <c r="K1381" s="0" t="n">
        <f aca="false">F1381</f>
        <v>0.75</v>
      </c>
      <c r="L1381" s="0" t="n">
        <f aca="false">G1381</f>
        <v>1</v>
      </c>
      <c r="M1381" s="0" t="n">
        <f aca="false">H1381</f>
        <v>1</v>
      </c>
      <c r="N1381" s="0" t="n">
        <f aca="false">E1381*F1381</f>
        <v>-0.5625</v>
      </c>
      <c r="O1381" s="0" t="n">
        <f aca="false">E1381*G1381</f>
        <v>-0.75</v>
      </c>
      <c r="P1381" s="0" t="n">
        <f aca="false">E1381*H1381</f>
        <v>-0.75</v>
      </c>
      <c r="Q1381" s="0" t="n">
        <f aca="false">F1381*G1381</f>
        <v>0.75</v>
      </c>
      <c r="R1381" s="0" t="n">
        <f aca="false">F1381*H1381</f>
        <v>0.75</v>
      </c>
      <c r="S1381" s="0" t="n">
        <f aca="false">G1381*H1381</f>
        <v>1</v>
      </c>
      <c r="T1381" s="0" t="n">
        <f aca="false">E1381*E1381</f>
        <v>0.5625</v>
      </c>
      <c r="U1381" s="0" t="n">
        <f aca="false">F1381*F1381</f>
        <v>0.5625</v>
      </c>
      <c r="V1381" s="0" t="n">
        <f aca="false">G1381*G1381</f>
        <v>1</v>
      </c>
      <c r="W1381" s="0" t="n">
        <f aca="false">H1381*H1381</f>
        <v>1</v>
      </c>
      <c r="X1381" s="0" t="n">
        <f aca="false">SUMPRODUCT(I1381:W1381,_XtX!$B$96:$P$96)</f>
        <v>45.5167123538012</v>
      </c>
      <c r="Y1381" s="0" t="n">
        <f aca="false">SUMPRODUCT(MMULT(I1381:W1381,_XtX!$B$78:$P$92),I1381:W1381)</f>
        <v>0.531311392086988</v>
      </c>
      <c r="Z1381" s="0" t="n">
        <f aca="false">04_回帰ANOVA!$K$19*04_回帰ANOVA!$K$14*SQRT(1+Y1381)</f>
        <v>1.61298433431428</v>
      </c>
      <c r="AA1381" s="0" t="n">
        <f aca="false">X1381-Z1381</f>
        <v>43.9037280194869</v>
      </c>
      <c r="AB1381" s="0" t="n">
        <f aca="false">X1381+Z1381</f>
        <v>47.1296966881155</v>
      </c>
      <c r="AC1381" s="54" t="b">
        <f aca="false">AND(E1381&gt;=01_因子設定!$L$5-0.000000001,E1381&lt;=01_因子設定!$M$5+0.000000001,F1381&gt;=01_因子設定!$L$6-0.000000001,F1381&lt;=01_因子設定!$M$6+0.000000001,G1381&gt;=01_因子設定!$L$7-0.000000001,G1381&lt;=01_因子設定!$M$7+0.000000001,H1381&gt;=01_因子設定!$L$8-0.000000001,H1381&lt;=01_因子設定!$M$8+0.000000001,IF(01_因子設定!$B$20="Box-Behnken",E1381^2+F1381^2+G1381^2+H1381^2&lt;=2+0.000000001,TRUE()))</f>
        <v>1</v>
      </c>
      <c r="AD1381" s="55" t="n">
        <f aca="false">IF(AC1381,IF(01_因子設定!$B$13="最大化",AA1381-01_因子設定!$B$14,IF(01_因子設定!$B$13="最小化",01_因子設定!$B$15-AB1381,MIN(AA1381-01_因子設定!$B$14,01_因子設定!$B$15-AB1381))),-1E+030)</f>
        <v>-2.59627198051309</v>
      </c>
      <c r="AE1381" s="55" t="n">
        <f aca="false">IF(AC1381,IF(01_因子設定!$B$13="最大化",X1381,IF(01_因子設定!$B$13="最小化",-X1381,-ABS(X1381-01_因子設定!$B$16))),-1E+030)</f>
        <v>45.5167123538012</v>
      </c>
      <c r="AF1381" s="55" t="n">
        <f aca="false">AD1381+ROW()*0.000000001</f>
        <v>-2.59627059951309</v>
      </c>
      <c r="AG1381" s="55" t="n">
        <f aca="false">AE1381+ROW()*0.000000001</f>
        <v>45.5167137348012</v>
      </c>
    </row>
    <row r="1382" customFormat="false" ht="15" hidden="false" customHeight="false" outlineLevel="0" collapsed="false">
      <c r="A1382" s="0" t="n">
        <v>1</v>
      </c>
      <c r="B1382" s="0" t="n">
        <v>8</v>
      </c>
      <c r="C1382" s="0" t="n">
        <v>0</v>
      </c>
      <c r="D1382" s="0" t="n">
        <v>0</v>
      </c>
      <c r="E1382" s="0" t="n">
        <f aca="false">-1+A1382*0.25</f>
        <v>-0.75</v>
      </c>
      <c r="F1382" s="0" t="n">
        <f aca="false">-1+B1382*0.25</f>
        <v>1</v>
      </c>
      <c r="G1382" s="0" t="n">
        <f aca="false">-1+C1382*0.25</f>
        <v>-1</v>
      </c>
      <c r="H1382" s="0" t="n">
        <f aca="false">-1+D1382*0.25</f>
        <v>-1</v>
      </c>
      <c r="I1382" s="0" t="n">
        <f aca="false">1</f>
        <v>1</v>
      </c>
      <c r="J1382" s="0" t="n">
        <f aca="false">E1382</f>
        <v>-0.75</v>
      </c>
      <c r="K1382" s="0" t="n">
        <f aca="false">F1382</f>
        <v>1</v>
      </c>
      <c r="L1382" s="0" t="n">
        <f aca="false">G1382</f>
        <v>-1</v>
      </c>
      <c r="M1382" s="0" t="n">
        <f aca="false">H1382</f>
        <v>-1</v>
      </c>
      <c r="N1382" s="0" t="n">
        <f aca="false">E1382*F1382</f>
        <v>-0.75</v>
      </c>
      <c r="O1382" s="0" t="n">
        <f aca="false">E1382*G1382</f>
        <v>0.75</v>
      </c>
      <c r="P1382" s="0" t="n">
        <f aca="false">E1382*H1382</f>
        <v>0.75</v>
      </c>
      <c r="Q1382" s="0" t="n">
        <f aca="false">F1382*G1382</f>
        <v>-1</v>
      </c>
      <c r="R1382" s="0" t="n">
        <f aca="false">F1382*H1382</f>
        <v>-1</v>
      </c>
      <c r="S1382" s="0" t="n">
        <f aca="false">G1382*H1382</f>
        <v>1</v>
      </c>
      <c r="T1382" s="0" t="n">
        <f aca="false">E1382*E1382</f>
        <v>0.5625</v>
      </c>
      <c r="U1382" s="0" t="n">
        <f aca="false">F1382*F1382</f>
        <v>1</v>
      </c>
      <c r="V1382" s="0" t="n">
        <f aca="false">G1382*G1382</f>
        <v>1</v>
      </c>
      <c r="W1382" s="0" t="n">
        <f aca="false">H1382*H1382</f>
        <v>1</v>
      </c>
      <c r="X1382" s="0" t="n">
        <f aca="false">SUMPRODUCT(I1382:W1382,_XtX!$B$96:$P$96)</f>
        <v>40.959283625731</v>
      </c>
      <c r="Y1382" s="0" t="n">
        <f aca="false">SUMPRODUCT(MMULT(I1382:W1382,_XtX!$B$78:$P$92),I1382:W1382)</f>
        <v>0.610814144736842</v>
      </c>
      <c r="Z1382" s="0" t="n">
        <f aca="false">04_回帰ANOVA!$K$19*04_回帰ANOVA!$K$14*SQRT(1+Y1382)</f>
        <v>1.6543260558361</v>
      </c>
      <c r="AA1382" s="0" t="n">
        <f aca="false">X1382-Z1382</f>
        <v>39.3049575698949</v>
      </c>
      <c r="AB1382" s="0" t="n">
        <f aca="false">X1382+Z1382</f>
        <v>42.6136096815671</v>
      </c>
      <c r="AC1382" s="54" t="b">
        <f aca="false">AND(E1382&gt;=01_因子設定!$L$5-0.000000001,E1382&lt;=01_因子設定!$M$5+0.000000001,F1382&gt;=01_因子設定!$L$6-0.000000001,F1382&lt;=01_因子設定!$M$6+0.000000001,G1382&gt;=01_因子設定!$L$7-0.000000001,G1382&lt;=01_因子設定!$M$7+0.000000001,H1382&gt;=01_因子設定!$L$8-0.000000001,H1382&lt;=01_因子設定!$M$8+0.000000001,IF(01_因子設定!$B$20="Box-Behnken",E1382^2+F1382^2+G1382^2+H1382^2&lt;=2+0.000000001,TRUE()))</f>
        <v>1</v>
      </c>
      <c r="AD1382" s="55" t="n">
        <f aca="false">IF(AC1382,IF(01_因子設定!$B$13="最大化",AA1382-01_因子設定!$B$14,IF(01_因子設定!$B$13="最小化",01_因子設定!$B$15-AB1382,MIN(AA1382-01_因子設定!$B$14,01_因子設定!$B$15-AB1382))),-1E+030)</f>
        <v>-7.19504243010508</v>
      </c>
      <c r="AE1382" s="55" t="n">
        <f aca="false">IF(AC1382,IF(01_因子設定!$B$13="最大化",X1382,IF(01_因子設定!$B$13="最小化",-X1382,-ABS(X1382-01_因子設定!$B$16))),-1E+030)</f>
        <v>40.959283625731</v>
      </c>
      <c r="AF1382" s="55" t="n">
        <f aca="false">AD1382+ROW()*0.000000001</f>
        <v>-7.19504104810508</v>
      </c>
      <c r="AG1382" s="55" t="n">
        <f aca="false">AE1382+ROW()*0.000000001</f>
        <v>40.959285007731</v>
      </c>
    </row>
    <row r="1383" customFormat="false" ht="15" hidden="false" customHeight="false" outlineLevel="0" collapsed="false">
      <c r="A1383" s="0" t="n">
        <v>1</v>
      </c>
      <c r="B1383" s="0" t="n">
        <v>8</v>
      </c>
      <c r="C1383" s="0" t="n">
        <v>0</v>
      </c>
      <c r="D1383" s="0" t="n">
        <v>1</v>
      </c>
      <c r="E1383" s="0" t="n">
        <f aca="false">-1+A1383*0.25</f>
        <v>-0.75</v>
      </c>
      <c r="F1383" s="0" t="n">
        <f aca="false">-1+B1383*0.25</f>
        <v>1</v>
      </c>
      <c r="G1383" s="0" t="n">
        <f aca="false">-1+C1383*0.25</f>
        <v>-1</v>
      </c>
      <c r="H1383" s="0" t="n">
        <f aca="false">-1+D1383*0.25</f>
        <v>-0.75</v>
      </c>
      <c r="I1383" s="0" t="n">
        <f aca="false">1</f>
        <v>1</v>
      </c>
      <c r="J1383" s="0" t="n">
        <f aca="false">E1383</f>
        <v>-0.75</v>
      </c>
      <c r="K1383" s="0" t="n">
        <f aca="false">F1383</f>
        <v>1</v>
      </c>
      <c r="L1383" s="0" t="n">
        <f aca="false">G1383</f>
        <v>-1</v>
      </c>
      <c r="M1383" s="0" t="n">
        <f aca="false">H1383</f>
        <v>-0.75</v>
      </c>
      <c r="N1383" s="0" t="n">
        <f aca="false">E1383*F1383</f>
        <v>-0.75</v>
      </c>
      <c r="O1383" s="0" t="n">
        <f aca="false">E1383*G1383</f>
        <v>0.75</v>
      </c>
      <c r="P1383" s="0" t="n">
        <f aca="false">E1383*H1383</f>
        <v>0.5625</v>
      </c>
      <c r="Q1383" s="0" t="n">
        <f aca="false">F1383*G1383</f>
        <v>-1</v>
      </c>
      <c r="R1383" s="0" t="n">
        <f aca="false">F1383*H1383</f>
        <v>-0.75</v>
      </c>
      <c r="S1383" s="0" t="n">
        <f aca="false">G1383*H1383</f>
        <v>0.75</v>
      </c>
      <c r="T1383" s="0" t="n">
        <f aca="false">E1383*E1383</f>
        <v>0.5625</v>
      </c>
      <c r="U1383" s="0" t="n">
        <f aca="false">F1383*F1383</f>
        <v>1</v>
      </c>
      <c r="V1383" s="0" t="n">
        <f aca="false">G1383*G1383</f>
        <v>1</v>
      </c>
      <c r="W1383" s="0" t="n">
        <f aca="false">H1383*H1383</f>
        <v>0.5625</v>
      </c>
      <c r="X1383" s="0" t="n">
        <f aca="false">SUMPRODUCT(I1383:W1383,_XtX!$B$96:$P$96)</f>
        <v>41.0795595760234</v>
      </c>
      <c r="Y1383" s="0" t="n">
        <f aca="false">SUMPRODUCT(MMULT(I1383:W1383,_XtX!$B$78:$P$92),I1383:W1383)</f>
        <v>0.531311392086988</v>
      </c>
      <c r="Z1383" s="0" t="n">
        <f aca="false">04_回帰ANOVA!$K$19*04_回帰ANOVA!$K$14*SQRT(1+Y1383)</f>
        <v>1.61298433431428</v>
      </c>
      <c r="AA1383" s="0" t="n">
        <f aca="false">X1383-Z1383</f>
        <v>39.4665752417091</v>
      </c>
      <c r="AB1383" s="0" t="n">
        <f aca="false">X1383+Z1383</f>
        <v>42.6925439103377</v>
      </c>
      <c r="AC1383" s="54" t="b">
        <f aca="false">AND(E1383&gt;=01_因子設定!$L$5-0.000000001,E1383&lt;=01_因子設定!$M$5+0.000000001,F1383&gt;=01_因子設定!$L$6-0.000000001,F1383&lt;=01_因子設定!$M$6+0.000000001,G1383&gt;=01_因子設定!$L$7-0.000000001,G1383&lt;=01_因子設定!$M$7+0.000000001,H1383&gt;=01_因子設定!$L$8-0.000000001,H1383&lt;=01_因子設定!$M$8+0.000000001,IF(01_因子設定!$B$20="Box-Behnken",E1383^2+F1383^2+G1383^2+H1383^2&lt;=2+0.000000001,TRUE()))</f>
        <v>1</v>
      </c>
      <c r="AD1383" s="55" t="n">
        <f aca="false">IF(AC1383,IF(01_因子設定!$B$13="最大化",AA1383-01_因子設定!$B$14,IF(01_因子設定!$B$13="最小化",01_因子設定!$B$15-AB1383,MIN(AA1383-01_因子設定!$B$14,01_因子設定!$B$15-AB1383))),-1E+030)</f>
        <v>-7.03342475829088</v>
      </c>
      <c r="AE1383" s="55" t="n">
        <f aca="false">IF(AC1383,IF(01_因子設定!$B$13="最大化",X1383,IF(01_因子設定!$B$13="最小化",-X1383,-ABS(X1383-01_因子設定!$B$16))),-1E+030)</f>
        <v>41.0795595760234</v>
      </c>
      <c r="AF1383" s="55" t="n">
        <f aca="false">AD1383+ROW()*0.000000001</f>
        <v>-7.03342337529089</v>
      </c>
      <c r="AG1383" s="55" t="n">
        <f aca="false">AE1383+ROW()*0.000000001</f>
        <v>41.0795609590234</v>
      </c>
    </row>
    <row r="1384" customFormat="false" ht="15" hidden="false" customHeight="false" outlineLevel="0" collapsed="false">
      <c r="A1384" s="0" t="n">
        <v>1</v>
      </c>
      <c r="B1384" s="0" t="n">
        <v>8</v>
      </c>
      <c r="C1384" s="0" t="n">
        <v>0</v>
      </c>
      <c r="D1384" s="0" t="n">
        <v>2</v>
      </c>
      <c r="E1384" s="0" t="n">
        <f aca="false">-1+A1384*0.25</f>
        <v>-0.75</v>
      </c>
      <c r="F1384" s="0" t="n">
        <f aca="false">-1+B1384*0.25</f>
        <v>1</v>
      </c>
      <c r="G1384" s="0" t="n">
        <f aca="false">-1+C1384*0.25</f>
        <v>-1</v>
      </c>
      <c r="H1384" s="0" t="n">
        <f aca="false">-1+D1384*0.25</f>
        <v>-0.5</v>
      </c>
      <c r="I1384" s="0" t="n">
        <f aca="false">1</f>
        <v>1</v>
      </c>
      <c r="J1384" s="0" t="n">
        <f aca="false">E1384</f>
        <v>-0.75</v>
      </c>
      <c r="K1384" s="0" t="n">
        <f aca="false">F1384</f>
        <v>1</v>
      </c>
      <c r="L1384" s="0" t="n">
        <f aca="false">G1384</f>
        <v>-1</v>
      </c>
      <c r="M1384" s="0" t="n">
        <f aca="false">H1384</f>
        <v>-0.5</v>
      </c>
      <c r="N1384" s="0" t="n">
        <f aca="false">E1384*F1384</f>
        <v>-0.75</v>
      </c>
      <c r="O1384" s="0" t="n">
        <f aca="false">E1384*G1384</f>
        <v>0.75</v>
      </c>
      <c r="P1384" s="0" t="n">
        <f aca="false">E1384*H1384</f>
        <v>0.375</v>
      </c>
      <c r="Q1384" s="0" t="n">
        <f aca="false">F1384*G1384</f>
        <v>-1</v>
      </c>
      <c r="R1384" s="0" t="n">
        <f aca="false">F1384*H1384</f>
        <v>-0.5</v>
      </c>
      <c r="S1384" s="0" t="n">
        <f aca="false">G1384*H1384</f>
        <v>0.5</v>
      </c>
      <c r="T1384" s="0" t="n">
        <f aca="false">E1384*E1384</f>
        <v>0.5625</v>
      </c>
      <c r="U1384" s="0" t="n">
        <f aca="false">F1384*F1384</f>
        <v>1</v>
      </c>
      <c r="V1384" s="0" t="n">
        <f aca="false">G1384*G1384</f>
        <v>1</v>
      </c>
      <c r="W1384" s="0" t="n">
        <f aca="false">H1384*H1384</f>
        <v>0.25</v>
      </c>
      <c r="X1384" s="0" t="n">
        <f aca="false">SUMPRODUCT(I1384:W1384,_XtX!$B$96:$P$96)</f>
        <v>41.1520285087719</v>
      </c>
      <c r="Y1384" s="0" t="n">
        <f aca="false">SUMPRODUCT(MMULT(I1384:W1384,_XtX!$B$78:$P$92),I1384:W1384)</f>
        <v>0.564984237938597</v>
      </c>
      <c r="Z1384" s="0" t="n">
        <f aca="false">04_回帰ANOVA!$K$19*04_回帰ANOVA!$K$14*SQRT(1+Y1384)</f>
        <v>1.63062229734503</v>
      </c>
      <c r="AA1384" s="0" t="n">
        <f aca="false">X1384-Z1384</f>
        <v>39.5214062114269</v>
      </c>
      <c r="AB1384" s="0" t="n">
        <f aca="false">X1384+Z1384</f>
        <v>42.782650806117</v>
      </c>
      <c r="AC1384" s="54" t="b">
        <f aca="false">AND(E1384&gt;=01_因子設定!$L$5-0.000000001,E1384&lt;=01_因子設定!$M$5+0.000000001,F1384&gt;=01_因子設定!$L$6-0.000000001,F1384&lt;=01_因子設定!$M$6+0.000000001,G1384&gt;=01_因子設定!$L$7-0.000000001,G1384&lt;=01_因子設定!$M$7+0.000000001,H1384&gt;=01_因子設定!$L$8-0.000000001,H1384&lt;=01_因子設定!$M$8+0.000000001,IF(01_因子設定!$B$20="Box-Behnken",E1384^2+F1384^2+G1384^2+H1384^2&lt;=2+0.000000001,TRUE()))</f>
        <v>1</v>
      </c>
      <c r="AD1384" s="55" t="n">
        <f aca="false">IF(AC1384,IF(01_因子設定!$B$13="最大化",AA1384-01_因子設定!$B$14,IF(01_因子設定!$B$13="最小化",01_因子設定!$B$15-AB1384,MIN(AA1384-01_因子設定!$B$14,01_因子設定!$B$15-AB1384))),-1E+030)</f>
        <v>-6.97859378857311</v>
      </c>
      <c r="AE1384" s="55" t="n">
        <f aca="false">IF(AC1384,IF(01_因子設定!$B$13="最大化",X1384,IF(01_因子設定!$B$13="最小化",-X1384,-ABS(X1384-01_因子設定!$B$16))),-1E+030)</f>
        <v>41.1520285087719</v>
      </c>
      <c r="AF1384" s="55" t="n">
        <f aca="false">AD1384+ROW()*0.000000001</f>
        <v>-6.97859240457311</v>
      </c>
      <c r="AG1384" s="55" t="n">
        <f aca="false">AE1384+ROW()*0.000000001</f>
        <v>41.1520298927719</v>
      </c>
    </row>
    <row r="1385" customFormat="false" ht="15" hidden="false" customHeight="false" outlineLevel="0" collapsed="false">
      <c r="A1385" s="0" t="n">
        <v>1</v>
      </c>
      <c r="B1385" s="0" t="n">
        <v>8</v>
      </c>
      <c r="C1385" s="0" t="n">
        <v>0</v>
      </c>
      <c r="D1385" s="0" t="n">
        <v>3</v>
      </c>
      <c r="E1385" s="0" t="n">
        <f aca="false">-1+A1385*0.25</f>
        <v>-0.75</v>
      </c>
      <c r="F1385" s="0" t="n">
        <f aca="false">-1+B1385*0.25</f>
        <v>1</v>
      </c>
      <c r="G1385" s="0" t="n">
        <f aca="false">-1+C1385*0.25</f>
        <v>-1</v>
      </c>
      <c r="H1385" s="0" t="n">
        <f aca="false">-1+D1385*0.25</f>
        <v>-0.25</v>
      </c>
      <c r="I1385" s="0" t="n">
        <f aca="false">1</f>
        <v>1</v>
      </c>
      <c r="J1385" s="0" t="n">
        <f aca="false">E1385</f>
        <v>-0.75</v>
      </c>
      <c r="K1385" s="0" t="n">
        <f aca="false">F1385</f>
        <v>1</v>
      </c>
      <c r="L1385" s="0" t="n">
        <f aca="false">G1385</f>
        <v>-1</v>
      </c>
      <c r="M1385" s="0" t="n">
        <f aca="false">H1385</f>
        <v>-0.25</v>
      </c>
      <c r="N1385" s="0" t="n">
        <f aca="false">E1385*F1385</f>
        <v>-0.75</v>
      </c>
      <c r="O1385" s="0" t="n">
        <f aca="false">E1385*G1385</f>
        <v>0.75</v>
      </c>
      <c r="P1385" s="0" t="n">
        <f aca="false">E1385*H1385</f>
        <v>0.1875</v>
      </c>
      <c r="Q1385" s="0" t="n">
        <f aca="false">F1385*G1385</f>
        <v>-1</v>
      </c>
      <c r="R1385" s="0" t="n">
        <f aca="false">F1385*H1385</f>
        <v>-0.25</v>
      </c>
      <c r="S1385" s="0" t="n">
        <f aca="false">G1385*H1385</f>
        <v>0.25</v>
      </c>
      <c r="T1385" s="0" t="n">
        <f aca="false">E1385*E1385</f>
        <v>0.5625</v>
      </c>
      <c r="U1385" s="0" t="n">
        <f aca="false">F1385*F1385</f>
        <v>1</v>
      </c>
      <c r="V1385" s="0" t="n">
        <f aca="false">G1385*G1385</f>
        <v>1</v>
      </c>
      <c r="W1385" s="0" t="n">
        <f aca="false">H1385*H1385</f>
        <v>0.0625</v>
      </c>
      <c r="X1385" s="0" t="n">
        <f aca="false">SUMPRODUCT(I1385:W1385,_XtX!$B$96:$P$96)</f>
        <v>41.1766904239766</v>
      </c>
      <c r="Y1385" s="0" t="n">
        <f aca="false">SUMPRODUCT(MMULT(I1385:W1385,_XtX!$B$78:$P$92),I1385:W1385)</f>
        <v>0.621372155975877</v>
      </c>
      <c r="Z1385" s="0" t="n">
        <f aca="false">04_回帰ANOVA!$K$19*04_回帰ANOVA!$K$14*SQRT(1+Y1385)</f>
        <v>1.65973880499872</v>
      </c>
      <c r="AA1385" s="0" t="n">
        <f aca="false">X1385-Z1385</f>
        <v>39.5169516189779</v>
      </c>
      <c r="AB1385" s="0" t="n">
        <f aca="false">X1385+Z1385</f>
        <v>42.8364292289753</v>
      </c>
      <c r="AC1385" s="54" t="b">
        <f aca="false">AND(E1385&gt;=01_因子設定!$L$5-0.000000001,E1385&lt;=01_因子設定!$M$5+0.000000001,F1385&gt;=01_因子設定!$L$6-0.000000001,F1385&lt;=01_因子設定!$M$6+0.000000001,G1385&gt;=01_因子設定!$L$7-0.000000001,G1385&lt;=01_因子設定!$M$7+0.000000001,H1385&gt;=01_因子設定!$L$8-0.000000001,H1385&lt;=01_因子設定!$M$8+0.000000001,IF(01_因子設定!$B$20="Box-Behnken",E1385^2+F1385^2+G1385^2+H1385^2&lt;=2+0.000000001,TRUE()))</f>
        <v>1</v>
      </c>
      <c r="AD1385" s="55" t="n">
        <f aca="false">IF(AC1385,IF(01_因子設定!$B$13="最大化",AA1385-01_因子設定!$B$14,IF(01_因子設定!$B$13="最小化",01_因子設定!$B$15-AB1385,MIN(AA1385-01_因子設定!$B$14,01_因子設定!$B$15-AB1385))),-1E+030)</f>
        <v>-6.98304838102212</v>
      </c>
      <c r="AE1385" s="55" t="n">
        <f aca="false">IF(AC1385,IF(01_因子設定!$B$13="最大化",X1385,IF(01_因子設定!$B$13="最小化",-X1385,-ABS(X1385-01_因子設定!$B$16))),-1E+030)</f>
        <v>41.1766904239766</v>
      </c>
      <c r="AF1385" s="55" t="n">
        <f aca="false">AD1385+ROW()*0.000000001</f>
        <v>-6.98304699602212</v>
      </c>
      <c r="AG1385" s="55" t="n">
        <f aca="false">AE1385+ROW()*0.000000001</f>
        <v>41.1766918089766</v>
      </c>
    </row>
    <row r="1386" customFormat="false" ht="15" hidden="false" customHeight="false" outlineLevel="0" collapsed="false">
      <c r="A1386" s="0" t="n">
        <v>1</v>
      </c>
      <c r="B1386" s="0" t="n">
        <v>8</v>
      </c>
      <c r="C1386" s="0" t="n">
        <v>0</v>
      </c>
      <c r="D1386" s="0" t="n">
        <v>4</v>
      </c>
      <c r="E1386" s="0" t="n">
        <f aca="false">-1+A1386*0.25</f>
        <v>-0.75</v>
      </c>
      <c r="F1386" s="0" t="n">
        <f aca="false">-1+B1386*0.25</f>
        <v>1</v>
      </c>
      <c r="G1386" s="0" t="n">
        <f aca="false">-1+C1386*0.25</f>
        <v>-1</v>
      </c>
      <c r="H1386" s="0" t="n">
        <f aca="false">-1+D1386*0.25</f>
        <v>0</v>
      </c>
      <c r="I1386" s="0" t="n">
        <f aca="false">1</f>
        <v>1</v>
      </c>
      <c r="J1386" s="0" t="n">
        <f aca="false">E1386</f>
        <v>-0.75</v>
      </c>
      <c r="K1386" s="0" t="n">
        <f aca="false">F1386</f>
        <v>1</v>
      </c>
      <c r="L1386" s="0" t="n">
        <f aca="false">G1386</f>
        <v>-1</v>
      </c>
      <c r="M1386" s="0" t="n">
        <f aca="false">H1386</f>
        <v>0</v>
      </c>
      <c r="N1386" s="0" t="n">
        <f aca="false">E1386*F1386</f>
        <v>-0.75</v>
      </c>
      <c r="O1386" s="0" t="n">
        <f aca="false">E1386*G1386</f>
        <v>0.75</v>
      </c>
      <c r="P1386" s="0" t="n">
        <f aca="false">E1386*H1386</f>
        <v>-0</v>
      </c>
      <c r="Q1386" s="0" t="n">
        <f aca="false">F1386*G1386</f>
        <v>-1</v>
      </c>
      <c r="R1386" s="0" t="n">
        <f aca="false">F1386*H1386</f>
        <v>0</v>
      </c>
      <c r="S1386" s="0" t="n">
        <f aca="false">G1386*H1386</f>
        <v>-0</v>
      </c>
      <c r="T1386" s="0" t="n">
        <f aca="false">E1386*E1386</f>
        <v>0.5625</v>
      </c>
      <c r="U1386" s="0" t="n">
        <f aca="false">F1386*F1386</f>
        <v>1</v>
      </c>
      <c r="V1386" s="0" t="n">
        <f aca="false">G1386*G1386</f>
        <v>1</v>
      </c>
      <c r="W1386" s="0" t="n">
        <f aca="false">H1386*H1386</f>
        <v>0</v>
      </c>
      <c r="X1386" s="0" t="n">
        <f aca="false">SUMPRODUCT(I1386:W1386,_XtX!$B$96:$P$96)</f>
        <v>41.1535453216374</v>
      </c>
      <c r="Y1386" s="0" t="n">
        <f aca="false">SUMPRODUCT(MMULT(I1386:W1386,_XtX!$B$78:$P$92),I1386:W1386)</f>
        <v>0.646198830409357</v>
      </c>
      <c r="Z1386" s="0" t="n">
        <f aca="false">04_回帰ANOVA!$K$19*04_回帰ANOVA!$K$14*SQRT(1+Y1386)</f>
        <v>1.67239760569756</v>
      </c>
      <c r="AA1386" s="0" t="n">
        <f aca="false">X1386-Z1386</f>
        <v>39.4811477159399</v>
      </c>
      <c r="AB1386" s="0" t="n">
        <f aca="false">X1386+Z1386</f>
        <v>42.825942927335</v>
      </c>
      <c r="AC1386" s="54" t="b">
        <f aca="false">AND(E1386&gt;=01_因子設定!$L$5-0.000000001,E1386&lt;=01_因子設定!$M$5+0.000000001,F1386&gt;=01_因子設定!$L$6-0.000000001,F1386&lt;=01_因子設定!$M$6+0.000000001,G1386&gt;=01_因子設定!$L$7-0.000000001,G1386&lt;=01_因子設定!$M$7+0.000000001,H1386&gt;=01_因子設定!$L$8-0.000000001,H1386&lt;=01_因子設定!$M$8+0.000000001,IF(01_因子設定!$B$20="Box-Behnken",E1386^2+F1386^2+G1386^2+H1386^2&lt;=2+0.000000001,TRUE()))</f>
        <v>1</v>
      </c>
      <c r="AD1386" s="55" t="n">
        <f aca="false">IF(AC1386,IF(01_因子設定!$B$13="最大化",AA1386-01_因子設定!$B$14,IF(01_因子設定!$B$13="最小化",01_因子設定!$B$15-AB1386,MIN(AA1386-01_因子設定!$B$14,01_因子設定!$B$15-AB1386))),-1E+030)</f>
        <v>-7.01885228406014</v>
      </c>
      <c r="AE1386" s="55" t="n">
        <f aca="false">IF(AC1386,IF(01_因子設定!$B$13="最大化",X1386,IF(01_因子設定!$B$13="最小化",-X1386,-ABS(X1386-01_因子設定!$B$16))),-1E+030)</f>
        <v>41.1535453216374</v>
      </c>
      <c r="AF1386" s="55" t="n">
        <f aca="false">AD1386+ROW()*0.000000001</f>
        <v>-7.01885089806014</v>
      </c>
      <c r="AG1386" s="55" t="n">
        <f aca="false">AE1386+ROW()*0.000000001</f>
        <v>41.1535467076374</v>
      </c>
    </row>
    <row r="1387" customFormat="false" ht="15" hidden="false" customHeight="false" outlineLevel="0" collapsed="false">
      <c r="A1387" s="0" t="n">
        <v>1</v>
      </c>
      <c r="B1387" s="0" t="n">
        <v>8</v>
      </c>
      <c r="C1387" s="0" t="n">
        <v>0</v>
      </c>
      <c r="D1387" s="0" t="n">
        <v>5</v>
      </c>
      <c r="E1387" s="0" t="n">
        <f aca="false">-1+A1387*0.25</f>
        <v>-0.75</v>
      </c>
      <c r="F1387" s="0" t="n">
        <f aca="false">-1+B1387*0.25</f>
        <v>1</v>
      </c>
      <c r="G1387" s="0" t="n">
        <f aca="false">-1+C1387*0.25</f>
        <v>-1</v>
      </c>
      <c r="H1387" s="0" t="n">
        <f aca="false">-1+D1387*0.25</f>
        <v>0.25</v>
      </c>
      <c r="I1387" s="0" t="n">
        <f aca="false">1</f>
        <v>1</v>
      </c>
      <c r="J1387" s="0" t="n">
        <f aca="false">E1387</f>
        <v>-0.75</v>
      </c>
      <c r="K1387" s="0" t="n">
        <f aca="false">F1387</f>
        <v>1</v>
      </c>
      <c r="L1387" s="0" t="n">
        <f aca="false">G1387</f>
        <v>-1</v>
      </c>
      <c r="M1387" s="0" t="n">
        <f aca="false">H1387</f>
        <v>0.25</v>
      </c>
      <c r="N1387" s="0" t="n">
        <f aca="false">E1387*F1387</f>
        <v>-0.75</v>
      </c>
      <c r="O1387" s="0" t="n">
        <f aca="false">E1387*G1387</f>
        <v>0.75</v>
      </c>
      <c r="P1387" s="0" t="n">
        <f aca="false">E1387*H1387</f>
        <v>-0.1875</v>
      </c>
      <c r="Q1387" s="0" t="n">
        <f aca="false">F1387*G1387</f>
        <v>-1</v>
      </c>
      <c r="R1387" s="0" t="n">
        <f aca="false">F1387*H1387</f>
        <v>0.25</v>
      </c>
      <c r="S1387" s="0" t="n">
        <f aca="false">G1387*H1387</f>
        <v>-0.25</v>
      </c>
      <c r="T1387" s="0" t="n">
        <f aca="false">E1387*E1387</f>
        <v>0.5625</v>
      </c>
      <c r="U1387" s="0" t="n">
        <f aca="false">F1387*F1387</f>
        <v>1</v>
      </c>
      <c r="V1387" s="0" t="n">
        <f aca="false">G1387*G1387</f>
        <v>1</v>
      </c>
      <c r="W1387" s="0" t="n">
        <f aca="false">H1387*H1387</f>
        <v>0.0625</v>
      </c>
      <c r="X1387" s="0" t="n">
        <f aca="false">SUMPRODUCT(I1387:W1387,_XtX!$B$96:$P$96)</f>
        <v>41.0825932017544</v>
      </c>
      <c r="Y1387" s="0" t="n">
        <f aca="false">SUMPRODUCT(MMULT(I1387:W1387,_XtX!$B$78:$P$92),I1387:W1387)</f>
        <v>0.621372155975877</v>
      </c>
      <c r="Z1387" s="0" t="n">
        <f aca="false">04_回帰ANOVA!$K$19*04_回帰ANOVA!$K$14*SQRT(1+Y1387)</f>
        <v>1.65973880499872</v>
      </c>
      <c r="AA1387" s="0" t="n">
        <f aca="false">X1387-Z1387</f>
        <v>39.4228543967557</v>
      </c>
      <c r="AB1387" s="0" t="n">
        <f aca="false">X1387+Z1387</f>
        <v>42.7423320067531</v>
      </c>
      <c r="AC1387" s="54" t="b">
        <f aca="false">AND(E1387&gt;=01_因子設定!$L$5-0.000000001,E1387&lt;=01_因子設定!$M$5+0.000000001,F1387&gt;=01_因子設定!$L$6-0.000000001,F1387&lt;=01_因子設定!$M$6+0.000000001,G1387&gt;=01_因子設定!$L$7-0.000000001,G1387&lt;=01_因子設定!$M$7+0.000000001,H1387&gt;=01_因子設定!$L$8-0.000000001,H1387&lt;=01_因子設定!$M$8+0.000000001,IF(01_因子設定!$B$20="Box-Behnken",E1387^2+F1387^2+G1387^2+H1387^2&lt;=2+0.000000001,TRUE()))</f>
        <v>1</v>
      </c>
      <c r="AD1387" s="55" t="n">
        <f aca="false">IF(AC1387,IF(01_因子設定!$B$13="最大化",AA1387-01_因子設定!$B$14,IF(01_因子設定!$B$13="最小化",01_因子設定!$B$15-AB1387,MIN(AA1387-01_因子設定!$B$14,01_因子設定!$B$15-AB1387))),-1E+030)</f>
        <v>-7.07714560324434</v>
      </c>
      <c r="AE1387" s="55" t="n">
        <f aca="false">IF(AC1387,IF(01_因子設定!$B$13="最大化",X1387,IF(01_因子設定!$B$13="最小化",-X1387,-ABS(X1387-01_因子設定!$B$16))),-1E+030)</f>
        <v>41.0825932017544</v>
      </c>
      <c r="AF1387" s="55" t="n">
        <f aca="false">AD1387+ROW()*0.000000001</f>
        <v>-7.07714421624434</v>
      </c>
      <c r="AG1387" s="55" t="n">
        <f aca="false">AE1387+ROW()*0.000000001</f>
        <v>41.0825945887544</v>
      </c>
    </row>
    <row r="1388" customFormat="false" ht="15" hidden="false" customHeight="false" outlineLevel="0" collapsed="false">
      <c r="A1388" s="0" t="n">
        <v>1</v>
      </c>
      <c r="B1388" s="0" t="n">
        <v>8</v>
      </c>
      <c r="C1388" s="0" t="n">
        <v>0</v>
      </c>
      <c r="D1388" s="0" t="n">
        <v>6</v>
      </c>
      <c r="E1388" s="0" t="n">
        <f aca="false">-1+A1388*0.25</f>
        <v>-0.75</v>
      </c>
      <c r="F1388" s="0" t="n">
        <f aca="false">-1+B1388*0.25</f>
        <v>1</v>
      </c>
      <c r="G1388" s="0" t="n">
        <f aca="false">-1+C1388*0.25</f>
        <v>-1</v>
      </c>
      <c r="H1388" s="0" t="n">
        <f aca="false">-1+D1388*0.25</f>
        <v>0.5</v>
      </c>
      <c r="I1388" s="0" t="n">
        <f aca="false">1</f>
        <v>1</v>
      </c>
      <c r="J1388" s="0" t="n">
        <f aca="false">E1388</f>
        <v>-0.75</v>
      </c>
      <c r="K1388" s="0" t="n">
        <f aca="false">F1388</f>
        <v>1</v>
      </c>
      <c r="L1388" s="0" t="n">
        <f aca="false">G1388</f>
        <v>-1</v>
      </c>
      <c r="M1388" s="0" t="n">
        <f aca="false">H1388</f>
        <v>0.5</v>
      </c>
      <c r="N1388" s="0" t="n">
        <f aca="false">E1388*F1388</f>
        <v>-0.75</v>
      </c>
      <c r="O1388" s="0" t="n">
        <f aca="false">E1388*G1388</f>
        <v>0.75</v>
      </c>
      <c r="P1388" s="0" t="n">
        <f aca="false">E1388*H1388</f>
        <v>-0.375</v>
      </c>
      <c r="Q1388" s="0" t="n">
        <f aca="false">F1388*G1388</f>
        <v>-1</v>
      </c>
      <c r="R1388" s="0" t="n">
        <f aca="false">F1388*H1388</f>
        <v>0.5</v>
      </c>
      <c r="S1388" s="0" t="n">
        <f aca="false">G1388*H1388</f>
        <v>-0.5</v>
      </c>
      <c r="T1388" s="0" t="n">
        <f aca="false">E1388*E1388</f>
        <v>0.5625</v>
      </c>
      <c r="U1388" s="0" t="n">
        <f aca="false">F1388*F1388</f>
        <v>1</v>
      </c>
      <c r="V1388" s="0" t="n">
        <f aca="false">G1388*G1388</f>
        <v>1</v>
      </c>
      <c r="W1388" s="0" t="n">
        <f aca="false">H1388*H1388</f>
        <v>0.25</v>
      </c>
      <c r="X1388" s="0" t="n">
        <f aca="false">SUMPRODUCT(I1388:W1388,_XtX!$B$96:$P$96)</f>
        <v>40.9638340643275</v>
      </c>
      <c r="Y1388" s="0" t="n">
        <f aca="false">SUMPRODUCT(MMULT(I1388:W1388,_XtX!$B$78:$P$92),I1388:W1388)</f>
        <v>0.564984237938597</v>
      </c>
      <c r="Z1388" s="0" t="n">
        <f aca="false">04_回帰ANOVA!$K$19*04_回帰ANOVA!$K$14*SQRT(1+Y1388)</f>
        <v>1.63062229734503</v>
      </c>
      <c r="AA1388" s="0" t="n">
        <f aca="false">X1388-Z1388</f>
        <v>39.3332117669825</v>
      </c>
      <c r="AB1388" s="0" t="n">
        <f aca="false">X1388+Z1388</f>
        <v>42.5944563616725</v>
      </c>
      <c r="AC1388" s="54" t="b">
        <f aca="false">AND(E1388&gt;=01_因子設定!$L$5-0.000000001,E1388&lt;=01_因子設定!$M$5+0.000000001,F1388&gt;=01_因子設定!$L$6-0.000000001,F1388&lt;=01_因子設定!$M$6+0.000000001,G1388&gt;=01_因子設定!$L$7-0.000000001,G1388&lt;=01_因子設定!$M$7+0.000000001,H1388&gt;=01_因子設定!$L$8-0.000000001,H1388&lt;=01_因子設定!$M$8+0.000000001,IF(01_因子設定!$B$20="Box-Behnken",E1388^2+F1388^2+G1388^2+H1388^2&lt;=2+0.000000001,TRUE()))</f>
        <v>1</v>
      </c>
      <c r="AD1388" s="55" t="n">
        <f aca="false">IF(AC1388,IF(01_因子設定!$B$13="最大化",AA1388-01_因子設定!$B$14,IF(01_因子設定!$B$13="最小化",01_因子設定!$B$15-AB1388,MIN(AA1388-01_因子設定!$B$14,01_因子設定!$B$15-AB1388))),-1E+030)</f>
        <v>-7.16678823301755</v>
      </c>
      <c r="AE1388" s="55" t="n">
        <f aca="false">IF(AC1388,IF(01_因子設定!$B$13="最大化",X1388,IF(01_因子設定!$B$13="最小化",-X1388,-ABS(X1388-01_因子設定!$B$16))),-1E+030)</f>
        <v>40.9638340643275</v>
      </c>
      <c r="AF1388" s="55" t="n">
        <f aca="false">AD1388+ROW()*0.000000001</f>
        <v>-7.16678684501755</v>
      </c>
      <c r="AG1388" s="55" t="n">
        <f aca="false">AE1388+ROW()*0.000000001</f>
        <v>40.9638354523275</v>
      </c>
    </row>
    <row r="1389" customFormat="false" ht="15" hidden="false" customHeight="false" outlineLevel="0" collapsed="false">
      <c r="A1389" s="0" t="n">
        <v>1</v>
      </c>
      <c r="B1389" s="0" t="n">
        <v>8</v>
      </c>
      <c r="C1389" s="0" t="n">
        <v>0</v>
      </c>
      <c r="D1389" s="0" t="n">
        <v>7</v>
      </c>
      <c r="E1389" s="0" t="n">
        <f aca="false">-1+A1389*0.25</f>
        <v>-0.75</v>
      </c>
      <c r="F1389" s="0" t="n">
        <f aca="false">-1+B1389*0.25</f>
        <v>1</v>
      </c>
      <c r="G1389" s="0" t="n">
        <f aca="false">-1+C1389*0.25</f>
        <v>-1</v>
      </c>
      <c r="H1389" s="0" t="n">
        <f aca="false">-1+D1389*0.25</f>
        <v>0.75</v>
      </c>
      <c r="I1389" s="0" t="n">
        <f aca="false">1</f>
        <v>1</v>
      </c>
      <c r="J1389" s="0" t="n">
        <f aca="false">E1389</f>
        <v>-0.75</v>
      </c>
      <c r="K1389" s="0" t="n">
        <f aca="false">F1389</f>
        <v>1</v>
      </c>
      <c r="L1389" s="0" t="n">
        <f aca="false">G1389</f>
        <v>-1</v>
      </c>
      <c r="M1389" s="0" t="n">
        <f aca="false">H1389</f>
        <v>0.75</v>
      </c>
      <c r="N1389" s="0" t="n">
        <f aca="false">E1389*F1389</f>
        <v>-0.75</v>
      </c>
      <c r="O1389" s="0" t="n">
        <f aca="false">E1389*G1389</f>
        <v>0.75</v>
      </c>
      <c r="P1389" s="0" t="n">
        <f aca="false">E1389*H1389</f>
        <v>-0.5625</v>
      </c>
      <c r="Q1389" s="0" t="n">
        <f aca="false">F1389*G1389</f>
        <v>-1</v>
      </c>
      <c r="R1389" s="0" t="n">
        <f aca="false">F1389*H1389</f>
        <v>0.75</v>
      </c>
      <c r="S1389" s="0" t="n">
        <f aca="false">G1389*H1389</f>
        <v>-0.75</v>
      </c>
      <c r="T1389" s="0" t="n">
        <f aca="false">E1389*E1389</f>
        <v>0.5625</v>
      </c>
      <c r="U1389" s="0" t="n">
        <f aca="false">F1389*F1389</f>
        <v>1</v>
      </c>
      <c r="V1389" s="0" t="n">
        <f aca="false">G1389*G1389</f>
        <v>1</v>
      </c>
      <c r="W1389" s="0" t="n">
        <f aca="false">H1389*H1389</f>
        <v>0.5625</v>
      </c>
      <c r="X1389" s="0" t="n">
        <f aca="false">SUMPRODUCT(I1389:W1389,_XtX!$B$96:$P$96)</f>
        <v>40.7972679093567</v>
      </c>
      <c r="Y1389" s="0" t="n">
        <f aca="false">SUMPRODUCT(MMULT(I1389:W1389,_XtX!$B$78:$P$92),I1389:W1389)</f>
        <v>0.531311392086988</v>
      </c>
      <c r="Z1389" s="0" t="n">
        <f aca="false">04_回帰ANOVA!$K$19*04_回帰ANOVA!$K$14*SQRT(1+Y1389)</f>
        <v>1.61298433431428</v>
      </c>
      <c r="AA1389" s="0" t="n">
        <f aca="false">X1389-Z1389</f>
        <v>39.1842835750425</v>
      </c>
      <c r="AB1389" s="0" t="n">
        <f aca="false">X1389+Z1389</f>
        <v>42.410252243671</v>
      </c>
      <c r="AC1389" s="54" t="b">
        <f aca="false">AND(E1389&gt;=01_因子設定!$L$5-0.000000001,E1389&lt;=01_因子設定!$M$5+0.000000001,F1389&gt;=01_因子設定!$L$6-0.000000001,F1389&lt;=01_因子設定!$M$6+0.000000001,G1389&gt;=01_因子設定!$L$7-0.000000001,G1389&lt;=01_因子設定!$M$7+0.000000001,H1389&gt;=01_因子設定!$L$8-0.000000001,H1389&lt;=01_因子設定!$M$8+0.000000001,IF(01_因子設定!$B$20="Box-Behnken",E1389^2+F1389^2+G1389^2+H1389^2&lt;=2+0.000000001,TRUE()))</f>
        <v>1</v>
      </c>
      <c r="AD1389" s="55" t="n">
        <f aca="false">IF(AC1389,IF(01_因子設定!$B$13="最大化",AA1389-01_因子設定!$B$14,IF(01_因子設定!$B$13="最小化",01_因子設定!$B$15-AB1389,MIN(AA1389-01_因子設定!$B$14,01_因子設定!$B$15-AB1389))),-1E+030)</f>
        <v>-7.31571642495755</v>
      </c>
      <c r="AE1389" s="55" t="n">
        <f aca="false">IF(AC1389,IF(01_因子設定!$B$13="最大化",X1389,IF(01_因子設定!$B$13="最小化",-X1389,-ABS(X1389-01_因子設定!$B$16))),-1E+030)</f>
        <v>40.7972679093567</v>
      </c>
      <c r="AF1389" s="55" t="n">
        <f aca="false">AD1389+ROW()*0.000000001</f>
        <v>-7.31571503595755</v>
      </c>
      <c r="AG1389" s="55" t="n">
        <f aca="false">AE1389+ROW()*0.000000001</f>
        <v>40.7972692983567</v>
      </c>
    </row>
    <row r="1390" customFormat="false" ht="15" hidden="false" customHeight="false" outlineLevel="0" collapsed="false">
      <c r="A1390" s="0" t="n">
        <v>1</v>
      </c>
      <c r="B1390" s="0" t="n">
        <v>8</v>
      </c>
      <c r="C1390" s="0" t="n">
        <v>0</v>
      </c>
      <c r="D1390" s="0" t="n">
        <v>8</v>
      </c>
      <c r="E1390" s="0" t="n">
        <f aca="false">-1+A1390*0.25</f>
        <v>-0.75</v>
      </c>
      <c r="F1390" s="0" t="n">
        <f aca="false">-1+B1390*0.25</f>
        <v>1</v>
      </c>
      <c r="G1390" s="0" t="n">
        <f aca="false">-1+C1390*0.25</f>
        <v>-1</v>
      </c>
      <c r="H1390" s="0" t="n">
        <f aca="false">-1+D1390*0.25</f>
        <v>1</v>
      </c>
      <c r="I1390" s="0" t="n">
        <f aca="false">1</f>
        <v>1</v>
      </c>
      <c r="J1390" s="0" t="n">
        <f aca="false">E1390</f>
        <v>-0.75</v>
      </c>
      <c r="K1390" s="0" t="n">
        <f aca="false">F1390</f>
        <v>1</v>
      </c>
      <c r="L1390" s="0" t="n">
        <f aca="false">G1390</f>
        <v>-1</v>
      </c>
      <c r="M1390" s="0" t="n">
        <f aca="false">H1390</f>
        <v>1</v>
      </c>
      <c r="N1390" s="0" t="n">
        <f aca="false">E1390*F1390</f>
        <v>-0.75</v>
      </c>
      <c r="O1390" s="0" t="n">
        <f aca="false">E1390*G1390</f>
        <v>0.75</v>
      </c>
      <c r="P1390" s="0" t="n">
        <f aca="false">E1390*H1390</f>
        <v>-0.75</v>
      </c>
      <c r="Q1390" s="0" t="n">
        <f aca="false">F1390*G1390</f>
        <v>-1</v>
      </c>
      <c r="R1390" s="0" t="n">
        <f aca="false">F1390*H1390</f>
        <v>1</v>
      </c>
      <c r="S1390" s="0" t="n">
        <f aca="false">G1390*H1390</f>
        <v>-1</v>
      </c>
      <c r="T1390" s="0" t="n">
        <f aca="false">E1390*E1390</f>
        <v>0.5625</v>
      </c>
      <c r="U1390" s="0" t="n">
        <f aca="false">F1390*F1390</f>
        <v>1</v>
      </c>
      <c r="V1390" s="0" t="n">
        <f aca="false">G1390*G1390</f>
        <v>1</v>
      </c>
      <c r="W1390" s="0" t="n">
        <f aca="false">H1390*H1390</f>
        <v>1</v>
      </c>
      <c r="X1390" s="0" t="n">
        <f aca="false">SUMPRODUCT(I1390:W1390,_XtX!$B$96:$P$96)</f>
        <v>40.5828947368421</v>
      </c>
      <c r="Y1390" s="0" t="n">
        <f aca="false">SUMPRODUCT(MMULT(I1390:W1390,_XtX!$B$78:$P$92),I1390:W1390)</f>
        <v>0.610814144736842</v>
      </c>
      <c r="Z1390" s="0" t="n">
        <f aca="false">04_回帰ANOVA!$K$19*04_回帰ANOVA!$K$14*SQRT(1+Y1390)</f>
        <v>1.6543260558361</v>
      </c>
      <c r="AA1390" s="0" t="n">
        <f aca="false">X1390-Z1390</f>
        <v>38.928568681006</v>
      </c>
      <c r="AB1390" s="0" t="n">
        <f aca="false">X1390+Z1390</f>
        <v>42.2372207926782</v>
      </c>
      <c r="AC1390" s="54" t="b">
        <f aca="false">AND(E1390&gt;=01_因子設定!$L$5-0.000000001,E1390&lt;=01_因子設定!$M$5+0.000000001,F1390&gt;=01_因子設定!$L$6-0.000000001,F1390&lt;=01_因子設定!$M$6+0.000000001,G1390&gt;=01_因子設定!$L$7-0.000000001,G1390&lt;=01_因子設定!$M$7+0.000000001,H1390&gt;=01_因子設定!$L$8-0.000000001,H1390&lt;=01_因子設定!$M$8+0.000000001,IF(01_因子設定!$B$20="Box-Behnken",E1390^2+F1390^2+G1390^2+H1390^2&lt;=2+0.000000001,TRUE()))</f>
        <v>1</v>
      </c>
      <c r="AD1390" s="55" t="n">
        <f aca="false">IF(AC1390,IF(01_因子設定!$B$13="最大化",AA1390-01_因子設定!$B$14,IF(01_因子設定!$B$13="最小化",01_因子設定!$B$15-AB1390,MIN(AA1390-01_因子設定!$B$14,01_因子設定!$B$15-AB1390))),-1E+030)</f>
        <v>-7.57143131899397</v>
      </c>
      <c r="AE1390" s="55" t="n">
        <f aca="false">IF(AC1390,IF(01_因子設定!$B$13="最大化",X1390,IF(01_因子設定!$B$13="最小化",-X1390,-ABS(X1390-01_因子設定!$B$16))),-1E+030)</f>
        <v>40.5828947368421</v>
      </c>
      <c r="AF1390" s="55" t="n">
        <f aca="false">AD1390+ROW()*0.000000001</f>
        <v>-7.57142992899397</v>
      </c>
      <c r="AG1390" s="55" t="n">
        <f aca="false">AE1390+ROW()*0.000000001</f>
        <v>40.5828961268421</v>
      </c>
    </row>
    <row r="1391" customFormat="false" ht="15" hidden="false" customHeight="false" outlineLevel="0" collapsed="false">
      <c r="A1391" s="0" t="n">
        <v>1</v>
      </c>
      <c r="B1391" s="0" t="n">
        <v>8</v>
      </c>
      <c r="C1391" s="0" t="n">
        <v>1</v>
      </c>
      <c r="D1391" s="0" t="n">
        <v>0</v>
      </c>
      <c r="E1391" s="0" t="n">
        <f aca="false">-1+A1391*0.25</f>
        <v>-0.75</v>
      </c>
      <c r="F1391" s="0" t="n">
        <f aca="false">-1+B1391*0.25</f>
        <v>1</v>
      </c>
      <c r="G1391" s="0" t="n">
        <f aca="false">-1+C1391*0.25</f>
        <v>-0.75</v>
      </c>
      <c r="H1391" s="0" t="n">
        <f aca="false">-1+D1391*0.25</f>
        <v>-1</v>
      </c>
      <c r="I1391" s="0" t="n">
        <f aca="false">1</f>
        <v>1</v>
      </c>
      <c r="J1391" s="0" t="n">
        <f aca="false">E1391</f>
        <v>-0.75</v>
      </c>
      <c r="K1391" s="0" t="n">
        <f aca="false">F1391</f>
        <v>1</v>
      </c>
      <c r="L1391" s="0" t="n">
        <f aca="false">G1391</f>
        <v>-0.75</v>
      </c>
      <c r="M1391" s="0" t="n">
        <f aca="false">H1391</f>
        <v>-1</v>
      </c>
      <c r="N1391" s="0" t="n">
        <f aca="false">E1391*F1391</f>
        <v>-0.75</v>
      </c>
      <c r="O1391" s="0" t="n">
        <f aca="false">E1391*G1391</f>
        <v>0.5625</v>
      </c>
      <c r="P1391" s="0" t="n">
        <f aca="false">E1391*H1391</f>
        <v>0.75</v>
      </c>
      <c r="Q1391" s="0" t="n">
        <f aca="false">F1391*G1391</f>
        <v>-0.75</v>
      </c>
      <c r="R1391" s="0" t="n">
        <f aca="false">F1391*H1391</f>
        <v>-1</v>
      </c>
      <c r="S1391" s="0" t="n">
        <f aca="false">G1391*H1391</f>
        <v>0.75</v>
      </c>
      <c r="T1391" s="0" t="n">
        <f aca="false">E1391*E1391</f>
        <v>0.5625</v>
      </c>
      <c r="U1391" s="0" t="n">
        <f aca="false">F1391*F1391</f>
        <v>1</v>
      </c>
      <c r="V1391" s="0" t="n">
        <f aca="false">G1391*G1391</f>
        <v>0.5625</v>
      </c>
      <c r="W1391" s="0" t="n">
        <f aca="false">H1391*H1391</f>
        <v>1</v>
      </c>
      <c r="X1391" s="0" t="n">
        <f aca="false">SUMPRODUCT(I1391:W1391,_XtX!$B$96:$P$96)</f>
        <v>41.6318165204679</v>
      </c>
      <c r="Y1391" s="0" t="n">
        <f aca="false">SUMPRODUCT(MMULT(I1391:W1391,_XtX!$B$78:$P$92),I1391:W1391)</f>
        <v>0.531311392086988</v>
      </c>
      <c r="Z1391" s="0" t="n">
        <f aca="false">04_回帰ANOVA!$K$19*04_回帰ANOVA!$K$14*SQRT(1+Y1391)</f>
        <v>1.61298433431428</v>
      </c>
      <c r="AA1391" s="0" t="n">
        <f aca="false">X1391-Z1391</f>
        <v>40.0188321861536</v>
      </c>
      <c r="AB1391" s="0" t="n">
        <f aca="false">X1391+Z1391</f>
        <v>43.2448008547822</v>
      </c>
      <c r="AC1391" s="54" t="b">
        <f aca="false">AND(E1391&gt;=01_因子設定!$L$5-0.000000001,E1391&lt;=01_因子設定!$M$5+0.000000001,F1391&gt;=01_因子設定!$L$6-0.000000001,F1391&lt;=01_因子設定!$M$6+0.000000001,G1391&gt;=01_因子設定!$L$7-0.000000001,G1391&lt;=01_因子設定!$M$7+0.000000001,H1391&gt;=01_因子設定!$L$8-0.000000001,H1391&lt;=01_因子設定!$M$8+0.000000001,IF(01_因子設定!$B$20="Box-Behnken",E1391^2+F1391^2+G1391^2+H1391^2&lt;=2+0.000000001,TRUE()))</f>
        <v>1</v>
      </c>
      <c r="AD1391" s="55" t="n">
        <f aca="false">IF(AC1391,IF(01_因子設定!$B$13="最大化",AA1391-01_因子設定!$B$14,IF(01_因子設定!$B$13="最小化",01_因子設定!$B$15-AB1391,MIN(AA1391-01_因子設定!$B$14,01_因子設定!$B$15-AB1391))),-1E+030)</f>
        <v>-6.48116781384642</v>
      </c>
      <c r="AE1391" s="55" t="n">
        <f aca="false">IF(AC1391,IF(01_因子設定!$B$13="最大化",X1391,IF(01_因子設定!$B$13="最小化",-X1391,-ABS(X1391-01_因子設定!$B$16))),-1E+030)</f>
        <v>41.6318165204679</v>
      </c>
      <c r="AF1391" s="55" t="n">
        <f aca="false">AD1391+ROW()*0.000000001</f>
        <v>-6.48116642284642</v>
      </c>
      <c r="AG1391" s="55" t="n">
        <f aca="false">AE1391+ROW()*0.000000001</f>
        <v>41.6318179114679</v>
      </c>
    </row>
    <row r="1392" customFormat="false" ht="15" hidden="false" customHeight="false" outlineLevel="0" collapsed="false">
      <c r="A1392" s="0" t="n">
        <v>1</v>
      </c>
      <c r="B1392" s="0" t="n">
        <v>8</v>
      </c>
      <c r="C1392" s="0" t="n">
        <v>1</v>
      </c>
      <c r="D1392" s="0" t="n">
        <v>1</v>
      </c>
      <c r="E1392" s="0" t="n">
        <f aca="false">-1+A1392*0.25</f>
        <v>-0.75</v>
      </c>
      <c r="F1392" s="0" t="n">
        <f aca="false">-1+B1392*0.25</f>
        <v>1</v>
      </c>
      <c r="G1392" s="0" t="n">
        <f aca="false">-1+C1392*0.25</f>
        <v>-0.75</v>
      </c>
      <c r="H1392" s="0" t="n">
        <f aca="false">-1+D1392*0.25</f>
        <v>-0.75</v>
      </c>
      <c r="I1392" s="0" t="n">
        <f aca="false">1</f>
        <v>1</v>
      </c>
      <c r="J1392" s="0" t="n">
        <f aca="false">E1392</f>
        <v>-0.75</v>
      </c>
      <c r="K1392" s="0" t="n">
        <f aca="false">F1392</f>
        <v>1</v>
      </c>
      <c r="L1392" s="0" t="n">
        <f aca="false">G1392</f>
        <v>-0.75</v>
      </c>
      <c r="M1392" s="0" t="n">
        <f aca="false">H1392</f>
        <v>-0.75</v>
      </c>
      <c r="N1392" s="0" t="n">
        <f aca="false">E1392*F1392</f>
        <v>-0.75</v>
      </c>
      <c r="O1392" s="0" t="n">
        <f aca="false">E1392*G1392</f>
        <v>0.5625</v>
      </c>
      <c r="P1392" s="0" t="n">
        <f aca="false">E1392*H1392</f>
        <v>0.5625</v>
      </c>
      <c r="Q1392" s="0" t="n">
        <f aca="false">F1392*G1392</f>
        <v>-0.75</v>
      </c>
      <c r="R1392" s="0" t="n">
        <f aca="false">F1392*H1392</f>
        <v>-0.75</v>
      </c>
      <c r="S1392" s="0" t="n">
        <f aca="false">G1392*H1392</f>
        <v>0.5625</v>
      </c>
      <c r="T1392" s="0" t="n">
        <f aca="false">E1392*E1392</f>
        <v>0.5625</v>
      </c>
      <c r="U1392" s="0" t="n">
        <f aca="false">F1392*F1392</f>
        <v>1</v>
      </c>
      <c r="V1392" s="0" t="n">
        <f aca="false">G1392*G1392</f>
        <v>0.5625</v>
      </c>
      <c r="W1392" s="0" t="n">
        <f aca="false">H1392*H1392</f>
        <v>0.5625</v>
      </c>
      <c r="X1392" s="0" t="n">
        <f aca="false">SUMPRODUCT(I1392:W1392,_XtX!$B$96:$P$96)</f>
        <v>41.7700612207602</v>
      </c>
      <c r="Y1392" s="0" t="n">
        <f aca="false">SUMPRODUCT(MMULT(I1392:W1392,_XtX!$B$78:$P$92),I1392:W1392)</f>
        <v>0.420117473044591</v>
      </c>
      <c r="Z1392" s="0" t="n">
        <f aca="false">04_回帰ANOVA!$K$19*04_回帰ANOVA!$K$14*SQRT(1+Y1392)</f>
        <v>1.55331854827765</v>
      </c>
      <c r="AA1392" s="0" t="n">
        <f aca="false">X1392-Z1392</f>
        <v>40.2167426724826</v>
      </c>
      <c r="AB1392" s="0" t="n">
        <f aca="false">X1392+Z1392</f>
        <v>43.3233797690379</v>
      </c>
      <c r="AC1392" s="54" t="b">
        <f aca="false">AND(E1392&gt;=01_因子設定!$L$5-0.000000001,E1392&lt;=01_因子設定!$M$5+0.000000001,F1392&gt;=01_因子設定!$L$6-0.000000001,F1392&lt;=01_因子設定!$M$6+0.000000001,G1392&gt;=01_因子設定!$L$7-0.000000001,G1392&lt;=01_因子設定!$M$7+0.000000001,H1392&gt;=01_因子設定!$L$8-0.000000001,H1392&lt;=01_因子設定!$M$8+0.000000001,IF(01_因子設定!$B$20="Box-Behnken",E1392^2+F1392^2+G1392^2+H1392^2&lt;=2+0.000000001,TRUE()))</f>
        <v>1</v>
      </c>
      <c r="AD1392" s="55" t="n">
        <f aca="false">IF(AC1392,IF(01_因子設定!$B$13="最大化",AA1392-01_因子設定!$B$14,IF(01_因子設定!$B$13="最小化",01_因子設定!$B$15-AB1392,MIN(AA1392-01_因子設定!$B$14,01_因子設定!$B$15-AB1392))),-1E+030)</f>
        <v>-6.2832573275174</v>
      </c>
      <c r="AE1392" s="55" t="n">
        <f aca="false">IF(AC1392,IF(01_因子設定!$B$13="最大化",X1392,IF(01_因子設定!$B$13="最小化",-X1392,-ABS(X1392-01_因子設定!$B$16))),-1E+030)</f>
        <v>41.7700612207602</v>
      </c>
      <c r="AF1392" s="55" t="n">
        <f aca="false">AD1392+ROW()*0.000000001</f>
        <v>-6.2832559355174</v>
      </c>
      <c r="AG1392" s="55" t="n">
        <f aca="false">AE1392+ROW()*0.000000001</f>
        <v>41.7700626127602</v>
      </c>
    </row>
    <row r="1393" customFormat="false" ht="15" hidden="false" customHeight="false" outlineLevel="0" collapsed="false">
      <c r="A1393" s="0" t="n">
        <v>1</v>
      </c>
      <c r="B1393" s="0" t="n">
        <v>8</v>
      </c>
      <c r="C1393" s="0" t="n">
        <v>1</v>
      </c>
      <c r="D1393" s="0" t="n">
        <v>2</v>
      </c>
      <c r="E1393" s="0" t="n">
        <f aca="false">-1+A1393*0.25</f>
        <v>-0.75</v>
      </c>
      <c r="F1393" s="0" t="n">
        <f aca="false">-1+B1393*0.25</f>
        <v>1</v>
      </c>
      <c r="G1393" s="0" t="n">
        <f aca="false">-1+C1393*0.25</f>
        <v>-0.75</v>
      </c>
      <c r="H1393" s="0" t="n">
        <f aca="false">-1+D1393*0.25</f>
        <v>-0.5</v>
      </c>
      <c r="I1393" s="0" t="n">
        <f aca="false">1</f>
        <v>1</v>
      </c>
      <c r="J1393" s="0" t="n">
        <f aca="false">E1393</f>
        <v>-0.75</v>
      </c>
      <c r="K1393" s="0" t="n">
        <f aca="false">F1393</f>
        <v>1</v>
      </c>
      <c r="L1393" s="0" t="n">
        <f aca="false">G1393</f>
        <v>-0.75</v>
      </c>
      <c r="M1393" s="0" t="n">
        <f aca="false">H1393</f>
        <v>-0.5</v>
      </c>
      <c r="N1393" s="0" t="n">
        <f aca="false">E1393*F1393</f>
        <v>-0.75</v>
      </c>
      <c r="O1393" s="0" t="n">
        <f aca="false">E1393*G1393</f>
        <v>0.5625</v>
      </c>
      <c r="P1393" s="0" t="n">
        <f aca="false">E1393*H1393</f>
        <v>0.375</v>
      </c>
      <c r="Q1393" s="0" t="n">
        <f aca="false">F1393*G1393</f>
        <v>-0.75</v>
      </c>
      <c r="R1393" s="0" t="n">
        <f aca="false">F1393*H1393</f>
        <v>-0.5</v>
      </c>
      <c r="S1393" s="0" t="n">
        <f aca="false">G1393*H1393</f>
        <v>0.375</v>
      </c>
      <c r="T1393" s="0" t="n">
        <f aca="false">E1393*E1393</f>
        <v>0.5625</v>
      </c>
      <c r="U1393" s="0" t="n">
        <f aca="false">F1393*F1393</f>
        <v>1</v>
      </c>
      <c r="V1393" s="0" t="n">
        <f aca="false">G1393*G1393</f>
        <v>0.5625</v>
      </c>
      <c r="W1393" s="0" t="n">
        <f aca="false">H1393*H1393</f>
        <v>0.25</v>
      </c>
      <c r="X1393" s="0" t="n">
        <f aca="false">SUMPRODUCT(I1393:W1393,_XtX!$B$96:$P$96)</f>
        <v>41.8604989035088</v>
      </c>
      <c r="Y1393" s="0" t="n">
        <f aca="false">SUMPRODUCT(MMULT(I1393:W1393,_XtX!$B$78:$P$92),I1393:W1393)</f>
        <v>0.431153771472953</v>
      </c>
      <c r="Z1393" s="0" t="n">
        <f aca="false">04_回帰ANOVA!$K$19*04_回帰ANOVA!$K$14*SQRT(1+Y1393)</f>
        <v>1.55934259562563</v>
      </c>
      <c r="AA1393" s="0" t="n">
        <f aca="false">X1393-Z1393</f>
        <v>40.3011563078831</v>
      </c>
      <c r="AB1393" s="0" t="n">
        <f aca="false">X1393+Z1393</f>
        <v>43.4198414991344</v>
      </c>
      <c r="AC1393" s="54" t="b">
        <f aca="false">AND(E1393&gt;=01_因子設定!$L$5-0.000000001,E1393&lt;=01_因子設定!$M$5+0.000000001,F1393&gt;=01_因子設定!$L$6-0.000000001,F1393&lt;=01_因子設定!$M$6+0.000000001,G1393&gt;=01_因子設定!$L$7-0.000000001,G1393&lt;=01_因子設定!$M$7+0.000000001,H1393&gt;=01_因子設定!$L$8-0.000000001,H1393&lt;=01_因子設定!$M$8+0.000000001,IF(01_因子設定!$B$20="Box-Behnken",E1393^2+F1393^2+G1393^2+H1393^2&lt;=2+0.000000001,TRUE()))</f>
        <v>1</v>
      </c>
      <c r="AD1393" s="55" t="n">
        <f aca="false">IF(AC1393,IF(01_因子設定!$B$13="最大化",AA1393-01_因子設定!$B$14,IF(01_因子設定!$B$13="最小化",01_因子設定!$B$15-AB1393,MIN(AA1393-01_因子設定!$B$14,01_因子設定!$B$15-AB1393))),-1E+030)</f>
        <v>-6.19884369211686</v>
      </c>
      <c r="AE1393" s="55" t="n">
        <f aca="false">IF(AC1393,IF(01_因子設定!$B$13="最大化",X1393,IF(01_因子設定!$B$13="最小化",-X1393,-ABS(X1393-01_因子設定!$B$16))),-1E+030)</f>
        <v>41.8604989035088</v>
      </c>
      <c r="AF1393" s="55" t="n">
        <f aca="false">AD1393+ROW()*0.000000001</f>
        <v>-6.19884229911686</v>
      </c>
      <c r="AG1393" s="55" t="n">
        <f aca="false">AE1393+ROW()*0.000000001</f>
        <v>41.8605002965088</v>
      </c>
    </row>
    <row r="1394" customFormat="false" ht="15" hidden="false" customHeight="false" outlineLevel="0" collapsed="false">
      <c r="A1394" s="0" t="n">
        <v>1</v>
      </c>
      <c r="B1394" s="0" t="n">
        <v>8</v>
      </c>
      <c r="C1394" s="0" t="n">
        <v>1</v>
      </c>
      <c r="D1394" s="0" t="n">
        <v>3</v>
      </c>
      <c r="E1394" s="0" t="n">
        <f aca="false">-1+A1394*0.25</f>
        <v>-0.75</v>
      </c>
      <c r="F1394" s="0" t="n">
        <f aca="false">-1+B1394*0.25</f>
        <v>1</v>
      </c>
      <c r="G1394" s="0" t="n">
        <f aca="false">-1+C1394*0.25</f>
        <v>-0.75</v>
      </c>
      <c r="H1394" s="0" t="n">
        <f aca="false">-1+D1394*0.25</f>
        <v>-0.25</v>
      </c>
      <c r="I1394" s="0" t="n">
        <f aca="false">1</f>
        <v>1</v>
      </c>
      <c r="J1394" s="0" t="n">
        <f aca="false">E1394</f>
        <v>-0.75</v>
      </c>
      <c r="K1394" s="0" t="n">
        <f aca="false">F1394</f>
        <v>1</v>
      </c>
      <c r="L1394" s="0" t="n">
        <f aca="false">G1394</f>
        <v>-0.75</v>
      </c>
      <c r="M1394" s="0" t="n">
        <f aca="false">H1394</f>
        <v>-0.25</v>
      </c>
      <c r="N1394" s="0" t="n">
        <f aca="false">E1394*F1394</f>
        <v>-0.75</v>
      </c>
      <c r="O1394" s="0" t="n">
        <f aca="false">E1394*G1394</f>
        <v>0.5625</v>
      </c>
      <c r="P1394" s="0" t="n">
        <f aca="false">E1394*H1394</f>
        <v>0.1875</v>
      </c>
      <c r="Q1394" s="0" t="n">
        <f aca="false">F1394*G1394</f>
        <v>-0.75</v>
      </c>
      <c r="R1394" s="0" t="n">
        <f aca="false">F1394*H1394</f>
        <v>-0.25</v>
      </c>
      <c r="S1394" s="0" t="n">
        <f aca="false">G1394*H1394</f>
        <v>0.1875</v>
      </c>
      <c r="T1394" s="0" t="n">
        <f aca="false">E1394*E1394</f>
        <v>0.5625</v>
      </c>
      <c r="U1394" s="0" t="n">
        <f aca="false">F1394*F1394</f>
        <v>1</v>
      </c>
      <c r="V1394" s="0" t="n">
        <f aca="false">G1394*G1394</f>
        <v>0.5625</v>
      </c>
      <c r="W1394" s="0" t="n">
        <f aca="false">H1394*H1394</f>
        <v>0.0625</v>
      </c>
      <c r="X1394" s="0" t="n">
        <f aca="false">SUMPRODUCT(I1394:W1394,_XtX!$B$96:$P$96)</f>
        <v>41.9031295687134</v>
      </c>
      <c r="Y1394" s="0" t="n">
        <f aca="false">SUMPRODUCT(MMULT(I1394:W1394,_XtX!$B$78:$P$92),I1394:W1394)</f>
        <v>0.473959761056287</v>
      </c>
      <c r="Z1394" s="0" t="n">
        <f aca="false">04_回帰ANOVA!$K$19*04_回帰ANOVA!$K$14*SQRT(1+Y1394)</f>
        <v>1.58249084588329</v>
      </c>
      <c r="AA1394" s="0" t="n">
        <f aca="false">X1394-Z1394</f>
        <v>40.3206387228302</v>
      </c>
      <c r="AB1394" s="0" t="n">
        <f aca="false">X1394+Z1394</f>
        <v>43.4856204145967</v>
      </c>
      <c r="AC1394" s="54" t="b">
        <f aca="false">AND(E1394&gt;=01_因子設定!$L$5-0.000000001,E1394&lt;=01_因子設定!$M$5+0.000000001,F1394&gt;=01_因子設定!$L$6-0.000000001,F1394&lt;=01_因子設定!$M$6+0.000000001,G1394&gt;=01_因子設定!$L$7-0.000000001,G1394&lt;=01_因子設定!$M$7+0.000000001,H1394&gt;=01_因子設定!$L$8-0.000000001,H1394&lt;=01_因子設定!$M$8+0.000000001,IF(01_因子設定!$B$20="Box-Behnken",E1394^2+F1394^2+G1394^2+H1394^2&lt;=2+0.000000001,TRUE()))</f>
        <v>1</v>
      </c>
      <c r="AD1394" s="55" t="n">
        <f aca="false">IF(AC1394,IF(01_因子設定!$B$13="最大化",AA1394-01_因子設定!$B$14,IF(01_因子設定!$B$13="最小化",01_因子設定!$B$15-AB1394,MIN(AA1394-01_因子設定!$B$14,01_因子設定!$B$15-AB1394))),-1E+030)</f>
        <v>-6.17936127716985</v>
      </c>
      <c r="AE1394" s="55" t="n">
        <f aca="false">IF(AC1394,IF(01_因子設定!$B$13="最大化",X1394,IF(01_因子設定!$B$13="最小化",-X1394,-ABS(X1394-01_因子設定!$B$16))),-1E+030)</f>
        <v>41.9031295687134</v>
      </c>
      <c r="AF1394" s="55" t="n">
        <f aca="false">AD1394+ROW()*0.000000001</f>
        <v>-6.17935988316985</v>
      </c>
      <c r="AG1394" s="55" t="n">
        <f aca="false">AE1394+ROW()*0.000000001</f>
        <v>41.9031309627134</v>
      </c>
    </row>
    <row r="1395" customFormat="false" ht="15" hidden="false" customHeight="false" outlineLevel="0" collapsed="false">
      <c r="A1395" s="0" t="n">
        <v>1</v>
      </c>
      <c r="B1395" s="0" t="n">
        <v>8</v>
      </c>
      <c r="C1395" s="0" t="n">
        <v>1</v>
      </c>
      <c r="D1395" s="0" t="n">
        <v>4</v>
      </c>
      <c r="E1395" s="0" t="n">
        <f aca="false">-1+A1395*0.25</f>
        <v>-0.75</v>
      </c>
      <c r="F1395" s="0" t="n">
        <f aca="false">-1+B1395*0.25</f>
        <v>1</v>
      </c>
      <c r="G1395" s="0" t="n">
        <f aca="false">-1+C1395*0.25</f>
        <v>-0.75</v>
      </c>
      <c r="H1395" s="0" t="n">
        <f aca="false">-1+D1395*0.25</f>
        <v>0</v>
      </c>
      <c r="I1395" s="0" t="n">
        <f aca="false">1</f>
        <v>1</v>
      </c>
      <c r="J1395" s="0" t="n">
        <f aca="false">E1395</f>
        <v>-0.75</v>
      </c>
      <c r="K1395" s="0" t="n">
        <f aca="false">F1395</f>
        <v>1</v>
      </c>
      <c r="L1395" s="0" t="n">
        <f aca="false">G1395</f>
        <v>-0.75</v>
      </c>
      <c r="M1395" s="0" t="n">
        <f aca="false">H1395</f>
        <v>0</v>
      </c>
      <c r="N1395" s="0" t="n">
        <f aca="false">E1395*F1395</f>
        <v>-0.75</v>
      </c>
      <c r="O1395" s="0" t="n">
        <f aca="false">E1395*G1395</f>
        <v>0.5625</v>
      </c>
      <c r="P1395" s="0" t="n">
        <f aca="false">E1395*H1395</f>
        <v>-0</v>
      </c>
      <c r="Q1395" s="0" t="n">
        <f aca="false">F1395*G1395</f>
        <v>-0.75</v>
      </c>
      <c r="R1395" s="0" t="n">
        <f aca="false">F1395*H1395</f>
        <v>0</v>
      </c>
      <c r="S1395" s="0" t="n">
        <f aca="false">G1395*H1395</f>
        <v>-0</v>
      </c>
      <c r="T1395" s="0" t="n">
        <f aca="false">E1395*E1395</f>
        <v>0.5625</v>
      </c>
      <c r="U1395" s="0" t="n">
        <f aca="false">F1395*F1395</f>
        <v>1</v>
      </c>
      <c r="V1395" s="0" t="n">
        <f aca="false">G1395*G1395</f>
        <v>0.5625</v>
      </c>
      <c r="W1395" s="0" t="n">
        <f aca="false">H1395*H1395</f>
        <v>0</v>
      </c>
      <c r="X1395" s="0" t="n">
        <f aca="false">SUMPRODUCT(I1395:W1395,_XtX!$B$96:$P$96)</f>
        <v>41.8979532163743</v>
      </c>
      <c r="Y1395" s="0" t="n">
        <f aca="false">SUMPRODUCT(MMULT(I1395:W1395,_XtX!$B$78:$P$92),I1395:W1395)</f>
        <v>0.494259126005117</v>
      </c>
      <c r="Z1395" s="0" t="n">
        <f aca="false">04_回帰ANOVA!$K$19*04_回帰ANOVA!$K$14*SQRT(1+Y1395)</f>
        <v>1.59335061078203</v>
      </c>
      <c r="AA1395" s="0" t="n">
        <f aca="false">X1395-Z1395</f>
        <v>40.3046026055922</v>
      </c>
      <c r="AB1395" s="0" t="n">
        <f aca="false">X1395+Z1395</f>
        <v>43.4913038271563</v>
      </c>
      <c r="AC1395" s="54" t="b">
        <f aca="false">AND(E1395&gt;=01_因子設定!$L$5-0.000000001,E1395&lt;=01_因子設定!$M$5+0.000000001,F1395&gt;=01_因子設定!$L$6-0.000000001,F1395&lt;=01_因子設定!$M$6+0.000000001,G1395&gt;=01_因子設定!$L$7-0.000000001,G1395&lt;=01_因子設定!$M$7+0.000000001,H1395&gt;=01_因子設定!$L$8-0.000000001,H1395&lt;=01_因子設定!$M$8+0.000000001,IF(01_因子設定!$B$20="Box-Behnken",E1395^2+F1395^2+G1395^2+H1395^2&lt;=2+0.000000001,TRUE()))</f>
        <v>1</v>
      </c>
      <c r="AD1395" s="55" t="n">
        <f aca="false">IF(AC1395,IF(01_因子設定!$B$13="最大化",AA1395-01_因子設定!$B$14,IF(01_因子設定!$B$13="最小化",01_因子設定!$B$15-AB1395,MIN(AA1395-01_因子設定!$B$14,01_因子設定!$B$15-AB1395))),-1E+030)</f>
        <v>-6.19539739440777</v>
      </c>
      <c r="AE1395" s="55" t="n">
        <f aca="false">IF(AC1395,IF(01_因子設定!$B$13="最大化",X1395,IF(01_因子設定!$B$13="最小化",-X1395,-ABS(X1395-01_因子設定!$B$16))),-1E+030)</f>
        <v>41.8979532163743</v>
      </c>
      <c r="AF1395" s="55" t="n">
        <f aca="false">AD1395+ROW()*0.000000001</f>
        <v>-6.19539599940777</v>
      </c>
      <c r="AG1395" s="55" t="n">
        <f aca="false">AE1395+ROW()*0.000000001</f>
        <v>41.8979546113743</v>
      </c>
    </row>
    <row r="1396" customFormat="false" ht="15" hidden="false" customHeight="false" outlineLevel="0" collapsed="false">
      <c r="A1396" s="0" t="n">
        <v>1</v>
      </c>
      <c r="B1396" s="0" t="n">
        <v>8</v>
      </c>
      <c r="C1396" s="0" t="n">
        <v>1</v>
      </c>
      <c r="D1396" s="0" t="n">
        <v>5</v>
      </c>
      <c r="E1396" s="0" t="n">
        <f aca="false">-1+A1396*0.25</f>
        <v>-0.75</v>
      </c>
      <c r="F1396" s="0" t="n">
        <f aca="false">-1+B1396*0.25</f>
        <v>1</v>
      </c>
      <c r="G1396" s="0" t="n">
        <f aca="false">-1+C1396*0.25</f>
        <v>-0.75</v>
      </c>
      <c r="H1396" s="0" t="n">
        <f aca="false">-1+D1396*0.25</f>
        <v>0.25</v>
      </c>
      <c r="I1396" s="0" t="n">
        <f aca="false">1</f>
        <v>1</v>
      </c>
      <c r="J1396" s="0" t="n">
        <f aca="false">E1396</f>
        <v>-0.75</v>
      </c>
      <c r="K1396" s="0" t="n">
        <f aca="false">F1396</f>
        <v>1</v>
      </c>
      <c r="L1396" s="0" t="n">
        <f aca="false">G1396</f>
        <v>-0.75</v>
      </c>
      <c r="M1396" s="0" t="n">
        <f aca="false">H1396</f>
        <v>0.25</v>
      </c>
      <c r="N1396" s="0" t="n">
        <f aca="false">E1396*F1396</f>
        <v>-0.75</v>
      </c>
      <c r="O1396" s="0" t="n">
        <f aca="false">E1396*G1396</f>
        <v>0.5625</v>
      </c>
      <c r="P1396" s="0" t="n">
        <f aca="false">E1396*H1396</f>
        <v>-0.1875</v>
      </c>
      <c r="Q1396" s="0" t="n">
        <f aca="false">F1396*G1396</f>
        <v>-0.75</v>
      </c>
      <c r="R1396" s="0" t="n">
        <f aca="false">F1396*H1396</f>
        <v>0.25</v>
      </c>
      <c r="S1396" s="0" t="n">
        <f aca="false">G1396*H1396</f>
        <v>-0.1875</v>
      </c>
      <c r="T1396" s="0" t="n">
        <f aca="false">E1396*E1396</f>
        <v>0.5625</v>
      </c>
      <c r="U1396" s="0" t="n">
        <f aca="false">F1396*F1396</f>
        <v>1</v>
      </c>
      <c r="V1396" s="0" t="n">
        <f aca="false">G1396*G1396</f>
        <v>0.5625</v>
      </c>
      <c r="W1396" s="0" t="n">
        <f aca="false">H1396*H1396</f>
        <v>0.0625</v>
      </c>
      <c r="X1396" s="0" t="n">
        <f aca="false">SUMPRODUCT(I1396:W1396,_XtX!$B$96:$P$96)</f>
        <v>41.8449698464912</v>
      </c>
      <c r="Y1396" s="0" t="n">
        <f aca="false">SUMPRODUCT(MMULT(I1396:W1396,_XtX!$B$78:$P$92),I1396:W1396)</f>
        <v>0.473959761056287</v>
      </c>
      <c r="Z1396" s="0" t="n">
        <f aca="false">04_回帰ANOVA!$K$19*04_回帰ANOVA!$K$14*SQRT(1+Y1396)</f>
        <v>1.58249084588329</v>
      </c>
      <c r="AA1396" s="0" t="n">
        <f aca="false">X1396-Z1396</f>
        <v>40.2624790006079</v>
      </c>
      <c r="AB1396" s="0" t="n">
        <f aca="false">X1396+Z1396</f>
        <v>43.4274606923745</v>
      </c>
      <c r="AC1396" s="54" t="b">
        <f aca="false">AND(E1396&gt;=01_因子設定!$L$5-0.000000001,E1396&lt;=01_因子設定!$M$5+0.000000001,F1396&gt;=01_因子設定!$L$6-0.000000001,F1396&lt;=01_因子設定!$M$6+0.000000001,G1396&gt;=01_因子設定!$L$7-0.000000001,G1396&lt;=01_因子設定!$M$7+0.000000001,H1396&gt;=01_因子設定!$L$8-0.000000001,H1396&lt;=01_因子設定!$M$8+0.000000001,IF(01_因子設定!$B$20="Box-Behnken",E1396^2+F1396^2+G1396^2+H1396^2&lt;=2+0.000000001,TRUE()))</f>
        <v>1</v>
      </c>
      <c r="AD1396" s="55" t="n">
        <f aca="false">IF(AC1396,IF(01_因子設定!$B$13="最大化",AA1396-01_因子設定!$B$14,IF(01_因子設定!$B$13="最小化",01_因子設定!$B$15-AB1396,MIN(AA1396-01_因子設定!$B$14,01_因子設定!$B$15-AB1396))),-1E+030)</f>
        <v>-6.23752099939207</v>
      </c>
      <c r="AE1396" s="55" t="n">
        <f aca="false">IF(AC1396,IF(01_因子設定!$B$13="最大化",X1396,IF(01_因子設定!$B$13="最小化",-X1396,-ABS(X1396-01_因子設定!$B$16))),-1E+030)</f>
        <v>41.8449698464912</v>
      </c>
      <c r="AF1396" s="55" t="n">
        <f aca="false">AD1396+ROW()*0.000000001</f>
        <v>-6.23751960339207</v>
      </c>
      <c r="AG1396" s="55" t="n">
        <f aca="false">AE1396+ROW()*0.000000001</f>
        <v>41.8449712424912</v>
      </c>
    </row>
    <row r="1397" customFormat="false" ht="15" hidden="false" customHeight="false" outlineLevel="0" collapsed="false">
      <c r="A1397" s="0" t="n">
        <v>1</v>
      </c>
      <c r="B1397" s="0" t="n">
        <v>8</v>
      </c>
      <c r="C1397" s="0" t="n">
        <v>1</v>
      </c>
      <c r="D1397" s="0" t="n">
        <v>6</v>
      </c>
      <c r="E1397" s="0" t="n">
        <f aca="false">-1+A1397*0.25</f>
        <v>-0.75</v>
      </c>
      <c r="F1397" s="0" t="n">
        <f aca="false">-1+B1397*0.25</f>
        <v>1</v>
      </c>
      <c r="G1397" s="0" t="n">
        <f aca="false">-1+C1397*0.25</f>
        <v>-0.75</v>
      </c>
      <c r="H1397" s="0" t="n">
        <f aca="false">-1+D1397*0.25</f>
        <v>0.5</v>
      </c>
      <c r="I1397" s="0" t="n">
        <f aca="false">1</f>
        <v>1</v>
      </c>
      <c r="J1397" s="0" t="n">
        <f aca="false">E1397</f>
        <v>-0.75</v>
      </c>
      <c r="K1397" s="0" t="n">
        <f aca="false">F1397</f>
        <v>1</v>
      </c>
      <c r="L1397" s="0" t="n">
        <f aca="false">G1397</f>
        <v>-0.75</v>
      </c>
      <c r="M1397" s="0" t="n">
        <f aca="false">H1397</f>
        <v>0.5</v>
      </c>
      <c r="N1397" s="0" t="n">
        <f aca="false">E1397*F1397</f>
        <v>-0.75</v>
      </c>
      <c r="O1397" s="0" t="n">
        <f aca="false">E1397*G1397</f>
        <v>0.5625</v>
      </c>
      <c r="P1397" s="0" t="n">
        <f aca="false">E1397*H1397</f>
        <v>-0.375</v>
      </c>
      <c r="Q1397" s="0" t="n">
        <f aca="false">F1397*G1397</f>
        <v>-0.75</v>
      </c>
      <c r="R1397" s="0" t="n">
        <f aca="false">F1397*H1397</f>
        <v>0.5</v>
      </c>
      <c r="S1397" s="0" t="n">
        <f aca="false">G1397*H1397</f>
        <v>-0.375</v>
      </c>
      <c r="T1397" s="0" t="n">
        <f aca="false">E1397*E1397</f>
        <v>0.5625</v>
      </c>
      <c r="U1397" s="0" t="n">
        <f aca="false">F1397*F1397</f>
        <v>1</v>
      </c>
      <c r="V1397" s="0" t="n">
        <f aca="false">G1397*G1397</f>
        <v>0.5625</v>
      </c>
      <c r="W1397" s="0" t="n">
        <f aca="false">H1397*H1397</f>
        <v>0.25</v>
      </c>
      <c r="X1397" s="0" t="n">
        <f aca="false">SUMPRODUCT(I1397:W1397,_XtX!$B$96:$P$96)</f>
        <v>41.7441794590643</v>
      </c>
      <c r="Y1397" s="0" t="n">
        <f aca="false">SUMPRODUCT(MMULT(I1397:W1397,_XtX!$B$78:$P$92),I1397:W1397)</f>
        <v>0.431153771472953</v>
      </c>
      <c r="Z1397" s="0" t="n">
        <f aca="false">04_回帰ANOVA!$K$19*04_回帰ANOVA!$K$14*SQRT(1+Y1397)</f>
        <v>1.55934259562563</v>
      </c>
      <c r="AA1397" s="0" t="n">
        <f aca="false">X1397-Z1397</f>
        <v>40.1848368634387</v>
      </c>
      <c r="AB1397" s="0" t="n">
        <f aca="false">X1397+Z1397</f>
        <v>43.30352205469</v>
      </c>
      <c r="AC1397" s="54" t="b">
        <f aca="false">AND(E1397&gt;=01_因子設定!$L$5-0.000000001,E1397&lt;=01_因子設定!$M$5+0.000000001,F1397&gt;=01_因子設定!$L$6-0.000000001,F1397&lt;=01_因子設定!$M$6+0.000000001,G1397&gt;=01_因子設定!$L$7-0.000000001,G1397&lt;=01_因子設定!$M$7+0.000000001,H1397&gt;=01_因子設定!$L$8-0.000000001,H1397&lt;=01_因子設定!$M$8+0.000000001,IF(01_因子設定!$B$20="Box-Behnken",E1397^2+F1397^2+G1397^2+H1397^2&lt;=2+0.000000001,TRUE()))</f>
        <v>1</v>
      </c>
      <c r="AD1397" s="55" t="n">
        <f aca="false">IF(AC1397,IF(01_因子設定!$B$13="最大化",AA1397-01_因子設定!$B$14,IF(01_因子設定!$B$13="最小化",01_因子設定!$B$15-AB1397,MIN(AA1397-01_因子設定!$B$14,01_因子設定!$B$15-AB1397))),-1E+030)</f>
        <v>-6.3151631365613</v>
      </c>
      <c r="AE1397" s="55" t="n">
        <f aca="false">IF(AC1397,IF(01_因子設定!$B$13="最大化",X1397,IF(01_因子設定!$B$13="最小化",-X1397,-ABS(X1397-01_因子設定!$B$16))),-1E+030)</f>
        <v>41.7441794590643</v>
      </c>
      <c r="AF1397" s="55" t="n">
        <f aca="false">AD1397+ROW()*0.000000001</f>
        <v>-6.3151617395613</v>
      </c>
      <c r="AG1397" s="55" t="n">
        <f aca="false">AE1397+ROW()*0.000000001</f>
        <v>41.7441808560643</v>
      </c>
    </row>
    <row r="1398" customFormat="false" ht="15" hidden="false" customHeight="false" outlineLevel="0" collapsed="false">
      <c r="A1398" s="0" t="n">
        <v>1</v>
      </c>
      <c r="B1398" s="0" t="n">
        <v>8</v>
      </c>
      <c r="C1398" s="0" t="n">
        <v>1</v>
      </c>
      <c r="D1398" s="0" t="n">
        <v>7</v>
      </c>
      <c r="E1398" s="0" t="n">
        <f aca="false">-1+A1398*0.25</f>
        <v>-0.75</v>
      </c>
      <c r="F1398" s="0" t="n">
        <f aca="false">-1+B1398*0.25</f>
        <v>1</v>
      </c>
      <c r="G1398" s="0" t="n">
        <f aca="false">-1+C1398*0.25</f>
        <v>-0.75</v>
      </c>
      <c r="H1398" s="0" t="n">
        <f aca="false">-1+D1398*0.25</f>
        <v>0.75</v>
      </c>
      <c r="I1398" s="0" t="n">
        <f aca="false">1</f>
        <v>1</v>
      </c>
      <c r="J1398" s="0" t="n">
        <f aca="false">E1398</f>
        <v>-0.75</v>
      </c>
      <c r="K1398" s="0" t="n">
        <f aca="false">F1398</f>
        <v>1</v>
      </c>
      <c r="L1398" s="0" t="n">
        <f aca="false">G1398</f>
        <v>-0.75</v>
      </c>
      <c r="M1398" s="0" t="n">
        <f aca="false">H1398</f>
        <v>0.75</v>
      </c>
      <c r="N1398" s="0" t="n">
        <f aca="false">E1398*F1398</f>
        <v>-0.75</v>
      </c>
      <c r="O1398" s="0" t="n">
        <f aca="false">E1398*G1398</f>
        <v>0.5625</v>
      </c>
      <c r="P1398" s="0" t="n">
        <f aca="false">E1398*H1398</f>
        <v>-0.5625</v>
      </c>
      <c r="Q1398" s="0" t="n">
        <f aca="false">F1398*G1398</f>
        <v>-0.75</v>
      </c>
      <c r="R1398" s="0" t="n">
        <f aca="false">F1398*H1398</f>
        <v>0.75</v>
      </c>
      <c r="S1398" s="0" t="n">
        <f aca="false">G1398*H1398</f>
        <v>-0.5625</v>
      </c>
      <c r="T1398" s="0" t="n">
        <f aca="false">E1398*E1398</f>
        <v>0.5625</v>
      </c>
      <c r="U1398" s="0" t="n">
        <f aca="false">F1398*F1398</f>
        <v>1</v>
      </c>
      <c r="V1398" s="0" t="n">
        <f aca="false">G1398*G1398</f>
        <v>0.5625</v>
      </c>
      <c r="W1398" s="0" t="n">
        <f aca="false">H1398*H1398</f>
        <v>0.5625</v>
      </c>
      <c r="X1398" s="0" t="n">
        <f aca="false">SUMPRODUCT(I1398:W1398,_XtX!$B$96:$P$96)</f>
        <v>41.5955820540936</v>
      </c>
      <c r="Y1398" s="0" t="n">
        <f aca="false">SUMPRODUCT(MMULT(I1398:W1398,_XtX!$B$78:$P$92),I1398:W1398)</f>
        <v>0.420117473044591</v>
      </c>
      <c r="Z1398" s="0" t="n">
        <f aca="false">04_回帰ANOVA!$K$19*04_回帰ANOVA!$K$14*SQRT(1+Y1398)</f>
        <v>1.55331854827765</v>
      </c>
      <c r="AA1398" s="0" t="n">
        <f aca="false">X1398-Z1398</f>
        <v>40.0422635058159</v>
      </c>
      <c r="AB1398" s="0" t="n">
        <f aca="false">X1398+Z1398</f>
        <v>43.1489006023712</v>
      </c>
      <c r="AC1398" s="54" t="b">
        <f aca="false">AND(E1398&gt;=01_因子設定!$L$5-0.000000001,E1398&lt;=01_因子設定!$M$5+0.000000001,F1398&gt;=01_因子設定!$L$6-0.000000001,F1398&lt;=01_因子設定!$M$6+0.000000001,G1398&gt;=01_因子設定!$L$7-0.000000001,G1398&lt;=01_因子設定!$M$7+0.000000001,H1398&gt;=01_因子設定!$L$8-0.000000001,H1398&lt;=01_因子設定!$M$8+0.000000001,IF(01_因子設定!$B$20="Box-Behnken",E1398^2+F1398^2+G1398^2+H1398^2&lt;=2+0.000000001,TRUE()))</f>
        <v>1</v>
      </c>
      <c r="AD1398" s="55" t="n">
        <f aca="false">IF(AC1398,IF(01_因子設定!$B$13="最大化",AA1398-01_因子設定!$B$14,IF(01_因子設定!$B$13="最小化",01_因子設定!$B$15-AB1398,MIN(AA1398-01_因子設定!$B$14,01_因子設定!$B$15-AB1398))),-1E+030)</f>
        <v>-6.45773649418407</v>
      </c>
      <c r="AE1398" s="55" t="n">
        <f aca="false">IF(AC1398,IF(01_因子設定!$B$13="最大化",X1398,IF(01_因子設定!$B$13="最小化",-X1398,-ABS(X1398-01_因子設定!$B$16))),-1E+030)</f>
        <v>41.5955820540936</v>
      </c>
      <c r="AF1398" s="55" t="n">
        <f aca="false">AD1398+ROW()*0.000000001</f>
        <v>-6.45773509618407</v>
      </c>
      <c r="AG1398" s="55" t="n">
        <f aca="false">AE1398+ROW()*0.000000001</f>
        <v>41.5955834520936</v>
      </c>
    </row>
    <row r="1399" customFormat="false" ht="15" hidden="false" customHeight="false" outlineLevel="0" collapsed="false">
      <c r="A1399" s="0" t="n">
        <v>1</v>
      </c>
      <c r="B1399" s="0" t="n">
        <v>8</v>
      </c>
      <c r="C1399" s="0" t="n">
        <v>1</v>
      </c>
      <c r="D1399" s="0" t="n">
        <v>8</v>
      </c>
      <c r="E1399" s="0" t="n">
        <f aca="false">-1+A1399*0.25</f>
        <v>-0.75</v>
      </c>
      <c r="F1399" s="0" t="n">
        <f aca="false">-1+B1399*0.25</f>
        <v>1</v>
      </c>
      <c r="G1399" s="0" t="n">
        <f aca="false">-1+C1399*0.25</f>
        <v>-0.75</v>
      </c>
      <c r="H1399" s="0" t="n">
        <f aca="false">-1+D1399*0.25</f>
        <v>1</v>
      </c>
      <c r="I1399" s="0" t="n">
        <f aca="false">1</f>
        <v>1</v>
      </c>
      <c r="J1399" s="0" t="n">
        <f aca="false">E1399</f>
        <v>-0.75</v>
      </c>
      <c r="K1399" s="0" t="n">
        <f aca="false">F1399</f>
        <v>1</v>
      </c>
      <c r="L1399" s="0" t="n">
        <f aca="false">G1399</f>
        <v>-0.75</v>
      </c>
      <c r="M1399" s="0" t="n">
        <f aca="false">H1399</f>
        <v>1</v>
      </c>
      <c r="N1399" s="0" t="n">
        <f aca="false">E1399*F1399</f>
        <v>-0.75</v>
      </c>
      <c r="O1399" s="0" t="n">
        <f aca="false">E1399*G1399</f>
        <v>0.5625</v>
      </c>
      <c r="P1399" s="0" t="n">
        <f aca="false">E1399*H1399</f>
        <v>-0.75</v>
      </c>
      <c r="Q1399" s="0" t="n">
        <f aca="false">F1399*G1399</f>
        <v>-0.75</v>
      </c>
      <c r="R1399" s="0" t="n">
        <f aca="false">F1399*H1399</f>
        <v>1</v>
      </c>
      <c r="S1399" s="0" t="n">
        <f aca="false">G1399*H1399</f>
        <v>-0.75</v>
      </c>
      <c r="T1399" s="0" t="n">
        <f aca="false">E1399*E1399</f>
        <v>0.5625</v>
      </c>
      <c r="U1399" s="0" t="n">
        <f aca="false">F1399*F1399</f>
        <v>1</v>
      </c>
      <c r="V1399" s="0" t="n">
        <f aca="false">G1399*G1399</f>
        <v>0.5625</v>
      </c>
      <c r="W1399" s="0" t="n">
        <f aca="false">H1399*H1399</f>
        <v>1</v>
      </c>
      <c r="X1399" s="0" t="n">
        <f aca="false">SUMPRODUCT(I1399:W1399,_XtX!$B$96:$P$96)</f>
        <v>41.399177631579</v>
      </c>
      <c r="Y1399" s="0" t="n">
        <f aca="false">SUMPRODUCT(MMULT(I1399:W1399,_XtX!$B$78:$P$92),I1399:W1399)</f>
        <v>0.531311392086988</v>
      </c>
      <c r="Z1399" s="0" t="n">
        <f aca="false">04_回帰ANOVA!$K$19*04_回帰ANOVA!$K$14*SQRT(1+Y1399)</f>
        <v>1.61298433431428</v>
      </c>
      <c r="AA1399" s="0" t="n">
        <f aca="false">X1399-Z1399</f>
        <v>39.7861932972647</v>
      </c>
      <c r="AB1399" s="0" t="n">
        <f aca="false">X1399+Z1399</f>
        <v>43.0121619658933</v>
      </c>
      <c r="AC1399" s="54" t="b">
        <f aca="false">AND(E1399&gt;=01_因子設定!$L$5-0.000000001,E1399&lt;=01_因子設定!$M$5+0.000000001,F1399&gt;=01_因子設定!$L$6-0.000000001,F1399&lt;=01_因子設定!$M$6+0.000000001,G1399&gt;=01_因子設定!$L$7-0.000000001,G1399&lt;=01_因子設定!$M$7+0.000000001,H1399&gt;=01_因子設定!$L$8-0.000000001,H1399&lt;=01_因子設定!$M$8+0.000000001,IF(01_因子設定!$B$20="Box-Behnken",E1399^2+F1399^2+G1399^2+H1399^2&lt;=2+0.000000001,TRUE()))</f>
        <v>1</v>
      </c>
      <c r="AD1399" s="55" t="n">
        <f aca="false">IF(AC1399,IF(01_因子設定!$B$13="最大化",AA1399-01_因子設定!$B$14,IF(01_因子設定!$B$13="最小化",01_因子設定!$B$15-AB1399,MIN(AA1399-01_因子設定!$B$14,01_因子設定!$B$15-AB1399))),-1E+030)</f>
        <v>-6.71380670273531</v>
      </c>
      <c r="AE1399" s="55" t="n">
        <f aca="false">IF(AC1399,IF(01_因子設定!$B$13="最大化",X1399,IF(01_因子設定!$B$13="最小化",-X1399,-ABS(X1399-01_因子設定!$B$16))),-1E+030)</f>
        <v>41.399177631579</v>
      </c>
      <c r="AF1399" s="55" t="n">
        <f aca="false">AD1399+ROW()*0.000000001</f>
        <v>-6.71380530373531</v>
      </c>
      <c r="AG1399" s="55" t="n">
        <f aca="false">AE1399+ROW()*0.000000001</f>
        <v>41.399179030579</v>
      </c>
    </row>
    <row r="1400" customFormat="false" ht="15" hidden="false" customHeight="false" outlineLevel="0" collapsed="false">
      <c r="A1400" s="0" t="n">
        <v>1</v>
      </c>
      <c r="B1400" s="0" t="n">
        <v>8</v>
      </c>
      <c r="C1400" s="0" t="n">
        <v>2</v>
      </c>
      <c r="D1400" s="0" t="n">
        <v>0</v>
      </c>
      <c r="E1400" s="0" t="n">
        <f aca="false">-1+A1400*0.25</f>
        <v>-0.75</v>
      </c>
      <c r="F1400" s="0" t="n">
        <f aca="false">-1+B1400*0.25</f>
        <v>1</v>
      </c>
      <c r="G1400" s="0" t="n">
        <f aca="false">-1+C1400*0.25</f>
        <v>-0.5</v>
      </c>
      <c r="H1400" s="0" t="n">
        <f aca="false">-1+D1400*0.25</f>
        <v>-1</v>
      </c>
      <c r="I1400" s="0" t="n">
        <f aca="false">1</f>
        <v>1</v>
      </c>
      <c r="J1400" s="0" t="n">
        <f aca="false">E1400</f>
        <v>-0.75</v>
      </c>
      <c r="K1400" s="0" t="n">
        <f aca="false">F1400</f>
        <v>1</v>
      </c>
      <c r="L1400" s="0" t="n">
        <f aca="false">G1400</f>
        <v>-0.5</v>
      </c>
      <c r="M1400" s="0" t="n">
        <f aca="false">H1400</f>
        <v>-1</v>
      </c>
      <c r="N1400" s="0" t="n">
        <f aca="false">E1400*F1400</f>
        <v>-0.75</v>
      </c>
      <c r="O1400" s="0" t="n">
        <f aca="false">E1400*G1400</f>
        <v>0.375</v>
      </c>
      <c r="P1400" s="0" t="n">
        <f aca="false">E1400*H1400</f>
        <v>0.75</v>
      </c>
      <c r="Q1400" s="0" t="n">
        <f aca="false">F1400*G1400</f>
        <v>-0.5</v>
      </c>
      <c r="R1400" s="0" t="n">
        <f aca="false">F1400*H1400</f>
        <v>-1</v>
      </c>
      <c r="S1400" s="0" t="n">
        <f aca="false">G1400*H1400</f>
        <v>0.5</v>
      </c>
      <c r="T1400" s="0" t="n">
        <f aca="false">E1400*E1400</f>
        <v>0.5625</v>
      </c>
      <c r="U1400" s="0" t="n">
        <f aca="false">F1400*F1400</f>
        <v>1</v>
      </c>
      <c r="V1400" s="0" t="n">
        <f aca="false">G1400*G1400</f>
        <v>0.25</v>
      </c>
      <c r="W1400" s="0" t="n">
        <f aca="false">H1400*H1400</f>
        <v>1</v>
      </c>
      <c r="X1400" s="0" t="n">
        <f aca="false">SUMPRODUCT(I1400:W1400,_XtX!$B$96:$P$96)</f>
        <v>42.2190423976608</v>
      </c>
      <c r="Y1400" s="0" t="n">
        <f aca="false">SUMPRODUCT(MMULT(I1400:W1400,_XtX!$B$78:$P$92),I1400:W1400)</f>
        <v>0.564984237938597</v>
      </c>
      <c r="Z1400" s="0" t="n">
        <f aca="false">04_回帰ANOVA!$K$19*04_回帰ANOVA!$K$14*SQRT(1+Y1400)</f>
        <v>1.63062229734503</v>
      </c>
      <c r="AA1400" s="0" t="n">
        <f aca="false">X1400-Z1400</f>
        <v>40.5884201003158</v>
      </c>
      <c r="AB1400" s="0" t="n">
        <f aca="false">X1400+Z1400</f>
        <v>43.8496646950059</v>
      </c>
      <c r="AC1400" s="54" t="b">
        <f aca="false">AND(E1400&gt;=01_因子設定!$L$5-0.000000001,E1400&lt;=01_因子設定!$M$5+0.000000001,F1400&gt;=01_因子設定!$L$6-0.000000001,F1400&lt;=01_因子設定!$M$6+0.000000001,G1400&gt;=01_因子設定!$L$7-0.000000001,G1400&lt;=01_因子設定!$M$7+0.000000001,H1400&gt;=01_因子設定!$L$8-0.000000001,H1400&lt;=01_因子設定!$M$8+0.000000001,IF(01_因子設定!$B$20="Box-Behnken",E1400^2+F1400^2+G1400^2+H1400^2&lt;=2+0.000000001,TRUE()))</f>
        <v>1</v>
      </c>
      <c r="AD1400" s="55" t="n">
        <f aca="false">IF(AC1400,IF(01_因子設定!$B$13="最大化",AA1400-01_因子設定!$B$14,IF(01_因子設定!$B$13="最小化",01_因子設定!$B$15-AB1400,MIN(AA1400-01_因子設定!$B$14,01_因子設定!$B$15-AB1400))),-1E+030)</f>
        <v>-5.91157989968419</v>
      </c>
      <c r="AE1400" s="55" t="n">
        <f aca="false">IF(AC1400,IF(01_因子設定!$B$13="最大化",X1400,IF(01_因子設定!$B$13="最小化",-X1400,-ABS(X1400-01_因子設定!$B$16))),-1E+030)</f>
        <v>42.2190423976608</v>
      </c>
      <c r="AF1400" s="55" t="n">
        <f aca="false">AD1400+ROW()*0.000000001</f>
        <v>-5.91157849968419</v>
      </c>
      <c r="AG1400" s="55" t="n">
        <f aca="false">AE1400+ROW()*0.000000001</f>
        <v>42.2190437976608</v>
      </c>
    </row>
    <row r="1401" customFormat="false" ht="15" hidden="false" customHeight="false" outlineLevel="0" collapsed="false">
      <c r="A1401" s="0" t="n">
        <v>1</v>
      </c>
      <c r="B1401" s="0" t="n">
        <v>8</v>
      </c>
      <c r="C1401" s="0" t="n">
        <v>2</v>
      </c>
      <c r="D1401" s="0" t="n">
        <v>1</v>
      </c>
      <c r="E1401" s="0" t="n">
        <f aca="false">-1+A1401*0.25</f>
        <v>-0.75</v>
      </c>
      <c r="F1401" s="0" t="n">
        <f aca="false">-1+B1401*0.25</f>
        <v>1</v>
      </c>
      <c r="G1401" s="0" t="n">
        <f aca="false">-1+C1401*0.25</f>
        <v>-0.5</v>
      </c>
      <c r="H1401" s="0" t="n">
        <f aca="false">-1+D1401*0.25</f>
        <v>-0.75</v>
      </c>
      <c r="I1401" s="0" t="n">
        <f aca="false">1</f>
        <v>1</v>
      </c>
      <c r="J1401" s="0" t="n">
        <f aca="false">E1401</f>
        <v>-0.75</v>
      </c>
      <c r="K1401" s="0" t="n">
        <f aca="false">F1401</f>
        <v>1</v>
      </c>
      <c r="L1401" s="0" t="n">
        <f aca="false">G1401</f>
        <v>-0.5</v>
      </c>
      <c r="M1401" s="0" t="n">
        <f aca="false">H1401</f>
        <v>-0.75</v>
      </c>
      <c r="N1401" s="0" t="n">
        <f aca="false">E1401*F1401</f>
        <v>-0.75</v>
      </c>
      <c r="O1401" s="0" t="n">
        <f aca="false">E1401*G1401</f>
        <v>0.375</v>
      </c>
      <c r="P1401" s="0" t="n">
        <f aca="false">E1401*H1401</f>
        <v>0.5625</v>
      </c>
      <c r="Q1401" s="0" t="n">
        <f aca="false">F1401*G1401</f>
        <v>-0.5</v>
      </c>
      <c r="R1401" s="0" t="n">
        <f aca="false">F1401*H1401</f>
        <v>-0.75</v>
      </c>
      <c r="S1401" s="0" t="n">
        <f aca="false">G1401*H1401</f>
        <v>0.375</v>
      </c>
      <c r="T1401" s="0" t="n">
        <f aca="false">E1401*E1401</f>
        <v>0.5625</v>
      </c>
      <c r="U1401" s="0" t="n">
        <f aca="false">F1401*F1401</f>
        <v>1</v>
      </c>
      <c r="V1401" s="0" t="n">
        <f aca="false">G1401*G1401</f>
        <v>0.25</v>
      </c>
      <c r="W1401" s="0" t="n">
        <f aca="false">H1401*H1401</f>
        <v>0.5625</v>
      </c>
      <c r="X1401" s="0" t="n">
        <f aca="false">SUMPRODUCT(I1401:W1401,_XtX!$B$96:$P$96)</f>
        <v>42.3752558479532</v>
      </c>
      <c r="Y1401" s="0" t="n">
        <f aca="false">SUMPRODUCT(MMULT(I1401:W1401,_XtX!$B$78:$P$92),I1401:W1401)</f>
        <v>0.431153771472953</v>
      </c>
      <c r="Z1401" s="0" t="n">
        <f aca="false">04_回帰ANOVA!$K$19*04_回帰ANOVA!$K$14*SQRT(1+Y1401)</f>
        <v>1.55934259562563</v>
      </c>
      <c r="AA1401" s="0" t="n">
        <f aca="false">X1401-Z1401</f>
        <v>40.8159132523276</v>
      </c>
      <c r="AB1401" s="0" t="n">
        <f aca="false">X1401+Z1401</f>
        <v>43.9345984435789</v>
      </c>
      <c r="AC1401" s="54" t="b">
        <f aca="false">AND(E1401&gt;=01_因子設定!$L$5-0.000000001,E1401&lt;=01_因子設定!$M$5+0.000000001,F1401&gt;=01_因子設定!$L$6-0.000000001,F1401&lt;=01_因子設定!$M$6+0.000000001,G1401&gt;=01_因子設定!$L$7-0.000000001,G1401&lt;=01_因子設定!$M$7+0.000000001,H1401&gt;=01_因子設定!$L$8-0.000000001,H1401&lt;=01_因子設定!$M$8+0.000000001,IF(01_因子設定!$B$20="Box-Behnken",E1401^2+F1401^2+G1401^2+H1401^2&lt;=2+0.000000001,TRUE()))</f>
        <v>1</v>
      </c>
      <c r="AD1401" s="55" t="n">
        <f aca="false">IF(AC1401,IF(01_因子設定!$B$13="最大化",AA1401-01_因子設定!$B$14,IF(01_因子設定!$B$13="最小化",01_因子設定!$B$15-AB1401,MIN(AA1401-01_因子設定!$B$14,01_因子設定!$B$15-AB1401))),-1E+030)</f>
        <v>-5.6840867476724</v>
      </c>
      <c r="AE1401" s="55" t="n">
        <f aca="false">IF(AC1401,IF(01_因子設定!$B$13="最大化",X1401,IF(01_因子設定!$B$13="最小化",-X1401,-ABS(X1401-01_因子設定!$B$16))),-1E+030)</f>
        <v>42.3752558479532</v>
      </c>
      <c r="AF1401" s="55" t="n">
        <f aca="false">AD1401+ROW()*0.000000001</f>
        <v>-5.6840853466724</v>
      </c>
      <c r="AG1401" s="55" t="n">
        <f aca="false">AE1401+ROW()*0.000000001</f>
        <v>42.3752572489532</v>
      </c>
    </row>
    <row r="1402" customFormat="false" ht="15" hidden="false" customHeight="false" outlineLevel="0" collapsed="false">
      <c r="A1402" s="0" t="n">
        <v>1</v>
      </c>
      <c r="B1402" s="0" t="n">
        <v>8</v>
      </c>
      <c r="C1402" s="0" t="n">
        <v>2</v>
      </c>
      <c r="D1402" s="0" t="n">
        <v>2</v>
      </c>
      <c r="E1402" s="0" t="n">
        <f aca="false">-1+A1402*0.25</f>
        <v>-0.75</v>
      </c>
      <c r="F1402" s="0" t="n">
        <f aca="false">-1+B1402*0.25</f>
        <v>1</v>
      </c>
      <c r="G1402" s="0" t="n">
        <f aca="false">-1+C1402*0.25</f>
        <v>-0.5</v>
      </c>
      <c r="H1402" s="0" t="n">
        <f aca="false">-1+D1402*0.25</f>
        <v>-0.5</v>
      </c>
      <c r="I1402" s="0" t="n">
        <f aca="false">1</f>
        <v>1</v>
      </c>
      <c r="J1402" s="0" t="n">
        <f aca="false">E1402</f>
        <v>-0.75</v>
      </c>
      <c r="K1402" s="0" t="n">
        <f aca="false">F1402</f>
        <v>1</v>
      </c>
      <c r="L1402" s="0" t="n">
        <f aca="false">G1402</f>
        <v>-0.5</v>
      </c>
      <c r="M1402" s="0" t="n">
        <f aca="false">H1402</f>
        <v>-0.5</v>
      </c>
      <c r="N1402" s="0" t="n">
        <f aca="false">E1402*F1402</f>
        <v>-0.75</v>
      </c>
      <c r="O1402" s="0" t="n">
        <f aca="false">E1402*G1402</f>
        <v>0.375</v>
      </c>
      <c r="P1402" s="0" t="n">
        <f aca="false">E1402*H1402</f>
        <v>0.375</v>
      </c>
      <c r="Q1402" s="0" t="n">
        <f aca="false">F1402*G1402</f>
        <v>-0.5</v>
      </c>
      <c r="R1402" s="0" t="n">
        <f aca="false">F1402*H1402</f>
        <v>-0.5</v>
      </c>
      <c r="S1402" s="0" t="n">
        <f aca="false">G1402*H1402</f>
        <v>0.25</v>
      </c>
      <c r="T1402" s="0" t="n">
        <f aca="false">E1402*E1402</f>
        <v>0.5625</v>
      </c>
      <c r="U1402" s="0" t="n">
        <f aca="false">F1402*F1402</f>
        <v>1</v>
      </c>
      <c r="V1402" s="0" t="n">
        <f aca="false">G1402*G1402</f>
        <v>0.25</v>
      </c>
      <c r="W1402" s="0" t="n">
        <f aca="false">H1402*H1402</f>
        <v>0.25</v>
      </c>
      <c r="X1402" s="0" t="n">
        <f aca="false">SUMPRODUCT(I1402:W1402,_XtX!$B$96:$P$96)</f>
        <v>42.4836622807018</v>
      </c>
      <c r="Y1402" s="0" t="n">
        <f aca="false">SUMPRODUCT(MMULT(I1402:W1402,_XtX!$B$78:$P$92),I1402:W1402)</f>
        <v>0.42602110745614</v>
      </c>
      <c r="Z1402" s="0" t="n">
        <f aca="false">04_回帰ANOVA!$K$19*04_回帰ANOVA!$K$14*SQRT(1+Y1402)</f>
        <v>1.55654388501114</v>
      </c>
      <c r="AA1402" s="0" t="n">
        <f aca="false">X1402-Z1402</f>
        <v>40.9271183956906</v>
      </c>
      <c r="AB1402" s="0" t="n">
        <f aca="false">X1402+Z1402</f>
        <v>44.0402061657129</v>
      </c>
      <c r="AC1402" s="54" t="b">
        <f aca="false">AND(E1402&gt;=01_因子設定!$L$5-0.000000001,E1402&lt;=01_因子設定!$M$5+0.000000001,F1402&gt;=01_因子設定!$L$6-0.000000001,F1402&lt;=01_因子設定!$M$6+0.000000001,G1402&gt;=01_因子設定!$L$7-0.000000001,G1402&lt;=01_因子設定!$M$7+0.000000001,H1402&gt;=01_因子設定!$L$8-0.000000001,H1402&lt;=01_因子設定!$M$8+0.000000001,IF(01_因子設定!$B$20="Box-Behnken",E1402^2+F1402^2+G1402^2+H1402^2&lt;=2+0.000000001,TRUE()))</f>
        <v>1</v>
      </c>
      <c r="AD1402" s="55" t="n">
        <f aca="false">IF(AC1402,IF(01_因子設定!$B$13="最大化",AA1402-01_因子設定!$B$14,IF(01_因子設定!$B$13="最小化",01_因子設定!$B$15-AB1402,MIN(AA1402-01_因子設定!$B$14,01_因子設定!$B$15-AB1402))),-1E+030)</f>
        <v>-5.57288160430939</v>
      </c>
      <c r="AE1402" s="55" t="n">
        <f aca="false">IF(AC1402,IF(01_因子設定!$B$13="最大化",X1402,IF(01_因子設定!$B$13="最小化",-X1402,-ABS(X1402-01_因子設定!$B$16))),-1E+030)</f>
        <v>42.4836622807018</v>
      </c>
      <c r="AF1402" s="55" t="n">
        <f aca="false">AD1402+ROW()*0.000000001</f>
        <v>-5.57288020230939</v>
      </c>
      <c r="AG1402" s="55" t="n">
        <f aca="false">AE1402+ROW()*0.000000001</f>
        <v>42.4836636827018</v>
      </c>
    </row>
    <row r="1403" customFormat="false" ht="15" hidden="false" customHeight="false" outlineLevel="0" collapsed="false">
      <c r="A1403" s="0" t="n">
        <v>1</v>
      </c>
      <c r="B1403" s="0" t="n">
        <v>8</v>
      </c>
      <c r="C1403" s="0" t="n">
        <v>2</v>
      </c>
      <c r="D1403" s="0" t="n">
        <v>3</v>
      </c>
      <c r="E1403" s="0" t="n">
        <f aca="false">-1+A1403*0.25</f>
        <v>-0.75</v>
      </c>
      <c r="F1403" s="0" t="n">
        <f aca="false">-1+B1403*0.25</f>
        <v>1</v>
      </c>
      <c r="G1403" s="0" t="n">
        <f aca="false">-1+C1403*0.25</f>
        <v>-0.5</v>
      </c>
      <c r="H1403" s="0" t="n">
        <f aca="false">-1+D1403*0.25</f>
        <v>-0.25</v>
      </c>
      <c r="I1403" s="0" t="n">
        <f aca="false">1</f>
        <v>1</v>
      </c>
      <c r="J1403" s="0" t="n">
        <f aca="false">E1403</f>
        <v>-0.75</v>
      </c>
      <c r="K1403" s="0" t="n">
        <f aca="false">F1403</f>
        <v>1</v>
      </c>
      <c r="L1403" s="0" t="n">
        <f aca="false">G1403</f>
        <v>-0.5</v>
      </c>
      <c r="M1403" s="0" t="n">
        <f aca="false">H1403</f>
        <v>-0.25</v>
      </c>
      <c r="N1403" s="0" t="n">
        <f aca="false">E1403*F1403</f>
        <v>-0.75</v>
      </c>
      <c r="O1403" s="0" t="n">
        <f aca="false">E1403*G1403</f>
        <v>0.375</v>
      </c>
      <c r="P1403" s="0" t="n">
        <f aca="false">E1403*H1403</f>
        <v>0.1875</v>
      </c>
      <c r="Q1403" s="0" t="n">
        <f aca="false">F1403*G1403</f>
        <v>-0.5</v>
      </c>
      <c r="R1403" s="0" t="n">
        <f aca="false">F1403*H1403</f>
        <v>-0.25</v>
      </c>
      <c r="S1403" s="0" t="n">
        <f aca="false">G1403*H1403</f>
        <v>0.125</v>
      </c>
      <c r="T1403" s="0" t="n">
        <f aca="false">E1403*E1403</f>
        <v>0.5625</v>
      </c>
      <c r="U1403" s="0" t="n">
        <f aca="false">F1403*F1403</f>
        <v>1</v>
      </c>
      <c r="V1403" s="0" t="n">
        <f aca="false">G1403*G1403</f>
        <v>0.25</v>
      </c>
      <c r="W1403" s="0" t="n">
        <f aca="false">H1403*H1403</f>
        <v>0.0625</v>
      </c>
      <c r="X1403" s="0" t="n">
        <f aca="false">SUMPRODUCT(I1403:W1403,_XtX!$B$96:$P$96)</f>
        <v>42.5442616959064</v>
      </c>
      <c r="Y1403" s="0" t="n">
        <f aca="false">SUMPRODUCT(MMULT(I1403:W1403,_XtX!$B$78:$P$92),I1403:W1403)</f>
        <v>0.459125719572369</v>
      </c>
      <c r="Z1403" s="0" t="n">
        <f aca="false">04_回帰ANOVA!$K$19*04_回帰ANOVA!$K$14*SQRT(1+Y1403)</f>
        <v>1.57450755575573</v>
      </c>
      <c r="AA1403" s="0" t="n">
        <f aca="false">X1403-Z1403</f>
        <v>40.9697541401507</v>
      </c>
      <c r="AB1403" s="0" t="n">
        <f aca="false">X1403+Z1403</f>
        <v>44.1187692516622</v>
      </c>
      <c r="AC1403" s="54" t="b">
        <f aca="false">AND(E1403&gt;=01_因子設定!$L$5-0.000000001,E1403&lt;=01_因子設定!$M$5+0.000000001,F1403&gt;=01_因子設定!$L$6-0.000000001,F1403&lt;=01_因子設定!$M$6+0.000000001,G1403&gt;=01_因子設定!$L$7-0.000000001,G1403&lt;=01_因子設定!$M$7+0.000000001,H1403&gt;=01_因子設定!$L$8-0.000000001,H1403&lt;=01_因子設定!$M$8+0.000000001,IF(01_因子設定!$B$20="Box-Behnken",E1403^2+F1403^2+G1403^2+H1403^2&lt;=2+0.000000001,TRUE()))</f>
        <v>1</v>
      </c>
      <c r="AD1403" s="55" t="n">
        <f aca="false">IF(AC1403,IF(01_因子設定!$B$13="最大化",AA1403-01_因子設定!$B$14,IF(01_因子設定!$B$13="最小化",01_因子設定!$B$15-AB1403,MIN(AA1403-01_因子設定!$B$14,01_因子設定!$B$15-AB1403))),-1E+030)</f>
        <v>-5.53024585984931</v>
      </c>
      <c r="AE1403" s="55" t="n">
        <f aca="false">IF(AC1403,IF(01_因子設定!$B$13="最大化",X1403,IF(01_因子設定!$B$13="最小化",-X1403,-ABS(X1403-01_因子設定!$B$16))),-1E+030)</f>
        <v>42.5442616959064</v>
      </c>
      <c r="AF1403" s="55" t="n">
        <f aca="false">AD1403+ROW()*0.000000001</f>
        <v>-5.53024445684931</v>
      </c>
      <c r="AG1403" s="55" t="n">
        <f aca="false">AE1403+ROW()*0.000000001</f>
        <v>42.5442630989064</v>
      </c>
    </row>
    <row r="1404" customFormat="false" ht="15" hidden="false" customHeight="false" outlineLevel="0" collapsed="false">
      <c r="A1404" s="0" t="n">
        <v>1</v>
      </c>
      <c r="B1404" s="0" t="n">
        <v>8</v>
      </c>
      <c r="C1404" s="0" t="n">
        <v>2</v>
      </c>
      <c r="D1404" s="0" t="n">
        <v>4</v>
      </c>
      <c r="E1404" s="0" t="n">
        <f aca="false">-1+A1404*0.25</f>
        <v>-0.75</v>
      </c>
      <c r="F1404" s="0" t="n">
        <f aca="false">-1+B1404*0.25</f>
        <v>1</v>
      </c>
      <c r="G1404" s="0" t="n">
        <f aca="false">-1+C1404*0.25</f>
        <v>-0.5</v>
      </c>
      <c r="H1404" s="0" t="n">
        <f aca="false">-1+D1404*0.25</f>
        <v>0</v>
      </c>
      <c r="I1404" s="0" t="n">
        <f aca="false">1</f>
        <v>1</v>
      </c>
      <c r="J1404" s="0" t="n">
        <f aca="false">E1404</f>
        <v>-0.75</v>
      </c>
      <c r="K1404" s="0" t="n">
        <f aca="false">F1404</f>
        <v>1</v>
      </c>
      <c r="L1404" s="0" t="n">
        <f aca="false">G1404</f>
        <v>-0.5</v>
      </c>
      <c r="M1404" s="0" t="n">
        <f aca="false">H1404</f>
        <v>0</v>
      </c>
      <c r="N1404" s="0" t="n">
        <f aca="false">E1404*F1404</f>
        <v>-0.75</v>
      </c>
      <c r="O1404" s="0" t="n">
        <f aca="false">E1404*G1404</f>
        <v>0.375</v>
      </c>
      <c r="P1404" s="0" t="n">
        <f aca="false">E1404*H1404</f>
        <v>-0</v>
      </c>
      <c r="Q1404" s="0" t="n">
        <f aca="false">F1404*G1404</f>
        <v>-0.5</v>
      </c>
      <c r="R1404" s="0" t="n">
        <f aca="false">F1404*H1404</f>
        <v>0</v>
      </c>
      <c r="S1404" s="0" t="n">
        <f aca="false">G1404*H1404</f>
        <v>-0</v>
      </c>
      <c r="T1404" s="0" t="n">
        <f aca="false">E1404*E1404</f>
        <v>0.5625</v>
      </c>
      <c r="U1404" s="0" t="n">
        <f aca="false">F1404*F1404</f>
        <v>1</v>
      </c>
      <c r="V1404" s="0" t="n">
        <f aca="false">G1404*G1404</f>
        <v>0.25</v>
      </c>
      <c r="W1404" s="0" t="n">
        <f aca="false">H1404*H1404</f>
        <v>0</v>
      </c>
      <c r="X1404" s="0" t="n">
        <f aca="false">SUMPRODUCT(I1404:W1404,_XtX!$B$96:$P$96)</f>
        <v>42.5570540935672</v>
      </c>
      <c r="Y1404" s="0" t="n">
        <f aca="false">SUMPRODUCT(MMULT(I1404:W1404,_XtX!$B$78:$P$92),I1404:W1404)</f>
        <v>0.476191292032164</v>
      </c>
      <c r="Z1404" s="0" t="n">
        <f aca="false">04_回帰ANOVA!$K$19*04_回帰ANOVA!$K$14*SQRT(1+Y1404)</f>
        <v>1.58368831471718</v>
      </c>
      <c r="AA1404" s="0" t="n">
        <f aca="false">X1404-Z1404</f>
        <v>40.9733657788501</v>
      </c>
      <c r="AB1404" s="0" t="n">
        <f aca="false">X1404+Z1404</f>
        <v>44.1407424082844</v>
      </c>
      <c r="AC1404" s="54" t="b">
        <f aca="false">AND(E1404&gt;=01_因子設定!$L$5-0.000000001,E1404&lt;=01_因子設定!$M$5+0.000000001,F1404&gt;=01_因子設定!$L$6-0.000000001,F1404&lt;=01_因子設定!$M$6+0.000000001,G1404&gt;=01_因子設定!$L$7-0.000000001,G1404&lt;=01_因子設定!$M$7+0.000000001,H1404&gt;=01_因子設定!$L$8-0.000000001,H1404&lt;=01_因子設定!$M$8+0.000000001,IF(01_因子設定!$B$20="Box-Behnken",E1404^2+F1404^2+G1404^2+H1404^2&lt;=2+0.000000001,TRUE()))</f>
        <v>1</v>
      </c>
      <c r="AD1404" s="55" t="n">
        <f aca="false">IF(AC1404,IF(01_因子設定!$B$13="最大化",AA1404-01_因子設定!$B$14,IF(01_因子設定!$B$13="最小化",01_因子設定!$B$15-AB1404,MIN(AA1404-01_因子設定!$B$14,01_因子設定!$B$15-AB1404))),-1E+030)</f>
        <v>-5.52663422114994</v>
      </c>
      <c r="AE1404" s="55" t="n">
        <f aca="false">IF(AC1404,IF(01_因子設定!$B$13="最大化",X1404,IF(01_因子設定!$B$13="最小化",-X1404,-ABS(X1404-01_因子設定!$B$16))),-1E+030)</f>
        <v>42.5570540935672</v>
      </c>
      <c r="AF1404" s="55" t="n">
        <f aca="false">AD1404+ROW()*0.000000001</f>
        <v>-5.52663281714994</v>
      </c>
      <c r="AG1404" s="55" t="n">
        <f aca="false">AE1404+ROW()*0.000000001</f>
        <v>42.5570554975672</v>
      </c>
    </row>
    <row r="1405" customFormat="false" ht="15" hidden="false" customHeight="false" outlineLevel="0" collapsed="false">
      <c r="A1405" s="0" t="n">
        <v>1</v>
      </c>
      <c r="B1405" s="0" t="n">
        <v>8</v>
      </c>
      <c r="C1405" s="0" t="n">
        <v>2</v>
      </c>
      <c r="D1405" s="0" t="n">
        <v>5</v>
      </c>
      <c r="E1405" s="0" t="n">
        <f aca="false">-1+A1405*0.25</f>
        <v>-0.75</v>
      </c>
      <c r="F1405" s="0" t="n">
        <f aca="false">-1+B1405*0.25</f>
        <v>1</v>
      </c>
      <c r="G1405" s="0" t="n">
        <f aca="false">-1+C1405*0.25</f>
        <v>-0.5</v>
      </c>
      <c r="H1405" s="0" t="n">
        <f aca="false">-1+D1405*0.25</f>
        <v>0.25</v>
      </c>
      <c r="I1405" s="0" t="n">
        <f aca="false">1</f>
        <v>1</v>
      </c>
      <c r="J1405" s="0" t="n">
        <f aca="false">E1405</f>
        <v>-0.75</v>
      </c>
      <c r="K1405" s="0" t="n">
        <f aca="false">F1405</f>
        <v>1</v>
      </c>
      <c r="L1405" s="0" t="n">
        <f aca="false">G1405</f>
        <v>-0.5</v>
      </c>
      <c r="M1405" s="0" t="n">
        <f aca="false">H1405</f>
        <v>0.25</v>
      </c>
      <c r="N1405" s="0" t="n">
        <f aca="false">E1405*F1405</f>
        <v>-0.75</v>
      </c>
      <c r="O1405" s="0" t="n">
        <f aca="false">E1405*G1405</f>
        <v>0.375</v>
      </c>
      <c r="P1405" s="0" t="n">
        <f aca="false">E1405*H1405</f>
        <v>-0.1875</v>
      </c>
      <c r="Q1405" s="0" t="n">
        <f aca="false">F1405*G1405</f>
        <v>-0.5</v>
      </c>
      <c r="R1405" s="0" t="n">
        <f aca="false">F1405*H1405</f>
        <v>0.25</v>
      </c>
      <c r="S1405" s="0" t="n">
        <f aca="false">G1405*H1405</f>
        <v>-0.125</v>
      </c>
      <c r="T1405" s="0" t="n">
        <f aca="false">E1405*E1405</f>
        <v>0.5625</v>
      </c>
      <c r="U1405" s="0" t="n">
        <f aca="false">F1405*F1405</f>
        <v>1</v>
      </c>
      <c r="V1405" s="0" t="n">
        <f aca="false">G1405*G1405</f>
        <v>0.25</v>
      </c>
      <c r="W1405" s="0" t="n">
        <f aca="false">H1405*H1405</f>
        <v>0.0625</v>
      </c>
      <c r="X1405" s="0" t="n">
        <f aca="false">SUMPRODUCT(I1405:W1405,_XtX!$B$96:$P$96)</f>
        <v>42.5220394736842</v>
      </c>
      <c r="Y1405" s="0" t="n">
        <f aca="false">SUMPRODUCT(MMULT(I1405:W1405,_XtX!$B$78:$P$92),I1405:W1405)</f>
        <v>0.459125719572369</v>
      </c>
      <c r="Z1405" s="0" t="n">
        <f aca="false">04_回帰ANOVA!$K$19*04_回帰ANOVA!$K$14*SQRT(1+Y1405)</f>
        <v>1.57450755575573</v>
      </c>
      <c r="AA1405" s="0" t="n">
        <f aca="false">X1405-Z1405</f>
        <v>40.9475319179285</v>
      </c>
      <c r="AB1405" s="0" t="n">
        <f aca="false">X1405+Z1405</f>
        <v>44.0965470294399</v>
      </c>
      <c r="AC1405" s="54" t="b">
        <f aca="false">AND(E1405&gt;=01_因子設定!$L$5-0.000000001,E1405&lt;=01_因子設定!$M$5+0.000000001,F1405&gt;=01_因子設定!$L$6-0.000000001,F1405&lt;=01_因子設定!$M$6+0.000000001,G1405&gt;=01_因子設定!$L$7-0.000000001,G1405&lt;=01_因子設定!$M$7+0.000000001,H1405&gt;=01_因子設定!$L$8-0.000000001,H1405&lt;=01_因子設定!$M$8+0.000000001,IF(01_因子設定!$B$20="Box-Behnken",E1405^2+F1405^2+G1405^2+H1405^2&lt;=2+0.000000001,TRUE()))</f>
        <v>1</v>
      </c>
      <c r="AD1405" s="55" t="n">
        <f aca="false">IF(AC1405,IF(01_因子設定!$B$13="最大化",AA1405-01_因子設定!$B$14,IF(01_因子設定!$B$13="最小化",01_因子設定!$B$15-AB1405,MIN(AA1405-01_因子設定!$B$14,01_因子設定!$B$15-AB1405))),-1E+030)</f>
        <v>-5.55246808207154</v>
      </c>
      <c r="AE1405" s="55" t="n">
        <f aca="false">IF(AC1405,IF(01_因子設定!$B$13="最大化",X1405,IF(01_因子設定!$B$13="最小化",-X1405,-ABS(X1405-01_因子設定!$B$16))),-1E+030)</f>
        <v>42.5220394736842</v>
      </c>
      <c r="AF1405" s="55" t="n">
        <f aca="false">AD1405+ROW()*0.000000001</f>
        <v>-5.55246667707154</v>
      </c>
      <c r="AG1405" s="55" t="n">
        <f aca="false">AE1405+ROW()*0.000000001</f>
        <v>42.5220408786842</v>
      </c>
    </row>
    <row r="1406" customFormat="false" ht="15" hidden="false" customHeight="false" outlineLevel="0" collapsed="false">
      <c r="A1406" s="0" t="n">
        <v>1</v>
      </c>
      <c r="B1406" s="0" t="n">
        <v>8</v>
      </c>
      <c r="C1406" s="0" t="n">
        <v>2</v>
      </c>
      <c r="D1406" s="0" t="n">
        <v>6</v>
      </c>
      <c r="E1406" s="0" t="n">
        <f aca="false">-1+A1406*0.25</f>
        <v>-0.75</v>
      </c>
      <c r="F1406" s="0" t="n">
        <f aca="false">-1+B1406*0.25</f>
        <v>1</v>
      </c>
      <c r="G1406" s="0" t="n">
        <f aca="false">-1+C1406*0.25</f>
        <v>-0.5</v>
      </c>
      <c r="H1406" s="0" t="n">
        <f aca="false">-1+D1406*0.25</f>
        <v>0.5</v>
      </c>
      <c r="I1406" s="0" t="n">
        <f aca="false">1</f>
        <v>1</v>
      </c>
      <c r="J1406" s="0" t="n">
        <f aca="false">E1406</f>
        <v>-0.75</v>
      </c>
      <c r="K1406" s="0" t="n">
        <f aca="false">F1406</f>
        <v>1</v>
      </c>
      <c r="L1406" s="0" t="n">
        <f aca="false">G1406</f>
        <v>-0.5</v>
      </c>
      <c r="M1406" s="0" t="n">
        <f aca="false">H1406</f>
        <v>0.5</v>
      </c>
      <c r="N1406" s="0" t="n">
        <f aca="false">E1406*F1406</f>
        <v>-0.75</v>
      </c>
      <c r="O1406" s="0" t="n">
        <f aca="false">E1406*G1406</f>
        <v>0.375</v>
      </c>
      <c r="P1406" s="0" t="n">
        <f aca="false">E1406*H1406</f>
        <v>-0.375</v>
      </c>
      <c r="Q1406" s="0" t="n">
        <f aca="false">F1406*G1406</f>
        <v>-0.5</v>
      </c>
      <c r="R1406" s="0" t="n">
        <f aca="false">F1406*H1406</f>
        <v>0.5</v>
      </c>
      <c r="S1406" s="0" t="n">
        <f aca="false">G1406*H1406</f>
        <v>-0.25</v>
      </c>
      <c r="T1406" s="0" t="n">
        <f aca="false">E1406*E1406</f>
        <v>0.5625</v>
      </c>
      <c r="U1406" s="0" t="n">
        <f aca="false">F1406*F1406</f>
        <v>1</v>
      </c>
      <c r="V1406" s="0" t="n">
        <f aca="false">G1406*G1406</f>
        <v>0.25</v>
      </c>
      <c r="W1406" s="0" t="n">
        <f aca="false">H1406*H1406</f>
        <v>0.25</v>
      </c>
      <c r="X1406" s="0" t="n">
        <f aca="false">SUMPRODUCT(I1406:W1406,_XtX!$B$96:$P$96)</f>
        <v>42.4392178362573</v>
      </c>
      <c r="Y1406" s="0" t="n">
        <f aca="false">SUMPRODUCT(MMULT(I1406:W1406,_XtX!$B$78:$P$92),I1406:W1406)</f>
        <v>0.42602110745614</v>
      </c>
      <c r="Z1406" s="0" t="n">
        <f aca="false">04_回帰ANOVA!$K$19*04_回帰ANOVA!$K$14*SQRT(1+Y1406)</f>
        <v>1.55654388501114</v>
      </c>
      <c r="AA1406" s="0" t="n">
        <f aca="false">X1406-Z1406</f>
        <v>40.8826739512462</v>
      </c>
      <c r="AB1406" s="0" t="n">
        <f aca="false">X1406+Z1406</f>
        <v>43.9957617212684</v>
      </c>
      <c r="AC1406" s="54" t="b">
        <f aca="false">AND(E1406&gt;=01_因子設定!$L$5-0.000000001,E1406&lt;=01_因子設定!$M$5+0.000000001,F1406&gt;=01_因子設定!$L$6-0.000000001,F1406&lt;=01_因子設定!$M$6+0.000000001,G1406&gt;=01_因子設定!$L$7-0.000000001,G1406&lt;=01_因子設定!$M$7+0.000000001,H1406&gt;=01_因子設定!$L$8-0.000000001,H1406&lt;=01_因子設定!$M$8+0.000000001,IF(01_因子設定!$B$20="Box-Behnken",E1406^2+F1406^2+G1406^2+H1406^2&lt;=2+0.000000001,TRUE()))</f>
        <v>1</v>
      </c>
      <c r="AD1406" s="55" t="n">
        <f aca="false">IF(AC1406,IF(01_因子設定!$B$13="最大化",AA1406-01_因子設定!$B$14,IF(01_因子設定!$B$13="最小化",01_因子設定!$B$15-AB1406,MIN(AA1406-01_因子設定!$B$14,01_因子設定!$B$15-AB1406))),-1E+030)</f>
        <v>-5.61732604875383</v>
      </c>
      <c r="AE1406" s="55" t="n">
        <f aca="false">IF(AC1406,IF(01_因子設定!$B$13="最大化",X1406,IF(01_因子設定!$B$13="最小化",-X1406,-ABS(X1406-01_因子設定!$B$16))),-1E+030)</f>
        <v>42.4392178362573</v>
      </c>
      <c r="AF1406" s="55" t="n">
        <f aca="false">AD1406+ROW()*0.000000001</f>
        <v>-5.61732464275383</v>
      </c>
      <c r="AG1406" s="55" t="n">
        <f aca="false">AE1406+ROW()*0.000000001</f>
        <v>42.4392192422573</v>
      </c>
    </row>
    <row r="1407" customFormat="false" ht="15" hidden="false" customHeight="false" outlineLevel="0" collapsed="false">
      <c r="A1407" s="0" t="n">
        <v>1</v>
      </c>
      <c r="B1407" s="0" t="n">
        <v>8</v>
      </c>
      <c r="C1407" s="0" t="n">
        <v>2</v>
      </c>
      <c r="D1407" s="0" t="n">
        <v>7</v>
      </c>
      <c r="E1407" s="0" t="n">
        <f aca="false">-1+A1407*0.25</f>
        <v>-0.75</v>
      </c>
      <c r="F1407" s="0" t="n">
        <f aca="false">-1+B1407*0.25</f>
        <v>1</v>
      </c>
      <c r="G1407" s="0" t="n">
        <f aca="false">-1+C1407*0.25</f>
        <v>-0.5</v>
      </c>
      <c r="H1407" s="0" t="n">
        <f aca="false">-1+D1407*0.25</f>
        <v>0.75</v>
      </c>
      <c r="I1407" s="0" t="n">
        <f aca="false">1</f>
        <v>1</v>
      </c>
      <c r="J1407" s="0" t="n">
        <f aca="false">E1407</f>
        <v>-0.75</v>
      </c>
      <c r="K1407" s="0" t="n">
        <f aca="false">F1407</f>
        <v>1</v>
      </c>
      <c r="L1407" s="0" t="n">
        <f aca="false">G1407</f>
        <v>-0.5</v>
      </c>
      <c r="M1407" s="0" t="n">
        <f aca="false">H1407</f>
        <v>0.75</v>
      </c>
      <c r="N1407" s="0" t="n">
        <f aca="false">E1407*F1407</f>
        <v>-0.75</v>
      </c>
      <c r="O1407" s="0" t="n">
        <f aca="false">E1407*G1407</f>
        <v>0.375</v>
      </c>
      <c r="P1407" s="0" t="n">
        <f aca="false">E1407*H1407</f>
        <v>-0.5625</v>
      </c>
      <c r="Q1407" s="0" t="n">
        <f aca="false">F1407*G1407</f>
        <v>-0.5</v>
      </c>
      <c r="R1407" s="0" t="n">
        <f aca="false">F1407*H1407</f>
        <v>0.75</v>
      </c>
      <c r="S1407" s="0" t="n">
        <f aca="false">G1407*H1407</f>
        <v>-0.375</v>
      </c>
      <c r="T1407" s="0" t="n">
        <f aca="false">E1407*E1407</f>
        <v>0.5625</v>
      </c>
      <c r="U1407" s="0" t="n">
        <f aca="false">F1407*F1407</f>
        <v>1</v>
      </c>
      <c r="V1407" s="0" t="n">
        <f aca="false">G1407*G1407</f>
        <v>0.25</v>
      </c>
      <c r="W1407" s="0" t="n">
        <f aca="false">H1407*H1407</f>
        <v>0.5625</v>
      </c>
      <c r="X1407" s="0" t="n">
        <f aca="false">SUMPRODUCT(I1407:W1407,_XtX!$B$96:$P$96)</f>
        <v>42.3085891812866</v>
      </c>
      <c r="Y1407" s="0" t="n">
        <f aca="false">SUMPRODUCT(MMULT(I1407:W1407,_XtX!$B$78:$P$92),I1407:W1407)</f>
        <v>0.431153771472953</v>
      </c>
      <c r="Z1407" s="0" t="n">
        <f aca="false">04_回帰ANOVA!$K$19*04_回帰ANOVA!$K$14*SQRT(1+Y1407)</f>
        <v>1.55934259562563</v>
      </c>
      <c r="AA1407" s="0" t="n">
        <f aca="false">X1407-Z1407</f>
        <v>40.7492465856609</v>
      </c>
      <c r="AB1407" s="0" t="n">
        <f aca="false">X1407+Z1407</f>
        <v>43.8679317769122</v>
      </c>
      <c r="AC1407" s="54" t="b">
        <f aca="false">AND(E1407&gt;=01_因子設定!$L$5-0.000000001,E1407&lt;=01_因子設定!$M$5+0.000000001,F1407&gt;=01_因子設定!$L$6-0.000000001,F1407&lt;=01_因子設定!$M$6+0.000000001,G1407&gt;=01_因子設定!$L$7-0.000000001,G1407&lt;=01_因子設定!$M$7+0.000000001,H1407&gt;=01_因子設定!$L$8-0.000000001,H1407&lt;=01_因子設定!$M$8+0.000000001,IF(01_因子設定!$B$20="Box-Behnken",E1407^2+F1407^2+G1407^2+H1407^2&lt;=2+0.000000001,TRUE()))</f>
        <v>1</v>
      </c>
      <c r="AD1407" s="55" t="n">
        <f aca="false">IF(AC1407,IF(01_因子設定!$B$13="最大化",AA1407-01_因子設定!$B$14,IF(01_因子設定!$B$13="最小化",01_因子設定!$B$15-AB1407,MIN(AA1407-01_因子設定!$B$14,01_因子設定!$B$15-AB1407))),-1E+030)</f>
        <v>-5.75075341433907</v>
      </c>
      <c r="AE1407" s="55" t="n">
        <f aca="false">IF(AC1407,IF(01_因子設定!$B$13="最大化",X1407,IF(01_因子設定!$B$13="最小化",-X1407,-ABS(X1407-01_因子設定!$B$16))),-1E+030)</f>
        <v>42.3085891812866</v>
      </c>
      <c r="AF1407" s="55" t="n">
        <f aca="false">AD1407+ROW()*0.000000001</f>
        <v>-5.75075200733907</v>
      </c>
      <c r="AG1407" s="55" t="n">
        <f aca="false">AE1407+ROW()*0.000000001</f>
        <v>42.3085905882866</v>
      </c>
    </row>
    <row r="1408" customFormat="false" ht="15" hidden="false" customHeight="false" outlineLevel="0" collapsed="false">
      <c r="A1408" s="0" t="n">
        <v>1</v>
      </c>
      <c r="B1408" s="0" t="n">
        <v>8</v>
      </c>
      <c r="C1408" s="0" t="n">
        <v>2</v>
      </c>
      <c r="D1408" s="0" t="n">
        <v>8</v>
      </c>
      <c r="E1408" s="0" t="n">
        <f aca="false">-1+A1408*0.25</f>
        <v>-0.75</v>
      </c>
      <c r="F1408" s="0" t="n">
        <f aca="false">-1+B1408*0.25</f>
        <v>1</v>
      </c>
      <c r="G1408" s="0" t="n">
        <f aca="false">-1+C1408*0.25</f>
        <v>-0.5</v>
      </c>
      <c r="H1408" s="0" t="n">
        <f aca="false">-1+D1408*0.25</f>
        <v>1</v>
      </c>
      <c r="I1408" s="0" t="n">
        <f aca="false">1</f>
        <v>1</v>
      </c>
      <c r="J1408" s="0" t="n">
        <f aca="false">E1408</f>
        <v>-0.75</v>
      </c>
      <c r="K1408" s="0" t="n">
        <f aca="false">F1408</f>
        <v>1</v>
      </c>
      <c r="L1408" s="0" t="n">
        <f aca="false">G1408</f>
        <v>-0.5</v>
      </c>
      <c r="M1408" s="0" t="n">
        <f aca="false">H1408</f>
        <v>1</v>
      </c>
      <c r="N1408" s="0" t="n">
        <f aca="false">E1408*F1408</f>
        <v>-0.75</v>
      </c>
      <c r="O1408" s="0" t="n">
        <f aca="false">E1408*G1408</f>
        <v>0.375</v>
      </c>
      <c r="P1408" s="0" t="n">
        <f aca="false">E1408*H1408</f>
        <v>-0.75</v>
      </c>
      <c r="Q1408" s="0" t="n">
        <f aca="false">F1408*G1408</f>
        <v>-0.5</v>
      </c>
      <c r="R1408" s="0" t="n">
        <f aca="false">F1408*H1408</f>
        <v>1</v>
      </c>
      <c r="S1408" s="0" t="n">
        <f aca="false">G1408*H1408</f>
        <v>-0.5</v>
      </c>
      <c r="T1408" s="0" t="n">
        <f aca="false">E1408*E1408</f>
        <v>0.5625</v>
      </c>
      <c r="U1408" s="0" t="n">
        <f aca="false">F1408*F1408</f>
        <v>1</v>
      </c>
      <c r="V1408" s="0" t="n">
        <f aca="false">G1408*G1408</f>
        <v>0.25</v>
      </c>
      <c r="W1408" s="0" t="n">
        <f aca="false">H1408*H1408</f>
        <v>1</v>
      </c>
      <c r="X1408" s="0" t="n">
        <f aca="false">SUMPRODUCT(I1408:W1408,_XtX!$B$96:$P$96)</f>
        <v>42.130153508772</v>
      </c>
      <c r="Y1408" s="0" t="n">
        <f aca="false">SUMPRODUCT(MMULT(I1408:W1408,_XtX!$B$78:$P$92),I1408:W1408)</f>
        <v>0.564984237938597</v>
      </c>
      <c r="Z1408" s="0" t="n">
        <f aca="false">04_回帰ANOVA!$K$19*04_回帰ANOVA!$K$14*SQRT(1+Y1408)</f>
        <v>1.63062229734503</v>
      </c>
      <c r="AA1408" s="0" t="n">
        <f aca="false">X1408-Z1408</f>
        <v>40.4995312114269</v>
      </c>
      <c r="AB1408" s="0" t="n">
        <f aca="false">X1408+Z1408</f>
        <v>43.760775806117</v>
      </c>
      <c r="AC1408" s="54" t="b">
        <f aca="false">AND(E1408&gt;=01_因子設定!$L$5-0.000000001,E1408&lt;=01_因子設定!$M$5+0.000000001,F1408&gt;=01_因子設定!$L$6-0.000000001,F1408&lt;=01_因子設定!$M$6+0.000000001,G1408&gt;=01_因子設定!$L$7-0.000000001,G1408&lt;=01_因子設定!$M$7+0.000000001,H1408&gt;=01_因子設定!$L$8-0.000000001,H1408&lt;=01_因子設定!$M$8+0.000000001,IF(01_因子設定!$B$20="Box-Behnken",E1408^2+F1408^2+G1408^2+H1408^2&lt;=2+0.000000001,TRUE()))</f>
        <v>1</v>
      </c>
      <c r="AD1408" s="55" t="n">
        <f aca="false">IF(AC1408,IF(01_因子設定!$B$13="最大化",AA1408-01_因子設定!$B$14,IF(01_因子設定!$B$13="最小化",01_因子設定!$B$15-AB1408,MIN(AA1408-01_因子設定!$B$14,01_因子設定!$B$15-AB1408))),-1E+030)</f>
        <v>-6.00046878857308</v>
      </c>
      <c r="AE1408" s="55" t="n">
        <f aca="false">IF(AC1408,IF(01_因子設定!$B$13="最大化",X1408,IF(01_因子設定!$B$13="最小化",-X1408,-ABS(X1408-01_因子設定!$B$16))),-1E+030)</f>
        <v>42.130153508772</v>
      </c>
      <c r="AF1408" s="55" t="n">
        <f aca="false">AD1408+ROW()*0.000000001</f>
        <v>-6.00046738057308</v>
      </c>
      <c r="AG1408" s="55" t="n">
        <f aca="false">AE1408+ROW()*0.000000001</f>
        <v>42.130154916772</v>
      </c>
    </row>
    <row r="1409" customFormat="false" ht="15" hidden="false" customHeight="false" outlineLevel="0" collapsed="false">
      <c r="A1409" s="0" t="n">
        <v>1</v>
      </c>
      <c r="B1409" s="0" t="n">
        <v>8</v>
      </c>
      <c r="C1409" s="0" t="n">
        <v>3</v>
      </c>
      <c r="D1409" s="0" t="n">
        <v>0</v>
      </c>
      <c r="E1409" s="0" t="n">
        <f aca="false">-1+A1409*0.25</f>
        <v>-0.75</v>
      </c>
      <c r="F1409" s="0" t="n">
        <f aca="false">-1+B1409*0.25</f>
        <v>1</v>
      </c>
      <c r="G1409" s="0" t="n">
        <f aca="false">-1+C1409*0.25</f>
        <v>-0.25</v>
      </c>
      <c r="H1409" s="0" t="n">
        <f aca="false">-1+D1409*0.25</f>
        <v>-1</v>
      </c>
      <c r="I1409" s="0" t="n">
        <f aca="false">1</f>
        <v>1</v>
      </c>
      <c r="J1409" s="0" t="n">
        <f aca="false">E1409</f>
        <v>-0.75</v>
      </c>
      <c r="K1409" s="0" t="n">
        <f aca="false">F1409</f>
        <v>1</v>
      </c>
      <c r="L1409" s="0" t="n">
        <f aca="false">G1409</f>
        <v>-0.25</v>
      </c>
      <c r="M1409" s="0" t="n">
        <f aca="false">H1409</f>
        <v>-1</v>
      </c>
      <c r="N1409" s="0" t="n">
        <f aca="false">E1409*F1409</f>
        <v>-0.75</v>
      </c>
      <c r="O1409" s="0" t="n">
        <f aca="false">E1409*G1409</f>
        <v>0.1875</v>
      </c>
      <c r="P1409" s="0" t="n">
        <f aca="false">E1409*H1409</f>
        <v>0.75</v>
      </c>
      <c r="Q1409" s="0" t="n">
        <f aca="false">F1409*G1409</f>
        <v>-0.25</v>
      </c>
      <c r="R1409" s="0" t="n">
        <f aca="false">F1409*H1409</f>
        <v>-1</v>
      </c>
      <c r="S1409" s="0" t="n">
        <f aca="false">G1409*H1409</f>
        <v>0.25</v>
      </c>
      <c r="T1409" s="0" t="n">
        <f aca="false">E1409*E1409</f>
        <v>0.5625</v>
      </c>
      <c r="U1409" s="0" t="n">
        <f aca="false">F1409*F1409</f>
        <v>1</v>
      </c>
      <c r="V1409" s="0" t="n">
        <f aca="false">G1409*G1409</f>
        <v>0.0625</v>
      </c>
      <c r="W1409" s="0" t="n">
        <f aca="false">H1409*H1409</f>
        <v>1</v>
      </c>
      <c r="X1409" s="0" t="n">
        <f aca="false">SUMPRODUCT(I1409:W1409,_XtX!$B$96:$P$96)</f>
        <v>42.72096125731</v>
      </c>
      <c r="Y1409" s="0" t="n">
        <f aca="false">SUMPRODUCT(MMULT(I1409:W1409,_XtX!$B$78:$P$92),I1409:W1409)</f>
        <v>0.621372155975877</v>
      </c>
      <c r="Z1409" s="0" t="n">
        <f aca="false">04_回帰ANOVA!$K$19*04_回帰ANOVA!$K$14*SQRT(1+Y1409)</f>
        <v>1.65973880499872</v>
      </c>
      <c r="AA1409" s="0" t="n">
        <f aca="false">X1409-Z1409</f>
        <v>41.0612224523113</v>
      </c>
      <c r="AB1409" s="0" t="n">
        <f aca="false">X1409+Z1409</f>
        <v>44.3807000623087</v>
      </c>
      <c r="AC1409" s="54" t="b">
        <f aca="false">AND(E1409&gt;=01_因子設定!$L$5-0.000000001,E1409&lt;=01_因子設定!$M$5+0.000000001,F1409&gt;=01_因子設定!$L$6-0.000000001,F1409&lt;=01_因子設定!$M$6+0.000000001,G1409&gt;=01_因子設定!$L$7-0.000000001,G1409&lt;=01_因子設定!$M$7+0.000000001,H1409&gt;=01_因子設定!$L$8-0.000000001,H1409&lt;=01_因子設定!$M$8+0.000000001,IF(01_因子設定!$B$20="Box-Behnken",E1409^2+F1409^2+G1409^2+H1409^2&lt;=2+0.000000001,TRUE()))</f>
        <v>1</v>
      </c>
      <c r="AD1409" s="55" t="n">
        <f aca="false">IF(AC1409,IF(01_因子設定!$B$13="最大化",AA1409-01_因子設定!$B$14,IF(01_因子設定!$B$13="最小化",01_因子設定!$B$15-AB1409,MIN(AA1409-01_因子設定!$B$14,01_因子設定!$B$15-AB1409))),-1E+030)</f>
        <v>-5.43877754768875</v>
      </c>
      <c r="AE1409" s="55" t="n">
        <f aca="false">IF(AC1409,IF(01_因子設定!$B$13="最大化",X1409,IF(01_因子設定!$B$13="最小化",-X1409,-ABS(X1409-01_因子設定!$B$16))),-1E+030)</f>
        <v>42.72096125731</v>
      </c>
      <c r="AF1409" s="55" t="n">
        <f aca="false">AD1409+ROW()*0.000000001</f>
        <v>-5.43877613868875</v>
      </c>
      <c r="AG1409" s="55" t="n">
        <f aca="false">AE1409+ROW()*0.000000001</f>
        <v>42.72096266631</v>
      </c>
    </row>
    <row r="1410" customFormat="false" ht="15" hidden="false" customHeight="false" outlineLevel="0" collapsed="false">
      <c r="A1410" s="0" t="n">
        <v>1</v>
      </c>
      <c r="B1410" s="0" t="n">
        <v>8</v>
      </c>
      <c r="C1410" s="0" t="n">
        <v>3</v>
      </c>
      <c r="D1410" s="0" t="n">
        <v>1</v>
      </c>
      <c r="E1410" s="0" t="n">
        <f aca="false">-1+A1410*0.25</f>
        <v>-0.75</v>
      </c>
      <c r="F1410" s="0" t="n">
        <f aca="false">-1+B1410*0.25</f>
        <v>1</v>
      </c>
      <c r="G1410" s="0" t="n">
        <f aca="false">-1+C1410*0.25</f>
        <v>-0.25</v>
      </c>
      <c r="H1410" s="0" t="n">
        <f aca="false">-1+D1410*0.25</f>
        <v>-0.75</v>
      </c>
      <c r="I1410" s="0" t="n">
        <f aca="false">1</f>
        <v>1</v>
      </c>
      <c r="J1410" s="0" t="n">
        <f aca="false">E1410</f>
        <v>-0.75</v>
      </c>
      <c r="K1410" s="0" t="n">
        <f aca="false">F1410</f>
        <v>1</v>
      </c>
      <c r="L1410" s="0" t="n">
        <f aca="false">G1410</f>
        <v>-0.25</v>
      </c>
      <c r="M1410" s="0" t="n">
        <f aca="false">H1410</f>
        <v>-0.75</v>
      </c>
      <c r="N1410" s="0" t="n">
        <f aca="false">E1410*F1410</f>
        <v>-0.75</v>
      </c>
      <c r="O1410" s="0" t="n">
        <f aca="false">E1410*G1410</f>
        <v>0.1875</v>
      </c>
      <c r="P1410" s="0" t="n">
        <f aca="false">E1410*H1410</f>
        <v>0.5625</v>
      </c>
      <c r="Q1410" s="0" t="n">
        <f aca="false">F1410*G1410</f>
        <v>-0.25</v>
      </c>
      <c r="R1410" s="0" t="n">
        <f aca="false">F1410*H1410</f>
        <v>-0.75</v>
      </c>
      <c r="S1410" s="0" t="n">
        <f aca="false">G1410*H1410</f>
        <v>0.1875</v>
      </c>
      <c r="T1410" s="0" t="n">
        <f aca="false">E1410*E1410</f>
        <v>0.5625</v>
      </c>
      <c r="U1410" s="0" t="n">
        <f aca="false">F1410*F1410</f>
        <v>1</v>
      </c>
      <c r="V1410" s="0" t="n">
        <f aca="false">G1410*G1410</f>
        <v>0.0625</v>
      </c>
      <c r="W1410" s="0" t="n">
        <f aca="false">H1410*H1410</f>
        <v>0.5625</v>
      </c>
      <c r="X1410" s="0" t="n">
        <f aca="false">SUMPRODUCT(I1410:W1410,_XtX!$B$96:$P$96)</f>
        <v>42.8951434576023</v>
      </c>
      <c r="Y1410" s="0" t="n">
        <f aca="false">SUMPRODUCT(MMULT(I1410:W1410,_XtX!$B$78:$P$92),I1410:W1410)</f>
        <v>0.473959761056287</v>
      </c>
      <c r="Z1410" s="0" t="n">
        <f aca="false">04_回帰ANOVA!$K$19*04_回帰ANOVA!$K$14*SQRT(1+Y1410)</f>
        <v>1.58249084588329</v>
      </c>
      <c r="AA1410" s="0" t="n">
        <f aca="false">X1410-Z1410</f>
        <v>41.3126526117191</v>
      </c>
      <c r="AB1410" s="0" t="n">
        <f aca="false">X1410+Z1410</f>
        <v>44.4776343034856</v>
      </c>
      <c r="AC1410" s="54" t="b">
        <f aca="false">AND(E1410&gt;=01_因子設定!$L$5-0.000000001,E1410&lt;=01_因子設定!$M$5+0.000000001,F1410&gt;=01_因子設定!$L$6-0.000000001,F1410&lt;=01_因子設定!$M$6+0.000000001,G1410&gt;=01_因子設定!$L$7-0.000000001,G1410&lt;=01_因子設定!$M$7+0.000000001,H1410&gt;=01_因子設定!$L$8-0.000000001,H1410&lt;=01_因子設定!$M$8+0.000000001,IF(01_因子設定!$B$20="Box-Behnken",E1410^2+F1410^2+G1410^2+H1410^2&lt;=2+0.000000001,TRUE()))</f>
        <v>1</v>
      </c>
      <c r="AD1410" s="55" t="n">
        <f aca="false">IF(AC1410,IF(01_因子設定!$B$13="最大化",AA1410-01_因子設定!$B$14,IF(01_因子設定!$B$13="最小化",01_因子設定!$B$15-AB1410,MIN(AA1410-01_因子設定!$B$14,01_因子設定!$B$15-AB1410))),-1E+030)</f>
        <v>-5.18734738828094</v>
      </c>
      <c r="AE1410" s="55" t="n">
        <f aca="false">IF(AC1410,IF(01_因子設定!$B$13="最大化",X1410,IF(01_因子設定!$B$13="最小化",-X1410,-ABS(X1410-01_因子設定!$B$16))),-1E+030)</f>
        <v>42.8951434576023</v>
      </c>
      <c r="AF1410" s="55" t="n">
        <f aca="false">AD1410+ROW()*0.000000001</f>
        <v>-5.18734597828094</v>
      </c>
      <c r="AG1410" s="55" t="n">
        <f aca="false">AE1410+ROW()*0.000000001</f>
        <v>42.8951448676024</v>
      </c>
    </row>
    <row r="1411" customFormat="false" ht="15" hidden="false" customHeight="false" outlineLevel="0" collapsed="false">
      <c r="A1411" s="0" t="n">
        <v>1</v>
      </c>
      <c r="B1411" s="0" t="n">
        <v>8</v>
      </c>
      <c r="C1411" s="0" t="n">
        <v>3</v>
      </c>
      <c r="D1411" s="0" t="n">
        <v>2</v>
      </c>
      <c r="E1411" s="0" t="n">
        <f aca="false">-1+A1411*0.25</f>
        <v>-0.75</v>
      </c>
      <c r="F1411" s="0" t="n">
        <f aca="false">-1+B1411*0.25</f>
        <v>1</v>
      </c>
      <c r="G1411" s="0" t="n">
        <f aca="false">-1+C1411*0.25</f>
        <v>-0.25</v>
      </c>
      <c r="H1411" s="0" t="n">
        <f aca="false">-1+D1411*0.25</f>
        <v>-0.5</v>
      </c>
      <c r="I1411" s="0" t="n">
        <f aca="false">1</f>
        <v>1</v>
      </c>
      <c r="J1411" s="0" t="n">
        <f aca="false">E1411</f>
        <v>-0.75</v>
      </c>
      <c r="K1411" s="0" t="n">
        <f aca="false">F1411</f>
        <v>1</v>
      </c>
      <c r="L1411" s="0" t="n">
        <f aca="false">G1411</f>
        <v>-0.25</v>
      </c>
      <c r="M1411" s="0" t="n">
        <f aca="false">H1411</f>
        <v>-0.5</v>
      </c>
      <c r="N1411" s="0" t="n">
        <f aca="false">E1411*F1411</f>
        <v>-0.75</v>
      </c>
      <c r="O1411" s="0" t="n">
        <f aca="false">E1411*G1411</f>
        <v>0.1875</v>
      </c>
      <c r="P1411" s="0" t="n">
        <f aca="false">E1411*H1411</f>
        <v>0.375</v>
      </c>
      <c r="Q1411" s="0" t="n">
        <f aca="false">F1411*G1411</f>
        <v>-0.25</v>
      </c>
      <c r="R1411" s="0" t="n">
        <f aca="false">F1411*H1411</f>
        <v>-0.5</v>
      </c>
      <c r="S1411" s="0" t="n">
        <f aca="false">G1411*H1411</f>
        <v>0.125</v>
      </c>
      <c r="T1411" s="0" t="n">
        <f aca="false">E1411*E1411</f>
        <v>0.5625</v>
      </c>
      <c r="U1411" s="0" t="n">
        <f aca="false">F1411*F1411</f>
        <v>1</v>
      </c>
      <c r="V1411" s="0" t="n">
        <f aca="false">G1411*G1411</f>
        <v>0.0625</v>
      </c>
      <c r="W1411" s="0" t="n">
        <f aca="false">H1411*H1411</f>
        <v>0.25</v>
      </c>
      <c r="X1411" s="0" t="n">
        <f aca="false">SUMPRODUCT(I1411:W1411,_XtX!$B$96:$P$96)</f>
        <v>43.0215186403509</v>
      </c>
      <c r="Y1411" s="0" t="n">
        <f aca="false">SUMPRODUCT(MMULT(I1411:W1411,_XtX!$B$78:$P$92),I1411:W1411)</f>
        <v>0.459125719572369</v>
      </c>
      <c r="Z1411" s="0" t="n">
        <f aca="false">04_回帰ANOVA!$K$19*04_回帰ANOVA!$K$14*SQRT(1+Y1411)</f>
        <v>1.57450755575573</v>
      </c>
      <c r="AA1411" s="0" t="n">
        <f aca="false">X1411-Z1411</f>
        <v>41.4470110845951</v>
      </c>
      <c r="AB1411" s="0" t="n">
        <f aca="false">X1411+Z1411</f>
        <v>44.5960261961066</v>
      </c>
      <c r="AC1411" s="54" t="b">
        <f aca="false">AND(E1411&gt;=01_因子設定!$L$5-0.000000001,E1411&lt;=01_因子設定!$M$5+0.000000001,F1411&gt;=01_因子設定!$L$6-0.000000001,F1411&lt;=01_因子設定!$M$6+0.000000001,G1411&gt;=01_因子設定!$L$7-0.000000001,G1411&lt;=01_因子設定!$M$7+0.000000001,H1411&gt;=01_因子設定!$L$8-0.000000001,H1411&lt;=01_因子設定!$M$8+0.000000001,IF(01_因子設定!$B$20="Box-Behnken",E1411^2+F1411^2+G1411^2+H1411^2&lt;=2+0.000000001,TRUE()))</f>
        <v>1</v>
      </c>
      <c r="AD1411" s="55" t="n">
        <f aca="false">IF(AC1411,IF(01_因子設定!$B$13="最大化",AA1411-01_因子設定!$B$14,IF(01_因子設定!$B$13="最小化",01_因子設定!$B$15-AB1411,MIN(AA1411-01_因子設定!$B$14,01_因子設定!$B$15-AB1411))),-1E+030)</f>
        <v>-5.05298891540486</v>
      </c>
      <c r="AE1411" s="55" t="n">
        <f aca="false">IF(AC1411,IF(01_因子設定!$B$13="最大化",X1411,IF(01_因子設定!$B$13="最小化",-X1411,-ABS(X1411-01_因子設定!$B$16))),-1E+030)</f>
        <v>43.0215186403509</v>
      </c>
      <c r="AF1411" s="55" t="n">
        <f aca="false">AD1411+ROW()*0.000000001</f>
        <v>-5.05298750440486</v>
      </c>
      <c r="AG1411" s="55" t="n">
        <f aca="false">AE1411+ROW()*0.000000001</f>
        <v>43.0215200513509</v>
      </c>
    </row>
    <row r="1412" customFormat="false" ht="15" hidden="false" customHeight="false" outlineLevel="0" collapsed="false">
      <c r="A1412" s="0" t="n">
        <v>1</v>
      </c>
      <c r="B1412" s="0" t="n">
        <v>8</v>
      </c>
      <c r="C1412" s="0" t="n">
        <v>3</v>
      </c>
      <c r="D1412" s="0" t="n">
        <v>3</v>
      </c>
      <c r="E1412" s="0" t="n">
        <f aca="false">-1+A1412*0.25</f>
        <v>-0.75</v>
      </c>
      <c r="F1412" s="0" t="n">
        <f aca="false">-1+B1412*0.25</f>
        <v>1</v>
      </c>
      <c r="G1412" s="0" t="n">
        <f aca="false">-1+C1412*0.25</f>
        <v>-0.25</v>
      </c>
      <c r="H1412" s="0" t="n">
        <f aca="false">-1+D1412*0.25</f>
        <v>-0.25</v>
      </c>
      <c r="I1412" s="0" t="n">
        <f aca="false">1</f>
        <v>1</v>
      </c>
      <c r="J1412" s="0" t="n">
        <f aca="false">E1412</f>
        <v>-0.75</v>
      </c>
      <c r="K1412" s="0" t="n">
        <f aca="false">F1412</f>
        <v>1</v>
      </c>
      <c r="L1412" s="0" t="n">
        <f aca="false">G1412</f>
        <v>-0.25</v>
      </c>
      <c r="M1412" s="0" t="n">
        <f aca="false">H1412</f>
        <v>-0.25</v>
      </c>
      <c r="N1412" s="0" t="n">
        <f aca="false">E1412*F1412</f>
        <v>-0.75</v>
      </c>
      <c r="O1412" s="0" t="n">
        <f aca="false">E1412*G1412</f>
        <v>0.1875</v>
      </c>
      <c r="P1412" s="0" t="n">
        <f aca="false">E1412*H1412</f>
        <v>0.1875</v>
      </c>
      <c r="Q1412" s="0" t="n">
        <f aca="false">F1412*G1412</f>
        <v>-0.25</v>
      </c>
      <c r="R1412" s="0" t="n">
        <f aca="false">F1412*H1412</f>
        <v>-0.25</v>
      </c>
      <c r="S1412" s="0" t="n">
        <f aca="false">G1412*H1412</f>
        <v>0.0625</v>
      </c>
      <c r="T1412" s="0" t="n">
        <f aca="false">E1412*E1412</f>
        <v>0.5625</v>
      </c>
      <c r="U1412" s="0" t="n">
        <f aca="false">F1412*F1412</f>
        <v>1</v>
      </c>
      <c r="V1412" s="0" t="n">
        <f aca="false">G1412*G1412</f>
        <v>0.0625</v>
      </c>
      <c r="W1412" s="0" t="n">
        <f aca="false">H1412*H1412</f>
        <v>0.0625</v>
      </c>
      <c r="X1412" s="0" t="n">
        <f aca="false">SUMPRODUCT(I1412:W1412,_XtX!$B$96:$P$96)</f>
        <v>43.1000868055555</v>
      </c>
      <c r="Y1412" s="0" t="n">
        <f aca="false">SUMPRODUCT(MMULT(I1412:W1412,_XtX!$B$78:$P$92),I1412:W1412)</f>
        <v>0.486409505208334</v>
      </c>
      <c r="Z1412" s="0" t="n">
        <f aca="false">04_回帰ANOVA!$K$19*04_回帰ANOVA!$K$14*SQRT(1+Y1412)</f>
        <v>1.58916001665498</v>
      </c>
      <c r="AA1412" s="0" t="n">
        <f aca="false">X1412-Z1412</f>
        <v>41.5109267889006</v>
      </c>
      <c r="AB1412" s="0" t="n">
        <f aca="false">X1412+Z1412</f>
        <v>44.6892468222105</v>
      </c>
      <c r="AC1412" s="54" t="b">
        <f aca="false">AND(E1412&gt;=01_因子設定!$L$5-0.000000001,E1412&lt;=01_因子設定!$M$5+0.000000001,F1412&gt;=01_因子設定!$L$6-0.000000001,F1412&lt;=01_因子設定!$M$6+0.000000001,G1412&gt;=01_因子設定!$L$7-0.000000001,G1412&lt;=01_因子設定!$M$7+0.000000001,H1412&gt;=01_因子設定!$L$8-0.000000001,H1412&lt;=01_因子設定!$M$8+0.000000001,IF(01_因子設定!$B$20="Box-Behnken",E1412^2+F1412^2+G1412^2+H1412^2&lt;=2+0.000000001,TRUE()))</f>
        <v>1</v>
      </c>
      <c r="AD1412" s="55" t="n">
        <f aca="false">IF(AC1412,IF(01_因子設定!$B$13="最大化",AA1412-01_因子設定!$B$14,IF(01_因子設定!$B$13="最小化",01_因子設定!$B$15-AB1412,MIN(AA1412-01_因子設定!$B$14,01_因子設定!$B$15-AB1412))),-1E+030)</f>
        <v>-4.98907321109944</v>
      </c>
      <c r="AE1412" s="55" t="n">
        <f aca="false">IF(AC1412,IF(01_因子設定!$B$13="最大化",X1412,IF(01_因子設定!$B$13="最小化",-X1412,-ABS(X1412-01_因子設定!$B$16))),-1E+030)</f>
        <v>43.1000868055555</v>
      </c>
      <c r="AF1412" s="55" t="n">
        <f aca="false">AD1412+ROW()*0.000000001</f>
        <v>-4.98907179909944</v>
      </c>
      <c r="AG1412" s="55" t="n">
        <f aca="false">AE1412+ROW()*0.000000001</f>
        <v>43.1000882175555</v>
      </c>
    </row>
    <row r="1413" customFormat="false" ht="15" hidden="false" customHeight="false" outlineLevel="0" collapsed="false">
      <c r="A1413" s="0" t="n">
        <v>1</v>
      </c>
      <c r="B1413" s="0" t="n">
        <v>8</v>
      </c>
      <c r="C1413" s="0" t="n">
        <v>3</v>
      </c>
      <c r="D1413" s="0" t="n">
        <v>4</v>
      </c>
      <c r="E1413" s="0" t="n">
        <f aca="false">-1+A1413*0.25</f>
        <v>-0.75</v>
      </c>
      <c r="F1413" s="0" t="n">
        <f aca="false">-1+B1413*0.25</f>
        <v>1</v>
      </c>
      <c r="G1413" s="0" t="n">
        <f aca="false">-1+C1413*0.25</f>
        <v>-0.25</v>
      </c>
      <c r="H1413" s="0" t="n">
        <f aca="false">-1+D1413*0.25</f>
        <v>0</v>
      </c>
      <c r="I1413" s="0" t="n">
        <f aca="false">1</f>
        <v>1</v>
      </c>
      <c r="J1413" s="0" t="n">
        <f aca="false">E1413</f>
        <v>-0.75</v>
      </c>
      <c r="K1413" s="0" t="n">
        <f aca="false">F1413</f>
        <v>1</v>
      </c>
      <c r="L1413" s="0" t="n">
        <f aca="false">G1413</f>
        <v>-0.25</v>
      </c>
      <c r="M1413" s="0" t="n">
        <f aca="false">H1413</f>
        <v>0</v>
      </c>
      <c r="N1413" s="0" t="n">
        <f aca="false">E1413*F1413</f>
        <v>-0.75</v>
      </c>
      <c r="O1413" s="0" t="n">
        <f aca="false">E1413*G1413</f>
        <v>0.1875</v>
      </c>
      <c r="P1413" s="0" t="n">
        <f aca="false">E1413*H1413</f>
        <v>-0</v>
      </c>
      <c r="Q1413" s="0" t="n">
        <f aca="false">F1413*G1413</f>
        <v>-0.25</v>
      </c>
      <c r="R1413" s="0" t="n">
        <f aca="false">F1413*H1413</f>
        <v>0</v>
      </c>
      <c r="S1413" s="0" t="n">
        <f aca="false">G1413*H1413</f>
        <v>-0</v>
      </c>
      <c r="T1413" s="0" t="n">
        <f aca="false">E1413*E1413</f>
        <v>0.5625</v>
      </c>
      <c r="U1413" s="0" t="n">
        <f aca="false">F1413*F1413</f>
        <v>1</v>
      </c>
      <c r="V1413" s="0" t="n">
        <f aca="false">G1413*G1413</f>
        <v>0.0625</v>
      </c>
      <c r="W1413" s="0" t="n">
        <f aca="false">H1413*H1413</f>
        <v>0</v>
      </c>
      <c r="X1413" s="0" t="n">
        <f aca="false">SUMPRODUCT(I1413:W1413,_XtX!$B$96:$P$96)</f>
        <v>43.1308479532164</v>
      </c>
      <c r="Y1413" s="0" t="n">
        <f aca="false">SUMPRODUCT(MMULT(I1413:W1413,_XtX!$B$78:$P$92),I1413:W1413)</f>
        <v>0.501534802174708</v>
      </c>
      <c r="Z1413" s="0" t="n">
        <f aca="false">04_回帰ANOVA!$K$19*04_回帰ANOVA!$K$14*SQRT(1+Y1413)</f>
        <v>1.59722498091333</v>
      </c>
      <c r="AA1413" s="0" t="n">
        <f aca="false">X1413-Z1413</f>
        <v>41.533622972303</v>
      </c>
      <c r="AB1413" s="0" t="n">
        <f aca="false">X1413+Z1413</f>
        <v>44.7280729341297</v>
      </c>
      <c r="AC1413" s="54" t="b">
        <f aca="false">AND(E1413&gt;=01_因子設定!$L$5-0.000000001,E1413&lt;=01_因子設定!$M$5+0.000000001,F1413&gt;=01_因子設定!$L$6-0.000000001,F1413&lt;=01_因子設定!$M$6+0.000000001,G1413&gt;=01_因子設定!$L$7-0.000000001,G1413&lt;=01_因子設定!$M$7+0.000000001,H1413&gt;=01_因子設定!$L$8-0.000000001,H1413&lt;=01_因子設定!$M$8+0.000000001,IF(01_因子設定!$B$20="Box-Behnken",E1413^2+F1413^2+G1413^2+H1413^2&lt;=2+0.000000001,TRUE()))</f>
        <v>1</v>
      </c>
      <c r="AD1413" s="55" t="n">
        <f aca="false">IF(AC1413,IF(01_因子設定!$B$13="最大化",AA1413-01_因子設定!$B$14,IF(01_因子設定!$B$13="最小化",01_因子設定!$B$15-AB1413,MIN(AA1413-01_因子設定!$B$14,01_因子設定!$B$15-AB1413))),-1E+030)</f>
        <v>-4.96637702769697</v>
      </c>
      <c r="AE1413" s="55" t="n">
        <f aca="false">IF(AC1413,IF(01_因子設定!$B$13="最大化",X1413,IF(01_因子設定!$B$13="最小化",-X1413,-ABS(X1413-01_因子設定!$B$16))),-1E+030)</f>
        <v>43.1308479532164</v>
      </c>
      <c r="AF1413" s="55" t="n">
        <f aca="false">AD1413+ROW()*0.000000001</f>
        <v>-4.96637561469697</v>
      </c>
      <c r="AG1413" s="55" t="n">
        <f aca="false">AE1413+ROW()*0.000000001</f>
        <v>43.1308493662164</v>
      </c>
    </row>
    <row r="1414" customFormat="false" ht="15" hidden="false" customHeight="false" outlineLevel="0" collapsed="false">
      <c r="A1414" s="0" t="n">
        <v>1</v>
      </c>
      <c r="B1414" s="0" t="n">
        <v>8</v>
      </c>
      <c r="C1414" s="0" t="n">
        <v>3</v>
      </c>
      <c r="D1414" s="0" t="n">
        <v>5</v>
      </c>
      <c r="E1414" s="0" t="n">
        <f aca="false">-1+A1414*0.25</f>
        <v>-0.75</v>
      </c>
      <c r="F1414" s="0" t="n">
        <f aca="false">-1+B1414*0.25</f>
        <v>1</v>
      </c>
      <c r="G1414" s="0" t="n">
        <f aca="false">-1+C1414*0.25</f>
        <v>-0.25</v>
      </c>
      <c r="H1414" s="0" t="n">
        <f aca="false">-1+D1414*0.25</f>
        <v>0.25</v>
      </c>
      <c r="I1414" s="0" t="n">
        <f aca="false">1</f>
        <v>1</v>
      </c>
      <c r="J1414" s="0" t="n">
        <f aca="false">E1414</f>
        <v>-0.75</v>
      </c>
      <c r="K1414" s="0" t="n">
        <f aca="false">F1414</f>
        <v>1</v>
      </c>
      <c r="L1414" s="0" t="n">
        <f aca="false">G1414</f>
        <v>-0.25</v>
      </c>
      <c r="M1414" s="0" t="n">
        <f aca="false">H1414</f>
        <v>0.25</v>
      </c>
      <c r="N1414" s="0" t="n">
        <f aca="false">E1414*F1414</f>
        <v>-0.75</v>
      </c>
      <c r="O1414" s="0" t="n">
        <f aca="false">E1414*G1414</f>
        <v>0.1875</v>
      </c>
      <c r="P1414" s="0" t="n">
        <f aca="false">E1414*H1414</f>
        <v>-0.1875</v>
      </c>
      <c r="Q1414" s="0" t="n">
        <f aca="false">F1414*G1414</f>
        <v>-0.25</v>
      </c>
      <c r="R1414" s="0" t="n">
        <f aca="false">F1414*H1414</f>
        <v>0.25</v>
      </c>
      <c r="S1414" s="0" t="n">
        <f aca="false">G1414*H1414</f>
        <v>-0.0625</v>
      </c>
      <c r="T1414" s="0" t="n">
        <f aca="false">E1414*E1414</f>
        <v>0.5625</v>
      </c>
      <c r="U1414" s="0" t="n">
        <f aca="false">F1414*F1414</f>
        <v>1</v>
      </c>
      <c r="V1414" s="0" t="n">
        <f aca="false">G1414*G1414</f>
        <v>0.0625</v>
      </c>
      <c r="W1414" s="0" t="n">
        <f aca="false">H1414*H1414</f>
        <v>0.0625</v>
      </c>
      <c r="X1414" s="0" t="n">
        <f aca="false">SUMPRODUCT(I1414:W1414,_XtX!$B$96:$P$96)</f>
        <v>43.1138020833333</v>
      </c>
      <c r="Y1414" s="0" t="n">
        <f aca="false">SUMPRODUCT(MMULT(I1414:W1414,_XtX!$B$78:$P$92),I1414:W1414)</f>
        <v>0.486409505208334</v>
      </c>
      <c r="Z1414" s="0" t="n">
        <f aca="false">04_回帰ANOVA!$K$19*04_回帰ANOVA!$K$14*SQRT(1+Y1414)</f>
        <v>1.58916001665498</v>
      </c>
      <c r="AA1414" s="0" t="n">
        <f aca="false">X1414-Z1414</f>
        <v>41.5246420666783</v>
      </c>
      <c r="AB1414" s="0" t="n">
        <f aca="false">X1414+Z1414</f>
        <v>44.7029620999883</v>
      </c>
      <c r="AC1414" s="54" t="b">
        <f aca="false">AND(E1414&gt;=01_因子設定!$L$5-0.000000001,E1414&lt;=01_因子設定!$M$5+0.000000001,F1414&gt;=01_因子設定!$L$6-0.000000001,F1414&lt;=01_因子設定!$M$6+0.000000001,G1414&gt;=01_因子設定!$L$7-0.000000001,G1414&lt;=01_因子設定!$M$7+0.000000001,H1414&gt;=01_因子設定!$L$8-0.000000001,H1414&lt;=01_因子設定!$M$8+0.000000001,IF(01_因子設定!$B$20="Box-Behnken",E1414^2+F1414^2+G1414^2+H1414^2&lt;=2+0.000000001,TRUE()))</f>
        <v>1</v>
      </c>
      <c r="AD1414" s="55" t="n">
        <f aca="false">IF(AC1414,IF(01_因子設定!$B$13="最大化",AA1414-01_因子設定!$B$14,IF(01_因子設定!$B$13="最小化",01_因子設定!$B$15-AB1414,MIN(AA1414-01_因子設定!$B$14,01_因子設定!$B$15-AB1414))),-1E+030)</f>
        <v>-4.97535793332166</v>
      </c>
      <c r="AE1414" s="55" t="n">
        <f aca="false">IF(AC1414,IF(01_因子設定!$B$13="最大化",X1414,IF(01_因子設定!$B$13="最小化",-X1414,-ABS(X1414-01_因子設定!$B$16))),-1E+030)</f>
        <v>43.1138020833333</v>
      </c>
      <c r="AF1414" s="55" t="n">
        <f aca="false">AD1414+ROW()*0.000000001</f>
        <v>-4.97535651932166</v>
      </c>
      <c r="AG1414" s="55" t="n">
        <f aca="false">AE1414+ROW()*0.000000001</f>
        <v>43.1138034973333</v>
      </c>
    </row>
    <row r="1415" customFormat="false" ht="15" hidden="false" customHeight="false" outlineLevel="0" collapsed="false">
      <c r="A1415" s="0" t="n">
        <v>1</v>
      </c>
      <c r="B1415" s="0" t="n">
        <v>8</v>
      </c>
      <c r="C1415" s="0" t="n">
        <v>3</v>
      </c>
      <c r="D1415" s="0" t="n">
        <v>6</v>
      </c>
      <c r="E1415" s="0" t="n">
        <f aca="false">-1+A1415*0.25</f>
        <v>-0.75</v>
      </c>
      <c r="F1415" s="0" t="n">
        <f aca="false">-1+B1415*0.25</f>
        <v>1</v>
      </c>
      <c r="G1415" s="0" t="n">
        <f aca="false">-1+C1415*0.25</f>
        <v>-0.25</v>
      </c>
      <c r="H1415" s="0" t="n">
        <f aca="false">-1+D1415*0.25</f>
        <v>0.5</v>
      </c>
      <c r="I1415" s="0" t="n">
        <f aca="false">1</f>
        <v>1</v>
      </c>
      <c r="J1415" s="0" t="n">
        <f aca="false">E1415</f>
        <v>-0.75</v>
      </c>
      <c r="K1415" s="0" t="n">
        <f aca="false">F1415</f>
        <v>1</v>
      </c>
      <c r="L1415" s="0" t="n">
        <f aca="false">G1415</f>
        <v>-0.25</v>
      </c>
      <c r="M1415" s="0" t="n">
        <f aca="false">H1415</f>
        <v>0.5</v>
      </c>
      <c r="N1415" s="0" t="n">
        <f aca="false">E1415*F1415</f>
        <v>-0.75</v>
      </c>
      <c r="O1415" s="0" t="n">
        <f aca="false">E1415*G1415</f>
        <v>0.1875</v>
      </c>
      <c r="P1415" s="0" t="n">
        <f aca="false">E1415*H1415</f>
        <v>-0.375</v>
      </c>
      <c r="Q1415" s="0" t="n">
        <f aca="false">F1415*G1415</f>
        <v>-0.25</v>
      </c>
      <c r="R1415" s="0" t="n">
        <f aca="false">F1415*H1415</f>
        <v>0.5</v>
      </c>
      <c r="S1415" s="0" t="n">
        <f aca="false">G1415*H1415</f>
        <v>-0.125</v>
      </c>
      <c r="T1415" s="0" t="n">
        <f aca="false">E1415*E1415</f>
        <v>0.5625</v>
      </c>
      <c r="U1415" s="0" t="n">
        <f aca="false">F1415*F1415</f>
        <v>1</v>
      </c>
      <c r="V1415" s="0" t="n">
        <f aca="false">G1415*G1415</f>
        <v>0.0625</v>
      </c>
      <c r="W1415" s="0" t="n">
        <f aca="false">H1415*H1415</f>
        <v>0.25</v>
      </c>
      <c r="X1415" s="0" t="n">
        <f aca="false">SUMPRODUCT(I1415:W1415,_XtX!$B$96:$P$96)</f>
        <v>43.0489491959064</v>
      </c>
      <c r="Y1415" s="0" t="n">
        <f aca="false">SUMPRODUCT(MMULT(I1415:W1415,_XtX!$B$78:$P$92),I1415:W1415)</f>
        <v>0.459125719572369</v>
      </c>
      <c r="Z1415" s="0" t="n">
        <f aca="false">04_回帰ANOVA!$K$19*04_回帰ANOVA!$K$14*SQRT(1+Y1415)</f>
        <v>1.57450755575573</v>
      </c>
      <c r="AA1415" s="0" t="n">
        <f aca="false">X1415-Z1415</f>
        <v>41.4744416401507</v>
      </c>
      <c r="AB1415" s="0" t="n">
        <f aca="false">X1415+Z1415</f>
        <v>44.6234567516622</v>
      </c>
      <c r="AC1415" s="54" t="b">
        <f aca="false">AND(E1415&gt;=01_因子設定!$L$5-0.000000001,E1415&lt;=01_因子設定!$M$5+0.000000001,F1415&gt;=01_因子設定!$L$6-0.000000001,F1415&lt;=01_因子設定!$M$6+0.000000001,G1415&gt;=01_因子設定!$L$7-0.000000001,G1415&lt;=01_因子設定!$M$7+0.000000001,H1415&gt;=01_因子設定!$L$8-0.000000001,H1415&lt;=01_因子設定!$M$8+0.000000001,IF(01_因子設定!$B$20="Box-Behnken",E1415^2+F1415^2+G1415^2+H1415^2&lt;=2+0.000000001,TRUE()))</f>
        <v>1</v>
      </c>
      <c r="AD1415" s="55" t="n">
        <f aca="false">IF(AC1415,IF(01_因子設定!$B$13="最大化",AA1415-01_因子設定!$B$14,IF(01_因子設定!$B$13="最小化",01_因子設定!$B$15-AB1415,MIN(AA1415-01_因子設定!$B$14,01_因子設定!$B$15-AB1415))),-1E+030)</f>
        <v>-5.02555835984931</v>
      </c>
      <c r="AE1415" s="55" t="n">
        <f aca="false">IF(AC1415,IF(01_因子設定!$B$13="最大化",X1415,IF(01_因子設定!$B$13="最小化",-X1415,-ABS(X1415-01_因子設定!$B$16))),-1E+030)</f>
        <v>43.0489491959064</v>
      </c>
      <c r="AF1415" s="55" t="n">
        <f aca="false">AD1415+ROW()*0.000000001</f>
        <v>-5.02555694484931</v>
      </c>
      <c r="AG1415" s="55" t="n">
        <f aca="false">AE1415+ROW()*0.000000001</f>
        <v>43.0489506109064</v>
      </c>
    </row>
    <row r="1416" customFormat="false" ht="15" hidden="false" customHeight="false" outlineLevel="0" collapsed="false">
      <c r="A1416" s="0" t="n">
        <v>1</v>
      </c>
      <c r="B1416" s="0" t="n">
        <v>8</v>
      </c>
      <c r="C1416" s="0" t="n">
        <v>3</v>
      </c>
      <c r="D1416" s="0" t="n">
        <v>7</v>
      </c>
      <c r="E1416" s="0" t="n">
        <f aca="false">-1+A1416*0.25</f>
        <v>-0.75</v>
      </c>
      <c r="F1416" s="0" t="n">
        <f aca="false">-1+B1416*0.25</f>
        <v>1</v>
      </c>
      <c r="G1416" s="0" t="n">
        <f aca="false">-1+C1416*0.25</f>
        <v>-0.25</v>
      </c>
      <c r="H1416" s="0" t="n">
        <f aca="false">-1+D1416*0.25</f>
        <v>0.75</v>
      </c>
      <c r="I1416" s="0" t="n">
        <f aca="false">1</f>
        <v>1</v>
      </c>
      <c r="J1416" s="0" t="n">
        <f aca="false">E1416</f>
        <v>-0.75</v>
      </c>
      <c r="K1416" s="0" t="n">
        <f aca="false">F1416</f>
        <v>1</v>
      </c>
      <c r="L1416" s="0" t="n">
        <f aca="false">G1416</f>
        <v>-0.25</v>
      </c>
      <c r="M1416" s="0" t="n">
        <f aca="false">H1416</f>
        <v>0.75</v>
      </c>
      <c r="N1416" s="0" t="n">
        <f aca="false">E1416*F1416</f>
        <v>-0.75</v>
      </c>
      <c r="O1416" s="0" t="n">
        <f aca="false">E1416*G1416</f>
        <v>0.1875</v>
      </c>
      <c r="P1416" s="0" t="n">
        <f aca="false">E1416*H1416</f>
        <v>-0.5625</v>
      </c>
      <c r="Q1416" s="0" t="n">
        <f aca="false">F1416*G1416</f>
        <v>-0.25</v>
      </c>
      <c r="R1416" s="0" t="n">
        <f aca="false">F1416*H1416</f>
        <v>0.75</v>
      </c>
      <c r="S1416" s="0" t="n">
        <f aca="false">G1416*H1416</f>
        <v>-0.1875</v>
      </c>
      <c r="T1416" s="0" t="n">
        <f aca="false">E1416*E1416</f>
        <v>0.5625</v>
      </c>
      <c r="U1416" s="0" t="n">
        <f aca="false">F1416*F1416</f>
        <v>1</v>
      </c>
      <c r="V1416" s="0" t="n">
        <f aca="false">G1416*G1416</f>
        <v>0.0625</v>
      </c>
      <c r="W1416" s="0" t="n">
        <f aca="false">H1416*H1416</f>
        <v>0.5625</v>
      </c>
      <c r="X1416" s="0" t="n">
        <f aca="false">SUMPRODUCT(I1416:W1416,_XtX!$B$96:$P$96)</f>
        <v>42.9362892909357</v>
      </c>
      <c r="Y1416" s="0" t="n">
        <f aca="false">SUMPRODUCT(MMULT(I1416:W1416,_XtX!$B$78:$P$92),I1416:W1416)</f>
        <v>0.473959761056287</v>
      </c>
      <c r="Z1416" s="0" t="n">
        <f aca="false">04_回帰ANOVA!$K$19*04_回帰ANOVA!$K$14*SQRT(1+Y1416)</f>
        <v>1.58249084588329</v>
      </c>
      <c r="AA1416" s="0" t="n">
        <f aca="false">X1416-Z1416</f>
        <v>41.3537984450524</v>
      </c>
      <c r="AB1416" s="0" t="n">
        <f aca="false">X1416+Z1416</f>
        <v>44.518780136819</v>
      </c>
      <c r="AC1416" s="54" t="b">
        <f aca="false">AND(E1416&gt;=01_因子設定!$L$5-0.000000001,E1416&lt;=01_因子設定!$M$5+0.000000001,F1416&gt;=01_因子設定!$L$6-0.000000001,F1416&lt;=01_因子設定!$M$6+0.000000001,G1416&gt;=01_因子設定!$L$7-0.000000001,G1416&lt;=01_因子設定!$M$7+0.000000001,H1416&gt;=01_因子設定!$L$8-0.000000001,H1416&lt;=01_因子設定!$M$8+0.000000001,IF(01_因子設定!$B$20="Box-Behnken",E1416^2+F1416^2+G1416^2+H1416^2&lt;=2+0.000000001,TRUE()))</f>
        <v>1</v>
      </c>
      <c r="AD1416" s="55" t="n">
        <f aca="false">IF(AC1416,IF(01_因子設定!$B$13="最大化",AA1416-01_因子設定!$B$14,IF(01_因子設定!$B$13="最小化",01_因子設定!$B$15-AB1416,MIN(AA1416-01_因子設定!$B$14,01_因子設定!$B$15-AB1416))),-1E+030)</f>
        <v>-5.14620155494761</v>
      </c>
      <c r="AE1416" s="55" t="n">
        <f aca="false">IF(AC1416,IF(01_因子設定!$B$13="最大化",X1416,IF(01_因子設定!$B$13="最小化",-X1416,-ABS(X1416-01_因子設定!$B$16))),-1E+030)</f>
        <v>42.9362892909357</v>
      </c>
      <c r="AF1416" s="55" t="n">
        <f aca="false">AD1416+ROW()*0.000000001</f>
        <v>-5.14620013894761</v>
      </c>
      <c r="AG1416" s="55" t="n">
        <f aca="false">AE1416+ROW()*0.000000001</f>
        <v>42.9362907069357</v>
      </c>
    </row>
    <row r="1417" customFormat="false" ht="15" hidden="false" customHeight="false" outlineLevel="0" collapsed="false">
      <c r="A1417" s="0" t="n">
        <v>1</v>
      </c>
      <c r="B1417" s="0" t="n">
        <v>8</v>
      </c>
      <c r="C1417" s="0" t="n">
        <v>3</v>
      </c>
      <c r="D1417" s="0" t="n">
        <v>8</v>
      </c>
      <c r="E1417" s="0" t="n">
        <f aca="false">-1+A1417*0.25</f>
        <v>-0.75</v>
      </c>
      <c r="F1417" s="0" t="n">
        <f aca="false">-1+B1417*0.25</f>
        <v>1</v>
      </c>
      <c r="G1417" s="0" t="n">
        <f aca="false">-1+C1417*0.25</f>
        <v>-0.25</v>
      </c>
      <c r="H1417" s="0" t="n">
        <f aca="false">-1+D1417*0.25</f>
        <v>1</v>
      </c>
      <c r="I1417" s="0" t="n">
        <f aca="false">1</f>
        <v>1</v>
      </c>
      <c r="J1417" s="0" t="n">
        <f aca="false">E1417</f>
        <v>-0.75</v>
      </c>
      <c r="K1417" s="0" t="n">
        <f aca="false">F1417</f>
        <v>1</v>
      </c>
      <c r="L1417" s="0" t="n">
        <f aca="false">G1417</f>
        <v>-0.25</v>
      </c>
      <c r="M1417" s="0" t="n">
        <f aca="false">H1417</f>
        <v>1</v>
      </c>
      <c r="N1417" s="0" t="n">
        <f aca="false">E1417*F1417</f>
        <v>-0.75</v>
      </c>
      <c r="O1417" s="0" t="n">
        <f aca="false">E1417*G1417</f>
        <v>0.1875</v>
      </c>
      <c r="P1417" s="0" t="n">
        <f aca="false">E1417*H1417</f>
        <v>-0.75</v>
      </c>
      <c r="Q1417" s="0" t="n">
        <f aca="false">F1417*G1417</f>
        <v>-0.25</v>
      </c>
      <c r="R1417" s="0" t="n">
        <f aca="false">F1417*H1417</f>
        <v>1</v>
      </c>
      <c r="S1417" s="0" t="n">
        <f aca="false">G1417*H1417</f>
        <v>-0.25</v>
      </c>
      <c r="T1417" s="0" t="n">
        <f aca="false">E1417*E1417</f>
        <v>0.5625</v>
      </c>
      <c r="U1417" s="0" t="n">
        <f aca="false">F1417*F1417</f>
        <v>1</v>
      </c>
      <c r="V1417" s="0" t="n">
        <f aca="false">G1417*G1417</f>
        <v>0.0625</v>
      </c>
      <c r="W1417" s="0" t="n">
        <f aca="false">H1417*H1417</f>
        <v>1</v>
      </c>
      <c r="X1417" s="0" t="n">
        <f aca="false">SUMPRODUCT(I1417:W1417,_XtX!$B$96:$P$96)</f>
        <v>42.7758223684211</v>
      </c>
      <c r="Y1417" s="0" t="n">
        <f aca="false">SUMPRODUCT(MMULT(I1417:W1417,_XtX!$B$78:$P$92),I1417:W1417)</f>
        <v>0.621372155975877</v>
      </c>
      <c r="Z1417" s="0" t="n">
        <f aca="false">04_回帰ANOVA!$K$19*04_回帰ANOVA!$K$14*SQRT(1+Y1417)</f>
        <v>1.65973880499872</v>
      </c>
      <c r="AA1417" s="0" t="n">
        <f aca="false">X1417-Z1417</f>
        <v>41.1160835634224</v>
      </c>
      <c r="AB1417" s="0" t="n">
        <f aca="false">X1417+Z1417</f>
        <v>44.4355611734198</v>
      </c>
      <c r="AC1417" s="54" t="b">
        <f aca="false">AND(E1417&gt;=01_因子設定!$L$5-0.000000001,E1417&lt;=01_因子設定!$M$5+0.000000001,F1417&gt;=01_因子設定!$L$6-0.000000001,F1417&lt;=01_因子設定!$M$6+0.000000001,G1417&gt;=01_因子設定!$L$7-0.000000001,G1417&lt;=01_因子設定!$M$7+0.000000001,H1417&gt;=01_因子設定!$L$8-0.000000001,H1417&lt;=01_因子設定!$M$8+0.000000001,IF(01_因子設定!$B$20="Box-Behnken",E1417^2+F1417^2+G1417^2+H1417^2&lt;=2+0.000000001,TRUE()))</f>
        <v>1</v>
      </c>
      <c r="AD1417" s="55" t="n">
        <f aca="false">IF(AC1417,IF(01_因子設定!$B$13="最大化",AA1417-01_因子設定!$B$14,IF(01_因子設定!$B$13="最小化",01_因子設定!$B$15-AB1417,MIN(AA1417-01_因子設定!$B$14,01_因子設定!$B$15-AB1417))),-1E+030)</f>
        <v>-5.38391643657764</v>
      </c>
      <c r="AE1417" s="55" t="n">
        <f aca="false">IF(AC1417,IF(01_因子設定!$B$13="最大化",X1417,IF(01_因子設定!$B$13="最小化",-X1417,-ABS(X1417-01_因子設定!$B$16))),-1E+030)</f>
        <v>42.7758223684211</v>
      </c>
      <c r="AF1417" s="55" t="n">
        <f aca="false">AD1417+ROW()*0.000000001</f>
        <v>-5.38391501957764</v>
      </c>
      <c r="AG1417" s="55" t="n">
        <f aca="false">AE1417+ROW()*0.000000001</f>
        <v>42.7758237854211</v>
      </c>
    </row>
    <row r="1418" customFormat="false" ht="15" hidden="false" customHeight="false" outlineLevel="0" collapsed="false">
      <c r="A1418" s="0" t="n">
        <v>1</v>
      </c>
      <c r="B1418" s="0" t="n">
        <v>8</v>
      </c>
      <c r="C1418" s="0" t="n">
        <v>4</v>
      </c>
      <c r="D1418" s="0" t="n">
        <v>0</v>
      </c>
      <c r="E1418" s="0" t="n">
        <f aca="false">-1+A1418*0.25</f>
        <v>-0.75</v>
      </c>
      <c r="F1418" s="0" t="n">
        <f aca="false">-1+B1418*0.25</f>
        <v>1</v>
      </c>
      <c r="G1418" s="0" t="n">
        <f aca="false">-1+C1418*0.25</f>
        <v>0</v>
      </c>
      <c r="H1418" s="0" t="n">
        <f aca="false">-1+D1418*0.25</f>
        <v>-1</v>
      </c>
      <c r="I1418" s="0" t="n">
        <f aca="false">1</f>
        <v>1</v>
      </c>
      <c r="J1418" s="0" t="n">
        <f aca="false">E1418</f>
        <v>-0.75</v>
      </c>
      <c r="K1418" s="0" t="n">
        <f aca="false">F1418</f>
        <v>1</v>
      </c>
      <c r="L1418" s="0" t="n">
        <f aca="false">G1418</f>
        <v>0</v>
      </c>
      <c r="M1418" s="0" t="n">
        <f aca="false">H1418</f>
        <v>-1</v>
      </c>
      <c r="N1418" s="0" t="n">
        <f aca="false">E1418*F1418</f>
        <v>-0.75</v>
      </c>
      <c r="O1418" s="0" t="n">
        <f aca="false">E1418*G1418</f>
        <v>-0</v>
      </c>
      <c r="P1418" s="0" t="n">
        <f aca="false">E1418*H1418</f>
        <v>0.75</v>
      </c>
      <c r="Q1418" s="0" t="n">
        <f aca="false">F1418*G1418</f>
        <v>0</v>
      </c>
      <c r="R1418" s="0" t="n">
        <f aca="false">F1418*H1418</f>
        <v>-1</v>
      </c>
      <c r="S1418" s="0" t="n">
        <f aca="false">G1418*H1418</f>
        <v>-0</v>
      </c>
      <c r="T1418" s="0" t="n">
        <f aca="false">E1418*E1418</f>
        <v>0.5625</v>
      </c>
      <c r="U1418" s="0" t="n">
        <f aca="false">F1418*F1418</f>
        <v>1</v>
      </c>
      <c r="V1418" s="0" t="n">
        <f aca="false">G1418*G1418</f>
        <v>0</v>
      </c>
      <c r="W1418" s="0" t="n">
        <f aca="false">H1418*H1418</f>
        <v>1</v>
      </c>
      <c r="X1418" s="0" t="n">
        <f aca="false">SUMPRODUCT(I1418:W1418,_XtX!$B$96:$P$96)</f>
        <v>43.1375730994152</v>
      </c>
      <c r="Y1418" s="0" t="n">
        <f aca="false">SUMPRODUCT(MMULT(I1418:W1418,_XtX!$B$78:$P$92),I1418:W1418)</f>
        <v>0.646198830409357</v>
      </c>
      <c r="Z1418" s="0" t="n">
        <f aca="false">04_回帰ANOVA!$K$19*04_回帰ANOVA!$K$14*SQRT(1+Y1418)</f>
        <v>1.67239760569756</v>
      </c>
      <c r="AA1418" s="0" t="n">
        <f aca="false">X1418-Z1418</f>
        <v>41.4651754937177</v>
      </c>
      <c r="AB1418" s="0" t="n">
        <f aca="false">X1418+Z1418</f>
        <v>44.8099707051128</v>
      </c>
      <c r="AC1418" s="54" t="b">
        <f aca="false">AND(E1418&gt;=01_因子設定!$L$5-0.000000001,E1418&lt;=01_因子設定!$M$5+0.000000001,F1418&gt;=01_因子設定!$L$6-0.000000001,F1418&lt;=01_因子設定!$M$6+0.000000001,G1418&gt;=01_因子設定!$L$7-0.000000001,G1418&lt;=01_因子設定!$M$7+0.000000001,H1418&gt;=01_因子設定!$L$8-0.000000001,H1418&lt;=01_因子設定!$M$8+0.000000001,IF(01_因子設定!$B$20="Box-Behnken",E1418^2+F1418^2+G1418^2+H1418^2&lt;=2+0.000000001,TRUE()))</f>
        <v>1</v>
      </c>
      <c r="AD1418" s="55" t="n">
        <f aca="false">IF(AC1418,IF(01_因子設定!$B$13="最大化",AA1418-01_因子設定!$B$14,IF(01_因子設定!$B$13="最小化",01_因子設定!$B$15-AB1418,MIN(AA1418-01_因子設定!$B$14,01_因子設定!$B$15-AB1418))),-1E+030)</f>
        <v>-5.03482450628233</v>
      </c>
      <c r="AE1418" s="55" t="n">
        <f aca="false">IF(AC1418,IF(01_因子設定!$B$13="最大化",X1418,IF(01_因子設定!$B$13="最小化",-X1418,-ABS(X1418-01_因子設定!$B$16))),-1E+030)</f>
        <v>43.1375730994152</v>
      </c>
      <c r="AF1418" s="55" t="n">
        <f aca="false">AD1418+ROW()*0.000000001</f>
        <v>-5.03482308828233</v>
      </c>
      <c r="AG1418" s="55" t="n">
        <f aca="false">AE1418+ROW()*0.000000001</f>
        <v>43.1375745174152</v>
      </c>
    </row>
    <row r="1419" customFormat="false" ht="15" hidden="false" customHeight="false" outlineLevel="0" collapsed="false">
      <c r="A1419" s="0" t="n">
        <v>1</v>
      </c>
      <c r="B1419" s="0" t="n">
        <v>8</v>
      </c>
      <c r="C1419" s="0" t="n">
        <v>4</v>
      </c>
      <c r="D1419" s="0" t="n">
        <v>1</v>
      </c>
      <c r="E1419" s="0" t="n">
        <f aca="false">-1+A1419*0.25</f>
        <v>-0.75</v>
      </c>
      <c r="F1419" s="0" t="n">
        <f aca="false">-1+B1419*0.25</f>
        <v>1</v>
      </c>
      <c r="G1419" s="0" t="n">
        <f aca="false">-1+C1419*0.25</f>
        <v>0</v>
      </c>
      <c r="H1419" s="0" t="n">
        <f aca="false">-1+D1419*0.25</f>
        <v>-0.75</v>
      </c>
      <c r="I1419" s="0" t="n">
        <f aca="false">1</f>
        <v>1</v>
      </c>
      <c r="J1419" s="0" t="n">
        <f aca="false">E1419</f>
        <v>-0.75</v>
      </c>
      <c r="K1419" s="0" t="n">
        <f aca="false">F1419</f>
        <v>1</v>
      </c>
      <c r="L1419" s="0" t="n">
        <f aca="false">G1419</f>
        <v>0</v>
      </c>
      <c r="M1419" s="0" t="n">
        <f aca="false">H1419</f>
        <v>-0.75</v>
      </c>
      <c r="N1419" s="0" t="n">
        <f aca="false">E1419*F1419</f>
        <v>-0.75</v>
      </c>
      <c r="O1419" s="0" t="n">
        <f aca="false">E1419*G1419</f>
        <v>-0</v>
      </c>
      <c r="P1419" s="0" t="n">
        <f aca="false">E1419*H1419</f>
        <v>0.5625</v>
      </c>
      <c r="Q1419" s="0" t="n">
        <f aca="false">F1419*G1419</f>
        <v>0</v>
      </c>
      <c r="R1419" s="0" t="n">
        <f aca="false">F1419*H1419</f>
        <v>-0.75</v>
      </c>
      <c r="S1419" s="0" t="n">
        <f aca="false">G1419*H1419</f>
        <v>-0</v>
      </c>
      <c r="T1419" s="0" t="n">
        <f aca="false">E1419*E1419</f>
        <v>0.5625</v>
      </c>
      <c r="U1419" s="0" t="n">
        <f aca="false">F1419*F1419</f>
        <v>1</v>
      </c>
      <c r="V1419" s="0" t="n">
        <f aca="false">G1419*G1419</f>
        <v>0</v>
      </c>
      <c r="W1419" s="0" t="n">
        <f aca="false">H1419*H1419</f>
        <v>0.5625</v>
      </c>
      <c r="X1419" s="0" t="n">
        <f aca="false">SUMPRODUCT(I1419:W1419,_XtX!$B$96:$P$96)</f>
        <v>43.3297240497076</v>
      </c>
      <c r="Y1419" s="0" t="n">
        <f aca="false">SUMPRODUCT(MMULT(I1419:W1419,_XtX!$B$78:$P$92),I1419:W1419)</f>
        <v>0.494259126005117</v>
      </c>
      <c r="Z1419" s="0" t="n">
        <f aca="false">04_回帰ANOVA!$K$19*04_回帰ANOVA!$K$14*SQRT(1+Y1419)</f>
        <v>1.59335061078203</v>
      </c>
      <c r="AA1419" s="0" t="n">
        <f aca="false">X1419-Z1419</f>
        <v>41.7363734389256</v>
      </c>
      <c r="AB1419" s="0" t="n">
        <f aca="false">X1419+Z1419</f>
        <v>44.9230746604896</v>
      </c>
      <c r="AC1419" s="54" t="b">
        <f aca="false">AND(E1419&gt;=01_因子設定!$L$5-0.000000001,E1419&lt;=01_因子設定!$M$5+0.000000001,F1419&gt;=01_因子設定!$L$6-0.000000001,F1419&lt;=01_因子設定!$M$6+0.000000001,G1419&gt;=01_因子設定!$L$7-0.000000001,G1419&lt;=01_因子設定!$M$7+0.000000001,H1419&gt;=01_因子設定!$L$8-0.000000001,H1419&lt;=01_因子設定!$M$8+0.000000001,IF(01_因子設定!$B$20="Box-Behnken",E1419^2+F1419^2+G1419^2+H1419^2&lt;=2+0.000000001,TRUE()))</f>
        <v>1</v>
      </c>
      <c r="AD1419" s="55" t="n">
        <f aca="false">IF(AC1419,IF(01_因子設定!$B$13="最大化",AA1419-01_因子設定!$B$14,IF(01_因子設定!$B$13="最小化",01_因子設定!$B$15-AB1419,MIN(AA1419-01_因子設定!$B$14,01_因子設定!$B$15-AB1419))),-1E+030)</f>
        <v>-4.76362656107442</v>
      </c>
      <c r="AE1419" s="55" t="n">
        <f aca="false">IF(AC1419,IF(01_因子設定!$B$13="最大化",X1419,IF(01_因子設定!$B$13="最小化",-X1419,-ABS(X1419-01_因子設定!$B$16))),-1E+030)</f>
        <v>43.3297240497076</v>
      </c>
      <c r="AF1419" s="55" t="n">
        <f aca="false">AD1419+ROW()*0.000000001</f>
        <v>-4.76362514207442</v>
      </c>
      <c r="AG1419" s="55" t="n">
        <f aca="false">AE1419+ROW()*0.000000001</f>
        <v>43.3297254687076</v>
      </c>
    </row>
    <row r="1420" customFormat="false" ht="15" hidden="false" customHeight="false" outlineLevel="0" collapsed="false">
      <c r="A1420" s="0" t="n">
        <v>1</v>
      </c>
      <c r="B1420" s="0" t="n">
        <v>8</v>
      </c>
      <c r="C1420" s="0" t="n">
        <v>4</v>
      </c>
      <c r="D1420" s="0" t="n">
        <v>2</v>
      </c>
      <c r="E1420" s="0" t="n">
        <f aca="false">-1+A1420*0.25</f>
        <v>-0.75</v>
      </c>
      <c r="F1420" s="0" t="n">
        <f aca="false">-1+B1420*0.25</f>
        <v>1</v>
      </c>
      <c r="G1420" s="0" t="n">
        <f aca="false">-1+C1420*0.25</f>
        <v>0</v>
      </c>
      <c r="H1420" s="0" t="n">
        <f aca="false">-1+D1420*0.25</f>
        <v>-0.5</v>
      </c>
      <c r="I1420" s="0" t="n">
        <f aca="false">1</f>
        <v>1</v>
      </c>
      <c r="J1420" s="0" t="n">
        <f aca="false">E1420</f>
        <v>-0.75</v>
      </c>
      <c r="K1420" s="0" t="n">
        <f aca="false">F1420</f>
        <v>1</v>
      </c>
      <c r="L1420" s="0" t="n">
        <f aca="false">G1420</f>
        <v>0</v>
      </c>
      <c r="M1420" s="0" t="n">
        <f aca="false">H1420</f>
        <v>-0.5</v>
      </c>
      <c r="N1420" s="0" t="n">
        <f aca="false">E1420*F1420</f>
        <v>-0.75</v>
      </c>
      <c r="O1420" s="0" t="n">
        <f aca="false">E1420*G1420</f>
        <v>-0</v>
      </c>
      <c r="P1420" s="0" t="n">
        <f aca="false">E1420*H1420</f>
        <v>0.375</v>
      </c>
      <c r="Q1420" s="0" t="n">
        <f aca="false">F1420*G1420</f>
        <v>0</v>
      </c>
      <c r="R1420" s="0" t="n">
        <f aca="false">F1420*H1420</f>
        <v>-0.5</v>
      </c>
      <c r="S1420" s="0" t="n">
        <f aca="false">G1420*H1420</f>
        <v>-0</v>
      </c>
      <c r="T1420" s="0" t="n">
        <f aca="false">E1420*E1420</f>
        <v>0.5625</v>
      </c>
      <c r="U1420" s="0" t="n">
        <f aca="false">F1420*F1420</f>
        <v>1</v>
      </c>
      <c r="V1420" s="0" t="n">
        <f aca="false">G1420*G1420</f>
        <v>0</v>
      </c>
      <c r="W1420" s="0" t="n">
        <f aca="false">H1420*H1420</f>
        <v>0.25</v>
      </c>
      <c r="X1420" s="0" t="n">
        <f aca="false">SUMPRODUCT(I1420:W1420,_XtX!$B$96:$P$96)</f>
        <v>43.4740679824561</v>
      </c>
      <c r="Y1420" s="0" t="n">
        <f aca="false">SUMPRODUCT(MMULT(I1420:W1420,_XtX!$B$78:$P$92),I1420:W1420)</f>
        <v>0.476191292032164</v>
      </c>
      <c r="Z1420" s="0" t="n">
        <f aca="false">04_回帰ANOVA!$K$19*04_回帰ANOVA!$K$14*SQRT(1+Y1420)</f>
        <v>1.58368831471718</v>
      </c>
      <c r="AA1420" s="0" t="n">
        <f aca="false">X1420-Z1420</f>
        <v>41.890379667739</v>
      </c>
      <c r="AB1420" s="0" t="n">
        <f aca="false">X1420+Z1420</f>
        <v>45.0577562971733</v>
      </c>
      <c r="AC1420" s="54" t="b">
        <f aca="false">AND(E1420&gt;=01_因子設定!$L$5-0.000000001,E1420&lt;=01_因子設定!$M$5+0.000000001,F1420&gt;=01_因子設定!$L$6-0.000000001,F1420&lt;=01_因子設定!$M$6+0.000000001,G1420&gt;=01_因子設定!$L$7-0.000000001,G1420&lt;=01_因子設定!$M$7+0.000000001,H1420&gt;=01_因子設定!$L$8-0.000000001,H1420&lt;=01_因子設定!$M$8+0.000000001,IF(01_因子設定!$B$20="Box-Behnken",E1420^2+F1420^2+G1420^2+H1420^2&lt;=2+0.000000001,TRUE()))</f>
        <v>1</v>
      </c>
      <c r="AD1420" s="55" t="n">
        <f aca="false">IF(AC1420,IF(01_因子設定!$B$13="最大化",AA1420-01_因子設定!$B$14,IF(01_因子設定!$B$13="最小化",01_因子設定!$B$15-AB1420,MIN(AA1420-01_因子設定!$B$14,01_因子設定!$B$15-AB1420))),-1E+030)</f>
        <v>-4.60962033226105</v>
      </c>
      <c r="AE1420" s="55" t="n">
        <f aca="false">IF(AC1420,IF(01_因子設定!$B$13="最大化",X1420,IF(01_因子設定!$B$13="最小化",-X1420,-ABS(X1420-01_因子設定!$B$16))),-1E+030)</f>
        <v>43.4740679824561</v>
      </c>
      <c r="AF1420" s="55" t="n">
        <f aca="false">AD1420+ROW()*0.000000001</f>
        <v>-4.60961891226105</v>
      </c>
      <c r="AG1420" s="55" t="n">
        <f aca="false">AE1420+ROW()*0.000000001</f>
        <v>43.4740694024561</v>
      </c>
    </row>
    <row r="1421" customFormat="false" ht="15" hidden="false" customHeight="false" outlineLevel="0" collapsed="false">
      <c r="A1421" s="0" t="n">
        <v>1</v>
      </c>
      <c r="B1421" s="0" t="n">
        <v>8</v>
      </c>
      <c r="C1421" s="0" t="n">
        <v>4</v>
      </c>
      <c r="D1421" s="0" t="n">
        <v>3</v>
      </c>
      <c r="E1421" s="0" t="n">
        <f aca="false">-1+A1421*0.25</f>
        <v>-0.75</v>
      </c>
      <c r="F1421" s="0" t="n">
        <f aca="false">-1+B1421*0.25</f>
        <v>1</v>
      </c>
      <c r="G1421" s="0" t="n">
        <f aca="false">-1+C1421*0.25</f>
        <v>0</v>
      </c>
      <c r="H1421" s="0" t="n">
        <f aca="false">-1+D1421*0.25</f>
        <v>-0.25</v>
      </c>
      <c r="I1421" s="0" t="n">
        <f aca="false">1</f>
        <v>1</v>
      </c>
      <c r="J1421" s="0" t="n">
        <f aca="false">E1421</f>
        <v>-0.75</v>
      </c>
      <c r="K1421" s="0" t="n">
        <f aca="false">F1421</f>
        <v>1</v>
      </c>
      <c r="L1421" s="0" t="n">
        <f aca="false">G1421</f>
        <v>0</v>
      </c>
      <c r="M1421" s="0" t="n">
        <f aca="false">H1421</f>
        <v>-0.25</v>
      </c>
      <c r="N1421" s="0" t="n">
        <f aca="false">E1421*F1421</f>
        <v>-0.75</v>
      </c>
      <c r="O1421" s="0" t="n">
        <f aca="false">E1421*G1421</f>
        <v>-0</v>
      </c>
      <c r="P1421" s="0" t="n">
        <f aca="false">E1421*H1421</f>
        <v>0.1875</v>
      </c>
      <c r="Q1421" s="0" t="n">
        <f aca="false">F1421*G1421</f>
        <v>0</v>
      </c>
      <c r="R1421" s="0" t="n">
        <f aca="false">F1421*H1421</f>
        <v>-0.25</v>
      </c>
      <c r="S1421" s="0" t="n">
        <f aca="false">G1421*H1421</f>
        <v>-0</v>
      </c>
      <c r="T1421" s="0" t="n">
        <f aca="false">E1421*E1421</f>
        <v>0.5625</v>
      </c>
      <c r="U1421" s="0" t="n">
        <f aca="false">F1421*F1421</f>
        <v>1</v>
      </c>
      <c r="V1421" s="0" t="n">
        <f aca="false">G1421*G1421</f>
        <v>0</v>
      </c>
      <c r="W1421" s="0" t="n">
        <f aca="false">H1421*H1421</f>
        <v>0.0625</v>
      </c>
      <c r="X1421" s="0" t="n">
        <f aca="false">SUMPRODUCT(I1421:W1421,_XtX!$B$96:$P$96)</f>
        <v>43.5706048976608</v>
      </c>
      <c r="Y1421" s="0" t="n">
        <f aca="false">SUMPRODUCT(MMULT(I1421:W1421,_XtX!$B$78:$P$92),I1421:W1421)</f>
        <v>0.501534802174708</v>
      </c>
      <c r="Z1421" s="0" t="n">
        <f aca="false">04_回帰ANOVA!$K$19*04_回帰ANOVA!$K$14*SQRT(1+Y1421)</f>
        <v>1.59722498091333</v>
      </c>
      <c r="AA1421" s="0" t="n">
        <f aca="false">X1421-Z1421</f>
        <v>41.9733799167475</v>
      </c>
      <c r="AB1421" s="0" t="n">
        <f aca="false">X1421+Z1421</f>
        <v>45.1678298785741</v>
      </c>
      <c r="AC1421" s="54" t="b">
        <f aca="false">AND(E1421&gt;=01_因子設定!$L$5-0.000000001,E1421&lt;=01_因子設定!$M$5+0.000000001,F1421&gt;=01_因子設定!$L$6-0.000000001,F1421&lt;=01_因子設定!$M$6+0.000000001,G1421&gt;=01_因子設定!$L$7-0.000000001,G1421&lt;=01_因子設定!$M$7+0.000000001,H1421&gt;=01_因子設定!$L$8-0.000000001,H1421&lt;=01_因子設定!$M$8+0.000000001,IF(01_因子設定!$B$20="Box-Behnken",E1421^2+F1421^2+G1421^2+H1421^2&lt;=2+0.000000001,TRUE()))</f>
        <v>1</v>
      </c>
      <c r="AD1421" s="55" t="n">
        <f aca="false">IF(AC1421,IF(01_因子設定!$B$13="最大化",AA1421-01_因子設定!$B$14,IF(01_因子設定!$B$13="最小化",01_因子設定!$B$15-AB1421,MIN(AA1421-01_因子設定!$B$14,01_因子設定!$B$15-AB1421))),-1E+030)</f>
        <v>-4.52662008325252</v>
      </c>
      <c r="AE1421" s="55" t="n">
        <f aca="false">IF(AC1421,IF(01_因子設定!$B$13="最大化",X1421,IF(01_因子設定!$B$13="最小化",-X1421,-ABS(X1421-01_因子設定!$B$16))),-1E+030)</f>
        <v>43.5706048976608</v>
      </c>
      <c r="AF1421" s="55" t="n">
        <f aca="false">AD1421+ROW()*0.000000001</f>
        <v>-4.52661866225252</v>
      </c>
      <c r="AG1421" s="55" t="n">
        <f aca="false">AE1421+ROW()*0.000000001</f>
        <v>43.5706063186608</v>
      </c>
    </row>
    <row r="1422" customFormat="false" ht="15" hidden="false" customHeight="false" outlineLevel="0" collapsed="false">
      <c r="A1422" s="0" t="n">
        <v>1</v>
      </c>
      <c r="B1422" s="0" t="n">
        <v>8</v>
      </c>
      <c r="C1422" s="0" t="n">
        <v>4</v>
      </c>
      <c r="D1422" s="0" t="n">
        <v>4</v>
      </c>
      <c r="E1422" s="0" t="n">
        <f aca="false">-1+A1422*0.25</f>
        <v>-0.75</v>
      </c>
      <c r="F1422" s="0" t="n">
        <f aca="false">-1+B1422*0.25</f>
        <v>1</v>
      </c>
      <c r="G1422" s="0" t="n">
        <f aca="false">-1+C1422*0.25</f>
        <v>0</v>
      </c>
      <c r="H1422" s="0" t="n">
        <f aca="false">-1+D1422*0.25</f>
        <v>0</v>
      </c>
      <c r="I1422" s="0" t="n">
        <f aca="false">1</f>
        <v>1</v>
      </c>
      <c r="J1422" s="0" t="n">
        <f aca="false">E1422</f>
        <v>-0.75</v>
      </c>
      <c r="K1422" s="0" t="n">
        <f aca="false">F1422</f>
        <v>1</v>
      </c>
      <c r="L1422" s="0" t="n">
        <f aca="false">G1422</f>
        <v>0</v>
      </c>
      <c r="M1422" s="0" t="n">
        <f aca="false">H1422</f>
        <v>0</v>
      </c>
      <c r="N1422" s="0" t="n">
        <f aca="false">E1422*F1422</f>
        <v>-0.75</v>
      </c>
      <c r="O1422" s="0" t="n">
        <f aca="false">E1422*G1422</f>
        <v>-0</v>
      </c>
      <c r="P1422" s="0" t="n">
        <f aca="false">E1422*H1422</f>
        <v>-0</v>
      </c>
      <c r="Q1422" s="0" t="n">
        <f aca="false">F1422*G1422</f>
        <v>0</v>
      </c>
      <c r="R1422" s="0" t="n">
        <f aca="false">F1422*H1422</f>
        <v>0</v>
      </c>
      <c r="S1422" s="0" t="n">
        <f aca="false">G1422*H1422</f>
        <v>0</v>
      </c>
      <c r="T1422" s="0" t="n">
        <f aca="false">E1422*E1422</f>
        <v>0.5625</v>
      </c>
      <c r="U1422" s="0" t="n">
        <f aca="false">F1422*F1422</f>
        <v>1</v>
      </c>
      <c r="V1422" s="0" t="n">
        <f aca="false">G1422*G1422</f>
        <v>0</v>
      </c>
      <c r="W1422" s="0" t="n">
        <f aca="false">H1422*H1422</f>
        <v>0</v>
      </c>
      <c r="X1422" s="0" t="n">
        <f aca="false">SUMPRODUCT(I1422:W1422,_XtX!$B$96:$P$96)</f>
        <v>43.6193347953216</v>
      </c>
      <c r="Y1422" s="0" t="n">
        <f aca="false">SUMPRODUCT(MMULT(I1422:W1422,_XtX!$B$78:$P$92),I1422:W1422)</f>
        <v>0.516013340643275</v>
      </c>
      <c r="Z1422" s="0" t="n">
        <f aca="false">04_回帰ANOVA!$K$19*04_回帰ANOVA!$K$14*SQRT(1+Y1422)</f>
        <v>1.60490712175667</v>
      </c>
      <c r="AA1422" s="0" t="n">
        <f aca="false">X1422-Z1422</f>
        <v>42.014427673565</v>
      </c>
      <c r="AB1422" s="0" t="n">
        <f aca="false">X1422+Z1422</f>
        <v>45.2242419170783</v>
      </c>
      <c r="AC1422" s="54" t="b">
        <f aca="false">AND(E1422&gt;=01_因子設定!$L$5-0.000000001,E1422&lt;=01_因子設定!$M$5+0.000000001,F1422&gt;=01_因子設定!$L$6-0.000000001,F1422&lt;=01_因子設定!$M$6+0.000000001,G1422&gt;=01_因子設定!$L$7-0.000000001,G1422&lt;=01_因子設定!$M$7+0.000000001,H1422&gt;=01_因子設定!$L$8-0.000000001,H1422&lt;=01_因子設定!$M$8+0.000000001,IF(01_因子設定!$B$20="Box-Behnken",E1422^2+F1422^2+G1422^2+H1422^2&lt;=2+0.000000001,TRUE()))</f>
        <v>1</v>
      </c>
      <c r="AD1422" s="55" t="n">
        <f aca="false">IF(AC1422,IF(01_因子設定!$B$13="最大化",AA1422-01_因子設定!$B$14,IF(01_因子設定!$B$13="最小化",01_因子設定!$B$15-AB1422,MIN(AA1422-01_因子設定!$B$14,01_因子設定!$B$15-AB1422))),-1E+030)</f>
        <v>-4.48557232643505</v>
      </c>
      <c r="AE1422" s="55" t="n">
        <f aca="false">IF(AC1422,IF(01_因子設定!$B$13="最大化",X1422,IF(01_因子設定!$B$13="最小化",-X1422,-ABS(X1422-01_因子設定!$B$16))),-1E+030)</f>
        <v>43.6193347953216</v>
      </c>
      <c r="AF1422" s="55" t="n">
        <f aca="false">AD1422+ROW()*0.000000001</f>
        <v>-4.48557090443505</v>
      </c>
      <c r="AG1422" s="55" t="n">
        <f aca="false">AE1422+ROW()*0.000000001</f>
        <v>43.6193362173216</v>
      </c>
    </row>
    <row r="1423" customFormat="false" ht="15" hidden="false" customHeight="false" outlineLevel="0" collapsed="false">
      <c r="A1423" s="0" t="n">
        <v>1</v>
      </c>
      <c r="B1423" s="0" t="n">
        <v>8</v>
      </c>
      <c r="C1423" s="0" t="n">
        <v>4</v>
      </c>
      <c r="D1423" s="0" t="n">
        <v>5</v>
      </c>
      <c r="E1423" s="0" t="n">
        <f aca="false">-1+A1423*0.25</f>
        <v>-0.75</v>
      </c>
      <c r="F1423" s="0" t="n">
        <f aca="false">-1+B1423*0.25</f>
        <v>1</v>
      </c>
      <c r="G1423" s="0" t="n">
        <f aca="false">-1+C1423*0.25</f>
        <v>0</v>
      </c>
      <c r="H1423" s="0" t="n">
        <f aca="false">-1+D1423*0.25</f>
        <v>0.25</v>
      </c>
      <c r="I1423" s="0" t="n">
        <f aca="false">1</f>
        <v>1</v>
      </c>
      <c r="J1423" s="0" t="n">
        <f aca="false">E1423</f>
        <v>-0.75</v>
      </c>
      <c r="K1423" s="0" t="n">
        <f aca="false">F1423</f>
        <v>1</v>
      </c>
      <c r="L1423" s="0" t="n">
        <f aca="false">G1423</f>
        <v>0</v>
      </c>
      <c r="M1423" s="0" t="n">
        <f aca="false">H1423</f>
        <v>0.25</v>
      </c>
      <c r="N1423" s="0" t="n">
        <f aca="false">E1423*F1423</f>
        <v>-0.75</v>
      </c>
      <c r="O1423" s="0" t="n">
        <f aca="false">E1423*G1423</f>
        <v>-0</v>
      </c>
      <c r="P1423" s="0" t="n">
        <f aca="false">E1423*H1423</f>
        <v>-0.1875</v>
      </c>
      <c r="Q1423" s="0" t="n">
        <f aca="false">F1423*G1423</f>
        <v>0</v>
      </c>
      <c r="R1423" s="0" t="n">
        <f aca="false">F1423*H1423</f>
        <v>0.25</v>
      </c>
      <c r="S1423" s="0" t="n">
        <f aca="false">G1423*H1423</f>
        <v>0</v>
      </c>
      <c r="T1423" s="0" t="n">
        <f aca="false">E1423*E1423</f>
        <v>0.5625</v>
      </c>
      <c r="U1423" s="0" t="n">
        <f aca="false">F1423*F1423</f>
        <v>1</v>
      </c>
      <c r="V1423" s="0" t="n">
        <f aca="false">G1423*G1423</f>
        <v>0</v>
      </c>
      <c r="W1423" s="0" t="n">
        <f aca="false">H1423*H1423</f>
        <v>0.0625</v>
      </c>
      <c r="X1423" s="0" t="n">
        <f aca="false">SUMPRODUCT(I1423:W1423,_XtX!$B$96:$P$96)</f>
        <v>43.6202576754386</v>
      </c>
      <c r="Y1423" s="0" t="n">
        <f aca="false">SUMPRODUCT(MMULT(I1423:W1423,_XtX!$B$78:$P$92),I1423:W1423)</f>
        <v>0.501534802174708</v>
      </c>
      <c r="Z1423" s="0" t="n">
        <f aca="false">04_回帰ANOVA!$K$19*04_回帰ANOVA!$K$14*SQRT(1+Y1423)</f>
        <v>1.59722498091333</v>
      </c>
      <c r="AA1423" s="0" t="n">
        <f aca="false">X1423-Z1423</f>
        <v>42.0230326945253</v>
      </c>
      <c r="AB1423" s="0" t="n">
        <f aca="false">X1423+Z1423</f>
        <v>45.2174826563519</v>
      </c>
      <c r="AC1423" s="54" t="b">
        <f aca="false">AND(E1423&gt;=01_因子設定!$L$5-0.000000001,E1423&lt;=01_因子設定!$M$5+0.000000001,F1423&gt;=01_因子設定!$L$6-0.000000001,F1423&lt;=01_因子設定!$M$6+0.000000001,G1423&gt;=01_因子設定!$L$7-0.000000001,G1423&lt;=01_因子設定!$M$7+0.000000001,H1423&gt;=01_因子設定!$L$8-0.000000001,H1423&lt;=01_因子設定!$M$8+0.000000001,IF(01_因子設定!$B$20="Box-Behnken",E1423^2+F1423^2+G1423^2+H1423^2&lt;=2+0.000000001,TRUE()))</f>
        <v>1</v>
      </c>
      <c r="AD1423" s="55" t="n">
        <f aca="false">IF(AC1423,IF(01_因子設定!$B$13="最大化",AA1423-01_因子設定!$B$14,IF(01_因子設定!$B$13="最小化",01_因子設定!$B$15-AB1423,MIN(AA1423-01_因子設定!$B$14,01_因子設定!$B$15-AB1423))),-1E+030)</f>
        <v>-4.47696730547475</v>
      </c>
      <c r="AE1423" s="55" t="n">
        <f aca="false">IF(AC1423,IF(01_因子設定!$B$13="最大化",X1423,IF(01_因子設定!$B$13="最小化",-X1423,-ABS(X1423-01_因子設定!$B$16))),-1E+030)</f>
        <v>43.6202576754386</v>
      </c>
      <c r="AF1423" s="55" t="n">
        <f aca="false">AD1423+ROW()*0.000000001</f>
        <v>-4.47696588247475</v>
      </c>
      <c r="AG1423" s="55" t="n">
        <f aca="false">AE1423+ROW()*0.000000001</f>
        <v>43.6202590984386</v>
      </c>
    </row>
    <row r="1424" customFormat="false" ht="15" hidden="false" customHeight="false" outlineLevel="0" collapsed="false">
      <c r="A1424" s="0" t="n">
        <v>1</v>
      </c>
      <c r="B1424" s="0" t="n">
        <v>8</v>
      </c>
      <c r="C1424" s="0" t="n">
        <v>4</v>
      </c>
      <c r="D1424" s="0" t="n">
        <v>6</v>
      </c>
      <c r="E1424" s="0" t="n">
        <f aca="false">-1+A1424*0.25</f>
        <v>-0.75</v>
      </c>
      <c r="F1424" s="0" t="n">
        <f aca="false">-1+B1424*0.25</f>
        <v>1</v>
      </c>
      <c r="G1424" s="0" t="n">
        <f aca="false">-1+C1424*0.25</f>
        <v>0</v>
      </c>
      <c r="H1424" s="0" t="n">
        <f aca="false">-1+D1424*0.25</f>
        <v>0.5</v>
      </c>
      <c r="I1424" s="0" t="n">
        <f aca="false">1</f>
        <v>1</v>
      </c>
      <c r="J1424" s="0" t="n">
        <f aca="false">E1424</f>
        <v>-0.75</v>
      </c>
      <c r="K1424" s="0" t="n">
        <f aca="false">F1424</f>
        <v>1</v>
      </c>
      <c r="L1424" s="0" t="n">
        <f aca="false">G1424</f>
        <v>0</v>
      </c>
      <c r="M1424" s="0" t="n">
        <f aca="false">H1424</f>
        <v>0.5</v>
      </c>
      <c r="N1424" s="0" t="n">
        <f aca="false">E1424*F1424</f>
        <v>-0.75</v>
      </c>
      <c r="O1424" s="0" t="n">
        <f aca="false">E1424*G1424</f>
        <v>-0</v>
      </c>
      <c r="P1424" s="0" t="n">
        <f aca="false">E1424*H1424</f>
        <v>-0.375</v>
      </c>
      <c r="Q1424" s="0" t="n">
        <f aca="false">F1424*G1424</f>
        <v>0</v>
      </c>
      <c r="R1424" s="0" t="n">
        <f aca="false">F1424*H1424</f>
        <v>0.5</v>
      </c>
      <c r="S1424" s="0" t="n">
        <f aca="false">G1424*H1424</f>
        <v>0</v>
      </c>
      <c r="T1424" s="0" t="n">
        <f aca="false">E1424*E1424</f>
        <v>0.5625</v>
      </c>
      <c r="U1424" s="0" t="n">
        <f aca="false">F1424*F1424</f>
        <v>1</v>
      </c>
      <c r="V1424" s="0" t="n">
        <f aca="false">G1424*G1424</f>
        <v>0</v>
      </c>
      <c r="W1424" s="0" t="n">
        <f aca="false">H1424*H1424</f>
        <v>0.25</v>
      </c>
      <c r="X1424" s="0" t="n">
        <f aca="false">SUMPRODUCT(I1424:W1424,_XtX!$B$96:$P$96)</f>
        <v>43.5733735380117</v>
      </c>
      <c r="Y1424" s="0" t="n">
        <f aca="false">SUMPRODUCT(MMULT(I1424:W1424,_XtX!$B$78:$P$92),I1424:W1424)</f>
        <v>0.476191292032164</v>
      </c>
      <c r="Z1424" s="0" t="n">
        <f aca="false">04_回帰ANOVA!$K$19*04_回帰ANOVA!$K$14*SQRT(1+Y1424)</f>
        <v>1.58368831471718</v>
      </c>
      <c r="AA1424" s="0" t="n">
        <f aca="false">X1424-Z1424</f>
        <v>41.9896852232945</v>
      </c>
      <c r="AB1424" s="0" t="n">
        <f aca="false">X1424+Z1424</f>
        <v>45.1570618527289</v>
      </c>
      <c r="AC1424" s="54" t="b">
        <f aca="false">AND(E1424&gt;=01_因子設定!$L$5-0.000000001,E1424&lt;=01_因子設定!$M$5+0.000000001,F1424&gt;=01_因子設定!$L$6-0.000000001,F1424&lt;=01_因子設定!$M$6+0.000000001,G1424&gt;=01_因子設定!$L$7-0.000000001,G1424&lt;=01_因子設定!$M$7+0.000000001,H1424&gt;=01_因子設定!$L$8-0.000000001,H1424&lt;=01_因子設定!$M$8+0.000000001,IF(01_因子設定!$B$20="Box-Behnken",E1424^2+F1424^2+G1424^2+H1424^2&lt;=2+0.000000001,TRUE()))</f>
        <v>1</v>
      </c>
      <c r="AD1424" s="55" t="n">
        <f aca="false">IF(AC1424,IF(01_因子設定!$B$13="最大化",AA1424-01_因子設定!$B$14,IF(01_因子設定!$B$13="最小化",01_因子設定!$B$15-AB1424,MIN(AA1424-01_因子設定!$B$14,01_因子設定!$B$15-AB1424))),-1E+030)</f>
        <v>-4.51031477670549</v>
      </c>
      <c r="AE1424" s="55" t="n">
        <f aca="false">IF(AC1424,IF(01_因子設定!$B$13="最大化",X1424,IF(01_因子設定!$B$13="最小化",-X1424,-ABS(X1424-01_因子設定!$B$16))),-1E+030)</f>
        <v>43.5733735380117</v>
      </c>
      <c r="AF1424" s="55" t="n">
        <f aca="false">AD1424+ROW()*0.000000001</f>
        <v>-4.51031335270549</v>
      </c>
      <c r="AG1424" s="55" t="n">
        <f aca="false">AE1424+ROW()*0.000000001</f>
        <v>43.5733749620117</v>
      </c>
    </row>
    <row r="1425" customFormat="false" ht="15" hidden="false" customHeight="false" outlineLevel="0" collapsed="false">
      <c r="A1425" s="0" t="n">
        <v>1</v>
      </c>
      <c r="B1425" s="0" t="n">
        <v>8</v>
      </c>
      <c r="C1425" s="0" t="n">
        <v>4</v>
      </c>
      <c r="D1425" s="0" t="n">
        <v>7</v>
      </c>
      <c r="E1425" s="0" t="n">
        <f aca="false">-1+A1425*0.25</f>
        <v>-0.75</v>
      </c>
      <c r="F1425" s="0" t="n">
        <f aca="false">-1+B1425*0.25</f>
        <v>1</v>
      </c>
      <c r="G1425" s="0" t="n">
        <f aca="false">-1+C1425*0.25</f>
        <v>0</v>
      </c>
      <c r="H1425" s="0" t="n">
        <f aca="false">-1+D1425*0.25</f>
        <v>0.75</v>
      </c>
      <c r="I1425" s="0" t="n">
        <f aca="false">1</f>
        <v>1</v>
      </c>
      <c r="J1425" s="0" t="n">
        <f aca="false">E1425</f>
        <v>-0.75</v>
      </c>
      <c r="K1425" s="0" t="n">
        <f aca="false">F1425</f>
        <v>1</v>
      </c>
      <c r="L1425" s="0" t="n">
        <f aca="false">G1425</f>
        <v>0</v>
      </c>
      <c r="M1425" s="0" t="n">
        <f aca="false">H1425</f>
        <v>0.75</v>
      </c>
      <c r="N1425" s="0" t="n">
        <f aca="false">E1425*F1425</f>
        <v>-0.75</v>
      </c>
      <c r="O1425" s="0" t="n">
        <f aca="false">E1425*G1425</f>
        <v>-0</v>
      </c>
      <c r="P1425" s="0" t="n">
        <f aca="false">E1425*H1425</f>
        <v>-0.5625</v>
      </c>
      <c r="Q1425" s="0" t="n">
        <f aca="false">F1425*G1425</f>
        <v>0</v>
      </c>
      <c r="R1425" s="0" t="n">
        <f aca="false">F1425*H1425</f>
        <v>0.75</v>
      </c>
      <c r="S1425" s="0" t="n">
        <f aca="false">G1425*H1425</f>
        <v>0</v>
      </c>
      <c r="T1425" s="0" t="n">
        <f aca="false">E1425*E1425</f>
        <v>0.5625</v>
      </c>
      <c r="U1425" s="0" t="n">
        <f aca="false">F1425*F1425</f>
        <v>1</v>
      </c>
      <c r="V1425" s="0" t="n">
        <f aca="false">G1425*G1425</f>
        <v>0</v>
      </c>
      <c r="W1425" s="0" t="n">
        <f aca="false">H1425*H1425</f>
        <v>0.5625</v>
      </c>
      <c r="X1425" s="0" t="n">
        <f aca="false">SUMPRODUCT(I1425:W1425,_XtX!$B$96:$P$96)</f>
        <v>43.4786823830409</v>
      </c>
      <c r="Y1425" s="0" t="n">
        <f aca="false">SUMPRODUCT(MMULT(I1425:W1425,_XtX!$B$78:$P$92),I1425:W1425)</f>
        <v>0.494259126005117</v>
      </c>
      <c r="Z1425" s="0" t="n">
        <f aca="false">04_回帰ANOVA!$K$19*04_回帰ANOVA!$K$14*SQRT(1+Y1425)</f>
        <v>1.59335061078203</v>
      </c>
      <c r="AA1425" s="0" t="n">
        <f aca="false">X1425-Z1425</f>
        <v>41.8853317722589</v>
      </c>
      <c r="AB1425" s="0" t="n">
        <f aca="false">X1425+Z1425</f>
        <v>45.072032993823</v>
      </c>
      <c r="AC1425" s="54" t="b">
        <f aca="false">AND(E1425&gt;=01_因子設定!$L$5-0.000000001,E1425&lt;=01_因子設定!$M$5+0.000000001,F1425&gt;=01_因子設定!$L$6-0.000000001,F1425&lt;=01_因子設定!$M$6+0.000000001,G1425&gt;=01_因子設定!$L$7-0.000000001,G1425&lt;=01_因子設定!$M$7+0.000000001,H1425&gt;=01_因子設定!$L$8-0.000000001,H1425&lt;=01_因子設定!$M$8+0.000000001,IF(01_因子設定!$B$20="Box-Behnken",E1425^2+F1425^2+G1425^2+H1425^2&lt;=2+0.000000001,TRUE()))</f>
        <v>1</v>
      </c>
      <c r="AD1425" s="55" t="n">
        <f aca="false">IF(AC1425,IF(01_因子設定!$B$13="最大化",AA1425-01_因子設定!$B$14,IF(01_因子設定!$B$13="最小化",01_因子設定!$B$15-AB1425,MIN(AA1425-01_因子設定!$B$14,01_因子設定!$B$15-AB1425))),-1E+030)</f>
        <v>-4.61466822774109</v>
      </c>
      <c r="AE1425" s="55" t="n">
        <f aca="false">IF(AC1425,IF(01_因子設定!$B$13="最大化",X1425,IF(01_因子設定!$B$13="最小化",-X1425,-ABS(X1425-01_因子設定!$B$16))),-1E+030)</f>
        <v>43.4786823830409</v>
      </c>
      <c r="AF1425" s="55" t="n">
        <f aca="false">AD1425+ROW()*0.000000001</f>
        <v>-4.61466680274109</v>
      </c>
      <c r="AG1425" s="55" t="n">
        <f aca="false">AE1425+ROW()*0.000000001</f>
        <v>43.4786838080409</v>
      </c>
    </row>
    <row r="1426" customFormat="false" ht="15" hidden="false" customHeight="false" outlineLevel="0" collapsed="false">
      <c r="A1426" s="0" t="n">
        <v>1</v>
      </c>
      <c r="B1426" s="0" t="n">
        <v>8</v>
      </c>
      <c r="C1426" s="0" t="n">
        <v>4</v>
      </c>
      <c r="D1426" s="0" t="n">
        <v>8</v>
      </c>
      <c r="E1426" s="0" t="n">
        <f aca="false">-1+A1426*0.25</f>
        <v>-0.75</v>
      </c>
      <c r="F1426" s="0" t="n">
        <f aca="false">-1+B1426*0.25</f>
        <v>1</v>
      </c>
      <c r="G1426" s="0" t="n">
        <f aca="false">-1+C1426*0.25</f>
        <v>0</v>
      </c>
      <c r="H1426" s="0" t="n">
        <f aca="false">-1+D1426*0.25</f>
        <v>1</v>
      </c>
      <c r="I1426" s="0" t="n">
        <f aca="false">1</f>
        <v>1</v>
      </c>
      <c r="J1426" s="0" t="n">
        <f aca="false">E1426</f>
        <v>-0.75</v>
      </c>
      <c r="K1426" s="0" t="n">
        <f aca="false">F1426</f>
        <v>1</v>
      </c>
      <c r="L1426" s="0" t="n">
        <f aca="false">G1426</f>
        <v>0</v>
      </c>
      <c r="M1426" s="0" t="n">
        <f aca="false">H1426</f>
        <v>1</v>
      </c>
      <c r="N1426" s="0" t="n">
        <f aca="false">E1426*F1426</f>
        <v>-0.75</v>
      </c>
      <c r="O1426" s="0" t="n">
        <f aca="false">E1426*G1426</f>
        <v>-0</v>
      </c>
      <c r="P1426" s="0" t="n">
        <f aca="false">E1426*H1426</f>
        <v>-0.75</v>
      </c>
      <c r="Q1426" s="0" t="n">
        <f aca="false">F1426*G1426</f>
        <v>0</v>
      </c>
      <c r="R1426" s="0" t="n">
        <f aca="false">F1426*H1426</f>
        <v>1</v>
      </c>
      <c r="S1426" s="0" t="n">
        <f aca="false">G1426*H1426</f>
        <v>0</v>
      </c>
      <c r="T1426" s="0" t="n">
        <f aca="false">E1426*E1426</f>
        <v>0.5625</v>
      </c>
      <c r="U1426" s="0" t="n">
        <f aca="false">F1426*F1426</f>
        <v>1</v>
      </c>
      <c r="V1426" s="0" t="n">
        <f aca="false">G1426*G1426</f>
        <v>0</v>
      </c>
      <c r="W1426" s="0" t="n">
        <f aca="false">H1426*H1426</f>
        <v>1</v>
      </c>
      <c r="X1426" s="0" t="n">
        <f aca="false">SUMPRODUCT(I1426:W1426,_XtX!$B$96:$P$96)</f>
        <v>43.3361842105263</v>
      </c>
      <c r="Y1426" s="0" t="n">
        <f aca="false">SUMPRODUCT(MMULT(I1426:W1426,_XtX!$B$78:$P$92),I1426:W1426)</f>
        <v>0.646198830409357</v>
      </c>
      <c r="Z1426" s="0" t="n">
        <f aca="false">04_回帰ANOVA!$K$19*04_回帰ANOVA!$K$14*SQRT(1+Y1426)</f>
        <v>1.67239760569756</v>
      </c>
      <c r="AA1426" s="0" t="n">
        <f aca="false">X1426-Z1426</f>
        <v>41.6637866048288</v>
      </c>
      <c r="AB1426" s="0" t="n">
        <f aca="false">X1426+Z1426</f>
        <v>45.0085818162239</v>
      </c>
      <c r="AC1426" s="54" t="b">
        <f aca="false">AND(E1426&gt;=01_因子設定!$L$5-0.000000001,E1426&lt;=01_因子設定!$M$5+0.000000001,F1426&gt;=01_因子設定!$L$6-0.000000001,F1426&lt;=01_因子設定!$M$6+0.000000001,G1426&gt;=01_因子設定!$L$7-0.000000001,G1426&lt;=01_因子設定!$M$7+0.000000001,H1426&gt;=01_因子設定!$L$8-0.000000001,H1426&lt;=01_因子設定!$M$8+0.000000001,IF(01_因子設定!$B$20="Box-Behnken",E1426^2+F1426^2+G1426^2+H1426^2&lt;=2+0.000000001,TRUE()))</f>
        <v>1</v>
      </c>
      <c r="AD1426" s="55" t="n">
        <f aca="false">IF(AC1426,IF(01_因子設定!$B$13="最大化",AA1426-01_因子設定!$B$14,IF(01_因子設定!$B$13="最小化",01_因子設定!$B$15-AB1426,MIN(AA1426-01_因子設定!$B$14,01_因子設定!$B$15-AB1426))),-1E+030)</f>
        <v>-4.83621339517122</v>
      </c>
      <c r="AE1426" s="55" t="n">
        <f aca="false">IF(AC1426,IF(01_因子設定!$B$13="最大化",X1426,IF(01_因子設定!$B$13="最小化",-X1426,-ABS(X1426-01_因子設定!$B$16))),-1E+030)</f>
        <v>43.3361842105263</v>
      </c>
      <c r="AF1426" s="55" t="n">
        <f aca="false">AD1426+ROW()*0.000000001</f>
        <v>-4.83621196917122</v>
      </c>
      <c r="AG1426" s="55" t="n">
        <f aca="false">AE1426+ROW()*0.000000001</f>
        <v>43.3361856365263</v>
      </c>
    </row>
    <row r="1427" customFormat="false" ht="15" hidden="false" customHeight="false" outlineLevel="0" collapsed="false">
      <c r="A1427" s="0" t="n">
        <v>1</v>
      </c>
      <c r="B1427" s="0" t="n">
        <v>8</v>
      </c>
      <c r="C1427" s="0" t="n">
        <v>5</v>
      </c>
      <c r="D1427" s="0" t="n">
        <v>0</v>
      </c>
      <c r="E1427" s="0" t="n">
        <f aca="false">-1+A1427*0.25</f>
        <v>-0.75</v>
      </c>
      <c r="F1427" s="0" t="n">
        <f aca="false">-1+B1427*0.25</f>
        <v>1</v>
      </c>
      <c r="G1427" s="0" t="n">
        <f aca="false">-1+C1427*0.25</f>
        <v>0.25</v>
      </c>
      <c r="H1427" s="0" t="n">
        <f aca="false">-1+D1427*0.25</f>
        <v>-1</v>
      </c>
      <c r="I1427" s="0" t="n">
        <f aca="false">1</f>
        <v>1</v>
      </c>
      <c r="J1427" s="0" t="n">
        <f aca="false">E1427</f>
        <v>-0.75</v>
      </c>
      <c r="K1427" s="0" t="n">
        <f aca="false">F1427</f>
        <v>1</v>
      </c>
      <c r="L1427" s="0" t="n">
        <f aca="false">G1427</f>
        <v>0.25</v>
      </c>
      <c r="M1427" s="0" t="n">
        <f aca="false">H1427</f>
        <v>-1</v>
      </c>
      <c r="N1427" s="0" t="n">
        <f aca="false">E1427*F1427</f>
        <v>-0.75</v>
      </c>
      <c r="O1427" s="0" t="n">
        <f aca="false">E1427*G1427</f>
        <v>-0.1875</v>
      </c>
      <c r="P1427" s="0" t="n">
        <f aca="false">E1427*H1427</f>
        <v>0.75</v>
      </c>
      <c r="Q1427" s="0" t="n">
        <f aca="false">F1427*G1427</f>
        <v>0.25</v>
      </c>
      <c r="R1427" s="0" t="n">
        <f aca="false">F1427*H1427</f>
        <v>-1</v>
      </c>
      <c r="S1427" s="0" t="n">
        <f aca="false">G1427*H1427</f>
        <v>-0.25</v>
      </c>
      <c r="T1427" s="0" t="n">
        <f aca="false">E1427*E1427</f>
        <v>0.5625</v>
      </c>
      <c r="U1427" s="0" t="n">
        <f aca="false">F1427*F1427</f>
        <v>1</v>
      </c>
      <c r="V1427" s="0" t="n">
        <f aca="false">G1427*G1427</f>
        <v>0.0625</v>
      </c>
      <c r="W1427" s="0" t="n">
        <f aca="false">H1427*H1427</f>
        <v>1</v>
      </c>
      <c r="X1427" s="0" t="n">
        <f aca="false">SUMPRODUCT(I1427:W1427,_XtX!$B$96:$P$96)</f>
        <v>43.4688779239766</v>
      </c>
      <c r="Y1427" s="0" t="n">
        <f aca="false">SUMPRODUCT(MMULT(I1427:W1427,_XtX!$B$78:$P$92),I1427:W1427)</f>
        <v>0.621372155975877</v>
      </c>
      <c r="Z1427" s="0" t="n">
        <f aca="false">04_回帰ANOVA!$K$19*04_回帰ANOVA!$K$14*SQRT(1+Y1427)</f>
        <v>1.65973880499872</v>
      </c>
      <c r="AA1427" s="0" t="n">
        <f aca="false">X1427-Z1427</f>
        <v>41.8091391189779</v>
      </c>
      <c r="AB1427" s="0" t="n">
        <f aca="false">X1427+Z1427</f>
        <v>45.1286167289754</v>
      </c>
      <c r="AC1427" s="54" t="b">
        <f aca="false">AND(E1427&gt;=01_因子設定!$L$5-0.000000001,E1427&lt;=01_因子設定!$M$5+0.000000001,F1427&gt;=01_因子設定!$L$6-0.000000001,F1427&lt;=01_因子設定!$M$6+0.000000001,G1427&gt;=01_因子設定!$L$7-0.000000001,G1427&lt;=01_因子設定!$M$7+0.000000001,H1427&gt;=01_因子設定!$L$8-0.000000001,H1427&lt;=01_因子設定!$M$8+0.000000001,IF(01_因子設定!$B$20="Box-Behnken",E1427^2+F1427^2+G1427^2+H1427^2&lt;=2+0.000000001,TRUE()))</f>
        <v>1</v>
      </c>
      <c r="AD1427" s="55" t="n">
        <f aca="false">IF(AC1427,IF(01_因子設定!$B$13="最大化",AA1427-01_因子設定!$B$14,IF(01_因子設定!$B$13="最小化",01_因子設定!$B$15-AB1427,MIN(AA1427-01_因子設定!$B$14,01_因子設定!$B$15-AB1427))),-1E+030)</f>
        <v>-4.69086088102208</v>
      </c>
      <c r="AE1427" s="55" t="n">
        <f aca="false">IF(AC1427,IF(01_因子設定!$B$13="最大化",X1427,IF(01_因子設定!$B$13="最小化",-X1427,-ABS(X1427-01_因子設定!$B$16))),-1E+030)</f>
        <v>43.4688779239766</v>
      </c>
      <c r="AF1427" s="55" t="n">
        <f aca="false">AD1427+ROW()*0.000000001</f>
        <v>-4.69085945402208</v>
      </c>
      <c r="AG1427" s="55" t="n">
        <f aca="false">AE1427+ROW()*0.000000001</f>
        <v>43.4688793509766</v>
      </c>
    </row>
    <row r="1428" customFormat="false" ht="15" hidden="false" customHeight="false" outlineLevel="0" collapsed="false">
      <c r="A1428" s="0" t="n">
        <v>1</v>
      </c>
      <c r="B1428" s="0" t="n">
        <v>8</v>
      </c>
      <c r="C1428" s="0" t="n">
        <v>5</v>
      </c>
      <c r="D1428" s="0" t="n">
        <v>1</v>
      </c>
      <c r="E1428" s="0" t="n">
        <f aca="false">-1+A1428*0.25</f>
        <v>-0.75</v>
      </c>
      <c r="F1428" s="0" t="n">
        <f aca="false">-1+B1428*0.25</f>
        <v>1</v>
      </c>
      <c r="G1428" s="0" t="n">
        <f aca="false">-1+C1428*0.25</f>
        <v>0.25</v>
      </c>
      <c r="H1428" s="0" t="n">
        <f aca="false">-1+D1428*0.25</f>
        <v>-0.75</v>
      </c>
      <c r="I1428" s="0" t="n">
        <f aca="false">1</f>
        <v>1</v>
      </c>
      <c r="J1428" s="0" t="n">
        <f aca="false">E1428</f>
        <v>-0.75</v>
      </c>
      <c r="K1428" s="0" t="n">
        <f aca="false">F1428</f>
        <v>1</v>
      </c>
      <c r="L1428" s="0" t="n">
        <f aca="false">G1428</f>
        <v>0.25</v>
      </c>
      <c r="M1428" s="0" t="n">
        <f aca="false">H1428</f>
        <v>-0.75</v>
      </c>
      <c r="N1428" s="0" t="n">
        <f aca="false">E1428*F1428</f>
        <v>-0.75</v>
      </c>
      <c r="O1428" s="0" t="n">
        <f aca="false">E1428*G1428</f>
        <v>-0.1875</v>
      </c>
      <c r="P1428" s="0" t="n">
        <f aca="false">E1428*H1428</f>
        <v>0.5625</v>
      </c>
      <c r="Q1428" s="0" t="n">
        <f aca="false">F1428*G1428</f>
        <v>0.25</v>
      </c>
      <c r="R1428" s="0" t="n">
        <f aca="false">F1428*H1428</f>
        <v>-0.75</v>
      </c>
      <c r="S1428" s="0" t="n">
        <f aca="false">G1428*H1428</f>
        <v>-0.1875</v>
      </c>
      <c r="T1428" s="0" t="n">
        <f aca="false">E1428*E1428</f>
        <v>0.5625</v>
      </c>
      <c r="U1428" s="0" t="n">
        <f aca="false">F1428*F1428</f>
        <v>1</v>
      </c>
      <c r="V1428" s="0" t="n">
        <f aca="false">G1428*G1428</f>
        <v>0.0625</v>
      </c>
      <c r="W1428" s="0" t="n">
        <f aca="false">H1428*H1428</f>
        <v>0.5625</v>
      </c>
      <c r="X1428" s="0" t="n">
        <f aca="false">SUMPRODUCT(I1428:W1428,_XtX!$B$96:$P$96)</f>
        <v>43.678997624269</v>
      </c>
      <c r="Y1428" s="0" t="n">
        <f aca="false">SUMPRODUCT(MMULT(I1428:W1428,_XtX!$B$78:$P$92),I1428:W1428)</f>
        <v>0.473959761056287</v>
      </c>
      <c r="Z1428" s="0" t="n">
        <f aca="false">04_回帰ANOVA!$K$19*04_回帰ANOVA!$K$14*SQRT(1+Y1428)</f>
        <v>1.58249084588329</v>
      </c>
      <c r="AA1428" s="0" t="n">
        <f aca="false">X1428-Z1428</f>
        <v>42.0965067783857</v>
      </c>
      <c r="AB1428" s="0" t="n">
        <f aca="false">X1428+Z1428</f>
        <v>45.2614884701523</v>
      </c>
      <c r="AC1428" s="54" t="b">
        <f aca="false">AND(E1428&gt;=01_因子設定!$L$5-0.000000001,E1428&lt;=01_因子設定!$M$5+0.000000001,F1428&gt;=01_因子設定!$L$6-0.000000001,F1428&lt;=01_因子設定!$M$6+0.000000001,G1428&gt;=01_因子設定!$L$7-0.000000001,G1428&lt;=01_因子設定!$M$7+0.000000001,H1428&gt;=01_因子設定!$L$8-0.000000001,H1428&lt;=01_因子設定!$M$8+0.000000001,IF(01_因子設定!$B$20="Box-Behnken",E1428^2+F1428^2+G1428^2+H1428^2&lt;=2+0.000000001,TRUE()))</f>
        <v>1</v>
      </c>
      <c r="AD1428" s="55" t="n">
        <f aca="false">IF(AC1428,IF(01_因子設定!$B$13="最大化",AA1428-01_因子設定!$B$14,IF(01_因子設定!$B$13="最小化",01_因子設定!$B$15-AB1428,MIN(AA1428-01_因子設定!$B$14,01_因子設定!$B$15-AB1428))),-1E+030)</f>
        <v>-4.40349322161427</v>
      </c>
      <c r="AE1428" s="55" t="n">
        <f aca="false">IF(AC1428,IF(01_因子設定!$B$13="最大化",X1428,IF(01_因子設定!$B$13="最小化",-X1428,-ABS(X1428-01_因子設定!$B$16))),-1E+030)</f>
        <v>43.678997624269</v>
      </c>
      <c r="AF1428" s="55" t="n">
        <f aca="false">AD1428+ROW()*0.000000001</f>
        <v>-4.40349179361427</v>
      </c>
      <c r="AG1428" s="55" t="n">
        <f aca="false">AE1428+ROW()*0.000000001</f>
        <v>43.678999052269</v>
      </c>
    </row>
    <row r="1429" customFormat="false" ht="15" hidden="false" customHeight="false" outlineLevel="0" collapsed="false">
      <c r="A1429" s="0" t="n">
        <v>1</v>
      </c>
      <c r="B1429" s="0" t="n">
        <v>8</v>
      </c>
      <c r="C1429" s="0" t="n">
        <v>5</v>
      </c>
      <c r="D1429" s="0" t="n">
        <v>2</v>
      </c>
      <c r="E1429" s="0" t="n">
        <f aca="false">-1+A1429*0.25</f>
        <v>-0.75</v>
      </c>
      <c r="F1429" s="0" t="n">
        <f aca="false">-1+B1429*0.25</f>
        <v>1</v>
      </c>
      <c r="G1429" s="0" t="n">
        <f aca="false">-1+C1429*0.25</f>
        <v>0.25</v>
      </c>
      <c r="H1429" s="0" t="n">
        <f aca="false">-1+D1429*0.25</f>
        <v>-0.5</v>
      </c>
      <c r="I1429" s="0" t="n">
        <f aca="false">1</f>
        <v>1</v>
      </c>
      <c r="J1429" s="0" t="n">
        <f aca="false">E1429</f>
        <v>-0.75</v>
      </c>
      <c r="K1429" s="0" t="n">
        <f aca="false">F1429</f>
        <v>1</v>
      </c>
      <c r="L1429" s="0" t="n">
        <f aca="false">G1429</f>
        <v>0.25</v>
      </c>
      <c r="M1429" s="0" t="n">
        <f aca="false">H1429</f>
        <v>-0.5</v>
      </c>
      <c r="N1429" s="0" t="n">
        <f aca="false">E1429*F1429</f>
        <v>-0.75</v>
      </c>
      <c r="O1429" s="0" t="n">
        <f aca="false">E1429*G1429</f>
        <v>-0.1875</v>
      </c>
      <c r="P1429" s="0" t="n">
        <f aca="false">E1429*H1429</f>
        <v>0.375</v>
      </c>
      <c r="Q1429" s="0" t="n">
        <f aca="false">F1429*G1429</f>
        <v>0.25</v>
      </c>
      <c r="R1429" s="0" t="n">
        <f aca="false">F1429*H1429</f>
        <v>-0.5</v>
      </c>
      <c r="S1429" s="0" t="n">
        <f aca="false">G1429*H1429</f>
        <v>-0.125</v>
      </c>
      <c r="T1429" s="0" t="n">
        <f aca="false">E1429*E1429</f>
        <v>0.5625</v>
      </c>
      <c r="U1429" s="0" t="n">
        <f aca="false">F1429*F1429</f>
        <v>1</v>
      </c>
      <c r="V1429" s="0" t="n">
        <f aca="false">G1429*G1429</f>
        <v>0.0625</v>
      </c>
      <c r="W1429" s="0" t="n">
        <f aca="false">H1429*H1429</f>
        <v>0.25</v>
      </c>
      <c r="X1429" s="0" t="n">
        <f aca="false">SUMPRODUCT(I1429:W1429,_XtX!$B$96:$P$96)</f>
        <v>43.8413103070175</v>
      </c>
      <c r="Y1429" s="0" t="n">
        <f aca="false">SUMPRODUCT(MMULT(I1429:W1429,_XtX!$B$78:$P$92),I1429:W1429)</f>
        <v>0.459125719572369</v>
      </c>
      <c r="Z1429" s="0" t="n">
        <f aca="false">04_回帰ANOVA!$K$19*04_回帰ANOVA!$K$14*SQRT(1+Y1429)</f>
        <v>1.57450755575573</v>
      </c>
      <c r="AA1429" s="0" t="n">
        <f aca="false">X1429-Z1429</f>
        <v>42.2668027512618</v>
      </c>
      <c r="AB1429" s="0" t="n">
        <f aca="false">X1429+Z1429</f>
        <v>45.4158178627733</v>
      </c>
      <c r="AC1429" s="54" t="b">
        <f aca="false">AND(E1429&gt;=01_因子設定!$L$5-0.000000001,E1429&lt;=01_因子設定!$M$5+0.000000001,F1429&gt;=01_因子設定!$L$6-0.000000001,F1429&lt;=01_因子設定!$M$6+0.000000001,G1429&gt;=01_因子設定!$L$7-0.000000001,G1429&lt;=01_因子設定!$M$7+0.000000001,H1429&gt;=01_因子設定!$L$8-0.000000001,H1429&lt;=01_因子設定!$M$8+0.000000001,IF(01_因子設定!$B$20="Box-Behnken",E1429^2+F1429^2+G1429^2+H1429^2&lt;=2+0.000000001,TRUE()))</f>
        <v>1</v>
      </c>
      <c r="AD1429" s="55" t="n">
        <f aca="false">IF(AC1429,IF(01_因子設定!$B$13="最大化",AA1429-01_因子設定!$B$14,IF(01_因子設定!$B$13="最小化",01_因子設定!$B$15-AB1429,MIN(AA1429-01_因子設定!$B$14,01_因子設定!$B$15-AB1429))),-1E+030)</f>
        <v>-4.23319724873819</v>
      </c>
      <c r="AE1429" s="55" t="n">
        <f aca="false">IF(AC1429,IF(01_因子設定!$B$13="最大化",X1429,IF(01_因子設定!$B$13="最小化",-X1429,-ABS(X1429-01_因子設定!$B$16))),-1E+030)</f>
        <v>43.8413103070175</v>
      </c>
      <c r="AF1429" s="55" t="n">
        <f aca="false">AD1429+ROW()*0.000000001</f>
        <v>-4.23319581973819</v>
      </c>
      <c r="AG1429" s="55" t="n">
        <f aca="false">AE1429+ROW()*0.000000001</f>
        <v>43.8413117360175</v>
      </c>
    </row>
    <row r="1430" customFormat="false" ht="15" hidden="false" customHeight="false" outlineLevel="0" collapsed="false">
      <c r="A1430" s="0" t="n">
        <v>1</v>
      </c>
      <c r="B1430" s="0" t="n">
        <v>8</v>
      </c>
      <c r="C1430" s="0" t="n">
        <v>5</v>
      </c>
      <c r="D1430" s="0" t="n">
        <v>3</v>
      </c>
      <c r="E1430" s="0" t="n">
        <f aca="false">-1+A1430*0.25</f>
        <v>-0.75</v>
      </c>
      <c r="F1430" s="0" t="n">
        <f aca="false">-1+B1430*0.25</f>
        <v>1</v>
      </c>
      <c r="G1430" s="0" t="n">
        <f aca="false">-1+C1430*0.25</f>
        <v>0.25</v>
      </c>
      <c r="H1430" s="0" t="n">
        <f aca="false">-1+D1430*0.25</f>
        <v>-0.25</v>
      </c>
      <c r="I1430" s="0" t="n">
        <f aca="false">1</f>
        <v>1</v>
      </c>
      <c r="J1430" s="0" t="n">
        <f aca="false">E1430</f>
        <v>-0.75</v>
      </c>
      <c r="K1430" s="0" t="n">
        <f aca="false">F1430</f>
        <v>1</v>
      </c>
      <c r="L1430" s="0" t="n">
        <f aca="false">G1430</f>
        <v>0.25</v>
      </c>
      <c r="M1430" s="0" t="n">
        <f aca="false">H1430</f>
        <v>-0.25</v>
      </c>
      <c r="N1430" s="0" t="n">
        <f aca="false">E1430*F1430</f>
        <v>-0.75</v>
      </c>
      <c r="O1430" s="0" t="n">
        <f aca="false">E1430*G1430</f>
        <v>-0.1875</v>
      </c>
      <c r="P1430" s="0" t="n">
        <f aca="false">E1430*H1430</f>
        <v>0.1875</v>
      </c>
      <c r="Q1430" s="0" t="n">
        <f aca="false">F1430*G1430</f>
        <v>0.25</v>
      </c>
      <c r="R1430" s="0" t="n">
        <f aca="false">F1430*H1430</f>
        <v>-0.25</v>
      </c>
      <c r="S1430" s="0" t="n">
        <f aca="false">G1430*H1430</f>
        <v>-0.0625</v>
      </c>
      <c r="T1430" s="0" t="n">
        <f aca="false">E1430*E1430</f>
        <v>0.5625</v>
      </c>
      <c r="U1430" s="0" t="n">
        <f aca="false">F1430*F1430</f>
        <v>1</v>
      </c>
      <c r="V1430" s="0" t="n">
        <f aca="false">G1430*G1430</f>
        <v>0.0625</v>
      </c>
      <c r="W1430" s="0" t="n">
        <f aca="false">H1430*H1430</f>
        <v>0.0625</v>
      </c>
      <c r="X1430" s="0" t="n">
        <f aca="false">SUMPRODUCT(I1430:W1430,_XtX!$B$96:$P$96)</f>
        <v>43.9558159722222</v>
      </c>
      <c r="Y1430" s="0" t="n">
        <f aca="false">SUMPRODUCT(MMULT(I1430:W1430,_XtX!$B$78:$P$92),I1430:W1430)</f>
        <v>0.486409505208334</v>
      </c>
      <c r="Z1430" s="0" t="n">
        <f aca="false">04_回帰ANOVA!$K$19*04_回帰ANOVA!$K$14*SQRT(1+Y1430)</f>
        <v>1.58916001665498</v>
      </c>
      <c r="AA1430" s="0" t="n">
        <f aca="false">X1430-Z1430</f>
        <v>42.3666559555672</v>
      </c>
      <c r="AB1430" s="0" t="n">
        <f aca="false">X1430+Z1430</f>
        <v>45.5449759888772</v>
      </c>
      <c r="AC1430" s="54" t="b">
        <f aca="false">AND(E1430&gt;=01_因子設定!$L$5-0.000000001,E1430&lt;=01_因子設定!$M$5+0.000000001,F1430&gt;=01_因子設定!$L$6-0.000000001,F1430&lt;=01_因子設定!$M$6+0.000000001,G1430&gt;=01_因子設定!$L$7-0.000000001,G1430&lt;=01_因子設定!$M$7+0.000000001,H1430&gt;=01_因子設定!$L$8-0.000000001,H1430&lt;=01_因子設定!$M$8+0.000000001,IF(01_因子設定!$B$20="Box-Behnken",E1430^2+F1430^2+G1430^2+H1430^2&lt;=2+0.000000001,TRUE()))</f>
        <v>1</v>
      </c>
      <c r="AD1430" s="55" t="n">
        <f aca="false">IF(AC1430,IF(01_因子設定!$B$13="最大化",AA1430-01_因子設定!$B$14,IF(01_因子設定!$B$13="最小化",01_因子設定!$B$15-AB1430,MIN(AA1430-01_因子設定!$B$14,01_因子設定!$B$15-AB1430))),-1E+030)</f>
        <v>-4.13334404443277</v>
      </c>
      <c r="AE1430" s="55" t="n">
        <f aca="false">IF(AC1430,IF(01_因子設定!$B$13="最大化",X1430,IF(01_因子設定!$B$13="最小化",-X1430,-ABS(X1430-01_因子設定!$B$16))),-1E+030)</f>
        <v>43.9558159722222</v>
      </c>
      <c r="AF1430" s="55" t="n">
        <f aca="false">AD1430+ROW()*0.000000001</f>
        <v>-4.13334261443277</v>
      </c>
      <c r="AG1430" s="55" t="n">
        <f aca="false">AE1430+ROW()*0.000000001</f>
        <v>43.9558174022222</v>
      </c>
    </row>
    <row r="1431" customFormat="false" ht="15" hidden="false" customHeight="false" outlineLevel="0" collapsed="false">
      <c r="A1431" s="0" t="n">
        <v>1</v>
      </c>
      <c r="B1431" s="0" t="n">
        <v>8</v>
      </c>
      <c r="C1431" s="0" t="n">
        <v>5</v>
      </c>
      <c r="D1431" s="0" t="n">
        <v>4</v>
      </c>
      <c r="E1431" s="0" t="n">
        <f aca="false">-1+A1431*0.25</f>
        <v>-0.75</v>
      </c>
      <c r="F1431" s="0" t="n">
        <f aca="false">-1+B1431*0.25</f>
        <v>1</v>
      </c>
      <c r="G1431" s="0" t="n">
        <f aca="false">-1+C1431*0.25</f>
        <v>0.25</v>
      </c>
      <c r="H1431" s="0" t="n">
        <f aca="false">-1+D1431*0.25</f>
        <v>0</v>
      </c>
      <c r="I1431" s="0" t="n">
        <f aca="false">1</f>
        <v>1</v>
      </c>
      <c r="J1431" s="0" t="n">
        <f aca="false">E1431</f>
        <v>-0.75</v>
      </c>
      <c r="K1431" s="0" t="n">
        <f aca="false">F1431</f>
        <v>1</v>
      </c>
      <c r="L1431" s="0" t="n">
        <f aca="false">G1431</f>
        <v>0.25</v>
      </c>
      <c r="M1431" s="0" t="n">
        <f aca="false">H1431</f>
        <v>0</v>
      </c>
      <c r="N1431" s="0" t="n">
        <f aca="false">E1431*F1431</f>
        <v>-0.75</v>
      </c>
      <c r="O1431" s="0" t="n">
        <f aca="false">E1431*G1431</f>
        <v>-0.1875</v>
      </c>
      <c r="P1431" s="0" t="n">
        <f aca="false">E1431*H1431</f>
        <v>-0</v>
      </c>
      <c r="Q1431" s="0" t="n">
        <f aca="false">F1431*G1431</f>
        <v>0.25</v>
      </c>
      <c r="R1431" s="0" t="n">
        <f aca="false">F1431*H1431</f>
        <v>0</v>
      </c>
      <c r="S1431" s="0" t="n">
        <f aca="false">G1431*H1431</f>
        <v>0</v>
      </c>
      <c r="T1431" s="0" t="n">
        <f aca="false">E1431*E1431</f>
        <v>0.5625</v>
      </c>
      <c r="U1431" s="0" t="n">
        <f aca="false">F1431*F1431</f>
        <v>1</v>
      </c>
      <c r="V1431" s="0" t="n">
        <f aca="false">G1431*G1431</f>
        <v>0.0625</v>
      </c>
      <c r="W1431" s="0" t="n">
        <f aca="false">H1431*H1431</f>
        <v>0</v>
      </c>
      <c r="X1431" s="0" t="n">
        <f aca="false">SUMPRODUCT(I1431:W1431,_XtX!$B$96:$P$96)</f>
        <v>44.022514619883</v>
      </c>
      <c r="Y1431" s="0" t="n">
        <f aca="false">SUMPRODUCT(MMULT(I1431:W1431,_XtX!$B$78:$P$92),I1431:W1431)</f>
        <v>0.501534802174708</v>
      </c>
      <c r="Z1431" s="0" t="n">
        <f aca="false">04_回帰ANOVA!$K$19*04_回帰ANOVA!$K$14*SQRT(1+Y1431)</f>
        <v>1.59722498091333</v>
      </c>
      <c r="AA1431" s="0" t="n">
        <f aca="false">X1431-Z1431</f>
        <v>42.4252896389697</v>
      </c>
      <c r="AB1431" s="0" t="n">
        <f aca="false">X1431+Z1431</f>
        <v>45.6197396007964</v>
      </c>
      <c r="AC1431" s="54" t="b">
        <f aca="false">AND(E1431&gt;=01_因子設定!$L$5-0.000000001,E1431&lt;=01_因子設定!$M$5+0.000000001,F1431&gt;=01_因子設定!$L$6-0.000000001,F1431&lt;=01_因子設定!$M$6+0.000000001,G1431&gt;=01_因子設定!$L$7-0.000000001,G1431&lt;=01_因子設定!$M$7+0.000000001,H1431&gt;=01_因子設定!$L$8-0.000000001,H1431&lt;=01_因子設定!$M$8+0.000000001,IF(01_因子設定!$B$20="Box-Behnken",E1431^2+F1431^2+G1431^2+H1431^2&lt;=2+0.000000001,TRUE()))</f>
        <v>1</v>
      </c>
      <c r="AD1431" s="55" t="n">
        <f aca="false">IF(AC1431,IF(01_因子設定!$B$13="最大化",AA1431-01_因子設定!$B$14,IF(01_因子設定!$B$13="最小化",01_因子設定!$B$15-AB1431,MIN(AA1431-01_因子設定!$B$14,01_因子設定!$B$15-AB1431))),-1E+030)</f>
        <v>-4.07471036103031</v>
      </c>
      <c r="AE1431" s="55" t="n">
        <f aca="false">IF(AC1431,IF(01_因子設定!$B$13="最大化",X1431,IF(01_因子設定!$B$13="最小化",-X1431,-ABS(X1431-01_因子設定!$B$16))),-1E+030)</f>
        <v>44.022514619883</v>
      </c>
      <c r="AF1431" s="55" t="n">
        <f aca="false">AD1431+ROW()*0.000000001</f>
        <v>-4.07470893003031</v>
      </c>
      <c r="AG1431" s="55" t="n">
        <f aca="false">AE1431+ROW()*0.000000001</f>
        <v>44.022516050883</v>
      </c>
    </row>
    <row r="1432" customFormat="false" ht="15" hidden="false" customHeight="false" outlineLevel="0" collapsed="false">
      <c r="A1432" s="0" t="n">
        <v>1</v>
      </c>
      <c r="B1432" s="0" t="n">
        <v>8</v>
      </c>
      <c r="C1432" s="0" t="n">
        <v>5</v>
      </c>
      <c r="D1432" s="0" t="n">
        <v>5</v>
      </c>
      <c r="E1432" s="0" t="n">
        <f aca="false">-1+A1432*0.25</f>
        <v>-0.75</v>
      </c>
      <c r="F1432" s="0" t="n">
        <f aca="false">-1+B1432*0.25</f>
        <v>1</v>
      </c>
      <c r="G1432" s="0" t="n">
        <f aca="false">-1+C1432*0.25</f>
        <v>0.25</v>
      </c>
      <c r="H1432" s="0" t="n">
        <f aca="false">-1+D1432*0.25</f>
        <v>0.25</v>
      </c>
      <c r="I1432" s="0" t="n">
        <f aca="false">1</f>
        <v>1</v>
      </c>
      <c r="J1432" s="0" t="n">
        <f aca="false">E1432</f>
        <v>-0.75</v>
      </c>
      <c r="K1432" s="0" t="n">
        <f aca="false">F1432</f>
        <v>1</v>
      </c>
      <c r="L1432" s="0" t="n">
        <f aca="false">G1432</f>
        <v>0.25</v>
      </c>
      <c r="M1432" s="0" t="n">
        <f aca="false">H1432</f>
        <v>0.25</v>
      </c>
      <c r="N1432" s="0" t="n">
        <f aca="false">E1432*F1432</f>
        <v>-0.75</v>
      </c>
      <c r="O1432" s="0" t="n">
        <f aca="false">E1432*G1432</f>
        <v>-0.1875</v>
      </c>
      <c r="P1432" s="0" t="n">
        <f aca="false">E1432*H1432</f>
        <v>-0.1875</v>
      </c>
      <c r="Q1432" s="0" t="n">
        <f aca="false">F1432*G1432</f>
        <v>0.25</v>
      </c>
      <c r="R1432" s="0" t="n">
        <f aca="false">F1432*H1432</f>
        <v>0.25</v>
      </c>
      <c r="S1432" s="0" t="n">
        <f aca="false">G1432*H1432</f>
        <v>0.0625</v>
      </c>
      <c r="T1432" s="0" t="n">
        <f aca="false">E1432*E1432</f>
        <v>0.5625</v>
      </c>
      <c r="U1432" s="0" t="n">
        <f aca="false">F1432*F1432</f>
        <v>1</v>
      </c>
      <c r="V1432" s="0" t="n">
        <f aca="false">G1432*G1432</f>
        <v>0.0625</v>
      </c>
      <c r="W1432" s="0" t="n">
        <f aca="false">H1432*H1432</f>
        <v>0.0625</v>
      </c>
      <c r="X1432" s="0" t="n">
        <f aca="false">SUMPRODUCT(I1432:W1432,_XtX!$B$96:$P$96)</f>
        <v>44.04140625</v>
      </c>
      <c r="Y1432" s="0" t="n">
        <f aca="false">SUMPRODUCT(MMULT(I1432:W1432,_XtX!$B$78:$P$92),I1432:W1432)</f>
        <v>0.486409505208334</v>
      </c>
      <c r="Z1432" s="0" t="n">
        <f aca="false">04_回帰ANOVA!$K$19*04_回帰ANOVA!$K$14*SQRT(1+Y1432)</f>
        <v>1.58916001665498</v>
      </c>
      <c r="AA1432" s="0" t="n">
        <f aca="false">X1432-Z1432</f>
        <v>42.452246233345</v>
      </c>
      <c r="AB1432" s="0" t="n">
        <f aca="false">X1432+Z1432</f>
        <v>45.630566266655</v>
      </c>
      <c r="AC1432" s="54" t="b">
        <f aca="false">AND(E1432&gt;=01_因子設定!$L$5-0.000000001,E1432&lt;=01_因子設定!$M$5+0.000000001,F1432&gt;=01_因子設定!$L$6-0.000000001,F1432&lt;=01_因子設定!$M$6+0.000000001,G1432&gt;=01_因子設定!$L$7-0.000000001,G1432&lt;=01_因子設定!$M$7+0.000000001,H1432&gt;=01_因子設定!$L$8-0.000000001,H1432&lt;=01_因子設定!$M$8+0.000000001,IF(01_因子設定!$B$20="Box-Behnken",E1432^2+F1432^2+G1432^2+H1432^2&lt;=2+0.000000001,TRUE()))</f>
        <v>1</v>
      </c>
      <c r="AD1432" s="55" t="n">
        <f aca="false">IF(AC1432,IF(01_因子設定!$B$13="最大化",AA1432-01_因子設定!$B$14,IF(01_因子設定!$B$13="最小化",01_因子設定!$B$15-AB1432,MIN(AA1432-01_因子設定!$B$14,01_因子設定!$B$15-AB1432))),-1E+030)</f>
        <v>-4.04775376665499</v>
      </c>
      <c r="AE1432" s="55" t="n">
        <f aca="false">IF(AC1432,IF(01_因子設定!$B$13="最大化",X1432,IF(01_因子設定!$B$13="最小化",-X1432,-ABS(X1432-01_因子設定!$B$16))),-1E+030)</f>
        <v>44.04140625</v>
      </c>
      <c r="AF1432" s="55" t="n">
        <f aca="false">AD1432+ROW()*0.000000001</f>
        <v>-4.04775233465499</v>
      </c>
      <c r="AG1432" s="55" t="n">
        <f aca="false">AE1432+ROW()*0.000000001</f>
        <v>44.041407682</v>
      </c>
    </row>
    <row r="1433" customFormat="false" ht="15" hidden="false" customHeight="false" outlineLevel="0" collapsed="false">
      <c r="A1433" s="0" t="n">
        <v>1</v>
      </c>
      <c r="B1433" s="0" t="n">
        <v>8</v>
      </c>
      <c r="C1433" s="0" t="n">
        <v>5</v>
      </c>
      <c r="D1433" s="0" t="n">
        <v>6</v>
      </c>
      <c r="E1433" s="0" t="n">
        <f aca="false">-1+A1433*0.25</f>
        <v>-0.75</v>
      </c>
      <c r="F1433" s="0" t="n">
        <f aca="false">-1+B1433*0.25</f>
        <v>1</v>
      </c>
      <c r="G1433" s="0" t="n">
        <f aca="false">-1+C1433*0.25</f>
        <v>0.25</v>
      </c>
      <c r="H1433" s="0" t="n">
        <f aca="false">-1+D1433*0.25</f>
        <v>0.5</v>
      </c>
      <c r="I1433" s="0" t="n">
        <f aca="false">1</f>
        <v>1</v>
      </c>
      <c r="J1433" s="0" t="n">
        <f aca="false">E1433</f>
        <v>-0.75</v>
      </c>
      <c r="K1433" s="0" t="n">
        <f aca="false">F1433</f>
        <v>1</v>
      </c>
      <c r="L1433" s="0" t="n">
        <f aca="false">G1433</f>
        <v>0.25</v>
      </c>
      <c r="M1433" s="0" t="n">
        <f aca="false">H1433</f>
        <v>0.5</v>
      </c>
      <c r="N1433" s="0" t="n">
        <f aca="false">E1433*F1433</f>
        <v>-0.75</v>
      </c>
      <c r="O1433" s="0" t="n">
        <f aca="false">E1433*G1433</f>
        <v>-0.1875</v>
      </c>
      <c r="P1433" s="0" t="n">
        <f aca="false">E1433*H1433</f>
        <v>-0.375</v>
      </c>
      <c r="Q1433" s="0" t="n">
        <f aca="false">F1433*G1433</f>
        <v>0.25</v>
      </c>
      <c r="R1433" s="0" t="n">
        <f aca="false">F1433*H1433</f>
        <v>0.5</v>
      </c>
      <c r="S1433" s="0" t="n">
        <f aca="false">G1433*H1433</f>
        <v>0.125</v>
      </c>
      <c r="T1433" s="0" t="n">
        <f aca="false">E1433*E1433</f>
        <v>0.5625</v>
      </c>
      <c r="U1433" s="0" t="n">
        <f aca="false">F1433*F1433</f>
        <v>1</v>
      </c>
      <c r="V1433" s="0" t="n">
        <f aca="false">G1433*G1433</f>
        <v>0.0625</v>
      </c>
      <c r="W1433" s="0" t="n">
        <f aca="false">H1433*H1433</f>
        <v>0.25</v>
      </c>
      <c r="X1433" s="0" t="n">
        <f aca="false">SUMPRODUCT(I1433:W1433,_XtX!$B$96:$P$96)</f>
        <v>44.0124908625731</v>
      </c>
      <c r="Y1433" s="0" t="n">
        <f aca="false">SUMPRODUCT(MMULT(I1433:W1433,_XtX!$B$78:$P$92),I1433:W1433)</f>
        <v>0.459125719572369</v>
      </c>
      <c r="Z1433" s="0" t="n">
        <f aca="false">04_回帰ANOVA!$K$19*04_回帰ANOVA!$K$14*SQRT(1+Y1433)</f>
        <v>1.57450755575573</v>
      </c>
      <c r="AA1433" s="0" t="n">
        <f aca="false">X1433-Z1433</f>
        <v>42.4379833068174</v>
      </c>
      <c r="AB1433" s="0" t="n">
        <f aca="false">X1433+Z1433</f>
        <v>45.5869984183288</v>
      </c>
      <c r="AC1433" s="54" t="b">
        <f aca="false">AND(E1433&gt;=01_因子設定!$L$5-0.000000001,E1433&lt;=01_因子設定!$M$5+0.000000001,F1433&gt;=01_因子設定!$L$6-0.000000001,F1433&lt;=01_因子設定!$M$6+0.000000001,G1433&gt;=01_因子設定!$L$7-0.000000001,G1433&lt;=01_因子設定!$M$7+0.000000001,H1433&gt;=01_因子設定!$L$8-0.000000001,H1433&lt;=01_因子設定!$M$8+0.000000001,IF(01_因子設定!$B$20="Box-Behnken",E1433^2+F1433^2+G1433^2+H1433^2&lt;=2+0.000000001,TRUE()))</f>
        <v>1</v>
      </c>
      <c r="AD1433" s="55" t="n">
        <f aca="false">IF(AC1433,IF(01_因子設定!$B$13="最大化",AA1433-01_因子設定!$B$14,IF(01_因子設定!$B$13="最小化",01_因子設定!$B$15-AB1433,MIN(AA1433-01_因子設定!$B$14,01_因子設定!$B$15-AB1433))),-1E+030)</f>
        <v>-4.06201669318264</v>
      </c>
      <c r="AE1433" s="55" t="n">
        <f aca="false">IF(AC1433,IF(01_因子設定!$B$13="最大化",X1433,IF(01_因子設定!$B$13="最小化",-X1433,-ABS(X1433-01_因子設定!$B$16))),-1E+030)</f>
        <v>44.0124908625731</v>
      </c>
      <c r="AF1433" s="55" t="n">
        <f aca="false">AD1433+ROW()*0.000000001</f>
        <v>-4.06201526018263</v>
      </c>
      <c r="AG1433" s="55" t="n">
        <f aca="false">AE1433+ROW()*0.000000001</f>
        <v>44.0124922955731</v>
      </c>
    </row>
    <row r="1434" customFormat="false" ht="15" hidden="false" customHeight="false" outlineLevel="0" collapsed="false">
      <c r="A1434" s="0" t="n">
        <v>1</v>
      </c>
      <c r="B1434" s="0" t="n">
        <v>8</v>
      </c>
      <c r="C1434" s="0" t="n">
        <v>5</v>
      </c>
      <c r="D1434" s="0" t="n">
        <v>7</v>
      </c>
      <c r="E1434" s="0" t="n">
        <f aca="false">-1+A1434*0.25</f>
        <v>-0.75</v>
      </c>
      <c r="F1434" s="0" t="n">
        <f aca="false">-1+B1434*0.25</f>
        <v>1</v>
      </c>
      <c r="G1434" s="0" t="n">
        <f aca="false">-1+C1434*0.25</f>
        <v>0.25</v>
      </c>
      <c r="H1434" s="0" t="n">
        <f aca="false">-1+D1434*0.25</f>
        <v>0.75</v>
      </c>
      <c r="I1434" s="0" t="n">
        <f aca="false">1</f>
        <v>1</v>
      </c>
      <c r="J1434" s="0" t="n">
        <f aca="false">E1434</f>
        <v>-0.75</v>
      </c>
      <c r="K1434" s="0" t="n">
        <f aca="false">F1434</f>
        <v>1</v>
      </c>
      <c r="L1434" s="0" t="n">
        <f aca="false">G1434</f>
        <v>0.25</v>
      </c>
      <c r="M1434" s="0" t="n">
        <f aca="false">H1434</f>
        <v>0.75</v>
      </c>
      <c r="N1434" s="0" t="n">
        <f aca="false">E1434*F1434</f>
        <v>-0.75</v>
      </c>
      <c r="O1434" s="0" t="n">
        <f aca="false">E1434*G1434</f>
        <v>-0.1875</v>
      </c>
      <c r="P1434" s="0" t="n">
        <f aca="false">E1434*H1434</f>
        <v>-0.5625</v>
      </c>
      <c r="Q1434" s="0" t="n">
        <f aca="false">F1434*G1434</f>
        <v>0.25</v>
      </c>
      <c r="R1434" s="0" t="n">
        <f aca="false">F1434*H1434</f>
        <v>0.75</v>
      </c>
      <c r="S1434" s="0" t="n">
        <f aca="false">G1434*H1434</f>
        <v>0.1875</v>
      </c>
      <c r="T1434" s="0" t="n">
        <f aca="false">E1434*E1434</f>
        <v>0.5625</v>
      </c>
      <c r="U1434" s="0" t="n">
        <f aca="false">F1434*F1434</f>
        <v>1</v>
      </c>
      <c r="V1434" s="0" t="n">
        <f aca="false">G1434*G1434</f>
        <v>0.0625</v>
      </c>
      <c r="W1434" s="0" t="n">
        <f aca="false">H1434*H1434</f>
        <v>0.5625</v>
      </c>
      <c r="X1434" s="0" t="n">
        <f aca="false">SUMPRODUCT(I1434:W1434,_XtX!$B$96:$P$96)</f>
        <v>43.9357684576023</v>
      </c>
      <c r="Y1434" s="0" t="n">
        <f aca="false">SUMPRODUCT(MMULT(I1434:W1434,_XtX!$B$78:$P$92),I1434:W1434)</f>
        <v>0.473959761056287</v>
      </c>
      <c r="Z1434" s="0" t="n">
        <f aca="false">04_回帰ANOVA!$K$19*04_回帰ANOVA!$K$14*SQRT(1+Y1434)</f>
        <v>1.58249084588329</v>
      </c>
      <c r="AA1434" s="0" t="n">
        <f aca="false">X1434-Z1434</f>
        <v>42.3532776117191</v>
      </c>
      <c r="AB1434" s="0" t="n">
        <f aca="false">X1434+Z1434</f>
        <v>45.5182593034856</v>
      </c>
      <c r="AC1434" s="54" t="b">
        <f aca="false">AND(E1434&gt;=01_因子設定!$L$5-0.000000001,E1434&lt;=01_因子設定!$M$5+0.000000001,F1434&gt;=01_因子設定!$L$6-0.000000001,F1434&lt;=01_因子設定!$M$6+0.000000001,G1434&gt;=01_因子設定!$L$7-0.000000001,G1434&lt;=01_因子設定!$M$7+0.000000001,H1434&gt;=01_因子設定!$L$8-0.000000001,H1434&lt;=01_因子設定!$M$8+0.000000001,IF(01_因子設定!$B$20="Box-Behnken",E1434^2+F1434^2+G1434^2+H1434^2&lt;=2+0.000000001,TRUE()))</f>
        <v>1</v>
      </c>
      <c r="AD1434" s="55" t="n">
        <f aca="false">IF(AC1434,IF(01_因子設定!$B$13="最大化",AA1434-01_因子設定!$B$14,IF(01_因子設定!$B$13="最小化",01_因子設定!$B$15-AB1434,MIN(AA1434-01_因子設定!$B$14,01_因子設定!$B$15-AB1434))),-1E+030)</f>
        <v>-4.14672238828094</v>
      </c>
      <c r="AE1434" s="55" t="n">
        <f aca="false">IF(AC1434,IF(01_因子設定!$B$13="最大化",X1434,IF(01_因子設定!$B$13="最小化",-X1434,-ABS(X1434-01_因子設定!$B$16))),-1E+030)</f>
        <v>43.9357684576023</v>
      </c>
      <c r="AF1434" s="55" t="n">
        <f aca="false">AD1434+ROW()*0.000000001</f>
        <v>-4.14672095428094</v>
      </c>
      <c r="AG1434" s="55" t="n">
        <f aca="false">AE1434+ROW()*0.000000001</f>
        <v>43.9357698916023</v>
      </c>
    </row>
    <row r="1435" customFormat="false" ht="15" hidden="false" customHeight="false" outlineLevel="0" collapsed="false">
      <c r="A1435" s="0" t="n">
        <v>1</v>
      </c>
      <c r="B1435" s="0" t="n">
        <v>8</v>
      </c>
      <c r="C1435" s="0" t="n">
        <v>5</v>
      </c>
      <c r="D1435" s="0" t="n">
        <v>8</v>
      </c>
      <c r="E1435" s="0" t="n">
        <f aca="false">-1+A1435*0.25</f>
        <v>-0.75</v>
      </c>
      <c r="F1435" s="0" t="n">
        <f aca="false">-1+B1435*0.25</f>
        <v>1</v>
      </c>
      <c r="G1435" s="0" t="n">
        <f aca="false">-1+C1435*0.25</f>
        <v>0.25</v>
      </c>
      <c r="H1435" s="0" t="n">
        <f aca="false">-1+D1435*0.25</f>
        <v>1</v>
      </c>
      <c r="I1435" s="0" t="n">
        <f aca="false">1</f>
        <v>1</v>
      </c>
      <c r="J1435" s="0" t="n">
        <f aca="false">E1435</f>
        <v>-0.75</v>
      </c>
      <c r="K1435" s="0" t="n">
        <f aca="false">F1435</f>
        <v>1</v>
      </c>
      <c r="L1435" s="0" t="n">
        <f aca="false">G1435</f>
        <v>0.25</v>
      </c>
      <c r="M1435" s="0" t="n">
        <f aca="false">H1435</f>
        <v>1</v>
      </c>
      <c r="N1435" s="0" t="n">
        <f aca="false">E1435*F1435</f>
        <v>-0.75</v>
      </c>
      <c r="O1435" s="0" t="n">
        <f aca="false">E1435*G1435</f>
        <v>-0.1875</v>
      </c>
      <c r="P1435" s="0" t="n">
        <f aca="false">E1435*H1435</f>
        <v>-0.75</v>
      </c>
      <c r="Q1435" s="0" t="n">
        <f aca="false">F1435*G1435</f>
        <v>0.25</v>
      </c>
      <c r="R1435" s="0" t="n">
        <f aca="false">F1435*H1435</f>
        <v>1</v>
      </c>
      <c r="S1435" s="0" t="n">
        <f aca="false">G1435*H1435</f>
        <v>0.25</v>
      </c>
      <c r="T1435" s="0" t="n">
        <f aca="false">E1435*E1435</f>
        <v>0.5625</v>
      </c>
      <c r="U1435" s="0" t="n">
        <f aca="false">F1435*F1435</f>
        <v>1</v>
      </c>
      <c r="V1435" s="0" t="n">
        <f aca="false">G1435*G1435</f>
        <v>0.0625</v>
      </c>
      <c r="W1435" s="0" t="n">
        <f aca="false">H1435*H1435</f>
        <v>1</v>
      </c>
      <c r="X1435" s="0" t="n">
        <f aca="false">SUMPRODUCT(I1435:W1435,_XtX!$B$96:$P$96)</f>
        <v>43.8112390350877</v>
      </c>
      <c r="Y1435" s="0" t="n">
        <f aca="false">SUMPRODUCT(MMULT(I1435:W1435,_XtX!$B$78:$P$92),I1435:W1435)</f>
        <v>0.621372155975877</v>
      </c>
      <c r="Z1435" s="0" t="n">
        <f aca="false">04_回帰ANOVA!$K$19*04_回帰ANOVA!$K$14*SQRT(1+Y1435)</f>
        <v>1.65973880499872</v>
      </c>
      <c r="AA1435" s="0" t="n">
        <f aca="false">X1435-Z1435</f>
        <v>42.151500230089</v>
      </c>
      <c r="AB1435" s="0" t="n">
        <f aca="false">X1435+Z1435</f>
        <v>45.4709778400865</v>
      </c>
      <c r="AC1435" s="54" t="b">
        <f aca="false">AND(E1435&gt;=01_因子設定!$L$5-0.000000001,E1435&lt;=01_因子設定!$M$5+0.000000001,F1435&gt;=01_因子設定!$L$6-0.000000001,F1435&lt;=01_因子設定!$M$6+0.000000001,G1435&gt;=01_因子設定!$L$7-0.000000001,G1435&lt;=01_因子設定!$M$7+0.000000001,H1435&gt;=01_因子設定!$L$8-0.000000001,H1435&lt;=01_因子設定!$M$8+0.000000001,IF(01_因子設定!$B$20="Box-Behnken",E1435^2+F1435^2+G1435^2+H1435^2&lt;=2+0.000000001,TRUE()))</f>
        <v>1</v>
      </c>
      <c r="AD1435" s="55" t="n">
        <f aca="false">IF(AC1435,IF(01_因子設定!$B$13="最大化",AA1435-01_因子設定!$B$14,IF(01_因子設定!$B$13="最小化",01_因子設定!$B$15-AB1435,MIN(AA1435-01_因子設定!$B$14,01_因子設定!$B$15-AB1435))),-1E+030)</f>
        <v>-4.34849976991098</v>
      </c>
      <c r="AE1435" s="55" t="n">
        <f aca="false">IF(AC1435,IF(01_因子設定!$B$13="最大化",X1435,IF(01_因子設定!$B$13="最小化",-X1435,-ABS(X1435-01_因子設定!$B$16))),-1E+030)</f>
        <v>43.8112390350877</v>
      </c>
      <c r="AF1435" s="55" t="n">
        <f aca="false">AD1435+ROW()*0.000000001</f>
        <v>-4.34849833491098</v>
      </c>
      <c r="AG1435" s="55" t="n">
        <f aca="false">AE1435+ROW()*0.000000001</f>
        <v>43.8112404700877</v>
      </c>
    </row>
    <row r="1436" customFormat="false" ht="15" hidden="false" customHeight="false" outlineLevel="0" collapsed="false">
      <c r="A1436" s="0" t="n">
        <v>1</v>
      </c>
      <c r="B1436" s="0" t="n">
        <v>8</v>
      </c>
      <c r="C1436" s="0" t="n">
        <v>6</v>
      </c>
      <c r="D1436" s="0" t="n">
        <v>0</v>
      </c>
      <c r="E1436" s="0" t="n">
        <f aca="false">-1+A1436*0.25</f>
        <v>-0.75</v>
      </c>
      <c r="F1436" s="0" t="n">
        <f aca="false">-1+B1436*0.25</f>
        <v>1</v>
      </c>
      <c r="G1436" s="0" t="n">
        <f aca="false">-1+C1436*0.25</f>
        <v>0.5</v>
      </c>
      <c r="H1436" s="0" t="n">
        <f aca="false">-1+D1436*0.25</f>
        <v>-1</v>
      </c>
      <c r="I1436" s="0" t="n">
        <f aca="false">1</f>
        <v>1</v>
      </c>
      <c r="J1436" s="0" t="n">
        <f aca="false">E1436</f>
        <v>-0.75</v>
      </c>
      <c r="K1436" s="0" t="n">
        <f aca="false">F1436</f>
        <v>1</v>
      </c>
      <c r="L1436" s="0" t="n">
        <f aca="false">G1436</f>
        <v>0.5</v>
      </c>
      <c r="M1436" s="0" t="n">
        <f aca="false">H1436</f>
        <v>-1</v>
      </c>
      <c r="N1436" s="0" t="n">
        <f aca="false">E1436*F1436</f>
        <v>-0.75</v>
      </c>
      <c r="O1436" s="0" t="n">
        <f aca="false">E1436*G1436</f>
        <v>-0.375</v>
      </c>
      <c r="P1436" s="0" t="n">
        <f aca="false">E1436*H1436</f>
        <v>0.75</v>
      </c>
      <c r="Q1436" s="0" t="n">
        <f aca="false">F1436*G1436</f>
        <v>0.5</v>
      </c>
      <c r="R1436" s="0" t="n">
        <f aca="false">F1436*H1436</f>
        <v>-1</v>
      </c>
      <c r="S1436" s="0" t="n">
        <f aca="false">G1436*H1436</f>
        <v>-0.5</v>
      </c>
      <c r="T1436" s="0" t="n">
        <f aca="false">E1436*E1436</f>
        <v>0.5625</v>
      </c>
      <c r="U1436" s="0" t="n">
        <f aca="false">F1436*F1436</f>
        <v>1</v>
      </c>
      <c r="V1436" s="0" t="n">
        <f aca="false">G1436*G1436</f>
        <v>0.25</v>
      </c>
      <c r="W1436" s="0" t="n">
        <f aca="false">H1436*H1436</f>
        <v>1</v>
      </c>
      <c r="X1436" s="0" t="n">
        <f aca="false">SUMPRODUCT(I1436:W1436,_XtX!$B$96:$P$96)</f>
        <v>43.7148757309942</v>
      </c>
      <c r="Y1436" s="0" t="n">
        <f aca="false">SUMPRODUCT(MMULT(I1436:W1436,_XtX!$B$78:$P$92),I1436:W1436)</f>
        <v>0.564984237938597</v>
      </c>
      <c r="Z1436" s="0" t="n">
        <f aca="false">04_回帰ANOVA!$K$19*04_回帰ANOVA!$K$14*SQRT(1+Y1436)</f>
        <v>1.63062229734503</v>
      </c>
      <c r="AA1436" s="0" t="n">
        <f aca="false">X1436-Z1436</f>
        <v>42.0842534336491</v>
      </c>
      <c r="AB1436" s="0" t="n">
        <f aca="false">X1436+Z1436</f>
        <v>45.3454980283392</v>
      </c>
      <c r="AC1436" s="54" t="b">
        <f aca="false">AND(E1436&gt;=01_因子設定!$L$5-0.000000001,E1436&lt;=01_因子設定!$M$5+0.000000001,F1436&gt;=01_因子設定!$L$6-0.000000001,F1436&lt;=01_因子設定!$M$6+0.000000001,G1436&gt;=01_因子設定!$L$7-0.000000001,G1436&lt;=01_因子設定!$M$7+0.000000001,H1436&gt;=01_因子設定!$L$8-0.000000001,H1436&lt;=01_因子設定!$M$8+0.000000001,IF(01_因子設定!$B$20="Box-Behnken",E1436^2+F1436^2+G1436^2+H1436^2&lt;=2+0.000000001,TRUE()))</f>
        <v>1</v>
      </c>
      <c r="AD1436" s="55" t="n">
        <f aca="false">IF(AC1436,IF(01_因子設定!$B$13="最大化",AA1436-01_因子設定!$B$14,IF(01_因子設定!$B$13="最小化",01_因子設定!$B$15-AB1436,MIN(AA1436-01_因子設定!$B$14,01_因子設定!$B$15-AB1436))),-1E+030)</f>
        <v>-4.41574656635086</v>
      </c>
      <c r="AE1436" s="55" t="n">
        <f aca="false">IF(AC1436,IF(01_因子設定!$B$13="最大化",X1436,IF(01_因子設定!$B$13="最小化",-X1436,-ABS(X1436-01_因子設定!$B$16))),-1E+030)</f>
        <v>43.7148757309942</v>
      </c>
      <c r="AF1436" s="55" t="n">
        <f aca="false">AD1436+ROW()*0.000000001</f>
        <v>-4.41574513035086</v>
      </c>
      <c r="AG1436" s="55" t="n">
        <f aca="false">AE1436+ROW()*0.000000001</f>
        <v>43.7148771669942</v>
      </c>
    </row>
    <row r="1437" customFormat="false" ht="15" hidden="false" customHeight="false" outlineLevel="0" collapsed="false">
      <c r="A1437" s="0" t="n">
        <v>1</v>
      </c>
      <c r="B1437" s="0" t="n">
        <v>8</v>
      </c>
      <c r="C1437" s="0" t="n">
        <v>6</v>
      </c>
      <c r="D1437" s="0" t="n">
        <v>1</v>
      </c>
      <c r="E1437" s="0" t="n">
        <f aca="false">-1+A1437*0.25</f>
        <v>-0.75</v>
      </c>
      <c r="F1437" s="0" t="n">
        <f aca="false">-1+B1437*0.25</f>
        <v>1</v>
      </c>
      <c r="G1437" s="0" t="n">
        <f aca="false">-1+C1437*0.25</f>
        <v>0.5</v>
      </c>
      <c r="H1437" s="0" t="n">
        <f aca="false">-1+D1437*0.25</f>
        <v>-0.75</v>
      </c>
      <c r="I1437" s="0" t="n">
        <f aca="false">1</f>
        <v>1</v>
      </c>
      <c r="J1437" s="0" t="n">
        <f aca="false">E1437</f>
        <v>-0.75</v>
      </c>
      <c r="K1437" s="0" t="n">
        <f aca="false">F1437</f>
        <v>1</v>
      </c>
      <c r="L1437" s="0" t="n">
        <f aca="false">G1437</f>
        <v>0.5</v>
      </c>
      <c r="M1437" s="0" t="n">
        <f aca="false">H1437</f>
        <v>-0.75</v>
      </c>
      <c r="N1437" s="0" t="n">
        <f aca="false">E1437*F1437</f>
        <v>-0.75</v>
      </c>
      <c r="O1437" s="0" t="n">
        <f aca="false">E1437*G1437</f>
        <v>-0.375</v>
      </c>
      <c r="P1437" s="0" t="n">
        <f aca="false">E1437*H1437</f>
        <v>0.5625</v>
      </c>
      <c r="Q1437" s="0" t="n">
        <f aca="false">F1437*G1437</f>
        <v>0.5</v>
      </c>
      <c r="R1437" s="0" t="n">
        <f aca="false">F1437*H1437</f>
        <v>-0.75</v>
      </c>
      <c r="S1437" s="0" t="n">
        <f aca="false">G1437*H1437</f>
        <v>-0.375</v>
      </c>
      <c r="T1437" s="0" t="n">
        <f aca="false">E1437*E1437</f>
        <v>0.5625</v>
      </c>
      <c r="U1437" s="0" t="n">
        <f aca="false">F1437*F1437</f>
        <v>1</v>
      </c>
      <c r="V1437" s="0" t="n">
        <f aca="false">G1437*G1437</f>
        <v>0.25</v>
      </c>
      <c r="W1437" s="0" t="n">
        <f aca="false">H1437*H1437</f>
        <v>0.5625</v>
      </c>
      <c r="X1437" s="0" t="n">
        <f aca="false">SUMPRODUCT(I1437:W1437,_XtX!$B$96:$P$96)</f>
        <v>43.9429641812866</v>
      </c>
      <c r="Y1437" s="0" t="n">
        <f aca="false">SUMPRODUCT(MMULT(I1437:W1437,_XtX!$B$78:$P$92),I1437:W1437)</f>
        <v>0.431153771472953</v>
      </c>
      <c r="Z1437" s="0" t="n">
        <f aca="false">04_回帰ANOVA!$K$19*04_回帰ANOVA!$K$14*SQRT(1+Y1437)</f>
        <v>1.55934259562563</v>
      </c>
      <c r="AA1437" s="0" t="n">
        <f aca="false">X1437-Z1437</f>
        <v>42.3836215856609</v>
      </c>
      <c r="AB1437" s="0" t="n">
        <f aca="false">X1437+Z1437</f>
        <v>45.5023067769122</v>
      </c>
      <c r="AC1437" s="54" t="b">
        <f aca="false">AND(E1437&gt;=01_因子設定!$L$5-0.000000001,E1437&lt;=01_因子設定!$M$5+0.000000001,F1437&gt;=01_因子設定!$L$6-0.000000001,F1437&lt;=01_因子設定!$M$6+0.000000001,G1437&gt;=01_因子設定!$L$7-0.000000001,G1437&lt;=01_因子設定!$M$7+0.000000001,H1437&gt;=01_因子設定!$L$8-0.000000001,H1437&lt;=01_因子設定!$M$8+0.000000001,IF(01_因子設定!$B$20="Box-Behnken",E1437^2+F1437^2+G1437^2+H1437^2&lt;=2+0.000000001,TRUE()))</f>
        <v>1</v>
      </c>
      <c r="AD1437" s="55" t="n">
        <f aca="false">IF(AC1437,IF(01_因子設定!$B$13="最大化",AA1437-01_因子設定!$B$14,IF(01_因子設定!$B$13="最小化",01_因子設定!$B$15-AB1437,MIN(AA1437-01_因子設定!$B$14,01_因子設定!$B$15-AB1437))),-1E+030)</f>
        <v>-4.11637841433907</v>
      </c>
      <c r="AE1437" s="55" t="n">
        <f aca="false">IF(AC1437,IF(01_因子設定!$B$13="最大化",X1437,IF(01_因子設定!$B$13="最小化",-X1437,-ABS(X1437-01_因子設定!$B$16))),-1E+030)</f>
        <v>43.9429641812866</v>
      </c>
      <c r="AF1437" s="55" t="n">
        <f aca="false">AD1437+ROW()*0.000000001</f>
        <v>-4.11637697733907</v>
      </c>
      <c r="AG1437" s="55" t="n">
        <f aca="false">AE1437+ROW()*0.000000001</f>
        <v>43.9429656182866</v>
      </c>
    </row>
    <row r="1438" customFormat="false" ht="15" hidden="false" customHeight="false" outlineLevel="0" collapsed="false">
      <c r="A1438" s="0" t="n">
        <v>1</v>
      </c>
      <c r="B1438" s="0" t="n">
        <v>8</v>
      </c>
      <c r="C1438" s="0" t="n">
        <v>6</v>
      </c>
      <c r="D1438" s="0" t="n">
        <v>2</v>
      </c>
      <c r="E1438" s="0" t="n">
        <f aca="false">-1+A1438*0.25</f>
        <v>-0.75</v>
      </c>
      <c r="F1438" s="0" t="n">
        <f aca="false">-1+B1438*0.25</f>
        <v>1</v>
      </c>
      <c r="G1438" s="0" t="n">
        <f aca="false">-1+C1438*0.25</f>
        <v>0.5</v>
      </c>
      <c r="H1438" s="0" t="n">
        <f aca="false">-1+D1438*0.25</f>
        <v>-0.5</v>
      </c>
      <c r="I1438" s="0" t="n">
        <f aca="false">1</f>
        <v>1</v>
      </c>
      <c r="J1438" s="0" t="n">
        <f aca="false">E1438</f>
        <v>-0.75</v>
      </c>
      <c r="K1438" s="0" t="n">
        <f aca="false">F1438</f>
        <v>1</v>
      </c>
      <c r="L1438" s="0" t="n">
        <f aca="false">G1438</f>
        <v>0.5</v>
      </c>
      <c r="M1438" s="0" t="n">
        <f aca="false">H1438</f>
        <v>-0.5</v>
      </c>
      <c r="N1438" s="0" t="n">
        <f aca="false">E1438*F1438</f>
        <v>-0.75</v>
      </c>
      <c r="O1438" s="0" t="n">
        <f aca="false">E1438*G1438</f>
        <v>-0.375</v>
      </c>
      <c r="P1438" s="0" t="n">
        <f aca="false">E1438*H1438</f>
        <v>0.375</v>
      </c>
      <c r="Q1438" s="0" t="n">
        <f aca="false">F1438*G1438</f>
        <v>0.5</v>
      </c>
      <c r="R1438" s="0" t="n">
        <f aca="false">F1438*H1438</f>
        <v>-0.5</v>
      </c>
      <c r="S1438" s="0" t="n">
        <f aca="false">G1438*H1438</f>
        <v>-0.25</v>
      </c>
      <c r="T1438" s="0" t="n">
        <f aca="false">E1438*E1438</f>
        <v>0.5625</v>
      </c>
      <c r="U1438" s="0" t="n">
        <f aca="false">F1438*F1438</f>
        <v>1</v>
      </c>
      <c r="V1438" s="0" t="n">
        <f aca="false">G1438*G1438</f>
        <v>0.25</v>
      </c>
      <c r="W1438" s="0" t="n">
        <f aca="false">H1438*H1438</f>
        <v>0.25</v>
      </c>
      <c r="X1438" s="0" t="n">
        <f aca="false">SUMPRODUCT(I1438:W1438,_XtX!$B$96:$P$96)</f>
        <v>44.1232456140351</v>
      </c>
      <c r="Y1438" s="0" t="n">
        <f aca="false">SUMPRODUCT(MMULT(I1438:W1438,_XtX!$B$78:$P$92),I1438:W1438)</f>
        <v>0.42602110745614</v>
      </c>
      <c r="Z1438" s="0" t="n">
        <f aca="false">04_回帰ANOVA!$K$19*04_回帰ANOVA!$K$14*SQRT(1+Y1438)</f>
        <v>1.55654388501114</v>
      </c>
      <c r="AA1438" s="0" t="n">
        <f aca="false">X1438-Z1438</f>
        <v>42.566701729024</v>
      </c>
      <c r="AB1438" s="0" t="n">
        <f aca="false">X1438+Z1438</f>
        <v>45.6797894990462</v>
      </c>
      <c r="AC1438" s="54" t="b">
        <f aca="false">AND(E1438&gt;=01_因子設定!$L$5-0.000000001,E1438&lt;=01_因子設定!$M$5+0.000000001,F1438&gt;=01_因子設定!$L$6-0.000000001,F1438&lt;=01_因子設定!$M$6+0.000000001,G1438&gt;=01_因子設定!$L$7-0.000000001,G1438&lt;=01_因子設定!$M$7+0.000000001,H1438&gt;=01_因子設定!$L$8-0.000000001,H1438&lt;=01_因子設定!$M$8+0.000000001,IF(01_因子設定!$B$20="Box-Behnken",E1438^2+F1438^2+G1438^2+H1438^2&lt;=2+0.000000001,TRUE()))</f>
        <v>1</v>
      </c>
      <c r="AD1438" s="55" t="n">
        <f aca="false">IF(AC1438,IF(01_因子設定!$B$13="最大化",AA1438-01_因子設定!$B$14,IF(01_因子設定!$B$13="最小化",01_因子設定!$B$15-AB1438,MIN(AA1438-01_因子設定!$B$14,01_因子設定!$B$15-AB1438))),-1E+030)</f>
        <v>-3.93329827097605</v>
      </c>
      <c r="AE1438" s="55" t="n">
        <f aca="false">IF(AC1438,IF(01_因子設定!$B$13="最大化",X1438,IF(01_因子設定!$B$13="最小化",-X1438,-ABS(X1438-01_因子設定!$B$16))),-1E+030)</f>
        <v>44.1232456140351</v>
      </c>
      <c r="AF1438" s="55" t="n">
        <f aca="false">AD1438+ROW()*0.000000001</f>
        <v>-3.93329683297605</v>
      </c>
      <c r="AG1438" s="55" t="n">
        <f aca="false">AE1438+ROW()*0.000000001</f>
        <v>44.1232470520351</v>
      </c>
    </row>
    <row r="1439" customFormat="false" ht="15" hidden="false" customHeight="false" outlineLevel="0" collapsed="false">
      <c r="A1439" s="0" t="n">
        <v>1</v>
      </c>
      <c r="B1439" s="0" t="n">
        <v>8</v>
      </c>
      <c r="C1439" s="0" t="n">
        <v>6</v>
      </c>
      <c r="D1439" s="0" t="n">
        <v>3</v>
      </c>
      <c r="E1439" s="0" t="n">
        <f aca="false">-1+A1439*0.25</f>
        <v>-0.75</v>
      </c>
      <c r="F1439" s="0" t="n">
        <f aca="false">-1+B1439*0.25</f>
        <v>1</v>
      </c>
      <c r="G1439" s="0" t="n">
        <f aca="false">-1+C1439*0.25</f>
        <v>0.5</v>
      </c>
      <c r="H1439" s="0" t="n">
        <f aca="false">-1+D1439*0.25</f>
        <v>-0.25</v>
      </c>
      <c r="I1439" s="0" t="n">
        <f aca="false">1</f>
        <v>1</v>
      </c>
      <c r="J1439" s="0" t="n">
        <f aca="false">E1439</f>
        <v>-0.75</v>
      </c>
      <c r="K1439" s="0" t="n">
        <f aca="false">F1439</f>
        <v>1</v>
      </c>
      <c r="L1439" s="0" t="n">
        <f aca="false">G1439</f>
        <v>0.5</v>
      </c>
      <c r="M1439" s="0" t="n">
        <f aca="false">H1439</f>
        <v>-0.25</v>
      </c>
      <c r="N1439" s="0" t="n">
        <f aca="false">E1439*F1439</f>
        <v>-0.75</v>
      </c>
      <c r="O1439" s="0" t="n">
        <f aca="false">E1439*G1439</f>
        <v>-0.375</v>
      </c>
      <c r="P1439" s="0" t="n">
        <f aca="false">E1439*H1439</f>
        <v>0.1875</v>
      </c>
      <c r="Q1439" s="0" t="n">
        <f aca="false">F1439*G1439</f>
        <v>0.5</v>
      </c>
      <c r="R1439" s="0" t="n">
        <f aca="false">F1439*H1439</f>
        <v>-0.25</v>
      </c>
      <c r="S1439" s="0" t="n">
        <f aca="false">G1439*H1439</f>
        <v>-0.125</v>
      </c>
      <c r="T1439" s="0" t="n">
        <f aca="false">E1439*E1439</f>
        <v>0.5625</v>
      </c>
      <c r="U1439" s="0" t="n">
        <f aca="false">F1439*F1439</f>
        <v>1</v>
      </c>
      <c r="V1439" s="0" t="n">
        <f aca="false">G1439*G1439</f>
        <v>0.25</v>
      </c>
      <c r="W1439" s="0" t="n">
        <f aca="false">H1439*H1439</f>
        <v>0.0625</v>
      </c>
      <c r="X1439" s="0" t="n">
        <f aca="false">SUMPRODUCT(I1439:W1439,_XtX!$B$96:$P$96)</f>
        <v>44.2557200292398</v>
      </c>
      <c r="Y1439" s="0" t="n">
        <f aca="false">SUMPRODUCT(MMULT(I1439:W1439,_XtX!$B$78:$P$92),I1439:W1439)</f>
        <v>0.459125719572369</v>
      </c>
      <c r="Z1439" s="0" t="n">
        <f aca="false">04_回帰ANOVA!$K$19*04_回帰ANOVA!$K$14*SQRT(1+Y1439)</f>
        <v>1.57450755575573</v>
      </c>
      <c r="AA1439" s="0" t="n">
        <f aca="false">X1439-Z1439</f>
        <v>42.681212473484</v>
      </c>
      <c r="AB1439" s="0" t="n">
        <f aca="false">X1439+Z1439</f>
        <v>45.8302275849955</v>
      </c>
      <c r="AC1439" s="54" t="b">
        <f aca="false">AND(E1439&gt;=01_因子設定!$L$5-0.000000001,E1439&lt;=01_因子設定!$M$5+0.000000001,F1439&gt;=01_因子設定!$L$6-0.000000001,F1439&lt;=01_因子設定!$M$6+0.000000001,G1439&gt;=01_因子設定!$L$7-0.000000001,G1439&lt;=01_因子設定!$M$7+0.000000001,H1439&gt;=01_因子設定!$L$8-0.000000001,H1439&lt;=01_因子設定!$M$8+0.000000001,IF(01_因子設定!$B$20="Box-Behnken",E1439^2+F1439^2+G1439^2+H1439^2&lt;=2+0.000000001,TRUE()))</f>
        <v>1</v>
      </c>
      <c r="AD1439" s="55" t="n">
        <f aca="false">IF(AC1439,IF(01_因子設定!$B$13="最大化",AA1439-01_因子設定!$B$14,IF(01_因子設定!$B$13="最小化",01_因子設定!$B$15-AB1439,MIN(AA1439-01_因子設定!$B$14,01_因子設定!$B$15-AB1439))),-1E+030)</f>
        <v>-3.81878752651598</v>
      </c>
      <c r="AE1439" s="55" t="n">
        <f aca="false">IF(AC1439,IF(01_因子設定!$B$13="最大化",X1439,IF(01_因子設定!$B$13="最小化",-X1439,-ABS(X1439-01_因子設定!$B$16))),-1E+030)</f>
        <v>44.2557200292398</v>
      </c>
      <c r="AF1439" s="55" t="n">
        <f aca="false">AD1439+ROW()*0.000000001</f>
        <v>-3.81878608751598</v>
      </c>
      <c r="AG1439" s="55" t="n">
        <f aca="false">AE1439+ROW()*0.000000001</f>
        <v>44.2557214682398</v>
      </c>
    </row>
    <row r="1440" customFormat="false" ht="15" hidden="false" customHeight="false" outlineLevel="0" collapsed="false">
      <c r="A1440" s="0" t="n">
        <v>1</v>
      </c>
      <c r="B1440" s="0" t="n">
        <v>8</v>
      </c>
      <c r="C1440" s="0" t="n">
        <v>6</v>
      </c>
      <c r="D1440" s="0" t="n">
        <v>4</v>
      </c>
      <c r="E1440" s="0" t="n">
        <f aca="false">-1+A1440*0.25</f>
        <v>-0.75</v>
      </c>
      <c r="F1440" s="0" t="n">
        <f aca="false">-1+B1440*0.25</f>
        <v>1</v>
      </c>
      <c r="G1440" s="0" t="n">
        <f aca="false">-1+C1440*0.25</f>
        <v>0.5</v>
      </c>
      <c r="H1440" s="0" t="n">
        <f aca="false">-1+D1440*0.25</f>
        <v>0</v>
      </c>
      <c r="I1440" s="0" t="n">
        <f aca="false">1</f>
        <v>1</v>
      </c>
      <c r="J1440" s="0" t="n">
        <f aca="false">E1440</f>
        <v>-0.75</v>
      </c>
      <c r="K1440" s="0" t="n">
        <f aca="false">F1440</f>
        <v>1</v>
      </c>
      <c r="L1440" s="0" t="n">
        <f aca="false">G1440</f>
        <v>0.5</v>
      </c>
      <c r="M1440" s="0" t="n">
        <f aca="false">H1440</f>
        <v>0</v>
      </c>
      <c r="N1440" s="0" t="n">
        <f aca="false">E1440*F1440</f>
        <v>-0.75</v>
      </c>
      <c r="O1440" s="0" t="n">
        <f aca="false">E1440*G1440</f>
        <v>-0.375</v>
      </c>
      <c r="P1440" s="0" t="n">
        <f aca="false">E1440*H1440</f>
        <v>-0</v>
      </c>
      <c r="Q1440" s="0" t="n">
        <f aca="false">F1440*G1440</f>
        <v>0.5</v>
      </c>
      <c r="R1440" s="0" t="n">
        <f aca="false">F1440*H1440</f>
        <v>0</v>
      </c>
      <c r="S1440" s="0" t="n">
        <f aca="false">G1440*H1440</f>
        <v>0</v>
      </c>
      <c r="T1440" s="0" t="n">
        <f aca="false">E1440*E1440</f>
        <v>0.5625</v>
      </c>
      <c r="U1440" s="0" t="n">
        <f aca="false">F1440*F1440</f>
        <v>1</v>
      </c>
      <c r="V1440" s="0" t="n">
        <f aca="false">G1440*G1440</f>
        <v>0.25</v>
      </c>
      <c r="W1440" s="0" t="n">
        <f aca="false">H1440*H1440</f>
        <v>0</v>
      </c>
      <c r="X1440" s="0" t="n">
        <f aca="false">SUMPRODUCT(I1440:W1440,_XtX!$B$96:$P$96)</f>
        <v>44.3403874269006</v>
      </c>
      <c r="Y1440" s="0" t="n">
        <f aca="false">SUMPRODUCT(MMULT(I1440:W1440,_XtX!$B$78:$P$92),I1440:W1440)</f>
        <v>0.476191292032164</v>
      </c>
      <c r="Z1440" s="0" t="n">
        <f aca="false">04_回帰ANOVA!$K$19*04_回帰ANOVA!$K$14*SQRT(1+Y1440)</f>
        <v>1.58368831471718</v>
      </c>
      <c r="AA1440" s="0" t="n">
        <f aca="false">X1440-Z1440</f>
        <v>42.7566991121834</v>
      </c>
      <c r="AB1440" s="0" t="n">
        <f aca="false">X1440+Z1440</f>
        <v>45.9240757416178</v>
      </c>
      <c r="AC1440" s="54" t="b">
        <f aca="false">AND(E1440&gt;=01_因子設定!$L$5-0.000000001,E1440&lt;=01_因子設定!$M$5+0.000000001,F1440&gt;=01_因子設定!$L$6-0.000000001,F1440&lt;=01_因子設定!$M$6+0.000000001,G1440&gt;=01_因子設定!$L$7-0.000000001,G1440&lt;=01_因子設定!$M$7+0.000000001,H1440&gt;=01_因子設定!$L$8-0.000000001,H1440&lt;=01_因子設定!$M$8+0.000000001,IF(01_因子設定!$B$20="Box-Behnken",E1440^2+F1440^2+G1440^2+H1440^2&lt;=2+0.000000001,TRUE()))</f>
        <v>1</v>
      </c>
      <c r="AD1440" s="55" t="n">
        <f aca="false">IF(AC1440,IF(01_因子設定!$B$13="最大化",AA1440-01_因子設定!$B$14,IF(01_因子設定!$B$13="最小化",01_因子設定!$B$15-AB1440,MIN(AA1440-01_因子設定!$B$14,01_因子設定!$B$15-AB1440))),-1E+030)</f>
        <v>-3.74330088781661</v>
      </c>
      <c r="AE1440" s="55" t="n">
        <f aca="false">IF(AC1440,IF(01_因子設定!$B$13="最大化",X1440,IF(01_因子設定!$B$13="最小化",-X1440,-ABS(X1440-01_因子設定!$B$16))),-1E+030)</f>
        <v>44.3403874269006</v>
      </c>
      <c r="AF1440" s="55" t="n">
        <f aca="false">AD1440+ROW()*0.000000001</f>
        <v>-3.74329944781661</v>
      </c>
      <c r="AG1440" s="55" t="n">
        <f aca="false">AE1440+ROW()*0.000000001</f>
        <v>44.3403888669006</v>
      </c>
    </row>
    <row r="1441" customFormat="false" ht="15" hidden="false" customHeight="false" outlineLevel="0" collapsed="false">
      <c r="A1441" s="0" t="n">
        <v>1</v>
      </c>
      <c r="B1441" s="0" t="n">
        <v>8</v>
      </c>
      <c r="C1441" s="0" t="n">
        <v>6</v>
      </c>
      <c r="D1441" s="0" t="n">
        <v>5</v>
      </c>
      <c r="E1441" s="0" t="n">
        <f aca="false">-1+A1441*0.25</f>
        <v>-0.75</v>
      </c>
      <c r="F1441" s="0" t="n">
        <f aca="false">-1+B1441*0.25</f>
        <v>1</v>
      </c>
      <c r="G1441" s="0" t="n">
        <f aca="false">-1+C1441*0.25</f>
        <v>0.5</v>
      </c>
      <c r="H1441" s="0" t="n">
        <f aca="false">-1+D1441*0.25</f>
        <v>0.25</v>
      </c>
      <c r="I1441" s="0" t="n">
        <f aca="false">1</f>
        <v>1</v>
      </c>
      <c r="J1441" s="0" t="n">
        <f aca="false">E1441</f>
        <v>-0.75</v>
      </c>
      <c r="K1441" s="0" t="n">
        <f aca="false">F1441</f>
        <v>1</v>
      </c>
      <c r="L1441" s="0" t="n">
        <f aca="false">G1441</f>
        <v>0.5</v>
      </c>
      <c r="M1441" s="0" t="n">
        <f aca="false">H1441</f>
        <v>0.25</v>
      </c>
      <c r="N1441" s="0" t="n">
        <f aca="false">E1441*F1441</f>
        <v>-0.75</v>
      </c>
      <c r="O1441" s="0" t="n">
        <f aca="false">E1441*G1441</f>
        <v>-0.375</v>
      </c>
      <c r="P1441" s="0" t="n">
        <f aca="false">E1441*H1441</f>
        <v>-0.1875</v>
      </c>
      <c r="Q1441" s="0" t="n">
        <f aca="false">F1441*G1441</f>
        <v>0.5</v>
      </c>
      <c r="R1441" s="0" t="n">
        <f aca="false">F1441*H1441</f>
        <v>0.25</v>
      </c>
      <c r="S1441" s="0" t="n">
        <f aca="false">G1441*H1441</f>
        <v>0.125</v>
      </c>
      <c r="T1441" s="0" t="n">
        <f aca="false">E1441*E1441</f>
        <v>0.5625</v>
      </c>
      <c r="U1441" s="0" t="n">
        <f aca="false">F1441*F1441</f>
        <v>1</v>
      </c>
      <c r="V1441" s="0" t="n">
        <f aca="false">G1441*G1441</f>
        <v>0.25</v>
      </c>
      <c r="W1441" s="0" t="n">
        <f aca="false">H1441*H1441</f>
        <v>0.0625</v>
      </c>
      <c r="X1441" s="0" t="n">
        <f aca="false">SUMPRODUCT(I1441:W1441,_XtX!$B$96:$P$96)</f>
        <v>44.3772478070175</v>
      </c>
      <c r="Y1441" s="0" t="n">
        <f aca="false">SUMPRODUCT(MMULT(I1441:W1441,_XtX!$B$78:$P$92),I1441:W1441)</f>
        <v>0.459125719572369</v>
      </c>
      <c r="Z1441" s="0" t="n">
        <f aca="false">04_回帰ANOVA!$K$19*04_回帰ANOVA!$K$14*SQRT(1+Y1441)</f>
        <v>1.57450755575573</v>
      </c>
      <c r="AA1441" s="0" t="n">
        <f aca="false">X1441-Z1441</f>
        <v>42.8027402512618</v>
      </c>
      <c r="AB1441" s="0" t="n">
        <f aca="false">X1441+Z1441</f>
        <v>45.9517553627733</v>
      </c>
      <c r="AC1441" s="54" t="b">
        <f aca="false">AND(E1441&gt;=01_因子設定!$L$5-0.000000001,E1441&lt;=01_因子設定!$M$5+0.000000001,F1441&gt;=01_因子設定!$L$6-0.000000001,F1441&lt;=01_因子設定!$M$6+0.000000001,G1441&gt;=01_因子設定!$L$7-0.000000001,G1441&lt;=01_因子設定!$M$7+0.000000001,H1441&gt;=01_因子設定!$L$8-0.000000001,H1441&lt;=01_因子設定!$M$8+0.000000001,IF(01_因子設定!$B$20="Box-Behnken",E1441^2+F1441^2+G1441^2+H1441^2&lt;=2+0.000000001,TRUE()))</f>
        <v>1</v>
      </c>
      <c r="AD1441" s="55" t="n">
        <f aca="false">IF(AC1441,IF(01_因子設定!$B$13="最大化",AA1441-01_因子設定!$B$14,IF(01_因子設定!$B$13="最小化",01_因子設定!$B$15-AB1441,MIN(AA1441-01_因子設定!$B$14,01_因子設定!$B$15-AB1441))),-1E+030)</f>
        <v>-3.6972597487382</v>
      </c>
      <c r="AE1441" s="55" t="n">
        <f aca="false">IF(AC1441,IF(01_因子設定!$B$13="最大化",X1441,IF(01_因子設定!$B$13="最小化",-X1441,-ABS(X1441-01_因子設定!$B$16))),-1E+030)</f>
        <v>44.3772478070175</v>
      </c>
      <c r="AF1441" s="55" t="n">
        <f aca="false">AD1441+ROW()*0.000000001</f>
        <v>-3.6972583077382</v>
      </c>
      <c r="AG1441" s="55" t="n">
        <f aca="false">AE1441+ROW()*0.000000001</f>
        <v>44.3772492480175</v>
      </c>
    </row>
    <row r="1442" customFormat="false" ht="15" hidden="false" customHeight="false" outlineLevel="0" collapsed="false">
      <c r="A1442" s="0" t="n">
        <v>1</v>
      </c>
      <c r="B1442" s="0" t="n">
        <v>8</v>
      </c>
      <c r="C1442" s="0" t="n">
        <v>6</v>
      </c>
      <c r="D1442" s="0" t="n">
        <v>6</v>
      </c>
      <c r="E1442" s="0" t="n">
        <f aca="false">-1+A1442*0.25</f>
        <v>-0.75</v>
      </c>
      <c r="F1442" s="0" t="n">
        <f aca="false">-1+B1442*0.25</f>
        <v>1</v>
      </c>
      <c r="G1442" s="0" t="n">
        <f aca="false">-1+C1442*0.25</f>
        <v>0.5</v>
      </c>
      <c r="H1442" s="0" t="n">
        <f aca="false">-1+D1442*0.25</f>
        <v>0.5</v>
      </c>
      <c r="I1442" s="0" t="n">
        <f aca="false">1</f>
        <v>1</v>
      </c>
      <c r="J1442" s="0" t="n">
        <f aca="false">E1442</f>
        <v>-0.75</v>
      </c>
      <c r="K1442" s="0" t="n">
        <f aca="false">F1442</f>
        <v>1</v>
      </c>
      <c r="L1442" s="0" t="n">
        <f aca="false">G1442</f>
        <v>0.5</v>
      </c>
      <c r="M1442" s="0" t="n">
        <f aca="false">H1442</f>
        <v>0.5</v>
      </c>
      <c r="N1442" s="0" t="n">
        <f aca="false">E1442*F1442</f>
        <v>-0.75</v>
      </c>
      <c r="O1442" s="0" t="n">
        <f aca="false">E1442*G1442</f>
        <v>-0.375</v>
      </c>
      <c r="P1442" s="0" t="n">
        <f aca="false">E1442*H1442</f>
        <v>-0.375</v>
      </c>
      <c r="Q1442" s="0" t="n">
        <f aca="false">F1442*G1442</f>
        <v>0.5</v>
      </c>
      <c r="R1442" s="0" t="n">
        <f aca="false">F1442*H1442</f>
        <v>0.5</v>
      </c>
      <c r="S1442" s="0" t="n">
        <f aca="false">G1442*H1442</f>
        <v>0.25</v>
      </c>
      <c r="T1442" s="0" t="n">
        <f aca="false">E1442*E1442</f>
        <v>0.5625</v>
      </c>
      <c r="U1442" s="0" t="n">
        <f aca="false">F1442*F1442</f>
        <v>1</v>
      </c>
      <c r="V1442" s="0" t="n">
        <f aca="false">G1442*G1442</f>
        <v>0.25</v>
      </c>
      <c r="W1442" s="0" t="n">
        <f aca="false">H1442*H1442</f>
        <v>0.25</v>
      </c>
      <c r="X1442" s="0" t="n">
        <f aca="false">SUMPRODUCT(I1442:W1442,_XtX!$B$96:$P$96)</f>
        <v>44.3663011695906</v>
      </c>
      <c r="Y1442" s="0" t="n">
        <f aca="false">SUMPRODUCT(MMULT(I1442:W1442,_XtX!$B$78:$P$92),I1442:W1442)</f>
        <v>0.42602110745614</v>
      </c>
      <c r="Z1442" s="0" t="n">
        <f aca="false">04_回帰ANOVA!$K$19*04_回帰ANOVA!$K$14*SQRT(1+Y1442)</f>
        <v>1.55654388501114</v>
      </c>
      <c r="AA1442" s="0" t="n">
        <f aca="false">X1442-Z1442</f>
        <v>42.8097572845795</v>
      </c>
      <c r="AB1442" s="0" t="n">
        <f aca="false">X1442+Z1442</f>
        <v>45.9228450546018</v>
      </c>
      <c r="AC1442" s="54" t="b">
        <f aca="false">AND(E1442&gt;=01_因子設定!$L$5-0.000000001,E1442&lt;=01_因子設定!$M$5+0.000000001,F1442&gt;=01_因子設定!$L$6-0.000000001,F1442&lt;=01_因子設定!$M$6+0.000000001,G1442&gt;=01_因子設定!$L$7-0.000000001,G1442&lt;=01_因子設定!$M$7+0.000000001,H1442&gt;=01_因子設定!$L$8-0.000000001,H1442&lt;=01_因子設定!$M$8+0.000000001,IF(01_因子設定!$B$20="Box-Behnken",E1442^2+F1442^2+G1442^2+H1442^2&lt;=2+0.000000001,TRUE()))</f>
        <v>1</v>
      </c>
      <c r="AD1442" s="55" t="n">
        <f aca="false">IF(AC1442,IF(01_因子設定!$B$13="最大化",AA1442-01_因子設定!$B$14,IF(01_因子設定!$B$13="最小化",01_因子設定!$B$15-AB1442,MIN(AA1442-01_因子設定!$B$14,01_因子設定!$B$15-AB1442))),-1E+030)</f>
        <v>-3.6902427154205</v>
      </c>
      <c r="AE1442" s="55" t="n">
        <f aca="false">IF(AC1442,IF(01_因子設定!$B$13="最大化",X1442,IF(01_因子設定!$B$13="最小化",-X1442,-ABS(X1442-01_因子設定!$B$16))),-1E+030)</f>
        <v>44.3663011695906</v>
      </c>
      <c r="AF1442" s="55" t="n">
        <f aca="false">AD1442+ROW()*0.000000001</f>
        <v>-3.6902412734205</v>
      </c>
      <c r="AG1442" s="55" t="n">
        <f aca="false">AE1442+ROW()*0.000000001</f>
        <v>44.3663026115906</v>
      </c>
    </row>
    <row r="1443" customFormat="false" ht="15" hidden="false" customHeight="false" outlineLevel="0" collapsed="false">
      <c r="A1443" s="0" t="n">
        <v>1</v>
      </c>
      <c r="B1443" s="0" t="n">
        <v>8</v>
      </c>
      <c r="C1443" s="0" t="n">
        <v>6</v>
      </c>
      <c r="D1443" s="0" t="n">
        <v>7</v>
      </c>
      <c r="E1443" s="0" t="n">
        <f aca="false">-1+A1443*0.25</f>
        <v>-0.75</v>
      </c>
      <c r="F1443" s="0" t="n">
        <f aca="false">-1+B1443*0.25</f>
        <v>1</v>
      </c>
      <c r="G1443" s="0" t="n">
        <f aca="false">-1+C1443*0.25</f>
        <v>0.5</v>
      </c>
      <c r="H1443" s="0" t="n">
        <f aca="false">-1+D1443*0.25</f>
        <v>0.75</v>
      </c>
      <c r="I1443" s="0" t="n">
        <f aca="false">1</f>
        <v>1</v>
      </c>
      <c r="J1443" s="0" t="n">
        <f aca="false">E1443</f>
        <v>-0.75</v>
      </c>
      <c r="K1443" s="0" t="n">
        <f aca="false">F1443</f>
        <v>1</v>
      </c>
      <c r="L1443" s="0" t="n">
        <f aca="false">G1443</f>
        <v>0.5</v>
      </c>
      <c r="M1443" s="0" t="n">
        <f aca="false">H1443</f>
        <v>0.75</v>
      </c>
      <c r="N1443" s="0" t="n">
        <f aca="false">E1443*F1443</f>
        <v>-0.75</v>
      </c>
      <c r="O1443" s="0" t="n">
        <f aca="false">E1443*G1443</f>
        <v>-0.375</v>
      </c>
      <c r="P1443" s="0" t="n">
        <f aca="false">E1443*H1443</f>
        <v>-0.5625</v>
      </c>
      <c r="Q1443" s="0" t="n">
        <f aca="false">F1443*G1443</f>
        <v>0.5</v>
      </c>
      <c r="R1443" s="0" t="n">
        <f aca="false">F1443*H1443</f>
        <v>0.75</v>
      </c>
      <c r="S1443" s="0" t="n">
        <f aca="false">G1443*H1443</f>
        <v>0.375</v>
      </c>
      <c r="T1443" s="0" t="n">
        <f aca="false">E1443*E1443</f>
        <v>0.5625</v>
      </c>
      <c r="U1443" s="0" t="n">
        <f aca="false">F1443*F1443</f>
        <v>1</v>
      </c>
      <c r="V1443" s="0" t="n">
        <f aca="false">G1443*G1443</f>
        <v>0.25</v>
      </c>
      <c r="W1443" s="0" t="n">
        <f aca="false">H1443*H1443</f>
        <v>0.5625</v>
      </c>
      <c r="X1443" s="0" t="n">
        <f aca="false">SUMPRODUCT(I1443:W1443,_XtX!$B$96:$P$96)</f>
        <v>44.3075475146199</v>
      </c>
      <c r="Y1443" s="0" t="n">
        <f aca="false">SUMPRODUCT(MMULT(I1443:W1443,_XtX!$B$78:$P$92),I1443:W1443)</f>
        <v>0.431153771472953</v>
      </c>
      <c r="Z1443" s="0" t="n">
        <f aca="false">04_回帰ANOVA!$K$19*04_回帰ANOVA!$K$14*SQRT(1+Y1443)</f>
        <v>1.55934259562563</v>
      </c>
      <c r="AA1443" s="0" t="n">
        <f aca="false">X1443-Z1443</f>
        <v>42.7482049189943</v>
      </c>
      <c r="AB1443" s="0" t="n">
        <f aca="false">X1443+Z1443</f>
        <v>45.8668901102455</v>
      </c>
      <c r="AC1443" s="54" t="b">
        <f aca="false">AND(E1443&gt;=01_因子設定!$L$5-0.000000001,E1443&lt;=01_因子設定!$M$5+0.000000001,F1443&gt;=01_因子設定!$L$6-0.000000001,F1443&lt;=01_因子設定!$M$6+0.000000001,G1443&gt;=01_因子設定!$L$7-0.000000001,G1443&lt;=01_因子設定!$M$7+0.000000001,H1443&gt;=01_因子設定!$L$8-0.000000001,H1443&lt;=01_因子設定!$M$8+0.000000001,IF(01_因子設定!$B$20="Box-Behnken",E1443^2+F1443^2+G1443^2+H1443^2&lt;=2+0.000000001,TRUE()))</f>
        <v>1</v>
      </c>
      <c r="AD1443" s="55" t="n">
        <f aca="false">IF(AC1443,IF(01_因子設定!$B$13="最大化",AA1443-01_因子設定!$B$14,IF(01_因子設定!$B$13="最小化",01_因子設定!$B$15-AB1443,MIN(AA1443-01_因子設定!$B$14,01_因子設定!$B$15-AB1443))),-1E+030)</f>
        <v>-3.75179508100574</v>
      </c>
      <c r="AE1443" s="55" t="n">
        <f aca="false">IF(AC1443,IF(01_因子設定!$B$13="最大化",X1443,IF(01_因子設定!$B$13="最小化",-X1443,-ABS(X1443-01_因子設定!$B$16))),-1E+030)</f>
        <v>44.3075475146199</v>
      </c>
      <c r="AF1443" s="55" t="n">
        <f aca="false">AD1443+ROW()*0.000000001</f>
        <v>-3.75179363800574</v>
      </c>
      <c r="AG1443" s="55" t="n">
        <f aca="false">AE1443+ROW()*0.000000001</f>
        <v>44.3075489576199</v>
      </c>
    </row>
    <row r="1444" customFormat="false" ht="15" hidden="false" customHeight="false" outlineLevel="0" collapsed="false">
      <c r="A1444" s="0" t="n">
        <v>1</v>
      </c>
      <c r="B1444" s="0" t="n">
        <v>8</v>
      </c>
      <c r="C1444" s="0" t="n">
        <v>6</v>
      </c>
      <c r="D1444" s="0" t="n">
        <v>8</v>
      </c>
      <c r="E1444" s="0" t="n">
        <f aca="false">-1+A1444*0.25</f>
        <v>-0.75</v>
      </c>
      <c r="F1444" s="0" t="n">
        <f aca="false">-1+B1444*0.25</f>
        <v>1</v>
      </c>
      <c r="G1444" s="0" t="n">
        <f aca="false">-1+C1444*0.25</f>
        <v>0.5</v>
      </c>
      <c r="H1444" s="0" t="n">
        <f aca="false">-1+D1444*0.25</f>
        <v>1</v>
      </c>
      <c r="I1444" s="0" t="n">
        <f aca="false">1</f>
        <v>1</v>
      </c>
      <c r="J1444" s="0" t="n">
        <f aca="false">E1444</f>
        <v>-0.75</v>
      </c>
      <c r="K1444" s="0" t="n">
        <f aca="false">F1444</f>
        <v>1</v>
      </c>
      <c r="L1444" s="0" t="n">
        <f aca="false">G1444</f>
        <v>0.5</v>
      </c>
      <c r="M1444" s="0" t="n">
        <f aca="false">H1444</f>
        <v>1</v>
      </c>
      <c r="N1444" s="0" t="n">
        <f aca="false">E1444*F1444</f>
        <v>-0.75</v>
      </c>
      <c r="O1444" s="0" t="n">
        <f aca="false">E1444*G1444</f>
        <v>-0.375</v>
      </c>
      <c r="P1444" s="0" t="n">
        <f aca="false">E1444*H1444</f>
        <v>-0.75</v>
      </c>
      <c r="Q1444" s="0" t="n">
        <f aca="false">F1444*G1444</f>
        <v>0.5</v>
      </c>
      <c r="R1444" s="0" t="n">
        <f aca="false">F1444*H1444</f>
        <v>1</v>
      </c>
      <c r="S1444" s="0" t="n">
        <f aca="false">G1444*H1444</f>
        <v>0.5</v>
      </c>
      <c r="T1444" s="0" t="n">
        <f aca="false">E1444*E1444</f>
        <v>0.5625</v>
      </c>
      <c r="U1444" s="0" t="n">
        <f aca="false">F1444*F1444</f>
        <v>1</v>
      </c>
      <c r="V1444" s="0" t="n">
        <f aca="false">G1444*G1444</f>
        <v>0.25</v>
      </c>
      <c r="W1444" s="0" t="n">
        <f aca="false">H1444*H1444</f>
        <v>1</v>
      </c>
      <c r="X1444" s="0" t="n">
        <f aca="false">SUMPRODUCT(I1444:W1444,_XtX!$B$96:$P$96)</f>
        <v>44.2009868421053</v>
      </c>
      <c r="Y1444" s="0" t="n">
        <f aca="false">SUMPRODUCT(MMULT(I1444:W1444,_XtX!$B$78:$P$92),I1444:W1444)</f>
        <v>0.564984237938597</v>
      </c>
      <c r="Z1444" s="0" t="n">
        <f aca="false">04_回帰ANOVA!$K$19*04_回帰ANOVA!$K$14*SQRT(1+Y1444)</f>
        <v>1.63062229734503</v>
      </c>
      <c r="AA1444" s="0" t="n">
        <f aca="false">X1444-Z1444</f>
        <v>42.5703645447603</v>
      </c>
      <c r="AB1444" s="0" t="n">
        <f aca="false">X1444+Z1444</f>
        <v>45.8316091394503</v>
      </c>
      <c r="AC1444" s="54" t="b">
        <f aca="false">AND(E1444&gt;=01_因子設定!$L$5-0.000000001,E1444&lt;=01_因子設定!$M$5+0.000000001,F1444&gt;=01_因子設定!$L$6-0.000000001,F1444&lt;=01_因子設定!$M$6+0.000000001,G1444&gt;=01_因子設定!$L$7-0.000000001,G1444&lt;=01_因子設定!$M$7+0.000000001,H1444&gt;=01_因子設定!$L$8-0.000000001,H1444&lt;=01_因子設定!$M$8+0.000000001,IF(01_因子設定!$B$20="Box-Behnken",E1444^2+F1444^2+G1444^2+H1444^2&lt;=2+0.000000001,TRUE()))</f>
        <v>1</v>
      </c>
      <c r="AD1444" s="55" t="n">
        <f aca="false">IF(AC1444,IF(01_因子設定!$B$13="最大化",AA1444-01_因子設定!$B$14,IF(01_因子設定!$B$13="最小化",01_因子設定!$B$15-AB1444,MIN(AA1444-01_因子設定!$B$14,01_因子設定!$B$15-AB1444))),-1E+030)</f>
        <v>-3.92963545523975</v>
      </c>
      <c r="AE1444" s="55" t="n">
        <f aca="false">IF(AC1444,IF(01_因子設定!$B$13="最大化",X1444,IF(01_因子設定!$B$13="最小化",-X1444,-ABS(X1444-01_因子設定!$B$16))),-1E+030)</f>
        <v>44.2009868421053</v>
      </c>
      <c r="AF1444" s="55" t="n">
        <f aca="false">AD1444+ROW()*0.000000001</f>
        <v>-3.92963401123975</v>
      </c>
      <c r="AG1444" s="55" t="n">
        <f aca="false">AE1444+ROW()*0.000000001</f>
        <v>44.2009882861053</v>
      </c>
    </row>
    <row r="1445" customFormat="false" ht="15" hidden="false" customHeight="false" outlineLevel="0" collapsed="false">
      <c r="A1445" s="0" t="n">
        <v>1</v>
      </c>
      <c r="B1445" s="0" t="n">
        <v>8</v>
      </c>
      <c r="C1445" s="0" t="n">
        <v>7</v>
      </c>
      <c r="D1445" s="0" t="n">
        <v>0</v>
      </c>
      <c r="E1445" s="0" t="n">
        <f aca="false">-1+A1445*0.25</f>
        <v>-0.75</v>
      </c>
      <c r="F1445" s="0" t="n">
        <f aca="false">-1+B1445*0.25</f>
        <v>1</v>
      </c>
      <c r="G1445" s="0" t="n">
        <f aca="false">-1+C1445*0.25</f>
        <v>0.75</v>
      </c>
      <c r="H1445" s="0" t="n">
        <f aca="false">-1+D1445*0.25</f>
        <v>-1</v>
      </c>
      <c r="I1445" s="0" t="n">
        <f aca="false">1</f>
        <v>1</v>
      </c>
      <c r="J1445" s="0" t="n">
        <f aca="false">E1445</f>
        <v>-0.75</v>
      </c>
      <c r="K1445" s="0" t="n">
        <f aca="false">F1445</f>
        <v>1</v>
      </c>
      <c r="L1445" s="0" t="n">
        <f aca="false">G1445</f>
        <v>0.75</v>
      </c>
      <c r="M1445" s="0" t="n">
        <f aca="false">H1445</f>
        <v>-1</v>
      </c>
      <c r="N1445" s="0" t="n">
        <f aca="false">E1445*F1445</f>
        <v>-0.75</v>
      </c>
      <c r="O1445" s="0" t="n">
        <f aca="false">E1445*G1445</f>
        <v>-0.5625</v>
      </c>
      <c r="P1445" s="0" t="n">
        <f aca="false">E1445*H1445</f>
        <v>0.75</v>
      </c>
      <c r="Q1445" s="0" t="n">
        <f aca="false">F1445*G1445</f>
        <v>0.75</v>
      </c>
      <c r="R1445" s="0" t="n">
        <f aca="false">F1445*H1445</f>
        <v>-1</v>
      </c>
      <c r="S1445" s="0" t="n">
        <f aca="false">G1445*H1445</f>
        <v>-0.75</v>
      </c>
      <c r="T1445" s="0" t="n">
        <f aca="false">E1445*E1445</f>
        <v>0.5625</v>
      </c>
      <c r="U1445" s="0" t="n">
        <f aca="false">F1445*F1445</f>
        <v>1</v>
      </c>
      <c r="V1445" s="0" t="n">
        <f aca="false">G1445*G1445</f>
        <v>0.5625</v>
      </c>
      <c r="W1445" s="0" t="n">
        <f aca="false">H1445*H1445</f>
        <v>1</v>
      </c>
      <c r="X1445" s="0" t="n">
        <f aca="false">SUMPRODUCT(I1445:W1445,_XtX!$B$96:$P$96)</f>
        <v>43.8755665204679</v>
      </c>
      <c r="Y1445" s="0" t="n">
        <f aca="false">SUMPRODUCT(MMULT(I1445:W1445,_XtX!$B$78:$P$92),I1445:W1445)</f>
        <v>0.531311392086988</v>
      </c>
      <c r="Z1445" s="0" t="n">
        <f aca="false">04_回帰ANOVA!$K$19*04_回帰ANOVA!$K$14*SQRT(1+Y1445)</f>
        <v>1.61298433431428</v>
      </c>
      <c r="AA1445" s="0" t="n">
        <f aca="false">X1445-Z1445</f>
        <v>42.2625821861536</v>
      </c>
      <c r="AB1445" s="0" t="n">
        <f aca="false">X1445+Z1445</f>
        <v>45.4885508547822</v>
      </c>
      <c r="AC1445" s="54" t="b">
        <f aca="false">AND(E1445&gt;=01_因子設定!$L$5-0.000000001,E1445&lt;=01_因子設定!$M$5+0.000000001,F1445&gt;=01_因子設定!$L$6-0.000000001,F1445&lt;=01_因子設定!$M$6+0.000000001,G1445&gt;=01_因子設定!$L$7-0.000000001,G1445&lt;=01_因子設定!$M$7+0.000000001,H1445&gt;=01_因子設定!$L$8-0.000000001,H1445&lt;=01_因子設定!$M$8+0.000000001,IF(01_因子設定!$B$20="Box-Behnken",E1445^2+F1445^2+G1445^2+H1445^2&lt;=2+0.000000001,TRUE()))</f>
        <v>1</v>
      </c>
      <c r="AD1445" s="55" t="n">
        <f aca="false">IF(AC1445,IF(01_因子設定!$B$13="最大化",AA1445-01_因子設定!$B$14,IF(01_因子設定!$B$13="最小化",01_因子設定!$B$15-AB1445,MIN(AA1445-01_因子設定!$B$14,01_因子設定!$B$15-AB1445))),-1E+030)</f>
        <v>-4.23741781384642</v>
      </c>
      <c r="AE1445" s="55" t="n">
        <f aca="false">IF(AC1445,IF(01_因子設定!$B$13="最大化",X1445,IF(01_因子設定!$B$13="最小化",-X1445,-ABS(X1445-01_因子設定!$B$16))),-1E+030)</f>
        <v>43.8755665204679</v>
      </c>
      <c r="AF1445" s="55" t="n">
        <f aca="false">AD1445+ROW()*0.000000001</f>
        <v>-4.23741636884642</v>
      </c>
      <c r="AG1445" s="55" t="n">
        <f aca="false">AE1445+ROW()*0.000000001</f>
        <v>43.8755679654679</v>
      </c>
    </row>
    <row r="1446" customFormat="false" ht="15" hidden="false" customHeight="false" outlineLevel="0" collapsed="false">
      <c r="A1446" s="0" t="n">
        <v>1</v>
      </c>
      <c r="B1446" s="0" t="n">
        <v>8</v>
      </c>
      <c r="C1446" s="0" t="n">
        <v>7</v>
      </c>
      <c r="D1446" s="0" t="n">
        <v>1</v>
      </c>
      <c r="E1446" s="0" t="n">
        <f aca="false">-1+A1446*0.25</f>
        <v>-0.75</v>
      </c>
      <c r="F1446" s="0" t="n">
        <f aca="false">-1+B1446*0.25</f>
        <v>1</v>
      </c>
      <c r="G1446" s="0" t="n">
        <f aca="false">-1+C1446*0.25</f>
        <v>0.75</v>
      </c>
      <c r="H1446" s="0" t="n">
        <f aca="false">-1+D1446*0.25</f>
        <v>-0.75</v>
      </c>
      <c r="I1446" s="0" t="n">
        <f aca="false">1</f>
        <v>1</v>
      </c>
      <c r="J1446" s="0" t="n">
        <f aca="false">E1446</f>
        <v>-0.75</v>
      </c>
      <c r="K1446" s="0" t="n">
        <f aca="false">F1446</f>
        <v>1</v>
      </c>
      <c r="L1446" s="0" t="n">
        <f aca="false">G1446</f>
        <v>0.75</v>
      </c>
      <c r="M1446" s="0" t="n">
        <f aca="false">H1446</f>
        <v>-0.75</v>
      </c>
      <c r="N1446" s="0" t="n">
        <f aca="false">E1446*F1446</f>
        <v>-0.75</v>
      </c>
      <c r="O1446" s="0" t="n">
        <f aca="false">E1446*G1446</f>
        <v>-0.5625</v>
      </c>
      <c r="P1446" s="0" t="n">
        <f aca="false">E1446*H1446</f>
        <v>0.5625</v>
      </c>
      <c r="Q1446" s="0" t="n">
        <f aca="false">F1446*G1446</f>
        <v>0.75</v>
      </c>
      <c r="R1446" s="0" t="n">
        <f aca="false">F1446*H1446</f>
        <v>-0.75</v>
      </c>
      <c r="S1446" s="0" t="n">
        <f aca="false">G1446*H1446</f>
        <v>-0.5625</v>
      </c>
      <c r="T1446" s="0" t="n">
        <f aca="false">E1446*E1446</f>
        <v>0.5625</v>
      </c>
      <c r="U1446" s="0" t="n">
        <f aca="false">F1446*F1446</f>
        <v>1</v>
      </c>
      <c r="V1446" s="0" t="n">
        <f aca="false">G1446*G1446</f>
        <v>0.5625</v>
      </c>
      <c r="W1446" s="0" t="n">
        <f aca="false">H1446*H1446</f>
        <v>0.5625</v>
      </c>
      <c r="X1446" s="0" t="n">
        <f aca="false">SUMPRODUCT(I1446:W1446,_XtX!$B$96:$P$96)</f>
        <v>44.1216237207602</v>
      </c>
      <c r="Y1446" s="0" t="n">
        <f aca="false">SUMPRODUCT(MMULT(I1446:W1446,_XtX!$B$78:$P$92),I1446:W1446)</f>
        <v>0.420117473044591</v>
      </c>
      <c r="Z1446" s="0" t="n">
        <f aca="false">04_回帰ANOVA!$K$19*04_回帰ANOVA!$K$14*SQRT(1+Y1446)</f>
        <v>1.55331854827765</v>
      </c>
      <c r="AA1446" s="0" t="n">
        <f aca="false">X1446-Z1446</f>
        <v>42.5683051724826</v>
      </c>
      <c r="AB1446" s="0" t="n">
        <f aca="false">X1446+Z1446</f>
        <v>45.6749422690379</v>
      </c>
      <c r="AC1446" s="54" t="b">
        <f aca="false">AND(E1446&gt;=01_因子設定!$L$5-0.000000001,E1446&lt;=01_因子設定!$M$5+0.000000001,F1446&gt;=01_因子設定!$L$6-0.000000001,F1446&lt;=01_因子設定!$M$6+0.000000001,G1446&gt;=01_因子設定!$L$7-0.000000001,G1446&lt;=01_因子設定!$M$7+0.000000001,H1446&gt;=01_因子設定!$L$8-0.000000001,H1446&lt;=01_因子設定!$M$8+0.000000001,IF(01_因子設定!$B$20="Box-Behnken",E1446^2+F1446^2+G1446^2+H1446^2&lt;=2+0.000000001,TRUE()))</f>
        <v>1</v>
      </c>
      <c r="AD1446" s="55" t="n">
        <f aca="false">IF(AC1446,IF(01_因子設定!$B$13="最大化",AA1446-01_因子設定!$B$14,IF(01_因子設定!$B$13="最小化",01_因子設定!$B$15-AB1446,MIN(AA1446-01_因子設定!$B$14,01_因子設定!$B$15-AB1446))),-1E+030)</f>
        <v>-3.9316948275174</v>
      </c>
      <c r="AE1446" s="55" t="n">
        <f aca="false">IF(AC1446,IF(01_因子設定!$B$13="最大化",X1446,IF(01_因子設定!$B$13="最小化",-X1446,-ABS(X1446-01_因子設定!$B$16))),-1E+030)</f>
        <v>44.1216237207602</v>
      </c>
      <c r="AF1446" s="55" t="n">
        <f aca="false">AD1446+ROW()*0.000000001</f>
        <v>-3.9316933815174</v>
      </c>
      <c r="AG1446" s="55" t="n">
        <f aca="false">AE1446+ROW()*0.000000001</f>
        <v>44.1216251667602</v>
      </c>
    </row>
    <row r="1447" customFormat="false" ht="15" hidden="false" customHeight="false" outlineLevel="0" collapsed="false">
      <c r="A1447" s="0" t="n">
        <v>1</v>
      </c>
      <c r="B1447" s="0" t="n">
        <v>8</v>
      </c>
      <c r="C1447" s="0" t="n">
        <v>7</v>
      </c>
      <c r="D1447" s="0" t="n">
        <v>2</v>
      </c>
      <c r="E1447" s="0" t="n">
        <f aca="false">-1+A1447*0.25</f>
        <v>-0.75</v>
      </c>
      <c r="F1447" s="0" t="n">
        <f aca="false">-1+B1447*0.25</f>
        <v>1</v>
      </c>
      <c r="G1447" s="0" t="n">
        <f aca="false">-1+C1447*0.25</f>
        <v>0.75</v>
      </c>
      <c r="H1447" s="0" t="n">
        <f aca="false">-1+D1447*0.25</f>
        <v>-0.5</v>
      </c>
      <c r="I1447" s="0" t="n">
        <f aca="false">1</f>
        <v>1</v>
      </c>
      <c r="J1447" s="0" t="n">
        <f aca="false">E1447</f>
        <v>-0.75</v>
      </c>
      <c r="K1447" s="0" t="n">
        <f aca="false">F1447</f>
        <v>1</v>
      </c>
      <c r="L1447" s="0" t="n">
        <f aca="false">G1447</f>
        <v>0.75</v>
      </c>
      <c r="M1447" s="0" t="n">
        <f aca="false">H1447</f>
        <v>-0.5</v>
      </c>
      <c r="N1447" s="0" t="n">
        <f aca="false">E1447*F1447</f>
        <v>-0.75</v>
      </c>
      <c r="O1447" s="0" t="n">
        <f aca="false">E1447*G1447</f>
        <v>-0.5625</v>
      </c>
      <c r="P1447" s="0" t="n">
        <f aca="false">E1447*H1447</f>
        <v>0.375</v>
      </c>
      <c r="Q1447" s="0" t="n">
        <f aca="false">F1447*G1447</f>
        <v>0.75</v>
      </c>
      <c r="R1447" s="0" t="n">
        <f aca="false">F1447*H1447</f>
        <v>-0.5</v>
      </c>
      <c r="S1447" s="0" t="n">
        <f aca="false">G1447*H1447</f>
        <v>-0.375</v>
      </c>
      <c r="T1447" s="0" t="n">
        <f aca="false">E1447*E1447</f>
        <v>0.5625</v>
      </c>
      <c r="U1447" s="0" t="n">
        <f aca="false">F1447*F1447</f>
        <v>1</v>
      </c>
      <c r="V1447" s="0" t="n">
        <f aca="false">G1447*G1447</f>
        <v>0.5625</v>
      </c>
      <c r="W1447" s="0" t="n">
        <f aca="false">H1447*H1447</f>
        <v>0.25</v>
      </c>
      <c r="X1447" s="0" t="n">
        <f aca="false">SUMPRODUCT(I1447:W1447,_XtX!$B$96:$P$96)</f>
        <v>44.3198739035088</v>
      </c>
      <c r="Y1447" s="0" t="n">
        <f aca="false">SUMPRODUCT(MMULT(I1447:W1447,_XtX!$B$78:$P$92),I1447:W1447)</f>
        <v>0.431153771472953</v>
      </c>
      <c r="Z1447" s="0" t="n">
        <f aca="false">04_回帰ANOVA!$K$19*04_回帰ANOVA!$K$14*SQRT(1+Y1447)</f>
        <v>1.55934259562563</v>
      </c>
      <c r="AA1447" s="0" t="n">
        <f aca="false">X1447-Z1447</f>
        <v>42.7605313078831</v>
      </c>
      <c r="AB1447" s="0" t="n">
        <f aca="false">X1447+Z1447</f>
        <v>45.8792164991344</v>
      </c>
      <c r="AC1447" s="54" t="b">
        <f aca="false">AND(E1447&gt;=01_因子設定!$L$5-0.000000001,E1447&lt;=01_因子設定!$M$5+0.000000001,F1447&gt;=01_因子設定!$L$6-0.000000001,F1447&lt;=01_因子設定!$M$6+0.000000001,G1447&gt;=01_因子設定!$L$7-0.000000001,G1447&lt;=01_因子設定!$M$7+0.000000001,H1447&gt;=01_因子設定!$L$8-0.000000001,H1447&lt;=01_因子設定!$M$8+0.000000001,IF(01_因子設定!$B$20="Box-Behnken",E1447^2+F1447^2+G1447^2+H1447^2&lt;=2+0.000000001,TRUE()))</f>
        <v>1</v>
      </c>
      <c r="AD1447" s="55" t="n">
        <f aca="false">IF(AC1447,IF(01_因子設定!$B$13="最大化",AA1447-01_因子設定!$B$14,IF(01_因子設定!$B$13="最小化",01_因子設定!$B$15-AB1447,MIN(AA1447-01_因子設定!$B$14,01_因子設定!$B$15-AB1447))),-1E+030)</f>
        <v>-3.73946869211686</v>
      </c>
      <c r="AE1447" s="55" t="n">
        <f aca="false">IF(AC1447,IF(01_因子設定!$B$13="最大化",X1447,IF(01_因子設定!$B$13="最小化",-X1447,-ABS(X1447-01_因子設定!$B$16))),-1E+030)</f>
        <v>44.3198739035088</v>
      </c>
      <c r="AF1447" s="55" t="n">
        <f aca="false">AD1447+ROW()*0.000000001</f>
        <v>-3.73946724511686</v>
      </c>
      <c r="AG1447" s="55" t="n">
        <f aca="false">AE1447+ROW()*0.000000001</f>
        <v>44.3198753505088</v>
      </c>
    </row>
    <row r="1448" customFormat="false" ht="15" hidden="false" customHeight="false" outlineLevel="0" collapsed="false">
      <c r="A1448" s="0" t="n">
        <v>1</v>
      </c>
      <c r="B1448" s="0" t="n">
        <v>8</v>
      </c>
      <c r="C1448" s="0" t="n">
        <v>7</v>
      </c>
      <c r="D1448" s="0" t="n">
        <v>3</v>
      </c>
      <c r="E1448" s="0" t="n">
        <f aca="false">-1+A1448*0.25</f>
        <v>-0.75</v>
      </c>
      <c r="F1448" s="0" t="n">
        <f aca="false">-1+B1448*0.25</f>
        <v>1</v>
      </c>
      <c r="G1448" s="0" t="n">
        <f aca="false">-1+C1448*0.25</f>
        <v>0.75</v>
      </c>
      <c r="H1448" s="0" t="n">
        <f aca="false">-1+D1448*0.25</f>
        <v>-0.25</v>
      </c>
      <c r="I1448" s="0" t="n">
        <f aca="false">1</f>
        <v>1</v>
      </c>
      <c r="J1448" s="0" t="n">
        <f aca="false">E1448</f>
        <v>-0.75</v>
      </c>
      <c r="K1448" s="0" t="n">
        <f aca="false">F1448</f>
        <v>1</v>
      </c>
      <c r="L1448" s="0" t="n">
        <f aca="false">G1448</f>
        <v>0.75</v>
      </c>
      <c r="M1448" s="0" t="n">
        <f aca="false">H1448</f>
        <v>-0.25</v>
      </c>
      <c r="N1448" s="0" t="n">
        <f aca="false">E1448*F1448</f>
        <v>-0.75</v>
      </c>
      <c r="O1448" s="0" t="n">
        <f aca="false">E1448*G1448</f>
        <v>-0.5625</v>
      </c>
      <c r="P1448" s="0" t="n">
        <f aca="false">E1448*H1448</f>
        <v>0.1875</v>
      </c>
      <c r="Q1448" s="0" t="n">
        <f aca="false">F1448*G1448</f>
        <v>0.75</v>
      </c>
      <c r="R1448" s="0" t="n">
        <f aca="false">F1448*H1448</f>
        <v>-0.25</v>
      </c>
      <c r="S1448" s="0" t="n">
        <f aca="false">G1448*H1448</f>
        <v>-0.1875</v>
      </c>
      <c r="T1448" s="0" t="n">
        <f aca="false">E1448*E1448</f>
        <v>0.5625</v>
      </c>
      <c r="U1448" s="0" t="n">
        <f aca="false">F1448*F1448</f>
        <v>1</v>
      </c>
      <c r="V1448" s="0" t="n">
        <f aca="false">G1448*G1448</f>
        <v>0.5625</v>
      </c>
      <c r="W1448" s="0" t="n">
        <f aca="false">H1448*H1448</f>
        <v>0.0625</v>
      </c>
      <c r="X1448" s="0" t="n">
        <f aca="false">SUMPRODUCT(I1448:W1448,_XtX!$B$96:$P$96)</f>
        <v>44.4703170687134</v>
      </c>
      <c r="Y1448" s="0" t="n">
        <f aca="false">SUMPRODUCT(MMULT(I1448:W1448,_XtX!$B$78:$P$92),I1448:W1448)</f>
        <v>0.473959761056287</v>
      </c>
      <c r="Z1448" s="0" t="n">
        <f aca="false">04_回帰ANOVA!$K$19*04_回帰ANOVA!$K$14*SQRT(1+Y1448)</f>
        <v>1.58249084588329</v>
      </c>
      <c r="AA1448" s="0" t="n">
        <f aca="false">X1448-Z1448</f>
        <v>42.8878262228302</v>
      </c>
      <c r="AB1448" s="0" t="n">
        <f aca="false">X1448+Z1448</f>
        <v>46.0528079145967</v>
      </c>
      <c r="AC1448" s="54" t="b">
        <f aca="false">AND(E1448&gt;=01_因子設定!$L$5-0.000000001,E1448&lt;=01_因子設定!$M$5+0.000000001,F1448&gt;=01_因子設定!$L$6-0.000000001,F1448&lt;=01_因子設定!$M$6+0.000000001,G1448&gt;=01_因子設定!$L$7-0.000000001,G1448&lt;=01_因子設定!$M$7+0.000000001,H1448&gt;=01_因子設定!$L$8-0.000000001,H1448&lt;=01_因子設定!$M$8+0.000000001,IF(01_因子設定!$B$20="Box-Behnken",E1448^2+F1448^2+G1448^2+H1448^2&lt;=2+0.000000001,TRUE()))</f>
        <v>1</v>
      </c>
      <c r="AD1448" s="55" t="n">
        <f aca="false">IF(AC1448,IF(01_因子設定!$B$13="最大化",AA1448-01_因子設定!$B$14,IF(01_因子設定!$B$13="最小化",01_因子設定!$B$15-AB1448,MIN(AA1448-01_因子設定!$B$14,01_因子設定!$B$15-AB1448))),-1E+030)</f>
        <v>-3.61217377716984</v>
      </c>
      <c r="AE1448" s="55" t="n">
        <f aca="false">IF(AC1448,IF(01_因子設定!$B$13="最大化",X1448,IF(01_因子設定!$B$13="最小化",-X1448,-ABS(X1448-01_因子設定!$B$16))),-1E+030)</f>
        <v>44.4703170687134</v>
      </c>
      <c r="AF1448" s="55" t="n">
        <f aca="false">AD1448+ROW()*0.000000001</f>
        <v>-3.61217232916984</v>
      </c>
      <c r="AG1448" s="55" t="n">
        <f aca="false">AE1448+ROW()*0.000000001</f>
        <v>44.4703185167134</v>
      </c>
    </row>
    <row r="1449" customFormat="false" ht="15" hidden="false" customHeight="false" outlineLevel="0" collapsed="false">
      <c r="A1449" s="0" t="n">
        <v>1</v>
      </c>
      <c r="B1449" s="0" t="n">
        <v>8</v>
      </c>
      <c r="C1449" s="0" t="n">
        <v>7</v>
      </c>
      <c r="D1449" s="0" t="n">
        <v>4</v>
      </c>
      <c r="E1449" s="0" t="n">
        <f aca="false">-1+A1449*0.25</f>
        <v>-0.75</v>
      </c>
      <c r="F1449" s="0" t="n">
        <f aca="false">-1+B1449*0.25</f>
        <v>1</v>
      </c>
      <c r="G1449" s="0" t="n">
        <f aca="false">-1+C1449*0.25</f>
        <v>0.75</v>
      </c>
      <c r="H1449" s="0" t="n">
        <f aca="false">-1+D1449*0.25</f>
        <v>0</v>
      </c>
      <c r="I1449" s="0" t="n">
        <f aca="false">1</f>
        <v>1</v>
      </c>
      <c r="J1449" s="0" t="n">
        <f aca="false">E1449</f>
        <v>-0.75</v>
      </c>
      <c r="K1449" s="0" t="n">
        <f aca="false">F1449</f>
        <v>1</v>
      </c>
      <c r="L1449" s="0" t="n">
        <f aca="false">G1449</f>
        <v>0.75</v>
      </c>
      <c r="M1449" s="0" t="n">
        <f aca="false">H1449</f>
        <v>0</v>
      </c>
      <c r="N1449" s="0" t="n">
        <f aca="false">E1449*F1449</f>
        <v>-0.75</v>
      </c>
      <c r="O1449" s="0" t="n">
        <f aca="false">E1449*G1449</f>
        <v>-0.5625</v>
      </c>
      <c r="P1449" s="0" t="n">
        <f aca="false">E1449*H1449</f>
        <v>-0</v>
      </c>
      <c r="Q1449" s="0" t="n">
        <f aca="false">F1449*G1449</f>
        <v>0.75</v>
      </c>
      <c r="R1449" s="0" t="n">
        <f aca="false">F1449*H1449</f>
        <v>0</v>
      </c>
      <c r="S1449" s="0" t="n">
        <f aca="false">G1449*H1449</f>
        <v>0</v>
      </c>
      <c r="T1449" s="0" t="n">
        <f aca="false">E1449*E1449</f>
        <v>0.5625</v>
      </c>
      <c r="U1449" s="0" t="n">
        <f aca="false">F1449*F1449</f>
        <v>1</v>
      </c>
      <c r="V1449" s="0" t="n">
        <f aca="false">G1449*G1449</f>
        <v>0.5625</v>
      </c>
      <c r="W1449" s="0" t="n">
        <f aca="false">H1449*H1449</f>
        <v>0</v>
      </c>
      <c r="X1449" s="0" t="n">
        <f aca="false">SUMPRODUCT(I1449:W1449,_XtX!$B$96:$P$96)</f>
        <v>44.5729532163743</v>
      </c>
      <c r="Y1449" s="0" t="n">
        <f aca="false">SUMPRODUCT(MMULT(I1449:W1449,_XtX!$B$78:$P$92),I1449:W1449)</f>
        <v>0.494259126005117</v>
      </c>
      <c r="Z1449" s="0" t="n">
        <f aca="false">04_回帰ANOVA!$K$19*04_回帰ANOVA!$K$14*SQRT(1+Y1449)</f>
        <v>1.59335061078203</v>
      </c>
      <c r="AA1449" s="0" t="n">
        <f aca="false">X1449-Z1449</f>
        <v>42.9796026055922</v>
      </c>
      <c r="AB1449" s="0" t="n">
        <f aca="false">X1449+Z1449</f>
        <v>46.1663038271563</v>
      </c>
      <c r="AC1449" s="54" t="b">
        <f aca="false">AND(E1449&gt;=01_因子設定!$L$5-0.000000001,E1449&lt;=01_因子設定!$M$5+0.000000001,F1449&gt;=01_因子設定!$L$6-0.000000001,F1449&lt;=01_因子設定!$M$6+0.000000001,G1449&gt;=01_因子設定!$L$7-0.000000001,G1449&lt;=01_因子設定!$M$7+0.000000001,H1449&gt;=01_因子設定!$L$8-0.000000001,H1449&lt;=01_因子設定!$M$8+0.000000001,IF(01_因子設定!$B$20="Box-Behnken",E1449^2+F1449^2+G1449^2+H1449^2&lt;=2+0.000000001,TRUE()))</f>
        <v>1</v>
      </c>
      <c r="AD1449" s="55" t="n">
        <f aca="false">IF(AC1449,IF(01_因子設定!$B$13="最大化",AA1449-01_因子設定!$B$14,IF(01_因子設定!$B$13="最小化",01_因子設定!$B$15-AB1449,MIN(AA1449-01_因子設定!$B$14,01_因子設定!$B$15-AB1449))),-1E+030)</f>
        <v>-3.52039739440777</v>
      </c>
      <c r="AE1449" s="55" t="n">
        <f aca="false">IF(AC1449,IF(01_因子設定!$B$13="最大化",X1449,IF(01_因子設定!$B$13="最小化",-X1449,-ABS(X1449-01_因子設定!$B$16))),-1E+030)</f>
        <v>44.5729532163743</v>
      </c>
      <c r="AF1449" s="55" t="n">
        <f aca="false">AD1449+ROW()*0.000000001</f>
        <v>-3.52039594540777</v>
      </c>
      <c r="AG1449" s="55" t="n">
        <f aca="false">AE1449+ROW()*0.000000001</f>
        <v>44.5729546653743</v>
      </c>
    </row>
    <row r="1450" customFormat="false" ht="15" hidden="false" customHeight="false" outlineLevel="0" collapsed="false">
      <c r="A1450" s="0" t="n">
        <v>1</v>
      </c>
      <c r="B1450" s="0" t="n">
        <v>8</v>
      </c>
      <c r="C1450" s="0" t="n">
        <v>7</v>
      </c>
      <c r="D1450" s="0" t="n">
        <v>5</v>
      </c>
      <c r="E1450" s="0" t="n">
        <f aca="false">-1+A1450*0.25</f>
        <v>-0.75</v>
      </c>
      <c r="F1450" s="0" t="n">
        <f aca="false">-1+B1450*0.25</f>
        <v>1</v>
      </c>
      <c r="G1450" s="0" t="n">
        <f aca="false">-1+C1450*0.25</f>
        <v>0.75</v>
      </c>
      <c r="H1450" s="0" t="n">
        <f aca="false">-1+D1450*0.25</f>
        <v>0.25</v>
      </c>
      <c r="I1450" s="0" t="n">
        <f aca="false">1</f>
        <v>1</v>
      </c>
      <c r="J1450" s="0" t="n">
        <f aca="false">E1450</f>
        <v>-0.75</v>
      </c>
      <c r="K1450" s="0" t="n">
        <f aca="false">F1450</f>
        <v>1</v>
      </c>
      <c r="L1450" s="0" t="n">
        <f aca="false">G1450</f>
        <v>0.75</v>
      </c>
      <c r="M1450" s="0" t="n">
        <f aca="false">H1450</f>
        <v>0.25</v>
      </c>
      <c r="N1450" s="0" t="n">
        <f aca="false">E1450*F1450</f>
        <v>-0.75</v>
      </c>
      <c r="O1450" s="0" t="n">
        <f aca="false">E1450*G1450</f>
        <v>-0.5625</v>
      </c>
      <c r="P1450" s="0" t="n">
        <f aca="false">E1450*H1450</f>
        <v>-0.1875</v>
      </c>
      <c r="Q1450" s="0" t="n">
        <f aca="false">F1450*G1450</f>
        <v>0.75</v>
      </c>
      <c r="R1450" s="0" t="n">
        <f aca="false">F1450*H1450</f>
        <v>0.25</v>
      </c>
      <c r="S1450" s="0" t="n">
        <f aca="false">G1450*H1450</f>
        <v>0.1875</v>
      </c>
      <c r="T1450" s="0" t="n">
        <f aca="false">E1450*E1450</f>
        <v>0.5625</v>
      </c>
      <c r="U1450" s="0" t="n">
        <f aca="false">F1450*F1450</f>
        <v>1</v>
      </c>
      <c r="V1450" s="0" t="n">
        <f aca="false">G1450*G1450</f>
        <v>0.5625</v>
      </c>
      <c r="W1450" s="0" t="n">
        <f aca="false">H1450*H1450</f>
        <v>0.0625</v>
      </c>
      <c r="X1450" s="0" t="n">
        <f aca="false">SUMPRODUCT(I1450:W1450,_XtX!$B$96:$P$96)</f>
        <v>44.6277823464912</v>
      </c>
      <c r="Y1450" s="0" t="n">
        <f aca="false">SUMPRODUCT(MMULT(I1450:W1450,_XtX!$B$78:$P$92),I1450:W1450)</f>
        <v>0.473959761056287</v>
      </c>
      <c r="Z1450" s="0" t="n">
        <f aca="false">04_回帰ANOVA!$K$19*04_回帰ANOVA!$K$14*SQRT(1+Y1450)</f>
        <v>1.58249084588329</v>
      </c>
      <c r="AA1450" s="0" t="n">
        <f aca="false">X1450-Z1450</f>
        <v>43.0452915006079</v>
      </c>
      <c r="AB1450" s="0" t="n">
        <f aca="false">X1450+Z1450</f>
        <v>46.2102731923745</v>
      </c>
      <c r="AC1450" s="54" t="b">
        <f aca="false">AND(E1450&gt;=01_因子設定!$L$5-0.000000001,E1450&lt;=01_因子設定!$M$5+0.000000001,F1450&gt;=01_因子設定!$L$6-0.000000001,F1450&lt;=01_因子設定!$M$6+0.000000001,G1450&gt;=01_因子設定!$L$7-0.000000001,G1450&lt;=01_因子設定!$M$7+0.000000001,H1450&gt;=01_因子設定!$L$8-0.000000001,H1450&lt;=01_因子設定!$M$8+0.000000001,IF(01_因子設定!$B$20="Box-Behnken",E1450^2+F1450^2+G1450^2+H1450^2&lt;=2+0.000000001,TRUE()))</f>
        <v>1</v>
      </c>
      <c r="AD1450" s="55" t="n">
        <f aca="false">IF(AC1450,IF(01_因子設定!$B$13="最大化",AA1450-01_因子設定!$B$14,IF(01_因子設定!$B$13="最小化",01_因子設定!$B$15-AB1450,MIN(AA1450-01_因子設定!$B$14,01_因子設定!$B$15-AB1450))),-1E+030)</f>
        <v>-3.45470849939207</v>
      </c>
      <c r="AE1450" s="55" t="n">
        <f aca="false">IF(AC1450,IF(01_因子設定!$B$13="最大化",X1450,IF(01_因子設定!$B$13="最小化",-X1450,-ABS(X1450-01_因子設定!$B$16))),-1E+030)</f>
        <v>44.6277823464912</v>
      </c>
      <c r="AF1450" s="55" t="n">
        <f aca="false">AD1450+ROW()*0.000000001</f>
        <v>-3.45470704939207</v>
      </c>
      <c r="AG1450" s="55" t="n">
        <f aca="false">AE1450+ROW()*0.000000001</f>
        <v>44.6277837964912</v>
      </c>
    </row>
    <row r="1451" customFormat="false" ht="15" hidden="false" customHeight="false" outlineLevel="0" collapsed="false">
      <c r="A1451" s="0" t="n">
        <v>1</v>
      </c>
      <c r="B1451" s="0" t="n">
        <v>8</v>
      </c>
      <c r="C1451" s="0" t="n">
        <v>7</v>
      </c>
      <c r="D1451" s="0" t="n">
        <v>6</v>
      </c>
      <c r="E1451" s="0" t="n">
        <f aca="false">-1+A1451*0.25</f>
        <v>-0.75</v>
      </c>
      <c r="F1451" s="0" t="n">
        <f aca="false">-1+B1451*0.25</f>
        <v>1</v>
      </c>
      <c r="G1451" s="0" t="n">
        <f aca="false">-1+C1451*0.25</f>
        <v>0.75</v>
      </c>
      <c r="H1451" s="0" t="n">
        <f aca="false">-1+D1451*0.25</f>
        <v>0.5</v>
      </c>
      <c r="I1451" s="0" t="n">
        <f aca="false">1</f>
        <v>1</v>
      </c>
      <c r="J1451" s="0" t="n">
        <f aca="false">E1451</f>
        <v>-0.75</v>
      </c>
      <c r="K1451" s="0" t="n">
        <f aca="false">F1451</f>
        <v>1</v>
      </c>
      <c r="L1451" s="0" t="n">
        <f aca="false">G1451</f>
        <v>0.75</v>
      </c>
      <c r="M1451" s="0" t="n">
        <f aca="false">H1451</f>
        <v>0.5</v>
      </c>
      <c r="N1451" s="0" t="n">
        <f aca="false">E1451*F1451</f>
        <v>-0.75</v>
      </c>
      <c r="O1451" s="0" t="n">
        <f aca="false">E1451*G1451</f>
        <v>-0.5625</v>
      </c>
      <c r="P1451" s="0" t="n">
        <f aca="false">E1451*H1451</f>
        <v>-0.375</v>
      </c>
      <c r="Q1451" s="0" t="n">
        <f aca="false">F1451*G1451</f>
        <v>0.75</v>
      </c>
      <c r="R1451" s="0" t="n">
        <f aca="false">F1451*H1451</f>
        <v>0.5</v>
      </c>
      <c r="S1451" s="0" t="n">
        <f aca="false">G1451*H1451</f>
        <v>0.375</v>
      </c>
      <c r="T1451" s="0" t="n">
        <f aca="false">E1451*E1451</f>
        <v>0.5625</v>
      </c>
      <c r="U1451" s="0" t="n">
        <f aca="false">F1451*F1451</f>
        <v>1</v>
      </c>
      <c r="V1451" s="0" t="n">
        <f aca="false">G1451*G1451</f>
        <v>0.5625</v>
      </c>
      <c r="W1451" s="0" t="n">
        <f aca="false">H1451*H1451</f>
        <v>0.25</v>
      </c>
      <c r="X1451" s="0" t="n">
        <f aca="false">SUMPRODUCT(I1451:W1451,_XtX!$B$96:$P$96)</f>
        <v>44.6348044590643</v>
      </c>
      <c r="Y1451" s="0" t="n">
        <f aca="false">SUMPRODUCT(MMULT(I1451:W1451,_XtX!$B$78:$P$92),I1451:W1451)</f>
        <v>0.431153771472953</v>
      </c>
      <c r="Z1451" s="0" t="n">
        <f aca="false">04_回帰ANOVA!$K$19*04_回帰ANOVA!$K$14*SQRT(1+Y1451)</f>
        <v>1.55934259562563</v>
      </c>
      <c r="AA1451" s="0" t="n">
        <f aca="false">X1451-Z1451</f>
        <v>43.0754618634387</v>
      </c>
      <c r="AB1451" s="0" t="n">
        <f aca="false">X1451+Z1451</f>
        <v>46.19414705469</v>
      </c>
      <c r="AC1451" s="54" t="b">
        <f aca="false">AND(E1451&gt;=01_因子設定!$L$5-0.000000001,E1451&lt;=01_因子設定!$M$5+0.000000001,F1451&gt;=01_因子設定!$L$6-0.000000001,F1451&lt;=01_因子設定!$M$6+0.000000001,G1451&gt;=01_因子設定!$L$7-0.000000001,G1451&lt;=01_因子設定!$M$7+0.000000001,H1451&gt;=01_因子設定!$L$8-0.000000001,H1451&lt;=01_因子設定!$M$8+0.000000001,IF(01_因子設定!$B$20="Box-Behnken",E1451^2+F1451^2+G1451^2+H1451^2&lt;=2+0.000000001,TRUE()))</f>
        <v>1</v>
      </c>
      <c r="AD1451" s="55" t="n">
        <f aca="false">IF(AC1451,IF(01_因子設定!$B$13="最大化",AA1451-01_因子設定!$B$14,IF(01_因子設定!$B$13="最小化",01_因子設定!$B$15-AB1451,MIN(AA1451-01_因子設定!$B$14,01_因子設定!$B$15-AB1451))),-1E+030)</f>
        <v>-3.4245381365613</v>
      </c>
      <c r="AE1451" s="55" t="n">
        <f aca="false">IF(AC1451,IF(01_因子設定!$B$13="最大化",X1451,IF(01_因子設定!$B$13="最小化",-X1451,-ABS(X1451-01_因子設定!$B$16))),-1E+030)</f>
        <v>44.6348044590643</v>
      </c>
      <c r="AF1451" s="55" t="n">
        <f aca="false">AD1451+ROW()*0.000000001</f>
        <v>-3.4245366855613</v>
      </c>
      <c r="AG1451" s="55" t="n">
        <f aca="false">AE1451+ROW()*0.000000001</f>
        <v>44.6348059100643</v>
      </c>
    </row>
    <row r="1452" customFormat="false" ht="15" hidden="false" customHeight="false" outlineLevel="0" collapsed="false">
      <c r="A1452" s="0" t="n">
        <v>1</v>
      </c>
      <c r="B1452" s="0" t="n">
        <v>8</v>
      </c>
      <c r="C1452" s="0" t="n">
        <v>7</v>
      </c>
      <c r="D1452" s="0" t="n">
        <v>7</v>
      </c>
      <c r="E1452" s="0" t="n">
        <f aca="false">-1+A1452*0.25</f>
        <v>-0.75</v>
      </c>
      <c r="F1452" s="0" t="n">
        <f aca="false">-1+B1452*0.25</f>
        <v>1</v>
      </c>
      <c r="G1452" s="0" t="n">
        <f aca="false">-1+C1452*0.25</f>
        <v>0.75</v>
      </c>
      <c r="H1452" s="0" t="n">
        <f aca="false">-1+D1452*0.25</f>
        <v>0.75</v>
      </c>
      <c r="I1452" s="0" t="n">
        <f aca="false">1</f>
        <v>1</v>
      </c>
      <c r="J1452" s="0" t="n">
        <f aca="false">E1452</f>
        <v>-0.75</v>
      </c>
      <c r="K1452" s="0" t="n">
        <f aca="false">F1452</f>
        <v>1</v>
      </c>
      <c r="L1452" s="0" t="n">
        <f aca="false">G1452</f>
        <v>0.75</v>
      </c>
      <c r="M1452" s="0" t="n">
        <f aca="false">H1452</f>
        <v>0.75</v>
      </c>
      <c r="N1452" s="0" t="n">
        <f aca="false">E1452*F1452</f>
        <v>-0.75</v>
      </c>
      <c r="O1452" s="0" t="n">
        <f aca="false">E1452*G1452</f>
        <v>-0.5625</v>
      </c>
      <c r="P1452" s="0" t="n">
        <f aca="false">E1452*H1452</f>
        <v>-0.5625</v>
      </c>
      <c r="Q1452" s="0" t="n">
        <f aca="false">F1452*G1452</f>
        <v>0.75</v>
      </c>
      <c r="R1452" s="0" t="n">
        <f aca="false">F1452*H1452</f>
        <v>0.75</v>
      </c>
      <c r="S1452" s="0" t="n">
        <f aca="false">G1452*H1452</f>
        <v>0.5625</v>
      </c>
      <c r="T1452" s="0" t="n">
        <f aca="false">E1452*E1452</f>
        <v>0.5625</v>
      </c>
      <c r="U1452" s="0" t="n">
        <f aca="false">F1452*F1452</f>
        <v>1</v>
      </c>
      <c r="V1452" s="0" t="n">
        <f aca="false">G1452*G1452</f>
        <v>0.5625</v>
      </c>
      <c r="W1452" s="0" t="n">
        <f aca="false">H1452*H1452</f>
        <v>0.5625</v>
      </c>
      <c r="X1452" s="0" t="n">
        <f aca="false">SUMPRODUCT(I1452:W1452,_XtX!$B$96:$P$96)</f>
        <v>44.5940195540936</v>
      </c>
      <c r="Y1452" s="0" t="n">
        <f aca="false">SUMPRODUCT(MMULT(I1452:W1452,_XtX!$B$78:$P$92),I1452:W1452)</f>
        <v>0.420117473044591</v>
      </c>
      <c r="Z1452" s="0" t="n">
        <f aca="false">04_回帰ANOVA!$K$19*04_回帰ANOVA!$K$14*SQRT(1+Y1452)</f>
        <v>1.55331854827765</v>
      </c>
      <c r="AA1452" s="0" t="n">
        <f aca="false">X1452-Z1452</f>
        <v>43.0407010058159</v>
      </c>
      <c r="AB1452" s="0" t="n">
        <f aca="false">X1452+Z1452</f>
        <v>46.1473381023712</v>
      </c>
      <c r="AC1452" s="54" t="b">
        <f aca="false">AND(E1452&gt;=01_因子設定!$L$5-0.000000001,E1452&lt;=01_因子設定!$M$5+0.000000001,F1452&gt;=01_因子設定!$L$6-0.000000001,F1452&lt;=01_因子設定!$M$6+0.000000001,G1452&gt;=01_因子設定!$L$7-0.000000001,G1452&lt;=01_因子設定!$M$7+0.000000001,H1452&gt;=01_因子設定!$L$8-0.000000001,H1452&lt;=01_因子設定!$M$8+0.000000001,IF(01_因子設定!$B$20="Box-Behnken",E1452^2+F1452^2+G1452^2+H1452^2&lt;=2+0.000000001,TRUE()))</f>
        <v>1</v>
      </c>
      <c r="AD1452" s="55" t="n">
        <f aca="false">IF(AC1452,IF(01_因子設定!$B$13="最大化",AA1452-01_因子設定!$B$14,IF(01_因子設定!$B$13="最小化",01_因子設定!$B$15-AB1452,MIN(AA1452-01_因子設定!$B$14,01_因子設定!$B$15-AB1452))),-1E+030)</f>
        <v>-3.45929899418407</v>
      </c>
      <c r="AE1452" s="55" t="n">
        <f aca="false">IF(AC1452,IF(01_因子設定!$B$13="最大化",X1452,IF(01_因子設定!$B$13="最小化",-X1452,-ABS(X1452-01_因子設定!$B$16))),-1E+030)</f>
        <v>44.5940195540936</v>
      </c>
      <c r="AF1452" s="55" t="n">
        <f aca="false">AD1452+ROW()*0.000000001</f>
        <v>-3.45929754218407</v>
      </c>
      <c r="AG1452" s="55" t="n">
        <f aca="false">AE1452+ROW()*0.000000001</f>
        <v>44.5940210060936</v>
      </c>
    </row>
    <row r="1453" customFormat="false" ht="15" hidden="false" customHeight="false" outlineLevel="0" collapsed="false">
      <c r="A1453" s="0" t="n">
        <v>1</v>
      </c>
      <c r="B1453" s="0" t="n">
        <v>8</v>
      </c>
      <c r="C1453" s="0" t="n">
        <v>7</v>
      </c>
      <c r="D1453" s="0" t="n">
        <v>8</v>
      </c>
      <c r="E1453" s="0" t="n">
        <f aca="false">-1+A1453*0.25</f>
        <v>-0.75</v>
      </c>
      <c r="F1453" s="0" t="n">
        <f aca="false">-1+B1453*0.25</f>
        <v>1</v>
      </c>
      <c r="G1453" s="0" t="n">
        <f aca="false">-1+C1453*0.25</f>
        <v>0.75</v>
      </c>
      <c r="H1453" s="0" t="n">
        <f aca="false">-1+D1453*0.25</f>
        <v>1</v>
      </c>
      <c r="I1453" s="0" t="n">
        <f aca="false">1</f>
        <v>1</v>
      </c>
      <c r="J1453" s="0" t="n">
        <f aca="false">E1453</f>
        <v>-0.75</v>
      </c>
      <c r="K1453" s="0" t="n">
        <f aca="false">F1453</f>
        <v>1</v>
      </c>
      <c r="L1453" s="0" t="n">
        <f aca="false">G1453</f>
        <v>0.75</v>
      </c>
      <c r="M1453" s="0" t="n">
        <f aca="false">H1453</f>
        <v>1</v>
      </c>
      <c r="N1453" s="0" t="n">
        <f aca="false">E1453*F1453</f>
        <v>-0.75</v>
      </c>
      <c r="O1453" s="0" t="n">
        <f aca="false">E1453*G1453</f>
        <v>-0.5625</v>
      </c>
      <c r="P1453" s="0" t="n">
        <f aca="false">E1453*H1453</f>
        <v>-0.75</v>
      </c>
      <c r="Q1453" s="0" t="n">
        <f aca="false">F1453*G1453</f>
        <v>0.75</v>
      </c>
      <c r="R1453" s="0" t="n">
        <f aca="false">F1453*H1453</f>
        <v>1</v>
      </c>
      <c r="S1453" s="0" t="n">
        <f aca="false">G1453*H1453</f>
        <v>0.75</v>
      </c>
      <c r="T1453" s="0" t="n">
        <f aca="false">E1453*E1453</f>
        <v>0.5625</v>
      </c>
      <c r="U1453" s="0" t="n">
        <f aca="false">F1453*F1453</f>
        <v>1</v>
      </c>
      <c r="V1453" s="0" t="n">
        <f aca="false">G1453*G1453</f>
        <v>0.5625</v>
      </c>
      <c r="W1453" s="0" t="n">
        <f aca="false">H1453*H1453</f>
        <v>1</v>
      </c>
      <c r="X1453" s="0" t="n">
        <f aca="false">SUMPRODUCT(I1453:W1453,_XtX!$B$96:$P$96)</f>
        <v>44.505427631579</v>
      </c>
      <c r="Y1453" s="0" t="n">
        <f aca="false">SUMPRODUCT(MMULT(I1453:W1453,_XtX!$B$78:$P$92),I1453:W1453)</f>
        <v>0.531311392086988</v>
      </c>
      <c r="Z1453" s="0" t="n">
        <f aca="false">04_回帰ANOVA!$K$19*04_回帰ANOVA!$K$14*SQRT(1+Y1453)</f>
        <v>1.61298433431428</v>
      </c>
      <c r="AA1453" s="0" t="n">
        <f aca="false">X1453-Z1453</f>
        <v>42.8924432972647</v>
      </c>
      <c r="AB1453" s="0" t="n">
        <f aca="false">X1453+Z1453</f>
        <v>46.1184119658933</v>
      </c>
      <c r="AC1453" s="54" t="b">
        <f aca="false">AND(E1453&gt;=01_因子設定!$L$5-0.000000001,E1453&lt;=01_因子設定!$M$5+0.000000001,F1453&gt;=01_因子設定!$L$6-0.000000001,F1453&lt;=01_因子設定!$M$6+0.000000001,G1453&gt;=01_因子設定!$L$7-0.000000001,G1453&lt;=01_因子設定!$M$7+0.000000001,H1453&gt;=01_因子設定!$L$8-0.000000001,H1453&lt;=01_因子設定!$M$8+0.000000001,IF(01_因子設定!$B$20="Box-Behnken",E1453^2+F1453^2+G1453^2+H1453^2&lt;=2+0.000000001,TRUE()))</f>
        <v>1</v>
      </c>
      <c r="AD1453" s="55" t="n">
        <f aca="false">IF(AC1453,IF(01_因子設定!$B$13="最大化",AA1453-01_因子設定!$B$14,IF(01_因子設定!$B$13="最小化",01_因子設定!$B$15-AB1453,MIN(AA1453-01_因子設定!$B$14,01_因子設定!$B$15-AB1453))),-1E+030)</f>
        <v>-3.60755670273532</v>
      </c>
      <c r="AE1453" s="55" t="n">
        <f aca="false">IF(AC1453,IF(01_因子設定!$B$13="最大化",X1453,IF(01_因子設定!$B$13="最小化",-X1453,-ABS(X1453-01_因子設定!$B$16))),-1E+030)</f>
        <v>44.505427631579</v>
      </c>
      <c r="AF1453" s="55" t="n">
        <f aca="false">AD1453+ROW()*0.000000001</f>
        <v>-3.60755524973532</v>
      </c>
      <c r="AG1453" s="55" t="n">
        <f aca="false">AE1453+ROW()*0.000000001</f>
        <v>44.505429084579</v>
      </c>
    </row>
    <row r="1454" customFormat="false" ht="15" hidden="false" customHeight="false" outlineLevel="0" collapsed="false">
      <c r="A1454" s="0" t="n">
        <v>1</v>
      </c>
      <c r="B1454" s="0" t="n">
        <v>8</v>
      </c>
      <c r="C1454" s="0" t="n">
        <v>8</v>
      </c>
      <c r="D1454" s="0" t="n">
        <v>0</v>
      </c>
      <c r="E1454" s="0" t="n">
        <f aca="false">-1+A1454*0.25</f>
        <v>-0.75</v>
      </c>
      <c r="F1454" s="0" t="n">
        <f aca="false">-1+B1454*0.25</f>
        <v>1</v>
      </c>
      <c r="G1454" s="0" t="n">
        <f aca="false">-1+C1454*0.25</f>
        <v>1</v>
      </c>
      <c r="H1454" s="0" t="n">
        <f aca="false">-1+D1454*0.25</f>
        <v>-1</v>
      </c>
      <c r="I1454" s="0" t="n">
        <f aca="false">1</f>
        <v>1</v>
      </c>
      <c r="J1454" s="0" t="n">
        <f aca="false">E1454</f>
        <v>-0.75</v>
      </c>
      <c r="K1454" s="0" t="n">
        <f aca="false">F1454</f>
        <v>1</v>
      </c>
      <c r="L1454" s="0" t="n">
        <f aca="false">G1454</f>
        <v>1</v>
      </c>
      <c r="M1454" s="0" t="n">
        <f aca="false">H1454</f>
        <v>-1</v>
      </c>
      <c r="N1454" s="0" t="n">
        <f aca="false">E1454*F1454</f>
        <v>-0.75</v>
      </c>
      <c r="O1454" s="0" t="n">
        <f aca="false">E1454*G1454</f>
        <v>-0.75</v>
      </c>
      <c r="P1454" s="0" t="n">
        <f aca="false">E1454*H1454</f>
        <v>0.75</v>
      </c>
      <c r="Q1454" s="0" t="n">
        <f aca="false">F1454*G1454</f>
        <v>1</v>
      </c>
      <c r="R1454" s="0" t="n">
        <f aca="false">F1454*H1454</f>
        <v>-1</v>
      </c>
      <c r="S1454" s="0" t="n">
        <f aca="false">G1454*H1454</f>
        <v>-1</v>
      </c>
      <c r="T1454" s="0" t="n">
        <f aca="false">E1454*E1454</f>
        <v>0.5625</v>
      </c>
      <c r="U1454" s="0" t="n">
        <f aca="false">F1454*F1454</f>
        <v>1</v>
      </c>
      <c r="V1454" s="0" t="n">
        <f aca="false">G1454*G1454</f>
        <v>1</v>
      </c>
      <c r="W1454" s="0" t="n">
        <f aca="false">H1454*H1454</f>
        <v>1</v>
      </c>
      <c r="X1454" s="0" t="n">
        <f aca="false">SUMPRODUCT(I1454:W1454,_XtX!$B$96:$P$96)</f>
        <v>43.9509502923977</v>
      </c>
      <c r="Y1454" s="0" t="n">
        <f aca="false">SUMPRODUCT(MMULT(I1454:W1454,_XtX!$B$78:$P$92),I1454:W1454)</f>
        <v>0.610814144736842</v>
      </c>
      <c r="Z1454" s="0" t="n">
        <f aca="false">04_回帰ANOVA!$K$19*04_回帰ANOVA!$K$14*SQRT(1+Y1454)</f>
        <v>1.6543260558361</v>
      </c>
      <c r="AA1454" s="0" t="n">
        <f aca="false">X1454-Z1454</f>
        <v>42.2966242365616</v>
      </c>
      <c r="AB1454" s="0" t="n">
        <f aca="false">X1454+Z1454</f>
        <v>45.6052763482338</v>
      </c>
      <c r="AC1454" s="54" t="b">
        <f aca="false">AND(E1454&gt;=01_因子設定!$L$5-0.000000001,E1454&lt;=01_因子設定!$M$5+0.000000001,F1454&gt;=01_因子設定!$L$6-0.000000001,F1454&lt;=01_因子設定!$M$6+0.000000001,G1454&gt;=01_因子設定!$L$7-0.000000001,G1454&lt;=01_因子設定!$M$7+0.000000001,H1454&gt;=01_因子設定!$L$8-0.000000001,H1454&lt;=01_因子設定!$M$8+0.000000001,IF(01_因子設定!$B$20="Box-Behnken",E1454^2+F1454^2+G1454^2+H1454^2&lt;=2+0.000000001,TRUE()))</f>
        <v>1</v>
      </c>
      <c r="AD1454" s="55" t="n">
        <f aca="false">IF(AC1454,IF(01_因子設定!$B$13="最大化",AA1454-01_因子設定!$B$14,IF(01_因子設定!$B$13="最小化",01_因子設定!$B$15-AB1454,MIN(AA1454-01_因子設定!$B$14,01_因子設定!$B$15-AB1454))),-1E+030)</f>
        <v>-4.2033757634384</v>
      </c>
      <c r="AE1454" s="55" t="n">
        <f aca="false">IF(AC1454,IF(01_因子設定!$B$13="最大化",X1454,IF(01_因子設定!$B$13="最小化",-X1454,-ABS(X1454-01_因子設定!$B$16))),-1E+030)</f>
        <v>43.9509502923977</v>
      </c>
      <c r="AF1454" s="55" t="n">
        <f aca="false">AD1454+ROW()*0.000000001</f>
        <v>-4.2033743094384</v>
      </c>
      <c r="AG1454" s="55" t="n">
        <f aca="false">AE1454+ROW()*0.000000001</f>
        <v>43.9509517463977</v>
      </c>
    </row>
    <row r="1455" customFormat="false" ht="15" hidden="false" customHeight="false" outlineLevel="0" collapsed="false">
      <c r="A1455" s="0" t="n">
        <v>1</v>
      </c>
      <c r="B1455" s="0" t="n">
        <v>8</v>
      </c>
      <c r="C1455" s="0" t="n">
        <v>8</v>
      </c>
      <c r="D1455" s="0" t="n">
        <v>1</v>
      </c>
      <c r="E1455" s="0" t="n">
        <f aca="false">-1+A1455*0.25</f>
        <v>-0.75</v>
      </c>
      <c r="F1455" s="0" t="n">
        <f aca="false">-1+B1455*0.25</f>
        <v>1</v>
      </c>
      <c r="G1455" s="0" t="n">
        <f aca="false">-1+C1455*0.25</f>
        <v>1</v>
      </c>
      <c r="H1455" s="0" t="n">
        <f aca="false">-1+D1455*0.25</f>
        <v>-0.75</v>
      </c>
      <c r="I1455" s="0" t="n">
        <f aca="false">1</f>
        <v>1</v>
      </c>
      <c r="J1455" s="0" t="n">
        <f aca="false">E1455</f>
        <v>-0.75</v>
      </c>
      <c r="K1455" s="0" t="n">
        <f aca="false">F1455</f>
        <v>1</v>
      </c>
      <c r="L1455" s="0" t="n">
        <f aca="false">G1455</f>
        <v>1</v>
      </c>
      <c r="M1455" s="0" t="n">
        <f aca="false">H1455</f>
        <v>-0.75</v>
      </c>
      <c r="N1455" s="0" t="n">
        <f aca="false">E1455*F1455</f>
        <v>-0.75</v>
      </c>
      <c r="O1455" s="0" t="n">
        <f aca="false">E1455*G1455</f>
        <v>-0.75</v>
      </c>
      <c r="P1455" s="0" t="n">
        <f aca="false">E1455*H1455</f>
        <v>0.5625</v>
      </c>
      <c r="Q1455" s="0" t="n">
        <f aca="false">F1455*G1455</f>
        <v>1</v>
      </c>
      <c r="R1455" s="0" t="n">
        <f aca="false">F1455*H1455</f>
        <v>-0.75</v>
      </c>
      <c r="S1455" s="0" t="n">
        <f aca="false">G1455*H1455</f>
        <v>-0.75</v>
      </c>
      <c r="T1455" s="0" t="n">
        <f aca="false">E1455*E1455</f>
        <v>0.5625</v>
      </c>
      <c r="U1455" s="0" t="n">
        <f aca="false">F1455*F1455</f>
        <v>1</v>
      </c>
      <c r="V1455" s="0" t="n">
        <f aca="false">G1455*G1455</f>
        <v>1</v>
      </c>
      <c r="W1455" s="0" t="n">
        <f aca="false">H1455*H1455</f>
        <v>0.5625</v>
      </c>
      <c r="X1455" s="0" t="n">
        <f aca="false">SUMPRODUCT(I1455:W1455,_XtX!$B$96:$P$96)</f>
        <v>44.2149762426901</v>
      </c>
      <c r="Y1455" s="0" t="n">
        <f aca="false">SUMPRODUCT(MMULT(I1455:W1455,_XtX!$B$78:$P$92),I1455:W1455)</f>
        <v>0.531311392086988</v>
      </c>
      <c r="Z1455" s="0" t="n">
        <f aca="false">04_回帰ANOVA!$K$19*04_回帰ANOVA!$K$14*SQRT(1+Y1455)</f>
        <v>1.61298433431428</v>
      </c>
      <c r="AA1455" s="0" t="n">
        <f aca="false">X1455-Z1455</f>
        <v>42.6019919083758</v>
      </c>
      <c r="AB1455" s="0" t="n">
        <f aca="false">X1455+Z1455</f>
        <v>45.8279605770044</v>
      </c>
      <c r="AC1455" s="54" t="b">
        <f aca="false">AND(E1455&gt;=01_因子設定!$L$5-0.000000001,E1455&lt;=01_因子設定!$M$5+0.000000001,F1455&gt;=01_因子設定!$L$6-0.000000001,F1455&lt;=01_因子設定!$M$6+0.000000001,G1455&gt;=01_因子設定!$L$7-0.000000001,G1455&lt;=01_因子設定!$M$7+0.000000001,H1455&gt;=01_因子設定!$L$8-0.000000001,H1455&lt;=01_因子設定!$M$8+0.000000001,IF(01_因子設定!$B$20="Box-Behnken",E1455^2+F1455^2+G1455^2+H1455^2&lt;=2+0.000000001,TRUE()))</f>
        <v>1</v>
      </c>
      <c r="AD1455" s="55" t="n">
        <f aca="false">IF(AC1455,IF(01_因子設定!$B$13="最大化",AA1455-01_因子設定!$B$14,IF(01_因子設定!$B$13="最小化",01_因子設定!$B$15-AB1455,MIN(AA1455-01_因子設定!$B$14,01_因子設定!$B$15-AB1455))),-1E+030)</f>
        <v>-3.89800809162421</v>
      </c>
      <c r="AE1455" s="55" t="n">
        <f aca="false">IF(AC1455,IF(01_因子設定!$B$13="最大化",X1455,IF(01_因子設定!$B$13="最小化",-X1455,-ABS(X1455-01_因子設定!$B$16))),-1E+030)</f>
        <v>44.2149762426901</v>
      </c>
      <c r="AF1455" s="55" t="n">
        <f aca="false">AD1455+ROW()*0.000000001</f>
        <v>-3.89800663662421</v>
      </c>
      <c r="AG1455" s="55" t="n">
        <f aca="false">AE1455+ROW()*0.000000001</f>
        <v>44.2149776976901</v>
      </c>
    </row>
    <row r="1456" customFormat="false" ht="15" hidden="false" customHeight="false" outlineLevel="0" collapsed="false">
      <c r="A1456" s="0" t="n">
        <v>1</v>
      </c>
      <c r="B1456" s="0" t="n">
        <v>8</v>
      </c>
      <c r="C1456" s="0" t="n">
        <v>8</v>
      </c>
      <c r="D1456" s="0" t="n">
        <v>2</v>
      </c>
      <c r="E1456" s="0" t="n">
        <f aca="false">-1+A1456*0.25</f>
        <v>-0.75</v>
      </c>
      <c r="F1456" s="0" t="n">
        <f aca="false">-1+B1456*0.25</f>
        <v>1</v>
      </c>
      <c r="G1456" s="0" t="n">
        <f aca="false">-1+C1456*0.25</f>
        <v>1</v>
      </c>
      <c r="H1456" s="0" t="n">
        <f aca="false">-1+D1456*0.25</f>
        <v>-0.5</v>
      </c>
      <c r="I1456" s="0" t="n">
        <f aca="false">1</f>
        <v>1</v>
      </c>
      <c r="J1456" s="0" t="n">
        <f aca="false">E1456</f>
        <v>-0.75</v>
      </c>
      <c r="K1456" s="0" t="n">
        <f aca="false">F1456</f>
        <v>1</v>
      </c>
      <c r="L1456" s="0" t="n">
        <f aca="false">G1456</f>
        <v>1</v>
      </c>
      <c r="M1456" s="0" t="n">
        <f aca="false">H1456</f>
        <v>-0.5</v>
      </c>
      <c r="N1456" s="0" t="n">
        <f aca="false">E1456*F1456</f>
        <v>-0.75</v>
      </c>
      <c r="O1456" s="0" t="n">
        <f aca="false">E1456*G1456</f>
        <v>-0.75</v>
      </c>
      <c r="P1456" s="0" t="n">
        <f aca="false">E1456*H1456</f>
        <v>0.375</v>
      </c>
      <c r="Q1456" s="0" t="n">
        <f aca="false">F1456*G1456</f>
        <v>1</v>
      </c>
      <c r="R1456" s="0" t="n">
        <f aca="false">F1456*H1456</f>
        <v>-0.5</v>
      </c>
      <c r="S1456" s="0" t="n">
        <f aca="false">G1456*H1456</f>
        <v>-0.5</v>
      </c>
      <c r="T1456" s="0" t="n">
        <f aca="false">E1456*E1456</f>
        <v>0.5625</v>
      </c>
      <c r="U1456" s="0" t="n">
        <f aca="false">F1456*F1456</f>
        <v>1</v>
      </c>
      <c r="V1456" s="0" t="n">
        <f aca="false">G1456*G1456</f>
        <v>1</v>
      </c>
      <c r="W1456" s="0" t="n">
        <f aca="false">H1456*H1456</f>
        <v>0.25</v>
      </c>
      <c r="X1456" s="0" t="n">
        <f aca="false">SUMPRODUCT(I1456:W1456,_XtX!$B$96:$P$96)</f>
        <v>44.4311951754386</v>
      </c>
      <c r="Y1456" s="0" t="n">
        <f aca="false">SUMPRODUCT(MMULT(I1456:W1456,_XtX!$B$78:$P$92),I1456:W1456)</f>
        <v>0.564984237938597</v>
      </c>
      <c r="Z1456" s="0" t="n">
        <f aca="false">04_回帰ANOVA!$K$19*04_回帰ANOVA!$K$14*SQRT(1+Y1456)</f>
        <v>1.63062229734503</v>
      </c>
      <c r="AA1456" s="0" t="n">
        <f aca="false">X1456-Z1456</f>
        <v>42.8005728780936</v>
      </c>
      <c r="AB1456" s="0" t="n">
        <f aca="false">X1456+Z1456</f>
        <v>46.0618174727836</v>
      </c>
      <c r="AC1456" s="54" t="b">
        <f aca="false">AND(E1456&gt;=01_因子設定!$L$5-0.000000001,E1456&lt;=01_因子設定!$M$5+0.000000001,F1456&gt;=01_因子設定!$L$6-0.000000001,F1456&lt;=01_因子設定!$M$6+0.000000001,G1456&gt;=01_因子設定!$L$7-0.000000001,G1456&lt;=01_因子設定!$M$7+0.000000001,H1456&gt;=01_因子設定!$L$8-0.000000001,H1456&lt;=01_因子設定!$M$8+0.000000001,IF(01_因子設定!$B$20="Box-Behnken",E1456^2+F1456^2+G1456^2+H1456^2&lt;=2+0.000000001,TRUE()))</f>
        <v>1</v>
      </c>
      <c r="AD1456" s="55" t="n">
        <f aca="false">IF(AC1456,IF(01_因子設定!$B$13="最大化",AA1456-01_因子設定!$B$14,IF(01_因子設定!$B$13="最小化",01_因子設定!$B$15-AB1456,MIN(AA1456-01_因子設定!$B$14,01_因子設定!$B$15-AB1456))),-1E+030)</f>
        <v>-3.69942712190644</v>
      </c>
      <c r="AE1456" s="55" t="n">
        <f aca="false">IF(AC1456,IF(01_因子設定!$B$13="最大化",X1456,IF(01_因子設定!$B$13="最小化",-X1456,-ABS(X1456-01_因子設定!$B$16))),-1E+030)</f>
        <v>44.4311951754386</v>
      </c>
      <c r="AF1456" s="55" t="n">
        <f aca="false">AD1456+ROW()*0.000000001</f>
        <v>-3.69942566590644</v>
      </c>
      <c r="AG1456" s="55" t="n">
        <f aca="false">AE1456+ROW()*0.000000001</f>
        <v>44.4311966314386</v>
      </c>
    </row>
    <row r="1457" customFormat="false" ht="15" hidden="false" customHeight="false" outlineLevel="0" collapsed="false">
      <c r="A1457" s="0" t="n">
        <v>1</v>
      </c>
      <c r="B1457" s="0" t="n">
        <v>8</v>
      </c>
      <c r="C1457" s="0" t="n">
        <v>8</v>
      </c>
      <c r="D1457" s="0" t="n">
        <v>3</v>
      </c>
      <c r="E1457" s="0" t="n">
        <f aca="false">-1+A1457*0.25</f>
        <v>-0.75</v>
      </c>
      <c r="F1457" s="0" t="n">
        <f aca="false">-1+B1457*0.25</f>
        <v>1</v>
      </c>
      <c r="G1457" s="0" t="n">
        <f aca="false">-1+C1457*0.25</f>
        <v>1</v>
      </c>
      <c r="H1457" s="0" t="n">
        <f aca="false">-1+D1457*0.25</f>
        <v>-0.25</v>
      </c>
      <c r="I1457" s="0" t="n">
        <f aca="false">1</f>
        <v>1</v>
      </c>
      <c r="J1457" s="0" t="n">
        <f aca="false">E1457</f>
        <v>-0.75</v>
      </c>
      <c r="K1457" s="0" t="n">
        <f aca="false">F1457</f>
        <v>1</v>
      </c>
      <c r="L1457" s="0" t="n">
        <f aca="false">G1457</f>
        <v>1</v>
      </c>
      <c r="M1457" s="0" t="n">
        <f aca="false">H1457</f>
        <v>-0.25</v>
      </c>
      <c r="N1457" s="0" t="n">
        <f aca="false">E1457*F1457</f>
        <v>-0.75</v>
      </c>
      <c r="O1457" s="0" t="n">
        <f aca="false">E1457*G1457</f>
        <v>-0.75</v>
      </c>
      <c r="P1457" s="0" t="n">
        <f aca="false">E1457*H1457</f>
        <v>0.1875</v>
      </c>
      <c r="Q1457" s="0" t="n">
        <f aca="false">F1457*G1457</f>
        <v>1</v>
      </c>
      <c r="R1457" s="0" t="n">
        <f aca="false">F1457*H1457</f>
        <v>-0.25</v>
      </c>
      <c r="S1457" s="0" t="n">
        <f aca="false">G1457*H1457</f>
        <v>-0.25</v>
      </c>
      <c r="T1457" s="0" t="n">
        <f aca="false">E1457*E1457</f>
        <v>0.5625</v>
      </c>
      <c r="U1457" s="0" t="n">
        <f aca="false">F1457*F1457</f>
        <v>1</v>
      </c>
      <c r="V1457" s="0" t="n">
        <f aca="false">G1457*G1457</f>
        <v>1</v>
      </c>
      <c r="W1457" s="0" t="n">
        <f aca="false">H1457*H1457</f>
        <v>0.0625</v>
      </c>
      <c r="X1457" s="0" t="n">
        <f aca="false">SUMPRODUCT(I1457:W1457,_XtX!$B$96:$P$96)</f>
        <v>44.5996070906433</v>
      </c>
      <c r="Y1457" s="0" t="n">
        <f aca="false">SUMPRODUCT(MMULT(I1457:W1457,_XtX!$B$78:$P$92),I1457:W1457)</f>
        <v>0.621372155975877</v>
      </c>
      <c r="Z1457" s="0" t="n">
        <f aca="false">04_回帰ANOVA!$K$19*04_回帰ANOVA!$K$14*SQRT(1+Y1457)</f>
        <v>1.65973880499872</v>
      </c>
      <c r="AA1457" s="0" t="n">
        <f aca="false">X1457-Z1457</f>
        <v>42.9398682856446</v>
      </c>
      <c r="AB1457" s="0" t="n">
        <f aca="false">X1457+Z1457</f>
        <v>46.259345895642</v>
      </c>
      <c r="AC1457" s="54" t="b">
        <f aca="false">AND(E1457&gt;=01_因子設定!$L$5-0.000000001,E1457&lt;=01_因子設定!$M$5+0.000000001,F1457&gt;=01_因子設定!$L$6-0.000000001,F1457&lt;=01_因子設定!$M$6+0.000000001,G1457&gt;=01_因子設定!$L$7-0.000000001,G1457&lt;=01_因子設定!$M$7+0.000000001,H1457&gt;=01_因子設定!$L$8-0.000000001,H1457&lt;=01_因子設定!$M$8+0.000000001,IF(01_因子設定!$B$20="Box-Behnken",E1457^2+F1457^2+G1457^2+H1457^2&lt;=2+0.000000001,TRUE()))</f>
        <v>1</v>
      </c>
      <c r="AD1457" s="55" t="n">
        <f aca="false">IF(AC1457,IF(01_因子設定!$B$13="最大化",AA1457-01_因子設定!$B$14,IF(01_因子設定!$B$13="最小化",01_因子設定!$B$15-AB1457,MIN(AA1457-01_因子設定!$B$14,01_因子設定!$B$15-AB1457))),-1E+030)</f>
        <v>-3.56013171435545</v>
      </c>
      <c r="AE1457" s="55" t="n">
        <f aca="false">IF(AC1457,IF(01_因子設定!$B$13="最大化",X1457,IF(01_因子設定!$B$13="最小化",-X1457,-ABS(X1457-01_因子設定!$B$16))),-1E+030)</f>
        <v>44.5996070906433</v>
      </c>
      <c r="AF1457" s="55" t="n">
        <f aca="false">AD1457+ROW()*0.000000001</f>
        <v>-3.56013025735545</v>
      </c>
      <c r="AG1457" s="55" t="n">
        <f aca="false">AE1457+ROW()*0.000000001</f>
        <v>44.5996085476433</v>
      </c>
    </row>
    <row r="1458" customFormat="false" ht="15" hidden="false" customHeight="false" outlineLevel="0" collapsed="false">
      <c r="A1458" s="0" t="n">
        <v>1</v>
      </c>
      <c r="B1458" s="0" t="n">
        <v>8</v>
      </c>
      <c r="C1458" s="0" t="n">
        <v>8</v>
      </c>
      <c r="D1458" s="0" t="n">
        <v>4</v>
      </c>
      <c r="E1458" s="0" t="n">
        <f aca="false">-1+A1458*0.25</f>
        <v>-0.75</v>
      </c>
      <c r="F1458" s="0" t="n">
        <f aca="false">-1+B1458*0.25</f>
        <v>1</v>
      </c>
      <c r="G1458" s="0" t="n">
        <f aca="false">-1+C1458*0.25</f>
        <v>1</v>
      </c>
      <c r="H1458" s="0" t="n">
        <f aca="false">-1+D1458*0.25</f>
        <v>0</v>
      </c>
      <c r="I1458" s="0" t="n">
        <f aca="false">1</f>
        <v>1</v>
      </c>
      <c r="J1458" s="0" t="n">
        <f aca="false">E1458</f>
        <v>-0.75</v>
      </c>
      <c r="K1458" s="0" t="n">
        <f aca="false">F1458</f>
        <v>1</v>
      </c>
      <c r="L1458" s="0" t="n">
        <f aca="false">G1458</f>
        <v>1</v>
      </c>
      <c r="M1458" s="0" t="n">
        <f aca="false">H1458</f>
        <v>0</v>
      </c>
      <c r="N1458" s="0" t="n">
        <f aca="false">E1458*F1458</f>
        <v>-0.75</v>
      </c>
      <c r="O1458" s="0" t="n">
        <f aca="false">E1458*G1458</f>
        <v>-0.75</v>
      </c>
      <c r="P1458" s="0" t="n">
        <f aca="false">E1458*H1458</f>
        <v>-0</v>
      </c>
      <c r="Q1458" s="0" t="n">
        <f aca="false">F1458*G1458</f>
        <v>1</v>
      </c>
      <c r="R1458" s="0" t="n">
        <f aca="false">F1458*H1458</f>
        <v>0</v>
      </c>
      <c r="S1458" s="0" t="n">
        <f aca="false">G1458*H1458</f>
        <v>0</v>
      </c>
      <c r="T1458" s="0" t="n">
        <f aca="false">E1458*E1458</f>
        <v>0.5625</v>
      </c>
      <c r="U1458" s="0" t="n">
        <f aca="false">F1458*F1458</f>
        <v>1</v>
      </c>
      <c r="V1458" s="0" t="n">
        <f aca="false">G1458*G1458</f>
        <v>1</v>
      </c>
      <c r="W1458" s="0" t="n">
        <f aca="false">H1458*H1458</f>
        <v>0</v>
      </c>
      <c r="X1458" s="0" t="n">
        <f aca="false">SUMPRODUCT(I1458:W1458,_XtX!$B$96:$P$96)</f>
        <v>44.7202119883041</v>
      </c>
      <c r="Y1458" s="0" t="n">
        <f aca="false">SUMPRODUCT(MMULT(I1458:W1458,_XtX!$B$78:$P$92),I1458:W1458)</f>
        <v>0.646198830409357</v>
      </c>
      <c r="Z1458" s="0" t="n">
        <f aca="false">04_回帰ANOVA!$K$19*04_回帰ANOVA!$K$14*SQRT(1+Y1458)</f>
        <v>1.67239760569756</v>
      </c>
      <c r="AA1458" s="0" t="n">
        <f aca="false">X1458-Z1458</f>
        <v>43.0478143826065</v>
      </c>
      <c r="AB1458" s="0" t="n">
        <f aca="false">X1458+Z1458</f>
        <v>46.3926095940016</v>
      </c>
      <c r="AC1458" s="54" t="b">
        <f aca="false">AND(E1458&gt;=01_因子設定!$L$5-0.000000001,E1458&lt;=01_因子設定!$M$5+0.000000001,F1458&gt;=01_因子設定!$L$6-0.000000001,F1458&lt;=01_因子設定!$M$6+0.000000001,G1458&gt;=01_因子設定!$L$7-0.000000001,G1458&lt;=01_因子設定!$M$7+0.000000001,H1458&gt;=01_因子設定!$L$8-0.000000001,H1458&lt;=01_因子設定!$M$8+0.000000001,IF(01_因子設定!$B$20="Box-Behnken",E1458^2+F1458^2+G1458^2+H1458^2&lt;=2+0.000000001,TRUE()))</f>
        <v>1</v>
      </c>
      <c r="AD1458" s="55" t="n">
        <f aca="false">IF(AC1458,IF(01_因子設定!$B$13="最大化",AA1458-01_因子設定!$B$14,IF(01_因子設定!$B$13="最小化",01_因子設定!$B$15-AB1458,MIN(AA1458-01_因子設定!$B$14,01_因子設定!$B$15-AB1458))),-1E+030)</f>
        <v>-3.45218561739347</v>
      </c>
      <c r="AE1458" s="55" t="n">
        <f aca="false">IF(AC1458,IF(01_因子設定!$B$13="最大化",X1458,IF(01_因子設定!$B$13="最小化",-X1458,-ABS(X1458-01_因子設定!$B$16))),-1E+030)</f>
        <v>44.7202119883041</v>
      </c>
      <c r="AF1458" s="55" t="n">
        <f aca="false">AD1458+ROW()*0.000000001</f>
        <v>-3.45218415939347</v>
      </c>
      <c r="AG1458" s="55" t="n">
        <f aca="false">AE1458+ROW()*0.000000001</f>
        <v>44.7202134463041</v>
      </c>
    </row>
    <row r="1459" customFormat="false" ht="15" hidden="false" customHeight="false" outlineLevel="0" collapsed="false">
      <c r="A1459" s="0" t="n">
        <v>1</v>
      </c>
      <c r="B1459" s="0" t="n">
        <v>8</v>
      </c>
      <c r="C1459" s="0" t="n">
        <v>8</v>
      </c>
      <c r="D1459" s="0" t="n">
        <v>5</v>
      </c>
      <c r="E1459" s="0" t="n">
        <f aca="false">-1+A1459*0.25</f>
        <v>-0.75</v>
      </c>
      <c r="F1459" s="0" t="n">
        <f aca="false">-1+B1459*0.25</f>
        <v>1</v>
      </c>
      <c r="G1459" s="0" t="n">
        <f aca="false">-1+C1459*0.25</f>
        <v>1</v>
      </c>
      <c r="H1459" s="0" t="n">
        <f aca="false">-1+D1459*0.25</f>
        <v>0.25</v>
      </c>
      <c r="I1459" s="0" t="n">
        <f aca="false">1</f>
        <v>1</v>
      </c>
      <c r="J1459" s="0" t="n">
        <f aca="false">E1459</f>
        <v>-0.75</v>
      </c>
      <c r="K1459" s="0" t="n">
        <f aca="false">F1459</f>
        <v>1</v>
      </c>
      <c r="L1459" s="0" t="n">
        <f aca="false">G1459</f>
        <v>1</v>
      </c>
      <c r="M1459" s="0" t="n">
        <f aca="false">H1459</f>
        <v>0.25</v>
      </c>
      <c r="N1459" s="0" t="n">
        <f aca="false">E1459*F1459</f>
        <v>-0.75</v>
      </c>
      <c r="O1459" s="0" t="n">
        <f aca="false">E1459*G1459</f>
        <v>-0.75</v>
      </c>
      <c r="P1459" s="0" t="n">
        <f aca="false">E1459*H1459</f>
        <v>-0.1875</v>
      </c>
      <c r="Q1459" s="0" t="n">
        <f aca="false">F1459*G1459</f>
        <v>1</v>
      </c>
      <c r="R1459" s="0" t="n">
        <f aca="false">F1459*H1459</f>
        <v>0.25</v>
      </c>
      <c r="S1459" s="0" t="n">
        <f aca="false">G1459*H1459</f>
        <v>0.25</v>
      </c>
      <c r="T1459" s="0" t="n">
        <f aca="false">E1459*E1459</f>
        <v>0.5625</v>
      </c>
      <c r="U1459" s="0" t="n">
        <f aca="false">F1459*F1459</f>
        <v>1</v>
      </c>
      <c r="V1459" s="0" t="n">
        <f aca="false">G1459*G1459</f>
        <v>1</v>
      </c>
      <c r="W1459" s="0" t="n">
        <f aca="false">H1459*H1459</f>
        <v>0.0625</v>
      </c>
      <c r="X1459" s="0" t="n">
        <f aca="false">SUMPRODUCT(I1459:W1459,_XtX!$B$96:$P$96)</f>
        <v>44.793009868421</v>
      </c>
      <c r="Y1459" s="0" t="n">
        <f aca="false">SUMPRODUCT(MMULT(I1459:W1459,_XtX!$B$78:$P$92),I1459:W1459)</f>
        <v>0.621372155975877</v>
      </c>
      <c r="Z1459" s="0" t="n">
        <f aca="false">04_回帰ANOVA!$K$19*04_回帰ANOVA!$K$14*SQRT(1+Y1459)</f>
        <v>1.65973880499872</v>
      </c>
      <c r="AA1459" s="0" t="n">
        <f aca="false">X1459-Z1459</f>
        <v>43.1332710634223</v>
      </c>
      <c r="AB1459" s="0" t="n">
        <f aca="false">X1459+Z1459</f>
        <v>46.4527486734198</v>
      </c>
      <c r="AC1459" s="54" t="b">
        <f aca="false">AND(E1459&gt;=01_因子設定!$L$5-0.000000001,E1459&lt;=01_因子設定!$M$5+0.000000001,F1459&gt;=01_因子設定!$L$6-0.000000001,F1459&lt;=01_因子設定!$M$6+0.000000001,G1459&gt;=01_因子設定!$L$7-0.000000001,G1459&lt;=01_因子設定!$M$7+0.000000001,H1459&gt;=01_因子設定!$L$8-0.000000001,H1459&lt;=01_因子設定!$M$8+0.000000001,IF(01_因子設定!$B$20="Box-Behnken",E1459^2+F1459^2+G1459^2+H1459^2&lt;=2+0.000000001,TRUE()))</f>
        <v>1</v>
      </c>
      <c r="AD1459" s="55" t="n">
        <f aca="false">IF(AC1459,IF(01_因子設定!$B$13="最大化",AA1459-01_因子設定!$B$14,IF(01_因子設定!$B$13="最小化",01_因子設定!$B$15-AB1459,MIN(AA1459-01_因子設定!$B$14,01_因子設定!$B$15-AB1459))),-1E+030)</f>
        <v>-3.36672893657767</v>
      </c>
      <c r="AE1459" s="55" t="n">
        <f aca="false">IF(AC1459,IF(01_因子設定!$B$13="最大化",X1459,IF(01_因子設定!$B$13="最小化",-X1459,-ABS(X1459-01_因子設定!$B$16))),-1E+030)</f>
        <v>44.793009868421</v>
      </c>
      <c r="AF1459" s="55" t="n">
        <f aca="false">AD1459+ROW()*0.000000001</f>
        <v>-3.36672747757767</v>
      </c>
      <c r="AG1459" s="55" t="n">
        <f aca="false">AE1459+ROW()*0.000000001</f>
        <v>44.7930113274211</v>
      </c>
    </row>
    <row r="1460" customFormat="false" ht="15" hidden="false" customHeight="false" outlineLevel="0" collapsed="false">
      <c r="A1460" s="0" t="n">
        <v>1</v>
      </c>
      <c r="B1460" s="0" t="n">
        <v>8</v>
      </c>
      <c r="C1460" s="0" t="n">
        <v>8</v>
      </c>
      <c r="D1460" s="0" t="n">
        <v>6</v>
      </c>
      <c r="E1460" s="0" t="n">
        <f aca="false">-1+A1460*0.25</f>
        <v>-0.75</v>
      </c>
      <c r="F1460" s="0" t="n">
        <f aca="false">-1+B1460*0.25</f>
        <v>1</v>
      </c>
      <c r="G1460" s="0" t="n">
        <f aca="false">-1+C1460*0.25</f>
        <v>1</v>
      </c>
      <c r="H1460" s="0" t="n">
        <f aca="false">-1+D1460*0.25</f>
        <v>0.5</v>
      </c>
      <c r="I1460" s="0" t="n">
        <f aca="false">1</f>
        <v>1</v>
      </c>
      <c r="J1460" s="0" t="n">
        <f aca="false">E1460</f>
        <v>-0.75</v>
      </c>
      <c r="K1460" s="0" t="n">
        <f aca="false">F1460</f>
        <v>1</v>
      </c>
      <c r="L1460" s="0" t="n">
        <f aca="false">G1460</f>
        <v>1</v>
      </c>
      <c r="M1460" s="0" t="n">
        <f aca="false">H1460</f>
        <v>0.5</v>
      </c>
      <c r="N1460" s="0" t="n">
        <f aca="false">E1460*F1460</f>
        <v>-0.75</v>
      </c>
      <c r="O1460" s="0" t="n">
        <f aca="false">E1460*G1460</f>
        <v>-0.75</v>
      </c>
      <c r="P1460" s="0" t="n">
        <f aca="false">E1460*H1460</f>
        <v>-0.375</v>
      </c>
      <c r="Q1460" s="0" t="n">
        <f aca="false">F1460*G1460</f>
        <v>1</v>
      </c>
      <c r="R1460" s="0" t="n">
        <f aca="false">F1460*H1460</f>
        <v>0.5</v>
      </c>
      <c r="S1460" s="0" t="n">
        <f aca="false">G1460*H1460</f>
        <v>0.5</v>
      </c>
      <c r="T1460" s="0" t="n">
        <f aca="false">E1460*E1460</f>
        <v>0.5625</v>
      </c>
      <c r="U1460" s="0" t="n">
        <f aca="false">F1460*F1460</f>
        <v>1</v>
      </c>
      <c r="V1460" s="0" t="n">
        <f aca="false">G1460*G1460</f>
        <v>1</v>
      </c>
      <c r="W1460" s="0" t="n">
        <f aca="false">H1460*H1460</f>
        <v>0.25</v>
      </c>
      <c r="X1460" s="0" t="n">
        <f aca="false">SUMPRODUCT(I1460:W1460,_XtX!$B$96:$P$96)</f>
        <v>44.8180007309942</v>
      </c>
      <c r="Y1460" s="0" t="n">
        <f aca="false">SUMPRODUCT(MMULT(I1460:W1460,_XtX!$B$78:$P$92),I1460:W1460)</f>
        <v>0.564984237938597</v>
      </c>
      <c r="Z1460" s="0" t="n">
        <f aca="false">04_回帰ANOVA!$K$19*04_回帰ANOVA!$K$14*SQRT(1+Y1460)</f>
        <v>1.63062229734503</v>
      </c>
      <c r="AA1460" s="0" t="n">
        <f aca="false">X1460-Z1460</f>
        <v>43.1873784336491</v>
      </c>
      <c r="AB1460" s="0" t="n">
        <f aca="false">X1460+Z1460</f>
        <v>46.4486230283392</v>
      </c>
      <c r="AC1460" s="54" t="b">
        <f aca="false">AND(E1460&gt;=01_因子設定!$L$5-0.000000001,E1460&lt;=01_因子設定!$M$5+0.000000001,F1460&gt;=01_因子設定!$L$6-0.000000001,F1460&lt;=01_因子設定!$M$6+0.000000001,G1460&gt;=01_因子設定!$L$7-0.000000001,G1460&lt;=01_因子設定!$M$7+0.000000001,H1460&gt;=01_因子設定!$L$8-0.000000001,H1460&lt;=01_因子設定!$M$8+0.000000001,IF(01_因子設定!$B$20="Box-Behnken",E1460^2+F1460^2+G1460^2+H1460^2&lt;=2+0.000000001,TRUE()))</f>
        <v>1</v>
      </c>
      <c r="AD1460" s="55" t="n">
        <f aca="false">IF(AC1460,IF(01_因子設定!$B$13="最大化",AA1460-01_因子設定!$B$14,IF(01_因子設定!$B$13="最小化",01_因子設定!$B$15-AB1460,MIN(AA1460-01_因子設定!$B$14,01_因子設定!$B$15-AB1460))),-1E+030)</f>
        <v>-3.31262156635088</v>
      </c>
      <c r="AE1460" s="55" t="n">
        <f aca="false">IF(AC1460,IF(01_因子設定!$B$13="最大化",X1460,IF(01_因子設定!$B$13="最小化",-X1460,-ABS(X1460-01_因子設定!$B$16))),-1E+030)</f>
        <v>44.8180007309942</v>
      </c>
      <c r="AF1460" s="55" t="n">
        <f aca="false">AD1460+ROW()*0.000000001</f>
        <v>-3.31262010635088</v>
      </c>
      <c r="AG1460" s="55" t="n">
        <f aca="false">AE1460+ROW()*0.000000001</f>
        <v>44.8180021909942</v>
      </c>
    </row>
    <row r="1461" customFormat="false" ht="15" hidden="false" customHeight="false" outlineLevel="0" collapsed="false">
      <c r="A1461" s="0" t="n">
        <v>1</v>
      </c>
      <c r="B1461" s="0" t="n">
        <v>8</v>
      </c>
      <c r="C1461" s="0" t="n">
        <v>8</v>
      </c>
      <c r="D1461" s="0" t="n">
        <v>7</v>
      </c>
      <c r="E1461" s="0" t="n">
        <f aca="false">-1+A1461*0.25</f>
        <v>-0.75</v>
      </c>
      <c r="F1461" s="0" t="n">
        <f aca="false">-1+B1461*0.25</f>
        <v>1</v>
      </c>
      <c r="G1461" s="0" t="n">
        <f aca="false">-1+C1461*0.25</f>
        <v>1</v>
      </c>
      <c r="H1461" s="0" t="n">
        <f aca="false">-1+D1461*0.25</f>
        <v>0.75</v>
      </c>
      <c r="I1461" s="0" t="n">
        <f aca="false">1</f>
        <v>1</v>
      </c>
      <c r="J1461" s="0" t="n">
        <f aca="false">E1461</f>
        <v>-0.75</v>
      </c>
      <c r="K1461" s="0" t="n">
        <f aca="false">F1461</f>
        <v>1</v>
      </c>
      <c r="L1461" s="0" t="n">
        <f aca="false">G1461</f>
        <v>1</v>
      </c>
      <c r="M1461" s="0" t="n">
        <f aca="false">H1461</f>
        <v>0.75</v>
      </c>
      <c r="N1461" s="0" t="n">
        <f aca="false">E1461*F1461</f>
        <v>-0.75</v>
      </c>
      <c r="O1461" s="0" t="n">
        <f aca="false">E1461*G1461</f>
        <v>-0.75</v>
      </c>
      <c r="P1461" s="0" t="n">
        <f aca="false">E1461*H1461</f>
        <v>-0.5625</v>
      </c>
      <c r="Q1461" s="0" t="n">
        <f aca="false">F1461*G1461</f>
        <v>1</v>
      </c>
      <c r="R1461" s="0" t="n">
        <f aca="false">F1461*H1461</f>
        <v>0.75</v>
      </c>
      <c r="S1461" s="0" t="n">
        <f aca="false">G1461*H1461</f>
        <v>0.75</v>
      </c>
      <c r="T1461" s="0" t="n">
        <f aca="false">E1461*E1461</f>
        <v>0.5625</v>
      </c>
      <c r="U1461" s="0" t="n">
        <f aca="false">F1461*F1461</f>
        <v>1</v>
      </c>
      <c r="V1461" s="0" t="n">
        <f aca="false">G1461*G1461</f>
        <v>1</v>
      </c>
      <c r="W1461" s="0" t="n">
        <f aca="false">H1461*H1461</f>
        <v>0.5625</v>
      </c>
      <c r="X1461" s="0" t="n">
        <f aca="false">SUMPRODUCT(I1461:W1461,_XtX!$B$96:$P$96)</f>
        <v>44.7951845760234</v>
      </c>
      <c r="Y1461" s="0" t="n">
        <f aca="false">SUMPRODUCT(MMULT(I1461:W1461,_XtX!$B$78:$P$92),I1461:W1461)</f>
        <v>0.531311392086988</v>
      </c>
      <c r="Z1461" s="0" t="n">
        <f aca="false">04_回帰ANOVA!$K$19*04_回帰ANOVA!$K$14*SQRT(1+Y1461)</f>
        <v>1.61298433431428</v>
      </c>
      <c r="AA1461" s="0" t="n">
        <f aca="false">X1461-Z1461</f>
        <v>43.1822002417091</v>
      </c>
      <c r="AB1461" s="0" t="n">
        <f aca="false">X1461+Z1461</f>
        <v>46.4081689103377</v>
      </c>
      <c r="AC1461" s="54" t="b">
        <f aca="false">AND(E1461&gt;=01_因子設定!$L$5-0.000000001,E1461&lt;=01_因子設定!$M$5+0.000000001,F1461&gt;=01_因子設定!$L$6-0.000000001,F1461&lt;=01_因子設定!$M$6+0.000000001,G1461&gt;=01_因子設定!$L$7-0.000000001,G1461&lt;=01_因子設定!$M$7+0.000000001,H1461&gt;=01_因子設定!$L$8-0.000000001,H1461&lt;=01_因子設定!$M$8+0.000000001,IF(01_因子設定!$B$20="Box-Behnken",E1461^2+F1461^2+G1461^2+H1461^2&lt;=2+0.000000001,TRUE()))</f>
        <v>1</v>
      </c>
      <c r="AD1461" s="55" t="n">
        <f aca="false">IF(AC1461,IF(01_因子設定!$B$13="最大化",AA1461-01_因子設定!$B$14,IF(01_因子設定!$B$13="最小化",01_因子設定!$B$15-AB1461,MIN(AA1461-01_因子設定!$B$14,01_因子設定!$B$15-AB1461))),-1E+030)</f>
        <v>-3.31779975829088</v>
      </c>
      <c r="AE1461" s="55" t="n">
        <f aca="false">IF(AC1461,IF(01_因子設定!$B$13="最大化",X1461,IF(01_因子設定!$B$13="最小化",-X1461,-ABS(X1461-01_因子設定!$B$16))),-1E+030)</f>
        <v>44.7951845760234</v>
      </c>
      <c r="AF1461" s="55" t="n">
        <f aca="false">AD1461+ROW()*0.000000001</f>
        <v>-3.31779829729088</v>
      </c>
      <c r="AG1461" s="55" t="n">
        <f aca="false">AE1461+ROW()*0.000000001</f>
        <v>44.7951860370234</v>
      </c>
    </row>
    <row r="1462" customFormat="false" ht="15" hidden="false" customHeight="false" outlineLevel="0" collapsed="false">
      <c r="A1462" s="0" t="n">
        <v>1</v>
      </c>
      <c r="B1462" s="0" t="n">
        <v>8</v>
      </c>
      <c r="C1462" s="0" t="n">
        <v>8</v>
      </c>
      <c r="D1462" s="0" t="n">
        <v>8</v>
      </c>
      <c r="E1462" s="0" t="n">
        <f aca="false">-1+A1462*0.25</f>
        <v>-0.75</v>
      </c>
      <c r="F1462" s="0" t="n">
        <f aca="false">-1+B1462*0.25</f>
        <v>1</v>
      </c>
      <c r="G1462" s="0" t="n">
        <f aca="false">-1+C1462*0.25</f>
        <v>1</v>
      </c>
      <c r="H1462" s="0" t="n">
        <f aca="false">-1+D1462*0.25</f>
        <v>1</v>
      </c>
      <c r="I1462" s="0" t="n">
        <f aca="false">1</f>
        <v>1</v>
      </c>
      <c r="J1462" s="0" t="n">
        <f aca="false">E1462</f>
        <v>-0.75</v>
      </c>
      <c r="K1462" s="0" t="n">
        <f aca="false">F1462</f>
        <v>1</v>
      </c>
      <c r="L1462" s="0" t="n">
        <f aca="false">G1462</f>
        <v>1</v>
      </c>
      <c r="M1462" s="0" t="n">
        <f aca="false">H1462</f>
        <v>1</v>
      </c>
      <c r="N1462" s="0" t="n">
        <f aca="false">E1462*F1462</f>
        <v>-0.75</v>
      </c>
      <c r="O1462" s="0" t="n">
        <f aca="false">E1462*G1462</f>
        <v>-0.75</v>
      </c>
      <c r="P1462" s="0" t="n">
        <f aca="false">E1462*H1462</f>
        <v>-0.75</v>
      </c>
      <c r="Q1462" s="0" t="n">
        <f aca="false">F1462*G1462</f>
        <v>1</v>
      </c>
      <c r="R1462" s="0" t="n">
        <f aca="false">F1462*H1462</f>
        <v>1</v>
      </c>
      <c r="S1462" s="0" t="n">
        <f aca="false">G1462*H1462</f>
        <v>1</v>
      </c>
      <c r="T1462" s="0" t="n">
        <f aca="false">E1462*E1462</f>
        <v>0.5625</v>
      </c>
      <c r="U1462" s="0" t="n">
        <f aca="false">F1462*F1462</f>
        <v>1</v>
      </c>
      <c r="V1462" s="0" t="n">
        <f aca="false">G1462*G1462</f>
        <v>1</v>
      </c>
      <c r="W1462" s="0" t="n">
        <f aca="false">H1462*H1462</f>
        <v>1</v>
      </c>
      <c r="X1462" s="0" t="n">
        <f aca="false">SUMPRODUCT(I1462:W1462,_XtX!$B$96:$P$96)</f>
        <v>44.7245614035088</v>
      </c>
      <c r="Y1462" s="0" t="n">
        <f aca="false">SUMPRODUCT(MMULT(I1462:W1462,_XtX!$B$78:$P$92),I1462:W1462)</f>
        <v>0.610814144736842</v>
      </c>
      <c r="Z1462" s="0" t="n">
        <f aca="false">04_回帰ANOVA!$K$19*04_回帰ANOVA!$K$14*SQRT(1+Y1462)</f>
        <v>1.6543260558361</v>
      </c>
      <c r="AA1462" s="0" t="n">
        <f aca="false">X1462-Z1462</f>
        <v>43.0702353476727</v>
      </c>
      <c r="AB1462" s="0" t="n">
        <f aca="false">X1462+Z1462</f>
        <v>46.3788874593449</v>
      </c>
      <c r="AC1462" s="54" t="b">
        <f aca="false">AND(E1462&gt;=01_因子設定!$L$5-0.000000001,E1462&lt;=01_因子設定!$M$5+0.000000001,F1462&gt;=01_因子設定!$L$6-0.000000001,F1462&lt;=01_因子設定!$M$6+0.000000001,G1462&gt;=01_因子設定!$L$7-0.000000001,G1462&lt;=01_因子設定!$M$7+0.000000001,H1462&gt;=01_因子設定!$L$8-0.000000001,H1462&lt;=01_因子設定!$M$8+0.000000001,IF(01_因子設定!$B$20="Box-Behnken",E1462^2+F1462^2+G1462^2+H1462^2&lt;=2+0.000000001,TRUE()))</f>
        <v>1</v>
      </c>
      <c r="AD1462" s="55" t="n">
        <f aca="false">IF(AC1462,IF(01_因子設定!$B$13="最大化",AA1462-01_因子設定!$B$14,IF(01_因子設定!$B$13="最小化",01_因子設定!$B$15-AB1462,MIN(AA1462-01_因子設定!$B$14,01_因子設定!$B$15-AB1462))),-1E+030)</f>
        <v>-3.42976465232729</v>
      </c>
      <c r="AE1462" s="55" t="n">
        <f aca="false">IF(AC1462,IF(01_因子設定!$B$13="最大化",X1462,IF(01_因子設定!$B$13="最小化",-X1462,-ABS(X1462-01_因子設定!$B$16))),-1E+030)</f>
        <v>44.7245614035088</v>
      </c>
      <c r="AF1462" s="55" t="n">
        <f aca="false">AD1462+ROW()*0.000000001</f>
        <v>-3.42976319032729</v>
      </c>
      <c r="AG1462" s="55" t="n">
        <f aca="false">AE1462+ROW()*0.000000001</f>
        <v>44.7245628655088</v>
      </c>
    </row>
    <row r="1463" customFormat="false" ht="15" hidden="false" customHeight="false" outlineLevel="0" collapsed="false">
      <c r="A1463" s="0" t="n">
        <v>2</v>
      </c>
      <c r="B1463" s="0" t="n">
        <v>0</v>
      </c>
      <c r="C1463" s="0" t="n">
        <v>0</v>
      </c>
      <c r="D1463" s="0" t="n">
        <v>0</v>
      </c>
      <c r="E1463" s="0" t="n">
        <f aca="false">-1+A1463*0.25</f>
        <v>-0.5</v>
      </c>
      <c r="F1463" s="0" t="n">
        <f aca="false">-1+B1463*0.25</f>
        <v>-1</v>
      </c>
      <c r="G1463" s="0" t="n">
        <f aca="false">-1+C1463*0.25</f>
        <v>-1</v>
      </c>
      <c r="H1463" s="0" t="n">
        <f aca="false">-1+D1463*0.25</f>
        <v>-1</v>
      </c>
      <c r="I1463" s="0" t="n">
        <f aca="false">1</f>
        <v>1</v>
      </c>
      <c r="J1463" s="0" t="n">
        <f aca="false">E1463</f>
        <v>-0.5</v>
      </c>
      <c r="K1463" s="0" t="n">
        <f aca="false">F1463</f>
        <v>-1</v>
      </c>
      <c r="L1463" s="0" t="n">
        <f aca="false">G1463</f>
        <v>-1</v>
      </c>
      <c r="M1463" s="0" t="n">
        <f aca="false">H1463</f>
        <v>-1</v>
      </c>
      <c r="N1463" s="0" t="n">
        <f aca="false">E1463*F1463</f>
        <v>0.5</v>
      </c>
      <c r="O1463" s="0" t="n">
        <f aca="false">E1463*G1463</f>
        <v>0.5</v>
      </c>
      <c r="P1463" s="0" t="n">
        <f aca="false">E1463*H1463</f>
        <v>0.5</v>
      </c>
      <c r="Q1463" s="0" t="n">
        <f aca="false">F1463*G1463</f>
        <v>1</v>
      </c>
      <c r="R1463" s="0" t="n">
        <f aca="false">F1463*H1463</f>
        <v>1</v>
      </c>
      <c r="S1463" s="0" t="n">
        <f aca="false">G1463*H1463</f>
        <v>1</v>
      </c>
      <c r="T1463" s="0" t="n">
        <f aca="false">E1463*E1463</f>
        <v>0.25</v>
      </c>
      <c r="U1463" s="0" t="n">
        <f aca="false">F1463*F1463</f>
        <v>1</v>
      </c>
      <c r="V1463" s="0" t="n">
        <f aca="false">G1463*G1463</f>
        <v>1</v>
      </c>
      <c r="W1463" s="0" t="n">
        <f aca="false">H1463*H1463</f>
        <v>1</v>
      </c>
      <c r="X1463" s="0" t="n">
        <f aca="false">SUMPRODUCT(I1463:W1463,_XtX!$B$96:$P$96)</f>
        <v>39.8163011695906</v>
      </c>
      <c r="Y1463" s="0" t="n">
        <f aca="false">SUMPRODUCT(MMULT(I1463:W1463,_XtX!$B$78:$P$92),I1463:W1463)</f>
        <v>0.667123538011696</v>
      </c>
      <c r="Z1463" s="0" t="n">
        <f aca="false">04_回帰ANOVA!$K$19*04_回帰ANOVA!$K$14*SQRT(1+Y1463)</f>
        <v>1.68299290213005</v>
      </c>
      <c r="AA1463" s="0" t="n">
        <f aca="false">X1463-Z1463</f>
        <v>38.1333082674606</v>
      </c>
      <c r="AB1463" s="0" t="n">
        <f aca="false">X1463+Z1463</f>
        <v>41.4992940717207</v>
      </c>
      <c r="AC1463" s="54" t="b">
        <f aca="false">AND(E1463&gt;=01_因子設定!$L$5-0.000000001,E1463&lt;=01_因子設定!$M$5+0.000000001,F1463&gt;=01_因子設定!$L$6-0.000000001,F1463&lt;=01_因子設定!$M$6+0.000000001,G1463&gt;=01_因子設定!$L$7-0.000000001,G1463&lt;=01_因子設定!$M$7+0.000000001,H1463&gt;=01_因子設定!$L$8-0.000000001,H1463&lt;=01_因子設定!$M$8+0.000000001,IF(01_因子設定!$B$20="Box-Behnken",E1463^2+F1463^2+G1463^2+H1463^2&lt;=2+0.000000001,TRUE()))</f>
        <v>1</v>
      </c>
      <c r="AD1463" s="55" t="n">
        <f aca="false">IF(AC1463,IF(01_因子設定!$B$13="最大化",AA1463-01_因子設定!$B$14,IF(01_因子設定!$B$13="最小化",01_因子設定!$B$15-AB1463,MIN(AA1463-01_因子設定!$B$14,01_因子設定!$B$15-AB1463))),-1E+030)</f>
        <v>-8.36669173253941</v>
      </c>
      <c r="AE1463" s="55" t="n">
        <f aca="false">IF(AC1463,IF(01_因子設定!$B$13="最大化",X1463,IF(01_因子設定!$B$13="最小化",-X1463,-ABS(X1463-01_因子設定!$B$16))),-1E+030)</f>
        <v>39.8163011695906</v>
      </c>
      <c r="AF1463" s="55" t="n">
        <f aca="false">AD1463+ROW()*0.000000001</f>
        <v>-8.36669026953941</v>
      </c>
      <c r="AG1463" s="55" t="n">
        <f aca="false">AE1463+ROW()*0.000000001</f>
        <v>39.8163026325906</v>
      </c>
    </row>
    <row r="1464" customFormat="false" ht="15" hidden="false" customHeight="false" outlineLevel="0" collapsed="false">
      <c r="A1464" s="0" t="n">
        <v>2</v>
      </c>
      <c r="B1464" s="0" t="n">
        <v>0</v>
      </c>
      <c r="C1464" s="0" t="n">
        <v>0</v>
      </c>
      <c r="D1464" s="0" t="n">
        <v>1</v>
      </c>
      <c r="E1464" s="0" t="n">
        <f aca="false">-1+A1464*0.25</f>
        <v>-0.5</v>
      </c>
      <c r="F1464" s="0" t="n">
        <f aca="false">-1+B1464*0.25</f>
        <v>-1</v>
      </c>
      <c r="G1464" s="0" t="n">
        <f aca="false">-1+C1464*0.25</f>
        <v>-1</v>
      </c>
      <c r="H1464" s="0" t="n">
        <f aca="false">-1+D1464*0.25</f>
        <v>-0.75</v>
      </c>
      <c r="I1464" s="0" t="n">
        <f aca="false">1</f>
        <v>1</v>
      </c>
      <c r="J1464" s="0" t="n">
        <f aca="false">E1464</f>
        <v>-0.5</v>
      </c>
      <c r="K1464" s="0" t="n">
        <f aca="false">F1464</f>
        <v>-1</v>
      </c>
      <c r="L1464" s="0" t="n">
        <f aca="false">G1464</f>
        <v>-1</v>
      </c>
      <c r="M1464" s="0" t="n">
        <f aca="false">H1464</f>
        <v>-0.75</v>
      </c>
      <c r="N1464" s="0" t="n">
        <f aca="false">E1464*F1464</f>
        <v>0.5</v>
      </c>
      <c r="O1464" s="0" t="n">
        <f aca="false">E1464*G1464</f>
        <v>0.5</v>
      </c>
      <c r="P1464" s="0" t="n">
        <f aca="false">E1464*H1464</f>
        <v>0.375</v>
      </c>
      <c r="Q1464" s="0" t="n">
        <f aca="false">F1464*G1464</f>
        <v>1</v>
      </c>
      <c r="R1464" s="0" t="n">
        <f aca="false">F1464*H1464</f>
        <v>0.75</v>
      </c>
      <c r="S1464" s="0" t="n">
        <f aca="false">G1464*H1464</f>
        <v>0.75</v>
      </c>
      <c r="T1464" s="0" t="n">
        <f aca="false">E1464*E1464</f>
        <v>0.25</v>
      </c>
      <c r="U1464" s="0" t="n">
        <f aca="false">F1464*F1464</f>
        <v>1</v>
      </c>
      <c r="V1464" s="0" t="n">
        <f aca="false">G1464*G1464</f>
        <v>1</v>
      </c>
      <c r="W1464" s="0" t="n">
        <f aca="false">H1464*H1464</f>
        <v>0.5625</v>
      </c>
      <c r="X1464" s="0" t="n">
        <f aca="false">SUMPRODUCT(I1464:W1464,_XtX!$B$96:$P$96)</f>
        <v>40.050639619883</v>
      </c>
      <c r="Y1464" s="0" t="n">
        <f aca="false">SUMPRODUCT(MMULT(I1464:W1464,_XtX!$B$78:$P$92),I1464:W1464)</f>
        <v>0.564984237938597</v>
      </c>
      <c r="Z1464" s="0" t="n">
        <f aca="false">04_回帰ANOVA!$K$19*04_回帰ANOVA!$K$14*SQRT(1+Y1464)</f>
        <v>1.63062229734503</v>
      </c>
      <c r="AA1464" s="0" t="n">
        <f aca="false">X1464-Z1464</f>
        <v>38.420017322538</v>
      </c>
      <c r="AB1464" s="0" t="n">
        <f aca="false">X1464+Z1464</f>
        <v>41.6812619172281</v>
      </c>
      <c r="AC1464" s="54" t="b">
        <f aca="false">AND(E1464&gt;=01_因子設定!$L$5-0.000000001,E1464&lt;=01_因子設定!$M$5+0.000000001,F1464&gt;=01_因子設定!$L$6-0.000000001,F1464&lt;=01_因子設定!$M$6+0.000000001,G1464&gt;=01_因子設定!$L$7-0.000000001,G1464&lt;=01_因子設定!$M$7+0.000000001,H1464&gt;=01_因子設定!$L$8-0.000000001,H1464&lt;=01_因子設定!$M$8+0.000000001,IF(01_因子設定!$B$20="Box-Behnken",E1464^2+F1464^2+G1464^2+H1464^2&lt;=2+0.000000001,TRUE()))</f>
        <v>1</v>
      </c>
      <c r="AD1464" s="55" t="n">
        <f aca="false">IF(AC1464,IF(01_因子設定!$B$13="最大化",AA1464-01_因子設定!$B$14,IF(01_因子設定!$B$13="最小化",01_因子設定!$B$15-AB1464,MIN(AA1464-01_因子設定!$B$14,01_因子設定!$B$15-AB1464))),-1E+030)</f>
        <v>-8.07998267746201</v>
      </c>
      <c r="AE1464" s="55" t="n">
        <f aca="false">IF(AC1464,IF(01_因子設定!$B$13="最大化",X1464,IF(01_因子設定!$B$13="最小化",-X1464,-ABS(X1464-01_因子設定!$B$16))),-1E+030)</f>
        <v>40.050639619883</v>
      </c>
      <c r="AF1464" s="55" t="n">
        <f aca="false">AD1464+ROW()*0.000000001</f>
        <v>-8.07998121346201</v>
      </c>
      <c r="AG1464" s="55" t="n">
        <f aca="false">AE1464+ROW()*0.000000001</f>
        <v>40.050641083883</v>
      </c>
    </row>
    <row r="1465" customFormat="false" ht="15" hidden="false" customHeight="false" outlineLevel="0" collapsed="false">
      <c r="A1465" s="0" t="n">
        <v>2</v>
      </c>
      <c r="B1465" s="0" t="n">
        <v>0</v>
      </c>
      <c r="C1465" s="0" t="n">
        <v>0</v>
      </c>
      <c r="D1465" s="0" t="n">
        <v>2</v>
      </c>
      <c r="E1465" s="0" t="n">
        <f aca="false">-1+A1465*0.25</f>
        <v>-0.5</v>
      </c>
      <c r="F1465" s="0" t="n">
        <f aca="false">-1+B1465*0.25</f>
        <v>-1</v>
      </c>
      <c r="G1465" s="0" t="n">
        <f aca="false">-1+C1465*0.25</f>
        <v>-1</v>
      </c>
      <c r="H1465" s="0" t="n">
        <f aca="false">-1+D1465*0.25</f>
        <v>-0.5</v>
      </c>
      <c r="I1465" s="0" t="n">
        <f aca="false">1</f>
        <v>1</v>
      </c>
      <c r="J1465" s="0" t="n">
        <f aca="false">E1465</f>
        <v>-0.5</v>
      </c>
      <c r="K1465" s="0" t="n">
        <f aca="false">F1465</f>
        <v>-1</v>
      </c>
      <c r="L1465" s="0" t="n">
        <f aca="false">G1465</f>
        <v>-1</v>
      </c>
      <c r="M1465" s="0" t="n">
        <f aca="false">H1465</f>
        <v>-0.5</v>
      </c>
      <c r="N1465" s="0" t="n">
        <f aca="false">E1465*F1465</f>
        <v>0.5</v>
      </c>
      <c r="O1465" s="0" t="n">
        <f aca="false">E1465*G1465</f>
        <v>0.5</v>
      </c>
      <c r="P1465" s="0" t="n">
        <f aca="false">E1465*H1465</f>
        <v>0.25</v>
      </c>
      <c r="Q1465" s="0" t="n">
        <f aca="false">F1465*G1465</f>
        <v>1</v>
      </c>
      <c r="R1465" s="0" t="n">
        <f aca="false">F1465*H1465</f>
        <v>0.5</v>
      </c>
      <c r="S1465" s="0" t="n">
        <f aca="false">G1465*H1465</f>
        <v>0.5</v>
      </c>
      <c r="T1465" s="0" t="n">
        <f aca="false">E1465*E1465</f>
        <v>0.25</v>
      </c>
      <c r="U1465" s="0" t="n">
        <f aca="false">F1465*F1465</f>
        <v>1</v>
      </c>
      <c r="V1465" s="0" t="n">
        <f aca="false">G1465*G1465</f>
        <v>1</v>
      </c>
      <c r="W1465" s="0" t="n">
        <f aca="false">H1465*H1465</f>
        <v>0.25</v>
      </c>
      <c r="X1465" s="0" t="n">
        <f aca="false">SUMPRODUCT(I1465:W1465,_XtX!$B$96:$P$96)</f>
        <v>40.2371710526315</v>
      </c>
      <c r="Y1465" s="0" t="n">
        <f aca="false">SUMPRODUCT(MMULT(I1465:W1465,_XtX!$B$78:$P$92),I1465:W1465)</f>
        <v>0.582488121345029</v>
      </c>
      <c r="Z1465" s="0" t="n">
        <f aca="false">04_回帰ANOVA!$K$19*04_回帰ANOVA!$K$14*SQRT(1+Y1465)</f>
        <v>1.63971595338287</v>
      </c>
      <c r="AA1465" s="0" t="n">
        <f aca="false">X1465-Z1465</f>
        <v>38.5974550992487</v>
      </c>
      <c r="AB1465" s="0" t="n">
        <f aca="false">X1465+Z1465</f>
        <v>41.8768870060144</v>
      </c>
      <c r="AC1465" s="54" t="b">
        <f aca="false">AND(E1465&gt;=01_因子設定!$L$5-0.000000001,E1465&lt;=01_因子設定!$M$5+0.000000001,F1465&gt;=01_因子設定!$L$6-0.000000001,F1465&lt;=01_因子設定!$M$6+0.000000001,G1465&gt;=01_因子設定!$L$7-0.000000001,G1465&lt;=01_因子設定!$M$7+0.000000001,H1465&gt;=01_因子設定!$L$8-0.000000001,H1465&lt;=01_因子設定!$M$8+0.000000001,IF(01_因子設定!$B$20="Box-Behnken",E1465^2+F1465^2+G1465^2+H1465^2&lt;=2+0.000000001,TRUE()))</f>
        <v>1</v>
      </c>
      <c r="AD1465" s="55" t="n">
        <f aca="false">IF(AC1465,IF(01_因子設定!$B$13="最大化",AA1465-01_因子設定!$B$14,IF(01_因子設定!$B$13="最小化",01_因子設定!$B$15-AB1465,MIN(AA1465-01_因子設定!$B$14,01_因子設定!$B$15-AB1465))),-1E+030)</f>
        <v>-7.90254490075132</v>
      </c>
      <c r="AE1465" s="55" t="n">
        <f aca="false">IF(AC1465,IF(01_因子設定!$B$13="最大化",X1465,IF(01_因子設定!$B$13="最小化",-X1465,-ABS(X1465-01_因子設定!$B$16))),-1E+030)</f>
        <v>40.2371710526315</v>
      </c>
      <c r="AF1465" s="55" t="n">
        <f aca="false">AD1465+ROW()*0.000000001</f>
        <v>-7.90254343575132</v>
      </c>
      <c r="AG1465" s="55" t="n">
        <f aca="false">AE1465+ROW()*0.000000001</f>
        <v>40.2371725176315</v>
      </c>
    </row>
    <row r="1466" customFormat="false" ht="15" hidden="false" customHeight="false" outlineLevel="0" collapsed="false">
      <c r="A1466" s="0" t="n">
        <v>2</v>
      </c>
      <c r="B1466" s="0" t="n">
        <v>0</v>
      </c>
      <c r="C1466" s="0" t="n">
        <v>0</v>
      </c>
      <c r="D1466" s="0" t="n">
        <v>3</v>
      </c>
      <c r="E1466" s="0" t="n">
        <f aca="false">-1+A1466*0.25</f>
        <v>-0.5</v>
      </c>
      <c r="F1466" s="0" t="n">
        <f aca="false">-1+B1466*0.25</f>
        <v>-1</v>
      </c>
      <c r="G1466" s="0" t="n">
        <f aca="false">-1+C1466*0.25</f>
        <v>-1</v>
      </c>
      <c r="H1466" s="0" t="n">
        <f aca="false">-1+D1466*0.25</f>
        <v>-0.25</v>
      </c>
      <c r="I1466" s="0" t="n">
        <f aca="false">1</f>
        <v>1</v>
      </c>
      <c r="J1466" s="0" t="n">
        <f aca="false">E1466</f>
        <v>-0.5</v>
      </c>
      <c r="K1466" s="0" t="n">
        <f aca="false">F1466</f>
        <v>-1</v>
      </c>
      <c r="L1466" s="0" t="n">
        <f aca="false">G1466</f>
        <v>-1</v>
      </c>
      <c r="M1466" s="0" t="n">
        <f aca="false">H1466</f>
        <v>-0.25</v>
      </c>
      <c r="N1466" s="0" t="n">
        <f aca="false">E1466*F1466</f>
        <v>0.5</v>
      </c>
      <c r="O1466" s="0" t="n">
        <f aca="false">E1466*G1466</f>
        <v>0.5</v>
      </c>
      <c r="P1466" s="0" t="n">
        <f aca="false">E1466*H1466</f>
        <v>0.125</v>
      </c>
      <c r="Q1466" s="0" t="n">
        <f aca="false">F1466*G1466</f>
        <v>1</v>
      </c>
      <c r="R1466" s="0" t="n">
        <f aca="false">F1466*H1466</f>
        <v>0.25</v>
      </c>
      <c r="S1466" s="0" t="n">
        <f aca="false">G1466*H1466</f>
        <v>0.25</v>
      </c>
      <c r="T1466" s="0" t="n">
        <f aca="false">E1466*E1466</f>
        <v>0.25</v>
      </c>
      <c r="U1466" s="0" t="n">
        <f aca="false">F1466*F1466</f>
        <v>1</v>
      </c>
      <c r="V1466" s="0" t="n">
        <f aca="false">G1466*G1466</f>
        <v>1</v>
      </c>
      <c r="W1466" s="0" t="n">
        <f aca="false">H1466*H1466</f>
        <v>0.0625</v>
      </c>
      <c r="X1466" s="0" t="n">
        <f aca="false">SUMPRODUCT(I1466:W1466,_XtX!$B$96:$P$96)</f>
        <v>40.3758954678362</v>
      </c>
      <c r="Y1466" s="0" t="n">
        <f aca="false">SUMPRODUCT(MMULT(I1466:W1466,_XtX!$B$78:$P$92),I1466:W1466)</f>
        <v>0.629174661915205</v>
      </c>
      <c r="Z1466" s="0" t="n">
        <f aca="false">04_回帰ANOVA!$K$19*04_回帰ANOVA!$K$14*SQRT(1+Y1466)</f>
        <v>1.66372758058297</v>
      </c>
      <c r="AA1466" s="0" t="n">
        <f aca="false">X1466-Z1466</f>
        <v>38.7121678872533</v>
      </c>
      <c r="AB1466" s="0" t="n">
        <f aca="false">X1466+Z1466</f>
        <v>42.0396230484192</v>
      </c>
      <c r="AC1466" s="54" t="b">
        <f aca="false">AND(E1466&gt;=01_因子設定!$L$5-0.000000001,E1466&lt;=01_因子設定!$M$5+0.000000001,F1466&gt;=01_因子設定!$L$6-0.000000001,F1466&lt;=01_因子設定!$M$6+0.000000001,G1466&gt;=01_因子設定!$L$7-0.000000001,G1466&lt;=01_因子設定!$M$7+0.000000001,H1466&gt;=01_因子設定!$L$8-0.000000001,H1466&lt;=01_因子設定!$M$8+0.000000001,IF(01_因子設定!$B$20="Box-Behnken",E1466^2+F1466^2+G1466^2+H1466^2&lt;=2+0.000000001,TRUE()))</f>
        <v>1</v>
      </c>
      <c r="AD1466" s="55" t="n">
        <f aca="false">IF(AC1466,IF(01_因子設定!$B$13="最大化",AA1466-01_因子設定!$B$14,IF(01_因子設定!$B$13="最小化",01_因子設定!$B$15-AB1466,MIN(AA1466-01_因子設定!$B$14,01_因子設定!$B$15-AB1466))),-1E+030)</f>
        <v>-7.78783211274675</v>
      </c>
      <c r="AE1466" s="55" t="n">
        <f aca="false">IF(AC1466,IF(01_因子設定!$B$13="最大化",X1466,IF(01_因子設定!$B$13="最小化",-X1466,-ABS(X1466-01_因子設定!$B$16))),-1E+030)</f>
        <v>40.3758954678362</v>
      </c>
      <c r="AF1466" s="55" t="n">
        <f aca="false">AD1466+ROW()*0.000000001</f>
        <v>-7.78783064674675</v>
      </c>
      <c r="AG1466" s="55" t="n">
        <f aca="false">AE1466+ROW()*0.000000001</f>
        <v>40.3758969338362</v>
      </c>
    </row>
    <row r="1467" customFormat="false" ht="15" hidden="false" customHeight="false" outlineLevel="0" collapsed="false">
      <c r="A1467" s="0" t="n">
        <v>2</v>
      </c>
      <c r="B1467" s="0" t="n">
        <v>0</v>
      </c>
      <c r="C1467" s="0" t="n">
        <v>0</v>
      </c>
      <c r="D1467" s="0" t="n">
        <v>4</v>
      </c>
      <c r="E1467" s="0" t="n">
        <f aca="false">-1+A1467*0.25</f>
        <v>-0.5</v>
      </c>
      <c r="F1467" s="0" t="n">
        <f aca="false">-1+B1467*0.25</f>
        <v>-1</v>
      </c>
      <c r="G1467" s="0" t="n">
        <f aca="false">-1+C1467*0.25</f>
        <v>-1</v>
      </c>
      <c r="H1467" s="0" t="n">
        <f aca="false">-1+D1467*0.25</f>
        <v>0</v>
      </c>
      <c r="I1467" s="0" t="n">
        <f aca="false">1</f>
        <v>1</v>
      </c>
      <c r="J1467" s="0" t="n">
        <f aca="false">E1467</f>
        <v>-0.5</v>
      </c>
      <c r="K1467" s="0" t="n">
        <f aca="false">F1467</f>
        <v>-1</v>
      </c>
      <c r="L1467" s="0" t="n">
        <f aca="false">G1467</f>
        <v>-1</v>
      </c>
      <c r="M1467" s="0" t="n">
        <f aca="false">H1467</f>
        <v>0</v>
      </c>
      <c r="N1467" s="0" t="n">
        <f aca="false">E1467*F1467</f>
        <v>0.5</v>
      </c>
      <c r="O1467" s="0" t="n">
        <f aca="false">E1467*G1467</f>
        <v>0.5</v>
      </c>
      <c r="P1467" s="0" t="n">
        <f aca="false">E1467*H1467</f>
        <v>-0</v>
      </c>
      <c r="Q1467" s="0" t="n">
        <f aca="false">F1467*G1467</f>
        <v>1</v>
      </c>
      <c r="R1467" s="0" t="n">
        <f aca="false">F1467*H1467</f>
        <v>-0</v>
      </c>
      <c r="S1467" s="0" t="n">
        <f aca="false">G1467*H1467</f>
        <v>-0</v>
      </c>
      <c r="T1467" s="0" t="n">
        <f aca="false">E1467*E1467</f>
        <v>0.25</v>
      </c>
      <c r="U1467" s="0" t="n">
        <f aca="false">F1467*F1467</f>
        <v>1</v>
      </c>
      <c r="V1467" s="0" t="n">
        <f aca="false">G1467*G1467</f>
        <v>1</v>
      </c>
      <c r="W1467" s="0" t="n">
        <f aca="false">H1467*H1467</f>
        <v>0</v>
      </c>
      <c r="X1467" s="0" t="n">
        <f aca="false">SUMPRODUCT(I1467:W1467,_XtX!$B$96:$P$96)</f>
        <v>40.466812865497</v>
      </c>
      <c r="Y1467" s="0" t="n">
        <f aca="false">SUMPRODUCT(MMULT(I1467:W1467,_XtX!$B$78:$P$92),I1467:W1467)</f>
        <v>0.650767543859649</v>
      </c>
      <c r="Z1467" s="0" t="n">
        <f aca="false">04_回帰ANOVA!$K$19*04_回帰ANOVA!$K$14*SQRT(1+Y1467)</f>
        <v>1.67471670935165</v>
      </c>
      <c r="AA1467" s="0" t="n">
        <f aca="false">X1467-Z1467</f>
        <v>38.7920961561454</v>
      </c>
      <c r="AB1467" s="0" t="n">
        <f aca="false">X1467+Z1467</f>
        <v>42.1415295748487</v>
      </c>
      <c r="AC1467" s="54" t="b">
        <f aca="false">AND(E1467&gt;=01_因子設定!$L$5-0.000000001,E1467&lt;=01_因子設定!$M$5+0.000000001,F1467&gt;=01_因子設定!$L$6-0.000000001,F1467&lt;=01_因子設定!$M$6+0.000000001,G1467&gt;=01_因子設定!$L$7-0.000000001,G1467&lt;=01_因子設定!$M$7+0.000000001,H1467&gt;=01_因子設定!$L$8-0.000000001,H1467&lt;=01_因子設定!$M$8+0.000000001,IF(01_因子設定!$B$20="Box-Behnken",E1467^2+F1467^2+G1467^2+H1467^2&lt;=2+0.000000001,TRUE()))</f>
        <v>1</v>
      </c>
      <c r="AD1467" s="55" t="n">
        <f aca="false">IF(AC1467,IF(01_因子設定!$B$13="最大化",AA1467-01_因子設定!$B$14,IF(01_因子設定!$B$13="最小化",01_因子設定!$B$15-AB1467,MIN(AA1467-01_因子設定!$B$14,01_因子設定!$B$15-AB1467))),-1E+030)</f>
        <v>-7.70790384385462</v>
      </c>
      <c r="AE1467" s="55" t="n">
        <f aca="false">IF(AC1467,IF(01_因子設定!$B$13="最大化",X1467,IF(01_因子設定!$B$13="最小化",-X1467,-ABS(X1467-01_因子設定!$B$16))),-1E+030)</f>
        <v>40.466812865497</v>
      </c>
      <c r="AF1467" s="55" t="n">
        <f aca="false">AD1467+ROW()*0.000000001</f>
        <v>-7.70790237685462</v>
      </c>
      <c r="AG1467" s="55" t="n">
        <f aca="false">AE1467+ROW()*0.000000001</f>
        <v>40.466814332497</v>
      </c>
    </row>
    <row r="1468" customFormat="false" ht="15" hidden="false" customHeight="false" outlineLevel="0" collapsed="false">
      <c r="A1468" s="0" t="n">
        <v>2</v>
      </c>
      <c r="B1468" s="0" t="n">
        <v>0</v>
      </c>
      <c r="C1468" s="0" t="n">
        <v>0</v>
      </c>
      <c r="D1468" s="0" t="n">
        <v>5</v>
      </c>
      <c r="E1468" s="0" t="n">
        <f aca="false">-1+A1468*0.25</f>
        <v>-0.5</v>
      </c>
      <c r="F1468" s="0" t="n">
        <f aca="false">-1+B1468*0.25</f>
        <v>-1</v>
      </c>
      <c r="G1468" s="0" t="n">
        <f aca="false">-1+C1468*0.25</f>
        <v>-1</v>
      </c>
      <c r="H1468" s="0" t="n">
        <f aca="false">-1+D1468*0.25</f>
        <v>0.25</v>
      </c>
      <c r="I1468" s="0" t="n">
        <f aca="false">1</f>
        <v>1</v>
      </c>
      <c r="J1468" s="0" t="n">
        <f aca="false">E1468</f>
        <v>-0.5</v>
      </c>
      <c r="K1468" s="0" t="n">
        <f aca="false">F1468</f>
        <v>-1</v>
      </c>
      <c r="L1468" s="0" t="n">
        <f aca="false">G1468</f>
        <v>-1</v>
      </c>
      <c r="M1468" s="0" t="n">
        <f aca="false">H1468</f>
        <v>0.25</v>
      </c>
      <c r="N1468" s="0" t="n">
        <f aca="false">E1468*F1468</f>
        <v>0.5</v>
      </c>
      <c r="O1468" s="0" t="n">
        <f aca="false">E1468*G1468</f>
        <v>0.5</v>
      </c>
      <c r="P1468" s="0" t="n">
        <f aca="false">E1468*H1468</f>
        <v>-0.125</v>
      </c>
      <c r="Q1468" s="0" t="n">
        <f aca="false">F1468*G1468</f>
        <v>1</v>
      </c>
      <c r="R1468" s="0" t="n">
        <f aca="false">F1468*H1468</f>
        <v>-0.25</v>
      </c>
      <c r="S1468" s="0" t="n">
        <f aca="false">G1468*H1468</f>
        <v>-0.25</v>
      </c>
      <c r="T1468" s="0" t="n">
        <f aca="false">E1468*E1468</f>
        <v>0.25</v>
      </c>
      <c r="U1468" s="0" t="n">
        <f aca="false">F1468*F1468</f>
        <v>1</v>
      </c>
      <c r="V1468" s="0" t="n">
        <f aca="false">G1468*G1468</f>
        <v>1</v>
      </c>
      <c r="W1468" s="0" t="n">
        <f aca="false">H1468*H1468</f>
        <v>0.0625</v>
      </c>
      <c r="X1468" s="0" t="n">
        <f aca="false">SUMPRODUCT(I1468:W1468,_XtX!$B$96:$P$96)</f>
        <v>40.509923245614</v>
      </c>
      <c r="Y1468" s="0" t="n">
        <f aca="false">SUMPRODUCT(MMULT(I1468:W1468,_XtX!$B$78:$P$92),I1468:W1468)</f>
        <v>0.629174661915205</v>
      </c>
      <c r="Z1468" s="0" t="n">
        <f aca="false">04_回帰ANOVA!$K$19*04_回帰ANOVA!$K$14*SQRT(1+Y1468)</f>
        <v>1.66372758058297</v>
      </c>
      <c r="AA1468" s="0" t="n">
        <f aca="false">X1468-Z1468</f>
        <v>38.846195665031</v>
      </c>
      <c r="AB1468" s="0" t="n">
        <f aca="false">X1468+Z1468</f>
        <v>42.173650826197</v>
      </c>
      <c r="AC1468" s="54" t="b">
        <f aca="false">AND(E1468&gt;=01_因子設定!$L$5-0.000000001,E1468&lt;=01_因子設定!$M$5+0.000000001,F1468&gt;=01_因子設定!$L$6-0.000000001,F1468&lt;=01_因子設定!$M$6+0.000000001,G1468&gt;=01_因子設定!$L$7-0.000000001,G1468&lt;=01_因子設定!$M$7+0.000000001,H1468&gt;=01_因子設定!$L$8-0.000000001,H1468&lt;=01_因子設定!$M$8+0.000000001,IF(01_因子設定!$B$20="Box-Behnken",E1468^2+F1468^2+G1468^2+H1468^2&lt;=2+0.000000001,TRUE()))</f>
        <v>1</v>
      </c>
      <c r="AD1468" s="55" t="n">
        <f aca="false">IF(AC1468,IF(01_因子設定!$B$13="最大化",AA1468-01_因子設定!$B$14,IF(01_因子設定!$B$13="最小化",01_因子設定!$B$15-AB1468,MIN(AA1468-01_因子設定!$B$14,01_因子設定!$B$15-AB1468))),-1E+030)</f>
        <v>-7.65380433496897</v>
      </c>
      <c r="AE1468" s="55" t="n">
        <f aca="false">IF(AC1468,IF(01_因子設定!$B$13="最大化",X1468,IF(01_因子設定!$B$13="最小化",-X1468,-ABS(X1468-01_因子設定!$B$16))),-1E+030)</f>
        <v>40.509923245614</v>
      </c>
      <c r="AF1468" s="55" t="n">
        <f aca="false">AD1468+ROW()*0.000000001</f>
        <v>-7.65380286696898</v>
      </c>
      <c r="AG1468" s="55" t="n">
        <f aca="false">AE1468+ROW()*0.000000001</f>
        <v>40.509924713614</v>
      </c>
    </row>
    <row r="1469" customFormat="false" ht="15" hidden="false" customHeight="false" outlineLevel="0" collapsed="false">
      <c r="A1469" s="0" t="n">
        <v>2</v>
      </c>
      <c r="B1469" s="0" t="n">
        <v>0</v>
      </c>
      <c r="C1469" s="0" t="n">
        <v>0</v>
      </c>
      <c r="D1469" s="0" t="n">
        <v>6</v>
      </c>
      <c r="E1469" s="0" t="n">
        <f aca="false">-1+A1469*0.25</f>
        <v>-0.5</v>
      </c>
      <c r="F1469" s="0" t="n">
        <f aca="false">-1+B1469*0.25</f>
        <v>-1</v>
      </c>
      <c r="G1469" s="0" t="n">
        <f aca="false">-1+C1469*0.25</f>
        <v>-1</v>
      </c>
      <c r="H1469" s="0" t="n">
        <f aca="false">-1+D1469*0.25</f>
        <v>0.5</v>
      </c>
      <c r="I1469" s="0" t="n">
        <f aca="false">1</f>
        <v>1</v>
      </c>
      <c r="J1469" s="0" t="n">
        <f aca="false">E1469</f>
        <v>-0.5</v>
      </c>
      <c r="K1469" s="0" t="n">
        <f aca="false">F1469</f>
        <v>-1</v>
      </c>
      <c r="L1469" s="0" t="n">
        <f aca="false">G1469</f>
        <v>-1</v>
      </c>
      <c r="M1469" s="0" t="n">
        <f aca="false">H1469</f>
        <v>0.5</v>
      </c>
      <c r="N1469" s="0" t="n">
        <f aca="false">E1469*F1469</f>
        <v>0.5</v>
      </c>
      <c r="O1469" s="0" t="n">
        <f aca="false">E1469*G1469</f>
        <v>0.5</v>
      </c>
      <c r="P1469" s="0" t="n">
        <f aca="false">E1469*H1469</f>
        <v>-0.25</v>
      </c>
      <c r="Q1469" s="0" t="n">
        <f aca="false">F1469*G1469</f>
        <v>1</v>
      </c>
      <c r="R1469" s="0" t="n">
        <f aca="false">F1469*H1469</f>
        <v>-0.5</v>
      </c>
      <c r="S1469" s="0" t="n">
        <f aca="false">G1469*H1469</f>
        <v>-0.5</v>
      </c>
      <c r="T1469" s="0" t="n">
        <f aca="false">E1469*E1469</f>
        <v>0.25</v>
      </c>
      <c r="U1469" s="0" t="n">
        <f aca="false">F1469*F1469</f>
        <v>1</v>
      </c>
      <c r="V1469" s="0" t="n">
        <f aca="false">G1469*G1469</f>
        <v>1</v>
      </c>
      <c r="W1469" s="0" t="n">
        <f aca="false">H1469*H1469</f>
        <v>0.25</v>
      </c>
      <c r="X1469" s="0" t="n">
        <f aca="false">SUMPRODUCT(I1469:W1469,_XtX!$B$96:$P$96)</f>
        <v>40.5052266081871</v>
      </c>
      <c r="Y1469" s="0" t="n">
        <f aca="false">SUMPRODUCT(MMULT(I1469:W1469,_XtX!$B$78:$P$92),I1469:W1469)</f>
        <v>0.582488121345029</v>
      </c>
      <c r="Z1469" s="0" t="n">
        <f aca="false">04_回帰ANOVA!$K$19*04_回帰ANOVA!$K$14*SQRT(1+Y1469)</f>
        <v>1.63971595338287</v>
      </c>
      <c r="AA1469" s="0" t="n">
        <f aca="false">X1469-Z1469</f>
        <v>38.8655106548042</v>
      </c>
      <c r="AB1469" s="0" t="n">
        <f aca="false">X1469+Z1469</f>
        <v>42.14494256157</v>
      </c>
      <c r="AC1469" s="54" t="b">
        <f aca="false">AND(E1469&gt;=01_因子設定!$L$5-0.000000001,E1469&lt;=01_因子設定!$M$5+0.000000001,F1469&gt;=01_因子設定!$L$6-0.000000001,F1469&lt;=01_因子設定!$M$6+0.000000001,G1469&gt;=01_因子設定!$L$7-0.000000001,G1469&lt;=01_因子設定!$M$7+0.000000001,H1469&gt;=01_因子設定!$L$8-0.000000001,H1469&lt;=01_因子設定!$M$8+0.000000001,IF(01_因子設定!$B$20="Box-Behnken",E1469^2+F1469^2+G1469^2+H1469^2&lt;=2+0.000000001,TRUE()))</f>
        <v>1</v>
      </c>
      <c r="AD1469" s="55" t="n">
        <f aca="false">IF(AC1469,IF(01_因子設定!$B$13="最大化",AA1469-01_因子設定!$B$14,IF(01_因子設定!$B$13="最小化",01_因子設定!$B$15-AB1469,MIN(AA1469-01_因子設定!$B$14,01_因子設定!$B$15-AB1469))),-1E+030)</f>
        <v>-7.63448934519577</v>
      </c>
      <c r="AE1469" s="55" t="n">
        <f aca="false">IF(AC1469,IF(01_因子設定!$B$13="最大化",X1469,IF(01_因子設定!$B$13="最小化",-X1469,-ABS(X1469-01_因子設定!$B$16))),-1E+030)</f>
        <v>40.5052266081871</v>
      </c>
      <c r="AF1469" s="55" t="n">
        <f aca="false">AD1469+ROW()*0.000000001</f>
        <v>-7.63448787619577</v>
      </c>
      <c r="AG1469" s="55" t="n">
        <f aca="false">AE1469+ROW()*0.000000001</f>
        <v>40.5052280771871</v>
      </c>
    </row>
    <row r="1470" customFormat="false" ht="15" hidden="false" customHeight="false" outlineLevel="0" collapsed="false">
      <c r="A1470" s="0" t="n">
        <v>2</v>
      </c>
      <c r="B1470" s="0" t="n">
        <v>0</v>
      </c>
      <c r="C1470" s="0" t="n">
        <v>0</v>
      </c>
      <c r="D1470" s="0" t="n">
        <v>7</v>
      </c>
      <c r="E1470" s="0" t="n">
        <f aca="false">-1+A1470*0.25</f>
        <v>-0.5</v>
      </c>
      <c r="F1470" s="0" t="n">
        <f aca="false">-1+B1470*0.25</f>
        <v>-1</v>
      </c>
      <c r="G1470" s="0" t="n">
        <f aca="false">-1+C1470*0.25</f>
        <v>-1</v>
      </c>
      <c r="H1470" s="0" t="n">
        <f aca="false">-1+D1470*0.25</f>
        <v>0.75</v>
      </c>
      <c r="I1470" s="0" t="n">
        <f aca="false">1</f>
        <v>1</v>
      </c>
      <c r="J1470" s="0" t="n">
        <f aca="false">E1470</f>
        <v>-0.5</v>
      </c>
      <c r="K1470" s="0" t="n">
        <f aca="false">F1470</f>
        <v>-1</v>
      </c>
      <c r="L1470" s="0" t="n">
        <f aca="false">G1470</f>
        <v>-1</v>
      </c>
      <c r="M1470" s="0" t="n">
        <f aca="false">H1470</f>
        <v>0.75</v>
      </c>
      <c r="N1470" s="0" t="n">
        <f aca="false">E1470*F1470</f>
        <v>0.5</v>
      </c>
      <c r="O1470" s="0" t="n">
        <f aca="false">E1470*G1470</f>
        <v>0.5</v>
      </c>
      <c r="P1470" s="0" t="n">
        <f aca="false">E1470*H1470</f>
        <v>-0.375</v>
      </c>
      <c r="Q1470" s="0" t="n">
        <f aca="false">F1470*G1470</f>
        <v>1</v>
      </c>
      <c r="R1470" s="0" t="n">
        <f aca="false">F1470*H1470</f>
        <v>-0.75</v>
      </c>
      <c r="S1470" s="0" t="n">
        <f aca="false">G1470*H1470</f>
        <v>-0.75</v>
      </c>
      <c r="T1470" s="0" t="n">
        <f aca="false">E1470*E1470</f>
        <v>0.25</v>
      </c>
      <c r="U1470" s="0" t="n">
        <f aca="false">F1470*F1470</f>
        <v>1</v>
      </c>
      <c r="V1470" s="0" t="n">
        <f aca="false">G1470*G1470</f>
        <v>1</v>
      </c>
      <c r="W1470" s="0" t="n">
        <f aca="false">H1470*H1470</f>
        <v>0.5625</v>
      </c>
      <c r="X1470" s="0" t="n">
        <f aca="false">SUMPRODUCT(I1470:W1470,_XtX!$B$96:$P$96)</f>
        <v>40.4527229532164</v>
      </c>
      <c r="Y1470" s="0" t="n">
        <f aca="false">SUMPRODUCT(MMULT(I1470:W1470,_XtX!$B$78:$P$92),I1470:W1470)</f>
        <v>0.564984237938597</v>
      </c>
      <c r="Z1470" s="0" t="n">
        <f aca="false">04_回帰ANOVA!$K$19*04_回帰ANOVA!$K$14*SQRT(1+Y1470)</f>
        <v>1.63062229734503</v>
      </c>
      <c r="AA1470" s="0" t="n">
        <f aca="false">X1470-Z1470</f>
        <v>38.8221006558713</v>
      </c>
      <c r="AB1470" s="0" t="n">
        <f aca="false">X1470+Z1470</f>
        <v>42.0833452505614</v>
      </c>
      <c r="AC1470" s="54" t="b">
        <f aca="false">AND(E1470&gt;=01_因子設定!$L$5-0.000000001,E1470&lt;=01_因子設定!$M$5+0.000000001,F1470&gt;=01_因子設定!$L$6-0.000000001,F1470&lt;=01_因子設定!$M$6+0.000000001,G1470&gt;=01_因子設定!$L$7-0.000000001,G1470&lt;=01_因子設定!$M$7+0.000000001,H1470&gt;=01_因子設定!$L$8-0.000000001,H1470&lt;=01_因子設定!$M$8+0.000000001,IF(01_因子設定!$B$20="Box-Behnken",E1470^2+F1470^2+G1470^2+H1470^2&lt;=2+0.000000001,TRUE()))</f>
        <v>1</v>
      </c>
      <c r="AD1470" s="55" t="n">
        <f aca="false">IF(AC1470,IF(01_因子設定!$B$13="最大化",AA1470-01_因子設定!$B$14,IF(01_因子設定!$B$13="最小化",01_因子設定!$B$15-AB1470,MIN(AA1470-01_因子設定!$B$14,01_因子設定!$B$15-AB1470))),-1E+030)</f>
        <v>-7.67789934412868</v>
      </c>
      <c r="AE1470" s="55" t="n">
        <f aca="false">IF(AC1470,IF(01_因子設定!$B$13="最大化",X1470,IF(01_因子設定!$B$13="最小化",-X1470,-ABS(X1470-01_因子設定!$B$16))),-1E+030)</f>
        <v>40.4527229532164</v>
      </c>
      <c r="AF1470" s="55" t="n">
        <f aca="false">AD1470+ROW()*0.000000001</f>
        <v>-7.67789787412868</v>
      </c>
      <c r="AG1470" s="55" t="n">
        <f aca="false">AE1470+ROW()*0.000000001</f>
        <v>40.4527244232164</v>
      </c>
    </row>
    <row r="1471" customFormat="false" ht="15" hidden="false" customHeight="false" outlineLevel="0" collapsed="false">
      <c r="A1471" s="0" t="n">
        <v>2</v>
      </c>
      <c r="B1471" s="0" t="n">
        <v>0</v>
      </c>
      <c r="C1471" s="0" t="n">
        <v>0</v>
      </c>
      <c r="D1471" s="0" t="n">
        <v>8</v>
      </c>
      <c r="E1471" s="0" t="n">
        <f aca="false">-1+A1471*0.25</f>
        <v>-0.5</v>
      </c>
      <c r="F1471" s="0" t="n">
        <f aca="false">-1+B1471*0.25</f>
        <v>-1</v>
      </c>
      <c r="G1471" s="0" t="n">
        <f aca="false">-1+C1471*0.25</f>
        <v>-1</v>
      </c>
      <c r="H1471" s="0" t="n">
        <f aca="false">-1+D1471*0.25</f>
        <v>1</v>
      </c>
      <c r="I1471" s="0" t="n">
        <f aca="false">1</f>
        <v>1</v>
      </c>
      <c r="J1471" s="0" t="n">
        <f aca="false">E1471</f>
        <v>-0.5</v>
      </c>
      <c r="K1471" s="0" t="n">
        <f aca="false">F1471</f>
        <v>-1</v>
      </c>
      <c r="L1471" s="0" t="n">
        <f aca="false">G1471</f>
        <v>-1</v>
      </c>
      <c r="M1471" s="0" t="n">
        <f aca="false">H1471</f>
        <v>1</v>
      </c>
      <c r="N1471" s="0" t="n">
        <f aca="false">E1471*F1471</f>
        <v>0.5</v>
      </c>
      <c r="O1471" s="0" t="n">
        <f aca="false">E1471*G1471</f>
        <v>0.5</v>
      </c>
      <c r="P1471" s="0" t="n">
        <f aca="false">E1471*H1471</f>
        <v>-0.5</v>
      </c>
      <c r="Q1471" s="0" t="n">
        <f aca="false">F1471*G1471</f>
        <v>1</v>
      </c>
      <c r="R1471" s="0" t="n">
        <f aca="false">F1471*H1471</f>
        <v>-1</v>
      </c>
      <c r="S1471" s="0" t="n">
        <f aca="false">G1471*H1471</f>
        <v>-1</v>
      </c>
      <c r="T1471" s="0" t="n">
        <f aca="false">E1471*E1471</f>
        <v>0.25</v>
      </c>
      <c r="U1471" s="0" t="n">
        <f aca="false">F1471*F1471</f>
        <v>1</v>
      </c>
      <c r="V1471" s="0" t="n">
        <f aca="false">G1471*G1471</f>
        <v>1</v>
      </c>
      <c r="W1471" s="0" t="n">
        <f aca="false">H1471*H1471</f>
        <v>1</v>
      </c>
      <c r="X1471" s="0" t="n">
        <f aca="false">SUMPRODUCT(I1471:W1471,_XtX!$B$96:$P$96)</f>
        <v>40.3524122807018</v>
      </c>
      <c r="Y1471" s="0" t="n">
        <f aca="false">SUMPRODUCT(MMULT(I1471:W1471,_XtX!$B$78:$P$92),I1471:W1471)</f>
        <v>0.667123538011696</v>
      </c>
      <c r="Z1471" s="0" t="n">
        <f aca="false">04_回帰ANOVA!$K$19*04_回帰ANOVA!$K$14*SQRT(1+Y1471)</f>
        <v>1.68299290213005</v>
      </c>
      <c r="AA1471" s="0" t="n">
        <f aca="false">X1471-Z1471</f>
        <v>38.6694193785717</v>
      </c>
      <c r="AB1471" s="0" t="n">
        <f aca="false">X1471+Z1471</f>
        <v>42.0354051828318</v>
      </c>
      <c r="AC1471" s="54" t="b">
        <f aca="false">AND(E1471&gt;=01_因子設定!$L$5-0.000000001,E1471&lt;=01_因子設定!$M$5+0.000000001,F1471&gt;=01_因子設定!$L$6-0.000000001,F1471&lt;=01_因子設定!$M$6+0.000000001,G1471&gt;=01_因子設定!$L$7-0.000000001,G1471&lt;=01_因子設定!$M$7+0.000000001,H1471&gt;=01_因子設定!$L$8-0.000000001,H1471&lt;=01_因子設定!$M$8+0.000000001,IF(01_因子設定!$B$20="Box-Behnken",E1471^2+F1471^2+G1471^2+H1471^2&lt;=2+0.000000001,TRUE()))</f>
        <v>1</v>
      </c>
      <c r="AD1471" s="55" t="n">
        <f aca="false">IF(AC1471,IF(01_因子設定!$B$13="最大化",AA1471-01_因子設定!$B$14,IF(01_因子設定!$B$13="最小化",01_因子設定!$B$15-AB1471,MIN(AA1471-01_因子設定!$B$14,01_因子設定!$B$15-AB1471))),-1E+030)</f>
        <v>-7.8305806214283</v>
      </c>
      <c r="AE1471" s="55" t="n">
        <f aca="false">IF(AC1471,IF(01_因子設定!$B$13="最大化",X1471,IF(01_因子設定!$B$13="最小化",-X1471,-ABS(X1471-01_因子設定!$B$16))),-1E+030)</f>
        <v>40.3524122807018</v>
      </c>
      <c r="AF1471" s="55" t="n">
        <f aca="false">AD1471+ROW()*0.000000001</f>
        <v>-7.8305791504283</v>
      </c>
      <c r="AG1471" s="55" t="n">
        <f aca="false">AE1471+ROW()*0.000000001</f>
        <v>40.3524137517018</v>
      </c>
    </row>
    <row r="1472" customFormat="false" ht="15" hidden="false" customHeight="false" outlineLevel="0" collapsed="false">
      <c r="A1472" s="0" t="n">
        <v>2</v>
      </c>
      <c r="B1472" s="0" t="n">
        <v>0</v>
      </c>
      <c r="C1472" s="0" t="n">
        <v>1</v>
      </c>
      <c r="D1472" s="0" t="n">
        <v>0</v>
      </c>
      <c r="E1472" s="0" t="n">
        <f aca="false">-1+A1472*0.25</f>
        <v>-0.5</v>
      </c>
      <c r="F1472" s="0" t="n">
        <f aca="false">-1+B1472*0.25</f>
        <v>-1</v>
      </c>
      <c r="G1472" s="0" t="n">
        <f aca="false">-1+C1472*0.25</f>
        <v>-0.75</v>
      </c>
      <c r="H1472" s="0" t="n">
        <f aca="false">-1+D1472*0.25</f>
        <v>-1</v>
      </c>
      <c r="I1472" s="0" t="n">
        <f aca="false">1</f>
        <v>1</v>
      </c>
      <c r="J1472" s="0" t="n">
        <f aca="false">E1472</f>
        <v>-0.5</v>
      </c>
      <c r="K1472" s="0" t="n">
        <f aca="false">F1472</f>
        <v>-1</v>
      </c>
      <c r="L1472" s="0" t="n">
        <f aca="false">G1472</f>
        <v>-0.75</v>
      </c>
      <c r="M1472" s="0" t="n">
        <f aca="false">H1472</f>
        <v>-1</v>
      </c>
      <c r="N1472" s="0" t="n">
        <f aca="false">E1472*F1472</f>
        <v>0.5</v>
      </c>
      <c r="O1472" s="0" t="n">
        <f aca="false">E1472*G1472</f>
        <v>0.375</v>
      </c>
      <c r="P1472" s="0" t="n">
        <f aca="false">E1472*H1472</f>
        <v>0.5</v>
      </c>
      <c r="Q1472" s="0" t="n">
        <f aca="false">F1472*G1472</f>
        <v>0.75</v>
      </c>
      <c r="R1472" s="0" t="n">
        <f aca="false">F1472*H1472</f>
        <v>1</v>
      </c>
      <c r="S1472" s="0" t="n">
        <f aca="false">G1472*H1472</f>
        <v>0.75</v>
      </c>
      <c r="T1472" s="0" t="n">
        <f aca="false">E1472*E1472</f>
        <v>0.25</v>
      </c>
      <c r="U1472" s="0" t="n">
        <f aca="false">F1472*F1472</f>
        <v>1</v>
      </c>
      <c r="V1472" s="0" t="n">
        <f aca="false">G1472*G1472</f>
        <v>0.5625</v>
      </c>
      <c r="W1472" s="0" t="n">
        <f aca="false">H1472*H1472</f>
        <v>1</v>
      </c>
      <c r="X1472" s="0" t="n">
        <f aca="false">SUMPRODUCT(I1472:W1472,_XtX!$B$96:$P$96)</f>
        <v>40.2919590643275</v>
      </c>
      <c r="Y1472" s="0" t="n">
        <f aca="false">SUMPRODUCT(MMULT(I1472:W1472,_XtX!$B$78:$P$92),I1472:W1472)</f>
        <v>0.564984237938597</v>
      </c>
      <c r="Z1472" s="0" t="n">
        <f aca="false">04_回帰ANOVA!$K$19*04_回帰ANOVA!$K$14*SQRT(1+Y1472)</f>
        <v>1.63062229734503</v>
      </c>
      <c r="AA1472" s="0" t="n">
        <f aca="false">X1472-Z1472</f>
        <v>38.6613367669824</v>
      </c>
      <c r="AB1472" s="0" t="n">
        <f aca="false">X1472+Z1472</f>
        <v>41.9225813616725</v>
      </c>
      <c r="AC1472" s="54" t="b">
        <f aca="false">AND(E1472&gt;=01_因子設定!$L$5-0.000000001,E1472&lt;=01_因子設定!$M$5+0.000000001,F1472&gt;=01_因子設定!$L$6-0.000000001,F1472&lt;=01_因子設定!$M$6+0.000000001,G1472&gt;=01_因子設定!$L$7-0.000000001,G1472&lt;=01_因子設定!$M$7+0.000000001,H1472&gt;=01_因子設定!$L$8-0.000000001,H1472&lt;=01_因子設定!$M$8+0.000000001,IF(01_因子設定!$B$20="Box-Behnken",E1472^2+F1472^2+G1472^2+H1472^2&lt;=2+0.000000001,TRUE()))</f>
        <v>1</v>
      </c>
      <c r="AD1472" s="55" t="n">
        <f aca="false">IF(AC1472,IF(01_因子設定!$B$13="最大化",AA1472-01_因子設定!$B$14,IF(01_因子設定!$B$13="最小化",01_因子設定!$B$15-AB1472,MIN(AA1472-01_因子設定!$B$14,01_因子設定!$B$15-AB1472))),-1E+030)</f>
        <v>-7.83866323301756</v>
      </c>
      <c r="AE1472" s="55" t="n">
        <f aca="false">IF(AC1472,IF(01_因子設定!$B$13="最大化",X1472,IF(01_因子設定!$B$13="最小化",-X1472,-ABS(X1472-01_因子設定!$B$16))),-1E+030)</f>
        <v>40.2919590643275</v>
      </c>
      <c r="AF1472" s="55" t="n">
        <f aca="false">AD1472+ROW()*0.000000001</f>
        <v>-7.83866176101756</v>
      </c>
      <c r="AG1472" s="55" t="n">
        <f aca="false">AE1472+ROW()*0.000000001</f>
        <v>40.2919605363275</v>
      </c>
    </row>
    <row r="1473" customFormat="false" ht="15" hidden="false" customHeight="false" outlineLevel="0" collapsed="false">
      <c r="A1473" s="0" t="n">
        <v>2</v>
      </c>
      <c r="B1473" s="0" t="n">
        <v>0</v>
      </c>
      <c r="C1473" s="0" t="n">
        <v>1</v>
      </c>
      <c r="D1473" s="0" t="n">
        <v>1</v>
      </c>
      <c r="E1473" s="0" t="n">
        <f aca="false">-1+A1473*0.25</f>
        <v>-0.5</v>
      </c>
      <c r="F1473" s="0" t="n">
        <f aca="false">-1+B1473*0.25</f>
        <v>-1</v>
      </c>
      <c r="G1473" s="0" t="n">
        <f aca="false">-1+C1473*0.25</f>
        <v>-0.75</v>
      </c>
      <c r="H1473" s="0" t="n">
        <f aca="false">-1+D1473*0.25</f>
        <v>-0.75</v>
      </c>
      <c r="I1473" s="0" t="n">
        <f aca="false">1</f>
        <v>1</v>
      </c>
      <c r="J1473" s="0" t="n">
        <f aca="false">E1473</f>
        <v>-0.5</v>
      </c>
      <c r="K1473" s="0" t="n">
        <f aca="false">F1473</f>
        <v>-1</v>
      </c>
      <c r="L1473" s="0" t="n">
        <f aca="false">G1473</f>
        <v>-0.75</v>
      </c>
      <c r="M1473" s="0" t="n">
        <f aca="false">H1473</f>
        <v>-0.75</v>
      </c>
      <c r="N1473" s="0" t="n">
        <f aca="false">E1473*F1473</f>
        <v>0.5</v>
      </c>
      <c r="O1473" s="0" t="n">
        <f aca="false">E1473*G1473</f>
        <v>0.375</v>
      </c>
      <c r="P1473" s="0" t="n">
        <f aca="false">E1473*H1473</f>
        <v>0.375</v>
      </c>
      <c r="Q1473" s="0" t="n">
        <f aca="false">F1473*G1473</f>
        <v>0.75</v>
      </c>
      <c r="R1473" s="0" t="n">
        <f aca="false">F1473*H1473</f>
        <v>0.75</v>
      </c>
      <c r="S1473" s="0" t="n">
        <f aca="false">G1473*H1473</f>
        <v>0.5625</v>
      </c>
      <c r="T1473" s="0" t="n">
        <f aca="false">E1473*E1473</f>
        <v>0.25</v>
      </c>
      <c r="U1473" s="0" t="n">
        <f aca="false">F1473*F1473</f>
        <v>1</v>
      </c>
      <c r="V1473" s="0" t="n">
        <f aca="false">G1473*G1473</f>
        <v>0.5625</v>
      </c>
      <c r="W1473" s="0" t="n">
        <f aca="false">H1473*H1473</f>
        <v>0.5625</v>
      </c>
      <c r="X1473" s="0" t="n">
        <f aca="false">SUMPRODUCT(I1473:W1473,_XtX!$B$96:$P$96)</f>
        <v>40.5442662646199</v>
      </c>
      <c r="Y1473" s="0" t="n">
        <f aca="false">SUMPRODUCT(MMULT(I1473:W1473,_XtX!$B$78:$P$92),I1473:W1473)</f>
        <v>0.431153771472953</v>
      </c>
      <c r="Z1473" s="0" t="n">
        <f aca="false">04_回帰ANOVA!$K$19*04_回帰ANOVA!$K$14*SQRT(1+Y1473)</f>
        <v>1.55934259562563</v>
      </c>
      <c r="AA1473" s="0" t="n">
        <f aca="false">X1473-Z1473</f>
        <v>38.9849236689942</v>
      </c>
      <c r="AB1473" s="0" t="n">
        <f aca="false">X1473+Z1473</f>
        <v>42.1036088602455</v>
      </c>
      <c r="AC1473" s="54" t="b">
        <f aca="false">AND(E1473&gt;=01_因子設定!$L$5-0.000000001,E1473&lt;=01_因子設定!$M$5+0.000000001,F1473&gt;=01_因子設定!$L$6-0.000000001,F1473&lt;=01_因子設定!$M$6+0.000000001,G1473&gt;=01_因子設定!$L$7-0.000000001,G1473&lt;=01_因子設定!$M$7+0.000000001,H1473&gt;=01_因子設定!$L$8-0.000000001,H1473&lt;=01_因子設定!$M$8+0.000000001,IF(01_因子設定!$B$20="Box-Behnken",E1473^2+F1473^2+G1473^2+H1473^2&lt;=2+0.000000001,TRUE()))</f>
        <v>1</v>
      </c>
      <c r="AD1473" s="55" t="n">
        <f aca="false">IF(AC1473,IF(01_因子設定!$B$13="最大化",AA1473-01_因子設定!$B$14,IF(01_因子設定!$B$13="最小化",01_因子設定!$B$15-AB1473,MIN(AA1473-01_因子設定!$B$14,01_因子設定!$B$15-AB1473))),-1E+030)</f>
        <v>-7.51507633100577</v>
      </c>
      <c r="AE1473" s="55" t="n">
        <f aca="false">IF(AC1473,IF(01_因子設定!$B$13="最大化",X1473,IF(01_因子設定!$B$13="最小化",-X1473,-ABS(X1473-01_因子設定!$B$16))),-1E+030)</f>
        <v>40.5442662646199</v>
      </c>
      <c r="AF1473" s="55" t="n">
        <f aca="false">AD1473+ROW()*0.000000001</f>
        <v>-7.51507485800577</v>
      </c>
      <c r="AG1473" s="55" t="n">
        <f aca="false">AE1473+ROW()*0.000000001</f>
        <v>40.5442677376199</v>
      </c>
    </row>
    <row r="1474" customFormat="false" ht="15" hidden="false" customHeight="false" outlineLevel="0" collapsed="false">
      <c r="A1474" s="0" t="n">
        <v>2</v>
      </c>
      <c r="B1474" s="0" t="n">
        <v>0</v>
      </c>
      <c r="C1474" s="0" t="n">
        <v>1</v>
      </c>
      <c r="D1474" s="0" t="n">
        <v>2</v>
      </c>
      <c r="E1474" s="0" t="n">
        <f aca="false">-1+A1474*0.25</f>
        <v>-0.5</v>
      </c>
      <c r="F1474" s="0" t="n">
        <f aca="false">-1+B1474*0.25</f>
        <v>-1</v>
      </c>
      <c r="G1474" s="0" t="n">
        <f aca="false">-1+C1474*0.25</f>
        <v>-0.75</v>
      </c>
      <c r="H1474" s="0" t="n">
        <f aca="false">-1+D1474*0.25</f>
        <v>-0.5</v>
      </c>
      <c r="I1474" s="0" t="n">
        <f aca="false">1</f>
        <v>1</v>
      </c>
      <c r="J1474" s="0" t="n">
        <f aca="false">E1474</f>
        <v>-0.5</v>
      </c>
      <c r="K1474" s="0" t="n">
        <f aca="false">F1474</f>
        <v>-1</v>
      </c>
      <c r="L1474" s="0" t="n">
        <f aca="false">G1474</f>
        <v>-0.75</v>
      </c>
      <c r="M1474" s="0" t="n">
        <f aca="false">H1474</f>
        <v>-0.5</v>
      </c>
      <c r="N1474" s="0" t="n">
        <f aca="false">E1474*F1474</f>
        <v>0.5</v>
      </c>
      <c r="O1474" s="0" t="n">
        <f aca="false">E1474*G1474</f>
        <v>0.375</v>
      </c>
      <c r="P1474" s="0" t="n">
        <f aca="false">E1474*H1474</f>
        <v>0.25</v>
      </c>
      <c r="Q1474" s="0" t="n">
        <f aca="false">F1474*G1474</f>
        <v>0.75</v>
      </c>
      <c r="R1474" s="0" t="n">
        <f aca="false">F1474*H1474</f>
        <v>0.5</v>
      </c>
      <c r="S1474" s="0" t="n">
        <f aca="false">G1474*H1474</f>
        <v>0.375</v>
      </c>
      <c r="T1474" s="0" t="n">
        <f aca="false">E1474*E1474</f>
        <v>0.25</v>
      </c>
      <c r="U1474" s="0" t="n">
        <f aca="false">F1474*F1474</f>
        <v>1</v>
      </c>
      <c r="V1474" s="0" t="n">
        <f aca="false">G1474*G1474</f>
        <v>0.5625</v>
      </c>
      <c r="W1474" s="0" t="n">
        <f aca="false">H1474*H1474</f>
        <v>0.25</v>
      </c>
      <c r="X1474" s="0" t="n">
        <f aca="false">SUMPRODUCT(I1474:W1474,_XtX!$B$96:$P$96)</f>
        <v>40.7487664473684</v>
      </c>
      <c r="Y1474" s="0" t="n">
        <f aca="false">SUMPRODUCT(MMULT(I1474:W1474,_XtX!$B$78:$P$92),I1474:W1474)</f>
        <v>0.42602110745614</v>
      </c>
      <c r="Z1474" s="0" t="n">
        <f aca="false">04_回帰ANOVA!$K$19*04_回帰ANOVA!$K$14*SQRT(1+Y1474)</f>
        <v>1.55654388501114</v>
      </c>
      <c r="AA1474" s="0" t="n">
        <f aca="false">X1474-Z1474</f>
        <v>39.1922225623573</v>
      </c>
      <c r="AB1474" s="0" t="n">
        <f aca="false">X1474+Z1474</f>
        <v>42.3053103323795</v>
      </c>
      <c r="AC1474" s="54" t="b">
        <f aca="false">AND(E1474&gt;=01_因子設定!$L$5-0.000000001,E1474&lt;=01_因子設定!$M$5+0.000000001,F1474&gt;=01_因子設定!$L$6-0.000000001,F1474&lt;=01_因子設定!$M$6+0.000000001,G1474&gt;=01_因子設定!$L$7-0.000000001,G1474&lt;=01_因子設定!$M$7+0.000000001,H1474&gt;=01_因子設定!$L$8-0.000000001,H1474&lt;=01_因子設定!$M$8+0.000000001,IF(01_因子設定!$B$20="Box-Behnken",E1474^2+F1474^2+G1474^2+H1474^2&lt;=2+0.000000001,TRUE()))</f>
        <v>1</v>
      </c>
      <c r="AD1474" s="55" t="n">
        <f aca="false">IF(AC1474,IF(01_因子設定!$B$13="最大化",AA1474-01_因子設定!$B$14,IF(01_因子設定!$B$13="最小化",01_因子設定!$B$15-AB1474,MIN(AA1474-01_因子設定!$B$14,01_因子設定!$B$15-AB1474))),-1E+030)</f>
        <v>-7.30777743764275</v>
      </c>
      <c r="AE1474" s="55" t="n">
        <f aca="false">IF(AC1474,IF(01_因子設定!$B$13="最大化",X1474,IF(01_因子設定!$B$13="最小化",-X1474,-ABS(X1474-01_因子設定!$B$16))),-1E+030)</f>
        <v>40.7487664473684</v>
      </c>
      <c r="AF1474" s="55" t="n">
        <f aca="false">AD1474+ROW()*0.000000001</f>
        <v>-7.30777596364275</v>
      </c>
      <c r="AG1474" s="55" t="n">
        <f aca="false">AE1474+ROW()*0.000000001</f>
        <v>40.7487679213684</v>
      </c>
    </row>
    <row r="1475" customFormat="false" ht="15" hidden="false" customHeight="false" outlineLevel="0" collapsed="false">
      <c r="A1475" s="0" t="n">
        <v>2</v>
      </c>
      <c r="B1475" s="0" t="n">
        <v>0</v>
      </c>
      <c r="C1475" s="0" t="n">
        <v>1</v>
      </c>
      <c r="D1475" s="0" t="n">
        <v>3</v>
      </c>
      <c r="E1475" s="0" t="n">
        <f aca="false">-1+A1475*0.25</f>
        <v>-0.5</v>
      </c>
      <c r="F1475" s="0" t="n">
        <f aca="false">-1+B1475*0.25</f>
        <v>-1</v>
      </c>
      <c r="G1475" s="0" t="n">
        <f aca="false">-1+C1475*0.25</f>
        <v>-0.75</v>
      </c>
      <c r="H1475" s="0" t="n">
        <f aca="false">-1+D1475*0.25</f>
        <v>-0.25</v>
      </c>
      <c r="I1475" s="0" t="n">
        <f aca="false">1</f>
        <v>1</v>
      </c>
      <c r="J1475" s="0" t="n">
        <f aca="false">E1475</f>
        <v>-0.5</v>
      </c>
      <c r="K1475" s="0" t="n">
        <f aca="false">F1475</f>
        <v>-1</v>
      </c>
      <c r="L1475" s="0" t="n">
        <f aca="false">G1475</f>
        <v>-0.75</v>
      </c>
      <c r="M1475" s="0" t="n">
        <f aca="false">H1475</f>
        <v>-0.25</v>
      </c>
      <c r="N1475" s="0" t="n">
        <f aca="false">E1475*F1475</f>
        <v>0.5</v>
      </c>
      <c r="O1475" s="0" t="n">
        <f aca="false">E1475*G1475</f>
        <v>0.375</v>
      </c>
      <c r="P1475" s="0" t="n">
        <f aca="false">E1475*H1475</f>
        <v>0.125</v>
      </c>
      <c r="Q1475" s="0" t="n">
        <f aca="false">F1475*G1475</f>
        <v>0.75</v>
      </c>
      <c r="R1475" s="0" t="n">
        <f aca="false">F1475*H1475</f>
        <v>0.25</v>
      </c>
      <c r="S1475" s="0" t="n">
        <f aca="false">G1475*H1475</f>
        <v>0.1875</v>
      </c>
      <c r="T1475" s="0" t="n">
        <f aca="false">E1475*E1475</f>
        <v>0.25</v>
      </c>
      <c r="U1475" s="0" t="n">
        <f aca="false">F1475*F1475</f>
        <v>1</v>
      </c>
      <c r="V1475" s="0" t="n">
        <f aca="false">G1475*G1475</f>
        <v>0.5625</v>
      </c>
      <c r="W1475" s="0" t="n">
        <f aca="false">H1475*H1475</f>
        <v>0.0625</v>
      </c>
      <c r="X1475" s="0" t="n">
        <f aca="false">SUMPRODUCT(I1475:W1475,_XtX!$B$96:$P$96)</f>
        <v>40.9054596125731</v>
      </c>
      <c r="Y1475" s="0" t="n">
        <f aca="false">SUMPRODUCT(MMULT(I1475:W1475,_XtX!$B$78:$P$92),I1475:W1475)</f>
        <v>0.459125719572369</v>
      </c>
      <c r="Z1475" s="0" t="n">
        <f aca="false">04_回帰ANOVA!$K$19*04_回帰ANOVA!$K$14*SQRT(1+Y1475)</f>
        <v>1.57450755575573</v>
      </c>
      <c r="AA1475" s="0" t="n">
        <f aca="false">X1475-Z1475</f>
        <v>39.3309520568173</v>
      </c>
      <c r="AB1475" s="0" t="n">
        <f aca="false">X1475+Z1475</f>
        <v>42.4799671683288</v>
      </c>
      <c r="AC1475" s="54" t="b">
        <f aca="false">AND(E1475&gt;=01_因子設定!$L$5-0.000000001,E1475&lt;=01_因子設定!$M$5+0.000000001,F1475&gt;=01_因子設定!$L$6-0.000000001,F1475&lt;=01_因子設定!$M$6+0.000000001,G1475&gt;=01_因子設定!$L$7-0.000000001,G1475&lt;=01_因子設定!$M$7+0.000000001,H1475&gt;=01_因子設定!$L$8-0.000000001,H1475&lt;=01_因子設定!$M$8+0.000000001,IF(01_因子設定!$B$20="Box-Behnken",E1475^2+F1475^2+G1475^2+H1475^2&lt;=2+0.000000001,TRUE()))</f>
        <v>1</v>
      </c>
      <c r="AD1475" s="55" t="n">
        <f aca="false">IF(AC1475,IF(01_因子設定!$B$13="最大化",AA1475-01_因子設定!$B$14,IF(01_因子設定!$B$13="最小化",01_因子設定!$B$15-AB1475,MIN(AA1475-01_因子設定!$B$14,01_因子設定!$B$15-AB1475))),-1E+030)</f>
        <v>-7.16904794318267</v>
      </c>
      <c r="AE1475" s="55" t="n">
        <f aca="false">IF(AC1475,IF(01_因子設定!$B$13="最大化",X1475,IF(01_因子設定!$B$13="最小化",-X1475,-ABS(X1475-01_因子設定!$B$16))),-1E+030)</f>
        <v>40.9054596125731</v>
      </c>
      <c r="AF1475" s="55" t="n">
        <f aca="false">AD1475+ROW()*0.000000001</f>
        <v>-7.16904646818267</v>
      </c>
      <c r="AG1475" s="55" t="n">
        <f aca="false">AE1475+ROW()*0.000000001</f>
        <v>40.9054610875731</v>
      </c>
    </row>
    <row r="1476" customFormat="false" ht="15" hidden="false" customHeight="false" outlineLevel="0" collapsed="false">
      <c r="A1476" s="0" t="n">
        <v>2</v>
      </c>
      <c r="B1476" s="0" t="n">
        <v>0</v>
      </c>
      <c r="C1476" s="0" t="n">
        <v>1</v>
      </c>
      <c r="D1476" s="0" t="n">
        <v>4</v>
      </c>
      <c r="E1476" s="0" t="n">
        <f aca="false">-1+A1476*0.25</f>
        <v>-0.5</v>
      </c>
      <c r="F1476" s="0" t="n">
        <f aca="false">-1+B1476*0.25</f>
        <v>-1</v>
      </c>
      <c r="G1476" s="0" t="n">
        <f aca="false">-1+C1476*0.25</f>
        <v>-0.75</v>
      </c>
      <c r="H1476" s="0" t="n">
        <f aca="false">-1+D1476*0.25</f>
        <v>0</v>
      </c>
      <c r="I1476" s="0" t="n">
        <f aca="false">1</f>
        <v>1</v>
      </c>
      <c r="J1476" s="0" t="n">
        <f aca="false">E1476</f>
        <v>-0.5</v>
      </c>
      <c r="K1476" s="0" t="n">
        <f aca="false">F1476</f>
        <v>-1</v>
      </c>
      <c r="L1476" s="0" t="n">
        <f aca="false">G1476</f>
        <v>-0.75</v>
      </c>
      <c r="M1476" s="0" t="n">
        <f aca="false">H1476</f>
        <v>0</v>
      </c>
      <c r="N1476" s="0" t="n">
        <f aca="false">E1476*F1476</f>
        <v>0.5</v>
      </c>
      <c r="O1476" s="0" t="n">
        <f aca="false">E1476*G1476</f>
        <v>0.375</v>
      </c>
      <c r="P1476" s="0" t="n">
        <f aca="false">E1476*H1476</f>
        <v>-0</v>
      </c>
      <c r="Q1476" s="0" t="n">
        <f aca="false">F1476*G1476</f>
        <v>0.75</v>
      </c>
      <c r="R1476" s="0" t="n">
        <f aca="false">F1476*H1476</f>
        <v>-0</v>
      </c>
      <c r="S1476" s="0" t="n">
        <f aca="false">G1476*H1476</f>
        <v>-0</v>
      </c>
      <c r="T1476" s="0" t="n">
        <f aca="false">E1476*E1476</f>
        <v>0.25</v>
      </c>
      <c r="U1476" s="0" t="n">
        <f aca="false">F1476*F1476</f>
        <v>1</v>
      </c>
      <c r="V1476" s="0" t="n">
        <f aca="false">G1476*G1476</f>
        <v>0.5625</v>
      </c>
      <c r="W1476" s="0" t="n">
        <f aca="false">H1476*H1476</f>
        <v>0</v>
      </c>
      <c r="X1476" s="0" t="n">
        <f aca="false">SUMPRODUCT(I1476:W1476,_XtX!$B$96:$P$96)</f>
        <v>41.0143457602339</v>
      </c>
      <c r="Y1476" s="0" t="n">
        <f aca="false">SUMPRODUCT(MMULT(I1476:W1476,_XtX!$B$78:$P$92),I1476:W1476)</f>
        <v>0.476191292032164</v>
      </c>
      <c r="Z1476" s="0" t="n">
        <f aca="false">04_回帰ANOVA!$K$19*04_回帰ANOVA!$K$14*SQRT(1+Y1476)</f>
        <v>1.58368831471718</v>
      </c>
      <c r="AA1476" s="0" t="n">
        <f aca="false">X1476-Z1476</f>
        <v>39.4306574455167</v>
      </c>
      <c r="AB1476" s="0" t="n">
        <f aca="false">X1476+Z1476</f>
        <v>42.5980340749511</v>
      </c>
      <c r="AC1476" s="54" t="b">
        <f aca="false">AND(E1476&gt;=01_因子設定!$L$5-0.000000001,E1476&lt;=01_因子設定!$M$5+0.000000001,F1476&gt;=01_因子設定!$L$6-0.000000001,F1476&lt;=01_因子設定!$M$6+0.000000001,G1476&gt;=01_因子設定!$L$7-0.000000001,G1476&lt;=01_因子設定!$M$7+0.000000001,H1476&gt;=01_因子設定!$L$8-0.000000001,H1476&lt;=01_因子設定!$M$8+0.000000001,IF(01_因子設定!$B$20="Box-Behnken",E1476^2+F1476^2+G1476^2+H1476^2&lt;=2+0.000000001,TRUE()))</f>
        <v>1</v>
      </c>
      <c r="AD1476" s="55" t="n">
        <f aca="false">IF(AC1476,IF(01_因子設定!$B$13="最大化",AA1476-01_因子設定!$B$14,IF(01_因子設定!$B$13="最小化",01_因子設定!$B$15-AB1476,MIN(AA1476-01_因子設定!$B$14,01_因子設定!$B$15-AB1476))),-1E+030)</f>
        <v>-7.0693425544833</v>
      </c>
      <c r="AE1476" s="55" t="n">
        <f aca="false">IF(AC1476,IF(01_因子設定!$B$13="最大化",X1476,IF(01_因子設定!$B$13="最小化",-X1476,-ABS(X1476-01_因子設定!$B$16))),-1E+030)</f>
        <v>41.0143457602339</v>
      </c>
      <c r="AF1476" s="55" t="n">
        <f aca="false">AD1476+ROW()*0.000000001</f>
        <v>-7.0693410784833</v>
      </c>
      <c r="AG1476" s="55" t="n">
        <f aca="false">AE1476+ROW()*0.000000001</f>
        <v>41.0143472362339</v>
      </c>
    </row>
    <row r="1477" customFormat="false" ht="15" hidden="false" customHeight="false" outlineLevel="0" collapsed="false">
      <c r="A1477" s="0" t="n">
        <v>2</v>
      </c>
      <c r="B1477" s="0" t="n">
        <v>0</v>
      </c>
      <c r="C1477" s="0" t="n">
        <v>1</v>
      </c>
      <c r="D1477" s="0" t="n">
        <v>5</v>
      </c>
      <c r="E1477" s="0" t="n">
        <f aca="false">-1+A1477*0.25</f>
        <v>-0.5</v>
      </c>
      <c r="F1477" s="0" t="n">
        <f aca="false">-1+B1477*0.25</f>
        <v>-1</v>
      </c>
      <c r="G1477" s="0" t="n">
        <f aca="false">-1+C1477*0.25</f>
        <v>-0.75</v>
      </c>
      <c r="H1477" s="0" t="n">
        <f aca="false">-1+D1477*0.25</f>
        <v>0.25</v>
      </c>
      <c r="I1477" s="0" t="n">
        <f aca="false">1</f>
        <v>1</v>
      </c>
      <c r="J1477" s="0" t="n">
        <f aca="false">E1477</f>
        <v>-0.5</v>
      </c>
      <c r="K1477" s="0" t="n">
        <f aca="false">F1477</f>
        <v>-1</v>
      </c>
      <c r="L1477" s="0" t="n">
        <f aca="false">G1477</f>
        <v>-0.75</v>
      </c>
      <c r="M1477" s="0" t="n">
        <f aca="false">H1477</f>
        <v>0.25</v>
      </c>
      <c r="N1477" s="0" t="n">
        <f aca="false">E1477*F1477</f>
        <v>0.5</v>
      </c>
      <c r="O1477" s="0" t="n">
        <f aca="false">E1477*G1477</f>
        <v>0.375</v>
      </c>
      <c r="P1477" s="0" t="n">
        <f aca="false">E1477*H1477</f>
        <v>-0.125</v>
      </c>
      <c r="Q1477" s="0" t="n">
        <f aca="false">F1477*G1477</f>
        <v>0.75</v>
      </c>
      <c r="R1477" s="0" t="n">
        <f aca="false">F1477*H1477</f>
        <v>-0.25</v>
      </c>
      <c r="S1477" s="0" t="n">
        <f aca="false">G1477*H1477</f>
        <v>-0.1875</v>
      </c>
      <c r="T1477" s="0" t="n">
        <f aca="false">E1477*E1477</f>
        <v>0.25</v>
      </c>
      <c r="U1477" s="0" t="n">
        <f aca="false">F1477*F1477</f>
        <v>1</v>
      </c>
      <c r="V1477" s="0" t="n">
        <f aca="false">G1477*G1477</f>
        <v>0.5625</v>
      </c>
      <c r="W1477" s="0" t="n">
        <f aca="false">H1477*H1477</f>
        <v>0.0625</v>
      </c>
      <c r="X1477" s="0" t="n">
        <f aca="false">SUMPRODUCT(I1477:W1477,_XtX!$B$96:$P$96)</f>
        <v>41.0754248903508</v>
      </c>
      <c r="Y1477" s="0" t="n">
        <f aca="false">SUMPRODUCT(MMULT(I1477:W1477,_XtX!$B$78:$P$92),I1477:W1477)</f>
        <v>0.459125719572369</v>
      </c>
      <c r="Z1477" s="0" t="n">
        <f aca="false">04_回帰ANOVA!$K$19*04_回帰ANOVA!$K$14*SQRT(1+Y1477)</f>
        <v>1.57450755575573</v>
      </c>
      <c r="AA1477" s="0" t="n">
        <f aca="false">X1477-Z1477</f>
        <v>39.5009173345951</v>
      </c>
      <c r="AB1477" s="0" t="n">
        <f aca="false">X1477+Z1477</f>
        <v>42.6499324461066</v>
      </c>
      <c r="AC1477" s="54" t="b">
        <f aca="false">AND(E1477&gt;=01_因子設定!$L$5-0.000000001,E1477&lt;=01_因子設定!$M$5+0.000000001,F1477&gt;=01_因子設定!$L$6-0.000000001,F1477&lt;=01_因子設定!$M$6+0.000000001,G1477&gt;=01_因子設定!$L$7-0.000000001,G1477&lt;=01_因子設定!$M$7+0.000000001,H1477&gt;=01_因子設定!$L$8-0.000000001,H1477&lt;=01_因子設定!$M$8+0.000000001,IF(01_因子設定!$B$20="Box-Behnken",E1477^2+F1477^2+G1477^2+H1477^2&lt;=2+0.000000001,TRUE()))</f>
        <v>1</v>
      </c>
      <c r="AD1477" s="55" t="n">
        <f aca="false">IF(AC1477,IF(01_因子設定!$B$13="最大化",AA1477-01_因子設定!$B$14,IF(01_因子設定!$B$13="最小化",01_因子設定!$B$15-AB1477,MIN(AA1477-01_因子設定!$B$14,01_因子設定!$B$15-AB1477))),-1E+030)</f>
        <v>-6.99908266540489</v>
      </c>
      <c r="AE1477" s="55" t="n">
        <f aca="false">IF(AC1477,IF(01_因子設定!$B$13="最大化",X1477,IF(01_因子設定!$B$13="最小化",-X1477,-ABS(X1477-01_因子設定!$B$16))),-1E+030)</f>
        <v>41.0754248903508</v>
      </c>
      <c r="AF1477" s="55" t="n">
        <f aca="false">AD1477+ROW()*0.000000001</f>
        <v>-6.99908118840489</v>
      </c>
      <c r="AG1477" s="55" t="n">
        <f aca="false">AE1477+ROW()*0.000000001</f>
        <v>41.0754263673508</v>
      </c>
    </row>
    <row r="1478" customFormat="false" ht="15" hidden="false" customHeight="false" outlineLevel="0" collapsed="false">
      <c r="A1478" s="0" t="n">
        <v>2</v>
      </c>
      <c r="B1478" s="0" t="n">
        <v>0</v>
      </c>
      <c r="C1478" s="0" t="n">
        <v>1</v>
      </c>
      <c r="D1478" s="0" t="n">
        <v>6</v>
      </c>
      <c r="E1478" s="0" t="n">
        <f aca="false">-1+A1478*0.25</f>
        <v>-0.5</v>
      </c>
      <c r="F1478" s="0" t="n">
        <f aca="false">-1+B1478*0.25</f>
        <v>-1</v>
      </c>
      <c r="G1478" s="0" t="n">
        <f aca="false">-1+C1478*0.25</f>
        <v>-0.75</v>
      </c>
      <c r="H1478" s="0" t="n">
        <f aca="false">-1+D1478*0.25</f>
        <v>0.5</v>
      </c>
      <c r="I1478" s="0" t="n">
        <f aca="false">1</f>
        <v>1</v>
      </c>
      <c r="J1478" s="0" t="n">
        <f aca="false">E1478</f>
        <v>-0.5</v>
      </c>
      <c r="K1478" s="0" t="n">
        <f aca="false">F1478</f>
        <v>-1</v>
      </c>
      <c r="L1478" s="0" t="n">
        <f aca="false">G1478</f>
        <v>-0.75</v>
      </c>
      <c r="M1478" s="0" t="n">
        <f aca="false">H1478</f>
        <v>0.5</v>
      </c>
      <c r="N1478" s="0" t="n">
        <f aca="false">E1478*F1478</f>
        <v>0.5</v>
      </c>
      <c r="O1478" s="0" t="n">
        <f aca="false">E1478*G1478</f>
        <v>0.375</v>
      </c>
      <c r="P1478" s="0" t="n">
        <f aca="false">E1478*H1478</f>
        <v>-0.25</v>
      </c>
      <c r="Q1478" s="0" t="n">
        <f aca="false">F1478*G1478</f>
        <v>0.75</v>
      </c>
      <c r="R1478" s="0" t="n">
        <f aca="false">F1478*H1478</f>
        <v>-0.5</v>
      </c>
      <c r="S1478" s="0" t="n">
        <f aca="false">G1478*H1478</f>
        <v>-0.375</v>
      </c>
      <c r="T1478" s="0" t="n">
        <f aca="false">E1478*E1478</f>
        <v>0.25</v>
      </c>
      <c r="U1478" s="0" t="n">
        <f aca="false">F1478*F1478</f>
        <v>1</v>
      </c>
      <c r="V1478" s="0" t="n">
        <f aca="false">G1478*G1478</f>
        <v>0.5625</v>
      </c>
      <c r="W1478" s="0" t="n">
        <f aca="false">H1478*H1478</f>
        <v>0.25</v>
      </c>
      <c r="X1478" s="0" t="n">
        <f aca="false">SUMPRODUCT(I1478:W1478,_XtX!$B$96:$P$96)</f>
        <v>41.0886970029239</v>
      </c>
      <c r="Y1478" s="0" t="n">
        <f aca="false">SUMPRODUCT(MMULT(I1478:W1478,_XtX!$B$78:$P$92),I1478:W1478)</f>
        <v>0.42602110745614</v>
      </c>
      <c r="Z1478" s="0" t="n">
        <f aca="false">04_回帰ANOVA!$K$19*04_回帰ANOVA!$K$14*SQRT(1+Y1478)</f>
        <v>1.55654388501114</v>
      </c>
      <c r="AA1478" s="0" t="n">
        <f aca="false">X1478-Z1478</f>
        <v>39.5321531179128</v>
      </c>
      <c r="AB1478" s="0" t="n">
        <f aca="false">X1478+Z1478</f>
        <v>42.6452408879351</v>
      </c>
      <c r="AC1478" s="54" t="b">
        <f aca="false">AND(E1478&gt;=01_因子設定!$L$5-0.000000001,E1478&lt;=01_因子設定!$M$5+0.000000001,F1478&gt;=01_因子設定!$L$6-0.000000001,F1478&lt;=01_因子設定!$M$6+0.000000001,G1478&gt;=01_因子設定!$L$7-0.000000001,G1478&lt;=01_因子設定!$M$7+0.000000001,H1478&gt;=01_因子設定!$L$8-0.000000001,H1478&lt;=01_因子設定!$M$8+0.000000001,IF(01_因子設定!$B$20="Box-Behnken",E1478^2+F1478^2+G1478^2+H1478^2&lt;=2+0.000000001,TRUE()))</f>
        <v>1</v>
      </c>
      <c r="AD1478" s="55" t="n">
        <f aca="false">IF(AC1478,IF(01_因子設定!$B$13="最大化",AA1478-01_因子設定!$B$14,IF(01_因子設定!$B$13="最小化",01_因子設定!$B$15-AB1478,MIN(AA1478-01_因子設定!$B$14,01_因子設定!$B$15-AB1478))),-1E+030)</f>
        <v>-6.96784688208719</v>
      </c>
      <c r="AE1478" s="55" t="n">
        <f aca="false">IF(AC1478,IF(01_因子設定!$B$13="最大化",X1478,IF(01_因子設定!$B$13="最小化",-X1478,-ABS(X1478-01_因子設定!$B$16))),-1E+030)</f>
        <v>41.0886970029239</v>
      </c>
      <c r="AF1478" s="55" t="n">
        <f aca="false">AD1478+ROW()*0.000000001</f>
        <v>-6.96784540408719</v>
      </c>
      <c r="AG1478" s="55" t="n">
        <f aca="false">AE1478+ROW()*0.000000001</f>
        <v>41.0886984809239</v>
      </c>
    </row>
    <row r="1479" customFormat="false" ht="15" hidden="false" customHeight="false" outlineLevel="0" collapsed="false">
      <c r="A1479" s="0" t="n">
        <v>2</v>
      </c>
      <c r="B1479" s="0" t="n">
        <v>0</v>
      </c>
      <c r="C1479" s="0" t="n">
        <v>1</v>
      </c>
      <c r="D1479" s="0" t="n">
        <v>7</v>
      </c>
      <c r="E1479" s="0" t="n">
        <f aca="false">-1+A1479*0.25</f>
        <v>-0.5</v>
      </c>
      <c r="F1479" s="0" t="n">
        <f aca="false">-1+B1479*0.25</f>
        <v>-1</v>
      </c>
      <c r="G1479" s="0" t="n">
        <f aca="false">-1+C1479*0.25</f>
        <v>-0.75</v>
      </c>
      <c r="H1479" s="0" t="n">
        <f aca="false">-1+D1479*0.25</f>
        <v>0.75</v>
      </c>
      <c r="I1479" s="0" t="n">
        <f aca="false">1</f>
        <v>1</v>
      </c>
      <c r="J1479" s="0" t="n">
        <f aca="false">E1479</f>
        <v>-0.5</v>
      </c>
      <c r="K1479" s="0" t="n">
        <f aca="false">F1479</f>
        <v>-1</v>
      </c>
      <c r="L1479" s="0" t="n">
        <f aca="false">G1479</f>
        <v>-0.75</v>
      </c>
      <c r="M1479" s="0" t="n">
        <f aca="false">H1479</f>
        <v>0.75</v>
      </c>
      <c r="N1479" s="0" t="n">
        <f aca="false">E1479*F1479</f>
        <v>0.5</v>
      </c>
      <c r="O1479" s="0" t="n">
        <f aca="false">E1479*G1479</f>
        <v>0.375</v>
      </c>
      <c r="P1479" s="0" t="n">
        <f aca="false">E1479*H1479</f>
        <v>-0.375</v>
      </c>
      <c r="Q1479" s="0" t="n">
        <f aca="false">F1479*G1479</f>
        <v>0.75</v>
      </c>
      <c r="R1479" s="0" t="n">
        <f aca="false">F1479*H1479</f>
        <v>-0.75</v>
      </c>
      <c r="S1479" s="0" t="n">
        <f aca="false">G1479*H1479</f>
        <v>-0.5625</v>
      </c>
      <c r="T1479" s="0" t="n">
        <f aca="false">E1479*E1479</f>
        <v>0.25</v>
      </c>
      <c r="U1479" s="0" t="n">
        <f aca="false">F1479*F1479</f>
        <v>1</v>
      </c>
      <c r="V1479" s="0" t="n">
        <f aca="false">G1479*G1479</f>
        <v>0.5625</v>
      </c>
      <c r="W1479" s="0" t="n">
        <f aca="false">H1479*H1479</f>
        <v>0.5625</v>
      </c>
      <c r="X1479" s="0" t="n">
        <f aca="false">SUMPRODUCT(I1479:W1479,_XtX!$B$96:$P$96)</f>
        <v>41.0541620979532</v>
      </c>
      <c r="Y1479" s="0" t="n">
        <f aca="false">SUMPRODUCT(MMULT(I1479:W1479,_XtX!$B$78:$P$92),I1479:W1479)</f>
        <v>0.431153771472953</v>
      </c>
      <c r="Z1479" s="0" t="n">
        <f aca="false">04_回帰ANOVA!$K$19*04_回帰ANOVA!$K$14*SQRT(1+Y1479)</f>
        <v>1.55934259562563</v>
      </c>
      <c r="AA1479" s="0" t="n">
        <f aca="false">X1479-Z1479</f>
        <v>39.4948195023276</v>
      </c>
      <c r="AB1479" s="0" t="n">
        <f aca="false">X1479+Z1479</f>
        <v>42.6135046935788</v>
      </c>
      <c r="AC1479" s="54" t="b">
        <f aca="false">AND(E1479&gt;=01_因子設定!$L$5-0.000000001,E1479&lt;=01_因子設定!$M$5+0.000000001,F1479&gt;=01_因子設定!$L$6-0.000000001,F1479&lt;=01_因子設定!$M$6+0.000000001,G1479&gt;=01_因子設定!$L$7-0.000000001,G1479&lt;=01_因子設定!$M$7+0.000000001,H1479&gt;=01_因子設定!$L$8-0.000000001,H1479&lt;=01_因子設定!$M$8+0.000000001,IF(01_因子設定!$B$20="Box-Behnken",E1479^2+F1479^2+G1479^2+H1479^2&lt;=2+0.000000001,TRUE()))</f>
        <v>1</v>
      </c>
      <c r="AD1479" s="55" t="n">
        <f aca="false">IF(AC1479,IF(01_因子設定!$B$13="最大化",AA1479-01_因子設定!$B$14,IF(01_因子設定!$B$13="最小化",01_因子設定!$B$15-AB1479,MIN(AA1479-01_因子設定!$B$14,01_因子設定!$B$15-AB1479))),-1E+030)</f>
        <v>-7.00518049767243</v>
      </c>
      <c r="AE1479" s="55" t="n">
        <f aca="false">IF(AC1479,IF(01_因子設定!$B$13="最大化",X1479,IF(01_因子設定!$B$13="最小化",-X1479,-ABS(X1479-01_因子設定!$B$16))),-1E+030)</f>
        <v>41.0541620979532</v>
      </c>
      <c r="AF1479" s="55" t="n">
        <f aca="false">AD1479+ROW()*0.000000001</f>
        <v>-7.00517901867243</v>
      </c>
      <c r="AG1479" s="55" t="n">
        <f aca="false">AE1479+ROW()*0.000000001</f>
        <v>41.0541635769532</v>
      </c>
    </row>
    <row r="1480" customFormat="false" ht="15" hidden="false" customHeight="false" outlineLevel="0" collapsed="false">
      <c r="A1480" s="0" t="n">
        <v>2</v>
      </c>
      <c r="B1480" s="0" t="n">
        <v>0</v>
      </c>
      <c r="C1480" s="0" t="n">
        <v>1</v>
      </c>
      <c r="D1480" s="0" t="n">
        <v>8</v>
      </c>
      <c r="E1480" s="0" t="n">
        <f aca="false">-1+A1480*0.25</f>
        <v>-0.5</v>
      </c>
      <c r="F1480" s="0" t="n">
        <f aca="false">-1+B1480*0.25</f>
        <v>-1</v>
      </c>
      <c r="G1480" s="0" t="n">
        <f aca="false">-1+C1480*0.25</f>
        <v>-0.75</v>
      </c>
      <c r="H1480" s="0" t="n">
        <f aca="false">-1+D1480*0.25</f>
        <v>1</v>
      </c>
      <c r="I1480" s="0" t="n">
        <f aca="false">1</f>
        <v>1</v>
      </c>
      <c r="J1480" s="0" t="n">
        <f aca="false">E1480</f>
        <v>-0.5</v>
      </c>
      <c r="K1480" s="0" t="n">
        <f aca="false">F1480</f>
        <v>-1</v>
      </c>
      <c r="L1480" s="0" t="n">
        <f aca="false">G1480</f>
        <v>-0.75</v>
      </c>
      <c r="M1480" s="0" t="n">
        <f aca="false">H1480</f>
        <v>1</v>
      </c>
      <c r="N1480" s="0" t="n">
        <f aca="false">E1480*F1480</f>
        <v>0.5</v>
      </c>
      <c r="O1480" s="0" t="n">
        <f aca="false">E1480*G1480</f>
        <v>0.375</v>
      </c>
      <c r="P1480" s="0" t="n">
        <f aca="false">E1480*H1480</f>
        <v>-0.5</v>
      </c>
      <c r="Q1480" s="0" t="n">
        <f aca="false">F1480*G1480</f>
        <v>0.75</v>
      </c>
      <c r="R1480" s="0" t="n">
        <f aca="false">F1480*H1480</f>
        <v>-1</v>
      </c>
      <c r="S1480" s="0" t="n">
        <f aca="false">G1480*H1480</f>
        <v>-0.75</v>
      </c>
      <c r="T1480" s="0" t="n">
        <f aca="false">E1480*E1480</f>
        <v>0.25</v>
      </c>
      <c r="U1480" s="0" t="n">
        <f aca="false">F1480*F1480</f>
        <v>1</v>
      </c>
      <c r="V1480" s="0" t="n">
        <f aca="false">G1480*G1480</f>
        <v>0.5625</v>
      </c>
      <c r="W1480" s="0" t="n">
        <f aca="false">H1480*H1480</f>
        <v>1</v>
      </c>
      <c r="X1480" s="0" t="n">
        <f aca="false">SUMPRODUCT(I1480:W1480,_XtX!$B$96:$P$96)</f>
        <v>40.9718201754386</v>
      </c>
      <c r="Y1480" s="0" t="n">
        <f aca="false">SUMPRODUCT(MMULT(I1480:W1480,_XtX!$B$78:$P$92),I1480:W1480)</f>
        <v>0.564984237938597</v>
      </c>
      <c r="Z1480" s="0" t="n">
        <f aca="false">04_回帰ANOVA!$K$19*04_回帰ANOVA!$K$14*SQRT(1+Y1480)</f>
        <v>1.63062229734503</v>
      </c>
      <c r="AA1480" s="0" t="n">
        <f aca="false">X1480-Z1480</f>
        <v>39.3411978780936</v>
      </c>
      <c r="AB1480" s="0" t="n">
        <f aca="false">X1480+Z1480</f>
        <v>42.6024424727836</v>
      </c>
      <c r="AC1480" s="54" t="b">
        <f aca="false">AND(E1480&gt;=01_因子設定!$L$5-0.000000001,E1480&lt;=01_因子設定!$M$5+0.000000001,F1480&gt;=01_因子設定!$L$6-0.000000001,F1480&lt;=01_因子設定!$M$6+0.000000001,G1480&gt;=01_因子設定!$L$7-0.000000001,G1480&lt;=01_因子設定!$M$7+0.000000001,H1480&gt;=01_因子設定!$L$8-0.000000001,H1480&lt;=01_因子設定!$M$8+0.000000001,IF(01_因子設定!$B$20="Box-Behnken",E1480^2+F1480^2+G1480^2+H1480^2&lt;=2+0.000000001,TRUE()))</f>
        <v>1</v>
      </c>
      <c r="AD1480" s="55" t="n">
        <f aca="false">IF(AC1480,IF(01_因子設定!$B$13="最大化",AA1480-01_因子設定!$B$14,IF(01_因子設定!$B$13="最小化",01_因子設定!$B$15-AB1480,MIN(AA1480-01_因子設定!$B$14,01_因子設定!$B$15-AB1480))),-1E+030)</f>
        <v>-7.15880212190644</v>
      </c>
      <c r="AE1480" s="55" t="n">
        <f aca="false">IF(AC1480,IF(01_因子設定!$B$13="最大化",X1480,IF(01_因子設定!$B$13="最小化",-X1480,-ABS(X1480-01_因子設定!$B$16))),-1E+030)</f>
        <v>40.9718201754386</v>
      </c>
      <c r="AF1480" s="55" t="n">
        <f aca="false">AD1480+ROW()*0.000000001</f>
        <v>-7.15880064190644</v>
      </c>
      <c r="AG1480" s="55" t="n">
        <f aca="false">AE1480+ROW()*0.000000001</f>
        <v>40.9718216554386</v>
      </c>
    </row>
    <row r="1481" customFormat="false" ht="15" hidden="false" customHeight="false" outlineLevel="0" collapsed="false">
      <c r="A1481" s="0" t="n">
        <v>2</v>
      </c>
      <c r="B1481" s="0" t="n">
        <v>0</v>
      </c>
      <c r="C1481" s="0" t="n">
        <v>2</v>
      </c>
      <c r="D1481" s="0" t="n">
        <v>0</v>
      </c>
      <c r="E1481" s="0" t="n">
        <f aca="false">-1+A1481*0.25</f>
        <v>-0.5</v>
      </c>
      <c r="F1481" s="0" t="n">
        <f aca="false">-1+B1481*0.25</f>
        <v>-1</v>
      </c>
      <c r="G1481" s="0" t="n">
        <f aca="false">-1+C1481*0.25</f>
        <v>-0.5</v>
      </c>
      <c r="H1481" s="0" t="n">
        <f aca="false">-1+D1481*0.25</f>
        <v>-1</v>
      </c>
      <c r="I1481" s="0" t="n">
        <f aca="false">1</f>
        <v>1</v>
      </c>
      <c r="J1481" s="0" t="n">
        <f aca="false">E1481</f>
        <v>-0.5</v>
      </c>
      <c r="K1481" s="0" t="n">
        <f aca="false">F1481</f>
        <v>-1</v>
      </c>
      <c r="L1481" s="0" t="n">
        <f aca="false">G1481</f>
        <v>-0.5</v>
      </c>
      <c r="M1481" s="0" t="n">
        <f aca="false">H1481</f>
        <v>-1</v>
      </c>
      <c r="N1481" s="0" t="n">
        <f aca="false">E1481*F1481</f>
        <v>0.5</v>
      </c>
      <c r="O1481" s="0" t="n">
        <f aca="false">E1481*G1481</f>
        <v>0.25</v>
      </c>
      <c r="P1481" s="0" t="n">
        <f aca="false">E1481*H1481</f>
        <v>0.5</v>
      </c>
      <c r="Q1481" s="0" t="n">
        <f aca="false">F1481*G1481</f>
        <v>0.5</v>
      </c>
      <c r="R1481" s="0" t="n">
        <f aca="false">F1481*H1481</f>
        <v>1</v>
      </c>
      <c r="S1481" s="0" t="n">
        <f aca="false">G1481*H1481</f>
        <v>0.5</v>
      </c>
      <c r="T1481" s="0" t="n">
        <f aca="false">E1481*E1481</f>
        <v>0.25</v>
      </c>
      <c r="U1481" s="0" t="n">
        <f aca="false">F1481*F1481</f>
        <v>1</v>
      </c>
      <c r="V1481" s="0" t="n">
        <f aca="false">G1481*G1481</f>
        <v>0.25</v>
      </c>
      <c r="W1481" s="0" t="n">
        <f aca="false">H1481*H1481</f>
        <v>1</v>
      </c>
      <c r="X1481" s="0" t="n">
        <f aca="false">SUMPRODUCT(I1481:W1481,_XtX!$B$96:$P$96)</f>
        <v>40.6823099415205</v>
      </c>
      <c r="Y1481" s="0" t="n">
        <f aca="false">SUMPRODUCT(MMULT(I1481:W1481,_XtX!$B$78:$P$92),I1481:W1481)</f>
        <v>0.582488121345029</v>
      </c>
      <c r="Z1481" s="0" t="n">
        <f aca="false">04_回帰ANOVA!$K$19*04_回帰ANOVA!$K$14*SQRT(1+Y1481)</f>
        <v>1.63971595338287</v>
      </c>
      <c r="AA1481" s="0" t="n">
        <f aca="false">X1481-Z1481</f>
        <v>39.0425939881376</v>
      </c>
      <c r="AB1481" s="0" t="n">
        <f aca="false">X1481+Z1481</f>
        <v>42.3220258949033</v>
      </c>
      <c r="AC1481" s="54" t="b">
        <f aca="false">AND(E1481&gt;=01_因子設定!$L$5-0.000000001,E1481&lt;=01_因子設定!$M$5+0.000000001,F1481&gt;=01_因子設定!$L$6-0.000000001,F1481&lt;=01_因子設定!$M$6+0.000000001,G1481&gt;=01_因子設定!$L$7-0.000000001,G1481&lt;=01_因子設定!$M$7+0.000000001,H1481&gt;=01_因子設定!$L$8-0.000000001,H1481&lt;=01_因子設定!$M$8+0.000000001,IF(01_因子設定!$B$20="Box-Behnken",E1481^2+F1481^2+G1481^2+H1481^2&lt;=2+0.000000001,TRUE()))</f>
        <v>1</v>
      </c>
      <c r="AD1481" s="55" t="n">
        <f aca="false">IF(AC1481,IF(01_因子設定!$B$13="最大化",AA1481-01_因子設定!$B$14,IF(01_因子設定!$B$13="最小化",01_因子設定!$B$15-AB1481,MIN(AA1481-01_因子設定!$B$14,01_因子設定!$B$15-AB1481))),-1E+030)</f>
        <v>-7.4574060118624</v>
      </c>
      <c r="AE1481" s="55" t="n">
        <f aca="false">IF(AC1481,IF(01_因子設定!$B$13="最大化",X1481,IF(01_因子設定!$B$13="最小化",-X1481,-ABS(X1481-01_因子設定!$B$16))),-1E+030)</f>
        <v>40.6823099415205</v>
      </c>
      <c r="AF1481" s="55" t="n">
        <f aca="false">AD1481+ROW()*0.000000001</f>
        <v>-7.4574045308624</v>
      </c>
      <c r="AG1481" s="55" t="n">
        <f aca="false">AE1481+ROW()*0.000000001</f>
        <v>40.6823114225205</v>
      </c>
    </row>
    <row r="1482" customFormat="false" ht="15" hidden="false" customHeight="false" outlineLevel="0" collapsed="false">
      <c r="A1482" s="0" t="n">
        <v>2</v>
      </c>
      <c r="B1482" s="0" t="n">
        <v>0</v>
      </c>
      <c r="C1482" s="0" t="n">
        <v>2</v>
      </c>
      <c r="D1482" s="0" t="n">
        <v>1</v>
      </c>
      <c r="E1482" s="0" t="n">
        <f aca="false">-1+A1482*0.25</f>
        <v>-0.5</v>
      </c>
      <c r="F1482" s="0" t="n">
        <f aca="false">-1+B1482*0.25</f>
        <v>-1</v>
      </c>
      <c r="G1482" s="0" t="n">
        <f aca="false">-1+C1482*0.25</f>
        <v>-0.5</v>
      </c>
      <c r="H1482" s="0" t="n">
        <f aca="false">-1+D1482*0.25</f>
        <v>-0.75</v>
      </c>
      <c r="I1482" s="0" t="n">
        <f aca="false">1</f>
        <v>1</v>
      </c>
      <c r="J1482" s="0" t="n">
        <f aca="false">E1482</f>
        <v>-0.5</v>
      </c>
      <c r="K1482" s="0" t="n">
        <f aca="false">F1482</f>
        <v>-1</v>
      </c>
      <c r="L1482" s="0" t="n">
        <f aca="false">G1482</f>
        <v>-0.5</v>
      </c>
      <c r="M1482" s="0" t="n">
        <f aca="false">H1482</f>
        <v>-0.75</v>
      </c>
      <c r="N1482" s="0" t="n">
        <f aca="false">E1482*F1482</f>
        <v>0.5</v>
      </c>
      <c r="O1482" s="0" t="n">
        <f aca="false">E1482*G1482</f>
        <v>0.25</v>
      </c>
      <c r="P1482" s="0" t="n">
        <f aca="false">E1482*H1482</f>
        <v>0.375</v>
      </c>
      <c r="Q1482" s="0" t="n">
        <f aca="false">F1482*G1482</f>
        <v>0.5</v>
      </c>
      <c r="R1482" s="0" t="n">
        <f aca="false">F1482*H1482</f>
        <v>0.75</v>
      </c>
      <c r="S1482" s="0" t="n">
        <f aca="false">G1482*H1482</f>
        <v>0.375</v>
      </c>
      <c r="T1482" s="0" t="n">
        <f aca="false">E1482*E1482</f>
        <v>0.25</v>
      </c>
      <c r="U1482" s="0" t="n">
        <f aca="false">F1482*F1482</f>
        <v>1</v>
      </c>
      <c r="V1482" s="0" t="n">
        <f aca="false">G1482*G1482</f>
        <v>0.25</v>
      </c>
      <c r="W1482" s="0" t="n">
        <f aca="false">H1482*H1482</f>
        <v>0.5625</v>
      </c>
      <c r="X1482" s="0" t="n">
        <f aca="false">SUMPRODUCT(I1482:W1482,_XtX!$B$96:$P$96)</f>
        <v>40.9525858918128</v>
      </c>
      <c r="Y1482" s="0" t="n">
        <f aca="false">SUMPRODUCT(MMULT(I1482:W1482,_XtX!$B$78:$P$92),I1482:W1482)</f>
        <v>0.42602110745614</v>
      </c>
      <c r="Z1482" s="0" t="n">
        <f aca="false">04_回帰ANOVA!$K$19*04_回帰ANOVA!$K$14*SQRT(1+Y1482)</f>
        <v>1.55654388501114</v>
      </c>
      <c r="AA1482" s="0" t="n">
        <f aca="false">X1482-Z1482</f>
        <v>39.3960420068017</v>
      </c>
      <c r="AB1482" s="0" t="n">
        <f aca="false">X1482+Z1482</f>
        <v>42.509129776824</v>
      </c>
      <c r="AC1482" s="54" t="b">
        <f aca="false">AND(E1482&gt;=01_因子設定!$L$5-0.000000001,E1482&lt;=01_因子設定!$M$5+0.000000001,F1482&gt;=01_因子設定!$L$6-0.000000001,F1482&lt;=01_因子設定!$M$6+0.000000001,G1482&gt;=01_因子設定!$L$7-0.000000001,G1482&lt;=01_因子設定!$M$7+0.000000001,H1482&gt;=01_因子設定!$L$8-0.000000001,H1482&lt;=01_因子設定!$M$8+0.000000001,IF(01_因子設定!$B$20="Box-Behnken",E1482^2+F1482^2+G1482^2+H1482^2&lt;=2+0.000000001,TRUE()))</f>
        <v>1</v>
      </c>
      <c r="AD1482" s="55" t="n">
        <f aca="false">IF(AC1482,IF(01_因子設定!$B$13="最大化",AA1482-01_因子設定!$B$14,IF(01_因子設定!$B$13="最小化",01_因子設定!$B$15-AB1482,MIN(AA1482-01_因子設定!$B$14,01_因子設定!$B$15-AB1482))),-1E+030)</f>
        <v>-7.10395799319829</v>
      </c>
      <c r="AE1482" s="55" t="n">
        <f aca="false">IF(AC1482,IF(01_因子設定!$B$13="最大化",X1482,IF(01_因子設定!$B$13="最小化",-X1482,-ABS(X1482-01_因子設定!$B$16))),-1E+030)</f>
        <v>40.9525858918128</v>
      </c>
      <c r="AF1482" s="55" t="n">
        <f aca="false">AD1482+ROW()*0.000000001</f>
        <v>-7.10395651119829</v>
      </c>
      <c r="AG1482" s="55" t="n">
        <f aca="false">AE1482+ROW()*0.000000001</f>
        <v>40.9525873738129</v>
      </c>
    </row>
    <row r="1483" customFormat="false" ht="15" hidden="false" customHeight="false" outlineLevel="0" collapsed="false">
      <c r="A1483" s="0" t="n">
        <v>2</v>
      </c>
      <c r="B1483" s="0" t="n">
        <v>0</v>
      </c>
      <c r="C1483" s="0" t="n">
        <v>2</v>
      </c>
      <c r="D1483" s="0" t="n">
        <v>2</v>
      </c>
      <c r="E1483" s="0" t="n">
        <f aca="false">-1+A1483*0.25</f>
        <v>-0.5</v>
      </c>
      <c r="F1483" s="0" t="n">
        <f aca="false">-1+B1483*0.25</f>
        <v>-1</v>
      </c>
      <c r="G1483" s="0" t="n">
        <f aca="false">-1+C1483*0.25</f>
        <v>-0.5</v>
      </c>
      <c r="H1483" s="0" t="n">
        <f aca="false">-1+D1483*0.25</f>
        <v>-0.5</v>
      </c>
      <c r="I1483" s="0" t="n">
        <f aca="false">1</f>
        <v>1</v>
      </c>
      <c r="J1483" s="0" t="n">
        <f aca="false">E1483</f>
        <v>-0.5</v>
      </c>
      <c r="K1483" s="0" t="n">
        <f aca="false">F1483</f>
        <v>-1</v>
      </c>
      <c r="L1483" s="0" t="n">
        <f aca="false">G1483</f>
        <v>-0.5</v>
      </c>
      <c r="M1483" s="0" t="n">
        <f aca="false">H1483</f>
        <v>-0.5</v>
      </c>
      <c r="N1483" s="0" t="n">
        <f aca="false">E1483*F1483</f>
        <v>0.5</v>
      </c>
      <c r="O1483" s="0" t="n">
        <f aca="false">E1483*G1483</f>
        <v>0.25</v>
      </c>
      <c r="P1483" s="0" t="n">
        <f aca="false">E1483*H1483</f>
        <v>0.25</v>
      </c>
      <c r="Q1483" s="0" t="n">
        <f aca="false">F1483*G1483</f>
        <v>0.5</v>
      </c>
      <c r="R1483" s="0" t="n">
        <f aca="false">F1483*H1483</f>
        <v>0.5</v>
      </c>
      <c r="S1483" s="0" t="n">
        <f aca="false">G1483*H1483</f>
        <v>0.25</v>
      </c>
      <c r="T1483" s="0" t="n">
        <f aca="false">E1483*E1483</f>
        <v>0.25</v>
      </c>
      <c r="U1483" s="0" t="n">
        <f aca="false">F1483*F1483</f>
        <v>1</v>
      </c>
      <c r="V1483" s="0" t="n">
        <f aca="false">G1483*G1483</f>
        <v>0.25</v>
      </c>
      <c r="W1483" s="0" t="n">
        <f aca="false">H1483*H1483</f>
        <v>0.25</v>
      </c>
      <c r="X1483" s="0" t="n">
        <f aca="false">SUMPRODUCT(I1483:W1483,_XtX!$B$96:$P$96)</f>
        <v>41.1750548245614</v>
      </c>
      <c r="Y1483" s="0" t="n">
        <f aca="false">SUMPRODUCT(MMULT(I1483:W1483,_XtX!$B$78:$P$92),I1483:W1483)</f>
        <v>0.404719480994152</v>
      </c>
      <c r="Z1483" s="0" t="n">
        <f aca="false">04_回帰ANOVA!$K$19*04_回帰ANOVA!$K$14*SQRT(1+Y1483)</f>
        <v>1.54487446697867</v>
      </c>
      <c r="AA1483" s="0" t="n">
        <f aca="false">X1483-Z1483</f>
        <v>39.6301803575827</v>
      </c>
      <c r="AB1483" s="0" t="n">
        <f aca="false">X1483+Z1483</f>
        <v>42.7199292915401</v>
      </c>
      <c r="AC1483" s="54" t="b">
        <f aca="false">AND(E1483&gt;=01_因子設定!$L$5-0.000000001,E1483&lt;=01_因子設定!$M$5+0.000000001,F1483&gt;=01_因子設定!$L$6-0.000000001,F1483&lt;=01_因子設定!$M$6+0.000000001,G1483&gt;=01_因子設定!$L$7-0.000000001,G1483&lt;=01_因子設定!$M$7+0.000000001,H1483&gt;=01_因子設定!$L$8-0.000000001,H1483&lt;=01_因子設定!$M$8+0.000000001,IF(01_因子設定!$B$20="Box-Behnken",E1483^2+F1483^2+G1483^2+H1483^2&lt;=2+0.000000001,TRUE()))</f>
        <v>1</v>
      </c>
      <c r="AD1483" s="55" t="n">
        <f aca="false">IF(AC1483,IF(01_因子設定!$B$13="最大化",AA1483-01_因子設定!$B$14,IF(01_因子設定!$B$13="最小化",01_因子設定!$B$15-AB1483,MIN(AA1483-01_因子設定!$B$14,01_因子設定!$B$15-AB1483))),-1E+030)</f>
        <v>-6.86981964241731</v>
      </c>
      <c r="AE1483" s="55" t="n">
        <f aca="false">IF(AC1483,IF(01_因子設定!$B$13="最大化",X1483,IF(01_因子設定!$B$13="最小化",-X1483,-ABS(X1483-01_因子設定!$B$16))),-1E+030)</f>
        <v>41.1750548245614</v>
      </c>
      <c r="AF1483" s="55" t="n">
        <f aca="false">AD1483+ROW()*0.000000001</f>
        <v>-6.86981815941731</v>
      </c>
      <c r="AG1483" s="55" t="n">
        <f aca="false">AE1483+ROW()*0.000000001</f>
        <v>41.1750563075614</v>
      </c>
    </row>
    <row r="1484" customFormat="false" ht="15" hidden="false" customHeight="false" outlineLevel="0" collapsed="false">
      <c r="A1484" s="0" t="n">
        <v>2</v>
      </c>
      <c r="B1484" s="0" t="n">
        <v>0</v>
      </c>
      <c r="C1484" s="0" t="n">
        <v>2</v>
      </c>
      <c r="D1484" s="0" t="n">
        <v>3</v>
      </c>
      <c r="E1484" s="0" t="n">
        <f aca="false">-1+A1484*0.25</f>
        <v>-0.5</v>
      </c>
      <c r="F1484" s="0" t="n">
        <f aca="false">-1+B1484*0.25</f>
        <v>-1</v>
      </c>
      <c r="G1484" s="0" t="n">
        <f aca="false">-1+C1484*0.25</f>
        <v>-0.5</v>
      </c>
      <c r="H1484" s="0" t="n">
        <f aca="false">-1+D1484*0.25</f>
        <v>-0.25</v>
      </c>
      <c r="I1484" s="0" t="n">
        <f aca="false">1</f>
        <v>1</v>
      </c>
      <c r="J1484" s="0" t="n">
        <f aca="false">E1484</f>
        <v>-0.5</v>
      </c>
      <c r="K1484" s="0" t="n">
        <f aca="false">F1484</f>
        <v>-1</v>
      </c>
      <c r="L1484" s="0" t="n">
        <f aca="false">G1484</f>
        <v>-0.5</v>
      </c>
      <c r="M1484" s="0" t="n">
        <f aca="false">H1484</f>
        <v>-0.25</v>
      </c>
      <c r="N1484" s="0" t="n">
        <f aca="false">E1484*F1484</f>
        <v>0.5</v>
      </c>
      <c r="O1484" s="0" t="n">
        <f aca="false">E1484*G1484</f>
        <v>0.25</v>
      </c>
      <c r="P1484" s="0" t="n">
        <f aca="false">E1484*H1484</f>
        <v>0.125</v>
      </c>
      <c r="Q1484" s="0" t="n">
        <f aca="false">F1484*G1484</f>
        <v>0.5</v>
      </c>
      <c r="R1484" s="0" t="n">
        <f aca="false">F1484*H1484</f>
        <v>0.25</v>
      </c>
      <c r="S1484" s="0" t="n">
        <f aca="false">G1484*H1484</f>
        <v>0.125</v>
      </c>
      <c r="T1484" s="0" t="n">
        <f aca="false">E1484*E1484</f>
        <v>0.25</v>
      </c>
      <c r="U1484" s="0" t="n">
        <f aca="false">F1484*F1484</f>
        <v>1</v>
      </c>
      <c r="V1484" s="0" t="n">
        <f aca="false">G1484*G1484</f>
        <v>0.25</v>
      </c>
      <c r="W1484" s="0" t="n">
        <f aca="false">H1484*H1484</f>
        <v>0.0625</v>
      </c>
      <c r="X1484" s="0" t="n">
        <f aca="false">SUMPRODUCT(I1484:W1484,_XtX!$B$96:$P$96)</f>
        <v>41.349716739766</v>
      </c>
      <c r="Y1484" s="0" t="n">
        <f aca="false">SUMPRODUCT(MMULT(I1484:W1484,_XtX!$B$78:$P$92),I1484:W1484)</f>
        <v>0.428122715643275</v>
      </c>
      <c r="Z1484" s="0" t="n">
        <f aca="false">04_回帰ANOVA!$K$19*04_回帰ANOVA!$K$14*SQRT(1+Y1484)</f>
        <v>1.55769044623229</v>
      </c>
      <c r="AA1484" s="0" t="n">
        <f aca="false">X1484-Z1484</f>
        <v>39.7920262935337</v>
      </c>
      <c r="AB1484" s="0" t="n">
        <f aca="false">X1484+Z1484</f>
        <v>42.9074071859983</v>
      </c>
      <c r="AC1484" s="54" t="b">
        <f aca="false">AND(E1484&gt;=01_因子設定!$L$5-0.000000001,E1484&lt;=01_因子設定!$M$5+0.000000001,F1484&gt;=01_因子設定!$L$6-0.000000001,F1484&lt;=01_因子設定!$M$6+0.000000001,G1484&gt;=01_因子設定!$L$7-0.000000001,G1484&lt;=01_因子設定!$M$7+0.000000001,H1484&gt;=01_因子設定!$L$8-0.000000001,H1484&lt;=01_因子設定!$M$8+0.000000001,IF(01_因子設定!$B$20="Box-Behnken",E1484^2+F1484^2+G1484^2+H1484^2&lt;=2+0.000000001,TRUE()))</f>
        <v>1</v>
      </c>
      <c r="AD1484" s="55" t="n">
        <f aca="false">IF(AC1484,IF(01_因子設定!$B$13="最大化",AA1484-01_因子設定!$B$14,IF(01_因子設定!$B$13="最小化",01_因子設定!$B$15-AB1484,MIN(AA1484-01_因子設定!$B$14,01_因子設定!$B$15-AB1484))),-1E+030)</f>
        <v>-6.70797370646626</v>
      </c>
      <c r="AE1484" s="55" t="n">
        <f aca="false">IF(AC1484,IF(01_因子設定!$B$13="最大化",X1484,IF(01_因子設定!$B$13="最小化",-X1484,-ABS(X1484-01_因子設定!$B$16))),-1E+030)</f>
        <v>41.349716739766</v>
      </c>
      <c r="AF1484" s="55" t="n">
        <f aca="false">AD1484+ROW()*0.000000001</f>
        <v>-6.70797222246626</v>
      </c>
      <c r="AG1484" s="55" t="n">
        <f aca="false">AE1484+ROW()*0.000000001</f>
        <v>41.349718223766</v>
      </c>
    </row>
    <row r="1485" customFormat="false" ht="15" hidden="false" customHeight="false" outlineLevel="0" collapsed="false">
      <c r="A1485" s="0" t="n">
        <v>2</v>
      </c>
      <c r="B1485" s="0" t="n">
        <v>0</v>
      </c>
      <c r="C1485" s="0" t="n">
        <v>2</v>
      </c>
      <c r="D1485" s="0" t="n">
        <v>4</v>
      </c>
      <c r="E1485" s="0" t="n">
        <f aca="false">-1+A1485*0.25</f>
        <v>-0.5</v>
      </c>
      <c r="F1485" s="0" t="n">
        <f aca="false">-1+B1485*0.25</f>
        <v>-1</v>
      </c>
      <c r="G1485" s="0" t="n">
        <f aca="false">-1+C1485*0.25</f>
        <v>-0.5</v>
      </c>
      <c r="H1485" s="0" t="n">
        <f aca="false">-1+D1485*0.25</f>
        <v>0</v>
      </c>
      <c r="I1485" s="0" t="n">
        <f aca="false">1</f>
        <v>1</v>
      </c>
      <c r="J1485" s="0" t="n">
        <f aca="false">E1485</f>
        <v>-0.5</v>
      </c>
      <c r="K1485" s="0" t="n">
        <f aca="false">F1485</f>
        <v>-1</v>
      </c>
      <c r="L1485" s="0" t="n">
        <f aca="false">G1485</f>
        <v>-0.5</v>
      </c>
      <c r="M1485" s="0" t="n">
        <f aca="false">H1485</f>
        <v>0</v>
      </c>
      <c r="N1485" s="0" t="n">
        <f aca="false">E1485*F1485</f>
        <v>0.5</v>
      </c>
      <c r="O1485" s="0" t="n">
        <f aca="false">E1485*G1485</f>
        <v>0.25</v>
      </c>
      <c r="P1485" s="0" t="n">
        <f aca="false">E1485*H1485</f>
        <v>-0</v>
      </c>
      <c r="Q1485" s="0" t="n">
        <f aca="false">F1485*G1485</f>
        <v>0.5</v>
      </c>
      <c r="R1485" s="0" t="n">
        <f aca="false">F1485*H1485</f>
        <v>-0</v>
      </c>
      <c r="S1485" s="0" t="n">
        <f aca="false">G1485*H1485</f>
        <v>-0</v>
      </c>
      <c r="T1485" s="0" t="n">
        <f aca="false">E1485*E1485</f>
        <v>0.25</v>
      </c>
      <c r="U1485" s="0" t="n">
        <f aca="false">F1485*F1485</f>
        <v>1</v>
      </c>
      <c r="V1485" s="0" t="n">
        <f aca="false">G1485*G1485</f>
        <v>0.25</v>
      </c>
      <c r="W1485" s="0" t="n">
        <f aca="false">H1485*H1485</f>
        <v>0</v>
      </c>
      <c r="X1485" s="0" t="n">
        <f aca="false">SUMPRODUCT(I1485:W1485,_XtX!$B$96:$P$96)</f>
        <v>41.4765716374269</v>
      </c>
      <c r="Y1485" s="0" t="n">
        <f aca="false">SUMPRODUCT(MMULT(I1485:W1485,_XtX!$B$78:$P$92),I1485:W1485)</f>
        <v>0.441954495614035</v>
      </c>
      <c r="Z1485" s="0" t="n">
        <f aca="false">04_回帰ANOVA!$K$19*04_回帰ANOVA!$K$14*SQRT(1+Y1485)</f>
        <v>1.56521560968066</v>
      </c>
      <c r="AA1485" s="0" t="n">
        <f aca="false">X1485-Z1485</f>
        <v>39.9113560277462</v>
      </c>
      <c r="AB1485" s="0" t="n">
        <f aca="false">X1485+Z1485</f>
        <v>43.0417872471075</v>
      </c>
      <c r="AC1485" s="54" t="b">
        <f aca="false">AND(E1485&gt;=01_因子設定!$L$5-0.000000001,E1485&lt;=01_因子設定!$M$5+0.000000001,F1485&gt;=01_因子設定!$L$6-0.000000001,F1485&lt;=01_因子設定!$M$6+0.000000001,G1485&gt;=01_因子設定!$L$7-0.000000001,G1485&lt;=01_因子設定!$M$7+0.000000001,H1485&gt;=01_因子設定!$L$8-0.000000001,H1485&lt;=01_因子設定!$M$8+0.000000001,IF(01_因子設定!$B$20="Box-Behnken",E1485^2+F1485^2+G1485^2+H1485^2&lt;=2+0.000000001,TRUE()))</f>
        <v>1</v>
      </c>
      <c r="AD1485" s="55" t="n">
        <f aca="false">IF(AC1485,IF(01_因子設定!$B$13="最大化",AA1485-01_因子設定!$B$14,IF(01_因子設定!$B$13="最小化",01_因子設定!$B$15-AB1485,MIN(AA1485-01_因子設定!$B$14,01_因子設定!$B$15-AB1485))),-1E+030)</f>
        <v>-6.58864397225381</v>
      </c>
      <c r="AE1485" s="55" t="n">
        <f aca="false">IF(AC1485,IF(01_因子設定!$B$13="最大化",X1485,IF(01_因子設定!$B$13="最小化",-X1485,-ABS(X1485-01_因子設定!$B$16))),-1E+030)</f>
        <v>41.4765716374269</v>
      </c>
      <c r="AF1485" s="55" t="n">
        <f aca="false">AD1485+ROW()*0.000000001</f>
        <v>-6.58864248725381</v>
      </c>
      <c r="AG1485" s="55" t="n">
        <f aca="false">AE1485+ROW()*0.000000001</f>
        <v>41.4765731224269</v>
      </c>
    </row>
    <row r="1486" customFormat="false" ht="15" hidden="false" customHeight="false" outlineLevel="0" collapsed="false">
      <c r="A1486" s="0" t="n">
        <v>2</v>
      </c>
      <c r="B1486" s="0" t="n">
        <v>0</v>
      </c>
      <c r="C1486" s="0" t="n">
        <v>2</v>
      </c>
      <c r="D1486" s="0" t="n">
        <v>5</v>
      </c>
      <c r="E1486" s="0" t="n">
        <f aca="false">-1+A1486*0.25</f>
        <v>-0.5</v>
      </c>
      <c r="F1486" s="0" t="n">
        <f aca="false">-1+B1486*0.25</f>
        <v>-1</v>
      </c>
      <c r="G1486" s="0" t="n">
        <f aca="false">-1+C1486*0.25</f>
        <v>-0.5</v>
      </c>
      <c r="H1486" s="0" t="n">
        <f aca="false">-1+D1486*0.25</f>
        <v>0.25</v>
      </c>
      <c r="I1486" s="0" t="n">
        <f aca="false">1</f>
        <v>1</v>
      </c>
      <c r="J1486" s="0" t="n">
        <f aca="false">E1486</f>
        <v>-0.5</v>
      </c>
      <c r="K1486" s="0" t="n">
        <f aca="false">F1486</f>
        <v>-1</v>
      </c>
      <c r="L1486" s="0" t="n">
        <f aca="false">G1486</f>
        <v>-0.5</v>
      </c>
      <c r="M1486" s="0" t="n">
        <f aca="false">H1486</f>
        <v>0.25</v>
      </c>
      <c r="N1486" s="0" t="n">
        <f aca="false">E1486*F1486</f>
        <v>0.5</v>
      </c>
      <c r="O1486" s="0" t="n">
        <f aca="false">E1486*G1486</f>
        <v>0.25</v>
      </c>
      <c r="P1486" s="0" t="n">
        <f aca="false">E1486*H1486</f>
        <v>-0.125</v>
      </c>
      <c r="Q1486" s="0" t="n">
        <f aca="false">F1486*G1486</f>
        <v>0.5</v>
      </c>
      <c r="R1486" s="0" t="n">
        <f aca="false">F1486*H1486</f>
        <v>-0.25</v>
      </c>
      <c r="S1486" s="0" t="n">
        <f aca="false">G1486*H1486</f>
        <v>-0.125</v>
      </c>
      <c r="T1486" s="0" t="n">
        <f aca="false">E1486*E1486</f>
        <v>0.25</v>
      </c>
      <c r="U1486" s="0" t="n">
        <f aca="false">F1486*F1486</f>
        <v>1</v>
      </c>
      <c r="V1486" s="0" t="n">
        <f aca="false">G1486*G1486</f>
        <v>0.25</v>
      </c>
      <c r="W1486" s="0" t="n">
        <f aca="false">H1486*H1486</f>
        <v>0.0625</v>
      </c>
      <c r="X1486" s="0" t="n">
        <f aca="false">SUMPRODUCT(I1486:W1486,_XtX!$B$96:$P$96)</f>
        <v>41.5556195175438</v>
      </c>
      <c r="Y1486" s="0" t="n">
        <f aca="false">SUMPRODUCT(MMULT(I1486:W1486,_XtX!$B$78:$P$92),I1486:W1486)</f>
        <v>0.428122715643275</v>
      </c>
      <c r="Z1486" s="0" t="n">
        <f aca="false">04_回帰ANOVA!$K$19*04_回帰ANOVA!$K$14*SQRT(1+Y1486)</f>
        <v>1.55769044623229</v>
      </c>
      <c r="AA1486" s="0" t="n">
        <f aca="false">X1486-Z1486</f>
        <v>39.9979290713115</v>
      </c>
      <c r="AB1486" s="0" t="n">
        <f aca="false">X1486+Z1486</f>
        <v>43.1133099637761</v>
      </c>
      <c r="AC1486" s="54" t="b">
        <f aca="false">AND(E1486&gt;=01_因子設定!$L$5-0.000000001,E1486&lt;=01_因子設定!$M$5+0.000000001,F1486&gt;=01_因子設定!$L$6-0.000000001,F1486&lt;=01_因子設定!$M$6+0.000000001,G1486&gt;=01_因子設定!$L$7-0.000000001,G1486&lt;=01_因子設定!$M$7+0.000000001,H1486&gt;=01_因子設定!$L$8-0.000000001,H1486&lt;=01_因子設定!$M$8+0.000000001,IF(01_因子設定!$B$20="Box-Behnken",E1486^2+F1486^2+G1486^2+H1486^2&lt;=2+0.000000001,TRUE()))</f>
        <v>1</v>
      </c>
      <c r="AD1486" s="55" t="n">
        <f aca="false">IF(AC1486,IF(01_因子設定!$B$13="最大化",AA1486-01_因子設定!$B$14,IF(01_因子設定!$B$13="最小化",01_因子設定!$B$15-AB1486,MIN(AA1486-01_因子設定!$B$14,01_因子設定!$B$15-AB1486))),-1E+030)</f>
        <v>-6.50207092868848</v>
      </c>
      <c r="AE1486" s="55" t="n">
        <f aca="false">IF(AC1486,IF(01_因子設定!$B$13="最大化",X1486,IF(01_因子設定!$B$13="最小化",-X1486,-ABS(X1486-01_因子設定!$B$16))),-1E+030)</f>
        <v>41.5556195175438</v>
      </c>
      <c r="AF1486" s="55" t="n">
        <f aca="false">AD1486+ROW()*0.000000001</f>
        <v>-6.50206944268848</v>
      </c>
      <c r="AG1486" s="55" t="n">
        <f aca="false">AE1486+ROW()*0.000000001</f>
        <v>41.5556210035438</v>
      </c>
    </row>
    <row r="1487" customFormat="false" ht="15" hidden="false" customHeight="false" outlineLevel="0" collapsed="false">
      <c r="A1487" s="0" t="n">
        <v>2</v>
      </c>
      <c r="B1487" s="0" t="n">
        <v>0</v>
      </c>
      <c r="C1487" s="0" t="n">
        <v>2</v>
      </c>
      <c r="D1487" s="0" t="n">
        <v>6</v>
      </c>
      <c r="E1487" s="0" t="n">
        <f aca="false">-1+A1487*0.25</f>
        <v>-0.5</v>
      </c>
      <c r="F1487" s="0" t="n">
        <f aca="false">-1+B1487*0.25</f>
        <v>-1</v>
      </c>
      <c r="G1487" s="0" t="n">
        <f aca="false">-1+C1487*0.25</f>
        <v>-0.5</v>
      </c>
      <c r="H1487" s="0" t="n">
        <f aca="false">-1+D1487*0.25</f>
        <v>0.5</v>
      </c>
      <c r="I1487" s="0" t="n">
        <f aca="false">1</f>
        <v>1</v>
      </c>
      <c r="J1487" s="0" t="n">
        <f aca="false">E1487</f>
        <v>-0.5</v>
      </c>
      <c r="K1487" s="0" t="n">
        <f aca="false">F1487</f>
        <v>-1</v>
      </c>
      <c r="L1487" s="0" t="n">
        <f aca="false">G1487</f>
        <v>-0.5</v>
      </c>
      <c r="M1487" s="0" t="n">
        <f aca="false">H1487</f>
        <v>0.5</v>
      </c>
      <c r="N1487" s="0" t="n">
        <f aca="false">E1487*F1487</f>
        <v>0.5</v>
      </c>
      <c r="O1487" s="0" t="n">
        <f aca="false">E1487*G1487</f>
        <v>0.25</v>
      </c>
      <c r="P1487" s="0" t="n">
        <f aca="false">E1487*H1487</f>
        <v>-0.25</v>
      </c>
      <c r="Q1487" s="0" t="n">
        <f aca="false">F1487*G1487</f>
        <v>0.5</v>
      </c>
      <c r="R1487" s="0" t="n">
        <f aca="false">F1487*H1487</f>
        <v>-0.5</v>
      </c>
      <c r="S1487" s="0" t="n">
        <f aca="false">G1487*H1487</f>
        <v>-0.25</v>
      </c>
      <c r="T1487" s="0" t="n">
        <f aca="false">E1487*E1487</f>
        <v>0.25</v>
      </c>
      <c r="U1487" s="0" t="n">
        <f aca="false">F1487*F1487</f>
        <v>1</v>
      </c>
      <c r="V1487" s="0" t="n">
        <f aca="false">G1487*G1487</f>
        <v>0.25</v>
      </c>
      <c r="W1487" s="0" t="n">
        <f aca="false">H1487*H1487</f>
        <v>0.25</v>
      </c>
      <c r="X1487" s="0" t="n">
        <f aca="false">SUMPRODUCT(I1487:W1487,_XtX!$B$96:$P$96)</f>
        <v>41.5868603801169</v>
      </c>
      <c r="Y1487" s="0" t="n">
        <f aca="false">SUMPRODUCT(MMULT(I1487:W1487,_XtX!$B$78:$P$92),I1487:W1487)</f>
        <v>0.404719480994152</v>
      </c>
      <c r="Z1487" s="0" t="n">
        <f aca="false">04_回帰ANOVA!$K$19*04_回帰ANOVA!$K$14*SQRT(1+Y1487)</f>
        <v>1.54487446697867</v>
      </c>
      <c r="AA1487" s="0" t="n">
        <f aca="false">X1487-Z1487</f>
        <v>40.0419859131383</v>
      </c>
      <c r="AB1487" s="0" t="n">
        <f aca="false">X1487+Z1487</f>
        <v>43.1317348470956</v>
      </c>
      <c r="AC1487" s="54" t="b">
        <f aca="false">AND(E1487&gt;=01_因子設定!$L$5-0.000000001,E1487&lt;=01_因子設定!$M$5+0.000000001,F1487&gt;=01_因子設定!$L$6-0.000000001,F1487&lt;=01_因子設定!$M$6+0.000000001,G1487&gt;=01_因子設定!$L$7-0.000000001,G1487&lt;=01_因子設定!$M$7+0.000000001,H1487&gt;=01_因子設定!$L$8-0.000000001,H1487&lt;=01_因子設定!$M$8+0.000000001,IF(01_因子設定!$B$20="Box-Behnken",E1487^2+F1487^2+G1487^2+H1487^2&lt;=2+0.000000001,TRUE()))</f>
        <v>1</v>
      </c>
      <c r="AD1487" s="55" t="n">
        <f aca="false">IF(AC1487,IF(01_因子設定!$B$13="最大化",AA1487-01_因子設定!$B$14,IF(01_因子設定!$B$13="最小化",01_因子設定!$B$15-AB1487,MIN(AA1487-01_因子設定!$B$14,01_因子設定!$B$15-AB1487))),-1E+030)</f>
        <v>-6.45801408686175</v>
      </c>
      <c r="AE1487" s="55" t="n">
        <f aca="false">IF(AC1487,IF(01_因子設定!$B$13="最大化",X1487,IF(01_因子設定!$B$13="最小化",-X1487,-ABS(X1487-01_因子設定!$B$16))),-1E+030)</f>
        <v>41.5868603801169</v>
      </c>
      <c r="AF1487" s="55" t="n">
        <f aca="false">AD1487+ROW()*0.000000001</f>
        <v>-6.45801259986175</v>
      </c>
      <c r="AG1487" s="55" t="n">
        <f aca="false">AE1487+ROW()*0.000000001</f>
        <v>41.5868618671169</v>
      </c>
    </row>
    <row r="1488" customFormat="false" ht="15" hidden="false" customHeight="false" outlineLevel="0" collapsed="false">
      <c r="A1488" s="0" t="n">
        <v>2</v>
      </c>
      <c r="B1488" s="0" t="n">
        <v>0</v>
      </c>
      <c r="C1488" s="0" t="n">
        <v>2</v>
      </c>
      <c r="D1488" s="0" t="n">
        <v>7</v>
      </c>
      <c r="E1488" s="0" t="n">
        <f aca="false">-1+A1488*0.25</f>
        <v>-0.5</v>
      </c>
      <c r="F1488" s="0" t="n">
        <f aca="false">-1+B1488*0.25</f>
        <v>-1</v>
      </c>
      <c r="G1488" s="0" t="n">
        <f aca="false">-1+C1488*0.25</f>
        <v>-0.5</v>
      </c>
      <c r="H1488" s="0" t="n">
        <f aca="false">-1+D1488*0.25</f>
        <v>0.75</v>
      </c>
      <c r="I1488" s="0" t="n">
        <f aca="false">1</f>
        <v>1</v>
      </c>
      <c r="J1488" s="0" t="n">
        <f aca="false">E1488</f>
        <v>-0.5</v>
      </c>
      <c r="K1488" s="0" t="n">
        <f aca="false">F1488</f>
        <v>-1</v>
      </c>
      <c r="L1488" s="0" t="n">
        <f aca="false">G1488</f>
        <v>-0.5</v>
      </c>
      <c r="M1488" s="0" t="n">
        <f aca="false">H1488</f>
        <v>0.75</v>
      </c>
      <c r="N1488" s="0" t="n">
        <f aca="false">E1488*F1488</f>
        <v>0.5</v>
      </c>
      <c r="O1488" s="0" t="n">
        <f aca="false">E1488*G1488</f>
        <v>0.25</v>
      </c>
      <c r="P1488" s="0" t="n">
        <f aca="false">E1488*H1488</f>
        <v>-0.375</v>
      </c>
      <c r="Q1488" s="0" t="n">
        <f aca="false">F1488*G1488</f>
        <v>0.5</v>
      </c>
      <c r="R1488" s="0" t="n">
        <f aca="false">F1488*H1488</f>
        <v>-0.75</v>
      </c>
      <c r="S1488" s="0" t="n">
        <f aca="false">G1488*H1488</f>
        <v>-0.375</v>
      </c>
      <c r="T1488" s="0" t="n">
        <f aca="false">E1488*E1488</f>
        <v>0.25</v>
      </c>
      <c r="U1488" s="0" t="n">
        <f aca="false">F1488*F1488</f>
        <v>1</v>
      </c>
      <c r="V1488" s="0" t="n">
        <f aca="false">G1488*G1488</f>
        <v>0.25</v>
      </c>
      <c r="W1488" s="0" t="n">
        <f aca="false">H1488*H1488</f>
        <v>0.5625</v>
      </c>
      <c r="X1488" s="0" t="n">
        <f aca="false">SUMPRODUCT(I1488:W1488,_XtX!$B$96:$P$96)</f>
        <v>41.5702942251462</v>
      </c>
      <c r="Y1488" s="0" t="n">
        <f aca="false">SUMPRODUCT(MMULT(I1488:W1488,_XtX!$B$78:$P$92),I1488:W1488)</f>
        <v>0.42602110745614</v>
      </c>
      <c r="Z1488" s="0" t="n">
        <f aca="false">04_回帰ANOVA!$K$19*04_回帰ANOVA!$K$14*SQRT(1+Y1488)</f>
        <v>1.55654388501114</v>
      </c>
      <c r="AA1488" s="0" t="n">
        <f aca="false">X1488-Z1488</f>
        <v>40.013750340135</v>
      </c>
      <c r="AB1488" s="0" t="n">
        <f aca="false">X1488+Z1488</f>
        <v>43.1268381101573</v>
      </c>
      <c r="AC1488" s="54" t="b">
        <f aca="false">AND(E1488&gt;=01_因子設定!$L$5-0.000000001,E1488&lt;=01_因子設定!$M$5+0.000000001,F1488&gt;=01_因子設定!$L$6-0.000000001,F1488&lt;=01_因子設定!$M$6+0.000000001,G1488&gt;=01_因子設定!$L$7-0.000000001,G1488&lt;=01_因子設定!$M$7+0.000000001,H1488&gt;=01_因子設定!$L$8-0.000000001,H1488&lt;=01_因子設定!$M$8+0.000000001,IF(01_因子設定!$B$20="Box-Behnken",E1488^2+F1488^2+G1488^2+H1488^2&lt;=2+0.000000001,TRUE()))</f>
        <v>1</v>
      </c>
      <c r="AD1488" s="55" t="n">
        <f aca="false">IF(AC1488,IF(01_因子設定!$B$13="最大化",AA1488-01_因子設定!$B$14,IF(01_因子設定!$B$13="最小化",01_因子設定!$B$15-AB1488,MIN(AA1488-01_因子設定!$B$14,01_因子設定!$B$15-AB1488))),-1E+030)</f>
        <v>-6.48624965986496</v>
      </c>
      <c r="AE1488" s="55" t="n">
        <f aca="false">IF(AC1488,IF(01_因子設定!$B$13="最大化",X1488,IF(01_因子設定!$B$13="最小化",-X1488,-ABS(X1488-01_因子設定!$B$16))),-1E+030)</f>
        <v>41.5702942251462</v>
      </c>
      <c r="AF1488" s="55" t="n">
        <f aca="false">AD1488+ROW()*0.000000001</f>
        <v>-6.48624817186496</v>
      </c>
      <c r="AG1488" s="55" t="n">
        <f aca="false">AE1488+ROW()*0.000000001</f>
        <v>41.5702957131462</v>
      </c>
    </row>
    <row r="1489" customFormat="false" ht="15" hidden="false" customHeight="false" outlineLevel="0" collapsed="false">
      <c r="A1489" s="0" t="n">
        <v>2</v>
      </c>
      <c r="B1489" s="0" t="n">
        <v>0</v>
      </c>
      <c r="C1489" s="0" t="n">
        <v>2</v>
      </c>
      <c r="D1489" s="0" t="n">
        <v>8</v>
      </c>
      <c r="E1489" s="0" t="n">
        <f aca="false">-1+A1489*0.25</f>
        <v>-0.5</v>
      </c>
      <c r="F1489" s="0" t="n">
        <f aca="false">-1+B1489*0.25</f>
        <v>-1</v>
      </c>
      <c r="G1489" s="0" t="n">
        <f aca="false">-1+C1489*0.25</f>
        <v>-0.5</v>
      </c>
      <c r="H1489" s="0" t="n">
        <f aca="false">-1+D1489*0.25</f>
        <v>1</v>
      </c>
      <c r="I1489" s="0" t="n">
        <f aca="false">1</f>
        <v>1</v>
      </c>
      <c r="J1489" s="0" t="n">
        <f aca="false">E1489</f>
        <v>-0.5</v>
      </c>
      <c r="K1489" s="0" t="n">
        <f aca="false">F1489</f>
        <v>-1</v>
      </c>
      <c r="L1489" s="0" t="n">
        <f aca="false">G1489</f>
        <v>-0.5</v>
      </c>
      <c r="M1489" s="0" t="n">
        <f aca="false">H1489</f>
        <v>1</v>
      </c>
      <c r="N1489" s="0" t="n">
        <f aca="false">E1489*F1489</f>
        <v>0.5</v>
      </c>
      <c r="O1489" s="0" t="n">
        <f aca="false">E1489*G1489</f>
        <v>0.25</v>
      </c>
      <c r="P1489" s="0" t="n">
        <f aca="false">E1489*H1489</f>
        <v>-0.5</v>
      </c>
      <c r="Q1489" s="0" t="n">
        <f aca="false">F1489*G1489</f>
        <v>0.5</v>
      </c>
      <c r="R1489" s="0" t="n">
        <f aca="false">F1489*H1489</f>
        <v>-1</v>
      </c>
      <c r="S1489" s="0" t="n">
        <f aca="false">G1489*H1489</f>
        <v>-0.5</v>
      </c>
      <c r="T1489" s="0" t="n">
        <f aca="false">E1489*E1489</f>
        <v>0.25</v>
      </c>
      <c r="U1489" s="0" t="n">
        <f aca="false">F1489*F1489</f>
        <v>1</v>
      </c>
      <c r="V1489" s="0" t="n">
        <f aca="false">G1489*G1489</f>
        <v>0.25</v>
      </c>
      <c r="W1489" s="0" t="n">
        <f aca="false">H1489*H1489</f>
        <v>1</v>
      </c>
      <c r="X1489" s="0" t="n">
        <f aca="false">SUMPRODUCT(I1489:W1489,_XtX!$B$96:$P$96)</f>
        <v>41.5059210526316</v>
      </c>
      <c r="Y1489" s="0" t="n">
        <f aca="false">SUMPRODUCT(MMULT(I1489:W1489,_XtX!$B$78:$P$92),I1489:W1489)</f>
        <v>0.582488121345029</v>
      </c>
      <c r="Z1489" s="0" t="n">
        <f aca="false">04_回帰ANOVA!$K$19*04_回帰ANOVA!$K$14*SQRT(1+Y1489)</f>
        <v>1.63971595338287</v>
      </c>
      <c r="AA1489" s="0" t="n">
        <f aca="false">X1489-Z1489</f>
        <v>39.8662050992487</v>
      </c>
      <c r="AB1489" s="0" t="n">
        <f aca="false">X1489+Z1489</f>
        <v>43.1456370060144</v>
      </c>
      <c r="AC1489" s="54" t="b">
        <f aca="false">AND(E1489&gt;=01_因子設定!$L$5-0.000000001,E1489&lt;=01_因子設定!$M$5+0.000000001,F1489&gt;=01_因子設定!$L$6-0.000000001,F1489&lt;=01_因子設定!$M$6+0.000000001,G1489&gt;=01_因子設定!$L$7-0.000000001,G1489&lt;=01_因子設定!$M$7+0.000000001,H1489&gt;=01_因子設定!$L$8-0.000000001,H1489&lt;=01_因子設定!$M$8+0.000000001,IF(01_因子設定!$B$20="Box-Behnken",E1489^2+F1489^2+G1489^2+H1489^2&lt;=2+0.000000001,TRUE()))</f>
        <v>1</v>
      </c>
      <c r="AD1489" s="55" t="n">
        <f aca="false">IF(AC1489,IF(01_因子設定!$B$13="最大化",AA1489-01_因子設定!$B$14,IF(01_因子設定!$B$13="最小化",01_因子設定!$B$15-AB1489,MIN(AA1489-01_因子設定!$B$14,01_因子設定!$B$15-AB1489))),-1E+030)</f>
        <v>-6.6337949007513</v>
      </c>
      <c r="AE1489" s="55" t="n">
        <f aca="false">IF(AC1489,IF(01_因子設定!$B$13="最大化",X1489,IF(01_因子設定!$B$13="最小化",-X1489,-ABS(X1489-01_因子設定!$B$16))),-1E+030)</f>
        <v>41.5059210526316</v>
      </c>
      <c r="AF1489" s="55" t="n">
        <f aca="false">AD1489+ROW()*0.000000001</f>
        <v>-6.6337934117513</v>
      </c>
      <c r="AG1489" s="55" t="n">
        <f aca="false">AE1489+ROW()*0.000000001</f>
        <v>41.5059225416316</v>
      </c>
    </row>
    <row r="1490" customFormat="false" ht="15" hidden="false" customHeight="false" outlineLevel="0" collapsed="false">
      <c r="A1490" s="0" t="n">
        <v>2</v>
      </c>
      <c r="B1490" s="0" t="n">
        <v>0</v>
      </c>
      <c r="C1490" s="0" t="n">
        <v>3</v>
      </c>
      <c r="D1490" s="0" t="n">
        <v>0</v>
      </c>
      <c r="E1490" s="0" t="n">
        <f aca="false">-1+A1490*0.25</f>
        <v>-0.5</v>
      </c>
      <c r="F1490" s="0" t="n">
        <f aca="false">-1+B1490*0.25</f>
        <v>-1</v>
      </c>
      <c r="G1490" s="0" t="n">
        <f aca="false">-1+C1490*0.25</f>
        <v>-0.25</v>
      </c>
      <c r="H1490" s="0" t="n">
        <f aca="false">-1+D1490*0.25</f>
        <v>-1</v>
      </c>
      <c r="I1490" s="0" t="n">
        <f aca="false">1</f>
        <v>1</v>
      </c>
      <c r="J1490" s="0" t="n">
        <f aca="false">E1490</f>
        <v>-0.5</v>
      </c>
      <c r="K1490" s="0" t="n">
        <f aca="false">F1490</f>
        <v>-1</v>
      </c>
      <c r="L1490" s="0" t="n">
        <f aca="false">G1490</f>
        <v>-0.25</v>
      </c>
      <c r="M1490" s="0" t="n">
        <f aca="false">H1490</f>
        <v>-1</v>
      </c>
      <c r="N1490" s="0" t="n">
        <f aca="false">E1490*F1490</f>
        <v>0.5</v>
      </c>
      <c r="O1490" s="0" t="n">
        <f aca="false">E1490*G1490</f>
        <v>0.125</v>
      </c>
      <c r="P1490" s="0" t="n">
        <f aca="false">E1490*H1490</f>
        <v>0.5</v>
      </c>
      <c r="Q1490" s="0" t="n">
        <f aca="false">F1490*G1490</f>
        <v>0.25</v>
      </c>
      <c r="R1490" s="0" t="n">
        <f aca="false">F1490*H1490</f>
        <v>1</v>
      </c>
      <c r="S1490" s="0" t="n">
        <f aca="false">G1490*H1490</f>
        <v>0.25</v>
      </c>
      <c r="T1490" s="0" t="n">
        <f aca="false">E1490*E1490</f>
        <v>0.25</v>
      </c>
      <c r="U1490" s="0" t="n">
        <f aca="false">F1490*F1490</f>
        <v>1</v>
      </c>
      <c r="V1490" s="0" t="n">
        <f aca="false">G1490*G1490</f>
        <v>0.0625</v>
      </c>
      <c r="W1490" s="0" t="n">
        <f aca="false">H1490*H1490</f>
        <v>1</v>
      </c>
      <c r="X1490" s="0" t="n">
        <f aca="false">SUMPRODUCT(I1490:W1490,_XtX!$B$96:$P$96)</f>
        <v>40.9873538011696</v>
      </c>
      <c r="Y1490" s="0" t="n">
        <f aca="false">SUMPRODUCT(MMULT(I1490:W1490,_XtX!$B$78:$P$92),I1490:W1490)</f>
        <v>0.629174661915205</v>
      </c>
      <c r="Z1490" s="0" t="n">
        <f aca="false">04_回帰ANOVA!$K$19*04_回帰ANOVA!$K$14*SQRT(1+Y1490)</f>
        <v>1.66372758058297</v>
      </c>
      <c r="AA1490" s="0" t="n">
        <f aca="false">X1490-Z1490</f>
        <v>39.3236262205866</v>
      </c>
      <c r="AB1490" s="0" t="n">
        <f aca="false">X1490+Z1490</f>
        <v>42.6510813817526</v>
      </c>
      <c r="AC1490" s="54" t="b">
        <f aca="false">AND(E1490&gt;=01_因子設定!$L$5-0.000000001,E1490&lt;=01_因子設定!$M$5+0.000000001,F1490&gt;=01_因子設定!$L$6-0.000000001,F1490&lt;=01_因子設定!$M$6+0.000000001,G1490&gt;=01_因子設定!$L$7-0.000000001,G1490&lt;=01_因子設定!$M$7+0.000000001,H1490&gt;=01_因子設定!$L$8-0.000000001,H1490&lt;=01_因子設定!$M$8+0.000000001,IF(01_因子設定!$B$20="Box-Behnken",E1490^2+F1490^2+G1490^2+H1490^2&lt;=2+0.000000001,TRUE()))</f>
        <v>1</v>
      </c>
      <c r="AD1490" s="55" t="n">
        <f aca="false">IF(AC1490,IF(01_因子設定!$B$13="最大化",AA1490-01_因子設定!$B$14,IF(01_因子設定!$B$13="最小化",01_因子設定!$B$15-AB1490,MIN(AA1490-01_因子設定!$B$14,01_因子設定!$B$15-AB1490))),-1E+030)</f>
        <v>-7.17637377941339</v>
      </c>
      <c r="AE1490" s="55" t="n">
        <f aca="false">IF(AC1490,IF(01_因子設定!$B$13="最大化",X1490,IF(01_因子設定!$B$13="最小化",-X1490,-ABS(X1490-01_因子設定!$B$16))),-1E+030)</f>
        <v>40.9873538011696</v>
      </c>
      <c r="AF1490" s="55" t="n">
        <f aca="false">AD1490+ROW()*0.000000001</f>
        <v>-7.17637228941339</v>
      </c>
      <c r="AG1490" s="55" t="n">
        <f aca="false">AE1490+ROW()*0.000000001</f>
        <v>40.9873552911696</v>
      </c>
    </row>
    <row r="1491" customFormat="false" ht="15" hidden="false" customHeight="false" outlineLevel="0" collapsed="false">
      <c r="A1491" s="0" t="n">
        <v>2</v>
      </c>
      <c r="B1491" s="0" t="n">
        <v>0</v>
      </c>
      <c r="C1491" s="0" t="n">
        <v>3</v>
      </c>
      <c r="D1491" s="0" t="n">
        <v>1</v>
      </c>
      <c r="E1491" s="0" t="n">
        <f aca="false">-1+A1491*0.25</f>
        <v>-0.5</v>
      </c>
      <c r="F1491" s="0" t="n">
        <f aca="false">-1+B1491*0.25</f>
        <v>-1</v>
      </c>
      <c r="G1491" s="0" t="n">
        <f aca="false">-1+C1491*0.25</f>
        <v>-0.25</v>
      </c>
      <c r="H1491" s="0" t="n">
        <f aca="false">-1+D1491*0.25</f>
        <v>-0.75</v>
      </c>
      <c r="I1491" s="0" t="n">
        <f aca="false">1</f>
        <v>1</v>
      </c>
      <c r="J1491" s="0" t="n">
        <f aca="false">E1491</f>
        <v>-0.5</v>
      </c>
      <c r="K1491" s="0" t="n">
        <f aca="false">F1491</f>
        <v>-1</v>
      </c>
      <c r="L1491" s="0" t="n">
        <f aca="false">G1491</f>
        <v>-0.25</v>
      </c>
      <c r="M1491" s="0" t="n">
        <f aca="false">H1491</f>
        <v>-0.75</v>
      </c>
      <c r="N1491" s="0" t="n">
        <f aca="false">E1491*F1491</f>
        <v>0.5</v>
      </c>
      <c r="O1491" s="0" t="n">
        <f aca="false">E1491*G1491</f>
        <v>0.125</v>
      </c>
      <c r="P1491" s="0" t="n">
        <f aca="false">E1491*H1491</f>
        <v>0.375</v>
      </c>
      <c r="Q1491" s="0" t="n">
        <f aca="false">F1491*G1491</f>
        <v>0.25</v>
      </c>
      <c r="R1491" s="0" t="n">
        <f aca="false">F1491*H1491</f>
        <v>0.75</v>
      </c>
      <c r="S1491" s="0" t="n">
        <f aca="false">G1491*H1491</f>
        <v>0.1875</v>
      </c>
      <c r="T1491" s="0" t="n">
        <f aca="false">E1491*E1491</f>
        <v>0.25</v>
      </c>
      <c r="U1491" s="0" t="n">
        <f aca="false">F1491*F1491</f>
        <v>1</v>
      </c>
      <c r="V1491" s="0" t="n">
        <f aca="false">G1491*G1491</f>
        <v>0.0625</v>
      </c>
      <c r="W1491" s="0" t="n">
        <f aca="false">H1491*H1491</f>
        <v>0.5625</v>
      </c>
      <c r="X1491" s="0" t="n">
        <f aca="false">SUMPRODUCT(I1491:W1491,_XtX!$B$96:$P$96)</f>
        <v>41.275598501462</v>
      </c>
      <c r="Y1491" s="0" t="n">
        <f aca="false">SUMPRODUCT(MMULT(I1491:W1491,_XtX!$B$78:$P$92),I1491:W1491)</f>
        <v>0.459125719572369</v>
      </c>
      <c r="Z1491" s="0" t="n">
        <f aca="false">04_回帰ANOVA!$K$19*04_回帰ANOVA!$K$14*SQRT(1+Y1491)</f>
        <v>1.57450755575573</v>
      </c>
      <c r="AA1491" s="0" t="n">
        <f aca="false">X1491-Z1491</f>
        <v>39.7010909457062</v>
      </c>
      <c r="AB1491" s="0" t="n">
        <f aca="false">X1491+Z1491</f>
        <v>42.8501060572177</v>
      </c>
      <c r="AC1491" s="54" t="b">
        <f aca="false">AND(E1491&gt;=01_因子設定!$L$5-0.000000001,E1491&lt;=01_因子設定!$M$5+0.000000001,F1491&gt;=01_因子設定!$L$6-0.000000001,F1491&lt;=01_因子設定!$M$6+0.000000001,G1491&gt;=01_因子設定!$L$7-0.000000001,G1491&lt;=01_因子設定!$M$7+0.000000001,H1491&gt;=01_因子設定!$L$8-0.000000001,H1491&lt;=01_因子設定!$M$8+0.000000001,IF(01_因子設定!$B$20="Box-Behnken",E1491^2+F1491^2+G1491^2+H1491^2&lt;=2+0.000000001,TRUE()))</f>
        <v>1</v>
      </c>
      <c r="AD1491" s="55" t="n">
        <f aca="false">IF(AC1491,IF(01_因子設定!$B$13="最大化",AA1491-01_因子設定!$B$14,IF(01_因子設定!$B$13="最小化",01_因子設定!$B$15-AB1491,MIN(AA1491-01_因子設定!$B$14,01_因子設定!$B$15-AB1491))),-1E+030)</f>
        <v>-6.79890905429377</v>
      </c>
      <c r="AE1491" s="55" t="n">
        <f aca="false">IF(AC1491,IF(01_因子設定!$B$13="最大化",X1491,IF(01_因子設定!$B$13="最小化",-X1491,-ABS(X1491-01_因子設定!$B$16))),-1E+030)</f>
        <v>41.275598501462</v>
      </c>
      <c r="AF1491" s="55" t="n">
        <f aca="false">AD1491+ROW()*0.000000001</f>
        <v>-6.79890756329377</v>
      </c>
      <c r="AG1491" s="55" t="n">
        <f aca="false">AE1491+ROW()*0.000000001</f>
        <v>41.275599992462</v>
      </c>
    </row>
    <row r="1492" customFormat="false" ht="15" hidden="false" customHeight="false" outlineLevel="0" collapsed="false">
      <c r="A1492" s="0" t="n">
        <v>2</v>
      </c>
      <c r="B1492" s="0" t="n">
        <v>0</v>
      </c>
      <c r="C1492" s="0" t="n">
        <v>3</v>
      </c>
      <c r="D1492" s="0" t="n">
        <v>2</v>
      </c>
      <c r="E1492" s="0" t="n">
        <f aca="false">-1+A1492*0.25</f>
        <v>-0.5</v>
      </c>
      <c r="F1492" s="0" t="n">
        <f aca="false">-1+B1492*0.25</f>
        <v>-1</v>
      </c>
      <c r="G1492" s="0" t="n">
        <f aca="false">-1+C1492*0.25</f>
        <v>-0.25</v>
      </c>
      <c r="H1492" s="0" t="n">
        <f aca="false">-1+D1492*0.25</f>
        <v>-0.5</v>
      </c>
      <c r="I1492" s="0" t="n">
        <f aca="false">1</f>
        <v>1</v>
      </c>
      <c r="J1492" s="0" t="n">
        <f aca="false">E1492</f>
        <v>-0.5</v>
      </c>
      <c r="K1492" s="0" t="n">
        <f aca="false">F1492</f>
        <v>-1</v>
      </c>
      <c r="L1492" s="0" t="n">
        <f aca="false">G1492</f>
        <v>-0.25</v>
      </c>
      <c r="M1492" s="0" t="n">
        <f aca="false">H1492</f>
        <v>-0.5</v>
      </c>
      <c r="N1492" s="0" t="n">
        <f aca="false">E1492*F1492</f>
        <v>0.5</v>
      </c>
      <c r="O1492" s="0" t="n">
        <f aca="false">E1492*G1492</f>
        <v>0.125</v>
      </c>
      <c r="P1492" s="0" t="n">
        <f aca="false">E1492*H1492</f>
        <v>0.25</v>
      </c>
      <c r="Q1492" s="0" t="n">
        <f aca="false">F1492*G1492</f>
        <v>0.25</v>
      </c>
      <c r="R1492" s="0" t="n">
        <f aca="false">F1492*H1492</f>
        <v>0.5</v>
      </c>
      <c r="S1492" s="0" t="n">
        <f aca="false">G1492*H1492</f>
        <v>0.125</v>
      </c>
      <c r="T1492" s="0" t="n">
        <f aca="false">E1492*E1492</f>
        <v>0.25</v>
      </c>
      <c r="U1492" s="0" t="n">
        <f aca="false">F1492*F1492</f>
        <v>1</v>
      </c>
      <c r="V1492" s="0" t="n">
        <f aca="false">G1492*G1492</f>
        <v>0.0625</v>
      </c>
      <c r="W1492" s="0" t="n">
        <f aca="false">H1492*H1492</f>
        <v>0.25</v>
      </c>
      <c r="X1492" s="0" t="n">
        <f aca="false">SUMPRODUCT(I1492:W1492,_XtX!$B$96:$P$96)</f>
        <v>41.5160361842105</v>
      </c>
      <c r="Y1492" s="0" t="n">
        <f aca="false">SUMPRODUCT(MMULT(I1492:W1492,_XtX!$B$78:$P$92),I1492:W1492)</f>
        <v>0.428122715643275</v>
      </c>
      <c r="Z1492" s="0" t="n">
        <f aca="false">04_回帰ANOVA!$K$19*04_回帰ANOVA!$K$14*SQRT(1+Y1492)</f>
        <v>1.55769044623229</v>
      </c>
      <c r="AA1492" s="0" t="n">
        <f aca="false">X1492-Z1492</f>
        <v>39.9583457379782</v>
      </c>
      <c r="AB1492" s="0" t="n">
        <f aca="false">X1492+Z1492</f>
        <v>43.0737266304428</v>
      </c>
      <c r="AC1492" s="54" t="b">
        <f aca="false">AND(E1492&gt;=01_因子設定!$L$5-0.000000001,E1492&lt;=01_因子設定!$M$5+0.000000001,F1492&gt;=01_因子設定!$L$6-0.000000001,F1492&lt;=01_因子設定!$M$6+0.000000001,G1492&gt;=01_因子設定!$L$7-0.000000001,G1492&lt;=01_因子設定!$M$7+0.000000001,H1492&gt;=01_因子設定!$L$8-0.000000001,H1492&lt;=01_因子設定!$M$8+0.000000001,IF(01_因子設定!$B$20="Box-Behnken",E1492^2+F1492^2+G1492^2+H1492^2&lt;=2+0.000000001,TRUE()))</f>
        <v>1</v>
      </c>
      <c r="AD1492" s="55" t="n">
        <f aca="false">IF(AC1492,IF(01_因子設定!$B$13="最大化",AA1492-01_因子設定!$B$14,IF(01_因子設定!$B$13="最小化",01_因子設定!$B$15-AB1492,MIN(AA1492-01_因子設定!$B$14,01_因子設定!$B$15-AB1492))),-1E+030)</f>
        <v>-6.5416542620218</v>
      </c>
      <c r="AE1492" s="55" t="n">
        <f aca="false">IF(AC1492,IF(01_因子設定!$B$13="最大化",X1492,IF(01_因子設定!$B$13="最小化",-X1492,-ABS(X1492-01_因子設定!$B$16))),-1E+030)</f>
        <v>41.5160361842105</v>
      </c>
      <c r="AF1492" s="55" t="n">
        <f aca="false">AD1492+ROW()*0.000000001</f>
        <v>-6.5416527700218</v>
      </c>
      <c r="AG1492" s="55" t="n">
        <f aca="false">AE1492+ROW()*0.000000001</f>
        <v>41.5160376762105</v>
      </c>
    </row>
    <row r="1493" customFormat="false" ht="15" hidden="false" customHeight="false" outlineLevel="0" collapsed="false">
      <c r="A1493" s="0" t="n">
        <v>2</v>
      </c>
      <c r="B1493" s="0" t="n">
        <v>0</v>
      </c>
      <c r="C1493" s="0" t="n">
        <v>3</v>
      </c>
      <c r="D1493" s="0" t="n">
        <v>3</v>
      </c>
      <c r="E1493" s="0" t="n">
        <f aca="false">-1+A1493*0.25</f>
        <v>-0.5</v>
      </c>
      <c r="F1493" s="0" t="n">
        <f aca="false">-1+B1493*0.25</f>
        <v>-1</v>
      </c>
      <c r="G1493" s="0" t="n">
        <f aca="false">-1+C1493*0.25</f>
        <v>-0.25</v>
      </c>
      <c r="H1493" s="0" t="n">
        <f aca="false">-1+D1493*0.25</f>
        <v>-0.25</v>
      </c>
      <c r="I1493" s="0" t="n">
        <f aca="false">1</f>
        <v>1</v>
      </c>
      <c r="J1493" s="0" t="n">
        <f aca="false">E1493</f>
        <v>-0.5</v>
      </c>
      <c r="K1493" s="0" t="n">
        <f aca="false">F1493</f>
        <v>-1</v>
      </c>
      <c r="L1493" s="0" t="n">
        <f aca="false">G1493</f>
        <v>-0.25</v>
      </c>
      <c r="M1493" s="0" t="n">
        <f aca="false">H1493</f>
        <v>-0.25</v>
      </c>
      <c r="N1493" s="0" t="n">
        <f aca="false">E1493*F1493</f>
        <v>0.5</v>
      </c>
      <c r="O1493" s="0" t="n">
        <f aca="false">E1493*G1493</f>
        <v>0.125</v>
      </c>
      <c r="P1493" s="0" t="n">
        <f aca="false">E1493*H1493</f>
        <v>0.125</v>
      </c>
      <c r="Q1493" s="0" t="n">
        <f aca="false">F1493*G1493</f>
        <v>0.25</v>
      </c>
      <c r="R1493" s="0" t="n">
        <f aca="false">F1493*H1493</f>
        <v>0.25</v>
      </c>
      <c r="S1493" s="0" t="n">
        <f aca="false">G1493*H1493</f>
        <v>0.0625</v>
      </c>
      <c r="T1493" s="0" t="n">
        <f aca="false">E1493*E1493</f>
        <v>0.25</v>
      </c>
      <c r="U1493" s="0" t="n">
        <f aca="false">F1493*F1493</f>
        <v>1</v>
      </c>
      <c r="V1493" s="0" t="n">
        <f aca="false">G1493*G1493</f>
        <v>0.0625</v>
      </c>
      <c r="W1493" s="0" t="n">
        <f aca="false">H1493*H1493</f>
        <v>0.0625</v>
      </c>
      <c r="X1493" s="0" t="n">
        <f aca="false">SUMPRODUCT(I1493:W1493,_XtX!$B$96:$P$96)</f>
        <v>41.7086668494152</v>
      </c>
      <c r="Y1493" s="0" t="n">
        <f aca="false">SUMPRODUCT(MMULT(I1493:W1493,_XtX!$B$78:$P$92),I1493:W1493)</f>
        <v>0.445705123812135</v>
      </c>
      <c r="Z1493" s="0" t="n">
        <f aca="false">04_回帰ANOVA!$K$19*04_回帰ANOVA!$K$14*SQRT(1+Y1493)</f>
        <v>1.56724990734749</v>
      </c>
      <c r="AA1493" s="0" t="n">
        <f aca="false">X1493-Z1493</f>
        <v>40.1414169420677</v>
      </c>
      <c r="AB1493" s="0" t="n">
        <f aca="false">X1493+Z1493</f>
        <v>43.2759167567627</v>
      </c>
      <c r="AC1493" s="54" t="b">
        <f aca="false">AND(E1493&gt;=01_因子設定!$L$5-0.000000001,E1493&lt;=01_因子設定!$M$5+0.000000001,F1493&gt;=01_因子設定!$L$6-0.000000001,F1493&lt;=01_因子設定!$M$6+0.000000001,G1493&gt;=01_因子設定!$L$7-0.000000001,G1493&lt;=01_因子設定!$M$7+0.000000001,H1493&gt;=01_因子設定!$L$8-0.000000001,H1493&lt;=01_因子設定!$M$8+0.000000001,IF(01_因子設定!$B$20="Box-Behnken",E1493^2+F1493^2+G1493^2+H1493^2&lt;=2+0.000000001,TRUE()))</f>
        <v>1</v>
      </c>
      <c r="AD1493" s="55" t="n">
        <f aca="false">IF(AC1493,IF(01_因子設定!$B$13="最大化",AA1493-01_因子設定!$B$14,IF(01_因子設定!$B$13="最小化",01_因子設定!$B$15-AB1493,MIN(AA1493-01_因子設定!$B$14,01_因子設定!$B$15-AB1493))),-1E+030)</f>
        <v>-6.35858305793232</v>
      </c>
      <c r="AE1493" s="55" t="n">
        <f aca="false">IF(AC1493,IF(01_因子設定!$B$13="最大化",X1493,IF(01_因子設定!$B$13="最小化",-X1493,-ABS(X1493-01_因子設定!$B$16))),-1E+030)</f>
        <v>41.7086668494152</v>
      </c>
      <c r="AF1493" s="55" t="n">
        <f aca="false">AD1493+ROW()*0.000000001</f>
        <v>-6.35858156493232</v>
      </c>
      <c r="AG1493" s="55" t="n">
        <f aca="false">AE1493+ROW()*0.000000001</f>
        <v>41.7086683424152</v>
      </c>
    </row>
    <row r="1494" customFormat="false" ht="15" hidden="false" customHeight="false" outlineLevel="0" collapsed="false">
      <c r="A1494" s="0" t="n">
        <v>2</v>
      </c>
      <c r="B1494" s="0" t="n">
        <v>0</v>
      </c>
      <c r="C1494" s="0" t="n">
        <v>3</v>
      </c>
      <c r="D1494" s="0" t="n">
        <v>4</v>
      </c>
      <c r="E1494" s="0" t="n">
        <f aca="false">-1+A1494*0.25</f>
        <v>-0.5</v>
      </c>
      <c r="F1494" s="0" t="n">
        <f aca="false">-1+B1494*0.25</f>
        <v>-1</v>
      </c>
      <c r="G1494" s="0" t="n">
        <f aca="false">-1+C1494*0.25</f>
        <v>-0.25</v>
      </c>
      <c r="H1494" s="0" t="n">
        <f aca="false">-1+D1494*0.25</f>
        <v>0</v>
      </c>
      <c r="I1494" s="0" t="n">
        <f aca="false">1</f>
        <v>1</v>
      </c>
      <c r="J1494" s="0" t="n">
        <f aca="false">E1494</f>
        <v>-0.5</v>
      </c>
      <c r="K1494" s="0" t="n">
        <f aca="false">F1494</f>
        <v>-1</v>
      </c>
      <c r="L1494" s="0" t="n">
        <f aca="false">G1494</f>
        <v>-0.25</v>
      </c>
      <c r="M1494" s="0" t="n">
        <f aca="false">H1494</f>
        <v>0</v>
      </c>
      <c r="N1494" s="0" t="n">
        <f aca="false">E1494*F1494</f>
        <v>0.5</v>
      </c>
      <c r="O1494" s="0" t="n">
        <f aca="false">E1494*G1494</f>
        <v>0.125</v>
      </c>
      <c r="P1494" s="0" t="n">
        <f aca="false">E1494*H1494</f>
        <v>-0</v>
      </c>
      <c r="Q1494" s="0" t="n">
        <f aca="false">F1494*G1494</f>
        <v>0.25</v>
      </c>
      <c r="R1494" s="0" t="n">
        <f aca="false">F1494*H1494</f>
        <v>-0</v>
      </c>
      <c r="S1494" s="0" t="n">
        <f aca="false">G1494*H1494</f>
        <v>-0</v>
      </c>
      <c r="T1494" s="0" t="n">
        <f aca="false">E1494*E1494</f>
        <v>0.25</v>
      </c>
      <c r="U1494" s="0" t="n">
        <f aca="false">F1494*F1494</f>
        <v>1</v>
      </c>
      <c r="V1494" s="0" t="n">
        <f aca="false">G1494*G1494</f>
        <v>0.0625</v>
      </c>
      <c r="W1494" s="0" t="n">
        <f aca="false">H1494*H1494</f>
        <v>0</v>
      </c>
      <c r="X1494" s="0" t="n">
        <f aca="false">SUMPRODUCT(I1494:W1494,_XtX!$B$96:$P$96)</f>
        <v>41.853490497076</v>
      </c>
      <c r="Y1494" s="0" t="n">
        <f aca="false">SUMPRODUCT(MMULT(I1494:W1494,_XtX!$B$78:$P$92),I1494:W1494)</f>
        <v>0.457596628289474</v>
      </c>
      <c r="Z1494" s="0" t="n">
        <f aca="false">04_回帰ANOVA!$K$19*04_回帰ANOVA!$K$14*SQRT(1+Y1494)</f>
        <v>1.57368233664366</v>
      </c>
      <c r="AA1494" s="0" t="n">
        <f aca="false">X1494-Z1494</f>
        <v>40.2798081604323</v>
      </c>
      <c r="AB1494" s="0" t="n">
        <f aca="false">X1494+Z1494</f>
        <v>43.4271728337196</v>
      </c>
      <c r="AC1494" s="54" t="b">
        <f aca="false">AND(E1494&gt;=01_因子設定!$L$5-0.000000001,E1494&lt;=01_因子設定!$M$5+0.000000001,F1494&gt;=01_因子設定!$L$6-0.000000001,F1494&lt;=01_因子設定!$M$6+0.000000001,G1494&gt;=01_因子設定!$L$7-0.000000001,G1494&lt;=01_因子設定!$M$7+0.000000001,H1494&gt;=01_因子設定!$L$8-0.000000001,H1494&lt;=01_因子設定!$M$8+0.000000001,IF(01_因子設定!$B$20="Box-Behnken",E1494^2+F1494^2+G1494^2+H1494^2&lt;=2+0.000000001,TRUE()))</f>
        <v>1</v>
      </c>
      <c r="AD1494" s="55" t="n">
        <f aca="false">IF(AC1494,IF(01_因子設定!$B$13="最大化",AA1494-01_因子設定!$B$14,IF(01_因子設定!$B$13="最小化",01_因子設定!$B$15-AB1494,MIN(AA1494-01_因子設定!$B$14,01_因子設定!$B$15-AB1494))),-1E+030)</f>
        <v>-6.22019183956768</v>
      </c>
      <c r="AE1494" s="55" t="n">
        <f aca="false">IF(AC1494,IF(01_因子設定!$B$13="最大化",X1494,IF(01_因子設定!$B$13="最小化",-X1494,-ABS(X1494-01_因子設定!$B$16))),-1E+030)</f>
        <v>41.853490497076</v>
      </c>
      <c r="AF1494" s="55" t="n">
        <f aca="false">AD1494+ROW()*0.000000001</f>
        <v>-6.22019034556768</v>
      </c>
      <c r="AG1494" s="55" t="n">
        <f aca="false">AE1494+ROW()*0.000000001</f>
        <v>41.853491991076</v>
      </c>
    </row>
    <row r="1495" customFormat="false" ht="15" hidden="false" customHeight="false" outlineLevel="0" collapsed="false">
      <c r="A1495" s="0" t="n">
        <v>2</v>
      </c>
      <c r="B1495" s="0" t="n">
        <v>0</v>
      </c>
      <c r="C1495" s="0" t="n">
        <v>3</v>
      </c>
      <c r="D1495" s="0" t="n">
        <v>5</v>
      </c>
      <c r="E1495" s="0" t="n">
        <f aca="false">-1+A1495*0.25</f>
        <v>-0.5</v>
      </c>
      <c r="F1495" s="0" t="n">
        <f aca="false">-1+B1495*0.25</f>
        <v>-1</v>
      </c>
      <c r="G1495" s="0" t="n">
        <f aca="false">-1+C1495*0.25</f>
        <v>-0.25</v>
      </c>
      <c r="H1495" s="0" t="n">
        <f aca="false">-1+D1495*0.25</f>
        <v>0.25</v>
      </c>
      <c r="I1495" s="0" t="n">
        <f aca="false">1</f>
        <v>1</v>
      </c>
      <c r="J1495" s="0" t="n">
        <f aca="false">E1495</f>
        <v>-0.5</v>
      </c>
      <c r="K1495" s="0" t="n">
        <f aca="false">F1495</f>
        <v>-1</v>
      </c>
      <c r="L1495" s="0" t="n">
        <f aca="false">G1495</f>
        <v>-0.25</v>
      </c>
      <c r="M1495" s="0" t="n">
        <f aca="false">H1495</f>
        <v>0.25</v>
      </c>
      <c r="N1495" s="0" t="n">
        <f aca="false">E1495*F1495</f>
        <v>0.5</v>
      </c>
      <c r="O1495" s="0" t="n">
        <f aca="false">E1495*G1495</f>
        <v>0.125</v>
      </c>
      <c r="P1495" s="0" t="n">
        <f aca="false">E1495*H1495</f>
        <v>-0.125</v>
      </c>
      <c r="Q1495" s="0" t="n">
        <f aca="false">F1495*G1495</f>
        <v>0.25</v>
      </c>
      <c r="R1495" s="0" t="n">
        <f aca="false">F1495*H1495</f>
        <v>-0.25</v>
      </c>
      <c r="S1495" s="0" t="n">
        <f aca="false">G1495*H1495</f>
        <v>-0.0625</v>
      </c>
      <c r="T1495" s="0" t="n">
        <f aca="false">E1495*E1495</f>
        <v>0.25</v>
      </c>
      <c r="U1495" s="0" t="n">
        <f aca="false">F1495*F1495</f>
        <v>1</v>
      </c>
      <c r="V1495" s="0" t="n">
        <f aca="false">G1495*G1495</f>
        <v>0.0625</v>
      </c>
      <c r="W1495" s="0" t="n">
        <f aca="false">H1495*H1495</f>
        <v>0.0625</v>
      </c>
      <c r="X1495" s="0" t="n">
        <f aca="false">SUMPRODUCT(I1495:W1495,_XtX!$B$96:$P$96)</f>
        <v>41.9505071271929</v>
      </c>
      <c r="Y1495" s="0" t="n">
        <f aca="false">SUMPRODUCT(MMULT(I1495:W1495,_XtX!$B$78:$P$92),I1495:W1495)</f>
        <v>0.445705123812135</v>
      </c>
      <c r="Z1495" s="0" t="n">
        <f aca="false">04_回帰ANOVA!$K$19*04_回帰ANOVA!$K$14*SQRT(1+Y1495)</f>
        <v>1.56724990734749</v>
      </c>
      <c r="AA1495" s="0" t="n">
        <f aca="false">X1495-Z1495</f>
        <v>40.3832572198455</v>
      </c>
      <c r="AB1495" s="0" t="n">
        <f aca="false">X1495+Z1495</f>
        <v>43.5177570345404</v>
      </c>
      <c r="AC1495" s="54" t="b">
        <f aca="false">AND(E1495&gt;=01_因子設定!$L$5-0.000000001,E1495&lt;=01_因子設定!$M$5+0.000000001,F1495&gt;=01_因子設定!$L$6-0.000000001,F1495&lt;=01_因子設定!$M$6+0.000000001,G1495&gt;=01_因子設定!$L$7-0.000000001,G1495&lt;=01_因子設定!$M$7+0.000000001,H1495&gt;=01_因子設定!$L$8-0.000000001,H1495&lt;=01_因子設定!$M$8+0.000000001,IF(01_因子設定!$B$20="Box-Behnken",E1495^2+F1495^2+G1495^2+H1495^2&lt;=2+0.000000001,TRUE()))</f>
        <v>1</v>
      </c>
      <c r="AD1495" s="55" t="n">
        <f aca="false">IF(AC1495,IF(01_因子設定!$B$13="最大化",AA1495-01_因子設定!$B$14,IF(01_因子設定!$B$13="最小化",01_因子設定!$B$15-AB1495,MIN(AA1495-01_因子設定!$B$14,01_因子設定!$B$15-AB1495))),-1E+030)</f>
        <v>-6.11674278015455</v>
      </c>
      <c r="AE1495" s="55" t="n">
        <f aca="false">IF(AC1495,IF(01_因子設定!$B$13="最大化",X1495,IF(01_因子設定!$B$13="最小化",-X1495,-ABS(X1495-01_因子設定!$B$16))),-1E+030)</f>
        <v>41.9505071271929</v>
      </c>
      <c r="AF1495" s="55" t="n">
        <f aca="false">AD1495+ROW()*0.000000001</f>
        <v>-6.11674128515455</v>
      </c>
      <c r="AG1495" s="55" t="n">
        <f aca="false">AE1495+ROW()*0.000000001</f>
        <v>41.9505086221929</v>
      </c>
    </row>
    <row r="1496" customFormat="false" ht="15" hidden="false" customHeight="false" outlineLevel="0" collapsed="false">
      <c r="A1496" s="0" t="n">
        <v>2</v>
      </c>
      <c r="B1496" s="0" t="n">
        <v>0</v>
      </c>
      <c r="C1496" s="0" t="n">
        <v>3</v>
      </c>
      <c r="D1496" s="0" t="n">
        <v>6</v>
      </c>
      <c r="E1496" s="0" t="n">
        <f aca="false">-1+A1496*0.25</f>
        <v>-0.5</v>
      </c>
      <c r="F1496" s="0" t="n">
        <f aca="false">-1+B1496*0.25</f>
        <v>-1</v>
      </c>
      <c r="G1496" s="0" t="n">
        <f aca="false">-1+C1496*0.25</f>
        <v>-0.25</v>
      </c>
      <c r="H1496" s="0" t="n">
        <f aca="false">-1+D1496*0.25</f>
        <v>0.5</v>
      </c>
      <c r="I1496" s="0" t="n">
        <f aca="false">1</f>
        <v>1</v>
      </c>
      <c r="J1496" s="0" t="n">
        <f aca="false">E1496</f>
        <v>-0.5</v>
      </c>
      <c r="K1496" s="0" t="n">
        <f aca="false">F1496</f>
        <v>-1</v>
      </c>
      <c r="L1496" s="0" t="n">
        <f aca="false">G1496</f>
        <v>-0.25</v>
      </c>
      <c r="M1496" s="0" t="n">
        <f aca="false">H1496</f>
        <v>0.5</v>
      </c>
      <c r="N1496" s="0" t="n">
        <f aca="false">E1496*F1496</f>
        <v>0.5</v>
      </c>
      <c r="O1496" s="0" t="n">
        <f aca="false">E1496*G1496</f>
        <v>0.125</v>
      </c>
      <c r="P1496" s="0" t="n">
        <f aca="false">E1496*H1496</f>
        <v>-0.25</v>
      </c>
      <c r="Q1496" s="0" t="n">
        <f aca="false">F1496*G1496</f>
        <v>0.25</v>
      </c>
      <c r="R1496" s="0" t="n">
        <f aca="false">F1496*H1496</f>
        <v>-0.5</v>
      </c>
      <c r="S1496" s="0" t="n">
        <f aca="false">G1496*H1496</f>
        <v>-0.125</v>
      </c>
      <c r="T1496" s="0" t="n">
        <f aca="false">E1496*E1496</f>
        <v>0.25</v>
      </c>
      <c r="U1496" s="0" t="n">
        <f aca="false">F1496*F1496</f>
        <v>1</v>
      </c>
      <c r="V1496" s="0" t="n">
        <f aca="false">G1496*G1496</f>
        <v>0.0625</v>
      </c>
      <c r="W1496" s="0" t="n">
        <f aca="false">H1496*H1496</f>
        <v>0.25</v>
      </c>
      <c r="X1496" s="0" t="n">
        <f aca="false">SUMPRODUCT(I1496:W1496,_XtX!$B$96:$P$96)</f>
        <v>41.999716739766</v>
      </c>
      <c r="Y1496" s="0" t="n">
        <f aca="false">SUMPRODUCT(MMULT(I1496:W1496,_XtX!$B$78:$P$92),I1496:W1496)</f>
        <v>0.428122715643275</v>
      </c>
      <c r="Z1496" s="0" t="n">
        <f aca="false">04_回帰ANOVA!$K$19*04_回帰ANOVA!$K$14*SQRT(1+Y1496)</f>
        <v>1.55769044623229</v>
      </c>
      <c r="AA1496" s="0" t="n">
        <f aca="false">X1496-Z1496</f>
        <v>40.4420262935338</v>
      </c>
      <c r="AB1496" s="0" t="n">
        <f aca="false">X1496+Z1496</f>
        <v>43.5574071859983</v>
      </c>
      <c r="AC1496" s="54" t="b">
        <f aca="false">AND(E1496&gt;=01_因子設定!$L$5-0.000000001,E1496&lt;=01_因子設定!$M$5+0.000000001,F1496&gt;=01_因子設定!$L$6-0.000000001,F1496&lt;=01_因子設定!$M$6+0.000000001,G1496&gt;=01_因子設定!$L$7-0.000000001,G1496&lt;=01_因子設定!$M$7+0.000000001,H1496&gt;=01_因子設定!$L$8-0.000000001,H1496&lt;=01_因子設定!$M$8+0.000000001,IF(01_因子設定!$B$20="Box-Behnken",E1496^2+F1496^2+G1496^2+H1496^2&lt;=2+0.000000001,TRUE()))</f>
        <v>1</v>
      </c>
      <c r="AD1496" s="55" t="n">
        <f aca="false">IF(AC1496,IF(01_因子設定!$B$13="最大化",AA1496-01_因子設定!$B$14,IF(01_因子設定!$B$13="最小化",01_因子設定!$B$15-AB1496,MIN(AA1496-01_因子設定!$B$14,01_因子設定!$B$15-AB1496))),-1E+030)</f>
        <v>-6.05797370646625</v>
      </c>
      <c r="AE1496" s="55" t="n">
        <f aca="false">IF(AC1496,IF(01_因子設定!$B$13="最大化",X1496,IF(01_因子設定!$B$13="最小化",-X1496,-ABS(X1496-01_因子設定!$B$16))),-1E+030)</f>
        <v>41.999716739766</v>
      </c>
      <c r="AF1496" s="55" t="n">
        <f aca="false">AD1496+ROW()*0.000000001</f>
        <v>-6.05797221046625</v>
      </c>
      <c r="AG1496" s="55" t="n">
        <f aca="false">AE1496+ROW()*0.000000001</f>
        <v>41.999718235766</v>
      </c>
    </row>
    <row r="1497" customFormat="false" ht="15" hidden="false" customHeight="false" outlineLevel="0" collapsed="false">
      <c r="A1497" s="0" t="n">
        <v>2</v>
      </c>
      <c r="B1497" s="0" t="n">
        <v>0</v>
      </c>
      <c r="C1497" s="0" t="n">
        <v>3</v>
      </c>
      <c r="D1497" s="0" t="n">
        <v>7</v>
      </c>
      <c r="E1497" s="0" t="n">
        <f aca="false">-1+A1497*0.25</f>
        <v>-0.5</v>
      </c>
      <c r="F1497" s="0" t="n">
        <f aca="false">-1+B1497*0.25</f>
        <v>-1</v>
      </c>
      <c r="G1497" s="0" t="n">
        <f aca="false">-1+C1497*0.25</f>
        <v>-0.25</v>
      </c>
      <c r="H1497" s="0" t="n">
        <f aca="false">-1+D1497*0.25</f>
        <v>0.75</v>
      </c>
      <c r="I1497" s="0" t="n">
        <f aca="false">1</f>
        <v>1</v>
      </c>
      <c r="J1497" s="0" t="n">
        <f aca="false">E1497</f>
        <v>-0.5</v>
      </c>
      <c r="K1497" s="0" t="n">
        <f aca="false">F1497</f>
        <v>-1</v>
      </c>
      <c r="L1497" s="0" t="n">
        <f aca="false">G1497</f>
        <v>-0.25</v>
      </c>
      <c r="M1497" s="0" t="n">
        <f aca="false">H1497</f>
        <v>0.75</v>
      </c>
      <c r="N1497" s="0" t="n">
        <f aca="false">E1497*F1497</f>
        <v>0.5</v>
      </c>
      <c r="O1497" s="0" t="n">
        <f aca="false">E1497*G1497</f>
        <v>0.125</v>
      </c>
      <c r="P1497" s="0" t="n">
        <f aca="false">E1497*H1497</f>
        <v>-0.375</v>
      </c>
      <c r="Q1497" s="0" t="n">
        <f aca="false">F1497*G1497</f>
        <v>0.25</v>
      </c>
      <c r="R1497" s="0" t="n">
        <f aca="false">F1497*H1497</f>
        <v>-0.75</v>
      </c>
      <c r="S1497" s="0" t="n">
        <f aca="false">G1497*H1497</f>
        <v>-0.1875</v>
      </c>
      <c r="T1497" s="0" t="n">
        <f aca="false">E1497*E1497</f>
        <v>0.25</v>
      </c>
      <c r="U1497" s="0" t="n">
        <f aca="false">F1497*F1497</f>
        <v>1</v>
      </c>
      <c r="V1497" s="0" t="n">
        <f aca="false">G1497*G1497</f>
        <v>0.0625</v>
      </c>
      <c r="W1497" s="0" t="n">
        <f aca="false">H1497*H1497</f>
        <v>0.5625</v>
      </c>
      <c r="X1497" s="0" t="n">
        <f aca="false">SUMPRODUCT(I1497:W1497,_XtX!$B$96:$P$96)</f>
        <v>42.0011193347953</v>
      </c>
      <c r="Y1497" s="0" t="n">
        <f aca="false">SUMPRODUCT(MMULT(I1497:W1497,_XtX!$B$78:$P$92),I1497:W1497)</f>
        <v>0.459125719572369</v>
      </c>
      <c r="Z1497" s="0" t="n">
        <f aca="false">04_回帰ANOVA!$K$19*04_回帰ANOVA!$K$14*SQRT(1+Y1497)</f>
        <v>1.57450755575573</v>
      </c>
      <c r="AA1497" s="0" t="n">
        <f aca="false">X1497-Z1497</f>
        <v>40.4266117790396</v>
      </c>
      <c r="AB1497" s="0" t="n">
        <f aca="false">X1497+Z1497</f>
        <v>43.575626890551</v>
      </c>
      <c r="AC1497" s="54" t="b">
        <f aca="false">AND(E1497&gt;=01_因子設定!$L$5-0.000000001,E1497&lt;=01_因子設定!$M$5+0.000000001,F1497&gt;=01_因子設定!$L$6-0.000000001,F1497&lt;=01_因子設定!$M$6+0.000000001,G1497&gt;=01_因子設定!$L$7-0.000000001,G1497&lt;=01_因子設定!$M$7+0.000000001,H1497&gt;=01_因子設定!$L$8-0.000000001,H1497&lt;=01_因子設定!$M$8+0.000000001,IF(01_因子設定!$B$20="Box-Behnken",E1497^2+F1497^2+G1497^2+H1497^2&lt;=2+0.000000001,TRUE()))</f>
        <v>1</v>
      </c>
      <c r="AD1497" s="55" t="n">
        <f aca="false">IF(AC1497,IF(01_因子設定!$B$13="最大化",AA1497-01_因子設定!$B$14,IF(01_因子設定!$B$13="最小化",01_因子設定!$B$15-AB1497,MIN(AA1497-01_因子設定!$B$14,01_因子設定!$B$15-AB1497))),-1E+030)</f>
        <v>-6.07338822096043</v>
      </c>
      <c r="AE1497" s="55" t="n">
        <f aca="false">IF(AC1497,IF(01_因子設定!$B$13="最大化",X1497,IF(01_因子設定!$B$13="最小化",-X1497,-ABS(X1497-01_因子設定!$B$16))),-1E+030)</f>
        <v>42.0011193347953</v>
      </c>
      <c r="AF1497" s="55" t="n">
        <f aca="false">AD1497+ROW()*0.000000001</f>
        <v>-6.07338672396043</v>
      </c>
      <c r="AG1497" s="55" t="n">
        <f aca="false">AE1497+ROW()*0.000000001</f>
        <v>42.0011208317953</v>
      </c>
    </row>
    <row r="1498" customFormat="false" ht="15" hidden="false" customHeight="false" outlineLevel="0" collapsed="false">
      <c r="A1498" s="0" t="n">
        <v>2</v>
      </c>
      <c r="B1498" s="0" t="n">
        <v>0</v>
      </c>
      <c r="C1498" s="0" t="n">
        <v>3</v>
      </c>
      <c r="D1498" s="0" t="n">
        <v>8</v>
      </c>
      <c r="E1498" s="0" t="n">
        <f aca="false">-1+A1498*0.25</f>
        <v>-0.5</v>
      </c>
      <c r="F1498" s="0" t="n">
        <f aca="false">-1+B1498*0.25</f>
        <v>-1</v>
      </c>
      <c r="G1498" s="0" t="n">
        <f aca="false">-1+C1498*0.25</f>
        <v>-0.25</v>
      </c>
      <c r="H1498" s="0" t="n">
        <f aca="false">-1+D1498*0.25</f>
        <v>1</v>
      </c>
      <c r="I1498" s="0" t="n">
        <f aca="false">1</f>
        <v>1</v>
      </c>
      <c r="J1498" s="0" t="n">
        <f aca="false">E1498</f>
        <v>-0.5</v>
      </c>
      <c r="K1498" s="0" t="n">
        <f aca="false">F1498</f>
        <v>-1</v>
      </c>
      <c r="L1498" s="0" t="n">
        <f aca="false">G1498</f>
        <v>-0.25</v>
      </c>
      <c r="M1498" s="0" t="n">
        <f aca="false">H1498</f>
        <v>1</v>
      </c>
      <c r="N1498" s="0" t="n">
        <f aca="false">E1498*F1498</f>
        <v>0.5</v>
      </c>
      <c r="O1498" s="0" t="n">
        <f aca="false">E1498*G1498</f>
        <v>0.125</v>
      </c>
      <c r="P1498" s="0" t="n">
        <f aca="false">E1498*H1498</f>
        <v>-0.5</v>
      </c>
      <c r="Q1498" s="0" t="n">
        <f aca="false">F1498*G1498</f>
        <v>0.25</v>
      </c>
      <c r="R1498" s="0" t="n">
        <f aca="false">F1498*H1498</f>
        <v>-1</v>
      </c>
      <c r="S1498" s="0" t="n">
        <f aca="false">G1498*H1498</f>
        <v>-0.25</v>
      </c>
      <c r="T1498" s="0" t="n">
        <f aca="false">E1498*E1498</f>
        <v>0.25</v>
      </c>
      <c r="U1498" s="0" t="n">
        <f aca="false">F1498*F1498</f>
        <v>1</v>
      </c>
      <c r="V1498" s="0" t="n">
        <f aca="false">G1498*G1498</f>
        <v>0.0625</v>
      </c>
      <c r="W1498" s="0" t="n">
        <f aca="false">H1498*H1498</f>
        <v>1</v>
      </c>
      <c r="X1498" s="0" t="n">
        <f aca="false">SUMPRODUCT(I1498:W1498,_XtX!$B$96:$P$96)</f>
        <v>41.9547149122807</v>
      </c>
      <c r="Y1498" s="0" t="n">
        <f aca="false">SUMPRODUCT(MMULT(I1498:W1498,_XtX!$B$78:$P$92),I1498:W1498)</f>
        <v>0.629174661915205</v>
      </c>
      <c r="Z1498" s="0" t="n">
        <f aca="false">04_回帰ANOVA!$K$19*04_回帰ANOVA!$K$14*SQRT(1+Y1498)</f>
        <v>1.66372758058297</v>
      </c>
      <c r="AA1498" s="0" t="n">
        <f aca="false">X1498-Z1498</f>
        <v>40.2909873316977</v>
      </c>
      <c r="AB1498" s="0" t="n">
        <f aca="false">X1498+Z1498</f>
        <v>43.6184424928637</v>
      </c>
      <c r="AC1498" s="54" t="b">
        <f aca="false">AND(E1498&gt;=01_因子設定!$L$5-0.000000001,E1498&lt;=01_因子設定!$M$5+0.000000001,F1498&gt;=01_因子設定!$L$6-0.000000001,F1498&lt;=01_因子設定!$M$6+0.000000001,G1498&gt;=01_因子設定!$L$7-0.000000001,G1498&lt;=01_因子設定!$M$7+0.000000001,H1498&gt;=01_因子設定!$L$8-0.000000001,H1498&lt;=01_因子設定!$M$8+0.000000001,IF(01_因子設定!$B$20="Box-Behnken",E1498^2+F1498^2+G1498^2+H1498^2&lt;=2+0.000000001,TRUE()))</f>
        <v>1</v>
      </c>
      <c r="AD1498" s="55" t="n">
        <f aca="false">IF(AC1498,IF(01_因子設定!$B$13="最大化",AA1498-01_因子設定!$B$14,IF(01_因子設定!$B$13="最小化",01_因子設定!$B$15-AB1498,MIN(AA1498-01_因子設定!$B$14,01_因子設定!$B$15-AB1498))),-1E+030)</f>
        <v>-6.20901266830228</v>
      </c>
      <c r="AE1498" s="55" t="n">
        <f aca="false">IF(AC1498,IF(01_因子設定!$B$13="最大化",X1498,IF(01_因子設定!$B$13="最小化",-X1498,-ABS(X1498-01_因子設定!$B$16))),-1E+030)</f>
        <v>41.9547149122807</v>
      </c>
      <c r="AF1498" s="55" t="n">
        <f aca="false">AD1498+ROW()*0.000000001</f>
        <v>-6.20901117030228</v>
      </c>
      <c r="AG1498" s="55" t="n">
        <f aca="false">AE1498+ROW()*0.000000001</f>
        <v>41.9547164102807</v>
      </c>
    </row>
    <row r="1499" customFormat="false" ht="15" hidden="false" customHeight="false" outlineLevel="0" collapsed="false">
      <c r="A1499" s="0" t="n">
        <v>2</v>
      </c>
      <c r="B1499" s="0" t="n">
        <v>0</v>
      </c>
      <c r="C1499" s="0" t="n">
        <v>4</v>
      </c>
      <c r="D1499" s="0" t="n">
        <v>0</v>
      </c>
      <c r="E1499" s="0" t="n">
        <f aca="false">-1+A1499*0.25</f>
        <v>-0.5</v>
      </c>
      <c r="F1499" s="0" t="n">
        <f aca="false">-1+B1499*0.25</f>
        <v>-1</v>
      </c>
      <c r="G1499" s="0" t="n">
        <f aca="false">-1+C1499*0.25</f>
        <v>0</v>
      </c>
      <c r="H1499" s="0" t="n">
        <f aca="false">-1+D1499*0.25</f>
        <v>-1</v>
      </c>
      <c r="I1499" s="0" t="n">
        <f aca="false">1</f>
        <v>1</v>
      </c>
      <c r="J1499" s="0" t="n">
        <f aca="false">E1499</f>
        <v>-0.5</v>
      </c>
      <c r="K1499" s="0" t="n">
        <f aca="false">F1499</f>
        <v>-1</v>
      </c>
      <c r="L1499" s="0" t="n">
        <f aca="false">G1499</f>
        <v>0</v>
      </c>
      <c r="M1499" s="0" t="n">
        <f aca="false">H1499</f>
        <v>-1</v>
      </c>
      <c r="N1499" s="0" t="n">
        <f aca="false">E1499*F1499</f>
        <v>0.5</v>
      </c>
      <c r="O1499" s="0" t="n">
        <f aca="false">E1499*G1499</f>
        <v>-0</v>
      </c>
      <c r="P1499" s="0" t="n">
        <f aca="false">E1499*H1499</f>
        <v>0.5</v>
      </c>
      <c r="Q1499" s="0" t="n">
        <f aca="false">F1499*G1499</f>
        <v>-0</v>
      </c>
      <c r="R1499" s="0" t="n">
        <f aca="false">F1499*H1499</f>
        <v>1</v>
      </c>
      <c r="S1499" s="0" t="n">
        <f aca="false">G1499*H1499</f>
        <v>-0</v>
      </c>
      <c r="T1499" s="0" t="n">
        <f aca="false">E1499*E1499</f>
        <v>0.25</v>
      </c>
      <c r="U1499" s="0" t="n">
        <f aca="false">F1499*F1499</f>
        <v>1</v>
      </c>
      <c r="V1499" s="0" t="n">
        <f aca="false">G1499*G1499</f>
        <v>0</v>
      </c>
      <c r="W1499" s="0" t="n">
        <f aca="false">H1499*H1499</f>
        <v>1</v>
      </c>
      <c r="X1499" s="0" t="n">
        <f aca="false">SUMPRODUCT(I1499:W1499,_XtX!$B$96:$P$96)</f>
        <v>41.2070906432748</v>
      </c>
      <c r="Y1499" s="0" t="n">
        <f aca="false">SUMPRODUCT(MMULT(I1499:W1499,_XtX!$B$78:$P$92),I1499:W1499)</f>
        <v>0.650767543859649</v>
      </c>
      <c r="Z1499" s="0" t="n">
        <f aca="false">04_回帰ANOVA!$K$19*04_回帰ANOVA!$K$14*SQRT(1+Y1499)</f>
        <v>1.67471670935165</v>
      </c>
      <c r="AA1499" s="0" t="n">
        <f aca="false">X1499-Z1499</f>
        <v>39.5323739339232</v>
      </c>
      <c r="AB1499" s="0" t="n">
        <f aca="false">X1499+Z1499</f>
        <v>42.8818073526265</v>
      </c>
      <c r="AC1499" s="54" t="b">
        <f aca="false">AND(E1499&gt;=01_因子設定!$L$5-0.000000001,E1499&lt;=01_因子設定!$M$5+0.000000001,F1499&gt;=01_因子設定!$L$6-0.000000001,F1499&lt;=01_因子設定!$M$6+0.000000001,G1499&gt;=01_因子設定!$L$7-0.000000001,G1499&lt;=01_因子設定!$M$7+0.000000001,H1499&gt;=01_因子設定!$L$8-0.000000001,H1499&lt;=01_因子設定!$M$8+0.000000001,IF(01_因子設定!$B$20="Box-Behnken",E1499^2+F1499^2+G1499^2+H1499^2&lt;=2+0.000000001,TRUE()))</f>
        <v>1</v>
      </c>
      <c r="AD1499" s="55" t="n">
        <f aca="false">IF(AC1499,IF(01_因子設定!$B$13="最大化",AA1499-01_因子設定!$B$14,IF(01_因子設定!$B$13="最小化",01_因子設定!$B$15-AB1499,MIN(AA1499-01_因子設定!$B$14,01_因子設定!$B$15-AB1499))),-1E+030)</f>
        <v>-6.9676260660768</v>
      </c>
      <c r="AE1499" s="55" t="n">
        <f aca="false">IF(AC1499,IF(01_因子設定!$B$13="最大化",X1499,IF(01_因子設定!$B$13="最小化",-X1499,-ABS(X1499-01_因子設定!$B$16))),-1E+030)</f>
        <v>41.2070906432748</v>
      </c>
      <c r="AF1499" s="55" t="n">
        <f aca="false">AD1499+ROW()*0.000000001</f>
        <v>-6.9676245670768</v>
      </c>
      <c r="AG1499" s="55" t="n">
        <f aca="false">AE1499+ROW()*0.000000001</f>
        <v>41.2070921422748</v>
      </c>
    </row>
    <row r="1500" customFormat="false" ht="15" hidden="false" customHeight="false" outlineLevel="0" collapsed="false">
      <c r="A1500" s="0" t="n">
        <v>2</v>
      </c>
      <c r="B1500" s="0" t="n">
        <v>0</v>
      </c>
      <c r="C1500" s="0" t="n">
        <v>4</v>
      </c>
      <c r="D1500" s="0" t="n">
        <v>1</v>
      </c>
      <c r="E1500" s="0" t="n">
        <f aca="false">-1+A1500*0.25</f>
        <v>-0.5</v>
      </c>
      <c r="F1500" s="0" t="n">
        <f aca="false">-1+B1500*0.25</f>
        <v>-1</v>
      </c>
      <c r="G1500" s="0" t="n">
        <f aca="false">-1+C1500*0.25</f>
        <v>0</v>
      </c>
      <c r="H1500" s="0" t="n">
        <f aca="false">-1+D1500*0.25</f>
        <v>-0.75</v>
      </c>
      <c r="I1500" s="0" t="n">
        <f aca="false">1</f>
        <v>1</v>
      </c>
      <c r="J1500" s="0" t="n">
        <f aca="false">E1500</f>
        <v>-0.5</v>
      </c>
      <c r="K1500" s="0" t="n">
        <f aca="false">F1500</f>
        <v>-1</v>
      </c>
      <c r="L1500" s="0" t="n">
        <f aca="false">G1500</f>
        <v>0</v>
      </c>
      <c r="M1500" s="0" t="n">
        <f aca="false">H1500</f>
        <v>-0.75</v>
      </c>
      <c r="N1500" s="0" t="n">
        <f aca="false">E1500*F1500</f>
        <v>0.5</v>
      </c>
      <c r="O1500" s="0" t="n">
        <f aca="false">E1500*G1500</f>
        <v>-0</v>
      </c>
      <c r="P1500" s="0" t="n">
        <f aca="false">E1500*H1500</f>
        <v>0.375</v>
      </c>
      <c r="Q1500" s="0" t="n">
        <f aca="false">F1500*G1500</f>
        <v>-0</v>
      </c>
      <c r="R1500" s="0" t="n">
        <f aca="false">F1500*H1500</f>
        <v>0.75</v>
      </c>
      <c r="S1500" s="0" t="n">
        <f aca="false">G1500*H1500</f>
        <v>-0</v>
      </c>
      <c r="T1500" s="0" t="n">
        <f aca="false">E1500*E1500</f>
        <v>0.25</v>
      </c>
      <c r="U1500" s="0" t="n">
        <f aca="false">F1500*F1500</f>
        <v>1</v>
      </c>
      <c r="V1500" s="0" t="n">
        <f aca="false">G1500*G1500</f>
        <v>0</v>
      </c>
      <c r="W1500" s="0" t="n">
        <f aca="false">H1500*H1500</f>
        <v>0.5625</v>
      </c>
      <c r="X1500" s="0" t="n">
        <f aca="false">SUMPRODUCT(I1500:W1500,_XtX!$B$96:$P$96)</f>
        <v>41.5133040935672</v>
      </c>
      <c r="Y1500" s="0" t="n">
        <f aca="false">SUMPRODUCT(MMULT(I1500:W1500,_XtX!$B$78:$P$92),I1500:W1500)</f>
        <v>0.476191292032164</v>
      </c>
      <c r="Z1500" s="0" t="n">
        <f aca="false">04_回帰ANOVA!$K$19*04_回帰ANOVA!$K$14*SQRT(1+Y1500)</f>
        <v>1.58368831471718</v>
      </c>
      <c r="AA1500" s="0" t="n">
        <f aca="false">X1500-Z1500</f>
        <v>39.9296157788501</v>
      </c>
      <c r="AB1500" s="0" t="n">
        <f aca="false">X1500+Z1500</f>
        <v>43.0969924082844</v>
      </c>
      <c r="AC1500" s="54" t="b">
        <f aca="false">AND(E1500&gt;=01_因子設定!$L$5-0.000000001,E1500&lt;=01_因子設定!$M$5+0.000000001,F1500&gt;=01_因子設定!$L$6-0.000000001,F1500&lt;=01_因子設定!$M$6+0.000000001,G1500&gt;=01_因子設定!$L$7-0.000000001,G1500&lt;=01_因子設定!$M$7+0.000000001,H1500&gt;=01_因子設定!$L$8-0.000000001,H1500&lt;=01_因子設定!$M$8+0.000000001,IF(01_因子設定!$B$20="Box-Behnken",E1500^2+F1500^2+G1500^2+H1500^2&lt;=2+0.000000001,TRUE()))</f>
        <v>1</v>
      </c>
      <c r="AD1500" s="55" t="n">
        <f aca="false">IF(AC1500,IF(01_因子設定!$B$13="最大化",AA1500-01_因子設定!$B$14,IF(01_因子設定!$B$13="最小化",01_因子設定!$B$15-AB1500,MIN(AA1500-01_因子設定!$B$14,01_因子設定!$B$15-AB1500))),-1E+030)</f>
        <v>-6.57038422114995</v>
      </c>
      <c r="AE1500" s="55" t="n">
        <f aca="false">IF(AC1500,IF(01_因子設定!$B$13="最大化",X1500,IF(01_因子設定!$B$13="最小化",-X1500,-ABS(X1500-01_因子設定!$B$16))),-1E+030)</f>
        <v>41.5133040935672</v>
      </c>
      <c r="AF1500" s="55" t="n">
        <f aca="false">AD1500+ROW()*0.000000001</f>
        <v>-6.57038272114995</v>
      </c>
      <c r="AG1500" s="55" t="n">
        <f aca="false">AE1500+ROW()*0.000000001</f>
        <v>41.5133055935672</v>
      </c>
    </row>
    <row r="1501" customFormat="false" ht="15" hidden="false" customHeight="false" outlineLevel="0" collapsed="false">
      <c r="A1501" s="0" t="n">
        <v>2</v>
      </c>
      <c r="B1501" s="0" t="n">
        <v>0</v>
      </c>
      <c r="C1501" s="0" t="n">
        <v>4</v>
      </c>
      <c r="D1501" s="0" t="n">
        <v>2</v>
      </c>
      <c r="E1501" s="0" t="n">
        <f aca="false">-1+A1501*0.25</f>
        <v>-0.5</v>
      </c>
      <c r="F1501" s="0" t="n">
        <f aca="false">-1+B1501*0.25</f>
        <v>-1</v>
      </c>
      <c r="G1501" s="0" t="n">
        <f aca="false">-1+C1501*0.25</f>
        <v>0</v>
      </c>
      <c r="H1501" s="0" t="n">
        <f aca="false">-1+D1501*0.25</f>
        <v>-0.5</v>
      </c>
      <c r="I1501" s="0" t="n">
        <f aca="false">1</f>
        <v>1</v>
      </c>
      <c r="J1501" s="0" t="n">
        <f aca="false">E1501</f>
        <v>-0.5</v>
      </c>
      <c r="K1501" s="0" t="n">
        <f aca="false">F1501</f>
        <v>-1</v>
      </c>
      <c r="L1501" s="0" t="n">
        <f aca="false">G1501</f>
        <v>0</v>
      </c>
      <c r="M1501" s="0" t="n">
        <f aca="false">H1501</f>
        <v>-0.5</v>
      </c>
      <c r="N1501" s="0" t="n">
        <f aca="false">E1501*F1501</f>
        <v>0.5</v>
      </c>
      <c r="O1501" s="0" t="n">
        <f aca="false">E1501*G1501</f>
        <v>-0</v>
      </c>
      <c r="P1501" s="0" t="n">
        <f aca="false">E1501*H1501</f>
        <v>0.25</v>
      </c>
      <c r="Q1501" s="0" t="n">
        <f aca="false">F1501*G1501</f>
        <v>-0</v>
      </c>
      <c r="R1501" s="0" t="n">
        <f aca="false">F1501*H1501</f>
        <v>0.5</v>
      </c>
      <c r="S1501" s="0" t="n">
        <f aca="false">G1501*H1501</f>
        <v>-0</v>
      </c>
      <c r="T1501" s="0" t="n">
        <f aca="false">E1501*E1501</f>
        <v>0.25</v>
      </c>
      <c r="U1501" s="0" t="n">
        <f aca="false">F1501*F1501</f>
        <v>1</v>
      </c>
      <c r="V1501" s="0" t="n">
        <f aca="false">G1501*G1501</f>
        <v>0</v>
      </c>
      <c r="W1501" s="0" t="n">
        <f aca="false">H1501*H1501</f>
        <v>0.25</v>
      </c>
      <c r="X1501" s="0" t="n">
        <f aca="false">SUMPRODUCT(I1501:W1501,_XtX!$B$96:$P$96)</f>
        <v>41.7717105263158</v>
      </c>
      <c r="Y1501" s="0" t="n">
        <f aca="false">SUMPRODUCT(MMULT(I1501:W1501,_XtX!$B$78:$P$92),I1501:W1501)</f>
        <v>0.441954495614035</v>
      </c>
      <c r="Z1501" s="0" t="n">
        <f aca="false">04_回帰ANOVA!$K$19*04_回帰ANOVA!$K$14*SQRT(1+Y1501)</f>
        <v>1.56521560968066</v>
      </c>
      <c r="AA1501" s="0" t="n">
        <f aca="false">X1501-Z1501</f>
        <v>40.2064949166351</v>
      </c>
      <c r="AB1501" s="0" t="n">
        <f aca="false">X1501+Z1501</f>
        <v>43.3369261359964</v>
      </c>
      <c r="AC1501" s="54" t="b">
        <f aca="false">AND(E1501&gt;=01_因子設定!$L$5-0.000000001,E1501&lt;=01_因子設定!$M$5+0.000000001,F1501&gt;=01_因子設定!$L$6-0.000000001,F1501&lt;=01_因子設定!$M$6+0.000000001,G1501&gt;=01_因子設定!$L$7-0.000000001,G1501&lt;=01_因子設定!$M$7+0.000000001,H1501&gt;=01_因子設定!$L$8-0.000000001,H1501&lt;=01_因子設定!$M$8+0.000000001,IF(01_因子設定!$B$20="Box-Behnken",E1501^2+F1501^2+G1501^2+H1501^2&lt;=2+0.000000001,TRUE()))</f>
        <v>1</v>
      </c>
      <c r="AD1501" s="55" t="n">
        <f aca="false">IF(AC1501,IF(01_因子設定!$B$13="最大化",AA1501-01_因子設定!$B$14,IF(01_因子設定!$B$13="最小化",01_因子設定!$B$15-AB1501,MIN(AA1501-01_因子設定!$B$14,01_因子設定!$B$15-AB1501))),-1E+030)</f>
        <v>-6.29350508336491</v>
      </c>
      <c r="AE1501" s="55" t="n">
        <f aca="false">IF(AC1501,IF(01_因子設定!$B$13="最大化",X1501,IF(01_因子設定!$B$13="最小化",-X1501,-ABS(X1501-01_因子設定!$B$16))),-1E+030)</f>
        <v>41.7717105263158</v>
      </c>
      <c r="AF1501" s="55" t="n">
        <f aca="false">AD1501+ROW()*0.000000001</f>
        <v>-6.29350358236491</v>
      </c>
      <c r="AG1501" s="55" t="n">
        <f aca="false">AE1501+ROW()*0.000000001</f>
        <v>41.7717120273158</v>
      </c>
    </row>
    <row r="1502" customFormat="false" ht="15" hidden="false" customHeight="false" outlineLevel="0" collapsed="false">
      <c r="A1502" s="0" t="n">
        <v>2</v>
      </c>
      <c r="B1502" s="0" t="n">
        <v>0</v>
      </c>
      <c r="C1502" s="0" t="n">
        <v>4</v>
      </c>
      <c r="D1502" s="0" t="n">
        <v>3</v>
      </c>
      <c r="E1502" s="0" t="n">
        <f aca="false">-1+A1502*0.25</f>
        <v>-0.5</v>
      </c>
      <c r="F1502" s="0" t="n">
        <f aca="false">-1+B1502*0.25</f>
        <v>-1</v>
      </c>
      <c r="G1502" s="0" t="n">
        <f aca="false">-1+C1502*0.25</f>
        <v>0</v>
      </c>
      <c r="H1502" s="0" t="n">
        <f aca="false">-1+D1502*0.25</f>
        <v>-0.25</v>
      </c>
      <c r="I1502" s="0" t="n">
        <f aca="false">1</f>
        <v>1</v>
      </c>
      <c r="J1502" s="0" t="n">
        <f aca="false">E1502</f>
        <v>-0.5</v>
      </c>
      <c r="K1502" s="0" t="n">
        <f aca="false">F1502</f>
        <v>-1</v>
      </c>
      <c r="L1502" s="0" t="n">
        <f aca="false">G1502</f>
        <v>0</v>
      </c>
      <c r="M1502" s="0" t="n">
        <f aca="false">H1502</f>
        <v>-0.25</v>
      </c>
      <c r="N1502" s="0" t="n">
        <f aca="false">E1502*F1502</f>
        <v>0.5</v>
      </c>
      <c r="O1502" s="0" t="n">
        <f aca="false">E1502*G1502</f>
        <v>-0</v>
      </c>
      <c r="P1502" s="0" t="n">
        <f aca="false">E1502*H1502</f>
        <v>0.125</v>
      </c>
      <c r="Q1502" s="0" t="n">
        <f aca="false">F1502*G1502</f>
        <v>-0</v>
      </c>
      <c r="R1502" s="0" t="n">
        <f aca="false">F1502*H1502</f>
        <v>0.25</v>
      </c>
      <c r="S1502" s="0" t="n">
        <f aca="false">G1502*H1502</f>
        <v>-0</v>
      </c>
      <c r="T1502" s="0" t="n">
        <f aca="false">E1502*E1502</f>
        <v>0.25</v>
      </c>
      <c r="U1502" s="0" t="n">
        <f aca="false">F1502*F1502</f>
        <v>1</v>
      </c>
      <c r="V1502" s="0" t="n">
        <f aca="false">G1502*G1502</f>
        <v>0</v>
      </c>
      <c r="W1502" s="0" t="n">
        <f aca="false">H1502*H1502</f>
        <v>0.0625</v>
      </c>
      <c r="X1502" s="0" t="n">
        <f aca="false">SUMPRODUCT(I1502:W1502,_XtX!$B$96:$P$96)</f>
        <v>41.9823099415204</v>
      </c>
      <c r="Y1502" s="0" t="n">
        <f aca="false">SUMPRODUCT(MMULT(I1502:W1502,_XtX!$B$78:$P$92),I1502:W1502)</f>
        <v>0.457596628289474</v>
      </c>
      <c r="Z1502" s="0" t="n">
        <f aca="false">04_回帰ANOVA!$K$19*04_回帰ANOVA!$K$14*SQRT(1+Y1502)</f>
        <v>1.57368233664366</v>
      </c>
      <c r="AA1502" s="0" t="n">
        <f aca="false">X1502-Z1502</f>
        <v>40.4086276048768</v>
      </c>
      <c r="AB1502" s="0" t="n">
        <f aca="false">X1502+Z1502</f>
        <v>43.5559922781641</v>
      </c>
      <c r="AC1502" s="54" t="b">
        <f aca="false">AND(E1502&gt;=01_因子設定!$L$5-0.000000001,E1502&lt;=01_因子設定!$M$5+0.000000001,F1502&gt;=01_因子設定!$L$6-0.000000001,F1502&lt;=01_因子設定!$M$6+0.000000001,G1502&gt;=01_因子設定!$L$7-0.000000001,G1502&lt;=01_因子設定!$M$7+0.000000001,H1502&gt;=01_因子設定!$L$8-0.000000001,H1502&lt;=01_因子設定!$M$8+0.000000001,IF(01_因子設定!$B$20="Box-Behnken",E1502^2+F1502^2+G1502^2+H1502^2&lt;=2+0.000000001,TRUE()))</f>
        <v>1</v>
      </c>
      <c r="AD1502" s="55" t="n">
        <f aca="false">IF(AC1502,IF(01_因子設定!$B$13="最大化",AA1502-01_因子設定!$B$14,IF(01_因子設定!$B$13="最小化",01_因子設定!$B$15-AB1502,MIN(AA1502-01_因子設定!$B$14,01_因子設定!$B$15-AB1502))),-1E+030)</f>
        <v>-6.09137239512323</v>
      </c>
      <c r="AE1502" s="55" t="n">
        <f aca="false">IF(AC1502,IF(01_因子設定!$B$13="最大化",X1502,IF(01_因子設定!$B$13="最小化",-X1502,-ABS(X1502-01_因子設定!$B$16))),-1E+030)</f>
        <v>41.9823099415204</v>
      </c>
      <c r="AF1502" s="55" t="n">
        <f aca="false">AD1502+ROW()*0.000000001</f>
        <v>-6.09137089312323</v>
      </c>
      <c r="AG1502" s="55" t="n">
        <f aca="false">AE1502+ROW()*0.000000001</f>
        <v>41.9823114435204</v>
      </c>
    </row>
    <row r="1503" customFormat="false" ht="15" hidden="false" customHeight="false" outlineLevel="0" collapsed="false">
      <c r="A1503" s="0" t="n">
        <v>2</v>
      </c>
      <c r="B1503" s="0" t="n">
        <v>0</v>
      </c>
      <c r="C1503" s="0" t="n">
        <v>4</v>
      </c>
      <c r="D1503" s="0" t="n">
        <v>4</v>
      </c>
      <c r="E1503" s="0" t="n">
        <f aca="false">-1+A1503*0.25</f>
        <v>-0.5</v>
      </c>
      <c r="F1503" s="0" t="n">
        <f aca="false">-1+B1503*0.25</f>
        <v>-1</v>
      </c>
      <c r="G1503" s="0" t="n">
        <f aca="false">-1+C1503*0.25</f>
        <v>0</v>
      </c>
      <c r="H1503" s="0" t="n">
        <f aca="false">-1+D1503*0.25</f>
        <v>0</v>
      </c>
      <c r="I1503" s="0" t="n">
        <f aca="false">1</f>
        <v>1</v>
      </c>
      <c r="J1503" s="0" t="n">
        <f aca="false">E1503</f>
        <v>-0.5</v>
      </c>
      <c r="K1503" s="0" t="n">
        <f aca="false">F1503</f>
        <v>-1</v>
      </c>
      <c r="L1503" s="0" t="n">
        <f aca="false">G1503</f>
        <v>0</v>
      </c>
      <c r="M1503" s="0" t="n">
        <f aca="false">H1503</f>
        <v>0</v>
      </c>
      <c r="N1503" s="0" t="n">
        <f aca="false">E1503*F1503</f>
        <v>0.5</v>
      </c>
      <c r="O1503" s="0" t="n">
        <f aca="false">E1503*G1503</f>
        <v>-0</v>
      </c>
      <c r="P1503" s="0" t="n">
        <f aca="false">E1503*H1503</f>
        <v>-0</v>
      </c>
      <c r="Q1503" s="0" t="n">
        <f aca="false">F1503*G1503</f>
        <v>-0</v>
      </c>
      <c r="R1503" s="0" t="n">
        <f aca="false">F1503*H1503</f>
        <v>-0</v>
      </c>
      <c r="S1503" s="0" t="n">
        <f aca="false">G1503*H1503</f>
        <v>0</v>
      </c>
      <c r="T1503" s="0" t="n">
        <f aca="false">E1503*E1503</f>
        <v>0.25</v>
      </c>
      <c r="U1503" s="0" t="n">
        <f aca="false">F1503*F1503</f>
        <v>1</v>
      </c>
      <c r="V1503" s="0" t="n">
        <f aca="false">G1503*G1503</f>
        <v>0</v>
      </c>
      <c r="W1503" s="0" t="n">
        <f aca="false">H1503*H1503</f>
        <v>0</v>
      </c>
      <c r="X1503" s="0" t="n">
        <f aca="false">SUMPRODUCT(I1503:W1503,_XtX!$B$96:$P$96)</f>
        <v>42.1451023391812</v>
      </c>
      <c r="Y1503" s="0" t="n">
        <f aca="false">SUMPRODUCT(MMULT(I1503:W1503,_XtX!$B$78:$P$92),I1503:W1503)</f>
        <v>0.468841374269006</v>
      </c>
      <c r="Z1503" s="0" t="n">
        <f aca="false">04_回帰ANOVA!$K$19*04_回帰ANOVA!$K$14*SQRT(1+Y1503)</f>
        <v>1.57974082366087</v>
      </c>
      <c r="AA1503" s="0" t="n">
        <f aca="false">X1503-Z1503</f>
        <v>40.5653615155204</v>
      </c>
      <c r="AB1503" s="0" t="n">
        <f aca="false">X1503+Z1503</f>
        <v>43.7248431628421</v>
      </c>
      <c r="AC1503" s="54" t="b">
        <f aca="false">AND(E1503&gt;=01_因子設定!$L$5-0.000000001,E1503&lt;=01_因子設定!$M$5+0.000000001,F1503&gt;=01_因子設定!$L$6-0.000000001,F1503&lt;=01_因子設定!$M$6+0.000000001,G1503&gt;=01_因子設定!$L$7-0.000000001,G1503&lt;=01_因子設定!$M$7+0.000000001,H1503&gt;=01_因子設定!$L$8-0.000000001,H1503&lt;=01_因子設定!$M$8+0.000000001,IF(01_因子設定!$B$20="Box-Behnken",E1503^2+F1503^2+G1503^2+H1503^2&lt;=2+0.000000001,TRUE()))</f>
        <v>1</v>
      </c>
      <c r="AD1503" s="55" t="n">
        <f aca="false">IF(AC1503,IF(01_因子設定!$B$13="最大化",AA1503-01_因子設定!$B$14,IF(01_因子設定!$B$13="最小化",01_因子設定!$B$15-AB1503,MIN(AA1503-01_因子設定!$B$14,01_因子設定!$B$15-AB1503))),-1E+030)</f>
        <v>-5.93463848447964</v>
      </c>
      <c r="AE1503" s="55" t="n">
        <f aca="false">IF(AC1503,IF(01_因子設定!$B$13="最大化",X1503,IF(01_因子設定!$B$13="最小化",-X1503,-ABS(X1503-01_因子設定!$B$16))),-1E+030)</f>
        <v>42.1451023391812</v>
      </c>
      <c r="AF1503" s="55" t="n">
        <f aca="false">AD1503+ROW()*0.000000001</f>
        <v>-5.93463698147964</v>
      </c>
      <c r="AG1503" s="55" t="n">
        <f aca="false">AE1503+ROW()*0.000000001</f>
        <v>42.1451038421812</v>
      </c>
    </row>
    <row r="1504" customFormat="false" ht="15" hidden="false" customHeight="false" outlineLevel="0" collapsed="false">
      <c r="A1504" s="0" t="n">
        <v>2</v>
      </c>
      <c r="B1504" s="0" t="n">
        <v>0</v>
      </c>
      <c r="C1504" s="0" t="n">
        <v>4</v>
      </c>
      <c r="D1504" s="0" t="n">
        <v>5</v>
      </c>
      <c r="E1504" s="0" t="n">
        <f aca="false">-1+A1504*0.25</f>
        <v>-0.5</v>
      </c>
      <c r="F1504" s="0" t="n">
        <f aca="false">-1+B1504*0.25</f>
        <v>-1</v>
      </c>
      <c r="G1504" s="0" t="n">
        <f aca="false">-1+C1504*0.25</f>
        <v>0</v>
      </c>
      <c r="H1504" s="0" t="n">
        <f aca="false">-1+D1504*0.25</f>
        <v>0.25</v>
      </c>
      <c r="I1504" s="0" t="n">
        <f aca="false">1</f>
        <v>1</v>
      </c>
      <c r="J1504" s="0" t="n">
        <f aca="false">E1504</f>
        <v>-0.5</v>
      </c>
      <c r="K1504" s="0" t="n">
        <f aca="false">F1504</f>
        <v>-1</v>
      </c>
      <c r="L1504" s="0" t="n">
        <f aca="false">G1504</f>
        <v>0</v>
      </c>
      <c r="M1504" s="0" t="n">
        <f aca="false">H1504</f>
        <v>0.25</v>
      </c>
      <c r="N1504" s="0" t="n">
        <f aca="false">E1504*F1504</f>
        <v>0.5</v>
      </c>
      <c r="O1504" s="0" t="n">
        <f aca="false">E1504*G1504</f>
        <v>-0</v>
      </c>
      <c r="P1504" s="0" t="n">
        <f aca="false">E1504*H1504</f>
        <v>-0.125</v>
      </c>
      <c r="Q1504" s="0" t="n">
        <f aca="false">F1504*G1504</f>
        <v>-0</v>
      </c>
      <c r="R1504" s="0" t="n">
        <f aca="false">F1504*H1504</f>
        <v>-0.25</v>
      </c>
      <c r="S1504" s="0" t="n">
        <f aca="false">G1504*H1504</f>
        <v>0</v>
      </c>
      <c r="T1504" s="0" t="n">
        <f aca="false">E1504*E1504</f>
        <v>0.25</v>
      </c>
      <c r="U1504" s="0" t="n">
        <f aca="false">F1504*F1504</f>
        <v>1</v>
      </c>
      <c r="V1504" s="0" t="n">
        <f aca="false">G1504*G1504</f>
        <v>0</v>
      </c>
      <c r="W1504" s="0" t="n">
        <f aca="false">H1504*H1504</f>
        <v>0.0625</v>
      </c>
      <c r="X1504" s="0" t="n">
        <f aca="false">SUMPRODUCT(I1504:W1504,_XtX!$B$96:$P$96)</f>
        <v>42.2600877192982</v>
      </c>
      <c r="Y1504" s="0" t="n">
        <f aca="false">SUMPRODUCT(MMULT(I1504:W1504,_XtX!$B$78:$P$92),I1504:W1504)</f>
        <v>0.457596628289474</v>
      </c>
      <c r="Z1504" s="0" t="n">
        <f aca="false">04_回帰ANOVA!$K$19*04_回帰ANOVA!$K$14*SQRT(1+Y1504)</f>
        <v>1.57368233664366</v>
      </c>
      <c r="AA1504" s="0" t="n">
        <f aca="false">X1504-Z1504</f>
        <v>40.6864053826546</v>
      </c>
      <c r="AB1504" s="0" t="n">
        <f aca="false">X1504+Z1504</f>
        <v>43.8337700559419</v>
      </c>
      <c r="AC1504" s="54" t="b">
        <f aca="false">AND(E1504&gt;=01_因子設定!$L$5-0.000000001,E1504&lt;=01_因子設定!$M$5+0.000000001,F1504&gt;=01_因子設定!$L$6-0.000000001,F1504&lt;=01_因子設定!$M$6+0.000000001,G1504&gt;=01_因子設定!$L$7-0.000000001,G1504&lt;=01_因子設定!$M$7+0.000000001,H1504&gt;=01_因子設定!$L$8-0.000000001,H1504&lt;=01_因子設定!$M$8+0.000000001,IF(01_因子設定!$B$20="Box-Behnken",E1504^2+F1504^2+G1504^2+H1504^2&lt;=2+0.000000001,TRUE()))</f>
        <v>1</v>
      </c>
      <c r="AD1504" s="55" t="n">
        <f aca="false">IF(AC1504,IF(01_因子設定!$B$13="最大化",AA1504-01_因子設定!$B$14,IF(01_因子設定!$B$13="最小化",01_因子設定!$B$15-AB1504,MIN(AA1504-01_因子設定!$B$14,01_因子設定!$B$15-AB1504))),-1E+030)</f>
        <v>-5.81359461734545</v>
      </c>
      <c r="AE1504" s="55" t="n">
        <f aca="false">IF(AC1504,IF(01_因子設定!$B$13="最大化",X1504,IF(01_因子設定!$B$13="最小化",-X1504,-ABS(X1504-01_因子設定!$B$16))),-1E+030)</f>
        <v>42.2600877192982</v>
      </c>
      <c r="AF1504" s="55" t="n">
        <f aca="false">AD1504+ROW()*0.000000001</f>
        <v>-5.81359311334545</v>
      </c>
      <c r="AG1504" s="55" t="n">
        <f aca="false">AE1504+ROW()*0.000000001</f>
        <v>42.2600892232982</v>
      </c>
    </row>
    <row r="1505" customFormat="false" ht="15" hidden="false" customHeight="false" outlineLevel="0" collapsed="false">
      <c r="A1505" s="0" t="n">
        <v>2</v>
      </c>
      <c r="B1505" s="0" t="n">
        <v>0</v>
      </c>
      <c r="C1505" s="0" t="n">
        <v>4</v>
      </c>
      <c r="D1505" s="0" t="n">
        <v>6</v>
      </c>
      <c r="E1505" s="0" t="n">
        <f aca="false">-1+A1505*0.25</f>
        <v>-0.5</v>
      </c>
      <c r="F1505" s="0" t="n">
        <f aca="false">-1+B1505*0.25</f>
        <v>-1</v>
      </c>
      <c r="G1505" s="0" t="n">
        <f aca="false">-1+C1505*0.25</f>
        <v>0</v>
      </c>
      <c r="H1505" s="0" t="n">
        <f aca="false">-1+D1505*0.25</f>
        <v>0.5</v>
      </c>
      <c r="I1505" s="0" t="n">
        <f aca="false">1</f>
        <v>1</v>
      </c>
      <c r="J1505" s="0" t="n">
        <f aca="false">E1505</f>
        <v>-0.5</v>
      </c>
      <c r="K1505" s="0" t="n">
        <f aca="false">F1505</f>
        <v>-1</v>
      </c>
      <c r="L1505" s="0" t="n">
        <f aca="false">G1505</f>
        <v>0</v>
      </c>
      <c r="M1505" s="0" t="n">
        <f aca="false">H1505</f>
        <v>0.5</v>
      </c>
      <c r="N1505" s="0" t="n">
        <f aca="false">E1505*F1505</f>
        <v>0.5</v>
      </c>
      <c r="O1505" s="0" t="n">
        <f aca="false">E1505*G1505</f>
        <v>-0</v>
      </c>
      <c r="P1505" s="0" t="n">
        <f aca="false">E1505*H1505</f>
        <v>-0.25</v>
      </c>
      <c r="Q1505" s="0" t="n">
        <f aca="false">F1505*G1505</f>
        <v>-0</v>
      </c>
      <c r="R1505" s="0" t="n">
        <f aca="false">F1505*H1505</f>
        <v>-0.5</v>
      </c>
      <c r="S1505" s="0" t="n">
        <f aca="false">G1505*H1505</f>
        <v>0</v>
      </c>
      <c r="T1505" s="0" t="n">
        <f aca="false">E1505*E1505</f>
        <v>0.25</v>
      </c>
      <c r="U1505" s="0" t="n">
        <f aca="false">F1505*F1505</f>
        <v>1</v>
      </c>
      <c r="V1505" s="0" t="n">
        <f aca="false">G1505*G1505</f>
        <v>0</v>
      </c>
      <c r="W1505" s="0" t="n">
        <f aca="false">H1505*H1505</f>
        <v>0.25</v>
      </c>
      <c r="X1505" s="0" t="n">
        <f aca="false">SUMPRODUCT(I1505:W1505,_XtX!$B$96:$P$96)</f>
        <v>42.3272660818713</v>
      </c>
      <c r="Y1505" s="0" t="n">
        <f aca="false">SUMPRODUCT(MMULT(I1505:W1505,_XtX!$B$78:$P$92),I1505:W1505)</f>
        <v>0.441954495614035</v>
      </c>
      <c r="Z1505" s="0" t="n">
        <f aca="false">04_回帰ANOVA!$K$19*04_回帰ANOVA!$K$14*SQRT(1+Y1505)</f>
        <v>1.56521560968066</v>
      </c>
      <c r="AA1505" s="0" t="n">
        <f aca="false">X1505-Z1505</f>
        <v>40.7620504721906</v>
      </c>
      <c r="AB1505" s="0" t="n">
        <f aca="false">X1505+Z1505</f>
        <v>43.892481691552</v>
      </c>
      <c r="AC1505" s="54" t="b">
        <f aca="false">AND(E1505&gt;=01_因子設定!$L$5-0.000000001,E1505&lt;=01_因子設定!$M$5+0.000000001,F1505&gt;=01_因子設定!$L$6-0.000000001,F1505&lt;=01_因子設定!$M$6+0.000000001,G1505&gt;=01_因子設定!$L$7-0.000000001,G1505&lt;=01_因子設定!$M$7+0.000000001,H1505&gt;=01_因子設定!$L$8-0.000000001,H1505&lt;=01_因子設定!$M$8+0.000000001,IF(01_因子設定!$B$20="Box-Behnken",E1505^2+F1505^2+G1505^2+H1505^2&lt;=2+0.000000001,TRUE()))</f>
        <v>1</v>
      </c>
      <c r="AD1505" s="55" t="n">
        <f aca="false">IF(AC1505,IF(01_因子設定!$B$13="最大化",AA1505-01_因子設定!$B$14,IF(01_因子設定!$B$13="最小化",01_因子設定!$B$15-AB1505,MIN(AA1505-01_因子設定!$B$14,01_因子設定!$B$15-AB1505))),-1E+030)</f>
        <v>-5.73794952780936</v>
      </c>
      <c r="AE1505" s="55" t="n">
        <f aca="false">IF(AC1505,IF(01_因子設定!$B$13="最大化",X1505,IF(01_因子設定!$B$13="最小化",-X1505,-ABS(X1505-01_因子設定!$B$16))),-1E+030)</f>
        <v>42.3272660818713</v>
      </c>
      <c r="AF1505" s="55" t="n">
        <f aca="false">AD1505+ROW()*0.000000001</f>
        <v>-5.73794802280936</v>
      </c>
      <c r="AG1505" s="55" t="n">
        <f aca="false">AE1505+ROW()*0.000000001</f>
        <v>42.3272675868713</v>
      </c>
    </row>
    <row r="1506" customFormat="false" ht="15" hidden="false" customHeight="false" outlineLevel="0" collapsed="false">
      <c r="A1506" s="0" t="n">
        <v>2</v>
      </c>
      <c r="B1506" s="0" t="n">
        <v>0</v>
      </c>
      <c r="C1506" s="0" t="n">
        <v>4</v>
      </c>
      <c r="D1506" s="0" t="n">
        <v>7</v>
      </c>
      <c r="E1506" s="0" t="n">
        <f aca="false">-1+A1506*0.25</f>
        <v>-0.5</v>
      </c>
      <c r="F1506" s="0" t="n">
        <f aca="false">-1+B1506*0.25</f>
        <v>-1</v>
      </c>
      <c r="G1506" s="0" t="n">
        <f aca="false">-1+C1506*0.25</f>
        <v>0</v>
      </c>
      <c r="H1506" s="0" t="n">
        <f aca="false">-1+D1506*0.25</f>
        <v>0.75</v>
      </c>
      <c r="I1506" s="0" t="n">
        <f aca="false">1</f>
        <v>1</v>
      </c>
      <c r="J1506" s="0" t="n">
        <f aca="false">E1506</f>
        <v>-0.5</v>
      </c>
      <c r="K1506" s="0" t="n">
        <f aca="false">F1506</f>
        <v>-1</v>
      </c>
      <c r="L1506" s="0" t="n">
        <f aca="false">G1506</f>
        <v>0</v>
      </c>
      <c r="M1506" s="0" t="n">
        <f aca="false">H1506</f>
        <v>0.75</v>
      </c>
      <c r="N1506" s="0" t="n">
        <f aca="false">E1506*F1506</f>
        <v>0.5</v>
      </c>
      <c r="O1506" s="0" t="n">
        <f aca="false">E1506*G1506</f>
        <v>-0</v>
      </c>
      <c r="P1506" s="0" t="n">
        <f aca="false">E1506*H1506</f>
        <v>-0.375</v>
      </c>
      <c r="Q1506" s="0" t="n">
        <f aca="false">F1506*G1506</f>
        <v>-0</v>
      </c>
      <c r="R1506" s="0" t="n">
        <f aca="false">F1506*H1506</f>
        <v>-0.75</v>
      </c>
      <c r="S1506" s="0" t="n">
        <f aca="false">G1506*H1506</f>
        <v>0</v>
      </c>
      <c r="T1506" s="0" t="n">
        <f aca="false">E1506*E1506</f>
        <v>0.25</v>
      </c>
      <c r="U1506" s="0" t="n">
        <f aca="false">F1506*F1506</f>
        <v>1</v>
      </c>
      <c r="V1506" s="0" t="n">
        <f aca="false">G1506*G1506</f>
        <v>0</v>
      </c>
      <c r="W1506" s="0" t="n">
        <f aca="false">H1506*H1506</f>
        <v>0.5625</v>
      </c>
      <c r="X1506" s="0" t="n">
        <f aca="false">SUMPRODUCT(I1506:W1506,_XtX!$B$96:$P$96)</f>
        <v>42.3466374269006</v>
      </c>
      <c r="Y1506" s="0" t="n">
        <f aca="false">SUMPRODUCT(MMULT(I1506:W1506,_XtX!$B$78:$P$92),I1506:W1506)</f>
        <v>0.476191292032164</v>
      </c>
      <c r="Z1506" s="0" t="n">
        <f aca="false">04_回帰ANOVA!$K$19*04_回帰ANOVA!$K$14*SQRT(1+Y1506)</f>
        <v>1.58368831471718</v>
      </c>
      <c r="AA1506" s="0" t="n">
        <f aca="false">X1506-Z1506</f>
        <v>40.7629491121834</v>
      </c>
      <c r="AB1506" s="0" t="n">
        <f aca="false">X1506+Z1506</f>
        <v>43.9303257416177</v>
      </c>
      <c r="AC1506" s="54" t="b">
        <f aca="false">AND(E1506&gt;=01_因子設定!$L$5-0.000000001,E1506&lt;=01_因子設定!$M$5+0.000000001,F1506&gt;=01_因子設定!$L$6-0.000000001,F1506&lt;=01_因子設定!$M$6+0.000000001,G1506&gt;=01_因子設定!$L$7-0.000000001,G1506&lt;=01_因子設定!$M$7+0.000000001,H1506&gt;=01_因子設定!$L$8-0.000000001,H1506&lt;=01_因子設定!$M$8+0.000000001,IF(01_因子設定!$B$20="Box-Behnken",E1506^2+F1506^2+G1506^2+H1506^2&lt;=2+0.000000001,TRUE()))</f>
        <v>1</v>
      </c>
      <c r="AD1506" s="55" t="n">
        <f aca="false">IF(AC1506,IF(01_因子設定!$B$13="最大化",AA1506-01_因子設定!$B$14,IF(01_因子設定!$B$13="最小化",01_因子設定!$B$15-AB1506,MIN(AA1506-01_因子設定!$B$14,01_因子設定!$B$15-AB1506))),-1E+030)</f>
        <v>-5.73705088781662</v>
      </c>
      <c r="AE1506" s="55" t="n">
        <f aca="false">IF(AC1506,IF(01_因子設定!$B$13="最大化",X1506,IF(01_因子設定!$B$13="最小化",-X1506,-ABS(X1506-01_因子設定!$B$16))),-1E+030)</f>
        <v>42.3466374269006</v>
      </c>
      <c r="AF1506" s="55" t="n">
        <f aca="false">AD1506+ROW()*0.000000001</f>
        <v>-5.73704938181662</v>
      </c>
      <c r="AG1506" s="55" t="n">
        <f aca="false">AE1506+ROW()*0.000000001</f>
        <v>42.3466389329006</v>
      </c>
    </row>
    <row r="1507" customFormat="false" ht="15" hidden="false" customHeight="false" outlineLevel="0" collapsed="false">
      <c r="A1507" s="0" t="n">
        <v>2</v>
      </c>
      <c r="B1507" s="0" t="n">
        <v>0</v>
      </c>
      <c r="C1507" s="0" t="n">
        <v>4</v>
      </c>
      <c r="D1507" s="0" t="n">
        <v>8</v>
      </c>
      <c r="E1507" s="0" t="n">
        <f aca="false">-1+A1507*0.25</f>
        <v>-0.5</v>
      </c>
      <c r="F1507" s="0" t="n">
        <f aca="false">-1+B1507*0.25</f>
        <v>-1</v>
      </c>
      <c r="G1507" s="0" t="n">
        <f aca="false">-1+C1507*0.25</f>
        <v>0</v>
      </c>
      <c r="H1507" s="0" t="n">
        <f aca="false">-1+D1507*0.25</f>
        <v>1</v>
      </c>
      <c r="I1507" s="0" t="n">
        <f aca="false">1</f>
        <v>1</v>
      </c>
      <c r="J1507" s="0" t="n">
        <f aca="false">E1507</f>
        <v>-0.5</v>
      </c>
      <c r="K1507" s="0" t="n">
        <f aca="false">F1507</f>
        <v>-1</v>
      </c>
      <c r="L1507" s="0" t="n">
        <f aca="false">G1507</f>
        <v>0</v>
      </c>
      <c r="M1507" s="0" t="n">
        <f aca="false">H1507</f>
        <v>1</v>
      </c>
      <c r="N1507" s="0" t="n">
        <f aca="false">E1507*F1507</f>
        <v>0.5</v>
      </c>
      <c r="O1507" s="0" t="n">
        <f aca="false">E1507*G1507</f>
        <v>-0</v>
      </c>
      <c r="P1507" s="0" t="n">
        <f aca="false">E1507*H1507</f>
        <v>-0.5</v>
      </c>
      <c r="Q1507" s="0" t="n">
        <f aca="false">F1507*G1507</f>
        <v>-0</v>
      </c>
      <c r="R1507" s="0" t="n">
        <f aca="false">F1507*H1507</f>
        <v>-1</v>
      </c>
      <c r="S1507" s="0" t="n">
        <f aca="false">G1507*H1507</f>
        <v>0</v>
      </c>
      <c r="T1507" s="0" t="n">
        <f aca="false">E1507*E1507</f>
        <v>0.25</v>
      </c>
      <c r="U1507" s="0" t="n">
        <f aca="false">F1507*F1507</f>
        <v>1</v>
      </c>
      <c r="V1507" s="0" t="n">
        <f aca="false">G1507*G1507</f>
        <v>0</v>
      </c>
      <c r="W1507" s="0" t="n">
        <f aca="false">H1507*H1507</f>
        <v>1</v>
      </c>
      <c r="X1507" s="0" t="n">
        <f aca="false">SUMPRODUCT(I1507:W1507,_XtX!$B$96:$P$96)</f>
        <v>42.318201754386</v>
      </c>
      <c r="Y1507" s="0" t="n">
        <f aca="false">SUMPRODUCT(MMULT(I1507:W1507,_XtX!$B$78:$P$92),I1507:W1507)</f>
        <v>0.650767543859649</v>
      </c>
      <c r="Z1507" s="0" t="n">
        <f aca="false">04_回帰ANOVA!$K$19*04_回帰ANOVA!$K$14*SQRT(1+Y1507)</f>
        <v>1.67471670935165</v>
      </c>
      <c r="AA1507" s="0" t="n">
        <f aca="false">X1507-Z1507</f>
        <v>40.6434850450343</v>
      </c>
      <c r="AB1507" s="0" t="n">
        <f aca="false">X1507+Z1507</f>
        <v>43.9929184637376</v>
      </c>
      <c r="AC1507" s="54" t="b">
        <f aca="false">AND(E1507&gt;=01_因子設定!$L$5-0.000000001,E1507&lt;=01_因子設定!$M$5+0.000000001,F1507&gt;=01_因子設定!$L$6-0.000000001,F1507&lt;=01_因子設定!$M$6+0.000000001,G1507&gt;=01_因子設定!$L$7-0.000000001,G1507&lt;=01_因子設定!$M$7+0.000000001,H1507&gt;=01_因子設定!$L$8-0.000000001,H1507&lt;=01_因子設定!$M$8+0.000000001,IF(01_因子設定!$B$20="Box-Behnken",E1507^2+F1507^2+G1507^2+H1507^2&lt;=2+0.000000001,TRUE()))</f>
        <v>1</v>
      </c>
      <c r="AD1507" s="55" t="n">
        <f aca="false">IF(AC1507,IF(01_因子設定!$B$13="最大化",AA1507-01_因子設定!$B$14,IF(01_因子設定!$B$13="最小化",01_因子設定!$B$15-AB1507,MIN(AA1507-01_因子設定!$B$14,01_因子設定!$B$15-AB1507))),-1E+030)</f>
        <v>-5.85651495496569</v>
      </c>
      <c r="AE1507" s="55" t="n">
        <f aca="false">IF(AC1507,IF(01_因子設定!$B$13="最大化",X1507,IF(01_因子設定!$B$13="最小化",-X1507,-ABS(X1507-01_因子設定!$B$16))),-1E+030)</f>
        <v>42.318201754386</v>
      </c>
      <c r="AF1507" s="55" t="n">
        <f aca="false">AD1507+ROW()*0.000000001</f>
        <v>-5.85651344796569</v>
      </c>
      <c r="AG1507" s="55" t="n">
        <f aca="false">AE1507+ROW()*0.000000001</f>
        <v>42.318203261386</v>
      </c>
    </row>
    <row r="1508" customFormat="false" ht="15" hidden="false" customHeight="false" outlineLevel="0" collapsed="false">
      <c r="A1508" s="0" t="n">
        <v>2</v>
      </c>
      <c r="B1508" s="0" t="n">
        <v>0</v>
      </c>
      <c r="C1508" s="0" t="n">
        <v>5</v>
      </c>
      <c r="D1508" s="0" t="n">
        <v>0</v>
      </c>
      <c r="E1508" s="0" t="n">
        <f aca="false">-1+A1508*0.25</f>
        <v>-0.5</v>
      </c>
      <c r="F1508" s="0" t="n">
        <f aca="false">-1+B1508*0.25</f>
        <v>-1</v>
      </c>
      <c r="G1508" s="0" t="n">
        <f aca="false">-1+C1508*0.25</f>
        <v>0.25</v>
      </c>
      <c r="H1508" s="0" t="n">
        <f aca="false">-1+D1508*0.25</f>
        <v>-1</v>
      </c>
      <c r="I1508" s="0" t="n">
        <f aca="false">1</f>
        <v>1</v>
      </c>
      <c r="J1508" s="0" t="n">
        <f aca="false">E1508</f>
        <v>-0.5</v>
      </c>
      <c r="K1508" s="0" t="n">
        <f aca="false">F1508</f>
        <v>-1</v>
      </c>
      <c r="L1508" s="0" t="n">
        <f aca="false">G1508</f>
        <v>0.25</v>
      </c>
      <c r="M1508" s="0" t="n">
        <f aca="false">H1508</f>
        <v>-1</v>
      </c>
      <c r="N1508" s="0" t="n">
        <f aca="false">E1508*F1508</f>
        <v>0.5</v>
      </c>
      <c r="O1508" s="0" t="n">
        <f aca="false">E1508*G1508</f>
        <v>-0.125</v>
      </c>
      <c r="P1508" s="0" t="n">
        <f aca="false">E1508*H1508</f>
        <v>0.5</v>
      </c>
      <c r="Q1508" s="0" t="n">
        <f aca="false">F1508*G1508</f>
        <v>-0.25</v>
      </c>
      <c r="R1508" s="0" t="n">
        <f aca="false">F1508*H1508</f>
        <v>1</v>
      </c>
      <c r="S1508" s="0" t="n">
        <f aca="false">G1508*H1508</f>
        <v>-0.25</v>
      </c>
      <c r="T1508" s="0" t="n">
        <f aca="false">E1508*E1508</f>
        <v>0.25</v>
      </c>
      <c r="U1508" s="0" t="n">
        <f aca="false">F1508*F1508</f>
        <v>1</v>
      </c>
      <c r="V1508" s="0" t="n">
        <f aca="false">G1508*G1508</f>
        <v>0.0625</v>
      </c>
      <c r="W1508" s="0" t="n">
        <f aca="false">H1508*H1508</f>
        <v>1</v>
      </c>
      <c r="X1508" s="0" t="n">
        <f aca="false">SUMPRODUCT(I1508:W1508,_XtX!$B$96:$P$96)</f>
        <v>41.3415204678363</v>
      </c>
      <c r="Y1508" s="0" t="n">
        <f aca="false">SUMPRODUCT(MMULT(I1508:W1508,_XtX!$B$78:$P$92),I1508:W1508)</f>
        <v>0.629174661915205</v>
      </c>
      <c r="Z1508" s="0" t="n">
        <f aca="false">04_回帰ANOVA!$K$19*04_回帰ANOVA!$K$14*SQRT(1+Y1508)</f>
        <v>1.66372758058297</v>
      </c>
      <c r="AA1508" s="0" t="n">
        <f aca="false">X1508-Z1508</f>
        <v>39.6777928872533</v>
      </c>
      <c r="AB1508" s="0" t="n">
        <f aca="false">X1508+Z1508</f>
        <v>43.0052480484192</v>
      </c>
      <c r="AC1508" s="54" t="b">
        <f aca="false">AND(E1508&gt;=01_因子設定!$L$5-0.000000001,E1508&lt;=01_因子設定!$M$5+0.000000001,F1508&gt;=01_因子設定!$L$6-0.000000001,F1508&lt;=01_因子設定!$M$6+0.000000001,G1508&gt;=01_因子設定!$L$7-0.000000001,G1508&lt;=01_因子設定!$M$7+0.000000001,H1508&gt;=01_因子設定!$L$8-0.000000001,H1508&lt;=01_因子設定!$M$8+0.000000001,IF(01_因子設定!$B$20="Box-Behnken",E1508^2+F1508^2+G1508^2+H1508^2&lt;=2+0.000000001,TRUE()))</f>
        <v>1</v>
      </c>
      <c r="AD1508" s="55" t="n">
        <f aca="false">IF(AC1508,IF(01_因子設定!$B$13="最大化",AA1508-01_因子設定!$B$14,IF(01_因子設定!$B$13="最小化",01_因子設定!$B$15-AB1508,MIN(AA1508-01_因子設定!$B$14,01_因子設定!$B$15-AB1508))),-1E+030)</f>
        <v>-6.82220711274672</v>
      </c>
      <c r="AE1508" s="55" t="n">
        <f aca="false">IF(AC1508,IF(01_因子設定!$B$13="最大化",X1508,IF(01_因子設定!$B$13="最小化",-X1508,-ABS(X1508-01_因子設定!$B$16))),-1E+030)</f>
        <v>41.3415204678363</v>
      </c>
      <c r="AF1508" s="55" t="n">
        <f aca="false">AD1508+ROW()*0.000000001</f>
        <v>-6.82220560474672</v>
      </c>
      <c r="AG1508" s="55" t="n">
        <f aca="false">AE1508+ROW()*0.000000001</f>
        <v>41.3415219758363</v>
      </c>
    </row>
    <row r="1509" customFormat="false" ht="15" hidden="false" customHeight="false" outlineLevel="0" collapsed="false">
      <c r="A1509" s="0" t="n">
        <v>2</v>
      </c>
      <c r="B1509" s="0" t="n">
        <v>0</v>
      </c>
      <c r="C1509" s="0" t="n">
        <v>5</v>
      </c>
      <c r="D1509" s="0" t="n">
        <v>1</v>
      </c>
      <c r="E1509" s="0" t="n">
        <f aca="false">-1+A1509*0.25</f>
        <v>-0.5</v>
      </c>
      <c r="F1509" s="0" t="n">
        <f aca="false">-1+B1509*0.25</f>
        <v>-1</v>
      </c>
      <c r="G1509" s="0" t="n">
        <f aca="false">-1+C1509*0.25</f>
        <v>0.25</v>
      </c>
      <c r="H1509" s="0" t="n">
        <f aca="false">-1+D1509*0.25</f>
        <v>-0.75</v>
      </c>
      <c r="I1509" s="0" t="n">
        <f aca="false">1</f>
        <v>1</v>
      </c>
      <c r="J1509" s="0" t="n">
        <f aca="false">E1509</f>
        <v>-0.5</v>
      </c>
      <c r="K1509" s="0" t="n">
        <f aca="false">F1509</f>
        <v>-1</v>
      </c>
      <c r="L1509" s="0" t="n">
        <f aca="false">G1509</f>
        <v>0.25</v>
      </c>
      <c r="M1509" s="0" t="n">
        <f aca="false">H1509</f>
        <v>-0.75</v>
      </c>
      <c r="N1509" s="0" t="n">
        <f aca="false">E1509*F1509</f>
        <v>0.5</v>
      </c>
      <c r="O1509" s="0" t="n">
        <f aca="false">E1509*G1509</f>
        <v>-0.125</v>
      </c>
      <c r="P1509" s="0" t="n">
        <f aca="false">E1509*H1509</f>
        <v>0.375</v>
      </c>
      <c r="Q1509" s="0" t="n">
        <f aca="false">F1509*G1509</f>
        <v>-0.25</v>
      </c>
      <c r="R1509" s="0" t="n">
        <f aca="false">F1509*H1509</f>
        <v>0.75</v>
      </c>
      <c r="S1509" s="0" t="n">
        <f aca="false">G1509*H1509</f>
        <v>-0.1875</v>
      </c>
      <c r="T1509" s="0" t="n">
        <f aca="false">E1509*E1509</f>
        <v>0.25</v>
      </c>
      <c r="U1509" s="0" t="n">
        <f aca="false">F1509*F1509</f>
        <v>1</v>
      </c>
      <c r="V1509" s="0" t="n">
        <f aca="false">G1509*G1509</f>
        <v>0.0625</v>
      </c>
      <c r="W1509" s="0" t="n">
        <f aca="false">H1509*H1509</f>
        <v>0.5625</v>
      </c>
      <c r="X1509" s="0" t="n">
        <f aca="false">SUMPRODUCT(I1509:W1509,_XtX!$B$96:$P$96)</f>
        <v>41.6657026681286</v>
      </c>
      <c r="Y1509" s="0" t="n">
        <f aca="false">SUMPRODUCT(MMULT(I1509:W1509,_XtX!$B$78:$P$92),I1509:W1509)</f>
        <v>0.459125719572369</v>
      </c>
      <c r="Z1509" s="0" t="n">
        <f aca="false">04_回帰ANOVA!$K$19*04_回帰ANOVA!$K$14*SQRT(1+Y1509)</f>
        <v>1.57450755575573</v>
      </c>
      <c r="AA1509" s="0" t="n">
        <f aca="false">X1509-Z1509</f>
        <v>40.0911951123729</v>
      </c>
      <c r="AB1509" s="0" t="n">
        <f aca="false">X1509+Z1509</f>
        <v>43.2402102238844</v>
      </c>
      <c r="AC1509" s="54" t="b">
        <f aca="false">AND(E1509&gt;=01_因子設定!$L$5-0.000000001,E1509&lt;=01_因子設定!$M$5+0.000000001,F1509&gt;=01_因子設定!$L$6-0.000000001,F1509&lt;=01_因子設定!$M$6+0.000000001,G1509&gt;=01_因子設定!$L$7-0.000000001,G1509&lt;=01_因子設定!$M$7+0.000000001,H1509&gt;=01_因子設定!$L$8-0.000000001,H1509&lt;=01_因子設定!$M$8+0.000000001,IF(01_因子設定!$B$20="Box-Behnken",E1509^2+F1509^2+G1509^2+H1509^2&lt;=2+0.000000001,TRUE()))</f>
        <v>1</v>
      </c>
      <c r="AD1509" s="55" t="n">
        <f aca="false">IF(AC1509,IF(01_因子設定!$B$13="最大化",AA1509-01_因子設定!$B$14,IF(01_因子設定!$B$13="最小化",01_因子設定!$B$15-AB1509,MIN(AA1509-01_因子設定!$B$14,01_因子設定!$B$15-AB1509))),-1E+030)</f>
        <v>-6.4088048876271</v>
      </c>
      <c r="AE1509" s="55" t="n">
        <f aca="false">IF(AC1509,IF(01_因子設定!$B$13="最大化",X1509,IF(01_因子設定!$B$13="最小化",-X1509,-ABS(X1509-01_因子設定!$B$16))),-1E+030)</f>
        <v>41.6657026681286</v>
      </c>
      <c r="AF1509" s="55" t="n">
        <f aca="false">AD1509+ROW()*0.000000001</f>
        <v>-6.4088033786271</v>
      </c>
      <c r="AG1509" s="55" t="n">
        <f aca="false">AE1509+ROW()*0.000000001</f>
        <v>41.6657041771286</v>
      </c>
    </row>
    <row r="1510" customFormat="false" ht="15" hidden="false" customHeight="false" outlineLevel="0" collapsed="false">
      <c r="A1510" s="0" t="n">
        <v>2</v>
      </c>
      <c r="B1510" s="0" t="n">
        <v>0</v>
      </c>
      <c r="C1510" s="0" t="n">
        <v>5</v>
      </c>
      <c r="D1510" s="0" t="n">
        <v>2</v>
      </c>
      <c r="E1510" s="0" t="n">
        <f aca="false">-1+A1510*0.25</f>
        <v>-0.5</v>
      </c>
      <c r="F1510" s="0" t="n">
        <f aca="false">-1+B1510*0.25</f>
        <v>-1</v>
      </c>
      <c r="G1510" s="0" t="n">
        <f aca="false">-1+C1510*0.25</f>
        <v>0.25</v>
      </c>
      <c r="H1510" s="0" t="n">
        <f aca="false">-1+D1510*0.25</f>
        <v>-0.5</v>
      </c>
      <c r="I1510" s="0" t="n">
        <f aca="false">1</f>
        <v>1</v>
      </c>
      <c r="J1510" s="0" t="n">
        <f aca="false">E1510</f>
        <v>-0.5</v>
      </c>
      <c r="K1510" s="0" t="n">
        <f aca="false">F1510</f>
        <v>-1</v>
      </c>
      <c r="L1510" s="0" t="n">
        <f aca="false">G1510</f>
        <v>0.25</v>
      </c>
      <c r="M1510" s="0" t="n">
        <f aca="false">H1510</f>
        <v>-0.5</v>
      </c>
      <c r="N1510" s="0" t="n">
        <f aca="false">E1510*F1510</f>
        <v>0.5</v>
      </c>
      <c r="O1510" s="0" t="n">
        <f aca="false">E1510*G1510</f>
        <v>-0.125</v>
      </c>
      <c r="P1510" s="0" t="n">
        <f aca="false">E1510*H1510</f>
        <v>0.25</v>
      </c>
      <c r="Q1510" s="0" t="n">
        <f aca="false">F1510*G1510</f>
        <v>-0.25</v>
      </c>
      <c r="R1510" s="0" t="n">
        <f aca="false">F1510*H1510</f>
        <v>0.5</v>
      </c>
      <c r="S1510" s="0" t="n">
        <f aca="false">G1510*H1510</f>
        <v>-0.125</v>
      </c>
      <c r="T1510" s="0" t="n">
        <f aca="false">E1510*E1510</f>
        <v>0.25</v>
      </c>
      <c r="U1510" s="0" t="n">
        <f aca="false">F1510*F1510</f>
        <v>1</v>
      </c>
      <c r="V1510" s="0" t="n">
        <f aca="false">G1510*G1510</f>
        <v>0.0625</v>
      </c>
      <c r="W1510" s="0" t="n">
        <f aca="false">H1510*H1510</f>
        <v>0.25</v>
      </c>
      <c r="X1510" s="0" t="n">
        <f aca="false">SUMPRODUCT(I1510:W1510,_XtX!$B$96:$P$96)</f>
        <v>41.9420778508772</v>
      </c>
      <c r="Y1510" s="0" t="n">
        <f aca="false">SUMPRODUCT(MMULT(I1510:W1510,_XtX!$B$78:$P$92),I1510:W1510)</f>
        <v>0.428122715643275</v>
      </c>
      <c r="Z1510" s="0" t="n">
        <f aca="false">04_回帰ANOVA!$K$19*04_回帰ANOVA!$K$14*SQRT(1+Y1510)</f>
        <v>1.55769044623229</v>
      </c>
      <c r="AA1510" s="0" t="n">
        <f aca="false">X1510-Z1510</f>
        <v>40.3843874046449</v>
      </c>
      <c r="AB1510" s="0" t="n">
        <f aca="false">X1510+Z1510</f>
        <v>43.4997682971095</v>
      </c>
      <c r="AC1510" s="54" t="b">
        <f aca="false">AND(E1510&gt;=01_因子設定!$L$5-0.000000001,E1510&lt;=01_因子設定!$M$5+0.000000001,F1510&gt;=01_因子設定!$L$6-0.000000001,F1510&lt;=01_因子設定!$M$6+0.000000001,G1510&gt;=01_因子設定!$L$7-0.000000001,G1510&lt;=01_因子設定!$M$7+0.000000001,H1510&gt;=01_因子設定!$L$8-0.000000001,H1510&lt;=01_因子設定!$M$8+0.000000001,IF(01_因子設定!$B$20="Box-Behnken",E1510^2+F1510^2+G1510^2+H1510^2&lt;=2+0.000000001,TRUE()))</f>
        <v>1</v>
      </c>
      <c r="AD1510" s="55" t="n">
        <f aca="false">IF(AC1510,IF(01_因子設定!$B$13="最大化",AA1510-01_因子設定!$B$14,IF(01_因子設定!$B$13="最小化",01_因子設定!$B$15-AB1510,MIN(AA1510-01_因子設定!$B$14,01_因子設定!$B$15-AB1510))),-1E+030)</f>
        <v>-6.11561259535513</v>
      </c>
      <c r="AE1510" s="55" t="n">
        <f aca="false">IF(AC1510,IF(01_因子設定!$B$13="最大化",X1510,IF(01_因子設定!$B$13="最小化",-X1510,-ABS(X1510-01_因子設定!$B$16))),-1E+030)</f>
        <v>41.9420778508772</v>
      </c>
      <c r="AF1510" s="55" t="n">
        <f aca="false">AD1510+ROW()*0.000000001</f>
        <v>-6.11561108535513</v>
      </c>
      <c r="AG1510" s="55" t="n">
        <f aca="false">AE1510+ROW()*0.000000001</f>
        <v>41.9420793608772</v>
      </c>
    </row>
    <row r="1511" customFormat="false" ht="15" hidden="false" customHeight="false" outlineLevel="0" collapsed="false">
      <c r="A1511" s="0" t="n">
        <v>2</v>
      </c>
      <c r="B1511" s="0" t="n">
        <v>0</v>
      </c>
      <c r="C1511" s="0" t="n">
        <v>5</v>
      </c>
      <c r="D1511" s="0" t="n">
        <v>3</v>
      </c>
      <c r="E1511" s="0" t="n">
        <f aca="false">-1+A1511*0.25</f>
        <v>-0.5</v>
      </c>
      <c r="F1511" s="0" t="n">
        <f aca="false">-1+B1511*0.25</f>
        <v>-1</v>
      </c>
      <c r="G1511" s="0" t="n">
        <f aca="false">-1+C1511*0.25</f>
        <v>0.25</v>
      </c>
      <c r="H1511" s="0" t="n">
        <f aca="false">-1+D1511*0.25</f>
        <v>-0.25</v>
      </c>
      <c r="I1511" s="0" t="n">
        <f aca="false">1</f>
        <v>1</v>
      </c>
      <c r="J1511" s="0" t="n">
        <f aca="false">E1511</f>
        <v>-0.5</v>
      </c>
      <c r="K1511" s="0" t="n">
        <f aca="false">F1511</f>
        <v>-1</v>
      </c>
      <c r="L1511" s="0" t="n">
        <f aca="false">G1511</f>
        <v>0.25</v>
      </c>
      <c r="M1511" s="0" t="n">
        <f aca="false">H1511</f>
        <v>-0.25</v>
      </c>
      <c r="N1511" s="0" t="n">
        <f aca="false">E1511*F1511</f>
        <v>0.5</v>
      </c>
      <c r="O1511" s="0" t="n">
        <f aca="false">E1511*G1511</f>
        <v>-0.125</v>
      </c>
      <c r="P1511" s="0" t="n">
        <f aca="false">E1511*H1511</f>
        <v>0.125</v>
      </c>
      <c r="Q1511" s="0" t="n">
        <f aca="false">F1511*G1511</f>
        <v>-0.25</v>
      </c>
      <c r="R1511" s="0" t="n">
        <f aca="false">F1511*H1511</f>
        <v>0.25</v>
      </c>
      <c r="S1511" s="0" t="n">
        <f aca="false">G1511*H1511</f>
        <v>-0.0625</v>
      </c>
      <c r="T1511" s="0" t="n">
        <f aca="false">E1511*E1511</f>
        <v>0.25</v>
      </c>
      <c r="U1511" s="0" t="n">
        <f aca="false">F1511*F1511</f>
        <v>1</v>
      </c>
      <c r="V1511" s="0" t="n">
        <f aca="false">G1511*G1511</f>
        <v>0.0625</v>
      </c>
      <c r="W1511" s="0" t="n">
        <f aca="false">H1511*H1511</f>
        <v>0.0625</v>
      </c>
      <c r="X1511" s="0" t="n">
        <f aca="false">SUMPRODUCT(I1511:W1511,_XtX!$B$96:$P$96)</f>
        <v>42.1706460160818</v>
      </c>
      <c r="Y1511" s="0" t="n">
        <f aca="false">SUMPRODUCT(MMULT(I1511:W1511,_XtX!$B$78:$P$92),I1511:W1511)</f>
        <v>0.445705123812135</v>
      </c>
      <c r="Z1511" s="0" t="n">
        <f aca="false">04_回帰ANOVA!$K$19*04_回帰ANOVA!$K$14*SQRT(1+Y1511)</f>
        <v>1.56724990734749</v>
      </c>
      <c r="AA1511" s="0" t="n">
        <f aca="false">X1511-Z1511</f>
        <v>40.6033961087343</v>
      </c>
      <c r="AB1511" s="0" t="n">
        <f aca="false">X1511+Z1511</f>
        <v>43.7378959234293</v>
      </c>
      <c r="AC1511" s="54" t="b">
        <f aca="false">AND(E1511&gt;=01_因子設定!$L$5-0.000000001,E1511&lt;=01_因子設定!$M$5+0.000000001,F1511&gt;=01_因子設定!$L$6-0.000000001,F1511&lt;=01_因子設定!$M$6+0.000000001,G1511&gt;=01_因子設定!$L$7-0.000000001,G1511&lt;=01_因子設定!$M$7+0.000000001,H1511&gt;=01_因子設定!$L$8-0.000000001,H1511&lt;=01_因子設定!$M$8+0.000000001,IF(01_因子設定!$B$20="Box-Behnken",E1511^2+F1511^2+G1511^2+H1511^2&lt;=2+0.000000001,TRUE()))</f>
        <v>1</v>
      </c>
      <c r="AD1511" s="55" t="n">
        <f aca="false">IF(AC1511,IF(01_因子設定!$B$13="最大化",AA1511-01_因子設定!$B$14,IF(01_因子設定!$B$13="最小化",01_因子設定!$B$15-AB1511,MIN(AA1511-01_因子設定!$B$14,01_因子設定!$B$15-AB1511))),-1E+030)</f>
        <v>-5.89660389126566</v>
      </c>
      <c r="AE1511" s="55" t="n">
        <f aca="false">IF(AC1511,IF(01_因子設定!$B$13="最大化",X1511,IF(01_因子設定!$B$13="最小化",-X1511,-ABS(X1511-01_因子設定!$B$16))),-1E+030)</f>
        <v>42.1706460160818</v>
      </c>
      <c r="AF1511" s="55" t="n">
        <f aca="false">AD1511+ROW()*0.000000001</f>
        <v>-5.89660238026566</v>
      </c>
      <c r="AG1511" s="55" t="n">
        <f aca="false">AE1511+ROW()*0.000000001</f>
        <v>42.1706475270818</v>
      </c>
    </row>
    <row r="1512" customFormat="false" ht="15" hidden="false" customHeight="false" outlineLevel="0" collapsed="false">
      <c r="A1512" s="0" t="n">
        <v>2</v>
      </c>
      <c r="B1512" s="0" t="n">
        <v>0</v>
      </c>
      <c r="C1512" s="0" t="n">
        <v>5</v>
      </c>
      <c r="D1512" s="0" t="n">
        <v>4</v>
      </c>
      <c r="E1512" s="0" t="n">
        <f aca="false">-1+A1512*0.25</f>
        <v>-0.5</v>
      </c>
      <c r="F1512" s="0" t="n">
        <f aca="false">-1+B1512*0.25</f>
        <v>-1</v>
      </c>
      <c r="G1512" s="0" t="n">
        <f aca="false">-1+C1512*0.25</f>
        <v>0.25</v>
      </c>
      <c r="H1512" s="0" t="n">
        <f aca="false">-1+D1512*0.25</f>
        <v>0</v>
      </c>
      <c r="I1512" s="0" t="n">
        <f aca="false">1</f>
        <v>1</v>
      </c>
      <c r="J1512" s="0" t="n">
        <f aca="false">E1512</f>
        <v>-0.5</v>
      </c>
      <c r="K1512" s="0" t="n">
        <f aca="false">F1512</f>
        <v>-1</v>
      </c>
      <c r="L1512" s="0" t="n">
        <f aca="false">G1512</f>
        <v>0.25</v>
      </c>
      <c r="M1512" s="0" t="n">
        <f aca="false">H1512</f>
        <v>0</v>
      </c>
      <c r="N1512" s="0" t="n">
        <f aca="false">E1512*F1512</f>
        <v>0.5</v>
      </c>
      <c r="O1512" s="0" t="n">
        <f aca="false">E1512*G1512</f>
        <v>-0.125</v>
      </c>
      <c r="P1512" s="0" t="n">
        <f aca="false">E1512*H1512</f>
        <v>-0</v>
      </c>
      <c r="Q1512" s="0" t="n">
        <f aca="false">F1512*G1512</f>
        <v>-0.25</v>
      </c>
      <c r="R1512" s="0" t="n">
        <f aca="false">F1512*H1512</f>
        <v>-0</v>
      </c>
      <c r="S1512" s="0" t="n">
        <f aca="false">G1512*H1512</f>
        <v>0</v>
      </c>
      <c r="T1512" s="0" t="n">
        <f aca="false">E1512*E1512</f>
        <v>0.25</v>
      </c>
      <c r="U1512" s="0" t="n">
        <f aca="false">F1512*F1512</f>
        <v>1</v>
      </c>
      <c r="V1512" s="0" t="n">
        <f aca="false">G1512*G1512</f>
        <v>0.0625</v>
      </c>
      <c r="W1512" s="0" t="n">
        <f aca="false">H1512*H1512</f>
        <v>0</v>
      </c>
      <c r="X1512" s="0" t="n">
        <f aca="false">SUMPRODUCT(I1512:W1512,_XtX!$B$96:$P$96)</f>
        <v>42.3514071637427</v>
      </c>
      <c r="Y1512" s="0" t="n">
        <f aca="false">SUMPRODUCT(MMULT(I1512:W1512,_XtX!$B$78:$P$92),I1512:W1512)</f>
        <v>0.457596628289474</v>
      </c>
      <c r="Z1512" s="0" t="n">
        <f aca="false">04_回帰ANOVA!$K$19*04_回帰ANOVA!$K$14*SQRT(1+Y1512)</f>
        <v>1.57368233664366</v>
      </c>
      <c r="AA1512" s="0" t="n">
        <f aca="false">X1512-Z1512</f>
        <v>40.777724827099</v>
      </c>
      <c r="AB1512" s="0" t="n">
        <f aca="false">X1512+Z1512</f>
        <v>43.9250895003863</v>
      </c>
      <c r="AC1512" s="54" t="b">
        <f aca="false">AND(E1512&gt;=01_因子設定!$L$5-0.000000001,E1512&lt;=01_因子設定!$M$5+0.000000001,F1512&gt;=01_因子設定!$L$6-0.000000001,F1512&lt;=01_因子設定!$M$6+0.000000001,G1512&gt;=01_因子設定!$L$7-0.000000001,G1512&lt;=01_因子設定!$M$7+0.000000001,H1512&gt;=01_因子設定!$L$8-0.000000001,H1512&lt;=01_因子設定!$M$8+0.000000001,IF(01_因子設定!$B$20="Box-Behnken",E1512^2+F1512^2+G1512^2+H1512^2&lt;=2+0.000000001,TRUE()))</f>
        <v>1</v>
      </c>
      <c r="AD1512" s="55" t="n">
        <f aca="false">IF(AC1512,IF(01_因子設定!$B$13="最大化",AA1512-01_因子設定!$B$14,IF(01_因子設定!$B$13="最小化",01_因子設定!$B$15-AB1512,MIN(AA1512-01_因子設定!$B$14,01_因子設定!$B$15-AB1512))),-1E+030)</f>
        <v>-5.72227517290101</v>
      </c>
      <c r="AE1512" s="55" t="n">
        <f aca="false">IF(AC1512,IF(01_因子設定!$B$13="最大化",X1512,IF(01_因子設定!$B$13="最小化",-X1512,-ABS(X1512-01_因子設定!$B$16))),-1E+030)</f>
        <v>42.3514071637427</v>
      </c>
      <c r="AF1512" s="55" t="n">
        <f aca="false">AD1512+ROW()*0.000000001</f>
        <v>-5.72227366090101</v>
      </c>
      <c r="AG1512" s="55" t="n">
        <f aca="false">AE1512+ROW()*0.000000001</f>
        <v>42.3514086757427</v>
      </c>
    </row>
    <row r="1513" customFormat="false" ht="15" hidden="false" customHeight="false" outlineLevel="0" collapsed="false">
      <c r="A1513" s="0" t="n">
        <v>2</v>
      </c>
      <c r="B1513" s="0" t="n">
        <v>0</v>
      </c>
      <c r="C1513" s="0" t="n">
        <v>5</v>
      </c>
      <c r="D1513" s="0" t="n">
        <v>5</v>
      </c>
      <c r="E1513" s="0" t="n">
        <f aca="false">-1+A1513*0.25</f>
        <v>-0.5</v>
      </c>
      <c r="F1513" s="0" t="n">
        <f aca="false">-1+B1513*0.25</f>
        <v>-1</v>
      </c>
      <c r="G1513" s="0" t="n">
        <f aca="false">-1+C1513*0.25</f>
        <v>0.25</v>
      </c>
      <c r="H1513" s="0" t="n">
        <f aca="false">-1+D1513*0.25</f>
        <v>0.25</v>
      </c>
      <c r="I1513" s="0" t="n">
        <f aca="false">1</f>
        <v>1</v>
      </c>
      <c r="J1513" s="0" t="n">
        <f aca="false">E1513</f>
        <v>-0.5</v>
      </c>
      <c r="K1513" s="0" t="n">
        <f aca="false">F1513</f>
        <v>-1</v>
      </c>
      <c r="L1513" s="0" t="n">
        <f aca="false">G1513</f>
        <v>0.25</v>
      </c>
      <c r="M1513" s="0" t="n">
        <f aca="false">H1513</f>
        <v>0.25</v>
      </c>
      <c r="N1513" s="0" t="n">
        <f aca="false">E1513*F1513</f>
        <v>0.5</v>
      </c>
      <c r="O1513" s="0" t="n">
        <f aca="false">E1513*G1513</f>
        <v>-0.125</v>
      </c>
      <c r="P1513" s="0" t="n">
        <f aca="false">E1513*H1513</f>
        <v>-0.125</v>
      </c>
      <c r="Q1513" s="0" t="n">
        <f aca="false">F1513*G1513</f>
        <v>-0.25</v>
      </c>
      <c r="R1513" s="0" t="n">
        <f aca="false">F1513*H1513</f>
        <v>-0.25</v>
      </c>
      <c r="S1513" s="0" t="n">
        <f aca="false">G1513*H1513</f>
        <v>0.0625</v>
      </c>
      <c r="T1513" s="0" t="n">
        <f aca="false">E1513*E1513</f>
        <v>0.25</v>
      </c>
      <c r="U1513" s="0" t="n">
        <f aca="false">F1513*F1513</f>
        <v>1</v>
      </c>
      <c r="V1513" s="0" t="n">
        <f aca="false">G1513*G1513</f>
        <v>0.0625</v>
      </c>
      <c r="W1513" s="0" t="n">
        <f aca="false">H1513*H1513</f>
        <v>0.0625</v>
      </c>
      <c r="X1513" s="0" t="n">
        <f aca="false">SUMPRODUCT(I1513:W1513,_XtX!$B$96:$P$96)</f>
        <v>42.4843612938596</v>
      </c>
      <c r="Y1513" s="0" t="n">
        <f aca="false">SUMPRODUCT(MMULT(I1513:W1513,_XtX!$B$78:$P$92),I1513:W1513)</f>
        <v>0.445705123812135</v>
      </c>
      <c r="Z1513" s="0" t="n">
        <f aca="false">04_回帰ANOVA!$K$19*04_回帰ANOVA!$K$14*SQRT(1+Y1513)</f>
        <v>1.56724990734749</v>
      </c>
      <c r="AA1513" s="0" t="n">
        <f aca="false">X1513-Z1513</f>
        <v>40.9171113865121</v>
      </c>
      <c r="AB1513" s="0" t="n">
        <f aca="false">X1513+Z1513</f>
        <v>44.0516112012071</v>
      </c>
      <c r="AC1513" s="54" t="b">
        <f aca="false">AND(E1513&gt;=01_因子設定!$L$5-0.000000001,E1513&lt;=01_因子設定!$M$5+0.000000001,F1513&gt;=01_因子設定!$L$6-0.000000001,F1513&lt;=01_因子設定!$M$6+0.000000001,G1513&gt;=01_因子設定!$L$7-0.000000001,G1513&lt;=01_因子設定!$M$7+0.000000001,H1513&gt;=01_因子設定!$L$8-0.000000001,H1513&lt;=01_因子設定!$M$8+0.000000001,IF(01_因子設定!$B$20="Box-Behnken",E1513^2+F1513^2+G1513^2+H1513^2&lt;=2+0.000000001,TRUE()))</f>
        <v>1</v>
      </c>
      <c r="AD1513" s="55" t="n">
        <f aca="false">IF(AC1513,IF(01_因子設定!$B$13="最大化",AA1513-01_因子設定!$B$14,IF(01_因子設定!$B$13="最小化",01_因子設定!$B$15-AB1513,MIN(AA1513-01_因子設定!$B$14,01_因子設定!$B$15-AB1513))),-1E+030)</f>
        <v>-5.58288861348788</v>
      </c>
      <c r="AE1513" s="55" t="n">
        <f aca="false">IF(AC1513,IF(01_因子設定!$B$13="最大化",X1513,IF(01_因子設定!$B$13="最小化",-X1513,-ABS(X1513-01_因子設定!$B$16))),-1E+030)</f>
        <v>42.4843612938596</v>
      </c>
      <c r="AF1513" s="55" t="n">
        <f aca="false">AD1513+ROW()*0.000000001</f>
        <v>-5.58288710048788</v>
      </c>
      <c r="AG1513" s="55" t="n">
        <f aca="false">AE1513+ROW()*0.000000001</f>
        <v>42.4843628068596</v>
      </c>
    </row>
    <row r="1514" customFormat="false" ht="15" hidden="false" customHeight="false" outlineLevel="0" collapsed="false">
      <c r="A1514" s="0" t="n">
        <v>2</v>
      </c>
      <c r="B1514" s="0" t="n">
        <v>0</v>
      </c>
      <c r="C1514" s="0" t="n">
        <v>5</v>
      </c>
      <c r="D1514" s="0" t="n">
        <v>6</v>
      </c>
      <c r="E1514" s="0" t="n">
        <f aca="false">-1+A1514*0.25</f>
        <v>-0.5</v>
      </c>
      <c r="F1514" s="0" t="n">
        <f aca="false">-1+B1514*0.25</f>
        <v>-1</v>
      </c>
      <c r="G1514" s="0" t="n">
        <f aca="false">-1+C1514*0.25</f>
        <v>0.25</v>
      </c>
      <c r="H1514" s="0" t="n">
        <f aca="false">-1+D1514*0.25</f>
        <v>0.5</v>
      </c>
      <c r="I1514" s="0" t="n">
        <f aca="false">1</f>
        <v>1</v>
      </c>
      <c r="J1514" s="0" t="n">
        <f aca="false">E1514</f>
        <v>-0.5</v>
      </c>
      <c r="K1514" s="0" t="n">
        <f aca="false">F1514</f>
        <v>-1</v>
      </c>
      <c r="L1514" s="0" t="n">
        <f aca="false">G1514</f>
        <v>0.25</v>
      </c>
      <c r="M1514" s="0" t="n">
        <f aca="false">H1514</f>
        <v>0.5</v>
      </c>
      <c r="N1514" s="0" t="n">
        <f aca="false">E1514*F1514</f>
        <v>0.5</v>
      </c>
      <c r="O1514" s="0" t="n">
        <f aca="false">E1514*G1514</f>
        <v>-0.125</v>
      </c>
      <c r="P1514" s="0" t="n">
        <f aca="false">E1514*H1514</f>
        <v>-0.25</v>
      </c>
      <c r="Q1514" s="0" t="n">
        <f aca="false">F1514*G1514</f>
        <v>-0.25</v>
      </c>
      <c r="R1514" s="0" t="n">
        <f aca="false">F1514*H1514</f>
        <v>-0.5</v>
      </c>
      <c r="S1514" s="0" t="n">
        <f aca="false">G1514*H1514</f>
        <v>0.125</v>
      </c>
      <c r="T1514" s="0" t="n">
        <f aca="false">E1514*E1514</f>
        <v>0.25</v>
      </c>
      <c r="U1514" s="0" t="n">
        <f aca="false">F1514*F1514</f>
        <v>1</v>
      </c>
      <c r="V1514" s="0" t="n">
        <f aca="false">G1514*G1514</f>
        <v>0.0625</v>
      </c>
      <c r="W1514" s="0" t="n">
        <f aca="false">H1514*H1514</f>
        <v>0.25</v>
      </c>
      <c r="X1514" s="0" t="n">
        <f aca="false">SUMPRODUCT(I1514:W1514,_XtX!$B$96:$P$96)</f>
        <v>42.5695084064327</v>
      </c>
      <c r="Y1514" s="0" t="n">
        <f aca="false">SUMPRODUCT(MMULT(I1514:W1514,_XtX!$B$78:$P$92),I1514:W1514)</f>
        <v>0.428122715643275</v>
      </c>
      <c r="Z1514" s="0" t="n">
        <f aca="false">04_回帰ANOVA!$K$19*04_回帰ANOVA!$K$14*SQRT(1+Y1514)</f>
        <v>1.55769044623229</v>
      </c>
      <c r="AA1514" s="0" t="n">
        <f aca="false">X1514-Z1514</f>
        <v>41.0118179602004</v>
      </c>
      <c r="AB1514" s="0" t="n">
        <f aca="false">X1514+Z1514</f>
        <v>44.127198852665</v>
      </c>
      <c r="AC1514" s="54" t="b">
        <f aca="false">AND(E1514&gt;=01_因子設定!$L$5-0.000000001,E1514&lt;=01_因子設定!$M$5+0.000000001,F1514&gt;=01_因子設定!$L$6-0.000000001,F1514&lt;=01_因子設定!$M$6+0.000000001,G1514&gt;=01_因子設定!$L$7-0.000000001,G1514&lt;=01_因子設定!$M$7+0.000000001,H1514&gt;=01_因子設定!$L$8-0.000000001,H1514&lt;=01_因子設定!$M$8+0.000000001,IF(01_因子設定!$B$20="Box-Behnken",E1514^2+F1514^2+G1514^2+H1514^2&lt;=2+0.000000001,TRUE()))</f>
        <v>1</v>
      </c>
      <c r="AD1514" s="55" t="n">
        <f aca="false">IF(AC1514,IF(01_因子設定!$B$13="最大化",AA1514-01_因子設定!$B$14,IF(01_因子設定!$B$13="最小化",01_因子設定!$B$15-AB1514,MIN(AA1514-01_因子設定!$B$14,01_因子設定!$B$15-AB1514))),-1E+030)</f>
        <v>-5.48818203979958</v>
      </c>
      <c r="AE1514" s="55" t="n">
        <f aca="false">IF(AC1514,IF(01_因子設定!$B$13="最大化",X1514,IF(01_因子設定!$B$13="最小化",-X1514,-ABS(X1514-01_因子設定!$B$16))),-1E+030)</f>
        <v>42.5695084064327</v>
      </c>
      <c r="AF1514" s="55" t="n">
        <f aca="false">AD1514+ROW()*0.000000001</f>
        <v>-5.48818052579958</v>
      </c>
      <c r="AG1514" s="55" t="n">
        <f aca="false">AE1514+ROW()*0.000000001</f>
        <v>42.5695099204327</v>
      </c>
    </row>
    <row r="1515" customFormat="false" ht="15" hidden="false" customHeight="false" outlineLevel="0" collapsed="false">
      <c r="A1515" s="0" t="n">
        <v>2</v>
      </c>
      <c r="B1515" s="0" t="n">
        <v>0</v>
      </c>
      <c r="C1515" s="0" t="n">
        <v>5</v>
      </c>
      <c r="D1515" s="0" t="n">
        <v>7</v>
      </c>
      <c r="E1515" s="0" t="n">
        <f aca="false">-1+A1515*0.25</f>
        <v>-0.5</v>
      </c>
      <c r="F1515" s="0" t="n">
        <f aca="false">-1+B1515*0.25</f>
        <v>-1</v>
      </c>
      <c r="G1515" s="0" t="n">
        <f aca="false">-1+C1515*0.25</f>
        <v>0.25</v>
      </c>
      <c r="H1515" s="0" t="n">
        <f aca="false">-1+D1515*0.25</f>
        <v>0.75</v>
      </c>
      <c r="I1515" s="0" t="n">
        <f aca="false">1</f>
        <v>1</v>
      </c>
      <c r="J1515" s="0" t="n">
        <f aca="false">E1515</f>
        <v>-0.5</v>
      </c>
      <c r="K1515" s="0" t="n">
        <f aca="false">F1515</f>
        <v>-1</v>
      </c>
      <c r="L1515" s="0" t="n">
        <f aca="false">G1515</f>
        <v>0.25</v>
      </c>
      <c r="M1515" s="0" t="n">
        <f aca="false">H1515</f>
        <v>0.75</v>
      </c>
      <c r="N1515" s="0" t="n">
        <f aca="false">E1515*F1515</f>
        <v>0.5</v>
      </c>
      <c r="O1515" s="0" t="n">
        <f aca="false">E1515*G1515</f>
        <v>-0.125</v>
      </c>
      <c r="P1515" s="0" t="n">
        <f aca="false">E1515*H1515</f>
        <v>-0.375</v>
      </c>
      <c r="Q1515" s="0" t="n">
        <f aca="false">F1515*G1515</f>
        <v>-0.25</v>
      </c>
      <c r="R1515" s="0" t="n">
        <f aca="false">F1515*H1515</f>
        <v>-0.75</v>
      </c>
      <c r="S1515" s="0" t="n">
        <f aca="false">G1515*H1515</f>
        <v>0.1875</v>
      </c>
      <c r="T1515" s="0" t="n">
        <f aca="false">E1515*E1515</f>
        <v>0.25</v>
      </c>
      <c r="U1515" s="0" t="n">
        <f aca="false">F1515*F1515</f>
        <v>1</v>
      </c>
      <c r="V1515" s="0" t="n">
        <f aca="false">G1515*G1515</f>
        <v>0.0625</v>
      </c>
      <c r="W1515" s="0" t="n">
        <f aca="false">H1515*H1515</f>
        <v>0.5625</v>
      </c>
      <c r="X1515" s="0" t="n">
        <f aca="false">SUMPRODUCT(I1515:W1515,_XtX!$B$96:$P$96)</f>
        <v>42.606848501462</v>
      </c>
      <c r="Y1515" s="0" t="n">
        <f aca="false">SUMPRODUCT(MMULT(I1515:W1515,_XtX!$B$78:$P$92),I1515:W1515)</f>
        <v>0.459125719572369</v>
      </c>
      <c r="Z1515" s="0" t="n">
        <f aca="false">04_回帰ANOVA!$K$19*04_回帰ANOVA!$K$14*SQRT(1+Y1515)</f>
        <v>1.57450755575573</v>
      </c>
      <c r="AA1515" s="0" t="n">
        <f aca="false">X1515-Z1515</f>
        <v>41.0323409457062</v>
      </c>
      <c r="AB1515" s="0" t="n">
        <f aca="false">X1515+Z1515</f>
        <v>44.1813560572177</v>
      </c>
      <c r="AC1515" s="54" t="b">
        <f aca="false">AND(E1515&gt;=01_因子設定!$L$5-0.000000001,E1515&lt;=01_因子設定!$M$5+0.000000001,F1515&gt;=01_因子設定!$L$6-0.000000001,F1515&lt;=01_因子設定!$M$6+0.000000001,G1515&gt;=01_因子設定!$L$7-0.000000001,G1515&lt;=01_因子設定!$M$7+0.000000001,H1515&gt;=01_因子設定!$L$8-0.000000001,H1515&lt;=01_因子設定!$M$8+0.000000001,IF(01_因子設定!$B$20="Box-Behnken",E1515^2+F1515^2+G1515^2+H1515^2&lt;=2+0.000000001,TRUE()))</f>
        <v>1</v>
      </c>
      <c r="AD1515" s="55" t="n">
        <f aca="false">IF(AC1515,IF(01_因子設定!$B$13="最大化",AA1515-01_因子設定!$B$14,IF(01_因子設定!$B$13="最小化",01_因子設定!$B$15-AB1515,MIN(AA1515-01_因子設定!$B$14,01_因子設定!$B$15-AB1515))),-1E+030)</f>
        <v>-5.46765905429376</v>
      </c>
      <c r="AE1515" s="55" t="n">
        <f aca="false">IF(AC1515,IF(01_因子設定!$B$13="最大化",X1515,IF(01_因子設定!$B$13="最小化",-X1515,-ABS(X1515-01_因子設定!$B$16))),-1E+030)</f>
        <v>42.606848501462</v>
      </c>
      <c r="AF1515" s="55" t="n">
        <f aca="false">AD1515+ROW()*0.000000001</f>
        <v>-5.46765753929376</v>
      </c>
      <c r="AG1515" s="55" t="n">
        <f aca="false">AE1515+ROW()*0.000000001</f>
        <v>42.606850016462</v>
      </c>
    </row>
    <row r="1516" customFormat="false" ht="15" hidden="false" customHeight="false" outlineLevel="0" collapsed="false">
      <c r="A1516" s="0" t="n">
        <v>2</v>
      </c>
      <c r="B1516" s="0" t="n">
        <v>0</v>
      </c>
      <c r="C1516" s="0" t="n">
        <v>5</v>
      </c>
      <c r="D1516" s="0" t="n">
        <v>8</v>
      </c>
      <c r="E1516" s="0" t="n">
        <f aca="false">-1+A1516*0.25</f>
        <v>-0.5</v>
      </c>
      <c r="F1516" s="0" t="n">
        <f aca="false">-1+B1516*0.25</f>
        <v>-1</v>
      </c>
      <c r="G1516" s="0" t="n">
        <f aca="false">-1+C1516*0.25</f>
        <v>0.25</v>
      </c>
      <c r="H1516" s="0" t="n">
        <f aca="false">-1+D1516*0.25</f>
        <v>1</v>
      </c>
      <c r="I1516" s="0" t="n">
        <f aca="false">1</f>
        <v>1</v>
      </c>
      <c r="J1516" s="0" t="n">
        <f aca="false">E1516</f>
        <v>-0.5</v>
      </c>
      <c r="K1516" s="0" t="n">
        <f aca="false">F1516</f>
        <v>-1</v>
      </c>
      <c r="L1516" s="0" t="n">
        <f aca="false">G1516</f>
        <v>0.25</v>
      </c>
      <c r="M1516" s="0" t="n">
        <f aca="false">H1516</f>
        <v>1</v>
      </c>
      <c r="N1516" s="0" t="n">
        <f aca="false">E1516*F1516</f>
        <v>0.5</v>
      </c>
      <c r="O1516" s="0" t="n">
        <f aca="false">E1516*G1516</f>
        <v>-0.125</v>
      </c>
      <c r="P1516" s="0" t="n">
        <f aca="false">E1516*H1516</f>
        <v>-0.5</v>
      </c>
      <c r="Q1516" s="0" t="n">
        <f aca="false">F1516*G1516</f>
        <v>-0.25</v>
      </c>
      <c r="R1516" s="0" t="n">
        <f aca="false">F1516*H1516</f>
        <v>-1</v>
      </c>
      <c r="S1516" s="0" t="n">
        <f aca="false">G1516*H1516</f>
        <v>0.25</v>
      </c>
      <c r="T1516" s="0" t="n">
        <f aca="false">E1516*E1516</f>
        <v>0.25</v>
      </c>
      <c r="U1516" s="0" t="n">
        <f aca="false">F1516*F1516</f>
        <v>1</v>
      </c>
      <c r="V1516" s="0" t="n">
        <f aca="false">G1516*G1516</f>
        <v>0.0625</v>
      </c>
      <c r="W1516" s="0" t="n">
        <f aca="false">H1516*H1516</f>
        <v>1</v>
      </c>
      <c r="X1516" s="0" t="n">
        <f aca="false">SUMPRODUCT(I1516:W1516,_XtX!$B$96:$P$96)</f>
        <v>42.5963815789474</v>
      </c>
      <c r="Y1516" s="0" t="n">
        <f aca="false">SUMPRODUCT(MMULT(I1516:W1516,_XtX!$B$78:$P$92),I1516:W1516)</f>
        <v>0.629174661915205</v>
      </c>
      <c r="Z1516" s="0" t="n">
        <f aca="false">04_回帰ANOVA!$K$19*04_回帰ANOVA!$K$14*SQRT(1+Y1516)</f>
        <v>1.66372758058297</v>
      </c>
      <c r="AA1516" s="0" t="n">
        <f aca="false">X1516-Z1516</f>
        <v>40.9326539983644</v>
      </c>
      <c r="AB1516" s="0" t="n">
        <f aca="false">X1516+Z1516</f>
        <v>44.2601091595303</v>
      </c>
      <c r="AC1516" s="54" t="b">
        <f aca="false">AND(E1516&gt;=01_因子設定!$L$5-0.000000001,E1516&lt;=01_因子設定!$M$5+0.000000001,F1516&gt;=01_因子設定!$L$6-0.000000001,F1516&lt;=01_因子設定!$M$6+0.000000001,G1516&gt;=01_因子設定!$L$7-0.000000001,G1516&lt;=01_因子設定!$M$7+0.000000001,H1516&gt;=01_因子設定!$L$8-0.000000001,H1516&lt;=01_因子設定!$M$8+0.000000001,IF(01_因子設定!$B$20="Box-Behnken",E1516^2+F1516^2+G1516^2+H1516^2&lt;=2+0.000000001,TRUE()))</f>
        <v>1</v>
      </c>
      <c r="AD1516" s="55" t="n">
        <f aca="false">IF(AC1516,IF(01_因子設定!$B$13="最大化",AA1516-01_因子設定!$B$14,IF(01_因子設定!$B$13="最小化",01_因子設定!$B$15-AB1516,MIN(AA1516-01_因子設定!$B$14,01_因子設定!$B$15-AB1516))),-1E+030)</f>
        <v>-5.56734600163561</v>
      </c>
      <c r="AE1516" s="55" t="n">
        <f aca="false">IF(AC1516,IF(01_因子設定!$B$13="最大化",X1516,IF(01_因子設定!$B$13="最小化",-X1516,-ABS(X1516-01_因子設定!$B$16))),-1E+030)</f>
        <v>42.5963815789474</v>
      </c>
      <c r="AF1516" s="55" t="n">
        <f aca="false">AD1516+ROW()*0.000000001</f>
        <v>-5.56734448563561</v>
      </c>
      <c r="AG1516" s="55" t="n">
        <f aca="false">AE1516+ROW()*0.000000001</f>
        <v>42.5963830949474</v>
      </c>
    </row>
    <row r="1517" customFormat="false" ht="15" hidden="false" customHeight="false" outlineLevel="0" collapsed="false">
      <c r="A1517" s="0" t="n">
        <v>2</v>
      </c>
      <c r="B1517" s="0" t="n">
        <v>0</v>
      </c>
      <c r="C1517" s="0" t="n">
        <v>6</v>
      </c>
      <c r="D1517" s="0" t="n">
        <v>0</v>
      </c>
      <c r="E1517" s="0" t="n">
        <f aca="false">-1+A1517*0.25</f>
        <v>-0.5</v>
      </c>
      <c r="F1517" s="0" t="n">
        <f aca="false">-1+B1517*0.25</f>
        <v>-1</v>
      </c>
      <c r="G1517" s="0" t="n">
        <f aca="false">-1+C1517*0.25</f>
        <v>0.5</v>
      </c>
      <c r="H1517" s="0" t="n">
        <f aca="false">-1+D1517*0.25</f>
        <v>-1</v>
      </c>
      <c r="I1517" s="0" t="n">
        <f aca="false">1</f>
        <v>1</v>
      </c>
      <c r="J1517" s="0" t="n">
        <f aca="false">E1517</f>
        <v>-0.5</v>
      </c>
      <c r="K1517" s="0" t="n">
        <f aca="false">F1517</f>
        <v>-1</v>
      </c>
      <c r="L1517" s="0" t="n">
        <f aca="false">G1517</f>
        <v>0.5</v>
      </c>
      <c r="M1517" s="0" t="n">
        <f aca="false">H1517</f>
        <v>-1</v>
      </c>
      <c r="N1517" s="0" t="n">
        <f aca="false">E1517*F1517</f>
        <v>0.5</v>
      </c>
      <c r="O1517" s="0" t="n">
        <f aca="false">E1517*G1517</f>
        <v>-0.25</v>
      </c>
      <c r="P1517" s="0" t="n">
        <f aca="false">E1517*H1517</f>
        <v>0.5</v>
      </c>
      <c r="Q1517" s="0" t="n">
        <f aca="false">F1517*G1517</f>
        <v>-0.5</v>
      </c>
      <c r="R1517" s="0" t="n">
        <f aca="false">F1517*H1517</f>
        <v>1</v>
      </c>
      <c r="S1517" s="0" t="n">
        <f aca="false">G1517*H1517</f>
        <v>-0.5</v>
      </c>
      <c r="T1517" s="0" t="n">
        <f aca="false">E1517*E1517</f>
        <v>0.25</v>
      </c>
      <c r="U1517" s="0" t="n">
        <f aca="false">F1517*F1517</f>
        <v>1</v>
      </c>
      <c r="V1517" s="0" t="n">
        <f aca="false">G1517*G1517</f>
        <v>0.25</v>
      </c>
      <c r="W1517" s="0" t="n">
        <f aca="false">H1517*H1517</f>
        <v>1</v>
      </c>
      <c r="X1517" s="0" t="n">
        <f aca="false">SUMPRODUCT(I1517:W1517,_XtX!$B$96:$P$96)</f>
        <v>41.3906432748538</v>
      </c>
      <c r="Y1517" s="0" t="n">
        <f aca="false">SUMPRODUCT(MMULT(I1517:W1517,_XtX!$B$78:$P$92),I1517:W1517)</f>
        <v>0.582488121345029</v>
      </c>
      <c r="Z1517" s="0" t="n">
        <f aca="false">04_回帰ANOVA!$K$19*04_回帰ANOVA!$K$14*SQRT(1+Y1517)</f>
        <v>1.63971595338287</v>
      </c>
      <c r="AA1517" s="0" t="n">
        <f aca="false">X1517-Z1517</f>
        <v>39.7509273214709</v>
      </c>
      <c r="AB1517" s="0" t="n">
        <f aca="false">X1517+Z1517</f>
        <v>43.0303592282367</v>
      </c>
      <c r="AC1517" s="54" t="b">
        <f aca="false">AND(E1517&gt;=01_因子設定!$L$5-0.000000001,E1517&lt;=01_因子設定!$M$5+0.000000001,F1517&gt;=01_因子設定!$L$6-0.000000001,F1517&lt;=01_因子設定!$M$6+0.000000001,G1517&gt;=01_因子設定!$L$7-0.000000001,G1517&lt;=01_因子設定!$M$7+0.000000001,H1517&gt;=01_因子設定!$L$8-0.000000001,H1517&lt;=01_因子設定!$M$8+0.000000001,IF(01_因子設定!$B$20="Box-Behnken",E1517^2+F1517^2+G1517^2+H1517^2&lt;=2+0.000000001,TRUE()))</f>
        <v>1</v>
      </c>
      <c r="AD1517" s="55" t="n">
        <f aca="false">IF(AC1517,IF(01_因子設定!$B$13="最大化",AA1517-01_因子設定!$B$14,IF(01_因子設定!$B$13="最小化",01_因子設定!$B$15-AB1517,MIN(AA1517-01_因子設定!$B$14,01_因子設定!$B$15-AB1517))),-1E+030)</f>
        <v>-6.74907267852908</v>
      </c>
      <c r="AE1517" s="55" t="n">
        <f aca="false">IF(AC1517,IF(01_因子設定!$B$13="最大化",X1517,IF(01_因子設定!$B$13="最小化",-X1517,-ABS(X1517-01_因子設定!$B$16))),-1E+030)</f>
        <v>41.3906432748538</v>
      </c>
      <c r="AF1517" s="55" t="n">
        <f aca="false">AD1517+ROW()*0.000000001</f>
        <v>-6.74907116152907</v>
      </c>
      <c r="AG1517" s="55" t="n">
        <f aca="false">AE1517+ROW()*0.000000001</f>
        <v>41.3906447918538</v>
      </c>
    </row>
    <row r="1518" customFormat="false" ht="15" hidden="false" customHeight="false" outlineLevel="0" collapsed="false">
      <c r="A1518" s="0" t="n">
        <v>2</v>
      </c>
      <c r="B1518" s="0" t="n">
        <v>0</v>
      </c>
      <c r="C1518" s="0" t="n">
        <v>6</v>
      </c>
      <c r="D1518" s="0" t="n">
        <v>1</v>
      </c>
      <c r="E1518" s="0" t="n">
        <f aca="false">-1+A1518*0.25</f>
        <v>-0.5</v>
      </c>
      <c r="F1518" s="0" t="n">
        <f aca="false">-1+B1518*0.25</f>
        <v>-1</v>
      </c>
      <c r="G1518" s="0" t="n">
        <f aca="false">-1+C1518*0.25</f>
        <v>0.5</v>
      </c>
      <c r="H1518" s="0" t="n">
        <f aca="false">-1+D1518*0.25</f>
        <v>-0.75</v>
      </c>
      <c r="I1518" s="0" t="n">
        <f aca="false">1</f>
        <v>1</v>
      </c>
      <c r="J1518" s="0" t="n">
        <f aca="false">E1518</f>
        <v>-0.5</v>
      </c>
      <c r="K1518" s="0" t="n">
        <f aca="false">F1518</f>
        <v>-1</v>
      </c>
      <c r="L1518" s="0" t="n">
        <f aca="false">G1518</f>
        <v>0.5</v>
      </c>
      <c r="M1518" s="0" t="n">
        <f aca="false">H1518</f>
        <v>-0.75</v>
      </c>
      <c r="N1518" s="0" t="n">
        <f aca="false">E1518*F1518</f>
        <v>0.5</v>
      </c>
      <c r="O1518" s="0" t="n">
        <f aca="false">E1518*G1518</f>
        <v>-0.25</v>
      </c>
      <c r="P1518" s="0" t="n">
        <f aca="false">E1518*H1518</f>
        <v>0.375</v>
      </c>
      <c r="Q1518" s="0" t="n">
        <f aca="false">F1518*G1518</f>
        <v>-0.5</v>
      </c>
      <c r="R1518" s="0" t="n">
        <f aca="false">F1518*H1518</f>
        <v>0.75</v>
      </c>
      <c r="S1518" s="0" t="n">
        <f aca="false">G1518*H1518</f>
        <v>-0.375</v>
      </c>
      <c r="T1518" s="0" t="n">
        <f aca="false">E1518*E1518</f>
        <v>0.25</v>
      </c>
      <c r="U1518" s="0" t="n">
        <f aca="false">F1518*F1518</f>
        <v>1</v>
      </c>
      <c r="V1518" s="0" t="n">
        <f aca="false">G1518*G1518</f>
        <v>0.25</v>
      </c>
      <c r="W1518" s="0" t="n">
        <f aca="false">H1518*H1518</f>
        <v>0.5625</v>
      </c>
      <c r="X1518" s="0" t="n">
        <f aca="false">SUMPRODUCT(I1518:W1518,_XtX!$B$96:$P$96)</f>
        <v>41.7327942251462</v>
      </c>
      <c r="Y1518" s="0" t="n">
        <f aca="false">SUMPRODUCT(MMULT(I1518:W1518,_XtX!$B$78:$P$92),I1518:W1518)</f>
        <v>0.42602110745614</v>
      </c>
      <c r="Z1518" s="0" t="n">
        <f aca="false">04_回帰ANOVA!$K$19*04_回帰ANOVA!$K$14*SQRT(1+Y1518)</f>
        <v>1.55654388501114</v>
      </c>
      <c r="AA1518" s="0" t="n">
        <f aca="false">X1518-Z1518</f>
        <v>40.176250340135</v>
      </c>
      <c r="AB1518" s="0" t="n">
        <f aca="false">X1518+Z1518</f>
        <v>43.2893381101573</v>
      </c>
      <c r="AC1518" s="54" t="b">
        <f aca="false">AND(E1518&gt;=01_因子設定!$L$5-0.000000001,E1518&lt;=01_因子設定!$M$5+0.000000001,F1518&gt;=01_因子設定!$L$6-0.000000001,F1518&lt;=01_因子設定!$M$6+0.000000001,G1518&gt;=01_因子設定!$L$7-0.000000001,G1518&lt;=01_因子設定!$M$7+0.000000001,H1518&gt;=01_因子設定!$L$8-0.000000001,H1518&lt;=01_因子設定!$M$8+0.000000001,IF(01_因子設定!$B$20="Box-Behnken",E1518^2+F1518^2+G1518^2+H1518^2&lt;=2+0.000000001,TRUE()))</f>
        <v>1</v>
      </c>
      <c r="AD1518" s="55" t="n">
        <f aca="false">IF(AC1518,IF(01_因子設定!$B$13="最大化",AA1518-01_因子設定!$B$14,IF(01_因子設定!$B$13="最小化",01_因子設定!$B$15-AB1518,MIN(AA1518-01_因子設定!$B$14,01_因子設定!$B$15-AB1518))),-1E+030)</f>
        <v>-6.32374965986496</v>
      </c>
      <c r="AE1518" s="55" t="n">
        <f aca="false">IF(AC1518,IF(01_因子設定!$B$13="最大化",X1518,IF(01_因子設定!$B$13="最小化",-X1518,-ABS(X1518-01_因子設定!$B$16))),-1E+030)</f>
        <v>41.7327942251462</v>
      </c>
      <c r="AF1518" s="55" t="n">
        <f aca="false">AD1518+ROW()*0.000000001</f>
        <v>-6.32374814186496</v>
      </c>
      <c r="AG1518" s="55" t="n">
        <f aca="false">AE1518+ROW()*0.000000001</f>
        <v>41.7327957431462</v>
      </c>
    </row>
    <row r="1519" customFormat="false" ht="15" hidden="false" customHeight="false" outlineLevel="0" collapsed="false">
      <c r="A1519" s="0" t="n">
        <v>2</v>
      </c>
      <c r="B1519" s="0" t="n">
        <v>0</v>
      </c>
      <c r="C1519" s="0" t="n">
        <v>6</v>
      </c>
      <c r="D1519" s="0" t="n">
        <v>2</v>
      </c>
      <c r="E1519" s="0" t="n">
        <f aca="false">-1+A1519*0.25</f>
        <v>-0.5</v>
      </c>
      <c r="F1519" s="0" t="n">
        <f aca="false">-1+B1519*0.25</f>
        <v>-1</v>
      </c>
      <c r="G1519" s="0" t="n">
        <f aca="false">-1+C1519*0.25</f>
        <v>0.5</v>
      </c>
      <c r="H1519" s="0" t="n">
        <f aca="false">-1+D1519*0.25</f>
        <v>-0.5</v>
      </c>
      <c r="I1519" s="0" t="n">
        <f aca="false">1</f>
        <v>1</v>
      </c>
      <c r="J1519" s="0" t="n">
        <f aca="false">E1519</f>
        <v>-0.5</v>
      </c>
      <c r="K1519" s="0" t="n">
        <f aca="false">F1519</f>
        <v>-1</v>
      </c>
      <c r="L1519" s="0" t="n">
        <f aca="false">G1519</f>
        <v>0.5</v>
      </c>
      <c r="M1519" s="0" t="n">
        <f aca="false">H1519</f>
        <v>-0.5</v>
      </c>
      <c r="N1519" s="0" t="n">
        <f aca="false">E1519*F1519</f>
        <v>0.5</v>
      </c>
      <c r="O1519" s="0" t="n">
        <f aca="false">E1519*G1519</f>
        <v>-0.25</v>
      </c>
      <c r="P1519" s="0" t="n">
        <f aca="false">E1519*H1519</f>
        <v>0.25</v>
      </c>
      <c r="Q1519" s="0" t="n">
        <f aca="false">F1519*G1519</f>
        <v>-0.5</v>
      </c>
      <c r="R1519" s="0" t="n">
        <f aca="false">F1519*H1519</f>
        <v>0.5</v>
      </c>
      <c r="S1519" s="0" t="n">
        <f aca="false">G1519*H1519</f>
        <v>-0.25</v>
      </c>
      <c r="T1519" s="0" t="n">
        <f aca="false">E1519*E1519</f>
        <v>0.25</v>
      </c>
      <c r="U1519" s="0" t="n">
        <f aca="false">F1519*F1519</f>
        <v>1</v>
      </c>
      <c r="V1519" s="0" t="n">
        <f aca="false">G1519*G1519</f>
        <v>0.25</v>
      </c>
      <c r="W1519" s="0" t="n">
        <f aca="false">H1519*H1519</f>
        <v>0.25</v>
      </c>
      <c r="X1519" s="0" t="n">
        <f aca="false">SUMPRODUCT(I1519:W1519,_XtX!$B$96:$P$96)</f>
        <v>42.0271381578947</v>
      </c>
      <c r="Y1519" s="0" t="n">
        <f aca="false">SUMPRODUCT(MMULT(I1519:W1519,_XtX!$B$78:$P$92),I1519:W1519)</f>
        <v>0.404719480994152</v>
      </c>
      <c r="Z1519" s="0" t="n">
        <f aca="false">04_回帰ANOVA!$K$19*04_回帰ANOVA!$K$14*SQRT(1+Y1519)</f>
        <v>1.54487446697867</v>
      </c>
      <c r="AA1519" s="0" t="n">
        <f aca="false">X1519-Z1519</f>
        <v>40.482263690916</v>
      </c>
      <c r="AB1519" s="0" t="n">
        <f aca="false">X1519+Z1519</f>
        <v>43.5720126248734</v>
      </c>
      <c r="AC1519" s="54" t="b">
        <f aca="false">AND(E1519&gt;=01_因子設定!$L$5-0.000000001,E1519&lt;=01_因子設定!$M$5+0.000000001,F1519&gt;=01_因子設定!$L$6-0.000000001,F1519&lt;=01_因子設定!$M$6+0.000000001,G1519&gt;=01_因子設定!$L$7-0.000000001,G1519&lt;=01_因子設定!$M$7+0.000000001,H1519&gt;=01_因子設定!$L$8-0.000000001,H1519&lt;=01_因子設定!$M$8+0.000000001,IF(01_因子設定!$B$20="Box-Behnken",E1519^2+F1519^2+G1519^2+H1519^2&lt;=2+0.000000001,TRUE()))</f>
        <v>1</v>
      </c>
      <c r="AD1519" s="55" t="n">
        <f aca="false">IF(AC1519,IF(01_因子設定!$B$13="最大化",AA1519-01_因子設定!$B$14,IF(01_因子設定!$B$13="最小化",01_因子設定!$B$15-AB1519,MIN(AA1519-01_因子設定!$B$14,01_因子設定!$B$15-AB1519))),-1E+030)</f>
        <v>-6.01773630908397</v>
      </c>
      <c r="AE1519" s="55" t="n">
        <f aca="false">IF(AC1519,IF(01_因子設定!$B$13="最大化",X1519,IF(01_因子設定!$B$13="最小化",-X1519,-ABS(X1519-01_因子設定!$B$16))),-1E+030)</f>
        <v>42.0271381578947</v>
      </c>
      <c r="AF1519" s="55" t="n">
        <f aca="false">AD1519+ROW()*0.000000001</f>
        <v>-6.01773479008397</v>
      </c>
      <c r="AG1519" s="55" t="n">
        <f aca="false">AE1519+ROW()*0.000000001</f>
        <v>42.0271396768947</v>
      </c>
    </row>
    <row r="1520" customFormat="false" ht="15" hidden="false" customHeight="false" outlineLevel="0" collapsed="false">
      <c r="A1520" s="0" t="n">
        <v>2</v>
      </c>
      <c r="B1520" s="0" t="n">
        <v>0</v>
      </c>
      <c r="C1520" s="0" t="n">
        <v>6</v>
      </c>
      <c r="D1520" s="0" t="n">
        <v>3</v>
      </c>
      <c r="E1520" s="0" t="n">
        <f aca="false">-1+A1520*0.25</f>
        <v>-0.5</v>
      </c>
      <c r="F1520" s="0" t="n">
        <f aca="false">-1+B1520*0.25</f>
        <v>-1</v>
      </c>
      <c r="G1520" s="0" t="n">
        <f aca="false">-1+C1520*0.25</f>
        <v>0.5</v>
      </c>
      <c r="H1520" s="0" t="n">
        <f aca="false">-1+D1520*0.25</f>
        <v>-0.25</v>
      </c>
      <c r="I1520" s="0" t="n">
        <f aca="false">1</f>
        <v>1</v>
      </c>
      <c r="J1520" s="0" t="n">
        <f aca="false">E1520</f>
        <v>-0.5</v>
      </c>
      <c r="K1520" s="0" t="n">
        <f aca="false">F1520</f>
        <v>-1</v>
      </c>
      <c r="L1520" s="0" t="n">
        <f aca="false">G1520</f>
        <v>0.5</v>
      </c>
      <c r="M1520" s="0" t="n">
        <f aca="false">H1520</f>
        <v>-0.25</v>
      </c>
      <c r="N1520" s="0" t="n">
        <f aca="false">E1520*F1520</f>
        <v>0.5</v>
      </c>
      <c r="O1520" s="0" t="n">
        <f aca="false">E1520*G1520</f>
        <v>-0.25</v>
      </c>
      <c r="P1520" s="0" t="n">
        <f aca="false">E1520*H1520</f>
        <v>0.125</v>
      </c>
      <c r="Q1520" s="0" t="n">
        <f aca="false">F1520*G1520</f>
        <v>-0.5</v>
      </c>
      <c r="R1520" s="0" t="n">
        <f aca="false">F1520*H1520</f>
        <v>0.25</v>
      </c>
      <c r="S1520" s="0" t="n">
        <f aca="false">G1520*H1520</f>
        <v>-0.125</v>
      </c>
      <c r="T1520" s="0" t="n">
        <f aca="false">E1520*E1520</f>
        <v>0.25</v>
      </c>
      <c r="U1520" s="0" t="n">
        <f aca="false">F1520*F1520</f>
        <v>1</v>
      </c>
      <c r="V1520" s="0" t="n">
        <f aca="false">G1520*G1520</f>
        <v>0.25</v>
      </c>
      <c r="W1520" s="0" t="n">
        <f aca="false">H1520*H1520</f>
        <v>0.0625</v>
      </c>
      <c r="X1520" s="0" t="n">
        <f aca="false">SUMPRODUCT(I1520:W1520,_XtX!$B$96:$P$96)</f>
        <v>42.2736750730994</v>
      </c>
      <c r="Y1520" s="0" t="n">
        <f aca="false">SUMPRODUCT(MMULT(I1520:W1520,_XtX!$B$78:$P$92),I1520:W1520)</f>
        <v>0.428122715643275</v>
      </c>
      <c r="Z1520" s="0" t="n">
        <f aca="false">04_回帰ANOVA!$K$19*04_回帰ANOVA!$K$14*SQRT(1+Y1520)</f>
        <v>1.55769044623229</v>
      </c>
      <c r="AA1520" s="0" t="n">
        <f aca="false">X1520-Z1520</f>
        <v>40.7159846268671</v>
      </c>
      <c r="AB1520" s="0" t="n">
        <f aca="false">X1520+Z1520</f>
        <v>43.8313655193317</v>
      </c>
      <c r="AC1520" s="54" t="b">
        <f aca="false">AND(E1520&gt;=01_因子設定!$L$5-0.000000001,E1520&lt;=01_因子設定!$M$5+0.000000001,F1520&gt;=01_因子設定!$L$6-0.000000001,F1520&lt;=01_因子設定!$M$6+0.000000001,G1520&gt;=01_因子設定!$L$7-0.000000001,G1520&lt;=01_因子設定!$M$7+0.000000001,H1520&gt;=01_因子設定!$L$8-0.000000001,H1520&lt;=01_因子設定!$M$8+0.000000001,IF(01_因子設定!$B$20="Box-Behnken",E1520^2+F1520^2+G1520^2+H1520^2&lt;=2+0.000000001,TRUE()))</f>
        <v>1</v>
      </c>
      <c r="AD1520" s="55" t="n">
        <f aca="false">IF(AC1520,IF(01_因子設定!$B$13="最大化",AA1520-01_因子設定!$B$14,IF(01_因子設定!$B$13="最小化",01_因子設定!$B$15-AB1520,MIN(AA1520-01_因子設定!$B$14,01_因子設定!$B$15-AB1520))),-1E+030)</f>
        <v>-5.78401537313292</v>
      </c>
      <c r="AE1520" s="55" t="n">
        <f aca="false">IF(AC1520,IF(01_因子設定!$B$13="最大化",X1520,IF(01_因子設定!$B$13="最小化",-X1520,-ABS(X1520-01_因子設定!$B$16))),-1E+030)</f>
        <v>42.2736750730994</v>
      </c>
      <c r="AF1520" s="55" t="n">
        <f aca="false">AD1520+ROW()*0.000000001</f>
        <v>-5.78401385313292</v>
      </c>
      <c r="AG1520" s="55" t="n">
        <f aca="false">AE1520+ROW()*0.000000001</f>
        <v>42.2736765930994</v>
      </c>
    </row>
    <row r="1521" customFormat="false" ht="15" hidden="false" customHeight="false" outlineLevel="0" collapsed="false">
      <c r="A1521" s="0" t="n">
        <v>2</v>
      </c>
      <c r="B1521" s="0" t="n">
        <v>0</v>
      </c>
      <c r="C1521" s="0" t="n">
        <v>6</v>
      </c>
      <c r="D1521" s="0" t="n">
        <v>4</v>
      </c>
      <c r="E1521" s="0" t="n">
        <f aca="false">-1+A1521*0.25</f>
        <v>-0.5</v>
      </c>
      <c r="F1521" s="0" t="n">
        <f aca="false">-1+B1521*0.25</f>
        <v>-1</v>
      </c>
      <c r="G1521" s="0" t="n">
        <f aca="false">-1+C1521*0.25</f>
        <v>0.5</v>
      </c>
      <c r="H1521" s="0" t="n">
        <f aca="false">-1+D1521*0.25</f>
        <v>0</v>
      </c>
      <c r="I1521" s="0" t="n">
        <f aca="false">1</f>
        <v>1</v>
      </c>
      <c r="J1521" s="0" t="n">
        <f aca="false">E1521</f>
        <v>-0.5</v>
      </c>
      <c r="K1521" s="0" t="n">
        <f aca="false">F1521</f>
        <v>-1</v>
      </c>
      <c r="L1521" s="0" t="n">
        <f aca="false">G1521</f>
        <v>0.5</v>
      </c>
      <c r="M1521" s="0" t="n">
        <f aca="false">H1521</f>
        <v>0</v>
      </c>
      <c r="N1521" s="0" t="n">
        <f aca="false">E1521*F1521</f>
        <v>0.5</v>
      </c>
      <c r="O1521" s="0" t="n">
        <f aca="false">E1521*G1521</f>
        <v>-0.25</v>
      </c>
      <c r="P1521" s="0" t="n">
        <f aca="false">E1521*H1521</f>
        <v>-0</v>
      </c>
      <c r="Q1521" s="0" t="n">
        <f aca="false">F1521*G1521</f>
        <v>-0.5</v>
      </c>
      <c r="R1521" s="0" t="n">
        <f aca="false">F1521*H1521</f>
        <v>-0</v>
      </c>
      <c r="S1521" s="0" t="n">
        <f aca="false">G1521*H1521</f>
        <v>0</v>
      </c>
      <c r="T1521" s="0" t="n">
        <f aca="false">E1521*E1521</f>
        <v>0.25</v>
      </c>
      <c r="U1521" s="0" t="n">
        <f aca="false">F1521*F1521</f>
        <v>1</v>
      </c>
      <c r="V1521" s="0" t="n">
        <f aca="false">G1521*G1521</f>
        <v>0.25</v>
      </c>
      <c r="W1521" s="0" t="n">
        <f aca="false">H1521*H1521</f>
        <v>0</v>
      </c>
      <c r="X1521" s="0" t="n">
        <f aca="false">SUMPRODUCT(I1521:W1521,_XtX!$B$96:$P$96)</f>
        <v>42.4724049707602</v>
      </c>
      <c r="Y1521" s="0" t="n">
        <f aca="false">SUMPRODUCT(MMULT(I1521:W1521,_XtX!$B$78:$P$92),I1521:W1521)</f>
        <v>0.441954495614035</v>
      </c>
      <c r="Z1521" s="0" t="n">
        <f aca="false">04_回帰ANOVA!$K$19*04_回帰ANOVA!$K$14*SQRT(1+Y1521)</f>
        <v>1.56521560968066</v>
      </c>
      <c r="AA1521" s="0" t="n">
        <f aca="false">X1521-Z1521</f>
        <v>40.9071893610795</v>
      </c>
      <c r="AB1521" s="0" t="n">
        <f aca="false">X1521+Z1521</f>
        <v>44.0376205804409</v>
      </c>
      <c r="AC1521" s="54" t="b">
        <f aca="false">AND(E1521&gt;=01_因子設定!$L$5-0.000000001,E1521&lt;=01_因子設定!$M$5+0.000000001,F1521&gt;=01_因子設定!$L$6-0.000000001,F1521&lt;=01_因子設定!$M$6+0.000000001,G1521&gt;=01_因子設定!$L$7-0.000000001,G1521&lt;=01_因子設定!$M$7+0.000000001,H1521&gt;=01_因子設定!$L$8-0.000000001,H1521&lt;=01_因子設定!$M$8+0.000000001,IF(01_因子設定!$B$20="Box-Behnken",E1521^2+F1521^2+G1521^2+H1521^2&lt;=2+0.000000001,TRUE()))</f>
        <v>1</v>
      </c>
      <c r="AD1521" s="55" t="n">
        <f aca="false">IF(AC1521,IF(01_因子設定!$B$13="最大化",AA1521-01_因子設定!$B$14,IF(01_因子設定!$B$13="最小化",01_因子設定!$B$15-AB1521,MIN(AA1521-01_因子設定!$B$14,01_因子設定!$B$15-AB1521))),-1E+030)</f>
        <v>-5.59281063892048</v>
      </c>
      <c r="AE1521" s="55" t="n">
        <f aca="false">IF(AC1521,IF(01_因子設定!$B$13="最大化",X1521,IF(01_因子設定!$B$13="最小化",-X1521,-ABS(X1521-01_因子設定!$B$16))),-1E+030)</f>
        <v>42.4724049707602</v>
      </c>
      <c r="AF1521" s="55" t="n">
        <f aca="false">AD1521+ROW()*0.000000001</f>
        <v>-5.59280911792048</v>
      </c>
      <c r="AG1521" s="55" t="n">
        <f aca="false">AE1521+ROW()*0.000000001</f>
        <v>42.4724064917602</v>
      </c>
    </row>
    <row r="1522" customFormat="false" ht="15" hidden="false" customHeight="false" outlineLevel="0" collapsed="false">
      <c r="A1522" s="0" t="n">
        <v>2</v>
      </c>
      <c r="B1522" s="0" t="n">
        <v>0</v>
      </c>
      <c r="C1522" s="0" t="n">
        <v>6</v>
      </c>
      <c r="D1522" s="0" t="n">
        <v>5</v>
      </c>
      <c r="E1522" s="0" t="n">
        <f aca="false">-1+A1522*0.25</f>
        <v>-0.5</v>
      </c>
      <c r="F1522" s="0" t="n">
        <f aca="false">-1+B1522*0.25</f>
        <v>-1</v>
      </c>
      <c r="G1522" s="0" t="n">
        <f aca="false">-1+C1522*0.25</f>
        <v>0.5</v>
      </c>
      <c r="H1522" s="0" t="n">
        <f aca="false">-1+D1522*0.25</f>
        <v>0.25</v>
      </c>
      <c r="I1522" s="0" t="n">
        <f aca="false">1</f>
        <v>1</v>
      </c>
      <c r="J1522" s="0" t="n">
        <f aca="false">E1522</f>
        <v>-0.5</v>
      </c>
      <c r="K1522" s="0" t="n">
        <f aca="false">F1522</f>
        <v>-1</v>
      </c>
      <c r="L1522" s="0" t="n">
        <f aca="false">G1522</f>
        <v>0.5</v>
      </c>
      <c r="M1522" s="0" t="n">
        <f aca="false">H1522</f>
        <v>0.25</v>
      </c>
      <c r="N1522" s="0" t="n">
        <f aca="false">E1522*F1522</f>
        <v>0.5</v>
      </c>
      <c r="O1522" s="0" t="n">
        <f aca="false">E1522*G1522</f>
        <v>-0.25</v>
      </c>
      <c r="P1522" s="0" t="n">
        <f aca="false">E1522*H1522</f>
        <v>-0.125</v>
      </c>
      <c r="Q1522" s="0" t="n">
        <f aca="false">F1522*G1522</f>
        <v>-0.5</v>
      </c>
      <c r="R1522" s="0" t="n">
        <f aca="false">F1522*H1522</f>
        <v>-0.25</v>
      </c>
      <c r="S1522" s="0" t="n">
        <f aca="false">G1522*H1522</f>
        <v>0.125</v>
      </c>
      <c r="T1522" s="0" t="n">
        <f aca="false">E1522*E1522</f>
        <v>0.25</v>
      </c>
      <c r="U1522" s="0" t="n">
        <f aca="false">F1522*F1522</f>
        <v>1</v>
      </c>
      <c r="V1522" s="0" t="n">
        <f aca="false">G1522*G1522</f>
        <v>0.25</v>
      </c>
      <c r="W1522" s="0" t="n">
        <f aca="false">H1522*H1522</f>
        <v>0.0625</v>
      </c>
      <c r="X1522" s="0" t="n">
        <f aca="false">SUMPRODUCT(I1522:W1522,_XtX!$B$96:$P$96)</f>
        <v>42.6233278508772</v>
      </c>
      <c r="Y1522" s="0" t="n">
        <f aca="false">SUMPRODUCT(MMULT(I1522:W1522,_XtX!$B$78:$P$92),I1522:W1522)</f>
        <v>0.428122715643275</v>
      </c>
      <c r="Z1522" s="0" t="n">
        <f aca="false">04_回帰ANOVA!$K$19*04_回帰ANOVA!$K$14*SQRT(1+Y1522)</f>
        <v>1.55769044623229</v>
      </c>
      <c r="AA1522" s="0" t="n">
        <f aca="false">X1522-Z1522</f>
        <v>41.0656374046449</v>
      </c>
      <c r="AB1522" s="0" t="n">
        <f aca="false">X1522+Z1522</f>
        <v>44.1810182971094</v>
      </c>
      <c r="AC1522" s="54" t="b">
        <f aca="false">AND(E1522&gt;=01_因子設定!$L$5-0.000000001,E1522&lt;=01_因子設定!$M$5+0.000000001,F1522&gt;=01_因子設定!$L$6-0.000000001,F1522&lt;=01_因子設定!$M$6+0.000000001,G1522&gt;=01_因子設定!$L$7-0.000000001,G1522&lt;=01_因子設定!$M$7+0.000000001,H1522&gt;=01_因子設定!$L$8-0.000000001,H1522&lt;=01_因子設定!$M$8+0.000000001,IF(01_因子設定!$B$20="Box-Behnken",E1522^2+F1522^2+G1522^2+H1522^2&lt;=2+0.000000001,TRUE()))</f>
        <v>1</v>
      </c>
      <c r="AD1522" s="55" t="n">
        <f aca="false">IF(AC1522,IF(01_因子設定!$B$13="最大化",AA1522-01_因子設定!$B$14,IF(01_因子設定!$B$13="最小化",01_因子設定!$B$15-AB1522,MIN(AA1522-01_因子設定!$B$14,01_因子設定!$B$15-AB1522))),-1E+030)</f>
        <v>-5.43436259535514</v>
      </c>
      <c r="AE1522" s="55" t="n">
        <f aca="false">IF(AC1522,IF(01_因子設定!$B$13="最大化",X1522,IF(01_因子設定!$B$13="最小化",-X1522,-ABS(X1522-01_因子設定!$B$16))),-1E+030)</f>
        <v>42.6233278508772</v>
      </c>
      <c r="AF1522" s="55" t="n">
        <f aca="false">AD1522+ROW()*0.000000001</f>
        <v>-5.43436107335514</v>
      </c>
      <c r="AG1522" s="55" t="n">
        <f aca="false">AE1522+ROW()*0.000000001</f>
        <v>42.6233293728772</v>
      </c>
    </row>
    <row r="1523" customFormat="false" ht="15" hidden="false" customHeight="false" outlineLevel="0" collapsed="false">
      <c r="A1523" s="0" t="n">
        <v>2</v>
      </c>
      <c r="B1523" s="0" t="n">
        <v>0</v>
      </c>
      <c r="C1523" s="0" t="n">
        <v>6</v>
      </c>
      <c r="D1523" s="0" t="n">
        <v>6</v>
      </c>
      <c r="E1523" s="0" t="n">
        <f aca="false">-1+A1523*0.25</f>
        <v>-0.5</v>
      </c>
      <c r="F1523" s="0" t="n">
        <f aca="false">-1+B1523*0.25</f>
        <v>-1</v>
      </c>
      <c r="G1523" s="0" t="n">
        <f aca="false">-1+C1523*0.25</f>
        <v>0.5</v>
      </c>
      <c r="H1523" s="0" t="n">
        <f aca="false">-1+D1523*0.25</f>
        <v>0.5</v>
      </c>
      <c r="I1523" s="0" t="n">
        <f aca="false">1</f>
        <v>1</v>
      </c>
      <c r="J1523" s="0" t="n">
        <f aca="false">E1523</f>
        <v>-0.5</v>
      </c>
      <c r="K1523" s="0" t="n">
        <f aca="false">F1523</f>
        <v>-1</v>
      </c>
      <c r="L1523" s="0" t="n">
        <f aca="false">G1523</f>
        <v>0.5</v>
      </c>
      <c r="M1523" s="0" t="n">
        <f aca="false">H1523</f>
        <v>0.5</v>
      </c>
      <c r="N1523" s="0" t="n">
        <f aca="false">E1523*F1523</f>
        <v>0.5</v>
      </c>
      <c r="O1523" s="0" t="n">
        <f aca="false">E1523*G1523</f>
        <v>-0.25</v>
      </c>
      <c r="P1523" s="0" t="n">
        <f aca="false">E1523*H1523</f>
        <v>-0.25</v>
      </c>
      <c r="Q1523" s="0" t="n">
        <f aca="false">F1523*G1523</f>
        <v>-0.5</v>
      </c>
      <c r="R1523" s="0" t="n">
        <f aca="false">F1523*H1523</f>
        <v>-0.5</v>
      </c>
      <c r="S1523" s="0" t="n">
        <f aca="false">G1523*H1523</f>
        <v>0.25</v>
      </c>
      <c r="T1523" s="0" t="n">
        <f aca="false">E1523*E1523</f>
        <v>0.25</v>
      </c>
      <c r="U1523" s="0" t="n">
        <f aca="false">F1523*F1523</f>
        <v>1</v>
      </c>
      <c r="V1523" s="0" t="n">
        <f aca="false">G1523*G1523</f>
        <v>0.25</v>
      </c>
      <c r="W1523" s="0" t="n">
        <f aca="false">H1523*H1523</f>
        <v>0.25</v>
      </c>
      <c r="X1523" s="0" t="n">
        <f aca="false">SUMPRODUCT(I1523:W1523,_XtX!$B$96:$P$96)</f>
        <v>42.7264437134503</v>
      </c>
      <c r="Y1523" s="0" t="n">
        <f aca="false">SUMPRODUCT(MMULT(I1523:W1523,_XtX!$B$78:$P$92),I1523:W1523)</f>
        <v>0.404719480994152</v>
      </c>
      <c r="Z1523" s="0" t="n">
        <f aca="false">04_回帰ANOVA!$K$19*04_回帰ANOVA!$K$14*SQRT(1+Y1523)</f>
        <v>1.54487446697867</v>
      </c>
      <c r="AA1523" s="0" t="n">
        <f aca="false">X1523-Z1523</f>
        <v>41.1815692464716</v>
      </c>
      <c r="AB1523" s="0" t="n">
        <f aca="false">X1523+Z1523</f>
        <v>44.2713181804289</v>
      </c>
      <c r="AC1523" s="54" t="b">
        <f aca="false">AND(E1523&gt;=01_因子設定!$L$5-0.000000001,E1523&lt;=01_因子設定!$M$5+0.000000001,F1523&gt;=01_因子設定!$L$6-0.000000001,F1523&lt;=01_因子設定!$M$6+0.000000001,G1523&gt;=01_因子設定!$L$7-0.000000001,G1523&lt;=01_因子設定!$M$7+0.000000001,H1523&gt;=01_因子設定!$L$8-0.000000001,H1523&lt;=01_因子設定!$M$8+0.000000001,IF(01_因子設定!$B$20="Box-Behnken",E1523^2+F1523^2+G1523^2+H1523^2&lt;=2+0.000000001,TRUE()))</f>
        <v>1</v>
      </c>
      <c r="AD1523" s="55" t="n">
        <f aca="false">IF(AC1523,IF(01_因子設定!$B$13="最大化",AA1523-01_因子設定!$B$14,IF(01_因子設定!$B$13="最小化",01_因子設定!$B$15-AB1523,MIN(AA1523-01_因子設定!$B$14,01_因子設定!$B$15-AB1523))),-1E+030)</f>
        <v>-5.31843075352842</v>
      </c>
      <c r="AE1523" s="55" t="n">
        <f aca="false">IF(AC1523,IF(01_因子設定!$B$13="最大化",X1523,IF(01_因子設定!$B$13="最小化",-X1523,-ABS(X1523-01_因子設定!$B$16))),-1E+030)</f>
        <v>42.7264437134503</v>
      </c>
      <c r="AF1523" s="55" t="n">
        <f aca="false">AD1523+ROW()*0.000000001</f>
        <v>-5.31842923052842</v>
      </c>
      <c r="AG1523" s="55" t="n">
        <f aca="false">AE1523+ROW()*0.000000001</f>
        <v>42.7264452364503</v>
      </c>
    </row>
    <row r="1524" customFormat="false" ht="15" hidden="false" customHeight="false" outlineLevel="0" collapsed="false">
      <c r="A1524" s="0" t="n">
        <v>2</v>
      </c>
      <c r="B1524" s="0" t="n">
        <v>0</v>
      </c>
      <c r="C1524" s="0" t="n">
        <v>6</v>
      </c>
      <c r="D1524" s="0" t="n">
        <v>7</v>
      </c>
      <c r="E1524" s="0" t="n">
        <f aca="false">-1+A1524*0.25</f>
        <v>-0.5</v>
      </c>
      <c r="F1524" s="0" t="n">
        <f aca="false">-1+B1524*0.25</f>
        <v>-1</v>
      </c>
      <c r="G1524" s="0" t="n">
        <f aca="false">-1+C1524*0.25</f>
        <v>0.5</v>
      </c>
      <c r="H1524" s="0" t="n">
        <f aca="false">-1+D1524*0.25</f>
        <v>0.75</v>
      </c>
      <c r="I1524" s="0" t="n">
        <f aca="false">1</f>
        <v>1</v>
      </c>
      <c r="J1524" s="0" t="n">
        <f aca="false">E1524</f>
        <v>-0.5</v>
      </c>
      <c r="K1524" s="0" t="n">
        <f aca="false">F1524</f>
        <v>-1</v>
      </c>
      <c r="L1524" s="0" t="n">
        <f aca="false">G1524</f>
        <v>0.5</v>
      </c>
      <c r="M1524" s="0" t="n">
        <f aca="false">H1524</f>
        <v>0.75</v>
      </c>
      <c r="N1524" s="0" t="n">
        <f aca="false">E1524*F1524</f>
        <v>0.5</v>
      </c>
      <c r="O1524" s="0" t="n">
        <f aca="false">E1524*G1524</f>
        <v>-0.25</v>
      </c>
      <c r="P1524" s="0" t="n">
        <f aca="false">E1524*H1524</f>
        <v>-0.375</v>
      </c>
      <c r="Q1524" s="0" t="n">
        <f aca="false">F1524*G1524</f>
        <v>-0.5</v>
      </c>
      <c r="R1524" s="0" t="n">
        <f aca="false">F1524*H1524</f>
        <v>-0.75</v>
      </c>
      <c r="S1524" s="0" t="n">
        <f aca="false">G1524*H1524</f>
        <v>0.375</v>
      </c>
      <c r="T1524" s="0" t="n">
        <f aca="false">E1524*E1524</f>
        <v>0.25</v>
      </c>
      <c r="U1524" s="0" t="n">
        <f aca="false">F1524*F1524</f>
        <v>1</v>
      </c>
      <c r="V1524" s="0" t="n">
        <f aca="false">G1524*G1524</f>
        <v>0.25</v>
      </c>
      <c r="W1524" s="0" t="n">
        <f aca="false">H1524*H1524</f>
        <v>0.5625</v>
      </c>
      <c r="X1524" s="0" t="n">
        <f aca="false">SUMPRODUCT(I1524:W1524,_XtX!$B$96:$P$96)</f>
        <v>42.7817525584795</v>
      </c>
      <c r="Y1524" s="0" t="n">
        <f aca="false">SUMPRODUCT(MMULT(I1524:W1524,_XtX!$B$78:$P$92),I1524:W1524)</f>
        <v>0.42602110745614</v>
      </c>
      <c r="Z1524" s="0" t="n">
        <f aca="false">04_回帰ANOVA!$K$19*04_回帰ANOVA!$K$14*SQRT(1+Y1524)</f>
        <v>1.55654388501114</v>
      </c>
      <c r="AA1524" s="0" t="n">
        <f aca="false">X1524-Z1524</f>
        <v>41.2252086734684</v>
      </c>
      <c r="AB1524" s="0" t="n">
        <f aca="false">X1524+Z1524</f>
        <v>44.3382964434907</v>
      </c>
      <c r="AC1524" s="54" t="b">
        <f aca="false">AND(E1524&gt;=01_因子設定!$L$5-0.000000001,E1524&lt;=01_因子設定!$M$5+0.000000001,F1524&gt;=01_因子設定!$L$6-0.000000001,F1524&lt;=01_因子設定!$M$6+0.000000001,G1524&gt;=01_因子設定!$L$7-0.000000001,G1524&lt;=01_因子設定!$M$7+0.000000001,H1524&gt;=01_因子設定!$L$8-0.000000001,H1524&lt;=01_因子設定!$M$8+0.000000001,IF(01_因子設定!$B$20="Box-Behnken",E1524^2+F1524^2+G1524^2+H1524^2&lt;=2+0.000000001,TRUE()))</f>
        <v>1</v>
      </c>
      <c r="AD1524" s="55" t="n">
        <f aca="false">IF(AC1524,IF(01_因子設定!$B$13="最大化",AA1524-01_因子設定!$B$14,IF(01_因子設定!$B$13="最小化",01_因子設定!$B$15-AB1524,MIN(AA1524-01_因子設定!$B$14,01_因子設定!$B$15-AB1524))),-1E+030)</f>
        <v>-5.27479132653163</v>
      </c>
      <c r="AE1524" s="55" t="n">
        <f aca="false">IF(AC1524,IF(01_因子設定!$B$13="最大化",X1524,IF(01_因子設定!$B$13="最小化",-X1524,-ABS(X1524-01_因子設定!$B$16))),-1E+030)</f>
        <v>42.7817525584795</v>
      </c>
      <c r="AF1524" s="55" t="n">
        <f aca="false">AD1524+ROW()*0.000000001</f>
        <v>-5.27478980253163</v>
      </c>
      <c r="AG1524" s="55" t="n">
        <f aca="false">AE1524+ROW()*0.000000001</f>
        <v>42.7817540824795</v>
      </c>
    </row>
    <row r="1525" customFormat="false" ht="15" hidden="false" customHeight="false" outlineLevel="0" collapsed="false">
      <c r="A1525" s="0" t="n">
        <v>2</v>
      </c>
      <c r="B1525" s="0" t="n">
        <v>0</v>
      </c>
      <c r="C1525" s="0" t="n">
        <v>6</v>
      </c>
      <c r="D1525" s="0" t="n">
        <v>8</v>
      </c>
      <c r="E1525" s="0" t="n">
        <f aca="false">-1+A1525*0.25</f>
        <v>-0.5</v>
      </c>
      <c r="F1525" s="0" t="n">
        <f aca="false">-1+B1525*0.25</f>
        <v>-1</v>
      </c>
      <c r="G1525" s="0" t="n">
        <f aca="false">-1+C1525*0.25</f>
        <v>0.5</v>
      </c>
      <c r="H1525" s="0" t="n">
        <f aca="false">-1+D1525*0.25</f>
        <v>1</v>
      </c>
      <c r="I1525" s="0" t="n">
        <f aca="false">1</f>
        <v>1</v>
      </c>
      <c r="J1525" s="0" t="n">
        <f aca="false">E1525</f>
        <v>-0.5</v>
      </c>
      <c r="K1525" s="0" t="n">
        <f aca="false">F1525</f>
        <v>-1</v>
      </c>
      <c r="L1525" s="0" t="n">
        <f aca="false">G1525</f>
        <v>0.5</v>
      </c>
      <c r="M1525" s="0" t="n">
        <f aca="false">H1525</f>
        <v>1</v>
      </c>
      <c r="N1525" s="0" t="n">
        <f aca="false">E1525*F1525</f>
        <v>0.5</v>
      </c>
      <c r="O1525" s="0" t="n">
        <f aca="false">E1525*G1525</f>
        <v>-0.25</v>
      </c>
      <c r="P1525" s="0" t="n">
        <f aca="false">E1525*H1525</f>
        <v>-0.5</v>
      </c>
      <c r="Q1525" s="0" t="n">
        <f aca="false">F1525*G1525</f>
        <v>-0.5</v>
      </c>
      <c r="R1525" s="0" t="n">
        <f aca="false">F1525*H1525</f>
        <v>-1</v>
      </c>
      <c r="S1525" s="0" t="n">
        <f aca="false">G1525*H1525</f>
        <v>0.5</v>
      </c>
      <c r="T1525" s="0" t="n">
        <f aca="false">E1525*E1525</f>
        <v>0.25</v>
      </c>
      <c r="U1525" s="0" t="n">
        <f aca="false">F1525*F1525</f>
        <v>1</v>
      </c>
      <c r="V1525" s="0" t="n">
        <f aca="false">G1525*G1525</f>
        <v>0.25</v>
      </c>
      <c r="W1525" s="0" t="n">
        <f aca="false">H1525*H1525</f>
        <v>1</v>
      </c>
      <c r="X1525" s="0" t="n">
        <f aca="false">SUMPRODUCT(I1525:W1525,_XtX!$B$96:$P$96)</f>
        <v>42.7892543859649</v>
      </c>
      <c r="Y1525" s="0" t="n">
        <f aca="false">SUMPRODUCT(MMULT(I1525:W1525,_XtX!$B$78:$P$92),I1525:W1525)</f>
        <v>0.582488121345029</v>
      </c>
      <c r="Z1525" s="0" t="n">
        <f aca="false">04_回帰ANOVA!$K$19*04_回帰ANOVA!$K$14*SQRT(1+Y1525)</f>
        <v>1.63971595338287</v>
      </c>
      <c r="AA1525" s="0" t="n">
        <f aca="false">X1525-Z1525</f>
        <v>41.149538432582</v>
      </c>
      <c r="AB1525" s="0" t="n">
        <f aca="false">X1525+Z1525</f>
        <v>44.4289703393478</v>
      </c>
      <c r="AC1525" s="54" t="b">
        <f aca="false">AND(E1525&gt;=01_因子設定!$L$5-0.000000001,E1525&lt;=01_因子設定!$M$5+0.000000001,F1525&gt;=01_因子設定!$L$6-0.000000001,F1525&lt;=01_因子設定!$M$6+0.000000001,G1525&gt;=01_因子設定!$L$7-0.000000001,G1525&lt;=01_因子設定!$M$7+0.000000001,H1525&gt;=01_因子設定!$L$8-0.000000001,H1525&lt;=01_因子設定!$M$8+0.000000001,IF(01_因子設定!$B$20="Box-Behnken",E1525^2+F1525^2+G1525^2+H1525^2&lt;=2+0.000000001,TRUE()))</f>
        <v>1</v>
      </c>
      <c r="AD1525" s="55" t="n">
        <f aca="false">IF(AC1525,IF(01_因子設定!$B$13="最大化",AA1525-01_因子設定!$B$14,IF(01_因子設定!$B$13="最小化",01_因子設定!$B$15-AB1525,MIN(AA1525-01_因子設定!$B$14,01_因子設定!$B$15-AB1525))),-1E+030)</f>
        <v>-5.35046156741796</v>
      </c>
      <c r="AE1525" s="55" t="n">
        <f aca="false">IF(AC1525,IF(01_因子設定!$B$13="最大化",X1525,IF(01_因子設定!$B$13="最小化",-X1525,-ABS(X1525-01_因子設定!$B$16))),-1E+030)</f>
        <v>42.7892543859649</v>
      </c>
      <c r="AF1525" s="55" t="n">
        <f aca="false">AD1525+ROW()*0.000000001</f>
        <v>-5.35046004241796</v>
      </c>
      <c r="AG1525" s="55" t="n">
        <f aca="false">AE1525+ROW()*0.000000001</f>
        <v>42.7892559109649</v>
      </c>
    </row>
    <row r="1526" customFormat="false" ht="15" hidden="false" customHeight="false" outlineLevel="0" collapsed="false">
      <c r="A1526" s="0" t="n">
        <v>2</v>
      </c>
      <c r="B1526" s="0" t="n">
        <v>0</v>
      </c>
      <c r="C1526" s="0" t="n">
        <v>7</v>
      </c>
      <c r="D1526" s="0" t="n">
        <v>0</v>
      </c>
      <c r="E1526" s="0" t="n">
        <f aca="false">-1+A1526*0.25</f>
        <v>-0.5</v>
      </c>
      <c r="F1526" s="0" t="n">
        <f aca="false">-1+B1526*0.25</f>
        <v>-1</v>
      </c>
      <c r="G1526" s="0" t="n">
        <f aca="false">-1+C1526*0.25</f>
        <v>0.75</v>
      </c>
      <c r="H1526" s="0" t="n">
        <f aca="false">-1+D1526*0.25</f>
        <v>-1</v>
      </c>
      <c r="I1526" s="0" t="n">
        <f aca="false">1</f>
        <v>1</v>
      </c>
      <c r="J1526" s="0" t="n">
        <f aca="false">E1526</f>
        <v>-0.5</v>
      </c>
      <c r="K1526" s="0" t="n">
        <f aca="false">F1526</f>
        <v>-1</v>
      </c>
      <c r="L1526" s="0" t="n">
        <f aca="false">G1526</f>
        <v>0.75</v>
      </c>
      <c r="M1526" s="0" t="n">
        <f aca="false">H1526</f>
        <v>-1</v>
      </c>
      <c r="N1526" s="0" t="n">
        <f aca="false">E1526*F1526</f>
        <v>0.5</v>
      </c>
      <c r="O1526" s="0" t="n">
        <f aca="false">E1526*G1526</f>
        <v>-0.375</v>
      </c>
      <c r="P1526" s="0" t="n">
        <f aca="false">E1526*H1526</f>
        <v>0.5</v>
      </c>
      <c r="Q1526" s="0" t="n">
        <f aca="false">F1526*G1526</f>
        <v>-0.75</v>
      </c>
      <c r="R1526" s="0" t="n">
        <f aca="false">F1526*H1526</f>
        <v>1</v>
      </c>
      <c r="S1526" s="0" t="n">
        <f aca="false">G1526*H1526</f>
        <v>-0.75</v>
      </c>
      <c r="T1526" s="0" t="n">
        <f aca="false">E1526*E1526</f>
        <v>0.25</v>
      </c>
      <c r="U1526" s="0" t="n">
        <f aca="false">F1526*F1526</f>
        <v>1</v>
      </c>
      <c r="V1526" s="0" t="n">
        <f aca="false">G1526*G1526</f>
        <v>0.5625</v>
      </c>
      <c r="W1526" s="0" t="n">
        <f aca="false">H1526*H1526</f>
        <v>1</v>
      </c>
      <c r="X1526" s="0" t="n">
        <f aca="false">SUMPRODUCT(I1526:W1526,_XtX!$B$96:$P$96)</f>
        <v>41.3544590643275</v>
      </c>
      <c r="Y1526" s="0" t="n">
        <f aca="false">SUMPRODUCT(MMULT(I1526:W1526,_XtX!$B$78:$P$92),I1526:W1526)</f>
        <v>0.564984237938597</v>
      </c>
      <c r="Z1526" s="0" t="n">
        <f aca="false">04_回帰ANOVA!$K$19*04_回帰ANOVA!$K$14*SQRT(1+Y1526)</f>
        <v>1.63062229734503</v>
      </c>
      <c r="AA1526" s="0" t="n">
        <f aca="false">X1526-Z1526</f>
        <v>39.7238367669825</v>
      </c>
      <c r="AB1526" s="0" t="n">
        <f aca="false">X1526+Z1526</f>
        <v>42.9850813616725</v>
      </c>
      <c r="AC1526" s="54" t="b">
        <f aca="false">AND(E1526&gt;=01_因子設定!$L$5-0.000000001,E1526&lt;=01_因子設定!$M$5+0.000000001,F1526&gt;=01_因子設定!$L$6-0.000000001,F1526&lt;=01_因子設定!$M$6+0.000000001,G1526&gt;=01_因子設定!$L$7-0.000000001,G1526&lt;=01_因子設定!$M$7+0.000000001,H1526&gt;=01_因子設定!$L$8-0.000000001,H1526&lt;=01_因子設定!$M$8+0.000000001,IF(01_因子設定!$B$20="Box-Behnken",E1526^2+F1526^2+G1526^2+H1526^2&lt;=2+0.000000001,TRUE()))</f>
        <v>1</v>
      </c>
      <c r="AD1526" s="55" t="n">
        <f aca="false">IF(AC1526,IF(01_因子設定!$B$13="最大化",AA1526-01_因子設定!$B$14,IF(01_因子設定!$B$13="最小化",01_因子設定!$B$15-AB1526,MIN(AA1526-01_因子設定!$B$14,01_因子設定!$B$15-AB1526))),-1E+030)</f>
        <v>-6.77616323301755</v>
      </c>
      <c r="AE1526" s="55" t="n">
        <f aca="false">IF(AC1526,IF(01_因子設定!$B$13="最大化",X1526,IF(01_因子設定!$B$13="最小化",-X1526,-ABS(X1526-01_因子設定!$B$16))),-1E+030)</f>
        <v>41.3544590643275</v>
      </c>
      <c r="AF1526" s="55" t="n">
        <f aca="false">AD1526+ROW()*0.000000001</f>
        <v>-6.77616170701755</v>
      </c>
      <c r="AG1526" s="55" t="n">
        <f aca="false">AE1526+ROW()*0.000000001</f>
        <v>41.3544605903275</v>
      </c>
    </row>
    <row r="1527" customFormat="false" ht="15" hidden="false" customHeight="false" outlineLevel="0" collapsed="false">
      <c r="A1527" s="0" t="n">
        <v>2</v>
      </c>
      <c r="B1527" s="0" t="n">
        <v>0</v>
      </c>
      <c r="C1527" s="0" t="n">
        <v>7</v>
      </c>
      <c r="D1527" s="0" t="n">
        <v>1</v>
      </c>
      <c r="E1527" s="0" t="n">
        <f aca="false">-1+A1527*0.25</f>
        <v>-0.5</v>
      </c>
      <c r="F1527" s="0" t="n">
        <f aca="false">-1+B1527*0.25</f>
        <v>-1</v>
      </c>
      <c r="G1527" s="0" t="n">
        <f aca="false">-1+C1527*0.25</f>
        <v>0.75</v>
      </c>
      <c r="H1527" s="0" t="n">
        <f aca="false">-1+D1527*0.25</f>
        <v>-0.75</v>
      </c>
      <c r="I1527" s="0" t="n">
        <f aca="false">1</f>
        <v>1</v>
      </c>
      <c r="J1527" s="0" t="n">
        <f aca="false">E1527</f>
        <v>-0.5</v>
      </c>
      <c r="K1527" s="0" t="n">
        <f aca="false">F1527</f>
        <v>-1</v>
      </c>
      <c r="L1527" s="0" t="n">
        <f aca="false">G1527</f>
        <v>0.75</v>
      </c>
      <c r="M1527" s="0" t="n">
        <f aca="false">H1527</f>
        <v>-0.75</v>
      </c>
      <c r="N1527" s="0" t="n">
        <f aca="false">E1527*F1527</f>
        <v>0.5</v>
      </c>
      <c r="O1527" s="0" t="n">
        <f aca="false">E1527*G1527</f>
        <v>-0.375</v>
      </c>
      <c r="P1527" s="0" t="n">
        <f aca="false">E1527*H1527</f>
        <v>0.375</v>
      </c>
      <c r="Q1527" s="0" t="n">
        <f aca="false">F1527*G1527</f>
        <v>-0.75</v>
      </c>
      <c r="R1527" s="0" t="n">
        <f aca="false">F1527*H1527</f>
        <v>0.75</v>
      </c>
      <c r="S1527" s="0" t="n">
        <f aca="false">G1527*H1527</f>
        <v>-0.5625</v>
      </c>
      <c r="T1527" s="0" t="n">
        <f aca="false">E1527*E1527</f>
        <v>0.25</v>
      </c>
      <c r="U1527" s="0" t="n">
        <f aca="false">F1527*F1527</f>
        <v>1</v>
      </c>
      <c r="V1527" s="0" t="n">
        <f aca="false">G1527*G1527</f>
        <v>0.5625</v>
      </c>
      <c r="W1527" s="0" t="n">
        <f aca="false">H1527*H1527</f>
        <v>0.5625</v>
      </c>
      <c r="X1527" s="0" t="n">
        <f aca="false">SUMPRODUCT(I1527:W1527,_XtX!$B$96:$P$96)</f>
        <v>41.7145787646199</v>
      </c>
      <c r="Y1527" s="0" t="n">
        <f aca="false">SUMPRODUCT(MMULT(I1527:W1527,_XtX!$B$78:$P$92),I1527:W1527)</f>
        <v>0.431153771472953</v>
      </c>
      <c r="Z1527" s="0" t="n">
        <f aca="false">04_回帰ANOVA!$K$19*04_回帰ANOVA!$K$14*SQRT(1+Y1527)</f>
        <v>1.55934259562563</v>
      </c>
      <c r="AA1527" s="0" t="n">
        <f aca="false">X1527-Z1527</f>
        <v>40.1552361689942</v>
      </c>
      <c r="AB1527" s="0" t="n">
        <f aca="false">X1527+Z1527</f>
        <v>43.2739213602455</v>
      </c>
      <c r="AC1527" s="54" t="b">
        <f aca="false">AND(E1527&gt;=01_因子設定!$L$5-0.000000001,E1527&lt;=01_因子設定!$M$5+0.000000001,F1527&gt;=01_因子設定!$L$6-0.000000001,F1527&lt;=01_因子設定!$M$6+0.000000001,G1527&gt;=01_因子設定!$L$7-0.000000001,G1527&lt;=01_因子設定!$M$7+0.000000001,H1527&gt;=01_因子設定!$L$8-0.000000001,H1527&lt;=01_因子設定!$M$8+0.000000001,IF(01_因子設定!$B$20="Box-Behnken",E1527^2+F1527^2+G1527^2+H1527^2&lt;=2+0.000000001,TRUE()))</f>
        <v>1</v>
      </c>
      <c r="AD1527" s="55" t="n">
        <f aca="false">IF(AC1527,IF(01_因子設定!$B$13="最大化",AA1527-01_因子設定!$B$14,IF(01_因子設定!$B$13="最小化",01_因子設定!$B$15-AB1527,MIN(AA1527-01_因子設定!$B$14,01_因子設定!$B$15-AB1527))),-1E+030)</f>
        <v>-6.34476383100576</v>
      </c>
      <c r="AE1527" s="55" t="n">
        <f aca="false">IF(AC1527,IF(01_因子設定!$B$13="最大化",X1527,IF(01_因子設定!$B$13="最小化",-X1527,-ABS(X1527-01_因子設定!$B$16))),-1E+030)</f>
        <v>41.7145787646199</v>
      </c>
      <c r="AF1527" s="55" t="n">
        <f aca="false">AD1527+ROW()*0.000000001</f>
        <v>-6.34476230400576</v>
      </c>
      <c r="AG1527" s="55" t="n">
        <f aca="false">AE1527+ROW()*0.000000001</f>
        <v>41.7145802916199</v>
      </c>
    </row>
    <row r="1528" customFormat="false" ht="15" hidden="false" customHeight="false" outlineLevel="0" collapsed="false">
      <c r="A1528" s="0" t="n">
        <v>2</v>
      </c>
      <c r="B1528" s="0" t="n">
        <v>0</v>
      </c>
      <c r="C1528" s="0" t="n">
        <v>7</v>
      </c>
      <c r="D1528" s="0" t="n">
        <v>2</v>
      </c>
      <c r="E1528" s="0" t="n">
        <f aca="false">-1+A1528*0.25</f>
        <v>-0.5</v>
      </c>
      <c r="F1528" s="0" t="n">
        <f aca="false">-1+B1528*0.25</f>
        <v>-1</v>
      </c>
      <c r="G1528" s="0" t="n">
        <f aca="false">-1+C1528*0.25</f>
        <v>0.75</v>
      </c>
      <c r="H1528" s="0" t="n">
        <f aca="false">-1+D1528*0.25</f>
        <v>-0.5</v>
      </c>
      <c r="I1528" s="0" t="n">
        <f aca="false">1</f>
        <v>1</v>
      </c>
      <c r="J1528" s="0" t="n">
        <f aca="false">E1528</f>
        <v>-0.5</v>
      </c>
      <c r="K1528" s="0" t="n">
        <f aca="false">F1528</f>
        <v>-1</v>
      </c>
      <c r="L1528" s="0" t="n">
        <f aca="false">G1528</f>
        <v>0.75</v>
      </c>
      <c r="M1528" s="0" t="n">
        <f aca="false">H1528</f>
        <v>-0.5</v>
      </c>
      <c r="N1528" s="0" t="n">
        <f aca="false">E1528*F1528</f>
        <v>0.5</v>
      </c>
      <c r="O1528" s="0" t="n">
        <f aca="false">E1528*G1528</f>
        <v>-0.375</v>
      </c>
      <c r="P1528" s="0" t="n">
        <f aca="false">E1528*H1528</f>
        <v>0.25</v>
      </c>
      <c r="Q1528" s="0" t="n">
        <f aca="false">F1528*G1528</f>
        <v>-0.75</v>
      </c>
      <c r="R1528" s="0" t="n">
        <f aca="false">F1528*H1528</f>
        <v>0.5</v>
      </c>
      <c r="S1528" s="0" t="n">
        <f aca="false">G1528*H1528</f>
        <v>-0.375</v>
      </c>
      <c r="T1528" s="0" t="n">
        <f aca="false">E1528*E1528</f>
        <v>0.25</v>
      </c>
      <c r="U1528" s="0" t="n">
        <f aca="false">F1528*F1528</f>
        <v>1</v>
      </c>
      <c r="V1528" s="0" t="n">
        <f aca="false">G1528*G1528</f>
        <v>0.5625</v>
      </c>
      <c r="W1528" s="0" t="n">
        <f aca="false">H1528*H1528</f>
        <v>0.25</v>
      </c>
      <c r="X1528" s="0" t="n">
        <f aca="false">SUMPRODUCT(I1528:W1528,_XtX!$B$96:$P$96)</f>
        <v>42.0268914473684</v>
      </c>
      <c r="Y1528" s="0" t="n">
        <f aca="false">SUMPRODUCT(MMULT(I1528:W1528,_XtX!$B$78:$P$92),I1528:W1528)</f>
        <v>0.42602110745614</v>
      </c>
      <c r="Z1528" s="0" t="n">
        <f aca="false">04_回帰ANOVA!$K$19*04_回帰ANOVA!$K$14*SQRT(1+Y1528)</f>
        <v>1.55654388501114</v>
      </c>
      <c r="AA1528" s="0" t="n">
        <f aca="false">X1528-Z1528</f>
        <v>40.4703475623573</v>
      </c>
      <c r="AB1528" s="0" t="n">
        <f aca="false">X1528+Z1528</f>
        <v>43.5834353323795</v>
      </c>
      <c r="AC1528" s="54" t="b">
        <f aca="false">AND(E1528&gt;=01_因子設定!$L$5-0.000000001,E1528&lt;=01_因子設定!$M$5+0.000000001,F1528&gt;=01_因子設定!$L$6-0.000000001,F1528&lt;=01_因子設定!$M$6+0.000000001,G1528&gt;=01_因子設定!$L$7-0.000000001,G1528&lt;=01_因子設定!$M$7+0.000000001,H1528&gt;=01_因子設定!$L$8-0.000000001,H1528&lt;=01_因子設定!$M$8+0.000000001,IF(01_因子設定!$B$20="Box-Behnken",E1528^2+F1528^2+G1528^2+H1528^2&lt;=2+0.000000001,TRUE()))</f>
        <v>1</v>
      </c>
      <c r="AD1528" s="55" t="n">
        <f aca="false">IF(AC1528,IF(01_因子設定!$B$13="最大化",AA1528-01_因子設定!$B$14,IF(01_因子設定!$B$13="最小化",01_因子設定!$B$15-AB1528,MIN(AA1528-01_因子設定!$B$14,01_因子設定!$B$15-AB1528))),-1E+030)</f>
        <v>-6.02965243764275</v>
      </c>
      <c r="AE1528" s="55" t="n">
        <f aca="false">IF(AC1528,IF(01_因子設定!$B$13="最大化",X1528,IF(01_因子設定!$B$13="最小化",-X1528,-ABS(X1528-01_因子設定!$B$16))),-1E+030)</f>
        <v>42.0268914473684</v>
      </c>
      <c r="AF1528" s="55" t="n">
        <f aca="false">AD1528+ROW()*0.000000001</f>
        <v>-6.02965090964275</v>
      </c>
      <c r="AG1528" s="55" t="n">
        <f aca="false">AE1528+ROW()*0.000000001</f>
        <v>42.0268929753684</v>
      </c>
    </row>
    <row r="1529" customFormat="false" ht="15" hidden="false" customHeight="false" outlineLevel="0" collapsed="false">
      <c r="A1529" s="0" t="n">
        <v>2</v>
      </c>
      <c r="B1529" s="0" t="n">
        <v>0</v>
      </c>
      <c r="C1529" s="0" t="n">
        <v>7</v>
      </c>
      <c r="D1529" s="0" t="n">
        <v>3</v>
      </c>
      <c r="E1529" s="0" t="n">
        <f aca="false">-1+A1529*0.25</f>
        <v>-0.5</v>
      </c>
      <c r="F1529" s="0" t="n">
        <f aca="false">-1+B1529*0.25</f>
        <v>-1</v>
      </c>
      <c r="G1529" s="0" t="n">
        <f aca="false">-1+C1529*0.25</f>
        <v>0.75</v>
      </c>
      <c r="H1529" s="0" t="n">
        <f aca="false">-1+D1529*0.25</f>
        <v>-0.25</v>
      </c>
      <c r="I1529" s="0" t="n">
        <f aca="false">1</f>
        <v>1</v>
      </c>
      <c r="J1529" s="0" t="n">
        <f aca="false">E1529</f>
        <v>-0.5</v>
      </c>
      <c r="K1529" s="0" t="n">
        <f aca="false">F1529</f>
        <v>-1</v>
      </c>
      <c r="L1529" s="0" t="n">
        <f aca="false">G1529</f>
        <v>0.75</v>
      </c>
      <c r="M1529" s="0" t="n">
        <f aca="false">H1529</f>
        <v>-0.25</v>
      </c>
      <c r="N1529" s="0" t="n">
        <f aca="false">E1529*F1529</f>
        <v>0.5</v>
      </c>
      <c r="O1529" s="0" t="n">
        <f aca="false">E1529*G1529</f>
        <v>-0.375</v>
      </c>
      <c r="P1529" s="0" t="n">
        <f aca="false">E1529*H1529</f>
        <v>0.125</v>
      </c>
      <c r="Q1529" s="0" t="n">
        <f aca="false">F1529*G1529</f>
        <v>-0.75</v>
      </c>
      <c r="R1529" s="0" t="n">
        <f aca="false">F1529*H1529</f>
        <v>0.25</v>
      </c>
      <c r="S1529" s="0" t="n">
        <f aca="false">G1529*H1529</f>
        <v>-0.1875</v>
      </c>
      <c r="T1529" s="0" t="n">
        <f aca="false">E1529*E1529</f>
        <v>0.25</v>
      </c>
      <c r="U1529" s="0" t="n">
        <f aca="false">F1529*F1529</f>
        <v>1</v>
      </c>
      <c r="V1529" s="0" t="n">
        <f aca="false">G1529*G1529</f>
        <v>0.5625</v>
      </c>
      <c r="W1529" s="0" t="n">
        <f aca="false">H1529*H1529</f>
        <v>0.0625</v>
      </c>
      <c r="X1529" s="0" t="n">
        <f aca="false">SUMPRODUCT(I1529:W1529,_XtX!$B$96:$P$96)</f>
        <v>42.2913971125731</v>
      </c>
      <c r="Y1529" s="0" t="n">
        <f aca="false">SUMPRODUCT(MMULT(I1529:W1529,_XtX!$B$78:$P$92),I1529:W1529)</f>
        <v>0.459125719572369</v>
      </c>
      <c r="Z1529" s="0" t="n">
        <f aca="false">04_回帰ANOVA!$K$19*04_回帰ANOVA!$K$14*SQRT(1+Y1529)</f>
        <v>1.57450755575573</v>
      </c>
      <c r="AA1529" s="0" t="n">
        <f aca="false">X1529-Z1529</f>
        <v>40.7168895568173</v>
      </c>
      <c r="AB1529" s="0" t="n">
        <f aca="false">X1529+Z1529</f>
        <v>43.8659046683288</v>
      </c>
      <c r="AC1529" s="54" t="b">
        <f aca="false">AND(E1529&gt;=01_因子設定!$L$5-0.000000001,E1529&lt;=01_因子設定!$M$5+0.000000001,F1529&gt;=01_因子設定!$L$6-0.000000001,F1529&lt;=01_因子設定!$M$6+0.000000001,G1529&gt;=01_因子設定!$L$7-0.000000001,G1529&lt;=01_因子設定!$M$7+0.000000001,H1529&gt;=01_因子設定!$L$8-0.000000001,H1529&lt;=01_因子設定!$M$8+0.000000001,IF(01_因子設定!$B$20="Box-Behnken",E1529^2+F1529^2+G1529^2+H1529^2&lt;=2+0.000000001,TRUE()))</f>
        <v>1</v>
      </c>
      <c r="AD1529" s="55" t="n">
        <f aca="false">IF(AC1529,IF(01_因子設定!$B$13="最大化",AA1529-01_因子設定!$B$14,IF(01_因子設定!$B$13="最小化",01_因子設定!$B$15-AB1529,MIN(AA1529-01_因子設定!$B$14,01_因子設定!$B$15-AB1529))),-1E+030)</f>
        <v>-5.78311044318267</v>
      </c>
      <c r="AE1529" s="55" t="n">
        <f aca="false">IF(AC1529,IF(01_因子設定!$B$13="最大化",X1529,IF(01_因子設定!$B$13="最小化",-X1529,-ABS(X1529-01_因子設定!$B$16))),-1E+030)</f>
        <v>42.2913971125731</v>
      </c>
      <c r="AF1529" s="55" t="n">
        <f aca="false">AD1529+ROW()*0.000000001</f>
        <v>-5.78310891418267</v>
      </c>
      <c r="AG1529" s="55" t="n">
        <f aca="false">AE1529+ROW()*0.000000001</f>
        <v>42.2913986415731</v>
      </c>
    </row>
    <row r="1530" customFormat="false" ht="15" hidden="false" customHeight="false" outlineLevel="0" collapsed="false">
      <c r="A1530" s="0" t="n">
        <v>2</v>
      </c>
      <c r="B1530" s="0" t="n">
        <v>0</v>
      </c>
      <c r="C1530" s="0" t="n">
        <v>7</v>
      </c>
      <c r="D1530" s="0" t="n">
        <v>4</v>
      </c>
      <c r="E1530" s="0" t="n">
        <f aca="false">-1+A1530*0.25</f>
        <v>-0.5</v>
      </c>
      <c r="F1530" s="0" t="n">
        <f aca="false">-1+B1530*0.25</f>
        <v>-1</v>
      </c>
      <c r="G1530" s="0" t="n">
        <f aca="false">-1+C1530*0.25</f>
        <v>0.75</v>
      </c>
      <c r="H1530" s="0" t="n">
        <f aca="false">-1+D1530*0.25</f>
        <v>0</v>
      </c>
      <c r="I1530" s="0" t="n">
        <f aca="false">1</f>
        <v>1</v>
      </c>
      <c r="J1530" s="0" t="n">
        <f aca="false">E1530</f>
        <v>-0.5</v>
      </c>
      <c r="K1530" s="0" t="n">
        <f aca="false">F1530</f>
        <v>-1</v>
      </c>
      <c r="L1530" s="0" t="n">
        <f aca="false">G1530</f>
        <v>0.75</v>
      </c>
      <c r="M1530" s="0" t="n">
        <f aca="false">H1530</f>
        <v>0</v>
      </c>
      <c r="N1530" s="0" t="n">
        <f aca="false">E1530*F1530</f>
        <v>0.5</v>
      </c>
      <c r="O1530" s="0" t="n">
        <f aca="false">E1530*G1530</f>
        <v>-0.375</v>
      </c>
      <c r="P1530" s="0" t="n">
        <f aca="false">E1530*H1530</f>
        <v>-0</v>
      </c>
      <c r="Q1530" s="0" t="n">
        <f aca="false">F1530*G1530</f>
        <v>-0.75</v>
      </c>
      <c r="R1530" s="0" t="n">
        <f aca="false">F1530*H1530</f>
        <v>-0</v>
      </c>
      <c r="S1530" s="0" t="n">
        <f aca="false">G1530*H1530</f>
        <v>0</v>
      </c>
      <c r="T1530" s="0" t="n">
        <f aca="false">E1530*E1530</f>
        <v>0.25</v>
      </c>
      <c r="U1530" s="0" t="n">
        <f aca="false">F1530*F1530</f>
        <v>1</v>
      </c>
      <c r="V1530" s="0" t="n">
        <f aca="false">G1530*G1530</f>
        <v>0.5625</v>
      </c>
      <c r="W1530" s="0" t="n">
        <f aca="false">H1530*H1530</f>
        <v>0</v>
      </c>
      <c r="X1530" s="0" t="n">
        <f aca="false">SUMPRODUCT(I1530:W1530,_XtX!$B$96:$P$96)</f>
        <v>42.5080957602339</v>
      </c>
      <c r="Y1530" s="0" t="n">
        <f aca="false">SUMPRODUCT(MMULT(I1530:W1530,_XtX!$B$78:$P$92),I1530:W1530)</f>
        <v>0.476191292032164</v>
      </c>
      <c r="Z1530" s="0" t="n">
        <f aca="false">04_回帰ANOVA!$K$19*04_回帰ANOVA!$K$14*SQRT(1+Y1530)</f>
        <v>1.58368831471718</v>
      </c>
      <c r="AA1530" s="0" t="n">
        <f aca="false">X1530-Z1530</f>
        <v>40.9244074455167</v>
      </c>
      <c r="AB1530" s="0" t="n">
        <f aca="false">X1530+Z1530</f>
        <v>44.0917840749511</v>
      </c>
      <c r="AC1530" s="54" t="b">
        <f aca="false">AND(E1530&gt;=01_因子設定!$L$5-0.000000001,E1530&lt;=01_因子設定!$M$5+0.000000001,F1530&gt;=01_因子設定!$L$6-0.000000001,F1530&lt;=01_因子設定!$M$6+0.000000001,G1530&gt;=01_因子設定!$L$7-0.000000001,G1530&lt;=01_因子設定!$M$7+0.000000001,H1530&gt;=01_因子設定!$L$8-0.000000001,H1530&lt;=01_因子設定!$M$8+0.000000001,IF(01_因子設定!$B$20="Box-Behnken",E1530^2+F1530^2+G1530^2+H1530^2&lt;=2+0.000000001,TRUE()))</f>
        <v>1</v>
      </c>
      <c r="AD1530" s="55" t="n">
        <f aca="false">IF(AC1530,IF(01_因子設定!$B$13="最大化",AA1530-01_因子設定!$B$14,IF(01_因子設定!$B$13="最小化",01_因子設定!$B$15-AB1530,MIN(AA1530-01_因子設定!$B$14,01_因子設定!$B$15-AB1530))),-1E+030)</f>
        <v>-5.5755925544833</v>
      </c>
      <c r="AE1530" s="55" t="n">
        <f aca="false">IF(AC1530,IF(01_因子設定!$B$13="最大化",X1530,IF(01_因子設定!$B$13="最小化",-X1530,-ABS(X1530-01_因子設定!$B$16))),-1E+030)</f>
        <v>42.5080957602339</v>
      </c>
      <c r="AF1530" s="55" t="n">
        <f aca="false">AD1530+ROW()*0.000000001</f>
        <v>-5.5755910244833</v>
      </c>
      <c r="AG1530" s="55" t="n">
        <f aca="false">AE1530+ROW()*0.000000001</f>
        <v>42.5080972902339</v>
      </c>
    </row>
    <row r="1531" customFormat="false" ht="15" hidden="false" customHeight="false" outlineLevel="0" collapsed="false">
      <c r="A1531" s="0" t="n">
        <v>2</v>
      </c>
      <c r="B1531" s="0" t="n">
        <v>0</v>
      </c>
      <c r="C1531" s="0" t="n">
        <v>7</v>
      </c>
      <c r="D1531" s="0" t="n">
        <v>5</v>
      </c>
      <c r="E1531" s="0" t="n">
        <f aca="false">-1+A1531*0.25</f>
        <v>-0.5</v>
      </c>
      <c r="F1531" s="0" t="n">
        <f aca="false">-1+B1531*0.25</f>
        <v>-1</v>
      </c>
      <c r="G1531" s="0" t="n">
        <f aca="false">-1+C1531*0.25</f>
        <v>0.75</v>
      </c>
      <c r="H1531" s="0" t="n">
        <f aca="false">-1+D1531*0.25</f>
        <v>0.25</v>
      </c>
      <c r="I1531" s="0" t="n">
        <f aca="false">1</f>
        <v>1</v>
      </c>
      <c r="J1531" s="0" t="n">
        <f aca="false">E1531</f>
        <v>-0.5</v>
      </c>
      <c r="K1531" s="0" t="n">
        <f aca="false">F1531</f>
        <v>-1</v>
      </c>
      <c r="L1531" s="0" t="n">
        <f aca="false">G1531</f>
        <v>0.75</v>
      </c>
      <c r="M1531" s="0" t="n">
        <f aca="false">H1531</f>
        <v>0.25</v>
      </c>
      <c r="N1531" s="0" t="n">
        <f aca="false">E1531*F1531</f>
        <v>0.5</v>
      </c>
      <c r="O1531" s="0" t="n">
        <f aca="false">E1531*G1531</f>
        <v>-0.375</v>
      </c>
      <c r="P1531" s="0" t="n">
        <f aca="false">E1531*H1531</f>
        <v>-0.125</v>
      </c>
      <c r="Q1531" s="0" t="n">
        <f aca="false">F1531*G1531</f>
        <v>-0.75</v>
      </c>
      <c r="R1531" s="0" t="n">
        <f aca="false">F1531*H1531</f>
        <v>-0.25</v>
      </c>
      <c r="S1531" s="0" t="n">
        <f aca="false">G1531*H1531</f>
        <v>0.1875</v>
      </c>
      <c r="T1531" s="0" t="n">
        <f aca="false">E1531*E1531</f>
        <v>0.25</v>
      </c>
      <c r="U1531" s="0" t="n">
        <f aca="false">F1531*F1531</f>
        <v>1</v>
      </c>
      <c r="V1531" s="0" t="n">
        <f aca="false">G1531*G1531</f>
        <v>0.5625</v>
      </c>
      <c r="W1531" s="0" t="n">
        <f aca="false">H1531*H1531</f>
        <v>0.0625</v>
      </c>
      <c r="X1531" s="0" t="n">
        <f aca="false">SUMPRODUCT(I1531:W1531,_XtX!$B$96:$P$96)</f>
        <v>42.6769873903508</v>
      </c>
      <c r="Y1531" s="0" t="n">
        <f aca="false">SUMPRODUCT(MMULT(I1531:W1531,_XtX!$B$78:$P$92),I1531:W1531)</f>
        <v>0.459125719572369</v>
      </c>
      <c r="Z1531" s="0" t="n">
        <f aca="false">04_回帰ANOVA!$K$19*04_回帰ANOVA!$K$14*SQRT(1+Y1531)</f>
        <v>1.57450755575573</v>
      </c>
      <c r="AA1531" s="0" t="n">
        <f aca="false">X1531-Z1531</f>
        <v>41.1024798345951</v>
      </c>
      <c r="AB1531" s="0" t="n">
        <f aca="false">X1531+Z1531</f>
        <v>44.2514949461066</v>
      </c>
      <c r="AC1531" s="54" t="b">
        <f aca="false">AND(E1531&gt;=01_因子設定!$L$5-0.000000001,E1531&lt;=01_因子設定!$M$5+0.000000001,F1531&gt;=01_因子設定!$L$6-0.000000001,F1531&lt;=01_因子設定!$M$6+0.000000001,G1531&gt;=01_因子設定!$L$7-0.000000001,G1531&lt;=01_因子設定!$M$7+0.000000001,H1531&gt;=01_因子設定!$L$8-0.000000001,H1531&lt;=01_因子設定!$M$8+0.000000001,IF(01_因子設定!$B$20="Box-Behnken",E1531^2+F1531^2+G1531^2+H1531^2&lt;=2+0.000000001,TRUE()))</f>
        <v>1</v>
      </c>
      <c r="AD1531" s="55" t="n">
        <f aca="false">IF(AC1531,IF(01_因子設定!$B$13="最大化",AA1531-01_因子設定!$B$14,IF(01_因子設定!$B$13="最小化",01_因子設定!$B$15-AB1531,MIN(AA1531-01_因子設定!$B$14,01_因子設定!$B$15-AB1531))),-1E+030)</f>
        <v>-5.39752016540489</v>
      </c>
      <c r="AE1531" s="55" t="n">
        <f aca="false">IF(AC1531,IF(01_因子設定!$B$13="最大化",X1531,IF(01_因子設定!$B$13="最小化",-X1531,-ABS(X1531-01_因子設定!$B$16))),-1E+030)</f>
        <v>42.6769873903508</v>
      </c>
      <c r="AF1531" s="55" t="n">
        <f aca="false">AD1531+ROW()*0.000000001</f>
        <v>-5.39751863440489</v>
      </c>
      <c r="AG1531" s="55" t="n">
        <f aca="false">AE1531+ROW()*0.000000001</f>
        <v>42.6769889213508</v>
      </c>
    </row>
    <row r="1532" customFormat="false" ht="15" hidden="false" customHeight="false" outlineLevel="0" collapsed="false">
      <c r="A1532" s="0" t="n">
        <v>2</v>
      </c>
      <c r="B1532" s="0" t="n">
        <v>0</v>
      </c>
      <c r="C1532" s="0" t="n">
        <v>7</v>
      </c>
      <c r="D1532" s="0" t="n">
        <v>6</v>
      </c>
      <c r="E1532" s="0" t="n">
        <f aca="false">-1+A1532*0.25</f>
        <v>-0.5</v>
      </c>
      <c r="F1532" s="0" t="n">
        <f aca="false">-1+B1532*0.25</f>
        <v>-1</v>
      </c>
      <c r="G1532" s="0" t="n">
        <f aca="false">-1+C1532*0.25</f>
        <v>0.75</v>
      </c>
      <c r="H1532" s="0" t="n">
        <f aca="false">-1+D1532*0.25</f>
        <v>0.5</v>
      </c>
      <c r="I1532" s="0" t="n">
        <f aca="false">1</f>
        <v>1</v>
      </c>
      <c r="J1532" s="0" t="n">
        <f aca="false">E1532</f>
        <v>-0.5</v>
      </c>
      <c r="K1532" s="0" t="n">
        <f aca="false">F1532</f>
        <v>-1</v>
      </c>
      <c r="L1532" s="0" t="n">
        <f aca="false">G1532</f>
        <v>0.75</v>
      </c>
      <c r="M1532" s="0" t="n">
        <f aca="false">H1532</f>
        <v>0.5</v>
      </c>
      <c r="N1532" s="0" t="n">
        <f aca="false">E1532*F1532</f>
        <v>0.5</v>
      </c>
      <c r="O1532" s="0" t="n">
        <f aca="false">E1532*G1532</f>
        <v>-0.375</v>
      </c>
      <c r="P1532" s="0" t="n">
        <f aca="false">E1532*H1532</f>
        <v>-0.25</v>
      </c>
      <c r="Q1532" s="0" t="n">
        <f aca="false">F1532*G1532</f>
        <v>-0.75</v>
      </c>
      <c r="R1532" s="0" t="n">
        <f aca="false">F1532*H1532</f>
        <v>-0.5</v>
      </c>
      <c r="S1532" s="0" t="n">
        <f aca="false">G1532*H1532</f>
        <v>0.375</v>
      </c>
      <c r="T1532" s="0" t="n">
        <f aca="false">E1532*E1532</f>
        <v>0.25</v>
      </c>
      <c r="U1532" s="0" t="n">
        <f aca="false">F1532*F1532</f>
        <v>1</v>
      </c>
      <c r="V1532" s="0" t="n">
        <f aca="false">G1532*G1532</f>
        <v>0.5625</v>
      </c>
      <c r="W1532" s="0" t="n">
        <f aca="false">H1532*H1532</f>
        <v>0.25</v>
      </c>
      <c r="X1532" s="0" t="n">
        <f aca="false">SUMPRODUCT(I1532:W1532,_XtX!$B$96:$P$96)</f>
        <v>42.7980720029239</v>
      </c>
      <c r="Y1532" s="0" t="n">
        <f aca="false">SUMPRODUCT(MMULT(I1532:W1532,_XtX!$B$78:$P$92),I1532:W1532)</f>
        <v>0.42602110745614</v>
      </c>
      <c r="Z1532" s="0" t="n">
        <f aca="false">04_回帰ANOVA!$K$19*04_回帰ANOVA!$K$14*SQRT(1+Y1532)</f>
        <v>1.55654388501114</v>
      </c>
      <c r="AA1532" s="0" t="n">
        <f aca="false">X1532-Z1532</f>
        <v>41.2415281179128</v>
      </c>
      <c r="AB1532" s="0" t="n">
        <f aca="false">X1532+Z1532</f>
        <v>44.3546158879351</v>
      </c>
      <c r="AC1532" s="54" t="b">
        <f aca="false">AND(E1532&gt;=01_因子設定!$L$5-0.000000001,E1532&lt;=01_因子設定!$M$5+0.000000001,F1532&gt;=01_因子設定!$L$6-0.000000001,F1532&lt;=01_因子設定!$M$6+0.000000001,G1532&gt;=01_因子設定!$L$7-0.000000001,G1532&lt;=01_因子設定!$M$7+0.000000001,H1532&gt;=01_因子設定!$L$8-0.000000001,H1532&lt;=01_因子設定!$M$8+0.000000001,IF(01_因子設定!$B$20="Box-Behnken",E1532^2+F1532^2+G1532^2+H1532^2&lt;=2+0.000000001,TRUE()))</f>
        <v>1</v>
      </c>
      <c r="AD1532" s="55" t="n">
        <f aca="false">IF(AC1532,IF(01_因子設定!$B$13="最大化",AA1532-01_因子設定!$B$14,IF(01_因子設定!$B$13="最小化",01_因子設定!$B$15-AB1532,MIN(AA1532-01_因子設定!$B$14,01_因子設定!$B$15-AB1532))),-1E+030)</f>
        <v>-5.25847188208719</v>
      </c>
      <c r="AE1532" s="55" t="n">
        <f aca="false">IF(AC1532,IF(01_因子設定!$B$13="最大化",X1532,IF(01_因子設定!$B$13="最小化",-X1532,-ABS(X1532-01_因子設定!$B$16))),-1E+030)</f>
        <v>42.7980720029239</v>
      </c>
      <c r="AF1532" s="55" t="n">
        <f aca="false">AD1532+ROW()*0.000000001</f>
        <v>-5.25847035008719</v>
      </c>
      <c r="AG1532" s="55" t="n">
        <f aca="false">AE1532+ROW()*0.000000001</f>
        <v>42.7980735349239</v>
      </c>
    </row>
    <row r="1533" customFormat="false" ht="15" hidden="false" customHeight="false" outlineLevel="0" collapsed="false">
      <c r="A1533" s="0" t="n">
        <v>2</v>
      </c>
      <c r="B1533" s="0" t="n">
        <v>0</v>
      </c>
      <c r="C1533" s="0" t="n">
        <v>7</v>
      </c>
      <c r="D1533" s="0" t="n">
        <v>7</v>
      </c>
      <c r="E1533" s="0" t="n">
        <f aca="false">-1+A1533*0.25</f>
        <v>-0.5</v>
      </c>
      <c r="F1533" s="0" t="n">
        <f aca="false">-1+B1533*0.25</f>
        <v>-1</v>
      </c>
      <c r="G1533" s="0" t="n">
        <f aca="false">-1+C1533*0.25</f>
        <v>0.75</v>
      </c>
      <c r="H1533" s="0" t="n">
        <f aca="false">-1+D1533*0.25</f>
        <v>0.75</v>
      </c>
      <c r="I1533" s="0" t="n">
        <f aca="false">1</f>
        <v>1</v>
      </c>
      <c r="J1533" s="0" t="n">
        <f aca="false">E1533</f>
        <v>-0.5</v>
      </c>
      <c r="K1533" s="0" t="n">
        <f aca="false">F1533</f>
        <v>-1</v>
      </c>
      <c r="L1533" s="0" t="n">
        <f aca="false">G1533</f>
        <v>0.75</v>
      </c>
      <c r="M1533" s="0" t="n">
        <f aca="false">H1533</f>
        <v>0.75</v>
      </c>
      <c r="N1533" s="0" t="n">
        <f aca="false">E1533*F1533</f>
        <v>0.5</v>
      </c>
      <c r="O1533" s="0" t="n">
        <f aca="false">E1533*G1533</f>
        <v>-0.375</v>
      </c>
      <c r="P1533" s="0" t="n">
        <f aca="false">E1533*H1533</f>
        <v>-0.375</v>
      </c>
      <c r="Q1533" s="0" t="n">
        <f aca="false">F1533*G1533</f>
        <v>-0.75</v>
      </c>
      <c r="R1533" s="0" t="n">
        <f aca="false">F1533*H1533</f>
        <v>-0.75</v>
      </c>
      <c r="S1533" s="0" t="n">
        <f aca="false">G1533*H1533</f>
        <v>0.5625</v>
      </c>
      <c r="T1533" s="0" t="n">
        <f aca="false">E1533*E1533</f>
        <v>0.25</v>
      </c>
      <c r="U1533" s="0" t="n">
        <f aca="false">F1533*F1533</f>
        <v>1</v>
      </c>
      <c r="V1533" s="0" t="n">
        <f aca="false">G1533*G1533</f>
        <v>0.5625</v>
      </c>
      <c r="W1533" s="0" t="n">
        <f aca="false">H1533*H1533</f>
        <v>0.5625</v>
      </c>
      <c r="X1533" s="0" t="n">
        <f aca="false">SUMPRODUCT(I1533:W1533,_XtX!$B$96:$P$96)</f>
        <v>42.8713495979532</v>
      </c>
      <c r="Y1533" s="0" t="n">
        <f aca="false">SUMPRODUCT(MMULT(I1533:W1533,_XtX!$B$78:$P$92),I1533:W1533)</f>
        <v>0.431153771472953</v>
      </c>
      <c r="Z1533" s="0" t="n">
        <f aca="false">04_回帰ANOVA!$K$19*04_回帰ANOVA!$K$14*SQRT(1+Y1533)</f>
        <v>1.55934259562563</v>
      </c>
      <c r="AA1533" s="0" t="n">
        <f aca="false">X1533-Z1533</f>
        <v>41.3120070023276</v>
      </c>
      <c r="AB1533" s="0" t="n">
        <f aca="false">X1533+Z1533</f>
        <v>44.4306921935788</v>
      </c>
      <c r="AC1533" s="54" t="b">
        <f aca="false">AND(E1533&gt;=01_因子設定!$L$5-0.000000001,E1533&lt;=01_因子設定!$M$5+0.000000001,F1533&gt;=01_因子設定!$L$6-0.000000001,F1533&lt;=01_因子設定!$M$6+0.000000001,G1533&gt;=01_因子設定!$L$7-0.000000001,G1533&lt;=01_因子設定!$M$7+0.000000001,H1533&gt;=01_因子設定!$L$8-0.000000001,H1533&lt;=01_因子設定!$M$8+0.000000001,IF(01_因子設定!$B$20="Box-Behnken",E1533^2+F1533^2+G1533^2+H1533^2&lt;=2+0.000000001,TRUE()))</f>
        <v>1</v>
      </c>
      <c r="AD1533" s="55" t="n">
        <f aca="false">IF(AC1533,IF(01_因子設定!$B$13="最大化",AA1533-01_因子設定!$B$14,IF(01_因子設定!$B$13="最小化",01_因子設定!$B$15-AB1533,MIN(AA1533-01_因子設定!$B$14,01_因子設定!$B$15-AB1533))),-1E+030)</f>
        <v>-5.18799299767243</v>
      </c>
      <c r="AE1533" s="55" t="n">
        <f aca="false">IF(AC1533,IF(01_因子設定!$B$13="最大化",X1533,IF(01_因子設定!$B$13="最小化",-X1533,-ABS(X1533-01_因子設定!$B$16))),-1E+030)</f>
        <v>42.8713495979532</v>
      </c>
      <c r="AF1533" s="55" t="n">
        <f aca="false">AD1533+ROW()*0.000000001</f>
        <v>-5.18799146467243</v>
      </c>
      <c r="AG1533" s="55" t="n">
        <f aca="false">AE1533+ROW()*0.000000001</f>
        <v>42.8713511309532</v>
      </c>
    </row>
    <row r="1534" customFormat="false" ht="15" hidden="false" customHeight="false" outlineLevel="0" collapsed="false">
      <c r="A1534" s="0" t="n">
        <v>2</v>
      </c>
      <c r="B1534" s="0" t="n">
        <v>0</v>
      </c>
      <c r="C1534" s="0" t="n">
        <v>7</v>
      </c>
      <c r="D1534" s="0" t="n">
        <v>8</v>
      </c>
      <c r="E1534" s="0" t="n">
        <f aca="false">-1+A1534*0.25</f>
        <v>-0.5</v>
      </c>
      <c r="F1534" s="0" t="n">
        <f aca="false">-1+B1534*0.25</f>
        <v>-1</v>
      </c>
      <c r="G1534" s="0" t="n">
        <f aca="false">-1+C1534*0.25</f>
        <v>0.75</v>
      </c>
      <c r="H1534" s="0" t="n">
        <f aca="false">-1+D1534*0.25</f>
        <v>1</v>
      </c>
      <c r="I1534" s="0" t="n">
        <f aca="false">1</f>
        <v>1</v>
      </c>
      <c r="J1534" s="0" t="n">
        <f aca="false">E1534</f>
        <v>-0.5</v>
      </c>
      <c r="K1534" s="0" t="n">
        <f aca="false">F1534</f>
        <v>-1</v>
      </c>
      <c r="L1534" s="0" t="n">
        <f aca="false">G1534</f>
        <v>0.75</v>
      </c>
      <c r="M1534" s="0" t="n">
        <f aca="false">H1534</f>
        <v>1</v>
      </c>
      <c r="N1534" s="0" t="n">
        <f aca="false">E1534*F1534</f>
        <v>0.5</v>
      </c>
      <c r="O1534" s="0" t="n">
        <f aca="false">E1534*G1534</f>
        <v>-0.375</v>
      </c>
      <c r="P1534" s="0" t="n">
        <f aca="false">E1534*H1534</f>
        <v>-0.5</v>
      </c>
      <c r="Q1534" s="0" t="n">
        <f aca="false">F1534*G1534</f>
        <v>-0.75</v>
      </c>
      <c r="R1534" s="0" t="n">
        <f aca="false">F1534*H1534</f>
        <v>-1</v>
      </c>
      <c r="S1534" s="0" t="n">
        <f aca="false">G1534*H1534</f>
        <v>0.75</v>
      </c>
      <c r="T1534" s="0" t="n">
        <f aca="false">E1534*E1534</f>
        <v>0.25</v>
      </c>
      <c r="U1534" s="0" t="n">
        <f aca="false">F1534*F1534</f>
        <v>1</v>
      </c>
      <c r="V1534" s="0" t="n">
        <f aca="false">G1534*G1534</f>
        <v>0.5625</v>
      </c>
      <c r="W1534" s="0" t="n">
        <f aca="false">H1534*H1534</f>
        <v>1</v>
      </c>
      <c r="X1534" s="0" t="n">
        <f aca="false">SUMPRODUCT(I1534:W1534,_XtX!$B$96:$P$96)</f>
        <v>42.8968201754386</v>
      </c>
      <c r="Y1534" s="0" t="n">
        <f aca="false">SUMPRODUCT(MMULT(I1534:W1534,_XtX!$B$78:$P$92),I1534:W1534)</f>
        <v>0.564984237938597</v>
      </c>
      <c r="Z1534" s="0" t="n">
        <f aca="false">04_回帰ANOVA!$K$19*04_回帰ANOVA!$K$14*SQRT(1+Y1534)</f>
        <v>1.63062229734503</v>
      </c>
      <c r="AA1534" s="0" t="n">
        <f aca="false">X1534-Z1534</f>
        <v>41.2661978780936</v>
      </c>
      <c r="AB1534" s="0" t="n">
        <f aca="false">X1534+Z1534</f>
        <v>44.5274424727836</v>
      </c>
      <c r="AC1534" s="54" t="b">
        <f aca="false">AND(E1534&gt;=01_因子設定!$L$5-0.000000001,E1534&lt;=01_因子設定!$M$5+0.000000001,F1534&gt;=01_因子設定!$L$6-0.000000001,F1534&lt;=01_因子設定!$M$6+0.000000001,G1534&gt;=01_因子設定!$L$7-0.000000001,G1534&lt;=01_因子設定!$M$7+0.000000001,H1534&gt;=01_因子設定!$L$8-0.000000001,H1534&lt;=01_因子設定!$M$8+0.000000001,IF(01_因子設定!$B$20="Box-Behnken",E1534^2+F1534^2+G1534^2+H1534^2&lt;=2+0.000000001,TRUE()))</f>
        <v>1</v>
      </c>
      <c r="AD1534" s="55" t="n">
        <f aca="false">IF(AC1534,IF(01_因子設定!$B$13="最大化",AA1534-01_因子設定!$B$14,IF(01_因子設定!$B$13="最小化",01_因子設定!$B$15-AB1534,MIN(AA1534-01_因子設定!$B$14,01_因子設定!$B$15-AB1534))),-1E+030)</f>
        <v>-5.23380212190644</v>
      </c>
      <c r="AE1534" s="55" t="n">
        <f aca="false">IF(AC1534,IF(01_因子設定!$B$13="最大化",X1534,IF(01_因子設定!$B$13="最小化",-X1534,-ABS(X1534-01_因子設定!$B$16))),-1E+030)</f>
        <v>42.8968201754386</v>
      </c>
      <c r="AF1534" s="55" t="n">
        <f aca="false">AD1534+ROW()*0.000000001</f>
        <v>-5.23380058790644</v>
      </c>
      <c r="AG1534" s="55" t="n">
        <f aca="false">AE1534+ROW()*0.000000001</f>
        <v>42.8968217094386</v>
      </c>
    </row>
    <row r="1535" customFormat="false" ht="15" hidden="false" customHeight="false" outlineLevel="0" collapsed="false">
      <c r="A1535" s="0" t="n">
        <v>2</v>
      </c>
      <c r="B1535" s="0" t="n">
        <v>0</v>
      </c>
      <c r="C1535" s="0" t="n">
        <v>8</v>
      </c>
      <c r="D1535" s="0" t="n">
        <v>0</v>
      </c>
      <c r="E1535" s="0" t="n">
        <f aca="false">-1+A1535*0.25</f>
        <v>-0.5</v>
      </c>
      <c r="F1535" s="0" t="n">
        <f aca="false">-1+B1535*0.25</f>
        <v>-1</v>
      </c>
      <c r="G1535" s="0" t="n">
        <f aca="false">-1+C1535*0.25</f>
        <v>1</v>
      </c>
      <c r="H1535" s="0" t="n">
        <f aca="false">-1+D1535*0.25</f>
        <v>-1</v>
      </c>
      <c r="I1535" s="0" t="n">
        <f aca="false">1</f>
        <v>1</v>
      </c>
      <c r="J1535" s="0" t="n">
        <f aca="false">E1535</f>
        <v>-0.5</v>
      </c>
      <c r="K1535" s="0" t="n">
        <f aca="false">F1535</f>
        <v>-1</v>
      </c>
      <c r="L1535" s="0" t="n">
        <f aca="false">G1535</f>
        <v>1</v>
      </c>
      <c r="M1535" s="0" t="n">
        <f aca="false">H1535</f>
        <v>-1</v>
      </c>
      <c r="N1535" s="0" t="n">
        <f aca="false">E1535*F1535</f>
        <v>0.5</v>
      </c>
      <c r="O1535" s="0" t="n">
        <f aca="false">E1535*G1535</f>
        <v>-0.5</v>
      </c>
      <c r="P1535" s="0" t="n">
        <f aca="false">E1535*H1535</f>
        <v>0.5</v>
      </c>
      <c r="Q1535" s="0" t="n">
        <f aca="false">F1535*G1535</f>
        <v>-1</v>
      </c>
      <c r="R1535" s="0" t="n">
        <f aca="false">F1535*H1535</f>
        <v>1</v>
      </c>
      <c r="S1535" s="0" t="n">
        <f aca="false">G1535*H1535</f>
        <v>-1</v>
      </c>
      <c r="T1535" s="0" t="n">
        <f aca="false">E1535*E1535</f>
        <v>0.25</v>
      </c>
      <c r="U1535" s="0" t="n">
        <f aca="false">F1535*F1535</f>
        <v>1</v>
      </c>
      <c r="V1535" s="0" t="n">
        <f aca="false">G1535*G1535</f>
        <v>1</v>
      </c>
      <c r="W1535" s="0" t="n">
        <f aca="false">H1535*H1535</f>
        <v>1</v>
      </c>
      <c r="X1535" s="0" t="n">
        <f aca="false">SUMPRODUCT(I1535:W1535,_XtX!$B$96:$P$96)</f>
        <v>41.2329678362573</v>
      </c>
      <c r="Y1535" s="0" t="n">
        <f aca="false">SUMPRODUCT(MMULT(I1535:W1535,_XtX!$B$78:$P$92),I1535:W1535)</f>
        <v>0.667123538011696</v>
      </c>
      <c r="Z1535" s="0" t="n">
        <f aca="false">04_回帰ANOVA!$K$19*04_回帰ANOVA!$K$14*SQRT(1+Y1535)</f>
        <v>1.68299290213005</v>
      </c>
      <c r="AA1535" s="0" t="n">
        <f aca="false">X1535-Z1535</f>
        <v>39.5499749341273</v>
      </c>
      <c r="AB1535" s="0" t="n">
        <f aca="false">X1535+Z1535</f>
        <v>42.9159607383874</v>
      </c>
      <c r="AC1535" s="54" t="b">
        <f aca="false">AND(E1535&gt;=01_因子設定!$L$5-0.000000001,E1535&lt;=01_因子設定!$M$5+0.000000001,F1535&gt;=01_因子設定!$L$6-0.000000001,F1535&lt;=01_因子設定!$M$6+0.000000001,G1535&gt;=01_因子設定!$L$7-0.000000001,G1535&lt;=01_因子設定!$M$7+0.000000001,H1535&gt;=01_因子設定!$L$8-0.000000001,H1535&lt;=01_因子設定!$M$8+0.000000001,IF(01_因子設定!$B$20="Box-Behnken",E1535^2+F1535^2+G1535^2+H1535^2&lt;=2+0.000000001,TRUE()))</f>
        <v>1</v>
      </c>
      <c r="AD1535" s="55" t="n">
        <f aca="false">IF(AC1535,IF(01_因子設定!$B$13="最大化",AA1535-01_因子設定!$B$14,IF(01_因子設定!$B$13="最小化",01_因子設定!$B$15-AB1535,MIN(AA1535-01_因子設定!$B$14,01_因子設定!$B$15-AB1535))),-1E+030)</f>
        <v>-6.95002506587274</v>
      </c>
      <c r="AE1535" s="55" t="n">
        <f aca="false">IF(AC1535,IF(01_因子設定!$B$13="最大化",X1535,IF(01_因子設定!$B$13="最小化",-X1535,-ABS(X1535-01_因子設定!$B$16))),-1E+030)</f>
        <v>41.2329678362573</v>
      </c>
      <c r="AF1535" s="55" t="n">
        <f aca="false">AD1535+ROW()*0.000000001</f>
        <v>-6.95002353087274</v>
      </c>
      <c r="AG1535" s="55" t="n">
        <f aca="false">AE1535+ROW()*0.000000001</f>
        <v>41.2329693712573</v>
      </c>
    </row>
    <row r="1536" customFormat="false" ht="15" hidden="false" customHeight="false" outlineLevel="0" collapsed="false">
      <c r="A1536" s="0" t="n">
        <v>2</v>
      </c>
      <c r="B1536" s="0" t="n">
        <v>0</v>
      </c>
      <c r="C1536" s="0" t="n">
        <v>8</v>
      </c>
      <c r="D1536" s="0" t="n">
        <v>1</v>
      </c>
      <c r="E1536" s="0" t="n">
        <f aca="false">-1+A1536*0.25</f>
        <v>-0.5</v>
      </c>
      <c r="F1536" s="0" t="n">
        <f aca="false">-1+B1536*0.25</f>
        <v>-1</v>
      </c>
      <c r="G1536" s="0" t="n">
        <f aca="false">-1+C1536*0.25</f>
        <v>1</v>
      </c>
      <c r="H1536" s="0" t="n">
        <f aca="false">-1+D1536*0.25</f>
        <v>-0.75</v>
      </c>
      <c r="I1536" s="0" t="n">
        <f aca="false">1</f>
        <v>1</v>
      </c>
      <c r="J1536" s="0" t="n">
        <f aca="false">E1536</f>
        <v>-0.5</v>
      </c>
      <c r="K1536" s="0" t="n">
        <f aca="false">F1536</f>
        <v>-1</v>
      </c>
      <c r="L1536" s="0" t="n">
        <f aca="false">G1536</f>
        <v>1</v>
      </c>
      <c r="M1536" s="0" t="n">
        <f aca="false">H1536</f>
        <v>-0.75</v>
      </c>
      <c r="N1536" s="0" t="n">
        <f aca="false">E1536*F1536</f>
        <v>0.5</v>
      </c>
      <c r="O1536" s="0" t="n">
        <f aca="false">E1536*G1536</f>
        <v>-0.5</v>
      </c>
      <c r="P1536" s="0" t="n">
        <f aca="false">E1536*H1536</f>
        <v>0.375</v>
      </c>
      <c r="Q1536" s="0" t="n">
        <f aca="false">F1536*G1536</f>
        <v>-1</v>
      </c>
      <c r="R1536" s="0" t="n">
        <f aca="false">F1536*H1536</f>
        <v>0.75</v>
      </c>
      <c r="S1536" s="0" t="n">
        <f aca="false">G1536*H1536</f>
        <v>-0.75</v>
      </c>
      <c r="T1536" s="0" t="n">
        <f aca="false">E1536*E1536</f>
        <v>0.25</v>
      </c>
      <c r="U1536" s="0" t="n">
        <f aca="false">F1536*F1536</f>
        <v>1</v>
      </c>
      <c r="V1536" s="0" t="n">
        <f aca="false">G1536*G1536</f>
        <v>1</v>
      </c>
      <c r="W1536" s="0" t="n">
        <f aca="false">H1536*H1536</f>
        <v>0.5625</v>
      </c>
      <c r="X1536" s="0" t="n">
        <f aca="false">SUMPRODUCT(I1536:W1536,_XtX!$B$96:$P$96)</f>
        <v>41.6110562865497</v>
      </c>
      <c r="Y1536" s="0" t="n">
        <f aca="false">SUMPRODUCT(MMULT(I1536:W1536,_XtX!$B$78:$P$92),I1536:W1536)</f>
        <v>0.564984237938597</v>
      </c>
      <c r="Z1536" s="0" t="n">
        <f aca="false">04_回帰ANOVA!$K$19*04_回帰ANOVA!$K$14*SQRT(1+Y1536)</f>
        <v>1.63062229734503</v>
      </c>
      <c r="AA1536" s="0" t="n">
        <f aca="false">X1536-Z1536</f>
        <v>39.9804339892047</v>
      </c>
      <c r="AB1536" s="0" t="n">
        <f aca="false">X1536+Z1536</f>
        <v>43.2416785838947</v>
      </c>
      <c r="AC1536" s="54" t="b">
        <f aca="false">AND(E1536&gt;=01_因子設定!$L$5-0.000000001,E1536&lt;=01_因子設定!$M$5+0.000000001,F1536&gt;=01_因子設定!$L$6-0.000000001,F1536&lt;=01_因子設定!$M$6+0.000000001,G1536&gt;=01_因子設定!$L$7-0.000000001,G1536&lt;=01_因子設定!$M$7+0.000000001,H1536&gt;=01_因子設定!$L$8-0.000000001,H1536&lt;=01_因子設定!$M$8+0.000000001,IF(01_因子設定!$B$20="Box-Behnken",E1536^2+F1536^2+G1536^2+H1536^2&lt;=2+0.000000001,TRUE()))</f>
        <v>1</v>
      </c>
      <c r="AD1536" s="55" t="n">
        <f aca="false">IF(AC1536,IF(01_因子設定!$B$13="最大化",AA1536-01_因子設定!$B$14,IF(01_因子設定!$B$13="最小化",01_因子設定!$B$15-AB1536,MIN(AA1536-01_因子設定!$B$14,01_因子設定!$B$15-AB1536))),-1E+030)</f>
        <v>-6.51956601079534</v>
      </c>
      <c r="AE1536" s="55" t="n">
        <f aca="false">IF(AC1536,IF(01_因子設定!$B$13="最大化",X1536,IF(01_因子設定!$B$13="最小化",-X1536,-ABS(X1536-01_因子設定!$B$16))),-1E+030)</f>
        <v>41.6110562865497</v>
      </c>
      <c r="AF1536" s="55" t="n">
        <f aca="false">AD1536+ROW()*0.000000001</f>
        <v>-6.51956447479534</v>
      </c>
      <c r="AG1536" s="55" t="n">
        <f aca="false">AE1536+ROW()*0.000000001</f>
        <v>41.6110578225497</v>
      </c>
    </row>
    <row r="1537" customFormat="false" ht="15" hidden="false" customHeight="false" outlineLevel="0" collapsed="false">
      <c r="A1537" s="0" t="n">
        <v>2</v>
      </c>
      <c r="B1537" s="0" t="n">
        <v>0</v>
      </c>
      <c r="C1537" s="0" t="n">
        <v>8</v>
      </c>
      <c r="D1537" s="0" t="n">
        <v>2</v>
      </c>
      <c r="E1537" s="0" t="n">
        <f aca="false">-1+A1537*0.25</f>
        <v>-0.5</v>
      </c>
      <c r="F1537" s="0" t="n">
        <f aca="false">-1+B1537*0.25</f>
        <v>-1</v>
      </c>
      <c r="G1537" s="0" t="n">
        <f aca="false">-1+C1537*0.25</f>
        <v>1</v>
      </c>
      <c r="H1537" s="0" t="n">
        <f aca="false">-1+D1537*0.25</f>
        <v>-0.5</v>
      </c>
      <c r="I1537" s="0" t="n">
        <f aca="false">1</f>
        <v>1</v>
      </c>
      <c r="J1537" s="0" t="n">
        <f aca="false">E1537</f>
        <v>-0.5</v>
      </c>
      <c r="K1537" s="0" t="n">
        <f aca="false">F1537</f>
        <v>-1</v>
      </c>
      <c r="L1537" s="0" t="n">
        <f aca="false">G1537</f>
        <v>1</v>
      </c>
      <c r="M1537" s="0" t="n">
        <f aca="false">H1537</f>
        <v>-0.5</v>
      </c>
      <c r="N1537" s="0" t="n">
        <f aca="false">E1537*F1537</f>
        <v>0.5</v>
      </c>
      <c r="O1537" s="0" t="n">
        <f aca="false">E1537*G1537</f>
        <v>-0.5</v>
      </c>
      <c r="P1537" s="0" t="n">
        <f aca="false">E1537*H1537</f>
        <v>0.25</v>
      </c>
      <c r="Q1537" s="0" t="n">
        <f aca="false">F1537*G1537</f>
        <v>-1</v>
      </c>
      <c r="R1537" s="0" t="n">
        <f aca="false">F1537*H1537</f>
        <v>0.5</v>
      </c>
      <c r="S1537" s="0" t="n">
        <f aca="false">G1537*H1537</f>
        <v>-0.5</v>
      </c>
      <c r="T1537" s="0" t="n">
        <f aca="false">E1537*E1537</f>
        <v>0.25</v>
      </c>
      <c r="U1537" s="0" t="n">
        <f aca="false">F1537*F1537</f>
        <v>1</v>
      </c>
      <c r="V1537" s="0" t="n">
        <f aca="false">G1537*G1537</f>
        <v>1</v>
      </c>
      <c r="W1537" s="0" t="n">
        <f aca="false">H1537*H1537</f>
        <v>0.25</v>
      </c>
      <c r="X1537" s="0" t="n">
        <f aca="false">SUMPRODUCT(I1537:W1537,_XtX!$B$96:$P$96)</f>
        <v>41.9413377192982</v>
      </c>
      <c r="Y1537" s="0" t="n">
        <f aca="false">SUMPRODUCT(MMULT(I1537:W1537,_XtX!$B$78:$P$92),I1537:W1537)</f>
        <v>0.582488121345029</v>
      </c>
      <c r="Z1537" s="0" t="n">
        <f aca="false">04_回帰ANOVA!$K$19*04_回帰ANOVA!$K$14*SQRT(1+Y1537)</f>
        <v>1.63971595338287</v>
      </c>
      <c r="AA1537" s="0" t="n">
        <f aca="false">X1537-Z1537</f>
        <v>40.3016217659154</v>
      </c>
      <c r="AB1537" s="0" t="n">
        <f aca="false">X1537+Z1537</f>
        <v>43.5810536726811</v>
      </c>
      <c r="AC1537" s="54" t="b">
        <f aca="false">AND(E1537&gt;=01_因子設定!$L$5-0.000000001,E1537&lt;=01_因子設定!$M$5+0.000000001,F1537&gt;=01_因子設定!$L$6-0.000000001,F1537&lt;=01_因子設定!$M$6+0.000000001,G1537&gt;=01_因子設定!$L$7-0.000000001,G1537&lt;=01_因子設定!$M$7+0.000000001,H1537&gt;=01_因子設定!$L$8-0.000000001,H1537&lt;=01_因子設定!$M$8+0.000000001,IF(01_因子設定!$B$20="Box-Behnken",E1537^2+F1537^2+G1537^2+H1537^2&lt;=2+0.000000001,TRUE()))</f>
        <v>1</v>
      </c>
      <c r="AD1537" s="55" t="n">
        <f aca="false">IF(AC1537,IF(01_因子設定!$B$13="最大化",AA1537-01_因子設定!$B$14,IF(01_因子設定!$B$13="最小化",01_因子設定!$B$15-AB1537,MIN(AA1537-01_因子設定!$B$14,01_因子設定!$B$15-AB1537))),-1E+030)</f>
        <v>-6.19837823408465</v>
      </c>
      <c r="AE1537" s="55" t="n">
        <f aca="false">IF(AC1537,IF(01_因子設定!$B$13="最大化",X1537,IF(01_因子設定!$B$13="最小化",-X1537,-ABS(X1537-01_因子設定!$B$16))),-1E+030)</f>
        <v>41.9413377192982</v>
      </c>
      <c r="AF1537" s="55" t="n">
        <f aca="false">AD1537+ROW()*0.000000001</f>
        <v>-6.19837669708465</v>
      </c>
      <c r="AG1537" s="55" t="n">
        <f aca="false">AE1537+ROW()*0.000000001</f>
        <v>41.9413392562982</v>
      </c>
    </row>
    <row r="1538" customFormat="false" ht="15" hidden="false" customHeight="false" outlineLevel="0" collapsed="false">
      <c r="A1538" s="0" t="n">
        <v>2</v>
      </c>
      <c r="B1538" s="0" t="n">
        <v>0</v>
      </c>
      <c r="C1538" s="0" t="n">
        <v>8</v>
      </c>
      <c r="D1538" s="0" t="n">
        <v>3</v>
      </c>
      <c r="E1538" s="0" t="n">
        <f aca="false">-1+A1538*0.25</f>
        <v>-0.5</v>
      </c>
      <c r="F1538" s="0" t="n">
        <f aca="false">-1+B1538*0.25</f>
        <v>-1</v>
      </c>
      <c r="G1538" s="0" t="n">
        <f aca="false">-1+C1538*0.25</f>
        <v>1</v>
      </c>
      <c r="H1538" s="0" t="n">
        <f aca="false">-1+D1538*0.25</f>
        <v>-0.25</v>
      </c>
      <c r="I1538" s="0" t="n">
        <f aca="false">1</f>
        <v>1</v>
      </c>
      <c r="J1538" s="0" t="n">
        <f aca="false">E1538</f>
        <v>-0.5</v>
      </c>
      <c r="K1538" s="0" t="n">
        <f aca="false">F1538</f>
        <v>-1</v>
      </c>
      <c r="L1538" s="0" t="n">
        <f aca="false">G1538</f>
        <v>1</v>
      </c>
      <c r="M1538" s="0" t="n">
        <f aca="false">H1538</f>
        <v>-0.25</v>
      </c>
      <c r="N1538" s="0" t="n">
        <f aca="false">E1538*F1538</f>
        <v>0.5</v>
      </c>
      <c r="O1538" s="0" t="n">
        <f aca="false">E1538*G1538</f>
        <v>-0.5</v>
      </c>
      <c r="P1538" s="0" t="n">
        <f aca="false">E1538*H1538</f>
        <v>0.125</v>
      </c>
      <c r="Q1538" s="0" t="n">
        <f aca="false">F1538*G1538</f>
        <v>-1</v>
      </c>
      <c r="R1538" s="0" t="n">
        <f aca="false">F1538*H1538</f>
        <v>0.25</v>
      </c>
      <c r="S1538" s="0" t="n">
        <f aca="false">G1538*H1538</f>
        <v>-0.25</v>
      </c>
      <c r="T1538" s="0" t="n">
        <f aca="false">E1538*E1538</f>
        <v>0.25</v>
      </c>
      <c r="U1538" s="0" t="n">
        <f aca="false">F1538*F1538</f>
        <v>1</v>
      </c>
      <c r="V1538" s="0" t="n">
        <f aca="false">G1538*G1538</f>
        <v>1</v>
      </c>
      <c r="W1538" s="0" t="n">
        <f aca="false">H1538*H1538</f>
        <v>0.0625</v>
      </c>
      <c r="X1538" s="0" t="n">
        <f aca="false">SUMPRODUCT(I1538:W1538,_XtX!$B$96:$P$96)</f>
        <v>42.2238121345029</v>
      </c>
      <c r="Y1538" s="0" t="n">
        <f aca="false">SUMPRODUCT(MMULT(I1538:W1538,_XtX!$B$78:$P$92),I1538:W1538)</f>
        <v>0.629174661915205</v>
      </c>
      <c r="Z1538" s="0" t="n">
        <f aca="false">04_回帰ANOVA!$K$19*04_回帰ANOVA!$K$14*SQRT(1+Y1538)</f>
        <v>1.66372758058297</v>
      </c>
      <c r="AA1538" s="0" t="n">
        <f aca="false">X1538-Z1538</f>
        <v>40.5600845539199</v>
      </c>
      <c r="AB1538" s="0" t="n">
        <f aca="false">X1538+Z1538</f>
        <v>43.8875397150859</v>
      </c>
      <c r="AC1538" s="54" t="b">
        <f aca="false">AND(E1538&gt;=01_因子設定!$L$5-0.000000001,E1538&lt;=01_因子設定!$M$5+0.000000001,F1538&gt;=01_因子設定!$L$6-0.000000001,F1538&lt;=01_因子設定!$M$6+0.000000001,G1538&gt;=01_因子設定!$L$7-0.000000001,G1538&lt;=01_因子設定!$M$7+0.000000001,H1538&gt;=01_因子設定!$L$8-0.000000001,H1538&lt;=01_因子設定!$M$8+0.000000001,IF(01_因子設定!$B$20="Box-Behnken",E1538^2+F1538^2+G1538^2+H1538^2&lt;=2+0.000000001,TRUE()))</f>
        <v>1</v>
      </c>
      <c r="AD1538" s="55" t="n">
        <f aca="false">IF(AC1538,IF(01_因子設定!$B$13="最大化",AA1538-01_因子設定!$B$14,IF(01_因子設定!$B$13="最小化",01_因子設定!$B$15-AB1538,MIN(AA1538-01_因子設定!$B$14,01_因子設定!$B$15-AB1538))),-1E+030)</f>
        <v>-5.93991544608009</v>
      </c>
      <c r="AE1538" s="55" t="n">
        <f aca="false">IF(AC1538,IF(01_因子設定!$B$13="最大化",X1538,IF(01_因子設定!$B$13="最小化",-X1538,-ABS(X1538-01_因子設定!$B$16))),-1E+030)</f>
        <v>42.2238121345029</v>
      </c>
      <c r="AF1538" s="55" t="n">
        <f aca="false">AD1538+ROW()*0.000000001</f>
        <v>-5.93991390808009</v>
      </c>
      <c r="AG1538" s="55" t="n">
        <f aca="false">AE1538+ROW()*0.000000001</f>
        <v>42.2238136725029</v>
      </c>
    </row>
    <row r="1539" customFormat="false" ht="15" hidden="false" customHeight="false" outlineLevel="0" collapsed="false">
      <c r="A1539" s="0" t="n">
        <v>2</v>
      </c>
      <c r="B1539" s="0" t="n">
        <v>0</v>
      </c>
      <c r="C1539" s="0" t="n">
        <v>8</v>
      </c>
      <c r="D1539" s="0" t="n">
        <v>4</v>
      </c>
      <c r="E1539" s="0" t="n">
        <f aca="false">-1+A1539*0.25</f>
        <v>-0.5</v>
      </c>
      <c r="F1539" s="0" t="n">
        <f aca="false">-1+B1539*0.25</f>
        <v>-1</v>
      </c>
      <c r="G1539" s="0" t="n">
        <f aca="false">-1+C1539*0.25</f>
        <v>1</v>
      </c>
      <c r="H1539" s="0" t="n">
        <f aca="false">-1+D1539*0.25</f>
        <v>0</v>
      </c>
      <c r="I1539" s="0" t="n">
        <f aca="false">1</f>
        <v>1</v>
      </c>
      <c r="J1539" s="0" t="n">
        <f aca="false">E1539</f>
        <v>-0.5</v>
      </c>
      <c r="K1539" s="0" t="n">
        <f aca="false">F1539</f>
        <v>-1</v>
      </c>
      <c r="L1539" s="0" t="n">
        <f aca="false">G1539</f>
        <v>1</v>
      </c>
      <c r="M1539" s="0" t="n">
        <f aca="false">H1539</f>
        <v>0</v>
      </c>
      <c r="N1539" s="0" t="n">
        <f aca="false">E1539*F1539</f>
        <v>0.5</v>
      </c>
      <c r="O1539" s="0" t="n">
        <f aca="false">E1539*G1539</f>
        <v>-0.5</v>
      </c>
      <c r="P1539" s="0" t="n">
        <f aca="false">E1539*H1539</f>
        <v>-0</v>
      </c>
      <c r="Q1539" s="0" t="n">
        <f aca="false">F1539*G1539</f>
        <v>-1</v>
      </c>
      <c r="R1539" s="0" t="n">
        <f aca="false">F1539*H1539</f>
        <v>-0</v>
      </c>
      <c r="S1539" s="0" t="n">
        <f aca="false">G1539*H1539</f>
        <v>0</v>
      </c>
      <c r="T1539" s="0" t="n">
        <f aca="false">E1539*E1539</f>
        <v>0.25</v>
      </c>
      <c r="U1539" s="0" t="n">
        <f aca="false">F1539*F1539</f>
        <v>1</v>
      </c>
      <c r="V1539" s="0" t="n">
        <f aca="false">G1539*G1539</f>
        <v>1</v>
      </c>
      <c r="W1539" s="0" t="n">
        <f aca="false">H1539*H1539</f>
        <v>0</v>
      </c>
      <c r="X1539" s="0" t="n">
        <f aca="false">SUMPRODUCT(I1539:W1539,_XtX!$B$96:$P$96)</f>
        <v>42.4584795321637</v>
      </c>
      <c r="Y1539" s="0" t="n">
        <f aca="false">SUMPRODUCT(MMULT(I1539:W1539,_XtX!$B$78:$P$92),I1539:W1539)</f>
        <v>0.650767543859649</v>
      </c>
      <c r="Z1539" s="0" t="n">
        <f aca="false">04_回帰ANOVA!$K$19*04_回帰ANOVA!$K$14*SQRT(1+Y1539)</f>
        <v>1.67471670935165</v>
      </c>
      <c r="AA1539" s="0" t="n">
        <f aca="false">X1539-Z1539</f>
        <v>40.7837628228121</v>
      </c>
      <c r="AB1539" s="0" t="n">
        <f aca="false">X1539+Z1539</f>
        <v>44.1331962415154</v>
      </c>
      <c r="AC1539" s="54" t="b">
        <f aca="false">AND(E1539&gt;=01_因子設定!$L$5-0.000000001,E1539&lt;=01_因子設定!$M$5+0.000000001,F1539&gt;=01_因子設定!$L$6-0.000000001,F1539&lt;=01_因子設定!$M$6+0.000000001,G1539&gt;=01_因子設定!$L$7-0.000000001,G1539&lt;=01_因子設定!$M$7+0.000000001,H1539&gt;=01_因子設定!$L$8-0.000000001,H1539&lt;=01_因子設定!$M$8+0.000000001,IF(01_因子設定!$B$20="Box-Behnken",E1539^2+F1539^2+G1539^2+H1539^2&lt;=2+0.000000001,TRUE()))</f>
        <v>1</v>
      </c>
      <c r="AD1539" s="55" t="n">
        <f aca="false">IF(AC1539,IF(01_因子設定!$B$13="最大化",AA1539-01_因子設定!$B$14,IF(01_因子設定!$B$13="最小化",01_因子設定!$B$15-AB1539,MIN(AA1539-01_因子設定!$B$14,01_因子設定!$B$15-AB1539))),-1E+030)</f>
        <v>-5.71623717718795</v>
      </c>
      <c r="AE1539" s="55" t="n">
        <f aca="false">IF(AC1539,IF(01_因子設定!$B$13="最大化",X1539,IF(01_因子設定!$B$13="最小化",-X1539,-ABS(X1539-01_因子設定!$B$16))),-1E+030)</f>
        <v>42.4584795321637</v>
      </c>
      <c r="AF1539" s="55" t="n">
        <f aca="false">AD1539+ROW()*0.000000001</f>
        <v>-5.71623563818795</v>
      </c>
      <c r="AG1539" s="55" t="n">
        <f aca="false">AE1539+ROW()*0.000000001</f>
        <v>42.4584810711637</v>
      </c>
    </row>
    <row r="1540" customFormat="false" ht="15" hidden="false" customHeight="false" outlineLevel="0" collapsed="false">
      <c r="A1540" s="0" t="n">
        <v>2</v>
      </c>
      <c r="B1540" s="0" t="n">
        <v>0</v>
      </c>
      <c r="C1540" s="0" t="n">
        <v>8</v>
      </c>
      <c r="D1540" s="0" t="n">
        <v>5</v>
      </c>
      <c r="E1540" s="0" t="n">
        <f aca="false">-1+A1540*0.25</f>
        <v>-0.5</v>
      </c>
      <c r="F1540" s="0" t="n">
        <f aca="false">-1+B1540*0.25</f>
        <v>-1</v>
      </c>
      <c r="G1540" s="0" t="n">
        <f aca="false">-1+C1540*0.25</f>
        <v>1</v>
      </c>
      <c r="H1540" s="0" t="n">
        <f aca="false">-1+D1540*0.25</f>
        <v>0.25</v>
      </c>
      <c r="I1540" s="0" t="n">
        <f aca="false">1</f>
        <v>1</v>
      </c>
      <c r="J1540" s="0" t="n">
        <f aca="false">E1540</f>
        <v>-0.5</v>
      </c>
      <c r="K1540" s="0" t="n">
        <f aca="false">F1540</f>
        <v>-1</v>
      </c>
      <c r="L1540" s="0" t="n">
        <f aca="false">G1540</f>
        <v>1</v>
      </c>
      <c r="M1540" s="0" t="n">
        <f aca="false">H1540</f>
        <v>0.25</v>
      </c>
      <c r="N1540" s="0" t="n">
        <f aca="false">E1540*F1540</f>
        <v>0.5</v>
      </c>
      <c r="O1540" s="0" t="n">
        <f aca="false">E1540*G1540</f>
        <v>-0.5</v>
      </c>
      <c r="P1540" s="0" t="n">
        <f aca="false">E1540*H1540</f>
        <v>-0.125</v>
      </c>
      <c r="Q1540" s="0" t="n">
        <f aca="false">F1540*G1540</f>
        <v>-1</v>
      </c>
      <c r="R1540" s="0" t="n">
        <f aca="false">F1540*H1540</f>
        <v>-0.25</v>
      </c>
      <c r="S1540" s="0" t="n">
        <f aca="false">G1540*H1540</f>
        <v>0.25</v>
      </c>
      <c r="T1540" s="0" t="n">
        <f aca="false">E1540*E1540</f>
        <v>0.25</v>
      </c>
      <c r="U1540" s="0" t="n">
        <f aca="false">F1540*F1540</f>
        <v>1</v>
      </c>
      <c r="V1540" s="0" t="n">
        <f aca="false">G1540*G1540</f>
        <v>1</v>
      </c>
      <c r="W1540" s="0" t="n">
        <f aca="false">H1540*H1540</f>
        <v>0.0625</v>
      </c>
      <c r="X1540" s="0" t="n">
        <f aca="false">SUMPRODUCT(I1540:W1540,_XtX!$B$96:$P$96)</f>
        <v>42.6453399122807</v>
      </c>
      <c r="Y1540" s="0" t="n">
        <f aca="false">SUMPRODUCT(MMULT(I1540:W1540,_XtX!$B$78:$P$92),I1540:W1540)</f>
        <v>0.629174661915205</v>
      </c>
      <c r="Z1540" s="0" t="n">
        <f aca="false">04_回帰ANOVA!$K$19*04_回帰ANOVA!$K$14*SQRT(1+Y1540)</f>
        <v>1.66372758058297</v>
      </c>
      <c r="AA1540" s="0" t="n">
        <f aca="false">X1540-Z1540</f>
        <v>40.9816123316977</v>
      </c>
      <c r="AB1540" s="0" t="n">
        <f aca="false">X1540+Z1540</f>
        <v>44.3090674928636</v>
      </c>
      <c r="AC1540" s="54" t="b">
        <f aca="false">AND(E1540&gt;=01_因子設定!$L$5-0.000000001,E1540&lt;=01_因子設定!$M$5+0.000000001,F1540&gt;=01_因子設定!$L$6-0.000000001,F1540&lt;=01_因子設定!$M$6+0.000000001,G1540&gt;=01_因子設定!$L$7-0.000000001,G1540&lt;=01_因子設定!$M$7+0.000000001,H1540&gt;=01_因子設定!$L$8-0.000000001,H1540&lt;=01_因子設定!$M$8+0.000000001,IF(01_因子設定!$B$20="Box-Behnken",E1540^2+F1540^2+G1540^2+H1540^2&lt;=2+0.000000001,TRUE()))</f>
        <v>1</v>
      </c>
      <c r="AD1540" s="55" t="n">
        <f aca="false">IF(AC1540,IF(01_因子設定!$B$13="最大化",AA1540-01_因子設定!$B$14,IF(01_因子設定!$B$13="最小化",01_因子設定!$B$15-AB1540,MIN(AA1540-01_因子設定!$B$14,01_因子設定!$B$15-AB1540))),-1E+030)</f>
        <v>-5.51838766830231</v>
      </c>
      <c r="AE1540" s="55" t="n">
        <f aca="false">IF(AC1540,IF(01_因子設定!$B$13="最大化",X1540,IF(01_因子設定!$B$13="最小化",-X1540,-ABS(X1540-01_因子設定!$B$16))),-1E+030)</f>
        <v>42.6453399122807</v>
      </c>
      <c r="AF1540" s="55" t="n">
        <f aca="false">AD1540+ROW()*0.000000001</f>
        <v>-5.51838612830231</v>
      </c>
      <c r="AG1540" s="55" t="n">
        <f aca="false">AE1540+ROW()*0.000000001</f>
        <v>42.6453414522807</v>
      </c>
    </row>
    <row r="1541" customFormat="false" ht="15" hidden="false" customHeight="false" outlineLevel="0" collapsed="false">
      <c r="A1541" s="0" t="n">
        <v>2</v>
      </c>
      <c r="B1541" s="0" t="n">
        <v>0</v>
      </c>
      <c r="C1541" s="0" t="n">
        <v>8</v>
      </c>
      <c r="D1541" s="0" t="n">
        <v>6</v>
      </c>
      <c r="E1541" s="0" t="n">
        <f aca="false">-1+A1541*0.25</f>
        <v>-0.5</v>
      </c>
      <c r="F1541" s="0" t="n">
        <f aca="false">-1+B1541*0.25</f>
        <v>-1</v>
      </c>
      <c r="G1541" s="0" t="n">
        <f aca="false">-1+C1541*0.25</f>
        <v>1</v>
      </c>
      <c r="H1541" s="0" t="n">
        <f aca="false">-1+D1541*0.25</f>
        <v>0.5</v>
      </c>
      <c r="I1541" s="0" t="n">
        <f aca="false">1</f>
        <v>1</v>
      </c>
      <c r="J1541" s="0" t="n">
        <f aca="false">E1541</f>
        <v>-0.5</v>
      </c>
      <c r="K1541" s="0" t="n">
        <f aca="false">F1541</f>
        <v>-1</v>
      </c>
      <c r="L1541" s="0" t="n">
        <f aca="false">G1541</f>
        <v>1</v>
      </c>
      <c r="M1541" s="0" t="n">
        <f aca="false">H1541</f>
        <v>0.5</v>
      </c>
      <c r="N1541" s="0" t="n">
        <f aca="false">E1541*F1541</f>
        <v>0.5</v>
      </c>
      <c r="O1541" s="0" t="n">
        <f aca="false">E1541*G1541</f>
        <v>-0.5</v>
      </c>
      <c r="P1541" s="0" t="n">
        <f aca="false">E1541*H1541</f>
        <v>-0.25</v>
      </c>
      <c r="Q1541" s="0" t="n">
        <f aca="false">F1541*G1541</f>
        <v>-1</v>
      </c>
      <c r="R1541" s="0" t="n">
        <f aca="false">F1541*H1541</f>
        <v>-0.5</v>
      </c>
      <c r="S1541" s="0" t="n">
        <f aca="false">G1541*H1541</f>
        <v>0.5</v>
      </c>
      <c r="T1541" s="0" t="n">
        <f aca="false">E1541*E1541</f>
        <v>0.25</v>
      </c>
      <c r="U1541" s="0" t="n">
        <f aca="false">F1541*F1541</f>
        <v>1</v>
      </c>
      <c r="V1541" s="0" t="n">
        <f aca="false">G1541*G1541</f>
        <v>1</v>
      </c>
      <c r="W1541" s="0" t="n">
        <f aca="false">H1541*H1541</f>
        <v>0.25</v>
      </c>
      <c r="X1541" s="0" t="n">
        <f aca="false">SUMPRODUCT(I1541:W1541,_XtX!$B$96:$P$96)</f>
        <v>42.7843932748538</v>
      </c>
      <c r="Y1541" s="0" t="n">
        <f aca="false">SUMPRODUCT(MMULT(I1541:W1541,_XtX!$B$78:$P$92),I1541:W1541)</f>
        <v>0.582488121345029</v>
      </c>
      <c r="Z1541" s="0" t="n">
        <f aca="false">04_回帰ANOVA!$K$19*04_回帰ANOVA!$K$14*SQRT(1+Y1541)</f>
        <v>1.63971595338287</v>
      </c>
      <c r="AA1541" s="0" t="n">
        <f aca="false">X1541-Z1541</f>
        <v>41.1446773214709</v>
      </c>
      <c r="AB1541" s="0" t="n">
        <f aca="false">X1541+Z1541</f>
        <v>44.4241092282366</v>
      </c>
      <c r="AC1541" s="54" t="b">
        <f aca="false">AND(E1541&gt;=01_因子設定!$L$5-0.000000001,E1541&lt;=01_因子設定!$M$5+0.000000001,F1541&gt;=01_因子設定!$L$6-0.000000001,F1541&lt;=01_因子設定!$M$6+0.000000001,G1541&gt;=01_因子設定!$L$7-0.000000001,G1541&lt;=01_因子設定!$M$7+0.000000001,H1541&gt;=01_因子設定!$L$8-0.000000001,H1541&lt;=01_因子設定!$M$8+0.000000001,IF(01_因子設定!$B$20="Box-Behnken",E1541^2+F1541^2+G1541^2+H1541^2&lt;=2+0.000000001,TRUE()))</f>
        <v>1</v>
      </c>
      <c r="AD1541" s="55" t="n">
        <f aca="false">IF(AC1541,IF(01_因子設定!$B$13="最大化",AA1541-01_因子設定!$B$14,IF(01_因子設定!$B$13="最小化",01_因子設定!$B$15-AB1541,MIN(AA1541-01_因子設定!$B$14,01_因子設定!$B$15-AB1541))),-1E+030)</f>
        <v>-5.3553226785291</v>
      </c>
      <c r="AE1541" s="55" t="n">
        <f aca="false">IF(AC1541,IF(01_因子設定!$B$13="最大化",X1541,IF(01_因子設定!$B$13="最小化",-X1541,-ABS(X1541-01_因子設定!$B$16))),-1E+030)</f>
        <v>42.7843932748538</v>
      </c>
      <c r="AF1541" s="55" t="n">
        <f aca="false">AD1541+ROW()*0.000000001</f>
        <v>-5.3553211375291</v>
      </c>
      <c r="AG1541" s="55" t="n">
        <f aca="false">AE1541+ROW()*0.000000001</f>
        <v>42.7843948158538</v>
      </c>
    </row>
    <row r="1542" customFormat="false" ht="15" hidden="false" customHeight="false" outlineLevel="0" collapsed="false">
      <c r="A1542" s="0" t="n">
        <v>2</v>
      </c>
      <c r="B1542" s="0" t="n">
        <v>0</v>
      </c>
      <c r="C1542" s="0" t="n">
        <v>8</v>
      </c>
      <c r="D1542" s="0" t="n">
        <v>7</v>
      </c>
      <c r="E1542" s="0" t="n">
        <f aca="false">-1+A1542*0.25</f>
        <v>-0.5</v>
      </c>
      <c r="F1542" s="0" t="n">
        <f aca="false">-1+B1542*0.25</f>
        <v>-1</v>
      </c>
      <c r="G1542" s="0" t="n">
        <f aca="false">-1+C1542*0.25</f>
        <v>1</v>
      </c>
      <c r="H1542" s="0" t="n">
        <f aca="false">-1+D1542*0.25</f>
        <v>0.75</v>
      </c>
      <c r="I1542" s="0" t="n">
        <f aca="false">1</f>
        <v>1</v>
      </c>
      <c r="J1542" s="0" t="n">
        <f aca="false">E1542</f>
        <v>-0.5</v>
      </c>
      <c r="K1542" s="0" t="n">
        <f aca="false">F1542</f>
        <v>-1</v>
      </c>
      <c r="L1542" s="0" t="n">
        <f aca="false">G1542</f>
        <v>1</v>
      </c>
      <c r="M1542" s="0" t="n">
        <f aca="false">H1542</f>
        <v>0.75</v>
      </c>
      <c r="N1542" s="0" t="n">
        <f aca="false">E1542*F1542</f>
        <v>0.5</v>
      </c>
      <c r="O1542" s="0" t="n">
        <f aca="false">E1542*G1542</f>
        <v>-0.5</v>
      </c>
      <c r="P1542" s="0" t="n">
        <f aca="false">E1542*H1542</f>
        <v>-0.375</v>
      </c>
      <c r="Q1542" s="0" t="n">
        <f aca="false">F1542*G1542</f>
        <v>-1</v>
      </c>
      <c r="R1542" s="0" t="n">
        <f aca="false">F1542*H1542</f>
        <v>-0.75</v>
      </c>
      <c r="S1542" s="0" t="n">
        <f aca="false">G1542*H1542</f>
        <v>0.75</v>
      </c>
      <c r="T1542" s="0" t="n">
        <f aca="false">E1542*E1542</f>
        <v>0.25</v>
      </c>
      <c r="U1542" s="0" t="n">
        <f aca="false">F1542*F1542</f>
        <v>1</v>
      </c>
      <c r="V1542" s="0" t="n">
        <f aca="false">G1542*G1542</f>
        <v>1</v>
      </c>
      <c r="W1542" s="0" t="n">
        <f aca="false">H1542*H1542</f>
        <v>0.5625</v>
      </c>
      <c r="X1542" s="0" t="n">
        <f aca="false">SUMPRODUCT(I1542:W1542,_XtX!$B$96:$P$96)</f>
        <v>42.875639619883</v>
      </c>
      <c r="Y1542" s="0" t="n">
        <f aca="false">SUMPRODUCT(MMULT(I1542:W1542,_XtX!$B$78:$P$92),I1542:W1542)</f>
        <v>0.564984237938597</v>
      </c>
      <c r="Z1542" s="0" t="n">
        <f aca="false">04_回帰ANOVA!$K$19*04_回帰ANOVA!$K$14*SQRT(1+Y1542)</f>
        <v>1.63062229734503</v>
      </c>
      <c r="AA1542" s="0" t="n">
        <f aca="false">X1542-Z1542</f>
        <v>41.245017322538</v>
      </c>
      <c r="AB1542" s="0" t="n">
        <f aca="false">X1542+Z1542</f>
        <v>44.5062619172281</v>
      </c>
      <c r="AC1542" s="54" t="b">
        <f aca="false">AND(E1542&gt;=01_因子設定!$L$5-0.000000001,E1542&lt;=01_因子設定!$M$5+0.000000001,F1542&gt;=01_因子設定!$L$6-0.000000001,F1542&lt;=01_因子設定!$M$6+0.000000001,G1542&gt;=01_因子設定!$L$7-0.000000001,G1542&lt;=01_因子設定!$M$7+0.000000001,H1542&gt;=01_因子設定!$L$8-0.000000001,H1542&lt;=01_因子設定!$M$8+0.000000001,IF(01_因子設定!$B$20="Box-Behnken",E1542^2+F1542^2+G1542^2+H1542^2&lt;=2+0.000000001,TRUE()))</f>
        <v>1</v>
      </c>
      <c r="AD1542" s="55" t="n">
        <f aca="false">IF(AC1542,IF(01_因子設定!$B$13="最大化",AA1542-01_因子設定!$B$14,IF(01_因子設定!$B$13="最小化",01_因子設定!$B$15-AB1542,MIN(AA1542-01_因子設定!$B$14,01_因子設定!$B$15-AB1542))),-1E+030)</f>
        <v>-5.25498267746201</v>
      </c>
      <c r="AE1542" s="55" t="n">
        <f aca="false">IF(AC1542,IF(01_因子設定!$B$13="最大化",X1542,IF(01_因子設定!$B$13="最小化",-X1542,-ABS(X1542-01_因子設定!$B$16))),-1E+030)</f>
        <v>42.875639619883</v>
      </c>
      <c r="AF1542" s="55" t="n">
        <f aca="false">AD1542+ROW()*0.000000001</f>
        <v>-5.25498113546201</v>
      </c>
      <c r="AG1542" s="55" t="n">
        <f aca="false">AE1542+ROW()*0.000000001</f>
        <v>42.875641161883</v>
      </c>
    </row>
    <row r="1543" customFormat="false" ht="15" hidden="false" customHeight="false" outlineLevel="0" collapsed="false">
      <c r="A1543" s="0" t="n">
        <v>2</v>
      </c>
      <c r="B1543" s="0" t="n">
        <v>0</v>
      </c>
      <c r="C1543" s="0" t="n">
        <v>8</v>
      </c>
      <c r="D1543" s="0" t="n">
        <v>8</v>
      </c>
      <c r="E1543" s="0" t="n">
        <f aca="false">-1+A1543*0.25</f>
        <v>-0.5</v>
      </c>
      <c r="F1543" s="0" t="n">
        <f aca="false">-1+B1543*0.25</f>
        <v>-1</v>
      </c>
      <c r="G1543" s="0" t="n">
        <f aca="false">-1+C1543*0.25</f>
        <v>1</v>
      </c>
      <c r="H1543" s="0" t="n">
        <f aca="false">-1+D1543*0.25</f>
        <v>1</v>
      </c>
      <c r="I1543" s="0" t="n">
        <f aca="false">1</f>
        <v>1</v>
      </c>
      <c r="J1543" s="0" t="n">
        <f aca="false">E1543</f>
        <v>-0.5</v>
      </c>
      <c r="K1543" s="0" t="n">
        <f aca="false">F1543</f>
        <v>-1</v>
      </c>
      <c r="L1543" s="0" t="n">
        <f aca="false">G1543</f>
        <v>1</v>
      </c>
      <c r="M1543" s="0" t="n">
        <f aca="false">H1543</f>
        <v>1</v>
      </c>
      <c r="N1543" s="0" t="n">
        <f aca="false">E1543*F1543</f>
        <v>0.5</v>
      </c>
      <c r="O1543" s="0" t="n">
        <f aca="false">E1543*G1543</f>
        <v>-0.5</v>
      </c>
      <c r="P1543" s="0" t="n">
        <f aca="false">E1543*H1543</f>
        <v>-0.5</v>
      </c>
      <c r="Q1543" s="0" t="n">
        <f aca="false">F1543*G1543</f>
        <v>-1</v>
      </c>
      <c r="R1543" s="0" t="n">
        <f aca="false">F1543*H1543</f>
        <v>-1</v>
      </c>
      <c r="S1543" s="0" t="n">
        <f aca="false">G1543*H1543</f>
        <v>1</v>
      </c>
      <c r="T1543" s="0" t="n">
        <f aca="false">E1543*E1543</f>
        <v>0.25</v>
      </c>
      <c r="U1543" s="0" t="n">
        <f aca="false">F1543*F1543</f>
        <v>1</v>
      </c>
      <c r="V1543" s="0" t="n">
        <f aca="false">G1543*G1543</f>
        <v>1</v>
      </c>
      <c r="W1543" s="0" t="n">
        <f aca="false">H1543*H1543</f>
        <v>1</v>
      </c>
      <c r="X1543" s="0" t="n">
        <f aca="false">SUMPRODUCT(I1543:W1543,_XtX!$B$96:$P$96)</f>
        <v>42.9190789473684</v>
      </c>
      <c r="Y1543" s="0" t="n">
        <f aca="false">SUMPRODUCT(MMULT(I1543:W1543,_XtX!$B$78:$P$92),I1543:W1543)</f>
        <v>0.667123538011696</v>
      </c>
      <c r="Z1543" s="0" t="n">
        <f aca="false">04_回帰ANOVA!$K$19*04_回帰ANOVA!$K$14*SQRT(1+Y1543)</f>
        <v>1.68299290213005</v>
      </c>
      <c r="AA1543" s="0" t="n">
        <f aca="false">X1543-Z1543</f>
        <v>41.2360860452384</v>
      </c>
      <c r="AB1543" s="0" t="n">
        <f aca="false">X1543+Z1543</f>
        <v>44.6020718494985</v>
      </c>
      <c r="AC1543" s="54" t="b">
        <f aca="false">AND(E1543&gt;=01_因子設定!$L$5-0.000000001,E1543&lt;=01_因子設定!$M$5+0.000000001,F1543&gt;=01_因子設定!$L$6-0.000000001,F1543&lt;=01_因子設定!$M$6+0.000000001,G1543&gt;=01_因子設定!$L$7-0.000000001,G1543&lt;=01_因子設定!$M$7+0.000000001,H1543&gt;=01_因子設定!$L$8-0.000000001,H1543&lt;=01_因子設定!$M$8+0.000000001,IF(01_因子設定!$B$20="Box-Behnken",E1543^2+F1543^2+G1543^2+H1543^2&lt;=2+0.000000001,TRUE()))</f>
        <v>1</v>
      </c>
      <c r="AD1543" s="55" t="n">
        <f aca="false">IF(AC1543,IF(01_因子設定!$B$13="最大化",AA1543-01_因子設定!$B$14,IF(01_因子設定!$B$13="最小化",01_因子設定!$B$15-AB1543,MIN(AA1543-01_因子設定!$B$14,01_因子設定!$B$15-AB1543))),-1E+030)</f>
        <v>-5.26391395476163</v>
      </c>
      <c r="AE1543" s="55" t="n">
        <f aca="false">IF(AC1543,IF(01_因子設定!$B$13="最大化",X1543,IF(01_因子設定!$B$13="最小化",-X1543,-ABS(X1543-01_因子設定!$B$16))),-1E+030)</f>
        <v>42.9190789473684</v>
      </c>
      <c r="AF1543" s="55" t="n">
        <f aca="false">AD1543+ROW()*0.000000001</f>
        <v>-5.26391241176163</v>
      </c>
      <c r="AG1543" s="55" t="n">
        <f aca="false">AE1543+ROW()*0.000000001</f>
        <v>42.9190804903684</v>
      </c>
    </row>
    <row r="1544" customFormat="false" ht="15" hidden="false" customHeight="false" outlineLevel="0" collapsed="false">
      <c r="A1544" s="0" t="n">
        <v>2</v>
      </c>
      <c r="B1544" s="0" t="n">
        <v>1</v>
      </c>
      <c r="C1544" s="0" t="n">
        <v>0</v>
      </c>
      <c r="D1544" s="0" t="n">
        <v>0</v>
      </c>
      <c r="E1544" s="0" t="n">
        <f aca="false">-1+A1544*0.25</f>
        <v>-0.5</v>
      </c>
      <c r="F1544" s="0" t="n">
        <f aca="false">-1+B1544*0.25</f>
        <v>-0.75</v>
      </c>
      <c r="G1544" s="0" t="n">
        <f aca="false">-1+C1544*0.25</f>
        <v>-1</v>
      </c>
      <c r="H1544" s="0" t="n">
        <f aca="false">-1+D1544*0.25</f>
        <v>-1</v>
      </c>
      <c r="I1544" s="0" t="n">
        <f aca="false">1</f>
        <v>1</v>
      </c>
      <c r="J1544" s="0" t="n">
        <f aca="false">E1544</f>
        <v>-0.5</v>
      </c>
      <c r="K1544" s="0" t="n">
        <f aca="false">F1544</f>
        <v>-0.75</v>
      </c>
      <c r="L1544" s="0" t="n">
        <f aca="false">G1544</f>
        <v>-1</v>
      </c>
      <c r="M1544" s="0" t="n">
        <f aca="false">H1544</f>
        <v>-1</v>
      </c>
      <c r="N1544" s="0" t="n">
        <f aca="false">E1544*F1544</f>
        <v>0.375</v>
      </c>
      <c r="O1544" s="0" t="n">
        <f aca="false">E1544*G1544</f>
        <v>0.5</v>
      </c>
      <c r="P1544" s="0" t="n">
        <f aca="false">E1544*H1544</f>
        <v>0.5</v>
      </c>
      <c r="Q1544" s="0" t="n">
        <f aca="false">F1544*G1544</f>
        <v>0.75</v>
      </c>
      <c r="R1544" s="0" t="n">
        <f aca="false">F1544*H1544</f>
        <v>0.75</v>
      </c>
      <c r="S1544" s="0" t="n">
        <f aca="false">G1544*H1544</f>
        <v>1</v>
      </c>
      <c r="T1544" s="0" t="n">
        <f aca="false">E1544*E1544</f>
        <v>0.25</v>
      </c>
      <c r="U1544" s="0" t="n">
        <f aca="false">F1544*F1544</f>
        <v>0.5625</v>
      </c>
      <c r="V1544" s="0" t="n">
        <f aca="false">G1544*G1544</f>
        <v>1</v>
      </c>
      <c r="W1544" s="0" t="n">
        <f aca="false">H1544*H1544</f>
        <v>1</v>
      </c>
      <c r="X1544" s="0" t="n">
        <f aca="false">SUMPRODUCT(I1544:W1544,_XtX!$B$96:$P$96)</f>
        <v>41.3041118421053</v>
      </c>
      <c r="Y1544" s="0" t="n">
        <f aca="false">SUMPRODUCT(MMULT(I1544:W1544,_XtX!$B$78:$P$92),I1544:W1544)</f>
        <v>0.564984237938597</v>
      </c>
      <c r="Z1544" s="0" t="n">
        <f aca="false">04_回帰ANOVA!$K$19*04_回帰ANOVA!$K$14*SQRT(1+Y1544)</f>
        <v>1.63062229734503</v>
      </c>
      <c r="AA1544" s="0" t="n">
        <f aca="false">X1544-Z1544</f>
        <v>39.6734895447602</v>
      </c>
      <c r="AB1544" s="0" t="n">
        <f aca="false">X1544+Z1544</f>
        <v>42.9347341394503</v>
      </c>
      <c r="AC1544" s="54" t="b">
        <f aca="false">AND(E1544&gt;=01_因子設定!$L$5-0.000000001,E1544&lt;=01_因子設定!$M$5+0.000000001,F1544&gt;=01_因子設定!$L$6-0.000000001,F1544&lt;=01_因子設定!$M$6+0.000000001,G1544&gt;=01_因子設定!$L$7-0.000000001,G1544&lt;=01_因子設定!$M$7+0.000000001,H1544&gt;=01_因子設定!$L$8-0.000000001,H1544&lt;=01_因子設定!$M$8+0.000000001,IF(01_因子設定!$B$20="Box-Behnken",E1544^2+F1544^2+G1544^2+H1544^2&lt;=2+0.000000001,TRUE()))</f>
        <v>1</v>
      </c>
      <c r="AD1544" s="55" t="n">
        <f aca="false">IF(AC1544,IF(01_因子設定!$B$13="最大化",AA1544-01_因子設定!$B$14,IF(01_因子設定!$B$13="最小化",01_因子設定!$B$15-AB1544,MIN(AA1544-01_因子設定!$B$14,01_因子設定!$B$15-AB1544))),-1E+030)</f>
        <v>-6.82651045523977</v>
      </c>
      <c r="AE1544" s="55" t="n">
        <f aca="false">IF(AC1544,IF(01_因子設定!$B$13="最大化",X1544,IF(01_因子設定!$B$13="最小化",-X1544,-ABS(X1544-01_因子設定!$B$16))),-1E+030)</f>
        <v>41.3041118421053</v>
      </c>
      <c r="AF1544" s="55" t="n">
        <f aca="false">AD1544+ROW()*0.000000001</f>
        <v>-6.82650891123977</v>
      </c>
      <c r="AG1544" s="55" t="n">
        <f aca="false">AE1544+ROW()*0.000000001</f>
        <v>41.3041133861053</v>
      </c>
    </row>
    <row r="1545" customFormat="false" ht="15" hidden="false" customHeight="false" outlineLevel="0" collapsed="false">
      <c r="A1545" s="0" t="n">
        <v>2</v>
      </c>
      <c r="B1545" s="0" t="n">
        <v>1</v>
      </c>
      <c r="C1545" s="0" t="n">
        <v>0</v>
      </c>
      <c r="D1545" s="0" t="n">
        <v>1</v>
      </c>
      <c r="E1545" s="0" t="n">
        <f aca="false">-1+A1545*0.25</f>
        <v>-0.5</v>
      </c>
      <c r="F1545" s="0" t="n">
        <f aca="false">-1+B1545*0.25</f>
        <v>-0.75</v>
      </c>
      <c r="G1545" s="0" t="n">
        <f aca="false">-1+C1545*0.25</f>
        <v>-1</v>
      </c>
      <c r="H1545" s="0" t="n">
        <f aca="false">-1+D1545*0.25</f>
        <v>-0.75</v>
      </c>
      <c r="I1545" s="0" t="n">
        <f aca="false">1</f>
        <v>1</v>
      </c>
      <c r="J1545" s="0" t="n">
        <f aca="false">E1545</f>
        <v>-0.5</v>
      </c>
      <c r="K1545" s="0" t="n">
        <f aca="false">F1545</f>
        <v>-0.75</v>
      </c>
      <c r="L1545" s="0" t="n">
        <f aca="false">G1545</f>
        <v>-1</v>
      </c>
      <c r="M1545" s="0" t="n">
        <f aca="false">H1545</f>
        <v>-0.75</v>
      </c>
      <c r="N1545" s="0" t="n">
        <f aca="false">E1545*F1545</f>
        <v>0.375</v>
      </c>
      <c r="O1545" s="0" t="n">
        <f aca="false">E1545*G1545</f>
        <v>0.5</v>
      </c>
      <c r="P1545" s="0" t="n">
        <f aca="false">E1545*H1545</f>
        <v>0.375</v>
      </c>
      <c r="Q1545" s="0" t="n">
        <f aca="false">F1545*G1545</f>
        <v>0.75</v>
      </c>
      <c r="R1545" s="0" t="n">
        <f aca="false">F1545*H1545</f>
        <v>0.5625</v>
      </c>
      <c r="S1545" s="0" t="n">
        <f aca="false">G1545*H1545</f>
        <v>0.75</v>
      </c>
      <c r="T1545" s="0" t="n">
        <f aca="false">E1545*E1545</f>
        <v>0.25</v>
      </c>
      <c r="U1545" s="0" t="n">
        <f aca="false">F1545*F1545</f>
        <v>0.5625</v>
      </c>
      <c r="V1545" s="0" t="n">
        <f aca="false">G1545*G1545</f>
        <v>1</v>
      </c>
      <c r="W1545" s="0" t="n">
        <f aca="false">H1545*H1545</f>
        <v>0.5625</v>
      </c>
      <c r="X1545" s="0" t="n">
        <f aca="false">SUMPRODUCT(I1545:W1545,_XtX!$B$96:$P$96)</f>
        <v>41.5251690423976</v>
      </c>
      <c r="Y1545" s="0" t="n">
        <f aca="false">SUMPRODUCT(MMULT(I1545:W1545,_XtX!$B$78:$P$92),I1545:W1545)</f>
        <v>0.431153771472953</v>
      </c>
      <c r="Z1545" s="0" t="n">
        <f aca="false">04_回帰ANOVA!$K$19*04_回帰ANOVA!$K$14*SQRT(1+Y1545)</f>
        <v>1.55934259562563</v>
      </c>
      <c r="AA1545" s="0" t="n">
        <f aca="false">X1545-Z1545</f>
        <v>39.965826446772</v>
      </c>
      <c r="AB1545" s="0" t="n">
        <f aca="false">X1545+Z1545</f>
        <v>43.0845116380233</v>
      </c>
      <c r="AC1545" s="54" t="b">
        <f aca="false">AND(E1545&gt;=01_因子設定!$L$5-0.000000001,E1545&lt;=01_因子設定!$M$5+0.000000001,F1545&gt;=01_因子設定!$L$6-0.000000001,F1545&lt;=01_因子設定!$M$6+0.000000001,G1545&gt;=01_因子設定!$L$7-0.000000001,G1545&lt;=01_因子設定!$M$7+0.000000001,H1545&gt;=01_因子設定!$L$8-0.000000001,H1545&lt;=01_因子設定!$M$8+0.000000001,IF(01_因子設定!$B$20="Box-Behnken",E1545^2+F1545^2+G1545^2+H1545^2&lt;=2+0.000000001,TRUE()))</f>
        <v>1</v>
      </c>
      <c r="AD1545" s="55" t="n">
        <f aca="false">IF(AC1545,IF(01_因子設定!$B$13="最大化",AA1545-01_因子設定!$B$14,IF(01_因子設定!$B$13="最小化",01_因子設定!$B$15-AB1545,MIN(AA1545-01_因子設定!$B$14,01_因子設定!$B$15-AB1545))),-1E+030)</f>
        <v>-6.53417355322799</v>
      </c>
      <c r="AE1545" s="55" t="n">
        <f aca="false">IF(AC1545,IF(01_因子設定!$B$13="最大化",X1545,IF(01_因子設定!$B$13="最小化",-X1545,-ABS(X1545-01_因子設定!$B$16))),-1E+030)</f>
        <v>41.5251690423976</v>
      </c>
      <c r="AF1545" s="55" t="n">
        <f aca="false">AD1545+ROW()*0.000000001</f>
        <v>-6.53417200822799</v>
      </c>
      <c r="AG1545" s="55" t="n">
        <f aca="false">AE1545+ROW()*0.000000001</f>
        <v>41.5251705873976</v>
      </c>
    </row>
    <row r="1546" customFormat="false" ht="15" hidden="false" customHeight="false" outlineLevel="0" collapsed="false">
      <c r="A1546" s="0" t="n">
        <v>2</v>
      </c>
      <c r="B1546" s="0" t="n">
        <v>1</v>
      </c>
      <c r="C1546" s="0" t="n">
        <v>0</v>
      </c>
      <c r="D1546" s="0" t="n">
        <v>2</v>
      </c>
      <c r="E1546" s="0" t="n">
        <f aca="false">-1+A1546*0.25</f>
        <v>-0.5</v>
      </c>
      <c r="F1546" s="0" t="n">
        <f aca="false">-1+B1546*0.25</f>
        <v>-0.75</v>
      </c>
      <c r="G1546" s="0" t="n">
        <f aca="false">-1+C1546*0.25</f>
        <v>-1</v>
      </c>
      <c r="H1546" s="0" t="n">
        <f aca="false">-1+D1546*0.25</f>
        <v>-0.5</v>
      </c>
      <c r="I1546" s="0" t="n">
        <f aca="false">1</f>
        <v>1</v>
      </c>
      <c r="J1546" s="0" t="n">
        <f aca="false">E1546</f>
        <v>-0.5</v>
      </c>
      <c r="K1546" s="0" t="n">
        <f aca="false">F1546</f>
        <v>-0.75</v>
      </c>
      <c r="L1546" s="0" t="n">
        <f aca="false">G1546</f>
        <v>-1</v>
      </c>
      <c r="M1546" s="0" t="n">
        <f aca="false">H1546</f>
        <v>-0.5</v>
      </c>
      <c r="N1546" s="0" t="n">
        <f aca="false">E1546*F1546</f>
        <v>0.375</v>
      </c>
      <c r="O1546" s="0" t="n">
        <f aca="false">E1546*G1546</f>
        <v>0.5</v>
      </c>
      <c r="P1546" s="0" t="n">
        <f aca="false">E1546*H1546</f>
        <v>0.25</v>
      </c>
      <c r="Q1546" s="0" t="n">
        <f aca="false">F1546*G1546</f>
        <v>0.75</v>
      </c>
      <c r="R1546" s="0" t="n">
        <f aca="false">F1546*H1546</f>
        <v>0.375</v>
      </c>
      <c r="S1546" s="0" t="n">
        <f aca="false">G1546*H1546</f>
        <v>0.5</v>
      </c>
      <c r="T1546" s="0" t="n">
        <f aca="false">E1546*E1546</f>
        <v>0.25</v>
      </c>
      <c r="U1546" s="0" t="n">
        <f aca="false">F1546*F1546</f>
        <v>0.5625</v>
      </c>
      <c r="V1546" s="0" t="n">
        <f aca="false">G1546*G1546</f>
        <v>1</v>
      </c>
      <c r="W1546" s="0" t="n">
        <f aca="false">H1546*H1546</f>
        <v>0.25</v>
      </c>
      <c r="X1546" s="0" t="n">
        <f aca="false">SUMPRODUCT(I1546:W1546,_XtX!$B$96:$P$96)</f>
        <v>41.6984192251462</v>
      </c>
      <c r="Y1546" s="0" t="n">
        <f aca="false">SUMPRODUCT(MMULT(I1546:W1546,_XtX!$B$78:$P$92),I1546:W1546)</f>
        <v>0.42602110745614</v>
      </c>
      <c r="Z1546" s="0" t="n">
        <f aca="false">04_回帰ANOVA!$K$19*04_回帰ANOVA!$K$14*SQRT(1+Y1546)</f>
        <v>1.55654388501114</v>
      </c>
      <c r="AA1546" s="0" t="n">
        <f aca="false">X1546-Z1546</f>
        <v>40.141875340135</v>
      </c>
      <c r="AB1546" s="0" t="n">
        <f aca="false">X1546+Z1546</f>
        <v>43.2549631101573</v>
      </c>
      <c r="AC1546" s="54" t="b">
        <f aca="false">AND(E1546&gt;=01_因子設定!$L$5-0.000000001,E1546&lt;=01_因子設定!$M$5+0.000000001,F1546&gt;=01_因子設定!$L$6-0.000000001,F1546&lt;=01_因子設定!$M$6+0.000000001,G1546&gt;=01_因子設定!$L$7-0.000000001,G1546&lt;=01_因子設定!$M$7+0.000000001,H1546&gt;=01_因子設定!$L$8-0.000000001,H1546&lt;=01_因子設定!$M$8+0.000000001,IF(01_因子設定!$B$20="Box-Behnken",E1546^2+F1546^2+G1546^2+H1546^2&lt;=2+0.000000001,TRUE()))</f>
        <v>1</v>
      </c>
      <c r="AD1546" s="55" t="n">
        <f aca="false">IF(AC1546,IF(01_因子設定!$B$13="最大化",AA1546-01_因子設定!$B$14,IF(01_因子設定!$B$13="最小化",01_因子設定!$B$15-AB1546,MIN(AA1546-01_因子設定!$B$14,01_因子設定!$B$15-AB1546))),-1E+030)</f>
        <v>-6.35812465986497</v>
      </c>
      <c r="AE1546" s="55" t="n">
        <f aca="false">IF(AC1546,IF(01_因子設定!$B$13="最大化",X1546,IF(01_因子設定!$B$13="最小化",-X1546,-ABS(X1546-01_因子設定!$B$16))),-1E+030)</f>
        <v>41.6984192251462</v>
      </c>
      <c r="AF1546" s="55" t="n">
        <f aca="false">AD1546+ROW()*0.000000001</f>
        <v>-6.35812311386497</v>
      </c>
      <c r="AG1546" s="55" t="n">
        <f aca="false">AE1546+ROW()*0.000000001</f>
        <v>41.6984207711462</v>
      </c>
    </row>
    <row r="1547" customFormat="false" ht="15" hidden="false" customHeight="false" outlineLevel="0" collapsed="false">
      <c r="A1547" s="0" t="n">
        <v>2</v>
      </c>
      <c r="B1547" s="0" t="n">
        <v>1</v>
      </c>
      <c r="C1547" s="0" t="n">
        <v>0</v>
      </c>
      <c r="D1547" s="0" t="n">
        <v>3</v>
      </c>
      <c r="E1547" s="0" t="n">
        <f aca="false">-1+A1547*0.25</f>
        <v>-0.5</v>
      </c>
      <c r="F1547" s="0" t="n">
        <f aca="false">-1+B1547*0.25</f>
        <v>-0.75</v>
      </c>
      <c r="G1547" s="0" t="n">
        <f aca="false">-1+C1547*0.25</f>
        <v>-1</v>
      </c>
      <c r="H1547" s="0" t="n">
        <f aca="false">-1+D1547*0.25</f>
        <v>-0.25</v>
      </c>
      <c r="I1547" s="0" t="n">
        <f aca="false">1</f>
        <v>1</v>
      </c>
      <c r="J1547" s="0" t="n">
        <f aca="false">E1547</f>
        <v>-0.5</v>
      </c>
      <c r="K1547" s="0" t="n">
        <f aca="false">F1547</f>
        <v>-0.75</v>
      </c>
      <c r="L1547" s="0" t="n">
        <f aca="false">G1547</f>
        <v>-1</v>
      </c>
      <c r="M1547" s="0" t="n">
        <f aca="false">H1547</f>
        <v>-0.25</v>
      </c>
      <c r="N1547" s="0" t="n">
        <f aca="false">E1547*F1547</f>
        <v>0.375</v>
      </c>
      <c r="O1547" s="0" t="n">
        <f aca="false">E1547*G1547</f>
        <v>0.5</v>
      </c>
      <c r="P1547" s="0" t="n">
        <f aca="false">E1547*H1547</f>
        <v>0.125</v>
      </c>
      <c r="Q1547" s="0" t="n">
        <f aca="false">F1547*G1547</f>
        <v>0.75</v>
      </c>
      <c r="R1547" s="0" t="n">
        <f aca="false">F1547*H1547</f>
        <v>0.1875</v>
      </c>
      <c r="S1547" s="0" t="n">
        <f aca="false">G1547*H1547</f>
        <v>0.25</v>
      </c>
      <c r="T1547" s="0" t="n">
        <f aca="false">E1547*E1547</f>
        <v>0.25</v>
      </c>
      <c r="U1547" s="0" t="n">
        <f aca="false">F1547*F1547</f>
        <v>0.5625</v>
      </c>
      <c r="V1547" s="0" t="n">
        <f aca="false">G1547*G1547</f>
        <v>1</v>
      </c>
      <c r="W1547" s="0" t="n">
        <f aca="false">H1547*H1547</f>
        <v>0.0625</v>
      </c>
      <c r="X1547" s="0" t="n">
        <f aca="false">SUMPRODUCT(I1547:W1547,_XtX!$B$96:$P$96)</f>
        <v>41.8238623903508</v>
      </c>
      <c r="Y1547" s="0" t="n">
        <f aca="false">SUMPRODUCT(MMULT(I1547:W1547,_XtX!$B$78:$P$92),I1547:W1547)</f>
        <v>0.459125719572369</v>
      </c>
      <c r="Z1547" s="0" t="n">
        <f aca="false">04_回帰ANOVA!$K$19*04_回帰ANOVA!$K$14*SQRT(1+Y1547)</f>
        <v>1.57450755575573</v>
      </c>
      <c r="AA1547" s="0" t="n">
        <f aca="false">X1547-Z1547</f>
        <v>40.2493548345951</v>
      </c>
      <c r="AB1547" s="0" t="n">
        <f aca="false">X1547+Z1547</f>
        <v>43.3983699461066</v>
      </c>
      <c r="AC1547" s="54" t="b">
        <f aca="false">AND(E1547&gt;=01_因子設定!$L$5-0.000000001,E1547&lt;=01_因子設定!$M$5+0.000000001,F1547&gt;=01_因子設定!$L$6-0.000000001,F1547&lt;=01_因子設定!$M$6+0.000000001,G1547&gt;=01_因子設定!$L$7-0.000000001,G1547&lt;=01_因子設定!$M$7+0.000000001,H1547&gt;=01_因子設定!$L$8-0.000000001,H1547&lt;=01_因子設定!$M$8+0.000000001,IF(01_因子設定!$B$20="Box-Behnken",E1547^2+F1547^2+G1547^2+H1547^2&lt;=2+0.000000001,TRUE()))</f>
        <v>1</v>
      </c>
      <c r="AD1547" s="55" t="n">
        <f aca="false">IF(AC1547,IF(01_因子設定!$B$13="最大化",AA1547-01_因子設定!$B$14,IF(01_因子設定!$B$13="最小化",01_因子設定!$B$15-AB1547,MIN(AA1547-01_因子設定!$B$14,01_因子設定!$B$15-AB1547))),-1E+030)</f>
        <v>-6.25064516540489</v>
      </c>
      <c r="AE1547" s="55" t="n">
        <f aca="false">IF(AC1547,IF(01_因子設定!$B$13="最大化",X1547,IF(01_因子設定!$B$13="最小化",-X1547,-ABS(X1547-01_因子設定!$B$16))),-1E+030)</f>
        <v>41.8238623903508</v>
      </c>
      <c r="AF1547" s="55" t="n">
        <f aca="false">AD1547+ROW()*0.000000001</f>
        <v>-6.25064361840489</v>
      </c>
      <c r="AG1547" s="55" t="n">
        <f aca="false">AE1547+ROW()*0.000000001</f>
        <v>41.8238639373508</v>
      </c>
    </row>
    <row r="1548" customFormat="false" ht="15" hidden="false" customHeight="false" outlineLevel="0" collapsed="false">
      <c r="A1548" s="0" t="n">
        <v>2</v>
      </c>
      <c r="B1548" s="0" t="n">
        <v>1</v>
      </c>
      <c r="C1548" s="0" t="n">
        <v>0</v>
      </c>
      <c r="D1548" s="0" t="n">
        <v>4</v>
      </c>
      <c r="E1548" s="0" t="n">
        <f aca="false">-1+A1548*0.25</f>
        <v>-0.5</v>
      </c>
      <c r="F1548" s="0" t="n">
        <f aca="false">-1+B1548*0.25</f>
        <v>-0.75</v>
      </c>
      <c r="G1548" s="0" t="n">
        <f aca="false">-1+C1548*0.25</f>
        <v>-1</v>
      </c>
      <c r="H1548" s="0" t="n">
        <f aca="false">-1+D1548*0.25</f>
        <v>0</v>
      </c>
      <c r="I1548" s="0" t="n">
        <f aca="false">1</f>
        <v>1</v>
      </c>
      <c r="J1548" s="0" t="n">
        <f aca="false">E1548</f>
        <v>-0.5</v>
      </c>
      <c r="K1548" s="0" t="n">
        <f aca="false">F1548</f>
        <v>-0.75</v>
      </c>
      <c r="L1548" s="0" t="n">
        <f aca="false">G1548</f>
        <v>-1</v>
      </c>
      <c r="M1548" s="0" t="n">
        <f aca="false">H1548</f>
        <v>0</v>
      </c>
      <c r="N1548" s="0" t="n">
        <f aca="false">E1548*F1548</f>
        <v>0.375</v>
      </c>
      <c r="O1548" s="0" t="n">
        <f aca="false">E1548*G1548</f>
        <v>0.5</v>
      </c>
      <c r="P1548" s="0" t="n">
        <f aca="false">E1548*H1548</f>
        <v>-0</v>
      </c>
      <c r="Q1548" s="0" t="n">
        <f aca="false">F1548*G1548</f>
        <v>0.75</v>
      </c>
      <c r="R1548" s="0" t="n">
        <f aca="false">F1548*H1548</f>
        <v>-0</v>
      </c>
      <c r="S1548" s="0" t="n">
        <f aca="false">G1548*H1548</f>
        <v>-0</v>
      </c>
      <c r="T1548" s="0" t="n">
        <f aca="false">E1548*E1548</f>
        <v>0.25</v>
      </c>
      <c r="U1548" s="0" t="n">
        <f aca="false">F1548*F1548</f>
        <v>0.5625</v>
      </c>
      <c r="V1548" s="0" t="n">
        <f aca="false">G1548*G1548</f>
        <v>1</v>
      </c>
      <c r="W1548" s="0" t="n">
        <f aca="false">H1548*H1548</f>
        <v>0</v>
      </c>
      <c r="X1548" s="0" t="n">
        <f aca="false">SUMPRODUCT(I1548:W1548,_XtX!$B$96:$P$96)</f>
        <v>41.9014985380117</v>
      </c>
      <c r="Y1548" s="0" t="n">
        <f aca="false">SUMPRODUCT(MMULT(I1548:W1548,_XtX!$B$78:$P$92),I1548:W1548)</f>
        <v>0.476191292032164</v>
      </c>
      <c r="Z1548" s="0" t="n">
        <f aca="false">04_回帰ANOVA!$K$19*04_回帰ANOVA!$K$14*SQRT(1+Y1548)</f>
        <v>1.58368831471718</v>
      </c>
      <c r="AA1548" s="0" t="n">
        <f aca="false">X1548-Z1548</f>
        <v>40.3178102232945</v>
      </c>
      <c r="AB1548" s="0" t="n">
        <f aca="false">X1548+Z1548</f>
        <v>43.4851868527288</v>
      </c>
      <c r="AC1548" s="54" t="b">
        <f aca="false">AND(E1548&gt;=01_因子設定!$L$5-0.000000001,E1548&lt;=01_因子設定!$M$5+0.000000001,F1548&gt;=01_因子設定!$L$6-0.000000001,F1548&lt;=01_因子設定!$M$6+0.000000001,G1548&gt;=01_因子設定!$L$7-0.000000001,G1548&lt;=01_因子設定!$M$7+0.000000001,H1548&gt;=01_因子設定!$L$8-0.000000001,H1548&lt;=01_因子設定!$M$8+0.000000001,IF(01_因子設定!$B$20="Box-Behnken",E1548^2+F1548^2+G1548^2+H1548^2&lt;=2+0.000000001,TRUE()))</f>
        <v>1</v>
      </c>
      <c r="AD1548" s="55" t="n">
        <f aca="false">IF(AC1548,IF(01_因子設定!$B$13="最大化",AA1548-01_因子設定!$B$14,IF(01_因子設定!$B$13="最小化",01_因子設定!$B$15-AB1548,MIN(AA1548-01_因子設定!$B$14,01_因子設定!$B$15-AB1548))),-1E+030)</f>
        <v>-6.18218977670552</v>
      </c>
      <c r="AE1548" s="55" t="n">
        <f aca="false">IF(AC1548,IF(01_因子設定!$B$13="最大化",X1548,IF(01_因子設定!$B$13="最小化",-X1548,-ABS(X1548-01_因子設定!$B$16))),-1E+030)</f>
        <v>41.9014985380117</v>
      </c>
      <c r="AF1548" s="55" t="n">
        <f aca="false">AD1548+ROW()*0.000000001</f>
        <v>-6.18218822870552</v>
      </c>
      <c r="AG1548" s="55" t="n">
        <f aca="false">AE1548+ROW()*0.000000001</f>
        <v>41.9015000860117</v>
      </c>
    </row>
    <row r="1549" customFormat="false" ht="15" hidden="false" customHeight="false" outlineLevel="0" collapsed="false">
      <c r="A1549" s="0" t="n">
        <v>2</v>
      </c>
      <c r="B1549" s="0" t="n">
        <v>1</v>
      </c>
      <c r="C1549" s="0" t="n">
        <v>0</v>
      </c>
      <c r="D1549" s="0" t="n">
        <v>5</v>
      </c>
      <c r="E1549" s="0" t="n">
        <f aca="false">-1+A1549*0.25</f>
        <v>-0.5</v>
      </c>
      <c r="F1549" s="0" t="n">
        <f aca="false">-1+B1549*0.25</f>
        <v>-0.75</v>
      </c>
      <c r="G1549" s="0" t="n">
        <f aca="false">-1+C1549*0.25</f>
        <v>-1</v>
      </c>
      <c r="H1549" s="0" t="n">
        <f aca="false">-1+D1549*0.25</f>
        <v>0.25</v>
      </c>
      <c r="I1549" s="0" t="n">
        <f aca="false">1</f>
        <v>1</v>
      </c>
      <c r="J1549" s="0" t="n">
        <f aca="false">E1549</f>
        <v>-0.5</v>
      </c>
      <c r="K1549" s="0" t="n">
        <f aca="false">F1549</f>
        <v>-0.75</v>
      </c>
      <c r="L1549" s="0" t="n">
        <f aca="false">G1549</f>
        <v>-1</v>
      </c>
      <c r="M1549" s="0" t="n">
        <f aca="false">H1549</f>
        <v>0.25</v>
      </c>
      <c r="N1549" s="0" t="n">
        <f aca="false">E1549*F1549</f>
        <v>0.375</v>
      </c>
      <c r="O1549" s="0" t="n">
        <f aca="false">E1549*G1549</f>
        <v>0.5</v>
      </c>
      <c r="P1549" s="0" t="n">
        <f aca="false">E1549*H1549</f>
        <v>-0.125</v>
      </c>
      <c r="Q1549" s="0" t="n">
        <f aca="false">F1549*G1549</f>
        <v>0.75</v>
      </c>
      <c r="R1549" s="0" t="n">
        <f aca="false">F1549*H1549</f>
        <v>-0.1875</v>
      </c>
      <c r="S1549" s="0" t="n">
        <f aca="false">G1549*H1549</f>
        <v>-0.25</v>
      </c>
      <c r="T1549" s="0" t="n">
        <f aca="false">E1549*E1549</f>
        <v>0.25</v>
      </c>
      <c r="U1549" s="0" t="n">
        <f aca="false">F1549*F1549</f>
        <v>0.5625</v>
      </c>
      <c r="V1549" s="0" t="n">
        <f aca="false">G1549*G1549</f>
        <v>1</v>
      </c>
      <c r="W1549" s="0" t="n">
        <f aca="false">H1549*H1549</f>
        <v>0.0625</v>
      </c>
      <c r="X1549" s="0" t="n">
        <f aca="false">SUMPRODUCT(I1549:W1549,_XtX!$B$96:$P$96)</f>
        <v>41.9313276681286</v>
      </c>
      <c r="Y1549" s="0" t="n">
        <f aca="false">SUMPRODUCT(MMULT(I1549:W1549,_XtX!$B$78:$P$92),I1549:W1549)</f>
        <v>0.459125719572369</v>
      </c>
      <c r="Z1549" s="0" t="n">
        <f aca="false">04_回帰ANOVA!$K$19*04_回帰ANOVA!$K$14*SQRT(1+Y1549)</f>
        <v>1.57450755575573</v>
      </c>
      <c r="AA1549" s="0" t="n">
        <f aca="false">X1549-Z1549</f>
        <v>40.3568201123729</v>
      </c>
      <c r="AB1549" s="0" t="n">
        <f aca="false">X1549+Z1549</f>
        <v>43.5058352238844</v>
      </c>
      <c r="AC1549" s="54" t="b">
        <f aca="false">AND(E1549&gt;=01_因子設定!$L$5-0.000000001,E1549&lt;=01_因子設定!$M$5+0.000000001,F1549&gt;=01_因子設定!$L$6-0.000000001,F1549&lt;=01_因子設定!$M$6+0.000000001,G1549&gt;=01_因子設定!$L$7-0.000000001,G1549&lt;=01_因子設定!$M$7+0.000000001,H1549&gt;=01_因子設定!$L$8-0.000000001,H1549&lt;=01_因子設定!$M$8+0.000000001,IF(01_因子設定!$B$20="Box-Behnken",E1549^2+F1549^2+G1549^2+H1549^2&lt;=2+0.000000001,TRUE()))</f>
        <v>1</v>
      </c>
      <c r="AD1549" s="55" t="n">
        <f aca="false">IF(AC1549,IF(01_因子設定!$B$13="最大化",AA1549-01_因子設定!$B$14,IF(01_因子設定!$B$13="最小化",01_因子設定!$B$15-AB1549,MIN(AA1549-01_因子設定!$B$14,01_因子設定!$B$15-AB1549))),-1E+030)</f>
        <v>-6.14317988762711</v>
      </c>
      <c r="AE1549" s="55" t="n">
        <f aca="false">IF(AC1549,IF(01_因子設定!$B$13="最大化",X1549,IF(01_因子設定!$B$13="最小化",-X1549,-ABS(X1549-01_因子設定!$B$16))),-1E+030)</f>
        <v>41.9313276681286</v>
      </c>
      <c r="AF1549" s="55" t="n">
        <f aca="false">AD1549+ROW()*0.000000001</f>
        <v>-6.14317833862711</v>
      </c>
      <c r="AG1549" s="55" t="n">
        <f aca="false">AE1549+ROW()*0.000000001</f>
        <v>41.9313292171286</v>
      </c>
    </row>
    <row r="1550" customFormat="false" ht="15" hidden="false" customHeight="false" outlineLevel="0" collapsed="false">
      <c r="A1550" s="0" t="n">
        <v>2</v>
      </c>
      <c r="B1550" s="0" t="n">
        <v>1</v>
      </c>
      <c r="C1550" s="0" t="n">
        <v>0</v>
      </c>
      <c r="D1550" s="0" t="n">
        <v>6</v>
      </c>
      <c r="E1550" s="0" t="n">
        <f aca="false">-1+A1550*0.25</f>
        <v>-0.5</v>
      </c>
      <c r="F1550" s="0" t="n">
        <f aca="false">-1+B1550*0.25</f>
        <v>-0.75</v>
      </c>
      <c r="G1550" s="0" t="n">
        <f aca="false">-1+C1550*0.25</f>
        <v>-1</v>
      </c>
      <c r="H1550" s="0" t="n">
        <f aca="false">-1+D1550*0.25</f>
        <v>0.5</v>
      </c>
      <c r="I1550" s="0" t="n">
        <f aca="false">1</f>
        <v>1</v>
      </c>
      <c r="J1550" s="0" t="n">
        <f aca="false">E1550</f>
        <v>-0.5</v>
      </c>
      <c r="K1550" s="0" t="n">
        <f aca="false">F1550</f>
        <v>-0.75</v>
      </c>
      <c r="L1550" s="0" t="n">
        <f aca="false">G1550</f>
        <v>-1</v>
      </c>
      <c r="M1550" s="0" t="n">
        <f aca="false">H1550</f>
        <v>0.5</v>
      </c>
      <c r="N1550" s="0" t="n">
        <f aca="false">E1550*F1550</f>
        <v>0.375</v>
      </c>
      <c r="O1550" s="0" t="n">
        <f aca="false">E1550*G1550</f>
        <v>0.5</v>
      </c>
      <c r="P1550" s="0" t="n">
        <f aca="false">E1550*H1550</f>
        <v>-0.25</v>
      </c>
      <c r="Q1550" s="0" t="n">
        <f aca="false">F1550*G1550</f>
        <v>0.75</v>
      </c>
      <c r="R1550" s="0" t="n">
        <f aca="false">F1550*H1550</f>
        <v>-0.375</v>
      </c>
      <c r="S1550" s="0" t="n">
        <f aca="false">G1550*H1550</f>
        <v>-0.5</v>
      </c>
      <c r="T1550" s="0" t="n">
        <f aca="false">E1550*E1550</f>
        <v>0.25</v>
      </c>
      <c r="U1550" s="0" t="n">
        <f aca="false">F1550*F1550</f>
        <v>0.5625</v>
      </c>
      <c r="V1550" s="0" t="n">
        <f aca="false">G1550*G1550</f>
        <v>1</v>
      </c>
      <c r="W1550" s="0" t="n">
        <f aca="false">H1550*H1550</f>
        <v>0.25</v>
      </c>
      <c r="X1550" s="0" t="n">
        <f aca="false">SUMPRODUCT(I1550:W1550,_XtX!$B$96:$P$96)</f>
        <v>41.9133497807017</v>
      </c>
      <c r="Y1550" s="0" t="n">
        <f aca="false">SUMPRODUCT(MMULT(I1550:W1550,_XtX!$B$78:$P$92),I1550:W1550)</f>
        <v>0.42602110745614</v>
      </c>
      <c r="Z1550" s="0" t="n">
        <f aca="false">04_回帰ANOVA!$K$19*04_回帰ANOVA!$K$14*SQRT(1+Y1550)</f>
        <v>1.55654388501114</v>
      </c>
      <c r="AA1550" s="0" t="n">
        <f aca="false">X1550-Z1550</f>
        <v>40.3568058956906</v>
      </c>
      <c r="AB1550" s="0" t="n">
        <f aca="false">X1550+Z1550</f>
        <v>43.4698936657129</v>
      </c>
      <c r="AC1550" s="54" t="b">
        <f aca="false">AND(E1550&gt;=01_因子設定!$L$5-0.000000001,E1550&lt;=01_因子設定!$M$5+0.000000001,F1550&gt;=01_因子設定!$L$6-0.000000001,F1550&lt;=01_因子設定!$M$6+0.000000001,G1550&gt;=01_因子設定!$L$7-0.000000001,G1550&lt;=01_因子設定!$M$7+0.000000001,H1550&gt;=01_因子設定!$L$8-0.000000001,H1550&lt;=01_因子設定!$M$8+0.000000001,IF(01_因子設定!$B$20="Box-Behnken",E1550^2+F1550^2+G1550^2+H1550^2&lt;=2+0.000000001,TRUE()))</f>
        <v>1</v>
      </c>
      <c r="AD1550" s="55" t="n">
        <f aca="false">IF(AC1550,IF(01_因子設定!$B$13="最大化",AA1550-01_因子設定!$B$14,IF(01_因子設定!$B$13="最小化",01_因子設定!$B$15-AB1550,MIN(AA1550-01_因子設定!$B$14,01_因子設定!$B$15-AB1550))),-1E+030)</f>
        <v>-6.14319410430942</v>
      </c>
      <c r="AE1550" s="55" t="n">
        <f aca="false">IF(AC1550,IF(01_因子設定!$B$13="最大化",X1550,IF(01_因子設定!$B$13="最小化",-X1550,-ABS(X1550-01_因子設定!$B$16))),-1E+030)</f>
        <v>41.9133497807017</v>
      </c>
      <c r="AF1550" s="55" t="n">
        <f aca="false">AD1550+ROW()*0.000000001</f>
        <v>-6.14319255430942</v>
      </c>
      <c r="AG1550" s="55" t="n">
        <f aca="false">AE1550+ROW()*0.000000001</f>
        <v>41.9133513307017</v>
      </c>
    </row>
    <row r="1551" customFormat="false" ht="15" hidden="false" customHeight="false" outlineLevel="0" collapsed="false">
      <c r="A1551" s="0" t="n">
        <v>2</v>
      </c>
      <c r="B1551" s="0" t="n">
        <v>1</v>
      </c>
      <c r="C1551" s="0" t="n">
        <v>0</v>
      </c>
      <c r="D1551" s="0" t="n">
        <v>7</v>
      </c>
      <c r="E1551" s="0" t="n">
        <f aca="false">-1+A1551*0.25</f>
        <v>-0.5</v>
      </c>
      <c r="F1551" s="0" t="n">
        <f aca="false">-1+B1551*0.25</f>
        <v>-0.75</v>
      </c>
      <c r="G1551" s="0" t="n">
        <f aca="false">-1+C1551*0.25</f>
        <v>-1</v>
      </c>
      <c r="H1551" s="0" t="n">
        <f aca="false">-1+D1551*0.25</f>
        <v>0.75</v>
      </c>
      <c r="I1551" s="0" t="n">
        <f aca="false">1</f>
        <v>1</v>
      </c>
      <c r="J1551" s="0" t="n">
        <f aca="false">E1551</f>
        <v>-0.5</v>
      </c>
      <c r="K1551" s="0" t="n">
        <f aca="false">F1551</f>
        <v>-0.75</v>
      </c>
      <c r="L1551" s="0" t="n">
        <f aca="false">G1551</f>
        <v>-1</v>
      </c>
      <c r="M1551" s="0" t="n">
        <f aca="false">H1551</f>
        <v>0.75</v>
      </c>
      <c r="N1551" s="0" t="n">
        <f aca="false">E1551*F1551</f>
        <v>0.375</v>
      </c>
      <c r="O1551" s="0" t="n">
        <f aca="false">E1551*G1551</f>
        <v>0.5</v>
      </c>
      <c r="P1551" s="0" t="n">
        <f aca="false">E1551*H1551</f>
        <v>-0.375</v>
      </c>
      <c r="Q1551" s="0" t="n">
        <f aca="false">F1551*G1551</f>
        <v>0.75</v>
      </c>
      <c r="R1551" s="0" t="n">
        <f aca="false">F1551*H1551</f>
        <v>-0.5625</v>
      </c>
      <c r="S1551" s="0" t="n">
        <f aca="false">G1551*H1551</f>
        <v>-0.75</v>
      </c>
      <c r="T1551" s="0" t="n">
        <f aca="false">E1551*E1551</f>
        <v>0.25</v>
      </c>
      <c r="U1551" s="0" t="n">
        <f aca="false">F1551*F1551</f>
        <v>0.5625</v>
      </c>
      <c r="V1551" s="0" t="n">
        <f aca="false">G1551*G1551</f>
        <v>1</v>
      </c>
      <c r="W1551" s="0" t="n">
        <f aca="false">H1551*H1551</f>
        <v>0.5625</v>
      </c>
      <c r="X1551" s="0" t="n">
        <f aca="false">SUMPRODUCT(I1551:W1551,_XtX!$B$96:$P$96)</f>
        <v>41.847564875731</v>
      </c>
      <c r="Y1551" s="0" t="n">
        <f aca="false">SUMPRODUCT(MMULT(I1551:W1551,_XtX!$B$78:$P$92),I1551:W1551)</f>
        <v>0.431153771472953</v>
      </c>
      <c r="Z1551" s="0" t="n">
        <f aca="false">04_回帰ANOVA!$K$19*04_回帰ANOVA!$K$14*SQRT(1+Y1551)</f>
        <v>1.55934259562563</v>
      </c>
      <c r="AA1551" s="0" t="n">
        <f aca="false">X1551-Z1551</f>
        <v>40.2882222801053</v>
      </c>
      <c r="AB1551" s="0" t="n">
        <f aca="false">X1551+Z1551</f>
        <v>43.4069074713566</v>
      </c>
      <c r="AC1551" s="54" t="b">
        <f aca="false">AND(E1551&gt;=01_因子設定!$L$5-0.000000001,E1551&lt;=01_因子設定!$M$5+0.000000001,F1551&gt;=01_因子設定!$L$6-0.000000001,F1551&lt;=01_因子設定!$M$6+0.000000001,G1551&gt;=01_因子設定!$L$7-0.000000001,G1551&lt;=01_因子設定!$M$7+0.000000001,H1551&gt;=01_因子設定!$L$8-0.000000001,H1551&lt;=01_因子設定!$M$8+0.000000001,IF(01_因子設定!$B$20="Box-Behnken",E1551^2+F1551^2+G1551^2+H1551^2&lt;=2+0.000000001,TRUE()))</f>
        <v>1</v>
      </c>
      <c r="AD1551" s="55" t="n">
        <f aca="false">IF(AC1551,IF(01_因子設定!$B$13="最大化",AA1551-01_因子設定!$B$14,IF(01_因子設定!$B$13="最小化",01_因子設定!$B$15-AB1551,MIN(AA1551-01_因子設定!$B$14,01_因子設定!$B$15-AB1551))),-1E+030)</f>
        <v>-6.21177771989466</v>
      </c>
      <c r="AE1551" s="55" t="n">
        <f aca="false">IF(AC1551,IF(01_因子設定!$B$13="最大化",X1551,IF(01_因子設定!$B$13="最小化",-X1551,-ABS(X1551-01_因子設定!$B$16))),-1E+030)</f>
        <v>41.847564875731</v>
      </c>
      <c r="AF1551" s="55" t="n">
        <f aca="false">AD1551+ROW()*0.000000001</f>
        <v>-6.21177616889466</v>
      </c>
      <c r="AG1551" s="55" t="n">
        <f aca="false">AE1551+ROW()*0.000000001</f>
        <v>41.847566426731</v>
      </c>
    </row>
    <row r="1552" customFormat="false" ht="15" hidden="false" customHeight="false" outlineLevel="0" collapsed="false">
      <c r="A1552" s="0" t="n">
        <v>2</v>
      </c>
      <c r="B1552" s="0" t="n">
        <v>1</v>
      </c>
      <c r="C1552" s="0" t="n">
        <v>0</v>
      </c>
      <c r="D1552" s="0" t="n">
        <v>8</v>
      </c>
      <c r="E1552" s="0" t="n">
        <f aca="false">-1+A1552*0.25</f>
        <v>-0.5</v>
      </c>
      <c r="F1552" s="0" t="n">
        <f aca="false">-1+B1552*0.25</f>
        <v>-0.75</v>
      </c>
      <c r="G1552" s="0" t="n">
        <f aca="false">-1+C1552*0.25</f>
        <v>-1</v>
      </c>
      <c r="H1552" s="0" t="n">
        <f aca="false">-1+D1552*0.25</f>
        <v>1</v>
      </c>
      <c r="I1552" s="0" t="n">
        <f aca="false">1</f>
        <v>1</v>
      </c>
      <c r="J1552" s="0" t="n">
        <f aca="false">E1552</f>
        <v>-0.5</v>
      </c>
      <c r="K1552" s="0" t="n">
        <f aca="false">F1552</f>
        <v>-0.75</v>
      </c>
      <c r="L1552" s="0" t="n">
        <f aca="false">G1552</f>
        <v>-1</v>
      </c>
      <c r="M1552" s="0" t="n">
        <f aca="false">H1552</f>
        <v>1</v>
      </c>
      <c r="N1552" s="0" t="n">
        <f aca="false">E1552*F1552</f>
        <v>0.375</v>
      </c>
      <c r="O1552" s="0" t="n">
        <f aca="false">E1552*G1552</f>
        <v>0.5</v>
      </c>
      <c r="P1552" s="0" t="n">
        <f aca="false">E1552*H1552</f>
        <v>-0.5</v>
      </c>
      <c r="Q1552" s="0" t="n">
        <f aca="false">F1552*G1552</f>
        <v>0.75</v>
      </c>
      <c r="R1552" s="0" t="n">
        <f aca="false">F1552*H1552</f>
        <v>-0.75</v>
      </c>
      <c r="S1552" s="0" t="n">
        <f aca="false">G1552*H1552</f>
        <v>-1</v>
      </c>
      <c r="T1552" s="0" t="n">
        <f aca="false">E1552*E1552</f>
        <v>0.25</v>
      </c>
      <c r="U1552" s="0" t="n">
        <f aca="false">F1552*F1552</f>
        <v>0.5625</v>
      </c>
      <c r="V1552" s="0" t="n">
        <f aca="false">G1552*G1552</f>
        <v>1</v>
      </c>
      <c r="W1552" s="0" t="n">
        <f aca="false">H1552*H1552</f>
        <v>1</v>
      </c>
      <c r="X1552" s="0" t="n">
        <f aca="false">SUMPRODUCT(I1552:W1552,_XtX!$B$96:$P$96)</f>
        <v>41.7339729532164</v>
      </c>
      <c r="Y1552" s="0" t="n">
        <f aca="false">SUMPRODUCT(MMULT(I1552:W1552,_XtX!$B$78:$P$92),I1552:W1552)</f>
        <v>0.564984237938597</v>
      </c>
      <c r="Z1552" s="0" t="n">
        <f aca="false">04_回帰ANOVA!$K$19*04_回帰ANOVA!$K$14*SQRT(1+Y1552)</f>
        <v>1.63062229734503</v>
      </c>
      <c r="AA1552" s="0" t="n">
        <f aca="false">X1552-Z1552</f>
        <v>40.1033506558713</v>
      </c>
      <c r="AB1552" s="0" t="n">
        <f aca="false">X1552+Z1552</f>
        <v>43.3645952505614</v>
      </c>
      <c r="AC1552" s="54" t="b">
        <f aca="false">AND(E1552&gt;=01_因子設定!$L$5-0.000000001,E1552&lt;=01_因子設定!$M$5+0.000000001,F1552&gt;=01_因子設定!$L$6-0.000000001,F1552&lt;=01_因子設定!$M$6+0.000000001,G1552&gt;=01_因子設定!$L$7-0.000000001,G1552&lt;=01_因子設定!$M$7+0.000000001,H1552&gt;=01_因子設定!$L$8-0.000000001,H1552&lt;=01_因子設定!$M$8+0.000000001,IF(01_因子設定!$B$20="Box-Behnken",E1552^2+F1552^2+G1552^2+H1552^2&lt;=2+0.000000001,TRUE()))</f>
        <v>1</v>
      </c>
      <c r="AD1552" s="55" t="n">
        <f aca="false">IF(AC1552,IF(01_因子設定!$B$13="最大化",AA1552-01_因子設定!$B$14,IF(01_因子設定!$B$13="最小化",01_因子設定!$B$15-AB1552,MIN(AA1552-01_因子設定!$B$14,01_因子設定!$B$15-AB1552))),-1E+030)</f>
        <v>-6.39664934412866</v>
      </c>
      <c r="AE1552" s="55" t="n">
        <f aca="false">IF(AC1552,IF(01_因子設定!$B$13="最大化",X1552,IF(01_因子設定!$B$13="最小化",-X1552,-ABS(X1552-01_因子設定!$B$16))),-1E+030)</f>
        <v>41.7339729532164</v>
      </c>
      <c r="AF1552" s="55" t="n">
        <f aca="false">AD1552+ROW()*0.000000001</f>
        <v>-6.39664779212866</v>
      </c>
      <c r="AG1552" s="55" t="n">
        <f aca="false">AE1552+ROW()*0.000000001</f>
        <v>41.7339745052164</v>
      </c>
    </row>
    <row r="1553" customFormat="false" ht="15" hidden="false" customHeight="false" outlineLevel="0" collapsed="false">
      <c r="A1553" s="0" t="n">
        <v>2</v>
      </c>
      <c r="B1553" s="0" t="n">
        <v>1</v>
      </c>
      <c r="C1553" s="0" t="n">
        <v>1</v>
      </c>
      <c r="D1553" s="0" t="n">
        <v>0</v>
      </c>
      <c r="E1553" s="0" t="n">
        <f aca="false">-1+A1553*0.25</f>
        <v>-0.5</v>
      </c>
      <c r="F1553" s="0" t="n">
        <f aca="false">-1+B1553*0.25</f>
        <v>-0.75</v>
      </c>
      <c r="G1553" s="0" t="n">
        <f aca="false">-1+C1553*0.25</f>
        <v>-0.75</v>
      </c>
      <c r="H1553" s="0" t="n">
        <f aca="false">-1+D1553*0.25</f>
        <v>-1</v>
      </c>
      <c r="I1553" s="0" t="n">
        <f aca="false">1</f>
        <v>1</v>
      </c>
      <c r="J1553" s="0" t="n">
        <f aca="false">E1553</f>
        <v>-0.5</v>
      </c>
      <c r="K1553" s="0" t="n">
        <f aca="false">F1553</f>
        <v>-0.75</v>
      </c>
      <c r="L1553" s="0" t="n">
        <f aca="false">G1553</f>
        <v>-0.75</v>
      </c>
      <c r="M1553" s="0" t="n">
        <f aca="false">H1553</f>
        <v>-1</v>
      </c>
      <c r="N1553" s="0" t="n">
        <f aca="false">E1553*F1553</f>
        <v>0.375</v>
      </c>
      <c r="O1553" s="0" t="n">
        <f aca="false">E1553*G1553</f>
        <v>0.375</v>
      </c>
      <c r="P1553" s="0" t="n">
        <f aca="false">E1553*H1553</f>
        <v>0.5</v>
      </c>
      <c r="Q1553" s="0" t="n">
        <f aca="false">F1553*G1553</f>
        <v>0.5625</v>
      </c>
      <c r="R1553" s="0" t="n">
        <f aca="false">F1553*H1553</f>
        <v>0.75</v>
      </c>
      <c r="S1553" s="0" t="n">
        <f aca="false">G1553*H1553</f>
        <v>0.75</v>
      </c>
      <c r="T1553" s="0" t="n">
        <f aca="false">E1553*E1553</f>
        <v>0.25</v>
      </c>
      <c r="U1553" s="0" t="n">
        <f aca="false">F1553*F1553</f>
        <v>0.5625</v>
      </c>
      <c r="V1553" s="0" t="n">
        <f aca="false">G1553*G1553</f>
        <v>0.5625</v>
      </c>
      <c r="W1553" s="0" t="n">
        <f aca="false">H1553*H1553</f>
        <v>1</v>
      </c>
      <c r="X1553" s="0" t="n">
        <f aca="false">SUMPRODUCT(I1553:W1553,_XtX!$B$96:$P$96)</f>
        <v>41.7993009868421</v>
      </c>
      <c r="Y1553" s="0" t="n">
        <f aca="false">SUMPRODUCT(MMULT(I1553:W1553,_XtX!$B$78:$P$92),I1553:W1553)</f>
        <v>0.431153771472953</v>
      </c>
      <c r="Z1553" s="0" t="n">
        <f aca="false">04_回帰ANOVA!$K$19*04_回帰ANOVA!$K$14*SQRT(1+Y1553)</f>
        <v>1.55934259562563</v>
      </c>
      <c r="AA1553" s="0" t="n">
        <f aca="false">X1553-Z1553</f>
        <v>40.2399583912165</v>
      </c>
      <c r="AB1553" s="0" t="n">
        <f aca="false">X1553+Z1553</f>
        <v>43.3586435824677</v>
      </c>
      <c r="AC1553" s="54" t="b">
        <f aca="false">AND(E1553&gt;=01_因子設定!$L$5-0.000000001,E1553&lt;=01_因子設定!$M$5+0.000000001,F1553&gt;=01_因子設定!$L$6-0.000000001,F1553&lt;=01_因子設定!$M$6+0.000000001,G1553&gt;=01_因子設定!$L$7-0.000000001,G1553&lt;=01_因子設定!$M$7+0.000000001,H1553&gt;=01_因子設定!$L$8-0.000000001,H1553&lt;=01_因子設定!$M$8+0.000000001,IF(01_因子設定!$B$20="Box-Behnken",E1553^2+F1553^2+G1553^2+H1553^2&lt;=2+0.000000001,TRUE()))</f>
        <v>1</v>
      </c>
      <c r="AD1553" s="55" t="n">
        <f aca="false">IF(AC1553,IF(01_因子設定!$B$13="最大化",AA1553-01_因子設定!$B$14,IF(01_因子設定!$B$13="最小化",01_因子設定!$B$15-AB1553,MIN(AA1553-01_因子設定!$B$14,01_因子設定!$B$15-AB1553))),-1E+030)</f>
        <v>-6.26004160878353</v>
      </c>
      <c r="AE1553" s="55" t="n">
        <f aca="false">IF(AC1553,IF(01_因子設定!$B$13="最大化",X1553,IF(01_因子設定!$B$13="最小化",-X1553,-ABS(X1553-01_因子設定!$B$16))),-1E+030)</f>
        <v>41.7993009868421</v>
      </c>
      <c r="AF1553" s="55" t="n">
        <f aca="false">AD1553+ROW()*0.000000001</f>
        <v>-6.26004005578353</v>
      </c>
      <c r="AG1553" s="55" t="n">
        <f aca="false">AE1553+ROW()*0.000000001</f>
        <v>41.7993025398421</v>
      </c>
    </row>
    <row r="1554" customFormat="false" ht="15" hidden="false" customHeight="false" outlineLevel="0" collapsed="false">
      <c r="A1554" s="0" t="n">
        <v>2</v>
      </c>
      <c r="B1554" s="0" t="n">
        <v>1</v>
      </c>
      <c r="C1554" s="0" t="n">
        <v>1</v>
      </c>
      <c r="D1554" s="0" t="n">
        <v>1</v>
      </c>
      <c r="E1554" s="0" t="n">
        <f aca="false">-1+A1554*0.25</f>
        <v>-0.5</v>
      </c>
      <c r="F1554" s="0" t="n">
        <f aca="false">-1+B1554*0.25</f>
        <v>-0.75</v>
      </c>
      <c r="G1554" s="0" t="n">
        <f aca="false">-1+C1554*0.25</f>
        <v>-0.75</v>
      </c>
      <c r="H1554" s="0" t="n">
        <f aca="false">-1+D1554*0.25</f>
        <v>-0.75</v>
      </c>
      <c r="I1554" s="0" t="n">
        <f aca="false">1</f>
        <v>1</v>
      </c>
      <c r="J1554" s="0" t="n">
        <f aca="false">E1554</f>
        <v>-0.5</v>
      </c>
      <c r="K1554" s="0" t="n">
        <f aca="false">F1554</f>
        <v>-0.75</v>
      </c>
      <c r="L1554" s="0" t="n">
        <f aca="false">G1554</f>
        <v>-0.75</v>
      </c>
      <c r="M1554" s="0" t="n">
        <f aca="false">H1554</f>
        <v>-0.75</v>
      </c>
      <c r="N1554" s="0" t="n">
        <f aca="false">E1554*F1554</f>
        <v>0.375</v>
      </c>
      <c r="O1554" s="0" t="n">
        <f aca="false">E1554*G1554</f>
        <v>0.375</v>
      </c>
      <c r="P1554" s="0" t="n">
        <f aca="false">E1554*H1554</f>
        <v>0.375</v>
      </c>
      <c r="Q1554" s="0" t="n">
        <f aca="false">F1554*G1554</f>
        <v>0.5625</v>
      </c>
      <c r="R1554" s="0" t="n">
        <f aca="false">F1554*H1554</f>
        <v>0.5625</v>
      </c>
      <c r="S1554" s="0" t="n">
        <f aca="false">G1554*H1554</f>
        <v>0.5625</v>
      </c>
      <c r="T1554" s="0" t="n">
        <f aca="false">E1554*E1554</f>
        <v>0.25</v>
      </c>
      <c r="U1554" s="0" t="n">
        <f aca="false">F1554*F1554</f>
        <v>0.5625</v>
      </c>
      <c r="V1554" s="0" t="n">
        <f aca="false">G1554*G1554</f>
        <v>0.5625</v>
      </c>
      <c r="W1554" s="0" t="n">
        <f aca="false">H1554*H1554</f>
        <v>0.5625</v>
      </c>
      <c r="X1554" s="0" t="n">
        <f aca="false">SUMPRODUCT(I1554:W1554,_XtX!$B$96:$P$96)</f>
        <v>42.0383269371345</v>
      </c>
      <c r="Y1554" s="0" t="n">
        <f aca="false">SUMPRODUCT(MMULT(I1554:W1554,_XtX!$B$78:$P$92),I1554:W1554)</f>
        <v>0.265632138614766</v>
      </c>
      <c r="Z1554" s="0" t="n">
        <f aca="false">04_回帰ANOVA!$K$19*04_回帰ANOVA!$K$14*SQRT(1+Y1554)</f>
        <v>1.46639894654257</v>
      </c>
      <c r="AA1554" s="0" t="n">
        <f aca="false">X1554-Z1554</f>
        <v>40.5719279905919</v>
      </c>
      <c r="AB1554" s="0" t="n">
        <f aca="false">X1554+Z1554</f>
        <v>43.5047258836771</v>
      </c>
      <c r="AC1554" s="54" t="b">
        <f aca="false">AND(E1554&gt;=01_因子設定!$L$5-0.000000001,E1554&lt;=01_因子設定!$M$5+0.000000001,F1554&gt;=01_因子設定!$L$6-0.000000001,F1554&lt;=01_因子設定!$M$6+0.000000001,G1554&gt;=01_因子設定!$L$7-0.000000001,G1554&lt;=01_因子設定!$M$7+0.000000001,H1554&gt;=01_因子設定!$L$8-0.000000001,H1554&lt;=01_因子設定!$M$8+0.000000001,IF(01_因子設定!$B$20="Box-Behnken",E1554^2+F1554^2+G1554^2+H1554^2&lt;=2+0.000000001,TRUE()))</f>
        <v>1</v>
      </c>
      <c r="AD1554" s="55" t="n">
        <f aca="false">IF(AC1554,IF(01_因子設定!$B$13="最大化",AA1554-01_因子設定!$B$14,IF(01_因子設定!$B$13="最小化",01_因子設定!$B$15-AB1554,MIN(AA1554-01_因子設定!$B$14,01_因子設定!$B$15-AB1554))),-1E+030)</f>
        <v>-5.92807200940809</v>
      </c>
      <c r="AE1554" s="55" t="n">
        <f aca="false">IF(AC1554,IF(01_因子設定!$B$13="最大化",X1554,IF(01_因子設定!$B$13="最小化",-X1554,-ABS(X1554-01_因子設定!$B$16))),-1E+030)</f>
        <v>42.0383269371345</v>
      </c>
      <c r="AF1554" s="55" t="n">
        <f aca="false">AD1554+ROW()*0.000000001</f>
        <v>-5.92807045540809</v>
      </c>
      <c r="AG1554" s="55" t="n">
        <f aca="false">AE1554+ROW()*0.000000001</f>
        <v>42.0383284911345</v>
      </c>
    </row>
    <row r="1555" customFormat="false" ht="15" hidden="false" customHeight="false" outlineLevel="0" collapsed="false">
      <c r="A1555" s="0" t="n">
        <v>2</v>
      </c>
      <c r="B1555" s="0" t="n">
        <v>1</v>
      </c>
      <c r="C1555" s="0" t="n">
        <v>1</v>
      </c>
      <c r="D1555" s="0" t="n">
        <v>2</v>
      </c>
      <c r="E1555" s="0" t="n">
        <f aca="false">-1+A1555*0.25</f>
        <v>-0.5</v>
      </c>
      <c r="F1555" s="0" t="n">
        <f aca="false">-1+B1555*0.25</f>
        <v>-0.75</v>
      </c>
      <c r="G1555" s="0" t="n">
        <f aca="false">-1+C1555*0.25</f>
        <v>-0.75</v>
      </c>
      <c r="H1555" s="0" t="n">
        <f aca="false">-1+D1555*0.25</f>
        <v>-0.5</v>
      </c>
      <c r="I1555" s="0" t="n">
        <f aca="false">1</f>
        <v>1</v>
      </c>
      <c r="J1555" s="0" t="n">
        <f aca="false">E1555</f>
        <v>-0.5</v>
      </c>
      <c r="K1555" s="0" t="n">
        <f aca="false">F1555</f>
        <v>-0.75</v>
      </c>
      <c r="L1555" s="0" t="n">
        <f aca="false">G1555</f>
        <v>-0.75</v>
      </c>
      <c r="M1555" s="0" t="n">
        <f aca="false">H1555</f>
        <v>-0.5</v>
      </c>
      <c r="N1555" s="0" t="n">
        <f aca="false">E1555*F1555</f>
        <v>0.375</v>
      </c>
      <c r="O1555" s="0" t="n">
        <f aca="false">E1555*G1555</f>
        <v>0.375</v>
      </c>
      <c r="P1555" s="0" t="n">
        <f aca="false">E1555*H1555</f>
        <v>0.25</v>
      </c>
      <c r="Q1555" s="0" t="n">
        <f aca="false">F1555*G1555</f>
        <v>0.5625</v>
      </c>
      <c r="R1555" s="0" t="n">
        <f aca="false">F1555*H1555</f>
        <v>0.375</v>
      </c>
      <c r="S1555" s="0" t="n">
        <f aca="false">G1555*H1555</f>
        <v>0.375</v>
      </c>
      <c r="T1555" s="0" t="n">
        <f aca="false">E1555*E1555</f>
        <v>0.25</v>
      </c>
      <c r="U1555" s="0" t="n">
        <f aca="false">F1555*F1555</f>
        <v>0.5625</v>
      </c>
      <c r="V1555" s="0" t="n">
        <f aca="false">G1555*G1555</f>
        <v>0.5625</v>
      </c>
      <c r="W1555" s="0" t="n">
        <f aca="false">H1555*H1555</f>
        <v>0.25</v>
      </c>
      <c r="X1555" s="0" t="n">
        <f aca="false">SUMPRODUCT(I1555:W1555,_XtX!$B$96:$P$96)</f>
        <v>42.229545869883</v>
      </c>
      <c r="Y1555" s="0" t="n">
        <f aca="false">SUMPRODUCT(MMULT(I1555:W1555,_XtX!$B$78:$P$92),I1555:W1555)</f>
        <v>0.237862927174708</v>
      </c>
      <c r="Z1555" s="0" t="n">
        <f aca="false">04_回帰ANOVA!$K$19*04_回帰ANOVA!$K$14*SQRT(1+Y1555)</f>
        <v>1.45022260708756</v>
      </c>
      <c r="AA1555" s="0" t="n">
        <f aca="false">X1555-Z1555</f>
        <v>40.7793232627955</v>
      </c>
      <c r="AB1555" s="0" t="n">
        <f aca="false">X1555+Z1555</f>
        <v>43.6797684769706</v>
      </c>
      <c r="AC1555" s="54" t="b">
        <f aca="false">AND(E1555&gt;=01_因子設定!$L$5-0.000000001,E1555&lt;=01_因子設定!$M$5+0.000000001,F1555&gt;=01_因子設定!$L$6-0.000000001,F1555&lt;=01_因子設定!$M$6+0.000000001,G1555&gt;=01_因子設定!$L$7-0.000000001,G1555&lt;=01_因子設定!$M$7+0.000000001,H1555&gt;=01_因子設定!$L$8-0.000000001,H1555&lt;=01_因子設定!$M$8+0.000000001,IF(01_因子設定!$B$20="Box-Behnken",E1555^2+F1555^2+G1555^2+H1555^2&lt;=2+0.000000001,TRUE()))</f>
        <v>1</v>
      </c>
      <c r="AD1555" s="55" t="n">
        <f aca="false">IF(AC1555,IF(01_因子設定!$B$13="最大化",AA1555-01_因子設定!$B$14,IF(01_因子設定!$B$13="最小化",01_因子設定!$B$15-AB1555,MIN(AA1555-01_因子設定!$B$14,01_因子設定!$B$15-AB1555))),-1E+030)</f>
        <v>-5.72067673720455</v>
      </c>
      <c r="AE1555" s="55" t="n">
        <f aca="false">IF(AC1555,IF(01_因子設定!$B$13="最大化",X1555,IF(01_因子設定!$B$13="最小化",-X1555,-ABS(X1555-01_因子設定!$B$16))),-1E+030)</f>
        <v>42.229545869883</v>
      </c>
      <c r="AF1555" s="55" t="n">
        <f aca="false">AD1555+ROW()*0.000000001</f>
        <v>-5.72067518220455</v>
      </c>
      <c r="AG1555" s="55" t="n">
        <f aca="false">AE1555+ROW()*0.000000001</f>
        <v>42.229547424883</v>
      </c>
    </row>
    <row r="1556" customFormat="false" ht="15" hidden="false" customHeight="false" outlineLevel="0" collapsed="false">
      <c r="A1556" s="0" t="n">
        <v>2</v>
      </c>
      <c r="B1556" s="0" t="n">
        <v>1</v>
      </c>
      <c r="C1556" s="0" t="n">
        <v>1</v>
      </c>
      <c r="D1556" s="0" t="n">
        <v>3</v>
      </c>
      <c r="E1556" s="0" t="n">
        <f aca="false">-1+A1556*0.25</f>
        <v>-0.5</v>
      </c>
      <c r="F1556" s="0" t="n">
        <f aca="false">-1+B1556*0.25</f>
        <v>-0.75</v>
      </c>
      <c r="G1556" s="0" t="n">
        <f aca="false">-1+C1556*0.25</f>
        <v>-0.75</v>
      </c>
      <c r="H1556" s="0" t="n">
        <f aca="false">-1+D1556*0.25</f>
        <v>-0.25</v>
      </c>
      <c r="I1556" s="0" t="n">
        <f aca="false">1</f>
        <v>1</v>
      </c>
      <c r="J1556" s="0" t="n">
        <f aca="false">E1556</f>
        <v>-0.5</v>
      </c>
      <c r="K1556" s="0" t="n">
        <f aca="false">F1556</f>
        <v>-0.75</v>
      </c>
      <c r="L1556" s="0" t="n">
        <f aca="false">G1556</f>
        <v>-0.75</v>
      </c>
      <c r="M1556" s="0" t="n">
        <f aca="false">H1556</f>
        <v>-0.25</v>
      </c>
      <c r="N1556" s="0" t="n">
        <f aca="false">E1556*F1556</f>
        <v>0.375</v>
      </c>
      <c r="O1556" s="0" t="n">
        <f aca="false">E1556*G1556</f>
        <v>0.375</v>
      </c>
      <c r="P1556" s="0" t="n">
        <f aca="false">E1556*H1556</f>
        <v>0.125</v>
      </c>
      <c r="Q1556" s="0" t="n">
        <f aca="false">F1556*G1556</f>
        <v>0.5625</v>
      </c>
      <c r="R1556" s="0" t="n">
        <f aca="false">F1556*H1556</f>
        <v>0.1875</v>
      </c>
      <c r="S1556" s="0" t="n">
        <f aca="false">G1556*H1556</f>
        <v>0.1875</v>
      </c>
      <c r="T1556" s="0" t="n">
        <f aca="false">E1556*E1556</f>
        <v>0.25</v>
      </c>
      <c r="U1556" s="0" t="n">
        <f aca="false">F1556*F1556</f>
        <v>0.5625</v>
      </c>
      <c r="V1556" s="0" t="n">
        <f aca="false">G1556*G1556</f>
        <v>0.5625</v>
      </c>
      <c r="W1556" s="0" t="n">
        <f aca="false">H1556*H1556</f>
        <v>0.0625</v>
      </c>
      <c r="X1556" s="0" t="n">
        <f aca="false">SUMPRODUCT(I1556:W1556,_XtX!$B$96:$P$96)</f>
        <v>42.3729577850877</v>
      </c>
      <c r="Y1556" s="0" t="n">
        <f aca="false">SUMPRODUCT(MMULT(I1556:W1556,_XtX!$B$78:$P$92),I1556:W1556)</f>
        <v>0.257385610836988</v>
      </c>
      <c r="Z1556" s="0" t="n">
        <f aca="false">04_回帰ANOVA!$K$19*04_回帰ANOVA!$K$14*SQRT(1+Y1556)</f>
        <v>1.46161380324158</v>
      </c>
      <c r="AA1556" s="0" t="n">
        <f aca="false">X1556-Z1556</f>
        <v>40.9113439818461</v>
      </c>
      <c r="AB1556" s="0" t="n">
        <f aca="false">X1556+Z1556</f>
        <v>43.8345715883293</v>
      </c>
      <c r="AC1556" s="54" t="b">
        <f aca="false">AND(E1556&gt;=01_因子設定!$L$5-0.000000001,E1556&lt;=01_因子設定!$M$5+0.000000001,F1556&gt;=01_因子設定!$L$6-0.000000001,F1556&lt;=01_因子設定!$M$6+0.000000001,G1556&gt;=01_因子設定!$L$7-0.000000001,G1556&lt;=01_因子設定!$M$7+0.000000001,H1556&gt;=01_因子設定!$L$8-0.000000001,H1556&lt;=01_因子設定!$M$8+0.000000001,IF(01_因子設定!$B$20="Box-Behnken",E1556^2+F1556^2+G1556^2+H1556^2&lt;=2+0.000000001,TRUE()))</f>
        <v>1</v>
      </c>
      <c r="AD1556" s="55" t="n">
        <f aca="false">IF(AC1556,IF(01_因子設定!$B$13="最大化",AA1556-01_因子設定!$B$14,IF(01_因子設定!$B$13="最小化",01_因子設定!$B$15-AB1556,MIN(AA1556-01_因子設定!$B$14,01_因子設定!$B$15-AB1556))),-1E+030)</f>
        <v>-5.58865601815391</v>
      </c>
      <c r="AE1556" s="55" t="n">
        <f aca="false">IF(AC1556,IF(01_因子設定!$B$13="最大化",X1556,IF(01_因子設定!$B$13="最小化",-X1556,-ABS(X1556-01_因子設定!$B$16))),-1E+030)</f>
        <v>42.3729577850877</v>
      </c>
      <c r="AF1556" s="55" t="n">
        <f aca="false">AD1556+ROW()*0.000000001</f>
        <v>-5.58865446215391</v>
      </c>
      <c r="AG1556" s="55" t="n">
        <f aca="false">AE1556+ROW()*0.000000001</f>
        <v>42.3729593410877</v>
      </c>
    </row>
    <row r="1557" customFormat="false" ht="15" hidden="false" customHeight="false" outlineLevel="0" collapsed="false">
      <c r="A1557" s="0" t="n">
        <v>2</v>
      </c>
      <c r="B1557" s="0" t="n">
        <v>1</v>
      </c>
      <c r="C1557" s="0" t="n">
        <v>1</v>
      </c>
      <c r="D1557" s="0" t="n">
        <v>4</v>
      </c>
      <c r="E1557" s="0" t="n">
        <f aca="false">-1+A1557*0.25</f>
        <v>-0.5</v>
      </c>
      <c r="F1557" s="0" t="n">
        <f aca="false">-1+B1557*0.25</f>
        <v>-0.75</v>
      </c>
      <c r="G1557" s="0" t="n">
        <f aca="false">-1+C1557*0.25</f>
        <v>-0.75</v>
      </c>
      <c r="H1557" s="0" t="n">
        <f aca="false">-1+D1557*0.25</f>
        <v>0</v>
      </c>
      <c r="I1557" s="0" t="n">
        <f aca="false">1</f>
        <v>1</v>
      </c>
      <c r="J1557" s="0" t="n">
        <f aca="false">E1557</f>
        <v>-0.5</v>
      </c>
      <c r="K1557" s="0" t="n">
        <f aca="false">F1557</f>
        <v>-0.75</v>
      </c>
      <c r="L1557" s="0" t="n">
        <f aca="false">G1557</f>
        <v>-0.75</v>
      </c>
      <c r="M1557" s="0" t="n">
        <f aca="false">H1557</f>
        <v>0</v>
      </c>
      <c r="N1557" s="0" t="n">
        <f aca="false">E1557*F1557</f>
        <v>0.375</v>
      </c>
      <c r="O1557" s="0" t="n">
        <f aca="false">E1557*G1557</f>
        <v>0.375</v>
      </c>
      <c r="P1557" s="0" t="n">
        <f aca="false">E1557*H1557</f>
        <v>-0</v>
      </c>
      <c r="Q1557" s="0" t="n">
        <f aca="false">F1557*G1557</f>
        <v>0.5625</v>
      </c>
      <c r="R1557" s="0" t="n">
        <f aca="false">F1557*H1557</f>
        <v>-0</v>
      </c>
      <c r="S1557" s="0" t="n">
        <f aca="false">G1557*H1557</f>
        <v>-0</v>
      </c>
      <c r="T1557" s="0" t="n">
        <f aca="false">E1557*E1557</f>
        <v>0.25</v>
      </c>
      <c r="U1557" s="0" t="n">
        <f aca="false">F1557*F1557</f>
        <v>0.5625</v>
      </c>
      <c r="V1557" s="0" t="n">
        <f aca="false">G1557*G1557</f>
        <v>0.5625</v>
      </c>
      <c r="W1557" s="0" t="n">
        <f aca="false">H1557*H1557</f>
        <v>0</v>
      </c>
      <c r="X1557" s="0" t="n">
        <f aca="false">SUMPRODUCT(I1557:W1557,_XtX!$B$96:$P$96)</f>
        <v>42.4685626827485</v>
      </c>
      <c r="Y1557" s="0" t="n">
        <f aca="false">SUMPRODUCT(MMULT(I1557:W1557,_XtX!$B$78:$P$92),I1557:W1557)</f>
        <v>0.269923873812135</v>
      </c>
      <c r="Z1557" s="0" t="n">
        <f aca="false">04_回帰ANOVA!$K$19*04_回帰ANOVA!$K$14*SQRT(1+Y1557)</f>
        <v>1.46888310825501</v>
      </c>
      <c r="AA1557" s="0" t="n">
        <f aca="false">X1557-Z1557</f>
        <v>40.9996795744935</v>
      </c>
      <c r="AB1557" s="0" t="n">
        <f aca="false">X1557+Z1557</f>
        <v>43.9374457910035</v>
      </c>
      <c r="AC1557" s="54" t="b">
        <f aca="false">AND(E1557&gt;=01_因子設定!$L$5-0.000000001,E1557&lt;=01_因子設定!$M$5+0.000000001,F1557&gt;=01_因子設定!$L$6-0.000000001,F1557&lt;=01_因子設定!$M$6+0.000000001,G1557&gt;=01_因子設定!$L$7-0.000000001,G1557&lt;=01_因子設定!$M$7+0.000000001,H1557&gt;=01_因子設定!$L$8-0.000000001,H1557&lt;=01_因子設定!$M$8+0.000000001,IF(01_因子設定!$B$20="Box-Behnken",E1557^2+F1557^2+G1557^2+H1557^2&lt;=2+0.000000001,TRUE()))</f>
        <v>1</v>
      </c>
      <c r="AD1557" s="55" t="n">
        <f aca="false">IF(AC1557,IF(01_因子設定!$B$13="最大化",AA1557-01_因子設定!$B$14,IF(01_因子設定!$B$13="最小化",01_因子設定!$B$15-AB1557,MIN(AA1557-01_因子設定!$B$14,01_因子設定!$B$15-AB1557))),-1E+030)</f>
        <v>-5.50032042550651</v>
      </c>
      <c r="AE1557" s="55" t="n">
        <f aca="false">IF(AC1557,IF(01_因子設定!$B$13="最大化",X1557,IF(01_因子設定!$B$13="最小化",-X1557,-ABS(X1557-01_因子設定!$B$16))),-1E+030)</f>
        <v>42.4685626827485</v>
      </c>
      <c r="AF1557" s="55" t="n">
        <f aca="false">AD1557+ROW()*0.000000001</f>
        <v>-5.50031886850651</v>
      </c>
      <c r="AG1557" s="55" t="n">
        <f aca="false">AE1557+ROW()*0.000000001</f>
        <v>42.4685642397485</v>
      </c>
    </row>
    <row r="1558" customFormat="false" ht="15" hidden="false" customHeight="false" outlineLevel="0" collapsed="false">
      <c r="A1558" s="0" t="n">
        <v>2</v>
      </c>
      <c r="B1558" s="0" t="n">
        <v>1</v>
      </c>
      <c r="C1558" s="0" t="n">
        <v>1</v>
      </c>
      <c r="D1558" s="0" t="n">
        <v>5</v>
      </c>
      <c r="E1558" s="0" t="n">
        <f aca="false">-1+A1558*0.25</f>
        <v>-0.5</v>
      </c>
      <c r="F1558" s="0" t="n">
        <f aca="false">-1+B1558*0.25</f>
        <v>-0.75</v>
      </c>
      <c r="G1558" s="0" t="n">
        <f aca="false">-1+C1558*0.25</f>
        <v>-0.75</v>
      </c>
      <c r="H1558" s="0" t="n">
        <f aca="false">-1+D1558*0.25</f>
        <v>0.25</v>
      </c>
      <c r="I1558" s="0" t="n">
        <f aca="false">1</f>
        <v>1</v>
      </c>
      <c r="J1558" s="0" t="n">
        <f aca="false">E1558</f>
        <v>-0.5</v>
      </c>
      <c r="K1558" s="0" t="n">
        <f aca="false">F1558</f>
        <v>-0.75</v>
      </c>
      <c r="L1558" s="0" t="n">
        <f aca="false">G1558</f>
        <v>-0.75</v>
      </c>
      <c r="M1558" s="0" t="n">
        <f aca="false">H1558</f>
        <v>0.25</v>
      </c>
      <c r="N1558" s="0" t="n">
        <f aca="false">E1558*F1558</f>
        <v>0.375</v>
      </c>
      <c r="O1558" s="0" t="n">
        <f aca="false">E1558*G1558</f>
        <v>0.375</v>
      </c>
      <c r="P1558" s="0" t="n">
        <f aca="false">E1558*H1558</f>
        <v>-0.125</v>
      </c>
      <c r="Q1558" s="0" t="n">
        <f aca="false">F1558*G1558</f>
        <v>0.5625</v>
      </c>
      <c r="R1558" s="0" t="n">
        <f aca="false">F1558*H1558</f>
        <v>-0.1875</v>
      </c>
      <c r="S1558" s="0" t="n">
        <f aca="false">G1558*H1558</f>
        <v>-0.1875</v>
      </c>
      <c r="T1558" s="0" t="n">
        <f aca="false">E1558*E1558</f>
        <v>0.25</v>
      </c>
      <c r="U1558" s="0" t="n">
        <f aca="false">F1558*F1558</f>
        <v>0.5625</v>
      </c>
      <c r="V1558" s="0" t="n">
        <f aca="false">G1558*G1558</f>
        <v>0.5625</v>
      </c>
      <c r="W1558" s="0" t="n">
        <f aca="false">H1558*H1558</f>
        <v>0.0625</v>
      </c>
      <c r="X1558" s="0" t="n">
        <f aca="false">SUMPRODUCT(I1558:W1558,_XtX!$B$96:$P$96)</f>
        <v>42.5163605628655</v>
      </c>
      <c r="Y1558" s="0" t="n">
        <f aca="false">SUMPRODUCT(MMULT(I1558:W1558,_XtX!$B$78:$P$92),I1558:W1558)</f>
        <v>0.257385610836988</v>
      </c>
      <c r="Z1558" s="0" t="n">
        <f aca="false">04_回帰ANOVA!$K$19*04_回帰ANOVA!$K$14*SQRT(1+Y1558)</f>
        <v>1.46161380324158</v>
      </c>
      <c r="AA1558" s="0" t="n">
        <f aca="false">X1558-Z1558</f>
        <v>41.0547467596239</v>
      </c>
      <c r="AB1558" s="0" t="n">
        <f aca="false">X1558+Z1558</f>
        <v>43.977974366107</v>
      </c>
      <c r="AC1558" s="54" t="b">
        <f aca="false">AND(E1558&gt;=01_因子設定!$L$5-0.000000001,E1558&lt;=01_因子設定!$M$5+0.000000001,F1558&gt;=01_因子設定!$L$6-0.000000001,F1558&lt;=01_因子設定!$M$6+0.000000001,G1558&gt;=01_因子設定!$L$7-0.000000001,G1558&lt;=01_因子設定!$M$7+0.000000001,H1558&gt;=01_因子設定!$L$8-0.000000001,H1558&lt;=01_因子設定!$M$8+0.000000001,IF(01_因子設定!$B$20="Box-Behnken",E1558^2+F1558^2+G1558^2+H1558^2&lt;=2+0.000000001,TRUE()))</f>
        <v>1</v>
      </c>
      <c r="AD1558" s="55" t="n">
        <f aca="false">IF(AC1558,IF(01_因子設定!$B$13="最大化",AA1558-01_因子設定!$B$14,IF(01_因子設定!$B$13="最小化",01_因子設定!$B$15-AB1558,MIN(AA1558-01_因子設定!$B$14,01_因子設定!$B$15-AB1558))),-1E+030)</f>
        <v>-5.44525324037613</v>
      </c>
      <c r="AE1558" s="55" t="n">
        <f aca="false">IF(AC1558,IF(01_因子設定!$B$13="最大化",X1558,IF(01_因子設定!$B$13="最小化",-X1558,-ABS(X1558-01_因子設定!$B$16))),-1E+030)</f>
        <v>42.5163605628655</v>
      </c>
      <c r="AF1558" s="55" t="n">
        <f aca="false">AD1558+ROW()*0.000000001</f>
        <v>-5.44525168237613</v>
      </c>
      <c r="AG1558" s="55" t="n">
        <f aca="false">AE1558+ROW()*0.000000001</f>
        <v>42.5163621208655</v>
      </c>
    </row>
    <row r="1559" customFormat="false" ht="15" hidden="false" customHeight="false" outlineLevel="0" collapsed="false">
      <c r="A1559" s="0" t="n">
        <v>2</v>
      </c>
      <c r="B1559" s="0" t="n">
        <v>1</v>
      </c>
      <c r="C1559" s="0" t="n">
        <v>1</v>
      </c>
      <c r="D1559" s="0" t="n">
        <v>6</v>
      </c>
      <c r="E1559" s="0" t="n">
        <f aca="false">-1+A1559*0.25</f>
        <v>-0.5</v>
      </c>
      <c r="F1559" s="0" t="n">
        <f aca="false">-1+B1559*0.25</f>
        <v>-0.75</v>
      </c>
      <c r="G1559" s="0" t="n">
        <f aca="false">-1+C1559*0.25</f>
        <v>-0.75</v>
      </c>
      <c r="H1559" s="0" t="n">
        <f aca="false">-1+D1559*0.25</f>
        <v>0.5</v>
      </c>
      <c r="I1559" s="0" t="n">
        <f aca="false">1</f>
        <v>1</v>
      </c>
      <c r="J1559" s="0" t="n">
        <f aca="false">E1559</f>
        <v>-0.5</v>
      </c>
      <c r="K1559" s="0" t="n">
        <f aca="false">F1559</f>
        <v>-0.75</v>
      </c>
      <c r="L1559" s="0" t="n">
        <f aca="false">G1559</f>
        <v>-0.75</v>
      </c>
      <c r="M1559" s="0" t="n">
        <f aca="false">H1559</f>
        <v>0.5</v>
      </c>
      <c r="N1559" s="0" t="n">
        <f aca="false">E1559*F1559</f>
        <v>0.375</v>
      </c>
      <c r="O1559" s="0" t="n">
        <f aca="false">E1559*G1559</f>
        <v>0.375</v>
      </c>
      <c r="P1559" s="0" t="n">
        <f aca="false">E1559*H1559</f>
        <v>-0.25</v>
      </c>
      <c r="Q1559" s="0" t="n">
        <f aca="false">F1559*G1559</f>
        <v>0.5625</v>
      </c>
      <c r="R1559" s="0" t="n">
        <f aca="false">F1559*H1559</f>
        <v>-0.375</v>
      </c>
      <c r="S1559" s="0" t="n">
        <f aca="false">G1559*H1559</f>
        <v>-0.375</v>
      </c>
      <c r="T1559" s="0" t="n">
        <f aca="false">E1559*E1559</f>
        <v>0.25</v>
      </c>
      <c r="U1559" s="0" t="n">
        <f aca="false">F1559*F1559</f>
        <v>0.5625</v>
      </c>
      <c r="V1559" s="0" t="n">
        <f aca="false">G1559*G1559</f>
        <v>0.5625</v>
      </c>
      <c r="W1559" s="0" t="n">
        <f aca="false">H1559*H1559</f>
        <v>0.25</v>
      </c>
      <c r="X1559" s="0" t="n">
        <f aca="false">SUMPRODUCT(I1559:W1559,_XtX!$B$96:$P$96)</f>
        <v>42.5163514254386</v>
      </c>
      <c r="Y1559" s="0" t="n">
        <f aca="false">SUMPRODUCT(MMULT(I1559:W1559,_XtX!$B$78:$P$92),I1559:W1559)</f>
        <v>0.237862927174708</v>
      </c>
      <c r="Z1559" s="0" t="n">
        <f aca="false">04_回帰ANOVA!$K$19*04_回帰ANOVA!$K$14*SQRT(1+Y1559)</f>
        <v>1.45022260708756</v>
      </c>
      <c r="AA1559" s="0" t="n">
        <f aca="false">X1559-Z1559</f>
        <v>41.066128818351</v>
      </c>
      <c r="AB1559" s="0" t="n">
        <f aca="false">X1559+Z1559</f>
        <v>43.9665740325261</v>
      </c>
      <c r="AC1559" s="54" t="b">
        <f aca="false">AND(E1559&gt;=01_因子設定!$L$5-0.000000001,E1559&lt;=01_因子設定!$M$5+0.000000001,F1559&gt;=01_因子設定!$L$6-0.000000001,F1559&lt;=01_因子設定!$M$6+0.000000001,G1559&gt;=01_因子設定!$L$7-0.000000001,G1559&lt;=01_因子設定!$M$7+0.000000001,H1559&gt;=01_因子設定!$L$8-0.000000001,H1559&lt;=01_因子設定!$M$8+0.000000001,IF(01_因子設定!$B$20="Box-Behnken",E1559^2+F1559^2+G1559^2+H1559^2&lt;=2+0.000000001,TRUE()))</f>
        <v>1</v>
      </c>
      <c r="AD1559" s="55" t="n">
        <f aca="false">IF(AC1559,IF(01_因子設定!$B$13="最大化",AA1559-01_因子設定!$B$14,IF(01_因子設定!$B$13="最小化",01_因子設定!$B$15-AB1559,MIN(AA1559-01_因子設定!$B$14,01_因子設定!$B$15-AB1559))),-1E+030)</f>
        <v>-5.433871181649</v>
      </c>
      <c r="AE1559" s="55" t="n">
        <f aca="false">IF(AC1559,IF(01_因子設定!$B$13="最大化",X1559,IF(01_因子設定!$B$13="最小化",-X1559,-ABS(X1559-01_因子設定!$B$16))),-1E+030)</f>
        <v>42.5163514254386</v>
      </c>
      <c r="AF1559" s="55" t="n">
        <f aca="false">AD1559+ROW()*0.000000001</f>
        <v>-5.433869622649</v>
      </c>
      <c r="AG1559" s="55" t="n">
        <f aca="false">AE1559+ROW()*0.000000001</f>
        <v>42.5163529844386</v>
      </c>
    </row>
    <row r="1560" customFormat="false" ht="15" hidden="false" customHeight="false" outlineLevel="0" collapsed="false">
      <c r="A1560" s="0" t="n">
        <v>2</v>
      </c>
      <c r="B1560" s="0" t="n">
        <v>1</v>
      </c>
      <c r="C1560" s="0" t="n">
        <v>1</v>
      </c>
      <c r="D1560" s="0" t="n">
        <v>7</v>
      </c>
      <c r="E1560" s="0" t="n">
        <f aca="false">-1+A1560*0.25</f>
        <v>-0.5</v>
      </c>
      <c r="F1560" s="0" t="n">
        <f aca="false">-1+B1560*0.25</f>
        <v>-0.75</v>
      </c>
      <c r="G1560" s="0" t="n">
        <f aca="false">-1+C1560*0.25</f>
        <v>-0.75</v>
      </c>
      <c r="H1560" s="0" t="n">
        <f aca="false">-1+D1560*0.25</f>
        <v>0.75</v>
      </c>
      <c r="I1560" s="0" t="n">
        <f aca="false">1</f>
        <v>1</v>
      </c>
      <c r="J1560" s="0" t="n">
        <f aca="false">E1560</f>
        <v>-0.5</v>
      </c>
      <c r="K1560" s="0" t="n">
        <f aca="false">F1560</f>
        <v>-0.75</v>
      </c>
      <c r="L1560" s="0" t="n">
        <f aca="false">G1560</f>
        <v>-0.75</v>
      </c>
      <c r="M1560" s="0" t="n">
        <f aca="false">H1560</f>
        <v>0.75</v>
      </c>
      <c r="N1560" s="0" t="n">
        <f aca="false">E1560*F1560</f>
        <v>0.375</v>
      </c>
      <c r="O1560" s="0" t="n">
        <f aca="false">E1560*G1560</f>
        <v>0.375</v>
      </c>
      <c r="P1560" s="0" t="n">
        <f aca="false">E1560*H1560</f>
        <v>-0.375</v>
      </c>
      <c r="Q1560" s="0" t="n">
        <f aca="false">F1560*G1560</f>
        <v>0.5625</v>
      </c>
      <c r="R1560" s="0" t="n">
        <f aca="false">F1560*H1560</f>
        <v>-0.5625</v>
      </c>
      <c r="S1560" s="0" t="n">
        <f aca="false">G1560*H1560</f>
        <v>-0.5625</v>
      </c>
      <c r="T1560" s="0" t="n">
        <f aca="false">E1560*E1560</f>
        <v>0.25</v>
      </c>
      <c r="U1560" s="0" t="n">
        <f aca="false">F1560*F1560</f>
        <v>0.5625</v>
      </c>
      <c r="V1560" s="0" t="n">
        <f aca="false">G1560*G1560</f>
        <v>0.5625</v>
      </c>
      <c r="W1560" s="0" t="n">
        <f aca="false">H1560*H1560</f>
        <v>0.5625</v>
      </c>
      <c r="X1560" s="0" t="n">
        <f aca="false">SUMPRODUCT(I1560:W1560,_XtX!$B$96:$P$96)</f>
        <v>42.4685352704678</v>
      </c>
      <c r="Y1560" s="0" t="n">
        <f aca="false">SUMPRODUCT(MMULT(I1560:W1560,_XtX!$B$78:$P$92),I1560:W1560)</f>
        <v>0.265632138614766</v>
      </c>
      <c r="Z1560" s="0" t="n">
        <f aca="false">04_回帰ANOVA!$K$19*04_回帰ANOVA!$K$14*SQRT(1+Y1560)</f>
        <v>1.46639894654257</v>
      </c>
      <c r="AA1560" s="0" t="n">
        <f aca="false">X1560-Z1560</f>
        <v>41.0021363239252</v>
      </c>
      <c r="AB1560" s="0" t="n">
        <f aca="false">X1560+Z1560</f>
        <v>43.9349342170104</v>
      </c>
      <c r="AC1560" s="54" t="b">
        <f aca="false">AND(E1560&gt;=01_因子設定!$L$5-0.000000001,E1560&lt;=01_因子設定!$M$5+0.000000001,F1560&gt;=01_因子設定!$L$6-0.000000001,F1560&lt;=01_因子設定!$M$6+0.000000001,G1560&gt;=01_因子設定!$L$7-0.000000001,G1560&lt;=01_因子設定!$M$7+0.000000001,H1560&gt;=01_因子設定!$L$8-0.000000001,H1560&lt;=01_因子設定!$M$8+0.000000001,IF(01_因子設定!$B$20="Box-Behnken",E1560^2+F1560^2+G1560^2+H1560^2&lt;=2+0.000000001,TRUE()))</f>
        <v>1</v>
      </c>
      <c r="AD1560" s="55" t="n">
        <f aca="false">IF(AC1560,IF(01_因子設定!$B$13="最大化",AA1560-01_因子設定!$B$14,IF(01_因子設定!$B$13="最小化",01_因子設定!$B$15-AB1560,MIN(AA1560-01_因子設定!$B$14,01_因子設定!$B$15-AB1560))),-1E+030)</f>
        <v>-5.49786367607476</v>
      </c>
      <c r="AE1560" s="55" t="n">
        <f aca="false">IF(AC1560,IF(01_因子設定!$B$13="最大化",X1560,IF(01_因子設定!$B$13="最小化",-X1560,-ABS(X1560-01_因子設定!$B$16))),-1E+030)</f>
        <v>42.4685352704678</v>
      </c>
      <c r="AF1560" s="55" t="n">
        <f aca="false">AD1560+ROW()*0.000000001</f>
        <v>-5.49786211607476</v>
      </c>
      <c r="AG1560" s="55" t="n">
        <f aca="false">AE1560+ROW()*0.000000001</f>
        <v>42.4685368304678</v>
      </c>
    </row>
    <row r="1561" customFormat="false" ht="15" hidden="false" customHeight="false" outlineLevel="0" collapsed="false">
      <c r="A1561" s="0" t="n">
        <v>2</v>
      </c>
      <c r="B1561" s="0" t="n">
        <v>1</v>
      </c>
      <c r="C1561" s="0" t="n">
        <v>1</v>
      </c>
      <c r="D1561" s="0" t="n">
        <v>8</v>
      </c>
      <c r="E1561" s="0" t="n">
        <f aca="false">-1+A1561*0.25</f>
        <v>-0.5</v>
      </c>
      <c r="F1561" s="0" t="n">
        <f aca="false">-1+B1561*0.25</f>
        <v>-0.75</v>
      </c>
      <c r="G1561" s="0" t="n">
        <f aca="false">-1+C1561*0.25</f>
        <v>-0.75</v>
      </c>
      <c r="H1561" s="0" t="n">
        <f aca="false">-1+D1561*0.25</f>
        <v>1</v>
      </c>
      <c r="I1561" s="0" t="n">
        <f aca="false">1</f>
        <v>1</v>
      </c>
      <c r="J1561" s="0" t="n">
        <f aca="false">E1561</f>
        <v>-0.5</v>
      </c>
      <c r="K1561" s="0" t="n">
        <f aca="false">F1561</f>
        <v>-0.75</v>
      </c>
      <c r="L1561" s="0" t="n">
        <f aca="false">G1561</f>
        <v>-0.75</v>
      </c>
      <c r="M1561" s="0" t="n">
        <f aca="false">H1561</f>
        <v>1</v>
      </c>
      <c r="N1561" s="0" t="n">
        <f aca="false">E1561*F1561</f>
        <v>0.375</v>
      </c>
      <c r="O1561" s="0" t="n">
        <f aca="false">E1561*G1561</f>
        <v>0.375</v>
      </c>
      <c r="P1561" s="0" t="n">
        <f aca="false">E1561*H1561</f>
        <v>-0.5</v>
      </c>
      <c r="Q1561" s="0" t="n">
        <f aca="false">F1561*G1561</f>
        <v>0.5625</v>
      </c>
      <c r="R1561" s="0" t="n">
        <f aca="false">F1561*H1561</f>
        <v>-0.75</v>
      </c>
      <c r="S1561" s="0" t="n">
        <f aca="false">G1561*H1561</f>
        <v>-0.75</v>
      </c>
      <c r="T1561" s="0" t="n">
        <f aca="false">E1561*E1561</f>
        <v>0.25</v>
      </c>
      <c r="U1561" s="0" t="n">
        <f aca="false">F1561*F1561</f>
        <v>0.5625</v>
      </c>
      <c r="V1561" s="0" t="n">
        <f aca="false">G1561*G1561</f>
        <v>0.5625</v>
      </c>
      <c r="W1561" s="0" t="n">
        <f aca="false">H1561*H1561</f>
        <v>1</v>
      </c>
      <c r="X1561" s="0" t="n">
        <f aca="false">SUMPRODUCT(I1561:W1561,_XtX!$B$96:$P$96)</f>
        <v>42.3729120979532</v>
      </c>
      <c r="Y1561" s="0" t="n">
        <f aca="false">SUMPRODUCT(MMULT(I1561:W1561,_XtX!$B$78:$P$92),I1561:W1561)</f>
        <v>0.431153771472953</v>
      </c>
      <c r="Z1561" s="0" t="n">
        <f aca="false">04_回帰ANOVA!$K$19*04_回帰ANOVA!$K$14*SQRT(1+Y1561)</f>
        <v>1.55934259562563</v>
      </c>
      <c r="AA1561" s="0" t="n">
        <f aca="false">X1561-Z1561</f>
        <v>40.8135695023276</v>
      </c>
      <c r="AB1561" s="0" t="n">
        <f aca="false">X1561+Z1561</f>
        <v>43.9322546935788</v>
      </c>
      <c r="AC1561" s="54" t="b">
        <f aca="false">AND(E1561&gt;=01_因子設定!$L$5-0.000000001,E1561&lt;=01_因子設定!$M$5+0.000000001,F1561&gt;=01_因子設定!$L$6-0.000000001,F1561&lt;=01_因子設定!$M$6+0.000000001,G1561&gt;=01_因子設定!$L$7-0.000000001,G1561&lt;=01_因子設定!$M$7+0.000000001,H1561&gt;=01_因子設定!$L$8-0.000000001,H1561&lt;=01_因子設定!$M$8+0.000000001,IF(01_因子設定!$B$20="Box-Behnken",E1561^2+F1561^2+G1561^2+H1561^2&lt;=2+0.000000001,TRUE()))</f>
        <v>1</v>
      </c>
      <c r="AD1561" s="55" t="n">
        <f aca="false">IF(AC1561,IF(01_因子設定!$B$13="最大化",AA1561-01_因子設定!$B$14,IF(01_因子設定!$B$13="最小化",01_因子設定!$B$15-AB1561,MIN(AA1561-01_因子設定!$B$14,01_因子設定!$B$15-AB1561))),-1E+030)</f>
        <v>-5.68643049767242</v>
      </c>
      <c r="AE1561" s="55" t="n">
        <f aca="false">IF(AC1561,IF(01_因子設定!$B$13="最大化",X1561,IF(01_因子設定!$B$13="最小化",-X1561,-ABS(X1561-01_因子設定!$B$16))),-1E+030)</f>
        <v>42.3729120979532</v>
      </c>
      <c r="AF1561" s="55" t="n">
        <f aca="false">AD1561+ROW()*0.000000001</f>
        <v>-5.68642893667242</v>
      </c>
      <c r="AG1561" s="55" t="n">
        <f aca="false">AE1561+ROW()*0.000000001</f>
        <v>42.3729136589532</v>
      </c>
    </row>
    <row r="1562" customFormat="false" ht="15" hidden="false" customHeight="false" outlineLevel="0" collapsed="false">
      <c r="A1562" s="0" t="n">
        <v>2</v>
      </c>
      <c r="B1562" s="0" t="n">
        <v>1</v>
      </c>
      <c r="C1562" s="0" t="n">
        <v>2</v>
      </c>
      <c r="D1562" s="0" t="n">
        <v>0</v>
      </c>
      <c r="E1562" s="0" t="n">
        <f aca="false">-1+A1562*0.25</f>
        <v>-0.5</v>
      </c>
      <c r="F1562" s="0" t="n">
        <f aca="false">-1+B1562*0.25</f>
        <v>-0.75</v>
      </c>
      <c r="G1562" s="0" t="n">
        <f aca="false">-1+C1562*0.25</f>
        <v>-0.5</v>
      </c>
      <c r="H1562" s="0" t="n">
        <f aca="false">-1+D1562*0.25</f>
        <v>-1</v>
      </c>
      <c r="I1562" s="0" t="n">
        <f aca="false">1</f>
        <v>1</v>
      </c>
      <c r="J1562" s="0" t="n">
        <f aca="false">E1562</f>
        <v>-0.5</v>
      </c>
      <c r="K1562" s="0" t="n">
        <f aca="false">F1562</f>
        <v>-0.75</v>
      </c>
      <c r="L1562" s="0" t="n">
        <f aca="false">G1562</f>
        <v>-0.5</v>
      </c>
      <c r="M1562" s="0" t="n">
        <f aca="false">H1562</f>
        <v>-1</v>
      </c>
      <c r="N1562" s="0" t="n">
        <f aca="false">E1562*F1562</f>
        <v>0.375</v>
      </c>
      <c r="O1562" s="0" t="n">
        <f aca="false">E1562*G1562</f>
        <v>0.25</v>
      </c>
      <c r="P1562" s="0" t="n">
        <f aca="false">E1562*H1562</f>
        <v>0.5</v>
      </c>
      <c r="Q1562" s="0" t="n">
        <f aca="false">F1562*G1562</f>
        <v>0.375</v>
      </c>
      <c r="R1562" s="0" t="n">
        <f aca="false">F1562*H1562</f>
        <v>0.75</v>
      </c>
      <c r="S1562" s="0" t="n">
        <f aca="false">G1562*H1562</f>
        <v>0.5</v>
      </c>
      <c r="T1562" s="0" t="n">
        <f aca="false">E1562*E1562</f>
        <v>0.25</v>
      </c>
      <c r="U1562" s="0" t="n">
        <f aca="false">F1562*F1562</f>
        <v>0.5625</v>
      </c>
      <c r="V1562" s="0" t="n">
        <f aca="false">G1562*G1562</f>
        <v>0.25</v>
      </c>
      <c r="W1562" s="0" t="n">
        <f aca="false">H1562*H1562</f>
        <v>1</v>
      </c>
      <c r="X1562" s="0" t="n">
        <f aca="false">SUMPRODUCT(I1562:W1562,_XtX!$B$96:$P$96)</f>
        <v>42.2091831140351</v>
      </c>
      <c r="Y1562" s="0" t="n">
        <f aca="false">SUMPRODUCT(MMULT(I1562:W1562,_XtX!$B$78:$P$92),I1562:W1562)</f>
        <v>0.42602110745614</v>
      </c>
      <c r="Z1562" s="0" t="n">
        <f aca="false">04_回帰ANOVA!$K$19*04_回帰ANOVA!$K$14*SQRT(1+Y1562)</f>
        <v>1.55654388501114</v>
      </c>
      <c r="AA1562" s="0" t="n">
        <f aca="false">X1562-Z1562</f>
        <v>40.652639229024</v>
      </c>
      <c r="AB1562" s="0" t="n">
        <f aca="false">X1562+Z1562</f>
        <v>43.7657269990462</v>
      </c>
      <c r="AC1562" s="54" t="b">
        <f aca="false">AND(E1562&gt;=01_因子設定!$L$5-0.000000001,E1562&lt;=01_因子設定!$M$5+0.000000001,F1562&gt;=01_因子設定!$L$6-0.000000001,F1562&lt;=01_因子設定!$M$6+0.000000001,G1562&gt;=01_因子設定!$L$7-0.000000001,G1562&lt;=01_因子設定!$M$7+0.000000001,H1562&gt;=01_因子設定!$L$8-0.000000001,H1562&lt;=01_因子設定!$M$8+0.000000001,IF(01_因子設定!$B$20="Box-Behnken",E1562^2+F1562^2+G1562^2+H1562^2&lt;=2+0.000000001,TRUE()))</f>
        <v>1</v>
      </c>
      <c r="AD1562" s="55" t="n">
        <f aca="false">IF(AC1562,IF(01_因子設定!$B$13="最大化",AA1562-01_因子設定!$B$14,IF(01_因子設定!$B$13="最小化",01_因子設定!$B$15-AB1562,MIN(AA1562-01_因子設定!$B$14,01_因子設定!$B$15-AB1562))),-1E+030)</f>
        <v>-5.84736077097605</v>
      </c>
      <c r="AE1562" s="55" t="n">
        <f aca="false">IF(AC1562,IF(01_因子設定!$B$13="最大化",X1562,IF(01_因子設定!$B$13="最小化",-X1562,-ABS(X1562-01_因子設定!$B$16))),-1E+030)</f>
        <v>42.2091831140351</v>
      </c>
      <c r="AF1562" s="55" t="n">
        <f aca="false">AD1562+ROW()*0.000000001</f>
        <v>-5.84735920897605</v>
      </c>
      <c r="AG1562" s="55" t="n">
        <f aca="false">AE1562+ROW()*0.000000001</f>
        <v>42.2091846760351</v>
      </c>
    </row>
    <row r="1563" customFormat="false" ht="15" hidden="false" customHeight="false" outlineLevel="0" collapsed="false">
      <c r="A1563" s="0" t="n">
        <v>2</v>
      </c>
      <c r="B1563" s="0" t="n">
        <v>1</v>
      </c>
      <c r="C1563" s="0" t="n">
        <v>2</v>
      </c>
      <c r="D1563" s="0" t="n">
        <v>1</v>
      </c>
      <c r="E1563" s="0" t="n">
        <f aca="false">-1+A1563*0.25</f>
        <v>-0.5</v>
      </c>
      <c r="F1563" s="0" t="n">
        <f aca="false">-1+B1563*0.25</f>
        <v>-0.75</v>
      </c>
      <c r="G1563" s="0" t="n">
        <f aca="false">-1+C1563*0.25</f>
        <v>-0.5</v>
      </c>
      <c r="H1563" s="0" t="n">
        <f aca="false">-1+D1563*0.25</f>
        <v>-0.75</v>
      </c>
      <c r="I1563" s="0" t="n">
        <f aca="false">1</f>
        <v>1</v>
      </c>
      <c r="J1563" s="0" t="n">
        <f aca="false">E1563</f>
        <v>-0.5</v>
      </c>
      <c r="K1563" s="0" t="n">
        <f aca="false">F1563</f>
        <v>-0.75</v>
      </c>
      <c r="L1563" s="0" t="n">
        <f aca="false">G1563</f>
        <v>-0.5</v>
      </c>
      <c r="M1563" s="0" t="n">
        <f aca="false">H1563</f>
        <v>-0.75</v>
      </c>
      <c r="N1563" s="0" t="n">
        <f aca="false">E1563*F1563</f>
        <v>0.375</v>
      </c>
      <c r="O1563" s="0" t="n">
        <f aca="false">E1563*G1563</f>
        <v>0.25</v>
      </c>
      <c r="P1563" s="0" t="n">
        <f aca="false">E1563*H1563</f>
        <v>0.375</v>
      </c>
      <c r="Q1563" s="0" t="n">
        <f aca="false">F1563*G1563</f>
        <v>0.375</v>
      </c>
      <c r="R1563" s="0" t="n">
        <f aca="false">F1563*H1563</f>
        <v>0.5625</v>
      </c>
      <c r="S1563" s="0" t="n">
        <f aca="false">G1563*H1563</f>
        <v>0.375</v>
      </c>
      <c r="T1563" s="0" t="n">
        <f aca="false">E1563*E1563</f>
        <v>0.25</v>
      </c>
      <c r="U1563" s="0" t="n">
        <f aca="false">F1563*F1563</f>
        <v>0.5625</v>
      </c>
      <c r="V1563" s="0" t="n">
        <f aca="false">G1563*G1563</f>
        <v>0.25</v>
      </c>
      <c r="W1563" s="0" t="n">
        <f aca="false">H1563*H1563</f>
        <v>0.5625</v>
      </c>
      <c r="X1563" s="0" t="n">
        <f aca="false">SUMPRODUCT(I1563:W1563,_XtX!$B$96:$P$96)</f>
        <v>42.4661778143275</v>
      </c>
      <c r="Y1563" s="0" t="n">
        <f aca="false">SUMPRODUCT(MMULT(I1563:W1563,_XtX!$B$78:$P$92),I1563:W1563)</f>
        <v>0.237862927174708</v>
      </c>
      <c r="Z1563" s="0" t="n">
        <f aca="false">04_回帰ANOVA!$K$19*04_回帰ANOVA!$K$14*SQRT(1+Y1563)</f>
        <v>1.45022260708756</v>
      </c>
      <c r="AA1563" s="0" t="n">
        <f aca="false">X1563-Z1563</f>
        <v>41.0159552072399</v>
      </c>
      <c r="AB1563" s="0" t="n">
        <f aca="false">X1563+Z1563</f>
        <v>43.916400421415</v>
      </c>
      <c r="AC1563" s="54" t="b">
        <f aca="false">AND(E1563&gt;=01_因子設定!$L$5-0.000000001,E1563&lt;=01_因子設定!$M$5+0.000000001,F1563&gt;=01_因子設定!$L$6-0.000000001,F1563&lt;=01_因子設定!$M$6+0.000000001,G1563&gt;=01_因子設定!$L$7-0.000000001,G1563&lt;=01_因子設定!$M$7+0.000000001,H1563&gt;=01_因子設定!$L$8-0.000000001,H1563&lt;=01_因子設定!$M$8+0.000000001,IF(01_因子設定!$B$20="Box-Behnken",E1563^2+F1563^2+G1563^2+H1563^2&lt;=2+0.000000001,TRUE()))</f>
        <v>1</v>
      </c>
      <c r="AD1563" s="55" t="n">
        <f aca="false">IF(AC1563,IF(01_因子設定!$B$13="最大化",AA1563-01_因子設定!$B$14,IF(01_因子設定!$B$13="最小化",01_因子設定!$B$15-AB1563,MIN(AA1563-01_因子設定!$B$14,01_因子設定!$B$15-AB1563))),-1E+030)</f>
        <v>-5.4840447927601</v>
      </c>
      <c r="AE1563" s="55" t="n">
        <f aca="false">IF(AC1563,IF(01_因子設定!$B$13="最大化",X1563,IF(01_因子設定!$B$13="最小化",-X1563,-ABS(X1563-01_因子設定!$B$16))),-1E+030)</f>
        <v>42.4661778143275</v>
      </c>
      <c r="AF1563" s="55" t="n">
        <f aca="false">AD1563+ROW()*0.000000001</f>
        <v>-5.4840432297601</v>
      </c>
      <c r="AG1563" s="55" t="n">
        <f aca="false">AE1563+ROW()*0.000000001</f>
        <v>42.4661793773275</v>
      </c>
    </row>
    <row r="1564" customFormat="false" ht="15" hidden="false" customHeight="false" outlineLevel="0" collapsed="false">
      <c r="A1564" s="0" t="n">
        <v>2</v>
      </c>
      <c r="B1564" s="0" t="n">
        <v>1</v>
      </c>
      <c r="C1564" s="0" t="n">
        <v>2</v>
      </c>
      <c r="D1564" s="0" t="n">
        <v>2</v>
      </c>
      <c r="E1564" s="0" t="n">
        <f aca="false">-1+A1564*0.25</f>
        <v>-0.5</v>
      </c>
      <c r="F1564" s="0" t="n">
        <f aca="false">-1+B1564*0.25</f>
        <v>-0.75</v>
      </c>
      <c r="G1564" s="0" t="n">
        <f aca="false">-1+C1564*0.25</f>
        <v>-0.5</v>
      </c>
      <c r="H1564" s="0" t="n">
        <f aca="false">-1+D1564*0.25</f>
        <v>-0.5</v>
      </c>
      <c r="I1564" s="0" t="n">
        <f aca="false">1</f>
        <v>1</v>
      </c>
      <c r="J1564" s="0" t="n">
        <f aca="false">E1564</f>
        <v>-0.5</v>
      </c>
      <c r="K1564" s="0" t="n">
        <f aca="false">F1564</f>
        <v>-0.75</v>
      </c>
      <c r="L1564" s="0" t="n">
        <f aca="false">G1564</f>
        <v>-0.5</v>
      </c>
      <c r="M1564" s="0" t="n">
        <f aca="false">H1564</f>
        <v>-0.5</v>
      </c>
      <c r="N1564" s="0" t="n">
        <f aca="false">E1564*F1564</f>
        <v>0.375</v>
      </c>
      <c r="O1564" s="0" t="n">
        <f aca="false">E1564*G1564</f>
        <v>0.25</v>
      </c>
      <c r="P1564" s="0" t="n">
        <f aca="false">E1564*H1564</f>
        <v>0.25</v>
      </c>
      <c r="Q1564" s="0" t="n">
        <f aca="false">F1564*G1564</f>
        <v>0.375</v>
      </c>
      <c r="R1564" s="0" t="n">
        <f aca="false">F1564*H1564</f>
        <v>0.375</v>
      </c>
      <c r="S1564" s="0" t="n">
        <f aca="false">G1564*H1564</f>
        <v>0.25</v>
      </c>
      <c r="T1564" s="0" t="n">
        <f aca="false">E1564*E1564</f>
        <v>0.25</v>
      </c>
      <c r="U1564" s="0" t="n">
        <f aca="false">F1564*F1564</f>
        <v>0.5625</v>
      </c>
      <c r="V1564" s="0" t="n">
        <f aca="false">G1564*G1564</f>
        <v>0.25</v>
      </c>
      <c r="W1564" s="0" t="n">
        <f aca="false">H1564*H1564</f>
        <v>0.25</v>
      </c>
      <c r="X1564" s="0" t="n">
        <f aca="false">SUMPRODUCT(I1564:W1564,_XtX!$B$96:$P$96)</f>
        <v>42.675365497076</v>
      </c>
      <c r="Y1564" s="0" t="n">
        <f aca="false">SUMPRODUCT(MMULT(I1564:W1564,_XtX!$B$78:$P$92),I1564:W1564)</f>
        <v>0.193924753289474</v>
      </c>
      <c r="Z1564" s="0" t="n">
        <f aca="false">04_回帰ANOVA!$K$19*04_回帰ANOVA!$K$14*SQRT(1+Y1564)</f>
        <v>1.4242521079916</v>
      </c>
      <c r="AA1564" s="0" t="n">
        <f aca="false">X1564-Z1564</f>
        <v>41.2511133890844</v>
      </c>
      <c r="AB1564" s="0" t="n">
        <f aca="false">X1564+Z1564</f>
        <v>44.0996176050676</v>
      </c>
      <c r="AC1564" s="54" t="b">
        <f aca="false">AND(E1564&gt;=01_因子設定!$L$5-0.000000001,E1564&lt;=01_因子設定!$M$5+0.000000001,F1564&gt;=01_因子設定!$L$6-0.000000001,F1564&lt;=01_因子設定!$M$6+0.000000001,G1564&gt;=01_因子設定!$L$7-0.000000001,G1564&lt;=01_因子設定!$M$7+0.000000001,H1564&gt;=01_因子設定!$L$8-0.000000001,H1564&lt;=01_因子設定!$M$8+0.000000001,IF(01_因子設定!$B$20="Box-Behnken",E1564^2+F1564^2+G1564^2+H1564^2&lt;=2+0.000000001,TRUE()))</f>
        <v>1</v>
      </c>
      <c r="AD1564" s="55" t="n">
        <f aca="false">IF(AC1564,IF(01_因子設定!$B$13="最大化",AA1564-01_因子設定!$B$14,IF(01_因子設定!$B$13="最小化",01_因子設定!$B$15-AB1564,MIN(AA1564-01_因子設定!$B$14,01_因子設定!$B$15-AB1564))),-1E+030)</f>
        <v>-5.24888661091561</v>
      </c>
      <c r="AE1564" s="55" t="n">
        <f aca="false">IF(AC1564,IF(01_因子設定!$B$13="最大化",X1564,IF(01_因子設定!$B$13="最小化",-X1564,-ABS(X1564-01_因子設定!$B$16))),-1E+030)</f>
        <v>42.675365497076</v>
      </c>
      <c r="AF1564" s="55" t="n">
        <f aca="false">AD1564+ROW()*0.000000001</f>
        <v>-5.24888504691561</v>
      </c>
      <c r="AG1564" s="55" t="n">
        <f aca="false">AE1564+ROW()*0.000000001</f>
        <v>42.675367061076</v>
      </c>
    </row>
    <row r="1565" customFormat="false" ht="15" hidden="false" customHeight="false" outlineLevel="0" collapsed="false">
      <c r="A1565" s="0" t="n">
        <v>2</v>
      </c>
      <c r="B1565" s="0" t="n">
        <v>1</v>
      </c>
      <c r="C1565" s="0" t="n">
        <v>2</v>
      </c>
      <c r="D1565" s="0" t="n">
        <v>3</v>
      </c>
      <c r="E1565" s="0" t="n">
        <f aca="false">-1+A1565*0.25</f>
        <v>-0.5</v>
      </c>
      <c r="F1565" s="0" t="n">
        <f aca="false">-1+B1565*0.25</f>
        <v>-0.75</v>
      </c>
      <c r="G1565" s="0" t="n">
        <f aca="false">-1+C1565*0.25</f>
        <v>-0.5</v>
      </c>
      <c r="H1565" s="0" t="n">
        <f aca="false">-1+D1565*0.25</f>
        <v>-0.25</v>
      </c>
      <c r="I1565" s="0" t="n">
        <f aca="false">1</f>
        <v>1</v>
      </c>
      <c r="J1565" s="0" t="n">
        <f aca="false">E1565</f>
        <v>-0.5</v>
      </c>
      <c r="K1565" s="0" t="n">
        <f aca="false">F1565</f>
        <v>-0.75</v>
      </c>
      <c r="L1565" s="0" t="n">
        <f aca="false">G1565</f>
        <v>-0.5</v>
      </c>
      <c r="M1565" s="0" t="n">
        <f aca="false">H1565</f>
        <v>-0.25</v>
      </c>
      <c r="N1565" s="0" t="n">
        <f aca="false">E1565*F1565</f>
        <v>0.375</v>
      </c>
      <c r="O1565" s="0" t="n">
        <f aca="false">E1565*G1565</f>
        <v>0.25</v>
      </c>
      <c r="P1565" s="0" t="n">
        <f aca="false">E1565*H1565</f>
        <v>0.125</v>
      </c>
      <c r="Q1565" s="0" t="n">
        <f aca="false">F1565*G1565</f>
        <v>0.375</v>
      </c>
      <c r="R1565" s="0" t="n">
        <f aca="false">F1565*H1565</f>
        <v>0.1875</v>
      </c>
      <c r="S1565" s="0" t="n">
        <f aca="false">G1565*H1565</f>
        <v>0.125</v>
      </c>
      <c r="T1565" s="0" t="n">
        <f aca="false">E1565*E1565</f>
        <v>0.25</v>
      </c>
      <c r="U1565" s="0" t="n">
        <f aca="false">F1565*F1565</f>
        <v>0.5625</v>
      </c>
      <c r="V1565" s="0" t="n">
        <f aca="false">G1565*G1565</f>
        <v>0.25</v>
      </c>
      <c r="W1565" s="0" t="n">
        <f aca="false">H1565*H1565</f>
        <v>0.0625</v>
      </c>
      <c r="X1565" s="0" t="n">
        <f aca="false">SUMPRODUCT(I1565:W1565,_XtX!$B$96:$P$96)</f>
        <v>42.8367461622807</v>
      </c>
      <c r="Y1565" s="0" t="n">
        <f aca="false">SUMPRODUCT(MMULT(I1565:W1565,_XtX!$B$78:$P$92),I1565:W1565)</f>
        <v>0.203746059484649</v>
      </c>
      <c r="Z1565" s="0" t="n">
        <f aca="false">04_回帰ANOVA!$K$19*04_回帰ANOVA!$K$14*SQRT(1+Y1565)</f>
        <v>1.43009810755465</v>
      </c>
      <c r="AA1565" s="0" t="n">
        <f aca="false">X1565-Z1565</f>
        <v>41.406648054726</v>
      </c>
      <c r="AB1565" s="0" t="n">
        <f aca="false">X1565+Z1565</f>
        <v>44.2668442698353</v>
      </c>
      <c r="AC1565" s="54" t="b">
        <f aca="false">AND(E1565&gt;=01_因子設定!$L$5-0.000000001,E1565&lt;=01_因子設定!$M$5+0.000000001,F1565&gt;=01_因子設定!$L$6-0.000000001,F1565&lt;=01_因子設定!$M$6+0.000000001,G1565&gt;=01_因子設定!$L$7-0.000000001,G1565&lt;=01_因子設定!$M$7+0.000000001,H1565&gt;=01_因子設定!$L$8-0.000000001,H1565&lt;=01_因子設定!$M$8+0.000000001,IF(01_因子設定!$B$20="Box-Behnken",E1565^2+F1565^2+G1565^2+H1565^2&lt;=2+0.000000001,TRUE()))</f>
        <v>1</v>
      </c>
      <c r="AD1565" s="55" t="n">
        <f aca="false">IF(AC1565,IF(01_因子設定!$B$13="最大化",AA1565-01_因子設定!$B$14,IF(01_因子設定!$B$13="最小化",01_因子設定!$B$15-AB1565,MIN(AA1565-01_因子設定!$B$14,01_因子設定!$B$15-AB1565))),-1E+030)</f>
        <v>-5.09335194527399</v>
      </c>
      <c r="AE1565" s="55" t="n">
        <f aca="false">IF(AC1565,IF(01_因子設定!$B$13="最大化",X1565,IF(01_因子設定!$B$13="最小化",-X1565,-ABS(X1565-01_因子設定!$B$16))),-1E+030)</f>
        <v>42.8367461622807</v>
      </c>
      <c r="AF1565" s="55" t="n">
        <f aca="false">AD1565+ROW()*0.000000001</f>
        <v>-5.09335038027399</v>
      </c>
      <c r="AG1565" s="55" t="n">
        <f aca="false">AE1565+ROW()*0.000000001</f>
        <v>42.8367477272807</v>
      </c>
    </row>
    <row r="1566" customFormat="false" ht="15" hidden="false" customHeight="false" outlineLevel="0" collapsed="false">
      <c r="A1566" s="0" t="n">
        <v>2</v>
      </c>
      <c r="B1566" s="0" t="n">
        <v>1</v>
      </c>
      <c r="C1566" s="0" t="n">
        <v>2</v>
      </c>
      <c r="D1566" s="0" t="n">
        <v>4</v>
      </c>
      <c r="E1566" s="0" t="n">
        <f aca="false">-1+A1566*0.25</f>
        <v>-0.5</v>
      </c>
      <c r="F1566" s="0" t="n">
        <f aca="false">-1+B1566*0.25</f>
        <v>-0.75</v>
      </c>
      <c r="G1566" s="0" t="n">
        <f aca="false">-1+C1566*0.25</f>
        <v>-0.5</v>
      </c>
      <c r="H1566" s="0" t="n">
        <f aca="false">-1+D1566*0.25</f>
        <v>0</v>
      </c>
      <c r="I1566" s="0" t="n">
        <f aca="false">1</f>
        <v>1</v>
      </c>
      <c r="J1566" s="0" t="n">
        <f aca="false">E1566</f>
        <v>-0.5</v>
      </c>
      <c r="K1566" s="0" t="n">
        <f aca="false">F1566</f>
        <v>-0.75</v>
      </c>
      <c r="L1566" s="0" t="n">
        <f aca="false">G1566</f>
        <v>-0.5</v>
      </c>
      <c r="M1566" s="0" t="n">
        <f aca="false">H1566</f>
        <v>0</v>
      </c>
      <c r="N1566" s="0" t="n">
        <f aca="false">E1566*F1566</f>
        <v>0.375</v>
      </c>
      <c r="O1566" s="0" t="n">
        <f aca="false">E1566*G1566</f>
        <v>0.25</v>
      </c>
      <c r="P1566" s="0" t="n">
        <f aca="false">E1566*H1566</f>
        <v>-0</v>
      </c>
      <c r="Q1566" s="0" t="n">
        <f aca="false">F1566*G1566</f>
        <v>0.375</v>
      </c>
      <c r="R1566" s="0" t="n">
        <f aca="false">F1566*H1566</f>
        <v>-0</v>
      </c>
      <c r="S1566" s="0" t="n">
        <f aca="false">G1566*H1566</f>
        <v>-0</v>
      </c>
      <c r="T1566" s="0" t="n">
        <f aca="false">E1566*E1566</f>
        <v>0.25</v>
      </c>
      <c r="U1566" s="0" t="n">
        <f aca="false">F1566*F1566</f>
        <v>0.5625</v>
      </c>
      <c r="V1566" s="0" t="n">
        <f aca="false">G1566*G1566</f>
        <v>0.25</v>
      </c>
      <c r="W1566" s="0" t="n">
        <f aca="false">H1566*H1566</f>
        <v>0</v>
      </c>
      <c r="X1566" s="0" t="n">
        <f aca="false">SUMPRODUCT(I1566:W1566,_XtX!$B$96:$P$96)</f>
        <v>42.9503198099415</v>
      </c>
      <c r="Y1566" s="0" t="n">
        <f aca="false">SUMPRODUCT(MMULT(I1566:W1566,_XtX!$B$78:$P$92),I1566:W1566)</f>
        <v>0.21305052997076</v>
      </c>
      <c r="Z1566" s="0" t="n">
        <f aca="false">04_回帰ANOVA!$K$19*04_回帰ANOVA!$K$14*SQRT(1+Y1566)</f>
        <v>1.43561450835061</v>
      </c>
      <c r="AA1566" s="0" t="n">
        <f aca="false">X1566-Z1566</f>
        <v>41.5147053015909</v>
      </c>
      <c r="AB1566" s="0" t="n">
        <f aca="false">X1566+Z1566</f>
        <v>44.3859343182921</v>
      </c>
      <c r="AC1566" s="54" t="b">
        <f aca="false">AND(E1566&gt;=01_因子設定!$L$5-0.000000001,E1566&lt;=01_因子設定!$M$5+0.000000001,F1566&gt;=01_因子設定!$L$6-0.000000001,F1566&lt;=01_因子設定!$M$6+0.000000001,G1566&gt;=01_因子設定!$L$7-0.000000001,G1566&lt;=01_因子設定!$M$7+0.000000001,H1566&gt;=01_因子設定!$L$8-0.000000001,H1566&lt;=01_因子設定!$M$8+0.000000001,IF(01_因子設定!$B$20="Box-Behnken",E1566^2+F1566^2+G1566^2+H1566^2&lt;=2+0.000000001,TRUE()))</f>
        <v>1</v>
      </c>
      <c r="AD1566" s="55" t="n">
        <f aca="false">IF(AC1566,IF(01_因子設定!$B$13="最大化",AA1566-01_因子設定!$B$14,IF(01_因子設定!$B$13="最小化",01_因子設定!$B$15-AB1566,MIN(AA1566-01_因子設定!$B$14,01_因子設定!$B$15-AB1566))),-1E+030)</f>
        <v>-4.98529469840913</v>
      </c>
      <c r="AE1566" s="55" t="n">
        <f aca="false">IF(AC1566,IF(01_因子設定!$B$13="最大化",X1566,IF(01_因子設定!$B$13="最小化",-X1566,-ABS(X1566-01_因子設定!$B$16))),-1E+030)</f>
        <v>42.9503198099415</v>
      </c>
      <c r="AF1566" s="55" t="n">
        <f aca="false">AD1566+ROW()*0.000000001</f>
        <v>-4.98529313240913</v>
      </c>
      <c r="AG1566" s="55" t="n">
        <f aca="false">AE1566+ROW()*0.000000001</f>
        <v>42.9503213759415</v>
      </c>
    </row>
    <row r="1567" customFormat="false" ht="15" hidden="false" customHeight="false" outlineLevel="0" collapsed="false">
      <c r="A1567" s="0" t="n">
        <v>2</v>
      </c>
      <c r="B1567" s="0" t="n">
        <v>1</v>
      </c>
      <c r="C1567" s="0" t="n">
        <v>2</v>
      </c>
      <c r="D1567" s="0" t="n">
        <v>5</v>
      </c>
      <c r="E1567" s="0" t="n">
        <f aca="false">-1+A1567*0.25</f>
        <v>-0.5</v>
      </c>
      <c r="F1567" s="0" t="n">
        <f aca="false">-1+B1567*0.25</f>
        <v>-0.75</v>
      </c>
      <c r="G1567" s="0" t="n">
        <f aca="false">-1+C1567*0.25</f>
        <v>-0.5</v>
      </c>
      <c r="H1567" s="0" t="n">
        <f aca="false">-1+D1567*0.25</f>
        <v>0.25</v>
      </c>
      <c r="I1567" s="0" t="n">
        <f aca="false">1</f>
        <v>1</v>
      </c>
      <c r="J1567" s="0" t="n">
        <f aca="false">E1567</f>
        <v>-0.5</v>
      </c>
      <c r="K1567" s="0" t="n">
        <f aca="false">F1567</f>
        <v>-0.75</v>
      </c>
      <c r="L1567" s="0" t="n">
        <f aca="false">G1567</f>
        <v>-0.5</v>
      </c>
      <c r="M1567" s="0" t="n">
        <f aca="false">H1567</f>
        <v>0.25</v>
      </c>
      <c r="N1567" s="0" t="n">
        <f aca="false">E1567*F1567</f>
        <v>0.375</v>
      </c>
      <c r="O1567" s="0" t="n">
        <f aca="false">E1567*G1567</f>
        <v>0.25</v>
      </c>
      <c r="P1567" s="0" t="n">
        <f aca="false">E1567*H1567</f>
        <v>-0.125</v>
      </c>
      <c r="Q1567" s="0" t="n">
        <f aca="false">F1567*G1567</f>
        <v>0.375</v>
      </c>
      <c r="R1567" s="0" t="n">
        <f aca="false">F1567*H1567</f>
        <v>-0.1875</v>
      </c>
      <c r="S1567" s="0" t="n">
        <f aca="false">G1567*H1567</f>
        <v>-0.125</v>
      </c>
      <c r="T1567" s="0" t="n">
        <f aca="false">E1567*E1567</f>
        <v>0.25</v>
      </c>
      <c r="U1567" s="0" t="n">
        <f aca="false">F1567*F1567</f>
        <v>0.5625</v>
      </c>
      <c r="V1567" s="0" t="n">
        <f aca="false">G1567*G1567</f>
        <v>0.25</v>
      </c>
      <c r="W1567" s="0" t="n">
        <f aca="false">H1567*H1567</f>
        <v>0.0625</v>
      </c>
      <c r="X1567" s="0" t="n">
        <f aca="false">SUMPRODUCT(I1567:W1567,_XtX!$B$96:$P$96)</f>
        <v>43.0160864400584</v>
      </c>
      <c r="Y1567" s="0" t="n">
        <f aca="false">SUMPRODUCT(MMULT(I1567:W1567,_XtX!$B$78:$P$92),I1567:W1567)</f>
        <v>0.203746059484649</v>
      </c>
      <c r="Z1567" s="0" t="n">
        <f aca="false">04_回帰ANOVA!$K$19*04_回帰ANOVA!$K$14*SQRT(1+Y1567)</f>
        <v>1.43009810755465</v>
      </c>
      <c r="AA1567" s="0" t="n">
        <f aca="false">X1567-Z1567</f>
        <v>41.5859883325038</v>
      </c>
      <c r="AB1567" s="0" t="n">
        <f aca="false">X1567+Z1567</f>
        <v>44.4461845476131</v>
      </c>
      <c r="AC1567" s="54" t="b">
        <f aca="false">AND(E1567&gt;=01_因子設定!$L$5-0.000000001,E1567&lt;=01_因子設定!$M$5+0.000000001,F1567&gt;=01_因子設定!$L$6-0.000000001,F1567&lt;=01_因子設定!$M$6+0.000000001,G1567&gt;=01_因子設定!$L$7-0.000000001,G1567&lt;=01_因子設定!$M$7+0.000000001,H1567&gt;=01_因子設定!$L$8-0.000000001,H1567&lt;=01_因子設定!$M$8+0.000000001,IF(01_因子設定!$B$20="Box-Behnken",E1567^2+F1567^2+G1567^2+H1567^2&lt;=2+0.000000001,TRUE()))</f>
        <v>1</v>
      </c>
      <c r="AD1567" s="55" t="n">
        <f aca="false">IF(AC1567,IF(01_因子設定!$B$13="最大化",AA1567-01_因子設定!$B$14,IF(01_因子設定!$B$13="最小化",01_因子設定!$B$15-AB1567,MIN(AA1567-01_因子設定!$B$14,01_因子設定!$B$15-AB1567))),-1E+030)</f>
        <v>-4.91401166749621</v>
      </c>
      <c r="AE1567" s="55" t="n">
        <f aca="false">IF(AC1567,IF(01_因子設定!$B$13="最大化",X1567,IF(01_因子設定!$B$13="最小化",-X1567,-ABS(X1567-01_因子設定!$B$16))),-1E+030)</f>
        <v>43.0160864400584</v>
      </c>
      <c r="AF1567" s="55" t="n">
        <f aca="false">AD1567+ROW()*0.000000001</f>
        <v>-4.91401010049621</v>
      </c>
      <c r="AG1567" s="55" t="n">
        <f aca="false">AE1567+ROW()*0.000000001</f>
        <v>43.0160880070584</v>
      </c>
    </row>
    <row r="1568" customFormat="false" ht="15" hidden="false" customHeight="false" outlineLevel="0" collapsed="false">
      <c r="A1568" s="0" t="n">
        <v>2</v>
      </c>
      <c r="B1568" s="0" t="n">
        <v>1</v>
      </c>
      <c r="C1568" s="0" t="n">
        <v>2</v>
      </c>
      <c r="D1568" s="0" t="n">
        <v>6</v>
      </c>
      <c r="E1568" s="0" t="n">
        <f aca="false">-1+A1568*0.25</f>
        <v>-0.5</v>
      </c>
      <c r="F1568" s="0" t="n">
        <f aca="false">-1+B1568*0.25</f>
        <v>-0.75</v>
      </c>
      <c r="G1568" s="0" t="n">
        <f aca="false">-1+C1568*0.25</f>
        <v>-0.5</v>
      </c>
      <c r="H1568" s="0" t="n">
        <f aca="false">-1+D1568*0.25</f>
        <v>0.5</v>
      </c>
      <c r="I1568" s="0" t="n">
        <f aca="false">1</f>
        <v>1</v>
      </c>
      <c r="J1568" s="0" t="n">
        <f aca="false">E1568</f>
        <v>-0.5</v>
      </c>
      <c r="K1568" s="0" t="n">
        <f aca="false">F1568</f>
        <v>-0.75</v>
      </c>
      <c r="L1568" s="0" t="n">
        <f aca="false">G1568</f>
        <v>-0.5</v>
      </c>
      <c r="M1568" s="0" t="n">
        <f aca="false">H1568</f>
        <v>0.5</v>
      </c>
      <c r="N1568" s="0" t="n">
        <f aca="false">E1568*F1568</f>
        <v>0.375</v>
      </c>
      <c r="O1568" s="0" t="n">
        <f aca="false">E1568*G1568</f>
        <v>0.25</v>
      </c>
      <c r="P1568" s="0" t="n">
        <f aca="false">E1568*H1568</f>
        <v>-0.25</v>
      </c>
      <c r="Q1568" s="0" t="n">
        <f aca="false">F1568*G1568</f>
        <v>0.375</v>
      </c>
      <c r="R1568" s="0" t="n">
        <f aca="false">F1568*H1568</f>
        <v>-0.375</v>
      </c>
      <c r="S1568" s="0" t="n">
        <f aca="false">G1568*H1568</f>
        <v>-0.25</v>
      </c>
      <c r="T1568" s="0" t="n">
        <f aca="false">E1568*E1568</f>
        <v>0.25</v>
      </c>
      <c r="U1568" s="0" t="n">
        <f aca="false">F1568*F1568</f>
        <v>0.5625</v>
      </c>
      <c r="V1568" s="0" t="n">
        <f aca="false">G1568*G1568</f>
        <v>0.25</v>
      </c>
      <c r="W1568" s="0" t="n">
        <f aca="false">H1568*H1568</f>
        <v>0.25</v>
      </c>
      <c r="X1568" s="0" t="n">
        <f aca="false">SUMPRODUCT(I1568:W1568,_XtX!$B$96:$P$96)</f>
        <v>43.0340460526315</v>
      </c>
      <c r="Y1568" s="0" t="n">
        <f aca="false">SUMPRODUCT(MMULT(I1568:W1568,_XtX!$B$78:$P$92),I1568:W1568)</f>
        <v>0.193924753289474</v>
      </c>
      <c r="Z1568" s="0" t="n">
        <f aca="false">04_回帰ANOVA!$K$19*04_回帰ANOVA!$K$14*SQRT(1+Y1568)</f>
        <v>1.4242521079916</v>
      </c>
      <c r="AA1568" s="0" t="n">
        <f aca="false">X1568-Z1568</f>
        <v>41.60979394464</v>
      </c>
      <c r="AB1568" s="0" t="n">
        <f aca="false">X1568+Z1568</f>
        <v>44.4582981606231</v>
      </c>
      <c r="AC1568" s="54" t="b">
        <f aca="false">AND(E1568&gt;=01_因子設定!$L$5-0.000000001,E1568&lt;=01_因子設定!$M$5+0.000000001,F1568&gt;=01_因子設定!$L$6-0.000000001,F1568&lt;=01_因子設定!$M$6+0.000000001,G1568&gt;=01_因子設定!$L$7-0.000000001,G1568&lt;=01_因子設定!$M$7+0.000000001,H1568&gt;=01_因子設定!$L$8-0.000000001,H1568&lt;=01_因子設定!$M$8+0.000000001,IF(01_因子設定!$B$20="Box-Behnken",E1568^2+F1568^2+G1568^2+H1568^2&lt;=2+0.000000001,TRUE()))</f>
        <v>1</v>
      </c>
      <c r="AD1568" s="55" t="n">
        <f aca="false">IF(AC1568,IF(01_因子設定!$B$13="最大化",AA1568-01_因子設定!$B$14,IF(01_因子設定!$B$13="最小化",01_因子設定!$B$15-AB1568,MIN(AA1568-01_因子設定!$B$14,01_因子設定!$B$15-AB1568))),-1E+030)</f>
        <v>-4.89020605536005</v>
      </c>
      <c r="AE1568" s="55" t="n">
        <f aca="false">IF(AC1568,IF(01_因子設定!$B$13="最大化",X1568,IF(01_因子設定!$B$13="最小化",-X1568,-ABS(X1568-01_因子設定!$B$16))),-1E+030)</f>
        <v>43.0340460526315</v>
      </c>
      <c r="AF1568" s="55" t="n">
        <f aca="false">AD1568+ROW()*0.000000001</f>
        <v>-4.89020448736005</v>
      </c>
      <c r="AG1568" s="55" t="n">
        <f aca="false">AE1568+ROW()*0.000000001</f>
        <v>43.0340476206316</v>
      </c>
    </row>
    <row r="1569" customFormat="false" ht="15" hidden="false" customHeight="false" outlineLevel="0" collapsed="false">
      <c r="A1569" s="0" t="n">
        <v>2</v>
      </c>
      <c r="B1569" s="0" t="n">
        <v>1</v>
      </c>
      <c r="C1569" s="0" t="n">
        <v>2</v>
      </c>
      <c r="D1569" s="0" t="n">
        <v>7</v>
      </c>
      <c r="E1569" s="0" t="n">
        <f aca="false">-1+A1569*0.25</f>
        <v>-0.5</v>
      </c>
      <c r="F1569" s="0" t="n">
        <f aca="false">-1+B1569*0.25</f>
        <v>-0.75</v>
      </c>
      <c r="G1569" s="0" t="n">
        <f aca="false">-1+C1569*0.25</f>
        <v>-0.5</v>
      </c>
      <c r="H1569" s="0" t="n">
        <f aca="false">-1+D1569*0.25</f>
        <v>0.75</v>
      </c>
      <c r="I1569" s="0" t="n">
        <f aca="false">1</f>
        <v>1</v>
      </c>
      <c r="J1569" s="0" t="n">
        <f aca="false">E1569</f>
        <v>-0.5</v>
      </c>
      <c r="K1569" s="0" t="n">
        <f aca="false">F1569</f>
        <v>-0.75</v>
      </c>
      <c r="L1569" s="0" t="n">
        <f aca="false">G1569</f>
        <v>-0.5</v>
      </c>
      <c r="M1569" s="0" t="n">
        <f aca="false">H1569</f>
        <v>0.75</v>
      </c>
      <c r="N1569" s="0" t="n">
        <f aca="false">E1569*F1569</f>
        <v>0.375</v>
      </c>
      <c r="O1569" s="0" t="n">
        <f aca="false">E1569*G1569</f>
        <v>0.25</v>
      </c>
      <c r="P1569" s="0" t="n">
        <f aca="false">E1569*H1569</f>
        <v>-0.375</v>
      </c>
      <c r="Q1569" s="0" t="n">
        <f aca="false">F1569*G1569</f>
        <v>0.375</v>
      </c>
      <c r="R1569" s="0" t="n">
        <f aca="false">F1569*H1569</f>
        <v>-0.5625</v>
      </c>
      <c r="S1569" s="0" t="n">
        <f aca="false">G1569*H1569</f>
        <v>-0.375</v>
      </c>
      <c r="T1569" s="0" t="n">
        <f aca="false">E1569*E1569</f>
        <v>0.25</v>
      </c>
      <c r="U1569" s="0" t="n">
        <f aca="false">F1569*F1569</f>
        <v>0.5625</v>
      </c>
      <c r="V1569" s="0" t="n">
        <f aca="false">G1569*G1569</f>
        <v>0.25</v>
      </c>
      <c r="W1569" s="0" t="n">
        <f aca="false">H1569*H1569</f>
        <v>0.5625</v>
      </c>
      <c r="X1569" s="0" t="n">
        <f aca="false">SUMPRODUCT(I1569:W1569,_XtX!$B$96:$P$96)</f>
        <v>43.0041986476608</v>
      </c>
      <c r="Y1569" s="0" t="n">
        <f aca="false">SUMPRODUCT(MMULT(I1569:W1569,_XtX!$B$78:$P$92),I1569:W1569)</f>
        <v>0.237862927174708</v>
      </c>
      <c r="Z1569" s="0" t="n">
        <f aca="false">04_回帰ANOVA!$K$19*04_回帰ANOVA!$K$14*SQRT(1+Y1569)</f>
        <v>1.45022260708756</v>
      </c>
      <c r="AA1569" s="0" t="n">
        <f aca="false">X1569-Z1569</f>
        <v>41.5539760405732</v>
      </c>
      <c r="AB1569" s="0" t="n">
        <f aca="false">X1569+Z1569</f>
        <v>44.4544212547484</v>
      </c>
      <c r="AC1569" s="54" t="b">
        <f aca="false">AND(E1569&gt;=01_因子設定!$L$5-0.000000001,E1569&lt;=01_因子設定!$M$5+0.000000001,F1569&gt;=01_因子設定!$L$6-0.000000001,F1569&lt;=01_因子設定!$M$6+0.000000001,G1569&gt;=01_因子設定!$L$7-0.000000001,G1569&lt;=01_因子設定!$M$7+0.000000001,H1569&gt;=01_因子設定!$L$8-0.000000001,H1569&lt;=01_因子設定!$M$8+0.000000001,IF(01_因子設定!$B$20="Box-Behnken",E1569^2+F1569^2+G1569^2+H1569^2&lt;=2+0.000000001,TRUE()))</f>
        <v>1</v>
      </c>
      <c r="AD1569" s="55" t="n">
        <f aca="false">IF(AC1569,IF(01_因子設定!$B$13="最大化",AA1569-01_因子設定!$B$14,IF(01_因子設定!$B$13="最小化",01_因子設定!$B$15-AB1569,MIN(AA1569-01_因子設定!$B$14,01_因子設定!$B$15-AB1569))),-1E+030)</f>
        <v>-4.94602395942676</v>
      </c>
      <c r="AE1569" s="55" t="n">
        <f aca="false">IF(AC1569,IF(01_因子設定!$B$13="最大化",X1569,IF(01_因子設定!$B$13="最小化",-X1569,-ABS(X1569-01_因子設定!$B$16))),-1E+030)</f>
        <v>43.0041986476608</v>
      </c>
      <c r="AF1569" s="55" t="n">
        <f aca="false">AD1569+ROW()*0.000000001</f>
        <v>-4.94602239042676</v>
      </c>
      <c r="AG1569" s="55" t="n">
        <f aca="false">AE1569+ROW()*0.000000001</f>
        <v>43.0042002166608</v>
      </c>
    </row>
    <row r="1570" customFormat="false" ht="15" hidden="false" customHeight="false" outlineLevel="0" collapsed="false">
      <c r="A1570" s="0" t="n">
        <v>2</v>
      </c>
      <c r="B1570" s="0" t="n">
        <v>1</v>
      </c>
      <c r="C1570" s="0" t="n">
        <v>2</v>
      </c>
      <c r="D1570" s="0" t="n">
        <v>8</v>
      </c>
      <c r="E1570" s="0" t="n">
        <f aca="false">-1+A1570*0.25</f>
        <v>-0.5</v>
      </c>
      <c r="F1570" s="0" t="n">
        <f aca="false">-1+B1570*0.25</f>
        <v>-0.75</v>
      </c>
      <c r="G1570" s="0" t="n">
        <f aca="false">-1+C1570*0.25</f>
        <v>-0.5</v>
      </c>
      <c r="H1570" s="0" t="n">
        <f aca="false">-1+D1570*0.25</f>
        <v>1</v>
      </c>
      <c r="I1570" s="0" t="n">
        <f aca="false">1</f>
        <v>1</v>
      </c>
      <c r="J1570" s="0" t="n">
        <f aca="false">E1570</f>
        <v>-0.5</v>
      </c>
      <c r="K1570" s="0" t="n">
        <f aca="false">F1570</f>
        <v>-0.75</v>
      </c>
      <c r="L1570" s="0" t="n">
        <f aca="false">G1570</f>
        <v>-0.5</v>
      </c>
      <c r="M1570" s="0" t="n">
        <f aca="false">H1570</f>
        <v>1</v>
      </c>
      <c r="N1570" s="0" t="n">
        <f aca="false">E1570*F1570</f>
        <v>0.375</v>
      </c>
      <c r="O1570" s="0" t="n">
        <f aca="false">E1570*G1570</f>
        <v>0.25</v>
      </c>
      <c r="P1570" s="0" t="n">
        <f aca="false">E1570*H1570</f>
        <v>-0.5</v>
      </c>
      <c r="Q1570" s="0" t="n">
        <f aca="false">F1570*G1570</f>
        <v>0.375</v>
      </c>
      <c r="R1570" s="0" t="n">
        <f aca="false">F1570*H1570</f>
        <v>-0.75</v>
      </c>
      <c r="S1570" s="0" t="n">
        <f aca="false">G1570*H1570</f>
        <v>-0.5</v>
      </c>
      <c r="T1570" s="0" t="n">
        <f aca="false">E1570*E1570</f>
        <v>0.25</v>
      </c>
      <c r="U1570" s="0" t="n">
        <f aca="false">F1570*F1570</f>
        <v>0.5625</v>
      </c>
      <c r="V1570" s="0" t="n">
        <f aca="false">G1570*G1570</f>
        <v>0.25</v>
      </c>
      <c r="W1570" s="0" t="n">
        <f aca="false">H1570*H1570</f>
        <v>1</v>
      </c>
      <c r="X1570" s="0" t="n">
        <f aca="false">SUMPRODUCT(I1570:W1570,_XtX!$B$96:$P$96)</f>
        <v>42.9265442251462</v>
      </c>
      <c r="Y1570" s="0" t="n">
        <f aca="false">SUMPRODUCT(MMULT(I1570:W1570,_XtX!$B$78:$P$92),I1570:W1570)</f>
        <v>0.42602110745614</v>
      </c>
      <c r="Z1570" s="0" t="n">
        <f aca="false">04_回帰ANOVA!$K$19*04_回帰ANOVA!$K$14*SQRT(1+Y1570)</f>
        <v>1.55654388501114</v>
      </c>
      <c r="AA1570" s="0" t="n">
        <f aca="false">X1570-Z1570</f>
        <v>41.3700003401351</v>
      </c>
      <c r="AB1570" s="0" t="n">
        <f aca="false">X1570+Z1570</f>
        <v>44.4830881101573</v>
      </c>
      <c r="AC1570" s="54" t="b">
        <f aca="false">AND(E1570&gt;=01_因子設定!$L$5-0.000000001,E1570&lt;=01_因子設定!$M$5+0.000000001,F1570&gt;=01_因子設定!$L$6-0.000000001,F1570&lt;=01_因子設定!$M$6+0.000000001,G1570&gt;=01_因子設定!$L$7-0.000000001,G1570&lt;=01_因子設定!$M$7+0.000000001,H1570&gt;=01_因子設定!$L$8-0.000000001,H1570&lt;=01_因子設定!$M$8+0.000000001,IF(01_因子設定!$B$20="Box-Behnken",E1570^2+F1570^2+G1570^2+H1570^2&lt;=2+0.000000001,TRUE()))</f>
        <v>1</v>
      </c>
      <c r="AD1570" s="55" t="n">
        <f aca="false">IF(AC1570,IF(01_因子設定!$B$13="最大化",AA1570-01_因子設定!$B$14,IF(01_因子設定!$B$13="最小化",01_因子設定!$B$15-AB1570,MIN(AA1570-01_因子設定!$B$14,01_因子設定!$B$15-AB1570))),-1E+030)</f>
        <v>-5.12999965986494</v>
      </c>
      <c r="AE1570" s="55" t="n">
        <f aca="false">IF(AC1570,IF(01_因子設定!$B$13="最大化",X1570,IF(01_因子設定!$B$13="最小化",-X1570,-ABS(X1570-01_因子設定!$B$16))),-1E+030)</f>
        <v>42.9265442251462</v>
      </c>
      <c r="AF1570" s="55" t="n">
        <f aca="false">AD1570+ROW()*0.000000001</f>
        <v>-5.12999808986494</v>
      </c>
      <c r="AG1570" s="55" t="n">
        <f aca="false">AE1570+ROW()*0.000000001</f>
        <v>42.9265457951462</v>
      </c>
    </row>
    <row r="1571" customFormat="false" ht="15" hidden="false" customHeight="false" outlineLevel="0" collapsed="false">
      <c r="A1571" s="0" t="n">
        <v>2</v>
      </c>
      <c r="B1571" s="0" t="n">
        <v>1</v>
      </c>
      <c r="C1571" s="0" t="n">
        <v>3</v>
      </c>
      <c r="D1571" s="0" t="n">
        <v>0</v>
      </c>
      <c r="E1571" s="0" t="n">
        <f aca="false">-1+A1571*0.25</f>
        <v>-0.5</v>
      </c>
      <c r="F1571" s="0" t="n">
        <f aca="false">-1+B1571*0.25</f>
        <v>-0.75</v>
      </c>
      <c r="G1571" s="0" t="n">
        <f aca="false">-1+C1571*0.25</f>
        <v>-0.25</v>
      </c>
      <c r="H1571" s="0" t="n">
        <f aca="false">-1+D1571*0.25</f>
        <v>-1</v>
      </c>
      <c r="I1571" s="0" t="n">
        <f aca="false">1</f>
        <v>1</v>
      </c>
      <c r="J1571" s="0" t="n">
        <f aca="false">E1571</f>
        <v>-0.5</v>
      </c>
      <c r="K1571" s="0" t="n">
        <f aca="false">F1571</f>
        <v>-0.75</v>
      </c>
      <c r="L1571" s="0" t="n">
        <f aca="false">G1571</f>
        <v>-0.25</v>
      </c>
      <c r="M1571" s="0" t="n">
        <f aca="false">H1571</f>
        <v>-1</v>
      </c>
      <c r="N1571" s="0" t="n">
        <f aca="false">E1571*F1571</f>
        <v>0.375</v>
      </c>
      <c r="O1571" s="0" t="n">
        <f aca="false">E1571*G1571</f>
        <v>0.125</v>
      </c>
      <c r="P1571" s="0" t="n">
        <f aca="false">E1571*H1571</f>
        <v>0.5</v>
      </c>
      <c r="Q1571" s="0" t="n">
        <f aca="false">F1571*G1571</f>
        <v>0.1875</v>
      </c>
      <c r="R1571" s="0" t="n">
        <f aca="false">F1571*H1571</f>
        <v>0.75</v>
      </c>
      <c r="S1571" s="0" t="n">
        <f aca="false">G1571*H1571</f>
        <v>0.25</v>
      </c>
      <c r="T1571" s="0" t="n">
        <f aca="false">E1571*E1571</f>
        <v>0.25</v>
      </c>
      <c r="U1571" s="0" t="n">
        <f aca="false">F1571*F1571</f>
        <v>0.5625</v>
      </c>
      <c r="V1571" s="0" t="n">
        <f aca="false">G1571*G1571</f>
        <v>0.0625</v>
      </c>
      <c r="W1571" s="0" t="n">
        <f aca="false">H1571*H1571</f>
        <v>1</v>
      </c>
      <c r="X1571" s="0" t="n">
        <f aca="false">SUMPRODUCT(I1571:W1571,_XtX!$B$96:$P$96)</f>
        <v>42.5337582236842</v>
      </c>
      <c r="Y1571" s="0" t="n">
        <f aca="false">SUMPRODUCT(MMULT(I1571:W1571,_XtX!$B$78:$P$92),I1571:W1571)</f>
        <v>0.459125719572369</v>
      </c>
      <c r="Z1571" s="0" t="n">
        <f aca="false">04_回帰ANOVA!$K$19*04_回帰ANOVA!$K$14*SQRT(1+Y1571)</f>
        <v>1.57450755575573</v>
      </c>
      <c r="AA1571" s="0" t="n">
        <f aca="false">X1571-Z1571</f>
        <v>40.9592506679285</v>
      </c>
      <c r="AB1571" s="0" t="n">
        <f aca="false">X1571+Z1571</f>
        <v>44.1082657794399</v>
      </c>
      <c r="AC1571" s="54" t="b">
        <f aca="false">AND(E1571&gt;=01_因子設定!$L$5-0.000000001,E1571&lt;=01_因子設定!$M$5+0.000000001,F1571&gt;=01_因子設定!$L$6-0.000000001,F1571&lt;=01_因子設定!$M$6+0.000000001,G1571&gt;=01_因子設定!$L$7-0.000000001,G1571&lt;=01_因子設定!$M$7+0.000000001,H1571&gt;=01_因子設定!$L$8-0.000000001,H1571&lt;=01_因子設定!$M$8+0.000000001,IF(01_因子設定!$B$20="Box-Behnken",E1571^2+F1571^2+G1571^2+H1571^2&lt;=2+0.000000001,TRUE()))</f>
        <v>1</v>
      </c>
      <c r="AD1571" s="55" t="n">
        <f aca="false">IF(AC1571,IF(01_因子設定!$B$13="最大化",AA1571-01_因子設定!$B$14,IF(01_因子設定!$B$13="最小化",01_因子設定!$B$15-AB1571,MIN(AA1571-01_因子設定!$B$14,01_因子設定!$B$15-AB1571))),-1E+030)</f>
        <v>-5.54074933207153</v>
      </c>
      <c r="AE1571" s="55" t="n">
        <f aca="false">IF(AC1571,IF(01_因子設定!$B$13="最大化",X1571,IF(01_因子設定!$B$13="最小化",-X1571,-ABS(X1571-01_因子設定!$B$16))),-1E+030)</f>
        <v>42.5337582236842</v>
      </c>
      <c r="AF1571" s="55" t="n">
        <f aca="false">AD1571+ROW()*0.000000001</f>
        <v>-5.54074776107153</v>
      </c>
      <c r="AG1571" s="55" t="n">
        <f aca="false">AE1571+ROW()*0.000000001</f>
        <v>42.5337597946842</v>
      </c>
    </row>
    <row r="1572" customFormat="false" ht="15" hidden="false" customHeight="false" outlineLevel="0" collapsed="false">
      <c r="A1572" s="0" t="n">
        <v>2</v>
      </c>
      <c r="B1572" s="0" t="n">
        <v>1</v>
      </c>
      <c r="C1572" s="0" t="n">
        <v>3</v>
      </c>
      <c r="D1572" s="0" t="n">
        <v>1</v>
      </c>
      <c r="E1572" s="0" t="n">
        <f aca="false">-1+A1572*0.25</f>
        <v>-0.5</v>
      </c>
      <c r="F1572" s="0" t="n">
        <f aca="false">-1+B1572*0.25</f>
        <v>-0.75</v>
      </c>
      <c r="G1572" s="0" t="n">
        <f aca="false">-1+C1572*0.25</f>
        <v>-0.25</v>
      </c>
      <c r="H1572" s="0" t="n">
        <f aca="false">-1+D1572*0.25</f>
        <v>-0.75</v>
      </c>
      <c r="I1572" s="0" t="n">
        <f aca="false">1</f>
        <v>1</v>
      </c>
      <c r="J1572" s="0" t="n">
        <f aca="false">E1572</f>
        <v>-0.5</v>
      </c>
      <c r="K1572" s="0" t="n">
        <f aca="false">F1572</f>
        <v>-0.75</v>
      </c>
      <c r="L1572" s="0" t="n">
        <f aca="false">G1572</f>
        <v>-0.25</v>
      </c>
      <c r="M1572" s="0" t="n">
        <f aca="false">H1572</f>
        <v>-0.75</v>
      </c>
      <c r="N1572" s="0" t="n">
        <f aca="false">E1572*F1572</f>
        <v>0.375</v>
      </c>
      <c r="O1572" s="0" t="n">
        <f aca="false">E1572*G1572</f>
        <v>0.125</v>
      </c>
      <c r="P1572" s="0" t="n">
        <f aca="false">E1572*H1572</f>
        <v>0.375</v>
      </c>
      <c r="Q1572" s="0" t="n">
        <f aca="false">F1572*G1572</f>
        <v>0.1875</v>
      </c>
      <c r="R1572" s="0" t="n">
        <f aca="false">F1572*H1572</f>
        <v>0.5625</v>
      </c>
      <c r="S1572" s="0" t="n">
        <f aca="false">G1572*H1572</f>
        <v>0.1875</v>
      </c>
      <c r="T1572" s="0" t="n">
        <f aca="false">E1572*E1572</f>
        <v>0.25</v>
      </c>
      <c r="U1572" s="0" t="n">
        <f aca="false">F1572*F1572</f>
        <v>0.5625</v>
      </c>
      <c r="V1572" s="0" t="n">
        <f aca="false">G1572*G1572</f>
        <v>0.0625</v>
      </c>
      <c r="W1572" s="0" t="n">
        <f aca="false">H1572*H1572</f>
        <v>0.5625</v>
      </c>
      <c r="X1572" s="0" t="n">
        <f aca="false">SUMPRODUCT(I1572:W1572,_XtX!$B$96:$P$96)</f>
        <v>42.8087216739766</v>
      </c>
      <c r="Y1572" s="0" t="n">
        <f aca="false">SUMPRODUCT(MMULT(I1572:W1572,_XtX!$B$78:$P$92),I1572:W1572)</f>
        <v>0.257385610836988</v>
      </c>
      <c r="Z1572" s="0" t="n">
        <f aca="false">04_回帰ANOVA!$K$19*04_回帰ANOVA!$K$14*SQRT(1+Y1572)</f>
        <v>1.46161380324158</v>
      </c>
      <c r="AA1572" s="0" t="n">
        <f aca="false">X1572-Z1572</f>
        <v>41.347107870735</v>
      </c>
      <c r="AB1572" s="0" t="n">
        <f aca="false">X1572+Z1572</f>
        <v>44.2703354772182</v>
      </c>
      <c r="AC1572" s="54" t="b">
        <f aca="false">AND(E1572&gt;=01_因子設定!$L$5-0.000000001,E1572&lt;=01_因子設定!$M$5+0.000000001,F1572&gt;=01_因子設定!$L$6-0.000000001,F1572&lt;=01_因子設定!$M$6+0.000000001,G1572&gt;=01_因子設定!$L$7-0.000000001,G1572&lt;=01_因子設定!$M$7+0.000000001,H1572&gt;=01_因子設定!$L$8-0.000000001,H1572&lt;=01_因子設定!$M$8+0.000000001,IF(01_因子設定!$B$20="Box-Behnken",E1572^2+F1572^2+G1572^2+H1572^2&lt;=2+0.000000001,TRUE()))</f>
        <v>1</v>
      </c>
      <c r="AD1572" s="55" t="n">
        <f aca="false">IF(AC1572,IF(01_因子設定!$B$13="最大化",AA1572-01_因子設定!$B$14,IF(01_因子設定!$B$13="最小化",01_因子設定!$B$15-AB1572,MIN(AA1572-01_因子設定!$B$14,01_因子設定!$B$15-AB1572))),-1E+030)</f>
        <v>-5.152892129265</v>
      </c>
      <c r="AE1572" s="55" t="n">
        <f aca="false">IF(AC1572,IF(01_因子設定!$B$13="最大化",X1572,IF(01_因子設定!$B$13="最小化",-X1572,-ABS(X1572-01_因子設定!$B$16))),-1E+030)</f>
        <v>42.8087216739766</v>
      </c>
      <c r="AF1572" s="55" t="n">
        <f aca="false">AD1572+ROW()*0.000000001</f>
        <v>-5.152890557265</v>
      </c>
      <c r="AG1572" s="55" t="n">
        <f aca="false">AE1572+ROW()*0.000000001</f>
        <v>42.8087232459766</v>
      </c>
    </row>
    <row r="1573" customFormat="false" ht="15" hidden="false" customHeight="false" outlineLevel="0" collapsed="false">
      <c r="A1573" s="0" t="n">
        <v>2</v>
      </c>
      <c r="B1573" s="0" t="n">
        <v>1</v>
      </c>
      <c r="C1573" s="0" t="n">
        <v>3</v>
      </c>
      <c r="D1573" s="0" t="n">
        <v>2</v>
      </c>
      <c r="E1573" s="0" t="n">
        <f aca="false">-1+A1573*0.25</f>
        <v>-0.5</v>
      </c>
      <c r="F1573" s="0" t="n">
        <f aca="false">-1+B1573*0.25</f>
        <v>-0.75</v>
      </c>
      <c r="G1573" s="0" t="n">
        <f aca="false">-1+C1573*0.25</f>
        <v>-0.25</v>
      </c>
      <c r="H1573" s="0" t="n">
        <f aca="false">-1+D1573*0.25</f>
        <v>-0.5</v>
      </c>
      <c r="I1573" s="0" t="n">
        <f aca="false">1</f>
        <v>1</v>
      </c>
      <c r="J1573" s="0" t="n">
        <f aca="false">E1573</f>
        <v>-0.5</v>
      </c>
      <c r="K1573" s="0" t="n">
        <f aca="false">F1573</f>
        <v>-0.75</v>
      </c>
      <c r="L1573" s="0" t="n">
        <f aca="false">G1573</f>
        <v>-0.25</v>
      </c>
      <c r="M1573" s="0" t="n">
        <f aca="false">H1573</f>
        <v>-0.5</v>
      </c>
      <c r="N1573" s="0" t="n">
        <f aca="false">E1573*F1573</f>
        <v>0.375</v>
      </c>
      <c r="O1573" s="0" t="n">
        <f aca="false">E1573*G1573</f>
        <v>0.125</v>
      </c>
      <c r="P1573" s="0" t="n">
        <f aca="false">E1573*H1573</f>
        <v>0.25</v>
      </c>
      <c r="Q1573" s="0" t="n">
        <f aca="false">F1573*G1573</f>
        <v>0.1875</v>
      </c>
      <c r="R1573" s="0" t="n">
        <f aca="false">F1573*H1573</f>
        <v>0.375</v>
      </c>
      <c r="S1573" s="0" t="n">
        <f aca="false">G1573*H1573</f>
        <v>0.125</v>
      </c>
      <c r="T1573" s="0" t="n">
        <f aca="false">E1573*E1573</f>
        <v>0.25</v>
      </c>
      <c r="U1573" s="0" t="n">
        <f aca="false">F1573*F1573</f>
        <v>0.5625</v>
      </c>
      <c r="V1573" s="0" t="n">
        <f aca="false">G1573*G1573</f>
        <v>0.0625</v>
      </c>
      <c r="W1573" s="0" t="n">
        <f aca="false">H1573*H1573</f>
        <v>0.25</v>
      </c>
      <c r="X1573" s="0" t="n">
        <f aca="false">SUMPRODUCT(I1573:W1573,_XtX!$B$96:$P$96)</f>
        <v>43.0358781067251</v>
      </c>
      <c r="Y1573" s="0" t="n">
        <f aca="false">SUMPRODUCT(MMULT(I1573:W1573,_XtX!$B$78:$P$92),I1573:W1573)</f>
        <v>0.203746059484649</v>
      </c>
      <c r="Z1573" s="0" t="n">
        <f aca="false">04_回帰ANOVA!$K$19*04_回帰ANOVA!$K$14*SQRT(1+Y1573)</f>
        <v>1.43009810755465</v>
      </c>
      <c r="AA1573" s="0" t="n">
        <f aca="false">X1573-Z1573</f>
        <v>41.6057799991705</v>
      </c>
      <c r="AB1573" s="0" t="n">
        <f aca="false">X1573+Z1573</f>
        <v>44.4659762142798</v>
      </c>
      <c r="AC1573" s="54" t="b">
        <f aca="false">AND(E1573&gt;=01_因子設定!$L$5-0.000000001,E1573&lt;=01_因子設定!$M$5+0.000000001,F1573&gt;=01_因子設定!$L$6-0.000000001,F1573&lt;=01_因子設定!$M$6+0.000000001,G1573&gt;=01_因子設定!$L$7-0.000000001,G1573&lt;=01_因子設定!$M$7+0.000000001,H1573&gt;=01_因子設定!$L$8-0.000000001,H1573&lt;=01_因子設定!$M$8+0.000000001,IF(01_因子設定!$B$20="Box-Behnken",E1573^2+F1573^2+G1573^2+H1573^2&lt;=2+0.000000001,TRUE()))</f>
        <v>1</v>
      </c>
      <c r="AD1573" s="55" t="n">
        <f aca="false">IF(AC1573,IF(01_因子設定!$B$13="最大化",AA1573-01_因子設定!$B$14,IF(01_因子設定!$B$13="最小化",01_因子設定!$B$15-AB1573,MIN(AA1573-01_因子設定!$B$14,01_因子設定!$B$15-AB1573))),-1E+030)</f>
        <v>-4.89422000082953</v>
      </c>
      <c r="AE1573" s="55" t="n">
        <f aca="false">IF(AC1573,IF(01_因子設定!$B$13="最大化",X1573,IF(01_因子設定!$B$13="最小化",-X1573,-ABS(X1573-01_因子設定!$B$16))),-1E+030)</f>
        <v>43.0358781067251</v>
      </c>
      <c r="AF1573" s="55" t="n">
        <f aca="false">AD1573+ROW()*0.000000001</f>
        <v>-4.89421842782954</v>
      </c>
      <c r="AG1573" s="55" t="n">
        <f aca="false">AE1573+ROW()*0.000000001</f>
        <v>43.0358796797251</v>
      </c>
    </row>
    <row r="1574" customFormat="false" ht="15" hidden="false" customHeight="false" outlineLevel="0" collapsed="false">
      <c r="A1574" s="0" t="n">
        <v>2</v>
      </c>
      <c r="B1574" s="0" t="n">
        <v>1</v>
      </c>
      <c r="C1574" s="0" t="n">
        <v>3</v>
      </c>
      <c r="D1574" s="0" t="n">
        <v>3</v>
      </c>
      <c r="E1574" s="0" t="n">
        <f aca="false">-1+A1574*0.25</f>
        <v>-0.5</v>
      </c>
      <c r="F1574" s="0" t="n">
        <f aca="false">-1+B1574*0.25</f>
        <v>-0.75</v>
      </c>
      <c r="G1574" s="0" t="n">
        <f aca="false">-1+C1574*0.25</f>
        <v>-0.25</v>
      </c>
      <c r="H1574" s="0" t="n">
        <f aca="false">-1+D1574*0.25</f>
        <v>-0.25</v>
      </c>
      <c r="I1574" s="0" t="n">
        <f aca="false">1</f>
        <v>1</v>
      </c>
      <c r="J1574" s="0" t="n">
        <f aca="false">E1574</f>
        <v>-0.5</v>
      </c>
      <c r="K1574" s="0" t="n">
        <f aca="false">F1574</f>
        <v>-0.75</v>
      </c>
      <c r="L1574" s="0" t="n">
        <f aca="false">G1574</f>
        <v>-0.25</v>
      </c>
      <c r="M1574" s="0" t="n">
        <f aca="false">H1574</f>
        <v>-0.25</v>
      </c>
      <c r="N1574" s="0" t="n">
        <f aca="false">E1574*F1574</f>
        <v>0.375</v>
      </c>
      <c r="O1574" s="0" t="n">
        <f aca="false">E1574*G1574</f>
        <v>0.125</v>
      </c>
      <c r="P1574" s="0" t="n">
        <f aca="false">E1574*H1574</f>
        <v>0.125</v>
      </c>
      <c r="Q1574" s="0" t="n">
        <f aca="false">F1574*G1574</f>
        <v>0.1875</v>
      </c>
      <c r="R1574" s="0" t="n">
        <f aca="false">F1574*H1574</f>
        <v>0.1875</v>
      </c>
      <c r="S1574" s="0" t="n">
        <f aca="false">G1574*H1574</f>
        <v>0.0625</v>
      </c>
      <c r="T1574" s="0" t="n">
        <f aca="false">E1574*E1574</f>
        <v>0.25</v>
      </c>
      <c r="U1574" s="0" t="n">
        <f aca="false">F1574*F1574</f>
        <v>0.5625</v>
      </c>
      <c r="V1574" s="0" t="n">
        <f aca="false">G1574*G1574</f>
        <v>0.0625</v>
      </c>
      <c r="W1574" s="0" t="n">
        <f aca="false">H1574*H1574</f>
        <v>0.0625</v>
      </c>
      <c r="X1574" s="0" t="n">
        <f aca="false">SUMPRODUCT(I1574:W1574,_XtX!$B$96:$P$96)</f>
        <v>43.2152275219298</v>
      </c>
      <c r="Y1574" s="0" t="n">
        <f aca="false">SUMPRODUCT(MMULT(I1574:W1574,_XtX!$B$78:$P$92),I1574:W1574)</f>
        <v>0.207746539199561</v>
      </c>
      <c r="Z1574" s="0" t="n">
        <f aca="false">04_回帰ANOVA!$K$19*04_回帰ANOVA!$K$14*SQRT(1+Y1574)</f>
        <v>1.43247250081141</v>
      </c>
      <c r="AA1574" s="0" t="n">
        <f aca="false">X1574-Z1574</f>
        <v>41.7827550211184</v>
      </c>
      <c r="AB1574" s="0" t="n">
        <f aca="false">X1574+Z1574</f>
        <v>44.6477000227412</v>
      </c>
      <c r="AC1574" s="54" t="b">
        <f aca="false">AND(E1574&gt;=01_因子設定!$L$5-0.000000001,E1574&lt;=01_因子設定!$M$5+0.000000001,F1574&gt;=01_因子設定!$L$6-0.000000001,F1574&lt;=01_因子設定!$M$6+0.000000001,G1574&gt;=01_因子設定!$L$7-0.000000001,G1574&lt;=01_因子設定!$M$7+0.000000001,H1574&gt;=01_因子設定!$L$8-0.000000001,H1574&lt;=01_因子設定!$M$8+0.000000001,IF(01_因子設定!$B$20="Box-Behnken",E1574^2+F1574^2+G1574^2+H1574^2&lt;=2+0.000000001,TRUE()))</f>
        <v>1</v>
      </c>
      <c r="AD1574" s="55" t="n">
        <f aca="false">IF(AC1574,IF(01_因子設定!$B$13="最大化",AA1574-01_因子設定!$B$14,IF(01_因子設定!$B$13="最小化",01_因子設定!$B$15-AB1574,MIN(AA1574-01_因子設定!$B$14,01_因子設定!$B$15-AB1574))),-1E+030)</f>
        <v>-4.71724497888162</v>
      </c>
      <c r="AE1574" s="55" t="n">
        <f aca="false">IF(AC1574,IF(01_因子設定!$B$13="最大化",X1574,IF(01_因子設定!$B$13="最小化",-X1574,-ABS(X1574-01_因子設定!$B$16))),-1E+030)</f>
        <v>43.2152275219298</v>
      </c>
      <c r="AF1574" s="55" t="n">
        <f aca="false">AD1574+ROW()*0.000000001</f>
        <v>-4.71724340488162</v>
      </c>
      <c r="AG1574" s="55" t="n">
        <f aca="false">AE1574+ROW()*0.000000001</f>
        <v>43.2152290959298</v>
      </c>
    </row>
    <row r="1575" customFormat="false" ht="15" hidden="false" customHeight="false" outlineLevel="0" collapsed="false">
      <c r="A1575" s="0" t="n">
        <v>2</v>
      </c>
      <c r="B1575" s="0" t="n">
        <v>1</v>
      </c>
      <c r="C1575" s="0" t="n">
        <v>3</v>
      </c>
      <c r="D1575" s="0" t="n">
        <v>4</v>
      </c>
      <c r="E1575" s="0" t="n">
        <f aca="false">-1+A1575*0.25</f>
        <v>-0.5</v>
      </c>
      <c r="F1575" s="0" t="n">
        <f aca="false">-1+B1575*0.25</f>
        <v>-0.75</v>
      </c>
      <c r="G1575" s="0" t="n">
        <f aca="false">-1+C1575*0.25</f>
        <v>-0.25</v>
      </c>
      <c r="H1575" s="0" t="n">
        <f aca="false">-1+D1575*0.25</f>
        <v>0</v>
      </c>
      <c r="I1575" s="0" t="n">
        <f aca="false">1</f>
        <v>1</v>
      </c>
      <c r="J1575" s="0" t="n">
        <f aca="false">E1575</f>
        <v>-0.5</v>
      </c>
      <c r="K1575" s="0" t="n">
        <f aca="false">F1575</f>
        <v>-0.75</v>
      </c>
      <c r="L1575" s="0" t="n">
        <f aca="false">G1575</f>
        <v>-0.25</v>
      </c>
      <c r="M1575" s="0" t="n">
        <f aca="false">H1575</f>
        <v>0</v>
      </c>
      <c r="N1575" s="0" t="n">
        <f aca="false">E1575*F1575</f>
        <v>0.375</v>
      </c>
      <c r="O1575" s="0" t="n">
        <f aca="false">E1575*G1575</f>
        <v>0.125</v>
      </c>
      <c r="P1575" s="0" t="n">
        <f aca="false">E1575*H1575</f>
        <v>-0</v>
      </c>
      <c r="Q1575" s="0" t="n">
        <f aca="false">F1575*G1575</f>
        <v>0.1875</v>
      </c>
      <c r="R1575" s="0" t="n">
        <f aca="false">F1575*H1575</f>
        <v>-0</v>
      </c>
      <c r="S1575" s="0" t="n">
        <f aca="false">G1575*H1575</f>
        <v>-0</v>
      </c>
      <c r="T1575" s="0" t="n">
        <f aca="false">E1575*E1575</f>
        <v>0.25</v>
      </c>
      <c r="U1575" s="0" t="n">
        <f aca="false">F1575*F1575</f>
        <v>0.5625</v>
      </c>
      <c r="V1575" s="0" t="n">
        <f aca="false">G1575*G1575</f>
        <v>0.0625</v>
      </c>
      <c r="W1575" s="0" t="n">
        <f aca="false">H1575*H1575</f>
        <v>0</v>
      </c>
      <c r="X1575" s="0" t="n">
        <f aca="false">SUMPRODUCT(I1575:W1575,_XtX!$B$96:$P$96)</f>
        <v>43.3467699195906</v>
      </c>
      <c r="Y1575" s="0" t="n">
        <f aca="false">SUMPRODUCT(MMULT(I1575:W1575,_XtX!$B$78:$P$92),I1575:W1575)</f>
        <v>0.215110734192252</v>
      </c>
      <c r="Z1575" s="0" t="n">
        <f aca="false">04_回帰ANOVA!$K$19*04_回帰ANOVA!$K$14*SQRT(1+Y1575)</f>
        <v>1.43683309086864</v>
      </c>
      <c r="AA1575" s="0" t="n">
        <f aca="false">X1575-Z1575</f>
        <v>41.909936828722</v>
      </c>
      <c r="AB1575" s="0" t="n">
        <f aca="false">X1575+Z1575</f>
        <v>44.7836030104592</v>
      </c>
      <c r="AC1575" s="54" t="b">
        <f aca="false">AND(E1575&gt;=01_因子設定!$L$5-0.000000001,E1575&lt;=01_因子設定!$M$5+0.000000001,F1575&gt;=01_因子設定!$L$6-0.000000001,F1575&lt;=01_因子設定!$M$6+0.000000001,G1575&gt;=01_因子設定!$L$7-0.000000001,G1575&lt;=01_因子設定!$M$7+0.000000001,H1575&gt;=01_因子設定!$L$8-0.000000001,H1575&lt;=01_因子設定!$M$8+0.000000001,IF(01_因子設定!$B$20="Box-Behnken",E1575^2+F1575^2+G1575^2+H1575^2&lt;=2+0.000000001,TRUE()))</f>
        <v>1</v>
      </c>
      <c r="AD1575" s="55" t="n">
        <f aca="false">IF(AC1575,IF(01_因子設定!$B$13="最大化",AA1575-01_因子設定!$B$14,IF(01_因子設定!$B$13="最小化",01_因子設定!$B$15-AB1575,MIN(AA1575-01_因子設定!$B$14,01_因子設定!$B$15-AB1575))),-1E+030)</f>
        <v>-4.59006317127805</v>
      </c>
      <c r="AE1575" s="55" t="n">
        <f aca="false">IF(AC1575,IF(01_因子設定!$B$13="最大化",X1575,IF(01_因子設定!$B$13="最小化",-X1575,-ABS(X1575-01_因子設定!$B$16))),-1E+030)</f>
        <v>43.3467699195906</v>
      </c>
      <c r="AF1575" s="55" t="n">
        <f aca="false">AD1575+ROW()*0.000000001</f>
        <v>-4.59006159627805</v>
      </c>
      <c r="AG1575" s="55" t="n">
        <f aca="false">AE1575+ROW()*0.000000001</f>
        <v>43.3467714945906</v>
      </c>
    </row>
    <row r="1576" customFormat="false" ht="15" hidden="false" customHeight="false" outlineLevel="0" collapsed="false">
      <c r="A1576" s="0" t="n">
        <v>2</v>
      </c>
      <c r="B1576" s="0" t="n">
        <v>1</v>
      </c>
      <c r="C1576" s="0" t="n">
        <v>3</v>
      </c>
      <c r="D1576" s="0" t="n">
        <v>5</v>
      </c>
      <c r="E1576" s="0" t="n">
        <f aca="false">-1+A1576*0.25</f>
        <v>-0.5</v>
      </c>
      <c r="F1576" s="0" t="n">
        <f aca="false">-1+B1576*0.25</f>
        <v>-0.75</v>
      </c>
      <c r="G1576" s="0" t="n">
        <f aca="false">-1+C1576*0.25</f>
        <v>-0.25</v>
      </c>
      <c r="H1576" s="0" t="n">
        <f aca="false">-1+D1576*0.25</f>
        <v>0.25</v>
      </c>
      <c r="I1576" s="0" t="n">
        <f aca="false">1</f>
        <v>1</v>
      </c>
      <c r="J1576" s="0" t="n">
        <f aca="false">E1576</f>
        <v>-0.5</v>
      </c>
      <c r="K1576" s="0" t="n">
        <f aca="false">F1576</f>
        <v>-0.75</v>
      </c>
      <c r="L1576" s="0" t="n">
        <f aca="false">G1576</f>
        <v>-0.25</v>
      </c>
      <c r="M1576" s="0" t="n">
        <f aca="false">H1576</f>
        <v>0.25</v>
      </c>
      <c r="N1576" s="0" t="n">
        <f aca="false">E1576*F1576</f>
        <v>0.375</v>
      </c>
      <c r="O1576" s="0" t="n">
        <f aca="false">E1576*G1576</f>
        <v>0.125</v>
      </c>
      <c r="P1576" s="0" t="n">
        <f aca="false">E1576*H1576</f>
        <v>-0.125</v>
      </c>
      <c r="Q1576" s="0" t="n">
        <f aca="false">F1576*G1576</f>
        <v>0.1875</v>
      </c>
      <c r="R1576" s="0" t="n">
        <f aca="false">F1576*H1576</f>
        <v>-0.1875</v>
      </c>
      <c r="S1576" s="0" t="n">
        <f aca="false">G1576*H1576</f>
        <v>-0.0625</v>
      </c>
      <c r="T1576" s="0" t="n">
        <f aca="false">E1576*E1576</f>
        <v>0.25</v>
      </c>
      <c r="U1576" s="0" t="n">
        <f aca="false">F1576*F1576</f>
        <v>0.5625</v>
      </c>
      <c r="V1576" s="0" t="n">
        <f aca="false">G1576*G1576</f>
        <v>0.0625</v>
      </c>
      <c r="W1576" s="0" t="n">
        <f aca="false">H1576*H1576</f>
        <v>0.0625</v>
      </c>
      <c r="X1576" s="0" t="n">
        <f aca="false">SUMPRODUCT(I1576:W1576,_XtX!$B$96:$P$96)</f>
        <v>43.4305052997076</v>
      </c>
      <c r="Y1576" s="0" t="n">
        <f aca="false">SUMPRODUCT(MMULT(I1576:W1576,_XtX!$B$78:$P$92),I1576:W1576)</f>
        <v>0.207746539199561</v>
      </c>
      <c r="Z1576" s="0" t="n">
        <f aca="false">04_回帰ANOVA!$K$19*04_回帰ANOVA!$K$14*SQRT(1+Y1576)</f>
        <v>1.43247250081141</v>
      </c>
      <c r="AA1576" s="0" t="n">
        <f aca="false">X1576-Z1576</f>
        <v>41.9980327988962</v>
      </c>
      <c r="AB1576" s="0" t="n">
        <f aca="false">X1576+Z1576</f>
        <v>44.862977800519</v>
      </c>
      <c r="AC1576" s="54" t="b">
        <f aca="false">AND(E1576&gt;=01_因子設定!$L$5-0.000000001,E1576&lt;=01_因子設定!$M$5+0.000000001,F1576&gt;=01_因子設定!$L$6-0.000000001,F1576&lt;=01_因子設定!$M$6+0.000000001,G1576&gt;=01_因子設定!$L$7-0.000000001,G1576&lt;=01_因子設定!$M$7+0.000000001,H1576&gt;=01_因子設定!$L$8-0.000000001,H1576&lt;=01_因子設定!$M$8+0.000000001,IF(01_因子設定!$B$20="Box-Behnken",E1576^2+F1576^2+G1576^2+H1576^2&lt;=2+0.000000001,TRUE()))</f>
        <v>1</v>
      </c>
      <c r="AD1576" s="55" t="n">
        <f aca="false">IF(AC1576,IF(01_因子設定!$B$13="最大化",AA1576-01_因子設定!$B$14,IF(01_因子設定!$B$13="最小化",01_因子設定!$B$15-AB1576,MIN(AA1576-01_因子設定!$B$14,01_因子設定!$B$15-AB1576))),-1E+030)</f>
        <v>-4.50196720110385</v>
      </c>
      <c r="AE1576" s="55" t="n">
        <f aca="false">IF(AC1576,IF(01_因子設定!$B$13="最大化",X1576,IF(01_因子設定!$B$13="最小化",-X1576,-ABS(X1576-01_因子設定!$B$16))),-1E+030)</f>
        <v>43.4305052997076</v>
      </c>
      <c r="AF1576" s="55" t="n">
        <f aca="false">AD1576+ROW()*0.000000001</f>
        <v>-4.50196562510385</v>
      </c>
      <c r="AG1576" s="55" t="n">
        <f aca="false">AE1576+ROW()*0.000000001</f>
        <v>43.4305068757076</v>
      </c>
    </row>
    <row r="1577" customFormat="false" ht="15" hidden="false" customHeight="false" outlineLevel="0" collapsed="false">
      <c r="A1577" s="0" t="n">
        <v>2</v>
      </c>
      <c r="B1577" s="0" t="n">
        <v>1</v>
      </c>
      <c r="C1577" s="0" t="n">
        <v>3</v>
      </c>
      <c r="D1577" s="0" t="n">
        <v>6</v>
      </c>
      <c r="E1577" s="0" t="n">
        <f aca="false">-1+A1577*0.25</f>
        <v>-0.5</v>
      </c>
      <c r="F1577" s="0" t="n">
        <f aca="false">-1+B1577*0.25</f>
        <v>-0.75</v>
      </c>
      <c r="G1577" s="0" t="n">
        <f aca="false">-1+C1577*0.25</f>
        <v>-0.25</v>
      </c>
      <c r="H1577" s="0" t="n">
        <f aca="false">-1+D1577*0.25</f>
        <v>0.5</v>
      </c>
      <c r="I1577" s="0" t="n">
        <f aca="false">1</f>
        <v>1</v>
      </c>
      <c r="J1577" s="0" t="n">
        <f aca="false">E1577</f>
        <v>-0.5</v>
      </c>
      <c r="K1577" s="0" t="n">
        <f aca="false">F1577</f>
        <v>-0.75</v>
      </c>
      <c r="L1577" s="0" t="n">
        <f aca="false">G1577</f>
        <v>-0.25</v>
      </c>
      <c r="M1577" s="0" t="n">
        <f aca="false">H1577</f>
        <v>0.5</v>
      </c>
      <c r="N1577" s="0" t="n">
        <f aca="false">E1577*F1577</f>
        <v>0.375</v>
      </c>
      <c r="O1577" s="0" t="n">
        <f aca="false">E1577*G1577</f>
        <v>0.125</v>
      </c>
      <c r="P1577" s="0" t="n">
        <f aca="false">E1577*H1577</f>
        <v>-0.25</v>
      </c>
      <c r="Q1577" s="0" t="n">
        <f aca="false">F1577*G1577</f>
        <v>0.1875</v>
      </c>
      <c r="R1577" s="0" t="n">
        <f aca="false">F1577*H1577</f>
        <v>-0.375</v>
      </c>
      <c r="S1577" s="0" t="n">
        <f aca="false">G1577*H1577</f>
        <v>-0.125</v>
      </c>
      <c r="T1577" s="0" t="n">
        <f aca="false">E1577*E1577</f>
        <v>0.25</v>
      </c>
      <c r="U1577" s="0" t="n">
        <f aca="false">F1577*F1577</f>
        <v>0.5625</v>
      </c>
      <c r="V1577" s="0" t="n">
        <f aca="false">G1577*G1577</f>
        <v>0.0625</v>
      </c>
      <c r="W1577" s="0" t="n">
        <f aca="false">H1577*H1577</f>
        <v>0.25</v>
      </c>
      <c r="X1577" s="0" t="n">
        <f aca="false">SUMPRODUCT(I1577:W1577,_XtX!$B$96:$P$96)</f>
        <v>43.4664336622807</v>
      </c>
      <c r="Y1577" s="0" t="n">
        <f aca="false">SUMPRODUCT(MMULT(I1577:W1577,_XtX!$B$78:$P$92),I1577:W1577)</f>
        <v>0.203746059484649</v>
      </c>
      <c r="Z1577" s="0" t="n">
        <f aca="false">04_回帰ANOVA!$K$19*04_回帰ANOVA!$K$14*SQRT(1+Y1577)</f>
        <v>1.43009810755465</v>
      </c>
      <c r="AA1577" s="0" t="n">
        <f aca="false">X1577-Z1577</f>
        <v>42.036335554726</v>
      </c>
      <c r="AB1577" s="0" t="n">
        <f aca="false">X1577+Z1577</f>
        <v>44.8965317698353</v>
      </c>
      <c r="AC1577" s="54" t="b">
        <f aca="false">AND(E1577&gt;=01_因子設定!$L$5-0.000000001,E1577&lt;=01_因子設定!$M$5+0.000000001,F1577&gt;=01_因子設定!$L$6-0.000000001,F1577&lt;=01_因子設定!$M$6+0.000000001,G1577&gt;=01_因子設定!$L$7-0.000000001,G1577&lt;=01_因子設定!$M$7+0.000000001,H1577&gt;=01_因子設定!$L$8-0.000000001,H1577&lt;=01_因子設定!$M$8+0.000000001,IF(01_因子設定!$B$20="Box-Behnken",E1577^2+F1577^2+G1577^2+H1577^2&lt;=2+0.000000001,TRUE()))</f>
        <v>1</v>
      </c>
      <c r="AD1577" s="55" t="n">
        <f aca="false">IF(AC1577,IF(01_因子設定!$B$13="最大化",AA1577-01_因子設定!$B$14,IF(01_因子設定!$B$13="最小化",01_因子設定!$B$15-AB1577,MIN(AA1577-01_因子設定!$B$14,01_因子設定!$B$15-AB1577))),-1E+030)</f>
        <v>-4.46366444527398</v>
      </c>
      <c r="AE1577" s="55" t="n">
        <f aca="false">IF(AC1577,IF(01_因子設定!$B$13="最大化",X1577,IF(01_因子設定!$B$13="最小化",-X1577,-ABS(X1577-01_因子設定!$B$16))),-1E+030)</f>
        <v>43.4664336622807</v>
      </c>
      <c r="AF1577" s="55" t="n">
        <f aca="false">AD1577+ROW()*0.000000001</f>
        <v>-4.46366286827398</v>
      </c>
      <c r="AG1577" s="55" t="n">
        <f aca="false">AE1577+ROW()*0.000000001</f>
        <v>43.4664352392807</v>
      </c>
    </row>
    <row r="1578" customFormat="false" ht="15" hidden="false" customHeight="false" outlineLevel="0" collapsed="false">
      <c r="A1578" s="0" t="n">
        <v>2</v>
      </c>
      <c r="B1578" s="0" t="n">
        <v>1</v>
      </c>
      <c r="C1578" s="0" t="n">
        <v>3</v>
      </c>
      <c r="D1578" s="0" t="n">
        <v>7</v>
      </c>
      <c r="E1578" s="0" t="n">
        <f aca="false">-1+A1578*0.25</f>
        <v>-0.5</v>
      </c>
      <c r="F1578" s="0" t="n">
        <f aca="false">-1+B1578*0.25</f>
        <v>-0.75</v>
      </c>
      <c r="G1578" s="0" t="n">
        <f aca="false">-1+C1578*0.25</f>
        <v>-0.25</v>
      </c>
      <c r="H1578" s="0" t="n">
        <f aca="false">-1+D1578*0.25</f>
        <v>0.75</v>
      </c>
      <c r="I1578" s="0" t="n">
        <f aca="false">1</f>
        <v>1</v>
      </c>
      <c r="J1578" s="0" t="n">
        <f aca="false">E1578</f>
        <v>-0.5</v>
      </c>
      <c r="K1578" s="0" t="n">
        <f aca="false">F1578</f>
        <v>-0.75</v>
      </c>
      <c r="L1578" s="0" t="n">
        <f aca="false">G1578</f>
        <v>-0.25</v>
      </c>
      <c r="M1578" s="0" t="n">
        <f aca="false">H1578</f>
        <v>0.75</v>
      </c>
      <c r="N1578" s="0" t="n">
        <f aca="false">E1578*F1578</f>
        <v>0.375</v>
      </c>
      <c r="O1578" s="0" t="n">
        <f aca="false">E1578*G1578</f>
        <v>0.125</v>
      </c>
      <c r="P1578" s="0" t="n">
        <f aca="false">E1578*H1578</f>
        <v>-0.375</v>
      </c>
      <c r="Q1578" s="0" t="n">
        <f aca="false">F1578*G1578</f>
        <v>0.1875</v>
      </c>
      <c r="R1578" s="0" t="n">
        <f aca="false">F1578*H1578</f>
        <v>-0.5625</v>
      </c>
      <c r="S1578" s="0" t="n">
        <f aca="false">G1578*H1578</f>
        <v>-0.1875</v>
      </c>
      <c r="T1578" s="0" t="n">
        <f aca="false">E1578*E1578</f>
        <v>0.25</v>
      </c>
      <c r="U1578" s="0" t="n">
        <f aca="false">F1578*F1578</f>
        <v>0.5625</v>
      </c>
      <c r="V1578" s="0" t="n">
        <f aca="false">G1578*G1578</f>
        <v>0.0625</v>
      </c>
      <c r="W1578" s="0" t="n">
        <f aca="false">H1578*H1578</f>
        <v>0.5625</v>
      </c>
      <c r="X1578" s="0" t="n">
        <f aca="false">SUMPRODUCT(I1578:W1578,_XtX!$B$96:$P$96)</f>
        <v>43.4545550073099</v>
      </c>
      <c r="Y1578" s="0" t="n">
        <f aca="false">SUMPRODUCT(MMULT(I1578:W1578,_XtX!$B$78:$P$92),I1578:W1578)</f>
        <v>0.257385610836988</v>
      </c>
      <c r="Z1578" s="0" t="n">
        <f aca="false">04_回帰ANOVA!$K$19*04_回帰ANOVA!$K$14*SQRT(1+Y1578)</f>
        <v>1.46161380324158</v>
      </c>
      <c r="AA1578" s="0" t="n">
        <f aca="false">X1578-Z1578</f>
        <v>41.9929412040683</v>
      </c>
      <c r="AB1578" s="0" t="n">
        <f aca="false">X1578+Z1578</f>
        <v>44.9161688105515</v>
      </c>
      <c r="AC1578" s="54" t="b">
        <f aca="false">AND(E1578&gt;=01_因子設定!$L$5-0.000000001,E1578&lt;=01_因子設定!$M$5+0.000000001,F1578&gt;=01_因子設定!$L$6-0.000000001,F1578&lt;=01_因子設定!$M$6+0.000000001,G1578&gt;=01_因子設定!$L$7-0.000000001,G1578&lt;=01_因子設定!$M$7+0.000000001,H1578&gt;=01_因子設定!$L$8-0.000000001,H1578&lt;=01_因子設定!$M$8+0.000000001,IF(01_因子設定!$B$20="Box-Behnken",E1578^2+F1578^2+G1578^2+H1578^2&lt;=2+0.000000001,TRUE()))</f>
        <v>1</v>
      </c>
      <c r="AD1578" s="55" t="n">
        <f aca="false">IF(AC1578,IF(01_因子設定!$B$13="最大化",AA1578-01_因子設定!$B$14,IF(01_因子設定!$B$13="最小化",01_因子設定!$B$15-AB1578,MIN(AA1578-01_因子設定!$B$14,01_因子設定!$B$15-AB1578))),-1E+030)</f>
        <v>-4.50705879593166</v>
      </c>
      <c r="AE1578" s="55" t="n">
        <f aca="false">IF(AC1578,IF(01_因子設定!$B$13="最大化",X1578,IF(01_因子設定!$B$13="最小化",-X1578,-ABS(X1578-01_因子設定!$B$16))),-1E+030)</f>
        <v>43.4545550073099</v>
      </c>
      <c r="AF1578" s="55" t="n">
        <f aca="false">AD1578+ROW()*0.000000001</f>
        <v>-4.50705721793166</v>
      </c>
      <c r="AG1578" s="55" t="n">
        <f aca="false">AE1578+ROW()*0.000000001</f>
        <v>43.4545565853099</v>
      </c>
    </row>
    <row r="1579" customFormat="false" ht="15" hidden="false" customHeight="false" outlineLevel="0" collapsed="false">
      <c r="A1579" s="0" t="n">
        <v>2</v>
      </c>
      <c r="B1579" s="0" t="n">
        <v>1</v>
      </c>
      <c r="C1579" s="0" t="n">
        <v>3</v>
      </c>
      <c r="D1579" s="0" t="n">
        <v>8</v>
      </c>
      <c r="E1579" s="0" t="n">
        <f aca="false">-1+A1579*0.25</f>
        <v>-0.5</v>
      </c>
      <c r="F1579" s="0" t="n">
        <f aca="false">-1+B1579*0.25</f>
        <v>-0.75</v>
      </c>
      <c r="G1579" s="0" t="n">
        <f aca="false">-1+C1579*0.25</f>
        <v>-0.25</v>
      </c>
      <c r="H1579" s="0" t="n">
        <f aca="false">-1+D1579*0.25</f>
        <v>1</v>
      </c>
      <c r="I1579" s="0" t="n">
        <f aca="false">1</f>
        <v>1</v>
      </c>
      <c r="J1579" s="0" t="n">
        <f aca="false">E1579</f>
        <v>-0.5</v>
      </c>
      <c r="K1579" s="0" t="n">
        <f aca="false">F1579</f>
        <v>-0.75</v>
      </c>
      <c r="L1579" s="0" t="n">
        <f aca="false">G1579</f>
        <v>-0.25</v>
      </c>
      <c r="M1579" s="0" t="n">
        <f aca="false">H1579</f>
        <v>1</v>
      </c>
      <c r="N1579" s="0" t="n">
        <f aca="false">E1579*F1579</f>
        <v>0.375</v>
      </c>
      <c r="O1579" s="0" t="n">
        <f aca="false">E1579*G1579</f>
        <v>0.125</v>
      </c>
      <c r="P1579" s="0" t="n">
        <f aca="false">E1579*H1579</f>
        <v>-0.5</v>
      </c>
      <c r="Q1579" s="0" t="n">
        <f aca="false">F1579*G1579</f>
        <v>0.1875</v>
      </c>
      <c r="R1579" s="0" t="n">
        <f aca="false">F1579*H1579</f>
        <v>-0.75</v>
      </c>
      <c r="S1579" s="0" t="n">
        <f aca="false">G1579*H1579</f>
        <v>-0.25</v>
      </c>
      <c r="T1579" s="0" t="n">
        <f aca="false">E1579*E1579</f>
        <v>0.25</v>
      </c>
      <c r="U1579" s="0" t="n">
        <f aca="false">F1579*F1579</f>
        <v>0.5625</v>
      </c>
      <c r="V1579" s="0" t="n">
        <f aca="false">G1579*G1579</f>
        <v>0.0625</v>
      </c>
      <c r="W1579" s="0" t="n">
        <f aca="false">H1579*H1579</f>
        <v>1</v>
      </c>
      <c r="X1579" s="0" t="n">
        <f aca="false">SUMPRODUCT(I1579:W1579,_XtX!$B$96:$P$96)</f>
        <v>43.3948693347953</v>
      </c>
      <c r="Y1579" s="0" t="n">
        <f aca="false">SUMPRODUCT(MMULT(I1579:W1579,_XtX!$B$78:$P$92),I1579:W1579)</f>
        <v>0.459125719572369</v>
      </c>
      <c r="Z1579" s="0" t="n">
        <f aca="false">04_回帰ANOVA!$K$19*04_回帰ANOVA!$K$14*SQRT(1+Y1579)</f>
        <v>1.57450755575573</v>
      </c>
      <c r="AA1579" s="0" t="n">
        <f aca="false">X1579-Z1579</f>
        <v>41.8203617790396</v>
      </c>
      <c r="AB1579" s="0" t="n">
        <f aca="false">X1579+Z1579</f>
        <v>44.9693768905511</v>
      </c>
      <c r="AC1579" s="54" t="b">
        <f aca="false">AND(E1579&gt;=01_因子設定!$L$5-0.000000001,E1579&lt;=01_因子設定!$M$5+0.000000001,F1579&gt;=01_因子設定!$L$6-0.000000001,F1579&lt;=01_因子設定!$M$6+0.000000001,G1579&gt;=01_因子設定!$L$7-0.000000001,G1579&lt;=01_因子設定!$M$7+0.000000001,H1579&gt;=01_因子設定!$L$8-0.000000001,H1579&lt;=01_因子設定!$M$8+0.000000001,IF(01_因子設定!$B$20="Box-Behnken",E1579^2+F1579^2+G1579^2+H1579^2&lt;=2+0.000000001,TRUE()))</f>
        <v>1</v>
      </c>
      <c r="AD1579" s="55" t="n">
        <f aca="false">IF(AC1579,IF(01_因子設定!$B$13="最大化",AA1579-01_因子設定!$B$14,IF(01_因子設定!$B$13="最小化",01_因子設定!$B$15-AB1579,MIN(AA1579-01_因子設定!$B$14,01_因子設定!$B$15-AB1579))),-1E+030)</f>
        <v>-4.67963822096041</v>
      </c>
      <c r="AE1579" s="55" t="n">
        <f aca="false">IF(AC1579,IF(01_因子設定!$B$13="最大化",X1579,IF(01_因子設定!$B$13="最小化",-X1579,-ABS(X1579-01_因子設定!$B$16))),-1E+030)</f>
        <v>43.3948693347953</v>
      </c>
      <c r="AF1579" s="55" t="n">
        <f aca="false">AD1579+ROW()*0.000000001</f>
        <v>-4.67963664196041</v>
      </c>
      <c r="AG1579" s="55" t="n">
        <f aca="false">AE1579+ROW()*0.000000001</f>
        <v>43.3948709137953</v>
      </c>
    </row>
    <row r="1580" customFormat="false" ht="15" hidden="false" customHeight="false" outlineLevel="0" collapsed="false">
      <c r="A1580" s="0" t="n">
        <v>2</v>
      </c>
      <c r="B1580" s="0" t="n">
        <v>1</v>
      </c>
      <c r="C1580" s="0" t="n">
        <v>4</v>
      </c>
      <c r="D1580" s="0" t="n">
        <v>0</v>
      </c>
      <c r="E1580" s="0" t="n">
        <f aca="false">-1+A1580*0.25</f>
        <v>-0.5</v>
      </c>
      <c r="F1580" s="0" t="n">
        <f aca="false">-1+B1580*0.25</f>
        <v>-0.75</v>
      </c>
      <c r="G1580" s="0" t="n">
        <f aca="false">-1+C1580*0.25</f>
        <v>0</v>
      </c>
      <c r="H1580" s="0" t="n">
        <f aca="false">-1+D1580*0.25</f>
        <v>-1</v>
      </c>
      <c r="I1580" s="0" t="n">
        <f aca="false">1</f>
        <v>1</v>
      </c>
      <c r="J1580" s="0" t="n">
        <f aca="false">E1580</f>
        <v>-0.5</v>
      </c>
      <c r="K1580" s="0" t="n">
        <f aca="false">F1580</f>
        <v>-0.75</v>
      </c>
      <c r="L1580" s="0" t="n">
        <f aca="false">G1580</f>
        <v>0</v>
      </c>
      <c r="M1580" s="0" t="n">
        <f aca="false">H1580</f>
        <v>-1</v>
      </c>
      <c r="N1580" s="0" t="n">
        <f aca="false">E1580*F1580</f>
        <v>0.375</v>
      </c>
      <c r="O1580" s="0" t="n">
        <f aca="false">E1580*G1580</f>
        <v>-0</v>
      </c>
      <c r="P1580" s="0" t="n">
        <f aca="false">E1580*H1580</f>
        <v>0.5</v>
      </c>
      <c r="Q1580" s="0" t="n">
        <f aca="false">F1580*G1580</f>
        <v>-0</v>
      </c>
      <c r="R1580" s="0" t="n">
        <f aca="false">F1580*H1580</f>
        <v>0.75</v>
      </c>
      <c r="S1580" s="0" t="n">
        <f aca="false">G1580*H1580</f>
        <v>-0</v>
      </c>
      <c r="T1580" s="0" t="n">
        <f aca="false">E1580*E1580</f>
        <v>0.25</v>
      </c>
      <c r="U1580" s="0" t="n">
        <f aca="false">F1580*F1580</f>
        <v>0.5625</v>
      </c>
      <c r="V1580" s="0" t="n">
        <f aca="false">G1580*G1580</f>
        <v>0</v>
      </c>
      <c r="W1580" s="0" t="n">
        <f aca="false">H1580*H1580</f>
        <v>1</v>
      </c>
      <c r="X1580" s="0" t="n">
        <f aca="false">SUMPRODUCT(I1580:W1580,_XtX!$B$96:$P$96)</f>
        <v>42.7730263157895</v>
      </c>
      <c r="Y1580" s="0" t="n">
        <f aca="false">SUMPRODUCT(MMULT(I1580:W1580,_XtX!$B$78:$P$92),I1580:W1580)</f>
        <v>0.476191292032164</v>
      </c>
      <c r="Z1580" s="0" t="n">
        <f aca="false">04_回帰ANOVA!$K$19*04_回帰ANOVA!$K$14*SQRT(1+Y1580)</f>
        <v>1.58368831471718</v>
      </c>
      <c r="AA1580" s="0" t="n">
        <f aca="false">X1580-Z1580</f>
        <v>41.1893380010723</v>
      </c>
      <c r="AB1580" s="0" t="n">
        <f aca="false">X1580+Z1580</f>
        <v>44.3567146305066</v>
      </c>
      <c r="AC1580" s="54" t="b">
        <f aca="false">AND(E1580&gt;=01_因子設定!$L$5-0.000000001,E1580&lt;=01_因子設定!$M$5+0.000000001,F1580&gt;=01_因子設定!$L$6-0.000000001,F1580&lt;=01_因子設定!$M$6+0.000000001,G1580&gt;=01_因子設定!$L$7-0.000000001,G1580&lt;=01_因子設定!$M$7+0.000000001,H1580&gt;=01_因子設定!$L$8-0.000000001,H1580&lt;=01_因子設定!$M$8+0.000000001,IF(01_因子設定!$B$20="Box-Behnken",E1580^2+F1580^2+G1580^2+H1580^2&lt;=2+0.000000001,TRUE()))</f>
        <v>1</v>
      </c>
      <c r="AD1580" s="55" t="n">
        <f aca="false">IF(AC1580,IF(01_因子設定!$B$13="最大化",AA1580-01_因子設定!$B$14,IF(01_因子設定!$B$13="最小化",01_因子設定!$B$15-AB1580,MIN(AA1580-01_因子設定!$B$14,01_因子設定!$B$15-AB1580))),-1E+030)</f>
        <v>-5.31066199892771</v>
      </c>
      <c r="AE1580" s="55" t="n">
        <f aca="false">IF(AC1580,IF(01_因子設定!$B$13="最大化",X1580,IF(01_因子設定!$B$13="最小化",-X1580,-ABS(X1580-01_因子設定!$B$16))),-1E+030)</f>
        <v>42.7730263157895</v>
      </c>
      <c r="AF1580" s="55" t="n">
        <f aca="false">AD1580+ROW()*0.000000001</f>
        <v>-5.31066041892771</v>
      </c>
      <c r="AG1580" s="55" t="n">
        <f aca="false">AE1580+ROW()*0.000000001</f>
        <v>42.7730278957895</v>
      </c>
    </row>
    <row r="1581" customFormat="false" ht="15" hidden="false" customHeight="false" outlineLevel="0" collapsed="false">
      <c r="A1581" s="0" t="n">
        <v>2</v>
      </c>
      <c r="B1581" s="0" t="n">
        <v>1</v>
      </c>
      <c r="C1581" s="0" t="n">
        <v>4</v>
      </c>
      <c r="D1581" s="0" t="n">
        <v>1</v>
      </c>
      <c r="E1581" s="0" t="n">
        <f aca="false">-1+A1581*0.25</f>
        <v>-0.5</v>
      </c>
      <c r="F1581" s="0" t="n">
        <f aca="false">-1+B1581*0.25</f>
        <v>-0.75</v>
      </c>
      <c r="G1581" s="0" t="n">
        <f aca="false">-1+C1581*0.25</f>
        <v>0</v>
      </c>
      <c r="H1581" s="0" t="n">
        <f aca="false">-1+D1581*0.25</f>
        <v>-0.75</v>
      </c>
      <c r="I1581" s="0" t="n">
        <f aca="false">1</f>
        <v>1</v>
      </c>
      <c r="J1581" s="0" t="n">
        <f aca="false">E1581</f>
        <v>-0.5</v>
      </c>
      <c r="K1581" s="0" t="n">
        <f aca="false">F1581</f>
        <v>-0.75</v>
      </c>
      <c r="L1581" s="0" t="n">
        <f aca="false">G1581</f>
        <v>0</v>
      </c>
      <c r="M1581" s="0" t="n">
        <f aca="false">H1581</f>
        <v>-0.75</v>
      </c>
      <c r="N1581" s="0" t="n">
        <f aca="false">E1581*F1581</f>
        <v>0.375</v>
      </c>
      <c r="O1581" s="0" t="n">
        <f aca="false">E1581*G1581</f>
        <v>-0</v>
      </c>
      <c r="P1581" s="0" t="n">
        <f aca="false">E1581*H1581</f>
        <v>0.375</v>
      </c>
      <c r="Q1581" s="0" t="n">
        <f aca="false">F1581*G1581</f>
        <v>-0</v>
      </c>
      <c r="R1581" s="0" t="n">
        <f aca="false">F1581*H1581</f>
        <v>0.5625</v>
      </c>
      <c r="S1581" s="0" t="n">
        <f aca="false">G1581*H1581</f>
        <v>-0</v>
      </c>
      <c r="T1581" s="0" t="n">
        <f aca="false">E1581*E1581</f>
        <v>0.25</v>
      </c>
      <c r="U1581" s="0" t="n">
        <f aca="false">F1581*F1581</f>
        <v>0.5625</v>
      </c>
      <c r="V1581" s="0" t="n">
        <f aca="false">G1581*G1581</f>
        <v>0</v>
      </c>
      <c r="W1581" s="0" t="n">
        <f aca="false">H1581*H1581</f>
        <v>0.5625</v>
      </c>
      <c r="X1581" s="0" t="n">
        <f aca="false">SUMPRODUCT(I1581:W1581,_XtX!$B$96:$P$96)</f>
        <v>43.0659585160819</v>
      </c>
      <c r="Y1581" s="0" t="n">
        <f aca="false">SUMPRODUCT(MMULT(I1581:W1581,_XtX!$B$78:$P$92),I1581:W1581)</f>
        <v>0.269923873812135</v>
      </c>
      <c r="Z1581" s="0" t="n">
        <f aca="false">04_回帰ANOVA!$K$19*04_回帰ANOVA!$K$14*SQRT(1+Y1581)</f>
        <v>1.46888310825501</v>
      </c>
      <c r="AA1581" s="0" t="n">
        <f aca="false">X1581-Z1581</f>
        <v>41.5970754078268</v>
      </c>
      <c r="AB1581" s="0" t="n">
        <f aca="false">X1581+Z1581</f>
        <v>44.5348416243369</v>
      </c>
      <c r="AC1581" s="54" t="b">
        <f aca="false">AND(E1581&gt;=01_因子設定!$L$5-0.000000001,E1581&lt;=01_因子設定!$M$5+0.000000001,F1581&gt;=01_因子設定!$L$6-0.000000001,F1581&lt;=01_因子設定!$M$6+0.000000001,G1581&gt;=01_因子設定!$L$7-0.000000001,G1581&lt;=01_因子設定!$M$7+0.000000001,H1581&gt;=01_因子設定!$L$8-0.000000001,H1581&lt;=01_因子設定!$M$8+0.000000001,IF(01_因子設定!$B$20="Box-Behnken",E1581^2+F1581^2+G1581^2+H1581^2&lt;=2+0.000000001,TRUE()))</f>
        <v>1</v>
      </c>
      <c r="AD1581" s="55" t="n">
        <f aca="false">IF(AC1581,IF(01_因子設定!$B$13="最大化",AA1581-01_因子設定!$B$14,IF(01_因子設定!$B$13="最小化",01_因子設定!$B$15-AB1581,MIN(AA1581-01_因子設定!$B$14,01_因子設定!$B$15-AB1581))),-1E+030)</f>
        <v>-4.90292459217316</v>
      </c>
      <c r="AE1581" s="55" t="n">
        <f aca="false">IF(AC1581,IF(01_因子設定!$B$13="最大化",X1581,IF(01_因子設定!$B$13="最小化",-X1581,-ABS(X1581-01_因子設定!$B$16))),-1E+030)</f>
        <v>43.0659585160819</v>
      </c>
      <c r="AF1581" s="55" t="n">
        <f aca="false">AD1581+ROW()*0.000000001</f>
        <v>-4.90292301117316</v>
      </c>
      <c r="AG1581" s="55" t="n">
        <f aca="false">AE1581+ROW()*0.000000001</f>
        <v>43.0659600970819</v>
      </c>
    </row>
    <row r="1582" customFormat="false" ht="15" hidden="false" customHeight="false" outlineLevel="0" collapsed="false">
      <c r="A1582" s="0" t="n">
        <v>2</v>
      </c>
      <c r="B1582" s="0" t="n">
        <v>1</v>
      </c>
      <c r="C1582" s="0" t="n">
        <v>4</v>
      </c>
      <c r="D1582" s="0" t="n">
        <v>2</v>
      </c>
      <c r="E1582" s="0" t="n">
        <f aca="false">-1+A1582*0.25</f>
        <v>-0.5</v>
      </c>
      <c r="F1582" s="0" t="n">
        <f aca="false">-1+B1582*0.25</f>
        <v>-0.75</v>
      </c>
      <c r="G1582" s="0" t="n">
        <f aca="false">-1+C1582*0.25</f>
        <v>0</v>
      </c>
      <c r="H1582" s="0" t="n">
        <f aca="false">-1+D1582*0.25</f>
        <v>-0.5</v>
      </c>
      <c r="I1582" s="0" t="n">
        <f aca="false">1</f>
        <v>1</v>
      </c>
      <c r="J1582" s="0" t="n">
        <f aca="false">E1582</f>
        <v>-0.5</v>
      </c>
      <c r="K1582" s="0" t="n">
        <f aca="false">F1582</f>
        <v>-0.75</v>
      </c>
      <c r="L1582" s="0" t="n">
        <f aca="false">G1582</f>
        <v>0</v>
      </c>
      <c r="M1582" s="0" t="n">
        <f aca="false">H1582</f>
        <v>-0.5</v>
      </c>
      <c r="N1582" s="0" t="n">
        <f aca="false">E1582*F1582</f>
        <v>0.375</v>
      </c>
      <c r="O1582" s="0" t="n">
        <f aca="false">E1582*G1582</f>
        <v>-0</v>
      </c>
      <c r="P1582" s="0" t="n">
        <f aca="false">E1582*H1582</f>
        <v>0.25</v>
      </c>
      <c r="Q1582" s="0" t="n">
        <f aca="false">F1582*G1582</f>
        <v>-0</v>
      </c>
      <c r="R1582" s="0" t="n">
        <f aca="false">F1582*H1582</f>
        <v>0.375</v>
      </c>
      <c r="S1582" s="0" t="n">
        <f aca="false">G1582*H1582</f>
        <v>-0</v>
      </c>
      <c r="T1582" s="0" t="n">
        <f aca="false">E1582*E1582</f>
        <v>0.25</v>
      </c>
      <c r="U1582" s="0" t="n">
        <f aca="false">F1582*F1582</f>
        <v>0.5625</v>
      </c>
      <c r="V1582" s="0" t="n">
        <f aca="false">G1582*G1582</f>
        <v>0</v>
      </c>
      <c r="W1582" s="0" t="n">
        <f aca="false">H1582*H1582</f>
        <v>0.25</v>
      </c>
      <c r="X1582" s="0" t="n">
        <f aca="false">SUMPRODUCT(I1582:W1582,_XtX!$B$96:$P$96)</f>
        <v>43.3110836988304</v>
      </c>
      <c r="Y1582" s="0" t="n">
        <f aca="false">SUMPRODUCT(MMULT(I1582:W1582,_XtX!$B$78:$P$92),I1582:W1582)</f>
        <v>0.21305052997076</v>
      </c>
      <c r="Z1582" s="0" t="n">
        <f aca="false">04_回帰ANOVA!$K$19*04_回帰ANOVA!$K$14*SQRT(1+Y1582)</f>
        <v>1.43561450835061</v>
      </c>
      <c r="AA1582" s="0" t="n">
        <f aca="false">X1582-Z1582</f>
        <v>41.8754691904798</v>
      </c>
      <c r="AB1582" s="0" t="n">
        <f aca="false">X1582+Z1582</f>
        <v>44.746698207181</v>
      </c>
      <c r="AC1582" s="54" t="b">
        <f aca="false">AND(E1582&gt;=01_因子設定!$L$5-0.000000001,E1582&lt;=01_因子設定!$M$5+0.000000001,F1582&gt;=01_因子設定!$L$6-0.000000001,F1582&lt;=01_因子設定!$M$6+0.000000001,G1582&gt;=01_因子設定!$L$7-0.000000001,G1582&lt;=01_因子設定!$M$7+0.000000001,H1582&gt;=01_因子設定!$L$8-0.000000001,H1582&lt;=01_因子設定!$M$8+0.000000001,IF(01_因子設定!$B$20="Box-Behnken",E1582^2+F1582^2+G1582^2+H1582^2&lt;=2+0.000000001,TRUE()))</f>
        <v>1</v>
      </c>
      <c r="AD1582" s="55" t="n">
        <f aca="false">IF(AC1582,IF(01_因子設定!$B$13="最大化",AA1582-01_因子設定!$B$14,IF(01_因子設定!$B$13="最小化",01_因子設定!$B$15-AB1582,MIN(AA1582-01_因子設定!$B$14,01_因子設定!$B$15-AB1582))),-1E+030)</f>
        <v>-4.62453080952023</v>
      </c>
      <c r="AE1582" s="55" t="n">
        <f aca="false">IF(AC1582,IF(01_因子設定!$B$13="最大化",X1582,IF(01_因子設定!$B$13="最小化",-X1582,-ABS(X1582-01_因子設定!$B$16))),-1E+030)</f>
        <v>43.3110836988304</v>
      </c>
      <c r="AF1582" s="55" t="n">
        <f aca="false">AD1582+ROW()*0.000000001</f>
        <v>-4.62452922752023</v>
      </c>
      <c r="AG1582" s="55" t="n">
        <f aca="false">AE1582+ROW()*0.000000001</f>
        <v>43.3110852808304</v>
      </c>
    </row>
    <row r="1583" customFormat="false" ht="15" hidden="false" customHeight="false" outlineLevel="0" collapsed="false">
      <c r="A1583" s="0" t="n">
        <v>2</v>
      </c>
      <c r="B1583" s="0" t="n">
        <v>1</v>
      </c>
      <c r="C1583" s="0" t="n">
        <v>4</v>
      </c>
      <c r="D1583" s="0" t="n">
        <v>3</v>
      </c>
      <c r="E1583" s="0" t="n">
        <f aca="false">-1+A1583*0.25</f>
        <v>-0.5</v>
      </c>
      <c r="F1583" s="0" t="n">
        <f aca="false">-1+B1583*0.25</f>
        <v>-0.75</v>
      </c>
      <c r="G1583" s="0" t="n">
        <f aca="false">-1+C1583*0.25</f>
        <v>0</v>
      </c>
      <c r="H1583" s="0" t="n">
        <f aca="false">-1+D1583*0.25</f>
        <v>-0.25</v>
      </c>
      <c r="I1583" s="0" t="n">
        <f aca="false">1</f>
        <v>1</v>
      </c>
      <c r="J1583" s="0" t="n">
        <f aca="false">E1583</f>
        <v>-0.5</v>
      </c>
      <c r="K1583" s="0" t="n">
        <f aca="false">F1583</f>
        <v>-0.75</v>
      </c>
      <c r="L1583" s="0" t="n">
        <f aca="false">G1583</f>
        <v>0</v>
      </c>
      <c r="M1583" s="0" t="n">
        <f aca="false">H1583</f>
        <v>-0.25</v>
      </c>
      <c r="N1583" s="0" t="n">
        <f aca="false">E1583*F1583</f>
        <v>0.375</v>
      </c>
      <c r="O1583" s="0" t="n">
        <f aca="false">E1583*G1583</f>
        <v>-0</v>
      </c>
      <c r="P1583" s="0" t="n">
        <f aca="false">E1583*H1583</f>
        <v>0.125</v>
      </c>
      <c r="Q1583" s="0" t="n">
        <f aca="false">F1583*G1583</f>
        <v>-0</v>
      </c>
      <c r="R1583" s="0" t="n">
        <f aca="false">F1583*H1583</f>
        <v>0.1875</v>
      </c>
      <c r="S1583" s="0" t="n">
        <f aca="false">G1583*H1583</f>
        <v>-0</v>
      </c>
      <c r="T1583" s="0" t="n">
        <f aca="false">E1583*E1583</f>
        <v>0.25</v>
      </c>
      <c r="U1583" s="0" t="n">
        <f aca="false">F1583*F1583</f>
        <v>0.5625</v>
      </c>
      <c r="V1583" s="0" t="n">
        <f aca="false">G1583*G1583</f>
        <v>0</v>
      </c>
      <c r="W1583" s="0" t="n">
        <f aca="false">H1583*H1583</f>
        <v>0.0625</v>
      </c>
      <c r="X1583" s="0" t="n">
        <f aca="false">SUMPRODUCT(I1583:W1583,_XtX!$B$96:$P$96)</f>
        <v>43.508401864035</v>
      </c>
      <c r="Y1583" s="0" t="n">
        <f aca="false">SUMPRODUCT(MMULT(I1583:W1583,_XtX!$B$78:$P$92),I1583:W1583)</f>
        <v>0.215110734192252</v>
      </c>
      <c r="Z1583" s="0" t="n">
        <f aca="false">04_回帰ANOVA!$K$19*04_回帰ANOVA!$K$14*SQRT(1+Y1583)</f>
        <v>1.43683309086864</v>
      </c>
      <c r="AA1583" s="0" t="n">
        <f aca="false">X1583-Z1583</f>
        <v>42.0715687731664</v>
      </c>
      <c r="AB1583" s="0" t="n">
        <f aca="false">X1583+Z1583</f>
        <v>44.9452349549037</v>
      </c>
      <c r="AC1583" s="54" t="b">
        <f aca="false">AND(E1583&gt;=01_因子設定!$L$5-0.000000001,E1583&lt;=01_因子設定!$M$5+0.000000001,F1583&gt;=01_因子設定!$L$6-0.000000001,F1583&lt;=01_因子設定!$M$6+0.000000001,G1583&gt;=01_因子設定!$L$7-0.000000001,G1583&lt;=01_因子設定!$M$7+0.000000001,H1583&gt;=01_因子設定!$L$8-0.000000001,H1583&lt;=01_因子設定!$M$8+0.000000001,IF(01_因子設定!$B$20="Box-Behnken",E1583^2+F1583^2+G1583^2+H1583^2&lt;=2+0.000000001,TRUE()))</f>
        <v>1</v>
      </c>
      <c r="AD1583" s="55" t="n">
        <f aca="false">IF(AC1583,IF(01_因子設定!$B$13="最大化",AA1583-01_因子設定!$B$14,IF(01_因子設定!$B$13="最小化",01_因子設定!$B$15-AB1583,MIN(AA1583-01_因子設定!$B$14,01_因子設定!$B$15-AB1583))),-1E+030)</f>
        <v>-4.4284312268336</v>
      </c>
      <c r="AE1583" s="55" t="n">
        <f aca="false">IF(AC1583,IF(01_因子設定!$B$13="最大化",X1583,IF(01_因子設定!$B$13="最小化",-X1583,-ABS(X1583-01_因子設定!$B$16))),-1E+030)</f>
        <v>43.508401864035</v>
      </c>
      <c r="AF1583" s="55" t="n">
        <f aca="false">AD1583+ROW()*0.000000001</f>
        <v>-4.4284296438336</v>
      </c>
      <c r="AG1583" s="55" t="n">
        <f aca="false">AE1583+ROW()*0.000000001</f>
        <v>43.508403447035</v>
      </c>
    </row>
    <row r="1584" customFormat="false" ht="15" hidden="false" customHeight="false" outlineLevel="0" collapsed="false">
      <c r="A1584" s="0" t="n">
        <v>2</v>
      </c>
      <c r="B1584" s="0" t="n">
        <v>1</v>
      </c>
      <c r="C1584" s="0" t="n">
        <v>4</v>
      </c>
      <c r="D1584" s="0" t="n">
        <v>4</v>
      </c>
      <c r="E1584" s="0" t="n">
        <f aca="false">-1+A1584*0.25</f>
        <v>-0.5</v>
      </c>
      <c r="F1584" s="0" t="n">
        <f aca="false">-1+B1584*0.25</f>
        <v>-0.75</v>
      </c>
      <c r="G1584" s="0" t="n">
        <f aca="false">-1+C1584*0.25</f>
        <v>0</v>
      </c>
      <c r="H1584" s="0" t="n">
        <f aca="false">-1+D1584*0.25</f>
        <v>0</v>
      </c>
      <c r="I1584" s="0" t="n">
        <f aca="false">1</f>
        <v>1</v>
      </c>
      <c r="J1584" s="0" t="n">
        <f aca="false">E1584</f>
        <v>-0.5</v>
      </c>
      <c r="K1584" s="0" t="n">
        <f aca="false">F1584</f>
        <v>-0.75</v>
      </c>
      <c r="L1584" s="0" t="n">
        <f aca="false">G1584</f>
        <v>0</v>
      </c>
      <c r="M1584" s="0" t="n">
        <f aca="false">H1584</f>
        <v>0</v>
      </c>
      <c r="N1584" s="0" t="n">
        <f aca="false">E1584*F1584</f>
        <v>0.375</v>
      </c>
      <c r="O1584" s="0" t="n">
        <f aca="false">E1584*G1584</f>
        <v>-0</v>
      </c>
      <c r="P1584" s="0" t="n">
        <f aca="false">E1584*H1584</f>
        <v>-0</v>
      </c>
      <c r="Q1584" s="0" t="n">
        <f aca="false">F1584*G1584</f>
        <v>-0</v>
      </c>
      <c r="R1584" s="0" t="n">
        <f aca="false">F1584*H1584</f>
        <v>-0</v>
      </c>
      <c r="S1584" s="0" t="n">
        <f aca="false">G1584*H1584</f>
        <v>0</v>
      </c>
      <c r="T1584" s="0" t="n">
        <f aca="false">E1584*E1584</f>
        <v>0.25</v>
      </c>
      <c r="U1584" s="0" t="n">
        <f aca="false">F1584*F1584</f>
        <v>0.5625</v>
      </c>
      <c r="V1584" s="0" t="n">
        <f aca="false">G1584*G1584</f>
        <v>0</v>
      </c>
      <c r="W1584" s="0" t="n">
        <f aca="false">H1584*H1584</f>
        <v>0</v>
      </c>
      <c r="X1584" s="0" t="n">
        <f aca="false">SUMPRODUCT(I1584:W1584,_XtX!$B$96:$P$96)</f>
        <v>43.6579130116959</v>
      </c>
      <c r="Y1584" s="0" t="n">
        <f aca="false">SUMPRODUCT(MMULT(I1584:W1584,_XtX!$B$78:$P$92),I1584:W1584)</f>
        <v>0.221828170687135</v>
      </c>
      <c r="Z1584" s="0" t="n">
        <f aca="false">04_回帰ANOVA!$K$19*04_回帰ANOVA!$K$14*SQRT(1+Y1584)</f>
        <v>1.44079920361664</v>
      </c>
      <c r="AA1584" s="0" t="n">
        <f aca="false">X1584-Z1584</f>
        <v>42.2171138080792</v>
      </c>
      <c r="AB1584" s="0" t="n">
        <f aca="false">X1584+Z1584</f>
        <v>45.0987122153125</v>
      </c>
      <c r="AC1584" s="54" t="b">
        <f aca="false">AND(E1584&gt;=01_因子設定!$L$5-0.000000001,E1584&lt;=01_因子設定!$M$5+0.000000001,F1584&gt;=01_因子設定!$L$6-0.000000001,F1584&lt;=01_因子設定!$M$6+0.000000001,G1584&gt;=01_因子設定!$L$7-0.000000001,G1584&lt;=01_因子設定!$M$7+0.000000001,H1584&gt;=01_因子設定!$L$8-0.000000001,H1584&lt;=01_因子設定!$M$8+0.000000001,IF(01_因子設定!$B$20="Box-Behnken",E1584^2+F1584^2+G1584^2+H1584^2&lt;=2+0.000000001,TRUE()))</f>
        <v>1</v>
      </c>
      <c r="AD1584" s="55" t="n">
        <f aca="false">IF(AC1584,IF(01_因子設定!$B$13="最大化",AA1584-01_因子設定!$B$14,IF(01_因子設定!$B$13="最小化",01_因子設定!$B$15-AB1584,MIN(AA1584-01_因子設定!$B$14,01_因子設定!$B$15-AB1584))),-1E+030)</f>
        <v>-4.28288619192078</v>
      </c>
      <c r="AE1584" s="55" t="n">
        <f aca="false">IF(AC1584,IF(01_因子設定!$B$13="最大化",X1584,IF(01_因子設定!$B$13="最小化",-X1584,-ABS(X1584-01_因子設定!$B$16))),-1E+030)</f>
        <v>43.6579130116959</v>
      </c>
      <c r="AF1584" s="55" t="n">
        <f aca="false">AD1584+ROW()*0.000000001</f>
        <v>-4.28288460792078</v>
      </c>
      <c r="AG1584" s="55" t="n">
        <f aca="false">AE1584+ROW()*0.000000001</f>
        <v>43.6579145956959</v>
      </c>
    </row>
    <row r="1585" customFormat="false" ht="15" hidden="false" customHeight="false" outlineLevel="0" collapsed="false">
      <c r="A1585" s="0" t="n">
        <v>2</v>
      </c>
      <c r="B1585" s="0" t="n">
        <v>1</v>
      </c>
      <c r="C1585" s="0" t="n">
        <v>4</v>
      </c>
      <c r="D1585" s="0" t="n">
        <v>5</v>
      </c>
      <c r="E1585" s="0" t="n">
        <f aca="false">-1+A1585*0.25</f>
        <v>-0.5</v>
      </c>
      <c r="F1585" s="0" t="n">
        <f aca="false">-1+B1585*0.25</f>
        <v>-0.75</v>
      </c>
      <c r="G1585" s="0" t="n">
        <f aca="false">-1+C1585*0.25</f>
        <v>0</v>
      </c>
      <c r="H1585" s="0" t="n">
        <f aca="false">-1+D1585*0.25</f>
        <v>0.25</v>
      </c>
      <c r="I1585" s="0" t="n">
        <f aca="false">1</f>
        <v>1</v>
      </c>
      <c r="J1585" s="0" t="n">
        <f aca="false">E1585</f>
        <v>-0.5</v>
      </c>
      <c r="K1585" s="0" t="n">
        <f aca="false">F1585</f>
        <v>-0.75</v>
      </c>
      <c r="L1585" s="0" t="n">
        <f aca="false">G1585</f>
        <v>0</v>
      </c>
      <c r="M1585" s="0" t="n">
        <f aca="false">H1585</f>
        <v>0.25</v>
      </c>
      <c r="N1585" s="0" t="n">
        <f aca="false">E1585*F1585</f>
        <v>0.375</v>
      </c>
      <c r="O1585" s="0" t="n">
        <f aca="false">E1585*G1585</f>
        <v>-0</v>
      </c>
      <c r="P1585" s="0" t="n">
        <f aca="false">E1585*H1585</f>
        <v>-0.125</v>
      </c>
      <c r="Q1585" s="0" t="n">
        <f aca="false">F1585*G1585</f>
        <v>-0</v>
      </c>
      <c r="R1585" s="0" t="n">
        <f aca="false">F1585*H1585</f>
        <v>-0.1875</v>
      </c>
      <c r="S1585" s="0" t="n">
        <f aca="false">G1585*H1585</f>
        <v>0</v>
      </c>
      <c r="T1585" s="0" t="n">
        <f aca="false">E1585*E1585</f>
        <v>0.25</v>
      </c>
      <c r="U1585" s="0" t="n">
        <f aca="false">F1585*F1585</f>
        <v>0.5625</v>
      </c>
      <c r="V1585" s="0" t="n">
        <f aca="false">G1585*G1585</f>
        <v>0</v>
      </c>
      <c r="W1585" s="0" t="n">
        <f aca="false">H1585*H1585</f>
        <v>0.0625</v>
      </c>
      <c r="X1585" s="0" t="n">
        <f aca="false">SUMPRODUCT(I1585:W1585,_XtX!$B$96:$P$96)</f>
        <v>43.7596171418128</v>
      </c>
      <c r="Y1585" s="0" t="n">
        <f aca="false">SUMPRODUCT(MMULT(I1585:W1585,_XtX!$B$78:$P$92),I1585:W1585)</f>
        <v>0.215110734192252</v>
      </c>
      <c r="Z1585" s="0" t="n">
        <f aca="false">04_回帰ANOVA!$K$19*04_回帰ANOVA!$K$14*SQRT(1+Y1585)</f>
        <v>1.43683309086864</v>
      </c>
      <c r="AA1585" s="0" t="n">
        <f aca="false">X1585-Z1585</f>
        <v>42.3227840509442</v>
      </c>
      <c r="AB1585" s="0" t="n">
        <f aca="false">X1585+Z1585</f>
        <v>45.1964502326815</v>
      </c>
      <c r="AC1585" s="54" t="b">
        <f aca="false">AND(E1585&gt;=01_因子設定!$L$5-0.000000001,E1585&lt;=01_因子設定!$M$5+0.000000001,F1585&gt;=01_因子設定!$L$6-0.000000001,F1585&lt;=01_因子設定!$M$6+0.000000001,G1585&gt;=01_因子設定!$L$7-0.000000001,G1585&lt;=01_因子設定!$M$7+0.000000001,H1585&gt;=01_因子設定!$L$8-0.000000001,H1585&lt;=01_因子設定!$M$8+0.000000001,IF(01_因子設定!$B$20="Box-Behnken",E1585^2+F1585^2+G1585^2+H1585^2&lt;=2+0.000000001,TRUE()))</f>
        <v>1</v>
      </c>
      <c r="AD1585" s="55" t="n">
        <f aca="false">IF(AC1585,IF(01_因子設定!$B$13="最大化",AA1585-01_因子設定!$B$14,IF(01_因子設定!$B$13="最小化",01_因子設定!$B$15-AB1585,MIN(AA1585-01_因子設定!$B$14,01_因子設定!$B$15-AB1585))),-1E+030)</f>
        <v>-4.17721594905582</v>
      </c>
      <c r="AE1585" s="55" t="n">
        <f aca="false">IF(AC1585,IF(01_因子設定!$B$13="最大化",X1585,IF(01_因子設定!$B$13="最小化",-X1585,-ABS(X1585-01_因子設定!$B$16))),-1E+030)</f>
        <v>43.7596171418128</v>
      </c>
      <c r="AF1585" s="55" t="n">
        <f aca="false">AD1585+ROW()*0.000000001</f>
        <v>-4.17721436405582</v>
      </c>
      <c r="AG1585" s="55" t="n">
        <f aca="false">AE1585+ROW()*0.000000001</f>
        <v>43.7596187268128</v>
      </c>
    </row>
    <row r="1586" customFormat="false" ht="15" hidden="false" customHeight="false" outlineLevel="0" collapsed="false">
      <c r="A1586" s="0" t="n">
        <v>2</v>
      </c>
      <c r="B1586" s="0" t="n">
        <v>1</v>
      </c>
      <c r="C1586" s="0" t="n">
        <v>4</v>
      </c>
      <c r="D1586" s="0" t="n">
        <v>6</v>
      </c>
      <c r="E1586" s="0" t="n">
        <f aca="false">-1+A1586*0.25</f>
        <v>-0.5</v>
      </c>
      <c r="F1586" s="0" t="n">
        <f aca="false">-1+B1586*0.25</f>
        <v>-0.75</v>
      </c>
      <c r="G1586" s="0" t="n">
        <f aca="false">-1+C1586*0.25</f>
        <v>0</v>
      </c>
      <c r="H1586" s="0" t="n">
        <f aca="false">-1+D1586*0.25</f>
        <v>0.5</v>
      </c>
      <c r="I1586" s="0" t="n">
        <f aca="false">1</f>
        <v>1</v>
      </c>
      <c r="J1586" s="0" t="n">
        <f aca="false">E1586</f>
        <v>-0.5</v>
      </c>
      <c r="K1586" s="0" t="n">
        <f aca="false">F1586</f>
        <v>-0.75</v>
      </c>
      <c r="L1586" s="0" t="n">
        <f aca="false">G1586</f>
        <v>0</v>
      </c>
      <c r="M1586" s="0" t="n">
        <f aca="false">H1586</f>
        <v>0.5</v>
      </c>
      <c r="N1586" s="0" t="n">
        <f aca="false">E1586*F1586</f>
        <v>0.375</v>
      </c>
      <c r="O1586" s="0" t="n">
        <f aca="false">E1586*G1586</f>
        <v>-0</v>
      </c>
      <c r="P1586" s="0" t="n">
        <f aca="false">E1586*H1586</f>
        <v>-0.25</v>
      </c>
      <c r="Q1586" s="0" t="n">
        <f aca="false">F1586*G1586</f>
        <v>-0</v>
      </c>
      <c r="R1586" s="0" t="n">
        <f aca="false">F1586*H1586</f>
        <v>-0.375</v>
      </c>
      <c r="S1586" s="0" t="n">
        <f aca="false">G1586*H1586</f>
        <v>0</v>
      </c>
      <c r="T1586" s="0" t="n">
        <f aca="false">E1586*E1586</f>
        <v>0.25</v>
      </c>
      <c r="U1586" s="0" t="n">
        <f aca="false">F1586*F1586</f>
        <v>0.5625</v>
      </c>
      <c r="V1586" s="0" t="n">
        <f aca="false">G1586*G1586</f>
        <v>0</v>
      </c>
      <c r="W1586" s="0" t="n">
        <f aca="false">H1586*H1586</f>
        <v>0.25</v>
      </c>
      <c r="X1586" s="0" t="n">
        <f aca="false">SUMPRODUCT(I1586:W1586,_XtX!$B$96:$P$96)</f>
        <v>43.8135142543859</v>
      </c>
      <c r="Y1586" s="0" t="n">
        <f aca="false">SUMPRODUCT(MMULT(I1586:W1586,_XtX!$B$78:$P$92),I1586:W1586)</f>
        <v>0.21305052997076</v>
      </c>
      <c r="Z1586" s="0" t="n">
        <f aca="false">04_回帰ANOVA!$K$19*04_回帰ANOVA!$K$14*SQRT(1+Y1586)</f>
        <v>1.43561450835061</v>
      </c>
      <c r="AA1586" s="0" t="n">
        <f aca="false">X1586-Z1586</f>
        <v>42.3778997460353</v>
      </c>
      <c r="AB1586" s="0" t="n">
        <f aca="false">X1586+Z1586</f>
        <v>45.2491287627365</v>
      </c>
      <c r="AC1586" s="54" t="b">
        <f aca="false">AND(E1586&gt;=01_因子設定!$L$5-0.000000001,E1586&lt;=01_因子設定!$M$5+0.000000001,F1586&gt;=01_因子設定!$L$6-0.000000001,F1586&lt;=01_因子設定!$M$6+0.000000001,G1586&gt;=01_因子設定!$L$7-0.000000001,G1586&lt;=01_因子設定!$M$7+0.000000001,H1586&gt;=01_因子設定!$L$8-0.000000001,H1586&lt;=01_因子設定!$M$8+0.000000001,IF(01_因子設定!$B$20="Box-Behnken",E1586^2+F1586^2+G1586^2+H1586^2&lt;=2+0.000000001,TRUE()))</f>
        <v>1</v>
      </c>
      <c r="AD1586" s="55" t="n">
        <f aca="false">IF(AC1586,IF(01_因子設定!$B$13="最大化",AA1586-01_因子設定!$B$14,IF(01_因子設定!$B$13="最小化",01_因子設定!$B$15-AB1586,MIN(AA1586-01_因子設定!$B$14,01_因子設定!$B$15-AB1586))),-1E+030)</f>
        <v>-4.12210025396468</v>
      </c>
      <c r="AE1586" s="55" t="n">
        <f aca="false">IF(AC1586,IF(01_因子設定!$B$13="最大化",X1586,IF(01_因子設定!$B$13="最小化",-X1586,-ABS(X1586-01_因子設定!$B$16))),-1E+030)</f>
        <v>43.8135142543859</v>
      </c>
      <c r="AF1586" s="55" t="n">
        <f aca="false">AD1586+ROW()*0.000000001</f>
        <v>-4.12209866796468</v>
      </c>
      <c r="AG1586" s="55" t="n">
        <f aca="false">AE1586+ROW()*0.000000001</f>
        <v>43.8135158403859</v>
      </c>
    </row>
    <row r="1587" customFormat="false" ht="15" hidden="false" customHeight="false" outlineLevel="0" collapsed="false">
      <c r="A1587" s="0" t="n">
        <v>2</v>
      </c>
      <c r="B1587" s="0" t="n">
        <v>1</v>
      </c>
      <c r="C1587" s="0" t="n">
        <v>4</v>
      </c>
      <c r="D1587" s="0" t="n">
        <v>7</v>
      </c>
      <c r="E1587" s="0" t="n">
        <f aca="false">-1+A1587*0.25</f>
        <v>-0.5</v>
      </c>
      <c r="F1587" s="0" t="n">
        <f aca="false">-1+B1587*0.25</f>
        <v>-0.75</v>
      </c>
      <c r="G1587" s="0" t="n">
        <f aca="false">-1+C1587*0.25</f>
        <v>0</v>
      </c>
      <c r="H1587" s="0" t="n">
        <f aca="false">-1+D1587*0.25</f>
        <v>0.75</v>
      </c>
      <c r="I1587" s="0" t="n">
        <f aca="false">1</f>
        <v>1</v>
      </c>
      <c r="J1587" s="0" t="n">
        <f aca="false">E1587</f>
        <v>-0.5</v>
      </c>
      <c r="K1587" s="0" t="n">
        <f aca="false">F1587</f>
        <v>-0.75</v>
      </c>
      <c r="L1587" s="0" t="n">
        <f aca="false">G1587</f>
        <v>0</v>
      </c>
      <c r="M1587" s="0" t="n">
        <f aca="false">H1587</f>
        <v>0.75</v>
      </c>
      <c r="N1587" s="0" t="n">
        <f aca="false">E1587*F1587</f>
        <v>0.375</v>
      </c>
      <c r="O1587" s="0" t="n">
        <f aca="false">E1587*G1587</f>
        <v>-0</v>
      </c>
      <c r="P1587" s="0" t="n">
        <f aca="false">E1587*H1587</f>
        <v>-0.375</v>
      </c>
      <c r="Q1587" s="0" t="n">
        <f aca="false">F1587*G1587</f>
        <v>-0</v>
      </c>
      <c r="R1587" s="0" t="n">
        <f aca="false">F1587*H1587</f>
        <v>-0.5625</v>
      </c>
      <c r="S1587" s="0" t="n">
        <f aca="false">G1587*H1587</f>
        <v>0</v>
      </c>
      <c r="T1587" s="0" t="n">
        <f aca="false">E1587*E1587</f>
        <v>0.25</v>
      </c>
      <c r="U1587" s="0" t="n">
        <f aca="false">F1587*F1587</f>
        <v>0.5625</v>
      </c>
      <c r="V1587" s="0" t="n">
        <f aca="false">G1587*G1587</f>
        <v>0</v>
      </c>
      <c r="W1587" s="0" t="n">
        <f aca="false">H1587*H1587</f>
        <v>0.5625</v>
      </c>
      <c r="X1587" s="0" t="n">
        <f aca="false">SUMPRODUCT(I1587:W1587,_XtX!$B$96:$P$96)</f>
        <v>43.8196043494152</v>
      </c>
      <c r="Y1587" s="0" t="n">
        <f aca="false">SUMPRODUCT(MMULT(I1587:W1587,_XtX!$B$78:$P$92),I1587:W1587)</f>
        <v>0.269923873812135</v>
      </c>
      <c r="Z1587" s="0" t="n">
        <f aca="false">04_回帰ANOVA!$K$19*04_回帰ANOVA!$K$14*SQRT(1+Y1587)</f>
        <v>1.46888310825501</v>
      </c>
      <c r="AA1587" s="0" t="n">
        <f aca="false">X1587-Z1587</f>
        <v>42.3507212411602</v>
      </c>
      <c r="AB1587" s="0" t="n">
        <f aca="false">X1587+Z1587</f>
        <v>45.2884874576702</v>
      </c>
      <c r="AC1587" s="54" t="b">
        <f aca="false">AND(E1587&gt;=01_因子設定!$L$5-0.000000001,E1587&lt;=01_因子設定!$M$5+0.000000001,F1587&gt;=01_因子設定!$L$6-0.000000001,F1587&lt;=01_因子設定!$M$6+0.000000001,G1587&gt;=01_因子設定!$L$7-0.000000001,G1587&lt;=01_因子設定!$M$7+0.000000001,H1587&gt;=01_因子設定!$L$8-0.000000001,H1587&lt;=01_因子設定!$M$8+0.000000001,IF(01_因子設定!$B$20="Box-Behnken",E1587^2+F1587^2+G1587^2+H1587^2&lt;=2+0.000000001,TRUE()))</f>
        <v>1</v>
      </c>
      <c r="AD1587" s="55" t="n">
        <f aca="false">IF(AC1587,IF(01_因子設定!$B$13="最大化",AA1587-01_因子設定!$B$14,IF(01_因子設定!$B$13="最小化",01_因子設定!$B$15-AB1587,MIN(AA1587-01_因子設定!$B$14,01_因子設定!$B$15-AB1587))),-1E+030)</f>
        <v>-4.14927875883983</v>
      </c>
      <c r="AE1587" s="55" t="n">
        <f aca="false">IF(AC1587,IF(01_因子設定!$B$13="最大化",X1587,IF(01_因子設定!$B$13="最小化",-X1587,-ABS(X1587-01_因子設定!$B$16))),-1E+030)</f>
        <v>43.8196043494152</v>
      </c>
      <c r="AF1587" s="55" t="n">
        <f aca="false">AD1587+ROW()*0.000000001</f>
        <v>-4.14927717183983</v>
      </c>
      <c r="AG1587" s="55" t="n">
        <f aca="false">AE1587+ROW()*0.000000001</f>
        <v>43.8196059364152</v>
      </c>
    </row>
    <row r="1588" customFormat="false" ht="15" hidden="false" customHeight="false" outlineLevel="0" collapsed="false">
      <c r="A1588" s="0" t="n">
        <v>2</v>
      </c>
      <c r="B1588" s="0" t="n">
        <v>1</v>
      </c>
      <c r="C1588" s="0" t="n">
        <v>4</v>
      </c>
      <c r="D1588" s="0" t="n">
        <v>8</v>
      </c>
      <c r="E1588" s="0" t="n">
        <f aca="false">-1+A1588*0.25</f>
        <v>-0.5</v>
      </c>
      <c r="F1588" s="0" t="n">
        <f aca="false">-1+B1588*0.25</f>
        <v>-0.75</v>
      </c>
      <c r="G1588" s="0" t="n">
        <f aca="false">-1+C1588*0.25</f>
        <v>0</v>
      </c>
      <c r="H1588" s="0" t="n">
        <f aca="false">-1+D1588*0.25</f>
        <v>1</v>
      </c>
      <c r="I1588" s="0" t="n">
        <f aca="false">1</f>
        <v>1</v>
      </c>
      <c r="J1588" s="0" t="n">
        <f aca="false">E1588</f>
        <v>-0.5</v>
      </c>
      <c r="K1588" s="0" t="n">
        <f aca="false">F1588</f>
        <v>-0.75</v>
      </c>
      <c r="L1588" s="0" t="n">
        <f aca="false">G1588</f>
        <v>0</v>
      </c>
      <c r="M1588" s="0" t="n">
        <f aca="false">H1588</f>
        <v>1</v>
      </c>
      <c r="N1588" s="0" t="n">
        <f aca="false">E1588*F1588</f>
        <v>0.375</v>
      </c>
      <c r="O1588" s="0" t="n">
        <f aca="false">E1588*G1588</f>
        <v>-0</v>
      </c>
      <c r="P1588" s="0" t="n">
        <f aca="false">E1588*H1588</f>
        <v>-0.5</v>
      </c>
      <c r="Q1588" s="0" t="n">
        <f aca="false">F1588*G1588</f>
        <v>-0</v>
      </c>
      <c r="R1588" s="0" t="n">
        <f aca="false">F1588*H1588</f>
        <v>-0.75</v>
      </c>
      <c r="S1588" s="0" t="n">
        <f aca="false">G1588*H1588</f>
        <v>0</v>
      </c>
      <c r="T1588" s="0" t="n">
        <f aca="false">E1588*E1588</f>
        <v>0.25</v>
      </c>
      <c r="U1588" s="0" t="n">
        <f aca="false">F1588*F1588</f>
        <v>0.5625</v>
      </c>
      <c r="V1588" s="0" t="n">
        <f aca="false">G1588*G1588</f>
        <v>0</v>
      </c>
      <c r="W1588" s="0" t="n">
        <f aca="false">H1588*H1588</f>
        <v>1</v>
      </c>
      <c r="X1588" s="0" t="n">
        <f aca="false">SUMPRODUCT(I1588:W1588,_XtX!$B$96:$P$96)</f>
        <v>43.7778874269006</v>
      </c>
      <c r="Y1588" s="0" t="n">
        <f aca="false">SUMPRODUCT(MMULT(I1588:W1588,_XtX!$B$78:$P$92),I1588:W1588)</f>
        <v>0.476191292032164</v>
      </c>
      <c r="Z1588" s="0" t="n">
        <f aca="false">04_回帰ANOVA!$K$19*04_回帰ANOVA!$K$14*SQRT(1+Y1588)</f>
        <v>1.58368831471718</v>
      </c>
      <c r="AA1588" s="0" t="n">
        <f aca="false">X1588-Z1588</f>
        <v>42.1941991121834</v>
      </c>
      <c r="AB1588" s="0" t="n">
        <f aca="false">X1588+Z1588</f>
        <v>45.3615757416178</v>
      </c>
      <c r="AC1588" s="54" t="b">
        <f aca="false">AND(E1588&gt;=01_因子設定!$L$5-0.000000001,E1588&lt;=01_因子設定!$M$5+0.000000001,F1588&gt;=01_因子設定!$L$6-0.000000001,F1588&lt;=01_因子設定!$M$6+0.000000001,G1588&gt;=01_因子設定!$L$7-0.000000001,G1588&lt;=01_因子設定!$M$7+0.000000001,H1588&gt;=01_因子設定!$L$8-0.000000001,H1588&lt;=01_因子設定!$M$8+0.000000001,IF(01_因子設定!$B$20="Box-Behnken",E1588^2+F1588^2+G1588^2+H1588^2&lt;=2+0.000000001,TRUE()))</f>
        <v>1</v>
      </c>
      <c r="AD1588" s="55" t="n">
        <f aca="false">IF(AC1588,IF(01_因子設定!$B$13="最大化",AA1588-01_因子設定!$B$14,IF(01_因子設定!$B$13="最小化",01_因子設定!$B$15-AB1588,MIN(AA1588-01_因子設定!$B$14,01_因子設定!$B$15-AB1588))),-1E+030)</f>
        <v>-4.3058008878166</v>
      </c>
      <c r="AE1588" s="55" t="n">
        <f aca="false">IF(AC1588,IF(01_因子設定!$B$13="最大化",X1588,IF(01_因子設定!$B$13="最小化",-X1588,-ABS(X1588-01_因子設定!$B$16))),-1E+030)</f>
        <v>43.7778874269006</v>
      </c>
      <c r="AF1588" s="55" t="n">
        <f aca="false">AD1588+ROW()*0.000000001</f>
        <v>-4.3057992998166</v>
      </c>
      <c r="AG1588" s="55" t="n">
        <f aca="false">AE1588+ROW()*0.000000001</f>
        <v>43.7778890149006</v>
      </c>
    </row>
    <row r="1589" customFormat="false" ht="15" hidden="false" customHeight="false" outlineLevel="0" collapsed="false">
      <c r="A1589" s="0" t="n">
        <v>2</v>
      </c>
      <c r="B1589" s="0" t="n">
        <v>1</v>
      </c>
      <c r="C1589" s="0" t="n">
        <v>5</v>
      </c>
      <c r="D1589" s="0" t="n">
        <v>0</v>
      </c>
      <c r="E1589" s="0" t="n">
        <f aca="false">-1+A1589*0.25</f>
        <v>-0.5</v>
      </c>
      <c r="F1589" s="0" t="n">
        <f aca="false">-1+B1589*0.25</f>
        <v>-0.75</v>
      </c>
      <c r="G1589" s="0" t="n">
        <f aca="false">-1+C1589*0.25</f>
        <v>0.25</v>
      </c>
      <c r="H1589" s="0" t="n">
        <f aca="false">-1+D1589*0.25</f>
        <v>-1</v>
      </c>
      <c r="I1589" s="0" t="n">
        <f aca="false">1</f>
        <v>1</v>
      </c>
      <c r="J1589" s="0" t="n">
        <f aca="false">E1589</f>
        <v>-0.5</v>
      </c>
      <c r="K1589" s="0" t="n">
        <f aca="false">F1589</f>
        <v>-0.75</v>
      </c>
      <c r="L1589" s="0" t="n">
        <f aca="false">G1589</f>
        <v>0.25</v>
      </c>
      <c r="M1589" s="0" t="n">
        <f aca="false">H1589</f>
        <v>-1</v>
      </c>
      <c r="N1589" s="0" t="n">
        <f aca="false">E1589*F1589</f>
        <v>0.375</v>
      </c>
      <c r="O1589" s="0" t="n">
        <f aca="false">E1589*G1589</f>
        <v>-0.125</v>
      </c>
      <c r="P1589" s="0" t="n">
        <f aca="false">E1589*H1589</f>
        <v>0.5</v>
      </c>
      <c r="Q1589" s="0" t="n">
        <f aca="false">F1589*G1589</f>
        <v>-0.1875</v>
      </c>
      <c r="R1589" s="0" t="n">
        <f aca="false">F1589*H1589</f>
        <v>0.75</v>
      </c>
      <c r="S1589" s="0" t="n">
        <f aca="false">G1589*H1589</f>
        <v>-0.25</v>
      </c>
      <c r="T1589" s="0" t="n">
        <f aca="false">E1589*E1589</f>
        <v>0.25</v>
      </c>
      <c r="U1589" s="0" t="n">
        <f aca="false">F1589*F1589</f>
        <v>0.5625</v>
      </c>
      <c r="V1589" s="0" t="n">
        <f aca="false">G1589*G1589</f>
        <v>0.0625</v>
      </c>
      <c r="W1589" s="0" t="n">
        <f aca="false">H1589*H1589</f>
        <v>1</v>
      </c>
      <c r="X1589" s="0" t="n">
        <f aca="false">SUMPRODUCT(I1589:W1589,_XtX!$B$96:$P$96)</f>
        <v>42.9269873903509</v>
      </c>
      <c r="Y1589" s="0" t="n">
        <f aca="false">SUMPRODUCT(MMULT(I1589:W1589,_XtX!$B$78:$P$92),I1589:W1589)</f>
        <v>0.459125719572369</v>
      </c>
      <c r="Z1589" s="0" t="n">
        <f aca="false">04_回帰ANOVA!$K$19*04_回帰ANOVA!$K$14*SQRT(1+Y1589)</f>
        <v>1.57450755575573</v>
      </c>
      <c r="AA1589" s="0" t="n">
        <f aca="false">X1589-Z1589</f>
        <v>41.3524798345951</v>
      </c>
      <c r="AB1589" s="0" t="n">
        <f aca="false">X1589+Z1589</f>
        <v>44.5014949461066</v>
      </c>
      <c r="AC1589" s="54" t="b">
        <f aca="false">AND(E1589&gt;=01_因子設定!$L$5-0.000000001,E1589&lt;=01_因子設定!$M$5+0.000000001,F1589&gt;=01_因子設定!$L$6-0.000000001,F1589&lt;=01_因子設定!$M$6+0.000000001,G1589&gt;=01_因子設定!$L$7-0.000000001,G1589&lt;=01_因子設定!$M$7+0.000000001,H1589&gt;=01_因子設定!$L$8-0.000000001,H1589&lt;=01_因子設定!$M$8+0.000000001,IF(01_因子設定!$B$20="Box-Behnken",E1589^2+F1589^2+G1589^2+H1589^2&lt;=2+0.000000001,TRUE()))</f>
        <v>1</v>
      </c>
      <c r="AD1589" s="55" t="n">
        <f aca="false">IF(AC1589,IF(01_因子設定!$B$13="最大化",AA1589-01_因子設定!$B$14,IF(01_因子設定!$B$13="最小化",01_因子設定!$B$15-AB1589,MIN(AA1589-01_因子設定!$B$14,01_因子設定!$B$15-AB1589))),-1E+030)</f>
        <v>-5.14752016540486</v>
      </c>
      <c r="AE1589" s="55" t="n">
        <f aca="false">IF(AC1589,IF(01_因子設定!$B$13="最大化",X1589,IF(01_因子設定!$B$13="最小化",-X1589,-ABS(X1589-01_因子設定!$B$16))),-1E+030)</f>
        <v>42.9269873903509</v>
      </c>
      <c r="AF1589" s="55" t="n">
        <f aca="false">AD1589+ROW()*0.000000001</f>
        <v>-5.14751857640486</v>
      </c>
      <c r="AG1589" s="55" t="n">
        <f aca="false">AE1589+ROW()*0.000000001</f>
        <v>42.9269889793509</v>
      </c>
    </row>
    <row r="1590" customFormat="false" ht="15" hidden="false" customHeight="false" outlineLevel="0" collapsed="false">
      <c r="A1590" s="0" t="n">
        <v>2</v>
      </c>
      <c r="B1590" s="0" t="n">
        <v>1</v>
      </c>
      <c r="C1590" s="0" t="n">
        <v>5</v>
      </c>
      <c r="D1590" s="0" t="n">
        <v>1</v>
      </c>
      <c r="E1590" s="0" t="n">
        <f aca="false">-1+A1590*0.25</f>
        <v>-0.5</v>
      </c>
      <c r="F1590" s="0" t="n">
        <f aca="false">-1+B1590*0.25</f>
        <v>-0.75</v>
      </c>
      <c r="G1590" s="0" t="n">
        <f aca="false">-1+C1590*0.25</f>
        <v>0.25</v>
      </c>
      <c r="H1590" s="0" t="n">
        <f aca="false">-1+D1590*0.25</f>
        <v>-0.75</v>
      </c>
      <c r="I1590" s="0" t="n">
        <f aca="false">1</f>
        <v>1</v>
      </c>
      <c r="J1590" s="0" t="n">
        <f aca="false">E1590</f>
        <v>-0.5</v>
      </c>
      <c r="K1590" s="0" t="n">
        <f aca="false">F1590</f>
        <v>-0.75</v>
      </c>
      <c r="L1590" s="0" t="n">
        <f aca="false">G1590</f>
        <v>0.25</v>
      </c>
      <c r="M1590" s="0" t="n">
        <f aca="false">H1590</f>
        <v>-0.75</v>
      </c>
      <c r="N1590" s="0" t="n">
        <f aca="false">E1590*F1590</f>
        <v>0.375</v>
      </c>
      <c r="O1590" s="0" t="n">
        <f aca="false">E1590*G1590</f>
        <v>-0.125</v>
      </c>
      <c r="P1590" s="0" t="n">
        <f aca="false">E1590*H1590</f>
        <v>0.375</v>
      </c>
      <c r="Q1590" s="0" t="n">
        <f aca="false">F1590*G1590</f>
        <v>-0.1875</v>
      </c>
      <c r="R1590" s="0" t="n">
        <f aca="false">F1590*H1590</f>
        <v>0.5625</v>
      </c>
      <c r="S1590" s="0" t="n">
        <f aca="false">G1590*H1590</f>
        <v>-0.1875</v>
      </c>
      <c r="T1590" s="0" t="n">
        <f aca="false">E1590*E1590</f>
        <v>0.25</v>
      </c>
      <c r="U1590" s="0" t="n">
        <f aca="false">F1590*F1590</f>
        <v>0.5625</v>
      </c>
      <c r="V1590" s="0" t="n">
        <f aca="false">G1590*G1590</f>
        <v>0.0625</v>
      </c>
      <c r="W1590" s="0" t="n">
        <f aca="false">H1590*H1590</f>
        <v>0.5625</v>
      </c>
      <c r="X1590" s="0" t="n">
        <f aca="false">SUMPRODUCT(I1590:W1590,_XtX!$B$96:$P$96)</f>
        <v>43.2378883406433</v>
      </c>
      <c r="Y1590" s="0" t="n">
        <f aca="false">SUMPRODUCT(MMULT(I1590:W1590,_XtX!$B$78:$P$92),I1590:W1590)</f>
        <v>0.257385610836988</v>
      </c>
      <c r="Z1590" s="0" t="n">
        <f aca="false">04_回帰ANOVA!$K$19*04_回帰ANOVA!$K$14*SQRT(1+Y1590)</f>
        <v>1.46161380324158</v>
      </c>
      <c r="AA1590" s="0" t="n">
        <f aca="false">X1590-Z1590</f>
        <v>41.7762745374017</v>
      </c>
      <c r="AB1590" s="0" t="n">
        <f aca="false">X1590+Z1590</f>
        <v>44.6995021438848</v>
      </c>
      <c r="AC1590" s="54" t="b">
        <f aca="false">AND(E1590&gt;=01_因子設定!$L$5-0.000000001,E1590&lt;=01_因子設定!$M$5+0.000000001,F1590&gt;=01_因子設定!$L$6-0.000000001,F1590&lt;=01_因子設定!$M$6+0.000000001,G1590&gt;=01_因子設定!$L$7-0.000000001,G1590&lt;=01_因子設定!$M$7+0.000000001,H1590&gt;=01_因子設定!$L$8-0.000000001,H1590&lt;=01_因子設定!$M$8+0.000000001,IF(01_因子設定!$B$20="Box-Behnken",E1590^2+F1590^2+G1590^2+H1590^2&lt;=2+0.000000001,TRUE()))</f>
        <v>1</v>
      </c>
      <c r="AD1590" s="55" t="n">
        <f aca="false">IF(AC1590,IF(01_因子設定!$B$13="最大化",AA1590-01_因子設定!$B$14,IF(01_因子設定!$B$13="最小化",01_因子設定!$B$15-AB1590,MIN(AA1590-01_因子設定!$B$14,01_因子設定!$B$15-AB1590))),-1E+030)</f>
        <v>-4.72372546259833</v>
      </c>
      <c r="AE1590" s="55" t="n">
        <f aca="false">IF(AC1590,IF(01_因子設定!$B$13="最大化",X1590,IF(01_因子設定!$B$13="最小化",-X1590,-ABS(X1590-01_因子設定!$B$16))),-1E+030)</f>
        <v>43.2378883406433</v>
      </c>
      <c r="AF1590" s="55" t="n">
        <f aca="false">AD1590+ROW()*0.000000001</f>
        <v>-4.72372387259833</v>
      </c>
      <c r="AG1590" s="55" t="n">
        <f aca="false">AE1590+ROW()*0.000000001</f>
        <v>43.2378899306433</v>
      </c>
    </row>
    <row r="1591" customFormat="false" ht="15" hidden="false" customHeight="false" outlineLevel="0" collapsed="false">
      <c r="A1591" s="0" t="n">
        <v>2</v>
      </c>
      <c r="B1591" s="0" t="n">
        <v>1</v>
      </c>
      <c r="C1591" s="0" t="n">
        <v>5</v>
      </c>
      <c r="D1591" s="0" t="n">
        <v>2</v>
      </c>
      <c r="E1591" s="0" t="n">
        <f aca="false">-1+A1591*0.25</f>
        <v>-0.5</v>
      </c>
      <c r="F1591" s="0" t="n">
        <f aca="false">-1+B1591*0.25</f>
        <v>-0.75</v>
      </c>
      <c r="G1591" s="0" t="n">
        <f aca="false">-1+C1591*0.25</f>
        <v>0.25</v>
      </c>
      <c r="H1591" s="0" t="n">
        <f aca="false">-1+D1591*0.25</f>
        <v>-0.5</v>
      </c>
      <c r="I1591" s="0" t="n">
        <f aca="false">1</f>
        <v>1</v>
      </c>
      <c r="J1591" s="0" t="n">
        <f aca="false">E1591</f>
        <v>-0.5</v>
      </c>
      <c r="K1591" s="0" t="n">
        <f aca="false">F1591</f>
        <v>-0.75</v>
      </c>
      <c r="L1591" s="0" t="n">
        <f aca="false">G1591</f>
        <v>0.25</v>
      </c>
      <c r="M1591" s="0" t="n">
        <f aca="false">H1591</f>
        <v>-0.5</v>
      </c>
      <c r="N1591" s="0" t="n">
        <f aca="false">E1591*F1591</f>
        <v>0.375</v>
      </c>
      <c r="O1591" s="0" t="n">
        <f aca="false">E1591*G1591</f>
        <v>-0.125</v>
      </c>
      <c r="P1591" s="0" t="n">
        <f aca="false">E1591*H1591</f>
        <v>0.25</v>
      </c>
      <c r="Q1591" s="0" t="n">
        <f aca="false">F1591*G1591</f>
        <v>-0.1875</v>
      </c>
      <c r="R1591" s="0" t="n">
        <f aca="false">F1591*H1591</f>
        <v>0.375</v>
      </c>
      <c r="S1591" s="0" t="n">
        <f aca="false">G1591*H1591</f>
        <v>-0.125</v>
      </c>
      <c r="T1591" s="0" t="n">
        <f aca="false">E1591*E1591</f>
        <v>0.25</v>
      </c>
      <c r="U1591" s="0" t="n">
        <f aca="false">F1591*F1591</f>
        <v>0.5625</v>
      </c>
      <c r="V1591" s="0" t="n">
        <f aca="false">G1591*G1591</f>
        <v>0.0625</v>
      </c>
      <c r="W1591" s="0" t="n">
        <f aca="false">H1591*H1591</f>
        <v>0.25</v>
      </c>
      <c r="X1591" s="0" t="n">
        <f aca="false">SUMPRODUCT(I1591:W1591,_XtX!$B$96:$P$96)</f>
        <v>43.5009822733918</v>
      </c>
      <c r="Y1591" s="0" t="n">
        <f aca="false">SUMPRODUCT(MMULT(I1591:W1591,_XtX!$B$78:$P$92),I1591:W1591)</f>
        <v>0.203746059484649</v>
      </c>
      <c r="Z1591" s="0" t="n">
        <f aca="false">04_回帰ANOVA!$K$19*04_回帰ANOVA!$K$14*SQRT(1+Y1591)</f>
        <v>1.43009810755465</v>
      </c>
      <c r="AA1591" s="0" t="n">
        <f aca="false">X1591-Z1591</f>
        <v>42.0708841658371</v>
      </c>
      <c r="AB1591" s="0" t="n">
        <f aca="false">X1591+Z1591</f>
        <v>44.9310803809464</v>
      </c>
      <c r="AC1591" s="54" t="b">
        <f aca="false">AND(E1591&gt;=01_因子設定!$L$5-0.000000001,E1591&lt;=01_因子設定!$M$5+0.000000001,F1591&gt;=01_因子設定!$L$6-0.000000001,F1591&lt;=01_因子設定!$M$6+0.000000001,G1591&gt;=01_因子設定!$L$7-0.000000001,G1591&lt;=01_因子設定!$M$7+0.000000001,H1591&gt;=01_因子設定!$L$8-0.000000001,H1591&lt;=01_因子設定!$M$8+0.000000001,IF(01_因子設定!$B$20="Box-Behnken",E1591^2+F1591^2+G1591^2+H1591^2&lt;=2+0.000000001,TRUE()))</f>
        <v>1</v>
      </c>
      <c r="AD1591" s="55" t="n">
        <f aca="false">IF(AC1591,IF(01_因子設定!$B$13="最大化",AA1591-01_因子設定!$B$14,IF(01_因子設定!$B$13="最小化",01_因子設定!$B$15-AB1591,MIN(AA1591-01_因子設定!$B$14,01_因子設定!$B$15-AB1591))),-1E+030)</f>
        <v>-4.42911583416287</v>
      </c>
      <c r="AE1591" s="55" t="n">
        <f aca="false">IF(AC1591,IF(01_因子設定!$B$13="最大化",X1591,IF(01_因子設定!$B$13="最小化",-X1591,-ABS(X1591-01_因子設定!$B$16))),-1E+030)</f>
        <v>43.5009822733918</v>
      </c>
      <c r="AF1591" s="55" t="n">
        <f aca="false">AD1591+ROW()*0.000000001</f>
        <v>-4.42911424316287</v>
      </c>
      <c r="AG1591" s="55" t="n">
        <f aca="false">AE1591+ROW()*0.000000001</f>
        <v>43.5009838643918</v>
      </c>
    </row>
    <row r="1592" customFormat="false" ht="15" hidden="false" customHeight="false" outlineLevel="0" collapsed="false">
      <c r="A1592" s="0" t="n">
        <v>2</v>
      </c>
      <c r="B1592" s="0" t="n">
        <v>1</v>
      </c>
      <c r="C1592" s="0" t="n">
        <v>5</v>
      </c>
      <c r="D1592" s="0" t="n">
        <v>3</v>
      </c>
      <c r="E1592" s="0" t="n">
        <f aca="false">-1+A1592*0.25</f>
        <v>-0.5</v>
      </c>
      <c r="F1592" s="0" t="n">
        <f aca="false">-1+B1592*0.25</f>
        <v>-0.75</v>
      </c>
      <c r="G1592" s="0" t="n">
        <f aca="false">-1+C1592*0.25</f>
        <v>0.25</v>
      </c>
      <c r="H1592" s="0" t="n">
        <f aca="false">-1+D1592*0.25</f>
        <v>-0.25</v>
      </c>
      <c r="I1592" s="0" t="n">
        <f aca="false">1</f>
        <v>1</v>
      </c>
      <c r="J1592" s="0" t="n">
        <f aca="false">E1592</f>
        <v>-0.5</v>
      </c>
      <c r="K1592" s="0" t="n">
        <f aca="false">F1592</f>
        <v>-0.75</v>
      </c>
      <c r="L1592" s="0" t="n">
        <f aca="false">G1592</f>
        <v>0.25</v>
      </c>
      <c r="M1592" s="0" t="n">
        <f aca="false">H1592</f>
        <v>-0.25</v>
      </c>
      <c r="N1592" s="0" t="n">
        <f aca="false">E1592*F1592</f>
        <v>0.375</v>
      </c>
      <c r="O1592" s="0" t="n">
        <f aca="false">E1592*G1592</f>
        <v>-0.125</v>
      </c>
      <c r="P1592" s="0" t="n">
        <f aca="false">E1592*H1592</f>
        <v>0.125</v>
      </c>
      <c r="Q1592" s="0" t="n">
        <f aca="false">F1592*G1592</f>
        <v>-0.1875</v>
      </c>
      <c r="R1592" s="0" t="n">
        <f aca="false">F1592*H1592</f>
        <v>0.1875</v>
      </c>
      <c r="S1592" s="0" t="n">
        <f aca="false">G1592*H1592</f>
        <v>-0.0625</v>
      </c>
      <c r="T1592" s="0" t="n">
        <f aca="false">E1592*E1592</f>
        <v>0.25</v>
      </c>
      <c r="U1592" s="0" t="n">
        <f aca="false">F1592*F1592</f>
        <v>0.5625</v>
      </c>
      <c r="V1592" s="0" t="n">
        <f aca="false">G1592*G1592</f>
        <v>0.0625</v>
      </c>
      <c r="W1592" s="0" t="n">
        <f aca="false">H1592*H1592</f>
        <v>0.0625</v>
      </c>
      <c r="X1592" s="0" t="n">
        <f aca="false">SUMPRODUCT(I1592:W1592,_XtX!$B$96:$P$96)</f>
        <v>43.7162691885965</v>
      </c>
      <c r="Y1592" s="0" t="n">
        <f aca="false">SUMPRODUCT(MMULT(I1592:W1592,_XtX!$B$78:$P$92),I1592:W1592)</f>
        <v>0.207746539199561</v>
      </c>
      <c r="Z1592" s="0" t="n">
        <f aca="false">04_回帰ANOVA!$K$19*04_回帰ANOVA!$K$14*SQRT(1+Y1592)</f>
        <v>1.43247250081141</v>
      </c>
      <c r="AA1592" s="0" t="n">
        <f aca="false">X1592-Z1592</f>
        <v>42.283796687785</v>
      </c>
      <c r="AB1592" s="0" t="n">
        <f aca="false">X1592+Z1592</f>
        <v>45.1487416894079</v>
      </c>
      <c r="AC1592" s="54" t="b">
        <f aca="false">AND(E1592&gt;=01_因子設定!$L$5-0.000000001,E1592&lt;=01_因子設定!$M$5+0.000000001,F1592&gt;=01_因子設定!$L$6-0.000000001,F1592&lt;=01_因子設定!$M$6+0.000000001,G1592&gt;=01_因子設定!$L$7-0.000000001,G1592&lt;=01_因子設定!$M$7+0.000000001,H1592&gt;=01_因子設定!$L$8-0.000000001,H1592&lt;=01_因子設定!$M$8+0.000000001,IF(01_因子設定!$B$20="Box-Behnken",E1592^2+F1592^2+G1592^2+H1592^2&lt;=2+0.000000001,TRUE()))</f>
        <v>1</v>
      </c>
      <c r="AD1592" s="55" t="n">
        <f aca="false">IF(AC1592,IF(01_因子設定!$B$13="最大化",AA1592-01_因子設定!$B$14,IF(01_因子設定!$B$13="最小化",01_因子設定!$B$15-AB1592,MIN(AA1592-01_因子設定!$B$14,01_因子設定!$B$15-AB1592))),-1E+030)</f>
        <v>-4.21620331221496</v>
      </c>
      <c r="AE1592" s="55" t="n">
        <f aca="false">IF(AC1592,IF(01_因子設定!$B$13="最大化",X1592,IF(01_因子設定!$B$13="最小化",-X1592,-ABS(X1592-01_因子設定!$B$16))),-1E+030)</f>
        <v>43.7162691885965</v>
      </c>
      <c r="AF1592" s="55" t="n">
        <f aca="false">AD1592+ROW()*0.000000001</f>
        <v>-4.21620172021496</v>
      </c>
      <c r="AG1592" s="55" t="n">
        <f aca="false">AE1592+ROW()*0.000000001</f>
        <v>43.7162707805964</v>
      </c>
    </row>
    <row r="1593" customFormat="false" ht="15" hidden="false" customHeight="false" outlineLevel="0" collapsed="false">
      <c r="A1593" s="0" t="n">
        <v>2</v>
      </c>
      <c r="B1593" s="0" t="n">
        <v>1</v>
      </c>
      <c r="C1593" s="0" t="n">
        <v>5</v>
      </c>
      <c r="D1593" s="0" t="n">
        <v>4</v>
      </c>
      <c r="E1593" s="0" t="n">
        <f aca="false">-1+A1593*0.25</f>
        <v>-0.5</v>
      </c>
      <c r="F1593" s="0" t="n">
        <f aca="false">-1+B1593*0.25</f>
        <v>-0.75</v>
      </c>
      <c r="G1593" s="0" t="n">
        <f aca="false">-1+C1593*0.25</f>
        <v>0.25</v>
      </c>
      <c r="H1593" s="0" t="n">
        <f aca="false">-1+D1593*0.25</f>
        <v>0</v>
      </c>
      <c r="I1593" s="0" t="n">
        <f aca="false">1</f>
        <v>1</v>
      </c>
      <c r="J1593" s="0" t="n">
        <f aca="false">E1593</f>
        <v>-0.5</v>
      </c>
      <c r="K1593" s="0" t="n">
        <f aca="false">F1593</f>
        <v>-0.75</v>
      </c>
      <c r="L1593" s="0" t="n">
        <f aca="false">G1593</f>
        <v>0.25</v>
      </c>
      <c r="M1593" s="0" t="n">
        <f aca="false">H1593</f>
        <v>0</v>
      </c>
      <c r="N1593" s="0" t="n">
        <f aca="false">E1593*F1593</f>
        <v>0.375</v>
      </c>
      <c r="O1593" s="0" t="n">
        <f aca="false">E1593*G1593</f>
        <v>-0.125</v>
      </c>
      <c r="P1593" s="0" t="n">
        <f aca="false">E1593*H1593</f>
        <v>-0</v>
      </c>
      <c r="Q1593" s="0" t="n">
        <f aca="false">F1593*G1593</f>
        <v>-0.1875</v>
      </c>
      <c r="R1593" s="0" t="n">
        <f aca="false">F1593*H1593</f>
        <v>-0</v>
      </c>
      <c r="S1593" s="0" t="n">
        <f aca="false">G1593*H1593</f>
        <v>0</v>
      </c>
      <c r="T1593" s="0" t="n">
        <f aca="false">E1593*E1593</f>
        <v>0.25</v>
      </c>
      <c r="U1593" s="0" t="n">
        <f aca="false">F1593*F1593</f>
        <v>0.5625</v>
      </c>
      <c r="V1593" s="0" t="n">
        <f aca="false">G1593*G1593</f>
        <v>0.0625</v>
      </c>
      <c r="W1593" s="0" t="n">
        <f aca="false">H1593*H1593</f>
        <v>0</v>
      </c>
      <c r="X1593" s="0" t="n">
        <f aca="false">SUMPRODUCT(I1593:W1593,_XtX!$B$96:$P$96)</f>
        <v>43.8837490862573</v>
      </c>
      <c r="Y1593" s="0" t="n">
        <f aca="false">SUMPRODUCT(MMULT(I1593:W1593,_XtX!$B$78:$P$92),I1593:W1593)</f>
        <v>0.215110734192252</v>
      </c>
      <c r="Z1593" s="0" t="n">
        <f aca="false">04_回帰ANOVA!$K$19*04_回帰ANOVA!$K$14*SQRT(1+Y1593)</f>
        <v>1.43683309086864</v>
      </c>
      <c r="AA1593" s="0" t="n">
        <f aca="false">X1593-Z1593</f>
        <v>42.4469159953886</v>
      </c>
      <c r="AB1593" s="0" t="n">
        <f aca="false">X1593+Z1593</f>
        <v>45.3205821771259</v>
      </c>
      <c r="AC1593" s="54" t="b">
        <f aca="false">AND(E1593&gt;=01_因子設定!$L$5-0.000000001,E1593&lt;=01_因子設定!$M$5+0.000000001,F1593&gt;=01_因子設定!$L$6-0.000000001,F1593&lt;=01_因子設定!$M$6+0.000000001,G1593&gt;=01_因子設定!$L$7-0.000000001,G1593&lt;=01_因子設定!$M$7+0.000000001,H1593&gt;=01_因子設定!$L$8-0.000000001,H1593&lt;=01_因子設定!$M$8+0.000000001,IF(01_因子設定!$B$20="Box-Behnken",E1593^2+F1593^2+G1593^2+H1593^2&lt;=2+0.000000001,TRUE()))</f>
        <v>1</v>
      </c>
      <c r="AD1593" s="55" t="n">
        <f aca="false">IF(AC1593,IF(01_因子設定!$B$13="最大化",AA1593-01_因子設定!$B$14,IF(01_因子設定!$B$13="最小化",01_因子設定!$B$15-AB1593,MIN(AA1593-01_因子設定!$B$14,01_因子設定!$B$15-AB1593))),-1E+030)</f>
        <v>-4.05308400461138</v>
      </c>
      <c r="AE1593" s="55" t="n">
        <f aca="false">IF(AC1593,IF(01_因子設定!$B$13="最大化",X1593,IF(01_因子設定!$B$13="最小化",-X1593,-ABS(X1593-01_因子設定!$B$16))),-1E+030)</f>
        <v>43.8837490862573</v>
      </c>
      <c r="AF1593" s="55" t="n">
        <f aca="false">AD1593+ROW()*0.000000001</f>
        <v>-4.05308241161138</v>
      </c>
      <c r="AG1593" s="55" t="n">
        <f aca="false">AE1593+ROW()*0.000000001</f>
        <v>43.8837506792573</v>
      </c>
    </row>
    <row r="1594" customFormat="false" ht="15" hidden="false" customHeight="false" outlineLevel="0" collapsed="false">
      <c r="A1594" s="0" t="n">
        <v>2</v>
      </c>
      <c r="B1594" s="0" t="n">
        <v>1</v>
      </c>
      <c r="C1594" s="0" t="n">
        <v>5</v>
      </c>
      <c r="D1594" s="0" t="n">
        <v>5</v>
      </c>
      <c r="E1594" s="0" t="n">
        <f aca="false">-1+A1594*0.25</f>
        <v>-0.5</v>
      </c>
      <c r="F1594" s="0" t="n">
        <f aca="false">-1+B1594*0.25</f>
        <v>-0.75</v>
      </c>
      <c r="G1594" s="0" t="n">
        <f aca="false">-1+C1594*0.25</f>
        <v>0.25</v>
      </c>
      <c r="H1594" s="0" t="n">
        <f aca="false">-1+D1594*0.25</f>
        <v>0.25</v>
      </c>
      <c r="I1594" s="0" t="n">
        <f aca="false">1</f>
        <v>1</v>
      </c>
      <c r="J1594" s="0" t="n">
        <f aca="false">E1594</f>
        <v>-0.5</v>
      </c>
      <c r="K1594" s="0" t="n">
        <f aca="false">F1594</f>
        <v>-0.75</v>
      </c>
      <c r="L1594" s="0" t="n">
        <f aca="false">G1594</f>
        <v>0.25</v>
      </c>
      <c r="M1594" s="0" t="n">
        <f aca="false">H1594</f>
        <v>0.25</v>
      </c>
      <c r="N1594" s="0" t="n">
        <f aca="false">E1594*F1594</f>
        <v>0.375</v>
      </c>
      <c r="O1594" s="0" t="n">
        <f aca="false">E1594*G1594</f>
        <v>-0.125</v>
      </c>
      <c r="P1594" s="0" t="n">
        <f aca="false">E1594*H1594</f>
        <v>-0.125</v>
      </c>
      <c r="Q1594" s="0" t="n">
        <f aca="false">F1594*G1594</f>
        <v>-0.1875</v>
      </c>
      <c r="R1594" s="0" t="n">
        <f aca="false">F1594*H1594</f>
        <v>-0.1875</v>
      </c>
      <c r="S1594" s="0" t="n">
        <f aca="false">G1594*H1594</f>
        <v>0.0625</v>
      </c>
      <c r="T1594" s="0" t="n">
        <f aca="false">E1594*E1594</f>
        <v>0.25</v>
      </c>
      <c r="U1594" s="0" t="n">
        <f aca="false">F1594*F1594</f>
        <v>0.5625</v>
      </c>
      <c r="V1594" s="0" t="n">
        <f aca="false">G1594*G1594</f>
        <v>0.0625</v>
      </c>
      <c r="W1594" s="0" t="n">
        <f aca="false">H1594*H1594</f>
        <v>0.0625</v>
      </c>
      <c r="X1594" s="0" t="n">
        <f aca="false">SUMPRODUCT(I1594:W1594,_XtX!$B$96:$P$96)</f>
        <v>44.0034219663742</v>
      </c>
      <c r="Y1594" s="0" t="n">
        <f aca="false">SUMPRODUCT(MMULT(I1594:W1594,_XtX!$B$78:$P$92),I1594:W1594)</f>
        <v>0.207746539199561</v>
      </c>
      <c r="Z1594" s="0" t="n">
        <f aca="false">04_回帰ANOVA!$K$19*04_回帰ANOVA!$K$14*SQRT(1+Y1594)</f>
        <v>1.43247250081141</v>
      </c>
      <c r="AA1594" s="0" t="n">
        <f aca="false">X1594-Z1594</f>
        <v>42.5709494655628</v>
      </c>
      <c r="AB1594" s="0" t="n">
        <f aca="false">X1594+Z1594</f>
        <v>45.4358944671856</v>
      </c>
      <c r="AC1594" s="54" t="b">
        <f aca="false">AND(E1594&gt;=01_因子設定!$L$5-0.000000001,E1594&lt;=01_因子設定!$M$5+0.000000001,F1594&gt;=01_因子設定!$L$6-0.000000001,F1594&lt;=01_因子設定!$M$6+0.000000001,G1594&gt;=01_因子設定!$L$7-0.000000001,G1594&lt;=01_因子設定!$M$7+0.000000001,H1594&gt;=01_因子設定!$L$8-0.000000001,H1594&lt;=01_因子設定!$M$8+0.000000001,IF(01_因子設定!$B$20="Box-Behnken",E1594^2+F1594^2+G1594^2+H1594^2&lt;=2+0.000000001,TRUE()))</f>
        <v>1</v>
      </c>
      <c r="AD1594" s="55" t="n">
        <f aca="false">IF(AC1594,IF(01_因子設定!$B$13="最大化",AA1594-01_因子設定!$B$14,IF(01_因子設定!$B$13="最小化",01_因子設定!$B$15-AB1594,MIN(AA1594-01_因子設定!$B$14,01_因子設定!$B$15-AB1594))),-1E+030)</f>
        <v>-3.92905053443718</v>
      </c>
      <c r="AE1594" s="55" t="n">
        <f aca="false">IF(AC1594,IF(01_因子設定!$B$13="最大化",X1594,IF(01_因子設定!$B$13="最小化",-X1594,-ABS(X1594-01_因子設定!$B$16))),-1E+030)</f>
        <v>44.0034219663742</v>
      </c>
      <c r="AF1594" s="55" t="n">
        <f aca="false">AD1594+ROW()*0.000000001</f>
        <v>-3.92904894043718</v>
      </c>
      <c r="AG1594" s="55" t="n">
        <f aca="false">AE1594+ROW()*0.000000001</f>
        <v>44.0034235603742</v>
      </c>
    </row>
    <row r="1595" customFormat="false" ht="15" hidden="false" customHeight="false" outlineLevel="0" collapsed="false">
      <c r="A1595" s="0" t="n">
        <v>2</v>
      </c>
      <c r="B1595" s="0" t="n">
        <v>1</v>
      </c>
      <c r="C1595" s="0" t="n">
        <v>5</v>
      </c>
      <c r="D1595" s="0" t="n">
        <v>6</v>
      </c>
      <c r="E1595" s="0" t="n">
        <f aca="false">-1+A1595*0.25</f>
        <v>-0.5</v>
      </c>
      <c r="F1595" s="0" t="n">
        <f aca="false">-1+B1595*0.25</f>
        <v>-0.75</v>
      </c>
      <c r="G1595" s="0" t="n">
        <f aca="false">-1+C1595*0.25</f>
        <v>0.25</v>
      </c>
      <c r="H1595" s="0" t="n">
        <f aca="false">-1+D1595*0.25</f>
        <v>0.5</v>
      </c>
      <c r="I1595" s="0" t="n">
        <f aca="false">1</f>
        <v>1</v>
      </c>
      <c r="J1595" s="0" t="n">
        <f aca="false">E1595</f>
        <v>-0.5</v>
      </c>
      <c r="K1595" s="0" t="n">
        <f aca="false">F1595</f>
        <v>-0.75</v>
      </c>
      <c r="L1595" s="0" t="n">
        <f aca="false">G1595</f>
        <v>0.25</v>
      </c>
      <c r="M1595" s="0" t="n">
        <f aca="false">H1595</f>
        <v>0.5</v>
      </c>
      <c r="N1595" s="0" t="n">
        <f aca="false">E1595*F1595</f>
        <v>0.375</v>
      </c>
      <c r="O1595" s="0" t="n">
        <f aca="false">E1595*G1595</f>
        <v>-0.125</v>
      </c>
      <c r="P1595" s="0" t="n">
        <f aca="false">E1595*H1595</f>
        <v>-0.25</v>
      </c>
      <c r="Q1595" s="0" t="n">
        <f aca="false">F1595*G1595</f>
        <v>-0.1875</v>
      </c>
      <c r="R1595" s="0" t="n">
        <f aca="false">F1595*H1595</f>
        <v>-0.375</v>
      </c>
      <c r="S1595" s="0" t="n">
        <f aca="false">G1595*H1595</f>
        <v>0.125</v>
      </c>
      <c r="T1595" s="0" t="n">
        <f aca="false">E1595*E1595</f>
        <v>0.25</v>
      </c>
      <c r="U1595" s="0" t="n">
        <f aca="false">F1595*F1595</f>
        <v>0.5625</v>
      </c>
      <c r="V1595" s="0" t="n">
        <f aca="false">G1595*G1595</f>
        <v>0.0625</v>
      </c>
      <c r="W1595" s="0" t="n">
        <f aca="false">H1595*H1595</f>
        <v>0.25</v>
      </c>
      <c r="X1595" s="0" t="n">
        <f aca="false">SUMPRODUCT(I1595:W1595,_XtX!$B$96:$P$96)</f>
        <v>44.0752878289473</v>
      </c>
      <c r="Y1595" s="0" t="n">
        <f aca="false">SUMPRODUCT(MMULT(I1595:W1595,_XtX!$B$78:$P$92),I1595:W1595)</f>
        <v>0.203746059484649</v>
      </c>
      <c r="Z1595" s="0" t="n">
        <f aca="false">04_回帰ANOVA!$K$19*04_回帰ANOVA!$K$14*SQRT(1+Y1595)</f>
        <v>1.43009810755465</v>
      </c>
      <c r="AA1595" s="0" t="n">
        <f aca="false">X1595-Z1595</f>
        <v>42.6451897213927</v>
      </c>
      <c r="AB1595" s="0" t="n">
        <f aca="false">X1595+Z1595</f>
        <v>45.505385936502</v>
      </c>
      <c r="AC1595" s="54" t="b">
        <f aca="false">AND(E1595&gt;=01_因子設定!$L$5-0.000000001,E1595&lt;=01_因子設定!$M$5+0.000000001,F1595&gt;=01_因子設定!$L$6-0.000000001,F1595&lt;=01_因子設定!$M$6+0.000000001,G1595&gt;=01_因子設定!$L$7-0.000000001,G1595&lt;=01_因子設定!$M$7+0.000000001,H1595&gt;=01_因子設定!$L$8-0.000000001,H1595&lt;=01_因子設定!$M$8+0.000000001,IF(01_因子設定!$B$20="Box-Behnken",E1595^2+F1595^2+G1595^2+H1595^2&lt;=2+0.000000001,TRUE()))</f>
        <v>1</v>
      </c>
      <c r="AD1595" s="55" t="n">
        <f aca="false">IF(AC1595,IF(01_因子設定!$B$13="最大化",AA1595-01_因子設定!$B$14,IF(01_因子設定!$B$13="最小化",01_因子設定!$B$15-AB1595,MIN(AA1595-01_因子設定!$B$14,01_因子設定!$B$15-AB1595))),-1E+030)</f>
        <v>-3.85481027860732</v>
      </c>
      <c r="AE1595" s="55" t="n">
        <f aca="false">IF(AC1595,IF(01_因子設定!$B$13="最大化",X1595,IF(01_因子設定!$B$13="最小化",-X1595,-ABS(X1595-01_因子設定!$B$16))),-1E+030)</f>
        <v>44.0752878289473</v>
      </c>
      <c r="AF1595" s="55" t="n">
        <f aca="false">AD1595+ROW()*0.000000001</f>
        <v>-3.85480868360732</v>
      </c>
      <c r="AG1595" s="55" t="n">
        <f aca="false">AE1595+ROW()*0.000000001</f>
        <v>44.0752894239473</v>
      </c>
    </row>
    <row r="1596" customFormat="false" ht="15" hidden="false" customHeight="false" outlineLevel="0" collapsed="false">
      <c r="A1596" s="0" t="n">
        <v>2</v>
      </c>
      <c r="B1596" s="0" t="n">
        <v>1</v>
      </c>
      <c r="C1596" s="0" t="n">
        <v>5</v>
      </c>
      <c r="D1596" s="0" t="n">
        <v>7</v>
      </c>
      <c r="E1596" s="0" t="n">
        <f aca="false">-1+A1596*0.25</f>
        <v>-0.5</v>
      </c>
      <c r="F1596" s="0" t="n">
        <f aca="false">-1+B1596*0.25</f>
        <v>-0.75</v>
      </c>
      <c r="G1596" s="0" t="n">
        <f aca="false">-1+C1596*0.25</f>
        <v>0.25</v>
      </c>
      <c r="H1596" s="0" t="n">
        <f aca="false">-1+D1596*0.25</f>
        <v>0.75</v>
      </c>
      <c r="I1596" s="0" t="n">
        <f aca="false">1</f>
        <v>1</v>
      </c>
      <c r="J1596" s="0" t="n">
        <f aca="false">E1596</f>
        <v>-0.5</v>
      </c>
      <c r="K1596" s="0" t="n">
        <f aca="false">F1596</f>
        <v>-0.75</v>
      </c>
      <c r="L1596" s="0" t="n">
        <f aca="false">G1596</f>
        <v>0.25</v>
      </c>
      <c r="M1596" s="0" t="n">
        <f aca="false">H1596</f>
        <v>0.75</v>
      </c>
      <c r="N1596" s="0" t="n">
        <f aca="false">E1596*F1596</f>
        <v>0.375</v>
      </c>
      <c r="O1596" s="0" t="n">
        <f aca="false">E1596*G1596</f>
        <v>-0.125</v>
      </c>
      <c r="P1596" s="0" t="n">
        <f aca="false">E1596*H1596</f>
        <v>-0.375</v>
      </c>
      <c r="Q1596" s="0" t="n">
        <f aca="false">F1596*G1596</f>
        <v>-0.1875</v>
      </c>
      <c r="R1596" s="0" t="n">
        <f aca="false">F1596*H1596</f>
        <v>-0.5625</v>
      </c>
      <c r="S1596" s="0" t="n">
        <f aca="false">G1596*H1596</f>
        <v>0.1875</v>
      </c>
      <c r="T1596" s="0" t="n">
        <f aca="false">E1596*E1596</f>
        <v>0.25</v>
      </c>
      <c r="U1596" s="0" t="n">
        <f aca="false">F1596*F1596</f>
        <v>0.5625</v>
      </c>
      <c r="V1596" s="0" t="n">
        <f aca="false">G1596*G1596</f>
        <v>0.0625</v>
      </c>
      <c r="W1596" s="0" t="n">
        <f aca="false">H1596*H1596</f>
        <v>0.5625</v>
      </c>
      <c r="X1596" s="0" t="n">
        <f aca="false">SUMPRODUCT(I1596:W1596,_XtX!$B$96:$P$96)</f>
        <v>44.0993466739766</v>
      </c>
      <c r="Y1596" s="0" t="n">
        <f aca="false">SUMPRODUCT(MMULT(I1596:W1596,_XtX!$B$78:$P$92),I1596:W1596)</f>
        <v>0.257385610836988</v>
      </c>
      <c r="Z1596" s="0" t="n">
        <f aca="false">04_回帰ANOVA!$K$19*04_回帰ANOVA!$K$14*SQRT(1+Y1596)</f>
        <v>1.46161380324158</v>
      </c>
      <c r="AA1596" s="0" t="n">
        <f aca="false">X1596-Z1596</f>
        <v>42.637732870735</v>
      </c>
      <c r="AB1596" s="0" t="n">
        <f aca="false">X1596+Z1596</f>
        <v>45.5609604772182</v>
      </c>
      <c r="AC1596" s="54" t="b">
        <f aca="false">AND(E1596&gt;=01_因子設定!$L$5-0.000000001,E1596&lt;=01_因子設定!$M$5+0.000000001,F1596&gt;=01_因子設定!$L$6-0.000000001,F1596&lt;=01_因子設定!$M$6+0.000000001,G1596&gt;=01_因子設定!$L$7-0.000000001,G1596&lt;=01_因子設定!$M$7+0.000000001,H1596&gt;=01_因子設定!$L$8-0.000000001,H1596&lt;=01_因子設定!$M$8+0.000000001,IF(01_因子設定!$B$20="Box-Behnken",E1596^2+F1596^2+G1596^2+H1596^2&lt;=2+0.000000001,TRUE()))</f>
        <v>1</v>
      </c>
      <c r="AD1596" s="55" t="n">
        <f aca="false">IF(AC1596,IF(01_因子設定!$B$13="最大化",AA1596-01_因子設定!$B$14,IF(01_因子設定!$B$13="最小化",01_因子設定!$B$15-AB1596,MIN(AA1596-01_因子設定!$B$14,01_因子設定!$B$15-AB1596))),-1E+030)</f>
        <v>-3.862267129265</v>
      </c>
      <c r="AE1596" s="55" t="n">
        <f aca="false">IF(AC1596,IF(01_因子設定!$B$13="最大化",X1596,IF(01_因子設定!$B$13="最小化",-X1596,-ABS(X1596-01_因子設定!$B$16))),-1E+030)</f>
        <v>44.0993466739766</v>
      </c>
      <c r="AF1596" s="55" t="n">
        <f aca="false">AD1596+ROW()*0.000000001</f>
        <v>-3.862265533265</v>
      </c>
      <c r="AG1596" s="55" t="n">
        <f aca="false">AE1596+ROW()*0.000000001</f>
        <v>44.0993482699766</v>
      </c>
    </row>
    <row r="1597" customFormat="false" ht="15" hidden="false" customHeight="false" outlineLevel="0" collapsed="false">
      <c r="A1597" s="0" t="n">
        <v>2</v>
      </c>
      <c r="B1597" s="0" t="n">
        <v>1</v>
      </c>
      <c r="C1597" s="0" t="n">
        <v>5</v>
      </c>
      <c r="D1597" s="0" t="n">
        <v>8</v>
      </c>
      <c r="E1597" s="0" t="n">
        <f aca="false">-1+A1597*0.25</f>
        <v>-0.5</v>
      </c>
      <c r="F1597" s="0" t="n">
        <f aca="false">-1+B1597*0.25</f>
        <v>-0.75</v>
      </c>
      <c r="G1597" s="0" t="n">
        <f aca="false">-1+C1597*0.25</f>
        <v>0.25</v>
      </c>
      <c r="H1597" s="0" t="n">
        <f aca="false">-1+D1597*0.25</f>
        <v>1</v>
      </c>
      <c r="I1597" s="0" t="n">
        <f aca="false">1</f>
        <v>1</v>
      </c>
      <c r="J1597" s="0" t="n">
        <f aca="false">E1597</f>
        <v>-0.5</v>
      </c>
      <c r="K1597" s="0" t="n">
        <f aca="false">F1597</f>
        <v>-0.75</v>
      </c>
      <c r="L1597" s="0" t="n">
        <f aca="false">G1597</f>
        <v>0.25</v>
      </c>
      <c r="M1597" s="0" t="n">
        <f aca="false">H1597</f>
        <v>1</v>
      </c>
      <c r="N1597" s="0" t="n">
        <f aca="false">E1597*F1597</f>
        <v>0.375</v>
      </c>
      <c r="O1597" s="0" t="n">
        <f aca="false">E1597*G1597</f>
        <v>-0.125</v>
      </c>
      <c r="P1597" s="0" t="n">
        <f aca="false">E1597*H1597</f>
        <v>-0.5</v>
      </c>
      <c r="Q1597" s="0" t="n">
        <f aca="false">F1597*G1597</f>
        <v>-0.1875</v>
      </c>
      <c r="R1597" s="0" t="n">
        <f aca="false">F1597*H1597</f>
        <v>-0.75</v>
      </c>
      <c r="S1597" s="0" t="n">
        <f aca="false">G1597*H1597</f>
        <v>0.25</v>
      </c>
      <c r="T1597" s="0" t="n">
        <f aca="false">E1597*E1597</f>
        <v>0.25</v>
      </c>
      <c r="U1597" s="0" t="n">
        <f aca="false">F1597*F1597</f>
        <v>0.5625</v>
      </c>
      <c r="V1597" s="0" t="n">
        <f aca="false">G1597*G1597</f>
        <v>0.0625</v>
      </c>
      <c r="W1597" s="0" t="n">
        <f aca="false">H1597*H1597</f>
        <v>1</v>
      </c>
      <c r="X1597" s="0" t="n">
        <f aca="false">SUMPRODUCT(I1597:W1597,_XtX!$B$96:$P$96)</f>
        <v>44.075598501462</v>
      </c>
      <c r="Y1597" s="0" t="n">
        <f aca="false">SUMPRODUCT(MMULT(I1597:W1597,_XtX!$B$78:$P$92),I1597:W1597)</f>
        <v>0.459125719572369</v>
      </c>
      <c r="Z1597" s="0" t="n">
        <f aca="false">04_回帰ANOVA!$K$19*04_回帰ANOVA!$K$14*SQRT(1+Y1597)</f>
        <v>1.57450755575573</v>
      </c>
      <c r="AA1597" s="0" t="n">
        <f aca="false">X1597-Z1597</f>
        <v>42.5010909457063</v>
      </c>
      <c r="AB1597" s="0" t="n">
        <f aca="false">X1597+Z1597</f>
        <v>45.6501060572177</v>
      </c>
      <c r="AC1597" s="54" t="b">
        <f aca="false">AND(E1597&gt;=01_因子設定!$L$5-0.000000001,E1597&lt;=01_因子設定!$M$5+0.000000001,F1597&gt;=01_因子設定!$L$6-0.000000001,F1597&lt;=01_因子設定!$M$6+0.000000001,G1597&gt;=01_因子設定!$L$7-0.000000001,G1597&lt;=01_因子設定!$M$7+0.000000001,H1597&gt;=01_因子設定!$L$8-0.000000001,H1597&lt;=01_因子設定!$M$8+0.000000001,IF(01_因子設定!$B$20="Box-Behnken",E1597^2+F1597^2+G1597^2+H1597^2&lt;=2+0.000000001,TRUE()))</f>
        <v>1</v>
      </c>
      <c r="AD1597" s="55" t="n">
        <f aca="false">IF(AC1597,IF(01_因子設定!$B$13="最大化",AA1597-01_因子設定!$B$14,IF(01_因子設定!$B$13="最小化",01_因子設定!$B$15-AB1597,MIN(AA1597-01_因子設定!$B$14,01_因子設定!$B$15-AB1597))),-1E+030)</f>
        <v>-3.99890905429375</v>
      </c>
      <c r="AE1597" s="55" t="n">
        <f aca="false">IF(AC1597,IF(01_因子設定!$B$13="最大化",X1597,IF(01_因子設定!$B$13="最小化",-X1597,-ABS(X1597-01_因子設定!$B$16))),-1E+030)</f>
        <v>44.075598501462</v>
      </c>
      <c r="AF1597" s="55" t="n">
        <f aca="false">AD1597+ROW()*0.000000001</f>
        <v>-3.99890745729375</v>
      </c>
      <c r="AG1597" s="55" t="n">
        <f aca="false">AE1597+ROW()*0.000000001</f>
        <v>44.075600098462</v>
      </c>
    </row>
    <row r="1598" customFormat="false" ht="15" hidden="false" customHeight="false" outlineLevel="0" collapsed="false">
      <c r="A1598" s="0" t="n">
        <v>2</v>
      </c>
      <c r="B1598" s="0" t="n">
        <v>1</v>
      </c>
      <c r="C1598" s="0" t="n">
        <v>6</v>
      </c>
      <c r="D1598" s="0" t="n">
        <v>0</v>
      </c>
      <c r="E1598" s="0" t="n">
        <f aca="false">-1+A1598*0.25</f>
        <v>-0.5</v>
      </c>
      <c r="F1598" s="0" t="n">
        <f aca="false">-1+B1598*0.25</f>
        <v>-0.75</v>
      </c>
      <c r="G1598" s="0" t="n">
        <f aca="false">-1+C1598*0.25</f>
        <v>0.5</v>
      </c>
      <c r="H1598" s="0" t="n">
        <f aca="false">-1+D1598*0.25</f>
        <v>-1</v>
      </c>
      <c r="I1598" s="0" t="n">
        <f aca="false">1</f>
        <v>1</v>
      </c>
      <c r="J1598" s="0" t="n">
        <f aca="false">E1598</f>
        <v>-0.5</v>
      </c>
      <c r="K1598" s="0" t="n">
        <f aca="false">F1598</f>
        <v>-0.75</v>
      </c>
      <c r="L1598" s="0" t="n">
        <f aca="false">G1598</f>
        <v>0.5</v>
      </c>
      <c r="M1598" s="0" t="n">
        <f aca="false">H1598</f>
        <v>-1</v>
      </c>
      <c r="N1598" s="0" t="n">
        <f aca="false">E1598*F1598</f>
        <v>0.375</v>
      </c>
      <c r="O1598" s="0" t="n">
        <f aca="false">E1598*G1598</f>
        <v>-0.25</v>
      </c>
      <c r="P1598" s="0" t="n">
        <f aca="false">E1598*H1598</f>
        <v>0.5</v>
      </c>
      <c r="Q1598" s="0" t="n">
        <f aca="false">F1598*G1598</f>
        <v>-0.375</v>
      </c>
      <c r="R1598" s="0" t="n">
        <f aca="false">F1598*H1598</f>
        <v>0.75</v>
      </c>
      <c r="S1598" s="0" t="n">
        <f aca="false">G1598*H1598</f>
        <v>-0.5</v>
      </c>
      <c r="T1598" s="0" t="n">
        <f aca="false">E1598*E1598</f>
        <v>0.25</v>
      </c>
      <c r="U1598" s="0" t="n">
        <f aca="false">F1598*F1598</f>
        <v>0.5625</v>
      </c>
      <c r="V1598" s="0" t="n">
        <f aca="false">G1598*G1598</f>
        <v>0.25</v>
      </c>
      <c r="W1598" s="0" t="n">
        <f aca="false">H1598*H1598</f>
        <v>1</v>
      </c>
      <c r="X1598" s="0" t="n">
        <f aca="false">SUMPRODUCT(I1598:W1598,_XtX!$B$96:$P$96)</f>
        <v>42.9956414473684</v>
      </c>
      <c r="Y1598" s="0" t="n">
        <f aca="false">SUMPRODUCT(MMULT(I1598:W1598,_XtX!$B$78:$P$92),I1598:W1598)</f>
        <v>0.42602110745614</v>
      </c>
      <c r="Z1598" s="0" t="n">
        <f aca="false">04_回帰ANOVA!$K$19*04_回帰ANOVA!$K$14*SQRT(1+Y1598)</f>
        <v>1.55654388501114</v>
      </c>
      <c r="AA1598" s="0" t="n">
        <f aca="false">X1598-Z1598</f>
        <v>41.4390975623573</v>
      </c>
      <c r="AB1598" s="0" t="n">
        <f aca="false">X1598+Z1598</f>
        <v>44.5521853323796</v>
      </c>
      <c r="AC1598" s="54" t="b">
        <f aca="false">AND(E1598&gt;=01_因子設定!$L$5-0.000000001,E1598&lt;=01_因子設定!$M$5+0.000000001,F1598&gt;=01_因子設定!$L$6-0.000000001,F1598&lt;=01_因子設定!$M$6+0.000000001,G1598&gt;=01_因子設定!$L$7-0.000000001,G1598&lt;=01_因子設定!$M$7+0.000000001,H1598&gt;=01_因子設定!$L$8-0.000000001,H1598&lt;=01_因子設定!$M$8+0.000000001,IF(01_因子設定!$B$20="Box-Behnken",E1598^2+F1598^2+G1598^2+H1598^2&lt;=2+0.000000001,TRUE()))</f>
        <v>1</v>
      </c>
      <c r="AD1598" s="55" t="n">
        <f aca="false">IF(AC1598,IF(01_因子設定!$B$13="最大化",AA1598-01_因子設定!$B$14,IF(01_因子設定!$B$13="最小化",01_因子設定!$B$15-AB1598,MIN(AA1598-01_因子設定!$B$14,01_因子設定!$B$15-AB1598))),-1E+030)</f>
        <v>-5.06090243764272</v>
      </c>
      <c r="AE1598" s="55" t="n">
        <f aca="false">IF(AC1598,IF(01_因子設定!$B$13="最大化",X1598,IF(01_因子設定!$B$13="最小化",-X1598,-ABS(X1598-01_因子設定!$B$16))),-1E+030)</f>
        <v>42.9956414473684</v>
      </c>
      <c r="AF1598" s="55" t="n">
        <f aca="false">AD1598+ROW()*0.000000001</f>
        <v>-5.06090083964272</v>
      </c>
      <c r="AG1598" s="55" t="n">
        <f aca="false">AE1598+ROW()*0.000000001</f>
        <v>42.9956430453684</v>
      </c>
    </row>
    <row r="1599" customFormat="false" ht="15" hidden="false" customHeight="false" outlineLevel="0" collapsed="false">
      <c r="A1599" s="0" t="n">
        <v>2</v>
      </c>
      <c r="B1599" s="0" t="n">
        <v>1</v>
      </c>
      <c r="C1599" s="0" t="n">
        <v>6</v>
      </c>
      <c r="D1599" s="0" t="n">
        <v>1</v>
      </c>
      <c r="E1599" s="0" t="n">
        <f aca="false">-1+A1599*0.25</f>
        <v>-0.5</v>
      </c>
      <c r="F1599" s="0" t="n">
        <f aca="false">-1+B1599*0.25</f>
        <v>-0.75</v>
      </c>
      <c r="G1599" s="0" t="n">
        <f aca="false">-1+C1599*0.25</f>
        <v>0.5</v>
      </c>
      <c r="H1599" s="0" t="n">
        <f aca="false">-1+D1599*0.25</f>
        <v>-0.75</v>
      </c>
      <c r="I1599" s="0" t="n">
        <f aca="false">1</f>
        <v>1</v>
      </c>
      <c r="J1599" s="0" t="n">
        <f aca="false">E1599</f>
        <v>-0.5</v>
      </c>
      <c r="K1599" s="0" t="n">
        <f aca="false">F1599</f>
        <v>-0.75</v>
      </c>
      <c r="L1599" s="0" t="n">
        <f aca="false">G1599</f>
        <v>0.5</v>
      </c>
      <c r="M1599" s="0" t="n">
        <f aca="false">H1599</f>
        <v>-0.75</v>
      </c>
      <c r="N1599" s="0" t="n">
        <f aca="false">E1599*F1599</f>
        <v>0.375</v>
      </c>
      <c r="O1599" s="0" t="n">
        <f aca="false">E1599*G1599</f>
        <v>-0.25</v>
      </c>
      <c r="P1599" s="0" t="n">
        <f aca="false">E1599*H1599</f>
        <v>0.375</v>
      </c>
      <c r="Q1599" s="0" t="n">
        <f aca="false">F1599*G1599</f>
        <v>-0.375</v>
      </c>
      <c r="R1599" s="0" t="n">
        <f aca="false">F1599*H1599</f>
        <v>0.5625</v>
      </c>
      <c r="S1599" s="0" t="n">
        <f aca="false">G1599*H1599</f>
        <v>-0.375</v>
      </c>
      <c r="T1599" s="0" t="n">
        <f aca="false">E1599*E1599</f>
        <v>0.25</v>
      </c>
      <c r="U1599" s="0" t="n">
        <f aca="false">F1599*F1599</f>
        <v>0.5625</v>
      </c>
      <c r="V1599" s="0" t="n">
        <f aca="false">G1599*G1599</f>
        <v>0.25</v>
      </c>
      <c r="W1599" s="0" t="n">
        <f aca="false">H1599*H1599</f>
        <v>0.5625</v>
      </c>
      <c r="X1599" s="0" t="n">
        <f aca="false">SUMPRODUCT(I1599:W1599,_XtX!$B$96:$P$96)</f>
        <v>43.3245111476608</v>
      </c>
      <c r="Y1599" s="0" t="n">
        <f aca="false">SUMPRODUCT(MMULT(I1599:W1599,_XtX!$B$78:$P$92),I1599:W1599)</f>
        <v>0.237862927174708</v>
      </c>
      <c r="Z1599" s="0" t="n">
        <f aca="false">04_回帰ANOVA!$K$19*04_回帰ANOVA!$K$14*SQRT(1+Y1599)</f>
        <v>1.45022260708756</v>
      </c>
      <c r="AA1599" s="0" t="n">
        <f aca="false">X1599-Z1599</f>
        <v>41.8742885405732</v>
      </c>
      <c r="AB1599" s="0" t="n">
        <f aca="false">X1599+Z1599</f>
        <v>44.7747337547484</v>
      </c>
      <c r="AC1599" s="54" t="b">
        <f aca="false">AND(E1599&gt;=01_因子設定!$L$5-0.000000001,E1599&lt;=01_因子設定!$M$5+0.000000001,F1599&gt;=01_因子設定!$L$6-0.000000001,F1599&lt;=01_因子設定!$M$6+0.000000001,G1599&gt;=01_因子設定!$L$7-0.000000001,G1599&lt;=01_因子設定!$M$7+0.000000001,H1599&gt;=01_因子設定!$L$8-0.000000001,H1599&lt;=01_因子設定!$M$8+0.000000001,IF(01_因子設定!$B$20="Box-Behnken",E1599^2+F1599^2+G1599^2+H1599^2&lt;=2+0.000000001,TRUE()))</f>
        <v>1</v>
      </c>
      <c r="AD1599" s="55" t="n">
        <f aca="false">IF(AC1599,IF(01_因子設定!$B$13="最大化",AA1599-01_因子設定!$B$14,IF(01_因子設定!$B$13="最小化",01_因子設定!$B$15-AB1599,MIN(AA1599-01_因子設定!$B$14,01_因子設定!$B$15-AB1599))),-1E+030)</f>
        <v>-4.62571145942676</v>
      </c>
      <c r="AE1599" s="55" t="n">
        <f aca="false">IF(AC1599,IF(01_因子設定!$B$13="最大化",X1599,IF(01_因子設定!$B$13="最小化",-X1599,-ABS(X1599-01_因子設定!$B$16))),-1E+030)</f>
        <v>43.3245111476608</v>
      </c>
      <c r="AF1599" s="55" t="n">
        <f aca="false">AD1599+ROW()*0.000000001</f>
        <v>-4.62570986042676</v>
      </c>
      <c r="AG1599" s="55" t="n">
        <f aca="false">AE1599+ROW()*0.000000001</f>
        <v>43.3245127466608</v>
      </c>
    </row>
    <row r="1600" customFormat="false" ht="15" hidden="false" customHeight="false" outlineLevel="0" collapsed="false">
      <c r="A1600" s="0" t="n">
        <v>2</v>
      </c>
      <c r="B1600" s="0" t="n">
        <v>1</v>
      </c>
      <c r="C1600" s="0" t="n">
        <v>6</v>
      </c>
      <c r="D1600" s="0" t="n">
        <v>2</v>
      </c>
      <c r="E1600" s="0" t="n">
        <f aca="false">-1+A1600*0.25</f>
        <v>-0.5</v>
      </c>
      <c r="F1600" s="0" t="n">
        <f aca="false">-1+B1600*0.25</f>
        <v>-0.75</v>
      </c>
      <c r="G1600" s="0" t="n">
        <f aca="false">-1+C1600*0.25</f>
        <v>0.5</v>
      </c>
      <c r="H1600" s="0" t="n">
        <f aca="false">-1+D1600*0.25</f>
        <v>-0.5</v>
      </c>
      <c r="I1600" s="0" t="n">
        <f aca="false">1</f>
        <v>1</v>
      </c>
      <c r="J1600" s="0" t="n">
        <f aca="false">E1600</f>
        <v>-0.5</v>
      </c>
      <c r="K1600" s="0" t="n">
        <f aca="false">F1600</f>
        <v>-0.75</v>
      </c>
      <c r="L1600" s="0" t="n">
        <f aca="false">G1600</f>
        <v>0.5</v>
      </c>
      <c r="M1600" s="0" t="n">
        <f aca="false">H1600</f>
        <v>-0.5</v>
      </c>
      <c r="N1600" s="0" t="n">
        <f aca="false">E1600*F1600</f>
        <v>0.375</v>
      </c>
      <c r="O1600" s="0" t="n">
        <f aca="false">E1600*G1600</f>
        <v>-0.25</v>
      </c>
      <c r="P1600" s="0" t="n">
        <f aca="false">E1600*H1600</f>
        <v>0.25</v>
      </c>
      <c r="Q1600" s="0" t="n">
        <f aca="false">F1600*G1600</f>
        <v>-0.375</v>
      </c>
      <c r="R1600" s="0" t="n">
        <f aca="false">F1600*H1600</f>
        <v>0.375</v>
      </c>
      <c r="S1600" s="0" t="n">
        <f aca="false">G1600*H1600</f>
        <v>-0.25</v>
      </c>
      <c r="T1600" s="0" t="n">
        <f aca="false">E1600*E1600</f>
        <v>0.25</v>
      </c>
      <c r="U1600" s="0" t="n">
        <f aca="false">F1600*F1600</f>
        <v>0.5625</v>
      </c>
      <c r="V1600" s="0" t="n">
        <f aca="false">G1600*G1600</f>
        <v>0.25</v>
      </c>
      <c r="W1600" s="0" t="n">
        <f aca="false">H1600*H1600</f>
        <v>0.25</v>
      </c>
      <c r="X1600" s="0" t="n">
        <f aca="false">SUMPRODUCT(I1600:W1600,_XtX!$B$96:$P$96)</f>
        <v>43.6055738304093</v>
      </c>
      <c r="Y1600" s="0" t="n">
        <f aca="false">SUMPRODUCT(MMULT(I1600:W1600,_XtX!$B$78:$P$92),I1600:W1600)</f>
        <v>0.193924753289474</v>
      </c>
      <c r="Z1600" s="0" t="n">
        <f aca="false">04_回帰ANOVA!$K$19*04_回帰ANOVA!$K$14*SQRT(1+Y1600)</f>
        <v>1.4242521079916</v>
      </c>
      <c r="AA1600" s="0" t="n">
        <f aca="false">X1600-Z1600</f>
        <v>42.1813217224177</v>
      </c>
      <c r="AB1600" s="0" t="n">
        <f aca="false">X1600+Z1600</f>
        <v>45.0298259384009</v>
      </c>
      <c r="AC1600" s="54" t="b">
        <f aca="false">AND(E1600&gt;=01_因子設定!$L$5-0.000000001,E1600&lt;=01_因子設定!$M$5+0.000000001,F1600&gt;=01_因子設定!$L$6-0.000000001,F1600&lt;=01_因子設定!$M$6+0.000000001,G1600&gt;=01_因子設定!$L$7-0.000000001,G1600&lt;=01_因子設定!$M$7+0.000000001,H1600&gt;=01_因子設定!$L$8-0.000000001,H1600&lt;=01_因子設定!$M$8+0.000000001,IF(01_因子設定!$B$20="Box-Behnken",E1600^2+F1600^2+G1600^2+H1600^2&lt;=2+0.000000001,TRUE()))</f>
        <v>1</v>
      </c>
      <c r="AD1600" s="55" t="n">
        <f aca="false">IF(AC1600,IF(01_因子設定!$B$13="最大化",AA1600-01_因子設定!$B$14,IF(01_因子設定!$B$13="最小化",01_因子設定!$B$15-AB1600,MIN(AA1600-01_因子設定!$B$14,01_因子設定!$B$15-AB1600))),-1E+030)</f>
        <v>-4.31867827758227</v>
      </c>
      <c r="AE1600" s="55" t="n">
        <f aca="false">IF(AC1600,IF(01_因子設定!$B$13="最大化",X1600,IF(01_因子設定!$B$13="最小化",-X1600,-ABS(X1600-01_因子設定!$B$16))),-1E+030)</f>
        <v>43.6055738304093</v>
      </c>
      <c r="AF1600" s="55" t="n">
        <f aca="false">AD1600+ROW()*0.000000001</f>
        <v>-4.31867667758227</v>
      </c>
      <c r="AG1600" s="55" t="n">
        <f aca="false">AE1600+ROW()*0.000000001</f>
        <v>43.6055754304093</v>
      </c>
    </row>
    <row r="1601" customFormat="false" ht="15" hidden="false" customHeight="false" outlineLevel="0" collapsed="false">
      <c r="A1601" s="0" t="n">
        <v>2</v>
      </c>
      <c r="B1601" s="0" t="n">
        <v>1</v>
      </c>
      <c r="C1601" s="0" t="n">
        <v>6</v>
      </c>
      <c r="D1601" s="0" t="n">
        <v>3</v>
      </c>
      <c r="E1601" s="0" t="n">
        <f aca="false">-1+A1601*0.25</f>
        <v>-0.5</v>
      </c>
      <c r="F1601" s="0" t="n">
        <f aca="false">-1+B1601*0.25</f>
        <v>-0.75</v>
      </c>
      <c r="G1601" s="0" t="n">
        <f aca="false">-1+C1601*0.25</f>
        <v>0.5</v>
      </c>
      <c r="H1601" s="0" t="n">
        <f aca="false">-1+D1601*0.25</f>
        <v>-0.25</v>
      </c>
      <c r="I1601" s="0" t="n">
        <f aca="false">1</f>
        <v>1</v>
      </c>
      <c r="J1601" s="0" t="n">
        <f aca="false">E1601</f>
        <v>-0.5</v>
      </c>
      <c r="K1601" s="0" t="n">
        <f aca="false">F1601</f>
        <v>-0.75</v>
      </c>
      <c r="L1601" s="0" t="n">
        <f aca="false">G1601</f>
        <v>0.5</v>
      </c>
      <c r="M1601" s="0" t="n">
        <f aca="false">H1601</f>
        <v>-0.25</v>
      </c>
      <c r="N1601" s="0" t="n">
        <f aca="false">E1601*F1601</f>
        <v>0.375</v>
      </c>
      <c r="O1601" s="0" t="n">
        <f aca="false">E1601*G1601</f>
        <v>-0.25</v>
      </c>
      <c r="P1601" s="0" t="n">
        <f aca="false">E1601*H1601</f>
        <v>0.125</v>
      </c>
      <c r="Q1601" s="0" t="n">
        <f aca="false">F1601*G1601</f>
        <v>-0.375</v>
      </c>
      <c r="R1601" s="0" t="n">
        <f aca="false">F1601*H1601</f>
        <v>0.1875</v>
      </c>
      <c r="S1601" s="0" t="n">
        <f aca="false">G1601*H1601</f>
        <v>-0.125</v>
      </c>
      <c r="T1601" s="0" t="n">
        <f aca="false">E1601*E1601</f>
        <v>0.25</v>
      </c>
      <c r="U1601" s="0" t="n">
        <f aca="false">F1601*F1601</f>
        <v>0.5625</v>
      </c>
      <c r="V1601" s="0" t="n">
        <f aca="false">G1601*G1601</f>
        <v>0.25</v>
      </c>
      <c r="W1601" s="0" t="n">
        <f aca="false">H1601*H1601</f>
        <v>0.0625</v>
      </c>
      <c r="X1601" s="0" t="n">
        <f aca="false">SUMPRODUCT(I1601:W1601,_XtX!$B$96:$P$96)</f>
        <v>43.838829495614</v>
      </c>
      <c r="Y1601" s="0" t="n">
        <f aca="false">SUMPRODUCT(MMULT(I1601:W1601,_XtX!$B$78:$P$92),I1601:W1601)</f>
        <v>0.203746059484649</v>
      </c>
      <c r="Z1601" s="0" t="n">
        <f aca="false">04_回帰ANOVA!$K$19*04_回帰ANOVA!$K$14*SQRT(1+Y1601)</f>
        <v>1.43009810755465</v>
      </c>
      <c r="AA1601" s="0" t="n">
        <f aca="false">X1601-Z1601</f>
        <v>42.4087313880593</v>
      </c>
      <c r="AB1601" s="0" t="n">
        <f aca="false">X1601+Z1601</f>
        <v>45.2689276031686</v>
      </c>
      <c r="AC1601" s="54" t="b">
        <f aca="false">AND(E1601&gt;=01_因子設定!$L$5-0.000000001,E1601&lt;=01_因子設定!$M$5+0.000000001,F1601&gt;=01_因子設定!$L$6-0.000000001,F1601&lt;=01_因子設定!$M$6+0.000000001,G1601&gt;=01_因子設定!$L$7-0.000000001,G1601&lt;=01_因子設定!$M$7+0.000000001,H1601&gt;=01_因子設定!$L$8-0.000000001,H1601&lt;=01_因子設定!$M$8+0.000000001,IF(01_因子設定!$B$20="Box-Behnken",E1601^2+F1601^2+G1601^2+H1601^2&lt;=2+0.000000001,TRUE()))</f>
        <v>1</v>
      </c>
      <c r="AD1601" s="55" t="n">
        <f aca="false">IF(AC1601,IF(01_因子設定!$B$13="最大化",AA1601-01_因子設定!$B$14,IF(01_因子設定!$B$13="最小化",01_因子設定!$B$15-AB1601,MIN(AA1601-01_因子設定!$B$14,01_因子設定!$B$15-AB1601))),-1E+030)</f>
        <v>-4.09126861194066</v>
      </c>
      <c r="AE1601" s="55" t="n">
        <f aca="false">IF(AC1601,IF(01_因子設定!$B$13="最大化",X1601,IF(01_因子設定!$B$13="最小化",-X1601,-ABS(X1601-01_因子設定!$B$16))),-1E+030)</f>
        <v>43.838829495614</v>
      </c>
      <c r="AF1601" s="55" t="n">
        <f aca="false">AD1601+ROW()*0.000000001</f>
        <v>-4.09126701094066</v>
      </c>
      <c r="AG1601" s="55" t="n">
        <f aca="false">AE1601+ROW()*0.000000001</f>
        <v>43.838831096614</v>
      </c>
    </row>
    <row r="1602" customFormat="false" ht="15" hidden="false" customHeight="false" outlineLevel="0" collapsed="false">
      <c r="A1602" s="0" t="n">
        <v>2</v>
      </c>
      <c r="B1602" s="0" t="n">
        <v>1</v>
      </c>
      <c r="C1602" s="0" t="n">
        <v>6</v>
      </c>
      <c r="D1602" s="0" t="n">
        <v>4</v>
      </c>
      <c r="E1602" s="0" t="n">
        <f aca="false">-1+A1602*0.25</f>
        <v>-0.5</v>
      </c>
      <c r="F1602" s="0" t="n">
        <f aca="false">-1+B1602*0.25</f>
        <v>-0.75</v>
      </c>
      <c r="G1602" s="0" t="n">
        <f aca="false">-1+C1602*0.25</f>
        <v>0.5</v>
      </c>
      <c r="H1602" s="0" t="n">
        <f aca="false">-1+D1602*0.25</f>
        <v>0</v>
      </c>
      <c r="I1602" s="0" t="n">
        <f aca="false">1</f>
        <v>1</v>
      </c>
      <c r="J1602" s="0" t="n">
        <f aca="false">E1602</f>
        <v>-0.5</v>
      </c>
      <c r="K1602" s="0" t="n">
        <f aca="false">F1602</f>
        <v>-0.75</v>
      </c>
      <c r="L1602" s="0" t="n">
        <f aca="false">G1602</f>
        <v>0.5</v>
      </c>
      <c r="M1602" s="0" t="n">
        <f aca="false">H1602</f>
        <v>0</v>
      </c>
      <c r="N1602" s="0" t="n">
        <f aca="false">E1602*F1602</f>
        <v>0.375</v>
      </c>
      <c r="O1602" s="0" t="n">
        <f aca="false">E1602*G1602</f>
        <v>-0.25</v>
      </c>
      <c r="P1602" s="0" t="n">
        <f aca="false">E1602*H1602</f>
        <v>-0</v>
      </c>
      <c r="Q1602" s="0" t="n">
        <f aca="false">F1602*G1602</f>
        <v>-0.375</v>
      </c>
      <c r="R1602" s="0" t="n">
        <f aca="false">F1602*H1602</f>
        <v>-0</v>
      </c>
      <c r="S1602" s="0" t="n">
        <f aca="false">G1602*H1602</f>
        <v>0</v>
      </c>
      <c r="T1602" s="0" t="n">
        <f aca="false">E1602*E1602</f>
        <v>0.25</v>
      </c>
      <c r="U1602" s="0" t="n">
        <f aca="false">F1602*F1602</f>
        <v>0.5625</v>
      </c>
      <c r="V1602" s="0" t="n">
        <f aca="false">G1602*G1602</f>
        <v>0.25</v>
      </c>
      <c r="W1602" s="0" t="n">
        <f aca="false">H1602*H1602</f>
        <v>0</v>
      </c>
      <c r="X1602" s="0" t="n">
        <f aca="false">SUMPRODUCT(I1602:W1602,_XtX!$B$96:$P$96)</f>
        <v>44.0242781432748</v>
      </c>
      <c r="Y1602" s="0" t="n">
        <f aca="false">SUMPRODUCT(MMULT(I1602:W1602,_XtX!$B$78:$P$92),I1602:W1602)</f>
        <v>0.21305052997076</v>
      </c>
      <c r="Z1602" s="0" t="n">
        <f aca="false">04_回帰ANOVA!$K$19*04_回帰ANOVA!$K$14*SQRT(1+Y1602)</f>
        <v>1.43561450835061</v>
      </c>
      <c r="AA1602" s="0" t="n">
        <f aca="false">X1602-Z1602</f>
        <v>42.5886636349242</v>
      </c>
      <c r="AB1602" s="0" t="n">
        <f aca="false">X1602+Z1602</f>
        <v>45.4598926516254</v>
      </c>
      <c r="AC1602" s="54" t="b">
        <f aca="false">AND(E1602&gt;=01_因子設定!$L$5-0.000000001,E1602&lt;=01_因子設定!$M$5+0.000000001,F1602&gt;=01_因子設定!$L$6-0.000000001,F1602&lt;=01_因子設定!$M$6+0.000000001,G1602&gt;=01_因子設定!$L$7-0.000000001,G1602&lt;=01_因子設定!$M$7+0.000000001,H1602&gt;=01_因子設定!$L$8-0.000000001,H1602&lt;=01_因子設定!$M$8+0.000000001,IF(01_因子設定!$B$20="Box-Behnken",E1602^2+F1602^2+G1602^2+H1602^2&lt;=2+0.000000001,TRUE()))</f>
        <v>1</v>
      </c>
      <c r="AD1602" s="55" t="n">
        <f aca="false">IF(AC1602,IF(01_因子設定!$B$13="最大化",AA1602-01_因子設定!$B$14,IF(01_因子設定!$B$13="最小化",01_因子設定!$B$15-AB1602,MIN(AA1602-01_因子設定!$B$14,01_因子設定!$B$15-AB1602))),-1E+030)</f>
        <v>-3.91133636507579</v>
      </c>
      <c r="AE1602" s="55" t="n">
        <f aca="false">IF(AC1602,IF(01_因子設定!$B$13="最大化",X1602,IF(01_因子設定!$B$13="最小化",-X1602,-ABS(X1602-01_因子設定!$B$16))),-1E+030)</f>
        <v>44.0242781432748</v>
      </c>
      <c r="AF1602" s="55" t="n">
        <f aca="false">AD1602+ROW()*0.000000001</f>
        <v>-3.91133476307579</v>
      </c>
      <c r="AG1602" s="55" t="n">
        <f aca="false">AE1602+ROW()*0.000000001</f>
        <v>44.0242797452748</v>
      </c>
    </row>
    <row r="1603" customFormat="false" ht="15" hidden="false" customHeight="false" outlineLevel="0" collapsed="false">
      <c r="A1603" s="0" t="n">
        <v>2</v>
      </c>
      <c r="B1603" s="0" t="n">
        <v>1</v>
      </c>
      <c r="C1603" s="0" t="n">
        <v>6</v>
      </c>
      <c r="D1603" s="0" t="n">
        <v>5</v>
      </c>
      <c r="E1603" s="0" t="n">
        <f aca="false">-1+A1603*0.25</f>
        <v>-0.5</v>
      </c>
      <c r="F1603" s="0" t="n">
        <f aca="false">-1+B1603*0.25</f>
        <v>-0.75</v>
      </c>
      <c r="G1603" s="0" t="n">
        <f aca="false">-1+C1603*0.25</f>
        <v>0.5</v>
      </c>
      <c r="H1603" s="0" t="n">
        <f aca="false">-1+D1603*0.25</f>
        <v>0.25</v>
      </c>
      <c r="I1603" s="0" t="n">
        <f aca="false">1</f>
        <v>1</v>
      </c>
      <c r="J1603" s="0" t="n">
        <f aca="false">E1603</f>
        <v>-0.5</v>
      </c>
      <c r="K1603" s="0" t="n">
        <f aca="false">F1603</f>
        <v>-0.75</v>
      </c>
      <c r="L1603" s="0" t="n">
        <f aca="false">G1603</f>
        <v>0.5</v>
      </c>
      <c r="M1603" s="0" t="n">
        <f aca="false">H1603</f>
        <v>0.25</v>
      </c>
      <c r="N1603" s="0" t="n">
        <f aca="false">E1603*F1603</f>
        <v>0.375</v>
      </c>
      <c r="O1603" s="0" t="n">
        <f aca="false">E1603*G1603</f>
        <v>-0.25</v>
      </c>
      <c r="P1603" s="0" t="n">
        <f aca="false">E1603*H1603</f>
        <v>-0.125</v>
      </c>
      <c r="Q1603" s="0" t="n">
        <f aca="false">F1603*G1603</f>
        <v>-0.375</v>
      </c>
      <c r="R1603" s="0" t="n">
        <f aca="false">F1603*H1603</f>
        <v>-0.1875</v>
      </c>
      <c r="S1603" s="0" t="n">
        <f aca="false">G1603*H1603</f>
        <v>0.125</v>
      </c>
      <c r="T1603" s="0" t="n">
        <f aca="false">E1603*E1603</f>
        <v>0.25</v>
      </c>
      <c r="U1603" s="0" t="n">
        <f aca="false">F1603*F1603</f>
        <v>0.5625</v>
      </c>
      <c r="V1603" s="0" t="n">
        <f aca="false">G1603*G1603</f>
        <v>0.25</v>
      </c>
      <c r="W1603" s="0" t="n">
        <f aca="false">H1603*H1603</f>
        <v>0.0625</v>
      </c>
      <c r="X1603" s="0" t="n">
        <f aca="false">SUMPRODUCT(I1603:W1603,_XtX!$B$96:$P$96)</f>
        <v>44.1619197733918</v>
      </c>
      <c r="Y1603" s="0" t="n">
        <f aca="false">SUMPRODUCT(MMULT(I1603:W1603,_XtX!$B$78:$P$92),I1603:W1603)</f>
        <v>0.203746059484649</v>
      </c>
      <c r="Z1603" s="0" t="n">
        <f aca="false">04_回帰ANOVA!$K$19*04_回帰ANOVA!$K$14*SQRT(1+Y1603)</f>
        <v>1.43009810755465</v>
      </c>
      <c r="AA1603" s="0" t="n">
        <f aca="false">X1603-Z1603</f>
        <v>42.7318216658371</v>
      </c>
      <c r="AB1603" s="0" t="n">
        <f aca="false">X1603+Z1603</f>
        <v>45.5920178809464</v>
      </c>
      <c r="AC1603" s="54" t="b">
        <f aca="false">AND(E1603&gt;=01_因子設定!$L$5-0.000000001,E1603&lt;=01_因子設定!$M$5+0.000000001,F1603&gt;=01_因子設定!$L$6-0.000000001,F1603&lt;=01_因子設定!$M$6+0.000000001,G1603&gt;=01_因子設定!$L$7-0.000000001,G1603&lt;=01_因子設定!$M$7+0.000000001,H1603&gt;=01_因子設定!$L$8-0.000000001,H1603&lt;=01_因子設定!$M$8+0.000000001,IF(01_因子設定!$B$20="Box-Behnken",E1603^2+F1603^2+G1603^2+H1603^2&lt;=2+0.000000001,TRUE()))</f>
        <v>1</v>
      </c>
      <c r="AD1603" s="55" t="n">
        <f aca="false">IF(AC1603,IF(01_因子設定!$B$13="最大化",AA1603-01_因子設定!$B$14,IF(01_因子設定!$B$13="最小化",01_因子設定!$B$15-AB1603,MIN(AA1603-01_因子設定!$B$14,01_因子設定!$B$15-AB1603))),-1E+030)</f>
        <v>-3.76817833416288</v>
      </c>
      <c r="AE1603" s="55" t="n">
        <f aca="false">IF(AC1603,IF(01_因子設定!$B$13="最大化",X1603,IF(01_因子設定!$B$13="最小化",-X1603,-ABS(X1603-01_因子設定!$B$16))),-1E+030)</f>
        <v>44.1619197733918</v>
      </c>
      <c r="AF1603" s="55" t="n">
        <f aca="false">AD1603+ROW()*0.000000001</f>
        <v>-3.76817673116288</v>
      </c>
      <c r="AG1603" s="55" t="n">
        <f aca="false">AE1603+ROW()*0.000000001</f>
        <v>44.1619213763918</v>
      </c>
    </row>
    <row r="1604" customFormat="false" ht="15" hidden="false" customHeight="false" outlineLevel="0" collapsed="false">
      <c r="A1604" s="0" t="n">
        <v>2</v>
      </c>
      <c r="B1604" s="0" t="n">
        <v>1</v>
      </c>
      <c r="C1604" s="0" t="n">
        <v>6</v>
      </c>
      <c r="D1604" s="0" t="n">
        <v>6</v>
      </c>
      <c r="E1604" s="0" t="n">
        <f aca="false">-1+A1604*0.25</f>
        <v>-0.5</v>
      </c>
      <c r="F1604" s="0" t="n">
        <f aca="false">-1+B1604*0.25</f>
        <v>-0.75</v>
      </c>
      <c r="G1604" s="0" t="n">
        <f aca="false">-1+C1604*0.25</f>
        <v>0.5</v>
      </c>
      <c r="H1604" s="0" t="n">
        <f aca="false">-1+D1604*0.25</f>
        <v>0.5</v>
      </c>
      <c r="I1604" s="0" t="n">
        <f aca="false">1</f>
        <v>1</v>
      </c>
      <c r="J1604" s="0" t="n">
        <f aca="false">E1604</f>
        <v>-0.5</v>
      </c>
      <c r="K1604" s="0" t="n">
        <f aca="false">F1604</f>
        <v>-0.75</v>
      </c>
      <c r="L1604" s="0" t="n">
        <f aca="false">G1604</f>
        <v>0.5</v>
      </c>
      <c r="M1604" s="0" t="n">
        <f aca="false">H1604</f>
        <v>0.5</v>
      </c>
      <c r="N1604" s="0" t="n">
        <f aca="false">E1604*F1604</f>
        <v>0.375</v>
      </c>
      <c r="O1604" s="0" t="n">
        <f aca="false">E1604*G1604</f>
        <v>-0.25</v>
      </c>
      <c r="P1604" s="0" t="n">
        <f aca="false">E1604*H1604</f>
        <v>-0.25</v>
      </c>
      <c r="Q1604" s="0" t="n">
        <f aca="false">F1604*G1604</f>
        <v>-0.375</v>
      </c>
      <c r="R1604" s="0" t="n">
        <f aca="false">F1604*H1604</f>
        <v>-0.375</v>
      </c>
      <c r="S1604" s="0" t="n">
        <f aca="false">G1604*H1604</f>
        <v>0.25</v>
      </c>
      <c r="T1604" s="0" t="n">
        <f aca="false">E1604*E1604</f>
        <v>0.25</v>
      </c>
      <c r="U1604" s="0" t="n">
        <f aca="false">F1604*F1604</f>
        <v>0.5625</v>
      </c>
      <c r="V1604" s="0" t="n">
        <f aca="false">G1604*G1604</f>
        <v>0.25</v>
      </c>
      <c r="W1604" s="0" t="n">
        <f aca="false">H1604*H1604</f>
        <v>0.25</v>
      </c>
      <c r="X1604" s="0" t="n">
        <f aca="false">SUMPRODUCT(I1604:W1604,_XtX!$B$96:$P$96)</f>
        <v>44.2517543859649</v>
      </c>
      <c r="Y1604" s="0" t="n">
        <f aca="false">SUMPRODUCT(MMULT(I1604:W1604,_XtX!$B$78:$P$92),I1604:W1604)</f>
        <v>0.193924753289474</v>
      </c>
      <c r="Z1604" s="0" t="n">
        <f aca="false">04_回帰ANOVA!$K$19*04_回帰ANOVA!$K$14*SQRT(1+Y1604)</f>
        <v>1.4242521079916</v>
      </c>
      <c r="AA1604" s="0" t="n">
        <f aca="false">X1604-Z1604</f>
        <v>42.8275022779733</v>
      </c>
      <c r="AB1604" s="0" t="n">
        <f aca="false">X1604+Z1604</f>
        <v>45.6760064939565</v>
      </c>
      <c r="AC1604" s="54" t="b">
        <f aca="false">AND(E1604&gt;=01_因子設定!$L$5-0.000000001,E1604&lt;=01_因子設定!$M$5+0.000000001,F1604&gt;=01_因子設定!$L$6-0.000000001,F1604&lt;=01_因子設定!$M$6+0.000000001,G1604&gt;=01_因子設定!$L$7-0.000000001,G1604&lt;=01_因子設定!$M$7+0.000000001,H1604&gt;=01_因子設定!$L$8-0.000000001,H1604&lt;=01_因子設定!$M$8+0.000000001,IF(01_因子設定!$B$20="Box-Behnken",E1604^2+F1604^2+G1604^2+H1604^2&lt;=2+0.000000001,TRUE()))</f>
        <v>1</v>
      </c>
      <c r="AD1604" s="55" t="n">
        <f aca="false">IF(AC1604,IF(01_因子設定!$B$13="最大化",AA1604-01_因子設定!$B$14,IF(01_因子設定!$B$13="最小化",01_因子設定!$B$15-AB1604,MIN(AA1604-01_因子設定!$B$14,01_因子設定!$B$15-AB1604))),-1E+030)</f>
        <v>-3.67249772202672</v>
      </c>
      <c r="AE1604" s="55" t="n">
        <f aca="false">IF(AC1604,IF(01_因子設定!$B$13="最大化",X1604,IF(01_因子設定!$B$13="最小化",-X1604,-ABS(X1604-01_因子設定!$B$16))),-1E+030)</f>
        <v>44.2517543859649</v>
      </c>
      <c r="AF1604" s="55" t="n">
        <f aca="false">AD1604+ROW()*0.000000001</f>
        <v>-3.67249611802672</v>
      </c>
      <c r="AG1604" s="55" t="n">
        <f aca="false">AE1604+ROW()*0.000000001</f>
        <v>44.2517559899649</v>
      </c>
    </row>
    <row r="1605" customFormat="false" ht="15" hidden="false" customHeight="false" outlineLevel="0" collapsed="false">
      <c r="A1605" s="0" t="n">
        <v>2</v>
      </c>
      <c r="B1605" s="0" t="n">
        <v>1</v>
      </c>
      <c r="C1605" s="0" t="n">
        <v>6</v>
      </c>
      <c r="D1605" s="0" t="n">
        <v>7</v>
      </c>
      <c r="E1605" s="0" t="n">
        <f aca="false">-1+A1605*0.25</f>
        <v>-0.5</v>
      </c>
      <c r="F1605" s="0" t="n">
        <f aca="false">-1+B1605*0.25</f>
        <v>-0.75</v>
      </c>
      <c r="G1605" s="0" t="n">
        <f aca="false">-1+C1605*0.25</f>
        <v>0.5</v>
      </c>
      <c r="H1605" s="0" t="n">
        <f aca="false">-1+D1605*0.25</f>
        <v>0.75</v>
      </c>
      <c r="I1605" s="0" t="n">
        <f aca="false">1</f>
        <v>1</v>
      </c>
      <c r="J1605" s="0" t="n">
        <f aca="false">E1605</f>
        <v>-0.5</v>
      </c>
      <c r="K1605" s="0" t="n">
        <f aca="false">F1605</f>
        <v>-0.75</v>
      </c>
      <c r="L1605" s="0" t="n">
        <f aca="false">G1605</f>
        <v>0.5</v>
      </c>
      <c r="M1605" s="0" t="n">
        <f aca="false">H1605</f>
        <v>0.75</v>
      </c>
      <c r="N1605" s="0" t="n">
        <f aca="false">E1605*F1605</f>
        <v>0.375</v>
      </c>
      <c r="O1605" s="0" t="n">
        <f aca="false">E1605*G1605</f>
        <v>-0.25</v>
      </c>
      <c r="P1605" s="0" t="n">
        <f aca="false">E1605*H1605</f>
        <v>-0.375</v>
      </c>
      <c r="Q1605" s="0" t="n">
        <f aca="false">F1605*G1605</f>
        <v>-0.375</v>
      </c>
      <c r="R1605" s="0" t="n">
        <f aca="false">F1605*H1605</f>
        <v>-0.5625</v>
      </c>
      <c r="S1605" s="0" t="n">
        <f aca="false">G1605*H1605</f>
        <v>0.375</v>
      </c>
      <c r="T1605" s="0" t="n">
        <f aca="false">E1605*E1605</f>
        <v>0.25</v>
      </c>
      <c r="U1605" s="0" t="n">
        <f aca="false">F1605*F1605</f>
        <v>0.5625</v>
      </c>
      <c r="V1605" s="0" t="n">
        <f aca="false">G1605*G1605</f>
        <v>0.25</v>
      </c>
      <c r="W1605" s="0" t="n">
        <f aca="false">H1605*H1605</f>
        <v>0.5625</v>
      </c>
      <c r="X1605" s="0" t="n">
        <f aca="false">SUMPRODUCT(I1605:W1605,_XtX!$B$96:$P$96)</f>
        <v>44.2937819809941</v>
      </c>
      <c r="Y1605" s="0" t="n">
        <f aca="false">SUMPRODUCT(MMULT(I1605:W1605,_XtX!$B$78:$P$92),I1605:W1605)</f>
        <v>0.237862927174708</v>
      </c>
      <c r="Z1605" s="0" t="n">
        <f aca="false">04_回帰ANOVA!$K$19*04_回帰ANOVA!$K$14*SQRT(1+Y1605)</f>
        <v>1.45022260708756</v>
      </c>
      <c r="AA1605" s="0" t="n">
        <f aca="false">X1605-Z1605</f>
        <v>42.8435593739066</v>
      </c>
      <c r="AB1605" s="0" t="n">
        <f aca="false">X1605+Z1605</f>
        <v>45.7440045880817</v>
      </c>
      <c r="AC1605" s="54" t="b">
        <f aca="false">AND(E1605&gt;=01_因子設定!$L$5-0.000000001,E1605&lt;=01_因子設定!$M$5+0.000000001,F1605&gt;=01_因子設定!$L$6-0.000000001,F1605&lt;=01_因子設定!$M$6+0.000000001,G1605&gt;=01_因子設定!$L$7-0.000000001,G1605&lt;=01_因子設定!$M$7+0.000000001,H1605&gt;=01_因子設定!$L$8-0.000000001,H1605&lt;=01_因子設定!$M$8+0.000000001,IF(01_因子設定!$B$20="Box-Behnken",E1605^2+F1605^2+G1605^2+H1605^2&lt;=2+0.000000001,TRUE()))</f>
        <v>1</v>
      </c>
      <c r="AD1605" s="55" t="n">
        <f aca="false">IF(AC1605,IF(01_因子設定!$B$13="最大化",AA1605-01_因子設定!$B$14,IF(01_因子設定!$B$13="最小化",01_因子設定!$B$15-AB1605,MIN(AA1605-01_因子設定!$B$14,01_因子設定!$B$15-AB1605))),-1E+030)</f>
        <v>-3.65644062609343</v>
      </c>
      <c r="AE1605" s="55" t="n">
        <f aca="false">IF(AC1605,IF(01_因子設定!$B$13="最大化",X1605,IF(01_因子設定!$B$13="最小化",-X1605,-ABS(X1605-01_因子設定!$B$16))),-1E+030)</f>
        <v>44.2937819809941</v>
      </c>
      <c r="AF1605" s="55" t="n">
        <f aca="false">AD1605+ROW()*0.000000001</f>
        <v>-3.65643902109343</v>
      </c>
      <c r="AG1605" s="55" t="n">
        <f aca="false">AE1605+ROW()*0.000000001</f>
        <v>44.2937835859941</v>
      </c>
    </row>
    <row r="1606" customFormat="false" ht="15" hidden="false" customHeight="false" outlineLevel="0" collapsed="false">
      <c r="A1606" s="0" t="n">
        <v>2</v>
      </c>
      <c r="B1606" s="0" t="n">
        <v>1</v>
      </c>
      <c r="C1606" s="0" t="n">
        <v>6</v>
      </c>
      <c r="D1606" s="0" t="n">
        <v>8</v>
      </c>
      <c r="E1606" s="0" t="n">
        <f aca="false">-1+A1606*0.25</f>
        <v>-0.5</v>
      </c>
      <c r="F1606" s="0" t="n">
        <f aca="false">-1+B1606*0.25</f>
        <v>-0.75</v>
      </c>
      <c r="G1606" s="0" t="n">
        <f aca="false">-1+C1606*0.25</f>
        <v>0.5</v>
      </c>
      <c r="H1606" s="0" t="n">
        <f aca="false">-1+D1606*0.25</f>
        <v>1</v>
      </c>
      <c r="I1606" s="0" t="n">
        <f aca="false">1</f>
        <v>1</v>
      </c>
      <c r="J1606" s="0" t="n">
        <f aca="false">E1606</f>
        <v>-0.5</v>
      </c>
      <c r="K1606" s="0" t="n">
        <f aca="false">F1606</f>
        <v>-0.75</v>
      </c>
      <c r="L1606" s="0" t="n">
        <f aca="false">G1606</f>
        <v>0.5</v>
      </c>
      <c r="M1606" s="0" t="n">
        <f aca="false">H1606</f>
        <v>1</v>
      </c>
      <c r="N1606" s="0" t="n">
        <f aca="false">E1606*F1606</f>
        <v>0.375</v>
      </c>
      <c r="O1606" s="0" t="n">
        <f aca="false">E1606*G1606</f>
        <v>-0.25</v>
      </c>
      <c r="P1606" s="0" t="n">
        <f aca="false">E1606*H1606</f>
        <v>-0.5</v>
      </c>
      <c r="Q1606" s="0" t="n">
        <f aca="false">F1606*G1606</f>
        <v>-0.375</v>
      </c>
      <c r="R1606" s="0" t="n">
        <f aca="false">F1606*H1606</f>
        <v>-0.75</v>
      </c>
      <c r="S1606" s="0" t="n">
        <f aca="false">G1606*H1606</f>
        <v>0.5</v>
      </c>
      <c r="T1606" s="0" t="n">
        <f aca="false">E1606*E1606</f>
        <v>0.25</v>
      </c>
      <c r="U1606" s="0" t="n">
        <f aca="false">F1606*F1606</f>
        <v>0.5625</v>
      </c>
      <c r="V1606" s="0" t="n">
        <f aca="false">G1606*G1606</f>
        <v>0.25</v>
      </c>
      <c r="W1606" s="0" t="n">
        <f aca="false">H1606*H1606</f>
        <v>1</v>
      </c>
      <c r="X1606" s="0" t="n">
        <f aca="false">SUMPRODUCT(I1606:W1606,_XtX!$B$96:$P$96)</f>
        <v>44.2880025584795</v>
      </c>
      <c r="Y1606" s="0" t="n">
        <f aca="false">SUMPRODUCT(MMULT(I1606:W1606,_XtX!$B$78:$P$92),I1606:W1606)</f>
        <v>0.42602110745614</v>
      </c>
      <c r="Z1606" s="0" t="n">
        <f aca="false">04_回帰ANOVA!$K$19*04_回帰ANOVA!$K$14*SQRT(1+Y1606)</f>
        <v>1.55654388501114</v>
      </c>
      <c r="AA1606" s="0" t="n">
        <f aca="false">X1606-Z1606</f>
        <v>42.7314586734684</v>
      </c>
      <c r="AB1606" s="0" t="n">
        <f aca="false">X1606+Z1606</f>
        <v>45.8445464434907</v>
      </c>
      <c r="AC1606" s="54" t="b">
        <f aca="false">AND(E1606&gt;=01_因子設定!$L$5-0.000000001,E1606&lt;=01_因子設定!$M$5+0.000000001,F1606&gt;=01_因子設定!$L$6-0.000000001,F1606&lt;=01_因子設定!$M$6+0.000000001,G1606&gt;=01_因子設定!$L$7-0.000000001,G1606&lt;=01_因子設定!$M$7+0.000000001,H1606&gt;=01_因子設定!$L$8-0.000000001,H1606&lt;=01_因子設定!$M$8+0.000000001,IF(01_因子設定!$B$20="Box-Behnken",E1606^2+F1606^2+G1606^2+H1606^2&lt;=2+0.000000001,TRUE()))</f>
        <v>1</v>
      </c>
      <c r="AD1606" s="55" t="n">
        <f aca="false">IF(AC1606,IF(01_因子設定!$B$13="最大化",AA1606-01_因子設定!$B$14,IF(01_因子設定!$B$13="最小化",01_因子設定!$B$15-AB1606,MIN(AA1606-01_因子設定!$B$14,01_因子設定!$B$15-AB1606))),-1E+030)</f>
        <v>-3.76854132653161</v>
      </c>
      <c r="AE1606" s="55" t="n">
        <f aca="false">IF(AC1606,IF(01_因子設定!$B$13="最大化",X1606,IF(01_因子設定!$B$13="最小化",-X1606,-ABS(X1606-01_因子設定!$B$16))),-1E+030)</f>
        <v>44.2880025584795</v>
      </c>
      <c r="AF1606" s="55" t="n">
        <f aca="false">AD1606+ROW()*0.000000001</f>
        <v>-3.76853972053161</v>
      </c>
      <c r="AG1606" s="55" t="n">
        <f aca="false">AE1606+ROW()*0.000000001</f>
        <v>44.2880041644795</v>
      </c>
    </row>
    <row r="1607" customFormat="false" ht="15" hidden="false" customHeight="false" outlineLevel="0" collapsed="false">
      <c r="A1607" s="0" t="n">
        <v>2</v>
      </c>
      <c r="B1607" s="0" t="n">
        <v>1</v>
      </c>
      <c r="C1607" s="0" t="n">
        <v>7</v>
      </c>
      <c r="D1607" s="0" t="n">
        <v>0</v>
      </c>
      <c r="E1607" s="0" t="n">
        <f aca="false">-1+A1607*0.25</f>
        <v>-0.5</v>
      </c>
      <c r="F1607" s="0" t="n">
        <f aca="false">-1+B1607*0.25</f>
        <v>-0.75</v>
      </c>
      <c r="G1607" s="0" t="n">
        <f aca="false">-1+C1607*0.25</f>
        <v>0.75</v>
      </c>
      <c r="H1607" s="0" t="n">
        <f aca="false">-1+D1607*0.25</f>
        <v>-1</v>
      </c>
      <c r="I1607" s="0" t="n">
        <f aca="false">1</f>
        <v>1</v>
      </c>
      <c r="J1607" s="0" t="n">
        <f aca="false">E1607</f>
        <v>-0.5</v>
      </c>
      <c r="K1607" s="0" t="n">
        <f aca="false">F1607</f>
        <v>-0.75</v>
      </c>
      <c r="L1607" s="0" t="n">
        <f aca="false">G1607</f>
        <v>0.75</v>
      </c>
      <c r="M1607" s="0" t="n">
        <f aca="false">H1607</f>
        <v>-1</v>
      </c>
      <c r="N1607" s="0" t="n">
        <f aca="false">E1607*F1607</f>
        <v>0.375</v>
      </c>
      <c r="O1607" s="0" t="n">
        <f aca="false">E1607*G1607</f>
        <v>-0.375</v>
      </c>
      <c r="P1607" s="0" t="n">
        <f aca="false">E1607*H1607</f>
        <v>0.5</v>
      </c>
      <c r="Q1607" s="0" t="n">
        <f aca="false">F1607*G1607</f>
        <v>-0.5625</v>
      </c>
      <c r="R1607" s="0" t="n">
        <f aca="false">F1607*H1607</f>
        <v>0.75</v>
      </c>
      <c r="S1607" s="0" t="n">
        <f aca="false">G1607*H1607</f>
        <v>-0.75</v>
      </c>
      <c r="T1607" s="0" t="n">
        <f aca="false">E1607*E1607</f>
        <v>0.25</v>
      </c>
      <c r="U1607" s="0" t="n">
        <f aca="false">F1607*F1607</f>
        <v>0.5625</v>
      </c>
      <c r="V1607" s="0" t="n">
        <f aca="false">G1607*G1607</f>
        <v>0.5625</v>
      </c>
      <c r="W1607" s="0" t="n">
        <f aca="false">H1607*H1607</f>
        <v>1</v>
      </c>
      <c r="X1607" s="0" t="n">
        <f aca="false">SUMPRODUCT(I1607:W1607,_XtX!$B$96:$P$96)</f>
        <v>42.9789884868421</v>
      </c>
      <c r="Y1607" s="0" t="n">
        <f aca="false">SUMPRODUCT(MMULT(I1607:W1607,_XtX!$B$78:$P$92),I1607:W1607)</f>
        <v>0.431153771472953</v>
      </c>
      <c r="Z1607" s="0" t="n">
        <f aca="false">04_回帰ANOVA!$K$19*04_回帰ANOVA!$K$14*SQRT(1+Y1607)</f>
        <v>1.55934259562563</v>
      </c>
      <c r="AA1607" s="0" t="n">
        <f aca="false">X1607-Z1607</f>
        <v>41.4196458912165</v>
      </c>
      <c r="AB1607" s="0" t="n">
        <f aca="false">X1607+Z1607</f>
        <v>44.5383310824677</v>
      </c>
      <c r="AC1607" s="54" t="b">
        <f aca="false">AND(E1607&gt;=01_因子設定!$L$5-0.000000001,E1607&lt;=01_因子設定!$M$5+0.000000001,F1607&gt;=01_因子設定!$L$6-0.000000001,F1607&lt;=01_因子設定!$M$6+0.000000001,G1607&gt;=01_因子設定!$L$7-0.000000001,G1607&lt;=01_因子設定!$M$7+0.000000001,H1607&gt;=01_因子設定!$L$8-0.000000001,H1607&lt;=01_因子設定!$M$8+0.000000001,IF(01_因子設定!$B$20="Box-Behnken",E1607^2+F1607^2+G1607^2+H1607^2&lt;=2+0.000000001,TRUE()))</f>
        <v>1</v>
      </c>
      <c r="AD1607" s="55" t="n">
        <f aca="false">IF(AC1607,IF(01_因子設定!$B$13="最大化",AA1607-01_因子設定!$B$14,IF(01_因子設定!$B$13="最小化",01_因子設定!$B$15-AB1607,MIN(AA1607-01_因子設定!$B$14,01_因子設定!$B$15-AB1607))),-1E+030)</f>
        <v>-5.08035410878352</v>
      </c>
      <c r="AE1607" s="55" t="n">
        <f aca="false">IF(AC1607,IF(01_因子設定!$B$13="最大化",X1607,IF(01_因子設定!$B$13="最小化",-X1607,-ABS(X1607-01_因子設定!$B$16))),-1E+030)</f>
        <v>42.9789884868421</v>
      </c>
      <c r="AF1607" s="55" t="n">
        <f aca="false">AD1607+ROW()*0.000000001</f>
        <v>-5.08035250178352</v>
      </c>
      <c r="AG1607" s="55" t="n">
        <f aca="false">AE1607+ROW()*0.000000001</f>
        <v>42.9789900938421</v>
      </c>
    </row>
    <row r="1608" customFormat="false" ht="15" hidden="false" customHeight="false" outlineLevel="0" collapsed="false">
      <c r="A1608" s="0" t="n">
        <v>2</v>
      </c>
      <c r="B1608" s="0" t="n">
        <v>1</v>
      </c>
      <c r="C1608" s="0" t="n">
        <v>7</v>
      </c>
      <c r="D1608" s="0" t="n">
        <v>1</v>
      </c>
      <c r="E1608" s="0" t="n">
        <f aca="false">-1+A1608*0.25</f>
        <v>-0.5</v>
      </c>
      <c r="F1608" s="0" t="n">
        <f aca="false">-1+B1608*0.25</f>
        <v>-0.75</v>
      </c>
      <c r="G1608" s="0" t="n">
        <f aca="false">-1+C1608*0.25</f>
        <v>0.75</v>
      </c>
      <c r="H1608" s="0" t="n">
        <f aca="false">-1+D1608*0.25</f>
        <v>-0.75</v>
      </c>
      <c r="I1608" s="0" t="n">
        <f aca="false">1</f>
        <v>1</v>
      </c>
      <c r="J1608" s="0" t="n">
        <f aca="false">E1608</f>
        <v>-0.5</v>
      </c>
      <c r="K1608" s="0" t="n">
        <f aca="false">F1608</f>
        <v>-0.75</v>
      </c>
      <c r="L1608" s="0" t="n">
        <f aca="false">G1608</f>
        <v>0.75</v>
      </c>
      <c r="M1608" s="0" t="n">
        <f aca="false">H1608</f>
        <v>-0.75</v>
      </c>
      <c r="N1608" s="0" t="n">
        <f aca="false">E1608*F1608</f>
        <v>0.375</v>
      </c>
      <c r="O1608" s="0" t="n">
        <f aca="false">E1608*G1608</f>
        <v>-0.375</v>
      </c>
      <c r="P1608" s="0" t="n">
        <f aca="false">E1608*H1608</f>
        <v>0.375</v>
      </c>
      <c r="Q1608" s="0" t="n">
        <f aca="false">F1608*G1608</f>
        <v>-0.5625</v>
      </c>
      <c r="R1608" s="0" t="n">
        <f aca="false">F1608*H1608</f>
        <v>0.5625</v>
      </c>
      <c r="S1608" s="0" t="n">
        <f aca="false">G1608*H1608</f>
        <v>-0.5625</v>
      </c>
      <c r="T1608" s="0" t="n">
        <f aca="false">E1608*E1608</f>
        <v>0.25</v>
      </c>
      <c r="U1608" s="0" t="n">
        <f aca="false">F1608*F1608</f>
        <v>0.5625</v>
      </c>
      <c r="V1608" s="0" t="n">
        <f aca="false">G1608*G1608</f>
        <v>0.5625</v>
      </c>
      <c r="W1608" s="0" t="n">
        <f aca="false">H1608*H1608</f>
        <v>0.5625</v>
      </c>
      <c r="X1608" s="0" t="n">
        <f aca="false">SUMPRODUCT(I1608:W1608,_XtX!$B$96:$P$96)</f>
        <v>43.3258269371345</v>
      </c>
      <c r="Y1608" s="0" t="n">
        <f aca="false">SUMPRODUCT(MMULT(I1608:W1608,_XtX!$B$78:$P$92),I1608:W1608)</f>
        <v>0.265632138614766</v>
      </c>
      <c r="Z1608" s="0" t="n">
        <f aca="false">04_回帰ANOVA!$K$19*04_回帰ANOVA!$K$14*SQRT(1+Y1608)</f>
        <v>1.46639894654257</v>
      </c>
      <c r="AA1608" s="0" t="n">
        <f aca="false">X1608-Z1608</f>
        <v>41.8594279905919</v>
      </c>
      <c r="AB1608" s="0" t="n">
        <f aca="false">X1608+Z1608</f>
        <v>44.7922258836771</v>
      </c>
      <c r="AC1608" s="54" t="b">
        <f aca="false">AND(E1608&gt;=01_因子設定!$L$5-0.000000001,E1608&lt;=01_因子設定!$M$5+0.000000001,F1608&gt;=01_因子設定!$L$6-0.000000001,F1608&lt;=01_因子設定!$M$6+0.000000001,G1608&gt;=01_因子設定!$L$7-0.000000001,G1608&lt;=01_因子設定!$M$7+0.000000001,H1608&gt;=01_因子設定!$L$8-0.000000001,H1608&lt;=01_因子設定!$M$8+0.000000001,IF(01_因子設定!$B$20="Box-Behnken",E1608^2+F1608^2+G1608^2+H1608^2&lt;=2+0.000000001,TRUE()))</f>
        <v>1</v>
      </c>
      <c r="AD1608" s="55" t="n">
        <f aca="false">IF(AC1608,IF(01_因子設定!$B$13="最大化",AA1608-01_因子設定!$B$14,IF(01_因子設定!$B$13="最小化",01_因子設定!$B$15-AB1608,MIN(AA1608-01_因子設定!$B$14,01_因子設定!$B$15-AB1608))),-1E+030)</f>
        <v>-4.64057200940809</v>
      </c>
      <c r="AE1608" s="55" t="n">
        <f aca="false">IF(AC1608,IF(01_因子設定!$B$13="最大化",X1608,IF(01_因子設定!$B$13="最小化",-X1608,-ABS(X1608-01_因子設定!$B$16))),-1E+030)</f>
        <v>43.3258269371345</v>
      </c>
      <c r="AF1608" s="55" t="n">
        <f aca="false">AD1608+ROW()*0.000000001</f>
        <v>-4.64057040140809</v>
      </c>
      <c r="AG1608" s="55" t="n">
        <f aca="false">AE1608+ROW()*0.000000001</f>
        <v>43.3258285451345</v>
      </c>
    </row>
    <row r="1609" customFormat="false" ht="15" hidden="false" customHeight="false" outlineLevel="0" collapsed="false">
      <c r="A1609" s="0" t="n">
        <v>2</v>
      </c>
      <c r="B1609" s="0" t="n">
        <v>1</v>
      </c>
      <c r="C1609" s="0" t="n">
        <v>7</v>
      </c>
      <c r="D1609" s="0" t="n">
        <v>2</v>
      </c>
      <c r="E1609" s="0" t="n">
        <f aca="false">-1+A1609*0.25</f>
        <v>-0.5</v>
      </c>
      <c r="F1609" s="0" t="n">
        <f aca="false">-1+B1609*0.25</f>
        <v>-0.75</v>
      </c>
      <c r="G1609" s="0" t="n">
        <f aca="false">-1+C1609*0.25</f>
        <v>0.75</v>
      </c>
      <c r="H1609" s="0" t="n">
        <f aca="false">-1+D1609*0.25</f>
        <v>-0.5</v>
      </c>
      <c r="I1609" s="0" t="n">
        <f aca="false">1</f>
        <v>1</v>
      </c>
      <c r="J1609" s="0" t="n">
        <f aca="false">E1609</f>
        <v>-0.5</v>
      </c>
      <c r="K1609" s="0" t="n">
        <f aca="false">F1609</f>
        <v>-0.75</v>
      </c>
      <c r="L1609" s="0" t="n">
        <f aca="false">G1609</f>
        <v>0.75</v>
      </c>
      <c r="M1609" s="0" t="n">
        <f aca="false">H1609</f>
        <v>-0.5</v>
      </c>
      <c r="N1609" s="0" t="n">
        <f aca="false">E1609*F1609</f>
        <v>0.375</v>
      </c>
      <c r="O1609" s="0" t="n">
        <f aca="false">E1609*G1609</f>
        <v>-0.375</v>
      </c>
      <c r="P1609" s="0" t="n">
        <f aca="false">E1609*H1609</f>
        <v>0.25</v>
      </c>
      <c r="Q1609" s="0" t="n">
        <f aca="false">F1609*G1609</f>
        <v>-0.5625</v>
      </c>
      <c r="R1609" s="0" t="n">
        <f aca="false">F1609*H1609</f>
        <v>0.375</v>
      </c>
      <c r="S1609" s="0" t="n">
        <f aca="false">G1609*H1609</f>
        <v>-0.375</v>
      </c>
      <c r="T1609" s="0" t="n">
        <f aca="false">E1609*E1609</f>
        <v>0.25</v>
      </c>
      <c r="U1609" s="0" t="n">
        <f aca="false">F1609*F1609</f>
        <v>0.5625</v>
      </c>
      <c r="V1609" s="0" t="n">
        <f aca="false">G1609*G1609</f>
        <v>0.5625</v>
      </c>
      <c r="W1609" s="0" t="n">
        <f aca="false">H1609*H1609</f>
        <v>0.25</v>
      </c>
      <c r="X1609" s="0" t="n">
        <f aca="false">SUMPRODUCT(I1609:W1609,_XtX!$B$96:$P$96)</f>
        <v>43.624858369883</v>
      </c>
      <c r="Y1609" s="0" t="n">
        <f aca="false">SUMPRODUCT(MMULT(I1609:W1609,_XtX!$B$78:$P$92),I1609:W1609)</f>
        <v>0.237862927174708</v>
      </c>
      <c r="Z1609" s="0" t="n">
        <f aca="false">04_回帰ANOVA!$K$19*04_回帰ANOVA!$K$14*SQRT(1+Y1609)</f>
        <v>1.45022260708756</v>
      </c>
      <c r="AA1609" s="0" t="n">
        <f aca="false">X1609-Z1609</f>
        <v>42.1746357627955</v>
      </c>
      <c r="AB1609" s="0" t="n">
        <f aca="false">X1609+Z1609</f>
        <v>45.0750809769706</v>
      </c>
      <c r="AC1609" s="54" t="b">
        <f aca="false">AND(E1609&gt;=01_因子設定!$L$5-0.000000001,E1609&lt;=01_因子設定!$M$5+0.000000001,F1609&gt;=01_因子設定!$L$6-0.000000001,F1609&lt;=01_因子設定!$M$6+0.000000001,G1609&gt;=01_因子設定!$L$7-0.000000001,G1609&lt;=01_因子設定!$M$7+0.000000001,H1609&gt;=01_因子設定!$L$8-0.000000001,H1609&lt;=01_因子設定!$M$8+0.000000001,IF(01_因子設定!$B$20="Box-Behnken",E1609^2+F1609^2+G1609^2+H1609^2&lt;=2+0.000000001,TRUE()))</f>
        <v>1</v>
      </c>
      <c r="AD1609" s="55" t="n">
        <f aca="false">IF(AC1609,IF(01_因子設定!$B$13="最大化",AA1609-01_因子設定!$B$14,IF(01_因子設定!$B$13="最小化",01_因子設定!$B$15-AB1609,MIN(AA1609-01_因子設定!$B$14,01_因子設定!$B$15-AB1609))),-1E+030)</f>
        <v>-4.32536423720455</v>
      </c>
      <c r="AE1609" s="55" t="n">
        <f aca="false">IF(AC1609,IF(01_因子設定!$B$13="最大化",X1609,IF(01_因子設定!$B$13="最小化",-X1609,-ABS(X1609-01_因子設定!$B$16))),-1E+030)</f>
        <v>43.624858369883</v>
      </c>
      <c r="AF1609" s="55" t="n">
        <f aca="false">AD1609+ROW()*0.000000001</f>
        <v>-4.32536262820455</v>
      </c>
      <c r="AG1609" s="55" t="n">
        <f aca="false">AE1609+ROW()*0.000000001</f>
        <v>43.624859978883</v>
      </c>
    </row>
    <row r="1610" customFormat="false" ht="15" hidden="false" customHeight="false" outlineLevel="0" collapsed="false">
      <c r="A1610" s="0" t="n">
        <v>2</v>
      </c>
      <c r="B1610" s="0" t="n">
        <v>1</v>
      </c>
      <c r="C1610" s="0" t="n">
        <v>7</v>
      </c>
      <c r="D1610" s="0" t="n">
        <v>3</v>
      </c>
      <c r="E1610" s="0" t="n">
        <f aca="false">-1+A1610*0.25</f>
        <v>-0.5</v>
      </c>
      <c r="F1610" s="0" t="n">
        <f aca="false">-1+B1610*0.25</f>
        <v>-0.75</v>
      </c>
      <c r="G1610" s="0" t="n">
        <f aca="false">-1+C1610*0.25</f>
        <v>0.75</v>
      </c>
      <c r="H1610" s="0" t="n">
        <f aca="false">-1+D1610*0.25</f>
        <v>-0.25</v>
      </c>
      <c r="I1610" s="0" t="n">
        <f aca="false">1</f>
        <v>1</v>
      </c>
      <c r="J1610" s="0" t="n">
        <f aca="false">E1610</f>
        <v>-0.5</v>
      </c>
      <c r="K1610" s="0" t="n">
        <f aca="false">F1610</f>
        <v>-0.75</v>
      </c>
      <c r="L1610" s="0" t="n">
        <f aca="false">G1610</f>
        <v>0.75</v>
      </c>
      <c r="M1610" s="0" t="n">
        <f aca="false">H1610</f>
        <v>-0.25</v>
      </c>
      <c r="N1610" s="0" t="n">
        <f aca="false">E1610*F1610</f>
        <v>0.375</v>
      </c>
      <c r="O1610" s="0" t="n">
        <f aca="false">E1610*G1610</f>
        <v>-0.375</v>
      </c>
      <c r="P1610" s="0" t="n">
        <f aca="false">E1610*H1610</f>
        <v>0.125</v>
      </c>
      <c r="Q1610" s="0" t="n">
        <f aca="false">F1610*G1610</f>
        <v>-0.5625</v>
      </c>
      <c r="R1610" s="0" t="n">
        <f aca="false">F1610*H1610</f>
        <v>0.1875</v>
      </c>
      <c r="S1610" s="0" t="n">
        <f aca="false">G1610*H1610</f>
        <v>-0.1875</v>
      </c>
      <c r="T1610" s="0" t="n">
        <f aca="false">E1610*E1610</f>
        <v>0.25</v>
      </c>
      <c r="U1610" s="0" t="n">
        <f aca="false">F1610*F1610</f>
        <v>0.5625</v>
      </c>
      <c r="V1610" s="0" t="n">
        <f aca="false">G1610*G1610</f>
        <v>0.5625</v>
      </c>
      <c r="W1610" s="0" t="n">
        <f aca="false">H1610*H1610</f>
        <v>0.0625</v>
      </c>
      <c r="X1610" s="0" t="n">
        <f aca="false">SUMPRODUCT(I1610:W1610,_XtX!$B$96:$P$96)</f>
        <v>43.8760827850877</v>
      </c>
      <c r="Y1610" s="0" t="n">
        <f aca="false">SUMPRODUCT(MMULT(I1610:W1610,_XtX!$B$78:$P$92),I1610:W1610)</f>
        <v>0.257385610836988</v>
      </c>
      <c r="Z1610" s="0" t="n">
        <f aca="false">04_回帰ANOVA!$K$19*04_回帰ANOVA!$K$14*SQRT(1+Y1610)</f>
        <v>1.46161380324158</v>
      </c>
      <c r="AA1610" s="0" t="n">
        <f aca="false">X1610-Z1610</f>
        <v>42.4144689818461</v>
      </c>
      <c r="AB1610" s="0" t="n">
        <f aca="false">X1610+Z1610</f>
        <v>45.3376965883293</v>
      </c>
      <c r="AC1610" s="54" t="b">
        <f aca="false">AND(E1610&gt;=01_因子設定!$L$5-0.000000001,E1610&lt;=01_因子設定!$M$5+0.000000001,F1610&gt;=01_因子設定!$L$6-0.000000001,F1610&lt;=01_因子設定!$M$6+0.000000001,G1610&gt;=01_因子設定!$L$7-0.000000001,G1610&lt;=01_因子設定!$M$7+0.000000001,H1610&gt;=01_因子設定!$L$8-0.000000001,H1610&lt;=01_因子設定!$M$8+0.000000001,IF(01_因子設定!$B$20="Box-Behnken",E1610^2+F1610^2+G1610^2+H1610^2&lt;=2+0.000000001,TRUE()))</f>
        <v>1</v>
      </c>
      <c r="AD1610" s="55" t="n">
        <f aca="false">IF(AC1610,IF(01_因子設定!$B$13="最大化",AA1610-01_因子設定!$B$14,IF(01_因子設定!$B$13="最小化",01_因子設定!$B$15-AB1610,MIN(AA1610-01_因子設定!$B$14,01_因子設定!$B$15-AB1610))),-1E+030)</f>
        <v>-4.0855310181539</v>
      </c>
      <c r="AE1610" s="55" t="n">
        <f aca="false">IF(AC1610,IF(01_因子設定!$B$13="最大化",X1610,IF(01_因子設定!$B$13="最小化",-X1610,-ABS(X1610-01_因子設定!$B$16))),-1E+030)</f>
        <v>43.8760827850877</v>
      </c>
      <c r="AF1610" s="55" t="n">
        <f aca="false">AD1610+ROW()*0.000000001</f>
        <v>-4.0855294081539</v>
      </c>
      <c r="AG1610" s="55" t="n">
        <f aca="false">AE1610+ROW()*0.000000001</f>
        <v>43.8760843950877</v>
      </c>
    </row>
    <row r="1611" customFormat="false" ht="15" hidden="false" customHeight="false" outlineLevel="0" collapsed="false">
      <c r="A1611" s="0" t="n">
        <v>2</v>
      </c>
      <c r="B1611" s="0" t="n">
        <v>1</v>
      </c>
      <c r="C1611" s="0" t="n">
        <v>7</v>
      </c>
      <c r="D1611" s="0" t="n">
        <v>4</v>
      </c>
      <c r="E1611" s="0" t="n">
        <f aca="false">-1+A1611*0.25</f>
        <v>-0.5</v>
      </c>
      <c r="F1611" s="0" t="n">
        <f aca="false">-1+B1611*0.25</f>
        <v>-0.75</v>
      </c>
      <c r="G1611" s="0" t="n">
        <f aca="false">-1+C1611*0.25</f>
        <v>0.75</v>
      </c>
      <c r="H1611" s="0" t="n">
        <f aca="false">-1+D1611*0.25</f>
        <v>0</v>
      </c>
      <c r="I1611" s="0" t="n">
        <f aca="false">1</f>
        <v>1</v>
      </c>
      <c r="J1611" s="0" t="n">
        <f aca="false">E1611</f>
        <v>-0.5</v>
      </c>
      <c r="K1611" s="0" t="n">
        <f aca="false">F1611</f>
        <v>-0.75</v>
      </c>
      <c r="L1611" s="0" t="n">
        <f aca="false">G1611</f>
        <v>0.75</v>
      </c>
      <c r="M1611" s="0" t="n">
        <f aca="false">H1611</f>
        <v>0</v>
      </c>
      <c r="N1611" s="0" t="n">
        <f aca="false">E1611*F1611</f>
        <v>0.375</v>
      </c>
      <c r="O1611" s="0" t="n">
        <f aca="false">E1611*G1611</f>
        <v>-0.375</v>
      </c>
      <c r="P1611" s="0" t="n">
        <f aca="false">E1611*H1611</f>
        <v>-0</v>
      </c>
      <c r="Q1611" s="0" t="n">
        <f aca="false">F1611*G1611</f>
        <v>-0.5625</v>
      </c>
      <c r="R1611" s="0" t="n">
        <f aca="false">F1611*H1611</f>
        <v>-0</v>
      </c>
      <c r="S1611" s="0" t="n">
        <f aca="false">G1611*H1611</f>
        <v>0</v>
      </c>
      <c r="T1611" s="0" t="n">
        <f aca="false">E1611*E1611</f>
        <v>0.25</v>
      </c>
      <c r="U1611" s="0" t="n">
        <f aca="false">F1611*F1611</f>
        <v>0.5625</v>
      </c>
      <c r="V1611" s="0" t="n">
        <f aca="false">G1611*G1611</f>
        <v>0.5625</v>
      </c>
      <c r="W1611" s="0" t="n">
        <f aca="false">H1611*H1611</f>
        <v>0</v>
      </c>
      <c r="X1611" s="0" t="n">
        <f aca="false">SUMPRODUCT(I1611:W1611,_XtX!$B$96:$P$96)</f>
        <v>44.0795001827485</v>
      </c>
      <c r="Y1611" s="0" t="n">
        <f aca="false">SUMPRODUCT(MMULT(I1611:W1611,_XtX!$B$78:$P$92),I1611:W1611)</f>
        <v>0.269923873812135</v>
      </c>
      <c r="Z1611" s="0" t="n">
        <f aca="false">04_回帰ANOVA!$K$19*04_回帰ANOVA!$K$14*SQRT(1+Y1611)</f>
        <v>1.46888310825501</v>
      </c>
      <c r="AA1611" s="0" t="n">
        <f aca="false">X1611-Z1611</f>
        <v>42.6106170744935</v>
      </c>
      <c r="AB1611" s="0" t="n">
        <f aca="false">X1611+Z1611</f>
        <v>45.5483832910035</v>
      </c>
      <c r="AC1611" s="54" t="b">
        <f aca="false">AND(E1611&gt;=01_因子設定!$L$5-0.000000001,E1611&lt;=01_因子設定!$M$5+0.000000001,F1611&gt;=01_因子設定!$L$6-0.000000001,F1611&lt;=01_因子設定!$M$6+0.000000001,G1611&gt;=01_因子設定!$L$7-0.000000001,G1611&lt;=01_因子設定!$M$7+0.000000001,H1611&gt;=01_因子設定!$L$8-0.000000001,H1611&lt;=01_因子設定!$M$8+0.000000001,IF(01_因子設定!$B$20="Box-Behnken",E1611^2+F1611^2+G1611^2+H1611^2&lt;=2+0.000000001,TRUE()))</f>
        <v>1</v>
      </c>
      <c r="AD1611" s="55" t="n">
        <f aca="false">IF(AC1611,IF(01_因子設定!$B$13="最大化",AA1611-01_因子設定!$B$14,IF(01_因子設定!$B$13="最小化",01_因子設定!$B$15-AB1611,MIN(AA1611-01_因子設定!$B$14,01_因子設定!$B$15-AB1611))),-1E+030)</f>
        <v>-3.88938292550651</v>
      </c>
      <c r="AE1611" s="55" t="n">
        <f aca="false">IF(AC1611,IF(01_因子設定!$B$13="最大化",X1611,IF(01_因子設定!$B$13="最小化",-X1611,-ABS(X1611-01_因子設定!$B$16))),-1E+030)</f>
        <v>44.0795001827485</v>
      </c>
      <c r="AF1611" s="55" t="n">
        <f aca="false">AD1611+ROW()*0.000000001</f>
        <v>-3.88938131450651</v>
      </c>
      <c r="AG1611" s="55" t="n">
        <f aca="false">AE1611+ROW()*0.000000001</f>
        <v>44.0795017937485</v>
      </c>
    </row>
    <row r="1612" customFormat="false" ht="15" hidden="false" customHeight="false" outlineLevel="0" collapsed="false">
      <c r="A1612" s="0" t="n">
        <v>2</v>
      </c>
      <c r="B1612" s="0" t="n">
        <v>1</v>
      </c>
      <c r="C1612" s="0" t="n">
        <v>7</v>
      </c>
      <c r="D1612" s="0" t="n">
        <v>5</v>
      </c>
      <c r="E1612" s="0" t="n">
        <f aca="false">-1+A1612*0.25</f>
        <v>-0.5</v>
      </c>
      <c r="F1612" s="0" t="n">
        <f aca="false">-1+B1612*0.25</f>
        <v>-0.75</v>
      </c>
      <c r="G1612" s="0" t="n">
        <f aca="false">-1+C1612*0.25</f>
        <v>0.75</v>
      </c>
      <c r="H1612" s="0" t="n">
        <f aca="false">-1+D1612*0.25</f>
        <v>0.25</v>
      </c>
      <c r="I1612" s="0" t="n">
        <f aca="false">1</f>
        <v>1</v>
      </c>
      <c r="J1612" s="0" t="n">
        <f aca="false">E1612</f>
        <v>-0.5</v>
      </c>
      <c r="K1612" s="0" t="n">
        <f aca="false">F1612</f>
        <v>-0.75</v>
      </c>
      <c r="L1612" s="0" t="n">
        <f aca="false">G1612</f>
        <v>0.75</v>
      </c>
      <c r="M1612" s="0" t="n">
        <f aca="false">H1612</f>
        <v>0.25</v>
      </c>
      <c r="N1612" s="0" t="n">
        <f aca="false">E1612*F1612</f>
        <v>0.375</v>
      </c>
      <c r="O1612" s="0" t="n">
        <f aca="false">E1612*G1612</f>
        <v>-0.375</v>
      </c>
      <c r="P1612" s="0" t="n">
        <f aca="false">E1612*H1612</f>
        <v>-0.125</v>
      </c>
      <c r="Q1612" s="0" t="n">
        <f aca="false">F1612*G1612</f>
        <v>-0.5625</v>
      </c>
      <c r="R1612" s="0" t="n">
        <f aca="false">F1612*H1612</f>
        <v>-0.1875</v>
      </c>
      <c r="S1612" s="0" t="n">
        <f aca="false">G1612*H1612</f>
        <v>0.1875</v>
      </c>
      <c r="T1612" s="0" t="n">
        <f aca="false">E1612*E1612</f>
        <v>0.25</v>
      </c>
      <c r="U1612" s="0" t="n">
        <f aca="false">F1612*F1612</f>
        <v>0.5625</v>
      </c>
      <c r="V1612" s="0" t="n">
        <f aca="false">G1612*G1612</f>
        <v>0.5625</v>
      </c>
      <c r="W1612" s="0" t="n">
        <f aca="false">H1612*H1612</f>
        <v>0.0625</v>
      </c>
      <c r="X1612" s="0" t="n">
        <f aca="false">SUMPRODUCT(I1612:W1612,_XtX!$B$96:$P$96)</f>
        <v>44.2351105628655</v>
      </c>
      <c r="Y1612" s="0" t="n">
        <f aca="false">SUMPRODUCT(MMULT(I1612:W1612,_XtX!$B$78:$P$92),I1612:W1612)</f>
        <v>0.257385610836988</v>
      </c>
      <c r="Z1612" s="0" t="n">
        <f aca="false">04_回帰ANOVA!$K$19*04_回帰ANOVA!$K$14*SQRT(1+Y1612)</f>
        <v>1.46161380324158</v>
      </c>
      <c r="AA1612" s="0" t="n">
        <f aca="false">X1612-Z1612</f>
        <v>42.7734967596239</v>
      </c>
      <c r="AB1612" s="0" t="n">
        <f aca="false">X1612+Z1612</f>
        <v>45.696724366107</v>
      </c>
      <c r="AC1612" s="54" t="b">
        <f aca="false">AND(E1612&gt;=01_因子設定!$L$5-0.000000001,E1612&lt;=01_因子設定!$M$5+0.000000001,F1612&gt;=01_因子設定!$L$6-0.000000001,F1612&lt;=01_因子設定!$M$6+0.000000001,G1612&gt;=01_因子設定!$L$7-0.000000001,G1612&lt;=01_因子設定!$M$7+0.000000001,H1612&gt;=01_因子設定!$L$8-0.000000001,H1612&lt;=01_因子設定!$M$8+0.000000001,IF(01_因子設定!$B$20="Box-Behnken",E1612^2+F1612^2+G1612^2+H1612^2&lt;=2+0.000000001,TRUE()))</f>
        <v>1</v>
      </c>
      <c r="AD1612" s="55" t="n">
        <f aca="false">IF(AC1612,IF(01_因子設定!$B$13="最大化",AA1612-01_因子設定!$B$14,IF(01_因子設定!$B$13="最小化",01_因子設定!$B$15-AB1612,MIN(AA1612-01_因子設定!$B$14,01_因子設定!$B$15-AB1612))),-1E+030)</f>
        <v>-3.72650324037613</v>
      </c>
      <c r="AE1612" s="55" t="n">
        <f aca="false">IF(AC1612,IF(01_因子設定!$B$13="最大化",X1612,IF(01_因子設定!$B$13="最小化",-X1612,-ABS(X1612-01_因子設定!$B$16))),-1E+030)</f>
        <v>44.2351105628655</v>
      </c>
      <c r="AF1612" s="55" t="n">
        <f aca="false">AD1612+ROW()*0.000000001</f>
        <v>-3.72650162837613</v>
      </c>
      <c r="AG1612" s="55" t="n">
        <f aca="false">AE1612+ROW()*0.000000001</f>
        <v>44.2351121748655</v>
      </c>
    </row>
    <row r="1613" customFormat="false" ht="15" hidden="false" customHeight="false" outlineLevel="0" collapsed="false">
      <c r="A1613" s="0" t="n">
        <v>2</v>
      </c>
      <c r="B1613" s="0" t="n">
        <v>1</v>
      </c>
      <c r="C1613" s="0" t="n">
        <v>7</v>
      </c>
      <c r="D1613" s="0" t="n">
        <v>6</v>
      </c>
      <c r="E1613" s="0" t="n">
        <f aca="false">-1+A1613*0.25</f>
        <v>-0.5</v>
      </c>
      <c r="F1613" s="0" t="n">
        <f aca="false">-1+B1613*0.25</f>
        <v>-0.75</v>
      </c>
      <c r="G1613" s="0" t="n">
        <f aca="false">-1+C1613*0.25</f>
        <v>0.75</v>
      </c>
      <c r="H1613" s="0" t="n">
        <f aca="false">-1+D1613*0.25</f>
        <v>0.5</v>
      </c>
      <c r="I1613" s="0" t="n">
        <f aca="false">1</f>
        <v>1</v>
      </c>
      <c r="J1613" s="0" t="n">
        <f aca="false">E1613</f>
        <v>-0.5</v>
      </c>
      <c r="K1613" s="0" t="n">
        <f aca="false">F1613</f>
        <v>-0.75</v>
      </c>
      <c r="L1613" s="0" t="n">
        <f aca="false">G1613</f>
        <v>0.75</v>
      </c>
      <c r="M1613" s="0" t="n">
        <f aca="false">H1613</f>
        <v>0.5</v>
      </c>
      <c r="N1613" s="0" t="n">
        <f aca="false">E1613*F1613</f>
        <v>0.375</v>
      </c>
      <c r="O1613" s="0" t="n">
        <f aca="false">E1613*G1613</f>
        <v>-0.375</v>
      </c>
      <c r="P1613" s="0" t="n">
        <f aca="false">E1613*H1613</f>
        <v>-0.25</v>
      </c>
      <c r="Q1613" s="0" t="n">
        <f aca="false">F1613*G1613</f>
        <v>-0.5625</v>
      </c>
      <c r="R1613" s="0" t="n">
        <f aca="false">F1613*H1613</f>
        <v>-0.375</v>
      </c>
      <c r="S1613" s="0" t="n">
        <f aca="false">G1613*H1613</f>
        <v>0.375</v>
      </c>
      <c r="T1613" s="0" t="n">
        <f aca="false">E1613*E1613</f>
        <v>0.25</v>
      </c>
      <c r="U1613" s="0" t="n">
        <f aca="false">F1613*F1613</f>
        <v>0.5625</v>
      </c>
      <c r="V1613" s="0" t="n">
        <f aca="false">G1613*G1613</f>
        <v>0.5625</v>
      </c>
      <c r="W1613" s="0" t="n">
        <f aca="false">H1613*H1613</f>
        <v>0.25</v>
      </c>
      <c r="X1613" s="0" t="n">
        <f aca="false">SUMPRODUCT(I1613:W1613,_XtX!$B$96:$P$96)</f>
        <v>44.3429139254386</v>
      </c>
      <c r="Y1613" s="0" t="n">
        <f aca="false">SUMPRODUCT(MMULT(I1613:W1613,_XtX!$B$78:$P$92),I1613:W1613)</f>
        <v>0.237862927174708</v>
      </c>
      <c r="Z1613" s="0" t="n">
        <f aca="false">04_回帰ANOVA!$K$19*04_回帰ANOVA!$K$14*SQRT(1+Y1613)</f>
        <v>1.45022260708756</v>
      </c>
      <c r="AA1613" s="0" t="n">
        <f aca="false">X1613-Z1613</f>
        <v>42.892691318351</v>
      </c>
      <c r="AB1613" s="0" t="n">
        <f aca="false">X1613+Z1613</f>
        <v>45.7931365325261</v>
      </c>
      <c r="AC1613" s="54" t="b">
        <f aca="false">AND(E1613&gt;=01_因子設定!$L$5-0.000000001,E1613&lt;=01_因子設定!$M$5+0.000000001,F1613&gt;=01_因子設定!$L$6-0.000000001,F1613&lt;=01_因子設定!$M$6+0.000000001,G1613&gt;=01_因子設定!$L$7-0.000000001,G1613&lt;=01_因子設定!$M$7+0.000000001,H1613&gt;=01_因子設定!$L$8-0.000000001,H1613&lt;=01_因子設定!$M$8+0.000000001,IF(01_因子設定!$B$20="Box-Behnken",E1613^2+F1613^2+G1613^2+H1613^2&lt;=2+0.000000001,TRUE()))</f>
        <v>1</v>
      </c>
      <c r="AD1613" s="55" t="n">
        <f aca="false">IF(AC1613,IF(01_因子設定!$B$13="最大化",AA1613-01_因子設定!$B$14,IF(01_因子設定!$B$13="最小化",01_因子設定!$B$15-AB1613,MIN(AA1613-01_因子設定!$B$14,01_因子設定!$B$15-AB1613))),-1E+030)</f>
        <v>-3.60730868164899</v>
      </c>
      <c r="AE1613" s="55" t="n">
        <f aca="false">IF(AC1613,IF(01_因子設定!$B$13="最大化",X1613,IF(01_因子設定!$B$13="最小化",-X1613,-ABS(X1613-01_因子設定!$B$16))),-1E+030)</f>
        <v>44.3429139254386</v>
      </c>
      <c r="AF1613" s="55" t="n">
        <f aca="false">AD1613+ROW()*0.000000001</f>
        <v>-3.607307068649</v>
      </c>
      <c r="AG1613" s="55" t="n">
        <f aca="false">AE1613+ROW()*0.000000001</f>
        <v>44.3429155384386</v>
      </c>
    </row>
    <row r="1614" customFormat="false" ht="15" hidden="false" customHeight="false" outlineLevel="0" collapsed="false">
      <c r="A1614" s="0" t="n">
        <v>2</v>
      </c>
      <c r="B1614" s="0" t="n">
        <v>1</v>
      </c>
      <c r="C1614" s="0" t="n">
        <v>7</v>
      </c>
      <c r="D1614" s="0" t="n">
        <v>7</v>
      </c>
      <c r="E1614" s="0" t="n">
        <f aca="false">-1+A1614*0.25</f>
        <v>-0.5</v>
      </c>
      <c r="F1614" s="0" t="n">
        <f aca="false">-1+B1614*0.25</f>
        <v>-0.75</v>
      </c>
      <c r="G1614" s="0" t="n">
        <f aca="false">-1+C1614*0.25</f>
        <v>0.75</v>
      </c>
      <c r="H1614" s="0" t="n">
        <f aca="false">-1+D1614*0.25</f>
        <v>0.75</v>
      </c>
      <c r="I1614" s="0" t="n">
        <f aca="false">1</f>
        <v>1</v>
      </c>
      <c r="J1614" s="0" t="n">
        <f aca="false">E1614</f>
        <v>-0.5</v>
      </c>
      <c r="K1614" s="0" t="n">
        <f aca="false">F1614</f>
        <v>-0.75</v>
      </c>
      <c r="L1614" s="0" t="n">
        <f aca="false">G1614</f>
        <v>0.75</v>
      </c>
      <c r="M1614" s="0" t="n">
        <f aca="false">H1614</f>
        <v>0.75</v>
      </c>
      <c r="N1614" s="0" t="n">
        <f aca="false">E1614*F1614</f>
        <v>0.375</v>
      </c>
      <c r="O1614" s="0" t="n">
        <f aca="false">E1614*G1614</f>
        <v>-0.375</v>
      </c>
      <c r="P1614" s="0" t="n">
        <f aca="false">E1614*H1614</f>
        <v>-0.375</v>
      </c>
      <c r="Q1614" s="0" t="n">
        <f aca="false">F1614*G1614</f>
        <v>-0.5625</v>
      </c>
      <c r="R1614" s="0" t="n">
        <f aca="false">F1614*H1614</f>
        <v>-0.5625</v>
      </c>
      <c r="S1614" s="0" t="n">
        <f aca="false">G1614*H1614</f>
        <v>0.5625</v>
      </c>
      <c r="T1614" s="0" t="n">
        <f aca="false">E1614*E1614</f>
        <v>0.25</v>
      </c>
      <c r="U1614" s="0" t="n">
        <f aca="false">F1614*F1614</f>
        <v>0.5625</v>
      </c>
      <c r="V1614" s="0" t="n">
        <f aca="false">G1614*G1614</f>
        <v>0.5625</v>
      </c>
      <c r="W1614" s="0" t="n">
        <f aca="false">H1614*H1614</f>
        <v>0.5625</v>
      </c>
      <c r="X1614" s="0" t="n">
        <f aca="false">SUMPRODUCT(I1614:W1614,_XtX!$B$96:$P$96)</f>
        <v>44.4029102704678</v>
      </c>
      <c r="Y1614" s="0" t="n">
        <f aca="false">SUMPRODUCT(MMULT(I1614:W1614,_XtX!$B$78:$P$92),I1614:W1614)</f>
        <v>0.265632138614766</v>
      </c>
      <c r="Z1614" s="0" t="n">
        <f aca="false">04_回帰ANOVA!$K$19*04_回帰ANOVA!$K$14*SQRT(1+Y1614)</f>
        <v>1.46639894654257</v>
      </c>
      <c r="AA1614" s="0" t="n">
        <f aca="false">X1614-Z1614</f>
        <v>42.9365113239252</v>
      </c>
      <c r="AB1614" s="0" t="n">
        <f aca="false">X1614+Z1614</f>
        <v>45.8693092170104</v>
      </c>
      <c r="AC1614" s="54" t="b">
        <f aca="false">AND(E1614&gt;=01_因子設定!$L$5-0.000000001,E1614&lt;=01_因子設定!$M$5+0.000000001,F1614&gt;=01_因子設定!$L$6-0.000000001,F1614&lt;=01_因子設定!$M$6+0.000000001,G1614&gt;=01_因子設定!$L$7-0.000000001,G1614&lt;=01_因子設定!$M$7+0.000000001,H1614&gt;=01_因子設定!$L$8-0.000000001,H1614&lt;=01_因子設定!$M$8+0.000000001,IF(01_因子設定!$B$20="Box-Behnken",E1614^2+F1614^2+G1614^2+H1614^2&lt;=2+0.000000001,TRUE()))</f>
        <v>1</v>
      </c>
      <c r="AD1614" s="55" t="n">
        <f aca="false">IF(AC1614,IF(01_因子設定!$B$13="最大化",AA1614-01_因子設定!$B$14,IF(01_因子設定!$B$13="最小化",01_因子設定!$B$15-AB1614,MIN(AA1614-01_因子設定!$B$14,01_因子設定!$B$15-AB1614))),-1E+030)</f>
        <v>-3.56348867607476</v>
      </c>
      <c r="AE1614" s="55" t="n">
        <f aca="false">IF(AC1614,IF(01_因子設定!$B$13="最大化",X1614,IF(01_因子設定!$B$13="最小化",-X1614,-ABS(X1614-01_因子設定!$B$16))),-1E+030)</f>
        <v>44.4029102704678</v>
      </c>
      <c r="AF1614" s="55" t="n">
        <f aca="false">AD1614+ROW()*0.000000001</f>
        <v>-3.56348706207476</v>
      </c>
      <c r="AG1614" s="55" t="n">
        <f aca="false">AE1614+ROW()*0.000000001</f>
        <v>44.4029118844678</v>
      </c>
    </row>
    <row r="1615" customFormat="false" ht="15" hidden="false" customHeight="false" outlineLevel="0" collapsed="false">
      <c r="A1615" s="0" t="n">
        <v>2</v>
      </c>
      <c r="B1615" s="0" t="n">
        <v>1</v>
      </c>
      <c r="C1615" s="0" t="n">
        <v>7</v>
      </c>
      <c r="D1615" s="0" t="n">
        <v>8</v>
      </c>
      <c r="E1615" s="0" t="n">
        <f aca="false">-1+A1615*0.25</f>
        <v>-0.5</v>
      </c>
      <c r="F1615" s="0" t="n">
        <f aca="false">-1+B1615*0.25</f>
        <v>-0.75</v>
      </c>
      <c r="G1615" s="0" t="n">
        <f aca="false">-1+C1615*0.25</f>
        <v>0.75</v>
      </c>
      <c r="H1615" s="0" t="n">
        <f aca="false">-1+D1615*0.25</f>
        <v>1</v>
      </c>
      <c r="I1615" s="0" t="n">
        <f aca="false">1</f>
        <v>1</v>
      </c>
      <c r="J1615" s="0" t="n">
        <f aca="false">E1615</f>
        <v>-0.5</v>
      </c>
      <c r="K1615" s="0" t="n">
        <f aca="false">F1615</f>
        <v>-0.75</v>
      </c>
      <c r="L1615" s="0" t="n">
        <f aca="false">G1615</f>
        <v>0.75</v>
      </c>
      <c r="M1615" s="0" t="n">
        <f aca="false">H1615</f>
        <v>1</v>
      </c>
      <c r="N1615" s="0" t="n">
        <f aca="false">E1615*F1615</f>
        <v>0.375</v>
      </c>
      <c r="O1615" s="0" t="n">
        <f aca="false">E1615*G1615</f>
        <v>-0.375</v>
      </c>
      <c r="P1615" s="0" t="n">
        <f aca="false">E1615*H1615</f>
        <v>-0.5</v>
      </c>
      <c r="Q1615" s="0" t="n">
        <f aca="false">F1615*G1615</f>
        <v>-0.5625</v>
      </c>
      <c r="R1615" s="0" t="n">
        <f aca="false">F1615*H1615</f>
        <v>-0.75</v>
      </c>
      <c r="S1615" s="0" t="n">
        <f aca="false">G1615*H1615</f>
        <v>0.75</v>
      </c>
      <c r="T1615" s="0" t="n">
        <f aca="false">E1615*E1615</f>
        <v>0.25</v>
      </c>
      <c r="U1615" s="0" t="n">
        <f aca="false">F1615*F1615</f>
        <v>0.5625</v>
      </c>
      <c r="V1615" s="0" t="n">
        <f aca="false">G1615*G1615</f>
        <v>0.5625</v>
      </c>
      <c r="W1615" s="0" t="n">
        <f aca="false">H1615*H1615</f>
        <v>1</v>
      </c>
      <c r="X1615" s="0" t="n">
        <f aca="false">SUMPRODUCT(I1615:W1615,_XtX!$B$96:$P$96)</f>
        <v>44.4150995979532</v>
      </c>
      <c r="Y1615" s="0" t="n">
        <f aca="false">SUMPRODUCT(MMULT(I1615:W1615,_XtX!$B$78:$P$92),I1615:W1615)</f>
        <v>0.431153771472953</v>
      </c>
      <c r="Z1615" s="0" t="n">
        <f aca="false">04_回帰ANOVA!$K$19*04_回帰ANOVA!$K$14*SQRT(1+Y1615)</f>
        <v>1.55934259562563</v>
      </c>
      <c r="AA1615" s="0" t="n">
        <f aca="false">X1615-Z1615</f>
        <v>42.8557570023276</v>
      </c>
      <c r="AB1615" s="0" t="n">
        <f aca="false">X1615+Z1615</f>
        <v>45.9744421935788</v>
      </c>
      <c r="AC1615" s="54" t="b">
        <f aca="false">AND(E1615&gt;=01_因子設定!$L$5-0.000000001,E1615&lt;=01_因子設定!$M$5+0.000000001,F1615&gt;=01_因子設定!$L$6-0.000000001,F1615&lt;=01_因子設定!$M$6+0.000000001,G1615&gt;=01_因子設定!$L$7-0.000000001,G1615&lt;=01_因子設定!$M$7+0.000000001,H1615&gt;=01_因子設定!$L$8-0.000000001,H1615&lt;=01_因子設定!$M$8+0.000000001,IF(01_因子設定!$B$20="Box-Behnken",E1615^2+F1615^2+G1615^2+H1615^2&lt;=2+0.000000001,TRUE()))</f>
        <v>1</v>
      </c>
      <c r="AD1615" s="55" t="n">
        <f aca="false">IF(AC1615,IF(01_因子設定!$B$13="最大化",AA1615-01_因子設定!$B$14,IF(01_因子設定!$B$13="最小化",01_因子設定!$B$15-AB1615,MIN(AA1615-01_因子設定!$B$14,01_因子設定!$B$15-AB1615))),-1E+030)</f>
        <v>-3.64424299767241</v>
      </c>
      <c r="AE1615" s="55" t="n">
        <f aca="false">IF(AC1615,IF(01_因子設定!$B$13="最大化",X1615,IF(01_因子設定!$B$13="最小化",-X1615,-ABS(X1615-01_因子設定!$B$16))),-1E+030)</f>
        <v>44.4150995979532</v>
      </c>
      <c r="AF1615" s="55" t="n">
        <f aca="false">AD1615+ROW()*0.000000001</f>
        <v>-3.64424138267241</v>
      </c>
      <c r="AG1615" s="55" t="n">
        <f aca="false">AE1615+ROW()*0.000000001</f>
        <v>44.4151012129532</v>
      </c>
    </row>
    <row r="1616" customFormat="false" ht="15" hidden="false" customHeight="false" outlineLevel="0" collapsed="false">
      <c r="A1616" s="0" t="n">
        <v>2</v>
      </c>
      <c r="B1616" s="0" t="n">
        <v>1</v>
      </c>
      <c r="C1616" s="0" t="n">
        <v>8</v>
      </c>
      <c r="D1616" s="0" t="n">
        <v>0</v>
      </c>
      <c r="E1616" s="0" t="n">
        <f aca="false">-1+A1616*0.25</f>
        <v>-0.5</v>
      </c>
      <c r="F1616" s="0" t="n">
        <f aca="false">-1+B1616*0.25</f>
        <v>-0.75</v>
      </c>
      <c r="G1616" s="0" t="n">
        <f aca="false">-1+C1616*0.25</f>
        <v>1</v>
      </c>
      <c r="H1616" s="0" t="n">
        <f aca="false">-1+D1616*0.25</f>
        <v>-1</v>
      </c>
      <c r="I1616" s="0" t="n">
        <f aca="false">1</f>
        <v>1</v>
      </c>
      <c r="J1616" s="0" t="n">
        <f aca="false">E1616</f>
        <v>-0.5</v>
      </c>
      <c r="K1616" s="0" t="n">
        <f aca="false">F1616</f>
        <v>-0.75</v>
      </c>
      <c r="L1616" s="0" t="n">
        <f aca="false">G1616</f>
        <v>1</v>
      </c>
      <c r="M1616" s="0" t="n">
        <f aca="false">H1616</f>
        <v>-1</v>
      </c>
      <c r="N1616" s="0" t="n">
        <f aca="false">E1616*F1616</f>
        <v>0.375</v>
      </c>
      <c r="O1616" s="0" t="n">
        <f aca="false">E1616*G1616</f>
        <v>-0.5</v>
      </c>
      <c r="P1616" s="0" t="n">
        <f aca="false">E1616*H1616</f>
        <v>0.5</v>
      </c>
      <c r="Q1616" s="0" t="n">
        <f aca="false">F1616*G1616</f>
        <v>-0.75</v>
      </c>
      <c r="R1616" s="0" t="n">
        <f aca="false">F1616*H1616</f>
        <v>0.75</v>
      </c>
      <c r="S1616" s="0" t="n">
        <f aca="false">G1616*H1616</f>
        <v>-1</v>
      </c>
      <c r="T1616" s="0" t="n">
        <f aca="false">E1616*E1616</f>
        <v>0.25</v>
      </c>
      <c r="U1616" s="0" t="n">
        <f aca="false">F1616*F1616</f>
        <v>0.5625</v>
      </c>
      <c r="V1616" s="0" t="n">
        <f aca="false">G1616*G1616</f>
        <v>1</v>
      </c>
      <c r="W1616" s="0" t="n">
        <f aca="false">H1616*H1616</f>
        <v>1</v>
      </c>
      <c r="X1616" s="0" t="n">
        <f aca="false">SUMPRODUCT(I1616:W1616,_XtX!$B$96:$P$96)</f>
        <v>42.8770285087719</v>
      </c>
      <c r="Y1616" s="0" t="n">
        <f aca="false">SUMPRODUCT(MMULT(I1616:W1616,_XtX!$B$78:$P$92),I1616:W1616)</f>
        <v>0.564984237938597</v>
      </c>
      <c r="Z1616" s="0" t="n">
        <f aca="false">04_回帰ANOVA!$K$19*04_回帰ANOVA!$K$14*SQRT(1+Y1616)</f>
        <v>1.63062229734503</v>
      </c>
      <c r="AA1616" s="0" t="n">
        <f aca="false">X1616-Z1616</f>
        <v>41.2464062114269</v>
      </c>
      <c r="AB1616" s="0" t="n">
        <f aca="false">X1616+Z1616</f>
        <v>44.507650806117</v>
      </c>
      <c r="AC1616" s="54" t="b">
        <f aca="false">AND(E1616&gt;=01_因子設定!$L$5-0.000000001,E1616&lt;=01_因子設定!$M$5+0.000000001,F1616&gt;=01_因子設定!$L$6-0.000000001,F1616&lt;=01_因子設定!$M$6+0.000000001,G1616&gt;=01_因子設定!$L$7-0.000000001,G1616&lt;=01_因子設定!$M$7+0.000000001,H1616&gt;=01_因子設定!$L$8-0.000000001,H1616&lt;=01_因子設定!$M$8+0.000000001,IF(01_因子設定!$B$20="Box-Behnken",E1616^2+F1616^2+G1616^2+H1616^2&lt;=2+0.000000001,TRUE()))</f>
        <v>1</v>
      </c>
      <c r="AD1616" s="55" t="n">
        <f aca="false">IF(AC1616,IF(01_因子設定!$B$13="最大化",AA1616-01_因子設定!$B$14,IF(01_因子設定!$B$13="最小化",01_因子設定!$B$15-AB1616,MIN(AA1616-01_因子設定!$B$14,01_因子設定!$B$15-AB1616))),-1E+030)</f>
        <v>-5.25359378857311</v>
      </c>
      <c r="AE1616" s="55" t="n">
        <f aca="false">IF(AC1616,IF(01_因子設定!$B$13="最大化",X1616,IF(01_因子設定!$B$13="最小化",-X1616,-ABS(X1616-01_因子設定!$B$16))),-1E+030)</f>
        <v>42.8770285087719</v>
      </c>
      <c r="AF1616" s="55" t="n">
        <f aca="false">AD1616+ROW()*0.000000001</f>
        <v>-5.25359217257311</v>
      </c>
      <c r="AG1616" s="55" t="n">
        <f aca="false">AE1616+ROW()*0.000000001</f>
        <v>42.8770301247719</v>
      </c>
    </row>
    <row r="1617" customFormat="false" ht="15" hidden="false" customHeight="false" outlineLevel="0" collapsed="false">
      <c r="A1617" s="0" t="n">
        <v>2</v>
      </c>
      <c r="B1617" s="0" t="n">
        <v>1</v>
      </c>
      <c r="C1617" s="0" t="n">
        <v>8</v>
      </c>
      <c r="D1617" s="0" t="n">
        <v>1</v>
      </c>
      <c r="E1617" s="0" t="n">
        <f aca="false">-1+A1617*0.25</f>
        <v>-0.5</v>
      </c>
      <c r="F1617" s="0" t="n">
        <f aca="false">-1+B1617*0.25</f>
        <v>-0.75</v>
      </c>
      <c r="G1617" s="0" t="n">
        <f aca="false">-1+C1617*0.25</f>
        <v>1</v>
      </c>
      <c r="H1617" s="0" t="n">
        <f aca="false">-1+D1617*0.25</f>
        <v>-0.75</v>
      </c>
      <c r="I1617" s="0" t="n">
        <f aca="false">1</f>
        <v>1</v>
      </c>
      <c r="J1617" s="0" t="n">
        <f aca="false">E1617</f>
        <v>-0.5</v>
      </c>
      <c r="K1617" s="0" t="n">
        <f aca="false">F1617</f>
        <v>-0.75</v>
      </c>
      <c r="L1617" s="0" t="n">
        <f aca="false">G1617</f>
        <v>1</v>
      </c>
      <c r="M1617" s="0" t="n">
        <f aca="false">H1617</f>
        <v>-0.75</v>
      </c>
      <c r="N1617" s="0" t="n">
        <f aca="false">E1617*F1617</f>
        <v>0.375</v>
      </c>
      <c r="O1617" s="0" t="n">
        <f aca="false">E1617*G1617</f>
        <v>-0.5</v>
      </c>
      <c r="P1617" s="0" t="n">
        <f aca="false">E1617*H1617</f>
        <v>0.375</v>
      </c>
      <c r="Q1617" s="0" t="n">
        <f aca="false">F1617*G1617</f>
        <v>-0.75</v>
      </c>
      <c r="R1617" s="0" t="n">
        <f aca="false">F1617*H1617</f>
        <v>0.5625</v>
      </c>
      <c r="S1617" s="0" t="n">
        <f aca="false">G1617*H1617</f>
        <v>-0.75</v>
      </c>
      <c r="T1617" s="0" t="n">
        <f aca="false">E1617*E1617</f>
        <v>0.25</v>
      </c>
      <c r="U1617" s="0" t="n">
        <f aca="false">F1617*F1617</f>
        <v>0.5625</v>
      </c>
      <c r="V1617" s="0" t="n">
        <f aca="false">G1617*G1617</f>
        <v>1</v>
      </c>
      <c r="W1617" s="0" t="n">
        <f aca="false">H1617*H1617</f>
        <v>0.5625</v>
      </c>
      <c r="X1617" s="0" t="n">
        <f aca="false">SUMPRODUCT(I1617:W1617,_XtX!$B$96:$P$96)</f>
        <v>43.2418357090643</v>
      </c>
      <c r="Y1617" s="0" t="n">
        <f aca="false">SUMPRODUCT(MMULT(I1617:W1617,_XtX!$B$78:$P$92),I1617:W1617)</f>
        <v>0.431153771472953</v>
      </c>
      <c r="Z1617" s="0" t="n">
        <f aca="false">04_回帰ANOVA!$K$19*04_回帰ANOVA!$K$14*SQRT(1+Y1617)</f>
        <v>1.55934259562563</v>
      </c>
      <c r="AA1617" s="0" t="n">
        <f aca="false">X1617-Z1617</f>
        <v>41.6824931134387</v>
      </c>
      <c r="AB1617" s="0" t="n">
        <f aca="false">X1617+Z1617</f>
        <v>44.8011783046899</v>
      </c>
      <c r="AC1617" s="54" t="b">
        <f aca="false">AND(E1617&gt;=01_因子設定!$L$5-0.000000001,E1617&lt;=01_因子設定!$M$5+0.000000001,F1617&gt;=01_因子設定!$L$6-0.000000001,F1617&lt;=01_因子設定!$M$6+0.000000001,G1617&gt;=01_因子設定!$L$7-0.000000001,G1617&lt;=01_因子設定!$M$7+0.000000001,H1617&gt;=01_因子設定!$L$8-0.000000001,H1617&lt;=01_因子設定!$M$8+0.000000001,IF(01_因子設定!$B$20="Box-Behnken",E1617^2+F1617^2+G1617^2+H1617^2&lt;=2+0.000000001,TRUE()))</f>
        <v>1</v>
      </c>
      <c r="AD1617" s="55" t="n">
        <f aca="false">IF(AC1617,IF(01_因子設定!$B$13="最大化",AA1617-01_因子設定!$B$14,IF(01_因子設定!$B$13="最小化",01_因子設定!$B$15-AB1617,MIN(AA1617-01_因子設定!$B$14,01_因子設定!$B$15-AB1617))),-1E+030)</f>
        <v>-4.81750688656132</v>
      </c>
      <c r="AE1617" s="55" t="n">
        <f aca="false">IF(AC1617,IF(01_因子設定!$B$13="最大化",X1617,IF(01_因子設定!$B$13="最小化",-X1617,-ABS(X1617-01_因子設定!$B$16))),-1E+030)</f>
        <v>43.2418357090643</v>
      </c>
      <c r="AF1617" s="55" t="n">
        <f aca="false">AD1617+ROW()*0.000000001</f>
        <v>-4.81750526956132</v>
      </c>
      <c r="AG1617" s="55" t="n">
        <f aca="false">AE1617+ROW()*0.000000001</f>
        <v>43.2418373260643</v>
      </c>
    </row>
    <row r="1618" customFormat="false" ht="15" hidden="false" customHeight="false" outlineLevel="0" collapsed="false">
      <c r="A1618" s="0" t="n">
        <v>2</v>
      </c>
      <c r="B1618" s="0" t="n">
        <v>1</v>
      </c>
      <c r="C1618" s="0" t="n">
        <v>8</v>
      </c>
      <c r="D1618" s="0" t="n">
        <v>2</v>
      </c>
      <c r="E1618" s="0" t="n">
        <f aca="false">-1+A1618*0.25</f>
        <v>-0.5</v>
      </c>
      <c r="F1618" s="0" t="n">
        <f aca="false">-1+B1618*0.25</f>
        <v>-0.75</v>
      </c>
      <c r="G1618" s="0" t="n">
        <f aca="false">-1+C1618*0.25</f>
        <v>1</v>
      </c>
      <c r="H1618" s="0" t="n">
        <f aca="false">-1+D1618*0.25</f>
        <v>-0.5</v>
      </c>
      <c r="I1618" s="0" t="n">
        <f aca="false">1</f>
        <v>1</v>
      </c>
      <c r="J1618" s="0" t="n">
        <f aca="false">E1618</f>
        <v>-0.5</v>
      </c>
      <c r="K1618" s="0" t="n">
        <f aca="false">F1618</f>
        <v>-0.75</v>
      </c>
      <c r="L1618" s="0" t="n">
        <f aca="false">G1618</f>
        <v>1</v>
      </c>
      <c r="M1618" s="0" t="n">
        <f aca="false">H1618</f>
        <v>-0.5</v>
      </c>
      <c r="N1618" s="0" t="n">
        <f aca="false">E1618*F1618</f>
        <v>0.375</v>
      </c>
      <c r="O1618" s="0" t="n">
        <f aca="false">E1618*G1618</f>
        <v>-0.5</v>
      </c>
      <c r="P1618" s="0" t="n">
        <f aca="false">E1618*H1618</f>
        <v>0.25</v>
      </c>
      <c r="Q1618" s="0" t="n">
        <f aca="false">F1618*G1618</f>
        <v>-0.75</v>
      </c>
      <c r="R1618" s="0" t="n">
        <f aca="false">F1618*H1618</f>
        <v>0.375</v>
      </c>
      <c r="S1618" s="0" t="n">
        <f aca="false">G1618*H1618</f>
        <v>-0.5</v>
      </c>
      <c r="T1618" s="0" t="n">
        <f aca="false">E1618*E1618</f>
        <v>0.25</v>
      </c>
      <c r="U1618" s="0" t="n">
        <f aca="false">F1618*F1618</f>
        <v>0.5625</v>
      </c>
      <c r="V1618" s="0" t="n">
        <f aca="false">G1618*G1618</f>
        <v>1</v>
      </c>
      <c r="W1618" s="0" t="n">
        <f aca="false">H1618*H1618</f>
        <v>0.25</v>
      </c>
      <c r="X1618" s="0" t="n">
        <f aca="false">SUMPRODUCT(I1618:W1618,_XtX!$B$96:$P$96)</f>
        <v>43.5588358918128</v>
      </c>
      <c r="Y1618" s="0" t="n">
        <f aca="false">SUMPRODUCT(MMULT(I1618:W1618,_XtX!$B$78:$P$92),I1618:W1618)</f>
        <v>0.42602110745614</v>
      </c>
      <c r="Z1618" s="0" t="n">
        <f aca="false">04_回帰ANOVA!$K$19*04_回帰ANOVA!$K$14*SQRT(1+Y1618)</f>
        <v>1.55654388501114</v>
      </c>
      <c r="AA1618" s="0" t="n">
        <f aca="false">X1618-Z1618</f>
        <v>42.0022920068017</v>
      </c>
      <c r="AB1618" s="0" t="n">
        <f aca="false">X1618+Z1618</f>
        <v>45.115379776824</v>
      </c>
      <c r="AC1618" s="54" t="b">
        <f aca="false">AND(E1618&gt;=01_因子設定!$L$5-0.000000001,E1618&lt;=01_因子設定!$M$5+0.000000001,F1618&gt;=01_因子設定!$L$6-0.000000001,F1618&lt;=01_因子設定!$M$6+0.000000001,G1618&gt;=01_因子設定!$L$7-0.000000001,G1618&lt;=01_因子設定!$M$7+0.000000001,H1618&gt;=01_因子設定!$L$8-0.000000001,H1618&lt;=01_因子設定!$M$8+0.000000001,IF(01_因子設定!$B$20="Box-Behnken",E1618^2+F1618^2+G1618^2+H1618^2&lt;=2+0.000000001,TRUE()))</f>
        <v>1</v>
      </c>
      <c r="AD1618" s="55" t="n">
        <f aca="false">IF(AC1618,IF(01_因子設定!$B$13="最大化",AA1618-01_因子設定!$B$14,IF(01_因子設定!$B$13="最小化",01_因子設定!$B$15-AB1618,MIN(AA1618-01_因子設定!$B$14,01_因子設定!$B$15-AB1618))),-1E+030)</f>
        <v>-4.4977079931983</v>
      </c>
      <c r="AE1618" s="55" t="n">
        <f aca="false">IF(AC1618,IF(01_因子設定!$B$13="最大化",X1618,IF(01_因子設定!$B$13="最小化",-X1618,-ABS(X1618-01_因子設定!$B$16))),-1E+030)</f>
        <v>43.5588358918128</v>
      </c>
      <c r="AF1618" s="55" t="n">
        <f aca="false">AD1618+ROW()*0.000000001</f>
        <v>-4.4977063751983</v>
      </c>
      <c r="AG1618" s="55" t="n">
        <f aca="false">AE1618+ROW()*0.000000001</f>
        <v>43.5588375098128</v>
      </c>
    </row>
    <row r="1619" customFormat="false" ht="15" hidden="false" customHeight="false" outlineLevel="0" collapsed="false">
      <c r="A1619" s="0" t="n">
        <v>2</v>
      </c>
      <c r="B1619" s="0" t="n">
        <v>1</v>
      </c>
      <c r="C1619" s="0" t="n">
        <v>8</v>
      </c>
      <c r="D1619" s="0" t="n">
        <v>3</v>
      </c>
      <c r="E1619" s="0" t="n">
        <f aca="false">-1+A1619*0.25</f>
        <v>-0.5</v>
      </c>
      <c r="F1619" s="0" t="n">
        <f aca="false">-1+B1619*0.25</f>
        <v>-0.75</v>
      </c>
      <c r="G1619" s="0" t="n">
        <f aca="false">-1+C1619*0.25</f>
        <v>1</v>
      </c>
      <c r="H1619" s="0" t="n">
        <f aca="false">-1+D1619*0.25</f>
        <v>-0.25</v>
      </c>
      <c r="I1619" s="0" t="n">
        <f aca="false">1</f>
        <v>1</v>
      </c>
      <c r="J1619" s="0" t="n">
        <f aca="false">E1619</f>
        <v>-0.5</v>
      </c>
      <c r="K1619" s="0" t="n">
        <f aca="false">F1619</f>
        <v>-0.75</v>
      </c>
      <c r="L1619" s="0" t="n">
        <f aca="false">G1619</f>
        <v>1</v>
      </c>
      <c r="M1619" s="0" t="n">
        <f aca="false">H1619</f>
        <v>-0.25</v>
      </c>
      <c r="N1619" s="0" t="n">
        <f aca="false">E1619*F1619</f>
        <v>0.375</v>
      </c>
      <c r="O1619" s="0" t="n">
        <f aca="false">E1619*G1619</f>
        <v>-0.5</v>
      </c>
      <c r="P1619" s="0" t="n">
        <f aca="false">E1619*H1619</f>
        <v>0.125</v>
      </c>
      <c r="Q1619" s="0" t="n">
        <f aca="false">F1619*G1619</f>
        <v>-0.75</v>
      </c>
      <c r="R1619" s="0" t="n">
        <f aca="false">F1619*H1619</f>
        <v>0.1875</v>
      </c>
      <c r="S1619" s="0" t="n">
        <f aca="false">G1619*H1619</f>
        <v>-0.25</v>
      </c>
      <c r="T1619" s="0" t="n">
        <f aca="false">E1619*E1619</f>
        <v>0.25</v>
      </c>
      <c r="U1619" s="0" t="n">
        <f aca="false">F1619*F1619</f>
        <v>0.5625</v>
      </c>
      <c r="V1619" s="0" t="n">
        <f aca="false">G1619*G1619</f>
        <v>1</v>
      </c>
      <c r="W1619" s="0" t="n">
        <f aca="false">H1619*H1619</f>
        <v>0.0625</v>
      </c>
      <c r="X1619" s="0" t="n">
        <f aca="false">SUMPRODUCT(I1619:W1619,_XtX!$B$96:$P$96)</f>
        <v>43.8280290570175</v>
      </c>
      <c r="Y1619" s="0" t="n">
        <f aca="false">SUMPRODUCT(MMULT(I1619:W1619,_XtX!$B$78:$P$92),I1619:W1619)</f>
        <v>0.459125719572369</v>
      </c>
      <c r="Z1619" s="0" t="n">
        <f aca="false">04_回帰ANOVA!$K$19*04_回帰ANOVA!$K$14*SQRT(1+Y1619)</f>
        <v>1.57450755575573</v>
      </c>
      <c r="AA1619" s="0" t="n">
        <f aca="false">X1619-Z1619</f>
        <v>42.2535215012618</v>
      </c>
      <c r="AB1619" s="0" t="n">
        <f aca="false">X1619+Z1619</f>
        <v>45.4025366127732</v>
      </c>
      <c r="AC1619" s="54" t="b">
        <f aca="false">AND(E1619&gt;=01_因子設定!$L$5-0.000000001,E1619&lt;=01_因子設定!$M$5+0.000000001,F1619&gt;=01_因子設定!$L$6-0.000000001,F1619&lt;=01_因子設定!$M$6+0.000000001,G1619&gt;=01_因子設定!$L$7-0.000000001,G1619&lt;=01_因子設定!$M$7+0.000000001,H1619&gt;=01_因子設定!$L$8-0.000000001,H1619&lt;=01_因子設定!$M$8+0.000000001,IF(01_因子設定!$B$20="Box-Behnken",E1619^2+F1619^2+G1619^2+H1619^2&lt;=2+0.000000001,TRUE()))</f>
        <v>1</v>
      </c>
      <c r="AD1619" s="55" t="n">
        <f aca="false">IF(AC1619,IF(01_因子設定!$B$13="最大化",AA1619-01_因子設定!$B$14,IF(01_因子設定!$B$13="最小化",01_因子設定!$B$15-AB1619,MIN(AA1619-01_因子設定!$B$14,01_因子設定!$B$15-AB1619))),-1E+030)</f>
        <v>-4.24647849873822</v>
      </c>
      <c r="AE1619" s="55" t="n">
        <f aca="false">IF(AC1619,IF(01_因子設定!$B$13="最大化",X1619,IF(01_因子設定!$B$13="最小化",-X1619,-ABS(X1619-01_因子設定!$B$16))),-1E+030)</f>
        <v>43.8280290570175</v>
      </c>
      <c r="AF1619" s="55" t="n">
        <f aca="false">AD1619+ROW()*0.000000001</f>
        <v>-4.24647687973822</v>
      </c>
      <c r="AG1619" s="55" t="n">
        <f aca="false">AE1619+ROW()*0.000000001</f>
        <v>43.8280306760175</v>
      </c>
    </row>
    <row r="1620" customFormat="false" ht="15" hidden="false" customHeight="false" outlineLevel="0" collapsed="false">
      <c r="A1620" s="0" t="n">
        <v>2</v>
      </c>
      <c r="B1620" s="0" t="n">
        <v>1</v>
      </c>
      <c r="C1620" s="0" t="n">
        <v>8</v>
      </c>
      <c r="D1620" s="0" t="n">
        <v>4</v>
      </c>
      <c r="E1620" s="0" t="n">
        <f aca="false">-1+A1620*0.25</f>
        <v>-0.5</v>
      </c>
      <c r="F1620" s="0" t="n">
        <f aca="false">-1+B1620*0.25</f>
        <v>-0.75</v>
      </c>
      <c r="G1620" s="0" t="n">
        <f aca="false">-1+C1620*0.25</f>
        <v>1</v>
      </c>
      <c r="H1620" s="0" t="n">
        <f aca="false">-1+D1620*0.25</f>
        <v>0</v>
      </c>
      <c r="I1620" s="0" t="n">
        <f aca="false">1</f>
        <v>1</v>
      </c>
      <c r="J1620" s="0" t="n">
        <f aca="false">E1620</f>
        <v>-0.5</v>
      </c>
      <c r="K1620" s="0" t="n">
        <f aca="false">F1620</f>
        <v>-0.75</v>
      </c>
      <c r="L1620" s="0" t="n">
        <f aca="false">G1620</f>
        <v>1</v>
      </c>
      <c r="M1620" s="0" t="n">
        <f aca="false">H1620</f>
        <v>0</v>
      </c>
      <c r="N1620" s="0" t="n">
        <f aca="false">E1620*F1620</f>
        <v>0.375</v>
      </c>
      <c r="O1620" s="0" t="n">
        <f aca="false">E1620*G1620</f>
        <v>-0.5</v>
      </c>
      <c r="P1620" s="0" t="n">
        <f aca="false">E1620*H1620</f>
        <v>-0</v>
      </c>
      <c r="Q1620" s="0" t="n">
        <f aca="false">F1620*G1620</f>
        <v>-0.75</v>
      </c>
      <c r="R1620" s="0" t="n">
        <f aca="false">F1620*H1620</f>
        <v>-0</v>
      </c>
      <c r="S1620" s="0" t="n">
        <f aca="false">G1620*H1620</f>
        <v>0</v>
      </c>
      <c r="T1620" s="0" t="n">
        <f aca="false">E1620*E1620</f>
        <v>0.25</v>
      </c>
      <c r="U1620" s="0" t="n">
        <f aca="false">F1620*F1620</f>
        <v>0.5625</v>
      </c>
      <c r="V1620" s="0" t="n">
        <f aca="false">G1620*G1620</f>
        <v>1</v>
      </c>
      <c r="W1620" s="0" t="n">
        <f aca="false">H1620*H1620</f>
        <v>0</v>
      </c>
      <c r="X1620" s="0" t="n">
        <f aca="false">SUMPRODUCT(I1620:W1620,_XtX!$B$96:$P$96)</f>
        <v>44.0494152046783</v>
      </c>
      <c r="Y1620" s="0" t="n">
        <f aca="false">SUMPRODUCT(MMULT(I1620:W1620,_XtX!$B$78:$P$92),I1620:W1620)</f>
        <v>0.476191292032164</v>
      </c>
      <c r="Z1620" s="0" t="n">
        <f aca="false">04_回帰ANOVA!$K$19*04_回帰ANOVA!$K$14*SQRT(1+Y1620)</f>
        <v>1.58368831471718</v>
      </c>
      <c r="AA1620" s="0" t="n">
        <f aca="false">X1620-Z1620</f>
        <v>42.4657268899612</v>
      </c>
      <c r="AB1620" s="0" t="n">
        <f aca="false">X1620+Z1620</f>
        <v>45.6331035193955</v>
      </c>
      <c r="AC1620" s="54" t="b">
        <f aca="false">AND(E1620&gt;=01_因子設定!$L$5-0.000000001,E1620&lt;=01_因子設定!$M$5+0.000000001,F1620&gt;=01_因子設定!$L$6-0.000000001,F1620&lt;=01_因子設定!$M$6+0.000000001,G1620&gt;=01_因子設定!$L$7-0.000000001,G1620&lt;=01_因子設定!$M$7+0.000000001,H1620&gt;=01_因子設定!$L$8-0.000000001,H1620&lt;=01_因子設定!$M$8+0.000000001,IF(01_因子設定!$B$20="Box-Behnken",E1620^2+F1620^2+G1620^2+H1620^2&lt;=2+0.000000001,TRUE()))</f>
        <v>1</v>
      </c>
      <c r="AD1620" s="55" t="n">
        <f aca="false">IF(AC1620,IF(01_因子設定!$B$13="最大化",AA1620-01_因子設定!$B$14,IF(01_因子設定!$B$13="最小化",01_因子設定!$B$15-AB1620,MIN(AA1620-01_因子設定!$B$14,01_因子設定!$B$15-AB1620))),-1E+030)</f>
        <v>-4.03427311003885</v>
      </c>
      <c r="AE1620" s="55" t="n">
        <f aca="false">IF(AC1620,IF(01_因子設定!$B$13="最大化",X1620,IF(01_因子設定!$B$13="最小化",-X1620,-ABS(X1620-01_因子設定!$B$16))),-1E+030)</f>
        <v>44.0494152046783</v>
      </c>
      <c r="AF1620" s="55" t="n">
        <f aca="false">AD1620+ROW()*0.000000001</f>
        <v>-4.03427149003885</v>
      </c>
      <c r="AG1620" s="55" t="n">
        <f aca="false">AE1620+ROW()*0.000000001</f>
        <v>44.0494168246783</v>
      </c>
    </row>
    <row r="1621" customFormat="false" ht="15" hidden="false" customHeight="false" outlineLevel="0" collapsed="false">
      <c r="A1621" s="0" t="n">
        <v>2</v>
      </c>
      <c r="B1621" s="0" t="n">
        <v>1</v>
      </c>
      <c r="C1621" s="0" t="n">
        <v>8</v>
      </c>
      <c r="D1621" s="0" t="n">
        <v>5</v>
      </c>
      <c r="E1621" s="0" t="n">
        <f aca="false">-1+A1621*0.25</f>
        <v>-0.5</v>
      </c>
      <c r="F1621" s="0" t="n">
        <f aca="false">-1+B1621*0.25</f>
        <v>-0.75</v>
      </c>
      <c r="G1621" s="0" t="n">
        <f aca="false">-1+C1621*0.25</f>
        <v>1</v>
      </c>
      <c r="H1621" s="0" t="n">
        <f aca="false">-1+D1621*0.25</f>
        <v>0.25</v>
      </c>
      <c r="I1621" s="0" t="n">
        <f aca="false">1</f>
        <v>1</v>
      </c>
      <c r="J1621" s="0" t="n">
        <f aca="false">E1621</f>
        <v>-0.5</v>
      </c>
      <c r="K1621" s="0" t="n">
        <f aca="false">F1621</f>
        <v>-0.75</v>
      </c>
      <c r="L1621" s="0" t="n">
        <f aca="false">G1621</f>
        <v>1</v>
      </c>
      <c r="M1621" s="0" t="n">
        <f aca="false">H1621</f>
        <v>0.25</v>
      </c>
      <c r="N1621" s="0" t="n">
        <f aca="false">E1621*F1621</f>
        <v>0.375</v>
      </c>
      <c r="O1621" s="0" t="n">
        <f aca="false">E1621*G1621</f>
        <v>-0.5</v>
      </c>
      <c r="P1621" s="0" t="n">
        <f aca="false">E1621*H1621</f>
        <v>-0.125</v>
      </c>
      <c r="Q1621" s="0" t="n">
        <f aca="false">F1621*G1621</f>
        <v>-0.75</v>
      </c>
      <c r="R1621" s="0" t="n">
        <f aca="false">F1621*H1621</f>
        <v>-0.1875</v>
      </c>
      <c r="S1621" s="0" t="n">
        <f aca="false">G1621*H1621</f>
        <v>0.25</v>
      </c>
      <c r="T1621" s="0" t="n">
        <f aca="false">E1621*E1621</f>
        <v>0.25</v>
      </c>
      <c r="U1621" s="0" t="n">
        <f aca="false">F1621*F1621</f>
        <v>0.5625</v>
      </c>
      <c r="V1621" s="0" t="n">
        <f aca="false">G1621*G1621</f>
        <v>1</v>
      </c>
      <c r="W1621" s="0" t="n">
        <f aca="false">H1621*H1621</f>
        <v>0.0625</v>
      </c>
      <c r="X1621" s="0" t="n">
        <f aca="false">SUMPRODUCT(I1621:W1621,_XtX!$B$96:$P$96)</f>
        <v>44.2229943347953</v>
      </c>
      <c r="Y1621" s="0" t="n">
        <f aca="false">SUMPRODUCT(MMULT(I1621:W1621,_XtX!$B$78:$P$92),I1621:W1621)</f>
        <v>0.459125719572369</v>
      </c>
      <c r="Z1621" s="0" t="n">
        <f aca="false">04_回帰ANOVA!$K$19*04_回帰ANOVA!$K$14*SQRT(1+Y1621)</f>
        <v>1.57450755575573</v>
      </c>
      <c r="AA1621" s="0" t="n">
        <f aca="false">X1621-Z1621</f>
        <v>42.6484867790396</v>
      </c>
      <c r="AB1621" s="0" t="n">
        <f aca="false">X1621+Z1621</f>
        <v>45.797501890551</v>
      </c>
      <c r="AC1621" s="54" t="b">
        <f aca="false">AND(E1621&gt;=01_因子設定!$L$5-0.000000001,E1621&lt;=01_因子設定!$M$5+0.000000001,F1621&gt;=01_因子設定!$L$6-0.000000001,F1621&lt;=01_因子設定!$M$6+0.000000001,G1621&gt;=01_因子設定!$L$7-0.000000001,G1621&lt;=01_因子設定!$M$7+0.000000001,H1621&gt;=01_因子設定!$L$8-0.000000001,H1621&lt;=01_因子設定!$M$8+0.000000001,IF(01_因子設定!$B$20="Box-Behnken",E1621^2+F1621^2+G1621^2+H1621^2&lt;=2+0.000000001,TRUE()))</f>
        <v>1</v>
      </c>
      <c r="AD1621" s="55" t="n">
        <f aca="false">IF(AC1621,IF(01_因子設定!$B$13="最大化",AA1621-01_因子設定!$B$14,IF(01_因子設定!$B$13="最小化",01_因子設定!$B$15-AB1621,MIN(AA1621-01_因子設定!$B$14,01_因子設定!$B$15-AB1621))),-1E+030)</f>
        <v>-3.85151322096044</v>
      </c>
      <c r="AE1621" s="55" t="n">
        <f aca="false">IF(AC1621,IF(01_因子設定!$B$13="最大化",X1621,IF(01_因子設定!$B$13="最小化",-X1621,-ABS(X1621-01_因子設定!$B$16))),-1E+030)</f>
        <v>44.2229943347953</v>
      </c>
      <c r="AF1621" s="55" t="n">
        <f aca="false">AD1621+ROW()*0.000000001</f>
        <v>-3.85151159996044</v>
      </c>
      <c r="AG1621" s="55" t="n">
        <f aca="false">AE1621+ROW()*0.000000001</f>
        <v>44.2229959557953</v>
      </c>
    </row>
    <row r="1622" customFormat="false" ht="15" hidden="false" customHeight="false" outlineLevel="0" collapsed="false">
      <c r="A1622" s="0" t="n">
        <v>2</v>
      </c>
      <c r="B1622" s="0" t="n">
        <v>1</v>
      </c>
      <c r="C1622" s="0" t="n">
        <v>8</v>
      </c>
      <c r="D1622" s="0" t="n">
        <v>6</v>
      </c>
      <c r="E1622" s="0" t="n">
        <f aca="false">-1+A1622*0.25</f>
        <v>-0.5</v>
      </c>
      <c r="F1622" s="0" t="n">
        <f aca="false">-1+B1622*0.25</f>
        <v>-0.75</v>
      </c>
      <c r="G1622" s="0" t="n">
        <f aca="false">-1+C1622*0.25</f>
        <v>1</v>
      </c>
      <c r="H1622" s="0" t="n">
        <f aca="false">-1+D1622*0.25</f>
        <v>0.5</v>
      </c>
      <c r="I1622" s="0" t="n">
        <f aca="false">1</f>
        <v>1</v>
      </c>
      <c r="J1622" s="0" t="n">
        <f aca="false">E1622</f>
        <v>-0.5</v>
      </c>
      <c r="K1622" s="0" t="n">
        <f aca="false">F1622</f>
        <v>-0.75</v>
      </c>
      <c r="L1622" s="0" t="n">
        <f aca="false">G1622</f>
        <v>1</v>
      </c>
      <c r="M1622" s="0" t="n">
        <f aca="false">H1622</f>
        <v>0.5</v>
      </c>
      <c r="N1622" s="0" t="n">
        <f aca="false">E1622*F1622</f>
        <v>0.375</v>
      </c>
      <c r="O1622" s="0" t="n">
        <f aca="false">E1622*G1622</f>
        <v>-0.5</v>
      </c>
      <c r="P1622" s="0" t="n">
        <f aca="false">E1622*H1622</f>
        <v>-0.25</v>
      </c>
      <c r="Q1622" s="0" t="n">
        <f aca="false">F1622*G1622</f>
        <v>-0.75</v>
      </c>
      <c r="R1622" s="0" t="n">
        <f aca="false">F1622*H1622</f>
        <v>-0.375</v>
      </c>
      <c r="S1622" s="0" t="n">
        <f aca="false">G1622*H1622</f>
        <v>0.5</v>
      </c>
      <c r="T1622" s="0" t="n">
        <f aca="false">E1622*E1622</f>
        <v>0.25</v>
      </c>
      <c r="U1622" s="0" t="n">
        <f aca="false">F1622*F1622</f>
        <v>0.5625</v>
      </c>
      <c r="V1622" s="0" t="n">
        <f aca="false">G1622*G1622</f>
        <v>1</v>
      </c>
      <c r="W1622" s="0" t="n">
        <f aca="false">H1622*H1622</f>
        <v>0.25</v>
      </c>
      <c r="X1622" s="0" t="n">
        <f aca="false">SUMPRODUCT(I1622:W1622,_XtX!$B$96:$P$96)</f>
        <v>44.3487664473684</v>
      </c>
      <c r="Y1622" s="0" t="n">
        <f aca="false">SUMPRODUCT(MMULT(I1622:W1622,_XtX!$B$78:$P$92),I1622:W1622)</f>
        <v>0.42602110745614</v>
      </c>
      <c r="Z1622" s="0" t="n">
        <f aca="false">04_回帰ANOVA!$K$19*04_回帰ANOVA!$K$14*SQRT(1+Y1622)</f>
        <v>1.55654388501114</v>
      </c>
      <c r="AA1622" s="0" t="n">
        <f aca="false">X1622-Z1622</f>
        <v>42.7922225623573</v>
      </c>
      <c r="AB1622" s="0" t="n">
        <f aca="false">X1622+Z1622</f>
        <v>45.9053103323795</v>
      </c>
      <c r="AC1622" s="54" t="b">
        <f aca="false">AND(E1622&gt;=01_因子設定!$L$5-0.000000001,E1622&lt;=01_因子設定!$M$5+0.000000001,F1622&gt;=01_因子設定!$L$6-0.000000001,F1622&lt;=01_因子設定!$M$6+0.000000001,G1622&gt;=01_因子設定!$L$7-0.000000001,G1622&lt;=01_因子設定!$M$7+0.000000001,H1622&gt;=01_因子設定!$L$8-0.000000001,H1622&lt;=01_因子設定!$M$8+0.000000001,IF(01_因子設定!$B$20="Box-Behnken",E1622^2+F1622^2+G1622^2+H1622^2&lt;=2+0.000000001,TRUE()))</f>
        <v>1</v>
      </c>
      <c r="AD1622" s="55" t="n">
        <f aca="false">IF(AC1622,IF(01_因子設定!$B$13="最大化",AA1622-01_因子設定!$B$14,IF(01_因子設定!$B$13="最小化",01_因子設定!$B$15-AB1622,MIN(AA1622-01_因子設定!$B$14,01_因子設定!$B$15-AB1622))),-1E+030)</f>
        <v>-3.70777743764275</v>
      </c>
      <c r="AE1622" s="55" t="n">
        <f aca="false">IF(AC1622,IF(01_因子設定!$B$13="最大化",X1622,IF(01_因子設定!$B$13="最小化",-X1622,-ABS(X1622-01_因子設定!$B$16))),-1E+030)</f>
        <v>44.3487664473684</v>
      </c>
      <c r="AF1622" s="55" t="n">
        <f aca="false">AD1622+ROW()*0.000000001</f>
        <v>-3.70777581564275</v>
      </c>
      <c r="AG1622" s="55" t="n">
        <f aca="false">AE1622+ROW()*0.000000001</f>
        <v>44.3487680693684</v>
      </c>
    </row>
    <row r="1623" customFormat="false" ht="15" hidden="false" customHeight="false" outlineLevel="0" collapsed="false">
      <c r="A1623" s="0" t="n">
        <v>2</v>
      </c>
      <c r="B1623" s="0" t="n">
        <v>1</v>
      </c>
      <c r="C1623" s="0" t="n">
        <v>8</v>
      </c>
      <c r="D1623" s="0" t="n">
        <v>7</v>
      </c>
      <c r="E1623" s="0" t="n">
        <f aca="false">-1+A1623*0.25</f>
        <v>-0.5</v>
      </c>
      <c r="F1623" s="0" t="n">
        <f aca="false">-1+B1623*0.25</f>
        <v>-0.75</v>
      </c>
      <c r="G1623" s="0" t="n">
        <f aca="false">-1+C1623*0.25</f>
        <v>1</v>
      </c>
      <c r="H1623" s="0" t="n">
        <f aca="false">-1+D1623*0.25</f>
        <v>0.75</v>
      </c>
      <c r="I1623" s="0" t="n">
        <f aca="false">1</f>
        <v>1</v>
      </c>
      <c r="J1623" s="0" t="n">
        <f aca="false">E1623</f>
        <v>-0.5</v>
      </c>
      <c r="K1623" s="0" t="n">
        <f aca="false">F1623</f>
        <v>-0.75</v>
      </c>
      <c r="L1623" s="0" t="n">
        <f aca="false">G1623</f>
        <v>1</v>
      </c>
      <c r="M1623" s="0" t="n">
        <f aca="false">H1623</f>
        <v>0.75</v>
      </c>
      <c r="N1623" s="0" t="n">
        <f aca="false">E1623*F1623</f>
        <v>0.375</v>
      </c>
      <c r="O1623" s="0" t="n">
        <f aca="false">E1623*G1623</f>
        <v>-0.5</v>
      </c>
      <c r="P1623" s="0" t="n">
        <f aca="false">E1623*H1623</f>
        <v>-0.375</v>
      </c>
      <c r="Q1623" s="0" t="n">
        <f aca="false">F1623*G1623</f>
        <v>-0.75</v>
      </c>
      <c r="R1623" s="0" t="n">
        <f aca="false">F1623*H1623</f>
        <v>-0.5625</v>
      </c>
      <c r="S1623" s="0" t="n">
        <f aca="false">G1623*H1623</f>
        <v>0.75</v>
      </c>
      <c r="T1623" s="0" t="n">
        <f aca="false">E1623*E1623</f>
        <v>0.25</v>
      </c>
      <c r="U1623" s="0" t="n">
        <f aca="false">F1623*F1623</f>
        <v>0.5625</v>
      </c>
      <c r="V1623" s="0" t="n">
        <f aca="false">G1623*G1623</f>
        <v>1</v>
      </c>
      <c r="W1623" s="0" t="n">
        <f aca="false">H1623*H1623</f>
        <v>0.5625</v>
      </c>
      <c r="X1623" s="0" t="n">
        <f aca="false">SUMPRODUCT(I1623:W1623,_XtX!$B$96:$P$96)</f>
        <v>44.4267315423976</v>
      </c>
      <c r="Y1623" s="0" t="n">
        <f aca="false">SUMPRODUCT(MMULT(I1623:W1623,_XtX!$B$78:$P$92),I1623:W1623)</f>
        <v>0.431153771472953</v>
      </c>
      <c r="Z1623" s="0" t="n">
        <f aca="false">04_回帰ANOVA!$K$19*04_回帰ANOVA!$K$14*SQRT(1+Y1623)</f>
        <v>1.55934259562563</v>
      </c>
      <c r="AA1623" s="0" t="n">
        <f aca="false">X1623-Z1623</f>
        <v>42.867388946772</v>
      </c>
      <c r="AB1623" s="0" t="n">
        <f aca="false">X1623+Z1623</f>
        <v>45.9860741380233</v>
      </c>
      <c r="AC1623" s="54" t="b">
        <f aca="false">AND(E1623&gt;=01_因子設定!$L$5-0.000000001,E1623&lt;=01_因子設定!$M$5+0.000000001,F1623&gt;=01_因子設定!$L$6-0.000000001,F1623&lt;=01_因子設定!$M$6+0.000000001,G1623&gt;=01_因子設定!$L$7-0.000000001,G1623&lt;=01_因子設定!$M$7+0.000000001,H1623&gt;=01_因子設定!$L$8-0.000000001,H1623&lt;=01_因子設定!$M$8+0.000000001,IF(01_因子設定!$B$20="Box-Behnken",E1623^2+F1623^2+G1623^2+H1623^2&lt;=2+0.000000001,TRUE()))</f>
        <v>1</v>
      </c>
      <c r="AD1623" s="55" t="n">
        <f aca="false">IF(AC1623,IF(01_因子設定!$B$13="最大化",AA1623-01_因子設定!$B$14,IF(01_因子設定!$B$13="最小化",01_因子設定!$B$15-AB1623,MIN(AA1623-01_因子設定!$B$14,01_因子設定!$B$15-AB1623))),-1E+030)</f>
        <v>-3.63261105322799</v>
      </c>
      <c r="AE1623" s="55" t="n">
        <f aca="false">IF(AC1623,IF(01_因子設定!$B$13="最大化",X1623,IF(01_因子設定!$B$13="最小化",-X1623,-ABS(X1623-01_因子設定!$B$16))),-1E+030)</f>
        <v>44.4267315423976</v>
      </c>
      <c r="AF1623" s="55" t="n">
        <f aca="false">AD1623+ROW()*0.000000001</f>
        <v>-3.63260943022799</v>
      </c>
      <c r="AG1623" s="55" t="n">
        <f aca="false">AE1623+ROW()*0.000000001</f>
        <v>44.4267331653976</v>
      </c>
    </row>
    <row r="1624" customFormat="false" ht="15" hidden="false" customHeight="false" outlineLevel="0" collapsed="false">
      <c r="A1624" s="0" t="n">
        <v>2</v>
      </c>
      <c r="B1624" s="0" t="n">
        <v>1</v>
      </c>
      <c r="C1624" s="0" t="n">
        <v>8</v>
      </c>
      <c r="D1624" s="0" t="n">
        <v>8</v>
      </c>
      <c r="E1624" s="0" t="n">
        <f aca="false">-1+A1624*0.25</f>
        <v>-0.5</v>
      </c>
      <c r="F1624" s="0" t="n">
        <f aca="false">-1+B1624*0.25</f>
        <v>-0.75</v>
      </c>
      <c r="G1624" s="0" t="n">
        <f aca="false">-1+C1624*0.25</f>
        <v>1</v>
      </c>
      <c r="H1624" s="0" t="n">
        <f aca="false">-1+D1624*0.25</f>
        <v>1</v>
      </c>
      <c r="I1624" s="0" t="n">
        <f aca="false">1</f>
        <v>1</v>
      </c>
      <c r="J1624" s="0" t="n">
        <f aca="false">E1624</f>
        <v>-0.5</v>
      </c>
      <c r="K1624" s="0" t="n">
        <f aca="false">F1624</f>
        <v>-0.75</v>
      </c>
      <c r="L1624" s="0" t="n">
        <f aca="false">G1624</f>
        <v>1</v>
      </c>
      <c r="M1624" s="0" t="n">
        <f aca="false">H1624</f>
        <v>1</v>
      </c>
      <c r="N1624" s="0" t="n">
        <f aca="false">E1624*F1624</f>
        <v>0.375</v>
      </c>
      <c r="O1624" s="0" t="n">
        <f aca="false">E1624*G1624</f>
        <v>-0.5</v>
      </c>
      <c r="P1624" s="0" t="n">
        <f aca="false">E1624*H1624</f>
        <v>-0.5</v>
      </c>
      <c r="Q1624" s="0" t="n">
        <f aca="false">F1624*G1624</f>
        <v>-0.75</v>
      </c>
      <c r="R1624" s="0" t="n">
        <f aca="false">F1624*H1624</f>
        <v>-0.75</v>
      </c>
      <c r="S1624" s="0" t="n">
        <f aca="false">G1624*H1624</f>
        <v>1</v>
      </c>
      <c r="T1624" s="0" t="n">
        <f aca="false">E1624*E1624</f>
        <v>0.25</v>
      </c>
      <c r="U1624" s="0" t="n">
        <f aca="false">F1624*F1624</f>
        <v>0.5625</v>
      </c>
      <c r="V1624" s="0" t="n">
        <f aca="false">G1624*G1624</f>
        <v>1</v>
      </c>
      <c r="W1624" s="0" t="n">
        <f aca="false">H1624*H1624</f>
        <v>1</v>
      </c>
      <c r="X1624" s="0" t="n">
        <f aca="false">SUMPRODUCT(I1624:W1624,_XtX!$B$96:$P$96)</f>
        <v>44.456889619883</v>
      </c>
      <c r="Y1624" s="0" t="n">
        <f aca="false">SUMPRODUCT(MMULT(I1624:W1624,_XtX!$B$78:$P$92),I1624:W1624)</f>
        <v>0.564984237938597</v>
      </c>
      <c r="Z1624" s="0" t="n">
        <f aca="false">04_回帰ANOVA!$K$19*04_回帰ANOVA!$K$14*SQRT(1+Y1624)</f>
        <v>1.63062229734503</v>
      </c>
      <c r="AA1624" s="0" t="n">
        <f aca="false">X1624-Z1624</f>
        <v>42.826267322538</v>
      </c>
      <c r="AB1624" s="0" t="n">
        <f aca="false">X1624+Z1624</f>
        <v>46.0875119172281</v>
      </c>
      <c r="AC1624" s="54" t="b">
        <f aca="false">AND(E1624&gt;=01_因子設定!$L$5-0.000000001,E1624&lt;=01_因子設定!$M$5+0.000000001,F1624&gt;=01_因子設定!$L$6-0.000000001,F1624&lt;=01_因子設定!$M$6+0.000000001,G1624&gt;=01_因子設定!$L$7-0.000000001,G1624&lt;=01_因子設定!$M$7+0.000000001,H1624&gt;=01_因子設定!$L$8-0.000000001,H1624&lt;=01_因子設定!$M$8+0.000000001,IF(01_因子設定!$B$20="Box-Behnken",E1624^2+F1624^2+G1624^2+H1624^2&lt;=2+0.000000001,TRUE()))</f>
        <v>1</v>
      </c>
      <c r="AD1624" s="55" t="n">
        <f aca="false">IF(AC1624,IF(01_因子設定!$B$13="最大化",AA1624-01_因子設定!$B$14,IF(01_因子設定!$B$13="最小化",01_因子設定!$B$15-AB1624,MIN(AA1624-01_因子設定!$B$14,01_因子設定!$B$15-AB1624))),-1E+030)</f>
        <v>-3.673732677462</v>
      </c>
      <c r="AE1624" s="55" t="n">
        <f aca="false">IF(AC1624,IF(01_因子設定!$B$13="最大化",X1624,IF(01_因子設定!$B$13="最小化",-X1624,-ABS(X1624-01_因子設定!$B$16))),-1E+030)</f>
        <v>44.456889619883</v>
      </c>
      <c r="AF1624" s="55" t="n">
        <f aca="false">AD1624+ROW()*0.000000001</f>
        <v>-3.673731053462</v>
      </c>
      <c r="AG1624" s="55" t="n">
        <f aca="false">AE1624+ROW()*0.000000001</f>
        <v>44.456891243883</v>
      </c>
    </row>
    <row r="1625" customFormat="false" ht="15" hidden="false" customHeight="false" outlineLevel="0" collapsed="false">
      <c r="A1625" s="0" t="n">
        <v>2</v>
      </c>
      <c r="B1625" s="0" t="n">
        <v>2</v>
      </c>
      <c r="C1625" s="0" t="n">
        <v>0</v>
      </c>
      <c r="D1625" s="0" t="n">
        <v>0</v>
      </c>
      <c r="E1625" s="0" t="n">
        <f aca="false">-1+A1625*0.25</f>
        <v>-0.5</v>
      </c>
      <c r="F1625" s="0" t="n">
        <f aca="false">-1+B1625*0.25</f>
        <v>-0.5</v>
      </c>
      <c r="G1625" s="0" t="n">
        <f aca="false">-1+C1625*0.25</f>
        <v>-1</v>
      </c>
      <c r="H1625" s="0" t="n">
        <f aca="false">-1+D1625*0.25</f>
        <v>-1</v>
      </c>
      <c r="I1625" s="0" t="n">
        <f aca="false">1</f>
        <v>1</v>
      </c>
      <c r="J1625" s="0" t="n">
        <f aca="false">E1625</f>
        <v>-0.5</v>
      </c>
      <c r="K1625" s="0" t="n">
        <f aca="false">F1625</f>
        <v>-0.5</v>
      </c>
      <c r="L1625" s="0" t="n">
        <f aca="false">G1625</f>
        <v>-1</v>
      </c>
      <c r="M1625" s="0" t="n">
        <f aca="false">H1625</f>
        <v>-1</v>
      </c>
      <c r="N1625" s="0" t="n">
        <f aca="false">E1625*F1625</f>
        <v>0.25</v>
      </c>
      <c r="O1625" s="0" t="n">
        <f aca="false">E1625*G1625</f>
        <v>0.5</v>
      </c>
      <c r="P1625" s="0" t="n">
        <f aca="false">E1625*H1625</f>
        <v>0.5</v>
      </c>
      <c r="Q1625" s="0" t="n">
        <f aca="false">F1625*G1625</f>
        <v>0.5</v>
      </c>
      <c r="R1625" s="0" t="n">
        <f aca="false">F1625*H1625</f>
        <v>0.5</v>
      </c>
      <c r="S1625" s="0" t="n">
        <f aca="false">G1625*H1625</f>
        <v>1</v>
      </c>
      <c r="T1625" s="0" t="n">
        <f aca="false">E1625*E1625</f>
        <v>0.25</v>
      </c>
      <c r="U1625" s="0" t="n">
        <f aca="false">F1625*F1625</f>
        <v>0.25</v>
      </c>
      <c r="V1625" s="0" t="n">
        <f aca="false">G1625*G1625</f>
        <v>1</v>
      </c>
      <c r="W1625" s="0" t="n">
        <f aca="false">H1625*H1625</f>
        <v>1</v>
      </c>
      <c r="X1625" s="0" t="n">
        <f aca="false">SUMPRODUCT(I1625:W1625,_XtX!$B$96:$P$96)</f>
        <v>42.469115497076</v>
      </c>
      <c r="Y1625" s="0" t="n">
        <f aca="false">SUMPRODUCT(MMULT(I1625:W1625,_XtX!$B$78:$P$92),I1625:W1625)</f>
        <v>0.582488121345029</v>
      </c>
      <c r="Z1625" s="0" t="n">
        <f aca="false">04_回帰ANOVA!$K$19*04_回帰ANOVA!$K$14*SQRT(1+Y1625)</f>
        <v>1.63971595338287</v>
      </c>
      <c r="AA1625" s="0" t="n">
        <f aca="false">X1625-Z1625</f>
        <v>40.8293995436932</v>
      </c>
      <c r="AB1625" s="0" t="n">
        <f aca="false">X1625+Z1625</f>
        <v>44.1088314504589</v>
      </c>
      <c r="AC1625" s="54" t="b">
        <f aca="false">AND(E1625&gt;=01_因子設定!$L$5-0.000000001,E1625&lt;=01_因子設定!$M$5+0.000000001,F1625&gt;=01_因子設定!$L$6-0.000000001,F1625&lt;=01_因子設定!$M$6+0.000000001,G1625&gt;=01_因子設定!$L$7-0.000000001,G1625&lt;=01_因子設定!$M$7+0.000000001,H1625&gt;=01_因子設定!$L$8-0.000000001,H1625&lt;=01_因子設定!$M$8+0.000000001,IF(01_因子設定!$B$20="Box-Behnken",E1625^2+F1625^2+G1625^2+H1625^2&lt;=2+0.000000001,TRUE()))</f>
        <v>1</v>
      </c>
      <c r="AD1625" s="55" t="n">
        <f aca="false">IF(AC1625,IF(01_因子設定!$B$13="最大化",AA1625-01_因子設定!$B$14,IF(01_因子設定!$B$13="最小化",01_因子設定!$B$15-AB1625,MIN(AA1625-01_因子設定!$B$14,01_因子設定!$B$15-AB1625))),-1E+030)</f>
        <v>-5.67060045630684</v>
      </c>
      <c r="AE1625" s="55" t="n">
        <f aca="false">IF(AC1625,IF(01_因子設定!$B$13="最大化",X1625,IF(01_因子設定!$B$13="最小化",-X1625,-ABS(X1625-01_因子設定!$B$16))),-1E+030)</f>
        <v>42.469115497076</v>
      </c>
      <c r="AF1625" s="55" t="n">
        <f aca="false">AD1625+ROW()*0.000000001</f>
        <v>-5.67059883130684</v>
      </c>
      <c r="AG1625" s="55" t="n">
        <f aca="false">AE1625+ROW()*0.000000001</f>
        <v>42.469117122076</v>
      </c>
    </row>
    <row r="1626" customFormat="false" ht="15" hidden="false" customHeight="false" outlineLevel="0" collapsed="false">
      <c r="A1626" s="0" t="n">
        <v>2</v>
      </c>
      <c r="B1626" s="0" t="n">
        <v>2</v>
      </c>
      <c r="C1626" s="0" t="n">
        <v>0</v>
      </c>
      <c r="D1626" s="0" t="n">
        <v>1</v>
      </c>
      <c r="E1626" s="0" t="n">
        <f aca="false">-1+A1626*0.25</f>
        <v>-0.5</v>
      </c>
      <c r="F1626" s="0" t="n">
        <f aca="false">-1+B1626*0.25</f>
        <v>-0.5</v>
      </c>
      <c r="G1626" s="0" t="n">
        <f aca="false">-1+C1626*0.25</f>
        <v>-1</v>
      </c>
      <c r="H1626" s="0" t="n">
        <f aca="false">-1+D1626*0.25</f>
        <v>-0.75</v>
      </c>
      <c r="I1626" s="0" t="n">
        <f aca="false">1</f>
        <v>1</v>
      </c>
      <c r="J1626" s="0" t="n">
        <f aca="false">E1626</f>
        <v>-0.5</v>
      </c>
      <c r="K1626" s="0" t="n">
        <f aca="false">F1626</f>
        <v>-0.5</v>
      </c>
      <c r="L1626" s="0" t="n">
        <f aca="false">G1626</f>
        <v>-1</v>
      </c>
      <c r="M1626" s="0" t="n">
        <f aca="false">H1626</f>
        <v>-0.75</v>
      </c>
      <c r="N1626" s="0" t="n">
        <f aca="false">E1626*F1626</f>
        <v>0.25</v>
      </c>
      <c r="O1626" s="0" t="n">
        <f aca="false">E1626*G1626</f>
        <v>0.5</v>
      </c>
      <c r="P1626" s="0" t="n">
        <f aca="false">E1626*H1626</f>
        <v>0.375</v>
      </c>
      <c r="Q1626" s="0" t="n">
        <f aca="false">F1626*G1626</f>
        <v>0.5</v>
      </c>
      <c r="R1626" s="0" t="n">
        <f aca="false">F1626*H1626</f>
        <v>0.375</v>
      </c>
      <c r="S1626" s="0" t="n">
        <f aca="false">G1626*H1626</f>
        <v>0.75</v>
      </c>
      <c r="T1626" s="0" t="n">
        <f aca="false">E1626*E1626</f>
        <v>0.25</v>
      </c>
      <c r="U1626" s="0" t="n">
        <f aca="false">F1626*F1626</f>
        <v>0.25</v>
      </c>
      <c r="V1626" s="0" t="n">
        <f aca="false">G1626*G1626</f>
        <v>1</v>
      </c>
      <c r="W1626" s="0" t="n">
        <f aca="false">H1626*H1626</f>
        <v>0.5625</v>
      </c>
      <c r="X1626" s="0" t="n">
        <f aca="false">SUMPRODUCT(I1626:W1626,_XtX!$B$96:$P$96)</f>
        <v>42.6768914473684</v>
      </c>
      <c r="Y1626" s="0" t="n">
        <f aca="false">SUMPRODUCT(MMULT(I1626:W1626,_XtX!$B$78:$P$92),I1626:W1626)</f>
        <v>0.42602110745614</v>
      </c>
      <c r="Z1626" s="0" t="n">
        <f aca="false">04_回帰ANOVA!$K$19*04_回帰ANOVA!$K$14*SQRT(1+Y1626)</f>
        <v>1.55654388501114</v>
      </c>
      <c r="AA1626" s="0" t="n">
        <f aca="false">X1626-Z1626</f>
        <v>41.1203475623573</v>
      </c>
      <c r="AB1626" s="0" t="n">
        <f aca="false">X1626+Z1626</f>
        <v>44.2334353323795</v>
      </c>
      <c r="AC1626" s="54" t="b">
        <f aca="false">AND(E1626&gt;=01_因子設定!$L$5-0.000000001,E1626&lt;=01_因子設定!$M$5+0.000000001,F1626&gt;=01_因子設定!$L$6-0.000000001,F1626&lt;=01_因子設定!$M$6+0.000000001,G1626&gt;=01_因子設定!$L$7-0.000000001,G1626&lt;=01_因子設定!$M$7+0.000000001,H1626&gt;=01_因子設定!$L$8-0.000000001,H1626&lt;=01_因子設定!$M$8+0.000000001,IF(01_因子設定!$B$20="Box-Behnken",E1626^2+F1626^2+G1626^2+H1626^2&lt;=2+0.000000001,TRUE()))</f>
        <v>1</v>
      </c>
      <c r="AD1626" s="55" t="n">
        <f aca="false">IF(AC1626,IF(01_因子設定!$B$13="最大化",AA1626-01_因子設定!$B$14,IF(01_因子設定!$B$13="最小化",01_因子設定!$B$15-AB1626,MIN(AA1626-01_因子設定!$B$14,01_因子設定!$B$15-AB1626))),-1E+030)</f>
        <v>-5.37965243764273</v>
      </c>
      <c r="AE1626" s="55" t="n">
        <f aca="false">IF(AC1626,IF(01_因子設定!$B$13="最大化",X1626,IF(01_因子設定!$B$13="最小化",-X1626,-ABS(X1626-01_因子設定!$B$16))),-1E+030)</f>
        <v>42.6768914473684</v>
      </c>
      <c r="AF1626" s="55" t="n">
        <f aca="false">AD1626+ROW()*0.000000001</f>
        <v>-5.37965081164273</v>
      </c>
      <c r="AG1626" s="55" t="n">
        <f aca="false">AE1626+ROW()*0.000000001</f>
        <v>42.6768930733684</v>
      </c>
    </row>
    <row r="1627" customFormat="false" ht="15" hidden="false" customHeight="false" outlineLevel="0" collapsed="false">
      <c r="A1627" s="0" t="n">
        <v>2</v>
      </c>
      <c r="B1627" s="0" t="n">
        <v>2</v>
      </c>
      <c r="C1627" s="0" t="n">
        <v>0</v>
      </c>
      <c r="D1627" s="0" t="n">
        <v>2</v>
      </c>
      <c r="E1627" s="0" t="n">
        <f aca="false">-1+A1627*0.25</f>
        <v>-0.5</v>
      </c>
      <c r="F1627" s="0" t="n">
        <f aca="false">-1+B1627*0.25</f>
        <v>-0.5</v>
      </c>
      <c r="G1627" s="0" t="n">
        <f aca="false">-1+C1627*0.25</f>
        <v>-1</v>
      </c>
      <c r="H1627" s="0" t="n">
        <f aca="false">-1+D1627*0.25</f>
        <v>-0.5</v>
      </c>
      <c r="I1627" s="0" t="n">
        <f aca="false">1</f>
        <v>1</v>
      </c>
      <c r="J1627" s="0" t="n">
        <f aca="false">E1627</f>
        <v>-0.5</v>
      </c>
      <c r="K1627" s="0" t="n">
        <f aca="false">F1627</f>
        <v>-0.5</v>
      </c>
      <c r="L1627" s="0" t="n">
        <f aca="false">G1627</f>
        <v>-1</v>
      </c>
      <c r="M1627" s="0" t="n">
        <f aca="false">H1627</f>
        <v>-0.5</v>
      </c>
      <c r="N1627" s="0" t="n">
        <f aca="false">E1627*F1627</f>
        <v>0.25</v>
      </c>
      <c r="O1627" s="0" t="n">
        <f aca="false">E1627*G1627</f>
        <v>0.5</v>
      </c>
      <c r="P1627" s="0" t="n">
        <f aca="false">E1627*H1627</f>
        <v>0.25</v>
      </c>
      <c r="Q1627" s="0" t="n">
        <f aca="false">F1627*G1627</f>
        <v>0.5</v>
      </c>
      <c r="R1627" s="0" t="n">
        <f aca="false">F1627*H1627</f>
        <v>0.25</v>
      </c>
      <c r="S1627" s="0" t="n">
        <f aca="false">G1627*H1627</f>
        <v>0.5</v>
      </c>
      <c r="T1627" s="0" t="n">
        <f aca="false">E1627*E1627</f>
        <v>0.25</v>
      </c>
      <c r="U1627" s="0" t="n">
        <f aca="false">F1627*F1627</f>
        <v>0.25</v>
      </c>
      <c r="V1627" s="0" t="n">
        <f aca="false">G1627*G1627</f>
        <v>1</v>
      </c>
      <c r="W1627" s="0" t="n">
        <f aca="false">H1627*H1627</f>
        <v>0.25</v>
      </c>
      <c r="X1627" s="0" t="n">
        <f aca="false">SUMPRODUCT(I1627:W1627,_XtX!$B$96:$P$96)</f>
        <v>42.8368603801169</v>
      </c>
      <c r="Y1627" s="0" t="n">
        <f aca="false">SUMPRODUCT(MMULT(I1627:W1627,_XtX!$B$78:$P$92),I1627:W1627)</f>
        <v>0.404719480994152</v>
      </c>
      <c r="Z1627" s="0" t="n">
        <f aca="false">04_回帰ANOVA!$K$19*04_回帰ANOVA!$K$14*SQRT(1+Y1627)</f>
        <v>1.54487446697867</v>
      </c>
      <c r="AA1627" s="0" t="n">
        <f aca="false">X1627-Z1627</f>
        <v>41.2919859131383</v>
      </c>
      <c r="AB1627" s="0" t="n">
        <f aca="false">X1627+Z1627</f>
        <v>44.3817348470956</v>
      </c>
      <c r="AC1627" s="54" t="b">
        <f aca="false">AND(E1627&gt;=01_因子設定!$L$5-0.000000001,E1627&lt;=01_因子設定!$M$5+0.000000001,F1627&gt;=01_因子設定!$L$6-0.000000001,F1627&lt;=01_因子設定!$M$6+0.000000001,G1627&gt;=01_因子設定!$L$7-0.000000001,G1627&lt;=01_因子設定!$M$7+0.000000001,H1627&gt;=01_因子設定!$L$8-0.000000001,H1627&lt;=01_因子設定!$M$8+0.000000001,IF(01_因子設定!$B$20="Box-Behnken",E1627^2+F1627^2+G1627^2+H1627^2&lt;=2+0.000000001,TRUE()))</f>
        <v>1</v>
      </c>
      <c r="AD1627" s="55" t="n">
        <f aca="false">IF(AC1627,IF(01_因子設定!$B$13="最大化",AA1627-01_因子設定!$B$14,IF(01_因子設定!$B$13="最小化",01_因子設定!$B$15-AB1627,MIN(AA1627-01_因子設定!$B$14,01_因子設定!$B$15-AB1627))),-1E+030)</f>
        <v>-5.20801408686175</v>
      </c>
      <c r="AE1627" s="55" t="n">
        <f aca="false">IF(AC1627,IF(01_因子設定!$B$13="最大化",X1627,IF(01_因子設定!$B$13="最小化",-X1627,-ABS(X1627-01_因子設定!$B$16))),-1E+030)</f>
        <v>42.8368603801169</v>
      </c>
      <c r="AF1627" s="55" t="n">
        <f aca="false">AD1627+ROW()*0.000000001</f>
        <v>-5.20801245986175</v>
      </c>
      <c r="AG1627" s="55" t="n">
        <f aca="false">AE1627+ROW()*0.000000001</f>
        <v>42.8368620071169</v>
      </c>
    </row>
    <row r="1628" customFormat="false" ht="15" hidden="false" customHeight="false" outlineLevel="0" collapsed="false">
      <c r="A1628" s="0" t="n">
        <v>2</v>
      </c>
      <c r="B1628" s="0" t="n">
        <v>2</v>
      </c>
      <c r="C1628" s="0" t="n">
        <v>0</v>
      </c>
      <c r="D1628" s="0" t="n">
        <v>3</v>
      </c>
      <c r="E1628" s="0" t="n">
        <f aca="false">-1+A1628*0.25</f>
        <v>-0.5</v>
      </c>
      <c r="F1628" s="0" t="n">
        <f aca="false">-1+B1628*0.25</f>
        <v>-0.5</v>
      </c>
      <c r="G1628" s="0" t="n">
        <f aca="false">-1+C1628*0.25</f>
        <v>-1</v>
      </c>
      <c r="H1628" s="0" t="n">
        <f aca="false">-1+D1628*0.25</f>
        <v>-0.25</v>
      </c>
      <c r="I1628" s="0" t="n">
        <f aca="false">1</f>
        <v>1</v>
      </c>
      <c r="J1628" s="0" t="n">
        <f aca="false">E1628</f>
        <v>-0.5</v>
      </c>
      <c r="K1628" s="0" t="n">
        <f aca="false">F1628</f>
        <v>-0.5</v>
      </c>
      <c r="L1628" s="0" t="n">
        <f aca="false">G1628</f>
        <v>-1</v>
      </c>
      <c r="M1628" s="0" t="n">
        <f aca="false">H1628</f>
        <v>-0.25</v>
      </c>
      <c r="N1628" s="0" t="n">
        <f aca="false">E1628*F1628</f>
        <v>0.25</v>
      </c>
      <c r="O1628" s="0" t="n">
        <f aca="false">E1628*G1628</f>
        <v>0.5</v>
      </c>
      <c r="P1628" s="0" t="n">
        <f aca="false">E1628*H1628</f>
        <v>0.125</v>
      </c>
      <c r="Q1628" s="0" t="n">
        <f aca="false">F1628*G1628</f>
        <v>0.5</v>
      </c>
      <c r="R1628" s="0" t="n">
        <f aca="false">F1628*H1628</f>
        <v>0.125</v>
      </c>
      <c r="S1628" s="0" t="n">
        <f aca="false">G1628*H1628</f>
        <v>0.25</v>
      </c>
      <c r="T1628" s="0" t="n">
        <f aca="false">E1628*E1628</f>
        <v>0.25</v>
      </c>
      <c r="U1628" s="0" t="n">
        <f aca="false">F1628*F1628</f>
        <v>0.25</v>
      </c>
      <c r="V1628" s="0" t="n">
        <f aca="false">G1628*G1628</f>
        <v>1</v>
      </c>
      <c r="W1628" s="0" t="n">
        <f aca="false">H1628*H1628</f>
        <v>0.0625</v>
      </c>
      <c r="X1628" s="0" t="n">
        <f aca="false">SUMPRODUCT(I1628:W1628,_XtX!$B$96:$P$96)</f>
        <v>42.9490222953216</v>
      </c>
      <c r="Y1628" s="0" t="n">
        <f aca="false">SUMPRODUCT(MMULT(I1628:W1628,_XtX!$B$78:$P$92),I1628:W1628)</f>
        <v>0.428122715643275</v>
      </c>
      <c r="Z1628" s="0" t="n">
        <f aca="false">04_回帰ANOVA!$K$19*04_回帰ANOVA!$K$14*SQRT(1+Y1628)</f>
        <v>1.55769044623229</v>
      </c>
      <c r="AA1628" s="0" t="n">
        <f aca="false">X1628-Z1628</f>
        <v>41.3913318490893</v>
      </c>
      <c r="AB1628" s="0" t="n">
        <f aca="false">X1628+Z1628</f>
        <v>44.5067127415539</v>
      </c>
      <c r="AC1628" s="54" t="b">
        <f aca="false">AND(E1628&gt;=01_因子設定!$L$5-0.000000001,E1628&lt;=01_因子設定!$M$5+0.000000001,F1628&gt;=01_因子設定!$L$6-0.000000001,F1628&lt;=01_因子設定!$M$6+0.000000001,G1628&gt;=01_因子設定!$L$7-0.000000001,G1628&lt;=01_因子設定!$M$7+0.000000001,H1628&gt;=01_因子設定!$L$8-0.000000001,H1628&lt;=01_因子設定!$M$8+0.000000001,IF(01_因子設定!$B$20="Box-Behnken",E1628^2+F1628^2+G1628^2+H1628^2&lt;=2+0.000000001,TRUE()))</f>
        <v>1</v>
      </c>
      <c r="AD1628" s="55" t="n">
        <f aca="false">IF(AC1628,IF(01_因子設定!$B$13="最大化",AA1628-01_因子設定!$B$14,IF(01_因子設定!$B$13="最小化",01_因子設定!$B$15-AB1628,MIN(AA1628-01_因子設定!$B$14,01_因子設定!$B$15-AB1628))),-1E+030)</f>
        <v>-5.1086681509107</v>
      </c>
      <c r="AE1628" s="55" t="n">
        <f aca="false">IF(AC1628,IF(01_因子設定!$B$13="最大化",X1628,IF(01_因子設定!$B$13="最小化",-X1628,-ABS(X1628-01_因子設定!$B$16))),-1E+030)</f>
        <v>42.9490222953216</v>
      </c>
      <c r="AF1628" s="55" t="n">
        <f aca="false">AD1628+ROW()*0.000000001</f>
        <v>-5.1086665229107</v>
      </c>
      <c r="AG1628" s="55" t="n">
        <f aca="false">AE1628+ROW()*0.000000001</f>
        <v>42.9490239233216</v>
      </c>
    </row>
    <row r="1629" customFormat="false" ht="15" hidden="false" customHeight="false" outlineLevel="0" collapsed="false">
      <c r="A1629" s="0" t="n">
        <v>2</v>
      </c>
      <c r="B1629" s="0" t="n">
        <v>2</v>
      </c>
      <c r="C1629" s="0" t="n">
        <v>0</v>
      </c>
      <c r="D1629" s="0" t="n">
        <v>4</v>
      </c>
      <c r="E1629" s="0" t="n">
        <f aca="false">-1+A1629*0.25</f>
        <v>-0.5</v>
      </c>
      <c r="F1629" s="0" t="n">
        <f aca="false">-1+B1629*0.25</f>
        <v>-0.5</v>
      </c>
      <c r="G1629" s="0" t="n">
        <f aca="false">-1+C1629*0.25</f>
        <v>-1</v>
      </c>
      <c r="H1629" s="0" t="n">
        <f aca="false">-1+D1629*0.25</f>
        <v>0</v>
      </c>
      <c r="I1629" s="0" t="n">
        <f aca="false">1</f>
        <v>1</v>
      </c>
      <c r="J1629" s="0" t="n">
        <f aca="false">E1629</f>
        <v>-0.5</v>
      </c>
      <c r="K1629" s="0" t="n">
        <f aca="false">F1629</f>
        <v>-0.5</v>
      </c>
      <c r="L1629" s="0" t="n">
        <f aca="false">G1629</f>
        <v>-1</v>
      </c>
      <c r="M1629" s="0" t="n">
        <f aca="false">H1629</f>
        <v>0</v>
      </c>
      <c r="N1629" s="0" t="n">
        <f aca="false">E1629*F1629</f>
        <v>0.25</v>
      </c>
      <c r="O1629" s="0" t="n">
        <f aca="false">E1629*G1629</f>
        <v>0.5</v>
      </c>
      <c r="P1629" s="0" t="n">
        <f aca="false">E1629*H1629</f>
        <v>-0</v>
      </c>
      <c r="Q1629" s="0" t="n">
        <f aca="false">F1629*G1629</f>
        <v>0.5</v>
      </c>
      <c r="R1629" s="0" t="n">
        <f aca="false">F1629*H1629</f>
        <v>-0</v>
      </c>
      <c r="S1629" s="0" t="n">
        <f aca="false">G1629*H1629</f>
        <v>-0</v>
      </c>
      <c r="T1629" s="0" t="n">
        <f aca="false">E1629*E1629</f>
        <v>0.25</v>
      </c>
      <c r="U1629" s="0" t="n">
        <f aca="false">F1629*F1629</f>
        <v>0.25</v>
      </c>
      <c r="V1629" s="0" t="n">
        <f aca="false">G1629*G1629</f>
        <v>1</v>
      </c>
      <c r="W1629" s="0" t="n">
        <f aca="false">H1629*H1629</f>
        <v>0</v>
      </c>
      <c r="X1629" s="0" t="n">
        <f aca="false">SUMPRODUCT(I1629:W1629,_XtX!$B$96:$P$96)</f>
        <v>43.0133771929824</v>
      </c>
      <c r="Y1629" s="0" t="n">
        <f aca="false">SUMPRODUCT(MMULT(I1629:W1629,_XtX!$B$78:$P$92),I1629:W1629)</f>
        <v>0.441954495614035</v>
      </c>
      <c r="Z1629" s="0" t="n">
        <f aca="false">04_回帰ANOVA!$K$19*04_回帰ANOVA!$K$14*SQRT(1+Y1629)</f>
        <v>1.56521560968066</v>
      </c>
      <c r="AA1629" s="0" t="n">
        <f aca="false">X1629-Z1629</f>
        <v>41.4481615833018</v>
      </c>
      <c r="AB1629" s="0" t="n">
        <f aca="false">X1629+Z1629</f>
        <v>44.5785928026631</v>
      </c>
      <c r="AC1629" s="54" t="b">
        <f aca="false">AND(E1629&gt;=01_因子設定!$L$5-0.000000001,E1629&lt;=01_因子設定!$M$5+0.000000001,F1629&gt;=01_因子設定!$L$6-0.000000001,F1629&lt;=01_因子設定!$M$6+0.000000001,G1629&gt;=01_因子設定!$L$7-0.000000001,G1629&lt;=01_因子設定!$M$7+0.000000001,H1629&gt;=01_因子設定!$L$8-0.000000001,H1629&lt;=01_因子設定!$M$8+0.000000001,IF(01_因子設定!$B$20="Box-Behnken",E1629^2+F1629^2+G1629^2+H1629^2&lt;=2+0.000000001,TRUE()))</f>
        <v>1</v>
      </c>
      <c r="AD1629" s="55" t="n">
        <f aca="false">IF(AC1629,IF(01_因子設定!$B$13="最大化",AA1629-01_因子設定!$B$14,IF(01_因子設定!$B$13="最小化",01_因子設定!$B$15-AB1629,MIN(AA1629-01_因子設定!$B$14,01_因子設定!$B$15-AB1629))),-1E+030)</f>
        <v>-5.05183841669825</v>
      </c>
      <c r="AE1629" s="55" t="n">
        <f aca="false">IF(AC1629,IF(01_因子設定!$B$13="最大化",X1629,IF(01_因子設定!$B$13="最小化",-X1629,-ABS(X1629-01_因子設定!$B$16))),-1E+030)</f>
        <v>43.0133771929824</v>
      </c>
      <c r="AF1629" s="55" t="n">
        <f aca="false">AD1629+ROW()*0.000000001</f>
        <v>-5.05183678769825</v>
      </c>
      <c r="AG1629" s="55" t="n">
        <f aca="false">AE1629+ROW()*0.000000001</f>
        <v>43.0133788219824</v>
      </c>
    </row>
    <row r="1630" customFormat="false" ht="15" hidden="false" customHeight="false" outlineLevel="0" collapsed="false">
      <c r="A1630" s="0" t="n">
        <v>2</v>
      </c>
      <c r="B1630" s="0" t="n">
        <v>2</v>
      </c>
      <c r="C1630" s="0" t="n">
        <v>0</v>
      </c>
      <c r="D1630" s="0" t="n">
        <v>5</v>
      </c>
      <c r="E1630" s="0" t="n">
        <f aca="false">-1+A1630*0.25</f>
        <v>-0.5</v>
      </c>
      <c r="F1630" s="0" t="n">
        <f aca="false">-1+B1630*0.25</f>
        <v>-0.5</v>
      </c>
      <c r="G1630" s="0" t="n">
        <f aca="false">-1+C1630*0.25</f>
        <v>-1</v>
      </c>
      <c r="H1630" s="0" t="n">
        <f aca="false">-1+D1630*0.25</f>
        <v>0.25</v>
      </c>
      <c r="I1630" s="0" t="n">
        <f aca="false">1</f>
        <v>1</v>
      </c>
      <c r="J1630" s="0" t="n">
        <f aca="false">E1630</f>
        <v>-0.5</v>
      </c>
      <c r="K1630" s="0" t="n">
        <f aca="false">F1630</f>
        <v>-0.5</v>
      </c>
      <c r="L1630" s="0" t="n">
        <f aca="false">G1630</f>
        <v>-1</v>
      </c>
      <c r="M1630" s="0" t="n">
        <f aca="false">H1630</f>
        <v>0.25</v>
      </c>
      <c r="N1630" s="0" t="n">
        <f aca="false">E1630*F1630</f>
        <v>0.25</v>
      </c>
      <c r="O1630" s="0" t="n">
        <f aca="false">E1630*G1630</f>
        <v>0.5</v>
      </c>
      <c r="P1630" s="0" t="n">
        <f aca="false">E1630*H1630</f>
        <v>-0.125</v>
      </c>
      <c r="Q1630" s="0" t="n">
        <f aca="false">F1630*G1630</f>
        <v>0.5</v>
      </c>
      <c r="R1630" s="0" t="n">
        <f aca="false">F1630*H1630</f>
        <v>-0.125</v>
      </c>
      <c r="S1630" s="0" t="n">
        <f aca="false">G1630*H1630</f>
        <v>-0.25</v>
      </c>
      <c r="T1630" s="0" t="n">
        <f aca="false">E1630*E1630</f>
        <v>0.25</v>
      </c>
      <c r="U1630" s="0" t="n">
        <f aca="false">F1630*F1630</f>
        <v>0.25</v>
      </c>
      <c r="V1630" s="0" t="n">
        <f aca="false">G1630*G1630</f>
        <v>1</v>
      </c>
      <c r="W1630" s="0" t="n">
        <f aca="false">H1630*H1630</f>
        <v>0.0625</v>
      </c>
      <c r="X1630" s="0" t="n">
        <f aca="false">SUMPRODUCT(I1630:W1630,_XtX!$B$96:$P$96)</f>
        <v>43.0299250730994</v>
      </c>
      <c r="Y1630" s="0" t="n">
        <f aca="false">SUMPRODUCT(MMULT(I1630:W1630,_XtX!$B$78:$P$92),I1630:W1630)</f>
        <v>0.428122715643275</v>
      </c>
      <c r="Z1630" s="0" t="n">
        <f aca="false">04_回帰ANOVA!$K$19*04_回帰ANOVA!$K$14*SQRT(1+Y1630)</f>
        <v>1.55769044623229</v>
      </c>
      <c r="AA1630" s="0" t="n">
        <f aca="false">X1630-Z1630</f>
        <v>41.4722346268671</v>
      </c>
      <c r="AB1630" s="0" t="n">
        <f aca="false">X1630+Z1630</f>
        <v>44.5876155193317</v>
      </c>
      <c r="AC1630" s="54" t="b">
        <f aca="false">AND(E1630&gt;=01_因子設定!$L$5-0.000000001,E1630&lt;=01_因子設定!$M$5+0.000000001,F1630&gt;=01_因子設定!$L$6-0.000000001,F1630&lt;=01_因子設定!$M$6+0.000000001,G1630&gt;=01_因子設定!$L$7-0.000000001,G1630&lt;=01_因子設定!$M$7+0.000000001,H1630&gt;=01_因子設定!$L$8-0.000000001,H1630&lt;=01_因子設定!$M$8+0.000000001,IF(01_因子設定!$B$20="Box-Behnken",E1630^2+F1630^2+G1630^2+H1630^2&lt;=2+0.000000001,TRUE()))</f>
        <v>1</v>
      </c>
      <c r="AD1630" s="55" t="n">
        <f aca="false">IF(AC1630,IF(01_因子設定!$B$13="最大化",AA1630-01_因子設定!$B$14,IF(01_因子設定!$B$13="最小化",01_因子設定!$B$15-AB1630,MIN(AA1630-01_因子設定!$B$14,01_因子設定!$B$15-AB1630))),-1E+030)</f>
        <v>-5.02776537313292</v>
      </c>
      <c r="AE1630" s="55" t="n">
        <f aca="false">IF(AC1630,IF(01_因子設定!$B$13="最大化",X1630,IF(01_因子設定!$B$13="最小化",-X1630,-ABS(X1630-01_因子設定!$B$16))),-1E+030)</f>
        <v>43.0299250730994</v>
      </c>
      <c r="AF1630" s="55" t="n">
        <f aca="false">AD1630+ROW()*0.000000001</f>
        <v>-5.02776374313292</v>
      </c>
      <c r="AG1630" s="55" t="n">
        <f aca="false">AE1630+ROW()*0.000000001</f>
        <v>43.0299267030994</v>
      </c>
    </row>
    <row r="1631" customFormat="false" ht="15" hidden="false" customHeight="false" outlineLevel="0" collapsed="false">
      <c r="A1631" s="0" t="n">
        <v>2</v>
      </c>
      <c r="B1631" s="0" t="n">
        <v>2</v>
      </c>
      <c r="C1631" s="0" t="n">
        <v>0</v>
      </c>
      <c r="D1631" s="0" t="n">
        <v>6</v>
      </c>
      <c r="E1631" s="0" t="n">
        <f aca="false">-1+A1631*0.25</f>
        <v>-0.5</v>
      </c>
      <c r="F1631" s="0" t="n">
        <f aca="false">-1+B1631*0.25</f>
        <v>-0.5</v>
      </c>
      <c r="G1631" s="0" t="n">
        <f aca="false">-1+C1631*0.25</f>
        <v>-1</v>
      </c>
      <c r="H1631" s="0" t="n">
        <f aca="false">-1+D1631*0.25</f>
        <v>0.5</v>
      </c>
      <c r="I1631" s="0" t="n">
        <f aca="false">1</f>
        <v>1</v>
      </c>
      <c r="J1631" s="0" t="n">
        <f aca="false">E1631</f>
        <v>-0.5</v>
      </c>
      <c r="K1631" s="0" t="n">
        <f aca="false">F1631</f>
        <v>-0.5</v>
      </c>
      <c r="L1631" s="0" t="n">
        <f aca="false">G1631</f>
        <v>-1</v>
      </c>
      <c r="M1631" s="0" t="n">
        <f aca="false">H1631</f>
        <v>0.5</v>
      </c>
      <c r="N1631" s="0" t="n">
        <f aca="false">E1631*F1631</f>
        <v>0.25</v>
      </c>
      <c r="O1631" s="0" t="n">
        <f aca="false">E1631*G1631</f>
        <v>0.5</v>
      </c>
      <c r="P1631" s="0" t="n">
        <f aca="false">E1631*H1631</f>
        <v>-0.25</v>
      </c>
      <c r="Q1631" s="0" t="n">
        <f aca="false">F1631*G1631</f>
        <v>0.5</v>
      </c>
      <c r="R1631" s="0" t="n">
        <f aca="false">F1631*H1631</f>
        <v>-0.25</v>
      </c>
      <c r="S1631" s="0" t="n">
        <f aca="false">G1631*H1631</f>
        <v>-0.5</v>
      </c>
      <c r="T1631" s="0" t="n">
        <f aca="false">E1631*E1631</f>
        <v>0.25</v>
      </c>
      <c r="U1631" s="0" t="n">
        <f aca="false">F1631*F1631</f>
        <v>0.25</v>
      </c>
      <c r="V1631" s="0" t="n">
        <f aca="false">G1631*G1631</f>
        <v>1</v>
      </c>
      <c r="W1631" s="0" t="n">
        <f aca="false">H1631*H1631</f>
        <v>0.25</v>
      </c>
      <c r="X1631" s="0" t="n">
        <f aca="false">SUMPRODUCT(I1631:W1631,_XtX!$B$96:$P$96)</f>
        <v>42.9986659356725</v>
      </c>
      <c r="Y1631" s="0" t="n">
        <f aca="false">SUMPRODUCT(MMULT(I1631:W1631,_XtX!$B$78:$P$92),I1631:W1631)</f>
        <v>0.404719480994152</v>
      </c>
      <c r="Z1631" s="0" t="n">
        <f aca="false">04_回帰ANOVA!$K$19*04_回帰ANOVA!$K$14*SQRT(1+Y1631)</f>
        <v>1.54487446697867</v>
      </c>
      <c r="AA1631" s="0" t="n">
        <f aca="false">X1631-Z1631</f>
        <v>41.4537914686938</v>
      </c>
      <c r="AB1631" s="0" t="n">
        <f aca="false">X1631+Z1631</f>
        <v>44.5435404026512</v>
      </c>
      <c r="AC1631" s="54" t="b">
        <f aca="false">AND(E1631&gt;=01_因子設定!$L$5-0.000000001,E1631&lt;=01_因子設定!$M$5+0.000000001,F1631&gt;=01_因子設定!$L$6-0.000000001,F1631&lt;=01_因子設定!$M$6+0.000000001,G1631&gt;=01_因子設定!$L$7-0.000000001,G1631&lt;=01_因子設定!$M$7+0.000000001,H1631&gt;=01_因子設定!$L$8-0.000000001,H1631&lt;=01_因子設定!$M$8+0.000000001,IF(01_因子設定!$B$20="Box-Behnken",E1631^2+F1631^2+G1631^2+H1631^2&lt;=2+0.000000001,TRUE()))</f>
        <v>1</v>
      </c>
      <c r="AD1631" s="55" t="n">
        <f aca="false">IF(AC1631,IF(01_因子設定!$B$13="最大化",AA1631-01_因子設定!$B$14,IF(01_因子設定!$B$13="最小化",01_因子設定!$B$15-AB1631,MIN(AA1631-01_因子設定!$B$14,01_因子設定!$B$15-AB1631))),-1E+030)</f>
        <v>-5.04620853130619</v>
      </c>
      <c r="AE1631" s="55" t="n">
        <f aca="false">IF(AC1631,IF(01_因子設定!$B$13="最大化",X1631,IF(01_因子設定!$B$13="最小化",-X1631,-ABS(X1631-01_因子設定!$B$16))),-1E+030)</f>
        <v>42.9986659356725</v>
      </c>
      <c r="AF1631" s="55" t="n">
        <f aca="false">AD1631+ROW()*0.000000001</f>
        <v>-5.04620690030619</v>
      </c>
      <c r="AG1631" s="55" t="n">
        <f aca="false">AE1631+ROW()*0.000000001</f>
        <v>42.9986675666725</v>
      </c>
    </row>
    <row r="1632" customFormat="false" ht="15" hidden="false" customHeight="false" outlineLevel="0" collapsed="false">
      <c r="A1632" s="0" t="n">
        <v>2</v>
      </c>
      <c r="B1632" s="0" t="n">
        <v>2</v>
      </c>
      <c r="C1632" s="0" t="n">
        <v>0</v>
      </c>
      <c r="D1632" s="0" t="n">
        <v>7</v>
      </c>
      <c r="E1632" s="0" t="n">
        <f aca="false">-1+A1632*0.25</f>
        <v>-0.5</v>
      </c>
      <c r="F1632" s="0" t="n">
        <f aca="false">-1+B1632*0.25</f>
        <v>-0.5</v>
      </c>
      <c r="G1632" s="0" t="n">
        <f aca="false">-1+C1632*0.25</f>
        <v>-1</v>
      </c>
      <c r="H1632" s="0" t="n">
        <f aca="false">-1+D1632*0.25</f>
        <v>0.75</v>
      </c>
      <c r="I1632" s="0" t="n">
        <f aca="false">1</f>
        <v>1</v>
      </c>
      <c r="J1632" s="0" t="n">
        <f aca="false">E1632</f>
        <v>-0.5</v>
      </c>
      <c r="K1632" s="0" t="n">
        <f aca="false">F1632</f>
        <v>-0.5</v>
      </c>
      <c r="L1632" s="0" t="n">
        <f aca="false">G1632</f>
        <v>-1</v>
      </c>
      <c r="M1632" s="0" t="n">
        <f aca="false">H1632</f>
        <v>0.75</v>
      </c>
      <c r="N1632" s="0" t="n">
        <f aca="false">E1632*F1632</f>
        <v>0.25</v>
      </c>
      <c r="O1632" s="0" t="n">
        <f aca="false">E1632*G1632</f>
        <v>0.5</v>
      </c>
      <c r="P1632" s="0" t="n">
        <f aca="false">E1632*H1632</f>
        <v>-0.375</v>
      </c>
      <c r="Q1632" s="0" t="n">
        <f aca="false">F1632*G1632</f>
        <v>0.5</v>
      </c>
      <c r="R1632" s="0" t="n">
        <f aca="false">F1632*H1632</f>
        <v>-0.375</v>
      </c>
      <c r="S1632" s="0" t="n">
        <f aca="false">G1632*H1632</f>
        <v>-0.75</v>
      </c>
      <c r="T1632" s="0" t="n">
        <f aca="false">E1632*E1632</f>
        <v>0.25</v>
      </c>
      <c r="U1632" s="0" t="n">
        <f aca="false">F1632*F1632</f>
        <v>0.25</v>
      </c>
      <c r="V1632" s="0" t="n">
        <f aca="false">G1632*G1632</f>
        <v>1</v>
      </c>
      <c r="W1632" s="0" t="n">
        <f aca="false">H1632*H1632</f>
        <v>0.5625</v>
      </c>
      <c r="X1632" s="0" t="n">
        <f aca="false">SUMPRODUCT(I1632:W1632,_XtX!$B$96:$P$96)</f>
        <v>42.9195997807017</v>
      </c>
      <c r="Y1632" s="0" t="n">
        <f aca="false">SUMPRODUCT(MMULT(I1632:W1632,_XtX!$B$78:$P$92),I1632:W1632)</f>
        <v>0.42602110745614</v>
      </c>
      <c r="Z1632" s="0" t="n">
        <f aca="false">04_回帰ANOVA!$K$19*04_回帰ANOVA!$K$14*SQRT(1+Y1632)</f>
        <v>1.55654388501114</v>
      </c>
      <c r="AA1632" s="0" t="n">
        <f aca="false">X1632-Z1632</f>
        <v>41.3630558956906</v>
      </c>
      <c r="AB1632" s="0" t="n">
        <f aca="false">X1632+Z1632</f>
        <v>44.4761436657129</v>
      </c>
      <c r="AC1632" s="54" t="b">
        <f aca="false">AND(E1632&gt;=01_因子設定!$L$5-0.000000001,E1632&lt;=01_因子設定!$M$5+0.000000001,F1632&gt;=01_因子設定!$L$6-0.000000001,F1632&lt;=01_因子設定!$M$6+0.000000001,G1632&gt;=01_因子設定!$L$7-0.000000001,G1632&lt;=01_因子設定!$M$7+0.000000001,H1632&gt;=01_因子設定!$L$8-0.000000001,H1632&lt;=01_因子設定!$M$8+0.000000001,IF(01_因子設定!$B$20="Box-Behnken",E1632^2+F1632^2+G1632^2+H1632^2&lt;=2+0.000000001,TRUE()))</f>
        <v>1</v>
      </c>
      <c r="AD1632" s="55" t="n">
        <f aca="false">IF(AC1632,IF(01_因子設定!$B$13="最大化",AA1632-01_因子設定!$B$14,IF(01_因子設定!$B$13="最小化",01_因子設定!$B$15-AB1632,MIN(AA1632-01_因子設定!$B$14,01_因子設定!$B$15-AB1632))),-1E+030)</f>
        <v>-5.1369441043094</v>
      </c>
      <c r="AE1632" s="55" t="n">
        <f aca="false">IF(AC1632,IF(01_因子設定!$B$13="最大化",X1632,IF(01_因子設定!$B$13="最小化",-X1632,-ABS(X1632-01_因子設定!$B$16))),-1E+030)</f>
        <v>42.9195997807017</v>
      </c>
      <c r="AF1632" s="55" t="n">
        <f aca="false">AD1632+ROW()*0.000000001</f>
        <v>-5.1369424723094</v>
      </c>
      <c r="AG1632" s="55" t="n">
        <f aca="false">AE1632+ROW()*0.000000001</f>
        <v>42.9196014127017</v>
      </c>
    </row>
    <row r="1633" customFormat="false" ht="15" hidden="false" customHeight="false" outlineLevel="0" collapsed="false">
      <c r="A1633" s="0" t="n">
        <v>2</v>
      </c>
      <c r="B1633" s="0" t="n">
        <v>2</v>
      </c>
      <c r="C1633" s="0" t="n">
        <v>0</v>
      </c>
      <c r="D1633" s="0" t="n">
        <v>8</v>
      </c>
      <c r="E1633" s="0" t="n">
        <f aca="false">-1+A1633*0.25</f>
        <v>-0.5</v>
      </c>
      <c r="F1633" s="0" t="n">
        <f aca="false">-1+B1633*0.25</f>
        <v>-0.5</v>
      </c>
      <c r="G1633" s="0" t="n">
        <f aca="false">-1+C1633*0.25</f>
        <v>-1</v>
      </c>
      <c r="H1633" s="0" t="n">
        <f aca="false">-1+D1633*0.25</f>
        <v>1</v>
      </c>
      <c r="I1633" s="0" t="n">
        <f aca="false">1</f>
        <v>1</v>
      </c>
      <c r="J1633" s="0" t="n">
        <f aca="false">E1633</f>
        <v>-0.5</v>
      </c>
      <c r="K1633" s="0" t="n">
        <f aca="false">F1633</f>
        <v>-0.5</v>
      </c>
      <c r="L1633" s="0" t="n">
        <f aca="false">G1633</f>
        <v>-1</v>
      </c>
      <c r="M1633" s="0" t="n">
        <f aca="false">H1633</f>
        <v>1</v>
      </c>
      <c r="N1633" s="0" t="n">
        <f aca="false">E1633*F1633</f>
        <v>0.25</v>
      </c>
      <c r="O1633" s="0" t="n">
        <f aca="false">E1633*G1633</f>
        <v>0.5</v>
      </c>
      <c r="P1633" s="0" t="n">
        <f aca="false">E1633*H1633</f>
        <v>-0.5</v>
      </c>
      <c r="Q1633" s="0" t="n">
        <f aca="false">F1633*G1633</f>
        <v>0.5</v>
      </c>
      <c r="R1633" s="0" t="n">
        <f aca="false">F1633*H1633</f>
        <v>-0.5</v>
      </c>
      <c r="S1633" s="0" t="n">
        <f aca="false">G1633*H1633</f>
        <v>-1</v>
      </c>
      <c r="T1633" s="0" t="n">
        <f aca="false">E1633*E1633</f>
        <v>0.25</v>
      </c>
      <c r="U1633" s="0" t="n">
        <f aca="false">F1633*F1633</f>
        <v>0.25</v>
      </c>
      <c r="V1633" s="0" t="n">
        <f aca="false">G1633*G1633</f>
        <v>1</v>
      </c>
      <c r="W1633" s="0" t="n">
        <f aca="false">H1633*H1633</f>
        <v>1</v>
      </c>
      <c r="X1633" s="0" t="n">
        <f aca="false">SUMPRODUCT(I1633:W1633,_XtX!$B$96:$P$96)</f>
        <v>42.7927266081871</v>
      </c>
      <c r="Y1633" s="0" t="n">
        <f aca="false">SUMPRODUCT(MMULT(I1633:W1633,_XtX!$B$78:$P$92),I1633:W1633)</f>
        <v>0.582488121345029</v>
      </c>
      <c r="Z1633" s="0" t="n">
        <f aca="false">04_回帰ANOVA!$K$19*04_回帰ANOVA!$K$14*SQRT(1+Y1633)</f>
        <v>1.63971595338287</v>
      </c>
      <c r="AA1633" s="0" t="n">
        <f aca="false">X1633-Z1633</f>
        <v>41.1530106548043</v>
      </c>
      <c r="AB1633" s="0" t="n">
        <f aca="false">X1633+Z1633</f>
        <v>44.43244256157</v>
      </c>
      <c r="AC1633" s="54" t="b">
        <f aca="false">AND(E1633&gt;=01_因子設定!$L$5-0.000000001,E1633&lt;=01_因子設定!$M$5+0.000000001,F1633&gt;=01_因子設定!$L$6-0.000000001,F1633&lt;=01_因子設定!$M$6+0.000000001,G1633&gt;=01_因子設定!$L$7-0.000000001,G1633&lt;=01_因子設定!$M$7+0.000000001,H1633&gt;=01_因子設定!$L$8-0.000000001,H1633&lt;=01_因子設定!$M$8+0.000000001,IF(01_因子設定!$B$20="Box-Behnken",E1633^2+F1633^2+G1633^2+H1633^2&lt;=2+0.000000001,TRUE()))</f>
        <v>1</v>
      </c>
      <c r="AD1633" s="55" t="n">
        <f aca="false">IF(AC1633,IF(01_因子設定!$B$13="最大化",AA1633-01_因子設定!$B$14,IF(01_因子設定!$B$13="最小化",01_因子設定!$B$15-AB1633,MIN(AA1633-01_因子設定!$B$14,01_因子設定!$B$15-AB1633))),-1E+030)</f>
        <v>-5.34698934519574</v>
      </c>
      <c r="AE1633" s="55" t="n">
        <f aca="false">IF(AC1633,IF(01_因子設定!$B$13="最大化",X1633,IF(01_因子設定!$B$13="最小化",-X1633,-ABS(X1633-01_因子設定!$B$16))),-1E+030)</f>
        <v>42.7927266081871</v>
      </c>
      <c r="AF1633" s="55" t="n">
        <f aca="false">AD1633+ROW()*0.000000001</f>
        <v>-5.34698771219574</v>
      </c>
      <c r="AG1633" s="55" t="n">
        <f aca="false">AE1633+ROW()*0.000000001</f>
        <v>42.7927282411871</v>
      </c>
    </row>
    <row r="1634" customFormat="false" ht="15" hidden="false" customHeight="false" outlineLevel="0" collapsed="false">
      <c r="A1634" s="0" t="n">
        <v>2</v>
      </c>
      <c r="B1634" s="0" t="n">
        <v>2</v>
      </c>
      <c r="C1634" s="0" t="n">
        <v>1</v>
      </c>
      <c r="D1634" s="0" t="n">
        <v>0</v>
      </c>
      <c r="E1634" s="0" t="n">
        <f aca="false">-1+A1634*0.25</f>
        <v>-0.5</v>
      </c>
      <c r="F1634" s="0" t="n">
        <f aca="false">-1+B1634*0.25</f>
        <v>-0.5</v>
      </c>
      <c r="G1634" s="0" t="n">
        <f aca="false">-1+C1634*0.25</f>
        <v>-0.75</v>
      </c>
      <c r="H1634" s="0" t="n">
        <f aca="false">-1+D1634*0.25</f>
        <v>-1</v>
      </c>
      <c r="I1634" s="0" t="n">
        <f aca="false">1</f>
        <v>1</v>
      </c>
      <c r="J1634" s="0" t="n">
        <f aca="false">E1634</f>
        <v>-0.5</v>
      </c>
      <c r="K1634" s="0" t="n">
        <f aca="false">F1634</f>
        <v>-0.5</v>
      </c>
      <c r="L1634" s="0" t="n">
        <f aca="false">G1634</f>
        <v>-0.75</v>
      </c>
      <c r="M1634" s="0" t="n">
        <f aca="false">H1634</f>
        <v>-1</v>
      </c>
      <c r="N1634" s="0" t="n">
        <f aca="false">E1634*F1634</f>
        <v>0.25</v>
      </c>
      <c r="O1634" s="0" t="n">
        <f aca="false">E1634*G1634</f>
        <v>0.375</v>
      </c>
      <c r="P1634" s="0" t="n">
        <f aca="false">E1634*H1634</f>
        <v>0.5</v>
      </c>
      <c r="Q1634" s="0" t="n">
        <f aca="false">F1634*G1634</f>
        <v>0.375</v>
      </c>
      <c r="R1634" s="0" t="n">
        <f aca="false">F1634*H1634</f>
        <v>0.5</v>
      </c>
      <c r="S1634" s="0" t="n">
        <f aca="false">G1634*H1634</f>
        <v>0.75</v>
      </c>
      <c r="T1634" s="0" t="n">
        <f aca="false">E1634*E1634</f>
        <v>0.25</v>
      </c>
      <c r="U1634" s="0" t="n">
        <f aca="false">F1634*F1634</f>
        <v>0.25</v>
      </c>
      <c r="V1634" s="0" t="n">
        <f aca="false">G1634*G1634</f>
        <v>0.5625</v>
      </c>
      <c r="W1634" s="0" t="n">
        <f aca="false">H1634*H1634</f>
        <v>1</v>
      </c>
      <c r="X1634" s="0" t="n">
        <f aca="false">SUMPRODUCT(I1634:W1634,_XtX!$B$96:$P$96)</f>
        <v>42.9838358918129</v>
      </c>
      <c r="Y1634" s="0" t="n">
        <f aca="false">SUMPRODUCT(MMULT(I1634:W1634,_XtX!$B$78:$P$92),I1634:W1634)</f>
        <v>0.42602110745614</v>
      </c>
      <c r="Z1634" s="0" t="n">
        <f aca="false">04_回帰ANOVA!$K$19*04_回帰ANOVA!$K$14*SQRT(1+Y1634)</f>
        <v>1.55654388501114</v>
      </c>
      <c r="AA1634" s="0" t="n">
        <f aca="false">X1634-Z1634</f>
        <v>41.4272920068017</v>
      </c>
      <c r="AB1634" s="0" t="n">
        <f aca="false">X1634+Z1634</f>
        <v>44.540379776824</v>
      </c>
      <c r="AC1634" s="54" t="b">
        <f aca="false">AND(E1634&gt;=01_因子設定!$L$5-0.000000001,E1634&lt;=01_因子設定!$M$5+0.000000001,F1634&gt;=01_因子設定!$L$6-0.000000001,F1634&lt;=01_因子設定!$M$6+0.000000001,G1634&gt;=01_因子設定!$L$7-0.000000001,G1634&lt;=01_因子設定!$M$7+0.000000001,H1634&gt;=01_因子設定!$L$8-0.000000001,H1634&lt;=01_因子設定!$M$8+0.000000001,IF(01_因子設定!$B$20="Box-Behnken",E1634^2+F1634^2+G1634^2+H1634^2&lt;=2+0.000000001,TRUE()))</f>
        <v>1</v>
      </c>
      <c r="AD1634" s="55" t="n">
        <f aca="false">IF(AC1634,IF(01_因子設定!$B$13="最大化",AA1634-01_因子設定!$B$14,IF(01_因子設定!$B$13="最小化",01_因子設定!$B$15-AB1634,MIN(AA1634-01_因子設定!$B$14,01_因子設定!$B$15-AB1634))),-1E+030)</f>
        <v>-5.07270799319828</v>
      </c>
      <c r="AE1634" s="55" t="n">
        <f aca="false">IF(AC1634,IF(01_因子設定!$B$13="最大化",X1634,IF(01_因子設定!$B$13="最小化",-X1634,-ABS(X1634-01_因子設定!$B$16))),-1E+030)</f>
        <v>42.9838358918129</v>
      </c>
      <c r="AF1634" s="55" t="n">
        <f aca="false">AD1634+ROW()*0.000000001</f>
        <v>-5.07270635919828</v>
      </c>
      <c r="AG1634" s="55" t="n">
        <f aca="false">AE1634+ROW()*0.000000001</f>
        <v>42.9838375258129</v>
      </c>
    </row>
    <row r="1635" customFormat="false" ht="15" hidden="false" customHeight="false" outlineLevel="0" collapsed="false">
      <c r="A1635" s="0" t="n">
        <v>2</v>
      </c>
      <c r="B1635" s="0" t="n">
        <v>2</v>
      </c>
      <c r="C1635" s="0" t="n">
        <v>1</v>
      </c>
      <c r="D1635" s="0" t="n">
        <v>1</v>
      </c>
      <c r="E1635" s="0" t="n">
        <f aca="false">-1+A1635*0.25</f>
        <v>-0.5</v>
      </c>
      <c r="F1635" s="0" t="n">
        <f aca="false">-1+B1635*0.25</f>
        <v>-0.5</v>
      </c>
      <c r="G1635" s="0" t="n">
        <f aca="false">-1+C1635*0.25</f>
        <v>-0.75</v>
      </c>
      <c r="H1635" s="0" t="n">
        <f aca="false">-1+D1635*0.25</f>
        <v>-0.75</v>
      </c>
      <c r="I1635" s="0" t="n">
        <f aca="false">1</f>
        <v>1</v>
      </c>
      <c r="J1635" s="0" t="n">
        <f aca="false">E1635</f>
        <v>-0.5</v>
      </c>
      <c r="K1635" s="0" t="n">
        <f aca="false">F1635</f>
        <v>-0.5</v>
      </c>
      <c r="L1635" s="0" t="n">
        <f aca="false">G1635</f>
        <v>-0.75</v>
      </c>
      <c r="M1635" s="0" t="n">
        <f aca="false">H1635</f>
        <v>-0.75</v>
      </c>
      <c r="N1635" s="0" t="n">
        <f aca="false">E1635*F1635</f>
        <v>0.25</v>
      </c>
      <c r="O1635" s="0" t="n">
        <f aca="false">E1635*G1635</f>
        <v>0.375</v>
      </c>
      <c r="P1635" s="0" t="n">
        <f aca="false">E1635*H1635</f>
        <v>0.375</v>
      </c>
      <c r="Q1635" s="0" t="n">
        <f aca="false">F1635*G1635</f>
        <v>0.375</v>
      </c>
      <c r="R1635" s="0" t="n">
        <f aca="false">F1635*H1635</f>
        <v>0.375</v>
      </c>
      <c r="S1635" s="0" t="n">
        <f aca="false">G1635*H1635</f>
        <v>0.5625</v>
      </c>
      <c r="T1635" s="0" t="n">
        <f aca="false">E1635*E1635</f>
        <v>0.25</v>
      </c>
      <c r="U1635" s="0" t="n">
        <f aca="false">F1635*F1635</f>
        <v>0.25</v>
      </c>
      <c r="V1635" s="0" t="n">
        <f aca="false">G1635*G1635</f>
        <v>0.5625</v>
      </c>
      <c r="W1635" s="0" t="n">
        <f aca="false">H1635*H1635</f>
        <v>0.5625</v>
      </c>
      <c r="X1635" s="0" t="n">
        <f aca="false">SUMPRODUCT(I1635:W1635,_XtX!$B$96:$P$96)</f>
        <v>43.2095805921052</v>
      </c>
      <c r="Y1635" s="0" t="n">
        <f aca="false">SUMPRODUCT(MMULT(I1635:W1635,_XtX!$B$78:$P$92),I1635:W1635)</f>
        <v>0.237862927174708</v>
      </c>
      <c r="Z1635" s="0" t="n">
        <f aca="false">04_回帰ANOVA!$K$19*04_回帰ANOVA!$K$14*SQRT(1+Y1635)</f>
        <v>1.45022260708756</v>
      </c>
      <c r="AA1635" s="0" t="n">
        <f aca="false">X1635-Z1635</f>
        <v>41.7593579850177</v>
      </c>
      <c r="AB1635" s="0" t="n">
        <f aca="false">X1635+Z1635</f>
        <v>44.6598031991928</v>
      </c>
      <c r="AC1635" s="54" t="b">
        <f aca="false">AND(E1635&gt;=01_因子設定!$L$5-0.000000001,E1635&lt;=01_因子設定!$M$5+0.000000001,F1635&gt;=01_因子設定!$L$6-0.000000001,F1635&lt;=01_因子設定!$M$6+0.000000001,G1635&gt;=01_因子設定!$L$7-0.000000001,G1635&lt;=01_因子設定!$M$7+0.000000001,H1635&gt;=01_因子設定!$L$8-0.000000001,H1635&lt;=01_因子設定!$M$8+0.000000001,IF(01_因子設定!$B$20="Box-Behnken",E1635^2+F1635^2+G1635^2+H1635^2&lt;=2+0.000000001,TRUE()))</f>
        <v>1</v>
      </c>
      <c r="AD1635" s="55" t="n">
        <f aca="false">IF(AC1635,IF(01_因子設定!$B$13="最大化",AA1635-01_因子設定!$B$14,IF(01_因子設定!$B$13="最小化",01_因子設定!$B$15-AB1635,MIN(AA1635-01_因子設定!$B$14,01_因子設定!$B$15-AB1635))),-1E+030)</f>
        <v>-4.74064201498232</v>
      </c>
      <c r="AE1635" s="55" t="n">
        <f aca="false">IF(AC1635,IF(01_因子設定!$B$13="最大化",X1635,IF(01_因子設定!$B$13="最小化",-X1635,-ABS(X1635-01_因子設定!$B$16))),-1E+030)</f>
        <v>43.2095805921052</v>
      </c>
      <c r="AF1635" s="55" t="n">
        <f aca="false">AD1635+ROW()*0.000000001</f>
        <v>-4.74064037998232</v>
      </c>
      <c r="AG1635" s="55" t="n">
        <f aca="false">AE1635+ROW()*0.000000001</f>
        <v>43.2095822271052</v>
      </c>
    </row>
    <row r="1636" customFormat="false" ht="15" hidden="false" customHeight="false" outlineLevel="0" collapsed="false">
      <c r="A1636" s="0" t="n">
        <v>2</v>
      </c>
      <c r="B1636" s="0" t="n">
        <v>2</v>
      </c>
      <c r="C1636" s="0" t="n">
        <v>1</v>
      </c>
      <c r="D1636" s="0" t="n">
        <v>2</v>
      </c>
      <c r="E1636" s="0" t="n">
        <f aca="false">-1+A1636*0.25</f>
        <v>-0.5</v>
      </c>
      <c r="F1636" s="0" t="n">
        <f aca="false">-1+B1636*0.25</f>
        <v>-0.5</v>
      </c>
      <c r="G1636" s="0" t="n">
        <f aca="false">-1+C1636*0.25</f>
        <v>-0.75</v>
      </c>
      <c r="H1636" s="0" t="n">
        <f aca="false">-1+D1636*0.25</f>
        <v>-0.5</v>
      </c>
      <c r="I1636" s="0" t="n">
        <f aca="false">1</f>
        <v>1</v>
      </c>
      <c r="J1636" s="0" t="n">
        <f aca="false">E1636</f>
        <v>-0.5</v>
      </c>
      <c r="K1636" s="0" t="n">
        <f aca="false">F1636</f>
        <v>-0.5</v>
      </c>
      <c r="L1636" s="0" t="n">
        <f aca="false">G1636</f>
        <v>-0.75</v>
      </c>
      <c r="M1636" s="0" t="n">
        <f aca="false">H1636</f>
        <v>-0.5</v>
      </c>
      <c r="N1636" s="0" t="n">
        <f aca="false">E1636*F1636</f>
        <v>0.25</v>
      </c>
      <c r="O1636" s="0" t="n">
        <f aca="false">E1636*G1636</f>
        <v>0.375</v>
      </c>
      <c r="P1636" s="0" t="n">
        <f aca="false">E1636*H1636</f>
        <v>0.25</v>
      </c>
      <c r="Q1636" s="0" t="n">
        <f aca="false">F1636*G1636</f>
        <v>0.375</v>
      </c>
      <c r="R1636" s="0" t="n">
        <f aca="false">F1636*H1636</f>
        <v>0.25</v>
      </c>
      <c r="S1636" s="0" t="n">
        <f aca="false">G1636*H1636</f>
        <v>0.375</v>
      </c>
      <c r="T1636" s="0" t="n">
        <f aca="false">E1636*E1636</f>
        <v>0.25</v>
      </c>
      <c r="U1636" s="0" t="n">
        <f aca="false">F1636*F1636</f>
        <v>0.25</v>
      </c>
      <c r="V1636" s="0" t="n">
        <f aca="false">G1636*G1636</f>
        <v>0.5625</v>
      </c>
      <c r="W1636" s="0" t="n">
        <f aca="false">H1636*H1636</f>
        <v>0.25</v>
      </c>
      <c r="X1636" s="0" t="n">
        <f aca="false">SUMPRODUCT(I1636:W1636,_XtX!$B$96:$P$96)</f>
        <v>43.3875182748538</v>
      </c>
      <c r="Y1636" s="0" t="n">
        <f aca="false">SUMPRODUCT(MMULT(I1636:W1636,_XtX!$B$78:$P$92),I1636:W1636)</f>
        <v>0.193924753289474</v>
      </c>
      <c r="Z1636" s="0" t="n">
        <f aca="false">04_回帰ANOVA!$K$19*04_回帰ANOVA!$K$14*SQRT(1+Y1636)</f>
        <v>1.4242521079916</v>
      </c>
      <c r="AA1636" s="0" t="n">
        <f aca="false">X1636-Z1636</f>
        <v>41.9632661668622</v>
      </c>
      <c r="AB1636" s="0" t="n">
        <f aca="false">X1636+Z1636</f>
        <v>44.8117703828454</v>
      </c>
      <c r="AC1636" s="54" t="b">
        <f aca="false">AND(E1636&gt;=01_因子設定!$L$5-0.000000001,E1636&lt;=01_因子設定!$M$5+0.000000001,F1636&gt;=01_因子設定!$L$6-0.000000001,F1636&lt;=01_因子設定!$M$6+0.000000001,G1636&gt;=01_因子設定!$L$7-0.000000001,G1636&lt;=01_因子設定!$M$7+0.000000001,H1636&gt;=01_因子設定!$L$8-0.000000001,H1636&lt;=01_因子設定!$M$8+0.000000001,IF(01_因子設定!$B$20="Box-Behnken",E1636^2+F1636^2+G1636^2+H1636^2&lt;=2+0.000000001,TRUE()))</f>
        <v>1</v>
      </c>
      <c r="AD1636" s="55" t="n">
        <f aca="false">IF(AC1636,IF(01_因子設定!$B$13="最大化",AA1636-01_因子設定!$B$14,IF(01_因子設定!$B$13="最小化",01_因子設定!$B$15-AB1636,MIN(AA1636-01_因子設定!$B$14,01_因子設定!$B$15-AB1636))),-1E+030)</f>
        <v>-4.53673383313783</v>
      </c>
      <c r="AE1636" s="55" t="n">
        <f aca="false">IF(AC1636,IF(01_因子設定!$B$13="最大化",X1636,IF(01_因子設定!$B$13="最小化",-X1636,-ABS(X1636-01_因子設定!$B$16))),-1E+030)</f>
        <v>43.3875182748538</v>
      </c>
      <c r="AF1636" s="55" t="n">
        <f aca="false">AD1636+ROW()*0.000000001</f>
        <v>-4.53673219713783</v>
      </c>
      <c r="AG1636" s="55" t="n">
        <f aca="false">AE1636+ROW()*0.000000001</f>
        <v>43.3875199108538</v>
      </c>
    </row>
    <row r="1637" customFormat="false" ht="15" hidden="false" customHeight="false" outlineLevel="0" collapsed="false">
      <c r="A1637" s="0" t="n">
        <v>2</v>
      </c>
      <c r="B1637" s="0" t="n">
        <v>2</v>
      </c>
      <c r="C1637" s="0" t="n">
        <v>1</v>
      </c>
      <c r="D1637" s="0" t="n">
        <v>3</v>
      </c>
      <c r="E1637" s="0" t="n">
        <f aca="false">-1+A1637*0.25</f>
        <v>-0.5</v>
      </c>
      <c r="F1637" s="0" t="n">
        <f aca="false">-1+B1637*0.25</f>
        <v>-0.5</v>
      </c>
      <c r="G1637" s="0" t="n">
        <f aca="false">-1+C1637*0.25</f>
        <v>-0.75</v>
      </c>
      <c r="H1637" s="0" t="n">
        <f aca="false">-1+D1637*0.25</f>
        <v>-0.25</v>
      </c>
      <c r="I1637" s="0" t="n">
        <f aca="false">1</f>
        <v>1</v>
      </c>
      <c r="J1637" s="0" t="n">
        <f aca="false">E1637</f>
        <v>-0.5</v>
      </c>
      <c r="K1637" s="0" t="n">
        <f aca="false">F1637</f>
        <v>-0.5</v>
      </c>
      <c r="L1637" s="0" t="n">
        <f aca="false">G1637</f>
        <v>-0.75</v>
      </c>
      <c r="M1637" s="0" t="n">
        <f aca="false">H1637</f>
        <v>-0.25</v>
      </c>
      <c r="N1637" s="0" t="n">
        <f aca="false">E1637*F1637</f>
        <v>0.25</v>
      </c>
      <c r="O1637" s="0" t="n">
        <f aca="false">E1637*G1637</f>
        <v>0.375</v>
      </c>
      <c r="P1637" s="0" t="n">
        <f aca="false">E1637*H1637</f>
        <v>0.125</v>
      </c>
      <c r="Q1637" s="0" t="n">
        <f aca="false">F1637*G1637</f>
        <v>0.375</v>
      </c>
      <c r="R1637" s="0" t="n">
        <f aca="false">F1637*H1637</f>
        <v>0.125</v>
      </c>
      <c r="S1637" s="0" t="n">
        <f aca="false">G1637*H1637</f>
        <v>0.1875</v>
      </c>
      <c r="T1637" s="0" t="n">
        <f aca="false">E1637*E1637</f>
        <v>0.25</v>
      </c>
      <c r="U1637" s="0" t="n">
        <f aca="false">F1637*F1637</f>
        <v>0.25</v>
      </c>
      <c r="V1637" s="0" t="n">
        <f aca="false">G1637*G1637</f>
        <v>0.5625</v>
      </c>
      <c r="W1637" s="0" t="n">
        <f aca="false">H1637*H1637</f>
        <v>0.0625</v>
      </c>
      <c r="X1637" s="0" t="n">
        <f aca="false">SUMPRODUCT(I1637:W1637,_XtX!$B$96:$P$96)</f>
        <v>43.5176489400584</v>
      </c>
      <c r="Y1637" s="0" t="n">
        <f aca="false">SUMPRODUCT(MMULT(I1637:W1637,_XtX!$B$78:$P$92),I1637:W1637)</f>
        <v>0.203746059484649</v>
      </c>
      <c r="Z1637" s="0" t="n">
        <f aca="false">04_回帰ANOVA!$K$19*04_回帰ANOVA!$K$14*SQRT(1+Y1637)</f>
        <v>1.43009810755465</v>
      </c>
      <c r="AA1637" s="0" t="n">
        <f aca="false">X1637-Z1637</f>
        <v>42.0875508325038</v>
      </c>
      <c r="AB1637" s="0" t="n">
        <f aca="false">X1637+Z1637</f>
        <v>44.9477470476131</v>
      </c>
      <c r="AC1637" s="54" t="b">
        <f aca="false">AND(E1637&gt;=01_因子設定!$L$5-0.000000001,E1637&lt;=01_因子設定!$M$5+0.000000001,F1637&gt;=01_因子設定!$L$6-0.000000001,F1637&lt;=01_因子設定!$M$6+0.000000001,G1637&gt;=01_因子設定!$L$7-0.000000001,G1637&lt;=01_因子設定!$M$7+0.000000001,H1637&gt;=01_因子設定!$L$8-0.000000001,H1637&lt;=01_因子設定!$M$8+0.000000001,IF(01_因子設定!$B$20="Box-Behnken",E1637^2+F1637^2+G1637^2+H1637^2&lt;=2+0.000000001,TRUE()))</f>
        <v>1</v>
      </c>
      <c r="AD1637" s="55" t="n">
        <f aca="false">IF(AC1637,IF(01_因子設定!$B$13="最大化",AA1637-01_因子設定!$B$14,IF(01_因子設定!$B$13="最小化",01_因子設定!$B$15-AB1637,MIN(AA1637-01_因子設定!$B$14,01_因子設定!$B$15-AB1637))),-1E+030)</f>
        <v>-4.41244916749621</v>
      </c>
      <c r="AE1637" s="55" t="n">
        <f aca="false">IF(AC1637,IF(01_因子設定!$B$13="最大化",X1637,IF(01_因子設定!$B$13="最小化",-X1637,-ABS(X1637-01_因子設定!$B$16))),-1E+030)</f>
        <v>43.5176489400584</v>
      </c>
      <c r="AF1637" s="55" t="n">
        <f aca="false">AD1637+ROW()*0.000000001</f>
        <v>-4.41244753049621</v>
      </c>
      <c r="AG1637" s="55" t="n">
        <f aca="false">AE1637+ROW()*0.000000001</f>
        <v>43.5176505770584</v>
      </c>
    </row>
    <row r="1638" customFormat="false" ht="15" hidden="false" customHeight="false" outlineLevel="0" collapsed="false">
      <c r="A1638" s="0" t="n">
        <v>2</v>
      </c>
      <c r="B1638" s="0" t="n">
        <v>2</v>
      </c>
      <c r="C1638" s="0" t="n">
        <v>1</v>
      </c>
      <c r="D1638" s="0" t="n">
        <v>4</v>
      </c>
      <c r="E1638" s="0" t="n">
        <f aca="false">-1+A1638*0.25</f>
        <v>-0.5</v>
      </c>
      <c r="F1638" s="0" t="n">
        <f aca="false">-1+B1638*0.25</f>
        <v>-0.5</v>
      </c>
      <c r="G1638" s="0" t="n">
        <f aca="false">-1+C1638*0.25</f>
        <v>-0.75</v>
      </c>
      <c r="H1638" s="0" t="n">
        <f aca="false">-1+D1638*0.25</f>
        <v>0</v>
      </c>
      <c r="I1638" s="0" t="n">
        <f aca="false">1</f>
        <v>1</v>
      </c>
      <c r="J1638" s="0" t="n">
        <f aca="false">E1638</f>
        <v>-0.5</v>
      </c>
      <c r="K1638" s="0" t="n">
        <f aca="false">F1638</f>
        <v>-0.5</v>
      </c>
      <c r="L1638" s="0" t="n">
        <f aca="false">G1638</f>
        <v>-0.75</v>
      </c>
      <c r="M1638" s="0" t="n">
        <f aca="false">H1638</f>
        <v>0</v>
      </c>
      <c r="N1638" s="0" t="n">
        <f aca="false">E1638*F1638</f>
        <v>0.25</v>
      </c>
      <c r="O1638" s="0" t="n">
        <f aca="false">E1638*G1638</f>
        <v>0.375</v>
      </c>
      <c r="P1638" s="0" t="n">
        <f aca="false">E1638*H1638</f>
        <v>-0</v>
      </c>
      <c r="Q1638" s="0" t="n">
        <f aca="false">F1638*G1638</f>
        <v>0.375</v>
      </c>
      <c r="R1638" s="0" t="n">
        <f aca="false">F1638*H1638</f>
        <v>-0</v>
      </c>
      <c r="S1638" s="0" t="n">
        <f aca="false">G1638*H1638</f>
        <v>-0</v>
      </c>
      <c r="T1638" s="0" t="n">
        <f aca="false">E1638*E1638</f>
        <v>0.25</v>
      </c>
      <c r="U1638" s="0" t="n">
        <f aca="false">F1638*F1638</f>
        <v>0.25</v>
      </c>
      <c r="V1638" s="0" t="n">
        <f aca="false">G1638*G1638</f>
        <v>0.5625</v>
      </c>
      <c r="W1638" s="0" t="n">
        <f aca="false">H1638*H1638</f>
        <v>0</v>
      </c>
      <c r="X1638" s="0" t="n">
        <f aca="false">SUMPRODUCT(I1638:W1638,_XtX!$B$96:$P$96)</f>
        <v>43.5999725877193</v>
      </c>
      <c r="Y1638" s="0" t="n">
        <f aca="false">SUMPRODUCT(MMULT(I1638:W1638,_XtX!$B$78:$P$92),I1638:W1638)</f>
        <v>0.21305052997076</v>
      </c>
      <c r="Z1638" s="0" t="n">
        <f aca="false">04_回帰ANOVA!$K$19*04_回帰ANOVA!$K$14*SQRT(1+Y1638)</f>
        <v>1.43561450835061</v>
      </c>
      <c r="AA1638" s="0" t="n">
        <f aca="false">X1638-Z1638</f>
        <v>42.1643580793687</v>
      </c>
      <c r="AB1638" s="0" t="n">
        <f aca="false">X1638+Z1638</f>
        <v>45.0355870960699</v>
      </c>
      <c r="AC1638" s="54" t="b">
        <f aca="false">AND(E1638&gt;=01_因子設定!$L$5-0.000000001,E1638&lt;=01_因子設定!$M$5+0.000000001,F1638&gt;=01_因子設定!$L$6-0.000000001,F1638&lt;=01_因子設定!$M$6+0.000000001,G1638&gt;=01_因子設定!$L$7-0.000000001,G1638&lt;=01_因子設定!$M$7+0.000000001,H1638&gt;=01_因子設定!$L$8-0.000000001,H1638&lt;=01_因子設定!$M$8+0.000000001,IF(01_因子設定!$B$20="Box-Behnken",E1638^2+F1638^2+G1638^2+H1638^2&lt;=2+0.000000001,TRUE()))</f>
        <v>1</v>
      </c>
      <c r="AD1638" s="55" t="n">
        <f aca="false">IF(AC1638,IF(01_因子設定!$B$13="最大化",AA1638-01_因子設定!$B$14,IF(01_因子設定!$B$13="最小化",01_因子設定!$B$15-AB1638,MIN(AA1638-01_因子設定!$B$14,01_因子設定!$B$15-AB1638))),-1E+030)</f>
        <v>-4.33564192063135</v>
      </c>
      <c r="AE1638" s="55" t="n">
        <f aca="false">IF(AC1638,IF(01_因子設定!$B$13="最大化",X1638,IF(01_因子設定!$B$13="最小化",-X1638,-ABS(X1638-01_因子設定!$B$16))),-1E+030)</f>
        <v>43.5999725877193</v>
      </c>
      <c r="AF1638" s="55" t="n">
        <f aca="false">AD1638+ROW()*0.000000001</f>
        <v>-4.33564028263135</v>
      </c>
      <c r="AG1638" s="55" t="n">
        <f aca="false">AE1638+ROW()*0.000000001</f>
        <v>43.5999742257193</v>
      </c>
    </row>
    <row r="1639" customFormat="false" ht="15" hidden="false" customHeight="false" outlineLevel="0" collapsed="false">
      <c r="A1639" s="0" t="n">
        <v>2</v>
      </c>
      <c r="B1639" s="0" t="n">
        <v>2</v>
      </c>
      <c r="C1639" s="0" t="n">
        <v>1</v>
      </c>
      <c r="D1639" s="0" t="n">
        <v>5</v>
      </c>
      <c r="E1639" s="0" t="n">
        <f aca="false">-1+A1639*0.25</f>
        <v>-0.5</v>
      </c>
      <c r="F1639" s="0" t="n">
        <f aca="false">-1+B1639*0.25</f>
        <v>-0.5</v>
      </c>
      <c r="G1639" s="0" t="n">
        <f aca="false">-1+C1639*0.25</f>
        <v>-0.75</v>
      </c>
      <c r="H1639" s="0" t="n">
        <f aca="false">-1+D1639*0.25</f>
        <v>0.25</v>
      </c>
      <c r="I1639" s="0" t="n">
        <f aca="false">1</f>
        <v>1</v>
      </c>
      <c r="J1639" s="0" t="n">
        <f aca="false">E1639</f>
        <v>-0.5</v>
      </c>
      <c r="K1639" s="0" t="n">
        <f aca="false">F1639</f>
        <v>-0.5</v>
      </c>
      <c r="L1639" s="0" t="n">
        <f aca="false">G1639</f>
        <v>-0.75</v>
      </c>
      <c r="M1639" s="0" t="n">
        <f aca="false">H1639</f>
        <v>0.25</v>
      </c>
      <c r="N1639" s="0" t="n">
        <f aca="false">E1639*F1639</f>
        <v>0.25</v>
      </c>
      <c r="O1639" s="0" t="n">
        <f aca="false">E1639*G1639</f>
        <v>0.375</v>
      </c>
      <c r="P1639" s="0" t="n">
        <f aca="false">E1639*H1639</f>
        <v>-0.125</v>
      </c>
      <c r="Q1639" s="0" t="n">
        <f aca="false">F1639*G1639</f>
        <v>0.375</v>
      </c>
      <c r="R1639" s="0" t="n">
        <f aca="false">F1639*H1639</f>
        <v>-0.125</v>
      </c>
      <c r="S1639" s="0" t="n">
        <f aca="false">G1639*H1639</f>
        <v>-0.1875</v>
      </c>
      <c r="T1639" s="0" t="n">
        <f aca="false">E1639*E1639</f>
        <v>0.25</v>
      </c>
      <c r="U1639" s="0" t="n">
        <f aca="false">F1639*F1639</f>
        <v>0.25</v>
      </c>
      <c r="V1639" s="0" t="n">
        <f aca="false">G1639*G1639</f>
        <v>0.5625</v>
      </c>
      <c r="W1639" s="0" t="n">
        <f aca="false">H1639*H1639</f>
        <v>0.0625</v>
      </c>
      <c r="X1639" s="0" t="n">
        <f aca="false">SUMPRODUCT(I1639:W1639,_XtX!$B$96:$P$96)</f>
        <v>43.6344892178362</v>
      </c>
      <c r="Y1639" s="0" t="n">
        <f aca="false">SUMPRODUCT(MMULT(I1639:W1639,_XtX!$B$78:$P$92),I1639:W1639)</f>
        <v>0.203746059484649</v>
      </c>
      <c r="Z1639" s="0" t="n">
        <f aca="false">04_回帰ANOVA!$K$19*04_回帰ANOVA!$K$14*SQRT(1+Y1639)</f>
        <v>1.43009810755465</v>
      </c>
      <c r="AA1639" s="0" t="n">
        <f aca="false">X1639-Z1639</f>
        <v>42.2043911102816</v>
      </c>
      <c r="AB1639" s="0" t="n">
        <f aca="false">X1639+Z1639</f>
        <v>45.0645873253909</v>
      </c>
      <c r="AC1639" s="54" t="b">
        <f aca="false">AND(E1639&gt;=01_因子設定!$L$5-0.000000001,E1639&lt;=01_因子設定!$M$5+0.000000001,F1639&gt;=01_因子設定!$L$6-0.000000001,F1639&lt;=01_因子設定!$M$6+0.000000001,G1639&gt;=01_因子設定!$L$7-0.000000001,G1639&lt;=01_因子設定!$M$7+0.000000001,H1639&gt;=01_因子設定!$L$8-0.000000001,H1639&lt;=01_因子設定!$M$8+0.000000001,IF(01_因子設定!$B$20="Box-Behnken",E1639^2+F1639^2+G1639^2+H1639^2&lt;=2+0.000000001,TRUE()))</f>
        <v>1</v>
      </c>
      <c r="AD1639" s="55" t="n">
        <f aca="false">IF(AC1639,IF(01_因子設定!$B$13="最大化",AA1639-01_因子設定!$B$14,IF(01_因子設定!$B$13="最小化",01_因子設定!$B$15-AB1639,MIN(AA1639-01_因子設定!$B$14,01_因子設定!$B$15-AB1639))),-1E+030)</f>
        <v>-4.29560888971843</v>
      </c>
      <c r="AE1639" s="55" t="n">
        <f aca="false">IF(AC1639,IF(01_因子設定!$B$13="最大化",X1639,IF(01_因子設定!$B$13="最小化",-X1639,-ABS(X1639-01_因子設定!$B$16))),-1E+030)</f>
        <v>43.6344892178362</v>
      </c>
      <c r="AF1639" s="55" t="n">
        <f aca="false">AD1639+ROW()*0.000000001</f>
        <v>-4.29560725071843</v>
      </c>
      <c r="AG1639" s="55" t="n">
        <f aca="false">AE1639+ROW()*0.000000001</f>
        <v>43.6344908568362</v>
      </c>
    </row>
    <row r="1640" customFormat="false" ht="15" hidden="false" customHeight="false" outlineLevel="0" collapsed="false">
      <c r="A1640" s="0" t="n">
        <v>2</v>
      </c>
      <c r="B1640" s="0" t="n">
        <v>2</v>
      </c>
      <c r="C1640" s="0" t="n">
        <v>1</v>
      </c>
      <c r="D1640" s="0" t="n">
        <v>6</v>
      </c>
      <c r="E1640" s="0" t="n">
        <f aca="false">-1+A1640*0.25</f>
        <v>-0.5</v>
      </c>
      <c r="F1640" s="0" t="n">
        <f aca="false">-1+B1640*0.25</f>
        <v>-0.5</v>
      </c>
      <c r="G1640" s="0" t="n">
        <f aca="false">-1+C1640*0.25</f>
        <v>-0.75</v>
      </c>
      <c r="H1640" s="0" t="n">
        <f aca="false">-1+D1640*0.25</f>
        <v>0.5</v>
      </c>
      <c r="I1640" s="0" t="n">
        <f aca="false">1</f>
        <v>1</v>
      </c>
      <c r="J1640" s="0" t="n">
        <f aca="false">E1640</f>
        <v>-0.5</v>
      </c>
      <c r="K1640" s="0" t="n">
        <f aca="false">F1640</f>
        <v>-0.5</v>
      </c>
      <c r="L1640" s="0" t="n">
        <f aca="false">G1640</f>
        <v>-0.75</v>
      </c>
      <c r="M1640" s="0" t="n">
        <f aca="false">H1640</f>
        <v>0.5</v>
      </c>
      <c r="N1640" s="0" t="n">
        <f aca="false">E1640*F1640</f>
        <v>0.25</v>
      </c>
      <c r="O1640" s="0" t="n">
        <f aca="false">E1640*G1640</f>
        <v>0.375</v>
      </c>
      <c r="P1640" s="0" t="n">
        <f aca="false">E1640*H1640</f>
        <v>-0.25</v>
      </c>
      <c r="Q1640" s="0" t="n">
        <f aca="false">F1640*G1640</f>
        <v>0.375</v>
      </c>
      <c r="R1640" s="0" t="n">
        <f aca="false">F1640*H1640</f>
        <v>-0.25</v>
      </c>
      <c r="S1640" s="0" t="n">
        <f aca="false">G1640*H1640</f>
        <v>-0.375</v>
      </c>
      <c r="T1640" s="0" t="n">
        <f aca="false">E1640*E1640</f>
        <v>0.25</v>
      </c>
      <c r="U1640" s="0" t="n">
        <f aca="false">F1640*F1640</f>
        <v>0.25</v>
      </c>
      <c r="V1640" s="0" t="n">
        <f aca="false">G1640*G1640</f>
        <v>0.5625</v>
      </c>
      <c r="W1640" s="0" t="n">
        <f aca="false">H1640*H1640</f>
        <v>0.25</v>
      </c>
      <c r="X1640" s="0" t="n">
        <f aca="false">SUMPRODUCT(I1640:W1640,_XtX!$B$96:$P$96)</f>
        <v>43.6211988304093</v>
      </c>
      <c r="Y1640" s="0" t="n">
        <f aca="false">SUMPRODUCT(MMULT(I1640:W1640,_XtX!$B$78:$P$92),I1640:W1640)</f>
        <v>0.193924753289474</v>
      </c>
      <c r="Z1640" s="0" t="n">
        <f aca="false">04_回帰ANOVA!$K$19*04_回帰ANOVA!$K$14*SQRT(1+Y1640)</f>
        <v>1.4242521079916</v>
      </c>
      <c r="AA1640" s="0" t="n">
        <f aca="false">X1640-Z1640</f>
        <v>42.1969467224177</v>
      </c>
      <c r="AB1640" s="0" t="n">
        <f aca="false">X1640+Z1640</f>
        <v>45.0454509384009</v>
      </c>
      <c r="AC1640" s="54" t="b">
        <f aca="false">AND(E1640&gt;=01_因子設定!$L$5-0.000000001,E1640&lt;=01_因子設定!$M$5+0.000000001,F1640&gt;=01_因子設定!$L$6-0.000000001,F1640&lt;=01_因子設定!$M$6+0.000000001,G1640&gt;=01_因子設定!$L$7-0.000000001,G1640&lt;=01_因子設定!$M$7+0.000000001,H1640&gt;=01_因子設定!$L$8-0.000000001,H1640&lt;=01_因子設定!$M$8+0.000000001,IF(01_因子設定!$B$20="Box-Behnken",E1640^2+F1640^2+G1640^2+H1640^2&lt;=2+0.000000001,TRUE()))</f>
        <v>1</v>
      </c>
      <c r="AD1640" s="55" t="n">
        <f aca="false">IF(AC1640,IF(01_因子設定!$B$13="最大化",AA1640-01_因子設定!$B$14,IF(01_因子設定!$B$13="最小化",01_因子設定!$B$15-AB1640,MIN(AA1640-01_因子設定!$B$14,01_因子設定!$B$15-AB1640))),-1E+030)</f>
        <v>-4.30305327758227</v>
      </c>
      <c r="AE1640" s="55" t="n">
        <f aca="false">IF(AC1640,IF(01_因子設定!$B$13="最大化",X1640,IF(01_因子設定!$B$13="最小化",-X1640,-ABS(X1640-01_因子設定!$B$16))),-1E+030)</f>
        <v>43.6211988304093</v>
      </c>
      <c r="AF1640" s="55" t="n">
        <f aca="false">AD1640+ROW()*0.000000001</f>
        <v>-4.30305163758227</v>
      </c>
      <c r="AG1640" s="55" t="n">
        <f aca="false">AE1640+ROW()*0.000000001</f>
        <v>43.6212004704093</v>
      </c>
    </row>
    <row r="1641" customFormat="false" ht="15" hidden="false" customHeight="false" outlineLevel="0" collapsed="false">
      <c r="A1641" s="0" t="n">
        <v>2</v>
      </c>
      <c r="B1641" s="0" t="n">
        <v>2</v>
      </c>
      <c r="C1641" s="0" t="n">
        <v>1</v>
      </c>
      <c r="D1641" s="0" t="n">
        <v>7</v>
      </c>
      <c r="E1641" s="0" t="n">
        <f aca="false">-1+A1641*0.25</f>
        <v>-0.5</v>
      </c>
      <c r="F1641" s="0" t="n">
        <f aca="false">-1+B1641*0.25</f>
        <v>-0.5</v>
      </c>
      <c r="G1641" s="0" t="n">
        <f aca="false">-1+C1641*0.25</f>
        <v>-0.75</v>
      </c>
      <c r="H1641" s="0" t="n">
        <f aca="false">-1+D1641*0.25</f>
        <v>0.75</v>
      </c>
      <c r="I1641" s="0" t="n">
        <f aca="false">1</f>
        <v>1</v>
      </c>
      <c r="J1641" s="0" t="n">
        <f aca="false">E1641</f>
        <v>-0.5</v>
      </c>
      <c r="K1641" s="0" t="n">
        <f aca="false">F1641</f>
        <v>-0.5</v>
      </c>
      <c r="L1641" s="0" t="n">
        <f aca="false">G1641</f>
        <v>-0.75</v>
      </c>
      <c r="M1641" s="0" t="n">
        <f aca="false">H1641</f>
        <v>0.75</v>
      </c>
      <c r="N1641" s="0" t="n">
        <f aca="false">E1641*F1641</f>
        <v>0.25</v>
      </c>
      <c r="O1641" s="0" t="n">
        <f aca="false">E1641*G1641</f>
        <v>0.375</v>
      </c>
      <c r="P1641" s="0" t="n">
        <f aca="false">E1641*H1641</f>
        <v>-0.375</v>
      </c>
      <c r="Q1641" s="0" t="n">
        <f aca="false">F1641*G1641</f>
        <v>0.375</v>
      </c>
      <c r="R1641" s="0" t="n">
        <f aca="false">F1641*H1641</f>
        <v>-0.375</v>
      </c>
      <c r="S1641" s="0" t="n">
        <f aca="false">G1641*H1641</f>
        <v>-0.5625</v>
      </c>
      <c r="T1641" s="0" t="n">
        <f aca="false">E1641*E1641</f>
        <v>0.25</v>
      </c>
      <c r="U1641" s="0" t="n">
        <f aca="false">F1641*F1641</f>
        <v>0.25</v>
      </c>
      <c r="V1641" s="0" t="n">
        <f aca="false">G1641*G1641</f>
        <v>0.5625</v>
      </c>
      <c r="W1641" s="0" t="n">
        <f aca="false">H1641*H1641</f>
        <v>0.5625</v>
      </c>
      <c r="X1641" s="0" t="n">
        <f aca="false">SUMPRODUCT(I1641:W1641,_XtX!$B$96:$P$96)</f>
        <v>43.5601014254386</v>
      </c>
      <c r="Y1641" s="0" t="n">
        <f aca="false">SUMPRODUCT(MMULT(I1641:W1641,_XtX!$B$78:$P$92),I1641:W1641)</f>
        <v>0.237862927174708</v>
      </c>
      <c r="Z1641" s="0" t="n">
        <f aca="false">04_回帰ANOVA!$K$19*04_回帰ANOVA!$K$14*SQRT(1+Y1641)</f>
        <v>1.45022260708756</v>
      </c>
      <c r="AA1641" s="0" t="n">
        <f aca="false">X1641-Z1641</f>
        <v>42.109878818351</v>
      </c>
      <c r="AB1641" s="0" t="n">
        <f aca="false">X1641+Z1641</f>
        <v>45.0103240325261</v>
      </c>
      <c r="AC1641" s="54" t="b">
        <f aca="false">AND(E1641&gt;=01_因子設定!$L$5-0.000000001,E1641&lt;=01_因子設定!$M$5+0.000000001,F1641&gt;=01_因子設定!$L$6-0.000000001,F1641&lt;=01_因子設定!$M$6+0.000000001,G1641&gt;=01_因子設定!$L$7-0.000000001,G1641&lt;=01_因子設定!$M$7+0.000000001,H1641&gt;=01_因子設定!$L$8-0.000000001,H1641&lt;=01_因子設定!$M$8+0.000000001,IF(01_因子設定!$B$20="Box-Behnken",E1641^2+F1641^2+G1641^2+H1641^2&lt;=2+0.000000001,TRUE()))</f>
        <v>1</v>
      </c>
      <c r="AD1641" s="55" t="n">
        <f aca="false">IF(AC1641,IF(01_因子設定!$B$13="最大化",AA1641-01_因子設定!$B$14,IF(01_因子設定!$B$13="最小化",01_因子設定!$B$15-AB1641,MIN(AA1641-01_因子設定!$B$14,01_因子設定!$B$15-AB1641))),-1E+030)</f>
        <v>-4.39012118164899</v>
      </c>
      <c r="AE1641" s="55" t="n">
        <f aca="false">IF(AC1641,IF(01_因子設定!$B$13="最大化",X1641,IF(01_因子設定!$B$13="最小化",-X1641,-ABS(X1641-01_因子設定!$B$16))),-1E+030)</f>
        <v>43.5601014254386</v>
      </c>
      <c r="AF1641" s="55" t="n">
        <f aca="false">AD1641+ROW()*0.000000001</f>
        <v>-4.39011954064899</v>
      </c>
      <c r="AG1641" s="55" t="n">
        <f aca="false">AE1641+ROW()*0.000000001</f>
        <v>43.5601030664386</v>
      </c>
    </row>
    <row r="1642" customFormat="false" ht="15" hidden="false" customHeight="false" outlineLevel="0" collapsed="false">
      <c r="A1642" s="0" t="n">
        <v>2</v>
      </c>
      <c r="B1642" s="0" t="n">
        <v>2</v>
      </c>
      <c r="C1642" s="0" t="n">
        <v>1</v>
      </c>
      <c r="D1642" s="0" t="n">
        <v>8</v>
      </c>
      <c r="E1642" s="0" t="n">
        <f aca="false">-1+A1642*0.25</f>
        <v>-0.5</v>
      </c>
      <c r="F1642" s="0" t="n">
        <f aca="false">-1+B1642*0.25</f>
        <v>-0.5</v>
      </c>
      <c r="G1642" s="0" t="n">
        <f aca="false">-1+C1642*0.25</f>
        <v>-0.75</v>
      </c>
      <c r="H1642" s="0" t="n">
        <f aca="false">-1+D1642*0.25</f>
        <v>1</v>
      </c>
      <c r="I1642" s="0" t="n">
        <f aca="false">1</f>
        <v>1</v>
      </c>
      <c r="J1642" s="0" t="n">
        <f aca="false">E1642</f>
        <v>-0.5</v>
      </c>
      <c r="K1642" s="0" t="n">
        <f aca="false">F1642</f>
        <v>-0.5</v>
      </c>
      <c r="L1642" s="0" t="n">
        <f aca="false">G1642</f>
        <v>-0.75</v>
      </c>
      <c r="M1642" s="0" t="n">
        <f aca="false">H1642</f>
        <v>1</v>
      </c>
      <c r="N1642" s="0" t="n">
        <f aca="false">E1642*F1642</f>
        <v>0.25</v>
      </c>
      <c r="O1642" s="0" t="n">
        <f aca="false">E1642*G1642</f>
        <v>0.375</v>
      </c>
      <c r="P1642" s="0" t="n">
        <f aca="false">E1642*H1642</f>
        <v>-0.5</v>
      </c>
      <c r="Q1642" s="0" t="n">
        <f aca="false">F1642*G1642</f>
        <v>0.375</v>
      </c>
      <c r="R1642" s="0" t="n">
        <f aca="false">F1642*H1642</f>
        <v>-0.5</v>
      </c>
      <c r="S1642" s="0" t="n">
        <f aca="false">G1642*H1642</f>
        <v>-0.75</v>
      </c>
      <c r="T1642" s="0" t="n">
        <f aca="false">E1642*E1642</f>
        <v>0.25</v>
      </c>
      <c r="U1642" s="0" t="n">
        <f aca="false">F1642*F1642</f>
        <v>0.25</v>
      </c>
      <c r="V1642" s="0" t="n">
        <f aca="false">G1642*G1642</f>
        <v>0.5625</v>
      </c>
      <c r="W1642" s="0" t="n">
        <f aca="false">H1642*H1642</f>
        <v>1</v>
      </c>
      <c r="X1642" s="0" t="n">
        <f aca="false">SUMPRODUCT(I1642:W1642,_XtX!$B$96:$P$96)</f>
        <v>43.451197002924</v>
      </c>
      <c r="Y1642" s="0" t="n">
        <f aca="false">SUMPRODUCT(MMULT(I1642:W1642,_XtX!$B$78:$P$92),I1642:W1642)</f>
        <v>0.42602110745614</v>
      </c>
      <c r="Z1642" s="0" t="n">
        <f aca="false">04_回帰ANOVA!$K$19*04_回帰ANOVA!$K$14*SQRT(1+Y1642)</f>
        <v>1.55654388501114</v>
      </c>
      <c r="AA1642" s="0" t="n">
        <f aca="false">X1642-Z1642</f>
        <v>41.8946531179128</v>
      </c>
      <c r="AB1642" s="0" t="n">
        <f aca="false">X1642+Z1642</f>
        <v>45.0077408879351</v>
      </c>
      <c r="AC1642" s="54" t="b">
        <f aca="false">AND(E1642&gt;=01_因子設定!$L$5-0.000000001,E1642&lt;=01_因子設定!$M$5+0.000000001,F1642&gt;=01_因子設定!$L$6-0.000000001,F1642&lt;=01_因子設定!$M$6+0.000000001,G1642&gt;=01_因子設定!$L$7-0.000000001,G1642&lt;=01_因子設定!$M$7+0.000000001,H1642&gt;=01_因子設定!$L$8-0.000000001,H1642&lt;=01_因子設定!$M$8+0.000000001,IF(01_因子設定!$B$20="Box-Behnken",E1642^2+F1642^2+G1642^2+H1642^2&lt;=2+0.000000001,TRUE()))</f>
        <v>1</v>
      </c>
      <c r="AD1642" s="55" t="n">
        <f aca="false">IF(AC1642,IF(01_因子設定!$B$13="最大化",AA1642-01_因子設定!$B$14,IF(01_因子設定!$B$13="最小化",01_因子設定!$B$15-AB1642,MIN(AA1642-01_因子設定!$B$14,01_因子設定!$B$15-AB1642))),-1E+030)</f>
        <v>-4.60534688208717</v>
      </c>
      <c r="AE1642" s="55" t="n">
        <f aca="false">IF(AC1642,IF(01_因子設定!$B$13="最大化",X1642,IF(01_因子設定!$B$13="最小化",-X1642,-ABS(X1642-01_因子設定!$B$16))),-1E+030)</f>
        <v>43.451197002924</v>
      </c>
      <c r="AF1642" s="55" t="n">
        <f aca="false">AD1642+ROW()*0.000000001</f>
        <v>-4.60534524008717</v>
      </c>
      <c r="AG1642" s="55" t="n">
        <f aca="false">AE1642+ROW()*0.000000001</f>
        <v>43.451198644924</v>
      </c>
    </row>
    <row r="1643" customFormat="false" ht="15" hidden="false" customHeight="false" outlineLevel="0" collapsed="false">
      <c r="A1643" s="0" t="n">
        <v>2</v>
      </c>
      <c r="B1643" s="0" t="n">
        <v>2</v>
      </c>
      <c r="C1643" s="0" t="n">
        <v>2</v>
      </c>
      <c r="D1643" s="0" t="n">
        <v>0</v>
      </c>
      <c r="E1643" s="0" t="n">
        <f aca="false">-1+A1643*0.25</f>
        <v>-0.5</v>
      </c>
      <c r="F1643" s="0" t="n">
        <f aca="false">-1+B1643*0.25</f>
        <v>-0.5</v>
      </c>
      <c r="G1643" s="0" t="n">
        <f aca="false">-1+C1643*0.25</f>
        <v>-0.5</v>
      </c>
      <c r="H1643" s="0" t="n">
        <f aca="false">-1+D1643*0.25</f>
        <v>-1</v>
      </c>
      <c r="I1643" s="0" t="n">
        <f aca="false">1</f>
        <v>1</v>
      </c>
      <c r="J1643" s="0" t="n">
        <f aca="false">E1643</f>
        <v>-0.5</v>
      </c>
      <c r="K1643" s="0" t="n">
        <f aca="false">F1643</f>
        <v>-0.5</v>
      </c>
      <c r="L1643" s="0" t="n">
        <f aca="false">G1643</f>
        <v>-0.5</v>
      </c>
      <c r="M1643" s="0" t="n">
        <f aca="false">H1643</f>
        <v>-1</v>
      </c>
      <c r="N1643" s="0" t="n">
        <f aca="false">E1643*F1643</f>
        <v>0.25</v>
      </c>
      <c r="O1643" s="0" t="n">
        <f aca="false">E1643*G1643</f>
        <v>0.25</v>
      </c>
      <c r="P1643" s="0" t="n">
        <f aca="false">E1643*H1643</f>
        <v>0.5</v>
      </c>
      <c r="Q1643" s="0" t="n">
        <f aca="false">F1643*G1643</f>
        <v>0.25</v>
      </c>
      <c r="R1643" s="0" t="n">
        <f aca="false">F1643*H1643</f>
        <v>0.5</v>
      </c>
      <c r="S1643" s="0" t="n">
        <f aca="false">G1643*H1643</f>
        <v>0.5</v>
      </c>
      <c r="T1643" s="0" t="n">
        <f aca="false">E1643*E1643</f>
        <v>0.25</v>
      </c>
      <c r="U1643" s="0" t="n">
        <f aca="false">F1643*F1643</f>
        <v>0.25</v>
      </c>
      <c r="V1643" s="0" t="n">
        <f aca="false">G1643*G1643</f>
        <v>0.25</v>
      </c>
      <c r="W1643" s="0" t="n">
        <f aca="false">H1643*H1643</f>
        <v>1</v>
      </c>
      <c r="X1643" s="0" t="n">
        <f aca="false">SUMPRODUCT(I1643:W1643,_XtX!$B$96:$P$96)</f>
        <v>43.4132492690058</v>
      </c>
      <c r="Y1643" s="0" t="n">
        <f aca="false">SUMPRODUCT(MMULT(I1643:W1643,_XtX!$B$78:$P$92),I1643:W1643)</f>
        <v>0.404719480994152</v>
      </c>
      <c r="Z1643" s="0" t="n">
        <f aca="false">04_回帰ANOVA!$K$19*04_回帰ANOVA!$K$14*SQRT(1+Y1643)</f>
        <v>1.54487446697867</v>
      </c>
      <c r="AA1643" s="0" t="n">
        <f aca="false">X1643-Z1643</f>
        <v>41.8683748020272</v>
      </c>
      <c r="AB1643" s="0" t="n">
        <f aca="false">X1643+Z1643</f>
        <v>44.9581237359845</v>
      </c>
      <c r="AC1643" s="54" t="b">
        <f aca="false">AND(E1643&gt;=01_因子設定!$L$5-0.000000001,E1643&lt;=01_因子設定!$M$5+0.000000001,F1643&gt;=01_因子設定!$L$6-0.000000001,F1643&lt;=01_因子設定!$M$6+0.000000001,G1643&gt;=01_因子設定!$L$7-0.000000001,G1643&lt;=01_因子設定!$M$7+0.000000001,H1643&gt;=01_因子設定!$L$8-0.000000001,H1643&lt;=01_因子設定!$M$8+0.000000001,IF(01_因子設定!$B$20="Box-Behnken",E1643^2+F1643^2+G1643^2+H1643^2&lt;=2+0.000000001,TRUE()))</f>
        <v>1</v>
      </c>
      <c r="AD1643" s="55" t="n">
        <f aca="false">IF(AC1643,IF(01_因子設定!$B$13="最大化",AA1643-01_因子設定!$B$14,IF(01_因子設定!$B$13="最小化",01_因子設定!$B$15-AB1643,MIN(AA1643-01_因子設定!$B$14,01_因子設定!$B$15-AB1643))),-1E+030)</f>
        <v>-4.63162519797283</v>
      </c>
      <c r="AE1643" s="55" t="n">
        <f aca="false">IF(AC1643,IF(01_因子設定!$B$13="最大化",X1643,IF(01_因子設定!$B$13="最小化",-X1643,-ABS(X1643-01_因子設定!$B$16))),-1E+030)</f>
        <v>43.4132492690058</v>
      </c>
      <c r="AF1643" s="55" t="n">
        <f aca="false">AD1643+ROW()*0.000000001</f>
        <v>-4.63162355497283</v>
      </c>
      <c r="AG1643" s="55" t="n">
        <f aca="false">AE1643+ROW()*0.000000001</f>
        <v>43.4132509120058</v>
      </c>
    </row>
    <row r="1644" customFormat="false" ht="15" hidden="false" customHeight="false" outlineLevel="0" collapsed="false">
      <c r="A1644" s="0" t="n">
        <v>2</v>
      </c>
      <c r="B1644" s="0" t="n">
        <v>2</v>
      </c>
      <c r="C1644" s="0" t="n">
        <v>2</v>
      </c>
      <c r="D1644" s="0" t="n">
        <v>1</v>
      </c>
      <c r="E1644" s="0" t="n">
        <f aca="false">-1+A1644*0.25</f>
        <v>-0.5</v>
      </c>
      <c r="F1644" s="0" t="n">
        <f aca="false">-1+B1644*0.25</f>
        <v>-0.5</v>
      </c>
      <c r="G1644" s="0" t="n">
        <f aca="false">-1+C1644*0.25</f>
        <v>-0.5</v>
      </c>
      <c r="H1644" s="0" t="n">
        <f aca="false">-1+D1644*0.25</f>
        <v>-0.75</v>
      </c>
      <c r="I1644" s="0" t="n">
        <f aca="false">1</f>
        <v>1</v>
      </c>
      <c r="J1644" s="0" t="n">
        <f aca="false">E1644</f>
        <v>-0.5</v>
      </c>
      <c r="K1644" s="0" t="n">
        <f aca="false">F1644</f>
        <v>-0.5</v>
      </c>
      <c r="L1644" s="0" t="n">
        <f aca="false">G1644</f>
        <v>-0.5</v>
      </c>
      <c r="M1644" s="0" t="n">
        <f aca="false">H1644</f>
        <v>-0.75</v>
      </c>
      <c r="N1644" s="0" t="n">
        <f aca="false">E1644*F1644</f>
        <v>0.25</v>
      </c>
      <c r="O1644" s="0" t="n">
        <f aca="false">E1644*G1644</f>
        <v>0.25</v>
      </c>
      <c r="P1644" s="0" t="n">
        <f aca="false">E1644*H1644</f>
        <v>0.375</v>
      </c>
      <c r="Q1644" s="0" t="n">
        <f aca="false">F1644*G1644</f>
        <v>0.25</v>
      </c>
      <c r="R1644" s="0" t="n">
        <f aca="false">F1644*H1644</f>
        <v>0.375</v>
      </c>
      <c r="S1644" s="0" t="n">
        <f aca="false">G1644*H1644</f>
        <v>0.375</v>
      </c>
      <c r="T1644" s="0" t="n">
        <f aca="false">E1644*E1644</f>
        <v>0.25</v>
      </c>
      <c r="U1644" s="0" t="n">
        <f aca="false">F1644*F1644</f>
        <v>0.25</v>
      </c>
      <c r="V1644" s="0" t="n">
        <f aca="false">G1644*G1644</f>
        <v>0.25</v>
      </c>
      <c r="W1644" s="0" t="n">
        <f aca="false">H1644*H1644</f>
        <v>0.5625</v>
      </c>
      <c r="X1644" s="0" t="n">
        <f aca="false">SUMPRODUCT(I1644:W1644,_XtX!$B$96:$P$96)</f>
        <v>43.6569627192982</v>
      </c>
      <c r="Y1644" s="0" t="n">
        <f aca="false">SUMPRODUCT(MMULT(I1644:W1644,_XtX!$B$78:$P$92),I1644:W1644)</f>
        <v>0.193924753289474</v>
      </c>
      <c r="Z1644" s="0" t="n">
        <f aca="false">04_回帰ANOVA!$K$19*04_回帰ANOVA!$K$14*SQRT(1+Y1644)</f>
        <v>1.4242521079916</v>
      </c>
      <c r="AA1644" s="0" t="n">
        <f aca="false">X1644-Z1644</f>
        <v>42.2327106113066</v>
      </c>
      <c r="AB1644" s="0" t="n">
        <f aca="false">X1644+Z1644</f>
        <v>45.0812148272898</v>
      </c>
      <c r="AC1644" s="54" t="b">
        <f aca="false">AND(E1644&gt;=01_因子設定!$L$5-0.000000001,E1644&lt;=01_因子設定!$M$5+0.000000001,F1644&gt;=01_因子設定!$L$6-0.000000001,F1644&lt;=01_因子設定!$M$6+0.000000001,G1644&gt;=01_因子設定!$L$7-0.000000001,G1644&lt;=01_因子設定!$M$7+0.000000001,H1644&gt;=01_因子設定!$L$8-0.000000001,H1644&lt;=01_因子設定!$M$8+0.000000001,IF(01_因子設定!$B$20="Box-Behnken",E1644^2+F1644^2+G1644^2+H1644^2&lt;=2+0.000000001,TRUE()))</f>
        <v>1</v>
      </c>
      <c r="AD1644" s="55" t="n">
        <f aca="false">IF(AC1644,IF(01_因子設定!$B$13="最大化",AA1644-01_因子設定!$B$14,IF(01_因子設定!$B$13="最小化",01_因子設定!$B$15-AB1644,MIN(AA1644-01_因子設定!$B$14,01_因子設定!$B$15-AB1644))),-1E+030)</f>
        <v>-4.26728938869337</v>
      </c>
      <c r="AE1644" s="55" t="n">
        <f aca="false">IF(AC1644,IF(01_因子設定!$B$13="最大化",X1644,IF(01_因子設定!$B$13="最小化",-X1644,-ABS(X1644-01_因子設定!$B$16))),-1E+030)</f>
        <v>43.6569627192982</v>
      </c>
      <c r="AF1644" s="55" t="n">
        <f aca="false">AD1644+ROW()*0.000000001</f>
        <v>-4.26728774469337</v>
      </c>
      <c r="AG1644" s="55" t="n">
        <f aca="false">AE1644+ROW()*0.000000001</f>
        <v>43.6569643632982</v>
      </c>
    </row>
    <row r="1645" customFormat="false" ht="15" hidden="false" customHeight="false" outlineLevel="0" collapsed="false">
      <c r="A1645" s="0" t="n">
        <v>2</v>
      </c>
      <c r="B1645" s="0" t="n">
        <v>2</v>
      </c>
      <c r="C1645" s="0" t="n">
        <v>2</v>
      </c>
      <c r="D1645" s="0" t="n">
        <v>2</v>
      </c>
      <c r="E1645" s="0" t="n">
        <f aca="false">-1+A1645*0.25</f>
        <v>-0.5</v>
      </c>
      <c r="F1645" s="0" t="n">
        <f aca="false">-1+B1645*0.25</f>
        <v>-0.5</v>
      </c>
      <c r="G1645" s="0" t="n">
        <f aca="false">-1+C1645*0.25</f>
        <v>-0.5</v>
      </c>
      <c r="H1645" s="0" t="n">
        <f aca="false">-1+D1645*0.25</f>
        <v>-0.5</v>
      </c>
      <c r="I1645" s="0" t="n">
        <f aca="false">1</f>
        <v>1</v>
      </c>
      <c r="J1645" s="0" t="n">
        <f aca="false">E1645</f>
        <v>-0.5</v>
      </c>
      <c r="K1645" s="0" t="n">
        <f aca="false">F1645</f>
        <v>-0.5</v>
      </c>
      <c r="L1645" s="0" t="n">
        <f aca="false">G1645</f>
        <v>-0.5</v>
      </c>
      <c r="M1645" s="0" t="n">
        <f aca="false">H1645</f>
        <v>-0.5</v>
      </c>
      <c r="N1645" s="0" t="n">
        <f aca="false">E1645*F1645</f>
        <v>0.25</v>
      </c>
      <c r="O1645" s="0" t="n">
        <f aca="false">E1645*G1645</f>
        <v>0.25</v>
      </c>
      <c r="P1645" s="0" t="n">
        <f aca="false">E1645*H1645</f>
        <v>0.25</v>
      </c>
      <c r="Q1645" s="0" t="n">
        <f aca="false">F1645*G1645</f>
        <v>0.25</v>
      </c>
      <c r="R1645" s="0" t="n">
        <f aca="false">F1645*H1645</f>
        <v>0.25</v>
      </c>
      <c r="S1645" s="0" t="n">
        <f aca="false">G1645*H1645</f>
        <v>0.25</v>
      </c>
      <c r="T1645" s="0" t="n">
        <f aca="false">E1645*E1645</f>
        <v>0.25</v>
      </c>
      <c r="U1645" s="0" t="n">
        <f aca="false">F1645*F1645</f>
        <v>0.25</v>
      </c>
      <c r="V1645" s="0" t="n">
        <f aca="false">G1645*G1645</f>
        <v>0.25</v>
      </c>
      <c r="W1645" s="0" t="n">
        <f aca="false">H1645*H1645</f>
        <v>0.25</v>
      </c>
      <c r="X1645" s="0" t="n">
        <f aca="false">SUMPRODUCT(I1645:W1645,_XtX!$B$96:$P$96)</f>
        <v>43.8528691520468</v>
      </c>
      <c r="Y1645" s="0" t="n">
        <f aca="false">SUMPRODUCT(MMULT(I1645:W1645,_XtX!$B$78:$P$92),I1645:W1645)</f>
        <v>0.133817616959064</v>
      </c>
      <c r="Z1645" s="0" t="n">
        <f aca="false">04_回帰ANOVA!$K$19*04_回帰ANOVA!$K$14*SQRT(1+Y1645)</f>
        <v>1.38793776569887</v>
      </c>
      <c r="AA1645" s="0" t="n">
        <f aca="false">X1645-Z1645</f>
        <v>42.4649313863479</v>
      </c>
      <c r="AB1645" s="0" t="n">
        <f aca="false">X1645+Z1645</f>
        <v>45.2408069177456</v>
      </c>
      <c r="AC1645" s="54" t="b">
        <f aca="false">AND(E1645&gt;=01_因子設定!$L$5-0.000000001,E1645&lt;=01_因子設定!$M$5+0.000000001,F1645&gt;=01_因子設定!$L$6-0.000000001,F1645&lt;=01_因子設定!$M$6+0.000000001,G1645&gt;=01_因子設定!$L$7-0.000000001,G1645&lt;=01_因子設定!$M$7+0.000000001,H1645&gt;=01_因子設定!$L$8-0.000000001,H1645&lt;=01_因子設定!$M$8+0.000000001,IF(01_因子設定!$B$20="Box-Behnken",E1645^2+F1645^2+G1645^2+H1645^2&lt;=2+0.000000001,TRUE()))</f>
        <v>1</v>
      </c>
      <c r="AD1645" s="55" t="n">
        <f aca="false">IF(AC1645,IF(01_因子設定!$B$13="最大化",AA1645-01_因子設定!$B$14,IF(01_因子設定!$B$13="最小化",01_因子設定!$B$15-AB1645,MIN(AA1645-01_因子設定!$B$14,01_因子設定!$B$15-AB1645))),-1E+030)</f>
        <v>-4.03506861365212</v>
      </c>
      <c r="AE1645" s="55" t="n">
        <f aca="false">IF(AC1645,IF(01_因子設定!$B$13="最大化",X1645,IF(01_因子設定!$B$13="最小化",-X1645,-ABS(X1645-01_因子設定!$B$16))),-1E+030)</f>
        <v>43.8528691520468</v>
      </c>
      <c r="AF1645" s="55" t="n">
        <f aca="false">AD1645+ROW()*0.000000001</f>
        <v>-4.03506696865212</v>
      </c>
      <c r="AG1645" s="55" t="n">
        <f aca="false">AE1645+ROW()*0.000000001</f>
        <v>43.8528707970468</v>
      </c>
    </row>
    <row r="1646" customFormat="false" ht="15" hidden="false" customHeight="false" outlineLevel="0" collapsed="false">
      <c r="A1646" s="0" t="n">
        <v>2</v>
      </c>
      <c r="B1646" s="0" t="n">
        <v>2</v>
      </c>
      <c r="C1646" s="0" t="n">
        <v>2</v>
      </c>
      <c r="D1646" s="0" t="n">
        <v>3</v>
      </c>
      <c r="E1646" s="0" t="n">
        <f aca="false">-1+A1646*0.25</f>
        <v>-0.5</v>
      </c>
      <c r="F1646" s="0" t="n">
        <f aca="false">-1+B1646*0.25</f>
        <v>-0.5</v>
      </c>
      <c r="G1646" s="0" t="n">
        <f aca="false">-1+C1646*0.25</f>
        <v>-0.5</v>
      </c>
      <c r="H1646" s="0" t="n">
        <f aca="false">-1+D1646*0.25</f>
        <v>-0.25</v>
      </c>
      <c r="I1646" s="0" t="n">
        <f aca="false">1</f>
        <v>1</v>
      </c>
      <c r="J1646" s="0" t="n">
        <f aca="false">E1646</f>
        <v>-0.5</v>
      </c>
      <c r="K1646" s="0" t="n">
        <f aca="false">F1646</f>
        <v>-0.5</v>
      </c>
      <c r="L1646" s="0" t="n">
        <f aca="false">G1646</f>
        <v>-0.5</v>
      </c>
      <c r="M1646" s="0" t="n">
        <f aca="false">H1646</f>
        <v>-0.25</v>
      </c>
      <c r="N1646" s="0" t="n">
        <f aca="false">E1646*F1646</f>
        <v>0.25</v>
      </c>
      <c r="O1646" s="0" t="n">
        <f aca="false">E1646*G1646</f>
        <v>0.25</v>
      </c>
      <c r="P1646" s="0" t="n">
        <f aca="false">E1646*H1646</f>
        <v>0.125</v>
      </c>
      <c r="Q1646" s="0" t="n">
        <f aca="false">F1646*G1646</f>
        <v>0.25</v>
      </c>
      <c r="R1646" s="0" t="n">
        <f aca="false">F1646*H1646</f>
        <v>0.125</v>
      </c>
      <c r="S1646" s="0" t="n">
        <f aca="false">G1646*H1646</f>
        <v>0.125</v>
      </c>
      <c r="T1646" s="0" t="n">
        <f aca="false">E1646*E1646</f>
        <v>0.25</v>
      </c>
      <c r="U1646" s="0" t="n">
        <f aca="false">F1646*F1646</f>
        <v>0.25</v>
      </c>
      <c r="V1646" s="0" t="n">
        <f aca="false">G1646*G1646</f>
        <v>0.25</v>
      </c>
      <c r="W1646" s="0" t="n">
        <f aca="false">H1646*H1646</f>
        <v>0.0625</v>
      </c>
      <c r="X1646" s="0" t="n">
        <f aca="false">SUMPRODUCT(I1646:W1646,_XtX!$B$96:$P$96)</f>
        <v>44.0009685672514</v>
      </c>
      <c r="Y1646" s="0" t="n">
        <f aca="false">SUMPRODUCT(MMULT(I1646:W1646,_XtX!$B$78:$P$92),I1646:W1646)</f>
        <v>0.133937545687135</v>
      </c>
      <c r="Z1646" s="0" t="n">
        <f aca="false">04_回帰ANOVA!$K$19*04_回帰ANOVA!$K$14*SQRT(1+Y1646)</f>
        <v>1.38801116780825</v>
      </c>
      <c r="AA1646" s="0" t="n">
        <f aca="false">X1646-Z1646</f>
        <v>42.6129573994432</v>
      </c>
      <c r="AB1646" s="0" t="n">
        <f aca="false">X1646+Z1646</f>
        <v>45.3889797350597</v>
      </c>
      <c r="AC1646" s="54" t="b">
        <f aca="false">AND(E1646&gt;=01_因子設定!$L$5-0.000000001,E1646&lt;=01_因子設定!$M$5+0.000000001,F1646&gt;=01_因子設定!$L$6-0.000000001,F1646&lt;=01_因子設定!$M$6+0.000000001,G1646&gt;=01_因子設定!$L$7-0.000000001,G1646&lt;=01_因子設定!$M$7+0.000000001,H1646&gt;=01_因子設定!$L$8-0.000000001,H1646&lt;=01_因子設定!$M$8+0.000000001,IF(01_因子設定!$B$20="Box-Behnken",E1646^2+F1646^2+G1646^2+H1646^2&lt;=2+0.000000001,TRUE()))</f>
        <v>1</v>
      </c>
      <c r="AD1646" s="55" t="n">
        <f aca="false">IF(AC1646,IF(01_因子設定!$B$13="最大化",AA1646-01_因子設定!$B$14,IF(01_因子設定!$B$13="最小化",01_因子設定!$B$15-AB1646,MIN(AA1646-01_因子設定!$B$14,01_因子設定!$B$15-AB1646))),-1E+030)</f>
        <v>-3.88704260055683</v>
      </c>
      <c r="AE1646" s="55" t="n">
        <f aca="false">IF(AC1646,IF(01_因子設定!$B$13="最大化",X1646,IF(01_因子設定!$B$13="最小化",-X1646,-ABS(X1646-01_因子設定!$B$16))),-1E+030)</f>
        <v>44.0009685672514</v>
      </c>
      <c r="AF1646" s="55" t="n">
        <f aca="false">AD1646+ROW()*0.000000001</f>
        <v>-3.88704095455683</v>
      </c>
      <c r="AG1646" s="55" t="n">
        <f aca="false">AE1646+ROW()*0.000000001</f>
        <v>44.0009702132514</v>
      </c>
    </row>
    <row r="1647" customFormat="false" ht="15" hidden="false" customHeight="false" outlineLevel="0" collapsed="false">
      <c r="A1647" s="0" t="n">
        <v>2</v>
      </c>
      <c r="B1647" s="0" t="n">
        <v>2</v>
      </c>
      <c r="C1647" s="0" t="n">
        <v>2</v>
      </c>
      <c r="D1647" s="0" t="n">
        <v>4</v>
      </c>
      <c r="E1647" s="0" t="n">
        <f aca="false">-1+A1647*0.25</f>
        <v>-0.5</v>
      </c>
      <c r="F1647" s="0" t="n">
        <f aca="false">-1+B1647*0.25</f>
        <v>-0.5</v>
      </c>
      <c r="G1647" s="0" t="n">
        <f aca="false">-1+C1647*0.25</f>
        <v>-0.5</v>
      </c>
      <c r="H1647" s="0" t="n">
        <f aca="false">-1+D1647*0.25</f>
        <v>0</v>
      </c>
      <c r="I1647" s="0" t="n">
        <f aca="false">1</f>
        <v>1</v>
      </c>
      <c r="J1647" s="0" t="n">
        <f aca="false">E1647</f>
        <v>-0.5</v>
      </c>
      <c r="K1647" s="0" t="n">
        <f aca="false">F1647</f>
        <v>-0.5</v>
      </c>
      <c r="L1647" s="0" t="n">
        <f aca="false">G1647</f>
        <v>-0.5</v>
      </c>
      <c r="M1647" s="0" t="n">
        <f aca="false">H1647</f>
        <v>0</v>
      </c>
      <c r="N1647" s="0" t="n">
        <f aca="false">E1647*F1647</f>
        <v>0.25</v>
      </c>
      <c r="O1647" s="0" t="n">
        <f aca="false">E1647*G1647</f>
        <v>0.25</v>
      </c>
      <c r="P1647" s="0" t="n">
        <f aca="false">E1647*H1647</f>
        <v>-0</v>
      </c>
      <c r="Q1647" s="0" t="n">
        <f aca="false">F1647*G1647</f>
        <v>0.25</v>
      </c>
      <c r="R1647" s="0" t="n">
        <f aca="false">F1647*H1647</f>
        <v>-0</v>
      </c>
      <c r="S1647" s="0" t="n">
        <f aca="false">G1647*H1647</f>
        <v>-0</v>
      </c>
      <c r="T1647" s="0" t="n">
        <f aca="false">E1647*E1647</f>
        <v>0.25</v>
      </c>
      <c r="U1647" s="0" t="n">
        <f aca="false">F1647*F1647</f>
        <v>0.25</v>
      </c>
      <c r="V1647" s="0" t="n">
        <f aca="false">G1647*G1647</f>
        <v>0.25</v>
      </c>
      <c r="W1647" s="0" t="n">
        <f aca="false">H1647*H1647</f>
        <v>0</v>
      </c>
      <c r="X1647" s="0" t="n">
        <f aca="false">SUMPRODUCT(I1647:W1647,_XtX!$B$96:$P$96)</f>
        <v>44.1012609649122</v>
      </c>
      <c r="Y1647" s="0" t="n">
        <f aca="false">SUMPRODUCT(MMULT(I1647:W1647,_XtX!$B$78:$P$92),I1647:W1647)</f>
        <v>0.140008223684211</v>
      </c>
      <c r="Z1647" s="0" t="n">
        <f aca="false">04_回帰ANOVA!$K$19*04_回帰ANOVA!$K$14*SQRT(1+Y1647)</f>
        <v>1.39172165492264</v>
      </c>
      <c r="AA1647" s="0" t="n">
        <f aca="false">X1647-Z1647</f>
        <v>42.7095393099896</v>
      </c>
      <c r="AB1647" s="0" t="n">
        <f aca="false">X1647+Z1647</f>
        <v>45.4929826198349</v>
      </c>
      <c r="AC1647" s="54" t="b">
        <f aca="false">AND(E1647&gt;=01_因子設定!$L$5-0.000000001,E1647&lt;=01_因子設定!$M$5+0.000000001,F1647&gt;=01_因子設定!$L$6-0.000000001,F1647&lt;=01_因子設定!$M$6+0.000000001,G1647&gt;=01_因子設定!$L$7-0.000000001,G1647&lt;=01_因子設定!$M$7+0.000000001,H1647&gt;=01_因子設定!$L$8-0.000000001,H1647&lt;=01_因子設定!$M$8+0.000000001,IF(01_因子設定!$B$20="Box-Behnken",E1647^2+F1647^2+G1647^2+H1647^2&lt;=2+0.000000001,TRUE()))</f>
        <v>1</v>
      </c>
      <c r="AD1647" s="55" t="n">
        <f aca="false">IF(AC1647,IF(01_因子設定!$B$13="最大化",AA1647-01_因子設定!$B$14,IF(01_因子設定!$B$13="最小化",01_因子設定!$B$15-AB1647,MIN(AA1647-01_因子設定!$B$14,01_因子設定!$B$15-AB1647))),-1E+030)</f>
        <v>-3.7904606900104</v>
      </c>
      <c r="AE1647" s="55" t="n">
        <f aca="false">IF(AC1647,IF(01_因子設定!$B$13="最大化",X1647,IF(01_因子設定!$B$13="最小化",-X1647,-ABS(X1647-01_因子設定!$B$16))),-1E+030)</f>
        <v>44.1012609649122</v>
      </c>
      <c r="AF1647" s="55" t="n">
        <f aca="false">AD1647+ROW()*0.000000001</f>
        <v>-3.7904590430104</v>
      </c>
      <c r="AG1647" s="55" t="n">
        <f aca="false">AE1647+ROW()*0.000000001</f>
        <v>44.1012626119122</v>
      </c>
    </row>
    <row r="1648" customFormat="false" ht="15" hidden="false" customHeight="false" outlineLevel="0" collapsed="false">
      <c r="A1648" s="0" t="n">
        <v>2</v>
      </c>
      <c r="B1648" s="0" t="n">
        <v>2</v>
      </c>
      <c r="C1648" s="0" t="n">
        <v>2</v>
      </c>
      <c r="D1648" s="0" t="n">
        <v>5</v>
      </c>
      <c r="E1648" s="0" t="n">
        <f aca="false">-1+A1648*0.25</f>
        <v>-0.5</v>
      </c>
      <c r="F1648" s="0" t="n">
        <f aca="false">-1+B1648*0.25</f>
        <v>-0.5</v>
      </c>
      <c r="G1648" s="0" t="n">
        <f aca="false">-1+C1648*0.25</f>
        <v>-0.5</v>
      </c>
      <c r="H1648" s="0" t="n">
        <f aca="false">-1+D1648*0.25</f>
        <v>0.25</v>
      </c>
      <c r="I1648" s="0" t="n">
        <f aca="false">1</f>
        <v>1</v>
      </c>
      <c r="J1648" s="0" t="n">
        <f aca="false">E1648</f>
        <v>-0.5</v>
      </c>
      <c r="K1648" s="0" t="n">
        <f aca="false">F1648</f>
        <v>-0.5</v>
      </c>
      <c r="L1648" s="0" t="n">
        <f aca="false">G1648</f>
        <v>-0.5</v>
      </c>
      <c r="M1648" s="0" t="n">
        <f aca="false">H1648</f>
        <v>0.25</v>
      </c>
      <c r="N1648" s="0" t="n">
        <f aca="false">E1648*F1648</f>
        <v>0.25</v>
      </c>
      <c r="O1648" s="0" t="n">
        <f aca="false">E1648*G1648</f>
        <v>0.25</v>
      </c>
      <c r="P1648" s="0" t="n">
        <f aca="false">E1648*H1648</f>
        <v>-0.125</v>
      </c>
      <c r="Q1648" s="0" t="n">
        <f aca="false">F1648*G1648</f>
        <v>0.25</v>
      </c>
      <c r="R1648" s="0" t="n">
        <f aca="false">F1648*H1648</f>
        <v>-0.125</v>
      </c>
      <c r="S1648" s="0" t="n">
        <f aca="false">G1648*H1648</f>
        <v>-0.125</v>
      </c>
      <c r="T1648" s="0" t="n">
        <f aca="false">E1648*E1648</f>
        <v>0.25</v>
      </c>
      <c r="U1648" s="0" t="n">
        <f aca="false">F1648*F1648</f>
        <v>0.25</v>
      </c>
      <c r="V1648" s="0" t="n">
        <f aca="false">G1648*G1648</f>
        <v>0.25</v>
      </c>
      <c r="W1648" s="0" t="n">
        <f aca="false">H1648*H1648</f>
        <v>0.0625</v>
      </c>
      <c r="X1648" s="0" t="n">
        <f aca="false">SUMPRODUCT(I1648:W1648,_XtX!$B$96:$P$96)</f>
        <v>44.1537463450292</v>
      </c>
      <c r="Y1648" s="0" t="n">
        <f aca="false">SUMPRODUCT(MMULT(I1648:W1648,_XtX!$B$78:$P$92),I1648:W1648)</f>
        <v>0.133937545687135</v>
      </c>
      <c r="Z1648" s="0" t="n">
        <f aca="false">04_回帰ANOVA!$K$19*04_回帰ANOVA!$K$14*SQRT(1+Y1648)</f>
        <v>1.38801116780825</v>
      </c>
      <c r="AA1648" s="0" t="n">
        <f aca="false">X1648-Z1648</f>
        <v>42.765735177221</v>
      </c>
      <c r="AB1648" s="0" t="n">
        <f aca="false">X1648+Z1648</f>
        <v>45.5417575128375</v>
      </c>
      <c r="AC1648" s="54" t="b">
        <f aca="false">AND(E1648&gt;=01_因子設定!$L$5-0.000000001,E1648&lt;=01_因子設定!$M$5+0.000000001,F1648&gt;=01_因子設定!$L$6-0.000000001,F1648&lt;=01_因子設定!$M$6+0.000000001,G1648&gt;=01_因子設定!$L$7-0.000000001,G1648&lt;=01_因子設定!$M$7+0.000000001,H1648&gt;=01_因子設定!$L$8-0.000000001,H1648&lt;=01_因子設定!$M$8+0.000000001,IF(01_因子設定!$B$20="Box-Behnken",E1648^2+F1648^2+G1648^2+H1648^2&lt;=2+0.000000001,TRUE()))</f>
        <v>1</v>
      </c>
      <c r="AD1648" s="55" t="n">
        <f aca="false">IF(AC1648,IF(01_因子設定!$B$13="最大化",AA1648-01_因子設定!$B$14,IF(01_因子設定!$B$13="最小化",01_因子設定!$B$15-AB1648,MIN(AA1648-01_因子設定!$B$14,01_因子設定!$B$15-AB1648))),-1E+030)</f>
        <v>-3.73426482277905</v>
      </c>
      <c r="AE1648" s="55" t="n">
        <f aca="false">IF(AC1648,IF(01_因子設定!$B$13="最大化",X1648,IF(01_因子設定!$B$13="最小化",-X1648,-ABS(X1648-01_因子設定!$B$16))),-1E+030)</f>
        <v>44.1537463450292</v>
      </c>
      <c r="AF1648" s="55" t="n">
        <f aca="false">AD1648+ROW()*0.000000001</f>
        <v>-3.73426317477905</v>
      </c>
      <c r="AG1648" s="55" t="n">
        <f aca="false">AE1648+ROW()*0.000000001</f>
        <v>44.1537479930292</v>
      </c>
    </row>
    <row r="1649" customFormat="false" ht="15" hidden="false" customHeight="false" outlineLevel="0" collapsed="false">
      <c r="A1649" s="0" t="n">
        <v>2</v>
      </c>
      <c r="B1649" s="0" t="n">
        <v>2</v>
      </c>
      <c r="C1649" s="0" t="n">
        <v>2</v>
      </c>
      <c r="D1649" s="0" t="n">
        <v>6</v>
      </c>
      <c r="E1649" s="0" t="n">
        <f aca="false">-1+A1649*0.25</f>
        <v>-0.5</v>
      </c>
      <c r="F1649" s="0" t="n">
        <f aca="false">-1+B1649*0.25</f>
        <v>-0.5</v>
      </c>
      <c r="G1649" s="0" t="n">
        <f aca="false">-1+C1649*0.25</f>
        <v>-0.5</v>
      </c>
      <c r="H1649" s="0" t="n">
        <f aca="false">-1+D1649*0.25</f>
        <v>0.5</v>
      </c>
      <c r="I1649" s="0" t="n">
        <f aca="false">1</f>
        <v>1</v>
      </c>
      <c r="J1649" s="0" t="n">
        <f aca="false">E1649</f>
        <v>-0.5</v>
      </c>
      <c r="K1649" s="0" t="n">
        <f aca="false">F1649</f>
        <v>-0.5</v>
      </c>
      <c r="L1649" s="0" t="n">
        <f aca="false">G1649</f>
        <v>-0.5</v>
      </c>
      <c r="M1649" s="0" t="n">
        <f aca="false">H1649</f>
        <v>0.5</v>
      </c>
      <c r="N1649" s="0" t="n">
        <f aca="false">E1649*F1649</f>
        <v>0.25</v>
      </c>
      <c r="O1649" s="0" t="n">
        <f aca="false">E1649*G1649</f>
        <v>0.25</v>
      </c>
      <c r="P1649" s="0" t="n">
        <f aca="false">E1649*H1649</f>
        <v>-0.25</v>
      </c>
      <c r="Q1649" s="0" t="n">
        <f aca="false">F1649*G1649</f>
        <v>0.25</v>
      </c>
      <c r="R1649" s="0" t="n">
        <f aca="false">F1649*H1649</f>
        <v>-0.25</v>
      </c>
      <c r="S1649" s="0" t="n">
        <f aca="false">G1649*H1649</f>
        <v>-0.25</v>
      </c>
      <c r="T1649" s="0" t="n">
        <f aca="false">E1649*E1649</f>
        <v>0.25</v>
      </c>
      <c r="U1649" s="0" t="n">
        <f aca="false">F1649*F1649</f>
        <v>0.25</v>
      </c>
      <c r="V1649" s="0" t="n">
        <f aca="false">G1649*G1649</f>
        <v>0.25</v>
      </c>
      <c r="W1649" s="0" t="n">
        <f aca="false">H1649*H1649</f>
        <v>0.25</v>
      </c>
      <c r="X1649" s="0" t="n">
        <f aca="false">SUMPRODUCT(I1649:W1649,_XtX!$B$96:$P$96)</f>
        <v>44.1584247076023</v>
      </c>
      <c r="Y1649" s="0" t="n">
        <f aca="false">SUMPRODUCT(MMULT(I1649:W1649,_XtX!$B$78:$P$92),I1649:W1649)</f>
        <v>0.133817616959064</v>
      </c>
      <c r="Z1649" s="0" t="n">
        <f aca="false">04_回帰ANOVA!$K$19*04_回帰ANOVA!$K$14*SQRT(1+Y1649)</f>
        <v>1.38793776569887</v>
      </c>
      <c r="AA1649" s="0" t="n">
        <f aca="false">X1649-Z1649</f>
        <v>42.7704869419034</v>
      </c>
      <c r="AB1649" s="0" t="n">
        <f aca="false">X1649+Z1649</f>
        <v>45.5463624733012</v>
      </c>
      <c r="AC1649" s="54" t="b">
        <f aca="false">AND(E1649&gt;=01_因子設定!$L$5-0.000000001,E1649&lt;=01_因子設定!$M$5+0.000000001,F1649&gt;=01_因子設定!$L$6-0.000000001,F1649&lt;=01_因子設定!$M$6+0.000000001,G1649&gt;=01_因子設定!$L$7-0.000000001,G1649&lt;=01_因子設定!$M$7+0.000000001,H1649&gt;=01_因子設定!$L$8-0.000000001,H1649&lt;=01_因子設定!$M$8+0.000000001,IF(01_因子設定!$B$20="Box-Behnken",E1649^2+F1649^2+G1649^2+H1649^2&lt;=2+0.000000001,TRUE()))</f>
        <v>1</v>
      </c>
      <c r="AD1649" s="55" t="n">
        <f aca="false">IF(AC1649,IF(01_因子設定!$B$13="最大化",AA1649-01_因子設定!$B$14,IF(01_因子設定!$B$13="最小化",01_因子設定!$B$15-AB1649,MIN(AA1649-01_因子設定!$B$14,01_因子設定!$B$15-AB1649))),-1E+030)</f>
        <v>-3.72951305809656</v>
      </c>
      <c r="AE1649" s="55" t="n">
        <f aca="false">IF(AC1649,IF(01_因子設定!$B$13="最大化",X1649,IF(01_因子設定!$B$13="最小化",-X1649,-ABS(X1649-01_因子設定!$B$16))),-1E+030)</f>
        <v>44.1584247076023</v>
      </c>
      <c r="AF1649" s="55" t="n">
        <f aca="false">AD1649+ROW()*0.000000001</f>
        <v>-3.72951140909656</v>
      </c>
      <c r="AG1649" s="55" t="n">
        <f aca="false">AE1649+ROW()*0.000000001</f>
        <v>44.1584263566023</v>
      </c>
    </row>
    <row r="1650" customFormat="false" ht="15" hidden="false" customHeight="false" outlineLevel="0" collapsed="false">
      <c r="A1650" s="0" t="n">
        <v>2</v>
      </c>
      <c r="B1650" s="0" t="n">
        <v>2</v>
      </c>
      <c r="C1650" s="0" t="n">
        <v>2</v>
      </c>
      <c r="D1650" s="0" t="n">
        <v>7</v>
      </c>
      <c r="E1650" s="0" t="n">
        <f aca="false">-1+A1650*0.25</f>
        <v>-0.5</v>
      </c>
      <c r="F1650" s="0" t="n">
        <f aca="false">-1+B1650*0.25</f>
        <v>-0.5</v>
      </c>
      <c r="G1650" s="0" t="n">
        <f aca="false">-1+C1650*0.25</f>
        <v>-0.5</v>
      </c>
      <c r="H1650" s="0" t="n">
        <f aca="false">-1+D1650*0.25</f>
        <v>0.75</v>
      </c>
      <c r="I1650" s="0" t="n">
        <f aca="false">1</f>
        <v>1</v>
      </c>
      <c r="J1650" s="0" t="n">
        <f aca="false">E1650</f>
        <v>-0.5</v>
      </c>
      <c r="K1650" s="0" t="n">
        <f aca="false">F1650</f>
        <v>-0.5</v>
      </c>
      <c r="L1650" s="0" t="n">
        <f aca="false">G1650</f>
        <v>-0.5</v>
      </c>
      <c r="M1650" s="0" t="n">
        <f aca="false">H1650</f>
        <v>0.75</v>
      </c>
      <c r="N1650" s="0" t="n">
        <f aca="false">E1650*F1650</f>
        <v>0.25</v>
      </c>
      <c r="O1650" s="0" t="n">
        <f aca="false">E1650*G1650</f>
        <v>0.25</v>
      </c>
      <c r="P1650" s="0" t="n">
        <f aca="false">E1650*H1650</f>
        <v>-0.375</v>
      </c>
      <c r="Q1650" s="0" t="n">
        <f aca="false">F1650*G1650</f>
        <v>0.25</v>
      </c>
      <c r="R1650" s="0" t="n">
        <f aca="false">F1650*H1650</f>
        <v>-0.375</v>
      </c>
      <c r="S1650" s="0" t="n">
        <f aca="false">G1650*H1650</f>
        <v>-0.375</v>
      </c>
      <c r="T1650" s="0" t="n">
        <f aca="false">E1650*E1650</f>
        <v>0.25</v>
      </c>
      <c r="U1650" s="0" t="n">
        <f aca="false">F1650*F1650</f>
        <v>0.25</v>
      </c>
      <c r="V1650" s="0" t="n">
        <f aca="false">G1650*G1650</f>
        <v>0.25</v>
      </c>
      <c r="W1650" s="0" t="n">
        <f aca="false">H1650*H1650</f>
        <v>0.5625</v>
      </c>
      <c r="X1650" s="0" t="n">
        <f aca="false">SUMPRODUCT(I1650:W1650,_XtX!$B$96:$P$96)</f>
        <v>44.1152960526316</v>
      </c>
      <c r="Y1650" s="0" t="n">
        <f aca="false">SUMPRODUCT(MMULT(I1650:W1650,_XtX!$B$78:$P$92),I1650:W1650)</f>
        <v>0.193924753289474</v>
      </c>
      <c r="Z1650" s="0" t="n">
        <f aca="false">04_回帰ANOVA!$K$19*04_回帰ANOVA!$K$14*SQRT(1+Y1650)</f>
        <v>1.4242521079916</v>
      </c>
      <c r="AA1650" s="0" t="n">
        <f aca="false">X1650-Z1650</f>
        <v>42.69104394464</v>
      </c>
      <c r="AB1650" s="0" t="n">
        <f aca="false">X1650+Z1650</f>
        <v>45.5395481606232</v>
      </c>
      <c r="AC1650" s="54" t="b">
        <f aca="false">AND(E1650&gt;=01_因子設定!$L$5-0.000000001,E1650&lt;=01_因子設定!$M$5+0.000000001,F1650&gt;=01_因子設定!$L$6-0.000000001,F1650&lt;=01_因子設定!$M$6+0.000000001,G1650&gt;=01_因子設定!$L$7-0.000000001,G1650&lt;=01_因子設定!$M$7+0.000000001,H1650&gt;=01_因子設定!$L$8-0.000000001,H1650&lt;=01_因子設定!$M$8+0.000000001,IF(01_因子設定!$B$20="Box-Behnken",E1650^2+F1650^2+G1650^2+H1650^2&lt;=2+0.000000001,TRUE()))</f>
        <v>1</v>
      </c>
      <c r="AD1650" s="55" t="n">
        <f aca="false">IF(AC1650,IF(01_因子設定!$B$13="最大化",AA1650-01_因子設定!$B$14,IF(01_因子設定!$B$13="最小化",01_因子設定!$B$15-AB1650,MIN(AA1650-01_因子設定!$B$14,01_因子設定!$B$15-AB1650))),-1E+030)</f>
        <v>-3.80895605536004</v>
      </c>
      <c r="AE1650" s="55" t="n">
        <f aca="false">IF(AC1650,IF(01_因子設定!$B$13="最大化",X1650,IF(01_因子設定!$B$13="最小化",-X1650,-ABS(X1650-01_因子設定!$B$16))),-1E+030)</f>
        <v>44.1152960526316</v>
      </c>
      <c r="AF1650" s="55" t="n">
        <f aca="false">AD1650+ROW()*0.000000001</f>
        <v>-3.80895440536004</v>
      </c>
      <c r="AG1650" s="55" t="n">
        <f aca="false">AE1650+ROW()*0.000000001</f>
        <v>44.1152977026316</v>
      </c>
    </row>
    <row r="1651" customFormat="false" ht="15" hidden="false" customHeight="false" outlineLevel="0" collapsed="false">
      <c r="A1651" s="0" t="n">
        <v>2</v>
      </c>
      <c r="B1651" s="0" t="n">
        <v>2</v>
      </c>
      <c r="C1651" s="0" t="n">
        <v>2</v>
      </c>
      <c r="D1651" s="0" t="n">
        <v>8</v>
      </c>
      <c r="E1651" s="0" t="n">
        <f aca="false">-1+A1651*0.25</f>
        <v>-0.5</v>
      </c>
      <c r="F1651" s="0" t="n">
        <f aca="false">-1+B1651*0.25</f>
        <v>-0.5</v>
      </c>
      <c r="G1651" s="0" t="n">
        <f aca="false">-1+C1651*0.25</f>
        <v>-0.5</v>
      </c>
      <c r="H1651" s="0" t="n">
        <f aca="false">-1+D1651*0.25</f>
        <v>1</v>
      </c>
      <c r="I1651" s="0" t="n">
        <f aca="false">1</f>
        <v>1</v>
      </c>
      <c r="J1651" s="0" t="n">
        <f aca="false">E1651</f>
        <v>-0.5</v>
      </c>
      <c r="K1651" s="0" t="n">
        <f aca="false">F1651</f>
        <v>-0.5</v>
      </c>
      <c r="L1651" s="0" t="n">
        <f aca="false">G1651</f>
        <v>-0.5</v>
      </c>
      <c r="M1651" s="0" t="n">
        <f aca="false">H1651</f>
        <v>1</v>
      </c>
      <c r="N1651" s="0" t="n">
        <f aca="false">E1651*F1651</f>
        <v>0.25</v>
      </c>
      <c r="O1651" s="0" t="n">
        <f aca="false">E1651*G1651</f>
        <v>0.25</v>
      </c>
      <c r="P1651" s="0" t="n">
        <f aca="false">E1651*H1651</f>
        <v>-0.5</v>
      </c>
      <c r="Q1651" s="0" t="n">
        <f aca="false">F1651*G1651</f>
        <v>0.25</v>
      </c>
      <c r="R1651" s="0" t="n">
        <f aca="false">F1651*H1651</f>
        <v>-0.5</v>
      </c>
      <c r="S1651" s="0" t="n">
        <f aca="false">G1651*H1651</f>
        <v>-0.5</v>
      </c>
      <c r="T1651" s="0" t="n">
        <f aca="false">E1651*E1651</f>
        <v>0.25</v>
      </c>
      <c r="U1651" s="0" t="n">
        <f aca="false">F1651*F1651</f>
        <v>0.25</v>
      </c>
      <c r="V1651" s="0" t="n">
        <f aca="false">G1651*G1651</f>
        <v>0.25</v>
      </c>
      <c r="W1651" s="0" t="n">
        <f aca="false">H1651*H1651</f>
        <v>1</v>
      </c>
      <c r="X1651" s="0" t="n">
        <f aca="false">SUMPRODUCT(I1651:W1651,_XtX!$B$96:$P$96)</f>
        <v>44.024360380117</v>
      </c>
      <c r="Y1651" s="0" t="n">
        <f aca="false">SUMPRODUCT(MMULT(I1651:W1651,_XtX!$B$78:$P$92),I1651:W1651)</f>
        <v>0.404719480994152</v>
      </c>
      <c r="Z1651" s="0" t="n">
        <f aca="false">04_回帰ANOVA!$K$19*04_回帰ANOVA!$K$14*SQRT(1+Y1651)</f>
        <v>1.54487446697867</v>
      </c>
      <c r="AA1651" s="0" t="n">
        <f aca="false">X1651-Z1651</f>
        <v>42.4794859131383</v>
      </c>
      <c r="AB1651" s="0" t="n">
        <f aca="false">X1651+Z1651</f>
        <v>45.5692348470956</v>
      </c>
      <c r="AC1651" s="54" t="b">
        <f aca="false">AND(E1651&gt;=01_因子設定!$L$5-0.000000001,E1651&lt;=01_因子設定!$M$5+0.000000001,F1651&gt;=01_因子設定!$L$6-0.000000001,F1651&lt;=01_因子設定!$M$6+0.000000001,G1651&gt;=01_因子設定!$L$7-0.000000001,G1651&lt;=01_因子設定!$M$7+0.000000001,H1651&gt;=01_因子設定!$L$8-0.000000001,H1651&lt;=01_因子設定!$M$8+0.000000001,IF(01_因子設定!$B$20="Box-Behnken",E1651^2+F1651^2+G1651^2+H1651^2&lt;=2+0.000000001,TRUE()))</f>
        <v>1</v>
      </c>
      <c r="AD1651" s="55" t="n">
        <f aca="false">IF(AC1651,IF(01_因子設定!$B$13="最大化",AA1651-01_因子設定!$B$14,IF(01_因子設定!$B$13="最小化",01_因子設定!$B$15-AB1651,MIN(AA1651-01_因子設定!$B$14,01_因子設定!$B$15-AB1651))),-1E+030)</f>
        <v>-4.02051408686172</v>
      </c>
      <c r="AE1651" s="55" t="n">
        <f aca="false">IF(AC1651,IF(01_因子設定!$B$13="最大化",X1651,IF(01_因子設定!$B$13="最小化",-X1651,-ABS(X1651-01_因子設定!$B$16))),-1E+030)</f>
        <v>44.024360380117</v>
      </c>
      <c r="AF1651" s="55" t="n">
        <f aca="false">AD1651+ROW()*0.000000001</f>
        <v>-4.02051243586172</v>
      </c>
      <c r="AG1651" s="55" t="n">
        <f aca="false">AE1651+ROW()*0.000000001</f>
        <v>44.024362031117</v>
      </c>
    </row>
    <row r="1652" customFormat="false" ht="15" hidden="false" customHeight="false" outlineLevel="0" collapsed="false">
      <c r="A1652" s="0" t="n">
        <v>2</v>
      </c>
      <c r="B1652" s="0" t="n">
        <v>2</v>
      </c>
      <c r="C1652" s="0" t="n">
        <v>3</v>
      </c>
      <c r="D1652" s="0" t="n">
        <v>0</v>
      </c>
      <c r="E1652" s="0" t="n">
        <f aca="false">-1+A1652*0.25</f>
        <v>-0.5</v>
      </c>
      <c r="F1652" s="0" t="n">
        <f aca="false">-1+B1652*0.25</f>
        <v>-0.5</v>
      </c>
      <c r="G1652" s="0" t="n">
        <f aca="false">-1+C1652*0.25</f>
        <v>-0.25</v>
      </c>
      <c r="H1652" s="0" t="n">
        <f aca="false">-1+D1652*0.25</f>
        <v>-1</v>
      </c>
      <c r="I1652" s="0" t="n">
        <f aca="false">1</f>
        <v>1</v>
      </c>
      <c r="J1652" s="0" t="n">
        <f aca="false">E1652</f>
        <v>-0.5</v>
      </c>
      <c r="K1652" s="0" t="n">
        <f aca="false">F1652</f>
        <v>-0.5</v>
      </c>
      <c r="L1652" s="0" t="n">
        <f aca="false">G1652</f>
        <v>-0.25</v>
      </c>
      <c r="M1652" s="0" t="n">
        <f aca="false">H1652</f>
        <v>-1</v>
      </c>
      <c r="N1652" s="0" t="n">
        <f aca="false">E1652*F1652</f>
        <v>0.25</v>
      </c>
      <c r="O1652" s="0" t="n">
        <f aca="false">E1652*G1652</f>
        <v>0.125</v>
      </c>
      <c r="P1652" s="0" t="n">
        <f aca="false">E1652*H1652</f>
        <v>0.5</v>
      </c>
      <c r="Q1652" s="0" t="n">
        <f aca="false">F1652*G1652</f>
        <v>0.125</v>
      </c>
      <c r="R1652" s="0" t="n">
        <f aca="false">F1652*H1652</f>
        <v>0.5</v>
      </c>
      <c r="S1652" s="0" t="n">
        <f aca="false">G1652*H1652</f>
        <v>0.25</v>
      </c>
      <c r="T1652" s="0" t="n">
        <f aca="false">E1652*E1652</f>
        <v>0.25</v>
      </c>
      <c r="U1652" s="0" t="n">
        <f aca="false">F1652*F1652</f>
        <v>0.25</v>
      </c>
      <c r="V1652" s="0" t="n">
        <f aca="false">G1652*G1652</f>
        <v>0.0625</v>
      </c>
      <c r="W1652" s="0" t="n">
        <f aca="false">H1652*H1652</f>
        <v>1</v>
      </c>
      <c r="X1652" s="0" t="n">
        <f aca="false">SUMPRODUCT(I1652:W1652,_XtX!$B$96:$P$96)</f>
        <v>43.757355628655</v>
      </c>
      <c r="Y1652" s="0" t="n">
        <f aca="false">SUMPRODUCT(MMULT(I1652:W1652,_XtX!$B$78:$P$92),I1652:W1652)</f>
        <v>0.428122715643275</v>
      </c>
      <c r="Z1652" s="0" t="n">
        <f aca="false">04_回帰ANOVA!$K$19*04_回帰ANOVA!$K$14*SQRT(1+Y1652)</f>
        <v>1.55769044623229</v>
      </c>
      <c r="AA1652" s="0" t="n">
        <f aca="false">X1652-Z1652</f>
        <v>42.1996651824227</v>
      </c>
      <c r="AB1652" s="0" t="n">
        <f aca="false">X1652+Z1652</f>
        <v>45.3150460748873</v>
      </c>
      <c r="AC1652" s="54" t="b">
        <f aca="false">AND(E1652&gt;=01_因子設定!$L$5-0.000000001,E1652&lt;=01_因子設定!$M$5+0.000000001,F1652&gt;=01_因子設定!$L$6-0.000000001,F1652&lt;=01_因子設定!$M$6+0.000000001,G1652&gt;=01_因子設定!$L$7-0.000000001,G1652&lt;=01_因子設定!$M$7+0.000000001,H1652&gt;=01_因子設定!$L$8-0.000000001,H1652&lt;=01_因子設定!$M$8+0.000000001,IF(01_因子設定!$B$20="Box-Behnken",E1652^2+F1652^2+G1652^2+H1652^2&lt;=2+0.000000001,TRUE()))</f>
        <v>1</v>
      </c>
      <c r="AD1652" s="55" t="n">
        <f aca="false">IF(AC1652,IF(01_因子設定!$B$13="最大化",AA1652-01_因子設定!$B$14,IF(01_因子設定!$B$13="最小化",01_因子設定!$B$15-AB1652,MIN(AA1652-01_因子設定!$B$14,01_因子設定!$B$15-AB1652))),-1E+030)</f>
        <v>-4.30033481757733</v>
      </c>
      <c r="AE1652" s="55" t="n">
        <f aca="false">IF(AC1652,IF(01_因子設定!$B$13="最大化",X1652,IF(01_因子設定!$B$13="最小化",-X1652,-ABS(X1652-01_因子設定!$B$16))),-1E+030)</f>
        <v>43.757355628655</v>
      </c>
      <c r="AF1652" s="55" t="n">
        <f aca="false">AD1652+ROW()*0.000000001</f>
        <v>-4.30033316557733</v>
      </c>
      <c r="AG1652" s="55" t="n">
        <f aca="false">AE1652+ROW()*0.000000001</f>
        <v>43.757357280655</v>
      </c>
    </row>
    <row r="1653" customFormat="false" ht="15" hidden="false" customHeight="false" outlineLevel="0" collapsed="false">
      <c r="A1653" s="0" t="n">
        <v>2</v>
      </c>
      <c r="B1653" s="0" t="n">
        <v>2</v>
      </c>
      <c r="C1653" s="0" t="n">
        <v>3</v>
      </c>
      <c r="D1653" s="0" t="n">
        <v>1</v>
      </c>
      <c r="E1653" s="0" t="n">
        <f aca="false">-1+A1653*0.25</f>
        <v>-0.5</v>
      </c>
      <c r="F1653" s="0" t="n">
        <f aca="false">-1+B1653*0.25</f>
        <v>-0.5</v>
      </c>
      <c r="G1653" s="0" t="n">
        <f aca="false">-1+C1653*0.25</f>
        <v>-0.25</v>
      </c>
      <c r="H1653" s="0" t="n">
        <f aca="false">-1+D1653*0.25</f>
        <v>-0.75</v>
      </c>
      <c r="I1653" s="0" t="n">
        <f aca="false">1</f>
        <v>1</v>
      </c>
      <c r="J1653" s="0" t="n">
        <f aca="false">E1653</f>
        <v>-0.5</v>
      </c>
      <c r="K1653" s="0" t="n">
        <f aca="false">F1653</f>
        <v>-0.5</v>
      </c>
      <c r="L1653" s="0" t="n">
        <f aca="false">G1653</f>
        <v>-0.25</v>
      </c>
      <c r="M1653" s="0" t="n">
        <f aca="false">H1653</f>
        <v>-0.75</v>
      </c>
      <c r="N1653" s="0" t="n">
        <f aca="false">E1653*F1653</f>
        <v>0.25</v>
      </c>
      <c r="O1653" s="0" t="n">
        <f aca="false">E1653*G1653</f>
        <v>0.125</v>
      </c>
      <c r="P1653" s="0" t="n">
        <f aca="false">E1653*H1653</f>
        <v>0.375</v>
      </c>
      <c r="Q1653" s="0" t="n">
        <f aca="false">F1653*G1653</f>
        <v>0.125</v>
      </c>
      <c r="R1653" s="0" t="n">
        <f aca="false">F1653*H1653</f>
        <v>0.375</v>
      </c>
      <c r="S1653" s="0" t="n">
        <f aca="false">G1653*H1653</f>
        <v>0.1875</v>
      </c>
      <c r="T1653" s="0" t="n">
        <f aca="false">E1653*E1653</f>
        <v>0.25</v>
      </c>
      <c r="U1653" s="0" t="n">
        <f aca="false">F1653*F1653</f>
        <v>0.25</v>
      </c>
      <c r="V1653" s="0" t="n">
        <f aca="false">G1653*G1653</f>
        <v>0.0625</v>
      </c>
      <c r="W1653" s="0" t="n">
        <f aca="false">H1653*H1653</f>
        <v>0.5625</v>
      </c>
      <c r="X1653" s="0" t="n">
        <f aca="false">SUMPRODUCT(I1653:W1653,_XtX!$B$96:$P$96)</f>
        <v>44.0190378289474</v>
      </c>
      <c r="Y1653" s="0" t="n">
        <f aca="false">SUMPRODUCT(MMULT(I1653:W1653,_XtX!$B$78:$P$92),I1653:W1653)</f>
        <v>0.203746059484649</v>
      </c>
      <c r="Z1653" s="0" t="n">
        <f aca="false">04_回帰ANOVA!$K$19*04_回帰ANOVA!$K$14*SQRT(1+Y1653)</f>
        <v>1.43009810755465</v>
      </c>
      <c r="AA1653" s="0" t="n">
        <f aca="false">X1653-Z1653</f>
        <v>42.5889397213927</v>
      </c>
      <c r="AB1653" s="0" t="n">
        <f aca="false">X1653+Z1653</f>
        <v>45.449135936502</v>
      </c>
      <c r="AC1653" s="54" t="b">
        <f aca="false">AND(E1653&gt;=01_因子設定!$L$5-0.000000001,E1653&lt;=01_因子設定!$M$5+0.000000001,F1653&gt;=01_因子設定!$L$6-0.000000001,F1653&lt;=01_因子設定!$M$6+0.000000001,G1653&gt;=01_因子設定!$L$7-0.000000001,G1653&lt;=01_因子設定!$M$7+0.000000001,H1653&gt;=01_因子設定!$L$8-0.000000001,H1653&lt;=01_因子設定!$M$8+0.000000001,IF(01_因子設定!$B$20="Box-Behnken",E1653^2+F1653^2+G1653^2+H1653^2&lt;=2+0.000000001,TRUE()))</f>
        <v>1</v>
      </c>
      <c r="AD1653" s="55" t="n">
        <f aca="false">IF(AC1653,IF(01_因子設定!$B$13="最大化",AA1653-01_因子設定!$B$14,IF(01_因子設定!$B$13="最小化",01_因子設定!$B$15-AB1653,MIN(AA1653-01_因子設定!$B$14,01_因子設定!$B$15-AB1653))),-1E+030)</f>
        <v>-3.9110602786073</v>
      </c>
      <c r="AE1653" s="55" t="n">
        <f aca="false">IF(AC1653,IF(01_因子設定!$B$13="最大化",X1653,IF(01_因子設定!$B$13="最小化",-X1653,-ABS(X1653-01_因子設定!$B$16))),-1E+030)</f>
        <v>44.0190378289474</v>
      </c>
      <c r="AF1653" s="55" t="n">
        <f aca="false">AD1653+ROW()*0.000000001</f>
        <v>-3.9110586256073</v>
      </c>
      <c r="AG1653" s="55" t="n">
        <f aca="false">AE1653+ROW()*0.000000001</f>
        <v>44.0190394819473</v>
      </c>
    </row>
    <row r="1654" customFormat="false" ht="15" hidden="false" customHeight="false" outlineLevel="0" collapsed="false">
      <c r="A1654" s="0" t="n">
        <v>2</v>
      </c>
      <c r="B1654" s="0" t="n">
        <v>2</v>
      </c>
      <c r="C1654" s="0" t="n">
        <v>3</v>
      </c>
      <c r="D1654" s="0" t="n">
        <v>2</v>
      </c>
      <c r="E1654" s="0" t="n">
        <f aca="false">-1+A1654*0.25</f>
        <v>-0.5</v>
      </c>
      <c r="F1654" s="0" t="n">
        <f aca="false">-1+B1654*0.25</f>
        <v>-0.5</v>
      </c>
      <c r="G1654" s="0" t="n">
        <f aca="false">-1+C1654*0.25</f>
        <v>-0.25</v>
      </c>
      <c r="H1654" s="0" t="n">
        <f aca="false">-1+D1654*0.25</f>
        <v>-0.5</v>
      </c>
      <c r="I1654" s="0" t="n">
        <f aca="false">1</f>
        <v>1</v>
      </c>
      <c r="J1654" s="0" t="n">
        <f aca="false">E1654</f>
        <v>-0.5</v>
      </c>
      <c r="K1654" s="0" t="n">
        <f aca="false">F1654</f>
        <v>-0.5</v>
      </c>
      <c r="L1654" s="0" t="n">
        <f aca="false">G1654</f>
        <v>-0.25</v>
      </c>
      <c r="M1654" s="0" t="n">
        <f aca="false">H1654</f>
        <v>-0.5</v>
      </c>
      <c r="N1654" s="0" t="n">
        <f aca="false">E1654*F1654</f>
        <v>0.25</v>
      </c>
      <c r="O1654" s="0" t="n">
        <f aca="false">E1654*G1654</f>
        <v>0.125</v>
      </c>
      <c r="P1654" s="0" t="n">
        <f aca="false">E1654*H1654</f>
        <v>0.25</v>
      </c>
      <c r="Q1654" s="0" t="n">
        <f aca="false">F1654*G1654</f>
        <v>0.125</v>
      </c>
      <c r="R1654" s="0" t="n">
        <f aca="false">F1654*H1654</f>
        <v>0.25</v>
      </c>
      <c r="S1654" s="0" t="n">
        <f aca="false">G1654*H1654</f>
        <v>0.125</v>
      </c>
      <c r="T1654" s="0" t="n">
        <f aca="false">E1654*E1654</f>
        <v>0.25</v>
      </c>
      <c r="U1654" s="0" t="n">
        <f aca="false">F1654*F1654</f>
        <v>0.25</v>
      </c>
      <c r="V1654" s="0" t="n">
        <f aca="false">G1654*G1654</f>
        <v>0.0625</v>
      </c>
      <c r="W1654" s="0" t="n">
        <f aca="false">H1654*H1654</f>
        <v>0.25</v>
      </c>
      <c r="X1654" s="0" t="n">
        <f aca="false">SUMPRODUCT(I1654:W1654,_XtX!$B$96:$P$96)</f>
        <v>44.2329130116959</v>
      </c>
      <c r="Y1654" s="0" t="n">
        <f aca="false">SUMPRODUCT(MMULT(I1654:W1654,_XtX!$B$78:$P$92),I1654:W1654)</f>
        <v>0.133937545687135</v>
      </c>
      <c r="Z1654" s="0" t="n">
        <f aca="false">04_回帰ANOVA!$K$19*04_回帰ANOVA!$K$14*SQRT(1+Y1654)</f>
        <v>1.38801116780825</v>
      </c>
      <c r="AA1654" s="0" t="n">
        <f aca="false">X1654-Z1654</f>
        <v>42.8449018438876</v>
      </c>
      <c r="AB1654" s="0" t="n">
        <f aca="false">X1654+Z1654</f>
        <v>45.6209241795041</v>
      </c>
      <c r="AC1654" s="54" t="b">
        <f aca="false">AND(E1654&gt;=01_因子設定!$L$5-0.000000001,E1654&lt;=01_因子設定!$M$5+0.000000001,F1654&gt;=01_因子設定!$L$6-0.000000001,F1654&lt;=01_因子設定!$M$6+0.000000001,G1654&gt;=01_因子設定!$L$7-0.000000001,G1654&lt;=01_因子設定!$M$7+0.000000001,H1654&gt;=01_因子設定!$L$8-0.000000001,H1654&lt;=01_因子設定!$M$8+0.000000001,IF(01_因子設定!$B$20="Box-Behnken",E1654^2+F1654^2+G1654^2+H1654^2&lt;=2+0.000000001,TRUE()))</f>
        <v>1</v>
      </c>
      <c r="AD1654" s="55" t="n">
        <f aca="false">IF(AC1654,IF(01_因子設定!$B$13="最大化",AA1654-01_因子設定!$B$14,IF(01_因子設定!$B$13="最小化",01_因子設定!$B$15-AB1654,MIN(AA1654-01_因子設定!$B$14,01_因子設定!$B$15-AB1654))),-1E+030)</f>
        <v>-3.65509815611238</v>
      </c>
      <c r="AE1654" s="55" t="n">
        <f aca="false">IF(AC1654,IF(01_因子設定!$B$13="最大化",X1654,IF(01_因子設定!$B$13="最小化",-X1654,-ABS(X1654-01_因子設定!$B$16))),-1E+030)</f>
        <v>44.2329130116959</v>
      </c>
      <c r="AF1654" s="55" t="n">
        <f aca="false">AD1654+ROW()*0.000000001</f>
        <v>-3.65509650211238</v>
      </c>
      <c r="AG1654" s="55" t="n">
        <f aca="false">AE1654+ROW()*0.000000001</f>
        <v>44.2329146656959</v>
      </c>
    </row>
    <row r="1655" customFormat="false" ht="15" hidden="false" customHeight="false" outlineLevel="0" collapsed="false">
      <c r="A1655" s="0" t="n">
        <v>2</v>
      </c>
      <c r="B1655" s="0" t="n">
        <v>2</v>
      </c>
      <c r="C1655" s="0" t="n">
        <v>3</v>
      </c>
      <c r="D1655" s="0" t="n">
        <v>3</v>
      </c>
      <c r="E1655" s="0" t="n">
        <f aca="false">-1+A1655*0.25</f>
        <v>-0.5</v>
      </c>
      <c r="F1655" s="0" t="n">
        <f aca="false">-1+B1655*0.25</f>
        <v>-0.5</v>
      </c>
      <c r="G1655" s="0" t="n">
        <f aca="false">-1+C1655*0.25</f>
        <v>-0.25</v>
      </c>
      <c r="H1655" s="0" t="n">
        <f aca="false">-1+D1655*0.25</f>
        <v>-0.25</v>
      </c>
      <c r="I1655" s="0" t="n">
        <f aca="false">1</f>
        <v>1</v>
      </c>
      <c r="J1655" s="0" t="n">
        <f aca="false">E1655</f>
        <v>-0.5</v>
      </c>
      <c r="K1655" s="0" t="n">
        <f aca="false">F1655</f>
        <v>-0.5</v>
      </c>
      <c r="L1655" s="0" t="n">
        <f aca="false">G1655</f>
        <v>-0.25</v>
      </c>
      <c r="M1655" s="0" t="n">
        <f aca="false">H1655</f>
        <v>-0.25</v>
      </c>
      <c r="N1655" s="0" t="n">
        <f aca="false">E1655*F1655</f>
        <v>0.25</v>
      </c>
      <c r="O1655" s="0" t="n">
        <f aca="false">E1655*G1655</f>
        <v>0.125</v>
      </c>
      <c r="P1655" s="0" t="n">
        <f aca="false">E1655*H1655</f>
        <v>0.125</v>
      </c>
      <c r="Q1655" s="0" t="n">
        <f aca="false">F1655*G1655</f>
        <v>0.125</v>
      </c>
      <c r="R1655" s="0" t="n">
        <f aca="false">F1655*H1655</f>
        <v>0.125</v>
      </c>
      <c r="S1655" s="0" t="n">
        <f aca="false">G1655*H1655</f>
        <v>0.0625</v>
      </c>
      <c r="T1655" s="0" t="n">
        <f aca="false">E1655*E1655</f>
        <v>0.25</v>
      </c>
      <c r="U1655" s="0" t="n">
        <f aca="false">F1655*F1655</f>
        <v>0.25</v>
      </c>
      <c r="V1655" s="0" t="n">
        <f aca="false">G1655*G1655</f>
        <v>0.0625</v>
      </c>
      <c r="W1655" s="0" t="n">
        <f aca="false">H1655*H1655</f>
        <v>0.0625</v>
      </c>
      <c r="X1655" s="0" t="n">
        <f aca="false">SUMPRODUCT(I1655:W1655,_XtX!$B$96:$P$96)</f>
        <v>44.3989811769005</v>
      </c>
      <c r="Y1655" s="0" t="n">
        <f aca="false">SUMPRODUCT(MMULT(I1655:W1655,_XtX!$B$78:$P$92),I1655:W1655)</f>
        <v>0.128236647934942</v>
      </c>
      <c r="Z1655" s="0" t="n">
        <f aca="false">04_回帰ANOVA!$K$19*04_回帰ANOVA!$K$14*SQRT(1+Y1655)</f>
        <v>1.38451764188989</v>
      </c>
      <c r="AA1655" s="0" t="n">
        <f aca="false">X1655-Z1655</f>
        <v>43.0144635350107</v>
      </c>
      <c r="AB1655" s="0" t="n">
        <f aca="false">X1655+Z1655</f>
        <v>45.7834988187904</v>
      </c>
      <c r="AC1655" s="54" t="b">
        <f aca="false">AND(E1655&gt;=01_因子設定!$L$5-0.000000001,E1655&lt;=01_因子設定!$M$5+0.000000001,F1655&gt;=01_因子設定!$L$6-0.000000001,F1655&lt;=01_因子設定!$M$6+0.000000001,G1655&gt;=01_因子設定!$L$7-0.000000001,G1655&lt;=01_因子設定!$M$7+0.000000001,H1655&gt;=01_因子設定!$L$8-0.000000001,H1655&lt;=01_因子設定!$M$8+0.000000001,IF(01_因子設定!$B$20="Box-Behnken",E1655^2+F1655^2+G1655^2+H1655^2&lt;=2+0.000000001,TRUE()))</f>
        <v>1</v>
      </c>
      <c r="AD1655" s="55" t="n">
        <f aca="false">IF(AC1655,IF(01_因子設定!$B$13="最大化",AA1655-01_因子設定!$B$14,IF(01_因子設定!$B$13="最小化",01_因子設定!$B$15-AB1655,MIN(AA1655-01_因子設定!$B$14,01_因子設定!$B$15-AB1655))),-1E+030)</f>
        <v>-3.48553646498934</v>
      </c>
      <c r="AE1655" s="55" t="n">
        <f aca="false">IF(AC1655,IF(01_因子設定!$B$13="最大化",X1655,IF(01_因子設定!$B$13="最小化",-X1655,-ABS(X1655-01_因子設定!$B$16))),-1E+030)</f>
        <v>44.3989811769005</v>
      </c>
      <c r="AF1655" s="55" t="n">
        <f aca="false">AD1655+ROW()*0.000000001</f>
        <v>-3.48553480998934</v>
      </c>
      <c r="AG1655" s="55" t="n">
        <f aca="false">AE1655+ROW()*0.000000001</f>
        <v>44.3989828319005</v>
      </c>
    </row>
    <row r="1656" customFormat="false" ht="15" hidden="false" customHeight="false" outlineLevel="0" collapsed="false">
      <c r="A1656" s="0" t="n">
        <v>2</v>
      </c>
      <c r="B1656" s="0" t="n">
        <v>2</v>
      </c>
      <c r="C1656" s="0" t="n">
        <v>3</v>
      </c>
      <c r="D1656" s="0" t="n">
        <v>4</v>
      </c>
      <c r="E1656" s="0" t="n">
        <f aca="false">-1+A1656*0.25</f>
        <v>-0.5</v>
      </c>
      <c r="F1656" s="0" t="n">
        <f aca="false">-1+B1656*0.25</f>
        <v>-0.5</v>
      </c>
      <c r="G1656" s="0" t="n">
        <f aca="false">-1+C1656*0.25</f>
        <v>-0.25</v>
      </c>
      <c r="H1656" s="0" t="n">
        <f aca="false">-1+D1656*0.25</f>
        <v>0</v>
      </c>
      <c r="I1656" s="0" t="n">
        <f aca="false">1</f>
        <v>1</v>
      </c>
      <c r="J1656" s="0" t="n">
        <f aca="false">E1656</f>
        <v>-0.5</v>
      </c>
      <c r="K1656" s="0" t="n">
        <f aca="false">F1656</f>
        <v>-0.5</v>
      </c>
      <c r="L1656" s="0" t="n">
        <f aca="false">G1656</f>
        <v>-0.25</v>
      </c>
      <c r="M1656" s="0" t="n">
        <f aca="false">H1656</f>
        <v>0</v>
      </c>
      <c r="N1656" s="0" t="n">
        <f aca="false">E1656*F1656</f>
        <v>0.25</v>
      </c>
      <c r="O1656" s="0" t="n">
        <f aca="false">E1656*G1656</f>
        <v>0.125</v>
      </c>
      <c r="P1656" s="0" t="n">
        <f aca="false">E1656*H1656</f>
        <v>-0</v>
      </c>
      <c r="Q1656" s="0" t="n">
        <f aca="false">F1656*G1656</f>
        <v>0.125</v>
      </c>
      <c r="R1656" s="0" t="n">
        <f aca="false">F1656*H1656</f>
        <v>-0</v>
      </c>
      <c r="S1656" s="0" t="n">
        <f aca="false">G1656*H1656</f>
        <v>-0</v>
      </c>
      <c r="T1656" s="0" t="n">
        <f aca="false">E1656*E1656</f>
        <v>0.25</v>
      </c>
      <c r="U1656" s="0" t="n">
        <f aca="false">F1656*F1656</f>
        <v>0.25</v>
      </c>
      <c r="V1656" s="0" t="n">
        <f aca="false">G1656*G1656</f>
        <v>0.0625</v>
      </c>
      <c r="W1656" s="0" t="n">
        <f aca="false">H1656*H1656</f>
        <v>0</v>
      </c>
      <c r="X1656" s="0" t="n">
        <f aca="false">SUMPRODUCT(I1656:W1656,_XtX!$B$96:$P$96)</f>
        <v>44.5172423245614</v>
      </c>
      <c r="Y1656" s="0" t="n">
        <f aca="false">SUMPRODUCT(MMULT(I1656:W1656,_XtX!$B$78:$P$92),I1656:W1656)</f>
        <v>0.132367050438597</v>
      </c>
      <c r="Z1656" s="0" t="n">
        <f aca="false">04_回帰ANOVA!$K$19*04_回帰ANOVA!$K$14*SQRT(1+Y1656)</f>
        <v>1.38704964208329</v>
      </c>
      <c r="AA1656" s="0" t="n">
        <f aca="false">X1656-Z1656</f>
        <v>43.1301926824781</v>
      </c>
      <c r="AB1656" s="0" t="n">
        <f aca="false">X1656+Z1656</f>
        <v>45.9042919666447</v>
      </c>
      <c r="AC1656" s="54" t="b">
        <f aca="false">AND(E1656&gt;=01_因子設定!$L$5-0.000000001,E1656&lt;=01_因子設定!$M$5+0.000000001,F1656&gt;=01_因子設定!$L$6-0.000000001,F1656&lt;=01_因子設定!$M$6+0.000000001,G1656&gt;=01_因子設定!$L$7-0.000000001,G1656&lt;=01_因子設定!$M$7+0.000000001,H1656&gt;=01_因子設定!$L$8-0.000000001,H1656&lt;=01_因子設定!$M$8+0.000000001,IF(01_因子設定!$B$20="Box-Behnken",E1656^2+F1656^2+G1656^2+H1656^2&lt;=2+0.000000001,TRUE()))</f>
        <v>1</v>
      </c>
      <c r="AD1656" s="55" t="n">
        <f aca="false">IF(AC1656,IF(01_因子設定!$B$13="最大化",AA1656-01_因子設定!$B$14,IF(01_因子設定!$B$13="最小化",01_因子設定!$B$15-AB1656,MIN(AA1656-01_因子設定!$B$14,01_因子設定!$B$15-AB1656))),-1E+030)</f>
        <v>-3.36980731752193</v>
      </c>
      <c r="AE1656" s="55" t="n">
        <f aca="false">IF(AC1656,IF(01_因子設定!$B$13="最大化",X1656,IF(01_因子設定!$B$13="最小化",-X1656,-ABS(X1656-01_因子設定!$B$16))),-1E+030)</f>
        <v>44.5172423245614</v>
      </c>
      <c r="AF1656" s="55" t="n">
        <f aca="false">AD1656+ROW()*0.000000001</f>
        <v>-3.36980566152193</v>
      </c>
      <c r="AG1656" s="55" t="n">
        <f aca="false">AE1656+ROW()*0.000000001</f>
        <v>44.5172439805614</v>
      </c>
    </row>
    <row r="1657" customFormat="false" ht="15" hidden="false" customHeight="false" outlineLevel="0" collapsed="false">
      <c r="A1657" s="0" t="n">
        <v>2</v>
      </c>
      <c r="B1657" s="0" t="n">
        <v>2</v>
      </c>
      <c r="C1657" s="0" t="n">
        <v>3</v>
      </c>
      <c r="D1657" s="0" t="n">
        <v>5</v>
      </c>
      <c r="E1657" s="0" t="n">
        <f aca="false">-1+A1657*0.25</f>
        <v>-0.5</v>
      </c>
      <c r="F1657" s="0" t="n">
        <f aca="false">-1+B1657*0.25</f>
        <v>-0.5</v>
      </c>
      <c r="G1657" s="0" t="n">
        <f aca="false">-1+C1657*0.25</f>
        <v>-0.25</v>
      </c>
      <c r="H1657" s="0" t="n">
        <f aca="false">-1+D1657*0.25</f>
        <v>0.25</v>
      </c>
      <c r="I1657" s="0" t="n">
        <f aca="false">1</f>
        <v>1</v>
      </c>
      <c r="J1657" s="0" t="n">
        <f aca="false">E1657</f>
        <v>-0.5</v>
      </c>
      <c r="K1657" s="0" t="n">
        <f aca="false">F1657</f>
        <v>-0.5</v>
      </c>
      <c r="L1657" s="0" t="n">
        <f aca="false">G1657</f>
        <v>-0.25</v>
      </c>
      <c r="M1657" s="0" t="n">
        <f aca="false">H1657</f>
        <v>0.25</v>
      </c>
      <c r="N1657" s="0" t="n">
        <f aca="false">E1657*F1657</f>
        <v>0.25</v>
      </c>
      <c r="O1657" s="0" t="n">
        <f aca="false">E1657*G1657</f>
        <v>0.125</v>
      </c>
      <c r="P1657" s="0" t="n">
        <f aca="false">E1657*H1657</f>
        <v>-0.125</v>
      </c>
      <c r="Q1657" s="0" t="n">
        <f aca="false">F1657*G1657</f>
        <v>0.125</v>
      </c>
      <c r="R1657" s="0" t="n">
        <f aca="false">F1657*H1657</f>
        <v>-0.125</v>
      </c>
      <c r="S1657" s="0" t="n">
        <f aca="false">G1657*H1657</f>
        <v>-0.0625</v>
      </c>
      <c r="T1657" s="0" t="n">
        <f aca="false">E1657*E1657</f>
        <v>0.25</v>
      </c>
      <c r="U1657" s="0" t="n">
        <f aca="false">F1657*F1657</f>
        <v>0.25</v>
      </c>
      <c r="V1657" s="0" t="n">
        <f aca="false">G1657*G1657</f>
        <v>0.0625</v>
      </c>
      <c r="W1657" s="0" t="n">
        <f aca="false">H1657*H1657</f>
        <v>0.0625</v>
      </c>
      <c r="X1657" s="0" t="n">
        <f aca="false">SUMPRODUCT(I1657:W1657,_XtX!$B$96:$P$96)</f>
        <v>44.5876964546783</v>
      </c>
      <c r="Y1657" s="0" t="n">
        <f aca="false">SUMPRODUCT(MMULT(I1657:W1657,_XtX!$B$78:$P$92),I1657:W1657)</f>
        <v>0.128236647934942</v>
      </c>
      <c r="Z1657" s="0" t="n">
        <f aca="false">04_回帰ANOVA!$K$19*04_回帰ANOVA!$K$14*SQRT(1+Y1657)</f>
        <v>1.38451764188989</v>
      </c>
      <c r="AA1657" s="0" t="n">
        <f aca="false">X1657-Z1657</f>
        <v>43.2031788127884</v>
      </c>
      <c r="AB1657" s="0" t="n">
        <f aca="false">X1657+Z1657</f>
        <v>45.9722140965682</v>
      </c>
      <c r="AC1657" s="54" t="b">
        <f aca="false">AND(E1657&gt;=01_因子設定!$L$5-0.000000001,E1657&lt;=01_因子設定!$M$5+0.000000001,F1657&gt;=01_因子設定!$L$6-0.000000001,F1657&lt;=01_因子設定!$M$6+0.000000001,G1657&gt;=01_因子設定!$L$7-0.000000001,G1657&lt;=01_因子設定!$M$7+0.000000001,H1657&gt;=01_因子設定!$L$8-0.000000001,H1657&lt;=01_因子設定!$M$8+0.000000001,IF(01_因子設定!$B$20="Box-Behnken",E1657^2+F1657^2+G1657^2+H1657^2&lt;=2+0.000000001,TRUE()))</f>
        <v>1</v>
      </c>
      <c r="AD1657" s="55" t="n">
        <f aca="false">IF(AC1657,IF(01_因子設定!$B$13="最大化",AA1657-01_因子設定!$B$14,IF(01_因子設定!$B$13="最小化",01_因子設定!$B$15-AB1657,MIN(AA1657-01_因子設定!$B$14,01_因子設定!$B$15-AB1657))),-1E+030)</f>
        <v>-3.29682118721156</v>
      </c>
      <c r="AE1657" s="55" t="n">
        <f aca="false">IF(AC1657,IF(01_因子設定!$B$13="最大化",X1657,IF(01_因子設定!$B$13="最小化",-X1657,-ABS(X1657-01_因子設定!$B$16))),-1E+030)</f>
        <v>44.5876964546783</v>
      </c>
      <c r="AF1657" s="55" t="n">
        <f aca="false">AD1657+ROW()*0.000000001</f>
        <v>-3.29681953021156</v>
      </c>
      <c r="AG1657" s="55" t="n">
        <f aca="false">AE1657+ROW()*0.000000001</f>
        <v>44.5876981116783</v>
      </c>
    </row>
    <row r="1658" customFormat="false" ht="15" hidden="false" customHeight="false" outlineLevel="0" collapsed="false">
      <c r="A1658" s="0" t="n">
        <v>2</v>
      </c>
      <c r="B1658" s="0" t="n">
        <v>2</v>
      </c>
      <c r="C1658" s="0" t="n">
        <v>3</v>
      </c>
      <c r="D1658" s="0" t="n">
        <v>6</v>
      </c>
      <c r="E1658" s="0" t="n">
        <f aca="false">-1+A1658*0.25</f>
        <v>-0.5</v>
      </c>
      <c r="F1658" s="0" t="n">
        <f aca="false">-1+B1658*0.25</f>
        <v>-0.5</v>
      </c>
      <c r="G1658" s="0" t="n">
        <f aca="false">-1+C1658*0.25</f>
        <v>-0.25</v>
      </c>
      <c r="H1658" s="0" t="n">
        <f aca="false">-1+D1658*0.25</f>
        <v>0.5</v>
      </c>
      <c r="I1658" s="0" t="n">
        <f aca="false">1</f>
        <v>1</v>
      </c>
      <c r="J1658" s="0" t="n">
        <f aca="false">E1658</f>
        <v>-0.5</v>
      </c>
      <c r="K1658" s="0" t="n">
        <f aca="false">F1658</f>
        <v>-0.5</v>
      </c>
      <c r="L1658" s="0" t="n">
        <f aca="false">G1658</f>
        <v>-0.25</v>
      </c>
      <c r="M1658" s="0" t="n">
        <f aca="false">H1658</f>
        <v>0.5</v>
      </c>
      <c r="N1658" s="0" t="n">
        <f aca="false">E1658*F1658</f>
        <v>0.25</v>
      </c>
      <c r="O1658" s="0" t="n">
        <f aca="false">E1658*G1658</f>
        <v>0.125</v>
      </c>
      <c r="P1658" s="0" t="n">
        <f aca="false">E1658*H1658</f>
        <v>-0.25</v>
      </c>
      <c r="Q1658" s="0" t="n">
        <f aca="false">F1658*G1658</f>
        <v>0.125</v>
      </c>
      <c r="R1658" s="0" t="n">
        <f aca="false">F1658*H1658</f>
        <v>-0.25</v>
      </c>
      <c r="S1658" s="0" t="n">
        <f aca="false">G1658*H1658</f>
        <v>-0.125</v>
      </c>
      <c r="T1658" s="0" t="n">
        <f aca="false">E1658*E1658</f>
        <v>0.25</v>
      </c>
      <c r="U1658" s="0" t="n">
        <f aca="false">F1658*F1658</f>
        <v>0.25</v>
      </c>
      <c r="V1658" s="0" t="n">
        <f aca="false">G1658*G1658</f>
        <v>0.0625</v>
      </c>
      <c r="W1658" s="0" t="n">
        <f aca="false">H1658*H1658</f>
        <v>0.25</v>
      </c>
      <c r="X1658" s="0" t="n">
        <f aca="false">SUMPRODUCT(I1658:W1658,_XtX!$B$96:$P$96)</f>
        <v>44.6103435672514</v>
      </c>
      <c r="Y1658" s="0" t="n">
        <f aca="false">SUMPRODUCT(MMULT(I1658:W1658,_XtX!$B$78:$P$92),I1658:W1658)</f>
        <v>0.133937545687135</v>
      </c>
      <c r="Z1658" s="0" t="n">
        <f aca="false">04_回帰ANOVA!$K$19*04_回帰ANOVA!$K$14*SQRT(1+Y1658)</f>
        <v>1.38801116780825</v>
      </c>
      <c r="AA1658" s="0" t="n">
        <f aca="false">X1658-Z1658</f>
        <v>43.2223323994432</v>
      </c>
      <c r="AB1658" s="0" t="n">
        <f aca="false">X1658+Z1658</f>
        <v>45.9983547350597</v>
      </c>
      <c r="AC1658" s="54" t="b">
        <f aca="false">AND(E1658&gt;=01_因子設定!$L$5-0.000000001,E1658&lt;=01_因子設定!$M$5+0.000000001,F1658&gt;=01_因子設定!$L$6-0.000000001,F1658&lt;=01_因子設定!$M$6+0.000000001,G1658&gt;=01_因子設定!$L$7-0.000000001,G1658&lt;=01_因子設定!$M$7+0.000000001,H1658&gt;=01_因子設定!$L$8-0.000000001,H1658&lt;=01_因子設定!$M$8+0.000000001,IF(01_因子設定!$B$20="Box-Behnken",E1658^2+F1658^2+G1658^2+H1658^2&lt;=2+0.000000001,TRUE()))</f>
        <v>1</v>
      </c>
      <c r="AD1658" s="55" t="n">
        <f aca="false">IF(AC1658,IF(01_因子設定!$B$13="最大化",AA1658-01_因子設定!$B$14,IF(01_因子設定!$B$13="最小化",01_因子設定!$B$15-AB1658,MIN(AA1658-01_因子設定!$B$14,01_因子設定!$B$15-AB1658))),-1E+030)</f>
        <v>-3.27766760055683</v>
      </c>
      <c r="AE1658" s="55" t="n">
        <f aca="false">IF(AC1658,IF(01_因子設定!$B$13="最大化",X1658,IF(01_因子設定!$B$13="最小化",-X1658,-ABS(X1658-01_因子設定!$B$16))),-1E+030)</f>
        <v>44.6103435672514</v>
      </c>
      <c r="AF1658" s="55" t="n">
        <f aca="false">AD1658+ROW()*0.000000001</f>
        <v>-3.27766594255683</v>
      </c>
      <c r="AG1658" s="55" t="n">
        <f aca="false">AE1658+ROW()*0.000000001</f>
        <v>44.6103452252514</v>
      </c>
    </row>
    <row r="1659" customFormat="false" ht="15" hidden="false" customHeight="false" outlineLevel="0" collapsed="false">
      <c r="A1659" s="0" t="n">
        <v>2</v>
      </c>
      <c r="B1659" s="0" t="n">
        <v>2</v>
      </c>
      <c r="C1659" s="0" t="n">
        <v>3</v>
      </c>
      <c r="D1659" s="0" t="n">
        <v>7</v>
      </c>
      <c r="E1659" s="0" t="n">
        <f aca="false">-1+A1659*0.25</f>
        <v>-0.5</v>
      </c>
      <c r="F1659" s="0" t="n">
        <f aca="false">-1+B1659*0.25</f>
        <v>-0.5</v>
      </c>
      <c r="G1659" s="0" t="n">
        <f aca="false">-1+C1659*0.25</f>
        <v>-0.25</v>
      </c>
      <c r="H1659" s="0" t="n">
        <f aca="false">-1+D1659*0.25</f>
        <v>0.75</v>
      </c>
      <c r="I1659" s="0" t="n">
        <f aca="false">1</f>
        <v>1</v>
      </c>
      <c r="J1659" s="0" t="n">
        <f aca="false">E1659</f>
        <v>-0.5</v>
      </c>
      <c r="K1659" s="0" t="n">
        <f aca="false">F1659</f>
        <v>-0.5</v>
      </c>
      <c r="L1659" s="0" t="n">
        <f aca="false">G1659</f>
        <v>-0.25</v>
      </c>
      <c r="M1659" s="0" t="n">
        <f aca="false">H1659</f>
        <v>0.75</v>
      </c>
      <c r="N1659" s="0" t="n">
        <f aca="false">E1659*F1659</f>
        <v>0.25</v>
      </c>
      <c r="O1659" s="0" t="n">
        <f aca="false">E1659*G1659</f>
        <v>0.125</v>
      </c>
      <c r="P1659" s="0" t="n">
        <f aca="false">E1659*H1659</f>
        <v>-0.375</v>
      </c>
      <c r="Q1659" s="0" t="n">
        <f aca="false">F1659*G1659</f>
        <v>0.125</v>
      </c>
      <c r="R1659" s="0" t="n">
        <f aca="false">F1659*H1659</f>
        <v>-0.375</v>
      </c>
      <c r="S1659" s="0" t="n">
        <f aca="false">G1659*H1659</f>
        <v>-0.1875</v>
      </c>
      <c r="T1659" s="0" t="n">
        <f aca="false">E1659*E1659</f>
        <v>0.25</v>
      </c>
      <c r="U1659" s="0" t="n">
        <f aca="false">F1659*F1659</f>
        <v>0.25</v>
      </c>
      <c r="V1659" s="0" t="n">
        <f aca="false">G1659*G1659</f>
        <v>0.0625</v>
      </c>
      <c r="W1659" s="0" t="n">
        <f aca="false">H1659*H1659</f>
        <v>0.5625</v>
      </c>
      <c r="X1659" s="0" t="n">
        <f aca="false">SUMPRODUCT(I1659:W1659,_XtX!$B$96:$P$96)</f>
        <v>44.5851836622807</v>
      </c>
      <c r="Y1659" s="0" t="n">
        <f aca="false">SUMPRODUCT(MMULT(I1659:W1659,_XtX!$B$78:$P$92),I1659:W1659)</f>
        <v>0.203746059484649</v>
      </c>
      <c r="Z1659" s="0" t="n">
        <f aca="false">04_回帰ANOVA!$K$19*04_回帰ANOVA!$K$14*SQRT(1+Y1659)</f>
        <v>1.43009810755465</v>
      </c>
      <c r="AA1659" s="0" t="n">
        <f aca="false">X1659-Z1659</f>
        <v>43.155085554726</v>
      </c>
      <c r="AB1659" s="0" t="n">
        <f aca="false">X1659+Z1659</f>
        <v>46.0152817698353</v>
      </c>
      <c r="AC1659" s="54" t="b">
        <f aca="false">AND(E1659&gt;=01_因子設定!$L$5-0.000000001,E1659&lt;=01_因子設定!$M$5+0.000000001,F1659&gt;=01_因子設定!$L$6-0.000000001,F1659&lt;=01_因子設定!$M$6+0.000000001,G1659&gt;=01_因子設定!$L$7-0.000000001,G1659&lt;=01_因子設定!$M$7+0.000000001,H1659&gt;=01_因子設定!$L$8-0.000000001,H1659&lt;=01_因子設定!$M$8+0.000000001,IF(01_因子設定!$B$20="Box-Behnken",E1659^2+F1659^2+G1659^2+H1659^2&lt;=2+0.000000001,TRUE()))</f>
        <v>1</v>
      </c>
      <c r="AD1659" s="55" t="n">
        <f aca="false">IF(AC1659,IF(01_因子設定!$B$13="最大化",AA1659-01_因子設定!$B$14,IF(01_因子設定!$B$13="最小化",01_因子設定!$B$15-AB1659,MIN(AA1659-01_因子設定!$B$14,01_因子設定!$B$15-AB1659))),-1E+030)</f>
        <v>-3.34491444527397</v>
      </c>
      <c r="AE1659" s="55" t="n">
        <f aca="false">IF(AC1659,IF(01_因子設定!$B$13="最大化",X1659,IF(01_因子設定!$B$13="最小化",-X1659,-ABS(X1659-01_因子設定!$B$16))),-1E+030)</f>
        <v>44.5851836622807</v>
      </c>
      <c r="AF1659" s="55" t="n">
        <f aca="false">AD1659+ROW()*0.000000001</f>
        <v>-3.34491278627397</v>
      </c>
      <c r="AG1659" s="55" t="n">
        <f aca="false">AE1659+ROW()*0.000000001</f>
        <v>44.5851853212807</v>
      </c>
    </row>
    <row r="1660" customFormat="false" ht="15" hidden="false" customHeight="false" outlineLevel="0" collapsed="false">
      <c r="A1660" s="0" t="n">
        <v>2</v>
      </c>
      <c r="B1660" s="0" t="n">
        <v>2</v>
      </c>
      <c r="C1660" s="0" t="n">
        <v>3</v>
      </c>
      <c r="D1660" s="0" t="n">
        <v>8</v>
      </c>
      <c r="E1660" s="0" t="n">
        <f aca="false">-1+A1660*0.25</f>
        <v>-0.5</v>
      </c>
      <c r="F1660" s="0" t="n">
        <f aca="false">-1+B1660*0.25</f>
        <v>-0.5</v>
      </c>
      <c r="G1660" s="0" t="n">
        <f aca="false">-1+C1660*0.25</f>
        <v>-0.25</v>
      </c>
      <c r="H1660" s="0" t="n">
        <f aca="false">-1+D1660*0.25</f>
        <v>1</v>
      </c>
      <c r="I1660" s="0" t="n">
        <f aca="false">1</f>
        <v>1</v>
      </c>
      <c r="J1660" s="0" t="n">
        <f aca="false">E1660</f>
        <v>-0.5</v>
      </c>
      <c r="K1660" s="0" t="n">
        <f aca="false">F1660</f>
        <v>-0.5</v>
      </c>
      <c r="L1660" s="0" t="n">
        <f aca="false">G1660</f>
        <v>-0.25</v>
      </c>
      <c r="M1660" s="0" t="n">
        <f aca="false">H1660</f>
        <v>1</v>
      </c>
      <c r="N1660" s="0" t="n">
        <f aca="false">E1660*F1660</f>
        <v>0.25</v>
      </c>
      <c r="O1660" s="0" t="n">
        <f aca="false">E1660*G1660</f>
        <v>0.125</v>
      </c>
      <c r="P1660" s="0" t="n">
        <f aca="false">E1660*H1660</f>
        <v>-0.5</v>
      </c>
      <c r="Q1660" s="0" t="n">
        <f aca="false">F1660*G1660</f>
        <v>0.125</v>
      </c>
      <c r="R1660" s="0" t="n">
        <f aca="false">F1660*H1660</f>
        <v>-0.5</v>
      </c>
      <c r="S1660" s="0" t="n">
        <f aca="false">G1660*H1660</f>
        <v>-0.25</v>
      </c>
      <c r="T1660" s="0" t="n">
        <f aca="false">E1660*E1660</f>
        <v>0.25</v>
      </c>
      <c r="U1660" s="0" t="n">
        <f aca="false">F1660*F1660</f>
        <v>0.25</v>
      </c>
      <c r="V1660" s="0" t="n">
        <f aca="false">G1660*G1660</f>
        <v>0.0625</v>
      </c>
      <c r="W1660" s="0" t="n">
        <f aca="false">H1660*H1660</f>
        <v>1</v>
      </c>
      <c r="X1660" s="0" t="n">
        <f aca="false">SUMPRODUCT(I1660:W1660,_XtX!$B$96:$P$96)</f>
        <v>44.5122167397661</v>
      </c>
      <c r="Y1660" s="0" t="n">
        <f aca="false">SUMPRODUCT(MMULT(I1660:W1660,_XtX!$B$78:$P$92),I1660:W1660)</f>
        <v>0.428122715643275</v>
      </c>
      <c r="Z1660" s="0" t="n">
        <f aca="false">04_回帰ANOVA!$K$19*04_回帰ANOVA!$K$14*SQRT(1+Y1660)</f>
        <v>1.55769044623229</v>
      </c>
      <c r="AA1660" s="0" t="n">
        <f aca="false">X1660-Z1660</f>
        <v>42.9545262935338</v>
      </c>
      <c r="AB1660" s="0" t="n">
        <f aca="false">X1660+Z1660</f>
        <v>46.0699071859984</v>
      </c>
      <c r="AC1660" s="54" t="b">
        <f aca="false">AND(E1660&gt;=01_因子設定!$L$5-0.000000001,E1660&lt;=01_因子設定!$M$5+0.000000001,F1660&gt;=01_因子設定!$L$6-0.000000001,F1660&lt;=01_因子設定!$M$6+0.000000001,G1660&gt;=01_因子設定!$L$7-0.000000001,G1660&lt;=01_因子設定!$M$7+0.000000001,H1660&gt;=01_因子設定!$L$8-0.000000001,H1660&lt;=01_因子設定!$M$8+0.000000001,IF(01_因子設定!$B$20="Box-Behnken",E1660^2+F1660^2+G1660^2+H1660^2&lt;=2+0.000000001,TRUE()))</f>
        <v>1</v>
      </c>
      <c r="AD1660" s="55" t="n">
        <f aca="false">IF(AC1660,IF(01_因子設定!$B$13="最大化",AA1660-01_因子設定!$B$14,IF(01_因子設定!$B$13="最小化",01_因子設定!$B$15-AB1660,MIN(AA1660-01_因子設定!$B$14,01_因子設定!$B$15-AB1660))),-1E+030)</f>
        <v>-3.54547370646622</v>
      </c>
      <c r="AE1660" s="55" t="n">
        <f aca="false">IF(AC1660,IF(01_因子設定!$B$13="最大化",X1660,IF(01_因子設定!$B$13="最小化",-X1660,-ABS(X1660-01_因子設定!$B$16))),-1E+030)</f>
        <v>44.5122167397661</v>
      </c>
      <c r="AF1660" s="55" t="n">
        <f aca="false">AD1660+ROW()*0.000000001</f>
        <v>-3.54547204646622</v>
      </c>
      <c r="AG1660" s="55" t="n">
        <f aca="false">AE1660+ROW()*0.000000001</f>
        <v>44.5122183997661</v>
      </c>
    </row>
    <row r="1661" customFormat="false" ht="15" hidden="false" customHeight="false" outlineLevel="0" collapsed="false">
      <c r="A1661" s="0" t="n">
        <v>2</v>
      </c>
      <c r="B1661" s="0" t="n">
        <v>2</v>
      </c>
      <c r="C1661" s="0" t="n">
        <v>4</v>
      </c>
      <c r="D1661" s="0" t="n">
        <v>0</v>
      </c>
      <c r="E1661" s="0" t="n">
        <f aca="false">-1+A1661*0.25</f>
        <v>-0.5</v>
      </c>
      <c r="F1661" s="0" t="n">
        <f aca="false">-1+B1661*0.25</f>
        <v>-0.5</v>
      </c>
      <c r="G1661" s="0" t="n">
        <f aca="false">-1+C1661*0.25</f>
        <v>0</v>
      </c>
      <c r="H1661" s="0" t="n">
        <f aca="false">-1+D1661*0.25</f>
        <v>-1</v>
      </c>
      <c r="I1661" s="0" t="n">
        <f aca="false">1</f>
        <v>1</v>
      </c>
      <c r="J1661" s="0" t="n">
        <f aca="false">E1661</f>
        <v>-0.5</v>
      </c>
      <c r="K1661" s="0" t="n">
        <f aca="false">F1661</f>
        <v>-0.5</v>
      </c>
      <c r="L1661" s="0" t="n">
        <f aca="false">G1661</f>
        <v>0</v>
      </c>
      <c r="M1661" s="0" t="n">
        <f aca="false">H1661</f>
        <v>-1</v>
      </c>
      <c r="N1661" s="0" t="n">
        <f aca="false">E1661*F1661</f>
        <v>0.25</v>
      </c>
      <c r="O1661" s="0" t="n">
        <f aca="false">E1661*G1661</f>
        <v>-0</v>
      </c>
      <c r="P1661" s="0" t="n">
        <f aca="false">E1661*H1661</f>
        <v>0.5</v>
      </c>
      <c r="Q1661" s="0" t="n">
        <f aca="false">F1661*G1661</f>
        <v>-0</v>
      </c>
      <c r="R1661" s="0" t="n">
        <f aca="false">F1661*H1661</f>
        <v>0.5</v>
      </c>
      <c r="S1661" s="0" t="n">
        <f aca="false">G1661*H1661</f>
        <v>-0</v>
      </c>
      <c r="T1661" s="0" t="n">
        <f aca="false">E1661*E1661</f>
        <v>0.25</v>
      </c>
      <c r="U1661" s="0" t="n">
        <f aca="false">F1661*F1661</f>
        <v>0.25</v>
      </c>
      <c r="V1661" s="0" t="n">
        <f aca="false">G1661*G1661</f>
        <v>0</v>
      </c>
      <c r="W1661" s="0" t="n">
        <f aca="false">H1661*H1661</f>
        <v>1</v>
      </c>
      <c r="X1661" s="0" t="n">
        <f aca="false">SUMPRODUCT(I1661:W1661,_XtX!$B$96:$P$96)</f>
        <v>44.0161549707602</v>
      </c>
      <c r="Y1661" s="0" t="n">
        <f aca="false">SUMPRODUCT(MMULT(I1661:W1661,_XtX!$B$78:$P$92),I1661:W1661)</f>
        <v>0.441954495614035</v>
      </c>
      <c r="Z1661" s="0" t="n">
        <f aca="false">04_回帰ANOVA!$K$19*04_回帰ANOVA!$K$14*SQRT(1+Y1661)</f>
        <v>1.56521560968066</v>
      </c>
      <c r="AA1661" s="0" t="n">
        <f aca="false">X1661-Z1661</f>
        <v>42.4509393610796</v>
      </c>
      <c r="AB1661" s="0" t="n">
        <f aca="false">X1661+Z1661</f>
        <v>45.5813705804409</v>
      </c>
      <c r="AC1661" s="54" t="b">
        <f aca="false">AND(E1661&gt;=01_因子設定!$L$5-0.000000001,E1661&lt;=01_因子設定!$M$5+0.000000001,F1661&gt;=01_因子設定!$L$6-0.000000001,F1661&lt;=01_因子設定!$M$6+0.000000001,G1661&gt;=01_因子設定!$L$7-0.000000001,G1661&lt;=01_因子設定!$M$7+0.000000001,H1661&gt;=01_因子設定!$L$8-0.000000001,H1661&lt;=01_因子設定!$M$8+0.000000001,IF(01_因子設定!$B$20="Box-Behnken",E1661^2+F1661^2+G1661^2+H1661^2&lt;=2+0.000000001,TRUE()))</f>
        <v>1</v>
      </c>
      <c r="AD1661" s="55" t="n">
        <f aca="false">IF(AC1661,IF(01_因子設定!$B$13="最大化",AA1661-01_因子設定!$B$14,IF(01_因子設定!$B$13="最小化",01_因子設定!$B$15-AB1661,MIN(AA1661-01_因子設定!$B$14,01_因子設定!$B$15-AB1661))),-1E+030)</f>
        <v>-4.04906063892044</v>
      </c>
      <c r="AE1661" s="55" t="n">
        <f aca="false">IF(AC1661,IF(01_因子設定!$B$13="最大化",X1661,IF(01_因子設定!$B$13="最小化",-X1661,-ABS(X1661-01_因子設定!$B$16))),-1E+030)</f>
        <v>44.0161549707602</v>
      </c>
      <c r="AF1661" s="55" t="n">
        <f aca="false">AD1661+ROW()*0.000000001</f>
        <v>-4.04905897792044</v>
      </c>
      <c r="AG1661" s="55" t="n">
        <f aca="false">AE1661+ROW()*0.000000001</f>
        <v>44.0161566317602</v>
      </c>
    </row>
    <row r="1662" customFormat="false" ht="15" hidden="false" customHeight="false" outlineLevel="0" collapsed="false">
      <c r="A1662" s="0" t="n">
        <v>2</v>
      </c>
      <c r="B1662" s="0" t="n">
        <v>2</v>
      </c>
      <c r="C1662" s="0" t="n">
        <v>4</v>
      </c>
      <c r="D1662" s="0" t="n">
        <v>1</v>
      </c>
      <c r="E1662" s="0" t="n">
        <f aca="false">-1+A1662*0.25</f>
        <v>-0.5</v>
      </c>
      <c r="F1662" s="0" t="n">
        <f aca="false">-1+B1662*0.25</f>
        <v>-0.5</v>
      </c>
      <c r="G1662" s="0" t="n">
        <f aca="false">-1+C1662*0.25</f>
        <v>0</v>
      </c>
      <c r="H1662" s="0" t="n">
        <f aca="false">-1+D1662*0.25</f>
        <v>-0.75</v>
      </c>
      <c r="I1662" s="0" t="n">
        <f aca="false">1</f>
        <v>1</v>
      </c>
      <c r="J1662" s="0" t="n">
        <f aca="false">E1662</f>
        <v>-0.5</v>
      </c>
      <c r="K1662" s="0" t="n">
        <f aca="false">F1662</f>
        <v>-0.5</v>
      </c>
      <c r="L1662" s="0" t="n">
        <f aca="false">G1662</f>
        <v>0</v>
      </c>
      <c r="M1662" s="0" t="n">
        <f aca="false">H1662</f>
        <v>-0.75</v>
      </c>
      <c r="N1662" s="0" t="n">
        <f aca="false">E1662*F1662</f>
        <v>0.25</v>
      </c>
      <c r="O1662" s="0" t="n">
        <f aca="false">E1662*G1662</f>
        <v>-0</v>
      </c>
      <c r="P1662" s="0" t="n">
        <f aca="false">E1662*H1662</f>
        <v>0.375</v>
      </c>
      <c r="Q1662" s="0" t="n">
        <f aca="false">F1662*G1662</f>
        <v>-0</v>
      </c>
      <c r="R1662" s="0" t="n">
        <f aca="false">F1662*H1662</f>
        <v>0.375</v>
      </c>
      <c r="S1662" s="0" t="n">
        <f aca="false">G1662*H1662</f>
        <v>-0</v>
      </c>
      <c r="T1662" s="0" t="n">
        <f aca="false">E1662*E1662</f>
        <v>0.25</v>
      </c>
      <c r="U1662" s="0" t="n">
        <f aca="false">F1662*F1662</f>
        <v>0.25</v>
      </c>
      <c r="V1662" s="0" t="n">
        <f aca="false">G1662*G1662</f>
        <v>0</v>
      </c>
      <c r="W1662" s="0" t="n">
        <f aca="false">H1662*H1662</f>
        <v>0.5625</v>
      </c>
      <c r="X1662" s="0" t="n">
        <f aca="false">SUMPRODUCT(I1662:W1662,_XtX!$B$96:$P$96)</f>
        <v>44.2958059210526</v>
      </c>
      <c r="Y1662" s="0" t="n">
        <f aca="false">SUMPRODUCT(MMULT(I1662:W1662,_XtX!$B$78:$P$92),I1662:W1662)</f>
        <v>0.21305052997076</v>
      </c>
      <c r="Z1662" s="0" t="n">
        <f aca="false">04_回帰ANOVA!$K$19*04_回帰ANOVA!$K$14*SQRT(1+Y1662)</f>
        <v>1.43561450835061</v>
      </c>
      <c r="AA1662" s="0" t="n">
        <f aca="false">X1662-Z1662</f>
        <v>42.860191412702</v>
      </c>
      <c r="AB1662" s="0" t="n">
        <f aca="false">X1662+Z1662</f>
        <v>45.7314204294032</v>
      </c>
      <c r="AC1662" s="54" t="b">
        <f aca="false">AND(E1662&gt;=01_因子設定!$L$5-0.000000001,E1662&lt;=01_因子設定!$M$5+0.000000001,F1662&gt;=01_因子設定!$L$6-0.000000001,F1662&lt;=01_因子設定!$M$6+0.000000001,G1662&gt;=01_因子設定!$L$7-0.000000001,G1662&lt;=01_因子設定!$M$7+0.000000001,H1662&gt;=01_因子設定!$L$8-0.000000001,H1662&lt;=01_因子設定!$M$8+0.000000001,IF(01_因子設定!$B$20="Box-Behnken",E1662^2+F1662^2+G1662^2+H1662^2&lt;=2+0.000000001,TRUE()))</f>
        <v>1</v>
      </c>
      <c r="AD1662" s="55" t="n">
        <f aca="false">IF(AC1662,IF(01_因子設定!$B$13="最大化",AA1662-01_因子設定!$B$14,IF(01_因子設定!$B$13="最小化",01_因子設定!$B$15-AB1662,MIN(AA1662-01_因子設定!$B$14,01_因子設定!$B$15-AB1662))),-1E+030)</f>
        <v>-3.63980858729799</v>
      </c>
      <c r="AE1662" s="55" t="n">
        <f aca="false">IF(AC1662,IF(01_因子設定!$B$13="最大化",X1662,IF(01_因子設定!$B$13="最小化",-X1662,-ABS(X1662-01_因子設定!$B$16))),-1E+030)</f>
        <v>44.2958059210526</v>
      </c>
      <c r="AF1662" s="55" t="n">
        <f aca="false">AD1662+ROW()*0.000000001</f>
        <v>-3.63980692529799</v>
      </c>
      <c r="AG1662" s="55" t="n">
        <f aca="false">AE1662+ROW()*0.000000001</f>
        <v>44.2958075830526</v>
      </c>
    </row>
    <row r="1663" customFormat="false" ht="15" hidden="false" customHeight="false" outlineLevel="0" collapsed="false">
      <c r="A1663" s="0" t="n">
        <v>2</v>
      </c>
      <c r="B1663" s="0" t="n">
        <v>2</v>
      </c>
      <c r="C1663" s="0" t="n">
        <v>4</v>
      </c>
      <c r="D1663" s="0" t="n">
        <v>2</v>
      </c>
      <c r="E1663" s="0" t="n">
        <f aca="false">-1+A1663*0.25</f>
        <v>-0.5</v>
      </c>
      <c r="F1663" s="0" t="n">
        <f aca="false">-1+B1663*0.25</f>
        <v>-0.5</v>
      </c>
      <c r="G1663" s="0" t="n">
        <f aca="false">-1+C1663*0.25</f>
        <v>0</v>
      </c>
      <c r="H1663" s="0" t="n">
        <f aca="false">-1+D1663*0.25</f>
        <v>-0.5</v>
      </c>
      <c r="I1663" s="0" t="n">
        <f aca="false">1</f>
        <v>1</v>
      </c>
      <c r="J1663" s="0" t="n">
        <f aca="false">E1663</f>
        <v>-0.5</v>
      </c>
      <c r="K1663" s="0" t="n">
        <f aca="false">F1663</f>
        <v>-0.5</v>
      </c>
      <c r="L1663" s="0" t="n">
        <f aca="false">G1663</f>
        <v>0</v>
      </c>
      <c r="M1663" s="0" t="n">
        <f aca="false">H1663</f>
        <v>-0.5</v>
      </c>
      <c r="N1663" s="0" t="n">
        <f aca="false">E1663*F1663</f>
        <v>0.25</v>
      </c>
      <c r="O1663" s="0" t="n">
        <f aca="false">E1663*G1663</f>
        <v>-0</v>
      </c>
      <c r="P1663" s="0" t="n">
        <f aca="false">E1663*H1663</f>
        <v>0.25</v>
      </c>
      <c r="Q1663" s="0" t="n">
        <f aca="false">F1663*G1663</f>
        <v>-0</v>
      </c>
      <c r="R1663" s="0" t="n">
        <f aca="false">F1663*H1663</f>
        <v>0.25</v>
      </c>
      <c r="S1663" s="0" t="n">
        <f aca="false">G1663*H1663</f>
        <v>-0</v>
      </c>
      <c r="T1663" s="0" t="n">
        <f aca="false">E1663*E1663</f>
        <v>0.25</v>
      </c>
      <c r="U1663" s="0" t="n">
        <f aca="false">F1663*F1663</f>
        <v>0.25</v>
      </c>
      <c r="V1663" s="0" t="n">
        <f aca="false">G1663*G1663</f>
        <v>0</v>
      </c>
      <c r="W1663" s="0" t="n">
        <f aca="false">H1663*H1663</f>
        <v>0.25</v>
      </c>
      <c r="X1663" s="0" t="n">
        <f aca="false">SUMPRODUCT(I1663:W1663,_XtX!$B$96:$P$96)</f>
        <v>44.5276498538011</v>
      </c>
      <c r="Y1663" s="0" t="n">
        <f aca="false">SUMPRODUCT(MMULT(I1663:W1663,_XtX!$B$78:$P$92),I1663:W1663)</f>
        <v>0.140008223684211</v>
      </c>
      <c r="Z1663" s="0" t="n">
        <f aca="false">04_回帰ANOVA!$K$19*04_回帰ANOVA!$K$14*SQRT(1+Y1663)</f>
        <v>1.39172165492264</v>
      </c>
      <c r="AA1663" s="0" t="n">
        <f aca="false">X1663-Z1663</f>
        <v>43.1359281988785</v>
      </c>
      <c r="AB1663" s="0" t="n">
        <f aca="false">X1663+Z1663</f>
        <v>45.9193715087238</v>
      </c>
      <c r="AC1663" s="54" t="b">
        <f aca="false">AND(E1663&gt;=01_因子設定!$L$5-0.000000001,E1663&lt;=01_因子設定!$M$5+0.000000001,F1663&gt;=01_因子設定!$L$6-0.000000001,F1663&lt;=01_因子設定!$M$6+0.000000001,G1663&gt;=01_因子設定!$L$7-0.000000001,G1663&lt;=01_因子設定!$M$7+0.000000001,H1663&gt;=01_因子設定!$L$8-0.000000001,H1663&lt;=01_因子設定!$M$8+0.000000001,IF(01_因子設定!$B$20="Box-Behnken",E1663^2+F1663^2+G1663^2+H1663^2&lt;=2+0.000000001,TRUE()))</f>
        <v>1</v>
      </c>
      <c r="AD1663" s="55" t="n">
        <f aca="false">IF(AC1663,IF(01_因子設定!$B$13="最大化",AA1663-01_因子設定!$B$14,IF(01_因子設定!$B$13="最小化",01_因子設定!$B$15-AB1663,MIN(AA1663-01_因子設定!$B$14,01_因子設定!$B$15-AB1663))),-1E+030)</f>
        <v>-3.3640718011215</v>
      </c>
      <c r="AE1663" s="55" t="n">
        <f aca="false">IF(AC1663,IF(01_因子設定!$B$13="最大化",X1663,IF(01_因子設定!$B$13="最小化",-X1663,-ABS(X1663-01_因子設定!$B$16))),-1E+030)</f>
        <v>44.5276498538011</v>
      </c>
      <c r="AF1663" s="55" t="n">
        <f aca="false">AD1663+ROW()*0.000000001</f>
        <v>-3.3640701381215</v>
      </c>
      <c r="AG1663" s="55" t="n">
        <f aca="false">AE1663+ROW()*0.000000001</f>
        <v>44.5276515168011</v>
      </c>
    </row>
    <row r="1664" customFormat="false" ht="15" hidden="false" customHeight="false" outlineLevel="0" collapsed="false">
      <c r="A1664" s="0" t="n">
        <v>2</v>
      </c>
      <c r="B1664" s="0" t="n">
        <v>2</v>
      </c>
      <c r="C1664" s="0" t="n">
        <v>4</v>
      </c>
      <c r="D1664" s="0" t="n">
        <v>3</v>
      </c>
      <c r="E1664" s="0" t="n">
        <f aca="false">-1+A1664*0.25</f>
        <v>-0.5</v>
      </c>
      <c r="F1664" s="0" t="n">
        <f aca="false">-1+B1664*0.25</f>
        <v>-0.5</v>
      </c>
      <c r="G1664" s="0" t="n">
        <f aca="false">-1+C1664*0.25</f>
        <v>0</v>
      </c>
      <c r="H1664" s="0" t="n">
        <f aca="false">-1+D1664*0.25</f>
        <v>-0.25</v>
      </c>
      <c r="I1664" s="0" t="n">
        <f aca="false">1</f>
        <v>1</v>
      </c>
      <c r="J1664" s="0" t="n">
        <f aca="false">E1664</f>
        <v>-0.5</v>
      </c>
      <c r="K1664" s="0" t="n">
        <f aca="false">F1664</f>
        <v>-0.5</v>
      </c>
      <c r="L1664" s="0" t="n">
        <f aca="false">G1664</f>
        <v>0</v>
      </c>
      <c r="M1664" s="0" t="n">
        <f aca="false">H1664</f>
        <v>-0.25</v>
      </c>
      <c r="N1664" s="0" t="n">
        <f aca="false">E1664*F1664</f>
        <v>0.25</v>
      </c>
      <c r="O1664" s="0" t="n">
        <f aca="false">E1664*G1664</f>
        <v>-0</v>
      </c>
      <c r="P1664" s="0" t="n">
        <f aca="false">E1664*H1664</f>
        <v>0.125</v>
      </c>
      <c r="Q1664" s="0" t="n">
        <f aca="false">F1664*G1664</f>
        <v>-0</v>
      </c>
      <c r="R1664" s="0" t="n">
        <f aca="false">F1664*H1664</f>
        <v>0.125</v>
      </c>
      <c r="S1664" s="0" t="n">
        <f aca="false">G1664*H1664</f>
        <v>-0</v>
      </c>
      <c r="T1664" s="0" t="n">
        <f aca="false">E1664*E1664</f>
        <v>0.25</v>
      </c>
      <c r="U1664" s="0" t="n">
        <f aca="false">F1664*F1664</f>
        <v>0.25</v>
      </c>
      <c r="V1664" s="0" t="n">
        <f aca="false">G1664*G1664</f>
        <v>0</v>
      </c>
      <c r="W1664" s="0" t="n">
        <f aca="false">H1664*H1664</f>
        <v>0.0625</v>
      </c>
      <c r="X1664" s="0" t="n">
        <f aca="false">SUMPRODUCT(I1664:W1664,_XtX!$B$96:$P$96)</f>
        <v>44.7116867690058</v>
      </c>
      <c r="Y1664" s="0" t="n">
        <f aca="false">SUMPRODUCT(MMULT(I1664:W1664,_XtX!$B$78:$P$92),I1664:W1664)</f>
        <v>0.132367050438597</v>
      </c>
      <c r="Z1664" s="0" t="n">
        <f aca="false">04_回帰ANOVA!$K$19*04_回帰ANOVA!$K$14*SQRT(1+Y1664)</f>
        <v>1.38704964208329</v>
      </c>
      <c r="AA1664" s="0" t="n">
        <f aca="false">X1664-Z1664</f>
        <v>43.3246371269225</v>
      </c>
      <c r="AB1664" s="0" t="n">
        <f aca="false">X1664+Z1664</f>
        <v>46.0987364110891</v>
      </c>
      <c r="AC1664" s="54" t="b">
        <f aca="false">AND(E1664&gt;=01_因子設定!$L$5-0.000000001,E1664&lt;=01_因子設定!$M$5+0.000000001,F1664&gt;=01_因子設定!$L$6-0.000000001,F1664&lt;=01_因子設定!$M$6+0.000000001,G1664&gt;=01_因子設定!$L$7-0.000000001,G1664&lt;=01_因子設定!$M$7+0.000000001,H1664&gt;=01_因子設定!$L$8-0.000000001,H1664&lt;=01_因子設定!$M$8+0.000000001,IF(01_因子設定!$B$20="Box-Behnken",E1664^2+F1664^2+G1664^2+H1664^2&lt;=2+0.000000001,TRUE()))</f>
        <v>1</v>
      </c>
      <c r="AD1664" s="55" t="n">
        <f aca="false">IF(AC1664,IF(01_因子設定!$B$13="最大化",AA1664-01_因子設定!$B$14,IF(01_因子設定!$B$13="最小化",01_因子設定!$B$15-AB1664,MIN(AA1664-01_因子設定!$B$14,01_因子設定!$B$15-AB1664))),-1E+030)</f>
        <v>-3.17536287307748</v>
      </c>
      <c r="AE1664" s="55" t="n">
        <f aca="false">IF(AC1664,IF(01_因子設定!$B$13="最大化",X1664,IF(01_因子設定!$B$13="最小化",-X1664,-ABS(X1664-01_因子設定!$B$16))),-1E+030)</f>
        <v>44.7116867690058</v>
      </c>
      <c r="AF1664" s="55" t="n">
        <f aca="false">AD1664+ROW()*0.000000001</f>
        <v>-3.17536120907748</v>
      </c>
      <c r="AG1664" s="55" t="n">
        <f aca="false">AE1664+ROW()*0.000000001</f>
        <v>44.7116884330058</v>
      </c>
    </row>
    <row r="1665" customFormat="false" ht="15" hidden="false" customHeight="false" outlineLevel="0" collapsed="false">
      <c r="A1665" s="0" t="n">
        <v>2</v>
      </c>
      <c r="B1665" s="0" t="n">
        <v>2</v>
      </c>
      <c r="C1665" s="0" t="n">
        <v>4</v>
      </c>
      <c r="D1665" s="0" t="n">
        <v>4</v>
      </c>
      <c r="E1665" s="0" t="n">
        <f aca="false">-1+A1665*0.25</f>
        <v>-0.5</v>
      </c>
      <c r="F1665" s="0" t="n">
        <f aca="false">-1+B1665*0.25</f>
        <v>-0.5</v>
      </c>
      <c r="G1665" s="0" t="n">
        <f aca="false">-1+C1665*0.25</f>
        <v>0</v>
      </c>
      <c r="H1665" s="0" t="n">
        <f aca="false">-1+D1665*0.25</f>
        <v>0</v>
      </c>
      <c r="I1665" s="0" t="n">
        <f aca="false">1</f>
        <v>1</v>
      </c>
      <c r="J1665" s="0" t="n">
        <f aca="false">E1665</f>
        <v>-0.5</v>
      </c>
      <c r="K1665" s="0" t="n">
        <f aca="false">F1665</f>
        <v>-0.5</v>
      </c>
      <c r="L1665" s="0" t="n">
        <f aca="false">G1665</f>
        <v>0</v>
      </c>
      <c r="M1665" s="0" t="n">
        <f aca="false">H1665</f>
        <v>0</v>
      </c>
      <c r="N1665" s="0" t="n">
        <f aca="false">E1665*F1665</f>
        <v>0.25</v>
      </c>
      <c r="O1665" s="0" t="n">
        <f aca="false">E1665*G1665</f>
        <v>-0</v>
      </c>
      <c r="P1665" s="0" t="n">
        <f aca="false">E1665*H1665</f>
        <v>-0</v>
      </c>
      <c r="Q1665" s="0" t="n">
        <f aca="false">F1665*G1665</f>
        <v>-0</v>
      </c>
      <c r="R1665" s="0" t="n">
        <f aca="false">F1665*H1665</f>
        <v>-0</v>
      </c>
      <c r="S1665" s="0" t="n">
        <f aca="false">G1665*H1665</f>
        <v>0</v>
      </c>
      <c r="T1665" s="0" t="n">
        <f aca="false">E1665*E1665</f>
        <v>0.25</v>
      </c>
      <c r="U1665" s="0" t="n">
        <f aca="false">F1665*F1665</f>
        <v>0.25</v>
      </c>
      <c r="V1665" s="0" t="n">
        <f aca="false">G1665*G1665</f>
        <v>0</v>
      </c>
      <c r="W1665" s="0" t="n">
        <f aca="false">H1665*H1665</f>
        <v>0</v>
      </c>
      <c r="X1665" s="0" t="n">
        <f aca="false">SUMPRODUCT(I1665:W1665,_XtX!$B$96:$P$96)</f>
        <v>44.8479166666666</v>
      </c>
      <c r="Y1665" s="0" t="n">
        <f aca="false">SUMPRODUCT(MMULT(I1665:W1665,_XtX!$B$78:$P$92),I1665:W1665)</f>
        <v>0.135850694444444</v>
      </c>
      <c r="Z1665" s="0" t="n">
        <f aca="false">04_回帰ANOVA!$K$19*04_回帰ANOVA!$K$14*SQRT(1+Y1665)</f>
        <v>1.38918158179389</v>
      </c>
      <c r="AA1665" s="0" t="n">
        <f aca="false">X1665-Z1665</f>
        <v>43.4587350848727</v>
      </c>
      <c r="AB1665" s="0" t="n">
        <f aca="false">X1665+Z1665</f>
        <v>46.2370982484605</v>
      </c>
      <c r="AC1665" s="54" t="b">
        <f aca="false">AND(E1665&gt;=01_因子設定!$L$5-0.000000001,E1665&lt;=01_因子設定!$M$5+0.000000001,F1665&gt;=01_因子設定!$L$6-0.000000001,F1665&lt;=01_因子設定!$M$6+0.000000001,G1665&gt;=01_因子設定!$L$7-0.000000001,G1665&lt;=01_因子設定!$M$7+0.000000001,H1665&gt;=01_因子設定!$L$8-0.000000001,H1665&lt;=01_因子設定!$M$8+0.000000001,IF(01_因子設定!$B$20="Box-Behnken",E1665^2+F1665^2+G1665^2+H1665^2&lt;=2+0.000000001,TRUE()))</f>
        <v>1</v>
      </c>
      <c r="AD1665" s="55" t="n">
        <f aca="false">IF(AC1665,IF(01_因子設定!$B$13="最大化",AA1665-01_因子設定!$B$14,IF(01_因子設定!$B$13="最小化",01_因子設定!$B$15-AB1665,MIN(AA1665-01_因子設定!$B$14,01_因子設定!$B$15-AB1665))),-1E+030)</f>
        <v>-3.04126491512727</v>
      </c>
      <c r="AE1665" s="55" t="n">
        <f aca="false">IF(AC1665,IF(01_因子設定!$B$13="最大化",X1665,IF(01_因子設定!$B$13="最小化",-X1665,-ABS(X1665-01_因子設定!$B$16))),-1E+030)</f>
        <v>44.8479166666666</v>
      </c>
      <c r="AF1665" s="55" t="n">
        <f aca="false">AD1665+ROW()*0.000000001</f>
        <v>-3.04126325012727</v>
      </c>
      <c r="AG1665" s="55" t="n">
        <f aca="false">AE1665+ROW()*0.000000001</f>
        <v>44.8479183316666</v>
      </c>
    </row>
    <row r="1666" customFormat="false" ht="15" hidden="false" customHeight="false" outlineLevel="0" collapsed="false">
      <c r="A1666" s="0" t="n">
        <v>2</v>
      </c>
      <c r="B1666" s="0" t="n">
        <v>2</v>
      </c>
      <c r="C1666" s="0" t="n">
        <v>4</v>
      </c>
      <c r="D1666" s="0" t="n">
        <v>5</v>
      </c>
      <c r="E1666" s="0" t="n">
        <f aca="false">-1+A1666*0.25</f>
        <v>-0.5</v>
      </c>
      <c r="F1666" s="0" t="n">
        <f aca="false">-1+B1666*0.25</f>
        <v>-0.5</v>
      </c>
      <c r="G1666" s="0" t="n">
        <f aca="false">-1+C1666*0.25</f>
        <v>0</v>
      </c>
      <c r="H1666" s="0" t="n">
        <f aca="false">-1+D1666*0.25</f>
        <v>0.25</v>
      </c>
      <c r="I1666" s="0" t="n">
        <f aca="false">1</f>
        <v>1</v>
      </c>
      <c r="J1666" s="0" t="n">
        <f aca="false">E1666</f>
        <v>-0.5</v>
      </c>
      <c r="K1666" s="0" t="n">
        <f aca="false">F1666</f>
        <v>-0.5</v>
      </c>
      <c r="L1666" s="0" t="n">
        <f aca="false">G1666</f>
        <v>0</v>
      </c>
      <c r="M1666" s="0" t="n">
        <f aca="false">H1666</f>
        <v>0.25</v>
      </c>
      <c r="N1666" s="0" t="n">
        <f aca="false">E1666*F1666</f>
        <v>0.25</v>
      </c>
      <c r="O1666" s="0" t="n">
        <f aca="false">E1666*G1666</f>
        <v>-0</v>
      </c>
      <c r="P1666" s="0" t="n">
        <f aca="false">E1666*H1666</f>
        <v>-0.125</v>
      </c>
      <c r="Q1666" s="0" t="n">
        <f aca="false">F1666*G1666</f>
        <v>-0</v>
      </c>
      <c r="R1666" s="0" t="n">
        <f aca="false">F1666*H1666</f>
        <v>-0.125</v>
      </c>
      <c r="S1666" s="0" t="n">
        <f aca="false">G1666*H1666</f>
        <v>0</v>
      </c>
      <c r="T1666" s="0" t="n">
        <f aca="false">E1666*E1666</f>
        <v>0.25</v>
      </c>
      <c r="U1666" s="0" t="n">
        <f aca="false">F1666*F1666</f>
        <v>0.25</v>
      </c>
      <c r="V1666" s="0" t="n">
        <f aca="false">G1666*G1666</f>
        <v>0</v>
      </c>
      <c r="W1666" s="0" t="n">
        <f aca="false">H1666*H1666</f>
        <v>0.0625</v>
      </c>
      <c r="X1666" s="0" t="n">
        <f aca="false">SUMPRODUCT(I1666:W1666,_XtX!$B$96:$P$96)</f>
        <v>44.9363395467836</v>
      </c>
      <c r="Y1666" s="0" t="n">
        <f aca="false">SUMPRODUCT(MMULT(I1666:W1666,_XtX!$B$78:$P$92),I1666:W1666)</f>
        <v>0.132367050438597</v>
      </c>
      <c r="Z1666" s="0" t="n">
        <f aca="false">04_回帰ANOVA!$K$19*04_回帰ANOVA!$K$14*SQRT(1+Y1666)</f>
        <v>1.38704964208329</v>
      </c>
      <c r="AA1666" s="0" t="n">
        <f aca="false">X1666-Z1666</f>
        <v>43.5492899047003</v>
      </c>
      <c r="AB1666" s="0" t="n">
        <f aca="false">X1666+Z1666</f>
        <v>46.3233891888669</v>
      </c>
      <c r="AC1666" s="54" t="b">
        <f aca="false">AND(E1666&gt;=01_因子設定!$L$5-0.000000001,E1666&lt;=01_因子設定!$M$5+0.000000001,F1666&gt;=01_因子設定!$L$6-0.000000001,F1666&lt;=01_因子設定!$M$6+0.000000001,G1666&gt;=01_因子設定!$L$7-0.000000001,G1666&lt;=01_因子設定!$M$7+0.000000001,H1666&gt;=01_因子設定!$L$8-0.000000001,H1666&lt;=01_因子設定!$M$8+0.000000001,IF(01_因子設定!$B$20="Box-Behnken",E1666^2+F1666^2+G1666^2+H1666^2&lt;=2+0.000000001,TRUE()))</f>
        <v>1</v>
      </c>
      <c r="AD1666" s="55" t="n">
        <f aca="false">IF(AC1666,IF(01_因子設定!$B$13="最大化",AA1666-01_因子設定!$B$14,IF(01_因子設定!$B$13="最小化",01_因子設定!$B$15-AB1666,MIN(AA1666-01_因子設定!$B$14,01_因子設定!$B$15-AB1666))),-1E+030)</f>
        <v>-2.95071009529971</v>
      </c>
      <c r="AE1666" s="55" t="n">
        <f aca="false">IF(AC1666,IF(01_因子設定!$B$13="最大化",X1666,IF(01_因子設定!$B$13="最小化",-X1666,-ABS(X1666-01_因子設定!$B$16))),-1E+030)</f>
        <v>44.9363395467836</v>
      </c>
      <c r="AF1666" s="55" t="n">
        <f aca="false">AD1666+ROW()*0.000000001</f>
        <v>-2.95070842929971</v>
      </c>
      <c r="AG1666" s="55" t="n">
        <f aca="false">AE1666+ROW()*0.000000001</f>
        <v>44.9363412127836</v>
      </c>
    </row>
    <row r="1667" customFormat="false" ht="15" hidden="false" customHeight="false" outlineLevel="0" collapsed="false">
      <c r="A1667" s="0" t="n">
        <v>2</v>
      </c>
      <c r="B1667" s="0" t="n">
        <v>2</v>
      </c>
      <c r="C1667" s="0" t="n">
        <v>4</v>
      </c>
      <c r="D1667" s="0" t="n">
        <v>6</v>
      </c>
      <c r="E1667" s="0" t="n">
        <f aca="false">-1+A1667*0.25</f>
        <v>-0.5</v>
      </c>
      <c r="F1667" s="0" t="n">
        <f aca="false">-1+B1667*0.25</f>
        <v>-0.5</v>
      </c>
      <c r="G1667" s="0" t="n">
        <f aca="false">-1+C1667*0.25</f>
        <v>0</v>
      </c>
      <c r="H1667" s="0" t="n">
        <f aca="false">-1+D1667*0.25</f>
        <v>0.5</v>
      </c>
      <c r="I1667" s="0" t="n">
        <f aca="false">1</f>
        <v>1</v>
      </c>
      <c r="J1667" s="0" t="n">
        <f aca="false">E1667</f>
        <v>-0.5</v>
      </c>
      <c r="K1667" s="0" t="n">
        <f aca="false">F1667</f>
        <v>-0.5</v>
      </c>
      <c r="L1667" s="0" t="n">
        <f aca="false">G1667</f>
        <v>0</v>
      </c>
      <c r="M1667" s="0" t="n">
        <f aca="false">H1667</f>
        <v>0.5</v>
      </c>
      <c r="N1667" s="0" t="n">
        <f aca="false">E1667*F1667</f>
        <v>0.25</v>
      </c>
      <c r="O1667" s="0" t="n">
        <f aca="false">E1667*G1667</f>
        <v>-0</v>
      </c>
      <c r="P1667" s="0" t="n">
        <f aca="false">E1667*H1667</f>
        <v>-0.25</v>
      </c>
      <c r="Q1667" s="0" t="n">
        <f aca="false">F1667*G1667</f>
        <v>-0</v>
      </c>
      <c r="R1667" s="0" t="n">
        <f aca="false">F1667*H1667</f>
        <v>-0.25</v>
      </c>
      <c r="S1667" s="0" t="n">
        <f aca="false">G1667*H1667</f>
        <v>0</v>
      </c>
      <c r="T1667" s="0" t="n">
        <f aca="false">E1667*E1667</f>
        <v>0.25</v>
      </c>
      <c r="U1667" s="0" t="n">
        <f aca="false">F1667*F1667</f>
        <v>0.25</v>
      </c>
      <c r="V1667" s="0" t="n">
        <f aca="false">G1667*G1667</f>
        <v>0</v>
      </c>
      <c r="W1667" s="0" t="n">
        <f aca="false">H1667*H1667</f>
        <v>0.25</v>
      </c>
      <c r="X1667" s="0" t="n">
        <f aca="false">SUMPRODUCT(I1667:W1667,_XtX!$B$96:$P$96)</f>
        <v>44.9769554093567</v>
      </c>
      <c r="Y1667" s="0" t="n">
        <f aca="false">SUMPRODUCT(MMULT(I1667:W1667,_XtX!$B$78:$P$92),I1667:W1667)</f>
        <v>0.140008223684211</v>
      </c>
      <c r="Z1667" s="0" t="n">
        <f aca="false">04_回帰ANOVA!$K$19*04_回帰ANOVA!$K$14*SQRT(1+Y1667)</f>
        <v>1.39172165492264</v>
      </c>
      <c r="AA1667" s="0" t="n">
        <f aca="false">X1667-Z1667</f>
        <v>43.5852337544341</v>
      </c>
      <c r="AB1667" s="0" t="n">
        <f aca="false">X1667+Z1667</f>
        <v>46.3686770642793</v>
      </c>
      <c r="AC1667" s="54" t="b">
        <f aca="false">AND(E1667&gt;=01_因子設定!$L$5-0.000000001,E1667&lt;=01_因子設定!$M$5+0.000000001,F1667&gt;=01_因子設定!$L$6-0.000000001,F1667&lt;=01_因子設定!$M$6+0.000000001,G1667&gt;=01_因子設定!$L$7-0.000000001,G1667&lt;=01_因子設定!$M$7+0.000000001,H1667&gt;=01_因子設定!$L$8-0.000000001,H1667&lt;=01_因子設定!$M$8+0.000000001,IF(01_因子設定!$B$20="Box-Behnken",E1667^2+F1667^2+G1667^2+H1667^2&lt;=2+0.000000001,TRUE()))</f>
        <v>1</v>
      </c>
      <c r="AD1667" s="55" t="n">
        <f aca="false">IF(AC1667,IF(01_因子設定!$B$13="最大化",AA1667-01_因子設定!$B$14,IF(01_因子設定!$B$13="最小化",01_因子設定!$B$15-AB1667,MIN(AA1667-01_因子設定!$B$14,01_因子設定!$B$15-AB1667))),-1E+030)</f>
        <v>-2.91476624556594</v>
      </c>
      <c r="AE1667" s="55" t="n">
        <f aca="false">IF(AC1667,IF(01_因子設定!$B$13="最大化",X1667,IF(01_因子設定!$B$13="最小化",-X1667,-ABS(X1667-01_因子設定!$B$16))),-1E+030)</f>
        <v>44.9769554093567</v>
      </c>
      <c r="AF1667" s="55" t="n">
        <f aca="false">AD1667+ROW()*0.000000001</f>
        <v>-2.91476457856594</v>
      </c>
      <c r="AG1667" s="55" t="n">
        <f aca="false">AE1667+ROW()*0.000000001</f>
        <v>44.9769570763567</v>
      </c>
    </row>
    <row r="1668" customFormat="false" ht="15" hidden="false" customHeight="false" outlineLevel="0" collapsed="false">
      <c r="A1668" s="0" t="n">
        <v>2</v>
      </c>
      <c r="B1668" s="0" t="n">
        <v>2</v>
      </c>
      <c r="C1668" s="0" t="n">
        <v>4</v>
      </c>
      <c r="D1668" s="0" t="n">
        <v>7</v>
      </c>
      <c r="E1668" s="0" t="n">
        <f aca="false">-1+A1668*0.25</f>
        <v>-0.5</v>
      </c>
      <c r="F1668" s="0" t="n">
        <f aca="false">-1+B1668*0.25</f>
        <v>-0.5</v>
      </c>
      <c r="G1668" s="0" t="n">
        <f aca="false">-1+C1668*0.25</f>
        <v>0</v>
      </c>
      <c r="H1668" s="0" t="n">
        <f aca="false">-1+D1668*0.25</f>
        <v>0.75</v>
      </c>
      <c r="I1668" s="0" t="n">
        <f aca="false">1</f>
        <v>1</v>
      </c>
      <c r="J1668" s="0" t="n">
        <f aca="false">E1668</f>
        <v>-0.5</v>
      </c>
      <c r="K1668" s="0" t="n">
        <f aca="false">F1668</f>
        <v>-0.5</v>
      </c>
      <c r="L1668" s="0" t="n">
        <f aca="false">G1668</f>
        <v>0</v>
      </c>
      <c r="M1668" s="0" t="n">
        <f aca="false">H1668</f>
        <v>0.75</v>
      </c>
      <c r="N1668" s="0" t="n">
        <f aca="false">E1668*F1668</f>
        <v>0.25</v>
      </c>
      <c r="O1668" s="0" t="n">
        <f aca="false">E1668*G1668</f>
        <v>-0</v>
      </c>
      <c r="P1668" s="0" t="n">
        <f aca="false">E1668*H1668</f>
        <v>-0.375</v>
      </c>
      <c r="Q1668" s="0" t="n">
        <f aca="false">F1668*G1668</f>
        <v>-0</v>
      </c>
      <c r="R1668" s="0" t="n">
        <f aca="false">F1668*H1668</f>
        <v>-0.375</v>
      </c>
      <c r="S1668" s="0" t="n">
        <f aca="false">G1668*H1668</f>
        <v>0</v>
      </c>
      <c r="T1668" s="0" t="n">
        <f aca="false">E1668*E1668</f>
        <v>0.25</v>
      </c>
      <c r="U1668" s="0" t="n">
        <f aca="false">F1668*F1668</f>
        <v>0.25</v>
      </c>
      <c r="V1668" s="0" t="n">
        <f aca="false">G1668*G1668</f>
        <v>0</v>
      </c>
      <c r="W1668" s="0" t="n">
        <f aca="false">H1668*H1668</f>
        <v>0.5625</v>
      </c>
      <c r="X1668" s="0" t="n">
        <f aca="false">SUMPRODUCT(I1668:W1668,_XtX!$B$96:$P$96)</f>
        <v>44.9697642543859</v>
      </c>
      <c r="Y1668" s="0" t="n">
        <f aca="false">SUMPRODUCT(MMULT(I1668:W1668,_XtX!$B$78:$P$92),I1668:W1668)</f>
        <v>0.21305052997076</v>
      </c>
      <c r="Z1668" s="0" t="n">
        <f aca="false">04_回帰ANOVA!$K$19*04_回帰ANOVA!$K$14*SQRT(1+Y1668)</f>
        <v>1.43561450835061</v>
      </c>
      <c r="AA1668" s="0" t="n">
        <f aca="false">X1668-Z1668</f>
        <v>43.5341497460353</v>
      </c>
      <c r="AB1668" s="0" t="n">
        <f aca="false">X1668+Z1668</f>
        <v>46.4053787627366</v>
      </c>
      <c r="AC1668" s="54" t="b">
        <f aca="false">AND(E1668&gt;=01_因子設定!$L$5-0.000000001,E1668&lt;=01_因子設定!$M$5+0.000000001,F1668&gt;=01_因子設定!$L$6-0.000000001,F1668&lt;=01_因子設定!$M$6+0.000000001,G1668&gt;=01_因子設定!$L$7-0.000000001,G1668&lt;=01_因子設定!$M$7+0.000000001,H1668&gt;=01_因子設定!$L$8-0.000000001,H1668&lt;=01_因子設定!$M$8+0.000000001,IF(01_因子設定!$B$20="Box-Behnken",E1668^2+F1668^2+G1668^2+H1668^2&lt;=2+0.000000001,TRUE()))</f>
        <v>1</v>
      </c>
      <c r="AD1668" s="55" t="n">
        <f aca="false">IF(AC1668,IF(01_因子設定!$B$13="最大化",AA1668-01_因子設定!$B$14,IF(01_因子設定!$B$13="最小化",01_因子設定!$B$15-AB1668,MIN(AA1668-01_因子設定!$B$14,01_因子設定!$B$15-AB1668))),-1E+030)</f>
        <v>-2.96585025396466</v>
      </c>
      <c r="AE1668" s="55" t="n">
        <f aca="false">IF(AC1668,IF(01_因子設定!$B$13="最大化",X1668,IF(01_因子設定!$B$13="最小化",-X1668,-ABS(X1668-01_因子設定!$B$16))),-1E+030)</f>
        <v>44.9697642543859</v>
      </c>
      <c r="AF1668" s="55" t="n">
        <f aca="false">AD1668+ROW()*0.000000001</f>
        <v>-2.96584858596466</v>
      </c>
      <c r="AG1668" s="55" t="n">
        <f aca="false">AE1668+ROW()*0.000000001</f>
        <v>44.9697659223859</v>
      </c>
    </row>
    <row r="1669" customFormat="false" ht="15" hidden="false" customHeight="false" outlineLevel="0" collapsed="false">
      <c r="A1669" s="0" t="n">
        <v>2</v>
      </c>
      <c r="B1669" s="0" t="n">
        <v>2</v>
      </c>
      <c r="C1669" s="0" t="n">
        <v>4</v>
      </c>
      <c r="D1669" s="0" t="n">
        <v>8</v>
      </c>
      <c r="E1669" s="0" t="n">
        <f aca="false">-1+A1669*0.25</f>
        <v>-0.5</v>
      </c>
      <c r="F1669" s="0" t="n">
        <f aca="false">-1+B1669*0.25</f>
        <v>-0.5</v>
      </c>
      <c r="G1669" s="0" t="n">
        <f aca="false">-1+C1669*0.25</f>
        <v>0</v>
      </c>
      <c r="H1669" s="0" t="n">
        <f aca="false">-1+D1669*0.25</f>
        <v>1</v>
      </c>
      <c r="I1669" s="0" t="n">
        <f aca="false">1</f>
        <v>1</v>
      </c>
      <c r="J1669" s="0" t="n">
        <f aca="false">E1669</f>
        <v>-0.5</v>
      </c>
      <c r="K1669" s="0" t="n">
        <f aca="false">F1669</f>
        <v>-0.5</v>
      </c>
      <c r="L1669" s="0" t="n">
        <f aca="false">G1669</f>
        <v>0</v>
      </c>
      <c r="M1669" s="0" t="n">
        <f aca="false">H1669</f>
        <v>1</v>
      </c>
      <c r="N1669" s="0" t="n">
        <f aca="false">E1669*F1669</f>
        <v>0.25</v>
      </c>
      <c r="O1669" s="0" t="n">
        <f aca="false">E1669*G1669</f>
        <v>-0</v>
      </c>
      <c r="P1669" s="0" t="n">
        <f aca="false">E1669*H1669</f>
        <v>-0.5</v>
      </c>
      <c r="Q1669" s="0" t="n">
        <f aca="false">F1669*G1669</f>
        <v>-0</v>
      </c>
      <c r="R1669" s="0" t="n">
        <f aca="false">F1669*H1669</f>
        <v>-0.5</v>
      </c>
      <c r="S1669" s="0" t="n">
        <f aca="false">G1669*H1669</f>
        <v>0</v>
      </c>
      <c r="T1669" s="0" t="n">
        <f aca="false">E1669*E1669</f>
        <v>0.25</v>
      </c>
      <c r="U1669" s="0" t="n">
        <f aca="false">F1669*F1669</f>
        <v>0.25</v>
      </c>
      <c r="V1669" s="0" t="n">
        <f aca="false">G1669*G1669</f>
        <v>0</v>
      </c>
      <c r="W1669" s="0" t="n">
        <f aca="false">H1669*H1669</f>
        <v>1</v>
      </c>
      <c r="X1669" s="0" t="n">
        <f aca="false">SUMPRODUCT(I1669:W1669,_XtX!$B$96:$P$96)</f>
        <v>44.9147660818713</v>
      </c>
      <c r="Y1669" s="0" t="n">
        <f aca="false">SUMPRODUCT(MMULT(I1669:W1669,_XtX!$B$78:$P$92),I1669:W1669)</f>
        <v>0.441954495614035</v>
      </c>
      <c r="Z1669" s="0" t="n">
        <f aca="false">04_回帰ANOVA!$K$19*04_回帰ANOVA!$K$14*SQRT(1+Y1669)</f>
        <v>1.56521560968066</v>
      </c>
      <c r="AA1669" s="0" t="n">
        <f aca="false">X1669-Z1669</f>
        <v>43.3495504721907</v>
      </c>
      <c r="AB1669" s="0" t="n">
        <f aca="false">X1669+Z1669</f>
        <v>46.479981691552</v>
      </c>
      <c r="AC1669" s="54" t="b">
        <f aca="false">AND(E1669&gt;=01_因子設定!$L$5-0.000000001,E1669&lt;=01_因子設定!$M$5+0.000000001,F1669&gt;=01_因子設定!$L$6-0.000000001,F1669&lt;=01_因子設定!$M$6+0.000000001,G1669&gt;=01_因子設定!$L$7-0.000000001,G1669&lt;=01_因子設定!$M$7+0.000000001,H1669&gt;=01_因子設定!$L$8-0.000000001,H1669&lt;=01_因子設定!$M$8+0.000000001,IF(01_因子設定!$B$20="Box-Behnken",E1669^2+F1669^2+G1669^2+H1669^2&lt;=2+0.000000001,TRUE()))</f>
        <v>1</v>
      </c>
      <c r="AD1669" s="55" t="n">
        <f aca="false">IF(AC1669,IF(01_因子設定!$B$13="最大化",AA1669-01_因子設定!$B$14,IF(01_因子設定!$B$13="最小化",01_因子設定!$B$15-AB1669,MIN(AA1669-01_因子設定!$B$14,01_因子設定!$B$15-AB1669))),-1E+030)</f>
        <v>-3.15044952780933</v>
      </c>
      <c r="AE1669" s="55" t="n">
        <f aca="false">IF(AC1669,IF(01_因子設定!$B$13="最大化",X1669,IF(01_因子設定!$B$13="最小化",-X1669,-ABS(X1669-01_因子設定!$B$16))),-1E+030)</f>
        <v>44.9147660818713</v>
      </c>
      <c r="AF1669" s="55" t="n">
        <f aca="false">AD1669+ROW()*0.000000001</f>
        <v>-3.15044785880933</v>
      </c>
      <c r="AG1669" s="55" t="n">
        <f aca="false">AE1669+ROW()*0.000000001</f>
        <v>44.9147677508713</v>
      </c>
    </row>
    <row r="1670" customFormat="false" ht="15" hidden="false" customHeight="false" outlineLevel="0" collapsed="false">
      <c r="A1670" s="0" t="n">
        <v>2</v>
      </c>
      <c r="B1670" s="0" t="n">
        <v>2</v>
      </c>
      <c r="C1670" s="0" t="n">
        <v>5</v>
      </c>
      <c r="D1670" s="0" t="n">
        <v>0</v>
      </c>
      <c r="E1670" s="0" t="n">
        <f aca="false">-1+A1670*0.25</f>
        <v>-0.5</v>
      </c>
      <c r="F1670" s="0" t="n">
        <f aca="false">-1+B1670*0.25</f>
        <v>-0.5</v>
      </c>
      <c r="G1670" s="0" t="n">
        <f aca="false">-1+C1670*0.25</f>
        <v>0.25</v>
      </c>
      <c r="H1670" s="0" t="n">
        <f aca="false">-1+D1670*0.25</f>
        <v>-1</v>
      </c>
      <c r="I1670" s="0" t="n">
        <f aca="false">1</f>
        <v>1</v>
      </c>
      <c r="J1670" s="0" t="n">
        <f aca="false">E1670</f>
        <v>-0.5</v>
      </c>
      <c r="K1670" s="0" t="n">
        <f aca="false">F1670</f>
        <v>-0.5</v>
      </c>
      <c r="L1670" s="0" t="n">
        <f aca="false">G1670</f>
        <v>0.25</v>
      </c>
      <c r="M1670" s="0" t="n">
        <f aca="false">H1670</f>
        <v>-1</v>
      </c>
      <c r="N1670" s="0" t="n">
        <f aca="false">E1670*F1670</f>
        <v>0.25</v>
      </c>
      <c r="O1670" s="0" t="n">
        <f aca="false">E1670*G1670</f>
        <v>-0.125</v>
      </c>
      <c r="P1670" s="0" t="n">
        <f aca="false">E1670*H1670</f>
        <v>0.5</v>
      </c>
      <c r="Q1670" s="0" t="n">
        <f aca="false">F1670*G1670</f>
        <v>-0.125</v>
      </c>
      <c r="R1670" s="0" t="n">
        <f aca="false">F1670*H1670</f>
        <v>0.5</v>
      </c>
      <c r="S1670" s="0" t="n">
        <f aca="false">G1670*H1670</f>
        <v>-0.25</v>
      </c>
      <c r="T1670" s="0" t="n">
        <f aca="false">E1670*E1670</f>
        <v>0.25</v>
      </c>
      <c r="U1670" s="0" t="n">
        <f aca="false">F1670*F1670</f>
        <v>0.25</v>
      </c>
      <c r="V1670" s="0" t="n">
        <f aca="false">G1670*G1670</f>
        <v>0.0625</v>
      </c>
      <c r="W1670" s="0" t="n">
        <f aca="false">H1670*H1670</f>
        <v>1</v>
      </c>
      <c r="X1670" s="0" t="n">
        <f aca="false">SUMPRODUCT(I1670:W1670,_XtX!$B$96:$P$96)</f>
        <v>44.1896472953216</v>
      </c>
      <c r="Y1670" s="0" t="n">
        <f aca="false">SUMPRODUCT(MMULT(I1670:W1670,_XtX!$B$78:$P$92),I1670:W1670)</f>
        <v>0.428122715643275</v>
      </c>
      <c r="Z1670" s="0" t="n">
        <f aca="false">04_回帰ANOVA!$K$19*04_回帰ANOVA!$K$14*SQRT(1+Y1670)</f>
        <v>1.55769044623229</v>
      </c>
      <c r="AA1670" s="0" t="n">
        <f aca="false">X1670-Z1670</f>
        <v>42.6319568490893</v>
      </c>
      <c r="AB1670" s="0" t="n">
        <f aca="false">X1670+Z1670</f>
        <v>45.7473377415539</v>
      </c>
      <c r="AC1670" s="54" t="b">
        <f aca="false">AND(E1670&gt;=01_因子設定!$L$5-0.000000001,E1670&lt;=01_因子設定!$M$5+0.000000001,F1670&gt;=01_因子設定!$L$6-0.000000001,F1670&lt;=01_因子設定!$M$6+0.000000001,G1670&gt;=01_因子設定!$L$7-0.000000001,G1670&lt;=01_因子設定!$M$7+0.000000001,H1670&gt;=01_因子設定!$L$8-0.000000001,H1670&lt;=01_因子設定!$M$8+0.000000001,IF(01_因子設定!$B$20="Box-Behnken",E1670^2+F1670^2+G1670^2+H1670^2&lt;=2+0.000000001,TRUE()))</f>
        <v>1</v>
      </c>
      <c r="AD1670" s="55" t="n">
        <f aca="false">IF(AC1670,IF(01_因子設定!$B$13="最大化",AA1670-01_因子設定!$B$14,IF(01_因子設定!$B$13="最小化",01_因子設定!$B$15-AB1670,MIN(AA1670-01_因子設定!$B$14,01_因子設定!$B$15-AB1670))),-1E+030)</f>
        <v>-3.86804315091066</v>
      </c>
      <c r="AE1670" s="55" t="n">
        <f aca="false">IF(AC1670,IF(01_因子設定!$B$13="最大化",X1670,IF(01_因子設定!$B$13="最小化",-X1670,-ABS(X1670-01_因子設定!$B$16))),-1E+030)</f>
        <v>44.1896472953216</v>
      </c>
      <c r="AF1670" s="55" t="n">
        <f aca="false">AD1670+ROW()*0.000000001</f>
        <v>-3.86804148091066</v>
      </c>
      <c r="AG1670" s="55" t="n">
        <f aca="false">AE1670+ROW()*0.000000001</f>
        <v>44.1896489653216</v>
      </c>
    </row>
    <row r="1671" customFormat="false" ht="15" hidden="false" customHeight="false" outlineLevel="0" collapsed="false">
      <c r="A1671" s="0" t="n">
        <v>2</v>
      </c>
      <c r="B1671" s="0" t="n">
        <v>2</v>
      </c>
      <c r="C1671" s="0" t="n">
        <v>5</v>
      </c>
      <c r="D1671" s="0" t="n">
        <v>1</v>
      </c>
      <c r="E1671" s="0" t="n">
        <f aca="false">-1+A1671*0.25</f>
        <v>-0.5</v>
      </c>
      <c r="F1671" s="0" t="n">
        <f aca="false">-1+B1671*0.25</f>
        <v>-0.5</v>
      </c>
      <c r="G1671" s="0" t="n">
        <f aca="false">-1+C1671*0.25</f>
        <v>0.25</v>
      </c>
      <c r="H1671" s="0" t="n">
        <f aca="false">-1+D1671*0.25</f>
        <v>-0.75</v>
      </c>
      <c r="I1671" s="0" t="n">
        <f aca="false">1</f>
        <v>1</v>
      </c>
      <c r="J1671" s="0" t="n">
        <f aca="false">E1671</f>
        <v>-0.5</v>
      </c>
      <c r="K1671" s="0" t="n">
        <f aca="false">F1671</f>
        <v>-0.5</v>
      </c>
      <c r="L1671" s="0" t="n">
        <f aca="false">G1671</f>
        <v>0.25</v>
      </c>
      <c r="M1671" s="0" t="n">
        <f aca="false">H1671</f>
        <v>-0.75</v>
      </c>
      <c r="N1671" s="0" t="n">
        <f aca="false">E1671*F1671</f>
        <v>0.25</v>
      </c>
      <c r="O1671" s="0" t="n">
        <f aca="false">E1671*G1671</f>
        <v>-0.125</v>
      </c>
      <c r="P1671" s="0" t="n">
        <f aca="false">E1671*H1671</f>
        <v>0.375</v>
      </c>
      <c r="Q1671" s="0" t="n">
        <f aca="false">F1671*G1671</f>
        <v>-0.125</v>
      </c>
      <c r="R1671" s="0" t="n">
        <f aca="false">F1671*H1671</f>
        <v>0.375</v>
      </c>
      <c r="S1671" s="0" t="n">
        <f aca="false">G1671*H1671</f>
        <v>-0.1875</v>
      </c>
      <c r="T1671" s="0" t="n">
        <f aca="false">E1671*E1671</f>
        <v>0.25</v>
      </c>
      <c r="U1671" s="0" t="n">
        <f aca="false">F1671*F1671</f>
        <v>0.25</v>
      </c>
      <c r="V1671" s="0" t="n">
        <f aca="false">G1671*G1671</f>
        <v>0.0625</v>
      </c>
      <c r="W1671" s="0" t="n">
        <f aca="false">H1671*H1671</f>
        <v>0.5625</v>
      </c>
      <c r="X1671" s="0" t="n">
        <f aca="false">SUMPRODUCT(I1671:W1671,_XtX!$B$96:$P$96)</f>
        <v>44.487266995614</v>
      </c>
      <c r="Y1671" s="0" t="n">
        <f aca="false">SUMPRODUCT(MMULT(I1671:W1671,_XtX!$B$78:$P$92),I1671:W1671)</f>
        <v>0.203746059484649</v>
      </c>
      <c r="Z1671" s="0" t="n">
        <f aca="false">04_回帰ANOVA!$K$19*04_回帰ANOVA!$K$14*SQRT(1+Y1671)</f>
        <v>1.43009810755465</v>
      </c>
      <c r="AA1671" s="0" t="n">
        <f aca="false">X1671-Z1671</f>
        <v>43.0571688880594</v>
      </c>
      <c r="AB1671" s="0" t="n">
        <f aca="false">X1671+Z1671</f>
        <v>45.9173651031687</v>
      </c>
      <c r="AC1671" s="54" t="b">
        <f aca="false">AND(E1671&gt;=01_因子設定!$L$5-0.000000001,E1671&lt;=01_因子設定!$M$5+0.000000001,F1671&gt;=01_因子設定!$L$6-0.000000001,F1671&lt;=01_因子設定!$M$6+0.000000001,G1671&gt;=01_因子設定!$L$7-0.000000001,G1671&lt;=01_因子設定!$M$7+0.000000001,H1671&gt;=01_因子設定!$L$8-0.000000001,H1671&lt;=01_因子設定!$M$8+0.000000001,IF(01_因子設定!$B$20="Box-Behnken",E1671^2+F1671^2+G1671^2+H1671^2&lt;=2+0.000000001,TRUE()))</f>
        <v>1</v>
      </c>
      <c r="AD1671" s="55" t="n">
        <f aca="false">IF(AC1671,IF(01_因子設定!$B$13="最大化",AA1671-01_因子設定!$B$14,IF(01_因子設定!$B$13="最小化",01_因子設定!$B$15-AB1671,MIN(AA1671-01_因子設定!$B$14,01_因子設定!$B$15-AB1671))),-1E+030)</f>
        <v>-3.44283111194063</v>
      </c>
      <c r="AE1671" s="55" t="n">
        <f aca="false">IF(AC1671,IF(01_因子設定!$B$13="最大化",X1671,IF(01_因子設定!$B$13="最小化",-X1671,-ABS(X1671-01_因子設定!$B$16))),-1E+030)</f>
        <v>44.487266995614</v>
      </c>
      <c r="AF1671" s="55" t="n">
        <f aca="false">AD1671+ROW()*0.000000001</f>
        <v>-3.44282944094063</v>
      </c>
      <c r="AG1671" s="55" t="n">
        <f aca="false">AE1671+ROW()*0.000000001</f>
        <v>44.487268666614</v>
      </c>
    </row>
    <row r="1672" customFormat="false" ht="15" hidden="false" customHeight="false" outlineLevel="0" collapsed="false">
      <c r="A1672" s="0" t="n">
        <v>2</v>
      </c>
      <c r="B1672" s="0" t="n">
        <v>2</v>
      </c>
      <c r="C1672" s="0" t="n">
        <v>5</v>
      </c>
      <c r="D1672" s="0" t="n">
        <v>2</v>
      </c>
      <c r="E1672" s="0" t="n">
        <f aca="false">-1+A1672*0.25</f>
        <v>-0.5</v>
      </c>
      <c r="F1672" s="0" t="n">
        <f aca="false">-1+B1672*0.25</f>
        <v>-0.5</v>
      </c>
      <c r="G1672" s="0" t="n">
        <f aca="false">-1+C1672*0.25</f>
        <v>0.25</v>
      </c>
      <c r="H1672" s="0" t="n">
        <f aca="false">-1+D1672*0.25</f>
        <v>-0.5</v>
      </c>
      <c r="I1672" s="0" t="n">
        <f aca="false">1</f>
        <v>1</v>
      </c>
      <c r="J1672" s="0" t="n">
        <f aca="false">E1672</f>
        <v>-0.5</v>
      </c>
      <c r="K1672" s="0" t="n">
        <f aca="false">F1672</f>
        <v>-0.5</v>
      </c>
      <c r="L1672" s="0" t="n">
        <f aca="false">G1672</f>
        <v>0.25</v>
      </c>
      <c r="M1672" s="0" t="n">
        <f aca="false">H1672</f>
        <v>-0.5</v>
      </c>
      <c r="N1672" s="0" t="n">
        <f aca="false">E1672*F1672</f>
        <v>0.25</v>
      </c>
      <c r="O1672" s="0" t="n">
        <f aca="false">E1672*G1672</f>
        <v>-0.125</v>
      </c>
      <c r="P1672" s="0" t="n">
        <f aca="false">E1672*H1672</f>
        <v>0.25</v>
      </c>
      <c r="Q1672" s="0" t="n">
        <f aca="false">F1672*G1672</f>
        <v>-0.125</v>
      </c>
      <c r="R1672" s="0" t="n">
        <f aca="false">F1672*H1672</f>
        <v>0.25</v>
      </c>
      <c r="S1672" s="0" t="n">
        <f aca="false">G1672*H1672</f>
        <v>-0.125</v>
      </c>
      <c r="T1672" s="0" t="n">
        <f aca="false">E1672*E1672</f>
        <v>0.25</v>
      </c>
      <c r="U1672" s="0" t="n">
        <f aca="false">F1672*F1672</f>
        <v>0.25</v>
      </c>
      <c r="V1672" s="0" t="n">
        <f aca="false">G1672*G1672</f>
        <v>0.0625</v>
      </c>
      <c r="W1672" s="0" t="n">
        <f aca="false">H1672*H1672</f>
        <v>0.25</v>
      </c>
      <c r="X1672" s="0" t="n">
        <f aca="false">SUMPRODUCT(I1672:W1672,_XtX!$B$96:$P$96)</f>
        <v>44.7370796783625</v>
      </c>
      <c r="Y1672" s="0" t="n">
        <f aca="false">SUMPRODUCT(MMULT(I1672:W1672,_XtX!$B$78:$P$92),I1672:W1672)</f>
        <v>0.133937545687135</v>
      </c>
      <c r="Z1672" s="0" t="n">
        <f aca="false">04_回帰ANOVA!$K$19*04_回帰ANOVA!$K$14*SQRT(1+Y1672)</f>
        <v>1.38801116780825</v>
      </c>
      <c r="AA1672" s="0" t="n">
        <f aca="false">X1672-Z1672</f>
        <v>43.3490685105543</v>
      </c>
      <c r="AB1672" s="0" t="n">
        <f aca="false">X1672+Z1672</f>
        <v>46.1250908461708</v>
      </c>
      <c r="AC1672" s="54" t="b">
        <f aca="false">AND(E1672&gt;=01_因子設定!$L$5-0.000000001,E1672&lt;=01_因子設定!$M$5+0.000000001,F1672&gt;=01_因子設定!$L$6-0.000000001,F1672&lt;=01_因子設定!$M$6+0.000000001,G1672&gt;=01_因子設定!$L$7-0.000000001,G1672&lt;=01_因子設定!$M$7+0.000000001,H1672&gt;=01_因子設定!$L$8-0.000000001,H1672&lt;=01_因子設定!$M$8+0.000000001,IF(01_因子設定!$B$20="Box-Behnken",E1672^2+F1672^2+G1672^2+H1672^2&lt;=2+0.000000001,TRUE()))</f>
        <v>1</v>
      </c>
      <c r="AD1672" s="55" t="n">
        <f aca="false">IF(AC1672,IF(01_因子設定!$B$13="最大化",AA1672-01_因子設定!$B$14,IF(01_因子設定!$B$13="最小化",01_因子設定!$B$15-AB1672,MIN(AA1672-01_因子設定!$B$14,01_因子設定!$B$15-AB1672))),-1E+030)</f>
        <v>-3.15093148944571</v>
      </c>
      <c r="AE1672" s="55" t="n">
        <f aca="false">IF(AC1672,IF(01_因子設定!$B$13="最大化",X1672,IF(01_因子設定!$B$13="最小化",-X1672,-ABS(X1672-01_因子設定!$B$16))),-1E+030)</f>
        <v>44.7370796783625</v>
      </c>
      <c r="AF1672" s="55" t="n">
        <f aca="false">AD1672+ROW()*0.000000001</f>
        <v>-3.15092981744571</v>
      </c>
      <c r="AG1672" s="55" t="n">
        <f aca="false">AE1672+ROW()*0.000000001</f>
        <v>44.7370813503625</v>
      </c>
    </row>
    <row r="1673" customFormat="false" ht="15" hidden="false" customHeight="false" outlineLevel="0" collapsed="false">
      <c r="A1673" s="0" t="n">
        <v>2</v>
      </c>
      <c r="B1673" s="0" t="n">
        <v>2</v>
      </c>
      <c r="C1673" s="0" t="n">
        <v>5</v>
      </c>
      <c r="D1673" s="0" t="n">
        <v>3</v>
      </c>
      <c r="E1673" s="0" t="n">
        <f aca="false">-1+A1673*0.25</f>
        <v>-0.5</v>
      </c>
      <c r="F1673" s="0" t="n">
        <f aca="false">-1+B1673*0.25</f>
        <v>-0.5</v>
      </c>
      <c r="G1673" s="0" t="n">
        <f aca="false">-1+C1673*0.25</f>
        <v>0.25</v>
      </c>
      <c r="H1673" s="0" t="n">
        <f aca="false">-1+D1673*0.25</f>
        <v>-0.25</v>
      </c>
      <c r="I1673" s="0" t="n">
        <f aca="false">1</f>
        <v>1</v>
      </c>
      <c r="J1673" s="0" t="n">
        <f aca="false">E1673</f>
        <v>-0.5</v>
      </c>
      <c r="K1673" s="0" t="n">
        <f aca="false">F1673</f>
        <v>-0.5</v>
      </c>
      <c r="L1673" s="0" t="n">
        <f aca="false">G1673</f>
        <v>0.25</v>
      </c>
      <c r="M1673" s="0" t="n">
        <f aca="false">H1673</f>
        <v>-0.25</v>
      </c>
      <c r="N1673" s="0" t="n">
        <f aca="false">E1673*F1673</f>
        <v>0.25</v>
      </c>
      <c r="O1673" s="0" t="n">
        <f aca="false">E1673*G1673</f>
        <v>-0.125</v>
      </c>
      <c r="P1673" s="0" t="n">
        <f aca="false">E1673*H1673</f>
        <v>0.125</v>
      </c>
      <c r="Q1673" s="0" t="n">
        <f aca="false">F1673*G1673</f>
        <v>-0.125</v>
      </c>
      <c r="R1673" s="0" t="n">
        <f aca="false">F1673*H1673</f>
        <v>0.125</v>
      </c>
      <c r="S1673" s="0" t="n">
        <f aca="false">G1673*H1673</f>
        <v>-0.0625</v>
      </c>
      <c r="T1673" s="0" t="n">
        <f aca="false">E1673*E1673</f>
        <v>0.25</v>
      </c>
      <c r="U1673" s="0" t="n">
        <f aca="false">F1673*F1673</f>
        <v>0.25</v>
      </c>
      <c r="V1673" s="0" t="n">
        <f aca="false">G1673*G1673</f>
        <v>0.0625</v>
      </c>
      <c r="W1673" s="0" t="n">
        <f aca="false">H1673*H1673</f>
        <v>0.0625</v>
      </c>
      <c r="X1673" s="0" t="n">
        <f aca="false">SUMPRODUCT(I1673:W1673,_XtX!$B$96:$P$96)</f>
        <v>44.9390853435672</v>
      </c>
      <c r="Y1673" s="0" t="n">
        <f aca="false">SUMPRODUCT(MMULT(I1673:W1673,_XtX!$B$78:$P$92),I1673:W1673)</f>
        <v>0.128236647934942</v>
      </c>
      <c r="Z1673" s="0" t="n">
        <f aca="false">04_回帰ANOVA!$K$19*04_回帰ANOVA!$K$14*SQRT(1+Y1673)</f>
        <v>1.38451764188989</v>
      </c>
      <c r="AA1673" s="0" t="n">
        <f aca="false">X1673-Z1673</f>
        <v>43.5545677016773</v>
      </c>
      <c r="AB1673" s="0" t="n">
        <f aca="false">X1673+Z1673</f>
        <v>46.3236029854571</v>
      </c>
      <c r="AC1673" s="54" t="b">
        <f aca="false">AND(E1673&gt;=01_因子設定!$L$5-0.000000001,E1673&lt;=01_因子設定!$M$5+0.000000001,F1673&gt;=01_因子設定!$L$6-0.000000001,F1673&lt;=01_因子設定!$M$6+0.000000001,G1673&gt;=01_因子設定!$L$7-0.000000001,G1673&lt;=01_因子設定!$M$7+0.000000001,H1673&gt;=01_因子設定!$L$8-0.000000001,H1673&lt;=01_因子設定!$M$8+0.000000001,IF(01_因子設定!$B$20="Box-Behnken",E1673^2+F1673^2+G1673^2+H1673^2&lt;=2+0.000000001,TRUE()))</f>
        <v>1</v>
      </c>
      <c r="AD1673" s="55" t="n">
        <f aca="false">IF(AC1673,IF(01_因子設定!$B$13="最大化",AA1673-01_因子設定!$B$14,IF(01_因子設定!$B$13="最小化",01_因子設定!$B$15-AB1673,MIN(AA1673-01_因子設定!$B$14,01_因子設定!$B$15-AB1673))),-1E+030)</f>
        <v>-2.94543229832267</v>
      </c>
      <c r="AE1673" s="55" t="n">
        <f aca="false">IF(AC1673,IF(01_因子設定!$B$13="最大化",X1673,IF(01_因子設定!$B$13="最小化",-X1673,-ABS(X1673-01_因子設定!$B$16))),-1E+030)</f>
        <v>44.9390853435672</v>
      </c>
      <c r="AF1673" s="55" t="n">
        <f aca="false">AD1673+ROW()*0.000000001</f>
        <v>-2.94543062532267</v>
      </c>
      <c r="AG1673" s="55" t="n">
        <f aca="false">AE1673+ROW()*0.000000001</f>
        <v>44.9390870165672</v>
      </c>
    </row>
    <row r="1674" customFormat="false" ht="15" hidden="false" customHeight="false" outlineLevel="0" collapsed="false">
      <c r="A1674" s="0" t="n">
        <v>2</v>
      </c>
      <c r="B1674" s="0" t="n">
        <v>2</v>
      </c>
      <c r="C1674" s="0" t="n">
        <v>5</v>
      </c>
      <c r="D1674" s="0" t="n">
        <v>4</v>
      </c>
      <c r="E1674" s="0" t="n">
        <f aca="false">-1+A1674*0.25</f>
        <v>-0.5</v>
      </c>
      <c r="F1674" s="0" t="n">
        <f aca="false">-1+B1674*0.25</f>
        <v>-0.5</v>
      </c>
      <c r="G1674" s="0" t="n">
        <f aca="false">-1+C1674*0.25</f>
        <v>0.25</v>
      </c>
      <c r="H1674" s="0" t="n">
        <f aca="false">-1+D1674*0.25</f>
        <v>0</v>
      </c>
      <c r="I1674" s="0" t="n">
        <f aca="false">1</f>
        <v>1</v>
      </c>
      <c r="J1674" s="0" t="n">
        <f aca="false">E1674</f>
        <v>-0.5</v>
      </c>
      <c r="K1674" s="0" t="n">
        <f aca="false">F1674</f>
        <v>-0.5</v>
      </c>
      <c r="L1674" s="0" t="n">
        <f aca="false">G1674</f>
        <v>0.25</v>
      </c>
      <c r="M1674" s="0" t="n">
        <f aca="false">H1674</f>
        <v>0</v>
      </c>
      <c r="N1674" s="0" t="n">
        <f aca="false">E1674*F1674</f>
        <v>0.25</v>
      </c>
      <c r="O1674" s="0" t="n">
        <f aca="false">E1674*G1674</f>
        <v>-0.125</v>
      </c>
      <c r="P1674" s="0" t="n">
        <f aca="false">E1674*H1674</f>
        <v>-0</v>
      </c>
      <c r="Q1674" s="0" t="n">
        <f aca="false">F1674*G1674</f>
        <v>-0.125</v>
      </c>
      <c r="R1674" s="0" t="n">
        <f aca="false">F1674*H1674</f>
        <v>-0</v>
      </c>
      <c r="S1674" s="0" t="n">
        <f aca="false">G1674*H1674</f>
        <v>0</v>
      </c>
      <c r="T1674" s="0" t="n">
        <f aca="false">E1674*E1674</f>
        <v>0.25</v>
      </c>
      <c r="U1674" s="0" t="n">
        <f aca="false">F1674*F1674</f>
        <v>0.25</v>
      </c>
      <c r="V1674" s="0" t="n">
        <f aca="false">G1674*G1674</f>
        <v>0.0625</v>
      </c>
      <c r="W1674" s="0" t="n">
        <f aca="false">H1674*H1674</f>
        <v>0</v>
      </c>
      <c r="X1674" s="0" t="n">
        <f aca="false">SUMPRODUCT(I1674:W1674,_XtX!$B$96:$P$96)</f>
        <v>45.093283991228</v>
      </c>
      <c r="Y1674" s="0" t="n">
        <f aca="false">SUMPRODUCT(MMULT(I1674:W1674,_XtX!$B$78:$P$92),I1674:W1674)</f>
        <v>0.132367050438597</v>
      </c>
      <c r="Z1674" s="0" t="n">
        <f aca="false">04_回帰ANOVA!$K$19*04_回帰ANOVA!$K$14*SQRT(1+Y1674)</f>
        <v>1.38704964208329</v>
      </c>
      <c r="AA1674" s="0" t="n">
        <f aca="false">X1674-Z1674</f>
        <v>43.7062343491447</v>
      </c>
      <c r="AB1674" s="0" t="n">
        <f aca="false">X1674+Z1674</f>
        <v>46.4803336333113</v>
      </c>
      <c r="AC1674" s="54" t="b">
        <f aca="false">AND(E1674&gt;=01_因子設定!$L$5-0.000000001,E1674&lt;=01_因子設定!$M$5+0.000000001,F1674&gt;=01_因子設定!$L$6-0.000000001,F1674&lt;=01_因子設定!$M$6+0.000000001,G1674&gt;=01_因子設定!$L$7-0.000000001,G1674&lt;=01_因子設定!$M$7+0.000000001,H1674&gt;=01_因子設定!$L$8-0.000000001,H1674&lt;=01_因子設定!$M$8+0.000000001,IF(01_因子設定!$B$20="Box-Behnken",E1674^2+F1674^2+G1674^2+H1674^2&lt;=2+0.000000001,TRUE()))</f>
        <v>1</v>
      </c>
      <c r="AD1674" s="55" t="n">
        <f aca="false">IF(AC1674,IF(01_因子設定!$B$13="最大化",AA1674-01_因子設定!$B$14,IF(01_因子設定!$B$13="最小化",01_因子設定!$B$15-AB1674,MIN(AA1674-01_因子設定!$B$14,01_因子設定!$B$15-AB1674))),-1E+030)</f>
        <v>-2.79376565085526</v>
      </c>
      <c r="AE1674" s="55" t="n">
        <f aca="false">IF(AC1674,IF(01_因子設定!$B$13="最大化",X1674,IF(01_因子設定!$B$13="最小化",-X1674,-ABS(X1674-01_因子設定!$B$16))),-1E+030)</f>
        <v>45.093283991228</v>
      </c>
      <c r="AF1674" s="55" t="n">
        <f aca="false">AD1674+ROW()*0.000000001</f>
        <v>-2.79376397685526</v>
      </c>
      <c r="AG1674" s="55" t="n">
        <f aca="false">AE1674+ROW()*0.000000001</f>
        <v>45.093285665228</v>
      </c>
    </row>
    <row r="1675" customFormat="false" ht="15" hidden="false" customHeight="false" outlineLevel="0" collapsed="false">
      <c r="A1675" s="0" t="n">
        <v>2</v>
      </c>
      <c r="B1675" s="0" t="n">
        <v>2</v>
      </c>
      <c r="C1675" s="0" t="n">
        <v>5</v>
      </c>
      <c r="D1675" s="0" t="n">
        <v>5</v>
      </c>
      <c r="E1675" s="0" t="n">
        <f aca="false">-1+A1675*0.25</f>
        <v>-0.5</v>
      </c>
      <c r="F1675" s="0" t="n">
        <f aca="false">-1+B1675*0.25</f>
        <v>-0.5</v>
      </c>
      <c r="G1675" s="0" t="n">
        <f aca="false">-1+C1675*0.25</f>
        <v>0.25</v>
      </c>
      <c r="H1675" s="0" t="n">
        <f aca="false">-1+D1675*0.25</f>
        <v>0.25</v>
      </c>
      <c r="I1675" s="0" t="n">
        <f aca="false">1</f>
        <v>1</v>
      </c>
      <c r="J1675" s="0" t="n">
        <f aca="false">E1675</f>
        <v>-0.5</v>
      </c>
      <c r="K1675" s="0" t="n">
        <f aca="false">F1675</f>
        <v>-0.5</v>
      </c>
      <c r="L1675" s="0" t="n">
        <f aca="false">G1675</f>
        <v>0.25</v>
      </c>
      <c r="M1675" s="0" t="n">
        <f aca="false">H1675</f>
        <v>0.25</v>
      </c>
      <c r="N1675" s="0" t="n">
        <f aca="false">E1675*F1675</f>
        <v>0.25</v>
      </c>
      <c r="O1675" s="0" t="n">
        <f aca="false">E1675*G1675</f>
        <v>-0.125</v>
      </c>
      <c r="P1675" s="0" t="n">
        <f aca="false">E1675*H1675</f>
        <v>-0.125</v>
      </c>
      <c r="Q1675" s="0" t="n">
        <f aca="false">F1675*G1675</f>
        <v>-0.125</v>
      </c>
      <c r="R1675" s="0" t="n">
        <f aca="false">F1675*H1675</f>
        <v>-0.125</v>
      </c>
      <c r="S1675" s="0" t="n">
        <f aca="false">G1675*H1675</f>
        <v>0.0625</v>
      </c>
      <c r="T1675" s="0" t="n">
        <f aca="false">E1675*E1675</f>
        <v>0.25</v>
      </c>
      <c r="U1675" s="0" t="n">
        <f aca="false">F1675*F1675</f>
        <v>0.25</v>
      </c>
      <c r="V1675" s="0" t="n">
        <f aca="false">G1675*G1675</f>
        <v>0.0625</v>
      </c>
      <c r="W1675" s="0" t="n">
        <f aca="false">H1675*H1675</f>
        <v>0.0625</v>
      </c>
      <c r="X1675" s="0" t="n">
        <f aca="false">SUMPRODUCT(I1675:W1675,_XtX!$B$96:$P$96)</f>
        <v>45.199675621345</v>
      </c>
      <c r="Y1675" s="0" t="n">
        <f aca="false">SUMPRODUCT(MMULT(I1675:W1675,_XtX!$B$78:$P$92),I1675:W1675)</f>
        <v>0.128236647934942</v>
      </c>
      <c r="Z1675" s="0" t="n">
        <f aca="false">04_回帰ANOVA!$K$19*04_回帰ANOVA!$K$14*SQRT(1+Y1675)</f>
        <v>1.38451764188989</v>
      </c>
      <c r="AA1675" s="0" t="n">
        <f aca="false">X1675-Z1675</f>
        <v>43.8151579794551</v>
      </c>
      <c r="AB1675" s="0" t="n">
        <f aca="false">X1675+Z1675</f>
        <v>46.5841932632349</v>
      </c>
      <c r="AC1675" s="54" t="b">
        <f aca="false">AND(E1675&gt;=01_因子設定!$L$5-0.000000001,E1675&lt;=01_因子設定!$M$5+0.000000001,F1675&gt;=01_因子設定!$L$6-0.000000001,F1675&lt;=01_因子設定!$M$6+0.000000001,G1675&gt;=01_因子設定!$L$7-0.000000001,G1675&lt;=01_因子設定!$M$7+0.000000001,H1675&gt;=01_因子設定!$L$8-0.000000001,H1675&lt;=01_因子設定!$M$8+0.000000001,IF(01_因子設定!$B$20="Box-Behnken",E1675^2+F1675^2+G1675^2+H1675^2&lt;=2+0.000000001,TRUE()))</f>
        <v>1</v>
      </c>
      <c r="AD1675" s="55" t="n">
        <f aca="false">IF(AC1675,IF(01_因子設定!$B$13="最大化",AA1675-01_因子設定!$B$14,IF(01_因子設定!$B$13="最小化",01_因子設定!$B$15-AB1675,MIN(AA1675-01_因子設定!$B$14,01_因子設定!$B$15-AB1675))),-1E+030)</f>
        <v>-2.6848420205449</v>
      </c>
      <c r="AE1675" s="55" t="n">
        <f aca="false">IF(AC1675,IF(01_因子設定!$B$13="最大化",X1675,IF(01_因子設定!$B$13="最小化",-X1675,-ABS(X1675-01_因子設定!$B$16))),-1E+030)</f>
        <v>45.199675621345</v>
      </c>
      <c r="AF1675" s="55" t="n">
        <f aca="false">AD1675+ROW()*0.000000001</f>
        <v>-2.6848403455449</v>
      </c>
      <c r="AG1675" s="55" t="n">
        <f aca="false">AE1675+ROW()*0.000000001</f>
        <v>45.199677296345</v>
      </c>
    </row>
    <row r="1676" customFormat="false" ht="15" hidden="false" customHeight="false" outlineLevel="0" collapsed="false">
      <c r="A1676" s="0" t="n">
        <v>2</v>
      </c>
      <c r="B1676" s="0" t="n">
        <v>2</v>
      </c>
      <c r="C1676" s="0" t="n">
        <v>5</v>
      </c>
      <c r="D1676" s="0" t="n">
        <v>6</v>
      </c>
      <c r="E1676" s="0" t="n">
        <f aca="false">-1+A1676*0.25</f>
        <v>-0.5</v>
      </c>
      <c r="F1676" s="0" t="n">
        <f aca="false">-1+B1676*0.25</f>
        <v>-0.5</v>
      </c>
      <c r="G1676" s="0" t="n">
        <f aca="false">-1+C1676*0.25</f>
        <v>0.25</v>
      </c>
      <c r="H1676" s="0" t="n">
        <f aca="false">-1+D1676*0.25</f>
        <v>0.5</v>
      </c>
      <c r="I1676" s="0" t="n">
        <f aca="false">1</f>
        <v>1</v>
      </c>
      <c r="J1676" s="0" t="n">
        <f aca="false">E1676</f>
        <v>-0.5</v>
      </c>
      <c r="K1676" s="0" t="n">
        <f aca="false">F1676</f>
        <v>-0.5</v>
      </c>
      <c r="L1676" s="0" t="n">
        <f aca="false">G1676</f>
        <v>0.25</v>
      </c>
      <c r="M1676" s="0" t="n">
        <f aca="false">H1676</f>
        <v>0.5</v>
      </c>
      <c r="N1676" s="0" t="n">
        <f aca="false">E1676*F1676</f>
        <v>0.25</v>
      </c>
      <c r="O1676" s="0" t="n">
        <f aca="false">E1676*G1676</f>
        <v>-0.125</v>
      </c>
      <c r="P1676" s="0" t="n">
        <f aca="false">E1676*H1676</f>
        <v>-0.25</v>
      </c>
      <c r="Q1676" s="0" t="n">
        <f aca="false">F1676*G1676</f>
        <v>-0.125</v>
      </c>
      <c r="R1676" s="0" t="n">
        <f aca="false">F1676*H1676</f>
        <v>-0.25</v>
      </c>
      <c r="S1676" s="0" t="n">
        <f aca="false">G1676*H1676</f>
        <v>0.125</v>
      </c>
      <c r="T1676" s="0" t="n">
        <f aca="false">E1676*E1676</f>
        <v>0.25</v>
      </c>
      <c r="U1676" s="0" t="n">
        <f aca="false">F1676*F1676</f>
        <v>0.25</v>
      </c>
      <c r="V1676" s="0" t="n">
        <f aca="false">G1676*G1676</f>
        <v>0.0625</v>
      </c>
      <c r="W1676" s="0" t="n">
        <f aca="false">H1676*H1676</f>
        <v>0.25</v>
      </c>
      <c r="X1676" s="0" t="n">
        <f aca="false">SUMPRODUCT(I1676:W1676,_XtX!$B$96:$P$96)</f>
        <v>45.2582602339181</v>
      </c>
      <c r="Y1676" s="0" t="n">
        <f aca="false">SUMPRODUCT(MMULT(I1676:W1676,_XtX!$B$78:$P$92),I1676:W1676)</f>
        <v>0.133937545687135</v>
      </c>
      <c r="Z1676" s="0" t="n">
        <f aca="false">04_回帰ANOVA!$K$19*04_回帰ANOVA!$K$14*SQRT(1+Y1676)</f>
        <v>1.38801116780825</v>
      </c>
      <c r="AA1676" s="0" t="n">
        <f aca="false">X1676-Z1676</f>
        <v>43.8702490661098</v>
      </c>
      <c r="AB1676" s="0" t="n">
        <f aca="false">X1676+Z1676</f>
        <v>46.6462714017263</v>
      </c>
      <c r="AC1676" s="54" t="b">
        <f aca="false">AND(E1676&gt;=01_因子設定!$L$5-0.000000001,E1676&lt;=01_因子設定!$M$5+0.000000001,F1676&gt;=01_因子設定!$L$6-0.000000001,F1676&lt;=01_因子設定!$M$6+0.000000001,G1676&gt;=01_因子設定!$L$7-0.000000001,G1676&lt;=01_因子設定!$M$7+0.000000001,H1676&gt;=01_因子設定!$L$8-0.000000001,H1676&lt;=01_因子設定!$M$8+0.000000001,IF(01_因子設定!$B$20="Box-Behnken",E1676^2+F1676^2+G1676^2+H1676^2&lt;=2+0.000000001,TRUE()))</f>
        <v>1</v>
      </c>
      <c r="AD1676" s="55" t="n">
        <f aca="false">IF(AC1676,IF(01_因子設定!$B$13="最大化",AA1676-01_因子設定!$B$14,IF(01_因子設定!$B$13="最小化",01_因子設定!$B$15-AB1676,MIN(AA1676-01_因子設定!$B$14,01_因子設定!$B$15-AB1676))),-1E+030)</f>
        <v>-2.62975093389016</v>
      </c>
      <c r="AE1676" s="55" t="n">
        <f aca="false">IF(AC1676,IF(01_因子設定!$B$13="最大化",X1676,IF(01_因子設定!$B$13="最小化",-X1676,-ABS(X1676-01_因子設定!$B$16))),-1E+030)</f>
        <v>45.2582602339181</v>
      </c>
      <c r="AF1676" s="55" t="n">
        <f aca="false">AD1676+ROW()*0.000000001</f>
        <v>-2.62974925789016</v>
      </c>
      <c r="AG1676" s="55" t="n">
        <f aca="false">AE1676+ROW()*0.000000001</f>
        <v>45.2582619099181</v>
      </c>
    </row>
    <row r="1677" customFormat="false" ht="15" hidden="false" customHeight="false" outlineLevel="0" collapsed="false">
      <c r="A1677" s="0" t="n">
        <v>2</v>
      </c>
      <c r="B1677" s="0" t="n">
        <v>2</v>
      </c>
      <c r="C1677" s="0" t="n">
        <v>5</v>
      </c>
      <c r="D1677" s="0" t="n">
        <v>7</v>
      </c>
      <c r="E1677" s="0" t="n">
        <f aca="false">-1+A1677*0.25</f>
        <v>-0.5</v>
      </c>
      <c r="F1677" s="0" t="n">
        <f aca="false">-1+B1677*0.25</f>
        <v>-0.5</v>
      </c>
      <c r="G1677" s="0" t="n">
        <f aca="false">-1+C1677*0.25</f>
        <v>0.25</v>
      </c>
      <c r="H1677" s="0" t="n">
        <f aca="false">-1+D1677*0.25</f>
        <v>0.75</v>
      </c>
      <c r="I1677" s="0" t="n">
        <f aca="false">1</f>
        <v>1</v>
      </c>
      <c r="J1677" s="0" t="n">
        <f aca="false">E1677</f>
        <v>-0.5</v>
      </c>
      <c r="K1677" s="0" t="n">
        <f aca="false">F1677</f>
        <v>-0.5</v>
      </c>
      <c r="L1677" s="0" t="n">
        <f aca="false">G1677</f>
        <v>0.25</v>
      </c>
      <c r="M1677" s="0" t="n">
        <f aca="false">H1677</f>
        <v>0.75</v>
      </c>
      <c r="N1677" s="0" t="n">
        <f aca="false">E1677*F1677</f>
        <v>0.25</v>
      </c>
      <c r="O1677" s="0" t="n">
        <f aca="false">E1677*G1677</f>
        <v>-0.125</v>
      </c>
      <c r="P1677" s="0" t="n">
        <f aca="false">E1677*H1677</f>
        <v>-0.375</v>
      </c>
      <c r="Q1677" s="0" t="n">
        <f aca="false">F1677*G1677</f>
        <v>-0.125</v>
      </c>
      <c r="R1677" s="0" t="n">
        <f aca="false">F1677*H1677</f>
        <v>-0.375</v>
      </c>
      <c r="S1677" s="0" t="n">
        <f aca="false">G1677*H1677</f>
        <v>0.1875</v>
      </c>
      <c r="T1677" s="0" t="n">
        <f aca="false">E1677*E1677</f>
        <v>0.25</v>
      </c>
      <c r="U1677" s="0" t="n">
        <f aca="false">F1677*F1677</f>
        <v>0.25</v>
      </c>
      <c r="V1677" s="0" t="n">
        <f aca="false">G1677*G1677</f>
        <v>0.0625</v>
      </c>
      <c r="W1677" s="0" t="n">
        <f aca="false">H1677*H1677</f>
        <v>0.5625</v>
      </c>
      <c r="X1677" s="0" t="n">
        <f aca="false">SUMPRODUCT(I1677:W1677,_XtX!$B$96:$P$96)</f>
        <v>45.2690378289474</v>
      </c>
      <c r="Y1677" s="0" t="n">
        <f aca="false">SUMPRODUCT(MMULT(I1677:W1677,_XtX!$B$78:$P$92),I1677:W1677)</f>
        <v>0.203746059484649</v>
      </c>
      <c r="Z1677" s="0" t="n">
        <f aca="false">04_回帰ANOVA!$K$19*04_回帰ANOVA!$K$14*SQRT(1+Y1677)</f>
        <v>1.43009810755465</v>
      </c>
      <c r="AA1677" s="0" t="n">
        <f aca="false">X1677-Z1677</f>
        <v>43.8389397213927</v>
      </c>
      <c r="AB1677" s="0" t="n">
        <f aca="false">X1677+Z1677</f>
        <v>46.699135936502</v>
      </c>
      <c r="AC1677" s="54" t="b">
        <f aca="false">AND(E1677&gt;=01_因子設定!$L$5-0.000000001,E1677&lt;=01_因子設定!$M$5+0.000000001,F1677&gt;=01_因子設定!$L$6-0.000000001,F1677&lt;=01_因子設定!$M$6+0.000000001,G1677&gt;=01_因子設定!$L$7-0.000000001,G1677&lt;=01_因子設定!$M$7+0.000000001,H1677&gt;=01_因子設定!$L$8-0.000000001,H1677&lt;=01_因子設定!$M$8+0.000000001,IF(01_因子設定!$B$20="Box-Behnken",E1677^2+F1677^2+G1677^2+H1677^2&lt;=2+0.000000001,TRUE()))</f>
        <v>1</v>
      </c>
      <c r="AD1677" s="55" t="n">
        <f aca="false">IF(AC1677,IF(01_因子設定!$B$13="最大化",AA1677-01_因子設定!$B$14,IF(01_因子設定!$B$13="最小化",01_因子設定!$B$15-AB1677,MIN(AA1677-01_因子設定!$B$14,01_因子設定!$B$15-AB1677))),-1E+030)</f>
        <v>-2.6610602786073</v>
      </c>
      <c r="AE1677" s="55" t="n">
        <f aca="false">IF(AC1677,IF(01_因子設定!$B$13="最大化",X1677,IF(01_因子設定!$B$13="最小化",-X1677,-ABS(X1677-01_因子設定!$B$16))),-1E+030)</f>
        <v>45.2690378289474</v>
      </c>
      <c r="AF1677" s="55" t="n">
        <f aca="false">AD1677+ROW()*0.000000001</f>
        <v>-2.6610586016073</v>
      </c>
      <c r="AG1677" s="55" t="n">
        <f aca="false">AE1677+ROW()*0.000000001</f>
        <v>45.2690395059474</v>
      </c>
    </row>
    <row r="1678" customFormat="false" ht="15" hidden="false" customHeight="false" outlineLevel="0" collapsed="false">
      <c r="A1678" s="0" t="n">
        <v>2</v>
      </c>
      <c r="B1678" s="0" t="n">
        <v>2</v>
      </c>
      <c r="C1678" s="0" t="n">
        <v>5</v>
      </c>
      <c r="D1678" s="0" t="n">
        <v>8</v>
      </c>
      <c r="E1678" s="0" t="n">
        <f aca="false">-1+A1678*0.25</f>
        <v>-0.5</v>
      </c>
      <c r="F1678" s="0" t="n">
        <f aca="false">-1+B1678*0.25</f>
        <v>-0.5</v>
      </c>
      <c r="G1678" s="0" t="n">
        <f aca="false">-1+C1678*0.25</f>
        <v>0.25</v>
      </c>
      <c r="H1678" s="0" t="n">
        <f aca="false">-1+D1678*0.25</f>
        <v>1</v>
      </c>
      <c r="I1678" s="0" t="n">
        <f aca="false">1</f>
        <v>1</v>
      </c>
      <c r="J1678" s="0" t="n">
        <f aca="false">E1678</f>
        <v>-0.5</v>
      </c>
      <c r="K1678" s="0" t="n">
        <f aca="false">F1678</f>
        <v>-0.5</v>
      </c>
      <c r="L1678" s="0" t="n">
        <f aca="false">G1678</f>
        <v>0.25</v>
      </c>
      <c r="M1678" s="0" t="n">
        <f aca="false">H1678</f>
        <v>1</v>
      </c>
      <c r="N1678" s="0" t="n">
        <f aca="false">E1678*F1678</f>
        <v>0.25</v>
      </c>
      <c r="O1678" s="0" t="n">
        <f aca="false">E1678*G1678</f>
        <v>-0.125</v>
      </c>
      <c r="P1678" s="0" t="n">
        <f aca="false">E1678*H1678</f>
        <v>-0.5</v>
      </c>
      <c r="Q1678" s="0" t="n">
        <f aca="false">F1678*G1678</f>
        <v>-0.125</v>
      </c>
      <c r="R1678" s="0" t="n">
        <f aca="false">F1678*H1678</f>
        <v>-0.5</v>
      </c>
      <c r="S1678" s="0" t="n">
        <f aca="false">G1678*H1678</f>
        <v>0.25</v>
      </c>
      <c r="T1678" s="0" t="n">
        <f aca="false">E1678*E1678</f>
        <v>0.25</v>
      </c>
      <c r="U1678" s="0" t="n">
        <f aca="false">F1678*F1678</f>
        <v>0.25</v>
      </c>
      <c r="V1678" s="0" t="n">
        <f aca="false">G1678*G1678</f>
        <v>0.0625</v>
      </c>
      <c r="W1678" s="0" t="n">
        <f aca="false">H1678*H1678</f>
        <v>1</v>
      </c>
      <c r="X1678" s="0" t="n">
        <f aca="false">SUMPRODUCT(I1678:W1678,_XtX!$B$96:$P$96)</f>
        <v>45.2320084064327</v>
      </c>
      <c r="Y1678" s="0" t="n">
        <f aca="false">SUMPRODUCT(MMULT(I1678:W1678,_XtX!$B$78:$P$92),I1678:W1678)</f>
        <v>0.428122715643275</v>
      </c>
      <c r="Z1678" s="0" t="n">
        <f aca="false">04_回帰ANOVA!$K$19*04_回帰ANOVA!$K$14*SQRT(1+Y1678)</f>
        <v>1.55769044623229</v>
      </c>
      <c r="AA1678" s="0" t="n">
        <f aca="false">X1678-Z1678</f>
        <v>43.6743179602005</v>
      </c>
      <c r="AB1678" s="0" t="n">
        <f aca="false">X1678+Z1678</f>
        <v>46.789698852665</v>
      </c>
      <c r="AC1678" s="54" t="b">
        <f aca="false">AND(E1678&gt;=01_因子設定!$L$5-0.000000001,E1678&lt;=01_因子設定!$M$5+0.000000001,F1678&gt;=01_因子設定!$L$6-0.000000001,F1678&lt;=01_因子設定!$M$6+0.000000001,G1678&gt;=01_因子設定!$L$7-0.000000001,G1678&lt;=01_因子設定!$M$7+0.000000001,H1678&gt;=01_因子設定!$L$8-0.000000001,H1678&lt;=01_因子設定!$M$8+0.000000001,IF(01_因子設定!$B$20="Box-Behnken",E1678^2+F1678^2+G1678^2+H1678^2&lt;=2+0.000000001,TRUE()))</f>
        <v>1</v>
      </c>
      <c r="AD1678" s="55" t="n">
        <f aca="false">IF(AC1678,IF(01_因子設定!$B$13="最大化",AA1678-01_因子設定!$B$14,IF(01_因子設定!$B$13="最小化",01_因子設定!$B$15-AB1678,MIN(AA1678-01_因子設定!$B$14,01_因子設定!$B$15-AB1678))),-1E+030)</f>
        <v>-2.82568203979955</v>
      </c>
      <c r="AE1678" s="55" t="n">
        <f aca="false">IF(AC1678,IF(01_因子設定!$B$13="最大化",X1678,IF(01_因子設定!$B$13="最小化",-X1678,-ABS(X1678-01_因子設定!$B$16))),-1E+030)</f>
        <v>45.2320084064327</v>
      </c>
      <c r="AF1678" s="55" t="n">
        <f aca="false">AD1678+ROW()*0.000000001</f>
        <v>-2.82568036179955</v>
      </c>
      <c r="AG1678" s="55" t="n">
        <f aca="false">AE1678+ROW()*0.000000001</f>
        <v>45.2320100844327</v>
      </c>
    </row>
    <row r="1679" customFormat="false" ht="15" hidden="false" customHeight="false" outlineLevel="0" collapsed="false">
      <c r="A1679" s="0" t="n">
        <v>2</v>
      </c>
      <c r="B1679" s="0" t="n">
        <v>2</v>
      </c>
      <c r="C1679" s="0" t="n">
        <v>6</v>
      </c>
      <c r="D1679" s="0" t="n">
        <v>0</v>
      </c>
      <c r="E1679" s="0" t="n">
        <f aca="false">-1+A1679*0.25</f>
        <v>-0.5</v>
      </c>
      <c r="F1679" s="0" t="n">
        <f aca="false">-1+B1679*0.25</f>
        <v>-0.5</v>
      </c>
      <c r="G1679" s="0" t="n">
        <f aca="false">-1+C1679*0.25</f>
        <v>0.5</v>
      </c>
      <c r="H1679" s="0" t="n">
        <f aca="false">-1+D1679*0.25</f>
        <v>-1</v>
      </c>
      <c r="I1679" s="0" t="n">
        <f aca="false">1</f>
        <v>1</v>
      </c>
      <c r="J1679" s="0" t="n">
        <f aca="false">E1679</f>
        <v>-0.5</v>
      </c>
      <c r="K1679" s="0" t="n">
        <f aca="false">F1679</f>
        <v>-0.5</v>
      </c>
      <c r="L1679" s="0" t="n">
        <f aca="false">G1679</f>
        <v>0.5</v>
      </c>
      <c r="M1679" s="0" t="n">
        <f aca="false">H1679</f>
        <v>-1</v>
      </c>
      <c r="N1679" s="0" t="n">
        <f aca="false">E1679*F1679</f>
        <v>0.25</v>
      </c>
      <c r="O1679" s="0" t="n">
        <f aca="false">E1679*G1679</f>
        <v>-0.25</v>
      </c>
      <c r="P1679" s="0" t="n">
        <f aca="false">E1679*H1679</f>
        <v>0.5</v>
      </c>
      <c r="Q1679" s="0" t="n">
        <f aca="false">F1679*G1679</f>
        <v>-0.25</v>
      </c>
      <c r="R1679" s="0" t="n">
        <f aca="false">F1679*H1679</f>
        <v>0.5</v>
      </c>
      <c r="S1679" s="0" t="n">
        <f aca="false">G1679*H1679</f>
        <v>-0.5</v>
      </c>
      <c r="T1679" s="0" t="n">
        <f aca="false">E1679*E1679</f>
        <v>0.25</v>
      </c>
      <c r="U1679" s="0" t="n">
        <f aca="false">F1679*F1679</f>
        <v>0.25</v>
      </c>
      <c r="V1679" s="0" t="n">
        <f aca="false">G1679*G1679</f>
        <v>0.25</v>
      </c>
      <c r="W1679" s="0" t="n">
        <f aca="false">H1679*H1679</f>
        <v>1</v>
      </c>
      <c r="X1679" s="0" t="n">
        <f aca="false">SUMPRODUCT(I1679:W1679,_XtX!$B$96:$P$96)</f>
        <v>44.2778326023392</v>
      </c>
      <c r="Y1679" s="0" t="n">
        <f aca="false">SUMPRODUCT(MMULT(I1679:W1679,_XtX!$B$78:$P$92),I1679:W1679)</f>
        <v>0.404719480994152</v>
      </c>
      <c r="Z1679" s="0" t="n">
        <f aca="false">04_回帰ANOVA!$K$19*04_回帰ANOVA!$K$14*SQRT(1+Y1679)</f>
        <v>1.54487446697867</v>
      </c>
      <c r="AA1679" s="0" t="n">
        <f aca="false">X1679-Z1679</f>
        <v>42.7329581353605</v>
      </c>
      <c r="AB1679" s="0" t="n">
        <f aca="false">X1679+Z1679</f>
        <v>45.8227070693179</v>
      </c>
      <c r="AC1679" s="54" t="b">
        <f aca="false">AND(E1679&gt;=01_因子設定!$L$5-0.000000001,E1679&lt;=01_因子設定!$M$5+0.000000001,F1679&gt;=01_因子設定!$L$6-0.000000001,F1679&lt;=01_因子設定!$M$6+0.000000001,G1679&gt;=01_因子設定!$L$7-0.000000001,G1679&lt;=01_因子設定!$M$7+0.000000001,H1679&gt;=01_因子設定!$L$8-0.000000001,H1679&lt;=01_因子設定!$M$8+0.000000001,IF(01_因子設定!$B$20="Box-Behnken",E1679^2+F1679^2+G1679^2+H1679^2&lt;=2+0.000000001,TRUE()))</f>
        <v>1</v>
      </c>
      <c r="AD1679" s="55" t="n">
        <f aca="false">IF(AC1679,IF(01_因子設定!$B$13="最大化",AA1679-01_因子設定!$B$14,IF(01_因子設定!$B$13="最小化",01_因子設定!$B$15-AB1679,MIN(AA1679-01_因子設定!$B$14,01_因子設定!$B$15-AB1679))),-1E+030)</f>
        <v>-3.7670418646395</v>
      </c>
      <c r="AE1679" s="55" t="n">
        <f aca="false">IF(AC1679,IF(01_因子設定!$B$13="最大化",X1679,IF(01_因子設定!$B$13="最小化",-X1679,-ABS(X1679-01_因子設定!$B$16))),-1E+030)</f>
        <v>44.2778326023392</v>
      </c>
      <c r="AF1679" s="55" t="n">
        <f aca="false">AD1679+ROW()*0.000000001</f>
        <v>-3.7670401856395</v>
      </c>
      <c r="AG1679" s="55" t="n">
        <f aca="false">AE1679+ROW()*0.000000001</f>
        <v>44.2778342813392</v>
      </c>
    </row>
    <row r="1680" customFormat="false" ht="15" hidden="false" customHeight="false" outlineLevel="0" collapsed="false">
      <c r="A1680" s="0" t="n">
        <v>2</v>
      </c>
      <c r="B1680" s="0" t="n">
        <v>2</v>
      </c>
      <c r="C1680" s="0" t="n">
        <v>6</v>
      </c>
      <c r="D1680" s="0" t="n">
        <v>1</v>
      </c>
      <c r="E1680" s="0" t="n">
        <f aca="false">-1+A1680*0.25</f>
        <v>-0.5</v>
      </c>
      <c r="F1680" s="0" t="n">
        <f aca="false">-1+B1680*0.25</f>
        <v>-0.5</v>
      </c>
      <c r="G1680" s="0" t="n">
        <f aca="false">-1+C1680*0.25</f>
        <v>0.5</v>
      </c>
      <c r="H1680" s="0" t="n">
        <f aca="false">-1+D1680*0.25</f>
        <v>-0.75</v>
      </c>
      <c r="I1680" s="0" t="n">
        <f aca="false">1</f>
        <v>1</v>
      </c>
      <c r="J1680" s="0" t="n">
        <f aca="false">E1680</f>
        <v>-0.5</v>
      </c>
      <c r="K1680" s="0" t="n">
        <f aca="false">F1680</f>
        <v>-0.5</v>
      </c>
      <c r="L1680" s="0" t="n">
        <f aca="false">G1680</f>
        <v>0.5</v>
      </c>
      <c r="M1680" s="0" t="n">
        <f aca="false">H1680</f>
        <v>-0.75</v>
      </c>
      <c r="N1680" s="0" t="n">
        <f aca="false">E1680*F1680</f>
        <v>0.25</v>
      </c>
      <c r="O1680" s="0" t="n">
        <f aca="false">E1680*G1680</f>
        <v>-0.25</v>
      </c>
      <c r="P1680" s="0" t="n">
        <f aca="false">E1680*H1680</f>
        <v>0.375</v>
      </c>
      <c r="Q1680" s="0" t="n">
        <f aca="false">F1680*G1680</f>
        <v>-0.25</v>
      </c>
      <c r="R1680" s="0" t="n">
        <f aca="false">F1680*H1680</f>
        <v>0.375</v>
      </c>
      <c r="S1680" s="0" t="n">
        <f aca="false">G1680*H1680</f>
        <v>-0.375</v>
      </c>
      <c r="T1680" s="0" t="n">
        <f aca="false">E1680*E1680</f>
        <v>0.25</v>
      </c>
      <c r="U1680" s="0" t="n">
        <f aca="false">F1680*F1680</f>
        <v>0.25</v>
      </c>
      <c r="V1680" s="0" t="n">
        <f aca="false">G1680*G1680</f>
        <v>0.25</v>
      </c>
      <c r="W1680" s="0" t="n">
        <f aca="false">H1680*H1680</f>
        <v>0.5625</v>
      </c>
      <c r="X1680" s="0" t="n">
        <f aca="false">SUMPRODUCT(I1680:W1680,_XtX!$B$96:$P$96)</f>
        <v>44.5934210526316</v>
      </c>
      <c r="Y1680" s="0" t="n">
        <f aca="false">SUMPRODUCT(MMULT(I1680:W1680,_XtX!$B$78:$P$92),I1680:W1680)</f>
        <v>0.193924753289474</v>
      </c>
      <c r="Z1680" s="0" t="n">
        <f aca="false">04_回帰ANOVA!$K$19*04_回帰ANOVA!$K$14*SQRT(1+Y1680)</f>
        <v>1.4242521079916</v>
      </c>
      <c r="AA1680" s="0" t="n">
        <f aca="false">X1680-Z1680</f>
        <v>43.16916894464</v>
      </c>
      <c r="AB1680" s="0" t="n">
        <f aca="false">X1680+Z1680</f>
        <v>46.0176731606232</v>
      </c>
      <c r="AC1680" s="54" t="b">
        <f aca="false">AND(E1680&gt;=01_因子設定!$L$5-0.000000001,E1680&lt;=01_因子設定!$M$5+0.000000001,F1680&gt;=01_因子設定!$L$6-0.000000001,F1680&lt;=01_因子設定!$M$6+0.000000001,G1680&gt;=01_因子設定!$L$7-0.000000001,G1680&lt;=01_因子設定!$M$7+0.000000001,H1680&gt;=01_因子設定!$L$8-0.000000001,H1680&lt;=01_因子設定!$M$8+0.000000001,IF(01_因子設定!$B$20="Box-Behnken",E1680^2+F1680^2+G1680^2+H1680^2&lt;=2+0.000000001,TRUE()))</f>
        <v>1</v>
      </c>
      <c r="AD1680" s="55" t="n">
        <f aca="false">IF(AC1680,IF(01_因子設定!$B$13="最大化",AA1680-01_因子設定!$B$14,IF(01_因子設定!$B$13="最小化",01_因子設定!$B$15-AB1680,MIN(AA1680-01_因子設定!$B$14,01_因子設定!$B$15-AB1680))),-1E+030)</f>
        <v>-3.33083105536004</v>
      </c>
      <c r="AE1680" s="55" t="n">
        <f aca="false">IF(AC1680,IF(01_因子設定!$B$13="最大化",X1680,IF(01_因子設定!$B$13="最小化",-X1680,-ABS(X1680-01_因子設定!$B$16))),-1E+030)</f>
        <v>44.5934210526316</v>
      </c>
      <c r="AF1680" s="55" t="n">
        <f aca="false">AD1680+ROW()*0.000000001</f>
        <v>-3.33082937536004</v>
      </c>
      <c r="AG1680" s="55" t="n">
        <f aca="false">AE1680+ROW()*0.000000001</f>
        <v>44.5934227326316</v>
      </c>
    </row>
    <row r="1681" customFormat="false" ht="15" hidden="false" customHeight="false" outlineLevel="0" collapsed="false">
      <c r="A1681" s="0" t="n">
        <v>2</v>
      </c>
      <c r="B1681" s="0" t="n">
        <v>2</v>
      </c>
      <c r="C1681" s="0" t="n">
        <v>6</v>
      </c>
      <c r="D1681" s="0" t="n">
        <v>2</v>
      </c>
      <c r="E1681" s="0" t="n">
        <f aca="false">-1+A1681*0.25</f>
        <v>-0.5</v>
      </c>
      <c r="F1681" s="0" t="n">
        <f aca="false">-1+B1681*0.25</f>
        <v>-0.5</v>
      </c>
      <c r="G1681" s="0" t="n">
        <f aca="false">-1+C1681*0.25</f>
        <v>0.5</v>
      </c>
      <c r="H1681" s="0" t="n">
        <f aca="false">-1+D1681*0.25</f>
        <v>-0.5</v>
      </c>
      <c r="I1681" s="0" t="n">
        <f aca="false">1</f>
        <v>1</v>
      </c>
      <c r="J1681" s="0" t="n">
        <f aca="false">E1681</f>
        <v>-0.5</v>
      </c>
      <c r="K1681" s="0" t="n">
        <f aca="false">F1681</f>
        <v>-0.5</v>
      </c>
      <c r="L1681" s="0" t="n">
        <f aca="false">G1681</f>
        <v>0.5</v>
      </c>
      <c r="M1681" s="0" t="n">
        <f aca="false">H1681</f>
        <v>-0.5</v>
      </c>
      <c r="N1681" s="0" t="n">
        <f aca="false">E1681*F1681</f>
        <v>0.25</v>
      </c>
      <c r="O1681" s="0" t="n">
        <f aca="false">E1681*G1681</f>
        <v>-0.25</v>
      </c>
      <c r="P1681" s="0" t="n">
        <f aca="false">E1681*H1681</f>
        <v>0.25</v>
      </c>
      <c r="Q1681" s="0" t="n">
        <f aca="false">F1681*G1681</f>
        <v>-0.25</v>
      </c>
      <c r="R1681" s="0" t="n">
        <f aca="false">F1681*H1681</f>
        <v>0.25</v>
      </c>
      <c r="S1681" s="0" t="n">
        <f aca="false">G1681*H1681</f>
        <v>-0.25</v>
      </c>
      <c r="T1681" s="0" t="n">
        <f aca="false">E1681*E1681</f>
        <v>0.25</v>
      </c>
      <c r="U1681" s="0" t="n">
        <f aca="false">F1681*F1681</f>
        <v>0.25</v>
      </c>
      <c r="V1681" s="0" t="n">
        <f aca="false">G1681*G1681</f>
        <v>0.25</v>
      </c>
      <c r="W1681" s="0" t="n">
        <f aca="false">H1681*H1681</f>
        <v>0.25</v>
      </c>
      <c r="X1681" s="0" t="n">
        <f aca="false">SUMPRODUCT(I1681:W1681,_XtX!$B$96:$P$96)</f>
        <v>44.8612024853801</v>
      </c>
      <c r="Y1681" s="0" t="n">
        <f aca="false">SUMPRODUCT(MMULT(I1681:W1681,_XtX!$B$78:$P$92),I1681:W1681)</f>
        <v>0.133817616959064</v>
      </c>
      <c r="Z1681" s="0" t="n">
        <f aca="false">04_回帰ANOVA!$K$19*04_回帰ANOVA!$K$14*SQRT(1+Y1681)</f>
        <v>1.38793776569887</v>
      </c>
      <c r="AA1681" s="0" t="n">
        <f aca="false">X1681-Z1681</f>
        <v>43.4732647196812</v>
      </c>
      <c r="AB1681" s="0" t="n">
        <f aca="false">X1681+Z1681</f>
        <v>46.249140251079</v>
      </c>
      <c r="AC1681" s="54" t="b">
        <f aca="false">AND(E1681&gt;=01_因子設定!$L$5-0.000000001,E1681&lt;=01_因子設定!$M$5+0.000000001,F1681&gt;=01_因子設定!$L$6-0.000000001,F1681&lt;=01_因子設定!$M$6+0.000000001,G1681&gt;=01_因子設定!$L$7-0.000000001,G1681&lt;=01_因子設定!$M$7+0.000000001,H1681&gt;=01_因子設定!$L$8-0.000000001,H1681&lt;=01_因子設定!$M$8+0.000000001,IF(01_因子設定!$B$20="Box-Behnken",E1681^2+F1681^2+G1681^2+H1681^2&lt;=2+0.000000001,TRUE()))</f>
        <v>1</v>
      </c>
      <c r="AD1681" s="55" t="n">
        <f aca="false">IF(AC1681,IF(01_因子設定!$B$13="最大化",AA1681-01_因子設定!$B$14,IF(01_因子設定!$B$13="最小化",01_因子設定!$B$15-AB1681,MIN(AA1681-01_因子設定!$B$14,01_因子設定!$B$15-AB1681))),-1E+030)</f>
        <v>-3.02673528031878</v>
      </c>
      <c r="AE1681" s="55" t="n">
        <f aca="false">IF(AC1681,IF(01_因子設定!$B$13="最大化",X1681,IF(01_因子設定!$B$13="最小化",-X1681,-ABS(X1681-01_因子設定!$B$16))),-1E+030)</f>
        <v>44.8612024853801</v>
      </c>
      <c r="AF1681" s="55" t="n">
        <f aca="false">AD1681+ROW()*0.000000001</f>
        <v>-3.02673359931878</v>
      </c>
      <c r="AG1681" s="55" t="n">
        <f aca="false">AE1681+ROW()*0.000000001</f>
        <v>44.8612041663801</v>
      </c>
    </row>
    <row r="1682" customFormat="false" ht="15" hidden="false" customHeight="false" outlineLevel="0" collapsed="false">
      <c r="A1682" s="0" t="n">
        <v>2</v>
      </c>
      <c r="B1682" s="0" t="n">
        <v>2</v>
      </c>
      <c r="C1682" s="0" t="n">
        <v>6</v>
      </c>
      <c r="D1682" s="0" t="n">
        <v>3</v>
      </c>
      <c r="E1682" s="0" t="n">
        <f aca="false">-1+A1682*0.25</f>
        <v>-0.5</v>
      </c>
      <c r="F1682" s="0" t="n">
        <f aca="false">-1+B1682*0.25</f>
        <v>-0.5</v>
      </c>
      <c r="G1682" s="0" t="n">
        <f aca="false">-1+C1682*0.25</f>
        <v>0.5</v>
      </c>
      <c r="H1682" s="0" t="n">
        <f aca="false">-1+D1682*0.25</f>
        <v>-0.25</v>
      </c>
      <c r="I1682" s="0" t="n">
        <f aca="false">1</f>
        <v>1</v>
      </c>
      <c r="J1682" s="0" t="n">
        <f aca="false">E1682</f>
        <v>-0.5</v>
      </c>
      <c r="K1682" s="0" t="n">
        <f aca="false">F1682</f>
        <v>-0.5</v>
      </c>
      <c r="L1682" s="0" t="n">
        <f aca="false">G1682</f>
        <v>0.5</v>
      </c>
      <c r="M1682" s="0" t="n">
        <f aca="false">H1682</f>
        <v>-0.25</v>
      </c>
      <c r="N1682" s="0" t="n">
        <f aca="false">E1682*F1682</f>
        <v>0.25</v>
      </c>
      <c r="O1682" s="0" t="n">
        <f aca="false">E1682*G1682</f>
        <v>-0.25</v>
      </c>
      <c r="P1682" s="0" t="n">
        <f aca="false">E1682*H1682</f>
        <v>0.125</v>
      </c>
      <c r="Q1682" s="0" t="n">
        <f aca="false">F1682*G1682</f>
        <v>-0.25</v>
      </c>
      <c r="R1682" s="0" t="n">
        <f aca="false">F1682*H1682</f>
        <v>0.125</v>
      </c>
      <c r="S1682" s="0" t="n">
        <f aca="false">G1682*H1682</f>
        <v>-0.125</v>
      </c>
      <c r="T1682" s="0" t="n">
        <f aca="false">E1682*E1682</f>
        <v>0.25</v>
      </c>
      <c r="U1682" s="0" t="n">
        <f aca="false">F1682*F1682</f>
        <v>0.25</v>
      </c>
      <c r="V1682" s="0" t="n">
        <f aca="false">G1682*G1682</f>
        <v>0.25</v>
      </c>
      <c r="W1682" s="0" t="n">
        <f aca="false">H1682*H1682</f>
        <v>0.0625</v>
      </c>
      <c r="X1682" s="0" t="n">
        <f aca="false">SUMPRODUCT(I1682:W1682,_XtX!$B$96:$P$96)</f>
        <v>45.0811769005848</v>
      </c>
      <c r="Y1682" s="0" t="n">
        <f aca="false">SUMPRODUCT(MMULT(I1682:W1682,_XtX!$B$78:$P$92),I1682:W1682)</f>
        <v>0.133937545687135</v>
      </c>
      <c r="Z1682" s="0" t="n">
        <f aca="false">04_回帰ANOVA!$K$19*04_回帰ANOVA!$K$14*SQRT(1+Y1682)</f>
        <v>1.38801116780825</v>
      </c>
      <c r="AA1682" s="0" t="n">
        <f aca="false">X1682-Z1682</f>
        <v>43.6931657327765</v>
      </c>
      <c r="AB1682" s="0" t="n">
        <f aca="false">X1682+Z1682</f>
        <v>46.469188068393</v>
      </c>
      <c r="AC1682" s="54" t="b">
        <f aca="false">AND(E1682&gt;=01_因子設定!$L$5-0.000000001,E1682&lt;=01_因子設定!$M$5+0.000000001,F1682&gt;=01_因子設定!$L$6-0.000000001,F1682&lt;=01_因子設定!$M$6+0.000000001,G1682&gt;=01_因子設定!$L$7-0.000000001,G1682&lt;=01_因子設定!$M$7+0.000000001,H1682&gt;=01_因子設定!$L$8-0.000000001,H1682&lt;=01_因子設定!$M$8+0.000000001,IF(01_因子設定!$B$20="Box-Behnken",E1682^2+F1682^2+G1682^2+H1682^2&lt;=2+0.000000001,TRUE()))</f>
        <v>1</v>
      </c>
      <c r="AD1682" s="55" t="n">
        <f aca="false">IF(AC1682,IF(01_因子設定!$B$13="最大化",AA1682-01_因子設定!$B$14,IF(01_因子設定!$B$13="最小化",01_因子設定!$B$15-AB1682,MIN(AA1682-01_因子設定!$B$14,01_因子設定!$B$15-AB1682))),-1E+030)</f>
        <v>-2.80683426722349</v>
      </c>
      <c r="AE1682" s="55" t="n">
        <f aca="false">IF(AC1682,IF(01_因子設定!$B$13="最大化",X1682,IF(01_因子設定!$B$13="最小化",-X1682,-ABS(X1682-01_因子設定!$B$16))),-1E+030)</f>
        <v>45.0811769005848</v>
      </c>
      <c r="AF1682" s="55" t="n">
        <f aca="false">AD1682+ROW()*0.000000001</f>
        <v>-2.80683258522349</v>
      </c>
      <c r="AG1682" s="55" t="n">
        <f aca="false">AE1682+ROW()*0.000000001</f>
        <v>45.0811785825848</v>
      </c>
    </row>
    <row r="1683" customFormat="false" ht="15" hidden="false" customHeight="false" outlineLevel="0" collapsed="false">
      <c r="A1683" s="0" t="n">
        <v>2</v>
      </c>
      <c r="B1683" s="0" t="n">
        <v>2</v>
      </c>
      <c r="C1683" s="0" t="n">
        <v>6</v>
      </c>
      <c r="D1683" s="0" t="n">
        <v>4</v>
      </c>
      <c r="E1683" s="0" t="n">
        <f aca="false">-1+A1683*0.25</f>
        <v>-0.5</v>
      </c>
      <c r="F1683" s="0" t="n">
        <f aca="false">-1+B1683*0.25</f>
        <v>-0.5</v>
      </c>
      <c r="G1683" s="0" t="n">
        <f aca="false">-1+C1683*0.25</f>
        <v>0.5</v>
      </c>
      <c r="H1683" s="0" t="n">
        <f aca="false">-1+D1683*0.25</f>
        <v>0</v>
      </c>
      <c r="I1683" s="0" t="n">
        <f aca="false">1</f>
        <v>1</v>
      </c>
      <c r="J1683" s="0" t="n">
        <f aca="false">E1683</f>
        <v>-0.5</v>
      </c>
      <c r="K1683" s="0" t="n">
        <f aca="false">F1683</f>
        <v>-0.5</v>
      </c>
      <c r="L1683" s="0" t="n">
        <f aca="false">G1683</f>
        <v>0.5</v>
      </c>
      <c r="M1683" s="0" t="n">
        <f aca="false">H1683</f>
        <v>0</v>
      </c>
      <c r="N1683" s="0" t="n">
        <f aca="false">E1683*F1683</f>
        <v>0.25</v>
      </c>
      <c r="O1683" s="0" t="n">
        <f aca="false">E1683*G1683</f>
        <v>-0.25</v>
      </c>
      <c r="P1683" s="0" t="n">
        <f aca="false">E1683*H1683</f>
        <v>-0</v>
      </c>
      <c r="Q1683" s="0" t="n">
        <f aca="false">F1683*G1683</f>
        <v>-0.25</v>
      </c>
      <c r="R1683" s="0" t="n">
        <f aca="false">F1683*H1683</f>
        <v>-0</v>
      </c>
      <c r="S1683" s="0" t="n">
        <f aca="false">G1683*H1683</f>
        <v>0</v>
      </c>
      <c r="T1683" s="0" t="n">
        <f aca="false">E1683*E1683</f>
        <v>0.25</v>
      </c>
      <c r="U1683" s="0" t="n">
        <f aca="false">F1683*F1683</f>
        <v>0.25</v>
      </c>
      <c r="V1683" s="0" t="n">
        <f aca="false">G1683*G1683</f>
        <v>0.25</v>
      </c>
      <c r="W1683" s="0" t="n">
        <f aca="false">H1683*H1683</f>
        <v>0</v>
      </c>
      <c r="X1683" s="0" t="n">
        <f aca="false">SUMPRODUCT(I1683:W1683,_XtX!$B$96:$P$96)</f>
        <v>45.2533442982456</v>
      </c>
      <c r="Y1683" s="0" t="n">
        <f aca="false">SUMPRODUCT(MMULT(I1683:W1683,_XtX!$B$78:$P$92),I1683:W1683)</f>
        <v>0.140008223684211</v>
      </c>
      <c r="Z1683" s="0" t="n">
        <f aca="false">04_回帰ANOVA!$K$19*04_回帰ANOVA!$K$14*SQRT(1+Y1683)</f>
        <v>1.39172165492264</v>
      </c>
      <c r="AA1683" s="0" t="n">
        <f aca="false">X1683-Z1683</f>
        <v>43.8616226433229</v>
      </c>
      <c r="AB1683" s="0" t="n">
        <f aca="false">X1683+Z1683</f>
        <v>46.6450659531682</v>
      </c>
      <c r="AC1683" s="54" t="b">
        <f aca="false">AND(E1683&gt;=01_因子設定!$L$5-0.000000001,E1683&lt;=01_因子設定!$M$5+0.000000001,F1683&gt;=01_因子設定!$L$6-0.000000001,F1683&lt;=01_因子設定!$M$6+0.000000001,G1683&gt;=01_因子設定!$L$7-0.000000001,G1683&lt;=01_因子設定!$M$7+0.000000001,H1683&gt;=01_因子設定!$L$8-0.000000001,H1683&lt;=01_因子設定!$M$8+0.000000001,IF(01_因子設定!$B$20="Box-Behnken",E1683^2+F1683^2+G1683^2+H1683^2&lt;=2+0.000000001,TRUE()))</f>
        <v>1</v>
      </c>
      <c r="AD1683" s="55" t="n">
        <f aca="false">IF(AC1683,IF(01_因子設定!$B$13="最大化",AA1683-01_因子設定!$B$14,IF(01_因子設定!$B$13="最小化",01_因子設定!$B$15-AB1683,MIN(AA1683-01_因子設定!$B$14,01_因子設定!$B$15-AB1683))),-1E+030)</f>
        <v>-2.63837735667706</v>
      </c>
      <c r="AE1683" s="55" t="n">
        <f aca="false">IF(AC1683,IF(01_因子設定!$B$13="最大化",X1683,IF(01_因子設定!$B$13="最小化",-X1683,-ABS(X1683-01_因子設定!$B$16))),-1E+030)</f>
        <v>45.2533442982456</v>
      </c>
      <c r="AF1683" s="55" t="n">
        <f aca="false">AD1683+ROW()*0.000000001</f>
        <v>-2.63837567367706</v>
      </c>
      <c r="AG1683" s="55" t="n">
        <f aca="false">AE1683+ROW()*0.000000001</f>
        <v>45.2533459812456</v>
      </c>
    </row>
    <row r="1684" customFormat="false" ht="15" hidden="false" customHeight="false" outlineLevel="0" collapsed="false">
      <c r="A1684" s="0" t="n">
        <v>2</v>
      </c>
      <c r="B1684" s="0" t="n">
        <v>2</v>
      </c>
      <c r="C1684" s="0" t="n">
        <v>6</v>
      </c>
      <c r="D1684" s="0" t="n">
        <v>5</v>
      </c>
      <c r="E1684" s="0" t="n">
        <f aca="false">-1+A1684*0.25</f>
        <v>-0.5</v>
      </c>
      <c r="F1684" s="0" t="n">
        <f aca="false">-1+B1684*0.25</f>
        <v>-0.5</v>
      </c>
      <c r="G1684" s="0" t="n">
        <f aca="false">-1+C1684*0.25</f>
        <v>0.5</v>
      </c>
      <c r="H1684" s="0" t="n">
        <f aca="false">-1+D1684*0.25</f>
        <v>0.25</v>
      </c>
      <c r="I1684" s="0" t="n">
        <f aca="false">1</f>
        <v>1</v>
      </c>
      <c r="J1684" s="0" t="n">
        <f aca="false">E1684</f>
        <v>-0.5</v>
      </c>
      <c r="K1684" s="0" t="n">
        <f aca="false">F1684</f>
        <v>-0.5</v>
      </c>
      <c r="L1684" s="0" t="n">
        <f aca="false">G1684</f>
        <v>0.5</v>
      </c>
      <c r="M1684" s="0" t="n">
        <f aca="false">H1684</f>
        <v>0.25</v>
      </c>
      <c r="N1684" s="0" t="n">
        <f aca="false">E1684*F1684</f>
        <v>0.25</v>
      </c>
      <c r="O1684" s="0" t="n">
        <f aca="false">E1684*G1684</f>
        <v>-0.25</v>
      </c>
      <c r="P1684" s="0" t="n">
        <f aca="false">E1684*H1684</f>
        <v>-0.125</v>
      </c>
      <c r="Q1684" s="0" t="n">
        <f aca="false">F1684*G1684</f>
        <v>-0.25</v>
      </c>
      <c r="R1684" s="0" t="n">
        <f aca="false">F1684*H1684</f>
        <v>-0.125</v>
      </c>
      <c r="S1684" s="0" t="n">
        <f aca="false">G1684*H1684</f>
        <v>0.125</v>
      </c>
      <c r="T1684" s="0" t="n">
        <f aca="false">E1684*E1684</f>
        <v>0.25</v>
      </c>
      <c r="U1684" s="0" t="n">
        <f aca="false">F1684*F1684</f>
        <v>0.25</v>
      </c>
      <c r="V1684" s="0" t="n">
        <f aca="false">G1684*G1684</f>
        <v>0.25</v>
      </c>
      <c r="W1684" s="0" t="n">
        <f aca="false">H1684*H1684</f>
        <v>0.0625</v>
      </c>
      <c r="X1684" s="0" t="n">
        <f aca="false">SUMPRODUCT(I1684:W1684,_XtX!$B$96:$P$96)</f>
        <v>45.3777046783625</v>
      </c>
      <c r="Y1684" s="0" t="n">
        <f aca="false">SUMPRODUCT(MMULT(I1684:W1684,_XtX!$B$78:$P$92),I1684:W1684)</f>
        <v>0.133937545687135</v>
      </c>
      <c r="Z1684" s="0" t="n">
        <f aca="false">04_回帰ANOVA!$K$19*04_回帰ANOVA!$K$14*SQRT(1+Y1684)</f>
        <v>1.38801116780825</v>
      </c>
      <c r="AA1684" s="0" t="n">
        <f aca="false">X1684-Z1684</f>
        <v>43.9896935105543</v>
      </c>
      <c r="AB1684" s="0" t="n">
        <f aca="false">X1684+Z1684</f>
        <v>46.7657158461708</v>
      </c>
      <c r="AC1684" s="54" t="b">
        <f aca="false">AND(E1684&gt;=01_因子設定!$L$5-0.000000001,E1684&lt;=01_因子設定!$M$5+0.000000001,F1684&gt;=01_因子設定!$L$6-0.000000001,F1684&lt;=01_因子設定!$M$6+0.000000001,G1684&gt;=01_因子設定!$L$7-0.000000001,G1684&lt;=01_因子設定!$M$7+0.000000001,H1684&gt;=01_因子設定!$L$8-0.000000001,H1684&lt;=01_因子設定!$M$8+0.000000001,IF(01_因子設定!$B$20="Box-Behnken",E1684^2+F1684^2+G1684^2+H1684^2&lt;=2+0.000000001,TRUE()))</f>
        <v>1</v>
      </c>
      <c r="AD1684" s="55" t="n">
        <f aca="false">IF(AC1684,IF(01_因子設定!$B$13="最大化",AA1684-01_因子設定!$B$14,IF(01_因子設定!$B$13="最小化",01_因子設定!$B$15-AB1684,MIN(AA1684-01_因子設定!$B$14,01_因子設定!$B$15-AB1684))),-1E+030)</f>
        <v>-2.51030648944572</v>
      </c>
      <c r="AE1684" s="55" t="n">
        <f aca="false">IF(AC1684,IF(01_因子設定!$B$13="最大化",X1684,IF(01_因子設定!$B$13="最小化",-X1684,-ABS(X1684-01_因子設定!$B$16))),-1E+030)</f>
        <v>45.3777046783625</v>
      </c>
      <c r="AF1684" s="55" t="n">
        <f aca="false">AD1684+ROW()*0.000000001</f>
        <v>-2.51030480544572</v>
      </c>
      <c r="AG1684" s="55" t="n">
        <f aca="false">AE1684+ROW()*0.000000001</f>
        <v>45.3777063623625</v>
      </c>
    </row>
    <row r="1685" customFormat="false" ht="15" hidden="false" customHeight="false" outlineLevel="0" collapsed="false">
      <c r="A1685" s="0" t="n">
        <v>2</v>
      </c>
      <c r="B1685" s="0" t="n">
        <v>2</v>
      </c>
      <c r="C1685" s="0" t="n">
        <v>6</v>
      </c>
      <c r="D1685" s="0" t="n">
        <v>6</v>
      </c>
      <c r="E1685" s="0" t="n">
        <f aca="false">-1+A1685*0.25</f>
        <v>-0.5</v>
      </c>
      <c r="F1685" s="0" t="n">
        <f aca="false">-1+B1685*0.25</f>
        <v>-0.5</v>
      </c>
      <c r="G1685" s="0" t="n">
        <f aca="false">-1+C1685*0.25</f>
        <v>0.5</v>
      </c>
      <c r="H1685" s="0" t="n">
        <f aca="false">-1+D1685*0.25</f>
        <v>0.5</v>
      </c>
      <c r="I1685" s="0" t="n">
        <f aca="false">1</f>
        <v>1</v>
      </c>
      <c r="J1685" s="0" t="n">
        <f aca="false">E1685</f>
        <v>-0.5</v>
      </c>
      <c r="K1685" s="0" t="n">
        <f aca="false">F1685</f>
        <v>-0.5</v>
      </c>
      <c r="L1685" s="0" t="n">
        <f aca="false">G1685</f>
        <v>0.5</v>
      </c>
      <c r="M1685" s="0" t="n">
        <f aca="false">H1685</f>
        <v>0.5</v>
      </c>
      <c r="N1685" s="0" t="n">
        <f aca="false">E1685*F1685</f>
        <v>0.25</v>
      </c>
      <c r="O1685" s="0" t="n">
        <f aca="false">E1685*G1685</f>
        <v>-0.25</v>
      </c>
      <c r="P1685" s="0" t="n">
        <f aca="false">E1685*H1685</f>
        <v>-0.25</v>
      </c>
      <c r="Q1685" s="0" t="n">
        <f aca="false">F1685*G1685</f>
        <v>-0.25</v>
      </c>
      <c r="R1685" s="0" t="n">
        <f aca="false">F1685*H1685</f>
        <v>-0.25</v>
      </c>
      <c r="S1685" s="0" t="n">
        <f aca="false">G1685*H1685</f>
        <v>0.25</v>
      </c>
      <c r="T1685" s="0" t="n">
        <f aca="false">E1685*E1685</f>
        <v>0.25</v>
      </c>
      <c r="U1685" s="0" t="n">
        <f aca="false">F1685*F1685</f>
        <v>0.25</v>
      </c>
      <c r="V1685" s="0" t="n">
        <f aca="false">G1685*G1685</f>
        <v>0.25</v>
      </c>
      <c r="W1685" s="0" t="n">
        <f aca="false">H1685*H1685</f>
        <v>0.25</v>
      </c>
      <c r="X1685" s="0" t="n">
        <f aca="false">SUMPRODUCT(I1685:W1685,_XtX!$B$96:$P$96)</f>
        <v>45.4542580409356</v>
      </c>
      <c r="Y1685" s="0" t="n">
        <f aca="false">SUMPRODUCT(MMULT(I1685:W1685,_XtX!$B$78:$P$92),I1685:W1685)</f>
        <v>0.133817616959064</v>
      </c>
      <c r="Z1685" s="0" t="n">
        <f aca="false">04_回帰ANOVA!$K$19*04_回帰ANOVA!$K$14*SQRT(1+Y1685)</f>
        <v>1.38793776569887</v>
      </c>
      <c r="AA1685" s="0" t="n">
        <f aca="false">X1685-Z1685</f>
        <v>44.0663202752368</v>
      </c>
      <c r="AB1685" s="0" t="n">
        <f aca="false">X1685+Z1685</f>
        <v>46.8421958066345</v>
      </c>
      <c r="AC1685" s="54" t="b">
        <f aca="false">AND(E1685&gt;=01_因子設定!$L$5-0.000000001,E1685&lt;=01_因子設定!$M$5+0.000000001,F1685&gt;=01_因子設定!$L$6-0.000000001,F1685&lt;=01_因子設定!$M$6+0.000000001,G1685&gt;=01_因子設定!$L$7-0.000000001,G1685&lt;=01_因子設定!$M$7+0.000000001,H1685&gt;=01_因子設定!$L$8-0.000000001,H1685&lt;=01_因子設定!$M$8+0.000000001,IF(01_因子設定!$B$20="Box-Behnken",E1685^2+F1685^2+G1685^2+H1685^2&lt;=2+0.000000001,TRUE()))</f>
        <v>1</v>
      </c>
      <c r="AD1685" s="55" t="n">
        <f aca="false">IF(AC1685,IF(01_因子設定!$B$13="最大化",AA1685-01_因子設定!$B$14,IF(01_因子設定!$B$13="最小化",01_因子設定!$B$15-AB1685,MIN(AA1685-01_因子設定!$B$14,01_因子設定!$B$15-AB1685))),-1E+030)</f>
        <v>-2.43367972476322</v>
      </c>
      <c r="AE1685" s="55" t="n">
        <f aca="false">IF(AC1685,IF(01_因子設定!$B$13="最大化",X1685,IF(01_因子設定!$B$13="最小化",-X1685,-ABS(X1685-01_因子設定!$B$16))),-1E+030)</f>
        <v>45.4542580409356</v>
      </c>
      <c r="AF1685" s="55" t="n">
        <f aca="false">AD1685+ROW()*0.000000001</f>
        <v>-2.43367803976322</v>
      </c>
      <c r="AG1685" s="55" t="n">
        <f aca="false">AE1685+ROW()*0.000000001</f>
        <v>45.4542597259356</v>
      </c>
    </row>
    <row r="1686" customFormat="false" ht="15" hidden="false" customHeight="false" outlineLevel="0" collapsed="false">
      <c r="A1686" s="0" t="n">
        <v>2</v>
      </c>
      <c r="B1686" s="0" t="n">
        <v>2</v>
      </c>
      <c r="C1686" s="0" t="n">
        <v>6</v>
      </c>
      <c r="D1686" s="0" t="n">
        <v>7</v>
      </c>
      <c r="E1686" s="0" t="n">
        <f aca="false">-1+A1686*0.25</f>
        <v>-0.5</v>
      </c>
      <c r="F1686" s="0" t="n">
        <f aca="false">-1+B1686*0.25</f>
        <v>-0.5</v>
      </c>
      <c r="G1686" s="0" t="n">
        <f aca="false">-1+C1686*0.25</f>
        <v>0.5</v>
      </c>
      <c r="H1686" s="0" t="n">
        <f aca="false">-1+D1686*0.25</f>
        <v>0.75</v>
      </c>
      <c r="I1686" s="0" t="n">
        <f aca="false">1</f>
        <v>1</v>
      </c>
      <c r="J1686" s="0" t="n">
        <f aca="false">E1686</f>
        <v>-0.5</v>
      </c>
      <c r="K1686" s="0" t="n">
        <f aca="false">F1686</f>
        <v>-0.5</v>
      </c>
      <c r="L1686" s="0" t="n">
        <f aca="false">G1686</f>
        <v>0.5</v>
      </c>
      <c r="M1686" s="0" t="n">
        <f aca="false">H1686</f>
        <v>0.75</v>
      </c>
      <c r="N1686" s="0" t="n">
        <f aca="false">E1686*F1686</f>
        <v>0.25</v>
      </c>
      <c r="O1686" s="0" t="n">
        <f aca="false">E1686*G1686</f>
        <v>-0.25</v>
      </c>
      <c r="P1686" s="0" t="n">
        <f aca="false">E1686*H1686</f>
        <v>-0.375</v>
      </c>
      <c r="Q1686" s="0" t="n">
        <f aca="false">F1686*G1686</f>
        <v>-0.25</v>
      </c>
      <c r="R1686" s="0" t="n">
        <f aca="false">F1686*H1686</f>
        <v>-0.375</v>
      </c>
      <c r="S1686" s="0" t="n">
        <f aca="false">G1686*H1686</f>
        <v>0.375</v>
      </c>
      <c r="T1686" s="0" t="n">
        <f aca="false">E1686*E1686</f>
        <v>0.25</v>
      </c>
      <c r="U1686" s="0" t="n">
        <f aca="false">F1686*F1686</f>
        <v>0.25</v>
      </c>
      <c r="V1686" s="0" t="n">
        <f aca="false">G1686*G1686</f>
        <v>0.25</v>
      </c>
      <c r="W1686" s="0" t="n">
        <f aca="false">H1686*H1686</f>
        <v>0.5625</v>
      </c>
      <c r="X1686" s="0" t="n">
        <f aca="false">SUMPRODUCT(I1686:W1686,_XtX!$B$96:$P$96)</f>
        <v>45.4830043859649</v>
      </c>
      <c r="Y1686" s="0" t="n">
        <f aca="false">SUMPRODUCT(MMULT(I1686:W1686,_XtX!$B$78:$P$92),I1686:W1686)</f>
        <v>0.193924753289474</v>
      </c>
      <c r="Z1686" s="0" t="n">
        <f aca="false">04_回帰ANOVA!$K$19*04_回帰ANOVA!$K$14*SQRT(1+Y1686)</f>
        <v>1.4242521079916</v>
      </c>
      <c r="AA1686" s="0" t="n">
        <f aca="false">X1686-Z1686</f>
        <v>44.0587522779733</v>
      </c>
      <c r="AB1686" s="0" t="n">
        <f aca="false">X1686+Z1686</f>
        <v>46.9072564939565</v>
      </c>
      <c r="AC1686" s="54" t="b">
        <f aca="false">AND(E1686&gt;=01_因子設定!$L$5-0.000000001,E1686&lt;=01_因子設定!$M$5+0.000000001,F1686&gt;=01_因子設定!$L$6-0.000000001,F1686&lt;=01_因子設定!$M$6+0.000000001,G1686&gt;=01_因子設定!$L$7-0.000000001,G1686&lt;=01_因子設定!$M$7+0.000000001,H1686&gt;=01_因子設定!$L$8-0.000000001,H1686&lt;=01_因子設定!$M$8+0.000000001,IF(01_因子設定!$B$20="Box-Behnken",E1686^2+F1686^2+G1686^2+H1686^2&lt;=2+0.000000001,TRUE()))</f>
        <v>1</v>
      </c>
      <c r="AD1686" s="55" t="n">
        <f aca="false">IF(AC1686,IF(01_因子設定!$B$13="最大化",AA1686-01_因子設定!$B$14,IF(01_因子設定!$B$13="最小化",01_因子設定!$B$15-AB1686,MIN(AA1686-01_因子設定!$B$14,01_因子設定!$B$15-AB1686))),-1E+030)</f>
        <v>-2.44124772202671</v>
      </c>
      <c r="AE1686" s="55" t="n">
        <f aca="false">IF(AC1686,IF(01_因子設定!$B$13="最大化",X1686,IF(01_因子設定!$B$13="最小化",-X1686,-ABS(X1686-01_因子設定!$B$16))),-1E+030)</f>
        <v>45.4830043859649</v>
      </c>
      <c r="AF1686" s="55" t="n">
        <f aca="false">AD1686+ROW()*0.000000001</f>
        <v>-2.44124603602671</v>
      </c>
      <c r="AG1686" s="55" t="n">
        <f aca="false">AE1686+ROW()*0.000000001</f>
        <v>45.4830060719649</v>
      </c>
    </row>
    <row r="1687" customFormat="false" ht="15" hidden="false" customHeight="false" outlineLevel="0" collapsed="false">
      <c r="A1687" s="0" t="n">
        <v>2</v>
      </c>
      <c r="B1687" s="0" t="n">
        <v>2</v>
      </c>
      <c r="C1687" s="0" t="n">
        <v>6</v>
      </c>
      <c r="D1687" s="0" t="n">
        <v>8</v>
      </c>
      <c r="E1687" s="0" t="n">
        <f aca="false">-1+A1687*0.25</f>
        <v>-0.5</v>
      </c>
      <c r="F1687" s="0" t="n">
        <f aca="false">-1+B1687*0.25</f>
        <v>-0.5</v>
      </c>
      <c r="G1687" s="0" t="n">
        <f aca="false">-1+C1687*0.25</f>
        <v>0.5</v>
      </c>
      <c r="H1687" s="0" t="n">
        <f aca="false">-1+D1687*0.25</f>
        <v>1</v>
      </c>
      <c r="I1687" s="0" t="n">
        <f aca="false">1</f>
        <v>1</v>
      </c>
      <c r="J1687" s="0" t="n">
        <f aca="false">E1687</f>
        <v>-0.5</v>
      </c>
      <c r="K1687" s="0" t="n">
        <f aca="false">F1687</f>
        <v>-0.5</v>
      </c>
      <c r="L1687" s="0" t="n">
        <f aca="false">G1687</f>
        <v>0.5</v>
      </c>
      <c r="M1687" s="0" t="n">
        <f aca="false">H1687</f>
        <v>1</v>
      </c>
      <c r="N1687" s="0" t="n">
        <f aca="false">E1687*F1687</f>
        <v>0.25</v>
      </c>
      <c r="O1687" s="0" t="n">
        <f aca="false">E1687*G1687</f>
        <v>-0.25</v>
      </c>
      <c r="P1687" s="0" t="n">
        <f aca="false">E1687*H1687</f>
        <v>-0.5</v>
      </c>
      <c r="Q1687" s="0" t="n">
        <f aca="false">F1687*G1687</f>
        <v>-0.25</v>
      </c>
      <c r="R1687" s="0" t="n">
        <f aca="false">F1687*H1687</f>
        <v>-0.5</v>
      </c>
      <c r="S1687" s="0" t="n">
        <f aca="false">G1687*H1687</f>
        <v>0.5</v>
      </c>
      <c r="T1687" s="0" t="n">
        <f aca="false">E1687*E1687</f>
        <v>0.25</v>
      </c>
      <c r="U1687" s="0" t="n">
        <f aca="false">F1687*F1687</f>
        <v>0.25</v>
      </c>
      <c r="V1687" s="0" t="n">
        <f aca="false">G1687*G1687</f>
        <v>0.25</v>
      </c>
      <c r="W1687" s="0" t="n">
        <f aca="false">H1687*H1687</f>
        <v>1</v>
      </c>
      <c r="X1687" s="0" t="n">
        <f aca="false">SUMPRODUCT(I1687:W1687,_XtX!$B$96:$P$96)</f>
        <v>45.4639437134503</v>
      </c>
      <c r="Y1687" s="0" t="n">
        <f aca="false">SUMPRODUCT(MMULT(I1687:W1687,_XtX!$B$78:$P$92),I1687:W1687)</f>
        <v>0.404719480994152</v>
      </c>
      <c r="Z1687" s="0" t="n">
        <f aca="false">04_回帰ANOVA!$K$19*04_回帰ANOVA!$K$14*SQRT(1+Y1687)</f>
        <v>1.54487446697867</v>
      </c>
      <c r="AA1687" s="0" t="n">
        <f aca="false">X1687-Z1687</f>
        <v>43.9190692464716</v>
      </c>
      <c r="AB1687" s="0" t="n">
        <f aca="false">X1687+Z1687</f>
        <v>47.008818180429</v>
      </c>
      <c r="AC1687" s="54" t="b">
        <f aca="false">AND(E1687&gt;=01_因子設定!$L$5-0.000000001,E1687&lt;=01_因子設定!$M$5+0.000000001,F1687&gt;=01_因子設定!$L$6-0.000000001,F1687&lt;=01_因子設定!$M$6+0.000000001,G1687&gt;=01_因子設定!$L$7-0.000000001,G1687&lt;=01_因子設定!$M$7+0.000000001,H1687&gt;=01_因子設定!$L$8-0.000000001,H1687&lt;=01_因子設定!$M$8+0.000000001,IF(01_因子設定!$B$20="Box-Behnken",E1687^2+F1687^2+G1687^2+H1687^2&lt;=2+0.000000001,TRUE()))</f>
        <v>1</v>
      </c>
      <c r="AD1687" s="55" t="n">
        <f aca="false">IF(AC1687,IF(01_因子設定!$B$13="最大化",AA1687-01_因子設定!$B$14,IF(01_因子設定!$B$13="最小化",01_因子設定!$B$15-AB1687,MIN(AA1687-01_因子設定!$B$14,01_因子設定!$B$15-AB1687))),-1E+030)</f>
        <v>-2.58093075352839</v>
      </c>
      <c r="AE1687" s="55" t="n">
        <f aca="false">IF(AC1687,IF(01_因子設定!$B$13="最大化",X1687,IF(01_因子設定!$B$13="最小化",-X1687,-ABS(X1687-01_因子設定!$B$16))),-1E+030)</f>
        <v>45.4639437134503</v>
      </c>
      <c r="AF1687" s="55" t="n">
        <f aca="false">AD1687+ROW()*0.000000001</f>
        <v>-2.58092906652839</v>
      </c>
      <c r="AG1687" s="55" t="n">
        <f aca="false">AE1687+ROW()*0.000000001</f>
        <v>45.4639454004503</v>
      </c>
    </row>
    <row r="1688" customFormat="false" ht="15" hidden="false" customHeight="false" outlineLevel="0" collapsed="false">
      <c r="A1688" s="0" t="n">
        <v>2</v>
      </c>
      <c r="B1688" s="0" t="n">
        <v>2</v>
      </c>
      <c r="C1688" s="0" t="n">
        <v>7</v>
      </c>
      <c r="D1688" s="0" t="n">
        <v>0</v>
      </c>
      <c r="E1688" s="0" t="n">
        <f aca="false">-1+A1688*0.25</f>
        <v>-0.5</v>
      </c>
      <c r="F1688" s="0" t="n">
        <f aca="false">-1+B1688*0.25</f>
        <v>-0.5</v>
      </c>
      <c r="G1688" s="0" t="n">
        <f aca="false">-1+C1688*0.25</f>
        <v>0.75</v>
      </c>
      <c r="H1688" s="0" t="n">
        <f aca="false">-1+D1688*0.25</f>
        <v>-1</v>
      </c>
      <c r="I1688" s="0" t="n">
        <f aca="false">1</f>
        <v>1</v>
      </c>
      <c r="J1688" s="0" t="n">
        <f aca="false">E1688</f>
        <v>-0.5</v>
      </c>
      <c r="K1688" s="0" t="n">
        <f aca="false">F1688</f>
        <v>-0.5</v>
      </c>
      <c r="L1688" s="0" t="n">
        <f aca="false">G1688</f>
        <v>0.75</v>
      </c>
      <c r="M1688" s="0" t="n">
        <f aca="false">H1688</f>
        <v>-1</v>
      </c>
      <c r="N1688" s="0" t="n">
        <f aca="false">E1688*F1688</f>
        <v>0.25</v>
      </c>
      <c r="O1688" s="0" t="n">
        <f aca="false">E1688*G1688</f>
        <v>-0.375</v>
      </c>
      <c r="P1688" s="0" t="n">
        <f aca="false">E1688*H1688</f>
        <v>0.5</v>
      </c>
      <c r="Q1688" s="0" t="n">
        <f aca="false">F1688*G1688</f>
        <v>-0.375</v>
      </c>
      <c r="R1688" s="0" t="n">
        <f aca="false">F1688*H1688</f>
        <v>0.5</v>
      </c>
      <c r="S1688" s="0" t="n">
        <f aca="false">G1688*H1688</f>
        <v>-0.75</v>
      </c>
      <c r="T1688" s="0" t="n">
        <f aca="false">E1688*E1688</f>
        <v>0.25</v>
      </c>
      <c r="U1688" s="0" t="n">
        <f aca="false">F1688*F1688</f>
        <v>0.25</v>
      </c>
      <c r="V1688" s="0" t="n">
        <f aca="false">G1688*G1688</f>
        <v>0.5625</v>
      </c>
      <c r="W1688" s="0" t="n">
        <f aca="false">H1688*H1688</f>
        <v>1</v>
      </c>
      <c r="X1688" s="0" t="n">
        <f aca="false">SUMPRODUCT(I1688:W1688,_XtX!$B$96:$P$96)</f>
        <v>44.2807108918129</v>
      </c>
      <c r="Y1688" s="0" t="n">
        <f aca="false">SUMPRODUCT(MMULT(I1688:W1688,_XtX!$B$78:$P$92),I1688:W1688)</f>
        <v>0.42602110745614</v>
      </c>
      <c r="Z1688" s="0" t="n">
        <f aca="false">04_回帰ANOVA!$K$19*04_回帰ANOVA!$K$14*SQRT(1+Y1688)</f>
        <v>1.55654388501114</v>
      </c>
      <c r="AA1688" s="0" t="n">
        <f aca="false">X1688-Z1688</f>
        <v>42.7241670068017</v>
      </c>
      <c r="AB1688" s="0" t="n">
        <f aca="false">X1688+Z1688</f>
        <v>45.837254776824</v>
      </c>
      <c r="AC1688" s="54" t="b">
        <f aca="false">AND(E1688&gt;=01_因子設定!$L$5-0.000000001,E1688&lt;=01_因子設定!$M$5+0.000000001,F1688&gt;=01_因子設定!$L$6-0.000000001,F1688&lt;=01_因子設定!$M$6+0.000000001,G1688&gt;=01_因子設定!$L$7-0.000000001,G1688&lt;=01_因子設定!$M$7+0.000000001,H1688&gt;=01_因子設定!$L$8-0.000000001,H1688&lt;=01_因子設定!$M$8+0.000000001,IF(01_因子設定!$B$20="Box-Behnken",E1688^2+F1688^2+G1688^2+H1688^2&lt;=2+0.000000001,TRUE()))</f>
        <v>1</v>
      </c>
      <c r="AD1688" s="55" t="n">
        <f aca="false">IF(AC1688,IF(01_因子設定!$B$13="最大化",AA1688-01_因子設定!$B$14,IF(01_因子設定!$B$13="最小化",01_因子設定!$B$15-AB1688,MIN(AA1688-01_因子設定!$B$14,01_因子設定!$B$15-AB1688))),-1E+030)</f>
        <v>-3.77583299319827</v>
      </c>
      <c r="AE1688" s="55" t="n">
        <f aca="false">IF(AC1688,IF(01_因子設定!$B$13="最大化",X1688,IF(01_因子設定!$B$13="最小化",-X1688,-ABS(X1688-01_因子設定!$B$16))),-1E+030)</f>
        <v>44.2807108918129</v>
      </c>
      <c r="AF1688" s="55" t="n">
        <f aca="false">AD1688+ROW()*0.000000001</f>
        <v>-3.77583130519827</v>
      </c>
      <c r="AG1688" s="55" t="n">
        <f aca="false">AE1688+ROW()*0.000000001</f>
        <v>44.2807125798129</v>
      </c>
    </row>
    <row r="1689" customFormat="false" ht="15" hidden="false" customHeight="false" outlineLevel="0" collapsed="false">
      <c r="A1689" s="0" t="n">
        <v>2</v>
      </c>
      <c r="B1689" s="0" t="n">
        <v>2</v>
      </c>
      <c r="C1689" s="0" t="n">
        <v>7</v>
      </c>
      <c r="D1689" s="0" t="n">
        <v>1</v>
      </c>
      <c r="E1689" s="0" t="n">
        <f aca="false">-1+A1689*0.25</f>
        <v>-0.5</v>
      </c>
      <c r="F1689" s="0" t="n">
        <f aca="false">-1+B1689*0.25</f>
        <v>-0.5</v>
      </c>
      <c r="G1689" s="0" t="n">
        <f aca="false">-1+C1689*0.25</f>
        <v>0.75</v>
      </c>
      <c r="H1689" s="0" t="n">
        <f aca="false">-1+D1689*0.25</f>
        <v>-0.75</v>
      </c>
      <c r="I1689" s="0" t="n">
        <f aca="false">1</f>
        <v>1</v>
      </c>
      <c r="J1689" s="0" t="n">
        <f aca="false">E1689</f>
        <v>-0.5</v>
      </c>
      <c r="K1689" s="0" t="n">
        <f aca="false">F1689</f>
        <v>-0.5</v>
      </c>
      <c r="L1689" s="0" t="n">
        <f aca="false">G1689</f>
        <v>0.75</v>
      </c>
      <c r="M1689" s="0" t="n">
        <f aca="false">H1689</f>
        <v>-0.75</v>
      </c>
      <c r="N1689" s="0" t="n">
        <f aca="false">E1689*F1689</f>
        <v>0.25</v>
      </c>
      <c r="O1689" s="0" t="n">
        <f aca="false">E1689*G1689</f>
        <v>-0.375</v>
      </c>
      <c r="P1689" s="0" t="n">
        <f aca="false">E1689*H1689</f>
        <v>0.375</v>
      </c>
      <c r="Q1689" s="0" t="n">
        <f aca="false">F1689*G1689</f>
        <v>-0.375</v>
      </c>
      <c r="R1689" s="0" t="n">
        <f aca="false">F1689*H1689</f>
        <v>0.375</v>
      </c>
      <c r="S1689" s="0" t="n">
        <f aca="false">G1689*H1689</f>
        <v>-0.5625</v>
      </c>
      <c r="T1689" s="0" t="n">
        <f aca="false">E1689*E1689</f>
        <v>0.25</v>
      </c>
      <c r="U1689" s="0" t="n">
        <f aca="false">F1689*F1689</f>
        <v>0.25</v>
      </c>
      <c r="V1689" s="0" t="n">
        <f aca="false">G1689*G1689</f>
        <v>0.5625</v>
      </c>
      <c r="W1689" s="0" t="n">
        <f aca="false">H1689*H1689</f>
        <v>0.5625</v>
      </c>
      <c r="X1689" s="0" t="n">
        <f aca="false">SUMPRODUCT(I1689:W1689,_XtX!$B$96:$P$96)</f>
        <v>44.6142680921052</v>
      </c>
      <c r="Y1689" s="0" t="n">
        <f aca="false">SUMPRODUCT(MMULT(I1689:W1689,_XtX!$B$78:$P$92),I1689:W1689)</f>
        <v>0.237862927174708</v>
      </c>
      <c r="Z1689" s="0" t="n">
        <f aca="false">04_回帰ANOVA!$K$19*04_回帰ANOVA!$K$14*SQRT(1+Y1689)</f>
        <v>1.45022260708756</v>
      </c>
      <c r="AA1689" s="0" t="n">
        <f aca="false">X1689-Z1689</f>
        <v>43.1640454850177</v>
      </c>
      <c r="AB1689" s="0" t="n">
        <f aca="false">X1689+Z1689</f>
        <v>46.0644906991928</v>
      </c>
      <c r="AC1689" s="54" t="b">
        <f aca="false">AND(E1689&gt;=01_因子設定!$L$5-0.000000001,E1689&lt;=01_因子設定!$M$5+0.000000001,F1689&gt;=01_因子設定!$L$6-0.000000001,F1689&lt;=01_因子設定!$M$6+0.000000001,G1689&gt;=01_因子設定!$L$7-0.000000001,G1689&lt;=01_因子設定!$M$7+0.000000001,H1689&gt;=01_因子設定!$L$8-0.000000001,H1689&lt;=01_因子設定!$M$8+0.000000001,IF(01_因子設定!$B$20="Box-Behnken",E1689^2+F1689^2+G1689^2+H1689^2&lt;=2+0.000000001,TRUE()))</f>
        <v>1</v>
      </c>
      <c r="AD1689" s="55" t="n">
        <f aca="false">IF(AC1689,IF(01_因子設定!$B$13="最大化",AA1689-01_因子設定!$B$14,IF(01_因子設定!$B$13="最小化",01_因子設定!$B$15-AB1689,MIN(AA1689-01_因子設定!$B$14,01_因子設定!$B$15-AB1689))),-1E+030)</f>
        <v>-3.33595451498232</v>
      </c>
      <c r="AE1689" s="55" t="n">
        <f aca="false">IF(AC1689,IF(01_因子設定!$B$13="最大化",X1689,IF(01_因子設定!$B$13="最小化",-X1689,-ABS(X1689-01_因子設定!$B$16))),-1E+030)</f>
        <v>44.6142680921052</v>
      </c>
      <c r="AF1689" s="55" t="n">
        <f aca="false">AD1689+ROW()*0.000000001</f>
        <v>-3.33595282598232</v>
      </c>
      <c r="AG1689" s="55" t="n">
        <f aca="false">AE1689+ROW()*0.000000001</f>
        <v>44.6142697811052</v>
      </c>
    </row>
    <row r="1690" customFormat="false" ht="15" hidden="false" customHeight="false" outlineLevel="0" collapsed="false">
      <c r="A1690" s="0" t="n">
        <v>2</v>
      </c>
      <c r="B1690" s="0" t="n">
        <v>2</v>
      </c>
      <c r="C1690" s="0" t="n">
        <v>7</v>
      </c>
      <c r="D1690" s="0" t="n">
        <v>2</v>
      </c>
      <c r="E1690" s="0" t="n">
        <f aca="false">-1+A1690*0.25</f>
        <v>-0.5</v>
      </c>
      <c r="F1690" s="0" t="n">
        <f aca="false">-1+B1690*0.25</f>
        <v>-0.5</v>
      </c>
      <c r="G1690" s="0" t="n">
        <f aca="false">-1+C1690*0.25</f>
        <v>0.75</v>
      </c>
      <c r="H1690" s="0" t="n">
        <f aca="false">-1+D1690*0.25</f>
        <v>-0.5</v>
      </c>
      <c r="I1690" s="0" t="n">
        <f aca="false">1</f>
        <v>1</v>
      </c>
      <c r="J1690" s="0" t="n">
        <f aca="false">E1690</f>
        <v>-0.5</v>
      </c>
      <c r="K1690" s="0" t="n">
        <f aca="false">F1690</f>
        <v>-0.5</v>
      </c>
      <c r="L1690" s="0" t="n">
        <f aca="false">G1690</f>
        <v>0.75</v>
      </c>
      <c r="M1690" s="0" t="n">
        <f aca="false">H1690</f>
        <v>-0.5</v>
      </c>
      <c r="N1690" s="0" t="n">
        <f aca="false">E1690*F1690</f>
        <v>0.25</v>
      </c>
      <c r="O1690" s="0" t="n">
        <f aca="false">E1690*G1690</f>
        <v>-0.375</v>
      </c>
      <c r="P1690" s="0" t="n">
        <f aca="false">E1690*H1690</f>
        <v>0.25</v>
      </c>
      <c r="Q1690" s="0" t="n">
        <f aca="false">F1690*G1690</f>
        <v>-0.375</v>
      </c>
      <c r="R1690" s="0" t="n">
        <f aca="false">F1690*H1690</f>
        <v>0.25</v>
      </c>
      <c r="S1690" s="0" t="n">
        <f aca="false">G1690*H1690</f>
        <v>-0.375</v>
      </c>
      <c r="T1690" s="0" t="n">
        <f aca="false">E1690*E1690</f>
        <v>0.25</v>
      </c>
      <c r="U1690" s="0" t="n">
        <f aca="false">F1690*F1690</f>
        <v>0.25</v>
      </c>
      <c r="V1690" s="0" t="n">
        <f aca="false">G1690*G1690</f>
        <v>0.5625</v>
      </c>
      <c r="W1690" s="0" t="n">
        <f aca="false">H1690*H1690</f>
        <v>0.25</v>
      </c>
      <c r="X1690" s="0" t="n">
        <f aca="false">SUMPRODUCT(I1690:W1690,_XtX!$B$96:$P$96)</f>
        <v>44.9000182748538</v>
      </c>
      <c r="Y1690" s="0" t="n">
        <f aca="false">SUMPRODUCT(MMULT(I1690:W1690,_XtX!$B$78:$P$92),I1690:W1690)</f>
        <v>0.193924753289474</v>
      </c>
      <c r="Z1690" s="0" t="n">
        <f aca="false">04_回帰ANOVA!$K$19*04_回帰ANOVA!$K$14*SQRT(1+Y1690)</f>
        <v>1.4242521079916</v>
      </c>
      <c r="AA1690" s="0" t="n">
        <f aca="false">X1690-Z1690</f>
        <v>43.4757661668622</v>
      </c>
      <c r="AB1690" s="0" t="n">
        <f aca="false">X1690+Z1690</f>
        <v>46.3242703828454</v>
      </c>
      <c r="AC1690" s="54" t="b">
        <f aca="false">AND(E1690&gt;=01_因子設定!$L$5-0.000000001,E1690&lt;=01_因子設定!$M$5+0.000000001,F1690&gt;=01_因子設定!$L$6-0.000000001,F1690&lt;=01_因子設定!$M$6+0.000000001,G1690&gt;=01_因子設定!$L$7-0.000000001,G1690&lt;=01_因子設定!$M$7+0.000000001,H1690&gt;=01_因子設定!$L$8-0.000000001,H1690&lt;=01_因子設定!$M$8+0.000000001,IF(01_因子設定!$B$20="Box-Behnken",E1690^2+F1690^2+G1690^2+H1690^2&lt;=2+0.000000001,TRUE()))</f>
        <v>1</v>
      </c>
      <c r="AD1690" s="55" t="n">
        <f aca="false">IF(AC1690,IF(01_因子設定!$B$13="最大化",AA1690-01_因子設定!$B$14,IF(01_因子設定!$B$13="最小化",01_因子設定!$B$15-AB1690,MIN(AA1690-01_因子設定!$B$14,01_因子設定!$B$15-AB1690))),-1E+030)</f>
        <v>-3.02423383313783</v>
      </c>
      <c r="AE1690" s="55" t="n">
        <f aca="false">IF(AC1690,IF(01_因子設定!$B$13="最大化",X1690,IF(01_因子設定!$B$13="最小化",-X1690,-ABS(X1690-01_因子設定!$B$16))),-1E+030)</f>
        <v>44.9000182748538</v>
      </c>
      <c r="AF1690" s="55" t="n">
        <f aca="false">AD1690+ROW()*0.000000001</f>
        <v>-3.02423214313783</v>
      </c>
      <c r="AG1690" s="55" t="n">
        <f aca="false">AE1690+ROW()*0.000000001</f>
        <v>44.9000199648538</v>
      </c>
    </row>
    <row r="1691" customFormat="false" ht="15" hidden="false" customHeight="false" outlineLevel="0" collapsed="false">
      <c r="A1691" s="0" t="n">
        <v>2</v>
      </c>
      <c r="B1691" s="0" t="n">
        <v>2</v>
      </c>
      <c r="C1691" s="0" t="n">
        <v>7</v>
      </c>
      <c r="D1691" s="0" t="n">
        <v>3</v>
      </c>
      <c r="E1691" s="0" t="n">
        <f aca="false">-1+A1691*0.25</f>
        <v>-0.5</v>
      </c>
      <c r="F1691" s="0" t="n">
        <f aca="false">-1+B1691*0.25</f>
        <v>-0.5</v>
      </c>
      <c r="G1691" s="0" t="n">
        <f aca="false">-1+C1691*0.25</f>
        <v>0.75</v>
      </c>
      <c r="H1691" s="0" t="n">
        <f aca="false">-1+D1691*0.25</f>
        <v>-0.25</v>
      </c>
      <c r="I1691" s="0" t="n">
        <f aca="false">1</f>
        <v>1</v>
      </c>
      <c r="J1691" s="0" t="n">
        <f aca="false">E1691</f>
        <v>-0.5</v>
      </c>
      <c r="K1691" s="0" t="n">
        <f aca="false">F1691</f>
        <v>-0.5</v>
      </c>
      <c r="L1691" s="0" t="n">
        <f aca="false">G1691</f>
        <v>0.75</v>
      </c>
      <c r="M1691" s="0" t="n">
        <f aca="false">H1691</f>
        <v>-0.25</v>
      </c>
      <c r="N1691" s="0" t="n">
        <f aca="false">E1691*F1691</f>
        <v>0.25</v>
      </c>
      <c r="O1691" s="0" t="n">
        <f aca="false">E1691*G1691</f>
        <v>-0.375</v>
      </c>
      <c r="P1691" s="0" t="n">
        <f aca="false">E1691*H1691</f>
        <v>0.125</v>
      </c>
      <c r="Q1691" s="0" t="n">
        <f aca="false">F1691*G1691</f>
        <v>-0.375</v>
      </c>
      <c r="R1691" s="0" t="n">
        <f aca="false">F1691*H1691</f>
        <v>0.125</v>
      </c>
      <c r="S1691" s="0" t="n">
        <f aca="false">G1691*H1691</f>
        <v>-0.1875</v>
      </c>
      <c r="T1691" s="0" t="n">
        <f aca="false">E1691*E1691</f>
        <v>0.25</v>
      </c>
      <c r="U1691" s="0" t="n">
        <f aca="false">F1691*F1691</f>
        <v>0.25</v>
      </c>
      <c r="V1691" s="0" t="n">
        <f aca="false">G1691*G1691</f>
        <v>0.5625</v>
      </c>
      <c r="W1691" s="0" t="n">
        <f aca="false">H1691*H1691</f>
        <v>0.0625</v>
      </c>
      <c r="X1691" s="0" t="n">
        <f aca="false">SUMPRODUCT(I1691:W1691,_XtX!$B$96:$P$96)</f>
        <v>45.1379614400584</v>
      </c>
      <c r="Y1691" s="0" t="n">
        <f aca="false">SUMPRODUCT(MMULT(I1691:W1691,_XtX!$B$78:$P$92),I1691:W1691)</f>
        <v>0.203746059484649</v>
      </c>
      <c r="Z1691" s="0" t="n">
        <f aca="false">04_回帰ANOVA!$K$19*04_回帰ANOVA!$K$14*SQRT(1+Y1691)</f>
        <v>1.43009810755465</v>
      </c>
      <c r="AA1691" s="0" t="n">
        <f aca="false">X1691-Z1691</f>
        <v>43.7078633325038</v>
      </c>
      <c r="AB1691" s="0" t="n">
        <f aca="false">X1691+Z1691</f>
        <v>46.5680595476131</v>
      </c>
      <c r="AC1691" s="54" t="b">
        <f aca="false">AND(E1691&gt;=01_因子設定!$L$5-0.000000001,E1691&lt;=01_因子設定!$M$5+0.000000001,F1691&gt;=01_因子設定!$L$6-0.000000001,F1691&lt;=01_因子設定!$M$6+0.000000001,G1691&gt;=01_因子設定!$L$7-0.000000001,G1691&lt;=01_因子設定!$M$7+0.000000001,H1691&gt;=01_因子設定!$L$8-0.000000001,H1691&lt;=01_因子設定!$M$8+0.000000001,IF(01_因子設定!$B$20="Box-Behnken",E1691^2+F1691^2+G1691^2+H1691^2&lt;=2+0.000000001,TRUE()))</f>
        <v>1</v>
      </c>
      <c r="AD1691" s="55" t="n">
        <f aca="false">IF(AC1691,IF(01_因子設定!$B$13="最大化",AA1691-01_因子設定!$B$14,IF(01_因子設定!$B$13="最小化",01_因子設定!$B$15-AB1691,MIN(AA1691-01_因子設定!$B$14,01_因子設定!$B$15-AB1691))),-1E+030)</f>
        <v>-2.79213666749621</v>
      </c>
      <c r="AE1691" s="55" t="n">
        <f aca="false">IF(AC1691,IF(01_因子設定!$B$13="最大化",X1691,IF(01_因子設定!$B$13="最小化",-X1691,-ABS(X1691-01_因子設定!$B$16))),-1E+030)</f>
        <v>45.1379614400584</v>
      </c>
      <c r="AF1691" s="55" t="n">
        <f aca="false">AD1691+ROW()*0.000000001</f>
        <v>-2.79213497649621</v>
      </c>
      <c r="AG1691" s="55" t="n">
        <f aca="false">AE1691+ROW()*0.000000001</f>
        <v>45.1379631310584</v>
      </c>
    </row>
    <row r="1692" customFormat="false" ht="15" hidden="false" customHeight="false" outlineLevel="0" collapsed="false">
      <c r="A1692" s="0" t="n">
        <v>2</v>
      </c>
      <c r="B1692" s="0" t="n">
        <v>2</v>
      </c>
      <c r="C1692" s="0" t="n">
        <v>7</v>
      </c>
      <c r="D1692" s="0" t="n">
        <v>4</v>
      </c>
      <c r="E1692" s="0" t="n">
        <f aca="false">-1+A1692*0.25</f>
        <v>-0.5</v>
      </c>
      <c r="F1692" s="0" t="n">
        <f aca="false">-1+B1692*0.25</f>
        <v>-0.5</v>
      </c>
      <c r="G1692" s="0" t="n">
        <f aca="false">-1+C1692*0.25</f>
        <v>0.75</v>
      </c>
      <c r="H1692" s="0" t="n">
        <f aca="false">-1+D1692*0.25</f>
        <v>0</v>
      </c>
      <c r="I1692" s="0" t="n">
        <f aca="false">1</f>
        <v>1</v>
      </c>
      <c r="J1692" s="0" t="n">
        <f aca="false">E1692</f>
        <v>-0.5</v>
      </c>
      <c r="K1692" s="0" t="n">
        <f aca="false">F1692</f>
        <v>-0.5</v>
      </c>
      <c r="L1692" s="0" t="n">
        <f aca="false">G1692</f>
        <v>0.75</v>
      </c>
      <c r="M1692" s="0" t="n">
        <f aca="false">H1692</f>
        <v>0</v>
      </c>
      <c r="N1692" s="0" t="n">
        <f aca="false">E1692*F1692</f>
        <v>0.25</v>
      </c>
      <c r="O1692" s="0" t="n">
        <f aca="false">E1692*G1692</f>
        <v>-0.375</v>
      </c>
      <c r="P1692" s="0" t="n">
        <f aca="false">E1692*H1692</f>
        <v>-0</v>
      </c>
      <c r="Q1692" s="0" t="n">
        <f aca="false">F1692*G1692</f>
        <v>-0.375</v>
      </c>
      <c r="R1692" s="0" t="n">
        <f aca="false">F1692*H1692</f>
        <v>-0</v>
      </c>
      <c r="S1692" s="0" t="n">
        <f aca="false">G1692*H1692</f>
        <v>0</v>
      </c>
      <c r="T1692" s="0" t="n">
        <f aca="false">E1692*E1692</f>
        <v>0.25</v>
      </c>
      <c r="U1692" s="0" t="n">
        <f aca="false">F1692*F1692</f>
        <v>0.25</v>
      </c>
      <c r="V1692" s="0" t="n">
        <f aca="false">G1692*G1692</f>
        <v>0.5625</v>
      </c>
      <c r="W1692" s="0" t="n">
        <f aca="false">H1692*H1692</f>
        <v>0</v>
      </c>
      <c r="X1692" s="0" t="n">
        <f aca="false">SUMPRODUCT(I1692:W1692,_XtX!$B$96:$P$96)</f>
        <v>45.3280975877193</v>
      </c>
      <c r="Y1692" s="0" t="n">
        <f aca="false">SUMPRODUCT(MMULT(I1692:W1692,_XtX!$B$78:$P$92),I1692:W1692)</f>
        <v>0.21305052997076</v>
      </c>
      <c r="Z1692" s="0" t="n">
        <f aca="false">04_回帰ANOVA!$K$19*04_回帰ANOVA!$K$14*SQRT(1+Y1692)</f>
        <v>1.43561450835061</v>
      </c>
      <c r="AA1692" s="0" t="n">
        <f aca="false">X1692-Z1692</f>
        <v>43.8924830793687</v>
      </c>
      <c r="AB1692" s="0" t="n">
        <f aca="false">X1692+Z1692</f>
        <v>46.7637120960699</v>
      </c>
      <c r="AC1692" s="54" t="b">
        <f aca="false">AND(E1692&gt;=01_因子設定!$L$5-0.000000001,E1692&lt;=01_因子設定!$M$5+0.000000001,F1692&gt;=01_因子設定!$L$6-0.000000001,F1692&lt;=01_因子設定!$M$6+0.000000001,G1692&gt;=01_因子設定!$L$7-0.000000001,G1692&lt;=01_因子設定!$M$7+0.000000001,H1692&gt;=01_因子設定!$L$8-0.000000001,H1692&lt;=01_因子設定!$M$8+0.000000001,IF(01_因子設定!$B$20="Box-Behnken",E1692^2+F1692^2+G1692^2+H1692^2&lt;=2+0.000000001,TRUE()))</f>
        <v>1</v>
      </c>
      <c r="AD1692" s="55" t="n">
        <f aca="false">IF(AC1692,IF(01_因子設定!$B$13="最大化",AA1692-01_因子設定!$B$14,IF(01_因子設定!$B$13="最小化",01_因子設定!$B$15-AB1692,MIN(AA1692-01_因子設定!$B$14,01_因子設定!$B$15-AB1692))),-1E+030)</f>
        <v>-2.60751692063135</v>
      </c>
      <c r="AE1692" s="55" t="n">
        <f aca="false">IF(AC1692,IF(01_因子設定!$B$13="最大化",X1692,IF(01_因子設定!$B$13="最小化",-X1692,-ABS(X1692-01_因子設定!$B$16))),-1E+030)</f>
        <v>45.3280975877193</v>
      </c>
      <c r="AF1692" s="55" t="n">
        <f aca="false">AD1692+ROW()*0.000000001</f>
        <v>-2.60751522863135</v>
      </c>
      <c r="AG1692" s="55" t="n">
        <f aca="false">AE1692+ROW()*0.000000001</f>
        <v>45.3280992797193</v>
      </c>
    </row>
    <row r="1693" customFormat="false" ht="15" hidden="false" customHeight="false" outlineLevel="0" collapsed="false">
      <c r="A1693" s="0" t="n">
        <v>2</v>
      </c>
      <c r="B1693" s="0" t="n">
        <v>2</v>
      </c>
      <c r="C1693" s="0" t="n">
        <v>7</v>
      </c>
      <c r="D1693" s="0" t="n">
        <v>5</v>
      </c>
      <c r="E1693" s="0" t="n">
        <f aca="false">-1+A1693*0.25</f>
        <v>-0.5</v>
      </c>
      <c r="F1693" s="0" t="n">
        <f aca="false">-1+B1693*0.25</f>
        <v>-0.5</v>
      </c>
      <c r="G1693" s="0" t="n">
        <f aca="false">-1+C1693*0.25</f>
        <v>0.75</v>
      </c>
      <c r="H1693" s="0" t="n">
        <f aca="false">-1+D1693*0.25</f>
        <v>0.25</v>
      </c>
      <c r="I1693" s="0" t="n">
        <f aca="false">1</f>
        <v>1</v>
      </c>
      <c r="J1693" s="0" t="n">
        <f aca="false">E1693</f>
        <v>-0.5</v>
      </c>
      <c r="K1693" s="0" t="n">
        <f aca="false">F1693</f>
        <v>-0.5</v>
      </c>
      <c r="L1693" s="0" t="n">
        <f aca="false">G1693</f>
        <v>0.75</v>
      </c>
      <c r="M1693" s="0" t="n">
        <f aca="false">H1693</f>
        <v>0.25</v>
      </c>
      <c r="N1693" s="0" t="n">
        <f aca="false">E1693*F1693</f>
        <v>0.25</v>
      </c>
      <c r="O1693" s="0" t="n">
        <f aca="false">E1693*G1693</f>
        <v>-0.375</v>
      </c>
      <c r="P1693" s="0" t="n">
        <f aca="false">E1693*H1693</f>
        <v>-0.125</v>
      </c>
      <c r="Q1693" s="0" t="n">
        <f aca="false">F1693*G1693</f>
        <v>-0.375</v>
      </c>
      <c r="R1693" s="0" t="n">
        <f aca="false">F1693*H1693</f>
        <v>-0.125</v>
      </c>
      <c r="S1693" s="0" t="n">
        <f aca="false">G1693*H1693</f>
        <v>0.1875</v>
      </c>
      <c r="T1693" s="0" t="n">
        <f aca="false">E1693*E1693</f>
        <v>0.25</v>
      </c>
      <c r="U1693" s="0" t="n">
        <f aca="false">F1693*F1693</f>
        <v>0.25</v>
      </c>
      <c r="V1693" s="0" t="n">
        <f aca="false">G1693*G1693</f>
        <v>0.5625</v>
      </c>
      <c r="W1693" s="0" t="n">
        <f aca="false">H1693*H1693</f>
        <v>0.0625</v>
      </c>
      <c r="X1693" s="0" t="n">
        <f aca="false">SUMPRODUCT(I1693:W1693,_XtX!$B$96:$P$96)</f>
        <v>45.4704267178362</v>
      </c>
      <c r="Y1693" s="0" t="n">
        <f aca="false">SUMPRODUCT(MMULT(I1693:W1693,_XtX!$B$78:$P$92),I1693:W1693)</f>
        <v>0.203746059484649</v>
      </c>
      <c r="Z1693" s="0" t="n">
        <f aca="false">04_回帰ANOVA!$K$19*04_回帰ANOVA!$K$14*SQRT(1+Y1693)</f>
        <v>1.43009810755465</v>
      </c>
      <c r="AA1693" s="0" t="n">
        <f aca="false">X1693-Z1693</f>
        <v>44.0403286102816</v>
      </c>
      <c r="AB1693" s="0" t="n">
        <f aca="false">X1693+Z1693</f>
        <v>46.9005248253909</v>
      </c>
      <c r="AC1693" s="54" t="b">
        <f aca="false">AND(E1693&gt;=01_因子設定!$L$5-0.000000001,E1693&lt;=01_因子設定!$M$5+0.000000001,F1693&gt;=01_因子設定!$L$6-0.000000001,F1693&lt;=01_因子設定!$M$6+0.000000001,G1693&gt;=01_因子設定!$L$7-0.000000001,G1693&lt;=01_因子設定!$M$7+0.000000001,H1693&gt;=01_因子設定!$L$8-0.000000001,H1693&lt;=01_因子設定!$M$8+0.000000001,IF(01_因子設定!$B$20="Box-Behnken",E1693^2+F1693^2+G1693^2+H1693^2&lt;=2+0.000000001,TRUE()))</f>
        <v>1</v>
      </c>
      <c r="AD1693" s="55" t="n">
        <f aca="false">IF(AC1693,IF(01_因子設定!$B$13="最大化",AA1693-01_因子設定!$B$14,IF(01_因子設定!$B$13="最小化",01_因子設定!$B$15-AB1693,MIN(AA1693-01_因子設定!$B$14,01_因子設定!$B$15-AB1693))),-1E+030)</f>
        <v>-2.45967138971843</v>
      </c>
      <c r="AE1693" s="55" t="n">
        <f aca="false">IF(AC1693,IF(01_因子設定!$B$13="最大化",X1693,IF(01_因子設定!$B$13="最小化",-X1693,-ABS(X1693-01_因子設定!$B$16))),-1E+030)</f>
        <v>45.4704267178362</v>
      </c>
      <c r="AF1693" s="55" t="n">
        <f aca="false">AD1693+ROW()*0.000000001</f>
        <v>-2.45966969671843</v>
      </c>
      <c r="AG1693" s="55" t="n">
        <f aca="false">AE1693+ROW()*0.000000001</f>
        <v>45.4704284108362</v>
      </c>
    </row>
    <row r="1694" customFormat="false" ht="15" hidden="false" customHeight="false" outlineLevel="0" collapsed="false">
      <c r="A1694" s="0" t="n">
        <v>2</v>
      </c>
      <c r="B1694" s="0" t="n">
        <v>2</v>
      </c>
      <c r="C1694" s="0" t="n">
        <v>7</v>
      </c>
      <c r="D1694" s="0" t="n">
        <v>6</v>
      </c>
      <c r="E1694" s="0" t="n">
        <f aca="false">-1+A1694*0.25</f>
        <v>-0.5</v>
      </c>
      <c r="F1694" s="0" t="n">
        <f aca="false">-1+B1694*0.25</f>
        <v>-0.5</v>
      </c>
      <c r="G1694" s="0" t="n">
        <f aca="false">-1+C1694*0.25</f>
        <v>0.75</v>
      </c>
      <c r="H1694" s="0" t="n">
        <f aca="false">-1+D1694*0.25</f>
        <v>0.5</v>
      </c>
      <c r="I1694" s="0" t="n">
        <f aca="false">1</f>
        <v>1</v>
      </c>
      <c r="J1694" s="0" t="n">
        <f aca="false">E1694</f>
        <v>-0.5</v>
      </c>
      <c r="K1694" s="0" t="n">
        <f aca="false">F1694</f>
        <v>-0.5</v>
      </c>
      <c r="L1694" s="0" t="n">
        <f aca="false">G1694</f>
        <v>0.75</v>
      </c>
      <c r="M1694" s="0" t="n">
        <f aca="false">H1694</f>
        <v>0.5</v>
      </c>
      <c r="N1694" s="0" t="n">
        <f aca="false">E1694*F1694</f>
        <v>0.25</v>
      </c>
      <c r="O1694" s="0" t="n">
        <f aca="false">E1694*G1694</f>
        <v>-0.375</v>
      </c>
      <c r="P1694" s="0" t="n">
        <f aca="false">E1694*H1694</f>
        <v>-0.25</v>
      </c>
      <c r="Q1694" s="0" t="n">
        <f aca="false">F1694*G1694</f>
        <v>-0.375</v>
      </c>
      <c r="R1694" s="0" t="n">
        <f aca="false">F1694*H1694</f>
        <v>-0.25</v>
      </c>
      <c r="S1694" s="0" t="n">
        <f aca="false">G1694*H1694</f>
        <v>0.375</v>
      </c>
      <c r="T1694" s="0" t="n">
        <f aca="false">E1694*E1694</f>
        <v>0.25</v>
      </c>
      <c r="U1694" s="0" t="n">
        <f aca="false">F1694*F1694</f>
        <v>0.25</v>
      </c>
      <c r="V1694" s="0" t="n">
        <f aca="false">G1694*G1694</f>
        <v>0.5625</v>
      </c>
      <c r="W1694" s="0" t="n">
        <f aca="false">H1694*H1694</f>
        <v>0.25</v>
      </c>
      <c r="X1694" s="0" t="n">
        <f aca="false">SUMPRODUCT(I1694:W1694,_XtX!$B$96:$P$96)</f>
        <v>45.5649488304093</v>
      </c>
      <c r="Y1694" s="0" t="n">
        <f aca="false">SUMPRODUCT(MMULT(I1694:W1694,_XtX!$B$78:$P$92),I1694:W1694)</f>
        <v>0.193924753289474</v>
      </c>
      <c r="Z1694" s="0" t="n">
        <f aca="false">04_回帰ANOVA!$K$19*04_回帰ANOVA!$K$14*SQRT(1+Y1694)</f>
        <v>1.4242521079916</v>
      </c>
      <c r="AA1694" s="0" t="n">
        <f aca="false">X1694-Z1694</f>
        <v>44.1406967224177</v>
      </c>
      <c r="AB1694" s="0" t="n">
        <f aca="false">X1694+Z1694</f>
        <v>46.9892009384009</v>
      </c>
      <c r="AC1694" s="54" t="b">
        <f aca="false">AND(E1694&gt;=01_因子設定!$L$5-0.000000001,E1694&lt;=01_因子設定!$M$5+0.000000001,F1694&gt;=01_因子設定!$L$6-0.000000001,F1694&lt;=01_因子設定!$M$6+0.000000001,G1694&gt;=01_因子設定!$L$7-0.000000001,G1694&lt;=01_因子設定!$M$7+0.000000001,H1694&gt;=01_因子設定!$L$8-0.000000001,H1694&lt;=01_因子設定!$M$8+0.000000001,IF(01_因子設定!$B$20="Box-Behnken",E1694^2+F1694^2+G1694^2+H1694^2&lt;=2+0.000000001,TRUE()))</f>
        <v>1</v>
      </c>
      <c r="AD1694" s="55" t="n">
        <f aca="false">IF(AC1694,IF(01_因子設定!$B$13="最大化",AA1694-01_因子設定!$B$14,IF(01_因子設定!$B$13="最小化",01_因子設定!$B$15-AB1694,MIN(AA1694-01_因子設定!$B$14,01_因子設定!$B$15-AB1694))),-1E+030)</f>
        <v>-2.35930327758227</v>
      </c>
      <c r="AE1694" s="55" t="n">
        <f aca="false">IF(AC1694,IF(01_因子設定!$B$13="最大化",X1694,IF(01_因子設定!$B$13="最小化",-X1694,-ABS(X1694-01_因子設定!$B$16))),-1E+030)</f>
        <v>45.5649488304093</v>
      </c>
      <c r="AF1694" s="55" t="n">
        <f aca="false">AD1694+ROW()*0.000000001</f>
        <v>-2.35930158358227</v>
      </c>
      <c r="AG1694" s="55" t="n">
        <f aca="false">AE1694+ROW()*0.000000001</f>
        <v>45.5649505244093</v>
      </c>
    </row>
    <row r="1695" customFormat="false" ht="15" hidden="false" customHeight="false" outlineLevel="0" collapsed="false">
      <c r="A1695" s="0" t="n">
        <v>2</v>
      </c>
      <c r="B1695" s="0" t="n">
        <v>2</v>
      </c>
      <c r="C1695" s="0" t="n">
        <v>7</v>
      </c>
      <c r="D1695" s="0" t="n">
        <v>7</v>
      </c>
      <c r="E1695" s="0" t="n">
        <f aca="false">-1+A1695*0.25</f>
        <v>-0.5</v>
      </c>
      <c r="F1695" s="0" t="n">
        <f aca="false">-1+B1695*0.25</f>
        <v>-0.5</v>
      </c>
      <c r="G1695" s="0" t="n">
        <f aca="false">-1+C1695*0.25</f>
        <v>0.75</v>
      </c>
      <c r="H1695" s="0" t="n">
        <f aca="false">-1+D1695*0.25</f>
        <v>0.75</v>
      </c>
      <c r="I1695" s="0" t="n">
        <f aca="false">1</f>
        <v>1</v>
      </c>
      <c r="J1695" s="0" t="n">
        <f aca="false">E1695</f>
        <v>-0.5</v>
      </c>
      <c r="K1695" s="0" t="n">
        <f aca="false">F1695</f>
        <v>-0.5</v>
      </c>
      <c r="L1695" s="0" t="n">
        <f aca="false">G1695</f>
        <v>0.75</v>
      </c>
      <c r="M1695" s="0" t="n">
        <f aca="false">H1695</f>
        <v>0.75</v>
      </c>
      <c r="N1695" s="0" t="n">
        <f aca="false">E1695*F1695</f>
        <v>0.25</v>
      </c>
      <c r="O1695" s="0" t="n">
        <f aca="false">E1695*G1695</f>
        <v>-0.375</v>
      </c>
      <c r="P1695" s="0" t="n">
        <f aca="false">E1695*H1695</f>
        <v>-0.375</v>
      </c>
      <c r="Q1695" s="0" t="n">
        <f aca="false">F1695*G1695</f>
        <v>-0.375</v>
      </c>
      <c r="R1695" s="0" t="n">
        <f aca="false">F1695*H1695</f>
        <v>-0.375</v>
      </c>
      <c r="S1695" s="0" t="n">
        <f aca="false">G1695*H1695</f>
        <v>0.5625</v>
      </c>
      <c r="T1695" s="0" t="n">
        <f aca="false">E1695*E1695</f>
        <v>0.25</v>
      </c>
      <c r="U1695" s="0" t="n">
        <f aca="false">F1695*F1695</f>
        <v>0.25</v>
      </c>
      <c r="V1695" s="0" t="n">
        <f aca="false">G1695*G1695</f>
        <v>0.5625</v>
      </c>
      <c r="W1695" s="0" t="n">
        <f aca="false">H1695*H1695</f>
        <v>0.5625</v>
      </c>
      <c r="X1695" s="0" t="n">
        <f aca="false">SUMPRODUCT(I1695:W1695,_XtX!$B$96:$P$96)</f>
        <v>45.6116639254386</v>
      </c>
      <c r="Y1695" s="0" t="n">
        <f aca="false">SUMPRODUCT(MMULT(I1695:W1695,_XtX!$B$78:$P$92),I1695:W1695)</f>
        <v>0.237862927174708</v>
      </c>
      <c r="Z1695" s="0" t="n">
        <f aca="false">04_回帰ANOVA!$K$19*04_回帰ANOVA!$K$14*SQRT(1+Y1695)</f>
        <v>1.45022260708756</v>
      </c>
      <c r="AA1695" s="0" t="n">
        <f aca="false">X1695-Z1695</f>
        <v>44.161441318351</v>
      </c>
      <c r="AB1695" s="0" t="n">
        <f aca="false">X1695+Z1695</f>
        <v>47.0618865325261</v>
      </c>
      <c r="AC1695" s="54" t="b">
        <f aca="false">AND(E1695&gt;=01_因子設定!$L$5-0.000000001,E1695&lt;=01_因子設定!$M$5+0.000000001,F1695&gt;=01_因子設定!$L$6-0.000000001,F1695&lt;=01_因子設定!$M$6+0.000000001,G1695&gt;=01_因子設定!$L$7-0.000000001,G1695&lt;=01_因子設定!$M$7+0.000000001,H1695&gt;=01_因子設定!$L$8-0.000000001,H1695&lt;=01_因子設定!$M$8+0.000000001,IF(01_因子設定!$B$20="Box-Behnken",E1695^2+F1695^2+G1695^2+H1695^2&lt;=2+0.000000001,TRUE()))</f>
        <v>1</v>
      </c>
      <c r="AD1695" s="55" t="n">
        <f aca="false">IF(AC1695,IF(01_因子設定!$B$13="最大化",AA1695-01_因子設定!$B$14,IF(01_因子設定!$B$13="最小化",01_因子設定!$B$15-AB1695,MIN(AA1695-01_因子設定!$B$14,01_因子設定!$B$15-AB1695))),-1E+030)</f>
        <v>-2.33855868164898</v>
      </c>
      <c r="AE1695" s="55" t="n">
        <f aca="false">IF(AC1695,IF(01_因子設定!$B$13="最大化",X1695,IF(01_因子設定!$B$13="最小化",-X1695,-ABS(X1695-01_因子設定!$B$16))),-1E+030)</f>
        <v>45.6116639254386</v>
      </c>
      <c r="AF1695" s="55" t="n">
        <f aca="false">AD1695+ROW()*0.000000001</f>
        <v>-2.33855698664898</v>
      </c>
      <c r="AG1695" s="55" t="n">
        <f aca="false">AE1695+ROW()*0.000000001</f>
        <v>45.6116656204386</v>
      </c>
    </row>
    <row r="1696" customFormat="false" ht="15" hidden="false" customHeight="false" outlineLevel="0" collapsed="false">
      <c r="A1696" s="0" t="n">
        <v>2</v>
      </c>
      <c r="B1696" s="0" t="n">
        <v>2</v>
      </c>
      <c r="C1696" s="0" t="n">
        <v>7</v>
      </c>
      <c r="D1696" s="0" t="n">
        <v>8</v>
      </c>
      <c r="E1696" s="0" t="n">
        <f aca="false">-1+A1696*0.25</f>
        <v>-0.5</v>
      </c>
      <c r="F1696" s="0" t="n">
        <f aca="false">-1+B1696*0.25</f>
        <v>-0.5</v>
      </c>
      <c r="G1696" s="0" t="n">
        <f aca="false">-1+C1696*0.25</f>
        <v>0.75</v>
      </c>
      <c r="H1696" s="0" t="n">
        <f aca="false">-1+D1696*0.25</f>
        <v>1</v>
      </c>
      <c r="I1696" s="0" t="n">
        <f aca="false">1</f>
        <v>1</v>
      </c>
      <c r="J1696" s="0" t="n">
        <f aca="false">E1696</f>
        <v>-0.5</v>
      </c>
      <c r="K1696" s="0" t="n">
        <f aca="false">F1696</f>
        <v>-0.5</v>
      </c>
      <c r="L1696" s="0" t="n">
        <f aca="false">G1696</f>
        <v>0.75</v>
      </c>
      <c r="M1696" s="0" t="n">
        <f aca="false">H1696</f>
        <v>1</v>
      </c>
      <c r="N1696" s="0" t="n">
        <f aca="false">E1696*F1696</f>
        <v>0.25</v>
      </c>
      <c r="O1696" s="0" t="n">
        <f aca="false">E1696*G1696</f>
        <v>-0.375</v>
      </c>
      <c r="P1696" s="0" t="n">
        <f aca="false">E1696*H1696</f>
        <v>-0.5</v>
      </c>
      <c r="Q1696" s="0" t="n">
        <f aca="false">F1696*G1696</f>
        <v>-0.375</v>
      </c>
      <c r="R1696" s="0" t="n">
        <f aca="false">F1696*H1696</f>
        <v>-0.5</v>
      </c>
      <c r="S1696" s="0" t="n">
        <f aca="false">G1696*H1696</f>
        <v>0.75</v>
      </c>
      <c r="T1696" s="0" t="n">
        <f aca="false">E1696*E1696</f>
        <v>0.25</v>
      </c>
      <c r="U1696" s="0" t="n">
        <f aca="false">F1696*F1696</f>
        <v>0.25</v>
      </c>
      <c r="V1696" s="0" t="n">
        <f aca="false">G1696*G1696</f>
        <v>0.5625</v>
      </c>
      <c r="W1696" s="0" t="n">
        <f aca="false">H1696*H1696</f>
        <v>1</v>
      </c>
      <c r="X1696" s="0" t="n">
        <f aca="false">SUMPRODUCT(I1696:W1696,_XtX!$B$96:$P$96)</f>
        <v>45.610572002924</v>
      </c>
      <c r="Y1696" s="0" t="n">
        <f aca="false">SUMPRODUCT(MMULT(I1696:W1696,_XtX!$B$78:$P$92),I1696:W1696)</f>
        <v>0.42602110745614</v>
      </c>
      <c r="Z1696" s="0" t="n">
        <f aca="false">04_回帰ANOVA!$K$19*04_回帰ANOVA!$K$14*SQRT(1+Y1696)</f>
        <v>1.55654388501114</v>
      </c>
      <c r="AA1696" s="0" t="n">
        <f aca="false">X1696-Z1696</f>
        <v>44.0540281179128</v>
      </c>
      <c r="AB1696" s="0" t="n">
        <f aca="false">X1696+Z1696</f>
        <v>47.1671158879351</v>
      </c>
      <c r="AC1696" s="54" t="b">
        <f aca="false">AND(E1696&gt;=01_因子設定!$L$5-0.000000001,E1696&lt;=01_因子設定!$M$5+0.000000001,F1696&gt;=01_因子設定!$L$6-0.000000001,F1696&lt;=01_因子設定!$M$6+0.000000001,G1696&gt;=01_因子設定!$L$7-0.000000001,G1696&lt;=01_因子設定!$M$7+0.000000001,H1696&gt;=01_因子設定!$L$8-0.000000001,H1696&lt;=01_因子設定!$M$8+0.000000001,IF(01_因子設定!$B$20="Box-Behnken",E1696^2+F1696^2+G1696^2+H1696^2&lt;=2+0.000000001,TRUE()))</f>
        <v>1</v>
      </c>
      <c r="AD1696" s="55" t="n">
        <f aca="false">IF(AC1696,IF(01_因子設定!$B$13="最大化",AA1696-01_因子設定!$B$14,IF(01_因子設定!$B$13="最小化",01_因子設定!$B$15-AB1696,MIN(AA1696-01_因子設定!$B$14,01_因子設定!$B$15-AB1696))),-1E+030)</f>
        <v>-2.44597188208716</v>
      </c>
      <c r="AE1696" s="55" t="n">
        <f aca="false">IF(AC1696,IF(01_因子設定!$B$13="最大化",X1696,IF(01_因子設定!$B$13="最小化",-X1696,-ABS(X1696-01_因子設定!$B$16))),-1E+030)</f>
        <v>45.610572002924</v>
      </c>
      <c r="AF1696" s="55" t="n">
        <f aca="false">AD1696+ROW()*0.000000001</f>
        <v>-2.44597018608716</v>
      </c>
      <c r="AG1696" s="55" t="n">
        <f aca="false">AE1696+ROW()*0.000000001</f>
        <v>45.610573698924</v>
      </c>
    </row>
    <row r="1697" customFormat="false" ht="15" hidden="false" customHeight="false" outlineLevel="0" collapsed="false">
      <c r="A1697" s="0" t="n">
        <v>2</v>
      </c>
      <c r="B1697" s="0" t="n">
        <v>2</v>
      </c>
      <c r="C1697" s="0" t="n">
        <v>8</v>
      </c>
      <c r="D1697" s="0" t="n">
        <v>0</v>
      </c>
      <c r="E1697" s="0" t="n">
        <f aca="false">-1+A1697*0.25</f>
        <v>-0.5</v>
      </c>
      <c r="F1697" s="0" t="n">
        <f aca="false">-1+B1697*0.25</f>
        <v>-0.5</v>
      </c>
      <c r="G1697" s="0" t="n">
        <f aca="false">-1+C1697*0.25</f>
        <v>1</v>
      </c>
      <c r="H1697" s="0" t="n">
        <f aca="false">-1+D1697*0.25</f>
        <v>-1</v>
      </c>
      <c r="I1697" s="0" t="n">
        <f aca="false">1</f>
        <v>1</v>
      </c>
      <c r="J1697" s="0" t="n">
        <f aca="false">E1697</f>
        <v>-0.5</v>
      </c>
      <c r="K1697" s="0" t="n">
        <f aca="false">F1697</f>
        <v>-0.5</v>
      </c>
      <c r="L1697" s="0" t="n">
        <f aca="false">G1697</f>
        <v>1</v>
      </c>
      <c r="M1697" s="0" t="n">
        <f aca="false">H1697</f>
        <v>-1</v>
      </c>
      <c r="N1697" s="0" t="n">
        <f aca="false">E1697*F1697</f>
        <v>0.25</v>
      </c>
      <c r="O1697" s="0" t="n">
        <f aca="false">E1697*G1697</f>
        <v>-0.5</v>
      </c>
      <c r="P1697" s="0" t="n">
        <f aca="false">E1697*H1697</f>
        <v>0.5</v>
      </c>
      <c r="Q1697" s="0" t="n">
        <f aca="false">F1697*G1697</f>
        <v>-0.5</v>
      </c>
      <c r="R1697" s="0" t="n">
        <f aca="false">F1697*H1697</f>
        <v>0.5</v>
      </c>
      <c r="S1697" s="0" t="n">
        <f aca="false">G1697*H1697</f>
        <v>-1</v>
      </c>
      <c r="T1697" s="0" t="n">
        <f aca="false">E1697*E1697</f>
        <v>0.25</v>
      </c>
      <c r="U1697" s="0" t="n">
        <f aca="false">F1697*F1697</f>
        <v>0.25</v>
      </c>
      <c r="V1697" s="0" t="n">
        <f aca="false">G1697*G1697</f>
        <v>1</v>
      </c>
      <c r="W1697" s="0" t="n">
        <f aca="false">H1697*H1697</f>
        <v>1</v>
      </c>
      <c r="X1697" s="0" t="n">
        <f aca="false">SUMPRODUCT(I1697:W1697,_XtX!$B$96:$P$96)</f>
        <v>44.1982821637427</v>
      </c>
      <c r="Y1697" s="0" t="n">
        <f aca="false">SUMPRODUCT(MMULT(I1697:W1697,_XtX!$B$78:$P$92),I1697:W1697)</f>
        <v>0.582488121345029</v>
      </c>
      <c r="Z1697" s="0" t="n">
        <f aca="false">04_回帰ANOVA!$K$19*04_回帰ANOVA!$K$14*SQRT(1+Y1697)</f>
        <v>1.63971595338287</v>
      </c>
      <c r="AA1697" s="0" t="n">
        <f aca="false">X1697-Z1697</f>
        <v>42.5585662103598</v>
      </c>
      <c r="AB1697" s="0" t="n">
        <f aca="false">X1697+Z1697</f>
        <v>45.8379981171256</v>
      </c>
      <c r="AC1697" s="54" t="b">
        <f aca="false">AND(E1697&gt;=01_因子設定!$L$5-0.000000001,E1697&lt;=01_因子設定!$M$5+0.000000001,F1697&gt;=01_因子設定!$L$6-0.000000001,F1697&lt;=01_因子設定!$M$6+0.000000001,G1697&gt;=01_因子設定!$L$7-0.000000001,G1697&lt;=01_因子設定!$M$7+0.000000001,H1697&gt;=01_因子設定!$L$8-0.000000001,H1697&lt;=01_因子設定!$M$8+0.000000001,IF(01_因子設定!$B$20="Box-Behnken",E1697^2+F1697^2+G1697^2+H1697^2&lt;=2+0.000000001,TRUE()))</f>
        <v>1</v>
      </c>
      <c r="AD1697" s="55" t="n">
        <f aca="false">IF(AC1697,IF(01_因子設定!$B$13="最大化",AA1697-01_因子設定!$B$14,IF(01_因子設定!$B$13="最小化",01_因子設定!$B$15-AB1697,MIN(AA1697-01_因子設定!$B$14,01_因子設定!$B$15-AB1697))),-1E+030)</f>
        <v>-3.94143378964018</v>
      </c>
      <c r="AE1697" s="55" t="n">
        <f aca="false">IF(AC1697,IF(01_因子設定!$B$13="最大化",X1697,IF(01_因子設定!$B$13="最小化",-X1697,-ABS(X1697-01_因子設定!$B$16))),-1E+030)</f>
        <v>44.1982821637427</v>
      </c>
      <c r="AF1697" s="55" t="n">
        <f aca="false">AD1697+ROW()*0.000000001</f>
        <v>-3.94143209264018</v>
      </c>
      <c r="AG1697" s="55" t="n">
        <f aca="false">AE1697+ROW()*0.000000001</f>
        <v>44.1982838607427</v>
      </c>
    </row>
    <row r="1698" customFormat="false" ht="15" hidden="false" customHeight="false" outlineLevel="0" collapsed="false">
      <c r="A1698" s="0" t="n">
        <v>2</v>
      </c>
      <c r="B1698" s="0" t="n">
        <v>2</v>
      </c>
      <c r="C1698" s="0" t="n">
        <v>8</v>
      </c>
      <c r="D1698" s="0" t="n">
        <v>1</v>
      </c>
      <c r="E1698" s="0" t="n">
        <f aca="false">-1+A1698*0.25</f>
        <v>-0.5</v>
      </c>
      <c r="F1698" s="0" t="n">
        <f aca="false">-1+B1698*0.25</f>
        <v>-0.5</v>
      </c>
      <c r="G1698" s="0" t="n">
        <f aca="false">-1+C1698*0.25</f>
        <v>1</v>
      </c>
      <c r="H1698" s="0" t="n">
        <f aca="false">-1+D1698*0.25</f>
        <v>-0.75</v>
      </c>
      <c r="I1698" s="0" t="n">
        <f aca="false">1</f>
        <v>1</v>
      </c>
      <c r="J1698" s="0" t="n">
        <f aca="false">E1698</f>
        <v>-0.5</v>
      </c>
      <c r="K1698" s="0" t="n">
        <f aca="false">F1698</f>
        <v>-0.5</v>
      </c>
      <c r="L1698" s="0" t="n">
        <f aca="false">G1698</f>
        <v>1</v>
      </c>
      <c r="M1698" s="0" t="n">
        <f aca="false">H1698</f>
        <v>-0.75</v>
      </c>
      <c r="N1698" s="0" t="n">
        <f aca="false">E1698*F1698</f>
        <v>0.25</v>
      </c>
      <c r="O1698" s="0" t="n">
        <f aca="false">E1698*G1698</f>
        <v>-0.5</v>
      </c>
      <c r="P1698" s="0" t="n">
        <f aca="false">E1698*H1698</f>
        <v>0.375</v>
      </c>
      <c r="Q1698" s="0" t="n">
        <f aca="false">F1698*G1698</f>
        <v>-0.5</v>
      </c>
      <c r="R1698" s="0" t="n">
        <f aca="false">F1698*H1698</f>
        <v>0.375</v>
      </c>
      <c r="S1698" s="0" t="n">
        <f aca="false">G1698*H1698</f>
        <v>-0.75</v>
      </c>
      <c r="T1698" s="0" t="n">
        <f aca="false">E1698*E1698</f>
        <v>0.25</v>
      </c>
      <c r="U1698" s="0" t="n">
        <f aca="false">F1698*F1698</f>
        <v>0.25</v>
      </c>
      <c r="V1698" s="0" t="n">
        <f aca="false">G1698*G1698</f>
        <v>1</v>
      </c>
      <c r="W1698" s="0" t="n">
        <f aca="false">H1698*H1698</f>
        <v>0.5625</v>
      </c>
      <c r="X1698" s="0" t="n">
        <f aca="false">SUMPRODUCT(I1698:W1698,_XtX!$B$96:$P$96)</f>
        <v>44.5498081140351</v>
      </c>
      <c r="Y1698" s="0" t="n">
        <f aca="false">SUMPRODUCT(MMULT(I1698:W1698,_XtX!$B$78:$P$92),I1698:W1698)</f>
        <v>0.42602110745614</v>
      </c>
      <c r="Z1698" s="0" t="n">
        <f aca="false">04_回帰ANOVA!$K$19*04_回帰ANOVA!$K$14*SQRT(1+Y1698)</f>
        <v>1.55654388501114</v>
      </c>
      <c r="AA1698" s="0" t="n">
        <f aca="false">X1698-Z1698</f>
        <v>42.9932642290239</v>
      </c>
      <c r="AB1698" s="0" t="n">
        <f aca="false">X1698+Z1698</f>
        <v>46.1063519990462</v>
      </c>
      <c r="AC1698" s="54" t="b">
        <f aca="false">AND(E1698&gt;=01_因子設定!$L$5-0.000000001,E1698&lt;=01_因子設定!$M$5+0.000000001,F1698&gt;=01_因子設定!$L$6-0.000000001,F1698&lt;=01_因子設定!$M$6+0.000000001,G1698&gt;=01_因子設定!$L$7-0.000000001,G1698&lt;=01_因子設定!$M$7+0.000000001,H1698&gt;=01_因子設定!$L$8-0.000000001,H1698&lt;=01_因子設定!$M$8+0.000000001,IF(01_因子設定!$B$20="Box-Behnken",E1698^2+F1698^2+G1698^2+H1698^2&lt;=2+0.000000001,TRUE()))</f>
        <v>1</v>
      </c>
      <c r="AD1698" s="55" t="n">
        <f aca="false">IF(AC1698,IF(01_因子設定!$B$13="最大化",AA1698-01_因子設定!$B$14,IF(01_因子設定!$B$13="最小化",01_因子設定!$B$15-AB1698,MIN(AA1698-01_因子設定!$B$14,01_因子設定!$B$15-AB1698))),-1E+030)</f>
        <v>-3.50673577097606</v>
      </c>
      <c r="AE1698" s="55" t="n">
        <f aca="false">IF(AC1698,IF(01_因子設定!$B$13="最大化",X1698,IF(01_因子設定!$B$13="最小化",-X1698,-ABS(X1698-01_因子設定!$B$16))),-1E+030)</f>
        <v>44.5498081140351</v>
      </c>
      <c r="AF1698" s="55" t="n">
        <f aca="false">AD1698+ROW()*0.000000001</f>
        <v>-3.50673407297606</v>
      </c>
      <c r="AG1698" s="55" t="n">
        <f aca="false">AE1698+ROW()*0.000000001</f>
        <v>44.5498098120351</v>
      </c>
    </row>
    <row r="1699" customFormat="false" ht="15" hidden="false" customHeight="false" outlineLevel="0" collapsed="false">
      <c r="A1699" s="0" t="n">
        <v>2</v>
      </c>
      <c r="B1699" s="0" t="n">
        <v>2</v>
      </c>
      <c r="C1699" s="0" t="n">
        <v>8</v>
      </c>
      <c r="D1699" s="0" t="n">
        <v>2</v>
      </c>
      <c r="E1699" s="0" t="n">
        <f aca="false">-1+A1699*0.25</f>
        <v>-0.5</v>
      </c>
      <c r="F1699" s="0" t="n">
        <f aca="false">-1+B1699*0.25</f>
        <v>-0.5</v>
      </c>
      <c r="G1699" s="0" t="n">
        <f aca="false">-1+C1699*0.25</f>
        <v>1</v>
      </c>
      <c r="H1699" s="0" t="n">
        <f aca="false">-1+D1699*0.25</f>
        <v>-0.5</v>
      </c>
      <c r="I1699" s="0" t="n">
        <f aca="false">1</f>
        <v>1</v>
      </c>
      <c r="J1699" s="0" t="n">
        <f aca="false">E1699</f>
        <v>-0.5</v>
      </c>
      <c r="K1699" s="0" t="n">
        <f aca="false">F1699</f>
        <v>-0.5</v>
      </c>
      <c r="L1699" s="0" t="n">
        <f aca="false">G1699</f>
        <v>1</v>
      </c>
      <c r="M1699" s="0" t="n">
        <f aca="false">H1699</f>
        <v>-0.5</v>
      </c>
      <c r="N1699" s="0" t="n">
        <f aca="false">E1699*F1699</f>
        <v>0.25</v>
      </c>
      <c r="O1699" s="0" t="n">
        <f aca="false">E1699*G1699</f>
        <v>-0.5</v>
      </c>
      <c r="P1699" s="0" t="n">
        <f aca="false">E1699*H1699</f>
        <v>0.25</v>
      </c>
      <c r="Q1699" s="0" t="n">
        <f aca="false">F1699*G1699</f>
        <v>-0.5</v>
      </c>
      <c r="R1699" s="0" t="n">
        <f aca="false">F1699*H1699</f>
        <v>0.25</v>
      </c>
      <c r="S1699" s="0" t="n">
        <f aca="false">G1699*H1699</f>
        <v>-0.5</v>
      </c>
      <c r="T1699" s="0" t="n">
        <f aca="false">E1699*E1699</f>
        <v>0.25</v>
      </c>
      <c r="U1699" s="0" t="n">
        <f aca="false">F1699*F1699</f>
        <v>0.25</v>
      </c>
      <c r="V1699" s="0" t="n">
        <f aca="false">G1699*G1699</f>
        <v>1</v>
      </c>
      <c r="W1699" s="0" t="n">
        <f aca="false">H1699*H1699</f>
        <v>0.25</v>
      </c>
      <c r="X1699" s="0" t="n">
        <f aca="false">SUMPRODUCT(I1699:W1699,_XtX!$B$96:$P$96)</f>
        <v>44.8535270467836</v>
      </c>
      <c r="Y1699" s="0" t="n">
        <f aca="false">SUMPRODUCT(MMULT(I1699:W1699,_XtX!$B$78:$P$92),I1699:W1699)</f>
        <v>0.404719480994152</v>
      </c>
      <c r="Z1699" s="0" t="n">
        <f aca="false">04_回帰ANOVA!$K$19*04_回帰ANOVA!$K$14*SQRT(1+Y1699)</f>
        <v>1.54487446697867</v>
      </c>
      <c r="AA1699" s="0" t="n">
        <f aca="false">X1699-Z1699</f>
        <v>43.3086525798049</v>
      </c>
      <c r="AB1699" s="0" t="n">
        <f aca="false">X1699+Z1699</f>
        <v>46.3984015137623</v>
      </c>
      <c r="AC1699" s="54" t="b">
        <f aca="false">AND(E1699&gt;=01_因子設定!$L$5-0.000000001,E1699&lt;=01_因子設定!$M$5+0.000000001,F1699&gt;=01_因子設定!$L$6-0.000000001,F1699&lt;=01_因子設定!$M$6+0.000000001,G1699&gt;=01_因子設定!$L$7-0.000000001,G1699&lt;=01_因子設定!$M$7+0.000000001,H1699&gt;=01_因子設定!$L$8-0.000000001,H1699&lt;=01_因子設定!$M$8+0.000000001,IF(01_因子設定!$B$20="Box-Behnken",E1699^2+F1699^2+G1699^2+H1699^2&lt;=2+0.000000001,TRUE()))</f>
        <v>1</v>
      </c>
      <c r="AD1699" s="55" t="n">
        <f aca="false">IF(AC1699,IF(01_因子設定!$B$13="最大化",AA1699-01_因子設定!$B$14,IF(01_因子設定!$B$13="最小化",01_因子設定!$B$15-AB1699,MIN(AA1699-01_因子設定!$B$14,01_因子設定!$B$15-AB1699))),-1E+030)</f>
        <v>-3.19134742019508</v>
      </c>
      <c r="AE1699" s="55" t="n">
        <f aca="false">IF(AC1699,IF(01_因子設定!$B$13="最大化",X1699,IF(01_因子設定!$B$13="最小化",-X1699,-ABS(X1699-01_因子設定!$B$16))),-1E+030)</f>
        <v>44.8535270467836</v>
      </c>
      <c r="AF1699" s="55" t="n">
        <f aca="false">AD1699+ROW()*0.000000001</f>
        <v>-3.19134572119508</v>
      </c>
      <c r="AG1699" s="55" t="n">
        <f aca="false">AE1699+ROW()*0.000000001</f>
        <v>44.8535287457836</v>
      </c>
    </row>
    <row r="1700" customFormat="false" ht="15" hidden="false" customHeight="false" outlineLevel="0" collapsed="false">
      <c r="A1700" s="0" t="n">
        <v>2</v>
      </c>
      <c r="B1700" s="0" t="n">
        <v>2</v>
      </c>
      <c r="C1700" s="0" t="n">
        <v>8</v>
      </c>
      <c r="D1700" s="0" t="n">
        <v>3</v>
      </c>
      <c r="E1700" s="0" t="n">
        <f aca="false">-1+A1700*0.25</f>
        <v>-0.5</v>
      </c>
      <c r="F1700" s="0" t="n">
        <f aca="false">-1+B1700*0.25</f>
        <v>-0.5</v>
      </c>
      <c r="G1700" s="0" t="n">
        <f aca="false">-1+C1700*0.25</f>
        <v>1</v>
      </c>
      <c r="H1700" s="0" t="n">
        <f aca="false">-1+D1700*0.25</f>
        <v>-0.25</v>
      </c>
      <c r="I1700" s="0" t="n">
        <f aca="false">1</f>
        <v>1</v>
      </c>
      <c r="J1700" s="0" t="n">
        <f aca="false">E1700</f>
        <v>-0.5</v>
      </c>
      <c r="K1700" s="0" t="n">
        <f aca="false">F1700</f>
        <v>-0.5</v>
      </c>
      <c r="L1700" s="0" t="n">
        <f aca="false">G1700</f>
        <v>1</v>
      </c>
      <c r="M1700" s="0" t="n">
        <f aca="false">H1700</f>
        <v>-0.25</v>
      </c>
      <c r="N1700" s="0" t="n">
        <f aca="false">E1700*F1700</f>
        <v>0.25</v>
      </c>
      <c r="O1700" s="0" t="n">
        <f aca="false">E1700*G1700</f>
        <v>-0.5</v>
      </c>
      <c r="P1700" s="0" t="n">
        <f aca="false">E1700*H1700</f>
        <v>0.125</v>
      </c>
      <c r="Q1700" s="0" t="n">
        <f aca="false">F1700*G1700</f>
        <v>-0.5</v>
      </c>
      <c r="R1700" s="0" t="n">
        <f aca="false">F1700*H1700</f>
        <v>0.125</v>
      </c>
      <c r="S1700" s="0" t="n">
        <f aca="false">G1700*H1700</f>
        <v>-0.25</v>
      </c>
      <c r="T1700" s="0" t="n">
        <f aca="false">E1700*E1700</f>
        <v>0.25</v>
      </c>
      <c r="U1700" s="0" t="n">
        <f aca="false">F1700*F1700</f>
        <v>0.25</v>
      </c>
      <c r="V1700" s="0" t="n">
        <f aca="false">G1700*G1700</f>
        <v>1</v>
      </c>
      <c r="W1700" s="0" t="n">
        <f aca="false">H1700*H1700</f>
        <v>0.0625</v>
      </c>
      <c r="X1700" s="0" t="n">
        <f aca="false">SUMPRODUCT(I1700:W1700,_XtX!$B$96:$P$96)</f>
        <v>45.1094389619883</v>
      </c>
      <c r="Y1700" s="0" t="n">
        <f aca="false">SUMPRODUCT(MMULT(I1700:W1700,_XtX!$B$78:$P$92),I1700:W1700)</f>
        <v>0.428122715643275</v>
      </c>
      <c r="Z1700" s="0" t="n">
        <f aca="false">04_回帰ANOVA!$K$19*04_回帰ANOVA!$K$14*SQRT(1+Y1700)</f>
        <v>1.55769044623229</v>
      </c>
      <c r="AA1700" s="0" t="n">
        <f aca="false">X1700-Z1700</f>
        <v>43.551748515756</v>
      </c>
      <c r="AB1700" s="0" t="n">
        <f aca="false">X1700+Z1700</f>
        <v>46.6671294082206</v>
      </c>
      <c r="AC1700" s="54" t="b">
        <f aca="false">AND(E1700&gt;=01_因子設定!$L$5-0.000000001,E1700&lt;=01_因子設定!$M$5+0.000000001,F1700&gt;=01_因子設定!$L$6-0.000000001,F1700&lt;=01_因子設定!$M$6+0.000000001,G1700&gt;=01_因子設定!$L$7-0.000000001,G1700&lt;=01_因子設定!$M$7+0.000000001,H1700&gt;=01_因子設定!$L$8-0.000000001,H1700&lt;=01_因子設定!$M$8+0.000000001,IF(01_因子設定!$B$20="Box-Behnken",E1700^2+F1700^2+G1700^2+H1700^2&lt;=2+0.000000001,TRUE()))</f>
        <v>1</v>
      </c>
      <c r="AD1700" s="55" t="n">
        <f aca="false">IF(AC1700,IF(01_因子設定!$B$13="最大化",AA1700-01_因子設定!$B$14,IF(01_因子設定!$B$13="最小化",01_因子設定!$B$15-AB1700,MIN(AA1700-01_因子設定!$B$14,01_因子設定!$B$15-AB1700))),-1E+030)</f>
        <v>-2.94825148424403</v>
      </c>
      <c r="AE1700" s="55" t="n">
        <f aca="false">IF(AC1700,IF(01_因子設定!$B$13="最大化",X1700,IF(01_因子設定!$B$13="最小化",-X1700,-ABS(X1700-01_因子設定!$B$16))),-1E+030)</f>
        <v>45.1094389619883</v>
      </c>
      <c r="AF1700" s="55" t="n">
        <f aca="false">AD1700+ROW()*0.000000001</f>
        <v>-2.94824978424403</v>
      </c>
      <c r="AG1700" s="55" t="n">
        <f aca="false">AE1700+ROW()*0.000000001</f>
        <v>45.1094406619883</v>
      </c>
    </row>
    <row r="1701" customFormat="false" ht="15" hidden="false" customHeight="false" outlineLevel="0" collapsed="false">
      <c r="A1701" s="0" t="n">
        <v>2</v>
      </c>
      <c r="B1701" s="0" t="n">
        <v>2</v>
      </c>
      <c r="C1701" s="0" t="n">
        <v>8</v>
      </c>
      <c r="D1701" s="0" t="n">
        <v>4</v>
      </c>
      <c r="E1701" s="0" t="n">
        <f aca="false">-1+A1701*0.25</f>
        <v>-0.5</v>
      </c>
      <c r="F1701" s="0" t="n">
        <f aca="false">-1+B1701*0.25</f>
        <v>-0.5</v>
      </c>
      <c r="G1701" s="0" t="n">
        <f aca="false">-1+C1701*0.25</f>
        <v>1</v>
      </c>
      <c r="H1701" s="0" t="n">
        <f aca="false">-1+D1701*0.25</f>
        <v>0</v>
      </c>
      <c r="I1701" s="0" t="n">
        <f aca="false">1</f>
        <v>1</v>
      </c>
      <c r="J1701" s="0" t="n">
        <f aca="false">E1701</f>
        <v>-0.5</v>
      </c>
      <c r="K1701" s="0" t="n">
        <f aca="false">F1701</f>
        <v>-0.5</v>
      </c>
      <c r="L1701" s="0" t="n">
        <f aca="false">G1701</f>
        <v>1</v>
      </c>
      <c r="M1701" s="0" t="n">
        <f aca="false">H1701</f>
        <v>0</v>
      </c>
      <c r="N1701" s="0" t="n">
        <f aca="false">E1701*F1701</f>
        <v>0.25</v>
      </c>
      <c r="O1701" s="0" t="n">
        <f aca="false">E1701*G1701</f>
        <v>-0.5</v>
      </c>
      <c r="P1701" s="0" t="n">
        <f aca="false">E1701*H1701</f>
        <v>-0</v>
      </c>
      <c r="Q1701" s="0" t="n">
        <f aca="false">F1701*G1701</f>
        <v>-0.5</v>
      </c>
      <c r="R1701" s="0" t="n">
        <f aca="false">F1701*H1701</f>
        <v>-0</v>
      </c>
      <c r="S1701" s="0" t="n">
        <f aca="false">G1701*H1701</f>
        <v>0</v>
      </c>
      <c r="T1701" s="0" t="n">
        <f aca="false">E1701*E1701</f>
        <v>0.25</v>
      </c>
      <c r="U1701" s="0" t="n">
        <f aca="false">F1701*F1701</f>
        <v>0.25</v>
      </c>
      <c r="V1701" s="0" t="n">
        <f aca="false">G1701*G1701</f>
        <v>1</v>
      </c>
      <c r="W1701" s="0" t="n">
        <f aca="false">H1701*H1701</f>
        <v>0</v>
      </c>
      <c r="X1701" s="0" t="n">
        <f aca="false">SUMPRODUCT(I1701:W1701,_XtX!$B$96:$P$96)</f>
        <v>45.3175438596491</v>
      </c>
      <c r="Y1701" s="0" t="n">
        <f aca="false">SUMPRODUCT(MMULT(I1701:W1701,_XtX!$B$78:$P$92),I1701:W1701)</f>
        <v>0.441954495614035</v>
      </c>
      <c r="Z1701" s="0" t="n">
        <f aca="false">04_回帰ANOVA!$K$19*04_回帰ANOVA!$K$14*SQRT(1+Y1701)</f>
        <v>1.56521560968066</v>
      </c>
      <c r="AA1701" s="0" t="n">
        <f aca="false">X1701-Z1701</f>
        <v>43.7523282499684</v>
      </c>
      <c r="AB1701" s="0" t="n">
        <f aca="false">X1701+Z1701</f>
        <v>46.8827594693298</v>
      </c>
      <c r="AC1701" s="54" t="b">
        <f aca="false">AND(E1701&gt;=01_因子設定!$L$5-0.000000001,E1701&lt;=01_因子設定!$M$5+0.000000001,F1701&gt;=01_因子設定!$L$6-0.000000001,F1701&lt;=01_因子設定!$M$6+0.000000001,G1701&gt;=01_因子設定!$L$7-0.000000001,G1701&lt;=01_因子設定!$M$7+0.000000001,H1701&gt;=01_因子設定!$L$8-0.000000001,H1701&lt;=01_因子設定!$M$8+0.000000001,IF(01_因子設定!$B$20="Box-Behnken",E1701^2+F1701^2+G1701^2+H1701^2&lt;=2+0.000000001,TRUE()))</f>
        <v>1</v>
      </c>
      <c r="AD1701" s="55" t="n">
        <f aca="false">IF(AC1701,IF(01_因子設定!$B$13="最大化",AA1701-01_因子設定!$B$14,IF(01_因子設定!$B$13="最小化",01_因子設定!$B$15-AB1701,MIN(AA1701-01_因子設定!$B$14,01_因子設定!$B$15-AB1701))),-1E+030)</f>
        <v>-2.74767175003158</v>
      </c>
      <c r="AE1701" s="55" t="n">
        <f aca="false">IF(AC1701,IF(01_因子設定!$B$13="最大化",X1701,IF(01_因子設定!$B$13="最小化",-X1701,-ABS(X1701-01_因子設定!$B$16))),-1E+030)</f>
        <v>45.3175438596491</v>
      </c>
      <c r="AF1701" s="55" t="n">
        <f aca="false">AD1701+ROW()*0.000000001</f>
        <v>-2.74767004903158</v>
      </c>
      <c r="AG1701" s="55" t="n">
        <f aca="false">AE1701+ROW()*0.000000001</f>
        <v>45.3175455606491</v>
      </c>
    </row>
    <row r="1702" customFormat="false" ht="15" hidden="false" customHeight="false" outlineLevel="0" collapsed="false">
      <c r="A1702" s="0" t="n">
        <v>2</v>
      </c>
      <c r="B1702" s="0" t="n">
        <v>2</v>
      </c>
      <c r="C1702" s="0" t="n">
        <v>8</v>
      </c>
      <c r="D1702" s="0" t="n">
        <v>5</v>
      </c>
      <c r="E1702" s="0" t="n">
        <f aca="false">-1+A1702*0.25</f>
        <v>-0.5</v>
      </c>
      <c r="F1702" s="0" t="n">
        <f aca="false">-1+B1702*0.25</f>
        <v>-0.5</v>
      </c>
      <c r="G1702" s="0" t="n">
        <f aca="false">-1+C1702*0.25</f>
        <v>1</v>
      </c>
      <c r="H1702" s="0" t="n">
        <f aca="false">-1+D1702*0.25</f>
        <v>0.25</v>
      </c>
      <c r="I1702" s="0" t="n">
        <f aca="false">1</f>
        <v>1</v>
      </c>
      <c r="J1702" s="0" t="n">
        <f aca="false">E1702</f>
        <v>-0.5</v>
      </c>
      <c r="K1702" s="0" t="n">
        <f aca="false">F1702</f>
        <v>-0.5</v>
      </c>
      <c r="L1702" s="0" t="n">
        <f aca="false">G1702</f>
        <v>1</v>
      </c>
      <c r="M1702" s="0" t="n">
        <f aca="false">H1702</f>
        <v>0.25</v>
      </c>
      <c r="N1702" s="0" t="n">
        <f aca="false">E1702*F1702</f>
        <v>0.25</v>
      </c>
      <c r="O1702" s="0" t="n">
        <f aca="false">E1702*G1702</f>
        <v>-0.5</v>
      </c>
      <c r="P1702" s="0" t="n">
        <f aca="false">E1702*H1702</f>
        <v>-0.125</v>
      </c>
      <c r="Q1702" s="0" t="n">
        <f aca="false">F1702*G1702</f>
        <v>-0.5</v>
      </c>
      <c r="R1702" s="0" t="n">
        <f aca="false">F1702*H1702</f>
        <v>-0.125</v>
      </c>
      <c r="S1702" s="0" t="n">
        <f aca="false">G1702*H1702</f>
        <v>0.25</v>
      </c>
      <c r="T1702" s="0" t="n">
        <f aca="false">E1702*E1702</f>
        <v>0.25</v>
      </c>
      <c r="U1702" s="0" t="n">
        <f aca="false">F1702*F1702</f>
        <v>0.25</v>
      </c>
      <c r="V1702" s="0" t="n">
        <f aca="false">G1702*G1702</f>
        <v>1</v>
      </c>
      <c r="W1702" s="0" t="n">
        <f aca="false">H1702*H1702</f>
        <v>0.0625</v>
      </c>
      <c r="X1702" s="0" t="n">
        <f aca="false">SUMPRODUCT(I1702:W1702,_XtX!$B$96:$P$96)</f>
        <v>45.477841739766</v>
      </c>
      <c r="Y1702" s="0" t="n">
        <f aca="false">SUMPRODUCT(MMULT(I1702:W1702,_XtX!$B$78:$P$92),I1702:W1702)</f>
        <v>0.428122715643275</v>
      </c>
      <c r="Z1702" s="0" t="n">
        <f aca="false">04_回帰ANOVA!$K$19*04_回帰ANOVA!$K$14*SQRT(1+Y1702)</f>
        <v>1.55769044623229</v>
      </c>
      <c r="AA1702" s="0" t="n">
        <f aca="false">X1702-Z1702</f>
        <v>43.9201512935338</v>
      </c>
      <c r="AB1702" s="0" t="n">
        <f aca="false">X1702+Z1702</f>
        <v>47.0355321859983</v>
      </c>
      <c r="AC1702" s="54" t="b">
        <f aca="false">AND(E1702&gt;=01_因子設定!$L$5-0.000000001,E1702&lt;=01_因子設定!$M$5+0.000000001,F1702&gt;=01_因子設定!$L$6-0.000000001,F1702&lt;=01_因子設定!$M$6+0.000000001,G1702&gt;=01_因子設定!$L$7-0.000000001,G1702&lt;=01_因子設定!$M$7+0.000000001,H1702&gt;=01_因子設定!$L$8-0.000000001,H1702&lt;=01_因子設定!$M$8+0.000000001,IF(01_因子設定!$B$20="Box-Behnken",E1702^2+F1702^2+G1702^2+H1702^2&lt;=2+0.000000001,TRUE()))</f>
        <v>1</v>
      </c>
      <c r="AD1702" s="55" t="n">
        <f aca="false">IF(AC1702,IF(01_因子設定!$B$13="最大化",AA1702-01_因子設定!$B$14,IF(01_因子設定!$B$13="最小化",01_因子設定!$B$15-AB1702,MIN(AA1702-01_因子設定!$B$14,01_因子設定!$B$15-AB1702))),-1E+030)</f>
        <v>-2.57984870646625</v>
      </c>
      <c r="AE1702" s="55" t="n">
        <f aca="false">IF(AC1702,IF(01_因子設定!$B$13="最大化",X1702,IF(01_因子設定!$B$13="最小化",-X1702,-ABS(X1702-01_因子設定!$B$16))),-1E+030)</f>
        <v>45.477841739766</v>
      </c>
      <c r="AF1702" s="55" t="n">
        <f aca="false">AD1702+ROW()*0.000000001</f>
        <v>-2.57984700446625</v>
      </c>
      <c r="AG1702" s="55" t="n">
        <f aca="false">AE1702+ROW()*0.000000001</f>
        <v>45.477843441766</v>
      </c>
    </row>
    <row r="1703" customFormat="false" ht="15" hidden="false" customHeight="false" outlineLevel="0" collapsed="false">
      <c r="A1703" s="0" t="n">
        <v>2</v>
      </c>
      <c r="B1703" s="0" t="n">
        <v>2</v>
      </c>
      <c r="C1703" s="0" t="n">
        <v>8</v>
      </c>
      <c r="D1703" s="0" t="n">
        <v>6</v>
      </c>
      <c r="E1703" s="0" t="n">
        <f aca="false">-1+A1703*0.25</f>
        <v>-0.5</v>
      </c>
      <c r="F1703" s="0" t="n">
        <f aca="false">-1+B1703*0.25</f>
        <v>-0.5</v>
      </c>
      <c r="G1703" s="0" t="n">
        <f aca="false">-1+C1703*0.25</f>
        <v>1</v>
      </c>
      <c r="H1703" s="0" t="n">
        <f aca="false">-1+D1703*0.25</f>
        <v>0.5</v>
      </c>
      <c r="I1703" s="0" t="n">
        <f aca="false">1</f>
        <v>1</v>
      </c>
      <c r="J1703" s="0" t="n">
        <f aca="false">E1703</f>
        <v>-0.5</v>
      </c>
      <c r="K1703" s="0" t="n">
        <f aca="false">F1703</f>
        <v>-0.5</v>
      </c>
      <c r="L1703" s="0" t="n">
        <f aca="false">G1703</f>
        <v>1</v>
      </c>
      <c r="M1703" s="0" t="n">
        <f aca="false">H1703</f>
        <v>0.5</v>
      </c>
      <c r="N1703" s="0" t="n">
        <f aca="false">E1703*F1703</f>
        <v>0.25</v>
      </c>
      <c r="O1703" s="0" t="n">
        <f aca="false">E1703*G1703</f>
        <v>-0.5</v>
      </c>
      <c r="P1703" s="0" t="n">
        <f aca="false">E1703*H1703</f>
        <v>-0.25</v>
      </c>
      <c r="Q1703" s="0" t="n">
        <f aca="false">F1703*G1703</f>
        <v>-0.5</v>
      </c>
      <c r="R1703" s="0" t="n">
        <f aca="false">F1703*H1703</f>
        <v>-0.25</v>
      </c>
      <c r="S1703" s="0" t="n">
        <f aca="false">G1703*H1703</f>
        <v>0.5</v>
      </c>
      <c r="T1703" s="0" t="n">
        <f aca="false">E1703*E1703</f>
        <v>0.25</v>
      </c>
      <c r="U1703" s="0" t="n">
        <f aca="false">F1703*F1703</f>
        <v>0.25</v>
      </c>
      <c r="V1703" s="0" t="n">
        <f aca="false">G1703*G1703</f>
        <v>1</v>
      </c>
      <c r="W1703" s="0" t="n">
        <f aca="false">H1703*H1703</f>
        <v>0.25</v>
      </c>
      <c r="X1703" s="0" t="n">
        <f aca="false">SUMPRODUCT(I1703:W1703,_XtX!$B$96:$P$96)</f>
        <v>45.5903326023392</v>
      </c>
      <c r="Y1703" s="0" t="n">
        <f aca="false">SUMPRODUCT(MMULT(I1703:W1703,_XtX!$B$78:$P$92),I1703:W1703)</f>
        <v>0.404719480994152</v>
      </c>
      <c r="Z1703" s="0" t="n">
        <f aca="false">04_回帰ANOVA!$K$19*04_回帰ANOVA!$K$14*SQRT(1+Y1703)</f>
        <v>1.54487446697867</v>
      </c>
      <c r="AA1703" s="0" t="n">
        <f aca="false">X1703-Z1703</f>
        <v>44.0454581353605</v>
      </c>
      <c r="AB1703" s="0" t="n">
        <f aca="false">X1703+Z1703</f>
        <v>47.1352070693178</v>
      </c>
      <c r="AC1703" s="54" t="b">
        <f aca="false">AND(E1703&gt;=01_因子設定!$L$5-0.000000001,E1703&lt;=01_因子設定!$M$5+0.000000001,F1703&gt;=01_因子設定!$L$6-0.000000001,F1703&lt;=01_因子設定!$M$6+0.000000001,G1703&gt;=01_因子設定!$L$7-0.000000001,G1703&lt;=01_因子設定!$M$7+0.000000001,H1703&gt;=01_因子設定!$L$8-0.000000001,H1703&lt;=01_因子設定!$M$8+0.000000001,IF(01_因子設定!$B$20="Box-Behnken",E1703^2+F1703^2+G1703^2+H1703^2&lt;=2+0.000000001,TRUE()))</f>
        <v>1</v>
      </c>
      <c r="AD1703" s="55" t="n">
        <f aca="false">IF(AC1703,IF(01_因子設定!$B$13="最大化",AA1703-01_因子設定!$B$14,IF(01_因子設定!$B$13="最小化",01_因子設定!$B$15-AB1703,MIN(AA1703-01_因子設定!$B$14,01_因子設定!$B$15-AB1703))),-1E+030)</f>
        <v>-2.45454186463952</v>
      </c>
      <c r="AE1703" s="55" t="n">
        <f aca="false">IF(AC1703,IF(01_因子設定!$B$13="最大化",X1703,IF(01_因子設定!$B$13="最小化",-X1703,-ABS(X1703-01_因子設定!$B$16))),-1E+030)</f>
        <v>45.5903326023392</v>
      </c>
      <c r="AF1703" s="55" t="n">
        <f aca="false">AD1703+ROW()*0.000000001</f>
        <v>-2.45454016163952</v>
      </c>
      <c r="AG1703" s="55" t="n">
        <f aca="false">AE1703+ROW()*0.000000001</f>
        <v>45.5903343053392</v>
      </c>
    </row>
    <row r="1704" customFormat="false" ht="15" hidden="false" customHeight="false" outlineLevel="0" collapsed="false">
      <c r="A1704" s="0" t="n">
        <v>2</v>
      </c>
      <c r="B1704" s="0" t="n">
        <v>2</v>
      </c>
      <c r="C1704" s="0" t="n">
        <v>8</v>
      </c>
      <c r="D1704" s="0" t="n">
        <v>7</v>
      </c>
      <c r="E1704" s="0" t="n">
        <f aca="false">-1+A1704*0.25</f>
        <v>-0.5</v>
      </c>
      <c r="F1704" s="0" t="n">
        <f aca="false">-1+B1704*0.25</f>
        <v>-0.5</v>
      </c>
      <c r="G1704" s="0" t="n">
        <f aca="false">-1+C1704*0.25</f>
        <v>1</v>
      </c>
      <c r="H1704" s="0" t="n">
        <f aca="false">-1+D1704*0.25</f>
        <v>0.75</v>
      </c>
      <c r="I1704" s="0" t="n">
        <f aca="false">1</f>
        <v>1</v>
      </c>
      <c r="J1704" s="0" t="n">
        <f aca="false">E1704</f>
        <v>-0.5</v>
      </c>
      <c r="K1704" s="0" t="n">
        <f aca="false">F1704</f>
        <v>-0.5</v>
      </c>
      <c r="L1704" s="0" t="n">
        <f aca="false">G1704</f>
        <v>1</v>
      </c>
      <c r="M1704" s="0" t="n">
        <f aca="false">H1704</f>
        <v>0.75</v>
      </c>
      <c r="N1704" s="0" t="n">
        <f aca="false">E1704*F1704</f>
        <v>0.25</v>
      </c>
      <c r="O1704" s="0" t="n">
        <f aca="false">E1704*G1704</f>
        <v>-0.5</v>
      </c>
      <c r="P1704" s="0" t="n">
        <f aca="false">E1704*H1704</f>
        <v>-0.375</v>
      </c>
      <c r="Q1704" s="0" t="n">
        <f aca="false">F1704*G1704</f>
        <v>-0.5</v>
      </c>
      <c r="R1704" s="0" t="n">
        <f aca="false">F1704*H1704</f>
        <v>-0.375</v>
      </c>
      <c r="S1704" s="0" t="n">
        <f aca="false">G1704*H1704</f>
        <v>0.75</v>
      </c>
      <c r="T1704" s="0" t="n">
        <f aca="false">E1704*E1704</f>
        <v>0.25</v>
      </c>
      <c r="U1704" s="0" t="n">
        <f aca="false">F1704*F1704</f>
        <v>0.25</v>
      </c>
      <c r="V1704" s="0" t="n">
        <f aca="false">G1704*G1704</f>
        <v>1</v>
      </c>
      <c r="W1704" s="0" t="n">
        <f aca="false">H1704*H1704</f>
        <v>0.5625</v>
      </c>
      <c r="X1704" s="0" t="n">
        <f aca="false">SUMPRODUCT(I1704:W1704,_XtX!$B$96:$P$96)</f>
        <v>45.6550164473684</v>
      </c>
      <c r="Y1704" s="0" t="n">
        <f aca="false">SUMPRODUCT(MMULT(I1704:W1704,_XtX!$B$78:$P$92),I1704:W1704)</f>
        <v>0.42602110745614</v>
      </c>
      <c r="Z1704" s="0" t="n">
        <f aca="false">04_回帰ANOVA!$K$19*04_回帰ANOVA!$K$14*SQRT(1+Y1704)</f>
        <v>1.55654388501114</v>
      </c>
      <c r="AA1704" s="0" t="n">
        <f aca="false">X1704-Z1704</f>
        <v>44.0984725623573</v>
      </c>
      <c r="AB1704" s="0" t="n">
        <f aca="false">X1704+Z1704</f>
        <v>47.2115603323795</v>
      </c>
      <c r="AC1704" s="54" t="b">
        <f aca="false">AND(E1704&gt;=01_因子設定!$L$5-0.000000001,E1704&lt;=01_因子設定!$M$5+0.000000001,F1704&gt;=01_因子設定!$L$6-0.000000001,F1704&lt;=01_因子設定!$M$6+0.000000001,G1704&gt;=01_因子設定!$L$7-0.000000001,G1704&lt;=01_因子設定!$M$7+0.000000001,H1704&gt;=01_因子設定!$L$8-0.000000001,H1704&lt;=01_因子設定!$M$8+0.000000001,IF(01_因子設定!$B$20="Box-Behnken",E1704^2+F1704^2+G1704^2+H1704^2&lt;=2+0.000000001,TRUE()))</f>
        <v>1</v>
      </c>
      <c r="AD1704" s="55" t="n">
        <f aca="false">IF(AC1704,IF(01_因子設定!$B$13="最大化",AA1704-01_因子設定!$B$14,IF(01_因子設定!$B$13="最小化",01_因子設定!$B$15-AB1704,MIN(AA1704-01_因子設定!$B$14,01_因子設定!$B$15-AB1704))),-1E+030)</f>
        <v>-2.40152743764273</v>
      </c>
      <c r="AE1704" s="55" t="n">
        <f aca="false">IF(AC1704,IF(01_因子設定!$B$13="最大化",X1704,IF(01_因子設定!$B$13="最小化",-X1704,-ABS(X1704-01_因子設定!$B$16))),-1E+030)</f>
        <v>45.6550164473684</v>
      </c>
      <c r="AF1704" s="55" t="n">
        <f aca="false">AD1704+ROW()*0.000000001</f>
        <v>-2.40152573364273</v>
      </c>
      <c r="AG1704" s="55" t="n">
        <f aca="false">AE1704+ROW()*0.000000001</f>
        <v>45.6550181513684</v>
      </c>
    </row>
    <row r="1705" customFormat="false" ht="15" hidden="false" customHeight="false" outlineLevel="0" collapsed="false">
      <c r="A1705" s="0" t="n">
        <v>2</v>
      </c>
      <c r="B1705" s="0" t="n">
        <v>2</v>
      </c>
      <c r="C1705" s="0" t="n">
        <v>8</v>
      </c>
      <c r="D1705" s="0" t="n">
        <v>8</v>
      </c>
      <c r="E1705" s="0" t="n">
        <f aca="false">-1+A1705*0.25</f>
        <v>-0.5</v>
      </c>
      <c r="F1705" s="0" t="n">
        <f aca="false">-1+B1705*0.25</f>
        <v>-0.5</v>
      </c>
      <c r="G1705" s="0" t="n">
        <f aca="false">-1+C1705*0.25</f>
        <v>1</v>
      </c>
      <c r="H1705" s="0" t="n">
        <f aca="false">-1+D1705*0.25</f>
        <v>1</v>
      </c>
      <c r="I1705" s="0" t="n">
        <f aca="false">1</f>
        <v>1</v>
      </c>
      <c r="J1705" s="0" t="n">
        <f aca="false">E1705</f>
        <v>-0.5</v>
      </c>
      <c r="K1705" s="0" t="n">
        <f aca="false">F1705</f>
        <v>-0.5</v>
      </c>
      <c r="L1705" s="0" t="n">
        <f aca="false">G1705</f>
        <v>1</v>
      </c>
      <c r="M1705" s="0" t="n">
        <f aca="false">H1705</f>
        <v>1</v>
      </c>
      <c r="N1705" s="0" t="n">
        <f aca="false">E1705*F1705</f>
        <v>0.25</v>
      </c>
      <c r="O1705" s="0" t="n">
        <f aca="false">E1705*G1705</f>
        <v>-0.5</v>
      </c>
      <c r="P1705" s="0" t="n">
        <f aca="false">E1705*H1705</f>
        <v>-0.5</v>
      </c>
      <c r="Q1705" s="0" t="n">
        <f aca="false">F1705*G1705</f>
        <v>-0.5</v>
      </c>
      <c r="R1705" s="0" t="n">
        <f aca="false">F1705*H1705</f>
        <v>-0.5</v>
      </c>
      <c r="S1705" s="0" t="n">
        <f aca="false">G1705*H1705</f>
        <v>1</v>
      </c>
      <c r="T1705" s="0" t="n">
        <f aca="false">E1705*E1705</f>
        <v>0.25</v>
      </c>
      <c r="U1705" s="0" t="n">
        <f aca="false">F1705*F1705</f>
        <v>0.25</v>
      </c>
      <c r="V1705" s="0" t="n">
        <f aca="false">G1705*G1705</f>
        <v>1</v>
      </c>
      <c r="W1705" s="0" t="n">
        <f aca="false">H1705*H1705</f>
        <v>1</v>
      </c>
      <c r="X1705" s="0" t="n">
        <f aca="false">SUMPRODUCT(I1705:W1705,_XtX!$B$96:$P$96)</f>
        <v>45.6718932748538</v>
      </c>
      <c r="Y1705" s="0" t="n">
        <f aca="false">SUMPRODUCT(MMULT(I1705:W1705,_XtX!$B$78:$P$92),I1705:W1705)</f>
        <v>0.582488121345029</v>
      </c>
      <c r="Z1705" s="0" t="n">
        <f aca="false">04_回帰ANOVA!$K$19*04_回帰ANOVA!$K$14*SQRT(1+Y1705)</f>
        <v>1.63971595338287</v>
      </c>
      <c r="AA1705" s="0" t="n">
        <f aca="false">X1705-Z1705</f>
        <v>44.0321773214709</v>
      </c>
      <c r="AB1705" s="0" t="n">
        <f aca="false">X1705+Z1705</f>
        <v>47.3116092282367</v>
      </c>
      <c r="AC1705" s="54" t="b">
        <f aca="false">AND(E1705&gt;=01_因子設定!$L$5-0.000000001,E1705&lt;=01_因子設定!$M$5+0.000000001,F1705&gt;=01_因子設定!$L$6-0.000000001,F1705&lt;=01_因子設定!$M$6+0.000000001,G1705&gt;=01_因子設定!$L$7-0.000000001,G1705&lt;=01_因子設定!$M$7+0.000000001,H1705&gt;=01_因子設定!$L$8-0.000000001,H1705&lt;=01_因子設定!$M$8+0.000000001,IF(01_因子設定!$B$20="Box-Behnken",E1705^2+F1705^2+G1705^2+H1705^2&lt;=2+0.000000001,TRUE()))</f>
        <v>1</v>
      </c>
      <c r="AD1705" s="55" t="n">
        <f aca="false">IF(AC1705,IF(01_因子設定!$B$13="最大化",AA1705-01_因子設定!$B$14,IF(01_因子設定!$B$13="最小化",01_因子設定!$B$15-AB1705,MIN(AA1705-01_因子設定!$B$14,01_因子設定!$B$15-AB1705))),-1E+030)</f>
        <v>-2.46782267852907</v>
      </c>
      <c r="AE1705" s="55" t="n">
        <f aca="false">IF(AC1705,IF(01_因子設定!$B$13="最大化",X1705,IF(01_因子設定!$B$13="最小化",-X1705,-ABS(X1705-01_因子設定!$B$16))),-1E+030)</f>
        <v>45.6718932748538</v>
      </c>
      <c r="AF1705" s="55" t="n">
        <f aca="false">AD1705+ROW()*0.000000001</f>
        <v>-2.46782097352907</v>
      </c>
      <c r="AG1705" s="55" t="n">
        <f aca="false">AE1705+ROW()*0.000000001</f>
        <v>45.6718949798538</v>
      </c>
    </row>
    <row r="1706" customFormat="false" ht="15" hidden="false" customHeight="false" outlineLevel="0" collapsed="false">
      <c r="A1706" s="0" t="n">
        <v>2</v>
      </c>
      <c r="B1706" s="0" t="n">
        <v>3</v>
      </c>
      <c r="C1706" s="0" t="n">
        <v>0</v>
      </c>
      <c r="D1706" s="0" t="n">
        <v>0</v>
      </c>
      <c r="E1706" s="0" t="n">
        <f aca="false">-1+A1706*0.25</f>
        <v>-0.5</v>
      </c>
      <c r="F1706" s="0" t="n">
        <f aca="false">-1+B1706*0.25</f>
        <v>-0.25</v>
      </c>
      <c r="G1706" s="0" t="n">
        <f aca="false">-1+C1706*0.25</f>
        <v>-1</v>
      </c>
      <c r="H1706" s="0" t="n">
        <f aca="false">-1+D1706*0.25</f>
        <v>-1</v>
      </c>
      <c r="I1706" s="0" t="n">
        <f aca="false">1</f>
        <v>1</v>
      </c>
      <c r="J1706" s="0" t="n">
        <f aca="false">E1706</f>
        <v>-0.5</v>
      </c>
      <c r="K1706" s="0" t="n">
        <f aca="false">F1706</f>
        <v>-0.25</v>
      </c>
      <c r="L1706" s="0" t="n">
        <f aca="false">G1706</f>
        <v>-1</v>
      </c>
      <c r="M1706" s="0" t="n">
        <f aca="false">H1706</f>
        <v>-1</v>
      </c>
      <c r="N1706" s="0" t="n">
        <f aca="false">E1706*F1706</f>
        <v>0.125</v>
      </c>
      <c r="O1706" s="0" t="n">
        <f aca="false">E1706*G1706</f>
        <v>0.5</v>
      </c>
      <c r="P1706" s="0" t="n">
        <f aca="false">E1706*H1706</f>
        <v>0.5</v>
      </c>
      <c r="Q1706" s="0" t="n">
        <f aca="false">F1706*G1706</f>
        <v>0.25</v>
      </c>
      <c r="R1706" s="0" t="n">
        <f aca="false">F1706*H1706</f>
        <v>0.25</v>
      </c>
      <c r="S1706" s="0" t="n">
        <f aca="false">G1706*H1706</f>
        <v>1</v>
      </c>
      <c r="T1706" s="0" t="n">
        <f aca="false">E1706*E1706</f>
        <v>0.25</v>
      </c>
      <c r="U1706" s="0" t="n">
        <f aca="false">F1706*F1706</f>
        <v>0.0625</v>
      </c>
      <c r="V1706" s="0" t="n">
        <f aca="false">G1706*G1706</f>
        <v>1</v>
      </c>
      <c r="W1706" s="0" t="n">
        <f aca="false">H1706*H1706</f>
        <v>1</v>
      </c>
      <c r="X1706" s="0" t="n">
        <f aca="false">SUMPRODUCT(I1706:W1706,_XtX!$B$96:$P$96)</f>
        <v>43.3113121345029</v>
      </c>
      <c r="Y1706" s="0" t="n">
        <f aca="false">SUMPRODUCT(MMULT(I1706:W1706,_XtX!$B$78:$P$92),I1706:W1706)</f>
        <v>0.629174661915205</v>
      </c>
      <c r="Z1706" s="0" t="n">
        <f aca="false">04_回帰ANOVA!$K$19*04_回帰ANOVA!$K$14*SQRT(1+Y1706)</f>
        <v>1.66372758058297</v>
      </c>
      <c r="AA1706" s="0" t="n">
        <f aca="false">X1706-Z1706</f>
        <v>41.64758455392</v>
      </c>
      <c r="AB1706" s="0" t="n">
        <f aca="false">X1706+Z1706</f>
        <v>44.9750397150859</v>
      </c>
      <c r="AC1706" s="54" t="b">
        <f aca="false">AND(E1706&gt;=01_因子設定!$L$5-0.000000001,E1706&lt;=01_因子設定!$M$5+0.000000001,F1706&gt;=01_因子設定!$L$6-0.000000001,F1706&lt;=01_因子設定!$M$6+0.000000001,G1706&gt;=01_因子設定!$L$7-0.000000001,G1706&lt;=01_因子設定!$M$7+0.000000001,H1706&gt;=01_因子設定!$L$8-0.000000001,H1706&lt;=01_因子設定!$M$8+0.000000001,IF(01_因子設定!$B$20="Box-Behnken",E1706^2+F1706^2+G1706^2+H1706^2&lt;=2+0.000000001,TRUE()))</f>
        <v>1</v>
      </c>
      <c r="AD1706" s="55" t="n">
        <f aca="false">IF(AC1706,IF(01_因子設定!$B$13="最大化",AA1706-01_因子設定!$B$14,IF(01_因子設定!$B$13="最小化",01_因子設定!$B$15-AB1706,MIN(AA1706-01_因子設定!$B$14,01_因子設定!$B$15-AB1706))),-1E+030)</f>
        <v>-4.85241544608005</v>
      </c>
      <c r="AE1706" s="55" t="n">
        <f aca="false">IF(AC1706,IF(01_因子設定!$B$13="最大化",X1706,IF(01_因子設定!$B$13="最小化",-X1706,-ABS(X1706-01_因子設定!$B$16))),-1E+030)</f>
        <v>43.3113121345029</v>
      </c>
      <c r="AF1706" s="55" t="n">
        <f aca="false">AD1706+ROW()*0.000000001</f>
        <v>-4.85241374008005</v>
      </c>
      <c r="AG1706" s="55" t="n">
        <f aca="false">AE1706+ROW()*0.000000001</f>
        <v>43.3113138405029</v>
      </c>
    </row>
    <row r="1707" customFormat="false" ht="15" hidden="false" customHeight="false" outlineLevel="0" collapsed="false">
      <c r="A1707" s="0" t="n">
        <v>2</v>
      </c>
      <c r="B1707" s="0" t="n">
        <v>3</v>
      </c>
      <c r="C1707" s="0" t="n">
        <v>0</v>
      </c>
      <c r="D1707" s="0" t="n">
        <v>1</v>
      </c>
      <c r="E1707" s="0" t="n">
        <f aca="false">-1+A1707*0.25</f>
        <v>-0.5</v>
      </c>
      <c r="F1707" s="0" t="n">
        <f aca="false">-1+B1707*0.25</f>
        <v>-0.25</v>
      </c>
      <c r="G1707" s="0" t="n">
        <f aca="false">-1+C1707*0.25</f>
        <v>-1</v>
      </c>
      <c r="H1707" s="0" t="n">
        <f aca="false">-1+D1707*0.25</f>
        <v>-0.75</v>
      </c>
      <c r="I1707" s="0" t="n">
        <f aca="false">1</f>
        <v>1</v>
      </c>
      <c r="J1707" s="0" t="n">
        <f aca="false">E1707</f>
        <v>-0.5</v>
      </c>
      <c r="K1707" s="0" t="n">
        <f aca="false">F1707</f>
        <v>-0.25</v>
      </c>
      <c r="L1707" s="0" t="n">
        <f aca="false">G1707</f>
        <v>-1</v>
      </c>
      <c r="M1707" s="0" t="n">
        <f aca="false">H1707</f>
        <v>-0.75</v>
      </c>
      <c r="N1707" s="0" t="n">
        <f aca="false">E1707*F1707</f>
        <v>0.125</v>
      </c>
      <c r="O1707" s="0" t="n">
        <f aca="false">E1707*G1707</f>
        <v>0.5</v>
      </c>
      <c r="P1707" s="0" t="n">
        <f aca="false">E1707*H1707</f>
        <v>0.375</v>
      </c>
      <c r="Q1707" s="0" t="n">
        <f aca="false">F1707*G1707</f>
        <v>0.25</v>
      </c>
      <c r="R1707" s="0" t="n">
        <f aca="false">F1707*H1707</f>
        <v>0.1875</v>
      </c>
      <c r="S1707" s="0" t="n">
        <f aca="false">G1707*H1707</f>
        <v>0.75</v>
      </c>
      <c r="T1707" s="0" t="n">
        <f aca="false">E1707*E1707</f>
        <v>0.25</v>
      </c>
      <c r="U1707" s="0" t="n">
        <f aca="false">F1707*F1707</f>
        <v>0.0625</v>
      </c>
      <c r="V1707" s="0" t="n">
        <f aca="false">G1707*G1707</f>
        <v>1</v>
      </c>
      <c r="W1707" s="0" t="n">
        <f aca="false">H1707*H1707</f>
        <v>0.5625</v>
      </c>
      <c r="X1707" s="0" t="n">
        <f aca="false">SUMPRODUCT(I1707:W1707,_XtX!$B$96:$P$96)</f>
        <v>43.5058068347953</v>
      </c>
      <c r="Y1707" s="0" t="n">
        <f aca="false">SUMPRODUCT(MMULT(I1707:W1707,_XtX!$B$78:$P$92),I1707:W1707)</f>
        <v>0.459125719572369</v>
      </c>
      <c r="Z1707" s="0" t="n">
        <f aca="false">04_回帰ANOVA!$K$19*04_回帰ANOVA!$K$14*SQRT(1+Y1707)</f>
        <v>1.57450755575573</v>
      </c>
      <c r="AA1707" s="0" t="n">
        <f aca="false">X1707-Z1707</f>
        <v>41.9312992790396</v>
      </c>
      <c r="AB1707" s="0" t="n">
        <f aca="false">X1707+Z1707</f>
        <v>45.080314390551</v>
      </c>
      <c r="AC1707" s="54" t="b">
        <f aca="false">AND(E1707&gt;=01_因子設定!$L$5-0.000000001,E1707&lt;=01_因子設定!$M$5+0.000000001,F1707&gt;=01_因子設定!$L$6-0.000000001,F1707&lt;=01_因子設定!$M$6+0.000000001,G1707&gt;=01_因子設定!$L$7-0.000000001,G1707&lt;=01_因子設定!$M$7+0.000000001,H1707&gt;=01_因子設定!$L$8-0.000000001,H1707&lt;=01_因子設定!$M$8+0.000000001,IF(01_因子設定!$B$20="Box-Behnken",E1707^2+F1707^2+G1707^2+H1707^2&lt;=2+0.000000001,TRUE()))</f>
        <v>1</v>
      </c>
      <c r="AD1707" s="55" t="n">
        <f aca="false">IF(AC1707,IF(01_因子設定!$B$13="最大化",AA1707-01_因子設定!$B$14,IF(01_因子設定!$B$13="最小化",01_因子設定!$B$15-AB1707,MIN(AA1707-01_因子設定!$B$14,01_因子設定!$B$15-AB1707))),-1E+030)</f>
        <v>-4.56870072096043</v>
      </c>
      <c r="AE1707" s="55" t="n">
        <f aca="false">IF(AC1707,IF(01_因子設定!$B$13="最大化",X1707,IF(01_因子設定!$B$13="最小化",-X1707,-ABS(X1707-01_因子設定!$B$16))),-1E+030)</f>
        <v>43.5058068347953</v>
      </c>
      <c r="AF1707" s="55" t="n">
        <f aca="false">AD1707+ROW()*0.000000001</f>
        <v>-4.56869901396043</v>
      </c>
      <c r="AG1707" s="55" t="n">
        <f aca="false">AE1707+ROW()*0.000000001</f>
        <v>43.5058085417953</v>
      </c>
    </row>
    <row r="1708" customFormat="false" ht="15" hidden="false" customHeight="false" outlineLevel="0" collapsed="false">
      <c r="A1708" s="0" t="n">
        <v>2</v>
      </c>
      <c r="B1708" s="0" t="n">
        <v>3</v>
      </c>
      <c r="C1708" s="0" t="n">
        <v>0</v>
      </c>
      <c r="D1708" s="0" t="n">
        <v>2</v>
      </c>
      <c r="E1708" s="0" t="n">
        <f aca="false">-1+A1708*0.25</f>
        <v>-0.5</v>
      </c>
      <c r="F1708" s="0" t="n">
        <f aca="false">-1+B1708*0.25</f>
        <v>-0.25</v>
      </c>
      <c r="G1708" s="0" t="n">
        <f aca="false">-1+C1708*0.25</f>
        <v>-1</v>
      </c>
      <c r="H1708" s="0" t="n">
        <f aca="false">-1+D1708*0.25</f>
        <v>-0.5</v>
      </c>
      <c r="I1708" s="0" t="n">
        <f aca="false">1</f>
        <v>1</v>
      </c>
      <c r="J1708" s="0" t="n">
        <f aca="false">E1708</f>
        <v>-0.5</v>
      </c>
      <c r="K1708" s="0" t="n">
        <f aca="false">F1708</f>
        <v>-0.25</v>
      </c>
      <c r="L1708" s="0" t="n">
        <f aca="false">G1708</f>
        <v>-1</v>
      </c>
      <c r="M1708" s="0" t="n">
        <f aca="false">H1708</f>
        <v>-0.5</v>
      </c>
      <c r="N1708" s="0" t="n">
        <f aca="false">E1708*F1708</f>
        <v>0.125</v>
      </c>
      <c r="O1708" s="0" t="n">
        <f aca="false">E1708*G1708</f>
        <v>0.5</v>
      </c>
      <c r="P1708" s="0" t="n">
        <f aca="false">E1708*H1708</f>
        <v>0.25</v>
      </c>
      <c r="Q1708" s="0" t="n">
        <f aca="false">F1708*G1708</f>
        <v>0.25</v>
      </c>
      <c r="R1708" s="0" t="n">
        <f aca="false">F1708*H1708</f>
        <v>0.125</v>
      </c>
      <c r="S1708" s="0" t="n">
        <f aca="false">G1708*H1708</f>
        <v>0.5</v>
      </c>
      <c r="T1708" s="0" t="n">
        <f aca="false">E1708*E1708</f>
        <v>0.25</v>
      </c>
      <c r="U1708" s="0" t="n">
        <f aca="false">F1708*F1708</f>
        <v>0.0625</v>
      </c>
      <c r="V1708" s="0" t="n">
        <f aca="false">G1708*G1708</f>
        <v>1</v>
      </c>
      <c r="W1708" s="0" t="n">
        <f aca="false">H1708*H1708</f>
        <v>0.25</v>
      </c>
      <c r="X1708" s="0" t="n">
        <f aca="false">SUMPRODUCT(I1708:W1708,_XtX!$B$96:$P$96)</f>
        <v>43.6524945175438</v>
      </c>
      <c r="Y1708" s="0" t="n">
        <f aca="false">SUMPRODUCT(MMULT(I1708:W1708,_XtX!$B$78:$P$92),I1708:W1708)</f>
        <v>0.428122715643275</v>
      </c>
      <c r="Z1708" s="0" t="n">
        <f aca="false">04_回帰ANOVA!$K$19*04_回帰ANOVA!$K$14*SQRT(1+Y1708)</f>
        <v>1.55769044623229</v>
      </c>
      <c r="AA1708" s="0" t="n">
        <f aca="false">X1708-Z1708</f>
        <v>42.0948040713115</v>
      </c>
      <c r="AB1708" s="0" t="n">
        <f aca="false">X1708+Z1708</f>
        <v>45.2101849637761</v>
      </c>
      <c r="AC1708" s="54" t="b">
        <f aca="false">AND(E1708&gt;=01_因子設定!$L$5-0.000000001,E1708&lt;=01_因子設定!$M$5+0.000000001,F1708&gt;=01_因子設定!$L$6-0.000000001,F1708&lt;=01_因子設定!$M$6+0.000000001,G1708&gt;=01_因子設定!$L$7-0.000000001,G1708&lt;=01_因子設定!$M$7+0.000000001,H1708&gt;=01_因子設定!$L$8-0.000000001,H1708&lt;=01_因子設定!$M$8+0.000000001,IF(01_因子設定!$B$20="Box-Behnken",E1708^2+F1708^2+G1708^2+H1708^2&lt;=2+0.000000001,TRUE()))</f>
        <v>1</v>
      </c>
      <c r="AD1708" s="55" t="n">
        <f aca="false">IF(AC1708,IF(01_因子設定!$B$13="最大化",AA1708-01_因子設定!$B$14,IF(01_因子設定!$B$13="最小化",01_因子設定!$B$15-AB1708,MIN(AA1708-01_因子設定!$B$14,01_因子設定!$B$15-AB1708))),-1E+030)</f>
        <v>-4.40519592868846</v>
      </c>
      <c r="AE1708" s="55" t="n">
        <f aca="false">IF(AC1708,IF(01_因子設定!$B$13="最大化",X1708,IF(01_因子設定!$B$13="最小化",-X1708,-ABS(X1708-01_因子設定!$B$16))),-1E+030)</f>
        <v>43.6524945175438</v>
      </c>
      <c r="AF1708" s="55" t="n">
        <f aca="false">AD1708+ROW()*0.000000001</f>
        <v>-4.40519422068846</v>
      </c>
      <c r="AG1708" s="55" t="n">
        <f aca="false">AE1708+ROW()*0.000000001</f>
        <v>43.6524962255438</v>
      </c>
    </row>
    <row r="1709" customFormat="false" ht="15" hidden="false" customHeight="false" outlineLevel="0" collapsed="false">
      <c r="A1709" s="0" t="n">
        <v>2</v>
      </c>
      <c r="B1709" s="0" t="n">
        <v>3</v>
      </c>
      <c r="C1709" s="0" t="n">
        <v>0</v>
      </c>
      <c r="D1709" s="0" t="n">
        <v>3</v>
      </c>
      <c r="E1709" s="0" t="n">
        <f aca="false">-1+A1709*0.25</f>
        <v>-0.5</v>
      </c>
      <c r="F1709" s="0" t="n">
        <f aca="false">-1+B1709*0.25</f>
        <v>-0.25</v>
      </c>
      <c r="G1709" s="0" t="n">
        <f aca="false">-1+C1709*0.25</f>
        <v>-1</v>
      </c>
      <c r="H1709" s="0" t="n">
        <f aca="false">-1+D1709*0.25</f>
        <v>-0.25</v>
      </c>
      <c r="I1709" s="0" t="n">
        <f aca="false">1</f>
        <v>1</v>
      </c>
      <c r="J1709" s="0" t="n">
        <f aca="false">E1709</f>
        <v>-0.5</v>
      </c>
      <c r="K1709" s="0" t="n">
        <f aca="false">F1709</f>
        <v>-0.25</v>
      </c>
      <c r="L1709" s="0" t="n">
        <f aca="false">G1709</f>
        <v>-1</v>
      </c>
      <c r="M1709" s="0" t="n">
        <f aca="false">H1709</f>
        <v>-0.25</v>
      </c>
      <c r="N1709" s="0" t="n">
        <f aca="false">E1709*F1709</f>
        <v>0.125</v>
      </c>
      <c r="O1709" s="0" t="n">
        <f aca="false">E1709*G1709</f>
        <v>0.5</v>
      </c>
      <c r="P1709" s="0" t="n">
        <f aca="false">E1709*H1709</f>
        <v>0.125</v>
      </c>
      <c r="Q1709" s="0" t="n">
        <f aca="false">F1709*G1709</f>
        <v>0.25</v>
      </c>
      <c r="R1709" s="0" t="n">
        <f aca="false">F1709*H1709</f>
        <v>0.0625</v>
      </c>
      <c r="S1709" s="0" t="n">
        <f aca="false">G1709*H1709</f>
        <v>0.25</v>
      </c>
      <c r="T1709" s="0" t="n">
        <f aca="false">E1709*E1709</f>
        <v>0.25</v>
      </c>
      <c r="U1709" s="0" t="n">
        <f aca="false">F1709*F1709</f>
        <v>0.0625</v>
      </c>
      <c r="V1709" s="0" t="n">
        <f aca="false">G1709*G1709</f>
        <v>1</v>
      </c>
      <c r="W1709" s="0" t="n">
        <f aca="false">H1709*H1709</f>
        <v>0.0625</v>
      </c>
      <c r="X1709" s="0" t="n">
        <f aca="false">SUMPRODUCT(I1709:W1709,_XtX!$B$96:$P$96)</f>
        <v>43.7513751827485</v>
      </c>
      <c r="Y1709" s="0" t="n">
        <f aca="false">SUMPRODUCT(MMULT(I1709:W1709,_XtX!$B$78:$P$92),I1709:W1709)</f>
        <v>0.445705123812135</v>
      </c>
      <c r="Z1709" s="0" t="n">
        <f aca="false">04_回帰ANOVA!$K$19*04_回帰ANOVA!$K$14*SQRT(1+Y1709)</f>
        <v>1.56724990734749</v>
      </c>
      <c r="AA1709" s="0" t="n">
        <f aca="false">X1709-Z1709</f>
        <v>42.184125275401</v>
      </c>
      <c r="AB1709" s="0" t="n">
        <f aca="false">X1709+Z1709</f>
        <v>45.318625090096</v>
      </c>
      <c r="AC1709" s="54" t="b">
        <f aca="false">AND(E1709&gt;=01_因子設定!$L$5-0.000000001,E1709&lt;=01_因子設定!$M$5+0.000000001,F1709&gt;=01_因子設定!$L$6-0.000000001,F1709&lt;=01_因子設定!$M$6+0.000000001,G1709&gt;=01_因子設定!$L$7-0.000000001,G1709&lt;=01_因子設定!$M$7+0.000000001,H1709&gt;=01_因子設定!$L$8-0.000000001,H1709&lt;=01_因子設定!$M$8+0.000000001,IF(01_因子設定!$B$20="Box-Behnken",E1709^2+F1709^2+G1709^2+H1709^2&lt;=2+0.000000001,TRUE()))</f>
        <v>1</v>
      </c>
      <c r="AD1709" s="55" t="n">
        <f aca="false">IF(AC1709,IF(01_因子設定!$B$13="最大化",AA1709-01_因子設定!$B$14,IF(01_因子設定!$B$13="最小化",01_因子設定!$B$15-AB1709,MIN(AA1709-01_因子設定!$B$14,01_因子設定!$B$15-AB1709))),-1E+030)</f>
        <v>-4.31587472459898</v>
      </c>
      <c r="AE1709" s="55" t="n">
        <f aca="false">IF(AC1709,IF(01_因子設定!$B$13="最大化",X1709,IF(01_因子設定!$B$13="最小化",-X1709,-ABS(X1709-01_因子設定!$B$16))),-1E+030)</f>
        <v>43.7513751827485</v>
      </c>
      <c r="AF1709" s="55" t="n">
        <f aca="false">AD1709+ROW()*0.000000001</f>
        <v>-4.31587301559898</v>
      </c>
      <c r="AG1709" s="55" t="n">
        <f aca="false">AE1709+ROW()*0.000000001</f>
        <v>43.7513768917485</v>
      </c>
    </row>
    <row r="1710" customFormat="false" ht="15" hidden="false" customHeight="false" outlineLevel="0" collapsed="false">
      <c r="A1710" s="0" t="n">
        <v>2</v>
      </c>
      <c r="B1710" s="0" t="n">
        <v>3</v>
      </c>
      <c r="C1710" s="0" t="n">
        <v>0</v>
      </c>
      <c r="D1710" s="0" t="n">
        <v>4</v>
      </c>
      <c r="E1710" s="0" t="n">
        <f aca="false">-1+A1710*0.25</f>
        <v>-0.5</v>
      </c>
      <c r="F1710" s="0" t="n">
        <f aca="false">-1+B1710*0.25</f>
        <v>-0.25</v>
      </c>
      <c r="G1710" s="0" t="n">
        <f aca="false">-1+C1710*0.25</f>
        <v>-1</v>
      </c>
      <c r="H1710" s="0" t="n">
        <f aca="false">-1+D1710*0.25</f>
        <v>0</v>
      </c>
      <c r="I1710" s="0" t="n">
        <f aca="false">1</f>
        <v>1</v>
      </c>
      <c r="J1710" s="0" t="n">
        <f aca="false">E1710</f>
        <v>-0.5</v>
      </c>
      <c r="K1710" s="0" t="n">
        <f aca="false">F1710</f>
        <v>-0.25</v>
      </c>
      <c r="L1710" s="0" t="n">
        <f aca="false">G1710</f>
        <v>-1</v>
      </c>
      <c r="M1710" s="0" t="n">
        <f aca="false">H1710</f>
        <v>0</v>
      </c>
      <c r="N1710" s="0" t="n">
        <f aca="false">E1710*F1710</f>
        <v>0.125</v>
      </c>
      <c r="O1710" s="0" t="n">
        <f aca="false">E1710*G1710</f>
        <v>0.5</v>
      </c>
      <c r="P1710" s="0" t="n">
        <f aca="false">E1710*H1710</f>
        <v>-0</v>
      </c>
      <c r="Q1710" s="0" t="n">
        <f aca="false">F1710*G1710</f>
        <v>0.25</v>
      </c>
      <c r="R1710" s="0" t="n">
        <f aca="false">F1710*H1710</f>
        <v>-0</v>
      </c>
      <c r="S1710" s="0" t="n">
        <f aca="false">G1710*H1710</f>
        <v>-0</v>
      </c>
      <c r="T1710" s="0" t="n">
        <f aca="false">E1710*E1710</f>
        <v>0.25</v>
      </c>
      <c r="U1710" s="0" t="n">
        <f aca="false">F1710*F1710</f>
        <v>0.0625</v>
      </c>
      <c r="V1710" s="0" t="n">
        <f aca="false">G1710*G1710</f>
        <v>1</v>
      </c>
      <c r="W1710" s="0" t="n">
        <f aca="false">H1710*H1710</f>
        <v>0</v>
      </c>
      <c r="X1710" s="0" t="n">
        <f aca="false">SUMPRODUCT(I1710:W1710,_XtX!$B$96:$P$96)</f>
        <v>43.8024488304093</v>
      </c>
      <c r="Y1710" s="0" t="n">
        <f aca="false">SUMPRODUCT(MMULT(I1710:W1710,_XtX!$B$78:$P$92),I1710:W1710)</f>
        <v>0.457596628289474</v>
      </c>
      <c r="Z1710" s="0" t="n">
        <f aca="false">04_回帰ANOVA!$K$19*04_回帰ANOVA!$K$14*SQRT(1+Y1710)</f>
        <v>1.57368233664366</v>
      </c>
      <c r="AA1710" s="0" t="n">
        <f aca="false">X1710-Z1710</f>
        <v>42.2287664937657</v>
      </c>
      <c r="AB1710" s="0" t="n">
        <f aca="false">X1710+Z1710</f>
        <v>45.376131167053</v>
      </c>
      <c r="AC1710" s="54" t="b">
        <f aca="false">AND(E1710&gt;=01_因子設定!$L$5-0.000000001,E1710&lt;=01_因子設定!$M$5+0.000000001,F1710&gt;=01_因子設定!$L$6-0.000000001,F1710&lt;=01_因子設定!$M$6+0.000000001,G1710&gt;=01_因子設定!$L$7-0.000000001,G1710&lt;=01_因子設定!$M$7+0.000000001,H1710&gt;=01_因子設定!$L$8-0.000000001,H1710&lt;=01_因子設定!$M$8+0.000000001,IF(01_因子設定!$B$20="Box-Behnken",E1710^2+F1710^2+G1710^2+H1710^2&lt;=2+0.000000001,TRUE()))</f>
        <v>1</v>
      </c>
      <c r="AD1710" s="55" t="n">
        <f aca="false">IF(AC1710,IF(01_因子設定!$B$13="最大化",AA1710-01_因子設定!$B$14,IF(01_因子設定!$B$13="最小化",01_因子設定!$B$15-AB1710,MIN(AA1710-01_因子設定!$B$14,01_因子設定!$B$15-AB1710))),-1E+030)</f>
        <v>-4.27123350623434</v>
      </c>
      <c r="AE1710" s="55" t="n">
        <f aca="false">IF(AC1710,IF(01_因子設定!$B$13="最大化",X1710,IF(01_因子設定!$B$13="最小化",-X1710,-ABS(X1710-01_因子設定!$B$16))),-1E+030)</f>
        <v>43.8024488304093</v>
      </c>
      <c r="AF1710" s="55" t="n">
        <f aca="false">AD1710+ROW()*0.000000001</f>
        <v>-4.27123179623434</v>
      </c>
      <c r="AG1710" s="55" t="n">
        <f aca="false">AE1710+ROW()*0.000000001</f>
        <v>43.8024505404093</v>
      </c>
    </row>
    <row r="1711" customFormat="false" ht="15" hidden="false" customHeight="false" outlineLevel="0" collapsed="false">
      <c r="A1711" s="0" t="n">
        <v>2</v>
      </c>
      <c r="B1711" s="0" t="n">
        <v>3</v>
      </c>
      <c r="C1711" s="0" t="n">
        <v>0</v>
      </c>
      <c r="D1711" s="0" t="n">
        <v>5</v>
      </c>
      <c r="E1711" s="0" t="n">
        <f aca="false">-1+A1711*0.25</f>
        <v>-0.5</v>
      </c>
      <c r="F1711" s="0" t="n">
        <f aca="false">-1+B1711*0.25</f>
        <v>-0.25</v>
      </c>
      <c r="G1711" s="0" t="n">
        <f aca="false">-1+C1711*0.25</f>
        <v>-1</v>
      </c>
      <c r="H1711" s="0" t="n">
        <f aca="false">-1+D1711*0.25</f>
        <v>0.25</v>
      </c>
      <c r="I1711" s="0" t="n">
        <f aca="false">1</f>
        <v>1</v>
      </c>
      <c r="J1711" s="0" t="n">
        <f aca="false">E1711</f>
        <v>-0.5</v>
      </c>
      <c r="K1711" s="0" t="n">
        <f aca="false">F1711</f>
        <v>-0.25</v>
      </c>
      <c r="L1711" s="0" t="n">
        <f aca="false">G1711</f>
        <v>-1</v>
      </c>
      <c r="M1711" s="0" t="n">
        <f aca="false">H1711</f>
        <v>0.25</v>
      </c>
      <c r="N1711" s="0" t="n">
        <f aca="false">E1711*F1711</f>
        <v>0.125</v>
      </c>
      <c r="O1711" s="0" t="n">
        <f aca="false">E1711*G1711</f>
        <v>0.5</v>
      </c>
      <c r="P1711" s="0" t="n">
        <f aca="false">E1711*H1711</f>
        <v>-0.125</v>
      </c>
      <c r="Q1711" s="0" t="n">
        <f aca="false">F1711*G1711</f>
        <v>0.25</v>
      </c>
      <c r="R1711" s="0" t="n">
        <f aca="false">F1711*H1711</f>
        <v>-0.0625</v>
      </c>
      <c r="S1711" s="0" t="n">
        <f aca="false">G1711*H1711</f>
        <v>-0.25</v>
      </c>
      <c r="T1711" s="0" t="n">
        <f aca="false">E1711*E1711</f>
        <v>0.25</v>
      </c>
      <c r="U1711" s="0" t="n">
        <f aca="false">F1711*F1711</f>
        <v>0.0625</v>
      </c>
      <c r="V1711" s="0" t="n">
        <f aca="false">G1711*G1711</f>
        <v>1</v>
      </c>
      <c r="W1711" s="0" t="n">
        <f aca="false">H1711*H1711</f>
        <v>0.0625</v>
      </c>
      <c r="X1711" s="0" t="n">
        <f aca="false">SUMPRODUCT(I1711:W1711,_XtX!$B$96:$P$96)</f>
        <v>43.8057154605263</v>
      </c>
      <c r="Y1711" s="0" t="n">
        <f aca="false">SUMPRODUCT(MMULT(I1711:W1711,_XtX!$B$78:$P$92),I1711:W1711)</f>
        <v>0.445705123812135</v>
      </c>
      <c r="Z1711" s="0" t="n">
        <f aca="false">04_回帰ANOVA!$K$19*04_回帰ANOVA!$K$14*SQRT(1+Y1711)</f>
        <v>1.56724990734749</v>
      </c>
      <c r="AA1711" s="0" t="n">
        <f aca="false">X1711-Z1711</f>
        <v>42.2384655531788</v>
      </c>
      <c r="AB1711" s="0" t="n">
        <f aca="false">X1711+Z1711</f>
        <v>45.3729653678738</v>
      </c>
      <c r="AC1711" s="54" t="b">
        <f aca="false">AND(E1711&gt;=01_因子設定!$L$5-0.000000001,E1711&lt;=01_因子設定!$M$5+0.000000001,F1711&gt;=01_因子設定!$L$6-0.000000001,F1711&lt;=01_因子設定!$M$6+0.000000001,G1711&gt;=01_因子設定!$L$7-0.000000001,G1711&lt;=01_因子設定!$M$7+0.000000001,H1711&gt;=01_因子設定!$L$8-0.000000001,H1711&lt;=01_因子設定!$M$8+0.000000001,IF(01_因子設定!$B$20="Box-Behnken",E1711^2+F1711^2+G1711^2+H1711^2&lt;=2+0.000000001,TRUE()))</f>
        <v>1</v>
      </c>
      <c r="AD1711" s="55" t="n">
        <f aca="false">IF(AC1711,IF(01_因子設定!$B$13="最大化",AA1711-01_因子設定!$B$14,IF(01_因子設定!$B$13="最小化",01_因子設定!$B$15-AB1711,MIN(AA1711-01_因子設定!$B$14,01_因子設定!$B$15-AB1711))),-1E+030)</f>
        <v>-4.26153444682121</v>
      </c>
      <c r="AE1711" s="55" t="n">
        <f aca="false">IF(AC1711,IF(01_因子設定!$B$13="最大化",X1711,IF(01_因子設定!$B$13="最小化",-X1711,-ABS(X1711-01_因子設定!$B$16))),-1E+030)</f>
        <v>43.8057154605263</v>
      </c>
      <c r="AF1711" s="55" t="n">
        <f aca="false">AD1711+ROW()*0.000000001</f>
        <v>-4.26153273582121</v>
      </c>
      <c r="AG1711" s="55" t="n">
        <f aca="false">AE1711+ROW()*0.000000001</f>
        <v>43.8057171715263</v>
      </c>
    </row>
    <row r="1712" customFormat="false" ht="15" hidden="false" customHeight="false" outlineLevel="0" collapsed="false">
      <c r="A1712" s="0" t="n">
        <v>2</v>
      </c>
      <c r="B1712" s="0" t="n">
        <v>3</v>
      </c>
      <c r="C1712" s="0" t="n">
        <v>0</v>
      </c>
      <c r="D1712" s="0" t="n">
        <v>6</v>
      </c>
      <c r="E1712" s="0" t="n">
        <f aca="false">-1+A1712*0.25</f>
        <v>-0.5</v>
      </c>
      <c r="F1712" s="0" t="n">
        <f aca="false">-1+B1712*0.25</f>
        <v>-0.25</v>
      </c>
      <c r="G1712" s="0" t="n">
        <f aca="false">-1+C1712*0.25</f>
        <v>-1</v>
      </c>
      <c r="H1712" s="0" t="n">
        <f aca="false">-1+D1712*0.25</f>
        <v>0.5</v>
      </c>
      <c r="I1712" s="0" t="n">
        <f aca="false">1</f>
        <v>1</v>
      </c>
      <c r="J1712" s="0" t="n">
        <f aca="false">E1712</f>
        <v>-0.5</v>
      </c>
      <c r="K1712" s="0" t="n">
        <f aca="false">F1712</f>
        <v>-0.25</v>
      </c>
      <c r="L1712" s="0" t="n">
        <f aca="false">G1712</f>
        <v>-1</v>
      </c>
      <c r="M1712" s="0" t="n">
        <f aca="false">H1712</f>
        <v>0.5</v>
      </c>
      <c r="N1712" s="0" t="n">
        <f aca="false">E1712*F1712</f>
        <v>0.125</v>
      </c>
      <c r="O1712" s="0" t="n">
        <f aca="false">E1712*G1712</f>
        <v>0.5</v>
      </c>
      <c r="P1712" s="0" t="n">
        <f aca="false">E1712*H1712</f>
        <v>-0.25</v>
      </c>
      <c r="Q1712" s="0" t="n">
        <f aca="false">F1712*G1712</f>
        <v>0.25</v>
      </c>
      <c r="R1712" s="0" t="n">
        <f aca="false">F1712*H1712</f>
        <v>-0.125</v>
      </c>
      <c r="S1712" s="0" t="n">
        <f aca="false">G1712*H1712</f>
        <v>-0.5</v>
      </c>
      <c r="T1712" s="0" t="n">
        <f aca="false">E1712*E1712</f>
        <v>0.25</v>
      </c>
      <c r="U1712" s="0" t="n">
        <f aca="false">F1712*F1712</f>
        <v>0.0625</v>
      </c>
      <c r="V1712" s="0" t="n">
        <f aca="false">G1712*G1712</f>
        <v>1</v>
      </c>
      <c r="W1712" s="0" t="n">
        <f aca="false">H1712*H1712</f>
        <v>0.25</v>
      </c>
      <c r="X1712" s="0" t="n">
        <f aca="false">SUMPRODUCT(I1712:W1712,_XtX!$B$96:$P$96)</f>
        <v>43.7611750730994</v>
      </c>
      <c r="Y1712" s="0" t="n">
        <f aca="false">SUMPRODUCT(MMULT(I1712:W1712,_XtX!$B$78:$P$92),I1712:W1712)</f>
        <v>0.428122715643275</v>
      </c>
      <c r="Z1712" s="0" t="n">
        <f aca="false">04_回帰ANOVA!$K$19*04_回帰ANOVA!$K$14*SQRT(1+Y1712)</f>
        <v>1.55769044623229</v>
      </c>
      <c r="AA1712" s="0" t="n">
        <f aca="false">X1712-Z1712</f>
        <v>42.2034846268671</v>
      </c>
      <c r="AB1712" s="0" t="n">
        <f aca="false">X1712+Z1712</f>
        <v>45.3188655193317</v>
      </c>
      <c r="AC1712" s="54" t="b">
        <f aca="false">AND(E1712&gt;=01_因子設定!$L$5-0.000000001,E1712&lt;=01_因子設定!$M$5+0.000000001,F1712&gt;=01_因子設定!$L$6-0.000000001,F1712&lt;=01_因子設定!$M$6+0.000000001,G1712&gt;=01_因子設定!$L$7-0.000000001,G1712&lt;=01_因子設定!$M$7+0.000000001,H1712&gt;=01_因子設定!$L$8-0.000000001,H1712&lt;=01_因子設定!$M$8+0.000000001,IF(01_因子設定!$B$20="Box-Behnken",E1712^2+F1712^2+G1712^2+H1712^2&lt;=2+0.000000001,TRUE()))</f>
        <v>1</v>
      </c>
      <c r="AD1712" s="55" t="n">
        <f aca="false">IF(AC1712,IF(01_因子設定!$B$13="最大化",AA1712-01_因子設定!$B$14,IF(01_因子設定!$B$13="最小化",01_因子設定!$B$15-AB1712,MIN(AA1712-01_因子設定!$B$14,01_因子設定!$B$15-AB1712))),-1E+030)</f>
        <v>-4.29651537313291</v>
      </c>
      <c r="AE1712" s="55" t="n">
        <f aca="false">IF(AC1712,IF(01_因子設定!$B$13="最大化",X1712,IF(01_因子設定!$B$13="最小化",-X1712,-ABS(X1712-01_因子設定!$B$16))),-1E+030)</f>
        <v>43.7611750730994</v>
      </c>
      <c r="AF1712" s="55" t="n">
        <f aca="false">AD1712+ROW()*0.000000001</f>
        <v>-4.29651366113291</v>
      </c>
      <c r="AG1712" s="55" t="n">
        <f aca="false">AE1712+ROW()*0.000000001</f>
        <v>43.7611767850994</v>
      </c>
    </row>
    <row r="1713" customFormat="false" ht="15" hidden="false" customHeight="false" outlineLevel="0" collapsed="false">
      <c r="A1713" s="0" t="n">
        <v>2</v>
      </c>
      <c r="B1713" s="0" t="n">
        <v>3</v>
      </c>
      <c r="C1713" s="0" t="n">
        <v>0</v>
      </c>
      <c r="D1713" s="0" t="n">
        <v>7</v>
      </c>
      <c r="E1713" s="0" t="n">
        <f aca="false">-1+A1713*0.25</f>
        <v>-0.5</v>
      </c>
      <c r="F1713" s="0" t="n">
        <f aca="false">-1+B1713*0.25</f>
        <v>-0.25</v>
      </c>
      <c r="G1713" s="0" t="n">
        <f aca="false">-1+C1713*0.25</f>
        <v>-1</v>
      </c>
      <c r="H1713" s="0" t="n">
        <f aca="false">-1+D1713*0.25</f>
        <v>0.75</v>
      </c>
      <c r="I1713" s="0" t="n">
        <f aca="false">1</f>
        <v>1</v>
      </c>
      <c r="J1713" s="0" t="n">
        <f aca="false">E1713</f>
        <v>-0.5</v>
      </c>
      <c r="K1713" s="0" t="n">
        <f aca="false">F1713</f>
        <v>-0.25</v>
      </c>
      <c r="L1713" s="0" t="n">
        <f aca="false">G1713</f>
        <v>-1</v>
      </c>
      <c r="M1713" s="0" t="n">
        <f aca="false">H1713</f>
        <v>0.75</v>
      </c>
      <c r="N1713" s="0" t="n">
        <f aca="false">E1713*F1713</f>
        <v>0.125</v>
      </c>
      <c r="O1713" s="0" t="n">
        <f aca="false">E1713*G1713</f>
        <v>0.5</v>
      </c>
      <c r="P1713" s="0" t="n">
        <f aca="false">E1713*H1713</f>
        <v>-0.375</v>
      </c>
      <c r="Q1713" s="0" t="n">
        <f aca="false">F1713*G1713</f>
        <v>0.25</v>
      </c>
      <c r="R1713" s="0" t="n">
        <f aca="false">F1713*H1713</f>
        <v>-0.1875</v>
      </c>
      <c r="S1713" s="0" t="n">
        <f aca="false">G1713*H1713</f>
        <v>-0.75</v>
      </c>
      <c r="T1713" s="0" t="n">
        <f aca="false">E1713*E1713</f>
        <v>0.25</v>
      </c>
      <c r="U1713" s="0" t="n">
        <f aca="false">F1713*F1713</f>
        <v>0.0625</v>
      </c>
      <c r="V1713" s="0" t="n">
        <f aca="false">G1713*G1713</f>
        <v>1</v>
      </c>
      <c r="W1713" s="0" t="n">
        <f aca="false">H1713*H1713</f>
        <v>0.5625</v>
      </c>
      <c r="X1713" s="0" t="n">
        <f aca="false">SUMPRODUCT(I1713:W1713,_XtX!$B$96:$P$96)</f>
        <v>43.6688276681286</v>
      </c>
      <c r="Y1713" s="0" t="n">
        <f aca="false">SUMPRODUCT(MMULT(I1713:W1713,_XtX!$B$78:$P$92),I1713:W1713)</f>
        <v>0.459125719572369</v>
      </c>
      <c r="Z1713" s="0" t="n">
        <f aca="false">04_回帰ANOVA!$K$19*04_回帰ANOVA!$K$14*SQRT(1+Y1713)</f>
        <v>1.57450755575573</v>
      </c>
      <c r="AA1713" s="0" t="n">
        <f aca="false">X1713-Z1713</f>
        <v>42.0943201123729</v>
      </c>
      <c r="AB1713" s="0" t="n">
        <f aca="false">X1713+Z1713</f>
        <v>45.2433352238844</v>
      </c>
      <c r="AC1713" s="54" t="b">
        <f aca="false">AND(E1713&gt;=01_因子設定!$L$5-0.000000001,E1713&lt;=01_因子設定!$M$5+0.000000001,F1713&gt;=01_因子設定!$L$6-0.000000001,F1713&lt;=01_因子設定!$M$6+0.000000001,G1713&gt;=01_因子設定!$L$7-0.000000001,G1713&lt;=01_因子設定!$M$7+0.000000001,H1713&gt;=01_因子設定!$L$8-0.000000001,H1713&lt;=01_因子設定!$M$8+0.000000001,IF(01_因子設定!$B$20="Box-Behnken",E1713^2+F1713^2+G1713^2+H1713^2&lt;=2+0.000000001,TRUE()))</f>
        <v>1</v>
      </c>
      <c r="AD1713" s="55" t="n">
        <f aca="false">IF(AC1713,IF(01_因子設定!$B$13="最大化",AA1713-01_因子設定!$B$14,IF(01_因子設定!$B$13="最小化",01_因子設定!$B$15-AB1713,MIN(AA1713-01_因子設定!$B$14,01_因子設定!$B$15-AB1713))),-1E+030)</f>
        <v>-4.4056798876271</v>
      </c>
      <c r="AE1713" s="55" t="n">
        <f aca="false">IF(AC1713,IF(01_因子設定!$B$13="最大化",X1713,IF(01_因子設定!$B$13="最小化",-X1713,-ABS(X1713-01_因子設定!$B$16))),-1E+030)</f>
        <v>43.6688276681286</v>
      </c>
      <c r="AF1713" s="55" t="n">
        <f aca="false">AD1713+ROW()*0.000000001</f>
        <v>-4.4056781746271</v>
      </c>
      <c r="AG1713" s="55" t="n">
        <f aca="false">AE1713+ROW()*0.000000001</f>
        <v>43.6688293811286</v>
      </c>
    </row>
    <row r="1714" customFormat="false" ht="15" hidden="false" customHeight="false" outlineLevel="0" collapsed="false">
      <c r="A1714" s="0" t="n">
        <v>2</v>
      </c>
      <c r="B1714" s="0" t="n">
        <v>3</v>
      </c>
      <c r="C1714" s="0" t="n">
        <v>0</v>
      </c>
      <c r="D1714" s="0" t="n">
        <v>8</v>
      </c>
      <c r="E1714" s="0" t="n">
        <f aca="false">-1+A1714*0.25</f>
        <v>-0.5</v>
      </c>
      <c r="F1714" s="0" t="n">
        <f aca="false">-1+B1714*0.25</f>
        <v>-0.25</v>
      </c>
      <c r="G1714" s="0" t="n">
        <f aca="false">-1+C1714*0.25</f>
        <v>-1</v>
      </c>
      <c r="H1714" s="0" t="n">
        <f aca="false">-1+D1714*0.25</f>
        <v>1</v>
      </c>
      <c r="I1714" s="0" t="n">
        <f aca="false">1</f>
        <v>1</v>
      </c>
      <c r="J1714" s="0" t="n">
        <f aca="false">E1714</f>
        <v>-0.5</v>
      </c>
      <c r="K1714" s="0" t="n">
        <f aca="false">F1714</f>
        <v>-0.25</v>
      </c>
      <c r="L1714" s="0" t="n">
        <f aca="false">G1714</f>
        <v>-1</v>
      </c>
      <c r="M1714" s="0" t="n">
        <f aca="false">H1714</f>
        <v>1</v>
      </c>
      <c r="N1714" s="0" t="n">
        <f aca="false">E1714*F1714</f>
        <v>0.125</v>
      </c>
      <c r="O1714" s="0" t="n">
        <f aca="false">E1714*G1714</f>
        <v>0.5</v>
      </c>
      <c r="P1714" s="0" t="n">
        <f aca="false">E1714*H1714</f>
        <v>-0.5</v>
      </c>
      <c r="Q1714" s="0" t="n">
        <f aca="false">F1714*G1714</f>
        <v>0.25</v>
      </c>
      <c r="R1714" s="0" t="n">
        <f aca="false">F1714*H1714</f>
        <v>-0.25</v>
      </c>
      <c r="S1714" s="0" t="n">
        <f aca="false">G1714*H1714</f>
        <v>-1</v>
      </c>
      <c r="T1714" s="0" t="n">
        <f aca="false">E1714*E1714</f>
        <v>0.25</v>
      </c>
      <c r="U1714" s="0" t="n">
        <f aca="false">F1714*F1714</f>
        <v>0.0625</v>
      </c>
      <c r="V1714" s="0" t="n">
        <f aca="false">G1714*G1714</f>
        <v>1</v>
      </c>
      <c r="W1714" s="0" t="n">
        <f aca="false">H1714*H1714</f>
        <v>1</v>
      </c>
      <c r="X1714" s="0" t="n">
        <f aca="false">SUMPRODUCT(I1714:W1714,_XtX!$B$96:$P$96)</f>
        <v>43.528673245614</v>
      </c>
      <c r="Y1714" s="0" t="n">
        <f aca="false">SUMPRODUCT(MMULT(I1714:W1714,_XtX!$B$78:$P$92),I1714:W1714)</f>
        <v>0.629174661915205</v>
      </c>
      <c r="Z1714" s="0" t="n">
        <f aca="false">04_回帰ANOVA!$K$19*04_回帰ANOVA!$K$14*SQRT(1+Y1714)</f>
        <v>1.66372758058297</v>
      </c>
      <c r="AA1714" s="0" t="n">
        <f aca="false">X1714-Z1714</f>
        <v>41.8649456650311</v>
      </c>
      <c r="AB1714" s="0" t="n">
        <f aca="false">X1714+Z1714</f>
        <v>45.192400826197</v>
      </c>
      <c r="AC1714" s="54" t="b">
        <f aca="false">AND(E1714&gt;=01_因子設定!$L$5-0.000000001,E1714&lt;=01_因子設定!$M$5+0.000000001,F1714&gt;=01_因子設定!$L$6-0.000000001,F1714&lt;=01_因子設定!$M$6+0.000000001,G1714&gt;=01_因子設定!$L$7-0.000000001,G1714&lt;=01_因子設定!$M$7+0.000000001,H1714&gt;=01_因子設定!$L$8-0.000000001,H1714&lt;=01_因子設定!$M$8+0.000000001,IF(01_因子設定!$B$20="Box-Behnken",E1714^2+F1714^2+G1714^2+H1714^2&lt;=2+0.000000001,TRUE()))</f>
        <v>1</v>
      </c>
      <c r="AD1714" s="55" t="n">
        <f aca="false">IF(AC1714,IF(01_因子設定!$B$13="最大化",AA1714-01_因子設定!$B$14,IF(01_因子設定!$B$13="最小化",01_因子設定!$B$15-AB1714,MIN(AA1714-01_因子設定!$B$14,01_因子設定!$B$15-AB1714))),-1E+030)</f>
        <v>-4.63505433496894</v>
      </c>
      <c r="AE1714" s="55" t="n">
        <f aca="false">IF(AC1714,IF(01_因子設定!$B$13="最大化",X1714,IF(01_因子設定!$B$13="最小化",-X1714,-ABS(X1714-01_因子設定!$B$16))),-1E+030)</f>
        <v>43.528673245614</v>
      </c>
      <c r="AF1714" s="55" t="n">
        <f aca="false">AD1714+ROW()*0.000000001</f>
        <v>-4.63505262096894</v>
      </c>
      <c r="AG1714" s="55" t="n">
        <f aca="false">AE1714+ROW()*0.000000001</f>
        <v>43.528674959614</v>
      </c>
    </row>
    <row r="1715" customFormat="false" ht="15" hidden="false" customHeight="false" outlineLevel="0" collapsed="false">
      <c r="A1715" s="0" t="n">
        <v>2</v>
      </c>
      <c r="B1715" s="0" t="n">
        <v>3</v>
      </c>
      <c r="C1715" s="0" t="n">
        <v>1</v>
      </c>
      <c r="D1715" s="0" t="n">
        <v>0</v>
      </c>
      <c r="E1715" s="0" t="n">
        <f aca="false">-1+A1715*0.25</f>
        <v>-0.5</v>
      </c>
      <c r="F1715" s="0" t="n">
        <f aca="false">-1+B1715*0.25</f>
        <v>-0.25</v>
      </c>
      <c r="G1715" s="0" t="n">
        <f aca="false">-1+C1715*0.25</f>
        <v>-0.75</v>
      </c>
      <c r="H1715" s="0" t="n">
        <f aca="false">-1+D1715*0.25</f>
        <v>-1</v>
      </c>
      <c r="I1715" s="0" t="n">
        <f aca="false">1</f>
        <v>1</v>
      </c>
      <c r="J1715" s="0" t="n">
        <f aca="false">E1715</f>
        <v>-0.5</v>
      </c>
      <c r="K1715" s="0" t="n">
        <f aca="false">F1715</f>
        <v>-0.25</v>
      </c>
      <c r="L1715" s="0" t="n">
        <f aca="false">G1715</f>
        <v>-0.75</v>
      </c>
      <c r="M1715" s="0" t="n">
        <f aca="false">H1715</f>
        <v>-1</v>
      </c>
      <c r="N1715" s="0" t="n">
        <f aca="false">E1715*F1715</f>
        <v>0.125</v>
      </c>
      <c r="O1715" s="0" t="n">
        <f aca="false">E1715*G1715</f>
        <v>0.375</v>
      </c>
      <c r="P1715" s="0" t="n">
        <f aca="false">E1715*H1715</f>
        <v>0.5</v>
      </c>
      <c r="Q1715" s="0" t="n">
        <f aca="false">F1715*G1715</f>
        <v>0.1875</v>
      </c>
      <c r="R1715" s="0" t="n">
        <f aca="false">F1715*H1715</f>
        <v>0.25</v>
      </c>
      <c r="S1715" s="0" t="n">
        <f aca="false">G1715*H1715</f>
        <v>0.75</v>
      </c>
      <c r="T1715" s="0" t="n">
        <f aca="false">E1715*E1715</f>
        <v>0.25</v>
      </c>
      <c r="U1715" s="0" t="n">
        <f aca="false">F1715*F1715</f>
        <v>0.0625</v>
      </c>
      <c r="V1715" s="0" t="n">
        <f aca="false">G1715*G1715</f>
        <v>0.5625</v>
      </c>
      <c r="W1715" s="0" t="n">
        <f aca="false">H1715*H1715</f>
        <v>1</v>
      </c>
      <c r="X1715" s="0" t="n">
        <f aca="false">SUMPRODUCT(I1715:W1715,_XtX!$B$96:$P$96)</f>
        <v>43.8455637792398</v>
      </c>
      <c r="Y1715" s="0" t="n">
        <f aca="false">SUMPRODUCT(MMULT(I1715:W1715,_XtX!$B$78:$P$92),I1715:W1715)</f>
        <v>0.459125719572369</v>
      </c>
      <c r="Z1715" s="0" t="n">
        <f aca="false">04_回帰ANOVA!$K$19*04_回帰ANOVA!$K$14*SQRT(1+Y1715)</f>
        <v>1.57450755575573</v>
      </c>
      <c r="AA1715" s="0" t="n">
        <f aca="false">X1715-Z1715</f>
        <v>42.271056223484</v>
      </c>
      <c r="AB1715" s="0" t="n">
        <f aca="false">X1715+Z1715</f>
        <v>45.4200713349955</v>
      </c>
      <c r="AC1715" s="54" t="b">
        <f aca="false">AND(E1715&gt;=01_因子設定!$L$5-0.000000001,E1715&lt;=01_因子設定!$M$5+0.000000001,F1715&gt;=01_因子設定!$L$6-0.000000001,F1715&lt;=01_因子設定!$M$6+0.000000001,G1715&gt;=01_因子設定!$L$7-0.000000001,G1715&lt;=01_因子設定!$M$7+0.000000001,H1715&gt;=01_因子設定!$L$8-0.000000001,H1715&lt;=01_因子設定!$M$8+0.000000001,IF(01_因子設定!$B$20="Box-Behnken",E1715^2+F1715^2+G1715^2+H1715^2&lt;=2+0.000000001,TRUE()))</f>
        <v>1</v>
      </c>
      <c r="AD1715" s="55" t="n">
        <f aca="false">IF(AC1715,IF(01_因子設定!$B$13="最大化",AA1715-01_因子設定!$B$14,IF(01_因子設定!$B$13="最小化",01_因子設定!$B$15-AB1715,MIN(AA1715-01_因子設定!$B$14,01_因子設定!$B$15-AB1715))),-1E+030)</f>
        <v>-4.22894377651597</v>
      </c>
      <c r="AE1715" s="55" t="n">
        <f aca="false">IF(AC1715,IF(01_因子設定!$B$13="最大化",X1715,IF(01_因子設定!$B$13="最小化",-X1715,-ABS(X1715-01_因子設定!$B$16))),-1E+030)</f>
        <v>43.8455637792398</v>
      </c>
      <c r="AF1715" s="55" t="n">
        <f aca="false">AD1715+ROW()*0.000000001</f>
        <v>-4.22894206151597</v>
      </c>
      <c r="AG1715" s="55" t="n">
        <f aca="false">AE1715+ROW()*0.000000001</f>
        <v>43.8455654942398</v>
      </c>
    </row>
    <row r="1716" customFormat="false" ht="15" hidden="false" customHeight="false" outlineLevel="0" collapsed="false">
      <c r="A1716" s="0" t="n">
        <v>2</v>
      </c>
      <c r="B1716" s="0" t="n">
        <v>3</v>
      </c>
      <c r="C1716" s="0" t="n">
        <v>1</v>
      </c>
      <c r="D1716" s="0" t="n">
        <v>1</v>
      </c>
      <c r="E1716" s="0" t="n">
        <f aca="false">-1+A1716*0.25</f>
        <v>-0.5</v>
      </c>
      <c r="F1716" s="0" t="n">
        <f aca="false">-1+B1716*0.25</f>
        <v>-0.25</v>
      </c>
      <c r="G1716" s="0" t="n">
        <f aca="false">-1+C1716*0.25</f>
        <v>-0.75</v>
      </c>
      <c r="H1716" s="0" t="n">
        <f aca="false">-1+D1716*0.25</f>
        <v>-0.75</v>
      </c>
      <c r="I1716" s="0" t="n">
        <f aca="false">1</f>
        <v>1</v>
      </c>
      <c r="J1716" s="0" t="n">
        <f aca="false">E1716</f>
        <v>-0.5</v>
      </c>
      <c r="K1716" s="0" t="n">
        <f aca="false">F1716</f>
        <v>-0.25</v>
      </c>
      <c r="L1716" s="0" t="n">
        <f aca="false">G1716</f>
        <v>-0.75</v>
      </c>
      <c r="M1716" s="0" t="n">
        <f aca="false">H1716</f>
        <v>-0.75</v>
      </c>
      <c r="N1716" s="0" t="n">
        <f aca="false">E1716*F1716</f>
        <v>0.125</v>
      </c>
      <c r="O1716" s="0" t="n">
        <f aca="false">E1716*G1716</f>
        <v>0.375</v>
      </c>
      <c r="P1716" s="0" t="n">
        <f aca="false">E1716*H1716</f>
        <v>0.375</v>
      </c>
      <c r="Q1716" s="0" t="n">
        <f aca="false">F1716*G1716</f>
        <v>0.1875</v>
      </c>
      <c r="R1716" s="0" t="n">
        <f aca="false">F1716*H1716</f>
        <v>0.1875</v>
      </c>
      <c r="S1716" s="0" t="n">
        <f aca="false">G1716*H1716</f>
        <v>0.5625</v>
      </c>
      <c r="T1716" s="0" t="n">
        <f aca="false">E1716*E1716</f>
        <v>0.25</v>
      </c>
      <c r="U1716" s="0" t="n">
        <f aca="false">F1716*F1716</f>
        <v>0.0625</v>
      </c>
      <c r="V1716" s="0" t="n">
        <f aca="false">G1716*G1716</f>
        <v>0.5625</v>
      </c>
      <c r="W1716" s="0" t="n">
        <f aca="false">H1716*H1716</f>
        <v>0.5625</v>
      </c>
      <c r="X1716" s="0" t="n">
        <f aca="false">SUMPRODUCT(I1716:W1716,_XtX!$B$96:$P$96)</f>
        <v>44.0580272295321</v>
      </c>
      <c r="Y1716" s="0" t="n">
        <f aca="false">SUMPRODUCT(MMULT(I1716:W1716,_XtX!$B$78:$P$92),I1716:W1716)</f>
        <v>0.257385610836988</v>
      </c>
      <c r="Z1716" s="0" t="n">
        <f aca="false">04_回帰ANOVA!$K$19*04_回帰ANOVA!$K$14*SQRT(1+Y1716)</f>
        <v>1.46161380324158</v>
      </c>
      <c r="AA1716" s="0" t="n">
        <f aca="false">X1716-Z1716</f>
        <v>42.5964134262906</v>
      </c>
      <c r="AB1716" s="0" t="n">
        <f aca="false">X1716+Z1716</f>
        <v>45.5196410327737</v>
      </c>
      <c r="AC1716" s="54" t="b">
        <f aca="false">AND(E1716&gt;=01_因子設定!$L$5-0.000000001,E1716&lt;=01_因子設定!$M$5+0.000000001,F1716&gt;=01_因子設定!$L$6-0.000000001,F1716&lt;=01_因子設定!$M$6+0.000000001,G1716&gt;=01_因子設定!$L$7-0.000000001,G1716&lt;=01_因子設定!$M$7+0.000000001,H1716&gt;=01_因子設定!$L$8-0.000000001,H1716&lt;=01_因子設定!$M$8+0.000000001,IF(01_因子設定!$B$20="Box-Behnken",E1716^2+F1716^2+G1716^2+H1716^2&lt;=2+0.000000001,TRUE()))</f>
        <v>1</v>
      </c>
      <c r="AD1716" s="55" t="n">
        <f aca="false">IF(AC1716,IF(01_因子設定!$B$13="最大化",AA1716-01_因子設定!$B$14,IF(01_因子設定!$B$13="最小化",01_因子設定!$B$15-AB1716,MIN(AA1716-01_因子設定!$B$14,01_因子設定!$B$15-AB1716))),-1E+030)</f>
        <v>-3.90358657370944</v>
      </c>
      <c r="AE1716" s="55" t="n">
        <f aca="false">IF(AC1716,IF(01_因子設定!$B$13="最大化",X1716,IF(01_因子設定!$B$13="最小化",-X1716,-ABS(X1716-01_因子設定!$B$16))),-1E+030)</f>
        <v>44.0580272295321</v>
      </c>
      <c r="AF1716" s="55" t="n">
        <f aca="false">AD1716+ROW()*0.000000001</f>
        <v>-3.90358485770944</v>
      </c>
      <c r="AG1716" s="55" t="n">
        <f aca="false">AE1716+ROW()*0.000000001</f>
        <v>44.0580289455321</v>
      </c>
    </row>
    <row r="1717" customFormat="false" ht="15" hidden="false" customHeight="false" outlineLevel="0" collapsed="false">
      <c r="A1717" s="0" t="n">
        <v>2</v>
      </c>
      <c r="B1717" s="0" t="n">
        <v>3</v>
      </c>
      <c r="C1717" s="0" t="n">
        <v>1</v>
      </c>
      <c r="D1717" s="0" t="n">
        <v>2</v>
      </c>
      <c r="E1717" s="0" t="n">
        <f aca="false">-1+A1717*0.25</f>
        <v>-0.5</v>
      </c>
      <c r="F1717" s="0" t="n">
        <f aca="false">-1+B1717*0.25</f>
        <v>-0.25</v>
      </c>
      <c r="G1717" s="0" t="n">
        <f aca="false">-1+C1717*0.25</f>
        <v>-0.75</v>
      </c>
      <c r="H1717" s="0" t="n">
        <f aca="false">-1+D1717*0.25</f>
        <v>-0.5</v>
      </c>
      <c r="I1717" s="0" t="n">
        <f aca="false">1</f>
        <v>1</v>
      </c>
      <c r="J1717" s="0" t="n">
        <f aca="false">E1717</f>
        <v>-0.5</v>
      </c>
      <c r="K1717" s="0" t="n">
        <f aca="false">F1717</f>
        <v>-0.25</v>
      </c>
      <c r="L1717" s="0" t="n">
        <f aca="false">G1717</f>
        <v>-0.75</v>
      </c>
      <c r="M1717" s="0" t="n">
        <f aca="false">H1717</f>
        <v>-0.5</v>
      </c>
      <c r="N1717" s="0" t="n">
        <f aca="false">E1717*F1717</f>
        <v>0.125</v>
      </c>
      <c r="O1717" s="0" t="n">
        <f aca="false">E1717*G1717</f>
        <v>0.375</v>
      </c>
      <c r="P1717" s="0" t="n">
        <f aca="false">E1717*H1717</f>
        <v>0.25</v>
      </c>
      <c r="Q1717" s="0" t="n">
        <f aca="false">F1717*G1717</f>
        <v>0.1875</v>
      </c>
      <c r="R1717" s="0" t="n">
        <f aca="false">F1717*H1717</f>
        <v>0.125</v>
      </c>
      <c r="S1717" s="0" t="n">
        <f aca="false">G1717*H1717</f>
        <v>0.375</v>
      </c>
      <c r="T1717" s="0" t="n">
        <f aca="false">E1717*E1717</f>
        <v>0.25</v>
      </c>
      <c r="U1717" s="0" t="n">
        <f aca="false">F1717*F1717</f>
        <v>0.0625</v>
      </c>
      <c r="V1717" s="0" t="n">
        <f aca="false">G1717*G1717</f>
        <v>0.5625</v>
      </c>
      <c r="W1717" s="0" t="n">
        <f aca="false">H1717*H1717</f>
        <v>0.25</v>
      </c>
      <c r="X1717" s="0" t="n">
        <f aca="false">SUMPRODUCT(I1717:W1717,_XtX!$B$96:$P$96)</f>
        <v>44.2226836622807</v>
      </c>
      <c r="Y1717" s="0" t="n">
        <f aca="false">SUMPRODUCT(MMULT(I1717:W1717,_XtX!$B$78:$P$92),I1717:W1717)</f>
        <v>0.203746059484649</v>
      </c>
      <c r="Z1717" s="0" t="n">
        <f aca="false">04_回帰ANOVA!$K$19*04_回帰ANOVA!$K$14*SQRT(1+Y1717)</f>
        <v>1.43009810755465</v>
      </c>
      <c r="AA1717" s="0" t="n">
        <f aca="false">X1717-Z1717</f>
        <v>42.792585554726</v>
      </c>
      <c r="AB1717" s="0" t="n">
        <f aca="false">X1717+Z1717</f>
        <v>45.6527817698353</v>
      </c>
      <c r="AC1717" s="54" t="b">
        <f aca="false">AND(E1717&gt;=01_因子設定!$L$5-0.000000001,E1717&lt;=01_因子設定!$M$5+0.000000001,F1717&gt;=01_因子設定!$L$6-0.000000001,F1717&lt;=01_因子設定!$M$6+0.000000001,G1717&gt;=01_因子設定!$L$7-0.000000001,G1717&lt;=01_因子設定!$M$7+0.000000001,H1717&gt;=01_因子設定!$L$8-0.000000001,H1717&lt;=01_因子設定!$M$8+0.000000001,IF(01_因子設定!$B$20="Box-Behnken",E1717^2+F1717^2+G1717^2+H1717^2&lt;=2+0.000000001,TRUE()))</f>
        <v>1</v>
      </c>
      <c r="AD1717" s="55" t="n">
        <f aca="false">IF(AC1717,IF(01_因子設定!$B$13="最大化",AA1717-01_因子設定!$B$14,IF(01_因子設定!$B$13="最小化",01_因子設定!$B$15-AB1717,MIN(AA1717-01_因子設定!$B$14,01_因子設定!$B$15-AB1717))),-1E+030)</f>
        <v>-3.70741444527398</v>
      </c>
      <c r="AE1717" s="55" t="n">
        <f aca="false">IF(AC1717,IF(01_因子設定!$B$13="最大化",X1717,IF(01_因子設定!$B$13="最小化",-X1717,-ABS(X1717-01_因子設定!$B$16))),-1E+030)</f>
        <v>44.2226836622807</v>
      </c>
      <c r="AF1717" s="55" t="n">
        <f aca="false">AD1717+ROW()*0.000000001</f>
        <v>-3.70741272827398</v>
      </c>
      <c r="AG1717" s="55" t="n">
        <f aca="false">AE1717+ROW()*0.000000001</f>
        <v>44.2226853792807</v>
      </c>
    </row>
    <row r="1718" customFormat="false" ht="15" hidden="false" customHeight="false" outlineLevel="0" collapsed="false">
      <c r="A1718" s="0" t="n">
        <v>2</v>
      </c>
      <c r="B1718" s="0" t="n">
        <v>3</v>
      </c>
      <c r="C1718" s="0" t="n">
        <v>1</v>
      </c>
      <c r="D1718" s="0" t="n">
        <v>3</v>
      </c>
      <c r="E1718" s="0" t="n">
        <f aca="false">-1+A1718*0.25</f>
        <v>-0.5</v>
      </c>
      <c r="F1718" s="0" t="n">
        <f aca="false">-1+B1718*0.25</f>
        <v>-0.25</v>
      </c>
      <c r="G1718" s="0" t="n">
        <f aca="false">-1+C1718*0.25</f>
        <v>-0.75</v>
      </c>
      <c r="H1718" s="0" t="n">
        <f aca="false">-1+D1718*0.25</f>
        <v>-0.25</v>
      </c>
      <c r="I1718" s="0" t="n">
        <f aca="false">1</f>
        <v>1</v>
      </c>
      <c r="J1718" s="0" t="n">
        <f aca="false">E1718</f>
        <v>-0.5</v>
      </c>
      <c r="K1718" s="0" t="n">
        <f aca="false">F1718</f>
        <v>-0.25</v>
      </c>
      <c r="L1718" s="0" t="n">
        <f aca="false">G1718</f>
        <v>-0.75</v>
      </c>
      <c r="M1718" s="0" t="n">
        <f aca="false">H1718</f>
        <v>-0.25</v>
      </c>
      <c r="N1718" s="0" t="n">
        <f aca="false">E1718*F1718</f>
        <v>0.125</v>
      </c>
      <c r="O1718" s="0" t="n">
        <f aca="false">E1718*G1718</f>
        <v>0.375</v>
      </c>
      <c r="P1718" s="0" t="n">
        <f aca="false">E1718*H1718</f>
        <v>0.125</v>
      </c>
      <c r="Q1718" s="0" t="n">
        <f aca="false">F1718*G1718</f>
        <v>0.1875</v>
      </c>
      <c r="R1718" s="0" t="n">
        <f aca="false">F1718*H1718</f>
        <v>0.0625</v>
      </c>
      <c r="S1718" s="0" t="n">
        <f aca="false">G1718*H1718</f>
        <v>0.1875</v>
      </c>
      <c r="T1718" s="0" t="n">
        <f aca="false">E1718*E1718</f>
        <v>0.25</v>
      </c>
      <c r="U1718" s="0" t="n">
        <f aca="false">F1718*F1718</f>
        <v>0.0625</v>
      </c>
      <c r="V1718" s="0" t="n">
        <f aca="false">G1718*G1718</f>
        <v>0.5625</v>
      </c>
      <c r="W1718" s="0" t="n">
        <f aca="false">H1718*H1718</f>
        <v>0.0625</v>
      </c>
      <c r="X1718" s="0" t="n">
        <f aca="false">SUMPRODUCT(I1718:W1718,_XtX!$B$96:$P$96)</f>
        <v>44.3395330774853</v>
      </c>
      <c r="Y1718" s="0" t="n">
        <f aca="false">SUMPRODUCT(MMULT(I1718:W1718,_XtX!$B$78:$P$92),I1718:W1718)</f>
        <v>0.207746539199561</v>
      </c>
      <c r="Z1718" s="0" t="n">
        <f aca="false">04_回帰ANOVA!$K$19*04_回帰ANOVA!$K$14*SQRT(1+Y1718)</f>
        <v>1.43247250081141</v>
      </c>
      <c r="AA1718" s="0" t="n">
        <f aca="false">X1718-Z1718</f>
        <v>42.9070605766739</v>
      </c>
      <c r="AB1718" s="0" t="n">
        <f aca="false">X1718+Z1718</f>
        <v>45.7720055782968</v>
      </c>
      <c r="AC1718" s="54" t="b">
        <f aca="false">AND(E1718&gt;=01_因子設定!$L$5-0.000000001,E1718&lt;=01_因子設定!$M$5+0.000000001,F1718&gt;=01_因子設定!$L$6-0.000000001,F1718&lt;=01_因子設定!$M$6+0.000000001,G1718&gt;=01_因子設定!$L$7-0.000000001,G1718&lt;=01_因子設定!$M$7+0.000000001,H1718&gt;=01_因子設定!$L$8-0.000000001,H1718&lt;=01_因子設定!$M$8+0.000000001,IF(01_因子設定!$B$20="Box-Behnken",E1718^2+F1718^2+G1718^2+H1718^2&lt;=2+0.000000001,TRUE()))</f>
        <v>1</v>
      </c>
      <c r="AD1718" s="55" t="n">
        <f aca="false">IF(AC1718,IF(01_因子設定!$B$13="最大化",AA1718-01_因子設定!$B$14,IF(01_因子設定!$B$13="最小化",01_因子設定!$B$15-AB1718,MIN(AA1718-01_因子設定!$B$14,01_因子設定!$B$15-AB1718))),-1E+030)</f>
        <v>-3.59293942332607</v>
      </c>
      <c r="AE1718" s="55" t="n">
        <f aca="false">IF(AC1718,IF(01_因子設定!$B$13="最大化",X1718,IF(01_因子設定!$B$13="最小化",-X1718,-ABS(X1718-01_因子設定!$B$16))),-1E+030)</f>
        <v>44.3395330774853</v>
      </c>
      <c r="AF1718" s="55" t="n">
        <f aca="false">AD1718+ROW()*0.000000001</f>
        <v>-3.59293770532607</v>
      </c>
      <c r="AG1718" s="55" t="n">
        <f aca="false">AE1718+ROW()*0.000000001</f>
        <v>44.3395347954853</v>
      </c>
    </row>
    <row r="1719" customFormat="false" ht="15" hidden="false" customHeight="false" outlineLevel="0" collapsed="false">
      <c r="A1719" s="0" t="n">
        <v>2</v>
      </c>
      <c r="B1719" s="0" t="n">
        <v>3</v>
      </c>
      <c r="C1719" s="0" t="n">
        <v>1</v>
      </c>
      <c r="D1719" s="0" t="n">
        <v>4</v>
      </c>
      <c r="E1719" s="0" t="n">
        <f aca="false">-1+A1719*0.25</f>
        <v>-0.5</v>
      </c>
      <c r="F1719" s="0" t="n">
        <f aca="false">-1+B1719*0.25</f>
        <v>-0.25</v>
      </c>
      <c r="G1719" s="0" t="n">
        <f aca="false">-1+C1719*0.25</f>
        <v>-0.75</v>
      </c>
      <c r="H1719" s="0" t="n">
        <f aca="false">-1+D1719*0.25</f>
        <v>0</v>
      </c>
      <c r="I1719" s="0" t="n">
        <f aca="false">1</f>
        <v>1</v>
      </c>
      <c r="J1719" s="0" t="n">
        <f aca="false">E1719</f>
        <v>-0.5</v>
      </c>
      <c r="K1719" s="0" t="n">
        <f aca="false">F1719</f>
        <v>-0.25</v>
      </c>
      <c r="L1719" s="0" t="n">
        <f aca="false">G1719</f>
        <v>-0.75</v>
      </c>
      <c r="M1719" s="0" t="n">
        <f aca="false">H1719</f>
        <v>0</v>
      </c>
      <c r="N1719" s="0" t="n">
        <f aca="false">E1719*F1719</f>
        <v>0.125</v>
      </c>
      <c r="O1719" s="0" t="n">
        <f aca="false">E1719*G1719</f>
        <v>0.375</v>
      </c>
      <c r="P1719" s="0" t="n">
        <f aca="false">E1719*H1719</f>
        <v>-0</v>
      </c>
      <c r="Q1719" s="0" t="n">
        <f aca="false">F1719*G1719</f>
        <v>0.1875</v>
      </c>
      <c r="R1719" s="0" t="n">
        <f aca="false">F1719*H1719</f>
        <v>-0</v>
      </c>
      <c r="S1719" s="0" t="n">
        <f aca="false">G1719*H1719</f>
        <v>-0</v>
      </c>
      <c r="T1719" s="0" t="n">
        <f aca="false">E1719*E1719</f>
        <v>0.25</v>
      </c>
      <c r="U1719" s="0" t="n">
        <f aca="false">F1719*F1719</f>
        <v>0.0625</v>
      </c>
      <c r="V1719" s="0" t="n">
        <f aca="false">G1719*G1719</f>
        <v>0.5625</v>
      </c>
      <c r="W1719" s="0" t="n">
        <f aca="false">H1719*H1719</f>
        <v>0</v>
      </c>
      <c r="X1719" s="0" t="n">
        <f aca="false">SUMPRODUCT(I1719:W1719,_XtX!$B$96:$P$96)</f>
        <v>44.4085754751462</v>
      </c>
      <c r="Y1719" s="0" t="n">
        <f aca="false">SUMPRODUCT(MMULT(I1719:W1719,_XtX!$B$78:$P$92),I1719:W1719)</f>
        <v>0.215110734192252</v>
      </c>
      <c r="Z1719" s="0" t="n">
        <f aca="false">04_回帰ANOVA!$K$19*04_回帰ANOVA!$K$14*SQRT(1+Y1719)</f>
        <v>1.43683309086864</v>
      </c>
      <c r="AA1719" s="0" t="n">
        <f aca="false">X1719-Z1719</f>
        <v>42.9717423842775</v>
      </c>
      <c r="AB1719" s="0" t="n">
        <f aca="false">X1719+Z1719</f>
        <v>45.8454085660148</v>
      </c>
      <c r="AC1719" s="54" t="b">
        <f aca="false">AND(E1719&gt;=01_因子設定!$L$5-0.000000001,E1719&lt;=01_因子設定!$M$5+0.000000001,F1719&gt;=01_因子設定!$L$6-0.000000001,F1719&lt;=01_因子設定!$M$6+0.000000001,G1719&gt;=01_因子設定!$L$7-0.000000001,G1719&lt;=01_因子設定!$M$7+0.000000001,H1719&gt;=01_因子設定!$L$8-0.000000001,H1719&lt;=01_因子設定!$M$8+0.000000001,IF(01_因子設定!$B$20="Box-Behnken",E1719^2+F1719^2+G1719^2+H1719^2&lt;=2+0.000000001,TRUE()))</f>
        <v>1</v>
      </c>
      <c r="AD1719" s="55" t="n">
        <f aca="false">IF(AC1719,IF(01_因子設定!$B$13="最大化",AA1719-01_因子設定!$B$14,IF(01_因子設定!$B$13="最小化",01_因子設定!$B$15-AB1719,MIN(AA1719-01_因子設定!$B$14,01_因子設定!$B$15-AB1719))),-1E+030)</f>
        <v>-3.52825761572249</v>
      </c>
      <c r="AE1719" s="55" t="n">
        <f aca="false">IF(AC1719,IF(01_因子設定!$B$13="最大化",X1719,IF(01_因子設定!$B$13="最小化",-X1719,-ABS(X1719-01_因子設定!$B$16))),-1E+030)</f>
        <v>44.4085754751462</v>
      </c>
      <c r="AF1719" s="55" t="n">
        <f aca="false">AD1719+ROW()*0.000000001</f>
        <v>-3.52825589672249</v>
      </c>
      <c r="AG1719" s="55" t="n">
        <f aca="false">AE1719+ROW()*0.000000001</f>
        <v>44.4085771941462</v>
      </c>
    </row>
    <row r="1720" customFormat="false" ht="15" hidden="false" customHeight="false" outlineLevel="0" collapsed="false">
      <c r="A1720" s="0" t="n">
        <v>2</v>
      </c>
      <c r="B1720" s="0" t="n">
        <v>3</v>
      </c>
      <c r="C1720" s="0" t="n">
        <v>1</v>
      </c>
      <c r="D1720" s="0" t="n">
        <v>5</v>
      </c>
      <c r="E1720" s="0" t="n">
        <f aca="false">-1+A1720*0.25</f>
        <v>-0.5</v>
      </c>
      <c r="F1720" s="0" t="n">
        <f aca="false">-1+B1720*0.25</f>
        <v>-0.25</v>
      </c>
      <c r="G1720" s="0" t="n">
        <f aca="false">-1+C1720*0.25</f>
        <v>-0.75</v>
      </c>
      <c r="H1720" s="0" t="n">
        <f aca="false">-1+D1720*0.25</f>
        <v>0.25</v>
      </c>
      <c r="I1720" s="0" t="n">
        <f aca="false">1</f>
        <v>1</v>
      </c>
      <c r="J1720" s="0" t="n">
        <f aca="false">E1720</f>
        <v>-0.5</v>
      </c>
      <c r="K1720" s="0" t="n">
        <f aca="false">F1720</f>
        <v>-0.25</v>
      </c>
      <c r="L1720" s="0" t="n">
        <f aca="false">G1720</f>
        <v>-0.75</v>
      </c>
      <c r="M1720" s="0" t="n">
        <f aca="false">H1720</f>
        <v>0.25</v>
      </c>
      <c r="N1720" s="0" t="n">
        <f aca="false">E1720*F1720</f>
        <v>0.125</v>
      </c>
      <c r="O1720" s="0" t="n">
        <f aca="false">E1720*G1720</f>
        <v>0.375</v>
      </c>
      <c r="P1720" s="0" t="n">
        <f aca="false">E1720*H1720</f>
        <v>-0.125</v>
      </c>
      <c r="Q1720" s="0" t="n">
        <f aca="false">F1720*G1720</f>
        <v>0.1875</v>
      </c>
      <c r="R1720" s="0" t="n">
        <f aca="false">F1720*H1720</f>
        <v>-0.0625</v>
      </c>
      <c r="S1720" s="0" t="n">
        <f aca="false">G1720*H1720</f>
        <v>-0.1875</v>
      </c>
      <c r="T1720" s="0" t="n">
        <f aca="false">E1720*E1720</f>
        <v>0.25</v>
      </c>
      <c r="U1720" s="0" t="n">
        <f aca="false">F1720*F1720</f>
        <v>0.0625</v>
      </c>
      <c r="V1720" s="0" t="n">
        <f aca="false">G1720*G1720</f>
        <v>0.5625</v>
      </c>
      <c r="W1720" s="0" t="n">
        <f aca="false">H1720*H1720</f>
        <v>0.0625</v>
      </c>
      <c r="X1720" s="0" t="n">
        <f aca="false">SUMPRODUCT(I1720:W1720,_XtX!$B$96:$P$96)</f>
        <v>44.4298108552631</v>
      </c>
      <c r="Y1720" s="0" t="n">
        <f aca="false">SUMPRODUCT(MMULT(I1720:W1720,_XtX!$B$78:$P$92),I1720:W1720)</f>
        <v>0.207746539199561</v>
      </c>
      <c r="Z1720" s="0" t="n">
        <f aca="false">04_回帰ANOVA!$K$19*04_回帰ANOVA!$K$14*SQRT(1+Y1720)</f>
        <v>1.43247250081141</v>
      </c>
      <c r="AA1720" s="0" t="n">
        <f aca="false">X1720-Z1720</f>
        <v>42.9973383544517</v>
      </c>
      <c r="AB1720" s="0" t="n">
        <f aca="false">X1720+Z1720</f>
        <v>45.8622833560745</v>
      </c>
      <c r="AC1720" s="54" t="b">
        <f aca="false">AND(E1720&gt;=01_因子設定!$L$5-0.000000001,E1720&lt;=01_因子設定!$M$5+0.000000001,F1720&gt;=01_因子設定!$L$6-0.000000001,F1720&lt;=01_因子設定!$M$6+0.000000001,G1720&gt;=01_因子設定!$L$7-0.000000001,G1720&lt;=01_因子設定!$M$7+0.000000001,H1720&gt;=01_因子設定!$L$8-0.000000001,H1720&lt;=01_因子設定!$M$8+0.000000001,IF(01_因子設定!$B$20="Box-Behnken",E1720^2+F1720^2+G1720^2+H1720^2&lt;=2+0.000000001,TRUE()))</f>
        <v>1</v>
      </c>
      <c r="AD1720" s="55" t="n">
        <f aca="false">IF(AC1720,IF(01_因子設定!$B$13="最大化",AA1720-01_因子設定!$B$14,IF(01_因子設定!$B$13="最小化",01_因子設定!$B$15-AB1720,MIN(AA1720-01_因子設定!$B$14,01_因子設定!$B$15-AB1720))),-1E+030)</f>
        <v>-3.50266164554829</v>
      </c>
      <c r="AE1720" s="55" t="n">
        <f aca="false">IF(AC1720,IF(01_因子設定!$B$13="最大化",X1720,IF(01_因子設定!$B$13="最小化",-X1720,-ABS(X1720-01_因子設定!$B$16))),-1E+030)</f>
        <v>44.4298108552631</v>
      </c>
      <c r="AF1720" s="55" t="n">
        <f aca="false">AD1720+ROW()*0.000000001</f>
        <v>-3.50265992554829</v>
      </c>
      <c r="AG1720" s="55" t="n">
        <f aca="false">AE1720+ROW()*0.000000001</f>
        <v>44.4298125752631</v>
      </c>
    </row>
    <row r="1721" customFormat="false" ht="15" hidden="false" customHeight="false" outlineLevel="0" collapsed="false">
      <c r="A1721" s="0" t="n">
        <v>2</v>
      </c>
      <c r="B1721" s="0" t="n">
        <v>3</v>
      </c>
      <c r="C1721" s="0" t="n">
        <v>1</v>
      </c>
      <c r="D1721" s="0" t="n">
        <v>6</v>
      </c>
      <c r="E1721" s="0" t="n">
        <f aca="false">-1+A1721*0.25</f>
        <v>-0.5</v>
      </c>
      <c r="F1721" s="0" t="n">
        <f aca="false">-1+B1721*0.25</f>
        <v>-0.25</v>
      </c>
      <c r="G1721" s="0" t="n">
        <f aca="false">-1+C1721*0.25</f>
        <v>-0.75</v>
      </c>
      <c r="H1721" s="0" t="n">
        <f aca="false">-1+D1721*0.25</f>
        <v>0.5</v>
      </c>
      <c r="I1721" s="0" t="n">
        <f aca="false">1</f>
        <v>1</v>
      </c>
      <c r="J1721" s="0" t="n">
        <f aca="false">E1721</f>
        <v>-0.5</v>
      </c>
      <c r="K1721" s="0" t="n">
        <f aca="false">F1721</f>
        <v>-0.25</v>
      </c>
      <c r="L1721" s="0" t="n">
        <f aca="false">G1721</f>
        <v>-0.75</v>
      </c>
      <c r="M1721" s="0" t="n">
        <f aca="false">H1721</f>
        <v>0.5</v>
      </c>
      <c r="N1721" s="0" t="n">
        <f aca="false">E1721*F1721</f>
        <v>0.125</v>
      </c>
      <c r="O1721" s="0" t="n">
        <f aca="false">E1721*G1721</f>
        <v>0.375</v>
      </c>
      <c r="P1721" s="0" t="n">
        <f aca="false">E1721*H1721</f>
        <v>-0.25</v>
      </c>
      <c r="Q1721" s="0" t="n">
        <f aca="false">F1721*G1721</f>
        <v>0.1875</v>
      </c>
      <c r="R1721" s="0" t="n">
        <f aca="false">F1721*H1721</f>
        <v>-0.125</v>
      </c>
      <c r="S1721" s="0" t="n">
        <f aca="false">G1721*H1721</f>
        <v>-0.375</v>
      </c>
      <c r="T1721" s="0" t="n">
        <f aca="false">E1721*E1721</f>
        <v>0.25</v>
      </c>
      <c r="U1721" s="0" t="n">
        <f aca="false">F1721*F1721</f>
        <v>0.0625</v>
      </c>
      <c r="V1721" s="0" t="n">
        <f aca="false">G1721*G1721</f>
        <v>0.5625</v>
      </c>
      <c r="W1721" s="0" t="n">
        <f aca="false">H1721*H1721</f>
        <v>0.25</v>
      </c>
      <c r="X1721" s="0" t="n">
        <f aca="false">SUMPRODUCT(I1721:W1721,_XtX!$B$96:$P$96)</f>
        <v>44.4032392178362</v>
      </c>
      <c r="Y1721" s="0" t="n">
        <f aca="false">SUMPRODUCT(MMULT(I1721:W1721,_XtX!$B$78:$P$92),I1721:W1721)</f>
        <v>0.203746059484649</v>
      </c>
      <c r="Z1721" s="0" t="n">
        <f aca="false">04_回帰ANOVA!$K$19*04_回帰ANOVA!$K$14*SQRT(1+Y1721)</f>
        <v>1.43009810755465</v>
      </c>
      <c r="AA1721" s="0" t="n">
        <f aca="false">X1721-Z1721</f>
        <v>42.9731411102816</v>
      </c>
      <c r="AB1721" s="0" t="n">
        <f aca="false">X1721+Z1721</f>
        <v>45.8333373253909</v>
      </c>
      <c r="AC1721" s="54" t="b">
        <f aca="false">AND(E1721&gt;=01_因子設定!$L$5-0.000000001,E1721&lt;=01_因子設定!$M$5+0.000000001,F1721&gt;=01_因子設定!$L$6-0.000000001,F1721&lt;=01_因子設定!$M$6+0.000000001,G1721&gt;=01_因子設定!$L$7-0.000000001,G1721&lt;=01_因子設定!$M$7+0.000000001,H1721&gt;=01_因子設定!$L$8-0.000000001,H1721&lt;=01_因子設定!$M$8+0.000000001,IF(01_因子設定!$B$20="Box-Behnken",E1721^2+F1721^2+G1721^2+H1721^2&lt;=2+0.000000001,TRUE()))</f>
        <v>1</v>
      </c>
      <c r="AD1721" s="55" t="n">
        <f aca="false">IF(AC1721,IF(01_因子設定!$B$13="最大化",AA1721-01_因子設定!$B$14,IF(01_因子設定!$B$13="最小化",01_因子設定!$B$15-AB1721,MIN(AA1721-01_因子設定!$B$14,01_因子設定!$B$15-AB1721))),-1E+030)</f>
        <v>-3.52685888971843</v>
      </c>
      <c r="AE1721" s="55" t="n">
        <f aca="false">IF(AC1721,IF(01_因子設定!$B$13="最大化",X1721,IF(01_因子設定!$B$13="最小化",-X1721,-ABS(X1721-01_因子設定!$B$16))),-1E+030)</f>
        <v>44.4032392178362</v>
      </c>
      <c r="AF1721" s="55" t="n">
        <f aca="false">AD1721+ROW()*0.000000001</f>
        <v>-3.52685716871843</v>
      </c>
      <c r="AG1721" s="55" t="n">
        <f aca="false">AE1721+ROW()*0.000000001</f>
        <v>44.4032409388362</v>
      </c>
    </row>
    <row r="1722" customFormat="false" ht="15" hidden="false" customHeight="false" outlineLevel="0" collapsed="false">
      <c r="A1722" s="0" t="n">
        <v>2</v>
      </c>
      <c r="B1722" s="0" t="n">
        <v>3</v>
      </c>
      <c r="C1722" s="0" t="n">
        <v>1</v>
      </c>
      <c r="D1722" s="0" t="n">
        <v>7</v>
      </c>
      <c r="E1722" s="0" t="n">
        <f aca="false">-1+A1722*0.25</f>
        <v>-0.5</v>
      </c>
      <c r="F1722" s="0" t="n">
        <f aca="false">-1+B1722*0.25</f>
        <v>-0.25</v>
      </c>
      <c r="G1722" s="0" t="n">
        <f aca="false">-1+C1722*0.25</f>
        <v>-0.75</v>
      </c>
      <c r="H1722" s="0" t="n">
        <f aca="false">-1+D1722*0.25</f>
        <v>0.75</v>
      </c>
      <c r="I1722" s="0" t="n">
        <f aca="false">1</f>
        <v>1</v>
      </c>
      <c r="J1722" s="0" t="n">
        <f aca="false">E1722</f>
        <v>-0.5</v>
      </c>
      <c r="K1722" s="0" t="n">
        <f aca="false">F1722</f>
        <v>-0.25</v>
      </c>
      <c r="L1722" s="0" t="n">
        <f aca="false">G1722</f>
        <v>-0.75</v>
      </c>
      <c r="M1722" s="0" t="n">
        <f aca="false">H1722</f>
        <v>0.75</v>
      </c>
      <c r="N1722" s="0" t="n">
        <f aca="false">E1722*F1722</f>
        <v>0.125</v>
      </c>
      <c r="O1722" s="0" t="n">
        <f aca="false">E1722*G1722</f>
        <v>0.375</v>
      </c>
      <c r="P1722" s="0" t="n">
        <f aca="false">E1722*H1722</f>
        <v>-0.375</v>
      </c>
      <c r="Q1722" s="0" t="n">
        <f aca="false">F1722*G1722</f>
        <v>0.1875</v>
      </c>
      <c r="R1722" s="0" t="n">
        <f aca="false">F1722*H1722</f>
        <v>-0.1875</v>
      </c>
      <c r="S1722" s="0" t="n">
        <f aca="false">G1722*H1722</f>
        <v>-0.5625</v>
      </c>
      <c r="T1722" s="0" t="n">
        <f aca="false">E1722*E1722</f>
        <v>0.25</v>
      </c>
      <c r="U1722" s="0" t="n">
        <f aca="false">F1722*F1722</f>
        <v>0.0625</v>
      </c>
      <c r="V1722" s="0" t="n">
        <f aca="false">G1722*G1722</f>
        <v>0.5625</v>
      </c>
      <c r="W1722" s="0" t="n">
        <f aca="false">H1722*H1722</f>
        <v>0.5625</v>
      </c>
      <c r="X1722" s="0" t="n">
        <f aca="false">SUMPRODUCT(I1722:W1722,_XtX!$B$96:$P$96)</f>
        <v>44.3288605628655</v>
      </c>
      <c r="Y1722" s="0" t="n">
        <f aca="false">SUMPRODUCT(MMULT(I1722:W1722,_XtX!$B$78:$P$92),I1722:W1722)</f>
        <v>0.257385610836988</v>
      </c>
      <c r="Z1722" s="0" t="n">
        <f aca="false">04_回帰ANOVA!$K$19*04_回帰ANOVA!$K$14*SQRT(1+Y1722)</f>
        <v>1.46161380324158</v>
      </c>
      <c r="AA1722" s="0" t="n">
        <f aca="false">X1722-Z1722</f>
        <v>42.8672467596239</v>
      </c>
      <c r="AB1722" s="0" t="n">
        <f aca="false">X1722+Z1722</f>
        <v>45.7904743661071</v>
      </c>
      <c r="AC1722" s="54" t="b">
        <f aca="false">AND(E1722&gt;=01_因子設定!$L$5-0.000000001,E1722&lt;=01_因子設定!$M$5+0.000000001,F1722&gt;=01_因子設定!$L$6-0.000000001,F1722&lt;=01_因子設定!$M$6+0.000000001,G1722&gt;=01_因子設定!$L$7-0.000000001,G1722&lt;=01_因子設定!$M$7+0.000000001,H1722&gt;=01_因子設定!$L$8-0.000000001,H1722&lt;=01_因子設定!$M$8+0.000000001,IF(01_因子設定!$B$20="Box-Behnken",E1722^2+F1722^2+G1722^2+H1722^2&lt;=2+0.000000001,TRUE()))</f>
        <v>1</v>
      </c>
      <c r="AD1722" s="55" t="n">
        <f aca="false">IF(AC1722,IF(01_因子設定!$B$13="最大化",AA1722-01_因子設定!$B$14,IF(01_因子設定!$B$13="最小化",01_因子設定!$B$15-AB1722,MIN(AA1722-01_因子設定!$B$14,01_因子設定!$B$15-AB1722))),-1E+030)</f>
        <v>-3.6327532403761</v>
      </c>
      <c r="AE1722" s="55" t="n">
        <f aca="false">IF(AC1722,IF(01_因子設定!$B$13="最大化",X1722,IF(01_因子設定!$B$13="最小化",-X1722,-ABS(X1722-01_因子設定!$B$16))),-1E+030)</f>
        <v>44.3288605628655</v>
      </c>
      <c r="AF1722" s="55" t="n">
        <f aca="false">AD1722+ROW()*0.000000001</f>
        <v>-3.6327515183761</v>
      </c>
      <c r="AG1722" s="55" t="n">
        <f aca="false">AE1722+ROW()*0.000000001</f>
        <v>44.3288622848655</v>
      </c>
    </row>
    <row r="1723" customFormat="false" ht="15" hidden="false" customHeight="false" outlineLevel="0" collapsed="false">
      <c r="A1723" s="0" t="n">
        <v>2</v>
      </c>
      <c r="B1723" s="0" t="n">
        <v>3</v>
      </c>
      <c r="C1723" s="0" t="n">
        <v>1</v>
      </c>
      <c r="D1723" s="0" t="n">
        <v>8</v>
      </c>
      <c r="E1723" s="0" t="n">
        <f aca="false">-1+A1723*0.25</f>
        <v>-0.5</v>
      </c>
      <c r="F1723" s="0" t="n">
        <f aca="false">-1+B1723*0.25</f>
        <v>-0.25</v>
      </c>
      <c r="G1723" s="0" t="n">
        <f aca="false">-1+C1723*0.25</f>
        <v>-0.75</v>
      </c>
      <c r="H1723" s="0" t="n">
        <f aca="false">-1+D1723*0.25</f>
        <v>1</v>
      </c>
      <c r="I1723" s="0" t="n">
        <f aca="false">1</f>
        <v>1</v>
      </c>
      <c r="J1723" s="0" t="n">
        <f aca="false">E1723</f>
        <v>-0.5</v>
      </c>
      <c r="K1723" s="0" t="n">
        <f aca="false">F1723</f>
        <v>-0.25</v>
      </c>
      <c r="L1723" s="0" t="n">
        <f aca="false">G1723</f>
        <v>-0.75</v>
      </c>
      <c r="M1723" s="0" t="n">
        <f aca="false">H1723</f>
        <v>1</v>
      </c>
      <c r="N1723" s="0" t="n">
        <f aca="false">E1723*F1723</f>
        <v>0.125</v>
      </c>
      <c r="O1723" s="0" t="n">
        <f aca="false">E1723*G1723</f>
        <v>0.375</v>
      </c>
      <c r="P1723" s="0" t="n">
        <f aca="false">E1723*H1723</f>
        <v>-0.5</v>
      </c>
      <c r="Q1723" s="0" t="n">
        <f aca="false">F1723*G1723</f>
        <v>0.1875</v>
      </c>
      <c r="R1723" s="0" t="n">
        <f aca="false">F1723*H1723</f>
        <v>-0.25</v>
      </c>
      <c r="S1723" s="0" t="n">
        <f aca="false">G1723*H1723</f>
        <v>-0.75</v>
      </c>
      <c r="T1723" s="0" t="n">
        <f aca="false">E1723*E1723</f>
        <v>0.25</v>
      </c>
      <c r="U1723" s="0" t="n">
        <f aca="false">F1723*F1723</f>
        <v>0.0625</v>
      </c>
      <c r="V1723" s="0" t="n">
        <f aca="false">G1723*G1723</f>
        <v>0.5625</v>
      </c>
      <c r="W1723" s="0" t="n">
        <f aca="false">H1723*H1723</f>
        <v>1</v>
      </c>
      <c r="X1723" s="0" t="n">
        <f aca="false">SUMPRODUCT(I1723:W1723,_XtX!$B$96:$P$96)</f>
        <v>44.2066748903509</v>
      </c>
      <c r="Y1723" s="0" t="n">
        <f aca="false">SUMPRODUCT(MMULT(I1723:W1723,_XtX!$B$78:$P$92),I1723:W1723)</f>
        <v>0.459125719572369</v>
      </c>
      <c r="Z1723" s="0" t="n">
        <f aca="false">04_回帰ANOVA!$K$19*04_回帰ANOVA!$K$14*SQRT(1+Y1723)</f>
        <v>1.57450755575573</v>
      </c>
      <c r="AA1723" s="0" t="n">
        <f aca="false">X1723-Z1723</f>
        <v>42.6321673345951</v>
      </c>
      <c r="AB1723" s="0" t="n">
        <f aca="false">X1723+Z1723</f>
        <v>45.7811824461066</v>
      </c>
      <c r="AC1723" s="54" t="b">
        <f aca="false">AND(E1723&gt;=01_因子設定!$L$5-0.000000001,E1723&lt;=01_因子設定!$M$5+0.000000001,F1723&gt;=01_因子設定!$L$6-0.000000001,F1723&lt;=01_因子設定!$M$6+0.000000001,G1723&gt;=01_因子設定!$L$7-0.000000001,G1723&lt;=01_因子設定!$M$7+0.000000001,H1723&gt;=01_因子設定!$L$8-0.000000001,H1723&lt;=01_因子設定!$M$8+0.000000001,IF(01_因子設定!$B$20="Box-Behnken",E1723^2+F1723^2+G1723^2+H1723^2&lt;=2+0.000000001,TRUE()))</f>
        <v>1</v>
      </c>
      <c r="AD1723" s="55" t="n">
        <f aca="false">IF(AC1723,IF(01_因子設定!$B$13="最大化",AA1723-01_因子設定!$B$14,IF(01_因子設定!$B$13="最小化",01_因子設定!$B$15-AB1723,MIN(AA1723-01_因子設定!$B$14,01_因子設定!$B$15-AB1723))),-1E+030)</f>
        <v>-3.86783266540485</v>
      </c>
      <c r="AE1723" s="55" t="n">
        <f aca="false">IF(AC1723,IF(01_因子設定!$B$13="最大化",X1723,IF(01_因子設定!$B$13="最小化",-X1723,-ABS(X1723-01_因子設定!$B$16))),-1E+030)</f>
        <v>44.2066748903509</v>
      </c>
      <c r="AF1723" s="55" t="n">
        <f aca="false">AD1723+ROW()*0.000000001</f>
        <v>-3.86783094240485</v>
      </c>
      <c r="AG1723" s="55" t="n">
        <f aca="false">AE1723+ROW()*0.000000001</f>
        <v>44.2066766133509</v>
      </c>
    </row>
    <row r="1724" customFormat="false" ht="15" hidden="false" customHeight="false" outlineLevel="0" collapsed="false">
      <c r="A1724" s="0" t="n">
        <v>2</v>
      </c>
      <c r="B1724" s="0" t="n">
        <v>3</v>
      </c>
      <c r="C1724" s="0" t="n">
        <v>2</v>
      </c>
      <c r="D1724" s="0" t="n">
        <v>0</v>
      </c>
      <c r="E1724" s="0" t="n">
        <f aca="false">-1+A1724*0.25</f>
        <v>-0.5</v>
      </c>
      <c r="F1724" s="0" t="n">
        <f aca="false">-1+B1724*0.25</f>
        <v>-0.25</v>
      </c>
      <c r="G1724" s="0" t="n">
        <f aca="false">-1+C1724*0.25</f>
        <v>-0.5</v>
      </c>
      <c r="H1724" s="0" t="n">
        <f aca="false">-1+D1724*0.25</f>
        <v>-1</v>
      </c>
      <c r="I1724" s="0" t="n">
        <f aca="false">1</f>
        <v>1</v>
      </c>
      <c r="J1724" s="0" t="n">
        <f aca="false">E1724</f>
        <v>-0.5</v>
      </c>
      <c r="K1724" s="0" t="n">
        <f aca="false">F1724</f>
        <v>-0.25</v>
      </c>
      <c r="L1724" s="0" t="n">
        <f aca="false">G1724</f>
        <v>-0.5</v>
      </c>
      <c r="M1724" s="0" t="n">
        <f aca="false">H1724</f>
        <v>-1</v>
      </c>
      <c r="N1724" s="0" t="n">
        <f aca="false">E1724*F1724</f>
        <v>0.125</v>
      </c>
      <c r="O1724" s="0" t="n">
        <f aca="false">E1724*G1724</f>
        <v>0.25</v>
      </c>
      <c r="P1724" s="0" t="n">
        <f aca="false">E1724*H1724</f>
        <v>0.5</v>
      </c>
      <c r="Q1724" s="0" t="n">
        <f aca="false">F1724*G1724</f>
        <v>0.125</v>
      </c>
      <c r="R1724" s="0" t="n">
        <f aca="false">F1724*H1724</f>
        <v>0.25</v>
      </c>
      <c r="S1724" s="0" t="n">
        <f aca="false">G1724*H1724</f>
        <v>0.5</v>
      </c>
      <c r="T1724" s="0" t="n">
        <f aca="false">E1724*E1724</f>
        <v>0.25</v>
      </c>
      <c r="U1724" s="0" t="n">
        <f aca="false">F1724*F1724</f>
        <v>0.0625</v>
      </c>
      <c r="V1724" s="0" t="n">
        <f aca="false">G1724*G1724</f>
        <v>0.25</v>
      </c>
      <c r="W1724" s="0" t="n">
        <f aca="false">H1724*H1724</f>
        <v>1</v>
      </c>
      <c r="X1724" s="0" t="n">
        <f aca="false">SUMPRODUCT(I1724:W1724,_XtX!$B$96:$P$96)</f>
        <v>44.2945084064328</v>
      </c>
      <c r="Y1724" s="0" t="n">
        <f aca="false">SUMPRODUCT(MMULT(I1724:W1724,_XtX!$B$78:$P$92),I1724:W1724)</f>
        <v>0.428122715643275</v>
      </c>
      <c r="Z1724" s="0" t="n">
        <f aca="false">04_回帰ANOVA!$K$19*04_回帰ANOVA!$K$14*SQRT(1+Y1724)</f>
        <v>1.55769044623229</v>
      </c>
      <c r="AA1724" s="0" t="n">
        <f aca="false">X1724-Z1724</f>
        <v>42.7368179602005</v>
      </c>
      <c r="AB1724" s="0" t="n">
        <f aca="false">X1724+Z1724</f>
        <v>45.852198852665</v>
      </c>
      <c r="AC1724" s="54" t="b">
        <f aca="false">AND(E1724&gt;=01_因子設定!$L$5-0.000000001,E1724&lt;=01_因子設定!$M$5+0.000000001,F1724&gt;=01_因子設定!$L$6-0.000000001,F1724&lt;=01_因子設定!$M$6+0.000000001,G1724&gt;=01_因子設定!$L$7-0.000000001,G1724&lt;=01_因子設定!$M$7+0.000000001,H1724&gt;=01_因子設定!$L$8-0.000000001,H1724&lt;=01_因子設定!$M$8+0.000000001,IF(01_因子設定!$B$20="Box-Behnken",E1724^2+F1724^2+G1724^2+H1724^2&lt;=2+0.000000001,TRUE()))</f>
        <v>1</v>
      </c>
      <c r="AD1724" s="55" t="n">
        <f aca="false">IF(AC1724,IF(01_因子設定!$B$13="最大化",AA1724-01_因子設定!$B$14,IF(01_因子設定!$B$13="最小化",01_因子設定!$B$15-AB1724,MIN(AA1724-01_因子設定!$B$14,01_因子設定!$B$15-AB1724))),-1E+030)</f>
        <v>-3.76318203979955</v>
      </c>
      <c r="AE1724" s="55" t="n">
        <f aca="false">IF(AC1724,IF(01_因子設定!$B$13="最大化",X1724,IF(01_因子設定!$B$13="最小化",-X1724,-ABS(X1724-01_因子設定!$B$16))),-1E+030)</f>
        <v>44.2945084064328</v>
      </c>
      <c r="AF1724" s="55" t="n">
        <f aca="false">AD1724+ROW()*0.000000001</f>
        <v>-3.76318031579955</v>
      </c>
      <c r="AG1724" s="55" t="n">
        <f aca="false">AE1724+ROW()*0.000000001</f>
        <v>44.2945101304328</v>
      </c>
    </row>
    <row r="1725" customFormat="false" ht="15" hidden="false" customHeight="false" outlineLevel="0" collapsed="false">
      <c r="A1725" s="0" t="n">
        <v>2</v>
      </c>
      <c r="B1725" s="0" t="n">
        <v>3</v>
      </c>
      <c r="C1725" s="0" t="n">
        <v>2</v>
      </c>
      <c r="D1725" s="0" t="n">
        <v>1</v>
      </c>
      <c r="E1725" s="0" t="n">
        <f aca="false">-1+A1725*0.25</f>
        <v>-0.5</v>
      </c>
      <c r="F1725" s="0" t="n">
        <f aca="false">-1+B1725*0.25</f>
        <v>-0.25</v>
      </c>
      <c r="G1725" s="0" t="n">
        <f aca="false">-1+C1725*0.25</f>
        <v>-0.5</v>
      </c>
      <c r="H1725" s="0" t="n">
        <f aca="false">-1+D1725*0.25</f>
        <v>-0.75</v>
      </c>
      <c r="I1725" s="0" t="n">
        <f aca="false">1</f>
        <v>1</v>
      </c>
      <c r="J1725" s="0" t="n">
        <f aca="false">E1725</f>
        <v>-0.5</v>
      </c>
      <c r="K1725" s="0" t="n">
        <f aca="false">F1725</f>
        <v>-0.25</v>
      </c>
      <c r="L1725" s="0" t="n">
        <f aca="false">G1725</f>
        <v>-0.5</v>
      </c>
      <c r="M1725" s="0" t="n">
        <f aca="false">H1725</f>
        <v>-0.75</v>
      </c>
      <c r="N1725" s="0" t="n">
        <f aca="false">E1725*F1725</f>
        <v>0.125</v>
      </c>
      <c r="O1725" s="0" t="n">
        <f aca="false">E1725*G1725</f>
        <v>0.25</v>
      </c>
      <c r="P1725" s="0" t="n">
        <f aca="false">E1725*H1725</f>
        <v>0.375</v>
      </c>
      <c r="Q1725" s="0" t="n">
        <f aca="false">F1725*G1725</f>
        <v>0.125</v>
      </c>
      <c r="R1725" s="0" t="n">
        <f aca="false">F1725*H1725</f>
        <v>0.1875</v>
      </c>
      <c r="S1725" s="0" t="n">
        <f aca="false">G1725*H1725</f>
        <v>0.375</v>
      </c>
      <c r="T1725" s="0" t="n">
        <f aca="false">E1725*E1725</f>
        <v>0.25</v>
      </c>
      <c r="U1725" s="0" t="n">
        <f aca="false">F1725*F1725</f>
        <v>0.0625</v>
      </c>
      <c r="V1725" s="0" t="n">
        <f aca="false">G1725*G1725</f>
        <v>0.25</v>
      </c>
      <c r="W1725" s="0" t="n">
        <f aca="false">H1725*H1725</f>
        <v>0.5625</v>
      </c>
      <c r="X1725" s="0" t="n">
        <f aca="false">SUMPRODUCT(I1725:W1725,_XtX!$B$96:$P$96)</f>
        <v>44.5249406067251</v>
      </c>
      <c r="Y1725" s="0" t="n">
        <f aca="false">SUMPRODUCT(MMULT(I1725:W1725,_XtX!$B$78:$P$92),I1725:W1725)</f>
        <v>0.203746059484649</v>
      </c>
      <c r="Z1725" s="0" t="n">
        <f aca="false">04_回帰ANOVA!$K$19*04_回帰ANOVA!$K$14*SQRT(1+Y1725)</f>
        <v>1.43009810755465</v>
      </c>
      <c r="AA1725" s="0" t="n">
        <f aca="false">X1725-Z1725</f>
        <v>43.0948424991705</v>
      </c>
      <c r="AB1725" s="0" t="n">
        <f aca="false">X1725+Z1725</f>
        <v>45.9550387142798</v>
      </c>
      <c r="AC1725" s="54" t="b">
        <f aca="false">AND(E1725&gt;=01_因子設定!$L$5-0.000000001,E1725&lt;=01_因子設定!$M$5+0.000000001,F1725&gt;=01_因子設定!$L$6-0.000000001,F1725&lt;=01_因子設定!$M$6+0.000000001,G1725&gt;=01_因子設定!$L$7-0.000000001,G1725&lt;=01_因子設定!$M$7+0.000000001,H1725&gt;=01_因子設定!$L$8-0.000000001,H1725&lt;=01_因子設定!$M$8+0.000000001,IF(01_因子設定!$B$20="Box-Behnken",E1725^2+F1725^2+G1725^2+H1725^2&lt;=2+0.000000001,TRUE()))</f>
        <v>1</v>
      </c>
      <c r="AD1725" s="55" t="n">
        <f aca="false">IF(AC1725,IF(01_因子設定!$B$13="最大化",AA1725-01_因子設定!$B$14,IF(01_因子設定!$B$13="最小化",01_因子設定!$B$15-AB1725,MIN(AA1725-01_因子設定!$B$14,01_因子設定!$B$15-AB1725))),-1E+030)</f>
        <v>-3.40515750082952</v>
      </c>
      <c r="AE1725" s="55" t="n">
        <f aca="false">IF(AC1725,IF(01_因子設定!$B$13="最大化",X1725,IF(01_因子設定!$B$13="最小化",-X1725,-ABS(X1725-01_因子設定!$B$16))),-1E+030)</f>
        <v>44.5249406067251</v>
      </c>
      <c r="AF1725" s="55" t="n">
        <f aca="false">AD1725+ROW()*0.000000001</f>
        <v>-3.40515577582952</v>
      </c>
      <c r="AG1725" s="55" t="n">
        <f aca="false">AE1725+ROW()*0.000000001</f>
        <v>44.5249423317251</v>
      </c>
    </row>
    <row r="1726" customFormat="false" ht="15" hidden="false" customHeight="false" outlineLevel="0" collapsed="false">
      <c r="A1726" s="0" t="n">
        <v>2</v>
      </c>
      <c r="B1726" s="0" t="n">
        <v>3</v>
      </c>
      <c r="C1726" s="0" t="n">
        <v>2</v>
      </c>
      <c r="D1726" s="0" t="n">
        <v>2</v>
      </c>
      <c r="E1726" s="0" t="n">
        <f aca="false">-1+A1726*0.25</f>
        <v>-0.5</v>
      </c>
      <c r="F1726" s="0" t="n">
        <f aca="false">-1+B1726*0.25</f>
        <v>-0.25</v>
      </c>
      <c r="G1726" s="0" t="n">
        <f aca="false">-1+C1726*0.25</f>
        <v>-0.5</v>
      </c>
      <c r="H1726" s="0" t="n">
        <f aca="false">-1+D1726*0.25</f>
        <v>-0.5</v>
      </c>
      <c r="I1726" s="0" t="n">
        <f aca="false">1</f>
        <v>1</v>
      </c>
      <c r="J1726" s="0" t="n">
        <f aca="false">E1726</f>
        <v>-0.5</v>
      </c>
      <c r="K1726" s="0" t="n">
        <f aca="false">F1726</f>
        <v>-0.25</v>
      </c>
      <c r="L1726" s="0" t="n">
        <f aca="false">G1726</f>
        <v>-0.5</v>
      </c>
      <c r="M1726" s="0" t="n">
        <f aca="false">H1726</f>
        <v>-0.5</v>
      </c>
      <c r="N1726" s="0" t="n">
        <f aca="false">E1726*F1726</f>
        <v>0.125</v>
      </c>
      <c r="O1726" s="0" t="n">
        <f aca="false">E1726*G1726</f>
        <v>0.25</v>
      </c>
      <c r="P1726" s="0" t="n">
        <f aca="false">E1726*H1726</f>
        <v>0.25</v>
      </c>
      <c r="Q1726" s="0" t="n">
        <f aca="false">F1726*G1726</f>
        <v>0.125</v>
      </c>
      <c r="R1726" s="0" t="n">
        <f aca="false">F1726*H1726</f>
        <v>0.125</v>
      </c>
      <c r="S1726" s="0" t="n">
        <f aca="false">G1726*H1726</f>
        <v>0.25</v>
      </c>
      <c r="T1726" s="0" t="n">
        <f aca="false">E1726*E1726</f>
        <v>0.25</v>
      </c>
      <c r="U1726" s="0" t="n">
        <f aca="false">F1726*F1726</f>
        <v>0.0625</v>
      </c>
      <c r="V1726" s="0" t="n">
        <f aca="false">G1726*G1726</f>
        <v>0.25</v>
      </c>
      <c r="W1726" s="0" t="n">
        <f aca="false">H1726*H1726</f>
        <v>0.25</v>
      </c>
      <c r="X1726" s="0" t="n">
        <f aca="false">SUMPRODUCT(I1726:W1726,_XtX!$B$96:$P$96)</f>
        <v>44.7075657894737</v>
      </c>
      <c r="Y1726" s="0" t="n">
        <f aca="false">SUMPRODUCT(MMULT(I1726:W1726,_XtX!$B$78:$P$92),I1726:W1726)</f>
        <v>0.133937545687135</v>
      </c>
      <c r="Z1726" s="0" t="n">
        <f aca="false">04_回帰ANOVA!$K$19*04_回帰ANOVA!$K$14*SQRT(1+Y1726)</f>
        <v>1.38801116780825</v>
      </c>
      <c r="AA1726" s="0" t="n">
        <f aca="false">X1726-Z1726</f>
        <v>43.3195546216654</v>
      </c>
      <c r="AB1726" s="0" t="n">
        <f aca="false">X1726+Z1726</f>
        <v>46.0955769572819</v>
      </c>
      <c r="AC1726" s="54" t="b">
        <f aca="false">AND(E1726&gt;=01_因子設定!$L$5-0.000000001,E1726&lt;=01_因子設定!$M$5+0.000000001,F1726&gt;=01_因子設定!$L$6-0.000000001,F1726&lt;=01_因子設定!$M$6+0.000000001,G1726&gt;=01_因子設定!$L$7-0.000000001,G1726&lt;=01_因子設定!$M$7+0.000000001,H1726&gt;=01_因子設定!$L$8-0.000000001,H1726&lt;=01_因子設定!$M$8+0.000000001,IF(01_因子設定!$B$20="Box-Behnken",E1726^2+F1726^2+G1726^2+H1726^2&lt;=2+0.000000001,TRUE()))</f>
        <v>1</v>
      </c>
      <c r="AD1726" s="55" t="n">
        <f aca="false">IF(AC1726,IF(01_因子設定!$B$13="最大化",AA1726-01_因子設定!$B$14,IF(01_因子設定!$B$13="最小化",01_因子設定!$B$15-AB1726,MIN(AA1726-01_因子設定!$B$14,01_因子設定!$B$15-AB1726))),-1E+030)</f>
        <v>-3.1804453783346</v>
      </c>
      <c r="AE1726" s="55" t="n">
        <f aca="false">IF(AC1726,IF(01_因子設定!$B$13="最大化",X1726,IF(01_因子設定!$B$13="最小化",-X1726,-ABS(X1726-01_因子設定!$B$16))),-1E+030)</f>
        <v>44.7075657894737</v>
      </c>
      <c r="AF1726" s="55" t="n">
        <f aca="false">AD1726+ROW()*0.000000001</f>
        <v>-3.1804436523346</v>
      </c>
      <c r="AG1726" s="55" t="n">
        <f aca="false">AE1726+ROW()*0.000000001</f>
        <v>44.7075675154737</v>
      </c>
    </row>
    <row r="1727" customFormat="false" ht="15" hidden="false" customHeight="false" outlineLevel="0" collapsed="false">
      <c r="A1727" s="0" t="n">
        <v>2</v>
      </c>
      <c r="B1727" s="0" t="n">
        <v>3</v>
      </c>
      <c r="C1727" s="0" t="n">
        <v>2</v>
      </c>
      <c r="D1727" s="0" t="n">
        <v>3</v>
      </c>
      <c r="E1727" s="0" t="n">
        <f aca="false">-1+A1727*0.25</f>
        <v>-0.5</v>
      </c>
      <c r="F1727" s="0" t="n">
        <f aca="false">-1+B1727*0.25</f>
        <v>-0.25</v>
      </c>
      <c r="G1727" s="0" t="n">
        <f aca="false">-1+C1727*0.25</f>
        <v>-0.5</v>
      </c>
      <c r="H1727" s="0" t="n">
        <f aca="false">-1+D1727*0.25</f>
        <v>-0.25</v>
      </c>
      <c r="I1727" s="0" t="n">
        <f aca="false">1</f>
        <v>1</v>
      </c>
      <c r="J1727" s="0" t="n">
        <f aca="false">E1727</f>
        <v>-0.5</v>
      </c>
      <c r="K1727" s="0" t="n">
        <f aca="false">F1727</f>
        <v>-0.25</v>
      </c>
      <c r="L1727" s="0" t="n">
        <f aca="false">G1727</f>
        <v>-0.5</v>
      </c>
      <c r="M1727" s="0" t="n">
        <f aca="false">H1727</f>
        <v>-0.25</v>
      </c>
      <c r="N1727" s="0" t="n">
        <f aca="false">E1727*F1727</f>
        <v>0.125</v>
      </c>
      <c r="O1727" s="0" t="n">
        <f aca="false">E1727*G1727</f>
        <v>0.25</v>
      </c>
      <c r="P1727" s="0" t="n">
        <f aca="false">E1727*H1727</f>
        <v>0.125</v>
      </c>
      <c r="Q1727" s="0" t="n">
        <f aca="false">F1727*G1727</f>
        <v>0.125</v>
      </c>
      <c r="R1727" s="0" t="n">
        <f aca="false">F1727*H1727</f>
        <v>0.0625</v>
      </c>
      <c r="S1727" s="0" t="n">
        <f aca="false">G1727*H1727</f>
        <v>0.125</v>
      </c>
      <c r="T1727" s="0" t="n">
        <f aca="false">E1727*E1727</f>
        <v>0.25</v>
      </c>
      <c r="U1727" s="0" t="n">
        <f aca="false">F1727*F1727</f>
        <v>0.0625</v>
      </c>
      <c r="V1727" s="0" t="n">
        <f aca="false">G1727*G1727</f>
        <v>0.25</v>
      </c>
      <c r="W1727" s="0" t="n">
        <f aca="false">H1727*H1727</f>
        <v>0.0625</v>
      </c>
      <c r="X1727" s="0" t="n">
        <f aca="false">SUMPRODUCT(I1727:W1727,_XtX!$B$96:$P$96)</f>
        <v>44.8423839546783</v>
      </c>
      <c r="Y1727" s="0" t="n">
        <f aca="false">SUMPRODUCT(MMULT(I1727:W1727,_XtX!$B$78:$P$92),I1727:W1727)</f>
        <v>0.128236647934942</v>
      </c>
      <c r="Z1727" s="0" t="n">
        <f aca="false">04_回帰ANOVA!$K$19*04_回帰ANOVA!$K$14*SQRT(1+Y1727)</f>
        <v>1.38451764188989</v>
      </c>
      <c r="AA1727" s="0" t="n">
        <f aca="false">X1727-Z1727</f>
        <v>43.4578663127884</v>
      </c>
      <c r="AB1727" s="0" t="n">
        <f aca="false">X1727+Z1727</f>
        <v>46.2269015965682</v>
      </c>
      <c r="AC1727" s="54" t="b">
        <f aca="false">AND(E1727&gt;=01_因子設定!$L$5-0.000000001,E1727&lt;=01_因子設定!$M$5+0.000000001,F1727&gt;=01_因子設定!$L$6-0.000000001,F1727&lt;=01_因子設定!$M$6+0.000000001,G1727&gt;=01_因子設定!$L$7-0.000000001,G1727&lt;=01_因子設定!$M$7+0.000000001,H1727&gt;=01_因子設定!$L$8-0.000000001,H1727&lt;=01_因子設定!$M$8+0.000000001,IF(01_因子設定!$B$20="Box-Behnken",E1727^2+F1727^2+G1727^2+H1727^2&lt;=2+0.000000001,TRUE()))</f>
        <v>1</v>
      </c>
      <c r="AD1727" s="55" t="n">
        <f aca="false">IF(AC1727,IF(01_因子設定!$B$13="最大化",AA1727-01_因子設定!$B$14,IF(01_因子設定!$B$13="最小化",01_因子設定!$B$15-AB1727,MIN(AA1727-01_因子設定!$B$14,01_因子設定!$B$15-AB1727))),-1E+030)</f>
        <v>-3.04213368721156</v>
      </c>
      <c r="AE1727" s="55" t="n">
        <f aca="false">IF(AC1727,IF(01_因子設定!$B$13="最大化",X1727,IF(01_因子設定!$B$13="最小化",-X1727,-ABS(X1727-01_因子設定!$B$16))),-1E+030)</f>
        <v>44.8423839546783</v>
      </c>
      <c r="AF1727" s="55" t="n">
        <f aca="false">AD1727+ROW()*0.000000001</f>
        <v>-3.04213196021156</v>
      </c>
      <c r="AG1727" s="55" t="n">
        <f aca="false">AE1727+ROW()*0.000000001</f>
        <v>44.8423856816783</v>
      </c>
    </row>
    <row r="1728" customFormat="false" ht="15" hidden="false" customHeight="false" outlineLevel="0" collapsed="false">
      <c r="A1728" s="0" t="n">
        <v>2</v>
      </c>
      <c r="B1728" s="0" t="n">
        <v>3</v>
      </c>
      <c r="C1728" s="0" t="n">
        <v>2</v>
      </c>
      <c r="D1728" s="0" t="n">
        <v>4</v>
      </c>
      <c r="E1728" s="0" t="n">
        <f aca="false">-1+A1728*0.25</f>
        <v>-0.5</v>
      </c>
      <c r="F1728" s="0" t="n">
        <f aca="false">-1+B1728*0.25</f>
        <v>-0.25</v>
      </c>
      <c r="G1728" s="0" t="n">
        <f aca="false">-1+C1728*0.25</f>
        <v>-0.5</v>
      </c>
      <c r="H1728" s="0" t="n">
        <f aca="false">-1+D1728*0.25</f>
        <v>0</v>
      </c>
      <c r="I1728" s="0" t="n">
        <f aca="false">1</f>
        <v>1</v>
      </c>
      <c r="J1728" s="0" t="n">
        <f aca="false">E1728</f>
        <v>-0.5</v>
      </c>
      <c r="K1728" s="0" t="n">
        <f aca="false">F1728</f>
        <v>-0.25</v>
      </c>
      <c r="L1728" s="0" t="n">
        <f aca="false">G1728</f>
        <v>-0.5</v>
      </c>
      <c r="M1728" s="0" t="n">
        <f aca="false">H1728</f>
        <v>0</v>
      </c>
      <c r="N1728" s="0" t="n">
        <f aca="false">E1728*F1728</f>
        <v>0.125</v>
      </c>
      <c r="O1728" s="0" t="n">
        <f aca="false">E1728*G1728</f>
        <v>0.25</v>
      </c>
      <c r="P1728" s="0" t="n">
        <f aca="false">E1728*H1728</f>
        <v>-0</v>
      </c>
      <c r="Q1728" s="0" t="n">
        <f aca="false">F1728*G1728</f>
        <v>0.125</v>
      </c>
      <c r="R1728" s="0" t="n">
        <f aca="false">F1728*H1728</f>
        <v>-0</v>
      </c>
      <c r="S1728" s="0" t="n">
        <f aca="false">G1728*H1728</f>
        <v>-0</v>
      </c>
      <c r="T1728" s="0" t="n">
        <f aca="false">E1728*E1728</f>
        <v>0.25</v>
      </c>
      <c r="U1728" s="0" t="n">
        <f aca="false">F1728*F1728</f>
        <v>0.0625</v>
      </c>
      <c r="V1728" s="0" t="n">
        <f aca="false">G1728*G1728</f>
        <v>0.25</v>
      </c>
      <c r="W1728" s="0" t="n">
        <f aca="false">H1728*H1728</f>
        <v>0</v>
      </c>
      <c r="X1728" s="0" t="n">
        <f aca="false">SUMPRODUCT(I1728:W1728,_XtX!$B$96:$P$96)</f>
        <v>44.9293951023391</v>
      </c>
      <c r="Y1728" s="0" t="n">
        <f aca="false">SUMPRODUCT(MMULT(I1728:W1728,_XtX!$B$78:$P$92),I1728:W1728)</f>
        <v>0.132367050438597</v>
      </c>
      <c r="Z1728" s="0" t="n">
        <f aca="false">04_回帰ANOVA!$K$19*04_回帰ANOVA!$K$14*SQRT(1+Y1728)</f>
        <v>1.38704964208329</v>
      </c>
      <c r="AA1728" s="0" t="n">
        <f aca="false">X1728-Z1728</f>
        <v>43.5423454602558</v>
      </c>
      <c r="AB1728" s="0" t="n">
        <f aca="false">X1728+Z1728</f>
        <v>46.3164447444224</v>
      </c>
      <c r="AC1728" s="54" t="b">
        <f aca="false">AND(E1728&gt;=01_因子設定!$L$5-0.000000001,E1728&lt;=01_因子設定!$M$5+0.000000001,F1728&gt;=01_因子設定!$L$6-0.000000001,F1728&lt;=01_因子設定!$M$6+0.000000001,G1728&gt;=01_因子設定!$L$7-0.000000001,G1728&lt;=01_因子設定!$M$7+0.000000001,H1728&gt;=01_因子設定!$L$8-0.000000001,H1728&lt;=01_因子設定!$M$8+0.000000001,IF(01_因子設定!$B$20="Box-Behnken",E1728^2+F1728^2+G1728^2+H1728^2&lt;=2+0.000000001,TRUE()))</f>
        <v>1</v>
      </c>
      <c r="AD1728" s="55" t="n">
        <f aca="false">IF(AC1728,IF(01_因子設定!$B$13="最大化",AA1728-01_因子設定!$B$14,IF(01_因子設定!$B$13="最小化",01_因子設定!$B$15-AB1728,MIN(AA1728-01_因子設定!$B$14,01_因子設定!$B$15-AB1728))),-1E+030)</f>
        <v>-2.95765453974416</v>
      </c>
      <c r="AE1728" s="55" t="n">
        <f aca="false">IF(AC1728,IF(01_因子設定!$B$13="最大化",X1728,IF(01_因子設定!$B$13="最小化",-X1728,-ABS(X1728-01_因子設定!$B$16))),-1E+030)</f>
        <v>44.9293951023391</v>
      </c>
      <c r="AF1728" s="55" t="n">
        <f aca="false">AD1728+ROW()*0.000000001</f>
        <v>-2.95765281174416</v>
      </c>
      <c r="AG1728" s="55" t="n">
        <f aca="false">AE1728+ROW()*0.000000001</f>
        <v>44.9293968303391</v>
      </c>
    </row>
    <row r="1729" customFormat="false" ht="15" hidden="false" customHeight="false" outlineLevel="0" collapsed="false">
      <c r="A1729" s="0" t="n">
        <v>2</v>
      </c>
      <c r="B1729" s="0" t="n">
        <v>3</v>
      </c>
      <c r="C1729" s="0" t="n">
        <v>2</v>
      </c>
      <c r="D1729" s="0" t="n">
        <v>5</v>
      </c>
      <c r="E1729" s="0" t="n">
        <f aca="false">-1+A1729*0.25</f>
        <v>-0.5</v>
      </c>
      <c r="F1729" s="0" t="n">
        <f aca="false">-1+B1729*0.25</f>
        <v>-0.25</v>
      </c>
      <c r="G1729" s="0" t="n">
        <f aca="false">-1+C1729*0.25</f>
        <v>-0.5</v>
      </c>
      <c r="H1729" s="0" t="n">
        <f aca="false">-1+D1729*0.25</f>
        <v>0.25</v>
      </c>
      <c r="I1729" s="0" t="n">
        <f aca="false">1</f>
        <v>1</v>
      </c>
      <c r="J1729" s="0" t="n">
        <f aca="false">E1729</f>
        <v>-0.5</v>
      </c>
      <c r="K1729" s="0" t="n">
        <f aca="false">F1729</f>
        <v>-0.25</v>
      </c>
      <c r="L1729" s="0" t="n">
        <f aca="false">G1729</f>
        <v>-0.5</v>
      </c>
      <c r="M1729" s="0" t="n">
        <f aca="false">H1729</f>
        <v>0.25</v>
      </c>
      <c r="N1729" s="0" t="n">
        <f aca="false">E1729*F1729</f>
        <v>0.125</v>
      </c>
      <c r="O1729" s="0" t="n">
        <f aca="false">E1729*G1729</f>
        <v>0.25</v>
      </c>
      <c r="P1729" s="0" t="n">
        <f aca="false">E1729*H1729</f>
        <v>-0.125</v>
      </c>
      <c r="Q1729" s="0" t="n">
        <f aca="false">F1729*G1729</f>
        <v>0.125</v>
      </c>
      <c r="R1729" s="0" t="n">
        <f aca="false">F1729*H1729</f>
        <v>-0.0625</v>
      </c>
      <c r="S1729" s="0" t="n">
        <f aca="false">G1729*H1729</f>
        <v>-0.125</v>
      </c>
      <c r="T1729" s="0" t="n">
        <f aca="false">E1729*E1729</f>
        <v>0.25</v>
      </c>
      <c r="U1729" s="0" t="n">
        <f aca="false">F1729*F1729</f>
        <v>0.0625</v>
      </c>
      <c r="V1729" s="0" t="n">
        <f aca="false">G1729*G1729</f>
        <v>0.25</v>
      </c>
      <c r="W1729" s="0" t="n">
        <f aca="false">H1729*H1729</f>
        <v>0.0625</v>
      </c>
      <c r="X1729" s="0" t="n">
        <f aca="false">SUMPRODUCT(I1729:W1729,_XtX!$B$96:$P$96)</f>
        <v>44.9685992324561</v>
      </c>
      <c r="Y1729" s="0" t="n">
        <f aca="false">SUMPRODUCT(MMULT(I1729:W1729,_XtX!$B$78:$P$92),I1729:W1729)</f>
        <v>0.128236647934942</v>
      </c>
      <c r="Z1729" s="0" t="n">
        <f aca="false">04_回帰ANOVA!$K$19*04_回帰ANOVA!$K$14*SQRT(1+Y1729)</f>
        <v>1.38451764188989</v>
      </c>
      <c r="AA1729" s="0" t="n">
        <f aca="false">X1729-Z1729</f>
        <v>43.5840815905662</v>
      </c>
      <c r="AB1729" s="0" t="n">
        <f aca="false">X1729+Z1729</f>
        <v>46.353116874346</v>
      </c>
      <c r="AC1729" s="54" t="b">
        <f aca="false">AND(E1729&gt;=01_因子設定!$L$5-0.000000001,E1729&lt;=01_因子設定!$M$5+0.000000001,F1729&gt;=01_因子設定!$L$6-0.000000001,F1729&lt;=01_因子設定!$M$6+0.000000001,G1729&gt;=01_因子設定!$L$7-0.000000001,G1729&lt;=01_因子設定!$M$7+0.000000001,H1729&gt;=01_因子設定!$L$8-0.000000001,H1729&lt;=01_因子設定!$M$8+0.000000001,IF(01_因子設定!$B$20="Box-Behnken",E1729^2+F1729^2+G1729^2+H1729^2&lt;=2+0.000000001,TRUE()))</f>
        <v>1</v>
      </c>
      <c r="AD1729" s="55" t="n">
        <f aca="false">IF(AC1729,IF(01_因子設定!$B$13="最大化",AA1729-01_因子設定!$B$14,IF(01_因子設定!$B$13="最小化",01_因子設定!$B$15-AB1729,MIN(AA1729-01_因子設定!$B$14,01_因子設定!$B$15-AB1729))),-1E+030)</f>
        <v>-2.91591840943379</v>
      </c>
      <c r="AE1729" s="55" t="n">
        <f aca="false">IF(AC1729,IF(01_因子設定!$B$13="最大化",X1729,IF(01_因子設定!$B$13="最小化",-X1729,-ABS(X1729-01_因子設定!$B$16))),-1E+030)</f>
        <v>44.9685992324561</v>
      </c>
      <c r="AF1729" s="55" t="n">
        <f aca="false">AD1729+ROW()*0.000000001</f>
        <v>-2.91591668043379</v>
      </c>
      <c r="AG1729" s="55" t="n">
        <f aca="false">AE1729+ROW()*0.000000001</f>
        <v>44.9686009614561</v>
      </c>
    </row>
    <row r="1730" customFormat="false" ht="15" hidden="false" customHeight="false" outlineLevel="0" collapsed="false">
      <c r="A1730" s="0" t="n">
        <v>2</v>
      </c>
      <c r="B1730" s="0" t="n">
        <v>3</v>
      </c>
      <c r="C1730" s="0" t="n">
        <v>2</v>
      </c>
      <c r="D1730" s="0" t="n">
        <v>6</v>
      </c>
      <c r="E1730" s="0" t="n">
        <f aca="false">-1+A1730*0.25</f>
        <v>-0.5</v>
      </c>
      <c r="F1730" s="0" t="n">
        <f aca="false">-1+B1730*0.25</f>
        <v>-0.25</v>
      </c>
      <c r="G1730" s="0" t="n">
        <f aca="false">-1+C1730*0.25</f>
        <v>-0.5</v>
      </c>
      <c r="H1730" s="0" t="n">
        <f aca="false">-1+D1730*0.25</f>
        <v>0.5</v>
      </c>
      <c r="I1730" s="0" t="n">
        <f aca="false">1</f>
        <v>1</v>
      </c>
      <c r="J1730" s="0" t="n">
        <f aca="false">E1730</f>
        <v>-0.5</v>
      </c>
      <c r="K1730" s="0" t="n">
        <f aca="false">F1730</f>
        <v>-0.25</v>
      </c>
      <c r="L1730" s="0" t="n">
        <f aca="false">G1730</f>
        <v>-0.5</v>
      </c>
      <c r="M1730" s="0" t="n">
        <f aca="false">H1730</f>
        <v>0.5</v>
      </c>
      <c r="N1730" s="0" t="n">
        <f aca="false">E1730*F1730</f>
        <v>0.125</v>
      </c>
      <c r="O1730" s="0" t="n">
        <f aca="false">E1730*G1730</f>
        <v>0.25</v>
      </c>
      <c r="P1730" s="0" t="n">
        <f aca="false">E1730*H1730</f>
        <v>-0.25</v>
      </c>
      <c r="Q1730" s="0" t="n">
        <f aca="false">F1730*G1730</f>
        <v>0.125</v>
      </c>
      <c r="R1730" s="0" t="n">
        <f aca="false">F1730*H1730</f>
        <v>-0.125</v>
      </c>
      <c r="S1730" s="0" t="n">
        <f aca="false">G1730*H1730</f>
        <v>-0.25</v>
      </c>
      <c r="T1730" s="0" t="n">
        <f aca="false">E1730*E1730</f>
        <v>0.25</v>
      </c>
      <c r="U1730" s="0" t="n">
        <f aca="false">F1730*F1730</f>
        <v>0.0625</v>
      </c>
      <c r="V1730" s="0" t="n">
        <f aca="false">G1730*G1730</f>
        <v>0.25</v>
      </c>
      <c r="W1730" s="0" t="n">
        <f aca="false">H1730*H1730</f>
        <v>0.25</v>
      </c>
      <c r="X1730" s="0" t="n">
        <f aca="false">SUMPRODUCT(I1730:W1730,_XtX!$B$96:$P$96)</f>
        <v>44.9599963450292</v>
      </c>
      <c r="Y1730" s="0" t="n">
        <f aca="false">SUMPRODUCT(MMULT(I1730:W1730,_XtX!$B$78:$P$92),I1730:W1730)</f>
        <v>0.133937545687135</v>
      </c>
      <c r="Z1730" s="0" t="n">
        <f aca="false">04_回帰ANOVA!$K$19*04_回帰ANOVA!$K$14*SQRT(1+Y1730)</f>
        <v>1.38801116780825</v>
      </c>
      <c r="AA1730" s="0" t="n">
        <f aca="false">X1730-Z1730</f>
        <v>43.571985177221</v>
      </c>
      <c r="AB1730" s="0" t="n">
        <f aca="false">X1730+Z1730</f>
        <v>46.3480075128375</v>
      </c>
      <c r="AC1730" s="54" t="b">
        <f aca="false">AND(E1730&gt;=01_因子設定!$L$5-0.000000001,E1730&lt;=01_因子設定!$M$5+0.000000001,F1730&gt;=01_因子設定!$L$6-0.000000001,F1730&lt;=01_因子設定!$M$6+0.000000001,G1730&gt;=01_因子設定!$L$7-0.000000001,G1730&lt;=01_因子設定!$M$7+0.000000001,H1730&gt;=01_因子設定!$L$8-0.000000001,H1730&lt;=01_因子設定!$M$8+0.000000001,IF(01_因子設定!$B$20="Box-Behnken",E1730^2+F1730^2+G1730^2+H1730^2&lt;=2+0.000000001,TRUE()))</f>
        <v>1</v>
      </c>
      <c r="AD1730" s="55" t="n">
        <f aca="false">IF(AC1730,IF(01_因子設定!$B$13="最大化",AA1730-01_因子設定!$B$14,IF(01_因子設定!$B$13="最小化",01_因子設定!$B$15-AB1730,MIN(AA1730-01_因子設定!$B$14,01_因子設定!$B$15-AB1730))),-1E+030)</f>
        <v>-2.92801482277905</v>
      </c>
      <c r="AE1730" s="55" t="n">
        <f aca="false">IF(AC1730,IF(01_因子設定!$B$13="最大化",X1730,IF(01_因子設定!$B$13="最小化",-X1730,-ABS(X1730-01_因子設定!$B$16))),-1E+030)</f>
        <v>44.9599963450292</v>
      </c>
      <c r="AF1730" s="55" t="n">
        <f aca="false">AD1730+ROW()*0.000000001</f>
        <v>-2.92801309277905</v>
      </c>
      <c r="AG1730" s="55" t="n">
        <f aca="false">AE1730+ROW()*0.000000001</f>
        <v>44.9599980750292</v>
      </c>
    </row>
    <row r="1731" customFormat="false" ht="15" hidden="false" customHeight="false" outlineLevel="0" collapsed="false">
      <c r="A1731" s="0" t="n">
        <v>2</v>
      </c>
      <c r="B1731" s="0" t="n">
        <v>3</v>
      </c>
      <c r="C1731" s="0" t="n">
        <v>2</v>
      </c>
      <c r="D1731" s="0" t="n">
        <v>7</v>
      </c>
      <c r="E1731" s="0" t="n">
        <f aca="false">-1+A1731*0.25</f>
        <v>-0.5</v>
      </c>
      <c r="F1731" s="0" t="n">
        <f aca="false">-1+B1731*0.25</f>
        <v>-0.25</v>
      </c>
      <c r="G1731" s="0" t="n">
        <f aca="false">-1+C1731*0.25</f>
        <v>-0.5</v>
      </c>
      <c r="H1731" s="0" t="n">
        <f aca="false">-1+D1731*0.25</f>
        <v>0.75</v>
      </c>
      <c r="I1731" s="0" t="n">
        <f aca="false">1</f>
        <v>1</v>
      </c>
      <c r="J1731" s="0" t="n">
        <f aca="false">E1731</f>
        <v>-0.5</v>
      </c>
      <c r="K1731" s="0" t="n">
        <f aca="false">F1731</f>
        <v>-0.25</v>
      </c>
      <c r="L1731" s="0" t="n">
        <f aca="false">G1731</f>
        <v>-0.5</v>
      </c>
      <c r="M1731" s="0" t="n">
        <f aca="false">H1731</f>
        <v>0.75</v>
      </c>
      <c r="N1731" s="0" t="n">
        <f aca="false">E1731*F1731</f>
        <v>0.125</v>
      </c>
      <c r="O1731" s="0" t="n">
        <f aca="false">E1731*G1731</f>
        <v>0.25</v>
      </c>
      <c r="P1731" s="0" t="n">
        <f aca="false">E1731*H1731</f>
        <v>-0.375</v>
      </c>
      <c r="Q1731" s="0" t="n">
        <f aca="false">F1731*G1731</f>
        <v>0.125</v>
      </c>
      <c r="R1731" s="0" t="n">
        <f aca="false">F1731*H1731</f>
        <v>-0.1875</v>
      </c>
      <c r="S1731" s="0" t="n">
        <f aca="false">G1731*H1731</f>
        <v>-0.375</v>
      </c>
      <c r="T1731" s="0" t="n">
        <f aca="false">E1731*E1731</f>
        <v>0.25</v>
      </c>
      <c r="U1731" s="0" t="n">
        <f aca="false">F1731*F1731</f>
        <v>0.0625</v>
      </c>
      <c r="V1731" s="0" t="n">
        <f aca="false">G1731*G1731</f>
        <v>0.25</v>
      </c>
      <c r="W1731" s="0" t="n">
        <f aca="false">H1731*H1731</f>
        <v>0.5625</v>
      </c>
      <c r="X1731" s="0" t="n">
        <f aca="false">SUMPRODUCT(I1731:W1731,_XtX!$B$96:$P$96)</f>
        <v>44.9035864400585</v>
      </c>
      <c r="Y1731" s="0" t="n">
        <f aca="false">SUMPRODUCT(MMULT(I1731:W1731,_XtX!$B$78:$P$92),I1731:W1731)</f>
        <v>0.203746059484649</v>
      </c>
      <c r="Z1731" s="0" t="n">
        <f aca="false">04_回帰ANOVA!$K$19*04_回帰ANOVA!$K$14*SQRT(1+Y1731)</f>
        <v>1.43009810755465</v>
      </c>
      <c r="AA1731" s="0" t="n">
        <f aca="false">X1731-Z1731</f>
        <v>43.4734883325038</v>
      </c>
      <c r="AB1731" s="0" t="n">
        <f aca="false">X1731+Z1731</f>
        <v>46.3336845476131</v>
      </c>
      <c r="AC1731" s="54" t="b">
        <f aca="false">AND(E1731&gt;=01_因子設定!$L$5-0.000000001,E1731&lt;=01_因子設定!$M$5+0.000000001,F1731&gt;=01_因子設定!$L$6-0.000000001,F1731&lt;=01_因子設定!$M$6+0.000000001,G1731&gt;=01_因子設定!$L$7-0.000000001,G1731&lt;=01_因子設定!$M$7+0.000000001,H1731&gt;=01_因子設定!$L$8-0.000000001,H1731&lt;=01_因子設定!$M$8+0.000000001,IF(01_因子設定!$B$20="Box-Behnken",E1731^2+F1731^2+G1731^2+H1731^2&lt;=2+0.000000001,TRUE()))</f>
        <v>1</v>
      </c>
      <c r="AD1731" s="55" t="n">
        <f aca="false">IF(AC1731,IF(01_因子設定!$B$13="最大化",AA1731-01_因子設定!$B$14,IF(01_因子設定!$B$13="最小化",01_因子設定!$B$15-AB1731,MIN(AA1731-01_因子設定!$B$14,01_因子設定!$B$15-AB1731))),-1E+030)</f>
        <v>-3.02651166749619</v>
      </c>
      <c r="AE1731" s="55" t="n">
        <f aca="false">IF(AC1731,IF(01_因子設定!$B$13="最大化",X1731,IF(01_因子設定!$B$13="最小化",-X1731,-ABS(X1731-01_因子設定!$B$16))),-1E+030)</f>
        <v>44.9035864400585</v>
      </c>
      <c r="AF1731" s="55" t="n">
        <f aca="false">AD1731+ROW()*0.000000001</f>
        <v>-3.02650993649619</v>
      </c>
      <c r="AG1731" s="55" t="n">
        <f aca="false">AE1731+ROW()*0.000000001</f>
        <v>44.9035881710585</v>
      </c>
    </row>
    <row r="1732" customFormat="false" ht="15" hidden="false" customHeight="false" outlineLevel="0" collapsed="false">
      <c r="A1732" s="0" t="n">
        <v>2</v>
      </c>
      <c r="B1732" s="0" t="n">
        <v>3</v>
      </c>
      <c r="C1732" s="0" t="n">
        <v>2</v>
      </c>
      <c r="D1732" s="0" t="n">
        <v>8</v>
      </c>
      <c r="E1732" s="0" t="n">
        <f aca="false">-1+A1732*0.25</f>
        <v>-0.5</v>
      </c>
      <c r="F1732" s="0" t="n">
        <f aca="false">-1+B1732*0.25</f>
        <v>-0.25</v>
      </c>
      <c r="G1732" s="0" t="n">
        <f aca="false">-1+C1732*0.25</f>
        <v>-0.5</v>
      </c>
      <c r="H1732" s="0" t="n">
        <f aca="false">-1+D1732*0.25</f>
        <v>1</v>
      </c>
      <c r="I1732" s="0" t="n">
        <f aca="false">1</f>
        <v>1</v>
      </c>
      <c r="J1732" s="0" t="n">
        <f aca="false">E1732</f>
        <v>-0.5</v>
      </c>
      <c r="K1732" s="0" t="n">
        <f aca="false">F1732</f>
        <v>-0.25</v>
      </c>
      <c r="L1732" s="0" t="n">
        <f aca="false">G1732</f>
        <v>-0.5</v>
      </c>
      <c r="M1732" s="0" t="n">
        <f aca="false">H1732</f>
        <v>1</v>
      </c>
      <c r="N1732" s="0" t="n">
        <f aca="false">E1732*F1732</f>
        <v>0.125</v>
      </c>
      <c r="O1732" s="0" t="n">
        <f aca="false">E1732*G1732</f>
        <v>0.25</v>
      </c>
      <c r="P1732" s="0" t="n">
        <f aca="false">E1732*H1732</f>
        <v>-0.5</v>
      </c>
      <c r="Q1732" s="0" t="n">
        <f aca="false">F1732*G1732</f>
        <v>0.125</v>
      </c>
      <c r="R1732" s="0" t="n">
        <f aca="false">F1732*H1732</f>
        <v>-0.25</v>
      </c>
      <c r="S1732" s="0" t="n">
        <f aca="false">G1732*H1732</f>
        <v>-0.5</v>
      </c>
      <c r="T1732" s="0" t="n">
        <f aca="false">E1732*E1732</f>
        <v>0.25</v>
      </c>
      <c r="U1732" s="0" t="n">
        <f aca="false">F1732*F1732</f>
        <v>0.0625</v>
      </c>
      <c r="V1732" s="0" t="n">
        <f aca="false">G1732*G1732</f>
        <v>0.25</v>
      </c>
      <c r="W1732" s="0" t="n">
        <f aca="false">H1732*H1732</f>
        <v>1</v>
      </c>
      <c r="X1732" s="0" t="n">
        <f aca="false">SUMPRODUCT(I1732:W1732,_XtX!$B$96:$P$96)</f>
        <v>44.7993695175439</v>
      </c>
      <c r="Y1732" s="0" t="n">
        <f aca="false">SUMPRODUCT(MMULT(I1732:W1732,_XtX!$B$78:$P$92),I1732:W1732)</f>
        <v>0.428122715643275</v>
      </c>
      <c r="Z1732" s="0" t="n">
        <f aca="false">04_回帰ANOVA!$K$19*04_回帰ANOVA!$K$14*SQRT(1+Y1732)</f>
        <v>1.55769044623229</v>
      </c>
      <c r="AA1732" s="0" t="n">
        <f aca="false">X1732-Z1732</f>
        <v>43.2416790713116</v>
      </c>
      <c r="AB1732" s="0" t="n">
        <f aca="false">X1732+Z1732</f>
        <v>46.3570599637761</v>
      </c>
      <c r="AC1732" s="54" t="b">
        <f aca="false">AND(E1732&gt;=01_因子設定!$L$5-0.000000001,E1732&lt;=01_因子設定!$M$5+0.000000001,F1732&gt;=01_因子設定!$L$6-0.000000001,F1732&lt;=01_因子設定!$M$6+0.000000001,G1732&gt;=01_因子設定!$L$7-0.000000001,G1732&lt;=01_因子設定!$M$7+0.000000001,H1732&gt;=01_因子設定!$L$8-0.000000001,H1732&lt;=01_因子設定!$M$8+0.000000001,IF(01_因子設定!$B$20="Box-Behnken",E1732^2+F1732^2+G1732^2+H1732^2&lt;=2+0.000000001,TRUE()))</f>
        <v>1</v>
      </c>
      <c r="AD1732" s="55" t="n">
        <f aca="false">IF(AC1732,IF(01_因子設定!$B$13="最大化",AA1732-01_因子設定!$B$14,IF(01_因子設定!$B$13="最小化",01_因子設定!$B$15-AB1732,MIN(AA1732-01_因子設定!$B$14,01_因子設定!$B$15-AB1732))),-1E+030)</f>
        <v>-3.25832092868844</v>
      </c>
      <c r="AE1732" s="55" t="n">
        <f aca="false">IF(AC1732,IF(01_因子設定!$B$13="最大化",X1732,IF(01_因子設定!$B$13="最小化",-X1732,-ABS(X1732-01_因子設定!$B$16))),-1E+030)</f>
        <v>44.7993695175439</v>
      </c>
      <c r="AF1732" s="55" t="n">
        <f aca="false">AD1732+ROW()*0.000000001</f>
        <v>-3.25831919668844</v>
      </c>
      <c r="AG1732" s="55" t="n">
        <f aca="false">AE1732+ROW()*0.000000001</f>
        <v>44.7993712495439</v>
      </c>
    </row>
    <row r="1733" customFormat="false" ht="15" hidden="false" customHeight="false" outlineLevel="0" collapsed="false">
      <c r="A1733" s="0" t="n">
        <v>2</v>
      </c>
      <c r="B1733" s="0" t="n">
        <v>3</v>
      </c>
      <c r="C1733" s="0" t="n">
        <v>3</v>
      </c>
      <c r="D1733" s="0" t="n">
        <v>0</v>
      </c>
      <c r="E1733" s="0" t="n">
        <f aca="false">-1+A1733*0.25</f>
        <v>-0.5</v>
      </c>
      <c r="F1733" s="0" t="n">
        <f aca="false">-1+B1733*0.25</f>
        <v>-0.25</v>
      </c>
      <c r="G1733" s="0" t="n">
        <f aca="false">-1+C1733*0.25</f>
        <v>-0.25</v>
      </c>
      <c r="H1733" s="0" t="n">
        <f aca="false">-1+D1733*0.25</f>
        <v>-1</v>
      </c>
      <c r="I1733" s="0" t="n">
        <f aca="false">1</f>
        <v>1</v>
      </c>
      <c r="J1733" s="0" t="n">
        <f aca="false">E1733</f>
        <v>-0.5</v>
      </c>
      <c r="K1733" s="0" t="n">
        <f aca="false">F1733</f>
        <v>-0.25</v>
      </c>
      <c r="L1733" s="0" t="n">
        <f aca="false">G1733</f>
        <v>-0.25</v>
      </c>
      <c r="M1733" s="0" t="n">
        <f aca="false">H1733</f>
        <v>-1</v>
      </c>
      <c r="N1733" s="0" t="n">
        <f aca="false">E1733*F1733</f>
        <v>0.125</v>
      </c>
      <c r="O1733" s="0" t="n">
        <f aca="false">E1733*G1733</f>
        <v>0.125</v>
      </c>
      <c r="P1733" s="0" t="n">
        <f aca="false">E1733*H1733</f>
        <v>0.5</v>
      </c>
      <c r="Q1733" s="0" t="n">
        <f aca="false">F1733*G1733</f>
        <v>0.0625</v>
      </c>
      <c r="R1733" s="0" t="n">
        <f aca="false">F1733*H1733</f>
        <v>0.25</v>
      </c>
      <c r="S1733" s="0" t="n">
        <f aca="false">G1733*H1733</f>
        <v>0.25</v>
      </c>
      <c r="T1733" s="0" t="n">
        <f aca="false">E1733*E1733</f>
        <v>0.25</v>
      </c>
      <c r="U1733" s="0" t="n">
        <f aca="false">F1733*F1733</f>
        <v>0.0625</v>
      </c>
      <c r="V1733" s="0" t="n">
        <f aca="false">G1733*G1733</f>
        <v>0.0625</v>
      </c>
      <c r="W1733" s="0" t="n">
        <f aca="false">H1733*H1733</f>
        <v>1</v>
      </c>
      <c r="X1733" s="0" t="n">
        <f aca="false">SUMPRODUCT(I1733:W1733,_XtX!$B$96:$P$96)</f>
        <v>44.6581460160819</v>
      </c>
      <c r="Y1733" s="0" t="n">
        <f aca="false">SUMPRODUCT(MMULT(I1733:W1733,_XtX!$B$78:$P$92),I1733:W1733)</f>
        <v>0.445705123812135</v>
      </c>
      <c r="Z1733" s="0" t="n">
        <f aca="false">04_回帰ANOVA!$K$19*04_回帰ANOVA!$K$14*SQRT(1+Y1733)</f>
        <v>1.56724990734749</v>
      </c>
      <c r="AA1733" s="0" t="n">
        <f aca="false">X1733-Z1733</f>
        <v>43.0908961087344</v>
      </c>
      <c r="AB1733" s="0" t="n">
        <f aca="false">X1733+Z1733</f>
        <v>46.2253959234294</v>
      </c>
      <c r="AC1733" s="54" t="b">
        <f aca="false">AND(E1733&gt;=01_因子設定!$L$5-0.000000001,E1733&lt;=01_因子設定!$M$5+0.000000001,F1733&gt;=01_因子設定!$L$6-0.000000001,F1733&lt;=01_因子設定!$M$6+0.000000001,G1733&gt;=01_因子設定!$L$7-0.000000001,G1733&lt;=01_因子設定!$M$7+0.000000001,H1733&gt;=01_因子設定!$L$8-0.000000001,H1733&lt;=01_因子設定!$M$8+0.000000001,IF(01_因子設定!$B$20="Box-Behnken",E1733^2+F1733^2+G1733^2+H1733^2&lt;=2+0.000000001,TRUE()))</f>
        <v>1</v>
      </c>
      <c r="AD1733" s="55" t="n">
        <f aca="false">IF(AC1733,IF(01_因子設定!$B$13="最大化",AA1733-01_因子設定!$B$14,IF(01_因子設定!$B$13="最小化",01_因子設定!$B$15-AB1733,MIN(AA1733-01_因子設定!$B$14,01_因子設定!$B$15-AB1733))),-1E+030)</f>
        <v>-3.40910389126562</v>
      </c>
      <c r="AE1733" s="55" t="n">
        <f aca="false">IF(AC1733,IF(01_因子設定!$B$13="最大化",X1733,IF(01_因子設定!$B$13="最小化",-X1733,-ABS(X1733-01_因子設定!$B$16))),-1E+030)</f>
        <v>44.6581460160819</v>
      </c>
      <c r="AF1733" s="55" t="n">
        <f aca="false">AD1733+ROW()*0.000000001</f>
        <v>-3.40910215826562</v>
      </c>
      <c r="AG1733" s="55" t="n">
        <f aca="false">AE1733+ROW()*0.000000001</f>
        <v>44.6581477490819</v>
      </c>
    </row>
    <row r="1734" customFormat="false" ht="15" hidden="false" customHeight="false" outlineLevel="0" collapsed="false">
      <c r="A1734" s="0" t="n">
        <v>2</v>
      </c>
      <c r="B1734" s="0" t="n">
        <v>3</v>
      </c>
      <c r="C1734" s="0" t="n">
        <v>3</v>
      </c>
      <c r="D1734" s="0" t="n">
        <v>1</v>
      </c>
      <c r="E1734" s="0" t="n">
        <f aca="false">-1+A1734*0.25</f>
        <v>-0.5</v>
      </c>
      <c r="F1734" s="0" t="n">
        <f aca="false">-1+B1734*0.25</f>
        <v>-0.25</v>
      </c>
      <c r="G1734" s="0" t="n">
        <f aca="false">-1+C1734*0.25</f>
        <v>-0.25</v>
      </c>
      <c r="H1734" s="0" t="n">
        <f aca="false">-1+D1734*0.25</f>
        <v>-0.75</v>
      </c>
      <c r="I1734" s="0" t="n">
        <f aca="false">1</f>
        <v>1</v>
      </c>
      <c r="J1734" s="0" t="n">
        <f aca="false">E1734</f>
        <v>-0.5</v>
      </c>
      <c r="K1734" s="0" t="n">
        <f aca="false">F1734</f>
        <v>-0.25</v>
      </c>
      <c r="L1734" s="0" t="n">
        <f aca="false">G1734</f>
        <v>-0.25</v>
      </c>
      <c r="M1734" s="0" t="n">
        <f aca="false">H1734</f>
        <v>-0.75</v>
      </c>
      <c r="N1734" s="0" t="n">
        <f aca="false">E1734*F1734</f>
        <v>0.125</v>
      </c>
      <c r="O1734" s="0" t="n">
        <f aca="false">E1734*G1734</f>
        <v>0.125</v>
      </c>
      <c r="P1734" s="0" t="n">
        <f aca="false">E1734*H1734</f>
        <v>0.375</v>
      </c>
      <c r="Q1734" s="0" t="n">
        <f aca="false">F1734*G1734</f>
        <v>0.0625</v>
      </c>
      <c r="R1734" s="0" t="n">
        <f aca="false">F1734*H1734</f>
        <v>0.1875</v>
      </c>
      <c r="S1734" s="0" t="n">
        <f aca="false">G1734*H1734</f>
        <v>0.1875</v>
      </c>
      <c r="T1734" s="0" t="n">
        <f aca="false">E1734*E1734</f>
        <v>0.25</v>
      </c>
      <c r="U1734" s="0" t="n">
        <f aca="false">F1734*F1734</f>
        <v>0.0625</v>
      </c>
      <c r="V1734" s="0" t="n">
        <f aca="false">G1734*G1734</f>
        <v>0.0625</v>
      </c>
      <c r="W1734" s="0" t="n">
        <f aca="false">H1734*H1734</f>
        <v>0.5625</v>
      </c>
      <c r="X1734" s="0" t="n">
        <f aca="false">SUMPRODUCT(I1734:W1734,_XtX!$B$96:$P$96)</f>
        <v>44.9065469663743</v>
      </c>
      <c r="Y1734" s="0" t="n">
        <f aca="false">SUMPRODUCT(MMULT(I1734:W1734,_XtX!$B$78:$P$92),I1734:W1734)</f>
        <v>0.207746539199561</v>
      </c>
      <c r="Z1734" s="0" t="n">
        <f aca="false">04_回帰ANOVA!$K$19*04_回帰ANOVA!$K$14*SQRT(1+Y1734)</f>
        <v>1.43247250081141</v>
      </c>
      <c r="AA1734" s="0" t="n">
        <f aca="false">X1734-Z1734</f>
        <v>43.4740744655628</v>
      </c>
      <c r="AB1734" s="0" t="n">
        <f aca="false">X1734+Z1734</f>
        <v>46.3390194671857</v>
      </c>
      <c r="AC1734" s="54" t="b">
        <f aca="false">AND(E1734&gt;=01_因子設定!$L$5-0.000000001,E1734&lt;=01_因子設定!$M$5+0.000000001,F1734&gt;=01_因子設定!$L$6-0.000000001,F1734&lt;=01_因子設定!$M$6+0.000000001,G1734&gt;=01_因子設定!$L$7-0.000000001,G1734&lt;=01_因子設定!$M$7+0.000000001,H1734&gt;=01_因子設定!$L$8-0.000000001,H1734&lt;=01_因子設定!$M$8+0.000000001,IF(01_因子設定!$B$20="Box-Behnken",E1734^2+F1734^2+G1734^2+H1734^2&lt;=2+0.000000001,TRUE()))</f>
        <v>1</v>
      </c>
      <c r="AD1734" s="55" t="n">
        <f aca="false">IF(AC1734,IF(01_因子設定!$B$13="最大化",AA1734-01_因子設定!$B$14,IF(01_因子設定!$B$13="最小化",01_因子設定!$B$15-AB1734,MIN(AA1734-01_因子設定!$B$14,01_因子設定!$B$15-AB1734))),-1E+030)</f>
        <v>-3.02592553443716</v>
      </c>
      <c r="AE1734" s="55" t="n">
        <f aca="false">IF(AC1734,IF(01_因子設定!$B$13="最大化",X1734,IF(01_因子設定!$B$13="最小化",-X1734,-ABS(X1734-01_因子設定!$B$16))),-1E+030)</f>
        <v>44.9065469663743</v>
      </c>
      <c r="AF1734" s="55" t="n">
        <f aca="false">AD1734+ROW()*0.000000001</f>
        <v>-3.02592380043716</v>
      </c>
      <c r="AG1734" s="55" t="n">
        <f aca="false">AE1734+ROW()*0.000000001</f>
        <v>44.9065487003743</v>
      </c>
    </row>
    <row r="1735" customFormat="false" ht="15" hidden="false" customHeight="false" outlineLevel="0" collapsed="false">
      <c r="A1735" s="0" t="n">
        <v>2</v>
      </c>
      <c r="B1735" s="0" t="n">
        <v>3</v>
      </c>
      <c r="C1735" s="0" t="n">
        <v>3</v>
      </c>
      <c r="D1735" s="0" t="n">
        <v>2</v>
      </c>
      <c r="E1735" s="0" t="n">
        <f aca="false">-1+A1735*0.25</f>
        <v>-0.5</v>
      </c>
      <c r="F1735" s="0" t="n">
        <f aca="false">-1+B1735*0.25</f>
        <v>-0.25</v>
      </c>
      <c r="G1735" s="0" t="n">
        <f aca="false">-1+C1735*0.25</f>
        <v>-0.25</v>
      </c>
      <c r="H1735" s="0" t="n">
        <f aca="false">-1+D1735*0.25</f>
        <v>-0.5</v>
      </c>
      <c r="I1735" s="0" t="n">
        <f aca="false">1</f>
        <v>1</v>
      </c>
      <c r="J1735" s="0" t="n">
        <f aca="false">E1735</f>
        <v>-0.5</v>
      </c>
      <c r="K1735" s="0" t="n">
        <f aca="false">F1735</f>
        <v>-0.25</v>
      </c>
      <c r="L1735" s="0" t="n">
        <f aca="false">G1735</f>
        <v>-0.25</v>
      </c>
      <c r="M1735" s="0" t="n">
        <f aca="false">H1735</f>
        <v>-0.5</v>
      </c>
      <c r="N1735" s="0" t="n">
        <f aca="false">E1735*F1735</f>
        <v>0.125</v>
      </c>
      <c r="O1735" s="0" t="n">
        <f aca="false">E1735*G1735</f>
        <v>0.125</v>
      </c>
      <c r="P1735" s="0" t="n">
        <f aca="false">E1735*H1735</f>
        <v>0.25</v>
      </c>
      <c r="Q1735" s="0" t="n">
        <f aca="false">F1735*G1735</f>
        <v>0.0625</v>
      </c>
      <c r="R1735" s="0" t="n">
        <f aca="false">F1735*H1735</f>
        <v>0.125</v>
      </c>
      <c r="S1735" s="0" t="n">
        <f aca="false">G1735*H1735</f>
        <v>0.125</v>
      </c>
      <c r="T1735" s="0" t="n">
        <f aca="false">E1735*E1735</f>
        <v>0.25</v>
      </c>
      <c r="U1735" s="0" t="n">
        <f aca="false">F1735*F1735</f>
        <v>0.0625</v>
      </c>
      <c r="V1735" s="0" t="n">
        <f aca="false">G1735*G1735</f>
        <v>0.0625</v>
      </c>
      <c r="W1735" s="0" t="n">
        <f aca="false">H1735*H1735</f>
        <v>0.25</v>
      </c>
      <c r="X1735" s="0" t="n">
        <f aca="false">SUMPRODUCT(I1735:W1735,_XtX!$B$96:$P$96)</f>
        <v>45.1071408991228</v>
      </c>
      <c r="Y1735" s="0" t="n">
        <f aca="false">SUMPRODUCT(MMULT(I1735:W1735,_XtX!$B$78:$P$92),I1735:W1735)</f>
        <v>0.128236647934942</v>
      </c>
      <c r="Z1735" s="0" t="n">
        <f aca="false">04_回帰ANOVA!$K$19*04_回帰ANOVA!$K$14*SQRT(1+Y1735)</f>
        <v>1.38451764188989</v>
      </c>
      <c r="AA1735" s="0" t="n">
        <f aca="false">X1735-Z1735</f>
        <v>43.7226232572329</v>
      </c>
      <c r="AB1735" s="0" t="n">
        <f aca="false">X1735+Z1735</f>
        <v>46.4916585410127</v>
      </c>
      <c r="AC1735" s="54" t="b">
        <f aca="false">AND(E1735&gt;=01_因子設定!$L$5-0.000000001,E1735&lt;=01_因子設定!$M$5+0.000000001,F1735&gt;=01_因子設定!$L$6-0.000000001,F1735&lt;=01_因子設定!$M$6+0.000000001,G1735&gt;=01_因子設定!$L$7-0.000000001,G1735&lt;=01_因子設定!$M$7+0.000000001,H1735&gt;=01_因子設定!$L$8-0.000000001,H1735&lt;=01_因子設定!$M$8+0.000000001,IF(01_因子設定!$B$20="Box-Behnken",E1735^2+F1735^2+G1735^2+H1735^2&lt;=2+0.000000001,TRUE()))</f>
        <v>1</v>
      </c>
      <c r="AD1735" s="55" t="n">
        <f aca="false">IF(AC1735,IF(01_因子設定!$B$13="最大化",AA1735-01_因子設定!$B$14,IF(01_因子設定!$B$13="最小化",01_因子設定!$B$15-AB1735,MIN(AA1735-01_因子設定!$B$14,01_因子設定!$B$15-AB1735))),-1E+030)</f>
        <v>-2.77737674276711</v>
      </c>
      <c r="AE1735" s="55" t="n">
        <f aca="false">IF(AC1735,IF(01_因子設定!$B$13="最大化",X1735,IF(01_因子設定!$B$13="最小化",-X1735,-ABS(X1735-01_因子設定!$B$16))),-1E+030)</f>
        <v>45.1071408991228</v>
      </c>
      <c r="AF1735" s="55" t="n">
        <f aca="false">AD1735+ROW()*0.000000001</f>
        <v>-2.77737500776711</v>
      </c>
      <c r="AG1735" s="55" t="n">
        <f aca="false">AE1735+ROW()*0.000000001</f>
        <v>45.1071426341228</v>
      </c>
    </row>
    <row r="1736" customFormat="false" ht="15" hidden="false" customHeight="false" outlineLevel="0" collapsed="false">
      <c r="A1736" s="0" t="n">
        <v>2</v>
      </c>
      <c r="B1736" s="0" t="n">
        <v>3</v>
      </c>
      <c r="C1736" s="0" t="n">
        <v>3</v>
      </c>
      <c r="D1736" s="0" t="n">
        <v>3</v>
      </c>
      <c r="E1736" s="0" t="n">
        <f aca="false">-1+A1736*0.25</f>
        <v>-0.5</v>
      </c>
      <c r="F1736" s="0" t="n">
        <f aca="false">-1+B1736*0.25</f>
        <v>-0.25</v>
      </c>
      <c r="G1736" s="0" t="n">
        <f aca="false">-1+C1736*0.25</f>
        <v>-0.25</v>
      </c>
      <c r="H1736" s="0" t="n">
        <f aca="false">-1+D1736*0.25</f>
        <v>-0.25</v>
      </c>
      <c r="I1736" s="0" t="n">
        <f aca="false">1</f>
        <v>1</v>
      </c>
      <c r="J1736" s="0" t="n">
        <f aca="false">E1736</f>
        <v>-0.5</v>
      </c>
      <c r="K1736" s="0" t="n">
        <f aca="false">F1736</f>
        <v>-0.25</v>
      </c>
      <c r="L1736" s="0" t="n">
        <f aca="false">G1736</f>
        <v>-0.25</v>
      </c>
      <c r="M1736" s="0" t="n">
        <f aca="false">H1736</f>
        <v>-0.25</v>
      </c>
      <c r="N1736" s="0" t="n">
        <f aca="false">E1736*F1736</f>
        <v>0.125</v>
      </c>
      <c r="O1736" s="0" t="n">
        <f aca="false">E1736*G1736</f>
        <v>0.125</v>
      </c>
      <c r="P1736" s="0" t="n">
        <f aca="false">E1736*H1736</f>
        <v>0.125</v>
      </c>
      <c r="Q1736" s="0" t="n">
        <f aca="false">F1736*G1736</f>
        <v>0.0625</v>
      </c>
      <c r="R1736" s="0" t="n">
        <f aca="false">F1736*H1736</f>
        <v>0.0625</v>
      </c>
      <c r="S1736" s="0" t="n">
        <f aca="false">G1736*H1736</f>
        <v>0.0625</v>
      </c>
      <c r="T1736" s="0" t="n">
        <f aca="false">E1736*E1736</f>
        <v>0.25</v>
      </c>
      <c r="U1736" s="0" t="n">
        <f aca="false">F1736*F1736</f>
        <v>0.0625</v>
      </c>
      <c r="V1736" s="0" t="n">
        <f aca="false">G1736*G1736</f>
        <v>0.0625</v>
      </c>
      <c r="W1736" s="0" t="n">
        <f aca="false">H1736*H1736</f>
        <v>0.0625</v>
      </c>
      <c r="X1736" s="0" t="n">
        <f aca="false">SUMPRODUCT(I1736:W1736,_XtX!$B$96:$P$96)</f>
        <v>45.2599278143275</v>
      </c>
      <c r="Y1736" s="0" t="n">
        <f aca="false">SUMPRODUCT(MMULT(I1736:W1736,_XtX!$B$78:$P$92),I1736:W1736)</f>
        <v>0.116714923702485</v>
      </c>
      <c r="Z1736" s="0" t="n">
        <f aca="false">04_回帰ANOVA!$K$19*04_回帰ANOVA!$K$14*SQRT(1+Y1736)</f>
        <v>1.37743004820023</v>
      </c>
      <c r="AA1736" s="0" t="n">
        <f aca="false">X1736-Z1736</f>
        <v>43.8824977661272</v>
      </c>
      <c r="AB1736" s="0" t="n">
        <f aca="false">X1736+Z1736</f>
        <v>46.6373578625277</v>
      </c>
      <c r="AC1736" s="54" t="b">
        <f aca="false">AND(E1736&gt;=01_因子設定!$L$5-0.000000001,E1736&lt;=01_因子設定!$M$5+0.000000001,F1736&gt;=01_因子設定!$L$6-0.000000001,F1736&lt;=01_因子設定!$M$6+0.000000001,G1736&gt;=01_因子設定!$L$7-0.000000001,G1736&lt;=01_因子設定!$M$7+0.000000001,H1736&gt;=01_因子設定!$L$8-0.000000001,H1736&lt;=01_因子設定!$M$8+0.000000001,IF(01_因子設定!$B$20="Box-Behnken",E1736^2+F1736^2+G1736^2+H1736^2&lt;=2+0.000000001,TRUE()))</f>
        <v>1</v>
      </c>
      <c r="AD1736" s="55" t="n">
        <f aca="false">IF(AC1736,IF(01_因子設定!$B$13="最大化",AA1736-01_因子設定!$B$14,IF(01_因子設定!$B$13="最小化",01_因子設定!$B$15-AB1736,MIN(AA1736-01_因子設定!$B$14,01_因子設定!$B$15-AB1736))),-1E+030)</f>
        <v>-2.61750223387278</v>
      </c>
      <c r="AE1736" s="55" t="n">
        <f aca="false">IF(AC1736,IF(01_因子設定!$B$13="最大化",X1736,IF(01_因子設定!$B$13="最小化",-X1736,-ABS(X1736-01_因子設定!$B$16))),-1E+030)</f>
        <v>45.2599278143275</v>
      </c>
      <c r="AF1736" s="55" t="n">
        <f aca="false">AD1736+ROW()*0.000000001</f>
        <v>-2.61750049787278</v>
      </c>
      <c r="AG1736" s="55" t="n">
        <f aca="false">AE1736+ROW()*0.000000001</f>
        <v>45.2599295503275</v>
      </c>
    </row>
    <row r="1737" customFormat="false" ht="15" hidden="false" customHeight="false" outlineLevel="0" collapsed="false">
      <c r="A1737" s="0" t="n">
        <v>2</v>
      </c>
      <c r="B1737" s="0" t="n">
        <v>3</v>
      </c>
      <c r="C1737" s="0" t="n">
        <v>3</v>
      </c>
      <c r="D1737" s="0" t="n">
        <v>4</v>
      </c>
      <c r="E1737" s="0" t="n">
        <f aca="false">-1+A1737*0.25</f>
        <v>-0.5</v>
      </c>
      <c r="F1737" s="0" t="n">
        <f aca="false">-1+B1737*0.25</f>
        <v>-0.25</v>
      </c>
      <c r="G1737" s="0" t="n">
        <f aca="false">-1+C1737*0.25</f>
        <v>-0.25</v>
      </c>
      <c r="H1737" s="0" t="n">
        <f aca="false">-1+D1737*0.25</f>
        <v>0</v>
      </c>
      <c r="I1737" s="0" t="n">
        <f aca="false">1</f>
        <v>1</v>
      </c>
      <c r="J1737" s="0" t="n">
        <f aca="false">E1737</f>
        <v>-0.5</v>
      </c>
      <c r="K1737" s="0" t="n">
        <f aca="false">F1737</f>
        <v>-0.25</v>
      </c>
      <c r="L1737" s="0" t="n">
        <f aca="false">G1737</f>
        <v>-0.25</v>
      </c>
      <c r="M1737" s="0" t="n">
        <f aca="false">H1737</f>
        <v>0</v>
      </c>
      <c r="N1737" s="0" t="n">
        <f aca="false">E1737*F1737</f>
        <v>0.125</v>
      </c>
      <c r="O1737" s="0" t="n">
        <f aca="false">E1737*G1737</f>
        <v>0.125</v>
      </c>
      <c r="P1737" s="0" t="n">
        <f aca="false">E1737*H1737</f>
        <v>-0</v>
      </c>
      <c r="Q1737" s="0" t="n">
        <f aca="false">F1737*G1737</f>
        <v>0.0625</v>
      </c>
      <c r="R1737" s="0" t="n">
        <f aca="false">F1737*H1737</f>
        <v>-0</v>
      </c>
      <c r="S1737" s="0" t="n">
        <f aca="false">G1737*H1737</f>
        <v>-0</v>
      </c>
      <c r="T1737" s="0" t="n">
        <f aca="false">E1737*E1737</f>
        <v>0.25</v>
      </c>
      <c r="U1737" s="0" t="n">
        <f aca="false">F1737*F1737</f>
        <v>0.0625</v>
      </c>
      <c r="V1737" s="0" t="n">
        <f aca="false">G1737*G1737</f>
        <v>0.0625</v>
      </c>
      <c r="W1737" s="0" t="n">
        <f aca="false">H1737*H1737</f>
        <v>0</v>
      </c>
      <c r="X1737" s="0" t="n">
        <f aca="false">SUMPRODUCT(I1737:W1737,_XtX!$B$96:$P$96)</f>
        <v>45.3649077119883</v>
      </c>
      <c r="Y1737" s="0" t="n">
        <f aca="false">SUMPRODUCT(MMULT(I1737:W1737,_XtX!$B$78:$P$92),I1737:W1737)</f>
        <v>0.118905050712719</v>
      </c>
      <c r="Z1737" s="0" t="n">
        <f aca="false">04_回帰ANOVA!$K$19*04_回帰ANOVA!$K$14*SQRT(1+Y1737)</f>
        <v>1.37878011033769</v>
      </c>
      <c r="AA1737" s="0" t="n">
        <f aca="false">X1737-Z1737</f>
        <v>43.9861276016506</v>
      </c>
      <c r="AB1737" s="0" t="n">
        <f aca="false">X1737+Z1737</f>
        <v>46.7436878223259</v>
      </c>
      <c r="AC1737" s="54" t="b">
        <f aca="false">AND(E1737&gt;=01_因子設定!$L$5-0.000000001,E1737&lt;=01_因子設定!$M$5+0.000000001,F1737&gt;=01_因子設定!$L$6-0.000000001,F1737&lt;=01_因子設定!$M$6+0.000000001,G1737&gt;=01_因子設定!$L$7-0.000000001,G1737&lt;=01_因子設定!$M$7+0.000000001,H1737&gt;=01_因子設定!$L$8-0.000000001,H1737&lt;=01_因子設定!$M$8+0.000000001,IF(01_因子設定!$B$20="Box-Behnken",E1737^2+F1737^2+G1737^2+H1737^2&lt;=2+0.000000001,TRUE()))</f>
        <v>1</v>
      </c>
      <c r="AD1737" s="55" t="n">
        <f aca="false">IF(AC1737,IF(01_因子設定!$B$13="最大化",AA1737-01_因子設定!$B$14,IF(01_因子設定!$B$13="最小化",01_因子設定!$B$15-AB1737,MIN(AA1737-01_因子設定!$B$14,01_因子設定!$B$15-AB1737))),-1E+030)</f>
        <v>-2.51387239834943</v>
      </c>
      <c r="AE1737" s="55" t="n">
        <f aca="false">IF(AC1737,IF(01_因子設定!$B$13="最大化",X1737,IF(01_因子設定!$B$13="最小化",-X1737,-ABS(X1737-01_因子設定!$B$16))),-1E+030)</f>
        <v>45.3649077119883</v>
      </c>
      <c r="AF1737" s="55" t="n">
        <f aca="false">AD1737+ROW()*0.000000001</f>
        <v>-2.51387066134943</v>
      </c>
      <c r="AG1737" s="55" t="n">
        <f aca="false">AE1737+ROW()*0.000000001</f>
        <v>45.3649094489883</v>
      </c>
    </row>
    <row r="1738" customFormat="false" ht="15" hidden="false" customHeight="false" outlineLevel="0" collapsed="false">
      <c r="A1738" s="0" t="n">
        <v>2</v>
      </c>
      <c r="B1738" s="0" t="n">
        <v>3</v>
      </c>
      <c r="C1738" s="0" t="n">
        <v>3</v>
      </c>
      <c r="D1738" s="0" t="n">
        <v>5</v>
      </c>
      <c r="E1738" s="0" t="n">
        <f aca="false">-1+A1738*0.25</f>
        <v>-0.5</v>
      </c>
      <c r="F1738" s="0" t="n">
        <f aca="false">-1+B1738*0.25</f>
        <v>-0.25</v>
      </c>
      <c r="G1738" s="0" t="n">
        <f aca="false">-1+C1738*0.25</f>
        <v>-0.25</v>
      </c>
      <c r="H1738" s="0" t="n">
        <f aca="false">-1+D1738*0.25</f>
        <v>0.25</v>
      </c>
      <c r="I1738" s="0" t="n">
        <f aca="false">1</f>
        <v>1</v>
      </c>
      <c r="J1738" s="0" t="n">
        <f aca="false">E1738</f>
        <v>-0.5</v>
      </c>
      <c r="K1738" s="0" t="n">
        <f aca="false">F1738</f>
        <v>-0.25</v>
      </c>
      <c r="L1738" s="0" t="n">
        <f aca="false">G1738</f>
        <v>-0.25</v>
      </c>
      <c r="M1738" s="0" t="n">
        <f aca="false">H1738</f>
        <v>0.25</v>
      </c>
      <c r="N1738" s="0" t="n">
        <f aca="false">E1738*F1738</f>
        <v>0.125</v>
      </c>
      <c r="O1738" s="0" t="n">
        <f aca="false">E1738*G1738</f>
        <v>0.125</v>
      </c>
      <c r="P1738" s="0" t="n">
        <f aca="false">E1738*H1738</f>
        <v>-0.125</v>
      </c>
      <c r="Q1738" s="0" t="n">
        <f aca="false">F1738*G1738</f>
        <v>0.0625</v>
      </c>
      <c r="R1738" s="0" t="n">
        <f aca="false">F1738*H1738</f>
        <v>-0.0625</v>
      </c>
      <c r="S1738" s="0" t="n">
        <f aca="false">G1738*H1738</f>
        <v>-0.0625</v>
      </c>
      <c r="T1738" s="0" t="n">
        <f aca="false">E1738*E1738</f>
        <v>0.25</v>
      </c>
      <c r="U1738" s="0" t="n">
        <f aca="false">F1738*F1738</f>
        <v>0.0625</v>
      </c>
      <c r="V1738" s="0" t="n">
        <f aca="false">G1738*G1738</f>
        <v>0.0625</v>
      </c>
      <c r="W1738" s="0" t="n">
        <f aca="false">H1738*H1738</f>
        <v>0.0625</v>
      </c>
      <c r="X1738" s="0" t="n">
        <f aca="false">SUMPRODUCT(I1738:W1738,_XtX!$B$96:$P$96)</f>
        <v>45.4220805921052</v>
      </c>
      <c r="Y1738" s="0" t="n">
        <f aca="false">SUMPRODUCT(MMULT(I1738:W1738,_XtX!$B$78:$P$92),I1738:W1738)</f>
        <v>0.116714923702485</v>
      </c>
      <c r="Z1738" s="0" t="n">
        <f aca="false">04_回帰ANOVA!$K$19*04_回帰ANOVA!$K$14*SQRT(1+Y1738)</f>
        <v>1.37743004820023</v>
      </c>
      <c r="AA1738" s="0" t="n">
        <f aca="false">X1738-Z1738</f>
        <v>44.044650543905</v>
      </c>
      <c r="AB1738" s="0" t="n">
        <f aca="false">X1738+Z1738</f>
        <v>46.7995106403055</v>
      </c>
      <c r="AC1738" s="54" t="b">
        <f aca="false">AND(E1738&gt;=01_因子設定!$L$5-0.000000001,E1738&lt;=01_因子設定!$M$5+0.000000001,F1738&gt;=01_因子設定!$L$6-0.000000001,F1738&lt;=01_因子設定!$M$6+0.000000001,G1738&gt;=01_因子設定!$L$7-0.000000001,G1738&lt;=01_因子設定!$M$7+0.000000001,H1738&gt;=01_因子設定!$L$8-0.000000001,H1738&lt;=01_因子設定!$M$8+0.000000001,IF(01_因子設定!$B$20="Box-Behnken",E1738^2+F1738^2+G1738^2+H1738^2&lt;=2+0.000000001,TRUE()))</f>
        <v>1</v>
      </c>
      <c r="AD1738" s="55" t="n">
        <f aca="false">IF(AC1738,IF(01_因子設定!$B$13="最大化",AA1738-01_因子設定!$B$14,IF(01_因子設定!$B$13="最小化",01_因子設定!$B$15-AB1738,MIN(AA1738-01_因子設定!$B$14,01_因子設定!$B$15-AB1738))),-1E+030)</f>
        <v>-2.455349456095</v>
      </c>
      <c r="AE1738" s="55" t="n">
        <f aca="false">IF(AC1738,IF(01_因子設定!$B$13="最大化",X1738,IF(01_因子設定!$B$13="最小化",-X1738,-ABS(X1738-01_因子設定!$B$16))),-1E+030)</f>
        <v>45.4220805921052</v>
      </c>
      <c r="AF1738" s="55" t="n">
        <f aca="false">AD1738+ROW()*0.000000001</f>
        <v>-2.455347718095</v>
      </c>
      <c r="AG1738" s="55" t="n">
        <f aca="false">AE1738+ROW()*0.000000001</f>
        <v>45.4220823301052</v>
      </c>
    </row>
    <row r="1739" customFormat="false" ht="15" hidden="false" customHeight="false" outlineLevel="0" collapsed="false">
      <c r="A1739" s="0" t="n">
        <v>2</v>
      </c>
      <c r="B1739" s="0" t="n">
        <v>3</v>
      </c>
      <c r="C1739" s="0" t="n">
        <v>3</v>
      </c>
      <c r="D1739" s="0" t="n">
        <v>6</v>
      </c>
      <c r="E1739" s="0" t="n">
        <f aca="false">-1+A1739*0.25</f>
        <v>-0.5</v>
      </c>
      <c r="F1739" s="0" t="n">
        <f aca="false">-1+B1739*0.25</f>
        <v>-0.25</v>
      </c>
      <c r="G1739" s="0" t="n">
        <f aca="false">-1+C1739*0.25</f>
        <v>-0.25</v>
      </c>
      <c r="H1739" s="0" t="n">
        <f aca="false">-1+D1739*0.25</f>
        <v>0.5</v>
      </c>
      <c r="I1739" s="0" t="n">
        <f aca="false">1</f>
        <v>1</v>
      </c>
      <c r="J1739" s="0" t="n">
        <f aca="false">E1739</f>
        <v>-0.5</v>
      </c>
      <c r="K1739" s="0" t="n">
        <f aca="false">F1739</f>
        <v>-0.25</v>
      </c>
      <c r="L1739" s="0" t="n">
        <f aca="false">G1739</f>
        <v>-0.25</v>
      </c>
      <c r="M1739" s="0" t="n">
        <f aca="false">H1739</f>
        <v>0.5</v>
      </c>
      <c r="N1739" s="0" t="n">
        <f aca="false">E1739*F1739</f>
        <v>0.125</v>
      </c>
      <c r="O1739" s="0" t="n">
        <f aca="false">E1739*G1739</f>
        <v>0.125</v>
      </c>
      <c r="P1739" s="0" t="n">
        <f aca="false">E1739*H1739</f>
        <v>-0.25</v>
      </c>
      <c r="Q1739" s="0" t="n">
        <f aca="false">F1739*G1739</f>
        <v>0.0625</v>
      </c>
      <c r="R1739" s="0" t="n">
        <f aca="false">F1739*H1739</f>
        <v>-0.125</v>
      </c>
      <c r="S1739" s="0" t="n">
        <f aca="false">G1739*H1739</f>
        <v>-0.125</v>
      </c>
      <c r="T1739" s="0" t="n">
        <f aca="false">E1739*E1739</f>
        <v>0.25</v>
      </c>
      <c r="U1739" s="0" t="n">
        <f aca="false">F1739*F1739</f>
        <v>0.0625</v>
      </c>
      <c r="V1739" s="0" t="n">
        <f aca="false">G1739*G1739</f>
        <v>0.0625</v>
      </c>
      <c r="W1739" s="0" t="n">
        <f aca="false">H1739*H1739</f>
        <v>0.25</v>
      </c>
      <c r="X1739" s="0" t="n">
        <f aca="false">SUMPRODUCT(I1739:W1739,_XtX!$B$96:$P$96)</f>
        <v>45.4314464546783</v>
      </c>
      <c r="Y1739" s="0" t="n">
        <f aca="false">SUMPRODUCT(MMULT(I1739:W1739,_XtX!$B$78:$P$92),I1739:W1739)</f>
        <v>0.128236647934942</v>
      </c>
      <c r="Z1739" s="0" t="n">
        <f aca="false">04_回帰ANOVA!$K$19*04_回帰ANOVA!$K$14*SQRT(1+Y1739)</f>
        <v>1.38451764188989</v>
      </c>
      <c r="AA1739" s="0" t="n">
        <f aca="false">X1739-Z1739</f>
        <v>44.0469288127884</v>
      </c>
      <c r="AB1739" s="0" t="n">
        <f aca="false">X1739+Z1739</f>
        <v>46.8159640965682</v>
      </c>
      <c r="AC1739" s="54" t="b">
        <f aca="false">AND(E1739&gt;=01_因子設定!$L$5-0.000000001,E1739&lt;=01_因子設定!$M$5+0.000000001,F1739&gt;=01_因子設定!$L$6-0.000000001,F1739&lt;=01_因子設定!$M$6+0.000000001,G1739&gt;=01_因子設定!$L$7-0.000000001,G1739&lt;=01_因子設定!$M$7+0.000000001,H1739&gt;=01_因子設定!$L$8-0.000000001,H1739&lt;=01_因子設定!$M$8+0.000000001,IF(01_因子設定!$B$20="Box-Behnken",E1739^2+F1739^2+G1739^2+H1739^2&lt;=2+0.000000001,TRUE()))</f>
        <v>1</v>
      </c>
      <c r="AD1739" s="55" t="n">
        <f aca="false">IF(AC1739,IF(01_因子設定!$B$13="最大化",AA1739-01_因子設定!$B$14,IF(01_因子設定!$B$13="最小化",01_因子設定!$B$15-AB1739,MIN(AA1739-01_因子設定!$B$14,01_因子設定!$B$15-AB1739))),-1E+030)</f>
        <v>-2.45307118721156</v>
      </c>
      <c r="AE1739" s="55" t="n">
        <f aca="false">IF(AC1739,IF(01_因子設定!$B$13="最大化",X1739,IF(01_因子設定!$B$13="最小化",-X1739,-ABS(X1739-01_因子設定!$B$16))),-1E+030)</f>
        <v>45.4314464546783</v>
      </c>
      <c r="AF1739" s="55" t="n">
        <f aca="false">AD1739+ROW()*0.000000001</f>
        <v>-2.45306944821156</v>
      </c>
      <c r="AG1739" s="55" t="n">
        <f aca="false">AE1739+ROW()*0.000000001</f>
        <v>45.4314481936783</v>
      </c>
    </row>
    <row r="1740" customFormat="false" ht="15" hidden="false" customHeight="false" outlineLevel="0" collapsed="false">
      <c r="A1740" s="0" t="n">
        <v>2</v>
      </c>
      <c r="B1740" s="0" t="n">
        <v>3</v>
      </c>
      <c r="C1740" s="0" t="n">
        <v>3</v>
      </c>
      <c r="D1740" s="0" t="n">
        <v>7</v>
      </c>
      <c r="E1740" s="0" t="n">
        <f aca="false">-1+A1740*0.25</f>
        <v>-0.5</v>
      </c>
      <c r="F1740" s="0" t="n">
        <f aca="false">-1+B1740*0.25</f>
        <v>-0.25</v>
      </c>
      <c r="G1740" s="0" t="n">
        <f aca="false">-1+C1740*0.25</f>
        <v>-0.25</v>
      </c>
      <c r="H1740" s="0" t="n">
        <f aca="false">-1+D1740*0.25</f>
        <v>0.75</v>
      </c>
      <c r="I1740" s="0" t="n">
        <f aca="false">1</f>
        <v>1</v>
      </c>
      <c r="J1740" s="0" t="n">
        <f aca="false">E1740</f>
        <v>-0.5</v>
      </c>
      <c r="K1740" s="0" t="n">
        <f aca="false">F1740</f>
        <v>-0.25</v>
      </c>
      <c r="L1740" s="0" t="n">
        <f aca="false">G1740</f>
        <v>-0.25</v>
      </c>
      <c r="M1740" s="0" t="n">
        <f aca="false">H1740</f>
        <v>0.75</v>
      </c>
      <c r="N1740" s="0" t="n">
        <f aca="false">E1740*F1740</f>
        <v>0.125</v>
      </c>
      <c r="O1740" s="0" t="n">
        <f aca="false">E1740*G1740</f>
        <v>0.125</v>
      </c>
      <c r="P1740" s="0" t="n">
        <f aca="false">E1740*H1740</f>
        <v>-0.375</v>
      </c>
      <c r="Q1740" s="0" t="n">
        <f aca="false">F1740*G1740</f>
        <v>0.0625</v>
      </c>
      <c r="R1740" s="0" t="n">
        <f aca="false">F1740*H1740</f>
        <v>-0.1875</v>
      </c>
      <c r="S1740" s="0" t="n">
        <f aca="false">G1740*H1740</f>
        <v>-0.1875</v>
      </c>
      <c r="T1740" s="0" t="n">
        <f aca="false">E1740*E1740</f>
        <v>0.25</v>
      </c>
      <c r="U1740" s="0" t="n">
        <f aca="false">F1740*F1740</f>
        <v>0.0625</v>
      </c>
      <c r="V1740" s="0" t="n">
        <f aca="false">G1740*G1740</f>
        <v>0.0625</v>
      </c>
      <c r="W1740" s="0" t="n">
        <f aca="false">H1740*H1740</f>
        <v>0.5625</v>
      </c>
      <c r="X1740" s="0" t="n">
        <f aca="false">SUMPRODUCT(I1740:W1740,_XtX!$B$96:$P$96)</f>
        <v>45.3930052997076</v>
      </c>
      <c r="Y1740" s="0" t="n">
        <f aca="false">SUMPRODUCT(MMULT(I1740:W1740,_XtX!$B$78:$P$92),I1740:W1740)</f>
        <v>0.207746539199561</v>
      </c>
      <c r="Z1740" s="0" t="n">
        <f aca="false">04_回帰ANOVA!$K$19*04_回帰ANOVA!$K$14*SQRT(1+Y1740)</f>
        <v>1.43247250081141</v>
      </c>
      <c r="AA1740" s="0" t="n">
        <f aca="false">X1740-Z1740</f>
        <v>43.9605327988962</v>
      </c>
      <c r="AB1740" s="0" t="n">
        <f aca="false">X1740+Z1740</f>
        <v>46.825477800519</v>
      </c>
      <c r="AC1740" s="54" t="b">
        <f aca="false">AND(E1740&gt;=01_因子設定!$L$5-0.000000001,E1740&lt;=01_因子設定!$M$5+0.000000001,F1740&gt;=01_因子設定!$L$6-0.000000001,F1740&lt;=01_因子設定!$M$6+0.000000001,G1740&gt;=01_因子設定!$L$7-0.000000001,G1740&lt;=01_因子設定!$M$7+0.000000001,H1740&gt;=01_因子設定!$L$8-0.000000001,H1740&lt;=01_因子設定!$M$8+0.000000001,IF(01_因子設定!$B$20="Box-Behnken",E1740^2+F1740^2+G1740^2+H1740^2&lt;=2+0.000000001,TRUE()))</f>
        <v>1</v>
      </c>
      <c r="AD1740" s="55" t="n">
        <f aca="false">IF(AC1740,IF(01_因子設定!$B$13="最大化",AA1740-01_因子設定!$B$14,IF(01_因子設定!$B$13="最小化",01_因子設定!$B$15-AB1740,MIN(AA1740-01_因子設定!$B$14,01_因子設定!$B$15-AB1740))),-1E+030)</f>
        <v>-2.53946720110383</v>
      </c>
      <c r="AE1740" s="55" t="n">
        <f aca="false">IF(AC1740,IF(01_因子設定!$B$13="最大化",X1740,IF(01_因子設定!$B$13="最小化",-X1740,-ABS(X1740-01_因子設定!$B$16))),-1E+030)</f>
        <v>45.3930052997076</v>
      </c>
      <c r="AF1740" s="55" t="n">
        <f aca="false">AD1740+ROW()*0.000000001</f>
        <v>-2.53946546110383</v>
      </c>
      <c r="AG1740" s="55" t="n">
        <f aca="false">AE1740+ROW()*0.000000001</f>
        <v>45.3930070397076</v>
      </c>
    </row>
    <row r="1741" customFormat="false" ht="15" hidden="false" customHeight="false" outlineLevel="0" collapsed="false">
      <c r="A1741" s="0" t="n">
        <v>2</v>
      </c>
      <c r="B1741" s="0" t="n">
        <v>3</v>
      </c>
      <c r="C1741" s="0" t="n">
        <v>3</v>
      </c>
      <c r="D1741" s="0" t="n">
        <v>8</v>
      </c>
      <c r="E1741" s="0" t="n">
        <f aca="false">-1+A1741*0.25</f>
        <v>-0.5</v>
      </c>
      <c r="F1741" s="0" t="n">
        <f aca="false">-1+B1741*0.25</f>
        <v>-0.25</v>
      </c>
      <c r="G1741" s="0" t="n">
        <f aca="false">-1+C1741*0.25</f>
        <v>-0.25</v>
      </c>
      <c r="H1741" s="0" t="n">
        <f aca="false">-1+D1741*0.25</f>
        <v>1</v>
      </c>
      <c r="I1741" s="0" t="n">
        <f aca="false">1</f>
        <v>1</v>
      </c>
      <c r="J1741" s="0" t="n">
        <f aca="false">E1741</f>
        <v>-0.5</v>
      </c>
      <c r="K1741" s="0" t="n">
        <f aca="false">F1741</f>
        <v>-0.25</v>
      </c>
      <c r="L1741" s="0" t="n">
        <f aca="false">G1741</f>
        <v>-0.25</v>
      </c>
      <c r="M1741" s="0" t="n">
        <f aca="false">H1741</f>
        <v>1</v>
      </c>
      <c r="N1741" s="0" t="n">
        <f aca="false">E1741*F1741</f>
        <v>0.125</v>
      </c>
      <c r="O1741" s="0" t="n">
        <f aca="false">E1741*G1741</f>
        <v>0.125</v>
      </c>
      <c r="P1741" s="0" t="n">
        <f aca="false">E1741*H1741</f>
        <v>-0.5</v>
      </c>
      <c r="Q1741" s="0" t="n">
        <f aca="false">F1741*G1741</f>
        <v>0.0625</v>
      </c>
      <c r="R1741" s="0" t="n">
        <f aca="false">F1741*H1741</f>
        <v>-0.25</v>
      </c>
      <c r="S1741" s="0" t="n">
        <f aca="false">G1741*H1741</f>
        <v>-0.25</v>
      </c>
      <c r="T1741" s="0" t="n">
        <f aca="false">E1741*E1741</f>
        <v>0.25</v>
      </c>
      <c r="U1741" s="0" t="n">
        <f aca="false">F1741*F1741</f>
        <v>0.0625</v>
      </c>
      <c r="V1741" s="0" t="n">
        <f aca="false">G1741*G1741</f>
        <v>0.0625</v>
      </c>
      <c r="W1741" s="0" t="n">
        <f aca="false">H1741*H1741</f>
        <v>1</v>
      </c>
      <c r="X1741" s="0" t="n">
        <f aca="false">SUMPRODUCT(I1741:W1741,_XtX!$B$96:$P$96)</f>
        <v>45.306757127193</v>
      </c>
      <c r="Y1741" s="0" t="n">
        <f aca="false">SUMPRODUCT(MMULT(I1741:W1741,_XtX!$B$78:$P$92),I1741:W1741)</f>
        <v>0.445705123812135</v>
      </c>
      <c r="Z1741" s="0" t="n">
        <f aca="false">04_回帰ANOVA!$K$19*04_回帰ANOVA!$K$14*SQRT(1+Y1741)</f>
        <v>1.56724990734749</v>
      </c>
      <c r="AA1741" s="0" t="n">
        <f aca="false">X1741-Z1741</f>
        <v>43.7395072198455</v>
      </c>
      <c r="AB1741" s="0" t="n">
        <f aca="false">X1741+Z1741</f>
        <v>46.8740070345405</v>
      </c>
      <c r="AC1741" s="54" t="b">
        <f aca="false">AND(E1741&gt;=01_因子設定!$L$5-0.000000001,E1741&lt;=01_因子設定!$M$5+0.000000001,F1741&gt;=01_因子設定!$L$6-0.000000001,F1741&lt;=01_因子設定!$M$6+0.000000001,G1741&gt;=01_因子設定!$L$7-0.000000001,G1741&lt;=01_因子設定!$M$7+0.000000001,H1741&gt;=01_因子設定!$L$8-0.000000001,H1741&lt;=01_因子設定!$M$8+0.000000001,IF(01_因子設定!$B$20="Box-Behnken",E1741^2+F1741^2+G1741^2+H1741^2&lt;=2+0.000000001,TRUE()))</f>
        <v>1</v>
      </c>
      <c r="AD1741" s="55" t="n">
        <f aca="false">IF(AC1741,IF(01_因子設定!$B$13="最大化",AA1741-01_因子設定!$B$14,IF(01_因子設定!$B$13="最小化",01_因子設定!$B$15-AB1741,MIN(AA1741-01_因子設定!$B$14,01_因子設定!$B$15-AB1741))),-1E+030)</f>
        <v>-2.76049278015451</v>
      </c>
      <c r="AE1741" s="55" t="n">
        <f aca="false">IF(AC1741,IF(01_因子設定!$B$13="最大化",X1741,IF(01_因子設定!$B$13="最小化",-X1741,-ABS(X1741-01_因子設定!$B$16))),-1E+030)</f>
        <v>45.306757127193</v>
      </c>
      <c r="AF1741" s="55" t="n">
        <f aca="false">AD1741+ROW()*0.000000001</f>
        <v>-2.76049103915451</v>
      </c>
      <c r="AG1741" s="55" t="n">
        <f aca="false">AE1741+ROW()*0.000000001</f>
        <v>45.306758868193</v>
      </c>
    </row>
    <row r="1742" customFormat="false" ht="15" hidden="false" customHeight="false" outlineLevel="0" collapsed="false">
      <c r="A1742" s="0" t="n">
        <v>2</v>
      </c>
      <c r="B1742" s="0" t="n">
        <v>3</v>
      </c>
      <c r="C1742" s="0" t="n">
        <v>4</v>
      </c>
      <c r="D1742" s="0" t="n">
        <v>0</v>
      </c>
      <c r="E1742" s="0" t="n">
        <f aca="false">-1+A1742*0.25</f>
        <v>-0.5</v>
      </c>
      <c r="F1742" s="0" t="n">
        <f aca="false">-1+B1742*0.25</f>
        <v>-0.25</v>
      </c>
      <c r="G1742" s="0" t="n">
        <f aca="false">-1+C1742*0.25</f>
        <v>0</v>
      </c>
      <c r="H1742" s="0" t="n">
        <f aca="false">-1+D1742*0.25</f>
        <v>-1</v>
      </c>
      <c r="I1742" s="0" t="n">
        <f aca="false">1</f>
        <v>1</v>
      </c>
      <c r="J1742" s="0" t="n">
        <f aca="false">E1742</f>
        <v>-0.5</v>
      </c>
      <c r="K1742" s="0" t="n">
        <f aca="false">F1742</f>
        <v>-0.25</v>
      </c>
      <c r="L1742" s="0" t="n">
        <f aca="false">G1742</f>
        <v>0</v>
      </c>
      <c r="M1742" s="0" t="n">
        <f aca="false">H1742</f>
        <v>-1</v>
      </c>
      <c r="N1742" s="0" t="n">
        <f aca="false">E1742*F1742</f>
        <v>0.125</v>
      </c>
      <c r="O1742" s="0" t="n">
        <f aca="false">E1742*G1742</f>
        <v>-0</v>
      </c>
      <c r="P1742" s="0" t="n">
        <f aca="false">E1742*H1742</f>
        <v>0.5</v>
      </c>
      <c r="Q1742" s="0" t="n">
        <f aca="false">F1742*G1742</f>
        <v>-0</v>
      </c>
      <c r="R1742" s="0" t="n">
        <f aca="false">F1742*H1742</f>
        <v>0.25</v>
      </c>
      <c r="S1742" s="0" t="n">
        <f aca="false">G1742*H1742</f>
        <v>-0</v>
      </c>
      <c r="T1742" s="0" t="n">
        <f aca="false">E1742*E1742</f>
        <v>0.25</v>
      </c>
      <c r="U1742" s="0" t="n">
        <f aca="false">F1742*F1742</f>
        <v>0.0625</v>
      </c>
      <c r="V1742" s="0" t="n">
        <f aca="false">G1742*G1742</f>
        <v>0</v>
      </c>
      <c r="W1742" s="0" t="n">
        <f aca="false">H1742*H1742</f>
        <v>1</v>
      </c>
      <c r="X1742" s="0" t="n">
        <f aca="false">SUMPRODUCT(I1742:W1742,_XtX!$B$96:$P$96)</f>
        <v>44.9364766081871</v>
      </c>
      <c r="Y1742" s="0" t="n">
        <f aca="false">SUMPRODUCT(MMULT(I1742:W1742,_XtX!$B$78:$P$92),I1742:W1742)</f>
        <v>0.457596628289474</v>
      </c>
      <c r="Z1742" s="0" t="n">
        <f aca="false">04_回帰ANOVA!$K$19*04_回帰ANOVA!$K$14*SQRT(1+Y1742)</f>
        <v>1.57368233664366</v>
      </c>
      <c r="AA1742" s="0" t="n">
        <f aca="false">X1742-Z1742</f>
        <v>43.3627942715435</v>
      </c>
      <c r="AB1742" s="0" t="n">
        <f aca="false">X1742+Z1742</f>
        <v>46.5101589448308</v>
      </c>
      <c r="AC1742" s="54" t="b">
        <f aca="false">AND(E1742&gt;=01_因子設定!$L$5-0.000000001,E1742&lt;=01_因子設定!$M$5+0.000000001,F1742&gt;=01_因子設定!$L$6-0.000000001,F1742&lt;=01_因子設定!$M$6+0.000000001,G1742&gt;=01_因子設定!$L$7-0.000000001,G1742&lt;=01_因子設定!$M$7+0.000000001,H1742&gt;=01_因子設定!$L$8-0.000000001,H1742&lt;=01_因子設定!$M$8+0.000000001,IF(01_因子設定!$B$20="Box-Behnken",E1742^2+F1742^2+G1742^2+H1742^2&lt;=2+0.000000001,TRUE()))</f>
        <v>1</v>
      </c>
      <c r="AD1742" s="55" t="n">
        <f aca="false">IF(AC1742,IF(01_因子設定!$B$13="最大化",AA1742-01_因子設定!$B$14,IF(01_因子設定!$B$13="最小化",01_因子設定!$B$15-AB1742,MIN(AA1742-01_因子設定!$B$14,01_因子設定!$B$15-AB1742))),-1E+030)</f>
        <v>-3.13720572845653</v>
      </c>
      <c r="AE1742" s="55" t="n">
        <f aca="false">IF(AC1742,IF(01_因子設定!$B$13="最大化",X1742,IF(01_因子設定!$B$13="最小化",-X1742,-ABS(X1742-01_因子設定!$B$16))),-1E+030)</f>
        <v>44.9364766081871</v>
      </c>
      <c r="AF1742" s="55" t="n">
        <f aca="false">AD1742+ROW()*0.000000001</f>
        <v>-3.13720398645653</v>
      </c>
      <c r="AG1742" s="55" t="n">
        <f aca="false">AE1742+ROW()*0.000000001</f>
        <v>44.9364783501871</v>
      </c>
    </row>
    <row r="1743" customFormat="false" ht="15" hidden="false" customHeight="false" outlineLevel="0" collapsed="false">
      <c r="A1743" s="0" t="n">
        <v>2</v>
      </c>
      <c r="B1743" s="0" t="n">
        <v>3</v>
      </c>
      <c r="C1743" s="0" t="n">
        <v>4</v>
      </c>
      <c r="D1743" s="0" t="n">
        <v>1</v>
      </c>
      <c r="E1743" s="0" t="n">
        <f aca="false">-1+A1743*0.25</f>
        <v>-0.5</v>
      </c>
      <c r="F1743" s="0" t="n">
        <f aca="false">-1+B1743*0.25</f>
        <v>-0.25</v>
      </c>
      <c r="G1743" s="0" t="n">
        <f aca="false">-1+C1743*0.25</f>
        <v>0</v>
      </c>
      <c r="H1743" s="0" t="n">
        <f aca="false">-1+D1743*0.25</f>
        <v>-0.75</v>
      </c>
      <c r="I1743" s="0" t="n">
        <f aca="false">1</f>
        <v>1</v>
      </c>
      <c r="J1743" s="0" t="n">
        <f aca="false">E1743</f>
        <v>-0.5</v>
      </c>
      <c r="K1743" s="0" t="n">
        <f aca="false">F1743</f>
        <v>-0.25</v>
      </c>
      <c r="L1743" s="0" t="n">
        <f aca="false">G1743</f>
        <v>0</v>
      </c>
      <c r="M1743" s="0" t="n">
        <f aca="false">H1743</f>
        <v>-0.75</v>
      </c>
      <c r="N1743" s="0" t="n">
        <f aca="false">E1743*F1743</f>
        <v>0.125</v>
      </c>
      <c r="O1743" s="0" t="n">
        <f aca="false">E1743*G1743</f>
        <v>-0</v>
      </c>
      <c r="P1743" s="0" t="n">
        <f aca="false">E1743*H1743</f>
        <v>0.375</v>
      </c>
      <c r="Q1743" s="0" t="n">
        <f aca="false">F1743*G1743</f>
        <v>-0</v>
      </c>
      <c r="R1743" s="0" t="n">
        <f aca="false">F1743*H1743</f>
        <v>0.1875</v>
      </c>
      <c r="S1743" s="0" t="n">
        <f aca="false">G1743*H1743</f>
        <v>-0</v>
      </c>
      <c r="T1743" s="0" t="n">
        <f aca="false">E1743*E1743</f>
        <v>0.25</v>
      </c>
      <c r="U1743" s="0" t="n">
        <f aca="false">F1743*F1743</f>
        <v>0.0625</v>
      </c>
      <c r="V1743" s="0" t="n">
        <f aca="false">G1743*G1743</f>
        <v>0</v>
      </c>
      <c r="W1743" s="0" t="n">
        <f aca="false">H1743*H1743</f>
        <v>0.5625</v>
      </c>
      <c r="X1743" s="0" t="n">
        <f aca="false">SUMPRODUCT(I1743:W1743,_XtX!$B$96:$P$96)</f>
        <v>45.2028463084795</v>
      </c>
      <c r="Y1743" s="0" t="n">
        <f aca="false">SUMPRODUCT(MMULT(I1743:W1743,_XtX!$B$78:$P$92),I1743:W1743)</f>
        <v>0.215110734192252</v>
      </c>
      <c r="Z1743" s="0" t="n">
        <f aca="false">04_回帰ANOVA!$K$19*04_回帰ANOVA!$K$14*SQRT(1+Y1743)</f>
        <v>1.43683309086864</v>
      </c>
      <c r="AA1743" s="0" t="n">
        <f aca="false">X1743-Z1743</f>
        <v>43.7660132176109</v>
      </c>
      <c r="AB1743" s="0" t="n">
        <f aca="false">X1743+Z1743</f>
        <v>46.6396793993482</v>
      </c>
      <c r="AC1743" s="54" t="b">
        <f aca="false">AND(E1743&gt;=01_因子設定!$L$5-0.000000001,E1743&lt;=01_因子設定!$M$5+0.000000001,F1743&gt;=01_因子設定!$L$6-0.000000001,F1743&lt;=01_因子設定!$M$6+0.000000001,G1743&gt;=01_因子設定!$L$7-0.000000001,G1743&lt;=01_因子設定!$M$7+0.000000001,H1743&gt;=01_因子設定!$L$8-0.000000001,H1743&lt;=01_因子設定!$M$8+0.000000001,IF(01_因子設定!$B$20="Box-Behnken",E1743^2+F1743^2+G1743^2+H1743^2&lt;=2+0.000000001,TRUE()))</f>
        <v>1</v>
      </c>
      <c r="AD1743" s="55" t="n">
        <f aca="false">IF(AC1743,IF(01_因子設定!$B$13="最大化",AA1743-01_因子設定!$B$14,IF(01_因子設定!$B$13="最小化",01_因子設定!$B$15-AB1743,MIN(AA1743-01_因子設定!$B$14,01_因子設定!$B$15-AB1743))),-1E+030)</f>
        <v>-2.73398678238914</v>
      </c>
      <c r="AE1743" s="55" t="n">
        <f aca="false">IF(AC1743,IF(01_因子設定!$B$13="最大化",X1743,IF(01_因子設定!$B$13="最小化",-X1743,-ABS(X1743-01_因子設定!$B$16))),-1E+030)</f>
        <v>45.2028463084795</v>
      </c>
      <c r="AF1743" s="55" t="n">
        <f aca="false">AD1743+ROW()*0.000000001</f>
        <v>-2.73398503938914</v>
      </c>
      <c r="AG1743" s="55" t="n">
        <f aca="false">AE1743+ROW()*0.000000001</f>
        <v>45.2028480514795</v>
      </c>
    </row>
    <row r="1744" customFormat="false" ht="15" hidden="false" customHeight="false" outlineLevel="0" collapsed="false">
      <c r="A1744" s="0" t="n">
        <v>2</v>
      </c>
      <c r="B1744" s="0" t="n">
        <v>3</v>
      </c>
      <c r="C1744" s="0" t="n">
        <v>4</v>
      </c>
      <c r="D1744" s="0" t="n">
        <v>2</v>
      </c>
      <c r="E1744" s="0" t="n">
        <f aca="false">-1+A1744*0.25</f>
        <v>-0.5</v>
      </c>
      <c r="F1744" s="0" t="n">
        <f aca="false">-1+B1744*0.25</f>
        <v>-0.25</v>
      </c>
      <c r="G1744" s="0" t="n">
        <f aca="false">-1+C1744*0.25</f>
        <v>0</v>
      </c>
      <c r="H1744" s="0" t="n">
        <f aca="false">-1+D1744*0.25</f>
        <v>-0.5</v>
      </c>
      <c r="I1744" s="0" t="n">
        <f aca="false">1</f>
        <v>1</v>
      </c>
      <c r="J1744" s="0" t="n">
        <f aca="false">E1744</f>
        <v>-0.5</v>
      </c>
      <c r="K1744" s="0" t="n">
        <f aca="false">F1744</f>
        <v>-0.25</v>
      </c>
      <c r="L1744" s="0" t="n">
        <f aca="false">G1744</f>
        <v>0</v>
      </c>
      <c r="M1744" s="0" t="n">
        <f aca="false">H1744</f>
        <v>-0.5</v>
      </c>
      <c r="N1744" s="0" t="n">
        <f aca="false">E1744*F1744</f>
        <v>0.125</v>
      </c>
      <c r="O1744" s="0" t="n">
        <f aca="false">E1744*G1744</f>
        <v>-0</v>
      </c>
      <c r="P1744" s="0" t="n">
        <f aca="false">E1744*H1744</f>
        <v>0.25</v>
      </c>
      <c r="Q1744" s="0" t="n">
        <f aca="false">F1744*G1744</f>
        <v>-0</v>
      </c>
      <c r="R1744" s="0" t="n">
        <f aca="false">F1744*H1744</f>
        <v>0.125</v>
      </c>
      <c r="S1744" s="0" t="n">
        <f aca="false">G1744*H1744</f>
        <v>-0</v>
      </c>
      <c r="T1744" s="0" t="n">
        <f aca="false">E1744*E1744</f>
        <v>0.25</v>
      </c>
      <c r="U1744" s="0" t="n">
        <f aca="false">F1744*F1744</f>
        <v>0.0625</v>
      </c>
      <c r="V1744" s="0" t="n">
        <f aca="false">G1744*G1744</f>
        <v>0</v>
      </c>
      <c r="W1744" s="0" t="n">
        <f aca="false">H1744*H1744</f>
        <v>0.25</v>
      </c>
      <c r="X1744" s="0" t="n">
        <f aca="false">SUMPRODUCT(I1744:W1744,_XtX!$B$96:$P$96)</f>
        <v>45.421408991228</v>
      </c>
      <c r="Y1744" s="0" t="n">
        <f aca="false">SUMPRODUCT(MMULT(I1744:W1744,_XtX!$B$78:$P$92),I1744:W1744)</f>
        <v>0.132367050438597</v>
      </c>
      <c r="Z1744" s="0" t="n">
        <f aca="false">04_回帰ANOVA!$K$19*04_回帰ANOVA!$K$14*SQRT(1+Y1744)</f>
        <v>1.38704964208329</v>
      </c>
      <c r="AA1744" s="0" t="n">
        <f aca="false">X1744-Z1744</f>
        <v>44.0343593491447</v>
      </c>
      <c r="AB1744" s="0" t="n">
        <f aca="false">X1744+Z1744</f>
        <v>46.8084586333113</v>
      </c>
      <c r="AC1744" s="54" t="b">
        <f aca="false">AND(E1744&gt;=01_因子設定!$L$5-0.000000001,E1744&lt;=01_因子設定!$M$5+0.000000001,F1744&gt;=01_因子設定!$L$6-0.000000001,F1744&lt;=01_因子設定!$M$6+0.000000001,G1744&gt;=01_因子設定!$L$7-0.000000001,G1744&lt;=01_因子設定!$M$7+0.000000001,H1744&gt;=01_因子設定!$L$8-0.000000001,H1744&lt;=01_因子設定!$M$8+0.000000001,IF(01_因子設定!$B$20="Box-Behnken",E1744^2+F1744^2+G1744^2+H1744^2&lt;=2+0.000000001,TRUE()))</f>
        <v>1</v>
      </c>
      <c r="AD1744" s="55" t="n">
        <f aca="false">IF(AC1744,IF(01_因子設定!$B$13="最大化",AA1744-01_因子設定!$B$14,IF(01_因子設定!$B$13="最小化",01_因子設定!$B$15-AB1744,MIN(AA1744-01_因子設定!$B$14,01_因子設定!$B$15-AB1744))),-1E+030)</f>
        <v>-2.46564065085526</v>
      </c>
      <c r="AE1744" s="55" t="n">
        <f aca="false">IF(AC1744,IF(01_因子設定!$B$13="最大化",X1744,IF(01_因子設定!$B$13="最小化",-X1744,-ABS(X1744-01_因子設定!$B$16))),-1E+030)</f>
        <v>45.421408991228</v>
      </c>
      <c r="AF1744" s="55" t="n">
        <f aca="false">AD1744+ROW()*0.000000001</f>
        <v>-2.46563890685526</v>
      </c>
      <c r="AG1744" s="55" t="n">
        <f aca="false">AE1744+ROW()*0.000000001</f>
        <v>45.421410735228</v>
      </c>
    </row>
    <row r="1745" customFormat="false" ht="15" hidden="false" customHeight="false" outlineLevel="0" collapsed="false">
      <c r="A1745" s="0" t="n">
        <v>2</v>
      </c>
      <c r="B1745" s="0" t="n">
        <v>3</v>
      </c>
      <c r="C1745" s="0" t="n">
        <v>4</v>
      </c>
      <c r="D1745" s="0" t="n">
        <v>3</v>
      </c>
      <c r="E1745" s="0" t="n">
        <f aca="false">-1+A1745*0.25</f>
        <v>-0.5</v>
      </c>
      <c r="F1745" s="0" t="n">
        <f aca="false">-1+B1745*0.25</f>
        <v>-0.25</v>
      </c>
      <c r="G1745" s="0" t="n">
        <f aca="false">-1+C1745*0.25</f>
        <v>0</v>
      </c>
      <c r="H1745" s="0" t="n">
        <f aca="false">-1+D1745*0.25</f>
        <v>-0.25</v>
      </c>
      <c r="I1745" s="0" t="n">
        <f aca="false">1</f>
        <v>1</v>
      </c>
      <c r="J1745" s="0" t="n">
        <f aca="false">E1745</f>
        <v>-0.5</v>
      </c>
      <c r="K1745" s="0" t="n">
        <f aca="false">F1745</f>
        <v>-0.25</v>
      </c>
      <c r="L1745" s="0" t="n">
        <f aca="false">G1745</f>
        <v>0</v>
      </c>
      <c r="M1745" s="0" t="n">
        <f aca="false">H1745</f>
        <v>-0.25</v>
      </c>
      <c r="N1745" s="0" t="n">
        <f aca="false">E1745*F1745</f>
        <v>0.125</v>
      </c>
      <c r="O1745" s="0" t="n">
        <f aca="false">E1745*G1745</f>
        <v>-0</v>
      </c>
      <c r="P1745" s="0" t="n">
        <f aca="false">E1745*H1745</f>
        <v>0.125</v>
      </c>
      <c r="Q1745" s="0" t="n">
        <f aca="false">F1745*G1745</f>
        <v>-0</v>
      </c>
      <c r="R1745" s="0" t="n">
        <f aca="false">F1745*H1745</f>
        <v>0.0625</v>
      </c>
      <c r="S1745" s="0" t="n">
        <f aca="false">G1745*H1745</f>
        <v>-0</v>
      </c>
      <c r="T1745" s="0" t="n">
        <f aca="false">E1745*E1745</f>
        <v>0.25</v>
      </c>
      <c r="U1745" s="0" t="n">
        <f aca="false">F1745*F1745</f>
        <v>0.0625</v>
      </c>
      <c r="V1745" s="0" t="n">
        <f aca="false">G1745*G1745</f>
        <v>0</v>
      </c>
      <c r="W1745" s="0" t="n">
        <f aca="false">H1745*H1745</f>
        <v>0.0625</v>
      </c>
      <c r="X1745" s="0" t="n">
        <f aca="false">SUMPRODUCT(I1745:W1745,_XtX!$B$96:$P$96)</f>
        <v>45.5921646564327</v>
      </c>
      <c r="Y1745" s="0" t="n">
        <f aca="false">SUMPRODUCT(MMULT(I1745:W1745,_XtX!$B$78:$P$92),I1745:W1745)</f>
        <v>0.118905050712719</v>
      </c>
      <c r="Z1745" s="0" t="n">
        <f aca="false">04_回帰ANOVA!$K$19*04_回帰ANOVA!$K$14*SQRT(1+Y1745)</f>
        <v>1.37878011033769</v>
      </c>
      <c r="AA1745" s="0" t="n">
        <f aca="false">X1745-Z1745</f>
        <v>44.213384546095</v>
      </c>
      <c r="AB1745" s="0" t="n">
        <f aca="false">X1745+Z1745</f>
        <v>46.9709447667704</v>
      </c>
      <c r="AC1745" s="54" t="b">
        <f aca="false">AND(E1745&gt;=01_因子設定!$L$5-0.000000001,E1745&lt;=01_因子設定!$M$5+0.000000001,F1745&gt;=01_因子設定!$L$6-0.000000001,F1745&lt;=01_因子設定!$M$6+0.000000001,G1745&gt;=01_因子設定!$L$7-0.000000001,G1745&lt;=01_因子設定!$M$7+0.000000001,H1745&gt;=01_因子設定!$L$8-0.000000001,H1745&lt;=01_因子設定!$M$8+0.000000001,IF(01_因子設定!$B$20="Box-Behnken",E1745^2+F1745^2+G1745^2+H1745^2&lt;=2+0.000000001,TRUE()))</f>
        <v>1</v>
      </c>
      <c r="AD1745" s="55" t="n">
        <f aca="false">IF(AC1745,IF(01_因子設定!$B$13="最大化",AA1745-01_因子設定!$B$14,IF(01_因子設定!$B$13="最小化",01_因子設定!$B$15-AB1745,MIN(AA1745-01_因子設定!$B$14,01_因子設定!$B$15-AB1745))),-1E+030)</f>
        <v>-2.28661545390498</v>
      </c>
      <c r="AE1745" s="55" t="n">
        <f aca="false">IF(AC1745,IF(01_因子設定!$B$13="最大化",X1745,IF(01_因子設定!$B$13="最小化",-X1745,-ABS(X1745-01_因子設定!$B$16))),-1E+030)</f>
        <v>45.5921646564327</v>
      </c>
      <c r="AF1745" s="55" t="n">
        <f aca="false">AD1745+ROW()*0.000000001</f>
        <v>-2.28661370890498</v>
      </c>
      <c r="AG1745" s="55" t="n">
        <f aca="false">AE1745+ROW()*0.000000001</f>
        <v>45.5921664014327</v>
      </c>
    </row>
    <row r="1746" customFormat="false" ht="15" hidden="false" customHeight="false" outlineLevel="0" collapsed="false">
      <c r="A1746" s="0" t="n">
        <v>2</v>
      </c>
      <c r="B1746" s="0" t="n">
        <v>3</v>
      </c>
      <c r="C1746" s="0" t="n">
        <v>4</v>
      </c>
      <c r="D1746" s="0" t="n">
        <v>4</v>
      </c>
      <c r="E1746" s="0" t="n">
        <f aca="false">-1+A1746*0.25</f>
        <v>-0.5</v>
      </c>
      <c r="F1746" s="0" t="n">
        <f aca="false">-1+B1746*0.25</f>
        <v>-0.25</v>
      </c>
      <c r="G1746" s="0" t="n">
        <f aca="false">-1+C1746*0.25</f>
        <v>0</v>
      </c>
      <c r="H1746" s="0" t="n">
        <f aca="false">-1+D1746*0.25</f>
        <v>0</v>
      </c>
      <c r="I1746" s="0" t="n">
        <f aca="false">1</f>
        <v>1</v>
      </c>
      <c r="J1746" s="0" t="n">
        <f aca="false">E1746</f>
        <v>-0.5</v>
      </c>
      <c r="K1746" s="0" t="n">
        <f aca="false">F1746</f>
        <v>-0.25</v>
      </c>
      <c r="L1746" s="0" t="n">
        <f aca="false">G1746</f>
        <v>0</v>
      </c>
      <c r="M1746" s="0" t="n">
        <f aca="false">H1746</f>
        <v>0</v>
      </c>
      <c r="N1746" s="0" t="n">
        <f aca="false">E1746*F1746</f>
        <v>0.125</v>
      </c>
      <c r="O1746" s="0" t="n">
        <f aca="false">E1746*G1746</f>
        <v>-0</v>
      </c>
      <c r="P1746" s="0" t="n">
        <f aca="false">E1746*H1746</f>
        <v>-0</v>
      </c>
      <c r="Q1746" s="0" t="n">
        <f aca="false">F1746*G1746</f>
        <v>-0</v>
      </c>
      <c r="R1746" s="0" t="n">
        <f aca="false">F1746*H1746</f>
        <v>-0</v>
      </c>
      <c r="S1746" s="0" t="n">
        <f aca="false">G1746*H1746</f>
        <v>0</v>
      </c>
      <c r="T1746" s="0" t="n">
        <f aca="false">E1746*E1746</f>
        <v>0.25</v>
      </c>
      <c r="U1746" s="0" t="n">
        <f aca="false">F1746*F1746</f>
        <v>0.0625</v>
      </c>
      <c r="V1746" s="0" t="n">
        <f aca="false">G1746*G1746</f>
        <v>0</v>
      </c>
      <c r="W1746" s="0" t="n">
        <f aca="false">H1746*H1746</f>
        <v>0</v>
      </c>
      <c r="X1746" s="0" t="n">
        <f aca="false">SUMPRODUCT(I1746:W1746,_XtX!$B$96:$P$96)</f>
        <v>45.7151133040935</v>
      </c>
      <c r="Y1746" s="0" t="n">
        <f aca="false">SUMPRODUCT(MMULT(I1746:W1746,_XtX!$B$78:$P$92),I1746:W1746)</f>
        <v>0.120448419225146</v>
      </c>
      <c r="Z1746" s="0" t="n">
        <f aca="false">04_回帰ANOVA!$K$19*04_回帰ANOVA!$K$14*SQRT(1+Y1746)</f>
        <v>1.37973069703246</v>
      </c>
      <c r="AA1746" s="0" t="n">
        <f aca="false">X1746-Z1746</f>
        <v>44.3353826070611</v>
      </c>
      <c r="AB1746" s="0" t="n">
        <f aca="false">X1746+Z1746</f>
        <v>47.094844001126</v>
      </c>
      <c r="AC1746" s="54" t="b">
        <f aca="false">AND(E1746&gt;=01_因子設定!$L$5-0.000000001,E1746&lt;=01_因子設定!$M$5+0.000000001,F1746&gt;=01_因子設定!$L$6-0.000000001,F1746&lt;=01_因子設定!$M$6+0.000000001,G1746&gt;=01_因子設定!$L$7-0.000000001,G1746&lt;=01_因子設定!$M$7+0.000000001,H1746&gt;=01_因子設定!$L$8-0.000000001,H1746&lt;=01_因子設定!$M$8+0.000000001,IF(01_因子設定!$B$20="Box-Behnken",E1746^2+F1746^2+G1746^2+H1746^2&lt;=2+0.000000001,TRUE()))</f>
        <v>1</v>
      </c>
      <c r="AD1746" s="55" t="n">
        <f aca="false">IF(AC1746,IF(01_因子設定!$B$13="最大化",AA1746-01_因子設定!$B$14,IF(01_因子設定!$B$13="最小化",01_因子設定!$B$15-AB1746,MIN(AA1746-01_因子設定!$B$14,01_因子設定!$B$15-AB1746))),-1E+030)</f>
        <v>-2.16461739293894</v>
      </c>
      <c r="AE1746" s="55" t="n">
        <f aca="false">IF(AC1746,IF(01_因子設定!$B$13="最大化",X1746,IF(01_因子設定!$B$13="最小化",-X1746,-ABS(X1746-01_因子設定!$B$16))),-1E+030)</f>
        <v>45.7151133040935</v>
      </c>
      <c r="AF1746" s="55" t="n">
        <f aca="false">AD1746+ROW()*0.000000001</f>
        <v>-2.16461564693894</v>
      </c>
      <c r="AG1746" s="55" t="n">
        <f aca="false">AE1746+ROW()*0.000000001</f>
        <v>45.7151150500935</v>
      </c>
    </row>
    <row r="1747" customFormat="false" ht="15" hidden="false" customHeight="false" outlineLevel="0" collapsed="false">
      <c r="A1747" s="0" t="n">
        <v>2</v>
      </c>
      <c r="B1747" s="0" t="n">
        <v>3</v>
      </c>
      <c r="C1747" s="0" t="n">
        <v>4</v>
      </c>
      <c r="D1747" s="0" t="n">
        <v>5</v>
      </c>
      <c r="E1747" s="0" t="n">
        <f aca="false">-1+A1747*0.25</f>
        <v>-0.5</v>
      </c>
      <c r="F1747" s="0" t="n">
        <f aca="false">-1+B1747*0.25</f>
        <v>-0.25</v>
      </c>
      <c r="G1747" s="0" t="n">
        <f aca="false">-1+C1747*0.25</f>
        <v>0</v>
      </c>
      <c r="H1747" s="0" t="n">
        <f aca="false">-1+D1747*0.25</f>
        <v>0.25</v>
      </c>
      <c r="I1747" s="0" t="n">
        <f aca="false">1</f>
        <v>1</v>
      </c>
      <c r="J1747" s="0" t="n">
        <f aca="false">E1747</f>
        <v>-0.5</v>
      </c>
      <c r="K1747" s="0" t="n">
        <f aca="false">F1747</f>
        <v>-0.25</v>
      </c>
      <c r="L1747" s="0" t="n">
        <f aca="false">G1747</f>
        <v>0</v>
      </c>
      <c r="M1747" s="0" t="n">
        <f aca="false">H1747</f>
        <v>0.25</v>
      </c>
      <c r="N1747" s="0" t="n">
        <f aca="false">E1747*F1747</f>
        <v>0.125</v>
      </c>
      <c r="O1747" s="0" t="n">
        <f aca="false">E1747*G1747</f>
        <v>-0</v>
      </c>
      <c r="P1747" s="0" t="n">
        <f aca="false">E1747*H1747</f>
        <v>-0.125</v>
      </c>
      <c r="Q1747" s="0" t="n">
        <f aca="false">F1747*G1747</f>
        <v>-0</v>
      </c>
      <c r="R1747" s="0" t="n">
        <f aca="false">F1747*H1747</f>
        <v>-0.0625</v>
      </c>
      <c r="S1747" s="0" t="n">
        <f aca="false">G1747*H1747</f>
        <v>0</v>
      </c>
      <c r="T1747" s="0" t="n">
        <f aca="false">E1747*E1747</f>
        <v>0.25</v>
      </c>
      <c r="U1747" s="0" t="n">
        <f aca="false">F1747*F1747</f>
        <v>0.0625</v>
      </c>
      <c r="V1747" s="0" t="n">
        <f aca="false">G1747*G1747</f>
        <v>0</v>
      </c>
      <c r="W1747" s="0" t="n">
        <f aca="false">H1747*H1747</f>
        <v>0.0625</v>
      </c>
      <c r="X1747" s="0" t="n">
        <f aca="false">SUMPRODUCT(I1747:W1747,_XtX!$B$96:$P$96)</f>
        <v>45.7902549342105</v>
      </c>
      <c r="Y1747" s="0" t="n">
        <f aca="false">SUMPRODUCT(MMULT(I1747:W1747,_XtX!$B$78:$P$92),I1747:W1747)</f>
        <v>0.118905050712719</v>
      </c>
      <c r="Z1747" s="0" t="n">
        <f aca="false">04_回帰ANOVA!$K$19*04_回帰ANOVA!$K$14*SQRT(1+Y1747)</f>
        <v>1.37878011033769</v>
      </c>
      <c r="AA1747" s="0" t="n">
        <f aca="false">X1747-Z1747</f>
        <v>44.4114748238728</v>
      </c>
      <c r="AB1747" s="0" t="n">
        <f aca="false">X1747+Z1747</f>
        <v>47.1690350445482</v>
      </c>
      <c r="AC1747" s="54" t="b">
        <f aca="false">AND(E1747&gt;=01_因子設定!$L$5-0.000000001,E1747&lt;=01_因子設定!$M$5+0.000000001,F1747&gt;=01_因子設定!$L$6-0.000000001,F1747&lt;=01_因子設定!$M$6+0.000000001,G1747&gt;=01_因子設定!$L$7-0.000000001,G1747&lt;=01_因子設定!$M$7+0.000000001,H1747&gt;=01_因子設定!$L$8-0.000000001,H1747&lt;=01_因子設定!$M$8+0.000000001,IF(01_因子設定!$B$20="Box-Behnken",E1747^2+F1747^2+G1747^2+H1747^2&lt;=2+0.000000001,TRUE()))</f>
        <v>1</v>
      </c>
      <c r="AD1747" s="55" t="n">
        <f aca="false">IF(AC1747,IF(01_因子設定!$B$13="最大化",AA1747-01_因子設定!$B$14,IF(01_因子設定!$B$13="最小化",01_因子設定!$B$15-AB1747,MIN(AA1747-01_因子設定!$B$14,01_因子設定!$B$15-AB1747))),-1E+030)</f>
        <v>-2.0885251761272</v>
      </c>
      <c r="AE1747" s="55" t="n">
        <f aca="false">IF(AC1747,IF(01_因子設定!$B$13="最大化",X1747,IF(01_因子設定!$B$13="最小化",-X1747,-ABS(X1747-01_因子設定!$B$16))),-1E+030)</f>
        <v>45.7902549342105</v>
      </c>
      <c r="AF1747" s="55" t="n">
        <f aca="false">AD1747+ROW()*0.000000001</f>
        <v>-2.0885234291272</v>
      </c>
      <c r="AG1747" s="55" t="n">
        <f aca="false">AE1747+ROW()*0.000000001</f>
        <v>45.7902566812105</v>
      </c>
    </row>
    <row r="1748" customFormat="false" ht="15" hidden="false" customHeight="false" outlineLevel="0" collapsed="false">
      <c r="A1748" s="0" t="n">
        <v>2</v>
      </c>
      <c r="B1748" s="0" t="n">
        <v>3</v>
      </c>
      <c r="C1748" s="0" t="n">
        <v>4</v>
      </c>
      <c r="D1748" s="0" t="n">
        <v>6</v>
      </c>
      <c r="E1748" s="0" t="n">
        <f aca="false">-1+A1748*0.25</f>
        <v>-0.5</v>
      </c>
      <c r="F1748" s="0" t="n">
        <f aca="false">-1+B1748*0.25</f>
        <v>-0.25</v>
      </c>
      <c r="G1748" s="0" t="n">
        <f aca="false">-1+C1748*0.25</f>
        <v>0</v>
      </c>
      <c r="H1748" s="0" t="n">
        <f aca="false">-1+D1748*0.25</f>
        <v>0.5</v>
      </c>
      <c r="I1748" s="0" t="n">
        <f aca="false">1</f>
        <v>1</v>
      </c>
      <c r="J1748" s="0" t="n">
        <f aca="false">E1748</f>
        <v>-0.5</v>
      </c>
      <c r="K1748" s="0" t="n">
        <f aca="false">F1748</f>
        <v>-0.25</v>
      </c>
      <c r="L1748" s="0" t="n">
        <f aca="false">G1748</f>
        <v>0</v>
      </c>
      <c r="M1748" s="0" t="n">
        <f aca="false">H1748</f>
        <v>0.5</v>
      </c>
      <c r="N1748" s="0" t="n">
        <f aca="false">E1748*F1748</f>
        <v>0.125</v>
      </c>
      <c r="O1748" s="0" t="n">
        <f aca="false">E1748*G1748</f>
        <v>-0</v>
      </c>
      <c r="P1748" s="0" t="n">
        <f aca="false">E1748*H1748</f>
        <v>-0.25</v>
      </c>
      <c r="Q1748" s="0" t="n">
        <f aca="false">F1748*G1748</f>
        <v>-0</v>
      </c>
      <c r="R1748" s="0" t="n">
        <f aca="false">F1748*H1748</f>
        <v>-0.125</v>
      </c>
      <c r="S1748" s="0" t="n">
        <f aca="false">G1748*H1748</f>
        <v>0</v>
      </c>
      <c r="T1748" s="0" t="n">
        <f aca="false">E1748*E1748</f>
        <v>0.25</v>
      </c>
      <c r="U1748" s="0" t="n">
        <f aca="false">F1748*F1748</f>
        <v>0.0625</v>
      </c>
      <c r="V1748" s="0" t="n">
        <f aca="false">G1748*G1748</f>
        <v>0</v>
      </c>
      <c r="W1748" s="0" t="n">
        <f aca="false">H1748*H1748</f>
        <v>0.25</v>
      </c>
      <c r="X1748" s="0" t="n">
        <f aca="false">SUMPRODUCT(I1748:W1748,_XtX!$B$96:$P$96)</f>
        <v>45.8175895467836</v>
      </c>
      <c r="Y1748" s="0" t="n">
        <f aca="false">SUMPRODUCT(MMULT(I1748:W1748,_XtX!$B$78:$P$92),I1748:W1748)</f>
        <v>0.132367050438597</v>
      </c>
      <c r="Z1748" s="0" t="n">
        <f aca="false">04_回帰ANOVA!$K$19*04_回帰ANOVA!$K$14*SQRT(1+Y1748)</f>
        <v>1.38704964208329</v>
      </c>
      <c r="AA1748" s="0" t="n">
        <f aca="false">X1748-Z1748</f>
        <v>44.4305399047003</v>
      </c>
      <c r="AB1748" s="0" t="n">
        <f aca="false">X1748+Z1748</f>
        <v>47.2046391888669</v>
      </c>
      <c r="AC1748" s="54" t="b">
        <f aca="false">AND(E1748&gt;=01_因子設定!$L$5-0.000000001,E1748&lt;=01_因子設定!$M$5+0.000000001,F1748&gt;=01_因子設定!$L$6-0.000000001,F1748&lt;=01_因子設定!$M$6+0.000000001,G1748&gt;=01_因子設定!$L$7-0.000000001,G1748&lt;=01_因子設定!$M$7+0.000000001,H1748&gt;=01_因子設定!$L$8-0.000000001,H1748&lt;=01_因子設定!$M$8+0.000000001,IF(01_因子設定!$B$20="Box-Behnken",E1748^2+F1748^2+G1748^2+H1748^2&lt;=2+0.000000001,TRUE()))</f>
        <v>1</v>
      </c>
      <c r="AD1748" s="55" t="n">
        <f aca="false">IF(AC1748,IF(01_因子設定!$B$13="最大化",AA1748-01_因子設定!$B$14,IF(01_因子設定!$B$13="最小化",01_因子設定!$B$15-AB1748,MIN(AA1748-01_因子設定!$B$14,01_因子設定!$B$15-AB1748))),-1E+030)</f>
        <v>-2.0694600952997</v>
      </c>
      <c r="AE1748" s="55" t="n">
        <f aca="false">IF(AC1748,IF(01_因子設定!$B$13="最大化",X1748,IF(01_因子設定!$B$13="最小化",-X1748,-ABS(X1748-01_因子設定!$B$16))),-1E+030)</f>
        <v>45.8175895467836</v>
      </c>
      <c r="AF1748" s="55" t="n">
        <f aca="false">AD1748+ROW()*0.000000001</f>
        <v>-2.0694583472997</v>
      </c>
      <c r="AG1748" s="55" t="n">
        <f aca="false">AE1748+ROW()*0.000000001</f>
        <v>45.8175912947836</v>
      </c>
    </row>
    <row r="1749" customFormat="false" ht="15" hidden="false" customHeight="false" outlineLevel="0" collapsed="false">
      <c r="A1749" s="0" t="n">
        <v>2</v>
      </c>
      <c r="B1749" s="0" t="n">
        <v>3</v>
      </c>
      <c r="C1749" s="0" t="n">
        <v>4</v>
      </c>
      <c r="D1749" s="0" t="n">
        <v>7</v>
      </c>
      <c r="E1749" s="0" t="n">
        <f aca="false">-1+A1749*0.25</f>
        <v>-0.5</v>
      </c>
      <c r="F1749" s="0" t="n">
        <f aca="false">-1+B1749*0.25</f>
        <v>-0.25</v>
      </c>
      <c r="G1749" s="0" t="n">
        <f aca="false">-1+C1749*0.25</f>
        <v>0</v>
      </c>
      <c r="H1749" s="0" t="n">
        <f aca="false">-1+D1749*0.25</f>
        <v>0.75</v>
      </c>
      <c r="I1749" s="0" t="n">
        <f aca="false">1</f>
        <v>1</v>
      </c>
      <c r="J1749" s="0" t="n">
        <f aca="false">E1749</f>
        <v>-0.5</v>
      </c>
      <c r="K1749" s="0" t="n">
        <f aca="false">F1749</f>
        <v>-0.25</v>
      </c>
      <c r="L1749" s="0" t="n">
        <f aca="false">G1749</f>
        <v>0</v>
      </c>
      <c r="M1749" s="0" t="n">
        <f aca="false">H1749</f>
        <v>0.75</v>
      </c>
      <c r="N1749" s="0" t="n">
        <f aca="false">E1749*F1749</f>
        <v>0.125</v>
      </c>
      <c r="O1749" s="0" t="n">
        <f aca="false">E1749*G1749</f>
        <v>-0</v>
      </c>
      <c r="P1749" s="0" t="n">
        <f aca="false">E1749*H1749</f>
        <v>-0.375</v>
      </c>
      <c r="Q1749" s="0" t="n">
        <f aca="false">F1749*G1749</f>
        <v>-0</v>
      </c>
      <c r="R1749" s="0" t="n">
        <f aca="false">F1749*H1749</f>
        <v>-0.1875</v>
      </c>
      <c r="S1749" s="0" t="n">
        <f aca="false">G1749*H1749</f>
        <v>0</v>
      </c>
      <c r="T1749" s="0" t="n">
        <f aca="false">E1749*E1749</f>
        <v>0.25</v>
      </c>
      <c r="U1749" s="0" t="n">
        <f aca="false">F1749*F1749</f>
        <v>0.0625</v>
      </c>
      <c r="V1749" s="0" t="n">
        <f aca="false">G1749*G1749</f>
        <v>0</v>
      </c>
      <c r="W1749" s="0" t="n">
        <f aca="false">H1749*H1749</f>
        <v>0.5625</v>
      </c>
      <c r="X1749" s="0" t="n">
        <f aca="false">SUMPRODUCT(I1749:W1749,_XtX!$B$96:$P$96)</f>
        <v>45.7971171418128</v>
      </c>
      <c r="Y1749" s="0" t="n">
        <f aca="false">SUMPRODUCT(MMULT(I1749:W1749,_XtX!$B$78:$P$92),I1749:W1749)</f>
        <v>0.215110734192252</v>
      </c>
      <c r="Z1749" s="0" t="n">
        <f aca="false">04_回帰ANOVA!$K$19*04_回帰ANOVA!$K$14*SQRT(1+Y1749)</f>
        <v>1.43683309086864</v>
      </c>
      <c r="AA1749" s="0" t="n">
        <f aca="false">X1749-Z1749</f>
        <v>44.3602840509442</v>
      </c>
      <c r="AB1749" s="0" t="n">
        <f aca="false">X1749+Z1749</f>
        <v>47.2339502326815</v>
      </c>
      <c r="AC1749" s="54" t="b">
        <f aca="false">AND(E1749&gt;=01_因子設定!$L$5-0.000000001,E1749&lt;=01_因子設定!$M$5+0.000000001,F1749&gt;=01_因子設定!$L$6-0.000000001,F1749&lt;=01_因子設定!$M$6+0.000000001,G1749&gt;=01_因子設定!$L$7-0.000000001,G1749&lt;=01_因子設定!$M$7+0.000000001,H1749&gt;=01_因子設定!$L$8-0.000000001,H1749&lt;=01_因子設定!$M$8+0.000000001,IF(01_因子設定!$B$20="Box-Behnken",E1749^2+F1749^2+G1749^2+H1749^2&lt;=2+0.000000001,TRUE()))</f>
        <v>1</v>
      </c>
      <c r="AD1749" s="55" t="n">
        <f aca="false">IF(AC1749,IF(01_因子設定!$B$13="最大化",AA1749-01_因子設定!$B$14,IF(01_因子設定!$B$13="最小化",01_因子設定!$B$15-AB1749,MIN(AA1749-01_因子設定!$B$14,01_因子設定!$B$15-AB1749))),-1E+030)</f>
        <v>-2.13971594905581</v>
      </c>
      <c r="AE1749" s="55" t="n">
        <f aca="false">IF(AC1749,IF(01_因子設定!$B$13="最大化",X1749,IF(01_因子設定!$B$13="最小化",-X1749,-ABS(X1749-01_因子設定!$B$16))),-1E+030)</f>
        <v>45.7971171418128</v>
      </c>
      <c r="AF1749" s="55" t="n">
        <f aca="false">AD1749+ROW()*0.000000001</f>
        <v>-2.13971420005581</v>
      </c>
      <c r="AG1749" s="55" t="n">
        <f aca="false">AE1749+ROW()*0.000000001</f>
        <v>45.7971188908128</v>
      </c>
    </row>
    <row r="1750" customFormat="false" ht="15" hidden="false" customHeight="false" outlineLevel="0" collapsed="false">
      <c r="A1750" s="0" t="n">
        <v>2</v>
      </c>
      <c r="B1750" s="0" t="n">
        <v>3</v>
      </c>
      <c r="C1750" s="0" t="n">
        <v>4</v>
      </c>
      <c r="D1750" s="0" t="n">
        <v>8</v>
      </c>
      <c r="E1750" s="0" t="n">
        <f aca="false">-1+A1750*0.25</f>
        <v>-0.5</v>
      </c>
      <c r="F1750" s="0" t="n">
        <f aca="false">-1+B1750*0.25</f>
        <v>-0.25</v>
      </c>
      <c r="G1750" s="0" t="n">
        <f aca="false">-1+C1750*0.25</f>
        <v>0</v>
      </c>
      <c r="H1750" s="0" t="n">
        <f aca="false">-1+D1750*0.25</f>
        <v>1</v>
      </c>
      <c r="I1750" s="0" t="n">
        <f aca="false">1</f>
        <v>1</v>
      </c>
      <c r="J1750" s="0" t="n">
        <f aca="false">E1750</f>
        <v>-0.5</v>
      </c>
      <c r="K1750" s="0" t="n">
        <f aca="false">F1750</f>
        <v>-0.25</v>
      </c>
      <c r="L1750" s="0" t="n">
        <f aca="false">G1750</f>
        <v>0</v>
      </c>
      <c r="M1750" s="0" t="n">
        <f aca="false">H1750</f>
        <v>1</v>
      </c>
      <c r="N1750" s="0" t="n">
        <f aca="false">E1750*F1750</f>
        <v>0.125</v>
      </c>
      <c r="O1750" s="0" t="n">
        <f aca="false">E1750*G1750</f>
        <v>-0</v>
      </c>
      <c r="P1750" s="0" t="n">
        <f aca="false">E1750*H1750</f>
        <v>-0.5</v>
      </c>
      <c r="Q1750" s="0" t="n">
        <f aca="false">F1750*G1750</f>
        <v>-0</v>
      </c>
      <c r="R1750" s="0" t="n">
        <f aca="false">F1750*H1750</f>
        <v>-0.25</v>
      </c>
      <c r="S1750" s="0" t="n">
        <f aca="false">G1750*H1750</f>
        <v>0</v>
      </c>
      <c r="T1750" s="0" t="n">
        <f aca="false">E1750*E1750</f>
        <v>0.25</v>
      </c>
      <c r="U1750" s="0" t="n">
        <f aca="false">F1750*F1750</f>
        <v>0.0625</v>
      </c>
      <c r="V1750" s="0" t="n">
        <f aca="false">G1750*G1750</f>
        <v>0</v>
      </c>
      <c r="W1750" s="0" t="n">
        <f aca="false">H1750*H1750</f>
        <v>1</v>
      </c>
      <c r="X1750" s="0" t="n">
        <f aca="false">SUMPRODUCT(I1750:W1750,_XtX!$B$96:$P$96)</f>
        <v>45.7288377192982</v>
      </c>
      <c r="Y1750" s="0" t="n">
        <f aca="false">SUMPRODUCT(MMULT(I1750:W1750,_XtX!$B$78:$P$92),I1750:W1750)</f>
        <v>0.457596628289474</v>
      </c>
      <c r="Z1750" s="0" t="n">
        <f aca="false">04_回帰ANOVA!$K$19*04_回帰ANOVA!$K$14*SQRT(1+Y1750)</f>
        <v>1.57368233664366</v>
      </c>
      <c r="AA1750" s="0" t="n">
        <f aca="false">X1750-Z1750</f>
        <v>44.1551553826546</v>
      </c>
      <c r="AB1750" s="0" t="n">
        <f aca="false">X1750+Z1750</f>
        <v>47.3025200559419</v>
      </c>
      <c r="AC1750" s="54" t="b">
        <f aca="false">AND(E1750&gt;=01_因子設定!$L$5-0.000000001,E1750&lt;=01_因子設定!$M$5+0.000000001,F1750&gt;=01_因子設定!$L$6-0.000000001,F1750&lt;=01_因子設定!$M$6+0.000000001,G1750&gt;=01_因子設定!$L$7-0.000000001,G1750&lt;=01_因子設定!$M$7+0.000000001,H1750&gt;=01_因子設定!$L$8-0.000000001,H1750&lt;=01_因子設定!$M$8+0.000000001,IF(01_因子設定!$B$20="Box-Behnken",E1750^2+F1750^2+G1750^2+H1750^2&lt;=2+0.000000001,TRUE()))</f>
        <v>1</v>
      </c>
      <c r="AD1750" s="55" t="n">
        <f aca="false">IF(AC1750,IF(01_因子設定!$B$13="最大化",AA1750-01_因子設定!$B$14,IF(01_因子設定!$B$13="最小化",01_因子設定!$B$15-AB1750,MIN(AA1750-01_因子設定!$B$14,01_因子設定!$B$15-AB1750))),-1E+030)</f>
        <v>-2.34484461734542</v>
      </c>
      <c r="AE1750" s="55" t="n">
        <f aca="false">IF(AC1750,IF(01_因子設定!$B$13="最大化",X1750,IF(01_因子設定!$B$13="最小化",-X1750,-ABS(X1750-01_因子設定!$B$16))),-1E+030)</f>
        <v>45.7288377192982</v>
      </c>
      <c r="AF1750" s="55" t="n">
        <f aca="false">AD1750+ROW()*0.000000001</f>
        <v>-2.34484286734542</v>
      </c>
      <c r="AG1750" s="55" t="n">
        <f aca="false">AE1750+ROW()*0.000000001</f>
        <v>45.7288394692982</v>
      </c>
    </row>
    <row r="1751" customFormat="false" ht="15" hidden="false" customHeight="false" outlineLevel="0" collapsed="false">
      <c r="A1751" s="0" t="n">
        <v>2</v>
      </c>
      <c r="B1751" s="0" t="n">
        <v>3</v>
      </c>
      <c r="C1751" s="0" t="n">
        <v>5</v>
      </c>
      <c r="D1751" s="0" t="n">
        <v>0</v>
      </c>
      <c r="E1751" s="0" t="n">
        <f aca="false">-1+A1751*0.25</f>
        <v>-0.5</v>
      </c>
      <c r="F1751" s="0" t="n">
        <f aca="false">-1+B1751*0.25</f>
        <v>-0.25</v>
      </c>
      <c r="G1751" s="0" t="n">
        <f aca="false">-1+C1751*0.25</f>
        <v>0.25</v>
      </c>
      <c r="H1751" s="0" t="n">
        <f aca="false">-1+D1751*0.25</f>
        <v>-1</v>
      </c>
      <c r="I1751" s="0" t="n">
        <f aca="false">1</f>
        <v>1</v>
      </c>
      <c r="J1751" s="0" t="n">
        <f aca="false">E1751</f>
        <v>-0.5</v>
      </c>
      <c r="K1751" s="0" t="n">
        <f aca="false">F1751</f>
        <v>-0.25</v>
      </c>
      <c r="L1751" s="0" t="n">
        <f aca="false">G1751</f>
        <v>0.25</v>
      </c>
      <c r="M1751" s="0" t="n">
        <f aca="false">H1751</f>
        <v>-1</v>
      </c>
      <c r="N1751" s="0" t="n">
        <f aca="false">E1751*F1751</f>
        <v>0.125</v>
      </c>
      <c r="O1751" s="0" t="n">
        <f aca="false">E1751*G1751</f>
        <v>-0.125</v>
      </c>
      <c r="P1751" s="0" t="n">
        <f aca="false">E1751*H1751</f>
        <v>0.5</v>
      </c>
      <c r="Q1751" s="0" t="n">
        <f aca="false">F1751*G1751</f>
        <v>-0.0625</v>
      </c>
      <c r="R1751" s="0" t="n">
        <f aca="false">F1751*H1751</f>
        <v>0.25</v>
      </c>
      <c r="S1751" s="0" t="n">
        <f aca="false">G1751*H1751</f>
        <v>-0.25</v>
      </c>
      <c r="T1751" s="0" t="n">
        <f aca="false">E1751*E1751</f>
        <v>0.25</v>
      </c>
      <c r="U1751" s="0" t="n">
        <f aca="false">F1751*F1751</f>
        <v>0.0625</v>
      </c>
      <c r="V1751" s="0" t="n">
        <f aca="false">G1751*G1751</f>
        <v>0.0625</v>
      </c>
      <c r="W1751" s="0" t="n">
        <f aca="false">H1751*H1751</f>
        <v>1</v>
      </c>
      <c r="X1751" s="0" t="n">
        <f aca="false">SUMPRODUCT(I1751:W1751,_XtX!$B$96:$P$96)</f>
        <v>45.1295001827485</v>
      </c>
      <c r="Y1751" s="0" t="n">
        <f aca="false">SUMPRODUCT(MMULT(I1751:W1751,_XtX!$B$78:$P$92),I1751:W1751)</f>
        <v>0.445705123812135</v>
      </c>
      <c r="Z1751" s="0" t="n">
        <f aca="false">04_回帰ANOVA!$K$19*04_回帰ANOVA!$K$14*SQRT(1+Y1751)</f>
        <v>1.56724990734749</v>
      </c>
      <c r="AA1751" s="0" t="n">
        <f aca="false">X1751-Z1751</f>
        <v>43.5622502754011</v>
      </c>
      <c r="AB1751" s="0" t="n">
        <f aca="false">X1751+Z1751</f>
        <v>46.696750090096</v>
      </c>
      <c r="AC1751" s="54" t="b">
        <f aca="false">AND(E1751&gt;=01_因子設定!$L$5-0.000000001,E1751&lt;=01_因子設定!$M$5+0.000000001,F1751&gt;=01_因子設定!$L$6-0.000000001,F1751&lt;=01_因子設定!$M$6+0.000000001,G1751&gt;=01_因子設定!$L$7-0.000000001,G1751&lt;=01_因子設定!$M$7+0.000000001,H1751&gt;=01_因子設定!$L$8-0.000000001,H1751&lt;=01_因子設定!$M$8+0.000000001,IF(01_因子設定!$B$20="Box-Behnken",E1751^2+F1751^2+G1751^2+H1751^2&lt;=2+0.000000001,TRUE()))</f>
        <v>1</v>
      </c>
      <c r="AD1751" s="55" t="n">
        <f aca="false">IF(AC1751,IF(01_因子設定!$B$13="最大化",AA1751-01_因子設定!$B$14,IF(01_因子設定!$B$13="最小化",01_因子設定!$B$15-AB1751,MIN(AA1751-01_因子設定!$B$14,01_因子設定!$B$15-AB1751))),-1E+030)</f>
        <v>-2.93774972459895</v>
      </c>
      <c r="AE1751" s="55" t="n">
        <f aca="false">IF(AC1751,IF(01_因子設定!$B$13="最大化",X1751,IF(01_因子設定!$B$13="最小化",-X1751,-ABS(X1751-01_因子設定!$B$16))),-1E+030)</f>
        <v>45.1295001827485</v>
      </c>
      <c r="AF1751" s="55" t="n">
        <f aca="false">AD1751+ROW()*0.000000001</f>
        <v>-2.93774797359895</v>
      </c>
      <c r="AG1751" s="55" t="n">
        <f aca="false">AE1751+ROW()*0.000000001</f>
        <v>45.1295019337485</v>
      </c>
    </row>
    <row r="1752" customFormat="false" ht="15" hidden="false" customHeight="false" outlineLevel="0" collapsed="false">
      <c r="A1752" s="0" t="n">
        <v>2</v>
      </c>
      <c r="B1752" s="0" t="n">
        <v>3</v>
      </c>
      <c r="C1752" s="0" t="n">
        <v>5</v>
      </c>
      <c r="D1752" s="0" t="n">
        <v>1</v>
      </c>
      <c r="E1752" s="0" t="n">
        <f aca="false">-1+A1752*0.25</f>
        <v>-0.5</v>
      </c>
      <c r="F1752" s="0" t="n">
        <f aca="false">-1+B1752*0.25</f>
        <v>-0.25</v>
      </c>
      <c r="G1752" s="0" t="n">
        <f aca="false">-1+C1752*0.25</f>
        <v>0.25</v>
      </c>
      <c r="H1752" s="0" t="n">
        <f aca="false">-1+D1752*0.25</f>
        <v>-0.75</v>
      </c>
      <c r="I1752" s="0" t="n">
        <f aca="false">1</f>
        <v>1</v>
      </c>
      <c r="J1752" s="0" t="n">
        <f aca="false">E1752</f>
        <v>-0.5</v>
      </c>
      <c r="K1752" s="0" t="n">
        <f aca="false">F1752</f>
        <v>-0.25</v>
      </c>
      <c r="L1752" s="0" t="n">
        <f aca="false">G1752</f>
        <v>0.25</v>
      </c>
      <c r="M1752" s="0" t="n">
        <f aca="false">H1752</f>
        <v>-0.75</v>
      </c>
      <c r="N1752" s="0" t="n">
        <f aca="false">E1752*F1752</f>
        <v>0.125</v>
      </c>
      <c r="O1752" s="0" t="n">
        <f aca="false">E1752*G1752</f>
        <v>-0.125</v>
      </c>
      <c r="P1752" s="0" t="n">
        <f aca="false">E1752*H1752</f>
        <v>0.375</v>
      </c>
      <c r="Q1752" s="0" t="n">
        <f aca="false">F1752*G1752</f>
        <v>-0.0625</v>
      </c>
      <c r="R1752" s="0" t="n">
        <f aca="false">F1752*H1752</f>
        <v>0.1875</v>
      </c>
      <c r="S1752" s="0" t="n">
        <f aca="false">G1752*H1752</f>
        <v>-0.1875</v>
      </c>
      <c r="T1752" s="0" t="n">
        <f aca="false">E1752*E1752</f>
        <v>0.25</v>
      </c>
      <c r="U1752" s="0" t="n">
        <f aca="false">F1752*F1752</f>
        <v>0.0625</v>
      </c>
      <c r="V1752" s="0" t="n">
        <f aca="false">G1752*G1752</f>
        <v>0.0625</v>
      </c>
      <c r="W1752" s="0" t="n">
        <f aca="false">H1752*H1752</f>
        <v>0.5625</v>
      </c>
      <c r="X1752" s="0" t="n">
        <f aca="false">SUMPRODUCT(I1752:W1752,_XtX!$B$96:$P$96)</f>
        <v>45.4138386330409</v>
      </c>
      <c r="Y1752" s="0" t="n">
        <f aca="false">SUMPRODUCT(MMULT(I1752:W1752,_XtX!$B$78:$P$92),I1752:W1752)</f>
        <v>0.207746539199561</v>
      </c>
      <c r="Z1752" s="0" t="n">
        <f aca="false">04_回帰ANOVA!$K$19*04_回帰ANOVA!$K$14*SQRT(1+Y1752)</f>
        <v>1.43247250081141</v>
      </c>
      <c r="AA1752" s="0" t="n">
        <f aca="false">X1752-Z1752</f>
        <v>43.9813661322295</v>
      </c>
      <c r="AB1752" s="0" t="n">
        <f aca="false">X1752+Z1752</f>
        <v>46.8463111338523</v>
      </c>
      <c r="AC1752" s="54" t="b">
        <f aca="false">AND(E1752&gt;=01_因子設定!$L$5-0.000000001,E1752&lt;=01_因子設定!$M$5+0.000000001,F1752&gt;=01_因子設定!$L$6-0.000000001,F1752&lt;=01_因子設定!$M$6+0.000000001,G1752&gt;=01_因子設定!$L$7-0.000000001,G1752&lt;=01_因子設定!$M$7+0.000000001,H1752&gt;=01_因子設定!$L$8-0.000000001,H1752&lt;=01_因子設定!$M$8+0.000000001,IF(01_因子設定!$B$20="Box-Behnken",E1752^2+F1752^2+G1752^2+H1752^2&lt;=2+0.000000001,TRUE()))</f>
        <v>1</v>
      </c>
      <c r="AD1752" s="55" t="n">
        <f aca="false">IF(AC1752,IF(01_因子設定!$B$13="最大化",AA1752-01_因子設定!$B$14,IF(01_因子設定!$B$13="最小化",01_因子設定!$B$15-AB1752,MIN(AA1752-01_因子設定!$B$14,01_因子設定!$B$15-AB1752))),-1E+030)</f>
        <v>-2.51863386777049</v>
      </c>
      <c r="AE1752" s="55" t="n">
        <f aca="false">IF(AC1752,IF(01_因子設定!$B$13="最大化",X1752,IF(01_因子設定!$B$13="最小化",-X1752,-ABS(X1752-01_因子設定!$B$16))),-1E+030)</f>
        <v>45.4138386330409</v>
      </c>
      <c r="AF1752" s="55" t="n">
        <f aca="false">AD1752+ROW()*0.000000001</f>
        <v>-2.51863211577049</v>
      </c>
      <c r="AG1752" s="55" t="n">
        <f aca="false">AE1752+ROW()*0.000000001</f>
        <v>45.4138403850409</v>
      </c>
    </row>
    <row r="1753" customFormat="false" ht="15" hidden="false" customHeight="false" outlineLevel="0" collapsed="false">
      <c r="A1753" s="0" t="n">
        <v>2</v>
      </c>
      <c r="B1753" s="0" t="n">
        <v>3</v>
      </c>
      <c r="C1753" s="0" t="n">
        <v>5</v>
      </c>
      <c r="D1753" s="0" t="n">
        <v>2</v>
      </c>
      <c r="E1753" s="0" t="n">
        <f aca="false">-1+A1753*0.25</f>
        <v>-0.5</v>
      </c>
      <c r="F1753" s="0" t="n">
        <f aca="false">-1+B1753*0.25</f>
        <v>-0.25</v>
      </c>
      <c r="G1753" s="0" t="n">
        <f aca="false">-1+C1753*0.25</f>
        <v>0.25</v>
      </c>
      <c r="H1753" s="0" t="n">
        <f aca="false">-1+D1753*0.25</f>
        <v>-0.5</v>
      </c>
      <c r="I1753" s="0" t="n">
        <f aca="false">1</f>
        <v>1</v>
      </c>
      <c r="J1753" s="0" t="n">
        <f aca="false">E1753</f>
        <v>-0.5</v>
      </c>
      <c r="K1753" s="0" t="n">
        <f aca="false">F1753</f>
        <v>-0.25</v>
      </c>
      <c r="L1753" s="0" t="n">
        <f aca="false">G1753</f>
        <v>0.25</v>
      </c>
      <c r="M1753" s="0" t="n">
        <f aca="false">H1753</f>
        <v>-0.5</v>
      </c>
      <c r="N1753" s="0" t="n">
        <f aca="false">E1753*F1753</f>
        <v>0.125</v>
      </c>
      <c r="O1753" s="0" t="n">
        <f aca="false">E1753*G1753</f>
        <v>-0.125</v>
      </c>
      <c r="P1753" s="0" t="n">
        <f aca="false">E1753*H1753</f>
        <v>0.25</v>
      </c>
      <c r="Q1753" s="0" t="n">
        <f aca="false">F1753*G1753</f>
        <v>-0.0625</v>
      </c>
      <c r="R1753" s="0" t="n">
        <f aca="false">F1753*H1753</f>
        <v>0.125</v>
      </c>
      <c r="S1753" s="0" t="n">
        <f aca="false">G1753*H1753</f>
        <v>-0.125</v>
      </c>
      <c r="T1753" s="0" t="n">
        <f aca="false">E1753*E1753</f>
        <v>0.25</v>
      </c>
      <c r="U1753" s="0" t="n">
        <f aca="false">F1753*F1753</f>
        <v>0.0625</v>
      </c>
      <c r="V1753" s="0" t="n">
        <f aca="false">G1753*G1753</f>
        <v>0.0625</v>
      </c>
      <c r="W1753" s="0" t="n">
        <f aca="false">H1753*H1753</f>
        <v>0.25</v>
      </c>
      <c r="X1753" s="0" t="n">
        <f aca="false">SUMPRODUCT(I1753:W1753,_XtX!$B$96:$P$96)</f>
        <v>45.6503700657894</v>
      </c>
      <c r="Y1753" s="0" t="n">
        <f aca="false">SUMPRODUCT(MMULT(I1753:W1753,_XtX!$B$78:$P$92),I1753:W1753)</f>
        <v>0.128236647934942</v>
      </c>
      <c r="Z1753" s="0" t="n">
        <f aca="false">04_回帰ANOVA!$K$19*04_回帰ANOVA!$K$14*SQRT(1+Y1753)</f>
        <v>1.38451764188989</v>
      </c>
      <c r="AA1753" s="0" t="n">
        <f aca="false">X1753-Z1753</f>
        <v>44.2658524238996</v>
      </c>
      <c r="AB1753" s="0" t="n">
        <f aca="false">X1753+Z1753</f>
        <v>47.0348877076793</v>
      </c>
      <c r="AC1753" s="54" t="b">
        <f aca="false">AND(E1753&gt;=01_因子設定!$L$5-0.000000001,E1753&lt;=01_因子設定!$M$5+0.000000001,F1753&gt;=01_因子設定!$L$6-0.000000001,F1753&lt;=01_因子設定!$M$6+0.000000001,G1753&gt;=01_因子設定!$L$7-0.000000001,G1753&lt;=01_因子設定!$M$7+0.000000001,H1753&gt;=01_因子設定!$L$8-0.000000001,H1753&lt;=01_因子設定!$M$8+0.000000001,IF(01_因子設定!$B$20="Box-Behnken",E1753^2+F1753^2+G1753^2+H1753^2&lt;=2+0.000000001,TRUE()))</f>
        <v>1</v>
      </c>
      <c r="AD1753" s="55" t="n">
        <f aca="false">IF(AC1753,IF(01_因子設定!$B$13="最大化",AA1753-01_因子設定!$B$14,IF(01_因子設定!$B$13="最小化",01_因子設定!$B$15-AB1753,MIN(AA1753-01_因子設定!$B$14,01_因子設定!$B$15-AB1753))),-1E+030)</f>
        <v>-2.23414757610045</v>
      </c>
      <c r="AE1753" s="55" t="n">
        <f aca="false">IF(AC1753,IF(01_因子設定!$B$13="最大化",X1753,IF(01_因子設定!$B$13="最小化",-X1753,-ABS(X1753-01_因子設定!$B$16))),-1E+030)</f>
        <v>45.6503700657894</v>
      </c>
      <c r="AF1753" s="55" t="n">
        <f aca="false">AD1753+ROW()*0.000000001</f>
        <v>-2.23414582310045</v>
      </c>
      <c r="AG1753" s="55" t="n">
        <f aca="false">AE1753+ROW()*0.000000001</f>
        <v>45.6503718187894</v>
      </c>
    </row>
    <row r="1754" customFormat="false" ht="15" hidden="false" customHeight="false" outlineLevel="0" collapsed="false">
      <c r="A1754" s="0" t="n">
        <v>2</v>
      </c>
      <c r="B1754" s="0" t="n">
        <v>3</v>
      </c>
      <c r="C1754" s="0" t="n">
        <v>5</v>
      </c>
      <c r="D1754" s="0" t="n">
        <v>3</v>
      </c>
      <c r="E1754" s="0" t="n">
        <f aca="false">-1+A1754*0.25</f>
        <v>-0.5</v>
      </c>
      <c r="F1754" s="0" t="n">
        <f aca="false">-1+B1754*0.25</f>
        <v>-0.25</v>
      </c>
      <c r="G1754" s="0" t="n">
        <f aca="false">-1+C1754*0.25</f>
        <v>0.25</v>
      </c>
      <c r="H1754" s="0" t="n">
        <f aca="false">-1+D1754*0.25</f>
        <v>-0.25</v>
      </c>
      <c r="I1754" s="0" t="n">
        <f aca="false">1</f>
        <v>1</v>
      </c>
      <c r="J1754" s="0" t="n">
        <f aca="false">E1754</f>
        <v>-0.5</v>
      </c>
      <c r="K1754" s="0" t="n">
        <f aca="false">F1754</f>
        <v>-0.25</v>
      </c>
      <c r="L1754" s="0" t="n">
        <f aca="false">G1754</f>
        <v>0.25</v>
      </c>
      <c r="M1754" s="0" t="n">
        <f aca="false">H1754</f>
        <v>-0.25</v>
      </c>
      <c r="N1754" s="0" t="n">
        <f aca="false">E1754*F1754</f>
        <v>0.125</v>
      </c>
      <c r="O1754" s="0" t="n">
        <f aca="false">E1754*G1754</f>
        <v>-0.125</v>
      </c>
      <c r="P1754" s="0" t="n">
        <f aca="false">E1754*H1754</f>
        <v>0.125</v>
      </c>
      <c r="Q1754" s="0" t="n">
        <f aca="false">F1754*G1754</f>
        <v>-0.0625</v>
      </c>
      <c r="R1754" s="0" t="n">
        <f aca="false">F1754*H1754</f>
        <v>0.0625</v>
      </c>
      <c r="S1754" s="0" t="n">
        <f aca="false">G1754*H1754</f>
        <v>-0.0625</v>
      </c>
      <c r="T1754" s="0" t="n">
        <f aca="false">E1754*E1754</f>
        <v>0.25</v>
      </c>
      <c r="U1754" s="0" t="n">
        <f aca="false">F1754*F1754</f>
        <v>0.0625</v>
      </c>
      <c r="V1754" s="0" t="n">
        <f aca="false">G1754*G1754</f>
        <v>0.0625</v>
      </c>
      <c r="W1754" s="0" t="n">
        <f aca="false">H1754*H1754</f>
        <v>0.0625</v>
      </c>
      <c r="X1754" s="0" t="n">
        <f aca="false">SUMPRODUCT(I1754:W1754,_XtX!$B$96:$P$96)</f>
        <v>45.8390944809941</v>
      </c>
      <c r="Y1754" s="0" t="n">
        <f aca="false">SUMPRODUCT(MMULT(I1754:W1754,_XtX!$B$78:$P$92),I1754:W1754)</f>
        <v>0.116714923702485</v>
      </c>
      <c r="Z1754" s="0" t="n">
        <f aca="false">04_回帰ANOVA!$K$19*04_回帰ANOVA!$K$14*SQRT(1+Y1754)</f>
        <v>1.37743004820023</v>
      </c>
      <c r="AA1754" s="0" t="n">
        <f aca="false">X1754-Z1754</f>
        <v>44.4616644327939</v>
      </c>
      <c r="AB1754" s="0" t="n">
        <f aca="false">X1754+Z1754</f>
        <v>47.2165245291943</v>
      </c>
      <c r="AC1754" s="54" t="b">
        <f aca="false">AND(E1754&gt;=01_因子設定!$L$5-0.000000001,E1754&lt;=01_因子設定!$M$5+0.000000001,F1754&gt;=01_因子設定!$L$6-0.000000001,F1754&lt;=01_因子設定!$M$6+0.000000001,G1754&gt;=01_因子設定!$L$7-0.000000001,G1754&lt;=01_因子設定!$M$7+0.000000001,H1754&gt;=01_因子設定!$L$8-0.000000001,H1754&lt;=01_因子設定!$M$8+0.000000001,IF(01_因子設定!$B$20="Box-Behnken",E1754^2+F1754^2+G1754^2+H1754^2&lt;=2+0.000000001,TRUE()))</f>
        <v>1</v>
      </c>
      <c r="AD1754" s="55" t="n">
        <f aca="false">IF(AC1754,IF(01_因子設定!$B$13="最大化",AA1754-01_因子設定!$B$14,IF(01_因子設定!$B$13="最小化",01_因子設定!$B$15-AB1754,MIN(AA1754-01_因子設定!$B$14,01_因子設定!$B$15-AB1754))),-1E+030)</f>
        <v>-2.03833556720611</v>
      </c>
      <c r="AE1754" s="55" t="n">
        <f aca="false">IF(AC1754,IF(01_因子設定!$B$13="最大化",X1754,IF(01_因子設定!$B$13="最小化",-X1754,-ABS(X1754-01_因子設定!$B$16))),-1E+030)</f>
        <v>45.8390944809941</v>
      </c>
      <c r="AF1754" s="55" t="n">
        <f aca="false">AD1754+ROW()*0.000000001</f>
        <v>-2.03833381320611</v>
      </c>
      <c r="AG1754" s="55" t="n">
        <f aca="false">AE1754+ROW()*0.000000001</f>
        <v>45.8390962349941</v>
      </c>
    </row>
    <row r="1755" customFormat="false" ht="15" hidden="false" customHeight="false" outlineLevel="0" collapsed="false">
      <c r="A1755" s="0" t="n">
        <v>2</v>
      </c>
      <c r="B1755" s="0" t="n">
        <v>3</v>
      </c>
      <c r="C1755" s="0" t="n">
        <v>5</v>
      </c>
      <c r="D1755" s="0" t="n">
        <v>4</v>
      </c>
      <c r="E1755" s="0" t="n">
        <f aca="false">-1+A1755*0.25</f>
        <v>-0.5</v>
      </c>
      <c r="F1755" s="0" t="n">
        <f aca="false">-1+B1755*0.25</f>
        <v>-0.25</v>
      </c>
      <c r="G1755" s="0" t="n">
        <f aca="false">-1+C1755*0.25</f>
        <v>0.25</v>
      </c>
      <c r="H1755" s="0" t="n">
        <f aca="false">-1+D1755*0.25</f>
        <v>0</v>
      </c>
      <c r="I1755" s="0" t="n">
        <f aca="false">1</f>
        <v>1</v>
      </c>
      <c r="J1755" s="0" t="n">
        <f aca="false">E1755</f>
        <v>-0.5</v>
      </c>
      <c r="K1755" s="0" t="n">
        <f aca="false">F1755</f>
        <v>-0.25</v>
      </c>
      <c r="L1755" s="0" t="n">
        <f aca="false">G1755</f>
        <v>0.25</v>
      </c>
      <c r="M1755" s="0" t="n">
        <f aca="false">H1755</f>
        <v>0</v>
      </c>
      <c r="N1755" s="0" t="n">
        <f aca="false">E1755*F1755</f>
        <v>0.125</v>
      </c>
      <c r="O1755" s="0" t="n">
        <f aca="false">E1755*G1755</f>
        <v>-0.125</v>
      </c>
      <c r="P1755" s="0" t="n">
        <f aca="false">E1755*H1755</f>
        <v>-0</v>
      </c>
      <c r="Q1755" s="0" t="n">
        <f aca="false">F1755*G1755</f>
        <v>-0.0625</v>
      </c>
      <c r="R1755" s="0" t="n">
        <f aca="false">F1755*H1755</f>
        <v>-0</v>
      </c>
      <c r="S1755" s="0" t="n">
        <f aca="false">G1755*H1755</f>
        <v>0</v>
      </c>
      <c r="T1755" s="0" t="n">
        <f aca="false">E1755*E1755</f>
        <v>0.25</v>
      </c>
      <c r="U1755" s="0" t="n">
        <f aca="false">F1755*F1755</f>
        <v>0.0625</v>
      </c>
      <c r="V1755" s="0" t="n">
        <f aca="false">G1755*G1755</f>
        <v>0.0625</v>
      </c>
      <c r="W1755" s="0" t="n">
        <f aca="false">H1755*H1755</f>
        <v>0</v>
      </c>
      <c r="X1755" s="0" t="n">
        <f aca="false">SUMPRODUCT(I1755:W1755,_XtX!$B$96:$P$96)</f>
        <v>45.9800118786549</v>
      </c>
      <c r="Y1755" s="0" t="n">
        <f aca="false">SUMPRODUCT(MMULT(I1755:W1755,_XtX!$B$78:$P$92),I1755:W1755)</f>
        <v>0.118905050712719</v>
      </c>
      <c r="Z1755" s="0" t="n">
        <f aca="false">04_回帰ANOVA!$K$19*04_回帰ANOVA!$K$14*SQRT(1+Y1755)</f>
        <v>1.37878011033769</v>
      </c>
      <c r="AA1755" s="0" t="n">
        <f aca="false">X1755-Z1755</f>
        <v>44.6012317683172</v>
      </c>
      <c r="AB1755" s="0" t="n">
        <f aca="false">X1755+Z1755</f>
        <v>47.3587919889926</v>
      </c>
      <c r="AC1755" s="54" t="b">
        <f aca="false">AND(E1755&gt;=01_因子設定!$L$5-0.000000001,E1755&lt;=01_因子設定!$M$5+0.000000001,F1755&gt;=01_因子設定!$L$6-0.000000001,F1755&lt;=01_因子設定!$M$6+0.000000001,G1755&gt;=01_因子設定!$L$7-0.000000001,G1755&lt;=01_因子設定!$M$7+0.000000001,H1755&gt;=01_因子設定!$L$8-0.000000001,H1755&lt;=01_因子設定!$M$8+0.000000001,IF(01_因子設定!$B$20="Box-Behnken",E1755^2+F1755^2+G1755^2+H1755^2&lt;=2+0.000000001,TRUE()))</f>
        <v>1</v>
      </c>
      <c r="AD1755" s="55" t="n">
        <f aca="false">IF(AC1755,IF(01_因子設定!$B$13="最大化",AA1755-01_因子設定!$B$14,IF(01_因子設定!$B$13="最小化",01_因子設定!$B$15-AB1755,MIN(AA1755-01_因子設定!$B$14,01_因子設定!$B$15-AB1755))),-1E+030)</f>
        <v>-1.89876823168276</v>
      </c>
      <c r="AE1755" s="55" t="n">
        <f aca="false">IF(AC1755,IF(01_因子設定!$B$13="最大化",X1755,IF(01_因子設定!$B$13="最小化",-X1755,-ABS(X1755-01_因子設定!$B$16))),-1E+030)</f>
        <v>45.9800118786549</v>
      </c>
      <c r="AF1755" s="55" t="n">
        <f aca="false">AD1755+ROW()*0.000000001</f>
        <v>-1.89876647668276</v>
      </c>
      <c r="AG1755" s="55" t="n">
        <f aca="false">AE1755+ROW()*0.000000001</f>
        <v>45.9800136336549</v>
      </c>
    </row>
    <row r="1756" customFormat="false" ht="15" hidden="false" customHeight="false" outlineLevel="0" collapsed="false">
      <c r="A1756" s="0" t="n">
        <v>2</v>
      </c>
      <c r="B1756" s="0" t="n">
        <v>3</v>
      </c>
      <c r="C1756" s="0" t="n">
        <v>5</v>
      </c>
      <c r="D1756" s="0" t="n">
        <v>5</v>
      </c>
      <c r="E1756" s="0" t="n">
        <f aca="false">-1+A1756*0.25</f>
        <v>-0.5</v>
      </c>
      <c r="F1756" s="0" t="n">
        <f aca="false">-1+B1756*0.25</f>
        <v>-0.25</v>
      </c>
      <c r="G1756" s="0" t="n">
        <f aca="false">-1+C1756*0.25</f>
        <v>0.25</v>
      </c>
      <c r="H1756" s="0" t="n">
        <f aca="false">-1+D1756*0.25</f>
        <v>0.25</v>
      </c>
      <c r="I1756" s="0" t="n">
        <f aca="false">1</f>
        <v>1</v>
      </c>
      <c r="J1756" s="0" t="n">
        <f aca="false">E1756</f>
        <v>-0.5</v>
      </c>
      <c r="K1756" s="0" t="n">
        <f aca="false">F1756</f>
        <v>-0.25</v>
      </c>
      <c r="L1756" s="0" t="n">
        <f aca="false">G1756</f>
        <v>0.25</v>
      </c>
      <c r="M1756" s="0" t="n">
        <f aca="false">H1756</f>
        <v>0.25</v>
      </c>
      <c r="N1756" s="0" t="n">
        <f aca="false">E1756*F1756</f>
        <v>0.125</v>
      </c>
      <c r="O1756" s="0" t="n">
        <f aca="false">E1756*G1756</f>
        <v>-0.125</v>
      </c>
      <c r="P1756" s="0" t="n">
        <f aca="false">E1756*H1756</f>
        <v>-0.125</v>
      </c>
      <c r="Q1756" s="0" t="n">
        <f aca="false">F1756*G1756</f>
        <v>-0.0625</v>
      </c>
      <c r="R1756" s="0" t="n">
        <f aca="false">F1756*H1756</f>
        <v>-0.0625</v>
      </c>
      <c r="S1756" s="0" t="n">
        <f aca="false">G1756*H1756</f>
        <v>0.0625</v>
      </c>
      <c r="T1756" s="0" t="n">
        <f aca="false">E1756*E1756</f>
        <v>0.25</v>
      </c>
      <c r="U1756" s="0" t="n">
        <f aca="false">F1756*F1756</f>
        <v>0.0625</v>
      </c>
      <c r="V1756" s="0" t="n">
        <f aca="false">G1756*G1756</f>
        <v>0.0625</v>
      </c>
      <c r="W1756" s="0" t="n">
        <f aca="false">H1756*H1756</f>
        <v>0.0625</v>
      </c>
      <c r="X1756" s="0" t="n">
        <f aca="false">SUMPRODUCT(I1756:W1756,_XtX!$B$96:$P$96)</f>
        <v>46.0731222587719</v>
      </c>
      <c r="Y1756" s="0" t="n">
        <f aca="false">SUMPRODUCT(MMULT(I1756:W1756,_XtX!$B$78:$P$92),I1756:W1756)</f>
        <v>0.116714923702485</v>
      </c>
      <c r="Z1756" s="0" t="n">
        <f aca="false">04_回帰ANOVA!$K$19*04_回帰ANOVA!$K$14*SQRT(1+Y1756)</f>
        <v>1.37743004820023</v>
      </c>
      <c r="AA1756" s="0" t="n">
        <f aca="false">X1756-Z1756</f>
        <v>44.6956922105717</v>
      </c>
      <c r="AB1756" s="0" t="n">
        <f aca="false">X1756+Z1756</f>
        <v>47.4505523069721</v>
      </c>
      <c r="AC1756" s="54" t="b">
        <f aca="false">AND(E1756&gt;=01_因子設定!$L$5-0.000000001,E1756&lt;=01_因子設定!$M$5+0.000000001,F1756&gt;=01_因子設定!$L$6-0.000000001,F1756&lt;=01_因子設定!$M$6+0.000000001,G1756&gt;=01_因子設定!$L$7-0.000000001,G1756&lt;=01_因子設定!$M$7+0.000000001,H1756&gt;=01_因子設定!$L$8-0.000000001,H1756&lt;=01_因子設定!$M$8+0.000000001,IF(01_因子設定!$B$20="Box-Behnken",E1756^2+F1756^2+G1756^2+H1756^2&lt;=2+0.000000001,TRUE()))</f>
        <v>1</v>
      </c>
      <c r="AD1756" s="55" t="n">
        <f aca="false">IF(AC1756,IF(01_因子設定!$B$13="最大化",AA1756-01_因子設定!$B$14,IF(01_因子設定!$B$13="最小化",01_因子設定!$B$15-AB1756,MIN(AA1756-01_因子設定!$B$14,01_因子設定!$B$15-AB1756))),-1E+030)</f>
        <v>-1.80430778942834</v>
      </c>
      <c r="AE1756" s="55" t="n">
        <f aca="false">IF(AC1756,IF(01_因子設定!$B$13="最大化",X1756,IF(01_因子設定!$B$13="最小化",-X1756,-ABS(X1756-01_因子設定!$B$16))),-1E+030)</f>
        <v>46.0731222587719</v>
      </c>
      <c r="AF1756" s="55" t="n">
        <f aca="false">AD1756+ROW()*0.000000001</f>
        <v>-1.80430603342834</v>
      </c>
      <c r="AG1756" s="55" t="n">
        <f aca="false">AE1756+ROW()*0.000000001</f>
        <v>46.0731240147719</v>
      </c>
    </row>
    <row r="1757" customFormat="false" ht="15" hidden="false" customHeight="false" outlineLevel="0" collapsed="false">
      <c r="A1757" s="0" t="n">
        <v>2</v>
      </c>
      <c r="B1757" s="0" t="n">
        <v>3</v>
      </c>
      <c r="C1757" s="0" t="n">
        <v>5</v>
      </c>
      <c r="D1757" s="0" t="n">
        <v>6</v>
      </c>
      <c r="E1757" s="0" t="n">
        <f aca="false">-1+A1757*0.25</f>
        <v>-0.5</v>
      </c>
      <c r="F1757" s="0" t="n">
        <f aca="false">-1+B1757*0.25</f>
        <v>-0.25</v>
      </c>
      <c r="G1757" s="0" t="n">
        <f aca="false">-1+C1757*0.25</f>
        <v>0.25</v>
      </c>
      <c r="H1757" s="0" t="n">
        <f aca="false">-1+D1757*0.25</f>
        <v>0.5</v>
      </c>
      <c r="I1757" s="0" t="n">
        <f aca="false">1</f>
        <v>1</v>
      </c>
      <c r="J1757" s="0" t="n">
        <f aca="false">E1757</f>
        <v>-0.5</v>
      </c>
      <c r="K1757" s="0" t="n">
        <f aca="false">F1757</f>
        <v>-0.25</v>
      </c>
      <c r="L1757" s="0" t="n">
        <f aca="false">G1757</f>
        <v>0.25</v>
      </c>
      <c r="M1757" s="0" t="n">
        <f aca="false">H1757</f>
        <v>0.5</v>
      </c>
      <c r="N1757" s="0" t="n">
        <f aca="false">E1757*F1757</f>
        <v>0.125</v>
      </c>
      <c r="O1757" s="0" t="n">
        <f aca="false">E1757*G1757</f>
        <v>-0.125</v>
      </c>
      <c r="P1757" s="0" t="n">
        <f aca="false">E1757*H1757</f>
        <v>-0.25</v>
      </c>
      <c r="Q1757" s="0" t="n">
        <f aca="false">F1757*G1757</f>
        <v>-0.0625</v>
      </c>
      <c r="R1757" s="0" t="n">
        <f aca="false">F1757*H1757</f>
        <v>-0.125</v>
      </c>
      <c r="S1757" s="0" t="n">
        <f aca="false">G1757*H1757</f>
        <v>0.125</v>
      </c>
      <c r="T1757" s="0" t="n">
        <f aca="false">E1757*E1757</f>
        <v>0.25</v>
      </c>
      <c r="U1757" s="0" t="n">
        <f aca="false">F1757*F1757</f>
        <v>0.0625</v>
      </c>
      <c r="V1757" s="0" t="n">
        <f aca="false">G1757*G1757</f>
        <v>0.0625</v>
      </c>
      <c r="W1757" s="0" t="n">
        <f aca="false">H1757*H1757</f>
        <v>0.25</v>
      </c>
      <c r="X1757" s="0" t="n">
        <f aca="false">SUMPRODUCT(I1757:W1757,_XtX!$B$96:$P$96)</f>
        <v>46.118425621345</v>
      </c>
      <c r="Y1757" s="0" t="n">
        <f aca="false">SUMPRODUCT(MMULT(I1757:W1757,_XtX!$B$78:$P$92),I1757:W1757)</f>
        <v>0.128236647934942</v>
      </c>
      <c r="Z1757" s="0" t="n">
        <f aca="false">04_回帰ANOVA!$K$19*04_回帰ANOVA!$K$14*SQRT(1+Y1757)</f>
        <v>1.38451764188989</v>
      </c>
      <c r="AA1757" s="0" t="n">
        <f aca="false">X1757-Z1757</f>
        <v>44.7339079794551</v>
      </c>
      <c r="AB1757" s="0" t="n">
        <f aca="false">X1757+Z1757</f>
        <v>47.5029432632349</v>
      </c>
      <c r="AC1757" s="54" t="b">
        <f aca="false">AND(E1757&gt;=01_因子設定!$L$5-0.000000001,E1757&lt;=01_因子設定!$M$5+0.000000001,F1757&gt;=01_因子設定!$L$6-0.000000001,F1757&lt;=01_因子設定!$M$6+0.000000001,G1757&gt;=01_因子設定!$L$7-0.000000001,G1757&lt;=01_因子設定!$M$7+0.000000001,H1757&gt;=01_因子設定!$L$8-0.000000001,H1757&lt;=01_因子設定!$M$8+0.000000001,IF(01_因子設定!$B$20="Box-Behnken",E1757^2+F1757^2+G1757^2+H1757^2&lt;=2+0.000000001,TRUE()))</f>
        <v>1</v>
      </c>
      <c r="AD1757" s="55" t="n">
        <f aca="false">IF(AC1757,IF(01_因子設定!$B$13="最大化",AA1757-01_因子設定!$B$14,IF(01_因子設定!$B$13="最小化",01_因子設定!$B$15-AB1757,MIN(AA1757-01_因子設定!$B$14,01_因子設定!$B$15-AB1757))),-1E+030)</f>
        <v>-1.76609202054489</v>
      </c>
      <c r="AE1757" s="55" t="n">
        <f aca="false">IF(AC1757,IF(01_因子設定!$B$13="最大化",X1757,IF(01_因子設定!$B$13="最小化",-X1757,-ABS(X1757-01_因子設定!$B$16))),-1E+030)</f>
        <v>46.118425621345</v>
      </c>
      <c r="AF1757" s="55" t="n">
        <f aca="false">AD1757+ROW()*0.000000001</f>
        <v>-1.76609026354489</v>
      </c>
      <c r="AG1757" s="55" t="n">
        <f aca="false">AE1757+ROW()*0.000000001</f>
        <v>46.118427378345</v>
      </c>
    </row>
    <row r="1758" customFormat="false" ht="15" hidden="false" customHeight="false" outlineLevel="0" collapsed="false">
      <c r="A1758" s="0" t="n">
        <v>2</v>
      </c>
      <c r="B1758" s="0" t="n">
        <v>3</v>
      </c>
      <c r="C1758" s="0" t="n">
        <v>5</v>
      </c>
      <c r="D1758" s="0" t="n">
        <v>7</v>
      </c>
      <c r="E1758" s="0" t="n">
        <f aca="false">-1+A1758*0.25</f>
        <v>-0.5</v>
      </c>
      <c r="F1758" s="0" t="n">
        <f aca="false">-1+B1758*0.25</f>
        <v>-0.25</v>
      </c>
      <c r="G1758" s="0" t="n">
        <f aca="false">-1+C1758*0.25</f>
        <v>0.25</v>
      </c>
      <c r="H1758" s="0" t="n">
        <f aca="false">-1+D1758*0.25</f>
        <v>0.75</v>
      </c>
      <c r="I1758" s="0" t="n">
        <f aca="false">1</f>
        <v>1</v>
      </c>
      <c r="J1758" s="0" t="n">
        <f aca="false">E1758</f>
        <v>-0.5</v>
      </c>
      <c r="K1758" s="0" t="n">
        <f aca="false">F1758</f>
        <v>-0.25</v>
      </c>
      <c r="L1758" s="0" t="n">
        <f aca="false">G1758</f>
        <v>0.25</v>
      </c>
      <c r="M1758" s="0" t="n">
        <f aca="false">H1758</f>
        <v>0.75</v>
      </c>
      <c r="N1758" s="0" t="n">
        <f aca="false">E1758*F1758</f>
        <v>0.125</v>
      </c>
      <c r="O1758" s="0" t="n">
        <f aca="false">E1758*G1758</f>
        <v>-0.125</v>
      </c>
      <c r="P1758" s="0" t="n">
        <f aca="false">E1758*H1758</f>
        <v>-0.375</v>
      </c>
      <c r="Q1758" s="0" t="n">
        <f aca="false">F1758*G1758</f>
        <v>-0.0625</v>
      </c>
      <c r="R1758" s="0" t="n">
        <f aca="false">F1758*H1758</f>
        <v>-0.1875</v>
      </c>
      <c r="S1758" s="0" t="n">
        <f aca="false">G1758*H1758</f>
        <v>0.1875</v>
      </c>
      <c r="T1758" s="0" t="n">
        <f aca="false">E1758*E1758</f>
        <v>0.25</v>
      </c>
      <c r="U1758" s="0" t="n">
        <f aca="false">F1758*F1758</f>
        <v>0.0625</v>
      </c>
      <c r="V1758" s="0" t="n">
        <f aca="false">G1758*G1758</f>
        <v>0.0625</v>
      </c>
      <c r="W1758" s="0" t="n">
        <f aca="false">H1758*H1758</f>
        <v>0.5625</v>
      </c>
      <c r="X1758" s="0" t="n">
        <f aca="false">SUMPRODUCT(I1758:W1758,_XtX!$B$96:$P$96)</f>
        <v>46.1159219663742</v>
      </c>
      <c r="Y1758" s="0" t="n">
        <f aca="false">SUMPRODUCT(MMULT(I1758:W1758,_XtX!$B$78:$P$92),I1758:W1758)</f>
        <v>0.207746539199561</v>
      </c>
      <c r="Z1758" s="0" t="n">
        <f aca="false">04_回帰ANOVA!$K$19*04_回帰ANOVA!$K$14*SQRT(1+Y1758)</f>
        <v>1.43247250081141</v>
      </c>
      <c r="AA1758" s="0" t="n">
        <f aca="false">X1758-Z1758</f>
        <v>44.6834494655628</v>
      </c>
      <c r="AB1758" s="0" t="n">
        <f aca="false">X1758+Z1758</f>
        <v>47.5483944671857</v>
      </c>
      <c r="AC1758" s="54" t="b">
        <f aca="false">AND(E1758&gt;=01_因子設定!$L$5-0.000000001,E1758&lt;=01_因子設定!$M$5+0.000000001,F1758&gt;=01_因子設定!$L$6-0.000000001,F1758&lt;=01_因子設定!$M$6+0.000000001,G1758&gt;=01_因子設定!$L$7-0.000000001,G1758&lt;=01_因子設定!$M$7+0.000000001,H1758&gt;=01_因子設定!$L$8-0.000000001,H1758&lt;=01_因子設定!$M$8+0.000000001,IF(01_因子設定!$B$20="Box-Behnken",E1758^2+F1758^2+G1758^2+H1758^2&lt;=2+0.000000001,TRUE()))</f>
        <v>1</v>
      </c>
      <c r="AD1758" s="55" t="n">
        <f aca="false">IF(AC1758,IF(01_因子設定!$B$13="最大化",AA1758-01_因子設定!$B$14,IF(01_因子設定!$B$13="最小化",01_因子設定!$B$15-AB1758,MIN(AA1758-01_因子設定!$B$14,01_因子設定!$B$15-AB1758))),-1E+030)</f>
        <v>-1.81655053443716</v>
      </c>
      <c r="AE1758" s="55" t="n">
        <f aca="false">IF(AC1758,IF(01_因子設定!$B$13="最大化",X1758,IF(01_因子設定!$B$13="最小化",-X1758,-ABS(X1758-01_因子設定!$B$16))),-1E+030)</f>
        <v>46.1159219663742</v>
      </c>
      <c r="AF1758" s="55" t="n">
        <f aca="false">AD1758+ROW()*0.000000001</f>
        <v>-1.81654877643716</v>
      </c>
      <c r="AG1758" s="55" t="n">
        <f aca="false">AE1758+ROW()*0.000000001</f>
        <v>46.1159237243743</v>
      </c>
    </row>
    <row r="1759" customFormat="false" ht="15" hidden="false" customHeight="false" outlineLevel="0" collapsed="false">
      <c r="A1759" s="0" t="n">
        <v>2</v>
      </c>
      <c r="B1759" s="0" t="n">
        <v>3</v>
      </c>
      <c r="C1759" s="0" t="n">
        <v>5</v>
      </c>
      <c r="D1759" s="0" t="n">
        <v>8</v>
      </c>
      <c r="E1759" s="0" t="n">
        <f aca="false">-1+A1759*0.25</f>
        <v>-0.5</v>
      </c>
      <c r="F1759" s="0" t="n">
        <f aca="false">-1+B1759*0.25</f>
        <v>-0.25</v>
      </c>
      <c r="G1759" s="0" t="n">
        <f aca="false">-1+C1759*0.25</f>
        <v>0.25</v>
      </c>
      <c r="H1759" s="0" t="n">
        <f aca="false">-1+D1759*0.25</f>
        <v>1</v>
      </c>
      <c r="I1759" s="0" t="n">
        <f aca="false">1</f>
        <v>1</v>
      </c>
      <c r="J1759" s="0" t="n">
        <f aca="false">E1759</f>
        <v>-0.5</v>
      </c>
      <c r="K1759" s="0" t="n">
        <f aca="false">F1759</f>
        <v>-0.25</v>
      </c>
      <c r="L1759" s="0" t="n">
        <f aca="false">G1759</f>
        <v>0.25</v>
      </c>
      <c r="M1759" s="0" t="n">
        <f aca="false">H1759</f>
        <v>1</v>
      </c>
      <c r="N1759" s="0" t="n">
        <f aca="false">E1759*F1759</f>
        <v>0.125</v>
      </c>
      <c r="O1759" s="0" t="n">
        <f aca="false">E1759*G1759</f>
        <v>-0.125</v>
      </c>
      <c r="P1759" s="0" t="n">
        <f aca="false">E1759*H1759</f>
        <v>-0.5</v>
      </c>
      <c r="Q1759" s="0" t="n">
        <f aca="false">F1759*G1759</f>
        <v>-0.0625</v>
      </c>
      <c r="R1759" s="0" t="n">
        <f aca="false">F1759*H1759</f>
        <v>-0.25</v>
      </c>
      <c r="S1759" s="0" t="n">
        <f aca="false">G1759*H1759</f>
        <v>0.25</v>
      </c>
      <c r="T1759" s="0" t="n">
        <f aca="false">E1759*E1759</f>
        <v>0.25</v>
      </c>
      <c r="U1759" s="0" t="n">
        <f aca="false">F1759*F1759</f>
        <v>0.0625</v>
      </c>
      <c r="V1759" s="0" t="n">
        <f aca="false">G1759*G1759</f>
        <v>0.0625</v>
      </c>
      <c r="W1759" s="0" t="n">
        <f aca="false">H1759*H1759</f>
        <v>1</v>
      </c>
      <c r="X1759" s="0" t="n">
        <f aca="false">SUMPRODUCT(I1759:W1759,_XtX!$B$96:$P$96)</f>
        <v>46.0656112938596</v>
      </c>
      <c r="Y1759" s="0" t="n">
        <f aca="false">SUMPRODUCT(MMULT(I1759:W1759,_XtX!$B$78:$P$92),I1759:W1759)</f>
        <v>0.445705123812135</v>
      </c>
      <c r="Z1759" s="0" t="n">
        <f aca="false">04_回帰ANOVA!$K$19*04_回帰ANOVA!$K$14*SQRT(1+Y1759)</f>
        <v>1.56724990734749</v>
      </c>
      <c r="AA1759" s="0" t="n">
        <f aca="false">X1759-Z1759</f>
        <v>44.4983613865122</v>
      </c>
      <c r="AB1759" s="0" t="n">
        <f aca="false">X1759+Z1759</f>
        <v>47.6328612012071</v>
      </c>
      <c r="AC1759" s="54" t="b">
        <f aca="false">AND(E1759&gt;=01_因子設定!$L$5-0.000000001,E1759&lt;=01_因子設定!$M$5+0.000000001,F1759&gt;=01_因子設定!$L$6-0.000000001,F1759&lt;=01_因子設定!$M$6+0.000000001,G1759&gt;=01_因子設定!$L$7-0.000000001,G1759&lt;=01_因子設定!$M$7+0.000000001,H1759&gt;=01_因子設定!$L$8-0.000000001,H1759&lt;=01_因子設定!$M$8+0.000000001,IF(01_因子設定!$B$20="Box-Behnken",E1759^2+F1759^2+G1759^2+H1759^2&lt;=2+0.000000001,TRUE()))</f>
        <v>1</v>
      </c>
      <c r="AD1759" s="55" t="n">
        <f aca="false">IF(AC1759,IF(01_因子設定!$B$13="最大化",AA1759-01_因子設定!$B$14,IF(01_因子設定!$B$13="最小化",01_因子設定!$B$15-AB1759,MIN(AA1759-01_因子設定!$B$14,01_因子設定!$B$15-AB1759))),-1E+030)</f>
        <v>-2.00163861348785</v>
      </c>
      <c r="AE1759" s="55" t="n">
        <f aca="false">IF(AC1759,IF(01_因子設定!$B$13="最大化",X1759,IF(01_因子設定!$B$13="最小化",-X1759,-ABS(X1759-01_因子設定!$B$16))),-1E+030)</f>
        <v>46.0656112938596</v>
      </c>
      <c r="AF1759" s="55" t="n">
        <f aca="false">AD1759+ROW()*0.000000001</f>
        <v>-2.00163685448785</v>
      </c>
      <c r="AG1759" s="55" t="n">
        <f aca="false">AE1759+ROW()*0.000000001</f>
        <v>46.0656130528596</v>
      </c>
    </row>
    <row r="1760" customFormat="false" ht="15" hidden="false" customHeight="false" outlineLevel="0" collapsed="false">
      <c r="A1760" s="0" t="n">
        <v>2</v>
      </c>
      <c r="B1760" s="0" t="n">
        <v>3</v>
      </c>
      <c r="C1760" s="0" t="n">
        <v>6</v>
      </c>
      <c r="D1760" s="0" t="n">
        <v>0</v>
      </c>
      <c r="E1760" s="0" t="n">
        <f aca="false">-1+A1760*0.25</f>
        <v>-0.5</v>
      </c>
      <c r="F1760" s="0" t="n">
        <f aca="false">-1+B1760*0.25</f>
        <v>-0.25</v>
      </c>
      <c r="G1760" s="0" t="n">
        <f aca="false">-1+C1760*0.25</f>
        <v>0.5</v>
      </c>
      <c r="H1760" s="0" t="n">
        <f aca="false">-1+D1760*0.25</f>
        <v>-1</v>
      </c>
      <c r="I1760" s="0" t="n">
        <f aca="false">1</f>
        <v>1</v>
      </c>
      <c r="J1760" s="0" t="n">
        <f aca="false">E1760</f>
        <v>-0.5</v>
      </c>
      <c r="K1760" s="0" t="n">
        <f aca="false">F1760</f>
        <v>-0.25</v>
      </c>
      <c r="L1760" s="0" t="n">
        <f aca="false">G1760</f>
        <v>0.5</v>
      </c>
      <c r="M1760" s="0" t="n">
        <f aca="false">H1760</f>
        <v>-1</v>
      </c>
      <c r="N1760" s="0" t="n">
        <f aca="false">E1760*F1760</f>
        <v>0.125</v>
      </c>
      <c r="O1760" s="0" t="n">
        <f aca="false">E1760*G1760</f>
        <v>-0.25</v>
      </c>
      <c r="P1760" s="0" t="n">
        <f aca="false">E1760*H1760</f>
        <v>0.5</v>
      </c>
      <c r="Q1760" s="0" t="n">
        <f aca="false">F1760*G1760</f>
        <v>-0.125</v>
      </c>
      <c r="R1760" s="0" t="n">
        <f aca="false">F1760*H1760</f>
        <v>0.25</v>
      </c>
      <c r="S1760" s="0" t="n">
        <f aca="false">G1760*H1760</f>
        <v>-0.5</v>
      </c>
      <c r="T1760" s="0" t="n">
        <f aca="false">E1760*E1760</f>
        <v>0.25</v>
      </c>
      <c r="U1760" s="0" t="n">
        <f aca="false">F1760*F1760</f>
        <v>0.0625</v>
      </c>
      <c r="V1760" s="0" t="n">
        <f aca="false">G1760*G1760</f>
        <v>0.25</v>
      </c>
      <c r="W1760" s="0" t="n">
        <f aca="false">H1760*H1760</f>
        <v>1</v>
      </c>
      <c r="X1760" s="0" t="n">
        <f aca="false">SUMPRODUCT(I1760:W1760,_XtX!$B$96:$P$96)</f>
        <v>45.2372167397661</v>
      </c>
      <c r="Y1760" s="0" t="n">
        <f aca="false">SUMPRODUCT(MMULT(I1760:W1760,_XtX!$B$78:$P$92),I1760:W1760)</f>
        <v>0.428122715643275</v>
      </c>
      <c r="Z1760" s="0" t="n">
        <f aca="false">04_回帰ANOVA!$K$19*04_回帰ANOVA!$K$14*SQRT(1+Y1760)</f>
        <v>1.55769044623229</v>
      </c>
      <c r="AA1760" s="0" t="n">
        <f aca="false">X1760-Z1760</f>
        <v>43.6795262935338</v>
      </c>
      <c r="AB1760" s="0" t="n">
        <f aca="false">X1760+Z1760</f>
        <v>46.7949071859984</v>
      </c>
      <c r="AC1760" s="54" t="b">
        <f aca="false">AND(E1760&gt;=01_因子設定!$L$5-0.000000001,E1760&lt;=01_因子設定!$M$5+0.000000001,F1760&gt;=01_因子設定!$L$6-0.000000001,F1760&lt;=01_因子設定!$M$6+0.000000001,G1760&gt;=01_因子設定!$L$7-0.000000001,G1760&lt;=01_因子設定!$M$7+0.000000001,H1760&gt;=01_因子設定!$L$8-0.000000001,H1760&lt;=01_因子設定!$M$8+0.000000001,IF(01_因子設定!$B$20="Box-Behnken",E1760^2+F1760^2+G1760^2+H1760^2&lt;=2+0.000000001,TRUE()))</f>
        <v>1</v>
      </c>
      <c r="AD1760" s="55" t="n">
        <f aca="false">IF(AC1760,IF(01_因子設定!$B$13="最大化",AA1760-01_因子設定!$B$14,IF(01_因子設定!$B$13="最小化",01_因子設定!$B$15-AB1760,MIN(AA1760-01_因子設定!$B$14,01_因子設定!$B$15-AB1760))),-1E+030)</f>
        <v>-2.82047370646622</v>
      </c>
      <c r="AE1760" s="55" t="n">
        <f aca="false">IF(AC1760,IF(01_因子設定!$B$13="最大化",X1760,IF(01_因子設定!$B$13="最小化",-X1760,-ABS(X1760-01_因子設定!$B$16))),-1E+030)</f>
        <v>45.2372167397661</v>
      </c>
      <c r="AF1760" s="55" t="n">
        <f aca="false">AD1760+ROW()*0.000000001</f>
        <v>-2.82047194646622</v>
      </c>
      <c r="AG1760" s="55" t="n">
        <f aca="false">AE1760+ROW()*0.000000001</f>
        <v>45.2372184997661</v>
      </c>
    </row>
    <row r="1761" customFormat="false" ht="15" hidden="false" customHeight="false" outlineLevel="0" collapsed="false">
      <c r="A1761" s="0" t="n">
        <v>2</v>
      </c>
      <c r="B1761" s="0" t="n">
        <v>3</v>
      </c>
      <c r="C1761" s="0" t="n">
        <v>6</v>
      </c>
      <c r="D1761" s="0" t="n">
        <v>1</v>
      </c>
      <c r="E1761" s="0" t="n">
        <f aca="false">-1+A1761*0.25</f>
        <v>-0.5</v>
      </c>
      <c r="F1761" s="0" t="n">
        <f aca="false">-1+B1761*0.25</f>
        <v>-0.25</v>
      </c>
      <c r="G1761" s="0" t="n">
        <f aca="false">-1+C1761*0.25</f>
        <v>0.5</v>
      </c>
      <c r="H1761" s="0" t="n">
        <f aca="false">-1+D1761*0.25</f>
        <v>-0.75</v>
      </c>
      <c r="I1761" s="0" t="n">
        <f aca="false">1</f>
        <v>1</v>
      </c>
      <c r="J1761" s="0" t="n">
        <f aca="false">E1761</f>
        <v>-0.5</v>
      </c>
      <c r="K1761" s="0" t="n">
        <f aca="false">F1761</f>
        <v>-0.25</v>
      </c>
      <c r="L1761" s="0" t="n">
        <f aca="false">G1761</f>
        <v>0.5</v>
      </c>
      <c r="M1761" s="0" t="n">
        <f aca="false">H1761</f>
        <v>-0.75</v>
      </c>
      <c r="N1761" s="0" t="n">
        <f aca="false">E1761*F1761</f>
        <v>0.125</v>
      </c>
      <c r="O1761" s="0" t="n">
        <f aca="false">E1761*G1761</f>
        <v>-0.25</v>
      </c>
      <c r="P1761" s="0" t="n">
        <f aca="false">E1761*H1761</f>
        <v>0.375</v>
      </c>
      <c r="Q1761" s="0" t="n">
        <f aca="false">F1761*G1761</f>
        <v>-0.125</v>
      </c>
      <c r="R1761" s="0" t="n">
        <f aca="false">F1761*H1761</f>
        <v>0.1875</v>
      </c>
      <c r="S1761" s="0" t="n">
        <f aca="false">G1761*H1761</f>
        <v>-0.375</v>
      </c>
      <c r="T1761" s="0" t="n">
        <f aca="false">E1761*E1761</f>
        <v>0.25</v>
      </c>
      <c r="U1761" s="0" t="n">
        <f aca="false">F1761*F1761</f>
        <v>0.0625</v>
      </c>
      <c r="V1761" s="0" t="n">
        <f aca="false">G1761*G1761</f>
        <v>0.25</v>
      </c>
      <c r="W1761" s="0" t="n">
        <f aca="false">H1761*H1761</f>
        <v>0.5625</v>
      </c>
      <c r="X1761" s="0" t="n">
        <f aca="false">SUMPRODUCT(I1761:W1761,_XtX!$B$96:$P$96)</f>
        <v>45.5395239400585</v>
      </c>
      <c r="Y1761" s="0" t="n">
        <f aca="false">SUMPRODUCT(MMULT(I1761:W1761,_XtX!$B$78:$P$92),I1761:W1761)</f>
        <v>0.203746059484649</v>
      </c>
      <c r="Z1761" s="0" t="n">
        <f aca="false">04_回帰ANOVA!$K$19*04_回帰ANOVA!$K$14*SQRT(1+Y1761)</f>
        <v>1.43009810755465</v>
      </c>
      <c r="AA1761" s="0" t="n">
        <f aca="false">X1761-Z1761</f>
        <v>44.1094258325038</v>
      </c>
      <c r="AB1761" s="0" t="n">
        <f aca="false">X1761+Z1761</f>
        <v>46.9696220476131</v>
      </c>
      <c r="AC1761" s="54" t="b">
        <f aca="false">AND(E1761&gt;=01_因子設定!$L$5-0.000000001,E1761&lt;=01_因子設定!$M$5+0.000000001,F1761&gt;=01_因子設定!$L$6-0.000000001,F1761&lt;=01_因子設定!$M$6+0.000000001,G1761&gt;=01_因子設定!$L$7-0.000000001,G1761&lt;=01_因子設定!$M$7+0.000000001,H1761&gt;=01_因子設定!$L$8-0.000000001,H1761&lt;=01_因子設定!$M$8+0.000000001,IF(01_因子設定!$B$20="Box-Behnken",E1761^2+F1761^2+G1761^2+H1761^2&lt;=2+0.000000001,TRUE()))</f>
        <v>1</v>
      </c>
      <c r="AD1761" s="55" t="n">
        <f aca="false">IF(AC1761,IF(01_因子設定!$B$13="最大化",AA1761-01_因子設定!$B$14,IF(01_因子設定!$B$13="最小化",01_因子設定!$B$15-AB1761,MIN(AA1761-01_因子設定!$B$14,01_因子設定!$B$15-AB1761))),-1E+030)</f>
        <v>-2.39057416749619</v>
      </c>
      <c r="AE1761" s="55" t="n">
        <f aca="false">IF(AC1761,IF(01_因子設定!$B$13="最大化",X1761,IF(01_因子設定!$B$13="最小化",-X1761,-ABS(X1761-01_因子設定!$B$16))),-1E+030)</f>
        <v>45.5395239400585</v>
      </c>
      <c r="AF1761" s="55" t="n">
        <f aca="false">AD1761+ROW()*0.000000001</f>
        <v>-2.39057240649619</v>
      </c>
      <c r="AG1761" s="55" t="n">
        <f aca="false">AE1761+ROW()*0.000000001</f>
        <v>45.5395257010585</v>
      </c>
    </row>
    <row r="1762" customFormat="false" ht="15" hidden="false" customHeight="false" outlineLevel="0" collapsed="false">
      <c r="A1762" s="0" t="n">
        <v>2</v>
      </c>
      <c r="B1762" s="0" t="n">
        <v>3</v>
      </c>
      <c r="C1762" s="0" t="n">
        <v>6</v>
      </c>
      <c r="D1762" s="0" t="n">
        <v>2</v>
      </c>
      <c r="E1762" s="0" t="n">
        <f aca="false">-1+A1762*0.25</f>
        <v>-0.5</v>
      </c>
      <c r="F1762" s="0" t="n">
        <f aca="false">-1+B1762*0.25</f>
        <v>-0.25</v>
      </c>
      <c r="G1762" s="0" t="n">
        <f aca="false">-1+C1762*0.25</f>
        <v>0.5</v>
      </c>
      <c r="H1762" s="0" t="n">
        <f aca="false">-1+D1762*0.25</f>
        <v>-0.5</v>
      </c>
      <c r="I1762" s="0" t="n">
        <f aca="false">1</f>
        <v>1</v>
      </c>
      <c r="J1762" s="0" t="n">
        <f aca="false">E1762</f>
        <v>-0.5</v>
      </c>
      <c r="K1762" s="0" t="n">
        <f aca="false">F1762</f>
        <v>-0.25</v>
      </c>
      <c r="L1762" s="0" t="n">
        <f aca="false">G1762</f>
        <v>0.5</v>
      </c>
      <c r="M1762" s="0" t="n">
        <f aca="false">H1762</f>
        <v>-0.5</v>
      </c>
      <c r="N1762" s="0" t="n">
        <f aca="false">E1762*F1762</f>
        <v>0.125</v>
      </c>
      <c r="O1762" s="0" t="n">
        <f aca="false">E1762*G1762</f>
        <v>-0.25</v>
      </c>
      <c r="P1762" s="0" t="n">
        <f aca="false">E1762*H1762</f>
        <v>0.25</v>
      </c>
      <c r="Q1762" s="0" t="n">
        <f aca="false">F1762*G1762</f>
        <v>-0.125</v>
      </c>
      <c r="R1762" s="0" t="n">
        <f aca="false">F1762*H1762</f>
        <v>0.125</v>
      </c>
      <c r="S1762" s="0" t="n">
        <f aca="false">G1762*H1762</f>
        <v>-0.25</v>
      </c>
      <c r="T1762" s="0" t="n">
        <f aca="false">E1762*E1762</f>
        <v>0.25</v>
      </c>
      <c r="U1762" s="0" t="n">
        <f aca="false">F1762*F1762</f>
        <v>0.0625</v>
      </c>
      <c r="V1762" s="0" t="n">
        <f aca="false">G1762*G1762</f>
        <v>0.25</v>
      </c>
      <c r="W1762" s="0" t="n">
        <f aca="false">H1762*H1762</f>
        <v>0.25</v>
      </c>
      <c r="X1762" s="0" t="n">
        <f aca="false">SUMPRODUCT(I1762:W1762,_XtX!$B$96:$P$96)</f>
        <v>45.794024122807</v>
      </c>
      <c r="Y1762" s="0" t="n">
        <f aca="false">SUMPRODUCT(MMULT(I1762:W1762,_XtX!$B$78:$P$92),I1762:W1762)</f>
        <v>0.133937545687135</v>
      </c>
      <c r="Z1762" s="0" t="n">
        <f aca="false">04_回帰ANOVA!$K$19*04_回帰ANOVA!$K$14*SQRT(1+Y1762)</f>
        <v>1.38801116780825</v>
      </c>
      <c r="AA1762" s="0" t="n">
        <f aca="false">X1762-Z1762</f>
        <v>44.4060129549987</v>
      </c>
      <c r="AB1762" s="0" t="n">
        <f aca="false">X1762+Z1762</f>
        <v>47.1820352906152</v>
      </c>
      <c r="AC1762" s="54" t="b">
        <f aca="false">AND(E1762&gt;=01_因子設定!$L$5-0.000000001,E1762&lt;=01_因子設定!$M$5+0.000000001,F1762&gt;=01_因子設定!$L$6-0.000000001,F1762&lt;=01_因子設定!$M$6+0.000000001,G1762&gt;=01_因子設定!$L$7-0.000000001,G1762&lt;=01_因子設定!$M$7+0.000000001,H1762&gt;=01_因子設定!$L$8-0.000000001,H1762&lt;=01_因子設定!$M$8+0.000000001,IF(01_因子設定!$B$20="Box-Behnken",E1762^2+F1762^2+G1762^2+H1762^2&lt;=2+0.000000001,TRUE()))</f>
        <v>1</v>
      </c>
      <c r="AD1762" s="55" t="n">
        <f aca="false">IF(AC1762,IF(01_因子設定!$B$13="最大化",AA1762-01_因子設定!$B$14,IF(01_因子設定!$B$13="最小化",01_因子設定!$B$15-AB1762,MIN(AA1762-01_因子設定!$B$14,01_因子設定!$B$15-AB1762))),-1E+030)</f>
        <v>-2.09398704500126</v>
      </c>
      <c r="AE1762" s="55" t="n">
        <f aca="false">IF(AC1762,IF(01_因子設定!$B$13="最大化",X1762,IF(01_因子設定!$B$13="最小化",-X1762,-ABS(X1762-01_因子設定!$B$16))),-1E+030)</f>
        <v>45.794024122807</v>
      </c>
      <c r="AF1762" s="55" t="n">
        <f aca="false">AD1762+ROW()*0.000000001</f>
        <v>-2.09398528300126</v>
      </c>
      <c r="AG1762" s="55" t="n">
        <f aca="false">AE1762+ROW()*0.000000001</f>
        <v>45.794025884807</v>
      </c>
    </row>
    <row r="1763" customFormat="false" ht="15" hidden="false" customHeight="false" outlineLevel="0" collapsed="false">
      <c r="A1763" s="0" t="n">
        <v>2</v>
      </c>
      <c r="B1763" s="0" t="n">
        <v>3</v>
      </c>
      <c r="C1763" s="0" t="n">
        <v>6</v>
      </c>
      <c r="D1763" s="0" t="n">
        <v>3</v>
      </c>
      <c r="E1763" s="0" t="n">
        <f aca="false">-1+A1763*0.25</f>
        <v>-0.5</v>
      </c>
      <c r="F1763" s="0" t="n">
        <f aca="false">-1+B1763*0.25</f>
        <v>-0.25</v>
      </c>
      <c r="G1763" s="0" t="n">
        <f aca="false">-1+C1763*0.25</f>
        <v>0.5</v>
      </c>
      <c r="H1763" s="0" t="n">
        <f aca="false">-1+D1763*0.25</f>
        <v>-0.25</v>
      </c>
      <c r="I1763" s="0" t="n">
        <f aca="false">1</f>
        <v>1</v>
      </c>
      <c r="J1763" s="0" t="n">
        <f aca="false">E1763</f>
        <v>-0.5</v>
      </c>
      <c r="K1763" s="0" t="n">
        <f aca="false">F1763</f>
        <v>-0.25</v>
      </c>
      <c r="L1763" s="0" t="n">
        <f aca="false">G1763</f>
        <v>0.5</v>
      </c>
      <c r="M1763" s="0" t="n">
        <f aca="false">H1763</f>
        <v>-0.25</v>
      </c>
      <c r="N1763" s="0" t="n">
        <f aca="false">E1763*F1763</f>
        <v>0.125</v>
      </c>
      <c r="O1763" s="0" t="n">
        <f aca="false">E1763*G1763</f>
        <v>-0.25</v>
      </c>
      <c r="P1763" s="0" t="n">
        <f aca="false">E1763*H1763</f>
        <v>0.125</v>
      </c>
      <c r="Q1763" s="0" t="n">
        <f aca="false">F1763*G1763</f>
        <v>-0.125</v>
      </c>
      <c r="R1763" s="0" t="n">
        <f aca="false">F1763*H1763</f>
        <v>0.0625</v>
      </c>
      <c r="S1763" s="0" t="n">
        <f aca="false">G1763*H1763</f>
        <v>-0.125</v>
      </c>
      <c r="T1763" s="0" t="n">
        <f aca="false">E1763*E1763</f>
        <v>0.25</v>
      </c>
      <c r="U1763" s="0" t="n">
        <f aca="false">F1763*F1763</f>
        <v>0.0625</v>
      </c>
      <c r="V1763" s="0" t="n">
        <f aca="false">G1763*G1763</f>
        <v>0.25</v>
      </c>
      <c r="W1763" s="0" t="n">
        <f aca="false">H1763*H1763</f>
        <v>0.0625</v>
      </c>
      <c r="X1763" s="0" t="n">
        <f aca="false">SUMPRODUCT(I1763:W1763,_XtX!$B$96:$P$96)</f>
        <v>46.0007172880117</v>
      </c>
      <c r="Y1763" s="0" t="n">
        <f aca="false">SUMPRODUCT(MMULT(I1763:W1763,_XtX!$B$78:$P$92),I1763:W1763)</f>
        <v>0.128236647934942</v>
      </c>
      <c r="Z1763" s="0" t="n">
        <f aca="false">04_回帰ANOVA!$K$19*04_回帰ANOVA!$K$14*SQRT(1+Y1763)</f>
        <v>1.38451764188989</v>
      </c>
      <c r="AA1763" s="0" t="n">
        <f aca="false">X1763-Z1763</f>
        <v>44.6161996461218</v>
      </c>
      <c r="AB1763" s="0" t="n">
        <f aca="false">X1763+Z1763</f>
        <v>47.3852349299015</v>
      </c>
      <c r="AC1763" s="54" t="b">
        <f aca="false">AND(E1763&gt;=01_因子設定!$L$5-0.000000001,E1763&lt;=01_因子設定!$M$5+0.000000001,F1763&gt;=01_因子設定!$L$6-0.000000001,F1763&lt;=01_因子設定!$M$6+0.000000001,G1763&gt;=01_因子設定!$L$7-0.000000001,G1763&lt;=01_因子設定!$M$7+0.000000001,H1763&gt;=01_因子設定!$L$8-0.000000001,H1763&lt;=01_因子設定!$M$8+0.000000001,IF(01_因子設定!$B$20="Box-Behnken",E1763^2+F1763^2+G1763^2+H1763^2&lt;=2+0.000000001,TRUE()))</f>
        <v>1</v>
      </c>
      <c r="AD1763" s="55" t="n">
        <f aca="false">IF(AC1763,IF(01_因子設定!$B$13="最大化",AA1763-01_因子設定!$B$14,IF(01_因子設定!$B$13="最小化",01_因子設定!$B$15-AB1763,MIN(AA1763-01_因子設定!$B$14,01_因子設定!$B$15-AB1763))),-1E+030)</f>
        <v>-1.88380035387823</v>
      </c>
      <c r="AE1763" s="55" t="n">
        <f aca="false">IF(AC1763,IF(01_因子設定!$B$13="最大化",X1763,IF(01_因子設定!$B$13="最小化",-X1763,-ABS(X1763-01_因子設定!$B$16))),-1E+030)</f>
        <v>46.0007172880117</v>
      </c>
      <c r="AF1763" s="55" t="n">
        <f aca="false">AD1763+ROW()*0.000000001</f>
        <v>-1.88379859087823</v>
      </c>
      <c r="AG1763" s="55" t="n">
        <f aca="false">AE1763+ROW()*0.000000001</f>
        <v>46.0007190510117</v>
      </c>
    </row>
    <row r="1764" customFormat="false" ht="15" hidden="false" customHeight="false" outlineLevel="0" collapsed="false">
      <c r="A1764" s="0" t="n">
        <v>2</v>
      </c>
      <c r="B1764" s="0" t="n">
        <v>3</v>
      </c>
      <c r="C1764" s="0" t="n">
        <v>6</v>
      </c>
      <c r="D1764" s="0" t="n">
        <v>4</v>
      </c>
      <c r="E1764" s="0" t="n">
        <f aca="false">-1+A1764*0.25</f>
        <v>-0.5</v>
      </c>
      <c r="F1764" s="0" t="n">
        <f aca="false">-1+B1764*0.25</f>
        <v>-0.25</v>
      </c>
      <c r="G1764" s="0" t="n">
        <f aca="false">-1+C1764*0.25</f>
        <v>0.5</v>
      </c>
      <c r="H1764" s="0" t="n">
        <f aca="false">-1+D1764*0.25</f>
        <v>0</v>
      </c>
      <c r="I1764" s="0" t="n">
        <f aca="false">1</f>
        <v>1</v>
      </c>
      <c r="J1764" s="0" t="n">
        <f aca="false">E1764</f>
        <v>-0.5</v>
      </c>
      <c r="K1764" s="0" t="n">
        <f aca="false">F1764</f>
        <v>-0.25</v>
      </c>
      <c r="L1764" s="0" t="n">
        <f aca="false">G1764</f>
        <v>0.5</v>
      </c>
      <c r="M1764" s="0" t="n">
        <f aca="false">H1764</f>
        <v>0</v>
      </c>
      <c r="N1764" s="0" t="n">
        <f aca="false">E1764*F1764</f>
        <v>0.125</v>
      </c>
      <c r="O1764" s="0" t="n">
        <f aca="false">E1764*G1764</f>
        <v>-0.25</v>
      </c>
      <c r="P1764" s="0" t="n">
        <f aca="false">E1764*H1764</f>
        <v>-0</v>
      </c>
      <c r="Q1764" s="0" t="n">
        <f aca="false">F1764*G1764</f>
        <v>-0.125</v>
      </c>
      <c r="R1764" s="0" t="n">
        <f aca="false">F1764*H1764</f>
        <v>-0</v>
      </c>
      <c r="S1764" s="0" t="n">
        <f aca="false">G1764*H1764</f>
        <v>0</v>
      </c>
      <c r="T1764" s="0" t="n">
        <f aca="false">E1764*E1764</f>
        <v>0.25</v>
      </c>
      <c r="U1764" s="0" t="n">
        <f aca="false">F1764*F1764</f>
        <v>0.0625</v>
      </c>
      <c r="V1764" s="0" t="n">
        <f aca="false">G1764*G1764</f>
        <v>0.25</v>
      </c>
      <c r="W1764" s="0" t="n">
        <f aca="false">H1764*H1764</f>
        <v>0</v>
      </c>
      <c r="X1764" s="0" t="n">
        <f aca="false">SUMPRODUCT(I1764:W1764,_XtX!$B$96:$P$96)</f>
        <v>46.1596034356725</v>
      </c>
      <c r="Y1764" s="0" t="n">
        <f aca="false">SUMPRODUCT(MMULT(I1764:W1764,_XtX!$B$78:$P$92),I1764:W1764)</f>
        <v>0.132367050438597</v>
      </c>
      <c r="Z1764" s="0" t="n">
        <f aca="false">04_回帰ANOVA!$K$19*04_回帰ANOVA!$K$14*SQRT(1+Y1764)</f>
        <v>1.38704964208329</v>
      </c>
      <c r="AA1764" s="0" t="n">
        <f aca="false">X1764-Z1764</f>
        <v>44.7725537935892</v>
      </c>
      <c r="AB1764" s="0" t="n">
        <f aca="false">X1764+Z1764</f>
        <v>47.5466530777558</v>
      </c>
      <c r="AC1764" s="54" t="b">
        <f aca="false">AND(E1764&gt;=01_因子設定!$L$5-0.000000001,E1764&lt;=01_因子設定!$M$5+0.000000001,F1764&gt;=01_因子設定!$L$6-0.000000001,F1764&lt;=01_因子設定!$M$6+0.000000001,G1764&gt;=01_因子設定!$L$7-0.000000001,G1764&lt;=01_因子設定!$M$7+0.000000001,H1764&gt;=01_因子設定!$L$8-0.000000001,H1764&lt;=01_因子設定!$M$8+0.000000001,IF(01_因子設定!$B$20="Box-Behnken",E1764^2+F1764^2+G1764^2+H1764^2&lt;=2+0.000000001,TRUE()))</f>
        <v>1</v>
      </c>
      <c r="AD1764" s="55" t="n">
        <f aca="false">IF(AC1764,IF(01_因子設定!$B$13="最大化",AA1764-01_因子設定!$B$14,IF(01_因子設定!$B$13="最小化",01_因子設定!$B$15-AB1764,MIN(AA1764-01_因子設定!$B$14,01_因子設定!$B$15-AB1764))),-1E+030)</f>
        <v>-1.72744620641082</v>
      </c>
      <c r="AE1764" s="55" t="n">
        <f aca="false">IF(AC1764,IF(01_因子設定!$B$13="最大化",X1764,IF(01_因子設定!$B$13="最小化",-X1764,-ABS(X1764-01_因子設定!$B$16))),-1E+030)</f>
        <v>46.1596034356725</v>
      </c>
      <c r="AF1764" s="55" t="n">
        <f aca="false">AD1764+ROW()*0.000000001</f>
        <v>-1.72744444241082</v>
      </c>
      <c r="AG1764" s="55" t="n">
        <f aca="false">AE1764+ROW()*0.000000001</f>
        <v>46.1596051996725</v>
      </c>
    </row>
    <row r="1765" customFormat="false" ht="15" hidden="false" customHeight="false" outlineLevel="0" collapsed="false">
      <c r="A1765" s="0" t="n">
        <v>2</v>
      </c>
      <c r="B1765" s="0" t="n">
        <v>3</v>
      </c>
      <c r="C1765" s="0" t="n">
        <v>6</v>
      </c>
      <c r="D1765" s="0" t="n">
        <v>5</v>
      </c>
      <c r="E1765" s="0" t="n">
        <f aca="false">-1+A1765*0.25</f>
        <v>-0.5</v>
      </c>
      <c r="F1765" s="0" t="n">
        <f aca="false">-1+B1765*0.25</f>
        <v>-0.25</v>
      </c>
      <c r="G1765" s="0" t="n">
        <f aca="false">-1+C1765*0.25</f>
        <v>0.5</v>
      </c>
      <c r="H1765" s="0" t="n">
        <f aca="false">-1+D1765*0.25</f>
        <v>0.25</v>
      </c>
      <c r="I1765" s="0" t="n">
        <f aca="false">1</f>
        <v>1</v>
      </c>
      <c r="J1765" s="0" t="n">
        <f aca="false">E1765</f>
        <v>-0.5</v>
      </c>
      <c r="K1765" s="0" t="n">
        <f aca="false">F1765</f>
        <v>-0.25</v>
      </c>
      <c r="L1765" s="0" t="n">
        <f aca="false">G1765</f>
        <v>0.5</v>
      </c>
      <c r="M1765" s="0" t="n">
        <f aca="false">H1765</f>
        <v>0.25</v>
      </c>
      <c r="N1765" s="0" t="n">
        <f aca="false">E1765*F1765</f>
        <v>0.125</v>
      </c>
      <c r="O1765" s="0" t="n">
        <f aca="false">E1765*G1765</f>
        <v>-0.25</v>
      </c>
      <c r="P1765" s="0" t="n">
        <f aca="false">E1765*H1765</f>
        <v>-0.125</v>
      </c>
      <c r="Q1765" s="0" t="n">
        <f aca="false">F1765*G1765</f>
        <v>-0.125</v>
      </c>
      <c r="R1765" s="0" t="n">
        <f aca="false">F1765*H1765</f>
        <v>-0.0625</v>
      </c>
      <c r="S1765" s="0" t="n">
        <f aca="false">G1765*H1765</f>
        <v>0.125</v>
      </c>
      <c r="T1765" s="0" t="n">
        <f aca="false">E1765*E1765</f>
        <v>0.25</v>
      </c>
      <c r="U1765" s="0" t="n">
        <f aca="false">F1765*F1765</f>
        <v>0.0625</v>
      </c>
      <c r="V1765" s="0" t="n">
        <f aca="false">G1765*G1765</f>
        <v>0.25</v>
      </c>
      <c r="W1765" s="0" t="n">
        <f aca="false">H1765*H1765</f>
        <v>0.0625</v>
      </c>
      <c r="X1765" s="0" t="n">
        <f aca="false">SUMPRODUCT(I1765:W1765,_XtX!$B$96:$P$96)</f>
        <v>46.2706825657894</v>
      </c>
      <c r="Y1765" s="0" t="n">
        <f aca="false">SUMPRODUCT(MMULT(I1765:W1765,_XtX!$B$78:$P$92),I1765:W1765)</f>
        <v>0.128236647934942</v>
      </c>
      <c r="Z1765" s="0" t="n">
        <f aca="false">04_回帰ANOVA!$K$19*04_回帰ANOVA!$K$14*SQRT(1+Y1765)</f>
        <v>1.38451764188989</v>
      </c>
      <c r="AA1765" s="0" t="n">
        <f aca="false">X1765-Z1765</f>
        <v>44.8861649238996</v>
      </c>
      <c r="AB1765" s="0" t="n">
        <f aca="false">X1765+Z1765</f>
        <v>47.6552002076793</v>
      </c>
      <c r="AC1765" s="54" t="b">
        <f aca="false">AND(E1765&gt;=01_因子設定!$L$5-0.000000001,E1765&lt;=01_因子設定!$M$5+0.000000001,F1765&gt;=01_因子設定!$L$6-0.000000001,F1765&lt;=01_因子設定!$M$6+0.000000001,G1765&gt;=01_因子設定!$L$7-0.000000001,G1765&lt;=01_因子設定!$M$7+0.000000001,H1765&gt;=01_因子設定!$L$8-0.000000001,H1765&lt;=01_因子設定!$M$8+0.000000001,IF(01_因子設定!$B$20="Box-Behnken",E1765^2+F1765^2+G1765^2+H1765^2&lt;=2+0.000000001,TRUE()))</f>
        <v>1</v>
      </c>
      <c r="AD1765" s="55" t="n">
        <f aca="false">IF(AC1765,IF(01_因子設定!$B$13="最大化",AA1765-01_因子設定!$B$14,IF(01_因子設定!$B$13="最小化",01_因子設定!$B$15-AB1765,MIN(AA1765-01_因子設定!$B$14,01_因子設定!$B$15-AB1765))),-1E+030)</f>
        <v>-1.61383507610045</v>
      </c>
      <c r="AE1765" s="55" t="n">
        <f aca="false">IF(AC1765,IF(01_因子設定!$B$13="最大化",X1765,IF(01_因子設定!$B$13="最小化",-X1765,-ABS(X1765-01_因子設定!$B$16))),-1E+030)</f>
        <v>46.2706825657894</v>
      </c>
      <c r="AF1765" s="55" t="n">
        <f aca="false">AD1765+ROW()*0.000000001</f>
        <v>-1.61383331110045</v>
      </c>
      <c r="AG1765" s="55" t="n">
        <f aca="false">AE1765+ROW()*0.000000001</f>
        <v>46.2706843307894</v>
      </c>
    </row>
    <row r="1766" customFormat="false" ht="15" hidden="false" customHeight="false" outlineLevel="0" collapsed="false">
      <c r="A1766" s="0" t="n">
        <v>2</v>
      </c>
      <c r="B1766" s="0" t="n">
        <v>3</v>
      </c>
      <c r="C1766" s="0" t="n">
        <v>6</v>
      </c>
      <c r="D1766" s="0" t="n">
        <v>6</v>
      </c>
      <c r="E1766" s="0" t="n">
        <f aca="false">-1+A1766*0.25</f>
        <v>-0.5</v>
      </c>
      <c r="F1766" s="0" t="n">
        <f aca="false">-1+B1766*0.25</f>
        <v>-0.25</v>
      </c>
      <c r="G1766" s="0" t="n">
        <f aca="false">-1+C1766*0.25</f>
        <v>0.5</v>
      </c>
      <c r="H1766" s="0" t="n">
        <f aca="false">-1+D1766*0.25</f>
        <v>0.5</v>
      </c>
      <c r="I1766" s="0" t="n">
        <f aca="false">1</f>
        <v>1</v>
      </c>
      <c r="J1766" s="0" t="n">
        <f aca="false">E1766</f>
        <v>-0.5</v>
      </c>
      <c r="K1766" s="0" t="n">
        <f aca="false">F1766</f>
        <v>-0.25</v>
      </c>
      <c r="L1766" s="0" t="n">
        <f aca="false">G1766</f>
        <v>0.5</v>
      </c>
      <c r="M1766" s="0" t="n">
        <f aca="false">H1766</f>
        <v>0.5</v>
      </c>
      <c r="N1766" s="0" t="n">
        <f aca="false">E1766*F1766</f>
        <v>0.125</v>
      </c>
      <c r="O1766" s="0" t="n">
        <f aca="false">E1766*G1766</f>
        <v>-0.25</v>
      </c>
      <c r="P1766" s="0" t="n">
        <f aca="false">E1766*H1766</f>
        <v>-0.25</v>
      </c>
      <c r="Q1766" s="0" t="n">
        <f aca="false">F1766*G1766</f>
        <v>-0.125</v>
      </c>
      <c r="R1766" s="0" t="n">
        <f aca="false">F1766*H1766</f>
        <v>-0.125</v>
      </c>
      <c r="S1766" s="0" t="n">
        <f aca="false">G1766*H1766</f>
        <v>0.25</v>
      </c>
      <c r="T1766" s="0" t="n">
        <f aca="false">E1766*E1766</f>
        <v>0.25</v>
      </c>
      <c r="U1766" s="0" t="n">
        <f aca="false">F1766*F1766</f>
        <v>0.0625</v>
      </c>
      <c r="V1766" s="0" t="n">
        <f aca="false">G1766*G1766</f>
        <v>0.25</v>
      </c>
      <c r="W1766" s="0" t="n">
        <f aca="false">H1766*H1766</f>
        <v>0.25</v>
      </c>
      <c r="X1766" s="0" t="n">
        <f aca="false">SUMPRODUCT(I1766:W1766,_XtX!$B$96:$P$96)</f>
        <v>46.3339546783625</v>
      </c>
      <c r="Y1766" s="0" t="n">
        <f aca="false">SUMPRODUCT(MMULT(I1766:W1766,_XtX!$B$78:$P$92),I1766:W1766)</f>
        <v>0.133937545687135</v>
      </c>
      <c r="Z1766" s="0" t="n">
        <f aca="false">04_回帰ANOVA!$K$19*04_回帰ANOVA!$K$14*SQRT(1+Y1766)</f>
        <v>1.38801116780825</v>
      </c>
      <c r="AA1766" s="0" t="n">
        <f aca="false">X1766-Z1766</f>
        <v>44.9459435105543</v>
      </c>
      <c r="AB1766" s="0" t="n">
        <f aca="false">X1766+Z1766</f>
        <v>47.7219658461708</v>
      </c>
      <c r="AC1766" s="54" t="b">
        <f aca="false">AND(E1766&gt;=01_因子設定!$L$5-0.000000001,E1766&lt;=01_因子設定!$M$5+0.000000001,F1766&gt;=01_因子設定!$L$6-0.000000001,F1766&lt;=01_因子設定!$M$6+0.000000001,G1766&gt;=01_因子設定!$L$7-0.000000001,G1766&lt;=01_因子設定!$M$7+0.000000001,H1766&gt;=01_因子設定!$L$8-0.000000001,H1766&lt;=01_因子設定!$M$8+0.000000001,IF(01_因子設定!$B$20="Box-Behnken",E1766^2+F1766^2+G1766^2+H1766^2&lt;=2+0.000000001,TRUE()))</f>
        <v>1</v>
      </c>
      <c r="AD1766" s="55" t="n">
        <f aca="false">IF(AC1766,IF(01_因子設定!$B$13="最大化",AA1766-01_因子設定!$B$14,IF(01_因子設定!$B$13="最小化",01_因子設定!$B$15-AB1766,MIN(AA1766-01_因子設定!$B$14,01_因子設定!$B$15-AB1766))),-1E+030)</f>
        <v>-1.55405648944571</v>
      </c>
      <c r="AE1766" s="55" t="n">
        <f aca="false">IF(AC1766,IF(01_因子設定!$B$13="最大化",X1766,IF(01_因子設定!$B$13="最小化",-X1766,-ABS(X1766-01_因子設定!$B$16))),-1E+030)</f>
        <v>46.3339546783625</v>
      </c>
      <c r="AF1766" s="55" t="n">
        <f aca="false">AD1766+ROW()*0.000000001</f>
        <v>-1.55405472344571</v>
      </c>
      <c r="AG1766" s="55" t="n">
        <f aca="false">AE1766+ROW()*0.000000001</f>
        <v>46.3339564443625</v>
      </c>
    </row>
    <row r="1767" customFormat="false" ht="15" hidden="false" customHeight="false" outlineLevel="0" collapsed="false">
      <c r="A1767" s="0" t="n">
        <v>2</v>
      </c>
      <c r="B1767" s="0" t="n">
        <v>3</v>
      </c>
      <c r="C1767" s="0" t="n">
        <v>6</v>
      </c>
      <c r="D1767" s="0" t="n">
        <v>7</v>
      </c>
      <c r="E1767" s="0" t="n">
        <f aca="false">-1+A1767*0.25</f>
        <v>-0.5</v>
      </c>
      <c r="F1767" s="0" t="n">
        <f aca="false">-1+B1767*0.25</f>
        <v>-0.25</v>
      </c>
      <c r="G1767" s="0" t="n">
        <f aca="false">-1+C1767*0.25</f>
        <v>0.5</v>
      </c>
      <c r="H1767" s="0" t="n">
        <f aca="false">-1+D1767*0.25</f>
        <v>0.75</v>
      </c>
      <c r="I1767" s="0" t="n">
        <f aca="false">1</f>
        <v>1</v>
      </c>
      <c r="J1767" s="0" t="n">
        <f aca="false">E1767</f>
        <v>-0.5</v>
      </c>
      <c r="K1767" s="0" t="n">
        <f aca="false">F1767</f>
        <v>-0.25</v>
      </c>
      <c r="L1767" s="0" t="n">
        <f aca="false">G1767</f>
        <v>0.5</v>
      </c>
      <c r="M1767" s="0" t="n">
        <f aca="false">H1767</f>
        <v>0.75</v>
      </c>
      <c r="N1767" s="0" t="n">
        <f aca="false">E1767*F1767</f>
        <v>0.125</v>
      </c>
      <c r="O1767" s="0" t="n">
        <f aca="false">E1767*G1767</f>
        <v>-0.25</v>
      </c>
      <c r="P1767" s="0" t="n">
        <f aca="false">E1767*H1767</f>
        <v>-0.375</v>
      </c>
      <c r="Q1767" s="0" t="n">
        <f aca="false">F1767*G1767</f>
        <v>-0.125</v>
      </c>
      <c r="R1767" s="0" t="n">
        <f aca="false">F1767*H1767</f>
        <v>-0.1875</v>
      </c>
      <c r="S1767" s="0" t="n">
        <f aca="false">G1767*H1767</f>
        <v>0.375</v>
      </c>
      <c r="T1767" s="0" t="n">
        <f aca="false">E1767*E1767</f>
        <v>0.25</v>
      </c>
      <c r="U1767" s="0" t="n">
        <f aca="false">F1767*F1767</f>
        <v>0.0625</v>
      </c>
      <c r="V1767" s="0" t="n">
        <f aca="false">G1767*G1767</f>
        <v>0.25</v>
      </c>
      <c r="W1767" s="0" t="n">
        <f aca="false">H1767*H1767</f>
        <v>0.5625</v>
      </c>
      <c r="X1767" s="0" t="n">
        <f aca="false">SUMPRODUCT(I1767:W1767,_XtX!$B$96:$P$96)</f>
        <v>46.3494197733918</v>
      </c>
      <c r="Y1767" s="0" t="n">
        <f aca="false">SUMPRODUCT(MMULT(I1767:W1767,_XtX!$B$78:$P$92),I1767:W1767)</f>
        <v>0.203746059484649</v>
      </c>
      <c r="Z1767" s="0" t="n">
        <f aca="false">04_回帰ANOVA!$K$19*04_回帰ANOVA!$K$14*SQRT(1+Y1767)</f>
        <v>1.43009810755465</v>
      </c>
      <c r="AA1767" s="0" t="n">
        <f aca="false">X1767-Z1767</f>
        <v>44.9193216658371</v>
      </c>
      <c r="AB1767" s="0" t="n">
        <f aca="false">X1767+Z1767</f>
        <v>47.7795178809464</v>
      </c>
      <c r="AC1767" s="54" t="b">
        <f aca="false">AND(E1767&gt;=01_因子設定!$L$5-0.000000001,E1767&lt;=01_因子設定!$M$5+0.000000001,F1767&gt;=01_因子設定!$L$6-0.000000001,F1767&lt;=01_因子設定!$M$6+0.000000001,G1767&gt;=01_因子設定!$L$7-0.000000001,G1767&lt;=01_因子設定!$M$7+0.000000001,H1767&gt;=01_因子設定!$L$8-0.000000001,H1767&lt;=01_因子設定!$M$8+0.000000001,IF(01_因子設定!$B$20="Box-Behnken",E1767^2+F1767^2+G1767^2+H1767^2&lt;=2+0.000000001,TRUE()))</f>
        <v>1</v>
      </c>
      <c r="AD1767" s="55" t="n">
        <f aca="false">IF(AC1767,IF(01_因子設定!$B$13="最大化",AA1767-01_因子設定!$B$14,IF(01_因子設定!$B$13="最小化",01_因子設定!$B$15-AB1767,MIN(AA1767-01_因子設定!$B$14,01_因子設定!$B$15-AB1767))),-1E+030)</f>
        <v>-1.58067833416285</v>
      </c>
      <c r="AE1767" s="55" t="n">
        <f aca="false">IF(AC1767,IF(01_因子設定!$B$13="最大化",X1767,IF(01_因子設定!$B$13="最小化",-X1767,-ABS(X1767-01_因子設定!$B$16))),-1E+030)</f>
        <v>46.3494197733918</v>
      </c>
      <c r="AF1767" s="55" t="n">
        <f aca="false">AD1767+ROW()*0.000000001</f>
        <v>-1.58067656716285</v>
      </c>
      <c r="AG1767" s="55" t="n">
        <f aca="false">AE1767+ROW()*0.000000001</f>
        <v>46.3494215403918</v>
      </c>
    </row>
    <row r="1768" customFormat="false" ht="15" hidden="false" customHeight="false" outlineLevel="0" collapsed="false">
      <c r="A1768" s="0" t="n">
        <v>2</v>
      </c>
      <c r="B1768" s="0" t="n">
        <v>3</v>
      </c>
      <c r="C1768" s="0" t="n">
        <v>6</v>
      </c>
      <c r="D1768" s="0" t="n">
        <v>8</v>
      </c>
      <c r="E1768" s="0" t="n">
        <f aca="false">-1+A1768*0.25</f>
        <v>-0.5</v>
      </c>
      <c r="F1768" s="0" t="n">
        <f aca="false">-1+B1768*0.25</f>
        <v>-0.25</v>
      </c>
      <c r="G1768" s="0" t="n">
        <f aca="false">-1+C1768*0.25</f>
        <v>0.5</v>
      </c>
      <c r="H1768" s="0" t="n">
        <f aca="false">-1+D1768*0.25</f>
        <v>1</v>
      </c>
      <c r="I1768" s="0" t="n">
        <f aca="false">1</f>
        <v>1</v>
      </c>
      <c r="J1768" s="0" t="n">
        <f aca="false">E1768</f>
        <v>-0.5</v>
      </c>
      <c r="K1768" s="0" t="n">
        <f aca="false">F1768</f>
        <v>-0.25</v>
      </c>
      <c r="L1768" s="0" t="n">
        <f aca="false">G1768</f>
        <v>0.5</v>
      </c>
      <c r="M1768" s="0" t="n">
        <f aca="false">H1768</f>
        <v>1</v>
      </c>
      <c r="N1768" s="0" t="n">
        <f aca="false">E1768*F1768</f>
        <v>0.125</v>
      </c>
      <c r="O1768" s="0" t="n">
        <f aca="false">E1768*G1768</f>
        <v>-0.25</v>
      </c>
      <c r="P1768" s="0" t="n">
        <f aca="false">E1768*H1768</f>
        <v>-0.5</v>
      </c>
      <c r="Q1768" s="0" t="n">
        <f aca="false">F1768*G1768</f>
        <v>-0.125</v>
      </c>
      <c r="R1768" s="0" t="n">
        <f aca="false">F1768*H1768</f>
        <v>-0.25</v>
      </c>
      <c r="S1768" s="0" t="n">
        <f aca="false">G1768*H1768</f>
        <v>0.5</v>
      </c>
      <c r="T1768" s="0" t="n">
        <f aca="false">E1768*E1768</f>
        <v>0.25</v>
      </c>
      <c r="U1768" s="0" t="n">
        <f aca="false">F1768*F1768</f>
        <v>0.0625</v>
      </c>
      <c r="V1768" s="0" t="n">
        <f aca="false">G1768*G1768</f>
        <v>0.25</v>
      </c>
      <c r="W1768" s="0" t="n">
        <f aca="false">H1768*H1768</f>
        <v>1</v>
      </c>
      <c r="X1768" s="0" t="n">
        <f aca="false">SUMPRODUCT(I1768:W1768,_XtX!$B$96:$P$96)</f>
        <v>46.3170778508772</v>
      </c>
      <c r="Y1768" s="0" t="n">
        <f aca="false">SUMPRODUCT(MMULT(I1768:W1768,_XtX!$B$78:$P$92),I1768:W1768)</f>
        <v>0.428122715643275</v>
      </c>
      <c r="Z1768" s="0" t="n">
        <f aca="false">04_回帰ANOVA!$K$19*04_回帰ANOVA!$K$14*SQRT(1+Y1768)</f>
        <v>1.55769044623229</v>
      </c>
      <c r="AA1768" s="0" t="n">
        <f aca="false">X1768-Z1768</f>
        <v>44.7593874046449</v>
      </c>
      <c r="AB1768" s="0" t="n">
        <f aca="false">X1768+Z1768</f>
        <v>47.8747682971095</v>
      </c>
      <c r="AC1768" s="54" t="b">
        <f aca="false">AND(E1768&gt;=01_因子設定!$L$5-0.000000001,E1768&lt;=01_因子設定!$M$5+0.000000001,F1768&gt;=01_因子設定!$L$6-0.000000001,F1768&lt;=01_因子設定!$M$6+0.000000001,G1768&gt;=01_因子設定!$L$7-0.000000001,G1768&lt;=01_因子設定!$M$7+0.000000001,H1768&gt;=01_因子設定!$L$8-0.000000001,H1768&lt;=01_因子設定!$M$8+0.000000001,IF(01_因子設定!$B$20="Box-Behnken",E1768^2+F1768^2+G1768^2+H1768^2&lt;=2+0.000000001,TRUE()))</f>
        <v>1</v>
      </c>
      <c r="AD1768" s="55" t="n">
        <f aca="false">IF(AC1768,IF(01_因子設定!$B$13="最大化",AA1768-01_因子設定!$B$14,IF(01_因子設定!$B$13="最小化",01_因子設定!$B$15-AB1768,MIN(AA1768-01_因子設定!$B$14,01_因子設定!$B$15-AB1768))),-1E+030)</f>
        <v>-1.7406125953551</v>
      </c>
      <c r="AE1768" s="55" t="n">
        <f aca="false">IF(AC1768,IF(01_因子設定!$B$13="最大化",X1768,IF(01_因子設定!$B$13="最小化",-X1768,-ABS(X1768-01_因子設定!$B$16))),-1E+030)</f>
        <v>46.3170778508772</v>
      </c>
      <c r="AF1768" s="55" t="n">
        <f aca="false">AD1768+ROW()*0.000000001</f>
        <v>-1.7406108273551</v>
      </c>
      <c r="AG1768" s="55" t="n">
        <f aca="false">AE1768+ROW()*0.000000001</f>
        <v>46.3170796188772</v>
      </c>
    </row>
    <row r="1769" customFormat="false" ht="15" hidden="false" customHeight="false" outlineLevel="0" collapsed="false">
      <c r="A1769" s="0" t="n">
        <v>2</v>
      </c>
      <c r="B1769" s="0" t="n">
        <v>3</v>
      </c>
      <c r="C1769" s="0" t="n">
        <v>7</v>
      </c>
      <c r="D1769" s="0" t="n">
        <v>0</v>
      </c>
      <c r="E1769" s="0" t="n">
        <f aca="false">-1+A1769*0.25</f>
        <v>-0.5</v>
      </c>
      <c r="F1769" s="0" t="n">
        <f aca="false">-1+B1769*0.25</f>
        <v>-0.25</v>
      </c>
      <c r="G1769" s="0" t="n">
        <f aca="false">-1+C1769*0.25</f>
        <v>0.75</v>
      </c>
      <c r="H1769" s="0" t="n">
        <f aca="false">-1+D1769*0.25</f>
        <v>-1</v>
      </c>
      <c r="I1769" s="0" t="n">
        <f aca="false">1</f>
        <v>1</v>
      </c>
      <c r="J1769" s="0" t="n">
        <f aca="false">E1769</f>
        <v>-0.5</v>
      </c>
      <c r="K1769" s="0" t="n">
        <f aca="false">F1769</f>
        <v>-0.25</v>
      </c>
      <c r="L1769" s="0" t="n">
        <f aca="false">G1769</f>
        <v>0.75</v>
      </c>
      <c r="M1769" s="0" t="n">
        <f aca="false">H1769</f>
        <v>-1</v>
      </c>
      <c r="N1769" s="0" t="n">
        <f aca="false">E1769*F1769</f>
        <v>0.125</v>
      </c>
      <c r="O1769" s="0" t="n">
        <f aca="false">E1769*G1769</f>
        <v>-0.375</v>
      </c>
      <c r="P1769" s="0" t="n">
        <f aca="false">E1769*H1769</f>
        <v>0.5</v>
      </c>
      <c r="Q1769" s="0" t="n">
        <f aca="false">F1769*G1769</f>
        <v>-0.1875</v>
      </c>
      <c r="R1769" s="0" t="n">
        <f aca="false">F1769*H1769</f>
        <v>0.25</v>
      </c>
      <c r="S1769" s="0" t="n">
        <f aca="false">G1769*H1769</f>
        <v>-0.75</v>
      </c>
      <c r="T1769" s="0" t="n">
        <f aca="false">E1769*E1769</f>
        <v>0.25</v>
      </c>
      <c r="U1769" s="0" t="n">
        <f aca="false">F1769*F1769</f>
        <v>0.0625</v>
      </c>
      <c r="V1769" s="0" t="n">
        <f aca="false">G1769*G1769</f>
        <v>0.5625</v>
      </c>
      <c r="W1769" s="0" t="n">
        <f aca="false">H1769*H1769</f>
        <v>1</v>
      </c>
      <c r="X1769" s="0" t="n">
        <f aca="false">SUMPRODUCT(I1769:W1769,_XtX!$B$96:$P$96)</f>
        <v>45.2596262792398</v>
      </c>
      <c r="Y1769" s="0" t="n">
        <f aca="false">SUMPRODUCT(MMULT(I1769:W1769,_XtX!$B$78:$P$92),I1769:W1769)</f>
        <v>0.459125719572369</v>
      </c>
      <c r="Z1769" s="0" t="n">
        <f aca="false">04_回帰ANOVA!$K$19*04_回帰ANOVA!$K$14*SQRT(1+Y1769)</f>
        <v>1.57450755575573</v>
      </c>
      <c r="AA1769" s="0" t="n">
        <f aca="false">X1769-Z1769</f>
        <v>43.685118723484</v>
      </c>
      <c r="AB1769" s="0" t="n">
        <f aca="false">X1769+Z1769</f>
        <v>46.8341338349955</v>
      </c>
      <c r="AC1769" s="54" t="b">
        <f aca="false">AND(E1769&gt;=01_因子設定!$L$5-0.000000001,E1769&lt;=01_因子設定!$M$5+0.000000001,F1769&gt;=01_因子設定!$L$6-0.000000001,F1769&lt;=01_因子設定!$M$6+0.000000001,G1769&gt;=01_因子設定!$L$7-0.000000001,G1769&lt;=01_因子設定!$M$7+0.000000001,H1769&gt;=01_因子設定!$L$8-0.000000001,H1769&lt;=01_因子設定!$M$8+0.000000001,IF(01_因子設定!$B$20="Box-Behnken",E1769^2+F1769^2+G1769^2+H1769^2&lt;=2+0.000000001,TRUE()))</f>
        <v>1</v>
      </c>
      <c r="AD1769" s="55" t="n">
        <f aca="false">IF(AC1769,IF(01_因子設定!$B$13="最大化",AA1769-01_因子設定!$B$14,IF(01_因子設定!$B$13="最小化",01_因子設定!$B$15-AB1769,MIN(AA1769-01_因子設定!$B$14,01_因子設定!$B$15-AB1769))),-1E+030)</f>
        <v>-2.81488127651597</v>
      </c>
      <c r="AE1769" s="55" t="n">
        <f aca="false">IF(AC1769,IF(01_因子設定!$B$13="最大化",X1769,IF(01_因子設定!$B$13="最小化",-X1769,-ABS(X1769-01_因子設定!$B$16))),-1E+030)</f>
        <v>45.2596262792398</v>
      </c>
      <c r="AF1769" s="55" t="n">
        <f aca="false">AD1769+ROW()*0.000000001</f>
        <v>-2.81487950751597</v>
      </c>
      <c r="AG1769" s="55" t="n">
        <f aca="false">AE1769+ROW()*0.000000001</f>
        <v>45.2596280482398</v>
      </c>
    </row>
    <row r="1770" customFormat="false" ht="15" hidden="false" customHeight="false" outlineLevel="0" collapsed="false">
      <c r="A1770" s="0" t="n">
        <v>2</v>
      </c>
      <c r="B1770" s="0" t="n">
        <v>3</v>
      </c>
      <c r="C1770" s="0" t="n">
        <v>7</v>
      </c>
      <c r="D1770" s="0" t="n">
        <v>1</v>
      </c>
      <c r="E1770" s="0" t="n">
        <f aca="false">-1+A1770*0.25</f>
        <v>-0.5</v>
      </c>
      <c r="F1770" s="0" t="n">
        <f aca="false">-1+B1770*0.25</f>
        <v>-0.25</v>
      </c>
      <c r="G1770" s="0" t="n">
        <f aca="false">-1+C1770*0.25</f>
        <v>0.75</v>
      </c>
      <c r="H1770" s="0" t="n">
        <f aca="false">-1+D1770*0.25</f>
        <v>-0.75</v>
      </c>
      <c r="I1770" s="0" t="n">
        <f aca="false">1</f>
        <v>1</v>
      </c>
      <c r="J1770" s="0" t="n">
        <f aca="false">E1770</f>
        <v>-0.5</v>
      </c>
      <c r="K1770" s="0" t="n">
        <f aca="false">F1770</f>
        <v>-0.25</v>
      </c>
      <c r="L1770" s="0" t="n">
        <f aca="false">G1770</f>
        <v>0.75</v>
      </c>
      <c r="M1770" s="0" t="n">
        <f aca="false">H1770</f>
        <v>-0.75</v>
      </c>
      <c r="N1770" s="0" t="n">
        <f aca="false">E1770*F1770</f>
        <v>0.125</v>
      </c>
      <c r="O1770" s="0" t="n">
        <f aca="false">E1770*G1770</f>
        <v>-0.375</v>
      </c>
      <c r="P1770" s="0" t="n">
        <f aca="false">E1770*H1770</f>
        <v>0.375</v>
      </c>
      <c r="Q1770" s="0" t="n">
        <f aca="false">F1770*G1770</f>
        <v>-0.1875</v>
      </c>
      <c r="R1770" s="0" t="n">
        <f aca="false">F1770*H1770</f>
        <v>0.1875</v>
      </c>
      <c r="S1770" s="0" t="n">
        <f aca="false">G1770*H1770</f>
        <v>-0.5625</v>
      </c>
      <c r="T1770" s="0" t="n">
        <f aca="false">E1770*E1770</f>
        <v>0.25</v>
      </c>
      <c r="U1770" s="0" t="n">
        <f aca="false">F1770*F1770</f>
        <v>0.0625</v>
      </c>
      <c r="V1770" s="0" t="n">
        <f aca="false">G1770*G1770</f>
        <v>0.5625</v>
      </c>
      <c r="W1770" s="0" t="n">
        <f aca="false">H1770*H1770</f>
        <v>0.5625</v>
      </c>
      <c r="X1770" s="0" t="n">
        <f aca="false">SUMPRODUCT(I1770:W1770,_XtX!$B$96:$P$96)</f>
        <v>45.5799022295321</v>
      </c>
      <c r="Y1770" s="0" t="n">
        <f aca="false">SUMPRODUCT(MMULT(I1770:W1770,_XtX!$B$78:$P$92),I1770:W1770)</f>
        <v>0.257385610836988</v>
      </c>
      <c r="Z1770" s="0" t="n">
        <f aca="false">04_回帰ANOVA!$K$19*04_回帰ANOVA!$K$14*SQRT(1+Y1770)</f>
        <v>1.46161380324158</v>
      </c>
      <c r="AA1770" s="0" t="n">
        <f aca="false">X1770-Z1770</f>
        <v>44.1182884262906</v>
      </c>
      <c r="AB1770" s="0" t="n">
        <f aca="false">X1770+Z1770</f>
        <v>47.0415160327737</v>
      </c>
      <c r="AC1770" s="54" t="b">
        <f aca="false">AND(E1770&gt;=01_因子設定!$L$5-0.000000001,E1770&lt;=01_因子設定!$M$5+0.000000001,F1770&gt;=01_因子設定!$L$6-0.000000001,F1770&lt;=01_因子設定!$M$6+0.000000001,G1770&gt;=01_因子設定!$L$7-0.000000001,G1770&lt;=01_因子設定!$M$7+0.000000001,H1770&gt;=01_因子設定!$L$8-0.000000001,H1770&lt;=01_因子設定!$M$8+0.000000001,IF(01_因子設定!$B$20="Box-Behnken",E1770^2+F1770^2+G1770^2+H1770^2&lt;=2+0.000000001,TRUE()))</f>
        <v>1</v>
      </c>
      <c r="AD1770" s="55" t="n">
        <f aca="false">IF(AC1770,IF(01_因子設定!$B$13="最大化",AA1770-01_因子設定!$B$14,IF(01_因子設定!$B$13="最小化",01_因子設定!$B$15-AB1770,MIN(AA1770-01_因子設定!$B$14,01_因子設定!$B$15-AB1770))),-1E+030)</f>
        <v>-2.38171157370944</v>
      </c>
      <c r="AE1770" s="55" t="n">
        <f aca="false">IF(AC1770,IF(01_因子設定!$B$13="最大化",X1770,IF(01_因子設定!$B$13="最小化",-X1770,-ABS(X1770-01_因子設定!$B$16))),-1E+030)</f>
        <v>45.5799022295321</v>
      </c>
      <c r="AF1770" s="55" t="n">
        <f aca="false">AD1770+ROW()*0.000000001</f>
        <v>-2.38170980370944</v>
      </c>
      <c r="AG1770" s="55" t="n">
        <f aca="false">AE1770+ROW()*0.000000001</f>
        <v>45.5799039995321</v>
      </c>
    </row>
    <row r="1771" customFormat="false" ht="15" hidden="false" customHeight="false" outlineLevel="0" collapsed="false">
      <c r="A1771" s="0" t="n">
        <v>2</v>
      </c>
      <c r="B1771" s="0" t="n">
        <v>3</v>
      </c>
      <c r="C1771" s="0" t="n">
        <v>7</v>
      </c>
      <c r="D1771" s="0" t="n">
        <v>2</v>
      </c>
      <c r="E1771" s="0" t="n">
        <f aca="false">-1+A1771*0.25</f>
        <v>-0.5</v>
      </c>
      <c r="F1771" s="0" t="n">
        <f aca="false">-1+B1771*0.25</f>
        <v>-0.25</v>
      </c>
      <c r="G1771" s="0" t="n">
        <f aca="false">-1+C1771*0.25</f>
        <v>0.75</v>
      </c>
      <c r="H1771" s="0" t="n">
        <f aca="false">-1+D1771*0.25</f>
        <v>-0.5</v>
      </c>
      <c r="I1771" s="0" t="n">
        <f aca="false">1</f>
        <v>1</v>
      </c>
      <c r="J1771" s="0" t="n">
        <f aca="false">E1771</f>
        <v>-0.5</v>
      </c>
      <c r="K1771" s="0" t="n">
        <f aca="false">F1771</f>
        <v>-0.25</v>
      </c>
      <c r="L1771" s="0" t="n">
        <f aca="false">G1771</f>
        <v>0.75</v>
      </c>
      <c r="M1771" s="0" t="n">
        <f aca="false">H1771</f>
        <v>-0.5</v>
      </c>
      <c r="N1771" s="0" t="n">
        <f aca="false">E1771*F1771</f>
        <v>0.125</v>
      </c>
      <c r="O1771" s="0" t="n">
        <f aca="false">E1771*G1771</f>
        <v>-0.375</v>
      </c>
      <c r="P1771" s="0" t="n">
        <f aca="false">E1771*H1771</f>
        <v>0.25</v>
      </c>
      <c r="Q1771" s="0" t="n">
        <f aca="false">F1771*G1771</f>
        <v>-0.1875</v>
      </c>
      <c r="R1771" s="0" t="n">
        <f aca="false">F1771*H1771</f>
        <v>0.125</v>
      </c>
      <c r="S1771" s="0" t="n">
        <f aca="false">G1771*H1771</f>
        <v>-0.375</v>
      </c>
      <c r="T1771" s="0" t="n">
        <f aca="false">E1771*E1771</f>
        <v>0.25</v>
      </c>
      <c r="U1771" s="0" t="n">
        <f aca="false">F1771*F1771</f>
        <v>0.0625</v>
      </c>
      <c r="V1771" s="0" t="n">
        <f aca="false">G1771*G1771</f>
        <v>0.5625</v>
      </c>
      <c r="W1771" s="0" t="n">
        <f aca="false">H1771*H1771</f>
        <v>0.25</v>
      </c>
      <c r="X1771" s="0" t="n">
        <f aca="false">SUMPRODUCT(I1771:W1771,_XtX!$B$96:$P$96)</f>
        <v>45.8523711622807</v>
      </c>
      <c r="Y1771" s="0" t="n">
        <f aca="false">SUMPRODUCT(MMULT(I1771:W1771,_XtX!$B$78:$P$92),I1771:W1771)</f>
        <v>0.203746059484649</v>
      </c>
      <c r="Z1771" s="0" t="n">
        <f aca="false">04_回帰ANOVA!$K$19*04_回帰ANOVA!$K$14*SQRT(1+Y1771)</f>
        <v>1.43009810755465</v>
      </c>
      <c r="AA1771" s="0" t="n">
        <f aca="false">X1771-Z1771</f>
        <v>44.422273054726</v>
      </c>
      <c r="AB1771" s="0" t="n">
        <f aca="false">X1771+Z1771</f>
        <v>47.2824692698353</v>
      </c>
      <c r="AC1771" s="54" t="b">
        <f aca="false">AND(E1771&gt;=01_因子設定!$L$5-0.000000001,E1771&lt;=01_因子設定!$M$5+0.000000001,F1771&gt;=01_因子設定!$L$6-0.000000001,F1771&lt;=01_因子設定!$M$6+0.000000001,G1771&gt;=01_因子設定!$L$7-0.000000001,G1771&lt;=01_因子設定!$M$7+0.000000001,H1771&gt;=01_因子設定!$L$8-0.000000001,H1771&lt;=01_因子設定!$M$8+0.000000001,IF(01_因子設定!$B$20="Box-Behnken",E1771^2+F1771^2+G1771^2+H1771^2&lt;=2+0.000000001,TRUE()))</f>
        <v>1</v>
      </c>
      <c r="AD1771" s="55" t="n">
        <f aca="false">IF(AC1771,IF(01_因子設定!$B$13="最大化",AA1771-01_因子設定!$B$14,IF(01_因子設定!$B$13="最小化",01_因子設定!$B$15-AB1771,MIN(AA1771-01_因子設定!$B$14,01_因子設定!$B$15-AB1771))),-1E+030)</f>
        <v>-2.07772694527398</v>
      </c>
      <c r="AE1771" s="55" t="n">
        <f aca="false">IF(AC1771,IF(01_因子設定!$B$13="最大化",X1771,IF(01_因子設定!$B$13="最小化",-X1771,-ABS(X1771-01_因子設定!$B$16))),-1E+030)</f>
        <v>45.8523711622807</v>
      </c>
      <c r="AF1771" s="55" t="n">
        <f aca="false">AD1771+ROW()*0.000000001</f>
        <v>-2.07772517427398</v>
      </c>
      <c r="AG1771" s="55" t="n">
        <f aca="false">AE1771+ROW()*0.000000001</f>
        <v>45.8523729332807</v>
      </c>
    </row>
    <row r="1772" customFormat="false" ht="15" hidden="false" customHeight="false" outlineLevel="0" collapsed="false">
      <c r="A1772" s="0" t="n">
        <v>2</v>
      </c>
      <c r="B1772" s="0" t="n">
        <v>3</v>
      </c>
      <c r="C1772" s="0" t="n">
        <v>7</v>
      </c>
      <c r="D1772" s="0" t="n">
        <v>3</v>
      </c>
      <c r="E1772" s="0" t="n">
        <f aca="false">-1+A1772*0.25</f>
        <v>-0.5</v>
      </c>
      <c r="F1772" s="0" t="n">
        <f aca="false">-1+B1772*0.25</f>
        <v>-0.25</v>
      </c>
      <c r="G1772" s="0" t="n">
        <f aca="false">-1+C1772*0.25</f>
        <v>0.75</v>
      </c>
      <c r="H1772" s="0" t="n">
        <f aca="false">-1+D1772*0.25</f>
        <v>-0.25</v>
      </c>
      <c r="I1772" s="0" t="n">
        <f aca="false">1</f>
        <v>1</v>
      </c>
      <c r="J1772" s="0" t="n">
        <f aca="false">E1772</f>
        <v>-0.5</v>
      </c>
      <c r="K1772" s="0" t="n">
        <f aca="false">F1772</f>
        <v>-0.25</v>
      </c>
      <c r="L1772" s="0" t="n">
        <f aca="false">G1772</f>
        <v>0.75</v>
      </c>
      <c r="M1772" s="0" t="n">
        <f aca="false">H1772</f>
        <v>-0.25</v>
      </c>
      <c r="N1772" s="0" t="n">
        <f aca="false">E1772*F1772</f>
        <v>0.125</v>
      </c>
      <c r="O1772" s="0" t="n">
        <f aca="false">E1772*G1772</f>
        <v>-0.375</v>
      </c>
      <c r="P1772" s="0" t="n">
        <f aca="false">E1772*H1772</f>
        <v>0.125</v>
      </c>
      <c r="Q1772" s="0" t="n">
        <f aca="false">F1772*G1772</f>
        <v>-0.1875</v>
      </c>
      <c r="R1772" s="0" t="n">
        <f aca="false">F1772*H1772</f>
        <v>0.0625</v>
      </c>
      <c r="S1772" s="0" t="n">
        <f aca="false">G1772*H1772</f>
        <v>-0.1875</v>
      </c>
      <c r="T1772" s="0" t="n">
        <f aca="false">E1772*E1772</f>
        <v>0.25</v>
      </c>
      <c r="U1772" s="0" t="n">
        <f aca="false">F1772*F1772</f>
        <v>0.0625</v>
      </c>
      <c r="V1772" s="0" t="n">
        <f aca="false">G1772*G1772</f>
        <v>0.5625</v>
      </c>
      <c r="W1772" s="0" t="n">
        <f aca="false">H1772*H1772</f>
        <v>0.0625</v>
      </c>
      <c r="X1772" s="0" t="n">
        <f aca="false">SUMPRODUCT(I1772:W1772,_XtX!$B$96:$P$96)</f>
        <v>46.0770330774853</v>
      </c>
      <c r="Y1772" s="0" t="n">
        <f aca="false">SUMPRODUCT(MMULT(I1772:W1772,_XtX!$B$78:$P$92),I1772:W1772)</f>
        <v>0.207746539199561</v>
      </c>
      <c r="Z1772" s="0" t="n">
        <f aca="false">04_回帰ANOVA!$K$19*04_回帰ANOVA!$K$14*SQRT(1+Y1772)</f>
        <v>1.43247250081141</v>
      </c>
      <c r="AA1772" s="0" t="n">
        <f aca="false">X1772-Z1772</f>
        <v>44.6445605766739</v>
      </c>
      <c r="AB1772" s="0" t="n">
        <f aca="false">X1772+Z1772</f>
        <v>47.5095055782967</v>
      </c>
      <c r="AC1772" s="54" t="b">
        <f aca="false">AND(E1772&gt;=01_因子設定!$L$5-0.000000001,E1772&lt;=01_因子設定!$M$5+0.000000001,F1772&gt;=01_因子設定!$L$6-0.000000001,F1772&lt;=01_因子設定!$M$6+0.000000001,G1772&gt;=01_因子設定!$L$7-0.000000001,G1772&lt;=01_因子設定!$M$7+0.000000001,H1772&gt;=01_因子設定!$L$8-0.000000001,H1772&lt;=01_因子設定!$M$8+0.000000001,IF(01_因子設定!$B$20="Box-Behnken",E1772^2+F1772^2+G1772^2+H1772^2&lt;=2+0.000000001,TRUE()))</f>
        <v>1</v>
      </c>
      <c r="AD1772" s="55" t="n">
        <f aca="false">IF(AC1772,IF(01_因子設定!$B$13="最大化",AA1772-01_因子設定!$B$14,IF(01_因子設定!$B$13="最小化",01_因子設定!$B$15-AB1772,MIN(AA1772-01_因子設定!$B$14,01_因子設定!$B$15-AB1772))),-1E+030)</f>
        <v>-1.85543942332607</v>
      </c>
      <c r="AE1772" s="55" t="n">
        <f aca="false">IF(AC1772,IF(01_因子設定!$B$13="最大化",X1772,IF(01_因子設定!$B$13="最小化",-X1772,-ABS(X1772-01_因子設定!$B$16))),-1E+030)</f>
        <v>46.0770330774853</v>
      </c>
      <c r="AF1772" s="55" t="n">
        <f aca="false">AD1772+ROW()*0.000000001</f>
        <v>-1.85543765132607</v>
      </c>
      <c r="AG1772" s="55" t="n">
        <f aca="false">AE1772+ROW()*0.000000001</f>
        <v>46.0770348494853</v>
      </c>
    </row>
    <row r="1773" customFormat="false" ht="15" hidden="false" customHeight="false" outlineLevel="0" collapsed="false">
      <c r="A1773" s="0" t="n">
        <v>2</v>
      </c>
      <c r="B1773" s="0" t="n">
        <v>3</v>
      </c>
      <c r="C1773" s="0" t="n">
        <v>7</v>
      </c>
      <c r="D1773" s="0" t="n">
        <v>4</v>
      </c>
      <c r="E1773" s="0" t="n">
        <f aca="false">-1+A1773*0.25</f>
        <v>-0.5</v>
      </c>
      <c r="F1773" s="0" t="n">
        <f aca="false">-1+B1773*0.25</f>
        <v>-0.25</v>
      </c>
      <c r="G1773" s="0" t="n">
        <f aca="false">-1+C1773*0.25</f>
        <v>0.75</v>
      </c>
      <c r="H1773" s="0" t="n">
        <f aca="false">-1+D1773*0.25</f>
        <v>0</v>
      </c>
      <c r="I1773" s="0" t="n">
        <f aca="false">1</f>
        <v>1</v>
      </c>
      <c r="J1773" s="0" t="n">
        <f aca="false">E1773</f>
        <v>-0.5</v>
      </c>
      <c r="K1773" s="0" t="n">
        <f aca="false">F1773</f>
        <v>-0.25</v>
      </c>
      <c r="L1773" s="0" t="n">
        <f aca="false">G1773</f>
        <v>0.75</v>
      </c>
      <c r="M1773" s="0" t="n">
        <f aca="false">H1773</f>
        <v>0</v>
      </c>
      <c r="N1773" s="0" t="n">
        <f aca="false">E1773*F1773</f>
        <v>0.125</v>
      </c>
      <c r="O1773" s="0" t="n">
        <f aca="false">E1773*G1773</f>
        <v>-0.375</v>
      </c>
      <c r="P1773" s="0" t="n">
        <f aca="false">E1773*H1773</f>
        <v>-0</v>
      </c>
      <c r="Q1773" s="0" t="n">
        <f aca="false">F1773*G1773</f>
        <v>-0.1875</v>
      </c>
      <c r="R1773" s="0" t="n">
        <f aca="false">F1773*H1773</f>
        <v>-0</v>
      </c>
      <c r="S1773" s="0" t="n">
        <f aca="false">G1773*H1773</f>
        <v>0</v>
      </c>
      <c r="T1773" s="0" t="n">
        <f aca="false">E1773*E1773</f>
        <v>0.25</v>
      </c>
      <c r="U1773" s="0" t="n">
        <f aca="false">F1773*F1773</f>
        <v>0.0625</v>
      </c>
      <c r="V1773" s="0" t="n">
        <f aca="false">G1773*G1773</f>
        <v>0.5625</v>
      </c>
      <c r="W1773" s="0" t="n">
        <f aca="false">H1773*H1773</f>
        <v>0</v>
      </c>
      <c r="X1773" s="0" t="n">
        <f aca="false">SUMPRODUCT(I1773:W1773,_XtX!$B$96:$P$96)</f>
        <v>46.2538879751462</v>
      </c>
      <c r="Y1773" s="0" t="n">
        <f aca="false">SUMPRODUCT(MMULT(I1773:W1773,_XtX!$B$78:$P$92),I1773:W1773)</f>
        <v>0.215110734192252</v>
      </c>
      <c r="Z1773" s="0" t="n">
        <f aca="false">04_回帰ANOVA!$K$19*04_回帰ANOVA!$K$14*SQRT(1+Y1773)</f>
        <v>1.43683309086864</v>
      </c>
      <c r="AA1773" s="0" t="n">
        <f aca="false">X1773-Z1773</f>
        <v>44.8170548842775</v>
      </c>
      <c r="AB1773" s="0" t="n">
        <f aca="false">X1773+Z1773</f>
        <v>47.6907210660148</v>
      </c>
      <c r="AC1773" s="54" t="b">
        <f aca="false">AND(E1773&gt;=01_因子設定!$L$5-0.000000001,E1773&lt;=01_因子設定!$M$5+0.000000001,F1773&gt;=01_因子設定!$L$6-0.000000001,F1773&lt;=01_因子設定!$M$6+0.000000001,G1773&gt;=01_因子設定!$L$7-0.000000001,G1773&lt;=01_因子設定!$M$7+0.000000001,H1773&gt;=01_因子設定!$L$8-0.000000001,H1773&lt;=01_因子設定!$M$8+0.000000001,IF(01_因子設定!$B$20="Box-Behnken",E1773^2+F1773^2+G1773^2+H1773^2&lt;=2+0.000000001,TRUE()))</f>
        <v>1</v>
      </c>
      <c r="AD1773" s="55" t="n">
        <f aca="false">IF(AC1773,IF(01_因子設定!$B$13="最大化",AA1773-01_因子設定!$B$14,IF(01_因子設定!$B$13="最小化",01_因子設定!$B$15-AB1773,MIN(AA1773-01_因子設定!$B$14,01_因子設定!$B$15-AB1773))),-1E+030)</f>
        <v>-1.68294511572249</v>
      </c>
      <c r="AE1773" s="55" t="n">
        <f aca="false">IF(AC1773,IF(01_因子設定!$B$13="最大化",X1773,IF(01_因子設定!$B$13="最小化",-X1773,-ABS(X1773-01_因子設定!$B$16))),-1E+030)</f>
        <v>46.2538879751462</v>
      </c>
      <c r="AF1773" s="55" t="n">
        <f aca="false">AD1773+ROW()*0.000000001</f>
        <v>-1.68294334272249</v>
      </c>
      <c r="AG1773" s="55" t="n">
        <f aca="false">AE1773+ROW()*0.000000001</f>
        <v>46.2538897481462</v>
      </c>
    </row>
    <row r="1774" customFormat="false" ht="15" hidden="false" customHeight="false" outlineLevel="0" collapsed="false">
      <c r="A1774" s="0" t="n">
        <v>2</v>
      </c>
      <c r="B1774" s="0" t="n">
        <v>3</v>
      </c>
      <c r="C1774" s="0" t="n">
        <v>7</v>
      </c>
      <c r="D1774" s="0" t="n">
        <v>5</v>
      </c>
      <c r="E1774" s="0" t="n">
        <f aca="false">-1+A1774*0.25</f>
        <v>-0.5</v>
      </c>
      <c r="F1774" s="0" t="n">
        <f aca="false">-1+B1774*0.25</f>
        <v>-0.25</v>
      </c>
      <c r="G1774" s="0" t="n">
        <f aca="false">-1+C1774*0.25</f>
        <v>0.75</v>
      </c>
      <c r="H1774" s="0" t="n">
        <f aca="false">-1+D1774*0.25</f>
        <v>0.25</v>
      </c>
      <c r="I1774" s="0" t="n">
        <f aca="false">1</f>
        <v>1</v>
      </c>
      <c r="J1774" s="0" t="n">
        <f aca="false">E1774</f>
        <v>-0.5</v>
      </c>
      <c r="K1774" s="0" t="n">
        <f aca="false">F1774</f>
        <v>-0.25</v>
      </c>
      <c r="L1774" s="0" t="n">
        <f aca="false">G1774</f>
        <v>0.75</v>
      </c>
      <c r="M1774" s="0" t="n">
        <f aca="false">H1774</f>
        <v>0.25</v>
      </c>
      <c r="N1774" s="0" t="n">
        <f aca="false">E1774*F1774</f>
        <v>0.125</v>
      </c>
      <c r="O1774" s="0" t="n">
        <f aca="false">E1774*G1774</f>
        <v>-0.375</v>
      </c>
      <c r="P1774" s="0" t="n">
        <f aca="false">E1774*H1774</f>
        <v>-0.125</v>
      </c>
      <c r="Q1774" s="0" t="n">
        <f aca="false">F1774*G1774</f>
        <v>-0.1875</v>
      </c>
      <c r="R1774" s="0" t="n">
        <f aca="false">F1774*H1774</f>
        <v>-0.0625</v>
      </c>
      <c r="S1774" s="0" t="n">
        <f aca="false">G1774*H1774</f>
        <v>0.1875</v>
      </c>
      <c r="T1774" s="0" t="n">
        <f aca="false">E1774*E1774</f>
        <v>0.25</v>
      </c>
      <c r="U1774" s="0" t="n">
        <f aca="false">F1774*F1774</f>
        <v>0.0625</v>
      </c>
      <c r="V1774" s="0" t="n">
        <f aca="false">G1774*G1774</f>
        <v>0.5625</v>
      </c>
      <c r="W1774" s="0" t="n">
        <f aca="false">H1774*H1774</f>
        <v>0.0625</v>
      </c>
      <c r="X1774" s="0" t="n">
        <f aca="false">SUMPRODUCT(I1774:W1774,_XtX!$B$96:$P$96)</f>
        <v>46.3829358552631</v>
      </c>
      <c r="Y1774" s="0" t="n">
        <f aca="false">SUMPRODUCT(MMULT(I1774:W1774,_XtX!$B$78:$P$92),I1774:W1774)</f>
        <v>0.207746539199561</v>
      </c>
      <c r="Z1774" s="0" t="n">
        <f aca="false">04_回帰ANOVA!$K$19*04_回帰ANOVA!$K$14*SQRT(1+Y1774)</f>
        <v>1.43247250081141</v>
      </c>
      <c r="AA1774" s="0" t="n">
        <f aca="false">X1774-Z1774</f>
        <v>44.9504633544517</v>
      </c>
      <c r="AB1774" s="0" t="n">
        <f aca="false">X1774+Z1774</f>
        <v>47.8154083560745</v>
      </c>
      <c r="AC1774" s="54" t="b">
        <f aca="false">AND(E1774&gt;=01_因子設定!$L$5-0.000000001,E1774&lt;=01_因子設定!$M$5+0.000000001,F1774&gt;=01_因子設定!$L$6-0.000000001,F1774&lt;=01_因子設定!$M$6+0.000000001,G1774&gt;=01_因子設定!$L$7-0.000000001,G1774&lt;=01_因子設定!$M$7+0.000000001,H1774&gt;=01_因子設定!$L$8-0.000000001,H1774&lt;=01_因子設定!$M$8+0.000000001,IF(01_因子設定!$B$20="Box-Behnken",E1774^2+F1774^2+G1774^2+H1774^2&lt;=2+0.000000001,TRUE()))</f>
        <v>1</v>
      </c>
      <c r="AD1774" s="55" t="n">
        <f aca="false">IF(AC1774,IF(01_因子設定!$B$13="最大化",AA1774-01_因子設定!$B$14,IF(01_因子設定!$B$13="最小化",01_因子設定!$B$15-AB1774,MIN(AA1774-01_因子設定!$B$14,01_因子設定!$B$15-AB1774))),-1E+030)</f>
        <v>-1.54953664554829</v>
      </c>
      <c r="AE1774" s="55" t="n">
        <f aca="false">IF(AC1774,IF(01_因子設定!$B$13="最大化",X1774,IF(01_因子設定!$B$13="最小化",-X1774,-ABS(X1774-01_因子設定!$B$16))),-1E+030)</f>
        <v>46.3829358552631</v>
      </c>
      <c r="AF1774" s="55" t="n">
        <f aca="false">AD1774+ROW()*0.000000001</f>
        <v>-1.54953487154829</v>
      </c>
      <c r="AG1774" s="55" t="n">
        <f aca="false">AE1774+ROW()*0.000000001</f>
        <v>46.3829376292631</v>
      </c>
    </row>
    <row r="1775" customFormat="false" ht="15" hidden="false" customHeight="false" outlineLevel="0" collapsed="false">
      <c r="A1775" s="0" t="n">
        <v>2</v>
      </c>
      <c r="B1775" s="0" t="n">
        <v>3</v>
      </c>
      <c r="C1775" s="0" t="n">
        <v>7</v>
      </c>
      <c r="D1775" s="0" t="n">
        <v>6</v>
      </c>
      <c r="E1775" s="0" t="n">
        <f aca="false">-1+A1775*0.25</f>
        <v>-0.5</v>
      </c>
      <c r="F1775" s="0" t="n">
        <f aca="false">-1+B1775*0.25</f>
        <v>-0.25</v>
      </c>
      <c r="G1775" s="0" t="n">
        <f aca="false">-1+C1775*0.25</f>
        <v>0.75</v>
      </c>
      <c r="H1775" s="0" t="n">
        <f aca="false">-1+D1775*0.25</f>
        <v>0.5</v>
      </c>
      <c r="I1775" s="0" t="n">
        <f aca="false">1</f>
        <v>1</v>
      </c>
      <c r="J1775" s="0" t="n">
        <f aca="false">E1775</f>
        <v>-0.5</v>
      </c>
      <c r="K1775" s="0" t="n">
        <f aca="false">F1775</f>
        <v>-0.25</v>
      </c>
      <c r="L1775" s="0" t="n">
        <f aca="false">G1775</f>
        <v>0.75</v>
      </c>
      <c r="M1775" s="0" t="n">
        <f aca="false">H1775</f>
        <v>0.5</v>
      </c>
      <c r="N1775" s="0" t="n">
        <f aca="false">E1775*F1775</f>
        <v>0.125</v>
      </c>
      <c r="O1775" s="0" t="n">
        <f aca="false">E1775*G1775</f>
        <v>-0.375</v>
      </c>
      <c r="P1775" s="0" t="n">
        <f aca="false">E1775*H1775</f>
        <v>-0.25</v>
      </c>
      <c r="Q1775" s="0" t="n">
        <f aca="false">F1775*G1775</f>
        <v>-0.1875</v>
      </c>
      <c r="R1775" s="0" t="n">
        <f aca="false">F1775*H1775</f>
        <v>-0.125</v>
      </c>
      <c r="S1775" s="0" t="n">
        <f aca="false">G1775*H1775</f>
        <v>0.375</v>
      </c>
      <c r="T1775" s="0" t="n">
        <f aca="false">E1775*E1775</f>
        <v>0.25</v>
      </c>
      <c r="U1775" s="0" t="n">
        <f aca="false">F1775*F1775</f>
        <v>0.0625</v>
      </c>
      <c r="V1775" s="0" t="n">
        <f aca="false">G1775*G1775</f>
        <v>0.5625</v>
      </c>
      <c r="W1775" s="0" t="n">
        <f aca="false">H1775*H1775</f>
        <v>0.25</v>
      </c>
      <c r="X1775" s="0" t="n">
        <f aca="false">SUMPRODUCT(I1775:W1775,_XtX!$B$96:$P$96)</f>
        <v>46.4641767178362</v>
      </c>
      <c r="Y1775" s="0" t="n">
        <f aca="false">SUMPRODUCT(MMULT(I1775:W1775,_XtX!$B$78:$P$92),I1775:W1775)</f>
        <v>0.203746059484649</v>
      </c>
      <c r="Z1775" s="0" t="n">
        <f aca="false">04_回帰ANOVA!$K$19*04_回帰ANOVA!$K$14*SQRT(1+Y1775)</f>
        <v>1.43009810755465</v>
      </c>
      <c r="AA1775" s="0" t="n">
        <f aca="false">X1775-Z1775</f>
        <v>45.0340786102816</v>
      </c>
      <c r="AB1775" s="0" t="n">
        <f aca="false">X1775+Z1775</f>
        <v>47.8942748253909</v>
      </c>
      <c r="AC1775" s="54" t="b">
        <f aca="false">AND(E1775&gt;=01_因子設定!$L$5-0.000000001,E1775&lt;=01_因子設定!$M$5+0.000000001,F1775&gt;=01_因子設定!$L$6-0.000000001,F1775&lt;=01_因子設定!$M$6+0.000000001,G1775&gt;=01_因子設定!$L$7-0.000000001,G1775&lt;=01_因子設定!$M$7+0.000000001,H1775&gt;=01_因子設定!$L$8-0.000000001,H1775&lt;=01_因子設定!$M$8+0.000000001,IF(01_因子設定!$B$20="Box-Behnken",E1775^2+F1775^2+G1775^2+H1775^2&lt;=2+0.000000001,TRUE()))</f>
        <v>1</v>
      </c>
      <c r="AD1775" s="55" t="n">
        <f aca="false">IF(AC1775,IF(01_因子設定!$B$13="最大化",AA1775-01_因子設定!$B$14,IF(01_因子設定!$B$13="最小化",01_因子設定!$B$15-AB1775,MIN(AA1775-01_因子設定!$B$14,01_因子設定!$B$15-AB1775))),-1E+030)</f>
        <v>-1.46592138971842</v>
      </c>
      <c r="AE1775" s="55" t="n">
        <f aca="false">IF(AC1775,IF(01_因子設定!$B$13="最大化",X1775,IF(01_因子設定!$B$13="最小化",-X1775,-ABS(X1775-01_因子設定!$B$16))),-1E+030)</f>
        <v>46.4641767178362</v>
      </c>
      <c r="AF1775" s="55" t="n">
        <f aca="false">AD1775+ROW()*0.000000001</f>
        <v>-1.46591961471842</v>
      </c>
      <c r="AG1775" s="55" t="n">
        <f aca="false">AE1775+ROW()*0.000000001</f>
        <v>46.4641784928362</v>
      </c>
    </row>
    <row r="1776" customFormat="false" ht="15" hidden="false" customHeight="false" outlineLevel="0" collapsed="false">
      <c r="A1776" s="0" t="n">
        <v>2</v>
      </c>
      <c r="B1776" s="0" t="n">
        <v>3</v>
      </c>
      <c r="C1776" s="0" t="n">
        <v>7</v>
      </c>
      <c r="D1776" s="0" t="n">
        <v>7</v>
      </c>
      <c r="E1776" s="0" t="n">
        <f aca="false">-1+A1776*0.25</f>
        <v>-0.5</v>
      </c>
      <c r="F1776" s="0" t="n">
        <f aca="false">-1+B1776*0.25</f>
        <v>-0.25</v>
      </c>
      <c r="G1776" s="0" t="n">
        <f aca="false">-1+C1776*0.25</f>
        <v>0.75</v>
      </c>
      <c r="H1776" s="0" t="n">
        <f aca="false">-1+D1776*0.25</f>
        <v>0.75</v>
      </c>
      <c r="I1776" s="0" t="n">
        <f aca="false">1</f>
        <v>1</v>
      </c>
      <c r="J1776" s="0" t="n">
        <f aca="false">E1776</f>
        <v>-0.5</v>
      </c>
      <c r="K1776" s="0" t="n">
        <f aca="false">F1776</f>
        <v>-0.25</v>
      </c>
      <c r="L1776" s="0" t="n">
        <f aca="false">G1776</f>
        <v>0.75</v>
      </c>
      <c r="M1776" s="0" t="n">
        <f aca="false">H1776</f>
        <v>0.75</v>
      </c>
      <c r="N1776" s="0" t="n">
        <f aca="false">E1776*F1776</f>
        <v>0.125</v>
      </c>
      <c r="O1776" s="0" t="n">
        <f aca="false">E1776*G1776</f>
        <v>-0.375</v>
      </c>
      <c r="P1776" s="0" t="n">
        <f aca="false">E1776*H1776</f>
        <v>-0.375</v>
      </c>
      <c r="Q1776" s="0" t="n">
        <f aca="false">F1776*G1776</f>
        <v>-0.1875</v>
      </c>
      <c r="R1776" s="0" t="n">
        <f aca="false">F1776*H1776</f>
        <v>-0.1875</v>
      </c>
      <c r="S1776" s="0" t="n">
        <f aca="false">G1776*H1776</f>
        <v>0.5625</v>
      </c>
      <c r="T1776" s="0" t="n">
        <f aca="false">E1776*E1776</f>
        <v>0.25</v>
      </c>
      <c r="U1776" s="0" t="n">
        <f aca="false">F1776*F1776</f>
        <v>0.0625</v>
      </c>
      <c r="V1776" s="0" t="n">
        <f aca="false">G1776*G1776</f>
        <v>0.5625</v>
      </c>
      <c r="W1776" s="0" t="n">
        <f aca="false">H1776*H1776</f>
        <v>0.5625</v>
      </c>
      <c r="X1776" s="0" t="n">
        <f aca="false">SUMPRODUCT(I1776:W1776,_XtX!$B$96:$P$96)</f>
        <v>46.4976105628655</v>
      </c>
      <c r="Y1776" s="0" t="n">
        <f aca="false">SUMPRODUCT(MMULT(I1776:W1776,_XtX!$B$78:$P$92),I1776:W1776)</f>
        <v>0.257385610836988</v>
      </c>
      <c r="Z1776" s="0" t="n">
        <f aca="false">04_回帰ANOVA!$K$19*04_回帰ANOVA!$K$14*SQRT(1+Y1776)</f>
        <v>1.46161380324158</v>
      </c>
      <c r="AA1776" s="0" t="n">
        <f aca="false">X1776-Z1776</f>
        <v>45.0359967596239</v>
      </c>
      <c r="AB1776" s="0" t="n">
        <f aca="false">X1776+Z1776</f>
        <v>47.9592243661071</v>
      </c>
      <c r="AC1776" s="54" t="b">
        <f aca="false">AND(E1776&gt;=01_因子設定!$L$5-0.000000001,E1776&lt;=01_因子設定!$M$5+0.000000001,F1776&gt;=01_因子設定!$L$6-0.000000001,F1776&lt;=01_因子設定!$M$6+0.000000001,G1776&gt;=01_因子設定!$L$7-0.000000001,G1776&lt;=01_因子設定!$M$7+0.000000001,H1776&gt;=01_因子設定!$L$8-0.000000001,H1776&lt;=01_因子設定!$M$8+0.000000001,IF(01_因子設定!$B$20="Box-Behnken",E1776^2+F1776^2+G1776^2+H1776^2&lt;=2+0.000000001,TRUE()))</f>
        <v>1</v>
      </c>
      <c r="AD1776" s="55" t="n">
        <f aca="false">IF(AC1776,IF(01_因子設定!$B$13="最大化",AA1776-01_因子設定!$B$14,IF(01_因子設定!$B$13="最小化",01_因子設定!$B$15-AB1776,MIN(AA1776-01_因子設定!$B$14,01_因子設定!$B$15-AB1776))),-1E+030)</f>
        <v>-1.46400324037611</v>
      </c>
      <c r="AE1776" s="55" t="n">
        <f aca="false">IF(AC1776,IF(01_因子設定!$B$13="最大化",X1776,IF(01_因子設定!$B$13="最小化",-X1776,-ABS(X1776-01_因子設定!$B$16))),-1E+030)</f>
        <v>46.4976105628655</v>
      </c>
      <c r="AF1776" s="55" t="n">
        <f aca="false">AD1776+ROW()*0.000000001</f>
        <v>-1.46400146437611</v>
      </c>
      <c r="AG1776" s="55" t="n">
        <f aca="false">AE1776+ROW()*0.000000001</f>
        <v>46.4976123388655</v>
      </c>
    </row>
    <row r="1777" customFormat="false" ht="15" hidden="false" customHeight="false" outlineLevel="0" collapsed="false">
      <c r="A1777" s="0" t="n">
        <v>2</v>
      </c>
      <c r="B1777" s="0" t="n">
        <v>3</v>
      </c>
      <c r="C1777" s="0" t="n">
        <v>7</v>
      </c>
      <c r="D1777" s="0" t="n">
        <v>8</v>
      </c>
      <c r="E1777" s="0" t="n">
        <f aca="false">-1+A1777*0.25</f>
        <v>-0.5</v>
      </c>
      <c r="F1777" s="0" t="n">
        <f aca="false">-1+B1777*0.25</f>
        <v>-0.25</v>
      </c>
      <c r="G1777" s="0" t="n">
        <f aca="false">-1+C1777*0.25</f>
        <v>0.75</v>
      </c>
      <c r="H1777" s="0" t="n">
        <f aca="false">-1+D1777*0.25</f>
        <v>1</v>
      </c>
      <c r="I1777" s="0" t="n">
        <f aca="false">1</f>
        <v>1</v>
      </c>
      <c r="J1777" s="0" t="n">
        <f aca="false">E1777</f>
        <v>-0.5</v>
      </c>
      <c r="K1777" s="0" t="n">
        <f aca="false">F1777</f>
        <v>-0.25</v>
      </c>
      <c r="L1777" s="0" t="n">
        <f aca="false">G1777</f>
        <v>0.75</v>
      </c>
      <c r="M1777" s="0" t="n">
        <f aca="false">H1777</f>
        <v>1</v>
      </c>
      <c r="N1777" s="0" t="n">
        <f aca="false">E1777*F1777</f>
        <v>0.125</v>
      </c>
      <c r="O1777" s="0" t="n">
        <f aca="false">E1777*G1777</f>
        <v>-0.375</v>
      </c>
      <c r="P1777" s="0" t="n">
        <f aca="false">E1777*H1777</f>
        <v>-0.5</v>
      </c>
      <c r="Q1777" s="0" t="n">
        <f aca="false">F1777*G1777</f>
        <v>-0.1875</v>
      </c>
      <c r="R1777" s="0" t="n">
        <f aca="false">F1777*H1777</f>
        <v>-0.25</v>
      </c>
      <c r="S1777" s="0" t="n">
        <f aca="false">G1777*H1777</f>
        <v>0.75</v>
      </c>
      <c r="T1777" s="0" t="n">
        <f aca="false">E1777*E1777</f>
        <v>0.25</v>
      </c>
      <c r="U1777" s="0" t="n">
        <f aca="false">F1777*F1777</f>
        <v>0.0625</v>
      </c>
      <c r="V1777" s="0" t="n">
        <f aca="false">G1777*G1777</f>
        <v>0.5625</v>
      </c>
      <c r="W1777" s="0" t="n">
        <f aca="false">H1777*H1777</f>
        <v>1</v>
      </c>
      <c r="X1777" s="0" t="n">
        <f aca="false">SUMPRODUCT(I1777:W1777,_XtX!$B$96:$P$96)</f>
        <v>46.4832373903509</v>
      </c>
      <c r="Y1777" s="0" t="n">
        <f aca="false">SUMPRODUCT(MMULT(I1777:W1777,_XtX!$B$78:$P$92),I1777:W1777)</f>
        <v>0.459125719572369</v>
      </c>
      <c r="Z1777" s="0" t="n">
        <f aca="false">04_回帰ANOVA!$K$19*04_回帰ANOVA!$K$14*SQRT(1+Y1777)</f>
        <v>1.57450755575573</v>
      </c>
      <c r="AA1777" s="0" t="n">
        <f aca="false">X1777-Z1777</f>
        <v>44.9087298345951</v>
      </c>
      <c r="AB1777" s="0" t="n">
        <f aca="false">X1777+Z1777</f>
        <v>48.0577449461066</v>
      </c>
      <c r="AC1777" s="54" t="b">
        <f aca="false">AND(E1777&gt;=01_因子設定!$L$5-0.000000001,E1777&lt;=01_因子設定!$M$5+0.000000001,F1777&gt;=01_因子設定!$L$6-0.000000001,F1777&lt;=01_因子設定!$M$6+0.000000001,G1777&gt;=01_因子設定!$L$7-0.000000001,G1777&lt;=01_因子設定!$M$7+0.000000001,H1777&gt;=01_因子設定!$L$8-0.000000001,H1777&lt;=01_因子設定!$M$8+0.000000001,IF(01_因子設定!$B$20="Box-Behnken",E1777^2+F1777^2+G1777^2+H1777^2&lt;=2+0.000000001,TRUE()))</f>
        <v>1</v>
      </c>
      <c r="AD1777" s="55" t="n">
        <f aca="false">IF(AC1777,IF(01_因子設定!$B$13="最大化",AA1777-01_因子設定!$B$14,IF(01_因子設定!$B$13="最小化",01_因子設定!$B$15-AB1777,MIN(AA1777-01_因子設定!$B$14,01_因子設定!$B$15-AB1777))),-1E+030)</f>
        <v>-1.59127016540486</v>
      </c>
      <c r="AE1777" s="55" t="n">
        <f aca="false">IF(AC1777,IF(01_因子設定!$B$13="最大化",X1777,IF(01_因子設定!$B$13="最小化",-X1777,-ABS(X1777-01_因子設定!$B$16))),-1E+030)</f>
        <v>46.4832373903509</v>
      </c>
      <c r="AF1777" s="55" t="n">
        <f aca="false">AD1777+ROW()*0.000000001</f>
        <v>-1.59126838840486</v>
      </c>
      <c r="AG1777" s="55" t="n">
        <f aca="false">AE1777+ROW()*0.000000001</f>
        <v>46.4832391673509</v>
      </c>
    </row>
    <row r="1778" customFormat="false" ht="15" hidden="false" customHeight="false" outlineLevel="0" collapsed="false">
      <c r="A1778" s="0" t="n">
        <v>2</v>
      </c>
      <c r="B1778" s="0" t="n">
        <v>3</v>
      </c>
      <c r="C1778" s="0" t="n">
        <v>8</v>
      </c>
      <c r="D1778" s="0" t="n">
        <v>0</v>
      </c>
      <c r="E1778" s="0" t="n">
        <f aca="false">-1+A1778*0.25</f>
        <v>-0.5</v>
      </c>
      <c r="F1778" s="0" t="n">
        <f aca="false">-1+B1778*0.25</f>
        <v>-0.25</v>
      </c>
      <c r="G1778" s="0" t="n">
        <f aca="false">-1+C1778*0.25</f>
        <v>1</v>
      </c>
      <c r="H1778" s="0" t="n">
        <f aca="false">-1+D1778*0.25</f>
        <v>-1</v>
      </c>
      <c r="I1778" s="0" t="n">
        <f aca="false">1</f>
        <v>1</v>
      </c>
      <c r="J1778" s="0" t="n">
        <f aca="false">E1778</f>
        <v>-0.5</v>
      </c>
      <c r="K1778" s="0" t="n">
        <f aca="false">F1778</f>
        <v>-0.25</v>
      </c>
      <c r="L1778" s="0" t="n">
        <f aca="false">G1778</f>
        <v>1</v>
      </c>
      <c r="M1778" s="0" t="n">
        <f aca="false">H1778</f>
        <v>-1</v>
      </c>
      <c r="N1778" s="0" t="n">
        <f aca="false">E1778*F1778</f>
        <v>0.125</v>
      </c>
      <c r="O1778" s="0" t="n">
        <f aca="false">E1778*G1778</f>
        <v>-0.5</v>
      </c>
      <c r="P1778" s="0" t="n">
        <f aca="false">E1778*H1778</f>
        <v>0.5</v>
      </c>
      <c r="Q1778" s="0" t="n">
        <f aca="false">F1778*G1778</f>
        <v>-0.25</v>
      </c>
      <c r="R1778" s="0" t="n">
        <f aca="false">F1778*H1778</f>
        <v>0.25</v>
      </c>
      <c r="S1778" s="0" t="n">
        <f aca="false">G1778*H1778</f>
        <v>-1</v>
      </c>
      <c r="T1778" s="0" t="n">
        <f aca="false">E1778*E1778</f>
        <v>0.25</v>
      </c>
      <c r="U1778" s="0" t="n">
        <f aca="false">F1778*F1778</f>
        <v>0.0625</v>
      </c>
      <c r="V1778" s="0" t="n">
        <f aca="false">G1778*G1778</f>
        <v>1</v>
      </c>
      <c r="W1778" s="0" t="n">
        <f aca="false">H1778*H1778</f>
        <v>1</v>
      </c>
      <c r="X1778" s="0" t="n">
        <f aca="false">SUMPRODUCT(I1778:W1778,_XtX!$B$96:$P$96)</f>
        <v>45.1967288011696</v>
      </c>
      <c r="Y1778" s="0" t="n">
        <f aca="false">SUMPRODUCT(MMULT(I1778:W1778,_XtX!$B$78:$P$92),I1778:W1778)</f>
        <v>0.629174661915205</v>
      </c>
      <c r="Z1778" s="0" t="n">
        <f aca="false">04_回帰ANOVA!$K$19*04_回帰ANOVA!$K$14*SQRT(1+Y1778)</f>
        <v>1.66372758058297</v>
      </c>
      <c r="AA1778" s="0" t="n">
        <f aca="false">X1778-Z1778</f>
        <v>43.5330012205866</v>
      </c>
      <c r="AB1778" s="0" t="n">
        <f aca="false">X1778+Z1778</f>
        <v>46.8604563817526</v>
      </c>
      <c r="AC1778" s="54" t="b">
        <f aca="false">AND(E1778&gt;=01_因子設定!$L$5-0.000000001,E1778&lt;=01_因子設定!$M$5+0.000000001,F1778&gt;=01_因子設定!$L$6-0.000000001,F1778&lt;=01_因子設定!$M$6+0.000000001,G1778&gt;=01_因子設定!$L$7-0.000000001,G1778&lt;=01_因子設定!$M$7+0.000000001,H1778&gt;=01_因子設定!$L$8-0.000000001,H1778&lt;=01_因子設定!$M$8+0.000000001,IF(01_因子設定!$B$20="Box-Behnken",E1778^2+F1778^2+G1778^2+H1778^2&lt;=2+0.000000001,TRUE()))</f>
        <v>1</v>
      </c>
      <c r="AD1778" s="55" t="n">
        <f aca="false">IF(AC1778,IF(01_因子設定!$B$13="最大化",AA1778-01_因子設定!$B$14,IF(01_因子設定!$B$13="最小化",01_因子設定!$B$15-AB1778,MIN(AA1778-01_因子設定!$B$14,01_因子設定!$B$15-AB1778))),-1E+030)</f>
        <v>-2.96699877941338</v>
      </c>
      <c r="AE1778" s="55" t="n">
        <f aca="false">IF(AC1778,IF(01_因子設定!$B$13="最大化",X1778,IF(01_因子設定!$B$13="最小化",-X1778,-ABS(X1778-01_因子設定!$B$16))),-1E+030)</f>
        <v>45.1967288011696</v>
      </c>
      <c r="AF1778" s="55" t="n">
        <f aca="false">AD1778+ROW()*0.000000001</f>
        <v>-2.96699700141338</v>
      </c>
      <c r="AG1778" s="55" t="n">
        <f aca="false">AE1778+ROW()*0.000000001</f>
        <v>45.1967305791696</v>
      </c>
    </row>
    <row r="1779" customFormat="false" ht="15" hidden="false" customHeight="false" outlineLevel="0" collapsed="false">
      <c r="A1779" s="0" t="n">
        <v>2</v>
      </c>
      <c r="B1779" s="0" t="n">
        <v>3</v>
      </c>
      <c r="C1779" s="0" t="n">
        <v>8</v>
      </c>
      <c r="D1779" s="0" t="n">
        <v>1</v>
      </c>
      <c r="E1779" s="0" t="n">
        <f aca="false">-1+A1779*0.25</f>
        <v>-0.5</v>
      </c>
      <c r="F1779" s="0" t="n">
        <f aca="false">-1+B1779*0.25</f>
        <v>-0.25</v>
      </c>
      <c r="G1779" s="0" t="n">
        <f aca="false">-1+C1779*0.25</f>
        <v>1</v>
      </c>
      <c r="H1779" s="0" t="n">
        <f aca="false">-1+D1779*0.25</f>
        <v>-0.75</v>
      </c>
      <c r="I1779" s="0" t="n">
        <f aca="false">1</f>
        <v>1</v>
      </c>
      <c r="J1779" s="0" t="n">
        <f aca="false">E1779</f>
        <v>-0.5</v>
      </c>
      <c r="K1779" s="0" t="n">
        <f aca="false">F1779</f>
        <v>-0.25</v>
      </c>
      <c r="L1779" s="0" t="n">
        <f aca="false">G1779</f>
        <v>1</v>
      </c>
      <c r="M1779" s="0" t="n">
        <f aca="false">H1779</f>
        <v>-0.75</v>
      </c>
      <c r="N1779" s="0" t="n">
        <f aca="false">E1779*F1779</f>
        <v>0.125</v>
      </c>
      <c r="O1779" s="0" t="n">
        <f aca="false">E1779*G1779</f>
        <v>-0.5</v>
      </c>
      <c r="P1779" s="0" t="n">
        <f aca="false">E1779*H1779</f>
        <v>0.375</v>
      </c>
      <c r="Q1779" s="0" t="n">
        <f aca="false">F1779*G1779</f>
        <v>-0.25</v>
      </c>
      <c r="R1779" s="0" t="n">
        <f aca="false">F1779*H1779</f>
        <v>0.1875</v>
      </c>
      <c r="S1779" s="0" t="n">
        <f aca="false">G1779*H1779</f>
        <v>-0.75</v>
      </c>
      <c r="T1779" s="0" t="n">
        <f aca="false">E1779*E1779</f>
        <v>0.25</v>
      </c>
      <c r="U1779" s="0" t="n">
        <f aca="false">F1779*F1779</f>
        <v>0.0625</v>
      </c>
      <c r="V1779" s="0" t="n">
        <f aca="false">G1779*G1779</f>
        <v>1</v>
      </c>
      <c r="W1779" s="0" t="n">
        <f aca="false">H1779*H1779</f>
        <v>0.5625</v>
      </c>
      <c r="X1779" s="0" t="n">
        <f aca="false">SUMPRODUCT(I1779:W1779,_XtX!$B$96:$P$96)</f>
        <v>45.534973501462</v>
      </c>
      <c r="Y1779" s="0" t="n">
        <f aca="false">SUMPRODUCT(MMULT(I1779:W1779,_XtX!$B$78:$P$92),I1779:W1779)</f>
        <v>0.459125719572369</v>
      </c>
      <c r="Z1779" s="0" t="n">
        <f aca="false">04_回帰ANOVA!$K$19*04_回帰ANOVA!$K$14*SQRT(1+Y1779)</f>
        <v>1.57450755575573</v>
      </c>
      <c r="AA1779" s="0" t="n">
        <f aca="false">X1779-Z1779</f>
        <v>43.9604659457062</v>
      </c>
      <c r="AB1779" s="0" t="n">
        <f aca="false">X1779+Z1779</f>
        <v>47.1094810572177</v>
      </c>
      <c r="AC1779" s="54" t="b">
        <f aca="false">AND(E1779&gt;=01_因子設定!$L$5-0.000000001,E1779&lt;=01_因子設定!$M$5+0.000000001,F1779&gt;=01_因子設定!$L$6-0.000000001,F1779&lt;=01_因子設定!$M$6+0.000000001,G1779&gt;=01_因子設定!$L$7-0.000000001,G1779&lt;=01_因子設定!$M$7+0.000000001,H1779&gt;=01_因子設定!$L$8-0.000000001,H1779&lt;=01_因子設定!$M$8+0.000000001,IF(01_因子設定!$B$20="Box-Behnken",E1779^2+F1779^2+G1779^2+H1779^2&lt;=2+0.000000001,TRUE()))</f>
        <v>1</v>
      </c>
      <c r="AD1779" s="55" t="n">
        <f aca="false">IF(AC1779,IF(01_因子設定!$B$13="最大化",AA1779-01_因子設定!$B$14,IF(01_因子設定!$B$13="最小化",01_因子設定!$B$15-AB1779,MIN(AA1779-01_因子設定!$B$14,01_因子設定!$B$15-AB1779))),-1E+030)</f>
        <v>-2.53953405429376</v>
      </c>
      <c r="AE1779" s="55" t="n">
        <f aca="false">IF(AC1779,IF(01_因子設定!$B$13="最大化",X1779,IF(01_因子設定!$B$13="最小化",-X1779,-ABS(X1779-01_因子設定!$B$16))),-1E+030)</f>
        <v>45.534973501462</v>
      </c>
      <c r="AF1779" s="55" t="n">
        <f aca="false">AD1779+ROW()*0.000000001</f>
        <v>-2.53953227529376</v>
      </c>
      <c r="AG1779" s="55" t="n">
        <f aca="false">AE1779+ROW()*0.000000001</f>
        <v>45.534975280462</v>
      </c>
    </row>
    <row r="1780" customFormat="false" ht="15" hidden="false" customHeight="false" outlineLevel="0" collapsed="false">
      <c r="A1780" s="0" t="n">
        <v>2</v>
      </c>
      <c r="B1780" s="0" t="n">
        <v>3</v>
      </c>
      <c r="C1780" s="0" t="n">
        <v>8</v>
      </c>
      <c r="D1780" s="0" t="n">
        <v>2</v>
      </c>
      <c r="E1780" s="0" t="n">
        <f aca="false">-1+A1780*0.25</f>
        <v>-0.5</v>
      </c>
      <c r="F1780" s="0" t="n">
        <f aca="false">-1+B1780*0.25</f>
        <v>-0.25</v>
      </c>
      <c r="G1780" s="0" t="n">
        <f aca="false">-1+C1780*0.25</f>
        <v>1</v>
      </c>
      <c r="H1780" s="0" t="n">
        <f aca="false">-1+D1780*0.25</f>
        <v>-0.5</v>
      </c>
      <c r="I1780" s="0" t="n">
        <f aca="false">1</f>
        <v>1</v>
      </c>
      <c r="J1780" s="0" t="n">
        <f aca="false">E1780</f>
        <v>-0.5</v>
      </c>
      <c r="K1780" s="0" t="n">
        <f aca="false">F1780</f>
        <v>-0.25</v>
      </c>
      <c r="L1780" s="0" t="n">
        <f aca="false">G1780</f>
        <v>1</v>
      </c>
      <c r="M1780" s="0" t="n">
        <f aca="false">H1780</f>
        <v>-0.5</v>
      </c>
      <c r="N1780" s="0" t="n">
        <f aca="false">E1780*F1780</f>
        <v>0.125</v>
      </c>
      <c r="O1780" s="0" t="n">
        <f aca="false">E1780*G1780</f>
        <v>-0.5</v>
      </c>
      <c r="P1780" s="0" t="n">
        <f aca="false">E1780*H1780</f>
        <v>0.25</v>
      </c>
      <c r="Q1780" s="0" t="n">
        <f aca="false">F1780*G1780</f>
        <v>-0.25</v>
      </c>
      <c r="R1780" s="0" t="n">
        <f aca="false">F1780*H1780</f>
        <v>0.125</v>
      </c>
      <c r="S1780" s="0" t="n">
        <f aca="false">G1780*H1780</f>
        <v>-0.5</v>
      </c>
      <c r="T1780" s="0" t="n">
        <f aca="false">E1780*E1780</f>
        <v>0.25</v>
      </c>
      <c r="U1780" s="0" t="n">
        <f aca="false">F1780*F1780</f>
        <v>0.0625</v>
      </c>
      <c r="V1780" s="0" t="n">
        <f aca="false">G1780*G1780</f>
        <v>1</v>
      </c>
      <c r="W1780" s="0" t="n">
        <f aca="false">H1780*H1780</f>
        <v>0.25</v>
      </c>
      <c r="X1780" s="0" t="n">
        <f aca="false">SUMPRODUCT(I1780:W1780,_XtX!$B$96:$P$96)</f>
        <v>45.8254111842105</v>
      </c>
      <c r="Y1780" s="0" t="n">
        <f aca="false">SUMPRODUCT(MMULT(I1780:W1780,_XtX!$B$78:$P$92),I1780:W1780)</f>
        <v>0.428122715643275</v>
      </c>
      <c r="Z1780" s="0" t="n">
        <f aca="false">04_回帰ANOVA!$K$19*04_回帰ANOVA!$K$14*SQRT(1+Y1780)</f>
        <v>1.55769044623229</v>
      </c>
      <c r="AA1780" s="0" t="n">
        <f aca="false">X1780-Z1780</f>
        <v>44.2677207379782</v>
      </c>
      <c r="AB1780" s="0" t="n">
        <f aca="false">X1780+Z1780</f>
        <v>47.3831016304428</v>
      </c>
      <c r="AC1780" s="54" t="b">
        <f aca="false">AND(E1780&gt;=01_因子設定!$L$5-0.000000001,E1780&lt;=01_因子設定!$M$5+0.000000001,F1780&gt;=01_因子設定!$L$6-0.000000001,F1780&lt;=01_因子設定!$M$6+0.000000001,G1780&gt;=01_因子設定!$L$7-0.000000001,G1780&lt;=01_因子設定!$M$7+0.000000001,H1780&gt;=01_因子設定!$L$8-0.000000001,H1780&lt;=01_因子設定!$M$8+0.000000001,IF(01_因子設定!$B$20="Box-Behnken",E1780^2+F1780^2+G1780^2+H1780^2&lt;=2+0.000000001,TRUE()))</f>
        <v>1</v>
      </c>
      <c r="AD1780" s="55" t="n">
        <f aca="false">IF(AC1780,IF(01_因子設定!$B$13="最大化",AA1780-01_因子設定!$B$14,IF(01_因子設定!$B$13="最小化",01_因子設定!$B$15-AB1780,MIN(AA1780-01_因子設定!$B$14,01_因子設定!$B$15-AB1780))),-1E+030)</f>
        <v>-2.2322792620218</v>
      </c>
      <c r="AE1780" s="55" t="n">
        <f aca="false">IF(AC1780,IF(01_因子設定!$B$13="最大化",X1780,IF(01_因子設定!$B$13="最小化",-X1780,-ABS(X1780-01_因子設定!$B$16))),-1E+030)</f>
        <v>45.8254111842105</v>
      </c>
      <c r="AF1780" s="55" t="n">
        <f aca="false">AD1780+ROW()*0.000000001</f>
        <v>-2.2322774820218</v>
      </c>
      <c r="AG1780" s="55" t="n">
        <f aca="false">AE1780+ROW()*0.000000001</f>
        <v>45.8254129642105</v>
      </c>
    </row>
    <row r="1781" customFormat="false" ht="15" hidden="false" customHeight="false" outlineLevel="0" collapsed="false">
      <c r="A1781" s="0" t="n">
        <v>2</v>
      </c>
      <c r="B1781" s="0" t="n">
        <v>3</v>
      </c>
      <c r="C1781" s="0" t="n">
        <v>8</v>
      </c>
      <c r="D1781" s="0" t="n">
        <v>3</v>
      </c>
      <c r="E1781" s="0" t="n">
        <f aca="false">-1+A1781*0.25</f>
        <v>-0.5</v>
      </c>
      <c r="F1781" s="0" t="n">
        <f aca="false">-1+B1781*0.25</f>
        <v>-0.25</v>
      </c>
      <c r="G1781" s="0" t="n">
        <f aca="false">-1+C1781*0.25</f>
        <v>1</v>
      </c>
      <c r="H1781" s="0" t="n">
        <f aca="false">-1+D1781*0.25</f>
        <v>-0.25</v>
      </c>
      <c r="I1781" s="0" t="n">
        <f aca="false">1</f>
        <v>1</v>
      </c>
      <c r="J1781" s="0" t="n">
        <f aca="false">E1781</f>
        <v>-0.5</v>
      </c>
      <c r="K1781" s="0" t="n">
        <f aca="false">F1781</f>
        <v>-0.25</v>
      </c>
      <c r="L1781" s="0" t="n">
        <f aca="false">G1781</f>
        <v>1</v>
      </c>
      <c r="M1781" s="0" t="n">
        <f aca="false">H1781</f>
        <v>-0.25</v>
      </c>
      <c r="N1781" s="0" t="n">
        <f aca="false">E1781*F1781</f>
        <v>0.125</v>
      </c>
      <c r="O1781" s="0" t="n">
        <f aca="false">E1781*G1781</f>
        <v>-0.5</v>
      </c>
      <c r="P1781" s="0" t="n">
        <f aca="false">E1781*H1781</f>
        <v>0.125</v>
      </c>
      <c r="Q1781" s="0" t="n">
        <f aca="false">F1781*G1781</f>
        <v>-0.25</v>
      </c>
      <c r="R1781" s="0" t="n">
        <f aca="false">F1781*H1781</f>
        <v>0.0625</v>
      </c>
      <c r="S1781" s="0" t="n">
        <f aca="false">G1781*H1781</f>
        <v>-0.25</v>
      </c>
      <c r="T1781" s="0" t="n">
        <f aca="false">E1781*E1781</f>
        <v>0.25</v>
      </c>
      <c r="U1781" s="0" t="n">
        <f aca="false">F1781*F1781</f>
        <v>0.0625</v>
      </c>
      <c r="V1781" s="0" t="n">
        <f aca="false">G1781*G1781</f>
        <v>1</v>
      </c>
      <c r="W1781" s="0" t="n">
        <f aca="false">H1781*H1781</f>
        <v>0.0625</v>
      </c>
      <c r="X1781" s="0" t="n">
        <f aca="false">SUMPRODUCT(I1781:W1781,_XtX!$B$96:$P$96)</f>
        <v>46.0680418494152</v>
      </c>
      <c r="Y1781" s="0" t="n">
        <f aca="false">SUMPRODUCT(MMULT(I1781:W1781,_XtX!$B$78:$P$92),I1781:W1781)</f>
        <v>0.445705123812135</v>
      </c>
      <c r="Z1781" s="0" t="n">
        <f aca="false">04_回帰ANOVA!$K$19*04_回帰ANOVA!$K$14*SQRT(1+Y1781)</f>
        <v>1.56724990734749</v>
      </c>
      <c r="AA1781" s="0" t="n">
        <f aca="false">X1781-Z1781</f>
        <v>44.5007919420677</v>
      </c>
      <c r="AB1781" s="0" t="n">
        <f aca="false">X1781+Z1781</f>
        <v>47.6352917567627</v>
      </c>
      <c r="AC1781" s="54" t="b">
        <f aca="false">AND(E1781&gt;=01_因子設定!$L$5-0.000000001,E1781&lt;=01_因子設定!$M$5+0.000000001,F1781&gt;=01_因子設定!$L$6-0.000000001,F1781&lt;=01_因子設定!$M$6+0.000000001,G1781&gt;=01_因子設定!$L$7-0.000000001,G1781&lt;=01_因子設定!$M$7+0.000000001,H1781&gt;=01_因子設定!$L$8-0.000000001,H1781&lt;=01_因子設定!$M$8+0.000000001,IF(01_因子設定!$B$20="Box-Behnken",E1781^2+F1781^2+G1781^2+H1781^2&lt;=2+0.000000001,TRUE()))</f>
        <v>1</v>
      </c>
      <c r="AD1781" s="55" t="n">
        <f aca="false">IF(AC1781,IF(01_因子設定!$B$13="最大化",AA1781-01_因子設定!$B$14,IF(01_因子設定!$B$13="最小化",01_因子設定!$B$15-AB1781,MIN(AA1781-01_因子設定!$B$14,01_因子設定!$B$15-AB1781))),-1E+030)</f>
        <v>-1.99920805793232</v>
      </c>
      <c r="AE1781" s="55" t="n">
        <f aca="false">IF(AC1781,IF(01_因子設定!$B$13="最大化",X1781,IF(01_因子設定!$B$13="最小化",-X1781,-ABS(X1781-01_因子設定!$B$16))),-1E+030)</f>
        <v>46.0680418494152</v>
      </c>
      <c r="AF1781" s="55" t="n">
        <f aca="false">AD1781+ROW()*0.000000001</f>
        <v>-1.99920627693232</v>
      </c>
      <c r="AG1781" s="55" t="n">
        <f aca="false">AE1781+ROW()*0.000000001</f>
        <v>46.0680436304152</v>
      </c>
    </row>
    <row r="1782" customFormat="false" ht="15" hidden="false" customHeight="false" outlineLevel="0" collapsed="false">
      <c r="A1782" s="0" t="n">
        <v>2</v>
      </c>
      <c r="B1782" s="0" t="n">
        <v>3</v>
      </c>
      <c r="C1782" s="0" t="n">
        <v>8</v>
      </c>
      <c r="D1782" s="0" t="n">
        <v>4</v>
      </c>
      <c r="E1782" s="0" t="n">
        <f aca="false">-1+A1782*0.25</f>
        <v>-0.5</v>
      </c>
      <c r="F1782" s="0" t="n">
        <f aca="false">-1+B1782*0.25</f>
        <v>-0.25</v>
      </c>
      <c r="G1782" s="0" t="n">
        <f aca="false">-1+C1782*0.25</f>
        <v>1</v>
      </c>
      <c r="H1782" s="0" t="n">
        <f aca="false">-1+D1782*0.25</f>
        <v>0</v>
      </c>
      <c r="I1782" s="0" t="n">
        <f aca="false">1</f>
        <v>1</v>
      </c>
      <c r="J1782" s="0" t="n">
        <f aca="false">E1782</f>
        <v>-0.5</v>
      </c>
      <c r="K1782" s="0" t="n">
        <f aca="false">F1782</f>
        <v>-0.25</v>
      </c>
      <c r="L1782" s="0" t="n">
        <f aca="false">G1782</f>
        <v>1</v>
      </c>
      <c r="M1782" s="0" t="n">
        <f aca="false">H1782</f>
        <v>0</v>
      </c>
      <c r="N1782" s="0" t="n">
        <f aca="false">E1782*F1782</f>
        <v>0.125</v>
      </c>
      <c r="O1782" s="0" t="n">
        <f aca="false">E1782*G1782</f>
        <v>-0.5</v>
      </c>
      <c r="P1782" s="0" t="n">
        <f aca="false">E1782*H1782</f>
        <v>-0</v>
      </c>
      <c r="Q1782" s="0" t="n">
        <f aca="false">F1782*G1782</f>
        <v>-0.25</v>
      </c>
      <c r="R1782" s="0" t="n">
        <f aca="false">F1782*H1782</f>
        <v>-0</v>
      </c>
      <c r="S1782" s="0" t="n">
        <f aca="false">G1782*H1782</f>
        <v>0</v>
      </c>
      <c r="T1782" s="0" t="n">
        <f aca="false">E1782*E1782</f>
        <v>0.25</v>
      </c>
      <c r="U1782" s="0" t="n">
        <f aca="false">F1782*F1782</f>
        <v>0.0625</v>
      </c>
      <c r="V1782" s="0" t="n">
        <f aca="false">G1782*G1782</f>
        <v>1</v>
      </c>
      <c r="W1782" s="0" t="n">
        <f aca="false">H1782*H1782</f>
        <v>0</v>
      </c>
      <c r="X1782" s="0" t="n">
        <f aca="false">SUMPRODUCT(I1782:W1782,_XtX!$B$96:$P$96)</f>
        <v>46.262865497076</v>
      </c>
      <c r="Y1782" s="0" t="n">
        <f aca="false">SUMPRODUCT(MMULT(I1782:W1782,_XtX!$B$78:$P$92),I1782:W1782)</f>
        <v>0.457596628289474</v>
      </c>
      <c r="Z1782" s="0" t="n">
        <f aca="false">04_回帰ANOVA!$K$19*04_回帰ANOVA!$K$14*SQRT(1+Y1782)</f>
        <v>1.57368233664366</v>
      </c>
      <c r="AA1782" s="0" t="n">
        <f aca="false">X1782-Z1782</f>
        <v>44.6891831604323</v>
      </c>
      <c r="AB1782" s="0" t="n">
        <f aca="false">X1782+Z1782</f>
        <v>47.8365478337196</v>
      </c>
      <c r="AC1782" s="54" t="b">
        <f aca="false">AND(E1782&gt;=01_因子設定!$L$5-0.000000001,E1782&lt;=01_因子設定!$M$5+0.000000001,F1782&gt;=01_因子設定!$L$6-0.000000001,F1782&lt;=01_因子設定!$M$6+0.000000001,G1782&gt;=01_因子設定!$L$7-0.000000001,G1782&lt;=01_因子設定!$M$7+0.000000001,H1782&gt;=01_因子設定!$L$8-0.000000001,H1782&lt;=01_因子設定!$M$8+0.000000001,IF(01_因子設定!$B$20="Box-Behnken",E1782^2+F1782^2+G1782^2+H1782^2&lt;=2+0.000000001,TRUE()))</f>
        <v>1</v>
      </c>
      <c r="AD1782" s="55" t="n">
        <f aca="false">IF(AC1782,IF(01_因子設定!$B$13="最大化",AA1782-01_因子設定!$B$14,IF(01_因子設定!$B$13="最小化",01_因子設定!$B$15-AB1782,MIN(AA1782-01_因子設定!$B$14,01_因子設定!$B$15-AB1782))),-1E+030)</f>
        <v>-1.81081683956767</v>
      </c>
      <c r="AE1782" s="55" t="n">
        <f aca="false">IF(AC1782,IF(01_因子設定!$B$13="最大化",X1782,IF(01_因子設定!$B$13="最小化",-X1782,-ABS(X1782-01_因子設定!$B$16))),-1E+030)</f>
        <v>46.262865497076</v>
      </c>
      <c r="AF1782" s="55" t="n">
        <f aca="false">AD1782+ROW()*0.000000001</f>
        <v>-1.81081505756767</v>
      </c>
      <c r="AG1782" s="55" t="n">
        <f aca="false">AE1782+ROW()*0.000000001</f>
        <v>46.262867279076</v>
      </c>
    </row>
    <row r="1783" customFormat="false" ht="15" hidden="false" customHeight="false" outlineLevel="0" collapsed="false">
      <c r="A1783" s="0" t="n">
        <v>2</v>
      </c>
      <c r="B1783" s="0" t="n">
        <v>3</v>
      </c>
      <c r="C1783" s="0" t="n">
        <v>8</v>
      </c>
      <c r="D1783" s="0" t="n">
        <v>5</v>
      </c>
      <c r="E1783" s="0" t="n">
        <f aca="false">-1+A1783*0.25</f>
        <v>-0.5</v>
      </c>
      <c r="F1783" s="0" t="n">
        <f aca="false">-1+B1783*0.25</f>
        <v>-0.25</v>
      </c>
      <c r="G1783" s="0" t="n">
        <f aca="false">-1+C1783*0.25</f>
        <v>1</v>
      </c>
      <c r="H1783" s="0" t="n">
        <f aca="false">-1+D1783*0.25</f>
        <v>0.25</v>
      </c>
      <c r="I1783" s="0" t="n">
        <f aca="false">1</f>
        <v>1</v>
      </c>
      <c r="J1783" s="0" t="n">
        <f aca="false">E1783</f>
        <v>-0.5</v>
      </c>
      <c r="K1783" s="0" t="n">
        <f aca="false">F1783</f>
        <v>-0.25</v>
      </c>
      <c r="L1783" s="0" t="n">
        <f aca="false">G1783</f>
        <v>1</v>
      </c>
      <c r="M1783" s="0" t="n">
        <f aca="false">H1783</f>
        <v>0.25</v>
      </c>
      <c r="N1783" s="0" t="n">
        <f aca="false">E1783*F1783</f>
        <v>0.125</v>
      </c>
      <c r="O1783" s="0" t="n">
        <f aca="false">E1783*G1783</f>
        <v>-0.5</v>
      </c>
      <c r="P1783" s="0" t="n">
        <f aca="false">E1783*H1783</f>
        <v>-0.125</v>
      </c>
      <c r="Q1783" s="0" t="n">
        <f aca="false">F1783*G1783</f>
        <v>-0.25</v>
      </c>
      <c r="R1783" s="0" t="n">
        <f aca="false">F1783*H1783</f>
        <v>-0.0625</v>
      </c>
      <c r="S1783" s="0" t="n">
        <f aca="false">G1783*H1783</f>
        <v>0.25</v>
      </c>
      <c r="T1783" s="0" t="n">
        <f aca="false">E1783*E1783</f>
        <v>0.25</v>
      </c>
      <c r="U1783" s="0" t="n">
        <f aca="false">F1783*F1783</f>
        <v>0.0625</v>
      </c>
      <c r="V1783" s="0" t="n">
        <f aca="false">G1783*G1783</f>
        <v>1</v>
      </c>
      <c r="W1783" s="0" t="n">
        <f aca="false">H1783*H1783</f>
        <v>0.0625</v>
      </c>
      <c r="X1783" s="0" t="n">
        <f aca="false">SUMPRODUCT(I1783:W1783,_XtX!$B$96:$P$96)</f>
        <v>46.4098821271929</v>
      </c>
      <c r="Y1783" s="0" t="n">
        <f aca="false">SUMPRODUCT(MMULT(I1783:W1783,_XtX!$B$78:$P$92),I1783:W1783)</f>
        <v>0.445705123812135</v>
      </c>
      <c r="Z1783" s="0" t="n">
        <f aca="false">04_回帰ANOVA!$K$19*04_回帰ANOVA!$K$14*SQRT(1+Y1783)</f>
        <v>1.56724990734749</v>
      </c>
      <c r="AA1783" s="0" t="n">
        <f aca="false">X1783-Z1783</f>
        <v>44.8426322198455</v>
      </c>
      <c r="AB1783" s="0" t="n">
        <f aca="false">X1783+Z1783</f>
        <v>47.9771320345404</v>
      </c>
      <c r="AC1783" s="54" t="b">
        <f aca="false">AND(E1783&gt;=01_因子設定!$L$5-0.000000001,E1783&lt;=01_因子設定!$M$5+0.000000001,F1783&gt;=01_因子設定!$L$6-0.000000001,F1783&lt;=01_因子設定!$M$6+0.000000001,G1783&gt;=01_因子設定!$L$7-0.000000001,G1783&lt;=01_因子設定!$M$7+0.000000001,H1783&gt;=01_因子設定!$L$8-0.000000001,H1783&lt;=01_因子設定!$M$8+0.000000001,IF(01_因子設定!$B$20="Box-Behnken",E1783^2+F1783^2+G1783^2+H1783^2&lt;=2+0.000000001,TRUE()))</f>
        <v>1</v>
      </c>
      <c r="AD1783" s="55" t="n">
        <f aca="false">IF(AC1783,IF(01_因子設定!$B$13="最大化",AA1783-01_因子設定!$B$14,IF(01_因子設定!$B$13="最小化",01_因子設定!$B$15-AB1783,MIN(AA1783-01_因子設定!$B$14,01_因子設定!$B$15-AB1783))),-1E+030)</f>
        <v>-1.65736778015454</v>
      </c>
      <c r="AE1783" s="55" t="n">
        <f aca="false">IF(AC1783,IF(01_因子設定!$B$13="最大化",X1783,IF(01_因子設定!$B$13="最小化",-X1783,-ABS(X1783-01_因子設定!$B$16))),-1E+030)</f>
        <v>46.4098821271929</v>
      </c>
      <c r="AF1783" s="55" t="n">
        <f aca="false">AD1783+ROW()*0.000000001</f>
        <v>-1.65736599715454</v>
      </c>
      <c r="AG1783" s="55" t="n">
        <f aca="false">AE1783+ROW()*0.000000001</f>
        <v>46.4098839101929</v>
      </c>
    </row>
    <row r="1784" customFormat="false" ht="15" hidden="false" customHeight="false" outlineLevel="0" collapsed="false">
      <c r="A1784" s="0" t="n">
        <v>2</v>
      </c>
      <c r="B1784" s="0" t="n">
        <v>3</v>
      </c>
      <c r="C1784" s="0" t="n">
        <v>8</v>
      </c>
      <c r="D1784" s="0" t="n">
        <v>6</v>
      </c>
      <c r="E1784" s="0" t="n">
        <f aca="false">-1+A1784*0.25</f>
        <v>-0.5</v>
      </c>
      <c r="F1784" s="0" t="n">
        <f aca="false">-1+B1784*0.25</f>
        <v>-0.25</v>
      </c>
      <c r="G1784" s="0" t="n">
        <f aca="false">-1+C1784*0.25</f>
        <v>1</v>
      </c>
      <c r="H1784" s="0" t="n">
        <f aca="false">-1+D1784*0.25</f>
        <v>0.5</v>
      </c>
      <c r="I1784" s="0" t="n">
        <f aca="false">1</f>
        <v>1</v>
      </c>
      <c r="J1784" s="0" t="n">
        <f aca="false">E1784</f>
        <v>-0.5</v>
      </c>
      <c r="K1784" s="0" t="n">
        <f aca="false">F1784</f>
        <v>-0.25</v>
      </c>
      <c r="L1784" s="0" t="n">
        <f aca="false">G1784</f>
        <v>1</v>
      </c>
      <c r="M1784" s="0" t="n">
        <f aca="false">H1784</f>
        <v>0.5</v>
      </c>
      <c r="N1784" s="0" t="n">
        <f aca="false">E1784*F1784</f>
        <v>0.125</v>
      </c>
      <c r="O1784" s="0" t="n">
        <f aca="false">E1784*G1784</f>
        <v>-0.5</v>
      </c>
      <c r="P1784" s="0" t="n">
        <f aca="false">E1784*H1784</f>
        <v>-0.25</v>
      </c>
      <c r="Q1784" s="0" t="n">
        <f aca="false">F1784*G1784</f>
        <v>-0.25</v>
      </c>
      <c r="R1784" s="0" t="n">
        <f aca="false">F1784*H1784</f>
        <v>-0.125</v>
      </c>
      <c r="S1784" s="0" t="n">
        <f aca="false">G1784*H1784</f>
        <v>0.5</v>
      </c>
      <c r="T1784" s="0" t="n">
        <f aca="false">E1784*E1784</f>
        <v>0.25</v>
      </c>
      <c r="U1784" s="0" t="n">
        <f aca="false">F1784*F1784</f>
        <v>0.0625</v>
      </c>
      <c r="V1784" s="0" t="n">
        <f aca="false">G1784*G1784</f>
        <v>1</v>
      </c>
      <c r="W1784" s="0" t="n">
        <f aca="false">H1784*H1784</f>
        <v>0.25</v>
      </c>
      <c r="X1784" s="0" t="n">
        <f aca="false">SUMPRODUCT(I1784:W1784,_XtX!$B$96:$P$96)</f>
        <v>46.5090917397661</v>
      </c>
      <c r="Y1784" s="0" t="n">
        <f aca="false">SUMPRODUCT(MMULT(I1784:W1784,_XtX!$B$78:$P$92),I1784:W1784)</f>
        <v>0.428122715643275</v>
      </c>
      <c r="Z1784" s="0" t="n">
        <f aca="false">04_回帰ANOVA!$K$19*04_回帰ANOVA!$K$14*SQRT(1+Y1784)</f>
        <v>1.55769044623229</v>
      </c>
      <c r="AA1784" s="0" t="n">
        <f aca="false">X1784-Z1784</f>
        <v>44.9514012935338</v>
      </c>
      <c r="AB1784" s="0" t="n">
        <f aca="false">X1784+Z1784</f>
        <v>48.0667821859983</v>
      </c>
      <c r="AC1784" s="54" t="b">
        <f aca="false">AND(E1784&gt;=01_因子設定!$L$5-0.000000001,E1784&lt;=01_因子設定!$M$5+0.000000001,F1784&gt;=01_因子設定!$L$6-0.000000001,F1784&lt;=01_因子設定!$M$6+0.000000001,G1784&gt;=01_因子設定!$L$7-0.000000001,G1784&lt;=01_因子設定!$M$7+0.000000001,H1784&gt;=01_因子設定!$L$8-0.000000001,H1784&lt;=01_因子設定!$M$8+0.000000001,IF(01_因子設定!$B$20="Box-Behnken",E1784^2+F1784^2+G1784^2+H1784^2&lt;=2+0.000000001,TRUE()))</f>
        <v>1</v>
      </c>
      <c r="AD1784" s="55" t="n">
        <f aca="false">IF(AC1784,IF(01_因子設定!$B$13="最大化",AA1784-01_因子設定!$B$14,IF(01_因子設定!$B$13="最小化",01_因子設定!$B$15-AB1784,MIN(AA1784-01_因子設定!$B$14,01_因子設定!$B$15-AB1784))),-1E+030)</f>
        <v>-1.54859870646624</v>
      </c>
      <c r="AE1784" s="55" t="n">
        <f aca="false">IF(AC1784,IF(01_因子設定!$B$13="最大化",X1784,IF(01_因子設定!$B$13="最小化",-X1784,-ABS(X1784-01_因子設定!$B$16))),-1E+030)</f>
        <v>46.5090917397661</v>
      </c>
      <c r="AF1784" s="55" t="n">
        <f aca="false">AD1784+ROW()*0.000000001</f>
        <v>-1.54859692246624</v>
      </c>
      <c r="AG1784" s="55" t="n">
        <f aca="false">AE1784+ROW()*0.000000001</f>
        <v>46.5090935237661</v>
      </c>
    </row>
    <row r="1785" customFormat="false" ht="15" hidden="false" customHeight="false" outlineLevel="0" collapsed="false">
      <c r="A1785" s="0" t="n">
        <v>2</v>
      </c>
      <c r="B1785" s="0" t="n">
        <v>3</v>
      </c>
      <c r="C1785" s="0" t="n">
        <v>8</v>
      </c>
      <c r="D1785" s="0" t="n">
        <v>7</v>
      </c>
      <c r="E1785" s="0" t="n">
        <f aca="false">-1+A1785*0.25</f>
        <v>-0.5</v>
      </c>
      <c r="F1785" s="0" t="n">
        <f aca="false">-1+B1785*0.25</f>
        <v>-0.25</v>
      </c>
      <c r="G1785" s="0" t="n">
        <f aca="false">-1+C1785*0.25</f>
        <v>1</v>
      </c>
      <c r="H1785" s="0" t="n">
        <f aca="false">-1+D1785*0.25</f>
        <v>0.75</v>
      </c>
      <c r="I1785" s="0" t="n">
        <f aca="false">1</f>
        <v>1</v>
      </c>
      <c r="J1785" s="0" t="n">
        <f aca="false">E1785</f>
        <v>-0.5</v>
      </c>
      <c r="K1785" s="0" t="n">
        <f aca="false">F1785</f>
        <v>-0.25</v>
      </c>
      <c r="L1785" s="0" t="n">
        <f aca="false">G1785</f>
        <v>1</v>
      </c>
      <c r="M1785" s="0" t="n">
        <f aca="false">H1785</f>
        <v>0.75</v>
      </c>
      <c r="N1785" s="0" t="n">
        <f aca="false">E1785*F1785</f>
        <v>0.125</v>
      </c>
      <c r="O1785" s="0" t="n">
        <f aca="false">E1785*G1785</f>
        <v>-0.5</v>
      </c>
      <c r="P1785" s="0" t="n">
        <f aca="false">E1785*H1785</f>
        <v>-0.375</v>
      </c>
      <c r="Q1785" s="0" t="n">
        <f aca="false">F1785*G1785</f>
        <v>-0.25</v>
      </c>
      <c r="R1785" s="0" t="n">
        <f aca="false">F1785*H1785</f>
        <v>-0.1875</v>
      </c>
      <c r="S1785" s="0" t="n">
        <f aca="false">G1785*H1785</f>
        <v>0.75</v>
      </c>
      <c r="T1785" s="0" t="n">
        <f aca="false">E1785*E1785</f>
        <v>0.25</v>
      </c>
      <c r="U1785" s="0" t="n">
        <f aca="false">F1785*F1785</f>
        <v>0.0625</v>
      </c>
      <c r="V1785" s="0" t="n">
        <f aca="false">G1785*G1785</f>
        <v>1</v>
      </c>
      <c r="W1785" s="0" t="n">
        <f aca="false">H1785*H1785</f>
        <v>0.5625</v>
      </c>
      <c r="X1785" s="0" t="n">
        <f aca="false">SUMPRODUCT(I1785:W1785,_XtX!$B$96:$P$96)</f>
        <v>46.5604943347953</v>
      </c>
      <c r="Y1785" s="0" t="n">
        <f aca="false">SUMPRODUCT(MMULT(I1785:W1785,_XtX!$B$78:$P$92),I1785:W1785)</f>
        <v>0.459125719572369</v>
      </c>
      <c r="Z1785" s="0" t="n">
        <f aca="false">04_回帰ANOVA!$K$19*04_回帰ANOVA!$K$14*SQRT(1+Y1785)</f>
        <v>1.57450755575573</v>
      </c>
      <c r="AA1785" s="0" t="n">
        <f aca="false">X1785-Z1785</f>
        <v>44.9859867790396</v>
      </c>
      <c r="AB1785" s="0" t="n">
        <f aca="false">X1785+Z1785</f>
        <v>48.135001890551</v>
      </c>
      <c r="AC1785" s="54" t="b">
        <f aca="false">AND(E1785&gt;=01_因子設定!$L$5-0.000000001,E1785&lt;=01_因子設定!$M$5+0.000000001,F1785&gt;=01_因子設定!$L$6-0.000000001,F1785&lt;=01_因子設定!$M$6+0.000000001,G1785&gt;=01_因子設定!$L$7-0.000000001,G1785&lt;=01_因子設定!$M$7+0.000000001,H1785&gt;=01_因子設定!$L$8-0.000000001,H1785&lt;=01_因子設定!$M$8+0.000000001,IF(01_因子設定!$B$20="Box-Behnken",E1785^2+F1785^2+G1785^2+H1785^2&lt;=2+0.000000001,TRUE()))</f>
        <v>1</v>
      </c>
      <c r="AD1785" s="55" t="n">
        <f aca="false">IF(AC1785,IF(01_因子設定!$B$13="最大化",AA1785-01_因子設定!$B$14,IF(01_因子設定!$B$13="最小化",01_因子設定!$B$15-AB1785,MIN(AA1785-01_因子設定!$B$14,01_因子設定!$B$15-AB1785))),-1E+030)</f>
        <v>-1.51401322096043</v>
      </c>
      <c r="AE1785" s="55" t="n">
        <f aca="false">IF(AC1785,IF(01_因子設定!$B$13="最大化",X1785,IF(01_因子設定!$B$13="最小化",-X1785,-ABS(X1785-01_因子設定!$B$16))),-1E+030)</f>
        <v>46.5604943347953</v>
      </c>
      <c r="AF1785" s="55" t="n">
        <f aca="false">AD1785+ROW()*0.000000001</f>
        <v>-1.51401143596043</v>
      </c>
      <c r="AG1785" s="55" t="n">
        <f aca="false">AE1785+ROW()*0.000000001</f>
        <v>46.5604961197953</v>
      </c>
    </row>
    <row r="1786" customFormat="false" ht="15" hidden="false" customHeight="false" outlineLevel="0" collapsed="false">
      <c r="A1786" s="0" t="n">
        <v>2</v>
      </c>
      <c r="B1786" s="0" t="n">
        <v>3</v>
      </c>
      <c r="C1786" s="0" t="n">
        <v>8</v>
      </c>
      <c r="D1786" s="0" t="n">
        <v>8</v>
      </c>
      <c r="E1786" s="0" t="n">
        <f aca="false">-1+A1786*0.25</f>
        <v>-0.5</v>
      </c>
      <c r="F1786" s="0" t="n">
        <f aca="false">-1+B1786*0.25</f>
        <v>-0.25</v>
      </c>
      <c r="G1786" s="0" t="n">
        <f aca="false">-1+C1786*0.25</f>
        <v>1</v>
      </c>
      <c r="H1786" s="0" t="n">
        <f aca="false">-1+D1786*0.25</f>
        <v>1</v>
      </c>
      <c r="I1786" s="0" t="n">
        <f aca="false">1</f>
        <v>1</v>
      </c>
      <c r="J1786" s="0" t="n">
        <f aca="false">E1786</f>
        <v>-0.5</v>
      </c>
      <c r="K1786" s="0" t="n">
        <f aca="false">F1786</f>
        <v>-0.25</v>
      </c>
      <c r="L1786" s="0" t="n">
        <f aca="false">G1786</f>
        <v>1</v>
      </c>
      <c r="M1786" s="0" t="n">
        <f aca="false">H1786</f>
        <v>1</v>
      </c>
      <c r="N1786" s="0" t="n">
        <f aca="false">E1786*F1786</f>
        <v>0.125</v>
      </c>
      <c r="O1786" s="0" t="n">
        <f aca="false">E1786*G1786</f>
        <v>-0.5</v>
      </c>
      <c r="P1786" s="0" t="n">
        <f aca="false">E1786*H1786</f>
        <v>-0.5</v>
      </c>
      <c r="Q1786" s="0" t="n">
        <f aca="false">F1786*G1786</f>
        <v>-0.25</v>
      </c>
      <c r="R1786" s="0" t="n">
        <f aca="false">F1786*H1786</f>
        <v>-0.25</v>
      </c>
      <c r="S1786" s="0" t="n">
        <f aca="false">G1786*H1786</f>
        <v>1</v>
      </c>
      <c r="T1786" s="0" t="n">
        <f aca="false">E1786*E1786</f>
        <v>0.25</v>
      </c>
      <c r="U1786" s="0" t="n">
        <f aca="false">F1786*F1786</f>
        <v>0.0625</v>
      </c>
      <c r="V1786" s="0" t="n">
        <f aca="false">G1786*G1786</f>
        <v>1</v>
      </c>
      <c r="W1786" s="0" t="n">
        <f aca="false">H1786*H1786</f>
        <v>1</v>
      </c>
      <c r="X1786" s="0" t="n">
        <f aca="false">SUMPRODUCT(I1786:W1786,_XtX!$B$96:$P$96)</f>
        <v>46.5640899122807</v>
      </c>
      <c r="Y1786" s="0" t="n">
        <f aca="false">SUMPRODUCT(MMULT(I1786:W1786,_XtX!$B$78:$P$92),I1786:W1786)</f>
        <v>0.629174661915205</v>
      </c>
      <c r="Z1786" s="0" t="n">
        <f aca="false">04_回帰ANOVA!$K$19*04_回帰ANOVA!$K$14*SQRT(1+Y1786)</f>
        <v>1.66372758058297</v>
      </c>
      <c r="AA1786" s="0" t="n">
        <f aca="false">X1786-Z1786</f>
        <v>44.9003623316977</v>
      </c>
      <c r="AB1786" s="0" t="n">
        <f aca="false">X1786+Z1786</f>
        <v>48.2278174928637</v>
      </c>
      <c r="AC1786" s="54" t="b">
        <f aca="false">AND(E1786&gt;=01_因子設定!$L$5-0.000000001,E1786&lt;=01_因子設定!$M$5+0.000000001,F1786&gt;=01_因子設定!$L$6-0.000000001,F1786&lt;=01_因子設定!$M$6+0.000000001,G1786&gt;=01_因子設定!$L$7-0.000000001,G1786&lt;=01_因子設定!$M$7+0.000000001,H1786&gt;=01_因子設定!$L$8-0.000000001,H1786&lt;=01_因子設定!$M$8+0.000000001,IF(01_因子設定!$B$20="Box-Behnken",E1786^2+F1786^2+G1786^2+H1786^2&lt;=2+0.000000001,TRUE()))</f>
        <v>1</v>
      </c>
      <c r="AD1786" s="55" t="n">
        <f aca="false">IF(AC1786,IF(01_因子設定!$B$13="最大化",AA1786-01_因子設定!$B$14,IF(01_因子設定!$B$13="最小化",01_因子設定!$B$15-AB1786,MIN(AA1786-01_因子設定!$B$14,01_因子設定!$B$15-AB1786))),-1E+030)</f>
        <v>-1.59963766830227</v>
      </c>
      <c r="AE1786" s="55" t="n">
        <f aca="false">IF(AC1786,IF(01_因子設定!$B$13="最大化",X1786,IF(01_因子設定!$B$13="最小化",-X1786,-ABS(X1786-01_因子設定!$B$16))),-1E+030)</f>
        <v>46.5640899122807</v>
      </c>
      <c r="AF1786" s="55" t="n">
        <f aca="false">AD1786+ROW()*0.000000001</f>
        <v>-1.59963588230227</v>
      </c>
      <c r="AG1786" s="55" t="n">
        <f aca="false">AE1786+ROW()*0.000000001</f>
        <v>46.5640916982807</v>
      </c>
    </row>
    <row r="1787" customFormat="false" ht="15" hidden="false" customHeight="false" outlineLevel="0" collapsed="false">
      <c r="A1787" s="0" t="n">
        <v>2</v>
      </c>
      <c r="B1787" s="0" t="n">
        <v>4</v>
      </c>
      <c r="C1787" s="0" t="n">
        <v>0</v>
      </c>
      <c r="D1787" s="0" t="n">
        <v>0</v>
      </c>
      <c r="E1787" s="0" t="n">
        <f aca="false">-1+A1787*0.25</f>
        <v>-0.5</v>
      </c>
      <c r="F1787" s="0" t="n">
        <f aca="false">-1+B1787*0.25</f>
        <v>0</v>
      </c>
      <c r="G1787" s="0" t="n">
        <f aca="false">-1+C1787*0.25</f>
        <v>-1</v>
      </c>
      <c r="H1787" s="0" t="n">
        <f aca="false">-1+D1787*0.25</f>
        <v>-1</v>
      </c>
      <c r="I1787" s="0" t="n">
        <f aca="false">1</f>
        <v>1</v>
      </c>
      <c r="J1787" s="0" t="n">
        <f aca="false">E1787</f>
        <v>-0.5</v>
      </c>
      <c r="K1787" s="0" t="n">
        <f aca="false">F1787</f>
        <v>0</v>
      </c>
      <c r="L1787" s="0" t="n">
        <f aca="false">G1787</f>
        <v>-1</v>
      </c>
      <c r="M1787" s="0" t="n">
        <f aca="false">H1787</f>
        <v>-1</v>
      </c>
      <c r="N1787" s="0" t="n">
        <f aca="false">E1787*F1787</f>
        <v>-0</v>
      </c>
      <c r="O1787" s="0" t="n">
        <f aca="false">E1787*G1787</f>
        <v>0.5</v>
      </c>
      <c r="P1787" s="0" t="n">
        <f aca="false">E1787*H1787</f>
        <v>0.5</v>
      </c>
      <c r="Q1787" s="0" t="n">
        <f aca="false">F1787*G1787</f>
        <v>-0</v>
      </c>
      <c r="R1787" s="0" t="n">
        <f aca="false">F1787*H1787</f>
        <v>-0</v>
      </c>
      <c r="S1787" s="0" t="n">
        <f aca="false">G1787*H1787</f>
        <v>1</v>
      </c>
      <c r="T1787" s="0" t="n">
        <f aca="false">E1787*E1787</f>
        <v>0.25</v>
      </c>
      <c r="U1787" s="0" t="n">
        <f aca="false">F1787*F1787</f>
        <v>0</v>
      </c>
      <c r="V1787" s="0" t="n">
        <f aca="false">G1787*G1787</f>
        <v>1</v>
      </c>
      <c r="W1787" s="0" t="n">
        <f aca="false">H1787*H1787</f>
        <v>1</v>
      </c>
      <c r="X1787" s="0" t="n">
        <f aca="false">SUMPRODUCT(I1787:W1787,_XtX!$B$96:$P$96)</f>
        <v>43.830701754386</v>
      </c>
      <c r="Y1787" s="0" t="n">
        <f aca="false">SUMPRODUCT(MMULT(I1787:W1787,_XtX!$B$78:$P$92),I1787:W1787)</f>
        <v>0.650767543859649</v>
      </c>
      <c r="Z1787" s="0" t="n">
        <f aca="false">04_回帰ANOVA!$K$19*04_回帰ANOVA!$K$14*SQRT(1+Y1787)</f>
        <v>1.67471670935165</v>
      </c>
      <c r="AA1787" s="0" t="n">
        <f aca="false">X1787-Z1787</f>
        <v>42.1559850450343</v>
      </c>
      <c r="AB1787" s="0" t="n">
        <f aca="false">X1787+Z1787</f>
        <v>45.5054184637376</v>
      </c>
      <c r="AC1787" s="54" t="b">
        <f aca="false">AND(E1787&gt;=01_因子設定!$L$5-0.000000001,E1787&lt;=01_因子設定!$M$5+0.000000001,F1787&gt;=01_因子設定!$L$6-0.000000001,F1787&lt;=01_因子設定!$M$6+0.000000001,G1787&gt;=01_因子設定!$L$7-0.000000001,G1787&lt;=01_因子設定!$M$7+0.000000001,H1787&gt;=01_因子設定!$L$8-0.000000001,H1787&lt;=01_因子設定!$M$8+0.000000001,IF(01_因子設定!$B$20="Box-Behnken",E1787^2+F1787^2+G1787^2+H1787^2&lt;=2+0.000000001,TRUE()))</f>
        <v>1</v>
      </c>
      <c r="AD1787" s="55" t="n">
        <f aca="false">IF(AC1787,IF(01_因子設定!$B$13="最大化",AA1787-01_因子設定!$B$14,IF(01_因子設定!$B$13="最小化",01_因子設定!$B$15-AB1787,MIN(AA1787-01_因子設定!$B$14,01_因子設定!$B$15-AB1787))),-1E+030)</f>
        <v>-4.34401495496569</v>
      </c>
      <c r="AE1787" s="55" t="n">
        <f aca="false">IF(AC1787,IF(01_因子設定!$B$13="最大化",X1787,IF(01_因子設定!$B$13="最小化",-X1787,-ABS(X1787-01_因子設定!$B$16))),-1E+030)</f>
        <v>43.830701754386</v>
      </c>
      <c r="AF1787" s="55" t="n">
        <f aca="false">AD1787+ROW()*0.000000001</f>
        <v>-4.34401316796569</v>
      </c>
      <c r="AG1787" s="55" t="n">
        <f aca="false">AE1787+ROW()*0.000000001</f>
        <v>43.830703541386</v>
      </c>
    </row>
    <row r="1788" customFormat="false" ht="15" hidden="false" customHeight="false" outlineLevel="0" collapsed="false">
      <c r="A1788" s="0" t="n">
        <v>2</v>
      </c>
      <c r="B1788" s="0" t="n">
        <v>4</v>
      </c>
      <c r="C1788" s="0" t="n">
        <v>0</v>
      </c>
      <c r="D1788" s="0" t="n">
        <v>1</v>
      </c>
      <c r="E1788" s="0" t="n">
        <f aca="false">-1+A1788*0.25</f>
        <v>-0.5</v>
      </c>
      <c r="F1788" s="0" t="n">
        <f aca="false">-1+B1788*0.25</f>
        <v>0</v>
      </c>
      <c r="G1788" s="0" t="n">
        <f aca="false">-1+C1788*0.25</f>
        <v>-1</v>
      </c>
      <c r="H1788" s="0" t="n">
        <f aca="false">-1+D1788*0.25</f>
        <v>-0.75</v>
      </c>
      <c r="I1788" s="0" t="n">
        <f aca="false">1</f>
        <v>1</v>
      </c>
      <c r="J1788" s="0" t="n">
        <f aca="false">E1788</f>
        <v>-0.5</v>
      </c>
      <c r="K1788" s="0" t="n">
        <f aca="false">F1788</f>
        <v>0</v>
      </c>
      <c r="L1788" s="0" t="n">
        <f aca="false">G1788</f>
        <v>-1</v>
      </c>
      <c r="M1788" s="0" t="n">
        <f aca="false">H1788</f>
        <v>-0.75</v>
      </c>
      <c r="N1788" s="0" t="n">
        <f aca="false">E1788*F1788</f>
        <v>-0</v>
      </c>
      <c r="O1788" s="0" t="n">
        <f aca="false">E1788*G1788</f>
        <v>0.5</v>
      </c>
      <c r="P1788" s="0" t="n">
        <f aca="false">E1788*H1788</f>
        <v>0.375</v>
      </c>
      <c r="Q1788" s="0" t="n">
        <f aca="false">F1788*G1788</f>
        <v>-0</v>
      </c>
      <c r="R1788" s="0" t="n">
        <f aca="false">F1788*H1788</f>
        <v>-0</v>
      </c>
      <c r="S1788" s="0" t="n">
        <f aca="false">G1788*H1788</f>
        <v>0.75</v>
      </c>
      <c r="T1788" s="0" t="n">
        <f aca="false">E1788*E1788</f>
        <v>0.25</v>
      </c>
      <c r="U1788" s="0" t="n">
        <f aca="false">F1788*F1788</f>
        <v>0</v>
      </c>
      <c r="V1788" s="0" t="n">
        <f aca="false">G1788*G1788</f>
        <v>1</v>
      </c>
      <c r="W1788" s="0" t="n">
        <f aca="false">H1788*H1788</f>
        <v>0.5625</v>
      </c>
      <c r="X1788" s="0" t="n">
        <f aca="false">SUMPRODUCT(I1788:W1788,_XtX!$B$96:$P$96)</f>
        <v>44.0119152046783</v>
      </c>
      <c r="Y1788" s="0" t="n">
        <f aca="false">SUMPRODUCT(MMULT(I1788:W1788,_XtX!$B$78:$P$92),I1788:W1788)</f>
        <v>0.476191292032164</v>
      </c>
      <c r="Z1788" s="0" t="n">
        <f aca="false">04_回帰ANOVA!$K$19*04_回帰ANOVA!$K$14*SQRT(1+Y1788)</f>
        <v>1.58368831471718</v>
      </c>
      <c r="AA1788" s="0" t="n">
        <f aca="false">X1788-Z1788</f>
        <v>42.4282268899612</v>
      </c>
      <c r="AB1788" s="0" t="n">
        <f aca="false">X1788+Z1788</f>
        <v>45.5956035193955</v>
      </c>
      <c r="AC1788" s="54" t="b">
        <f aca="false">AND(E1788&gt;=01_因子設定!$L$5-0.000000001,E1788&lt;=01_因子設定!$M$5+0.000000001,F1788&gt;=01_因子設定!$L$6-0.000000001,F1788&lt;=01_因子設定!$M$6+0.000000001,G1788&gt;=01_因子設定!$L$7-0.000000001,G1788&lt;=01_因子設定!$M$7+0.000000001,H1788&gt;=01_因子設定!$L$8-0.000000001,H1788&lt;=01_因子設定!$M$8+0.000000001,IF(01_因子設定!$B$20="Box-Behnken",E1788^2+F1788^2+G1788^2+H1788^2&lt;=2+0.000000001,TRUE()))</f>
        <v>1</v>
      </c>
      <c r="AD1788" s="55" t="n">
        <f aca="false">IF(AC1788,IF(01_因子設定!$B$13="最大化",AA1788-01_因子設定!$B$14,IF(01_因子設定!$B$13="最小化",01_因子設定!$B$15-AB1788,MIN(AA1788-01_因子設定!$B$14,01_因子設定!$B$15-AB1788))),-1E+030)</f>
        <v>-4.07177311003883</v>
      </c>
      <c r="AE1788" s="55" t="n">
        <f aca="false">IF(AC1788,IF(01_因子設定!$B$13="最大化",X1788,IF(01_因子設定!$B$13="最小化",-X1788,-ABS(X1788-01_因子設定!$B$16))),-1E+030)</f>
        <v>44.0119152046783</v>
      </c>
      <c r="AF1788" s="55" t="n">
        <f aca="false">AD1788+ROW()*0.000000001</f>
        <v>-4.07177132203883</v>
      </c>
      <c r="AG1788" s="55" t="n">
        <f aca="false">AE1788+ROW()*0.000000001</f>
        <v>44.0119169926783</v>
      </c>
    </row>
    <row r="1789" customFormat="false" ht="15" hidden="false" customHeight="false" outlineLevel="0" collapsed="false">
      <c r="A1789" s="0" t="n">
        <v>2</v>
      </c>
      <c r="B1789" s="0" t="n">
        <v>4</v>
      </c>
      <c r="C1789" s="0" t="n">
        <v>0</v>
      </c>
      <c r="D1789" s="0" t="n">
        <v>2</v>
      </c>
      <c r="E1789" s="0" t="n">
        <f aca="false">-1+A1789*0.25</f>
        <v>-0.5</v>
      </c>
      <c r="F1789" s="0" t="n">
        <f aca="false">-1+B1789*0.25</f>
        <v>0</v>
      </c>
      <c r="G1789" s="0" t="n">
        <f aca="false">-1+C1789*0.25</f>
        <v>-1</v>
      </c>
      <c r="H1789" s="0" t="n">
        <f aca="false">-1+D1789*0.25</f>
        <v>-0.5</v>
      </c>
      <c r="I1789" s="0" t="n">
        <f aca="false">1</f>
        <v>1</v>
      </c>
      <c r="J1789" s="0" t="n">
        <f aca="false">E1789</f>
        <v>-0.5</v>
      </c>
      <c r="K1789" s="0" t="n">
        <f aca="false">F1789</f>
        <v>0</v>
      </c>
      <c r="L1789" s="0" t="n">
        <f aca="false">G1789</f>
        <v>-1</v>
      </c>
      <c r="M1789" s="0" t="n">
        <f aca="false">H1789</f>
        <v>-0.5</v>
      </c>
      <c r="N1789" s="0" t="n">
        <f aca="false">E1789*F1789</f>
        <v>-0</v>
      </c>
      <c r="O1789" s="0" t="n">
        <f aca="false">E1789*G1789</f>
        <v>0.5</v>
      </c>
      <c r="P1789" s="0" t="n">
        <f aca="false">E1789*H1789</f>
        <v>0.25</v>
      </c>
      <c r="Q1789" s="0" t="n">
        <f aca="false">F1789*G1789</f>
        <v>-0</v>
      </c>
      <c r="R1789" s="0" t="n">
        <f aca="false">F1789*H1789</f>
        <v>-0</v>
      </c>
      <c r="S1789" s="0" t="n">
        <f aca="false">G1789*H1789</f>
        <v>0.5</v>
      </c>
      <c r="T1789" s="0" t="n">
        <f aca="false">E1789*E1789</f>
        <v>0.25</v>
      </c>
      <c r="U1789" s="0" t="n">
        <f aca="false">F1789*F1789</f>
        <v>0</v>
      </c>
      <c r="V1789" s="0" t="n">
        <f aca="false">G1789*G1789</f>
        <v>1</v>
      </c>
      <c r="W1789" s="0" t="n">
        <f aca="false">H1789*H1789</f>
        <v>0.25</v>
      </c>
      <c r="X1789" s="0" t="n">
        <f aca="false">SUMPRODUCT(I1789:W1789,_XtX!$B$96:$P$96)</f>
        <v>44.1453216374269</v>
      </c>
      <c r="Y1789" s="0" t="n">
        <f aca="false">SUMPRODUCT(MMULT(I1789:W1789,_XtX!$B$78:$P$92),I1789:W1789)</f>
        <v>0.441954495614035</v>
      </c>
      <c r="Z1789" s="0" t="n">
        <f aca="false">04_回帰ANOVA!$K$19*04_回帰ANOVA!$K$14*SQRT(1+Y1789)</f>
        <v>1.56521560968066</v>
      </c>
      <c r="AA1789" s="0" t="n">
        <f aca="false">X1789-Z1789</f>
        <v>42.5801060277462</v>
      </c>
      <c r="AB1789" s="0" t="n">
        <f aca="false">X1789+Z1789</f>
        <v>45.7105372471075</v>
      </c>
      <c r="AC1789" s="54" t="b">
        <f aca="false">AND(E1789&gt;=01_因子設定!$L$5-0.000000001,E1789&lt;=01_因子設定!$M$5+0.000000001,F1789&gt;=01_因子設定!$L$6-0.000000001,F1789&lt;=01_因子設定!$M$6+0.000000001,G1789&gt;=01_因子設定!$L$7-0.000000001,G1789&lt;=01_因子設定!$M$7+0.000000001,H1789&gt;=01_因子設定!$L$8-0.000000001,H1789&lt;=01_因子設定!$M$8+0.000000001,IF(01_因子設定!$B$20="Box-Behnken",E1789^2+F1789^2+G1789^2+H1789^2&lt;=2+0.000000001,TRUE()))</f>
        <v>1</v>
      </c>
      <c r="AD1789" s="55" t="n">
        <f aca="false">IF(AC1789,IF(01_因子設定!$B$13="最大化",AA1789-01_因子設定!$B$14,IF(01_因子設定!$B$13="最小化",01_因子設定!$B$15-AB1789,MIN(AA1789-01_因子設定!$B$14,01_因子設定!$B$15-AB1789))),-1E+030)</f>
        <v>-3.91989397225379</v>
      </c>
      <c r="AE1789" s="55" t="n">
        <f aca="false">IF(AC1789,IF(01_因子設定!$B$13="最大化",X1789,IF(01_因子設定!$B$13="最小化",-X1789,-ABS(X1789-01_因子設定!$B$16))),-1E+030)</f>
        <v>44.1453216374269</v>
      </c>
      <c r="AF1789" s="55" t="n">
        <f aca="false">AD1789+ROW()*0.000000001</f>
        <v>-3.91989218325379</v>
      </c>
      <c r="AG1789" s="55" t="n">
        <f aca="false">AE1789+ROW()*0.000000001</f>
        <v>44.1453234264269</v>
      </c>
    </row>
    <row r="1790" customFormat="false" ht="15" hidden="false" customHeight="false" outlineLevel="0" collapsed="false">
      <c r="A1790" s="0" t="n">
        <v>2</v>
      </c>
      <c r="B1790" s="0" t="n">
        <v>4</v>
      </c>
      <c r="C1790" s="0" t="n">
        <v>0</v>
      </c>
      <c r="D1790" s="0" t="n">
        <v>3</v>
      </c>
      <c r="E1790" s="0" t="n">
        <f aca="false">-1+A1790*0.25</f>
        <v>-0.5</v>
      </c>
      <c r="F1790" s="0" t="n">
        <f aca="false">-1+B1790*0.25</f>
        <v>0</v>
      </c>
      <c r="G1790" s="0" t="n">
        <f aca="false">-1+C1790*0.25</f>
        <v>-1</v>
      </c>
      <c r="H1790" s="0" t="n">
        <f aca="false">-1+D1790*0.25</f>
        <v>-0.25</v>
      </c>
      <c r="I1790" s="0" t="n">
        <f aca="false">1</f>
        <v>1</v>
      </c>
      <c r="J1790" s="0" t="n">
        <f aca="false">E1790</f>
        <v>-0.5</v>
      </c>
      <c r="K1790" s="0" t="n">
        <f aca="false">F1790</f>
        <v>0</v>
      </c>
      <c r="L1790" s="0" t="n">
        <f aca="false">G1790</f>
        <v>-1</v>
      </c>
      <c r="M1790" s="0" t="n">
        <f aca="false">H1790</f>
        <v>-0.25</v>
      </c>
      <c r="N1790" s="0" t="n">
        <f aca="false">E1790*F1790</f>
        <v>-0</v>
      </c>
      <c r="O1790" s="0" t="n">
        <f aca="false">E1790*G1790</f>
        <v>0.5</v>
      </c>
      <c r="P1790" s="0" t="n">
        <f aca="false">E1790*H1790</f>
        <v>0.125</v>
      </c>
      <c r="Q1790" s="0" t="n">
        <f aca="false">F1790*G1790</f>
        <v>-0</v>
      </c>
      <c r="R1790" s="0" t="n">
        <f aca="false">F1790*H1790</f>
        <v>-0</v>
      </c>
      <c r="S1790" s="0" t="n">
        <f aca="false">G1790*H1790</f>
        <v>0.25</v>
      </c>
      <c r="T1790" s="0" t="n">
        <f aca="false">E1790*E1790</f>
        <v>0.25</v>
      </c>
      <c r="U1790" s="0" t="n">
        <f aca="false">F1790*F1790</f>
        <v>0</v>
      </c>
      <c r="V1790" s="0" t="n">
        <f aca="false">G1790*G1790</f>
        <v>1</v>
      </c>
      <c r="W1790" s="0" t="n">
        <f aca="false">H1790*H1790</f>
        <v>0.0625</v>
      </c>
      <c r="X1790" s="0" t="n">
        <f aca="false">SUMPRODUCT(I1790:W1790,_XtX!$B$96:$P$96)</f>
        <v>44.2309210526315</v>
      </c>
      <c r="Y1790" s="0" t="n">
        <f aca="false">SUMPRODUCT(MMULT(I1790:W1790,_XtX!$B$78:$P$92),I1790:W1790)</f>
        <v>0.457596628289474</v>
      </c>
      <c r="Z1790" s="0" t="n">
        <f aca="false">04_回帰ANOVA!$K$19*04_回帰ANOVA!$K$14*SQRT(1+Y1790)</f>
        <v>1.57368233664366</v>
      </c>
      <c r="AA1790" s="0" t="n">
        <f aca="false">X1790-Z1790</f>
        <v>42.6572387159879</v>
      </c>
      <c r="AB1790" s="0" t="n">
        <f aca="false">X1790+Z1790</f>
        <v>45.8046033892752</v>
      </c>
      <c r="AC1790" s="54" t="b">
        <f aca="false">AND(E1790&gt;=01_因子設定!$L$5-0.000000001,E1790&lt;=01_因子設定!$M$5+0.000000001,F1790&gt;=01_因子設定!$L$6-0.000000001,F1790&lt;=01_因子設定!$M$6+0.000000001,G1790&gt;=01_因子設定!$L$7-0.000000001,G1790&lt;=01_因子設定!$M$7+0.000000001,H1790&gt;=01_因子設定!$L$8-0.000000001,H1790&lt;=01_因子設定!$M$8+0.000000001,IF(01_因子設定!$B$20="Box-Behnken",E1790^2+F1790^2+G1790^2+H1790^2&lt;=2+0.000000001,TRUE()))</f>
        <v>1</v>
      </c>
      <c r="AD1790" s="55" t="n">
        <f aca="false">IF(AC1790,IF(01_因子設定!$B$13="最大化",AA1790-01_因子設定!$B$14,IF(01_因子設定!$B$13="最小化",01_因子設定!$B$15-AB1790,MIN(AA1790-01_因子設定!$B$14,01_因子設定!$B$15-AB1790))),-1E+030)</f>
        <v>-3.84276128401211</v>
      </c>
      <c r="AE1790" s="55" t="n">
        <f aca="false">IF(AC1790,IF(01_因子設定!$B$13="最大化",X1790,IF(01_因子設定!$B$13="最小化",-X1790,-ABS(X1790-01_因子設定!$B$16))),-1E+030)</f>
        <v>44.2309210526315</v>
      </c>
      <c r="AF1790" s="55" t="n">
        <f aca="false">AD1790+ROW()*0.000000001</f>
        <v>-3.84275949401211</v>
      </c>
      <c r="AG1790" s="55" t="n">
        <f aca="false">AE1790+ROW()*0.000000001</f>
        <v>44.2309228426315</v>
      </c>
    </row>
    <row r="1791" customFormat="false" ht="15" hidden="false" customHeight="false" outlineLevel="0" collapsed="false">
      <c r="A1791" s="0" t="n">
        <v>2</v>
      </c>
      <c r="B1791" s="0" t="n">
        <v>4</v>
      </c>
      <c r="C1791" s="0" t="n">
        <v>0</v>
      </c>
      <c r="D1791" s="0" t="n">
        <v>4</v>
      </c>
      <c r="E1791" s="0" t="n">
        <f aca="false">-1+A1791*0.25</f>
        <v>-0.5</v>
      </c>
      <c r="F1791" s="0" t="n">
        <f aca="false">-1+B1791*0.25</f>
        <v>0</v>
      </c>
      <c r="G1791" s="0" t="n">
        <f aca="false">-1+C1791*0.25</f>
        <v>-1</v>
      </c>
      <c r="H1791" s="0" t="n">
        <f aca="false">-1+D1791*0.25</f>
        <v>0</v>
      </c>
      <c r="I1791" s="0" t="n">
        <f aca="false">1</f>
        <v>1</v>
      </c>
      <c r="J1791" s="0" t="n">
        <f aca="false">E1791</f>
        <v>-0.5</v>
      </c>
      <c r="K1791" s="0" t="n">
        <f aca="false">F1791</f>
        <v>0</v>
      </c>
      <c r="L1791" s="0" t="n">
        <f aca="false">G1791</f>
        <v>-1</v>
      </c>
      <c r="M1791" s="0" t="n">
        <f aca="false">H1791</f>
        <v>0</v>
      </c>
      <c r="N1791" s="0" t="n">
        <f aca="false">E1791*F1791</f>
        <v>-0</v>
      </c>
      <c r="O1791" s="0" t="n">
        <f aca="false">E1791*G1791</f>
        <v>0.5</v>
      </c>
      <c r="P1791" s="0" t="n">
        <f aca="false">E1791*H1791</f>
        <v>-0</v>
      </c>
      <c r="Q1791" s="0" t="n">
        <f aca="false">F1791*G1791</f>
        <v>-0</v>
      </c>
      <c r="R1791" s="0" t="n">
        <f aca="false">F1791*H1791</f>
        <v>0</v>
      </c>
      <c r="S1791" s="0" t="n">
        <f aca="false">G1791*H1791</f>
        <v>-0</v>
      </c>
      <c r="T1791" s="0" t="n">
        <f aca="false">E1791*E1791</f>
        <v>0.25</v>
      </c>
      <c r="U1791" s="0" t="n">
        <f aca="false">F1791*F1791</f>
        <v>0</v>
      </c>
      <c r="V1791" s="0" t="n">
        <f aca="false">G1791*G1791</f>
        <v>1</v>
      </c>
      <c r="W1791" s="0" t="n">
        <f aca="false">H1791*H1791</f>
        <v>0</v>
      </c>
      <c r="X1791" s="0" t="n">
        <f aca="false">SUMPRODUCT(I1791:W1791,_XtX!$B$96:$P$96)</f>
        <v>44.2687134502924</v>
      </c>
      <c r="Y1791" s="0" t="n">
        <f aca="false">SUMPRODUCT(MMULT(I1791:W1791,_XtX!$B$78:$P$92),I1791:W1791)</f>
        <v>0.468841374269006</v>
      </c>
      <c r="Z1791" s="0" t="n">
        <f aca="false">04_回帰ANOVA!$K$19*04_回帰ANOVA!$K$14*SQRT(1+Y1791)</f>
        <v>1.57974082366087</v>
      </c>
      <c r="AA1791" s="0" t="n">
        <f aca="false">X1791-Z1791</f>
        <v>42.6889726266315</v>
      </c>
      <c r="AB1791" s="0" t="n">
        <f aca="false">X1791+Z1791</f>
        <v>45.8484542739532</v>
      </c>
      <c r="AC1791" s="54" t="b">
        <f aca="false">AND(E1791&gt;=01_因子設定!$L$5-0.000000001,E1791&lt;=01_因子設定!$M$5+0.000000001,F1791&gt;=01_因子設定!$L$6-0.000000001,F1791&lt;=01_因子設定!$M$6+0.000000001,G1791&gt;=01_因子設定!$L$7-0.000000001,G1791&lt;=01_因子設定!$M$7+0.000000001,H1791&gt;=01_因子設定!$L$8-0.000000001,H1791&lt;=01_因子設定!$M$8+0.000000001,IF(01_因子設定!$B$20="Box-Behnken",E1791^2+F1791^2+G1791^2+H1791^2&lt;=2+0.000000001,TRUE()))</f>
        <v>1</v>
      </c>
      <c r="AD1791" s="55" t="n">
        <f aca="false">IF(AC1791,IF(01_因子設定!$B$13="最大化",AA1791-01_因子設定!$B$14,IF(01_因子設定!$B$13="最小化",01_因子設定!$B$15-AB1791,MIN(AA1791-01_因子設定!$B$14,01_因子設定!$B$15-AB1791))),-1E+030)</f>
        <v>-3.81102737336852</v>
      </c>
      <c r="AE1791" s="55" t="n">
        <f aca="false">IF(AC1791,IF(01_因子設定!$B$13="最大化",X1791,IF(01_因子設定!$B$13="最小化",-X1791,-ABS(X1791-01_因子設定!$B$16))),-1E+030)</f>
        <v>44.2687134502924</v>
      </c>
      <c r="AF1791" s="55" t="n">
        <f aca="false">AD1791+ROW()*0.000000001</f>
        <v>-3.81102558236852</v>
      </c>
      <c r="AG1791" s="55" t="n">
        <f aca="false">AE1791+ROW()*0.000000001</f>
        <v>44.2687152412924</v>
      </c>
    </row>
    <row r="1792" customFormat="false" ht="15" hidden="false" customHeight="false" outlineLevel="0" collapsed="false">
      <c r="A1792" s="0" t="n">
        <v>2</v>
      </c>
      <c r="B1792" s="0" t="n">
        <v>4</v>
      </c>
      <c r="C1792" s="0" t="n">
        <v>0</v>
      </c>
      <c r="D1792" s="0" t="n">
        <v>5</v>
      </c>
      <c r="E1792" s="0" t="n">
        <f aca="false">-1+A1792*0.25</f>
        <v>-0.5</v>
      </c>
      <c r="F1792" s="0" t="n">
        <f aca="false">-1+B1792*0.25</f>
        <v>0</v>
      </c>
      <c r="G1792" s="0" t="n">
        <f aca="false">-1+C1792*0.25</f>
        <v>-1</v>
      </c>
      <c r="H1792" s="0" t="n">
        <f aca="false">-1+D1792*0.25</f>
        <v>0.25</v>
      </c>
      <c r="I1792" s="0" t="n">
        <f aca="false">1</f>
        <v>1</v>
      </c>
      <c r="J1792" s="0" t="n">
        <f aca="false">E1792</f>
        <v>-0.5</v>
      </c>
      <c r="K1792" s="0" t="n">
        <f aca="false">F1792</f>
        <v>0</v>
      </c>
      <c r="L1792" s="0" t="n">
        <f aca="false">G1792</f>
        <v>-1</v>
      </c>
      <c r="M1792" s="0" t="n">
        <f aca="false">H1792</f>
        <v>0.25</v>
      </c>
      <c r="N1792" s="0" t="n">
        <f aca="false">E1792*F1792</f>
        <v>-0</v>
      </c>
      <c r="O1792" s="0" t="n">
        <f aca="false">E1792*G1792</f>
        <v>0.5</v>
      </c>
      <c r="P1792" s="0" t="n">
        <f aca="false">E1792*H1792</f>
        <v>-0.125</v>
      </c>
      <c r="Q1792" s="0" t="n">
        <f aca="false">F1792*G1792</f>
        <v>-0</v>
      </c>
      <c r="R1792" s="0" t="n">
        <f aca="false">F1792*H1792</f>
        <v>0</v>
      </c>
      <c r="S1792" s="0" t="n">
        <f aca="false">G1792*H1792</f>
        <v>-0.25</v>
      </c>
      <c r="T1792" s="0" t="n">
        <f aca="false">E1792*E1792</f>
        <v>0.25</v>
      </c>
      <c r="U1792" s="0" t="n">
        <f aca="false">F1792*F1792</f>
        <v>0</v>
      </c>
      <c r="V1792" s="0" t="n">
        <f aca="false">G1792*G1792</f>
        <v>1</v>
      </c>
      <c r="W1792" s="0" t="n">
        <f aca="false">H1792*H1792</f>
        <v>0.0625</v>
      </c>
      <c r="X1792" s="0" t="n">
        <f aca="false">SUMPRODUCT(I1792:W1792,_XtX!$B$96:$P$96)</f>
        <v>44.2586988304093</v>
      </c>
      <c r="Y1792" s="0" t="n">
        <f aca="false">SUMPRODUCT(MMULT(I1792:W1792,_XtX!$B$78:$P$92),I1792:W1792)</f>
        <v>0.457596628289474</v>
      </c>
      <c r="Z1792" s="0" t="n">
        <f aca="false">04_回帰ANOVA!$K$19*04_回帰ANOVA!$K$14*SQRT(1+Y1792)</f>
        <v>1.57368233664366</v>
      </c>
      <c r="AA1792" s="0" t="n">
        <f aca="false">X1792-Z1792</f>
        <v>42.6850164937657</v>
      </c>
      <c r="AB1792" s="0" t="n">
        <f aca="false">X1792+Z1792</f>
        <v>45.832381167053</v>
      </c>
      <c r="AC1792" s="54" t="b">
        <f aca="false">AND(E1792&gt;=01_因子設定!$L$5-0.000000001,E1792&lt;=01_因子設定!$M$5+0.000000001,F1792&gt;=01_因子設定!$L$6-0.000000001,F1792&lt;=01_因子設定!$M$6+0.000000001,G1792&gt;=01_因子設定!$L$7-0.000000001,G1792&lt;=01_因子設定!$M$7+0.000000001,H1792&gt;=01_因子設定!$L$8-0.000000001,H1792&lt;=01_因子設定!$M$8+0.000000001,IF(01_因子設定!$B$20="Box-Behnken",E1792^2+F1792^2+G1792^2+H1792^2&lt;=2+0.000000001,TRUE()))</f>
        <v>1</v>
      </c>
      <c r="AD1792" s="55" t="n">
        <f aca="false">IF(AC1792,IF(01_因子設定!$B$13="最大化",AA1792-01_因子設定!$B$14,IF(01_因子設定!$B$13="最小化",01_因子設定!$B$15-AB1792,MIN(AA1792-01_因子設定!$B$14,01_因子設定!$B$15-AB1792))),-1E+030)</f>
        <v>-3.81498350623433</v>
      </c>
      <c r="AE1792" s="55" t="n">
        <f aca="false">IF(AC1792,IF(01_因子設定!$B$13="最大化",X1792,IF(01_因子設定!$B$13="最小化",-X1792,-ABS(X1792-01_因子設定!$B$16))),-1E+030)</f>
        <v>44.2586988304093</v>
      </c>
      <c r="AF1792" s="55" t="n">
        <f aca="false">AD1792+ROW()*0.000000001</f>
        <v>-3.81498171423433</v>
      </c>
      <c r="AG1792" s="55" t="n">
        <f aca="false">AE1792+ROW()*0.000000001</f>
        <v>44.2587006224093</v>
      </c>
    </row>
    <row r="1793" customFormat="false" ht="15" hidden="false" customHeight="false" outlineLevel="0" collapsed="false">
      <c r="A1793" s="0" t="n">
        <v>2</v>
      </c>
      <c r="B1793" s="0" t="n">
        <v>4</v>
      </c>
      <c r="C1793" s="0" t="n">
        <v>0</v>
      </c>
      <c r="D1793" s="0" t="n">
        <v>6</v>
      </c>
      <c r="E1793" s="0" t="n">
        <f aca="false">-1+A1793*0.25</f>
        <v>-0.5</v>
      </c>
      <c r="F1793" s="0" t="n">
        <f aca="false">-1+B1793*0.25</f>
        <v>0</v>
      </c>
      <c r="G1793" s="0" t="n">
        <f aca="false">-1+C1793*0.25</f>
        <v>-1</v>
      </c>
      <c r="H1793" s="0" t="n">
        <f aca="false">-1+D1793*0.25</f>
        <v>0.5</v>
      </c>
      <c r="I1793" s="0" t="n">
        <f aca="false">1</f>
        <v>1</v>
      </c>
      <c r="J1793" s="0" t="n">
        <f aca="false">E1793</f>
        <v>-0.5</v>
      </c>
      <c r="K1793" s="0" t="n">
        <f aca="false">F1793</f>
        <v>0</v>
      </c>
      <c r="L1793" s="0" t="n">
        <f aca="false">G1793</f>
        <v>-1</v>
      </c>
      <c r="M1793" s="0" t="n">
        <f aca="false">H1793</f>
        <v>0.5</v>
      </c>
      <c r="N1793" s="0" t="n">
        <f aca="false">E1793*F1793</f>
        <v>-0</v>
      </c>
      <c r="O1793" s="0" t="n">
        <f aca="false">E1793*G1793</f>
        <v>0.5</v>
      </c>
      <c r="P1793" s="0" t="n">
        <f aca="false">E1793*H1793</f>
        <v>-0.25</v>
      </c>
      <c r="Q1793" s="0" t="n">
        <f aca="false">F1793*G1793</f>
        <v>-0</v>
      </c>
      <c r="R1793" s="0" t="n">
        <f aca="false">F1793*H1793</f>
        <v>0</v>
      </c>
      <c r="S1793" s="0" t="n">
        <f aca="false">G1793*H1793</f>
        <v>-0.5</v>
      </c>
      <c r="T1793" s="0" t="n">
        <f aca="false">E1793*E1793</f>
        <v>0.25</v>
      </c>
      <c r="U1793" s="0" t="n">
        <f aca="false">F1793*F1793</f>
        <v>0</v>
      </c>
      <c r="V1793" s="0" t="n">
        <f aca="false">G1793*G1793</f>
        <v>1</v>
      </c>
      <c r="W1793" s="0" t="n">
        <f aca="false">H1793*H1793</f>
        <v>0.25</v>
      </c>
      <c r="X1793" s="0" t="n">
        <f aca="false">SUMPRODUCT(I1793:W1793,_XtX!$B$96:$P$96)</f>
        <v>44.2008771929824</v>
      </c>
      <c r="Y1793" s="0" t="n">
        <f aca="false">SUMPRODUCT(MMULT(I1793:W1793,_XtX!$B$78:$P$92),I1793:W1793)</f>
        <v>0.441954495614035</v>
      </c>
      <c r="Z1793" s="0" t="n">
        <f aca="false">04_回帰ANOVA!$K$19*04_回帰ANOVA!$K$14*SQRT(1+Y1793)</f>
        <v>1.56521560968066</v>
      </c>
      <c r="AA1793" s="0" t="n">
        <f aca="false">X1793-Z1793</f>
        <v>42.6356615833018</v>
      </c>
      <c r="AB1793" s="0" t="n">
        <f aca="false">X1793+Z1793</f>
        <v>45.7660928026631</v>
      </c>
      <c r="AC1793" s="54" t="b">
        <f aca="false">AND(E1793&gt;=01_因子設定!$L$5-0.000000001,E1793&lt;=01_因子設定!$M$5+0.000000001,F1793&gt;=01_因子設定!$L$6-0.000000001,F1793&lt;=01_因子設定!$M$6+0.000000001,G1793&gt;=01_因子設定!$L$7-0.000000001,G1793&lt;=01_因子設定!$M$7+0.000000001,H1793&gt;=01_因子設定!$L$8-0.000000001,H1793&lt;=01_因子設定!$M$8+0.000000001,IF(01_因子設定!$B$20="Box-Behnken",E1793^2+F1793^2+G1793^2+H1793^2&lt;=2+0.000000001,TRUE()))</f>
        <v>1</v>
      </c>
      <c r="AD1793" s="55" t="n">
        <f aca="false">IF(AC1793,IF(01_因子設定!$B$13="最大化",AA1793-01_因子設定!$B$14,IF(01_因子設定!$B$13="最小化",01_因子設定!$B$15-AB1793,MIN(AA1793-01_因子設定!$B$14,01_因子設定!$B$15-AB1793))),-1E+030)</f>
        <v>-3.86433841669824</v>
      </c>
      <c r="AE1793" s="55" t="n">
        <f aca="false">IF(AC1793,IF(01_因子設定!$B$13="最大化",X1793,IF(01_因子設定!$B$13="最小化",-X1793,-ABS(X1793-01_因子設定!$B$16))),-1E+030)</f>
        <v>44.2008771929824</v>
      </c>
      <c r="AF1793" s="55" t="n">
        <f aca="false">AD1793+ROW()*0.000000001</f>
        <v>-3.86433662369824</v>
      </c>
      <c r="AG1793" s="55" t="n">
        <f aca="false">AE1793+ROW()*0.000000001</f>
        <v>44.2008789859824</v>
      </c>
    </row>
    <row r="1794" customFormat="false" ht="15" hidden="false" customHeight="false" outlineLevel="0" collapsed="false">
      <c r="A1794" s="0" t="n">
        <v>2</v>
      </c>
      <c r="B1794" s="0" t="n">
        <v>4</v>
      </c>
      <c r="C1794" s="0" t="n">
        <v>0</v>
      </c>
      <c r="D1794" s="0" t="n">
        <v>7</v>
      </c>
      <c r="E1794" s="0" t="n">
        <f aca="false">-1+A1794*0.25</f>
        <v>-0.5</v>
      </c>
      <c r="F1794" s="0" t="n">
        <f aca="false">-1+B1794*0.25</f>
        <v>0</v>
      </c>
      <c r="G1794" s="0" t="n">
        <f aca="false">-1+C1794*0.25</f>
        <v>-1</v>
      </c>
      <c r="H1794" s="0" t="n">
        <f aca="false">-1+D1794*0.25</f>
        <v>0.75</v>
      </c>
      <c r="I1794" s="0" t="n">
        <f aca="false">1</f>
        <v>1</v>
      </c>
      <c r="J1794" s="0" t="n">
        <f aca="false">E1794</f>
        <v>-0.5</v>
      </c>
      <c r="K1794" s="0" t="n">
        <f aca="false">F1794</f>
        <v>0</v>
      </c>
      <c r="L1794" s="0" t="n">
        <f aca="false">G1794</f>
        <v>-1</v>
      </c>
      <c r="M1794" s="0" t="n">
        <f aca="false">H1794</f>
        <v>0.75</v>
      </c>
      <c r="N1794" s="0" t="n">
        <f aca="false">E1794*F1794</f>
        <v>-0</v>
      </c>
      <c r="O1794" s="0" t="n">
        <f aca="false">E1794*G1794</f>
        <v>0.5</v>
      </c>
      <c r="P1794" s="0" t="n">
        <f aca="false">E1794*H1794</f>
        <v>-0.375</v>
      </c>
      <c r="Q1794" s="0" t="n">
        <f aca="false">F1794*G1794</f>
        <v>-0</v>
      </c>
      <c r="R1794" s="0" t="n">
        <f aca="false">F1794*H1794</f>
        <v>0</v>
      </c>
      <c r="S1794" s="0" t="n">
        <f aca="false">G1794*H1794</f>
        <v>-0.75</v>
      </c>
      <c r="T1794" s="0" t="n">
        <f aca="false">E1794*E1794</f>
        <v>0.25</v>
      </c>
      <c r="U1794" s="0" t="n">
        <f aca="false">F1794*F1794</f>
        <v>0</v>
      </c>
      <c r="V1794" s="0" t="n">
        <f aca="false">G1794*G1794</f>
        <v>1</v>
      </c>
      <c r="W1794" s="0" t="n">
        <f aca="false">H1794*H1794</f>
        <v>0.5625</v>
      </c>
      <c r="X1794" s="0" t="n">
        <f aca="false">SUMPRODUCT(I1794:W1794,_XtX!$B$96:$P$96)</f>
        <v>44.0952485380117</v>
      </c>
      <c r="Y1794" s="0" t="n">
        <f aca="false">SUMPRODUCT(MMULT(I1794:W1794,_XtX!$B$78:$P$92),I1794:W1794)</f>
        <v>0.476191292032164</v>
      </c>
      <c r="Z1794" s="0" t="n">
        <f aca="false">04_回帰ANOVA!$K$19*04_回帰ANOVA!$K$14*SQRT(1+Y1794)</f>
        <v>1.58368831471718</v>
      </c>
      <c r="AA1794" s="0" t="n">
        <f aca="false">X1794-Z1794</f>
        <v>42.5115602232945</v>
      </c>
      <c r="AB1794" s="0" t="n">
        <f aca="false">X1794+Z1794</f>
        <v>45.6789368527289</v>
      </c>
      <c r="AC1794" s="54" t="b">
        <f aca="false">AND(E1794&gt;=01_因子設定!$L$5-0.000000001,E1794&lt;=01_因子設定!$M$5+0.000000001,F1794&gt;=01_因子設定!$L$6-0.000000001,F1794&lt;=01_因子設定!$M$6+0.000000001,G1794&gt;=01_因子設定!$L$7-0.000000001,G1794&lt;=01_因子設定!$M$7+0.000000001,H1794&gt;=01_因子設定!$L$8-0.000000001,H1794&lt;=01_因子設定!$M$8+0.000000001,IF(01_因子設定!$B$20="Box-Behnken",E1794^2+F1794^2+G1794^2+H1794^2&lt;=2+0.000000001,TRUE()))</f>
        <v>1</v>
      </c>
      <c r="AD1794" s="55" t="n">
        <f aca="false">IF(AC1794,IF(01_因子設定!$B$13="最大化",AA1794-01_因子設定!$B$14,IF(01_因子設定!$B$13="最小化",01_因子設定!$B$15-AB1794,MIN(AA1794-01_因子設定!$B$14,01_因子設定!$B$15-AB1794))),-1E+030)</f>
        <v>-3.9884397767055</v>
      </c>
      <c r="AE1794" s="55" t="n">
        <f aca="false">IF(AC1794,IF(01_因子設定!$B$13="最大化",X1794,IF(01_因子設定!$B$13="最小化",-X1794,-ABS(X1794-01_因子設定!$B$16))),-1E+030)</f>
        <v>44.0952485380117</v>
      </c>
      <c r="AF1794" s="55" t="n">
        <f aca="false">AD1794+ROW()*0.000000001</f>
        <v>-3.9884379827055</v>
      </c>
      <c r="AG1794" s="55" t="n">
        <f aca="false">AE1794+ROW()*0.000000001</f>
        <v>44.0952503320117</v>
      </c>
    </row>
    <row r="1795" customFormat="false" ht="15" hidden="false" customHeight="false" outlineLevel="0" collapsed="false">
      <c r="A1795" s="0" t="n">
        <v>2</v>
      </c>
      <c r="B1795" s="0" t="n">
        <v>4</v>
      </c>
      <c r="C1795" s="0" t="n">
        <v>0</v>
      </c>
      <c r="D1795" s="0" t="n">
        <v>8</v>
      </c>
      <c r="E1795" s="0" t="n">
        <f aca="false">-1+A1795*0.25</f>
        <v>-0.5</v>
      </c>
      <c r="F1795" s="0" t="n">
        <f aca="false">-1+B1795*0.25</f>
        <v>0</v>
      </c>
      <c r="G1795" s="0" t="n">
        <f aca="false">-1+C1795*0.25</f>
        <v>-1</v>
      </c>
      <c r="H1795" s="0" t="n">
        <f aca="false">-1+D1795*0.25</f>
        <v>1</v>
      </c>
      <c r="I1795" s="0" t="n">
        <f aca="false">1</f>
        <v>1</v>
      </c>
      <c r="J1795" s="0" t="n">
        <f aca="false">E1795</f>
        <v>-0.5</v>
      </c>
      <c r="K1795" s="0" t="n">
        <f aca="false">F1795</f>
        <v>0</v>
      </c>
      <c r="L1795" s="0" t="n">
        <f aca="false">G1795</f>
        <v>-1</v>
      </c>
      <c r="M1795" s="0" t="n">
        <f aca="false">H1795</f>
        <v>1</v>
      </c>
      <c r="N1795" s="0" t="n">
        <f aca="false">E1795*F1795</f>
        <v>-0</v>
      </c>
      <c r="O1795" s="0" t="n">
        <f aca="false">E1795*G1795</f>
        <v>0.5</v>
      </c>
      <c r="P1795" s="0" t="n">
        <f aca="false">E1795*H1795</f>
        <v>-0.5</v>
      </c>
      <c r="Q1795" s="0" t="n">
        <f aca="false">F1795*G1795</f>
        <v>-0</v>
      </c>
      <c r="R1795" s="0" t="n">
        <f aca="false">F1795*H1795</f>
        <v>0</v>
      </c>
      <c r="S1795" s="0" t="n">
        <f aca="false">G1795*H1795</f>
        <v>-1</v>
      </c>
      <c r="T1795" s="0" t="n">
        <f aca="false">E1795*E1795</f>
        <v>0.25</v>
      </c>
      <c r="U1795" s="0" t="n">
        <f aca="false">F1795*F1795</f>
        <v>0</v>
      </c>
      <c r="V1795" s="0" t="n">
        <f aca="false">G1795*G1795</f>
        <v>1</v>
      </c>
      <c r="W1795" s="0" t="n">
        <f aca="false">H1795*H1795</f>
        <v>1</v>
      </c>
      <c r="X1795" s="0" t="n">
        <f aca="false">SUMPRODUCT(I1795:W1795,_XtX!$B$96:$P$96)</f>
        <v>43.9418128654971</v>
      </c>
      <c r="Y1795" s="0" t="n">
        <f aca="false">SUMPRODUCT(MMULT(I1795:W1795,_XtX!$B$78:$P$92),I1795:W1795)</f>
        <v>0.650767543859649</v>
      </c>
      <c r="Z1795" s="0" t="n">
        <f aca="false">04_回帰ANOVA!$K$19*04_回帰ANOVA!$K$14*SQRT(1+Y1795)</f>
        <v>1.67471670935165</v>
      </c>
      <c r="AA1795" s="0" t="n">
        <f aca="false">X1795-Z1795</f>
        <v>42.2670961561454</v>
      </c>
      <c r="AB1795" s="0" t="n">
        <f aca="false">X1795+Z1795</f>
        <v>45.6165295748487</v>
      </c>
      <c r="AC1795" s="54" t="b">
        <f aca="false">AND(E1795&gt;=01_因子設定!$L$5-0.000000001,E1795&lt;=01_因子設定!$M$5+0.000000001,F1795&gt;=01_因子設定!$L$6-0.000000001,F1795&lt;=01_因子設定!$M$6+0.000000001,G1795&gt;=01_因子設定!$L$7-0.000000001,G1795&lt;=01_因子設定!$M$7+0.000000001,H1795&gt;=01_因子設定!$L$8-0.000000001,H1795&lt;=01_因子設定!$M$8+0.000000001,IF(01_因子設定!$B$20="Box-Behnken",E1795^2+F1795^2+G1795^2+H1795^2&lt;=2+0.000000001,TRUE()))</f>
        <v>1</v>
      </c>
      <c r="AD1795" s="55" t="n">
        <f aca="false">IF(AC1795,IF(01_因子設定!$B$13="最大化",AA1795-01_因子設定!$B$14,IF(01_因子設定!$B$13="最小化",01_因子設定!$B$15-AB1795,MIN(AA1795-01_因子設定!$B$14,01_因子設定!$B$15-AB1795))),-1E+030)</f>
        <v>-4.23290384385457</v>
      </c>
      <c r="AE1795" s="55" t="n">
        <f aca="false">IF(AC1795,IF(01_因子設定!$B$13="最大化",X1795,IF(01_因子設定!$B$13="最小化",-X1795,-ABS(X1795-01_因子設定!$B$16))),-1E+030)</f>
        <v>43.9418128654971</v>
      </c>
      <c r="AF1795" s="55" t="n">
        <f aca="false">AD1795+ROW()*0.000000001</f>
        <v>-4.23290204885457</v>
      </c>
      <c r="AG1795" s="55" t="n">
        <f aca="false">AE1795+ROW()*0.000000001</f>
        <v>43.9418146604971</v>
      </c>
    </row>
    <row r="1796" customFormat="false" ht="15" hidden="false" customHeight="false" outlineLevel="0" collapsed="false">
      <c r="A1796" s="0" t="n">
        <v>2</v>
      </c>
      <c r="B1796" s="0" t="n">
        <v>4</v>
      </c>
      <c r="C1796" s="0" t="n">
        <v>1</v>
      </c>
      <c r="D1796" s="0" t="n">
        <v>0</v>
      </c>
      <c r="E1796" s="0" t="n">
        <f aca="false">-1+A1796*0.25</f>
        <v>-0.5</v>
      </c>
      <c r="F1796" s="0" t="n">
        <f aca="false">-1+B1796*0.25</f>
        <v>0</v>
      </c>
      <c r="G1796" s="0" t="n">
        <f aca="false">-1+C1796*0.25</f>
        <v>-0.75</v>
      </c>
      <c r="H1796" s="0" t="n">
        <f aca="false">-1+D1796*0.25</f>
        <v>-1</v>
      </c>
      <c r="I1796" s="0" t="n">
        <f aca="false">1</f>
        <v>1</v>
      </c>
      <c r="J1796" s="0" t="n">
        <f aca="false">E1796</f>
        <v>-0.5</v>
      </c>
      <c r="K1796" s="0" t="n">
        <f aca="false">F1796</f>
        <v>0</v>
      </c>
      <c r="L1796" s="0" t="n">
        <f aca="false">G1796</f>
        <v>-0.75</v>
      </c>
      <c r="M1796" s="0" t="n">
        <f aca="false">H1796</f>
        <v>-1</v>
      </c>
      <c r="N1796" s="0" t="n">
        <f aca="false">E1796*F1796</f>
        <v>-0</v>
      </c>
      <c r="O1796" s="0" t="n">
        <f aca="false">E1796*G1796</f>
        <v>0.375</v>
      </c>
      <c r="P1796" s="0" t="n">
        <f aca="false">E1796*H1796</f>
        <v>0.5</v>
      </c>
      <c r="Q1796" s="0" t="n">
        <f aca="false">F1796*G1796</f>
        <v>-0</v>
      </c>
      <c r="R1796" s="0" t="n">
        <f aca="false">F1796*H1796</f>
        <v>-0</v>
      </c>
      <c r="S1796" s="0" t="n">
        <f aca="false">G1796*H1796</f>
        <v>0.75</v>
      </c>
      <c r="T1796" s="0" t="n">
        <f aca="false">E1796*E1796</f>
        <v>0.25</v>
      </c>
      <c r="U1796" s="0" t="n">
        <f aca="false">F1796*F1796</f>
        <v>0</v>
      </c>
      <c r="V1796" s="0" t="n">
        <f aca="false">G1796*G1796</f>
        <v>0.5625</v>
      </c>
      <c r="W1796" s="0" t="n">
        <f aca="false">H1796*H1796</f>
        <v>1</v>
      </c>
      <c r="X1796" s="0" t="n">
        <f aca="false">SUMPRODUCT(I1796:W1796,_XtX!$B$96:$P$96)</f>
        <v>44.3844846491228</v>
      </c>
      <c r="Y1796" s="0" t="n">
        <f aca="false">SUMPRODUCT(MMULT(I1796:W1796,_XtX!$B$78:$P$92),I1796:W1796)</f>
        <v>0.476191292032164</v>
      </c>
      <c r="Z1796" s="0" t="n">
        <f aca="false">04_回帰ANOVA!$K$19*04_回帰ANOVA!$K$14*SQRT(1+Y1796)</f>
        <v>1.58368831471718</v>
      </c>
      <c r="AA1796" s="0" t="n">
        <f aca="false">X1796-Z1796</f>
        <v>42.8007963344056</v>
      </c>
      <c r="AB1796" s="0" t="n">
        <f aca="false">X1796+Z1796</f>
        <v>45.96817296384</v>
      </c>
      <c r="AC1796" s="54" t="b">
        <f aca="false">AND(E1796&gt;=01_因子設定!$L$5-0.000000001,E1796&lt;=01_因子設定!$M$5+0.000000001,F1796&gt;=01_因子設定!$L$6-0.000000001,F1796&lt;=01_因子設定!$M$6+0.000000001,G1796&gt;=01_因子設定!$L$7-0.000000001,G1796&lt;=01_因子設定!$M$7+0.000000001,H1796&gt;=01_因子設定!$L$8-0.000000001,H1796&lt;=01_因子設定!$M$8+0.000000001,IF(01_因子設定!$B$20="Box-Behnken",E1796^2+F1796^2+G1796^2+H1796^2&lt;=2+0.000000001,TRUE()))</f>
        <v>1</v>
      </c>
      <c r="AD1796" s="55" t="n">
        <f aca="false">IF(AC1796,IF(01_因子設定!$B$13="最大化",AA1796-01_因子設定!$B$14,IF(01_因子設定!$B$13="最小化",01_因子設定!$B$15-AB1796,MIN(AA1796-01_因子設定!$B$14,01_因子設定!$B$15-AB1796))),-1E+030)</f>
        <v>-3.69920366559438</v>
      </c>
      <c r="AE1796" s="55" t="n">
        <f aca="false">IF(AC1796,IF(01_因子設定!$B$13="最大化",X1796,IF(01_因子設定!$B$13="最小化",-X1796,-ABS(X1796-01_因子設定!$B$16))),-1E+030)</f>
        <v>44.3844846491228</v>
      </c>
      <c r="AF1796" s="55" t="n">
        <f aca="false">AD1796+ROW()*0.000000001</f>
        <v>-3.69920186959438</v>
      </c>
      <c r="AG1796" s="55" t="n">
        <f aca="false">AE1796+ROW()*0.000000001</f>
        <v>44.3844864451228</v>
      </c>
    </row>
    <row r="1797" customFormat="false" ht="15" hidden="false" customHeight="false" outlineLevel="0" collapsed="false">
      <c r="A1797" s="0" t="n">
        <v>2</v>
      </c>
      <c r="B1797" s="0" t="n">
        <v>4</v>
      </c>
      <c r="C1797" s="0" t="n">
        <v>1</v>
      </c>
      <c r="D1797" s="0" t="n">
        <v>1</v>
      </c>
      <c r="E1797" s="0" t="n">
        <f aca="false">-1+A1797*0.25</f>
        <v>-0.5</v>
      </c>
      <c r="F1797" s="0" t="n">
        <f aca="false">-1+B1797*0.25</f>
        <v>0</v>
      </c>
      <c r="G1797" s="0" t="n">
        <f aca="false">-1+C1797*0.25</f>
        <v>-0.75</v>
      </c>
      <c r="H1797" s="0" t="n">
        <f aca="false">-1+D1797*0.25</f>
        <v>-0.75</v>
      </c>
      <c r="I1797" s="0" t="n">
        <f aca="false">1</f>
        <v>1</v>
      </c>
      <c r="J1797" s="0" t="n">
        <f aca="false">E1797</f>
        <v>-0.5</v>
      </c>
      <c r="K1797" s="0" t="n">
        <f aca="false">F1797</f>
        <v>0</v>
      </c>
      <c r="L1797" s="0" t="n">
        <f aca="false">G1797</f>
        <v>-0.75</v>
      </c>
      <c r="M1797" s="0" t="n">
        <f aca="false">H1797</f>
        <v>-0.75</v>
      </c>
      <c r="N1797" s="0" t="n">
        <f aca="false">E1797*F1797</f>
        <v>-0</v>
      </c>
      <c r="O1797" s="0" t="n">
        <f aca="false">E1797*G1797</f>
        <v>0.375</v>
      </c>
      <c r="P1797" s="0" t="n">
        <f aca="false">E1797*H1797</f>
        <v>0.375</v>
      </c>
      <c r="Q1797" s="0" t="n">
        <f aca="false">F1797*G1797</f>
        <v>-0</v>
      </c>
      <c r="R1797" s="0" t="n">
        <f aca="false">F1797*H1797</f>
        <v>-0</v>
      </c>
      <c r="S1797" s="0" t="n">
        <f aca="false">G1797*H1797</f>
        <v>0.5625</v>
      </c>
      <c r="T1797" s="0" t="n">
        <f aca="false">E1797*E1797</f>
        <v>0.25</v>
      </c>
      <c r="U1797" s="0" t="n">
        <f aca="false">F1797*F1797</f>
        <v>0</v>
      </c>
      <c r="V1797" s="0" t="n">
        <f aca="false">G1797*G1797</f>
        <v>0.5625</v>
      </c>
      <c r="W1797" s="0" t="n">
        <f aca="false">H1797*H1797</f>
        <v>0.5625</v>
      </c>
      <c r="X1797" s="0" t="n">
        <f aca="false">SUMPRODUCT(I1797:W1797,_XtX!$B$96:$P$96)</f>
        <v>44.5836668494152</v>
      </c>
      <c r="Y1797" s="0" t="n">
        <f aca="false">SUMPRODUCT(MMULT(I1797:W1797,_XtX!$B$78:$P$92),I1797:W1797)</f>
        <v>0.269923873812135</v>
      </c>
      <c r="Z1797" s="0" t="n">
        <f aca="false">04_回帰ANOVA!$K$19*04_回帰ANOVA!$K$14*SQRT(1+Y1797)</f>
        <v>1.46888310825501</v>
      </c>
      <c r="AA1797" s="0" t="n">
        <f aca="false">X1797-Z1797</f>
        <v>43.1147837411602</v>
      </c>
      <c r="AB1797" s="0" t="n">
        <f aca="false">X1797+Z1797</f>
        <v>46.0525499576702</v>
      </c>
      <c r="AC1797" s="54" t="b">
        <f aca="false">AND(E1797&gt;=01_因子設定!$L$5-0.000000001,E1797&lt;=01_因子設定!$M$5+0.000000001,F1797&gt;=01_因子設定!$L$6-0.000000001,F1797&lt;=01_因子設定!$M$6+0.000000001,G1797&gt;=01_因子設定!$L$7-0.000000001,G1797&lt;=01_因子設定!$M$7+0.000000001,H1797&gt;=01_因子設定!$L$8-0.000000001,H1797&lt;=01_因子設定!$M$8+0.000000001,IF(01_因子設定!$B$20="Box-Behnken",E1797^2+F1797^2+G1797^2+H1797^2&lt;=2+0.000000001,TRUE()))</f>
        <v>1</v>
      </c>
      <c r="AD1797" s="55" t="n">
        <f aca="false">IF(AC1797,IF(01_因子設定!$B$13="最大化",AA1797-01_因子設定!$B$14,IF(01_因子設定!$B$13="最小化",01_因子設定!$B$15-AB1797,MIN(AA1797-01_因子設定!$B$14,01_因子設定!$B$15-AB1797))),-1E+030)</f>
        <v>-3.38521625883982</v>
      </c>
      <c r="AE1797" s="55" t="n">
        <f aca="false">IF(AC1797,IF(01_因子設定!$B$13="最大化",X1797,IF(01_因子設定!$B$13="最小化",-X1797,-ABS(X1797-01_因子設定!$B$16))),-1E+030)</f>
        <v>44.5836668494152</v>
      </c>
      <c r="AF1797" s="55" t="n">
        <f aca="false">AD1797+ROW()*0.000000001</f>
        <v>-3.38521446183982</v>
      </c>
      <c r="AG1797" s="55" t="n">
        <f aca="false">AE1797+ROW()*0.000000001</f>
        <v>44.5836686464152</v>
      </c>
    </row>
    <row r="1798" customFormat="false" ht="15" hidden="false" customHeight="false" outlineLevel="0" collapsed="false">
      <c r="A1798" s="0" t="n">
        <v>2</v>
      </c>
      <c r="B1798" s="0" t="n">
        <v>4</v>
      </c>
      <c r="C1798" s="0" t="n">
        <v>1</v>
      </c>
      <c r="D1798" s="0" t="n">
        <v>2</v>
      </c>
      <c r="E1798" s="0" t="n">
        <f aca="false">-1+A1798*0.25</f>
        <v>-0.5</v>
      </c>
      <c r="F1798" s="0" t="n">
        <f aca="false">-1+B1798*0.25</f>
        <v>0</v>
      </c>
      <c r="G1798" s="0" t="n">
        <f aca="false">-1+C1798*0.25</f>
        <v>-0.75</v>
      </c>
      <c r="H1798" s="0" t="n">
        <f aca="false">-1+D1798*0.25</f>
        <v>-0.5</v>
      </c>
      <c r="I1798" s="0" t="n">
        <f aca="false">1</f>
        <v>1</v>
      </c>
      <c r="J1798" s="0" t="n">
        <f aca="false">E1798</f>
        <v>-0.5</v>
      </c>
      <c r="K1798" s="0" t="n">
        <f aca="false">F1798</f>
        <v>0</v>
      </c>
      <c r="L1798" s="0" t="n">
        <f aca="false">G1798</f>
        <v>-0.75</v>
      </c>
      <c r="M1798" s="0" t="n">
        <f aca="false">H1798</f>
        <v>-0.5</v>
      </c>
      <c r="N1798" s="0" t="n">
        <f aca="false">E1798*F1798</f>
        <v>-0</v>
      </c>
      <c r="O1798" s="0" t="n">
        <f aca="false">E1798*G1798</f>
        <v>0.375</v>
      </c>
      <c r="P1798" s="0" t="n">
        <f aca="false">E1798*H1798</f>
        <v>0.25</v>
      </c>
      <c r="Q1798" s="0" t="n">
        <f aca="false">F1798*G1798</f>
        <v>-0</v>
      </c>
      <c r="R1798" s="0" t="n">
        <f aca="false">F1798*H1798</f>
        <v>-0</v>
      </c>
      <c r="S1798" s="0" t="n">
        <f aca="false">G1798*H1798</f>
        <v>0.375</v>
      </c>
      <c r="T1798" s="0" t="n">
        <f aca="false">E1798*E1798</f>
        <v>0.25</v>
      </c>
      <c r="U1798" s="0" t="n">
        <f aca="false">F1798*F1798</f>
        <v>0</v>
      </c>
      <c r="V1798" s="0" t="n">
        <f aca="false">G1798*G1798</f>
        <v>0.5625</v>
      </c>
      <c r="W1798" s="0" t="n">
        <f aca="false">H1798*H1798</f>
        <v>0.25</v>
      </c>
      <c r="X1798" s="0" t="n">
        <f aca="false">SUMPRODUCT(I1798:W1798,_XtX!$B$96:$P$96)</f>
        <v>44.7350420321637</v>
      </c>
      <c r="Y1798" s="0" t="n">
        <f aca="false">SUMPRODUCT(MMULT(I1798:W1798,_XtX!$B$78:$P$92),I1798:W1798)</f>
        <v>0.21305052997076</v>
      </c>
      <c r="Z1798" s="0" t="n">
        <f aca="false">04_回帰ANOVA!$K$19*04_回帰ANOVA!$K$14*SQRT(1+Y1798)</f>
        <v>1.43561450835061</v>
      </c>
      <c r="AA1798" s="0" t="n">
        <f aca="false">X1798-Z1798</f>
        <v>43.2994275238131</v>
      </c>
      <c r="AB1798" s="0" t="n">
        <f aca="false">X1798+Z1798</f>
        <v>46.1706565405143</v>
      </c>
      <c r="AC1798" s="54" t="b">
        <f aca="false">AND(E1798&gt;=01_因子設定!$L$5-0.000000001,E1798&lt;=01_因子設定!$M$5+0.000000001,F1798&gt;=01_因子設定!$L$6-0.000000001,F1798&lt;=01_因子設定!$M$6+0.000000001,G1798&gt;=01_因子設定!$L$7-0.000000001,G1798&lt;=01_因子設定!$M$7+0.000000001,H1798&gt;=01_因子設定!$L$8-0.000000001,H1798&lt;=01_因子設定!$M$8+0.000000001,IF(01_因子設定!$B$20="Box-Behnken",E1798^2+F1798^2+G1798^2+H1798^2&lt;=2+0.000000001,TRUE()))</f>
        <v>1</v>
      </c>
      <c r="AD1798" s="55" t="n">
        <f aca="false">IF(AC1798,IF(01_因子設定!$B$13="最大化",AA1798-01_因子設定!$B$14,IF(01_因子設定!$B$13="最小化",01_因子設定!$B$15-AB1798,MIN(AA1798-01_因子設定!$B$14,01_因子設定!$B$15-AB1798))),-1E+030)</f>
        <v>-3.20057247618689</v>
      </c>
      <c r="AE1798" s="55" t="n">
        <f aca="false">IF(AC1798,IF(01_因子設定!$B$13="最大化",X1798,IF(01_因子設定!$B$13="最小化",-X1798,-ABS(X1798-01_因子設定!$B$16))),-1E+030)</f>
        <v>44.7350420321637</v>
      </c>
      <c r="AF1798" s="55" t="n">
        <f aca="false">AD1798+ROW()*0.000000001</f>
        <v>-3.20057067818689</v>
      </c>
      <c r="AG1798" s="55" t="n">
        <f aca="false">AE1798+ROW()*0.000000001</f>
        <v>44.7350438301637</v>
      </c>
    </row>
    <row r="1799" customFormat="false" ht="15" hidden="false" customHeight="false" outlineLevel="0" collapsed="false">
      <c r="A1799" s="0" t="n">
        <v>2</v>
      </c>
      <c r="B1799" s="0" t="n">
        <v>4</v>
      </c>
      <c r="C1799" s="0" t="n">
        <v>1</v>
      </c>
      <c r="D1799" s="0" t="n">
        <v>3</v>
      </c>
      <c r="E1799" s="0" t="n">
        <f aca="false">-1+A1799*0.25</f>
        <v>-0.5</v>
      </c>
      <c r="F1799" s="0" t="n">
        <f aca="false">-1+B1799*0.25</f>
        <v>0</v>
      </c>
      <c r="G1799" s="0" t="n">
        <f aca="false">-1+C1799*0.25</f>
        <v>-0.75</v>
      </c>
      <c r="H1799" s="0" t="n">
        <f aca="false">-1+D1799*0.25</f>
        <v>-0.25</v>
      </c>
      <c r="I1799" s="0" t="n">
        <f aca="false">1</f>
        <v>1</v>
      </c>
      <c r="J1799" s="0" t="n">
        <f aca="false">E1799</f>
        <v>-0.5</v>
      </c>
      <c r="K1799" s="0" t="n">
        <f aca="false">F1799</f>
        <v>0</v>
      </c>
      <c r="L1799" s="0" t="n">
        <f aca="false">G1799</f>
        <v>-0.75</v>
      </c>
      <c r="M1799" s="0" t="n">
        <f aca="false">H1799</f>
        <v>-0.25</v>
      </c>
      <c r="N1799" s="0" t="n">
        <f aca="false">E1799*F1799</f>
        <v>-0</v>
      </c>
      <c r="O1799" s="0" t="n">
        <f aca="false">E1799*G1799</f>
        <v>0.375</v>
      </c>
      <c r="P1799" s="0" t="n">
        <f aca="false">E1799*H1799</f>
        <v>0.125</v>
      </c>
      <c r="Q1799" s="0" t="n">
        <f aca="false">F1799*G1799</f>
        <v>-0</v>
      </c>
      <c r="R1799" s="0" t="n">
        <f aca="false">F1799*H1799</f>
        <v>-0</v>
      </c>
      <c r="S1799" s="0" t="n">
        <f aca="false">G1799*H1799</f>
        <v>0.1875</v>
      </c>
      <c r="T1799" s="0" t="n">
        <f aca="false">E1799*E1799</f>
        <v>0.25</v>
      </c>
      <c r="U1799" s="0" t="n">
        <f aca="false">F1799*F1799</f>
        <v>0</v>
      </c>
      <c r="V1799" s="0" t="n">
        <f aca="false">G1799*G1799</f>
        <v>0.5625</v>
      </c>
      <c r="W1799" s="0" t="n">
        <f aca="false">H1799*H1799</f>
        <v>0.0625</v>
      </c>
      <c r="X1799" s="0" t="n">
        <f aca="false">SUMPRODUCT(I1799:W1799,_XtX!$B$96:$P$96)</f>
        <v>44.8386101973684</v>
      </c>
      <c r="Y1799" s="0" t="n">
        <f aca="false">SUMPRODUCT(MMULT(I1799:W1799,_XtX!$B$78:$P$92),I1799:W1799)</f>
        <v>0.215110734192252</v>
      </c>
      <c r="Z1799" s="0" t="n">
        <f aca="false">04_回帰ANOVA!$K$19*04_回帰ANOVA!$K$14*SQRT(1+Y1799)</f>
        <v>1.43683309086864</v>
      </c>
      <c r="AA1799" s="0" t="n">
        <f aca="false">X1799-Z1799</f>
        <v>43.4017771064997</v>
      </c>
      <c r="AB1799" s="0" t="n">
        <f aca="false">X1799+Z1799</f>
        <v>46.275443288237</v>
      </c>
      <c r="AC1799" s="54" t="b">
        <f aca="false">AND(E1799&gt;=01_因子設定!$L$5-0.000000001,E1799&lt;=01_因子設定!$M$5+0.000000001,F1799&gt;=01_因子設定!$L$6-0.000000001,F1799&lt;=01_因子設定!$M$6+0.000000001,G1799&gt;=01_因子設定!$L$7-0.000000001,G1799&lt;=01_因子設定!$M$7+0.000000001,H1799&gt;=01_因子設定!$L$8-0.000000001,H1799&lt;=01_因子設定!$M$8+0.000000001,IF(01_因子設定!$B$20="Box-Behnken",E1799^2+F1799^2+G1799^2+H1799^2&lt;=2+0.000000001,TRUE()))</f>
        <v>1</v>
      </c>
      <c r="AD1799" s="55" t="n">
        <f aca="false">IF(AC1799,IF(01_因子設定!$B$13="最大化",AA1799-01_因子設定!$B$14,IF(01_因子設定!$B$13="最小化",01_因子設定!$B$15-AB1799,MIN(AA1799-01_因子設定!$B$14,01_因子設定!$B$15-AB1799))),-1E+030)</f>
        <v>-3.09822289350026</v>
      </c>
      <c r="AE1799" s="55" t="n">
        <f aca="false">IF(AC1799,IF(01_因子設定!$B$13="最大化",X1799,IF(01_因子設定!$B$13="最小化",-X1799,-ABS(X1799-01_因子設定!$B$16))),-1E+030)</f>
        <v>44.8386101973684</v>
      </c>
      <c r="AF1799" s="55" t="n">
        <f aca="false">AD1799+ROW()*0.000000001</f>
        <v>-3.09822109450026</v>
      </c>
      <c r="AG1799" s="55" t="n">
        <f aca="false">AE1799+ROW()*0.000000001</f>
        <v>44.8386119963684</v>
      </c>
    </row>
    <row r="1800" customFormat="false" ht="15" hidden="false" customHeight="false" outlineLevel="0" collapsed="false">
      <c r="A1800" s="0" t="n">
        <v>2</v>
      </c>
      <c r="B1800" s="0" t="n">
        <v>4</v>
      </c>
      <c r="C1800" s="0" t="n">
        <v>1</v>
      </c>
      <c r="D1800" s="0" t="n">
        <v>4</v>
      </c>
      <c r="E1800" s="0" t="n">
        <f aca="false">-1+A1800*0.25</f>
        <v>-0.5</v>
      </c>
      <c r="F1800" s="0" t="n">
        <f aca="false">-1+B1800*0.25</f>
        <v>0</v>
      </c>
      <c r="G1800" s="0" t="n">
        <f aca="false">-1+C1800*0.25</f>
        <v>-0.75</v>
      </c>
      <c r="H1800" s="0" t="n">
        <f aca="false">-1+D1800*0.25</f>
        <v>0</v>
      </c>
      <c r="I1800" s="0" t="n">
        <f aca="false">1</f>
        <v>1</v>
      </c>
      <c r="J1800" s="0" t="n">
        <f aca="false">E1800</f>
        <v>-0.5</v>
      </c>
      <c r="K1800" s="0" t="n">
        <f aca="false">F1800</f>
        <v>0</v>
      </c>
      <c r="L1800" s="0" t="n">
        <f aca="false">G1800</f>
        <v>-0.75</v>
      </c>
      <c r="M1800" s="0" t="n">
        <f aca="false">H1800</f>
        <v>0</v>
      </c>
      <c r="N1800" s="0" t="n">
        <f aca="false">E1800*F1800</f>
        <v>-0</v>
      </c>
      <c r="O1800" s="0" t="n">
        <f aca="false">E1800*G1800</f>
        <v>0.375</v>
      </c>
      <c r="P1800" s="0" t="n">
        <f aca="false">E1800*H1800</f>
        <v>-0</v>
      </c>
      <c r="Q1800" s="0" t="n">
        <f aca="false">F1800*G1800</f>
        <v>-0</v>
      </c>
      <c r="R1800" s="0" t="n">
        <f aca="false">F1800*H1800</f>
        <v>0</v>
      </c>
      <c r="S1800" s="0" t="n">
        <f aca="false">G1800*H1800</f>
        <v>-0</v>
      </c>
      <c r="T1800" s="0" t="n">
        <f aca="false">E1800*E1800</f>
        <v>0.25</v>
      </c>
      <c r="U1800" s="0" t="n">
        <f aca="false">F1800*F1800</f>
        <v>0</v>
      </c>
      <c r="V1800" s="0" t="n">
        <f aca="false">G1800*G1800</f>
        <v>0.5625</v>
      </c>
      <c r="W1800" s="0" t="n">
        <f aca="false">H1800*H1800</f>
        <v>0</v>
      </c>
      <c r="X1800" s="0" t="n">
        <f aca="false">SUMPRODUCT(I1800:W1800,_XtX!$B$96:$P$96)</f>
        <v>44.8943713450292</v>
      </c>
      <c r="Y1800" s="0" t="n">
        <f aca="false">SUMPRODUCT(MMULT(I1800:W1800,_XtX!$B$78:$P$92),I1800:W1800)</f>
        <v>0.221828170687135</v>
      </c>
      <c r="Z1800" s="0" t="n">
        <f aca="false">04_回帰ANOVA!$K$19*04_回帰ANOVA!$K$14*SQRT(1+Y1800)</f>
        <v>1.44079920361664</v>
      </c>
      <c r="AA1800" s="0" t="n">
        <f aca="false">X1800-Z1800</f>
        <v>43.4535721414126</v>
      </c>
      <c r="AB1800" s="0" t="n">
        <f aca="false">X1800+Z1800</f>
        <v>46.3351705486458</v>
      </c>
      <c r="AC1800" s="54" t="b">
        <f aca="false">AND(E1800&gt;=01_因子設定!$L$5-0.000000001,E1800&lt;=01_因子設定!$M$5+0.000000001,F1800&gt;=01_因子設定!$L$6-0.000000001,F1800&lt;=01_因子設定!$M$6+0.000000001,G1800&gt;=01_因子設定!$L$7-0.000000001,G1800&lt;=01_因子設定!$M$7+0.000000001,H1800&gt;=01_因子設定!$L$8-0.000000001,H1800&lt;=01_因子設定!$M$8+0.000000001,IF(01_因子設定!$B$20="Box-Behnken",E1800^2+F1800^2+G1800^2+H1800^2&lt;=2+0.000000001,TRUE()))</f>
        <v>1</v>
      </c>
      <c r="AD1800" s="55" t="n">
        <f aca="false">IF(AC1800,IF(01_因子設定!$B$13="最大化",AA1800-01_因子設定!$B$14,IF(01_因子設定!$B$13="最小化",01_因子設定!$B$15-AB1800,MIN(AA1800-01_因子設定!$B$14,01_因子設定!$B$15-AB1800))),-1E+030)</f>
        <v>-3.04642785858744</v>
      </c>
      <c r="AE1800" s="55" t="n">
        <f aca="false">IF(AC1800,IF(01_因子設定!$B$13="最大化",X1800,IF(01_因子設定!$B$13="最小化",-X1800,-ABS(X1800-01_因子設定!$B$16))),-1E+030)</f>
        <v>44.8943713450292</v>
      </c>
      <c r="AF1800" s="55" t="n">
        <f aca="false">AD1800+ROW()*0.000000001</f>
        <v>-3.04642605858744</v>
      </c>
      <c r="AG1800" s="55" t="n">
        <f aca="false">AE1800+ROW()*0.000000001</f>
        <v>44.8943731450292</v>
      </c>
    </row>
    <row r="1801" customFormat="false" ht="15" hidden="false" customHeight="false" outlineLevel="0" collapsed="false">
      <c r="A1801" s="0" t="n">
        <v>2</v>
      </c>
      <c r="B1801" s="0" t="n">
        <v>4</v>
      </c>
      <c r="C1801" s="0" t="n">
        <v>1</v>
      </c>
      <c r="D1801" s="0" t="n">
        <v>5</v>
      </c>
      <c r="E1801" s="0" t="n">
        <f aca="false">-1+A1801*0.25</f>
        <v>-0.5</v>
      </c>
      <c r="F1801" s="0" t="n">
        <f aca="false">-1+B1801*0.25</f>
        <v>0</v>
      </c>
      <c r="G1801" s="0" t="n">
        <f aca="false">-1+C1801*0.25</f>
        <v>-0.75</v>
      </c>
      <c r="H1801" s="0" t="n">
        <f aca="false">-1+D1801*0.25</f>
        <v>0.25</v>
      </c>
      <c r="I1801" s="0" t="n">
        <f aca="false">1</f>
        <v>1</v>
      </c>
      <c r="J1801" s="0" t="n">
        <f aca="false">E1801</f>
        <v>-0.5</v>
      </c>
      <c r="K1801" s="0" t="n">
        <f aca="false">F1801</f>
        <v>0</v>
      </c>
      <c r="L1801" s="0" t="n">
        <f aca="false">G1801</f>
        <v>-0.75</v>
      </c>
      <c r="M1801" s="0" t="n">
        <f aca="false">H1801</f>
        <v>0.25</v>
      </c>
      <c r="N1801" s="0" t="n">
        <f aca="false">E1801*F1801</f>
        <v>-0</v>
      </c>
      <c r="O1801" s="0" t="n">
        <f aca="false">E1801*G1801</f>
        <v>0.375</v>
      </c>
      <c r="P1801" s="0" t="n">
        <f aca="false">E1801*H1801</f>
        <v>-0.125</v>
      </c>
      <c r="Q1801" s="0" t="n">
        <f aca="false">F1801*G1801</f>
        <v>-0</v>
      </c>
      <c r="R1801" s="0" t="n">
        <f aca="false">F1801*H1801</f>
        <v>0</v>
      </c>
      <c r="S1801" s="0" t="n">
        <f aca="false">G1801*H1801</f>
        <v>-0.1875</v>
      </c>
      <c r="T1801" s="0" t="n">
        <f aca="false">E1801*E1801</f>
        <v>0.25</v>
      </c>
      <c r="U1801" s="0" t="n">
        <f aca="false">F1801*F1801</f>
        <v>0</v>
      </c>
      <c r="V1801" s="0" t="n">
        <f aca="false">G1801*G1801</f>
        <v>0.5625</v>
      </c>
      <c r="W1801" s="0" t="n">
        <f aca="false">H1801*H1801</f>
        <v>0.0625</v>
      </c>
      <c r="X1801" s="0" t="n">
        <f aca="false">SUMPRODUCT(I1801:W1801,_XtX!$B$96:$P$96)</f>
        <v>44.9023254751462</v>
      </c>
      <c r="Y1801" s="0" t="n">
        <f aca="false">SUMPRODUCT(MMULT(I1801:W1801,_XtX!$B$78:$P$92),I1801:W1801)</f>
        <v>0.215110734192252</v>
      </c>
      <c r="Z1801" s="0" t="n">
        <f aca="false">04_回帰ANOVA!$K$19*04_回帰ANOVA!$K$14*SQRT(1+Y1801)</f>
        <v>1.43683309086864</v>
      </c>
      <c r="AA1801" s="0" t="n">
        <f aca="false">X1801-Z1801</f>
        <v>43.4654923842775</v>
      </c>
      <c r="AB1801" s="0" t="n">
        <f aca="false">X1801+Z1801</f>
        <v>46.3391585660148</v>
      </c>
      <c r="AC1801" s="54" t="b">
        <f aca="false">AND(E1801&gt;=01_因子設定!$L$5-0.000000001,E1801&lt;=01_因子設定!$M$5+0.000000001,F1801&gt;=01_因子設定!$L$6-0.000000001,F1801&lt;=01_因子設定!$M$6+0.000000001,G1801&gt;=01_因子設定!$L$7-0.000000001,G1801&lt;=01_因子設定!$M$7+0.000000001,H1801&gt;=01_因子設定!$L$8-0.000000001,H1801&lt;=01_因子設定!$M$8+0.000000001,IF(01_因子設定!$B$20="Box-Behnken",E1801^2+F1801^2+G1801^2+H1801^2&lt;=2+0.000000001,TRUE()))</f>
        <v>1</v>
      </c>
      <c r="AD1801" s="55" t="n">
        <f aca="false">IF(AC1801,IF(01_因子設定!$B$13="最大化",AA1801-01_因子設定!$B$14,IF(01_因子設定!$B$13="最小化",01_因子設定!$B$15-AB1801,MIN(AA1801-01_因子設定!$B$14,01_因子設定!$B$15-AB1801))),-1E+030)</f>
        <v>-3.03450761572248</v>
      </c>
      <c r="AE1801" s="55" t="n">
        <f aca="false">IF(AC1801,IF(01_因子設定!$B$13="最大化",X1801,IF(01_因子設定!$B$13="最小化",-X1801,-ABS(X1801-01_因子設定!$B$16))),-1E+030)</f>
        <v>44.9023254751462</v>
      </c>
      <c r="AF1801" s="55" t="n">
        <f aca="false">AD1801+ROW()*0.000000001</f>
        <v>-3.03450581472248</v>
      </c>
      <c r="AG1801" s="55" t="n">
        <f aca="false">AE1801+ROW()*0.000000001</f>
        <v>44.9023272761462</v>
      </c>
    </row>
    <row r="1802" customFormat="false" ht="15" hidden="false" customHeight="false" outlineLevel="0" collapsed="false">
      <c r="A1802" s="0" t="n">
        <v>2</v>
      </c>
      <c r="B1802" s="0" t="n">
        <v>4</v>
      </c>
      <c r="C1802" s="0" t="n">
        <v>1</v>
      </c>
      <c r="D1802" s="0" t="n">
        <v>6</v>
      </c>
      <c r="E1802" s="0" t="n">
        <f aca="false">-1+A1802*0.25</f>
        <v>-0.5</v>
      </c>
      <c r="F1802" s="0" t="n">
        <f aca="false">-1+B1802*0.25</f>
        <v>0</v>
      </c>
      <c r="G1802" s="0" t="n">
        <f aca="false">-1+C1802*0.25</f>
        <v>-0.75</v>
      </c>
      <c r="H1802" s="0" t="n">
        <f aca="false">-1+D1802*0.25</f>
        <v>0.5</v>
      </c>
      <c r="I1802" s="0" t="n">
        <f aca="false">1</f>
        <v>1</v>
      </c>
      <c r="J1802" s="0" t="n">
        <f aca="false">E1802</f>
        <v>-0.5</v>
      </c>
      <c r="K1802" s="0" t="n">
        <f aca="false">F1802</f>
        <v>0</v>
      </c>
      <c r="L1802" s="0" t="n">
        <f aca="false">G1802</f>
        <v>-0.75</v>
      </c>
      <c r="M1802" s="0" t="n">
        <f aca="false">H1802</f>
        <v>0.5</v>
      </c>
      <c r="N1802" s="0" t="n">
        <f aca="false">E1802*F1802</f>
        <v>-0</v>
      </c>
      <c r="O1802" s="0" t="n">
        <f aca="false">E1802*G1802</f>
        <v>0.375</v>
      </c>
      <c r="P1802" s="0" t="n">
        <f aca="false">E1802*H1802</f>
        <v>-0.25</v>
      </c>
      <c r="Q1802" s="0" t="n">
        <f aca="false">F1802*G1802</f>
        <v>-0</v>
      </c>
      <c r="R1802" s="0" t="n">
        <f aca="false">F1802*H1802</f>
        <v>0</v>
      </c>
      <c r="S1802" s="0" t="n">
        <f aca="false">G1802*H1802</f>
        <v>-0.375</v>
      </c>
      <c r="T1802" s="0" t="n">
        <f aca="false">E1802*E1802</f>
        <v>0.25</v>
      </c>
      <c r="U1802" s="0" t="n">
        <f aca="false">F1802*F1802</f>
        <v>0</v>
      </c>
      <c r="V1802" s="0" t="n">
        <f aca="false">G1802*G1802</f>
        <v>0.5625</v>
      </c>
      <c r="W1802" s="0" t="n">
        <f aca="false">H1802*H1802</f>
        <v>0.25</v>
      </c>
      <c r="X1802" s="0" t="n">
        <f aca="false">SUMPRODUCT(I1802:W1802,_XtX!$B$96:$P$96)</f>
        <v>44.8624725877193</v>
      </c>
      <c r="Y1802" s="0" t="n">
        <f aca="false">SUMPRODUCT(MMULT(I1802:W1802,_XtX!$B$78:$P$92),I1802:W1802)</f>
        <v>0.21305052997076</v>
      </c>
      <c r="Z1802" s="0" t="n">
        <f aca="false">04_回帰ANOVA!$K$19*04_回帰ANOVA!$K$14*SQRT(1+Y1802)</f>
        <v>1.43561450835061</v>
      </c>
      <c r="AA1802" s="0" t="n">
        <f aca="false">X1802-Z1802</f>
        <v>43.4268580793687</v>
      </c>
      <c r="AB1802" s="0" t="n">
        <f aca="false">X1802+Z1802</f>
        <v>46.2980870960699</v>
      </c>
      <c r="AC1802" s="54" t="b">
        <f aca="false">AND(E1802&gt;=01_因子設定!$L$5-0.000000001,E1802&lt;=01_因子設定!$M$5+0.000000001,F1802&gt;=01_因子設定!$L$6-0.000000001,F1802&lt;=01_因子設定!$M$6+0.000000001,G1802&gt;=01_因子設定!$L$7-0.000000001,G1802&lt;=01_因子設定!$M$7+0.000000001,H1802&gt;=01_因子設定!$L$8-0.000000001,H1802&lt;=01_因子設定!$M$8+0.000000001,IF(01_因子設定!$B$20="Box-Behnken",E1802^2+F1802^2+G1802^2+H1802^2&lt;=2+0.000000001,TRUE()))</f>
        <v>1</v>
      </c>
      <c r="AD1802" s="55" t="n">
        <f aca="false">IF(AC1802,IF(01_因子設定!$B$13="最大化",AA1802-01_因子設定!$B$14,IF(01_因子設定!$B$13="最小化",01_因子設定!$B$15-AB1802,MIN(AA1802-01_因子設定!$B$14,01_因子設定!$B$15-AB1802))),-1E+030)</f>
        <v>-3.07314192063134</v>
      </c>
      <c r="AE1802" s="55" t="n">
        <f aca="false">IF(AC1802,IF(01_因子設定!$B$13="最大化",X1802,IF(01_因子設定!$B$13="最小化",-X1802,-ABS(X1802-01_因子設定!$B$16))),-1E+030)</f>
        <v>44.8624725877193</v>
      </c>
      <c r="AF1802" s="55" t="n">
        <f aca="false">AD1802+ROW()*0.000000001</f>
        <v>-3.07314011863134</v>
      </c>
      <c r="AG1802" s="55" t="n">
        <f aca="false">AE1802+ROW()*0.000000001</f>
        <v>44.8624743897193</v>
      </c>
    </row>
    <row r="1803" customFormat="false" ht="15" hidden="false" customHeight="false" outlineLevel="0" collapsed="false">
      <c r="A1803" s="0" t="n">
        <v>2</v>
      </c>
      <c r="B1803" s="0" t="n">
        <v>4</v>
      </c>
      <c r="C1803" s="0" t="n">
        <v>1</v>
      </c>
      <c r="D1803" s="0" t="n">
        <v>7</v>
      </c>
      <c r="E1803" s="0" t="n">
        <f aca="false">-1+A1803*0.25</f>
        <v>-0.5</v>
      </c>
      <c r="F1803" s="0" t="n">
        <f aca="false">-1+B1803*0.25</f>
        <v>0</v>
      </c>
      <c r="G1803" s="0" t="n">
        <f aca="false">-1+C1803*0.25</f>
        <v>-0.75</v>
      </c>
      <c r="H1803" s="0" t="n">
        <f aca="false">-1+D1803*0.25</f>
        <v>0.75</v>
      </c>
      <c r="I1803" s="0" t="n">
        <f aca="false">1</f>
        <v>1</v>
      </c>
      <c r="J1803" s="0" t="n">
        <f aca="false">E1803</f>
        <v>-0.5</v>
      </c>
      <c r="K1803" s="0" t="n">
        <f aca="false">F1803</f>
        <v>0</v>
      </c>
      <c r="L1803" s="0" t="n">
        <f aca="false">G1803</f>
        <v>-0.75</v>
      </c>
      <c r="M1803" s="0" t="n">
        <f aca="false">H1803</f>
        <v>0.75</v>
      </c>
      <c r="N1803" s="0" t="n">
        <f aca="false">E1803*F1803</f>
        <v>-0</v>
      </c>
      <c r="O1803" s="0" t="n">
        <f aca="false">E1803*G1803</f>
        <v>0.375</v>
      </c>
      <c r="P1803" s="0" t="n">
        <f aca="false">E1803*H1803</f>
        <v>-0.375</v>
      </c>
      <c r="Q1803" s="0" t="n">
        <f aca="false">F1803*G1803</f>
        <v>-0</v>
      </c>
      <c r="R1803" s="0" t="n">
        <f aca="false">F1803*H1803</f>
        <v>0</v>
      </c>
      <c r="S1803" s="0" t="n">
        <f aca="false">G1803*H1803</f>
        <v>-0.5625</v>
      </c>
      <c r="T1803" s="0" t="n">
        <f aca="false">E1803*E1803</f>
        <v>0.25</v>
      </c>
      <c r="U1803" s="0" t="n">
        <f aca="false">F1803*F1803</f>
        <v>0</v>
      </c>
      <c r="V1803" s="0" t="n">
        <f aca="false">G1803*G1803</f>
        <v>0.5625</v>
      </c>
      <c r="W1803" s="0" t="n">
        <f aca="false">H1803*H1803</f>
        <v>0.5625</v>
      </c>
      <c r="X1803" s="0" t="n">
        <f aca="false">SUMPRODUCT(I1803:W1803,_XtX!$B$96:$P$96)</f>
        <v>44.7748126827485</v>
      </c>
      <c r="Y1803" s="0" t="n">
        <f aca="false">SUMPRODUCT(MMULT(I1803:W1803,_XtX!$B$78:$P$92),I1803:W1803)</f>
        <v>0.269923873812135</v>
      </c>
      <c r="Z1803" s="0" t="n">
        <f aca="false">04_回帰ANOVA!$K$19*04_回帰ANOVA!$K$14*SQRT(1+Y1803)</f>
        <v>1.46888310825501</v>
      </c>
      <c r="AA1803" s="0" t="n">
        <f aca="false">X1803-Z1803</f>
        <v>43.3059295744935</v>
      </c>
      <c r="AB1803" s="0" t="n">
        <f aca="false">X1803+Z1803</f>
        <v>46.2436957910035</v>
      </c>
      <c r="AC1803" s="54" t="b">
        <f aca="false">AND(E1803&gt;=01_因子設定!$L$5-0.000000001,E1803&lt;=01_因子設定!$M$5+0.000000001,F1803&gt;=01_因子設定!$L$6-0.000000001,F1803&lt;=01_因子設定!$M$6+0.000000001,G1803&gt;=01_因子設定!$L$7-0.000000001,G1803&lt;=01_因子設定!$M$7+0.000000001,H1803&gt;=01_因子設定!$L$8-0.000000001,H1803&lt;=01_因子設定!$M$8+0.000000001,IF(01_因子設定!$B$20="Box-Behnken",E1803^2+F1803^2+G1803^2+H1803^2&lt;=2+0.000000001,TRUE()))</f>
        <v>1</v>
      </c>
      <c r="AD1803" s="55" t="n">
        <f aca="false">IF(AC1803,IF(01_因子設定!$B$13="最大化",AA1803-01_因子設定!$B$14,IF(01_因子設定!$B$13="最小化",01_因子設定!$B$15-AB1803,MIN(AA1803-01_因子設定!$B$14,01_因子設定!$B$15-AB1803))),-1E+030)</f>
        <v>-3.19407042550649</v>
      </c>
      <c r="AE1803" s="55" t="n">
        <f aca="false">IF(AC1803,IF(01_因子設定!$B$13="最大化",X1803,IF(01_因子設定!$B$13="最小化",-X1803,-ABS(X1803-01_因子設定!$B$16))),-1E+030)</f>
        <v>44.7748126827485</v>
      </c>
      <c r="AF1803" s="55" t="n">
        <f aca="false">AD1803+ROW()*0.000000001</f>
        <v>-3.19406862250649</v>
      </c>
      <c r="AG1803" s="55" t="n">
        <f aca="false">AE1803+ROW()*0.000000001</f>
        <v>44.7748144857485</v>
      </c>
    </row>
    <row r="1804" customFormat="false" ht="15" hidden="false" customHeight="false" outlineLevel="0" collapsed="false">
      <c r="A1804" s="0" t="n">
        <v>2</v>
      </c>
      <c r="B1804" s="0" t="n">
        <v>4</v>
      </c>
      <c r="C1804" s="0" t="n">
        <v>1</v>
      </c>
      <c r="D1804" s="0" t="n">
        <v>8</v>
      </c>
      <c r="E1804" s="0" t="n">
        <f aca="false">-1+A1804*0.25</f>
        <v>-0.5</v>
      </c>
      <c r="F1804" s="0" t="n">
        <f aca="false">-1+B1804*0.25</f>
        <v>0</v>
      </c>
      <c r="G1804" s="0" t="n">
        <f aca="false">-1+C1804*0.25</f>
        <v>-0.75</v>
      </c>
      <c r="H1804" s="0" t="n">
        <f aca="false">-1+D1804*0.25</f>
        <v>1</v>
      </c>
      <c r="I1804" s="0" t="n">
        <f aca="false">1</f>
        <v>1</v>
      </c>
      <c r="J1804" s="0" t="n">
        <f aca="false">E1804</f>
        <v>-0.5</v>
      </c>
      <c r="K1804" s="0" t="n">
        <f aca="false">F1804</f>
        <v>0</v>
      </c>
      <c r="L1804" s="0" t="n">
        <f aca="false">G1804</f>
        <v>-0.75</v>
      </c>
      <c r="M1804" s="0" t="n">
        <f aca="false">H1804</f>
        <v>1</v>
      </c>
      <c r="N1804" s="0" t="n">
        <f aca="false">E1804*F1804</f>
        <v>-0</v>
      </c>
      <c r="O1804" s="0" t="n">
        <f aca="false">E1804*G1804</f>
        <v>0.375</v>
      </c>
      <c r="P1804" s="0" t="n">
        <f aca="false">E1804*H1804</f>
        <v>-0.5</v>
      </c>
      <c r="Q1804" s="0" t="n">
        <f aca="false">F1804*G1804</f>
        <v>-0</v>
      </c>
      <c r="R1804" s="0" t="n">
        <f aca="false">F1804*H1804</f>
        <v>0</v>
      </c>
      <c r="S1804" s="0" t="n">
        <f aca="false">G1804*H1804</f>
        <v>-0.75</v>
      </c>
      <c r="T1804" s="0" t="n">
        <f aca="false">E1804*E1804</f>
        <v>0.25</v>
      </c>
      <c r="U1804" s="0" t="n">
        <f aca="false">F1804*F1804</f>
        <v>0</v>
      </c>
      <c r="V1804" s="0" t="n">
        <f aca="false">G1804*G1804</f>
        <v>0.5625</v>
      </c>
      <c r="W1804" s="0" t="n">
        <f aca="false">H1804*H1804</f>
        <v>1</v>
      </c>
      <c r="X1804" s="0" t="n">
        <f aca="false">SUMPRODUCT(I1804:W1804,_XtX!$B$96:$P$96)</f>
        <v>44.6393457602339</v>
      </c>
      <c r="Y1804" s="0" t="n">
        <f aca="false">SUMPRODUCT(MMULT(I1804:W1804,_XtX!$B$78:$P$92),I1804:W1804)</f>
        <v>0.476191292032164</v>
      </c>
      <c r="Z1804" s="0" t="n">
        <f aca="false">04_回帰ANOVA!$K$19*04_回帰ANOVA!$K$14*SQRT(1+Y1804)</f>
        <v>1.58368831471718</v>
      </c>
      <c r="AA1804" s="0" t="n">
        <f aca="false">X1804-Z1804</f>
        <v>43.0556574455167</v>
      </c>
      <c r="AB1804" s="0" t="n">
        <f aca="false">X1804+Z1804</f>
        <v>46.2230340749511</v>
      </c>
      <c r="AC1804" s="54" t="b">
        <f aca="false">AND(E1804&gt;=01_因子設定!$L$5-0.000000001,E1804&lt;=01_因子設定!$M$5+0.000000001,F1804&gt;=01_因子設定!$L$6-0.000000001,F1804&lt;=01_因子設定!$M$6+0.000000001,G1804&gt;=01_因子設定!$L$7-0.000000001,G1804&lt;=01_因子設定!$M$7+0.000000001,H1804&gt;=01_因子設定!$L$8-0.000000001,H1804&lt;=01_因子設定!$M$8+0.000000001,IF(01_因子設定!$B$20="Box-Behnken",E1804^2+F1804^2+G1804^2+H1804^2&lt;=2+0.000000001,TRUE()))</f>
        <v>1</v>
      </c>
      <c r="AD1804" s="55" t="n">
        <f aca="false">IF(AC1804,IF(01_因子設定!$B$13="最大化",AA1804-01_因子設定!$B$14,IF(01_因子設定!$B$13="最小化",01_因子設定!$B$15-AB1804,MIN(AA1804-01_因子設定!$B$14,01_因子設定!$B$15-AB1804))),-1E+030)</f>
        <v>-3.44434255448326</v>
      </c>
      <c r="AE1804" s="55" t="n">
        <f aca="false">IF(AC1804,IF(01_因子設定!$B$13="最大化",X1804,IF(01_因子設定!$B$13="最小化",-X1804,-ABS(X1804-01_因子設定!$B$16))),-1E+030)</f>
        <v>44.6393457602339</v>
      </c>
      <c r="AF1804" s="55" t="n">
        <f aca="false">AD1804+ROW()*0.000000001</f>
        <v>-3.44434075048326</v>
      </c>
      <c r="AG1804" s="55" t="n">
        <f aca="false">AE1804+ROW()*0.000000001</f>
        <v>44.6393475642339</v>
      </c>
    </row>
    <row r="1805" customFormat="false" ht="15" hidden="false" customHeight="false" outlineLevel="0" collapsed="false">
      <c r="A1805" s="0" t="n">
        <v>2</v>
      </c>
      <c r="B1805" s="0" t="n">
        <v>4</v>
      </c>
      <c r="C1805" s="0" t="n">
        <v>2</v>
      </c>
      <c r="D1805" s="0" t="n">
        <v>0</v>
      </c>
      <c r="E1805" s="0" t="n">
        <f aca="false">-1+A1805*0.25</f>
        <v>-0.5</v>
      </c>
      <c r="F1805" s="0" t="n">
        <f aca="false">-1+B1805*0.25</f>
        <v>0</v>
      </c>
      <c r="G1805" s="0" t="n">
        <f aca="false">-1+C1805*0.25</f>
        <v>-0.5</v>
      </c>
      <c r="H1805" s="0" t="n">
        <f aca="false">-1+D1805*0.25</f>
        <v>-1</v>
      </c>
      <c r="I1805" s="0" t="n">
        <f aca="false">1</f>
        <v>1</v>
      </c>
      <c r="J1805" s="0" t="n">
        <f aca="false">E1805</f>
        <v>-0.5</v>
      </c>
      <c r="K1805" s="0" t="n">
        <f aca="false">F1805</f>
        <v>0</v>
      </c>
      <c r="L1805" s="0" t="n">
        <f aca="false">G1805</f>
        <v>-0.5</v>
      </c>
      <c r="M1805" s="0" t="n">
        <f aca="false">H1805</f>
        <v>-1</v>
      </c>
      <c r="N1805" s="0" t="n">
        <f aca="false">E1805*F1805</f>
        <v>-0</v>
      </c>
      <c r="O1805" s="0" t="n">
        <f aca="false">E1805*G1805</f>
        <v>0.25</v>
      </c>
      <c r="P1805" s="0" t="n">
        <f aca="false">E1805*H1805</f>
        <v>0.5</v>
      </c>
      <c r="Q1805" s="0" t="n">
        <f aca="false">F1805*G1805</f>
        <v>-0</v>
      </c>
      <c r="R1805" s="0" t="n">
        <f aca="false">F1805*H1805</f>
        <v>-0</v>
      </c>
      <c r="S1805" s="0" t="n">
        <f aca="false">G1805*H1805</f>
        <v>0.5</v>
      </c>
      <c r="T1805" s="0" t="n">
        <f aca="false">E1805*E1805</f>
        <v>0.25</v>
      </c>
      <c r="U1805" s="0" t="n">
        <f aca="false">F1805*F1805</f>
        <v>0</v>
      </c>
      <c r="V1805" s="0" t="n">
        <f aca="false">G1805*G1805</f>
        <v>0.25</v>
      </c>
      <c r="W1805" s="0" t="n">
        <f aca="false">H1805*H1805</f>
        <v>1</v>
      </c>
      <c r="X1805" s="0" t="n">
        <f aca="false">SUMPRODUCT(I1805:W1805,_XtX!$B$96:$P$96)</f>
        <v>44.8529605263158</v>
      </c>
      <c r="Y1805" s="0" t="n">
        <f aca="false">SUMPRODUCT(MMULT(I1805:W1805,_XtX!$B$78:$P$92),I1805:W1805)</f>
        <v>0.441954495614035</v>
      </c>
      <c r="Z1805" s="0" t="n">
        <f aca="false">04_回帰ANOVA!$K$19*04_回帰ANOVA!$K$14*SQRT(1+Y1805)</f>
        <v>1.56521560968066</v>
      </c>
      <c r="AA1805" s="0" t="n">
        <f aca="false">X1805-Z1805</f>
        <v>43.2877449166351</v>
      </c>
      <c r="AB1805" s="0" t="n">
        <f aca="false">X1805+Z1805</f>
        <v>46.4181761359965</v>
      </c>
      <c r="AC1805" s="54" t="b">
        <f aca="false">AND(E1805&gt;=01_因子設定!$L$5-0.000000001,E1805&lt;=01_因子設定!$M$5+0.000000001,F1805&gt;=01_因子設定!$L$6-0.000000001,F1805&lt;=01_因子設定!$M$6+0.000000001,G1805&gt;=01_因子設定!$L$7-0.000000001,G1805&lt;=01_因子設定!$M$7+0.000000001,H1805&gt;=01_因子設定!$L$8-0.000000001,H1805&lt;=01_因子設定!$M$8+0.000000001,IF(01_因子設定!$B$20="Box-Behnken",E1805^2+F1805^2+G1805^2+H1805^2&lt;=2+0.000000001,TRUE()))</f>
        <v>1</v>
      </c>
      <c r="AD1805" s="55" t="n">
        <f aca="false">IF(AC1805,IF(01_因子設定!$B$13="最大化",AA1805-01_因子設定!$B$14,IF(01_因子設定!$B$13="最小化",01_因子設定!$B$15-AB1805,MIN(AA1805-01_因子設定!$B$14,01_因子設定!$B$15-AB1805))),-1E+030)</f>
        <v>-3.21225508336488</v>
      </c>
      <c r="AE1805" s="55" t="n">
        <f aca="false">IF(AC1805,IF(01_因子設定!$B$13="最大化",X1805,IF(01_因子設定!$B$13="最小化",-X1805,-ABS(X1805-01_因子設定!$B$16))),-1E+030)</f>
        <v>44.8529605263158</v>
      </c>
      <c r="AF1805" s="55" t="n">
        <f aca="false">AD1805+ROW()*0.000000001</f>
        <v>-3.21225327836488</v>
      </c>
      <c r="AG1805" s="55" t="n">
        <f aca="false">AE1805+ROW()*0.000000001</f>
        <v>44.8529623313158</v>
      </c>
    </row>
    <row r="1806" customFormat="false" ht="15" hidden="false" customHeight="false" outlineLevel="0" collapsed="false">
      <c r="A1806" s="0" t="n">
        <v>2</v>
      </c>
      <c r="B1806" s="0" t="n">
        <v>4</v>
      </c>
      <c r="C1806" s="0" t="n">
        <v>2</v>
      </c>
      <c r="D1806" s="0" t="n">
        <v>1</v>
      </c>
      <c r="E1806" s="0" t="n">
        <f aca="false">-1+A1806*0.25</f>
        <v>-0.5</v>
      </c>
      <c r="F1806" s="0" t="n">
        <f aca="false">-1+B1806*0.25</f>
        <v>0</v>
      </c>
      <c r="G1806" s="0" t="n">
        <f aca="false">-1+C1806*0.25</f>
        <v>-0.5</v>
      </c>
      <c r="H1806" s="0" t="n">
        <f aca="false">-1+D1806*0.25</f>
        <v>-0.75</v>
      </c>
      <c r="I1806" s="0" t="n">
        <f aca="false">1</f>
        <v>1</v>
      </c>
      <c r="J1806" s="0" t="n">
        <f aca="false">E1806</f>
        <v>-0.5</v>
      </c>
      <c r="K1806" s="0" t="n">
        <f aca="false">F1806</f>
        <v>0</v>
      </c>
      <c r="L1806" s="0" t="n">
        <f aca="false">G1806</f>
        <v>-0.5</v>
      </c>
      <c r="M1806" s="0" t="n">
        <f aca="false">H1806</f>
        <v>-0.75</v>
      </c>
      <c r="N1806" s="0" t="n">
        <f aca="false">E1806*F1806</f>
        <v>-0</v>
      </c>
      <c r="O1806" s="0" t="n">
        <f aca="false">E1806*G1806</f>
        <v>0.25</v>
      </c>
      <c r="P1806" s="0" t="n">
        <f aca="false">E1806*H1806</f>
        <v>0.375</v>
      </c>
      <c r="Q1806" s="0" t="n">
        <f aca="false">F1806*G1806</f>
        <v>-0</v>
      </c>
      <c r="R1806" s="0" t="n">
        <f aca="false">F1806*H1806</f>
        <v>-0</v>
      </c>
      <c r="S1806" s="0" t="n">
        <f aca="false">G1806*H1806</f>
        <v>0.375</v>
      </c>
      <c r="T1806" s="0" t="n">
        <f aca="false">E1806*E1806</f>
        <v>0.25</v>
      </c>
      <c r="U1806" s="0" t="n">
        <f aca="false">F1806*F1806</f>
        <v>0</v>
      </c>
      <c r="V1806" s="0" t="n">
        <f aca="false">G1806*G1806</f>
        <v>0.25</v>
      </c>
      <c r="W1806" s="0" t="n">
        <f aca="false">H1806*H1806</f>
        <v>0.5625</v>
      </c>
      <c r="X1806" s="0" t="n">
        <f aca="false">SUMPRODUCT(I1806:W1806,_XtX!$B$96:$P$96)</f>
        <v>45.0701114766082</v>
      </c>
      <c r="Y1806" s="0" t="n">
        <f aca="false">SUMPRODUCT(MMULT(I1806:W1806,_XtX!$B$78:$P$92),I1806:W1806)</f>
        <v>0.21305052997076</v>
      </c>
      <c r="Z1806" s="0" t="n">
        <f aca="false">04_回帰ANOVA!$K$19*04_回帰ANOVA!$K$14*SQRT(1+Y1806)</f>
        <v>1.43561450835061</v>
      </c>
      <c r="AA1806" s="0" t="n">
        <f aca="false">X1806-Z1806</f>
        <v>43.6344969682576</v>
      </c>
      <c r="AB1806" s="0" t="n">
        <f aca="false">X1806+Z1806</f>
        <v>46.5057259849588</v>
      </c>
      <c r="AC1806" s="54" t="b">
        <f aca="false">AND(E1806&gt;=01_因子設定!$L$5-0.000000001,E1806&lt;=01_因子設定!$M$5+0.000000001,F1806&gt;=01_因子設定!$L$6-0.000000001,F1806&lt;=01_因子設定!$M$6+0.000000001,G1806&gt;=01_因子設定!$L$7-0.000000001,G1806&lt;=01_因子設定!$M$7+0.000000001,H1806&gt;=01_因子設定!$L$8-0.000000001,H1806&lt;=01_因子設定!$M$8+0.000000001,IF(01_因子設定!$B$20="Box-Behnken",E1806^2+F1806^2+G1806^2+H1806^2&lt;=2+0.000000001,TRUE()))</f>
        <v>1</v>
      </c>
      <c r="AD1806" s="55" t="n">
        <f aca="false">IF(AC1806,IF(01_因子設定!$B$13="最大化",AA1806-01_因子設定!$B$14,IF(01_因子設定!$B$13="最小化",01_因子設定!$B$15-AB1806,MIN(AA1806-01_因子設定!$B$14,01_因子設定!$B$15-AB1806))),-1E+030)</f>
        <v>-2.86550303174244</v>
      </c>
      <c r="AE1806" s="55" t="n">
        <f aca="false">IF(AC1806,IF(01_因子設定!$B$13="最大化",X1806,IF(01_因子設定!$B$13="最小化",-X1806,-ABS(X1806-01_因子設定!$B$16))),-1E+030)</f>
        <v>45.0701114766082</v>
      </c>
      <c r="AF1806" s="55" t="n">
        <f aca="false">AD1806+ROW()*0.000000001</f>
        <v>-2.86550122574243</v>
      </c>
      <c r="AG1806" s="55" t="n">
        <f aca="false">AE1806+ROW()*0.000000001</f>
        <v>45.0701132826082</v>
      </c>
    </row>
    <row r="1807" customFormat="false" ht="15" hidden="false" customHeight="false" outlineLevel="0" collapsed="false">
      <c r="A1807" s="0" t="n">
        <v>2</v>
      </c>
      <c r="B1807" s="0" t="n">
        <v>4</v>
      </c>
      <c r="C1807" s="0" t="n">
        <v>2</v>
      </c>
      <c r="D1807" s="0" t="n">
        <v>2</v>
      </c>
      <c r="E1807" s="0" t="n">
        <f aca="false">-1+A1807*0.25</f>
        <v>-0.5</v>
      </c>
      <c r="F1807" s="0" t="n">
        <f aca="false">-1+B1807*0.25</f>
        <v>0</v>
      </c>
      <c r="G1807" s="0" t="n">
        <f aca="false">-1+C1807*0.25</f>
        <v>-0.5</v>
      </c>
      <c r="H1807" s="0" t="n">
        <f aca="false">-1+D1807*0.25</f>
        <v>-0.5</v>
      </c>
      <c r="I1807" s="0" t="n">
        <f aca="false">1</f>
        <v>1</v>
      </c>
      <c r="J1807" s="0" t="n">
        <f aca="false">E1807</f>
        <v>-0.5</v>
      </c>
      <c r="K1807" s="0" t="n">
        <f aca="false">F1807</f>
        <v>0</v>
      </c>
      <c r="L1807" s="0" t="n">
        <f aca="false">G1807</f>
        <v>-0.5</v>
      </c>
      <c r="M1807" s="0" t="n">
        <f aca="false">H1807</f>
        <v>-0.5</v>
      </c>
      <c r="N1807" s="0" t="n">
        <f aca="false">E1807*F1807</f>
        <v>-0</v>
      </c>
      <c r="O1807" s="0" t="n">
        <f aca="false">E1807*G1807</f>
        <v>0.25</v>
      </c>
      <c r="P1807" s="0" t="n">
        <f aca="false">E1807*H1807</f>
        <v>0.25</v>
      </c>
      <c r="Q1807" s="0" t="n">
        <f aca="false">F1807*G1807</f>
        <v>-0</v>
      </c>
      <c r="R1807" s="0" t="n">
        <f aca="false">F1807*H1807</f>
        <v>-0</v>
      </c>
      <c r="S1807" s="0" t="n">
        <f aca="false">G1807*H1807</f>
        <v>0.25</v>
      </c>
      <c r="T1807" s="0" t="n">
        <f aca="false">E1807*E1807</f>
        <v>0.25</v>
      </c>
      <c r="U1807" s="0" t="n">
        <f aca="false">F1807*F1807</f>
        <v>0</v>
      </c>
      <c r="V1807" s="0" t="n">
        <f aca="false">G1807*G1807</f>
        <v>0.25</v>
      </c>
      <c r="W1807" s="0" t="n">
        <f aca="false">H1807*H1807</f>
        <v>0.25</v>
      </c>
      <c r="X1807" s="0" t="n">
        <f aca="false">SUMPRODUCT(I1807:W1807,_XtX!$B$96:$P$96)</f>
        <v>45.2394554093567</v>
      </c>
      <c r="Y1807" s="0" t="n">
        <f aca="false">SUMPRODUCT(MMULT(I1807:W1807,_XtX!$B$78:$P$92),I1807:W1807)</f>
        <v>0.140008223684211</v>
      </c>
      <c r="Z1807" s="0" t="n">
        <f aca="false">04_回帰ANOVA!$K$19*04_回帰ANOVA!$K$14*SQRT(1+Y1807)</f>
        <v>1.39172165492264</v>
      </c>
      <c r="AA1807" s="0" t="n">
        <f aca="false">X1807-Z1807</f>
        <v>43.8477337544341</v>
      </c>
      <c r="AB1807" s="0" t="n">
        <f aca="false">X1807+Z1807</f>
        <v>46.6311770642793</v>
      </c>
      <c r="AC1807" s="54" t="b">
        <f aca="false">AND(E1807&gt;=01_因子設定!$L$5-0.000000001,E1807&lt;=01_因子設定!$M$5+0.000000001,F1807&gt;=01_因子設定!$L$6-0.000000001,F1807&lt;=01_因子設定!$M$6+0.000000001,G1807&gt;=01_因子設定!$L$7-0.000000001,G1807&lt;=01_因子設定!$M$7+0.000000001,H1807&gt;=01_因子設定!$L$8-0.000000001,H1807&lt;=01_因子設定!$M$8+0.000000001,IF(01_因子設定!$B$20="Box-Behnken",E1807^2+F1807^2+G1807^2+H1807^2&lt;=2+0.000000001,TRUE()))</f>
        <v>1</v>
      </c>
      <c r="AD1807" s="55" t="n">
        <f aca="false">IF(AC1807,IF(01_因子設定!$B$13="最大化",AA1807-01_因子設定!$B$14,IF(01_因子設定!$B$13="最小化",01_因子設定!$B$15-AB1807,MIN(AA1807-01_因子設定!$B$14,01_因子設定!$B$15-AB1807))),-1E+030)</f>
        <v>-2.65226624556594</v>
      </c>
      <c r="AE1807" s="55" t="n">
        <f aca="false">IF(AC1807,IF(01_因子設定!$B$13="最大化",X1807,IF(01_因子設定!$B$13="最小化",-X1807,-ABS(X1807-01_因子設定!$B$16))),-1E+030)</f>
        <v>45.2394554093567</v>
      </c>
      <c r="AF1807" s="55" t="n">
        <f aca="false">AD1807+ROW()*0.000000001</f>
        <v>-2.65226443856594</v>
      </c>
      <c r="AG1807" s="55" t="n">
        <f aca="false">AE1807+ROW()*0.000000001</f>
        <v>45.2394572163567</v>
      </c>
    </row>
    <row r="1808" customFormat="false" ht="15" hidden="false" customHeight="false" outlineLevel="0" collapsed="false">
      <c r="A1808" s="0" t="n">
        <v>2</v>
      </c>
      <c r="B1808" s="0" t="n">
        <v>4</v>
      </c>
      <c r="C1808" s="0" t="n">
        <v>2</v>
      </c>
      <c r="D1808" s="0" t="n">
        <v>3</v>
      </c>
      <c r="E1808" s="0" t="n">
        <f aca="false">-1+A1808*0.25</f>
        <v>-0.5</v>
      </c>
      <c r="F1808" s="0" t="n">
        <f aca="false">-1+B1808*0.25</f>
        <v>0</v>
      </c>
      <c r="G1808" s="0" t="n">
        <f aca="false">-1+C1808*0.25</f>
        <v>-0.5</v>
      </c>
      <c r="H1808" s="0" t="n">
        <f aca="false">-1+D1808*0.25</f>
        <v>-0.25</v>
      </c>
      <c r="I1808" s="0" t="n">
        <f aca="false">1</f>
        <v>1</v>
      </c>
      <c r="J1808" s="0" t="n">
        <f aca="false">E1808</f>
        <v>-0.5</v>
      </c>
      <c r="K1808" s="0" t="n">
        <f aca="false">F1808</f>
        <v>0</v>
      </c>
      <c r="L1808" s="0" t="n">
        <f aca="false">G1808</f>
        <v>-0.5</v>
      </c>
      <c r="M1808" s="0" t="n">
        <f aca="false">H1808</f>
        <v>-0.25</v>
      </c>
      <c r="N1808" s="0" t="n">
        <f aca="false">E1808*F1808</f>
        <v>-0</v>
      </c>
      <c r="O1808" s="0" t="n">
        <f aca="false">E1808*G1808</f>
        <v>0.25</v>
      </c>
      <c r="P1808" s="0" t="n">
        <f aca="false">E1808*H1808</f>
        <v>0.125</v>
      </c>
      <c r="Q1808" s="0" t="n">
        <f aca="false">F1808*G1808</f>
        <v>-0</v>
      </c>
      <c r="R1808" s="0" t="n">
        <f aca="false">F1808*H1808</f>
        <v>-0</v>
      </c>
      <c r="S1808" s="0" t="n">
        <f aca="false">G1808*H1808</f>
        <v>0.125</v>
      </c>
      <c r="T1808" s="0" t="n">
        <f aca="false">E1808*E1808</f>
        <v>0.25</v>
      </c>
      <c r="U1808" s="0" t="n">
        <f aca="false">F1808*F1808</f>
        <v>0</v>
      </c>
      <c r="V1808" s="0" t="n">
        <f aca="false">G1808*G1808</f>
        <v>0.25</v>
      </c>
      <c r="W1808" s="0" t="n">
        <f aca="false">H1808*H1808</f>
        <v>0.0625</v>
      </c>
      <c r="X1808" s="0" t="n">
        <f aca="false">SUMPRODUCT(I1808:W1808,_XtX!$B$96:$P$96)</f>
        <v>45.3609923245614</v>
      </c>
      <c r="Y1808" s="0" t="n">
        <f aca="false">SUMPRODUCT(MMULT(I1808:W1808,_XtX!$B$78:$P$92),I1808:W1808)</f>
        <v>0.132367050438597</v>
      </c>
      <c r="Z1808" s="0" t="n">
        <f aca="false">04_回帰ANOVA!$K$19*04_回帰ANOVA!$K$14*SQRT(1+Y1808)</f>
        <v>1.38704964208329</v>
      </c>
      <c r="AA1808" s="0" t="n">
        <f aca="false">X1808-Z1808</f>
        <v>43.9739426824781</v>
      </c>
      <c r="AB1808" s="0" t="n">
        <f aca="false">X1808+Z1808</f>
        <v>46.7480419666447</v>
      </c>
      <c r="AC1808" s="54" t="b">
        <f aca="false">AND(E1808&gt;=01_因子設定!$L$5-0.000000001,E1808&lt;=01_因子設定!$M$5+0.000000001,F1808&gt;=01_因子設定!$L$6-0.000000001,F1808&lt;=01_因子設定!$M$6+0.000000001,G1808&gt;=01_因子設定!$L$7-0.000000001,G1808&lt;=01_因子設定!$M$7+0.000000001,H1808&gt;=01_因子設定!$L$8-0.000000001,H1808&lt;=01_因子設定!$M$8+0.000000001,IF(01_因子設定!$B$20="Box-Behnken",E1808^2+F1808^2+G1808^2+H1808^2&lt;=2+0.000000001,TRUE()))</f>
        <v>1</v>
      </c>
      <c r="AD1808" s="55" t="n">
        <f aca="false">IF(AC1808,IF(01_因子設定!$B$13="最大化",AA1808-01_因子設定!$B$14,IF(01_因子設定!$B$13="最小化",01_因子設定!$B$15-AB1808,MIN(AA1808-01_因子設定!$B$14,01_因子設定!$B$15-AB1808))),-1E+030)</f>
        <v>-2.52605731752193</v>
      </c>
      <c r="AE1808" s="55" t="n">
        <f aca="false">IF(AC1808,IF(01_因子設定!$B$13="最大化",X1808,IF(01_因子設定!$B$13="最小化",-X1808,-ABS(X1808-01_因子設定!$B$16))),-1E+030)</f>
        <v>45.3609923245614</v>
      </c>
      <c r="AF1808" s="55" t="n">
        <f aca="false">AD1808+ROW()*0.000000001</f>
        <v>-2.52605550952193</v>
      </c>
      <c r="AG1808" s="55" t="n">
        <f aca="false">AE1808+ROW()*0.000000001</f>
        <v>45.3609941325614</v>
      </c>
    </row>
    <row r="1809" customFormat="false" ht="15" hidden="false" customHeight="false" outlineLevel="0" collapsed="false">
      <c r="A1809" s="0" t="n">
        <v>2</v>
      </c>
      <c r="B1809" s="0" t="n">
        <v>4</v>
      </c>
      <c r="C1809" s="0" t="n">
        <v>2</v>
      </c>
      <c r="D1809" s="0" t="n">
        <v>4</v>
      </c>
      <c r="E1809" s="0" t="n">
        <f aca="false">-1+A1809*0.25</f>
        <v>-0.5</v>
      </c>
      <c r="F1809" s="0" t="n">
        <f aca="false">-1+B1809*0.25</f>
        <v>0</v>
      </c>
      <c r="G1809" s="0" t="n">
        <f aca="false">-1+C1809*0.25</f>
        <v>-0.5</v>
      </c>
      <c r="H1809" s="0" t="n">
        <f aca="false">-1+D1809*0.25</f>
        <v>0</v>
      </c>
      <c r="I1809" s="0" t="n">
        <f aca="false">1</f>
        <v>1</v>
      </c>
      <c r="J1809" s="0" t="n">
        <f aca="false">E1809</f>
        <v>-0.5</v>
      </c>
      <c r="K1809" s="0" t="n">
        <f aca="false">F1809</f>
        <v>0</v>
      </c>
      <c r="L1809" s="0" t="n">
        <f aca="false">G1809</f>
        <v>-0.5</v>
      </c>
      <c r="M1809" s="0" t="n">
        <f aca="false">H1809</f>
        <v>0</v>
      </c>
      <c r="N1809" s="0" t="n">
        <f aca="false">E1809*F1809</f>
        <v>-0</v>
      </c>
      <c r="O1809" s="0" t="n">
        <f aca="false">E1809*G1809</f>
        <v>0.25</v>
      </c>
      <c r="P1809" s="0" t="n">
        <f aca="false">E1809*H1809</f>
        <v>-0</v>
      </c>
      <c r="Q1809" s="0" t="n">
        <f aca="false">F1809*G1809</f>
        <v>-0</v>
      </c>
      <c r="R1809" s="0" t="n">
        <f aca="false">F1809*H1809</f>
        <v>0</v>
      </c>
      <c r="S1809" s="0" t="n">
        <f aca="false">G1809*H1809</f>
        <v>-0</v>
      </c>
      <c r="T1809" s="0" t="n">
        <f aca="false">E1809*E1809</f>
        <v>0.25</v>
      </c>
      <c r="U1809" s="0" t="n">
        <f aca="false">F1809*F1809</f>
        <v>0</v>
      </c>
      <c r="V1809" s="0" t="n">
        <f aca="false">G1809*G1809</f>
        <v>0.25</v>
      </c>
      <c r="W1809" s="0" t="n">
        <f aca="false">H1809*H1809</f>
        <v>0</v>
      </c>
      <c r="X1809" s="0" t="n">
        <f aca="false">SUMPRODUCT(I1809:W1809,_XtX!$B$96:$P$96)</f>
        <v>45.4347222222222</v>
      </c>
      <c r="Y1809" s="0" t="n">
        <f aca="false">SUMPRODUCT(MMULT(I1809:W1809,_XtX!$B$78:$P$92),I1809:W1809)</f>
        <v>0.135850694444444</v>
      </c>
      <c r="Z1809" s="0" t="n">
        <f aca="false">04_回帰ANOVA!$K$19*04_回帰ANOVA!$K$14*SQRT(1+Y1809)</f>
        <v>1.38918158179389</v>
      </c>
      <c r="AA1809" s="0" t="n">
        <f aca="false">X1809-Z1809</f>
        <v>44.0455406404283</v>
      </c>
      <c r="AB1809" s="0" t="n">
        <f aca="false">X1809+Z1809</f>
        <v>46.8239038040161</v>
      </c>
      <c r="AC1809" s="54" t="b">
        <f aca="false">AND(E1809&gt;=01_因子設定!$L$5-0.000000001,E1809&lt;=01_因子設定!$M$5+0.000000001,F1809&gt;=01_因子設定!$L$6-0.000000001,F1809&lt;=01_因子設定!$M$6+0.000000001,G1809&gt;=01_因子設定!$L$7-0.000000001,G1809&lt;=01_因子設定!$M$7+0.000000001,H1809&gt;=01_因子設定!$L$8-0.000000001,H1809&lt;=01_因子設定!$M$8+0.000000001,IF(01_因子設定!$B$20="Box-Behnken",E1809^2+F1809^2+G1809^2+H1809^2&lt;=2+0.000000001,TRUE()))</f>
        <v>1</v>
      </c>
      <c r="AD1809" s="55" t="n">
        <f aca="false">IF(AC1809,IF(01_因子設定!$B$13="最大化",AA1809-01_因子設定!$B$14,IF(01_因子設定!$B$13="最小化",01_因子設定!$B$15-AB1809,MIN(AA1809-01_因子設定!$B$14,01_因子設定!$B$15-AB1809))),-1E+030)</f>
        <v>-2.45445935957171</v>
      </c>
      <c r="AE1809" s="55" t="n">
        <f aca="false">IF(AC1809,IF(01_因子設定!$B$13="最大化",X1809,IF(01_因子設定!$B$13="最小化",-X1809,-ABS(X1809-01_因子設定!$B$16))),-1E+030)</f>
        <v>45.4347222222222</v>
      </c>
      <c r="AF1809" s="55" t="n">
        <f aca="false">AD1809+ROW()*0.000000001</f>
        <v>-2.45445755057171</v>
      </c>
      <c r="AG1809" s="55" t="n">
        <f aca="false">AE1809+ROW()*0.000000001</f>
        <v>45.4347240312222</v>
      </c>
    </row>
    <row r="1810" customFormat="false" ht="15" hidden="false" customHeight="false" outlineLevel="0" collapsed="false">
      <c r="A1810" s="0" t="n">
        <v>2</v>
      </c>
      <c r="B1810" s="0" t="n">
        <v>4</v>
      </c>
      <c r="C1810" s="0" t="n">
        <v>2</v>
      </c>
      <c r="D1810" s="0" t="n">
        <v>5</v>
      </c>
      <c r="E1810" s="0" t="n">
        <f aca="false">-1+A1810*0.25</f>
        <v>-0.5</v>
      </c>
      <c r="F1810" s="0" t="n">
        <f aca="false">-1+B1810*0.25</f>
        <v>0</v>
      </c>
      <c r="G1810" s="0" t="n">
        <f aca="false">-1+C1810*0.25</f>
        <v>-0.5</v>
      </c>
      <c r="H1810" s="0" t="n">
        <f aca="false">-1+D1810*0.25</f>
        <v>0.25</v>
      </c>
      <c r="I1810" s="0" t="n">
        <f aca="false">1</f>
        <v>1</v>
      </c>
      <c r="J1810" s="0" t="n">
        <f aca="false">E1810</f>
        <v>-0.5</v>
      </c>
      <c r="K1810" s="0" t="n">
        <f aca="false">F1810</f>
        <v>0</v>
      </c>
      <c r="L1810" s="0" t="n">
        <f aca="false">G1810</f>
        <v>-0.5</v>
      </c>
      <c r="M1810" s="0" t="n">
        <f aca="false">H1810</f>
        <v>0.25</v>
      </c>
      <c r="N1810" s="0" t="n">
        <f aca="false">E1810*F1810</f>
        <v>-0</v>
      </c>
      <c r="O1810" s="0" t="n">
        <f aca="false">E1810*G1810</f>
        <v>0.25</v>
      </c>
      <c r="P1810" s="0" t="n">
        <f aca="false">E1810*H1810</f>
        <v>-0.125</v>
      </c>
      <c r="Q1810" s="0" t="n">
        <f aca="false">F1810*G1810</f>
        <v>-0</v>
      </c>
      <c r="R1810" s="0" t="n">
        <f aca="false">F1810*H1810</f>
        <v>0</v>
      </c>
      <c r="S1810" s="0" t="n">
        <f aca="false">G1810*H1810</f>
        <v>-0.125</v>
      </c>
      <c r="T1810" s="0" t="n">
        <f aca="false">E1810*E1810</f>
        <v>0.25</v>
      </c>
      <c r="U1810" s="0" t="n">
        <f aca="false">F1810*F1810</f>
        <v>0</v>
      </c>
      <c r="V1810" s="0" t="n">
        <f aca="false">G1810*G1810</f>
        <v>0.25</v>
      </c>
      <c r="W1810" s="0" t="n">
        <f aca="false">H1810*H1810</f>
        <v>0.0625</v>
      </c>
      <c r="X1810" s="0" t="n">
        <f aca="false">SUMPRODUCT(I1810:W1810,_XtX!$B$96:$P$96)</f>
        <v>45.4606451023391</v>
      </c>
      <c r="Y1810" s="0" t="n">
        <f aca="false">SUMPRODUCT(MMULT(I1810:W1810,_XtX!$B$78:$P$92),I1810:W1810)</f>
        <v>0.132367050438597</v>
      </c>
      <c r="Z1810" s="0" t="n">
        <f aca="false">04_回帰ANOVA!$K$19*04_回帰ANOVA!$K$14*SQRT(1+Y1810)</f>
        <v>1.38704964208329</v>
      </c>
      <c r="AA1810" s="0" t="n">
        <f aca="false">X1810-Z1810</f>
        <v>44.0735954602559</v>
      </c>
      <c r="AB1810" s="0" t="n">
        <f aca="false">X1810+Z1810</f>
        <v>46.8476947444224</v>
      </c>
      <c r="AC1810" s="54" t="b">
        <f aca="false">AND(E1810&gt;=01_因子設定!$L$5-0.000000001,E1810&lt;=01_因子設定!$M$5+0.000000001,F1810&gt;=01_因子設定!$L$6-0.000000001,F1810&lt;=01_因子設定!$M$6+0.000000001,G1810&gt;=01_因子設定!$L$7-0.000000001,G1810&lt;=01_因子設定!$M$7+0.000000001,H1810&gt;=01_因子設定!$L$8-0.000000001,H1810&lt;=01_因子設定!$M$8+0.000000001,IF(01_因子設定!$B$20="Box-Behnken",E1810^2+F1810^2+G1810^2+H1810^2&lt;=2+0.000000001,TRUE()))</f>
        <v>1</v>
      </c>
      <c r="AD1810" s="55" t="n">
        <f aca="false">IF(AC1810,IF(01_因子設定!$B$13="最大化",AA1810-01_因子設定!$B$14,IF(01_因子設定!$B$13="最小化",01_因子設定!$B$15-AB1810,MIN(AA1810-01_因子設定!$B$14,01_因子設定!$B$15-AB1810))),-1E+030)</f>
        <v>-2.42640453974415</v>
      </c>
      <c r="AE1810" s="55" t="n">
        <f aca="false">IF(AC1810,IF(01_因子設定!$B$13="最大化",X1810,IF(01_因子設定!$B$13="最小化",-X1810,-ABS(X1810-01_因子設定!$B$16))),-1E+030)</f>
        <v>45.4606451023391</v>
      </c>
      <c r="AF1810" s="55" t="n">
        <f aca="false">AD1810+ROW()*0.000000001</f>
        <v>-2.42640272974415</v>
      </c>
      <c r="AG1810" s="55" t="n">
        <f aca="false">AE1810+ROW()*0.000000001</f>
        <v>45.4606469123391</v>
      </c>
    </row>
    <row r="1811" customFormat="false" ht="15" hidden="false" customHeight="false" outlineLevel="0" collapsed="false">
      <c r="A1811" s="0" t="n">
        <v>2</v>
      </c>
      <c r="B1811" s="0" t="n">
        <v>4</v>
      </c>
      <c r="C1811" s="0" t="n">
        <v>2</v>
      </c>
      <c r="D1811" s="0" t="n">
        <v>6</v>
      </c>
      <c r="E1811" s="0" t="n">
        <f aca="false">-1+A1811*0.25</f>
        <v>-0.5</v>
      </c>
      <c r="F1811" s="0" t="n">
        <f aca="false">-1+B1811*0.25</f>
        <v>0</v>
      </c>
      <c r="G1811" s="0" t="n">
        <f aca="false">-1+C1811*0.25</f>
        <v>-0.5</v>
      </c>
      <c r="H1811" s="0" t="n">
        <f aca="false">-1+D1811*0.25</f>
        <v>0.5</v>
      </c>
      <c r="I1811" s="0" t="n">
        <f aca="false">1</f>
        <v>1</v>
      </c>
      <c r="J1811" s="0" t="n">
        <f aca="false">E1811</f>
        <v>-0.5</v>
      </c>
      <c r="K1811" s="0" t="n">
        <f aca="false">F1811</f>
        <v>0</v>
      </c>
      <c r="L1811" s="0" t="n">
        <f aca="false">G1811</f>
        <v>-0.5</v>
      </c>
      <c r="M1811" s="0" t="n">
        <f aca="false">H1811</f>
        <v>0.5</v>
      </c>
      <c r="N1811" s="0" t="n">
        <f aca="false">E1811*F1811</f>
        <v>-0</v>
      </c>
      <c r="O1811" s="0" t="n">
        <f aca="false">E1811*G1811</f>
        <v>0.25</v>
      </c>
      <c r="P1811" s="0" t="n">
        <f aca="false">E1811*H1811</f>
        <v>-0.25</v>
      </c>
      <c r="Q1811" s="0" t="n">
        <f aca="false">F1811*G1811</f>
        <v>-0</v>
      </c>
      <c r="R1811" s="0" t="n">
        <f aca="false">F1811*H1811</f>
        <v>0</v>
      </c>
      <c r="S1811" s="0" t="n">
        <f aca="false">G1811*H1811</f>
        <v>-0.25</v>
      </c>
      <c r="T1811" s="0" t="n">
        <f aca="false">E1811*E1811</f>
        <v>0.25</v>
      </c>
      <c r="U1811" s="0" t="n">
        <f aca="false">F1811*F1811</f>
        <v>0</v>
      </c>
      <c r="V1811" s="0" t="n">
        <f aca="false">G1811*G1811</f>
        <v>0.25</v>
      </c>
      <c r="W1811" s="0" t="n">
        <f aca="false">H1811*H1811</f>
        <v>0.25</v>
      </c>
      <c r="X1811" s="0" t="n">
        <f aca="false">SUMPRODUCT(I1811:W1811,_XtX!$B$96:$P$96)</f>
        <v>45.4387609649123</v>
      </c>
      <c r="Y1811" s="0" t="n">
        <f aca="false">SUMPRODUCT(MMULT(I1811:W1811,_XtX!$B$78:$P$92),I1811:W1811)</f>
        <v>0.140008223684211</v>
      </c>
      <c r="Z1811" s="0" t="n">
        <f aca="false">04_回帰ANOVA!$K$19*04_回帰ANOVA!$K$14*SQRT(1+Y1811)</f>
        <v>1.39172165492264</v>
      </c>
      <c r="AA1811" s="0" t="n">
        <f aca="false">X1811-Z1811</f>
        <v>44.0470393099896</v>
      </c>
      <c r="AB1811" s="0" t="n">
        <f aca="false">X1811+Z1811</f>
        <v>46.8304826198349</v>
      </c>
      <c r="AC1811" s="54" t="b">
        <f aca="false">AND(E1811&gt;=01_因子設定!$L$5-0.000000001,E1811&lt;=01_因子設定!$M$5+0.000000001,F1811&gt;=01_因子設定!$L$6-0.000000001,F1811&lt;=01_因子設定!$M$6+0.000000001,G1811&gt;=01_因子設定!$L$7-0.000000001,G1811&lt;=01_因子設定!$M$7+0.000000001,H1811&gt;=01_因子設定!$L$8-0.000000001,H1811&lt;=01_因子設定!$M$8+0.000000001,IF(01_因子設定!$B$20="Box-Behnken",E1811^2+F1811^2+G1811^2+H1811^2&lt;=2+0.000000001,TRUE()))</f>
        <v>1</v>
      </c>
      <c r="AD1811" s="55" t="n">
        <f aca="false">IF(AC1811,IF(01_因子設定!$B$13="最大化",AA1811-01_因子設定!$B$14,IF(01_因子設定!$B$13="最小化",01_因子設定!$B$15-AB1811,MIN(AA1811-01_因子設定!$B$14,01_因子設定!$B$15-AB1811))),-1E+030)</f>
        <v>-2.45296069001039</v>
      </c>
      <c r="AE1811" s="55" t="n">
        <f aca="false">IF(AC1811,IF(01_因子設定!$B$13="最大化",X1811,IF(01_因子設定!$B$13="最小化",-X1811,-ABS(X1811-01_因子設定!$B$16))),-1E+030)</f>
        <v>45.4387609649123</v>
      </c>
      <c r="AF1811" s="55" t="n">
        <f aca="false">AD1811+ROW()*0.000000001</f>
        <v>-2.45295887901039</v>
      </c>
      <c r="AG1811" s="55" t="n">
        <f aca="false">AE1811+ROW()*0.000000001</f>
        <v>45.4387627759122</v>
      </c>
    </row>
    <row r="1812" customFormat="false" ht="15" hidden="false" customHeight="false" outlineLevel="0" collapsed="false">
      <c r="A1812" s="0" t="n">
        <v>2</v>
      </c>
      <c r="B1812" s="0" t="n">
        <v>4</v>
      </c>
      <c r="C1812" s="0" t="n">
        <v>2</v>
      </c>
      <c r="D1812" s="0" t="n">
        <v>7</v>
      </c>
      <c r="E1812" s="0" t="n">
        <f aca="false">-1+A1812*0.25</f>
        <v>-0.5</v>
      </c>
      <c r="F1812" s="0" t="n">
        <f aca="false">-1+B1812*0.25</f>
        <v>0</v>
      </c>
      <c r="G1812" s="0" t="n">
        <f aca="false">-1+C1812*0.25</f>
        <v>-0.5</v>
      </c>
      <c r="H1812" s="0" t="n">
        <f aca="false">-1+D1812*0.25</f>
        <v>0.75</v>
      </c>
      <c r="I1812" s="0" t="n">
        <f aca="false">1</f>
        <v>1</v>
      </c>
      <c r="J1812" s="0" t="n">
        <f aca="false">E1812</f>
        <v>-0.5</v>
      </c>
      <c r="K1812" s="0" t="n">
        <f aca="false">F1812</f>
        <v>0</v>
      </c>
      <c r="L1812" s="0" t="n">
        <f aca="false">G1812</f>
        <v>-0.5</v>
      </c>
      <c r="M1812" s="0" t="n">
        <f aca="false">H1812</f>
        <v>0.75</v>
      </c>
      <c r="N1812" s="0" t="n">
        <f aca="false">E1812*F1812</f>
        <v>-0</v>
      </c>
      <c r="O1812" s="0" t="n">
        <f aca="false">E1812*G1812</f>
        <v>0.25</v>
      </c>
      <c r="P1812" s="0" t="n">
        <f aca="false">E1812*H1812</f>
        <v>-0.375</v>
      </c>
      <c r="Q1812" s="0" t="n">
        <f aca="false">F1812*G1812</f>
        <v>-0</v>
      </c>
      <c r="R1812" s="0" t="n">
        <f aca="false">F1812*H1812</f>
        <v>0</v>
      </c>
      <c r="S1812" s="0" t="n">
        <f aca="false">G1812*H1812</f>
        <v>-0.375</v>
      </c>
      <c r="T1812" s="0" t="n">
        <f aca="false">E1812*E1812</f>
        <v>0.25</v>
      </c>
      <c r="U1812" s="0" t="n">
        <f aca="false">F1812*F1812</f>
        <v>0</v>
      </c>
      <c r="V1812" s="0" t="n">
        <f aca="false">G1812*G1812</f>
        <v>0.25</v>
      </c>
      <c r="W1812" s="0" t="n">
        <f aca="false">H1812*H1812</f>
        <v>0.5625</v>
      </c>
      <c r="X1812" s="0" t="n">
        <f aca="false">SUMPRODUCT(I1812:W1812,_XtX!$B$96:$P$96)</f>
        <v>45.3690698099415</v>
      </c>
      <c r="Y1812" s="0" t="n">
        <f aca="false">SUMPRODUCT(MMULT(I1812:W1812,_XtX!$B$78:$P$92),I1812:W1812)</f>
        <v>0.21305052997076</v>
      </c>
      <c r="Z1812" s="0" t="n">
        <f aca="false">04_回帰ANOVA!$K$19*04_回帰ANOVA!$K$14*SQRT(1+Y1812)</f>
        <v>1.43561450835061</v>
      </c>
      <c r="AA1812" s="0" t="n">
        <f aca="false">X1812-Z1812</f>
        <v>43.9334553015909</v>
      </c>
      <c r="AB1812" s="0" t="n">
        <f aca="false">X1812+Z1812</f>
        <v>46.8046843182921</v>
      </c>
      <c r="AC1812" s="54" t="b">
        <f aca="false">AND(E1812&gt;=01_因子設定!$L$5-0.000000001,E1812&lt;=01_因子設定!$M$5+0.000000001,F1812&gt;=01_因子設定!$L$6-0.000000001,F1812&lt;=01_因子設定!$M$6+0.000000001,G1812&gt;=01_因子設定!$L$7-0.000000001,G1812&lt;=01_因子設定!$M$7+0.000000001,H1812&gt;=01_因子設定!$L$8-0.000000001,H1812&lt;=01_因子設定!$M$8+0.000000001,IF(01_因子設定!$B$20="Box-Behnken",E1812^2+F1812^2+G1812^2+H1812^2&lt;=2+0.000000001,TRUE()))</f>
        <v>1</v>
      </c>
      <c r="AD1812" s="55" t="n">
        <f aca="false">IF(AC1812,IF(01_因子設定!$B$13="最大化",AA1812-01_因子設定!$B$14,IF(01_因子設定!$B$13="最小化",01_因子設定!$B$15-AB1812,MIN(AA1812-01_因子設定!$B$14,01_因子設定!$B$15-AB1812))),-1E+030)</f>
        <v>-2.5665446984091</v>
      </c>
      <c r="AE1812" s="55" t="n">
        <f aca="false">IF(AC1812,IF(01_因子設定!$B$13="最大化",X1812,IF(01_因子設定!$B$13="最小化",-X1812,-ABS(X1812-01_因子設定!$B$16))),-1E+030)</f>
        <v>45.3690698099415</v>
      </c>
      <c r="AF1812" s="55" t="n">
        <f aca="false">AD1812+ROW()*0.000000001</f>
        <v>-2.5665428864091</v>
      </c>
      <c r="AG1812" s="55" t="n">
        <f aca="false">AE1812+ROW()*0.000000001</f>
        <v>45.3690716219415</v>
      </c>
    </row>
    <row r="1813" customFormat="false" ht="15" hidden="false" customHeight="false" outlineLevel="0" collapsed="false">
      <c r="A1813" s="0" t="n">
        <v>2</v>
      </c>
      <c r="B1813" s="0" t="n">
        <v>4</v>
      </c>
      <c r="C1813" s="0" t="n">
        <v>2</v>
      </c>
      <c r="D1813" s="0" t="n">
        <v>8</v>
      </c>
      <c r="E1813" s="0" t="n">
        <f aca="false">-1+A1813*0.25</f>
        <v>-0.5</v>
      </c>
      <c r="F1813" s="0" t="n">
        <f aca="false">-1+B1813*0.25</f>
        <v>0</v>
      </c>
      <c r="G1813" s="0" t="n">
        <f aca="false">-1+C1813*0.25</f>
        <v>-0.5</v>
      </c>
      <c r="H1813" s="0" t="n">
        <f aca="false">-1+D1813*0.25</f>
        <v>1</v>
      </c>
      <c r="I1813" s="0" t="n">
        <f aca="false">1</f>
        <v>1</v>
      </c>
      <c r="J1813" s="0" t="n">
        <f aca="false">E1813</f>
        <v>-0.5</v>
      </c>
      <c r="K1813" s="0" t="n">
        <f aca="false">F1813</f>
        <v>0</v>
      </c>
      <c r="L1813" s="0" t="n">
        <f aca="false">G1813</f>
        <v>-0.5</v>
      </c>
      <c r="M1813" s="0" t="n">
        <f aca="false">H1813</f>
        <v>1</v>
      </c>
      <c r="N1813" s="0" t="n">
        <f aca="false">E1813*F1813</f>
        <v>-0</v>
      </c>
      <c r="O1813" s="0" t="n">
        <f aca="false">E1813*G1813</f>
        <v>0.25</v>
      </c>
      <c r="P1813" s="0" t="n">
        <f aca="false">E1813*H1813</f>
        <v>-0.5</v>
      </c>
      <c r="Q1813" s="0" t="n">
        <f aca="false">F1813*G1813</f>
        <v>-0</v>
      </c>
      <c r="R1813" s="0" t="n">
        <f aca="false">F1813*H1813</f>
        <v>0</v>
      </c>
      <c r="S1813" s="0" t="n">
        <f aca="false">G1813*H1813</f>
        <v>-0.5</v>
      </c>
      <c r="T1813" s="0" t="n">
        <f aca="false">E1813*E1813</f>
        <v>0.25</v>
      </c>
      <c r="U1813" s="0" t="n">
        <f aca="false">F1813*F1813</f>
        <v>0</v>
      </c>
      <c r="V1813" s="0" t="n">
        <f aca="false">G1813*G1813</f>
        <v>0.25</v>
      </c>
      <c r="W1813" s="0" t="n">
        <f aca="false">H1813*H1813</f>
        <v>1</v>
      </c>
      <c r="X1813" s="0" t="n">
        <f aca="false">SUMPRODUCT(I1813:W1813,_XtX!$B$96:$P$96)</f>
        <v>45.2515716374269</v>
      </c>
      <c r="Y1813" s="0" t="n">
        <f aca="false">SUMPRODUCT(MMULT(I1813:W1813,_XtX!$B$78:$P$92),I1813:W1813)</f>
        <v>0.441954495614035</v>
      </c>
      <c r="Z1813" s="0" t="n">
        <f aca="false">04_回帰ANOVA!$K$19*04_回帰ANOVA!$K$14*SQRT(1+Y1813)</f>
        <v>1.56521560968066</v>
      </c>
      <c r="AA1813" s="0" t="n">
        <f aca="false">X1813-Z1813</f>
        <v>43.6863560277462</v>
      </c>
      <c r="AB1813" s="0" t="n">
        <f aca="false">X1813+Z1813</f>
        <v>46.8167872471076</v>
      </c>
      <c r="AC1813" s="54" t="b">
        <f aca="false">AND(E1813&gt;=01_因子設定!$L$5-0.000000001,E1813&lt;=01_因子設定!$M$5+0.000000001,F1813&gt;=01_因子設定!$L$6-0.000000001,F1813&lt;=01_因子設定!$M$6+0.000000001,G1813&gt;=01_因子設定!$L$7-0.000000001,G1813&lt;=01_因子設定!$M$7+0.000000001,H1813&gt;=01_因子設定!$L$8-0.000000001,H1813&lt;=01_因子設定!$M$8+0.000000001,IF(01_因子設定!$B$20="Box-Behnken",E1813^2+F1813^2+G1813^2+H1813^2&lt;=2+0.000000001,TRUE()))</f>
        <v>1</v>
      </c>
      <c r="AD1813" s="55" t="n">
        <f aca="false">IF(AC1813,IF(01_因子設定!$B$13="最大化",AA1813-01_因子設定!$B$14,IF(01_因子設定!$B$13="最小化",01_因子設定!$B$15-AB1813,MIN(AA1813-01_因子設定!$B$14,01_因子設定!$B$15-AB1813))),-1E+030)</f>
        <v>-2.81364397225377</v>
      </c>
      <c r="AE1813" s="55" t="n">
        <f aca="false">IF(AC1813,IF(01_因子設定!$B$13="最大化",X1813,IF(01_因子設定!$B$13="最小化",-X1813,-ABS(X1813-01_因子設定!$B$16))),-1E+030)</f>
        <v>45.2515716374269</v>
      </c>
      <c r="AF1813" s="55" t="n">
        <f aca="false">AD1813+ROW()*0.000000001</f>
        <v>-2.81364215925377</v>
      </c>
      <c r="AG1813" s="55" t="n">
        <f aca="false">AE1813+ROW()*0.000000001</f>
        <v>45.2515734504269</v>
      </c>
    </row>
    <row r="1814" customFormat="false" ht="15" hidden="false" customHeight="false" outlineLevel="0" collapsed="false">
      <c r="A1814" s="0" t="n">
        <v>2</v>
      </c>
      <c r="B1814" s="0" t="n">
        <v>4</v>
      </c>
      <c r="C1814" s="0" t="n">
        <v>3</v>
      </c>
      <c r="D1814" s="0" t="n">
        <v>0</v>
      </c>
      <c r="E1814" s="0" t="n">
        <f aca="false">-1+A1814*0.25</f>
        <v>-0.5</v>
      </c>
      <c r="F1814" s="0" t="n">
        <f aca="false">-1+B1814*0.25</f>
        <v>0</v>
      </c>
      <c r="G1814" s="0" t="n">
        <f aca="false">-1+C1814*0.25</f>
        <v>-0.25</v>
      </c>
      <c r="H1814" s="0" t="n">
        <f aca="false">-1+D1814*0.25</f>
        <v>-1</v>
      </c>
      <c r="I1814" s="0" t="n">
        <f aca="false">1</f>
        <v>1</v>
      </c>
      <c r="J1814" s="0" t="n">
        <f aca="false">E1814</f>
        <v>-0.5</v>
      </c>
      <c r="K1814" s="0" t="n">
        <f aca="false">F1814</f>
        <v>0</v>
      </c>
      <c r="L1814" s="0" t="n">
        <f aca="false">G1814</f>
        <v>-0.25</v>
      </c>
      <c r="M1814" s="0" t="n">
        <f aca="false">H1814</f>
        <v>-1</v>
      </c>
      <c r="N1814" s="0" t="n">
        <f aca="false">E1814*F1814</f>
        <v>-0</v>
      </c>
      <c r="O1814" s="0" t="n">
        <f aca="false">E1814*G1814</f>
        <v>0.125</v>
      </c>
      <c r="P1814" s="0" t="n">
        <f aca="false">E1814*H1814</f>
        <v>0.5</v>
      </c>
      <c r="Q1814" s="0" t="n">
        <f aca="false">F1814*G1814</f>
        <v>-0</v>
      </c>
      <c r="R1814" s="0" t="n">
        <f aca="false">F1814*H1814</f>
        <v>-0</v>
      </c>
      <c r="S1814" s="0" t="n">
        <f aca="false">G1814*H1814</f>
        <v>0.25</v>
      </c>
      <c r="T1814" s="0" t="n">
        <f aca="false">E1814*E1814</f>
        <v>0.25</v>
      </c>
      <c r="U1814" s="0" t="n">
        <f aca="false">F1814*F1814</f>
        <v>0</v>
      </c>
      <c r="V1814" s="0" t="n">
        <f aca="false">G1814*G1814</f>
        <v>0.0625</v>
      </c>
      <c r="W1814" s="0" t="n">
        <f aca="false">H1814*H1814</f>
        <v>1</v>
      </c>
      <c r="X1814" s="0" t="n">
        <f aca="false">SUMPRODUCT(I1814:W1814,_XtX!$B$96:$P$96)</f>
        <v>45.2361293859649</v>
      </c>
      <c r="Y1814" s="0" t="n">
        <f aca="false">SUMPRODUCT(MMULT(I1814:W1814,_XtX!$B$78:$P$92),I1814:W1814)</f>
        <v>0.457596628289474</v>
      </c>
      <c r="Z1814" s="0" t="n">
        <f aca="false">04_回帰ANOVA!$K$19*04_回帰ANOVA!$K$14*SQRT(1+Y1814)</f>
        <v>1.57368233664366</v>
      </c>
      <c r="AA1814" s="0" t="n">
        <f aca="false">X1814-Z1814</f>
        <v>43.6624470493213</v>
      </c>
      <c r="AB1814" s="0" t="n">
        <f aca="false">X1814+Z1814</f>
        <v>46.8098117226086</v>
      </c>
      <c r="AC1814" s="54" t="b">
        <f aca="false">AND(E1814&gt;=01_因子設定!$L$5-0.000000001,E1814&lt;=01_因子設定!$M$5+0.000000001,F1814&gt;=01_因子設定!$L$6-0.000000001,F1814&lt;=01_因子設定!$M$6+0.000000001,G1814&gt;=01_因子設定!$L$7-0.000000001,G1814&lt;=01_因子設定!$M$7+0.000000001,H1814&gt;=01_因子設定!$L$8-0.000000001,H1814&lt;=01_因子設定!$M$8+0.000000001,IF(01_因子設定!$B$20="Box-Behnken",E1814^2+F1814^2+G1814^2+H1814^2&lt;=2+0.000000001,TRUE()))</f>
        <v>1</v>
      </c>
      <c r="AD1814" s="55" t="n">
        <f aca="false">IF(AC1814,IF(01_因子設定!$B$13="最大化",AA1814-01_因子設定!$B$14,IF(01_因子設定!$B$13="最小化",01_因子設定!$B$15-AB1814,MIN(AA1814-01_因子設定!$B$14,01_因子設定!$B$15-AB1814))),-1E+030)</f>
        <v>-2.83755295067875</v>
      </c>
      <c r="AE1814" s="55" t="n">
        <f aca="false">IF(AC1814,IF(01_因子設定!$B$13="最大化",X1814,IF(01_因子設定!$B$13="最小化",-X1814,-ABS(X1814-01_因子設定!$B$16))),-1E+030)</f>
        <v>45.2361293859649</v>
      </c>
      <c r="AF1814" s="55" t="n">
        <f aca="false">AD1814+ROW()*0.000000001</f>
        <v>-2.83755113667875</v>
      </c>
      <c r="AG1814" s="55" t="n">
        <f aca="false">AE1814+ROW()*0.000000001</f>
        <v>45.2361311999649</v>
      </c>
    </row>
    <row r="1815" customFormat="false" ht="15" hidden="false" customHeight="false" outlineLevel="0" collapsed="false">
      <c r="A1815" s="0" t="n">
        <v>2</v>
      </c>
      <c r="B1815" s="0" t="n">
        <v>4</v>
      </c>
      <c r="C1815" s="0" t="n">
        <v>3</v>
      </c>
      <c r="D1815" s="0" t="n">
        <v>1</v>
      </c>
      <c r="E1815" s="0" t="n">
        <f aca="false">-1+A1815*0.25</f>
        <v>-0.5</v>
      </c>
      <c r="F1815" s="0" t="n">
        <f aca="false">-1+B1815*0.25</f>
        <v>0</v>
      </c>
      <c r="G1815" s="0" t="n">
        <f aca="false">-1+C1815*0.25</f>
        <v>-0.25</v>
      </c>
      <c r="H1815" s="0" t="n">
        <f aca="false">-1+D1815*0.25</f>
        <v>-0.75</v>
      </c>
      <c r="I1815" s="0" t="n">
        <f aca="false">1</f>
        <v>1</v>
      </c>
      <c r="J1815" s="0" t="n">
        <f aca="false">E1815</f>
        <v>-0.5</v>
      </c>
      <c r="K1815" s="0" t="n">
        <f aca="false">F1815</f>
        <v>0</v>
      </c>
      <c r="L1815" s="0" t="n">
        <f aca="false">G1815</f>
        <v>-0.25</v>
      </c>
      <c r="M1815" s="0" t="n">
        <f aca="false">H1815</f>
        <v>-0.75</v>
      </c>
      <c r="N1815" s="0" t="n">
        <f aca="false">E1815*F1815</f>
        <v>-0</v>
      </c>
      <c r="O1815" s="0" t="n">
        <f aca="false">E1815*G1815</f>
        <v>0.125</v>
      </c>
      <c r="P1815" s="0" t="n">
        <f aca="false">E1815*H1815</f>
        <v>0.375</v>
      </c>
      <c r="Q1815" s="0" t="n">
        <f aca="false">F1815*G1815</f>
        <v>-0</v>
      </c>
      <c r="R1815" s="0" t="n">
        <f aca="false">F1815*H1815</f>
        <v>-0</v>
      </c>
      <c r="S1815" s="0" t="n">
        <f aca="false">G1815*H1815</f>
        <v>0.1875</v>
      </c>
      <c r="T1815" s="0" t="n">
        <f aca="false">E1815*E1815</f>
        <v>0.25</v>
      </c>
      <c r="U1815" s="0" t="n">
        <f aca="false">F1815*F1815</f>
        <v>0</v>
      </c>
      <c r="V1815" s="0" t="n">
        <f aca="false">G1815*G1815</f>
        <v>0.0625</v>
      </c>
      <c r="W1815" s="0" t="n">
        <f aca="false">H1815*H1815</f>
        <v>0.5625</v>
      </c>
      <c r="X1815" s="0" t="n">
        <f aca="false">SUMPRODUCT(I1815:W1815,_XtX!$B$96:$P$96)</f>
        <v>45.4712490862573</v>
      </c>
      <c r="Y1815" s="0" t="n">
        <f aca="false">SUMPRODUCT(MMULT(I1815:W1815,_XtX!$B$78:$P$92),I1815:W1815)</f>
        <v>0.215110734192252</v>
      </c>
      <c r="Z1815" s="0" t="n">
        <f aca="false">04_回帰ANOVA!$K$19*04_回帰ANOVA!$K$14*SQRT(1+Y1815)</f>
        <v>1.43683309086864</v>
      </c>
      <c r="AA1815" s="0" t="n">
        <f aca="false">X1815-Z1815</f>
        <v>44.0344159953886</v>
      </c>
      <c r="AB1815" s="0" t="n">
        <f aca="false">X1815+Z1815</f>
        <v>46.9080821771259</v>
      </c>
      <c r="AC1815" s="54" t="b">
        <f aca="false">AND(E1815&gt;=01_因子設定!$L$5-0.000000001,E1815&lt;=01_因子設定!$M$5+0.000000001,F1815&gt;=01_因子設定!$L$6-0.000000001,F1815&lt;=01_因子設定!$M$6+0.000000001,G1815&gt;=01_因子設定!$L$7-0.000000001,G1815&lt;=01_因子設定!$M$7+0.000000001,H1815&gt;=01_因子設定!$L$8-0.000000001,H1815&lt;=01_因子設定!$M$8+0.000000001,IF(01_因子設定!$B$20="Box-Behnken",E1815^2+F1815^2+G1815^2+H1815^2&lt;=2+0.000000001,TRUE()))</f>
        <v>1</v>
      </c>
      <c r="AD1815" s="55" t="n">
        <f aca="false">IF(AC1815,IF(01_因子設定!$B$13="最大化",AA1815-01_因子設定!$B$14,IF(01_因子設定!$B$13="最小化",01_因子設定!$B$15-AB1815,MIN(AA1815-01_因子設定!$B$14,01_因子設定!$B$15-AB1815))),-1E+030)</f>
        <v>-2.46558400461136</v>
      </c>
      <c r="AE1815" s="55" t="n">
        <f aca="false">IF(AC1815,IF(01_因子設定!$B$13="最大化",X1815,IF(01_因子設定!$B$13="最小化",-X1815,-ABS(X1815-01_因子設定!$B$16))),-1E+030)</f>
        <v>45.4712490862573</v>
      </c>
      <c r="AF1815" s="55" t="n">
        <f aca="false">AD1815+ROW()*0.000000001</f>
        <v>-2.46558218961136</v>
      </c>
      <c r="AG1815" s="55" t="n">
        <f aca="false">AE1815+ROW()*0.000000001</f>
        <v>45.4712509012573</v>
      </c>
    </row>
    <row r="1816" customFormat="false" ht="15" hidden="false" customHeight="false" outlineLevel="0" collapsed="false">
      <c r="A1816" s="0" t="n">
        <v>2</v>
      </c>
      <c r="B1816" s="0" t="n">
        <v>4</v>
      </c>
      <c r="C1816" s="0" t="n">
        <v>3</v>
      </c>
      <c r="D1816" s="0" t="n">
        <v>2</v>
      </c>
      <c r="E1816" s="0" t="n">
        <f aca="false">-1+A1816*0.25</f>
        <v>-0.5</v>
      </c>
      <c r="F1816" s="0" t="n">
        <f aca="false">-1+B1816*0.25</f>
        <v>0</v>
      </c>
      <c r="G1816" s="0" t="n">
        <f aca="false">-1+C1816*0.25</f>
        <v>-0.25</v>
      </c>
      <c r="H1816" s="0" t="n">
        <f aca="false">-1+D1816*0.25</f>
        <v>-0.5</v>
      </c>
      <c r="I1816" s="0" t="n">
        <f aca="false">1</f>
        <v>1</v>
      </c>
      <c r="J1816" s="0" t="n">
        <f aca="false">E1816</f>
        <v>-0.5</v>
      </c>
      <c r="K1816" s="0" t="n">
        <f aca="false">F1816</f>
        <v>0</v>
      </c>
      <c r="L1816" s="0" t="n">
        <f aca="false">G1816</f>
        <v>-0.25</v>
      </c>
      <c r="M1816" s="0" t="n">
        <f aca="false">H1816</f>
        <v>-0.5</v>
      </c>
      <c r="N1816" s="0" t="n">
        <f aca="false">E1816*F1816</f>
        <v>-0</v>
      </c>
      <c r="O1816" s="0" t="n">
        <f aca="false">E1816*G1816</f>
        <v>0.125</v>
      </c>
      <c r="P1816" s="0" t="n">
        <f aca="false">E1816*H1816</f>
        <v>0.25</v>
      </c>
      <c r="Q1816" s="0" t="n">
        <f aca="false">F1816*G1816</f>
        <v>-0</v>
      </c>
      <c r="R1816" s="0" t="n">
        <f aca="false">F1816*H1816</f>
        <v>-0</v>
      </c>
      <c r="S1816" s="0" t="n">
        <f aca="false">G1816*H1816</f>
        <v>0.125</v>
      </c>
      <c r="T1816" s="0" t="n">
        <f aca="false">E1816*E1816</f>
        <v>0.25</v>
      </c>
      <c r="U1816" s="0" t="n">
        <f aca="false">F1816*F1816</f>
        <v>0</v>
      </c>
      <c r="V1816" s="0" t="n">
        <f aca="false">G1816*G1816</f>
        <v>0.0625</v>
      </c>
      <c r="W1816" s="0" t="n">
        <f aca="false">H1816*H1816</f>
        <v>0.25</v>
      </c>
      <c r="X1816" s="0" t="n">
        <f aca="false">SUMPRODUCT(I1816:W1816,_XtX!$B$96:$P$96)</f>
        <v>45.6585617690058</v>
      </c>
      <c r="Y1816" s="0" t="n">
        <f aca="false">SUMPRODUCT(MMULT(I1816:W1816,_XtX!$B$78:$P$92),I1816:W1816)</f>
        <v>0.132367050438597</v>
      </c>
      <c r="Z1816" s="0" t="n">
        <f aca="false">04_回帰ANOVA!$K$19*04_回帰ANOVA!$K$14*SQRT(1+Y1816)</f>
        <v>1.38704964208329</v>
      </c>
      <c r="AA1816" s="0" t="n">
        <f aca="false">X1816-Z1816</f>
        <v>44.2715121269225</v>
      </c>
      <c r="AB1816" s="0" t="n">
        <f aca="false">X1816+Z1816</f>
        <v>47.0456114110891</v>
      </c>
      <c r="AC1816" s="54" t="b">
        <f aca="false">AND(E1816&gt;=01_因子設定!$L$5-0.000000001,E1816&lt;=01_因子設定!$M$5+0.000000001,F1816&gt;=01_因子設定!$L$6-0.000000001,F1816&lt;=01_因子設定!$M$6+0.000000001,G1816&gt;=01_因子設定!$L$7-0.000000001,G1816&lt;=01_因子設定!$M$7+0.000000001,H1816&gt;=01_因子設定!$L$8-0.000000001,H1816&lt;=01_因子設定!$M$8+0.000000001,IF(01_因子設定!$B$20="Box-Behnken",E1816^2+F1816^2+G1816^2+H1816^2&lt;=2+0.000000001,TRUE()))</f>
        <v>1</v>
      </c>
      <c r="AD1816" s="55" t="n">
        <f aca="false">IF(AC1816,IF(01_因子設定!$B$13="最大化",AA1816-01_因子設定!$B$14,IF(01_因子設定!$B$13="最小化",01_因子設定!$B$15-AB1816,MIN(AA1816-01_因子設定!$B$14,01_因子設定!$B$15-AB1816))),-1E+030)</f>
        <v>-2.22848787307748</v>
      </c>
      <c r="AE1816" s="55" t="n">
        <f aca="false">IF(AC1816,IF(01_因子設定!$B$13="最大化",X1816,IF(01_因子設定!$B$13="最小化",-X1816,-ABS(X1816-01_因子設定!$B$16))),-1E+030)</f>
        <v>45.6585617690058</v>
      </c>
      <c r="AF1816" s="55" t="n">
        <f aca="false">AD1816+ROW()*0.000000001</f>
        <v>-2.22848605707748</v>
      </c>
      <c r="AG1816" s="55" t="n">
        <f aca="false">AE1816+ROW()*0.000000001</f>
        <v>45.6585635850058</v>
      </c>
    </row>
    <row r="1817" customFormat="false" ht="15" hidden="false" customHeight="false" outlineLevel="0" collapsed="false">
      <c r="A1817" s="0" t="n">
        <v>2</v>
      </c>
      <c r="B1817" s="0" t="n">
        <v>4</v>
      </c>
      <c r="C1817" s="0" t="n">
        <v>3</v>
      </c>
      <c r="D1817" s="0" t="n">
        <v>3</v>
      </c>
      <c r="E1817" s="0" t="n">
        <f aca="false">-1+A1817*0.25</f>
        <v>-0.5</v>
      </c>
      <c r="F1817" s="0" t="n">
        <f aca="false">-1+B1817*0.25</f>
        <v>0</v>
      </c>
      <c r="G1817" s="0" t="n">
        <f aca="false">-1+C1817*0.25</f>
        <v>-0.25</v>
      </c>
      <c r="H1817" s="0" t="n">
        <f aca="false">-1+D1817*0.25</f>
        <v>-0.25</v>
      </c>
      <c r="I1817" s="0" t="n">
        <f aca="false">1</f>
        <v>1</v>
      </c>
      <c r="J1817" s="0" t="n">
        <f aca="false">E1817</f>
        <v>-0.5</v>
      </c>
      <c r="K1817" s="0" t="n">
        <f aca="false">F1817</f>
        <v>0</v>
      </c>
      <c r="L1817" s="0" t="n">
        <f aca="false">G1817</f>
        <v>-0.25</v>
      </c>
      <c r="M1817" s="0" t="n">
        <f aca="false">H1817</f>
        <v>-0.25</v>
      </c>
      <c r="N1817" s="0" t="n">
        <f aca="false">E1817*F1817</f>
        <v>-0</v>
      </c>
      <c r="O1817" s="0" t="n">
        <f aca="false">E1817*G1817</f>
        <v>0.125</v>
      </c>
      <c r="P1817" s="0" t="n">
        <f aca="false">E1817*H1817</f>
        <v>0.125</v>
      </c>
      <c r="Q1817" s="0" t="n">
        <f aca="false">F1817*G1817</f>
        <v>-0</v>
      </c>
      <c r="R1817" s="0" t="n">
        <f aca="false">F1817*H1817</f>
        <v>-0</v>
      </c>
      <c r="S1817" s="0" t="n">
        <f aca="false">G1817*H1817</f>
        <v>0.0625</v>
      </c>
      <c r="T1817" s="0" t="n">
        <f aca="false">E1817*E1817</f>
        <v>0.25</v>
      </c>
      <c r="U1817" s="0" t="n">
        <f aca="false">F1817*F1817</f>
        <v>0</v>
      </c>
      <c r="V1817" s="0" t="n">
        <f aca="false">G1817*G1817</f>
        <v>0.0625</v>
      </c>
      <c r="W1817" s="0" t="n">
        <f aca="false">H1817*H1817</f>
        <v>0.0625</v>
      </c>
      <c r="X1817" s="0" t="n">
        <f aca="false">SUMPRODUCT(I1817:W1817,_XtX!$B$96:$P$96)</f>
        <v>45.7980674342105</v>
      </c>
      <c r="Y1817" s="0" t="n">
        <f aca="false">SUMPRODUCT(MMULT(I1817:W1817,_XtX!$B$78:$P$92),I1817:W1817)</f>
        <v>0.118905050712719</v>
      </c>
      <c r="Z1817" s="0" t="n">
        <f aca="false">04_回帰ANOVA!$K$19*04_回帰ANOVA!$K$14*SQRT(1+Y1817)</f>
        <v>1.37878011033769</v>
      </c>
      <c r="AA1817" s="0" t="n">
        <f aca="false">X1817-Z1817</f>
        <v>44.4192873238728</v>
      </c>
      <c r="AB1817" s="0" t="n">
        <f aca="false">X1817+Z1817</f>
        <v>47.1768475445482</v>
      </c>
      <c r="AC1817" s="54" t="b">
        <f aca="false">AND(E1817&gt;=01_因子設定!$L$5-0.000000001,E1817&lt;=01_因子設定!$M$5+0.000000001,F1817&gt;=01_因子設定!$L$6-0.000000001,F1817&lt;=01_因子設定!$M$6+0.000000001,G1817&gt;=01_因子設定!$L$7-0.000000001,G1817&lt;=01_因子設定!$M$7+0.000000001,H1817&gt;=01_因子設定!$L$8-0.000000001,H1817&lt;=01_因子設定!$M$8+0.000000001,IF(01_因子設定!$B$20="Box-Behnken",E1817^2+F1817^2+G1817^2+H1817^2&lt;=2+0.000000001,TRUE()))</f>
        <v>1</v>
      </c>
      <c r="AD1817" s="55" t="n">
        <f aca="false">IF(AC1817,IF(01_因子設定!$B$13="最大化",AA1817-01_因子設定!$B$14,IF(01_因子設定!$B$13="最小化",01_因子設定!$B$15-AB1817,MIN(AA1817-01_因子設定!$B$14,01_因子設定!$B$15-AB1817))),-1E+030)</f>
        <v>-2.0807126761272</v>
      </c>
      <c r="AE1817" s="55" t="n">
        <f aca="false">IF(AC1817,IF(01_因子設定!$B$13="最大化",X1817,IF(01_因子設定!$B$13="最小化",-X1817,-ABS(X1817-01_因子設定!$B$16))),-1E+030)</f>
        <v>45.7980674342105</v>
      </c>
      <c r="AF1817" s="55" t="n">
        <f aca="false">AD1817+ROW()*0.000000001</f>
        <v>-2.0807108591272</v>
      </c>
      <c r="AG1817" s="55" t="n">
        <f aca="false">AE1817+ROW()*0.000000001</f>
        <v>45.7980692512105</v>
      </c>
    </row>
    <row r="1818" customFormat="false" ht="15" hidden="false" customHeight="false" outlineLevel="0" collapsed="false">
      <c r="A1818" s="0" t="n">
        <v>2</v>
      </c>
      <c r="B1818" s="0" t="n">
        <v>4</v>
      </c>
      <c r="C1818" s="0" t="n">
        <v>3</v>
      </c>
      <c r="D1818" s="0" t="n">
        <v>4</v>
      </c>
      <c r="E1818" s="0" t="n">
        <f aca="false">-1+A1818*0.25</f>
        <v>-0.5</v>
      </c>
      <c r="F1818" s="0" t="n">
        <f aca="false">-1+B1818*0.25</f>
        <v>0</v>
      </c>
      <c r="G1818" s="0" t="n">
        <f aca="false">-1+C1818*0.25</f>
        <v>-0.25</v>
      </c>
      <c r="H1818" s="0" t="n">
        <f aca="false">-1+D1818*0.25</f>
        <v>0</v>
      </c>
      <c r="I1818" s="0" t="n">
        <f aca="false">1</f>
        <v>1</v>
      </c>
      <c r="J1818" s="0" t="n">
        <f aca="false">E1818</f>
        <v>-0.5</v>
      </c>
      <c r="K1818" s="0" t="n">
        <f aca="false">F1818</f>
        <v>0</v>
      </c>
      <c r="L1818" s="0" t="n">
        <f aca="false">G1818</f>
        <v>-0.25</v>
      </c>
      <c r="M1818" s="0" t="n">
        <f aca="false">H1818</f>
        <v>0</v>
      </c>
      <c r="N1818" s="0" t="n">
        <f aca="false">E1818*F1818</f>
        <v>-0</v>
      </c>
      <c r="O1818" s="0" t="n">
        <f aca="false">E1818*G1818</f>
        <v>0.125</v>
      </c>
      <c r="P1818" s="0" t="n">
        <f aca="false">E1818*H1818</f>
        <v>-0</v>
      </c>
      <c r="Q1818" s="0" t="n">
        <f aca="false">F1818*G1818</f>
        <v>-0</v>
      </c>
      <c r="R1818" s="0" t="n">
        <f aca="false">F1818*H1818</f>
        <v>0</v>
      </c>
      <c r="S1818" s="0" t="n">
        <f aca="false">G1818*H1818</f>
        <v>-0</v>
      </c>
      <c r="T1818" s="0" t="n">
        <f aca="false">E1818*E1818</f>
        <v>0.25</v>
      </c>
      <c r="U1818" s="0" t="n">
        <f aca="false">F1818*F1818</f>
        <v>0</v>
      </c>
      <c r="V1818" s="0" t="n">
        <f aca="false">G1818*G1818</f>
        <v>0.0625</v>
      </c>
      <c r="W1818" s="0" t="n">
        <f aca="false">H1818*H1818</f>
        <v>0</v>
      </c>
      <c r="X1818" s="0" t="n">
        <f aca="false">SUMPRODUCT(I1818:W1818,_XtX!$B$96:$P$96)</f>
        <v>45.8897660818713</v>
      </c>
      <c r="Y1818" s="0" t="n">
        <f aca="false">SUMPRODUCT(MMULT(I1818:W1818,_XtX!$B$78:$P$92),I1818:W1818)</f>
        <v>0.120448419225146</v>
      </c>
      <c r="Z1818" s="0" t="n">
        <f aca="false">04_回帰ANOVA!$K$19*04_回帰ANOVA!$K$14*SQRT(1+Y1818)</f>
        <v>1.37973069703246</v>
      </c>
      <c r="AA1818" s="0" t="n">
        <f aca="false">X1818-Z1818</f>
        <v>44.5100353848388</v>
      </c>
      <c r="AB1818" s="0" t="n">
        <f aca="false">X1818+Z1818</f>
        <v>47.2694967789038</v>
      </c>
      <c r="AC1818" s="54" t="b">
        <f aca="false">AND(E1818&gt;=01_因子設定!$L$5-0.000000001,E1818&lt;=01_因子設定!$M$5+0.000000001,F1818&gt;=01_因子設定!$L$6-0.000000001,F1818&lt;=01_因子設定!$M$6+0.000000001,G1818&gt;=01_因子設定!$L$7-0.000000001,G1818&lt;=01_因子設定!$M$7+0.000000001,H1818&gt;=01_因子設定!$L$8-0.000000001,H1818&lt;=01_因子設定!$M$8+0.000000001,IF(01_因子設定!$B$20="Box-Behnken",E1818^2+F1818^2+G1818^2+H1818^2&lt;=2+0.000000001,TRUE()))</f>
        <v>1</v>
      </c>
      <c r="AD1818" s="55" t="n">
        <f aca="false">IF(AC1818,IF(01_因子設定!$B$13="最大化",AA1818-01_因子設定!$B$14,IF(01_因子設定!$B$13="最小化",01_因子設定!$B$15-AB1818,MIN(AA1818-01_因子設定!$B$14,01_因子設定!$B$15-AB1818))),-1E+030)</f>
        <v>-1.98996461516116</v>
      </c>
      <c r="AE1818" s="55" t="n">
        <f aca="false">IF(AC1818,IF(01_因子設定!$B$13="最大化",X1818,IF(01_因子設定!$B$13="最小化",-X1818,-ABS(X1818-01_因子設定!$B$16))),-1E+030)</f>
        <v>45.8897660818713</v>
      </c>
      <c r="AF1818" s="55" t="n">
        <f aca="false">AD1818+ROW()*0.000000001</f>
        <v>-1.98996279716116</v>
      </c>
      <c r="AG1818" s="55" t="n">
        <f aca="false">AE1818+ROW()*0.000000001</f>
        <v>45.8897678998713</v>
      </c>
    </row>
    <row r="1819" customFormat="false" ht="15" hidden="false" customHeight="false" outlineLevel="0" collapsed="false">
      <c r="A1819" s="0" t="n">
        <v>2</v>
      </c>
      <c r="B1819" s="0" t="n">
        <v>4</v>
      </c>
      <c r="C1819" s="0" t="n">
        <v>3</v>
      </c>
      <c r="D1819" s="0" t="n">
        <v>5</v>
      </c>
      <c r="E1819" s="0" t="n">
        <f aca="false">-1+A1819*0.25</f>
        <v>-0.5</v>
      </c>
      <c r="F1819" s="0" t="n">
        <f aca="false">-1+B1819*0.25</f>
        <v>0</v>
      </c>
      <c r="G1819" s="0" t="n">
        <f aca="false">-1+C1819*0.25</f>
        <v>-0.25</v>
      </c>
      <c r="H1819" s="0" t="n">
        <f aca="false">-1+D1819*0.25</f>
        <v>0.25</v>
      </c>
      <c r="I1819" s="0" t="n">
        <f aca="false">1</f>
        <v>1</v>
      </c>
      <c r="J1819" s="0" t="n">
        <f aca="false">E1819</f>
        <v>-0.5</v>
      </c>
      <c r="K1819" s="0" t="n">
        <f aca="false">F1819</f>
        <v>0</v>
      </c>
      <c r="L1819" s="0" t="n">
        <f aca="false">G1819</f>
        <v>-0.25</v>
      </c>
      <c r="M1819" s="0" t="n">
        <f aca="false">H1819</f>
        <v>0.25</v>
      </c>
      <c r="N1819" s="0" t="n">
        <f aca="false">E1819*F1819</f>
        <v>-0</v>
      </c>
      <c r="O1819" s="0" t="n">
        <f aca="false">E1819*G1819</f>
        <v>0.125</v>
      </c>
      <c r="P1819" s="0" t="n">
        <f aca="false">E1819*H1819</f>
        <v>-0.125</v>
      </c>
      <c r="Q1819" s="0" t="n">
        <f aca="false">F1819*G1819</f>
        <v>-0</v>
      </c>
      <c r="R1819" s="0" t="n">
        <f aca="false">F1819*H1819</f>
        <v>0</v>
      </c>
      <c r="S1819" s="0" t="n">
        <f aca="false">G1819*H1819</f>
        <v>-0.0625</v>
      </c>
      <c r="T1819" s="0" t="n">
        <f aca="false">E1819*E1819</f>
        <v>0.25</v>
      </c>
      <c r="U1819" s="0" t="n">
        <f aca="false">F1819*F1819</f>
        <v>0</v>
      </c>
      <c r="V1819" s="0" t="n">
        <f aca="false">G1819*G1819</f>
        <v>0.0625</v>
      </c>
      <c r="W1819" s="0" t="n">
        <f aca="false">H1819*H1819</f>
        <v>0.0625</v>
      </c>
      <c r="X1819" s="0" t="n">
        <f aca="false">SUMPRODUCT(I1819:W1819,_XtX!$B$96:$P$96)</f>
        <v>45.9336577119883</v>
      </c>
      <c r="Y1819" s="0" t="n">
        <f aca="false">SUMPRODUCT(MMULT(I1819:W1819,_XtX!$B$78:$P$92),I1819:W1819)</f>
        <v>0.118905050712719</v>
      </c>
      <c r="Z1819" s="0" t="n">
        <f aca="false">04_回帰ANOVA!$K$19*04_回帰ANOVA!$K$14*SQRT(1+Y1819)</f>
        <v>1.37878011033769</v>
      </c>
      <c r="AA1819" s="0" t="n">
        <f aca="false">X1819-Z1819</f>
        <v>44.5548776016506</v>
      </c>
      <c r="AB1819" s="0" t="n">
        <f aca="false">X1819+Z1819</f>
        <v>47.312437822326</v>
      </c>
      <c r="AC1819" s="54" t="b">
        <f aca="false">AND(E1819&gt;=01_因子設定!$L$5-0.000000001,E1819&lt;=01_因子設定!$M$5+0.000000001,F1819&gt;=01_因子設定!$L$6-0.000000001,F1819&lt;=01_因子設定!$M$6+0.000000001,G1819&gt;=01_因子設定!$L$7-0.000000001,G1819&lt;=01_因子設定!$M$7+0.000000001,H1819&gt;=01_因子設定!$L$8-0.000000001,H1819&lt;=01_因子設定!$M$8+0.000000001,IF(01_因子設定!$B$20="Box-Behnken",E1819^2+F1819^2+G1819^2+H1819^2&lt;=2+0.000000001,TRUE()))</f>
        <v>1</v>
      </c>
      <c r="AD1819" s="55" t="n">
        <f aca="false">IF(AC1819,IF(01_因子設定!$B$13="最大化",AA1819-01_因子設定!$B$14,IF(01_因子設定!$B$13="最小化",01_因子設定!$B$15-AB1819,MIN(AA1819-01_因子設定!$B$14,01_因子設定!$B$15-AB1819))),-1E+030)</f>
        <v>-1.94512239834943</v>
      </c>
      <c r="AE1819" s="55" t="n">
        <f aca="false">IF(AC1819,IF(01_因子設定!$B$13="最大化",X1819,IF(01_因子設定!$B$13="最小化",-X1819,-ABS(X1819-01_因子設定!$B$16))),-1E+030)</f>
        <v>45.9336577119883</v>
      </c>
      <c r="AF1819" s="55" t="n">
        <f aca="false">AD1819+ROW()*0.000000001</f>
        <v>-1.94512057934943</v>
      </c>
      <c r="AG1819" s="55" t="n">
        <f aca="false">AE1819+ROW()*0.000000001</f>
        <v>45.9336595309883</v>
      </c>
    </row>
    <row r="1820" customFormat="false" ht="15" hidden="false" customHeight="false" outlineLevel="0" collapsed="false">
      <c r="A1820" s="0" t="n">
        <v>2</v>
      </c>
      <c r="B1820" s="0" t="n">
        <v>4</v>
      </c>
      <c r="C1820" s="0" t="n">
        <v>3</v>
      </c>
      <c r="D1820" s="0" t="n">
        <v>6</v>
      </c>
      <c r="E1820" s="0" t="n">
        <f aca="false">-1+A1820*0.25</f>
        <v>-0.5</v>
      </c>
      <c r="F1820" s="0" t="n">
        <f aca="false">-1+B1820*0.25</f>
        <v>0</v>
      </c>
      <c r="G1820" s="0" t="n">
        <f aca="false">-1+C1820*0.25</f>
        <v>-0.25</v>
      </c>
      <c r="H1820" s="0" t="n">
        <f aca="false">-1+D1820*0.25</f>
        <v>0.5</v>
      </c>
      <c r="I1820" s="0" t="n">
        <f aca="false">1</f>
        <v>1</v>
      </c>
      <c r="J1820" s="0" t="n">
        <f aca="false">E1820</f>
        <v>-0.5</v>
      </c>
      <c r="K1820" s="0" t="n">
        <f aca="false">F1820</f>
        <v>0</v>
      </c>
      <c r="L1820" s="0" t="n">
        <f aca="false">G1820</f>
        <v>-0.25</v>
      </c>
      <c r="M1820" s="0" t="n">
        <f aca="false">H1820</f>
        <v>0.5</v>
      </c>
      <c r="N1820" s="0" t="n">
        <f aca="false">E1820*F1820</f>
        <v>-0</v>
      </c>
      <c r="O1820" s="0" t="n">
        <f aca="false">E1820*G1820</f>
        <v>0.125</v>
      </c>
      <c r="P1820" s="0" t="n">
        <f aca="false">E1820*H1820</f>
        <v>-0.25</v>
      </c>
      <c r="Q1820" s="0" t="n">
        <f aca="false">F1820*G1820</f>
        <v>-0</v>
      </c>
      <c r="R1820" s="0" t="n">
        <f aca="false">F1820*H1820</f>
        <v>0</v>
      </c>
      <c r="S1820" s="0" t="n">
        <f aca="false">G1820*H1820</f>
        <v>-0.125</v>
      </c>
      <c r="T1820" s="0" t="n">
        <f aca="false">E1820*E1820</f>
        <v>0.25</v>
      </c>
      <c r="U1820" s="0" t="n">
        <f aca="false">F1820*F1820</f>
        <v>0</v>
      </c>
      <c r="V1820" s="0" t="n">
        <f aca="false">G1820*G1820</f>
        <v>0.0625</v>
      </c>
      <c r="W1820" s="0" t="n">
        <f aca="false">H1820*H1820</f>
        <v>0.25</v>
      </c>
      <c r="X1820" s="0" t="n">
        <f aca="false">SUMPRODUCT(I1820:W1820,_XtX!$B$96:$P$96)</f>
        <v>45.9297423245614</v>
      </c>
      <c r="Y1820" s="0" t="n">
        <f aca="false">SUMPRODUCT(MMULT(I1820:W1820,_XtX!$B$78:$P$92),I1820:W1820)</f>
        <v>0.132367050438597</v>
      </c>
      <c r="Z1820" s="0" t="n">
        <f aca="false">04_回帰ANOVA!$K$19*04_回帰ANOVA!$K$14*SQRT(1+Y1820)</f>
        <v>1.38704964208329</v>
      </c>
      <c r="AA1820" s="0" t="n">
        <f aca="false">X1820-Z1820</f>
        <v>44.5426926824781</v>
      </c>
      <c r="AB1820" s="0" t="n">
        <f aca="false">X1820+Z1820</f>
        <v>47.3167919666447</v>
      </c>
      <c r="AC1820" s="54" t="b">
        <f aca="false">AND(E1820&gt;=01_因子設定!$L$5-0.000000001,E1820&lt;=01_因子設定!$M$5+0.000000001,F1820&gt;=01_因子設定!$L$6-0.000000001,F1820&lt;=01_因子設定!$M$6+0.000000001,G1820&gt;=01_因子設定!$L$7-0.000000001,G1820&lt;=01_因子設定!$M$7+0.000000001,H1820&gt;=01_因子設定!$L$8-0.000000001,H1820&lt;=01_因子設定!$M$8+0.000000001,IF(01_因子設定!$B$20="Box-Behnken",E1820^2+F1820^2+G1820^2+H1820^2&lt;=2+0.000000001,TRUE()))</f>
        <v>1</v>
      </c>
      <c r="AD1820" s="55" t="n">
        <f aca="false">IF(AC1820,IF(01_因子設定!$B$13="最大化",AA1820-01_因子設定!$B$14,IF(01_因子設定!$B$13="最小化",01_因子設定!$B$15-AB1820,MIN(AA1820-01_因子設定!$B$14,01_因子設定!$B$15-AB1820))),-1E+030)</f>
        <v>-1.95730731752192</v>
      </c>
      <c r="AE1820" s="55" t="n">
        <f aca="false">IF(AC1820,IF(01_因子設定!$B$13="最大化",X1820,IF(01_因子設定!$B$13="最小化",-X1820,-ABS(X1820-01_因子設定!$B$16))),-1E+030)</f>
        <v>45.9297423245614</v>
      </c>
      <c r="AF1820" s="55" t="n">
        <f aca="false">AD1820+ROW()*0.000000001</f>
        <v>-1.95730549752192</v>
      </c>
      <c r="AG1820" s="55" t="n">
        <f aca="false">AE1820+ROW()*0.000000001</f>
        <v>45.9297441445614</v>
      </c>
    </row>
    <row r="1821" customFormat="false" ht="15" hidden="false" customHeight="false" outlineLevel="0" collapsed="false">
      <c r="A1821" s="0" t="n">
        <v>2</v>
      </c>
      <c r="B1821" s="0" t="n">
        <v>4</v>
      </c>
      <c r="C1821" s="0" t="n">
        <v>3</v>
      </c>
      <c r="D1821" s="0" t="n">
        <v>7</v>
      </c>
      <c r="E1821" s="0" t="n">
        <f aca="false">-1+A1821*0.25</f>
        <v>-0.5</v>
      </c>
      <c r="F1821" s="0" t="n">
        <f aca="false">-1+B1821*0.25</f>
        <v>0</v>
      </c>
      <c r="G1821" s="0" t="n">
        <f aca="false">-1+C1821*0.25</f>
        <v>-0.25</v>
      </c>
      <c r="H1821" s="0" t="n">
        <f aca="false">-1+D1821*0.25</f>
        <v>0.75</v>
      </c>
      <c r="I1821" s="0" t="n">
        <f aca="false">1</f>
        <v>1</v>
      </c>
      <c r="J1821" s="0" t="n">
        <f aca="false">E1821</f>
        <v>-0.5</v>
      </c>
      <c r="K1821" s="0" t="n">
        <f aca="false">F1821</f>
        <v>0</v>
      </c>
      <c r="L1821" s="0" t="n">
        <f aca="false">G1821</f>
        <v>-0.25</v>
      </c>
      <c r="M1821" s="0" t="n">
        <f aca="false">H1821</f>
        <v>0.75</v>
      </c>
      <c r="N1821" s="0" t="n">
        <f aca="false">E1821*F1821</f>
        <v>-0</v>
      </c>
      <c r="O1821" s="0" t="n">
        <f aca="false">E1821*G1821</f>
        <v>0.125</v>
      </c>
      <c r="P1821" s="0" t="n">
        <f aca="false">E1821*H1821</f>
        <v>-0.375</v>
      </c>
      <c r="Q1821" s="0" t="n">
        <f aca="false">F1821*G1821</f>
        <v>-0</v>
      </c>
      <c r="R1821" s="0" t="n">
        <f aca="false">F1821*H1821</f>
        <v>0</v>
      </c>
      <c r="S1821" s="0" t="n">
        <f aca="false">G1821*H1821</f>
        <v>-0.1875</v>
      </c>
      <c r="T1821" s="0" t="n">
        <f aca="false">E1821*E1821</f>
        <v>0.25</v>
      </c>
      <c r="U1821" s="0" t="n">
        <f aca="false">F1821*F1821</f>
        <v>0</v>
      </c>
      <c r="V1821" s="0" t="n">
        <f aca="false">G1821*G1821</f>
        <v>0.0625</v>
      </c>
      <c r="W1821" s="0" t="n">
        <f aca="false">H1821*H1821</f>
        <v>0.5625</v>
      </c>
      <c r="X1821" s="0" t="n">
        <f aca="false">SUMPRODUCT(I1821:W1821,_XtX!$B$96:$P$96)</f>
        <v>45.8780199195906</v>
      </c>
      <c r="Y1821" s="0" t="n">
        <f aca="false">SUMPRODUCT(MMULT(I1821:W1821,_XtX!$B$78:$P$92),I1821:W1821)</f>
        <v>0.215110734192252</v>
      </c>
      <c r="Z1821" s="0" t="n">
        <f aca="false">04_回帰ANOVA!$K$19*04_回帰ANOVA!$K$14*SQRT(1+Y1821)</f>
        <v>1.43683309086864</v>
      </c>
      <c r="AA1821" s="0" t="n">
        <f aca="false">X1821-Z1821</f>
        <v>44.441186828722</v>
      </c>
      <c r="AB1821" s="0" t="n">
        <f aca="false">X1821+Z1821</f>
        <v>47.3148530104593</v>
      </c>
      <c r="AC1821" s="54" t="b">
        <f aca="false">AND(E1821&gt;=01_因子設定!$L$5-0.000000001,E1821&lt;=01_因子設定!$M$5+0.000000001,F1821&gt;=01_因子設定!$L$6-0.000000001,F1821&lt;=01_因子設定!$M$6+0.000000001,G1821&gt;=01_因子設定!$L$7-0.000000001,G1821&lt;=01_因子設定!$M$7+0.000000001,H1821&gt;=01_因子設定!$L$8-0.000000001,H1821&lt;=01_因子設定!$M$8+0.000000001,IF(01_因子設定!$B$20="Box-Behnken",E1821^2+F1821^2+G1821^2+H1821^2&lt;=2+0.000000001,TRUE()))</f>
        <v>1</v>
      </c>
      <c r="AD1821" s="55" t="n">
        <f aca="false">IF(AC1821,IF(01_因子設定!$B$13="最大化",AA1821-01_因子設定!$B$14,IF(01_因子設定!$B$13="最小化",01_因子設定!$B$15-AB1821,MIN(AA1821-01_因子設定!$B$14,01_因子設定!$B$15-AB1821))),-1E+030)</f>
        <v>-2.05881317127803</v>
      </c>
      <c r="AE1821" s="55" t="n">
        <f aca="false">IF(AC1821,IF(01_因子設定!$B$13="最大化",X1821,IF(01_因子設定!$B$13="最小化",-X1821,-ABS(X1821-01_因子設定!$B$16))),-1E+030)</f>
        <v>45.8780199195906</v>
      </c>
      <c r="AF1821" s="55" t="n">
        <f aca="false">AD1821+ROW()*0.000000001</f>
        <v>-2.05881135027803</v>
      </c>
      <c r="AG1821" s="55" t="n">
        <f aca="false">AE1821+ROW()*0.000000001</f>
        <v>45.8780217405906</v>
      </c>
    </row>
    <row r="1822" customFormat="false" ht="15" hidden="false" customHeight="false" outlineLevel="0" collapsed="false">
      <c r="A1822" s="0" t="n">
        <v>2</v>
      </c>
      <c r="B1822" s="0" t="n">
        <v>4</v>
      </c>
      <c r="C1822" s="0" t="n">
        <v>3</v>
      </c>
      <c r="D1822" s="0" t="n">
        <v>8</v>
      </c>
      <c r="E1822" s="0" t="n">
        <f aca="false">-1+A1822*0.25</f>
        <v>-0.5</v>
      </c>
      <c r="F1822" s="0" t="n">
        <f aca="false">-1+B1822*0.25</f>
        <v>0</v>
      </c>
      <c r="G1822" s="0" t="n">
        <f aca="false">-1+C1822*0.25</f>
        <v>-0.25</v>
      </c>
      <c r="H1822" s="0" t="n">
        <f aca="false">-1+D1822*0.25</f>
        <v>1</v>
      </c>
      <c r="I1822" s="0" t="n">
        <f aca="false">1</f>
        <v>1</v>
      </c>
      <c r="J1822" s="0" t="n">
        <f aca="false">E1822</f>
        <v>-0.5</v>
      </c>
      <c r="K1822" s="0" t="n">
        <f aca="false">F1822</f>
        <v>0</v>
      </c>
      <c r="L1822" s="0" t="n">
        <f aca="false">G1822</f>
        <v>-0.25</v>
      </c>
      <c r="M1822" s="0" t="n">
        <f aca="false">H1822</f>
        <v>1</v>
      </c>
      <c r="N1822" s="0" t="n">
        <f aca="false">E1822*F1822</f>
        <v>-0</v>
      </c>
      <c r="O1822" s="0" t="n">
        <f aca="false">E1822*G1822</f>
        <v>0.125</v>
      </c>
      <c r="P1822" s="0" t="n">
        <f aca="false">E1822*H1822</f>
        <v>-0.5</v>
      </c>
      <c r="Q1822" s="0" t="n">
        <f aca="false">F1822*G1822</f>
        <v>-0</v>
      </c>
      <c r="R1822" s="0" t="n">
        <f aca="false">F1822*H1822</f>
        <v>0</v>
      </c>
      <c r="S1822" s="0" t="n">
        <f aca="false">G1822*H1822</f>
        <v>-0.25</v>
      </c>
      <c r="T1822" s="0" t="n">
        <f aca="false">E1822*E1822</f>
        <v>0.25</v>
      </c>
      <c r="U1822" s="0" t="n">
        <f aca="false">F1822*F1822</f>
        <v>0</v>
      </c>
      <c r="V1822" s="0" t="n">
        <f aca="false">G1822*G1822</f>
        <v>0.0625</v>
      </c>
      <c r="W1822" s="0" t="n">
        <f aca="false">H1822*H1822</f>
        <v>1</v>
      </c>
      <c r="X1822" s="0" t="n">
        <f aca="false">SUMPRODUCT(I1822:W1822,_XtX!$B$96:$P$96)</f>
        <v>45.778490497076</v>
      </c>
      <c r="Y1822" s="0" t="n">
        <f aca="false">SUMPRODUCT(MMULT(I1822:W1822,_XtX!$B$78:$P$92),I1822:W1822)</f>
        <v>0.457596628289474</v>
      </c>
      <c r="Z1822" s="0" t="n">
        <f aca="false">04_回帰ANOVA!$K$19*04_回帰ANOVA!$K$14*SQRT(1+Y1822)</f>
        <v>1.57368233664366</v>
      </c>
      <c r="AA1822" s="0" t="n">
        <f aca="false">X1822-Z1822</f>
        <v>44.2048081604324</v>
      </c>
      <c r="AB1822" s="0" t="n">
        <f aca="false">X1822+Z1822</f>
        <v>47.3521728337197</v>
      </c>
      <c r="AC1822" s="54" t="b">
        <f aca="false">AND(E1822&gt;=01_因子設定!$L$5-0.000000001,E1822&lt;=01_因子設定!$M$5+0.000000001,F1822&gt;=01_因子設定!$L$6-0.000000001,F1822&lt;=01_因子設定!$M$6+0.000000001,G1822&gt;=01_因子設定!$L$7-0.000000001,G1822&lt;=01_因子設定!$M$7+0.000000001,H1822&gt;=01_因子設定!$L$8-0.000000001,H1822&lt;=01_因子設定!$M$8+0.000000001,IF(01_因子設定!$B$20="Box-Behnken",E1822^2+F1822^2+G1822^2+H1822^2&lt;=2+0.000000001,TRUE()))</f>
        <v>1</v>
      </c>
      <c r="AD1822" s="55" t="n">
        <f aca="false">IF(AC1822,IF(01_因子設定!$B$13="最大化",AA1822-01_因子設定!$B$14,IF(01_因子設定!$B$13="最小化",01_因子設定!$B$15-AB1822,MIN(AA1822-01_因子設定!$B$14,01_因子設定!$B$15-AB1822))),-1E+030)</f>
        <v>-2.29519183956764</v>
      </c>
      <c r="AE1822" s="55" t="n">
        <f aca="false">IF(AC1822,IF(01_因子設定!$B$13="最大化",X1822,IF(01_因子設定!$B$13="最小化",-X1822,-ABS(X1822-01_因子設定!$B$16))),-1E+030)</f>
        <v>45.778490497076</v>
      </c>
      <c r="AF1822" s="55" t="n">
        <f aca="false">AD1822+ROW()*0.000000001</f>
        <v>-2.29519001756764</v>
      </c>
      <c r="AG1822" s="55" t="n">
        <f aca="false">AE1822+ROW()*0.000000001</f>
        <v>45.778492319076</v>
      </c>
    </row>
    <row r="1823" customFormat="false" ht="15" hidden="false" customHeight="false" outlineLevel="0" collapsed="false">
      <c r="A1823" s="0" t="n">
        <v>2</v>
      </c>
      <c r="B1823" s="0" t="n">
        <v>4</v>
      </c>
      <c r="C1823" s="0" t="n">
        <v>4</v>
      </c>
      <c r="D1823" s="0" t="n">
        <v>0</v>
      </c>
      <c r="E1823" s="0" t="n">
        <f aca="false">-1+A1823*0.25</f>
        <v>-0.5</v>
      </c>
      <c r="F1823" s="0" t="n">
        <f aca="false">-1+B1823*0.25</f>
        <v>0</v>
      </c>
      <c r="G1823" s="0" t="n">
        <f aca="false">-1+C1823*0.25</f>
        <v>0</v>
      </c>
      <c r="H1823" s="0" t="n">
        <f aca="false">-1+D1823*0.25</f>
        <v>-1</v>
      </c>
      <c r="I1823" s="0" t="n">
        <f aca="false">1</f>
        <v>1</v>
      </c>
      <c r="J1823" s="0" t="n">
        <f aca="false">E1823</f>
        <v>-0.5</v>
      </c>
      <c r="K1823" s="0" t="n">
        <f aca="false">F1823</f>
        <v>0</v>
      </c>
      <c r="L1823" s="0" t="n">
        <f aca="false">G1823</f>
        <v>0</v>
      </c>
      <c r="M1823" s="0" t="n">
        <f aca="false">H1823</f>
        <v>-1</v>
      </c>
      <c r="N1823" s="0" t="n">
        <f aca="false">E1823*F1823</f>
        <v>-0</v>
      </c>
      <c r="O1823" s="0" t="n">
        <f aca="false">E1823*G1823</f>
        <v>-0</v>
      </c>
      <c r="P1823" s="0" t="n">
        <f aca="false">E1823*H1823</f>
        <v>0.5</v>
      </c>
      <c r="Q1823" s="0" t="n">
        <f aca="false">F1823*G1823</f>
        <v>0</v>
      </c>
      <c r="R1823" s="0" t="n">
        <f aca="false">F1823*H1823</f>
        <v>-0</v>
      </c>
      <c r="S1823" s="0" t="n">
        <f aca="false">G1823*H1823</f>
        <v>-0</v>
      </c>
      <c r="T1823" s="0" t="n">
        <f aca="false">E1823*E1823</f>
        <v>0.25</v>
      </c>
      <c r="U1823" s="0" t="n">
        <f aca="false">F1823*F1823</f>
        <v>0</v>
      </c>
      <c r="V1823" s="0" t="n">
        <f aca="false">G1823*G1823</f>
        <v>0</v>
      </c>
      <c r="W1823" s="0" t="n">
        <f aca="false">H1823*H1823</f>
        <v>1</v>
      </c>
      <c r="X1823" s="0" t="n">
        <f aca="false">SUMPRODUCT(I1823:W1823,_XtX!$B$96:$P$96)</f>
        <v>45.5339912280702</v>
      </c>
      <c r="Y1823" s="0" t="n">
        <f aca="false">SUMPRODUCT(MMULT(I1823:W1823,_XtX!$B$78:$P$92),I1823:W1823)</f>
        <v>0.468841374269006</v>
      </c>
      <c r="Z1823" s="0" t="n">
        <f aca="false">04_回帰ANOVA!$K$19*04_回帰ANOVA!$K$14*SQRT(1+Y1823)</f>
        <v>1.57974082366087</v>
      </c>
      <c r="AA1823" s="0" t="n">
        <f aca="false">X1823-Z1823</f>
        <v>43.9542504044093</v>
      </c>
      <c r="AB1823" s="0" t="n">
        <f aca="false">X1823+Z1823</f>
        <v>47.1137320517311</v>
      </c>
      <c r="AC1823" s="54" t="b">
        <f aca="false">AND(E1823&gt;=01_因子設定!$L$5-0.000000001,E1823&lt;=01_因子設定!$M$5+0.000000001,F1823&gt;=01_因子設定!$L$6-0.000000001,F1823&lt;=01_因子設定!$M$6+0.000000001,G1823&gt;=01_因子設定!$L$7-0.000000001,G1823&lt;=01_因子設定!$M$7+0.000000001,H1823&gt;=01_因子設定!$L$8-0.000000001,H1823&lt;=01_因子設定!$M$8+0.000000001,IF(01_因子設定!$B$20="Box-Behnken",E1823^2+F1823^2+G1823^2+H1823^2&lt;=2+0.000000001,TRUE()))</f>
        <v>1</v>
      </c>
      <c r="AD1823" s="55" t="n">
        <f aca="false">IF(AC1823,IF(01_因子設定!$B$13="最大化",AA1823-01_因子設定!$B$14,IF(01_因子設定!$B$13="最小化",01_因子設定!$B$15-AB1823,MIN(AA1823-01_因子設定!$B$14,01_因子設定!$B$15-AB1823))),-1E+030)</f>
        <v>-2.54574959559071</v>
      </c>
      <c r="AE1823" s="55" t="n">
        <f aca="false">IF(AC1823,IF(01_因子設定!$B$13="最大化",X1823,IF(01_因子設定!$B$13="最小化",-X1823,-ABS(X1823-01_因子設定!$B$16))),-1E+030)</f>
        <v>45.5339912280702</v>
      </c>
      <c r="AF1823" s="55" t="n">
        <f aca="false">AD1823+ROW()*0.000000001</f>
        <v>-2.54574777259071</v>
      </c>
      <c r="AG1823" s="55" t="n">
        <f aca="false">AE1823+ROW()*0.000000001</f>
        <v>45.5339930510702</v>
      </c>
    </row>
    <row r="1824" customFormat="false" ht="15" hidden="false" customHeight="false" outlineLevel="0" collapsed="false">
      <c r="A1824" s="0" t="n">
        <v>2</v>
      </c>
      <c r="B1824" s="0" t="n">
        <v>4</v>
      </c>
      <c r="C1824" s="0" t="n">
        <v>4</v>
      </c>
      <c r="D1824" s="0" t="n">
        <v>1</v>
      </c>
      <c r="E1824" s="0" t="n">
        <f aca="false">-1+A1824*0.25</f>
        <v>-0.5</v>
      </c>
      <c r="F1824" s="0" t="n">
        <f aca="false">-1+B1824*0.25</f>
        <v>0</v>
      </c>
      <c r="G1824" s="0" t="n">
        <f aca="false">-1+C1824*0.25</f>
        <v>0</v>
      </c>
      <c r="H1824" s="0" t="n">
        <f aca="false">-1+D1824*0.25</f>
        <v>-0.75</v>
      </c>
      <c r="I1824" s="0" t="n">
        <f aca="false">1</f>
        <v>1</v>
      </c>
      <c r="J1824" s="0" t="n">
        <f aca="false">E1824</f>
        <v>-0.5</v>
      </c>
      <c r="K1824" s="0" t="n">
        <f aca="false">F1824</f>
        <v>0</v>
      </c>
      <c r="L1824" s="0" t="n">
        <f aca="false">G1824</f>
        <v>0</v>
      </c>
      <c r="M1824" s="0" t="n">
        <f aca="false">H1824</f>
        <v>-0.75</v>
      </c>
      <c r="N1824" s="0" t="n">
        <f aca="false">E1824*F1824</f>
        <v>-0</v>
      </c>
      <c r="O1824" s="0" t="n">
        <f aca="false">E1824*G1824</f>
        <v>-0</v>
      </c>
      <c r="P1824" s="0" t="n">
        <f aca="false">E1824*H1824</f>
        <v>0.375</v>
      </c>
      <c r="Q1824" s="0" t="n">
        <f aca="false">F1824*G1824</f>
        <v>0</v>
      </c>
      <c r="R1824" s="0" t="n">
        <f aca="false">F1824*H1824</f>
        <v>-0</v>
      </c>
      <c r="S1824" s="0" t="n">
        <f aca="false">G1824*H1824</f>
        <v>-0</v>
      </c>
      <c r="T1824" s="0" t="n">
        <f aca="false">E1824*E1824</f>
        <v>0.25</v>
      </c>
      <c r="U1824" s="0" t="n">
        <f aca="false">F1824*F1824</f>
        <v>0</v>
      </c>
      <c r="V1824" s="0" t="n">
        <f aca="false">G1824*G1824</f>
        <v>0</v>
      </c>
      <c r="W1824" s="0" t="n">
        <f aca="false">H1824*H1824</f>
        <v>0.5625</v>
      </c>
      <c r="X1824" s="0" t="n">
        <f aca="false">SUMPRODUCT(I1824:W1824,_XtX!$B$96:$P$96)</f>
        <v>45.7870796783626</v>
      </c>
      <c r="Y1824" s="0" t="n">
        <f aca="false">SUMPRODUCT(MMULT(I1824:W1824,_XtX!$B$78:$P$92),I1824:W1824)</f>
        <v>0.221828170687135</v>
      </c>
      <c r="Z1824" s="0" t="n">
        <f aca="false">04_回帰ANOVA!$K$19*04_回帰ANOVA!$K$14*SQRT(1+Y1824)</f>
        <v>1.44079920361664</v>
      </c>
      <c r="AA1824" s="0" t="n">
        <f aca="false">X1824-Z1824</f>
        <v>44.3462804747459</v>
      </c>
      <c r="AB1824" s="0" t="n">
        <f aca="false">X1824+Z1824</f>
        <v>47.2278788819792</v>
      </c>
      <c r="AC1824" s="54" t="b">
        <f aca="false">AND(E1824&gt;=01_因子設定!$L$5-0.000000001,E1824&lt;=01_因子設定!$M$5+0.000000001,F1824&gt;=01_因子設定!$L$6-0.000000001,F1824&lt;=01_因子設定!$M$6+0.000000001,G1824&gt;=01_因子設定!$L$7-0.000000001,G1824&lt;=01_因子設定!$M$7+0.000000001,H1824&gt;=01_因子設定!$L$8-0.000000001,H1824&lt;=01_因子設定!$M$8+0.000000001,IF(01_因子設定!$B$20="Box-Behnken",E1824^2+F1824^2+G1824^2+H1824^2&lt;=2+0.000000001,TRUE()))</f>
        <v>1</v>
      </c>
      <c r="AD1824" s="55" t="n">
        <f aca="false">IF(AC1824,IF(01_因子設定!$B$13="最大化",AA1824-01_因子設定!$B$14,IF(01_因子設定!$B$13="最小化",01_因子設定!$B$15-AB1824,MIN(AA1824-01_因子設定!$B$14,01_因子設定!$B$15-AB1824))),-1E+030)</f>
        <v>-2.15371952525409</v>
      </c>
      <c r="AE1824" s="55" t="n">
        <f aca="false">IF(AC1824,IF(01_因子設定!$B$13="最大化",X1824,IF(01_因子設定!$B$13="最小化",-X1824,-ABS(X1824-01_因子設定!$B$16))),-1E+030)</f>
        <v>45.7870796783626</v>
      </c>
      <c r="AF1824" s="55" t="n">
        <f aca="false">AD1824+ROW()*0.000000001</f>
        <v>-2.15371770125409</v>
      </c>
      <c r="AG1824" s="55" t="n">
        <f aca="false">AE1824+ROW()*0.000000001</f>
        <v>45.7870815023626</v>
      </c>
    </row>
    <row r="1825" customFormat="false" ht="15" hidden="false" customHeight="false" outlineLevel="0" collapsed="false">
      <c r="A1825" s="0" t="n">
        <v>2</v>
      </c>
      <c r="B1825" s="0" t="n">
        <v>4</v>
      </c>
      <c r="C1825" s="0" t="n">
        <v>4</v>
      </c>
      <c r="D1825" s="0" t="n">
        <v>2</v>
      </c>
      <c r="E1825" s="0" t="n">
        <f aca="false">-1+A1825*0.25</f>
        <v>-0.5</v>
      </c>
      <c r="F1825" s="0" t="n">
        <f aca="false">-1+B1825*0.25</f>
        <v>0</v>
      </c>
      <c r="G1825" s="0" t="n">
        <f aca="false">-1+C1825*0.25</f>
        <v>0</v>
      </c>
      <c r="H1825" s="0" t="n">
        <f aca="false">-1+D1825*0.25</f>
        <v>-0.5</v>
      </c>
      <c r="I1825" s="0" t="n">
        <f aca="false">1</f>
        <v>1</v>
      </c>
      <c r="J1825" s="0" t="n">
        <f aca="false">E1825</f>
        <v>-0.5</v>
      </c>
      <c r="K1825" s="0" t="n">
        <f aca="false">F1825</f>
        <v>0</v>
      </c>
      <c r="L1825" s="0" t="n">
        <f aca="false">G1825</f>
        <v>0</v>
      </c>
      <c r="M1825" s="0" t="n">
        <f aca="false">H1825</f>
        <v>-0.5</v>
      </c>
      <c r="N1825" s="0" t="n">
        <f aca="false">E1825*F1825</f>
        <v>-0</v>
      </c>
      <c r="O1825" s="0" t="n">
        <f aca="false">E1825*G1825</f>
        <v>-0</v>
      </c>
      <c r="P1825" s="0" t="n">
        <f aca="false">E1825*H1825</f>
        <v>0.25</v>
      </c>
      <c r="Q1825" s="0" t="n">
        <f aca="false">F1825*G1825</f>
        <v>0</v>
      </c>
      <c r="R1825" s="0" t="n">
        <f aca="false">F1825*H1825</f>
        <v>-0</v>
      </c>
      <c r="S1825" s="0" t="n">
        <f aca="false">G1825*H1825</f>
        <v>-0</v>
      </c>
      <c r="T1825" s="0" t="n">
        <f aca="false">E1825*E1825</f>
        <v>0.25</v>
      </c>
      <c r="U1825" s="0" t="n">
        <f aca="false">F1825*F1825</f>
        <v>0</v>
      </c>
      <c r="V1825" s="0" t="n">
        <f aca="false">G1825*G1825</f>
        <v>0</v>
      </c>
      <c r="W1825" s="0" t="n">
        <f aca="false">H1825*H1825</f>
        <v>0.25</v>
      </c>
      <c r="X1825" s="0" t="n">
        <f aca="false">SUMPRODUCT(I1825:W1825,_XtX!$B$96:$P$96)</f>
        <v>45.9923611111111</v>
      </c>
      <c r="Y1825" s="0" t="n">
        <f aca="false">SUMPRODUCT(MMULT(I1825:W1825,_XtX!$B$78:$P$92),I1825:W1825)</f>
        <v>0.135850694444444</v>
      </c>
      <c r="Z1825" s="0" t="n">
        <f aca="false">04_回帰ANOVA!$K$19*04_回帰ANOVA!$K$14*SQRT(1+Y1825)</f>
        <v>1.38918158179389</v>
      </c>
      <c r="AA1825" s="0" t="n">
        <f aca="false">X1825-Z1825</f>
        <v>44.6031795293172</v>
      </c>
      <c r="AB1825" s="0" t="n">
        <f aca="false">X1825+Z1825</f>
        <v>47.381542692905</v>
      </c>
      <c r="AC1825" s="54" t="b">
        <f aca="false">AND(E1825&gt;=01_因子設定!$L$5-0.000000001,E1825&lt;=01_因子設定!$M$5+0.000000001,F1825&gt;=01_因子設定!$L$6-0.000000001,F1825&lt;=01_因子設定!$M$6+0.000000001,G1825&gt;=01_因子設定!$L$7-0.000000001,G1825&lt;=01_因子設定!$M$7+0.000000001,H1825&gt;=01_因子設定!$L$8-0.000000001,H1825&lt;=01_因子設定!$M$8+0.000000001,IF(01_因子設定!$B$20="Box-Behnken",E1825^2+F1825^2+G1825^2+H1825^2&lt;=2+0.000000001,TRUE()))</f>
        <v>1</v>
      </c>
      <c r="AD1825" s="55" t="n">
        <f aca="false">IF(AC1825,IF(01_因子設定!$B$13="最大化",AA1825-01_因子設定!$B$14,IF(01_因子設定!$B$13="最小化",01_因子設定!$B$15-AB1825,MIN(AA1825-01_因子設定!$B$14,01_因子設定!$B$15-AB1825))),-1E+030)</f>
        <v>-1.89682047068281</v>
      </c>
      <c r="AE1825" s="55" t="n">
        <f aca="false">IF(AC1825,IF(01_因子設定!$B$13="最大化",X1825,IF(01_因子設定!$B$13="最小化",-X1825,-ABS(X1825-01_因子設定!$B$16))),-1E+030)</f>
        <v>45.9923611111111</v>
      </c>
      <c r="AF1825" s="55" t="n">
        <f aca="false">AD1825+ROW()*0.000000001</f>
        <v>-1.89681864568281</v>
      </c>
      <c r="AG1825" s="55" t="n">
        <f aca="false">AE1825+ROW()*0.000000001</f>
        <v>45.9923629361111</v>
      </c>
    </row>
    <row r="1826" customFormat="false" ht="15" hidden="false" customHeight="false" outlineLevel="0" collapsed="false">
      <c r="A1826" s="0" t="n">
        <v>2</v>
      </c>
      <c r="B1826" s="0" t="n">
        <v>4</v>
      </c>
      <c r="C1826" s="0" t="n">
        <v>4</v>
      </c>
      <c r="D1826" s="0" t="n">
        <v>3</v>
      </c>
      <c r="E1826" s="0" t="n">
        <f aca="false">-1+A1826*0.25</f>
        <v>-0.5</v>
      </c>
      <c r="F1826" s="0" t="n">
        <f aca="false">-1+B1826*0.25</f>
        <v>0</v>
      </c>
      <c r="G1826" s="0" t="n">
        <f aca="false">-1+C1826*0.25</f>
        <v>0</v>
      </c>
      <c r="H1826" s="0" t="n">
        <f aca="false">-1+D1826*0.25</f>
        <v>-0.25</v>
      </c>
      <c r="I1826" s="0" t="n">
        <f aca="false">1</f>
        <v>1</v>
      </c>
      <c r="J1826" s="0" t="n">
        <f aca="false">E1826</f>
        <v>-0.5</v>
      </c>
      <c r="K1826" s="0" t="n">
        <f aca="false">F1826</f>
        <v>0</v>
      </c>
      <c r="L1826" s="0" t="n">
        <f aca="false">G1826</f>
        <v>0</v>
      </c>
      <c r="M1826" s="0" t="n">
        <f aca="false">H1826</f>
        <v>-0.25</v>
      </c>
      <c r="N1826" s="0" t="n">
        <f aca="false">E1826*F1826</f>
        <v>-0</v>
      </c>
      <c r="O1826" s="0" t="n">
        <f aca="false">E1826*G1826</f>
        <v>-0</v>
      </c>
      <c r="P1826" s="0" t="n">
        <f aca="false">E1826*H1826</f>
        <v>0.125</v>
      </c>
      <c r="Q1826" s="0" t="n">
        <f aca="false">F1826*G1826</f>
        <v>0</v>
      </c>
      <c r="R1826" s="0" t="n">
        <f aca="false">F1826*H1826</f>
        <v>-0</v>
      </c>
      <c r="S1826" s="0" t="n">
        <f aca="false">G1826*H1826</f>
        <v>-0</v>
      </c>
      <c r="T1826" s="0" t="n">
        <f aca="false">E1826*E1826</f>
        <v>0.25</v>
      </c>
      <c r="U1826" s="0" t="n">
        <f aca="false">F1826*F1826</f>
        <v>0</v>
      </c>
      <c r="V1826" s="0" t="n">
        <f aca="false">G1826*G1826</f>
        <v>0</v>
      </c>
      <c r="W1826" s="0" t="n">
        <f aca="false">H1826*H1826</f>
        <v>0.0625</v>
      </c>
      <c r="X1826" s="0" t="n">
        <f aca="false">SUMPRODUCT(I1826:W1826,_XtX!$B$96:$P$96)</f>
        <v>46.1498355263158</v>
      </c>
      <c r="Y1826" s="0" t="n">
        <f aca="false">SUMPRODUCT(MMULT(I1826:W1826,_XtX!$B$78:$P$92),I1826:W1826)</f>
        <v>0.120448419225146</v>
      </c>
      <c r="Z1826" s="0" t="n">
        <f aca="false">04_回帰ANOVA!$K$19*04_回帰ANOVA!$K$14*SQRT(1+Y1826)</f>
        <v>1.37973069703246</v>
      </c>
      <c r="AA1826" s="0" t="n">
        <f aca="false">X1826-Z1826</f>
        <v>44.7701048292833</v>
      </c>
      <c r="AB1826" s="0" t="n">
        <f aca="false">X1826+Z1826</f>
        <v>47.5295662233482</v>
      </c>
      <c r="AC1826" s="54" t="b">
        <f aca="false">AND(E1826&gt;=01_因子設定!$L$5-0.000000001,E1826&lt;=01_因子設定!$M$5+0.000000001,F1826&gt;=01_因子設定!$L$6-0.000000001,F1826&lt;=01_因子設定!$M$6+0.000000001,G1826&gt;=01_因子設定!$L$7-0.000000001,G1826&lt;=01_因子設定!$M$7+0.000000001,H1826&gt;=01_因子設定!$L$8-0.000000001,H1826&lt;=01_因子設定!$M$8+0.000000001,IF(01_因子設定!$B$20="Box-Behnken",E1826^2+F1826^2+G1826^2+H1826^2&lt;=2+0.000000001,TRUE()))</f>
        <v>1</v>
      </c>
      <c r="AD1826" s="55" t="n">
        <f aca="false">IF(AC1826,IF(01_因子設定!$B$13="最大化",AA1826-01_因子設定!$B$14,IF(01_因子設定!$B$13="最小化",01_因子設定!$B$15-AB1826,MIN(AA1826-01_因子設定!$B$14,01_因子設定!$B$15-AB1826))),-1E+030)</f>
        <v>-1.72989517071672</v>
      </c>
      <c r="AE1826" s="55" t="n">
        <f aca="false">IF(AC1826,IF(01_因子設定!$B$13="最大化",X1826,IF(01_因子設定!$B$13="最小化",-X1826,-ABS(X1826-01_因子設定!$B$16))),-1E+030)</f>
        <v>46.1498355263158</v>
      </c>
      <c r="AF1826" s="55" t="n">
        <f aca="false">AD1826+ROW()*0.000000001</f>
        <v>-1.72989334471672</v>
      </c>
      <c r="AG1826" s="55" t="n">
        <f aca="false">AE1826+ROW()*0.000000001</f>
        <v>46.1498373523158</v>
      </c>
    </row>
    <row r="1827" customFormat="false" ht="15" hidden="false" customHeight="false" outlineLevel="0" collapsed="false">
      <c r="A1827" s="0" t="n">
        <v>2</v>
      </c>
      <c r="B1827" s="0" t="n">
        <v>4</v>
      </c>
      <c r="C1827" s="0" t="n">
        <v>4</v>
      </c>
      <c r="D1827" s="0" t="n">
        <v>4</v>
      </c>
      <c r="E1827" s="0" t="n">
        <f aca="false">-1+A1827*0.25</f>
        <v>-0.5</v>
      </c>
      <c r="F1827" s="0" t="n">
        <f aca="false">-1+B1827*0.25</f>
        <v>0</v>
      </c>
      <c r="G1827" s="0" t="n">
        <f aca="false">-1+C1827*0.25</f>
        <v>0</v>
      </c>
      <c r="H1827" s="0" t="n">
        <f aca="false">-1+D1827*0.25</f>
        <v>0</v>
      </c>
      <c r="I1827" s="0" t="n">
        <f aca="false">1</f>
        <v>1</v>
      </c>
      <c r="J1827" s="0" t="n">
        <f aca="false">E1827</f>
        <v>-0.5</v>
      </c>
      <c r="K1827" s="0" t="n">
        <f aca="false">F1827</f>
        <v>0</v>
      </c>
      <c r="L1827" s="0" t="n">
        <f aca="false">G1827</f>
        <v>0</v>
      </c>
      <c r="M1827" s="0" t="n">
        <f aca="false">H1827</f>
        <v>0</v>
      </c>
      <c r="N1827" s="0" t="n">
        <f aca="false">E1827*F1827</f>
        <v>-0</v>
      </c>
      <c r="O1827" s="0" t="n">
        <f aca="false">E1827*G1827</f>
        <v>-0</v>
      </c>
      <c r="P1827" s="0" t="n">
        <f aca="false">E1827*H1827</f>
        <v>-0</v>
      </c>
      <c r="Q1827" s="0" t="n">
        <f aca="false">F1827*G1827</f>
        <v>0</v>
      </c>
      <c r="R1827" s="0" t="n">
        <f aca="false">F1827*H1827</f>
        <v>0</v>
      </c>
      <c r="S1827" s="0" t="n">
        <f aca="false">G1827*H1827</f>
        <v>0</v>
      </c>
      <c r="T1827" s="0" t="n">
        <f aca="false">E1827*E1827</f>
        <v>0.25</v>
      </c>
      <c r="U1827" s="0" t="n">
        <f aca="false">F1827*F1827</f>
        <v>0</v>
      </c>
      <c r="V1827" s="0" t="n">
        <f aca="false">G1827*G1827</f>
        <v>0</v>
      </c>
      <c r="W1827" s="0" t="n">
        <f aca="false">H1827*H1827</f>
        <v>0</v>
      </c>
      <c r="X1827" s="0" t="n">
        <f aca="false">SUMPRODUCT(I1827:W1827,_XtX!$B$96:$P$96)</f>
        <v>46.2595029239766</v>
      </c>
      <c r="Y1827" s="0" t="n">
        <f aca="false">SUMPRODUCT(MMULT(I1827:W1827,_XtX!$B$78:$P$92),I1827:W1827)</f>
        <v>0.121345029239766</v>
      </c>
      <c r="Z1827" s="0" t="n">
        <f aca="false">04_回帰ANOVA!$K$19*04_回帰ANOVA!$K$14*SQRT(1+Y1827)</f>
        <v>1.3802826336289</v>
      </c>
      <c r="AA1827" s="0" t="n">
        <f aca="false">X1827-Z1827</f>
        <v>44.8792202903477</v>
      </c>
      <c r="AB1827" s="0" t="n">
        <f aca="false">X1827+Z1827</f>
        <v>47.6397855576055</v>
      </c>
      <c r="AC1827" s="54" t="b">
        <f aca="false">AND(E1827&gt;=01_因子設定!$L$5-0.000000001,E1827&lt;=01_因子設定!$M$5+0.000000001,F1827&gt;=01_因子設定!$L$6-0.000000001,F1827&lt;=01_因子設定!$M$6+0.000000001,G1827&gt;=01_因子設定!$L$7-0.000000001,G1827&lt;=01_因子設定!$M$7+0.000000001,H1827&gt;=01_因子設定!$L$8-0.000000001,H1827&lt;=01_因子設定!$M$8+0.000000001,IF(01_因子設定!$B$20="Box-Behnken",E1827^2+F1827^2+G1827^2+H1827^2&lt;=2+0.000000001,TRUE()))</f>
        <v>1</v>
      </c>
      <c r="AD1827" s="55" t="n">
        <f aca="false">IF(AC1827,IF(01_因子設定!$B$13="最大化",AA1827-01_因子設定!$B$14,IF(01_因子設定!$B$13="最小化",01_因子設定!$B$15-AB1827,MIN(AA1827-01_因子設定!$B$14,01_因子設定!$B$15-AB1827))),-1E+030)</f>
        <v>-1.62077970965234</v>
      </c>
      <c r="AE1827" s="55" t="n">
        <f aca="false">IF(AC1827,IF(01_因子設定!$B$13="最大化",X1827,IF(01_因子設定!$B$13="最小化",-X1827,-ABS(X1827-01_因子設定!$B$16))),-1E+030)</f>
        <v>46.2595029239766</v>
      </c>
      <c r="AF1827" s="55" t="n">
        <f aca="false">AD1827+ROW()*0.000000001</f>
        <v>-1.62077788265234</v>
      </c>
      <c r="AG1827" s="55" t="n">
        <f aca="false">AE1827+ROW()*0.000000001</f>
        <v>46.2595047509766</v>
      </c>
    </row>
    <row r="1828" customFormat="false" ht="15" hidden="false" customHeight="false" outlineLevel="0" collapsed="false">
      <c r="A1828" s="0" t="n">
        <v>2</v>
      </c>
      <c r="B1828" s="0" t="n">
        <v>4</v>
      </c>
      <c r="C1828" s="0" t="n">
        <v>4</v>
      </c>
      <c r="D1828" s="0" t="n">
        <v>5</v>
      </c>
      <c r="E1828" s="0" t="n">
        <f aca="false">-1+A1828*0.25</f>
        <v>-0.5</v>
      </c>
      <c r="F1828" s="0" t="n">
        <f aca="false">-1+B1828*0.25</f>
        <v>0</v>
      </c>
      <c r="G1828" s="0" t="n">
        <f aca="false">-1+C1828*0.25</f>
        <v>0</v>
      </c>
      <c r="H1828" s="0" t="n">
        <f aca="false">-1+D1828*0.25</f>
        <v>0.25</v>
      </c>
      <c r="I1828" s="0" t="n">
        <f aca="false">1</f>
        <v>1</v>
      </c>
      <c r="J1828" s="0" t="n">
        <f aca="false">E1828</f>
        <v>-0.5</v>
      </c>
      <c r="K1828" s="0" t="n">
        <f aca="false">F1828</f>
        <v>0</v>
      </c>
      <c r="L1828" s="0" t="n">
        <f aca="false">G1828</f>
        <v>0</v>
      </c>
      <c r="M1828" s="0" t="n">
        <f aca="false">H1828</f>
        <v>0.25</v>
      </c>
      <c r="N1828" s="0" t="n">
        <f aca="false">E1828*F1828</f>
        <v>-0</v>
      </c>
      <c r="O1828" s="0" t="n">
        <f aca="false">E1828*G1828</f>
        <v>-0</v>
      </c>
      <c r="P1828" s="0" t="n">
        <f aca="false">E1828*H1828</f>
        <v>-0.125</v>
      </c>
      <c r="Q1828" s="0" t="n">
        <f aca="false">F1828*G1828</f>
        <v>0</v>
      </c>
      <c r="R1828" s="0" t="n">
        <f aca="false">F1828*H1828</f>
        <v>0</v>
      </c>
      <c r="S1828" s="0" t="n">
        <f aca="false">G1828*H1828</f>
        <v>0</v>
      </c>
      <c r="T1828" s="0" t="n">
        <f aca="false">E1828*E1828</f>
        <v>0.25</v>
      </c>
      <c r="U1828" s="0" t="n">
        <f aca="false">F1828*F1828</f>
        <v>0</v>
      </c>
      <c r="V1828" s="0" t="n">
        <f aca="false">G1828*G1828</f>
        <v>0</v>
      </c>
      <c r="W1828" s="0" t="n">
        <f aca="false">H1828*H1828</f>
        <v>0.0625</v>
      </c>
      <c r="X1828" s="0" t="n">
        <f aca="false">SUMPRODUCT(I1828:W1828,_XtX!$B$96:$P$96)</f>
        <v>46.3213633040935</v>
      </c>
      <c r="Y1828" s="0" t="n">
        <f aca="false">SUMPRODUCT(MMULT(I1828:W1828,_XtX!$B$78:$P$92),I1828:W1828)</f>
        <v>0.120448419225146</v>
      </c>
      <c r="Z1828" s="0" t="n">
        <f aca="false">04_回帰ANOVA!$K$19*04_回帰ANOVA!$K$14*SQRT(1+Y1828)</f>
        <v>1.37973069703246</v>
      </c>
      <c r="AA1828" s="0" t="n">
        <f aca="false">X1828-Z1828</f>
        <v>44.9416326070611</v>
      </c>
      <c r="AB1828" s="0" t="n">
        <f aca="false">X1828+Z1828</f>
        <v>47.701094001126</v>
      </c>
      <c r="AC1828" s="54" t="b">
        <f aca="false">AND(E1828&gt;=01_因子設定!$L$5-0.000000001,E1828&lt;=01_因子設定!$M$5+0.000000001,F1828&gt;=01_因子設定!$L$6-0.000000001,F1828&lt;=01_因子設定!$M$6+0.000000001,G1828&gt;=01_因子設定!$L$7-0.000000001,G1828&lt;=01_因子設定!$M$7+0.000000001,H1828&gt;=01_因子設定!$L$8-0.000000001,H1828&lt;=01_因子設定!$M$8+0.000000001,IF(01_因子設定!$B$20="Box-Behnken",E1828^2+F1828^2+G1828^2+H1828^2&lt;=2+0.000000001,TRUE()))</f>
        <v>1</v>
      </c>
      <c r="AD1828" s="55" t="n">
        <f aca="false">IF(AC1828,IF(01_因子設定!$B$13="最大化",AA1828-01_因子設定!$B$14,IF(01_因子設定!$B$13="最小化",01_因子設定!$B$15-AB1828,MIN(AA1828-01_因子設定!$B$14,01_因子設定!$B$15-AB1828))),-1E+030)</f>
        <v>-1.55836739293894</v>
      </c>
      <c r="AE1828" s="55" t="n">
        <f aca="false">IF(AC1828,IF(01_因子設定!$B$13="最大化",X1828,IF(01_因子設定!$B$13="最小化",-X1828,-ABS(X1828-01_因子設定!$B$16))),-1E+030)</f>
        <v>46.3213633040935</v>
      </c>
      <c r="AF1828" s="55" t="n">
        <f aca="false">AD1828+ROW()*0.000000001</f>
        <v>-1.55836556493894</v>
      </c>
      <c r="AG1828" s="55" t="n">
        <f aca="false">AE1828+ROW()*0.000000001</f>
        <v>46.3213651320935</v>
      </c>
    </row>
    <row r="1829" customFormat="false" ht="15" hidden="false" customHeight="false" outlineLevel="0" collapsed="false">
      <c r="A1829" s="0" t="n">
        <v>2</v>
      </c>
      <c r="B1829" s="0" t="n">
        <v>4</v>
      </c>
      <c r="C1829" s="0" t="n">
        <v>4</v>
      </c>
      <c r="D1829" s="0" t="n">
        <v>6</v>
      </c>
      <c r="E1829" s="0" t="n">
        <f aca="false">-1+A1829*0.25</f>
        <v>-0.5</v>
      </c>
      <c r="F1829" s="0" t="n">
        <f aca="false">-1+B1829*0.25</f>
        <v>0</v>
      </c>
      <c r="G1829" s="0" t="n">
        <f aca="false">-1+C1829*0.25</f>
        <v>0</v>
      </c>
      <c r="H1829" s="0" t="n">
        <f aca="false">-1+D1829*0.25</f>
        <v>0.5</v>
      </c>
      <c r="I1829" s="0" t="n">
        <f aca="false">1</f>
        <v>1</v>
      </c>
      <c r="J1829" s="0" t="n">
        <f aca="false">E1829</f>
        <v>-0.5</v>
      </c>
      <c r="K1829" s="0" t="n">
        <f aca="false">F1829</f>
        <v>0</v>
      </c>
      <c r="L1829" s="0" t="n">
        <f aca="false">G1829</f>
        <v>0</v>
      </c>
      <c r="M1829" s="0" t="n">
        <f aca="false">H1829</f>
        <v>0.5</v>
      </c>
      <c r="N1829" s="0" t="n">
        <f aca="false">E1829*F1829</f>
        <v>-0</v>
      </c>
      <c r="O1829" s="0" t="n">
        <f aca="false">E1829*G1829</f>
        <v>-0</v>
      </c>
      <c r="P1829" s="0" t="n">
        <f aca="false">E1829*H1829</f>
        <v>-0.25</v>
      </c>
      <c r="Q1829" s="0" t="n">
        <f aca="false">F1829*G1829</f>
        <v>0</v>
      </c>
      <c r="R1829" s="0" t="n">
        <f aca="false">F1829*H1829</f>
        <v>0</v>
      </c>
      <c r="S1829" s="0" t="n">
        <f aca="false">G1829*H1829</f>
        <v>0</v>
      </c>
      <c r="T1829" s="0" t="n">
        <f aca="false">E1829*E1829</f>
        <v>0.25</v>
      </c>
      <c r="U1829" s="0" t="n">
        <f aca="false">F1829*F1829</f>
        <v>0</v>
      </c>
      <c r="V1829" s="0" t="n">
        <f aca="false">G1829*G1829</f>
        <v>0</v>
      </c>
      <c r="W1829" s="0" t="n">
        <f aca="false">H1829*H1829</f>
        <v>0.25</v>
      </c>
      <c r="X1829" s="0" t="n">
        <f aca="false">SUMPRODUCT(I1829:W1829,_XtX!$B$96:$P$96)</f>
        <v>46.3354166666666</v>
      </c>
      <c r="Y1829" s="0" t="n">
        <f aca="false">SUMPRODUCT(MMULT(I1829:W1829,_XtX!$B$78:$P$92),I1829:W1829)</f>
        <v>0.135850694444444</v>
      </c>
      <c r="Z1829" s="0" t="n">
        <f aca="false">04_回帰ANOVA!$K$19*04_回帰ANOVA!$K$14*SQRT(1+Y1829)</f>
        <v>1.38918158179389</v>
      </c>
      <c r="AA1829" s="0" t="n">
        <f aca="false">X1829-Z1829</f>
        <v>44.9462350848727</v>
      </c>
      <c r="AB1829" s="0" t="n">
        <f aca="false">X1829+Z1829</f>
        <v>47.7245982484605</v>
      </c>
      <c r="AC1829" s="54" t="b">
        <f aca="false">AND(E1829&gt;=01_因子設定!$L$5-0.000000001,E1829&lt;=01_因子設定!$M$5+0.000000001,F1829&gt;=01_因子設定!$L$6-0.000000001,F1829&lt;=01_因子設定!$M$6+0.000000001,G1829&gt;=01_因子設定!$L$7-0.000000001,G1829&lt;=01_因子設定!$M$7+0.000000001,H1829&gt;=01_因子設定!$L$8-0.000000001,H1829&lt;=01_因子設定!$M$8+0.000000001,IF(01_因子設定!$B$20="Box-Behnken",E1829^2+F1829^2+G1829^2+H1829^2&lt;=2+0.000000001,TRUE()))</f>
        <v>1</v>
      </c>
      <c r="AD1829" s="55" t="n">
        <f aca="false">IF(AC1829,IF(01_因子設定!$B$13="最大化",AA1829-01_因子設定!$B$14,IF(01_因子設定!$B$13="最小化",01_因子設定!$B$15-AB1829,MIN(AA1829-01_因子設定!$B$14,01_因子設定!$B$15-AB1829))),-1E+030)</f>
        <v>-1.55376491512726</v>
      </c>
      <c r="AE1829" s="55" t="n">
        <f aca="false">IF(AC1829,IF(01_因子設定!$B$13="最大化",X1829,IF(01_因子設定!$B$13="最小化",-X1829,-ABS(X1829-01_因子設定!$B$16))),-1E+030)</f>
        <v>46.3354166666666</v>
      </c>
      <c r="AF1829" s="55" t="n">
        <f aca="false">AD1829+ROW()*0.000000001</f>
        <v>-1.55376308612726</v>
      </c>
      <c r="AG1829" s="55" t="n">
        <f aca="false">AE1829+ROW()*0.000000001</f>
        <v>46.3354184956666</v>
      </c>
    </row>
    <row r="1830" customFormat="false" ht="15" hidden="false" customHeight="false" outlineLevel="0" collapsed="false">
      <c r="A1830" s="0" t="n">
        <v>2</v>
      </c>
      <c r="B1830" s="0" t="n">
        <v>4</v>
      </c>
      <c r="C1830" s="0" t="n">
        <v>4</v>
      </c>
      <c r="D1830" s="0" t="n">
        <v>7</v>
      </c>
      <c r="E1830" s="0" t="n">
        <f aca="false">-1+A1830*0.25</f>
        <v>-0.5</v>
      </c>
      <c r="F1830" s="0" t="n">
        <f aca="false">-1+B1830*0.25</f>
        <v>0</v>
      </c>
      <c r="G1830" s="0" t="n">
        <f aca="false">-1+C1830*0.25</f>
        <v>0</v>
      </c>
      <c r="H1830" s="0" t="n">
        <f aca="false">-1+D1830*0.25</f>
        <v>0.75</v>
      </c>
      <c r="I1830" s="0" t="n">
        <f aca="false">1</f>
        <v>1</v>
      </c>
      <c r="J1830" s="0" t="n">
        <f aca="false">E1830</f>
        <v>-0.5</v>
      </c>
      <c r="K1830" s="0" t="n">
        <f aca="false">F1830</f>
        <v>0</v>
      </c>
      <c r="L1830" s="0" t="n">
        <f aca="false">G1830</f>
        <v>0</v>
      </c>
      <c r="M1830" s="0" t="n">
        <f aca="false">H1830</f>
        <v>0.75</v>
      </c>
      <c r="N1830" s="0" t="n">
        <f aca="false">E1830*F1830</f>
        <v>-0</v>
      </c>
      <c r="O1830" s="0" t="n">
        <f aca="false">E1830*G1830</f>
        <v>-0</v>
      </c>
      <c r="P1830" s="0" t="n">
        <f aca="false">E1830*H1830</f>
        <v>-0.375</v>
      </c>
      <c r="Q1830" s="0" t="n">
        <f aca="false">F1830*G1830</f>
        <v>0</v>
      </c>
      <c r="R1830" s="0" t="n">
        <f aca="false">F1830*H1830</f>
        <v>0</v>
      </c>
      <c r="S1830" s="0" t="n">
        <f aca="false">G1830*H1830</f>
        <v>0</v>
      </c>
      <c r="T1830" s="0" t="n">
        <f aca="false">E1830*E1830</f>
        <v>0.25</v>
      </c>
      <c r="U1830" s="0" t="n">
        <f aca="false">F1830*F1830</f>
        <v>0</v>
      </c>
      <c r="V1830" s="0" t="n">
        <f aca="false">G1830*G1830</f>
        <v>0</v>
      </c>
      <c r="W1830" s="0" t="n">
        <f aca="false">H1830*H1830</f>
        <v>0.5625</v>
      </c>
      <c r="X1830" s="0" t="n">
        <f aca="false">SUMPRODUCT(I1830:W1830,_XtX!$B$96:$P$96)</f>
        <v>46.3016630116959</v>
      </c>
      <c r="Y1830" s="0" t="n">
        <f aca="false">SUMPRODUCT(MMULT(I1830:W1830,_XtX!$B$78:$P$92),I1830:W1830)</f>
        <v>0.221828170687135</v>
      </c>
      <c r="Z1830" s="0" t="n">
        <f aca="false">04_回帰ANOVA!$K$19*04_回帰ANOVA!$K$14*SQRT(1+Y1830)</f>
        <v>1.44079920361664</v>
      </c>
      <c r="AA1830" s="0" t="n">
        <f aca="false">X1830-Z1830</f>
        <v>44.8608638080792</v>
      </c>
      <c r="AB1830" s="0" t="n">
        <f aca="false">X1830+Z1830</f>
        <v>47.7424622153125</v>
      </c>
      <c r="AC1830" s="54" t="b">
        <f aca="false">AND(E1830&gt;=01_因子設定!$L$5-0.000000001,E1830&lt;=01_因子設定!$M$5+0.000000001,F1830&gt;=01_因子設定!$L$6-0.000000001,F1830&lt;=01_因子設定!$M$6+0.000000001,G1830&gt;=01_因子設定!$L$7-0.000000001,G1830&lt;=01_因子設定!$M$7+0.000000001,H1830&gt;=01_因子設定!$L$8-0.000000001,H1830&lt;=01_因子設定!$M$8+0.000000001,IF(01_因子設定!$B$20="Box-Behnken",E1830^2+F1830^2+G1830^2+H1830^2&lt;=2+0.000000001,TRUE()))</f>
        <v>1</v>
      </c>
      <c r="AD1830" s="55" t="n">
        <f aca="false">IF(AC1830,IF(01_因子設定!$B$13="最大化",AA1830-01_因子設定!$B$14,IF(01_因子設定!$B$13="最小化",01_因子設定!$B$15-AB1830,MIN(AA1830-01_因子設定!$B$14,01_因子設定!$B$15-AB1830))),-1E+030)</f>
        <v>-1.63913619192076</v>
      </c>
      <c r="AE1830" s="55" t="n">
        <f aca="false">IF(AC1830,IF(01_因子設定!$B$13="最大化",X1830,IF(01_因子設定!$B$13="最小化",-X1830,-ABS(X1830-01_因子設定!$B$16))),-1E+030)</f>
        <v>46.3016630116959</v>
      </c>
      <c r="AF1830" s="55" t="n">
        <f aca="false">AD1830+ROW()*0.000000001</f>
        <v>-1.63913436192076</v>
      </c>
      <c r="AG1830" s="55" t="n">
        <f aca="false">AE1830+ROW()*0.000000001</f>
        <v>46.3016648416959</v>
      </c>
    </row>
    <row r="1831" customFormat="false" ht="15" hidden="false" customHeight="false" outlineLevel="0" collapsed="false">
      <c r="A1831" s="0" t="n">
        <v>2</v>
      </c>
      <c r="B1831" s="0" t="n">
        <v>4</v>
      </c>
      <c r="C1831" s="0" t="n">
        <v>4</v>
      </c>
      <c r="D1831" s="0" t="n">
        <v>8</v>
      </c>
      <c r="E1831" s="0" t="n">
        <f aca="false">-1+A1831*0.25</f>
        <v>-0.5</v>
      </c>
      <c r="F1831" s="0" t="n">
        <f aca="false">-1+B1831*0.25</f>
        <v>0</v>
      </c>
      <c r="G1831" s="0" t="n">
        <f aca="false">-1+C1831*0.25</f>
        <v>0</v>
      </c>
      <c r="H1831" s="0" t="n">
        <f aca="false">-1+D1831*0.25</f>
        <v>1</v>
      </c>
      <c r="I1831" s="0" t="n">
        <f aca="false">1</f>
        <v>1</v>
      </c>
      <c r="J1831" s="0" t="n">
        <f aca="false">E1831</f>
        <v>-0.5</v>
      </c>
      <c r="K1831" s="0" t="n">
        <f aca="false">F1831</f>
        <v>0</v>
      </c>
      <c r="L1831" s="0" t="n">
        <f aca="false">G1831</f>
        <v>0</v>
      </c>
      <c r="M1831" s="0" t="n">
        <f aca="false">H1831</f>
        <v>1</v>
      </c>
      <c r="N1831" s="0" t="n">
        <f aca="false">E1831*F1831</f>
        <v>-0</v>
      </c>
      <c r="O1831" s="0" t="n">
        <f aca="false">E1831*G1831</f>
        <v>-0</v>
      </c>
      <c r="P1831" s="0" t="n">
        <f aca="false">E1831*H1831</f>
        <v>-0.5</v>
      </c>
      <c r="Q1831" s="0" t="n">
        <f aca="false">F1831*G1831</f>
        <v>0</v>
      </c>
      <c r="R1831" s="0" t="n">
        <f aca="false">F1831*H1831</f>
        <v>0</v>
      </c>
      <c r="S1831" s="0" t="n">
        <f aca="false">G1831*H1831</f>
        <v>0</v>
      </c>
      <c r="T1831" s="0" t="n">
        <f aca="false">E1831*E1831</f>
        <v>0.25</v>
      </c>
      <c r="U1831" s="0" t="n">
        <f aca="false">F1831*F1831</f>
        <v>0</v>
      </c>
      <c r="V1831" s="0" t="n">
        <f aca="false">G1831*G1831</f>
        <v>0</v>
      </c>
      <c r="W1831" s="0" t="n">
        <f aca="false">H1831*H1831</f>
        <v>1</v>
      </c>
      <c r="X1831" s="0" t="n">
        <f aca="false">SUMPRODUCT(I1831:W1831,_XtX!$B$96:$P$96)</f>
        <v>46.2201023391813</v>
      </c>
      <c r="Y1831" s="0" t="n">
        <f aca="false">SUMPRODUCT(MMULT(I1831:W1831,_XtX!$B$78:$P$92),I1831:W1831)</f>
        <v>0.468841374269006</v>
      </c>
      <c r="Z1831" s="0" t="n">
        <f aca="false">04_回帰ANOVA!$K$19*04_回帰ANOVA!$K$14*SQRT(1+Y1831)</f>
        <v>1.57974082366087</v>
      </c>
      <c r="AA1831" s="0" t="n">
        <f aca="false">X1831-Z1831</f>
        <v>44.6403615155204</v>
      </c>
      <c r="AB1831" s="0" t="n">
        <f aca="false">X1831+Z1831</f>
        <v>47.7998431628422</v>
      </c>
      <c r="AC1831" s="54" t="b">
        <f aca="false">AND(E1831&gt;=01_因子設定!$L$5-0.000000001,E1831&lt;=01_因子設定!$M$5+0.000000001,F1831&gt;=01_因子設定!$L$6-0.000000001,F1831&lt;=01_因子設定!$M$6+0.000000001,G1831&gt;=01_因子設定!$L$7-0.000000001,G1831&lt;=01_因子設定!$M$7+0.000000001,H1831&gt;=01_因子設定!$L$8-0.000000001,H1831&lt;=01_因子設定!$M$8+0.000000001,IF(01_因子設定!$B$20="Box-Behnken",E1831^2+F1831^2+G1831^2+H1831^2&lt;=2+0.000000001,TRUE()))</f>
        <v>1</v>
      </c>
      <c r="AD1831" s="55" t="n">
        <f aca="false">IF(AC1831,IF(01_因子設定!$B$13="最大化",AA1831-01_因子設定!$B$14,IF(01_因子設定!$B$13="最小化",01_因子設定!$B$15-AB1831,MIN(AA1831-01_因子設定!$B$14,01_因子設定!$B$15-AB1831))),-1E+030)</f>
        <v>-1.8596384844796</v>
      </c>
      <c r="AE1831" s="55" t="n">
        <f aca="false">IF(AC1831,IF(01_因子設定!$B$13="最大化",X1831,IF(01_因子設定!$B$13="最小化",-X1831,-ABS(X1831-01_因子設定!$B$16))),-1E+030)</f>
        <v>46.2201023391813</v>
      </c>
      <c r="AF1831" s="55" t="n">
        <f aca="false">AD1831+ROW()*0.000000001</f>
        <v>-1.8596366534796</v>
      </c>
      <c r="AG1831" s="55" t="n">
        <f aca="false">AE1831+ROW()*0.000000001</f>
        <v>46.2201041701813</v>
      </c>
    </row>
    <row r="1832" customFormat="false" ht="15" hidden="false" customHeight="false" outlineLevel="0" collapsed="false">
      <c r="A1832" s="0" t="n">
        <v>2</v>
      </c>
      <c r="B1832" s="0" t="n">
        <v>4</v>
      </c>
      <c r="C1832" s="0" t="n">
        <v>5</v>
      </c>
      <c r="D1832" s="0" t="n">
        <v>0</v>
      </c>
      <c r="E1832" s="0" t="n">
        <f aca="false">-1+A1832*0.25</f>
        <v>-0.5</v>
      </c>
      <c r="F1832" s="0" t="n">
        <f aca="false">-1+B1832*0.25</f>
        <v>0</v>
      </c>
      <c r="G1832" s="0" t="n">
        <f aca="false">-1+C1832*0.25</f>
        <v>0.25</v>
      </c>
      <c r="H1832" s="0" t="n">
        <f aca="false">-1+D1832*0.25</f>
        <v>-1</v>
      </c>
      <c r="I1832" s="0" t="n">
        <f aca="false">1</f>
        <v>1</v>
      </c>
      <c r="J1832" s="0" t="n">
        <f aca="false">E1832</f>
        <v>-0.5</v>
      </c>
      <c r="K1832" s="0" t="n">
        <f aca="false">F1832</f>
        <v>0</v>
      </c>
      <c r="L1832" s="0" t="n">
        <f aca="false">G1832</f>
        <v>0.25</v>
      </c>
      <c r="M1832" s="0" t="n">
        <f aca="false">H1832</f>
        <v>-1</v>
      </c>
      <c r="N1832" s="0" t="n">
        <f aca="false">E1832*F1832</f>
        <v>-0</v>
      </c>
      <c r="O1832" s="0" t="n">
        <f aca="false">E1832*G1832</f>
        <v>-0.125</v>
      </c>
      <c r="P1832" s="0" t="n">
        <f aca="false">E1832*H1832</f>
        <v>0.5</v>
      </c>
      <c r="Q1832" s="0" t="n">
        <f aca="false">F1832*G1832</f>
        <v>0</v>
      </c>
      <c r="R1832" s="0" t="n">
        <f aca="false">F1832*H1832</f>
        <v>-0</v>
      </c>
      <c r="S1832" s="0" t="n">
        <f aca="false">G1832*H1832</f>
        <v>-0.25</v>
      </c>
      <c r="T1832" s="0" t="n">
        <f aca="false">E1832*E1832</f>
        <v>0.25</v>
      </c>
      <c r="U1832" s="0" t="n">
        <f aca="false">F1832*F1832</f>
        <v>0</v>
      </c>
      <c r="V1832" s="0" t="n">
        <f aca="false">G1832*G1832</f>
        <v>0.0625</v>
      </c>
      <c r="W1832" s="0" t="n">
        <f aca="false">H1832*H1832</f>
        <v>1</v>
      </c>
      <c r="X1832" s="0" t="n">
        <f aca="false">SUMPRODUCT(I1832:W1832,_XtX!$B$96:$P$96)</f>
        <v>45.7465460526316</v>
      </c>
      <c r="Y1832" s="0" t="n">
        <f aca="false">SUMPRODUCT(MMULT(I1832:W1832,_XtX!$B$78:$P$92),I1832:W1832)</f>
        <v>0.457596628289474</v>
      </c>
      <c r="Z1832" s="0" t="n">
        <f aca="false">04_回帰ANOVA!$K$19*04_回帰ANOVA!$K$14*SQRT(1+Y1832)</f>
        <v>1.57368233664366</v>
      </c>
      <c r="AA1832" s="0" t="n">
        <f aca="false">X1832-Z1832</f>
        <v>44.1728637159879</v>
      </c>
      <c r="AB1832" s="0" t="n">
        <f aca="false">X1832+Z1832</f>
        <v>47.3202283892752</v>
      </c>
      <c r="AC1832" s="54" t="b">
        <f aca="false">AND(E1832&gt;=01_因子設定!$L$5-0.000000001,E1832&lt;=01_因子設定!$M$5+0.000000001,F1832&gt;=01_因子設定!$L$6-0.000000001,F1832&lt;=01_因子設定!$M$6+0.000000001,G1832&gt;=01_因子設定!$L$7-0.000000001,G1832&lt;=01_因子設定!$M$7+0.000000001,H1832&gt;=01_因子設定!$L$8-0.000000001,H1832&lt;=01_因子設定!$M$8+0.000000001,IF(01_因子設定!$B$20="Box-Behnken",E1832^2+F1832^2+G1832^2+H1832^2&lt;=2+0.000000001,TRUE()))</f>
        <v>1</v>
      </c>
      <c r="AD1832" s="55" t="n">
        <f aca="false">IF(AC1832,IF(01_因子設定!$B$13="最大化",AA1832-01_因子設定!$B$14,IF(01_因子設定!$B$13="最小化",01_因子設定!$B$15-AB1832,MIN(AA1832-01_因子設定!$B$14,01_因子設定!$B$15-AB1832))),-1E+030)</f>
        <v>-2.32713628401208</v>
      </c>
      <c r="AE1832" s="55" t="n">
        <f aca="false">IF(AC1832,IF(01_因子設定!$B$13="最大化",X1832,IF(01_因子設定!$B$13="最小化",-X1832,-ABS(X1832-01_因子設定!$B$16))),-1E+030)</f>
        <v>45.7465460526316</v>
      </c>
      <c r="AF1832" s="55" t="n">
        <f aca="false">AD1832+ROW()*0.000000001</f>
        <v>-2.32713445201208</v>
      </c>
      <c r="AG1832" s="55" t="n">
        <f aca="false">AE1832+ROW()*0.000000001</f>
        <v>45.7465478846316</v>
      </c>
    </row>
    <row r="1833" customFormat="false" ht="15" hidden="false" customHeight="false" outlineLevel="0" collapsed="false">
      <c r="A1833" s="0" t="n">
        <v>2</v>
      </c>
      <c r="B1833" s="0" t="n">
        <v>4</v>
      </c>
      <c r="C1833" s="0" t="n">
        <v>5</v>
      </c>
      <c r="D1833" s="0" t="n">
        <v>1</v>
      </c>
      <c r="E1833" s="0" t="n">
        <f aca="false">-1+A1833*0.25</f>
        <v>-0.5</v>
      </c>
      <c r="F1833" s="0" t="n">
        <f aca="false">-1+B1833*0.25</f>
        <v>0</v>
      </c>
      <c r="G1833" s="0" t="n">
        <f aca="false">-1+C1833*0.25</f>
        <v>0.25</v>
      </c>
      <c r="H1833" s="0" t="n">
        <f aca="false">-1+D1833*0.25</f>
        <v>-0.75</v>
      </c>
      <c r="I1833" s="0" t="n">
        <f aca="false">1</f>
        <v>1</v>
      </c>
      <c r="J1833" s="0" t="n">
        <f aca="false">E1833</f>
        <v>-0.5</v>
      </c>
      <c r="K1833" s="0" t="n">
        <f aca="false">F1833</f>
        <v>0</v>
      </c>
      <c r="L1833" s="0" t="n">
        <f aca="false">G1833</f>
        <v>0.25</v>
      </c>
      <c r="M1833" s="0" t="n">
        <f aca="false">H1833</f>
        <v>-0.75</v>
      </c>
      <c r="N1833" s="0" t="n">
        <f aca="false">E1833*F1833</f>
        <v>-0</v>
      </c>
      <c r="O1833" s="0" t="n">
        <f aca="false">E1833*G1833</f>
        <v>-0.125</v>
      </c>
      <c r="P1833" s="0" t="n">
        <f aca="false">E1833*H1833</f>
        <v>0.375</v>
      </c>
      <c r="Q1833" s="0" t="n">
        <f aca="false">F1833*G1833</f>
        <v>0</v>
      </c>
      <c r="R1833" s="0" t="n">
        <f aca="false">F1833*H1833</f>
        <v>-0</v>
      </c>
      <c r="S1833" s="0" t="n">
        <f aca="false">G1833*H1833</f>
        <v>-0.1875</v>
      </c>
      <c r="T1833" s="0" t="n">
        <f aca="false">E1833*E1833</f>
        <v>0.25</v>
      </c>
      <c r="U1833" s="0" t="n">
        <f aca="false">F1833*F1833</f>
        <v>0</v>
      </c>
      <c r="V1833" s="0" t="n">
        <f aca="false">G1833*G1833</f>
        <v>0.0625</v>
      </c>
      <c r="W1833" s="0" t="n">
        <f aca="false">H1833*H1833</f>
        <v>0.5625</v>
      </c>
      <c r="X1833" s="0" t="n">
        <f aca="false">SUMPRODUCT(I1833:W1833,_XtX!$B$96:$P$96)</f>
        <v>46.017603252924</v>
      </c>
      <c r="Y1833" s="0" t="n">
        <f aca="false">SUMPRODUCT(MMULT(I1833:W1833,_XtX!$B$78:$P$92),I1833:W1833)</f>
        <v>0.215110734192252</v>
      </c>
      <c r="Z1833" s="0" t="n">
        <f aca="false">04_回帰ANOVA!$K$19*04_回帰ANOVA!$K$14*SQRT(1+Y1833)</f>
        <v>1.43683309086864</v>
      </c>
      <c r="AA1833" s="0" t="n">
        <f aca="false">X1833-Z1833</f>
        <v>44.5807701620553</v>
      </c>
      <c r="AB1833" s="0" t="n">
        <f aca="false">X1833+Z1833</f>
        <v>47.4544363437926</v>
      </c>
      <c r="AC1833" s="54" t="b">
        <f aca="false">AND(E1833&gt;=01_因子設定!$L$5-0.000000001,E1833&lt;=01_因子設定!$M$5+0.000000001,F1833&gt;=01_因子設定!$L$6-0.000000001,F1833&lt;=01_因子設定!$M$6+0.000000001,G1833&gt;=01_因子設定!$L$7-0.000000001,G1833&lt;=01_因子設定!$M$7+0.000000001,H1833&gt;=01_因子設定!$L$8-0.000000001,H1833&lt;=01_因子設定!$M$8+0.000000001,IF(01_因子設定!$B$20="Box-Behnken",E1833^2+F1833^2+G1833^2+H1833^2&lt;=2+0.000000001,TRUE()))</f>
        <v>1</v>
      </c>
      <c r="AD1833" s="55" t="n">
        <f aca="false">IF(AC1833,IF(01_因子設定!$B$13="最大化",AA1833-01_因子設定!$B$14,IF(01_因子設定!$B$13="最小化",01_因子設定!$B$15-AB1833,MIN(AA1833-01_因子設定!$B$14,01_因子設定!$B$15-AB1833))),-1E+030)</f>
        <v>-1.91922983794469</v>
      </c>
      <c r="AE1833" s="55" t="n">
        <f aca="false">IF(AC1833,IF(01_因子設定!$B$13="最大化",X1833,IF(01_因子設定!$B$13="最小化",-X1833,-ABS(X1833-01_因子設定!$B$16))),-1E+030)</f>
        <v>46.017603252924</v>
      </c>
      <c r="AF1833" s="55" t="n">
        <f aca="false">AD1833+ROW()*0.000000001</f>
        <v>-1.91922800494469</v>
      </c>
      <c r="AG1833" s="55" t="n">
        <f aca="false">AE1833+ROW()*0.000000001</f>
        <v>46.017605085924</v>
      </c>
    </row>
    <row r="1834" customFormat="false" ht="15" hidden="false" customHeight="false" outlineLevel="0" collapsed="false">
      <c r="A1834" s="0" t="n">
        <v>2</v>
      </c>
      <c r="B1834" s="0" t="n">
        <v>4</v>
      </c>
      <c r="C1834" s="0" t="n">
        <v>5</v>
      </c>
      <c r="D1834" s="0" t="n">
        <v>2</v>
      </c>
      <c r="E1834" s="0" t="n">
        <f aca="false">-1+A1834*0.25</f>
        <v>-0.5</v>
      </c>
      <c r="F1834" s="0" t="n">
        <f aca="false">-1+B1834*0.25</f>
        <v>0</v>
      </c>
      <c r="G1834" s="0" t="n">
        <f aca="false">-1+C1834*0.25</f>
        <v>0.25</v>
      </c>
      <c r="H1834" s="0" t="n">
        <f aca="false">-1+D1834*0.25</f>
        <v>-0.5</v>
      </c>
      <c r="I1834" s="0" t="n">
        <f aca="false">1</f>
        <v>1</v>
      </c>
      <c r="J1834" s="0" t="n">
        <f aca="false">E1834</f>
        <v>-0.5</v>
      </c>
      <c r="K1834" s="0" t="n">
        <f aca="false">F1834</f>
        <v>0</v>
      </c>
      <c r="L1834" s="0" t="n">
        <f aca="false">G1834</f>
        <v>0.25</v>
      </c>
      <c r="M1834" s="0" t="n">
        <f aca="false">H1834</f>
        <v>-0.5</v>
      </c>
      <c r="N1834" s="0" t="n">
        <f aca="false">E1834*F1834</f>
        <v>-0</v>
      </c>
      <c r="O1834" s="0" t="n">
        <f aca="false">E1834*G1834</f>
        <v>-0.125</v>
      </c>
      <c r="P1834" s="0" t="n">
        <f aca="false">E1834*H1834</f>
        <v>0.25</v>
      </c>
      <c r="Q1834" s="0" t="n">
        <f aca="false">F1834*G1834</f>
        <v>0</v>
      </c>
      <c r="R1834" s="0" t="n">
        <f aca="false">F1834*H1834</f>
        <v>-0</v>
      </c>
      <c r="S1834" s="0" t="n">
        <f aca="false">G1834*H1834</f>
        <v>-0.125</v>
      </c>
      <c r="T1834" s="0" t="n">
        <f aca="false">E1834*E1834</f>
        <v>0.25</v>
      </c>
      <c r="U1834" s="0" t="n">
        <f aca="false">F1834*F1834</f>
        <v>0</v>
      </c>
      <c r="V1834" s="0" t="n">
        <f aca="false">G1834*G1834</f>
        <v>0.0625</v>
      </c>
      <c r="W1834" s="0" t="n">
        <f aca="false">H1834*H1834</f>
        <v>0.25</v>
      </c>
      <c r="X1834" s="0" t="n">
        <f aca="false">SUMPRODUCT(I1834:W1834,_XtX!$B$96:$P$96)</f>
        <v>46.2408534356725</v>
      </c>
      <c r="Y1834" s="0" t="n">
        <f aca="false">SUMPRODUCT(MMULT(I1834:W1834,_XtX!$B$78:$P$92),I1834:W1834)</f>
        <v>0.132367050438597</v>
      </c>
      <c r="Z1834" s="0" t="n">
        <f aca="false">04_回帰ANOVA!$K$19*04_回帰ANOVA!$K$14*SQRT(1+Y1834)</f>
        <v>1.38704964208329</v>
      </c>
      <c r="AA1834" s="0" t="n">
        <f aca="false">X1834-Z1834</f>
        <v>44.8538037935892</v>
      </c>
      <c r="AB1834" s="0" t="n">
        <f aca="false">X1834+Z1834</f>
        <v>47.6279030777558</v>
      </c>
      <c r="AC1834" s="54" t="b">
        <f aca="false">AND(E1834&gt;=01_因子設定!$L$5-0.000000001,E1834&lt;=01_因子設定!$M$5+0.000000001,F1834&gt;=01_因子設定!$L$6-0.000000001,F1834&lt;=01_因子設定!$M$6+0.000000001,G1834&gt;=01_因子設定!$L$7-0.000000001,G1834&lt;=01_因子設定!$M$7+0.000000001,H1834&gt;=01_因子設定!$L$8-0.000000001,H1834&lt;=01_因子設定!$M$8+0.000000001,IF(01_因子設定!$B$20="Box-Behnken",E1834^2+F1834^2+G1834^2+H1834^2&lt;=2+0.000000001,TRUE()))</f>
        <v>1</v>
      </c>
      <c r="AD1834" s="55" t="n">
        <f aca="false">IF(AC1834,IF(01_因子設定!$B$13="最大化",AA1834-01_因子設定!$B$14,IF(01_因子設定!$B$13="最小化",01_因子設定!$B$15-AB1834,MIN(AA1834-01_因子設定!$B$14,01_因子設定!$B$15-AB1834))),-1E+030)</f>
        <v>-1.64619620641081</v>
      </c>
      <c r="AE1834" s="55" t="n">
        <f aca="false">IF(AC1834,IF(01_因子設定!$B$13="最大化",X1834,IF(01_因子設定!$B$13="最小化",-X1834,-ABS(X1834-01_因子設定!$B$16))),-1E+030)</f>
        <v>46.2408534356725</v>
      </c>
      <c r="AF1834" s="55" t="n">
        <f aca="false">AD1834+ROW()*0.000000001</f>
        <v>-1.64619437241081</v>
      </c>
      <c r="AG1834" s="55" t="n">
        <f aca="false">AE1834+ROW()*0.000000001</f>
        <v>46.2408552696725</v>
      </c>
    </row>
    <row r="1835" customFormat="false" ht="15" hidden="false" customHeight="false" outlineLevel="0" collapsed="false">
      <c r="A1835" s="0" t="n">
        <v>2</v>
      </c>
      <c r="B1835" s="0" t="n">
        <v>4</v>
      </c>
      <c r="C1835" s="0" t="n">
        <v>5</v>
      </c>
      <c r="D1835" s="0" t="n">
        <v>3</v>
      </c>
      <c r="E1835" s="0" t="n">
        <f aca="false">-1+A1835*0.25</f>
        <v>-0.5</v>
      </c>
      <c r="F1835" s="0" t="n">
        <f aca="false">-1+B1835*0.25</f>
        <v>0</v>
      </c>
      <c r="G1835" s="0" t="n">
        <f aca="false">-1+C1835*0.25</f>
        <v>0.25</v>
      </c>
      <c r="H1835" s="0" t="n">
        <f aca="false">-1+D1835*0.25</f>
        <v>-0.25</v>
      </c>
      <c r="I1835" s="0" t="n">
        <f aca="false">1</f>
        <v>1</v>
      </c>
      <c r="J1835" s="0" t="n">
        <f aca="false">E1835</f>
        <v>-0.5</v>
      </c>
      <c r="K1835" s="0" t="n">
        <f aca="false">F1835</f>
        <v>0</v>
      </c>
      <c r="L1835" s="0" t="n">
        <f aca="false">G1835</f>
        <v>0.25</v>
      </c>
      <c r="M1835" s="0" t="n">
        <f aca="false">H1835</f>
        <v>-0.25</v>
      </c>
      <c r="N1835" s="0" t="n">
        <f aca="false">E1835*F1835</f>
        <v>-0</v>
      </c>
      <c r="O1835" s="0" t="n">
        <f aca="false">E1835*G1835</f>
        <v>-0.125</v>
      </c>
      <c r="P1835" s="0" t="n">
        <f aca="false">E1835*H1835</f>
        <v>0.125</v>
      </c>
      <c r="Q1835" s="0" t="n">
        <f aca="false">F1835*G1835</f>
        <v>0</v>
      </c>
      <c r="R1835" s="0" t="n">
        <f aca="false">F1835*H1835</f>
        <v>-0</v>
      </c>
      <c r="S1835" s="0" t="n">
        <f aca="false">G1835*H1835</f>
        <v>-0.0625</v>
      </c>
      <c r="T1835" s="0" t="n">
        <f aca="false">E1835*E1835</f>
        <v>0.25</v>
      </c>
      <c r="U1835" s="0" t="n">
        <f aca="false">F1835*F1835</f>
        <v>0</v>
      </c>
      <c r="V1835" s="0" t="n">
        <f aca="false">G1835*G1835</f>
        <v>0.0625</v>
      </c>
      <c r="W1835" s="0" t="n">
        <f aca="false">H1835*H1835</f>
        <v>0.0625</v>
      </c>
      <c r="X1835" s="0" t="n">
        <f aca="false">SUMPRODUCT(I1835:W1835,_XtX!$B$96:$P$96)</f>
        <v>46.4162966008772</v>
      </c>
      <c r="Y1835" s="0" t="n">
        <f aca="false">SUMPRODUCT(MMULT(I1835:W1835,_XtX!$B$78:$P$92),I1835:W1835)</f>
        <v>0.118905050712719</v>
      </c>
      <c r="Z1835" s="0" t="n">
        <f aca="false">04_回帰ANOVA!$K$19*04_回帰ANOVA!$K$14*SQRT(1+Y1835)</f>
        <v>1.37878011033769</v>
      </c>
      <c r="AA1835" s="0" t="n">
        <f aca="false">X1835-Z1835</f>
        <v>45.0375164905395</v>
      </c>
      <c r="AB1835" s="0" t="n">
        <f aca="false">X1835+Z1835</f>
        <v>47.7950767112148</v>
      </c>
      <c r="AC1835" s="54" t="b">
        <f aca="false">AND(E1835&gt;=01_因子設定!$L$5-0.000000001,E1835&lt;=01_因子設定!$M$5+0.000000001,F1835&gt;=01_因子設定!$L$6-0.000000001,F1835&lt;=01_因子設定!$M$6+0.000000001,G1835&gt;=01_因子設定!$L$7-0.000000001,G1835&lt;=01_因子設定!$M$7+0.000000001,H1835&gt;=01_因子設定!$L$8-0.000000001,H1835&lt;=01_因子設定!$M$8+0.000000001,IF(01_因子設定!$B$20="Box-Behnken",E1835^2+F1835^2+G1835^2+H1835^2&lt;=2+0.000000001,TRUE()))</f>
        <v>1</v>
      </c>
      <c r="AD1835" s="55" t="n">
        <f aca="false">IF(AC1835,IF(01_因子設定!$B$13="最大化",AA1835-01_因子設定!$B$14,IF(01_因子設定!$B$13="最小化",01_因子設定!$B$15-AB1835,MIN(AA1835-01_因子設定!$B$14,01_因子設定!$B$15-AB1835))),-1E+030)</f>
        <v>-1.46248350946053</v>
      </c>
      <c r="AE1835" s="55" t="n">
        <f aca="false">IF(AC1835,IF(01_因子設定!$B$13="最大化",X1835,IF(01_因子設定!$B$13="最小化",-X1835,-ABS(X1835-01_因子設定!$B$16))),-1E+030)</f>
        <v>46.4162966008772</v>
      </c>
      <c r="AF1835" s="55" t="n">
        <f aca="false">AD1835+ROW()*0.000000001</f>
        <v>-1.46248167446053</v>
      </c>
      <c r="AG1835" s="55" t="n">
        <f aca="false">AE1835+ROW()*0.000000001</f>
        <v>46.4162984358772</v>
      </c>
    </row>
    <row r="1836" customFormat="false" ht="15" hidden="false" customHeight="false" outlineLevel="0" collapsed="false">
      <c r="A1836" s="0" t="n">
        <v>2</v>
      </c>
      <c r="B1836" s="0" t="n">
        <v>4</v>
      </c>
      <c r="C1836" s="0" t="n">
        <v>5</v>
      </c>
      <c r="D1836" s="0" t="n">
        <v>4</v>
      </c>
      <c r="E1836" s="0" t="n">
        <f aca="false">-1+A1836*0.25</f>
        <v>-0.5</v>
      </c>
      <c r="F1836" s="0" t="n">
        <f aca="false">-1+B1836*0.25</f>
        <v>0</v>
      </c>
      <c r="G1836" s="0" t="n">
        <f aca="false">-1+C1836*0.25</f>
        <v>0.25</v>
      </c>
      <c r="H1836" s="0" t="n">
        <f aca="false">-1+D1836*0.25</f>
        <v>0</v>
      </c>
      <c r="I1836" s="0" t="n">
        <f aca="false">1</f>
        <v>1</v>
      </c>
      <c r="J1836" s="0" t="n">
        <f aca="false">E1836</f>
        <v>-0.5</v>
      </c>
      <c r="K1836" s="0" t="n">
        <f aca="false">F1836</f>
        <v>0</v>
      </c>
      <c r="L1836" s="0" t="n">
        <f aca="false">G1836</f>
        <v>0.25</v>
      </c>
      <c r="M1836" s="0" t="n">
        <f aca="false">H1836</f>
        <v>0</v>
      </c>
      <c r="N1836" s="0" t="n">
        <f aca="false">E1836*F1836</f>
        <v>-0</v>
      </c>
      <c r="O1836" s="0" t="n">
        <f aca="false">E1836*G1836</f>
        <v>-0.125</v>
      </c>
      <c r="P1836" s="0" t="n">
        <f aca="false">E1836*H1836</f>
        <v>-0</v>
      </c>
      <c r="Q1836" s="0" t="n">
        <f aca="false">F1836*G1836</f>
        <v>0</v>
      </c>
      <c r="R1836" s="0" t="n">
        <f aca="false">F1836*H1836</f>
        <v>0</v>
      </c>
      <c r="S1836" s="0" t="n">
        <f aca="false">G1836*H1836</f>
        <v>0</v>
      </c>
      <c r="T1836" s="0" t="n">
        <f aca="false">E1836*E1836</f>
        <v>0.25</v>
      </c>
      <c r="U1836" s="0" t="n">
        <f aca="false">F1836*F1836</f>
        <v>0</v>
      </c>
      <c r="V1836" s="0" t="n">
        <f aca="false">G1836*G1836</f>
        <v>0.0625</v>
      </c>
      <c r="W1836" s="0" t="n">
        <f aca="false">H1836*H1836</f>
        <v>0</v>
      </c>
      <c r="X1836" s="0" t="n">
        <f aca="false">SUMPRODUCT(I1836:W1836,_XtX!$B$96:$P$96)</f>
        <v>46.543932748538</v>
      </c>
      <c r="Y1836" s="0" t="n">
        <f aca="false">SUMPRODUCT(MMULT(I1836:W1836,_XtX!$B$78:$P$92),I1836:W1836)</f>
        <v>0.120448419225146</v>
      </c>
      <c r="Z1836" s="0" t="n">
        <f aca="false">04_回帰ANOVA!$K$19*04_回帰ANOVA!$K$14*SQRT(1+Y1836)</f>
        <v>1.37973069703246</v>
      </c>
      <c r="AA1836" s="0" t="n">
        <f aca="false">X1836-Z1836</f>
        <v>45.1642020515055</v>
      </c>
      <c r="AB1836" s="0" t="n">
        <f aca="false">X1836+Z1836</f>
        <v>47.9236634455704</v>
      </c>
      <c r="AC1836" s="54" t="b">
        <f aca="false">AND(E1836&gt;=01_因子設定!$L$5-0.000000001,E1836&lt;=01_因子設定!$M$5+0.000000001,F1836&gt;=01_因子設定!$L$6-0.000000001,F1836&lt;=01_因子設定!$M$6+0.000000001,G1836&gt;=01_因子設定!$L$7-0.000000001,G1836&lt;=01_因子設定!$M$7+0.000000001,H1836&gt;=01_因子設定!$L$8-0.000000001,H1836&lt;=01_因子設定!$M$8+0.000000001,IF(01_因子設定!$B$20="Box-Behnken",E1836^2+F1836^2+G1836^2+H1836^2&lt;=2+0.000000001,TRUE()))</f>
        <v>1</v>
      </c>
      <c r="AD1836" s="55" t="n">
        <f aca="false">IF(AC1836,IF(01_因子設定!$B$13="最大化",AA1836-01_因子設定!$B$14,IF(01_因子設定!$B$13="最小化",01_因子設定!$B$15-AB1836,MIN(AA1836-01_因子設定!$B$14,01_因子設定!$B$15-AB1836))),-1E+030)</f>
        <v>-1.33579794849449</v>
      </c>
      <c r="AE1836" s="55" t="n">
        <f aca="false">IF(AC1836,IF(01_因子設定!$B$13="最大化",X1836,IF(01_因子設定!$B$13="最小化",-X1836,-ABS(X1836-01_因子設定!$B$16))),-1E+030)</f>
        <v>46.543932748538</v>
      </c>
      <c r="AF1836" s="55" t="n">
        <f aca="false">AD1836+ROW()*0.000000001</f>
        <v>-1.33579611249449</v>
      </c>
      <c r="AG1836" s="55" t="n">
        <f aca="false">AE1836+ROW()*0.000000001</f>
        <v>46.543934584538</v>
      </c>
    </row>
    <row r="1837" customFormat="false" ht="15" hidden="false" customHeight="false" outlineLevel="0" collapsed="false">
      <c r="A1837" s="0" t="n">
        <v>2</v>
      </c>
      <c r="B1837" s="0" t="n">
        <v>4</v>
      </c>
      <c r="C1837" s="0" t="n">
        <v>5</v>
      </c>
      <c r="D1837" s="0" t="n">
        <v>5</v>
      </c>
      <c r="E1837" s="0" t="n">
        <f aca="false">-1+A1837*0.25</f>
        <v>-0.5</v>
      </c>
      <c r="F1837" s="0" t="n">
        <f aca="false">-1+B1837*0.25</f>
        <v>0</v>
      </c>
      <c r="G1837" s="0" t="n">
        <f aca="false">-1+C1837*0.25</f>
        <v>0.25</v>
      </c>
      <c r="H1837" s="0" t="n">
        <f aca="false">-1+D1837*0.25</f>
        <v>0.25</v>
      </c>
      <c r="I1837" s="0" t="n">
        <f aca="false">1</f>
        <v>1</v>
      </c>
      <c r="J1837" s="0" t="n">
        <f aca="false">E1837</f>
        <v>-0.5</v>
      </c>
      <c r="K1837" s="0" t="n">
        <f aca="false">F1837</f>
        <v>0</v>
      </c>
      <c r="L1837" s="0" t="n">
        <f aca="false">G1837</f>
        <v>0.25</v>
      </c>
      <c r="M1837" s="0" t="n">
        <f aca="false">H1837</f>
        <v>0.25</v>
      </c>
      <c r="N1837" s="0" t="n">
        <f aca="false">E1837*F1837</f>
        <v>-0</v>
      </c>
      <c r="O1837" s="0" t="n">
        <f aca="false">E1837*G1837</f>
        <v>-0.125</v>
      </c>
      <c r="P1837" s="0" t="n">
        <f aca="false">E1837*H1837</f>
        <v>-0.125</v>
      </c>
      <c r="Q1837" s="0" t="n">
        <f aca="false">F1837*G1837</f>
        <v>0</v>
      </c>
      <c r="R1837" s="0" t="n">
        <f aca="false">F1837*H1837</f>
        <v>0</v>
      </c>
      <c r="S1837" s="0" t="n">
        <f aca="false">G1837*H1837</f>
        <v>0.0625</v>
      </c>
      <c r="T1837" s="0" t="n">
        <f aca="false">E1837*E1837</f>
        <v>0.25</v>
      </c>
      <c r="U1837" s="0" t="n">
        <f aca="false">F1837*F1837</f>
        <v>0</v>
      </c>
      <c r="V1837" s="0" t="n">
        <f aca="false">G1837*G1837</f>
        <v>0.0625</v>
      </c>
      <c r="W1837" s="0" t="n">
        <f aca="false">H1837*H1837</f>
        <v>0.0625</v>
      </c>
      <c r="X1837" s="0" t="n">
        <f aca="false">SUMPRODUCT(I1837:W1837,_XtX!$B$96:$P$96)</f>
        <v>46.6237618786549</v>
      </c>
      <c r="Y1837" s="0" t="n">
        <f aca="false">SUMPRODUCT(MMULT(I1837:W1837,_XtX!$B$78:$P$92),I1837:W1837)</f>
        <v>0.118905050712719</v>
      </c>
      <c r="Z1837" s="0" t="n">
        <f aca="false">04_回帰ANOVA!$K$19*04_回帰ANOVA!$K$14*SQRT(1+Y1837)</f>
        <v>1.37878011033769</v>
      </c>
      <c r="AA1837" s="0" t="n">
        <f aca="false">X1837-Z1837</f>
        <v>45.2449817683172</v>
      </c>
      <c r="AB1837" s="0" t="n">
        <f aca="false">X1837+Z1837</f>
        <v>48.0025419889926</v>
      </c>
      <c r="AC1837" s="54" t="b">
        <f aca="false">AND(E1837&gt;=01_因子設定!$L$5-0.000000001,E1837&lt;=01_因子設定!$M$5+0.000000001,F1837&gt;=01_因子設定!$L$6-0.000000001,F1837&lt;=01_因子設定!$M$6+0.000000001,G1837&gt;=01_因子設定!$L$7-0.000000001,G1837&lt;=01_因子設定!$M$7+0.000000001,H1837&gt;=01_因子設定!$L$8-0.000000001,H1837&lt;=01_因子設定!$M$8+0.000000001,IF(01_因子設定!$B$20="Box-Behnken",E1837^2+F1837^2+G1837^2+H1837^2&lt;=2+0.000000001,TRUE()))</f>
        <v>1</v>
      </c>
      <c r="AD1837" s="55" t="n">
        <f aca="false">IF(AC1837,IF(01_因子設定!$B$13="最大化",AA1837-01_因子設定!$B$14,IF(01_因子設定!$B$13="最小化",01_因子設定!$B$15-AB1837,MIN(AA1837-01_因子設定!$B$14,01_因子設定!$B$15-AB1837))),-1E+030)</f>
        <v>-1.25501823168275</v>
      </c>
      <c r="AE1837" s="55" t="n">
        <f aca="false">IF(AC1837,IF(01_因子設定!$B$13="最大化",X1837,IF(01_因子設定!$B$13="最小化",-X1837,-ABS(X1837-01_因子設定!$B$16))),-1E+030)</f>
        <v>46.6237618786549</v>
      </c>
      <c r="AF1837" s="55" t="n">
        <f aca="false">AD1837+ROW()*0.000000001</f>
        <v>-1.25501639468275</v>
      </c>
      <c r="AG1837" s="55" t="n">
        <f aca="false">AE1837+ROW()*0.000000001</f>
        <v>46.6237637156549</v>
      </c>
    </row>
    <row r="1838" customFormat="false" ht="15" hidden="false" customHeight="false" outlineLevel="0" collapsed="false">
      <c r="A1838" s="0" t="n">
        <v>2</v>
      </c>
      <c r="B1838" s="0" t="n">
        <v>4</v>
      </c>
      <c r="C1838" s="0" t="n">
        <v>5</v>
      </c>
      <c r="D1838" s="0" t="n">
        <v>6</v>
      </c>
      <c r="E1838" s="0" t="n">
        <f aca="false">-1+A1838*0.25</f>
        <v>-0.5</v>
      </c>
      <c r="F1838" s="0" t="n">
        <f aca="false">-1+B1838*0.25</f>
        <v>0</v>
      </c>
      <c r="G1838" s="0" t="n">
        <f aca="false">-1+C1838*0.25</f>
        <v>0.25</v>
      </c>
      <c r="H1838" s="0" t="n">
        <f aca="false">-1+D1838*0.25</f>
        <v>0.5</v>
      </c>
      <c r="I1838" s="0" t="n">
        <f aca="false">1</f>
        <v>1</v>
      </c>
      <c r="J1838" s="0" t="n">
        <f aca="false">E1838</f>
        <v>-0.5</v>
      </c>
      <c r="K1838" s="0" t="n">
        <f aca="false">F1838</f>
        <v>0</v>
      </c>
      <c r="L1838" s="0" t="n">
        <f aca="false">G1838</f>
        <v>0.25</v>
      </c>
      <c r="M1838" s="0" t="n">
        <f aca="false">H1838</f>
        <v>0.5</v>
      </c>
      <c r="N1838" s="0" t="n">
        <f aca="false">E1838*F1838</f>
        <v>-0</v>
      </c>
      <c r="O1838" s="0" t="n">
        <f aca="false">E1838*G1838</f>
        <v>-0.125</v>
      </c>
      <c r="P1838" s="0" t="n">
        <f aca="false">E1838*H1838</f>
        <v>-0.25</v>
      </c>
      <c r="Q1838" s="0" t="n">
        <f aca="false">F1838*G1838</f>
        <v>0</v>
      </c>
      <c r="R1838" s="0" t="n">
        <f aca="false">F1838*H1838</f>
        <v>0</v>
      </c>
      <c r="S1838" s="0" t="n">
        <f aca="false">G1838*H1838</f>
        <v>0.125</v>
      </c>
      <c r="T1838" s="0" t="n">
        <f aca="false">E1838*E1838</f>
        <v>0.25</v>
      </c>
      <c r="U1838" s="0" t="n">
        <f aca="false">F1838*F1838</f>
        <v>0</v>
      </c>
      <c r="V1838" s="0" t="n">
        <f aca="false">G1838*G1838</f>
        <v>0.0625</v>
      </c>
      <c r="W1838" s="0" t="n">
        <f aca="false">H1838*H1838</f>
        <v>0.25</v>
      </c>
      <c r="X1838" s="0" t="n">
        <f aca="false">SUMPRODUCT(I1838:W1838,_XtX!$B$96:$P$96)</f>
        <v>46.655783991228</v>
      </c>
      <c r="Y1838" s="0" t="n">
        <f aca="false">SUMPRODUCT(MMULT(I1838:W1838,_XtX!$B$78:$P$92),I1838:W1838)</f>
        <v>0.132367050438597</v>
      </c>
      <c r="Z1838" s="0" t="n">
        <f aca="false">04_回帰ANOVA!$K$19*04_回帰ANOVA!$K$14*SQRT(1+Y1838)</f>
        <v>1.38704964208329</v>
      </c>
      <c r="AA1838" s="0" t="n">
        <f aca="false">X1838-Z1838</f>
        <v>45.2687343491447</v>
      </c>
      <c r="AB1838" s="0" t="n">
        <f aca="false">X1838+Z1838</f>
        <v>48.0428336333113</v>
      </c>
      <c r="AC1838" s="54" t="b">
        <f aca="false">AND(E1838&gt;=01_因子設定!$L$5-0.000000001,E1838&lt;=01_因子設定!$M$5+0.000000001,F1838&gt;=01_因子設定!$L$6-0.000000001,F1838&lt;=01_因子設定!$M$6+0.000000001,G1838&gt;=01_因子設定!$L$7-0.000000001,G1838&lt;=01_因子設定!$M$7+0.000000001,H1838&gt;=01_因子設定!$L$8-0.000000001,H1838&lt;=01_因子設定!$M$8+0.000000001,IF(01_因子設定!$B$20="Box-Behnken",E1838^2+F1838^2+G1838^2+H1838^2&lt;=2+0.000000001,TRUE()))</f>
        <v>1</v>
      </c>
      <c r="AD1838" s="55" t="n">
        <f aca="false">IF(AC1838,IF(01_因子設定!$B$13="最大化",AA1838-01_因子設定!$B$14,IF(01_因子設定!$B$13="最小化",01_因子設定!$B$15-AB1838,MIN(AA1838-01_因子設定!$B$14,01_因子設定!$B$15-AB1838))),-1E+030)</f>
        <v>-1.23126565085526</v>
      </c>
      <c r="AE1838" s="55" t="n">
        <f aca="false">IF(AC1838,IF(01_因子設定!$B$13="最大化",X1838,IF(01_因子設定!$B$13="最小化",-X1838,-ABS(X1838-01_因子設定!$B$16))),-1E+030)</f>
        <v>46.655783991228</v>
      </c>
      <c r="AF1838" s="55" t="n">
        <f aca="false">AD1838+ROW()*0.000000001</f>
        <v>-1.23126381285526</v>
      </c>
      <c r="AG1838" s="55" t="n">
        <f aca="false">AE1838+ROW()*0.000000001</f>
        <v>46.655785829228</v>
      </c>
    </row>
    <row r="1839" customFormat="false" ht="15" hidden="false" customHeight="false" outlineLevel="0" collapsed="false">
      <c r="A1839" s="0" t="n">
        <v>2</v>
      </c>
      <c r="B1839" s="0" t="n">
        <v>4</v>
      </c>
      <c r="C1839" s="0" t="n">
        <v>5</v>
      </c>
      <c r="D1839" s="0" t="n">
        <v>7</v>
      </c>
      <c r="E1839" s="0" t="n">
        <f aca="false">-1+A1839*0.25</f>
        <v>-0.5</v>
      </c>
      <c r="F1839" s="0" t="n">
        <f aca="false">-1+B1839*0.25</f>
        <v>0</v>
      </c>
      <c r="G1839" s="0" t="n">
        <f aca="false">-1+C1839*0.25</f>
        <v>0.25</v>
      </c>
      <c r="H1839" s="0" t="n">
        <f aca="false">-1+D1839*0.25</f>
        <v>0.75</v>
      </c>
      <c r="I1839" s="0" t="n">
        <f aca="false">1</f>
        <v>1</v>
      </c>
      <c r="J1839" s="0" t="n">
        <f aca="false">E1839</f>
        <v>-0.5</v>
      </c>
      <c r="K1839" s="0" t="n">
        <f aca="false">F1839</f>
        <v>0</v>
      </c>
      <c r="L1839" s="0" t="n">
        <f aca="false">G1839</f>
        <v>0.25</v>
      </c>
      <c r="M1839" s="0" t="n">
        <f aca="false">H1839</f>
        <v>0.75</v>
      </c>
      <c r="N1839" s="0" t="n">
        <f aca="false">E1839*F1839</f>
        <v>-0</v>
      </c>
      <c r="O1839" s="0" t="n">
        <f aca="false">E1839*G1839</f>
        <v>-0.125</v>
      </c>
      <c r="P1839" s="0" t="n">
        <f aca="false">E1839*H1839</f>
        <v>-0.375</v>
      </c>
      <c r="Q1839" s="0" t="n">
        <f aca="false">F1839*G1839</f>
        <v>0</v>
      </c>
      <c r="R1839" s="0" t="n">
        <f aca="false">F1839*H1839</f>
        <v>0</v>
      </c>
      <c r="S1839" s="0" t="n">
        <f aca="false">G1839*H1839</f>
        <v>0.1875</v>
      </c>
      <c r="T1839" s="0" t="n">
        <f aca="false">E1839*E1839</f>
        <v>0.25</v>
      </c>
      <c r="U1839" s="0" t="n">
        <f aca="false">F1839*F1839</f>
        <v>0</v>
      </c>
      <c r="V1839" s="0" t="n">
        <f aca="false">G1839*G1839</f>
        <v>0.0625</v>
      </c>
      <c r="W1839" s="0" t="n">
        <f aca="false">H1839*H1839</f>
        <v>0.5625</v>
      </c>
      <c r="X1839" s="0" t="n">
        <f aca="false">SUMPRODUCT(I1839:W1839,_XtX!$B$96:$P$96)</f>
        <v>46.6399990862573</v>
      </c>
      <c r="Y1839" s="0" t="n">
        <f aca="false">SUMPRODUCT(MMULT(I1839:W1839,_XtX!$B$78:$P$92),I1839:W1839)</f>
        <v>0.215110734192252</v>
      </c>
      <c r="Z1839" s="0" t="n">
        <f aca="false">04_回帰ANOVA!$K$19*04_回帰ANOVA!$K$14*SQRT(1+Y1839)</f>
        <v>1.43683309086864</v>
      </c>
      <c r="AA1839" s="0" t="n">
        <f aca="false">X1839-Z1839</f>
        <v>45.2031659953886</v>
      </c>
      <c r="AB1839" s="0" t="n">
        <f aca="false">X1839+Z1839</f>
        <v>48.0768321771259</v>
      </c>
      <c r="AC1839" s="54" t="b">
        <f aca="false">AND(E1839&gt;=01_因子設定!$L$5-0.000000001,E1839&lt;=01_因子設定!$M$5+0.000000001,F1839&gt;=01_因子設定!$L$6-0.000000001,F1839&lt;=01_因子設定!$M$6+0.000000001,G1839&gt;=01_因子設定!$L$7-0.000000001,G1839&lt;=01_因子設定!$M$7+0.000000001,H1839&gt;=01_因子設定!$L$8-0.000000001,H1839&lt;=01_因子設定!$M$8+0.000000001,IF(01_因子設定!$B$20="Box-Behnken",E1839^2+F1839^2+G1839^2+H1839^2&lt;=2+0.000000001,TRUE()))</f>
        <v>1</v>
      </c>
      <c r="AD1839" s="55" t="n">
        <f aca="false">IF(AC1839,IF(01_因子設定!$B$13="最大化",AA1839-01_因子設定!$B$14,IF(01_因子設定!$B$13="最小化",01_因子設定!$B$15-AB1839,MIN(AA1839-01_因子設定!$B$14,01_因子設定!$B$15-AB1839))),-1E+030)</f>
        <v>-1.29683400461136</v>
      </c>
      <c r="AE1839" s="55" t="n">
        <f aca="false">IF(AC1839,IF(01_因子設定!$B$13="最大化",X1839,IF(01_因子設定!$B$13="最小化",-X1839,-ABS(X1839-01_因子設定!$B$16))),-1E+030)</f>
        <v>46.6399990862573</v>
      </c>
      <c r="AF1839" s="55" t="n">
        <f aca="false">AD1839+ROW()*0.000000001</f>
        <v>-1.29683216561136</v>
      </c>
      <c r="AG1839" s="55" t="n">
        <f aca="false">AE1839+ROW()*0.000000001</f>
        <v>46.6400009252573</v>
      </c>
    </row>
    <row r="1840" customFormat="false" ht="15" hidden="false" customHeight="false" outlineLevel="0" collapsed="false">
      <c r="A1840" s="0" t="n">
        <v>2</v>
      </c>
      <c r="B1840" s="0" t="n">
        <v>4</v>
      </c>
      <c r="C1840" s="0" t="n">
        <v>5</v>
      </c>
      <c r="D1840" s="0" t="n">
        <v>8</v>
      </c>
      <c r="E1840" s="0" t="n">
        <f aca="false">-1+A1840*0.25</f>
        <v>-0.5</v>
      </c>
      <c r="F1840" s="0" t="n">
        <f aca="false">-1+B1840*0.25</f>
        <v>0</v>
      </c>
      <c r="G1840" s="0" t="n">
        <f aca="false">-1+C1840*0.25</f>
        <v>0.25</v>
      </c>
      <c r="H1840" s="0" t="n">
        <f aca="false">-1+D1840*0.25</f>
        <v>1</v>
      </c>
      <c r="I1840" s="0" t="n">
        <f aca="false">1</f>
        <v>1</v>
      </c>
      <c r="J1840" s="0" t="n">
        <f aca="false">E1840</f>
        <v>-0.5</v>
      </c>
      <c r="K1840" s="0" t="n">
        <f aca="false">F1840</f>
        <v>0</v>
      </c>
      <c r="L1840" s="0" t="n">
        <f aca="false">G1840</f>
        <v>0.25</v>
      </c>
      <c r="M1840" s="0" t="n">
        <f aca="false">H1840</f>
        <v>1</v>
      </c>
      <c r="N1840" s="0" t="n">
        <f aca="false">E1840*F1840</f>
        <v>-0</v>
      </c>
      <c r="O1840" s="0" t="n">
        <f aca="false">E1840*G1840</f>
        <v>-0.125</v>
      </c>
      <c r="P1840" s="0" t="n">
        <f aca="false">E1840*H1840</f>
        <v>-0.5</v>
      </c>
      <c r="Q1840" s="0" t="n">
        <f aca="false">F1840*G1840</f>
        <v>0</v>
      </c>
      <c r="R1840" s="0" t="n">
        <f aca="false">F1840*H1840</f>
        <v>0</v>
      </c>
      <c r="S1840" s="0" t="n">
        <f aca="false">G1840*H1840</f>
        <v>0.25</v>
      </c>
      <c r="T1840" s="0" t="n">
        <f aca="false">E1840*E1840</f>
        <v>0.25</v>
      </c>
      <c r="U1840" s="0" t="n">
        <f aca="false">F1840*F1840</f>
        <v>0</v>
      </c>
      <c r="V1840" s="0" t="n">
        <f aca="false">G1840*G1840</f>
        <v>0.0625</v>
      </c>
      <c r="W1840" s="0" t="n">
        <f aca="false">H1840*H1840</f>
        <v>1</v>
      </c>
      <c r="X1840" s="0" t="n">
        <f aca="false">SUMPRODUCT(I1840:W1840,_XtX!$B$96:$P$96)</f>
        <v>46.5764071637427</v>
      </c>
      <c r="Y1840" s="0" t="n">
        <f aca="false">SUMPRODUCT(MMULT(I1840:W1840,_XtX!$B$78:$P$92),I1840:W1840)</f>
        <v>0.457596628289474</v>
      </c>
      <c r="Z1840" s="0" t="n">
        <f aca="false">04_回帰ANOVA!$K$19*04_回帰ANOVA!$K$14*SQRT(1+Y1840)</f>
        <v>1.57368233664366</v>
      </c>
      <c r="AA1840" s="0" t="n">
        <f aca="false">X1840-Z1840</f>
        <v>45.002724827099</v>
      </c>
      <c r="AB1840" s="0" t="n">
        <f aca="false">X1840+Z1840</f>
        <v>48.1500895003863</v>
      </c>
      <c r="AC1840" s="54" t="b">
        <f aca="false">AND(E1840&gt;=01_因子設定!$L$5-0.000000001,E1840&lt;=01_因子設定!$M$5+0.000000001,F1840&gt;=01_因子設定!$L$6-0.000000001,F1840&lt;=01_因子設定!$M$6+0.000000001,G1840&gt;=01_因子設定!$L$7-0.000000001,G1840&lt;=01_因子設定!$M$7+0.000000001,H1840&gt;=01_因子設定!$L$8-0.000000001,H1840&lt;=01_因子設定!$M$8+0.000000001,IF(01_因子設定!$B$20="Box-Behnken",E1840^2+F1840^2+G1840^2+H1840^2&lt;=2+0.000000001,TRUE()))</f>
        <v>1</v>
      </c>
      <c r="AD1840" s="55" t="n">
        <f aca="false">IF(AC1840,IF(01_因子設定!$B$13="最大化",AA1840-01_因子設定!$B$14,IF(01_因子設定!$B$13="最小化",01_因子設定!$B$15-AB1840,MIN(AA1840-01_因子設定!$B$14,01_因子設定!$B$15-AB1840))),-1E+030)</f>
        <v>-1.49727517290097</v>
      </c>
      <c r="AE1840" s="55" t="n">
        <f aca="false">IF(AC1840,IF(01_因子設定!$B$13="最大化",X1840,IF(01_因子設定!$B$13="最小化",-X1840,-ABS(X1840-01_因子設定!$B$16))),-1E+030)</f>
        <v>46.5764071637427</v>
      </c>
      <c r="AF1840" s="55" t="n">
        <f aca="false">AD1840+ROW()*0.000000001</f>
        <v>-1.49727333290097</v>
      </c>
      <c r="AG1840" s="55" t="n">
        <f aca="false">AE1840+ROW()*0.000000001</f>
        <v>46.5764090037427</v>
      </c>
    </row>
    <row r="1841" customFormat="false" ht="15" hidden="false" customHeight="false" outlineLevel="0" collapsed="false">
      <c r="A1841" s="0" t="n">
        <v>2</v>
      </c>
      <c r="B1841" s="0" t="n">
        <v>4</v>
      </c>
      <c r="C1841" s="0" t="n">
        <v>6</v>
      </c>
      <c r="D1841" s="0" t="n">
        <v>0</v>
      </c>
      <c r="E1841" s="0" t="n">
        <f aca="false">-1+A1841*0.25</f>
        <v>-0.5</v>
      </c>
      <c r="F1841" s="0" t="n">
        <f aca="false">-1+B1841*0.25</f>
        <v>0</v>
      </c>
      <c r="G1841" s="0" t="n">
        <f aca="false">-1+C1841*0.25</f>
        <v>0.5</v>
      </c>
      <c r="H1841" s="0" t="n">
        <f aca="false">-1+D1841*0.25</f>
        <v>-1</v>
      </c>
      <c r="I1841" s="0" t="n">
        <f aca="false">1</f>
        <v>1</v>
      </c>
      <c r="J1841" s="0" t="n">
        <f aca="false">E1841</f>
        <v>-0.5</v>
      </c>
      <c r="K1841" s="0" t="n">
        <f aca="false">F1841</f>
        <v>0</v>
      </c>
      <c r="L1841" s="0" t="n">
        <f aca="false">G1841</f>
        <v>0.5</v>
      </c>
      <c r="M1841" s="0" t="n">
        <f aca="false">H1841</f>
        <v>-1</v>
      </c>
      <c r="N1841" s="0" t="n">
        <f aca="false">E1841*F1841</f>
        <v>-0</v>
      </c>
      <c r="O1841" s="0" t="n">
        <f aca="false">E1841*G1841</f>
        <v>-0.25</v>
      </c>
      <c r="P1841" s="0" t="n">
        <f aca="false">E1841*H1841</f>
        <v>0.5</v>
      </c>
      <c r="Q1841" s="0" t="n">
        <f aca="false">F1841*G1841</f>
        <v>0</v>
      </c>
      <c r="R1841" s="0" t="n">
        <f aca="false">F1841*H1841</f>
        <v>-0</v>
      </c>
      <c r="S1841" s="0" t="n">
        <f aca="false">G1841*H1841</f>
        <v>-0.5</v>
      </c>
      <c r="T1841" s="0" t="n">
        <f aca="false">E1841*E1841</f>
        <v>0.25</v>
      </c>
      <c r="U1841" s="0" t="n">
        <f aca="false">F1841*F1841</f>
        <v>0</v>
      </c>
      <c r="V1841" s="0" t="n">
        <f aca="false">G1841*G1841</f>
        <v>0.25</v>
      </c>
      <c r="W1841" s="0" t="n">
        <f aca="false">H1841*H1841</f>
        <v>1</v>
      </c>
      <c r="X1841" s="0" t="n">
        <f aca="false">SUMPRODUCT(I1841:W1841,_XtX!$B$96:$P$96)</f>
        <v>45.8737938596491</v>
      </c>
      <c r="Y1841" s="0" t="n">
        <f aca="false">SUMPRODUCT(MMULT(I1841:W1841,_XtX!$B$78:$P$92),I1841:W1841)</f>
        <v>0.441954495614035</v>
      </c>
      <c r="Z1841" s="0" t="n">
        <f aca="false">04_回帰ANOVA!$K$19*04_回帰ANOVA!$K$14*SQRT(1+Y1841)</f>
        <v>1.56521560968066</v>
      </c>
      <c r="AA1841" s="0" t="n">
        <f aca="false">X1841-Z1841</f>
        <v>44.3085782499685</v>
      </c>
      <c r="AB1841" s="0" t="n">
        <f aca="false">X1841+Z1841</f>
        <v>47.4390094693298</v>
      </c>
      <c r="AC1841" s="54" t="b">
        <f aca="false">AND(E1841&gt;=01_因子設定!$L$5-0.000000001,E1841&lt;=01_因子設定!$M$5+0.000000001,F1841&gt;=01_因子設定!$L$6-0.000000001,F1841&lt;=01_因子設定!$M$6+0.000000001,G1841&gt;=01_因子設定!$L$7-0.000000001,G1841&lt;=01_因子設定!$M$7+0.000000001,H1841&gt;=01_因子設定!$L$8-0.000000001,H1841&lt;=01_因子設定!$M$8+0.000000001,IF(01_因子設定!$B$20="Box-Behnken",E1841^2+F1841^2+G1841^2+H1841^2&lt;=2+0.000000001,TRUE()))</f>
        <v>1</v>
      </c>
      <c r="AD1841" s="55" t="n">
        <f aca="false">IF(AC1841,IF(01_因子設定!$B$13="最大化",AA1841-01_因子設定!$B$14,IF(01_因子設定!$B$13="最小化",01_因子設定!$B$15-AB1841,MIN(AA1841-01_因子設定!$B$14,01_因子設定!$B$15-AB1841))),-1E+030)</f>
        <v>-2.19142175003154</v>
      </c>
      <c r="AE1841" s="55" t="n">
        <f aca="false">IF(AC1841,IF(01_因子設定!$B$13="最大化",X1841,IF(01_因子設定!$B$13="最小化",-X1841,-ABS(X1841-01_因子設定!$B$16))),-1E+030)</f>
        <v>45.8737938596491</v>
      </c>
      <c r="AF1841" s="55" t="n">
        <f aca="false">AD1841+ROW()*0.000000001</f>
        <v>-2.19141990903154</v>
      </c>
      <c r="AG1841" s="55" t="n">
        <f aca="false">AE1841+ROW()*0.000000001</f>
        <v>45.8737957006491</v>
      </c>
    </row>
    <row r="1842" customFormat="false" ht="15" hidden="false" customHeight="false" outlineLevel="0" collapsed="false">
      <c r="A1842" s="0" t="n">
        <v>2</v>
      </c>
      <c r="B1842" s="0" t="n">
        <v>4</v>
      </c>
      <c r="C1842" s="0" t="n">
        <v>6</v>
      </c>
      <c r="D1842" s="0" t="n">
        <v>1</v>
      </c>
      <c r="E1842" s="0" t="n">
        <f aca="false">-1+A1842*0.25</f>
        <v>-0.5</v>
      </c>
      <c r="F1842" s="0" t="n">
        <f aca="false">-1+B1842*0.25</f>
        <v>0</v>
      </c>
      <c r="G1842" s="0" t="n">
        <f aca="false">-1+C1842*0.25</f>
        <v>0.5</v>
      </c>
      <c r="H1842" s="0" t="n">
        <f aca="false">-1+D1842*0.25</f>
        <v>-0.75</v>
      </c>
      <c r="I1842" s="0" t="n">
        <f aca="false">1</f>
        <v>1</v>
      </c>
      <c r="J1842" s="0" t="n">
        <f aca="false">E1842</f>
        <v>-0.5</v>
      </c>
      <c r="K1842" s="0" t="n">
        <f aca="false">F1842</f>
        <v>0</v>
      </c>
      <c r="L1842" s="0" t="n">
        <f aca="false">G1842</f>
        <v>0.5</v>
      </c>
      <c r="M1842" s="0" t="n">
        <f aca="false">H1842</f>
        <v>-0.75</v>
      </c>
      <c r="N1842" s="0" t="n">
        <f aca="false">E1842*F1842</f>
        <v>-0</v>
      </c>
      <c r="O1842" s="0" t="n">
        <f aca="false">E1842*G1842</f>
        <v>-0.25</v>
      </c>
      <c r="P1842" s="0" t="n">
        <f aca="false">E1842*H1842</f>
        <v>0.375</v>
      </c>
      <c r="Q1842" s="0" t="n">
        <f aca="false">F1842*G1842</f>
        <v>0</v>
      </c>
      <c r="R1842" s="0" t="n">
        <f aca="false">F1842*H1842</f>
        <v>-0</v>
      </c>
      <c r="S1842" s="0" t="n">
        <f aca="false">G1842*H1842</f>
        <v>-0.375</v>
      </c>
      <c r="T1842" s="0" t="n">
        <f aca="false">E1842*E1842</f>
        <v>0.25</v>
      </c>
      <c r="U1842" s="0" t="n">
        <f aca="false">F1842*F1842</f>
        <v>0</v>
      </c>
      <c r="V1842" s="0" t="n">
        <f aca="false">G1842*G1842</f>
        <v>0.25</v>
      </c>
      <c r="W1842" s="0" t="n">
        <f aca="false">H1842*H1842</f>
        <v>0.5625</v>
      </c>
      <c r="X1842" s="0" t="n">
        <f aca="false">SUMPRODUCT(I1842:W1842,_XtX!$B$96:$P$96)</f>
        <v>46.1628198099415</v>
      </c>
      <c r="Y1842" s="0" t="n">
        <f aca="false">SUMPRODUCT(MMULT(I1842:W1842,_XtX!$B$78:$P$92),I1842:W1842)</f>
        <v>0.21305052997076</v>
      </c>
      <c r="Z1842" s="0" t="n">
        <f aca="false">04_回帰ANOVA!$K$19*04_回帰ANOVA!$K$14*SQRT(1+Y1842)</f>
        <v>1.43561450835061</v>
      </c>
      <c r="AA1842" s="0" t="n">
        <f aca="false">X1842-Z1842</f>
        <v>44.7272053015909</v>
      </c>
      <c r="AB1842" s="0" t="n">
        <f aca="false">X1842+Z1842</f>
        <v>47.5984343182921</v>
      </c>
      <c r="AC1842" s="54" t="b">
        <f aca="false">AND(E1842&gt;=01_因子設定!$L$5-0.000000001,E1842&lt;=01_因子設定!$M$5+0.000000001,F1842&gt;=01_因子設定!$L$6-0.000000001,F1842&lt;=01_因子設定!$M$6+0.000000001,G1842&gt;=01_因子設定!$L$7-0.000000001,G1842&lt;=01_因子設定!$M$7+0.000000001,H1842&gt;=01_因子設定!$L$8-0.000000001,H1842&lt;=01_因子設定!$M$8+0.000000001,IF(01_因子設定!$B$20="Box-Behnken",E1842^2+F1842^2+G1842^2+H1842^2&lt;=2+0.000000001,TRUE()))</f>
        <v>1</v>
      </c>
      <c r="AD1842" s="55" t="n">
        <f aca="false">IF(AC1842,IF(01_因子設定!$B$13="最大化",AA1842-01_因子設定!$B$14,IF(01_因子設定!$B$13="最小化",01_因子設定!$B$15-AB1842,MIN(AA1842-01_因子設定!$B$14,01_因子設定!$B$15-AB1842))),-1E+030)</f>
        <v>-1.7727946984091</v>
      </c>
      <c r="AE1842" s="55" t="n">
        <f aca="false">IF(AC1842,IF(01_因子設定!$B$13="最大化",X1842,IF(01_因子設定!$B$13="最小化",-X1842,-ABS(X1842-01_因子設定!$B$16))),-1E+030)</f>
        <v>46.1628198099415</v>
      </c>
      <c r="AF1842" s="55" t="n">
        <f aca="false">AD1842+ROW()*0.000000001</f>
        <v>-1.7727928564091</v>
      </c>
      <c r="AG1842" s="55" t="n">
        <f aca="false">AE1842+ROW()*0.000000001</f>
        <v>46.1628216519415</v>
      </c>
    </row>
    <row r="1843" customFormat="false" ht="15" hidden="false" customHeight="false" outlineLevel="0" collapsed="false">
      <c r="A1843" s="0" t="n">
        <v>2</v>
      </c>
      <c r="B1843" s="0" t="n">
        <v>4</v>
      </c>
      <c r="C1843" s="0" t="n">
        <v>6</v>
      </c>
      <c r="D1843" s="0" t="n">
        <v>2</v>
      </c>
      <c r="E1843" s="0" t="n">
        <f aca="false">-1+A1843*0.25</f>
        <v>-0.5</v>
      </c>
      <c r="F1843" s="0" t="n">
        <f aca="false">-1+B1843*0.25</f>
        <v>0</v>
      </c>
      <c r="G1843" s="0" t="n">
        <f aca="false">-1+C1843*0.25</f>
        <v>0.5</v>
      </c>
      <c r="H1843" s="0" t="n">
        <f aca="false">-1+D1843*0.25</f>
        <v>-0.5</v>
      </c>
      <c r="I1843" s="0" t="n">
        <f aca="false">1</f>
        <v>1</v>
      </c>
      <c r="J1843" s="0" t="n">
        <f aca="false">E1843</f>
        <v>-0.5</v>
      </c>
      <c r="K1843" s="0" t="n">
        <f aca="false">F1843</f>
        <v>0</v>
      </c>
      <c r="L1843" s="0" t="n">
        <f aca="false">G1843</f>
        <v>0.5</v>
      </c>
      <c r="M1843" s="0" t="n">
        <f aca="false">H1843</f>
        <v>-0.5</v>
      </c>
      <c r="N1843" s="0" t="n">
        <f aca="false">E1843*F1843</f>
        <v>-0</v>
      </c>
      <c r="O1843" s="0" t="n">
        <f aca="false">E1843*G1843</f>
        <v>-0.25</v>
      </c>
      <c r="P1843" s="0" t="n">
        <f aca="false">E1843*H1843</f>
        <v>0.25</v>
      </c>
      <c r="Q1843" s="0" t="n">
        <f aca="false">F1843*G1843</f>
        <v>0</v>
      </c>
      <c r="R1843" s="0" t="n">
        <f aca="false">F1843*H1843</f>
        <v>-0</v>
      </c>
      <c r="S1843" s="0" t="n">
        <f aca="false">G1843*H1843</f>
        <v>-0.25</v>
      </c>
      <c r="T1843" s="0" t="n">
        <f aca="false">E1843*E1843</f>
        <v>0.25</v>
      </c>
      <c r="U1843" s="0" t="n">
        <f aca="false">F1843*F1843</f>
        <v>0</v>
      </c>
      <c r="V1843" s="0" t="n">
        <f aca="false">G1843*G1843</f>
        <v>0.25</v>
      </c>
      <c r="W1843" s="0" t="n">
        <f aca="false">H1843*H1843</f>
        <v>0.25</v>
      </c>
      <c r="X1843" s="0" t="n">
        <f aca="false">SUMPRODUCT(I1843:W1843,_XtX!$B$96:$P$96)</f>
        <v>46.40403874269</v>
      </c>
      <c r="Y1843" s="0" t="n">
        <f aca="false">SUMPRODUCT(MMULT(I1843:W1843,_XtX!$B$78:$P$92),I1843:W1843)</f>
        <v>0.140008223684211</v>
      </c>
      <c r="Z1843" s="0" t="n">
        <f aca="false">04_回帰ANOVA!$K$19*04_回帰ANOVA!$K$14*SQRT(1+Y1843)</f>
        <v>1.39172165492264</v>
      </c>
      <c r="AA1843" s="0" t="n">
        <f aca="false">X1843-Z1843</f>
        <v>45.0123170877674</v>
      </c>
      <c r="AB1843" s="0" t="n">
        <f aca="false">X1843+Z1843</f>
        <v>47.7957603976127</v>
      </c>
      <c r="AC1843" s="54" t="b">
        <f aca="false">AND(E1843&gt;=01_因子設定!$L$5-0.000000001,E1843&lt;=01_因子設定!$M$5+0.000000001,F1843&gt;=01_因子設定!$L$6-0.000000001,F1843&lt;=01_因子設定!$M$6+0.000000001,G1843&gt;=01_因子設定!$L$7-0.000000001,G1843&lt;=01_因子設定!$M$7+0.000000001,H1843&gt;=01_因子設定!$L$8-0.000000001,H1843&lt;=01_因子設定!$M$8+0.000000001,IF(01_因子設定!$B$20="Box-Behnken",E1843^2+F1843^2+G1843^2+H1843^2&lt;=2+0.000000001,TRUE()))</f>
        <v>1</v>
      </c>
      <c r="AD1843" s="55" t="n">
        <f aca="false">IF(AC1843,IF(01_因子設定!$B$13="最大化",AA1843-01_因子設定!$B$14,IF(01_因子設定!$B$13="最小化",01_因子設定!$B$15-AB1843,MIN(AA1843-01_因子設定!$B$14,01_因子設定!$B$15-AB1843))),-1E+030)</f>
        <v>-1.48768291223261</v>
      </c>
      <c r="AE1843" s="55" t="n">
        <f aca="false">IF(AC1843,IF(01_因子設定!$B$13="最大化",X1843,IF(01_因子設定!$B$13="最小化",-X1843,-ABS(X1843-01_因子設定!$B$16))),-1E+030)</f>
        <v>46.40403874269</v>
      </c>
      <c r="AF1843" s="55" t="n">
        <f aca="false">AD1843+ROW()*0.000000001</f>
        <v>-1.48768106923261</v>
      </c>
      <c r="AG1843" s="55" t="n">
        <f aca="false">AE1843+ROW()*0.000000001</f>
        <v>46.40404058569</v>
      </c>
    </row>
    <row r="1844" customFormat="false" ht="15" hidden="false" customHeight="false" outlineLevel="0" collapsed="false">
      <c r="A1844" s="0" t="n">
        <v>2</v>
      </c>
      <c r="B1844" s="0" t="n">
        <v>4</v>
      </c>
      <c r="C1844" s="0" t="n">
        <v>6</v>
      </c>
      <c r="D1844" s="0" t="n">
        <v>3</v>
      </c>
      <c r="E1844" s="0" t="n">
        <f aca="false">-1+A1844*0.25</f>
        <v>-0.5</v>
      </c>
      <c r="F1844" s="0" t="n">
        <f aca="false">-1+B1844*0.25</f>
        <v>0</v>
      </c>
      <c r="G1844" s="0" t="n">
        <f aca="false">-1+C1844*0.25</f>
        <v>0.5</v>
      </c>
      <c r="H1844" s="0" t="n">
        <f aca="false">-1+D1844*0.25</f>
        <v>-0.25</v>
      </c>
      <c r="I1844" s="0" t="n">
        <f aca="false">1</f>
        <v>1</v>
      </c>
      <c r="J1844" s="0" t="n">
        <f aca="false">E1844</f>
        <v>-0.5</v>
      </c>
      <c r="K1844" s="0" t="n">
        <f aca="false">F1844</f>
        <v>0</v>
      </c>
      <c r="L1844" s="0" t="n">
        <f aca="false">G1844</f>
        <v>0.5</v>
      </c>
      <c r="M1844" s="0" t="n">
        <f aca="false">H1844</f>
        <v>-0.25</v>
      </c>
      <c r="N1844" s="0" t="n">
        <f aca="false">E1844*F1844</f>
        <v>-0</v>
      </c>
      <c r="O1844" s="0" t="n">
        <f aca="false">E1844*G1844</f>
        <v>-0.25</v>
      </c>
      <c r="P1844" s="0" t="n">
        <f aca="false">E1844*H1844</f>
        <v>0.125</v>
      </c>
      <c r="Q1844" s="0" t="n">
        <f aca="false">F1844*G1844</f>
        <v>0</v>
      </c>
      <c r="R1844" s="0" t="n">
        <f aca="false">F1844*H1844</f>
        <v>-0</v>
      </c>
      <c r="S1844" s="0" t="n">
        <f aca="false">G1844*H1844</f>
        <v>-0.125</v>
      </c>
      <c r="T1844" s="0" t="n">
        <f aca="false">E1844*E1844</f>
        <v>0.25</v>
      </c>
      <c r="U1844" s="0" t="n">
        <f aca="false">F1844*F1844</f>
        <v>0</v>
      </c>
      <c r="V1844" s="0" t="n">
        <f aca="false">G1844*G1844</f>
        <v>0.25</v>
      </c>
      <c r="W1844" s="0" t="n">
        <f aca="false">H1844*H1844</f>
        <v>0.0625</v>
      </c>
      <c r="X1844" s="0" t="n">
        <f aca="false">SUMPRODUCT(I1844:W1844,_XtX!$B$96:$P$96)</f>
        <v>46.5974506578947</v>
      </c>
      <c r="Y1844" s="0" t="n">
        <f aca="false">SUMPRODUCT(MMULT(I1844:W1844,_XtX!$B$78:$P$92),I1844:W1844)</f>
        <v>0.132367050438597</v>
      </c>
      <c r="Z1844" s="0" t="n">
        <f aca="false">04_回帰ANOVA!$K$19*04_回帰ANOVA!$K$14*SQRT(1+Y1844)</f>
        <v>1.38704964208329</v>
      </c>
      <c r="AA1844" s="0" t="n">
        <f aca="false">X1844-Z1844</f>
        <v>45.2104010158114</v>
      </c>
      <c r="AB1844" s="0" t="n">
        <f aca="false">X1844+Z1844</f>
        <v>47.984500299978</v>
      </c>
      <c r="AC1844" s="54" t="b">
        <f aca="false">AND(E1844&gt;=01_因子設定!$L$5-0.000000001,E1844&lt;=01_因子設定!$M$5+0.000000001,F1844&gt;=01_因子設定!$L$6-0.000000001,F1844&lt;=01_因子設定!$M$6+0.000000001,G1844&gt;=01_因子設定!$L$7-0.000000001,G1844&lt;=01_因子設定!$M$7+0.000000001,H1844&gt;=01_因子設定!$L$8-0.000000001,H1844&lt;=01_因子設定!$M$8+0.000000001,IF(01_因子設定!$B$20="Box-Behnken",E1844^2+F1844^2+G1844^2+H1844^2&lt;=2+0.000000001,TRUE()))</f>
        <v>1</v>
      </c>
      <c r="AD1844" s="55" t="n">
        <f aca="false">IF(AC1844,IF(01_因子設定!$B$13="最大化",AA1844-01_因子設定!$B$14,IF(01_因子設定!$B$13="最小化",01_因子設定!$B$15-AB1844,MIN(AA1844-01_因子設定!$B$14,01_因子設定!$B$15-AB1844))),-1E+030)</f>
        <v>-1.28959898418859</v>
      </c>
      <c r="AE1844" s="55" t="n">
        <f aca="false">IF(AC1844,IF(01_因子設定!$B$13="最大化",X1844,IF(01_因子設定!$B$13="最小化",-X1844,-ABS(X1844-01_因子設定!$B$16))),-1E+030)</f>
        <v>46.5974506578947</v>
      </c>
      <c r="AF1844" s="55" t="n">
        <f aca="false">AD1844+ROW()*0.000000001</f>
        <v>-1.28959714018859</v>
      </c>
      <c r="AG1844" s="55" t="n">
        <f aca="false">AE1844+ROW()*0.000000001</f>
        <v>46.5974525018947</v>
      </c>
    </row>
    <row r="1845" customFormat="false" ht="15" hidden="false" customHeight="false" outlineLevel="0" collapsed="false">
      <c r="A1845" s="0" t="n">
        <v>2</v>
      </c>
      <c r="B1845" s="0" t="n">
        <v>4</v>
      </c>
      <c r="C1845" s="0" t="n">
        <v>6</v>
      </c>
      <c r="D1845" s="0" t="n">
        <v>4</v>
      </c>
      <c r="E1845" s="0" t="n">
        <f aca="false">-1+A1845*0.25</f>
        <v>-0.5</v>
      </c>
      <c r="F1845" s="0" t="n">
        <f aca="false">-1+B1845*0.25</f>
        <v>0</v>
      </c>
      <c r="G1845" s="0" t="n">
        <f aca="false">-1+C1845*0.25</f>
        <v>0.5</v>
      </c>
      <c r="H1845" s="0" t="n">
        <f aca="false">-1+D1845*0.25</f>
        <v>0</v>
      </c>
      <c r="I1845" s="0" t="n">
        <f aca="false">1</f>
        <v>1</v>
      </c>
      <c r="J1845" s="0" t="n">
        <f aca="false">E1845</f>
        <v>-0.5</v>
      </c>
      <c r="K1845" s="0" t="n">
        <f aca="false">F1845</f>
        <v>0</v>
      </c>
      <c r="L1845" s="0" t="n">
        <f aca="false">G1845</f>
        <v>0.5</v>
      </c>
      <c r="M1845" s="0" t="n">
        <f aca="false">H1845</f>
        <v>0</v>
      </c>
      <c r="N1845" s="0" t="n">
        <f aca="false">E1845*F1845</f>
        <v>-0</v>
      </c>
      <c r="O1845" s="0" t="n">
        <f aca="false">E1845*G1845</f>
        <v>-0.25</v>
      </c>
      <c r="P1845" s="0" t="n">
        <f aca="false">E1845*H1845</f>
        <v>-0</v>
      </c>
      <c r="Q1845" s="0" t="n">
        <f aca="false">F1845*G1845</f>
        <v>0</v>
      </c>
      <c r="R1845" s="0" t="n">
        <f aca="false">F1845*H1845</f>
        <v>0</v>
      </c>
      <c r="S1845" s="0" t="n">
        <f aca="false">G1845*H1845</f>
        <v>0</v>
      </c>
      <c r="T1845" s="0" t="n">
        <f aca="false">E1845*E1845</f>
        <v>0.25</v>
      </c>
      <c r="U1845" s="0" t="n">
        <f aca="false">F1845*F1845</f>
        <v>0</v>
      </c>
      <c r="V1845" s="0" t="n">
        <f aca="false">G1845*G1845</f>
        <v>0.25</v>
      </c>
      <c r="W1845" s="0" t="n">
        <f aca="false">H1845*H1845</f>
        <v>0</v>
      </c>
      <c r="X1845" s="0" t="n">
        <f aca="false">SUMPRODUCT(I1845:W1845,_XtX!$B$96:$P$96)</f>
        <v>46.7430555555555</v>
      </c>
      <c r="Y1845" s="0" t="n">
        <f aca="false">SUMPRODUCT(MMULT(I1845:W1845,_XtX!$B$78:$P$92),I1845:W1845)</f>
        <v>0.135850694444444</v>
      </c>
      <c r="Z1845" s="0" t="n">
        <f aca="false">04_回帰ANOVA!$K$19*04_回帰ANOVA!$K$14*SQRT(1+Y1845)</f>
        <v>1.38918158179389</v>
      </c>
      <c r="AA1845" s="0" t="n">
        <f aca="false">X1845-Z1845</f>
        <v>45.3538739737616</v>
      </c>
      <c r="AB1845" s="0" t="n">
        <f aca="false">X1845+Z1845</f>
        <v>48.1322371373494</v>
      </c>
      <c r="AC1845" s="54" t="b">
        <f aca="false">AND(E1845&gt;=01_因子設定!$L$5-0.000000001,E1845&lt;=01_因子設定!$M$5+0.000000001,F1845&gt;=01_因子設定!$L$6-0.000000001,F1845&lt;=01_因子設定!$M$6+0.000000001,G1845&gt;=01_因子設定!$L$7-0.000000001,G1845&lt;=01_因子設定!$M$7+0.000000001,H1845&gt;=01_因子設定!$L$8-0.000000001,H1845&lt;=01_因子設定!$M$8+0.000000001,IF(01_因子設定!$B$20="Box-Behnken",E1845^2+F1845^2+G1845^2+H1845^2&lt;=2+0.000000001,TRUE()))</f>
        <v>1</v>
      </c>
      <c r="AD1845" s="55" t="n">
        <f aca="false">IF(AC1845,IF(01_因子設定!$B$13="最大化",AA1845-01_因子設定!$B$14,IF(01_因子設定!$B$13="最小化",01_因子設定!$B$15-AB1845,MIN(AA1845-01_因子設定!$B$14,01_因子設定!$B$15-AB1845))),-1E+030)</f>
        <v>-1.14612602623838</v>
      </c>
      <c r="AE1845" s="55" t="n">
        <f aca="false">IF(AC1845,IF(01_因子設定!$B$13="最大化",X1845,IF(01_因子設定!$B$13="最小化",-X1845,-ABS(X1845-01_因子設定!$B$16))),-1E+030)</f>
        <v>46.7430555555555</v>
      </c>
      <c r="AF1845" s="55" t="n">
        <f aca="false">AD1845+ROW()*0.000000001</f>
        <v>-1.14612418123838</v>
      </c>
      <c r="AG1845" s="55" t="n">
        <f aca="false">AE1845+ROW()*0.000000001</f>
        <v>46.7430574005555</v>
      </c>
    </row>
    <row r="1846" customFormat="false" ht="15" hidden="false" customHeight="false" outlineLevel="0" collapsed="false">
      <c r="A1846" s="0" t="n">
        <v>2</v>
      </c>
      <c r="B1846" s="0" t="n">
        <v>4</v>
      </c>
      <c r="C1846" s="0" t="n">
        <v>6</v>
      </c>
      <c r="D1846" s="0" t="n">
        <v>5</v>
      </c>
      <c r="E1846" s="0" t="n">
        <f aca="false">-1+A1846*0.25</f>
        <v>-0.5</v>
      </c>
      <c r="F1846" s="0" t="n">
        <f aca="false">-1+B1846*0.25</f>
        <v>0</v>
      </c>
      <c r="G1846" s="0" t="n">
        <f aca="false">-1+C1846*0.25</f>
        <v>0.5</v>
      </c>
      <c r="H1846" s="0" t="n">
        <f aca="false">-1+D1846*0.25</f>
        <v>0.25</v>
      </c>
      <c r="I1846" s="0" t="n">
        <f aca="false">1</f>
        <v>1</v>
      </c>
      <c r="J1846" s="0" t="n">
        <f aca="false">E1846</f>
        <v>-0.5</v>
      </c>
      <c r="K1846" s="0" t="n">
        <f aca="false">F1846</f>
        <v>0</v>
      </c>
      <c r="L1846" s="0" t="n">
        <f aca="false">G1846</f>
        <v>0.5</v>
      </c>
      <c r="M1846" s="0" t="n">
        <f aca="false">H1846</f>
        <v>0.25</v>
      </c>
      <c r="N1846" s="0" t="n">
        <f aca="false">E1846*F1846</f>
        <v>-0</v>
      </c>
      <c r="O1846" s="0" t="n">
        <f aca="false">E1846*G1846</f>
        <v>-0.25</v>
      </c>
      <c r="P1846" s="0" t="n">
        <f aca="false">E1846*H1846</f>
        <v>-0.125</v>
      </c>
      <c r="Q1846" s="0" t="n">
        <f aca="false">F1846*G1846</f>
        <v>0</v>
      </c>
      <c r="R1846" s="0" t="n">
        <f aca="false">F1846*H1846</f>
        <v>0</v>
      </c>
      <c r="S1846" s="0" t="n">
        <f aca="false">G1846*H1846</f>
        <v>0.125</v>
      </c>
      <c r="T1846" s="0" t="n">
        <f aca="false">E1846*E1846</f>
        <v>0.25</v>
      </c>
      <c r="U1846" s="0" t="n">
        <f aca="false">F1846*F1846</f>
        <v>0</v>
      </c>
      <c r="V1846" s="0" t="n">
        <f aca="false">G1846*G1846</f>
        <v>0.25</v>
      </c>
      <c r="W1846" s="0" t="n">
        <f aca="false">H1846*H1846</f>
        <v>0.0625</v>
      </c>
      <c r="X1846" s="0" t="n">
        <f aca="false">SUMPRODUCT(I1846:W1846,_XtX!$B$96:$P$96)</f>
        <v>46.8408534356725</v>
      </c>
      <c r="Y1846" s="0" t="n">
        <f aca="false">SUMPRODUCT(MMULT(I1846:W1846,_XtX!$B$78:$P$92),I1846:W1846)</f>
        <v>0.132367050438597</v>
      </c>
      <c r="Z1846" s="0" t="n">
        <f aca="false">04_回帰ANOVA!$K$19*04_回帰ANOVA!$K$14*SQRT(1+Y1846)</f>
        <v>1.38704964208329</v>
      </c>
      <c r="AA1846" s="0" t="n">
        <f aca="false">X1846-Z1846</f>
        <v>45.4538037935892</v>
      </c>
      <c r="AB1846" s="0" t="n">
        <f aca="false">X1846+Z1846</f>
        <v>48.2279030777558</v>
      </c>
      <c r="AC1846" s="54" t="b">
        <f aca="false">AND(E1846&gt;=01_因子設定!$L$5-0.000000001,E1846&lt;=01_因子設定!$M$5+0.000000001,F1846&gt;=01_因子設定!$L$6-0.000000001,F1846&lt;=01_因子設定!$M$6+0.000000001,G1846&gt;=01_因子設定!$L$7-0.000000001,G1846&lt;=01_因子設定!$M$7+0.000000001,H1846&gt;=01_因子設定!$L$8-0.000000001,H1846&lt;=01_因子設定!$M$8+0.000000001,IF(01_因子設定!$B$20="Box-Behnken",E1846^2+F1846^2+G1846^2+H1846^2&lt;=2+0.000000001,TRUE()))</f>
        <v>1</v>
      </c>
      <c r="AD1846" s="55" t="n">
        <f aca="false">IF(AC1846,IF(01_因子設定!$B$13="最大化",AA1846-01_因子設定!$B$14,IF(01_因子設定!$B$13="最小化",01_因子設定!$B$15-AB1846,MIN(AA1846-01_因子設定!$B$14,01_因子設定!$B$15-AB1846))),-1E+030)</f>
        <v>-1.04619620641082</v>
      </c>
      <c r="AE1846" s="55" t="n">
        <f aca="false">IF(AC1846,IF(01_因子設定!$B$13="最大化",X1846,IF(01_因子設定!$B$13="最小化",-X1846,-ABS(X1846-01_因子設定!$B$16))),-1E+030)</f>
        <v>46.8408534356725</v>
      </c>
      <c r="AF1846" s="55" t="n">
        <f aca="false">AD1846+ROW()*0.000000001</f>
        <v>-1.04619436041082</v>
      </c>
      <c r="AG1846" s="55" t="n">
        <f aca="false">AE1846+ROW()*0.000000001</f>
        <v>46.8408552816725</v>
      </c>
    </row>
    <row r="1847" customFormat="false" ht="15" hidden="false" customHeight="false" outlineLevel="0" collapsed="false">
      <c r="A1847" s="0" t="n">
        <v>2</v>
      </c>
      <c r="B1847" s="0" t="n">
        <v>4</v>
      </c>
      <c r="C1847" s="0" t="n">
        <v>6</v>
      </c>
      <c r="D1847" s="0" t="n">
        <v>6</v>
      </c>
      <c r="E1847" s="0" t="n">
        <f aca="false">-1+A1847*0.25</f>
        <v>-0.5</v>
      </c>
      <c r="F1847" s="0" t="n">
        <f aca="false">-1+B1847*0.25</f>
        <v>0</v>
      </c>
      <c r="G1847" s="0" t="n">
        <f aca="false">-1+C1847*0.25</f>
        <v>0.5</v>
      </c>
      <c r="H1847" s="0" t="n">
        <f aca="false">-1+D1847*0.25</f>
        <v>0.5</v>
      </c>
      <c r="I1847" s="0" t="n">
        <f aca="false">1</f>
        <v>1</v>
      </c>
      <c r="J1847" s="0" t="n">
        <f aca="false">E1847</f>
        <v>-0.5</v>
      </c>
      <c r="K1847" s="0" t="n">
        <f aca="false">F1847</f>
        <v>0</v>
      </c>
      <c r="L1847" s="0" t="n">
        <f aca="false">G1847</f>
        <v>0.5</v>
      </c>
      <c r="M1847" s="0" t="n">
        <f aca="false">H1847</f>
        <v>0.5</v>
      </c>
      <c r="N1847" s="0" t="n">
        <f aca="false">E1847*F1847</f>
        <v>-0</v>
      </c>
      <c r="O1847" s="0" t="n">
        <f aca="false">E1847*G1847</f>
        <v>-0.25</v>
      </c>
      <c r="P1847" s="0" t="n">
        <f aca="false">E1847*H1847</f>
        <v>-0.25</v>
      </c>
      <c r="Q1847" s="0" t="n">
        <f aca="false">F1847*G1847</f>
        <v>0</v>
      </c>
      <c r="R1847" s="0" t="n">
        <f aca="false">F1847*H1847</f>
        <v>0</v>
      </c>
      <c r="S1847" s="0" t="n">
        <f aca="false">G1847*H1847</f>
        <v>0.25</v>
      </c>
      <c r="T1847" s="0" t="n">
        <f aca="false">E1847*E1847</f>
        <v>0.25</v>
      </c>
      <c r="U1847" s="0" t="n">
        <f aca="false">F1847*F1847</f>
        <v>0</v>
      </c>
      <c r="V1847" s="0" t="n">
        <f aca="false">G1847*G1847</f>
        <v>0.25</v>
      </c>
      <c r="W1847" s="0" t="n">
        <f aca="false">H1847*H1847</f>
        <v>0.25</v>
      </c>
      <c r="X1847" s="0" t="n">
        <f aca="false">SUMPRODUCT(I1847:W1847,_XtX!$B$96:$P$96)</f>
        <v>46.8908442982456</v>
      </c>
      <c r="Y1847" s="0" t="n">
        <f aca="false">SUMPRODUCT(MMULT(I1847:W1847,_XtX!$B$78:$P$92),I1847:W1847)</f>
        <v>0.140008223684211</v>
      </c>
      <c r="Z1847" s="0" t="n">
        <f aca="false">04_回帰ANOVA!$K$19*04_回帰ANOVA!$K$14*SQRT(1+Y1847)</f>
        <v>1.39172165492264</v>
      </c>
      <c r="AA1847" s="0" t="n">
        <f aca="false">X1847-Z1847</f>
        <v>45.499122643323</v>
      </c>
      <c r="AB1847" s="0" t="n">
        <f aca="false">X1847+Z1847</f>
        <v>48.2825659531682</v>
      </c>
      <c r="AC1847" s="54" t="b">
        <f aca="false">AND(E1847&gt;=01_因子設定!$L$5-0.000000001,E1847&lt;=01_因子設定!$M$5+0.000000001,F1847&gt;=01_因子設定!$L$6-0.000000001,F1847&lt;=01_因子設定!$M$6+0.000000001,G1847&gt;=01_因子設定!$L$7-0.000000001,G1847&lt;=01_因子設定!$M$7+0.000000001,H1847&gt;=01_因子設定!$L$8-0.000000001,H1847&lt;=01_因子設定!$M$8+0.000000001,IF(01_因子設定!$B$20="Box-Behnken",E1847^2+F1847^2+G1847^2+H1847^2&lt;=2+0.000000001,TRUE()))</f>
        <v>1</v>
      </c>
      <c r="AD1847" s="55" t="n">
        <f aca="false">IF(AC1847,IF(01_因子設定!$B$13="最大化",AA1847-01_因子設定!$B$14,IF(01_因子設定!$B$13="最小化",01_因子設定!$B$15-AB1847,MIN(AA1847-01_因子設定!$B$14,01_因子設定!$B$15-AB1847))),-1E+030)</f>
        <v>-1.00087735667705</v>
      </c>
      <c r="AE1847" s="55" t="n">
        <f aca="false">IF(AC1847,IF(01_因子設定!$B$13="最大化",X1847,IF(01_因子設定!$B$13="最小化",-X1847,-ABS(X1847-01_因子設定!$B$16))),-1E+030)</f>
        <v>46.8908442982456</v>
      </c>
      <c r="AF1847" s="55" t="n">
        <f aca="false">AD1847+ROW()*0.000000001</f>
        <v>-1.00087550967705</v>
      </c>
      <c r="AG1847" s="55" t="n">
        <f aca="false">AE1847+ROW()*0.000000001</f>
        <v>46.8908461452456</v>
      </c>
    </row>
    <row r="1848" customFormat="false" ht="15" hidden="false" customHeight="false" outlineLevel="0" collapsed="false">
      <c r="A1848" s="0" t="n">
        <v>2</v>
      </c>
      <c r="B1848" s="0" t="n">
        <v>4</v>
      </c>
      <c r="C1848" s="0" t="n">
        <v>6</v>
      </c>
      <c r="D1848" s="0" t="n">
        <v>7</v>
      </c>
      <c r="E1848" s="0" t="n">
        <f aca="false">-1+A1848*0.25</f>
        <v>-0.5</v>
      </c>
      <c r="F1848" s="0" t="n">
        <f aca="false">-1+B1848*0.25</f>
        <v>0</v>
      </c>
      <c r="G1848" s="0" t="n">
        <f aca="false">-1+C1848*0.25</f>
        <v>0.5</v>
      </c>
      <c r="H1848" s="0" t="n">
        <f aca="false">-1+D1848*0.25</f>
        <v>0.75</v>
      </c>
      <c r="I1848" s="0" t="n">
        <f aca="false">1</f>
        <v>1</v>
      </c>
      <c r="J1848" s="0" t="n">
        <f aca="false">E1848</f>
        <v>-0.5</v>
      </c>
      <c r="K1848" s="0" t="n">
        <f aca="false">F1848</f>
        <v>0</v>
      </c>
      <c r="L1848" s="0" t="n">
        <f aca="false">G1848</f>
        <v>0.5</v>
      </c>
      <c r="M1848" s="0" t="n">
        <f aca="false">H1848</f>
        <v>0.75</v>
      </c>
      <c r="N1848" s="0" t="n">
        <f aca="false">E1848*F1848</f>
        <v>-0</v>
      </c>
      <c r="O1848" s="0" t="n">
        <f aca="false">E1848*G1848</f>
        <v>-0.25</v>
      </c>
      <c r="P1848" s="0" t="n">
        <f aca="false">E1848*H1848</f>
        <v>-0.375</v>
      </c>
      <c r="Q1848" s="0" t="n">
        <f aca="false">F1848*G1848</f>
        <v>0</v>
      </c>
      <c r="R1848" s="0" t="n">
        <f aca="false">F1848*H1848</f>
        <v>0</v>
      </c>
      <c r="S1848" s="0" t="n">
        <f aca="false">G1848*H1848</f>
        <v>0.375</v>
      </c>
      <c r="T1848" s="0" t="n">
        <f aca="false">E1848*E1848</f>
        <v>0.25</v>
      </c>
      <c r="U1848" s="0" t="n">
        <f aca="false">F1848*F1848</f>
        <v>0</v>
      </c>
      <c r="V1848" s="0" t="n">
        <f aca="false">G1848*G1848</f>
        <v>0.25</v>
      </c>
      <c r="W1848" s="0" t="n">
        <f aca="false">H1848*H1848</f>
        <v>0.5625</v>
      </c>
      <c r="X1848" s="0" t="n">
        <f aca="false">SUMPRODUCT(I1848:W1848,_XtX!$B$96:$P$96)</f>
        <v>46.8930281432748</v>
      </c>
      <c r="Y1848" s="0" t="n">
        <f aca="false">SUMPRODUCT(MMULT(I1848:W1848,_XtX!$B$78:$P$92),I1848:W1848)</f>
        <v>0.21305052997076</v>
      </c>
      <c r="Z1848" s="0" t="n">
        <f aca="false">04_回帰ANOVA!$K$19*04_回帰ANOVA!$K$14*SQRT(1+Y1848)</f>
        <v>1.43561450835061</v>
      </c>
      <c r="AA1848" s="0" t="n">
        <f aca="false">X1848-Z1848</f>
        <v>45.4574136349242</v>
      </c>
      <c r="AB1848" s="0" t="n">
        <f aca="false">X1848+Z1848</f>
        <v>48.3286426516254</v>
      </c>
      <c r="AC1848" s="54" t="b">
        <f aca="false">AND(E1848&gt;=01_因子設定!$L$5-0.000000001,E1848&lt;=01_因子設定!$M$5+0.000000001,F1848&gt;=01_因子設定!$L$6-0.000000001,F1848&lt;=01_因子設定!$M$6+0.000000001,G1848&gt;=01_因子設定!$L$7-0.000000001,G1848&lt;=01_因子設定!$M$7+0.000000001,H1848&gt;=01_因子設定!$L$8-0.000000001,H1848&lt;=01_因子設定!$M$8+0.000000001,IF(01_因子設定!$B$20="Box-Behnken",E1848^2+F1848^2+G1848^2+H1848^2&lt;=2+0.000000001,TRUE()))</f>
        <v>1</v>
      </c>
      <c r="AD1848" s="55" t="n">
        <f aca="false">IF(AC1848,IF(01_因子設定!$B$13="最大化",AA1848-01_因子設定!$B$14,IF(01_因子設定!$B$13="最小化",01_因子設定!$B$15-AB1848,MIN(AA1848-01_因子設定!$B$14,01_因子設定!$B$15-AB1848))),-1E+030)</f>
        <v>-1.04258636507577</v>
      </c>
      <c r="AE1848" s="55" t="n">
        <f aca="false">IF(AC1848,IF(01_因子設定!$B$13="最大化",X1848,IF(01_因子設定!$B$13="最小化",-X1848,-ABS(X1848-01_因子設定!$B$16))),-1E+030)</f>
        <v>46.8930281432748</v>
      </c>
      <c r="AF1848" s="55" t="n">
        <f aca="false">AD1848+ROW()*0.000000001</f>
        <v>-1.04258451707577</v>
      </c>
      <c r="AG1848" s="55" t="n">
        <f aca="false">AE1848+ROW()*0.000000001</f>
        <v>46.8930299912748</v>
      </c>
    </row>
    <row r="1849" customFormat="false" ht="15" hidden="false" customHeight="false" outlineLevel="0" collapsed="false">
      <c r="A1849" s="0" t="n">
        <v>2</v>
      </c>
      <c r="B1849" s="0" t="n">
        <v>4</v>
      </c>
      <c r="C1849" s="0" t="n">
        <v>6</v>
      </c>
      <c r="D1849" s="0" t="n">
        <v>8</v>
      </c>
      <c r="E1849" s="0" t="n">
        <f aca="false">-1+A1849*0.25</f>
        <v>-0.5</v>
      </c>
      <c r="F1849" s="0" t="n">
        <f aca="false">-1+B1849*0.25</f>
        <v>0</v>
      </c>
      <c r="G1849" s="0" t="n">
        <f aca="false">-1+C1849*0.25</f>
        <v>0.5</v>
      </c>
      <c r="H1849" s="0" t="n">
        <f aca="false">-1+D1849*0.25</f>
        <v>1</v>
      </c>
      <c r="I1849" s="0" t="n">
        <f aca="false">1</f>
        <v>1</v>
      </c>
      <c r="J1849" s="0" t="n">
        <f aca="false">E1849</f>
        <v>-0.5</v>
      </c>
      <c r="K1849" s="0" t="n">
        <f aca="false">F1849</f>
        <v>0</v>
      </c>
      <c r="L1849" s="0" t="n">
        <f aca="false">G1849</f>
        <v>0.5</v>
      </c>
      <c r="M1849" s="0" t="n">
        <f aca="false">H1849</f>
        <v>1</v>
      </c>
      <c r="N1849" s="0" t="n">
        <f aca="false">E1849*F1849</f>
        <v>-0</v>
      </c>
      <c r="O1849" s="0" t="n">
        <f aca="false">E1849*G1849</f>
        <v>-0.25</v>
      </c>
      <c r="P1849" s="0" t="n">
        <f aca="false">E1849*H1849</f>
        <v>-0.5</v>
      </c>
      <c r="Q1849" s="0" t="n">
        <f aca="false">F1849*G1849</f>
        <v>0</v>
      </c>
      <c r="R1849" s="0" t="n">
        <f aca="false">F1849*H1849</f>
        <v>0</v>
      </c>
      <c r="S1849" s="0" t="n">
        <f aca="false">G1849*H1849</f>
        <v>0.5</v>
      </c>
      <c r="T1849" s="0" t="n">
        <f aca="false">E1849*E1849</f>
        <v>0.25</v>
      </c>
      <c r="U1849" s="0" t="n">
        <f aca="false">F1849*F1849</f>
        <v>0</v>
      </c>
      <c r="V1849" s="0" t="n">
        <f aca="false">G1849*G1849</f>
        <v>0.25</v>
      </c>
      <c r="W1849" s="0" t="n">
        <f aca="false">H1849*H1849</f>
        <v>1</v>
      </c>
      <c r="X1849" s="0" t="n">
        <f aca="false">SUMPRODUCT(I1849:W1849,_XtX!$B$96:$P$96)</f>
        <v>46.8474049707602</v>
      </c>
      <c r="Y1849" s="0" t="n">
        <f aca="false">SUMPRODUCT(MMULT(I1849:W1849,_XtX!$B$78:$P$92),I1849:W1849)</f>
        <v>0.441954495614035</v>
      </c>
      <c r="Z1849" s="0" t="n">
        <f aca="false">04_回帰ANOVA!$K$19*04_回帰ANOVA!$K$14*SQRT(1+Y1849)</f>
        <v>1.56521560968066</v>
      </c>
      <c r="AA1849" s="0" t="n">
        <f aca="false">X1849-Z1849</f>
        <v>45.2821893610796</v>
      </c>
      <c r="AB1849" s="0" t="n">
        <f aca="false">X1849+Z1849</f>
        <v>48.4126205804409</v>
      </c>
      <c r="AC1849" s="54" t="b">
        <f aca="false">AND(E1849&gt;=01_因子設定!$L$5-0.000000001,E1849&lt;=01_因子設定!$M$5+0.000000001,F1849&gt;=01_因子設定!$L$6-0.000000001,F1849&lt;=01_因子設定!$M$6+0.000000001,G1849&gt;=01_因子設定!$L$7-0.000000001,G1849&lt;=01_因子設定!$M$7+0.000000001,H1849&gt;=01_因子設定!$L$8-0.000000001,H1849&lt;=01_因子設定!$M$8+0.000000001,IF(01_因子設定!$B$20="Box-Behnken",E1849^2+F1849^2+G1849^2+H1849^2&lt;=2+0.000000001,TRUE()))</f>
        <v>1</v>
      </c>
      <c r="AD1849" s="55" t="n">
        <f aca="false">IF(AC1849,IF(01_因子設定!$B$13="最大化",AA1849-01_因子設定!$B$14,IF(01_因子設定!$B$13="最小化",01_因子設定!$B$15-AB1849,MIN(AA1849-01_因子設定!$B$14,01_因子設定!$B$15-AB1849))),-1E+030)</f>
        <v>-1.21781063892043</v>
      </c>
      <c r="AE1849" s="55" t="n">
        <f aca="false">IF(AC1849,IF(01_因子設定!$B$13="最大化",X1849,IF(01_因子設定!$B$13="最小化",-X1849,-ABS(X1849-01_因子設定!$B$16))),-1E+030)</f>
        <v>46.8474049707602</v>
      </c>
      <c r="AF1849" s="55" t="n">
        <f aca="false">AD1849+ROW()*0.000000001</f>
        <v>-1.21780878992043</v>
      </c>
      <c r="AG1849" s="55" t="n">
        <f aca="false">AE1849+ROW()*0.000000001</f>
        <v>46.8474068197602</v>
      </c>
    </row>
    <row r="1850" customFormat="false" ht="15" hidden="false" customHeight="false" outlineLevel="0" collapsed="false">
      <c r="A1850" s="0" t="n">
        <v>2</v>
      </c>
      <c r="B1850" s="0" t="n">
        <v>4</v>
      </c>
      <c r="C1850" s="0" t="n">
        <v>7</v>
      </c>
      <c r="D1850" s="0" t="n">
        <v>0</v>
      </c>
      <c r="E1850" s="0" t="n">
        <f aca="false">-1+A1850*0.25</f>
        <v>-0.5</v>
      </c>
      <c r="F1850" s="0" t="n">
        <f aca="false">-1+B1850*0.25</f>
        <v>0</v>
      </c>
      <c r="G1850" s="0" t="n">
        <f aca="false">-1+C1850*0.25</f>
        <v>0.75</v>
      </c>
      <c r="H1850" s="0" t="n">
        <f aca="false">-1+D1850*0.25</f>
        <v>-1</v>
      </c>
      <c r="I1850" s="0" t="n">
        <f aca="false">1</f>
        <v>1</v>
      </c>
      <c r="J1850" s="0" t="n">
        <f aca="false">E1850</f>
        <v>-0.5</v>
      </c>
      <c r="K1850" s="0" t="n">
        <f aca="false">F1850</f>
        <v>0</v>
      </c>
      <c r="L1850" s="0" t="n">
        <f aca="false">G1850</f>
        <v>0.75</v>
      </c>
      <c r="M1850" s="0" t="n">
        <f aca="false">H1850</f>
        <v>-1</v>
      </c>
      <c r="N1850" s="0" t="n">
        <f aca="false">E1850*F1850</f>
        <v>-0</v>
      </c>
      <c r="O1850" s="0" t="n">
        <f aca="false">E1850*G1850</f>
        <v>-0.375</v>
      </c>
      <c r="P1850" s="0" t="n">
        <f aca="false">E1850*H1850</f>
        <v>0.5</v>
      </c>
      <c r="Q1850" s="0" t="n">
        <f aca="false">F1850*G1850</f>
        <v>0</v>
      </c>
      <c r="R1850" s="0" t="n">
        <f aca="false">F1850*H1850</f>
        <v>-0</v>
      </c>
      <c r="S1850" s="0" t="n">
        <f aca="false">G1850*H1850</f>
        <v>-0.75</v>
      </c>
      <c r="T1850" s="0" t="n">
        <f aca="false">E1850*E1850</f>
        <v>0.25</v>
      </c>
      <c r="U1850" s="0" t="n">
        <f aca="false">F1850*F1850</f>
        <v>0</v>
      </c>
      <c r="V1850" s="0" t="n">
        <f aca="false">G1850*G1850</f>
        <v>0.5625</v>
      </c>
      <c r="W1850" s="0" t="n">
        <f aca="false">H1850*H1850</f>
        <v>1</v>
      </c>
      <c r="X1850" s="0" t="n">
        <f aca="false">SUMPRODUCT(I1850:W1850,_XtX!$B$96:$P$96)</f>
        <v>45.9157346491228</v>
      </c>
      <c r="Y1850" s="0" t="n">
        <f aca="false">SUMPRODUCT(MMULT(I1850:W1850,_XtX!$B$78:$P$92),I1850:W1850)</f>
        <v>0.476191292032164</v>
      </c>
      <c r="Z1850" s="0" t="n">
        <f aca="false">04_回帰ANOVA!$K$19*04_回帰ANOVA!$K$14*SQRT(1+Y1850)</f>
        <v>1.58368831471718</v>
      </c>
      <c r="AA1850" s="0" t="n">
        <f aca="false">X1850-Z1850</f>
        <v>44.3320463344056</v>
      </c>
      <c r="AB1850" s="0" t="n">
        <f aca="false">X1850+Z1850</f>
        <v>47.49942296384</v>
      </c>
      <c r="AC1850" s="54" t="b">
        <f aca="false">AND(E1850&gt;=01_因子設定!$L$5-0.000000001,E1850&lt;=01_因子設定!$M$5+0.000000001,F1850&gt;=01_因子設定!$L$6-0.000000001,F1850&lt;=01_因子設定!$M$6+0.000000001,G1850&gt;=01_因子設定!$L$7-0.000000001,G1850&lt;=01_因子設定!$M$7+0.000000001,H1850&gt;=01_因子設定!$L$8-0.000000001,H1850&lt;=01_因子設定!$M$8+0.000000001,IF(01_因子設定!$B$20="Box-Behnken",E1850^2+F1850^2+G1850^2+H1850^2&lt;=2+0.000000001,TRUE()))</f>
        <v>1</v>
      </c>
      <c r="AD1850" s="55" t="n">
        <f aca="false">IF(AC1850,IF(01_因子設定!$B$13="最大化",AA1850-01_因子設定!$B$14,IF(01_因子設定!$B$13="最小化",01_因子設定!$B$15-AB1850,MIN(AA1850-01_因子設定!$B$14,01_因子設定!$B$15-AB1850))),-1E+030)</f>
        <v>-2.16795366559438</v>
      </c>
      <c r="AE1850" s="55" t="n">
        <f aca="false">IF(AC1850,IF(01_因子設定!$B$13="最大化",X1850,IF(01_因子設定!$B$13="最小化",-X1850,-ABS(X1850-01_因子設定!$B$16))),-1E+030)</f>
        <v>45.9157346491228</v>
      </c>
      <c r="AF1850" s="55" t="n">
        <f aca="false">AD1850+ROW()*0.000000001</f>
        <v>-2.16795181559438</v>
      </c>
      <c r="AG1850" s="55" t="n">
        <f aca="false">AE1850+ROW()*0.000000001</f>
        <v>45.9157364991228</v>
      </c>
    </row>
    <row r="1851" customFormat="false" ht="15" hidden="false" customHeight="false" outlineLevel="0" collapsed="false">
      <c r="A1851" s="0" t="n">
        <v>2</v>
      </c>
      <c r="B1851" s="0" t="n">
        <v>4</v>
      </c>
      <c r="C1851" s="0" t="n">
        <v>7</v>
      </c>
      <c r="D1851" s="0" t="n">
        <v>1</v>
      </c>
      <c r="E1851" s="0" t="n">
        <f aca="false">-1+A1851*0.25</f>
        <v>-0.5</v>
      </c>
      <c r="F1851" s="0" t="n">
        <f aca="false">-1+B1851*0.25</f>
        <v>0</v>
      </c>
      <c r="G1851" s="0" t="n">
        <f aca="false">-1+C1851*0.25</f>
        <v>0.75</v>
      </c>
      <c r="H1851" s="0" t="n">
        <f aca="false">-1+D1851*0.25</f>
        <v>-0.75</v>
      </c>
      <c r="I1851" s="0" t="n">
        <f aca="false">1</f>
        <v>1</v>
      </c>
      <c r="J1851" s="0" t="n">
        <f aca="false">E1851</f>
        <v>-0.5</v>
      </c>
      <c r="K1851" s="0" t="n">
        <f aca="false">F1851</f>
        <v>0</v>
      </c>
      <c r="L1851" s="0" t="n">
        <f aca="false">G1851</f>
        <v>0.75</v>
      </c>
      <c r="M1851" s="0" t="n">
        <f aca="false">H1851</f>
        <v>-0.75</v>
      </c>
      <c r="N1851" s="0" t="n">
        <f aca="false">E1851*F1851</f>
        <v>-0</v>
      </c>
      <c r="O1851" s="0" t="n">
        <f aca="false">E1851*G1851</f>
        <v>-0.375</v>
      </c>
      <c r="P1851" s="0" t="n">
        <f aca="false">E1851*H1851</f>
        <v>0.375</v>
      </c>
      <c r="Q1851" s="0" t="n">
        <f aca="false">F1851*G1851</f>
        <v>0</v>
      </c>
      <c r="R1851" s="0" t="n">
        <f aca="false">F1851*H1851</f>
        <v>-0</v>
      </c>
      <c r="S1851" s="0" t="n">
        <f aca="false">G1851*H1851</f>
        <v>-0.5625</v>
      </c>
      <c r="T1851" s="0" t="n">
        <f aca="false">E1851*E1851</f>
        <v>0.25</v>
      </c>
      <c r="U1851" s="0" t="n">
        <f aca="false">F1851*F1851</f>
        <v>0</v>
      </c>
      <c r="V1851" s="0" t="n">
        <f aca="false">G1851*G1851</f>
        <v>0.5625</v>
      </c>
      <c r="W1851" s="0" t="n">
        <f aca="false">H1851*H1851</f>
        <v>0.5625</v>
      </c>
      <c r="X1851" s="0" t="n">
        <f aca="false">SUMPRODUCT(I1851:W1851,_XtX!$B$96:$P$96)</f>
        <v>46.2227293494152</v>
      </c>
      <c r="Y1851" s="0" t="n">
        <f aca="false">SUMPRODUCT(MMULT(I1851:W1851,_XtX!$B$78:$P$92),I1851:W1851)</f>
        <v>0.269923873812135</v>
      </c>
      <c r="Z1851" s="0" t="n">
        <f aca="false">04_回帰ANOVA!$K$19*04_回帰ANOVA!$K$14*SQRT(1+Y1851)</f>
        <v>1.46888310825501</v>
      </c>
      <c r="AA1851" s="0" t="n">
        <f aca="false">X1851-Z1851</f>
        <v>44.7538462411602</v>
      </c>
      <c r="AB1851" s="0" t="n">
        <f aca="false">X1851+Z1851</f>
        <v>47.6916124576702</v>
      </c>
      <c r="AC1851" s="54" t="b">
        <f aca="false">AND(E1851&gt;=01_因子設定!$L$5-0.000000001,E1851&lt;=01_因子設定!$M$5+0.000000001,F1851&gt;=01_因子設定!$L$6-0.000000001,F1851&lt;=01_因子設定!$M$6+0.000000001,G1851&gt;=01_因子設定!$L$7-0.000000001,G1851&lt;=01_因子設定!$M$7+0.000000001,H1851&gt;=01_因子設定!$L$8-0.000000001,H1851&lt;=01_因子設定!$M$8+0.000000001,IF(01_因子設定!$B$20="Box-Behnken",E1851^2+F1851^2+G1851^2+H1851^2&lt;=2+0.000000001,TRUE()))</f>
        <v>1</v>
      </c>
      <c r="AD1851" s="55" t="n">
        <f aca="false">IF(AC1851,IF(01_因子設定!$B$13="最大化",AA1851-01_因子設定!$B$14,IF(01_因子設定!$B$13="最小化",01_因子設定!$B$15-AB1851,MIN(AA1851-01_因子設定!$B$14,01_因子設定!$B$15-AB1851))),-1E+030)</f>
        <v>-1.74615375883982</v>
      </c>
      <c r="AE1851" s="55" t="n">
        <f aca="false">IF(AC1851,IF(01_因子設定!$B$13="最大化",X1851,IF(01_因子設定!$B$13="最小化",-X1851,-ABS(X1851-01_因子設定!$B$16))),-1E+030)</f>
        <v>46.2227293494152</v>
      </c>
      <c r="AF1851" s="55" t="n">
        <f aca="false">AD1851+ROW()*0.000000001</f>
        <v>-1.74615190783982</v>
      </c>
      <c r="AG1851" s="55" t="n">
        <f aca="false">AE1851+ROW()*0.000000001</f>
        <v>46.2227312004152</v>
      </c>
    </row>
    <row r="1852" customFormat="false" ht="15" hidden="false" customHeight="false" outlineLevel="0" collapsed="false">
      <c r="A1852" s="0" t="n">
        <v>2</v>
      </c>
      <c r="B1852" s="0" t="n">
        <v>4</v>
      </c>
      <c r="C1852" s="0" t="n">
        <v>7</v>
      </c>
      <c r="D1852" s="0" t="n">
        <v>2</v>
      </c>
      <c r="E1852" s="0" t="n">
        <f aca="false">-1+A1852*0.25</f>
        <v>-0.5</v>
      </c>
      <c r="F1852" s="0" t="n">
        <f aca="false">-1+B1852*0.25</f>
        <v>0</v>
      </c>
      <c r="G1852" s="0" t="n">
        <f aca="false">-1+C1852*0.25</f>
        <v>0.75</v>
      </c>
      <c r="H1852" s="0" t="n">
        <f aca="false">-1+D1852*0.25</f>
        <v>-0.5</v>
      </c>
      <c r="I1852" s="0" t="n">
        <f aca="false">1</f>
        <v>1</v>
      </c>
      <c r="J1852" s="0" t="n">
        <f aca="false">E1852</f>
        <v>-0.5</v>
      </c>
      <c r="K1852" s="0" t="n">
        <f aca="false">F1852</f>
        <v>0</v>
      </c>
      <c r="L1852" s="0" t="n">
        <f aca="false">G1852</f>
        <v>0.75</v>
      </c>
      <c r="M1852" s="0" t="n">
        <f aca="false">H1852</f>
        <v>-0.5</v>
      </c>
      <c r="N1852" s="0" t="n">
        <f aca="false">E1852*F1852</f>
        <v>-0</v>
      </c>
      <c r="O1852" s="0" t="n">
        <f aca="false">E1852*G1852</f>
        <v>-0.375</v>
      </c>
      <c r="P1852" s="0" t="n">
        <f aca="false">E1852*H1852</f>
        <v>0.25</v>
      </c>
      <c r="Q1852" s="0" t="n">
        <f aca="false">F1852*G1852</f>
        <v>0</v>
      </c>
      <c r="R1852" s="0" t="n">
        <f aca="false">F1852*H1852</f>
        <v>-0</v>
      </c>
      <c r="S1852" s="0" t="n">
        <f aca="false">G1852*H1852</f>
        <v>-0.375</v>
      </c>
      <c r="T1852" s="0" t="n">
        <f aca="false">E1852*E1852</f>
        <v>0.25</v>
      </c>
      <c r="U1852" s="0" t="n">
        <f aca="false">F1852*F1852</f>
        <v>0</v>
      </c>
      <c r="V1852" s="0" t="n">
        <f aca="false">G1852*G1852</f>
        <v>0.5625</v>
      </c>
      <c r="W1852" s="0" t="n">
        <f aca="false">H1852*H1852</f>
        <v>0.25</v>
      </c>
      <c r="X1852" s="0" t="n">
        <f aca="false">SUMPRODUCT(I1852:W1852,_XtX!$B$96:$P$96)</f>
        <v>46.4819170321637</v>
      </c>
      <c r="Y1852" s="0" t="n">
        <f aca="false">SUMPRODUCT(MMULT(I1852:W1852,_XtX!$B$78:$P$92),I1852:W1852)</f>
        <v>0.21305052997076</v>
      </c>
      <c r="Z1852" s="0" t="n">
        <f aca="false">04_回帰ANOVA!$K$19*04_回帰ANOVA!$K$14*SQRT(1+Y1852)</f>
        <v>1.43561450835061</v>
      </c>
      <c r="AA1852" s="0" t="n">
        <f aca="false">X1852-Z1852</f>
        <v>45.0463025238131</v>
      </c>
      <c r="AB1852" s="0" t="n">
        <f aca="false">X1852+Z1852</f>
        <v>47.9175315405143</v>
      </c>
      <c r="AC1852" s="54" t="b">
        <f aca="false">AND(E1852&gt;=01_因子設定!$L$5-0.000000001,E1852&lt;=01_因子設定!$M$5+0.000000001,F1852&gt;=01_因子設定!$L$6-0.000000001,F1852&lt;=01_因子設定!$M$6+0.000000001,G1852&gt;=01_因子設定!$L$7-0.000000001,G1852&lt;=01_因子設定!$M$7+0.000000001,H1852&gt;=01_因子設定!$L$8-0.000000001,H1852&lt;=01_因子設定!$M$8+0.000000001,IF(01_因子設定!$B$20="Box-Behnken",E1852^2+F1852^2+G1852^2+H1852^2&lt;=2+0.000000001,TRUE()))</f>
        <v>1</v>
      </c>
      <c r="AD1852" s="55" t="n">
        <f aca="false">IF(AC1852,IF(01_因子設定!$B$13="最大化",AA1852-01_因子設定!$B$14,IF(01_因子設定!$B$13="最小化",01_因子設定!$B$15-AB1852,MIN(AA1852-01_因子設定!$B$14,01_因子設定!$B$15-AB1852))),-1E+030)</f>
        <v>-1.45369747618689</v>
      </c>
      <c r="AE1852" s="55" t="n">
        <f aca="false">IF(AC1852,IF(01_因子設定!$B$13="最大化",X1852,IF(01_因子設定!$B$13="最小化",-X1852,-ABS(X1852-01_因子設定!$B$16))),-1E+030)</f>
        <v>46.4819170321637</v>
      </c>
      <c r="AF1852" s="55" t="n">
        <f aca="false">AD1852+ROW()*0.000000001</f>
        <v>-1.45369562418689</v>
      </c>
      <c r="AG1852" s="55" t="n">
        <f aca="false">AE1852+ROW()*0.000000001</f>
        <v>46.4819188841637</v>
      </c>
    </row>
    <row r="1853" customFormat="false" ht="15" hidden="false" customHeight="false" outlineLevel="0" collapsed="false">
      <c r="A1853" s="0" t="n">
        <v>2</v>
      </c>
      <c r="B1853" s="0" t="n">
        <v>4</v>
      </c>
      <c r="C1853" s="0" t="n">
        <v>7</v>
      </c>
      <c r="D1853" s="0" t="n">
        <v>3</v>
      </c>
      <c r="E1853" s="0" t="n">
        <f aca="false">-1+A1853*0.25</f>
        <v>-0.5</v>
      </c>
      <c r="F1853" s="0" t="n">
        <f aca="false">-1+B1853*0.25</f>
        <v>0</v>
      </c>
      <c r="G1853" s="0" t="n">
        <f aca="false">-1+C1853*0.25</f>
        <v>0.75</v>
      </c>
      <c r="H1853" s="0" t="n">
        <f aca="false">-1+D1853*0.25</f>
        <v>-0.25</v>
      </c>
      <c r="I1853" s="0" t="n">
        <f aca="false">1</f>
        <v>1</v>
      </c>
      <c r="J1853" s="0" t="n">
        <f aca="false">E1853</f>
        <v>-0.5</v>
      </c>
      <c r="K1853" s="0" t="n">
        <f aca="false">F1853</f>
        <v>0</v>
      </c>
      <c r="L1853" s="0" t="n">
        <f aca="false">G1853</f>
        <v>0.75</v>
      </c>
      <c r="M1853" s="0" t="n">
        <f aca="false">H1853</f>
        <v>-0.25</v>
      </c>
      <c r="N1853" s="0" t="n">
        <f aca="false">E1853*F1853</f>
        <v>-0</v>
      </c>
      <c r="O1853" s="0" t="n">
        <f aca="false">E1853*G1853</f>
        <v>-0.375</v>
      </c>
      <c r="P1853" s="0" t="n">
        <f aca="false">E1853*H1853</f>
        <v>0.125</v>
      </c>
      <c r="Q1853" s="0" t="n">
        <f aca="false">F1853*G1853</f>
        <v>0</v>
      </c>
      <c r="R1853" s="0" t="n">
        <f aca="false">F1853*H1853</f>
        <v>-0</v>
      </c>
      <c r="S1853" s="0" t="n">
        <f aca="false">G1853*H1853</f>
        <v>-0.1875</v>
      </c>
      <c r="T1853" s="0" t="n">
        <f aca="false">E1853*E1853</f>
        <v>0.25</v>
      </c>
      <c r="U1853" s="0" t="n">
        <f aca="false">F1853*F1853</f>
        <v>0</v>
      </c>
      <c r="V1853" s="0" t="n">
        <f aca="false">G1853*G1853</f>
        <v>0.5625</v>
      </c>
      <c r="W1853" s="0" t="n">
        <f aca="false">H1853*H1853</f>
        <v>0.0625</v>
      </c>
      <c r="X1853" s="0" t="n">
        <f aca="false">SUMPRODUCT(I1853:W1853,_XtX!$B$96:$P$96)</f>
        <v>46.6932976973684</v>
      </c>
      <c r="Y1853" s="0" t="n">
        <f aca="false">SUMPRODUCT(MMULT(I1853:W1853,_XtX!$B$78:$P$92),I1853:W1853)</f>
        <v>0.215110734192252</v>
      </c>
      <c r="Z1853" s="0" t="n">
        <f aca="false">04_回帰ANOVA!$K$19*04_回帰ANOVA!$K$14*SQRT(1+Y1853)</f>
        <v>1.43683309086864</v>
      </c>
      <c r="AA1853" s="0" t="n">
        <f aca="false">X1853-Z1853</f>
        <v>45.2564646064997</v>
      </c>
      <c r="AB1853" s="0" t="n">
        <f aca="false">X1853+Z1853</f>
        <v>48.130130788237</v>
      </c>
      <c r="AC1853" s="54" t="b">
        <f aca="false">AND(E1853&gt;=01_因子設定!$L$5-0.000000001,E1853&lt;=01_因子設定!$M$5+0.000000001,F1853&gt;=01_因子設定!$L$6-0.000000001,F1853&lt;=01_因子設定!$M$6+0.000000001,G1853&gt;=01_因子設定!$L$7-0.000000001,G1853&lt;=01_因子設定!$M$7+0.000000001,H1853&gt;=01_因子設定!$L$8-0.000000001,H1853&lt;=01_因子設定!$M$8+0.000000001,IF(01_因子設定!$B$20="Box-Behnken",E1853^2+F1853^2+G1853^2+H1853^2&lt;=2+0.000000001,TRUE()))</f>
        <v>1</v>
      </c>
      <c r="AD1853" s="55" t="n">
        <f aca="false">IF(AC1853,IF(01_因子設定!$B$13="最大化",AA1853-01_因子設定!$B$14,IF(01_因子設定!$B$13="最小化",01_因子設定!$B$15-AB1853,MIN(AA1853-01_因子設定!$B$14,01_因子設定!$B$15-AB1853))),-1E+030)</f>
        <v>-1.24353539350026</v>
      </c>
      <c r="AE1853" s="55" t="n">
        <f aca="false">IF(AC1853,IF(01_因子設定!$B$13="最大化",X1853,IF(01_因子設定!$B$13="最小化",-X1853,-ABS(X1853-01_因子設定!$B$16))),-1E+030)</f>
        <v>46.6932976973684</v>
      </c>
      <c r="AF1853" s="55" t="n">
        <f aca="false">AD1853+ROW()*0.000000001</f>
        <v>-1.24353354050026</v>
      </c>
      <c r="AG1853" s="55" t="n">
        <f aca="false">AE1853+ROW()*0.000000001</f>
        <v>46.6932995503684</v>
      </c>
    </row>
    <row r="1854" customFormat="false" ht="15" hidden="false" customHeight="false" outlineLevel="0" collapsed="false">
      <c r="A1854" s="0" t="n">
        <v>2</v>
      </c>
      <c r="B1854" s="0" t="n">
        <v>4</v>
      </c>
      <c r="C1854" s="0" t="n">
        <v>7</v>
      </c>
      <c r="D1854" s="0" t="n">
        <v>4</v>
      </c>
      <c r="E1854" s="0" t="n">
        <f aca="false">-1+A1854*0.25</f>
        <v>-0.5</v>
      </c>
      <c r="F1854" s="0" t="n">
        <f aca="false">-1+B1854*0.25</f>
        <v>0</v>
      </c>
      <c r="G1854" s="0" t="n">
        <f aca="false">-1+C1854*0.25</f>
        <v>0.75</v>
      </c>
      <c r="H1854" s="0" t="n">
        <f aca="false">-1+D1854*0.25</f>
        <v>0</v>
      </c>
      <c r="I1854" s="0" t="n">
        <f aca="false">1</f>
        <v>1</v>
      </c>
      <c r="J1854" s="0" t="n">
        <f aca="false">E1854</f>
        <v>-0.5</v>
      </c>
      <c r="K1854" s="0" t="n">
        <f aca="false">F1854</f>
        <v>0</v>
      </c>
      <c r="L1854" s="0" t="n">
        <f aca="false">G1854</f>
        <v>0.75</v>
      </c>
      <c r="M1854" s="0" t="n">
        <f aca="false">H1854</f>
        <v>0</v>
      </c>
      <c r="N1854" s="0" t="n">
        <f aca="false">E1854*F1854</f>
        <v>-0</v>
      </c>
      <c r="O1854" s="0" t="n">
        <f aca="false">E1854*G1854</f>
        <v>-0.375</v>
      </c>
      <c r="P1854" s="0" t="n">
        <f aca="false">E1854*H1854</f>
        <v>-0</v>
      </c>
      <c r="Q1854" s="0" t="n">
        <f aca="false">F1854*G1854</f>
        <v>0</v>
      </c>
      <c r="R1854" s="0" t="n">
        <f aca="false">F1854*H1854</f>
        <v>0</v>
      </c>
      <c r="S1854" s="0" t="n">
        <f aca="false">G1854*H1854</f>
        <v>0</v>
      </c>
      <c r="T1854" s="0" t="n">
        <f aca="false">E1854*E1854</f>
        <v>0.25</v>
      </c>
      <c r="U1854" s="0" t="n">
        <f aca="false">F1854*F1854</f>
        <v>0</v>
      </c>
      <c r="V1854" s="0" t="n">
        <f aca="false">G1854*G1854</f>
        <v>0.5625</v>
      </c>
      <c r="W1854" s="0" t="n">
        <f aca="false">H1854*H1854</f>
        <v>0</v>
      </c>
      <c r="X1854" s="0" t="n">
        <f aca="false">SUMPRODUCT(I1854:W1854,_XtX!$B$96:$P$96)</f>
        <v>46.8568713450292</v>
      </c>
      <c r="Y1854" s="0" t="n">
        <f aca="false">SUMPRODUCT(MMULT(I1854:W1854,_XtX!$B$78:$P$92),I1854:W1854)</f>
        <v>0.221828170687135</v>
      </c>
      <c r="Z1854" s="0" t="n">
        <f aca="false">04_回帰ANOVA!$K$19*04_回帰ANOVA!$K$14*SQRT(1+Y1854)</f>
        <v>1.44079920361664</v>
      </c>
      <c r="AA1854" s="0" t="n">
        <f aca="false">X1854-Z1854</f>
        <v>45.4160721414126</v>
      </c>
      <c r="AB1854" s="0" t="n">
        <f aca="false">X1854+Z1854</f>
        <v>48.2976705486458</v>
      </c>
      <c r="AC1854" s="54" t="b">
        <f aca="false">AND(E1854&gt;=01_因子設定!$L$5-0.000000001,E1854&lt;=01_因子設定!$M$5+0.000000001,F1854&gt;=01_因子設定!$L$6-0.000000001,F1854&lt;=01_因子設定!$M$6+0.000000001,G1854&gt;=01_因子設定!$L$7-0.000000001,G1854&lt;=01_因子設定!$M$7+0.000000001,H1854&gt;=01_因子設定!$L$8-0.000000001,H1854&lt;=01_因子設定!$M$8+0.000000001,IF(01_因子設定!$B$20="Box-Behnken",E1854^2+F1854^2+G1854^2+H1854^2&lt;=2+0.000000001,TRUE()))</f>
        <v>1</v>
      </c>
      <c r="AD1854" s="55" t="n">
        <f aca="false">IF(AC1854,IF(01_因子設定!$B$13="最大化",AA1854-01_因子設定!$B$14,IF(01_因子設定!$B$13="最小化",01_因子設定!$B$15-AB1854,MIN(AA1854-01_因子設定!$B$14,01_因子設定!$B$15-AB1854))),-1E+030)</f>
        <v>-1.08392785858744</v>
      </c>
      <c r="AE1854" s="55" t="n">
        <f aca="false">IF(AC1854,IF(01_因子設定!$B$13="最大化",X1854,IF(01_因子設定!$B$13="最小化",-X1854,-ABS(X1854-01_因子設定!$B$16))),-1E+030)</f>
        <v>46.8568713450292</v>
      </c>
      <c r="AF1854" s="55" t="n">
        <f aca="false">AD1854+ROW()*0.000000001</f>
        <v>-1.08392600458744</v>
      </c>
      <c r="AG1854" s="55" t="n">
        <f aca="false">AE1854+ROW()*0.000000001</f>
        <v>46.8568731990292</v>
      </c>
    </row>
    <row r="1855" customFormat="false" ht="15" hidden="false" customHeight="false" outlineLevel="0" collapsed="false">
      <c r="A1855" s="0" t="n">
        <v>2</v>
      </c>
      <c r="B1855" s="0" t="n">
        <v>4</v>
      </c>
      <c r="C1855" s="0" t="n">
        <v>7</v>
      </c>
      <c r="D1855" s="0" t="n">
        <v>5</v>
      </c>
      <c r="E1855" s="0" t="n">
        <f aca="false">-1+A1855*0.25</f>
        <v>-0.5</v>
      </c>
      <c r="F1855" s="0" t="n">
        <f aca="false">-1+B1855*0.25</f>
        <v>0</v>
      </c>
      <c r="G1855" s="0" t="n">
        <f aca="false">-1+C1855*0.25</f>
        <v>0.75</v>
      </c>
      <c r="H1855" s="0" t="n">
        <f aca="false">-1+D1855*0.25</f>
        <v>0.25</v>
      </c>
      <c r="I1855" s="0" t="n">
        <f aca="false">1</f>
        <v>1</v>
      </c>
      <c r="J1855" s="0" t="n">
        <f aca="false">E1855</f>
        <v>-0.5</v>
      </c>
      <c r="K1855" s="0" t="n">
        <f aca="false">F1855</f>
        <v>0</v>
      </c>
      <c r="L1855" s="0" t="n">
        <f aca="false">G1855</f>
        <v>0.75</v>
      </c>
      <c r="M1855" s="0" t="n">
        <f aca="false">H1855</f>
        <v>0.25</v>
      </c>
      <c r="N1855" s="0" t="n">
        <f aca="false">E1855*F1855</f>
        <v>-0</v>
      </c>
      <c r="O1855" s="0" t="n">
        <f aca="false">E1855*G1855</f>
        <v>-0.375</v>
      </c>
      <c r="P1855" s="0" t="n">
        <f aca="false">E1855*H1855</f>
        <v>-0.125</v>
      </c>
      <c r="Q1855" s="0" t="n">
        <f aca="false">F1855*G1855</f>
        <v>0</v>
      </c>
      <c r="R1855" s="0" t="n">
        <f aca="false">F1855*H1855</f>
        <v>0</v>
      </c>
      <c r="S1855" s="0" t="n">
        <f aca="false">G1855*H1855</f>
        <v>0.1875</v>
      </c>
      <c r="T1855" s="0" t="n">
        <f aca="false">E1855*E1855</f>
        <v>0.25</v>
      </c>
      <c r="U1855" s="0" t="n">
        <f aca="false">F1855*F1855</f>
        <v>0</v>
      </c>
      <c r="V1855" s="0" t="n">
        <f aca="false">G1855*G1855</f>
        <v>0.5625</v>
      </c>
      <c r="W1855" s="0" t="n">
        <f aca="false">H1855*H1855</f>
        <v>0.0625</v>
      </c>
      <c r="X1855" s="0" t="n">
        <f aca="false">SUMPRODUCT(I1855:W1855,_XtX!$B$96:$P$96)</f>
        <v>46.9726379751462</v>
      </c>
      <c r="Y1855" s="0" t="n">
        <f aca="false">SUMPRODUCT(MMULT(I1855:W1855,_XtX!$B$78:$P$92),I1855:W1855)</f>
        <v>0.215110734192252</v>
      </c>
      <c r="Z1855" s="0" t="n">
        <f aca="false">04_回帰ANOVA!$K$19*04_回帰ANOVA!$K$14*SQRT(1+Y1855)</f>
        <v>1.43683309086864</v>
      </c>
      <c r="AA1855" s="0" t="n">
        <f aca="false">X1855-Z1855</f>
        <v>45.5358048842775</v>
      </c>
      <c r="AB1855" s="0" t="n">
        <f aca="false">X1855+Z1855</f>
        <v>48.4094710660148</v>
      </c>
      <c r="AC1855" s="54" t="b">
        <f aca="false">AND(E1855&gt;=01_因子設定!$L$5-0.000000001,E1855&lt;=01_因子設定!$M$5+0.000000001,F1855&gt;=01_因子設定!$L$6-0.000000001,F1855&lt;=01_因子設定!$M$6+0.000000001,G1855&gt;=01_因子設定!$L$7-0.000000001,G1855&lt;=01_因子設定!$M$7+0.000000001,H1855&gt;=01_因子設定!$L$8-0.000000001,H1855&lt;=01_因子設定!$M$8+0.000000001,IF(01_因子設定!$B$20="Box-Behnken",E1855^2+F1855^2+G1855^2+H1855^2&lt;=2+0.000000001,TRUE()))</f>
        <v>1</v>
      </c>
      <c r="AD1855" s="55" t="n">
        <f aca="false">IF(AC1855,IF(01_因子設定!$B$13="最大化",AA1855-01_因子設定!$B$14,IF(01_因子設定!$B$13="最小化",01_因子設定!$B$15-AB1855,MIN(AA1855-01_因子設定!$B$14,01_因子設定!$B$15-AB1855))),-1E+030)</f>
        <v>-0.964195115722482</v>
      </c>
      <c r="AE1855" s="55" t="n">
        <f aca="false">IF(AC1855,IF(01_因子設定!$B$13="最大化",X1855,IF(01_因子設定!$B$13="最小化",-X1855,-ABS(X1855-01_因子設定!$B$16))),-1E+030)</f>
        <v>46.9726379751462</v>
      </c>
      <c r="AF1855" s="55" t="n">
        <f aca="false">AD1855+ROW()*0.000000001</f>
        <v>-0.964193260722482</v>
      </c>
      <c r="AG1855" s="55" t="n">
        <f aca="false">AE1855+ROW()*0.000000001</f>
        <v>46.9726398301462</v>
      </c>
    </row>
    <row r="1856" customFormat="false" ht="15" hidden="false" customHeight="false" outlineLevel="0" collapsed="false">
      <c r="A1856" s="0" t="n">
        <v>2</v>
      </c>
      <c r="B1856" s="0" t="n">
        <v>4</v>
      </c>
      <c r="C1856" s="0" t="n">
        <v>7</v>
      </c>
      <c r="D1856" s="0" t="n">
        <v>6</v>
      </c>
      <c r="E1856" s="0" t="n">
        <f aca="false">-1+A1856*0.25</f>
        <v>-0.5</v>
      </c>
      <c r="F1856" s="0" t="n">
        <f aca="false">-1+B1856*0.25</f>
        <v>0</v>
      </c>
      <c r="G1856" s="0" t="n">
        <f aca="false">-1+C1856*0.25</f>
        <v>0.75</v>
      </c>
      <c r="H1856" s="0" t="n">
        <f aca="false">-1+D1856*0.25</f>
        <v>0.5</v>
      </c>
      <c r="I1856" s="0" t="n">
        <f aca="false">1</f>
        <v>1</v>
      </c>
      <c r="J1856" s="0" t="n">
        <f aca="false">E1856</f>
        <v>-0.5</v>
      </c>
      <c r="K1856" s="0" t="n">
        <f aca="false">F1856</f>
        <v>0</v>
      </c>
      <c r="L1856" s="0" t="n">
        <f aca="false">G1856</f>
        <v>0.75</v>
      </c>
      <c r="M1856" s="0" t="n">
        <f aca="false">H1856</f>
        <v>0.5</v>
      </c>
      <c r="N1856" s="0" t="n">
        <f aca="false">E1856*F1856</f>
        <v>-0</v>
      </c>
      <c r="O1856" s="0" t="n">
        <f aca="false">E1856*G1856</f>
        <v>-0.375</v>
      </c>
      <c r="P1856" s="0" t="n">
        <f aca="false">E1856*H1856</f>
        <v>-0.25</v>
      </c>
      <c r="Q1856" s="0" t="n">
        <f aca="false">F1856*G1856</f>
        <v>0</v>
      </c>
      <c r="R1856" s="0" t="n">
        <f aca="false">F1856*H1856</f>
        <v>0</v>
      </c>
      <c r="S1856" s="0" t="n">
        <f aca="false">G1856*H1856</f>
        <v>0.375</v>
      </c>
      <c r="T1856" s="0" t="n">
        <f aca="false">E1856*E1856</f>
        <v>0.25</v>
      </c>
      <c r="U1856" s="0" t="n">
        <f aca="false">F1856*F1856</f>
        <v>0</v>
      </c>
      <c r="V1856" s="0" t="n">
        <f aca="false">G1856*G1856</f>
        <v>0.5625</v>
      </c>
      <c r="W1856" s="0" t="n">
        <f aca="false">H1856*H1856</f>
        <v>0.25</v>
      </c>
      <c r="X1856" s="0" t="n">
        <f aca="false">SUMPRODUCT(I1856:W1856,_XtX!$B$96:$P$96)</f>
        <v>47.0405975877193</v>
      </c>
      <c r="Y1856" s="0" t="n">
        <f aca="false">SUMPRODUCT(MMULT(I1856:W1856,_XtX!$B$78:$P$92),I1856:W1856)</f>
        <v>0.21305052997076</v>
      </c>
      <c r="Z1856" s="0" t="n">
        <f aca="false">04_回帰ANOVA!$K$19*04_回帰ANOVA!$K$14*SQRT(1+Y1856)</f>
        <v>1.43561450835061</v>
      </c>
      <c r="AA1856" s="0" t="n">
        <f aca="false">X1856-Z1856</f>
        <v>45.6049830793687</v>
      </c>
      <c r="AB1856" s="0" t="n">
        <f aca="false">X1856+Z1856</f>
        <v>48.4762120960699</v>
      </c>
      <c r="AC1856" s="54" t="b">
        <f aca="false">AND(E1856&gt;=01_因子設定!$L$5-0.000000001,E1856&lt;=01_因子設定!$M$5+0.000000001,F1856&gt;=01_因子設定!$L$6-0.000000001,F1856&lt;=01_因子設定!$M$6+0.000000001,G1856&gt;=01_因子設定!$L$7-0.000000001,G1856&lt;=01_因子設定!$M$7+0.000000001,H1856&gt;=01_因子設定!$L$8-0.000000001,H1856&lt;=01_因子設定!$M$8+0.000000001,IF(01_因子設定!$B$20="Box-Behnken",E1856^2+F1856^2+G1856^2+H1856^2&lt;=2+0.000000001,TRUE()))</f>
        <v>1</v>
      </c>
      <c r="AD1856" s="55" t="n">
        <f aca="false">IF(AC1856,IF(01_因子設定!$B$13="最大化",AA1856-01_因子設定!$B$14,IF(01_因子設定!$B$13="最小化",01_因子設定!$B$15-AB1856,MIN(AA1856-01_因子設定!$B$14,01_因子設定!$B$15-AB1856))),-1E+030)</f>
        <v>-0.895016920631335</v>
      </c>
      <c r="AE1856" s="55" t="n">
        <f aca="false">IF(AC1856,IF(01_因子設定!$B$13="最大化",X1856,IF(01_因子設定!$B$13="最小化",-X1856,-ABS(X1856-01_因子設定!$B$16))),-1E+030)</f>
        <v>47.0405975877193</v>
      </c>
      <c r="AF1856" s="55" t="n">
        <f aca="false">AD1856+ROW()*0.000000001</f>
        <v>-0.895015064631335</v>
      </c>
      <c r="AG1856" s="55" t="n">
        <f aca="false">AE1856+ROW()*0.000000001</f>
        <v>47.0405994437193</v>
      </c>
    </row>
    <row r="1857" customFormat="false" ht="15" hidden="false" customHeight="false" outlineLevel="0" collapsed="false">
      <c r="A1857" s="0" t="n">
        <v>2</v>
      </c>
      <c r="B1857" s="0" t="n">
        <v>4</v>
      </c>
      <c r="C1857" s="0" t="n">
        <v>7</v>
      </c>
      <c r="D1857" s="0" t="n">
        <v>7</v>
      </c>
      <c r="E1857" s="0" t="n">
        <f aca="false">-1+A1857*0.25</f>
        <v>-0.5</v>
      </c>
      <c r="F1857" s="0" t="n">
        <f aca="false">-1+B1857*0.25</f>
        <v>0</v>
      </c>
      <c r="G1857" s="0" t="n">
        <f aca="false">-1+C1857*0.25</f>
        <v>0.75</v>
      </c>
      <c r="H1857" s="0" t="n">
        <f aca="false">-1+D1857*0.25</f>
        <v>0.75</v>
      </c>
      <c r="I1857" s="0" t="n">
        <f aca="false">1</f>
        <v>1</v>
      </c>
      <c r="J1857" s="0" t="n">
        <f aca="false">E1857</f>
        <v>-0.5</v>
      </c>
      <c r="K1857" s="0" t="n">
        <f aca="false">F1857</f>
        <v>0</v>
      </c>
      <c r="L1857" s="0" t="n">
        <f aca="false">G1857</f>
        <v>0.75</v>
      </c>
      <c r="M1857" s="0" t="n">
        <f aca="false">H1857</f>
        <v>0.75</v>
      </c>
      <c r="N1857" s="0" t="n">
        <f aca="false">E1857*F1857</f>
        <v>-0</v>
      </c>
      <c r="O1857" s="0" t="n">
        <f aca="false">E1857*G1857</f>
        <v>-0.375</v>
      </c>
      <c r="P1857" s="0" t="n">
        <f aca="false">E1857*H1857</f>
        <v>-0.375</v>
      </c>
      <c r="Q1857" s="0" t="n">
        <f aca="false">F1857*G1857</f>
        <v>0</v>
      </c>
      <c r="R1857" s="0" t="n">
        <f aca="false">F1857*H1857</f>
        <v>0</v>
      </c>
      <c r="S1857" s="0" t="n">
        <f aca="false">G1857*H1857</f>
        <v>0.5625</v>
      </c>
      <c r="T1857" s="0" t="n">
        <f aca="false">E1857*E1857</f>
        <v>0.25</v>
      </c>
      <c r="U1857" s="0" t="n">
        <f aca="false">F1857*F1857</f>
        <v>0</v>
      </c>
      <c r="V1857" s="0" t="n">
        <f aca="false">G1857*G1857</f>
        <v>0.5625</v>
      </c>
      <c r="W1857" s="0" t="n">
        <f aca="false">H1857*H1857</f>
        <v>0.5625</v>
      </c>
      <c r="X1857" s="0" t="n">
        <f aca="false">SUMPRODUCT(I1857:W1857,_XtX!$B$96:$P$96)</f>
        <v>47.0607501827485</v>
      </c>
      <c r="Y1857" s="0" t="n">
        <f aca="false">SUMPRODUCT(MMULT(I1857:W1857,_XtX!$B$78:$P$92),I1857:W1857)</f>
        <v>0.269923873812135</v>
      </c>
      <c r="Z1857" s="0" t="n">
        <f aca="false">04_回帰ANOVA!$K$19*04_回帰ANOVA!$K$14*SQRT(1+Y1857)</f>
        <v>1.46888310825501</v>
      </c>
      <c r="AA1857" s="0" t="n">
        <f aca="false">X1857-Z1857</f>
        <v>45.5918670744935</v>
      </c>
      <c r="AB1857" s="0" t="n">
        <f aca="false">X1857+Z1857</f>
        <v>48.5296332910035</v>
      </c>
      <c r="AC1857" s="54" t="b">
        <f aca="false">AND(E1857&gt;=01_因子設定!$L$5-0.000000001,E1857&lt;=01_因子設定!$M$5+0.000000001,F1857&gt;=01_因子設定!$L$6-0.000000001,F1857&lt;=01_因子設定!$M$6+0.000000001,G1857&gt;=01_因子設定!$L$7-0.000000001,G1857&lt;=01_因子設定!$M$7+0.000000001,H1857&gt;=01_因子設定!$L$8-0.000000001,H1857&lt;=01_因子設定!$M$8+0.000000001,IF(01_因子設定!$B$20="Box-Behnken",E1857^2+F1857^2+G1857^2+H1857^2&lt;=2+0.000000001,TRUE()))</f>
        <v>1</v>
      </c>
      <c r="AD1857" s="55" t="n">
        <f aca="false">IF(AC1857,IF(01_因子設定!$B$13="最大化",AA1857-01_因子設定!$B$14,IF(01_因子設定!$B$13="最小化",01_因子設定!$B$15-AB1857,MIN(AA1857-01_因子設定!$B$14,01_因子設定!$B$15-AB1857))),-1E+030)</f>
        <v>-0.908132925506486</v>
      </c>
      <c r="AE1857" s="55" t="n">
        <f aca="false">IF(AC1857,IF(01_因子設定!$B$13="最大化",X1857,IF(01_因子設定!$B$13="最小化",-X1857,-ABS(X1857-01_因子設定!$B$16))),-1E+030)</f>
        <v>47.0607501827485</v>
      </c>
      <c r="AF1857" s="55" t="n">
        <f aca="false">AD1857+ROW()*0.000000001</f>
        <v>-0.908131068506486</v>
      </c>
      <c r="AG1857" s="55" t="n">
        <f aca="false">AE1857+ROW()*0.000000001</f>
        <v>47.0607520397485</v>
      </c>
    </row>
    <row r="1858" customFormat="false" ht="15" hidden="false" customHeight="false" outlineLevel="0" collapsed="false">
      <c r="A1858" s="0" t="n">
        <v>2</v>
      </c>
      <c r="B1858" s="0" t="n">
        <v>4</v>
      </c>
      <c r="C1858" s="0" t="n">
        <v>7</v>
      </c>
      <c r="D1858" s="0" t="n">
        <v>8</v>
      </c>
      <c r="E1858" s="0" t="n">
        <f aca="false">-1+A1858*0.25</f>
        <v>-0.5</v>
      </c>
      <c r="F1858" s="0" t="n">
        <f aca="false">-1+B1858*0.25</f>
        <v>0</v>
      </c>
      <c r="G1858" s="0" t="n">
        <f aca="false">-1+C1858*0.25</f>
        <v>0.75</v>
      </c>
      <c r="H1858" s="0" t="n">
        <f aca="false">-1+D1858*0.25</f>
        <v>1</v>
      </c>
      <c r="I1858" s="0" t="n">
        <f aca="false">1</f>
        <v>1</v>
      </c>
      <c r="J1858" s="0" t="n">
        <f aca="false">E1858</f>
        <v>-0.5</v>
      </c>
      <c r="K1858" s="0" t="n">
        <f aca="false">F1858</f>
        <v>0</v>
      </c>
      <c r="L1858" s="0" t="n">
        <f aca="false">G1858</f>
        <v>0.75</v>
      </c>
      <c r="M1858" s="0" t="n">
        <f aca="false">H1858</f>
        <v>1</v>
      </c>
      <c r="N1858" s="0" t="n">
        <f aca="false">E1858*F1858</f>
        <v>-0</v>
      </c>
      <c r="O1858" s="0" t="n">
        <f aca="false">E1858*G1858</f>
        <v>-0.375</v>
      </c>
      <c r="P1858" s="0" t="n">
        <f aca="false">E1858*H1858</f>
        <v>-0.5</v>
      </c>
      <c r="Q1858" s="0" t="n">
        <f aca="false">F1858*G1858</f>
        <v>0</v>
      </c>
      <c r="R1858" s="0" t="n">
        <f aca="false">F1858*H1858</f>
        <v>0</v>
      </c>
      <c r="S1858" s="0" t="n">
        <f aca="false">G1858*H1858</f>
        <v>0.75</v>
      </c>
      <c r="T1858" s="0" t="n">
        <f aca="false">E1858*E1858</f>
        <v>0.25</v>
      </c>
      <c r="U1858" s="0" t="n">
        <f aca="false">F1858*F1858</f>
        <v>0</v>
      </c>
      <c r="V1858" s="0" t="n">
        <f aca="false">G1858*G1858</f>
        <v>0.5625</v>
      </c>
      <c r="W1858" s="0" t="n">
        <f aca="false">H1858*H1858</f>
        <v>1</v>
      </c>
      <c r="X1858" s="0" t="n">
        <f aca="false">SUMPRODUCT(I1858:W1858,_XtX!$B$96:$P$96)</f>
        <v>47.0330957602339</v>
      </c>
      <c r="Y1858" s="0" t="n">
        <f aca="false">SUMPRODUCT(MMULT(I1858:W1858,_XtX!$B$78:$P$92),I1858:W1858)</f>
        <v>0.476191292032164</v>
      </c>
      <c r="Z1858" s="0" t="n">
        <f aca="false">04_回帰ANOVA!$K$19*04_回帰ANOVA!$K$14*SQRT(1+Y1858)</f>
        <v>1.58368831471718</v>
      </c>
      <c r="AA1858" s="0" t="n">
        <f aca="false">X1858-Z1858</f>
        <v>45.4494074455167</v>
      </c>
      <c r="AB1858" s="0" t="n">
        <f aca="false">X1858+Z1858</f>
        <v>48.6167840749511</v>
      </c>
      <c r="AC1858" s="54" t="b">
        <f aca="false">AND(E1858&gt;=01_因子設定!$L$5-0.000000001,E1858&lt;=01_因子設定!$M$5+0.000000001,F1858&gt;=01_因子設定!$L$6-0.000000001,F1858&lt;=01_因子設定!$M$6+0.000000001,G1858&gt;=01_因子設定!$L$7-0.000000001,G1858&lt;=01_因子設定!$M$7+0.000000001,H1858&gt;=01_因子設定!$L$8-0.000000001,H1858&lt;=01_因子設定!$M$8+0.000000001,IF(01_因子設定!$B$20="Box-Behnken",E1858^2+F1858^2+G1858^2+H1858^2&lt;=2+0.000000001,TRUE()))</f>
        <v>1</v>
      </c>
      <c r="AD1858" s="55" t="n">
        <f aca="false">IF(AC1858,IF(01_因子設定!$B$13="最大化",AA1858-01_因子設定!$B$14,IF(01_因子設定!$B$13="最小化",01_因子設定!$B$15-AB1858,MIN(AA1858-01_因子設定!$B$14,01_因子設定!$B$15-AB1858))),-1E+030)</f>
        <v>-1.05059255448327</v>
      </c>
      <c r="AE1858" s="55" t="n">
        <f aca="false">IF(AC1858,IF(01_因子設定!$B$13="最大化",X1858,IF(01_因子設定!$B$13="最小化",-X1858,-ABS(X1858-01_因子設定!$B$16))),-1E+030)</f>
        <v>47.0330957602339</v>
      </c>
      <c r="AF1858" s="55" t="n">
        <f aca="false">AD1858+ROW()*0.000000001</f>
        <v>-1.05059069648327</v>
      </c>
      <c r="AG1858" s="55" t="n">
        <f aca="false">AE1858+ROW()*0.000000001</f>
        <v>47.0330976182339</v>
      </c>
    </row>
    <row r="1859" customFormat="false" ht="15" hidden="false" customHeight="false" outlineLevel="0" collapsed="false">
      <c r="A1859" s="0" t="n">
        <v>2</v>
      </c>
      <c r="B1859" s="0" t="n">
        <v>4</v>
      </c>
      <c r="C1859" s="0" t="n">
        <v>8</v>
      </c>
      <c r="D1859" s="0" t="n">
        <v>0</v>
      </c>
      <c r="E1859" s="0" t="n">
        <f aca="false">-1+A1859*0.25</f>
        <v>-0.5</v>
      </c>
      <c r="F1859" s="0" t="n">
        <f aca="false">-1+B1859*0.25</f>
        <v>0</v>
      </c>
      <c r="G1859" s="0" t="n">
        <f aca="false">-1+C1859*0.25</f>
        <v>1</v>
      </c>
      <c r="H1859" s="0" t="n">
        <f aca="false">-1+D1859*0.25</f>
        <v>-1</v>
      </c>
      <c r="I1859" s="0" t="n">
        <f aca="false">1</f>
        <v>1</v>
      </c>
      <c r="J1859" s="0" t="n">
        <f aca="false">E1859</f>
        <v>-0.5</v>
      </c>
      <c r="K1859" s="0" t="n">
        <f aca="false">F1859</f>
        <v>0</v>
      </c>
      <c r="L1859" s="0" t="n">
        <f aca="false">G1859</f>
        <v>1</v>
      </c>
      <c r="M1859" s="0" t="n">
        <f aca="false">H1859</f>
        <v>-1</v>
      </c>
      <c r="N1859" s="0" t="n">
        <f aca="false">E1859*F1859</f>
        <v>-0</v>
      </c>
      <c r="O1859" s="0" t="n">
        <f aca="false">E1859*G1859</f>
        <v>-0.5</v>
      </c>
      <c r="P1859" s="0" t="n">
        <f aca="false">E1859*H1859</f>
        <v>0.5</v>
      </c>
      <c r="Q1859" s="0" t="n">
        <f aca="false">F1859*G1859</f>
        <v>0</v>
      </c>
      <c r="R1859" s="0" t="n">
        <f aca="false">F1859*H1859</f>
        <v>-0</v>
      </c>
      <c r="S1859" s="0" t="n">
        <f aca="false">G1859*H1859</f>
        <v>-1</v>
      </c>
      <c r="T1859" s="0" t="n">
        <f aca="false">E1859*E1859</f>
        <v>0.25</v>
      </c>
      <c r="U1859" s="0" t="n">
        <f aca="false">F1859*F1859</f>
        <v>0</v>
      </c>
      <c r="V1859" s="0" t="n">
        <f aca="false">G1859*G1859</f>
        <v>1</v>
      </c>
      <c r="W1859" s="0" t="n">
        <f aca="false">H1859*H1859</f>
        <v>1</v>
      </c>
      <c r="X1859" s="0" t="n">
        <f aca="false">SUMPRODUCT(I1859:W1859,_XtX!$B$96:$P$96)</f>
        <v>45.8723684210526</v>
      </c>
      <c r="Y1859" s="0" t="n">
        <f aca="false">SUMPRODUCT(MMULT(I1859:W1859,_XtX!$B$78:$P$92),I1859:W1859)</f>
        <v>0.650767543859649</v>
      </c>
      <c r="Z1859" s="0" t="n">
        <f aca="false">04_回帰ANOVA!$K$19*04_回帰ANOVA!$K$14*SQRT(1+Y1859)</f>
        <v>1.67471670935165</v>
      </c>
      <c r="AA1859" s="0" t="n">
        <f aca="false">X1859-Z1859</f>
        <v>44.197651711701</v>
      </c>
      <c r="AB1859" s="0" t="n">
        <f aca="false">X1859+Z1859</f>
        <v>47.5470851304043</v>
      </c>
      <c r="AC1859" s="54" t="b">
        <f aca="false">AND(E1859&gt;=01_因子設定!$L$5-0.000000001,E1859&lt;=01_因子設定!$M$5+0.000000001,F1859&gt;=01_因子設定!$L$6-0.000000001,F1859&lt;=01_因子設定!$M$6+0.000000001,G1859&gt;=01_因子設定!$L$7-0.000000001,G1859&lt;=01_因子設定!$M$7+0.000000001,H1859&gt;=01_因子設定!$L$8-0.000000001,H1859&lt;=01_因子設定!$M$8+0.000000001,IF(01_因子設定!$B$20="Box-Behnken",E1859^2+F1859^2+G1859^2+H1859^2&lt;=2+0.000000001,TRUE()))</f>
        <v>1</v>
      </c>
      <c r="AD1859" s="55" t="n">
        <f aca="false">IF(AC1859,IF(01_因子設定!$B$13="最大化",AA1859-01_因子設定!$B$14,IF(01_因子設定!$B$13="最小化",01_因子設定!$B$15-AB1859,MIN(AA1859-01_因子設定!$B$14,01_因子設定!$B$15-AB1859))),-1E+030)</f>
        <v>-2.30234828829902</v>
      </c>
      <c r="AE1859" s="55" t="n">
        <f aca="false">IF(AC1859,IF(01_因子設定!$B$13="最大化",X1859,IF(01_因子設定!$B$13="最小化",-X1859,-ABS(X1859-01_因子設定!$B$16))),-1E+030)</f>
        <v>45.8723684210526</v>
      </c>
      <c r="AF1859" s="55" t="n">
        <f aca="false">AD1859+ROW()*0.000000001</f>
        <v>-2.30234642929902</v>
      </c>
      <c r="AG1859" s="55" t="n">
        <f aca="false">AE1859+ROW()*0.000000001</f>
        <v>45.8723702800526</v>
      </c>
    </row>
    <row r="1860" customFormat="false" ht="15" hidden="false" customHeight="false" outlineLevel="0" collapsed="false">
      <c r="A1860" s="0" t="n">
        <v>2</v>
      </c>
      <c r="B1860" s="0" t="n">
        <v>4</v>
      </c>
      <c r="C1860" s="0" t="n">
        <v>8</v>
      </c>
      <c r="D1860" s="0" t="n">
        <v>1</v>
      </c>
      <c r="E1860" s="0" t="n">
        <f aca="false">-1+A1860*0.25</f>
        <v>-0.5</v>
      </c>
      <c r="F1860" s="0" t="n">
        <f aca="false">-1+B1860*0.25</f>
        <v>0</v>
      </c>
      <c r="G1860" s="0" t="n">
        <f aca="false">-1+C1860*0.25</f>
        <v>1</v>
      </c>
      <c r="H1860" s="0" t="n">
        <f aca="false">-1+D1860*0.25</f>
        <v>-0.75</v>
      </c>
      <c r="I1860" s="0" t="n">
        <f aca="false">1</f>
        <v>1</v>
      </c>
      <c r="J1860" s="0" t="n">
        <f aca="false">E1860</f>
        <v>-0.5</v>
      </c>
      <c r="K1860" s="0" t="n">
        <f aca="false">F1860</f>
        <v>0</v>
      </c>
      <c r="L1860" s="0" t="n">
        <f aca="false">G1860</f>
        <v>1</v>
      </c>
      <c r="M1860" s="0" t="n">
        <f aca="false">H1860</f>
        <v>-0.75</v>
      </c>
      <c r="N1860" s="0" t="n">
        <f aca="false">E1860*F1860</f>
        <v>-0</v>
      </c>
      <c r="O1860" s="0" t="n">
        <f aca="false">E1860*G1860</f>
        <v>-0.5</v>
      </c>
      <c r="P1860" s="0" t="n">
        <f aca="false">E1860*H1860</f>
        <v>0.375</v>
      </c>
      <c r="Q1860" s="0" t="n">
        <f aca="false">F1860*G1860</f>
        <v>0</v>
      </c>
      <c r="R1860" s="0" t="n">
        <f aca="false">F1860*H1860</f>
        <v>-0</v>
      </c>
      <c r="S1860" s="0" t="n">
        <f aca="false">G1860*H1860</f>
        <v>-0.75</v>
      </c>
      <c r="T1860" s="0" t="n">
        <f aca="false">E1860*E1860</f>
        <v>0.25</v>
      </c>
      <c r="U1860" s="0" t="n">
        <f aca="false">F1860*F1860</f>
        <v>0</v>
      </c>
      <c r="V1860" s="0" t="n">
        <f aca="false">G1860*G1860</f>
        <v>1</v>
      </c>
      <c r="W1860" s="0" t="n">
        <f aca="false">H1860*H1860</f>
        <v>0.5625</v>
      </c>
      <c r="X1860" s="0" t="n">
        <f aca="false">SUMPRODUCT(I1860:W1860,_XtX!$B$96:$P$96)</f>
        <v>46.197331871345</v>
      </c>
      <c r="Y1860" s="0" t="n">
        <f aca="false">SUMPRODUCT(MMULT(I1860:W1860,_XtX!$B$78:$P$92),I1860:W1860)</f>
        <v>0.476191292032164</v>
      </c>
      <c r="Z1860" s="0" t="n">
        <f aca="false">04_回帰ANOVA!$K$19*04_回帰ANOVA!$K$14*SQRT(1+Y1860)</f>
        <v>1.58368831471718</v>
      </c>
      <c r="AA1860" s="0" t="n">
        <f aca="false">X1860-Z1860</f>
        <v>44.6136435566278</v>
      </c>
      <c r="AB1860" s="0" t="n">
        <f aca="false">X1860+Z1860</f>
        <v>47.7810201860622</v>
      </c>
      <c r="AC1860" s="54" t="b">
        <f aca="false">AND(E1860&gt;=01_因子設定!$L$5-0.000000001,E1860&lt;=01_因子設定!$M$5+0.000000001,F1860&gt;=01_因子設定!$L$6-0.000000001,F1860&lt;=01_因子設定!$M$6+0.000000001,G1860&gt;=01_因子設定!$L$7-0.000000001,G1860&lt;=01_因子設定!$M$7+0.000000001,H1860&gt;=01_因子設定!$L$8-0.000000001,H1860&lt;=01_因子設定!$M$8+0.000000001,IF(01_因子設定!$B$20="Box-Behnken",E1860^2+F1860^2+G1860^2+H1860^2&lt;=2+0.000000001,TRUE()))</f>
        <v>1</v>
      </c>
      <c r="AD1860" s="55" t="n">
        <f aca="false">IF(AC1860,IF(01_因子設定!$B$13="最大化",AA1860-01_因子設定!$B$14,IF(01_因子設定!$B$13="最小化",01_因子設定!$B$15-AB1860,MIN(AA1860-01_因子設定!$B$14,01_因子設定!$B$15-AB1860))),-1E+030)</f>
        <v>-1.88635644337217</v>
      </c>
      <c r="AE1860" s="55" t="n">
        <f aca="false">IF(AC1860,IF(01_因子設定!$B$13="最大化",X1860,IF(01_因子設定!$B$13="最小化",-X1860,-ABS(X1860-01_因子設定!$B$16))),-1E+030)</f>
        <v>46.197331871345</v>
      </c>
      <c r="AF1860" s="55" t="n">
        <f aca="false">AD1860+ROW()*0.000000001</f>
        <v>-1.88635458337216</v>
      </c>
      <c r="AG1860" s="55" t="n">
        <f aca="false">AE1860+ROW()*0.000000001</f>
        <v>46.197333731345</v>
      </c>
    </row>
    <row r="1861" customFormat="false" ht="15" hidden="false" customHeight="false" outlineLevel="0" collapsed="false">
      <c r="A1861" s="0" t="n">
        <v>2</v>
      </c>
      <c r="B1861" s="0" t="n">
        <v>4</v>
      </c>
      <c r="C1861" s="0" t="n">
        <v>8</v>
      </c>
      <c r="D1861" s="0" t="n">
        <v>2</v>
      </c>
      <c r="E1861" s="0" t="n">
        <f aca="false">-1+A1861*0.25</f>
        <v>-0.5</v>
      </c>
      <c r="F1861" s="0" t="n">
        <f aca="false">-1+B1861*0.25</f>
        <v>0</v>
      </c>
      <c r="G1861" s="0" t="n">
        <f aca="false">-1+C1861*0.25</f>
        <v>1</v>
      </c>
      <c r="H1861" s="0" t="n">
        <f aca="false">-1+D1861*0.25</f>
        <v>-0.5</v>
      </c>
      <c r="I1861" s="0" t="n">
        <f aca="false">1</f>
        <v>1</v>
      </c>
      <c r="J1861" s="0" t="n">
        <f aca="false">E1861</f>
        <v>-0.5</v>
      </c>
      <c r="K1861" s="0" t="n">
        <f aca="false">F1861</f>
        <v>0</v>
      </c>
      <c r="L1861" s="0" t="n">
        <f aca="false">G1861</f>
        <v>1</v>
      </c>
      <c r="M1861" s="0" t="n">
        <f aca="false">H1861</f>
        <v>-0.5</v>
      </c>
      <c r="N1861" s="0" t="n">
        <f aca="false">E1861*F1861</f>
        <v>-0</v>
      </c>
      <c r="O1861" s="0" t="n">
        <f aca="false">E1861*G1861</f>
        <v>-0.5</v>
      </c>
      <c r="P1861" s="0" t="n">
        <f aca="false">E1861*H1861</f>
        <v>0.25</v>
      </c>
      <c r="Q1861" s="0" t="n">
        <f aca="false">F1861*G1861</f>
        <v>0</v>
      </c>
      <c r="R1861" s="0" t="n">
        <f aca="false">F1861*H1861</f>
        <v>-0</v>
      </c>
      <c r="S1861" s="0" t="n">
        <f aca="false">G1861*H1861</f>
        <v>-0.5</v>
      </c>
      <c r="T1861" s="0" t="n">
        <f aca="false">E1861*E1861</f>
        <v>0.25</v>
      </c>
      <c r="U1861" s="0" t="n">
        <f aca="false">F1861*F1861</f>
        <v>0</v>
      </c>
      <c r="V1861" s="0" t="n">
        <f aca="false">G1861*G1861</f>
        <v>1</v>
      </c>
      <c r="W1861" s="0" t="n">
        <f aca="false">H1861*H1861</f>
        <v>0.25</v>
      </c>
      <c r="X1861" s="0" t="n">
        <f aca="false">SUMPRODUCT(I1861:W1861,_XtX!$B$96:$P$96)</f>
        <v>46.4744883040935</v>
      </c>
      <c r="Y1861" s="0" t="n">
        <f aca="false">SUMPRODUCT(MMULT(I1861:W1861,_XtX!$B$78:$P$92),I1861:W1861)</f>
        <v>0.441954495614035</v>
      </c>
      <c r="Z1861" s="0" t="n">
        <f aca="false">04_回帰ANOVA!$K$19*04_回帰ANOVA!$K$14*SQRT(1+Y1861)</f>
        <v>1.56521560968066</v>
      </c>
      <c r="AA1861" s="0" t="n">
        <f aca="false">X1861-Z1861</f>
        <v>44.9092726944129</v>
      </c>
      <c r="AB1861" s="0" t="n">
        <f aca="false">X1861+Z1861</f>
        <v>48.0397039137742</v>
      </c>
      <c r="AC1861" s="54" t="b">
        <f aca="false">AND(E1861&gt;=01_因子設定!$L$5-0.000000001,E1861&lt;=01_因子設定!$M$5+0.000000001,F1861&gt;=01_因子設定!$L$6-0.000000001,F1861&lt;=01_因子設定!$M$6+0.000000001,G1861&gt;=01_因子設定!$L$7-0.000000001,G1861&lt;=01_因子設定!$M$7+0.000000001,H1861&gt;=01_因子設定!$L$8-0.000000001,H1861&lt;=01_因子設定!$M$8+0.000000001,IF(01_因子設定!$B$20="Box-Behnken",E1861^2+F1861^2+G1861^2+H1861^2&lt;=2+0.000000001,TRUE()))</f>
        <v>1</v>
      </c>
      <c r="AD1861" s="55" t="n">
        <f aca="false">IF(AC1861,IF(01_因子設定!$B$13="最大化",AA1861-01_因子設定!$B$14,IF(01_因子設定!$B$13="最小化",01_因子設定!$B$15-AB1861,MIN(AA1861-01_因子設定!$B$14,01_因子設定!$B$15-AB1861))),-1E+030)</f>
        <v>-1.59072730558712</v>
      </c>
      <c r="AE1861" s="55" t="n">
        <f aca="false">IF(AC1861,IF(01_因子設定!$B$13="最大化",X1861,IF(01_因子設定!$B$13="最小化",-X1861,-ABS(X1861-01_因子設定!$B$16))),-1E+030)</f>
        <v>46.4744883040935</v>
      </c>
      <c r="AF1861" s="55" t="n">
        <f aca="false">AD1861+ROW()*0.000000001</f>
        <v>-1.59072544458712</v>
      </c>
      <c r="AG1861" s="55" t="n">
        <f aca="false">AE1861+ROW()*0.000000001</f>
        <v>46.4744901650935</v>
      </c>
    </row>
    <row r="1862" customFormat="false" ht="15" hidden="false" customHeight="false" outlineLevel="0" collapsed="false">
      <c r="A1862" s="0" t="n">
        <v>2</v>
      </c>
      <c r="B1862" s="0" t="n">
        <v>4</v>
      </c>
      <c r="C1862" s="0" t="n">
        <v>8</v>
      </c>
      <c r="D1862" s="0" t="n">
        <v>3</v>
      </c>
      <c r="E1862" s="0" t="n">
        <f aca="false">-1+A1862*0.25</f>
        <v>-0.5</v>
      </c>
      <c r="F1862" s="0" t="n">
        <f aca="false">-1+B1862*0.25</f>
        <v>0</v>
      </c>
      <c r="G1862" s="0" t="n">
        <f aca="false">-1+C1862*0.25</f>
        <v>1</v>
      </c>
      <c r="H1862" s="0" t="n">
        <f aca="false">-1+D1862*0.25</f>
        <v>-0.25</v>
      </c>
      <c r="I1862" s="0" t="n">
        <f aca="false">1</f>
        <v>1</v>
      </c>
      <c r="J1862" s="0" t="n">
        <f aca="false">E1862</f>
        <v>-0.5</v>
      </c>
      <c r="K1862" s="0" t="n">
        <f aca="false">F1862</f>
        <v>0</v>
      </c>
      <c r="L1862" s="0" t="n">
        <f aca="false">G1862</f>
        <v>1</v>
      </c>
      <c r="M1862" s="0" t="n">
        <f aca="false">H1862</f>
        <v>-0.25</v>
      </c>
      <c r="N1862" s="0" t="n">
        <f aca="false">E1862*F1862</f>
        <v>-0</v>
      </c>
      <c r="O1862" s="0" t="n">
        <f aca="false">E1862*G1862</f>
        <v>-0.5</v>
      </c>
      <c r="P1862" s="0" t="n">
        <f aca="false">E1862*H1862</f>
        <v>0.125</v>
      </c>
      <c r="Q1862" s="0" t="n">
        <f aca="false">F1862*G1862</f>
        <v>0</v>
      </c>
      <c r="R1862" s="0" t="n">
        <f aca="false">F1862*H1862</f>
        <v>-0</v>
      </c>
      <c r="S1862" s="0" t="n">
        <f aca="false">G1862*H1862</f>
        <v>-0.25</v>
      </c>
      <c r="T1862" s="0" t="n">
        <f aca="false">E1862*E1862</f>
        <v>0.25</v>
      </c>
      <c r="U1862" s="0" t="n">
        <f aca="false">F1862*F1862</f>
        <v>0</v>
      </c>
      <c r="V1862" s="0" t="n">
        <f aca="false">G1862*G1862</f>
        <v>1</v>
      </c>
      <c r="W1862" s="0" t="n">
        <f aca="false">H1862*H1862</f>
        <v>0.0625</v>
      </c>
      <c r="X1862" s="0" t="n">
        <f aca="false">SUMPRODUCT(I1862:W1862,_XtX!$B$96:$P$96)</f>
        <v>46.7038377192982</v>
      </c>
      <c r="Y1862" s="0" t="n">
        <f aca="false">SUMPRODUCT(MMULT(I1862:W1862,_XtX!$B$78:$P$92),I1862:W1862)</f>
        <v>0.457596628289474</v>
      </c>
      <c r="Z1862" s="0" t="n">
        <f aca="false">04_回帰ANOVA!$K$19*04_回帰ANOVA!$K$14*SQRT(1+Y1862)</f>
        <v>1.57368233664366</v>
      </c>
      <c r="AA1862" s="0" t="n">
        <f aca="false">X1862-Z1862</f>
        <v>45.1301553826546</v>
      </c>
      <c r="AB1862" s="0" t="n">
        <f aca="false">X1862+Z1862</f>
        <v>48.2775200559419</v>
      </c>
      <c r="AC1862" s="54" t="b">
        <f aca="false">AND(E1862&gt;=01_因子設定!$L$5-0.000000001,E1862&lt;=01_因子設定!$M$5+0.000000001,F1862&gt;=01_因子設定!$L$6-0.000000001,F1862&lt;=01_因子設定!$M$6+0.000000001,G1862&gt;=01_因子設定!$L$7-0.000000001,G1862&lt;=01_因子設定!$M$7+0.000000001,H1862&gt;=01_因子設定!$L$8-0.000000001,H1862&lt;=01_因子設定!$M$8+0.000000001,IF(01_因子設定!$B$20="Box-Behnken",E1862^2+F1862^2+G1862^2+H1862^2&lt;=2+0.000000001,TRUE()))</f>
        <v>1</v>
      </c>
      <c r="AD1862" s="55" t="n">
        <f aca="false">IF(AC1862,IF(01_因子設定!$B$13="最大化",AA1862-01_因子設定!$B$14,IF(01_因子設定!$B$13="最小化",01_因子設定!$B$15-AB1862,MIN(AA1862-01_因子設定!$B$14,01_因子設定!$B$15-AB1862))),-1E+030)</f>
        <v>-1.36984461734545</v>
      </c>
      <c r="AE1862" s="55" t="n">
        <f aca="false">IF(AC1862,IF(01_因子設定!$B$13="最大化",X1862,IF(01_因子設定!$B$13="最小化",-X1862,-ABS(X1862-01_因子設定!$B$16))),-1E+030)</f>
        <v>46.7038377192982</v>
      </c>
      <c r="AF1862" s="55" t="n">
        <f aca="false">AD1862+ROW()*0.000000001</f>
        <v>-1.36984275534545</v>
      </c>
      <c r="AG1862" s="55" t="n">
        <f aca="false">AE1862+ROW()*0.000000001</f>
        <v>46.7038395812982</v>
      </c>
    </row>
    <row r="1863" customFormat="false" ht="15" hidden="false" customHeight="false" outlineLevel="0" collapsed="false">
      <c r="A1863" s="0" t="n">
        <v>2</v>
      </c>
      <c r="B1863" s="0" t="n">
        <v>4</v>
      </c>
      <c r="C1863" s="0" t="n">
        <v>8</v>
      </c>
      <c r="D1863" s="0" t="n">
        <v>4</v>
      </c>
      <c r="E1863" s="0" t="n">
        <f aca="false">-1+A1863*0.25</f>
        <v>-0.5</v>
      </c>
      <c r="F1863" s="0" t="n">
        <f aca="false">-1+B1863*0.25</f>
        <v>0</v>
      </c>
      <c r="G1863" s="0" t="n">
        <f aca="false">-1+C1863*0.25</f>
        <v>1</v>
      </c>
      <c r="H1863" s="0" t="n">
        <f aca="false">-1+D1863*0.25</f>
        <v>0</v>
      </c>
      <c r="I1863" s="0" t="n">
        <f aca="false">1</f>
        <v>1</v>
      </c>
      <c r="J1863" s="0" t="n">
        <f aca="false">E1863</f>
        <v>-0.5</v>
      </c>
      <c r="K1863" s="0" t="n">
        <f aca="false">F1863</f>
        <v>0</v>
      </c>
      <c r="L1863" s="0" t="n">
        <f aca="false">G1863</f>
        <v>1</v>
      </c>
      <c r="M1863" s="0" t="n">
        <f aca="false">H1863</f>
        <v>0</v>
      </c>
      <c r="N1863" s="0" t="n">
        <f aca="false">E1863*F1863</f>
        <v>-0</v>
      </c>
      <c r="O1863" s="0" t="n">
        <f aca="false">E1863*G1863</f>
        <v>-0.5</v>
      </c>
      <c r="P1863" s="0" t="n">
        <f aca="false">E1863*H1863</f>
        <v>-0</v>
      </c>
      <c r="Q1863" s="0" t="n">
        <f aca="false">F1863*G1863</f>
        <v>0</v>
      </c>
      <c r="R1863" s="0" t="n">
        <f aca="false">F1863*H1863</f>
        <v>0</v>
      </c>
      <c r="S1863" s="0" t="n">
        <f aca="false">G1863*H1863</f>
        <v>0</v>
      </c>
      <c r="T1863" s="0" t="n">
        <f aca="false">E1863*E1863</f>
        <v>0.25</v>
      </c>
      <c r="U1863" s="0" t="n">
        <f aca="false">F1863*F1863</f>
        <v>0</v>
      </c>
      <c r="V1863" s="0" t="n">
        <f aca="false">G1863*G1863</f>
        <v>1</v>
      </c>
      <c r="W1863" s="0" t="n">
        <f aca="false">H1863*H1863</f>
        <v>0</v>
      </c>
      <c r="X1863" s="0" t="n">
        <f aca="false">SUMPRODUCT(I1863:W1863,_XtX!$B$96:$P$96)</f>
        <v>46.885380116959</v>
      </c>
      <c r="Y1863" s="0" t="n">
        <f aca="false">SUMPRODUCT(MMULT(I1863:W1863,_XtX!$B$78:$P$92),I1863:W1863)</f>
        <v>0.468841374269006</v>
      </c>
      <c r="Z1863" s="0" t="n">
        <f aca="false">04_回帰ANOVA!$K$19*04_回帰ANOVA!$K$14*SQRT(1+Y1863)</f>
        <v>1.57974082366087</v>
      </c>
      <c r="AA1863" s="0" t="n">
        <f aca="false">X1863-Z1863</f>
        <v>45.3056392932982</v>
      </c>
      <c r="AB1863" s="0" t="n">
        <f aca="false">X1863+Z1863</f>
        <v>48.4651209406199</v>
      </c>
      <c r="AC1863" s="54" t="b">
        <f aca="false">AND(E1863&gt;=01_因子設定!$L$5-0.000000001,E1863&lt;=01_因子設定!$M$5+0.000000001,F1863&gt;=01_因子設定!$L$6-0.000000001,F1863&lt;=01_因子設定!$M$6+0.000000001,G1863&gt;=01_因子設定!$L$7-0.000000001,G1863&lt;=01_因子設定!$M$7+0.000000001,H1863&gt;=01_因子設定!$L$8-0.000000001,H1863&lt;=01_因子設定!$M$8+0.000000001,IF(01_因子設定!$B$20="Box-Behnken",E1863^2+F1863^2+G1863^2+H1863^2&lt;=2+0.000000001,TRUE()))</f>
        <v>1</v>
      </c>
      <c r="AD1863" s="55" t="n">
        <f aca="false">IF(AC1863,IF(01_因子設定!$B$13="最大化",AA1863-01_因子設定!$B$14,IF(01_因子設定!$B$13="最小化",01_因子設定!$B$15-AB1863,MIN(AA1863-01_因子設定!$B$14,01_因子設定!$B$15-AB1863))),-1E+030)</f>
        <v>-1.19436070670185</v>
      </c>
      <c r="AE1863" s="55" t="n">
        <f aca="false">IF(AC1863,IF(01_因子設定!$B$13="最大化",X1863,IF(01_因子設定!$B$13="最小化",-X1863,-ABS(X1863-01_因子設定!$B$16))),-1E+030)</f>
        <v>46.885380116959</v>
      </c>
      <c r="AF1863" s="55" t="n">
        <f aca="false">AD1863+ROW()*0.000000001</f>
        <v>-1.19435884370185</v>
      </c>
      <c r="AG1863" s="55" t="n">
        <f aca="false">AE1863+ROW()*0.000000001</f>
        <v>46.885381979959</v>
      </c>
    </row>
    <row r="1864" customFormat="false" ht="15" hidden="false" customHeight="false" outlineLevel="0" collapsed="false">
      <c r="A1864" s="0" t="n">
        <v>2</v>
      </c>
      <c r="B1864" s="0" t="n">
        <v>4</v>
      </c>
      <c r="C1864" s="0" t="n">
        <v>8</v>
      </c>
      <c r="D1864" s="0" t="n">
        <v>5</v>
      </c>
      <c r="E1864" s="0" t="n">
        <f aca="false">-1+A1864*0.25</f>
        <v>-0.5</v>
      </c>
      <c r="F1864" s="0" t="n">
        <f aca="false">-1+B1864*0.25</f>
        <v>0</v>
      </c>
      <c r="G1864" s="0" t="n">
        <f aca="false">-1+C1864*0.25</f>
        <v>1</v>
      </c>
      <c r="H1864" s="0" t="n">
        <f aca="false">-1+D1864*0.25</f>
        <v>0.25</v>
      </c>
      <c r="I1864" s="0" t="n">
        <f aca="false">1</f>
        <v>1</v>
      </c>
      <c r="J1864" s="0" t="n">
        <f aca="false">E1864</f>
        <v>-0.5</v>
      </c>
      <c r="K1864" s="0" t="n">
        <f aca="false">F1864</f>
        <v>0</v>
      </c>
      <c r="L1864" s="0" t="n">
        <f aca="false">G1864</f>
        <v>1</v>
      </c>
      <c r="M1864" s="0" t="n">
        <f aca="false">H1864</f>
        <v>0.25</v>
      </c>
      <c r="N1864" s="0" t="n">
        <f aca="false">E1864*F1864</f>
        <v>-0</v>
      </c>
      <c r="O1864" s="0" t="n">
        <f aca="false">E1864*G1864</f>
        <v>-0.5</v>
      </c>
      <c r="P1864" s="0" t="n">
        <f aca="false">E1864*H1864</f>
        <v>-0.125</v>
      </c>
      <c r="Q1864" s="0" t="n">
        <f aca="false">F1864*G1864</f>
        <v>0</v>
      </c>
      <c r="R1864" s="0" t="n">
        <f aca="false">F1864*H1864</f>
        <v>0</v>
      </c>
      <c r="S1864" s="0" t="n">
        <f aca="false">G1864*H1864</f>
        <v>0.25</v>
      </c>
      <c r="T1864" s="0" t="n">
        <f aca="false">E1864*E1864</f>
        <v>0.25</v>
      </c>
      <c r="U1864" s="0" t="n">
        <f aca="false">F1864*F1864</f>
        <v>0</v>
      </c>
      <c r="V1864" s="0" t="n">
        <f aca="false">G1864*G1864</f>
        <v>1</v>
      </c>
      <c r="W1864" s="0" t="n">
        <f aca="false">H1864*H1864</f>
        <v>0.0625</v>
      </c>
      <c r="X1864" s="0" t="n">
        <f aca="false">SUMPRODUCT(I1864:W1864,_XtX!$B$96:$P$96)</f>
        <v>47.019115497076</v>
      </c>
      <c r="Y1864" s="0" t="n">
        <f aca="false">SUMPRODUCT(MMULT(I1864:W1864,_XtX!$B$78:$P$92),I1864:W1864)</f>
        <v>0.457596628289474</v>
      </c>
      <c r="Z1864" s="0" t="n">
        <f aca="false">04_回帰ANOVA!$K$19*04_回帰ANOVA!$K$14*SQRT(1+Y1864)</f>
        <v>1.57368233664366</v>
      </c>
      <c r="AA1864" s="0" t="n">
        <f aca="false">X1864-Z1864</f>
        <v>45.4454331604323</v>
      </c>
      <c r="AB1864" s="0" t="n">
        <f aca="false">X1864+Z1864</f>
        <v>48.5927978337196</v>
      </c>
      <c r="AC1864" s="54" t="b">
        <f aca="false">AND(E1864&gt;=01_因子設定!$L$5-0.000000001,E1864&lt;=01_因子設定!$M$5+0.000000001,F1864&gt;=01_因子設定!$L$6-0.000000001,F1864&lt;=01_因子設定!$M$6+0.000000001,G1864&gt;=01_因子設定!$L$7-0.000000001,G1864&lt;=01_因子設定!$M$7+0.000000001,H1864&gt;=01_因子設定!$L$8-0.000000001,H1864&lt;=01_因子設定!$M$8+0.000000001,IF(01_因子設定!$B$20="Box-Behnken",E1864^2+F1864^2+G1864^2+H1864^2&lt;=2+0.000000001,TRUE()))</f>
        <v>1</v>
      </c>
      <c r="AD1864" s="55" t="n">
        <f aca="false">IF(AC1864,IF(01_因子設定!$B$13="最大化",AA1864-01_因子設定!$B$14,IF(01_因子設定!$B$13="最小化",01_因子設定!$B$15-AB1864,MIN(AA1864-01_因子設定!$B$14,01_因子設定!$B$15-AB1864))),-1E+030)</f>
        <v>-1.05456683956767</v>
      </c>
      <c r="AE1864" s="55" t="n">
        <f aca="false">IF(AC1864,IF(01_因子設定!$B$13="最大化",X1864,IF(01_因子設定!$B$13="最小化",-X1864,-ABS(X1864-01_因子設定!$B$16))),-1E+030)</f>
        <v>47.019115497076</v>
      </c>
      <c r="AF1864" s="55" t="n">
        <f aca="false">AD1864+ROW()*0.000000001</f>
        <v>-1.05456497556767</v>
      </c>
      <c r="AG1864" s="55" t="n">
        <f aca="false">AE1864+ROW()*0.000000001</f>
        <v>47.019117361076</v>
      </c>
    </row>
    <row r="1865" customFormat="false" ht="15" hidden="false" customHeight="false" outlineLevel="0" collapsed="false">
      <c r="A1865" s="0" t="n">
        <v>2</v>
      </c>
      <c r="B1865" s="0" t="n">
        <v>4</v>
      </c>
      <c r="C1865" s="0" t="n">
        <v>8</v>
      </c>
      <c r="D1865" s="0" t="n">
        <v>6</v>
      </c>
      <c r="E1865" s="0" t="n">
        <f aca="false">-1+A1865*0.25</f>
        <v>-0.5</v>
      </c>
      <c r="F1865" s="0" t="n">
        <f aca="false">-1+B1865*0.25</f>
        <v>0</v>
      </c>
      <c r="G1865" s="0" t="n">
        <f aca="false">-1+C1865*0.25</f>
        <v>1</v>
      </c>
      <c r="H1865" s="0" t="n">
        <f aca="false">-1+D1865*0.25</f>
        <v>0.5</v>
      </c>
      <c r="I1865" s="0" t="n">
        <f aca="false">1</f>
        <v>1</v>
      </c>
      <c r="J1865" s="0" t="n">
        <f aca="false">E1865</f>
        <v>-0.5</v>
      </c>
      <c r="K1865" s="0" t="n">
        <f aca="false">F1865</f>
        <v>0</v>
      </c>
      <c r="L1865" s="0" t="n">
        <f aca="false">G1865</f>
        <v>1</v>
      </c>
      <c r="M1865" s="0" t="n">
        <f aca="false">H1865</f>
        <v>0.5</v>
      </c>
      <c r="N1865" s="0" t="n">
        <f aca="false">E1865*F1865</f>
        <v>-0</v>
      </c>
      <c r="O1865" s="0" t="n">
        <f aca="false">E1865*G1865</f>
        <v>-0.5</v>
      </c>
      <c r="P1865" s="0" t="n">
        <f aca="false">E1865*H1865</f>
        <v>-0.25</v>
      </c>
      <c r="Q1865" s="0" t="n">
        <f aca="false">F1865*G1865</f>
        <v>0</v>
      </c>
      <c r="R1865" s="0" t="n">
        <f aca="false">F1865*H1865</f>
        <v>0</v>
      </c>
      <c r="S1865" s="0" t="n">
        <f aca="false">G1865*H1865</f>
        <v>0.5</v>
      </c>
      <c r="T1865" s="0" t="n">
        <f aca="false">E1865*E1865</f>
        <v>0.25</v>
      </c>
      <c r="U1865" s="0" t="n">
        <f aca="false">F1865*F1865</f>
        <v>0</v>
      </c>
      <c r="V1865" s="0" t="n">
        <f aca="false">G1865*G1865</f>
        <v>1</v>
      </c>
      <c r="W1865" s="0" t="n">
        <f aca="false">H1865*H1865</f>
        <v>0.25</v>
      </c>
      <c r="X1865" s="0" t="n">
        <f aca="false">SUMPRODUCT(I1865:W1865,_XtX!$B$96:$P$96)</f>
        <v>47.1050438596491</v>
      </c>
      <c r="Y1865" s="0" t="n">
        <f aca="false">SUMPRODUCT(MMULT(I1865:W1865,_XtX!$B$78:$P$92),I1865:W1865)</f>
        <v>0.441954495614035</v>
      </c>
      <c r="Z1865" s="0" t="n">
        <f aca="false">04_回帰ANOVA!$K$19*04_回帰ANOVA!$K$14*SQRT(1+Y1865)</f>
        <v>1.56521560968066</v>
      </c>
      <c r="AA1865" s="0" t="n">
        <f aca="false">X1865-Z1865</f>
        <v>45.5398282499684</v>
      </c>
      <c r="AB1865" s="0" t="n">
        <f aca="false">X1865+Z1865</f>
        <v>48.6702594693298</v>
      </c>
      <c r="AC1865" s="54" t="b">
        <f aca="false">AND(E1865&gt;=01_因子設定!$L$5-0.000000001,E1865&lt;=01_因子設定!$M$5+0.000000001,F1865&gt;=01_因子設定!$L$6-0.000000001,F1865&lt;=01_因子設定!$M$6+0.000000001,G1865&gt;=01_因子設定!$L$7-0.000000001,G1865&lt;=01_因子設定!$M$7+0.000000001,H1865&gt;=01_因子設定!$L$8-0.000000001,H1865&lt;=01_因子設定!$M$8+0.000000001,IF(01_因子設定!$B$20="Box-Behnken",E1865^2+F1865^2+G1865^2+H1865^2&lt;=2+0.000000001,TRUE()))</f>
        <v>1</v>
      </c>
      <c r="AD1865" s="55" t="n">
        <f aca="false">IF(AC1865,IF(01_因子設定!$B$13="最大化",AA1865-01_因子設定!$B$14,IF(01_因子設定!$B$13="最小化",01_因子設定!$B$15-AB1865,MIN(AA1865-01_因子設定!$B$14,01_因子設定!$B$15-AB1865))),-1E+030)</f>
        <v>-0.96017175003157</v>
      </c>
      <c r="AE1865" s="55" t="n">
        <f aca="false">IF(AC1865,IF(01_因子設定!$B$13="最大化",X1865,IF(01_因子設定!$B$13="最小化",-X1865,-ABS(X1865-01_因子設定!$B$16))),-1E+030)</f>
        <v>47.1050438596491</v>
      </c>
      <c r="AF1865" s="55" t="n">
        <f aca="false">AD1865+ROW()*0.000000001</f>
        <v>-0.96016988503157</v>
      </c>
      <c r="AG1865" s="55" t="n">
        <f aca="false">AE1865+ROW()*0.000000001</f>
        <v>47.1050457246491</v>
      </c>
    </row>
    <row r="1866" customFormat="false" ht="15" hidden="false" customHeight="false" outlineLevel="0" collapsed="false">
      <c r="A1866" s="0" t="n">
        <v>2</v>
      </c>
      <c r="B1866" s="0" t="n">
        <v>4</v>
      </c>
      <c r="C1866" s="0" t="n">
        <v>8</v>
      </c>
      <c r="D1866" s="0" t="n">
        <v>7</v>
      </c>
      <c r="E1866" s="0" t="n">
        <f aca="false">-1+A1866*0.25</f>
        <v>-0.5</v>
      </c>
      <c r="F1866" s="0" t="n">
        <f aca="false">-1+B1866*0.25</f>
        <v>0</v>
      </c>
      <c r="G1866" s="0" t="n">
        <f aca="false">-1+C1866*0.25</f>
        <v>1</v>
      </c>
      <c r="H1866" s="0" t="n">
        <f aca="false">-1+D1866*0.25</f>
        <v>0.75</v>
      </c>
      <c r="I1866" s="0" t="n">
        <f aca="false">1</f>
        <v>1</v>
      </c>
      <c r="J1866" s="0" t="n">
        <f aca="false">E1866</f>
        <v>-0.5</v>
      </c>
      <c r="K1866" s="0" t="n">
        <f aca="false">F1866</f>
        <v>0</v>
      </c>
      <c r="L1866" s="0" t="n">
        <f aca="false">G1866</f>
        <v>1</v>
      </c>
      <c r="M1866" s="0" t="n">
        <f aca="false">H1866</f>
        <v>0.75</v>
      </c>
      <c r="N1866" s="0" t="n">
        <f aca="false">E1866*F1866</f>
        <v>-0</v>
      </c>
      <c r="O1866" s="0" t="n">
        <f aca="false">E1866*G1866</f>
        <v>-0.5</v>
      </c>
      <c r="P1866" s="0" t="n">
        <f aca="false">E1866*H1866</f>
        <v>-0.375</v>
      </c>
      <c r="Q1866" s="0" t="n">
        <f aca="false">F1866*G1866</f>
        <v>0</v>
      </c>
      <c r="R1866" s="0" t="n">
        <f aca="false">F1866*H1866</f>
        <v>0</v>
      </c>
      <c r="S1866" s="0" t="n">
        <f aca="false">G1866*H1866</f>
        <v>0.75</v>
      </c>
      <c r="T1866" s="0" t="n">
        <f aca="false">E1866*E1866</f>
        <v>0.25</v>
      </c>
      <c r="U1866" s="0" t="n">
        <f aca="false">F1866*F1866</f>
        <v>0</v>
      </c>
      <c r="V1866" s="0" t="n">
        <f aca="false">G1866*G1866</f>
        <v>1</v>
      </c>
      <c r="W1866" s="0" t="n">
        <f aca="false">H1866*H1866</f>
        <v>0.5625</v>
      </c>
      <c r="X1866" s="0" t="n">
        <f aca="false">SUMPRODUCT(I1866:W1866,_XtX!$B$96:$P$96)</f>
        <v>47.1431652046784</v>
      </c>
      <c r="Y1866" s="0" t="n">
        <f aca="false">SUMPRODUCT(MMULT(I1866:W1866,_XtX!$B$78:$P$92),I1866:W1866)</f>
        <v>0.476191292032164</v>
      </c>
      <c r="Z1866" s="0" t="n">
        <f aca="false">04_回帰ANOVA!$K$19*04_回帰ANOVA!$K$14*SQRT(1+Y1866)</f>
        <v>1.58368831471718</v>
      </c>
      <c r="AA1866" s="0" t="n">
        <f aca="false">X1866-Z1866</f>
        <v>45.5594768899612</v>
      </c>
      <c r="AB1866" s="0" t="n">
        <f aca="false">X1866+Z1866</f>
        <v>48.7268535193955</v>
      </c>
      <c r="AC1866" s="54" t="b">
        <f aca="false">AND(E1866&gt;=01_因子設定!$L$5-0.000000001,E1866&lt;=01_因子設定!$M$5+0.000000001,F1866&gt;=01_因子設定!$L$6-0.000000001,F1866&lt;=01_因子設定!$M$6+0.000000001,G1866&gt;=01_因子設定!$L$7-0.000000001,G1866&lt;=01_因子設定!$M$7+0.000000001,H1866&gt;=01_因子設定!$L$8-0.000000001,H1866&lt;=01_因子設定!$M$8+0.000000001,IF(01_因子設定!$B$20="Box-Behnken",E1866^2+F1866^2+G1866^2+H1866^2&lt;=2+0.000000001,TRUE()))</f>
        <v>1</v>
      </c>
      <c r="AD1866" s="55" t="n">
        <f aca="false">IF(AC1866,IF(01_因子設定!$B$13="最大化",AA1866-01_因子設定!$B$14,IF(01_因子設定!$B$13="最小化",01_因子設定!$B$15-AB1866,MIN(AA1866-01_因子設定!$B$14,01_因子設定!$B$15-AB1866))),-1E+030)</f>
        <v>-0.940523110038832</v>
      </c>
      <c r="AE1866" s="55" t="n">
        <f aca="false">IF(AC1866,IF(01_因子設定!$B$13="最大化",X1866,IF(01_因子設定!$B$13="最小化",-X1866,-ABS(X1866-01_因子設定!$B$16))),-1E+030)</f>
        <v>47.1431652046784</v>
      </c>
      <c r="AF1866" s="55" t="n">
        <f aca="false">AD1866+ROW()*0.000000001</f>
        <v>-0.940521244038832</v>
      </c>
      <c r="AG1866" s="55" t="n">
        <f aca="false">AE1866+ROW()*0.000000001</f>
        <v>47.1431670706783</v>
      </c>
    </row>
    <row r="1867" customFormat="false" ht="15" hidden="false" customHeight="false" outlineLevel="0" collapsed="false">
      <c r="A1867" s="0" t="n">
        <v>2</v>
      </c>
      <c r="B1867" s="0" t="n">
        <v>4</v>
      </c>
      <c r="C1867" s="0" t="n">
        <v>8</v>
      </c>
      <c r="D1867" s="0" t="n">
        <v>8</v>
      </c>
      <c r="E1867" s="0" t="n">
        <f aca="false">-1+A1867*0.25</f>
        <v>-0.5</v>
      </c>
      <c r="F1867" s="0" t="n">
        <f aca="false">-1+B1867*0.25</f>
        <v>0</v>
      </c>
      <c r="G1867" s="0" t="n">
        <f aca="false">-1+C1867*0.25</f>
        <v>1</v>
      </c>
      <c r="H1867" s="0" t="n">
        <f aca="false">-1+D1867*0.25</f>
        <v>1</v>
      </c>
      <c r="I1867" s="0" t="n">
        <f aca="false">1</f>
        <v>1</v>
      </c>
      <c r="J1867" s="0" t="n">
        <f aca="false">E1867</f>
        <v>-0.5</v>
      </c>
      <c r="K1867" s="0" t="n">
        <f aca="false">F1867</f>
        <v>0</v>
      </c>
      <c r="L1867" s="0" t="n">
        <f aca="false">G1867</f>
        <v>1</v>
      </c>
      <c r="M1867" s="0" t="n">
        <f aca="false">H1867</f>
        <v>1</v>
      </c>
      <c r="N1867" s="0" t="n">
        <f aca="false">E1867*F1867</f>
        <v>-0</v>
      </c>
      <c r="O1867" s="0" t="n">
        <f aca="false">E1867*G1867</f>
        <v>-0.5</v>
      </c>
      <c r="P1867" s="0" t="n">
        <f aca="false">E1867*H1867</f>
        <v>-0.5</v>
      </c>
      <c r="Q1867" s="0" t="n">
        <f aca="false">F1867*G1867</f>
        <v>0</v>
      </c>
      <c r="R1867" s="0" t="n">
        <f aca="false">F1867*H1867</f>
        <v>0</v>
      </c>
      <c r="S1867" s="0" t="n">
        <f aca="false">G1867*H1867</f>
        <v>1</v>
      </c>
      <c r="T1867" s="0" t="n">
        <f aca="false">E1867*E1867</f>
        <v>0.25</v>
      </c>
      <c r="U1867" s="0" t="n">
        <f aca="false">F1867*F1867</f>
        <v>0</v>
      </c>
      <c r="V1867" s="0" t="n">
        <f aca="false">G1867*G1867</f>
        <v>1</v>
      </c>
      <c r="W1867" s="0" t="n">
        <f aca="false">H1867*H1867</f>
        <v>1</v>
      </c>
      <c r="X1867" s="0" t="n">
        <f aca="false">SUMPRODUCT(I1867:W1867,_XtX!$B$96:$P$96)</f>
        <v>47.1334795321637</v>
      </c>
      <c r="Y1867" s="0" t="n">
        <f aca="false">SUMPRODUCT(MMULT(I1867:W1867,_XtX!$B$78:$P$92),I1867:W1867)</f>
        <v>0.650767543859649</v>
      </c>
      <c r="Z1867" s="0" t="n">
        <f aca="false">04_回帰ANOVA!$K$19*04_回帰ANOVA!$K$14*SQRT(1+Y1867)</f>
        <v>1.67471670935165</v>
      </c>
      <c r="AA1867" s="0" t="n">
        <f aca="false">X1867-Z1867</f>
        <v>45.4587628228121</v>
      </c>
      <c r="AB1867" s="0" t="n">
        <f aca="false">X1867+Z1867</f>
        <v>48.8081962415154</v>
      </c>
      <c r="AC1867" s="54" t="b">
        <f aca="false">AND(E1867&gt;=01_因子設定!$L$5-0.000000001,E1867&lt;=01_因子設定!$M$5+0.000000001,F1867&gt;=01_因子設定!$L$6-0.000000001,F1867&lt;=01_因子設定!$M$6+0.000000001,G1867&gt;=01_因子設定!$L$7-0.000000001,G1867&lt;=01_因子設定!$M$7+0.000000001,H1867&gt;=01_因子設定!$L$8-0.000000001,H1867&lt;=01_因子設定!$M$8+0.000000001,IF(01_因子設定!$B$20="Box-Behnken",E1867^2+F1867^2+G1867^2+H1867^2&lt;=2+0.000000001,TRUE()))</f>
        <v>1</v>
      </c>
      <c r="AD1867" s="55" t="n">
        <f aca="false">IF(AC1867,IF(01_因子設定!$B$13="最大化",AA1867-01_因子設定!$B$14,IF(01_因子設定!$B$13="最小化",01_因子設定!$B$15-AB1867,MIN(AA1867-01_因子設定!$B$14,01_因子設定!$B$15-AB1867))),-1E+030)</f>
        <v>-1.04123717718791</v>
      </c>
      <c r="AE1867" s="55" t="n">
        <f aca="false">IF(AC1867,IF(01_因子設定!$B$13="最大化",X1867,IF(01_因子設定!$B$13="最小化",-X1867,-ABS(X1867-01_因子設定!$B$16))),-1E+030)</f>
        <v>47.1334795321637</v>
      </c>
      <c r="AF1867" s="55" t="n">
        <f aca="false">AD1867+ROW()*0.000000001</f>
        <v>-1.04123531018791</v>
      </c>
      <c r="AG1867" s="55" t="n">
        <f aca="false">AE1867+ROW()*0.000000001</f>
        <v>47.1334813991637</v>
      </c>
    </row>
    <row r="1868" customFormat="false" ht="15" hidden="false" customHeight="false" outlineLevel="0" collapsed="false">
      <c r="A1868" s="0" t="n">
        <v>2</v>
      </c>
      <c r="B1868" s="0" t="n">
        <v>5</v>
      </c>
      <c r="C1868" s="0" t="n">
        <v>0</v>
      </c>
      <c r="D1868" s="0" t="n">
        <v>0</v>
      </c>
      <c r="E1868" s="0" t="n">
        <f aca="false">-1+A1868*0.25</f>
        <v>-0.5</v>
      </c>
      <c r="F1868" s="0" t="n">
        <f aca="false">-1+B1868*0.25</f>
        <v>0.25</v>
      </c>
      <c r="G1868" s="0" t="n">
        <f aca="false">-1+C1868*0.25</f>
        <v>-1</v>
      </c>
      <c r="H1868" s="0" t="n">
        <f aca="false">-1+D1868*0.25</f>
        <v>-1</v>
      </c>
      <c r="I1868" s="0" t="n">
        <f aca="false">1</f>
        <v>1</v>
      </c>
      <c r="J1868" s="0" t="n">
        <f aca="false">E1868</f>
        <v>-0.5</v>
      </c>
      <c r="K1868" s="0" t="n">
        <f aca="false">F1868</f>
        <v>0.25</v>
      </c>
      <c r="L1868" s="0" t="n">
        <f aca="false">G1868</f>
        <v>-1</v>
      </c>
      <c r="M1868" s="0" t="n">
        <f aca="false">H1868</f>
        <v>-1</v>
      </c>
      <c r="N1868" s="0" t="n">
        <f aca="false">E1868*F1868</f>
        <v>-0.125</v>
      </c>
      <c r="O1868" s="0" t="n">
        <f aca="false">E1868*G1868</f>
        <v>0.5</v>
      </c>
      <c r="P1868" s="0" t="n">
        <f aca="false">E1868*H1868</f>
        <v>0.5</v>
      </c>
      <c r="Q1868" s="0" t="n">
        <f aca="false">F1868*G1868</f>
        <v>-0.25</v>
      </c>
      <c r="R1868" s="0" t="n">
        <f aca="false">F1868*H1868</f>
        <v>-0.25</v>
      </c>
      <c r="S1868" s="0" t="n">
        <f aca="false">G1868*H1868</f>
        <v>1</v>
      </c>
      <c r="T1868" s="0" t="n">
        <f aca="false">E1868*E1868</f>
        <v>0.25</v>
      </c>
      <c r="U1868" s="0" t="n">
        <f aca="false">F1868*F1868</f>
        <v>0.0625</v>
      </c>
      <c r="V1868" s="0" t="n">
        <f aca="false">G1868*G1868</f>
        <v>1</v>
      </c>
      <c r="W1868" s="0" t="n">
        <f aca="false">H1868*H1868</f>
        <v>1</v>
      </c>
      <c r="X1868" s="0" t="n">
        <f aca="false">SUMPRODUCT(I1868:W1868,_XtX!$B$96:$P$96)</f>
        <v>44.0272843567252</v>
      </c>
      <c r="Y1868" s="0" t="n">
        <f aca="false">SUMPRODUCT(MMULT(I1868:W1868,_XtX!$B$78:$P$92),I1868:W1868)</f>
        <v>0.629174661915205</v>
      </c>
      <c r="Z1868" s="0" t="n">
        <f aca="false">04_回帰ANOVA!$K$19*04_回帰ANOVA!$K$14*SQRT(1+Y1868)</f>
        <v>1.66372758058297</v>
      </c>
      <c r="AA1868" s="0" t="n">
        <f aca="false">X1868-Z1868</f>
        <v>42.3635567761422</v>
      </c>
      <c r="AB1868" s="0" t="n">
        <f aca="false">X1868+Z1868</f>
        <v>45.6910119373081</v>
      </c>
      <c r="AC1868" s="54" t="b">
        <f aca="false">AND(E1868&gt;=01_因子設定!$L$5-0.000000001,E1868&lt;=01_因子設定!$M$5+0.000000001,F1868&gt;=01_因子設定!$L$6-0.000000001,F1868&lt;=01_因子設定!$M$6+0.000000001,G1868&gt;=01_因子設定!$L$7-0.000000001,G1868&lt;=01_因子設定!$M$7+0.000000001,H1868&gt;=01_因子設定!$L$8-0.000000001,H1868&lt;=01_因子設定!$M$8+0.000000001,IF(01_因子設定!$B$20="Box-Behnken",E1868^2+F1868^2+G1868^2+H1868^2&lt;=2+0.000000001,TRUE()))</f>
        <v>1</v>
      </c>
      <c r="AD1868" s="55" t="n">
        <f aca="false">IF(AC1868,IF(01_因子設定!$B$13="最大化",AA1868-01_因子設定!$B$14,IF(01_因子設定!$B$13="最小化",01_因子設定!$B$15-AB1868,MIN(AA1868-01_因子設定!$B$14,01_因子設定!$B$15-AB1868))),-1E+030)</f>
        <v>-4.13644322385783</v>
      </c>
      <c r="AE1868" s="55" t="n">
        <f aca="false">IF(AC1868,IF(01_因子設定!$B$13="最大化",X1868,IF(01_因子設定!$B$13="最小化",-X1868,-ABS(X1868-01_因子設定!$B$16))),-1E+030)</f>
        <v>44.0272843567252</v>
      </c>
      <c r="AF1868" s="55" t="n">
        <f aca="false">AD1868+ROW()*0.000000001</f>
        <v>-4.13644135585783</v>
      </c>
      <c r="AG1868" s="55" t="n">
        <f aca="false">AE1868+ROW()*0.000000001</f>
        <v>44.0272862247251</v>
      </c>
    </row>
    <row r="1869" customFormat="false" ht="15" hidden="false" customHeight="false" outlineLevel="0" collapsed="false">
      <c r="A1869" s="0" t="n">
        <v>2</v>
      </c>
      <c r="B1869" s="0" t="n">
        <v>5</v>
      </c>
      <c r="C1869" s="0" t="n">
        <v>0</v>
      </c>
      <c r="D1869" s="0" t="n">
        <v>1</v>
      </c>
      <c r="E1869" s="0" t="n">
        <f aca="false">-1+A1869*0.25</f>
        <v>-0.5</v>
      </c>
      <c r="F1869" s="0" t="n">
        <f aca="false">-1+B1869*0.25</f>
        <v>0.25</v>
      </c>
      <c r="G1869" s="0" t="n">
        <f aca="false">-1+C1869*0.25</f>
        <v>-1</v>
      </c>
      <c r="H1869" s="0" t="n">
        <f aca="false">-1+D1869*0.25</f>
        <v>-0.75</v>
      </c>
      <c r="I1869" s="0" t="n">
        <f aca="false">1</f>
        <v>1</v>
      </c>
      <c r="J1869" s="0" t="n">
        <f aca="false">E1869</f>
        <v>-0.5</v>
      </c>
      <c r="K1869" s="0" t="n">
        <f aca="false">F1869</f>
        <v>0.25</v>
      </c>
      <c r="L1869" s="0" t="n">
        <f aca="false">G1869</f>
        <v>-1</v>
      </c>
      <c r="M1869" s="0" t="n">
        <f aca="false">H1869</f>
        <v>-0.75</v>
      </c>
      <c r="N1869" s="0" t="n">
        <f aca="false">E1869*F1869</f>
        <v>-0.125</v>
      </c>
      <c r="O1869" s="0" t="n">
        <f aca="false">E1869*G1869</f>
        <v>0.5</v>
      </c>
      <c r="P1869" s="0" t="n">
        <f aca="false">E1869*H1869</f>
        <v>0.375</v>
      </c>
      <c r="Q1869" s="0" t="n">
        <f aca="false">F1869*G1869</f>
        <v>-0.25</v>
      </c>
      <c r="R1869" s="0" t="n">
        <f aca="false">F1869*H1869</f>
        <v>-0.1875</v>
      </c>
      <c r="S1869" s="0" t="n">
        <f aca="false">G1869*H1869</f>
        <v>0.75</v>
      </c>
      <c r="T1869" s="0" t="n">
        <f aca="false">E1869*E1869</f>
        <v>0.25</v>
      </c>
      <c r="U1869" s="0" t="n">
        <f aca="false">F1869*F1869</f>
        <v>0.0625</v>
      </c>
      <c r="V1869" s="0" t="n">
        <f aca="false">G1869*G1869</f>
        <v>1</v>
      </c>
      <c r="W1869" s="0" t="n">
        <f aca="false">H1869*H1869</f>
        <v>0.5625</v>
      </c>
      <c r="X1869" s="0" t="n">
        <f aca="false">SUMPRODUCT(I1869:W1869,_XtX!$B$96:$P$96)</f>
        <v>44.1952165570175</v>
      </c>
      <c r="Y1869" s="0" t="n">
        <f aca="false">SUMPRODUCT(MMULT(I1869:W1869,_XtX!$B$78:$P$92),I1869:W1869)</f>
        <v>0.459125719572369</v>
      </c>
      <c r="Z1869" s="0" t="n">
        <f aca="false">04_回帰ANOVA!$K$19*04_回帰ANOVA!$K$14*SQRT(1+Y1869)</f>
        <v>1.57450755575573</v>
      </c>
      <c r="AA1869" s="0" t="n">
        <f aca="false">X1869-Z1869</f>
        <v>42.6207090012618</v>
      </c>
      <c r="AB1869" s="0" t="n">
        <f aca="false">X1869+Z1869</f>
        <v>45.7697241127733</v>
      </c>
      <c r="AC1869" s="54" t="b">
        <f aca="false">AND(E1869&gt;=01_因子設定!$L$5-0.000000001,E1869&lt;=01_因子設定!$M$5+0.000000001,F1869&gt;=01_因子設定!$L$6-0.000000001,F1869&lt;=01_因子設定!$M$6+0.000000001,G1869&gt;=01_因子設定!$L$7-0.000000001,G1869&lt;=01_因子設定!$M$7+0.000000001,H1869&gt;=01_因子設定!$L$8-0.000000001,H1869&lt;=01_因子設定!$M$8+0.000000001,IF(01_因子設定!$B$20="Box-Behnken",E1869^2+F1869^2+G1869^2+H1869^2&lt;=2+0.000000001,TRUE()))</f>
        <v>1</v>
      </c>
      <c r="AD1869" s="55" t="n">
        <f aca="false">IF(AC1869,IF(01_因子設定!$B$13="最大化",AA1869-01_因子設定!$B$14,IF(01_因子設定!$B$13="最小化",01_因子設定!$B$15-AB1869,MIN(AA1869-01_因子設定!$B$14,01_因子設定!$B$15-AB1869))),-1E+030)</f>
        <v>-3.87929099873821</v>
      </c>
      <c r="AE1869" s="55" t="n">
        <f aca="false">IF(AC1869,IF(01_因子設定!$B$13="最大化",X1869,IF(01_因子設定!$B$13="最小化",-X1869,-ABS(X1869-01_因子設定!$B$16))),-1E+030)</f>
        <v>44.1952165570175</v>
      </c>
      <c r="AF1869" s="55" t="n">
        <f aca="false">AD1869+ROW()*0.000000001</f>
        <v>-3.87928912973821</v>
      </c>
      <c r="AG1869" s="55" t="n">
        <f aca="false">AE1869+ROW()*0.000000001</f>
        <v>44.1952184260175</v>
      </c>
    </row>
    <row r="1870" customFormat="false" ht="15" hidden="false" customHeight="false" outlineLevel="0" collapsed="false">
      <c r="A1870" s="0" t="n">
        <v>2</v>
      </c>
      <c r="B1870" s="0" t="n">
        <v>5</v>
      </c>
      <c r="C1870" s="0" t="n">
        <v>0</v>
      </c>
      <c r="D1870" s="0" t="n">
        <v>2</v>
      </c>
      <c r="E1870" s="0" t="n">
        <f aca="false">-1+A1870*0.25</f>
        <v>-0.5</v>
      </c>
      <c r="F1870" s="0" t="n">
        <f aca="false">-1+B1870*0.25</f>
        <v>0.25</v>
      </c>
      <c r="G1870" s="0" t="n">
        <f aca="false">-1+C1870*0.25</f>
        <v>-1</v>
      </c>
      <c r="H1870" s="0" t="n">
        <f aca="false">-1+D1870*0.25</f>
        <v>-0.5</v>
      </c>
      <c r="I1870" s="0" t="n">
        <f aca="false">1</f>
        <v>1</v>
      </c>
      <c r="J1870" s="0" t="n">
        <f aca="false">E1870</f>
        <v>-0.5</v>
      </c>
      <c r="K1870" s="0" t="n">
        <f aca="false">F1870</f>
        <v>0.25</v>
      </c>
      <c r="L1870" s="0" t="n">
        <f aca="false">G1870</f>
        <v>-1</v>
      </c>
      <c r="M1870" s="0" t="n">
        <f aca="false">H1870</f>
        <v>-0.5</v>
      </c>
      <c r="N1870" s="0" t="n">
        <f aca="false">E1870*F1870</f>
        <v>-0.125</v>
      </c>
      <c r="O1870" s="0" t="n">
        <f aca="false">E1870*G1870</f>
        <v>0.5</v>
      </c>
      <c r="P1870" s="0" t="n">
        <f aca="false">E1870*H1870</f>
        <v>0.25</v>
      </c>
      <c r="Q1870" s="0" t="n">
        <f aca="false">F1870*G1870</f>
        <v>-0.25</v>
      </c>
      <c r="R1870" s="0" t="n">
        <f aca="false">F1870*H1870</f>
        <v>-0.125</v>
      </c>
      <c r="S1870" s="0" t="n">
        <f aca="false">G1870*H1870</f>
        <v>0.5</v>
      </c>
      <c r="T1870" s="0" t="n">
        <f aca="false">E1870*E1870</f>
        <v>0.25</v>
      </c>
      <c r="U1870" s="0" t="n">
        <f aca="false">F1870*F1870</f>
        <v>0.0625</v>
      </c>
      <c r="V1870" s="0" t="n">
        <f aca="false">G1870*G1870</f>
        <v>1</v>
      </c>
      <c r="W1870" s="0" t="n">
        <f aca="false">H1870*H1870</f>
        <v>0.25</v>
      </c>
      <c r="X1870" s="0" t="n">
        <f aca="false">SUMPRODUCT(I1870:W1870,_XtX!$B$96:$P$96)</f>
        <v>44.3153417397661</v>
      </c>
      <c r="Y1870" s="0" t="n">
        <f aca="false">SUMPRODUCT(MMULT(I1870:W1870,_XtX!$B$78:$P$92),I1870:W1870)</f>
        <v>0.428122715643275</v>
      </c>
      <c r="Z1870" s="0" t="n">
        <f aca="false">04_回帰ANOVA!$K$19*04_回帰ANOVA!$K$14*SQRT(1+Y1870)</f>
        <v>1.55769044623229</v>
      </c>
      <c r="AA1870" s="0" t="n">
        <f aca="false">X1870-Z1870</f>
        <v>42.7576512935338</v>
      </c>
      <c r="AB1870" s="0" t="n">
        <f aca="false">X1870+Z1870</f>
        <v>45.8730321859984</v>
      </c>
      <c r="AC1870" s="54" t="b">
        <f aca="false">AND(E1870&gt;=01_因子設定!$L$5-0.000000001,E1870&lt;=01_因子設定!$M$5+0.000000001,F1870&gt;=01_因子設定!$L$6-0.000000001,F1870&lt;=01_因子設定!$M$6+0.000000001,G1870&gt;=01_因子設定!$L$7-0.000000001,G1870&lt;=01_因子設定!$M$7+0.000000001,H1870&gt;=01_因子設定!$L$8-0.000000001,H1870&lt;=01_因子設定!$M$8+0.000000001,IF(01_因子設定!$B$20="Box-Behnken",E1870^2+F1870^2+G1870^2+H1870^2&lt;=2+0.000000001,TRUE()))</f>
        <v>1</v>
      </c>
      <c r="AD1870" s="55" t="n">
        <f aca="false">IF(AC1870,IF(01_因子設定!$B$13="最大化",AA1870-01_因子設定!$B$14,IF(01_因子設定!$B$13="最小化",01_因子設定!$B$15-AB1870,MIN(AA1870-01_因子設定!$B$14,01_因子設定!$B$15-AB1870))),-1E+030)</f>
        <v>-3.74234870646624</v>
      </c>
      <c r="AE1870" s="55" t="n">
        <f aca="false">IF(AC1870,IF(01_因子設定!$B$13="最大化",X1870,IF(01_因子設定!$B$13="最小化",-X1870,-ABS(X1870-01_因子設定!$B$16))),-1E+030)</f>
        <v>44.3153417397661</v>
      </c>
      <c r="AF1870" s="55" t="n">
        <f aca="false">AD1870+ROW()*0.000000001</f>
        <v>-3.74234683646624</v>
      </c>
      <c r="AG1870" s="55" t="n">
        <f aca="false">AE1870+ROW()*0.000000001</f>
        <v>44.3153436097661</v>
      </c>
    </row>
    <row r="1871" customFormat="false" ht="15" hidden="false" customHeight="false" outlineLevel="0" collapsed="false">
      <c r="A1871" s="0" t="n">
        <v>2</v>
      </c>
      <c r="B1871" s="0" t="n">
        <v>5</v>
      </c>
      <c r="C1871" s="0" t="n">
        <v>0</v>
      </c>
      <c r="D1871" s="0" t="n">
        <v>3</v>
      </c>
      <c r="E1871" s="0" t="n">
        <f aca="false">-1+A1871*0.25</f>
        <v>-0.5</v>
      </c>
      <c r="F1871" s="0" t="n">
        <f aca="false">-1+B1871*0.25</f>
        <v>0.25</v>
      </c>
      <c r="G1871" s="0" t="n">
        <f aca="false">-1+C1871*0.25</f>
        <v>-1</v>
      </c>
      <c r="H1871" s="0" t="n">
        <f aca="false">-1+D1871*0.25</f>
        <v>-0.25</v>
      </c>
      <c r="I1871" s="0" t="n">
        <f aca="false">1</f>
        <v>1</v>
      </c>
      <c r="J1871" s="0" t="n">
        <f aca="false">E1871</f>
        <v>-0.5</v>
      </c>
      <c r="K1871" s="0" t="n">
        <f aca="false">F1871</f>
        <v>0.25</v>
      </c>
      <c r="L1871" s="0" t="n">
        <f aca="false">G1871</f>
        <v>-1</v>
      </c>
      <c r="M1871" s="0" t="n">
        <f aca="false">H1871</f>
        <v>-0.25</v>
      </c>
      <c r="N1871" s="0" t="n">
        <f aca="false">E1871*F1871</f>
        <v>-0.125</v>
      </c>
      <c r="O1871" s="0" t="n">
        <f aca="false">E1871*G1871</f>
        <v>0.5</v>
      </c>
      <c r="P1871" s="0" t="n">
        <f aca="false">E1871*H1871</f>
        <v>0.125</v>
      </c>
      <c r="Q1871" s="0" t="n">
        <f aca="false">F1871*G1871</f>
        <v>-0.25</v>
      </c>
      <c r="R1871" s="0" t="n">
        <f aca="false">F1871*H1871</f>
        <v>-0.0625</v>
      </c>
      <c r="S1871" s="0" t="n">
        <f aca="false">G1871*H1871</f>
        <v>0.25</v>
      </c>
      <c r="T1871" s="0" t="n">
        <f aca="false">E1871*E1871</f>
        <v>0.25</v>
      </c>
      <c r="U1871" s="0" t="n">
        <f aca="false">F1871*F1871</f>
        <v>0.0625</v>
      </c>
      <c r="V1871" s="0" t="n">
        <f aca="false">G1871*G1871</f>
        <v>1</v>
      </c>
      <c r="W1871" s="0" t="n">
        <f aca="false">H1871*H1871</f>
        <v>0.0625</v>
      </c>
      <c r="X1871" s="0" t="n">
        <f aca="false">SUMPRODUCT(I1871:W1871,_XtX!$B$96:$P$96)</f>
        <v>44.3876599049707</v>
      </c>
      <c r="Y1871" s="0" t="n">
        <f aca="false">SUMPRODUCT(MMULT(I1871:W1871,_XtX!$B$78:$P$92),I1871:W1871)</f>
        <v>0.445705123812135</v>
      </c>
      <c r="Z1871" s="0" t="n">
        <f aca="false">04_回帰ANOVA!$K$19*04_回帰ANOVA!$K$14*SQRT(1+Y1871)</f>
        <v>1.56724990734749</v>
      </c>
      <c r="AA1871" s="0" t="n">
        <f aca="false">X1871-Z1871</f>
        <v>42.8204099976232</v>
      </c>
      <c r="AB1871" s="0" t="n">
        <f aca="false">X1871+Z1871</f>
        <v>45.9549098123182</v>
      </c>
      <c r="AC1871" s="54" t="b">
        <f aca="false">AND(E1871&gt;=01_因子設定!$L$5-0.000000001,E1871&lt;=01_因子設定!$M$5+0.000000001,F1871&gt;=01_因子設定!$L$6-0.000000001,F1871&lt;=01_因子設定!$M$6+0.000000001,G1871&gt;=01_因子設定!$L$7-0.000000001,G1871&lt;=01_因子設定!$M$7+0.000000001,H1871&gt;=01_因子設定!$L$8-0.000000001,H1871&lt;=01_因子設定!$M$8+0.000000001,IF(01_因子設定!$B$20="Box-Behnken",E1871^2+F1871^2+G1871^2+H1871^2&lt;=2+0.000000001,TRUE()))</f>
        <v>1</v>
      </c>
      <c r="AD1871" s="55" t="n">
        <f aca="false">IF(AC1871,IF(01_因子設定!$B$13="最大化",AA1871-01_因子設定!$B$14,IF(01_因子設定!$B$13="最小化",01_因子設定!$B$15-AB1871,MIN(AA1871-01_因子設定!$B$14,01_因子設定!$B$15-AB1871))),-1E+030)</f>
        <v>-3.67959000237676</v>
      </c>
      <c r="AE1871" s="55" t="n">
        <f aca="false">IF(AC1871,IF(01_因子設定!$B$13="最大化",X1871,IF(01_因子設定!$B$13="最小化",-X1871,-ABS(X1871-01_因子設定!$B$16))),-1E+030)</f>
        <v>44.3876599049707</v>
      </c>
      <c r="AF1871" s="55" t="n">
        <f aca="false">AD1871+ROW()*0.000000001</f>
        <v>-3.67958813137676</v>
      </c>
      <c r="AG1871" s="55" t="n">
        <f aca="false">AE1871+ROW()*0.000000001</f>
        <v>44.3876617759707</v>
      </c>
    </row>
    <row r="1872" customFormat="false" ht="15" hidden="false" customHeight="false" outlineLevel="0" collapsed="false">
      <c r="A1872" s="0" t="n">
        <v>2</v>
      </c>
      <c r="B1872" s="0" t="n">
        <v>5</v>
      </c>
      <c r="C1872" s="0" t="n">
        <v>0</v>
      </c>
      <c r="D1872" s="0" t="n">
        <v>4</v>
      </c>
      <c r="E1872" s="0" t="n">
        <f aca="false">-1+A1872*0.25</f>
        <v>-0.5</v>
      </c>
      <c r="F1872" s="0" t="n">
        <f aca="false">-1+B1872*0.25</f>
        <v>0.25</v>
      </c>
      <c r="G1872" s="0" t="n">
        <f aca="false">-1+C1872*0.25</f>
        <v>-1</v>
      </c>
      <c r="H1872" s="0" t="n">
        <f aca="false">-1+D1872*0.25</f>
        <v>0</v>
      </c>
      <c r="I1872" s="0" t="n">
        <f aca="false">1</f>
        <v>1</v>
      </c>
      <c r="J1872" s="0" t="n">
        <f aca="false">E1872</f>
        <v>-0.5</v>
      </c>
      <c r="K1872" s="0" t="n">
        <f aca="false">F1872</f>
        <v>0.25</v>
      </c>
      <c r="L1872" s="0" t="n">
        <f aca="false">G1872</f>
        <v>-1</v>
      </c>
      <c r="M1872" s="0" t="n">
        <f aca="false">H1872</f>
        <v>0</v>
      </c>
      <c r="N1872" s="0" t="n">
        <f aca="false">E1872*F1872</f>
        <v>-0.125</v>
      </c>
      <c r="O1872" s="0" t="n">
        <f aca="false">E1872*G1872</f>
        <v>0.5</v>
      </c>
      <c r="P1872" s="0" t="n">
        <f aca="false">E1872*H1872</f>
        <v>-0</v>
      </c>
      <c r="Q1872" s="0" t="n">
        <f aca="false">F1872*G1872</f>
        <v>-0.25</v>
      </c>
      <c r="R1872" s="0" t="n">
        <f aca="false">F1872*H1872</f>
        <v>0</v>
      </c>
      <c r="S1872" s="0" t="n">
        <f aca="false">G1872*H1872</f>
        <v>-0</v>
      </c>
      <c r="T1872" s="0" t="n">
        <f aca="false">E1872*E1872</f>
        <v>0.25</v>
      </c>
      <c r="U1872" s="0" t="n">
        <f aca="false">F1872*F1872</f>
        <v>0.0625</v>
      </c>
      <c r="V1872" s="0" t="n">
        <f aca="false">G1872*G1872</f>
        <v>1</v>
      </c>
      <c r="W1872" s="0" t="n">
        <f aca="false">H1872*H1872</f>
        <v>0</v>
      </c>
      <c r="X1872" s="0" t="n">
        <f aca="false">SUMPRODUCT(I1872:W1872,_XtX!$B$96:$P$96)</f>
        <v>44.4121710526315</v>
      </c>
      <c r="Y1872" s="0" t="n">
        <f aca="false">SUMPRODUCT(MMULT(I1872:W1872,_XtX!$B$78:$P$92),I1872:W1872)</f>
        <v>0.457596628289474</v>
      </c>
      <c r="Z1872" s="0" t="n">
        <f aca="false">04_回帰ANOVA!$K$19*04_回帰ANOVA!$K$14*SQRT(1+Y1872)</f>
        <v>1.57368233664366</v>
      </c>
      <c r="AA1872" s="0" t="n">
        <f aca="false">X1872-Z1872</f>
        <v>42.8384887159879</v>
      </c>
      <c r="AB1872" s="0" t="n">
        <f aca="false">X1872+Z1872</f>
        <v>45.9858533892752</v>
      </c>
      <c r="AC1872" s="54" t="b">
        <f aca="false">AND(E1872&gt;=01_因子設定!$L$5-0.000000001,E1872&lt;=01_因子設定!$M$5+0.000000001,F1872&gt;=01_因子設定!$L$6-0.000000001,F1872&lt;=01_因子設定!$M$6+0.000000001,G1872&gt;=01_因子設定!$L$7-0.000000001,G1872&lt;=01_因子設定!$M$7+0.000000001,H1872&gt;=01_因子設定!$L$8-0.000000001,H1872&lt;=01_因子設定!$M$8+0.000000001,IF(01_因子設定!$B$20="Box-Behnken",E1872^2+F1872^2+G1872^2+H1872^2&lt;=2+0.000000001,TRUE()))</f>
        <v>1</v>
      </c>
      <c r="AD1872" s="55" t="n">
        <f aca="false">IF(AC1872,IF(01_因子設定!$B$13="最大化",AA1872-01_因子設定!$B$14,IF(01_因子設定!$B$13="最小化",01_因子設定!$B$15-AB1872,MIN(AA1872-01_因子設定!$B$14,01_因子設定!$B$15-AB1872))),-1E+030)</f>
        <v>-3.66151128401211</v>
      </c>
      <c r="AE1872" s="55" t="n">
        <f aca="false">IF(AC1872,IF(01_因子設定!$B$13="最大化",X1872,IF(01_因子設定!$B$13="最小化",-X1872,-ABS(X1872-01_因子設定!$B$16))),-1E+030)</f>
        <v>44.4121710526315</v>
      </c>
      <c r="AF1872" s="55" t="n">
        <f aca="false">AD1872+ROW()*0.000000001</f>
        <v>-3.66150941201211</v>
      </c>
      <c r="AG1872" s="55" t="n">
        <f aca="false">AE1872+ROW()*0.000000001</f>
        <v>44.4121729246315</v>
      </c>
    </row>
    <row r="1873" customFormat="false" ht="15" hidden="false" customHeight="false" outlineLevel="0" collapsed="false">
      <c r="A1873" s="0" t="n">
        <v>2</v>
      </c>
      <c r="B1873" s="0" t="n">
        <v>5</v>
      </c>
      <c r="C1873" s="0" t="n">
        <v>0</v>
      </c>
      <c r="D1873" s="0" t="n">
        <v>5</v>
      </c>
      <c r="E1873" s="0" t="n">
        <f aca="false">-1+A1873*0.25</f>
        <v>-0.5</v>
      </c>
      <c r="F1873" s="0" t="n">
        <f aca="false">-1+B1873*0.25</f>
        <v>0.25</v>
      </c>
      <c r="G1873" s="0" t="n">
        <f aca="false">-1+C1873*0.25</f>
        <v>-1</v>
      </c>
      <c r="H1873" s="0" t="n">
        <f aca="false">-1+D1873*0.25</f>
        <v>0.25</v>
      </c>
      <c r="I1873" s="0" t="n">
        <f aca="false">1</f>
        <v>1</v>
      </c>
      <c r="J1873" s="0" t="n">
        <f aca="false">E1873</f>
        <v>-0.5</v>
      </c>
      <c r="K1873" s="0" t="n">
        <f aca="false">F1873</f>
        <v>0.25</v>
      </c>
      <c r="L1873" s="0" t="n">
        <f aca="false">G1873</f>
        <v>-1</v>
      </c>
      <c r="M1873" s="0" t="n">
        <f aca="false">H1873</f>
        <v>0.25</v>
      </c>
      <c r="N1873" s="0" t="n">
        <f aca="false">E1873*F1873</f>
        <v>-0.125</v>
      </c>
      <c r="O1873" s="0" t="n">
        <f aca="false">E1873*G1873</f>
        <v>0.5</v>
      </c>
      <c r="P1873" s="0" t="n">
        <f aca="false">E1873*H1873</f>
        <v>-0.125</v>
      </c>
      <c r="Q1873" s="0" t="n">
        <f aca="false">F1873*G1873</f>
        <v>-0.25</v>
      </c>
      <c r="R1873" s="0" t="n">
        <f aca="false">F1873*H1873</f>
        <v>0.0625</v>
      </c>
      <c r="S1873" s="0" t="n">
        <f aca="false">G1873*H1873</f>
        <v>-0.25</v>
      </c>
      <c r="T1873" s="0" t="n">
        <f aca="false">E1873*E1873</f>
        <v>0.25</v>
      </c>
      <c r="U1873" s="0" t="n">
        <f aca="false">F1873*F1873</f>
        <v>0.0625</v>
      </c>
      <c r="V1873" s="0" t="n">
        <f aca="false">G1873*G1873</f>
        <v>1</v>
      </c>
      <c r="W1873" s="0" t="n">
        <f aca="false">H1873*H1873</f>
        <v>0.0625</v>
      </c>
      <c r="X1873" s="0" t="n">
        <f aca="false">SUMPRODUCT(I1873:W1873,_XtX!$B$96:$P$96)</f>
        <v>44.3888751827485</v>
      </c>
      <c r="Y1873" s="0" t="n">
        <f aca="false">SUMPRODUCT(MMULT(I1873:W1873,_XtX!$B$78:$P$92),I1873:W1873)</f>
        <v>0.445705123812135</v>
      </c>
      <c r="Z1873" s="0" t="n">
        <f aca="false">04_回帰ANOVA!$K$19*04_回帰ANOVA!$K$14*SQRT(1+Y1873)</f>
        <v>1.56724990734749</v>
      </c>
      <c r="AA1873" s="0" t="n">
        <f aca="false">X1873-Z1873</f>
        <v>42.821625275401</v>
      </c>
      <c r="AB1873" s="0" t="n">
        <f aca="false">X1873+Z1873</f>
        <v>45.956125090096</v>
      </c>
      <c r="AC1873" s="54" t="b">
        <f aca="false">AND(E1873&gt;=01_因子設定!$L$5-0.000000001,E1873&lt;=01_因子設定!$M$5+0.000000001,F1873&gt;=01_因子設定!$L$6-0.000000001,F1873&lt;=01_因子設定!$M$6+0.000000001,G1873&gt;=01_因子設定!$L$7-0.000000001,G1873&lt;=01_因子設定!$M$7+0.000000001,H1873&gt;=01_因子設定!$L$8-0.000000001,H1873&lt;=01_因子設定!$M$8+0.000000001,IF(01_因子設定!$B$20="Box-Behnken",E1873^2+F1873^2+G1873^2+H1873^2&lt;=2+0.000000001,TRUE()))</f>
        <v>1</v>
      </c>
      <c r="AD1873" s="55" t="n">
        <f aca="false">IF(AC1873,IF(01_因子設定!$B$13="最大化",AA1873-01_因子設定!$B$14,IF(01_因子設定!$B$13="最小化",01_因子設定!$B$15-AB1873,MIN(AA1873-01_因子設定!$B$14,01_因子設定!$B$15-AB1873))),-1E+030)</f>
        <v>-3.67837472459899</v>
      </c>
      <c r="AE1873" s="55" t="n">
        <f aca="false">IF(AC1873,IF(01_因子設定!$B$13="最大化",X1873,IF(01_因子設定!$B$13="最小化",-X1873,-ABS(X1873-01_因子設定!$B$16))),-1E+030)</f>
        <v>44.3888751827485</v>
      </c>
      <c r="AF1873" s="55" t="n">
        <f aca="false">AD1873+ROW()*0.000000001</f>
        <v>-3.67837285159899</v>
      </c>
      <c r="AG1873" s="55" t="n">
        <f aca="false">AE1873+ROW()*0.000000001</f>
        <v>44.3888770557485</v>
      </c>
    </row>
    <row r="1874" customFormat="false" ht="15" hidden="false" customHeight="false" outlineLevel="0" collapsed="false">
      <c r="A1874" s="0" t="n">
        <v>2</v>
      </c>
      <c r="B1874" s="0" t="n">
        <v>5</v>
      </c>
      <c r="C1874" s="0" t="n">
        <v>0</v>
      </c>
      <c r="D1874" s="0" t="n">
        <v>6</v>
      </c>
      <c r="E1874" s="0" t="n">
        <f aca="false">-1+A1874*0.25</f>
        <v>-0.5</v>
      </c>
      <c r="F1874" s="0" t="n">
        <f aca="false">-1+B1874*0.25</f>
        <v>0.25</v>
      </c>
      <c r="G1874" s="0" t="n">
        <f aca="false">-1+C1874*0.25</f>
        <v>-1</v>
      </c>
      <c r="H1874" s="0" t="n">
        <f aca="false">-1+D1874*0.25</f>
        <v>0.5</v>
      </c>
      <c r="I1874" s="0" t="n">
        <f aca="false">1</f>
        <v>1</v>
      </c>
      <c r="J1874" s="0" t="n">
        <f aca="false">E1874</f>
        <v>-0.5</v>
      </c>
      <c r="K1874" s="0" t="n">
        <f aca="false">F1874</f>
        <v>0.25</v>
      </c>
      <c r="L1874" s="0" t="n">
        <f aca="false">G1874</f>
        <v>-1</v>
      </c>
      <c r="M1874" s="0" t="n">
        <f aca="false">H1874</f>
        <v>0.5</v>
      </c>
      <c r="N1874" s="0" t="n">
        <f aca="false">E1874*F1874</f>
        <v>-0.125</v>
      </c>
      <c r="O1874" s="0" t="n">
        <f aca="false">E1874*G1874</f>
        <v>0.5</v>
      </c>
      <c r="P1874" s="0" t="n">
        <f aca="false">E1874*H1874</f>
        <v>-0.25</v>
      </c>
      <c r="Q1874" s="0" t="n">
        <f aca="false">F1874*G1874</f>
        <v>-0.25</v>
      </c>
      <c r="R1874" s="0" t="n">
        <f aca="false">F1874*H1874</f>
        <v>0.125</v>
      </c>
      <c r="S1874" s="0" t="n">
        <f aca="false">G1874*H1874</f>
        <v>-0.5</v>
      </c>
      <c r="T1874" s="0" t="n">
        <f aca="false">E1874*E1874</f>
        <v>0.25</v>
      </c>
      <c r="U1874" s="0" t="n">
        <f aca="false">F1874*F1874</f>
        <v>0.0625</v>
      </c>
      <c r="V1874" s="0" t="n">
        <f aca="false">G1874*G1874</f>
        <v>1</v>
      </c>
      <c r="W1874" s="0" t="n">
        <f aca="false">H1874*H1874</f>
        <v>0.25</v>
      </c>
      <c r="X1874" s="0" t="n">
        <f aca="false">SUMPRODUCT(I1874:W1874,_XtX!$B$96:$P$96)</f>
        <v>44.3177722953216</v>
      </c>
      <c r="Y1874" s="0" t="n">
        <f aca="false">SUMPRODUCT(MMULT(I1874:W1874,_XtX!$B$78:$P$92),I1874:W1874)</f>
        <v>0.428122715643275</v>
      </c>
      <c r="Z1874" s="0" t="n">
        <f aca="false">04_回帰ANOVA!$K$19*04_回帰ANOVA!$K$14*SQRT(1+Y1874)</f>
        <v>1.55769044623229</v>
      </c>
      <c r="AA1874" s="0" t="n">
        <f aca="false">X1874-Z1874</f>
        <v>42.7600818490893</v>
      </c>
      <c r="AB1874" s="0" t="n">
        <f aca="false">X1874+Z1874</f>
        <v>45.8754627415539</v>
      </c>
      <c r="AC1874" s="54" t="b">
        <f aca="false">AND(E1874&gt;=01_因子設定!$L$5-0.000000001,E1874&lt;=01_因子設定!$M$5+0.000000001,F1874&gt;=01_因子設定!$L$6-0.000000001,F1874&lt;=01_因子設定!$M$6+0.000000001,G1874&gt;=01_因子設定!$L$7-0.000000001,G1874&lt;=01_因子設定!$M$7+0.000000001,H1874&gt;=01_因子設定!$L$8-0.000000001,H1874&lt;=01_因子設定!$M$8+0.000000001,IF(01_因子設定!$B$20="Box-Behnken",E1874^2+F1874^2+G1874^2+H1874^2&lt;=2+0.000000001,TRUE()))</f>
        <v>1</v>
      </c>
      <c r="AD1874" s="55" t="n">
        <f aca="false">IF(AC1874,IF(01_因子設定!$B$13="最大化",AA1874-01_因子設定!$B$14,IF(01_因子設定!$B$13="最小化",01_因子設定!$B$15-AB1874,MIN(AA1874-01_因子設定!$B$14,01_因子設定!$B$15-AB1874))),-1E+030)</f>
        <v>-3.73991815091068</v>
      </c>
      <c r="AE1874" s="55" t="n">
        <f aca="false">IF(AC1874,IF(01_因子設定!$B$13="最大化",X1874,IF(01_因子設定!$B$13="最小化",-X1874,-ABS(X1874-01_因子設定!$B$16))),-1E+030)</f>
        <v>44.3177722953216</v>
      </c>
      <c r="AF1874" s="55" t="n">
        <f aca="false">AD1874+ROW()*0.000000001</f>
        <v>-3.73991627691068</v>
      </c>
      <c r="AG1874" s="55" t="n">
        <f aca="false">AE1874+ROW()*0.000000001</f>
        <v>44.3177741693216</v>
      </c>
    </row>
    <row r="1875" customFormat="false" ht="15" hidden="false" customHeight="false" outlineLevel="0" collapsed="false">
      <c r="A1875" s="0" t="n">
        <v>2</v>
      </c>
      <c r="B1875" s="0" t="n">
        <v>5</v>
      </c>
      <c r="C1875" s="0" t="n">
        <v>0</v>
      </c>
      <c r="D1875" s="0" t="n">
        <v>7</v>
      </c>
      <c r="E1875" s="0" t="n">
        <f aca="false">-1+A1875*0.25</f>
        <v>-0.5</v>
      </c>
      <c r="F1875" s="0" t="n">
        <f aca="false">-1+B1875*0.25</f>
        <v>0.25</v>
      </c>
      <c r="G1875" s="0" t="n">
        <f aca="false">-1+C1875*0.25</f>
        <v>-1</v>
      </c>
      <c r="H1875" s="0" t="n">
        <f aca="false">-1+D1875*0.25</f>
        <v>0.75</v>
      </c>
      <c r="I1875" s="0" t="n">
        <f aca="false">1</f>
        <v>1</v>
      </c>
      <c r="J1875" s="0" t="n">
        <f aca="false">E1875</f>
        <v>-0.5</v>
      </c>
      <c r="K1875" s="0" t="n">
        <f aca="false">F1875</f>
        <v>0.25</v>
      </c>
      <c r="L1875" s="0" t="n">
        <f aca="false">G1875</f>
        <v>-1</v>
      </c>
      <c r="M1875" s="0" t="n">
        <f aca="false">H1875</f>
        <v>0.75</v>
      </c>
      <c r="N1875" s="0" t="n">
        <f aca="false">E1875*F1875</f>
        <v>-0.125</v>
      </c>
      <c r="O1875" s="0" t="n">
        <f aca="false">E1875*G1875</f>
        <v>0.5</v>
      </c>
      <c r="P1875" s="0" t="n">
        <f aca="false">E1875*H1875</f>
        <v>-0.375</v>
      </c>
      <c r="Q1875" s="0" t="n">
        <f aca="false">F1875*G1875</f>
        <v>-0.25</v>
      </c>
      <c r="R1875" s="0" t="n">
        <f aca="false">F1875*H1875</f>
        <v>0.1875</v>
      </c>
      <c r="S1875" s="0" t="n">
        <f aca="false">G1875*H1875</f>
        <v>-0.75</v>
      </c>
      <c r="T1875" s="0" t="n">
        <f aca="false">E1875*E1875</f>
        <v>0.25</v>
      </c>
      <c r="U1875" s="0" t="n">
        <f aca="false">F1875*F1875</f>
        <v>0.0625</v>
      </c>
      <c r="V1875" s="0" t="n">
        <f aca="false">G1875*G1875</f>
        <v>1</v>
      </c>
      <c r="W1875" s="0" t="n">
        <f aca="false">H1875*H1875</f>
        <v>0.5625</v>
      </c>
      <c r="X1875" s="0" t="n">
        <f aca="false">SUMPRODUCT(I1875:W1875,_XtX!$B$96:$P$96)</f>
        <v>44.1988623903509</v>
      </c>
      <c r="Y1875" s="0" t="n">
        <f aca="false">SUMPRODUCT(MMULT(I1875:W1875,_XtX!$B$78:$P$92),I1875:W1875)</f>
        <v>0.459125719572369</v>
      </c>
      <c r="Z1875" s="0" t="n">
        <f aca="false">04_回帰ANOVA!$K$19*04_回帰ANOVA!$K$14*SQRT(1+Y1875)</f>
        <v>1.57450755575573</v>
      </c>
      <c r="AA1875" s="0" t="n">
        <f aca="false">X1875-Z1875</f>
        <v>42.6243548345951</v>
      </c>
      <c r="AB1875" s="0" t="n">
        <f aca="false">X1875+Z1875</f>
        <v>45.7733699461066</v>
      </c>
      <c r="AC1875" s="54" t="b">
        <f aca="false">AND(E1875&gt;=01_因子設定!$L$5-0.000000001,E1875&lt;=01_因子設定!$M$5+0.000000001,F1875&gt;=01_因子設定!$L$6-0.000000001,F1875&lt;=01_因子設定!$M$6+0.000000001,G1875&gt;=01_因子設定!$L$7-0.000000001,G1875&lt;=01_因子設定!$M$7+0.000000001,H1875&gt;=01_因子設定!$L$8-0.000000001,H1875&lt;=01_因子設定!$M$8+0.000000001,IF(01_因子設定!$B$20="Box-Behnken",E1875^2+F1875^2+G1875^2+H1875^2&lt;=2+0.000000001,TRUE()))</f>
        <v>1</v>
      </c>
      <c r="AD1875" s="55" t="n">
        <f aca="false">IF(AC1875,IF(01_因子設定!$B$13="最大化",AA1875-01_因子設定!$B$14,IF(01_因子設定!$B$13="最小化",01_因子設定!$B$15-AB1875,MIN(AA1875-01_因子設定!$B$14,01_因子設定!$B$15-AB1875))),-1E+030)</f>
        <v>-3.87564516540487</v>
      </c>
      <c r="AE1875" s="55" t="n">
        <f aca="false">IF(AC1875,IF(01_因子設定!$B$13="最大化",X1875,IF(01_因子設定!$B$13="最小化",-X1875,-ABS(X1875-01_因子設定!$B$16))),-1E+030)</f>
        <v>44.1988623903509</v>
      </c>
      <c r="AF1875" s="55" t="n">
        <f aca="false">AD1875+ROW()*0.000000001</f>
        <v>-3.87564329040487</v>
      </c>
      <c r="AG1875" s="55" t="n">
        <f aca="false">AE1875+ROW()*0.000000001</f>
        <v>44.1988642653509</v>
      </c>
    </row>
    <row r="1876" customFormat="false" ht="15" hidden="false" customHeight="false" outlineLevel="0" collapsed="false">
      <c r="A1876" s="0" t="n">
        <v>2</v>
      </c>
      <c r="B1876" s="0" t="n">
        <v>5</v>
      </c>
      <c r="C1876" s="0" t="n">
        <v>0</v>
      </c>
      <c r="D1876" s="0" t="n">
        <v>8</v>
      </c>
      <c r="E1876" s="0" t="n">
        <f aca="false">-1+A1876*0.25</f>
        <v>-0.5</v>
      </c>
      <c r="F1876" s="0" t="n">
        <f aca="false">-1+B1876*0.25</f>
        <v>0.25</v>
      </c>
      <c r="G1876" s="0" t="n">
        <f aca="false">-1+C1876*0.25</f>
        <v>-1</v>
      </c>
      <c r="H1876" s="0" t="n">
        <f aca="false">-1+D1876*0.25</f>
        <v>1</v>
      </c>
      <c r="I1876" s="0" t="n">
        <f aca="false">1</f>
        <v>1</v>
      </c>
      <c r="J1876" s="0" t="n">
        <f aca="false">E1876</f>
        <v>-0.5</v>
      </c>
      <c r="K1876" s="0" t="n">
        <f aca="false">F1876</f>
        <v>0.25</v>
      </c>
      <c r="L1876" s="0" t="n">
        <f aca="false">G1876</f>
        <v>-1</v>
      </c>
      <c r="M1876" s="0" t="n">
        <f aca="false">H1876</f>
        <v>1</v>
      </c>
      <c r="N1876" s="0" t="n">
        <f aca="false">E1876*F1876</f>
        <v>-0.125</v>
      </c>
      <c r="O1876" s="0" t="n">
        <f aca="false">E1876*G1876</f>
        <v>0.5</v>
      </c>
      <c r="P1876" s="0" t="n">
        <f aca="false">E1876*H1876</f>
        <v>-0.5</v>
      </c>
      <c r="Q1876" s="0" t="n">
        <f aca="false">F1876*G1876</f>
        <v>-0.25</v>
      </c>
      <c r="R1876" s="0" t="n">
        <f aca="false">F1876*H1876</f>
        <v>0.25</v>
      </c>
      <c r="S1876" s="0" t="n">
        <f aca="false">G1876*H1876</f>
        <v>-1</v>
      </c>
      <c r="T1876" s="0" t="n">
        <f aca="false">E1876*E1876</f>
        <v>0.25</v>
      </c>
      <c r="U1876" s="0" t="n">
        <f aca="false">F1876*F1876</f>
        <v>0.0625</v>
      </c>
      <c r="V1876" s="0" t="n">
        <f aca="false">G1876*G1876</f>
        <v>1</v>
      </c>
      <c r="W1876" s="0" t="n">
        <f aca="false">H1876*H1876</f>
        <v>1</v>
      </c>
      <c r="X1876" s="0" t="n">
        <f aca="false">SUMPRODUCT(I1876:W1876,_XtX!$B$96:$P$96)</f>
        <v>44.0321454678363</v>
      </c>
      <c r="Y1876" s="0" t="n">
        <f aca="false">SUMPRODUCT(MMULT(I1876:W1876,_XtX!$B$78:$P$92),I1876:W1876)</f>
        <v>0.629174661915205</v>
      </c>
      <c r="Z1876" s="0" t="n">
        <f aca="false">04_回帰ANOVA!$K$19*04_回帰ANOVA!$K$14*SQRT(1+Y1876)</f>
        <v>1.66372758058297</v>
      </c>
      <c r="AA1876" s="0" t="n">
        <f aca="false">X1876-Z1876</f>
        <v>42.3684178872533</v>
      </c>
      <c r="AB1876" s="0" t="n">
        <f aca="false">X1876+Z1876</f>
        <v>45.6958730484192</v>
      </c>
      <c r="AC1876" s="54" t="b">
        <f aca="false">AND(E1876&gt;=01_因子設定!$L$5-0.000000001,E1876&lt;=01_因子設定!$M$5+0.000000001,F1876&gt;=01_因子設定!$L$6-0.000000001,F1876&lt;=01_因子設定!$M$6+0.000000001,G1876&gt;=01_因子設定!$L$7-0.000000001,G1876&lt;=01_因子設定!$M$7+0.000000001,H1876&gt;=01_因子設定!$L$8-0.000000001,H1876&lt;=01_因子設定!$M$8+0.000000001,IF(01_因子設定!$B$20="Box-Behnken",E1876^2+F1876^2+G1876^2+H1876^2&lt;=2+0.000000001,TRUE()))</f>
        <v>1</v>
      </c>
      <c r="AD1876" s="55" t="n">
        <f aca="false">IF(AC1876,IF(01_因子設定!$B$13="最大化",AA1876-01_因子設定!$B$14,IF(01_因子設定!$B$13="最小化",01_因子設定!$B$15-AB1876,MIN(AA1876-01_因子設定!$B$14,01_因子設定!$B$15-AB1876))),-1E+030)</f>
        <v>-4.13158211274671</v>
      </c>
      <c r="AE1876" s="55" t="n">
        <f aca="false">IF(AC1876,IF(01_因子設定!$B$13="最大化",X1876,IF(01_因子設定!$B$13="最小化",-X1876,-ABS(X1876-01_因子設定!$B$16))),-1E+030)</f>
        <v>44.0321454678363</v>
      </c>
      <c r="AF1876" s="55" t="n">
        <f aca="false">AD1876+ROW()*0.000000001</f>
        <v>-4.13158023674671</v>
      </c>
      <c r="AG1876" s="55" t="n">
        <f aca="false">AE1876+ROW()*0.000000001</f>
        <v>44.0321473438363</v>
      </c>
    </row>
    <row r="1877" customFormat="false" ht="15" hidden="false" customHeight="false" outlineLevel="0" collapsed="false">
      <c r="A1877" s="0" t="n">
        <v>2</v>
      </c>
      <c r="B1877" s="0" t="n">
        <v>5</v>
      </c>
      <c r="C1877" s="0" t="n">
        <v>1</v>
      </c>
      <c r="D1877" s="0" t="n">
        <v>0</v>
      </c>
      <c r="E1877" s="0" t="n">
        <f aca="false">-1+A1877*0.25</f>
        <v>-0.5</v>
      </c>
      <c r="F1877" s="0" t="n">
        <f aca="false">-1+B1877*0.25</f>
        <v>0.25</v>
      </c>
      <c r="G1877" s="0" t="n">
        <f aca="false">-1+C1877*0.25</f>
        <v>-0.75</v>
      </c>
      <c r="H1877" s="0" t="n">
        <f aca="false">-1+D1877*0.25</f>
        <v>-1</v>
      </c>
      <c r="I1877" s="0" t="n">
        <f aca="false">1</f>
        <v>1</v>
      </c>
      <c r="J1877" s="0" t="n">
        <f aca="false">E1877</f>
        <v>-0.5</v>
      </c>
      <c r="K1877" s="0" t="n">
        <f aca="false">F1877</f>
        <v>0.25</v>
      </c>
      <c r="L1877" s="0" t="n">
        <f aca="false">G1877</f>
        <v>-0.75</v>
      </c>
      <c r="M1877" s="0" t="n">
        <f aca="false">H1877</f>
        <v>-1</v>
      </c>
      <c r="N1877" s="0" t="n">
        <f aca="false">E1877*F1877</f>
        <v>-0.125</v>
      </c>
      <c r="O1877" s="0" t="n">
        <f aca="false">E1877*G1877</f>
        <v>0.375</v>
      </c>
      <c r="P1877" s="0" t="n">
        <f aca="false">E1877*H1877</f>
        <v>0.5</v>
      </c>
      <c r="Q1877" s="0" t="n">
        <f aca="false">F1877*G1877</f>
        <v>-0.1875</v>
      </c>
      <c r="R1877" s="0" t="n">
        <f aca="false">F1877*H1877</f>
        <v>-0.25</v>
      </c>
      <c r="S1877" s="0" t="n">
        <f aca="false">G1877*H1877</f>
        <v>0.75</v>
      </c>
      <c r="T1877" s="0" t="n">
        <f aca="false">E1877*E1877</f>
        <v>0.25</v>
      </c>
      <c r="U1877" s="0" t="n">
        <f aca="false">F1877*F1877</f>
        <v>0.0625</v>
      </c>
      <c r="V1877" s="0" t="n">
        <f aca="false">G1877*G1877</f>
        <v>0.5625</v>
      </c>
      <c r="W1877" s="0" t="n">
        <f aca="false">H1877*H1877</f>
        <v>1</v>
      </c>
      <c r="X1877" s="0" t="n">
        <f aca="false">SUMPRODUCT(I1877:W1877,_XtX!$B$96:$P$96)</f>
        <v>44.600598501462</v>
      </c>
      <c r="Y1877" s="0" t="n">
        <f aca="false">SUMPRODUCT(MMULT(I1877:W1877,_XtX!$B$78:$P$92),I1877:W1877)</f>
        <v>0.459125719572369</v>
      </c>
      <c r="Z1877" s="0" t="n">
        <f aca="false">04_回帰ANOVA!$K$19*04_回帰ANOVA!$K$14*SQRT(1+Y1877)</f>
        <v>1.57450755575573</v>
      </c>
      <c r="AA1877" s="0" t="n">
        <f aca="false">X1877-Z1877</f>
        <v>43.0260909457063</v>
      </c>
      <c r="AB1877" s="0" t="n">
        <f aca="false">X1877+Z1877</f>
        <v>46.1751060572177</v>
      </c>
      <c r="AC1877" s="54" t="b">
        <f aca="false">AND(E1877&gt;=01_因子設定!$L$5-0.000000001,E1877&lt;=01_因子設定!$M$5+0.000000001,F1877&gt;=01_因子設定!$L$6-0.000000001,F1877&lt;=01_因子設定!$M$6+0.000000001,G1877&gt;=01_因子設定!$L$7-0.000000001,G1877&lt;=01_因子設定!$M$7+0.000000001,H1877&gt;=01_因子設定!$L$8-0.000000001,H1877&lt;=01_因子設定!$M$8+0.000000001,IF(01_因子設定!$B$20="Box-Behnken",E1877^2+F1877^2+G1877^2+H1877^2&lt;=2+0.000000001,TRUE()))</f>
        <v>1</v>
      </c>
      <c r="AD1877" s="55" t="n">
        <f aca="false">IF(AC1877,IF(01_因子設定!$B$13="最大化",AA1877-01_因子設定!$B$14,IF(01_因子設定!$B$13="最小化",01_因子設定!$B$15-AB1877,MIN(AA1877-01_因子設定!$B$14,01_因子設定!$B$15-AB1877))),-1E+030)</f>
        <v>-3.47390905429374</v>
      </c>
      <c r="AE1877" s="55" t="n">
        <f aca="false">IF(AC1877,IF(01_因子設定!$B$13="最大化",X1877,IF(01_因子設定!$B$13="最小化",-X1877,-ABS(X1877-01_因子設定!$B$16))),-1E+030)</f>
        <v>44.600598501462</v>
      </c>
      <c r="AF1877" s="55" t="n">
        <f aca="false">AD1877+ROW()*0.000000001</f>
        <v>-3.47390717729374</v>
      </c>
      <c r="AG1877" s="55" t="n">
        <f aca="false">AE1877+ROW()*0.000000001</f>
        <v>44.600600378462</v>
      </c>
    </row>
    <row r="1878" customFormat="false" ht="15" hidden="false" customHeight="false" outlineLevel="0" collapsed="false">
      <c r="A1878" s="0" t="n">
        <v>2</v>
      </c>
      <c r="B1878" s="0" t="n">
        <v>5</v>
      </c>
      <c r="C1878" s="0" t="n">
        <v>1</v>
      </c>
      <c r="D1878" s="0" t="n">
        <v>1</v>
      </c>
      <c r="E1878" s="0" t="n">
        <f aca="false">-1+A1878*0.25</f>
        <v>-0.5</v>
      </c>
      <c r="F1878" s="0" t="n">
        <f aca="false">-1+B1878*0.25</f>
        <v>0.25</v>
      </c>
      <c r="G1878" s="0" t="n">
        <f aca="false">-1+C1878*0.25</f>
        <v>-0.75</v>
      </c>
      <c r="H1878" s="0" t="n">
        <f aca="false">-1+D1878*0.25</f>
        <v>-0.75</v>
      </c>
      <c r="I1878" s="0" t="n">
        <f aca="false">1</f>
        <v>1</v>
      </c>
      <c r="J1878" s="0" t="n">
        <f aca="false">E1878</f>
        <v>-0.5</v>
      </c>
      <c r="K1878" s="0" t="n">
        <f aca="false">F1878</f>
        <v>0.25</v>
      </c>
      <c r="L1878" s="0" t="n">
        <f aca="false">G1878</f>
        <v>-0.75</v>
      </c>
      <c r="M1878" s="0" t="n">
        <f aca="false">H1878</f>
        <v>-0.75</v>
      </c>
      <c r="N1878" s="0" t="n">
        <f aca="false">E1878*F1878</f>
        <v>-0.125</v>
      </c>
      <c r="O1878" s="0" t="n">
        <f aca="false">E1878*G1878</f>
        <v>0.375</v>
      </c>
      <c r="P1878" s="0" t="n">
        <f aca="false">E1878*H1878</f>
        <v>0.375</v>
      </c>
      <c r="Q1878" s="0" t="n">
        <f aca="false">F1878*G1878</f>
        <v>-0.1875</v>
      </c>
      <c r="R1878" s="0" t="n">
        <f aca="false">F1878*H1878</f>
        <v>-0.1875</v>
      </c>
      <c r="S1878" s="0" t="n">
        <f aca="false">G1878*H1878</f>
        <v>0.5625</v>
      </c>
      <c r="T1878" s="0" t="n">
        <f aca="false">E1878*E1878</f>
        <v>0.25</v>
      </c>
      <c r="U1878" s="0" t="n">
        <f aca="false">F1878*F1878</f>
        <v>0.0625</v>
      </c>
      <c r="V1878" s="0" t="n">
        <f aca="false">G1878*G1878</f>
        <v>0.5625</v>
      </c>
      <c r="W1878" s="0" t="n">
        <f aca="false">H1878*H1878</f>
        <v>0.5625</v>
      </c>
      <c r="X1878" s="0" t="n">
        <f aca="false">SUMPRODUCT(I1878:W1878,_XtX!$B$96:$P$96)</f>
        <v>44.7864994517544</v>
      </c>
      <c r="Y1878" s="0" t="n">
        <f aca="false">SUMPRODUCT(MMULT(I1878:W1878,_XtX!$B$78:$P$92),I1878:W1878)</f>
        <v>0.257385610836988</v>
      </c>
      <c r="Z1878" s="0" t="n">
        <f aca="false">04_回帰ANOVA!$K$19*04_回帰ANOVA!$K$14*SQRT(1+Y1878)</f>
        <v>1.46161380324158</v>
      </c>
      <c r="AA1878" s="0" t="n">
        <f aca="false">X1878-Z1878</f>
        <v>43.3248856485128</v>
      </c>
      <c r="AB1878" s="0" t="n">
        <f aca="false">X1878+Z1878</f>
        <v>46.248113254996</v>
      </c>
      <c r="AC1878" s="54" t="b">
        <f aca="false">AND(E1878&gt;=01_因子設定!$L$5-0.000000001,E1878&lt;=01_因子設定!$M$5+0.000000001,F1878&gt;=01_因子設定!$L$6-0.000000001,F1878&lt;=01_因子設定!$M$6+0.000000001,G1878&gt;=01_因子設定!$L$7-0.000000001,G1878&lt;=01_因子設定!$M$7+0.000000001,H1878&gt;=01_因子設定!$L$8-0.000000001,H1878&lt;=01_因子設定!$M$8+0.000000001,IF(01_因子設定!$B$20="Box-Behnken",E1878^2+F1878^2+G1878^2+H1878^2&lt;=2+0.000000001,TRUE()))</f>
        <v>1</v>
      </c>
      <c r="AD1878" s="55" t="n">
        <f aca="false">IF(AC1878,IF(01_因子設定!$B$13="最大化",AA1878-01_因子設定!$B$14,IF(01_因子設定!$B$13="最小化",01_因子設定!$B$15-AB1878,MIN(AA1878-01_因子設定!$B$14,01_因子設定!$B$15-AB1878))),-1E+030)</f>
        <v>-3.17511435148722</v>
      </c>
      <c r="AE1878" s="55" t="n">
        <f aca="false">IF(AC1878,IF(01_因子設定!$B$13="最大化",X1878,IF(01_因子設定!$B$13="最小化",-X1878,-ABS(X1878-01_因子設定!$B$16))),-1E+030)</f>
        <v>44.7864994517544</v>
      </c>
      <c r="AF1878" s="55" t="n">
        <f aca="false">AD1878+ROW()*0.000000001</f>
        <v>-3.17511247348722</v>
      </c>
      <c r="AG1878" s="55" t="n">
        <f aca="false">AE1878+ROW()*0.000000001</f>
        <v>44.7865013297544</v>
      </c>
    </row>
    <row r="1879" customFormat="false" ht="15" hidden="false" customHeight="false" outlineLevel="0" collapsed="false">
      <c r="A1879" s="0" t="n">
        <v>2</v>
      </c>
      <c r="B1879" s="0" t="n">
        <v>5</v>
      </c>
      <c r="C1879" s="0" t="n">
        <v>1</v>
      </c>
      <c r="D1879" s="0" t="n">
        <v>2</v>
      </c>
      <c r="E1879" s="0" t="n">
        <f aca="false">-1+A1879*0.25</f>
        <v>-0.5</v>
      </c>
      <c r="F1879" s="0" t="n">
        <f aca="false">-1+B1879*0.25</f>
        <v>0.25</v>
      </c>
      <c r="G1879" s="0" t="n">
        <f aca="false">-1+C1879*0.25</f>
        <v>-0.75</v>
      </c>
      <c r="H1879" s="0" t="n">
        <f aca="false">-1+D1879*0.25</f>
        <v>-0.5</v>
      </c>
      <c r="I1879" s="0" t="n">
        <f aca="false">1</f>
        <v>1</v>
      </c>
      <c r="J1879" s="0" t="n">
        <f aca="false">E1879</f>
        <v>-0.5</v>
      </c>
      <c r="K1879" s="0" t="n">
        <f aca="false">F1879</f>
        <v>0.25</v>
      </c>
      <c r="L1879" s="0" t="n">
        <f aca="false">G1879</f>
        <v>-0.75</v>
      </c>
      <c r="M1879" s="0" t="n">
        <f aca="false">H1879</f>
        <v>-0.5</v>
      </c>
      <c r="N1879" s="0" t="n">
        <f aca="false">E1879*F1879</f>
        <v>-0.125</v>
      </c>
      <c r="O1879" s="0" t="n">
        <f aca="false">E1879*G1879</f>
        <v>0.375</v>
      </c>
      <c r="P1879" s="0" t="n">
        <f aca="false">E1879*H1879</f>
        <v>0.25</v>
      </c>
      <c r="Q1879" s="0" t="n">
        <f aca="false">F1879*G1879</f>
        <v>-0.1875</v>
      </c>
      <c r="R1879" s="0" t="n">
        <f aca="false">F1879*H1879</f>
        <v>-0.125</v>
      </c>
      <c r="S1879" s="0" t="n">
        <f aca="false">G1879*H1879</f>
        <v>0.375</v>
      </c>
      <c r="T1879" s="0" t="n">
        <f aca="false">E1879*E1879</f>
        <v>0.25</v>
      </c>
      <c r="U1879" s="0" t="n">
        <f aca="false">F1879*F1879</f>
        <v>0.0625</v>
      </c>
      <c r="V1879" s="0" t="n">
        <f aca="false">G1879*G1879</f>
        <v>0.5625</v>
      </c>
      <c r="W1879" s="0" t="n">
        <f aca="false">H1879*H1879</f>
        <v>0.25</v>
      </c>
      <c r="X1879" s="0" t="n">
        <f aca="false">SUMPRODUCT(I1879:W1879,_XtX!$B$96:$P$96)</f>
        <v>44.9245933845029</v>
      </c>
      <c r="Y1879" s="0" t="n">
        <f aca="false">SUMPRODUCT(MMULT(I1879:W1879,_XtX!$B$78:$P$92),I1879:W1879)</f>
        <v>0.203746059484649</v>
      </c>
      <c r="Z1879" s="0" t="n">
        <f aca="false">04_回帰ANOVA!$K$19*04_回帰ANOVA!$K$14*SQRT(1+Y1879)</f>
        <v>1.43009810755465</v>
      </c>
      <c r="AA1879" s="0" t="n">
        <f aca="false">X1879-Z1879</f>
        <v>43.4944952769482</v>
      </c>
      <c r="AB1879" s="0" t="n">
        <f aca="false">X1879+Z1879</f>
        <v>46.3546914920575</v>
      </c>
      <c r="AC1879" s="54" t="b">
        <f aca="false">AND(E1879&gt;=01_因子設定!$L$5-0.000000001,E1879&lt;=01_因子設定!$M$5+0.000000001,F1879&gt;=01_因子設定!$L$6-0.000000001,F1879&lt;=01_因子設定!$M$6+0.000000001,G1879&gt;=01_因子設定!$L$7-0.000000001,G1879&lt;=01_因子設定!$M$7+0.000000001,H1879&gt;=01_因子設定!$L$8-0.000000001,H1879&lt;=01_因子設定!$M$8+0.000000001,IF(01_因子設定!$B$20="Box-Behnken",E1879^2+F1879^2+G1879^2+H1879^2&lt;=2+0.000000001,TRUE()))</f>
        <v>1</v>
      </c>
      <c r="AD1879" s="55" t="n">
        <f aca="false">IF(AC1879,IF(01_因子設定!$B$13="最大化",AA1879-01_因子設定!$B$14,IF(01_因子設定!$B$13="最小化",01_因子設定!$B$15-AB1879,MIN(AA1879-01_因子設定!$B$14,01_因子設定!$B$15-AB1879))),-1E+030)</f>
        <v>-3.00550472305176</v>
      </c>
      <c r="AE1879" s="55" t="n">
        <f aca="false">IF(AC1879,IF(01_因子設定!$B$13="最大化",X1879,IF(01_因子設定!$B$13="最小化",-X1879,-ABS(X1879-01_因子設定!$B$16))),-1E+030)</f>
        <v>44.9245933845029</v>
      </c>
      <c r="AF1879" s="55" t="n">
        <f aca="false">AD1879+ROW()*0.000000001</f>
        <v>-3.00550284405176</v>
      </c>
      <c r="AG1879" s="55" t="n">
        <f aca="false">AE1879+ROW()*0.000000001</f>
        <v>44.9245952635029</v>
      </c>
    </row>
    <row r="1880" customFormat="false" ht="15" hidden="false" customHeight="false" outlineLevel="0" collapsed="false">
      <c r="A1880" s="0" t="n">
        <v>2</v>
      </c>
      <c r="B1880" s="0" t="n">
        <v>5</v>
      </c>
      <c r="C1880" s="0" t="n">
        <v>1</v>
      </c>
      <c r="D1880" s="0" t="n">
        <v>3</v>
      </c>
      <c r="E1880" s="0" t="n">
        <f aca="false">-1+A1880*0.25</f>
        <v>-0.5</v>
      </c>
      <c r="F1880" s="0" t="n">
        <f aca="false">-1+B1880*0.25</f>
        <v>0.25</v>
      </c>
      <c r="G1880" s="0" t="n">
        <f aca="false">-1+C1880*0.25</f>
        <v>-0.75</v>
      </c>
      <c r="H1880" s="0" t="n">
        <f aca="false">-1+D1880*0.25</f>
        <v>-0.25</v>
      </c>
      <c r="I1880" s="0" t="n">
        <f aca="false">1</f>
        <v>1</v>
      </c>
      <c r="J1880" s="0" t="n">
        <f aca="false">E1880</f>
        <v>-0.5</v>
      </c>
      <c r="K1880" s="0" t="n">
        <f aca="false">F1880</f>
        <v>0.25</v>
      </c>
      <c r="L1880" s="0" t="n">
        <f aca="false">G1880</f>
        <v>-0.75</v>
      </c>
      <c r="M1880" s="0" t="n">
        <f aca="false">H1880</f>
        <v>-0.25</v>
      </c>
      <c r="N1880" s="0" t="n">
        <f aca="false">E1880*F1880</f>
        <v>-0.125</v>
      </c>
      <c r="O1880" s="0" t="n">
        <f aca="false">E1880*G1880</f>
        <v>0.375</v>
      </c>
      <c r="P1880" s="0" t="n">
        <f aca="false">E1880*H1880</f>
        <v>0.125</v>
      </c>
      <c r="Q1880" s="0" t="n">
        <f aca="false">F1880*G1880</f>
        <v>-0.1875</v>
      </c>
      <c r="R1880" s="0" t="n">
        <f aca="false">F1880*H1880</f>
        <v>-0.0625</v>
      </c>
      <c r="S1880" s="0" t="n">
        <f aca="false">G1880*H1880</f>
        <v>0.1875</v>
      </c>
      <c r="T1880" s="0" t="n">
        <f aca="false">E1880*E1880</f>
        <v>0.25</v>
      </c>
      <c r="U1880" s="0" t="n">
        <f aca="false">F1880*F1880</f>
        <v>0.0625</v>
      </c>
      <c r="V1880" s="0" t="n">
        <f aca="false">G1880*G1880</f>
        <v>0.5625</v>
      </c>
      <c r="W1880" s="0" t="n">
        <f aca="false">H1880*H1880</f>
        <v>0.0625</v>
      </c>
      <c r="X1880" s="0" t="n">
        <f aca="false">SUMPRODUCT(I1880:W1880,_XtX!$B$96:$P$96)</f>
        <v>45.0148802997076</v>
      </c>
      <c r="Y1880" s="0" t="n">
        <f aca="false">SUMPRODUCT(MMULT(I1880:W1880,_XtX!$B$78:$P$92),I1880:W1880)</f>
        <v>0.207746539199561</v>
      </c>
      <c r="Z1880" s="0" t="n">
        <f aca="false">04_回帰ANOVA!$K$19*04_回帰ANOVA!$K$14*SQRT(1+Y1880)</f>
        <v>1.43247250081141</v>
      </c>
      <c r="AA1880" s="0" t="n">
        <f aca="false">X1880-Z1880</f>
        <v>43.5824077988962</v>
      </c>
      <c r="AB1880" s="0" t="n">
        <f aca="false">X1880+Z1880</f>
        <v>46.447352800519</v>
      </c>
      <c r="AC1880" s="54" t="b">
        <f aca="false">AND(E1880&gt;=01_因子設定!$L$5-0.000000001,E1880&lt;=01_因子設定!$M$5+0.000000001,F1880&gt;=01_因子設定!$L$6-0.000000001,F1880&lt;=01_因子設定!$M$6+0.000000001,G1880&gt;=01_因子設定!$L$7-0.000000001,G1880&lt;=01_因子設定!$M$7+0.000000001,H1880&gt;=01_因子設定!$L$8-0.000000001,H1880&lt;=01_因子設定!$M$8+0.000000001,IF(01_因子設定!$B$20="Box-Behnken",E1880^2+F1880^2+G1880^2+H1880^2&lt;=2+0.000000001,TRUE()))</f>
        <v>1</v>
      </c>
      <c r="AD1880" s="55" t="n">
        <f aca="false">IF(AC1880,IF(01_因子設定!$B$13="最大化",AA1880-01_因子設定!$B$14,IF(01_因子設定!$B$13="最小化",01_因子設定!$B$15-AB1880,MIN(AA1880-01_因子設定!$B$14,01_因子設定!$B$15-AB1880))),-1E+030)</f>
        <v>-2.91759220110384</v>
      </c>
      <c r="AE1880" s="55" t="n">
        <f aca="false">IF(AC1880,IF(01_因子設定!$B$13="最大化",X1880,IF(01_因子設定!$B$13="最小化",-X1880,-ABS(X1880-01_因子設定!$B$16))),-1E+030)</f>
        <v>45.0148802997076</v>
      </c>
      <c r="AF1880" s="55" t="n">
        <f aca="false">AD1880+ROW()*0.000000001</f>
        <v>-2.91759032110384</v>
      </c>
      <c r="AG1880" s="55" t="n">
        <f aca="false">AE1880+ROW()*0.000000001</f>
        <v>45.0148821797076</v>
      </c>
    </row>
    <row r="1881" customFormat="false" ht="15" hidden="false" customHeight="false" outlineLevel="0" collapsed="false">
      <c r="A1881" s="0" t="n">
        <v>2</v>
      </c>
      <c r="B1881" s="0" t="n">
        <v>5</v>
      </c>
      <c r="C1881" s="0" t="n">
        <v>1</v>
      </c>
      <c r="D1881" s="0" t="n">
        <v>4</v>
      </c>
      <c r="E1881" s="0" t="n">
        <f aca="false">-1+A1881*0.25</f>
        <v>-0.5</v>
      </c>
      <c r="F1881" s="0" t="n">
        <f aca="false">-1+B1881*0.25</f>
        <v>0.25</v>
      </c>
      <c r="G1881" s="0" t="n">
        <f aca="false">-1+C1881*0.25</f>
        <v>-0.75</v>
      </c>
      <c r="H1881" s="0" t="n">
        <f aca="false">-1+D1881*0.25</f>
        <v>0</v>
      </c>
      <c r="I1881" s="0" t="n">
        <f aca="false">1</f>
        <v>1</v>
      </c>
      <c r="J1881" s="0" t="n">
        <f aca="false">E1881</f>
        <v>-0.5</v>
      </c>
      <c r="K1881" s="0" t="n">
        <f aca="false">F1881</f>
        <v>0.25</v>
      </c>
      <c r="L1881" s="0" t="n">
        <f aca="false">G1881</f>
        <v>-0.75</v>
      </c>
      <c r="M1881" s="0" t="n">
        <f aca="false">H1881</f>
        <v>0</v>
      </c>
      <c r="N1881" s="0" t="n">
        <f aca="false">E1881*F1881</f>
        <v>-0.125</v>
      </c>
      <c r="O1881" s="0" t="n">
        <f aca="false">E1881*G1881</f>
        <v>0.375</v>
      </c>
      <c r="P1881" s="0" t="n">
        <f aca="false">E1881*H1881</f>
        <v>-0</v>
      </c>
      <c r="Q1881" s="0" t="n">
        <f aca="false">F1881*G1881</f>
        <v>-0.1875</v>
      </c>
      <c r="R1881" s="0" t="n">
        <f aca="false">F1881*H1881</f>
        <v>0</v>
      </c>
      <c r="S1881" s="0" t="n">
        <f aca="false">G1881*H1881</f>
        <v>-0</v>
      </c>
      <c r="T1881" s="0" t="n">
        <f aca="false">E1881*E1881</f>
        <v>0.25</v>
      </c>
      <c r="U1881" s="0" t="n">
        <f aca="false">F1881*F1881</f>
        <v>0.0625</v>
      </c>
      <c r="V1881" s="0" t="n">
        <f aca="false">G1881*G1881</f>
        <v>0.5625</v>
      </c>
      <c r="W1881" s="0" t="n">
        <f aca="false">H1881*H1881</f>
        <v>0</v>
      </c>
      <c r="X1881" s="0" t="n">
        <f aca="false">SUMPRODUCT(I1881:W1881,_XtX!$B$96:$P$96)</f>
        <v>45.0573601973684</v>
      </c>
      <c r="Y1881" s="0" t="n">
        <f aca="false">SUMPRODUCT(MMULT(I1881:W1881,_XtX!$B$78:$P$92),I1881:W1881)</f>
        <v>0.215110734192252</v>
      </c>
      <c r="Z1881" s="0" t="n">
        <f aca="false">04_回帰ANOVA!$K$19*04_回帰ANOVA!$K$14*SQRT(1+Y1881)</f>
        <v>1.43683309086864</v>
      </c>
      <c r="AA1881" s="0" t="n">
        <f aca="false">X1881-Z1881</f>
        <v>43.6205271064997</v>
      </c>
      <c r="AB1881" s="0" t="n">
        <f aca="false">X1881+Z1881</f>
        <v>46.494193288237</v>
      </c>
      <c r="AC1881" s="54" t="b">
        <f aca="false">AND(E1881&gt;=01_因子設定!$L$5-0.000000001,E1881&lt;=01_因子設定!$M$5+0.000000001,F1881&gt;=01_因子設定!$L$6-0.000000001,F1881&lt;=01_因子設定!$M$6+0.000000001,G1881&gt;=01_因子設定!$L$7-0.000000001,G1881&lt;=01_因子設定!$M$7+0.000000001,H1881&gt;=01_因子設定!$L$8-0.000000001,H1881&lt;=01_因子設定!$M$8+0.000000001,IF(01_因子設定!$B$20="Box-Behnken",E1881^2+F1881^2+G1881^2+H1881^2&lt;=2+0.000000001,TRUE()))</f>
        <v>1</v>
      </c>
      <c r="AD1881" s="55" t="n">
        <f aca="false">IF(AC1881,IF(01_因子設定!$B$13="最大化",AA1881-01_因子設定!$B$14,IF(01_因子設定!$B$13="最小化",01_因子設定!$B$15-AB1881,MIN(AA1881-01_因子設定!$B$14,01_因子設定!$B$15-AB1881))),-1E+030)</f>
        <v>-2.87947289350026</v>
      </c>
      <c r="AE1881" s="55" t="n">
        <f aca="false">IF(AC1881,IF(01_因子設定!$B$13="最大化",X1881,IF(01_因子設定!$B$13="最小化",-X1881,-ABS(X1881-01_因子設定!$B$16))),-1E+030)</f>
        <v>45.0573601973684</v>
      </c>
      <c r="AF1881" s="55" t="n">
        <f aca="false">AD1881+ROW()*0.000000001</f>
        <v>-2.87947101250026</v>
      </c>
      <c r="AG1881" s="55" t="n">
        <f aca="false">AE1881+ROW()*0.000000001</f>
        <v>45.0573620783684</v>
      </c>
    </row>
    <row r="1882" customFormat="false" ht="15" hidden="false" customHeight="false" outlineLevel="0" collapsed="false">
      <c r="A1882" s="0" t="n">
        <v>2</v>
      </c>
      <c r="B1882" s="0" t="n">
        <v>5</v>
      </c>
      <c r="C1882" s="0" t="n">
        <v>1</v>
      </c>
      <c r="D1882" s="0" t="n">
        <v>5</v>
      </c>
      <c r="E1882" s="0" t="n">
        <f aca="false">-1+A1882*0.25</f>
        <v>-0.5</v>
      </c>
      <c r="F1882" s="0" t="n">
        <f aca="false">-1+B1882*0.25</f>
        <v>0.25</v>
      </c>
      <c r="G1882" s="0" t="n">
        <f aca="false">-1+C1882*0.25</f>
        <v>-0.75</v>
      </c>
      <c r="H1882" s="0" t="n">
        <f aca="false">-1+D1882*0.25</f>
        <v>0.25</v>
      </c>
      <c r="I1882" s="0" t="n">
        <f aca="false">1</f>
        <v>1</v>
      </c>
      <c r="J1882" s="0" t="n">
        <f aca="false">E1882</f>
        <v>-0.5</v>
      </c>
      <c r="K1882" s="0" t="n">
        <f aca="false">F1882</f>
        <v>0.25</v>
      </c>
      <c r="L1882" s="0" t="n">
        <f aca="false">G1882</f>
        <v>-0.75</v>
      </c>
      <c r="M1882" s="0" t="n">
        <f aca="false">H1882</f>
        <v>0.25</v>
      </c>
      <c r="N1882" s="0" t="n">
        <f aca="false">E1882*F1882</f>
        <v>-0.125</v>
      </c>
      <c r="O1882" s="0" t="n">
        <f aca="false">E1882*G1882</f>
        <v>0.375</v>
      </c>
      <c r="P1882" s="0" t="n">
        <f aca="false">E1882*H1882</f>
        <v>-0.125</v>
      </c>
      <c r="Q1882" s="0" t="n">
        <f aca="false">F1882*G1882</f>
        <v>-0.1875</v>
      </c>
      <c r="R1882" s="0" t="n">
        <f aca="false">F1882*H1882</f>
        <v>0.0625</v>
      </c>
      <c r="S1882" s="0" t="n">
        <f aca="false">G1882*H1882</f>
        <v>-0.1875</v>
      </c>
      <c r="T1882" s="0" t="n">
        <f aca="false">E1882*E1882</f>
        <v>0.25</v>
      </c>
      <c r="U1882" s="0" t="n">
        <f aca="false">F1882*F1882</f>
        <v>0.0625</v>
      </c>
      <c r="V1882" s="0" t="n">
        <f aca="false">G1882*G1882</f>
        <v>0.5625</v>
      </c>
      <c r="W1882" s="0" t="n">
        <f aca="false">H1882*H1882</f>
        <v>0.0625</v>
      </c>
      <c r="X1882" s="0" t="n">
        <f aca="false">SUMPRODUCT(I1882:W1882,_XtX!$B$96:$P$96)</f>
        <v>45.0520330774853</v>
      </c>
      <c r="Y1882" s="0" t="n">
        <f aca="false">SUMPRODUCT(MMULT(I1882:W1882,_XtX!$B$78:$P$92),I1882:W1882)</f>
        <v>0.207746539199561</v>
      </c>
      <c r="Z1882" s="0" t="n">
        <f aca="false">04_回帰ANOVA!$K$19*04_回帰ANOVA!$K$14*SQRT(1+Y1882)</f>
        <v>1.43247250081141</v>
      </c>
      <c r="AA1882" s="0" t="n">
        <f aca="false">X1882-Z1882</f>
        <v>43.6195605766739</v>
      </c>
      <c r="AB1882" s="0" t="n">
        <f aca="false">X1882+Z1882</f>
        <v>46.4845055782968</v>
      </c>
      <c r="AC1882" s="54" t="b">
        <f aca="false">AND(E1882&gt;=01_因子設定!$L$5-0.000000001,E1882&lt;=01_因子設定!$M$5+0.000000001,F1882&gt;=01_因子設定!$L$6-0.000000001,F1882&lt;=01_因子設定!$M$6+0.000000001,G1882&gt;=01_因子設定!$L$7-0.000000001,G1882&lt;=01_因子設定!$M$7+0.000000001,H1882&gt;=01_因子設定!$L$8-0.000000001,H1882&lt;=01_因子設定!$M$8+0.000000001,IF(01_因子設定!$B$20="Box-Behnken",E1882^2+F1882^2+G1882^2+H1882^2&lt;=2+0.000000001,TRUE()))</f>
        <v>1</v>
      </c>
      <c r="AD1882" s="55" t="n">
        <f aca="false">IF(AC1882,IF(01_因子設定!$B$13="最大化",AA1882-01_因子設定!$B$14,IF(01_因子設定!$B$13="最小化",01_因子設定!$B$15-AB1882,MIN(AA1882-01_因子設定!$B$14,01_因子設定!$B$15-AB1882))),-1E+030)</f>
        <v>-2.88043942332607</v>
      </c>
      <c r="AE1882" s="55" t="n">
        <f aca="false">IF(AC1882,IF(01_因子設定!$B$13="最大化",X1882,IF(01_因子設定!$B$13="最小化",-X1882,-ABS(X1882-01_因子設定!$B$16))),-1E+030)</f>
        <v>45.0520330774853</v>
      </c>
      <c r="AF1882" s="55" t="n">
        <f aca="false">AD1882+ROW()*0.000000001</f>
        <v>-2.88043754132607</v>
      </c>
      <c r="AG1882" s="55" t="n">
        <f aca="false">AE1882+ROW()*0.000000001</f>
        <v>45.0520349594853</v>
      </c>
    </row>
    <row r="1883" customFormat="false" ht="15" hidden="false" customHeight="false" outlineLevel="0" collapsed="false">
      <c r="A1883" s="0" t="n">
        <v>2</v>
      </c>
      <c r="B1883" s="0" t="n">
        <v>5</v>
      </c>
      <c r="C1883" s="0" t="n">
        <v>1</v>
      </c>
      <c r="D1883" s="0" t="n">
        <v>6</v>
      </c>
      <c r="E1883" s="0" t="n">
        <f aca="false">-1+A1883*0.25</f>
        <v>-0.5</v>
      </c>
      <c r="F1883" s="0" t="n">
        <f aca="false">-1+B1883*0.25</f>
        <v>0.25</v>
      </c>
      <c r="G1883" s="0" t="n">
        <f aca="false">-1+C1883*0.25</f>
        <v>-0.75</v>
      </c>
      <c r="H1883" s="0" t="n">
        <f aca="false">-1+D1883*0.25</f>
        <v>0.5</v>
      </c>
      <c r="I1883" s="0" t="n">
        <f aca="false">1</f>
        <v>1</v>
      </c>
      <c r="J1883" s="0" t="n">
        <f aca="false">E1883</f>
        <v>-0.5</v>
      </c>
      <c r="K1883" s="0" t="n">
        <f aca="false">F1883</f>
        <v>0.25</v>
      </c>
      <c r="L1883" s="0" t="n">
        <f aca="false">G1883</f>
        <v>-0.75</v>
      </c>
      <c r="M1883" s="0" t="n">
        <f aca="false">H1883</f>
        <v>0.5</v>
      </c>
      <c r="N1883" s="0" t="n">
        <f aca="false">E1883*F1883</f>
        <v>-0.125</v>
      </c>
      <c r="O1883" s="0" t="n">
        <f aca="false">E1883*G1883</f>
        <v>0.375</v>
      </c>
      <c r="P1883" s="0" t="n">
        <f aca="false">E1883*H1883</f>
        <v>-0.25</v>
      </c>
      <c r="Q1883" s="0" t="n">
        <f aca="false">F1883*G1883</f>
        <v>-0.1875</v>
      </c>
      <c r="R1883" s="0" t="n">
        <f aca="false">F1883*H1883</f>
        <v>0.125</v>
      </c>
      <c r="S1883" s="0" t="n">
        <f aca="false">G1883*H1883</f>
        <v>-0.375</v>
      </c>
      <c r="T1883" s="0" t="n">
        <f aca="false">E1883*E1883</f>
        <v>0.25</v>
      </c>
      <c r="U1883" s="0" t="n">
        <f aca="false">F1883*F1883</f>
        <v>0.0625</v>
      </c>
      <c r="V1883" s="0" t="n">
        <f aca="false">G1883*G1883</f>
        <v>0.5625</v>
      </c>
      <c r="W1883" s="0" t="n">
        <f aca="false">H1883*H1883</f>
        <v>0.25</v>
      </c>
      <c r="X1883" s="0" t="n">
        <f aca="false">SUMPRODUCT(I1883:W1883,_XtX!$B$96:$P$96)</f>
        <v>44.9988989400584</v>
      </c>
      <c r="Y1883" s="0" t="n">
        <f aca="false">SUMPRODUCT(MMULT(I1883:W1883,_XtX!$B$78:$P$92),I1883:W1883)</f>
        <v>0.203746059484649</v>
      </c>
      <c r="Z1883" s="0" t="n">
        <f aca="false">04_回帰ANOVA!$K$19*04_回帰ANOVA!$K$14*SQRT(1+Y1883)</f>
        <v>1.43009810755465</v>
      </c>
      <c r="AA1883" s="0" t="n">
        <f aca="false">X1883-Z1883</f>
        <v>43.5688008325038</v>
      </c>
      <c r="AB1883" s="0" t="n">
        <f aca="false">X1883+Z1883</f>
        <v>46.4289970476131</v>
      </c>
      <c r="AC1883" s="54" t="b">
        <f aca="false">AND(E1883&gt;=01_因子設定!$L$5-0.000000001,E1883&lt;=01_因子設定!$M$5+0.000000001,F1883&gt;=01_因子設定!$L$6-0.000000001,F1883&lt;=01_因子設定!$M$6+0.000000001,G1883&gt;=01_因子設定!$L$7-0.000000001,G1883&lt;=01_因子設定!$M$7+0.000000001,H1883&gt;=01_因子設定!$L$8-0.000000001,H1883&lt;=01_因子設定!$M$8+0.000000001,IF(01_因子設定!$B$20="Box-Behnken",E1883^2+F1883^2+G1883^2+H1883^2&lt;=2+0.000000001,TRUE()))</f>
        <v>1</v>
      </c>
      <c r="AD1883" s="55" t="n">
        <f aca="false">IF(AC1883,IF(01_因子設定!$B$13="最大化",AA1883-01_因子設定!$B$14,IF(01_因子設定!$B$13="最小化",01_因子設定!$B$15-AB1883,MIN(AA1883-01_因子設定!$B$14,01_因子設定!$B$15-AB1883))),-1E+030)</f>
        <v>-2.9311991674962</v>
      </c>
      <c r="AE1883" s="55" t="n">
        <f aca="false">IF(AC1883,IF(01_因子設定!$B$13="最大化",X1883,IF(01_因子設定!$B$13="最小化",-X1883,-ABS(X1883-01_因子設定!$B$16))),-1E+030)</f>
        <v>44.9988989400584</v>
      </c>
      <c r="AF1883" s="55" t="n">
        <f aca="false">AD1883+ROW()*0.000000001</f>
        <v>-2.9311972844962</v>
      </c>
      <c r="AG1883" s="55" t="n">
        <f aca="false">AE1883+ROW()*0.000000001</f>
        <v>44.9989008230585</v>
      </c>
    </row>
    <row r="1884" customFormat="false" ht="15" hidden="false" customHeight="false" outlineLevel="0" collapsed="false">
      <c r="A1884" s="0" t="n">
        <v>2</v>
      </c>
      <c r="B1884" s="0" t="n">
        <v>5</v>
      </c>
      <c r="C1884" s="0" t="n">
        <v>1</v>
      </c>
      <c r="D1884" s="0" t="n">
        <v>7</v>
      </c>
      <c r="E1884" s="0" t="n">
        <f aca="false">-1+A1884*0.25</f>
        <v>-0.5</v>
      </c>
      <c r="F1884" s="0" t="n">
        <f aca="false">-1+B1884*0.25</f>
        <v>0.25</v>
      </c>
      <c r="G1884" s="0" t="n">
        <f aca="false">-1+C1884*0.25</f>
        <v>-0.75</v>
      </c>
      <c r="H1884" s="0" t="n">
        <f aca="false">-1+D1884*0.25</f>
        <v>0.75</v>
      </c>
      <c r="I1884" s="0" t="n">
        <f aca="false">1</f>
        <v>1</v>
      </c>
      <c r="J1884" s="0" t="n">
        <f aca="false">E1884</f>
        <v>-0.5</v>
      </c>
      <c r="K1884" s="0" t="n">
        <f aca="false">F1884</f>
        <v>0.25</v>
      </c>
      <c r="L1884" s="0" t="n">
        <f aca="false">G1884</f>
        <v>-0.75</v>
      </c>
      <c r="M1884" s="0" t="n">
        <f aca="false">H1884</f>
        <v>0.75</v>
      </c>
      <c r="N1884" s="0" t="n">
        <f aca="false">E1884*F1884</f>
        <v>-0.125</v>
      </c>
      <c r="O1884" s="0" t="n">
        <f aca="false">E1884*G1884</f>
        <v>0.375</v>
      </c>
      <c r="P1884" s="0" t="n">
        <f aca="false">E1884*H1884</f>
        <v>-0.375</v>
      </c>
      <c r="Q1884" s="0" t="n">
        <f aca="false">F1884*G1884</f>
        <v>-0.1875</v>
      </c>
      <c r="R1884" s="0" t="n">
        <f aca="false">F1884*H1884</f>
        <v>0.1875</v>
      </c>
      <c r="S1884" s="0" t="n">
        <f aca="false">G1884*H1884</f>
        <v>-0.5625</v>
      </c>
      <c r="T1884" s="0" t="n">
        <f aca="false">E1884*E1884</f>
        <v>0.25</v>
      </c>
      <c r="U1884" s="0" t="n">
        <f aca="false">F1884*F1884</f>
        <v>0.0625</v>
      </c>
      <c r="V1884" s="0" t="n">
        <f aca="false">G1884*G1884</f>
        <v>0.5625</v>
      </c>
      <c r="W1884" s="0" t="n">
        <f aca="false">H1884*H1884</f>
        <v>0.5625</v>
      </c>
      <c r="X1884" s="0" t="n">
        <f aca="false">SUMPRODUCT(I1884:W1884,_XtX!$B$96:$P$96)</f>
        <v>44.8979577850877</v>
      </c>
      <c r="Y1884" s="0" t="n">
        <f aca="false">SUMPRODUCT(MMULT(I1884:W1884,_XtX!$B$78:$P$92),I1884:W1884)</f>
        <v>0.257385610836988</v>
      </c>
      <c r="Z1884" s="0" t="n">
        <f aca="false">04_回帰ANOVA!$K$19*04_回帰ANOVA!$K$14*SQRT(1+Y1884)</f>
        <v>1.46161380324158</v>
      </c>
      <c r="AA1884" s="0" t="n">
        <f aca="false">X1884-Z1884</f>
        <v>43.4363439818461</v>
      </c>
      <c r="AB1884" s="0" t="n">
        <f aca="false">X1884+Z1884</f>
        <v>46.3595715883293</v>
      </c>
      <c r="AC1884" s="54" t="b">
        <f aca="false">AND(E1884&gt;=01_因子設定!$L$5-0.000000001,E1884&lt;=01_因子設定!$M$5+0.000000001,F1884&gt;=01_因子設定!$L$6-0.000000001,F1884&lt;=01_因子設定!$M$6+0.000000001,G1884&gt;=01_因子設定!$L$7-0.000000001,G1884&lt;=01_因子設定!$M$7+0.000000001,H1884&gt;=01_因子設定!$L$8-0.000000001,H1884&lt;=01_因子設定!$M$8+0.000000001,IF(01_因子設定!$B$20="Box-Behnken",E1884^2+F1884^2+G1884^2+H1884^2&lt;=2+0.000000001,TRUE()))</f>
        <v>1</v>
      </c>
      <c r="AD1884" s="55" t="n">
        <f aca="false">IF(AC1884,IF(01_因子設定!$B$13="最大化",AA1884-01_因子設定!$B$14,IF(01_因子設定!$B$13="最小化",01_因子設定!$B$15-AB1884,MIN(AA1884-01_因子設定!$B$14,01_因子設定!$B$15-AB1884))),-1E+030)</f>
        <v>-3.06365601815389</v>
      </c>
      <c r="AE1884" s="55" t="n">
        <f aca="false">IF(AC1884,IF(01_因子設定!$B$13="最大化",X1884,IF(01_因子設定!$B$13="最小化",-X1884,-ABS(X1884-01_因子設定!$B$16))),-1E+030)</f>
        <v>44.8979577850877</v>
      </c>
      <c r="AF1884" s="55" t="n">
        <f aca="false">AD1884+ROW()*0.000000001</f>
        <v>-3.06365413415389</v>
      </c>
      <c r="AG1884" s="55" t="n">
        <f aca="false">AE1884+ROW()*0.000000001</f>
        <v>44.8979596690877</v>
      </c>
    </row>
    <row r="1885" customFormat="false" ht="15" hidden="false" customHeight="false" outlineLevel="0" collapsed="false">
      <c r="A1885" s="0" t="n">
        <v>2</v>
      </c>
      <c r="B1885" s="0" t="n">
        <v>5</v>
      </c>
      <c r="C1885" s="0" t="n">
        <v>1</v>
      </c>
      <c r="D1885" s="0" t="n">
        <v>8</v>
      </c>
      <c r="E1885" s="0" t="n">
        <f aca="false">-1+A1885*0.25</f>
        <v>-0.5</v>
      </c>
      <c r="F1885" s="0" t="n">
        <f aca="false">-1+B1885*0.25</f>
        <v>0.25</v>
      </c>
      <c r="G1885" s="0" t="n">
        <f aca="false">-1+C1885*0.25</f>
        <v>-0.75</v>
      </c>
      <c r="H1885" s="0" t="n">
        <f aca="false">-1+D1885*0.25</f>
        <v>1</v>
      </c>
      <c r="I1885" s="0" t="n">
        <f aca="false">1</f>
        <v>1</v>
      </c>
      <c r="J1885" s="0" t="n">
        <f aca="false">E1885</f>
        <v>-0.5</v>
      </c>
      <c r="K1885" s="0" t="n">
        <f aca="false">F1885</f>
        <v>0.25</v>
      </c>
      <c r="L1885" s="0" t="n">
        <f aca="false">G1885</f>
        <v>-0.75</v>
      </c>
      <c r="M1885" s="0" t="n">
        <f aca="false">H1885</f>
        <v>1</v>
      </c>
      <c r="N1885" s="0" t="n">
        <f aca="false">E1885*F1885</f>
        <v>-0.125</v>
      </c>
      <c r="O1885" s="0" t="n">
        <f aca="false">E1885*G1885</f>
        <v>0.375</v>
      </c>
      <c r="P1885" s="0" t="n">
        <f aca="false">E1885*H1885</f>
        <v>-0.5</v>
      </c>
      <c r="Q1885" s="0" t="n">
        <f aca="false">F1885*G1885</f>
        <v>-0.1875</v>
      </c>
      <c r="R1885" s="0" t="n">
        <f aca="false">F1885*H1885</f>
        <v>0.25</v>
      </c>
      <c r="S1885" s="0" t="n">
        <f aca="false">G1885*H1885</f>
        <v>-0.75</v>
      </c>
      <c r="T1885" s="0" t="n">
        <f aca="false">E1885*E1885</f>
        <v>0.25</v>
      </c>
      <c r="U1885" s="0" t="n">
        <f aca="false">F1885*F1885</f>
        <v>0.0625</v>
      </c>
      <c r="V1885" s="0" t="n">
        <f aca="false">G1885*G1885</f>
        <v>0.5625</v>
      </c>
      <c r="W1885" s="0" t="n">
        <f aca="false">H1885*H1885</f>
        <v>1</v>
      </c>
      <c r="X1885" s="0" t="n">
        <f aca="false">SUMPRODUCT(I1885:W1885,_XtX!$B$96:$P$96)</f>
        <v>44.7492096125731</v>
      </c>
      <c r="Y1885" s="0" t="n">
        <f aca="false">SUMPRODUCT(MMULT(I1885:W1885,_XtX!$B$78:$P$92),I1885:W1885)</f>
        <v>0.459125719572369</v>
      </c>
      <c r="Z1885" s="0" t="n">
        <f aca="false">04_回帰ANOVA!$K$19*04_回帰ANOVA!$K$14*SQRT(1+Y1885)</f>
        <v>1.57450755575573</v>
      </c>
      <c r="AA1885" s="0" t="n">
        <f aca="false">X1885-Z1885</f>
        <v>43.1747020568174</v>
      </c>
      <c r="AB1885" s="0" t="n">
        <f aca="false">X1885+Z1885</f>
        <v>46.3237171683288</v>
      </c>
      <c r="AC1885" s="54" t="b">
        <f aca="false">AND(E1885&gt;=01_因子設定!$L$5-0.000000001,E1885&lt;=01_因子設定!$M$5+0.000000001,F1885&gt;=01_因子設定!$L$6-0.000000001,F1885&lt;=01_因子設定!$M$6+0.000000001,G1885&gt;=01_因子設定!$L$7-0.000000001,G1885&lt;=01_因子設定!$M$7+0.000000001,H1885&gt;=01_因子設定!$L$8-0.000000001,H1885&lt;=01_因子設定!$M$8+0.000000001,IF(01_因子設定!$B$20="Box-Behnken",E1885^2+F1885^2+G1885^2+H1885^2&lt;=2+0.000000001,TRUE()))</f>
        <v>1</v>
      </c>
      <c r="AD1885" s="55" t="n">
        <f aca="false">IF(AC1885,IF(01_因子設定!$B$13="最大化",AA1885-01_因子設定!$B$14,IF(01_因子設定!$B$13="最小化",01_因子設定!$B$15-AB1885,MIN(AA1885-01_因子設定!$B$14,01_因子設定!$B$15-AB1885))),-1E+030)</f>
        <v>-3.32529794318263</v>
      </c>
      <c r="AE1885" s="55" t="n">
        <f aca="false">IF(AC1885,IF(01_因子設定!$B$13="最大化",X1885,IF(01_因子設定!$B$13="最小化",-X1885,-ABS(X1885-01_因子設定!$B$16))),-1E+030)</f>
        <v>44.7492096125731</v>
      </c>
      <c r="AF1885" s="55" t="n">
        <f aca="false">AD1885+ROW()*0.000000001</f>
        <v>-3.32529605818263</v>
      </c>
      <c r="AG1885" s="55" t="n">
        <f aca="false">AE1885+ROW()*0.000000001</f>
        <v>44.7492114975731</v>
      </c>
    </row>
    <row r="1886" customFormat="false" ht="15" hidden="false" customHeight="false" outlineLevel="0" collapsed="false">
      <c r="A1886" s="0" t="n">
        <v>2</v>
      </c>
      <c r="B1886" s="0" t="n">
        <v>5</v>
      </c>
      <c r="C1886" s="0" t="n">
        <v>2</v>
      </c>
      <c r="D1886" s="0" t="n">
        <v>0</v>
      </c>
      <c r="E1886" s="0" t="n">
        <f aca="false">-1+A1886*0.25</f>
        <v>-0.5</v>
      </c>
      <c r="F1886" s="0" t="n">
        <f aca="false">-1+B1886*0.25</f>
        <v>0.25</v>
      </c>
      <c r="G1886" s="0" t="n">
        <f aca="false">-1+C1886*0.25</f>
        <v>-0.5</v>
      </c>
      <c r="H1886" s="0" t="n">
        <f aca="false">-1+D1886*0.25</f>
        <v>-1</v>
      </c>
      <c r="I1886" s="0" t="n">
        <f aca="false">1</f>
        <v>1</v>
      </c>
      <c r="J1886" s="0" t="n">
        <f aca="false">E1886</f>
        <v>-0.5</v>
      </c>
      <c r="K1886" s="0" t="n">
        <f aca="false">F1886</f>
        <v>0.25</v>
      </c>
      <c r="L1886" s="0" t="n">
        <f aca="false">G1886</f>
        <v>-0.5</v>
      </c>
      <c r="M1886" s="0" t="n">
        <f aca="false">H1886</f>
        <v>-1</v>
      </c>
      <c r="N1886" s="0" t="n">
        <f aca="false">E1886*F1886</f>
        <v>-0.125</v>
      </c>
      <c r="O1886" s="0" t="n">
        <f aca="false">E1886*G1886</f>
        <v>0.25</v>
      </c>
      <c r="P1886" s="0" t="n">
        <f aca="false">E1886*H1886</f>
        <v>0.5</v>
      </c>
      <c r="Q1886" s="0" t="n">
        <f aca="false">F1886*G1886</f>
        <v>-0.125</v>
      </c>
      <c r="R1886" s="0" t="n">
        <f aca="false">F1886*H1886</f>
        <v>-0.25</v>
      </c>
      <c r="S1886" s="0" t="n">
        <f aca="false">G1886*H1886</f>
        <v>0.5</v>
      </c>
      <c r="T1886" s="0" t="n">
        <f aca="false">E1886*E1886</f>
        <v>0.25</v>
      </c>
      <c r="U1886" s="0" t="n">
        <f aca="false">F1886*F1886</f>
        <v>0.0625</v>
      </c>
      <c r="V1886" s="0" t="n">
        <f aca="false">G1886*G1886</f>
        <v>0.25</v>
      </c>
      <c r="W1886" s="0" t="n">
        <f aca="false">H1886*H1886</f>
        <v>1</v>
      </c>
      <c r="X1886" s="0" t="n">
        <f aca="false">SUMPRODUCT(I1886:W1886,_XtX!$B$96:$P$96)</f>
        <v>45.088605628655</v>
      </c>
      <c r="Y1886" s="0" t="n">
        <f aca="false">SUMPRODUCT(MMULT(I1886:W1886,_XtX!$B$78:$P$92),I1886:W1886)</f>
        <v>0.428122715643275</v>
      </c>
      <c r="Z1886" s="0" t="n">
        <f aca="false">04_回帰ANOVA!$K$19*04_回帰ANOVA!$K$14*SQRT(1+Y1886)</f>
        <v>1.55769044623229</v>
      </c>
      <c r="AA1886" s="0" t="n">
        <f aca="false">X1886-Z1886</f>
        <v>43.5309151824227</v>
      </c>
      <c r="AB1886" s="0" t="n">
        <f aca="false">X1886+Z1886</f>
        <v>46.6462960748873</v>
      </c>
      <c r="AC1886" s="54" t="b">
        <f aca="false">AND(E1886&gt;=01_因子設定!$L$5-0.000000001,E1886&lt;=01_因子設定!$M$5+0.000000001,F1886&gt;=01_因子設定!$L$6-0.000000001,F1886&lt;=01_因子設定!$M$6+0.000000001,G1886&gt;=01_因子設定!$L$7-0.000000001,G1886&lt;=01_因子設定!$M$7+0.000000001,H1886&gt;=01_因子設定!$L$8-0.000000001,H1886&lt;=01_因子設定!$M$8+0.000000001,IF(01_因子設定!$B$20="Box-Behnken",E1886^2+F1886^2+G1886^2+H1886^2&lt;=2+0.000000001,TRUE()))</f>
        <v>1</v>
      </c>
      <c r="AD1886" s="55" t="n">
        <f aca="false">IF(AC1886,IF(01_因子設定!$B$13="最大化",AA1886-01_因子設定!$B$14,IF(01_因子設定!$B$13="最小化",01_因子設定!$B$15-AB1886,MIN(AA1886-01_因子設定!$B$14,01_因子設定!$B$15-AB1886))),-1E+030)</f>
        <v>-2.96908481757733</v>
      </c>
      <c r="AE1886" s="55" t="n">
        <f aca="false">IF(AC1886,IF(01_因子設定!$B$13="最大化",X1886,IF(01_因子設定!$B$13="最小化",-X1886,-ABS(X1886-01_因子設定!$B$16))),-1E+030)</f>
        <v>45.088605628655</v>
      </c>
      <c r="AF1886" s="55" t="n">
        <f aca="false">AD1886+ROW()*0.000000001</f>
        <v>-2.96908293157733</v>
      </c>
      <c r="AG1886" s="55" t="n">
        <f aca="false">AE1886+ROW()*0.000000001</f>
        <v>45.088607514655</v>
      </c>
    </row>
    <row r="1887" customFormat="false" ht="15" hidden="false" customHeight="false" outlineLevel="0" collapsed="false">
      <c r="A1887" s="0" t="n">
        <v>2</v>
      </c>
      <c r="B1887" s="0" t="n">
        <v>5</v>
      </c>
      <c r="C1887" s="0" t="n">
        <v>2</v>
      </c>
      <c r="D1887" s="0" t="n">
        <v>1</v>
      </c>
      <c r="E1887" s="0" t="n">
        <f aca="false">-1+A1887*0.25</f>
        <v>-0.5</v>
      </c>
      <c r="F1887" s="0" t="n">
        <f aca="false">-1+B1887*0.25</f>
        <v>0.25</v>
      </c>
      <c r="G1887" s="0" t="n">
        <f aca="false">-1+C1887*0.25</f>
        <v>-0.5</v>
      </c>
      <c r="H1887" s="0" t="n">
        <f aca="false">-1+D1887*0.25</f>
        <v>-0.75</v>
      </c>
      <c r="I1887" s="0" t="n">
        <f aca="false">1</f>
        <v>1</v>
      </c>
      <c r="J1887" s="0" t="n">
        <f aca="false">E1887</f>
        <v>-0.5</v>
      </c>
      <c r="K1887" s="0" t="n">
        <f aca="false">F1887</f>
        <v>0.25</v>
      </c>
      <c r="L1887" s="0" t="n">
        <f aca="false">G1887</f>
        <v>-0.5</v>
      </c>
      <c r="M1887" s="0" t="n">
        <f aca="false">H1887</f>
        <v>-0.75</v>
      </c>
      <c r="N1887" s="0" t="n">
        <f aca="false">E1887*F1887</f>
        <v>-0.125</v>
      </c>
      <c r="O1887" s="0" t="n">
        <f aca="false">E1887*G1887</f>
        <v>0.25</v>
      </c>
      <c r="P1887" s="0" t="n">
        <f aca="false">E1887*H1887</f>
        <v>0.375</v>
      </c>
      <c r="Q1887" s="0" t="n">
        <f aca="false">F1887*G1887</f>
        <v>-0.125</v>
      </c>
      <c r="R1887" s="0" t="n">
        <f aca="false">F1887*H1887</f>
        <v>-0.1875</v>
      </c>
      <c r="S1887" s="0" t="n">
        <f aca="false">G1887*H1887</f>
        <v>0.375</v>
      </c>
      <c r="T1887" s="0" t="n">
        <f aca="false">E1887*E1887</f>
        <v>0.25</v>
      </c>
      <c r="U1887" s="0" t="n">
        <f aca="false">F1887*F1887</f>
        <v>0.0625</v>
      </c>
      <c r="V1887" s="0" t="n">
        <f aca="false">G1887*G1887</f>
        <v>0.25</v>
      </c>
      <c r="W1887" s="0" t="n">
        <f aca="false">H1887*H1887</f>
        <v>0.5625</v>
      </c>
      <c r="X1887" s="0" t="n">
        <f aca="false">SUMPRODUCT(I1887:W1887,_XtX!$B$96:$P$96)</f>
        <v>45.2924753289474</v>
      </c>
      <c r="Y1887" s="0" t="n">
        <f aca="false">SUMPRODUCT(MMULT(I1887:W1887,_XtX!$B$78:$P$92),I1887:W1887)</f>
        <v>0.203746059484649</v>
      </c>
      <c r="Z1887" s="0" t="n">
        <f aca="false">04_回帰ANOVA!$K$19*04_回帰ANOVA!$K$14*SQRT(1+Y1887)</f>
        <v>1.43009810755465</v>
      </c>
      <c r="AA1887" s="0" t="n">
        <f aca="false">X1887-Z1887</f>
        <v>43.8623772213927</v>
      </c>
      <c r="AB1887" s="0" t="n">
        <f aca="false">X1887+Z1887</f>
        <v>46.722573436502</v>
      </c>
      <c r="AC1887" s="54" t="b">
        <f aca="false">AND(E1887&gt;=01_因子設定!$L$5-0.000000001,E1887&lt;=01_因子設定!$M$5+0.000000001,F1887&gt;=01_因子設定!$L$6-0.000000001,F1887&lt;=01_因子設定!$M$6+0.000000001,G1887&gt;=01_因子設定!$L$7-0.000000001,G1887&lt;=01_因子設定!$M$7+0.000000001,H1887&gt;=01_因子設定!$L$8-0.000000001,H1887&lt;=01_因子設定!$M$8+0.000000001,IF(01_因子設定!$B$20="Box-Behnken",E1887^2+F1887^2+G1887^2+H1887^2&lt;=2+0.000000001,TRUE()))</f>
        <v>1</v>
      </c>
      <c r="AD1887" s="55" t="n">
        <f aca="false">IF(AC1887,IF(01_因子設定!$B$13="最大化",AA1887-01_因子設定!$B$14,IF(01_因子設定!$B$13="最小化",01_因子設定!$B$15-AB1887,MIN(AA1887-01_因子設定!$B$14,01_因子設定!$B$15-AB1887))),-1E+030)</f>
        <v>-2.6376227786073</v>
      </c>
      <c r="AE1887" s="55" t="n">
        <f aca="false">IF(AC1887,IF(01_因子設定!$B$13="最大化",X1887,IF(01_因子設定!$B$13="最小化",-X1887,-ABS(X1887-01_因子設定!$B$16))),-1E+030)</f>
        <v>45.2924753289474</v>
      </c>
      <c r="AF1887" s="55" t="n">
        <f aca="false">AD1887+ROW()*0.000000001</f>
        <v>-2.6376208916073</v>
      </c>
      <c r="AG1887" s="55" t="n">
        <f aca="false">AE1887+ROW()*0.000000001</f>
        <v>45.2924772159474</v>
      </c>
    </row>
    <row r="1888" customFormat="false" ht="15" hidden="false" customHeight="false" outlineLevel="0" collapsed="false">
      <c r="A1888" s="0" t="n">
        <v>2</v>
      </c>
      <c r="B1888" s="0" t="n">
        <v>5</v>
      </c>
      <c r="C1888" s="0" t="n">
        <v>2</v>
      </c>
      <c r="D1888" s="0" t="n">
        <v>2</v>
      </c>
      <c r="E1888" s="0" t="n">
        <f aca="false">-1+A1888*0.25</f>
        <v>-0.5</v>
      </c>
      <c r="F1888" s="0" t="n">
        <f aca="false">-1+B1888*0.25</f>
        <v>0.25</v>
      </c>
      <c r="G1888" s="0" t="n">
        <f aca="false">-1+C1888*0.25</f>
        <v>-0.5</v>
      </c>
      <c r="H1888" s="0" t="n">
        <f aca="false">-1+D1888*0.25</f>
        <v>-0.5</v>
      </c>
      <c r="I1888" s="0" t="n">
        <f aca="false">1</f>
        <v>1</v>
      </c>
      <c r="J1888" s="0" t="n">
        <f aca="false">E1888</f>
        <v>-0.5</v>
      </c>
      <c r="K1888" s="0" t="n">
        <f aca="false">F1888</f>
        <v>0.25</v>
      </c>
      <c r="L1888" s="0" t="n">
        <f aca="false">G1888</f>
        <v>-0.5</v>
      </c>
      <c r="M1888" s="0" t="n">
        <f aca="false">H1888</f>
        <v>-0.5</v>
      </c>
      <c r="N1888" s="0" t="n">
        <f aca="false">E1888*F1888</f>
        <v>-0.125</v>
      </c>
      <c r="O1888" s="0" t="n">
        <f aca="false">E1888*G1888</f>
        <v>0.25</v>
      </c>
      <c r="P1888" s="0" t="n">
        <f aca="false">E1888*H1888</f>
        <v>0.25</v>
      </c>
      <c r="Q1888" s="0" t="n">
        <f aca="false">F1888*G1888</f>
        <v>-0.125</v>
      </c>
      <c r="R1888" s="0" t="n">
        <f aca="false">F1888*H1888</f>
        <v>-0.125</v>
      </c>
      <c r="S1888" s="0" t="n">
        <f aca="false">G1888*H1888</f>
        <v>0.25</v>
      </c>
      <c r="T1888" s="0" t="n">
        <f aca="false">E1888*E1888</f>
        <v>0.25</v>
      </c>
      <c r="U1888" s="0" t="n">
        <f aca="false">F1888*F1888</f>
        <v>0.0625</v>
      </c>
      <c r="V1888" s="0" t="n">
        <f aca="false">G1888*G1888</f>
        <v>0.25</v>
      </c>
      <c r="W1888" s="0" t="n">
        <f aca="false">H1888*H1888</f>
        <v>0.25</v>
      </c>
      <c r="X1888" s="0" t="n">
        <f aca="false">SUMPRODUCT(I1888:W1888,_XtX!$B$96:$P$96)</f>
        <v>45.4485380116959</v>
      </c>
      <c r="Y1888" s="0" t="n">
        <f aca="false">SUMPRODUCT(MMULT(I1888:W1888,_XtX!$B$78:$P$92),I1888:W1888)</f>
        <v>0.133937545687135</v>
      </c>
      <c r="Z1888" s="0" t="n">
        <f aca="false">04_回帰ANOVA!$K$19*04_回帰ANOVA!$K$14*SQRT(1+Y1888)</f>
        <v>1.38801116780825</v>
      </c>
      <c r="AA1888" s="0" t="n">
        <f aca="false">X1888-Z1888</f>
        <v>44.0605268438876</v>
      </c>
      <c r="AB1888" s="0" t="n">
        <f aca="false">X1888+Z1888</f>
        <v>46.8365491795041</v>
      </c>
      <c r="AC1888" s="54" t="b">
        <f aca="false">AND(E1888&gt;=01_因子設定!$L$5-0.000000001,E1888&lt;=01_因子設定!$M$5+0.000000001,F1888&gt;=01_因子設定!$L$6-0.000000001,F1888&lt;=01_因子設定!$M$6+0.000000001,G1888&gt;=01_因子設定!$L$7-0.000000001,G1888&lt;=01_因子設定!$M$7+0.000000001,H1888&gt;=01_因子設定!$L$8-0.000000001,H1888&lt;=01_因子設定!$M$8+0.000000001,IF(01_因子設定!$B$20="Box-Behnken",E1888^2+F1888^2+G1888^2+H1888^2&lt;=2+0.000000001,TRUE()))</f>
        <v>1</v>
      </c>
      <c r="AD1888" s="55" t="n">
        <f aca="false">IF(AC1888,IF(01_因子設定!$B$13="最大化",AA1888-01_因子設定!$B$14,IF(01_因子設定!$B$13="最小化",01_因子設定!$B$15-AB1888,MIN(AA1888-01_因子設定!$B$14,01_因子設定!$B$15-AB1888))),-1E+030)</f>
        <v>-2.43947315611238</v>
      </c>
      <c r="AE1888" s="55" t="n">
        <f aca="false">IF(AC1888,IF(01_因子設定!$B$13="最大化",X1888,IF(01_因子設定!$B$13="最小化",-X1888,-ABS(X1888-01_因子設定!$B$16))),-1E+030)</f>
        <v>45.4485380116959</v>
      </c>
      <c r="AF1888" s="55" t="n">
        <f aca="false">AD1888+ROW()*0.000000001</f>
        <v>-2.43947126811238</v>
      </c>
      <c r="AG1888" s="55" t="n">
        <f aca="false">AE1888+ROW()*0.000000001</f>
        <v>45.4485398996959</v>
      </c>
    </row>
    <row r="1889" customFormat="false" ht="15" hidden="false" customHeight="false" outlineLevel="0" collapsed="false">
      <c r="A1889" s="0" t="n">
        <v>2</v>
      </c>
      <c r="B1889" s="0" t="n">
        <v>5</v>
      </c>
      <c r="C1889" s="0" t="n">
        <v>2</v>
      </c>
      <c r="D1889" s="0" t="n">
        <v>3</v>
      </c>
      <c r="E1889" s="0" t="n">
        <f aca="false">-1+A1889*0.25</f>
        <v>-0.5</v>
      </c>
      <c r="F1889" s="0" t="n">
        <f aca="false">-1+B1889*0.25</f>
        <v>0.25</v>
      </c>
      <c r="G1889" s="0" t="n">
        <f aca="false">-1+C1889*0.25</f>
        <v>-0.5</v>
      </c>
      <c r="H1889" s="0" t="n">
        <f aca="false">-1+D1889*0.25</f>
        <v>-0.25</v>
      </c>
      <c r="I1889" s="0" t="n">
        <f aca="false">1</f>
        <v>1</v>
      </c>
      <c r="J1889" s="0" t="n">
        <f aca="false">E1889</f>
        <v>-0.5</v>
      </c>
      <c r="K1889" s="0" t="n">
        <f aca="false">F1889</f>
        <v>0.25</v>
      </c>
      <c r="L1889" s="0" t="n">
        <f aca="false">G1889</f>
        <v>-0.5</v>
      </c>
      <c r="M1889" s="0" t="n">
        <f aca="false">H1889</f>
        <v>-0.25</v>
      </c>
      <c r="N1889" s="0" t="n">
        <f aca="false">E1889*F1889</f>
        <v>-0.125</v>
      </c>
      <c r="O1889" s="0" t="n">
        <f aca="false">E1889*G1889</f>
        <v>0.25</v>
      </c>
      <c r="P1889" s="0" t="n">
        <f aca="false">E1889*H1889</f>
        <v>0.125</v>
      </c>
      <c r="Q1889" s="0" t="n">
        <f aca="false">F1889*G1889</f>
        <v>-0.125</v>
      </c>
      <c r="R1889" s="0" t="n">
        <f aca="false">F1889*H1889</f>
        <v>-0.0625</v>
      </c>
      <c r="S1889" s="0" t="n">
        <f aca="false">G1889*H1889</f>
        <v>0.125</v>
      </c>
      <c r="T1889" s="0" t="n">
        <f aca="false">E1889*E1889</f>
        <v>0.25</v>
      </c>
      <c r="U1889" s="0" t="n">
        <f aca="false">F1889*F1889</f>
        <v>0.0625</v>
      </c>
      <c r="V1889" s="0" t="n">
        <f aca="false">G1889*G1889</f>
        <v>0.25</v>
      </c>
      <c r="W1889" s="0" t="n">
        <f aca="false">H1889*H1889</f>
        <v>0.0625</v>
      </c>
      <c r="X1889" s="0" t="n">
        <f aca="false">SUMPRODUCT(I1889:W1889,_XtX!$B$96:$P$96)</f>
        <v>45.5567936769006</v>
      </c>
      <c r="Y1889" s="0" t="n">
        <f aca="false">SUMPRODUCT(MMULT(I1889:W1889,_XtX!$B$78:$P$92),I1889:W1889)</f>
        <v>0.128236647934942</v>
      </c>
      <c r="Z1889" s="0" t="n">
        <f aca="false">04_回帰ANOVA!$K$19*04_回帰ANOVA!$K$14*SQRT(1+Y1889)</f>
        <v>1.38451764188989</v>
      </c>
      <c r="AA1889" s="0" t="n">
        <f aca="false">X1889-Z1889</f>
        <v>44.1722760350107</v>
      </c>
      <c r="AB1889" s="0" t="n">
        <f aca="false">X1889+Z1889</f>
        <v>46.9413113187904</v>
      </c>
      <c r="AC1889" s="54" t="b">
        <f aca="false">AND(E1889&gt;=01_因子設定!$L$5-0.000000001,E1889&lt;=01_因子設定!$M$5+0.000000001,F1889&gt;=01_因子設定!$L$6-0.000000001,F1889&lt;=01_因子設定!$M$6+0.000000001,G1889&gt;=01_因子設定!$L$7-0.000000001,G1889&lt;=01_因子設定!$M$7+0.000000001,H1889&gt;=01_因子設定!$L$8-0.000000001,H1889&lt;=01_因子設定!$M$8+0.000000001,IF(01_因子設定!$B$20="Box-Behnken",E1889^2+F1889^2+G1889^2+H1889^2&lt;=2+0.000000001,TRUE()))</f>
        <v>1</v>
      </c>
      <c r="AD1889" s="55" t="n">
        <f aca="false">IF(AC1889,IF(01_因子設定!$B$13="最大化",AA1889-01_因子設定!$B$14,IF(01_因子設定!$B$13="最小化",01_因子設定!$B$15-AB1889,MIN(AA1889-01_因子設定!$B$14,01_因子設定!$B$15-AB1889))),-1E+030)</f>
        <v>-2.32772396498934</v>
      </c>
      <c r="AE1889" s="55" t="n">
        <f aca="false">IF(AC1889,IF(01_因子設定!$B$13="最大化",X1889,IF(01_因子設定!$B$13="最小化",-X1889,-ABS(X1889-01_因子設定!$B$16))),-1E+030)</f>
        <v>45.5567936769006</v>
      </c>
      <c r="AF1889" s="55" t="n">
        <f aca="false">AD1889+ROW()*0.000000001</f>
        <v>-2.32772207598934</v>
      </c>
      <c r="AG1889" s="55" t="n">
        <f aca="false">AE1889+ROW()*0.000000001</f>
        <v>45.5567955659006</v>
      </c>
    </row>
    <row r="1890" customFormat="false" ht="15" hidden="false" customHeight="false" outlineLevel="0" collapsed="false">
      <c r="A1890" s="0" t="n">
        <v>2</v>
      </c>
      <c r="B1890" s="0" t="n">
        <v>5</v>
      </c>
      <c r="C1890" s="0" t="n">
        <v>2</v>
      </c>
      <c r="D1890" s="0" t="n">
        <v>4</v>
      </c>
      <c r="E1890" s="0" t="n">
        <f aca="false">-1+A1890*0.25</f>
        <v>-0.5</v>
      </c>
      <c r="F1890" s="0" t="n">
        <f aca="false">-1+B1890*0.25</f>
        <v>0.25</v>
      </c>
      <c r="G1890" s="0" t="n">
        <f aca="false">-1+C1890*0.25</f>
        <v>-0.5</v>
      </c>
      <c r="H1890" s="0" t="n">
        <f aca="false">-1+D1890*0.25</f>
        <v>0</v>
      </c>
      <c r="I1890" s="0" t="n">
        <f aca="false">1</f>
        <v>1</v>
      </c>
      <c r="J1890" s="0" t="n">
        <f aca="false">E1890</f>
        <v>-0.5</v>
      </c>
      <c r="K1890" s="0" t="n">
        <f aca="false">F1890</f>
        <v>0.25</v>
      </c>
      <c r="L1890" s="0" t="n">
        <f aca="false">G1890</f>
        <v>-0.5</v>
      </c>
      <c r="M1890" s="0" t="n">
        <f aca="false">H1890</f>
        <v>0</v>
      </c>
      <c r="N1890" s="0" t="n">
        <f aca="false">E1890*F1890</f>
        <v>-0.125</v>
      </c>
      <c r="O1890" s="0" t="n">
        <f aca="false">E1890*G1890</f>
        <v>0.25</v>
      </c>
      <c r="P1890" s="0" t="n">
        <f aca="false">E1890*H1890</f>
        <v>-0</v>
      </c>
      <c r="Q1890" s="0" t="n">
        <f aca="false">F1890*G1890</f>
        <v>-0.125</v>
      </c>
      <c r="R1890" s="0" t="n">
        <f aca="false">F1890*H1890</f>
        <v>0</v>
      </c>
      <c r="S1890" s="0" t="n">
        <f aca="false">G1890*H1890</f>
        <v>-0</v>
      </c>
      <c r="T1890" s="0" t="n">
        <f aca="false">E1890*E1890</f>
        <v>0.25</v>
      </c>
      <c r="U1890" s="0" t="n">
        <f aca="false">F1890*F1890</f>
        <v>0.0625</v>
      </c>
      <c r="V1890" s="0" t="n">
        <f aca="false">G1890*G1890</f>
        <v>0.25</v>
      </c>
      <c r="W1890" s="0" t="n">
        <f aca="false">H1890*H1890</f>
        <v>0</v>
      </c>
      <c r="X1890" s="0" t="n">
        <f aca="false">SUMPRODUCT(I1890:W1890,_XtX!$B$96:$P$96)</f>
        <v>45.6172423245614</v>
      </c>
      <c r="Y1890" s="0" t="n">
        <f aca="false">SUMPRODUCT(MMULT(I1890:W1890,_XtX!$B$78:$P$92),I1890:W1890)</f>
        <v>0.132367050438597</v>
      </c>
      <c r="Z1890" s="0" t="n">
        <f aca="false">04_回帰ANOVA!$K$19*04_回帰ANOVA!$K$14*SQRT(1+Y1890)</f>
        <v>1.38704964208329</v>
      </c>
      <c r="AA1890" s="0" t="n">
        <f aca="false">X1890-Z1890</f>
        <v>44.2301926824781</v>
      </c>
      <c r="AB1890" s="0" t="n">
        <f aca="false">X1890+Z1890</f>
        <v>47.0042919666447</v>
      </c>
      <c r="AC1890" s="54" t="b">
        <f aca="false">AND(E1890&gt;=01_因子設定!$L$5-0.000000001,E1890&lt;=01_因子設定!$M$5+0.000000001,F1890&gt;=01_因子設定!$L$6-0.000000001,F1890&lt;=01_因子設定!$M$6+0.000000001,G1890&gt;=01_因子設定!$L$7-0.000000001,G1890&lt;=01_因子設定!$M$7+0.000000001,H1890&gt;=01_因子設定!$L$8-0.000000001,H1890&lt;=01_因子設定!$M$8+0.000000001,IF(01_因子設定!$B$20="Box-Behnken",E1890^2+F1890^2+G1890^2+H1890^2&lt;=2+0.000000001,TRUE()))</f>
        <v>1</v>
      </c>
      <c r="AD1890" s="55" t="n">
        <f aca="false">IF(AC1890,IF(01_因子設定!$B$13="最大化",AA1890-01_因子設定!$B$14,IF(01_因子設定!$B$13="最小化",01_因子設定!$B$15-AB1890,MIN(AA1890-01_因子設定!$B$14,01_因子設定!$B$15-AB1890))),-1E+030)</f>
        <v>-2.26980731752193</v>
      </c>
      <c r="AE1890" s="55" t="n">
        <f aca="false">IF(AC1890,IF(01_因子設定!$B$13="最大化",X1890,IF(01_因子設定!$B$13="最小化",-X1890,-ABS(X1890-01_因子設定!$B$16))),-1E+030)</f>
        <v>45.6172423245614</v>
      </c>
      <c r="AF1890" s="55" t="n">
        <f aca="false">AD1890+ROW()*0.000000001</f>
        <v>-2.26980542752193</v>
      </c>
      <c r="AG1890" s="55" t="n">
        <f aca="false">AE1890+ROW()*0.000000001</f>
        <v>45.6172442145614</v>
      </c>
    </row>
    <row r="1891" customFormat="false" ht="15" hidden="false" customHeight="false" outlineLevel="0" collapsed="false">
      <c r="A1891" s="0" t="n">
        <v>2</v>
      </c>
      <c r="B1891" s="0" t="n">
        <v>5</v>
      </c>
      <c r="C1891" s="0" t="n">
        <v>2</v>
      </c>
      <c r="D1891" s="0" t="n">
        <v>5</v>
      </c>
      <c r="E1891" s="0" t="n">
        <f aca="false">-1+A1891*0.25</f>
        <v>-0.5</v>
      </c>
      <c r="F1891" s="0" t="n">
        <f aca="false">-1+B1891*0.25</f>
        <v>0.25</v>
      </c>
      <c r="G1891" s="0" t="n">
        <f aca="false">-1+C1891*0.25</f>
        <v>-0.5</v>
      </c>
      <c r="H1891" s="0" t="n">
        <f aca="false">-1+D1891*0.25</f>
        <v>0.25</v>
      </c>
      <c r="I1891" s="0" t="n">
        <f aca="false">1</f>
        <v>1</v>
      </c>
      <c r="J1891" s="0" t="n">
        <f aca="false">E1891</f>
        <v>-0.5</v>
      </c>
      <c r="K1891" s="0" t="n">
        <f aca="false">F1891</f>
        <v>0.25</v>
      </c>
      <c r="L1891" s="0" t="n">
        <f aca="false">G1891</f>
        <v>-0.5</v>
      </c>
      <c r="M1891" s="0" t="n">
        <f aca="false">H1891</f>
        <v>0.25</v>
      </c>
      <c r="N1891" s="0" t="n">
        <f aca="false">E1891*F1891</f>
        <v>-0.125</v>
      </c>
      <c r="O1891" s="0" t="n">
        <f aca="false">E1891*G1891</f>
        <v>0.25</v>
      </c>
      <c r="P1891" s="0" t="n">
        <f aca="false">E1891*H1891</f>
        <v>-0.125</v>
      </c>
      <c r="Q1891" s="0" t="n">
        <f aca="false">F1891*G1891</f>
        <v>-0.125</v>
      </c>
      <c r="R1891" s="0" t="n">
        <f aca="false">F1891*H1891</f>
        <v>0.0625</v>
      </c>
      <c r="S1891" s="0" t="n">
        <f aca="false">G1891*H1891</f>
        <v>-0.125</v>
      </c>
      <c r="T1891" s="0" t="n">
        <f aca="false">E1891*E1891</f>
        <v>0.25</v>
      </c>
      <c r="U1891" s="0" t="n">
        <f aca="false">F1891*F1891</f>
        <v>0.0625</v>
      </c>
      <c r="V1891" s="0" t="n">
        <f aca="false">G1891*G1891</f>
        <v>0.25</v>
      </c>
      <c r="W1891" s="0" t="n">
        <f aca="false">H1891*H1891</f>
        <v>0.0625</v>
      </c>
      <c r="X1891" s="0" t="n">
        <f aca="false">SUMPRODUCT(I1891:W1891,_XtX!$B$96:$P$96)</f>
        <v>45.6298839546783</v>
      </c>
      <c r="Y1891" s="0" t="n">
        <f aca="false">SUMPRODUCT(MMULT(I1891:W1891,_XtX!$B$78:$P$92),I1891:W1891)</f>
        <v>0.128236647934942</v>
      </c>
      <c r="Z1891" s="0" t="n">
        <f aca="false">04_回帰ANOVA!$K$19*04_回帰ANOVA!$K$14*SQRT(1+Y1891)</f>
        <v>1.38451764188989</v>
      </c>
      <c r="AA1891" s="0" t="n">
        <f aca="false">X1891-Z1891</f>
        <v>44.2453663127884</v>
      </c>
      <c r="AB1891" s="0" t="n">
        <f aca="false">X1891+Z1891</f>
        <v>47.0144015965682</v>
      </c>
      <c r="AC1891" s="54" t="b">
        <f aca="false">AND(E1891&gt;=01_因子設定!$L$5-0.000000001,E1891&lt;=01_因子設定!$M$5+0.000000001,F1891&gt;=01_因子設定!$L$6-0.000000001,F1891&lt;=01_因子設定!$M$6+0.000000001,G1891&gt;=01_因子設定!$L$7-0.000000001,G1891&lt;=01_因子設定!$M$7+0.000000001,H1891&gt;=01_因子設定!$L$8-0.000000001,H1891&lt;=01_因子設定!$M$8+0.000000001,IF(01_因子設定!$B$20="Box-Behnken",E1891^2+F1891^2+G1891^2+H1891^2&lt;=2+0.000000001,TRUE()))</f>
        <v>1</v>
      </c>
      <c r="AD1891" s="55" t="n">
        <f aca="false">IF(AC1891,IF(01_因子設定!$B$13="最大化",AA1891-01_因子設定!$B$14,IF(01_因子設定!$B$13="最小化",01_因子設定!$B$15-AB1891,MIN(AA1891-01_因子設定!$B$14,01_因子設定!$B$15-AB1891))),-1E+030)</f>
        <v>-2.25463368721157</v>
      </c>
      <c r="AE1891" s="55" t="n">
        <f aca="false">IF(AC1891,IF(01_因子設定!$B$13="最大化",X1891,IF(01_因子設定!$B$13="最小化",-X1891,-ABS(X1891-01_因子設定!$B$16))),-1E+030)</f>
        <v>45.6298839546783</v>
      </c>
      <c r="AF1891" s="55" t="n">
        <f aca="false">AD1891+ROW()*0.000000001</f>
        <v>-2.25463179621157</v>
      </c>
      <c r="AG1891" s="55" t="n">
        <f aca="false">AE1891+ROW()*0.000000001</f>
        <v>45.6298858456783</v>
      </c>
    </row>
    <row r="1892" customFormat="false" ht="15" hidden="false" customHeight="false" outlineLevel="0" collapsed="false">
      <c r="A1892" s="0" t="n">
        <v>2</v>
      </c>
      <c r="B1892" s="0" t="n">
        <v>5</v>
      </c>
      <c r="C1892" s="0" t="n">
        <v>2</v>
      </c>
      <c r="D1892" s="0" t="n">
        <v>6</v>
      </c>
      <c r="E1892" s="0" t="n">
        <f aca="false">-1+A1892*0.25</f>
        <v>-0.5</v>
      </c>
      <c r="F1892" s="0" t="n">
        <f aca="false">-1+B1892*0.25</f>
        <v>0.25</v>
      </c>
      <c r="G1892" s="0" t="n">
        <f aca="false">-1+C1892*0.25</f>
        <v>-0.5</v>
      </c>
      <c r="H1892" s="0" t="n">
        <f aca="false">-1+D1892*0.25</f>
        <v>0.5</v>
      </c>
      <c r="I1892" s="0" t="n">
        <f aca="false">1</f>
        <v>1</v>
      </c>
      <c r="J1892" s="0" t="n">
        <f aca="false">E1892</f>
        <v>-0.5</v>
      </c>
      <c r="K1892" s="0" t="n">
        <f aca="false">F1892</f>
        <v>0.25</v>
      </c>
      <c r="L1892" s="0" t="n">
        <f aca="false">G1892</f>
        <v>-0.5</v>
      </c>
      <c r="M1892" s="0" t="n">
        <f aca="false">H1892</f>
        <v>0.5</v>
      </c>
      <c r="N1892" s="0" t="n">
        <f aca="false">E1892*F1892</f>
        <v>-0.125</v>
      </c>
      <c r="O1892" s="0" t="n">
        <f aca="false">E1892*G1892</f>
        <v>0.25</v>
      </c>
      <c r="P1892" s="0" t="n">
        <f aca="false">E1892*H1892</f>
        <v>-0.25</v>
      </c>
      <c r="Q1892" s="0" t="n">
        <f aca="false">F1892*G1892</f>
        <v>-0.125</v>
      </c>
      <c r="R1892" s="0" t="n">
        <f aca="false">F1892*H1892</f>
        <v>0.125</v>
      </c>
      <c r="S1892" s="0" t="n">
        <f aca="false">G1892*H1892</f>
        <v>-0.25</v>
      </c>
      <c r="T1892" s="0" t="n">
        <f aca="false">E1892*E1892</f>
        <v>0.25</v>
      </c>
      <c r="U1892" s="0" t="n">
        <f aca="false">F1892*F1892</f>
        <v>0.0625</v>
      </c>
      <c r="V1892" s="0" t="n">
        <f aca="false">G1892*G1892</f>
        <v>0.25</v>
      </c>
      <c r="W1892" s="0" t="n">
        <f aca="false">H1892*H1892</f>
        <v>0.25</v>
      </c>
      <c r="X1892" s="0" t="n">
        <f aca="false">SUMPRODUCT(I1892:W1892,_XtX!$B$96:$P$96)</f>
        <v>45.5947185672514</v>
      </c>
      <c r="Y1892" s="0" t="n">
        <f aca="false">SUMPRODUCT(MMULT(I1892:W1892,_XtX!$B$78:$P$92),I1892:W1892)</f>
        <v>0.133937545687135</v>
      </c>
      <c r="Z1892" s="0" t="n">
        <f aca="false">04_回帰ANOVA!$K$19*04_回帰ANOVA!$K$14*SQRT(1+Y1892)</f>
        <v>1.38801116780825</v>
      </c>
      <c r="AA1892" s="0" t="n">
        <f aca="false">X1892-Z1892</f>
        <v>44.2067073994432</v>
      </c>
      <c r="AB1892" s="0" t="n">
        <f aca="false">X1892+Z1892</f>
        <v>46.9827297350597</v>
      </c>
      <c r="AC1892" s="54" t="b">
        <f aca="false">AND(E1892&gt;=01_因子設定!$L$5-0.000000001,E1892&lt;=01_因子設定!$M$5+0.000000001,F1892&gt;=01_因子設定!$L$6-0.000000001,F1892&lt;=01_因子設定!$M$6+0.000000001,G1892&gt;=01_因子設定!$L$7-0.000000001,G1892&lt;=01_因子設定!$M$7+0.000000001,H1892&gt;=01_因子設定!$L$8-0.000000001,H1892&lt;=01_因子設定!$M$8+0.000000001,IF(01_因子設定!$B$20="Box-Behnken",E1892^2+F1892^2+G1892^2+H1892^2&lt;=2+0.000000001,TRUE()))</f>
        <v>1</v>
      </c>
      <c r="AD1892" s="55" t="n">
        <f aca="false">IF(AC1892,IF(01_因子設定!$B$13="最大化",AA1892-01_因子設定!$B$14,IF(01_因子設定!$B$13="最小化",01_因子設定!$B$15-AB1892,MIN(AA1892-01_因子設定!$B$14,01_因子設定!$B$15-AB1892))),-1E+030)</f>
        <v>-2.29329260055683</v>
      </c>
      <c r="AE1892" s="55" t="n">
        <f aca="false">IF(AC1892,IF(01_因子設定!$B$13="最大化",X1892,IF(01_因子設定!$B$13="最小化",-X1892,-ABS(X1892-01_因子設定!$B$16))),-1E+030)</f>
        <v>45.5947185672514</v>
      </c>
      <c r="AF1892" s="55" t="n">
        <f aca="false">AD1892+ROW()*0.000000001</f>
        <v>-2.29329070855683</v>
      </c>
      <c r="AG1892" s="55" t="n">
        <f aca="false">AE1892+ROW()*0.000000001</f>
        <v>45.5947204592514</v>
      </c>
    </row>
    <row r="1893" customFormat="false" ht="15" hidden="false" customHeight="false" outlineLevel="0" collapsed="false">
      <c r="A1893" s="0" t="n">
        <v>2</v>
      </c>
      <c r="B1893" s="0" t="n">
        <v>5</v>
      </c>
      <c r="C1893" s="0" t="n">
        <v>2</v>
      </c>
      <c r="D1893" s="0" t="n">
        <v>7</v>
      </c>
      <c r="E1893" s="0" t="n">
        <f aca="false">-1+A1893*0.25</f>
        <v>-0.5</v>
      </c>
      <c r="F1893" s="0" t="n">
        <f aca="false">-1+B1893*0.25</f>
        <v>0.25</v>
      </c>
      <c r="G1893" s="0" t="n">
        <f aca="false">-1+C1893*0.25</f>
        <v>-0.5</v>
      </c>
      <c r="H1893" s="0" t="n">
        <f aca="false">-1+D1893*0.25</f>
        <v>0.75</v>
      </c>
      <c r="I1893" s="0" t="n">
        <f aca="false">1</f>
        <v>1</v>
      </c>
      <c r="J1893" s="0" t="n">
        <f aca="false">E1893</f>
        <v>-0.5</v>
      </c>
      <c r="K1893" s="0" t="n">
        <f aca="false">F1893</f>
        <v>0.25</v>
      </c>
      <c r="L1893" s="0" t="n">
        <f aca="false">G1893</f>
        <v>-0.5</v>
      </c>
      <c r="M1893" s="0" t="n">
        <f aca="false">H1893</f>
        <v>0.75</v>
      </c>
      <c r="N1893" s="0" t="n">
        <f aca="false">E1893*F1893</f>
        <v>-0.125</v>
      </c>
      <c r="O1893" s="0" t="n">
        <f aca="false">E1893*G1893</f>
        <v>0.25</v>
      </c>
      <c r="P1893" s="0" t="n">
        <f aca="false">E1893*H1893</f>
        <v>-0.375</v>
      </c>
      <c r="Q1893" s="0" t="n">
        <f aca="false">F1893*G1893</f>
        <v>-0.125</v>
      </c>
      <c r="R1893" s="0" t="n">
        <f aca="false">F1893*H1893</f>
        <v>0.1875</v>
      </c>
      <c r="S1893" s="0" t="n">
        <f aca="false">G1893*H1893</f>
        <v>-0.375</v>
      </c>
      <c r="T1893" s="0" t="n">
        <f aca="false">E1893*E1893</f>
        <v>0.25</v>
      </c>
      <c r="U1893" s="0" t="n">
        <f aca="false">F1893*F1893</f>
        <v>0.0625</v>
      </c>
      <c r="V1893" s="0" t="n">
        <f aca="false">G1893*G1893</f>
        <v>0.25</v>
      </c>
      <c r="W1893" s="0" t="n">
        <f aca="false">H1893*H1893</f>
        <v>0.5625</v>
      </c>
      <c r="X1893" s="0" t="n">
        <f aca="false">SUMPRODUCT(I1893:W1893,_XtX!$B$96:$P$96)</f>
        <v>45.5117461622807</v>
      </c>
      <c r="Y1893" s="0" t="n">
        <f aca="false">SUMPRODUCT(MMULT(I1893:W1893,_XtX!$B$78:$P$92),I1893:W1893)</f>
        <v>0.203746059484649</v>
      </c>
      <c r="Z1893" s="0" t="n">
        <f aca="false">04_回帰ANOVA!$K$19*04_回帰ANOVA!$K$14*SQRT(1+Y1893)</f>
        <v>1.43009810755465</v>
      </c>
      <c r="AA1893" s="0" t="n">
        <f aca="false">X1893-Z1893</f>
        <v>44.081648054726</v>
      </c>
      <c r="AB1893" s="0" t="n">
        <f aca="false">X1893+Z1893</f>
        <v>46.9418442698353</v>
      </c>
      <c r="AC1893" s="54" t="b">
        <f aca="false">AND(E1893&gt;=01_因子設定!$L$5-0.000000001,E1893&lt;=01_因子設定!$M$5+0.000000001,F1893&gt;=01_因子設定!$L$6-0.000000001,F1893&lt;=01_因子設定!$M$6+0.000000001,G1893&gt;=01_因子設定!$L$7-0.000000001,G1893&lt;=01_因子設定!$M$7+0.000000001,H1893&gt;=01_因子設定!$L$8-0.000000001,H1893&lt;=01_因子設定!$M$8+0.000000001,IF(01_因子設定!$B$20="Box-Behnken",E1893^2+F1893^2+G1893^2+H1893^2&lt;=2+0.000000001,TRUE()))</f>
        <v>1</v>
      </c>
      <c r="AD1893" s="55" t="n">
        <f aca="false">IF(AC1893,IF(01_因子設定!$B$13="最大化",AA1893-01_因子設定!$B$14,IF(01_因子設定!$B$13="最小化",01_因子設定!$B$15-AB1893,MIN(AA1893-01_因子設定!$B$14,01_因子設定!$B$15-AB1893))),-1E+030)</f>
        <v>-2.41835194527397</v>
      </c>
      <c r="AE1893" s="55" t="n">
        <f aca="false">IF(AC1893,IF(01_因子設定!$B$13="最大化",X1893,IF(01_因子設定!$B$13="最小化",-X1893,-ABS(X1893-01_因子設定!$B$16))),-1E+030)</f>
        <v>45.5117461622807</v>
      </c>
      <c r="AF1893" s="55" t="n">
        <f aca="false">AD1893+ROW()*0.000000001</f>
        <v>-2.41835005227397</v>
      </c>
      <c r="AG1893" s="55" t="n">
        <f aca="false">AE1893+ROW()*0.000000001</f>
        <v>45.5117480552807</v>
      </c>
    </row>
    <row r="1894" customFormat="false" ht="15" hidden="false" customHeight="false" outlineLevel="0" collapsed="false">
      <c r="A1894" s="0" t="n">
        <v>2</v>
      </c>
      <c r="B1894" s="0" t="n">
        <v>5</v>
      </c>
      <c r="C1894" s="0" t="n">
        <v>2</v>
      </c>
      <c r="D1894" s="0" t="n">
        <v>8</v>
      </c>
      <c r="E1894" s="0" t="n">
        <f aca="false">-1+A1894*0.25</f>
        <v>-0.5</v>
      </c>
      <c r="F1894" s="0" t="n">
        <f aca="false">-1+B1894*0.25</f>
        <v>0.25</v>
      </c>
      <c r="G1894" s="0" t="n">
        <f aca="false">-1+C1894*0.25</f>
        <v>-0.5</v>
      </c>
      <c r="H1894" s="0" t="n">
        <f aca="false">-1+D1894*0.25</f>
        <v>1</v>
      </c>
      <c r="I1894" s="0" t="n">
        <f aca="false">1</f>
        <v>1</v>
      </c>
      <c r="J1894" s="0" t="n">
        <f aca="false">E1894</f>
        <v>-0.5</v>
      </c>
      <c r="K1894" s="0" t="n">
        <f aca="false">F1894</f>
        <v>0.25</v>
      </c>
      <c r="L1894" s="0" t="n">
        <f aca="false">G1894</f>
        <v>-0.5</v>
      </c>
      <c r="M1894" s="0" t="n">
        <f aca="false">H1894</f>
        <v>1</v>
      </c>
      <c r="N1894" s="0" t="n">
        <f aca="false">E1894*F1894</f>
        <v>-0.125</v>
      </c>
      <c r="O1894" s="0" t="n">
        <f aca="false">E1894*G1894</f>
        <v>0.25</v>
      </c>
      <c r="P1894" s="0" t="n">
        <f aca="false">E1894*H1894</f>
        <v>-0.5</v>
      </c>
      <c r="Q1894" s="0" t="n">
        <f aca="false">F1894*G1894</f>
        <v>-0.125</v>
      </c>
      <c r="R1894" s="0" t="n">
        <f aca="false">F1894*H1894</f>
        <v>0.25</v>
      </c>
      <c r="S1894" s="0" t="n">
        <f aca="false">G1894*H1894</f>
        <v>-0.5</v>
      </c>
      <c r="T1894" s="0" t="n">
        <f aca="false">E1894*E1894</f>
        <v>0.25</v>
      </c>
      <c r="U1894" s="0" t="n">
        <f aca="false">F1894*F1894</f>
        <v>0.0625</v>
      </c>
      <c r="V1894" s="0" t="n">
        <f aca="false">G1894*G1894</f>
        <v>0.25</v>
      </c>
      <c r="W1894" s="0" t="n">
        <f aca="false">H1894*H1894</f>
        <v>1</v>
      </c>
      <c r="X1894" s="0" t="n">
        <f aca="false">SUMPRODUCT(I1894:W1894,_XtX!$B$96:$P$96)</f>
        <v>45.3809667397661</v>
      </c>
      <c r="Y1894" s="0" t="n">
        <f aca="false">SUMPRODUCT(MMULT(I1894:W1894,_XtX!$B$78:$P$92),I1894:W1894)</f>
        <v>0.428122715643275</v>
      </c>
      <c r="Z1894" s="0" t="n">
        <f aca="false">04_回帰ANOVA!$K$19*04_回帰ANOVA!$K$14*SQRT(1+Y1894)</f>
        <v>1.55769044623229</v>
      </c>
      <c r="AA1894" s="0" t="n">
        <f aca="false">X1894-Z1894</f>
        <v>43.8232762935338</v>
      </c>
      <c r="AB1894" s="0" t="n">
        <f aca="false">X1894+Z1894</f>
        <v>46.9386571859984</v>
      </c>
      <c r="AC1894" s="54" t="b">
        <f aca="false">AND(E1894&gt;=01_因子設定!$L$5-0.000000001,E1894&lt;=01_因子設定!$M$5+0.000000001,F1894&gt;=01_因子設定!$L$6-0.000000001,F1894&lt;=01_因子設定!$M$6+0.000000001,G1894&gt;=01_因子設定!$L$7-0.000000001,G1894&lt;=01_因子設定!$M$7+0.000000001,H1894&gt;=01_因子設定!$L$8-0.000000001,H1894&lt;=01_因子設定!$M$8+0.000000001,IF(01_因子設定!$B$20="Box-Behnken",E1894^2+F1894^2+G1894^2+H1894^2&lt;=2+0.000000001,TRUE()))</f>
        <v>1</v>
      </c>
      <c r="AD1894" s="55" t="n">
        <f aca="false">IF(AC1894,IF(01_因子設定!$B$13="最大化",AA1894-01_因子設定!$B$14,IF(01_因子設定!$B$13="最小化",01_因子設定!$B$15-AB1894,MIN(AA1894-01_因子設定!$B$14,01_因子設定!$B$15-AB1894))),-1E+030)</f>
        <v>-2.67672370646622</v>
      </c>
      <c r="AE1894" s="55" t="n">
        <f aca="false">IF(AC1894,IF(01_因子設定!$B$13="最大化",X1894,IF(01_因子設定!$B$13="最小化",-X1894,-ABS(X1894-01_因子設定!$B$16))),-1E+030)</f>
        <v>45.3809667397661</v>
      </c>
      <c r="AF1894" s="55" t="n">
        <f aca="false">AD1894+ROW()*0.000000001</f>
        <v>-2.67672181246622</v>
      </c>
      <c r="AG1894" s="55" t="n">
        <f aca="false">AE1894+ROW()*0.000000001</f>
        <v>45.3809686337661</v>
      </c>
    </row>
    <row r="1895" customFormat="false" ht="15" hidden="false" customHeight="false" outlineLevel="0" collapsed="false">
      <c r="A1895" s="0" t="n">
        <v>2</v>
      </c>
      <c r="B1895" s="0" t="n">
        <v>5</v>
      </c>
      <c r="C1895" s="0" t="n">
        <v>3</v>
      </c>
      <c r="D1895" s="0" t="n">
        <v>0</v>
      </c>
      <c r="E1895" s="0" t="n">
        <f aca="false">-1+A1895*0.25</f>
        <v>-0.5</v>
      </c>
      <c r="F1895" s="0" t="n">
        <f aca="false">-1+B1895*0.25</f>
        <v>0.25</v>
      </c>
      <c r="G1895" s="0" t="n">
        <f aca="false">-1+C1895*0.25</f>
        <v>-0.25</v>
      </c>
      <c r="H1895" s="0" t="n">
        <f aca="false">-1+D1895*0.25</f>
        <v>-1</v>
      </c>
      <c r="I1895" s="0" t="n">
        <f aca="false">1</f>
        <v>1</v>
      </c>
      <c r="J1895" s="0" t="n">
        <f aca="false">E1895</f>
        <v>-0.5</v>
      </c>
      <c r="K1895" s="0" t="n">
        <f aca="false">F1895</f>
        <v>0.25</v>
      </c>
      <c r="L1895" s="0" t="n">
        <f aca="false">G1895</f>
        <v>-0.25</v>
      </c>
      <c r="M1895" s="0" t="n">
        <f aca="false">H1895</f>
        <v>-1</v>
      </c>
      <c r="N1895" s="0" t="n">
        <f aca="false">E1895*F1895</f>
        <v>-0.125</v>
      </c>
      <c r="O1895" s="0" t="n">
        <f aca="false">E1895*G1895</f>
        <v>0.125</v>
      </c>
      <c r="P1895" s="0" t="n">
        <f aca="false">E1895*H1895</f>
        <v>0.5</v>
      </c>
      <c r="Q1895" s="0" t="n">
        <f aca="false">F1895*G1895</f>
        <v>-0.0625</v>
      </c>
      <c r="R1895" s="0" t="n">
        <f aca="false">F1895*H1895</f>
        <v>-0.25</v>
      </c>
      <c r="S1895" s="0" t="n">
        <f aca="false">G1895*H1895</f>
        <v>0.25</v>
      </c>
      <c r="T1895" s="0" t="n">
        <f aca="false">E1895*E1895</f>
        <v>0.25</v>
      </c>
      <c r="U1895" s="0" t="n">
        <f aca="false">F1895*F1895</f>
        <v>0.0625</v>
      </c>
      <c r="V1895" s="0" t="n">
        <f aca="false">G1895*G1895</f>
        <v>0.0625</v>
      </c>
      <c r="W1895" s="0" t="n">
        <f aca="false">H1895*H1895</f>
        <v>1</v>
      </c>
      <c r="X1895" s="0" t="n">
        <f aca="false">SUMPRODUCT(I1895:W1895,_XtX!$B$96:$P$96)</f>
        <v>45.4913057383041</v>
      </c>
      <c r="Y1895" s="0" t="n">
        <f aca="false">SUMPRODUCT(MMULT(I1895:W1895,_XtX!$B$78:$P$92),I1895:W1895)</f>
        <v>0.445705123812135</v>
      </c>
      <c r="Z1895" s="0" t="n">
        <f aca="false">04_回帰ANOVA!$K$19*04_回帰ANOVA!$K$14*SQRT(1+Y1895)</f>
        <v>1.56724990734749</v>
      </c>
      <c r="AA1895" s="0" t="n">
        <f aca="false">X1895-Z1895</f>
        <v>43.9240558309566</v>
      </c>
      <c r="AB1895" s="0" t="n">
        <f aca="false">X1895+Z1895</f>
        <v>47.0585556456516</v>
      </c>
      <c r="AC1895" s="54" t="b">
        <f aca="false">AND(E1895&gt;=01_因子設定!$L$5-0.000000001,E1895&lt;=01_因子設定!$M$5+0.000000001,F1895&gt;=01_因子設定!$L$6-0.000000001,F1895&lt;=01_因子設定!$M$6+0.000000001,G1895&gt;=01_因子設定!$L$7-0.000000001,G1895&lt;=01_因子設定!$M$7+0.000000001,H1895&gt;=01_因子設定!$L$8-0.000000001,H1895&lt;=01_因子設定!$M$8+0.000000001,IF(01_因子設定!$B$20="Box-Behnken",E1895^2+F1895^2+G1895^2+H1895^2&lt;=2+0.000000001,TRUE()))</f>
        <v>1</v>
      </c>
      <c r="AD1895" s="55" t="n">
        <f aca="false">IF(AC1895,IF(01_因子設定!$B$13="最大化",AA1895-01_因子設定!$B$14,IF(01_因子設定!$B$13="最小化",01_因子設定!$B$15-AB1895,MIN(AA1895-01_因子設定!$B$14,01_因子設定!$B$15-AB1895))),-1E+030)</f>
        <v>-2.5759441690434</v>
      </c>
      <c r="AE1895" s="55" t="n">
        <f aca="false">IF(AC1895,IF(01_因子設定!$B$13="最大化",X1895,IF(01_因子設定!$B$13="最小化",-X1895,-ABS(X1895-01_因子設定!$B$16))),-1E+030)</f>
        <v>45.4913057383041</v>
      </c>
      <c r="AF1895" s="55" t="n">
        <f aca="false">AD1895+ROW()*0.000000001</f>
        <v>-2.5759422740434</v>
      </c>
      <c r="AG1895" s="55" t="n">
        <f aca="false">AE1895+ROW()*0.000000001</f>
        <v>45.4913076333041</v>
      </c>
    </row>
    <row r="1896" customFormat="false" ht="15" hidden="false" customHeight="false" outlineLevel="0" collapsed="false">
      <c r="A1896" s="0" t="n">
        <v>2</v>
      </c>
      <c r="B1896" s="0" t="n">
        <v>5</v>
      </c>
      <c r="C1896" s="0" t="n">
        <v>3</v>
      </c>
      <c r="D1896" s="0" t="n">
        <v>1</v>
      </c>
      <c r="E1896" s="0" t="n">
        <f aca="false">-1+A1896*0.25</f>
        <v>-0.5</v>
      </c>
      <c r="F1896" s="0" t="n">
        <f aca="false">-1+B1896*0.25</f>
        <v>0.25</v>
      </c>
      <c r="G1896" s="0" t="n">
        <f aca="false">-1+C1896*0.25</f>
        <v>-0.25</v>
      </c>
      <c r="H1896" s="0" t="n">
        <f aca="false">-1+D1896*0.25</f>
        <v>-0.75</v>
      </c>
      <c r="I1896" s="0" t="n">
        <f aca="false">1</f>
        <v>1</v>
      </c>
      <c r="J1896" s="0" t="n">
        <f aca="false">E1896</f>
        <v>-0.5</v>
      </c>
      <c r="K1896" s="0" t="n">
        <f aca="false">F1896</f>
        <v>0.25</v>
      </c>
      <c r="L1896" s="0" t="n">
        <f aca="false">G1896</f>
        <v>-0.25</v>
      </c>
      <c r="M1896" s="0" t="n">
        <f aca="false">H1896</f>
        <v>-0.75</v>
      </c>
      <c r="N1896" s="0" t="n">
        <f aca="false">E1896*F1896</f>
        <v>-0.125</v>
      </c>
      <c r="O1896" s="0" t="n">
        <f aca="false">E1896*G1896</f>
        <v>0.125</v>
      </c>
      <c r="P1896" s="0" t="n">
        <f aca="false">E1896*H1896</f>
        <v>0.375</v>
      </c>
      <c r="Q1896" s="0" t="n">
        <f aca="false">F1896*G1896</f>
        <v>-0.0625</v>
      </c>
      <c r="R1896" s="0" t="n">
        <f aca="false">F1896*H1896</f>
        <v>-0.1875</v>
      </c>
      <c r="S1896" s="0" t="n">
        <f aca="false">G1896*H1896</f>
        <v>0.1875</v>
      </c>
      <c r="T1896" s="0" t="n">
        <f aca="false">E1896*E1896</f>
        <v>0.25</v>
      </c>
      <c r="U1896" s="0" t="n">
        <f aca="false">F1896*F1896</f>
        <v>0.0625</v>
      </c>
      <c r="V1896" s="0" t="n">
        <f aca="false">G1896*G1896</f>
        <v>0.0625</v>
      </c>
      <c r="W1896" s="0" t="n">
        <f aca="false">H1896*H1896</f>
        <v>0.5625</v>
      </c>
      <c r="X1896" s="0" t="n">
        <f aca="false">SUMPRODUCT(I1896:W1896,_XtX!$B$96:$P$96)</f>
        <v>45.7131441885965</v>
      </c>
      <c r="Y1896" s="0" t="n">
        <f aca="false">SUMPRODUCT(MMULT(I1896:W1896,_XtX!$B$78:$P$92),I1896:W1896)</f>
        <v>0.207746539199561</v>
      </c>
      <c r="Z1896" s="0" t="n">
        <f aca="false">04_回帰ANOVA!$K$19*04_回帰ANOVA!$K$14*SQRT(1+Y1896)</f>
        <v>1.43247250081141</v>
      </c>
      <c r="AA1896" s="0" t="n">
        <f aca="false">X1896-Z1896</f>
        <v>44.2806716877851</v>
      </c>
      <c r="AB1896" s="0" t="n">
        <f aca="false">X1896+Z1896</f>
        <v>47.1456166894079</v>
      </c>
      <c r="AC1896" s="54" t="b">
        <f aca="false">AND(E1896&gt;=01_因子設定!$L$5-0.000000001,E1896&lt;=01_因子設定!$M$5+0.000000001,F1896&gt;=01_因子設定!$L$6-0.000000001,F1896&lt;=01_因子設定!$M$6+0.000000001,G1896&gt;=01_因子設定!$L$7-0.000000001,G1896&lt;=01_因子設定!$M$7+0.000000001,H1896&gt;=01_因子設定!$L$8-0.000000001,H1896&lt;=01_因子設定!$M$8+0.000000001,IF(01_因子設定!$B$20="Box-Behnken",E1896^2+F1896^2+G1896^2+H1896^2&lt;=2+0.000000001,TRUE()))</f>
        <v>1</v>
      </c>
      <c r="AD1896" s="55" t="n">
        <f aca="false">IF(AC1896,IF(01_因子設定!$B$13="最大化",AA1896-01_因子設定!$B$14,IF(01_因子設定!$B$13="最小化",01_因子設定!$B$15-AB1896,MIN(AA1896-01_因子設定!$B$14,01_因子設定!$B$15-AB1896))),-1E+030)</f>
        <v>-2.21932831221493</v>
      </c>
      <c r="AE1896" s="55" t="n">
        <f aca="false">IF(AC1896,IF(01_因子設定!$B$13="最大化",X1896,IF(01_因子設定!$B$13="最小化",-X1896,-ABS(X1896-01_因子設定!$B$16))),-1E+030)</f>
        <v>45.7131441885965</v>
      </c>
      <c r="AF1896" s="55" t="n">
        <f aca="false">AD1896+ROW()*0.000000001</f>
        <v>-2.21932641621493</v>
      </c>
      <c r="AG1896" s="55" t="n">
        <f aca="false">AE1896+ROW()*0.000000001</f>
        <v>45.7131460845965</v>
      </c>
    </row>
    <row r="1897" customFormat="false" ht="15" hidden="false" customHeight="false" outlineLevel="0" collapsed="false">
      <c r="A1897" s="0" t="n">
        <v>2</v>
      </c>
      <c r="B1897" s="0" t="n">
        <v>5</v>
      </c>
      <c r="C1897" s="0" t="n">
        <v>3</v>
      </c>
      <c r="D1897" s="0" t="n">
        <v>2</v>
      </c>
      <c r="E1897" s="0" t="n">
        <f aca="false">-1+A1897*0.25</f>
        <v>-0.5</v>
      </c>
      <c r="F1897" s="0" t="n">
        <f aca="false">-1+B1897*0.25</f>
        <v>0.25</v>
      </c>
      <c r="G1897" s="0" t="n">
        <f aca="false">-1+C1897*0.25</f>
        <v>-0.25</v>
      </c>
      <c r="H1897" s="0" t="n">
        <f aca="false">-1+D1897*0.25</f>
        <v>-0.5</v>
      </c>
      <c r="I1897" s="0" t="n">
        <f aca="false">1</f>
        <v>1</v>
      </c>
      <c r="J1897" s="0" t="n">
        <f aca="false">E1897</f>
        <v>-0.5</v>
      </c>
      <c r="K1897" s="0" t="n">
        <f aca="false">F1897</f>
        <v>0.25</v>
      </c>
      <c r="L1897" s="0" t="n">
        <f aca="false">G1897</f>
        <v>-0.25</v>
      </c>
      <c r="M1897" s="0" t="n">
        <f aca="false">H1897</f>
        <v>-0.5</v>
      </c>
      <c r="N1897" s="0" t="n">
        <f aca="false">E1897*F1897</f>
        <v>-0.125</v>
      </c>
      <c r="O1897" s="0" t="n">
        <f aca="false">E1897*G1897</f>
        <v>0.125</v>
      </c>
      <c r="P1897" s="0" t="n">
        <f aca="false">E1897*H1897</f>
        <v>0.25</v>
      </c>
      <c r="Q1897" s="0" t="n">
        <f aca="false">F1897*G1897</f>
        <v>-0.0625</v>
      </c>
      <c r="R1897" s="0" t="n">
        <f aca="false">F1897*H1897</f>
        <v>-0.125</v>
      </c>
      <c r="S1897" s="0" t="n">
        <f aca="false">G1897*H1897</f>
        <v>0.125</v>
      </c>
      <c r="T1897" s="0" t="n">
        <f aca="false">E1897*E1897</f>
        <v>0.25</v>
      </c>
      <c r="U1897" s="0" t="n">
        <f aca="false">F1897*F1897</f>
        <v>0.0625</v>
      </c>
      <c r="V1897" s="0" t="n">
        <f aca="false">G1897*G1897</f>
        <v>0.0625</v>
      </c>
      <c r="W1897" s="0" t="n">
        <f aca="false">H1897*H1897</f>
        <v>0.25</v>
      </c>
      <c r="X1897" s="0" t="n">
        <f aca="false">SUMPRODUCT(I1897:W1897,_XtX!$B$96:$P$96)</f>
        <v>45.887175621345</v>
      </c>
      <c r="Y1897" s="0" t="n">
        <f aca="false">SUMPRODUCT(MMULT(I1897:W1897,_XtX!$B$78:$P$92),I1897:W1897)</f>
        <v>0.128236647934942</v>
      </c>
      <c r="Z1897" s="0" t="n">
        <f aca="false">04_回帰ANOVA!$K$19*04_回帰ANOVA!$K$14*SQRT(1+Y1897)</f>
        <v>1.38451764188989</v>
      </c>
      <c r="AA1897" s="0" t="n">
        <f aca="false">X1897-Z1897</f>
        <v>44.5026579794551</v>
      </c>
      <c r="AB1897" s="0" t="n">
        <f aca="false">X1897+Z1897</f>
        <v>47.2716932632349</v>
      </c>
      <c r="AC1897" s="54" t="b">
        <f aca="false">AND(E1897&gt;=01_因子設定!$L$5-0.000000001,E1897&lt;=01_因子設定!$M$5+0.000000001,F1897&gt;=01_因子設定!$L$6-0.000000001,F1897&lt;=01_因子設定!$M$6+0.000000001,G1897&gt;=01_因子設定!$L$7-0.000000001,G1897&lt;=01_因子設定!$M$7+0.000000001,H1897&gt;=01_因子設定!$L$8-0.000000001,H1897&lt;=01_因子設定!$M$8+0.000000001,IF(01_因子設定!$B$20="Box-Behnken",E1897^2+F1897^2+G1897^2+H1897^2&lt;=2+0.000000001,TRUE()))</f>
        <v>1</v>
      </c>
      <c r="AD1897" s="55" t="n">
        <f aca="false">IF(AC1897,IF(01_因子設定!$B$13="最大化",AA1897-01_因子設定!$B$14,IF(01_因子設定!$B$13="最小化",01_因子設定!$B$15-AB1897,MIN(AA1897-01_因子設定!$B$14,01_因子設定!$B$15-AB1897))),-1E+030)</f>
        <v>-1.99734202054489</v>
      </c>
      <c r="AE1897" s="55" t="n">
        <f aca="false">IF(AC1897,IF(01_因子設定!$B$13="最大化",X1897,IF(01_因子設定!$B$13="最小化",-X1897,-ABS(X1897-01_因子設定!$B$16))),-1E+030)</f>
        <v>45.887175621345</v>
      </c>
      <c r="AF1897" s="55" t="n">
        <f aca="false">AD1897+ROW()*0.000000001</f>
        <v>-1.99734012354489</v>
      </c>
      <c r="AG1897" s="55" t="n">
        <f aca="false">AE1897+ROW()*0.000000001</f>
        <v>45.887177518345</v>
      </c>
    </row>
    <row r="1898" customFormat="false" ht="15" hidden="false" customHeight="false" outlineLevel="0" collapsed="false">
      <c r="A1898" s="0" t="n">
        <v>2</v>
      </c>
      <c r="B1898" s="0" t="n">
        <v>5</v>
      </c>
      <c r="C1898" s="0" t="n">
        <v>3</v>
      </c>
      <c r="D1898" s="0" t="n">
        <v>3</v>
      </c>
      <c r="E1898" s="0" t="n">
        <f aca="false">-1+A1898*0.25</f>
        <v>-0.5</v>
      </c>
      <c r="F1898" s="0" t="n">
        <f aca="false">-1+B1898*0.25</f>
        <v>0.25</v>
      </c>
      <c r="G1898" s="0" t="n">
        <f aca="false">-1+C1898*0.25</f>
        <v>-0.25</v>
      </c>
      <c r="H1898" s="0" t="n">
        <f aca="false">-1+D1898*0.25</f>
        <v>-0.25</v>
      </c>
      <c r="I1898" s="0" t="n">
        <f aca="false">1</f>
        <v>1</v>
      </c>
      <c r="J1898" s="0" t="n">
        <f aca="false">E1898</f>
        <v>-0.5</v>
      </c>
      <c r="K1898" s="0" t="n">
        <f aca="false">F1898</f>
        <v>0.25</v>
      </c>
      <c r="L1898" s="0" t="n">
        <f aca="false">G1898</f>
        <v>-0.25</v>
      </c>
      <c r="M1898" s="0" t="n">
        <f aca="false">H1898</f>
        <v>-0.25</v>
      </c>
      <c r="N1898" s="0" t="n">
        <f aca="false">E1898*F1898</f>
        <v>-0.125</v>
      </c>
      <c r="O1898" s="0" t="n">
        <f aca="false">E1898*G1898</f>
        <v>0.125</v>
      </c>
      <c r="P1898" s="0" t="n">
        <f aca="false">E1898*H1898</f>
        <v>0.125</v>
      </c>
      <c r="Q1898" s="0" t="n">
        <f aca="false">F1898*G1898</f>
        <v>-0.0625</v>
      </c>
      <c r="R1898" s="0" t="n">
        <f aca="false">F1898*H1898</f>
        <v>-0.0625</v>
      </c>
      <c r="S1898" s="0" t="n">
        <f aca="false">G1898*H1898</f>
        <v>0.0625</v>
      </c>
      <c r="T1898" s="0" t="n">
        <f aca="false">E1898*E1898</f>
        <v>0.25</v>
      </c>
      <c r="U1898" s="0" t="n">
        <f aca="false">F1898*F1898</f>
        <v>0.0625</v>
      </c>
      <c r="V1898" s="0" t="n">
        <f aca="false">G1898*G1898</f>
        <v>0.0625</v>
      </c>
      <c r="W1898" s="0" t="n">
        <f aca="false">H1898*H1898</f>
        <v>0.0625</v>
      </c>
      <c r="X1898" s="0" t="n">
        <f aca="false">SUMPRODUCT(I1898:W1898,_XtX!$B$96:$P$96)</f>
        <v>46.0134000365497</v>
      </c>
      <c r="Y1898" s="0" t="n">
        <f aca="false">SUMPRODUCT(MMULT(I1898:W1898,_XtX!$B$78:$P$92),I1898:W1898)</f>
        <v>0.116714923702485</v>
      </c>
      <c r="Z1898" s="0" t="n">
        <f aca="false">04_回帰ANOVA!$K$19*04_回帰ANOVA!$K$14*SQRT(1+Y1898)</f>
        <v>1.37743004820023</v>
      </c>
      <c r="AA1898" s="0" t="n">
        <f aca="false">X1898-Z1898</f>
        <v>44.6359699883494</v>
      </c>
      <c r="AB1898" s="0" t="n">
        <f aca="false">X1898+Z1898</f>
        <v>47.3908300847499</v>
      </c>
      <c r="AC1898" s="54" t="b">
        <f aca="false">AND(E1898&gt;=01_因子設定!$L$5-0.000000001,E1898&lt;=01_因子設定!$M$5+0.000000001,F1898&gt;=01_因子設定!$L$6-0.000000001,F1898&lt;=01_因子設定!$M$6+0.000000001,G1898&gt;=01_因子設定!$L$7-0.000000001,G1898&lt;=01_因子設定!$M$7+0.000000001,H1898&gt;=01_因子設定!$L$8-0.000000001,H1898&lt;=01_因子設定!$M$8+0.000000001,IF(01_因子設定!$B$20="Box-Behnken",E1898^2+F1898^2+G1898^2+H1898^2&lt;=2+0.000000001,TRUE()))</f>
        <v>1</v>
      </c>
      <c r="AD1898" s="55" t="n">
        <f aca="false">IF(AC1898,IF(01_因子設定!$B$13="最大化",AA1898-01_因子設定!$B$14,IF(01_因子設定!$B$13="最小化",01_因子設定!$B$15-AB1898,MIN(AA1898-01_因子設定!$B$14,01_因子設定!$B$15-AB1898))),-1E+030)</f>
        <v>-1.86403001165056</v>
      </c>
      <c r="AE1898" s="55" t="n">
        <f aca="false">IF(AC1898,IF(01_因子設定!$B$13="最大化",X1898,IF(01_因子設定!$B$13="最小化",-X1898,-ABS(X1898-01_因子設定!$B$16))),-1E+030)</f>
        <v>46.0134000365497</v>
      </c>
      <c r="AF1898" s="55" t="n">
        <f aca="false">AD1898+ROW()*0.000000001</f>
        <v>-1.86402811365056</v>
      </c>
      <c r="AG1898" s="55" t="n">
        <f aca="false">AE1898+ROW()*0.000000001</f>
        <v>46.0134019345497</v>
      </c>
    </row>
    <row r="1899" customFormat="false" ht="15" hidden="false" customHeight="false" outlineLevel="0" collapsed="false">
      <c r="A1899" s="0" t="n">
        <v>2</v>
      </c>
      <c r="B1899" s="0" t="n">
        <v>5</v>
      </c>
      <c r="C1899" s="0" t="n">
        <v>3</v>
      </c>
      <c r="D1899" s="0" t="n">
        <v>4</v>
      </c>
      <c r="E1899" s="0" t="n">
        <f aca="false">-1+A1899*0.25</f>
        <v>-0.5</v>
      </c>
      <c r="F1899" s="0" t="n">
        <f aca="false">-1+B1899*0.25</f>
        <v>0.25</v>
      </c>
      <c r="G1899" s="0" t="n">
        <f aca="false">-1+C1899*0.25</f>
        <v>-0.25</v>
      </c>
      <c r="H1899" s="0" t="n">
        <f aca="false">-1+D1899*0.25</f>
        <v>0</v>
      </c>
      <c r="I1899" s="0" t="n">
        <f aca="false">1</f>
        <v>1</v>
      </c>
      <c r="J1899" s="0" t="n">
        <f aca="false">E1899</f>
        <v>-0.5</v>
      </c>
      <c r="K1899" s="0" t="n">
        <f aca="false">F1899</f>
        <v>0.25</v>
      </c>
      <c r="L1899" s="0" t="n">
        <f aca="false">G1899</f>
        <v>-0.25</v>
      </c>
      <c r="M1899" s="0" t="n">
        <f aca="false">H1899</f>
        <v>0</v>
      </c>
      <c r="N1899" s="0" t="n">
        <f aca="false">E1899*F1899</f>
        <v>-0.125</v>
      </c>
      <c r="O1899" s="0" t="n">
        <f aca="false">E1899*G1899</f>
        <v>0.125</v>
      </c>
      <c r="P1899" s="0" t="n">
        <f aca="false">E1899*H1899</f>
        <v>-0</v>
      </c>
      <c r="Q1899" s="0" t="n">
        <f aca="false">F1899*G1899</f>
        <v>-0.0625</v>
      </c>
      <c r="R1899" s="0" t="n">
        <f aca="false">F1899*H1899</f>
        <v>0</v>
      </c>
      <c r="S1899" s="0" t="n">
        <f aca="false">G1899*H1899</f>
        <v>-0</v>
      </c>
      <c r="T1899" s="0" t="n">
        <f aca="false">E1899*E1899</f>
        <v>0.25</v>
      </c>
      <c r="U1899" s="0" t="n">
        <f aca="false">F1899*F1899</f>
        <v>0.0625</v>
      </c>
      <c r="V1899" s="0" t="n">
        <f aca="false">G1899*G1899</f>
        <v>0.0625</v>
      </c>
      <c r="W1899" s="0" t="n">
        <f aca="false">H1899*H1899</f>
        <v>0</v>
      </c>
      <c r="X1899" s="0" t="n">
        <f aca="false">SUMPRODUCT(I1899:W1899,_XtX!$B$96:$P$96)</f>
        <v>46.0918174342105</v>
      </c>
      <c r="Y1899" s="0" t="n">
        <f aca="false">SUMPRODUCT(MMULT(I1899:W1899,_XtX!$B$78:$P$92),I1899:W1899)</f>
        <v>0.118905050712719</v>
      </c>
      <c r="Z1899" s="0" t="n">
        <f aca="false">04_回帰ANOVA!$K$19*04_回帰ANOVA!$K$14*SQRT(1+Y1899)</f>
        <v>1.37878011033769</v>
      </c>
      <c r="AA1899" s="0" t="n">
        <f aca="false">X1899-Z1899</f>
        <v>44.7130373238728</v>
      </c>
      <c r="AB1899" s="0" t="n">
        <f aca="false">X1899+Z1899</f>
        <v>47.4705975445482</v>
      </c>
      <c r="AC1899" s="54" t="b">
        <f aca="false">AND(E1899&gt;=01_因子設定!$L$5-0.000000001,E1899&lt;=01_因子設定!$M$5+0.000000001,F1899&gt;=01_因子設定!$L$6-0.000000001,F1899&lt;=01_因子設定!$M$6+0.000000001,G1899&gt;=01_因子設定!$L$7-0.000000001,G1899&lt;=01_因子設定!$M$7+0.000000001,H1899&gt;=01_因子設定!$L$8-0.000000001,H1899&lt;=01_因子設定!$M$8+0.000000001,IF(01_因子設定!$B$20="Box-Behnken",E1899^2+F1899^2+G1899^2+H1899^2&lt;=2+0.000000001,TRUE()))</f>
        <v>1</v>
      </c>
      <c r="AD1899" s="55" t="n">
        <f aca="false">IF(AC1899,IF(01_因子設定!$B$13="最大化",AA1899-01_因子設定!$B$14,IF(01_因子設定!$B$13="最小化",01_因子設定!$B$15-AB1899,MIN(AA1899-01_因子設定!$B$14,01_因子設定!$B$15-AB1899))),-1E+030)</f>
        <v>-1.7869626761272</v>
      </c>
      <c r="AE1899" s="55" t="n">
        <f aca="false">IF(AC1899,IF(01_因子設定!$B$13="最大化",X1899,IF(01_因子設定!$B$13="最小化",-X1899,-ABS(X1899-01_因子設定!$B$16))),-1E+030)</f>
        <v>46.0918174342105</v>
      </c>
      <c r="AF1899" s="55" t="n">
        <f aca="false">AD1899+ROW()*0.000000001</f>
        <v>-1.7869607771272</v>
      </c>
      <c r="AG1899" s="55" t="n">
        <f aca="false">AE1899+ROW()*0.000000001</f>
        <v>46.0918193332105</v>
      </c>
    </row>
    <row r="1900" customFormat="false" ht="15" hidden="false" customHeight="false" outlineLevel="0" collapsed="false">
      <c r="A1900" s="0" t="n">
        <v>2</v>
      </c>
      <c r="B1900" s="0" t="n">
        <v>5</v>
      </c>
      <c r="C1900" s="0" t="n">
        <v>3</v>
      </c>
      <c r="D1900" s="0" t="n">
        <v>5</v>
      </c>
      <c r="E1900" s="0" t="n">
        <f aca="false">-1+A1900*0.25</f>
        <v>-0.5</v>
      </c>
      <c r="F1900" s="0" t="n">
        <f aca="false">-1+B1900*0.25</f>
        <v>0.25</v>
      </c>
      <c r="G1900" s="0" t="n">
        <f aca="false">-1+C1900*0.25</f>
        <v>-0.25</v>
      </c>
      <c r="H1900" s="0" t="n">
        <f aca="false">-1+D1900*0.25</f>
        <v>0.25</v>
      </c>
      <c r="I1900" s="0" t="n">
        <f aca="false">1</f>
        <v>1</v>
      </c>
      <c r="J1900" s="0" t="n">
        <f aca="false">E1900</f>
        <v>-0.5</v>
      </c>
      <c r="K1900" s="0" t="n">
        <f aca="false">F1900</f>
        <v>0.25</v>
      </c>
      <c r="L1900" s="0" t="n">
        <f aca="false">G1900</f>
        <v>-0.25</v>
      </c>
      <c r="M1900" s="0" t="n">
        <f aca="false">H1900</f>
        <v>0.25</v>
      </c>
      <c r="N1900" s="0" t="n">
        <f aca="false">E1900*F1900</f>
        <v>-0.125</v>
      </c>
      <c r="O1900" s="0" t="n">
        <f aca="false">E1900*G1900</f>
        <v>0.125</v>
      </c>
      <c r="P1900" s="0" t="n">
        <f aca="false">E1900*H1900</f>
        <v>-0.125</v>
      </c>
      <c r="Q1900" s="0" t="n">
        <f aca="false">F1900*G1900</f>
        <v>-0.0625</v>
      </c>
      <c r="R1900" s="0" t="n">
        <f aca="false">F1900*H1900</f>
        <v>0.0625</v>
      </c>
      <c r="S1900" s="0" t="n">
        <f aca="false">G1900*H1900</f>
        <v>-0.0625</v>
      </c>
      <c r="T1900" s="0" t="n">
        <f aca="false">E1900*E1900</f>
        <v>0.25</v>
      </c>
      <c r="U1900" s="0" t="n">
        <f aca="false">F1900*F1900</f>
        <v>0.0625</v>
      </c>
      <c r="V1900" s="0" t="n">
        <f aca="false">G1900*G1900</f>
        <v>0.0625</v>
      </c>
      <c r="W1900" s="0" t="n">
        <f aca="false">H1900*H1900</f>
        <v>0.0625</v>
      </c>
      <c r="X1900" s="0" t="n">
        <f aca="false">SUMPRODUCT(I1900:W1900,_XtX!$B$96:$P$96)</f>
        <v>46.1224278143274</v>
      </c>
      <c r="Y1900" s="0" t="n">
        <f aca="false">SUMPRODUCT(MMULT(I1900:W1900,_XtX!$B$78:$P$92),I1900:W1900)</f>
        <v>0.116714923702485</v>
      </c>
      <c r="Z1900" s="0" t="n">
        <f aca="false">04_回帰ANOVA!$K$19*04_回帰ANOVA!$K$14*SQRT(1+Y1900)</f>
        <v>1.37743004820023</v>
      </c>
      <c r="AA1900" s="0" t="n">
        <f aca="false">X1900-Z1900</f>
        <v>44.7449977661272</v>
      </c>
      <c r="AB1900" s="0" t="n">
        <f aca="false">X1900+Z1900</f>
        <v>47.4998578625277</v>
      </c>
      <c r="AC1900" s="54" t="b">
        <f aca="false">AND(E1900&gt;=01_因子設定!$L$5-0.000000001,E1900&lt;=01_因子設定!$M$5+0.000000001,F1900&gt;=01_因子設定!$L$6-0.000000001,F1900&lt;=01_因子設定!$M$6+0.000000001,G1900&gt;=01_因子設定!$L$7-0.000000001,G1900&lt;=01_因子設定!$M$7+0.000000001,H1900&gt;=01_因子設定!$L$8-0.000000001,H1900&lt;=01_因子設定!$M$8+0.000000001,IF(01_因子設定!$B$20="Box-Behnken",E1900^2+F1900^2+G1900^2+H1900^2&lt;=2+0.000000001,TRUE()))</f>
        <v>1</v>
      </c>
      <c r="AD1900" s="55" t="n">
        <f aca="false">IF(AC1900,IF(01_因子設定!$B$13="最大化",AA1900-01_因子設定!$B$14,IF(01_因子設定!$B$13="最小化",01_因子設定!$B$15-AB1900,MIN(AA1900-01_因子設定!$B$14,01_因子設定!$B$15-AB1900))),-1E+030)</f>
        <v>-1.75500223387278</v>
      </c>
      <c r="AE1900" s="55" t="n">
        <f aca="false">IF(AC1900,IF(01_因子設定!$B$13="最大化",X1900,IF(01_因子設定!$B$13="最小化",-X1900,-ABS(X1900-01_因子設定!$B$16))),-1E+030)</f>
        <v>46.1224278143274</v>
      </c>
      <c r="AF1900" s="55" t="n">
        <f aca="false">AD1900+ROW()*0.000000001</f>
        <v>-1.75500033387278</v>
      </c>
      <c r="AG1900" s="55" t="n">
        <f aca="false">AE1900+ROW()*0.000000001</f>
        <v>46.1224297143274</v>
      </c>
    </row>
    <row r="1901" customFormat="false" ht="15" hidden="false" customHeight="false" outlineLevel="0" collapsed="false">
      <c r="A1901" s="0" t="n">
        <v>2</v>
      </c>
      <c r="B1901" s="0" t="n">
        <v>5</v>
      </c>
      <c r="C1901" s="0" t="n">
        <v>3</v>
      </c>
      <c r="D1901" s="0" t="n">
        <v>6</v>
      </c>
      <c r="E1901" s="0" t="n">
        <f aca="false">-1+A1901*0.25</f>
        <v>-0.5</v>
      </c>
      <c r="F1901" s="0" t="n">
        <f aca="false">-1+B1901*0.25</f>
        <v>0.25</v>
      </c>
      <c r="G1901" s="0" t="n">
        <f aca="false">-1+C1901*0.25</f>
        <v>-0.25</v>
      </c>
      <c r="H1901" s="0" t="n">
        <f aca="false">-1+D1901*0.25</f>
        <v>0.5</v>
      </c>
      <c r="I1901" s="0" t="n">
        <f aca="false">1</f>
        <v>1</v>
      </c>
      <c r="J1901" s="0" t="n">
        <f aca="false">E1901</f>
        <v>-0.5</v>
      </c>
      <c r="K1901" s="0" t="n">
        <f aca="false">F1901</f>
        <v>0.25</v>
      </c>
      <c r="L1901" s="0" t="n">
        <f aca="false">G1901</f>
        <v>-0.25</v>
      </c>
      <c r="M1901" s="0" t="n">
        <f aca="false">H1901</f>
        <v>0.5</v>
      </c>
      <c r="N1901" s="0" t="n">
        <f aca="false">E1901*F1901</f>
        <v>-0.125</v>
      </c>
      <c r="O1901" s="0" t="n">
        <f aca="false">E1901*G1901</f>
        <v>0.125</v>
      </c>
      <c r="P1901" s="0" t="n">
        <f aca="false">E1901*H1901</f>
        <v>-0.25</v>
      </c>
      <c r="Q1901" s="0" t="n">
        <f aca="false">F1901*G1901</f>
        <v>-0.0625</v>
      </c>
      <c r="R1901" s="0" t="n">
        <f aca="false">F1901*H1901</f>
        <v>0.125</v>
      </c>
      <c r="S1901" s="0" t="n">
        <f aca="false">G1901*H1901</f>
        <v>-0.125</v>
      </c>
      <c r="T1901" s="0" t="n">
        <f aca="false">E1901*E1901</f>
        <v>0.25</v>
      </c>
      <c r="U1901" s="0" t="n">
        <f aca="false">F1901*F1901</f>
        <v>0.0625</v>
      </c>
      <c r="V1901" s="0" t="n">
        <f aca="false">G1901*G1901</f>
        <v>0.0625</v>
      </c>
      <c r="W1901" s="0" t="n">
        <f aca="false">H1901*H1901</f>
        <v>0.25</v>
      </c>
      <c r="X1901" s="0" t="n">
        <f aca="false">SUMPRODUCT(I1901:W1901,_XtX!$B$96:$P$96)</f>
        <v>46.1052311769006</v>
      </c>
      <c r="Y1901" s="0" t="n">
        <f aca="false">SUMPRODUCT(MMULT(I1901:W1901,_XtX!$B$78:$P$92),I1901:W1901)</f>
        <v>0.128236647934942</v>
      </c>
      <c r="Z1901" s="0" t="n">
        <f aca="false">04_回帰ANOVA!$K$19*04_回帰ANOVA!$K$14*SQRT(1+Y1901)</f>
        <v>1.38451764188989</v>
      </c>
      <c r="AA1901" s="0" t="n">
        <f aca="false">X1901-Z1901</f>
        <v>44.7207135350107</v>
      </c>
      <c r="AB1901" s="0" t="n">
        <f aca="false">X1901+Z1901</f>
        <v>47.4897488187904</v>
      </c>
      <c r="AC1901" s="54" t="b">
        <f aca="false">AND(E1901&gt;=01_因子設定!$L$5-0.000000001,E1901&lt;=01_因子設定!$M$5+0.000000001,F1901&gt;=01_因子設定!$L$6-0.000000001,F1901&lt;=01_因子設定!$M$6+0.000000001,G1901&gt;=01_因子設定!$L$7-0.000000001,G1901&lt;=01_因子設定!$M$7+0.000000001,H1901&gt;=01_因子設定!$L$8-0.000000001,H1901&lt;=01_因子設定!$M$8+0.000000001,IF(01_因子設定!$B$20="Box-Behnken",E1901^2+F1901^2+G1901^2+H1901^2&lt;=2+0.000000001,TRUE()))</f>
        <v>1</v>
      </c>
      <c r="AD1901" s="55" t="n">
        <f aca="false">IF(AC1901,IF(01_因子設定!$B$13="最大化",AA1901-01_因子設定!$B$14,IF(01_因子設定!$B$13="最小化",01_因子設定!$B$15-AB1901,MIN(AA1901-01_因子設定!$B$14,01_因子設定!$B$15-AB1901))),-1E+030)</f>
        <v>-1.77928646498933</v>
      </c>
      <c r="AE1901" s="55" t="n">
        <f aca="false">IF(AC1901,IF(01_因子設定!$B$13="最大化",X1901,IF(01_因子設定!$B$13="最小化",-X1901,-ABS(X1901-01_因子設定!$B$16))),-1E+030)</f>
        <v>46.1052311769006</v>
      </c>
      <c r="AF1901" s="55" t="n">
        <f aca="false">AD1901+ROW()*0.000000001</f>
        <v>-1.77928456398933</v>
      </c>
      <c r="AG1901" s="55" t="n">
        <f aca="false">AE1901+ROW()*0.000000001</f>
        <v>46.1052330779006</v>
      </c>
    </row>
    <row r="1902" customFormat="false" ht="15" hidden="false" customHeight="false" outlineLevel="0" collapsed="false">
      <c r="A1902" s="0" t="n">
        <v>2</v>
      </c>
      <c r="B1902" s="0" t="n">
        <v>5</v>
      </c>
      <c r="C1902" s="0" t="n">
        <v>3</v>
      </c>
      <c r="D1902" s="0" t="n">
        <v>7</v>
      </c>
      <c r="E1902" s="0" t="n">
        <f aca="false">-1+A1902*0.25</f>
        <v>-0.5</v>
      </c>
      <c r="F1902" s="0" t="n">
        <f aca="false">-1+B1902*0.25</f>
        <v>0.25</v>
      </c>
      <c r="G1902" s="0" t="n">
        <f aca="false">-1+C1902*0.25</f>
        <v>-0.25</v>
      </c>
      <c r="H1902" s="0" t="n">
        <f aca="false">-1+D1902*0.25</f>
        <v>0.75</v>
      </c>
      <c r="I1902" s="0" t="n">
        <f aca="false">1</f>
        <v>1</v>
      </c>
      <c r="J1902" s="0" t="n">
        <f aca="false">E1902</f>
        <v>-0.5</v>
      </c>
      <c r="K1902" s="0" t="n">
        <f aca="false">F1902</f>
        <v>0.25</v>
      </c>
      <c r="L1902" s="0" t="n">
        <f aca="false">G1902</f>
        <v>-0.25</v>
      </c>
      <c r="M1902" s="0" t="n">
        <f aca="false">H1902</f>
        <v>0.75</v>
      </c>
      <c r="N1902" s="0" t="n">
        <f aca="false">E1902*F1902</f>
        <v>-0.125</v>
      </c>
      <c r="O1902" s="0" t="n">
        <f aca="false">E1902*G1902</f>
        <v>0.125</v>
      </c>
      <c r="P1902" s="0" t="n">
        <f aca="false">E1902*H1902</f>
        <v>-0.375</v>
      </c>
      <c r="Q1902" s="0" t="n">
        <f aca="false">F1902*G1902</f>
        <v>-0.0625</v>
      </c>
      <c r="R1902" s="0" t="n">
        <f aca="false">F1902*H1902</f>
        <v>0.1875</v>
      </c>
      <c r="S1902" s="0" t="n">
        <f aca="false">G1902*H1902</f>
        <v>-0.1875</v>
      </c>
      <c r="T1902" s="0" t="n">
        <f aca="false">E1902*E1902</f>
        <v>0.25</v>
      </c>
      <c r="U1902" s="0" t="n">
        <f aca="false">F1902*F1902</f>
        <v>0.0625</v>
      </c>
      <c r="V1902" s="0" t="n">
        <f aca="false">G1902*G1902</f>
        <v>0.0625</v>
      </c>
      <c r="W1902" s="0" t="n">
        <f aca="false">H1902*H1902</f>
        <v>0.5625</v>
      </c>
      <c r="X1902" s="0" t="n">
        <f aca="false">SUMPRODUCT(I1902:W1902,_XtX!$B$96:$P$96)</f>
        <v>46.0402275219298</v>
      </c>
      <c r="Y1902" s="0" t="n">
        <f aca="false">SUMPRODUCT(MMULT(I1902:W1902,_XtX!$B$78:$P$92),I1902:W1902)</f>
        <v>0.207746539199561</v>
      </c>
      <c r="Z1902" s="0" t="n">
        <f aca="false">04_回帰ANOVA!$K$19*04_回帰ANOVA!$K$14*SQRT(1+Y1902)</f>
        <v>1.43247250081141</v>
      </c>
      <c r="AA1902" s="0" t="n">
        <f aca="false">X1902-Z1902</f>
        <v>44.6077550211184</v>
      </c>
      <c r="AB1902" s="0" t="n">
        <f aca="false">X1902+Z1902</f>
        <v>47.4727000227412</v>
      </c>
      <c r="AC1902" s="54" t="b">
        <f aca="false">AND(E1902&gt;=01_因子設定!$L$5-0.000000001,E1902&lt;=01_因子設定!$M$5+0.000000001,F1902&gt;=01_因子設定!$L$6-0.000000001,F1902&lt;=01_因子設定!$M$6+0.000000001,G1902&gt;=01_因子設定!$L$7-0.000000001,G1902&lt;=01_因子設定!$M$7+0.000000001,H1902&gt;=01_因子設定!$L$8-0.000000001,H1902&lt;=01_因子設定!$M$8+0.000000001,IF(01_因子設定!$B$20="Box-Behnken",E1902^2+F1902^2+G1902^2+H1902^2&lt;=2+0.000000001,TRUE()))</f>
        <v>1</v>
      </c>
      <c r="AD1902" s="55" t="n">
        <f aca="false">IF(AC1902,IF(01_因子設定!$B$13="最大化",AA1902-01_因子設定!$B$14,IF(01_因子設定!$B$13="最小化",01_因子設定!$B$15-AB1902,MIN(AA1902-01_因子設定!$B$14,01_因子設定!$B$15-AB1902))),-1E+030)</f>
        <v>-1.89224497888161</v>
      </c>
      <c r="AE1902" s="55" t="n">
        <f aca="false">IF(AC1902,IF(01_因子設定!$B$13="最大化",X1902,IF(01_因子設定!$B$13="最小化",-X1902,-ABS(X1902-01_因子設定!$B$16))),-1E+030)</f>
        <v>46.0402275219298</v>
      </c>
      <c r="AF1902" s="55" t="n">
        <f aca="false">AD1902+ROW()*0.000000001</f>
        <v>-1.89224307688161</v>
      </c>
      <c r="AG1902" s="55" t="n">
        <f aca="false">AE1902+ROW()*0.000000001</f>
        <v>46.0402294239298</v>
      </c>
    </row>
    <row r="1903" customFormat="false" ht="15" hidden="false" customHeight="false" outlineLevel="0" collapsed="false">
      <c r="A1903" s="0" t="n">
        <v>2</v>
      </c>
      <c r="B1903" s="0" t="n">
        <v>5</v>
      </c>
      <c r="C1903" s="0" t="n">
        <v>3</v>
      </c>
      <c r="D1903" s="0" t="n">
        <v>8</v>
      </c>
      <c r="E1903" s="0" t="n">
        <f aca="false">-1+A1903*0.25</f>
        <v>-0.5</v>
      </c>
      <c r="F1903" s="0" t="n">
        <f aca="false">-1+B1903*0.25</f>
        <v>0.25</v>
      </c>
      <c r="G1903" s="0" t="n">
        <f aca="false">-1+C1903*0.25</f>
        <v>-0.25</v>
      </c>
      <c r="H1903" s="0" t="n">
        <f aca="false">-1+D1903*0.25</f>
        <v>1</v>
      </c>
      <c r="I1903" s="0" t="n">
        <f aca="false">1</f>
        <v>1</v>
      </c>
      <c r="J1903" s="0" t="n">
        <f aca="false">E1903</f>
        <v>-0.5</v>
      </c>
      <c r="K1903" s="0" t="n">
        <f aca="false">F1903</f>
        <v>0.25</v>
      </c>
      <c r="L1903" s="0" t="n">
        <f aca="false">G1903</f>
        <v>-0.25</v>
      </c>
      <c r="M1903" s="0" t="n">
        <f aca="false">H1903</f>
        <v>1</v>
      </c>
      <c r="N1903" s="0" t="n">
        <f aca="false">E1903*F1903</f>
        <v>-0.125</v>
      </c>
      <c r="O1903" s="0" t="n">
        <f aca="false">E1903*G1903</f>
        <v>0.125</v>
      </c>
      <c r="P1903" s="0" t="n">
        <f aca="false">E1903*H1903</f>
        <v>-0.5</v>
      </c>
      <c r="Q1903" s="0" t="n">
        <f aca="false">F1903*G1903</f>
        <v>-0.0625</v>
      </c>
      <c r="R1903" s="0" t="n">
        <f aca="false">F1903*H1903</f>
        <v>0.25</v>
      </c>
      <c r="S1903" s="0" t="n">
        <f aca="false">G1903*H1903</f>
        <v>-0.25</v>
      </c>
      <c r="T1903" s="0" t="n">
        <f aca="false">E1903*E1903</f>
        <v>0.25</v>
      </c>
      <c r="U1903" s="0" t="n">
        <f aca="false">F1903*F1903</f>
        <v>0.0625</v>
      </c>
      <c r="V1903" s="0" t="n">
        <f aca="false">G1903*G1903</f>
        <v>0.0625</v>
      </c>
      <c r="W1903" s="0" t="n">
        <f aca="false">H1903*H1903</f>
        <v>1</v>
      </c>
      <c r="X1903" s="0" t="n">
        <f aca="false">SUMPRODUCT(I1903:W1903,_XtX!$B$96:$P$96)</f>
        <v>45.9274168494152</v>
      </c>
      <c r="Y1903" s="0" t="n">
        <f aca="false">SUMPRODUCT(MMULT(I1903:W1903,_XtX!$B$78:$P$92),I1903:W1903)</f>
        <v>0.445705123812135</v>
      </c>
      <c r="Z1903" s="0" t="n">
        <f aca="false">04_回帰ANOVA!$K$19*04_回帰ANOVA!$K$14*SQRT(1+Y1903)</f>
        <v>1.56724990734749</v>
      </c>
      <c r="AA1903" s="0" t="n">
        <f aca="false">X1903-Z1903</f>
        <v>44.3601669420677</v>
      </c>
      <c r="AB1903" s="0" t="n">
        <f aca="false">X1903+Z1903</f>
        <v>47.4946667567627</v>
      </c>
      <c r="AC1903" s="54" t="b">
        <f aca="false">AND(E1903&gt;=01_因子設定!$L$5-0.000000001,E1903&lt;=01_因子設定!$M$5+0.000000001,F1903&gt;=01_因子設定!$L$6-0.000000001,F1903&lt;=01_因子設定!$M$6+0.000000001,G1903&gt;=01_因子設定!$L$7-0.000000001,G1903&lt;=01_因子設定!$M$7+0.000000001,H1903&gt;=01_因子設定!$L$8-0.000000001,H1903&lt;=01_因子設定!$M$8+0.000000001,IF(01_因子設定!$B$20="Box-Behnken",E1903^2+F1903^2+G1903^2+H1903^2&lt;=2+0.000000001,TRUE()))</f>
        <v>1</v>
      </c>
      <c r="AD1903" s="55" t="n">
        <f aca="false">IF(AC1903,IF(01_因子設定!$B$13="最大化",AA1903-01_因子設定!$B$14,IF(01_因子設定!$B$13="最小化",01_因子設定!$B$15-AB1903,MIN(AA1903-01_因子設定!$B$14,01_因子設定!$B$15-AB1903))),-1E+030)</f>
        <v>-2.13983305793229</v>
      </c>
      <c r="AE1903" s="55" t="n">
        <f aca="false">IF(AC1903,IF(01_因子設定!$B$13="最大化",X1903,IF(01_因子設定!$B$13="最小化",-X1903,-ABS(X1903-01_因子設定!$B$16))),-1E+030)</f>
        <v>45.9274168494152</v>
      </c>
      <c r="AF1903" s="55" t="n">
        <f aca="false">AD1903+ROW()*0.000000001</f>
        <v>-2.13983115493229</v>
      </c>
      <c r="AG1903" s="55" t="n">
        <f aca="false">AE1903+ROW()*0.000000001</f>
        <v>45.9274187524152</v>
      </c>
    </row>
    <row r="1904" customFormat="false" ht="15" hidden="false" customHeight="false" outlineLevel="0" collapsed="false">
      <c r="A1904" s="0" t="n">
        <v>2</v>
      </c>
      <c r="B1904" s="0" t="n">
        <v>5</v>
      </c>
      <c r="C1904" s="0" t="n">
        <v>4</v>
      </c>
      <c r="D1904" s="0" t="n">
        <v>0</v>
      </c>
      <c r="E1904" s="0" t="n">
        <f aca="false">-1+A1904*0.25</f>
        <v>-0.5</v>
      </c>
      <c r="F1904" s="0" t="n">
        <f aca="false">-1+B1904*0.25</f>
        <v>0.25</v>
      </c>
      <c r="G1904" s="0" t="n">
        <f aca="false">-1+C1904*0.25</f>
        <v>0</v>
      </c>
      <c r="H1904" s="0" t="n">
        <f aca="false">-1+D1904*0.25</f>
        <v>-1</v>
      </c>
      <c r="I1904" s="0" t="n">
        <f aca="false">1</f>
        <v>1</v>
      </c>
      <c r="J1904" s="0" t="n">
        <f aca="false">E1904</f>
        <v>-0.5</v>
      </c>
      <c r="K1904" s="0" t="n">
        <f aca="false">F1904</f>
        <v>0.25</v>
      </c>
      <c r="L1904" s="0" t="n">
        <f aca="false">G1904</f>
        <v>0</v>
      </c>
      <c r="M1904" s="0" t="n">
        <f aca="false">H1904</f>
        <v>-1</v>
      </c>
      <c r="N1904" s="0" t="n">
        <f aca="false">E1904*F1904</f>
        <v>-0.125</v>
      </c>
      <c r="O1904" s="0" t="n">
        <f aca="false">E1904*G1904</f>
        <v>-0</v>
      </c>
      <c r="P1904" s="0" t="n">
        <f aca="false">E1904*H1904</f>
        <v>0.5</v>
      </c>
      <c r="Q1904" s="0" t="n">
        <f aca="false">F1904*G1904</f>
        <v>0</v>
      </c>
      <c r="R1904" s="0" t="n">
        <f aca="false">F1904*H1904</f>
        <v>-0.25</v>
      </c>
      <c r="S1904" s="0" t="n">
        <f aca="false">G1904*H1904</f>
        <v>-0</v>
      </c>
      <c r="T1904" s="0" t="n">
        <f aca="false">E1904*E1904</f>
        <v>0.25</v>
      </c>
      <c r="U1904" s="0" t="n">
        <f aca="false">F1904*F1904</f>
        <v>0.0625</v>
      </c>
      <c r="V1904" s="0" t="n">
        <f aca="false">G1904*G1904</f>
        <v>0</v>
      </c>
      <c r="W1904" s="0" t="n">
        <f aca="false">H1904*H1904</f>
        <v>1</v>
      </c>
      <c r="X1904" s="0" t="n">
        <f aca="false">SUMPRODUCT(I1904:W1904,_XtX!$B$96:$P$96)</f>
        <v>45.8086988304094</v>
      </c>
      <c r="Y1904" s="0" t="n">
        <f aca="false">SUMPRODUCT(MMULT(I1904:W1904,_XtX!$B$78:$P$92),I1904:W1904)</f>
        <v>0.457596628289474</v>
      </c>
      <c r="Z1904" s="0" t="n">
        <f aca="false">04_回帰ANOVA!$K$19*04_回帰ANOVA!$K$14*SQRT(1+Y1904)</f>
        <v>1.57368233664366</v>
      </c>
      <c r="AA1904" s="0" t="n">
        <f aca="false">X1904-Z1904</f>
        <v>44.2350164937657</v>
      </c>
      <c r="AB1904" s="0" t="n">
        <f aca="false">X1904+Z1904</f>
        <v>47.382381167053</v>
      </c>
      <c r="AC1904" s="54" t="b">
        <f aca="false">AND(E1904&gt;=01_因子設定!$L$5-0.000000001,E1904&lt;=01_因子設定!$M$5+0.000000001,F1904&gt;=01_因子設定!$L$6-0.000000001,F1904&lt;=01_因子設定!$M$6+0.000000001,G1904&gt;=01_因子設定!$L$7-0.000000001,G1904&lt;=01_因子設定!$M$7+0.000000001,H1904&gt;=01_因子設定!$L$8-0.000000001,H1904&lt;=01_因子設定!$M$8+0.000000001,IF(01_因子設定!$B$20="Box-Behnken",E1904^2+F1904^2+G1904^2+H1904^2&lt;=2+0.000000001,TRUE()))</f>
        <v>1</v>
      </c>
      <c r="AD1904" s="55" t="n">
        <f aca="false">IF(AC1904,IF(01_因子設定!$B$13="最大化",AA1904-01_因子設定!$B$14,IF(01_因子設定!$B$13="最小化",01_因子設定!$B$15-AB1904,MIN(AA1904-01_因子設定!$B$14,01_因子設定!$B$15-AB1904))),-1E+030)</f>
        <v>-2.2649835062343</v>
      </c>
      <c r="AE1904" s="55" t="n">
        <f aca="false">IF(AC1904,IF(01_因子設定!$B$13="最大化",X1904,IF(01_因子設定!$B$13="最小化",-X1904,-ABS(X1904-01_因子設定!$B$16))),-1E+030)</f>
        <v>45.8086988304094</v>
      </c>
      <c r="AF1904" s="55" t="n">
        <f aca="false">AD1904+ROW()*0.000000001</f>
        <v>-2.2649816022343</v>
      </c>
      <c r="AG1904" s="55" t="n">
        <f aca="false">AE1904+ROW()*0.000000001</f>
        <v>45.8087007344094</v>
      </c>
    </row>
    <row r="1905" customFormat="false" ht="15" hidden="false" customHeight="false" outlineLevel="0" collapsed="false">
      <c r="A1905" s="0" t="n">
        <v>2</v>
      </c>
      <c r="B1905" s="0" t="n">
        <v>5</v>
      </c>
      <c r="C1905" s="0" t="n">
        <v>4</v>
      </c>
      <c r="D1905" s="0" t="n">
        <v>1</v>
      </c>
      <c r="E1905" s="0" t="n">
        <f aca="false">-1+A1905*0.25</f>
        <v>-0.5</v>
      </c>
      <c r="F1905" s="0" t="n">
        <f aca="false">-1+B1905*0.25</f>
        <v>0.25</v>
      </c>
      <c r="G1905" s="0" t="n">
        <f aca="false">-1+C1905*0.25</f>
        <v>0</v>
      </c>
      <c r="H1905" s="0" t="n">
        <f aca="false">-1+D1905*0.25</f>
        <v>-0.75</v>
      </c>
      <c r="I1905" s="0" t="n">
        <f aca="false">1</f>
        <v>1</v>
      </c>
      <c r="J1905" s="0" t="n">
        <f aca="false">E1905</f>
        <v>-0.5</v>
      </c>
      <c r="K1905" s="0" t="n">
        <f aca="false">F1905</f>
        <v>0.25</v>
      </c>
      <c r="L1905" s="0" t="n">
        <f aca="false">G1905</f>
        <v>0</v>
      </c>
      <c r="M1905" s="0" t="n">
        <f aca="false">H1905</f>
        <v>-0.75</v>
      </c>
      <c r="N1905" s="0" t="n">
        <f aca="false">E1905*F1905</f>
        <v>-0.125</v>
      </c>
      <c r="O1905" s="0" t="n">
        <f aca="false">E1905*G1905</f>
        <v>-0</v>
      </c>
      <c r="P1905" s="0" t="n">
        <f aca="false">E1905*H1905</f>
        <v>0.375</v>
      </c>
      <c r="Q1905" s="0" t="n">
        <f aca="false">F1905*G1905</f>
        <v>0</v>
      </c>
      <c r="R1905" s="0" t="n">
        <f aca="false">F1905*H1905</f>
        <v>-0.1875</v>
      </c>
      <c r="S1905" s="0" t="n">
        <f aca="false">G1905*H1905</f>
        <v>-0</v>
      </c>
      <c r="T1905" s="0" t="n">
        <f aca="false">E1905*E1905</f>
        <v>0.25</v>
      </c>
      <c r="U1905" s="0" t="n">
        <f aca="false">F1905*F1905</f>
        <v>0.0625</v>
      </c>
      <c r="V1905" s="0" t="n">
        <f aca="false">G1905*G1905</f>
        <v>0</v>
      </c>
      <c r="W1905" s="0" t="n">
        <f aca="false">H1905*H1905</f>
        <v>0.5625</v>
      </c>
      <c r="X1905" s="0" t="n">
        <f aca="false">SUMPRODUCT(I1905:W1905,_XtX!$B$96:$P$96)</f>
        <v>46.0485060307017</v>
      </c>
      <c r="Y1905" s="0" t="n">
        <f aca="false">SUMPRODUCT(MMULT(I1905:W1905,_XtX!$B$78:$P$92),I1905:W1905)</f>
        <v>0.215110734192252</v>
      </c>
      <c r="Z1905" s="0" t="n">
        <f aca="false">04_回帰ANOVA!$K$19*04_回帰ANOVA!$K$14*SQRT(1+Y1905)</f>
        <v>1.43683309086864</v>
      </c>
      <c r="AA1905" s="0" t="n">
        <f aca="false">X1905-Z1905</f>
        <v>44.6116729398331</v>
      </c>
      <c r="AB1905" s="0" t="n">
        <f aca="false">X1905+Z1905</f>
        <v>47.4853391215704</v>
      </c>
      <c r="AC1905" s="54" t="b">
        <f aca="false">AND(E1905&gt;=01_因子設定!$L$5-0.000000001,E1905&lt;=01_因子設定!$M$5+0.000000001,F1905&gt;=01_因子設定!$L$6-0.000000001,F1905&lt;=01_因子設定!$M$6+0.000000001,G1905&gt;=01_因子設定!$L$7-0.000000001,G1905&lt;=01_因子設定!$M$7+0.000000001,H1905&gt;=01_因子設定!$L$8-0.000000001,H1905&lt;=01_因子設定!$M$8+0.000000001,IF(01_因子設定!$B$20="Box-Behnken",E1905^2+F1905^2+G1905^2+H1905^2&lt;=2+0.000000001,TRUE()))</f>
        <v>1</v>
      </c>
      <c r="AD1905" s="55" t="n">
        <f aca="false">IF(AC1905,IF(01_因子設定!$B$13="最大化",AA1905-01_因子設定!$B$14,IF(01_因子設定!$B$13="最小化",01_因子設定!$B$15-AB1905,MIN(AA1905-01_因子設定!$B$14,01_因子設定!$B$15-AB1905))),-1E+030)</f>
        <v>-1.88832706016692</v>
      </c>
      <c r="AE1905" s="55" t="n">
        <f aca="false">IF(AC1905,IF(01_因子設定!$B$13="最大化",X1905,IF(01_因子設定!$B$13="最小化",-X1905,-ABS(X1905-01_因子設定!$B$16))),-1E+030)</f>
        <v>46.0485060307017</v>
      </c>
      <c r="AF1905" s="55" t="n">
        <f aca="false">AD1905+ROW()*0.000000001</f>
        <v>-1.88832515516692</v>
      </c>
      <c r="AG1905" s="55" t="n">
        <f aca="false">AE1905+ROW()*0.000000001</f>
        <v>46.0485079357017</v>
      </c>
    </row>
    <row r="1906" customFormat="false" ht="15" hidden="false" customHeight="false" outlineLevel="0" collapsed="false">
      <c r="A1906" s="0" t="n">
        <v>2</v>
      </c>
      <c r="B1906" s="0" t="n">
        <v>5</v>
      </c>
      <c r="C1906" s="0" t="n">
        <v>4</v>
      </c>
      <c r="D1906" s="0" t="n">
        <v>2</v>
      </c>
      <c r="E1906" s="0" t="n">
        <f aca="false">-1+A1906*0.25</f>
        <v>-0.5</v>
      </c>
      <c r="F1906" s="0" t="n">
        <f aca="false">-1+B1906*0.25</f>
        <v>0.25</v>
      </c>
      <c r="G1906" s="0" t="n">
        <f aca="false">-1+C1906*0.25</f>
        <v>0</v>
      </c>
      <c r="H1906" s="0" t="n">
        <f aca="false">-1+D1906*0.25</f>
        <v>-0.5</v>
      </c>
      <c r="I1906" s="0" t="n">
        <f aca="false">1</f>
        <v>1</v>
      </c>
      <c r="J1906" s="0" t="n">
        <f aca="false">E1906</f>
        <v>-0.5</v>
      </c>
      <c r="K1906" s="0" t="n">
        <f aca="false">F1906</f>
        <v>0.25</v>
      </c>
      <c r="L1906" s="0" t="n">
        <f aca="false">G1906</f>
        <v>0</v>
      </c>
      <c r="M1906" s="0" t="n">
        <f aca="false">H1906</f>
        <v>-0.5</v>
      </c>
      <c r="N1906" s="0" t="n">
        <f aca="false">E1906*F1906</f>
        <v>-0.125</v>
      </c>
      <c r="O1906" s="0" t="n">
        <f aca="false">E1906*G1906</f>
        <v>-0</v>
      </c>
      <c r="P1906" s="0" t="n">
        <f aca="false">E1906*H1906</f>
        <v>0.25</v>
      </c>
      <c r="Q1906" s="0" t="n">
        <f aca="false">F1906*G1906</f>
        <v>0</v>
      </c>
      <c r="R1906" s="0" t="n">
        <f aca="false">F1906*H1906</f>
        <v>-0.125</v>
      </c>
      <c r="S1906" s="0" t="n">
        <f aca="false">G1906*H1906</f>
        <v>-0</v>
      </c>
      <c r="T1906" s="0" t="n">
        <f aca="false">E1906*E1906</f>
        <v>0.25</v>
      </c>
      <c r="U1906" s="0" t="n">
        <f aca="false">F1906*F1906</f>
        <v>0.0625</v>
      </c>
      <c r="V1906" s="0" t="n">
        <f aca="false">G1906*G1906</f>
        <v>0</v>
      </c>
      <c r="W1906" s="0" t="n">
        <f aca="false">H1906*H1906</f>
        <v>0.25</v>
      </c>
      <c r="X1906" s="0" t="n">
        <f aca="false">SUMPRODUCT(I1906:W1906,_XtX!$B$96:$P$96)</f>
        <v>46.2405062134503</v>
      </c>
      <c r="Y1906" s="0" t="n">
        <f aca="false">SUMPRODUCT(MMULT(I1906:W1906,_XtX!$B$78:$P$92),I1906:W1906)</f>
        <v>0.132367050438597</v>
      </c>
      <c r="Z1906" s="0" t="n">
        <f aca="false">04_回帰ANOVA!$K$19*04_回帰ANOVA!$K$14*SQRT(1+Y1906)</f>
        <v>1.38704964208329</v>
      </c>
      <c r="AA1906" s="0" t="n">
        <f aca="false">X1906-Z1906</f>
        <v>44.853456571367</v>
      </c>
      <c r="AB1906" s="0" t="n">
        <f aca="false">X1906+Z1906</f>
        <v>47.6275558555336</v>
      </c>
      <c r="AC1906" s="54" t="b">
        <f aca="false">AND(E1906&gt;=01_因子設定!$L$5-0.000000001,E1906&lt;=01_因子設定!$M$5+0.000000001,F1906&gt;=01_因子設定!$L$6-0.000000001,F1906&lt;=01_因子設定!$M$6+0.000000001,G1906&gt;=01_因子設定!$L$7-0.000000001,G1906&lt;=01_因子設定!$M$7+0.000000001,H1906&gt;=01_因子設定!$L$8-0.000000001,H1906&lt;=01_因子設定!$M$8+0.000000001,IF(01_因子設定!$B$20="Box-Behnken",E1906^2+F1906^2+G1906^2+H1906^2&lt;=2+0.000000001,TRUE()))</f>
        <v>1</v>
      </c>
      <c r="AD1906" s="55" t="n">
        <f aca="false">IF(AC1906,IF(01_因子設定!$B$13="最大化",AA1906-01_因子設定!$B$14,IF(01_因子設定!$B$13="最小化",01_因子設定!$B$15-AB1906,MIN(AA1906-01_因子設定!$B$14,01_因子設定!$B$15-AB1906))),-1E+030)</f>
        <v>-1.64654342863303</v>
      </c>
      <c r="AE1906" s="55" t="n">
        <f aca="false">IF(AC1906,IF(01_因子設定!$B$13="最大化",X1906,IF(01_因子設定!$B$13="最小化",-X1906,-ABS(X1906-01_因子設定!$B$16))),-1E+030)</f>
        <v>46.2405062134503</v>
      </c>
      <c r="AF1906" s="55" t="n">
        <f aca="false">AD1906+ROW()*0.000000001</f>
        <v>-1.64654152263303</v>
      </c>
      <c r="AG1906" s="55" t="n">
        <f aca="false">AE1906+ROW()*0.000000001</f>
        <v>46.2405081194503</v>
      </c>
    </row>
    <row r="1907" customFormat="false" ht="15" hidden="false" customHeight="false" outlineLevel="0" collapsed="false">
      <c r="A1907" s="0" t="n">
        <v>2</v>
      </c>
      <c r="B1907" s="0" t="n">
        <v>5</v>
      </c>
      <c r="C1907" s="0" t="n">
        <v>4</v>
      </c>
      <c r="D1907" s="0" t="n">
        <v>3</v>
      </c>
      <c r="E1907" s="0" t="n">
        <f aca="false">-1+A1907*0.25</f>
        <v>-0.5</v>
      </c>
      <c r="F1907" s="0" t="n">
        <f aca="false">-1+B1907*0.25</f>
        <v>0.25</v>
      </c>
      <c r="G1907" s="0" t="n">
        <f aca="false">-1+C1907*0.25</f>
        <v>0</v>
      </c>
      <c r="H1907" s="0" t="n">
        <f aca="false">-1+D1907*0.25</f>
        <v>-0.25</v>
      </c>
      <c r="I1907" s="0" t="n">
        <f aca="false">1</f>
        <v>1</v>
      </c>
      <c r="J1907" s="0" t="n">
        <f aca="false">E1907</f>
        <v>-0.5</v>
      </c>
      <c r="K1907" s="0" t="n">
        <f aca="false">F1907</f>
        <v>0.25</v>
      </c>
      <c r="L1907" s="0" t="n">
        <f aca="false">G1907</f>
        <v>0</v>
      </c>
      <c r="M1907" s="0" t="n">
        <f aca="false">H1907</f>
        <v>-0.25</v>
      </c>
      <c r="N1907" s="0" t="n">
        <f aca="false">E1907*F1907</f>
        <v>-0.125</v>
      </c>
      <c r="O1907" s="0" t="n">
        <f aca="false">E1907*G1907</f>
        <v>-0</v>
      </c>
      <c r="P1907" s="0" t="n">
        <f aca="false">E1907*H1907</f>
        <v>0.125</v>
      </c>
      <c r="Q1907" s="0" t="n">
        <f aca="false">F1907*G1907</f>
        <v>0</v>
      </c>
      <c r="R1907" s="0" t="n">
        <f aca="false">F1907*H1907</f>
        <v>-0.0625</v>
      </c>
      <c r="S1907" s="0" t="n">
        <f aca="false">G1907*H1907</f>
        <v>-0</v>
      </c>
      <c r="T1907" s="0" t="n">
        <f aca="false">E1907*E1907</f>
        <v>0.25</v>
      </c>
      <c r="U1907" s="0" t="n">
        <f aca="false">F1907*F1907</f>
        <v>0.0625</v>
      </c>
      <c r="V1907" s="0" t="n">
        <f aca="false">G1907*G1907</f>
        <v>0</v>
      </c>
      <c r="W1907" s="0" t="n">
        <f aca="false">H1907*H1907</f>
        <v>0.0625</v>
      </c>
      <c r="X1907" s="0" t="n">
        <f aca="false">SUMPRODUCT(I1907:W1907,_XtX!$B$96:$P$96)</f>
        <v>46.3846993786549</v>
      </c>
      <c r="Y1907" s="0" t="n">
        <f aca="false">SUMPRODUCT(MMULT(I1907:W1907,_XtX!$B$78:$P$92),I1907:W1907)</f>
        <v>0.118905050712719</v>
      </c>
      <c r="Z1907" s="0" t="n">
        <f aca="false">04_回帰ANOVA!$K$19*04_回帰ANOVA!$K$14*SQRT(1+Y1907)</f>
        <v>1.37878011033769</v>
      </c>
      <c r="AA1907" s="0" t="n">
        <f aca="false">X1907-Z1907</f>
        <v>45.0059192683172</v>
      </c>
      <c r="AB1907" s="0" t="n">
        <f aca="false">X1907+Z1907</f>
        <v>47.7634794889926</v>
      </c>
      <c r="AC1907" s="54" t="b">
        <f aca="false">AND(E1907&gt;=01_因子設定!$L$5-0.000000001,E1907&lt;=01_因子設定!$M$5+0.000000001,F1907&gt;=01_因子設定!$L$6-0.000000001,F1907&lt;=01_因子設定!$M$6+0.000000001,G1907&gt;=01_因子設定!$L$7-0.000000001,G1907&lt;=01_因子設定!$M$7+0.000000001,H1907&gt;=01_因子設定!$L$8-0.000000001,H1907&lt;=01_因子設定!$M$8+0.000000001,IF(01_因子設定!$B$20="Box-Behnken",E1907^2+F1907^2+G1907^2+H1907^2&lt;=2+0.000000001,TRUE()))</f>
        <v>1</v>
      </c>
      <c r="AD1907" s="55" t="n">
        <f aca="false">IF(AC1907,IF(01_因子設定!$B$13="最大化",AA1907-01_因子設定!$B$14,IF(01_因子設定!$B$13="最小化",01_因子設定!$B$15-AB1907,MIN(AA1907-01_因子設定!$B$14,01_因子設定!$B$15-AB1907))),-1E+030)</f>
        <v>-1.49408073168276</v>
      </c>
      <c r="AE1907" s="55" t="n">
        <f aca="false">IF(AC1907,IF(01_因子設定!$B$13="最大化",X1907,IF(01_因子設定!$B$13="最小化",-X1907,-ABS(X1907-01_因子設定!$B$16))),-1E+030)</f>
        <v>46.3846993786549</v>
      </c>
      <c r="AF1907" s="55" t="n">
        <f aca="false">AD1907+ROW()*0.000000001</f>
        <v>-1.49407882468276</v>
      </c>
      <c r="AG1907" s="55" t="n">
        <f aca="false">AE1907+ROW()*0.000000001</f>
        <v>46.3847012856549</v>
      </c>
    </row>
    <row r="1908" customFormat="false" ht="15" hidden="false" customHeight="false" outlineLevel="0" collapsed="false">
      <c r="A1908" s="0" t="n">
        <v>2</v>
      </c>
      <c r="B1908" s="0" t="n">
        <v>5</v>
      </c>
      <c r="C1908" s="0" t="n">
        <v>4</v>
      </c>
      <c r="D1908" s="0" t="n">
        <v>4</v>
      </c>
      <c r="E1908" s="0" t="n">
        <f aca="false">-1+A1908*0.25</f>
        <v>-0.5</v>
      </c>
      <c r="F1908" s="0" t="n">
        <f aca="false">-1+B1908*0.25</f>
        <v>0.25</v>
      </c>
      <c r="G1908" s="0" t="n">
        <f aca="false">-1+C1908*0.25</f>
        <v>0</v>
      </c>
      <c r="H1908" s="0" t="n">
        <f aca="false">-1+D1908*0.25</f>
        <v>0</v>
      </c>
      <c r="I1908" s="0" t="n">
        <f aca="false">1</f>
        <v>1</v>
      </c>
      <c r="J1908" s="0" t="n">
        <f aca="false">E1908</f>
        <v>-0.5</v>
      </c>
      <c r="K1908" s="0" t="n">
        <f aca="false">F1908</f>
        <v>0.25</v>
      </c>
      <c r="L1908" s="0" t="n">
        <f aca="false">G1908</f>
        <v>0</v>
      </c>
      <c r="M1908" s="0" t="n">
        <f aca="false">H1908</f>
        <v>0</v>
      </c>
      <c r="N1908" s="0" t="n">
        <f aca="false">E1908*F1908</f>
        <v>-0.125</v>
      </c>
      <c r="O1908" s="0" t="n">
        <f aca="false">E1908*G1908</f>
        <v>-0</v>
      </c>
      <c r="P1908" s="0" t="n">
        <f aca="false">E1908*H1908</f>
        <v>-0</v>
      </c>
      <c r="Q1908" s="0" t="n">
        <f aca="false">F1908*G1908</f>
        <v>0</v>
      </c>
      <c r="R1908" s="0" t="n">
        <f aca="false">F1908*H1908</f>
        <v>0</v>
      </c>
      <c r="S1908" s="0" t="n">
        <f aca="false">G1908*H1908</f>
        <v>0</v>
      </c>
      <c r="T1908" s="0" t="n">
        <f aca="false">E1908*E1908</f>
        <v>0.25</v>
      </c>
      <c r="U1908" s="0" t="n">
        <f aca="false">F1908*F1908</f>
        <v>0.0625</v>
      </c>
      <c r="V1908" s="0" t="n">
        <f aca="false">G1908*G1908</f>
        <v>0</v>
      </c>
      <c r="W1908" s="0" t="n">
        <f aca="false">H1908*H1908</f>
        <v>0</v>
      </c>
      <c r="X1908" s="0" t="n">
        <f aca="false">SUMPRODUCT(I1908:W1908,_XtX!$B$96:$P$96)</f>
        <v>46.4810855263157</v>
      </c>
      <c r="Y1908" s="0" t="n">
        <f aca="false">SUMPRODUCT(MMULT(I1908:W1908,_XtX!$B$78:$P$92),I1908:W1908)</f>
        <v>0.120448419225146</v>
      </c>
      <c r="Z1908" s="0" t="n">
        <f aca="false">04_回帰ANOVA!$K$19*04_回帰ANOVA!$K$14*SQRT(1+Y1908)</f>
        <v>1.37973069703246</v>
      </c>
      <c r="AA1908" s="0" t="n">
        <f aca="false">X1908-Z1908</f>
        <v>45.1013548292833</v>
      </c>
      <c r="AB1908" s="0" t="n">
        <f aca="false">X1908+Z1908</f>
        <v>47.8608162233482</v>
      </c>
      <c r="AC1908" s="54" t="b">
        <f aca="false">AND(E1908&gt;=01_因子設定!$L$5-0.000000001,E1908&lt;=01_因子設定!$M$5+0.000000001,F1908&gt;=01_因子設定!$L$6-0.000000001,F1908&lt;=01_因子設定!$M$6+0.000000001,G1908&gt;=01_因子設定!$L$7-0.000000001,G1908&lt;=01_因子設定!$M$7+0.000000001,H1908&gt;=01_因子設定!$L$8-0.000000001,H1908&lt;=01_因子設定!$M$8+0.000000001,IF(01_因子設定!$B$20="Box-Behnken",E1908^2+F1908^2+G1908^2+H1908^2&lt;=2+0.000000001,TRUE()))</f>
        <v>1</v>
      </c>
      <c r="AD1908" s="55" t="n">
        <f aca="false">IF(AC1908,IF(01_因子設定!$B$13="最大化",AA1908-01_因子設定!$B$14,IF(01_因子設定!$B$13="最小化",01_因子設定!$B$15-AB1908,MIN(AA1908-01_因子設定!$B$14,01_因子設定!$B$15-AB1908))),-1E+030)</f>
        <v>-1.39864517071672</v>
      </c>
      <c r="AE1908" s="55" t="n">
        <f aca="false">IF(AC1908,IF(01_因子設定!$B$13="最大化",X1908,IF(01_因子設定!$B$13="最小化",-X1908,-ABS(X1908-01_因子設定!$B$16))),-1E+030)</f>
        <v>46.4810855263157</v>
      </c>
      <c r="AF1908" s="55" t="n">
        <f aca="false">AD1908+ROW()*0.000000001</f>
        <v>-1.39864326271672</v>
      </c>
      <c r="AG1908" s="55" t="n">
        <f aca="false">AE1908+ROW()*0.000000001</f>
        <v>46.4810874343158</v>
      </c>
    </row>
    <row r="1909" customFormat="false" ht="15" hidden="false" customHeight="false" outlineLevel="0" collapsed="false">
      <c r="A1909" s="0" t="n">
        <v>2</v>
      </c>
      <c r="B1909" s="0" t="n">
        <v>5</v>
      </c>
      <c r="C1909" s="0" t="n">
        <v>4</v>
      </c>
      <c r="D1909" s="0" t="n">
        <v>5</v>
      </c>
      <c r="E1909" s="0" t="n">
        <f aca="false">-1+A1909*0.25</f>
        <v>-0.5</v>
      </c>
      <c r="F1909" s="0" t="n">
        <f aca="false">-1+B1909*0.25</f>
        <v>0.25</v>
      </c>
      <c r="G1909" s="0" t="n">
        <f aca="false">-1+C1909*0.25</f>
        <v>0</v>
      </c>
      <c r="H1909" s="0" t="n">
        <f aca="false">-1+D1909*0.25</f>
        <v>0.25</v>
      </c>
      <c r="I1909" s="0" t="n">
        <f aca="false">1</f>
        <v>1</v>
      </c>
      <c r="J1909" s="0" t="n">
        <f aca="false">E1909</f>
        <v>-0.5</v>
      </c>
      <c r="K1909" s="0" t="n">
        <f aca="false">F1909</f>
        <v>0.25</v>
      </c>
      <c r="L1909" s="0" t="n">
        <f aca="false">G1909</f>
        <v>0</v>
      </c>
      <c r="M1909" s="0" t="n">
        <f aca="false">H1909</f>
        <v>0.25</v>
      </c>
      <c r="N1909" s="0" t="n">
        <f aca="false">E1909*F1909</f>
        <v>-0.125</v>
      </c>
      <c r="O1909" s="0" t="n">
        <f aca="false">E1909*G1909</f>
        <v>-0</v>
      </c>
      <c r="P1909" s="0" t="n">
        <f aca="false">E1909*H1909</f>
        <v>-0.125</v>
      </c>
      <c r="Q1909" s="0" t="n">
        <f aca="false">F1909*G1909</f>
        <v>0</v>
      </c>
      <c r="R1909" s="0" t="n">
        <f aca="false">F1909*H1909</f>
        <v>0.0625</v>
      </c>
      <c r="S1909" s="0" t="n">
        <f aca="false">G1909*H1909</f>
        <v>0</v>
      </c>
      <c r="T1909" s="0" t="n">
        <f aca="false">E1909*E1909</f>
        <v>0.25</v>
      </c>
      <c r="U1909" s="0" t="n">
        <f aca="false">F1909*F1909</f>
        <v>0.0625</v>
      </c>
      <c r="V1909" s="0" t="n">
        <f aca="false">G1909*G1909</f>
        <v>0</v>
      </c>
      <c r="W1909" s="0" t="n">
        <f aca="false">H1909*H1909</f>
        <v>0.0625</v>
      </c>
      <c r="X1909" s="0" t="n">
        <f aca="false">SUMPRODUCT(I1909:W1909,_XtX!$B$96:$P$96)</f>
        <v>46.5296646564327</v>
      </c>
      <c r="Y1909" s="0" t="n">
        <f aca="false">SUMPRODUCT(MMULT(I1909:W1909,_XtX!$B$78:$P$92),I1909:W1909)</f>
        <v>0.118905050712719</v>
      </c>
      <c r="Z1909" s="0" t="n">
        <f aca="false">04_回帰ANOVA!$K$19*04_回帰ANOVA!$K$14*SQRT(1+Y1909)</f>
        <v>1.37878011033769</v>
      </c>
      <c r="AA1909" s="0" t="n">
        <f aca="false">X1909-Z1909</f>
        <v>45.150884546095</v>
      </c>
      <c r="AB1909" s="0" t="n">
        <f aca="false">X1909+Z1909</f>
        <v>47.9084447667704</v>
      </c>
      <c r="AC1909" s="54" t="b">
        <f aca="false">AND(E1909&gt;=01_因子設定!$L$5-0.000000001,E1909&lt;=01_因子設定!$M$5+0.000000001,F1909&gt;=01_因子設定!$L$6-0.000000001,F1909&lt;=01_因子設定!$M$6+0.000000001,G1909&gt;=01_因子設定!$L$7-0.000000001,G1909&lt;=01_因子設定!$M$7+0.000000001,H1909&gt;=01_因子設定!$L$8-0.000000001,H1909&lt;=01_因子設定!$M$8+0.000000001,IF(01_因子設定!$B$20="Box-Behnken",E1909^2+F1909^2+G1909^2+H1909^2&lt;=2+0.000000001,TRUE()))</f>
        <v>1</v>
      </c>
      <c r="AD1909" s="55" t="n">
        <f aca="false">IF(AC1909,IF(01_因子設定!$B$13="最大化",AA1909-01_因子設定!$B$14,IF(01_因子設定!$B$13="最小化",01_因子設定!$B$15-AB1909,MIN(AA1909-01_因子設定!$B$14,01_因子設定!$B$15-AB1909))),-1E+030)</f>
        <v>-1.34911545390498</v>
      </c>
      <c r="AE1909" s="55" t="n">
        <f aca="false">IF(AC1909,IF(01_因子設定!$B$13="最大化",X1909,IF(01_因子設定!$B$13="最小化",-X1909,-ABS(X1909-01_因子設定!$B$16))),-1E+030)</f>
        <v>46.5296646564327</v>
      </c>
      <c r="AF1909" s="55" t="n">
        <f aca="false">AD1909+ROW()*0.000000001</f>
        <v>-1.34911354490498</v>
      </c>
      <c r="AG1909" s="55" t="n">
        <f aca="false">AE1909+ROW()*0.000000001</f>
        <v>46.5296665654327</v>
      </c>
    </row>
    <row r="1910" customFormat="false" ht="15" hidden="false" customHeight="false" outlineLevel="0" collapsed="false">
      <c r="A1910" s="0" t="n">
        <v>2</v>
      </c>
      <c r="B1910" s="0" t="n">
        <v>5</v>
      </c>
      <c r="C1910" s="0" t="n">
        <v>4</v>
      </c>
      <c r="D1910" s="0" t="n">
        <v>6</v>
      </c>
      <c r="E1910" s="0" t="n">
        <f aca="false">-1+A1910*0.25</f>
        <v>-0.5</v>
      </c>
      <c r="F1910" s="0" t="n">
        <f aca="false">-1+B1910*0.25</f>
        <v>0.25</v>
      </c>
      <c r="G1910" s="0" t="n">
        <f aca="false">-1+C1910*0.25</f>
        <v>0</v>
      </c>
      <c r="H1910" s="0" t="n">
        <f aca="false">-1+D1910*0.25</f>
        <v>0.5</v>
      </c>
      <c r="I1910" s="0" t="n">
        <f aca="false">1</f>
        <v>1</v>
      </c>
      <c r="J1910" s="0" t="n">
        <f aca="false">E1910</f>
        <v>-0.5</v>
      </c>
      <c r="K1910" s="0" t="n">
        <f aca="false">F1910</f>
        <v>0.25</v>
      </c>
      <c r="L1910" s="0" t="n">
        <f aca="false">G1910</f>
        <v>0</v>
      </c>
      <c r="M1910" s="0" t="n">
        <f aca="false">H1910</f>
        <v>0.5</v>
      </c>
      <c r="N1910" s="0" t="n">
        <f aca="false">E1910*F1910</f>
        <v>-0.125</v>
      </c>
      <c r="O1910" s="0" t="n">
        <f aca="false">E1910*G1910</f>
        <v>-0</v>
      </c>
      <c r="P1910" s="0" t="n">
        <f aca="false">E1910*H1910</f>
        <v>-0.25</v>
      </c>
      <c r="Q1910" s="0" t="n">
        <f aca="false">F1910*G1910</f>
        <v>0</v>
      </c>
      <c r="R1910" s="0" t="n">
        <f aca="false">F1910*H1910</f>
        <v>0.125</v>
      </c>
      <c r="S1910" s="0" t="n">
        <f aca="false">G1910*H1910</f>
        <v>0</v>
      </c>
      <c r="T1910" s="0" t="n">
        <f aca="false">E1910*E1910</f>
        <v>0.25</v>
      </c>
      <c r="U1910" s="0" t="n">
        <f aca="false">F1910*F1910</f>
        <v>0.0625</v>
      </c>
      <c r="V1910" s="0" t="n">
        <f aca="false">G1910*G1910</f>
        <v>0</v>
      </c>
      <c r="W1910" s="0" t="n">
        <f aca="false">H1910*H1910</f>
        <v>0.25</v>
      </c>
      <c r="X1910" s="0" t="n">
        <f aca="false">SUMPRODUCT(I1910:W1910,_XtX!$B$96:$P$96)</f>
        <v>46.5304367690058</v>
      </c>
      <c r="Y1910" s="0" t="n">
        <f aca="false">SUMPRODUCT(MMULT(I1910:W1910,_XtX!$B$78:$P$92),I1910:W1910)</f>
        <v>0.132367050438597</v>
      </c>
      <c r="Z1910" s="0" t="n">
        <f aca="false">04_回帰ANOVA!$K$19*04_回帰ANOVA!$K$14*SQRT(1+Y1910)</f>
        <v>1.38704964208329</v>
      </c>
      <c r="AA1910" s="0" t="n">
        <f aca="false">X1910-Z1910</f>
        <v>45.1433871269225</v>
      </c>
      <c r="AB1910" s="0" t="n">
        <f aca="false">X1910+Z1910</f>
        <v>47.9174864110891</v>
      </c>
      <c r="AC1910" s="54" t="b">
        <f aca="false">AND(E1910&gt;=01_因子設定!$L$5-0.000000001,E1910&lt;=01_因子設定!$M$5+0.000000001,F1910&gt;=01_因子設定!$L$6-0.000000001,F1910&lt;=01_因子設定!$M$6+0.000000001,G1910&gt;=01_因子設定!$L$7-0.000000001,G1910&lt;=01_因子設定!$M$7+0.000000001,H1910&gt;=01_因子設定!$L$8-0.000000001,H1910&lt;=01_因子設定!$M$8+0.000000001,IF(01_因子設定!$B$20="Box-Behnken",E1910^2+F1910^2+G1910^2+H1910^2&lt;=2+0.000000001,TRUE()))</f>
        <v>1</v>
      </c>
      <c r="AD1910" s="55" t="n">
        <f aca="false">IF(AC1910,IF(01_因子設定!$B$13="最大化",AA1910-01_因子設定!$B$14,IF(01_因子設定!$B$13="最小化",01_因子設定!$B$15-AB1910,MIN(AA1910-01_因子設定!$B$14,01_因子設定!$B$15-AB1910))),-1E+030)</f>
        <v>-1.35661287307748</v>
      </c>
      <c r="AE1910" s="55" t="n">
        <f aca="false">IF(AC1910,IF(01_因子設定!$B$13="最大化",X1910,IF(01_因子設定!$B$13="最小化",-X1910,-ABS(X1910-01_因子設定!$B$16))),-1E+030)</f>
        <v>46.5304367690058</v>
      </c>
      <c r="AF1910" s="55" t="n">
        <f aca="false">AD1910+ROW()*0.000000001</f>
        <v>-1.35661096307748</v>
      </c>
      <c r="AG1910" s="55" t="n">
        <f aca="false">AE1910+ROW()*0.000000001</f>
        <v>46.5304386790058</v>
      </c>
    </row>
    <row r="1911" customFormat="false" ht="15" hidden="false" customHeight="false" outlineLevel="0" collapsed="false">
      <c r="A1911" s="0" t="n">
        <v>2</v>
      </c>
      <c r="B1911" s="0" t="n">
        <v>5</v>
      </c>
      <c r="C1911" s="0" t="n">
        <v>4</v>
      </c>
      <c r="D1911" s="0" t="n">
        <v>7</v>
      </c>
      <c r="E1911" s="0" t="n">
        <f aca="false">-1+A1911*0.25</f>
        <v>-0.5</v>
      </c>
      <c r="F1911" s="0" t="n">
        <f aca="false">-1+B1911*0.25</f>
        <v>0.25</v>
      </c>
      <c r="G1911" s="0" t="n">
        <f aca="false">-1+C1911*0.25</f>
        <v>0</v>
      </c>
      <c r="H1911" s="0" t="n">
        <f aca="false">-1+D1911*0.25</f>
        <v>0.75</v>
      </c>
      <c r="I1911" s="0" t="n">
        <f aca="false">1</f>
        <v>1</v>
      </c>
      <c r="J1911" s="0" t="n">
        <f aca="false">E1911</f>
        <v>-0.5</v>
      </c>
      <c r="K1911" s="0" t="n">
        <f aca="false">F1911</f>
        <v>0.25</v>
      </c>
      <c r="L1911" s="0" t="n">
        <f aca="false">G1911</f>
        <v>0</v>
      </c>
      <c r="M1911" s="0" t="n">
        <f aca="false">H1911</f>
        <v>0.75</v>
      </c>
      <c r="N1911" s="0" t="n">
        <f aca="false">E1911*F1911</f>
        <v>-0.125</v>
      </c>
      <c r="O1911" s="0" t="n">
        <f aca="false">E1911*G1911</f>
        <v>-0</v>
      </c>
      <c r="P1911" s="0" t="n">
        <f aca="false">E1911*H1911</f>
        <v>-0.375</v>
      </c>
      <c r="Q1911" s="0" t="n">
        <f aca="false">F1911*G1911</f>
        <v>0</v>
      </c>
      <c r="R1911" s="0" t="n">
        <f aca="false">F1911*H1911</f>
        <v>0.1875</v>
      </c>
      <c r="S1911" s="0" t="n">
        <f aca="false">G1911*H1911</f>
        <v>0</v>
      </c>
      <c r="T1911" s="0" t="n">
        <f aca="false">E1911*E1911</f>
        <v>0.25</v>
      </c>
      <c r="U1911" s="0" t="n">
        <f aca="false">F1911*F1911</f>
        <v>0.0625</v>
      </c>
      <c r="V1911" s="0" t="n">
        <f aca="false">G1911*G1911</f>
        <v>0</v>
      </c>
      <c r="W1911" s="0" t="n">
        <f aca="false">H1911*H1911</f>
        <v>0.5625</v>
      </c>
      <c r="X1911" s="0" t="n">
        <f aca="false">SUMPRODUCT(I1911:W1911,_XtX!$B$96:$P$96)</f>
        <v>46.4834018640351</v>
      </c>
      <c r="Y1911" s="0" t="n">
        <f aca="false">SUMPRODUCT(MMULT(I1911:W1911,_XtX!$B$78:$P$92),I1911:W1911)</f>
        <v>0.215110734192252</v>
      </c>
      <c r="Z1911" s="0" t="n">
        <f aca="false">04_回帰ANOVA!$K$19*04_回帰ANOVA!$K$14*SQRT(1+Y1911)</f>
        <v>1.43683309086864</v>
      </c>
      <c r="AA1911" s="0" t="n">
        <f aca="false">X1911-Z1911</f>
        <v>45.0465687731664</v>
      </c>
      <c r="AB1911" s="0" t="n">
        <f aca="false">X1911+Z1911</f>
        <v>47.9202349549037</v>
      </c>
      <c r="AC1911" s="54" t="b">
        <f aca="false">AND(E1911&gt;=01_因子設定!$L$5-0.000000001,E1911&lt;=01_因子設定!$M$5+0.000000001,F1911&gt;=01_因子設定!$L$6-0.000000001,F1911&lt;=01_因子設定!$M$6+0.000000001,G1911&gt;=01_因子設定!$L$7-0.000000001,G1911&lt;=01_因子設定!$M$7+0.000000001,H1911&gt;=01_因子設定!$L$8-0.000000001,H1911&lt;=01_因子設定!$M$8+0.000000001,IF(01_因子設定!$B$20="Box-Behnken",E1911^2+F1911^2+G1911^2+H1911^2&lt;=2+0.000000001,TRUE()))</f>
        <v>1</v>
      </c>
      <c r="AD1911" s="55" t="n">
        <f aca="false">IF(AC1911,IF(01_因子設定!$B$13="最大化",AA1911-01_因子設定!$B$14,IF(01_因子設定!$B$13="最小化",01_因子設定!$B$15-AB1911,MIN(AA1911-01_因子設定!$B$14,01_因子設定!$B$15-AB1911))),-1E+030)</f>
        <v>-1.45343122683358</v>
      </c>
      <c r="AE1911" s="55" t="n">
        <f aca="false">IF(AC1911,IF(01_因子設定!$B$13="最大化",X1911,IF(01_因子設定!$B$13="最小化",-X1911,-ABS(X1911-01_因子設定!$B$16))),-1E+030)</f>
        <v>46.4834018640351</v>
      </c>
      <c r="AF1911" s="55" t="n">
        <f aca="false">AD1911+ROW()*0.000000001</f>
        <v>-1.45342931583358</v>
      </c>
      <c r="AG1911" s="55" t="n">
        <f aca="false">AE1911+ROW()*0.000000001</f>
        <v>46.4834037750351</v>
      </c>
    </row>
    <row r="1912" customFormat="false" ht="15" hidden="false" customHeight="false" outlineLevel="0" collapsed="false">
      <c r="A1912" s="0" t="n">
        <v>2</v>
      </c>
      <c r="B1912" s="0" t="n">
        <v>5</v>
      </c>
      <c r="C1912" s="0" t="n">
        <v>4</v>
      </c>
      <c r="D1912" s="0" t="n">
        <v>8</v>
      </c>
      <c r="E1912" s="0" t="n">
        <f aca="false">-1+A1912*0.25</f>
        <v>-0.5</v>
      </c>
      <c r="F1912" s="0" t="n">
        <f aca="false">-1+B1912*0.25</f>
        <v>0.25</v>
      </c>
      <c r="G1912" s="0" t="n">
        <f aca="false">-1+C1912*0.25</f>
        <v>0</v>
      </c>
      <c r="H1912" s="0" t="n">
        <f aca="false">-1+D1912*0.25</f>
        <v>1</v>
      </c>
      <c r="I1912" s="0" t="n">
        <f aca="false">1</f>
        <v>1</v>
      </c>
      <c r="J1912" s="0" t="n">
        <f aca="false">E1912</f>
        <v>-0.5</v>
      </c>
      <c r="K1912" s="0" t="n">
        <f aca="false">F1912</f>
        <v>0.25</v>
      </c>
      <c r="L1912" s="0" t="n">
        <f aca="false">G1912</f>
        <v>0</v>
      </c>
      <c r="M1912" s="0" t="n">
        <f aca="false">H1912</f>
        <v>1</v>
      </c>
      <c r="N1912" s="0" t="n">
        <f aca="false">E1912*F1912</f>
        <v>-0.125</v>
      </c>
      <c r="O1912" s="0" t="n">
        <f aca="false">E1912*G1912</f>
        <v>-0</v>
      </c>
      <c r="P1912" s="0" t="n">
        <f aca="false">E1912*H1912</f>
        <v>-0.5</v>
      </c>
      <c r="Q1912" s="0" t="n">
        <f aca="false">F1912*G1912</f>
        <v>0</v>
      </c>
      <c r="R1912" s="0" t="n">
        <f aca="false">F1912*H1912</f>
        <v>0.25</v>
      </c>
      <c r="S1912" s="0" t="n">
        <f aca="false">G1912*H1912</f>
        <v>0</v>
      </c>
      <c r="T1912" s="0" t="n">
        <f aca="false">E1912*E1912</f>
        <v>0.25</v>
      </c>
      <c r="U1912" s="0" t="n">
        <f aca="false">F1912*F1912</f>
        <v>0.0625</v>
      </c>
      <c r="V1912" s="0" t="n">
        <f aca="false">G1912*G1912</f>
        <v>0</v>
      </c>
      <c r="W1912" s="0" t="n">
        <f aca="false">H1912*H1912</f>
        <v>1</v>
      </c>
      <c r="X1912" s="0" t="n">
        <f aca="false">SUMPRODUCT(I1912:W1912,_XtX!$B$96:$P$96)</f>
        <v>46.3885599415205</v>
      </c>
      <c r="Y1912" s="0" t="n">
        <f aca="false">SUMPRODUCT(MMULT(I1912:W1912,_XtX!$B$78:$P$92),I1912:W1912)</f>
        <v>0.457596628289474</v>
      </c>
      <c r="Z1912" s="0" t="n">
        <f aca="false">04_回帰ANOVA!$K$19*04_回帰ANOVA!$K$14*SQRT(1+Y1912)</f>
        <v>1.57368233664366</v>
      </c>
      <c r="AA1912" s="0" t="n">
        <f aca="false">X1912-Z1912</f>
        <v>44.8148776048768</v>
      </c>
      <c r="AB1912" s="0" t="n">
        <f aca="false">X1912+Z1912</f>
        <v>47.9622422781641</v>
      </c>
      <c r="AC1912" s="54" t="b">
        <f aca="false">AND(E1912&gt;=01_因子設定!$L$5-0.000000001,E1912&lt;=01_因子設定!$M$5+0.000000001,F1912&gt;=01_因子設定!$L$6-0.000000001,F1912&lt;=01_因子設定!$M$6+0.000000001,G1912&gt;=01_因子設定!$L$7-0.000000001,G1912&lt;=01_因子設定!$M$7+0.000000001,H1912&gt;=01_因子設定!$L$8-0.000000001,H1912&lt;=01_因子設定!$M$8+0.000000001,IF(01_因子設定!$B$20="Box-Behnken",E1912^2+F1912^2+G1912^2+H1912^2&lt;=2+0.000000001,TRUE()))</f>
        <v>1</v>
      </c>
      <c r="AD1912" s="55" t="n">
        <f aca="false">IF(AC1912,IF(01_因子設定!$B$13="最大化",AA1912-01_因子設定!$B$14,IF(01_因子設定!$B$13="最小化",01_因子設定!$B$15-AB1912,MIN(AA1912-01_因子設定!$B$14,01_因子設定!$B$15-AB1912))),-1E+030)</f>
        <v>-1.68512239512319</v>
      </c>
      <c r="AE1912" s="55" t="n">
        <f aca="false">IF(AC1912,IF(01_因子設定!$B$13="最大化",X1912,IF(01_因子設定!$B$13="最小化",-X1912,-ABS(X1912-01_因子設定!$B$16))),-1E+030)</f>
        <v>46.3885599415205</v>
      </c>
      <c r="AF1912" s="55" t="n">
        <f aca="false">AD1912+ROW()*0.000000001</f>
        <v>-1.68512048312319</v>
      </c>
      <c r="AG1912" s="55" t="n">
        <f aca="false">AE1912+ROW()*0.000000001</f>
        <v>46.3885618535205</v>
      </c>
    </row>
    <row r="1913" customFormat="false" ht="15" hidden="false" customHeight="false" outlineLevel="0" collapsed="false">
      <c r="A1913" s="0" t="n">
        <v>2</v>
      </c>
      <c r="B1913" s="0" t="n">
        <v>5</v>
      </c>
      <c r="C1913" s="0" t="n">
        <v>5</v>
      </c>
      <c r="D1913" s="0" t="n">
        <v>0</v>
      </c>
      <c r="E1913" s="0" t="n">
        <f aca="false">-1+A1913*0.25</f>
        <v>-0.5</v>
      </c>
      <c r="F1913" s="0" t="n">
        <f aca="false">-1+B1913*0.25</f>
        <v>0.25</v>
      </c>
      <c r="G1913" s="0" t="n">
        <f aca="false">-1+C1913*0.25</f>
        <v>0.25</v>
      </c>
      <c r="H1913" s="0" t="n">
        <f aca="false">-1+D1913*0.25</f>
        <v>-1</v>
      </c>
      <c r="I1913" s="0" t="n">
        <f aca="false">1</f>
        <v>1</v>
      </c>
      <c r="J1913" s="0" t="n">
        <f aca="false">E1913</f>
        <v>-0.5</v>
      </c>
      <c r="K1913" s="0" t="n">
        <f aca="false">F1913</f>
        <v>0.25</v>
      </c>
      <c r="L1913" s="0" t="n">
        <f aca="false">G1913</f>
        <v>0.25</v>
      </c>
      <c r="M1913" s="0" t="n">
        <f aca="false">H1913</f>
        <v>-1</v>
      </c>
      <c r="N1913" s="0" t="n">
        <f aca="false">E1913*F1913</f>
        <v>-0.125</v>
      </c>
      <c r="O1913" s="0" t="n">
        <f aca="false">E1913*G1913</f>
        <v>-0.125</v>
      </c>
      <c r="P1913" s="0" t="n">
        <f aca="false">E1913*H1913</f>
        <v>0.5</v>
      </c>
      <c r="Q1913" s="0" t="n">
        <f aca="false">F1913*G1913</f>
        <v>0.0625</v>
      </c>
      <c r="R1913" s="0" t="n">
        <f aca="false">F1913*H1913</f>
        <v>-0.25</v>
      </c>
      <c r="S1913" s="0" t="n">
        <f aca="false">G1913*H1913</f>
        <v>-0.25</v>
      </c>
      <c r="T1913" s="0" t="n">
        <f aca="false">E1913*E1913</f>
        <v>0.25</v>
      </c>
      <c r="U1913" s="0" t="n">
        <f aca="false">F1913*F1913</f>
        <v>0.0625</v>
      </c>
      <c r="V1913" s="0" t="n">
        <f aca="false">G1913*G1913</f>
        <v>0.0625</v>
      </c>
      <c r="W1913" s="0" t="n">
        <f aca="false">H1913*H1913</f>
        <v>1</v>
      </c>
      <c r="X1913" s="0" t="n">
        <f aca="false">SUMPRODUCT(I1913:W1913,_XtX!$B$96:$P$96)</f>
        <v>46.0407849049708</v>
      </c>
      <c r="Y1913" s="0" t="n">
        <f aca="false">SUMPRODUCT(MMULT(I1913:W1913,_XtX!$B$78:$P$92),I1913:W1913)</f>
        <v>0.445705123812135</v>
      </c>
      <c r="Z1913" s="0" t="n">
        <f aca="false">04_回帰ANOVA!$K$19*04_回帰ANOVA!$K$14*SQRT(1+Y1913)</f>
        <v>1.56724990734749</v>
      </c>
      <c r="AA1913" s="0" t="n">
        <f aca="false">X1913-Z1913</f>
        <v>44.4735349976233</v>
      </c>
      <c r="AB1913" s="0" t="n">
        <f aca="false">X1913+Z1913</f>
        <v>47.6080348123182</v>
      </c>
      <c r="AC1913" s="54" t="b">
        <f aca="false">AND(E1913&gt;=01_因子設定!$L$5-0.000000001,E1913&lt;=01_因子設定!$M$5+0.000000001,F1913&gt;=01_因子設定!$L$6-0.000000001,F1913&lt;=01_因子設定!$M$6+0.000000001,G1913&gt;=01_因子設定!$L$7-0.000000001,G1913&lt;=01_因子設定!$M$7+0.000000001,H1913&gt;=01_因子設定!$L$8-0.000000001,H1913&lt;=01_因子設定!$M$8+0.000000001,IF(01_因子設定!$B$20="Box-Behnken",E1913^2+F1913^2+G1913^2+H1913^2&lt;=2+0.000000001,TRUE()))</f>
        <v>1</v>
      </c>
      <c r="AD1913" s="55" t="n">
        <f aca="false">IF(AC1913,IF(01_因子設定!$B$13="最大化",AA1913-01_因子設定!$B$14,IF(01_因子設定!$B$13="最小化",01_因子設定!$B$15-AB1913,MIN(AA1913-01_因子設定!$B$14,01_因子設定!$B$15-AB1913))),-1E+030)</f>
        <v>-2.02646500237673</v>
      </c>
      <c r="AE1913" s="55" t="n">
        <f aca="false">IF(AC1913,IF(01_因子設定!$B$13="最大化",X1913,IF(01_因子設定!$B$13="最小化",-X1913,-ABS(X1913-01_因子設定!$B$16))),-1E+030)</f>
        <v>46.0407849049708</v>
      </c>
      <c r="AF1913" s="55" t="n">
        <f aca="false">AD1913+ROW()*0.000000001</f>
        <v>-2.02646308937673</v>
      </c>
      <c r="AG1913" s="55" t="n">
        <f aca="false">AE1913+ROW()*0.000000001</f>
        <v>46.0407868179708</v>
      </c>
    </row>
    <row r="1914" customFormat="false" ht="15" hidden="false" customHeight="false" outlineLevel="0" collapsed="false">
      <c r="A1914" s="0" t="n">
        <v>2</v>
      </c>
      <c r="B1914" s="0" t="n">
        <v>5</v>
      </c>
      <c r="C1914" s="0" t="n">
        <v>5</v>
      </c>
      <c r="D1914" s="0" t="n">
        <v>1</v>
      </c>
      <c r="E1914" s="0" t="n">
        <f aca="false">-1+A1914*0.25</f>
        <v>-0.5</v>
      </c>
      <c r="F1914" s="0" t="n">
        <f aca="false">-1+B1914*0.25</f>
        <v>0.25</v>
      </c>
      <c r="G1914" s="0" t="n">
        <f aca="false">-1+C1914*0.25</f>
        <v>0.25</v>
      </c>
      <c r="H1914" s="0" t="n">
        <f aca="false">-1+D1914*0.25</f>
        <v>-0.75</v>
      </c>
      <c r="I1914" s="0" t="n">
        <f aca="false">1</f>
        <v>1</v>
      </c>
      <c r="J1914" s="0" t="n">
        <f aca="false">E1914</f>
        <v>-0.5</v>
      </c>
      <c r="K1914" s="0" t="n">
        <f aca="false">F1914</f>
        <v>0.25</v>
      </c>
      <c r="L1914" s="0" t="n">
        <f aca="false">G1914</f>
        <v>0.25</v>
      </c>
      <c r="M1914" s="0" t="n">
        <f aca="false">H1914</f>
        <v>-0.75</v>
      </c>
      <c r="N1914" s="0" t="n">
        <f aca="false">E1914*F1914</f>
        <v>-0.125</v>
      </c>
      <c r="O1914" s="0" t="n">
        <f aca="false">E1914*G1914</f>
        <v>-0.125</v>
      </c>
      <c r="P1914" s="0" t="n">
        <f aca="false">E1914*H1914</f>
        <v>0.375</v>
      </c>
      <c r="Q1914" s="0" t="n">
        <f aca="false">F1914*G1914</f>
        <v>0.0625</v>
      </c>
      <c r="R1914" s="0" t="n">
        <f aca="false">F1914*H1914</f>
        <v>-0.1875</v>
      </c>
      <c r="S1914" s="0" t="n">
        <f aca="false">G1914*H1914</f>
        <v>-0.1875</v>
      </c>
      <c r="T1914" s="0" t="n">
        <f aca="false">E1914*E1914</f>
        <v>0.25</v>
      </c>
      <c r="U1914" s="0" t="n">
        <f aca="false">F1914*F1914</f>
        <v>0.0625</v>
      </c>
      <c r="V1914" s="0" t="n">
        <f aca="false">G1914*G1914</f>
        <v>0.0625</v>
      </c>
      <c r="W1914" s="0" t="n">
        <f aca="false">H1914*H1914</f>
        <v>0.5625</v>
      </c>
      <c r="X1914" s="0" t="n">
        <f aca="false">SUMPRODUCT(I1914:W1914,_XtX!$B$96:$P$96)</f>
        <v>46.2985608552631</v>
      </c>
      <c r="Y1914" s="0" t="n">
        <f aca="false">SUMPRODUCT(MMULT(I1914:W1914,_XtX!$B$78:$P$92),I1914:W1914)</f>
        <v>0.207746539199561</v>
      </c>
      <c r="Z1914" s="0" t="n">
        <f aca="false">04_回帰ANOVA!$K$19*04_回帰ANOVA!$K$14*SQRT(1+Y1914)</f>
        <v>1.43247250081141</v>
      </c>
      <c r="AA1914" s="0" t="n">
        <f aca="false">X1914-Z1914</f>
        <v>44.8660883544517</v>
      </c>
      <c r="AB1914" s="0" t="n">
        <f aca="false">X1914+Z1914</f>
        <v>47.7310333560745</v>
      </c>
      <c r="AC1914" s="54" t="b">
        <f aca="false">AND(E1914&gt;=01_因子設定!$L$5-0.000000001,E1914&lt;=01_因子設定!$M$5+0.000000001,F1914&gt;=01_因子設定!$L$6-0.000000001,F1914&lt;=01_因子設定!$M$6+0.000000001,G1914&gt;=01_因子設定!$L$7-0.000000001,G1914&lt;=01_因子設定!$M$7+0.000000001,H1914&gt;=01_因子設定!$L$8-0.000000001,H1914&lt;=01_因子設定!$M$8+0.000000001,IF(01_因子設定!$B$20="Box-Behnken",E1914^2+F1914^2+G1914^2+H1914^2&lt;=2+0.000000001,TRUE()))</f>
        <v>1</v>
      </c>
      <c r="AD1914" s="55" t="n">
        <f aca="false">IF(AC1914,IF(01_因子設定!$B$13="最大化",AA1914-01_因子設定!$B$14,IF(01_因子設定!$B$13="最小化",01_因子設定!$B$15-AB1914,MIN(AA1914-01_因子設定!$B$14,01_因子設定!$B$15-AB1914))),-1E+030)</f>
        <v>-1.63391164554827</v>
      </c>
      <c r="AE1914" s="55" t="n">
        <f aca="false">IF(AC1914,IF(01_因子設定!$B$13="最大化",X1914,IF(01_因子設定!$B$13="最小化",-X1914,-ABS(X1914-01_因子設定!$B$16))),-1E+030)</f>
        <v>46.2985608552631</v>
      </c>
      <c r="AF1914" s="55" t="n">
        <f aca="false">AD1914+ROW()*0.000000001</f>
        <v>-1.63390973154827</v>
      </c>
      <c r="AG1914" s="55" t="n">
        <f aca="false">AE1914+ROW()*0.000000001</f>
        <v>46.2985627692631</v>
      </c>
    </row>
    <row r="1915" customFormat="false" ht="15" hidden="false" customHeight="false" outlineLevel="0" collapsed="false">
      <c r="A1915" s="0" t="n">
        <v>2</v>
      </c>
      <c r="B1915" s="0" t="n">
        <v>5</v>
      </c>
      <c r="C1915" s="0" t="n">
        <v>5</v>
      </c>
      <c r="D1915" s="0" t="n">
        <v>2</v>
      </c>
      <c r="E1915" s="0" t="n">
        <f aca="false">-1+A1915*0.25</f>
        <v>-0.5</v>
      </c>
      <c r="F1915" s="0" t="n">
        <f aca="false">-1+B1915*0.25</f>
        <v>0.25</v>
      </c>
      <c r="G1915" s="0" t="n">
        <f aca="false">-1+C1915*0.25</f>
        <v>0.25</v>
      </c>
      <c r="H1915" s="0" t="n">
        <f aca="false">-1+D1915*0.25</f>
        <v>-0.5</v>
      </c>
      <c r="I1915" s="0" t="n">
        <f aca="false">1</f>
        <v>1</v>
      </c>
      <c r="J1915" s="0" t="n">
        <f aca="false">E1915</f>
        <v>-0.5</v>
      </c>
      <c r="K1915" s="0" t="n">
        <f aca="false">F1915</f>
        <v>0.25</v>
      </c>
      <c r="L1915" s="0" t="n">
        <f aca="false">G1915</f>
        <v>0.25</v>
      </c>
      <c r="M1915" s="0" t="n">
        <f aca="false">H1915</f>
        <v>-0.5</v>
      </c>
      <c r="N1915" s="0" t="n">
        <f aca="false">E1915*F1915</f>
        <v>-0.125</v>
      </c>
      <c r="O1915" s="0" t="n">
        <f aca="false">E1915*G1915</f>
        <v>-0.125</v>
      </c>
      <c r="P1915" s="0" t="n">
        <f aca="false">E1915*H1915</f>
        <v>0.25</v>
      </c>
      <c r="Q1915" s="0" t="n">
        <f aca="false">F1915*G1915</f>
        <v>0.0625</v>
      </c>
      <c r="R1915" s="0" t="n">
        <f aca="false">F1915*H1915</f>
        <v>-0.125</v>
      </c>
      <c r="S1915" s="0" t="n">
        <f aca="false">G1915*H1915</f>
        <v>-0.125</v>
      </c>
      <c r="T1915" s="0" t="n">
        <f aca="false">E1915*E1915</f>
        <v>0.25</v>
      </c>
      <c r="U1915" s="0" t="n">
        <f aca="false">F1915*F1915</f>
        <v>0.0625</v>
      </c>
      <c r="V1915" s="0" t="n">
        <f aca="false">G1915*G1915</f>
        <v>0.0625</v>
      </c>
      <c r="W1915" s="0" t="n">
        <f aca="false">H1915*H1915</f>
        <v>0.25</v>
      </c>
      <c r="X1915" s="0" t="n">
        <f aca="false">SUMPRODUCT(I1915:W1915,_XtX!$B$96:$P$96)</f>
        <v>46.5085297880117</v>
      </c>
      <c r="Y1915" s="0" t="n">
        <f aca="false">SUMPRODUCT(MMULT(I1915:W1915,_XtX!$B$78:$P$92),I1915:W1915)</f>
        <v>0.128236647934942</v>
      </c>
      <c r="Z1915" s="0" t="n">
        <f aca="false">04_回帰ANOVA!$K$19*04_回帰ANOVA!$K$14*SQRT(1+Y1915)</f>
        <v>1.38451764188989</v>
      </c>
      <c r="AA1915" s="0" t="n">
        <f aca="false">X1915-Z1915</f>
        <v>45.1240121461218</v>
      </c>
      <c r="AB1915" s="0" t="n">
        <f aca="false">X1915+Z1915</f>
        <v>47.8930474299016</v>
      </c>
      <c r="AC1915" s="54" t="b">
        <f aca="false">AND(E1915&gt;=01_因子設定!$L$5-0.000000001,E1915&lt;=01_因子設定!$M$5+0.000000001,F1915&gt;=01_因子設定!$L$6-0.000000001,F1915&lt;=01_因子設定!$M$6+0.000000001,G1915&gt;=01_因子設定!$L$7-0.000000001,G1915&lt;=01_因子設定!$M$7+0.000000001,H1915&gt;=01_因子設定!$L$8-0.000000001,H1915&lt;=01_因子設定!$M$8+0.000000001,IF(01_因子設定!$B$20="Box-Behnken",E1915^2+F1915^2+G1915^2+H1915^2&lt;=2+0.000000001,TRUE()))</f>
        <v>1</v>
      </c>
      <c r="AD1915" s="55" t="n">
        <f aca="false">IF(AC1915,IF(01_因子設定!$B$13="最大化",AA1915-01_因子設定!$B$14,IF(01_因子設定!$B$13="最小化",01_因子設定!$B$15-AB1915,MIN(AA1915-01_因子設定!$B$14,01_因子設定!$B$15-AB1915))),-1E+030)</f>
        <v>-1.37598785387822</v>
      </c>
      <c r="AE1915" s="55" t="n">
        <f aca="false">IF(AC1915,IF(01_因子設定!$B$13="最大化",X1915,IF(01_因子設定!$B$13="最小化",-X1915,-ABS(X1915-01_因子設定!$B$16))),-1E+030)</f>
        <v>46.5085297880117</v>
      </c>
      <c r="AF1915" s="55" t="n">
        <f aca="false">AD1915+ROW()*0.000000001</f>
        <v>-1.37598593887822</v>
      </c>
      <c r="AG1915" s="55" t="n">
        <f aca="false">AE1915+ROW()*0.000000001</f>
        <v>46.5085317030117</v>
      </c>
    </row>
    <row r="1916" customFormat="false" ht="15" hidden="false" customHeight="false" outlineLevel="0" collapsed="false">
      <c r="A1916" s="0" t="n">
        <v>2</v>
      </c>
      <c r="B1916" s="0" t="n">
        <v>5</v>
      </c>
      <c r="C1916" s="0" t="n">
        <v>5</v>
      </c>
      <c r="D1916" s="0" t="n">
        <v>3</v>
      </c>
      <c r="E1916" s="0" t="n">
        <f aca="false">-1+A1916*0.25</f>
        <v>-0.5</v>
      </c>
      <c r="F1916" s="0" t="n">
        <f aca="false">-1+B1916*0.25</f>
        <v>0.25</v>
      </c>
      <c r="G1916" s="0" t="n">
        <f aca="false">-1+C1916*0.25</f>
        <v>0.25</v>
      </c>
      <c r="H1916" s="0" t="n">
        <f aca="false">-1+D1916*0.25</f>
        <v>-0.25</v>
      </c>
      <c r="I1916" s="0" t="n">
        <f aca="false">1</f>
        <v>1</v>
      </c>
      <c r="J1916" s="0" t="n">
        <f aca="false">E1916</f>
        <v>-0.5</v>
      </c>
      <c r="K1916" s="0" t="n">
        <f aca="false">F1916</f>
        <v>0.25</v>
      </c>
      <c r="L1916" s="0" t="n">
        <f aca="false">G1916</f>
        <v>0.25</v>
      </c>
      <c r="M1916" s="0" t="n">
        <f aca="false">H1916</f>
        <v>-0.25</v>
      </c>
      <c r="N1916" s="0" t="n">
        <f aca="false">E1916*F1916</f>
        <v>-0.125</v>
      </c>
      <c r="O1916" s="0" t="n">
        <f aca="false">E1916*G1916</f>
        <v>-0.125</v>
      </c>
      <c r="P1916" s="0" t="n">
        <f aca="false">E1916*H1916</f>
        <v>0.125</v>
      </c>
      <c r="Q1916" s="0" t="n">
        <f aca="false">F1916*G1916</f>
        <v>0.0625</v>
      </c>
      <c r="R1916" s="0" t="n">
        <f aca="false">F1916*H1916</f>
        <v>-0.0625</v>
      </c>
      <c r="S1916" s="0" t="n">
        <f aca="false">G1916*H1916</f>
        <v>-0.0625</v>
      </c>
      <c r="T1916" s="0" t="n">
        <f aca="false">E1916*E1916</f>
        <v>0.25</v>
      </c>
      <c r="U1916" s="0" t="n">
        <f aca="false">F1916*F1916</f>
        <v>0.0625</v>
      </c>
      <c r="V1916" s="0" t="n">
        <f aca="false">G1916*G1916</f>
        <v>0.0625</v>
      </c>
      <c r="W1916" s="0" t="n">
        <f aca="false">H1916*H1916</f>
        <v>0.0625</v>
      </c>
      <c r="X1916" s="0" t="n">
        <f aca="false">SUMPRODUCT(I1916:W1916,_XtX!$B$96:$P$96)</f>
        <v>46.6706917032163</v>
      </c>
      <c r="Y1916" s="0" t="n">
        <f aca="false">SUMPRODUCT(MMULT(I1916:W1916,_XtX!$B$78:$P$92),I1916:W1916)</f>
        <v>0.116714923702485</v>
      </c>
      <c r="Z1916" s="0" t="n">
        <f aca="false">04_回帰ANOVA!$K$19*04_回帰ANOVA!$K$14*SQRT(1+Y1916)</f>
        <v>1.37743004820023</v>
      </c>
      <c r="AA1916" s="0" t="n">
        <f aca="false">X1916-Z1916</f>
        <v>45.2932616550161</v>
      </c>
      <c r="AB1916" s="0" t="n">
        <f aca="false">X1916+Z1916</f>
        <v>48.0481217514166</v>
      </c>
      <c r="AC1916" s="54" t="b">
        <f aca="false">AND(E1916&gt;=01_因子設定!$L$5-0.000000001,E1916&lt;=01_因子設定!$M$5+0.000000001,F1916&gt;=01_因子設定!$L$6-0.000000001,F1916&lt;=01_因子設定!$M$6+0.000000001,G1916&gt;=01_因子設定!$L$7-0.000000001,G1916&lt;=01_因子設定!$M$7+0.000000001,H1916&gt;=01_因子設定!$L$8-0.000000001,H1916&lt;=01_因子設定!$M$8+0.000000001,IF(01_因子設定!$B$20="Box-Behnken",E1916^2+F1916^2+G1916^2+H1916^2&lt;=2+0.000000001,TRUE()))</f>
        <v>1</v>
      </c>
      <c r="AD1916" s="55" t="n">
        <f aca="false">IF(AC1916,IF(01_因子設定!$B$13="最大化",AA1916-01_因子設定!$B$14,IF(01_因子設定!$B$13="最小化",01_因子設定!$B$15-AB1916,MIN(AA1916-01_因子設定!$B$14,01_因子設定!$B$15-AB1916))),-1E+030)</f>
        <v>-1.20673834498389</v>
      </c>
      <c r="AE1916" s="55" t="n">
        <f aca="false">IF(AC1916,IF(01_因子設定!$B$13="最大化",X1916,IF(01_因子設定!$B$13="最小化",-X1916,-ABS(X1916-01_因子設定!$B$16))),-1E+030)</f>
        <v>46.6706917032163</v>
      </c>
      <c r="AF1916" s="55" t="n">
        <f aca="false">AD1916+ROW()*0.000000001</f>
        <v>-1.20673642898389</v>
      </c>
      <c r="AG1916" s="55" t="n">
        <f aca="false">AE1916+ROW()*0.000000001</f>
        <v>46.6706936192163</v>
      </c>
    </row>
    <row r="1917" customFormat="false" ht="15" hidden="false" customHeight="false" outlineLevel="0" collapsed="false">
      <c r="A1917" s="0" t="n">
        <v>2</v>
      </c>
      <c r="B1917" s="0" t="n">
        <v>5</v>
      </c>
      <c r="C1917" s="0" t="n">
        <v>5</v>
      </c>
      <c r="D1917" s="0" t="n">
        <v>4</v>
      </c>
      <c r="E1917" s="0" t="n">
        <f aca="false">-1+A1917*0.25</f>
        <v>-0.5</v>
      </c>
      <c r="F1917" s="0" t="n">
        <f aca="false">-1+B1917*0.25</f>
        <v>0.25</v>
      </c>
      <c r="G1917" s="0" t="n">
        <f aca="false">-1+C1917*0.25</f>
        <v>0.25</v>
      </c>
      <c r="H1917" s="0" t="n">
        <f aca="false">-1+D1917*0.25</f>
        <v>0</v>
      </c>
      <c r="I1917" s="0" t="n">
        <f aca="false">1</f>
        <v>1</v>
      </c>
      <c r="J1917" s="0" t="n">
        <f aca="false">E1917</f>
        <v>-0.5</v>
      </c>
      <c r="K1917" s="0" t="n">
        <f aca="false">F1917</f>
        <v>0.25</v>
      </c>
      <c r="L1917" s="0" t="n">
        <f aca="false">G1917</f>
        <v>0.25</v>
      </c>
      <c r="M1917" s="0" t="n">
        <f aca="false">H1917</f>
        <v>0</v>
      </c>
      <c r="N1917" s="0" t="n">
        <f aca="false">E1917*F1917</f>
        <v>-0.125</v>
      </c>
      <c r="O1917" s="0" t="n">
        <f aca="false">E1917*G1917</f>
        <v>-0.125</v>
      </c>
      <c r="P1917" s="0" t="n">
        <f aca="false">E1917*H1917</f>
        <v>-0</v>
      </c>
      <c r="Q1917" s="0" t="n">
        <f aca="false">F1917*G1917</f>
        <v>0.0625</v>
      </c>
      <c r="R1917" s="0" t="n">
        <f aca="false">F1917*H1917</f>
        <v>0</v>
      </c>
      <c r="S1917" s="0" t="n">
        <f aca="false">G1917*H1917</f>
        <v>0</v>
      </c>
      <c r="T1917" s="0" t="n">
        <f aca="false">E1917*E1917</f>
        <v>0.25</v>
      </c>
      <c r="U1917" s="0" t="n">
        <f aca="false">F1917*F1917</f>
        <v>0.0625</v>
      </c>
      <c r="V1917" s="0" t="n">
        <f aca="false">G1917*G1917</f>
        <v>0.0625</v>
      </c>
      <c r="W1917" s="0" t="n">
        <f aca="false">H1917*H1917</f>
        <v>0</v>
      </c>
      <c r="X1917" s="0" t="n">
        <f aca="false">SUMPRODUCT(I1917:W1917,_XtX!$B$96:$P$96)</f>
        <v>46.7850466008772</v>
      </c>
      <c r="Y1917" s="0" t="n">
        <f aca="false">SUMPRODUCT(MMULT(I1917:W1917,_XtX!$B$78:$P$92),I1917:W1917)</f>
        <v>0.118905050712719</v>
      </c>
      <c r="Z1917" s="0" t="n">
        <f aca="false">04_回帰ANOVA!$K$19*04_回帰ANOVA!$K$14*SQRT(1+Y1917)</f>
        <v>1.37878011033769</v>
      </c>
      <c r="AA1917" s="0" t="n">
        <f aca="false">X1917-Z1917</f>
        <v>45.4062664905395</v>
      </c>
      <c r="AB1917" s="0" t="n">
        <f aca="false">X1917+Z1917</f>
        <v>48.1638267112148</v>
      </c>
      <c r="AC1917" s="54" t="b">
        <f aca="false">AND(E1917&gt;=01_因子設定!$L$5-0.000000001,E1917&lt;=01_因子設定!$M$5+0.000000001,F1917&gt;=01_因子設定!$L$6-0.000000001,F1917&lt;=01_因子設定!$M$6+0.000000001,G1917&gt;=01_因子設定!$L$7-0.000000001,G1917&lt;=01_因子設定!$M$7+0.000000001,H1917&gt;=01_因子設定!$L$8-0.000000001,H1917&lt;=01_因子設定!$M$8+0.000000001,IF(01_因子設定!$B$20="Box-Behnken",E1917^2+F1917^2+G1917^2+H1917^2&lt;=2+0.000000001,TRUE()))</f>
        <v>1</v>
      </c>
      <c r="AD1917" s="55" t="n">
        <f aca="false">IF(AC1917,IF(01_因子設定!$B$13="最大化",AA1917-01_因子設定!$B$14,IF(01_因子設定!$B$13="最小化",01_因子設定!$B$15-AB1917,MIN(AA1917-01_因子設定!$B$14,01_因子設定!$B$15-AB1917))),-1E+030)</f>
        <v>-1.09373350946053</v>
      </c>
      <c r="AE1917" s="55" t="n">
        <f aca="false">IF(AC1917,IF(01_因子設定!$B$13="最大化",X1917,IF(01_因子設定!$B$13="最小化",-X1917,-ABS(X1917-01_因子設定!$B$16))),-1E+030)</f>
        <v>46.7850466008772</v>
      </c>
      <c r="AF1917" s="55" t="n">
        <f aca="false">AD1917+ROW()*0.000000001</f>
        <v>-1.09373159246053</v>
      </c>
      <c r="AG1917" s="55" t="n">
        <f aca="false">AE1917+ROW()*0.000000001</f>
        <v>46.7850485178772</v>
      </c>
    </row>
    <row r="1918" customFormat="false" ht="15" hidden="false" customHeight="false" outlineLevel="0" collapsed="false">
      <c r="A1918" s="0" t="n">
        <v>2</v>
      </c>
      <c r="B1918" s="0" t="n">
        <v>5</v>
      </c>
      <c r="C1918" s="0" t="n">
        <v>5</v>
      </c>
      <c r="D1918" s="0" t="n">
        <v>5</v>
      </c>
      <c r="E1918" s="0" t="n">
        <f aca="false">-1+A1918*0.25</f>
        <v>-0.5</v>
      </c>
      <c r="F1918" s="0" t="n">
        <f aca="false">-1+B1918*0.25</f>
        <v>0.25</v>
      </c>
      <c r="G1918" s="0" t="n">
        <f aca="false">-1+C1918*0.25</f>
        <v>0.25</v>
      </c>
      <c r="H1918" s="0" t="n">
        <f aca="false">-1+D1918*0.25</f>
        <v>0.25</v>
      </c>
      <c r="I1918" s="0" t="n">
        <f aca="false">1</f>
        <v>1</v>
      </c>
      <c r="J1918" s="0" t="n">
        <f aca="false">E1918</f>
        <v>-0.5</v>
      </c>
      <c r="K1918" s="0" t="n">
        <f aca="false">F1918</f>
        <v>0.25</v>
      </c>
      <c r="L1918" s="0" t="n">
        <f aca="false">G1918</f>
        <v>0.25</v>
      </c>
      <c r="M1918" s="0" t="n">
        <f aca="false">H1918</f>
        <v>0.25</v>
      </c>
      <c r="N1918" s="0" t="n">
        <f aca="false">E1918*F1918</f>
        <v>-0.125</v>
      </c>
      <c r="O1918" s="0" t="n">
        <f aca="false">E1918*G1918</f>
        <v>-0.125</v>
      </c>
      <c r="P1918" s="0" t="n">
        <f aca="false">E1918*H1918</f>
        <v>-0.125</v>
      </c>
      <c r="Q1918" s="0" t="n">
        <f aca="false">F1918*G1918</f>
        <v>0.0625</v>
      </c>
      <c r="R1918" s="0" t="n">
        <f aca="false">F1918*H1918</f>
        <v>0.0625</v>
      </c>
      <c r="S1918" s="0" t="n">
        <f aca="false">G1918*H1918</f>
        <v>0.0625</v>
      </c>
      <c r="T1918" s="0" t="n">
        <f aca="false">E1918*E1918</f>
        <v>0.25</v>
      </c>
      <c r="U1918" s="0" t="n">
        <f aca="false">F1918*F1918</f>
        <v>0.0625</v>
      </c>
      <c r="V1918" s="0" t="n">
        <f aca="false">G1918*G1918</f>
        <v>0.0625</v>
      </c>
      <c r="W1918" s="0" t="n">
        <f aca="false">H1918*H1918</f>
        <v>0.0625</v>
      </c>
      <c r="X1918" s="0" t="n">
        <f aca="false">SUMPRODUCT(I1918:W1918,_XtX!$B$96:$P$96)</f>
        <v>46.8515944809941</v>
      </c>
      <c r="Y1918" s="0" t="n">
        <f aca="false">SUMPRODUCT(MMULT(I1918:W1918,_XtX!$B$78:$P$92),I1918:W1918)</f>
        <v>0.116714923702485</v>
      </c>
      <c r="Z1918" s="0" t="n">
        <f aca="false">04_回帰ANOVA!$K$19*04_回帰ANOVA!$K$14*SQRT(1+Y1918)</f>
        <v>1.37743004820023</v>
      </c>
      <c r="AA1918" s="0" t="n">
        <f aca="false">X1918-Z1918</f>
        <v>45.4741644327939</v>
      </c>
      <c r="AB1918" s="0" t="n">
        <f aca="false">X1918+Z1918</f>
        <v>48.2290245291943</v>
      </c>
      <c r="AC1918" s="54" t="b">
        <f aca="false">AND(E1918&gt;=01_因子設定!$L$5-0.000000001,E1918&lt;=01_因子設定!$M$5+0.000000001,F1918&gt;=01_因子設定!$L$6-0.000000001,F1918&lt;=01_因子設定!$M$6+0.000000001,G1918&gt;=01_因子設定!$L$7-0.000000001,G1918&lt;=01_因子設定!$M$7+0.000000001,H1918&gt;=01_因子設定!$L$8-0.000000001,H1918&lt;=01_因子設定!$M$8+0.000000001,IF(01_因子設定!$B$20="Box-Behnken",E1918^2+F1918^2+G1918^2+H1918^2&lt;=2+0.000000001,TRUE()))</f>
        <v>1</v>
      </c>
      <c r="AD1918" s="55" t="n">
        <f aca="false">IF(AC1918,IF(01_因子設定!$B$13="最大化",AA1918-01_因子設定!$B$14,IF(01_因子設定!$B$13="最小化",01_因子設定!$B$15-AB1918,MIN(AA1918-01_因子設定!$B$14,01_因子設定!$B$15-AB1918))),-1E+030)</f>
        <v>-1.02583556720612</v>
      </c>
      <c r="AE1918" s="55" t="n">
        <f aca="false">IF(AC1918,IF(01_因子設定!$B$13="最大化",X1918,IF(01_因子設定!$B$13="最小化",-X1918,-ABS(X1918-01_因子設定!$B$16))),-1E+030)</f>
        <v>46.8515944809941</v>
      </c>
      <c r="AF1918" s="55" t="n">
        <f aca="false">AD1918+ROW()*0.000000001</f>
        <v>-1.02583364920612</v>
      </c>
      <c r="AG1918" s="55" t="n">
        <f aca="false">AE1918+ROW()*0.000000001</f>
        <v>46.8515963989941</v>
      </c>
    </row>
    <row r="1919" customFormat="false" ht="15" hidden="false" customHeight="false" outlineLevel="0" collapsed="false">
      <c r="A1919" s="0" t="n">
        <v>2</v>
      </c>
      <c r="B1919" s="0" t="n">
        <v>5</v>
      </c>
      <c r="C1919" s="0" t="n">
        <v>5</v>
      </c>
      <c r="D1919" s="0" t="n">
        <v>6</v>
      </c>
      <c r="E1919" s="0" t="n">
        <f aca="false">-1+A1919*0.25</f>
        <v>-0.5</v>
      </c>
      <c r="F1919" s="0" t="n">
        <f aca="false">-1+B1919*0.25</f>
        <v>0.25</v>
      </c>
      <c r="G1919" s="0" t="n">
        <f aca="false">-1+C1919*0.25</f>
        <v>0.25</v>
      </c>
      <c r="H1919" s="0" t="n">
        <f aca="false">-1+D1919*0.25</f>
        <v>0.5</v>
      </c>
      <c r="I1919" s="0" t="n">
        <f aca="false">1</f>
        <v>1</v>
      </c>
      <c r="J1919" s="0" t="n">
        <f aca="false">E1919</f>
        <v>-0.5</v>
      </c>
      <c r="K1919" s="0" t="n">
        <f aca="false">F1919</f>
        <v>0.25</v>
      </c>
      <c r="L1919" s="0" t="n">
        <f aca="false">G1919</f>
        <v>0.25</v>
      </c>
      <c r="M1919" s="0" t="n">
        <f aca="false">H1919</f>
        <v>0.5</v>
      </c>
      <c r="N1919" s="0" t="n">
        <f aca="false">E1919*F1919</f>
        <v>-0.125</v>
      </c>
      <c r="O1919" s="0" t="n">
        <f aca="false">E1919*G1919</f>
        <v>-0.125</v>
      </c>
      <c r="P1919" s="0" t="n">
        <f aca="false">E1919*H1919</f>
        <v>-0.25</v>
      </c>
      <c r="Q1919" s="0" t="n">
        <f aca="false">F1919*G1919</f>
        <v>0.0625</v>
      </c>
      <c r="R1919" s="0" t="n">
        <f aca="false">F1919*H1919</f>
        <v>0.125</v>
      </c>
      <c r="S1919" s="0" t="n">
        <f aca="false">G1919*H1919</f>
        <v>0.125</v>
      </c>
      <c r="T1919" s="0" t="n">
        <f aca="false">E1919*E1919</f>
        <v>0.25</v>
      </c>
      <c r="U1919" s="0" t="n">
        <f aca="false">F1919*F1919</f>
        <v>0.0625</v>
      </c>
      <c r="V1919" s="0" t="n">
        <f aca="false">G1919*G1919</f>
        <v>0.0625</v>
      </c>
      <c r="W1919" s="0" t="n">
        <f aca="false">H1919*H1919</f>
        <v>0.25</v>
      </c>
      <c r="X1919" s="0" t="n">
        <f aca="false">SUMPRODUCT(I1919:W1919,_XtX!$B$96:$P$96)</f>
        <v>46.8703353435672</v>
      </c>
      <c r="Y1919" s="0" t="n">
        <f aca="false">SUMPRODUCT(MMULT(I1919:W1919,_XtX!$B$78:$P$92),I1919:W1919)</f>
        <v>0.128236647934942</v>
      </c>
      <c r="Z1919" s="0" t="n">
        <f aca="false">04_回帰ANOVA!$K$19*04_回帰ANOVA!$K$14*SQRT(1+Y1919)</f>
        <v>1.38451764188989</v>
      </c>
      <c r="AA1919" s="0" t="n">
        <f aca="false">X1919-Z1919</f>
        <v>45.4858177016773</v>
      </c>
      <c r="AB1919" s="0" t="n">
        <f aca="false">X1919+Z1919</f>
        <v>48.2548529854571</v>
      </c>
      <c r="AC1919" s="54" t="b">
        <f aca="false">AND(E1919&gt;=01_因子設定!$L$5-0.000000001,E1919&lt;=01_因子設定!$M$5+0.000000001,F1919&gt;=01_因子設定!$L$6-0.000000001,F1919&lt;=01_因子設定!$M$6+0.000000001,G1919&gt;=01_因子設定!$L$7-0.000000001,G1919&lt;=01_因子設定!$M$7+0.000000001,H1919&gt;=01_因子設定!$L$8-0.000000001,H1919&lt;=01_因子設定!$M$8+0.000000001,IF(01_因子設定!$B$20="Box-Behnken",E1919^2+F1919^2+G1919^2+H1919^2&lt;=2+0.000000001,TRUE()))</f>
        <v>1</v>
      </c>
      <c r="AD1919" s="55" t="n">
        <f aca="false">IF(AC1919,IF(01_因子設定!$B$13="最大化",AA1919-01_因子設定!$B$14,IF(01_因子設定!$B$13="最小化",01_因子設定!$B$15-AB1919,MIN(AA1919-01_因子設定!$B$14,01_因子設定!$B$15-AB1919))),-1E+030)</f>
        <v>-1.01418229832267</v>
      </c>
      <c r="AE1919" s="55" t="n">
        <f aca="false">IF(AC1919,IF(01_因子設定!$B$13="最大化",X1919,IF(01_因子設定!$B$13="最小化",-X1919,-ABS(X1919-01_因子設定!$B$16))),-1E+030)</f>
        <v>46.8703353435672</v>
      </c>
      <c r="AF1919" s="55" t="n">
        <f aca="false">AD1919+ROW()*0.000000001</f>
        <v>-1.01418037932267</v>
      </c>
      <c r="AG1919" s="55" t="n">
        <f aca="false">AE1919+ROW()*0.000000001</f>
        <v>46.8703372625672</v>
      </c>
    </row>
    <row r="1920" customFormat="false" ht="15" hidden="false" customHeight="false" outlineLevel="0" collapsed="false">
      <c r="A1920" s="0" t="n">
        <v>2</v>
      </c>
      <c r="B1920" s="0" t="n">
        <v>5</v>
      </c>
      <c r="C1920" s="0" t="n">
        <v>5</v>
      </c>
      <c r="D1920" s="0" t="n">
        <v>7</v>
      </c>
      <c r="E1920" s="0" t="n">
        <f aca="false">-1+A1920*0.25</f>
        <v>-0.5</v>
      </c>
      <c r="F1920" s="0" t="n">
        <f aca="false">-1+B1920*0.25</f>
        <v>0.25</v>
      </c>
      <c r="G1920" s="0" t="n">
        <f aca="false">-1+C1920*0.25</f>
        <v>0.25</v>
      </c>
      <c r="H1920" s="0" t="n">
        <f aca="false">-1+D1920*0.25</f>
        <v>0.75</v>
      </c>
      <c r="I1920" s="0" t="n">
        <f aca="false">1</f>
        <v>1</v>
      </c>
      <c r="J1920" s="0" t="n">
        <f aca="false">E1920</f>
        <v>-0.5</v>
      </c>
      <c r="K1920" s="0" t="n">
        <f aca="false">F1920</f>
        <v>0.25</v>
      </c>
      <c r="L1920" s="0" t="n">
        <f aca="false">G1920</f>
        <v>0.25</v>
      </c>
      <c r="M1920" s="0" t="n">
        <f aca="false">H1920</f>
        <v>0.75</v>
      </c>
      <c r="N1920" s="0" t="n">
        <f aca="false">E1920*F1920</f>
        <v>-0.125</v>
      </c>
      <c r="O1920" s="0" t="n">
        <f aca="false">E1920*G1920</f>
        <v>-0.125</v>
      </c>
      <c r="P1920" s="0" t="n">
        <f aca="false">E1920*H1920</f>
        <v>-0.375</v>
      </c>
      <c r="Q1920" s="0" t="n">
        <f aca="false">F1920*G1920</f>
        <v>0.0625</v>
      </c>
      <c r="R1920" s="0" t="n">
        <f aca="false">F1920*H1920</f>
        <v>0.1875</v>
      </c>
      <c r="S1920" s="0" t="n">
        <f aca="false">G1920*H1920</f>
        <v>0.1875</v>
      </c>
      <c r="T1920" s="0" t="n">
        <f aca="false">E1920*E1920</f>
        <v>0.25</v>
      </c>
      <c r="U1920" s="0" t="n">
        <f aca="false">F1920*F1920</f>
        <v>0.0625</v>
      </c>
      <c r="V1920" s="0" t="n">
        <f aca="false">G1920*G1920</f>
        <v>0.0625</v>
      </c>
      <c r="W1920" s="0" t="n">
        <f aca="false">H1920*H1920</f>
        <v>0.5625</v>
      </c>
      <c r="X1920" s="0" t="n">
        <f aca="false">SUMPRODUCT(I1920:W1920,_XtX!$B$96:$P$96)</f>
        <v>46.8412691885965</v>
      </c>
      <c r="Y1920" s="0" t="n">
        <f aca="false">SUMPRODUCT(MMULT(I1920:W1920,_XtX!$B$78:$P$92),I1920:W1920)</f>
        <v>0.207746539199561</v>
      </c>
      <c r="Z1920" s="0" t="n">
        <f aca="false">04_回帰ANOVA!$K$19*04_回帰ANOVA!$K$14*SQRT(1+Y1920)</f>
        <v>1.43247250081141</v>
      </c>
      <c r="AA1920" s="0" t="n">
        <f aca="false">X1920-Z1920</f>
        <v>45.4087966877851</v>
      </c>
      <c r="AB1920" s="0" t="n">
        <f aca="false">X1920+Z1920</f>
        <v>48.2737416894079</v>
      </c>
      <c r="AC1920" s="54" t="b">
        <f aca="false">AND(E1920&gt;=01_因子設定!$L$5-0.000000001,E1920&lt;=01_因子設定!$M$5+0.000000001,F1920&gt;=01_因子設定!$L$6-0.000000001,F1920&lt;=01_因子設定!$M$6+0.000000001,G1920&gt;=01_因子設定!$L$7-0.000000001,G1920&lt;=01_因子設定!$M$7+0.000000001,H1920&gt;=01_因子設定!$L$8-0.000000001,H1920&lt;=01_因子設定!$M$8+0.000000001,IF(01_因子設定!$B$20="Box-Behnken",E1920^2+F1920^2+G1920^2+H1920^2&lt;=2+0.000000001,TRUE()))</f>
        <v>1</v>
      </c>
      <c r="AD1920" s="55" t="n">
        <f aca="false">IF(AC1920,IF(01_因子設定!$B$13="最大化",AA1920-01_因子設定!$B$14,IF(01_因子設定!$B$13="最小化",01_因子設定!$B$15-AB1920,MIN(AA1920-01_因子設定!$B$14,01_因子設定!$B$15-AB1920))),-1E+030)</f>
        <v>-1.09120331221494</v>
      </c>
      <c r="AE1920" s="55" t="n">
        <f aca="false">IF(AC1920,IF(01_因子設定!$B$13="最大化",X1920,IF(01_因子設定!$B$13="最小化",-X1920,-ABS(X1920-01_因子設定!$B$16))),-1E+030)</f>
        <v>46.8412691885965</v>
      </c>
      <c r="AF1920" s="55" t="n">
        <f aca="false">AD1920+ROW()*0.000000001</f>
        <v>-1.09120139221494</v>
      </c>
      <c r="AG1920" s="55" t="n">
        <f aca="false">AE1920+ROW()*0.000000001</f>
        <v>46.8412711085965</v>
      </c>
    </row>
    <row r="1921" customFormat="false" ht="15" hidden="false" customHeight="false" outlineLevel="0" collapsed="false">
      <c r="A1921" s="0" t="n">
        <v>2</v>
      </c>
      <c r="B1921" s="0" t="n">
        <v>5</v>
      </c>
      <c r="C1921" s="0" t="n">
        <v>5</v>
      </c>
      <c r="D1921" s="0" t="n">
        <v>8</v>
      </c>
      <c r="E1921" s="0" t="n">
        <f aca="false">-1+A1921*0.25</f>
        <v>-0.5</v>
      </c>
      <c r="F1921" s="0" t="n">
        <f aca="false">-1+B1921*0.25</f>
        <v>0.25</v>
      </c>
      <c r="G1921" s="0" t="n">
        <f aca="false">-1+C1921*0.25</f>
        <v>0.25</v>
      </c>
      <c r="H1921" s="0" t="n">
        <f aca="false">-1+D1921*0.25</f>
        <v>1</v>
      </c>
      <c r="I1921" s="0" t="n">
        <f aca="false">1</f>
        <v>1</v>
      </c>
      <c r="J1921" s="0" t="n">
        <f aca="false">E1921</f>
        <v>-0.5</v>
      </c>
      <c r="K1921" s="0" t="n">
        <f aca="false">F1921</f>
        <v>0.25</v>
      </c>
      <c r="L1921" s="0" t="n">
        <f aca="false">G1921</f>
        <v>0.25</v>
      </c>
      <c r="M1921" s="0" t="n">
        <f aca="false">H1921</f>
        <v>1</v>
      </c>
      <c r="N1921" s="0" t="n">
        <f aca="false">E1921*F1921</f>
        <v>-0.125</v>
      </c>
      <c r="O1921" s="0" t="n">
        <f aca="false">E1921*G1921</f>
        <v>-0.125</v>
      </c>
      <c r="P1921" s="0" t="n">
        <f aca="false">E1921*H1921</f>
        <v>-0.5</v>
      </c>
      <c r="Q1921" s="0" t="n">
        <f aca="false">F1921*G1921</f>
        <v>0.0625</v>
      </c>
      <c r="R1921" s="0" t="n">
        <f aca="false">F1921*H1921</f>
        <v>0.25</v>
      </c>
      <c r="S1921" s="0" t="n">
        <f aca="false">G1921*H1921</f>
        <v>0.25</v>
      </c>
      <c r="T1921" s="0" t="n">
        <f aca="false">E1921*E1921</f>
        <v>0.25</v>
      </c>
      <c r="U1921" s="0" t="n">
        <f aca="false">F1921*F1921</f>
        <v>0.0625</v>
      </c>
      <c r="V1921" s="0" t="n">
        <f aca="false">G1921*G1921</f>
        <v>0.0625</v>
      </c>
      <c r="W1921" s="0" t="n">
        <f aca="false">H1921*H1921</f>
        <v>1</v>
      </c>
      <c r="X1921" s="0" t="n">
        <f aca="false">SUMPRODUCT(I1921:W1921,_XtX!$B$96:$P$96)</f>
        <v>46.7643960160819</v>
      </c>
      <c r="Y1921" s="0" t="n">
        <f aca="false">SUMPRODUCT(MMULT(I1921:W1921,_XtX!$B$78:$P$92),I1921:W1921)</f>
        <v>0.445705123812135</v>
      </c>
      <c r="Z1921" s="0" t="n">
        <f aca="false">04_回帰ANOVA!$K$19*04_回帰ANOVA!$K$14*SQRT(1+Y1921)</f>
        <v>1.56724990734749</v>
      </c>
      <c r="AA1921" s="0" t="n">
        <f aca="false">X1921-Z1921</f>
        <v>45.1971461087344</v>
      </c>
      <c r="AB1921" s="0" t="n">
        <f aca="false">X1921+Z1921</f>
        <v>48.3316459234294</v>
      </c>
      <c r="AC1921" s="54" t="b">
        <f aca="false">AND(E1921&gt;=01_因子設定!$L$5-0.000000001,E1921&lt;=01_因子設定!$M$5+0.000000001,F1921&gt;=01_因子設定!$L$6-0.000000001,F1921&lt;=01_因子設定!$M$6+0.000000001,G1921&gt;=01_因子設定!$L$7-0.000000001,G1921&lt;=01_因子設定!$M$7+0.000000001,H1921&gt;=01_因子設定!$L$8-0.000000001,H1921&lt;=01_因子設定!$M$8+0.000000001,IF(01_因子設定!$B$20="Box-Behnken",E1921^2+F1921^2+G1921^2+H1921^2&lt;=2+0.000000001,TRUE()))</f>
        <v>1</v>
      </c>
      <c r="AD1921" s="55" t="n">
        <f aca="false">IF(AC1921,IF(01_因子設定!$B$13="最大化",AA1921-01_因子設定!$B$14,IF(01_因子設定!$B$13="最小化",01_因子設定!$B$15-AB1921,MIN(AA1921-01_因子設定!$B$14,01_因子設定!$B$15-AB1921))),-1E+030)</f>
        <v>-1.30285389126562</v>
      </c>
      <c r="AE1921" s="55" t="n">
        <f aca="false">IF(AC1921,IF(01_因子設定!$B$13="最大化",X1921,IF(01_因子設定!$B$13="最小化",-X1921,-ABS(X1921-01_因子設定!$B$16))),-1E+030)</f>
        <v>46.7643960160819</v>
      </c>
      <c r="AF1921" s="55" t="n">
        <f aca="false">AD1921+ROW()*0.000000001</f>
        <v>-1.30285197026562</v>
      </c>
      <c r="AG1921" s="55" t="n">
        <f aca="false">AE1921+ROW()*0.000000001</f>
        <v>46.7643979370819</v>
      </c>
    </row>
    <row r="1922" customFormat="false" ht="15" hidden="false" customHeight="false" outlineLevel="0" collapsed="false">
      <c r="A1922" s="0" t="n">
        <v>2</v>
      </c>
      <c r="B1922" s="0" t="n">
        <v>5</v>
      </c>
      <c r="C1922" s="0" t="n">
        <v>6</v>
      </c>
      <c r="D1922" s="0" t="n">
        <v>0</v>
      </c>
      <c r="E1922" s="0" t="n">
        <f aca="false">-1+A1922*0.25</f>
        <v>-0.5</v>
      </c>
      <c r="F1922" s="0" t="n">
        <f aca="false">-1+B1922*0.25</f>
        <v>0.25</v>
      </c>
      <c r="G1922" s="0" t="n">
        <f aca="false">-1+C1922*0.25</f>
        <v>0.5</v>
      </c>
      <c r="H1922" s="0" t="n">
        <f aca="false">-1+D1922*0.25</f>
        <v>-1</v>
      </c>
      <c r="I1922" s="0" t="n">
        <f aca="false">1</f>
        <v>1</v>
      </c>
      <c r="J1922" s="0" t="n">
        <f aca="false">E1922</f>
        <v>-0.5</v>
      </c>
      <c r="K1922" s="0" t="n">
        <f aca="false">F1922</f>
        <v>0.25</v>
      </c>
      <c r="L1922" s="0" t="n">
        <f aca="false">G1922</f>
        <v>0.5</v>
      </c>
      <c r="M1922" s="0" t="n">
        <f aca="false">H1922</f>
        <v>-1</v>
      </c>
      <c r="N1922" s="0" t="n">
        <f aca="false">E1922*F1922</f>
        <v>-0.125</v>
      </c>
      <c r="O1922" s="0" t="n">
        <f aca="false">E1922*G1922</f>
        <v>-0.25</v>
      </c>
      <c r="P1922" s="0" t="n">
        <f aca="false">E1922*H1922</f>
        <v>0.5</v>
      </c>
      <c r="Q1922" s="0" t="n">
        <f aca="false">F1922*G1922</f>
        <v>0.125</v>
      </c>
      <c r="R1922" s="0" t="n">
        <f aca="false">F1922*H1922</f>
        <v>-0.25</v>
      </c>
      <c r="S1922" s="0" t="n">
        <f aca="false">G1922*H1922</f>
        <v>-0.5</v>
      </c>
      <c r="T1922" s="0" t="n">
        <f aca="false">E1922*E1922</f>
        <v>0.25</v>
      </c>
      <c r="U1922" s="0" t="n">
        <f aca="false">F1922*F1922</f>
        <v>0.0625</v>
      </c>
      <c r="V1922" s="0" t="n">
        <f aca="false">G1922*G1922</f>
        <v>0.25</v>
      </c>
      <c r="W1922" s="0" t="n">
        <f aca="false">H1922*H1922</f>
        <v>1</v>
      </c>
      <c r="X1922" s="0" t="n">
        <f aca="false">SUMPRODUCT(I1922:W1922,_XtX!$B$96:$P$96)</f>
        <v>46.1875639619883</v>
      </c>
      <c r="Y1922" s="0" t="n">
        <f aca="false">SUMPRODUCT(MMULT(I1922:W1922,_XtX!$B$78:$P$92),I1922:W1922)</f>
        <v>0.428122715643275</v>
      </c>
      <c r="Z1922" s="0" t="n">
        <f aca="false">04_回帰ANOVA!$K$19*04_回帰ANOVA!$K$14*SQRT(1+Y1922)</f>
        <v>1.55769044623229</v>
      </c>
      <c r="AA1922" s="0" t="n">
        <f aca="false">X1922-Z1922</f>
        <v>44.629873515756</v>
      </c>
      <c r="AB1922" s="0" t="n">
        <f aca="false">X1922+Z1922</f>
        <v>47.7452544082206</v>
      </c>
      <c r="AC1922" s="54" t="b">
        <f aca="false">AND(E1922&gt;=01_因子設定!$L$5-0.000000001,E1922&lt;=01_因子設定!$M$5+0.000000001,F1922&gt;=01_因子設定!$L$6-0.000000001,F1922&lt;=01_因子設定!$M$6+0.000000001,G1922&gt;=01_因子設定!$L$7-0.000000001,G1922&lt;=01_因子設定!$M$7+0.000000001,H1922&gt;=01_因子設定!$L$8-0.000000001,H1922&lt;=01_因子設定!$M$8+0.000000001,IF(01_因子設定!$B$20="Box-Behnken",E1922^2+F1922^2+G1922^2+H1922^2&lt;=2+0.000000001,TRUE()))</f>
        <v>1</v>
      </c>
      <c r="AD1922" s="55" t="n">
        <f aca="false">IF(AC1922,IF(01_因子設定!$B$13="最大化",AA1922-01_因子設定!$B$14,IF(01_因子設定!$B$13="最小化",01_因子設定!$B$15-AB1922,MIN(AA1922-01_因子設定!$B$14,01_因子設定!$B$15-AB1922))),-1E+030)</f>
        <v>-1.87012648424399</v>
      </c>
      <c r="AE1922" s="55" t="n">
        <f aca="false">IF(AC1922,IF(01_因子設定!$B$13="最大化",X1922,IF(01_因子設定!$B$13="最小化",-X1922,-ABS(X1922-01_因子設定!$B$16))),-1E+030)</f>
        <v>46.1875639619883</v>
      </c>
      <c r="AF1922" s="55" t="n">
        <f aca="false">AD1922+ROW()*0.000000001</f>
        <v>-1.87012456224399</v>
      </c>
      <c r="AG1922" s="55" t="n">
        <f aca="false">AE1922+ROW()*0.000000001</f>
        <v>46.1875658839883</v>
      </c>
    </row>
    <row r="1923" customFormat="false" ht="15" hidden="false" customHeight="false" outlineLevel="0" collapsed="false">
      <c r="A1923" s="0" t="n">
        <v>2</v>
      </c>
      <c r="B1923" s="0" t="n">
        <v>5</v>
      </c>
      <c r="C1923" s="0" t="n">
        <v>6</v>
      </c>
      <c r="D1923" s="0" t="n">
        <v>1</v>
      </c>
      <c r="E1923" s="0" t="n">
        <f aca="false">-1+A1923*0.25</f>
        <v>-0.5</v>
      </c>
      <c r="F1923" s="0" t="n">
        <f aca="false">-1+B1923*0.25</f>
        <v>0.25</v>
      </c>
      <c r="G1923" s="0" t="n">
        <f aca="false">-1+C1923*0.25</f>
        <v>0.5</v>
      </c>
      <c r="H1923" s="0" t="n">
        <f aca="false">-1+D1923*0.25</f>
        <v>-0.75</v>
      </c>
      <c r="I1923" s="0" t="n">
        <f aca="false">1</f>
        <v>1</v>
      </c>
      <c r="J1923" s="0" t="n">
        <f aca="false">E1923</f>
        <v>-0.5</v>
      </c>
      <c r="K1923" s="0" t="n">
        <f aca="false">F1923</f>
        <v>0.25</v>
      </c>
      <c r="L1923" s="0" t="n">
        <f aca="false">G1923</f>
        <v>0.5</v>
      </c>
      <c r="M1923" s="0" t="n">
        <f aca="false">H1923</f>
        <v>-0.75</v>
      </c>
      <c r="N1923" s="0" t="n">
        <f aca="false">E1923*F1923</f>
        <v>-0.125</v>
      </c>
      <c r="O1923" s="0" t="n">
        <f aca="false">E1923*G1923</f>
        <v>-0.25</v>
      </c>
      <c r="P1923" s="0" t="n">
        <f aca="false">E1923*H1923</f>
        <v>0.375</v>
      </c>
      <c r="Q1923" s="0" t="n">
        <f aca="false">F1923*G1923</f>
        <v>0.125</v>
      </c>
      <c r="R1923" s="0" t="n">
        <f aca="false">F1923*H1923</f>
        <v>-0.1875</v>
      </c>
      <c r="S1923" s="0" t="n">
        <f aca="false">G1923*H1923</f>
        <v>-0.375</v>
      </c>
      <c r="T1923" s="0" t="n">
        <f aca="false">E1923*E1923</f>
        <v>0.25</v>
      </c>
      <c r="U1923" s="0" t="n">
        <f aca="false">F1923*F1923</f>
        <v>0.0625</v>
      </c>
      <c r="V1923" s="0" t="n">
        <f aca="false">G1923*G1923</f>
        <v>0.25</v>
      </c>
      <c r="W1923" s="0" t="n">
        <f aca="false">H1923*H1923</f>
        <v>0.5625</v>
      </c>
      <c r="X1923" s="0" t="n">
        <f aca="false">SUMPRODUCT(I1923:W1923,_XtX!$B$96:$P$96)</f>
        <v>46.4633086622807</v>
      </c>
      <c r="Y1923" s="0" t="n">
        <f aca="false">SUMPRODUCT(MMULT(I1923:W1923,_XtX!$B$78:$P$92),I1923:W1923)</f>
        <v>0.203746059484649</v>
      </c>
      <c r="Z1923" s="0" t="n">
        <f aca="false">04_回帰ANOVA!$K$19*04_回帰ANOVA!$K$14*SQRT(1+Y1923)</f>
        <v>1.43009810755465</v>
      </c>
      <c r="AA1923" s="0" t="n">
        <f aca="false">X1923-Z1923</f>
        <v>45.033210554726</v>
      </c>
      <c r="AB1923" s="0" t="n">
        <f aca="false">X1923+Z1923</f>
        <v>47.8934067698353</v>
      </c>
      <c r="AC1923" s="54" t="b">
        <f aca="false">AND(E1923&gt;=01_因子設定!$L$5-0.000000001,E1923&lt;=01_因子設定!$M$5+0.000000001,F1923&gt;=01_因子設定!$L$6-0.000000001,F1923&lt;=01_因子設定!$M$6+0.000000001,G1923&gt;=01_因子設定!$L$7-0.000000001,G1923&lt;=01_因子設定!$M$7+0.000000001,H1923&gt;=01_因子設定!$L$8-0.000000001,H1923&lt;=01_因子設定!$M$8+0.000000001,IF(01_因子設定!$B$20="Box-Behnken",E1923^2+F1923^2+G1923^2+H1923^2&lt;=2+0.000000001,TRUE()))</f>
        <v>1</v>
      </c>
      <c r="AD1923" s="55" t="n">
        <f aca="false">IF(AC1923,IF(01_因子設定!$B$13="最大化",AA1923-01_因子設定!$B$14,IF(01_因子設定!$B$13="最小化",01_因子設定!$B$15-AB1923,MIN(AA1923-01_因子設定!$B$14,01_因子設定!$B$15-AB1923))),-1E+030)</f>
        <v>-1.46678944527397</v>
      </c>
      <c r="AE1923" s="55" t="n">
        <f aca="false">IF(AC1923,IF(01_因子設定!$B$13="最大化",X1923,IF(01_因子設定!$B$13="最小化",-X1923,-ABS(X1923-01_因子設定!$B$16))),-1E+030)</f>
        <v>46.4633086622807</v>
      </c>
      <c r="AF1923" s="55" t="n">
        <f aca="false">AD1923+ROW()*0.000000001</f>
        <v>-1.46678752227397</v>
      </c>
      <c r="AG1923" s="55" t="n">
        <f aca="false">AE1923+ROW()*0.000000001</f>
        <v>46.4633105852807</v>
      </c>
    </row>
    <row r="1924" customFormat="false" ht="15" hidden="false" customHeight="false" outlineLevel="0" collapsed="false">
      <c r="A1924" s="0" t="n">
        <v>2</v>
      </c>
      <c r="B1924" s="0" t="n">
        <v>5</v>
      </c>
      <c r="C1924" s="0" t="n">
        <v>6</v>
      </c>
      <c r="D1924" s="0" t="n">
        <v>2</v>
      </c>
      <c r="E1924" s="0" t="n">
        <f aca="false">-1+A1924*0.25</f>
        <v>-0.5</v>
      </c>
      <c r="F1924" s="0" t="n">
        <f aca="false">-1+B1924*0.25</f>
        <v>0.25</v>
      </c>
      <c r="G1924" s="0" t="n">
        <f aca="false">-1+C1924*0.25</f>
        <v>0.5</v>
      </c>
      <c r="H1924" s="0" t="n">
        <f aca="false">-1+D1924*0.25</f>
        <v>-0.5</v>
      </c>
      <c r="I1924" s="0" t="n">
        <f aca="false">1</f>
        <v>1</v>
      </c>
      <c r="J1924" s="0" t="n">
        <f aca="false">E1924</f>
        <v>-0.5</v>
      </c>
      <c r="K1924" s="0" t="n">
        <f aca="false">F1924</f>
        <v>0.25</v>
      </c>
      <c r="L1924" s="0" t="n">
        <f aca="false">G1924</f>
        <v>0.5</v>
      </c>
      <c r="M1924" s="0" t="n">
        <f aca="false">H1924</f>
        <v>-0.5</v>
      </c>
      <c r="N1924" s="0" t="n">
        <f aca="false">E1924*F1924</f>
        <v>-0.125</v>
      </c>
      <c r="O1924" s="0" t="n">
        <f aca="false">E1924*G1924</f>
        <v>-0.25</v>
      </c>
      <c r="P1924" s="0" t="n">
        <f aca="false">E1924*H1924</f>
        <v>0.25</v>
      </c>
      <c r="Q1924" s="0" t="n">
        <f aca="false">F1924*G1924</f>
        <v>0.125</v>
      </c>
      <c r="R1924" s="0" t="n">
        <f aca="false">F1924*H1924</f>
        <v>-0.125</v>
      </c>
      <c r="S1924" s="0" t="n">
        <f aca="false">G1924*H1924</f>
        <v>-0.25</v>
      </c>
      <c r="T1924" s="0" t="n">
        <f aca="false">E1924*E1924</f>
        <v>0.25</v>
      </c>
      <c r="U1924" s="0" t="n">
        <f aca="false">F1924*F1924</f>
        <v>0.0625</v>
      </c>
      <c r="V1924" s="0" t="n">
        <f aca="false">G1924*G1924</f>
        <v>0.25</v>
      </c>
      <c r="W1924" s="0" t="n">
        <f aca="false">H1924*H1924</f>
        <v>0.25</v>
      </c>
      <c r="X1924" s="0" t="n">
        <f aca="false">SUMPRODUCT(I1924:W1924,_XtX!$B$96:$P$96)</f>
        <v>46.6912463450292</v>
      </c>
      <c r="Y1924" s="0" t="n">
        <f aca="false">SUMPRODUCT(MMULT(I1924:W1924,_XtX!$B$78:$P$92),I1924:W1924)</f>
        <v>0.133937545687135</v>
      </c>
      <c r="Z1924" s="0" t="n">
        <f aca="false">04_回帰ANOVA!$K$19*04_回帰ANOVA!$K$14*SQRT(1+Y1924)</f>
        <v>1.38801116780825</v>
      </c>
      <c r="AA1924" s="0" t="n">
        <f aca="false">X1924-Z1924</f>
        <v>45.303235177221</v>
      </c>
      <c r="AB1924" s="0" t="n">
        <f aca="false">X1924+Z1924</f>
        <v>48.0792575128375</v>
      </c>
      <c r="AC1924" s="54" t="b">
        <f aca="false">AND(E1924&gt;=01_因子設定!$L$5-0.000000001,E1924&lt;=01_因子設定!$M$5+0.000000001,F1924&gt;=01_因子設定!$L$6-0.000000001,F1924&lt;=01_因子設定!$M$6+0.000000001,G1924&gt;=01_因子設定!$L$7-0.000000001,G1924&lt;=01_因子設定!$M$7+0.000000001,H1924&gt;=01_因子設定!$L$8-0.000000001,H1924&lt;=01_因子設定!$M$8+0.000000001,IF(01_因子設定!$B$20="Box-Behnken",E1924^2+F1924^2+G1924^2+H1924^2&lt;=2+0.000000001,TRUE()))</f>
        <v>1</v>
      </c>
      <c r="AD1924" s="55" t="n">
        <f aca="false">IF(AC1924,IF(01_因子設定!$B$13="最大化",AA1924-01_因子設定!$B$14,IF(01_因子設定!$B$13="最小化",01_因子設定!$B$15-AB1924,MIN(AA1924-01_因子設定!$B$14,01_因子設定!$B$15-AB1924))),-1E+030)</f>
        <v>-1.19676482277904</v>
      </c>
      <c r="AE1924" s="55" t="n">
        <f aca="false">IF(AC1924,IF(01_因子設定!$B$13="最大化",X1924,IF(01_因子設定!$B$13="最小化",-X1924,-ABS(X1924-01_因子設定!$B$16))),-1E+030)</f>
        <v>46.6912463450292</v>
      </c>
      <c r="AF1924" s="55" t="n">
        <f aca="false">AD1924+ROW()*0.000000001</f>
        <v>-1.19676289877904</v>
      </c>
      <c r="AG1924" s="55" t="n">
        <f aca="false">AE1924+ROW()*0.000000001</f>
        <v>46.6912482690292</v>
      </c>
    </row>
    <row r="1925" customFormat="false" ht="15" hidden="false" customHeight="false" outlineLevel="0" collapsed="false">
      <c r="A1925" s="0" t="n">
        <v>2</v>
      </c>
      <c r="B1925" s="0" t="n">
        <v>5</v>
      </c>
      <c r="C1925" s="0" t="n">
        <v>6</v>
      </c>
      <c r="D1925" s="0" t="n">
        <v>3</v>
      </c>
      <c r="E1925" s="0" t="n">
        <f aca="false">-1+A1925*0.25</f>
        <v>-0.5</v>
      </c>
      <c r="F1925" s="0" t="n">
        <f aca="false">-1+B1925*0.25</f>
        <v>0.25</v>
      </c>
      <c r="G1925" s="0" t="n">
        <f aca="false">-1+C1925*0.25</f>
        <v>0.5</v>
      </c>
      <c r="H1925" s="0" t="n">
        <f aca="false">-1+D1925*0.25</f>
        <v>-0.25</v>
      </c>
      <c r="I1925" s="0" t="n">
        <f aca="false">1</f>
        <v>1</v>
      </c>
      <c r="J1925" s="0" t="n">
        <f aca="false">E1925</f>
        <v>-0.5</v>
      </c>
      <c r="K1925" s="0" t="n">
        <f aca="false">F1925</f>
        <v>0.25</v>
      </c>
      <c r="L1925" s="0" t="n">
        <f aca="false">G1925</f>
        <v>0.5</v>
      </c>
      <c r="M1925" s="0" t="n">
        <f aca="false">H1925</f>
        <v>-0.25</v>
      </c>
      <c r="N1925" s="0" t="n">
        <f aca="false">E1925*F1925</f>
        <v>-0.125</v>
      </c>
      <c r="O1925" s="0" t="n">
        <f aca="false">E1925*G1925</f>
        <v>-0.25</v>
      </c>
      <c r="P1925" s="0" t="n">
        <f aca="false">E1925*H1925</f>
        <v>0.125</v>
      </c>
      <c r="Q1925" s="0" t="n">
        <f aca="false">F1925*G1925</f>
        <v>0.125</v>
      </c>
      <c r="R1925" s="0" t="n">
        <f aca="false">F1925*H1925</f>
        <v>-0.0625</v>
      </c>
      <c r="S1925" s="0" t="n">
        <f aca="false">G1925*H1925</f>
        <v>-0.125</v>
      </c>
      <c r="T1925" s="0" t="n">
        <f aca="false">E1925*E1925</f>
        <v>0.25</v>
      </c>
      <c r="U1925" s="0" t="n">
        <f aca="false">F1925*F1925</f>
        <v>0.0625</v>
      </c>
      <c r="V1925" s="0" t="n">
        <f aca="false">G1925*G1925</f>
        <v>0.25</v>
      </c>
      <c r="W1925" s="0" t="n">
        <f aca="false">H1925*H1925</f>
        <v>0.0625</v>
      </c>
      <c r="X1925" s="0" t="n">
        <f aca="false">SUMPRODUCT(I1925:W1925,_XtX!$B$96:$P$96)</f>
        <v>46.8713770102339</v>
      </c>
      <c r="Y1925" s="0" t="n">
        <f aca="false">SUMPRODUCT(MMULT(I1925:W1925,_XtX!$B$78:$P$92),I1925:W1925)</f>
        <v>0.128236647934942</v>
      </c>
      <c r="Z1925" s="0" t="n">
        <f aca="false">04_回帰ANOVA!$K$19*04_回帰ANOVA!$K$14*SQRT(1+Y1925)</f>
        <v>1.38451764188989</v>
      </c>
      <c r="AA1925" s="0" t="n">
        <f aca="false">X1925-Z1925</f>
        <v>45.486859368344</v>
      </c>
      <c r="AB1925" s="0" t="n">
        <f aca="false">X1925+Z1925</f>
        <v>48.2558946521238</v>
      </c>
      <c r="AC1925" s="54" t="b">
        <f aca="false">AND(E1925&gt;=01_因子設定!$L$5-0.000000001,E1925&lt;=01_因子設定!$M$5+0.000000001,F1925&gt;=01_因子設定!$L$6-0.000000001,F1925&lt;=01_因子設定!$M$6+0.000000001,G1925&gt;=01_因子設定!$L$7-0.000000001,G1925&lt;=01_因子設定!$M$7+0.000000001,H1925&gt;=01_因子設定!$L$8-0.000000001,H1925&lt;=01_因子設定!$M$8+0.000000001,IF(01_因子設定!$B$20="Box-Behnken",E1925^2+F1925^2+G1925^2+H1925^2&lt;=2+0.000000001,TRUE()))</f>
        <v>1</v>
      </c>
      <c r="AD1925" s="55" t="n">
        <f aca="false">IF(AC1925,IF(01_因子設定!$B$13="最大化",AA1925-01_因子設定!$B$14,IF(01_因子設定!$B$13="最小化",01_因子設定!$B$15-AB1925,MIN(AA1925-01_因子設定!$B$14,01_因子設定!$B$15-AB1925))),-1E+030)</f>
        <v>-1.01314063165601</v>
      </c>
      <c r="AE1925" s="55" t="n">
        <f aca="false">IF(AC1925,IF(01_因子設定!$B$13="最大化",X1925,IF(01_因子設定!$B$13="最小化",-X1925,-ABS(X1925-01_因子設定!$B$16))),-1E+030)</f>
        <v>46.8713770102339</v>
      </c>
      <c r="AF1925" s="55" t="n">
        <f aca="false">AD1925+ROW()*0.000000001</f>
        <v>-1.01313870665601</v>
      </c>
      <c r="AG1925" s="55" t="n">
        <f aca="false">AE1925+ROW()*0.000000001</f>
        <v>46.8713789352339</v>
      </c>
    </row>
    <row r="1926" customFormat="false" ht="15" hidden="false" customHeight="false" outlineLevel="0" collapsed="false">
      <c r="A1926" s="0" t="n">
        <v>2</v>
      </c>
      <c r="B1926" s="0" t="n">
        <v>5</v>
      </c>
      <c r="C1926" s="0" t="n">
        <v>6</v>
      </c>
      <c r="D1926" s="0" t="n">
        <v>4</v>
      </c>
      <c r="E1926" s="0" t="n">
        <f aca="false">-1+A1926*0.25</f>
        <v>-0.5</v>
      </c>
      <c r="F1926" s="0" t="n">
        <f aca="false">-1+B1926*0.25</f>
        <v>0.25</v>
      </c>
      <c r="G1926" s="0" t="n">
        <f aca="false">-1+C1926*0.25</f>
        <v>0.5</v>
      </c>
      <c r="H1926" s="0" t="n">
        <f aca="false">-1+D1926*0.25</f>
        <v>0</v>
      </c>
      <c r="I1926" s="0" t="n">
        <f aca="false">1</f>
        <v>1</v>
      </c>
      <c r="J1926" s="0" t="n">
        <f aca="false">E1926</f>
        <v>-0.5</v>
      </c>
      <c r="K1926" s="0" t="n">
        <f aca="false">F1926</f>
        <v>0.25</v>
      </c>
      <c r="L1926" s="0" t="n">
        <f aca="false">G1926</f>
        <v>0.5</v>
      </c>
      <c r="M1926" s="0" t="n">
        <f aca="false">H1926</f>
        <v>0</v>
      </c>
      <c r="N1926" s="0" t="n">
        <f aca="false">E1926*F1926</f>
        <v>-0.125</v>
      </c>
      <c r="O1926" s="0" t="n">
        <f aca="false">E1926*G1926</f>
        <v>-0.25</v>
      </c>
      <c r="P1926" s="0" t="n">
        <f aca="false">E1926*H1926</f>
        <v>-0</v>
      </c>
      <c r="Q1926" s="0" t="n">
        <f aca="false">F1926*G1926</f>
        <v>0.125</v>
      </c>
      <c r="R1926" s="0" t="n">
        <f aca="false">F1926*H1926</f>
        <v>0</v>
      </c>
      <c r="S1926" s="0" t="n">
        <f aca="false">G1926*H1926</f>
        <v>0</v>
      </c>
      <c r="T1926" s="0" t="n">
        <f aca="false">E1926*E1926</f>
        <v>0.25</v>
      </c>
      <c r="U1926" s="0" t="n">
        <f aca="false">F1926*F1926</f>
        <v>0.0625</v>
      </c>
      <c r="V1926" s="0" t="n">
        <f aca="false">G1926*G1926</f>
        <v>0.25</v>
      </c>
      <c r="W1926" s="0" t="n">
        <f aca="false">H1926*H1926</f>
        <v>0</v>
      </c>
      <c r="X1926" s="0" t="n">
        <f aca="false">SUMPRODUCT(I1926:W1926,_XtX!$B$96:$P$96)</f>
        <v>47.0037006578947</v>
      </c>
      <c r="Y1926" s="0" t="n">
        <f aca="false">SUMPRODUCT(MMULT(I1926:W1926,_XtX!$B$78:$P$92),I1926:W1926)</f>
        <v>0.132367050438597</v>
      </c>
      <c r="Z1926" s="0" t="n">
        <f aca="false">04_回帰ANOVA!$K$19*04_回帰ANOVA!$K$14*SQRT(1+Y1926)</f>
        <v>1.38704964208329</v>
      </c>
      <c r="AA1926" s="0" t="n">
        <f aca="false">X1926-Z1926</f>
        <v>45.6166510158114</v>
      </c>
      <c r="AB1926" s="0" t="n">
        <f aca="false">X1926+Z1926</f>
        <v>48.390750299978</v>
      </c>
      <c r="AC1926" s="54" t="b">
        <f aca="false">AND(E1926&gt;=01_因子設定!$L$5-0.000000001,E1926&lt;=01_因子設定!$M$5+0.000000001,F1926&gt;=01_因子設定!$L$6-0.000000001,F1926&lt;=01_因子設定!$M$6+0.000000001,G1926&gt;=01_因子設定!$L$7-0.000000001,G1926&lt;=01_因子設定!$M$7+0.000000001,H1926&gt;=01_因子設定!$L$8-0.000000001,H1926&lt;=01_因子設定!$M$8+0.000000001,IF(01_因子設定!$B$20="Box-Behnken",E1926^2+F1926^2+G1926^2+H1926^2&lt;=2+0.000000001,TRUE()))</f>
        <v>1</v>
      </c>
      <c r="AD1926" s="55" t="n">
        <f aca="false">IF(AC1926,IF(01_因子設定!$B$13="最大化",AA1926-01_因子設定!$B$14,IF(01_因子設定!$B$13="最小化",01_因子設定!$B$15-AB1926,MIN(AA1926-01_因子設定!$B$14,01_因子設定!$B$15-AB1926))),-1E+030)</f>
        <v>-0.883348984188594</v>
      </c>
      <c r="AE1926" s="55" t="n">
        <f aca="false">IF(AC1926,IF(01_因子設定!$B$13="最大化",X1926,IF(01_因子設定!$B$13="最小化",-X1926,-ABS(X1926-01_因子設定!$B$16))),-1E+030)</f>
        <v>47.0037006578947</v>
      </c>
      <c r="AF1926" s="55" t="n">
        <f aca="false">AD1926+ROW()*0.000000001</f>
        <v>-0.883347058188594</v>
      </c>
      <c r="AG1926" s="55" t="n">
        <f aca="false">AE1926+ROW()*0.000000001</f>
        <v>47.0037025838947</v>
      </c>
    </row>
    <row r="1927" customFormat="false" ht="15" hidden="false" customHeight="false" outlineLevel="0" collapsed="false">
      <c r="A1927" s="0" t="n">
        <v>2</v>
      </c>
      <c r="B1927" s="0" t="n">
        <v>5</v>
      </c>
      <c r="C1927" s="0" t="n">
        <v>6</v>
      </c>
      <c r="D1927" s="0" t="n">
        <v>5</v>
      </c>
      <c r="E1927" s="0" t="n">
        <f aca="false">-1+A1927*0.25</f>
        <v>-0.5</v>
      </c>
      <c r="F1927" s="0" t="n">
        <f aca="false">-1+B1927*0.25</f>
        <v>0.25</v>
      </c>
      <c r="G1927" s="0" t="n">
        <f aca="false">-1+C1927*0.25</f>
        <v>0.5</v>
      </c>
      <c r="H1927" s="0" t="n">
        <f aca="false">-1+D1927*0.25</f>
        <v>0.25</v>
      </c>
      <c r="I1927" s="0" t="n">
        <f aca="false">1</f>
        <v>1</v>
      </c>
      <c r="J1927" s="0" t="n">
        <f aca="false">E1927</f>
        <v>-0.5</v>
      </c>
      <c r="K1927" s="0" t="n">
        <f aca="false">F1927</f>
        <v>0.25</v>
      </c>
      <c r="L1927" s="0" t="n">
        <f aca="false">G1927</f>
        <v>0.5</v>
      </c>
      <c r="M1927" s="0" t="n">
        <f aca="false">H1927</f>
        <v>0.25</v>
      </c>
      <c r="N1927" s="0" t="n">
        <f aca="false">E1927*F1927</f>
        <v>-0.125</v>
      </c>
      <c r="O1927" s="0" t="n">
        <f aca="false">E1927*G1927</f>
        <v>-0.25</v>
      </c>
      <c r="P1927" s="0" t="n">
        <f aca="false">E1927*H1927</f>
        <v>-0.125</v>
      </c>
      <c r="Q1927" s="0" t="n">
        <f aca="false">F1927*G1927</f>
        <v>0.125</v>
      </c>
      <c r="R1927" s="0" t="n">
        <f aca="false">F1927*H1927</f>
        <v>0.0625</v>
      </c>
      <c r="S1927" s="0" t="n">
        <f aca="false">G1927*H1927</f>
        <v>0.125</v>
      </c>
      <c r="T1927" s="0" t="n">
        <f aca="false">E1927*E1927</f>
        <v>0.25</v>
      </c>
      <c r="U1927" s="0" t="n">
        <f aca="false">F1927*F1927</f>
        <v>0.0625</v>
      </c>
      <c r="V1927" s="0" t="n">
        <f aca="false">G1927*G1927</f>
        <v>0.25</v>
      </c>
      <c r="W1927" s="0" t="n">
        <f aca="false">H1927*H1927</f>
        <v>0.0625</v>
      </c>
      <c r="X1927" s="0" t="n">
        <f aca="false">SUMPRODUCT(I1927:W1927,_XtX!$B$96:$P$96)</f>
        <v>47.0882172880117</v>
      </c>
      <c r="Y1927" s="0" t="n">
        <f aca="false">SUMPRODUCT(MMULT(I1927:W1927,_XtX!$B$78:$P$92),I1927:W1927)</f>
        <v>0.128236647934942</v>
      </c>
      <c r="Z1927" s="0" t="n">
        <f aca="false">04_回帰ANOVA!$K$19*04_回帰ANOVA!$K$14*SQRT(1+Y1927)</f>
        <v>1.38451764188989</v>
      </c>
      <c r="AA1927" s="0" t="n">
        <f aca="false">X1927-Z1927</f>
        <v>45.7036996461218</v>
      </c>
      <c r="AB1927" s="0" t="n">
        <f aca="false">X1927+Z1927</f>
        <v>48.4727349299015</v>
      </c>
      <c r="AC1927" s="54" t="b">
        <f aca="false">AND(E1927&gt;=01_因子設定!$L$5-0.000000001,E1927&lt;=01_因子設定!$M$5+0.000000001,F1927&gt;=01_因子設定!$L$6-0.000000001,F1927&lt;=01_因子設定!$M$6+0.000000001,G1927&gt;=01_因子設定!$L$7-0.000000001,G1927&lt;=01_因子設定!$M$7+0.000000001,H1927&gt;=01_因子設定!$L$8-0.000000001,H1927&lt;=01_因子設定!$M$8+0.000000001,IF(01_因子設定!$B$20="Box-Behnken",E1927^2+F1927^2+G1927^2+H1927^2&lt;=2+0.000000001,TRUE()))</f>
        <v>1</v>
      </c>
      <c r="AD1927" s="55" t="n">
        <f aca="false">IF(AC1927,IF(01_因子設定!$B$13="最大化",AA1927-01_因子設定!$B$14,IF(01_因子設定!$B$13="最小化",01_因子設定!$B$15-AB1927,MIN(AA1927-01_因子設定!$B$14,01_因子設定!$B$15-AB1927))),-1E+030)</f>
        <v>-0.79630035387823</v>
      </c>
      <c r="AE1927" s="55" t="n">
        <f aca="false">IF(AC1927,IF(01_因子設定!$B$13="最大化",X1927,IF(01_因子設定!$B$13="最小化",-X1927,-ABS(X1927-01_因子設定!$B$16))),-1E+030)</f>
        <v>47.0882172880117</v>
      </c>
      <c r="AF1927" s="55" t="n">
        <f aca="false">AD1927+ROW()*0.000000001</f>
        <v>-0.79629842687823</v>
      </c>
      <c r="AG1927" s="55" t="n">
        <f aca="false">AE1927+ROW()*0.000000001</f>
        <v>47.0882192150117</v>
      </c>
    </row>
    <row r="1928" customFormat="false" ht="15" hidden="false" customHeight="false" outlineLevel="0" collapsed="false">
      <c r="A1928" s="0" t="n">
        <v>2</v>
      </c>
      <c r="B1928" s="0" t="n">
        <v>5</v>
      </c>
      <c r="C1928" s="0" t="n">
        <v>6</v>
      </c>
      <c r="D1928" s="0" t="n">
        <v>6</v>
      </c>
      <c r="E1928" s="0" t="n">
        <f aca="false">-1+A1928*0.25</f>
        <v>-0.5</v>
      </c>
      <c r="F1928" s="0" t="n">
        <f aca="false">-1+B1928*0.25</f>
        <v>0.25</v>
      </c>
      <c r="G1928" s="0" t="n">
        <f aca="false">-1+C1928*0.25</f>
        <v>0.5</v>
      </c>
      <c r="H1928" s="0" t="n">
        <f aca="false">-1+D1928*0.25</f>
        <v>0.5</v>
      </c>
      <c r="I1928" s="0" t="n">
        <f aca="false">1</f>
        <v>1</v>
      </c>
      <c r="J1928" s="0" t="n">
        <f aca="false">E1928</f>
        <v>-0.5</v>
      </c>
      <c r="K1928" s="0" t="n">
        <f aca="false">F1928</f>
        <v>0.25</v>
      </c>
      <c r="L1928" s="0" t="n">
        <f aca="false">G1928</f>
        <v>0.5</v>
      </c>
      <c r="M1928" s="0" t="n">
        <f aca="false">H1928</f>
        <v>0.5</v>
      </c>
      <c r="N1928" s="0" t="n">
        <f aca="false">E1928*F1928</f>
        <v>-0.125</v>
      </c>
      <c r="O1928" s="0" t="n">
        <f aca="false">E1928*G1928</f>
        <v>-0.25</v>
      </c>
      <c r="P1928" s="0" t="n">
        <f aca="false">E1928*H1928</f>
        <v>-0.25</v>
      </c>
      <c r="Q1928" s="0" t="n">
        <f aca="false">F1928*G1928</f>
        <v>0.125</v>
      </c>
      <c r="R1928" s="0" t="n">
        <f aca="false">F1928*H1928</f>
        <v>0.125</v>
      </c>
      <c r="S1928" s="0" t="n">
        <f aca="false">G1928*H1928</f>
        <v>0.25</v>
      </c>
      <c r="T1928" s="0" t="n">
        <f aca="false">E1928*E1928</f>
        <v>0.25</v>
      </c>
      <c r="U1928" s="0" t="n">
        <f aca="false">F1928*F1928</f>
        <v>0.0625</v>
      </c>
      <c r="V1928" s="0" t="n">
        <f aca="false">G1928*G1928</f>
        <v>0.25</v>
      </c>
      <c r="W1928" s="0" t="n">
        <f aca="false">H1928*H1928</f>
        <v>0.25</v>
      </c>
      <c r="X1928" s="0" t="n">
        <f aca="false">SUMPRODUCT(I1928:W1928,_XtX!$B$96:$P$96)</f>
        <v>47.1249269005848</v>
      </c>
      <c r="Y1928" s="0" t="n">
        <f aca="false">SUMPRODUCT(MMULT(I1928:W1928,_XtX!$B$78:$P$92),I1928:W1928)</f>
        <v>0.133937545687135</v>
      </c>
      <c r="Z1928" s="0" t="n">
        <f aca="false">04_回帰ANOVA!$K$19*04_回帰ANOVA!$K$14*SQRT(1+Y1928)</f>
        <v>1.38801116780825</v>
      </c>
      <c r="AA1928" s="0" t="n">
        <f aca="false">X1928-Z1928</f>
        <v>45.7369157327765</v>
      </c>
      <c r="AB1928" s="0" t="n">
        <f aca="false">X1928+Z1928</f>
        <v>48.512938068393</v>
      </c>
      <c r="AC1928" s="54" t="b">
        <f aca="false">AND(E1928&gt;=01_因子設定!$L$5-0.000000001,E1928&lt;=01_因子設定!$M$5+0.000000001,F1928&gt;=01_因子設定!$L$6-0.000000001,F1928&lt;=01_因子設定!$M$6+0.000000001,G1928&gt;=01_因子設定!$L$7-0.000000001,G1928&lt;=01_因子設定!$M$7+0.000000001,H1928&gt;=01_因子設定!$L$8-0.000000001,H1928&lt;=01_因子設定!$M$8+0.000000001,IF(01_因子設定!$B$20="Box-Behnken",E1928^2+F1928^2+G1928^2+H1928^2&lt;=2+0.000000001,TRUE()))</f>
        <v>1</v>
      </c>
      <c r="AD1928" s="55" t="n">
        <f aca="false">IF(AC1928,IF(01_因子設定!$B$13="最大化",AA1928-01_因子設定!$B$14,IF(01_因子設定!$B$13="最小化",01_因子設定!$B$15-AB1928,MIN(AA1928-01_因子設定!$B$14,01_因子設定!$B$15-AB1928))),-1E+030)</f>
        <v>-0.763084267223491</v>
      </c>
      <c r="AE1928" s="55" t="n">
        <f aca="false">IF(AC1928,IF(01_因子設定!$B$13="最大化",X1928,IF(01_因子設定!$B$13="最小化",-X1928,-ABS(X1928-01_因子設定!$B$16))),-1E+030)</f>
        <v>47.1249269005848</v>
      </c>
      <c r="AF1928" s="55" t="n">
        <f aca="false">AD1928+ROW()*0.000000001</f>
        <v>-0.763082339223491</v>
      </c>
      <c r="AG1928" s="55" t="n">
        <f aca="false">AE1928+ROW()*0.000000001</f>
        <v>47.1249288285848</v>
      </c>
    </row>
    <row r="1929" customFormat="false" ht="15" hidden="false" customHeight="false" outlineLevel="0" collapsed="false">
      <c r="A1929" s="0" t="n">
        <v>2</v>
      </c>
      <c r="B1929" s="0" t="n">
        <v>5</v>
      </c>
      <c r="C1929" s="0" t="n">
        <v>6</v>
      </c>
      <c r="D1929" s="0" t="n">
        <v>7</v>
      </c>
      <c r="E1929" s="0" t="n">
        <f aca="false">-1+A1929*0.25</f>
        <v>-0.5</v>
      </c>
      <c r="F1929" s="0" t="n">
        <f aca="false">-1+B1929*0.25</f>
        <v>0.25</v>
      </c>
      <c r="G1929" s="0" t="n">
        <f aca="false">-1+C1929*0.25</f>
        <v>0.5</v>
      </c>
      <c r="H1929" s="0" t="n">
        <f aca="false">-1+D1929*0.25</f>
        <v>0.75</v>
      </c>
      <c r="I1929" s="0" t="n">
        <f aca="false">1</f>
        <v>1</v>
      </c>
      <c r="J1929" s="0" t="n">
        <f aca="false">E1929</f>
        <v>-0.5</v>
      </c>
      <c r="K1929" s="0" t="n">
        <f aca="false">F1929</f>
        <v>0.25</v>
      </c>
      <c r="L1929" s="0" t="n">
        <f aca="false">G1929</f>
        <v>0.5</v>
      </c>
      <c r="M1929" s="0" t="n">
        <f aca="false">H1929</f>
        <v>0.75</v>
      </c>
      <c r="N1929" s="0" t="n">
        <f aca="false">E1929*F1929</f>
        <v>-0.125</v>
      </c>
      <c r="O1929" s="0" t="n">
        <f aca="false">E1929*G1929</f>
        <v>-0.25</v>
      </c>
      <c r="P1929" s="0" t="n">
        <f aca="false">E1929*H1929</f>
        <v>-0.375</v>
      </c>
      <c r="Q1929" s="0" t="n">
        <f aca="false">F1929*G1929</f>
        <v>0.125</v>
      </c>
      <c r="R1929" s="0" t="n">
        <f aca="false">F1929*H1929</f>
        <v>0.1875</v>
      </c>
      <c r="S1929" s="0" t="n">
        <f aca="false">G1929*H1929</f>
        <v>0.375</v>
      </c>
      <c r="T1929" s="0" t="n">
        <f aca="false">E1929*E1929</f>
        <v>0.25</v>
      </c>
      <c r="U1929" s="0" t="n">
        <f aca="false">F1929*F1929</f>
        <v>0.0625</v>
      </c>
      <c r="V1929" s="0" t="n">
        <f aca="false">G1929*G1929</f>
        <v>0.25</v>
      </c>
      <c r="W1929" s="0" t="n">
        <f aca="false">H1929*H1929</f>
        <v>0.5625</v>
      </c>
      <c r="X1929" s="0" t="n">
        <f aca="false">SUMPRODUCT(I1929:W1929,_XtX!$B$96:$P$96)</f>
        <v>47.113829495614</v>
      </c>
      <c r="Y1929" s="0" t="n">
        <f aca="false">SUMPRODUCT(MMULT(I1929:W1929,_XtX!$B$78:$P$92),I1929:W1929)</f>
        <v>0.203746059484649</v>
      </c>
      <c r="Z1929" s="0" t="n">
        <f aca="false">04_回帰ANOVA!$K$19*04_回帰ANOVA!$K$14*SQRT(1+Y1929)</f>
        <v>1.43009810755465</v>
      </c>
      <c r="AA1929" s="0" t="n">
        <f aca="false">X1929-Z1929</f>
        <v>45.6837313880594</v>
      </c>
      <c r="AB1929" s="0" t="n">
        <f aca="false">X1929+Z1929</f>
        <v>48.5439276031687</v>
      </c>
      <c r="AC1929" s="54" t="b">
        <f aca="false">AND(E1929&gt;=01_因子設定!$L$5-0.000000001,E1929&lt;=01_因子設定!$M$5+0.000000001,F1929&gt;=01_因子設定!$L$6-0.000000001,F1929&lt;=01_因子設定!$M$6+0.000000001,G1929&gt;=01_因子設定!$L$7-0.000000001,G1929&lt;=01_因子設定!$M$7+0.000000001,H1929&gt;=01_因子設定!$L$8-0.000000001,H1929&lt;=01_因子設定!$M$8+0.000000001,IF(01_因子設定!$B$20="Box-Behnken",E1929^2+F1929^2+G1929^2+H1929^2&lt;=2+0.000000001,TRUE()))</f>
        <v>1</v>
      </c>
      <c r="AD1929" s="55" t="n">
        <f aca="false">IF(AC1929,IF(01_因子設定!$B$13="最大化",AA1929-01_因子設定!$B$14,IF(01_因子設定!$B$13="最小化",01_因子設定!$B$15-AB1929,MIN(AA1929-01_因子設定!$B$14,01_因子設定!$B$15-AB1929))),-1E+030)</f>
        <v>-0.816268611940636</v>
      </c>
      <c r="AE1929" s="55" t="n">
        <f aca="false">IF(AC1929,IF(01_因子設定!$B$13="最大化",X1929,IF(01_因子設定!$B$13="最小化",-X1929,-ABS(X1929-01_因子設定!$B$16))),-1E+030)</f>
        <v>47.113829495614</v>
      </c>
      <c r="AF1929" s="55" t="n">
        <f aca="false">AD1929+ROW()*0.000000001</f>
        <v>-0.816266682940636</v>
      </c>
      <c r="AG1929" s="55" t="n">
        <f aca="false">AE1929+ROW()*0.000000001</f>
        <v>47.113831424614</v>
      </c>
    </row>
    <row r="1930" customFormat="false" ht="15" hidden="false" customHeight="false" outlineLevel="0" collapsed="false">
      <c r="A1930" s="0" t="n">
        <v>2</v>
      </c>
      <c r="B1930" s="0" t="n">
        <v>5</v>
      </c>
      <c r="C1930" s="0" t="n">
        <v>6</v>
      </c>
      <c r="D1930" s="0" t="n">
        <v>8</v>
      </c>
      <c r="E1930" s="0" t="n">
        <f aca="false">-1+A1930*0.25</f>
        <v>-0.5</v>
      </c>
      <c r="F1930" s="0" t="n">
        <f aca="false">-1+B1930*0.25</f>
        <v>0.25</v>
      </c>
      <c r="G1930" s="0" t="n">
        <f aca="false">-1+C1930*0.25</f>
        <v>0.5</v>
      </c>
      <c r="H1930" s="0" t="n">
        <f aca="false">-1+D1930*0.25</f>
        <v>1</v>
      </c>
      <c r="I1930" s="0" t="n">
        <f aca="false">1</f>
        <v>1</v>
      </c>
      <c r="J1930" s="0" t="n">
        <f aca="false">E1930</f>
        <v>-0.5</v>
      </c>
      <c r="K1930" s="0" t="n">
        <f aca="false">F1930</f>
        <v>0.25</v>
      </c>
      <c r="L1930" s="0" t="n">
        <f aca="false">G1930</f>
        <v>0.5</v>
      </c>
      <c r="M1930" s="0" t="n">
        <f aca="false">H1930</f>
        <v>1</v>
      </c>
      <c r="N1930" s="0" t="n">
        <f aca="false">E1930*F1930</f>
        <v>-0.125</v>
      </c>
      <c r="O1930" s="0" t="n">
        <f aca="false">E1930*G1930</f>
        <v>-0.25</v>
      </c>
      <c r="P1930" s="0" t="n">
        <f aca="false">E1930*H1930</f>
        <v>-0.5</v>
      </c>
      <c r="Q1930" s="0" t="n">
        <f aca="false">F1930*G1930</f>
        <v>0.125</v>
      </c>
      <c r="R1930" s="0" t="n">
        <f aca="false">F1930*H1930</f>
        <v>0.25</v>
      </c>
      <c r="S1930" s="0" t="n">
        <f aca="false">G1930*H1930</f>
        <v>0.5</v>
      </c>
      <c r="T1930" s="0" t="n">
        <f aca="false">E1930*E1930</f>
        <v>0.25</v>
      </c>
      <c r="U1930" s="0" t="n">
        <f aca="false">F1930*F1930</f>
        <v>0.0625</v>
      </c>
      <c r="V1930" s="0" t="n">
        <f aca="false">G1930*G1930</f>
        <v>0.25</v>
      </c>
      <c r="W1930" s="0" t="n">
        <f aca="false">H1930*H1930</f>
        <v>1</v>
      </c>
      <c r="X1930" s="0" t="n">
        <f aca="false">SUMPRODUCT(I1930:W1930,_XtX!$B$96:$P$96)</f>
        <v>47.0549250730994</v>
      </c>
      <c r="Y1930" s="0" t="n">
        <f aca="false">SUMPRODUCT(MMULT(I1930:W1930,_XtX!$B$78:$P$92),I1930:W1930)</f>
        <v>0.428122715643275</v>
      </c>
      <c r="Z1930" s="0" t="n">
        <f aca="false">04_回帰ANOVA!$K$19*04_回帰ANOVA!$K$14*SQRT(1+Y1930)</f>
        <v>1.55769044623229</v>
      </c>
      <c r="AA1930" s="0" t="n">
        <f aca="false">X1930-Z1930</f>
        <v>45.4972346268671</v>
      </c>
      <c r="AB1930" s="0" t="n">
        <f aca="false">X1930+Z1930</f>
        <v>48.6126155193317</v>
      </c>
      <c r="AC1930" s="54" t="b">
        <f aca="false">AND(E1930&gt;=01_因子設定!$L$5-0.000000001,E1930&lt;=01_因子設定!$M$5+0.000000001,F1930&gt;=01_因子設定!$L$6-0.000000001,F1930&lt;=01_因子設定!$M$6+0.000000001,G1930&gt;=01_因子設定!$L$7-0.000000001,G1930&lt;=01_因子設定!$M$7+0.000000001,H1930&gt;=01_因子設定!$L$8-0.000000001,H1930&lt;=01_因子設定!$M$8+0.000000001,IF(01_因子設定!$B$20="Box-Behnken",E1930^2+F1930^2+G1930^2+H1930^2&lt;=2+0.000000001,TRUE()))</f>
        <v>1</v>
      </c>
      <c r="AD1930" s="55" t="n">
        <f aca="false">IF(AC1930,IF(01_因子設定!$B$13="最大化",AA1930-01_因子設定!$B$14,IF(01_因子設定!$B$13="最小化",01_因子設定!$B$15-AB1930,MIN(AA1930-01_因子設定!$B$14,01_因子設定!$B$15-AB1930))),-1E+030)</f>
        <v>-1.00276537313288</v>
      </c>
      <c r="AE1930" s="55" t="n">
        <f aca="false">IF(AC1930,IF(01_因子設定!$B$13="最大化",X1930,IF(01_因子設定!$B$13="最小化",-X1930,-ABS(X1930-01_因子設定!$B$16))),-1E+030)</f>
        <v>47.0549250730994</v>
      </c>
      <c r="AF1930" s="55" t="n">
        <f aca="false">AD1930+ROW()*0.000000001</f>
        <v>-1.00276344313288</v>
      </c>
      <c r="AG1930" s="55" t="n">
        <f aca="false">AE1930+ROW()*0.000000001</f>
        <v>47.0549270030994</v>
      </c>
    </row>
    <row r="1931" customFormat="false" ht="15" hidden="false" customHeight="false" outlineLevel="0" collapsed="false">
      <c r="A1931" s="0" t="n">
        <v>2</v>
      </c>
      <c r="B1931" s="0" t="n">
        <v>5</v>
      </c>
      <c r="C1931" s="0" t="n">
        <v>7</v>
      </c>
      <c r="D1931" s="0" t="n">
        <v>0</v>
      </c>
      <c r="E1931" s="0" t="n">
        <f aca="false">-1+A1931*0.25</f>
        <v>-0.5</v>
      </c>
      <c r="F1931" s="0" t="n">
        <f aca="false">-1+B1931*0.25</f>
        <v>0.25</v>
      </c>
      <c r="G1931" s="0" t="n">
        <f aca="false">-1+C1931*0.25</f>
        <v>0.75</v>
      </c>
      <c r="H1931" s="0" t="n">
        <f aca="false">-1+D1931*0.25</f>
        <v>-1</v>
      </c>
      <c r="I1931" s="0" t="n">
        <f aca="false">1</f>
        <v>1</v>
      </c>
      <c r="J1931" s="0" t="n">
        <f aca="false">E1931</f>
        <v>-0.5</v>
      </c>
      <c r="K1931" s="0" t="n">
        <f aca="false">F1931</f>
        <v>0.25</v>
      </c>
      <c r="L1931" s="0" t="n">
        <f aca="false">G1931</f>
        <v>0.75</v>
      </c>
      <c r="M1931" s="0" t="n">
        <f aca="false">H1931</f>
        <v>-1</v>
      </c>
      <c r="N1931" s="0" t="n">
        <f aca="false">E1931*F1931</f>
        <v>-0.125</v>
      </c>
      <c r="O1931" s="0" t="n">
        <f aca="false">E1931*G1931</f>
        <v>-0.375</v>
      </c>
      <c r="P1931" s="0" t="n">
        <f aca="false">E1931*H1931</f>
        <v>0.5</v>
      </c>
      <c r="Q1931" s="0" t="n">
        <f aca="false">F1931*G1931</f>
        <v>0.1875</v>
      </c>
      <c r="R1931" s="0" t="n">
        <f aca="false">F1931*H1931</f>
        <v>-0.25</v>
      </c>
      <c r="S1931" s="0" t="n">
        <f aca="false">G1931*H1931</f>
        <v>-0.75</v>
      </c>
      <c r="T1931" s="0" t="n">
        <f aca="false">E1931*E1931</f>
        <v>0.25</v>
      </c>
      <c r="U1931" s="0" t="n">
        <f aca="false">F1931*F1931</f>
        <v>0.0625</v>
      </c>
      <c r="V1931" s="0" t="n">
        <f aca="false">G1931*G1931</f>
        <v>0.5625</v>
      </c>
      <c r="W1931" s="0" t="n">
        <f aca="false">H1931*H1931</f>
        <v>1</v>
      </c>
      <c r="X1931" s="0" t="n">
        <f aca="false">SUMPRODUCT(I1931:W1931,_XtX!$B$96:$P$96)</f>
        <v>46.249036001462</v>
      </c>
      <c r="Y1931" s="0" t="n">
        <f aca="false">SUMPRODUCT(MMULT(I1931:W1931,_XtX!$B$78:$P$92),I1931:W1931)</f>
        <v>0.459125719572369</v>
      </c>
      <c r="Z1931" s="0" t="n">
        <f aca="false">04_回帰ANOVA!$K$19*04_回帰ANOVA!$K$14*SQRT(1+Y1931)</f>
        <v>1.57450755575573</v>
      </c>
      <c r="AA1931" s="0" t="n">
        <f aca="false">X1931-Z1931</f>
        <v>44.6745284457063</v>
      </c>
      <c r="AB1931" s="0" t="n">
        <f aca="false">X1931+Z1931</f>
        <v>47.8235435572177</v>
      </c>
      <c r="AC1931" s="54" t="b">
        <f aca="false">AND(E1931&gt;=01_因子設定!$L$5-0.000000001,E1931&lt;=01_因子設定!$M$5+0.000000001,F1931&gt;=01_因子設定!$L$6-0.000000001,F1931&lt;=01_因子設定!$M$6+0.000000001,G1931&gt;=01_因子設定!$L$7-0.000000001,G1931&lt;=01_因子設定!$M$7+0.000000001,H1931&gt;=01_因子設定!$L$8-0.000000001,H1931&lt;=01_因子設定!$M$8+0.000000001,IF(01_因子設定!$B$20="Box-Behnken",E1931^2+F1931^2+G1931^2+H1931^2&lt;=2+0.000000001,TRUE()))</f>
        <v>1</v>
      </c>
      <c r="AD1931" s="55" t="n">
        <f aca="false">IF(AC1931,IF(01_因子設定!$B$13="最大化",AA1931-01_因子設定!$B$14,IF(01_因子設定!$B$13="最小化",01_因子設定!$B$15-AB1931,MIN(AA1931-01_因子設定!$B$14,01_因子設定!$B$15-AB1931))),-1E+030)</f>
        <v>-1.82547155429374</v>
      </c>
      <c r="AE1931" s="55" t="n">
        <f aca="false">IF(AC1931,IF(01_因子設定!$B$13="最大化",X1931,IF(01_因子設定!$B$13="最小化",-X1931,-ABS(X1931-01_因子設定!$B$16))),-1E+030)</f>
        <v>46.249036001462</v>
      </c>
      <c r="AF1931" s="55" t="n">
        <f aca="false">AD1931+ROW()*0.000000001</f>
        <v>-1.82546962329374</v>
      </c>
      <c r="AG1931" s="55" t="n">
        <f aca="false">AE1931+ROW()*0.000000001</f>
        <v>46.249037932462</v>
      </c>
    </row>
    <row r="1932" customFormat="false" ht="15" hidden="false" customHeight="false" outlineLevel="0" collapsed="false">
      <c r="A1932" s="0" t="n">
        <v>2</v>
      </c>
      <c r="B1932" s="0" t="n">
        <v>5</v>
      </c>
      <c r="C1932" s="0" t="n">
        <v>7</v>
      </c>
      <c r="D1932" s="0" t="n">
        <v>1</v>
      </c>
      <c r="E1932" s="0" t="n">
        <f aca="false">-1+A1932*0.25</f>
        <v>-0.5</v>
      </c>
      <c r="F1932" s="0" t="n">
        <f aca="false">-1+B1932*0.25</f>
        <v>0.25</v>
      </c>
      <c r="G1932" s="0" t="n">
        <f aca="false">-1+C1932*0.25</f>
        <v>0.75</v>
      </c>
      <c r="H1932" s="0" t="n">
        <f aca="false">-1+D1932*0.25</f>
        <v>-0.75</v>
      </c>
      <c r="I1932" s="0" t="n">
        <f aca="false">1</f>
        <v>1</v>
      </c>
      <c r="J1932" s="0" t="n">
        <f aca="false">E1932</f>
        <v>-0.5</v>
      </c>
      <c r="K1932" s="0" t="n">
        <f aca="false">F1932</f>
        <v>0.25</v>
      </c>
      <c r="L1932" s="0" t="n">
        <f aca="false">G1932</f>
        <v>0.75</v>
      </c>
      <c r="M1932" s="0" t="n">
        <f aca="false">H1932</f>
        <v>-0.75</v>
      </c>
      <c r="N1932" s="0" t="n">
        <f aca="false">E1932*F1932</f>
        <v>-0.125</v>
      </c>
      <c r="O1932" s="0" t="n">
        <f aca="false">E1932*G1932</f>
        <v>-0.375</v>
      </c>
      <c r="P1932" s="0" t="n">
        <f aca="false">E1932*H1932</f>
        <v>0.375</v>
      </c>
      <c r="Q1932" s="0" t="n">
        <f aca="false">F1932*G1932</f>
        <v>0.1875</v>
      </c>
      <c r="R1932" s="0" t="n">
        <f aca="false">F1932*H1932</f>
        <v>-0.1875</v>
      </c>
      <c r="S1932" s="0" t="n">
        <f aca="false">G1932*H1932</f>
        <v>-0.5625</v>
      </c>
      <c r="T1932" s="0" t="n">
        <f aca="false">E1932*E1932</f>
        <v>0.25</v>
      </c>
      <c r="U1932" s="0" t="n">
        <f aca="false">F1932*F1932</f>
        <v>0.0625</v>
      </c>
      <c r="V1932" s="0" t="n">
        <f aca="false">G1932*G1932</f>
        <v>0.5625</v>
      </c>
      <c r="W1932" s="0" t="n">
        <f aca="false">H1932*H1932</f>
        <v>0.5625</v>
      </c>
      <c r="X1932" s="0" t="n">
        <f aca="false">SUMPRODUCT(I1932:W1932,_XtX!$B$96:$P$96)</f>
        <v>46.5427494517544</v>
      </c>
      <c r="Y1932" s="0" t="n">
        <f aca="false">SUMPRODUCT(MMULT(I1932:W1932,_XtX!$B$78:$P$92),I1932:W1932)</f>
        <v>0.257385610836988</v>
      </c>
      <c r="Z1932" s="0" t="n">
        <f aca="false">04_回帰ANOVA!$K$19*04_回帰ANOVA!$K$14*SQRT(1+Y1932)</f>
        <v>1.46161380324158</v>
      </c>
      <c r="AA1932" s="0" t="n">
        <f aca="false">X1932-Z1932</f>
        <v>45.0811356485128</v>
      </c>
      <c r="AB1932" s="0" t="n">
        <f aca="false">X1932+Z1932</f>
        <v>48.004363254996</v>
      </c>
      <c r="AC1932" s="54" t="b">
        <f aca="false">AND(E1932&gt;=01_因子設定!$L$5-0.000000001,E1932&lt;=01_因子設定!$M$5+0.000000001,F1932&gt;=01_因子設定!$L$6-0.000000001,F1932&lt;=01_因子設定!$M$6+0.000000001,G1932&gt;=01_因子設定!$L$7-0.000000001,G1932&lt;=01_因子設定!$M$7+0.000000001,H1932&gt;=01_因子設定!$L$8-0.000000001,H1932&lt;=01_因子設定!$M$8+0.000000001,IF(01_因子設定!$B$20="Box-Behnken",E1932^2+F1932^2+G1932^2+H1932^2&lt;=2+0.000000001,TRUE()))</f>
        <v>1</v>
      </c>
      <c r="AD1932" s="55" t="n">
        <f aca="false">IF(AC1932,IF(01_因子設定!$B$13="最大化",AA1932-01_因子設定!$B$14,IF(01_因子設定!$B$13="最小化",01_因子設定!$B$15-AB1932,MIN(AA1932-01_因子設定!$B$14,01_因子設定!$B$15-AB1932))),-1E+030)</f>
        <v>-1.41886435148722</v>
      </c>
      <c r="AE1932" s="55" t="n">
        <f aca="false">IF(AC1932,IF(01_因子設定!$B$13="最大化",X1932,IF(01_因子設定!$B$13="最小化",-X1932,-ABS(X1932-01_因子設定!$B$16))),-1E+030)</f>
        <v>46.5427494517544</v>
      </c>
      <c r="AF1932" s="55" t="n">
        <f aca="false">AD1932+ROW()*0.000000001</f>
        <v>-1.41886241948722</v>
      </c>
      <c r="AG1932" s="55" t="n">
        <f aca="false">AE1932+ROW()*0.000000001</f>
        <v>46.5427513837544</v>
      </c>
    </row>
    <row r="1933" customFormat="false" ht="15" hidden="false" customHeight="false" outlineLevel="0" collapsed="false">
      <c r="A1933" s="0" t="n">
        <v>2</v>
      </c>
      <c r="B1933" s="0" t="n">
        <v>5</v>
      </c>
      <c r="C1933" s="0" t="n">
        <v>7</v>
      </c>
      <c r="D1933" s="0" t="n">
        <v>2</v>
      </c>
      <c r="E1933" s="0" t="n">
        <f aca="false">-1+A1933*0.25</f>
        <v>-0.5</v>
      </c>
      <c r="F1933" s="0" t="n">
        <f aca="false">-1+B1933*0.25</f>
        <v>0.25</v>
      </c>
      <c r="G1933" s="0" t="n">
        <f aca="false">-1+C1933*0.25</f>
        <v>0.75</v>
      </c>
      <c r="H1933" s="0" t="n">
        <f aca="false">-1+D1933*0.25</f>
        <v>-0.5</v>
      </c>
      <c r="I1933" s="0" t="n">
        <f aca="false">1</f>
        <v>1</v>
      </c>
      <c r="J1933" s="0" t="n">
        <f aca="false">E1933</f>
        <v>-0.5</v>
      </c>
      <c r="K1933" s="0" t="n">
        <f aca="false">F1933</f>
        <v>0.25</v>
      </c>
      <c r="L1933" s="0" t="n">
        <f aca="false">G1933</f>
        <v>0.75</v>
      </c>
      <c r="M1933" s="0" t="n">
        <f aca="false">H1933</f>
        <v>-0.5</v>
      </c>
      <c r="N1933" s="0" t="n">
        <f aca="false">E1933*F1933</f>
        <v>-0.125</v>
      </c>
      <c r="O1933" s="0" t="n">
        <f aca="false">E1933*G1933</f>
        <v>-0.375</v>
      </c>
      <c r="P1933" s="0" t="n">
        <f aca="false">E1933*H1933</f>
        <v>0.25</v>
      </c>
      <c r="Q1933" s="0" t="n">
        <f aca="false">F1933*G1933</f>
        <v>0.1875</v>
      </c>
      <c r="R1933" s="0" t="n">
        <f aca="false">F1933*H1933</f>
        <v>-0.125</v>
      </c>
      <c r="S1933" s="0" t="n">
        <f aca="false">G1933*H1933</f>
        <v>-0.375</v>
      </c>
      <c r="T1933" s="0" t="n">
        <f aca="false">E1933*E1933</f>
        <v>0.25</v>
      </c>
      <c r="U1933" s="0" t="n">
        <f aca="false">F1933*F1933</f>
        <v>0.0625</v>
      </c>
      <c r="V1933" s="0" t="n">
        <f aca="false">G1933*G1933</f>
        <v>0.5625</v>
      </c>
      <c r="W1933" s="0" t="n">
        <f aca="false">H1933*H1933</f>
        <v>0.25</v>
      </c>
      <c r="X1933" s="0" t="n">
        <f aca="false">SUMPRODUCT(I1933:W1933,_XtX!$B$96:$P$96)</f>
        <v>46.7886558845029</v>
      </c>
      <c r="Y1933" s="0" t="n">
        <f aca="false">SUMPRODUCT(MMULT(I1933:W1933,_XtX!$B$78:$P$92),I1933:W1933)</f>
        <v>0.203746059484649</v>
      </c>
      <c r="Z1933" s="0" t="n">
        <f aca="false">04_回帰ANOVA!$K$19*04_回帰ANOVA!$K$14*SQRT(1+Y1933)</f>
        <v>1.43009810755465</v>
      </c>
      <c r="AA1933" s="0" t="n">
        <f aca="false">X1933-Z1933</f>
        <v>45.3585577769482</v>
      </c>
      <c r="AB1933" s="0" t="n">
        <f aca="false">X1933+Z1933</f>
        <v>48.2187539920575</v>
      </c>
      <c r="AC1933" s="54" t="b">
        <f aca="false">AND(E1933&gt;=01_因子設定!$L$5-0.000000001,E1933&lt;=01_因子設定!$M$5+0.000000001,F1933&gt;=01_因子設定!$L$6-0.000000001,F1933&lt;=01_因子設定!$M$6+0.000000001,G1933&gt;=01_因子設定!$L$7-0.000000001,G1933&lt;=01_因子設定!$M$7+0.000000001,H1933&gt;=01_因子設定!$L$8-0.000000001,H1933&lt;=01_因子設定!$M$8+0.000000001,IF(01_因子設定!$B$20="Box-Behnken",E1933^2+F1933^2+G1933^2+H1933^2&lt;=2+0.000000001,TRUE()))</f>
        <v>1</v>
      </c>
      <c r="AD1933" s="55" t="n">
        <f aca="false">IF(AC1933,IF(01_因子設定!$B$13="最大化",AA1933-01_因子設定!$B$14,IF(01_因子設定!$B$13="最小化",01_因子設定!$B$15-AB1933,MIN(AA1933-01_因子設定!$B$14,01_因子設定!$B$15-AB1933))),-1E+030)</f>
        <v>-1.14144222305175</v>
      </c>
      <c r="AE1933" s="55" t="n">
        <f aca="false">IF(AC1933,IF(01_因子設定!$B$13="最大化",X1933,IF(01_因子設定!$B$13="最小化",-X1933,-ABS(X1933-01_因子設定!$B$16))),-1E+030)</f>
        <v>46.7886558845029</v>
      </c>
      <c r="AF1933" s="55" t="n">
        <f aca="false">AD1933+ROW()*0.000000001</f>
        <v>-1.14144029005175</v>
      </c>
      <c r="AG1933" s="55" t="n">
        <f aca="false">AE1933+ROW()*0.000000001</f>
        <v>46.7886578175029</v>
      </c>
    </row>
    <row r="1934" customFormat="false" ht="15" hidden="false" customHeight="false" outlineLevel="0" collapsed="false">
      <c r="A1934" s="0" t="n">
        <v>2</v>
      </c>
      <c r="B1934" s="0" t="n">
        <v>5</v>
      </c>
      <c r="C1934" s="0" t="n">
        <v>7</v>
      </c>
      <c r="D1934" s="0" t="n">
        <v>3</v>
      </c>
      <c r="E1934" s="0" t="n">
        <f aca="false">-1+A1934*0.25</f>
        <v>-0.5</v>
      </c>
      <c r="F1934" s="0" t="n">
        <f aca="false">-1+B1934*0.25</f>
        <v>0.25</v>
      </c>
      <c r="G1934" s="0" t="n">
        <f aca="false">-1+C1934*0.25</f>
        <v>0.75</v>
      </c>
      <c r="H1934" s="0" t="n">
        <f aca="false">-1+D1934*0.25</f>
        <v>-0.25</v>
      </c>
      <c r="I1934" s="0" t="n">
        <f aca="false">1</f>
        <v>1</v>
      </c>
      <c r="J1934" s="0" t="n">
        <f aca="false">E1934</f>
        <v>-0.5</v>
      </c>
      <c r="K1934" s="0" t="n">
        <f aca="false">F1934</f>
        <v>0.25</v>
      </c>
      <c r="L1934" s="0" t="n">
        <f aca="false">G1934</f>
        <v>0.75</v>
      </c>
      <c r="M1934" s="0" t="n">
        <f aca="false">H1934</f>
        <v>-0.25</v>
      </c>
      <c r="N1934" s="0" t="n">
        <f aca="false">E1934*F1934</f>
        <v>-0.125</v>
      </c>
      <c r="O1934" s="0" t="n">
        <f aca="false">E1934*G1934</f>
        <v>-0.375</v>
      </c>
      <c r="P1934" s="0" t="n">
        <f aca="false">E1934*H1934</f>
        <v>0.125</v>
      </c>
      <c r="Q1934" s="0" t="n">
        <f aca="false">F1934*G1934</f>
        <v>0.1875</v>
      </c>
      <c r="R1934" s="0" t="n">
        <f aca="false">F1934*H1934</f>
        <v>-0.0625</v>
      </c>
      <c r="S1934" s="0" t="n">
        <f aca="false">G1934*H1934</f>
        <v>-0.1875</v>
      </c>
      <c r="T1934" s="0" t="n">
        <f aca="false">E1934*E1934</f>
        <v>0.25</v>
      </c>
      <c r="U1934" s="0" t="n">
        <f aca="false">F1934*F1934</f>
        <v>0.0625</v>
      </c>
      <c r="V1934" s="0" t="n">
        <f aca="false">G1934*G1934</f>
        <v>0.5625</v>
      </c>
      <c r="W1934" s="0" t="n">
        <f aca="false">H1934*H1934</f>
        <v>0.0625</v>
      </c>
      <c r="X1934" s="0" t="n">
        <f aca="false">SUMPRODUCT(I1934:W1934,_XtX!$B$96:$P$96)</f>
        <v>46.9867552997076</v>
      </c>
      <c r="Y1934" s="0" t="n">
        <f aca="false">SUMPRODUCT(MMULT(I1934:W1934,_XtX!$B$78:$P$92),I1934:W1934)</f>
        <v>0.207746539199561</v>
      </c>
      <c r="Z1934" s="0" t="n">
        <f aca="false">04_回帰ANOVA!$K$19*04_回帰ANOVA!$K$14*SQRT(1+Y1934)</f>
        <v>1.43247250081141</v>
      </c>
      <c r="AA1934" s="0" t="n">
        <f aca="false">X1934-Z1934</f>
        <v>45.5542827988962</v>
      </c>
      <c r="AB1934" s="0" t="n">
        <f aca="false">X1934+Z1934</f>
        <v>48.419227800519</v>
      </c>
      <c r="AC1934" s="54" t="b">
        <f aca="false">AND(E1934&gt;=01_因子設定!$L$5-0.000000001,E1934&lt;=01_因子設定!$M$5+0.000000001,F1934&gt;=01_因子設定!$L$6-0.000000001,F1934&lt;=01_因子設定!$M$6+0.000000001,G1934&gt;=01_因子設定!$L$7-0.000000001,G1934&lt;=01_因子設定!$M$7+0.000000001,H1934&gt;=01_因子設定!$L$8-0.000000001,H1934&lt;=01_因子設定!$M$8+0.000000001,IF(01_因子設定!$B$20="Box-Behnken",E1934^2+F1934^2+G1934^2+H1934^2&lt;=2+0.000000001,TRUE()))</f>
        <v>1</v>
      </c>
      <c r="AD1934" s="55" t="n">
        <f aca="false">IF(AC1934,IF(01_因子設定!$B$13="最大化",AA1934-01_因子設定!$B$14,IF(01_因子設定!$B$13="最小化",01_因子設定!$B$15-AB1934,MIN(AA1934-01_因子設定!$B$14,01_因子設定!$B$15-AB1934))),-1E+030)</f>
        <v>-0.94571720110384</v>
      </c>
      <c r="AE1934" s="55" t="n">
        <f aca="false">IF(AC1934,IF(01_因子設定!$B$13="最大化",X1934,IF(01_因子設定!$B$13="最小化",-X1934,-ABS(X1934-01_因子設定!$B$16))),-1E+030)</f>
        <v>46.9867552997076</v>
      </c>
      <c r="AF1934" s="55" t="n">
        <f aca="false">AD1934+ROW()*0.000000001</f>
        <v>-0.94571526710384</v>
      </c>
      <c r="AG1934" s="55" t="n">
        <f aca="false">AE1934+ROW()*0.000000001</f>
        <v>46.9867572337076</v>
      </c>
    </row>
    <row r="1935" customFormat="false" ht="15" hidden="false" customHeight="false" outlineLevel="0" collapsed="false">
      <c r="A1935" s="0" t="n">
        <v>2</v>
      </c>
      <c r="B1935" s="0" t="n">
        <v>5</v>
      </c>
      <c r="C1935" s="0" t="n">
        <v>7</v>
      </c>
      <c r="D1935" s="0" t="n">
        <v>4</v>
      </c>
      <c r="E1935" s="0" t="n">
        <f aca="false">-1+A1935*0.25</f>
        <v>-0.5</v>
      </c>
      <c r="F1935" s="0" t="n">
        <f aca="false">-1+B1935*0.25</f>
        <v>0.25</v>
      </c>
      <c r="G1935" s="0" t="n">
        <f aca="false">-1+C1935*0.25</f>
        <v>0.75</v>
      </c>
      <c r="H1935" s="0" t="n">
        <f aca="false">-1+D1935*0.25</f>
        <v>0</v>
      </c>
      <c r="I1935" s="0" t="n">
        <f aca="false">1</f>
        <v>1</v>
      </c>
      <c r="J1935" s="0" t="n">
        <f aca="false">E1935</f>
        <v>-0.5</v>
      </c>
      <c r="K1935" s="0" t="n">
        <f aca="false">F1935</f>
        <v>0.25</v>
      </c>
      <c r="L1935" s="0" t="n">
        <f aca="false">G1935</f>
        <v>0.75</v>
      </c>
      <c r="M1935" s="0" t="n">
        <f aca="false">H1935</f>
        <v>0</v>
      </c>
      <c r="N1935" s="0" t="n">
        <f aca="false">E1935*F1935</f>
        <v>-0.125</v>
      </c>
      <c r="O1935" s="0" t="n">
        <f aca="false">E1935*G1935</f>
        <v>-0.375</v>
      </c>
      <c r="P1935" s="0" t="n">
        <f aca="false">E1935*H1935</f>
        <v>-0</v>
      </c>
      <c r="Q1935" s="0" t="n">
        <f aca="false">F1935*G1935</f>
        <v>0.1875</v>
      </c>
      <c r="R1935" s="0" t="n">
        <f aca="false">F1935*H1935</f>
        <v>0</v>
      </c>
      <c r="S1935" s="0" t="n">
        <f aca="false">G1935*H1935</f>
        <v>0</v>
      </c>
      <c r="T1935" s="0" t="n">
        <f aca="false">E1935*E1935</f>
        <v>0.25</v>
      </c>
      <c r="U1935" s="0" t="n">
        <f aca="false">F1935*F1935</f>
        <v>0.0625</v>
      </c>
      <c r="V1935" s="0" t="n">
        <f aca="false">G1935*G1935</f>
        <v>0.5625</v>
      </c>
      <c r="W1935" s="0" t="n">
        <f aca="false">H1935*H1935</f>
        <v>0</v>
      </c>
      <c r="X1935" s="0" t="n">
        <f aca="false">SUMPRODUCT(I1935:W1935,_XtX!$B$96:$P$96)</f>
        <v>47.1370476973684</v>
      </c>
      <c r="Y1935" s="0" t="n">
        <f aca="false">SUMPRODUCT(MMULT(I1935:W1935,_XtX!$B$78:$P$92),I1935:W1935)</f>
        <v>0.215110734192252</v>
      </c>
      <c r="Z1935" s="0" t="n">
        <f aca="false">04_回帰ANOVA!$K$19*04_回帰ANOVA!$K$14*SQRT(1+Y1935)</f>
        <v>1.43683309086864</v>
      </c>
      <c r="AA1935" s="0" t="n">
        <f aca="false">X1935-Z1935</f>
        <v>45.7002146064997</v>
      </c>
      <c r="AB1935" s="0" t="n">
        <f aca="false">X1935+Z1935</f>
        <v>48.573880788237</v>
      </c>
      <c r="AC1935" s="54" t="b">
        <f aca="false">AND(E1935&gt;=01_因子設定!$L$5-0.000000001,E1935&lt;=01_因子設定!$M$5+0.000000001,F1935&gt;=01_因子設定!$L$6-0.000000001,F1935&lt;=01_因子設定!$M$6+0.000000001,G1935&gt;=01_因子設定!$L$7-0.000000001,G1935&lt;=01_因子設定!$M$7+0.000000001,H1935&gt;=01_因子設定!$L$8-0.000000001,H1935&lt;=01_因子設定!$M$8+0.000000001,IF(01_因子設定!$B$20="Box-Behnken",E1935^2+F1935^2+G1935^2+H1935^2&lt;=2+0.000000001,TRUE()))</f>
        <v>1</v>
      </c>
      <c r="AD1935" s="55" t="n">
        <f aca="false">IF(AC1935,IF(01_因子設定!$B$13="最大化",AA1935-01_因子設定!$B$14,IF(01_因子設定!$B$13="最小化",01_因子設定!$B$15-AB1935,MIN(AA1935-01_因子設定!$B$14,01_因子設定!$B$15-AB1935))),-1E+030)</f>
        <v>-0.799785393500265</v>
      </c>
      <c r="AE1935" s="55" t="n">
        <f aca="false">IF(AC1935,IF(01_因子設定!$B$13="最大化",X1935,IF(01_因子設定!$B$13="最小化",-X1935,-ABS(X1935-01_因子設定!$B$16))),-1E+030)</f>
        <v>47.1370476973684</v>
      </c>
      <c r="AF1935" s="55" t="n">
        <f aca="false">AD1935+ROW()*0.000000001</f>
        <v>-0.799783458500265</v>
      </c>
      <c r="AG1935" s="55" t="n">
        <f aca="false">AE1935+ROW()*0.000000001</f>
        <v>47.1370496323684</v>
      </c>
    </row>
    <row r="1936" customFormat="false" ht="15" hidden="false" customHeight="false" outlineLevel="0" collapsed="false">
      <c r="A1936" s="0" t="n">
        <v>2</v>
      </c>
      <c r="B1936" s="0" t="n">
        <v>5</v>
      </c>
      <c r="C1936" s="0" t="n">
        <v>7</v>
      </c>
      <c r="D1936" s="0" t="n">
        <v>5</v>
      </c>
      <c r="E1936" s="0" t="n">
        <f aca="false">-1+A1936*0.25</f>
        <v>-0.5</v>
      </c>
      <c r="F1936" s="0" t="n">
        <f aca="false">-1+B1936*0.25</f>
        <v>0.25</v>
      </c>
      <c r="G1936" s="0" t="n">
        <f aca="false">-1+C1936*0.25</f>
        <v>0.75</v>
      </c>
      <c r="H1936" s="0" t="n">
        <f aca="false">-1+D1936*0.25</f>
        <v>0.25</v>
      </c>
      <c r="I1936" s="0" t="n">
        <f aca="false">1</f>
        <v>1</v>
      </c>
      <c r="J1936" s="0" t="n">
        <f aca="false">E1936</f>
        <v>-0.5</v>
      </c>
      <c r="K1936" s="0" t="n">
        <f aca="false">F1936</f>
        <v>0.25</v>
      </c>
      <c r="L1936" s="0" t="n">
        <f aca="false">G1936</f>
        <v>0.75</v>
      </c>
      <c r="M1936" s="0" t="n">
        <f aca="false">H1936</f>
        <v>0.25</v>
      </c>
      <c r="N1936" s="0" t="n">
        <f aca="false">E1936*F1936</f>
        <v>-0.125</v>
      </c>
      <c r="O1936" s="0" t="n">
        <f aca="false">E1936*G1936</f>
        <v>-0.375</v>
      </c>
      <c r="P1936" s="0" t="n">
        <f aca="false">E1936*H1936</f>
        <v>-0.125</v>
      </c>
      <c r="Q1936" s="0" t="n">
        <f aca="false">F1936*G1936</f>
        <v>0.1875</v>
      </c>
      <c r="R1936" s="0" t="n">
        <f aca="false">F1936*H1936</f>
        <v>0.0625</v>
      </c>
      <c r="S1936" s="0" t="n">
        <f aca="false">G1936*H1936</f>
        <v>0.1875</v>
      </c>
      <c r="T1936" s="0" t="n">
        <f aca="false">E1936*E1936</f>
        <v>0.25</v>
      </c>
      <c r="U1936" s="0" t="n">
        <f aca="false">F1936*F1936</f>
        <v>0.0625</v>
      </c>
      <c r="V1936" s="0" t="n">
        <f aca="false">G1936*G1936</f>
        <v>0.5625</v>
      </c>
      <c r="W1936" s="0" t="n">
        <f aca="false">H1936*H1936</f>
        <v>0.0625</v>
      </c>
      <c r="X1936" s="0" t="n">
        <f aca="false">SUMPRODUCT(I1936:W1936,_XtX!$B$96:$P$96)</f>
        <v>47.2395330774853</v>
      </c>
      <c r="Y1936" s="0" t="n">
        <f aca="false">SUMPRODUCT(MMULT(I1936:W1936,_XtX!$B$78:$P$92),I1936:W1936)</f>
        <v>0.207746539199561</v>
      </c>
      <c r="Z1936" s="0" t="n">
        <f aca="false">04_回帰ANOVA!$K$19*04_回帰ANOVA!$K$14*SQRT(1+Y1936)</f>
        <v>1.43247250081141</v>
      </c>
      <c r="AA1936" s="0" t="n">
        <f aca="false">X1936-Z1936</f>
        <v>45.8070605766739</v>
      </c>
      <c r="AB1936" s="0" t="n">
        <f aca="false">X1936+Z1936</f>
        <v>48.6720055782968</v>
      </c>
      <c r="AC1936" s="54" t="b">
        <f aca="false">AND(E1936&gt;=01_因子設定!$L$5-0.000000001,E1936&lt;=01_因子設定!$M$5+0.000000001,F1936&gt;=01_因子設定!$L$6-0.000000001,F1936&lt;=01_因子設定!$M$6+0.000000001,G1936&gt;=01_因子設定!$L$7-0.000000001,G1936&lt;=01_因子設定!$M$7+0.000000001,H1936&gt;=01_因子設定!$L$8-0.000000001,H1936&lt;=01_因子設定!$M$8+0.000000001,IF(01_因子設定!$B$20="Box-Behnken",E1936^2+F1936^2+G1936^2+H1936^2&lt;=2+0.000000001,TRUE()))</f>
        <v>1</v>
      </c>
      <c r="AD1936" s="55" t="n">
        <f aca="false">IF(AC1936,IF(01_因子設定!$B$13="最大化",AA1936-01_因子設定!$B$14,IF(01_因子設定!$B$13="最小化",01_因子設定!$B$15-AB1936,MIN(AA1936-01_因子設定!$B$14,01_因子設定!$B$15-AB1936))),-1E+030)</f>
        <v>-0.692939423326067</v>
      </c>
      <c r="AE1936" s="55" t="n">
        <f aca="false">IF(AC1936,IF(01_因子設定!$B$13="最大化",X1936,IF(01_因子設定!$B$13="最小化",-X1936,-ABS(X1936-01_因子設定!$B$16))),-1E+030)</f>
        <v>47.2395330774853</v>
      </c>
      <c r="AF1936" s="55" t="n">
        <f aca="false">AD1936+ROW()*0.000000001</f>
        <v>-0.692937487326067</v>
      </c>
      <c r="AG1936" s="55" t="n">
        <f aca="false">AE1936+ROW()*0.000000001</f>
        <v>47.2395350134853</v>
      </c>
    </row>
    <row r="1937" customFormat="false" ht="15" hidden="false" customHeight="false" outlineLevel="0" collapsed="false">
      <c r="A1937" s="0" t="n">
        <v>2</v>
      </c>
      <c r="B1937" s="0" t="n">
        <v>5</v>
      </c>
      <c r="C1937" s="0" t="n">
        <v>7</v>
      </c>
      <c r="D1937" s="0" t="n">
        <v>6</v>
      </c>
      <c r="E1937" s="0" t="n">
        <f aca="false">-1+A1937*0.25</f>
        <v>-0.5</v>
      </c>
      <c r="F1937" s="0" t="n">
        <f aca="false">-1+B1937*0.25</f>
        <v>0.25</v>
      </c>
      <c r="G1937" s="0" t="n">
        <f aca="false">-1+C1937*0.25</f>
        <v>0.75</v>
      </c>
      <c r="H1937" s="0" t="n">
        <f aca="false">-1+D1937*0.25</f>
        <v>0.5</v>
      </c>
      <c r="I1937" s="0" t="n">
        <f aca="false">1</f>
        <v>1</v>
      </c>
      <c r="J1937" s="0" t="n">
        <f aca="false">E1937</f>
        <v>-0.5</v>
      </c>
      <c r="K1937" s="0" t="n">
        <f aca="false">F1937</f>
        <v>0.25</v>
      </c>
      <c r="L1937" s="0" t="n">
        <f aca="false">G1937</f>
        <v>0.75</v>
      </c>
      <c r="M1937" s="0" t="n">
        <f aca="false">H1937</f>
        <v>0.5</v>
      </c>
      <c r="N1937" s="0" t="n">
        <f aca="false">E1937*F1937</f>
        <v>-0.125</v>
      </c>
      <c r="O1937" s="0" t="n">
        <f aca="false">E1937*G1937</f>
        <v>-0.375</v>
      </c>
      <c r="P1937" s="0" t="n">
        <f aca="false">E1937*H1937</f>
        <v>-0.25</v>
      </c>
      <c r="Q1937" s="0" t="n">
        <f aca="false">F1937*G1937</f>
        <v>0.1875</v>
      </c>
      <c r="R1937" s="0" t="n">
        <f aca="false">F1937*H1937</f>
        <v>0.125</v>
      </c>
      <c r="S1937" s="0" t="n">
        <f aca="false">G1937*H1937</f>
        <v>0.375</v>
      </c>
      <c r="T1937" s="0" t="n">
        <f aca="false">E1937*E1937</f>
        <v>0.25</v>
      </c>
      <c r="U1937" s="0" t="n">
        <f aca="false">F1937*F1937</f>
        <v>0.0625</v>
      </c>
      <c r="V1937" s="0" t="n">
        <f aca="false">G1937*G1937</f>
        <v>0.5625</v>
      </c>
      <c r="W1937" s="0" t="n">
        <f aca="false">H1937*H1937</f>
        <v>0.25</v>
      </c>
      <c r="X1937" s="0" t="n">
        <f aca="false">SUMPRODUCT(I1937:W1937,_XtX!$B$96:$P$96)</f>
        <v>47.2942114400585</v>
      </c>
      <c r="Y1937" s="0" t="n">
        <f aca="false">SUMPRODUCT(MMULT(I1937:W1937,_XtX!$B$78:$P$92),I1937:W1937)</f>
        <v>0.203746059484649</v>
      </c>
      <c r="Z1937" s="0" t="n">
        <f aca="false">04_回帰ANOVA!$K$19*04_回帰ANOVA!$K$14*SQRT(1+Y1937)</f>
        <v>1.43009810755465</v>
      </c>
      <c r="AA1937" s="0" t="n">
        <f aca="false">X1937-Z1937</f>
        <v>45.8641133325038</v>
      </c>
      <c r="AB1937" s="0" t="n">
        <f aca="false">X1937+Z1937</f>
        <v>48.7243095476131</v>
      </c>
      <c r="AC1937" s="54" t="b">
        <f aca="false">AND(E1937&gt;=01_因子設定!$L$5-0.000000001,E1937&lt;=01_因子設定!$M$5+0.000000001,F1937&gt;=01_因子設定!$L$6-0.000000001,F1937&lt;=01_因子設定!$M$6+0.000000001,G1937&gt;=01_因子設定!$L$7-0.000000001,G1937&lt;=01_因子設定!$M$7+0.000000001,H1937&gt;=01_因子設定!$L$8-0.000000001,H1937&lt;=01_因子設定!$M$8+0.000000001,IF(01_因子設定!$B$20="Box-Behnken",E1937^2+F1937^2+G1937^2+H1937^2&lt;=2+0.000000001,TRUE()))</f>
        <v>1</v>
      </c>
      <c r="AD1937" s="55" t="n">
        <f aca="false">IF(AC1937,IF(01_因子設定!$B$13="最大化",AA1937-01_因子設定!$B$14,IF(01_因子設定!$B$13="最小化",01_因子設定!$B$15-AB1937,MIN(AA1937-01_因子設定!$B$14,01_因子設定!$B$15-AB1937))),-1E+030)</f>
        <v>-0.635886667496202</v>
      </c>
      <c r="AE1937" s="55" t="n">
        <f aca="false">IF(AC1937,IF(01_因子設定!$B$13="最大化",X1937,IF(01_因子設定!$B$13="最小化",-X1937,-ABS(X1937-01_因子設定!$B$16))),-1E+030)</f>
        <v>47.2942114400585</v>
      </c>
      <c r="AF1937" s="55" t="n">
        <f aca="false">AD1937+ROW()*0.000000001</f>
        <v>-0.635884730496202</v>
      </c>
      <c r="AG1937" s="55" t="n">
        <f aca="false">AE1937+ROW()*0.000000001</f>
        <v>47.2942133770585</v>
      </c>
    </row>
    <row r="1938" customFormat="false" ht="15" hidden="false" customHeight="false" outlineLevel="0" collapsed="false">
      <c r="A1938" s="0" t="n">
        <v>2</v>
      </c>
      <c r="B1938" s="0" t="n">
        <v>5</v>
      </c>
      <c r="C1938" s="0" t="n">
        <v>7</v>
      </c>
      <c r="D1938" s="0" t="n">
        <v>7</v>
      </c>
      <c r="E1938" s="0" t="n">
        <f aca="false">-1+A1938*0.25</f>
        <v>-0.5</v>
      </c>
      <c r="F1938" s="0" t="n">
        <f aca="false">-1+B1938*0.25</f>
        <v>0.25</v>
      </c>
      <c r="G1938" s="0" t="n">
        <f aca="false">-1+C1938*0.25</f>
        <v>0.75</v>
      </c>
      <c r="H1938" s="0" t="n">
        <f aca="false">-1+D1938*0.25</f>
        <v>0.75</v>
      </c>
      <c r="I1938" s="0" t="n">
        <f aca="false">1</f>
        <v>1</v>
      </c>
      <c r="J1938" s="0" t="n">
        <f aca="false">E1938</f>
        <v>-0.5</v>
      </c>
      <c r="K1938" s="0" t="n">
        <f aca="false">F1938</f>
        <v>0.25</v>
      </c>
      <c r="L1938" s="0" t="n">
        <f aca="false">G1938</f>
        <v>0.75</v>
      </c>
      <c r="M1938" s="0" t="n">
        <f aca="false">H1938</f>
        <v>0.75</v>
      </c>
      <c r="N1938" s="0" t="n">
        <f aca="false">E1938*F1938</f>
        <v>-0.125</v>
      </c>
      <c r="O1938" s="0" t="n">
        <f aca="false">E1938*G1938</f>
        <v>-0.375</v>
      </c>
      <c r="P1938" s="0" t="n">
        <f aca="false">E1938*H1938</f>
        <v>-0.375</v>
      </c>
      <c r="Q1938" s="0" t="n">
        <f aca="false">F1938*G1938</f>
        <v>0.1875</v>
      </c>
      <c r="R1938" s="0" t="n">
        <f aca="false">F1938*H1938</f>
        <v>0.1875</v>
      </c>
      <c r="S1938" s="0" t="n">
        <f aca="false">G1938*H1938</f>
        <v>0.5625</v>
      </c>
      <c r="T1938" s="0" t="n">
        <f aca="false">E1938*E1938</f>
        <v>0.25</v>
      </c>
      <c r="U1938" s="0" t="n">
        <f aca="false">F1938*F1938</f>
        <v>0.0625</v>
      </c>
      <c r="V1938" s="0" t="n">
        <f aca="false">G1938*G1938</f>
        <v>0.5625</v>
      </c>
      <c r="W1938" s="0" t="n">
        <f aca="false">H1938*H1938</f>
        <v>0.5625</v>
      </c>
      <c r="X1938" s="0" t="n">
        <f aca="false">SUMPRODUCT(I1938:W1938,_XtX!$B$96:$P$96)</f>
        <v>47.3010827850877</v>
      </c>
      <c r="Y1938" s="0" t="n">
        <f aca="false">SUMPRODUCT(MMULT(I1938:W1938,_XtX!$B$78:$P$92),I1938:W1938)</f>
        <v>0.257385610836988</v>
      </c>
      <c r="Z1938" s="0" t="n">
        <f aca="false">04_回帰ANOVA!$K$19*04_回帰ANOVA!$K$14*SQRT(1+Y1938)</f>
        <v>1.46161380324158</v>
      </c>
      <c r="AA1938" s="0" t="n">
        <f aca="false">X1938-Z1938</f>
        <v>45.8394689818461</v>
      </c>
      <c r="AB1938" s="0" t="n">
        <f aca="false">X1938+Z1938</f>
        <v>48.7626965883293</v>
      </c>
      <c r="AC1938" s="54" t="b">
        <f aca="false">AND(E1938&gt;=01_因子設定!$L$5-0.000000001,E1938&lt;=01_因子設定!$M$5+0.000000001,F1938&gt;=01_因子設定!$L$6-0.000000001,F1938&lt;=01_因子設定!$M$6+0.000000001,G1938&gt;=01_因子設定!$L$7-0.000000001,G1938&lt;=01_因子設定!$M$7+0.000000001,H1938&gt;=01_因子設定!$L$8-0.000000001,H1938&lt;=01_因子設定!$M$8+0.000000001,IF(01_因子設定!$B$20="Box-Behnken",E1938^2+F1938^2+G1938^2+H1938^2&lt;=2+0.000000001,TRUE()))</f>
        <v>1</v>
      </c>
      <c r="AD1938" s="55" t="n">
        <f aca="false">IF(AC1938,IF(01_因子設定!$B$13="最大化",AA1938-01_因子設定!$B$14,IF(01_因子設定!$B$13="最小化",01_因子設定!$B$15-AB1938,MIN(AA1938-01_因子設定!$B$14,01_因子設定!$B$15-AB1938))),-1E+030)</f>
        <v>-0.660531018153883</v>
      </c>
      <c r="AE1938" s="55" t="n">
        <f aca="false">IF(AC1938,IF(01_因子設定!$B$13="最大化",X1938,IF(01_因子設定!$B$13="最小化",-X1938,-ABS(X1938-01_因子設定!$B$16))),-1E+030)</f>
        <v>47.3010827850877</v>
      </c>
      <c r="AF1938" s="55" t="n">
        <f aca="false">AD1938+ROW()*0.000000001</f>
        <v>-0.660529080153883</v>
      </c>
      <c r="AG1938" s="55" t="n">
        <f aca="false">AE1938+ROW()*0.000000001</f>
        <v>47.3010847230877</v>
      </c>
    </row>
    <row r="1939" customFormat="false" ht="15" hidden="false" customHeight="false" outlineLevel="0" collapsed="false">
      <c r="A1939" s="0" t="n">
        <v>2</v>
      </c>
      <c r="B1939" s="0" t="n">
        <v>5</v>
      </c>
      <c r="C1939" s="0" t="n">
        <v>7</v>
      </c>
      <c r="D1939" s="0" t="n">
        <v>8</v>
      </c>
      <c r="E1939" s="0" t="n">
        <f aca="false">-1+A1939*0.25</f>
        <v>-0.5</v>
      </c>
      <c r="F1939" s="0" t="n">
        <f aca="false">-1+B1939*0.25</f>
        <v>0.25</v>
      </c>
      <c r="G1939" s="0" t="n">
        <f aca="false">-1+C1939*0.25</f>
        <v>0.75</v>
      </c>
      <c r="H1939" s="0" t="n">
        <f aca="false">-1+D1939*0.25</f>
        <v>1</v>
      </c>
      <c r="I1939" s="0" t="n">
        <f aca="false">1</f>
        <v>1</v>
      </c>
      <c r="J1939" s="0" t="n">
        <f aca="false">E1939</f>
        <v>-0.5</v>
      </c>
      <c r="K1939" s="0" t="n">
        <f aca="false">F1939</f>
        <v>0.25</v>
      </c>
      <c r="L1939" s="0" t="n">
        <f aca="false">G1939</f>
        <v>0.75</v>
      </c>
      <c r="M1939" s="0" t="n">
        <f aca="false">H1939</f>
        <v>1</v>
      </c>
      <c r="N1939" s="0" t="n">
        <f aca="false">E1939*F1939</f>
        <v>-0.125</v>
      </c>
      <c r="O1939" s="0" t="n">
        <f aca="false">E1939*G1939</f>
        <v>-0.375</v>
      </c>
      <c r="P1939" s="0" t="n">
        <f aca="false">E1939*H1939</f>
        <v>-0.5</v>
      </c>
      <c r="Q1939" s="0" t="n">
        <f aca="false">F1939*G1939</f>
        <v>0.1875</v>
      </c>
      <c r="R1939" s="0" t="n">
        <f aca="false">F1939*H1939</f>
        <v>0.25</v>
      </c>
      <c r="S1939" s="0" t="n">
        <f aca="false">G1939*H1939</f>
        <v>0.75</v>
      </c>
      <c r="T1939" s="0" t="n">
        <f aca="false">E1939*E1939</f>
        <v>0.25</v>
      </c>
      <c r="U1939" s="0" t="n">
        <f aca="false">F1939*F1939</f>
        <v>0.0625</v>
      </c>
      <c r="V1939" s="0" t="n">
        <f aca="false">G1939*G1939</f>
        <v>0.5625</v>
      </c>
      <c r="W1939" s="0" t="n">
        <f aca="false">H1939*H1939</f>
        <v>1</v>
      </c>
      <c r="X1939" s="0" t="n">
        <f aca="false">SUMPRODUCT(I1939:W1939,_XtX!$B$96:$P$96)</f>
        <v>47.2601471125731</v>
      </c>
      <c r="Y1939" s="0" t="n">
        <f aca="false">SUMPRODUCT(MMULT(I1939:W1939,_XtX!$B$78:$P$92),I1939:W1939)</f>
        <v>0.459125719572369</v>
      </c>
      <c r="Z1939" s="0" t="n">
        <f aca="false">04_回帰ANOVA!$K$19*04_回帰ANOVA!$K$14*SQRT(1+Y1939)</f>
        <v>1.57450755575573</v>
      </c>
      <c r="AA1939" s="0" t="n">
        <f aca="false">X1939-Z1939</f>
        <v>45.6856395568174</v>
      </c>
      <c r="AB1939" s="0" t="n">
        <f aca="false">X1939+Z1939</f>
        <v>48.8346546683288</v>
      </c>
      <c r="AC1939" s="54" t="b">
        <f aca="false">AND(E1939&gt;=01_因子設定!$L$5-0.000000001,E1939&lt;=01_因子設定!$M$5+0.000000001,F1939&gt;=01_因子設定!$L$6-0.000000001,F1939&lt;=01_因子設定!$M$6+0.000000001,G1939&gt;=01_因子設定!$L$7-0.000000001,G1939&lt;=01_因子設定!$M$7+0.000000001,H1939&gt;=01_因子設定!$L$8-0.000000001,H1939&lt;=01_因子設定!$M$8+0.000000001,IF(01_因子設定!$B$20="Box-Behnken",E1939^2+F1939^2+G1939^2+H1939^2&lt;=2+0.000000001,TRUE()))</f>
        <v>1</v>
      </c>
      <c r="AD1939" s="55" t="n">
        <f aca="false">IF(AC1939,IF(01_因子設定!$B$13="最大化",AA1939-01_因子設定!$B$14,IF(01_因子設定!$B$13="最小化",01_因子設定!$B$15-AB1939,MIN(AA1939-01_因子設定!$B$14,01_因子設定!$B$15-AB1939))),-1E+030)</f>
        <v>-0.814360443182636</v>
      </c>
      <c r="AE1939" s="55" t="n">
        <f aca="false">IF(AC1939,IF(01_因子設定!$B$13="最大化",X1939,IF(01_因子設定!$B$13="最小化",-X1939,-ABS(X1939-01_因子設定!$B$16))),-1E+030)</f>
        <v>47.2601471125731</v>
      </c>
      <c r="AF1939" s="55" t="n">
        <f aca="false">AD1939+ROW()*0.000000001</f>
        <v>-0.814358504182636</v>
      </c>
      <c r="AG1939" s="55" t="n">
        <f aca="false">AE1939+ROW()*0.000000001</f>
        <v>47.2601490515731</v>
      </c>
    </row>
    <row r="1940" customFormat="false" ht="15" hidden="false" customHeight="false" outlineLevel="0" collapsed="false">
      <c r="A1940" s="0" t="n">
        <v>2</v>
      </c>
      <c r="B1940" s="0" t="n">
        <v>5</v>
      </c>
      <c r="C1940" s="0" t="n">
        <v>8</v>
      </c>
      <c r="D1940" s="0" t="n">
        <v>0</v>
      </c>
      <c r="E1940" s="0" t="n">
        <f aca="false">-1+A1940*0.25</f>
        <v>-0.5</v>
      </c>
      <c r="F1940" s="0" t="n">
        <f aca="false">-1+B1940*0.25</f>
        <v>0.25</v>
      </c>
      <c r="G1940" s="0" t="n">
        <f aca="false">-1+C1940*0.25</f>
        <v>1</v>
      </c>
      <c r="H1940" s="0" t="n">
        <f aca="false">-1+D1940*0.25</f>
        <v>-1</v>
      </c>
      <c r="I1940" s="0" t="n">
        <f aca="false">1</f>
        <v>1</v>
      </c>
      <c r="J1940" s="0" t="n">
        <f aca="false">E1940</f>
        <v>-0.5</v>
      </c>
      <c r="K1940" s="0" t="n">
        <f aca="false">F1940</f>
        <v>0.25</v>
      </c>
      <c r="L1940" s="0" t="n">
        <f aca="false">G1940</f>
        <v>1</v>
      </c>
      <c r="M1940" s="0" t="n">
        <f aca="false">H1940</f>
        <v>-1</v>
      </c>
      <c r="N1940" s="0" t="n">
        <f aca="false">E1940*F1940</f>
        <v>-0.125</v>
      </c>
      <c r="O1940" s="0" t="n">
        <f aca="false">E1940*G1940</f>
        <v>-0.5</v>
      </c>
      <c r="P1940" s="0" t="n">
        <f aca="false">E1940*H1940</f>
        <v>0.5</v>
      </c>
      <c r="Q1940" s="0" t="n">
        <f aca="false">F1940*G1940</f>
        <v>0.25</v>
      </c>
      <c r="R1940" s="0" t="n">
        <f aca="false">F1940*H1940</f>
        <v>-0.25</v>
      </c>
      <c r="S1940" s="0" t="n">
        <f aca="false">G1940*H1940</f>
        <v>-1</v>
      </c>
      <c r="T1940" s="0" t="n">
        <f aca="false">E1940*E1940</f>
        <v>0.25</v>
      </c>
      <c r="U1940" s="0" t="n">
        <f aca="false">F1940*F1940</f>
        <v>0.0625</v>
      </c>
      <c r="V1940" s="0" t="n">
        <f aca="false">G1940*G1940</f>
        <v>1</v>
      </c>
      <c r="W1940" s="0" t="n">
        <f aca="false">H1940*H1940</f>
        <v>1</v>
      </c>
      <c r="X1940" s="0" t="n">
        <f aca="false">SUMPRODUCT(I1940:W1940,_XtX!$B$96:$P$96)</f>
        <v>46.2252010233918</v>
      </c>
      <c r="Y1940" s="0" t="n">
        <f aca="false">SUMPRODUCT(MMULT(I1940:W1940,_XtX!$B$78:$P$92),I1940:W1940)</f>
        <v>0.629174661915205</v>
      </c>
      <c r="Z1940" s="0" t="n">
        <f aca="false">04_回帰ANOVA!$K$19*04_回帰ANOVA!$K$14*SQRT(1+Y1940)</f>
        <v>1.66372758058297</v>
      </c>
      <c r="AA1940" s="0" t="n">
        <f aca="false">X1940-Z1940</f>
        <v>44.5614734428088</v>
      </c>
      <c r="AB1940" s="0" t="n">
        <f aca="false">X1940+Z1940</f>
        <v>47.8889286039748</v>
      </c>
      <c r="AC1940" s="54" t="b">
        <f aca="false">AND(E1940&gt;=01_因子設定!$L$5-0.000000001,E1940&lt;=01_因子設定!$M$5+0.000000001,F1940&gt;=01_因子設定!$L$6-0.000000001,F1940&lt;=01_因子設定!$M$6+0.000000001,G1940&gt;=01_因子設定!$L$7-0.000000001,G1940&lt;=01_因子設定!$M$7+0.000000001,H1940&gt;=01_因子設定!$L$8-0.000000001,H1940&lt;=01_因子設定!$M$8+0.000000001,IF(01_因子設定!$B$20="Box-Behnken",E1940^2+F1940^2+G1940^2+H1940^2&lt;=2+0.000000001,TRUE()))</f>
        <v>1</v>
      </c>
      <c r="AD1940" s="55" t="n">
        <f aca="false">IF(AC1940,IF(01_因子設定!$B$13="最大化",AA1940-01_因子設定!$B$14,IF(01_因子設定!$B$13="最小化",01_因子設定!$B$15-AB1940,MIN(AA1940-01_因子設定!$B$14,01_因子設定!$B$15-AB1940))),-1E+030)</f>
        <v>-1.93852655719116</v>
      </c>
      <c r="AE1940" s="55" t="n">
        <f aca="false">IF(AC1940,IF(01_因子設定!$B$13="最大化",X1940,IF(01_因子設定!$B$13="最小化",-X1940,-ABS(X1940-01_因子設定!$B$16))),-1E+030)</f>
        <v>46.2252010233918</v>
      </c>
      <c r="AF1940" s="55" t="n">
        <f aca="false">AD1940+ROW()*0.000000001</f>
        <v>-1.93852461719116</v>
      </c>
      <c r="AG1940" s="55" t="n">
        <f aca="false">AE1940+ROW()*0.000000001</f>
        <v>46.2252029633918</v>
      </c>
    </row>
    <row r="1941" customFormat="false" ht="15" hidden="false" customHeight="false" outlineLevel="0" collapsed="false">
      <c r="A1941" s="0" t="n">
        <v>2</v>
      </c>
      <c r="B1941" s="0" t="n">
        <v>5</v>
      </c>
      <c r="C1941" s="0" t="n">
        <v>8</v>
      </c>
      <c r="D1941" s="0" t="n">
        <v>1</v>
      </c>
      <c r="E1941" s="0" t="n">
        <f aca="false">-1+A1941*0.25</f>
        <v>-0.5</v>
      </c>
      <c r="F1941" s="0" t="n">
        <f aca="false">-1+B1941*0.25</f>
        <v>0.25</v>
      </c>
      <c r="G1941" s="0" t="n">
        <f aca="false">-1+C1941*0.25</f>
        <v>1</v>
      </c>
      <c r="H1941" s="0" t="n">
        <f aca="false">-1+D1941*0.25</f>
        <v>-0.75</v>
      </c>
      <c r="I1941" s="0" t="n">
        <f aca="false">1</f>
        <v>1</v>
      </c>
      <c r="J1941" s="0" t="n">
        <f aca="false">E1941</f>
        <v>-0.5</v>
      </c>
      <c r="K1941" s="0" t="n">
        <f aca="false">F1941</f>
        <v>0.25</v>
      </c>
      <c r="L1941" s="0" t="n">
        <f aca="false">G1941</f>
        <v>1</v>
      </c>
      <c r="M1941" s="0" t="n">
        <f aca="false">H1941</f>
        <v>-0.75</v>
      </c>
      <c r="N1941" s="0" t="n">
        <f aca="false">E1941*F1941</f>
        <v>-0.125</v>
      </c>
      <c r="O1941" s="0" t="n">
        <f aca="false">E1941*G1941</f>
        <v>-0.5</v>
      </c>
      <c r="P1941" s="0" t="n">
        <f aca="false">E1941*H1941</f>
        <v>0.375</v>
      </c>
      <c r="Q1941" s="0" t="n">
        <f aca="false">F1941*G1941</f>
        <v>0.25</v>
      </c>
      <c r="R1941" s="0" t="n">
        <f aca="false">F1941*H1941</f>
        <v>-0.1875</v>
      </c>
      <c r="S1941" s="0" t="n">
        <f aca="false">G1941*H1941</f>
        <v>-0.75</v>
      </c>
      <c r="T1941" s="0" t="n">
        <f aca="false">E1941*E1941</f>
        <v>0.25</v>
      </c>
      <c r="U1941" s="0" t="n">
        <f aca="false">F1941*F1941</f>
        <v>0.0625</v>
      </c>
      <c r="V1941" s="0" t="n">
        <f aca="false">G1941*G1941</f>
        <v>1</v>
      </c>
      <c r="W1941" s="0" t="n">
        <f aca="false">H1941*H1941</f>
        <v>0.5625</v>
      </c>
      <c r="X1941" s="0" t="n">
        <f aca="false">SUMPRODUCT(I1941:W1941,_XtX!$B$96:$P$96)</f>
        <v>46.5368832236842</v>
      </c>
      <c r="Y1941" s="0" t="n">
        <f aca="false">SUMPRODUCT(MMULT(I1941:W1941,_XtX!$B$78:$P$92),I1941:W1941)</f>
        <v>0.459125719572369</v>
      </c>
      <c r="Z1941" s="0" t="n">
        <f aca="false">04_回帰ANOVA!$K$19*04_回帰ANOVA!$K$14*SQRT(1+Y1941)</f>
        <v>1.57450755575573</v>
      </c>
      <c r="AA1941" s="0" t="n">
        <f aca="false">X1941-Z1941</f>
        <v>44.9623756679285</v>
      </c>
      <c r="AB1941" s="0" t="n">
        <f aca="false">X1941+Z1941</f>
        <v>48.1113907794399</v>
      </c>
      <c r="AC1941" s="54" t="b">
        <f aca="false">AND(E1941&gt;=01_因子設定!$L$5-0.000000001,E1941&lt;=01_因子設定!$M$5+0.000000001,F1941&gt;=01_因子設定!$L$6-0.000000001,F1941&lt;=01_因子設定!$M$6+0.000000001,G1941&gt;=01_因子設定!$L$7-0.000000001,G1941&lt;=01_因子設定!$M$7+0.000000001,H1941&gt;=01_因子設定!$L$8-0.000000001,H1941&lt;=01_因子設定!$M$8+0.000000001,IF(01_因子設定!$B$20="Box-Behnken",E1941^2+F1941^2+G1941^2+H1941^2&lt;=2+0.000000001,TRUE()))</f>
        <v>1</v>
      </c>
      <c r="AD1941" s="55" t="n">
        <f aca="false">IF(AC1941,IF(01_因子設定!$B$13="最大化",AA1941-01_因子設定!$B$14,IF(01_因子設定!$B$13="最小化",01_因子設定!$B$15-AB1941,MIN(AA1941-01_因子設定!$B$14,01_因子設定!$B$15-AB1941))),-1E+030)</f>
        <v>-1.53762433207154</v>
      </c>
      <c r="AE1941" s="55" t="n">
        <f aca="false">IF(AC1941,IF(01_因子設定!$B$13="最大化",X1941,IF(01_因子設定!$B$13="最小化",-X1941,-ABS(X1941-01_因子設定!$B$16))),-1E+030)</f>
        <v>46.5368832236842</v>
      </c>
      <c r="AF1941" s="55" t="n">
        <f aca="false">AD1941+ROW()*0.000000001</f>
        <v>-1.53762239107154</v>
      </c>
      <c r="AG1941" s="55" t="n">
        <f aca="false">AE1941+ROW()*0.000000001</f>
        <v>46.5368851646842</v>
      </c>
    </row>
    <row r="1942" customFormat="false" ht="15" hidden="false" customHeight="false" outlineLevel="0" collapsed="false">
      <c r="A1942" s="0" t="n">
        <v>2</v>
      </c>
      <c r="B1942" s="0" t="n">
        <v>5</v>
      </c>
      <c r="C1942" s="0" t="n">
        <v>8</v>
      </c>
      <c r="D1942" s="0" t="n">
        <v>2</v>
      </c>
      <c r="E1942" s="0" t="n">
        <f aca="false">-1+A1942*0.25</f>
        <v>-0.5</v>
      </c>
      <c r="F1942" s="0" t="n">
        <f aca="false">-1+B1942*0.25</f>
        <v>0.25</v>
      </c>
      <c r="G1942" s="0" t="n">
        <f aca="false">-1+C1942*0.25</f>
        <v>1</v>
      </c>
      <c r="H1942" s="0" t="n">
        <f aca="false">-1+D1942*0.25</f>
        <v>-0.5</v>
      </c>
      <c r="I1942" s="0" t="n">
        <f aca="false">1</f>
        <v>1</v>
      </c>
      <c r="J1942" s="0" t="n">
        <f aca="false">E1942</f>
        <v>-0.5</v>
      </c>
      <c r="K1942" s="0" t="n">
        <f aca="false">F1942</f>
        <v>0.25</v>
      </c>
      <c r="L1942" s="0" t="n">
        <f aca="false">G1942</f>
        <v>1</v>
      </c>
      <c r="M1942" s="0" t="n">
        <f aca="false">H1942</f>
        <v>-0.5</v>
      </c>
      <c r="N1942" s="0" t="n">
        <f aca="false">E1942*F1942</f>
        <v>-0.125</v>
      </c>
      <c r="O1942" s="0" t="n">
        <f aca="false">E1942*G1942</f>
        <v>-0.5</v>
      </c>
      <c r="P1942" s="0" t="n">
        <f aca="false">E1942*H1942</f>
        <v>0.25</v>
      </c>
      <c r="Q1942" s="0" t="n">
        <f aca="false">F1942*G1942</f>
        <v>0.25</v>
      </c>
      <c r="R1942" s="0" t="n">
        <f aca="false">F1942*H1942</f>
        <v>-0.125</v>
      </c>
      <c r="S1942" s="0" t="n">
        <f aca="false">G1942*H1942</f>
        <v>-0.5</v>
      </c>
      <c r="T1942" s="0" t="n">
        <f aca="false">E1942*E1942</f>
        <v>0.25</v>
      </c>
      <c r="U1942" s="0" t="n">
        <f aca="false">F1942*F1942</f>
        <v>0.0625</v>
      </c>
      <c r="V1942" s="0" t="n">
        <f aca="false">G1942*G1942</f>
        <v>1</v>
      </c>
      <c r="W1942" s="0" t="n">
        <f aca="false">H1942*H1942</f>
        <v>0.25</v>
      </c>
      <c r="X1942" s="0" t="n">
        <f aca="false">SUMPRODUCT(I1942:W1942,_XtX!$B$96:$P$96)</f>
        <v>46.8007584064327</v>
      </c>
      <c r="Y1942" s="0" t="n">
        <f aca="false">SUMPRODUCT(MMULT(I1942:W1942,_XtX!$B$78:$P$92),I1942:W1942)</f>
        <v>0.428122715643275</v>
      </c>
      <c r="Z1942" s="0" t="n">
        <f aca="false">04_回帰ANOVA!$K$19*04_回帰ANOVA!$K$14*SQRT(1+Y1942)</f>
        <v>1.55769044623229</v>
      </c>
      <c r="AA1942" s="0" t="n">
        <f aca="false">X1942-Z1942</f>
        <v>45.2430679602004</v>
      </c>
      <c r="AB1942" s="0" t="n">
        <f aca="false">X1942+Z1942</f>
        <v>48.358448852665</v>
      </c>
      <c r="AC1942" s="54" t="b">
        <f aca="false">AND(E1942&gt;=01_因子設定!$L$5-0.000000001,E1942&lt;=01_因子設定!$M$5+0.000000001,F1942&gt;=01_因子設定!$L$6-0.000000001,F1942&lt;=01_因子設定!$M$6+0.000000001,G1942&gt;=01_因子設定!$L$7-0.000000001,G1942&lt;=01_因子設定!$M$7+0.000000001,H1942&gt;=01_因子設定!$L$8-0.000000001,H1942&lt;=01_因子設定!$M$8+0.000000001,IF(01_因子設定!$B$20="Box-Behnken",E1942^2+F1942^2+G1942^2+H1942^2&lt;=2+0.000000001,TRUE()))</f>
        <v>1</v>
      </c>
      <c r="AD1942" s="55" t="n">
        <f aca="false">IF(AC1942,IF(01_因子設定!$B$13="最大化",AA1942-01_因子設定!$B$14,IF(01_因子設定!$B$13="最小化",01_因子設定!$B$15-AB1942,MIN(AA1942-01_因子設定!$B$14,01_因子設定!$B$15-AB1942))),-1E+030)</f>
        <v>-1.25693203979957</v>
      </c>
      <c r="AE1942" s="55" t="n">
        <f aca="false">IF(AC1942,IF(01_因子設定!$B$13="最大化",X1942,IF(01_因子設定!$B$13="最小化",-X1942,-ABS(X1942-01_因子設定!$B$16))),-1E+030)</f>
        <v>46.8007584064327</v>
      </c>
      <c r="AF1942" s="55" t="n">
        <f aca="false">AD1942+ROW()*0.000000001</f>
        <v>-1.25693009779957</v>
      </c>
      <c r="AG1942" s="55" t="n">
        <f aca="false">AE1942+ROW()*0.000000001</f>
        <v>46.8007603484327</v>
      </c>
    </row>
    <row r="1943" customFormat="false" ht="15" hidden="false" customHeight="false" outlineLevel="0" collapsed="false">
      <c r="A1943" s="0" t="n">
        <v>2</v>
      </c>
      <c r="B1943" s="0" t="n">
        <v>5</v>
      </c>
      <c r="C1943" s="0" t="n">
        <v>8</v>
      </c>
      <c r="D1943" s="0" t="n">
        <v>3</v>
      </c>
      <c r="E1943" s="0" t="n">
        <f aca="false">-1+A1943*0.25</f>
        <v>-0.5</v>
      </c>
      <c r="F1943" s="0" t="n">
        <f aca="false">-1+B1943*0.25</f>
        <v>0.25</v>
      </c>
      <c r="G1943" s="0" t="n">
        <f aca="false">-1+C1943*0.25</f>
        <v>1</v>
      </c>
      <c r="H1943" s="0" t="n">
        <f aca="false">-1+D1943*0.25</f>
        <v>-0.25</v>
      </c>
      <c r="I1943" s="0" t="n">
        <f aca="false">1</f>
        <v>1</v>
      </c>
      <c r="J1943" s="0" t="n">
        <f aca="false">E1943</f>
        <v>-0.5</v>
      </c>
      <c r="K1943" s="0" t="n">
        <f aca="false">F1943</f>
        <v>0.25</v>
      </c>
      <c r="L1943" s="0" t="n">
        <f aca="false">G1943</f>
        <v>1</v>
      </c>
      <c r="M1943" s="0" t="n">
        <f aca="false">H1943</f>
        <v>-0.25</v>
      </c>
      <c r="N1943" s="0" t="n">
        <f aca="false">E1943*F1943</f>
        <v>-0.125</v>
      </c>
      <c r="O1943" s="0" t="n">
        <f aca="false">E1943*G1943</f>
        <v>-0.5</v>
      </c>
      <c r="P1943" s="0" t="n">
        <f aca="false">E1943*H1943</f>
        <v>0.125</v>
      </c>
      <c r="Q1943" s="0" t="n">
        <f aca="false">F1943*G1943</f>
        <v>0.25</v>
      </c>
      <c r="R1943" s="0" t="n">
        <f aca="false">F1943*H1943</f>
        <v>-0.0625</v>
      </c>
      <c r="S1943" s="0" t="n">
        <f aca="false">G1943*H1943</f>
        <v>-0.25</v>
      </c>
      <c r="T1943" s="0" t="n">
        <f aca="false">E1943*E1943</f>
        <v>0.25</v>
      </c>
      <c r="U1943" s="0" t="n">
        <f aca="false">F1943*F1943</f>
        <v>0.0625</v>
      </c>
      <c r="V1943" s="0" t="n">
        <f aca="false">G1943*G1943</f>
        <v>1</v>
      </c>
      <c r="W1943" s="0" t="n">
        <f aca="false">H1943*H1943</f>
        <v>0.0625</v>
      </c>
      <c r="X1943" s="0" t="n">
        <f aca="false">SUMPRODUCT(I1943:W1943,_XtX!$B$96:$P$96)</f>
        <v>47.0168265716374</v>
      </c>
      <c r="Y1943" s="0" t="n">
        <f aca="false">SUMPRODUCT(MMULT(I1943:W1943,_XtX!$B$78:$P$92),I1943:W1943)</f>
        <v>0.445705123812135</v>
      </c>
      <c r="Z1943" s="0" t="n">
        <f aca="false">04_回帰ANOVA!$K$19*04_回帰ANOVA!$K$14*SQRT(1+Y1943)</f>
        <v>1.56724990734749</v>
      </c>
      <c r="AA1943" s="0" t="n">
        <f aca="false">X1943-Z1943</f>
        <v>45.4495766642899</v>
      </c>
      <c r="AB1943" s="0" t="n">
        <f aca="false">X1943+Z1943</f>
        <v>48.5840764789849</v>
      </c>
      <c r="AC1943" s="54" t="b">
        <f aca="false">AND(E1943&gt;=01_因子設定!$L$5-0.000000001,E1943&lt;=01_因子設定!$M$5+0.000000001,F1943&gt;=01_因子設定!$L$6-0.000000001,F1943&lt;=01_因子設定!$M$6+0.000000001,G1943&gt;=01_因子設定!$L$7-0.000000001,G1943&lt;=01_因子設定!$M$7+0.000000001,H1943&gt;=01_因子設定!$L$8-0.000000001,H1943&lt;=01_因子設定!$M$8+0.000000001,IF(01_因子設定!$B$20="Box-Behnken",E1943^2+F1943^2+G1943^2+H1943^2&lt;=2+0.000000001,TRUE()))</f>
        <v>1</v>
      </c>
      <c r="AD1943" s="55" t="n">
        <f aca="false">IF(AC1943,IF(01_因子設定!$B$13="最大化",AA1943-01_因子設定!$B$14,IF(01_因子設定!$B$13="最小化",01_因子設定!$B$15-AB1943,MIN(AA1943-01_因子設定!$B$14,01_因子設定!$B$15-AB1943))),-1E+030)</f>
        <v>-1.0504233357101</v>
      </c>
      <c r="AE1943" s="55" t="n">
        <f aca="false">IF(AC1943,IF(01_因子設定!$B$13="最大化",X1943,IF(01_因子設定!$B$13="最小化",-X1943,-ABS(X1943-01_因子設定!$B$16))),-1E+030)</f>
        <v>47.0168265716374</v>
      </c>
      <c r="AF1943" s="55" t="n">
        <f aca="false">AD1943+ROW()*0.000000001</f>
        <v>-1.0504213927101</v>
      </c>
      <c r="AG1943" s="55" t="n">
        <f aca="false">AE1943+ROW()*0.000000001</f>
        <v>47.0168285146374</v>
      </c>
    </row>
    <row r="1944" customFormat="false" ht="15" hidden="false" customHeight="false" outlineLevel="0" collapsed="false">
      <c r="A1944" s="0" t="n">
        <v>2</v>
      </c>
      <c r="B1944" s="0" t="n">
        <v>5</v>
      </c>
      <c r="C1944" s="0" t="n">
        <v>8</v>
      </c>
      <c r="D1944" s="0" t="n">
        <v>4</v>
      </c>
      <c r="E1944" s="0" t="n">
        <f aca="false">-1+A1944*0.25</f>
        <v>-0.5</v>
      </c>
      <c r="F1944" s="0" t="n">
        <f aca="false">-1+B1944*0.25</f>
        <v>0.25</v>
      </c>
      <c r="G1944" s="0" t="n">
        <f aca="false">-1+C1944*0.25</f>
        <v>1</v>
      </c>
      <c r="H1944" s="0" t="n">
        <f aca="false">-1+D1944*0.25</f>
        <v>0</v>
      </c>
      <c r="I1944" s="0" t="n">
        <f aca="false">1</f>
        <v>1</v>
      </c>
      <c r="J1944" s="0" t="n">
        <f aca="false">E1944</f>
        <v>-0.5</v>
      </c>
      <c r="K1944" s="0" t="n">
        <f aca="false">F1944</f>
        <v>0.25</v>
      </c>
      <c r="L1944" s="0" t="n">
        <f aca="false">G1944</f>
        <v>1</v>
      </c>
      <c r="M1944" s="0" t="n">
        <f aca="false">H1944</f>
        <v>0</v>
      </c>
      <c r="N1944" s="0" t="n">
        <f aca="false">E1944*F1944</f>
        <v>-0.125</v>
      </c>
      <c r="O1944" s="0" t="n">
        <f aca="false">E1944*G1944</f>
        <v>-0.5</v>
      </c>
      <c r="P1944" s="0" t="n">
        <f aca="false">E1944*H1944</f>
        <v>-0</v>
      </c>
      <c r="Q1944" s="0" t="n">
        <f aca="false">F1944*G1944</f>
        <v>0.25</v>
      </c>
      <c r="R1944" s="0" t="n">
        <f aca="false">F1944*H1944</f>
        <v>0</v>
      </c>
      <c r="S1944" s="0" t="n">
        <f aca="false">G1944*H1944</f>
        <v>0</v>
      </c>
      <c r="T1944" s="0" t="n">
        <f aca="false">E1944*E1944</f>
        <v>0.25</v>
      </c>
      <c r="U1944" s="0" t="n">
        <f aca="false">F1944*F1944</f>
        <v>0.0625</v>
      </c>
      <c r="V1944" s="0" t="n">
        <f aca="false">G1944*G1944</f>
        <v>1</v>
      </c>
      <c r="W1944" s="0" t="n">
        <f aca="false">H1944*H1944</f>
        <v>0</v>
      </c>
      <c r="X1944" s="0" t="n">
        <f aca="false">SUMPRODUCT(I1944:W1944,_XtX!$B$96:$P$96)</f>
        <v>47.1850877192982</v>
      </c>
      <c r="Y1944" s="0" t="n">
        <f aca="false">SUMPRODUCT(MMULT(I1944:W1944,_XtX!$B$78:$P$92),I1944:W1944)</f>
        <v>0.457596628289474</v>
      </c>
      <c r="Z1944" s="0" t="n">
        <f aca="false">04_回帰ANOVA!$K$19*04_回帰ANOVA!$K$14*SQRT(1+Y1944)</f>
        <v>1.57368233664366</v>
      </c>
      <c r="AA1944" s="0" t="n">
        <f aca="false">X1944-Z1944</f>
        <v>45.6114053826546</v>
      </c>
      <c r="AB1944" s="0" t="n">
        <f aca="false">X1944+Z1944</f>
        <v>48.7587700559419</v>
      </c>
      <c r="AC1944" s="54" t="b">
        <f aca="false">AND(E1944&gt;=01_因子設定!$L$5-0.000000001,E1944&lt;=01_因子設定!$M$5+0.000000001,F1944&gt;=01_因子設定!$L$6-0.000000001,F1944&lt;=01_因子設定!$M$6+0.000000001,G1944&gt;=01_因子設定!$L$7-0.000000001,G1944&lt;=01_因子設定!$M$7+0.000000001,H1944&gt;=01_因子設定!$L$8-0.000000001,H1944&lt;=01_因子設定!$M$8+0.000000001,IF(01_因子設定!$B$20="Box-Behnken",E1944^2+F1944^2+G1944^2+H1944^2&lt;=2+0.000000001,TRUE()))</f>
        <v>1</v>
      </c>
      <c r="AD1944" s="55" t="n">
        <f aca="false">IF(AC1944,IF(01_因子設定!$B$13="最大化",AA1944-01_因子設定!$B$14,IF(01_因子設定!$B$13="最小化",01_因子設定!$B$15-AB1944,MIN(AA1944-01_因子設定!$B$14,01_因子設定!$B$15-AB1944))),-1E+030)</f>
        <v>-0.888594617345447</v>
      </c>
      <c r="AE1944" s="55" t="n">
        <f aca="false">IF(AC1944,IF(01_因子設定!$B$13="最大化",X1944,IF(01_因子設定!$B$13="最小化",-X1944,-ABS(X1944-01_因子設定!$B$16))),-1E+030)</f>
        <v>47.1850877192982</v>
      </c>
      <c r="AF1944" s="55" t="n">
        <f aca="false">AD1944+ROW()*0.000000001</f>
        <v>-0.888592673345447</v>
      </c>
      <c r="AG1944" s="55" t="n">
        <f aca="false">AE1944+ROW()*0.000000001</f>
        <v>47.1850896632982</v>
      </c>
    </row>
    <row r="1945" customFormat="false" ht="15" hidden="false" customHeight="false" outlineLevel="0" collapsed="false">
      <c r="A1945" s="0" t="n">
        <v>2</v>
      </c>
      <c r="B1945" s="0" t="n">
        <v>5</v>
      </c>
      <c r="C1945" s="0" t="n">
        <v>8</v>
      </c>
      <c r="D1945" s="0" t="n">
        <v>5</v>
      </c>
      <c r="E1945" s="0" t="n">
        <f aca="false">-1+A1945*0.25</f>
        <v>-0.5</v>
      </c>
      <c r="F1945" s="0" t="n">
        <f aca="false">-1+B1945*0.25</f>
        <v>0.25</v>
      </c>
      <c r="G1945" s="0" t="n">
        <f aca="false">-1+C1945*0.25</f>
        <v>1</v>
      </c>
      <c r="H1945" s="0" t="n">
        <f aca="false">-1+D1945*0.25</f>
        <v>0.25</v>
      </c>
      <c r="I1945" s="0" t="n">
        <f aca="false">1</f>
        <v>1</v>
      </c>
      <c r="J1945" s="0" t="n">
        <f aca="false">E1945</f>
        <v>-0.5</v>
      </c>
      <c r="K1945" s="0" t="n">
        <f aca="false">F1945</f>
        <v>0.25</v>
      </c>
      <c r="L1945" s="0" t="n">
        <f aca="false">G1945</f>
        <v>1</v>
      </c>
      <c r="M1945" s="0" t="n">
        <f aca="false">H1945</f>
        <v>0.25</v>
      </c>
      <c r="N1945" s="0" t="n">
        <f aca="false">E1945*F1945</f>
        <v>-0.125</v>
      </c>
      <c r="O1945" s="0" t="n">
        <f aca="false">E1945*G1945</f>
        <v>-0.5</v>
      </c>
      <c r="P1945" s="0" t="n">
        <f aca="false">E1945*H1945</f>
        <v>-0.125</v>
      </c>
      <c r="Q1945" s="0" t="n">
        <f aca="false">F1945*G1945</f>
        <v>0.25</v>
      </c>
      <c r="R1945" s="0" t="n">
        <f aca="false">F1945*H1945</f>
        <v>0.0625</v>
      </c>
      <c r="S1945" s="0" t="n">
        <f aca="false">G1945*H1945</f>
        <v>0.25</v>
      </c>
      <c r="T1945" s="0" t="n">
        <f aca="false">E1945*E1945</f>
        <v>0.25</v>
      </c>
      <c r="U1945" s="0" t="n">
        <f aca="false">F1945*F1945</f>
        <v>0.0625</v>
      </c>
      <c r="V1945" s="0" t="n">
        <f aca="false">G1945*G1945</f>
        <v>1</v>
      </c>
      <c r="W1945" s="0" t="n">
        <f aca="false">H1945*H1945</f>
        <v>0.0625</v>
      </c>
      <c r="X1945" s="0" t="n">
        <f aca="false">SUMPRODUCT(I1945:W1945,_XtX!$B$96:$P$96)</f>
        <v>47.3055418494152</v>
      </c>
      <c r="Y1945" s="0" t="n">
        <f aca="false">SUMPRODUCT(MMULT(I1945:W1945,_XtX!$B$78:$P$92),I1945:W1945)</f>
        <v>0.445705123812135</v>
      </c>
      <c r="Z1945" s="0" t="n">
        <f aca="false">04_回帰ANOVA!$K$19*04_回帰ANOVA!$K$14*SQRT(1+Y1945)</f>
        <v>1.56724990734749</v>
      </c>
      <c r="AA1945" s="0" t="n">
        <f aca="false">X1945-Z1945</f>
        <v>45.7382919420677</v>
      </c>
      <c r="AB1945" s="0" t="n">
        <f aca="false">X1945+Z1945</f>
        <v>48.8727917567627</v>
      </c>
      <c r="AC1945" s="54" t="b">
        <f aca="false">AND(E1945&gt;=01_因子設定!$L$5-0.000000001,E1945&lt;=01_因子設定!$M$5+0.000000001,F1945&gt;=01_因子設定!$L$6-0.000000001,F1945&lt;=01_因子設定!$M$6+0.000000001,G1945&gt;=01_因子設定!$L$7-0.000000001,G1945&lt;=01_因子設定!$M$7+0.000000001,H1945&gt;=01_因子設定!$L$8-0.000000001,H1945&lt;=01_因子設定!$M$8+0.000000001,IF(01_因子設定!$B$20="Box-Behnken",E1945^2+F1945^2+G1945^2+H1945^2&lt;=2+0.000000001,TRUE()))</f>
        <v>1</v>
      </c>
      <c r="AD1945" s="55" t="n">
        <f aca="false">IF(AC1945,IF(01_因子設定!$B$13="最大化",AA1945-01_因子設定!$B$14,IF(01_因子設定!$B$13="最小化",01_因子設定!$B$15-AB1945,MIN(AA1945-01_因子設定!$B$14,01_因子設定!$B$15-AB1945))),-1E+030)</f>
        <v>-0.761708057932317</v>
      </c>
      <c r="AE1945" s="55" t="n">
        <f aca="false">IF(AC1945,IF(01_因子設定!$B$13="最大化",X1945,IF(01_因子設定!$B$13="最小化",-X1945,-ABS(X1945-01_因子設定!$B$16))),-1E+030)</f>
        <v>47.3055418494152</v>
      </c>
      <c r="AF1945" s="55" t="n">
        <f aca="false">AD1945+ROW()*0.000000001</f>
        <v>-0.761706112932317</v>
      </c>
      <c r="AG1945" s="55" t="n">
        <f aca="false">AE1945+ROW()*0.000000001</f>
        <v>47.3055437944152</v>
      </c>
    </row>
    <row r="1946" customFormat="false" ht="15" hidden="false" customHeight="false" outlineLevel="0" collapsed="false">
      <c r="A1946" s="0" t="n">
        <v>2</v>
      </c>
      <c r="B1946" s="0" t="n">
        <v>5</v>
      </c>
      <c r="C1946" s="0" t="n">
        <v>8</v>
      </c>
      <c r="D1946" s="0" t="n">
        <v>6</v>
      </c>
      <c r="E1946" s="0" t="n">
        <f aca="false">-1+A1946*0.25</f>
        <v>-0.5</v>
      </c>
      <c r="F1946" s="0" t="n">
        <f aca="false">-1+B1946*0.25</f>
        <v>0.25</v>
      </c>
      <c r="G1946" s="0" t="n">
        <f aca="false">-1+C1946*0.25</f>
        <v>1</v>
      </c>
      <c r="H1946" s="0" t="n">
        <f aca="false">-1+D1946*0.25</f>
        <v>0.5</v>
      </c>
      <c r="I1946" s="0" t="n">
        <f aca="false">1</f>
        <v>1</v>
      </c>
      <c r="J1946" s="0" t="n">
        <f aca="false">E1946</f>
        <v>-0.5</v>
      </c>
      <c r="K1946" s="0" t="n">
        <f aca="false">F1946</f>
        <v>0.25</v>
      </c>
      <c r="L1946" s="0" t="n">
        <f aca="false">G1946</f>
        <v>1</v>
      </c>
      <c r="M1946" s="0" t="n">
        <f aca="false">H1946</f>
        <v>0.5</v>
      </c>
      <c r="N1946" s="0" t="n">
        <f aca="false">E1946*F1946</f>
        <v>-0.125</v>
      </c>
      <c r="O1946" s="0" t="n">
        <f aca="false">E1946*G1946</f>
        <v>-0.5</v>
      </c>
      <c r="P1946" s="0" t="n">
        <f aca="false">E1946*H1946</f>
        <v>-0.25</v>
      </c>
      <c r="Q1946" s="0" t="n">
        <f aca="false">F1946*G1946</f>
        <v>0.25</v>
      </c>
      <c r="R1946" s="0" t="n">
        <f aca="false">F1946*H1946</f>
        <v>0.125</v>
      </c>
      <c r="S1946" s="0" t="n">
        <f aca="false">G1946*H1946</f>
        <v>0.5</v>
      </c>
      <c r="T1946" s="0" t="n">
        <f aca="false">E1946*E1946</f>
        <v>0.25</v>
      </c>
      <c r="U1946" s="0" t="n">
        <f aca="false">F1946*F1946</f>
        <v>0.0625</v>
      </c>
      <c r="V1946" s="0" t="n">
        <f aca="false">G1946*G1946</f>
        <v>1</v>
      </c>
      <c r="W1946" s="0" t="n">
        <f aca="false">H1946*H1946</f>
        <v>0.25</v>
      </c>
      <c r="X1946" s="0" t="n">
        <f aca="false">SUMPRODUCT(I1946:W1946,_XtX!$B$96:$P$96)</f>
        <v>47.3781889619883</v>
      </c>
      <c r="Y1946" s="0" t="n">
        <f aca="false">SUMPRODUCT(MMULT(I1946:W1946,_XtX!$B$78:$P$92),I1946:W1946)</f>
        <v>0.428122715643275</v>
      </c>
      <c r="Z1946" s="0" t="n">
        <f aca="false">04_回帰ANOVA!$K$19*04_回帰ANOVA!$K$14*SQRT(1+Y1946)</f>
        <v>1.55769044623229</v>
      </c>
      <c r="AA1946" s="0" t="n">
        <f aca="false">X1946-Z1946</f>
        <v>45.820498515756</v>
      </c>
      <c r="AB1946" s="0" t="n">
        <f aca="false">X1946+Z1946</f>
        <v>48.9358794082206</v>
      </c>
      <c r="AC1946" s="54" t="b">
        <f aca="false">AND(E1946&gt;=01_因子設定!$L$5-0.000000001,E1946&lt;=01_因子設定!$M$5+0.000000001,F1946&gt;=01_因子設定!$L$6-0.000000001,F1946&lt;=01_因子設定!$M$6+0.000000001,G1946&gt;=01_因子設定!$L$7-0.000000001,G1946&lt;=01_因子設定!$M$7+0.000000001,H1946&gt;=01_因子設定!$L$8-0.000000001,H1946&lt;=01_因子設定!$M$8+0.000000001,IF(01_因子設定!$B$20="Box-Behnken",E1946^2+F1946^2+G1946^2+H1946^2&lt;=2+0.000000001,TRUE()))</f>
        <v>1</v>
      </c>
      <c r="AD1946" s="55" t="n">
        <f aca="false">IF(AC1946,IF(01_因子設定!$B$13="最大化",AA1946-01_因子設定!$B$14,IF(01_因子設定!$B$13="最小化",01_因子設定!$B$15-AB1946,MIN(AA1946-01_因子設定!$B$14,01_因子設定!$B$15-AB1946))),-1E+030)</f>
        <v>-0.679501484244021</v>
      </c>
      <c r="AE1946" s="55" t="n">
        <f aca="false">IF(AC1946,IF(01_因子設定!$B$13="最大化",X1946,IF(01_因子設定!$B$13="最小化",-X1946,-ABS(X1946-01_因子設定!$B$16))),-1E+030)</f>
        <v>47.3781889619883</v>
      </c>
      <c r="AF1946" s="55" t="n">
        <f aca="false">AD1946+ROW()*0.000000001</f>
        <v>-0.679499538244021</v>
      </c>
      <c r="AG1946" s="55" t="n">
        <f aca="false">AE1946+ROW()*0.000000001</f>
        <v>47.3781909079883</v>
      </c>
    </row>
    <row r="1947" customFormat="false" ht="15" hidden="false" customHeight="false" outlineLevel="0" collapsed="false">
      <c r="A1947" s="0" t="n">
        <v>2</v>
      </c>
      <c r="B1947" s="0" t="n">
        <v>5</v>
      </c>
      <c r="C1947" s="0" t="n">
        <v>8</v>
      </c>
      <c r="D1947" s="0" t="n">
        <v>7</v>
      </c>
      <c r="E1947" s="0" t="n">
        <f aca="false">-1+A1947*0.25</f>
        <v>-0.5</v>
      </c>
      <c r="F1947" s="0" t="n">
        <f aca="false">-1+B1947*0.25</f>
        <v>0.25</v>
      </c>
      <c r="G1947" s="0" t="n">
        <f aca="false">-1+C1947*0.25</f>
        <v>1</v>
      </c>
      <c r="H1947" s="0" t="n">
        <f aca="false">-1+D1947*0.25</f>
        <v>0.75</v>
      </c>
      <c r="I1947" s="0" t="n">
        <f aca="false">1</f>
        <v>1</v>
      </c>
      <c r="J1947" s="0" t="n">
        <f aca="false">E1947</f>
        <v>-0.5</v>
      </c>
      <c r="K1947" s="0" t="n">
        <f aca="false">F1947</f>
        <v>0.25</v>
      </c>
      <c r="L1947" s="0" t="n">
        <f aca="false">G1947</f>
        <v>1</v>
      </c>
      <c r="M1947" s="0" t="n">
        <f aca="false">H1947</f>
        <v>0.75</v>
      </c>
      <c r="N1947" s="0" t="n">
        <f aca="false">E1947*F1947</f>
        <v>-0.125</v>
      </c>
      <c r="O1947" s="0" t="n">
        <f aca="false">E1947*G1947</f>
        <v>-0.5</v>
      </c>
      <c r="P1947" s="0" t="n">
        <f aca="false">E1947*H1947</f>
        <v>-0.375</v>
      </c>
      <c r="Q1947" s="0" t="n">
        <f aca="false">F1947*G1947</f>
        <v>0.25</v>
      </c>
      <c r="R1947" s="0" t="n">
        <f aca="false">F1947*H1947</f>
        <v>0.1875</v>
      </c>
      <c r="S1947" s="0" t="n">
        <f aca="false">G1947*H1947</f>
        <v>0.75</v>
      </c>
      <c r="T1947" s="0" t="n">
        <f aca="false">E1947*E1947</f>
        <v>0.25</v>
      </c>
      <c r="U1947" s="0" t="n">
        <f aca="false">F1947*F1947</f>
        <v>0.0625</v>
      </c>
      <c r="V1947" s="0" t="n">
        <f aca="false">G1947*G1947</f>
        <v>1</v>
      </c>
      <c r="W1947" s="0" t="n">
        <f aca="false">H1947*H1947</f>
        <v>0.5625</v>
      </c>
      <c r="X1947" s="0" t="n">
        <f aca="false">SUMPRODUCT(I1947:W1947,_XtX!$B$96:$P$96)</f>
        <v>47.4030290570175</v>
      </c>
      <c r="Y1947" s="0" t="n">
        <f aca="false">SUMPRODUCT(MMULT(I1947:W1947,_XtX!$B$78:$P$92),I1947:W1947)</f>
        <v>0.459125719572369</v>
      </c>
      <c r="Z1947" s="0" t="n">
        <f aca="false">04_回帰ANOVA!$K$19*04_回帰ANOVA!$K$14*SQRT(1+Y1947)</f>
        <v>1.57450755575573</v>
      </c>
      <c r="AA1947" s="0" t="n">
        <f aca="false">X1947-Z1947</f>
        <v>45.8285215012618</v>
      </c>
      <c r="AB1947" s="0" t="n">
        <f aca="false">X1947+Z1947</f>
        <v>48.9775366127733</v>
      </c>
      <c r="AC1947" s="54" t="b">
        <f aca="false">AND(E1947&gt;=01_因子設定!$L$5-0.000000001,E1947&lt;=01_因子設定!$M$5+0.000000001,F1947&gt;=01_因子設定!$L$6-0.000000001,F1947&lt;=01_因子設定!$M$6+0.000000001,G1947&gt;=01_因子設定!$L$7-0.000000001,G1947&lt;=01_因子設定!$M$7+0.000000001,H1947&gt;=01_因子設定!$L$8-0.000000001,H1947&lt;=01_因子設定!$M$8+0.000000001,IF(01_因子設定!$B$20="Box-Behnken",E1947^2+F1947^2+G1947^2+H1947^2&lt;=2+0.000000001,TRUE()))</f>
        <v>1</v>
      </c>
      <c r="AD1947" s="55" t="n">
        <f aca="false">IF(AC1947,IF(01_因子設定!$B$13="最大化",AA1947-01_因子設定!$B$14,IF(01_因子設定!$B$13="最小化",01_因子設定!$B$15-AB1947,MIN(AA1947-01_因子設定!$B$14,01_因子設定!$B$15-AB1947))),-1E+030)</f>
        <v>-0.671478498738203</v>
      </c>
      <c r="AE1947" s="55" t="n">
        <f aca="false">IF(AC1947,IF(01_因子設定!$B$13="最大化",X1947,IF(01_因子設定!$B$13="最小化",-X1947,-ABS(X1947-01_因子設定!$B$16))),-1E+030)</f>
        <v>47.4030290570175</v>
      </c>
      <c r="AF1947" s="55" t="n">
        <f aca="false">AD1947+ROW()*0.000000001</f>
        <v>-0.671476551738203</v>
      </c>
      <c r="AG1947" s="55" t="n">
        <f aca="false">AE1947+ROW()*0.000000001</f>
        <v>47.4030310040175</v>
      </c>
    </row>
    <row r="1948" customFormat="false" ht="15" hidden="false" customHeight="false" outlineLevel="0" collapsed="false">
      <c r="A1948" s="0" t="n">
        <v>2</v>
      </c>
      <c r="B1948" s="0" t="n">
        <v>5</v>
      </c>
      <c r="C1948" s="0" t="n">
        <v>8</v>
      </c>
      <c r="D1948" s="0" t="n">
        <v>8</v>
      </c>
      <c r="E1948" s="0" t="n">
        <f aca="false">-1+A1948*0.25</f>
        <v>-0.5</v>
      </c>
      <c r="F1948" s="0" t="n">
        <f aca="false">-1+B1948*0.25</f>
        <v>0.25</v>
      </c>
      <c r="G1948" s="0" t="n">
        <f aca="false">-1+C1948*0.25</f>
        <v>1</v>
      </c>
      <c r="H1948" s="0" t="n">
        <f aca="false">-1+D1948*0.25</f>
        <v>1</v>
      </c>
      <c r="I1948" s="0" t="n">
        <f aca="false">1</f>
        <v>1</v>
      </c>
      <c r="J1948" s="0" t="n">
        <f aca="false">E1948</f>
        <v>-0.5</v>
      </c>
      <c r="K1948" s="0" t="n">
        <f aca="false">F1948</f>
        <v>0.25</v>
      </c>
      <c r="L1948" s="0" t="n">
        <f aca="false">G1948</f>
        <v>1</v>
      </c>
      <c r="M1948" s="0" t="n">
        <f aca="false">H1948</f>
        <v>1</v>
      </c>
      <c r="N1948" s="0" t="n">
        <f aca="false">E1948*F1948</f>
        <v>-0.125</v>
      </c>
      <c r="O1948" s="0" t="n">
        <f aca="false">E1948*G1948</f>
        <v>-0.5</v>
      </c>
      <c r="P1948" s="0" t="n">
        <f aca="false">E1948*H1948</f>
        <v>-0.5</v>
      </c>
      <c r="Q1948" s="0" t="n">
        <f aca="false">F1948*G1948</f>
        <v>0.25</v>
      </c>
      <c r="R1948" s="0" t="n">
        <f aca="false">F1948*H1948</f>
        <v>0.25</v>
      </c>
      <c r="S1948" s="0" t="n">
        <f aca="false">G1948*H1948</f>
        <v>1</v>
      </c>
      <c r="T1948" s="0" t="n">
        <f aca="false">E1948*E1948</f>
        <v>0.25</v>
      </c>
      <c r="U1948" s="0" t="n">
        <f aca="false">F1948*F1948</f>
        <v>0.0625</v>
      </c>
      <c r="V1948" s="0" t="n">
        <f aca="false">G1948*G1948</f>
        <v>1</v>
      </c>
      <c r="W1948" s="0" t="n">
        <f aca="false">H1948*H1948</f>
        <v>1</v>
      </c>
      <c r="X1948" s="0" t="n">
        <f aca="false">SUMPRODUCT(I1948:W1948,_XtX!$B$96:$P$96)</f>
        <v>47.3800621345029</v>
      </c>
      <c r="Y1948" s="0" t="n">
        <f aca="false">SUMPRODUCT(MMULT(I1948:W1948,_XtX!$B$78:$P$92),I1948:W1948)</f>
        <v>0.629174661915205</v>
      </c>
      <c r="Z1948" s="0" t="n">
        <f aca="false">04_回帰ANOVA!$K$19*04_回帰ANOVA!$K$14*SQRT(1+Y1948)</f>
        <v>1.66372758058297</v>
      </c>
      <c r="AA1948" s="0" t="n">
        <f aca="false">X1948-Z1948</f>
        <v>45.71633455392</v>
      </c>
      <c r="AB1948" s="0" t="n">
        <f aca="false">X1948+Z1948</f>
        <v>49.0437897150859</v>
      </c>
      <c r="AC1948" s="54" t="b">
        <f aca="false">AND(E1948&gt;=01_因子設定!$L$5-0.000000001,E1948&lt;=01_因子設定!$M$5+0.000000001,F1948&gt;=01_因子設定!$L$6-0.000000001,F1948&lt;=01_因子設定!$M$6+0.000000001,G1948&gt;=01_因子設定!$L$7-0.000000001,G1948&lt;=01_因子設定!$M$7+0.000000001,H1948&gt;=01_因子設定!$L$8-0.000000001,H1948&lt;=01_因子設定!$M$8+0.000000001,IF(01_因子設定!$B$20="Box-Behnken",E1948^2+F1948^2+G1948^2+H1948^2&lt;=2+0.000000001,TRUE()))</f>
        <v>1</v>
      </c>
      <c r="AD1948" s="55" t="n">
        <f aca="false">IF(AC1948,IF(01_因子設定!$B$13="最大化",AA1948-01_因子設定!$B$14,IF(01_因子設定!$B$13="最小化",01_因子設定!$B$15-AB1948,MIN(AA1948-01_因子設定!$B$14,01_因子設定!$B$15-AB1948))),-1E+030)</f>
        <v>-0.78366544608005</v>
      </c>
      <c r="AE1948" s="55" t="n">
        <f aca="false">IF(AC1948,IF(01_因子設定!$B$13="最大化",X1948,IF(01_因子設定!$B$13="最小化",-X1948,-ABS(X1948-01_因子設定!$B$16))),-1E+030)</f>
        <v>47.3800621345029</v>
      </c>
      <c r="AF1948" s="55" t="n">
        <f aca="false">AD1948+ROW()*0.000000001</f>
        <v>-0.78366349808005</v>
      </c>
      <c r="AG1948" s="55" t="n">
        <f aca="false">AE1948+ROW()*0.000000001</f>
        <v>47.3800640825029</v>
      </c>
    </row>
    <row r="1949" customFormat="false" ht="15" hidden="false" customHeight="false" outlineLevel="0" collapsed="false">
      <c r="A1949" s="0" t="n">
        <v>2</v>
      </c>
      <c r="B1949" s="0" t="n">
        <v>6</v>
      </c>
      <c r="C1949" s="0" t="n">
        <v>0</v>
      </c>
      <c r="D1949" s="0" t="n">
        <v>0</v>
      </c>
      <c r="E1949" s="0" t="n">
        <f aca="false">-1+A1949*0.25</f>
        <v>-0.5</v>
      </c>
      <c r="F1949" s="0" t="n">
        <f aca="false">-1+B1949*0.25</f>
        <v>0.5</v>
      </c>
      <c r="G1949" s="0" t="n">
        <f aca="false">-1+C1949*0.25</f>
        <v>-1</v>
      </c>
      <c r="H1949" s="0" t="n">
        <f aca="false">-1+D1949*0.25</f>
        <v>-1</v>
      </c>
      <c r="I1949" s="0" t="n">
        <f aca="false">1</f>
        <v>1</v>
      </c>
      <c r="J1949" s="0" t="n">
        <f aca="false">E1949</f>
        <v>-0.5</v>
      </c>
      <c r="K1949" s="0" t="n">
        <f aca="false">F1949</f>
        <v>0.5</v>
      </c>
      <c r="L1949" s="0" t="n">
        <f aca="false">G1949</f>
        <v>-1</v>
      </c>
      <c r="M1949" s="0" t="n">
        <f aca="false">H1949</f>
        <v>-1</v>
      </c>
      <c r="N1949" s="0" t="n">
        <f aca="false">E1949*F1949</f>
        <v>-0.25</v>
      </c>
      <c r="O1949" s="0" t="n">
        <f aca="false">E1949*G1949</f>
        <v>0.5</v>
      </c>
      <c r="P1949" s="0" t="n">
        <f aca="false">E1949*H1949</f>
        <v>0.5</v>
      </c>
      <c r="Q1949" s="0" t="n">
        <f aca="false">F1949*G1949</f>
        <v>-0.5</v>
      </c>
      <c r="R1949" s="0" t="n">
        <f aca="false">F1949*H1949</f>
        <v>-0.5</v>
      </c>
      <c r="S1949" s="0" t="n">
        <f aca="false">G1949*H1949</f>
        <v>1</v>
      </c>
      <c r="T1949" s="0" t="n">
        <f aca="false">E1949*E1949</f>
        <v>0.25</v>
      </c>
      <c r="U1949" s="0" t="n">
        <f aca="false">F1949*F1949</f>
        <v>0.25</v>
      </c>
      <c r="V1949" s="0" t="n">
        <f aca="false">G1949*G1949</f>
        <v>1</v>
      </c>
      <c r="W1949" s="0" t="n">
        <f aca="false">H1949*H1949</f>
        <v>1</v>
      </c>
      <c r="X1949" s="0" t="n">
        <f aca="false">SUMPRODUCT(I1949:W1949,_XtX!$B$96:$P$96)</f>
        <v>43.9010599415205</v>
      </c>
      <c r="Y1949" s="0" t="n">
        <f aca="false">SUMPRODUCT(MMULT(I1949:W1949,_XtX!$B$78:$P$92),I1949:W1949)</f>
        <v>0.582488121345029</v>
      </c>
      <c r="Z1949" s="0" t="n">
        <f aca="false">04_回帰ANOVA!$K$19*04_回帰ANOVA!$K$14*SQRT(1+Y1949)</f>
        <v>1.63971595338287</v>
      </c>
      <c r="AA1949" s="0" t="n">
        <f aca="false">X1949-Z1949</f>
        <v>42.2613439881376</v>
      </c>
      <c r="AB1949" s="0" t="n">
        <f aca="false">X1949+Z1949</f>
        <v>45.5407758949033</v>
      </c>
      <c r="AC1949" s="54" t="b">
        <f aca="false">AND(E1949&gt;=01_因子設定!$L$5-0.000000001,E1949&lt;=01_因子設定!$M$5+0.000000001,F1949&gt;=01_因子設定!$L$6-0.000000001,F1949&lt;=01_因子設定!$M$6+0.000000001,G1949&gt;=01_因子設定!$L$7-0.000000001,G1949&lt;=01_因子設定!$M$7+0.000000001,H1949&gt;=01_因子設定!$L$8-0.000000001,H1949&lt;=01_因子設定!$M$8+0.000000001,IF(01_因子設定!$B$20="Box-Behnken",E1949^2+F1949^2+G1949^2+H1949^2&lt;=2+0.000000001,TRUE()))</f>
        <v>1</v>
      </c>
      <c r="AD1949" s="55" t="n">
        <f aca="false">IF(AC1949,IF(01_因子設定!$B$13="最大化",AA1949-01_因子設定!$B$14,IF(01_因子設定!$B$13="最小化",01_因子設定!$B$15-AB1949,MIN(AA1949-01_因子設定!$B$14,01_因子設定!$B$15-AB1949))),-1E+030)</f>
        <v>-4.2386560118624</v>
      </c>
      <c r="AE1949" s="55" t="n">
        <f aca="false">IF(AC1949,IF(01_因子設定!$B$13="最大化",X1949,IF(01_因子設定!$B$13="最小化",-X1949,-ABS(X1949-01_因子設定!$B$16))),-1E+030)</f>
        <v>43.9010599415205</v>
      </c>
      <c r="AF1949" s="55" t="n">
        <f aca="false">AD1949+ROW()*0.000000001</f>
        <v>-4.2386540628624</v>
      </c>
      <c r="AG1949" s="55" t="n">
        <f aca="false">AE1949+ROW()*0.000000001</f>
        <v>43.9010618905205</v>
      </c>
    </row>
    <row r="1950" customFormat="false" ht="15" hidden="false" customHeight="false" outlineLevel="0" collapsed="false">
      <c r="A1950" s="0" t="n">
        <v>2</v>
      </c>
      <c r="B1950" s="0" t="n">
        <v>6</v>
      </c>
      <c r="C1950" s="0" t="n">
        <v>0</v>
      </c>
      <c r="D1950" s="0" t="n">
        <v>1</v>
      </c>
      <c r="E1950" s="0" t="n">
        <f aca="false">-1+A1950*0.25</f>
        <v>-0.5</v>
      </c>
      <c r="F1950" s="0" t="n">
        <f aca="false">-1+B1950*0.25</f>
        <v>0.5</v>
      </c>
      <c r="G1950" s="0" t="n">
        <f aca="false">-1+C1950*0.25</f>
        <v>-1</v>
      </c>
      <c r="H1950" s="0" t="n">
        <f aca="false">-1+D1950*0.25</f>
        <v>-0.75</v>
      </c>
      <c r="I1950" s="0" t="n">
        <f aca="false">1</f>
        <v>1</v>
      </c>
      <c r="J1950" s="0" t="n">
        <f aca="false">E1950</f>
        <v>-0.5</v>
      </c>
      <c r="K1950" s="0" t="n">
        <f aca="false">F1950</f>
        <v>0.5</v>
      </c>
      <c r="L1950" s="0" t="n">
        <f aca="false">G1950</f>
        <v>-1</v>
      </c>
      <c r="M1950" s="0" t="n">
        <f aca="false">H1950</f>
        <v>-0.75</v>
      </c>
      <c r="N1950" s="0" t="n">
        <f aca="false">E1950*F1950</f>
        <v>-0.25</v>
      </c>
      <c r="O1950" s="0" t="n">
        <f aca="false">E1950*G1950</f>
        <v>0.5</v>
      </c>
      <c r="P1950" s="0" t="n">
        <f aca="false">E1950*H1950</f>
        <v>0.375</v>
      </c>
      <c r="Q1950" s="0" t="n">
        <f aca="false">F1950*G1950</f>
        <v>-0.5</v>
      </c>
      <c r="R1950" s="0" t="n">
        <f aca="false">F1950*H1950</f>
        <v>-0.375</v>
      </c>
      <c r="S1950" s="0" t="n">
        <f aca="false">G1950*H1950</f>
        <v>0.75</v>
      </c>
      <c r="T1950" s="0" t="n">
        <f aca="false">E1950*E1950</f>
        <v>0.25</v>
      </c>
      <c r="U1950" s="0" t="n">
        <f aca="false">F1950*F1950</f>
        <v>0.25</v>
      </c>
      <c r="V1950" s="0" t="n">
        <f aca="false">G1950*G1950</f>
        <v>1</v>
      </c>
      <c r="W1950" s="0" t="n">
        <f aca="false">H1950*H1950</f>
        <v>0.5625</v>
      </c>
      <c r="X1950" s="0" t="n">
        <f aca="false">SUMPRODUCT(I1950:W1950,_XtX!$B$96:$P$96)</f>
        <v>44.0557108918129</v>
      </c>
      <c r="Y1950" s="0" t="n">
        <f aca="false">SUMPRODUCT(MMULT(I1950:W1950,_XtX!$B$78:$P$92),I1950:W1950)</f>
        <v>0.42602110745614</v>
      </c>
      <c r="Z1950" s="0" t="n">
        <f aca="false">04_回帰ANOVA!$K$19*04_回帰ANOVA!$K$14*SQRT(1+Y1950)</f>
        <v>1.55654388501114</v>
      </c>
      <c r="AA1950" s="0" t="n">
        <f aca="false">X1950-Z1950</f>
        <v>42.4991670068017</v>
      </c>
      <c r="AB1950" s="0" t="n">
        <f aca="false">X1950+Z1950</f>
        <v>45.612254776824</v>
      </c>
      <c r="AC1950" s="54" t="b">
        <f aca="false">AND(E1950&gt;=01_因子設定!$L$5-0.000000001,E1950&lt;=01_因子設定!$M$5+0.000000001,F1950&gt;=01_因子設定!$L$6-0.000000001,F1950&lt;=01_因子設定!$M$6+0.000000001,G1950&gt;=01_因子設定!$L$7-0.000000001,G1950&lt;=01_因子設定!$M$7+0.000000001,H1950&gt;=01_因子設定!$L$8-0.000000001,H1950&lt;=01_因子設定!$M$8+0.000000001,IF(01_因子設定!$B$20="Box-Behnken",E1950^2+F1950^2+G1950^2+H1950^2&lt;=2+0.000000001,TRUE()))</f>
        <v>1</v>
      </c>
      <c r="AD1950" s="55" t="n">
        <f aca="false">IF(AC1950,IF(01_因子設定!$B$13="最大化",AA1950-01_因子設定!$B$14,IF(01_因子設定!$B$13="最小化",01_因子設定!$B$15-AB1950,MIN(AA1950-01_因子設定!$B$14,01_因子設定!$B$15-AB1950))),-1E+030)</f>
        <v>-4.00083299319829</v>
      </c>
      <c r="AE1950" s="55" t="n">
        <f aca="false">IF(AC1950,IF(01_因子設定!$B$13="最大化",X1950,IF(01_因子設定!$B$13="最小化",-X1950,-ABS(X1950-01_因子設定!$B$16))),-1E+030)</f>
        <v>44.0557108918129</v>
      </c>
      <c r="AF1950" s="55" t="n">
        <f aca="false">AD1950+ROW()*0.000000001</f>
        <v>-4.00083104319829</v>
      </c>
      <c r="AG1950" s="55" t="n">
        <f aca="false">AE1950+ROW()*0.000000001</f>
        <v>44.0557128418129</v>
      </c>
    </row>
    <row r="1951" customFormat="false" ht="15" hidden="false" customHeight="false" outlineLevel="0" collapsed="false">
      <c r="A1951" s="0" t="n">
        <v>2</v>
      </c>
      <c r="B1951" s="0" t="n">
        <v>6</v>
      </c>
      <c r="C1951" s="0" t="n">
        <v>0</v>
      </c>
      <c r="D1951" s="0" t="n">
        <v>2</v>
      </c>
      <c r="E1951" s="0" t="n">
        <f aca="false">-1+A1951*0.25</f>
        <v>-0.5</v>
      </c>
      <c r="F1951" s="0" t="n">
        <f aca="false">-1+B1951*0.25</f>
        <v>0.5</v>
      </c>
      <c r="G1951" s="0" t="n">
        <f aca="false">-1+C1951*0.25</f>
        <v>-1</v>
      </c>
      <c r="H1951" s="0" t="n">
        <f aca="false">-1+D1951*0.25</f>
        <v>-0.5</v>
      </c>
      <c r="I1951" s="0" t="n">
        <f aca="false">1</f>
        <v>1</v>
      </c>
      <c r="J1951" s="0" t="n">
        <f aca="false">E1951</f>
        <v>-0.5</v>
      </c>
      <c r="K1951" s="0" t="n">
        <f aca="false">F1951</f>
        <v>0.5</v>
      </c>
      <c r="L1951" s="0" t="n">
        <f aca="false">G1951</f>
        <v>-1</v>
      </c>
      <c r="M1951" s="0" t="n">
        <f aca="false">H1951</f>
        <v>-0.5</v>
      </c>
      <c r="N1951" s="0" t="n">
        <f aca="false">E1951*F1951</f>
        <v>-0.25</v>
      </c>
      <c r="O1951" s="0" t="n">
        <f aca="false">E1951*G1951</f>
        <v>0.5</v>
      </c>
      <c r="P1951" s="0" t="n">
        <f aca="false">E1951*H1951</f>
        <v>0.25</v>
      </c>
      <c r="Q1951" s="0" t="n">
        <f aca="false">F1951*G1951</f>
        <v>-0.5</v>
      </c>
      <c r="R1951" s="0" t="n">
        <f aca="false">F1951*H1951</f>
        <v>-0.25</v>
      </c>
      <c r="S1951" s="0" t="n">
        <f aca="false">G1951*H1951</f>
        <v>0.5</v>
      </c>
      <c r="T1951" s="0" t="n">
        <f aca="false">E1951*E1951</f>
        <v>0.25</v>
      </c>
      <c r="U1951" s="0" t="n">
        <f aca="false">F1951*F1951</f>
        <v>0.25</v>
      </c>
      <c r="V1951" s="0" t="n">
        <f aca="false">G1951*G1951</f>
        <v>1</v>
      </c>
      <c r="W1951" s="0" t="n">
        <f aca="false">H1951*H1951</f>
        <v>0.25</v>
      </c>
      <c r="X1951" s="0" t="n">
        <f aca="false">SUMPRODUCT(I1951:W1951,_XtX!$B$96:$P$96)</f>
        <v>44.1625548245614</v>
      </c>
      <c r="Y1951" s="0" t="n">
        <f aca="false">SUMPRODUCT(MMULT(I1951:W1951,_XtX!$B$78:$P$92),I1951:W1951)</f>
        <v>0.404719480994152</v>
      </c>
      <c r="Z1951" s="0" t="n">
        <f aca="false">04_回帰ANOVA!$K$19*04_回帰ANOVA!$K$14*SQRT(1+Y1951)</f>
        <v>1.54487446697867</v>
      </c>
      <c r="AA1951" s="0" t="n">
        <f aca="false">X1951-Z1951</f>
        <v>42.6176803575827</v>
      </c>
      <c r="AB1951" s="0" t="n">
        <f aca="false">X1951+Z1951</f>
        <v>45.7074292915401</v>
      </c>
      <c r="AC1951" s="54" t="b">
        <f aca="false">AND(E1951&gt;=01_因子設定!$L$5-0.000000001,E1951&lt;=01_因子設定!$M$5+0.000000001,F1951&gt;=01_因子設定!$L$6-0.000000001,F1951&lt;=01_因子設定!$M$6+0.000000001,G1951&gt;=01_因子設定!$L$7-0.000000001,G1951&lt;=01_因子設定!$M$7+0.000000001,H1951&gt;=01_因子設定!$L$8-0.000000001,H1951&lt;=01_因子設定!$M$8+0.000000001,IF(01_因子設定!$B$20="Box-Behnken",E1951^2+F1951^2+G1951^2+H1951^2&lt;=2+0.000000001,TRUE()))</f>
        <v>1</v>
      </c>
      <c r="AD1951" s="55" t="n">
        <f aca="false">IF(AC1951,IF(01_因子設定!$B$13="最大化",AA1951-01_因子設定!$B$14,IF(01_因子設定!$B$13="最小化",01_因子設定!$B$15-AB1951,MIN(AA1951-01_因子設定!$B$14,01_因子設定!$B$15-AB1951))),-1E+030)</f>
        <v>-3.8823196424173</v>
      </c>
      <c r="AE1951" s="55" t="n">
        <f aca="false">IF(AC1951,IF(01_因子設定!$B$13="最大化",X1951,IF(01_因子設定!$B$13="最小化",-X1951,-ABS(X1951-01_因子設定!$B$16))),-1E+030)</f>
        <v>44.1625548245614</v>
      </c>
      <c r="AF1951" s="55" t="n">
        <f aca="false">AD1951+ROW()*0.000000001</f>
        <v>-3.8823176914173</v>
      </c>
      <c r="AG1951" s="55" t="n">
        <f aca="false">AE1951+ROW()*0.000000001</f>
        <v>44.1625567755614</v>
      </c>
    </row>
    <row r="1952" customFormat="false" ht="15" hidden="false" customHeight="false" outlineLevel="0" collapsed="false">
      <c r="A1952" s="0" t="n">
        <v>2</v>
      </c>
      <c r="B1952" s="0" t="n">
        <v>6</v>
      </c>
      <c r="C1952" s="0" t="n">
        <v>0</v>
      </c>
      <c r="D1952" s="0" t="n">
        <v>3</v>
      </c>
      <c r="E1952" s="0" t="n">
        <f aca="false">-1+A1952*0.25</f>
        <v>-0.5</v>
      </c>
      <c r="F1952" s="0" t="n">
        <f aca="false">-1+B1952*0.25</f>
        <v>0.5</v>
      </c>
      <c r="G1952" s="0" t="n">
        <f aca="false">-1+C1952*0.25</f>
        <v>-1</v>
      </c>
      <c r="H1952" s="0" t="n">
        <f aca="false">-1+D1952*0.25</f>
        <v>-0.25</v>
      </c>
      <c r="I1952" s="0" t="n">
        <f aca="false">1</f>
        <v>1</v>
      </c>
      <c r="J1952" s="0" t="n">
        <f aca="false">E1952</f>
        <v>-0.5</v>
      </c>
      <c r="K1952" s="0" t="n">
        <f aca="false">F1952</f>
        <v>0.5</v>
      </c>
      <c r="L1952" s="0" t="n">
        <f aca="false">G1952</f>
        <v>-1</v>
      </c>
      <c r="M1952" s="0" t="n">
        <f aca="false">H1952</f>
        <v>-0.25</v>
      </c>
      <c r="N1952" s="0" t="n">
        <f aca="false">E1952*F1952</f>
        <v>-0.25</v>
      </c>
      <c r="O1952" s="0" t="n">
        <f aca="false">E1952*G1952</f>
        <v>0.5</v>
      </c>
      <c r="P1952" s="0" t="n">
        <f aca="false">E1952*H1952</f>
        <v>0.125</v>
      </c>
      <c r="Q1952" s="0" t="n">
        <f aca="false">F1952*G1952</f>
        <v>-0.5</v>
      </c>
      <c r="R1952" s="0" t="n">
        <f aca="false">F1952*H1952</f>
        <v>-0.125</v>
      </c>
      <c r="S1952" s="0" t="n">
        <f aca="false">G1952*H1952</f>
        <v>0.25</v>
      </c>
      <c r="T1952" s="0" t="n">
        <f aca="false">E1952*E1952</f>
        <v>0.25</v>
      </c>
      <c r="U1952" s="0" t="n">
        <f aca="false">F1952*F1952</f>
        <v>0.25</v>
      </c>
      <c r="V1952" s="0" t="n">
        <f aca="false">G1952*G1952</f>
        <v>1</v>
      </c>
      <c r="W1952" s="0" t="n">
        <f aca="false">H1952*H1952</f>
        <v>0.0625</v>
      </c>
      <c r="X1952" s="0" t="n">
        <f aca="false">SUMPRODUCT(I1952:W1952,_XtX!$B$96:$P$96)</f>
        <v>44.2215917397661</v>
      </c>
      <c r="Y1952" s="0" t="n">
        <f aca="false">SUMPRODUCT(MMULT(I1952:W1952,_XtX!$B$78:$P$92),I1952:W1952)</f>
        <v>0.428122715643275</v>
      </c>
      <c r="Z1952" s="0" t="n">
        <f aca="false">04_回帰ANOVA!$K$19*04_回帰ANOVA!$K$14*SQRT(1+Y1952)</f>
        <v>1.55769044623229</v>
      </c>
      <c r="AA1952" s="0" t="n">
        <f aca="false">X1952-Z1952</f>
        <v>42.6639012935338</v>
      </c>
      <c r="AB1952" s="0" t="n">
        <f aca="false">X1952+Z1952</f>
        <v>45.7792821859983</v>
      </c>
      <c r="AC1952" s="54" t="b">
        <f aca="false">AND(E1952&gt;=01_因子設定!$L$5-0.000000001,E1952&lt;=01_因子設定!$M$5+0.000000001,F1952&gt;=01_因子設定!$L$6-0.000000001,F1952&lt;=01_因子設定!$M$6+0.000000001,G1952&gt;=01_因子設定!$L$7-0.000000001,G1952&lt;=01_因子設定!$M$7+0.000000001,H1952&gt;=01_因子設定!$L$8-0.000000001,H1952&lt;=01_因子設定!$M$8+0.000000001,IF(01_因子設定!$B$20="Box-Behnken",E1952^2+F1952^2+G1952^2+H1952^2&lt;=2+0.000000001,TRUE()))</f>
        <v>1</v>
      </c>
      <c r="AD1952" s="55" t="n">
        <f aca="false">IF(AC1952,IF(01_因子設定!$B$13="最大化",AA1952-01_因子設定!$B$14,IF(01_因子設定!$B$13="最小化",01_因子設定!$B$15-AB1952,MIN(AA1952-01_因子設定!$B$14,01_因子設定!$B$15-AB1952))),-1E+030)</f>
        <v>-3.83609870646625</v>
      </c>
      <c r="AE1952" s="55" t="n">
        <f aca="false">IF(AC1952,IF(01_因子設定!$B$13="最大化",X1952,IF(01_因子設定!$B$13="最小化",-X1952,-ABS(X1952-01_因子設定!$B$16))),-1E+030)</f>
        <v>44.2215917397661</v>
      </c>
      <c r="AF1952" s="55" t="n">
        <f aca="false">AD1952+ROW()*0.000000001</f>
        <v>-3.83609675446625</v>
      </c>
      <c r="AG1952" s="55" t="n">
        <f aca="false">AE1952+ROW()*0.000000001</f>
        <v>44.221593691766</v>
      </c>
    </row>
    <row r="1953" customFormat="false" ht="15" hidden="false" customHeight="false" outlineLevel="0" collapsed="false">
      <c r="A1953" s="0" t="n">
        <v>2</v>
      </c>
      <c r="B1953" s="0" t="n">
        <v>6</v>
      </c>
      <c r="C1953" s="0" t="n">
        <v>0</v>
      </c>
      <c r="D1953" s="0" t="n">
        <v>4</v>
      </c>
      <c r="E1953" s="0" t="n">
        <f aca="false">-1+A1953*0.25</f>
        <v>-0.5</v>
      </c>
      <c r="F1953" s="0" t="n">
        <f aca="false">-1+B1953*0.25</f>
        <v>0.5</v>
      </c>
      <c r="G1953" s="0" t="n">
        <f aca="false">-1+C1953*0.25</f>
        <v>-1</v>
      </c>
      <c r="H1953" s="0" t="n">
        <f aca="false">-1+D1953*0.25</f>
        <v>0</v>
      </c>
      <c r="I1953" s="0" t="n">
        <f aca="false">1</f>
        <v>1</v>
      </c>
      <c r="J1953" s="0" t="n">
        <f aca="false">E1953</f>
        <v>-0.5</v>
      </c>
      <c r="K1953" s="0" t="n">
        <f aca="false">F1953</f>
        <v>0.5</v>
      </c>
      <c r="L1953" s="0" t="n">
        <f aca="false">G1953</f>
        <v>-1</v>
      </c>
      <c r="M1953" s="0" t="n">
        <f aca="false">H1953</f>
        <v>0</v>
      </c>
      <c r="N1953" s="0" t="n">
        <f aca="false">E1953*F1953</f>
        <v>-0.25</v>
      </c>
      <c r="O1953" s="0" t="n">
        <f aca="false">E1953*G1953</f>
        <v>0.5</v>
      </c>
      <c r="P1953" s="0" t="n">
        <f aca="false">E1953*H1953</f>
        <v>-0</v>
      </c>
      <c r="Q1953" s="0" t="n">
        <f aca="false">F1953*G1953</f>
        <v>-0.5</v>
      </c>
      <c r="R1953" s="0" t="n">
        <f aca="false">F1953*H1953</f>
        <v>0</v>
      </c>
      <c r="S1953" s="0" t="n">
        <f aca="false">G1953*H1953</f>
        <v>-0</v>
      </c>
      <c r="T1953" s="0" t="n">
        <f aca="false">E1953*E1953</f>
        <v>0.25</v>
      </c>
      <c r="U1953" s="0" t="n">
        <f aca="false">F1953*F1953</f>
        <v>0.25</v>
      </c>
      <c r="V1953" s="0" t="n">
        <f aca="false">G1953*G1953</f>
        <v>1</v>
      </c>
      <c r="W1953" s="0" t="n">
        <f aca="false">H1953*H1953</f>
        <v>0</v>
      </c>
      <c r="X1953" s="0" t="n">
        <f aca="false">SUMPRODUCT(I1953:W1953,_XtX!$B$96:$P$96)</f>
        <v>44.2328216374269</v>
      </c>
      <c r="Y1953" s="0" t="n">
        <f aca="false">SUMPRODUCT(MMULT(I1953:W1953,_XtX!$B$78:$P$92),I1953:W1953)</f>
        <v>0.441954495614035</v>
      </c>
      <c r="Z1953" s="0" t="n">
        <f aca="false">04_回帰ANOVA!$K$19*04_回帰ANOVA!$K$14*SQRT(1+Y1953)</f>
        <v>1.56521560968066</v>
      </c>
      <c r="AA1953" s="0" t="n">
        <f aca="false">X1953-Z1953</f>
        <v>42.6676060277462</v>
      </c>
      <c r="AB1953" s="0" t="n">
        <f aca="false">X1953+Z1953</f>
        <v>45.7980372471075</v>
      </c>
      <c r="AC1953" s="54" t="b">
        <f aca="false">AND(E1953&gt;=01_因子設定!$L$5-0.000000001,E1953&lt;=01_因子設定!$M$5+0.000000001,F1953&gt;=01_因子設定!$L$6-0.000000001,F1953&lt;=01_因子設定!$M$6+0.000000001,G1953&gt;=01_因子設定!$L$7-0.000000001,G1953&lt;=01_因子設定!$M$7+0.000000001,H1953&gt;=01_因子設定!$L$8-0.000000001,H1953&lt;=01_因子設定!$M$8+0.000000001,IF(01_因子設定!$B$20="Box-Behnken",E1953^2+F1953^2+G1953^2+H1953^2&lt;=2+0.000000001,TRUE()))</f>
        <v>1</v>
      </c>
      <c r="AD1953" s="55" t="n">
        <f aca="false">IF(AC1953,IF(01_因子設定!$B$13="最大化",AA1953-01_因子設定!$B$14,IF(01_因子設定!$B$13="最小化",01_因子設定!$B$15-AB1953,MIN(AA1953-01_因子設定!$B$14,01_因子設定!$B$15-AB1953))),-1E+030)</f>
        <v>-3.8323939722538</v>
      </c>
      <c r="AE1953" s="55" t="n">
        <f aca="false">IF(AC1953,IF(01_因子設定!$B$13="最大化",X1953,IF(01_因子設定!$B$13="最小化",-X1953,-ABS(X1953-01_因子設定!$B$16))),-1E+030)</f>
        <v>44.2328216374269</v>
      </c>
      <c r="AF1953" s="55" t="n">
        <f aca="false">AD1953+ROW()*0.000000001</f>
        <v>-3.8323920192538</v>
      </c>
      <c r="AG1953" s="55" t="n">
        <f aca="false">AE1953+ROW()*0.000000001</f>
        <v>44.2328235904269</v>
      </c>
    </row>
    <row r="1954" customFormat="false" ht="15" hidden="false" customHeight="false" outlineLevel="0" collapsed="false">
      <c r="A1954" s="0" t="n">
        <v>2</v>
      </c>
      <c r="B1954" s="0" t="n">
        <v>6</v>
      </c>
      <c r="C1954" s="0" t="n">
        <v>0</v>
      </c>
      <c r="D1954" s="0" t="n">
        <v>5</v>
      </c>
      <c r="E1954" s="0" t="n">
        <f aca="false">-1+A1954*0.25</f>
        <v>-0.5</v>
      </c>
      <c r="F1954" s="0" t="n">
        <f aca="false">-1+B1954*0.25</f>
        <v>0.5</v>
      </c>
      <c r="G1954" s="0" t="n">
        <f aca="false">-1+C1954*0.25</f>
        <v>-1</v>
      </c>
      <c r="H1954" s="0" t="n">
        <f aca="false">-1+D1954*0.25</f>
        <v>0.25</v>
      </c>
      <c r="I1954" s="0" t="n">
        <f aca="false">1</f>
        <v>1</v>
      </c>
      <c r="J1954" s="0" t="n">
        <f aca="false">E1954</f>
        <v>-0.5</v>
      </c>
      <c r="K1954" s="0" t="n">
        <f aca="false">F1954</f>
        <v>0.5</v>
      </c>
      <c r="L1954" s="0" t="n">
        <f aca="false">G1954</f>
        <v>-1</v>
      </c>
      <c r="M1954" s="0" t="n">
        <f aca="false">H1954</f>
        <v>0.25</v>
      </c>
      <c r="N1954" s="0" t="n">
        <f aca="false">E1954*F1954</f>
        <v>-0.25</v>
      </c>
      <c r="O1954" s="0" t="n">
        <f aca="false">E1954*G1954</f>
        <v>0.5</v>
      </c>
      <c r="P1954" s="0" t="n">
        <f aca="false">E1954*H1954</f>
        <v>-0.125</v>
      </c>
      <c r="Q1954" s="0" t="n">
        <f aca="false">F1954*G1954</f>
        <v>-0.5</v>
      </c>
      <c r="R1954" s="0" t="n">
        <f aca="false">F1954*H1954</f>
        <v>0.125</v>
      </c>
      <c r="S1954" s="0" t="n">
        <f aca="false">G1954*H1954</f>
        <v>-0.25</v>
      </c>
      <c r="T1954" s="0" t="n">
        <f aca="false">E1954*E1954</f>
        <v>0.25</v>
      </c>
      <c r="U1954" s="0" t="n">
        <f aca="false">F1954*F1954</f>
        <v>0.25</v>
      </c>
      <c r="V1954" s="0" t="n">
        <f aca="false">G1954*G1954</f>
        <v>1</v>
      </c>
      <c r="W1954" s="0" t="n">
        <f aca="false">H1954*H1954</f>
        <v>0.0625</v>
      </c>
      <c r="X1954" s="0" t="n">
        <f aca="false">SUMPRODUCT(I1954:W1954,_XtX!$B$96:$P$96)</f>
        <v>44.1962445175438</v>
      </c>
      <c r="Y1954" s="0" t="n">
        <f aca="false">SUMPRODUCT(MMULT(I1954:W1954,_XtX!$B$78:$P$92),I1954:W1954)</f>
        <v>0.428122715643275</v>
      </c>
      <c r="Z1954" s="0" t="n">
        <f aca="false">04_回帰ANOVA!$K$19*04_回帰ANOVA!$K$14*SQRT(1+Y1954)</f>
        <v>1.55769044623229</v>
      </c>
      <c r="AA1954" s="0" t="n">
        <f aca="false">X1954-Z1954</f>
        <v>42.6385540713115</v>
      </c>
      <c r="AB1954" s="0" t="n">
        <f aca="false">X1954+Z1954</f>
        <v>45.7539349637761</v>
      </c>
      <c r="AC1954" s="54" t="b">
        <f aca="false">AND(E1954&gt;=01_因子設定!$L$5-0.000000001,E1954&lt;=01_因子設定!$M$5+0.000000001,F1954&gt;=01_因子設定!$L$6-0.000000001,F1954&lt;=01_因子設定!$M$6+0.000000001,G1954&gt;=01_因子設定!$L$7-0.000000001,G1954&lt;=01_因子設定!$M$7+0.000000001,H1954&gt;=01_因子設定!$L$8-0.000000001,H1954&lt;=01_因子設定!$M$8+0.000000001,IF(01_因子設定!$B$20="Box-Behnken",E1954^2+F1954^2+G1954^2+H1954^2&lt;=2+0.000000001,TRUE()))</f>
        <v>1</v>
      </c>
      <c r="AD1954" s="55" t="n">
        <f aca="false">IF(AC1954,IF(01_因子設定!$B$13="最大化",AA1954-01_因子設定!$B$14,IF(01_因子設定!$B$13="最小化",01_因子設定!$B$15-AB1954,MIN(AA1954-01_因子設定!$B$14,01_因子設定!$B$15-AB1954))),-1E+030)</f>
        <v>-3.86144592868847</v>
      </c>
      <c r="AE1954" s="55" t="n">
        <f aca="false">IF(AC1954,IF(01_因子設定!$B$13="最大化",X1954,IF(01_因子設定!$B$13="最小化",-X1954,-ABS(X1954-01_因子設定!$B$16))),-1E+030)</f>
        <v>44.1962445175438</v>
      </c>
      <c r="AF1954" s="55" t="n">
        <f aca="false">AD1954+ROW()*0.000000001</f>
        <v>-3.86144397468847</v>
      </c>
      <c r="AG1954" s="55" t="n">
        <f aca="false">AE1954+ROW()*0.000000001</f>
        <v>44.1962464715438</v>
      </c>
    </row>
    <row r="1955" customFormat="false" ht="15" hidden="false" customHeight="false" outlineLevel="0" collapsed="false">
      <c r="A1955" s="0" t="n">
        <v>2</v>
      </c>
      <c r="B1955" s="0" t="n">
        <v>6</v>
      </c>
      <c r="C1955" s="0" t="n">
        <v>0</v>
      </c>
      <c r="D1955" s="0" t="n">
        <v>6</v>
      </c>
      <c r="E1955" s="0" t="n">
        <f aca="false">-1+A1955*0.25</f>
        <v>-0.5</v>
      </c>
      <c r="F1955" s="0" t="n">
        <f aca="false">-1+B1955*0.25</f>
        <v>0.5</v>
      </c>
      <c r="G1955" s="0" t="n">
        <f aca="false">-1+C1955*0.25</f>
        <v>-1</v>
      </c>
      <c r="H1955" s="0" t="n">
        <f aca="false">-1+D1955*0.25</f>
        <v>0.5</v>
      </c>
      <c r="I1955" s="0" t="n">
        <f aca="false">1</f>
        <v>1</v>
      </c>
      <c r="J1955" s="0" t="n">
        <f aca="false">E1955</f>
        <v>-0.5</v>
      </c>
      <c r="K1955" s="0" t="n">
        <f aca="false">F1955</f>
        <v>0.5</v>
      </c>
      <c r="L1955" s="0" t="n">
        <f aca="false">G1955</f>
        <v>-1</v>
      </c>
      <c r="M1955" s="0" t="n">
        <f aca="false">H1955</f>
        <v>0.5</v>
      </c>
      <c r="N1955" s="0" t="n">
        <f aca="false">E1955*F1955</f>
        <v>-0.25</v>
      </c>
      <c r="O1955" s="0" t="n">
        <f aca="false">E1955*G1955</f>
        <v>0.5</v>
      </c>
      <c r="P1955" s="0" t="n">
        <f aca="false">E1955*H1955</f>
        <v>-0.25</v>
      </c>
      <c r="Q1955" s="0" t="n">
        <f aca="false">F1955*G1955</f>
        <v>-0.5</v>
      </c>
      <c r="R1955" s="0" t="n">
        <f aca="false">F1955*H1955</f>
        <v>0.25</v>
      </c>
      <c r="S1955" s="0" t="n">
        <f aca="false">G1955*H1955</f>
        <v>-0.5</v>
      </c>
      <c r="T1955" s="0" t="n">
        <f aca="false">E1955*E1955</f>
        <v>0.25</v>
      </c>
      <c r="U1955" s="0" t="n">
        <f aca="false">F1955*F1955</f>
        <v>0.25</v>
      </c>
      <c r="V1955" s="0" t="n">
        <f aca="false">G1955*G1955</f>
        <v>1</v>
      </c>
      <c r="W1955" s="0" t="n">
        <f aca="false">H1955*H1955</f>
        <v>0.25</v>
      </c>
      <c r="X1955" s="0" t="n">
        <f aca="false">SUMPRODUCT(I1955:W1955,_XtX!$B$96:$P$96)</f>
        <v>44.1118603801169</v>
      </c>
      <c r="Y1955" s="0" t="n">
        <f aca="false">SUMPRODUCT(MMULT(I1955:W1955,_XtX!$B$78:$P$92),I1955:W1955)</f>
        <v>0.404719480994152</v>
      </c>
      <c r="Z1955" s="0" t="n">
        <f aca="false">04_回帰ANOVA!$K$19*04_回帰ANOVA!$K$14*SQRT(1+Y1955)</f>
        <v>1.54487446697867</v>
      </c>
      <c r="AA1955" s="0" t="n">
        <f aca="false">X1955-Z1955</f>
        <v>42.5669859131383</v>
      </c>
      <c r="AB1955" s="0" t="n">
        <f aca="false">X1955+Z1955</f>
        <v>45.6567348470956</v>
      </c>
      <c r="AC1955" s="54" t="b">
        <f aca="false">AND(E1955&gt;=01_因子設定!$L$5-0.000000001,E1955&lt;=01_因子設定!$M$5+0.000000001,F1955&gt;=01_因子設定!$L$6-0.000000001,F1955&lt;=01_因子設定!$M$6+0.000000001,G1955&gt;=01_因子設定!$L$7-0.000000001,G1955&lt;=01_因子設定!$M$7+0.000000001,H1955&gt;=01_因子設定!$L$8-0.000000001,H1955&lt;=01_因子設定!$M$8+0.000000001,IF(01_因子設定!$B$20="Box-Behnken",E1955^2+F1955^2+G1955^2+H1955^2&lt;=2+0.000000001,TRUE()))</f>
        <v>1</v>
      </c>
      <c r="AD1955" s="55" t="n">
        <f aca="false">IF(AC1955,IF(01_因子設定!$B$13="最大化",AA1955-01_因子設定!$B$14,IF(01_因子設定!$B$13="最小化",01_因子設定!$B$15-AB1955,MIN(AA1955-01_因子設定!$B$14,01_因子設定!$B$15-AB1955))),-1E+030)</f>
        <v>-3.93301408686175</v>
      </c>
      <c r="AE1955" s="55" t="n">
        <f aca="false">IF(AC1955,IF(01_因子設定!$B$13="最大化",X1955,IF(01_因子設定!$B$13="最小化",-X1955,-ABS(X1955-01_因子設定!$B$16))),-1E+030)</f>
        <v>44.1118603801169</v>
      </c>
      <c r="AF1955" s="55" t="n">
        <f aca="false">AD1955+ROW()*0.000000001</f>
        <v>-3.93301213186175</v>
      </c>
      <c r="AG1955" s="55" t="n">
        <f aca="false">AE1955+ROW()*0.000000001</f>
        <v>44.1118623351169</v>
      </c>
    </row>
    <row r="1956" customFormat="false" ht="15" hidden="false" customHeight="false" outlineLevel="0" collapsed="false">
      <c r="A1956" s="0" t="n">
        <v>2</v>
      </c>
      <c r="B1956" s="0" t="n">
        <v>6</v>
      </c>
      <c r="C1956" s="0" t="n">
        <v>0</v>
      </c>
      <c r="D1956" s="0" t="n">
        <v>7</v>
      </c>
      <c r="E1956" s="0" t="n">
        <f aca="false">-1+A1956*0.25</f>
        <v>-0.5</v>
      </c>
      <c r="F1956" s="0" t="n">
        <f aca="false">-1+B1956*0.25</f>
        <v>0.5</v>
      </c>
      <c r="G1956" s="0" t="n">
        <f aca="false">-1+C1956*0.25</f>
        <v>-1</v>
      </c>
      <c r="H1956" s="0" t="n">
        <f aca="false">-1+D1956*0.25</f>
        <v>0.75</v>
      </c>
      <c r="I1956" s="0" t="n">
        <f aca="false">1</f>
        <v>1</v>
      </c>
      <c r="J1956" s="0" t="n">
        <f aca="false">E1956</f>
        <v>-0.5</v>
      </c>
      <c r="K1956" s="0" t="n">
        <f aca="false">F1956</f>
        <v>0.5</v>
      </c>
      <c r="L1956" s="0" t="n">
        <f aca="false">G1956</f>
        <v>-1</v>
      </c>
      <c r="M1956" s="0" t="n">
        <f aca="false">H1956</f>
        <v>0.75</v>
      </c>
      <c r="N1956" s="0" t="n">
        <f aca="false">E1956*F1956</f>
        <v>-0.25</v>
      </c>
      <c r="O1956" s="0" t="n">
        <f aca="false">E1956*G1956</f>
        <v>0.5</v>
      </c>
      <c r="P1956" s="0" t="n">
        <f aca="false">E1956*H1956</f>
        <v>-0.375</v>
      </c>
      <c r="Q1956" s="0" t="n">
        <f aca="false">F1956*G1956</f>
        <v>-0.5</v>
      </c>
      <c r="R1956" s="0" t="n">
        <f aca="false">F1956*H1956</f>
        <v>0.375</v>
      </c>
      <c r="S1956" s="0" t="n">
        <f aca="false">G1956*H1956</f>
        <v>-0.75</v>
      </c>
      <c r="T1956" s="0" t="n">
        <f aca="false">E1956*E1956</f>
        <v>0.25</v>
      </c>
      <c r="U1956" s="0" t="n">
        <f aca="false">F1956*F1956</f>
        <v>0.25</v>
      </c>
      <c r="V1956" s="0" t="n">
        <f aca="false">G1956*G1956</f>
        <v>1</v>
      </c>
      <c r="W1956" s="0" t="n">
        <f aca="false">H1956*H1956</f>
        <v>0.5625</v>
      </c>
      <c r="X1956" s="0" t="n">
        <f aca="false">SUMPRODUCT(I1956:W1956,_XtX!$B$96:$P$96)</f>
        <v>43.9796692251462</v>
      </c>
      <c r="Y1956" s="0" t="n">
        <f aca="false">SUMPRODUCT(MMULT(I1956:W1956,_XtX!$B$78:$P$92),I1956:W1956)</f>
        <v>0.42602110745614</v>
      </c>
      <c r="Z1956" s="0" t="n">
        <f aca="false">04_回帰ANOVA!$K$19*04_回帰ANOVA!$K$14*SQRT(1+Y1956)</f>
        <v>1.55654388501114</v>
      </c>
      <c r="AA1956" s="0" t="n">
        <f aca="false">X1956-Z1956</f>
        <v>42.423125340135</v>
      </c>
      <c r="AB1956" s="0" t="n">
        <f aca="false">X1956+Z1956</f>
        <v>45.5362131101573</v>
      </c>
      <c r="AC1956" s="54" t="b">
        <f aca="false">AND(E1956&gt;=01_因子設定!$L$5-0.000000001,E1956&lt;=01_因子設定!$M$5+0.000000001,F1956&gt;=01_因子設定!$L$6-0.000000001,F1956&lt;=01_因子設定!$M$6+0.000000001,G1956&gt;=01_因子設定!$L$7-0.000000001,G1956&lt;=01_因子設定!$M$7+0.000000001,H1956&gt;=01_因子設定!$L$8-0.000000001,H1956&lt;=01_因子設定!$M$8+0.000000001,IF(01_因子設定!$B$20="Box-Behnken",E1956^2+F1956^2+G1956^2+H1956^2&lt;=2+0.000000001,TRUE()))</f>
        <v>1</v>
      </c>
      <c r="AD1956" s="55" t="n">
        <f aca="false">IF(AC1956,IF(01_因子設定!$B$13="最大化",AA1956-01_因子設定!$B$14,IF(01_因子設定!$B$13="最小化",01_因子設定!$B$15-AB1956,MIN(AA1956-01_因子設定!$B$14,01_因子設定!$B$15-AB1956))),-1E+030)</f>
        <v>-4.07687465986496</v>
      </c>
      <c r="AE1956" s="55" t="n">
        <f aca="false">IF(AC1956,IF(01_因子設定!$B$13="最大化",X1956,IF(01_因子設定!$B$13="最小化",-X1956,-ABS(X1956-01_因子設定!$B$16))),-1E+030)</f>
        <v>43.9796692251462</v>
      </c>
      <c r="AF1956" s="55" t="n">
        <f aca="false">AD1956+ROW()*0.000000001</f>
        <v>-4.07687270386496</v>
      </c>
      <c r="AG1956" s="55" t="n">
        <f aca="false">AE1956+ROW()*0.000000001</f>
        <v>43.9796711811462</v>
      </c>
    </row>
    <row r="1957" customFormat="false" ht="15" hidden="false" customHeight="false" outlineLevel="0" collapsed="false">
      <c r="A1957" s="0" t="n">
        <v>2</v>
      </c>
      <c r="B1957" s="0" t="n">
        <v>6</v>
      </c>
      <c r="C1957" s="0" t="n">
        <v>0</v>
      </c>
      <c r="D1957" s="0" t="n">
        <v>8</v>
      </c>
      <c r="E1957" s="0" t="n">
        <f aca="false">-1+A1957*0.25</f>
        <v>-0.5</v>
      </c>
      <c r="F1957" s="0" t="n">
        <f aca="false">-1+B1957*0.25</f>
        <v>0.5</v>
      </c>
      <c r="G1957" s="0" t="n">
        <f aca="false">-1+C1957*0.25</f>
        <v>-1</v>
      </c>
      <c r="H1957" s="0" t="n">
        <f aca="false">-1+D1957*0.25</f>
        <v>1</v>
      </c>
      <c r="I1957" s="0" t="n">
        <f aca="false">1</f>
        <v>1</v>
      </c>
      <c r="J1957" s="0" t="n">
        <f aca="false">E1957</f>
        <v>-0.5</v>
      </c>
      <c r="K1957" s="0" t="n">
        <f aca="false">F1957</f>
        <v>0.5</v>
      </c>
      <c r="L1957" s="0" t="n">
        <f aca="false">G1957</f>
        <v>-1</v>
      </c>
      <c r="M1957" s="0" t="n">
        <f aca="false">H1957</f>
        <v>1</v>
      </c>
      <c r="N1957" s="0" t="n">
        <f aca="false">E1957*F1957</f>
        <v>-0.25</v>
      </c>
      <c r="O1957" s="0" t="n">
        <f aca="false">E1957*G1957</f>
        <v>0.5</v>
      </c>
      <c r="P1957" s="0" t="n">
        <f aca="false">E1957*H1957</f>
        <v>-0.5</v>
      </c>
      <c r="Q1957" s="0" t="n">
        <f aca="false">F1957*G1957</f>
        <v>-0.5</v>
      </c>
      <c r="R1957" s="0" t="n">
        <f aca="false">F1957*H1957</f>
        <v>0.5</v>
      </c>
      <c r="S1957" s="0" t="n">
        <f aca="false">G1957*H1957</f>
        <v>-1</v>
      </c>
      <c r="T1957" s="0" t="n">
        <f aca="false">E1957*E1957</f>
        <v>0.25</v>
      </c>
      <c r="U1957" s="0" t="n">
        <f aca="false">F1957*F1957</f>
        <v>0.25</v>
      </c>
      <c r="V1957" s="0" t="n">
        <f aca="false">G1957*G1957</f>
        <v>1</v>
      </c>
      <c r="W1957" s="0" t="n">
        <f aca="false">H1957*H1957</f>
        <v>1</v>
      </c>
      <c r="X1957" s="0" t="n">
        <f aca="false">SUMPRODUCT(I1957:W1957,_XtX!$B$96:$P$96)</f>
        <v>43.7996710526316</v>
      </c>
      <c r="Y1957" s="0" t="n">
        <f aca="false">SUMPRODUCT(MMULT(I1957:W1957,_XtX!$B$78:$P$92),I1957:W1957)</f>
        <v>0.582488121345029</v>
      </c>
      <c r="Z1957" s="0" t="n">
        <f aca="false">04_回帰ANOVA!$K$19*04_回帰ANOVA!$K$14*SQRT(1+Y1957)</f>
        <v>1.63971595338287</v>
      </c>
      <c r="AA1957" s="0" t="n">
        <f aca="false">X1957-Z1957</f>
        <v>42.1599550992487</v>
      </c>
      <c r="AB1957" s="0" t="n">
        <f aca="false">X1957+Z1957</f>
        <v>45.4393870060144</v>
      </c>
      <c r="AC1957" s="54" t="b">
        <f aca="false">AND(E1957&gt;=01_因子設定!$L$5-0.000000001,E1957&lt;=01_因子設定!$M$5+0.000000001,F1957&gt;=01_因子設定!$L$6-0.000000001,F1957&lt;=01_因子設定!$M$6+0.000000001,G1957&gt;=01_因子設定!$L$7-0.000000001,G1957&lt;=01_因子設定!$M$7+0.000000001,H1957&gt;=01_因子設定!$L$8-0.000000001,H1957&lt;=01_因子設定!$M$8+0.000000001,IF(01_因子設定!$B$20="Box-Behnken",E1957^2+F1957^2+G1957^2+H1957^2&lt;=2+0.000000001,TRUE()))</f>
        <v>1</v>
      </c>
      <c r="AD1957" s="55" t="n">
        <f aca="false">IF(AC1957,IF(01_因子設定!$B$13="最大化",AA1957-01_因子設定!$B$14,IF(01_因子設定!$B$13="最小化",01_因子設定!$B$15-AB1957,MIN(AA1957-01_因子設定!$B$14,01_因子設定!$B$15-AB1957))),-1E+030)</f>
        <v>-4.3400449007513</v>
      </c>
      <c r="AE1957" s="55" t="n">
        <f aca="false">IF(AC1957,IF(01_因子設定!$B$13="最大化",X1957,IF(01_因子設定!$B$13="最小化",-X1957,-ABS(X1957-01_因子設定!$B$16))),-1E+030)</f>
        <v>43.7996710526316</v>
      </c>
      <c r="AF1957" s="55" t="n">
        <f aca="false">AD1957+ROW()*0.000000001</f>
        <v>-4.34004294375129</v>
      </c>
      <c r="AG1957" s="55" t="n">
        <f aca="false">AE1957+ROW()*0.000000001</f>
        <v>43.7996730096316</v>
      </c>
    </row>
    <row r="1958" customFormat="false" ht="15" hidden="false" customHeight="false" outlineLevel="0" collapsed="false">
      <c r="A1958" s="0" t="n">
        <v>2</v>
      </c>
      <c r="B1958" s="0" t="n">
        <v>6</v>
      </c>
      <c r="C1958" s="0" t="n">
        <v>1</v>
      </c>
      <c r="D1958" s="0" t="n">
        <v>0</v>
      </c>
      <c r="E1958" s="0" t="n">
        <f aca="false">-1+A1958*0.25</f>
        <v>-0.5</v>
      </c>
      <c r="F1958" s="0" t="n">
        <f aca="false">-1+B1958*0.25</f>
        <v>0.5</v>
      </c>
      <c r="G1958" s="0" t="n">
        <f aca="false">-1+C1958*0.25</f>
        <v>-0.75</v>
      </c>
      <c r="H1958" s="0" t="n">
        <f aca="false">-1+D1958*0.25</f>
        <v>-1</v>
      </c>
      <c r="I1958" s="0" t="n">
        <f aca="false">1</f>
        <v>1</v>
      </c>
      <c r="J1958" s="0" t="n">
        <f aca="false">E1958</f>
        <v>-0.5</v>
      </c>
      <c r="K1958" s="0" t="n">
        <f aca="false">F1958</f>
        <v>0.5</v>
      </c>
      <c r="L1958" s="0" t="n">
        <f aca="false">G1958</f>
        <v>-0.75</v>
      </c>
      <c r="M1958" s="0" t="n">
        <f aca="false">H1958</f>
        <v>-1</v>
      </c>
      <c r="N1958" s="0" t="n">
        <f aca="false">E1958*F1958</f>
        <v>-0.25</v>
      </c>
      <c r="O1958" s="0" t="n">
        <f aca="false">E1958*G1958</f>
        <v>0.375</v>
      </c>
      <c r="P1958" s="0" t="n">
        <f aca="false">E1958*H1958</f>
        <v>0.5</v>
      </c>
      <c r="Q1958" s="0" t="n">
        <f aca="false">F1958*G1958</f>
        <v>-0.375</v>
      </c>
      <c r="R1958" s="0" t="n">
        <f aca="false">F1958*H1958</f>
        <v>-0.5</v>
      </c>
      <c r="S1958" s="0" t="n">
        <f aca="false">G1958*H1958</f>
        <v>0.75</v>
      </c>
      <c r="T1958" s="0" t="n">
        <f aca="false">E1958*E1958</f>
        <v>0.25</v>
      </c>
      <c r="U1958" s="0" t="n">
        <f aca="false">F1958*F1958</f>
        <v>0.25</v>
      </c>
      <c r="V1958" s="0" t="n">
        <f aca="false">G1958*G1958</f>
        <v>0.5625</v>
      </c>
      <c r="W1958" s="0" t="n">
        <f aca="false">H1958*H1958</f>
        <v>1</v>
      </c>
      <c r="X1958" s="0" t="n">
        <f aca="false">SUMPRODUCT(I1958:W1958,_XtX!$B$96:$P$96)</f>
        <v>44.4939053362573</v>
      </c>
      <c r="Y1958" s="0" t="n">
        <f aca="false">SUMPRODUCT(MMULT(I1958:W1958,_XtX!$B$78:$P$92),I1958:W1958)</f>
        <v>0.42602110745614</v>
      </c>
      <c r="Z1958" s="0" t="n">
        <f aca="false">04_回帰ANOVA!$K$19*04_回帰ANOVA!$K$14*SQRT(1+Y1958)</f>
        <v>1.55654388501114</v>
      </c>
      <c r="AA1958" s="0" t="n">
        <f aca="false">X1958-Z1958</f>
        <v>42.9373614512462</v>
      </c>
      <c r="AB1958" s="0" t="n">
        <f aca="false">X1958+Z1958</f>
        <v>46.0504492212684</v>
      </c>
      <c r="AC1958" s="54" t="b">
        <f aca="false">AND(E1958&gt;=01_因子設定!$L$5-0.000000001,E1958&lt;=01_因子設定!$M$5+0.000000001,F1958&gt;=01_因子設定!$L$6-0.000000001,F1958&lt;=01_因子設定!$M$6+0.000000001,G1958&gt;=01_因子設定!$L$7-0.000000001,G1958&lt;=01_因子設定!$M$7+0.000000001,H1958&gt;=01_因子設定!$L$8-0.000000001,H1958&lt;=01_因子設定!$M$8+0.000000001,IF(01_因子設定!$B$20="Box-Behnken",E1958^2+F1958^2+G1958^2+H1958^2&lt;=2+0.000000001,TRUE()))</f>
        <v>1</v>
      </c>
      <c r="AD1958" s="55" t="n">
        <f aca="false">IF(AC1958,IF(01_因子設定!$B$13="最大化",AA1958-01_因子設定!$B$14,IF(01_因子設定!$B$13="最小化",01_因子設定!$B$15-AB1958,MIN(AA1958-01_因子設定!$B$14,01_因子設定!$B$15-AB1958))),-1E+030)</f>
        <v>-3.56263854875383</v>
      </c>
      <c r="AE1958" s="55" t="n">
        <f aca="false">IF(AC1958,IF(01_因子設定!$B$13="最大化",X1958,IF(01_因子設定!$B$13="最小化",-X1958,-ABS(X1958-01_因子設定!$B$16))),-1E+030)</f>
        <v>44.4939053362573</v>
      </c>
      <c r="AF1958" s="55" t="n">
        <f aca="false">AD1958+ROW()*0.000000001</f>
        <v>-3.56263659075383</v>
      </c>
      <c r="AG1958" s="55" t="n">
        <f aca="false">AE1958+ROW()*0.000000001</f>
        <v>44.4939072942573</v>
      </c>
    </row>
    <row r="1959" customFormat="false" ht="15" hidden="false" customHeight="false" outlineLevel="0" collapsed="false">
      <c r="A1959" s="0" t="n">
        <v>2</v>
      </c>
      <c r="B1959" s="0" t="n">
        <v>6</v>
      </c>
      <c r="C1959" s="0" t="n">
        <v>1</v>
      </c>
      <c r="D1959" s="0" t="n">
        <v>1</v>
      </c>
      <c r="E1959" s="0" t="n">
        <f aca="false">-1+A1959*0.25</f>
        <v>-0.5</v>
      </c>
      <c r="F1959" s="0" t="n">
        <f aca="false">-1+B1959*0.25</f>
        <v>0.5</v>
      </c>
      <c r="G1959" s="0" t="n">
        <f aca="false">-1+C1959*0.25</f>
        <v>-0.75</v>
      </c>
      <c r="H1959" s="0" t="n">
        <f aca="false">-1+D1959*0.25</f>
        <v>-0.75</v>
      </c>
      <c r="I1959" s="0" t="n">
        <f aca="false">1</f>
        <v>1</v>
      </c>
      <c r="J1959" s="0" t="n">
        <f aca="false">E1959</f>
        <v>-0.5</v>
      </c>
      <c r="K1959" s="0" t="n">
        <f aca="false">F1959</f>
        <v>0.5</v>
      </c>
      <c r="L1959" s="0" t="n">
        <f aca="false">G1959</f>
        <v>-0.75</v>
      </c>
      <c r="M1959" s="0" t="n">
        <f aca="false">H1959</f>
        <v>-0.75</v>
      </c>
      <c r="N1959" s="0" t="n">
        <f aca="false">E1959*F1959</f>
        <v>-0.25</v>
      </c>
      <c r="O1959" s="0" t="n">
        <f aca="false">E1959*G1959</f>
        <v>0.375</v>
      </c>
      <c r="P1959" s="0" t="n">
        <f aca="false">E1959*H1959</f>
        <v>0.375</v>
      </c>
      <c r="Q1959" s="0" t="n">
        <f aca="false">F1959*G1959</f>
        <v>-0.375</v>
      </c>
      <c r="R1959" s="0" t="n">
        <f aca="false">F1959*H1959</f>
        <v>-0.375</v>
      </c>
      <c r="S1959" s="0" t="n">
        <f aca="false">G1959*H1959</f>
        <v>0.5625</v>
      </c>
      <c r="T1959" s="0" t="n">
        <f aca="false">E1959*E1959</f>
        <v>0.25</v>
      </c>
      <c r="U1959" s="0" t="n">
        <f aca="false">F1959*F1959</f>
        <v>0.25</v>
      </c>
      <c r="V1959" s="0" t="n">
        <f aca="false">G1959*G1959</f>
        <v>0.5625</v>
      </c>
      <c r="W1959" s="0" t="n">
        <f aca="false">H1959*H1959</f>
        <v>0.5625</v>
      </c>
      <c r="X1959" s="0" t="n">
        <f aca="false">SUMPRODUCT(I1959:W1959,_XtX!$B$96:$P$96)</f>
        <v>44.6665250365497</v>
      </c>
      <c r="Y1959" s="0" t="n">
        <f aca="false">SUMPRODUCT(MMULT(I1959:W1959,_XtX!$B$78:$P$92),I1959:W1959)</f>
        <v>0.237862927174708</v>
      </c>
      <c r="Z1959" s="0" t="n">
        <f aca="false">04_回帰ANOVA!$K$19*04_回帰ANOVA!$K$14*SQRT(1+Y1959)</f>
        <v>1.45022260708756</v>
      </c>
      <c r="AA1959" s="0" t="n">
        <f aca="false">X1959-Z1959</f>
        <v>43.2163024294621</v>
      </c>
      <c r="AB1959" s="0" t="n">
        <f aca="false">X1959+Z1959</f>
        <v>46.1167476436373</v>
      </c>
      <c r="AC1959" s="54" t="b">
        <f aca="false">AND(E1959&gt;=01_因子設定!$L$5-0.000000001,E1959&lt;=01_因子設定!$M$5+0.000000001,F1959&gt;=01_因子設定!$L$6-0.000000001,F1959&lt;=01_因子設定!$M$6+0.000000001,G1959&gt;=01_因子設定!$L$7-0.000000001,G1959&lt;=01_因子設定!$M$7+0.000000001,H1959&gt;=01_因子設定!$L$8-0.000000001,H1959&lt;=01_因子設定!$M$8+0.000000001,IF(01_因子設定!$B$20="Box-Behnken",E1959^2+F1959^2+G1959^2+H1959^2&lt;=2+0.000000001,TRUE()))</f>
        <v>1</v>
      </c>
      <c r="AD1959" s="55" t="n">
        <f aca="false">IF(AC1959,IF(01_因子設定!$B$13="最大化",AA1959-01_因子設定!$B$14,IF(01_因子設定!$B$13="最小化",01_因子設定!$B$15-AB1959,MIN(AA1959-01_因子設定!$B$14,01_因子設定!$B$15-AB1959))),-1E+030)</f>
        <v>-3.28369757053788</v>
      </c>
      <c r="AE1959" s="55" t="n">
        <f aca="false">IF(AC1959,IF(01_因子設定!$B$13="最大化",X1959,IF(01_因子設定!$B$13="最小化",-X1959,-ABS(X1959-01_因子設定!$B$16))),-1E+030)</f>
        <v>44.6665250365497</v>
      </c>
      <c r="AF1959" s="55" t="n">
        <f aca="false">AD1959+ROW()*0.000000001</f>
        <v>-3.28369561153788</v>
      </c>
      <c r="AG1959" s="55" t="n">
        <f aca="false">AE1959+ROW()*0.000000001</f>
        <v>44.6665269955497</v>
      </c>
    </row>
    <row r="1960" customFormat="false" ht="15" hidden="false" customHeight="false" outlineLevel="0" collapsed="false">
      <c r="A1960" s="0" t="n">
        <v>2</v>
      </c>
      <c r="B1960" s="0" t="n">
        <v>6</v>
      </c>
      <c r="C1960" s="0" t="n">
        <v>1</v>
      </c>
      <c r="D1960" s="0" t="n">
        <v>2</v>
      </c>
      <c r="E1960" s="0" t="n">
        <f aca="false">-1+A1960*0.25</f>
        <v>-0.5</v>
      </c>
      <c r="F1960" s="0" t="n">
        <f aca="false">-1+B1960*0.25</f>
        <v>0.5</v>
      </c>
      <c r="G1960" s="0" t="n">
        <f aca="false">-1+C1960*0.25</f>
        <v>-0.75</v>
      </c>
      <c r="H1960" s="0" t="n">
        <f aca="false">-1+D1960*0.25</f>
        <v>-0.5</v>
      </c>
      <c r="I1960" s="0" t="n">
        <f aca="false">1</f>
        <v>1</v>
      </c>
      <c r="J1960" s="0" t="n">
        <f aca="false">E1960</f>
        <v>-0.5</v>
      </c>
      <c r="K1960" s="0" t="n">
        <f aca="false">F1960</f>
        <v>0.5</v>
      </c>
      <c r="L1960" s="0" t="n">
        <f aca="false">G1960</f>
        <v>-0.75</v>
      </c>
      <c r="M1960" s="0" t="n">
        <f aca="false">H1960</f>
        <v>-0.5</v>
      </c>
      <c r="N1960" s="0" t="n">
        <f aca="false">E1960*F1960</f>
        <v>-0.25</v>
      </c>
      <c r="O1960" s="0" t="n">
        <f aca="false">E1960*G1960</f>
        <v>0.375</v>
      </c>
      <c r="P1960" s="0" t="n">
        <f aca="false">E1960*H1960</f>
        <v>0.25</v>
      </c>
      <c r="Q1960" s="0" t="n">
        <f aca="false">F1960*G1960</f>
        <v>-0.375</v>
      </c>
      <c r="R1960" s="0" t="n">
        <f aca="false">F1960*H1960</f>
        <v>-0.25</v>
      </c>
      <c r="S1960" s="0" t="n">
        <f aca="false">G1960*H1960</f>
        <v>0.375</v>
      </c>
      <c r="T1960" s="0" t="n">
        <f aca="false">E1960*E1960</f>
        <v>0.25</v>
      </c>
      <c r="U1960" s="0" t="n">
        <f aca="false">F1960*F1960</f>
        <v>0.25</v>
      </c>
      <c r="V1960" s="0" t="n">
        <f aca="false">G1960*G1960</f>
        <v>0.5625</v>
      </c>
      <c r="W1960" s="0" t="n">
        <f aca="false">H1960*H1960</f>
        <v>0.25</v>
      </c>
      <c r="X1960" s="0" t="n">
        <f aca="false">SUMPRODUCT(I1960:W1960,_XtX!$B$96:$P$96)</f>
        <v>44.7913377192982</v>
      </c>
      <c r="Y1960" s="0" t="n">
        <f aca="false">SUMPRODUCT(MMULT(I1960:W1960,_XtX!$B$78:$P$92),I1960:W1960)</f>
        <v>0.193924753289474</v>
      </c>
      <c r="Z1960" s="0" t="n">
        <f aca="false">04_回帰ANOVA!$K$19*04_回帰ANOVA!$K$14*SQRT(1+Y1960)</f>
        <v>1.4242521079916</v>
      </c>
      <c r="AA1960" s="0" t="n">
        <f aca="false">X1960-Z1960</f>
        <v>43.3670856113066</v>
      </c>
      <c r="AB1960" s="0" t="n">
        <f aca="false">X1960+Z1960</f>
        <v>46.2155898272898</v>
      </c>
      <c r="AC1960" s="54" t="b">
        <f aca="false">AND(E1960&gt;=01_因子設定!$L$5-0.000000001,E1960&lt;=01_因子設定!$M$5+0.000000001,F1960&gt;=01_因子設定!$L$6-0.000000001,F1960&lt;=01_因子設定!$M$6+0.000000001,G1960&gt;=01_因子設定!$L$7-0.000000001,G1960&lt;=01_因子設定!$M$7+0.000000001,H1960&gt;=01_因子設定!$L$8-0.000000001,H1960&lt;=01_因子設定!$M$8+0.000000001,IF(01_因子設定!$B$20="Box-Behnken",E1960^2+F1960^2+G1960^2+H1960^2&lt;=2+0.000000001,TRUE()))</f>
        <v>1</v>
      </c>
      <c r="AD1960" s="55" t="n">
        <f aca="false">IF(AC1960,IF(01_因子設定!$B$13="最大化",AA1960-01_因子設定!$B$14,IF(01_因子設定!$B$13="最小化",01_因子設定!$B$15-AB1960,MIN(AA1960-01_因子設定!$B$14,01_因子設定!$B$15-AB1960))),-1E+030)</f>
        <v>-3.13291438869339</v>
      </c>
      <c r="AE1960" s="55" t="n">
        <f aca="false">IF(AC1960,IF(01_因子設定!$B$13="最大化",X1960,IF(01_因子設定!$B$13="最小化",-X1960,-ABS(X1960-01_因子設定!$B$16))),-1E+030)</f>
        <v>44.7913377192982</v>
      </c>
      <c r="AF1960" s="55" t="n">
        <f aca="false">AD1960+ROW()*0.000000001</f>
        <v>-3.13291242869339</v>
      </c>
      <c r="AG1960" s="55" t="n">
        <f aca="false">AE1960+ROW()*0.000000001</f>
        <v>44.7913396792982</v>
      </c>
    </row>
    <row r="1961" customFormat="false" ht="15" hidden="false" customHeight="false" outlineLevel="0" collapsed="false">
      <c r="A1961" s="0" t="n">
        <v>2</v>
      </c>
      <c r="B1961" s="0" t="n">
        <v>6</v>
      </c>
      <c r="C1961" s="0" t="n">
        <v>1</v>
      </c>
      <c r="D1961" s="0" t="n">
        <v>3</v>
      </c>
      <c r="E1961" s="0" t="n">
        <f aca="false">-1+A1961*0.25</f>
        <v>-0.5</v>
      </c>
      <c r="F1961" s="0" t="n">
        <f aca="false">-1+B1961*0.25</f>
        <v>0.5</v>
      </c>
      <c r="G1961" s="0" t="n">
        <f aca="false">-1+C1961*0.25</f>
        <v>-0.75</v>
      </c>
      <c r="H1961" s="0" t="n">
        <f aca="false">-1+D1961*0.25</f>
        <v>-0.25</v>
      </c>
      <c r="I1961" s="0" t="n">
        <f aca="false">1</f>
        <v>1</v>
      </c>
      <c r="J1961" s="0" t="n">
        <f aca="false">E1961</f>
        <v>-0.5</v>
      </c>
      <c r="K1961" s="0" t="n">
        <f aca="false">F1961</f>
        <v>0.5</v>
      </c>
      <c r="L1961" s="0" t="n">
        <f aca="false">G1961</f>
        <v>-0.75</v>
      </c>
      <c r="M1961" s="0" t="n">
        <f aca="false">H1961</f>
        <v>-0.25</v>
      </c>
      <c r="N1961" s="0" t="n">
        <f aca="false">E1961*F1961</f>
        <v>-0.25</v>
      </c>
      <c r="O1961" s="0" t="n">
        <f aca="false">E1961*G1961</f>
        <v>0.375</v>
      </c>
      <c r="P1961" s="0" t="n">
        <f aca="false">E1961*H1961</f>
        <v>0.125</v>
      </c>
      <c r="Q1961" s="0" t="n">
        <f aca="false">F1961*G1961</f>
        <v>-0.375</v>
      </c>
      <c r="R1961" s="0" t="n">
        <f aca="false">F1961*H1961</f>
        <v>-0.125</v>
      </c>
      <c r="S1961" s="0" t="n">
        <f aca="false">G1961*H1961</f>
        <v>0.1875</v>
      </c>
      <c r="T1961" s="0" t="n">
        <f aca="false">E1961*E1961</f>
        <v>0.25</v>
      </c>
      <c r="U1961" s="0" t="n">
        <f aca="false">F1961*F1961</f>
        <v>0.25</v>
      </c>
      <c r="V1961" s="0" t="n">
        <f aca="false">G1961*G1961</f>
        <v>0.5625</v>
      </c>
      <c r="W1961" s="0" t="n">
        <f aca="false">H1961*H1961</f>
        <v>0.0625</v>
      </c>
      <c r="X1961" s="0" t="n">
        <f aca="false">SUMPRODUCT(I1961:W1961,_XtX!$B$96:$P$96)</f>
        <v>44.8683433845029</v>
      </c>
      <c r="Y1961" s="0" t="n">
        <f aca="false">SUMPRODUCT(MMULT(I1961:W1961,_XtX!$B$78:$P$92),I1961:W1961)</f>
        <v>0.203746059484649</v>
      </c>
      <c r="Z1961" s="0" t="n">
        <f aca="false">04_回帰ANOVA!$K$19*04_回帰ANOVA!$K$14*SQRT(1+Y1961)</f>
        <v>1.43009810755465</v>
      </c>
      <c r="AA1961" s="0" t="n">
        <f aca="false">X1961-Z1961</f>
        <v>43.4382452769482</v>
      </c>
      <c r="AB1961" s="0" t="n">
        <f aca="false">X1961+Z1961</f>
        <v>46.2984414920575</v>
      </c>
      <c r="AC1961" s="54" t="b">
        <f aca="false">AND(E1961&gt;=01_因子設定!$L$5-0.000000001,E1961&lt;=01_因子設定!$M$5+0.000000001,F1961&gt;=01_因子設定!$L$6-0.000000001,F1961&lt;=01_因子設定!$M$6+0.000000001,G1961&gt;=01_因子設定!$L$7-0.000000001,G1961&lt;=01_因子設定!$M$7+0.000000001,H1961&gt;=01_因子設定!$L$8-0.000000001,H1961&lt;=01_因子設定!$M$8+0.000000001,IF(01_因子設定!$B$20="Box-Behnken",E1961^2+F1961^2+G1961^2+H1961^2&lt;=2+0.000000001,TRUE()))</f>
        <v>1</v>
      </c>
      <c r="AD1961" s="55" t="n">
        <f aca="false">IF(AC1961,IF(01_因子設定!$B$13="最大化",AA1961-01_因子設定!$B$14,IF(01_因子設定!$B$13="最小化",01_因子設定!$B$15-AB1961,MIN(AA1961-01_因子設定!$B$14,01_因子設定!$B$15-AB1961))),-1E+030)</f>
        <v>-3.06175472305176</v>
      </c>
      <c r="AE1961" s="55" t="n">
        <f aca="false">IF(AC1961,IF(01_因子設定!$B$13="最大化",X1961,IF(01_因子設定!$B$13="最小化",-X1961,-ABS(X1961-01_因子設定!$B$16))),-1E+030)</f>
        <v>44.8683433845029</v>
      </c>
      <c r="AF1961" s="55" t="n">
        <f aca="false">AD1961+ROW()*0.000000001</f>
        <v>-3.06175276205176</v>
      </c>
      <c r="AG1961" s="55" t="n">
        <f aca="false">AE1961+ROW()*0.000000001</f>
        <v>44.8683453455029</v>
      </c>
    </row>
    <row r="1962" customFormat="false" ht="15" hidden="false" customHeight="false" outlineLevel="0" collapsed="false">
      <c r="A1962" s="0" t="n">
        <v>2</v>
      </c>
      <c r="B1962" s="0" t="n">
        <v>6</v>
      </c>
      <c r="C1962" s="0" t="n">
        <v>1</v>
      </c>
      <c r="D1962" s="0" t="n">
        <v>4</v>
      </c>
      <c r="E1962" s="0" t="n">
        <f aca="false">-1+A1962*0.25</f>
        <v>-0.5</v>
      </c>
      <c r="F1962" s="0" t="n">
        <f aca="false">-1+B1962*0.25</f>
        <v>0.5</v>
      </c>
      <c r="G1962" s="0" t="n">
        <f aca="false">-1+C1962*0.25</f>
        <v>-0.75</v>
      </c>
      <c r="H1962" s="0" t="n">
        <f aca="false">-1+D1962*0.25</f>
        <v>0</v>
      </c>
      <c r="I1962" s="0" t="n">
        <f aca="false">1</f>
        <v>1</v>
      </c>
      <c r="J1962" s="0" t="n">
        <f aca="false">E1962</f>
        <v>-0.5</v>
      </c>
      <c r="K1962" s="0" t="n">
        <f aca="false">F1962</f>
        <v>0.5</v>
      </c>
      <c r="L1962" s="0" t="n">
        <f aca="false">G1962</f>
        <v>-0.75</v>
      </c>
      <c r="M1962" s="0" t="n">
        <f aca="false">H1962</f>
        <v>0</v>
      </c>
      <c r="N1962" s="0" t="n">
        <f aca="false">E1962*F1962</f>
        <v>-0.25</v>
      </c>
      <c r="O1962" s="0" t="n">
        <f aca="false">E1962*G1962</f>
        <v>0.375</v>
      </c>
      <c r="P1962" s="0" t="n">
        <f aca="false">E1962*H1962</f>
        <v>-0</v>
      </c>
      <c r="Q1962" s="0" t="n">
        <f aca="false">F1962*G1962</f>
        <v>-0.375</v>
      </c>
      <c r="R1962" s="0" t="n">
        <f aca="false">F1962*H1962</f>
        <v>0</v>
      </c>
      <c r="S1962" s="0" t="n">
        <f aca="false">G1962*H1962</f>
        <v>-0</v>
      </c>
      <c r="T1962" s="0" t="n">
        <f aca="false">E1962*E1962</f>
        <v>0.25</v>
      </c>
      <c r="U1962" s="0" t="n">
        <f aca="false">F1962*F1962</f>
        <v>0.25</v>
      </c>
      <c r="V1962" s="0" t="n">
        <f aca="false">G1962*G1962</f>
        <v>0.5625</v>
      </c>
      <c r="W1962" s="0" t="n">
        <f aca="false">H1962*H1962</f>
        <v>0</v>
      </c>
      <c r="X1962" s="0" t="n">
        <f aca="false">SUMPRODUCT(I1962:W1962,_XtX!$B$96:$P$96)</f>
        <v>44.8975420321637</v>
      </c>
      <c r="Y1962" s="0" t="n">
        <f aca="false">SUMPRODUCT(MMULT(I1962:W1962,_XtX!$B$78:$P$92),I1962:W1962)</f>
        <v>0.21305052997076</v>
      </c>
      <c r="Z1962" s="0" t="n">
        <f aca="false">04_回帰ANOVA!$K$19*04_回帰ANOVA!$K$14*SQRT(1+Y1962)</f>
        <v>1.43561450835061</v>
      </c>
      <c r="AA1962" s="0" t="n">
        <f aca="false">X1962-Z1962</f>
        <v>43.4619275238131</v>
      </c>
      <c r="AB1962" s="0" t="n">
        <f aca="false">X1962+Z1962</f>
        <v>46.3331565405143</v>
      </c>
      <c r="AC1962" s="54" t="b">
        <f aca="false">AND(E1962&gt;=01_因子設定!$L$5-0.000000001,E1962&lt;=01_因子設定!$M$5+0.000000001,F1962&gt;=01_因子設定!$L$6-0.000000001,F1962&lt;=01_因子設定!$M$6+0.000000001,G1962&gt;=01_因子設定!$L$7-0.000000001,G1962&lt;=01_因子設定!$M$7+0.000000001,H1962&gt;=01_因子設定!$L$8-0.000000001,H1962&lt;=01_因子設定!$M$8+0.000000001,IF(01_因子設定!$B$20="Box-Behnken",E1962^2+F1962^2+G1962^2+H1962^2&lt;=2+0.000000001,TRUE()))</f>
        <v>1</v>
      </c>
      <c r="AD1962" s="55" t="n">
        <f aca="false">IF(AC1962,IF(01_因子設定!$B$13="最大化",AA1962-01_因子設定!$B$14,IF(01_因子設定!$B$13="最小化",01_因子設定!$B$15-AB1962,MIN(AA1962-01_因子設定!$B$14,01_因子設定!$B$15-AB1962))),-1E+030)</f>
        <v>-3.0380724761869</v>
      </c>
      <c r="AE1962" s="55" t="n">
        <f aca="false">IF(AC1962,IF(01_因子設定!$B$13="最大化",X1962,IF(01_因子設定!$B$13="最小化",-X1962,-ABS(X1962-01_因子設定!$B$16))),-1E+030)</f>
        <v>44.8975420321637</v>
      </c>
      <c r="AF1962" s="55" t="n">
        <f aca="false">AD1962+ROW()*0.000000001</f>
        <v>-3.03807051418691</v>
      </c>
      <c r="AG1962" s="55" t="n">
        <f aca="false">AE1962+ROW()*0.000000001</f>
        <v>44.8975439941637</v>
      </c>
    </row>
    <row r="1963" customFormat="false" ht="15" hidden="false" customHeight="false" outlineLevel="0" collapsed="false">
      <c r="A1963" s="0" t="n">
        <v>2</v>
      </c>
      <c r="B1963" s="0" t="n">
        <v>6</v>
      </c>
      <c r="C1963" s="0" t="n">
        <v>1</v>
      </c>
      <c r="D1963" s="0" t="n">
        <v>5</v>
      </c>
      <c r="E1963" s="0" t="n">
        <f aca="false">-1+A1963*0.25</f>
        <v>-0.5</v>
      </c>
      <c r="F1963" s="0" t="n">
        <f aca="false">-1+B1963*0.25</f>
        <v>0.5</v>
      </c>
      <c r="G1963" s="0" t="n">
        <f aca="false">-1+C1963*0.25</f>
        <v>-0.75</v>
      </c>
      <c r="H1963" s="0" t="n">
        <f aca="false">-1+D1963*0.25</f>
        <v>0.25</v>
      </c>
      <c r="I1963" s="0" t="n">
        <f aca="false">1</f>
        <v>1</v>
      </c>
      <c r="J1963" s="0" t="n">
        <f aca="false">E1963</f>
        <v>-0.5</v>
      </c>
      <c r="K1963" s="0" t="n">
        <f aca="false">F1963</f>
        <v>0.5</v>
      </c>
      <c r="L1963" s="0" t="n">
        <f aca="false">G1963</f>
        <v>-0.75</v>
      </c>
      <c r="M1963" s="0" t="n">
        <f aca="false">H1963</f>
        <v>0.25</v>
      </c>
      <c r="N1963" s="0" t="n">
        <f aca="false">E1963*F1963</f>
        <v>-0.25</v>
      </c>
      <c r="O1963" s="0" t="n">
        <f aca="false">E1963*G1963</f>
        <v>0.375</v>
      </c>
      <c r="P1963" s="0" t="n">
        <f aca="false">E1963*H1963</f>
        <v>-0.125</v>
      </c>
      <c r="Q1963" s="0" t="n">
        <f aca="false">F1963*G1963</f>
        <v>-0.375</v>
      </c>
      <c r="R1963" s="0" t="n">
        <f aca="false">F1963*H1963</f>
        <v>0.125</v>
      </c>
      <c r="S1963" s="0" t="n">
        <f aca="false">G1963*H1963</f>
        <v>-0.1875</v>
      </c>
      <c r="T1963" s="0" t="n">
        <f aca="false">E1963*E1963</f>
        <v>0.25</v>
      </c>
      <c r="U1963" s="0" t="n">
        <f aca="false">F1963*F1963</f>
        <v>0.25</v>
      </c>
      <c r="V1963" s="0" t="n">
        <f aca="false">G1963*G1963</f>
        <v>0.5625</v>
      </c>
      <c r="W1963" s="0" t="n">
        <f aca="false">H1963*H1963</f>
        <v>0.0625</v>
      </c>
      <c r="X1963" s="0" t="n">
        <f aca="false">SUMPRODUCT(I1963:W1963,_XtX!$B$96:$P$96)</f>
        <v>44.8789336622807</v>
      </c>
      <c r="Y1963" s="0" t="n">
        <f aca="false">SUMPRODUCT(MMULT(I1963:W1963,_XtX!$B$78:$P$92),I1963:W1963)</f>
        <v>0.203746059484649</v>
      </c>
      <c r="Z1963" s="0" t="n">
        <f aca="false">04_回帰ANOVA!$K$19*04_回帰ANOVA!$K$14*SQRT(1+Y1963)</f>
        <v>1.43009810755465</v>
      </c>
      <c r="AA1963" s="0" t="n">
        <f aca="false">X1963-Z1963</f>
        <v>43.448835554726</v>
      </c>
      <c r="AB1963" s="0" t="n">
        <f aca="false">X1963+Z1963</f>
        <v>46.3090317698353</v>
      </c>
      <c r="AC1963" s="54" t="b">
        <f aca="false">AND(E1963&gt;=01_因子設定!$L$5-0.000000001,E1963&lt;=01_因子設定!$M$5+0.000000001,F1963&gt;=01_因子設定!$L$6-0.000000001,F1963&lt;=01_因子設定!$M$6+0.000000001,G1963&gt;=01_因子設定!$L$7-0.000000001,G1963&lt;=01_因子設定!$M$7+0.000000001,H1963&gt;=01_因子設定!$L$8-0.000000001,H1963&lt;=01_因子設定!$M$8+0.000000001,IF(01_因子設定!$B$20="Box-Behnken",E1963^2+F1963^2+G1963^2+H1963^2&lt;=2+0.000000001,TRUE()))</f>
        <v>1</v>
      </c>
      <c r="AD1963" s="55" t="n">
        <f aca="false">IF(AC1963,IF(01_因子設定!$B$13="最大化",AA1963-01_因子設定!$B$14,IF(01_因子設定!$B$13="最小化",01_因子設定!$B$15-AB1963,MIN(AA1963-01_因子設定!$B$14,01_因子設定!$B$15-AB1963))),-1E+030)</f>
        <v>-3.05116444527398</v>
      </c>
      <c r="AE1963" s="55" t="n">
        <f aca="false">IF(AC1963,IF(01_因子設定!$B$13="最大化",X1963,IF(01_因子設定!$B$13="最小化",-X1963,-ABS(X1963-01_因子設定!$B$16))),-1E+030)</f>
        <v>44.8789336622807</v>
      </c>
      <c r="AF1963" s="55" t="n">
        <f aca="false">AD1963+ROW()*0.000000001</f>
        <v>-3.05116248227398</v>
      </c>
      <c r="AG1963" s="55" t="n">
        <f aca="false">AE1963+ROW()*0.000000001</f>
        <v>44.8789356252807</v>
      </c>
    </row>
    <row r="1964" customFormat="false" ht="15" hidden="false" customHeight="false" outlineLevel="0" collapsed="false">
      <c r="A1964" s="0" t="n">
        <v>2</v>
      </c>
      <c r="B1964" s="0" t="n">
        <v>6</v>
      </c>
      <c r="C1964" s="0" t="n">
        <v>1</v>
      </c>
      <c r="D1964" s="0" t="n">
        <v>6</v>
      </c>
      <c r="E1964" s="0" t="n">
        <f aca="false">-1+A1964*0.25</f>
        <v>-0.5</v>
      </c>
      <c r="F1964" s="0" t="n">
        <f aca="false">-1+B1964*0.25</f>
        <v>0.5</v>
      </c>
      <c r="G1964" s="0" t="n">
        <f aca="false">-1+C1964*0.25</f>
        <v>-0.75</v>
      </c>
      <c r="H1964" s="0" t="n">
        <f aca="false">-1+D1964*0.25</f>
        <v>0.5</v>
      </c>
      <c r="I1964" s="0" t="n">
        <f aca="false">1</f>
        <v>1</v>
      </c>
      <c r="J1964" s="0" t="n">
        <f aca="false">E1964</f>
        <v>-0.5</v>
      </c>
      <c r="K1964" s="0" t="n">
        <f aca="false">F1964</f>
        <v>0.5</v>
      </c>
      <c r="L1964" s="0" t="n">
        <f aca="false">G1964</f>
        <v>-0.75</v>
      </c>
      <c r="M1964" s="0" t="n">
        <f aca="false">H1964</f>
        <v>0.5</v>
      </c>
      <c r="N1964" s="0" t="n">
        <f aca="false">E1964*F1964</f>
        <v>-0.25</v>
      </c>
      <c r="O1964" s="0" t="n">
        <f aca="false">E1964*G1964</f>
        <v>0.375</v>
      </c>
      <c r="P1964" s="0" t="n">
        <f aca="false">E1964*H1964</f>
        <v>-0.25</v>
      </c>
      <c r="Q1964" s="0" t="n">
        <f aca="false">F1964*G1964</f>
        <v>-0.375</v>
      </c>
      <c r="R1964" s="0" t="n">
        <f aca="false">F1964*H1964</f>
        <v>0.25</v>
      </c>
      <c r="S1964" s="0" t="n">
        <f aca="false">G1964*H1964</f>
        <v>-0.375</v>
      </c>
      <c r="T1964" s="0" t="n">
        <f aca="false">E1964*E1964</f>
        <v>0.25</v>
      </c>
      <c r="U1964" s="0" t="n">
        <f aca="false">F1964*F1964</f>
        <v>0.25</v>
      </c>
      <c r="V1964" s="0" t="n">
        <f aca="false">G1964*G1964</f>
        <v>0.5625</v>
      </c>
      <c r="W1964" s="0" t="n">
        <f aca="false">H1964*H1964</f>
        <v>0.25</v>
      </c>
      <c r="X1964" s="0" t="n">
        <f aca="false">SUMPRODUCT(I1964:W1964,_XtX!$B$96:$P$96)</f>
        <v>44.8125182748538</v>
      </c>
      <c r="Y1964" s="0" t="n">
        <f aca="false">SUMPRODUCT(MMULT(I1964:W1964,_XtX!$B$78:$P$92),I1964:W1964)</f>
        <v>0.193924753289474</v>
      </c>
      <c r="Z1964" s="0" t="n">
        <f aca="false">04_回帰ANOVA!$K$19*04_回帰ANOVA!$K$14*SQRT(1+Y1964)</f>
        <v>1.4242521079916</v>
      </c>
      <c r="AA1964" s="0" t="n">
        <f aca="false">X1964-Z1964</f>
        <v>43.3882661668622</v>
      </c>
      <c r="AB1964" s="0" t="n">
        <f aca="false">X1964+Z1964</f>
        <v>46.2367703828454</v>
      </c>
      <c r="AC1964" s="54" t="b">
        <f aca="false">AND(E1964&gt;=01_因子設定!$L$5-0.000000001,E1964&lt;=01_因子設定!$M$5+0.000000001,F1964&gt;=01_因子設定!$L$6-0.000000001,F1964&lt;=01_因子設定!$M$6+0.000000001,G1964&gt;=01_因子設定!$L$7-0.000000001,G1964&lt;=01_因子設定!$M$7+0.000000001,H1964&gt;=01_因子設定!$L$8-0.000000001,H1964&lt;=01_因子設定!$M$8+0.000000001,IF(01_因子設定!$B$20="Box-Behnken",E1964^2+F1964^2+G1964^2+H1964^2&lt;=2+0.000000001,TRUE()))</f>
        <v>1</v>
      </c>
      <c r="AD1964" s="55" t="n">
        <f aca="false">IF(AC1964,IF(01_因子設定!$B$13="最大化",AA1964-01_因子設定!$B$14,IF(01_因子設定!$B$13="最小化",01_因子設定!$B$15-AB1964,MIN(AA1964-01_因子設定!$B$14,01_因子設定!$B$15-AB1964))),-1E+030)</f>
        <v>-3.11173383313783</v>
      </c>
      <c r="AE1964" s="55" t="n">
        <f aca="false">IF(AC1964,IF(01_因子設定!$B$13="最大化",X1964,IF(01_因子設定!$B$13="最小化",-X1964,-ABS(X1964-01_因子設定!$B$16))),-1E+030)</f>
        <v>44.8125182748538</v>
      </c>
      <c r="AF1964" s="55" t="n">
        <f aca="false">AD1964+ROW()*0.000000001</f>
        <v>-3.11173186913783</v>
      </c>
      <c r="AG1964" s="55" t="n">
        <f aca="false">AE1964+ROW()*0.000000001</f>
        <v>44.8125202388538</v>
      </c>
    </row>
    <row r="1965" customFormat="false" ht="15" hidden="false" customHeight="false" outlineLevel="0" collapsed="false">
      <c r="A1965" s="0" t="n">
        <v>2</v>
      </c>
      <c r="B1965" s="0" t="n">
        <v>6</v>
      </c>
      <c r="C1965" s="0" t="n">
        <v>1</v>
      </c>
      <c r="D1965" s="0" t="n">
        <v>7</v>
      </c>
      <c r="E1965" s="0" t="n">
        <f aca="false">-1+A1965*0.25</f>
        <v>-0.5</v>
      </c>
      <c r="F1965" s="0" t="n">
        <f aca="false">-1+B1965*0.25</f>
        <v>0.5</v>
      </c>
      <c r="G1965" s="0" t="n">
        <f aca="false">-1+C1965*0.25</f>
        <v>-0.75</v>
      </c>
      <c r="H1965" s="0" t="n">
        <f aca="false">-1+D1965*0.25</f>
        <v>0.75</v>
      </c>
      <c r="I1965" s="0" t="n">
        <f aca="false">1</f>
        <v>1</v>
      </c>
      <c r="J1965" s="0" t="n">
        <f aca="false">E1965</f>
        <v>-0.5</v>
      </c>
      <c r="K1965" s="0" t="n">
        <f aca="false">F1965</f>
        <v>0.5</v>
      </c>
      <c r="L1965" s="0" t="n">
        <f aca="false">G1965</f>
        <v>-0.75</v>
      </c>
      <c r="M1965" s="0" t="n">
        <f aca="false">H1965</f>
        <v>0.75</v>
      </c>
      <c r="N1965" s="0" t="n">
        <f aca="false">E1965*F1965</f>
        <v>-0.25</v>
      </c>
      <c r="O1965" s="0" t="n">
        <f aca="false">E1965*G1965</f>
        <v>0.375</v>
      </c>
      <c r="P1965" s="0" t="n">
        <f aca="false">E1965*H1965</f>
        <v>-0.375</v>
      </c>
      <c r="Q1965" s="0" t="n">
        <f aca="false">F1965*G1965</f>
        <v>-0.375</v>
      </c>
      <c r="R1965" s="0" t="n">
        <f aca="false">F1965*H1965</f>
        <v>0.375</v>
      </c>
      <c r="S1965" s="0" t="n">
        <f aca="false">G1965*H1965</f>
        <v>-0.5625</v>
      </c>
      <c r="T1965" s="0" t="n">
        <f aca="false">E1965*E1965</f>
        <v>0.25</v>
      </c>
      <c r="U1965" s="0" t="n">
        <f aca="false">F1965*F1965</f>
        <v>0.25</v>
      </c>
      <c r="V1965" s="0" t="n">
        <f aca="false">G1965*G1965</f>
        <v>0.5625</v>
      </c>
      <c r="W1965" s="0" t="n">
        <f aca="false">H1965*H1965</f>
        <v>0.5625</v>
      </c>
      <c r="X1965" s="0" t="n">
        <f aca="false">SUMPRODUCT(I1965:W1965,_XtX!$B$96:$P$96)</f>
        <v>44.698295869883</v>
      </c>
      <c r="Y1965" s="0" t="n">
        <f aca="false">SUMPRODUCT(MMULT(I1965:W1965,_XtX!$B$78:$P$92),I1965:W1965)</f>
        <v>0.237862927174708</v>
      </c>
      <c r="Z1965" s="0" t="n">
        <f aca="false">04_回帰ANOVA!$K$19*04_回帰ANOVA!$K$14*SQRT(1+Y1965)</f>
        <v>1.45022260708756</v>
      </c>
      <c r="AA1965" s="0" t="n">
        <f aca="false">X1965-Z1965</f>
        <v>43.2480732627955</v>
      </c>
      <c r="AB1965" s="0" t="n">
        <f aca="false">X1965+Z1965</f>
        <v>46.1485184769706</v>
      </c>
      <c r="AC1965" s="54" t="b">
        <f aca="false">AND(E1965&gt;=01_因子設定!$L$5-0.000000001,E1965&lt;=01_因子設定!$M$5+0.000000001,F1965&gt;=01_因子設定!$L$6-0.000000001,F1965&lt;=01_因子設定!$M$6+0.000000001,G1965&gt;=01_因子設定!$L$7-0.000000001,G1965&lt;=01_因子設定!$M$7+0.000000001,H1965&gt;=01_因子設定!$L$8-0.000000001,H1965&lt;=01_因子設定!$M$8+0.000000001,IF(01_因子設定!$B$20="Box-Behnken",E1965^2+F1965^2+G1965^2+H1965^2&lt;=2+0.000000001,TRUE()))</f>
        <v>1</v>
      </c>
      <c r="AD1965" s="55" t="n">
        <f aca="false">IF(AC1965,IF(01_因子設定!$B$13="最大化",AA1965-01_因子設定!$B$14,IF(01_因子設定!$B$13="最小化",01_因子設定!$B$15-AB1965,MIN(AA1965-01_因子設定!$B$14,01_因子設定!$B$15-AB1965))),-1E+030)</f>
        <v>-3.25192673720454</v>
      </c>
      <c r="AE1965" s="55" t="n">
        <f aca="false">IF(AC1965,IF(01_因子設定!$B$13="最大化",X1965,IF(01_因子設定!$B$13="最小化",-X1965,-ABS(X1965-01_因子設定!$B$16))),-1E+030)</f>
        <v>44.698295869883</v>
      </c>
      <c r="AF1965" s="55" t="n">
        <f aca="false">AD1965+ROW()*0.000000001</f>
        <v>-3.25192477220454</v>
      </c>
      <c r="AG1965" s="55" t="n">
        <f aca="false">AE1965+ROW()*0.000000001</f>
        <v>44.698297834883</v>
      </c>
    </row>
    <row r="1966" customFormat="false" ht="15" hidden="false" customHeight="false" outlineLevel="0" collapsed="false">
      <c r="A1966" s="0" t="n">
        <v>2</v>
      </c>
      <c r="B1966" s="0" t="n">
        <v>6</v>
      </c>
      <c r="C1966" s="0" t="n">
        <v>1</v>
      </c>
      <c r="D1966" s="0" t="n">
        <v>8</v>
      </c>
      <c r="E1966" s="0" t="n">
        <f aca="false">-1+A1966*0.25</f>
        <v>-0.5</v>
      </c>
      <c r="F1966" s="0" t="n">
        <f aca="false">-1+B1966*0.25</f>
        <v>0.5</v>
      </c>
      <c r="G1966" s="0" t="n">
        <f aca="false">-1+C1966*0.25</f>
        <v>-0.75</v>
      </c>
      <c r="H1966" s="0" t="n">
        <f aca="false">-1+D1966*0.25</f>
        <v>1</v>
      </c>
      <c r="I1966" s="0" t="n">
        <f aca="false">1</f>
        <v>1</v>
      </c>
      <c r="J1966" s="0" t="n">
        <f aca="false">E1966</f>
        <v>-0.5</v>
      </c>
      <c r="K1966" s="0" t="n">
        <f aca="false">F1966</f>
        <v>0.5</v>
      </c>
      <c r="L1966" s="0" t="n">
        <f aca="false">G1966</f>
        <v>-0.75</v>
      </c>
      <c r="M1966" s="0" t="n">
        <f aca="false">H1966</f>
        <v>1</v>
      </c>
      <c r="N1966" s="0" t="n">
        <f aca="false">E1966*F1966</f>
        <v>-0.25</v>
      </c>
      <c r="O1966" s="0" t="n">
        <f aca="false">E1966*G1966</f>
        <v>0.375</v>
      </c>
      <c r="P1966" s="0" t="n">
        <f aca="false">E1966*H1966</f>
        <v>-0.5</v>
      </c>
      <c r="Q1966" s="0" t="n">
        <f aca="false">F1966*G1966</f>
        <v>-0.375</v>
      </c>
      <c r="R1966" s="0" t="n">
        <f aca="false">F1966*H1966</f>
        <v>0.5</v>
      </c>
      <c r="S1966" s="0" t="n">
        <f aca="false">G1966*H1966</f>
        <v>-0.75</v>
      </c>
      <c r="T1966" s="0" t="n">
        <f aca="false">E1966*E1966</f>
        <v>0.25</v>
      </c>
      <c r="U1966" s="0" t="n">
        <f aca="false">F1966*F1966</f>
        <v>0.25</v>
      </c>
      <c r="V1966" s="0" t="n">
        <f aca="false">G1966*G1966</f>
        <v>0.5625</v>
      </c>
      <c r="W1966" s="0" t="n">
        <f aca="false">H1966*H1966</f>
        <v>1</v>
      </c>
      <c r="X1966" s="0" t="n">
        <f aca="false">SUMPRODUCT(I1966:W1966,_XtX!$B$96:$P$96)</f>
        <v>44.5362664473684</v>
      </c>
      <c r="Y1966" s="0" t="n">
        <f aca="false">SUMPRODUCT(MMULT(I1966:W1966,_XtX!$B$78:$P$92),I1966:W1966)</f>
        <v>0.42602110745614</v>
      </c>
      <c r="Z1966" s="0" t="n">
        <f aca="false">04_回帰ANOVA!$K$19*04_回帰ANOVA!$K$14*SQRT(1+Y1966)</f>
        <v>1.55654388501114</v>
      </c>
      <c r="AA1966" s="0" t="n">
        <f aca="false">X1966-Z1966</f>
        <v>42.9797225623573</v>
      </c>
      <c r="AB1966" s="0" t="n">
        <f aca="false">X1966+Z1966</f>
        <v>46.0928103323796</v>
      </c>
      <c r="AC1966" s="54" t="b">
        <f aca="false">AND(E1966&gt;=01_因子設定!$L$5-0.000000001,E1966&lt;=01_因子設定!$M$5+0.000000001,F1966&gt;=01_因子設定!$L$6-0.000000001,F1966&lt;=01_因子設定!$M$6+0.000000001,G1966&gt;=01_因子設定!$L$7-0.000000001,G1966&lt;=01_因子設定!$M$7+0.000000001,H1966&gt;=01_因子設定!$L$8-0.000000001,H1966&lt;=01_因子設定!$M$8+0.000000001,IF(01_因子設定!$B$20="Box-Behnken",E1966^2+F1966^2+G1966^2+H1966^2&lt;=2+0.000000001,TRUE()))</f>
        <v>1</v>
      </c>
      <c r="AD1966" s="55" t="n">
        <f aca="false">IF(AC1966,IF(01_因子設定!$B$13="最大化",AA1966-01_因子設定!$B$14,IF(01_因子設定!$B$13="最小化",01_因子設定!$B$15-AB1966,MIN(AA1966-01_因子設定!$B$14,01_因子設定!$B$15-AB1966))),-1E+030)</f>
        <v>-3.52027743764272</v>
      </c>
      <c r="AE1966" s="55" t="n">
        <f aca="false">IF(AC1966,IF(01_因子設定!$B$13="最大化",X1966,IF(01_因子設定!$B$13="最小化",-X1966,-ABS(X1966-01_因子設定!$B$16))),-1E+030)</f>
        <v>44.5362664473684</v>
      </c>
      <c r="AF1966" s="55" t="n">
        <f aca="false">AD1966+ROW()*0.000000001</f>
        <v>-3.52027547164272</v>
      </c>
      <c r="AG1966" s="55" t="n">
        <f aca="false">AE1966+ROW()*0.000000001</f>
        <v>44.5362684133684</v>
      </c>
    </row>
    <row r="1967" customFormat="false" ht="15" hidden="false" customHeight="false" outlineLevel="0" collapsed="false">
      <c r="A1967" s="0" t="n">
        <v>2</v>
      </c>
      <c r="B1967" s="0" t="n">
        <v>6</v>
      </c>
      <c r="C1967" s="0" t="n">
        <v>2</v>
      </c>
      <c r="D1967" s="0" t="n">
        <v>0</v>
      </c>
      <c r="E1967" s="0" t="n">
        <f aca="false">-1+A1967*0.25</f>
        <v>-0.5</v>
      </c>
      <c r="F1967" s="0" t="n">
        <f aca="false">-1+B1967*0.25</f>
        <v>0.5</v>
      </c>
      <c r="G1967" s="0" t="n">
        <f aca="false">-1+C1967*0.25</f>
        <v>-0.5</v>
      </c>
      <c r="H1967" s="0" t="n">
        <f aca="false">-1+D1967*0.25</f>
        <v>-1</v>
      </c>
      <c r="I1967" s="0" t="n">
        <f aca="false">1</f>
        <v>1</v>
      </c>
      <c r="J1967" s="0" t="n">
        <f aca="false">E1967</f>
        <v>-0.5</v>
      </c>
      <c r="K1967" s="0" t="n">
        <f aca="false">F1967</f>
        <v>0.5</v>
      </c>
      <c r="L1967" s="0" t="n">
        <f aca="false">G1967</f>
        <v>-0.5</v>
      </c>
      <c r="M1967" s="0" t="n">
        <f aca="false">H1967</f>
        <v>-1</v>
      </c>
      <c r="N1967" s="0" t="n">
        <f aca="false">E1967*F1967</f>
        <v>-0.25</v>
      </c>
      <c r="O1967" s="0" t="n">
        <f aca="false">E1967*G1967</f>
        <v>0.25</v>
      </c>
      <c r="P1967" s="0" t="n">
        <f aca="false">E1967*H1967</f>
        <v>0.5</v>
      </c>
      <c r="Q1967" s="0" t="n">
        <f aca="false">F1967*G1967</f>
        <v>-0.25</v>
      </c>
      <c r="R1967" s="0" t="n">
        <f aca="false">F1967*H1967</f>
        <v>-0.5</v>
      </c>
      <c r="S1967" s="0" t="n">
        <f aca="false">G1967*H1967</f>
        <v>0.5</v>
      </c>
      <c r="T1967" s="0" t="n">
        <f aca="false">E1967*E1967</f>
        <v>0.25</v>
      </c>
      <c r="U1967" s="0" t="n">
        <f aca="false">F1967*F1967</f>
        <v>0.25</v>
      </c>
      <c r="V1967" s="0" t="n">
        <f aca="false">G1967*G1967</f>
        <v>0.25</v>
      </c>
      <c r="W1967" s="0" t="n">
        <f aca="false">H1967*H1967</f>
        <v>1</v>
      </c>
      <c r="X1967" s="0" t="n">
        <f aca="false">SUMPRODUCT(I1967:W1967,_XtX!$B$96:$P$96)</f>
        <v>45.0014437134503</v>
      </c>
      <c r="Y1967" s="0" t="n">
        <f aca="false">SUMPRODUCT(MMULT(I1967:W1967,_XtX!$B$78:$P$92),I1967:W1967)</f>
        <v>0.404719480994152</v>
      </c>
      <c r="Z1967" s="0" t="n">
        <f aca="false">04_回帰ANOVA!$K$19*04_回帰ANOVA!$K$14*SQRT(1+Y1967)</f>
        <v>1.54487446697867</v>
      </c>
      <c r="AA1967" s="0" t="n">
        <f aca="false">X1967-Z1967</f>
        <v>43.4565692464716</v>
      </c>
      <c r="AB1967" s="0" t="n">
        <f aca="false">X1967+Z1967</f>
        <v>46.546318180429</v>
      </c>
      <c r="AC1967" s="54" t="b">
        <f aca="false">AND(E1967&gt;=01_因子設定!$L$5-0.000000001,E1967&lt;=01_因子設定!$M$5+0.000000001,F1967&gt;=01_因子設定!$L$6-0.000000001,F1967&lt;=01_因子設定!$M$6+0.000000001,G1967&gt;=01_因子設定!$L$7-0.000000001,G1967&lt;=01_因子設定!$M$7+0.000000001,H1967&gt;=01_因子設定!$L$8-0.000000001,H1967&lt;=01_因子設定!$M$8+0.000000001,IF(01_因子設定!$B$20="Box-Behnken",E1967^2+F1967^2+G1967^2+H1967^2&lt;=2+0.000000001,TRUE()))</f>
        <v>1</v>
      </c>
      <c r="AD1967" s="55" t="n">
        <f aca="false">IF(AC1967,IF(01_因子設定!$B$13="最大化",AA1967-01_因子設定!$B$14,IF(01_因子設定!$B$13="最小化",01_因子設定!$B$15-AB1967,MIN(AA1967-01_因子設定!$B$14,01_因子設定!$B$15-AB1967))),-1E+030)</f>
        <v>-3.04343075352839</v>
      </c>
      <c r="AE1967" s="55" t="n">
        <f aca="false">IF(AC1967,IF(01_因子設定!$B$13="最大化",X1967,IF(01_因子設定!$B$13="最小化",-X1967,-ABS(X1967-01_因子設定!$B$16))),-1E+030)</f>
        <v>45.0014437134503</v>
      </c>
      <c r="AF1967" s="55" t="n">
        <f aca="false">AD1967+ROW()*0.000000001</f>
        <v>-3.04342878652839</v>
      </c>
      <c r="AG1967" s="55" t="n">
        <f aca="false">AE1967+ROW()*0.000000001</f>
        <v>45.0014456804503</v>
      </c>
    </row>
    <row r="1968" customFormat="false" ht="15" hidden="false" customHeight="false" outlineLevel="0" collapsed="false">
      <c r="A1968" s="0" t="n">
        <v>2</v>
      </c>
      <c r="B1968" s="0" t="n">
        <v>6</v>
      </c>
      <c r="C1968" s="0" t="n">
        <v>2</v>
      </c>
      <c r="D1968" s="0" t="n">
        <v>1</v>
      </c>
      <c r="E1968" s="0" t="n">
        <f aca="false">-1+A1968*0.25</f>
        <v>-0.5</v>
      </c>
      <c r="F1968" s="0" t="n">
        <f aca="false">-1+B1968*0.25</f>
        <v>0.5</v>
      </c>
      <c r="G1968" s="0" t="n">
        <f aca="false">-1+C1968*0.25</f>
        <v>-0.5</v>
      </c>
      <c r="H1968" s="0" t="n">
        <f aca="false">-1+D1968*0.25</f>
        <v>-0.75</v>
      </c>
      <c r="I1968" s="0" t="n">
        <f aca="false">1</f>
        <v>1</v>
      </c>
      <c r="J1968" s="0" t="n">
        <f aca="false">E1968</f>
        <v>-0.5</v>
      </c>
      <c r="K1968" s="0" t="n">
        <f aca="false">F1968</f>
        <v>0.5</v>
      </c>
      <c r="L1968" s="0" t="n">
        <f aca="false">G1968</f>
        <v>-0.5</v>
      </c>
      <c r="M1968" s="0" t="n">
        <f aca="false">H1968</f>
        <v>-0.75</v>
      </c>
      <c r="N1968" s="0" t="n">
        <f aca="false">E1968*F1968</f>
        <v>-0.25</v>
      </c>
      <c r="O1968" s="0" t="n">
        <f aca="false">E1968*G1968</f>
        <v>0.25</v>
      </c>
      <c r="P1968" s="0" t="n">
        <f aca="false">E1968*H1968</f>
        <v>0.375</v>
      </c>
      <c r="Q1968" s="0" t="n">
        <f aca="false">F1968*G1968</f>
        <v>-0.25</v>
      </c>
      <c r="R1968" s="0" t="n">
        <f aca="false">F1968*H1968</f>
        <v>-0.375</v>
      </c>
      <c r="S1968" s="0" t="n">
        <f aca="false">G1968*H1968</f>
        <v>0.375</v>
      </c>
      <c r="T1968" s="0" t="n">
        <f aca="false">E1968*E1968</f>
        <v>0.25</v>
      </c>
      <c r="U1968" s="0" t="n">
        <f aca="false">F1968*F1968</f>
        <v>0.25</v>
      </c>
      <c r="V1968" s="0" t="n">
        <f aca="false">G1968*G1968</f>
        <v>0.25</v>
      </c>
      <c r="W1968" s="0" t="n">
        <f aca="false">H1968*H1968</f>
        <v>0.5625</v>
      </c>
      <c r="X1968" s="0" t="n">
        <f aca="false">SUMPRODUCT(I1968:W1968,_XtX!$B$96:$P$96)</f>
        <v>45.1920321637427</v>
      </c>
      <c r="Y1968" s="0" t="n">
        <f aca="false">SUMPRODUCT(MMULT(I1968:W1968,_XtX!$B$78:$P$92),I1968:W1968)</f>
        <v>0.193924753289474</v>
      </c>
      <c r="Z1968" s="0" t="n">
        <f aca="false">04_回帰ANOVA!$K$19*04_回帰ANOVA!$K$14*SQRT(1+Y1968)</f>
        <v>1.4242521079916</v>
      </c>
      <c r="AA1968" s="0" t="n">
        <f aca="false">X1968-Z1968</f>
        <v>43.7677800557511</v>
      </c>
      <c r="AB1968" s="0" t="n">
        <f aca="false">X1968+Z1968</f>
        <v>46.6162842717343</v>
      </c>
      <c r="AC1968" s="54" t="b">
        <f aca="false">AND(E1968&gt;=01_因子設定!$L$5-0.000000001,E1968&lt;=01_因子設定!$M$5+0.000000001,F1968&gt;=01_因子設定!$L$6-0.000000001,F1968&lt;=01_因子設定!$M$6+0.000000001,G1968&gt;=01_因子設定!$L$7-0.000000001,G1968&lt;=01_因子設定!$M$7+0.000000001,H1968&gt;=01_因子設定!$L$8-0.000000001,H1968&lt;=01_因子設定!$M$8+0.000000001,IF(01_因子設定!$B$20="Box-Behnken",E1968^2+F1968^2+G1968^2+H1968^2&lt;=2+0.000000001,TRUE()))</f>
        <v>1</v>
      </c>
      <c r="AD1968" s="55" t="n">
        <f aca="false">IF(AC1968,IF(01_因子設定!$B$13="最大化",AA1968-01_因子設定!$B$14,IF(01_因子設定!$B$13="最小化",01_因子設定!$B$15-AB1968,MIN(AA1968-01_因子設定!$B$14,01_因子設定!$B$15-AB1968))),-1E+030)</f>
        <v>-2.73221994424893</v>
      </c>
      <c r="AE1968" s="55" t="n">
        <f aca="false">IF(AC1968,IF(01_因子設定!$B$13="最大化",X1968,IF(01_因子設定!$B$13="最小化",-X1968,-ABS(X1968-01_因子設定!$B$16))),-1E+030)</f>
        <v>45.1920321637427</v>
      </c>
      <c r="AF1968" s="55" t="n">
        <f aca="false">AD1968+ROW()*0.000000001</f>
        <v>-2.73221797624893</v>
      </c>
      <c r="AG1968" s="55" t="n">
        <f aca="false">AE1968+ROW()*0.000000001</f>
        <v>45.1920341317427</v>
      </c>
    </row>
    <row r="1969" customFormat="false" ht="15" hidden="false" customHeight="false" outlineLevel="0" collapsed="false">
      <c r="A1969" s="0" t="n">
        <v>2</v>
      </c>
      <c r="B1969" s="0" t="n">
        <v>6</v>
      </c>
      <c r="C1969" s="0" t="n">
        <v>2</v>
      </c>
      <c r="D1969" s="0" t="n">
        <v>2</v>
      </c>
      <c r="E1969" s="0" t="n">
        <f aca="false">-1+A1969*0.25</f>
        <v>-0.5</v>
      </c>
      <c r="F1969" s="0" t="n">
        <f aca="false">-1+B1969*0.25</f>
        <v>0.5</v>
      </c>
      <c r="G1969" s="0" t="n">
        <f aca="false">-1+C1969*0.25</f>
        <v>-0.5</v>
      </c>
      <c r="H1969" s="0" t="n">
        <f aca="false">-1+D1969*0.25</f>
        <v>-0.5</v>
      </c>
      <c r="I1969" s="0" t="n">
        <f aca="false">1</f>
        <v>1</v>
      </c>
      <c r="J1969" s="0" t="n">
        <f aca="false">E1969</f>
        <v>-0.5</v>
      </c>
      <c r="K1969" s="0" t="n">
        <f aca="false">F1969</f>
        <v>0.5</v>
      </c>
      <c r="L1969" s="0" t="n">
        <f aca="false">G1969</f>
        <v>-0.5</v>
      </c>
      <c r="M1969" s="0" t="n">
        <f aca="false">H1969</f>
        <v>-0.5</v>
      </c>
      <c r="N1969" s="0" t="n">
        <f aca="false">E1969*F1969</f>
        <v>-0.25</v>
      </c>
      <c r="O1969" s="0" t="n">
        <f aca="false">E1969*G1969</f>
        <v>0.25</v>
      </c>
      <c r="P1969" s="0" t="n">
        <f aca="false">E1969*H1969</f>
        <v>0.25</v>
      </c>
      <c r="Q1969" s="0" t="n">
        <f aca="false">F1969*G1969</f>
        <v>-0.25</v>
      </c>
      <c r="R1969" s="0" t="n">
        <f aca="false">F1969*H1969</f>
        <v>-0.25</v>
      </c>
      <c r="S1969" s="0" t="n">
        <f aca="false">G1969*H1969</f>
        <v>0.25</v>
      </c>
      <c r="T1969" s="0" t="n">
        <f aca="false">E1969*E1969</f>
        <v>0.25</v>
      </c>
      <c r="U1969" s="0" t="n">
        <f aca="false">F1969*F1969</f>
        <v>0.25</v>
      </c>
      <c r="V1969" s="0" t="n">
        <f aca="false">G1969*G1969</f>
        <v>0.25</v>
      </c>
      <c r="W1969" s="0" t="n">
        <f aca="false">H1969*H1969</f>
        <v>0.25</v>
      </c>
      <c r="X1969" s="0" t="n">
        <f aca="false">SUMPRODUCT(I1969:W1969,_XtX!$B$96:$P$96)</f>
        <v>45.3348135964912</v>
      </c>
      <c r="Y1969" s="0" t="n">
        <f aca="false">SUMPRODUCT(MMULT(I1969:W1969,_XtX!$B$78:$P$92),I1969:W1969)</f>
        <v>0.133817616959064</v>
      </c>
      <c r="Z1969" s="0" t="n">
        <f aca="false">04_回帰ANOVA!$K$19*04_回帰ANOVA!$K$14*SQRT(1+Y1969)</f>
        <v>1.38793776569887</v>
      </c>
      <c r="AA1969" s="0" t="n">
        <f aca="false">X1969-Z1969</f>
        <v>43.9468758307923</v>
      </c>
      <c r="AB1969" s="0" t="n">
        <f aca="false">X1969+Z1969</f>
        <v>46.7227513621901</v>
      </c>
      <c r="AC1969" s="54" t="b">
        <f aca="false">AND(E1969&gt;=01_因子設定!$L$5-0.000000001,E1969&lt;=01_因子設定!$M$5+0.000000001,F1969&gt;=01_因子設定!$L$6-0.000000001,F1969&lt;=01_因子設定!$M$6+0.000000001,G1969&gt;=01_因子設定!$L$7-0.000000001,G1969&lt;=01_因子設定!$M$7+0.000000001,H1969&gt;=01_因子設定!$L$8-0.000000001,H1969&lt;=01_因子設定!$M$8+0.000000001,IF(01_因子設定!$B$20="Box-Behnken",E1969^2+F1969^2+G1969^2+H1969^2&lt;=2+0.000000001,TRUE()))</f>
        <v>1</v>
      </c>
      <c r="AD1969" s="55" t="n">
        <f aca="false">IF(AC1969,IF(01_因子設定!$B$13="最大化",AA1969-01_因子設定!$B$14,IF(01_因子設定!$B$13="最小化",01_因子設定!$B$15-AB1969,MIN(AA1969-01_因子設定!$B$14,01_因子設定!$B$15-AB1969))),-1E+030)</f>
        <v>-2.55312416920767</v>
      </c>
      <c r="AE1969" s="55" t="n">
        <f aca="false">IF(AC1969,IF(01_因子設定!$B$13="最大化",X1969,IF(01_因子設定!$B$13="最小化",-X1969,-ABS(X1969-01_因子設定!$B$16))),-1E+030)</f>
        <v>45.3348135964912</v>
      </c>
      <c r="AF1969" s="55" t="n">
        <f aca="false">AD1969+ROW()*0.000000001</f>
        <v>-2.55312220020767</v>
      </c>
      <c r="AG1969" s="55" t="n">
        <f aca="false">AE1969+ROW()*0.000000001</f>
        <v>45.3348155654912</v>
      </c>
    </row>
    <row r="1970" customFormat="false" ht="15" hidden="false" customHeight="false" outlineLevel="0" collapsed="false">
      <c r="A1970" s="0" t="n">
        <v>2</v>
      </c>
      <c r="B1970" s="0" t="n">
        <v>6</v>
      </c>
      <c r="C1970" s="0" t="n">
        <v>2</v>
      </c>
      <c r="D1970" s="0" t="n">
        <v>3</v>
      </c>
      <c r="E1970" s="0" t="n">
        <f aca="false">-1+A1970*0.25</f>
        <v>-0.5</v>
      </c>
      <c r="F1970" s="0" t="n">
        <f aca="false">-1+B1970*0.25</f>
        <v>0.5</v>
      </c>
      <c r="G1970" s="0" t="n">
        <f aca="false">-1+C1970*0.25</f>
        <v>-0.5</v>
      </c>
      <c r="H1970" s="0" t="n">
        <f aca="false">-1+D1970*0.25</f>
        <v>-0.25</v>
      </c>
      <c r="I1970" s="0" t="n">
        <f aca="false">1</f>
        <v>1</v>
      </c>
      <c r="J1970" s="0" t="n">
        <f aca="false">E1970</f>
        <v>-0.5</v>
      </c>
      <c r="K1970" s="0" t="n">
        <f aca="false">F1970</f>
        <v>0.5</v>
      </c>
      <c r="L1970" s="0" t="n">
        <f aca="false">G1970</f>
        <v>-0.5</v>
      </c>
      <c r="M1970" s="0" t="n">
        <f aca="false">H1970</f>
        <v>-0.25</v>
      </c>
      <c r="N1970" s="0" t="n">
        <f aca="false">E1970*F1970</f>
        <v>-0.25</v>
      </c>
      <c r="O1970" s="0" t="n">
        <f aca="false">E1970*G1970</f>
        <v>0.25</v>
      </c>
      <c r="P1970" s="0" t="n">
        <f aca="false">E1970*H1970</f>
        <v>0.125</v>
      </c>
      <c r="Q1970" s="0" t="n">
        <f aca="false">F1970*G1970</f>
        <v>-0.25</v>
      </c>
      <c r="R1970" s="0" t="n">
        <f aca="false">F1970*H1970</f>
        <v>-0.125</v>
      </c>
      <c r="S1970" s="0" t="n">
        <f aca="false">G1970*H1970</f>
        <v>0.125</v>
      </c>
      <c r="T1970" s="0" t="n">
        <f aca="false">E1970*E1970</f>
        <v>0.25</v>
      </c>
      <c r="U1970" s="0" t="n">
        <f aca="false">F1970*F1970</f>
        <v>0.25</v>
      </c>
      <c r="V1970" s="0" t="n">
        <f aca="false">G1970*G1970</f>
        <v>0.25</v>
      </c>
      <c r="W1970" s="0" t="n">
        <f aca="false">H1970*H1970</f>
        <v>0.0625</v>
      </c>
      <c r="X1970" s="0" t="n">
        <f aca="false">SUMPRODUCT(I1970:W1970,_XtX!$B$96:$P$96)</f>
        <v>45.4297880116959</v>
      </c>
      <c r="Y1970" s="0" t="n">
        <f aca="false">SUMPRODUCT(MMULT(I1970:W1970,_XtX!$B$78:$P$92),I1970:W1970)</f>
        <v>0.133937545687135</v>
      </c>
      <c r="Z1970" s="0" t="n">
        <f aca="false">04_回帰ANOVA!$K$19*04_回帰ANOVA!$K$14*SQRT(1+Y1970)</f>
        <v>1.38801116780825</v>
      </c>
      <c r="AA1970" s="0" t="n">
        <f aca="false">X1970-Z1970</f>
        <v>44.0417768438876</v>
      </c>
      <c r="AB1970" s="0" t="n">
        <f aca="false">X1970+Z1970</f>
        <v>46.8177991795041</v>
      </c>
      <c r="AC1970" s="54" t="b">
        <f aca="false">AND(E1970&gt;=01_因子設定!$L$5-0.000000001,E1970&lt;=01_因子設定!$M$5+0.000000001,F1970&gt;=01_因子設定!$L$6-0.000000001,F1970&lt;=01_因子設定!$M$6+0.000000001,G1970&gt;=01_因子設定!$L$7-0.000000001,G1970&lt;=01_因子設定!$M$7+0.000000001,H1970&gt;=01_因子設定!$L$8-0.000000001,H1970&lt;=01_因子設定!$M$8+0.000000001,IF(01_因子設定!$B$20="Box-Behnken",E1970^2+F1970^2+G1970^2+H1970^2&lt;=2+0.000000001,TRUE()))</f>
        <v>1</v>
      </c>
      <c r="AD1970" s="55" t="n">
        <f aca="false">IF(AC1970,IF(01_因子設定!$B$13="最大化",AA1970-01_因子設定!$B$14,IF(01_因子設定!$B$13="最小化",01_因子設定!$B$15-AB1970,MIN(AA1970-01_因子設定!$B$14,01_因子設定!$B$15-AB1970))),-1E+030)</f>
        <v>-2.45822315611238</v>
      </c>
      <c r="AE1970" s="55" t="n">
        <f aca="false">IF(AC1970,IF(01_因子設定!$B$13="最大化",X1970,IF(01_因子設定!$B$13="最小化",-X1970,-ABS(X1970-01_因子設定!$B$16))),-1E+030)</f>
        <v>45.4297880116959</v>
      </c>
      <c r="AF1970" s="55" t="n">
        <f aca="false">AD1970+ROW()*0.000000001</f>
        <v>-2.45822118611238</v>
      </c>
      <c r="AG1970" s="55" t="n">
        <f aca="false">AE1970+ROW()*0.000000001</f>
        <v>45.4297899816959</v>
      </c>
    </row>
    <row r="1971" customFormat="false" ht="15" hidden="false" customHeight="false" outlineLevel="0" collapsed="false">
      <c r="A1971" s="0" t="n">
        <v>2</v>
      </c>
      <c r="B1971" s="0" t="n">
        <v>6</v>
      </c>
      <c r="C1971" s="0" t="n">
        <v>2</v>
      </c>
      <c r="D1971" s="0" t="n">
        <v>4</v>
      </c>
      <c r="E1971" s="0" t="n">
        <f aca="false">-1+A1971*0.25</f>
        <v>-0.5</v>
      </c>
      <c r="F1971" s="0" t="n">
        <f aca="false">-1+B1971*0.25</f>
        <v>0.5</v>
      </c>
      <c r="G1971" s="0" t="n">
        <f aca="false">-1+C1971*0.25</f>
        <v>-0.5</v>
      </c>
      <c r="H1971" s="0" t="n">
        <f aca="false">-1+D1971*0.25</f>
        <v>0</v>
      </c>
      <c r="I1971" s="0" t="n">
        <f aca="false">1</f>
        <v>1</v>
      </c>
      <c r="J1971" s="0" t="n">
        <f aca="false">E1971</f>
        <v>-0.5</v>
      </c>
      <c r="K1971" s="0" t="n">
        <f aca="false">F1971</f>
        <v>0.5</v>
      </c>
      <c r="L1971" s="0" t="n">
        <f aca="false">G1971</f>
        <v>-0.5</v>
      </c>
      <c r="M1971" s="0" t="n">
        <f aca="false">H1971</f>
        <v>0</v>
      </c>
      <c r="N1971" s="0" t="n">
        <f aca="false">E1971*F1971</f>
        <v>-0.25</v>
      </c>
      <c r="O1971" s="0" t="n">
        <f aca="false">E1971*G1971</f>
        <v>0.25</v>
      </c>
      <c r="P1971" s="0" t="n">
        <f aca="false">E1971*H1971</f>
        <v>-0</v>
      </c>
      <c r="Q1971" s="0" t="n">
        <f aca="false">F1971*G1971</f>
        <v>-0.25</v>
      </c>
      <c r="R1971" s="0" t="n">
        <f aca="false">F1971*H1971</f>
        <v>0</v>
      </c>
      <c r="S1971" s="0" t="n">
        <f aca="false">G1971*H1971</f>
        <v>-0</v>
      </c>
      <c r="T1971" s="0" t="n">
        <f aca="false">E1971*E1971</f>
        <v>0.25</v>
      </c>
      <c r="U1971" s="0" t="n">
        <f aca="false">F1971*F1971</f>
        <v>0.25</v>
      </c>
      <c r="V1971" s="0" t="n">
        <f aca="false">G1971*G1971</f>
        <v>0.25</v>
      </c>
      <c r="W1971" s="0" t="n">
        <f aca="false">H1971*H1971</f>
        <v>0</v>
      </c>
      <c r="X1971" s="0" t="n">
        <f aca="false">SUMPRODUCT(I1971:W1971,_XtX!$B$96:$P$96)</f>
        <v>45.4769554093567</v>
      </c>
      <c r="Y1971" s="0" t="n">
        <f aca="false">SUMPRODUCT(MMULT(I1971:W1971,_XtX!$B$78:$P$92),I1971:W1971)</f>
        <v>0.140008223684211</v>
      </c>
      <c r="Z1971" s="0" t="n">
        <f aca="false">04_回帰ANOVA!$K$19*04_回帰ANOVA!$K$14*SQRT(1+Y1971)</f>
        <v>1.39172165492264</v>
      </c>
      <c r="AA1971" s="0" t="n">
        <f aca="false">X1971-Z1971</f>
        <v>44.0852337544341</v>
      </c>
      <c r="AB1971" s="0" t="n">
        <f aca="false">X1971+Z1971</f>
        <v>46.8686770642793</v>
      </c>
      <c r="AC1971" s="54" t="b">
        <f aca="false">AND(E1971&gt;=01_因子設定!$L$5-0.000000001,E1971&lt;=01_因子設定!$M$5+0.000000001,F1971&gt;=01_因子設定!$L$6-0.000000001,F1971&lt;=01_因子設定!$M$6+0.000000001,G1971&gt;=01_因子設定!$L$7-0.000000001,G1971&lt;=01_因子設定!$M$7+0.000000001,H1971&gt;=01_因子設定!$L$8-0.000000001,H1971&lt;=01_因子設定!$M$8+0.000000001,IF(01_因子設定!$B$20="Box-Behnken",E1971^2+F1971^2+G1971^2+H1971^2&lt;=2+0.000000001,TRUE()))</f>
        <v>1</v>
      </c>
      <c r="AD1971" s="55" t="n">
        <f aca="false">IF(AC1971,IF(01_因子設定!$B$13="最大化",AA1971-01_因子設定!$B$14,IF(01_因子設定!$B$13="最小化",01_因子設定!$B$15-AB1971,MIN(AA1971-01_因子設定!$B$14,01_因子設定!$B$15-AB1971))),-1E+030)</f>
        <v>-2.41476624556595</v>
      </c>
      <c r="AE1971" s="55" t="n">
        <f aca="false">IF(AC1971,IF(01_因子設定!$B$13="最大化",X1971,IF(01_因子設定!$B$13="最小化",-X1971,-ABS(X1971-01_因子設定!$B$16))),-1E+030)</f>
        <v>45.4769554093567</v>
      </c>
      <c r="AF1971" s="55" t="n">
        <f aca="false">AD1971+ROW()*0.000000001</f>
        <v>-2.41476427456595</v>
      </c>
      <c r="AG1971" s="55" t="n">
        <f aca="false">AE1971+ROW()*0.000000001</f>
        <v>45.4769573803567</v>
      </c>
    </row>
    <row r="1972" customFormat="false" ht="15" hidden="false" customHeight="false" outlineLevel="0" collapsed="false">
      <c r="A1972" s="0" t="n">
        <v>2</v>
      </c>
      <c r="B1972" s="0" t="n">
        <v>6</v>
      </c>
      <c r="C1972" s="0" t="n">
        <v>2</v>
      </c>
      <c r="D1972" s="0" t="n">
        <v>5</v>
      </c>
      <c r="E1972" s="0" t="n">
        <f aca="false">-1+A1972*0.25</f>
        <v>-0.5</v>
      </c>
      <c r="F1972" s="0" t="n">
        <f aca="false">-1+B1972*0.25</f>
        <v>0.5</v>
      </c>
      <c r="G1972" s="0" t="n">
        <f aca="false">-1+C1972*0.25</f>
        <v>-0.5</v>
      </c>
      <c r="H1972" s="0" t="n">
        <f aca="false">-1+D1972*0.25</f>
        <v>0.25</v>
      </c>
      <c r="I1972" s="0" t="n">
        <f aca="false">1</f>
        <v>1</v>
      </c>
      <c r="J1972" s="0" t="n">
        <f aca="false">E1972</f>
        <v>-0.5</v>
      </c>
      <c r="K1972" s="0" t="n">
        <f aca="false">F1972</f>
        <v>0.5</v>
      </c>
      <c r="L1972" s="0" t="n">
        <f aca="false">G1972</f>
        <v>-0.5</v>
      </c>
      <c r="M1972" s="0" t="n">
        <f aca="false">H1972</f>
        <v>0.25</v>
      </c>
      <c r="N1972" s="0" t="n">
        <f aca="false">E1972*F1972</f>
        <v>-0.25</v>
      </c>
      <c r="O1972" s="0" t="n">
        <f aca="false">E1972*G1972</f>
        <v>0.25</v>
      </c>
      <c r="P1972" s="0" t="n">
        <f aca="false">E1972*H1972</f>
        <v>-0.125</v>
      </c>
      <c r="Q1972" s="0" t="n">
        <f aca="false">F1972*G1972</f>
        <v>-0.25</v>
      </c>
      <c r="R1972" s="0" t="n">
        <f aca="false">F1972*H1972</f>
        <v>0.125</v>
      </c>
      <c r="S1972" s="0" t="n">
        <f aca="false">G1972*H1972</f>
        <v>-0.125</v>
      </c>
      <c r="T1972" s="0" t="n">
        <f aca="false">E1972*E1972</f>
        <v>0.25</v>
      </c>
      <c r="U1972" s="0" t="n">
        <f aca="false">F1972*F1972</f>
        <v>0.25</v>
      </c>
      <c r="V1972" s="0" t="n">
        <f aca="false">G1972*G1972</f>
        <v>0.25</v>
      </c>
      <c r="W1972" s="0" t="n">
        <f aca="false">H1972*H1972</f>
        <v>0.0625</v>
      </c>
      <c r="X1972" s="0" t="n">
        <f aca="false">SUMPRODUCT(I1972:W1972,_XtX!$B$96:$P$96)</f>
        <v>45.4763157894736</v>
      </c>
      <c r="Y1972" s="0" t="n">
        <f aca="false">SUMPRODUCT(MMULT(I1972:W1972,_XtX!$B$78:$P$92),I1972:W1972)</f>
        <v>0.133937545687135</v>
      </c>
      <c r="Z1972" s="0" t="n">
        <f aca="false">04_回帰ANOVA!$K$19*04_回帰ANOVA!$K$14*SQRT(1+Y1972)</f>
        <v>1.38801116780825</v>
      </c>
      <c r="AA1972" s="0" t="n">
        <f aca="false">X1972-Z1972</f>
        <v>44.0883046216654</v>
      </c>
      <c r="AB1972" s="0" t="n">
        <f aca="false">X1972+Z1972</f>
        <v>46.8643269572819</v>
      </c>
      <c r="AC1972" s="54" t="b">
        <f aca="false">AND(E1972&gt;=01_因子設定!$L$5-0.000000001,E1972&lt;=01_因子設定!$M$5+0.000000001,F1972&gt;=01_因子設定!$L$6-0.000000001,F1972&lt;=01_因子設定!$M$6+0.000000001,G1972&gt;=01_因子設定!$L$7-0.000000001,G1972&lt;=01_因子設定!$M$7+0.000000001,H1972&gt;=01_因子設定!$L$8-0.000000001,H1972&lt;=01_因子設定!$M$8+0.000000001,IF(01_因子設定!$B$20="Box-Behnken",E1972^2+F1972^2+G1972^2+H1972^2&lt;=2+0.000000001,TRUE()))</f>
        <v>1</v>
      </c>
      <c r="AD1972" s="55" t="n">
        <f aca="false">IF(AC1972,IF(01_因子設定!$B$13="最大化",AA1972-01_因子設定!$B$14,IF(01_因子設定!$B$13="最小化",01_因子設定!$B$15-AB1972,MIN(AA1972-01_因子設定!$B$14,01_因子設定!$B$15-AB1972))),-1E+030)</f>
        <v>-2.41169537833461</v>
      </c>
      <c r="AE1972" s="55" t="n">
        <f aca="false">IF(AC1972,IF(01_因子設定!$B$13="最大化",X1972,IF(01_因子設定!$B$13="最小化",-X1972,-ABS(X1972-01_因子設定!$B$16))),-1E+030)</f>
        <v>45.4763157894736</v>
      </c>
      <c r="AF1972" s="55" t="n">
        <f aca="false">AD1972+ROW()*0.000000001</f>
        <v>-2.41169340633461</v>
      </c>
      <c r="AG1972" s="55" t="n">
        <f aca="false">AE1972+ROW()*0.000000001</f>
        <v>45.4763177614736</v>
      </c>
    </row>
    <row r="1973" customFormat="false" ht="15" hidden="false" customHeight="false" outlineLevel="0" collapsed="false">
      <c r="A1973" s="0" t="n">
        <v>2</v>
      </c>
      <c r="B1973" s="0" t="n">
        <v>6</v>
      </c>
      <c r="C1973" s="0" t="n">
        <v>2</v>
      </c>
      <c r="D1973" s="0" t="n">
        <v>6</v>
      </c>
      <c r="E1973" s="0" t="n">
        <f aca="false">-1+A1973*0.25</f>
        <v>-0.5</v>
      </c>
      <c r="F1973" s="0" t="n">
        <f aca="false">-1+B1973*0.25</f>
        <v>0.5</v>
      </c>
      <c r="G1973" s="0" t="n">
        <f aca="false">-1+C1973*0.25</f>
        <v>-0.5</v>
      </c>
      <c r="H1973" s="0" t="n">
        <f aca="false">-1+D1973*0.25</f>
        <v>0.5</v>
      </c>
      <c r="I1973" s="0" t="n">
        <f aca="false">1</f>
        <v>1</v>
      </c>
      <c r="J1973" s="0" t="n">
        <f aca="false">E1973</f>
        <v>-0.5</v>
      </c>
      <c r="K1973" s="0" t="n">
        <f aca="false">F1973</f>
        <v>0.5</v>
      </c>
      <c r="L1973" s="0" t="n">
        <f aca="false">G1973</f>
        <v>-0.5</v>
      </c>
      <c r="M1973" s="0" t="n">
        <f aca="false">H1973</f>
        <v>0.5</v>
      </c>
      <c r="N1973" s="0" t="n">
        <f aca="false">E1973*F1973</f>
        <v>-0.25</v>
      </c>
      <c r="O1973" s="0" t="n">
        <f aca="false">E1973*G1973</f>
        <v>0.25</v>
      </c>
      <c r="P1973" s="0" t="n">
        <f aca="false">E1973*H1973</f>
        <v>-0.25</v>
      </c>
      <c r="Q1973" s="0" t="n">
        <f aca="false">F1973*G1973</f>
        <v>-0.25</v>
      </c>
      <c r="R1973" s="0" t="n">
        <f aca="false">F1973*H1973</f>
        <v>0.25</v>
      </c>
      <c r="S1973" s="0" t="n">
        <f aca="false">G1973*H1973</f>
        <v>-0.25</v>
      </c>
      <c r="T1973" s="0" t="n">
        <f aca="false">E1973*E1973</f>
        <v>0.25</v>
      </c>
      <c r="U1973" s="0" t="n">
        <f aca="false">F1973*F1973</f>
        <v>0.25</v>
      </c>
      <c r="V1973" s="0" t="n">
        <f aca="false">G1973*G1973</f>
        <v>0.25</v>
      </c>
      <c r="W1973" s="0" t="n">
        <f aca="false">H1973*H1973</f>
        <v>0.25</v>
      </c>
      <c r="X1973" s="0" t="n">
        <f aca="false">SUMPRODUCT(I1973:W1973,_XtX!$B$96:$P$96)</f>
        <v>45.4278691520468</v>
      </c>
      <c r="Y1973" s="0" t="n">
        <f aca="false">SUMPRODUCT(MMULT(I1973:W1973,_XtX!$B$78:$P$92),I1973:W1973)</f>
        <v>0.133817616959064</v>
      </c>
      <c r="Z1973" s="0" t="n">
        <f aca="false">04_回帰ANOVA!$K$19*04_回帰ANOVA!$K$14*SQRT(1+Y1973)</f>
        <v>1.38793776569887</v>
      </c>
      <c r="AA1973" s="0" t="n">
        <f aca="false">X1973-Z1973</f>
        <v>44.0399313863479</v>
      </c>
      <c r="AB1973" s="0" t="n">
        <f aca="false">X1973+Z1973</f>
        <v>46.8158069177456</v>
      </c>
      <c r="AC1973" s="54" t="b">
        <f aca="false">AND(E1973&gt;=01_因子設定!$L$5-0.000000001,E1973&lt;=01_因子設定!$M$5+0.000000001,F1973&gt;=01_因子設定!$L$6-0.000000001,F1973&lt;=01_因子設定!$M$6+0.000000001,G1973&gt;=01_因子設定!$L$7-0.000000001,G1973&lt;=01_因子設定!$M$7+0.000000001,H1973&gt;=01_因子設定!$L$8-0.000000001,H1973&lt;=01_因子設定!$M$8+0.000000001,IF(01_因子設定!$B$20="Box-Behnken",E1973^2+F1973^2+G1973^2+H1973^2&lt;=2+0.000000001,TRUE()))</f>
        <v>1</v>
      </c>
      <c r="AD1973" s="55" t="n">
        <f aca="false">IF(AC1973,IF(01_因子設定!$B$13="最大化",AA1973-01_因子設定!$B$14,IF(01_因子設定!$B$13="最小化",01_因子設定!$B$15-AB1973,MIN(AA1973-01_因子設定!$B$14,01_因子設定!$B$15-AB1973))),-1E+030)</f>
        <v>-2.46006861365211</v>
      </c>
      <c r="AE1973" s="55" t="n">
        <f aca="false">IF(AC1973,IF(01_因子設定!$B$13="最大化",X1973,IF(01_因子設定!$B$13="最小化",-X1973,-ABS(X1973-01_因子設定!$B$16))),-1E+030)</f>
        <v>45.4278691520468</v>
      </c>
      <c r="AF1973" s="55" t="n">
        <f aca="false">AD1973+ROW()*0.000000001</f>
        <v>-2.46006664065211</v>
      </c>
      <c r="AG1973" s="55" t="n">
        <f aca="false">AE1973+ROW()*0.000000001</f>
        <v>45.4278711250468</v>
      </c>
    </row>
    <row r="1974" customFormat="false" ht="15" hidden="false" customHeight="false" outlineLevel="0" collapsed="false">
      <c r="A1974" s="0" t="n">
        <v>2</v>
      </c>
      <c r="B1974" s="0" t="n">
        <v>6</v>
      </c>
      <c r="C1974" s="0" t="n">
        <v>2</v>
      </c>
      <c r="D1974" s="0" t="n">
        <v>7</v>
      </c>
      <c r="E1974" s="0" t="n">
        <f aca="false">-1+A1974*0.25</f>
        <v>-0.5</v>
      </c>
      <c r="F1974" s="0" t="n">
        <f aca="false">-1+B1974*0.25</f>
        <v>0.5</v>
      </c>
      <c r="G1974" s="0" t="n">
        <f aca="false">-1+C1974*0.25</f>
        <v>-0.5</v>
      </c>
      <c r="H1974" s="0" t="n">
        <f aca="false">-1+D1974*0.25</f>
        <v>0.75</v>
      </c>
      <c r="I1974" s="0" t="n">
        <f aca="false">1</f>
        <v>1</v>
      </c>
      <c r="J1974" s="0" t="n">
        <f aca="false">E1974</f>
        <v>-0.5</v>
      </c>
      <c r="K1974" s="0" t="n">
        <f aca="false">F1974</f>
        <v>0.5</v>
      </c>
      <c r="L1974" s="0" t="n">
        <f aca="false">G1974</f>
        <v>-0.5</v>
      </c>
      <c r="M1974" s="0" t="n">
        <f aca="false">H1974</f>
        <v>0.75</v>
      </c>
      <c r="N1974" s="0" t="n">
        <f aca="false">E1974*F1974</f>
        <v>-0.25</v>
      </c>
      <c r="O1974" s="0" t="n">
        <f aca="false">E1974*G1974</f>
        <v>0.25</v>
      </c>
      <c r="P1974" s="0" t="n">
        <f aca="false">E1974*H1974</f>
        <v>-0.375</v>
      </c>
      <c r="Q1974" s="0" t="n">
        <f aca="false">F1974*G1974</f>
        <v>-0.25</v>
      </c>
      <c r="R1974" s="0" t="n">
        <f aca="false">F1974*H1974</f>
        <v>0.375</v>
      </c>
      <c r="S1974" s="0" t="n">
        <f aca="false">G1974*H1974</f>
        <v>-0.375</v>
      </c>
      <c r="T1974" s="0" t="n">
        <f aca="false">E1974*E1974</f>
        <v>0.25</v>
      </c>
      <c r="U1974" s="0" t="n">
        <f aca="false">F1974*F1974</f>
        <v>0.25</v>
      </c>
      <c r="V1974" s="0" t="n">
        <f aca="false">G1974*G1974</f>
        <v>0.25</v>
      </c>
      <c r="W1974" s="0" t="n">
        <f aca="false">H1974*H1974</f>
        <v>0.5625</v>
      </c>
      <c r="X1974" s="0" t="n">
        <f aca="false">SUMPRODUCT(I1974:W1974,_XtX!$B$96:$P$96)</f>
        <v>45.331615497076</v>
      </c>
      <c r="Y1974" s="0" t="n">
        <f aca="false">SUMPRODUCT(MMULT(I1974:W1974,_XtX!$B$78:$P$92),I1974:W1974)</f>
        <v>0.193924753289474</v>
      </c>
      <c r="Z1974" s="0" t="n">
        <f aca="false">04_回帰ANOVA!$K$19*04_回帰ANOVA!$K$14*SQRT(1+Y1974)</f>
        <v>1.4242521079916</v>
      </c>
      <c r="AA1974" s="0" t="n">
        <f aca="false">X1974-Z1974</f>
        <v>43.9073633890844</v>
      </c>
      <c r="AB1974" s="0" t="n">
        <f aca="false">X1974+Z1974</f>
        <v>46.7558676050676</v>
      </c>
      <c r="AC1974" s="54" t="b">
        <f aca="false">AND(E1974&gt;=01_因子設定!$L$5-0.000000001,E1974&lt;=01_因子設定!$M$5+0.000000001,F1974&gt;=01_因子設定!$L$6-0.000000001,F1974&lt;=01_因子設定!$M$6+0.000000001,G1974&gt;=01_因子設定!$L$7-0.000000001,G1974&lt;=01_因子設定!$M$7+0.000000001,H1974&gt;=01_因子設定!$L$8-0.000000001,H1974&lt;=01_因子設定!$M$8+0.000000001,IF(01_因子設定!$B$20="Box-Behnken",E1974^2+F1974^2+G1974^2+H1974^2&lt;=2+0.000000001,TRUE()))</f>
        <v>1</v>
      </c>
      <c r="AD1974" s="55" t="n">
        <f aca="false">IF(AC1974,IF(01_因子設定!$B$13="最大化",AA1974-01_因子設定!$B$14,IF(01_因子設定!$B$13="最小化",01_因子設定!$B$15-AB1974,MIN(AA1974-01_因子設定!$B$14,01_因子設定!$B$15-AB1974))),-1E+030)</f>
        <v>-2.5926366109156</v>
      </c>
      <c r="AE1974" s="55" t="n">
        <f aca="false">IF(AC1974,IF(01_因子設定!$B$13="最大化",X1974,IF(01_因子設定!$B$13="最小化",-X1974,-ABS(X1974-01_因子設定!$B$16))),-1E+030)</f>
        <v>45.331615497076</v>
      </c>
      <c r="AF1974" s="55" t="n">
        <f aca="false">AD1974+ROW()*0.000000001</f>
        <v>-2.5926346369156</v>
      </c>
      <c r="AG1974" s="55" t="n">
        <f aca="false">AE1974+ROW()*0.000000001</f>
        <v>45.331617471076</v>
      </c>
    </row>
    <row r="1975" customFormat="false" ht="15" hidden="false" customHeight="false" outlineLevel="0" collapsed="false">
      <c r="A1975" s="0" t="n">
        <v>2</v>
      </c>
      <c r="B1975" s="0" t="n">
        <v>6</v>
      </c>
      <c r="C1975" s="0" t="n">
        <v>2</v>
      </c>
      <c r="D1975" s="0" t="n">
        <v>8</v>
      </c>
      <c r="E1975" s="0" t="n">
        <f aca="false">-1+A1975*0.25</f>
        <v>-0.5</v>
      </c>
      <c r="F1975" s="0" t="n">
        <f aca="false">-1+B1975*0.25</f>
        <v>0.5</v>
      </c>
      <c r="G1975" s="0" t="n">
        <f aca="false">-1+C1975*0.25</f>
        <v>-0.5</v>
      </c>
      <c r="H1975" s="0" t="n">
        <f aca="false">-1+D1975*0.25</f>
        <v>1</v>
      </c>
      <c r="I1975" s="0" t="n">
        <f aca="false">1</f>
        <v>1</v>
      </c>
      <c r="J1975" s="0" t="n">
        <f aca="false">E1975</f>
        <v>-0.5</v>
      </c>
      <c r="K1975" s="0" t="n">
        <f aca="false">F1975</f>
        <v>0.5</v>
      </c>
      <c r="L1975" s="0" t="n">
        <f aca="false">G1975</f>
        <v>-0.5</v>
      </c>
      <c r="M1975" s="0" t="n">
        <f aca="false">H1975</f>
        <v>1</v>
      </c>
      <c r="N1975" s="0" t="n">
        <f aca="false">E1975*F1975</f>
        <v>-0.25</v>
      </c>
      <c r="O1975" s="0" t="n">
        <f aca="false">E1975*G1975</f>
        <v>0.25</v>
      </c>
      <c r="P1975" s="0" t="n">
        <f aca="false">E1975*H1975</f>
        <v>-0.5</v>
      </c>
      <c r="Q1975" s="0" t="n">
        <f aca="false">F1975*G1975</f>
        <v>-0.25</v>
      </c>
      <c r="R1975" s="0" t="n">
        <f aca="false">F1975*H1975</f>
        <v>0.5</v>
      </c>
      <c r="S1975" s="0" t="n">
        <f aca="false">G1975*H1975</f>
        <v>-0.5</v>
      </c>
      <c r="T1975" s="0" t="n">
        <f aca="false">E1975*E1975</f>
        <v>0.25</v>
      </c>
      <c r="U1975" s="0" t="n">
        <f aca="false">F1975*F1975</f>
        <v>0.25</v>
      </c>
      <c r="V1975" s="0" t="n">
        <f aca="false">G1975*G1975</f>
        <v>0.25</v>
      </c>
      <c r="W1975" s="0" t="n">
        <f aca="false">H1975*H1975</f>
        <v>1</v>
      </c>
      <c r="X1975" s="0" t="n">
        <f aca="false">SUMPRODUCT(I1975:W1975,_XtX!$B$96:$P$96)</f>
        <v>45.1875548245614</v>
      </c>
      <c r="Y1975" s="0" t="n">
        <f aca="false">SUMPRODUCT(MMULT(I1975:W1975,_XtX!$B$78:$P$92),I1975:W1975)</f>
        <v>0.404719480994152</v>
      </c>
      <c r="Z1975" s="0" t="n">
        <f aca="false">04_回帰ANOVA!$K$19*04_回帰ANOVA!$K$14*SQRT(1+Y1975)</f>
        <v>1.54487446697867</v>
      </c>
      <c r="AA1975" s="0" t="n">
        <f aca="false">X1975-Z1975</f>
        <v>43.6426803575827</v>
      </c>
      <c r="AB1975" s="0" t="n">
        <f aca="false">X1975+Z1975</f>
        <v>46.7324292915401</v>
      </c>
      <c r="AC1975" s="54" t="b">
        <f aca="false">AND(E1975&gt;=01_因子設定!$L$5-0.000000001,E1975&lt;=01_因子設定!$M$5+0.000000001,F1975&gt;=01_因子設定!$L$6-0.000000001,F1975&lt;=01_因子設定!$M$6+0.000000001,G1975&gt;=01_因子設定!$L$7-0.000000001,G1975&lt;=01_因子設定!$M$7+0.000000001,H1975&gt;=01_因子設定!$L$8-0.000000001,H1975&lt;=01_因子設定!$M$8+0.000000001,IF(01_因子設定!$B$20="Box-Behnken",E1975^2+F1975^2+G1975^2+H1975^2&lt;=2+0.000000001,TRUE()))</f>
        <v>1</v>
      </c>
      <c r="AD1975" s="55" t="n">
        <f aca="false">IF(AC1975,IF(01_因子設定!$B$13="最大化",AA1975-01_因子設定!$B$14,IF(01_因子設定!$B$13="最小化",01_因子設定!$B$15-AB1975,MIN(AA1975-01_因子設定!$B$14,01_因子設定!$B$15-AB1975))),-1E+030)</f>
        <v>-2.85731964241728</v>
      </c>
      <c r="AE1975" s="55" t="n">
        <f aca="false">IF(AC1975,IF(01_因子設定!$B$13="最大化",X1975,IF(01_因子設定!$B$13="最小化",-X1975,-ABS(X1975-01_因子設定!$B$16))),-1E+030)</f>
        <v>45.1875548245614</v>
      </c>
      <c r="AF1975" s="55" t="n">
        <f aca="false">AD1975+ROW()*0.000000001</f>
        <v>-2.85731766741728</v>
      </c>
      <c r="AG1975" s="55" t="n">
        <f aca="false">AE1975+ROW()*0.000000001</f>
        <v>45.1875567995614</v>
      </c>
    </row>
    <row r="1976" customFormat="false" ht="15" hidden="false" customHeight="false" outlineLevel="0" collapsed="false">
      <c r="A1976" s="0" t="n">
        <v>2</v>
      </c>
      <c r="B1976" s="0" t="n">
        <v>6</v>
      </c>
      <c r="C1976" s="0" t="n">
        <v>3</v>
      </c>
      <c r="D1976" s="0" t="n">
        <v>0</v>
      </c>
      <c r="E1976" s="0" t="n">
        <f aca="false">-1+A1976*0.25</f>
        <v>-0.5</v>
      </c>
      <c r="F1976" s="0" t="n">
        <f aca="false">-1+B1976*0.25</f>
        <v>0.5</v>
      </c>
      <c r="G1976" s="0" t="n">
        <f aca="false">-1+C1976*0.25</f>
        <v>-0.25</v>
      </c>
      <c r="H1976" s="0" t="n">
        <f aca="false">-1+D1976*0.25</f>
        <v>-1</v>
      </c>
      <c r="I1976" s="0" t="n">
        <f aca="false">1</f>
        <v>1</v>
      </c>
      <c r="J1976" s="0" t="n">
        <f aca="false">E1976</f>
        <v>-0.5</v>
      </c>
      <c r="K1976" s="0" t="n">
        <f aca="false">F1976</f>
        <v>0.5</v>
      </c>
      <c r="L1976" s="0" t="n">
        <f aca="false">G1976</f>
        <v>-0.25</v>
      </c>
      <c r="M1976" s="0" t="n">
        <f aca="false">H1976</f>
        <v>-1</v>
      </c>
      <c r="N1976" s="0" t="n">
        <f aca="false">E1976*F1976</f>
        <v>-0.25</v>
      </c>
      <c r="O1976" s="0" t="n">
        <f aca="false">E1976*G1976</f>
        <v>0.125</v>
      </c>
      <c r="P1976" s="0" t="n">
        <f aca="false">E1976*H1976</f>
        <v>0.5</v>
      </c>
      <c r="Q1976" s="0" t="n">
        <f aca="false">F1976*G1976</f>
        <v>-0.125</v>
      </c>
      <c r="R1976" s="0" t="n">
        <f aca="false">F1976*H1976</f>
        <v>-0.5</v>
      </c>
      <c r="S1976" s="0" t="n">
        <f aca="false">G1976*H1976</f>
        <v>0.25</v>
      </c>
      <c r="T1976" s="0" t="n">
        <f aca="false">E1976*E1976</f>
        <v>0.25</v>
      </c>
      <c r="U1976" s="0" t="n">
        <f aca="false">F1976*F1976</f>
        <v>0.25</v>
      </c>
      <c r="V1976" s="0" t="n">
        <f aca="false">G1976*G1976</f>
        <v>0.0625</v>
      </c>
      <c r="W1976" s="0" t="n">
        <f aca="false">H1976*H1976</f>
        <v>1</v>
      </c>
      <c r="X1976" s="0" t="n">
        <f aca="false">SUMPRODUCT(I1976:W1976,_XtX!$B$96:$P$96)</f>
        <v>45.4236750730994</v>
      </c>
      <c r="Y1976" s="0" t="n">
        <f aca="false">SUMPRODUCT(MMULT(I1976:W1976,_XtX!$B$78:$P$92),I1976:W1976)</f>
        <v>0.428122715643275</v>
      </c>
      <c r="Z1976" s="0" t="n">
        <f aca="false">04_回帰ANOVA!$K$19*04_回帰ANOVA!$K$14*SQRT(1+Y1976)</f>
        <v>1.55769044623229</v>
      </c>
      <c r="AA1976" s="0" t="n">
        <f aca="false">X1976-Z1976</f>
        <v>43.8659846268671</v>
      </c>
      <c r="AB1976" s="0" t="n">
        <f aca="false">X1976+Z1976</f>
        <v>46.9813655193317</v>
      </c>
      <c r="AC1976" s="54" t="b">
        <f aca="false">AND(E1976&gt;=01_因子設定!$L$5-0.000000001,E1976&lt;=01_因子設定!$M$5+0.000000001,F1976&gt;=01_因子設定!$L$6-0.000000001,F1976&lt;=01_因子設定!$M$6+0.000000001,G1976&gt;=01_因子設定!$L$7-0.000000001,G1976&lt;=01_因子設定!$M$7+0.000000001,H1976&gt;=01_因子設定!$L$8-0.000000001,H1976&lt;=01_因子設定!$M$8+0.000000001,IF(01_因子設定!$B$20="Box-Behnken",E1976^2+F1976^2+G1976^2+H1976^2&lt;=2+0.000000001,TRUE()))</f>
        <v>1</v>
      </c>
      <c r="AD1976" s="55" t="n">
        <f aca="false">IF(AC1976,IF(01_因子設定!$B$13="最大化",AA1976-01_因子設定!$B$14,IF(01_因子設定!$B$13="最小化",01_因子設定!$B$15-AB1976,MIN(AA1976-01_因子設定!$B$14,01_因子設定!$B$15-AB1976))),-1E+030)</f>
        <v>-2.63401537313288</v>
      </c>
      <c r="AE1976" s="55" t="n">
        <f aca="false">IF(AC1976,IF(01_因子設定!$B$13="最大化",X1976,IF(01_因子設定!$B$13="最小化",-X1976,-ABS(X1976-01_因子設定!$B$16))),-1E+030)</f>
        <v>45.4236750730994</v>
      </c>
      <c r="AF1976" s="55" t="n">
        <f aca="false">AD1976+ROW()*0.000000001</f>
        <v>-2.63401339713288</v>
      </c>
      <c r="AG1976" s="55" t="n">
        <f aca="false">AE1976+ROW()*0.000000001</f>
        <v>45.4236770490994</v>
      </c>
    </row>
    <row r="1977" customFormat="false" ht="15" hidden="false" customHeight="false" outlineLevel="0" collapsed="false">
      <c r="A1977" s="0" t="n">
        <v>2</v>
      </c>
      <c r="B1977" s="0" t="n">
        <v>6</v>
      </c>
      <c r="C1977" s="0" t="n">
        <v>3</v>
      </c>
      <c r="D1977" s="0" t="n">
        <v>1</v>
      </c>
      <c r="E1977" s="0" t="n">
        <f aca="false">-1+A1977*0.25</f>
        <v>-0.5</v>
      </c>
      <c r="F1977" s="0" t="n">
        <f aca="false">-1+B1977*0.25</f>
        <v>0.5</v>
      </c>
      <c r="G1977" s="0" t="n">
        <f aca="false">-1+C1977*0.25</f>
        <v>-0.25</v>
      </c>
      <c r="H1977" s="0" t="n">
        <f aca="false">-1+D1977*0.25</f>
        <v>-0.75</v>
      </c>
      <c r="I1977" s="0" t="n">
        <f aca="false">1</f>
        <v>1</v>
      </c>
      <c r="J1977" s="0" t="n">
        <f aca="false">E1977</f>
        <v>-0.5</v>
      </c>
      <c r="K1977" s="0" t="n">
        <f aca="false">F1977</f>
        <v>0.5</v>
      </c>
      <c r="L1977" s="0" t="n">
        <f aca="false">G1977</f>
        <v>-0.25</v>
      </c>
      <c r="M1977" s="0" t="n">
        <f aca="false">H1977</f>
        <v>-0.75</v>
      </c>
      <c r="N1977" s="0" t="n">
        <f aca="false">E1977*F1977</f>
        <v>-0.25</v>
      </c>
      <c r="O1977" s="0" t="n">
        <f aca="false">E1977*G1977</f>
        <v>0.125</v>
      </c>
      <c r="P1977" s="0" t="n">
        <f aca="false">E1977*H1977</f>
        <v>0.375</v>
      </c>
      <c r="Q1977" s="0" t="n">
        <f aca="false">F1977*G1977</f>
        <v>-0.125</v>
      </c>
      <c r="R1977" s="0" t="n">
        <f aca="false">F1977*H1977</f>
        <v>-0.375</v>
      </c>
      <c r="S1977" s="0" t="n">
        <f aca="false">G1977*H1977</f>
        <v>0.1875</v>
      </c>
      <c r="T1977" s="0" t="n">
        <f aca="false">E1977*E1977</f>
        <v>0.25</v>
      </c>
      <c r="U1977" s="0" t="n">
        <f aca="false">F1977*F1977</f>
        <v>0.25</v>
      </c>
      <c r="V1977" s="0" t="n">
        <f aca="false">G1977*G1977</f>
        <v>0.0625</v>
      </c>
      <c r="W1977" s="0" t="n">
        <f aca="false">H1977*H1977</f>
        <v>0.5625</v>
      </c>
      <c r="X1977" s="0" t="n">
        <f aca="false">SUMPRODUCT(I1977:W1977,_XtX!$B$96:$P$96)</f>
        <v>45.6322322733918</v>
      </c>
      <c r="Y1977" s="0" t="n">
        <f aca="false">SUMPRODUCT(MMULT(I1977:W1977,_XtX!$B$78:$P$92),I1977:W1977)</f>
        <v>0.203746059484649</v>
      </c>
      <c r="Z1977" s="0" t="n">
        <f aca="false">04_回帰ANOVA!$K$19*04_回帰ANOVA!$K$14*SQRT(1+Y1977)</f>
        <v>1.43009810755465</v>
      </c>
      <c r="AA1977" s="0" t="n">
        <f aca="false">X1977-Z1977</f>
        <v>44.2021341658371</v>
      </c>
      <c r="AB1977" s="0" t="n">
        <f aca="false">X1977+Z1977</f>
        <v>47.0623303809464</v>
      </c>
      <c r="AC1977" s="54" t="b">
        <f aca="false">AND(E1977&gt;=01_因子設定!$L$5-0.000000001,E1977&lt;=01_因子設定!$M$5+0.000000001,F1977&gt;=01_因子設定!$L$6-0.000000001,F1977&lt;=01_因子設定!$M$6+0.000000001,G1977&gt;=01_因子設定!$L$7-0.000000001,G1977&lt;=01_因子設定!$M$7+0.000000001,H1977&gt;=01_因子設定!$L$8-0.000000001,H1977&lt;=01_因子設定!$M$8+0.000000001,IF(01_因子設定!$B$20="Box-Behnken",E1977^2+F1977^2+G1977^2+H1977^2&lt;=2+0.000000001,TRUE()))</f>
        <v>1</v>
      </c>
      <c r="AD1977" s="55" t="n">
        <f aca="false">IF(AC1977,IF(01_因子設定!$B$13="最大化",AA1977-01_因子設定!$B$14,IF(01_因子設定!$B$13="最小化",01_因子設定!$B$15-AB1977,MIN(AA1977-01_因子設定!$B$14,01_因子設定!$B$15-AB1977))),-1E+030)</f>
        <v>-2.29786583416286</v>
      </c>
      <c r="AE1977" s="55" t="n">
        <f aca="false">IF(AC1977,IF(01_因子設定!$B$13="最大化",X1977,IF(01_因子設定!$B$13="最小化",-X1977,-ABS(X1977-01_因子設定!$B$16))),-1E+030)</f>
        <v>45.6322322733918</v>
      </c>
      <c r="AF1977" s="55" t="n">
        <f aca="false">AD1977+ROW()*0.000000001</f>
        <v>-2.29786385716286</v>
      </c>
      <c r="AG1977" s="55" t="n">
        <f aca="false">AE1977+ROW()*0.000000001</f>
        <v>45.6322342503918</v>
      </c>
    </row>
    <row r="1978" customFormat="false" ht="15" hidden="false" customHeight="false" outlineLevel="0" collapsed="false">
      <c r="A1978" s="0" t="n">
        <v>2</v>
      </c>
      <c r="B1978" s="0" t="n">
        <v>6</v>
      </c>
      <c r="C1978" s="0" t="n">
        <v>3</v>
      </c>
      <c r="D1978" s="0" t="n">
        <v>2</v>
      </c>
      <c r="E1978" s="0" t="n">
        <f aca="false">-1+A1978*0.25</f>
        <v>-0.5</v>
      </c>
      <c r="F1978" s="0" t="n">
        <f aca="false">-1+B1978*0.25</f>
        <v>0.5</v>
      </c>
      <c r="G1978" s="0" t="n">
        <f aca="false">-1+C1978*0.25</f>
        <v>-0.25</v>
      </c>
      <c r="H1978" s="0" t="n">
        <f aca="false">-1+D1978*0.25</f>
        <v>-0.5</v>
      </c>
      <c r="I1978" s="0" t="n">
        <f aca="false">1</f>
        <v>1</v>
      </c>
      <c r="J1978" s="0" t="n">
        <f aca="false">E1978</f>
        <v>-0.5</v>
      </c>
      <c r="K1978" s="0" t="n">
        <f aca="false">F1978</f>
        <v>0.5</v>
      </c>
      <c r="L1978" s="0" t="n">
        <f aca="false">G1978</f>
        <v>-0.25</v>
      </c>
      <c r="M1978" s="0" t="n">
        <f aca="false">H1978</f>
        <v>-0.5</v>
      </c>
      <c r="N1978" s="0" t="n">
        <f aca="false">E1978*F1978</f>
        <v>-0.25</v>
      </c>
      <c r="O1978" s="0" t="n">
        <f aca="false">E1978*G1978</f>
        <v>0.125</v>
      </c>
      <c r="P1978" s="0" t="n">
        <f aca="false">E1978*H1978</f>
        <v>0.25</v>
      </c>
      <c r="Q1978" s="0" t="n">
        <f aca="false">F1978*G1978</f>
        <v>-0.125</v>
      </c>
      <c r="R1978" s="0" t="n">
        <f aca="false">F1978*H1978</f>
        <v>-0.25</v>
      </c>
      <c r="S1978" s="0" t="n">
        <f aca="false">G1978*H1978</f>
        <v>0.125</v>
      </c>
      <c r="T1978" s="0" t="n">
        <f aca="false">E1978*E1978</f>
        <v>0.25</v>
      </c>
      <c r="U1978" s="0" t="n">
        <f aca="false">F1978*F1978</f>
        <v>0.25</v>
      </c>
      <c r="V1978" s="0" t="n">
        <f aca="false">G1978*G1978</f>
        <v>0.0625</v>
      </c>
      <c r="W1978" s="0" t="n">
        <f aca="false">H1978*H1978</f>
        <v>0.25</v>
      </c>
      <c r="X1978" s="0" t="n">
        <f aca="false">SUMPRODUCT(I1978:W1978,_XtX!$B$96:$P$96)</f>
        <v>45.7929824561403</v>
      </c>
      <c r="Y1978" s="0" t="n">
        <f aca="false">SUMPRODUCT(MMULT(I1978:W1978,_XtX!$B$78:$P$92),I1978:W1978)</f>
        <v>0.133937545687135</v>
      </c>
      <c r="Z1978" s="0" t="n">
        <f aca="false">04_回帰ANOVA!$K$19*04_回帰ANOVA!$K$14*SQRT(1+Y1978)</f>
        <v>1.38801116780825</v>
      </c>
      <c r="AA1978" s="0" t="n">
        <f aca="false">X1978-Z1978</f>
        <v>44.4049712883321</v>
      </c>
      <c r="AB1978" s="0" t="n">
        <f aca="false">X1978+Z1978</f>
        <v>47.1809936239486</v>
      </c>
      <c r="AC1978" s="54" t="b">
        <f aca="false">AND(E1978&gt;=01_因子設定!$L$5-0.000000001,E1978&lt;=01_因子設定!$M$5+0.000000001,F1978&gt;=01_因子設定!$L$6-0.000000001,F1978&lt;=01_因子設定!$M$6+0.000000001,G1978&gt;=01_因子設定!$L$7-0.000000001,G1978&lt;=01_因子設定!$M$7+0.000000001,H1978&gt;=01_因子設定!$L$8-0.000000001,H1978&lt;=01_因子設定!$M$8+0.000000001,IF(01_因子設定!$B$20="Box-Behnken",E1978^2+F1978^2+G1978^2+H1978^2&lt;=2+0.000000001,TRUE()))</f>
        <v>1</v>
      </c>
      <c r="AD1978" s="55" t="n">
        <f aca="false">IF(AC1978,IF(01_因子設定!$B$13="最大化",AA1978-01_因子設定!$B$14,IF(01_因子設定!$B$13="最小化",01_因子設定!$B$15-AB1978,MIN(AA1978-01_因子設定!$B$14,01_因子設定!$B$15-AB1978))),-1E+030)</f>
        <v>-2.09502871166794</v>
      </c>
      <c r="AE1978" s="55" t="n">
        <f aca="false">IF(AC1978,IF(01_因子設定!$B$13="最大化",X1978,IF(01_因子設定!$B$13="最小化",-X1978,-ABS(X1978-01_因子設定!$B$16))),-1E+030)</f>
        <v>45.7929824561403</v>
      </c>
      <c r="AF1978" s="55" t="n">
        <f aca="false">AD1978+ROW()*0.000000001</f>
        <v>-2.09502673366794</v>
      </c>
      <c r="AG1978" s="55" t="n">
        <f aca="false">AE1978+ROW()*0.000000001</f>
        <v>45.7929844341403</v>
      </c>
    </row>
    <row r="1979" customFormat="false" ht="15" hidden="false" customHeight="false" outlineLevel="0" collapsed="false">
      <c r="A1979" s="0" t="n">
        <v>2</v>
      </c>
      <c r="B1979" s="0" t="n">
        <v>6</v>
      </c>
      <c r="C1979" s="0" t="n">
        <v>3</v>
      </c>
      <c r="D1979" s="0" t="n">
        <v>3</v>
      </c>
      <c r="E1979" s="0" t="n">
        <f aca="false">-1+A1979*0.25</f>
        <v>-0.5</v>
      </c>
      <c r="F1979" s="0" t="n">
        <f aca="false">-1+B1979*0.25</f>
        <v>0.5</v>
      </c>
      <c r="G1979" s="0" t="n">
        <f aca="false">-1+C1979*0.25</f>
        <v>-0.25</v>
      </c>
      <c r="H1979" s="0" t="n">
        <f aca="false">-1+D1979*0.25</f>
        <v>-0.25</v>
      </c>
      <c r="I1979" s="0" t="n">
        <f aca="false">1</f>
        <v>1</v>
      </c>
      <c r="J1979" s="0" t="n">
        <f aca="false">E1979</f>
        <v>-0.5</v>
      </c>
      <c r="K1979" s="0" t="n">
        <f aca="false">F1979</f>
        <v>0.5</v>
      </c>
      <c r="L1979" s="0" t="n">
        <f aca="false">G1979</f>
        <v>-0.25</v>
      </c>
      <c r="M1979" s="0" t="n">
        <f aca="false">H1979</f>
        <v>-0.25</v>
      </c>
      <c r="N1979" s="0" t="n">
        <f aca="false">E1979*F1979</f>
        <v>-0.25</v>
      </c>
      <c r="O1979" s="0" t="n">
        <f aca="false">E1979*G1979</f>
        <v>0.125</v>
      </c>
      <c r="P1979" s="0" t="n">
        <f aca="false">E1979*H1979</f>
        <v>0.125</v>
      </c>
      <c r="Q1979" s="0" t="n">
        <f aca="false">F1979*G1979</f>
        <v>-0.125</v>
      </c>
      <c r="R1979" s="0" t="n">
        <f aca="false">F1979*H1979</f>
        <v>-0.125</v>
      </c>
      <c r="S1979" s="0" t="n">
        <f aca="false">G1979*H1979</f>
        <v>0.0625</v>
      </c>
      <c r="T1979" s="0" t="n">
        <f aca="false">E1979*E1979</f>
        <v>0.25</v>
      </c>
      <c r="U1979" s="0" t="n">
        <f aca="false">F1979*F1979</f>
        <v>0.25</v>
      </c>
      <c r="V1979" s="0" t="n">
        <f aca="false">G1979*G1979</f>
        <v>0.0625</v>
      </c>
      <c r="W1979" s="0" t="n">
        <f aca="false">H1979*H1979</f>
        <v>0.0625</v>
      </c>
      <c r="X1979" s="0" t="n">
        <f aca="false">SUMPRODUCT(I1979:W1979,_XtX!$B$96:$P$96)</f>
        <v>45.905925621345</v>
      </c>
      <c r="Y1979" s="0" t="n">
        <f aca="false">SUMPRODUCT(MMULT(I1979:W1979,_XtX!$B$78:$P$92),I1979:W1979)</f>
        <v>0.128236647934942</v>
      </c>
      <c r="Z1979" s="0" t="n">
        <f aca="false">04_回帰ANOVA!$K$19*04_回帰ANOVA!$K$14*SQRT(1+Y1979)</f>
        <v>1.38451764188989</v>
      </c>
      <c r="AA1979" s="0" t="n">
        <f aca="false">X1979-Z1979</f>
        <v>44.5214079794551</v>
      </c>
      <c r="AB1979" s="0" t="n">
        <f aca="false">X1979+Z1979</f>
        <v>47.2904432632349</v>
      </c>
      <c r="AC1979" s="54" t="b">
        <f aca="false">AND(E1979&gt;=01_因子設定!$L$5-0.000000001,E1979&lt;=01_因子設定!$M$5+0.000000001,F1979&gt;=01_因子設定!$L$6-0.000000001,F1979&lt;=01_因子設定!$M$6+0.000000001,G1979&gt;=01_因子設定!$L$7-0.000000001,G1979&lt;=01_因子設定!$M$7+0.000000001,H1979&gt;=01_因子設定!$L$8-0.000000001,H1979&lt;=01_因子設定!$M$8+0.000000001,IF(01_因子設定!$B$20="Box-Behnken",E1979^2+F1979^2+G1979^2+H1979^2&lt;=2+0.000000001,TRUE()))</f>
        <v>1</v>
      </c>
      <c r="AD1979" s="55" t="n">
        <f aca="false">IF(AC1979,IF(01_因子設定!$B$13="最大化",AA1979-01_因子設定!$B$14,IF(01_因子設定!$B$13="最小化",01_因子設定!$B$15-AB1979,MIN(AA1979-01_因子設定!$B$14,01_因子設定!$B$15-AB1979))),-1E+030)</f>
        <v>-1.97859202054489</v>
      </c>
      <c r="AE1979" s="55" t="n">
        <f aca="false">IF(AC1979,IF(01_因子設定!$B$13="最大化",X1979,IF(01_因子設定!$B$13="最小化",-X1979,-ABS(X1979-01_因子設定!$B$16))),-1E+030)</f>
        <v>45.905925621345</v>
      </c>
      <c r="AF1979" s="55" t="n">
        <f aca="false">AD1979+ROW()*0.000000001</f>
        <v>-1.97859004154489</v>
      </c>
      <c r="AG1979" s="55" t="n">
        <f aca="false">AE1979+ROW()*0.000000001</f>
        <v>45.905927600345</v>
      </c>
    </row>
    <row r="1980" customFormat="false" ht="15" hidden="false" customHeight="false" outlineLevel="0" collapsed="false">
      <c r="A1980" s="0" t="n">
        <v>2</v>
      </c>
      <c r="B1980" s="0" t="n">
        <v>6</v>
      </c>
      <c r="C1980" s="0" t="n">
        <v>3</v>
      </c>
      <c r="D1980" s="0" t="n">
        <v>4</v>
      </c>
      <c r="E1980" s="0" t="n">
        <f aca="false">-1+A1980*0.25</f>
        <v>-0.5</v>
      </c>
      <c r="F1980" s="0" t="n">
        <f aca="false">-1+B1980*0.25</f>
        <v>0.5</v>
      </c>
      <c r="G1980" s="0" t="n">
        <f aca="false">-1+C1980*0.25</f>
        <v>-0.25</v>
      </c>
      <c r="H1980" s="0" t="n">
        <f aca="false">-1+D1980*0.25</f>
        <v>0</v>
      </c>
      <c r="I1980" s="0" t="n">
        <f aca="false">1</f>
        <v>1</v>
      </c>
      <c r="J1980" s="0" t="n">
        <f aca="false">E1980</f>
        <v>-0.5</v>
      </c>
      <c r="K1980" s="0" t="n">
        <f aca="false">F1980</f>
        <v>0.5</v>
      </c>
      <c r="L1980" s="0" t="n">
        <f aca="false">G1980</f>
        <v>-0.25</v>
      </c>
      <c r="M1980" s="0" t="n">
        <f aca="false">H1980</f>
        <v>0</v>
      </c>
      <c r="N1980" s="0" t="n">
        <f aca="false">E1980*F1980</f>
        <v>-0.25</v>
      </c>
      <c r="O1980" s="0" t="n">
        <f aca="false">E1980*G1980</f>
        <v>0.125</v>
      </c>
      <c r="P1980" s="0" t="n">
        <f aca="false">E1980*H1980</f>
        <v>-0</v>
      </c>
      <c r="Q1980" s="0" t="n">
        <f aca="false">F1980*G1980</f>
        <v>-0.125</v>
      </c>
      <c r="R1980" s="0" t="n">
        <f aca="false">F1980*H1980</f>
        <v>0</v>
      </c>
      <c r="S1980" s="0" t="n">
        <f aca="false">G1980*H1980</f>
        <v>-0</v>
      </c>
      <c r="T1980" s="0" t="n">
        <f aca="false">E1980*E1980</f>
        <v>0.25</v>
      </c>
      <c r="U1980" s="0" t="n">
        <f aca="false">F1980*F1980</f>
        <v>0.25</v>
      </c>
      <c r="V1980" s="0" t="n">
        <f aca="false">G1980*G1980</f>
        <v>0.0625</v>
      </c>
      <c r="W1980" s="0" t="n">
        <f aca="false">H1980*H1980</f>
        <v>0</v>
      </c>
      <c r="X1980" s="0" t="n">
        <f aca="false">SUMPRODUCT(I1980:W1980,_XtX!$B$96:$P$96)</f>
        <v>45.9710617690058</v>
      </c>
      <c r="Y1980" s="0" t="n">
        <f aca="false">SUMPRODUCT(MMULT(I1980:W1980,_XtX!$B$78:$P$92),I1980:W1980)</f>
        <v>0.132367050438597</v>
      </c>
      <c r="Z1980" s="0" t="n">
        <f aca="false">04_回帰ANOVA!$K$19*04_回帰ANOVA!$K$14*SQRT(1+Y1980)</f>
        <v>1.38704964208329</v>
      </c>
      <c r="AA1980" s="0" t="n">
        <f aca="false">X1980-Z1980</f>
        <v>44.5840121269225</v>
      </c>
      <c r="AB1980" s="0" t="n">
        <f aca="false">X1980+Z1980</f>
        <v>47.3581114110891</v>
      </c>
      <c r="AC1980" s="54" t="b">
        <f aca="false">AND(E1980&gt;=01_因子設定!$L$5-0.000000001,E1980&lt;=01_因子設定!$M$5+0.000000001,F1980&gt;=01_因子設定!$L$6-0.000000001,F1980&lt;=01_因子設定!$M$6+0.000000001,G1980&gt;=01_因子設定!$L$7-0.000000001,G1980&lt;=01_因子設定!$M$7+0.000000001,H1980&gt;=01_因子設定!$L$8-0.000000001,H1980&lt;=01_因子設定!$M$8+0.000000001,IF(01_因子設定!$B$20="Box-Behnken",E1980^2+F1980^2+G1980^2+H1980^2&lt;=2+0.000000001,TRUE()))</f>
        <v>1</v>
      </c>
      <c r="AD1980" s="55" t="n">
        <f aca="false">IF(AC1980,IF(01_因子設定!$B$13="最大化",AA1980-01_因子設定!$B$14,IF(01_因子設定!$B$13="最小化",01_因子設定!$B$15-AB1980,MIN(AA1980-01_因子設定!$B$14,01_因子設定!$B$15-AB1980))),-1E+030)</f>
        <v>-1.91598787307748</v>
      </c>
      <c r="AE1980" s="55" t="n">
        <f aca="false">IF(AC1980,IF(01_因子設定!$B$13="最大化",X1980,IF(01_因子設定!$B$13="最小化",-X1980,-ABS(X1980-01_因子設定!$B$16))),-1E+030)</f>
        <v>45.9710617690058</v>
      </c>
      <c r="AF1980" s="55" t="n">
        <f aca="false">AD1980+ROW()*0.000000001</f>
        <v>-1.91598589307748</v>
      </c>
      <c r="AG1980" s="55" t="n">
        <f aca="false">AE1980+ROW()*0.000000001</f>
        <v>45.9710637490058</v>
      </c>
    </row>
    <row r="1981" customFormat="false" ht="15" hidden="false" customHeight="false" outlineLevel="0" collapsed="false">
      <c r="A1981" s="0" t="n">
        <v>2</v>
      </c>
      <c r="B1981" s="0" t="n">
        <v>6</v>
      </c>
      <c r="C1981" s="0" t="n">
        <v>3</v>
      </c>
      <c r="D1981" s="0" t="n">
        <v>5</v>
      </c>
      <c r="E1981" s="0" t="n">
        <f aca="false">-1+A1981*0.25</f>
        <v>-0.5</v>
      </c>
      <c r="F1981" s="0" t="n">
        <f aca="false">-1+B1981*0.25</f>
        <v>0.5</v>
      </c>
      <c r="G1981" s="0" t="n">
        <f aca="false">-1+C1981*0.25</f>
        <v>-0.25</v>
      </c>
      <c r="H1981" s="0" t="n">
        <f aca="false">-1+D1981*0.25</f>
        <v>0.25</v>
      </c>
      <c r="I1981" s="0" t="n">
        <f aca="false">1</f>
        <v>1</v>
      </c>
      <c r="J1981" s="0" t="n">
        <f aca="false">E1981</f>
        <v>-0.5</v>
      </c>
      <c r="K1981" s="0" t="n">
        <f aca="false">F1981</f>
        <v>0.5</v>
      </c>
      <c r="L1981" s="0" t="n">
        <f aca="false">G1981</f>
        <v>-0.25</v>
      </c>
      <c r="M1981" s="0" t="n">
        <f aca="false">H1981</f>
        <v>0.25</v>
      </c>
      <c r="N1981" s="0" t="n">
        <f aca="false">E1981*F1981</f>
        <v>-0.25</v>
      </c>
      <c r="O1981" s="0" t="n">
        <f aca="false">E1981*G1981</f>
        <v>0.125</v>
      </c>
      <c r="P1981" s="0" t="n">
        <f aca="false">E1981*H1981</f>
        <v>-0.125</v>
      </c>
      <c r="Q1981" s="0" t="n">
        <f aca="false">F1981*G1981</f>
        <v>-0.125</v>
      </c>
      <c r="R1981" s="0" t="n">
        <f aca="false">F1981*H1981</f>
        <v>0.125</v>
      </c>
      <c r="S1981" s="0" t="n">
        <f aca="false">G1981*H1981</f>
        <v>-0.0625</v>
      </c>
      <c r="T1981" s="0" t="n">
        <f aca="false">E1981*E1981</f>
        <v>0.25</v>
      </c>
      <c r="U1981" s="0" t="n">
        <f aca="false">F1981*F1981</f>
        <v>0.25</v>
      </c>
      <c r="V1981" s="0" t="n">
        <f aca="false">G1981*G1981</f>
        <v>0.0625</v>
      </c>
      <c r="W1981" s="0" t="n">
        <f aca="false">H1981*H1981</f>
        <v>0.0625</v>
      </c>
      <c r="X1981" s="0" t="n">
        <f aca="false">SUMPRODUCT(I1981:W1981,_XtX!$B$96:$P$96)</f>
        <v>45.9883908991228</v>
      </c>
      <c r="Y1981" s="0" t="n">
        <f aca="false">SUMPRODUCT(MMULT(I1981:W1981,_XtX!$B$78:$P$92),I1981:W1981)</f>
        <v>0.128236647934942</v>
      </c>
      <c r="Z1981" s="0" t="n">
        <f aca="false">04_回帰ANOVA!$K$19*04_回帰ANOVA!$K$14*SQRT(1+Y1981)</f>
        <v>1.38451764188989</v>
      </c>
      <c r="AA1981" s="0" t="n">
        <f aca="false">X1981-Z1981</f>
        <v>44.6038732572329</v>
      </c>
      <c r="AB1981" s="0" t="n">
        <f aca="false">X1981+Z1981</f>
        <v>47.3729085410127</v>
      </c>
      <c r="AC1981" s="54" t="b">
        <f aca="false">AND(E1981&gt;=01_因子設定!$L$5-0.000000001,E1981&lt;=01_因子設定!$M$5+0.000000001,F1981&gt;=01_因子設定!$L$6-0.000000001,F1981&lt;=01_因子設定!$M$6+0.000000001,G1981&gt;=01_因子設定!$L$7-0.000000001,G1981&lt;=01_因子設定!$M$7+0.000000001,H1981&gt;=01_因子設定!$L$8-0.000000001,H1981&lt;=01_因子設定!$M$8+0.000000001,IF(01_因子設定!$B$20="Box-Behnken",E1981^2+F1981^2+G1981^2+H1981^2&lt;=2+0.000000001,TRUE()))</f>
        <v>1</v>
      </c>
      <c r="AD1981" s="55" t="n">
        <f aca="false">IF(AC1981,IF(01_因子設定!$B$13="最大化",AA1981-01_因子設定!$B$14,IF(01_因子設定!$B$13="最小化",01_因子設定!$B$15-AB1981,MIN(AA1981-01_因子設定!$B$14,01_因子設定!$B$15-AB1981))),-1E+030)</f>
        <v>-1.89612674276712</v>
      </c>
      <c r="AE1981" s="55" t="n">
        <f aca="false">IF(AC1981,IF(01_因子設定!$B$13="最大化",X1981,IF(01_因子設定!$B$13="最小化",-X1981,-ABS(X1981-01_因子設定!$B$16))),-1E+030)</f>
        <v>45.9883908991228</v>
      </c>
      <c r="AF1981" s="55" t="n">
        <f aca="false">AD1981+ROW()*0.000000001</f>
        <v>-1.89612476176712</v>
      </c>
      <c r="AG1981" s="55" t="n">
        <f aca="false">AE1981+ROW()*0.000000001</f>
        <v>45.9883928801228</v>
      </c>
    </row>
    <row r="1982" customFormat="false" ht="15" hidden="false" customHeight="false" outlineLevel="0" collapsed="false">
      <c r="A1982" s="0" t="n">
        <v>2</v>
      </c>
      <c r="B1982" s="0" t="n">
        <v>6</v>
      </c>
      <c r="C1982" s="0" t="n">
        <v>3</v>
      </c>
      <c r="D1982" s="0" t="n">
        <v>6</v>
      </c>
      <c r="E1982" s="0" t="n">
        <f aca="false">-1+A1982*0.25</f>
        <v>-0.5</v>
      </c>
      <c r="F1982" s="0" t="n">
        <f aca="false">-1+B1982*0.25</f>
        <v>0.5</v>
      </c>
      <c r="G1982" s="0" t="n">
        <f aca="false">-1+C1982*0.25</f>
        <v>-0.25</v>
      </c>
      <c r="H1982" s="0" t="n">
        <f aca="false">-1+D1982*0.25</f>
        <v>0.5</v>
      </c>
      <c r="I1982" s="0" t="n">
        <f aca="false">1</f>
        <v>1</v>
      </c>
      <c r="J1982" s="0" t="n">
        <f aca="false">E1982</f>
        <v>-0.5</v>
      </c>
      <c r="K1982" s="0" t="n">
        <f aca="false">F1982</f>
        <v>0.5</v>
      </c>
      <c r="L1982" s="0" t="n">
        <f aca="false">G1982</f>
        <v>-0.25</v>
      </c>
      <c r="M1982" s="0" t="n">
        <f aca="false">H1982</f>
        <v>0.5</v>
      </c>
      <c r="N1982" s="0" t="n">
        <f aca="false">E1982*F1982</f>
        <v>-0.25</v>
      </c>
      <c r="O1982" s="0" t="n">
        <f aca="false">E1982*G1982</f>
        <v>0.125</v>
      </c>
      <c r="P1982" s="0" t="n">
        <f aca="false">E1982*H1982</f>
        <v>-0.25</v>
      </c>
      <c r="Q1982" s="0" t="n">
        <f aca="false">F1982*G1982</f>
        <v>-0.125</v>
      </c>
      <c r="R1982" s="0" t="n">
        <f aca="false">F1982*H1982</f>
        <v>0.25</v>
      </c>
      <c r="S1982" s="0" t="n">
        <f aca="false">G1982*H1982</f>
        <v>-0.125</v>
      </c>
      <c r="T1982" s="0" t="n">
        <f aca="false">E1982*E1982</f>
        <v>0.25</v>
      </c>
      <c r="U1982" s="0" t="n">
        <f aca="false">F1982*F1982</f>
        <v>0.25</v>
      </c>
      <c r="V1982" s="0" t="n">
        <f aca="false">G1982*G1982</f>
        <v>0.0625</v>
      </c>
      <c r="W1982" s="0" t="n">
        <f aca="false">H1982*H1982</f>
        <v>0.25</v>
      </c>
      <c r="X1982" s="0" t="n">
        <f aca="false">SUMPRODUCT(I1982:W1982,_XtX!$B$96:$P$96)</f>
        <v>45.9579130116959</v>
      </c>
      <c r="Y1982" s="0" t="n">
        <f aca="false">SUMPRODUCT(MMULT(I1982:W1982,_XtX!$B$78:$P$92),I1982:W1982)</f>
        <v>0.133937545687135</v>
      </c>
      <c r="Z1982" s="0" t="n">
        <f aca="false">04_回帰ANOVA!$K$19*04_回帰ANOVA!$K$14*SQRT(1+Y1982)</f>
        <v>1.38801116780825</v>
      </c>
      <c r="AA1982" s="0" t="n">
        <f aca="false">X1982-Z1982</f>
        <v>44.5699018438876</v>
      </c>
      <c r="AB1982" s="0" t="n">
        <f aca="false">X1982+Z1982</f>
        <v>47.3459241795041</v>
      </c>
      <c r="AC1982" s="54" t="b">
        <f aca="false">AND(E1982&gt;=01_因子設定!$L$5-0.000000001,E1982&lt;=01_因子設定!$M$5+0.000000001,F1982&gt;=01_因子設定!$L$6-0.000000001,F1982&lt;=01_因子設定!$M$6+0.000000001,G1982&gt;=01_因子設定!$L$7-0.000000001,G1982&lt;=01_因子設定!$M$7+0.000000001,H1982&gt;=01_因子設定!$L$8-0.000000001,H1982&lt;=01_因子設定!$M$8+0.000000001,IF(01_因子設定!$B$20="Box-Behnken",E1982^2+F1982^2+G1982^2+H1982^2&lt;=2+0.000000001,TRUE()))</f>
        <v>1</v>
      </c>
      <c r="AD1982" s="55" t="n">
        <f aca="false">IF(AC1982,IF(01_因子設定!$B$13="最大化",AA1982-01_因子設定!$B$14,IF(01_因子設定!$B$13="最小化",01_因子設定!$B$15-AB1982,MIN(AA1982-01_因子設定!$B$14,01_因子設定!$B$15-AB1982))),-1E+030)</f>
        <v>-1.93009815611238</v>
      </c>
      <c r="AE1982" s="55" t="n">
        <f aca="false">IF(AC1982,IF(01_因子設定!$B$13="最大化",X1982,IF(01_因子設定!$B$13="最小化",-X1982,-ABS(X1982-01_因子設定!$B$16))),-1E+030)</f>
        <v>45.9579130116959</v>
      </c>
      <c r="AF1982" s="55" t="n">
        <f aca="false">AD1982+ROW()*0.000000001</f>
        <v>-1.93009617411238</v>
      </c>
      <c r="AG1982" s="55" t="n">
        <f aca="false">AE1982+ROW()*0.000000001</f>
        <v>45.9579149936959</v>
      </c>
    </row>
    <row r="1983" customFormat="false" ht="15" hidden="false" customHeight="false" outlineLevel="0" collapsed="false">
      <c r="A1983" s="0" t="n">
        <v>2</v>
      </c>
      <c r="B1983" s="0" t="n">
        <v>6</v>
      </c>
      <c r="C1983" s="0" t="n">
        <v>3</v>
      </c>
      <c r="D1983" s="0" t="n">
        <v>7</v>
      </c>
      <c r="E1983" s="0" t="n">
        <f aca="false">-1+A1983*0.25</f>
        <v>-0.5</v>
      </c>
      <c r="F1983" s="0" t="n">
        <f aca="false">-1+B1983*0.25</f>
        <v>0.5</v>
      </c>
      <c r="G1983" s="0" t="n">
        <f aca="false">-1+C1983*0.25</f>
        <v>-0.25</v>
      </c>
      <c r="H1983" s="0" t="n">
        <f aca="false">-1+D1983*0.25</f>
        <v>0.75</v>
      </c>
      <c r="I1983" s="0" t="n">
        <f aca="false">1</f>
        <v>1</v>
      </c>
      <c r="J1983" s="0" t="n">
        <f aca="false">E1983</f>
        <v>-0.5</v>
      </c>
      <c r="K1983" s="0" t="n">
        <f aca="false">F1983</f>
        <v>0.5</v>
      </c>
      <c r="L1983" s="0" t="n">
        <f aca="false">G1983</f>
        <v>-0.25</v>
      </c>
      <c r="M1983" s="0" t="n">
        <f aca="false">H1983</f>
        <v>0.75</v>
      </c>
      <c r="N1983" s="0" t="n">
        <f aca="false">E1983*F1983</f>
        <v>-0.25</v>
      </c>
      <c r="O1983" s="0" t="n">
        <f aca="false">E1983*G1983</f>
        <v>0.125</v>
      </c>
      <c r="P1983" s="0" t="n">
        <f aca="false">E1983*H1983</f>
        <v>-0.375</v>
      </c>
      <c r="Q1983" s="0" t="n">
        <f aca="false">F1983*G1983</f>
        <v>-0.125</v>
      </c>
      <c r="R1983" s="0" t="n">
        <f aca="false">F1983*H1983</f>
        <v>0.375</v>
      </c>
      <c r="S1983" s="0" t="n">
        <f aca="false">G1983*H1983</f>
        <v>-0.1875</v>
      </c>
      <c r="T1983" s="0" t="n">
        <f aca="false">E1983*E1983</f>
        <v>0.25</v>
      </c>
      <c r="U1983" s="0" t="n">
        <f aca="false">F1983*F1983</f>
        <v>0.25</v>
      </c>
      <c r="V1983" s="0" t="n">
        <f aca="false">G1983*G1983</f>
        <v>0.0625</v>
      </c>
      <c r="W1983" s="0" t="n">
        <f aca="false">H1983*H1983</f>
        <v>0.5625</v>
      </c>
      <c r="X1983" s="0" t="n">
        <f aca="false">SUMPRODUCT(I1983:W1983,_XtX!$B$96:$P$96)</f>
        <v>45.8796281067251</v>
      </c>
      <c r="Y1983" s="0" t="n">
        <f aca="false">SUMPRODUCT(MMULT(I1983:W1983,_XtX!$B$78:$P$92),I1983:W1983)</f>
        <v>0.203746059484649</v>
      </c>
      <c r="Z1983" s="0" t="n">
        <f aca="false">04_回帰ANOVA!$K$19*04_回帰ANOVA!$K$14*SQRT(1+Y1983)</f>
        <v>1.43009810755465</v>
      </c>
      <c r="AA1983" s="0" t="n">
        <f aca="false">X1983-Z1983</f>
        <v>44.4495299991705</v>
      </c>
      <c r="AB1983" s="0" t="n">
        <f aca="false">X1983+Z1983</f>
        <v>47.3097262142798</v>
      </c>
      <c r="AC1983" s="54" t="b">
        <f aca="false">AND(E1983&gt;=01_因子設定!$L$5-0.000000001,E1983&lt;=01_因子設定!$M$5+0.000000001,F1983&gt;=01_因子設定!$L$6-0.000000001,F1983&lt;=01_因子設定!$M$6+0.000000001,G1983&gt;=01_因子設定!$L$7-0.000000001,G1983&lt;=01_因子設定!$M$7+0.000000001,H1983&gt;=01_因子設定!$L$8-0.000000001,H1983&lt;=01_因子設定!$M$8+0.000000001,IF(01_因子設定!$B$20="Box-Behnken",E1983^2+F1983^2+G1983^2+H1983^2&lt;=2+0.000000001,TRUE()))</f>
        <v>1</v>
      </c>
      <c r="AD1983" s="55" t="n">
        <f aca="false">IF(AC1983,IF(01_因子設定!$B$13="最大化",AA1983-01_因子設定!$B$14,IF(01_因子設定!$B$13="最小化",01_因子設定!$B$15-AB1983,MIN(AA1983-01_因子設定!$B$14,01_因子設定!$B$15-AB1983))),-1E+030)</f>
        <v>-2.05047000082953</v>
      </c>
      <c r="AE1983" s="55" t="n">
        <f aca="false">IF(AC1983,IF(01_因子設定!$B$13="最大化",X1983,IF(01_因子設定!$B$13="最小化",-X1983,-ABS(X1983-01_因子設定!$B$16))),-1E+030)</f>
        <v>45.8796281067251</v>
      </c>
      <c r="AF1983" s="55" t="n">
        <f aca="false">AD1983+ROW()*0.000000001</f>
        <v>-2.05046801782953</v>
      </c>
      <c r="AG1983" s="55" t="n">
        <f aca="false">AE1983+ROW()*0.000000001</f>
        <v>45.8796300897251</v>
      </c>
    </row>
    <row r="1984" customFormat="false" ht="15" hidden="false" customHeight="false" outlineLevel="0" collapsed="false">
      <c r="A1984" s="0" t="n">
        <v>2</v>
      </c>
      <c r="B1984" s="0" t="n">
        <v>6</v>
      </c>
      <c r="C1984" s="0" t="n">
        <v>3</v>
      </c>
      <c r="D1984" s="0" t="n">
        <v>8</v>
      </c>
      <c r="E1984" s="0" t="n">
        <f aca="false">-1+A1984*0.25</f>
        <v>-0.5</v>
      </c>
      <c r="F1984" s="0" t="n">
        <f aca="false">-1+B1984*0.25</f>
        <v>0.5</v>
      </c>
      <c r="G1984" s="0" t="n">
        <f aca="false">-1+C1984*0.25</f>
        <v>-0.25</v>
      </c>
      <c r="H1984" s="0" t="n">
        <f aca="false">-1+D1984*0.25</f>
        <v>1</v>
      </c>
      <c r="I1984" s="0" t="n">
        <f aca="false">1</f>
        <v>1</v>
      </c>
      <c r="J1984" s="0" t="n">
        <f aca="false">E1984</f>
        <v>-0.5</v>
      </c>
      <c r="K1984" s="0" t="n">
        <f aca="false">F1984</f>
        <v>0.5</v>
      </c>
      <c r="L1984" s="0" t="n">
        <f aca="false">G1984</f>
        <v>-0.25</v>
      </c>
      <c r="M1984" s="0" t="n">
        <f aca="false">H1984</f>
        <v>1</v>
      </c>
      <c r="N1984" s="0" t="n">
        <f aca="false">E1984*F1984</f>
        <v>-0.25</v>
      </c>
      <c r="O1984" s="0" t="n">
        <f aca="false">E1984*G1984</f>
        <v>0.125</v>
      </c>
      <c r="P1984" s="0" t="n">
        <f aca="false">E1984*H1984</f>
        <v>-0.5</v>
      </c>
      <c r="Q1984" s="0" t="n">
        <f aca="false">F1984*G1984</f>
        <v>-0.125</v>
      </c>
      <c r="R1984" s="0" t="n">
        <f aca="false">F1984*H1984</f>
        <v>0.5</v>
      </c>
      <c r="S1984" s="0" t="n">
        <f aca="false">G1984*H1984</f>
        <v>-0.25</v>
      </c>
      <c r="T1984" s="0" t="n">
        <f aca="false">E1984*E1984</f>
        <v>0.25</v>
      </c>
      <c r="U1984" s="0" t="n">
        <f aca="false">F1984*F1984</f>
        <v>0.25</v>
      </c>
      <c r="V1984" s="0" t="n">
        <f aca="false">G1984*G1984</f>
        <v>0.0625</v>
      </c>
      <c r="W1984" s="0" t="n">
        <f aca="false">H1984*H1984</f>
        <v>1</v>
      </c>
      <c r="X1984" s="0" t="n">
        <f aca="false">SUMPRODUCT(I1984:W1984,_XtX!$B$96:$P$96)</f>
        <v>45.7535361842105</v>
      </c>
      <c r="Y1984" s="0" t="n">
        <f aca="false">SUMPRODUCT(MMULT(I1984:W1984,_XtX!$B$78:$P$92),I1984:W1984)</f>
        <v>0.428122715643275</v>
      </c>
      <c r="Z1984" s="0" t="n">
        <f aca="false">04_回帰ANOVA!$K$19*04_回帰ANOVA!$K$14*SQRT(1+Y1984)</f>
        <v>1.55769044623229</v>
      </c>
      <c r="AA1984" s="0" t="n">
        <f aca="false">X1984-Z1984</f>
        <v>44.1958457379782</v>
      </c>
      <c r="AB1984" s="0" t="n">
        <f aca="false">X1984+Z1984</f>
        <v>47.3112266304428</v>
      </c>
      <c r="AC1984" s="54" t="b">
        <f aca="false">AND(E1984&gt;=01_因子設定!$L$5-0.000000001,E1984&lt;=01_因子設定!$M$5+0.000000001,F1984&gt;=01_因子設定!$L$6-0.000000001,F1984&lt;=01_因子設定!$M$6+0.000000001,G1984&gt;=01_因子設定!$L$7-0.000000001,G1984&lt;=01_因子設定!$M$7+0.000000001,H1984&gt;=01_因子設定!$L$8-0.000000001,H1984&lt;=01_因子設定!$M$8+0.000000001,IF(01_因子設定!$B$20="Box-Behnken",E1984^2+F1984^2+G1984^2+H1984^2&lt;=2+0.000000001,TRUE()))</f>
        <v>1</v>
      </c>
      <c r="AD1984" s="55" t="n">
        <f aca="false">IF(AC1984,IF(01_因子設定!$B$13="最大化",AA1984-01_因子設定!$B$14,IF(01_因子設定!$B$13="最小化",01_因子設定!$B$15-AB1984,MIN(AA1984-01_因子設定!$B$14,01_因子設定!$B$15-AB1984))),-1E+030)</f>
        <v>-2.30415426202178</v>
      </c>
      <c r="AE1984" s="55" t="n">
        <f aca="false">IF(AC1984,IF(01_因子設定!$B$13="最大化",X1984,IF(01_因子設定!$B$13="最小化",-X1984,-ABS(X1984-01_因子設定!$B$16))),-1E+030)</f>
        <v>45.7535361842105</v>
      </c>
      <c r="AF1984" s="55" t="n">
        <f aca="false">AD1984+ROW()*0.000000001</f>
        <v>-2.30415227802178</v>
      </c>
      <c r="AG1984" s="55" t="n">
        <f aca="false">AE1984+ROW()*0.000000001</f>
        <v>45.7535381682105</v>
      </c>
    </row>
    <row r="1985" customFormat="false" ht="15" hidden="false" customHeight="false" outlineLevel="0" collapsed="false">
      <c r="A1985" s="0" t="n">
        <v>2</v>
      </c>
      <c r="B1985" s="0" t="n">
        <v>6</v>
      </c>
      <c r="C1985" s="0" t="n">
        <v>4</v>
      </c>
      <c r="D1985" s="0" t="n">
        <v>0</v>
      </c>
      <c r="E1985" s="0" t="n">
        <f aca="false">-1+A1985*0.25</f>
        <v>-0.5</v>
      </c>
      <c r="F1985" s="0" t="n">
        <f aca="false">-1+B1985*0.25</f>
        <v>0.5</v>
      </c>
      <c r="G1985" s="0" t="n">
        <f aca="false">-1+C1985*0.25</f>
        <v>0</v>
      </c>
      <c r="H1985" s="0" t="n">
        <f aca="false">-1+D1985*0.25</f>
        <v>-1</v>
      </c>
      <c r="I1985" s="0" t="n">
        <f aca="false">1</f>
        <v>1</v>
      </c>
      <c r="J1985" s="0" t="n">
        <f aca="false">E1985</f>
        <v>-0.5</v>
      </c>
      <c r="K1985" s="0" t="n">
        <f aca="false">F1985</f>
        <v>0.5</v>
      </c>
      <c r="L1985" s="0" t="n">
        <f aca="false">G1985</f>
        <v>0</v>
      </c>
      <c r="M1985" s="0" t="n">
        <f aca="false">H1985</f>
        <v>-1</v>
      </c>
      <c r="N1985" s="0" t="n">
        <f aca="false">E1985*F1985</f>
        <v>-0.25</v>
      </c>
      <c r="O1985" s="0" t="n">
        <f aca="false">E1985*G1985</f>
        <v>-0</v>
      </c>
      <c r="P1985" s="0" t="n">
        <f aca="false">E1985*H1985</f>
        <v>0.5</v>
      </c>
      <c r="Q1985" s="0" t="n">
        <f aca="false">F1985*G1985</f>
        <v>0</v>
      </c>
      <c r="R1985" s="0" t="n">
        <f aca="false">F1985*H1985</f>
        <v>-0.5</v>
      </c>
      <c r="S1985" s="0" t="n">
        <f aca="false">G1985*H1985</f>
        <v>-0</v>
      </c>
      <c r="T1985" s="0" t="n">
        <f aca="false">E1985*E1985</f>
        <v>0.25</v>
      </c>
      <c r="U1985" s="0" t="n">
        <f aca="false">F1985*F1985</f>
        <v>0.25</v>
      </c>
      <c r="V1985" s="0" t="n">
        <f aca="false">G1985*G1985</f>
        <v>0</v>
      </c>
      <c r="W1985" s="0" t="n">
        <f aca="false">H1985*H1985</f>
        <v>1</v>
      </c>
      <c r="X1985" s="0" t="n">
        <f aca="false">SUMPRODUCT(I1985:W1985,_XtX!$B$96:$P$96)</f>
        <v>45.7605994152047</v>
      </c>
      <c r="Y1985" s="0" t="n">
        <f aca="false">SUMPRODUCT(MMULT(I1985:W1985,_XtX!$B$78:$P$92),I1985:W1985)</f>
        <v>0.441954495614035</v>
      </c>
      <c r="Z1985" s="0" t="n">
        <f aca="false">04_回帰ANOVA!$K$19*04_回帰ANOVA!$K$14*SQRT(1+Y1985)</f>
        <v>1.56521560968066</v>
      </c>
      <c r="AA1985" s="0" t="n">
        <f aca="false">X1985-Z1985</f>
        <v>44.195383805524</v>
      </c>
      <c r="AB1985" s="0" t="n">
        <f aca="false">X1985+Z1985</f>
        <v>47.3258150248853</v>
      </c>
      <c r="AC1985" s="54" t="b">
        <f aca="false">AND(E1985&gt;=01_因子設定!$L$5-0.000000001,E1985&lt;=01_因子設定!$M$5+0.000000001,F1985&gt;=01_因子設定!$L$6-0.000000001,F1985&lt;=01_因子設定!$M$6+0.000000001,G1985&gt;=01_因子設定!$L$7-0.000000001,G1985&lt;=01_因子設定!$M$7+0.000000001,H1985&gt;=01_因子設定!$L$8-0.000000001,H1985&lt;=01_因子設定!$M$8+0.000000001,IF(01_因子設定!$B$20="Box-Behnken",E1985^2+F1985^2+G1985^2+H1985^2&lt;=2+0.000000001,TRUE()))</f>
        <v>1</v>
      </c>
      <c r="AD1985" s="55" t="n">
        <f aca="false">IF(AC1985,IF(01_因子設定!$B$13="最大化",AA1985-01_因子設定!$B$14,IF(01_因子設定!$B$13="最小化",01_因子設定!$B$15-AB1985,MIN(AA1985-01_因子設定!$B$14,01_因子設定!$B$15-AB1985))),-1E+030)</f>
        <v>-2.30461619447599</v>
      </c>
      <c r="AE1985" s="55" t="n">
        <f aca="false">IF(AC1985,IF(01_因子設定!$B$13="最大化",X1985,IF(01_因子設定!$B$13="最小化",-X1985,-ABS(X1985-01_因子設定!$B$16))),-1E+030)</f>
        <v>45.7605994152047</v>
      </c>
      <c r="AF1985" s="55" t="n">
        <f aca="false">AD1985+ROW()*0.000000001</f>
        <v>-2.30461420947599</v>
      </c>
      <c r="AG1985" s="55" t="n">
        <f aca="false">AE1985+ROW()*0.000000001</f>
        <v>45.7606014002047</v>
      </c>
    </row>
    <row r="1986" customFormat="false" ht="15" hidden="false" customHeight="false" outlineLevel="0" collapsed="false">
      <c r="A1986" s="0" t="n">
        <v>2</v>
      </c>
      <c r="B1986" s="0" t="n">
        <v>6</v>
      </c>
      <c r="C1986" s="0" t="n">
        <v>4</v>
      </c>
      <c r="D1986" s="0" t="n">
        <v>1</v>
      </c>
      <c r="E1986" s="0" t="n">
        <f aca="false">-1+A1986*0.25</f>
        <v>-0.5</v>
      </c>
      <c r="F1986" s="0" t="n">
        <f aca="false">-1+B1986*0.25</f>
        <v>0.5</v>
      </c>
      <c r="G1986" s="0" t="n">
        <f aca="false">-1+C1986*0.25</f>
        <v>0</v>
      </c>
      <c r="H1986" s="0" t="n">
        <f aca="false">-1+D1986*0.25</f>
        <v>-0.75</v>
      </c>
      <c r="I1986" s="0" t="n">
        <f aca="false">1</f>
        <v>1</v>
      </c>
      <c r="J1986" s="0" t="n">
        <f aca="false">E1986</f>
        <v>-0.5</v>
      </c>
      <c r="K1986" s="0" t="n">
        <f aca="false">F1986</f>
        <v>0.5</v>
      </c>
      <c r="L1986" s="0" t="n">
        <f aca="false">G1986</f>
        <v>0</v>
      </c>
      <c r="M1986" s="0" t="n">
        <f aca="false">H1986</f>
        <v>-0.75</v>
      </c>
      <c r="N1986" s="0" t="n">
        <f aca="false">E1986*F1986</f>
        <v>-0.25</v>
      </c>
      <c r="O1986" s="0" t="n">
        <f aca="false">E1986*G1986</f>
        <v>-0</v>
      </c>
      <c r="P1986" s="0" t="n">
        <f aca="false">E1986*H1986</f>
        <v>0.375</v>
      </c>
      <c r="Q1986" s="0" t="n">
        <f aca="false">F1986*G1986</f>
        <v>0</v>
      </c>
      <c r="R1986" s="0" t="n">
        <f aca="false">F1986*H1986</f>
        <v>-0.375</v>
      </c>
      <c r="S1986" s="0" t="n">
        <f aca="false">G1986*H1986</f>
        <v>-0</v>
      </c>
      <c r="T1986" s="0" t="n">
        <f aca="false">E1986*E1986</f>
        <v>0.25</v>
      </c>
      <c r="U1986" s="0" t="n">
        <f aca="false">F1986*F1986</f>
        <v>0.25</v>
      </c>
      <c r="V1986" s="0" t="n">
        <f aca="false">G1986*G1986</f>
        <v>0</v>
      </c>
      <c r="W1986" s="0" t="n">
        <f aca="false">H1986*H1986</f>
        <v>0.5625</v>
      </c>
      <c r="X1986" s="0" t="n">
        <f aca="false">SUMPRODUCT(I1986:W1986,_XtX!$B$96:$P$96)</f>
        <v>45.9871253654971</v>
      </c>
      <c r="Y1986" s="0" t="n">
        <f aca="false">SUMPRODUCT(MMULT(I1986:W1986,_XtX!$B$78:$P$92),I1986:W1986)</f>
        <v>0.21305052997076</v>
      </c>
      <c r="Z1986" s="0" t="n">
        <f aca="false">04_回帰ANOVA!$K$19*04_回帰ANOVA!$K$14*SQRT(1+Y1986)</f>
        <v>1.43561450835061</v>
      </c>
      <c r="AA1986" s="0" t="n">
        <f aca="false">X1986-Z1986</f>
        <v>44.5515108571465</v>
      </c>
      <c r="AB1986" s="0" t="n">
        <f aca="false">X1986+Z1986</f>
        <v>47.4227398738477</v>
      </c>
      <c r="AC1986" s="54" t="b">
        <f aca="false">AND(E1986&gt;=01_因子設定!$L$5-0.000000001,E1986&lt;=01_因子設定!$M$5+0.000000001,F1986&gt;=01_因子設定!$L$6-0.000000001,F1986&lt;=01_因子設定!$M$6+0.000000001,G1986&gt;=01_因子設定!$L$7-0.000000001,G1986&lt;=01_因子設定!$M$7+0.000000001,H1986&gt;=01_因子設定!$L$8-0.000000001,H1986&lt;=01_因子設定!$M$8+0.000000001,IF(01_因子設定!$B$20="Box-Behnken",E1986^2+F1986^2+G1986^2+H1986^2&lt;=2+0.000000001,TRUE()))</f>
        <v>1</v>
      </c>
      <c r="AD1986" s="55" t="n">
        <f aca="false">IF(AC1986,IF(01_因子設定!$B$13="最大化",AA1986-01_因子設定!$B$14,IF(01_因子設定!$B$13="最小化",01_因子設定!$B$15-AB1986,MIN(AA1986-01_因子設定!$B$14,01_因子設定!$B$15-AB1986))),-1E+030)</f>
        <v>-1.94848914285355</v>
      </c>
      <c r="AE1986" s="55" t="n">
        <f aca="false">IF(AC1986,IF(01_因子設定!$B$13="最大化",X1986,IF(01_因子設定!$B$13="最小化",-X1986,-ABS(X1986-01_因子設定!$B$16))),-1E+030)</f>
        <v>45.9871253654971</v>
      </c>
      <c r="AF1986" s="55" t="n">
        <f aca="false">AD1986+ROW()*0.000000001</f>
        <v>-1.94848715685355</v>
      </c>
      <c r="AG1986" s="55" t="n">
        <f aca="false">AE1986+ROW()*0.000000001</f>
        <v>45.9871273514971</v>
      </c>
    </row>
    <row r="1987" customFormat="false" ht="15" hidden="false" customHeight="false" outlineLevel="0" collapsed="false">
      <c r="A1987" s="0" t="n">
        <v>2</v>
      </c>
      <c r="B1987" s="0" t="n">
        <v>6</v>
      </c>
      <c r="C1987" s="0" t="n">
        <v>4</v>
      </c>
      <c r="D1987" s="0" t="n">
        <v>2</v>
      </c>
      <c r="E1987" s="0" t="n">
        <f aca="false">-1+A1987*0.25</f>
        <v>-0.5</v>
      </c>
      <c r="F1987" s="0" t="n">
        <f aca="false">-1+B1987*0.25</f>
        <v>0.5</v>
      </c>
      <c r="G1987" s="0" t="n">
        <f aca="false">-1+C1987*0.25</f>
        <v>0</v>
      </c>
      <c r="H1987" s="0" t="n">
        <f aca="false">-1+D1987*0.25</f>
        <v>-0.5</v>
      </c>
      <c r="I1987" s="0" t="n">
        <f aca="false">1</f>
        <v>1</v>
      </c>
      <c r="J1987" s="0" t="n">
        <f aca="false">E1987</f>
        <v>-0.5</v>
      </c>
      <c r="K1987" s="0" t="n">
        <f aca="false">F1987</f>
        <v>0.5</v>
      </c>
      <c r="L1987" s="0" t="n">
        <f aca="false">G1987</f>
        <v>0</v>
      </c>
      <c r="M1987" s="0" t="n">
        <f aca="false">H1987</f>
        <v>-0.5</v>
      </c>
      <c r="N1987" s="0" t="n">
        <f aca="false">E1987*F1987</f>
        <v>-0.25</v>
      </c>
      <c r="O1987" s="0" t="n">
        <f aca="false">E1987*G1987</f>
        <v>-0</v>
      </c>
      <c r="P1987" s="0" t="n">
        <f aca="false">E1987*H1987</f>
        <v>0.25</v>
      </c>
      <c r="Q1987" s="0" t="n">
        <f aca="false">F1987*G1987</f>
        <v>0</v>
      </c>
      <c r="R1987" s="0" t="n">
        <f aca="false">F1987*H1987</f>
        <v>-0.25</v>
      </c>
      <c r="S1987" s="0" t="n">
        <f aca="false">G1987*H1987</f>
        <v>-0</v>
      </c>
      <c r="T1987" s="0" t="n">
        <f aca="false">E1987*E1987</f>
        <v>0.25</v>
      </c>
      <c r="U1987" s="0" t="n">
        <f aca="false">F1987*F1987</f>
        <v>0.25</v>
      </c>
      <c r="V1987" s="0" t="n">
        <f aca="false">G1987*G1987</f>
        <v>0</v>
      </c>
      <c r="W1987" s="0" t="n">
        <f aca="false">H1987*H1987</f>
        <v>0.25</v>
      </c>
      <c r="X1987" s="0" t="n">
        <f aca="false">SUMPRODUCT(I1987:W1987,_XtX!$B$96:$P$96)</f>
        <v>46.1658442982456</v>
      </c>
      <c r="Y1987" s="0" t="n">
        <f aca="false">SUMPRODUCT(MMULT(I1987:W1987,_XtX!$B$78:$P$92),I1987:W1987)</f>
        <v>0.140008223684211</v>
      </c>
      <c r="Z1987" s="0" t="n">
        <f aca="false">04_回帰ANOVA!$K$19*04_回帰ANOVA!$K$14*SQRT(1+Y1987)</f>
        <v>1.39172165492264</v>
      </c>
      <c r="AA1987" s="0" t="n">
        <f aca="false">X1987-Z1987</f>
        <v>44.774122643323</v>
      </c>
      <c r="AB1987" s="0" t="n">
        <f aca="false">X1987+Z1987</f>
        <v>47.5575659531682</v>
      </c>
      <c r="AC1987" s="54" t="b">
        <f aca="false">AND(E1987&gt;=01_因子設定!$L$5-0.000000001,E1987&lt;=01_因子設定!$M$5+0.000000001,F1987&gt;=01_因子設定!$L$6-0.000000001,F1987&lt;=01_因子設定!$M$6+0.000000001,G1987&gt;=01_因子設定!$L$7-0.000000001,G1987&lt;=01_因子設定!$M$7+0.000000001,H1987&gt;=01_因子設定!$L$8-0.000000001,H1987&lt;=01_因子設定!$M$8+0.000000001,IF(01_因子設定!$B$20="Box-Behnken",E1987^2+F1987^2+G1987^2+H1987^2&lt;=2+0.000000001,TRUE()))</f>
        <v>1</v>
      </c>
      <c r="AD1987" s="55" t="n">
        <f aca="false">IF(AC1987,IF(01_因子設定!$B$13="最大化",AA1987-01_因子設定!$B$14,IF(01_因子設定!$B$13="最小化",01_因子設定!$B$15-AB1987,MIN(AA1987-01_因子設定!$B$14,01_因子設定!$B$15-AB1987))),-1E+030)</f>
        <v>-1.72587735667705</v>
      </c>
      <c r="AE1987" s="55" t="n">
        <f aca="false">IF(AC1987,IF(01_因子設定!$B$13="最大化",X1987,IF(01_因子設定!$B$13="最小化",-X1987,-ABS(X1987-01_因子設定!$B$16))),-1E+030)</f>
        <v>46.1658442982456</v>
      </c>
      <c r="AF1987" s="55" t="n">
        <f aca="false">AD1987+ROW()*0.000000001</f>
        <v>-1.72587536967705</v>
      </c>
      <c r="AG1987" s="55" t="n">
        <f aca="false">AE1987+ROW()*0.000000001</f>
        <v>46.1658462852456</v>
      </c>
    </row>
    <row r="1988" customFormat="false" ht="15" hidden="false" customHeight="false" outlineLevel="0" collapsed="false">
      <c r="A1988" s="0" t="n">
        <v>2</v>
      </c>
      <c r="B1988" s="0" t="n">
        <v>6</v>
      </c>
      <c r="C1988" s="0" t="n">
        <v>4</v>
      </c>
      <c r="D1988" s="0" t="n">
        <v>3</v>
      </c>
      <c r="E1988" s="0" t="n">
        <f aca="false">-1+A1988*0.25</f>
        <v>-0.5</v>
      </c>
      <c r="F1988" s="0" t="n">
        <f aca="false">-1+B1988*0.25</f>
        <v>0.5</v>
      </c>
      <c r="G1988" s="0" t="n">
        <f aca="false">-1+C1988*0.25</f>
        <v>0</v>
      </c>
      <c r="H1988" s="0" t="n">
        <f aca="false">-1+D1988*0.25</f>
        <v>-0.25</v>
      </c>
      <c r="I1988" s="0" t="n">
        <f aca="false">1</f>
        <v>1</v>
      </c>
      <c r="J1988" s="0" t="n">
        <f aca="false">E1988</f>
        <v>-0.5</v>
      </c>
      <c r="K1988" s="0" t="n">
        <f aca="false">F1988</f>
        <v>0.5</v>
      </c>
      <c r="L1988" s="0" t="n">
        <f aca="false">G1988</f>
        <v>0</v>
      </c>
      <c r="M1988" s="0" t="n">
        <f aca="false">H1988</f>
        <v>-0.25</v>
      </c>
      <c r="N1988" s="0" t="n">
        <f aca="false">E1988*F1988</f>
        <v>-0.25</v>
      </c>
      <c r="O1988" s="0" t="n">
        <f aca="false">E1988*G1988</f>
        <v>-0</v>
      </c>
      <c r="P1988" s="0" t="n">
        <f aca="false">E1988*H1988</f>
        <v>0.125</v>
      </c>
      <c r="Q1988" s="0" t="n">
        <f aca="false">F1988*G1988</f>
        <v>0</v>
      </c>
      <c r="R1988" s="0" t="n">
        <f aca="false">F1988*H1988</f>
        <v>-0.125</v>
      </c>
      <c r="S1988" s="0" t="n">
        <f aca="false">G1988*H1988</f>
        <v>-0</v>
      </c>
      <c r="T1988" s="0" t="n">
        <f aca="false">E1988*E1988</f>
        <v>0.25</v>
      </c>
      <c r="U1988" s="0" t="n">
        <f aca="false">F1988*F1988</f>
        <v>0.25</v>
      </c>
      <c r="V1988" s="0" t="n">
        <f aca="false">G1988*G1988</f>
        <v>0</v>
      </c>
      <c r="W1988" s="0" t="n">
        <f aca="false">H1988*H1988</f>
        <v>0.0625</v>
      </c>
      <c r="X1988" s="0" t="n">
        <f aca="false">SUMPRODUCT(I1988:W1988,_XtX!$B$96:$P$96)</f>
        <v>46.2967562134503</v>
      </c>
      <c r="Y1988" s="0" t="n">
        <f aca="false">SUMPRODUCT(MMULT(I1988:W1988,_XtX!$B$78:$P$92),I1988:W1988)</f>
        <v>0.132367050438597</v>
      </c>
      <c r="Z1988" s="0" t="n">
        <f aca="false">04_回帰ANOVA!$K$19*04_回帰ANOVA!$K$14*SQRT(1+Y1988)</f>
        <v>1.38704964208329</v>
      </c>
      <c r="AA1988" s="0" t="n">
        <f aca="false">X1988-Z1988</f>
        <v>44.909706571367</v>
      </c>
      <c r="AB1988" s="0" t="n">
        <f aca="false">X1988+Z1988</f>
        <v>47.6838058555335</v>
      </c>
      <c r="AC1988" s="54" t="b">
        <f aca="false">AND(E1988&gt;=01_因子設定!$L$5-0.000000001,E1988&lt;=01_因子設定!$M$5+0.000000001,F1988&gt;=01_因子設定!$L$6-0.000000001,F1988&lt;=01_因子設定!$M$6+0.000000001,G1988&gt;=01_因子設定!$L$7-0.000000001,G1988&lt;=01_因子設定!$M$7+0.000000001,H1988&gt;=01_因子設定!$L$8-0.000000001,H1988&lt;=01_因子設定!$M$8+0.000000001,IF(01_因子設定!$B$20="Box-Behnken",E1988^2+F1988^2+G1988^2+H1988^2&lt;=2+0.000000001,TRUE()))</f>
        <v>1</v>
      </c>
      <c r="AD1988" s="55" t="n">
        <f aca="false">IF(AC1988,IF(01_因子設定!$B$13="最大化",AA1988-01_因子設定!$B$14,IF(01_因子設定!$B$13="最小化",01_因子設定!$B$15-AB1988,MIN(AA1988-01_因子設定!$B$14,01_因子設定!$B$15-AB1988))),-1E+030)</f>
        <v>-1.59029342863304</v>
      </c>
      <c r="AE1988" s="55" t="n">
        <f aca="false">IF(AC1988,IF(01_因子設定!$B$13="最大化",X1988,IF(01_因子設定!$B$13="最小化",-X1988,-ABS(X1988-01_因子設定!$B$16))),-1E+030)</f>
        <v>46.2967562134503</v>
      </c>
      <c r="AF1988" s="55" t="n">
        <f aca="false">AD1988+ROW()*0.000000001</f>
        <v>-1.59029144063304</v>
      </c>
      <c r="AG1988" s="55" t="n">
        <f aca="false">AE1988+ROW()*0.000000001</f>
        <v>46.2967582014503</v>
      </c>
    </row>
    <row r="1989" customFormat="false" ht="15" hidden="false" customHeight="false" outlineLevel="0" collapsed="false">
      <c r="A1989" s="0" t="n">
        <v>2</v>
      </c>
      <c r="B1989" s="0" t="n">
        <v>6</v>
      </c>
      <c r="C1989" s="0" t="n">
        <v>4</v>
      </c>
      <c r="D1989" s="0" t="n">
        <v>4</v>
      </c>
      <c r="E1989" s="0" t="n">
        <f aca="false">-1+A1989*0.25</f>
        <v>-0.5</v>
      </c>
      <c r="F1989" s="0" t="n">
        <f aca="false">-1+B1989*0.25</f>
        <v>0.5</v>
      </c>
      <c r="G1989" s="0" t="n">
        <f aca="false">-1+C1989*0.25</f>
        <v>0</v>
      </c>
      <c r="H1989" s="0" t="n">
        <f aca="false">-1+D1989*0.25</f>
        <v>0</v>
      </c>
      <c r="I1989" s="0" t="n">
        <f aca="false">1</f>
        <v>1</v>
      </c>
      <c r="J1989" s="0" t="n">
        <f aca="false">E1989</f>
        <v>-0.5</v>
      </c>
      <c r="K1989" s="0" t="n">
        <f aca="false">F1989</f>
        <v>0.5</v>
      </c>
      <c r="L1989" s="0" t="n">
        <f aca="false">G1989</f>
        <v>0</v>
      </c>
      <c r="M1989" s="0" t="n">
        <f aca="false">H1989</f>
        <v>0</v>
      </c>
      <c r="N1989" s="0" t="n">
        <f aca="false">E1989*F1989</f>
        <v>-0.25</v>
      </c>
      <c r="O1989" s="0" t="n">
        <f aca="false">E1989*G1989</f>
        <v>-0</v>
      </c>
      <c r="P1989" s="0" t="n">
        <f aca="false">E1989*H1989</f>
        <v>-0</v>
      </c>
      <c r="Q1989" s="0" t="n">
        <f aca="false">F1989*G1989</f>
        <v>0</v>
      </c>
      <c r="R1989" s="0" t="n">
        <f aca="false">F1989*H1989</f>
        <v>0</v>
      </c>
      <c r="S1989" s="0" t="n">
        <f aca="false">G1989*H1989</f>
        <v>0</v>
      </c>
      <c r="T1989" s="0" t="n">
        <f aca="false">E1989*E1989</f>
        <v>0.25</v>
      </c>
      <c r="U1989" s="0" t="n">
        <f aca="false">F1989*F1989</f>
        <v>0.25</v>
      </c>
      <c r="V1989" s="0" t="n">
        <f aca="false">G1989*G1989</f>
        <v>0</v>
      </c>
      <c r="W1989" s="0" t="n">
        <f aca="false">H1989*H1989</f>
        <v>0</v>
      </c>
      <c r="X1989" s="0" t="n">
        <f aca="false">SUMPRODUCT(I1989:W1989,_XtX!$B$96:$P$96)</f>
        <v>46.3798611111111</v>
      </c>
      <c r="Y1989" s="0" t="n">
        <f aca="false">SUMPRODUCT(MMULT(I1989:W1989,_XtX!$B$78:$P$92),I1989:W1989)</f>
        <v>0.135850694444444</v>
      </c>
      <c r="Z1989" s="0" t="n">
        <f aca="false">04_回帰ANOVA!$K$19*04_回帰ANOVA!$K$14*SQRT(1+Y1989)</f>
        <v>1.38918158179389</v>
      </c>
      <c r="AA1989" s="0" t="n">
        <f aca="false">X1989-Z1989</f>
        <v>44.9906795293172</v>
      </c>
      <c r="AB1989" s="0" t="n">
        <f aca="false">X1989+Z1989</f>
        <v>47.769042692905</v>
      </c>
      <c r="AC1989" s="54" t="b">
        <f aca="false">AND(E1989&gt;=01_因子設定!$L$5-0.000000001,E1989&lt;=01_因子設定!$M$5+0.000000001,F1989&gt;=01_因子設定!$L$6-0.000000001,F1989&lt;=01_因子設定!$M$6+0.000000001,G1989&gt;=01_因子設定!$L$7-0.000000001,G1989&lt;=01_因子設定!$M$7+0.000000001,H1989&gt;=01_因子設定!$L$8-0.000000001,H1989&lt;=01_因子設定!$M$8+0.000000001,IF(01_因子設定!$B$20="Box-Behnken",E1989^2+F1989^2+G1989^2+H1989^2&lt;=2+0.000000001,TRUE()))</f>
        <v>1</v>
      </c>
      <c r="AD1989" s="55" t="n">
        <f aca="false">IF(AC1989,IF(01_因子設定!$B$13="最大化",AA1989-01_因子設定!$B$14,IF(01_因子設定!$B$13="最小化",01_因子設定!$B$15-AB1989,MIN(AA1989-01_因子設定!$B$14,01_因子設定!$B$15-AB1989))),-1E+030)</f>
        <v>-1.50932047068282</v>
      </c>
      <c r="AE1989" s="55" t="n">
        <f aca="false">IF(AC1989,IF(01_因子設定!$B$13="最大化",X1989,IF(01_因子設定!$B$13="最小化",-X1989,-ABS(X1989-01_因子設定!$B$16))),-1E+030)</f>
        <v>46.3798611111111</v>
      </c>
      <c r="AF1989" s="55" t="n">
        <f aca="false">AD1989+ROW()*0.000000001</f>
        <v>-1.50931848168282</v>
      </c>
      <c r="AG1989" s="55" t="n">
        <f aca="false">AE1989+ROW()*0.000000001</f>
        <v>46.3798631001111</v>
      </c>
    </row>
    <row r="1990" customFormat="false" ht="15" hidden="false" customHeight="false" outlineLevel="0" collapsed="false">
      <c r="A1990" s="0" t="n">
        <v>2</v>
      </c>
      <c r="B1990" s="0" t="n">
        <v>6</v>
      </c>
      <c r="C1990" s="0" t="n">
        <v>4</v>
      </c>
      <c r="D1990" s="0" t="n">
        <v>5</v>
      </c>
      <c r="E1990" s="0" t="n">
        <f aca="false">-1+A1990*0.25</f>
        <v>-0.5</v>
      </c>
      <c r="F1990" s="0" t="n">
        <f aca="false">-1+B1990*0.25</f>
        <v>0.5</v>
      </c>
      <c r="G1990" s="0" t="n">
        <f aca="false">-1+C1990*0.25</f>
        <v>0</v>
      </c>
      <c r="H1990" s="0" t="n">
        <f aca="false">-1+D1990*0.25</f>
        <v>0.25</v>
      </c>
      <c r="I1990" s="0" t="n">
        <f aca="false">1</f>
        <v>1</v>
      </c>
      <c r="J1990" s="0" t="n">
        <f aca="false">E1990</f>
        <v>-0.5</v>
      </c>
      <c r="K1990" s="0" t="n">
        <f aca="false">F1990</f>
        <v>0.5</v>
      </c>
      <c r="L1990" s="0" t="n">
        <f aca="false">G1990</f>
        <v>0</v>
      </c>
      <c r="M1990" s="0" t="n">
        <f aca="false">H1990</f>
        <v>0.25</v>
      </c>
      <c r="N1990" s="0" t="n">
        <f aca="false">E1990*F1990</f>
        <v>-0.25</v>
      </c>
      <c r="O1990" s="0" t="n">
        <f aca="false">E1990*G1990</f>
        <v>-0</v>
      </c>
      <c r="P1990" s="0" t="n">
        <f aca="false">E1990*H1990</f>
        <v>-0.125</v>
      </c>
      <c r="Q1990" s="0" t="n">
        <f aca="false">F1990*G1990</f>
        <v>0</v>
      </c>
      <c r="R1990" s="0" t="n">
        <f aca="false">F1990*H1990</f>
        <v>0.125</v>
      </c>
      <c r="S1990" s="0" t="n">
        <f aca="false">G1990*H1990</f>
        <v>0</v>
      </c>
      <c r="T1990" s="0" t="n">
        <f aca="false">E1990*E1990</f>
        <v>0.25</v>
      </c>
      <c r="U1990" s="0" t="n">
        <f aca="false">F1990*F1990</f>
        <v>0.25</v>
      </c>
      <c r="V1990" s="0" t="n">
        <f aca="false">G1990*G1990</f>
        <v>0</v>
      </c>
      <c r="W1990" s="0" t="n">
        <f aca="false">H1990*H1990</f>
        <v>0.0625</v>
      </c>
      <c r="X1990" s="0" t="n">
        <f aca="false">SUMPRODUCT(I1990:W1990,_XtX!$B$96:$P$96)</f>
        <v>46.415158991228</v>
      </c>
      <c r="Y1990" s="0" t="n">
        <f aca="false">SUMPRODUCT(MMULT(I1990:W1990,_XtX!$B$78:$P$92),I1990:W1990)</f>
        <v>0.132367050438597</v>
      </c>
      <c r="Z1990" s="0" t="n">
        <f aca="false">04_回帰ANOVA!$K$19*04_回帰ANOVA!$K$14*SQRT(1+Y1990)</f>
        <v>1.38704964208329</v>
      </c>
      <c r="AA1990" s="0" t="n">
        <f aca="false">X1990-Z1990</f>
        <v>45.0281093491447</v>
      </c>
      <c r="AB1990" s="0" t="n">
        <f aca="false">X1990+Z1990</f>
        <v>47.8022086333113</v>
      </c>
      <c r="AC1990" s="54" t="b">
        <f aca="false">AND(E1990&gt;=01_因子設定!$L$5-0.000000001,E1990&lt;=01_因子設定!$M$5+0.000000001,F1990&gt;=01_因子設定!$L$6-0.000000001,F1990&lt;=01_因子設定!$M$6+0.000000001,G1990&gt;=01_因子設定!$L$7-0.000000001,G1990&lt;=01_因子設定!$M$7+0.000000001,H1990&gt;=01_因子設定!$L$8-0.000000001,H1990&lt;=01_因子設定!$M$8+0.000000001,IF(01_因子設定!$B$20="Box-Behnken",E1990^2+F1990^2+G1990^2+H1990^2&lt;=2+0.000000001,TRUE()))</f>
        <v>1</v>
      </c>
      <c r="AD1990" s="55" t="n">
        <f aca="false">IF(AC1990,IF(01_因子設定!$B$13="最大化",AA1990-01_因子設定!$B$14,IF(01_因子設定!$B$13="最小化",01_因子設定!$B$15-AB1990,MIN(AA1990-01_因子設定!$B$14,01_因子設定!$B$15-AB1990))),-1E+030)</f>
        <v>-1.47189065085527</v>
      </c>
      <c r="AE1990" s="55" t="n">
        <f aca="false">IF(AC1990,IF(01_因子設定!$B$13="最大化",X1990,IF(01_因子設定!$B$13="最小化",-X1990,-ABS(X1990-01_因子設定!$B$16))),-1E+030)</f>
        <v>46.415158991228</v>
      </c>
      <c r="AF1990" s="55" t="n">
        <f aca="false">AD1990+ROW()*0.000000001</f>
        <v>-1.47188866085527</v>
      </c>
      <c r="AG1990" s="55" t="n">
        <f aca="false">AE1990+ROW()*0.000000001</f>
        <v>46.415160981228</v>
      </c>
    </row>
    <row r="1991" customFormat="false" ht="15" hidden="false" customHeight="false" outlineLevel="0" collapsed="false">
      <c r="A1991" s="0" t="n">
        <v>2</v>
      </c>
      <c r="B1991" s="0" t="n">
        <v>6</v>
      </c>
      <c r="C1991" s="0" t="n">
        <v>4</v>
      </c>
      <c r="D1991" s="0" t="n">
        <v>6</v>
      </c>
      <c r="E1991" s="0" t="n">
        <f aca="false">-1+A1991*0.25</f>
        <v>-0.5</v>
      </c>
      <c r="F1991" s="0" t="n">
        <f aca="false">-1+B1991*0.25</f>
        <v>0.5</v>
      </c>
      <c r="G1991" s="0" t="n">
        <f aca="false">-1+C1991*0.25</f>
        <v>0</v>
      </c>
      <c r="H1991" s="0" t="n">
        <f aca="false">-1+D1991*0.25</f>
        <v>0.5</v>
      </c>
      <c r="I1991" s="0" t="n">
        <f aca="false">1</f>
        <v>1</v>
      </c>
      <c r="J1991" s="0" t="n">
        <f aca="false">E1991</f>
        <v>-0.5</v>
      </c>
      <c r="K1991" s="0" t="n">
        <f aca="false">F1991</f>
        <v>0.5</v>
      </c>
      <c r="L1991" s="0" t="n">
        <f aca="false">G1991</f>
        <v>0</v>
      </c>
      <c r="M1991" s="0" t="n">
        <f aca="false">H1991</f>
        <v>0.5</v>
      </c>
      <c r="N1991" s="0" t="n">
        <f aca="false">E1991*F1991</f>
        <v>-0.25</v>
      </c>
      <c r="O1991" s="0" t="n">
        <f aca="false">E1991*G1991</f>
        <v>-0</v>
      </c>
      <c r="P1991" s="0" t="n">
        <f aca="false">E1991*H1991</f>
        <v>-0.25</v>
      </c>
      <c r="Q1991" s="0" t="n">
        <f aca="false">F1991*G1991</f>
        <v>0</v>
      </c>
      <c r="R1991" s="0" t="n">
        <f aca="false">F1991*H1991</f>
        <v>0.25</v>
      </c>
      <c r="S1991" s="0" t="n">
        <f aca="false">G1991*H1991</f>
        <v>0</v>
      </c>
      <c r="T1991" s="0" t="n">
        <f aca="false">E1991*E1991</f>
        <v>0.25</v>
      </c>
      <c r="U1991" s="0" t="n">
        <f aca="false">F1991*F1991</f>
        <v>0.25</v>
      </c>
      <c r="V1991" s="0" t="n">
        <f aca="false">G1991*G1991</f>
        <v>0</v>
      </c>
      <c r="W1991" s="0" t="n">
        <f aca="false">H1991*H1991</f>
        <v>0.25</v>
      </c>
      <c r="X1991" s="0" t="n">
        <f aca="false">SUMPRODUCT(I1991:W1991,_XtX!$B$96:$P$96)</f>
        <v>46.4026498538011</v>
      </c>
      <c r="Y1991" s="0" t="n">
        <f aca="false">SUMPRODUCT(MMULT(I1991:W1991,_XtX!$B$78:$P$92),I1991:W1991)</f>
        <v>0.140008223684211</v>
      </c>
      <c r="Z1991" s="0" t="n">
        <f aca="false">04_回帰ANOVA!$K$19*04_回帰ANOVA!$K$14*SQRT(1+Y1991)</f>
        <v>1.39172165492264</v>
      </c>
      <c r="AA1991" s="0" t="n">
        <f aca="false">X1991-Z1991</f>
        <v>45.0109281988785</v>
      </c>
      <c r="AB1991" s="0" t="n">
        <f aca="false">X1991+Z1991</f>
        <v>47.7943715087238</v>
      </c>
      <c r="AC1991" s="54" t="b">
        <f aca="false">AND(E1991&gt;=01_因子設定!$L$5-0.000000001,E1991&lt;=01_因子設定!$M$5+0.000000001,F1991&gt;=01_因子設定!$L$6-0.000000001,F1991&lt;=01_因子設定!$M$6+0.000000001,G1991&gt;=01_因子設定!$L$7-0.000000001,G1991&lt;=01_因子設定!$M$7+0.000000001,H1991&gt;=01_因子設定!$L$8-0.000000001,H1991&lt;=01_因子設定!$M$8+0.000000001,IF(01_因子設定!$B$20="Box-Behnken",E1991^2+F1991^2+G1991^2+H1991^2&lt;=2+0.000000001,TRUE()))</f>
        <v>1</v>
      </c>
      <c r="AD1991" s="55" t="n">
        <f aca="false">IF(AC1991,IF(01_因子設定!$B$13="最大化",AA1991-01_因子設定!$B$14,IF(01_因子設定!$B$13="最小化",01_因子設定!$B$15-AB1991,MIN(AA1991-01_因子設定!$B$14,01_因子設定!$B$15-AB1991))),-1E+030)</f>
        <v>-1.4890718011215</v>
      </c>
      <c r="AE1991" s="55" t="n">
        <f aca="false">IF(AC1991,IF(01_因子設定!$B$13="最大化",X1991,IF(01_因子設定!$B$13="最小化",-X1991,-ABS(X1991-01_因子設定!$B$16))),-1E+030)</f>
        <v>46.4026498538011</v>
      </c>
      <c r="AF1991" s="55" t="n">
        <f aca="false">AD1991+ROW()*0.000000001</f>
        <v>-1.4890698101215</v>
      </c>
      <c r="AG1991" s="55" t="n">
        <f aca="false">AE1991+ROW()*0.000000001</f>
        <v>46.4026518448011</v>
      </c>
    </row>
    <row r="1992" customFormat="false" ht="15" hidden="false" customHeight="false" outlineLevel="0" collapsed="false">
      <c r="A1992" s="0" t="n">
        <v>2</v>
      </c>
      <c r="B1992" s="0" t="n">
        <v>6</v>
      </c>
      <c r="C1992" s="0" t="n">
        <v>4</v>
      </c>
      <c r="D1992" s="0" t="n">
        <v>7</v>
      </c>
      <c r="E1992" s="0" t="n">
        <f aca="false">-1+A1992*0.25</f>
        <v>-0.5</v>
      </c>
      <c r="F1992" s="0" t="n">
        <f aca="false">-1+B1992*0.25</f>
        <v>0.5</v>
      </c>
      <c r="G1992" s="0" t="n">
        <f aca="false">-1+C1992*0.25</f>
        <v>0</v>
      </c>
      <c r="H1992" s="0" t="n">
        <f aca="false">-1+D1992*0.25</f>
        <v>0.75</v>
      </c>
      <c r="I1992" s="0" t="n">
        <f aca="false">1</f>
        <v>1</v>
      </c>
      <c r="J1992" s="0" t="n">
        <f aca="false">E1992</f>
        <v>-0.5</v>
      </c>
      <c r="K1992" s="0" t="n">
        <f aca="false">F1992</f>
        <v>0.5</v>
      </c>
      <c r="L1992" s="0" t="n">
        <f aca="false">G1992</f>
        <v>0</v>
      </c>
      <c r="M1992" s="0" t="n">
        <f aca="false">H1992</f>
        <v>0.75</v>
      </c>
      <c r="N1992" s="0" t="n">
        <f aca="false">E1992*F1992</f>
        <v>-0.25</v>
      </c>
      <c r="O1992" s="0" t="n">
        <f aca="false">E1992*G1992</f>
        <v>-0</v>
      </c>
      <c r="P1992" s="0" t="n">
        <f aca="false">E1992*H1992</f>
        <v>-0.375</v>
      </c>
      <c r="Q1992" s="0" t="n">
        <f aca="false">F1992*G1992</f>
        <v>0</v>
      </c>
      <c r="R1992" s="0" t="n">
        <f aca="false">F1992*H1992</f>
        <v>0.375</v>
      </c>
      <c r="S1992" s="0" t="n">
        <f aca="false">G1992*H1992</f>
        <v>0</v>
      </c>
      <c r="T1992" s="0" t="n">
        <f aca="false">E1992*E1992</f>
        <v>0.25</v>
      </c>
      <c r="U1992" s="0" t="n">
        <f aca="false">F1992*F1992</f>
        <v>0.25</v>
      </c>
      <c r="V1992" s="0" t="n">
        <f aca="false">G1992*G1992</f>
        <v>0</v>
      </c>
      <c r="W1992" s="0" t="n">
        <f aca="false">H1992*H1992</f>
        <v>0.5625</v>
      </c>
      <c r="X1992" s="0" t="n">
        <f aca="false">SUMPRODUCT(I1992:W1992,_XtX!$B$96:$P$96)</f>
        <v>46.3423336988304</v>
      </c>
      <c r="Y1992" s="0" t="n">
        <f aca="false">SUMPRODUCT(MMULT(I1992:W1992,_XtX!$B$78:$P$92),I1992:W1992)</f>
        <v>0.21305052997076</v>
      </c>
      <c r="Z1992" s="0" t="n">
        <f aca="false">04_回帰ANOVA!$K$19*04_回帰ANOVA!$K$14*SQRT(1+Y1992)</f>
        <v>1.43561450835061</v>
      </c>
      <c r="AA1992" s="0" t="n">
        <f aca="false">X1992-Z1992</f>
        <v>44.9067191904798</v>
      </c>
      <c r="AB1992" s="0" t="n">
        <f aca="false">X1992+Z1992</f>
        <v>47.777948207181</v>
      </c>
      <c r="AC1992" s="54" t="b">
        <f aca="false">AND(E1992&gt;=01_因子設定!$L$5-0.000000001,E1992&lt;=01_因子設定!$M$5+0.000000001,F1992&gt;=01_因子設定!$L$6-0.000000001,F1992&lt;=01_因子設定!$M$6+0.000000001,G1992&gt;=01_因子設定!$L$7-0.000000001,G1992&lt;=01_因子設定!$M$7+0.000000001,H1992&gt;=01_因子設定!$L$8-0.000000001,H1992&lt;=01_因子設定!$M$8+0.000000001,IF(01_因子設定!$B$20="Box-Behnken",E1992^2+F1992^2+G1992^2+H1992^2&lt;=2+0.000000001,TRUE()))</f>
        <v>1</v>
      </c>
      <c r="AD1992" s="55" t="n">
        <f aca="false">IF(AC1992,IF(01_因子設定!$B$13="最大化",AA1992-01_因子設定!$B$14,IF(01_因子設定!$B$13="最小化",01_因子設定!$B$15-AB1992,MIN(AA1992-01_因子設定!$B$14,01_因子設定!$B$15-AB1992))),-1E+030)</f>
        <v>-1.59328080952022</v>
      </c>
      <c r="AE1992" s="55" t="n">
        <f aca="false">IF(AC1992,IF(01_因子設定!$B$13="最大化",X1992,IF(01_因子設定!$B$13="最小化",-X1992,-ABS(X1992-01_因子設定!$B$16))),-1E+030)</f>
        <v>46.3423336988304</v>
      </c>
      <c r="AF1992" s="55" t="n">
        <f aca="false">AD1992+ROW()*0.000000001</f>
        <v>-1.59327881752022</v>
      </c>
      <c r="AG1992" s="55" t="n">
        <f aca="false">AE1992+ROW()*0.000000001</f>
        <v>46.3423356908304</v>
      </c>
    </row>
    <row r="1993" customFormat="false" ht="15" hidden="false" customHeight="false" outlineLevel="0" collapsed="false">
      <c r="A1993" s="0" t="n">
        <v>2</v>
      </c>
      <c r="B1993" s="0" t="n">
        <v>6</v>
      </c>
      <c r="C1993" s="0" t="n">
        <v>4</v>
      </c>
      <c r="D1993" s="0" t="n">
        <v>8</v>
      </c>
      <c r="E1993" s="0" t="n">
        <f aca="false">-1+A1993*0.25</f>
        <v>-0.5</v>
      </c>
      <c r="F1993" s="0" t="n">
        <f aca="false">-1+B1993*0.25</f>
        <v>0.5</v>
      </c>
      <c r="G1993" s="0" t="n">
        <f aca="false">-1+C1993*0.25</f>
        <v>0</v>
      </c>
      <c r="H1993" s="0" t="n">
        <f aca="false">-1+D1993*0.25</f>
        <v>1</v>
      </c>
      <c r="I1993" s="0" t="n">
        <f aca="false">1</f>
        <v>1</v>
      </c>
      <c r="J1993" s="0" t="n">
        <f aca="false">E1993</f>
        <v>-0.5</v>
      </c>
      <c r="K1993" s="0" t="n">
        <f aca="false">F1993</f>
        <v>0.5</v>
      </c>
      <c r="L1993" s="0" t="n">
        <f aca="false">G1993</f>
        <v>0</v>
      </c>
      <c r="M1993" s="0" t="n">
        <f aca="false">H1993</f>
        <v>1</v>
      </c>
      <c r="N1993" s="0" t="n">
        <f aca="false">E1993*F1993</f>
        <v>-0.25</v>
      </c>
      <c r="O1993" s="0" t="n">
        <f aca="false">E1993*G1993</f>
        <v>-0</v>
      </c>
      <c r="P1993" s="0" t="n">
        <f aca="false">E1993*H1993</f>
        <v>-0.5</v>
      </c>
      <c r="Q1993" s="0" t="n">
        <f aca="false">F1993*G1993</f>
        <v>0</v>
      </c>
      <c r="R1993" s="0" t="n">
        <f aca="false">F1993*H1993</f>
        <v>0.5</v>
      </c>
      <c r="S1993" s="0" t="n">
        <f aca="false">G1993*H1993</f>
        <v>0</v>
      </c>
      <c r="T1993" s="0" t="n">
        <f aca="false">E1993*E1993</f>
        <v>0.25</v>
      </c>
      <c r="U1993" s="0" t="n">
        <f aca="false">F1993*F1993</f>
        <v>0.25</v>
      </c>
      <c r="V1993" s="0" t="n">
        <f aca="false">G1993*G1993</f>
        <v>0</v>
      </c>
      <c r="W1993" s="0" t="n">
        <f aca="false">H1993*H1993</f>
        <v>1</v>
      </c>
      <c r="X1993" s="0" t="n">
        <f aca="false">SUMPRODUCT(I1993:W1993,_XtX!$B$96:$P$96)</f>
        <v>46.2342105263158</v>
      </c>
      <c r="Y1993" s="0" t="n">
        <f aca="false">SUMPRODUCT(MMULT(I1993:W1993,_XtX!$B$78:$P$92),I1993:W1993)</f>
        <v>0.441954495614035</v>
      </c>
      <c r="Z1993" s="0" t="n">
        <f aca="false">04_回帰ANOVA!$K$19*04_回帰ANOVA!$K$14*SQRT(1+Y1993)</f>
        <v>1.56521560968066</v>
      </c>
      <c r="AA1993" s="0" t="n">
        <f aca="false">X1993-Z1993</f>
        <v>44.6689949166351</v>
      </c>
      <c r="AB1993" s="0" t="n">
        <f aca="false">X1993+Z1993</f>
        <v>47.7994261359965</v>
      </c>
      <c r="AC1993" s="54" t="b">
        <f aca="false">AND(E1993&gt;=01_因子設定!$L$5-0.000000001,E1993&lt;=01_因子設定!$M$5+0.000000001,F1993&gt;=01_因子設定!$L$6-0.000000001,F1993&lt;=01_因子設定!$M$6+0.000000001,G1993&gt;=01_因子設定!$L$7-0.000000001,G1993&lt;=01_因子設定!$M$7+0.000000001,H1993&gt;=01_因子設定!$L$8-0.000000001,H1993&lt;=01_因子設定!$M$8+0.000000001,IF(01_因子設定!$B$20="Box-Behnken",E1993^2+F1993^2+G1993^2+H1993^2&lt;=2+0.000000001,TRUE()))</f>
        <v>1</v>
      </c>
      <c r="AD1993" s="55" t="n">
        <f aca="false">IF(AC1993,IF(01_因子設定!$B$13="最大化",AA1993-01_因子設定!$B$14,IF(01_因子設定!$B$13="最小化",01_因子設定!$B$15-AB1993,MIN(AA1993-01_因子設定!$B$14,01_因子設定!$B$15-AB1993))),-1E+030)</f>
        <v>-1.83100508336488</v>
      </c>
      <c r="AE1993" s="55" t="n">
        <f aca="false">IF(AC1993,IF(01_因子設定!$B$13="最大化",X1993,IF(01_因子設定!$B$13="最小化",-X1993,-ABS(X1993-01_因子設定!$B$16))),-1E+030)</f>
        <v>46.2342105263158</v>
      </c>
      <c r="AF1993" s="55" t="n">
        <f aca="false">AD1993+ROW()*0.000000001</f>
        <v>-1.83100309036488</v>
      </c>
      <c r="AG1993" s="55" t="n">
        <f aca="false">AE1993+ROW()*0.000000001</f>
        <v>46.2342125193158</v>
      </c>
    </row>
    <row r="1994" customFormat="false" ht="15" hidden="false" customHeight="false" outlineLevel="0" collapsed="false">
      <c r="A1994" s="0" t="n">
        <v>2</v>
      </c>
      <c r="B1994" s="0" t="n">
        <v>6</v>
      </c>
      <c r="C1994" s="0" t="n">
        <v>5</v>
      </c>
      <c r="D1994" s="0" t="n">
        <v>0</v>
      </c>
      <c r="E1994" s="0" t="n">
        <f aca="false">-1+A1994*0.25</f>
        <v>-0.5</v>
      </c>
      <c r="F1994" s="0" t="n">
        <f aca="false">-1+B1994*0.25</f>
        <v>0.5</v>
      </c>
      <c r="G1994" s="0" t="n">
        <f aca="false">-1+C1994*0.25</f>
        <v>0.25</v>
      </c>
      <c r="H1994" s="0" t="n">
        <f aca="false">-1+D1994*0.25</f>
        <v>-1</v>
      </c>
      <c r="I1994" s="0" t="n">
        <f aca="false">1</f>
        <v>1</v>
      </c>
      <c r="J1994" s="0" t="n">
        <f aca="false">E1994</f>
        <v>-0.5</v>
      </c>
      <c r="K1994" s="0" t="n">
        <f aca="false">F1994</f>
        <v>0.5</v>
      </c>
      <c r="L1994" s="0" t="n">
        <f aca="false">G1994</f>
        <v>0.25</v>
      </c>
      <c r="M1994" s="0" t="n">
        <f aca="false">H1994</f>
        <v>-1</v>
      </c>
      <c r="N1994" s="0" t="n">
        <f aca="false">E1994*F1994</f>
        <v>-0.25</v>
      </c>
      <c r="O1994" s="0" t="n">
        <f aca="false">E1994*G1994</f>
        <v>-0.125</v>
      </c>
      <c r="P1994" s="0" t="n">
        <f aca="false">E1994*H1994</f>
        <v>0.5</v>
      </c>
      <c r="Q1994" s="0" t="n">
        <f aca="false">F1994*G1994</f>
        <v>0.125</v>
      </c>
      <c r="R1994" s="0" t="n">
        <f aca="false">F1994*H1994</f>
        <v>-0.5</v>
      </c>
      <c r="S1994" s="0" t="n">
        <f aca="false">G1994*H1994</f>
        <v>-0.25</v>
      </c>
      <c r="T1994" s="0" t="n">
        <f aca="false">E1994*E1994</f>
        <v>0.25</v>
      </c>
      <c r="U1994" s="0" t="n">
        <f aca="false">F1994*F1994</f>
        <v>0.25</v>
      </c>
      <c r="V1994" s="0" t="n">
        <f aca="false">G1994*G1994</f>
        <v>0.0625</v>
      </c>
      <c r="W1994" s="0" t="n">
        <f aca="false">H1994*H1994</f>
        <v>1</v>
      </c>
      <c r="X1994" s="0" t="n">
        <f aca="false">SUMPRODUCT(I1994:W1994,_XtX!$B$96:$P$96)</f>
        <v>46.0122167397661</v>
      </c>
      <c r="Y1994" s="0" t="n">
        <f aca="false">SUMPRODUCT(MMULT(I1994:W1994,_XtX!$B$78:$P$92),I1994:W1994)</f>
        <v>0.428122715643275</v>
      </c>
      <c r="Z1994" s="0" t="n">
        <f aca="false">04_回帰ANOVA!$K$19*04_回帰ANOVA!$K$14*SQRT(1+Y1994)</f>
        <v>1.55769044623229</v>
      </c>
      <c r="AA1994" s="0" t="n">
        <f aca="false">X1994-Z1994</f>
        <v>44.4545262935338</v>
      </c>
      <c r="AB1994" s="0" t="n">
        <f aca="false">X1994+Z1994</f>
        <v>47.5699071859984</v>
      </c>
      <c r="AC1994" s="54" t="b">
        <f aca="false">AND(E1994&gt;=01_因子設定!$L$5-0.000000001,E1994&lt;=01_因子設定!$M$5+0.000000001,F1994&gt;=01_因子設定!$L$6-0.000000001,F1994&lt;=01_因子設定!$M$6+0.000000001,G1994&gt;=01_因子設定!$L$7-0.000000001,G1994&lt;=01_因子設定!$M$7+0.000000001,H1994&gt;=01_因子設定!$L$8-0.000000001,H1994&lt;=01_因子設定!$M$8+0.000000001,IF(01_因子設定!$B$20="Box-Behnken",E1994^2+F1994^2+G1994^2+H1994^2&lt;=2+0.000000001,TRUE()))</f>
        <v>1</v>
      </c>
      <c r="AD1994" s="55" t="n">
        <f aca="false">IF(AC1994,IF(01_因子設定!$B$13="最大化",AA1994-01_因子設定!$B$14,IF(01_因子設定!$B$13="最小化",01_因子設定!$B$15-AB1994,MIN(AA1994-01_因子設定!$B$14,01_因子設定!$B$15-AB1994))),-1E+030)</f>
        <v>-2.04547370646622</v>
      </c>
      <c r="AE1994" s="55" t="n">
        <f aca="false">IF(AC1994,IF(01_因子設定!$B$13="最大化",X1994,IF(01_因子設定!$B$13="最小化",-X1994,-ABS(X1994-01_因子設定!$B$16))),-1E+030)</f>
        <v>46.0122167397661</v>
      </c>
      <c r="AF1994" s="55" t="n">
        <f aca="false">AD1994+ROW()*0.000000001</f>
        <v>-2.04547171246622</v>
      </c>
      <c r="AG1994" s="55" t="n">
        <f aca="false">AE1994+ROW()*0.000000001</f>
        <v>46.0122187337661</v>
      </c>
    </row>
    <row r="1995" customFormat="false" ht="15" hidden="false" customHeight="false" outlineLevel="0" collapsed="false">
      <c r="A1995" s="0" t="n">
        <v>2</v>
      </c>
      <c r="B1995" s="0" t="n">
        <v>6</v>
      </c>
      <c r="C1995" s="0" t="n">
        <v>5</v>
      </c>
      <c r="D1995" s="0" t="n">
        <v>1</v>
      </c>
      <c r="E1995" s="0" t="n">
        <f aca="false">-1+A1995*0.25</f>
        <v>-0.5</v>
      </c>
      <c r="F1995" s="0" t="n">
        <f aca="false">-1+B1995*0.25</f>
        <v>0.5</v>
      </c>
      <c r="G1995" s="0" t="n">
        <f aca="false">-1+C1995*0.25</f>
        <v>0.25</v>
      </c>
      <c r="H1995" s="0" t="n">
        <f aca="false">-1+D1995*0.25</f>
        <v>-0.75</v>
      </c>
      <c r="I1995" s="0" t="n">
        <f aca="false">1</f>
        <v>1</v>
      </c>
      <c r="J1995" s="0" t="n">
        <f aca="false">E1995</f>
        <v>-0.5</v>
      </c>
      <c r="K1995" s="0" t="n">
        <f aca="false">F1995</f>
        <v>0.5</v>
      </c>
      <c r="L1995" s="0" t="n">
        <f aca="false">G1995</f>
        <v>0.25</v>
      </c>
      <c r="M1995" s="0" t="n">
        <f aca="false">H1995</f>
        <v>-0.75</v>
      </c>
      <c r="N1995" s="0" t="n">
        <f aca="false">E1995*F1995</f>
        <v>-0.25</v>
      </c>
      <c r="O1995" s="0" t="n">
        <f aca="false">E1995*G1995</f>
        <v>-0.125</v>
      </c>
      <c r="P1995" s="0" t="n">
        <f aca="false">E1995*H1995</f>
        <v>0.375</v>
      </c>
      <c r="Q1995" s="0" t="n">
        <f aca="false">F1995*G1995</f>
        <v>0.125</v>
      </c>
      <c r="R1995" s="0" t="n">
        <f aca="false">F1995*H1995</f>
        <v>-0.375</v>
      </c>
      <c r="S1995" s="0" t="n">
        <f aca="false">G1995*H1995</f>
        <v>-0.1875</v>
      </c>
      <c r="T1995" s="0" t="n">
        <f aca="false">E1995*E1995</f>
        <v>0.25</v>
      </c>
      <c r="U1995" s="0" t="n">
        <f aca="false">F1995*F1995</f>
        <v>0.25</v>
      </c>
      <c r="V1995" s="0" t="n">
        <f aca="false">G1995*G1995</f>
        <v>0.0625</v>
      </c>
      <c r="W1995" s="0" t="n">
        <f aca="false">H1995*H1995</f>
        <v>0.5625</v>
      </c>
      <c r="X1995" s="0" t="n">
        <f aca="false">SUMPRODUCT(I1995:W1995,_XtX!$B$96:$P$96)</f>
        <v>46.2567114400585</v>
      </c>
      <c r="Y1995" s="0" t="n">
        <f aca="false">SUMPRODUCT(MMULT(I1995:W1995,_XtX!$B$78:$P$92),I1995:W1995)</f>
        <v>0.203746059484649</v>
      </c>
      <c r="Z1995" s="0" t="n">
        <f aca="false">04_回帰ANOVA!$K$19*04_回帰ANOVA!$K$14*SQRT(1+Y1995)</f>
        <v>1.43009810755465</v>
      </c>
      <c r="AA1995" s="0" t="n">
        <f aca="false">X1995-Z1995</f>
        <v>44.8266133325038</v>
      </c>
      <c r="AB1995" s="0" t="n">
        <f aca="false">X1995+Z1995</f>
        <v>47.6868095476131</v>
      </c>
      <c r="AC1995" s="54" t="b">
        <f aca="false">AND(E1995&gt;=01_因子設定!$L$5-0.000000001,E1995&lt;=01_因子設定!$M$5+0.000000001,F1995&gt;=01_因子設定!$L$6-0.000000001,F1995&lt;=01_因子設定!$M$6+0.000000001,G1995&gt;=01_因子設定!$L$7-0.000000001,G1995&lt;=01_因子設定!$M$7+0.000000001,H1995&gt;=01_因子設定!$L$8-0.000000001,H1995&lt;=01_因子設定!$M$8+0.000000001,IF(01_因子設定!$B$20="Box-Behnken",E1995^2+F1995^2+G1995^2+H1995^2&lt;=2+0.000000001,TRUE()))</f>
        <v>1</v>
      </c>
      <c r="AD1995" s="55" t="n">
        <f aca="false">IF(AC1995,IF(01_因子設定!$B$13="最大化",AA1995-01_因子設定!$B$14,IF(01_因子設定!$B$13="最小化",01_因子設定!$B$15-AB1995,MIN(AA1995-01_因子設定!$B$14,01_因子設定!$B$15-AB1995))),-1E+030)</f>
        <v>-1.67338666749619</v>
      </c>
      <c r="AE1995" s="55" t="n">
        <f aca="false">IF(AC1995,IF(01_因子設定!$B$13="最大化",X1995,IF(01_因子設定!$B$13="最小化",-X1995,-ABS(X1995-01_因子設定!$B$16))),-1E+030)</f>
        <v>46.2567114400585</v>
      </c>
      <c r="AF1995" s="55" t="n">
        <f aca="false">AD1995+ROW()*0.000000001</f>
        <v>-1.67338467249619</v>
      </c>
      <c r="AG1995" s="55" t="n">
        <f aca="false">AE1995+ROW()*0.000000001</f>
        <v>46.2567134350585</v>
      </c>
    </row>
    <row r="1996" customFormat="false" ht="15" hidden="false" customHeight="false" outlineLevel="0" collapsed="false">
      <c r="A1996" s="0" t="n">
        <v>2</v>
      </c>
      <c r="B1996" s="0" t="n">
        <v>6</v>
      </c>
      <c r="C1996" s="0" t="n">
        <v>5</v>
      </c>
      <c r="D1996" s="0" t="n">
        <v>2</v>
      </c>
      <c r="E1996" s="0" t="n">
        <f aca="false">-1+A1996*0.25</f>
        <v>-0.5</v>
      </c>
      <c r="F1996" s="0" t="n">
        <f aca="false">-1+B1996*0.25</f>
        <v>0.5</v>
      </c>
      <c r="G1996" s="0" t="n">
        <f aca="false">-1+C1996*0.25</f>
        <v>0.25</v>
      </c>
      <c r="H1996" s="0" t="n">
        <f aca="false">-1+D1996*0.25</f>
        <v>-0.5</v>
      </c>
      <c r="I1996" s="0" t="n">
        <f aca="false">1</f>
        <v>1</v>
      </c>
      <c r="J1996" s="0" t="n">
        <f aca="false">E1996</f>
        <v>-0.5</v>
      </c>
      <c r="K1996" s="0" t="n">
        <f aca="false">F1996</f>
        <v>0.5</v>
      </c>
      <c r="L1996" s="0" t="n">
        <f aca="false">G1996</f>
        <v>0.25</v>
      </c>
      <c r="M1996" s="0" t="n">
        <f aca="false">H1996</f>
        <v>-0.5</v>
      </c>
      <c r="N1996" s="0" t="n">
        <f aca="false">E1996*F1996</f>
        <v>-0.25</v>
      </c>
      <c r="O1996" s="0" t="n">
        <f aca="false">E1996*G1996</f>
        <v>-0.125</v>
      </c>
      <c r="P1996" s="0" t="n">
        <f aca="false">E1996*H1996</f>
        <v>0.25</v>
      </c>
      <c r="Q1996" s="0" t="n">
        <f aca="false">F1996*G1996</f>
        <v>0.125</v>
      </c>
      <c r="R1996" s="0" t="n">
        <f aca="false">F1996*H1996</f>
        <v>-0.25</v>
      </c>
      <c r="S1996" s="0" t="n">
        <f aca="false">G1996*H1996</f>
        <v>-0.125</v>
      </c>
      <c r="T1996" s="0" t="n">
        <f aca="false">E1996*E1996</f>
        <v>0.25</v>
      </c>
      <c r="U1996" s="0" t="n">
        <f aca="false">F1996*F1996</f>
        <v>0.25</v>
      </c>
      <c r="V1996" s="0" t="n">
        <f aca="false">G1996*G1996</f>
        <v>0.0625</v>
      </c>
      <c r="W1996" s="0" t="n">
        <f aca="false">H1996*H1996</f>
        <v>0.25</v>
      </c>
      <c r="X1996" s="0" t="n">
        <f aca="false">SUMPRODUCT(I1996:W1996,_XtX!$B$96:$P$96)</f>
        <v>46.453399122807</v>
      </c>
      <c r="Y1996" s="0" t="n">
        <f aca="false">SUMPRODUCT(MMULT(I1996:W1996,_XtX!$B$78:$P$92),I1996:W1996)</f>
        <v>0.133937545687135</v>
      </c>
      <c r="Z1996" s="0" t="n">
        <f aca="false">04_回帰ANOVA!$K$19*04_回帰ANOVA!$K$14*SQRT(1+Y1996)</f>
        <v>1.38801116780825</v>
      </c>
      <c r="AA1996" s="0" t="n">
        <f aca="false">X1996-Z1996</f>
        <v>45.0653879549987</v>
      </c>
      <c r="AB1996" s="0" t="n">
        <f aca="false">X1996+Z1996</f>
        <v>47.8414102906152</v>
      </c>
      <c r="AC1996" s="54" t="b">
        <f aca="false">AND(E1996&gt;=01_因子設定!$L$5-0.000000001,E1996&lt;=01_因子設定!$M$5+0.000000001,F1996&gt;=01_因子設定!$L$6-0.000000001,F1996&lt;=01_因子設定!$M$6+0.000000001,G1996&gt;=01_因子設定!$L$7-0.000000001,G1996&lt;=01_因子設定!$M$7+0.000000001,H1996&gt;=01_因子設定!$L$8-0.000000001,H1996&lt;=01_因子設定!$M$8+0.000000001,IF(01_因子設定!$B$20="Box-Behnken",E1996^2+F1996^2+G1996^2+H1996^2&lt;=2+0.000000001,TRUE()))</f>
        <v>1</v>
      </c>
      <c r="AD1996" s="55" t="n">
        <f aca="false">IF(AC1996,IF(01_因子設定!$B$13="最大化",AA1996-01_因子設定!$B$14,IF(01_因子設定!$B$13="最小化",01_因子設定!$B$15-AB1996,MIN(AA1996-01_因子設定!$B$14,01_因子設定!$B$15-AB1996))),-1E+030)</f>
        <v>-1.43461204500127</v>
      </c>
      <c r="AE1996" s="55" t="n">
        <f aca="false">IF(AC1996,IF(01_因子設定!$B$13="最大化",X1996,IF(01_因子設定!$B$13="最小化",-X1996,-ABS(X1996-01_因子設定!$B$16))),-1E+030)</f>
        <v>46.453399122807</v>
      </c>
      <c r="AF1996" s="55" t="n">
        <f aca="false">AD1996+ROW()*0.000000001</f>
        <v>-1.43461004900127</v>
      </c>
      <c r="AG1996" s="55" t="n">
        <f aca="false">AE1996+ROW()*0.000000001</f>
        <v>46.453401118807</v>
      </c>
    </row>
    <row r="1997" customFormat="false" ht="15" hidden="false" customHeight="false" outlineLevel="0" collapsed="false">
      <c r="A1997" s="0" t="n">
        <v>2</v>
      </c>
      <c r="B1997" s="0" t="n">
        <v>6</v>
      </c>
      <c r="C1997" s="0" t="n">
        <v>5</v>
      </c>
      <c r="D1997" s="0" t="n">
        <v>3</v>
      </c>
      <c r="E1997" s="0" t="n">
        <f aca="false">-1+A1997*0.25</f>
        <v>-0.5</v>
      </c>
      <c r="F1997" s="0" t="n">
        <f aca="false">-1+B1997*0.25</f>
        <v>0.5</v>
      </c>
      <c r="G1997" s="0" t="n">
        <f aca="false">-1+C1997*0.25</f>
        <v>0.25</v>
      </c>
      <c r="H1997" s="0" t="n">
        <f aca="false">-1+D1997*0.25</f>
        <v>-0.25</v>
      </c>
      <c r="I1997" s="0" t="n">
        <f aca="false">1</f>
        <v>1</v>
      </c>
      <c r="J1997" s="0" t="n">
        <f aca="false">E1997</f>
        <v>-0.5</v>
      </c>
      <c r="K1997" s="0" t="n">
        <f aca="false">F1997</f>
        <v>0.5</v>
      </c>
      <c r="L1997" s="0" t="n">
        <f aca="false">G1997</f>
        <v>0.25</v>
      </c>
      <c r="M1997" s="0" t="n">
        <f aca="false">H1997</f>
        <v>-0.25</v>
      </c>
      <c r="N1997" s="0" t="n">
        <f aca="false">E1997*F1997</f>
        <v>-0.25</v>
      </c>
      <c r="O1997" s="0" t="n">
        <f aca="false">E1997*G1997</f>
        <v>-0.125</v>
      </c>
      <c r="P1997" s="0" t="n">
        <f aca="false">E1997*H1997</f>
        <v>0.125</v>
      </c>
      <c r="Q1997" s="0" t="n">
        <f aca="false">F1997*G1997</f>
        <v>0.125</v>
      </c>
      <c r="R1997" s="0" t="n">
        <f aca="false">F1997*H1997</f>
        <v>-0.125</v>
      </c>
      <c r="S1997" s="0" t="n">
        <f aca="false">G1997*H1997</f>
        <v>-0.0625</v>
      </c>
      <c r="T1997" s="0" t="n">
        <f aca="false">E1997*E1997</f>
        <v>0.25</v>
      </c>
      <c r="U1997" s="0" t="n">
        <f aca="false">F1997*F1997</f>
        <v>0.25</v>
      </c>
      <c r="V1997" s="0" t="n">
        <f aca="false">G1997*G1997</f>
        <v>0.0625</v>
      </c>
      <c r="W1997" s="0" t="n">
        <f aca="false">H1997*H1997</f>
        <v>0.0625</v>
      </c>
      <c r="X1997" s="0" t="n">
        <f aca="false">SUMPRODUCT(I1997:W1997,_XtX!$B$96:$P$96)</f>
        <v>46.6022797880117</v>
      </c>
      <c r="Y1997" s="0" t="n">
        <f aca="false">SUMPRODUCT(MMULT(I1997:W1997,_XtX!$B$78:$P$92),I1997:W1997)</f>
        <v>0.128236647934942</v>
      </c>
      <c r="Z1997" s="0" t="n">
        <f aca="false">04_回帰ANOVA!$K$19*04_回帰ANOVA!$K$14*SQRT(1+Y1997)</f>
        <v>1.38451764188989</v>
      </c>
      <c r="AA1997" s="0" t="n">
        <f aca="false">X1997-Z1997</f>
        <v>45.2177621461218</v>
      </c>
      <c r="AB1997" s="0" t="n">
        <f aca="false">X1997+Z1997</f>
        <v>47.9867974299015</v>
      </c>
      <c r="AC1997" s="54" t="b">
        <f aca="false">AND(E1997&gt;=01_因子設定!$L$5-0.000000001,E1997&lt;=01_因子設定!$M$5+0.000000001,F1997&gt;=01_因子設定!$L$6-0.000000001,F1997&lt;=01_因子設定!$M$6+0.000000001,G1997&gt;=01_因子設定!$L$7-0.000000001,G1997&lt;=01_因子設定!$M$7+0.000000001,H1997&gt;=01_因子設定!$L$8-0.000000001,H1997&lt;=01_因子設定!$M$8+0.000000001,IF(01_因子設定!$B$20="Box-Behnken",E1997^2+F1997^2+G1997^2+H1997^2&lt;=2+0.000000001,TRUE()))</f>
        <v>1</v>
      </c>
      <c r="AD1997" s="55" t="n">
        <f aca="false">IF(AC1997,IF(01_因子設定!$B$13="最大化",AA1997-01_因子設定!$B$14,IF(01_因子設定!$B$13="最小化",01_因子設定!$B$15-AB1997,MIN(AA1997-01_因子設定!$B$14,01_因子設定!$B$15-AB1997))),-1E+030)</f>
        <v>-1.28223785387823</v>
      </c>
      <c r="AE1997" s="55" t="n">
        <f aca="false">IF(AC1997,IF(01_因子設定!$B$13="最大化",X1997,IF(01_因子設定!$B$13="最小化",-X1997,-ABS(X1997-01_因子設定!$B$16))),-1E+030)</f>
        <v>46.6022797880117</v>
      </c>
      <c r="AF1997" s="55" t="n">
        <f aca="false">AD1997+ROW()*0.000000001</f>
        <v>-1.28223585687823</v>
      </c>
      <c r="AG1997" s="55" t="n">
        <f aca="false">AE1997+ROW()*0.000000001</f>
        <v>46.6022817850117</v>
      </c>
    </row>
    <row r="1998" customFormat="false" ht="15" hidden="false" customHeight="false" outlineLevel="0" collapsed="false">
      <c r="A1998" s="0" t="n">
        <v>2</v>
      </c>
      <c r="B1998" s="0" t="n">
        <v>6</v>
      </c>
      <c r="C1998" s="0" t="n">
        <v>5</v>
      </c>
      <c r="D1998" s="0" t="n">
        <v>4</v>
      </c>
      <c r="E1998" s="0" t="n">
        <f aca="false">-1+A1998*0.25</f>
        <v>-0.5</v>
      </c>
      <c r="F1998" s="0" t="n">
        <f aca="false">-1+B1998*0.25</f>
        <v>0.5</v>
      </c>
      <c r="G1998" s="0" t="n">
        <f aca="false">-1+C1998*0.25</f>
        <v>0.25</v>
      </c>
      <c r="H1998" s="0" t="n">
        <f aca="false">-1+D1998*0.25</f>
        <v>0</v>
      </c>
      <c r="I1998" s="0" t="n">
        <f aca="false">1</f>
        <v>1</v>
      </c>
      <c r="J1998" s="0" t="n">
        <f aca="false">E1998</f>
        <v>-0.5</v>
      </c>
      <c r="K1998" s="0" t="n">
        <f aca="false">F1998</f>
        <v>0.5</v>
      </c>
      <c r="L1998" s="0" t="n">
        <f aca="false">G1998</f>
        <v>0.25</v>
      </c>
      <c r="M1998" s="0" t="n">
        <f aca="false">H1998</f>
        <v>0</v>
      </c>
      <c r="N1998" s="0" t="n">
        <f aca="false">E1998*F1998</f>
        <v>-0.25</v>
      </c>
      <c r="O1998" s="0" t="n">
        <f aca="false">E1998*G1998</f>
        <v>-0.125</v>
      </c>
      <c r="P1998" s="0" t="n">
        <f aca="false">E1998*H1998</f>
        <v>-0</v>
      </c>
      <c r="Q1998" s="0" t="n">
        <f aca="false">F1998*G1998</f>
        <v>0.125</v>
      </c>
      <c r="R1998" s="0" t="n">
        <f aca="false">F1998*H1998</f>
        <v>0</v>
      </c>
      <c r="S1998" s="0" t="n">
        <f aca="false">G1998*H1998</f>
        <v>0</v>
      </c>
      <c r="T1998" s="0" t="n">
        <f aca="false">E1998*E1998</f>
        <v>0.25</v>
      </c>
      <c r="U1998" s="0" t="n">
        <f aca="false">F1998*F1998</f>
        <v>0.25</v>
      </c>
      <c r="V1998" s="0" t="n">
        <f aca="false">G1998*G1998</f>
        <v>0.0625</v>
      </c>
      <c r="W1998" s="0" t="n">
        <f aca="false">H1998*H1998</f>
        <v>0</v>
      </c>
      <c r="X1998" s="0" t="n">
        <f aca="false">SUMPRODUCT(I1998:W1998,_XtX!$B$96:$P$96)</f>
        <v>46.7033534356725</v>
      </c>
      <c r="Y1998" s="0" t="n">
        <f aca="false">SUMPRODUCT(MMULT(I1998:W1998,_XtX!$B$78:$P$92),I1998:W1998)</f>
        <v>0.132367050438597</v>
      </c>
      <c r="Z1998" s="0" t="n">
        <f aca="false">04_回帰ANOVA!$K$19*04_回帰ANOVA!$K$14*SQRT(1+Y1998)</f>
        <v>1.38704964208329</v>
      </c>
      <c r="AA1998" s="0" t="n">
        <f aca="false">X1998-Z1998</f>
        <v>45.3163037935892</v>
      </c>
      <c r="AB1998" s="0" t="n">
        <f aca="false">X1998+Z1998</f>
        <v>48.0904030777558</v>
      </c>
      <c r="AC1998" s="54" t="b">
        <f aca="false">AND(E1998&gt;=01_因子設定!$L$5-0.000000001,E1998&lt;=01_因子設定!$M$5+0.000000001,F1998&gt;=01_因子設定!$L$6-0.000000001,F1998&lt;=01_因子設定!$M$6+0.000000001,G1998&gt;=01_因子設定!$L$7-0.000000001,G1998&lt;=01_因子設定!$M$7+0.000000001,H1998&gt;=01_因子設定!$L$8-0.000000001,H1998&lt;=01_因子設定!$M$8+0.000000001,IF(01_因子設定!$B$20="Box-Behnken",E1998^2+F1998^2+G1998^2+H1998^2&lt;=2+0.000000001,TRUE()))</f>
        <v>1</v>
      </c>
      <c r="AD1998" s="55" t="n">
        <f aca="false">IF(AC1998,IF(01_因子設定!$B$13="最大化",AA1998-01_因子設定!$B$14,IF(01_因子設定!$B$13="最小化",01_因子設定!$B$15-AB1998,MIN(AA1998-01_因子設定!$B$14,01_因子設定!$B$15-AB1998))),-1E+030)</f>
        <v>-1.18369620641082</v>
      </c>
      <c r="AE1998" s="55" t="n">
        <f aca="false">IF(AC1998,IF(01_因子設定!$B$13="最大化",X1998,IF(01_因子設定!$B$13="最小化",-X1998,-ABS(X1998-01_因子設定!$B$16))),-1E+030)</f>
        <v>46.7033534356725</v>
      </c>
      <c r="AF1998" s="55" t="n">
        <f aca="false">AD1998+ROW()*0.000000001</f>
        <v>-1.18369420841082</v>
      </c>
      <c r="AG1998" s="55" t="n">
        <f aca="false">AE1998+ROW()*0.000000001</f>
        <v>46.7033554336725</v>
      </c>
    </row>
    <row r="1999" customFormat="false" ht="15" hidden="false" customHeight="false" outlineLevel="0" collapsed="false">
      <c r="A1999" s="0" t="n">
        <v>2</v>
      </c>
      <c r="B1999" s="0" t="n">
        <v>6</v>
      </c>
      <c r="C1999" s="0" t="n">
        <v>5</v>
      </c>
      <c r="D1999" s="0" t="n">
        <v>5</v>
      </c>
      <c r="E1999" s="0" t="n">
        <f aca="false">-1+A1999*0.25</f>
        <v>-0.5</v>
      </c>
      <c r="F1999" s="0" t="n">
        <f aca="false">-1+B1999*0.25</f>
        <v>0.5</v>
      </c>
      <c r="G1999" s="0" t="n">
        <f aca="false">-1+C1999*0.25</f>
        <v>0.25</v>
      </c>
      <c r="H1999" s="0" t="n">
        <f aca="false">-1+D1999*0.25</f>
        <v>0.25</v>
      </c>
      <c r="I1999" s="0" t="n">
        <f aca="false">1</f>
        <v>1</v>
      </c>
      <c r="J1999" s="0" t="n">
        <f aca="false">E1999</f>
        <v>-0.5</v>
      </c>
      <c r="K1999" s="0" t="n">
        <f aca="false">F1999</f>
        <v>0.5</v>
      </c>
      <c r="L1999" s="0" t="n">
        <f aca="false">G1999</f>
        <v>0.25</v>
      </c>
      <c r="M1999" s="0" t="n">
        <f aca="false">H1999</f>
        <v>0.25</v>
      </c>
      <c r="N1999" s="0" t="n">
        <f aca="false">E1999*F1999</f>
        <v>-0.25</v>
      </c>
      <c r="O1999" s="0" t="n">
        <f aca="false">E1999*G1999</f>
        <v>-0.125</v>
      </c>
      <c r="P1999" s="0" t="n">
        <f aca="false">E1999*H1999</f>
        <v>-0.125</v>
      </c>
      <c r="Q1999" s="0" t="n">
        <f aca="false">F1999*G1999</f>
        <v>0.125</v>
      </c>
      <c r="R1999" s="0" t="n">
        <f aca="false">F1999*H1999</f>
        <v>0.125</v>
      </c>
      <c r="S1999" s="0" t="n">
        <f aca="false">G1999*H1999</f>
        <v>0.0625</v>
      </c>
      <c r="T1999" s="0" t="n">
        <f aca="false">E1999*E1999</f>
        <v>0.25</v>
      </c>
      <c r="U1999" s="0" t="n">
        <f aca="false">F1999*F1999</f>
        <v>0.25</v>
      </c>
      <c r="V1999" s="0" t="n">
        <f aca="false">G1999*G1999</f>
        <v>0.0625</v>
      </c>
      <c r="W1999" s="0" t="n">
        <f aca="false">H1999*H1999</f>
        <v>0.0625</v>
      </c>
      <c r="X1999" s="0" t="n">
        <f aca="false">SUMPRODUCT(I1999:W1999,_XtX!$B$96:$P$96)</f>
        <v>46.7566200657894</v>
      </c>
      <c r="Y1999" s="0" t="n">
        <f aca="false">SUMPRODUCT(MMULT(I1999:W1999,_XtX!$B$78:$P$92),I1999:W1999)</f>
        <v>0.128236647934942</v>
      </c>
      <c r="Z1999" s="0" t="n">
        <f aca="false">04_回帰ANOVA!$K$19*04_回帰ANOVA!$K$14*SQRT(1+Y1999)</f>
        <v>1.38451764188989</v>
      </c>
      <c r="AA1999" s="0" t="n">
        <f aca="false">X1999-Z1999</f>
        <v>45.3721024238996</v>
      </c>
      <c r="AB1999" s="0" t="n">
        <f aca="false">X1999+Z1999</f>
        <v>48.1411377076793</v>
      </c>
      <c r="AC1999" s="54" t="b">
        <f aca="false">AND(E1999&gt;=01_因子設定!$L$5-0.000000001,E1999&lt;=01_因子設定!$M$5+0.000000001,F1999&gt;=01_因子設定!$L$6-0.000000001,F1999&lt;=01_因子設定!$M$6+0.000000001,G1999&gt;=01_因子設定!$L$7-0.000000001,G1999&lt;=01_因子設定!$M$7+0.000000001,H1999&gt;=01_因子設定!$L$8-0.000000001,H1999&lt;=01_因子設定!$M$8+0.000000001,IF(01_因子設定!$B$20="Box-Behnken",E1999^2+F1999^2+G1999^2+H1999^2&lt;=2+0.000000001,TRUE()))</f>
        <v>1</v>
      </c>
      <c r="AD1999" s="55" t="n">
        <f aca="false">IF(AC1999,IF(01_因子設定!$B$13="最大化",AA1999-01_因子設定!$B$14,IF(01_因子設定!$B$13="最小化",01_因子設定!$B$15-AB1999,MIN(AA1999-01_因子設定!$B$14,01_因子設定!$B$15-AB1999))),-1E+030)</f>
        <v>-1.12789757610045</v>
      </c>
      <c r="AE1999" s="55" t="n">
        <f aca="false">IF(AC1999,IF(01_因子設定!$B$13="最大化",X1999,IF(01_因子設定!$B$13="最小化",-X1999,-ABS(X1999-01_因子設定!$B$16))),-1E+030)</f>
        <v>46.7566200657894</v>
      </c>
      <c r="AF1999" s="55" t="n">
        <f aca="false">AD1999+ROW()*0.000000001</f>
        <v>-1.12789557710045</v>
      </c>
      <c r="AG1999" s="55" t="n">
        <f aca="false">AE1999+ROW()*0.000000001</f>
        <v>46.7566220647894</v>
      </c>
    </row>
    <row r="2000" customFormat="false" ht="15" hidden="false" customHeight="false" outlineLevel="0" collapsed="false">
      <c r="A2000" s="0" t="n">
        <v>2</v>
      </c>
      <c r="B2000" s="0" t="n">
        <v>6</v>
      </c>
      <c r="C2000" s="0" t="n">
        <v>5</v>
      </c>
      <c r="D2000" s="0" t="n">
        <v>6</v>
      </c>
      <c r="E2000" s="0" t="n">
        <f aca="false">-1+A2000*0.25</f>
        <v>-0.5</v>
      </c>
      <c r="F2000" s="0" t="n">
        <f aca="false">-1+B2000*0.25</f>
        <v>0.5</v>
      </c>
      <c r="G2000" s="0" t="n">
        <f aca="false">-1+C2000*0.25</f>
        <v>0.25</v>
      </c>
      <c r="H2000" s="0" t="n">
        <f aca="false">-1+D2000*0.25</f>
        <v>0.5</v>
      </c>
      <c r="I2000" s="0" t="n">
        <f aca="false">1</f>
        <v>1</v>
      </c>
      <c r="J2000" s="0" t="n">
        <f aca="false">E2000</f>
        <v>-0.5</v>
      </c>
      <c r="K2000" s="0" t="n">
        <f aca="false">F2000</f>
        <v>0.5</v>
      </c>
      <c r="L2000" s="0" t="n">
        <f aca="false">G2000</f>
        <v>0.25</v>
      </c>
      <c r="M2000" s="0" t="n">
        <f aca="false">H2000</f>
        <v>0.5</v>
      </c>
      <c r="N2000" s="0" t="n">
        <f aca="false">E2000*F2000</f>
        <v>-0.25</v>
      </c>
      <c r="O2000" s="0" t="n">
        <f aca="false">E2000*G2000</f>
        <v>-0.125</v>
      </c>
      <c r="P2000" s="0" t="n">
        <f aca="false">E2000*H2000</f>
        <v>-0.25</v>
      </c>
      <c r="Q2000" s="0" t="n">
        <f aca="false">F2000*G2000</f>
        <v>0.125</v>
      </c>
      <c r="R2000" s="0" t="n">
        <f aca="false">F2000*H2000</f>
        <v>0.25</v>
      </c>
      <c r="S2000" s="0" t="n">
        <f aca="false">G2000*H2000</f>
        <v>0.125</v>
      </c>
      <c r="T2000" s="0" t="n">
        <f aca="false">E2000*E2000</f>
        <v>0.25</v>
      </c>
      <c r="U2000" s="0" t="n">
        <f aca="false">F2000*F2000</f>
        <v>0.25</v>
      </c>
      <c r="V2000" s="0" t="n">
        <f aca="false">G2000*G2000</f>
        <v>0.0625</v>
      </c>
      <c r="W2000" s="0" t="n">
        <f aca="false">H2000*H2000</f>
        <v>0.25</v>
      </c>
      <c r="X2000" s="0" t="n">
        <f aca="false">SUMPRODUCT(I2000:W2000,_XtX!$B$96:$P$96)</f>
        <v>46.7620796783625</v>
      </c>
      <c r="Y2000" s="0" t="n">
        <f aca="false">SUMPRODUCT(MMULT(I2000:W2000,_XtX!$B$78:$P$92),I2000:W2000)</f>
        <v>0.133937545687135</v>
      </c>
      <c r="Z2000" s="0" t="n">
        <f aca="false">04_回帰ANOVA!$K$19*04_回帰ANOVA!$K$14*SQRT(1+Y2000)</f>
        <v>1.38801116780825</v>
      </c>
      <c r="AA2000" s="0" t="n">
        <f aca="false">X2000-Z2000</f>
        <v>45.3740685105543</v>
      </c>
      <c r="AB2000" s="0" t="n">
        <f aca="false">X2000+Z2000</f>
        <v>48.1500908461708</v>
      </c>
      <c r="AC2000" s="54" t="b">
        <f aca="false">AND(E2000&gt;=01_因子設定!$L$5-0.000000001,E2000&lt;=01_因子設定!$M$5+0.000000001,F2000&gt;=01_因子設定!$L$6-0.000000001,F2000&lt;=01_因子設定!$M$6+0.000000001,G2000&gt;=01_因子設定!$L$7-0.000000001,G2000&lt;=01_因子設定!$M$7+0.000000001,H2000&gt;=01_因子設定!$L$8-0.000000001,H2000&lt;=01_因子設定!$M$8+0.000000001,IF(01_因子設定!$B$20="Box-Behnken",E2000^2+F2000^2+G2000^2+H2000^2&lt;=2+0.000000001,TRUE()))</f>
        <v>1</v>
      </c>
      <c r="AD2000" s="55" t="n">
        <f aca="false">IF(AC2000,IF(01_因子設定!$B$13="最大化",AA2000-01_因子設定!$B$14,IF(01_因子設定!$B$13="最小化",01_因子設定!$B$15-AB2000,MIN(AA2000-01_因子設定!$B$14,01_因子設定!$B$15-AB2000))),-1E+030)</f>
        <v>-1.12593148944571</v>
      </c>
      <c r="AE2000" s="55" t="n">
        <f aca="false">IF(AC2000,IF(01_因子設定!$B$13="最大化",X2000,IF(01_因子設定!$B$13="最小化",-X2000,-ABS(X2000-01_因子設定!$B$16))),-1E+030)</f>
        <v>46.7620796783625</v>
      </c>
      <c r="AF2000" s="55" t="n">
        <f aca="false">AD2000+ROW()*0.000000001</f>
        <v>-1.12592948944571</v>
      </c>
      <c r="AG2000" s="55" t="n">
        <f aca="false">AE2000+ROW()*0.000000001</f>
        <v>46.7620816783625</v>
      </c>
    </row>
    <row r="2001" customFormat="false" ht="15" hidden="false" customHeight="false" outlineLevel="0" collapsed="false">
      <c r="A2001" s="0" t="n">
        <v>2</v>
      </c>
      <c r="B2001" s="0" t="n">
        <v>6</v>
      </c>
      <c r="C2001" s="0" t="n">
        <v>5</v>
      </c>
      <c r="D2001" s="0" t="n">
        <v>7</v>
      </c>
      <c r="E2001" s="0" t="n">
        <f aca="false">-1+A2001*0.25</f>
        <v>-0.5</v>
      </c>
      <c r="F2001" s="0" t="n">
        <f aca="false">-1+B2001*0.25</f>
        <v>0.5</v>
      </c>
      <c r="G2001" s="0" t="n">
        <f aca="false">-1+C2001*0.25</f>
        <v>0.25</v>
      </c>
      <c r="H2001" s="0" t="n">
        <f aca="false">-1+D2001*0.25</f>
        <v>0.75</v>
      </c>
      <c r="I2001" s="0" t="n">
        <f aca="false">1</f>
        <v>1</v>
      </c>
      <c r="J2001" s="0" t="n">
        <f aca="false">E2001</f>
        <v>-0.5</v>
      </c>
      <c r="K2001" s="0" t="n">
        <f aca="false">F2001</f>
        <v>0.5</v>
      </c>
      <c r="L2001" s="0" t="n">
        <f aca="false">G2001</f>
        <v>0.25</v>
      </c>
      <c r="M2001" s="0" t="n">
        <f aca="false">H2001</f>
        <v>0.75</v>
      </c>
      <c r="N2001" s="0" t="n">
        <f aca="false">E2001*F2001</f>
        <v>-0.25</v>
      </c>
      <c r="O2001" s="0" t="n">
        <f aca="false">E2001*G2001</f>
        <v>-0.125</v>
      </c>
      <c r="P2001" s="0" t="n">
        <f aca="false">E2001*H2001</f>
        <v>-0.375</v>
      </c>
      <c r="Q2001" s="0" t="n">
        <f aca="false">F2001*G2001</f>
        <v>0.125</v>
      </c>
      <c r="R2001" s="0" t="n">
        <f aca="false">F2001*H2001</f>
        <v>0.375</v>
      </c>
      <c r="S2001" s="0" t="n">
        <f aca="false">G2001*H2001</f>
        <v>0.1875</v>
      </c>
      <c r="T2001" s="0" t="n">
        <f aca="false">E2001*E2001</f>
        <v>0.25</v>
      </c>
      <c r="U2001" s="0" t="n">
        <f aca="false">F2001*F2001</f>
        <v>0.25</v>
      </c>
      <c r="V2001" s="0" t="n">
        <f aca="false">G2001*G2001</f>
        <v>0.0625</v>
      </c>
      <c r="W2001" s="0" t="n">
        <f aca="false">H2001*H2001</f>
        <v>0.5625</v>
      </c>
      <c r="X2001" s="0" t="n">
        <f aca="false">SUMPRODUCT(I2001:W2001,_XtX!$B$96:$P$96)</f>
        <v>46.7197322733918</v>
      </c>
      <c r="Y2001" s="0" t="n">
        <f aca="false">SUMPRODUCT(MMULT(I2001:W2001,_XtX!$B$78:$P$92),I2001:W2001)</f>
        <v>0.203746059484649</v>
      </c>
      <c r="Z2001" s="0" t="n">
        <f aca="false">04_回帰ANOVA!$K$19*04_回帰ANOVA!$K$14*SQRT(1+Y2001)</f>
        <v>1.43009810755465</v>
      </c>
      <c r="AA2001" s="0" t="n">
        <f aca="false">X2001-Z2001</f>
        <v>45.2896341658371</v>
      </c>
      <c r="AB2001" s="0" t="n">
        <f aca="false">X2001+Z2001</f>
        <v>48.1498303809464</v>
      </c>
      <c r="AC2001" s="54" t="b">
        <f aca="false">AND(E2001&gt;=01_因子設定!$L$5-0.000000001,E2001&lt;=01_因子設定!$M$5+0.000000001,F2001&gt;=01_因子設定!$L$6-0.000000001,F2001&lt;=01_因子設定!$M$6+0.000000001,G2001&gt;=01_因子設定!$L$7-0.000000001,G2001&lt;=01_因子設定!$M$7+0.000000001,H2001&gt;=01_因子設定!$L$8-0.000000001,H2001&lt;=01_因子設定!$M$8+0.000000001,IF(01_因子設定!$B$20="Box-Behnken",E2001^2+F2001^2+G2001^2+H2001^2&lt;=2+0.000000001,TRUE()))</f>
        <v>1</v>
      </c>
      <c r="AD2001" s="55" t="n">
        <f aca="false">IF(AC2001,IF(01_因子設定!$B$13="最大化",AA2001-01_因子設定!$B$14,IF(01_因子設定!$B$13="最小化",01_因子設定!$B$15-AB2001,MIN(AA2001-01_因子設定!$B$14,01_因子設定!$B$15-AB2001))),-1E+030)</f>
        <v>-1.21036583416286</v>
      </c>
      <c r="AE2001" s="55" t="n">
        <f aca="false">IF(AC2001,IF(01_因子設定!$B$13="最大化",X2001,IF(01_因子設定!$B$13="最小化",-X2001,-ABS(X2001-01_因子設定!$B$16))),-1E+030)</f>
        <v>46.7197322733918</v>
      </c>
      <c r="AF2001" s="55" t="n">
        <f aca="false">AD2001+ROW()*0.000000001</f>
        <v>-1.21036383316286</v>
      </c>
      <c r="AG2001" s="55" t="n">
        <f aca="false">AE2001+ROW()*0.000000001</f>
        <v>46.7197342743918</v>
      </c>
    </row>
    <row r="2002" customFormat="false" ht="15" hidden="false" customHeight="false" outlineLevel="0" collapsed="false">
      <c r="A2002" s="0" t="n">
        <v>2</v>
      </c>
      <c r="B2002" s="0" t="n">
        <v>6</v>
      </c>
      <c r="C2002" s="0" t="n">
        <v>5</v>
      </c>
      <c r="D2002" s="0" t="n">
        <v>8</v>
      </c>
      <c r="E2002" s="0" t="n">
        <f aca="false">-1+A2002*0.25</f>
        <v>-0.5</v>
      </c>
      <c r="F2002" s="0" t="n">
        <f aca="false">-1+B2002*0.25</f>
        <v>0.5</v>
      </c>
      <c r="G2002" s="0" t="n">
        <f aca="false">-1+C2002*0.25</f>
        <v>0.25</v>
      </c>
      <c r="H2002" s="0" t="n">
        <f aca="false">-1+D2002*0.25</f>
        <v>1</v>
      </c>
      <c r="I2002" s="0" t="n">
        <f aca="false">1</f>
        <v>1</v>
      </c>
      <c r="J2002" s="0" t="n">
        <f aca="false">E2002</f>
        <v>-0.5</v>
      </c>
      <c r="K2002" s="0" t="n">
        <f aca="false">F2002</f>
        <v>0.5</v>
      </c>
      <c r="L2002" s="0" t="n">
        <f aca="false">G2002</f>
        <v>0.25</v>
      </c>
      <c r="M2002" s="0" t="n">
        <f aca="false">H2002</f>
        <v>1</v>
      </c>
      <c r="N2002" s="0" t="n">
        <f aca="false">E2002*F2002</f>
        <v>-0.25</v>
      </c>
      <c r="O2002" s="0" t="n">
        <f aca="false">E2002*G2002</f>
        <v>-0.125</v>
      </c>
      <c r="P2002" s="0" t="n">
        <f aca="false">E2002*H2002</f>
        <v>-0.5</v>
      </c>
      <c r="Q2002" s="0" t="n">
        <f aca="false">F2002*G2002</f>
        <v>0.125</v>
      </c>
      <c r="R2002" s="0" t="n">
        <f aca="false">F2002*H2002</f>
        <v>0.5</v>
      </c>
      <c r="S2002" s="0" t="n">
        <f aca="false">G2002*H2002</f>
        <v>0.25</v>
      </c>
      <c r="T2002" s="0" t="n">
        <f aca="false">E2002*E2002</f>
        <v>0.25</v>
      </c>
      <c r="U2002" s="0" t="n">
        <f aca="false">F2002*F2002</f>
        <v>0.25</v>
      </c>
      <c r="V2002" s="0" t="n">
        <f aca="false">G2002*G2002</f>
        <v>0.0625</v>
      </c>
      <c r="W2002" s="0" t="n">
        <f aca="false">H2002*H2002</f>
        <v>1</v>
      </c>
      <c r="X2002" s="0" t="n">
        <f aca="false">SUMPRODUCT(I2002:W2002,_XtX!$B$96:$P$96)</f>
        <v>46.6295778508772</v>
      </c>
      <c r="Y2002" s="0" t="n">
        <f aca="false">SUMPRODUCT(MMULT(I2002:W2002,_XtX!$B$78:$P$92),I2002:W2002)</f>
        <v>0.428122715643275</v>
      </c>
      <c r="Z2002" s="0" t="n">
        <f aca="false">04_回帰ANOVA!$K$19*04_回帰ANOVA!$K$14*SQRT(1+Y2002)</f>
        <v>1.55769044623229</v>
      </c>
      <c r="AA2002" s="0" t="n">
        <f aca="false">X2002-Z2002</f>
        <v>45.0718874046449</v>
      </c>
      <c r="AB2002" s="0" t="n">
        <f aca="false">X2002+Z2002</f>
        <v>48.1872682971095</v>
      </c>
      <c r="AC2002" s="54" t="b">
        <f aca="false">AND(E2002&gt;=01_因子設定!$L$5-0.000000001,E2002&lt;=01_因子設定!$M$5+0.000000001,F2002&gt;=01_因子設定!$L$6-0.000000001,F2002&lt;=01_因子設定!$M$6+0.000000001,G2002&gt;=01_因子設定!$L$7-0.000000001,G2002&lt;=01_因子設定!$M$7+0.000000001,H2002&gt;=01_因子設定!$L$8-0.000000001,H2002&lt;=01_因子設定!$M$8+0.000000001,IF(01_因子設定!$B$20="Box-Behnken",E2002^2+F2002^2+G2002^2+H2002^2&lt;=2+0.000000001,TRUE()))</f>
        <v>1</v>
      </c>
      <c r="AD2002" s="55" t="n">
        <f aca="false">IF(AC2002,IF(01_因子設定!$B$13="最大化",AA2002-01_因子設定!$B$14,IF(01_因子設定!$B$13="最小化",01_因子設定!$B$15-AB2002,MIN(AA2002-01_因子設定!$B$14,01_因子設定!$B$15-AB2002))),-1E+030)</f>
        <v>-1.42811259535511</v>
      </c>
      <c r="AE2002" s="55" t="n">
        <f aca="false">IF(AC2002,IF(01_因子設定!$B$13="最大化",X2002,IF(01_因子設定!$B$13="最小化",-X2002,-ABS(X2002-01_因子設定!$B$16))),-1E+030)</f>
        <v>46.6295778508772</v>
      </c>
      <c r="AF2002" s="55" t="n">
        <f aca="false">AD2002+ROW()*0.000000001</f>
        <v>-1.42811059335511</v>
      </c>
      <c r="AG2002" s="55" t="n">
        <f aca="false">AE2002+ROW()*0.000000001</f>
        <v>46.6295798528772</v>
      </c>
    </row>
    <row r="2003" customFormat="false" ht="15" hidden="false" customHeight="false" outlineLevel="0" collapsed="false">
      <c r="A2003" s="0" t="n">
        <v>2</v>
      </c>
      <c r="B2003" s="0" t="n">
        <v>6</v>
      </c>
      <c r="C2003" s="0" t="n">
        <v>6</v>
      </c>
      <c r="D2003" s="0" t="n">
        <v>0</v>
      </c>
      <c r="E2003" s="0" t="n">
        <f aca="false">-1+A2003*0.25</f>
        <v>-0.5</v>
      </c>
      <c r="F2003" s="0" t="n">
        <f aca="false">-1+B2003*0.25</f>
        <v>0.5</v>
      </c>
      <c r="G2003" s="0" t="n">
        <f aca="false">-1+C2003*0.25</f>
        <v>0.5</v>
      </c>
      <c r="H2003" s="0" t="n">
        <f aca="false">-1+D2003*0.25</f>
        <v>-1</v>
      </c>
      <c r="I2003" s="0" t="n">
        <f aca="false">1</f>
        <v>1</v>
      </c>
      <c r="J2003" s="0" t="n">
        <f aca="false">E2003</f>
        <v>-0.5</v>
      </c>
      <c r="K2003" s="0" t="n">
        <f aca="false">F2003</f>
        <v>0.5</v>
      </c>
      <c r="L2003" s="0" t="n">
        <f aca="false">G2003</f>
        <v>0.5</v>
      </c>
      <c r="M2003" s="0" t="n">
        <f aca="false">H2003</f>
        <v>-1</v>
      </c>
      <c r="N2003" s="0" t="n">
        <f aca="false">E2003*F2003</f>
        <v>-0.25</v>
      </c>
      <c r="O2003" s="0" t="n">
        <f aca="false">E2003*G2003</f>
        <v>-0.25</v>
      </c>
      <c r="P2003" s="0" t="n">
        <f aca="false">E2003*H2003</f>
        <v>0.5</v>
      </c>
      <c r="Q2003" s="0" t="n">
        <f aca="false">F2003*G2003</f>
        <v>0.25</v>
      </c>
      <c r="R2003" s="0" t="n">
        <f aca="false">F2003*H2003</f>
        <v>-0.5</v>
      </c>
      <c r="S2003" s="0" t="n">
        <f aca="false">G2003*H2003</f>
        <v>-0.5</v>
      </c>
      <c r="T2003" s="0" t="n">
        <f aca="false">E2003*E2003</f>
        <v>0.25</v>
      </c>
      <c r="U2003" s="0" t="n">
        <f aca="false">F2003*F2003</f>
        <v>0.25</v>
      </c>
      <c r="V2003" s="0" t="n">
        <f aca="false">G2003*G2003</f>
        <v>0.25</v>
      </c>
      <c r="W2003" s="0" t="n">
        <f aca="false">H2003*H2003</f>
        <v>1</v>
      </c>
      <c r="X2003" s="0" t="n">
        <f aca="false">SUMPRODUCT(I2003:W2003,_XtX!$B$96:$P$96)</f>
        <v>46.1785270467836</v>
      </c>
      <c r="Y2003" s="0" t="n">
        <f aca="false">SUMPRODUCT(MMULT(I2003:W2003,_XtX!$B$78:$P$92),I2003:W2003)</f>
        <v>0.404719480994152</v>
      </c>
      <c r="Z2003" s="0" t="n">
        <f aca="false">04_回帰ANOVA!$K$19*04_回帰ANOVA!$K$14*SQRT(1+Y2003)</f>
        <v>1.54487446697867</v>
      </c>
      <c r="AA2003" s="0" t="n">
        <f aca="false">X2003-Z2003</f>
        <v>44.6336525798049</v>
      </c>
      <c r="AB2003" s="0" t="n">
        <f aca="false">X2003+Z2003</f>
        <v>47.7234015137623</v>
      </c>
      <c r="AC2003" s="54" t="b">
        <f aca="false">AND(E2003&gt;=01_因子設定!$L$5-0.000000001,E2003&lt;=01_因子設定!$M$5+0.000000001,F2003&gt;=01_因子設定!$L$6-0.000000001,F2003&lt;=01_因子設定!$M$6+0.000000001,G2003&gt;=01_因子設定!$L$7-0.000000001,G2003&lt;=01_因子設定!$M$7+0.000000001,H2003&gt;=01_因子設定!$L$8-0.000000001,H2003&lt;=01_因子設定!$M$8+0.000000001,IF(01_因子設定!$B$20="Box-Behnken",E2003^2+F2003^2+G2003^2+H2003^2&lt;=2+0.000000001,TRUE()))</f>
        <v>1</v>
      </c>
      <c r="AD2003" s="55" t="n">
        <f aca="false">IF(AC2003,IF(01_因子設定!$B$13="最大化",AA2003-01_因子設定!$B$14,IF(01_因子設定!$B$13="最小化",01_因子設定!$B$15-AB2003,MIN(AA2003-01_因子設定!$B$14,01_因子設定!$B$15-AB2003))),-1E+030)</f>
        <v>-1.86634742019506</v>
      </c>
      <c r="AE2003" s="55" t="n">
        <f aca="false">IF(AC2003,IF(01_因子設定!$B$13="最大化",X2003,IF(01_因子設定!$B$13="最小化",-X2003,-ABS(X2003-01_因子設定!$B$16))),-1E+030)</f>
        <v>46.1785270467836</v>
      </c>
      <c r="AF2003" s="55" t="n">
        <f aca="false">AD2003+ROW()*0.000000001</f>
        <v>-1.86634541719505</v>
      </c>
      <c r="AG2003" s="55" t="n">
        <f aca="false">AE2003+ROW()*0.000000001</f>
        <v>46.1785290497836</v>
      </c>
    </row>
    <row r="2004" customFormat="false" ht="15" hidden="false" customHeight="false" outlineLevel="0" collapsed="false">
      <c r="A2004" s="0" t="n">
        <v>2</v>
      </c>
      <c r="B2004" s="0" t="n">
        <v>6</v>
      </c>
      <c r="C2004" s="0" t="n">
        <v>6</v>
      </c>
      <c r="D2004" s="0" t="n">
        <v>1</v>
      </c>
      <c r="E2004" s="0" t="n">
        <f aca="false">-1+A2004*0.25</f>
        <v>-0.5</v>
      </c>
      <c r="F2004" s="0" t="n">
        <f aca="false">-1+B2004*0.25</f>
        <v>0.5</v>
      </c>
      <c r="G2004" s="0" t="n">
        <f aca="false">-1+C2004*0.25</f>
        <v>0.5</v>
      </c>
      <c r="H2004" s="0" t="n">
        <f aca="false">-1+D2004*0.25</f>
        <v>-0.75</v>
      </c>
      <c r="I2004" s="0" t="n">
        <f aca="false">1</f>
        <v>1</v>
      </c>
      <c r="J2004" s="0" t="n">
        <f aca="false">E2004</f>
        <v>-0.5</v>
      </c>
      <c r="K2004" s="0" t="n">
        <f aca="false">F2004</f>
        <v>0.5</v>
      </c>
      <c r="L2004" s="0" t="n">
        <f aca="false">G2004</f>
        <v>0.5</v>
      </c>
      <c r="M2004" s="0" t="n">
        <f aca="false">H2004</f>
        <v>-0.75</v>
      </c>
      <c r="N2004" s="0" t="n">
        <f aca="false">E2004*F2004</f>
        <v>-0.25</v>
      </c>
      <c r="O2004" s="0" t="n">
        <f aca="false">E2004*G2004</f>
        <v>-0.25</v>
      </c>
      <c r="P2004" s="0" t="n">
        <f aca="false">E2004*H2004</f>
        <v>0.375</v>
      </c>
      <c r="Q2004" s="0" t="n">
        <f aca="false">F2004*G2004</f>
        <v>0.25</v>
      </c>
      <c r="R2004" s="0" t="n">
        <f aca="false">F2004*H2004</f>
        <v>-0.375</v>
      </c>
      <c r="S2004" s="0" t="n">
        <f aca="false">G2004*H2004</f>
        <v>-0.375</v>
      </c>
      <c r="T2004" s="0" t="n">
        <f aca="false">E2004*E2004</f>
        <v>0.25</v>
      </c>
      <c r="U2004" s="0" t="n">
        <f aca="false">F2004*F2004</f>
        <v>0.25</v>
      </c>
      <c r="V2004" s="0" t="n">
        <f aca="false">G2004*G2004</f>
        <v>0.25</v>
      </c>
      <c r="W2004" s="0" t="n">
        <f aca="false">H2004*H2004</f>
        <v>0.5625</v>
      </c>
      <c r="X2004" s="0" t="n">
        <f aca="false">SUMPRODUCT(I2004:W2004,_XtX!$B$96:$P$96)</f>
        <v>46.440990497076</v>
      </c>
      <c r="Y2004" s="0" t="n">
        <f aca="false">SUMPRODUCT(MMULT(I2004:W2004,_XtX!$B$78:$P$92),I2004:W2004)</f>
        <v>0.193924753289474</v>
      </c>
      <c r="Z2004" s="0" t="n">
        <f aca="false">04_回帰ANOVA!$K$19*04_回帰ANOVA!$K$14*SQRT(1+Y2004)</f>
        <v>1.4242521079916</v>
      </c>
      <c r="AA2004" s="0" t="n">
        <f aca="false">X2004-Z2004</f>
        <v>45.0167383890844</v>
      </c>
      <c r="AB2004" s="0" t="n">
        <f aca="false">X2004+Z2004</f>
        <v>47.8652426050676</v>
      </c>
      <c r="AC2004" s="54" t="b">
        <f aca="false">AND(E2004&gt;=01_因子設定!$L$5-0.000000001,E2004&lt;=01_因子設定!$M$5+0.000000001,F2004&gt;=01_因子設定!$L$6-0.000000001,F2004&lt;=01_因子設定!$M$6+0.000000001,G2004&gt;=01_因子設定!$L$7-0.000000001,G2004&lt;=01_因子設定!$M$7+0.000000001,H2004&gt;=01_因子設定!$L$8-0.000000001,H2004&lt;=01_因子設定!$M$8+0.000000001,IF(01_因子設定!$B$20="Box-Behnken",E2004^2+F2004^2+G2004^2+H2004^2&lt;=2+0.000000001,TRUE()))</f>
        <v>1</v>
      </c>
      <c r="AD2004" s="55" t="n">
        <f aca="false">IF(AC2004,IF(01_因子設定!$B$13="最大化",AA2004-01_因子設定!$B$14,IF(01_因子設定!$B$13="最小化",01_因子設定!$B$15-AB2004,MIN(AA2004-01_因子設定!$B$14,01_因子設定!$B$15-AB2004))),-1E+030)</f>
        <v>-1.4832616109156</v>
      </c>
      <c r="AE2004" s="55" t="n">
        <f aca="false">IF(AC2004,IF(01_因子設定!$B$13="最大化",X2004,IF(01_因子設定!$B$13="最小化",-X2004,-ABS(X2004-01_因子設定!$B$16))),-1E+030)</f>
        <v>46.440990497076</v>
      </c>
      <c r="AF2004" s="55" t="n">
        <f aca="false">AD2004+ROW()*0.000000001</f>
        <v>-1.4832596069156</v>
      </c>
      <c r="AG2004" s="55" t="n">
        <f aca="false">AE2004+ROW()*0.000000001</f>
        <v>46.440992501076</v>
      </c>
    </row>
    <row r="2005" customFormat="false" ht="15" hidden="false" customHeight="false" outlineLevel="0" collapsed="false">
      <c r="A2005" s="0" t="n">
        <v>2</v>
      </c>
      <c r="B2005" s="0" t="n">
        <v>6</v>
      </c>
      <c r="C2005" s="0" t="n">
        <v>6</v>
      </c>
      <c r="D2005" s="0" t="n">
        <v>2</v>
      </c>
      <c r="E2005" s="0" t="n">
        <f aca="false">-1+A2005*0.25</f>
        <v>-0.5</v>
      </c>
      <c r="F2005" s="0" t="n">
        <f aca="false">-1+B2005*0.25</f>
        <v>0.5</v>
      </c>
      <c r="G2005" s="0" t="n">
        <f aca="false">-1+C2005*0.25</f>
        <v>0.5</v>
      </c>
      <c r="H2005" s="0" t="n">
        <f aca="false">-1+D2005*0.25</f>
        <v>-0.5</v>
      </c>
      <c r="I2005" s="0" t="n">
        <f aca="false">1</f>
        <v>1</v>
      </c>
      <c r="J2005" s="0" t="n">
        <f aca="false">E2005</f>
        <v>-0.5</v>
      </c>
      <c r="K2005" s="0" t="n">
        <f aca="false">F2005</f>
        <v>0.5</v>
      </c>
      <c r="L2005" s="0" t="n">
        <f aca="false">G2005</f>
        <v>0.5</v>
      </c>
      <c r="M2005" s="0" t="n">
        <f aca="false">H2005</f>
        <v>-0.5</v>
      </c>
      <c r="N2005" s="0" t="n">
        <f aca="false">E2005*F2005</f>
        <v>-0.25</v>
      </c>
      <c r="O2005" s="0" t="n">
        <f aca="false">E2005*G2005</f>
        <v>-0.25</v>
      </c>
      <c r="P2005" s="0" t="n">
        <f aca="false">E2005*H2005</f>
        <v>0.25</v>
      </c>
      <c r="Q2005" s="0" t="n">
        <f aca="false">F2005*G2005</f>
        <v>0.25</v>
      </c>
      <c r="R2005" s="0" t="n">
        <f aca="false">F2005*H2005</f>
        <v>-0.25</v>
      </c>
      <c r="S2005" s="0" t="n">
        <f aca="false">G2005*H2005</f>
        <v>-0.25</v>
      </c>
      <c r="T2005" s="0" t="n">
        <f aca="false">E2005*E2005</f>
        <v>0.25</v>
      </c>
      <c r="U2005" s="0" t="n">
        <f aca="false">F2005*F2005</f>
        <v>0.25</v>
      </c>
      <c r="V2005" s="0" t="n">
        <f aca="false">G2005*G2005</f>
        <v>0.25</v>
      </c>
      <c r="W2005" s="0" t="n">
        <f aca="false">H2005*H2005</f>
        <v>0.25</v>
      </c>
      <c r="X2005" s="0" t="n">
        <f aca="false">SUMPRODUCT(I2005:W2005,_XtX!$B$96:$P$96)</f>
        <v>46.6556469298245</v>
      </c>
      <c r="Y2005" s="0" t="n">
        <f aca="false">SUMPRODUCT(MMULT(I2005:W2005,_XtX!$B$78:$P$92),I2005:W2005)</f>
        <v>0.133817616959064</v>
      </c>
      <c r="Z2005" s="0" t="n">
        <f aca="false">04_回帰ANOVA!$K$19*04_回帰ANOVA!$K$14*SQRT(1+Y2005)</f>
        <v>1.38793776569887</v>
      </c>
      <c r="AA2005" s="0" t="n">
        <f aca="false">X2005-Z2005</f>
        <v>45.2677091641257</v>
      </c>
      <c r="AB2005" s="0" t="n">
        <f aca="false">X2005+Z2005</f>
        <v>48.0435846955234</v>
      </c>
      <c r="AC2005" s="54" t="b">
        <f aca="false">AND(E2005&gt;=01_因子設定!$L$5-0.000000001,E2005&lt;=01_因子設定!$M$5+0.000000001,F2005&gt;=01_因子設定!$L$6-0.000000001,F2005&lt;=01_因子設定!$M$6+0.000000001,G2005&gt;=01_因子設定!$L$7-0.000000001,G2005&lt;=01_因子設定!$M$7+0.000000001,H2005&gt;=01_因子設定!$L$8-0.000000001,H2005&lt;=01_因子設定!$M$8+0.000000001,IF(01_因子設定!$B$20="Box-Behnken",E2005^2+F2005^2+G2005^2+H2005^2&lt;=2+0.000000001,TRUE()))</f>
        <v>1</v>
      </c>
      <c r="AD2005" s="55" t="n">
        <f aca="false">IF(AC2005,IF(01_因子設定!$B$13="最大化",AA2005-01_因子設定!$B$14,IF(01_因子設定!$B$13="最小化",01_因子設定!$B$15-AB2005,MIN(AA2005-01_因子設定!$B$14,01_因子設定!$B$15-AB2005))),-1E+030)</f>
        <v>-1.23229083587434</v>
      </c>
      <c r="AE2005" s="55" t="n">
        <f aca="false">IF(AC2005,IF(01_因子設定!$B$13="最大化",X2005,IF(01_因子設定!$B$13="最小化",-X2005,-ABS(X2005-01_因子設定!$B$16))),-1E+030)</f>
        <v>46.6556469298245</v>
      </c>
      <c r="AF2005" s="55" t="n">
        <f aca="false">AD2005+ROW()*0.000000001</f>
        <v>-1.23228883087434</v>
      </c>
      <c r="AG2005" s="55" t="n">
        <f aca="false">AE2005+ROW()*0.000000001</f>
        <v>46.6556489348245</v>
      </c>
    </row>
    <row r="2006" customFormat="false" ht="15" hidden="false" customHeight="false" outlineLevel="0" collapsed="false">
      <c r="A2006" s="0" t="n">
        <v>2</v>
      </c>
      <c r="B2006" s="0" t="n">
        <v>6</v>
      </c>
      <c r="C2006" s="0" t="n">
        <v>6</v>
      </c>
      <c r="D2006" s="0" t="n">
        <v>3</v>
      </c>
      <c r="E2006" s="0" t="n">
        <f aca="false">-1+A2006*0.25</f>
        <v>-0.5</v>
      </c>
      <c r="F2006" s="0" t="n">
        <f aca="false">-1+B2006*0.25</f>
        <v>0.5</v>
      </c>
      <c r="G2006" s="0" t="n">
        <f aca="false">-1+C2006*0.25</f>
        <v>0.5</v>
      </c>
      <c r="H2006" s="0" t="n">
        <f aca="false">-1+D2006*0.25</f>
        <v>-0.25</v>
      </c>
      <c r="I2006" s="0" t="n">
        <f aca="false">1</f>
        <v>1</v>
      </c>
      <c r="J2006" s="0" t="n">
        <f aca="false">E2006</f>
        <v>-0.5</v>
      </c>
      <c r="K2006" s="0" t="n">
        <f aca="false">F2006</f>
        <v>0.5</v>
      </c>
      <c r="L2006" s="0" t="n">
        <f aca="false">G2006</f>
        <v>0.5</v>
      </c>
      <c r="M2006" s="0" t="n">
        <f aca="false">H2006</f>
        <v>-0.25</v>
      </c>
      <c r="N2006" s="0" t="n">
        <f aca="false">E2006*F2006</f>
        <v>-0.25</v>
      </c>
      <c r="O2006" s="0" t="n">
        <f aca="false">E2006*G2006</f>
        <v>-0.25</v>
      </c>
      <c r="P2006" s="0" t="n">
        <f aca="false">E2006*H2006</f>
        <v>0.125</v>
      </c>
      <c r="Q2006" s="0" t="n">
        <f aca="false">F2006*G2006</f>
        <v>0.25</v>
      </c>
      <c r="R2006" s="0" t="n">
        <f aca="false">F2006*H2006</f>
        <v>-0.125</v>
      </c>
      <c r="S2006" s="0" t="n">
        <f aca="false">G2006*H2006</f>
        <v>-0.125</v>
      </c>
      <c r="T2006" s="0" t="n">
        <f aca="false">E2006*E2006</f>
        <v>0.25</v>
      </c>
      <c r="U2006" s="0" t="n">
        <f aca="false">F2006*F2006</f>
        <v>0.25</v>
      </c>
      <c r="V2006" s="0" t="n">
        <f aca="false">G2006*G2006</f>
        <v>0.25</v>
      </c>
      <c r="W2006" s="0" t="n">
        <f aca="false">H2006*H2006</f>
        <v>0.0625</v>
      </c>
      <c r="X2006" s="0" t="n">
        <f aca="false">SUMPRODUCT(I2006:W2006,_XtX!$B$96:$P$96)</f>
        <v>46.8224963450292</v>
      </c>
      <c r="Y2006" s="0" t="n">
        <f aca="false">SUMPRODUCT(MMULT(I2006:W2006,_XtX!$B$78:$P$92),I2006:W2006)</f>
        <v>0.133937545687135</v>
      </c>
      <c r="Z2006" s="0" t="n">
        <f aca="false">04_回帰ANOVA!$K$19*04_回帰ANOVA!$K$14*SQRT(1+Y2006)</f>
        <v>1.38801116780825</v>
      </c>
      <c r="AA2006" s="0" t="n">
        <f aca="false">X2006-Z2006</f>
        <v>45.434485177221</v>
      </c>
      <c r="AB2006" s="0" t="n">
        <f aca="false">X2006+Z2006</f>
        <v>48.2105075128375</v>
      </c>
      <c r="AC2006" s="54" t="b">
        <f aca="false">AND(E2006&gt;=01_因子設定!$L$5-0.000000001,E2006&lt;=01_因子設定!$M$5+0.000000001,F2006&gt;=01_因子設定!$L$6-0.000000001,F2006&lt;=01_因子設定!$M$6+0.000000001,G2006&gt;=01_因子設定!$L$7-0.000000001,G2006&lt;=01_因子設定!$M$7+0.000000001,H2006&gt;=01_因子設定!$L$8-0.000000001,H2006&lt;=01_因子設定!$M$8+0.000000001,IF(01_因子設定!$B$20="Box-Behnken",E2006^2+F2006^2+G2006^2+H2006^2&lt;=2+0.000000001,TRUE()))</f>
        <v>1</v>
      </c>
      <c r="AD2006" s="55" t="n">
        <f aca="false">IF(AC2006,IF(01_因子設定!$B$13="最大化",AA2006-01_因子設定!$B$14,IF(01_因子設定!$B$13="最小化",01_因子設定!$B$15-AB2006,MIN(AA2006-01_因子設定!$B$14,01_因子設定!$B$15-AB2006))),-1E+030)</f>
        <v>-1.06551482277905</v>
      </c>
      <c r="AE2006" s="55" t="n">
        <f aca="false">IF(AC2006,IF(01_因子設定!$B$13="最大化",X2006,IF(01_因子設定!$B$13="最小化",-X2006,-ABS(X2006-01_因子設定!$B$16))),-1E+030)</f>
        <v>46.8224963450292</v>
      </c>
      <c r="AF2006" s="55" t="n">
        <f aca="false">AD2006+ROW()*0.000000001</f>
        <v>-1.06551281677905</v>
      </c>
      <c r="AG2006" s="55" t="n">
        <f aca="false">AE2006+ROW()*0.000000001</f>
        <v>46.8224983510292</v>
      </c>
    </row>
    <row r="2007" customFormat="false" ht="15" hidden="false" customHeight="false" outlineLevel="0" collapsed="false">
      <c r="A2007" s="0" t="n">
        <v>2</v>
      </c>
      <c r="B2007" s="0" t="n">
        <v>6</v>
      </c>
      <c r="C2007" s="0" t="n">
        <v>6</v>
      </c>
      <c r="D2007" s="0" t="n">
        <v>4</v>
      </c>
      <c r="E2007" s="0" t="n">
        <f aca="false">-1+A2007*0.25</f>
        <v>-0.5</v>
      </c>
      <c r="F2007" s="0" t="n">
        <f aca="false">-1+B2007*0.25</f>
        <v>0.5</v>
      </c>
      <c r="G2007" s="0" t="n">
        <f aca="false">-1+C2007*0.25</f>
        <v>0.5</v>
      </c>
      <c r="H2007" s="0" t="n">
        <f aca="false">-1+D2007*0.25</f>
        <v>0</v>
      </c>
      <c r="I2007" s="0" t="n">
        <f aca="false">1</f>
        <v>1</v>
      </c>
      <c r="J2007" s="0" t="n">
        <f aca="false">E2007</f>
        <v>-0.5</v>
      </c>
      <c r="K2007" s="0" t="n">
        <f aca="false">F2007</f>
        <v>0.5</v>
      </c>
      <c r="L2007" s="0" t="n">
        <f aca="false">G2007</f>
        <v>0.5</v>
      </c>
      <c r="M2007" s="0" t="n">
        <f aca="false">H2007</f>
        <v>0</v>
      </c>
      <c r="N2007" s="0" t="n">
        <f aca="false">E2007*F2007</f>
        <v>-0.25</v>
      </c>
      <c r="O2007" s="0" t="n">
        <f aca="false">E2007*G2007</f>
        <v>-0.25</v>
      </c>
      <c r="P2007" s="0" t="n">
        <f aca="false">E2007*H2007</f>
        <v>-0</v>
      </c>
      <c r="Q2007" s="0" t="n">
        <f aca="false">F2007*G2007</f>
        <v>0.25</v>
      </c>
      <c r="R2007" s="0" t="n">
        <f aca="false">F2007*H2007</f>
        <v>0</v>
      </c>
      <c r="S2007" s="0" t="n">
        <f aca="false">G2007*H2007</f>
        <v>0</v>
      </c>
      <c r="T2007" s="0" t="n">
        <f aca="false">E2007*E2007</f>
        <v>0.25</v>
      </c>
      <c r="U2007" s="0" t="n">
        <f aca="false">F2007*F2007</f>
        <v>0.25</v>
      </c>
      <c r="V2007" s="0" t="n">
        <f aca="false">G2007*G2007</f>
        <v>0.25</v>
      </c>
      <c r="W2007" s="0" t="n">
        <f aca="false">H2007*H2007</f>
        <v>0</v>
      </c>
      <c r="X2007" s="0" t="n">
        <f aca="false">SUMPRODUCT(I2007:W2007,_XtX!$B$96:$P$96)</f>
        <v>46.94153874269</v>
      </c>
      <c r="Y2007" s="0" t="n">
        <f aca="false">SUMPRODUCT(MMULT(I2007:W2007,_XtX!$B$78:$P$92),I2007:W2007)</f>
        <v>0.140008223684211</v>
      </c>
      <c r="Z2007" s="0" t="n">
        <f aca="false">04_回帰ANOVA!$K$19*04_回帰ANOVA!$K$14*SQRT(1+Y2007)</f>
        <v>1.39172165492264</v>
      </c>
      <c r="AA2007" s="0" t="n">
        <f aca="false">X2007-Z2007</f>
        <v>45.5498170877674</v>
      </c>
      <c r="AB2007" s="0" t="n">
        <f aca="false">X2007+Z2007</f>
        <v>48.3332603976127</v>
      </c>
      <c r="AC2007" s="54" t="b">
        <f aca="false">AND(E2007&gt;=01_因子設定!$L$5-0.000000001,E2007&lt;=01_因子設定!$M$5+0.000000001,F2007&gt;=01_因子設定!$L$6-0.000000001,F2007&lt;=01_因子設定!$M$6+0.000000001,G2007&gt;=01_因子設定!$L$7-0.000000001,G2007&lt;=01_因子設定!$M$7+0.000000001,H2007&gt;=01_因子設定!$L$8-0.000000001,H2007&lt;=01_因子設定!$M$8+0.000000001,IF(01_因子設定!$B$20="Box-Behnken",E2007^2+F2007^2+G2007^2+H2007^2&lt;=2+0.000000001,TRUE()))</f>
        <v>1</v>
      </c>
      <c r="AD2007" s="55" t="n">
        <f aca="false">IF(AC2007,IF(01_因子設定!$B$13="最大化",AA2007-01_因子設定!$B$14,IF(01_因子設定!$B$13="最小化",01_因子設定!$B$15-AB2007,MIN(AA2007-01_因子設定!$B$14,01_因子設定!$B$15-AB2007))),-1E+030)</f>
        <v>-0.95018291223262</v>
      </c>
      <c r="AE2007" s="55" t="n">
        <f aca="false">IF(AC2007,IF(01_因子設定!$B$13="最大化",X2007,IF(01_因子設定!$B$13="最小化",-X2007,-ABS(X2007-01_因子設定!$B$16))),-1E+030)</f>
        <v>46.94153874269</v>
      </c>
      <c r="AF2007" s="55" t="n">
        <f aca="false">AD2007+ROW()*0.000000001</f>
        <v>-0.95018090523262</v>
      </c>
      <c r="AG2007" s="55" t="n">
        <f aca="false">AE2007+ROW()*0.000000001</f>
        <v>46.94154074969</v>
      </c>
    </row>
    <row r="2008" customFormat="false" ht="15" hidden="false" customHeight="false" outlineLevel="0" collapsed="false">
      <c r="A2008" s="0" t="n">
        <v>2</v>
      </c>
      <c r="B2008" s="0" t="n">
        <v>6</v>
      </c>
      <c r="C2008" s="0" t="n">
        <v>6</v>
      </c>
      <c r="D2008" s="0" t="n">
        <v>5</v>
      </c>
      <c r="E2008" s="0" t="n">
        <f aca="false">-1+A2008*0.25</f>
        <v>-0.5</v>
      </c>
      <c r="F2008" s="0" t="n">
        <f aca="false">-1+B2008*0.25</f>
        <v>0.5</v>
      </c>
      <c r="G2008" s="0" t="n">
        <f aca="false">-1+C2008*0.25</f>
        <v>0.5</v>
      </c>
      <c r="H2008" s="0" t="n">
        <f aca="false">-1+D2008*0.25</f>
        <v>0.25</v>
      </c>
      <c r="I2008" s="0" t="n">
        <f aca="false">1</f>
        <v>1</v>
      </c>
      <c r="J2008" s="0" t="n">
        <f aca="false">E2008</f>
        <v>-0.5</v>
      </c>
      <c r="K2008" s="0" t="n">
        <f aca="false">F2008</f>
        <v>0.5</v>
      </c>
      <c r="L2008" s="0" t="n">
        <f aca="false">G2008</f>
        <v>0.5</v>
      </c>
      <c r="M2008" s="0" t="n">
        <f aca="false">H2008</f>
        <v>0.25</v>
      </c>
      <c r="N2008" s="0" t="n">
        <f aca="false">E2008*F2008</f>
        <v>-0.25</v>
      </c>
      <c r="O2008" s="0" t="n">
        <f aca="false">E2008*G2008</f>
        <v>-0.25</v>
      </c>
      <c r="P2008" s="0" t="n">
        <f aca="false">E2008*H2008</f>
        <v>-0.125</v>
      </c>
      <c r="Q2008" s="0" t="n">
        <f aca="false">F2008*G2008</f>
        <v>0.25</v>
      </c>
      <c r="R2008" s="0" t="n">
        <f aca="false">F2008*H2008</f>
        <v>0.125</v>
      </c>
      <c r="S2008" s="0" t="n">
        <f aca="false">G2008*H2008</f>
        <v>0.125</v>
      </c>
      <c r="T2008" s="0" t="n">
        <f aca="false">E2008*E2008</f>
        <v>0.25</v>
      </c>
      <c r="U2008" s="0" t="n">
        <f aca="false">F2008*F2008</f>
        <v>0.25</v>
      </c>
      <c r="V2008" s="0" t="n">
        <f aca="false">G2008*G2008</f>
        <v>0.25</v>
      </c>
      <c r="W2008" s="0" t="n">
        <f aca="false">H2008*H2008</f>
        <v>0.0625</v>
      </c>
      <c r="X2008" s="0" t="n">
        <f aca="false">SUMPRODUCT(I2008:W2008,_XtX!$B$96:$P$96)</f>
        <v>47.012774122807</v>
      </c>
      <c r="Y2008" s="0" t="n">
        <f aca="false">SUMPRODUCT(MMULT(I2008:W2008,_XtX!$B$78:$P$92),I2008:W2008)</f>
        <v>0.133937545687135</v>
      </c>
      <c r="Z2008" s="0" t="n">
        <f aca="false">04_回帰ANOVA!$K$19*04_回帰ANOVA!$K$14*SQRT(1+Y2008)</f>
        <v>1.38801116780825</v>
      </c>
      <c r="AA2008" s="0" t="n">
        <f aca="false">X2008-Z2008</f>
        <v>45.6247629549987</v>
      </c>
      <c r="AB2008" s="0" t="n">
        <f aca="false">X2008+Z2008</f>
        <v>48.4007852906152</v>
      </c>
      <c r="AC2008" s="54" t="b">
        <f aca="false">AND(E2008&gt;=01_因子設定!$L$5-0.000000001,E2008&lt;=01_因子設定!$M$5+0.000000001,F2008&gt;=01_因子設定!$L$6-0.000000001,F2008&lt;=01_因子設定!$M$6+0.000000001,G2008&gt;=01_因子設定!$L$7-0.000000001,G2008&lt;=01_因子設定!$M$7+0.000000001,H2008&gt;=01_因子設定!$L$8-0.000000001,H2008&lt;=01_因子設定!$M$8+0.000000001,IF(01_因子設定!$B$20="Box-Behnken",E2008^2+F2008^2+G2008^2+H2008^2&lt;=2+0.000000001,TRUE()))</f>
        <v>1</v>
      </c>
      <c r="AD2008" s="55" t="n">
        <f aca="false">IF(AC2008,IF(01_因子設定!$B$13="最大化",AA2008-01_因子設定!$B$14,IF(01_因子設定!$B$13="最小化",01_因子設定!$B$15-AB2008,MIN(AA2008-01_因子設定!$B$14,01_因子設定!$B$15-AB2008))),-1E+030)</f>
        <v>-0.875237045001271</v>
      </c>
      <c r="AE2008" s="55" t="n">
        <f aca="false">IF(AC2008,IF(01_因子設定!$B$13="最大化",X2008,IF(01_因子設定!$B$13="最小化",-X2008,-ABS(X2008-01_因子設定!$B$16))),-1E+030)</f>
        <v>47.012774122807</v>
      </c>
      <c r="AF2008" s="55" t="n">
        <f aca="false">AD2008+ROW()*0.000000001</f>
        <v>-0.875235037001271</v>
      </c>
      <c r="AG2008" s="55" t="n">
        <f aca="false">AE2008+ROW()*0.000000001</f>
        <v>47.012776130807</v>
      </c>
    </row>
    <row r="2009" customFormat="false" ht="15" hidden="false" customHeight="false" outlineLevel="0" collapsed="false">
      <c r="A2009" s="0" t="n">
        <v>2</v>
      </c>
      <c r="B2009" s="0" t="n">
        <v>6</v>
      </c>
      <c r="C2009" s="0" t="n">
        <v>6</v>
      </c>
      <c r="D2009" s="0" t="n">
        <v>6</v>
      </c>
      <c r="E2009" s="0" t="n">
        <f aca="false">-1+A2009*0.25</f>
        <v>-0.5</v>
      </c>
      <c r="F2009" s="0" t="n">
        <f aca="false">-1+B2009*0.25</f>
        <v>0.5</v>
      </c>
      <c r="G2009" s="0" t="n">
        <f aca="false">-1+C2009*0.25</f>
        <v>0.5</v>
      </c>
      <c r="H2009" s="0" t="n">
        <f aca="false">-1+D2009*0.25</f>
        <v>0.5</v>
      </c>
      <c r="I2009" s="0" t="n">
        <f aca="false">1</f>
        <v>1</v>
      </c>
      <c r="J2009" s="0" t="n">
        <f aca="false">E2009</f>
        <v>-0.5</v>
      </c>
      <c r="K2009" s="0" t="n">
        <f aca="false">F2009</f>
        <v>0.5</v>
      </c>
      <c r="L2009" s="0" t="n">
        <f aca="false">G2009</f>
        <v>0.5</v>
      </c>
      <c r="M2009" s="0" t="n">
        <f aca="false">H2009</f>
        <v>0.5</v>
      </c>
      <c r="N2009" s="0" t="n">
        <f aca="false">E2009*F2009</f>
        <v>-0.25</v>
      </c>
      <c r="O2009" s="0" t="n">
        <f aca="false">E2009*G2009</f>
        <v>-0.25</v>
      </c>
      <c r="P2009" s="0" t="n">
        <f aca="false">E2009*H2009</f>
        <v>-0.25</v>
      </c>
      <c r="Q2009" s="0" t="n">
        <f aca="false">F2009*G2009</f>
        <v>0.25</v>
      </c>
      <c r="R2009" s="0" t="n">
        <f aca="false">F2009*H2009</f>
        <v>0.25</v>
      </c>
      <c r="S2009" s="0" t="n">
        <f aca="false">G2009*H2009</f>
        <v>0.25</v>
      </c>
      <c r="T2009" s="0" t="n">
        <f aca="false">E2009*E2009</f>
        <v>0.25</v>
      </c>
      <c r="U2009" s="0" t="n">
        <f aca="false">F2009*F2009</f>
        <v>0.25</v>
      </c>
      <c r="V2009" s="0" t="n">
        <f aca="false">G2009*G2009</f>
        <v>0.25</v>
      </c>
      <c r="W2009" s="0" t="n">
        <f aca="false">H2009*H2009</f>
        <v>0.25</v>
      </c>
      <c r="X2009" s="0" t="n">
        <f aca="false">SUMPRODUCT(I2009:W2009,_XtX!$B$96:$P$96)</f>
        <v>47.0362024853801</v>
      </c>
      <c r="Y2009" s="0" t="n">
        <f aca="false">SUMPRODUCT(MMULT(I2009:W2009,_XtX!$B$78:$P$92),I2009:W2009)</f>
        <v>0.133817616959064</v>
      </c>
      <c r="Z2009" s="0" t="n">
        <f aca="false">04_回帰ANOVA!$K$19*04_回帰ANOVA!$K$14*SQRT(1+Y2009)</f>
        <v>1.38793776569887</v>
      </c>
      <c r="AA2009" s="0" t="n">
        <f aca="false">X2009-Z2009</f>
        <v>45.6482647196812</v>
      </c>
      <c r="AB2009" s="0" t="n">
        <f aca="false">X2009+Z2009</f>
        <v>48.4241402510789</v>
      </c>
      <c r="AC2009" s="54" t="b">
        <f aca="false">AND(E2009&gt;=01_因子設定!$L$5-0.000000001,E2009&lt;=01_因子設定!$M$5+0.000000001,F2009&gt;=01_因子設定!$L$6-0.000000001,F2009&lt;=01_因子設定!$M$6+0.000000001,G2009&gt;=01_因子設定!$L$7-0.000000001,G2009&lt;=01_因子設定!$M$7+0.000000001,H2009&gt;=01_因子設定!$L$8-0.000000001,H2009&lt;=01_因子設定!$M$8+0.000000001,IF(01_因子設定!$B$20="Box-Behnken",E2009^2+F2009^2+G2009^2+H2009^2&lt;=2+0.000000001,TRUE()))</f>
        <v>1</v>
      </c>
      <c r="AD2009" s="55" t="n">
        <f aca="false">IF(AC2009,IF(01_因子設定!$B$13="最大化",AA2009-01_因子設定!$B$14,IF(01_因子設定!$B$13="最小化",01_因子設定!$B$15-AB2009,MIN(AA2009-01_因子設定!$B$14,01_因子設定!$B$15-AB2009))),-1E+030)</f>
        <v>-0.851735280318785</v>
      </c>
      <c r="AE2009" s="55" t="n">
        <f aca="false">IF(AC2009,IF(01_因子設定!$B$13="最大化",X2009,IF(01_因子設定!$B$13="最小化",-X2009,-ABS(X2009-01_因子設定!$B$16))),-1E+030)</f>
        <v>47.0362024853801</v>
      </c>
      <c r="AF2009" s="55" t="n">
        <f aca="false">AD2009+ROW()*0.000000001</f>
        <v>-0.851733271318785</v>
      </c>
      <c r="AG2009" s="55" t="n">
        <f aca="false">AE2009+ROW()*0.000000001</f>
        <v>47.0362044943801</v>
      </c>
    </row>
    <row r="2010" customFormat="false" ht="15" hidden="false" customHeight="false" outlineLevel="0" collapsed="false">
      <c r="A2010" s="0" t="n">
        <v>2</v>
      </c>
      <c r="B2010" s="0" t="n">
        <v>6</v>
      </c>
      <c r="C2010" s="0" t="n">
        <v>6</v>
      </c>
      <c r="D2010" s="0" t="n">
        <v>7</v>
      </c>
      <c r="E2010" s="0" t="n">
        <f aca="false">-1+A2010*0.25</f>
        <v>-0.5</v>
      </c>
      <c r="F2010" s="0" t="n">
        <f aca="false">-1+B2010*0.25</f>
        <v>0.5</v>
      </c>
      <c r="G2010" s="0" t="n">
        <f aca="false">-1+C2010*0.25</f>
        <v>0.5</v>
      </c>
      <c r="H2010" s="0" t="n">
        <f aca="false">-1+D2010*0.25</f>
        <v>0.75</v>
      </c>
      <c r="I2010" s="0" t="n">
        <f aca="false">1</f>
        <v>1</v>
      </c>
      <c r="J2010" s="0" t="n">
        <f aca="false">E2010</f>
        <v>-0.5</v>
      </c>
      <c r="K2010" s="0" t="n">
        <f aca="false">F2010</f>
        <v>0.5</v>
      </c>
      <c r="L2010" s="0" t="n">
        <f aca="false">G2010</f>
        <v>0.5</v>
      </c>
      <c r="M2010" s="0" t="n">
        <f aca="false">H2010</f>
        <v>0.75</v>
      </c>
      <c r="N2010" s="0" t="n">
        <f aca="false">E2010*F2010</f>
        <v>-0.25</v>
      </c>
      <c r="O2010" s="0" t="n">
        <f aca="false">E2010*G2010</f>
        <v>-0.25</v>
      </c>
      <c r="P2010" s="0" t="n">
        <f aca="false">E2010*H2010</f>
        <v>-0.375</v>
      </c>
      <c r="Q2010" s="0" t="n">
        <f aca="false">F2010*G2010</f>
        <v>0.25</v>
      </c>
      <c r="R2010" s="0" t="n">
        <f aca="false">F2010*H2010</f>
        <v>0.375</v>
      </c>
      <c r="S2010" s="0" t="n">
        <f aca="false">G2010*H2010</f>
        <v>0.375</v>
      </c>
      <c r="T2010" s="0" t="n">
        <f aca="false">E2010*E2010</f>
        <v>0.25</v>
      </c>
      <c r="U2010" s="0" t="n">
        <f aca="false">F2010*F2010</f>
        <v>0.25</v>
      </c>
      <c r="V2010" s="0" t="n">
        <f aca="false">G2010*G2010</f>
        <v>0.25</v>
      </c>
      <c r="W2010" s="0" t="n">
        <f aca="false">H2010*H2010</f>
        <v>0.5625</v>
      </c>
      <c r="X2010" s="0" t="n">
        <f aca="false">SUMPRODUCT(I2010:W2010,_XtX!$B$96:$P$96)</f>
        <v>47.0118238304093</v>
      </c>
      <c r="Y2010" s="0" t="n">
        <f aca="false">SUMPRODUCT(MMULT(I2010:W2010,_XtX!$B$78:$P$92),I2010:W2010)</f>
        <v>0.193924753289474</v>
      </c>
      <c r="Z2010" s="0" t="n">
        <f aca="false">04_回帰ANOVA!$K$19*04_回帰ANOVA!$K$14*SQRT(1+Y2010)</f>
        <v>1.4242521079916</v>
      </c>
      <c r="AA2010" s="0" t="n">
        <f aca="false">X2010-Z2010</f>
        <v>45.5875717224177</v>
      </c>
      <c r="AB2010" s="0" t="n">
        <f aca="false">X2010+Z2010</f>
        <v>48.4360759384009</v>
      </c>
      <c r="AC2010" s="54" t="b">
        <f aca="false">AND(E2010&gt;=01_因子設定!$L$5-0.000000001,E2010&lt;=01_因子設定!$M$5+0.000000001,F2010&gt;=01_因子設定!$L$6-0.000000001,F2010&lt;=01_因子設定!$M$6+0.000000001,G2010&gt;=01_因子設定!$L$7-0.000000001,G2010&lt;=01_因子設定!$M$7+0.000000001,H2010&gt;=01_因子設定!$L$8-0.000000001,H2010&lt;=01_因子設定!$M$8+0.000000001,IF(01_因子設定!$B$20="Box-Behnken",E2010^2+F2010^2+G2010^2+H2010^2&lt;=2+0.000000001,TRUE()))</f>
        <v>1</v>
      </c>
      <c r="AD2010" s="55" t="n">
        <f aca="false">IF(AC2010,IF(01_因子設定!$B$13="最大化",AA2010-01_因子設定!$B$14,IF(01_因子設定!$B$13="最小化",01_因子設定!$B$15-AB2010,MIN(AA2010-01_因子設定!$B$14,01_因子設定!$B$15-AB2010))),-1E+030)</f>
        <v>-0.912428277582265</v>
      </c>
      <c r="AE2010" s="55" t="n">
        <f aca="false">IF(AC2010,IF(01_因子設定!$B$13="最大化",X2010,IF(01_因子設定!$B$13="最小化",-X2010,-ABS(X2010-01_因子設定!$B$16))),-1E+030)</f>
        <v>47.0118238304093</v>
      </c>
      <c r="AF2010" s="55" t="n">
        <f aca="false">AD2010+ROW()*0.000000001</f>
        <v>-0.912426267582265</v>
      </c>
      <c r="AG2010" s="55" t="n">
        <f aca="false">AE2010+ROW()*0.000000001</f>
        <v>47.0118258404093</v>
      </c>
    </row>
    <row r="2011" customFormat="false" ht="15" hidden="false" customHeight="false" outlineLevel="0" collapsed="false">
      <c r="A2011" s="0" t="n">
        <v>2</v>
      </c>
      <c r="B2011" s="0" t="n">
        <v>6</v>
      </c>
      <c r="C2011" s="0" t="n">
        <v>6</v>
      </c>
      <c r="D2011" s="0" t="n">
        <v>8</v>
      </c>
      <c r="E2011" s="0" t="n">
        <f aca="false">-1+A2011*0.25</f>
        <v>-0.5</v>
      </c>
      <c r="F2011" s="0" t="n">
        <f aca="false">-1+B2011*0.25</f>
        <v>0.5</v>
      </c>
      <c r="G2011" s="0" t="n">
        <f aca="false">-1+C2011*0.25</f>
        <v>0.5</v>
      </c>
      <c r="H2011" s="0" t="n">
        <f aca="false">-1+D2011*0.25</f>
        <v>1</v>
      </c>
      <c r="I2011" s="0" t="n">
        <f aca="false">1</f>
        <v>1</v>
      </c>
      <c r="J2011" s="0" t="n">
        <f aca="false">E2011</f>
        <v>-0.5</v>
      </c>
      <c r="K2011" s="0" t="n">
        <f aca="false">F2011</f>
        <v>0.5</v>
      </c>
      <c r="L2011" s="0" t="n">
        <f aca="false">G2011</f>
        <v>0.5</v>
      </c>
      <c r="M2011" s="0" t="n">
        <f aca="false">H2011</f>
        <v>1</v>
      </c>
      <c r="N2011" s="0" t="n">
        <f aca="false">E2011*F2011</f>
        <v>-0.25</v>
      </c>
      <c r="O2011" s="0" t="n">
        <f aca="false">E2011*G2011</f>
        <v>-0.25</v>
      </c>
      <c r="P2011" s="0" t="n">
        <f aca="false">E2011*H2011</f>
        <v>-0.5</v>
      </c>
      <c r="Q2011" s="0" t="n">
        <f aca="false">F2011*G2011</f>
        <v>0.25</v>
      </c>
      <c r="R2011" s="0" t="n">
        <f aca="false">F2011*H2011</f>
        <v>0.5</v>
      </c>
      <c r="S2011" s="0" t="n">
        <f aca="false">G2011*H2011</f>
        <v>0.5</v>
      </c>
      <c r="T2011" s="0" t="n">
        <f aca="false">E2011*E2011</f>
        <v>0.25</v>
      </c>
      <c r="U2011" s="0" t="n">
        <f aca="false">F2011*F2011</f>
        <v>0.25</v>
      </c>
      <c r="V2011" s="0" t="n">
        <f aca="false">G2011*G2011</f>
        <v>0.25</v>
      </c>
      <c r="W2011" s="0" t="n">
        <f aca="false">H2011*H2011</f>
        <v>1</v>
      </c>
      <c r="X2011" s="0" t="n">
        <f aca="false">SUMPRODUCT(I2011:W2011,_XtX!$B$96:$P$96)</f>
        <v>46.9396381578947</v>
      </c>
      <c r="Y2011" s="0" t="n">
        <f aca="false">SUMPRODUCT(MMULT(I2011:W2011,_XtX!$B$78:$P$92),I2011:W2011)</f>
        <v>0.404719480994152</v>
      </c>
      <c r="Z2011" s="0" t="n">
        <f aca="false">04_回帰ANOVA!$K$19*04_回帰ANOVA!$K$14*SQRT(1+Y2011)</f>
        <v>1.54487446697867</v>
      </c>
      <c r="AA2011" s="0" t="n">
        <f aca="false">X2011-Z2011</f>
        <v>45.3947636909161</v>
      </c>
      <c r="AB2011" s="0" t="n">
        <f aca="false">X2011+Z2011</f>
        <v>48.4845126248734</v>
      </c>
      <c r="AC2011" s="54" t="b">
        <f aca="false">AND(E2011&gt;=01_因子設定!$L$5-0.000000001,E2011&lt;=01_因子設定!$M$5+0.000000001,F2011&gt;=01_因子設定!$L$6-0.000000001,F2011&lt;=01_因子設定!$M$6+0.000000001,G2011&gt;=01_因子設定!$L$7-0.000000001,G2011&lt;=01_因子設定!$M$7+0.000000001,H2011&gt;=01_因子設定!$L$8-0.000000001,H2011&lt;=01_因子設定!$M$8+0.000000001,IF(01_因子設定!$B$20="Box-Behnken",E2011^2+F2011^2+G2011^2+H2011^2&lt;=2+0.000000001,TRUE()))</f>
        <v>1</v>
      </c>
      <c r="AD2011" s="55" t="n">
        <f aca="false">IF(AC2011,IF(01_因子設定!$B$13="最大化",AA2011-01_因子設定!$B$14,IF(01_因子設定!$B$13="最小化",01_因子設定!$B$15-AB2011,MIN(AA2011-01_因子設定!$B$14,01_因子設定!$B$15-AB2011))),-1E+030)</f>
        <v>-1.10523630908394</v>
      </c>
      <c r="AE2011" s="55" t="n">
        <f aca="false">IF(AC2011,IF(01_因子設定!$B$13="最大化",X2011,IF(01_因子設定!$B$13="最小化",-X2011,-ABS(X2011-01_因子設定!$B$16))),-1E+030)</f>
        <v>46.9396381578947</v>
      </c>
      <c r="AF2011" s="55" t="n">
        <f aca="false">AD2011+ROW()*0.000000001</f>
        <v>-1.10523429808394</v>
      </c>
      <c r="AG2011" s="55" t="n">
        <f aca="false">AE2011+ROW()*0.000000001</f>
        <v>46.9396401688947</v>
      </c>
    </row>
    <row r="2012" customFormat="false" ht="15" hidden="false" customHeight="false" outlineLevel="0" collapsed="false">
      <c r="A2012" s="0" t="n">
        <v>2</v>
      </c>
      <c r="B2012" s="0" t="n">
        <v>6</v>
      </c>
      <c r="C2012" s="0" t="n">
        <v>7</v>
      </c>
      <c r="D2012" s="0" t="n">
        <v>0</v>
      </c>
      <c r="E2012" s="0" t="n">
        <f aca="false">-1+A2012*0.25</f>
        <v>-0.5</v>
      </c>
      <c r="F2012" s="0" t="n">
        <f aca="false">-1+B2012*0.25</f>
        <v>0.5</v>
      </c>
      <c r="G2012" s="0" t="n">
        <f aca="false">-1+C2012*0.25</f>
        <v>0.75</v>
      </c>
      <c r="H2012" s="0" t="n">
        <f aca="false">-1+D2012*0.25</f>
        <v>-1</v>
      </c>
      <c r="I2012" s="0" t="n">
        <f aca="false">1</f>
        <v>1</v>
      </c>
      <c r="J2012" s="0" t="n">
        <f aca="false">E2012</f>
        <v>-0.5</v>
      </c>
      <c r="K2012" s="0" t="n">
        <f aca="false">F2012</f>
        <v>0.5</v>
      </c>
      <c r="L2012" s="0" t="n">
        <f aca="false">G2012</f>
        <v>0.75</v>
      </c>
      <c r="M2012" s="0" t="n">
        <f aca="false">H2012</f>
        <v>-1</v>
      </c>
      <c r="N2012" s="0" t="n">
        <f aca="false">E2012*F2012</f>
        <v>-0.25</v>
      </c>
      <c r="O2012" s="0" t="n">
        <f aca="false">E2012*G2012</f>
        <v>-0.375</v>
      </c>
      <c r="P2012" s="0" t="n">
        <f aca="false">E2012*H2012</f>
        <v>0.5</v>
      </c>
      <c r="Q2012" s="0" t="n">
        <f aca="false">F2012*G2012</f>
        <v>0.375</v>
      </c>
      <c r="R2012" s="0" t="n">
        <f aca="false">F2012*H2012</f>
        <v>-0.5</v>
      </c>
      <c r="S2012" s="0" t="n">
        <f aca="false">G2012*H2012</f>
        <v>-0.75</v>
      </c>
      <c r="T2012" s="0" t="n">
        <f aca="false">E2012*E2012</f>
        <v>0.25</v>
      </c>
      <c r="U2012" s="0" t="n">
        <f aca="false">F2012*F2012</f>
        <v>0.25</v>
      </c>
      <c r="V2012" s="0" t="n">
        <f aca="false">G2012*G2012</f>
        <v>0.5625</v>
      </c>
      <c r="W2012" s="0" t="n">
        <f aca="false">H2012*H2012</f>
        <v>1</v>
      </c>
      <c r="X2012" s="0" t="n">
        <f aca="false">SUMPRODUCT(I2012:W2012,_XtX!$B$96:$P$96)</f>
        <v>46.2595303362573</v>
      </c>
      <c r="Y2012" s="0" t="n">
        <f aca="false">SUMPRODUCT(MMULT(I2012:W2012,_XtX!$B$78:$P$92),I2012:W2012)</f>
        <v>0.42602110745614</v>
      </c>
      <c r="Z2012" s="0" t="n">
        <f aca="false">04_回帰ANOVA!$K$19*04_回帰ANOVA!$K$14*SQRT(1+Y2012)</f>
        <v>1.55654388501114</v>
      </c>
      <c r="AA2012" s="0" t="n">
        <f aca="false">X2012-Z2012</f>
        <v>44.7029864512462</v>
      </c>
      <c r="AB2012" s="0" t="n">
        <f aca="false">X2012+Z2012</f>
        <v>47.8160742212684</v>
      </c>
      <c r="AC2012" s="54" t="b">
        <f aca="false">AND(E2012&gt;=01_因子設定!$L$5-0.000000001,E2012&lt;=01_因子設定!$M$5+0.000000001,F2012&gt;=01_因子設定!$L$6-0.000000001,F2012&lt;=01_因子設定!$M$6+0.000000001,G2012&gt;=01_因子設定!$L$7-0.000000001,G2012&lt;=01_因子設定!$M$7+0.000000001,H2012&gt;=01_因子設定!$L$8-0.000000001,H2012&lt;=01_因子設定!$M$8+0.000000001,IF(01_因子設定!$B$20="Box-Behnken",E2012^2+F2012^2+G2012^2+H2012^2&lt;=2+0.000000001,TRUE()))</f>
        <v>1</v>
      </c>
      <c r="AD2012" s="55" t="n">
        <f aca="false">IF(AC2012,IF(01_因子設定!$B$13="最大化",AA2012-01_因子設定!$B$14,IF(01_因子設定!$B$13="最小化",01_因子設定!$B$15-AB2012,MIN(AA2012-01_因子設定!$B$14,01_因子設定!$B$15-AB2012))),-1E+030)</f>
        <v>-1.79701354875383</v>
      </c>
      <c r="AE2012" s="55" t="n">
        <f aca="false">IF(AC2012,IF(01_因子設定!$B$13="最大化",X2012,IF(01_因子設定!$B$13="最小化",-X2012,-ABS(X2012-01_因子設定!$B$16))),-1E+030)</f>
        <v>46.2595303362573</v>
      </c>
      <c r="AF2012" s="55" t="n">
        <f aca="false">AD2012+ROW()*0.000000001</f>
        <v>-1.79701153675383</v>
      </c>
      <c r="AG2012" s="55" t="n">
        <f aca="false">AE2012+ROW()*0.000000001</f>
        <v>46.2595323482573</v>
      </c>
    </row>
    <row r="2013" customFormat="false" ht="15" hidden="false" customHeight="false" outlineLevel="0" collapsed="false">
      <c r="A2013" s="0" t="n">
        <v>2</v>
      </c>
      <c r="B2013" s="0" t="n">
        <v>6</v>
      </c>
      <c r="C2013" s="0" t="n">
        <v>7</v>
      </c>
      <c r="D2013" s="0" t="n">
        <v>1</v>
      </c>
      <c r="E2013" s="0" t="n">
        <f aca="false">-1+A2013*0.25</f>
        <v>-0.5</v>
      </c>
      <c r="F2013" s="0" t="n">
        <f aca="false">-1+B2013*0.25</f>
        <v>0.5</v>
      </c>
      <c r="G2013" s="0" t="n">
        <f aca="false">-1+C2013*0.25</f>
        <v>0.75</v>
      </c>
      <c r="H2013" s="0" t="n">
        <f aca="false">-1+D2013*0.25</f>
        <v>-0.75</v>
      </c>
      <c r="I2013" s="0" t="n">
        <f aca="false">1</f>
        <v>1</v>
      </c>
      <c r="J2013" s="0" t="n">
        <f aca="false">E2013</f>
        <v>-0.5</v>
      </c>
      <c r="K2013" s="0" t="n">
        <f aca="false">F2013</f>
        <v>0.5</v>
      </c>
      <c r="L2013" s="0" t="n">
        <f aca="false">G2013</f>
        <v>0.75</v>
      </c>
      <c r="M2013" s="0" t="n">
        <f aca="false">H2013</f>
        <v>-0.75</v>
      </c>
      <c r="N2013" s="0" t="n">
        <f aca="false">E2013*F2013</f>
        <v>-0.25</v>
      </c>
      <c r="O2013" s="0" t="n">
        <f aca="false">E2013*G2013</f>
        <v>-0.375</v>
      </c>
      <c r="P2013" s="0" t="n">
        <f aca="false">E2013*H2013</f>
        <v>0.375</v>
      </c>
      <c r="Q2013" s="0" t="n">
        <f aca="false">F2013*G2013</f>
        <v>0.375</v>
      </c>
      <c r="R2013" s="0" t="n">
        <f aca="false">F2013*H2013</f>
        <v>-0.375</v>
      </c>
      <c r="S2013" s="0" t="n">
        <f aca="false">G2013*H2013</f>
        <v>-0.5625</v>
      </c>
      <c r="T2013" s="0" t="n">
        <f aca="false">E2013*E2013</f>
        <v>0.25</v>
      </c>
      <c r="U2013" s="0" t="n">
        <f aca="false">F2013*F2013</f>
        <v>0.25</v>
      </c>
      <c r="V2013" s="0" t="n">
        <f aca="false">G2013*G2013</f>
        <v>0.5625</v>
      </c>
      <c r="W2013" s="0" t="n">
        <f aca="false">H2013*H2013</f>
        <v>0.5625</v>
      </c>
      <c r="X2013" s="0" t="n">
        <f aca="false">SUMPRODUCT(I2013:W2013,_XtX!$B$96:$P$96)</f>
        <v>46.5399625365497</v>
      </c>
      <c r="Y2013" s="0" t="n">
        <f aca="false">SUMPRODUCT(MMULT(I2013:W2013,_XtX!$B$78:$P$92),I2013:W2013)</f>
        <v>0.237862927174708</v>
      </c>
      <c r="Z2013" s="0" t="n">
        <f aca="false">04_回帰ANOVA!$K$19*04_回帰ANOVA!$K$14*SQRT(1+Y2013)</f>
        <v>1.45022260708756</v>
      </c>
      <c r="AA2013" s="0" t="n">
        <f aca="false">X2013-Z2013</f>
        <v>45.0897399294621</v>
      </c>
      <c r="AB2013" s="0" t="n">
        <f aca="false">X2013+Z2013</f>
        <v>47.9901851436373</v>
      </c>
      <c r="AC2013" s="54" t="b">
        <f aca="false">AND(E2013&gt;=01_因子設定!$L$5-0.000000001,E2013&lt;=01_因子設定!$M$5+0.000000001,F2013&gt;=01_因子設定!$L$6-0.000000001,F2013&lt;=01_因子設定!$M$6+0.000000001,G2013&gt;=01_因子設定!$L$7-0.000000001,G2013&lt;=01_因子設定!$M$7+0.000000001,H2013&gt;=01_因子設定!$L$8-0.000000001,H2013&lt;=01_因子設定!$M$8+0.000000001,IF(01_因子設定!$B$20="Box-Behnken",E2013^2+F2013^2+G2013^2+H2013^2&lt;=2+0.000000001,TRUE()))</f>
        <v>1</v>
      </c>
      <c r="AD2013" s="55" t="n">
        <f aca="false">IF(AC2013,IF(01_因子設定!$B$13="最大化",AA2013-01_因子設定!$B$14,IF(01_因子設定!$B$13="最小化",01_因子設定!$B$15-AB2013,MIN(AA2013-01_因子設定!$B$14,01_因子設定!$B$15-AB2013))),-1E+030)</f>
        <v>-1.41026007053787</v>
      </c>
      <c r="AE2013" s="55" t="n">
        <f aca="false">IF(AC2013,IF(01_因子設定!$B$13="最大化",X2013,IF(01_因子設定!$B$13="最小化",-X2013,-ABS(X2013-01_因子設定!$B$16))),-1E+030)</f>
        <v>46.5399625365497</v>
      </c>
      <c r="AF2013" s="55" t="n">
        <f aca="false">AD2013+ROW()*0.000000001</f>
        <v>-1.41025805753787</v>
      </c>
      <c r="AG2013" s="55" t="n">
        <f aca="false">AE2013+ROW()*0.000000001</f>
        <v>46.5399645495497</v>
      </c>
    </row>
    <row r="2014" customFormat="false" ht="15" hidden="false" customHeight="false" outlineLevel="0" collapsed="false">
      <c r="A2014" s="0" t="n">
        <v>2</v>
      </c>
      <c r="B2014" s="0" t="n">
        <v>6</v>
      </c>
      <c r="C2014" s="0" t="n">
        <v>7</v>
      </c>
      <c r="D2014" s="0" t="n">
        <v>2</v>
      </c>
      <c r="E2014" s="0" t="n">
        <f aca="false">-1+A2014*0.25</f>
        <v>-0.5</v>
      </c>
      <c r="F2014" s="0" t="n">
        <f aca="false">-1+B2014*0.25</f>
        <v>0.5</v>
      </c>
      <c r="G2014" s="0" t="n">
        <f aca="false">-1+C2014*0.25</f>
        <v>0.75</v>
      </c>
      <c r="H2014" s="0" t="n">
        <f aca="false">-1+D2014*0.25</f>
        <v>-0.5</v>
      </c>
      <c r="I2014" s="0" t="n">
        <f aca="false">1</f>
        <v>1</v>
      </c>
      <c r="J2014" s="0" t="n">
        <f aca="false">E2014</f>
        <v>-0.5</v>
      </c>
      <c r="K2014" s="0" t="n">
        <f aca="false">F2014</f>
        <v>0.5</v>
      </c>
      <c r="L2014" s="0" t="n">
        <f aca="false">G2014</f>
        <v>0.75</v>
      </c>
      <c r="M2014" s="0" t="n">
        <f aca="false">H2014</f>
        <v>-0.5</v>
      </c>
      <c r="N2014" s="0" t="n">
        <f aca="false">E2014*F2014</f>
        <v>-0.25</v>
      </c>
      <c r="O2014" s="0" t="n">
        <f aca="false">E2014*G2014</f>
        <v>-0.375</v>
      </c>
      <c r="P2014" s="0" t="n">
        <f aca="false">E2014*H2014</f>
        <v>0.25</v>
      </c>
      <c r="Q2014" s="0" t="n">
        <f aca="false">F2014*G2014</f>
        <v>0.375</v>
      </c>
      <c r="R2014" s="0" t="n">
        <f aca="false">F2014*H2014</f>
        <v>-0.25</v>
      </c>
      <c r="S2014" s="0" t="n">
        <f aca="false">G2014*H2014</f>
        <v>-0.375</v>
      </c>
      <c r="T2014" s="0" t="n">
        <f aca="false">E2014*E2014</f>
        <v>0.25</v>
      </c>
      <c r="U2014" s="0" t="n">
        <f aca="false">F2014*F2014</f>
        <v>0.25</v>
      </c>
      <c r="V2014" s="0" t="n">
        <f aca="false">G2014*G2014</f>
        <v>0.5625</v>
      </c>
      <c r="W2014" s="0" t="n">
        <f aca="false">H2014*H2014</f>
        <v>0.25</v>
      </c>
      <c r="X2014" s="0" t="n">
        <f aca="false">SUMPRODUCT(I2014:W2014,_XtX!$B$96:$P$96)</f>
        <v>46.7725877192982</v>
      </c>
      <c r="Y2014" s="0" t="n">
        <f aca="false">SUMPRODUCT(MMULT(I2014:W2014,_XtX!$B$78:$P$92),I2014:W2014)</f>
        <v>0.193924753289474</v>
      </c>
      <c r="Z2014" s="0" t="n">
        <f aca="false">04_回帰ANOVA!$K$19*04_回帰ANOVA!$K$14*SQRT(1+Y2014)</f>
        <v>1.4242521079916</v>
      </c>
      <c r="AA2014" s="0" t="n">
        <f aca="false">X2014-Z2014</f>
        <v>45.3483356113066</v>
      </c>
      <c r="AB2014" s="0" t="n">
        <f aca="false">X2014+Z2014</f>
        <v>48.1968398272898</v>
      </c>
      <c r="AC2014" s="54" t="b">
        <f aca="false">AND(E2014&gt;=01_因子設定!$L$5-0.000000001,E2014&lt;=01_因子設定!$M$5+0.000000001,F2014&gt;=01_因子設定!$L$6-0.000000001,F2014&lt;=01_因子設定!$M$6+0.000000001,G2014&gt;=01_因子設定!$L$7-0.000000001,G2014&lt;=01_因子設定!$M$7+0.000000001,H2014&gt;=01_因子設定!$L$8-0.000000001,H2014&lt;=01_因子設定!$M$8+0.000000001,IF(01_因子設定!$B$20="Box-Behnken",E2014^2+F2014^2+G2014^2+H2014^2&lt;=2+0.000000001,TRUE()))</f>
        <v>1</v>
      </c>
      <c r="AD2014" s="55" t="n">
        <f aca="false">IF(AC2014,IF(01_因子設定!$B$13="最大化",AA2014-01_因子設定!$B$14,IF(01_因子設定!$B$13="最小化",01_因子設定!$B$15-AB2014,MIN(AA2014-01_因子設定!$B$14,01_因子設定!$B$15-AB2014))),-1E+030)</f>
        <v>-1.15166438869338</v>
      </c>
      <c r="AE2014" s="55" t="n">
        <f aca="false">IF(AC2014,IF(01_因子設定!$B$13="最大化",X2014,IF(01_因子設定!$B$13="最小化",-X2014,-ABS(X2014-01_因子設定!$B$16))),-1E+030)</f>
        <v>46.7725877192982</v>
      </c>
      <c r="AF2014" s="55" t="n">
        <f aca="false">AD2014+ROW()*0.000000001</f>
        <v>-1.15166237469338</v>
      </c>
      <c r="AG2014" s="55" t="n">
        <f aca="false">AE2014+ROW()*0.000000001</f>
        <v>46.7725897332982</v>
      </c>
    </row>
    <row r="2015" customFormat="false" ht="15" hidden="false" customHeight="false" outlineLevel="0" collapsed="false">
      <c r="A2015" s="0" t="n">
        <v>2</v>
      </c>
      <c r="B2015" s="0" t="n">
        <v>6</v>
      </c>
      <c r="C2015" s="0" t="n">
        <v>7</v>
      </c>
      <c r="D2015" s="0" t="n">
        <v>3</v>
      </c>
      <c r="E2015" s="0" t="n">
        <f aca="false">-1+A2015*0.25</f>
        <v>-0.5</v>
      </c>
      <c r="F2015" s="0" t="n">
        <f aca="false">-1+B2015*0.25</f>
        <v>0.5</v>
      </c>
      <c r="G2015" s="0" t="n">
        <f aca="false">-1+C2015*0.25</f>
        <v>0.75</v>
      </c>
      <c r="H2015" s="0" t="n">
        <f aca="false">-1+D2015*0.25</f>
        <v>-0.25</v>
      </c>
      <c r="I2015" s="0" t="n">
        <f aca="false">1</f>
        <v>1</v>
      </c>
      <c r="J2015" s="0" t="n">
        <f aca="false">E2015</f>
        <v>-0.5</v>
      </c>
      <c r="K2015" s="0" t="n">
        <f aca="false">F2015</f>
        <v>0.5</v>
      </c>
      <c r="L2015" s="0" t="n">
        <f aca="false">G2015</f>
        <v>0.75</v>
      </c>
      <c r="M2015" s="0" t="n">
        <f aca="false">H2015</f>
        <v>-0.25</v>
      </c>
      <c r="N2015" s="0" t="n">
        <f aca="false">E2015*F2015</f>
        <v>-0.25</v>
      </c>
      <c r="O2015" s="0" t="n">
        <f aca="false">E2015*G2015</f>
        <v>-0.375</v>
      </c>
      <c r="P2015" s="0" t="n">
        <f aca="false">E2015*H2015</f>
        <v>0.125</v>
      </c>
      <c r="Q2015" s="0" t="n">
        <f aca="false">F2015*G2015</f>
        <v>0.375</v>
      </c>
      <c r="R2015" s="0" t="n">
        <f aca="false">F2015*H2015</f>
        <v>-0.125</v>
      </c>
      <c r="S2015" s="0" t="n">
        <f aca="false">G2015*H2015</f>
        <v>-0.1875</v>
      </c>
      <c r="T2015" s="0" t="n">
        <f aca="false">E2015*E2015</f>
        <v>0.25</v>
      </c>
      <c r="U2015" s="0" t="n">
        <f aca="false">F2015*F2015</f>
        <v>0.25</v>
      </c>
      <c r="V2015" s="0" t="n">
        <f aca="false">G2015*G2015</f>
        <v>0.5625</v>
      </c>
      <c r="W2015" s="0" t="n">
        <f aca="false">H2015*H2015</f>
        <v>0.0625</v>
      </c>
      <c r="X2015" s="0" t="n">
        <f aca="false">SUMPRODUCT(I2015:W2015,_XtX!$B$96:$P$96)</f>
        <v>46.9574058845029</v>
      </c>
      <c r="Y2015" s="0" t="n">
        <f aca="false">SUMPRODUCT(MMULT(I2015:W2015,_XtX!$B$78:$P$92),I2015:W2015)</f>
        <v>0.203746059484649</v>
      </c>
      <c r="Z2015" s="0" t="n">
        <f aca="false">04_回帰ANOVA!$K$19*04_回帰ANOVA!$K$14*SQRT(1+Y2015)</f>
        <v>1.43009810755465</v>
      </c>
      <c r="AA2015" s="0" t="n">
        <f aca="false">X2015-Z2015</f>
        <v>45.5273077769482</v>
      </c>
      <c r="AB2015" s="0" t="n">
        <f aca="false">X2015+Z2015</f>
        <v>48.3875039920575</v>
      </c>
      <c r="AC2015" s="54" t="b">
        <f aca="false">AND(E2015&gt;=01_因子設定!$L$5-0.000000001,E2015&lt;=01_因子設定!$M$5+0.000000001,F2015&gt;=01_因子設定!$L$6-0.000000001,F2015&lt;=01_因子設定!$M$6+0.000000001,G2015&gt;=01_因子設定!$L$7-0.000000001,G2015&lt;=01_因子設定!$M$7+0.000000001,H2015&gt;=01_因子設定!$L$8-0.000000001,H2015&lt;=01_因子設定!$M$8+0.000000001,IF(01_因子設定!$B$20="Box-Behnken",E2015^2+F2015^2+G2015^2+H2015^2&lt;=2+0.000000001,TRUE()))</f>
        <v>1</v>
      </c>
      <c r="AD2015" s="55" t="n">
        <f aca="false">IF(AC2015,IF(01_因子設定!$B$13="最大化",AA2015-01_因子設定!$B$14,IF(01_因子設定!$B$13="最小化",01_因子設定!$B$15-AB2015,MIN(AA2015-01_因子設定!$B$14,01_因子設定!$B$15-AB2015))),-1E+030)</f>
        <v>-0.972692223051766</v>
      </c>
      <c r="AE2015" s="55" t="n">
        <f aca="false">IF(AC2015,IF(01_因子設定!$B$13="最大化",X2015,IF(01_因子設定!$B$13="最小化",-X2015,-ABS(X2015-01_因子設定!$B$16))),-1E+030)</f>
        <v>46.9574058845029</v>
      </c>
      <c r="AF2015" s="55" t="n">
        <f aca="false">AD2015+ROW()*0.000000001</f>
        <v>-0.972690208051766</v>
      </c>
      <c r="AG2015" s="55" t="n">
        <f aca="false">AE2015+ROW()*0.000000001</f>
        <v>46.9574078995029</v>
      </c>
    </row>
    <row r="2016" customFormat="false" ht="15" hidden="false" customHeight="false" outlineLevel="0" collapsed="false">
      <c r="A2016" s="0" t="n">
        <v>2</v>
      </c>
      <c r="B2016" s="0" t="n">
        <v>6</v>
      </c>
      <c r="C2016" s="0" t="n">
        <v>7</v>
      </c>
      <c r="D2016" s="0" t="n">
        <v>4</v>
      </c>
      <c r="E2016" s="0" t="n">
        <f aca="false">-1+A2016*0.25</f>
        <v>-0.5</v>
      </c>
      <c r="F2016" s="0" t="n">
        <f aca="false">-1+B2016*0.25</f>
        <v>0.5</v>
      </c>
      <c r="G2016" s="0" t="n">
        <f aca="false">-1+C2016*0.25</f>
        <v>0.75</v>
      </c>
      <c r="H2016" s="0" t="n">
        <f aca="false">-1+D2016*0.25</f>
        <v>0</v>
      </c>
      <c r="I2016" s="0" t="n">
        <f aca="false">1</f>
        <v>1</v>
      </c>
      <c r="J2016" s="0" t="n">
        <f aca="false">E2016</f>
        <v>-0.5</v>
      </c>
      <c r="K2016" s="0" t="n">
        <f aca="false">F2016</f>
        <v>0.5</v>
      </c>
      <c r="L2016" s="0" t="n">
        <f aca="false">G2016</f>
        <v>0.75</v>
      </c>
      <c r="M2016" s="0" t="n">
        <f aca="false">H2016</f>
        <v>0</v>
      </c>
      <c r="N2016" s="0" t="n">
        <f aca="false">E2016*F2016</f>
        <v>-0.25</v>
      </c>
      <c r="O2016" s="0" t="n">
        <f aca="false">E2016*G2016</f>
        <v>-0.375</v>
      </c>
      <c r="P2016" s="0" t="n">
        <f aca="false">E2016*H2016</f>
        <v>-0</v>
      </c>
      <c r="Q2016" s="0" t="n">
        <f aca="false">F2016*G2016</f>
        <v>0.375</v>
      </c>
      <c r="R2016" s="0" t="n">
        <f aca="false">F2016*H2016</f>
        <v>0</v>
      </c>
      <c r="S2016" s="0" t="n">
        <f aca="false">G2016*H2016</f>
        <v>0</v>
      </c>
      <c r="T2016" s="0" t="n">
        <f aca="false">E2016*E2016</f>
        <v>0.25</v>
      </c>
      <c r="U2016" s="0" t="n">
        <f aca="false">F2016*F2016</f>
        <v>0.25</v>
      </c>
      <c r="V2016" s="0" t="n">
        <f aca="false">G2016*G2016</f>
        <v>0.5625</v>
      </c>
      <c r="W2016" s="0" t="n">
        <f aca="false">H2016*H2016</f>
        <v>0</v>
      </c>
      <c r="X2016" s="0" t="n">
        <f aca="false">SUMPRODUCT(I2016:W2016,_XtX!$B$96:$P$96)</f>
        <v>47.0944170321637</v>
      </c>
      <c r="Y2016" s="0" t="n">
        <f aca="false">SUMPRODUCT(MMULT(I2016:W2016,_XtX!$B$78:$P$92),I2016:W2016)</f>
        <v>0.21305052997076</v>
      </c>
      <c r="Z2016" s="0" t="n">
        <f aca="false">04_回帰ANOVA!$K$19*04_回帰ANOVA!$K$14*SQRT(1+Y2016)</f>
        <v>1.43561450835061</v>
      </c>
      <c r="AA2016" s="0" t="n">
        <f aca="false">X2016-Z2016</f>
        <v>45.6588025238131</v>
      </c>
      <c r="AB2016" s="0" t="n">
        <f aca="false">X2016+Z2016</f>
        <v>48.5300315405143</v>
      </c>
      <c r="AC2016" s="54" t="b">
        <f aca="false">AND(E2016&gt;=01_因子設定!$L$5-0.000000001,E2016&lt;=01_因子設定!$M$5+0.000000001,F2016&gt;=01_因子設定!$L$6-0.000000001,F2016&lt;=01_因子設定!$M$6+0.000000001,G2016&gt;=01_因子設定!$L$7-0.000000001,G2016&lt;=01_因子設定!$M$7+0.000000001,H2016&gt;=01_因子設定!$L$8-0.000000001,H2016&lt;=01_因子設定!$M$8+0.000000001,IF(01_因子設定!$B$20="Box-Behnken",E2016^2+F2016^2+G2016^2+H2016^2&lt;=2+0.000000001,TRUE()))</f>
        <v>1</v>
      </c>
      <c r="AD2016" s="55" t="n">
        <f aca="false">IF(AC2016,IF(01_因子設定!$B$13="最大化",AA2016-01_因子設定!$B$14,IF(01_因子設定!$B$13="最小化",01_因子設定!$B$15-AB2016,MIN(AA2016-01_因子設定!$B$14,01_因子設定!$B$15-AB2016))),-1E+030)</f>
        <v>-0.841197476186899</v>
      </c>
      <c r="AE2016" s="55" t="n">
        <f aca="false">IF(AC2016,IF(01_因子設定!$B$13="最大化",X2016,IF(01_因子設定!$B$13="最小化",-X2016,-ABS(X2016-01_因子設定!$B$16))),-1E+030)</f>
        <v>47.0944170321637</v>
      </c>
      <c r="AF2016" s="55" t="n">
        <f aca="false">AD2016+ROW()*0.000000001</f>
        <v>-0.841195460186899</v>
      </c>
      <c r="AG2016" s="55" t="n">
        <f aca="false">AE2016+ROW()*0.000000001</f>
        <v>47.0944190481637</v>
      </c>
    </row>
    <row r="2017" customFormat="false" ht="15" hidden="false" customHeight="false" outlineLevel="0" collapsed="false">
      <c r="A2017" s="0" t="n">
        <v>2</v>
      </c>
      <c r="B2017" s="0" t="n">
        <v>6</v>
      </c>
      <c r="C2017" s="0" t="n">
        <v>7</v>
      </c>
      <c r="D2017" s="0" t="n">
        <v>5</v>
      </c>
      <c r="E2017" s="0" t="n">
        <f aca="false">-1+A2017*0.25</f>
        <v>-0.5</v>
      </c>
      <c r="F2017" s="0" t="n">
        <f aca="false">-1+B2017*0.25</f>
        <v>0.5</v>
      </c>
      <c r="G2017" s="0" t="n">
        <f aca="false">-1+C2017*0.25</f>
        <v>0.75</v>
      </c>
      <c r="H2017" s="0" t="n">
        <f aca="false">-1+D2017*0.25</f>
        <v>0.25</v>
      </c>
      <c r="I2017" s="0" t="n">
        <f aca="false">1</f>
        <v>1</v>
      </c>
      <c r="J2017" s="0" t="n">
        <f aca="false">E2017</f>
        <v>-0.5</v>
      </c>
      <c r="K2017" s="0" t="n">
        <f aca="false">F2017</f>
        <v>0.5</v>
      </c>
      <c r="L2017" s="0" t="n">
        <f aca="false">G2017</f>
        <v>0.75</v>
      </c>
      <c r="M2017" s="0" t="n">
        <f aca="false">H2017</f>
        <v>0.25</v>
      </c>
      <c r="N2017" s="0" t="n">
        <f aca="false">E2017*F2017</f>
        <v>-0.25</v>
      </c>
      <c r="O2017" s="0" t="n">
        <f aca="false">E2017*G2017</f>
        <v>-0.375</v>
      </c>
      <c r="P2017" s="0" t="n">
        <f aca="false">E2017*H2017</f>
        <v>-0.125</v>
      </c>
      <c r="Q2017" s="0" t="n">
        <f aca="false">F2017*G2017</f>
        <v>0.375</v>
      </c>
      <c r="R2017" s="0" t="n">
        <f aca="false">F2017*H2017</f>
        <v>0.125</v>
      </c>
      <c r="S2017" s="0" t="n">
        <f aca="false">G2017*H2017</f>
        <v>0.1875</v>
      </c>
      <c r="T2017" s="0" t="n">
        <f aca="false">E2017*E2017</f>
        <v>0.25</v>
      </c>
      <c r="U2017" s="0" t="n">
        <f aca="false">F2017*F2017</f>
        <v>0.25</v>
      </c>
      <c r="V2017" s="0" t="n">
        <f aca="false">G2017*G2017</f>
        <v>0.5625</v>
      </c>
      <c r="W2017" s="0" t="n">
        <f aca="false">H2017*H2017</f>
        <v>0.0625</v>
      </c>
      <c r="X2017" s="0" t="n">
        <f aca="false">SUMPRODUCT(I2017:W2017,_XtX!$B$96:$P$96)</f>
        <v>47.1836211622807</v>
      </c>
      <c r="Y2017" s="0" t="n">
        <f aca="false">SUMPRODUCT(MMULT(I2017:W2017,_XtX!$B$78:$P$92),I2017:W2017)</f>
        <v>0.203746059484649</v>
      </c>
      <c r="Z2017" s="0" t="n">
        <f aca="false">04_回帰ANOVA!$K$19*04_回帰ANOVA!$K$14*SQRT(1+Y2017)</f>
        <v>1.43009810755465</v>
      </c>
      <c r="AA2017" s="0" t="n">
        <f aca="false">X2017-Z2017</f>
        <v>45.753523054726</v>
      </c>
      <c r="AB2017" s="0" t="n">
        <f aca="false">X2017+Z2017</f>
        <v>48.6137192698353</v>
      </c>
      <c r="AC2017" s="54" t="b">
        <f aca="false">AND(E2017&gt;=01_因子設定!$L$5-0.000000001,E2017&lt;=01_因子設定!$M$5+0.000000001,F2017&gt;=01_因子設定!$L$6-0.000000001,F2017&lt;=01_因子設定!$M$6+0.000000001,G2017&gt;=01_因子設定!$L$7-0.000000001,G2017&lt;=01_因子設定!$M$7+0.000000001,H2017&gt;=01_因子設定!$L$8-0.000000001,H2017&lt;=01_因子設定!$M$8+0.000000001,IF(01_因子設定!$B$20="Box-Behnken",E2017^2+F2017^2+G2017^2+H2017^2&lt;=2+0.000000001,TRUE()))</f>
        <v>1</v>
      </c>
      <c r="AD2017" s="55" t="n">
        <f aca="false">IF(AC2017,IF(01_因子設定!$B$13="最大化",AA2017-01_因子設定!$B$14,IF(01_因子設定!$B$13="最小化",01_因子設定!$B$15-AB2017,MIN(AA2017-01_因子設定!$B$14,01_因子設定!$B$15-AB2017))),-1E+030)</f>
        <v>-0.746476945273983</v>
      </c>
      <c r="AE2017" s="55" t="n">
        <f aca="false">IF(AC2017,IF(01_因子設定!$B$13="最大化",X2017,IF(01_因子設定!$B$13="最小化",-X2017,-ABS(X2017-01_因子設定!$B$16))),-1E+030)</f>
        <v>47.1836211622807</v>
      </c>
      <c r="AF2017" s="55" t="n">
        <f aca="false">AD2017+ROW()*0.000000001</f>
        <v>-0.746474928273983</v>
      </c>
      <c r="AG2017" s="55" t="n">
        <f aca="false">AE2017+ROW()*0.000000001</f>
        <v>47.1836231792807</v>
      </c>
    </row>
    <row r="2018" customFormat="false" ht="15" hidden="false" customHeight="false" outlineLevel="0" collapsed="false">
      <c r="A2018" s="0" t="n">
        <v>2</v>
      </c>
      <c r="B2018" s="0" t="n">
        <v>6</v>
      </c>
      <c r="C2018" s="0" t="n">
        <v>7</v>
      </c>
      <c r="D2018" s="0" t="n">
        <v>6</v>
      </c>
      <c r="E2018" s="0" t="n">
        <f aca="false">-1+A2018*0.25</f>
        <v>-0.5</v>
      </c>
      <c r="F2018" s="0" t="n">
        <f aca="false">-1+B2018*0.25</f>
        <v>0.5</v>
      </c>
      <c r="G2018" s="0" t="n">
        <f aca="false">-1+C2018*0.25</f>
        <v>0.75</v>
      </c>
      <c r="H2018" s="0" t="n">
        <f aca="false">-1+D2018*0.25</f>
        <v>0.5</v>
      </c>
      <c r="I2018" s="0" t="n">
        <f aca="false">1</f>
        <v>1</v>
      </c>
      <c r="J2018" s="0" t="n">
        <f aca="false">E2018</f>
        <v>-0.5</v>
      </c>
      <c r="K2018" s="0" t="n">
        <f aca="false">F2018</f>
        <v>0.5</v>
      </c>
      <c r="L2018" s="0" t="n">
        <f aca="false">G2018</f>
        <v>0.75</v>
      </c>
      <c r="M2018" s="0" t="n">
        <f aca="false">H2018</f>
        <v>0.5</v>
      </c>
      <c r="N2018" s="0" t="n">
        <f aca="false">E2018*F2018</f>
        <v>-0.25</v>
      </c>
      <c r="O2018" s="0" t="n">
        <f aca="false">E2018*G2018</f>
        <v>-0.375</v>
      </c>
      <c r="P2018" s="0" t="n">
        <f aca="false">E2018*H2018</f>
        <v>-0.25</v>
      </c>
      <c r="Q2018" s="0" t="n">
        <f aca="false">F2018*G2018</f>
        <v>0.375</v>
      </c>
      <c r="R2018" s="0" t="n">
        <f aca="false">F2018*H2018</f>
        <v>0.25</v>
      </c>
      <c r="S2018" s="0" t="n">
        <f aca="false">G2018*H2018</f>
        <v>0.375</v>
      </c>
      <c r="T2018" s="0" t="n">
        <f aca="false">E2018*E2018</f>
        <v>0.25</v>
      </c>
      <c r="U2018" s="0" t="n">
        <f aca="false">F2018*F2018</f>
        <v>0.25</v>
      </c>
      <c r="V2018" s="0" t="n">
        <f aca="false">G2018*G2018</f>
        <v>0.5625</v>
      </c>
      <c r="W2018" s="0" t="n">
        <f aca="false">H2018*H2018</f>
        <v>0.25</v>
      </c>
      <c r="X2018" s="0" t="n">
        <f aca="false">SUMPRODUCT(I2018:W2018,_XtX!$B$96:$P$96)</f>
        <v>47.2250182748538</v>
      </c>
      <c r="Y2018" s="0" t="n">
        <f aca="false">SUMPRODUCT(MMULT(I2018:W2018,_XtX!$B$78:$P$92),I2018:W2018)</f>
        <v>0.193924753289474</v>
      </c>
      <c r="Z2018" s="0" t="n">
        <f aca="false">04_回帰ANOVA!$K$19*04_回帰ANOVA!$K$14*SQRT(1+Y2018)</f>
        <v>1.4242521079916</v>
      </c>
      <c r="AA2018" s="0" t="n">
        <f aca="false">X2018-Z2018</f>
        <v>45.8007661668622</v>
      </c>
      <c r="AB2018" s="0" t="n">
        <f aca="false">X2018+Z2018</f>
        <v>48.6492703828454</v>
      </c>
      <c r="AC2018" s="54" t="b">
        <f aca="false">AND(E2018&gt;=01_因子設定!$L$5-0.000000001,E2018&lt;=01_因子設定!$M$5+0.000000001,F2018&gt;=01_因子設定!$L$6-0.000000001,F2018&lt;=01_因子設定!$M$6+0.000000001,G2018&gt;=01_因子設定!$L$7-0.000000001,G2018&lt;=01_因子設定!$M$7+0.000000001,H2018&gt;=01_因子設定!$L$8-0.000000001,H2018&lt;=01_因子設定!$M$8+0.000000001,IF(01_因子設定!$B$20="Box-Behnken",E2018^2+F2018^2+G2018^2+H2018^2&lt;=2+0.000000001,TRUE()))</f>
        <v>1</v>
      </c>
      <c r="AD2018" s="55" t="n">
        <f aca="false">IF(AC2018,IF(01_因子設定!$B$13="最大化",AA2018-01_因子設定!$B$14,IF(01_因子設定!$B$13="最小化",01_因子設定!$B$15-AB2018,MIN(AA2018-01_因子設定!$B$14,01_因子設定!$B$15-AB2018))),-1E+030)</f>
        <v>-0.699233833137832</v>
      </c>
      <c r="AE2018" s="55" t="n">
        <f aca="false">IF(AC2018,IF(01_因子設定!$B$13="最大化",X2018,IF(01_因子設定!$B$13="最小化",-X2018,-ABS(X2018-01_因子設定!$B$16))),-1E+030)</f>
        <v>47.2250182748538</v>
      </c>
      <c r="AF2018" s="55" t="n">
        <f aca="false">AD2018+ROW()*0.000000001</f>
        <v>-0.699231815137832</v>
      </c>
      <c r="AG2018" s="55" t="n">
        <f aca="false">AE2018+ROW()*0.000000001</f>
        <v>47.2250202928538</v>
      </c>
    </row>
    <row r="2019" customFormat="false" ht="15" hidden="false" customHeight="false" outlineLevel="0" collapsed="false">
      <c r="A2019" s="0" t="n">
        <v>2</v>
      </c>
      <c r="B2019" s="0" t="n">
        <v>6</v>
      </c>
      <c r="C2019" s="0" t="n">
        <v>7</v>
      </c>
      <c r="D2019" s="0" t="n">
        <v>7</v>
      </c>
      <c r="E2019" s="0" t="n">
        <f aca="false">-1+A2019*0.25</f>
        <v>-0.5</v>
      </c>
      <c r="F2019" s="0" t="n">
        <f aca="false">-1+B2019*0.25</f>
        <v>0.5</v>
      </c>
      <c r="G2019" s="0" t="n">
        <f aca="false">-1+C2019*0.25</f>
        <v>0.75</v>
      </c>
      <c r="H2019" s="0" t="n">
        <f aca="false">-1+D2019*0.25</f>
        <v>0.75</v>
      </c>
      <c r="I2019" s="0" t="n">
        <f aca="false">1</f>
        <v>1</v>
      </c>
      <c r="J2019" s="0" t="n">
        <f aca="false">E2019</f>
        <v>-0.5</v>
      </c>
      <c r="K2019" s="0" t="n">
        <f aca="false">F2019</f>
        <v>0.5</v>
      </c>
      <c r="L2019" s="0" t="n">
        <f aca="false">G2019</f>
        <v>0.75</v>
      </c>
      <c r="M2019" s="0" t="n">
        <f aca="false">H2019</f>
        <v>0.75</v>
      </c>
      <c r="N2019" s="0" t="n">
        <f aca="false">E2019*F2019</f>
        <v>-0.25</v>
      </c>
      <c r="O2019" s="0" t="n">
        <f aca="false">E2019*G2019</f>
        <v>-0.375</v>
      </c>
      <c r="P2019" s="0" t="n">
        <f aca="false">E2019*H2019</f>
        <v>-0.375</v>
      </c>
      <c r="Q2019" s="0" t="n">
        <f aca="false">F2019*G2019</f>
        <v>0.375</v>
      </c>
      <c r="R2019" s="0" t="n">
        <f aca="false">F2019*H2019</f>
        <v>0.375</v>
      </c>
      <c r="S2019" s="0" t="n">
        <f aca="false">G2019*H2019</f>
        <v>0.5625</v>
      </c>
      <c r="T2019" s="0" t="n">
        <f aca="false">E2019*E2019</f>
        <v>0.25</v>
      </c>
      <c r="U2019" s="0" t="n">
        <f aca="false">F2019*F2019</f>
        <v>0.25</v>
      </c>
      <c r="V2019" s="0" t="n">
        <f aca="false">G2019*G2019</f>
        <v>0.5625</v>
      </c>
      <c r="W2019" s="0" t="n">
        <f aca="false">H2019*H2019</f>
        <v>0.5625</v>
      </c>
      <c r="X2019" s="0" t="n">
        <f aca="false">SUMPRODUCT(I2019:W2019,_XtX!$B$96:$P$96)</f>
        <v>47.218608369883</v>
      </c>
      <c r="Y2019" s="0" t="n">
        <f aca="false">SUMPRODUCT(MMULT(I2019:W2019,_XtX!$B$78:$P$92),I2019:W2019)</f>
        <v>0.237862927174708</v>
      </c>
      <c r="Z2019" s="0" t="n">
        <f aca="false">04_回帰ANOVA!$K$19*04_回帰ANOVA!$K$14*SQRT(1+Y2019)</f>
        <v>1.45022260708756</v>
      </c>
      <c r="AA2019" s="0" t="n">
        <f aca="false">X2019-Z2019</f>
        <v>45.7683857627955</v>
      </c>
      <c r="AB2019" s="0" t="n">
        <f aca="false">X2019+Z2019</f>
        <v>48.6688309769706</v>
      </c>
      <c r="AC2019" s="54" t="b">
        <f aca="false">AND(E2019&gt;=01_因子設定!$L$5-0.000000001,E2019&lt;=01_因子設定!$M$5+0.000000001,F2019&gt;=01_因子設定!$L$6-0.000000001,F2019&lt;=01_因子設定!$M$6+0.000000001,G2019&gt;=01_因子設定!$L$7-0.000000001,G2019&lt;=01_因子設定!$M$7+0.000000001,H2019&gt;=01_因子設定!$L$8-0.000000001,H2019&lt;=01_因子設定!$M$8+0.000000001,IF(01_因子設定!$B$20="Box-Behnken",E2019^2+F2019^2+G2019^2+H2019^2&lt;=2+0.000000001,TRUE()))</f>
        <v>1</v>
      </c>
      <c r="AD2019" s="55" t="n">
        <f aca="false">IF(AC2019,IF(01_因子設定!$B$13="最大化",AA2019-01_因子設定!$B$14,IF(01_因子設定!$B$13="最小化",01_因子設定!$B$15-AB2019,MIN(AA2019-01_因子設定!$B$14,01_因子設定!$B$15-AB2019))),-1E+030)</f>
        <v>-0.731614237204539</v>
      </c>
      <c r="AE2019" s="55" t="n">
        <f aca="false">IF(AC2019,IF(01_因子設定!$B$13="最大化",X2019,IF(01_因子設定!$B$13="最小化",-X2019,-ABS(X2019-01_因子設定!$B$16))),-1E+030)</f>
        <v>47.218608369883</v>
      </c>
      <c r="AF2019" s="55" t="n">
        <f aca="false">AD2019+ROW()*0.000000001</f>
        <v>-0.731612218204539</v>
      </c>
      <c r="AG2019" s="55" t="n">
        <f aca="false">AE2019+ROW()*0.000000001</f>
        <v>47.218610388883</v>
      </c>
    </row>
    <row r="2020" customFormat="false" ht="15" hidden="false" customHeight="false" outlineLevel="0" collapsed="false">
      <c r="A2020" s="0" t="n">
        <v>2</v>
      </c>
      <c r="B2020" s="0" t="n">
        <v>6</v>
      </c>
      <c r="C2020" s="0" t="n">
        <v>7</v>
      </c>
      <c r="D2020" s="0" t="n">
        <v>8</v>
      </c>
      <c r="E2020" s="0" t="n">
        <f aca="false">-1+A2020*0.25</f>
        <v>-0.5</v>
      </c>
      <c r="F2020" s="0" t="n">
        <f aca="false">-1+B2020*0.25</f>
        <v>0.5</v>
      </c>
      <c r="G2020" s="0" t="n">
        <f aca="false">-1+C2020*0.25</f>
        <v>0.75</v>
      </c>
      <c r="H2020" s="0" t="n">
        <f aca="false">-1+D2020*0.25</f>
        <v>1</v>
      </c>
      <c r="I2020" s="0" t="n">
        <f aca="false">1</f>
        <v>1</v>
      </c>
      <c r="J2020" s="0" t="n">
        <f aca="false">E2020</f>
        <v>-0.5</v>
      </c>
      <c r="K2020" s="0" t="n">
        <f aca="false">F2020</f>
        <v>0.5</v>
      </c>
      <c r="L2020" s="0" t="n">
        <f aca="false">G2020</f>
        <v>0.75</v>
      </c>
      <c r="M2020" s="0" t="n">
        <f aca="false">H2020</f>
        <v>1</v>
      </c>
      <c r="N2020" s="0" t="n">
        <f aca="false">E2020*F2020</f>
        <v>-0.25</v>
      </c>
      <c r="O2020" s="0" t="n">
        <f aca="false">E2020*G2020</f>
        <v>-0.375</v>
      </c>
      <c r="P2020" s="0" t="n">
        <f aca="false">E2020*H2020</f>
        <v>-0.5</v>
      </c>
      <c r="Q2020" s="0" t="n">
        <f aca="false">F2020*G2020</f>
        <v>0.375</v>
      </c>
      <c r="R2020" s="0" t="n">
        <f aca="false">F2020*H2020</f>
        <v>0.5</v>
      </c>
      <c r="S2020" s="0" t="n">
        <f aca="false">G2020*H2020</f>
        <v>0.75</v>
      </c>
      <c r="T2020" s="0" t="n">
        <f aca="false">E2020*E2020</f>
        <v>0.25</v>
      </c>
      <c r="U2020" s="0" t="n">
        <f aca="false">F2020*F2020</f>
        <v>0.25</v>
      </c>
      <c r="V2020" s="0" t="n">
        <f aca="false">G2020*G2020</f>
        <v>0.5625</v>
      </c>
      <c r="W2020" s="0" t="n">
        <f aca="false">H2020*H2020</f>
        <v>1</v>
      </c>
      <c r="X2020" s="0" t="n">
        <f aca="false">SUMPRODUCT(I2020:W2020,_XtX!$B$96:$P$96)</f>
        <v>47.1643914473684</v>
      </c>
      <c r="Y2020" s="0" t="n">
        <f aca="false">SUMPRODUCT(MMULT(I2020:W2020,_XtX!$B$78:$P$92),I2020:W2020)</f>
        <v>0.42602110745614</v>
      </c>
      <c r="Z2020" s="0" t="n">
        <f aca="false">04_回帰ANOVA!$K$19*04_回帰ANOVA!$K$14*SQRT(1+Y2020)</f>
        <v>1.55654388501114</v>
      </c>
      <c r="AA2020" s="0" t="n">
        <f aca="false">X2020-Z2020</f>
        <v>45.6078475623573</v>
      </c>
      <c r="AB2020" s="0" t="n">
        <f aca="false">X2020+Z2020</f>
        <v>48.7209353323796</v>
      </c>
      <c r="AC2020" s="54" t="b">
        <f aca="false">AND(E2020&gt;=01_因子設定!$L$5-0.000000001,E2020&lt;=01_因子設定!$M$5+0.000000001,F2020&gt;=01_因子設定!$L$6-0.000000001,F2020&lt;=01_因子設定!$M$6+0.000000001,G2020&gt;=01_因子設定!$L$7-0.000000001,G2020&lt;=01_因子設定!$M$7+0.000000001,H2020&gt;=01_因子設定!$L$8-0.000000001,H2020&lt;=01_因子設定!$M$8+0.000000001,IF(01_因子設定!$B$20="Box-Behnken",E2020^2+F2020^2+G2020^2+H2020^2&lt;=2+0.000000001,TRUE()))</f>
        <v>1</v>
      </c>
      <c r="AD2020" s="55" t="n">
        <f aca="false">IF(AC2020,IF(01_因子設定!$B$13="最大化",AA2020-01_因子設定!$B$14,IF(01_因子設定!$B$13="最小化",01_因子設定!$B$15-AB2020,MIN(AA2020-01_因子設定!$B$14,01_因子設定!$B$15-AB2020))),-1E+030)</f>
        <v>-0.892152437642722</v>
      </c>
      <c r="AE2020" s="55" t="n">
        <f aca="false">IF(AC2020,IF(01_因子設定!$B$13="最大化",X2020,IF(01_因子設定!$B$13="最小化",-X2020,-ABS(X2020-01_因子設定!$B$16))),-1E+030)</f>
        <v>47.1643914473684</v>
      </c>
      <c r="AF2020" s="55" t="n">
        <f aca="false">AD2020+ROW()*0.000000001</f>
        <v>-0.892150417642721</v>
      </c>
      <c r="AG2020" s="55" t="n">
        <f aca="false">AE2020+ROW()*0.000000001</f>
        <v>47.1643934673684</v>
      </c>
    </row>
    <row r="2021" customFormat="false" ht="15" hidden="false" customHeight="false" outlineLevel="0" collapsed="false">
      <c r="A2021" s="0" t="n">
        <v>2</v>
      </c>
      <c r="B2021" s="0" t="n">
        <v>6</v>
      </c>
      <c r="C2021" s="0" t="n">
        <v>8</v>
      </c>
      <c r="D2021" s="0" t="n">
        <v>0</v>
      </c>
      <c r="E2021" s="0" t="n">
        <f aca="false">-1+A2021*0.25</f>
        <v>-0.5</v>
      </c>
      <c r="F2021" s="0" t="n">
        <f aca="false">-1+B2021*0.25</f>
        <v>0.5</v>
      </c>
      <c r="G2021" s="0" t="n">
        <f aca="false">-1+C2021*0.25</f>
        <v>1</v>
      </c>
      <c r="H2021" s="0" t="n">
        <f aca="false">-1+D2021*0.25</f>
        <v>-1</v>
      </c>
      <c r="I2021" s="0" t="n">
        <f aca="false">1</f>
        <v>1</v>
      </c>
      <c r="J2021" s="0" t="n">
        <f aca="false">E2021</f>
        <v>-0.5</v>
      </c>
      <c r="K2021" s="0" t="n">
        <f aca="false">F2021</f>
        <v>0.5</v>
      </c>
      <c r="L2021" s="0" t="n">
        <f aca="false">G2021</f>
        <v>1</v>
      </c>
      <c r="M2021" s="0" t="n">
        <f aca="false">H2021</f>
        <v>-1</v>
      </c>
      <c r="N2021" s="0" t="n">
        <f aca="false">E2021*F2021</f>
        <v>-0.25</v>
      </c>
      <c r="O2021" s="0" t="n">
        <f aca="false">E2021*G2021</f>
        <v>-0.5</v>
      </c>
      <c r="P2021" s="0" t="n">
        <f aca="false">E2021*H2021</f>
        <v>0.5</v>
      </c>
      <c r="Q2021" s="0" t="n">
        <f aca="false">F2021*G2021</f>
        <v>0.5</v>
      </c>
      <c r="R2021" s="0" t="n">
        <f aca="false">F2021*H2021</f>
        <v>-0.5</v>
      </c>
      <c r="S2021" s="0" t="n">
        <f aca="false">G2021*H2021</f>
        <v>-1</v>
      </c>
      <c r="T2021" s="0" t="n">
        <f aca="false">E2021*E2021</f>
        <v>0.25</v>
      </c>
      <c r="U2021" s="0" t="n">
        <f aca="false">F2021*F2021</f>
        <v>0.25</v>
      </c>
      <c r="V2021" s="0" t="n">
        <f aca="false">G2021*G2021</f>
        <v>1</v>
      </c>
      <c r="W2021" s="0" t="n">
        <f aca="false">H2021*H2021</f>
        <v>1</v>
      </c>
      <c r="X2021" s="0" t="n">
        <f aca="false">SUMPRODUCT(I2021:W2021,_XtX!$B$96:$P$96)</f>
        <v>46.2552266081871</v>
      </c>
      <c r="Y2021" s="0" t="n">
        <f aca="false">SUMPRODUCT(MMULT(I2021:W2021,_XtX!$B$78:$P$92),I2021:W2021)</f>
        <v>0.582488121345029</v>
      </c>
      <c r="Z2021" s="0" t="n">
        <f aca="false">04_回帰ANOVA!$K$19*04_回帰ANOVA!$K$14*SQRT(1+Y2021)</f>
        <v>1.63971595338287</v>
      </c>
      <c r="AA2021" s="0" t="n">
        <f aca="false">X2021-Z2021</f>
        <v>44.6155106548043</v>
      </c>
      <c r="AB2021" s="0" t="n">
        <f aca="false">X2021+Z2021</f>
        <v>47.89494256157</v>
      </c>
      <c r="AC2021" s="54" t="b">
        <f aca="false">AND(E2021&gt;=01_因子設定!$L$5-0.000000001,E2021&lt;=01_因子設定!$M$5+0.000000001,F2021&gt;=01_因子設定!$L$6-0.000000001,F2021&lt;=01_因子設定!$M$6+0.000000001,G2021&gt;=01_因子設定!$L$7-0.000000001,G2021&lt;=01_因子設定!$M$7+0.000000001,H2021&gt;=01_因子設定!$L$8-0.000000001,H2021&lt;=01_因子設定!$M$8+0.000000001,IF(01_因子設定!$B$20="Box-Behnken",E2021^2+F2021^2+G2021^2+H2021^2&lt;=2+0.000000001,TRUE()))</f>
        <v>1</v>
      </c>
      <c r="AD2021" s="55" t="n">
        <f aca="false">IF(AC2021,IF(01_因子設定!$B$13="最大化",AA2021-01_因子設定!$B$14,IF(01_因子設定!$B$13="最小化",01_因子設定!$B$15-AB2021,MIN(AA2021-01_因子設定!$B$14,01_因子設定!$B$15-AB2021))),-1E+030)</f>
        <v>-1.88448934519573</v>
      </c>
      <c r="AE2021" s="55" t="n">
        <f aca="false">IF(AC2021,IF(01_因子設定!$B$13="最大化",X2021,IF(01_因子設定!$B$13="最小化",-X2021,-ABS(X2021-01_因子設定!$B$16))),-1E+030)</f>
        <v>46.2552266081871</v>
      </c>
      <c r="AF2021" s="55" t="n">
        <f aca="false">AD2021+ROW()*0.000000001</f>
        <v>-1.88448732419573</v>
      </c>
      <c r="AG2021" s="55" t="n">
        <f aca="false">AE2021+ROW()*0.000000001</f>
        <v>46.2552286291871</v>
      </c>
    </row>
    <row r="2022" customFormat="false" ht="15" hidden="false" customHeight="false" outlineLevel="0" collapsed="false">
      <c r="A2022" s="0" t="n">
        <v>2</v>
      </c>
      <c r="B2022" s="0" t="n">
        <v>6</v>
      </c>
      <c r="C2022" s="0" t="n">
        <v>8</v>
      </c>
      <c r="D2022" s="0" t="n">
        <v>1</v>
      </c>
      <c r="E2022" s="0" t="n">
        <f aca="false">-1+A2022*0.25</f>
        <v>-0.5</v>
      </c>
      <c r="F2022" s="0" t="n">
        <f aca="false">-1+B2022*0.25</f>
        <v>0.5</v>
      </c>
      <c r="G2022" s="0" t="n">
        <f aca="false">-1+C2022*0.25</f>
        <v>1</v>
      </c>
      <c r="H2022" s="0" t="n">
        <f aca="false">-1+D2022*0.25</f>
        <v>-0.75</v>
      </c>
      <c r="I2022" s="0" t="n">
        <f aca="false">1</f>
        <v>1</v>
      </c>
      <c r="J2022" s="0" t="n">
        <f aca="false">E2022</f>
        <v>-0.5</v>
      </c>
      <c r="K2022" s="0" t="n">
        <f aca="false">F2022</f>
        <v>0.5</v>
      </c>
      <c r="L2022" s="0" t="n">
        <f aca="false">G2022</f>
        <v>1</v>
      </c>
      <c r="M2022" s="0" t="n">
        <f aca="false">H2022</f>
        <v>-0.75</v>
      </c>
      <c r="N2022" s="0" t="n">
        <f aca="false">E2022*F2022</f>
        <v>-0.25</v>
      </c>
      <c r="O2022" s="0" t="n">
        <f aca="false">E2022*G2022</f>
        <v>-0.5</v>
      </c>
      <c r="P2022" s="0" t="n">
        <f aca="false">E2022*H2022</f>
        <v>0.375</v>
      </c>
      <c r="Q2022" s="0" t="n">
        <f aca="false">F2022*G2022</f>
        <v>0.5</v>
      </c>
      <c r="R2022" s="0" t="n">
        <f aca="false">F2022*H2022</f>
        <v>-0.375</v>
      </c>
      <c r="S2022" s="0" t="n">
        <f aca="false">G2022*H2022</f>
        <v>-0.75</v>
      </c>
      <c r="T2022" s="0" t="n">
        <f aca="false">E2022*E2022</f>
        <v>0.25</v>
      </c>
      <c r="U2022" s="0" t="n">
        <f aca="false">F2022*F2022</f>
        <v>0.25</v>
      </c>
      <c r="V2022" s="0" t="n">
        <f aca="false">G2022*G2022</f>
        <v>1</v>
      </c>
      <c r="W2022" s="0" t="n">
        <f aca="false">H2022*H2022</f>
        <v>0.5625</v>
      </c>
      <c r="X2022" s="0" t="n">
        <f aca="false">SUMPRODUCT(I2022:W2022,_XtX!$B$96:$P$96)</f>
        <v>46.5536275584795</v>
      </c>
      <c r="Y2022" s="0" t="n">
        <f aca="false">SUMPRODUCT(MMULT(I2022:W2022,_XtX!$B$78:$P$92),I2022:W2022)</f>
        <v>0.42602110745614</v>
      </c>
      <c r="Z2022" s="0" t="n">
        <f aca="false">04_回帰ANOVA!$K$19*04_回帰ANOVA!$K$14*SQRT(1+Y2022)</f>
        <v>1.55654388501114</v>
      </c>
      <c r="AA2022" s="0" t="n">
        <f aca="false">X2022-Z2022</f>
        <v>44.9970836734684</v>
      </c>
      <c r="AB2022" s="0" t="n">
        <f aca="false">X2022+Z2022</f>
        <v>48.1101714434907</v>
      </c>
      <c r="AC2022" s="54" t="b">
        <f aca="false">AND(E2022&gt;=01_因子設定!$L$5-0.000000001,E2022&lt;=01_因子設定!$M$5+0.000000001,F2022&gt;=01_因子設定!$L$6-0.000000001,F2022&lt;=01_因子設定!$M$6+0.000000001,G2022&gt;=01_因子設定!$L$7-0.000000001,G2022&lt;=01_因子設定!$M$7+0.000000001,H2022&gt;=01_因子設定!$L$8-0.000000001,H2022&lt;=01_因子設定!$M$8+0.000000001,IF(01_因子設定!$B$20="Box-Behnken",E2022^2+F2022^2+G2022^2+H2022^2&lt;=2+0.000000001,TRUE()))</f>
        <v>1</v>
      </c>
      <c r="AD2022" s="55" t="n">
        <f aca="false">IF(AC2022,IF(01_因子設定!$B$13="最大化",AA2022-01_因子設定!$B$14,IF(01_因子設定!$B$13="最小化",01_因子設定!$B$15-AB2022,MIN(AA2022-01_因子設定!$B$14,01_因子設定!$B$15-AB2022))),-1E+030)</f>
        <v>-1.50291632653162</v>
      </c>
      <c r="AE2022" s="55" t="n">
        <f aca="false">IF(AC2022,IF(01_因子設定!$B$13="最大化",X2022,IF(01_因子設定!$B$13="最小化",-X2022,-ABS(X2022-01_因子設定!$B$16))),-1E+030)</f>
        <v>46.5536275584795</v>
      </c>
      <c r="AF2022" s="55" t="n">
        <f aca="false">AD2022+ROW()*0.000000001</f>
        <v>-1.50291430453162</v>
      </c>
      <c r="AG2022" s="55" t="n">
        <f aca="false">AE2022+ROW()*0.000000001</f>
        <v>46.5536295804795</v>
      </c>
    </row>
    <row r="2023" customFormat="false" ht="15" hidden="false" customHeight="false" outlineLevel="0" collapsed="false">
      <c r="A2023" s="0" t="n">
        <v>2</v>
      </c>
      <c r="B2023" s="0" t="n">
        <v>6</v>
      </c>
      <c r="C2023" s="0" t="n">
        <v>8</v>
      </c>
      <c r="D2023" s="0" t="n">
        <v>2</v>
      </c>
      <c r="E2023" s="0" t="n">
        <f aca="false">-1+A2023*0.25</f>
        <v>-0.5</v>
      </c>
      <c r="F2023" s="0" t="n">
        <f aca="false">-1+B2023*0.25</f>
        <v>0.5</v>
      </c>
      <c r="G2023" s="0" t="n">
        <f aca="false">-1+C2023*0.25</f>
        <v>1</v>
      </c>
      <c r="H2023" s="0" t="n">
        <f aca="false">-1+D2023*0.25</f>
        <v>-0.5</v>
      </c>
      <c r="I2023" s="0" t="n">
        <f aca="false">1</f>
        <v>1</v>
      </c>
      <c r="J2023" s="0" t="n">
        <f aca="false">E2023</f>
        <v>-0.5</v>
      </c>
      <c r="K2023" s="0" t="n">
        <f aca="false">F2023</f>
        <v>0.5</v>
      </c>
      <c r="L2023" s="0" t="n">
        <f aca="false">G2023</f>
        <v>1</v>
      </c>
      <c r="M2023" s="0" t="n">
        <f aca="false">H2023</f>
        <v>-0.5</v>
      </c>
      <c r="N2023" s="0" t="n">
        <f aca="false">E2023*F2023</f>
        <v>-0.25</v>
      </c>
      <c r="O2023" s="0" t="n">
        <f aca="false">E2023*G2023</f>
        <v>-0.5</v>
      </c>
      <c r="P2023" s="0" t="n">
        <f aca="false">E2023*H2023</f>
        <v>0.25</v>
      </c>
      <c r="Q2023" s="0" t="n">
        <f aca="false">F2023*G2023</f>
        <v>0.5</v>
      </c>
      <c r="R2023" s="0" t="n">
        <f aca="false">F2023*H2023</f>
        <v>-0.25</v>
      </c>
      <c r="S2023" s="0" t="n">
        <f aca="false">G2023*H2023</f>
        <v>-0.5</v>
      </c>
      <c r="T2023" s="0" t="n">
        <f aca="false">E2023*E2023</f>
        <v>0.25</v>
      </c>
      <c r="U2023" s="0" t="n">
        <f aca="false">F2023*F2023</f>
        <v>0.25</v>
      </c>
      <c r="V2023" s="0" t="n">
        <f aca="false">G2023*G2023</f>
        <v>1</v>
      </c>
      <c r="W2023" s="0" t="n">
        <f aca="false">H2023*H2023</f>
        <v>0.25</v>
      </c>
      <c r="X2023" s="0" t="n">
        <f aca="false">SUMPRODUCT(I2023:W2023,_XtX!$B$96:$P$96)</f>
        <v>46.804221491228</v>
      </c>
      <c r="Y2023" s="0" t="n">
        <f aca="false">SUMPRODUCT(MMULT(I2023:W2023,_XtX!$B$78:$P$92),I2023:W2023)</f>
        <v>0.404719480994152</v>
      </c>
      <c r="Z2023" s="0" t="n">
        <f aca="false">04_回帰ANOVA!$K$19*04_回帰ANOVA!$K$14*SQRT(1+Y2023)</f>
        <v>1.54487446697867</v>
      </c>
      <c r="AA2023" s="0" t="n">
        <f aca="false">X2023-Z2023</f>
        <v>45.2593470242494</v>
      </c>
      <c r="AB2023" s="0" t="n">
        <f aca="false">X2023+Z2023</f>
        <v>48.3490959582067</v>
      </c>
      <c r="AC2023" s="54" t="b">
        <f aca="false">AND(E2023&gt;=01_因子設定!$L$5-0.000000001,E2023&lt;=01_因子設定!$M$5+0.000000001,F2023&gt;=01_因子設定!$L$6-0.000000001,F2023&lt;=01_因子設定!$M$6+0.000000001,G2023&gt;=01_因子設定!$L$7-0.000000001,G2023&lt;=01_因子設定!$M$7+0.000000001,H2023&gt;=01_因子設定!$L$8-0.000000001,H2023&lt;=01_因子設定!$M$8+0.000000001,IF(01_因子設定!$B$20="Box-Behnken",E2023^2+F2023^2+G2023^2+H2023^2&lt;=2+0.000000001,TRUE()))</f>
        <v>1</v>
      </c>
      <c r="AD2023" s="55" t="n">
        <f aca="false">IF(AC2023,IF(01_因子設定!$B$13="最大化",AA2023-01_因子設定!$B$14,IF(01_因子設定!$B$13="最小化",01_因子設定!$B$15-AB2023,MIN(AA2023-01_因子設定!$B$14,01_因子設定!$B$15-AB2023))),-1E+030)</f>
        <v>-1.24065297575063</v>
      </c>
      <c r="AE2023" s="55" t="n">
        <f aca="false">IF(AC2023,IF(01_因子設定!$B$13="最大化",X2023,IF(01_因子設定!$B$13="最小化",-X2023,-ABS(X2023-01_因子設定!$B$16))),-1E+030)</f>
        <v>46.804221491228</v>
      </c>
      <c r="AF2023" s="55" t="n">
        <f aca="false">AD2023+ROW()*0.000000001</f>
        <v>-1.24065095275063</v>
      </c>
      <c r="AG2023" s="55" t="n">
        <f aca="false">AE2023+ROW()*0.000000001</f>
        <v>46.804223514228</v>
      </c>
    </row>
    <row r="2024" customFormat="false" ht="15" hidden="false" customHeight="false" outlineLevel="0" collapsed="false">
      <c r="A2024" s="0" t="n">
        <v>2</v>
      </c>
      <c r="B2024" s="0" t="n">
        <v>6</v>
      </c>
      <c r="C2024" s="0" t="n">
        <v>8</v>
      </c>
      <c r="D2024" s="0" t="n">
        <v>3</v>
      </c>
      <c r="E2024" s="0" t="n">
        <f aca="false">-1+A2024*0.25</f>
        <v>-0.5</v>
      </c>
      <c r="F2024" s="0" t="n">
        <f aca="false">-1+B2024*0.25</f>
        <v>0.5</v>
      </c>
      <c r="G2024" s="0" t="n">
        <f aca="false">-1+C2024*0.25</f>
        <v>1</v>
      </c>
      <c r="H2024" s="0" t="n">
        <f aca="false">-1+D2024*0.25</f>
        <v>-0.25</v>
      </c>
      <c r="I2024" s="0" t="n">
        <f aca="false">1</f>
        <v>1</v>
      </c>
      <c r="J2024" s="0" t="n">
        <f aca="false">E2024</f>
        <v>-0.5</v>
      </c>
      <c r="K2024" s="0" t="n">
        <f aca="false">F2024</f>
        <v>0.5</v>
      </c>
      <c r="L2024" s="0" t="n">
        <f aca="false">G2024</f>
        <v>1</v>
      </c>
      <c r="M2024" s="0" t="n">
        <f aca="false">H2024</f>
        <v>-0.25</v>
      </c>
      <c r="N2024" s="0" t="n">
        <f aca="false">E2024*F2024</f>
        <v>-0.25</v>
      </c>
      <c r="O2024" s="0" t="n">
        <f aca="false">E2024*G2024</f>
        <v>-0.5</v>
      </c>
      <c r="P2024" s="0" t="n">
        <f aca="false">E2024*H2024</f>
        <v>0.125</v>
      </c>
      <c r="Q2024" s="0" t="n">
        <f aca="false">F2024*G2024</f>
        <v>0.5</v>
      </c>
      <c r="R2024" s="0" t="n">
        <f aca="false">F2024*H2024</f>
        <v>-0.125</v>
      </c>
      <c r="S2024" s="0" t="n">
        <f aca="false">G2024*H2024</f>
        <v>-0.25</v>
      </c>
      <c r="T2024" s="0" t="n">
        <f aca="false">E2024*E2024</f>
        <v>0.25</v>
      </c>
      <c r="U2024" s="0" t="n">
        <f aca="false">F2024*F2024</f>
        <v>0.25</v>
      </c>
      <c r="V2024" s="0" t="n">
        <f aca="false">G2024*G2024</f>
        <v>1</v>
      </c>
      <c r="W2024" s="0" t="n">
        <f aca="false">H2024*H2024</f>
        <v>0.0625</v>
      </c>
      <c r="X2024" s="0" t="n">
        <f aca="false">SUMPRODUCT(I2024:W2024,_XtX!$B$96:$P$96)</f>
        <v>47.0070084064327</v>
      </c>
      <c r="Y2024" s="0" t="n">
        <f aca="false">SUMPRODUCT(MMULT(I2024:W2024,_XtX!$B$78:$P$92),I2024:W2024)</f>
        <v>0.428122715643275</v>
      </c>
      <c r="Z2024" s="0" t="n">
        <f aca="false">04_回帰ANOVA!$K$19*04_回帰ANOVA!$K$14*SQRT(1+Y2024)</f>
        <v>1.55769044623229</v>
      </c>
      <c r="AA2024" s="0" t="n">
        <f aca="false">X2024-Z2024</f>
        <v>45.4493179602004</v>
      </c>
      <c r="AB2024" s="0" t="n">
        <f aca="false">X2024+Z2024</f>
        <v>48.564698852665</v>
      </c>
      <c r="AC2024" s="54" t="b">
        <f aca="false">AND(E2024&gt;=01_因子設定!$L$5-0.000000001,E2024&lt;=01_因子設定!$M$5+0.000000001,F2024&gt;=01_因子設定!$L$6-0.000000001,F2024&lt;=01_因子設定!$M$6+0.000000001,G2024&gt;=01_因子設定!$L$7-0.000000001,G2024&lt;=01_因子設定!$M$7+0.000000001,H2024&gt;=01_因子設定!$L$8-0.000000001,H2024&lt;=01_因子設定!$M$8+0.000000001,IF(01_因子設定!$B$20="Box-Behnken",E2024^2+F2024^2+G2024^2+H2024^2&lt;=2+0.000000001,TRUE()))</f>
        <v>1</v>
      </c>
      <c r="AD2024" s="55" t="n">
        <f aca="false">IF(AC2024,IF(01_因子設定!$B$13="最大化",AA2024-01_因子設定!$B$14,IF(01_因子設定!$B$13="最小化",01_因子設定!$B$15-AB2024,MIN(AA2024-01_因子設定!$B$14,01_因子設定!$B$15-AB2024))),-1E+030)</f>
        <v>-1.05068203979958</v>
      </c>
      <c r="AE2024" s="55" t="n">
        <f aca="false">IF(AC2024,IF(01_因子設定!$B$13="最大化",X2024,IF(01_因子設定!$B$13="最小化",-X2024,-ABS(X2024-01_因子設定!$B$16))),-1E+030)</f>
        <v>47.0070084064327</v>
      </c>
      <c r="AF2024" s="55" t="n">
        <f aca="false">AD2024+ROW()*0.000000001</f>
        <v>-1.05068001579958</v>
      </c>
      <c r="AG2024" s="55" t="n">
        <f aca="false">AE2024+ROW()*0.000000001</f>
        <v>47.0070104304327</v>
      </c>
    </row>
    <row r="2025" customFormat="false" ht="15" hidden="false" customHeight="false" outlineLevel="0" collapsed="false">
      <c r="A2025" s="0" t="n">
        <v>2</v>
      </c>
      <c r="B2025" s="0" t="n">
        <v>6</v>
      </c>
      <c r="C2025" s="0" t="n">
        <v>8</v>
      </c>
      <c r="D2025" s="0" t="n">
        <v>4</v>
      </c>
      <c r="E2025" s="0" t="n">
        <f aca="false">-1+A2025*0.25</f>
        <v>-0.5</v>
      </c>
      <c r="F2025" s="0" t="n">
        <f aca="false">-1+B2025*0.25</f>
        <v>0.5</v>
      </c>
      <c r="G2025" s="0" t="n">
        <f aca="false">-1+C2025*0.25</f>
        <v>1</v>
      </c>
      <c r="H2025" s="0" t="n">
        <f aca="false">-1+D2025*0.25</f>
        <v>0</v>
      </c>
      <c r="I2025" s="0" t="n">
        <f aca="false">1</f>
        <v>1</v>
      </c>
      <c r="J2025" s="0" t="n">
        <f aca="false">E2025</f>
        <v>-0.5</v>
      </c>
      <c r="K2025" s="0" t="n">
        <f aca="false">F2025</f>
        <v>0.5</v>
      </c>
      <c r="L2025" s="0" t="n">
        <f aca="false">G2025</f>
        <v>1</v>
      </c>
      <c r="M2025" s="0" t="n">
        <f aca="false">H2025</f>
        <v>0</v>
      </c>
      <c r="N2025" s="0" t="n">
        <f aca="false">E2025*F2025</f>
        <v>-0.25</v>
      </c>
      <c r="O2025" s="0" t="n">
        <f aca="false">E2025*G2025</f>
        <v>-0.5</v>
      </c>
      <c r="P2025" s="0" t="n">
        <f aca="false">E2025*H2025</f>
        <v>-0</v>
      </c>
      <c r="Q2025" s="0" t="n">
        <f aca="false">F2025*G2025</f>
        <v>0.5</v>
      </c>
      <c r="R2025" s="0" t="n">
        <f aca="false">F2025*H2025</f>
        <v>0</v>
      </c>
      <c r="S2025" s="0" t="n">
        <f aca="false">G2025*H2025</f>
        <v>0</v>
      </c>
      <c r="T2025" s="0" t="n">
        <f aca="false">E2025*E2025</f>
        <v>0.25</v>
      </c>
      <c r="U2025" s="0" t="n">
        <f aca="false">F2025*F2025</f>
        <v>0.25</v>
      </c>
      <c r="V2025" s="0" t="n">
        <f aca="false">G2025*G2025</f>
        <v>1</v>
      </c>
      <c r="W2025" s="0" t="n">
        <f aca="false">H2025*H2025</f>
        <v>0</v>
      </c>
      <c r="X2025" s="0" t="n">
        <f aca="false">SUMPRODUCT(I2025:W2025,_XtX!$B$96:$P$96)</f>
        <v>47.1619883040935</v>
      </c>
      <c r="Y2025" s="0" t="n">
        <f aca="false">SUMPRODUCT(MMULT(I2025:W2025,_XtX!$B$78:$P$92),I2025:W2025)</f>
        <v>0.441954495614035</v>
      </c>
      <c r="Z2025" s="0" t="n">
        <f aca="false">04_回帰ANOVA!$K$19*04_回帰ANOVA!$K$14*SQRT(1+Y2025)</f>
        <v>1.56521560968066</v>
      </c>
      <c r="AA2025" s="0" t="n">
        <f aca="false">X2025-Z2025</f>
        <v>45.5967726944129</v>
      </c>
      <c r="AB2025" s="0" t="n">
        <f aca="false">X2025+Z2025</f>
        <v>48.7272039137742</v>
      </c>
      <c r="AC2025" s="54" t="b">
        <f aca="false">AND(E2025&gt;=01_因子設定!$L$5-0.000000001,E2025&lt;=01_因子設定!$M$5+0.000000001,F2025&gt;=01_因子設定!$L$6-0.000000001,F2025&lt;=01_因子設定!$M$6+0.000000001,G2025&gt;=01_因子設定!$L$7-0.000000001,G2025&lt;=01_因子設定!$M$7+0.000000001,H2025&gt;=01_因子設定!$L$8-0.000000001,H2025&lt;=01_因子設定!$M$8+0.000000001,IF(01_因子設定!$B$20="Box-Behnken",E2025^2+F2025^2+G2025^2+H2025^2&lt;=2+0.000000001,TRUE()))</f>
        <v>1</v>
      </c>
      <c r="AD2025" s="55" t="n">
        <f aca="false">IF(AC2025,IF(01_因子設定!$B$13="最大化",AA2025-01_因子設定!$B$14,IF(01_因子設定!$B$13="最小化",01_因子設定!$B$15-AB2025,MIN(AA2025-01_因子設定!$B$14,01_因子設定!$B$15-AB2025))),-1E+030)</f>
        <v>-0.903227305587137</v>
      </c>
      <c r="AE2025" s="55" t="n">
        <f aca="false">IF(AC2025,IF(01_因子設定!$B$13="最大化",X2025,IF(01_因子設定!$B$13="最小化",-X2025,-ABS(X2025-01_因子設定!$B$16))),-1E+030)</f>
        <v>47.1619883040935</v>
      </c>
      <c r="AF2025" s="55" t="n">
        <f aca="false">AD2025+ROW()*0.000000001</f>
        <v>-0.903225280587137</v>
      </c>
      <c r="AG2025" s="55" t="n">
        <f aca="false">AE2025+ROW()*0.000000001</f>
        <v>47.1619903290935</v>
      </c>
    </row>
    <row r="2026" customFormat="false" ht="15" hidden="false" customHeight="false" outlineLevel="0" collapsed="false">
      <c r="A2026" s="0" t="n">
        <v>2</v>
      </c>
      <c r="B2026" s="0" t="n">
        <v>6</v>
      </c>
      <c r="C2026" s="0" t="n">
        <v>8</v>
      </c>
      <c r="D2026" s="0" t="n">
        <v>5</v>
      </c>
      <c r="E2026" s="0" t="n">
        <f aca="false">-1+A2026*0.25</f>
        <v>-0.5</v>
      </c>
      <c r="F2026" s="0" t="n">
        <f aca="false">-1+B2026*0.25</f>
        <v>0.5</v>
      </c>
      <c r="G2026" s="0" t="n">
        <f aca="false">-1+C2026*0.25</f>
        <v>1</v>
      </c>
      <c r="H2026" s="0" t="n">
        <f aca="false">-1+D2026*0.25</f>
        <v>0.25</v>
      </c>
      <c r="I2026" s="0" t="n">
        <f aca="false">1</f>
        <v>1</v>
      </c>
      <c r="J2026" s="0" t="n">
        <f aca="false">E2026</f>
        <v>-0.5</v>
      </c>
      <c r="K2026" s="0" t="n">
        <f aca="false">F2026</f>
        <v>0.5</v>
      </c>
      <c r="L2026" s="0" t="n">
        <f aca="false">G2026</f>
        <v>1</v>
      </c>
      <c r="M2026" s="0" t="n">
        <f aca="false">H2026</f>
        <v>0.25</v>
      </c>
      <c r="N2026" s="0" t="n">
        <f aca="false">E2026*F2026</f>
        <v>-0.25</v>
      </c>
      <c r="O2026" s="0" t="n">
        <f aca="false">E2026*G2026</f>
        <v>-0.5</v>
      </c>
      <c r="P2026" s="0" t="n">
        <f aca="false">E2026*H2026</f>
        <v>-0.125</v>
      </c>
      <c r="Q2026" s="0" t="n">
        <f aca="false">F2026*G2026</f>
        <v>0.5</v>
      </c>
      <c r="R2026" s="0" t="n">
        <f aca="false">F2026*H2026</f>
        <v>0.125</v>
      </c>
      <c r="S2026" s="0" t="n">
        <f aca="false">G2026*H2026</f>
        <v>0.25</v>
      </c>
      <c r="T2026" s="0" t="n">
        <f aca="false">E2026*E2026</f>
        <v>0.25</v>
      </c>
      <c r="U2026" s="0" t="n">
        <f aca="false">F2026*F2026</f>
        <v>0.25</v>
      </c>
      <c r="V2026" s="0" t="n">
        <f aca="false">G2026*G2026</f>
        <v>1</v>
      </c>
      <c r="W2026" s="0" t="n">
        <f aca="false">H2026*H2026</f>
        <v>0.0625</v>
      </c>
      <c r="X2026" s="0" t="n">
        <f aca="false">SUMPRODUCT(I2026:W2026,_XtX!$B$96:$P$96)</f>
        <v>47.2691611842105</v>
      </c>
      <c r="Y2026" s="0" t="n">
        <f aca="false">SUMPRODUCT(MMULT(I2026:W2026,_XtX!$B$78:$P$92),I2026:W2026)</f>
        <v>0.428122715643275</v>
      </c>
      <c r="Z2026" s="0" t="n">
        <f aca="false">04_回帰ANOVA!$K$19*04_回帰ANOVA!$K$14*SQRT(1+Y2026)</f>
        <v>1.55769044623229</v>
      </c>
      <c r="AA2026" s="0" t="n">
        <f aca="false">X2026-Z2026</f>
        <v>45.7114707379782</v>
      </c>
      <c r="AB2026" s="0" t="n">
        <f aca="false">X2026+Z2026</f>
        <v>48.8268516304428</v>
      </c>
      <c r="AC2026" s="54" t="b">
        <f aca="false">AND(E2026&gt;=01_因子設定!$L$5-0.000000001,E2026&lt;=01_因子設定!$M$5+0.000000001,F2026&gt;=01_因子設定!$L$6-0.000000001,F2026&lt;=01_因子設定!$M$6+0.000000001,G2026&gt;=01_因子設定!$L$7-0.000000001,G2026&lt;=01_因子設定!$M$7+0.000000001,H2026&gt;=01_因子設定!$L$8-0.000000001,H2026&lt;=01_因子設定!$M$8+0.000000001,IF(01_因子設定!$B$20="Box-Behnken",E2026^2+F2026^2+G2026^2+H2026^2&lt;=2+0.000000001,TRUE()))</f>
        <v>1</v>
      </c>
      <c r="AD2026" s="55" t="n">
        <f aca="false">IF(AC2026,IF(01_因子設定!$B$13="最大化",AA2026-01_因子設定!$B$14,IF(01_因子設定!$B$13="最小化",01_因子設定!$B$15-AB2026,MIN(AA2026-01_因子設定!$B$14,01_因子設定!$B$15-AB2026))),-1E+030)</f>
        <v>-0.788529262021804</v>
      </c>
      <c r="AE2026" s="55" t="n">
        <f aca="false">IF(AC2026,IF(01_因子設定!$B$13="最大化",X2026,IF(01_因子設定!$B$13="最小化",-X2026,-ABS(X2026-01_因子設定!$B$16))),-1E+030)</f>
        <v>47.2691611842105</v>
      </c>
      <c r="AF2026" s="55" t="n">
        <f aca="false">AD2026+ROW()*0.000000001</f>
        <v>-0.788527236021804</v>
      </c>
      <c r="AG2026" s="55" t="n">
        <f aca="false">AE2026+ROW()*0.000000001</f>
        <v>47.2691632102105</v>
      </c>
    </row>
    <row r="2027" customFormat="false" ht="15" hidden="false" customHeight="false" outlineLevel="0" collapsed="false">
      <c r="A2027" s="0" t="n">
        <v>2</v>
      </c>
      <c r="B2027" s="0" t="n">
        <v>6</v>
      </c>
      <c r="C2027" s="0" t="n">
        <v>8</v>
      </c>
      <c r="D2027" s="0" t="n">
        <v>6</v>
      </c>
      <c r="E2027" s="0" t="n">
        <f aca="false">-1+A2027*0.25</f>
        <v>-0.5</v>
      </c>
      <c r="F2027" s="0" t="n">
        <f aca="false">-1+B2027*0.25</f>
        <v>0.5</v>
      </c>
      <c r="G2027" s="0" t="n">
        <f aca="false">-1+C2027*0.25</f>
        <v>1</v>
      </c>
      <c r="H2027" s="0" t="n">
        <f aca="false">-1+D2027*0.25</f>
        <v>0.5</v>
      </c>
      <c r="I2027" s="0" t="n">
        <f aca="false">1</f>
        <v>1</v>
      </c>
      <c r="J2027" s="0" t="n">
        <f aca="false">E2027</f>
        <v>-0.5</v>
      </c>
      <c r="K2027" s="0" t="n">
        <f aca="false">F2027</f>
        <v>0.5</v>
      </c>
      <c r="L2027" s="0" t="n">
        <f aca="false">G2027</f>
        <v>1</v>
      </c>
      <c r="M2027" s="0" t="n">
        <f aca="false">H2027</f>
        <v>0.5</v>
      </c>
      <c r="N2027" s="0" t="n">
        <f aca="false">E2027*F2027</f>
        <v>-0.25</v>
      </c>
      <c r="O2027" s="0" t="n">
        <f aca="false">E2027*G2027</f>
        <v>-0.5</v>
      </c>
      <c r="P2027" s="0" t="n">
        <f aca="false">E2027*H2027</f>
        <v>-0.25</v>
      </c>
      <c r="Q2027" s="0" t="n">
        <f aca="false">F2027*G2027</f>
        <v>0.5</v>
      </c>
      <c r="R2027" s="0" t="n">
        <f aca="false">F2027*H2027</f>
        <v>0.25</v>
      </c>
      <c r="S2027" s="0" t="n">
        <f aca="false">G2027*H2027</f>
        <v>0.5</v>
      </c>
      <c r="T2027" s="0" t="n">
        <f aca="false">E2027*E2027</f>
        <v>0.25</v>
      </c>
      <c r="U2027" s="0" t="n">
        <f aca="false">F2027*F2027</f>
        <v>0.25</v>
      </c>
      <c r="V2027" s="0" t="n">
        <f aca="false">G2027*G2027</f>
        <v>1</v>
      </c>
      <c r="W2027" s="0" t="n">
        <f aca="false">H2027*H2027</f>
        <v>0.25</v>
      </c>
      <c r="X2027" s="0" t="n">
        <f aca="false">SUMPRODUCT(I2027:W2027,_XtX!$B$96:$P$96)</f>
        <v>47.3285270467836</v>
      </c>
      <c r="Y2027" s="0" t="n">
        <f aca="false">SUMPRODUCT(MMULT(I2027:W2027,_XtX!$B$78:$P$92),I2027:W2027)</f>
        <v>0.404719480994152</v>
      </c>
      <c r="Z2027" s="0" t="n">
        <f aca="false">04_回帰ANOVA!$K$19*04_回帰ANOVA!$K$14*SQRT(1+Y2027)</f>
        <v>1.54487446697867</v>
      </c>
      <c r="AA2027" s="0" t="n">
        <f aca="false">X2027-Z2027</f>
        <v>45.7836525798049</v>
      </c>
      <c r="AB2027" s="0" t="n">
        <f aca="false">X2027+Z2027</f>
        <v>48.8734015137623</v>
      </c>
      <c r="AC2027" s="54" t="b">
        <f aca="false">AND(E2027&gt;=01_因子設定!$L$5-0.000000001,E2027&lt;=01_因子設定!$M$5+0.000000001,F2027&gt;=01_因子設定!$L$6-0.000000001,F2027&lt;=01_因子設定!$M$6+0.000000001,G2027&gt;=01_因子設定!$L$7-0.000000001,G2027&lt;=01_因子設定!$M$7+0.000000001,H2027&gt;=01_因子設定!$L$8-0.000000001,H2027&lt;=01_因子設定!$M$8+0.000000001,IF(01_因子設定!$B$20="Box-Behnken",E2027^2+F2027^2+G2027^2+H2027^2&lt;=2+0.000000001,TRUE()))</f>
        <v>1</v>
      </c>
      <c r="AD2027" s="55" t="n">
        <f aca="false">IF(AC2027,IF(01_因子設定!$B$13="最大化",AA2027-01_因子設定!$B$14,IF(01_因子設定!$B$13="最小化",01_因子設定!$B$15-AB2027,MIN(AA2027-01_因子設定!$B$14,01_因子設定!$B$15-AB2027))),-1E+030)</f>
        <v>-0.716347420195078</v>
      </c>
      <c r="AE2027" s="55" t="n">
        <f aca="false">IF(AC2027,IF(01_因子設定!$B$13="最大化",X2027,IF(01_因子設定!$B$13="最小化",-X2027,-ABS(X2027-01_因子設定!$B$16))),-1E+030)</f>
        <v>47.3285270467836</v>
      </c>
      <c r="AF2027" s="55" t="n">
        <f aca="false">AD2027+ROW()*0.000000001</f>
        <v>-0.716345393195078</v>
      </c>
      <c r="AG2027" s="55" t="n">
        <f aca="false">AE2027+ROW()*0.000000001</f>
        <v>47.3285290737836</v>
      </c>
    </row>
    <row r="2028" customFormat="false" ht="15" hidden="false" customHeight="false" outlineLevel="0" collapsed="false">
      <c r="A2028" s="0" t="n">
        <v>2</v>
      </c>
      <c r="B2028" s="0" t="n">
        <v>6</v>
      </c>
      <c r="C2028" s="0" t="n">
        <v>8</v>
      </c>
      <c r="D2028" s="0" t="n">
        <v>7</v>
      </c>
      <c r="E2028" s="0" t="n">
        <f aca="false">-1+A2028*0.25</f>
        <v>-0.5</v>
      </c>
      <c r="F2028" s="0" t="n">
        <f aca="false">-1+B2028*0.25</f>
        <v>0.5</v>
      </c>
      <c r="G2028" s="0" t="n">
        <f aca="false">-1+C2028*0.25</f>
        <v>1</v>
      </c>
      <c r="H2028" s="0" t="n">
        <f aca="false">-1+D2028*0.25</f>
        <v>0.75</v>
      </c>
      <c r="I2028" s="0" t="n">
        <f aca="false">1</f>
        <v>1</v>
      </c>
      <c r="J2028" s="0" t="n">
        <f aca="false">E2028</f>
        <v>-0.5</v>
      </c>
      <c r="K2028" s="0" t="n">
        <f aca="false">F2028</f>
        <v>0.5</v>
      </c>
      <c r="L2028" s="0" t="n">
        <f aca="false">G2028</f>
        <v>1</v>
      </c>
      <c r="M2028" s="0" t="n">
        <f aca="false">H2028</f>
        <v>0.75</v>
      </c>
      <c r="N2028" s="0" t="n">
        <f aca="false">E2028*F2028</f>
        <v>-0.25</v>
      </c>
      <c r="O2028" s="0" t="n">
        <f aca="false">E2028*G2028</f>
        <v>-0.5</v>
      </c>
      <c r="P2028" s="0" t="n">
        <f aca="false">E2028*H2028</f>
        <v>-0.375</v>
      </c>
      <c r="Q2028" s="0" t="n">
        <f aca="false">F2028*G2028</f>
        <v>0.5</v>
      </c>
      <c r="R2028" s="0" t="n">
        <f aca="false">F2028*H2028</f>
        <v>0.375</v>
      </c>
      <c r="S2028" s="0" t="n">
        <f aca="false">G2028*H2028</f>
        <v>0.75</v>
      </c>
      <c r="T2028" s="0" t="n">
        <f aca="false">E2028*E2028</f>
        <v>0.25</v>
      </c>
      <c r="U2028" s="0" t="n">
        <f aca="false">F2028*F2028</f>
        <v>0.25</v>
      </c>
      <c r="V2028" s="0" t="n">
        <f aca="false">G2028*G2028</f>
        <v>1</v>
      </c>
      <c r="W2028" s="0" t="n">
        <f aca="false">H2028*H2028</f>
        <v>0.5625</v>
      </c>
      <c r="X2028" s="0" t="n">
        <f aca="false">SUMPRODUCT(I2028:W2028,_XtX!$B$96:$P$96)</f>
        <v>47.3400858918129</v>
      </c>
      <c r="Y2028" s="0" t="n">
        <f aca="false">SUMPRODUCT(MMULT(I2028:W2028,_XtX!$B$78:$P$92),I2028:W2028)</f>
        <v>0.42602110745614</v>
      </c>
      <c r="Z2028" s="0" t="n">
        <f aca="false">04_回帰ANOVA!$K$19*04_回帰ANOVA!$K$14*SQRT(1+Y2028)</f>
        <v>1.55654388501114</v>
      </c>
      <c r="AA2028" s="0" t="n">
        <f aca="false">X2028-Z2028</f>
        <v>45.7835420068017</v>
      </c>
      <c r="AB2028" s="0" t="n">
        <f aca="false">X2028+Z2028</f>
        <v>48.896629776824</v>
      </c>
      <c r="AC2028" s="54" t="b">
        <f aca="false">AND(E2028&gt;=01_因子設定!$L$5-0.000000001,E2028&lt;=01_因子設定!$M$5+0.000000001,F2028&gt;=01_因子設定!$L$6-0.000000001,F2028&lt;=01_因子設定!$M$6+0.000000001,G2028&gt;=01_因子設定!$L$7-0.000000001,G2028&lt;=01_因子設定!$M$7+0.000000001,H2028&gt;=01_因子設定!$L$8-0.000000001,H2028&lt;=01_因子設定!$M$8+0.000000001,IF(01_因子設定!$B$20="Box-Behnken",E2028^2+F2028^2+G2028^2+H2028^2&lt;=2+0.000000001,TRUE()))</f>
        <v>1</v>
      </c>
      <c r="AD2028" s="55" t="n">
        <f aca="false">IF(AC2028,IF(01_因子設定!$B$13="最大化",AA2028-01_因子設定!$B$14,IF(01_因子設定!$B$13="最小化",01_因子設定!$B$15-AB2028,MIN(AA2028-01_因子設定!$B$14,01_因子設定!$B$15-AB2028))),-1E+030)</f>
        <v>-0.71645799319829</v>
      </c>
      <c r="AE2028" s="55" t="n">
        <f aca="false">IF(AC2028,IF(01_因子設定!$B$13="最大化",X2028,IF(01_因子設定!$B$13="最小化",-X2028,-ABS(X2028-01_因子設定!$B$16))),-1E+030)</f>
        <v>47.3400858918129</v>
      </c>
      <c r="AF2028" s="55" t="n">
        <f aca="false">AD2028+ROW()*0.000000001</f>
        <v>-0.71645596519829</v>
      </c>
      <c r="AG2028" s="55" t="n">
        <f aca="false">AE2028+ROW()*0.000000001</f>
        <v>47.3400879198128</v>
      </c>
    </row>
    <row r="2029" customFormat="false" ht="15" hidden="false" customHeight="false" outlineLevel="0" collapsed="false">
      <c r="A2029" s="0" t="n">
        <v>2</v>
      </c>
      <c r="B2029" s="0" t="n">
        <v>6</v>
      </c>
      <c r="C2029" s="0" t="n">
        <v>8</v>
      </c>
      <c r="D2029" s="0" t="n">
        <v>8</v>
      </c>
      <c r="E2029" s="0" t="n">
        <f aca="false">-1+A2029*0.25</f>
        <v>-0.5</v>
      </c>
      <c r="F2029" s="0" t="n">
        <f aca="false">-1+B2029*0.25</f>
        <v>0.5</v>
      </c>
      <c r="G2029" s="0" t="n">
        <f aca="false">-1+C2029*0.25</f>
        <v>1</v>
      </c>
      <c r="H2029" s="0" t="n">
        <f aca="false">-1+D2029*0.25</f>
        <v>1</v>
      </c>
      <c r="I2029" s="0" t="n">
        <f aca="false">1</f>
        <v>1</v>
      </c>
      <c r="J2029" s="0" t="n">
        <f aca="false">E2029</f>
        <v>-0.5</v>
      </c>
      <c r="K2029" s="0" t="n">
        <f aca="false">F2029</f>
        <v>0.5</v>
      </c>
      <c r="L2029" s="0" t="n">
        <f aca="false">G2029</f>
        <v>1</v>
      </c>
      <c r="M2029" s="0" t="n">
        <f aca="false">H2029</f>
        <v>1</v>
      </c>
      <c r="N2029" s="0" t="n">
        <f aca="false">E2029*F2029</f>
        <v>-0.25</v>
      </c>
      <c r="O2029" s="0" t="n">
        <f aca="false">E2029*G2029</f>
        <v>-0.5</v>
      </c>
      <c r="P2029" s="0" t="n">
        <f aca="false">E2029*H2029</f>
        <v>-0.5</v>
      </c>
      <c r="Q2029" s="0" t="n">
        <f aca="false">F2029*G2029</f>
        <v>0.5</v>
      </c>
      <c r="R2029" s="0" t="n">
        <f aca="false">F2029*H2029</f>
        <v>0.5</v>
      </c>
      <c r="S2029" s="0" t="n">
        <f aca="false">G2029*H2029</f>
        <v>1</v>
      </c>
      <c r="T2029" s="0" t="n">
        <f aca="false">E2029*E2029</f>
        <v>0.25</v>
      </c>
      <c r="U2029" s="0" t="n">
        <f aca="false">F2029*F2029</f>
        <v>0.25</v>
      </c>
      <c r="V2029" s="0" t="n">
        <f aca="false">G2029*G2029</f>
        <v>1</v>
      </c>
      <c r="W2029" s="0" t="n">
        <f aca="false">H2029*H2029</f>
        <v>1</v>
      </c>
      <c r="X2029" s="0" t="n">
        <f aca="false">SUMPRODUCT(I2029:W2029,_XtX!$B$96:$P$96)</f>
        <v>47.3038377192982</v>
      </c>
      <c r="Y2029" s="0" t="n">
        <f aca="false">SUMPRODUCT(MMULT(I2029:W2029,_XtX!$B$78:$P$92),I2029:W2029)</f>
        <v>0.582488121345029</v>
      </c>
      <c r="Z2029" s="0" t="n">
        <f aca="false">04_回帰ANOVA!$K$19*04_回帰ANOVA!$K$14*SQRT(1+Y2029)</f>
        <v>1.63971595338287</v>
      </c>
      <c r="AA2029" s="0" t="n">
        <f aca="false">X2029-Z2029</f>
        <v>45.6641217659154</v>
      </c>
      <c r="AB2029" s="0" t="n">
        <f aca="false">X2029+Z2029</f>
        <v>48.9435536726811</v>
      </c>
      <c r="AC2029" s="54" t="b">
        <f aca="false">AND(E2029&gt;=01_因子設定!$L$5-0.000000001,E2029&lt;=01_因子設定!$M$5+0.000000001,F2029&gt;=01_因子設定!$L$6-0.000000001,F2029&lt;=01_因子設定!$M$6+0.000000001,G2029&gt;=01_因子設定!$L$7-0.000000001,G2029&lt;=01_因子設定!$M$7+0.000000001,H2029&gt;=01_因子設定!$L$8-0.000000001,H2029&lt;=01_因子設定!$M$8+0.000000001,IF(01_因子設定!$B$20="Box-Behnken",E2029^2+F2029^2+G2029^2+H2029^2&lt;=2+0.000000001,TRUE()))</f>
        <v>1</v>
      </c>
      <c r="AD2029" s="55" t="n">
        <f aca="false">IF(AC2029,IF(01_因子設定!$B$13="最大化",AA2029-01_因子設定!$B$14,IF(01_因子設定!$B$13="最小化",01_因子設定!$B$15-AB2029,MIN(AA2029-01_因子設定!$B$14,01_因子設定!$B$15-AB2029))),-1E+030)</f>
        <v>-0.835878234084625</v>
      </c>
      <c r="AE2029" s="55" t="n">
        <f aca="false">IF(AC2029,IF(01_因子設定!$B$13="最大化",X2029,IF(01_因子設定!$B$13="最小化",-X2029,-ABS(X2029-01_因子設定!$B$16))),-1E+030)</f>
        <v>47.3038377192982</v>
      </c>
      <c r="AF2029" s="55" t="n">
        <f aca="false">AD2029+ROW()*0.000000001</f>
        <v>-0.835876205084625</v>
      </c>
      <c r="AG2029" s="55" t="n">
        <f aca="false">AE2029+ROW()*0.000000001</f>
        <v>47.3038397482982</v>
      </c>
    </row>
    <row r="2030" customFormat="false" ht="15" hidden="false" customHeight="false" outlineLevel="0" collapsed="false">
      <c r="A2030" s="0" t="n">
        <v>2</v>
      </c>
      <c r="B2030" s="0" t="n">
        <v>7</v>
      </c>
      <c r="C2030" s="0" t="n">
        <v>0</v>
      </c>
      <c r="D2030" s="0" t="n">
        <v>0</v>
      </c>
      <c r="E2030" s="0" t="n">
        <f aca="false">-1+A2030*0.25</f>
        <v>-0.5</v>
      </c>
      <c r="F2030" s="0" t="n">
        <f aca="false">-1+B2030*0.25</f>
        <v>0.75</v>
      </c>
      <c r="G2030" s="0" t="n">
        <f aca="false">-1+C2030*0.25</f>
        <v>-1</v>
      </c>
      <c r="H2030" s="0" t="n">
        <f aca="false">-1+D2030*0.25</f>
        <v>-1</v>
      </c>
      <c r="I2030" s="0" t="n">
        <f aca="false">1</f>
        <v>1</v>
      </c>
      <c r="J2030" s="0" t="n">
        <f aca="false">E2030</f>
        <v>-0.5</v>
      </c>
      <c r="K2030" s="0" t="n">
        <f aca="false">F2030</f>
        <v>0.75</v>
      </c>
      <c r="L2030" s="0" t="n">
        <f aca="false">G2030</f>
        <v>-1</v>
      </c>
      <c r="M2030" s="0" t="n">
        <f aca="false">H2030</f>
        <v>-1</v>
      </c>
      <c r="N2030" s="0" t="n">
        <f aca="false">E2030*F2030</f>
        <v>-0.375</v>
      </c>
      <c r="O2030" s="0" t="n">
        <f aca="false">E2030*G2030</f>
        <v>0.5</v>
      </c>
      <c r="P2030" s="0" t="n">
        <f aca="false">E2030*H2030</f>
        <v>0.5</v>
      </c>
      <c r="Q2030" s="0" t="n">
        <f aca="false">F2030*G2030</f>
        <v>-0.75</v>
      </c>
      <c r="R2030" s="0" t="n">
        <f aca="false">F2030*H2030</f>
        <v>-0.75</v>
      </c>
      <c r="S2030" s="0" t="n">
        <f aca="false">G2030*H2030</f>
        <v>1</v>
      </c>
      <c r="T2030" s="0" t="n">
        <f aca="false">E2030*E2030</f>
        <v>0.25</v>
      </c>
      <c r="U2030" s="0" t="n">
        <f aca="false">F2030*F2030</f>
        <v>0.5625</v>
      </c>
      <c r="V2030" s="0" t="n">
        <f aca="false">G2030*G2030</f>
        <v>1</v>
      </c>
      <c r="W2030" s="0" t="n">
        <f aca="false">H2030*H2030</f>
        <v>1</v>
      </c>
      <c r="X2030" s="0" t="n">
        <f aca="false">SUMPRODUCT(I2030:W2030,_XtX!$B$96:$P$96)</f>
        <v>43.4520285087719</v>
      </c>
      <c r="Y2030" s="0" t="n">
        <f aca="false">SUMPRODUCT(MMULT(I2030:W2030,_XtX!$B$78:$P$92),I2030:W2030)</f>
        <v>0.564984237938597</v>
      </c>
      <c r="Z2030" s="0" t="n">
        <f aca="false">04_回帰ANOVA!$K$19*04_回帰ANOVA!$K$14*SQRT(1+Y2030)</f>
        <v>1.63062229734503</v>
      </c>
      <c r="AA2030" s="0" t="n">
        <f aca="false">X2030-Z2030</f>
        <v>41.8214062114269</v>
      </c>
      <c r="AB2030" s="0" t="n">
        <f aca="false">X2030+Z2030</f>
        <v>45.082650806117</v>
      </c>
      <c r="AC2030" s="54" t="b">
        <f aca="false">AND(E2030&gt;=01_因子設定!$L$5-0.000000001,E2030&lt;=01_因子設定!$M$5+0.000000001,F2030&gt;=01_因子設定!$L$6-0.000000001,F2030&lt;=01_因子設定!$M$6+0.000000001,G2030&gt;=01_因子設定!$L$7-0.000000001,G2030&lt;=01_因子設定!$M$7+0.000000001,H2030&gt;=01_因子設定!$L$8-0.000000001,H2030&lt;=01_因子設定!$M$8+0.000000001,IF(01_因子設定!$B$20="Box-Behnken",E2030^2+F2030^2+G2030^2+H2030^2&lt;=2+0.000000001,TRUE()))</f>
        <v>1</v>
      </c>
      <c r="AD2030" s="55" t="n">
        <f aca="false">IF(AC2030,IF(01_因子設定!$B$13="最大化",AA2030-01_因子設定!$B$14,IF(01_因子設定!$B$13="最小化",01_因子設定!$B$15-AB2030,MIN(AA2030-01_因子設定!$B$14,01_因子設定!$B$15-AB2030))),-1E+030)</f>
        <v>-4.6785937885731</v>
      </c>
      <c r="AE2030" s="55" t="n">
        <f aca="false">IF(AC2030,IF(01_因子設定!$B$13="最大化",X2030,IF(01_因子設定!$B$13="最小化",-X2030,-ABS(X2030-01_因子設定!$B$16))),-1E+030)</f>
        <v>43.4520285087719</v>
      </c>
      <c r="AF2030" s="55" t="n">
        <f aca="false">AD2030+ROW()*0.000000001</f>
        <v>-4.6785917585731</v>
      </c>
      <c r="AG2030" s="55" t="n">
        <f aca="false">AE2030+ROW()*0.000000001</f>
        <v>43.4520305387719</v>
      </c>
    </row>
    <row r="2031" customFormat="false" ht="15" hidden="false" customHeight="false" outlineLevel="0" collapsed="false">
      <c r="A2031" s="0" t="n">
        <v>2</v>
      </c>
      <c r="B2031" s="0" t="n">
        <v>7</v>
      </c>
      <c r="C2031" s="0" t="n">
        <v>0</v>
      </c>
      <c r="D2031" s="0" t="n">
        <v>1</v>
      </c>
      <c r="E2031" s="0" t="n">
        <f aca="false">-1+A2031*0.25</f>
        <v>-0.5</v>
      </c>
      <c r="F2031" s="0" t="n">
        <f aca="false">-1+B2031*0.25</f>
        <v>0.75</v>
      </c>
      <c r="G2031" s="0" t="n">
        <f aca="false">-1+C2031*0.25</f>
        <v>-1</v>
      </c>
      <c r="H2031" s="0" t="n">
        <f aca="false">-1+D2031*0.25</f>
        <v>-0.75</v>
      </c>
      <c r="I2031" s="0" t="n">
        <f aca="false">1</f>
        <v>1</v>
      </c>
      <c r="J2031" s="0" t="n">
        <f aca="false">E2031</f>
        <v>-0.5</v>
      </c>
      <c r="K2031" s="0" t="n">
        <f aca="false">F2031</f>
        <v>0.75</v>
      </c>
      <c r="L2031" s="0" t="n">
        <f aca="false">G2031</f>
        <v>-1</v>
      </c>
      <c r="M2031" s="0" t="n">
        <f aca="false">H2031</f>
        <v>-0.75</v>
      </c>
      <c r="N2031" s="0" t="n">
        <f aca="false">E2031*F2031</f>
        <v>-0.375</v>
      </c>
      <c r="O2031" s="0" t="n">
        <f aca="false">E2031*G2031</f>
        <v>0.5</v>
      </c>
      <c r="P2031" s="0" t="n">
        <f aca="false">E2031*H2031</f>
        <v>0.375</v>
      </c>
      <c r="Q2031" s="0" t="n">
        <f aca="false">F2031*G2031</f>
        <v>-0.75</v>
      </c>
      <c r="R2031" s="0" t="n">
        <f aca="false">F2031*H2031</f>
        <v>-0.5625</v>
      </c>
      <c r="S2031" s="0" t="n">
        <f aca="false">G2031*H2031</f>
        <v>0.75</v>
      </c>
      <c r="T2031" s="0" t="n">
        <f aca="false">E2031*E2031</f>
        <v>0.25</v>
      </c>
      <c r="U2031" s="0" t="n">
        <f aca="false">F2031*F2031</f>
        <v>0.5625</v>
      </c>
      <c r="V2031" s="0" t="n">
        <f aca="false">G2031*G2031</f>
        <v>1</v>
      </c>
      <c r="W2031" s="0" t="n">
        <f aca="false">H2031*H2031</f>
        <v>0.5625</v>
      </c>
      <c r="X2031" s="0" t="n">
        <f aca="false">SUMPRODUCT(I2031:W2031,_XtX!$B$96:$P$96)</f>
        <v>43.5933982090643</v>
      </c>
      <c r="Y2031" s="0" t="n">
        <f aca="false">SUMPRODUCT(MMULT(I2031:W2031,_XtX!$B$78:$P$92),I2031:W2031)</f>
        <v>0.431153771472953</v>
      </c>
      <c r="Z2031" s="0" t="n">
        <f aca="false">04_回帰ANOVA!$K$19*04_回帰ANOVA!$K$14*SQRT(1+Y2031)</f>
        <v>1.55934259562563</v>
      </c>
      <c r="AA2031" s="0" t="n">
        <f aca="false">X2031-Z2031</f>
        <v>42.0340556134387</v>
      </c>
      <c r="AB2031" s="0" t="n">
        <f aca="false">X2031+Z2031</f>
        <v>45.1527408046899</v>
      </c>
      <c r="AC2031" s="54" t="b">
        <f aca="false">AND(E2031&gt;=01_因子設定!$L$5-0.000000001,E2031&lt;=01_因子設定!$M$5+0.000000001,F2031&gt;=01_因子設定!$L$6-0.000000001,F2031&lt;=01_因子設定!$M$6+0.000000001,G2031&gt;=01_因子設定!$L$7-0.000000001,G2031&lt;=01_因子設定!$M$7+0.000000001,H2031&gt;=01_因子設定!$L$8-0.000000001,H2031&lt;=01_因子設定!$M$8+0.000000001,IF(01_因子設定!$B$20="Box-Behnken",E2031^2+F2031^2+G2031^2+H2031^2&lt;=2+0.000000001,TRUE()))</f>
        <v>1</v>
      </c>
      <c r="AD2031" s="55" t="n">
        <f aca="false">IF(AC2031,IF(01_因子設定!$B$13="最大化",AA2031-01_因子設定!$B$14,IF(01_因子設定!$B$13="最小化",01_因子設定!$B$15-AB2031,MIN(AA2031-01_因子設定!$B$14,01_因子設定!$B$15-AB2031))),-1E+030)</f>
        <v>-4.46594438656132</v>
      </c>
      <c r="AE2031" s="55" t="n">
        <f aca="false">IF(AC2031,IF(01_因子設定!$B$13="最大化",X2031,IF(01_因子設定!$B$13="最小化",-X2031,-ABS(X2031-01_因子設定!$B$16))),-1E+030)</f>
        <v>43.5933982090643</v>
      </c>
      <c r="AF2031" s="55" t="n">
        <f aca="false">AD2031+ROW()*0.000000001</f>
        <v>-4.46594235556132</v>
      </c>
      <c r="AG2031" s="55" t="n">
        <f aca="false">AE2031+ROW()*0.000000001</f>
        <v>43.5934002400643</v>
      </c>
    </row>
    <row r="2032" customFormat="false" ht="15" hidden="false" customHeight="false" outlineLevel="0" collapsed="false">
      <c r="A2032" s="0" t="n">
        <v>2</v>
      </c>
      <c r="B2032" s="0" t="n">
        <v>7</v>
      </c>
      <c r="C2032" s="0" t="n">
        <v>0</v>
      </c>
      <c r="D2032" s="0" t="n">
        <v>2</v>
      </c>
      <c r="E2032" s="0" t="n">
        <f aca="false">-1+A2032*0.25</f>
        <v>-0.5</v>
      </c>
      <c r="F2032" s="0" t="n">
        <f aca="false">-1+B2032*0.25</f>
        <v>0.75</v>
      </c>
      <c r="G2032" s="0" t="n">
        <f aca="false">-1+C2032*0.25</f>
        <v>-1</v>
      </c>
      <c r="H2032" s="0" t="n">
        <f aca="false">-1+D2032*0.25</f>
        <v>-0.5</v>
      </c>
      <c r="I2032" s="0" t="n">
        <f aca="false">1</f>
        <v>1</v>
      </c>
      <c r="J2032" s="0" t="n">
        <f aca="false">E2032</f>
        <v>-0.5</v>
      </c>
      <c r="K2032" s="0" t="n">
        <f aca="false">F2032</f>
        <v>0.75</v>
      </c>
      <c r="L2032" s="0" t="n">
        <f aca="false">G2032</f>
        <v>-1</v>
      </c>
      <c r="M2032" s="0" t="n">
        <f aca="false">H2032</f>
        <v>-0.5</v>
      </c>
      <c r="N2032" s="0" t="n">
        <f aca="false">E2032*F2032</f>
        <v>-0.375</v>
      </c>
      <c r="O2032" s="0" t="n">
        <f aca="false">E2032*G2032</f>
        <v>0.5</v>
      </c>
      <c r="P2032" s="0" t="n">
        <f aca="false">E2032*H2032</f>
        <v>0.25</v>
      </c>
      <c r="Q2032" s="0" t="n">
        <f aca="false">F2032*G2032</f>
        <v>-0.75</v>
      </c>
      <c r="R2032" s="0" t="n">
        <f aca="false">F2032*H2032</f>
        <v>-0.375</v>
      </c>
      <c r="S2032" s="0" t="n">
        <f aca="false">G2032*H2032</f>
        <v>0.5</v>
      </c>
      <c r="T2032" s="0" t="n">
        <f aca="false">E2032*E2032</f>
        <v>0.25</v>
      </c>
      <c r="U2032" s="0" t="n">
        <f aca="false">F2032*F2032</f>
        <v>0.5625</v>
      </c>
      <c r="V2032" s="0" t="n">
        <f aca="false">G2032*G2032</f>
        <v>1</v>
      </c>
      <c r="W2032" s="0" t="n">
        <f aca="false">H2032*H2032</f>
        <v>0.25</v>
      </c>
      <c r="X2032" s="0" t="n">
        <f aca="false">SUMPRODUCT(I2032:W2032,_XtX!$B$96:$P$96)</f>
        <v>43.6869608918128</v>
      </c>
      <c r="Y2032" s="0" t="n">
        <f aca="false">SUMPRODUCT(MMULT(I2032:W2032,_XtX!$B$78:$P$92),I2032:W2032)</f>
        <v>0.42602110745614</v>
      </c>
      <c r="Z2032" s="0" t="n">
        <f aca="false">04_回帰ANOVA!$K$19*04_回帰ANOVA!$K$14*SQRT(1+Y2032)</f>
        <v>1.55654388501114</v>
      </c>
      <c r="AA2032" s="0" t="n">
        <f aca="false">X2032-Z2032</f>
        <v>42.1304170068017</v>
      </c>
      <c r="AB2032" s="0" t="n">
        <f aca="false">X2032+Z2032</f>
        <v>45.243504776824</v>
      </c>
      <c r="AC2032" s="54" t="b">
        <f aca="false">AND(E2032&gt;=01_因子設定!$L$5-0.000000001,E2032&lt;=01_因子設定!$M$5+0.000000001,F2032&gt;=01_因子設定!$L$6-0.000000001,F2032&lt;=01_因子設定!$M$6+0.000000001,G2032&gt;=01_因子設定!$L$7-0.000000001,G2032&lt;=01_因子設定!$M$7+0.000000001,H2032&gt;=01_因子設定!$L$8-0.000000001,H2032&lt;=01_因子設定!$M$8+0.000000001,IF(01_因子設定!$B$20="Box-Behnken",E2032^2+F2032^2+G2032^2+H2032^2&lt;=2+0.000000001,TRUE()))</f>
        <v>1</v>
      </c>
      <c r="AD2032" s="55" t="n">
        <f aca="false">IF(AC2032,IF(01_因子設定!$B$13="最大化",AA2032-01_因子設定!$B$14,IF(01_因子設定!$B$13="最小化",01_因子設定!$B$15-AB2032,MIN(AA2032-01_因子設定!$B$14,01_因子設定!$B$15-AB2032))),-1E+030)</f>
        <v>-4.3695829931983</v>
      </c>
      <c r="AE2032" s="55" t="n">
        <f aca="false">IF(AC2032,IF(01_因子設定!$B$13="最大化",X2032,IF(01_因子設定!$B$13="最小化",-X2032,-ABS(X2032-01_因子設定!$B$16))),-1E+030)</f>
        <v>43.6869608918128</v>
      </c>
      <c r="AF2032" s="55" t="n">
        <f aca="false">AD2032+ROW()*0.000000001</f>
        <v>-4.3695809611983</v>
      </c>
      <c r="AG2032" s="55" t="n">
        <f aca="false">AE2032+ROW()*0.000000001</f>
        <v>43.6869629238128</v>
      </c>
    </row>
    <row r="2033" customFormat="false" ht="15" hidden="false" customHeight="false" outlineLevel="0" collapsed="false">
      <c r="A2033" s="0" t="n">
        <v>2</v>
      </c>
      <c r="B2033" s="0" t="n">
        <v>7</v>
      </c>
      <c r="C2033" s="0" t="n">
        <v>0</v>
      </c>
      <c r="D2033" s="0" t="n">
        <v>3</v>
      </c>
      <c r="E2033" s="0" t="n">
        <f aca="false">-1+A2033*0.25</f>
        <v>-0.5</v>
      </c>
      <c r="F2033" s="0" t="n">
        <f aca="false">-1+B2033*0.25</f>
        <v>0.75</v>
      </c>
      <c r="G2033" s="0" t="n">
        <f aca="false">-1+C2033*0.25</f>
        <v>-1</v>
      </c>
      <c r="H2033" s="0" t="n">
        <f aca="false">-1+D2033*0.25</f>
        <v>-0.25</v>
      </c>
      <c r="I2033" s="0" t="n">
        <f aca="false">1</f>
        <v>1</v>
      </c>
      <c r="J2033" s="0" t="n">
        <f aca="false">E2033</f>
        <v>-0.5</v>
      </c>
      <c r="K2033" s="0" t="n">
        <f aca="false">F2033</f>
        <v>0.75</v>
      </c>
      <c r="L2033" s="0" t="n">
        <f aca="false">G2033</f>
        <v>-1</v>
      </c>
      <c r="M2033" s="0" t="n">
        <f aca="false">H2033</f>
        <v>-0.25</v>
      </c>
      <c r="N2033" s="0" t="n">
        <f aca="false">E2033*F2033</f>
        <v>-0.375</v>
      </c>
      <c r="O2033" s="0" t="n">
        <f aca="false">E2033*G2033</f>
        <v>0.5</v>
      </c>
      <c r="P2033" s="0" t="n">
        <f aca="false">E2033*H2033</f>
        <v>0.125</v>
      </c>
      <c r="Q2033" s="0" t="n">
        <f aca="false">F2033*G2033</f>
        <v>-0.75</v>
      </c>
      <c r="R2033" s="0" t="n">
        <f aca="false">F2033*H2033</f>
        <v>-0.1875</v>
      </c>
      <c r="S2033" s="0" t="n">
        <f aca="false">G2033*H2033</f>
        <v>0.25</v>
      </c>
      <c r="T2033" s="0" t="n">
        <f aca="false">E2033*E2033</f>
        <v>0.25</v>
      </c>
      <c r="U2033" s="0" t="n">
        <f aca="false">F2033*F2033</f>
        <v>0.5625</v>
      </c>
      <c r="V2033" s="0" t="n">
        <f aca="false">G2033*G2033</f>
        <v>1</v>
      </c>
      <c r="W2033" s="0" t="n">
        <f aca="false">H2033*H2033</f>
        <v>0.0625</v>
      </c>
      <c r="X2033" s="0" t="n">
        <f aca="false">SUMPRODUCT(I2033:W2033,_XtX!$B$96:$P$96)</f>
        <v>43.7327165570175</v>
      </c>
      <c r="Y2033" s="0" t="n">
        <f aca="false">SUMPRODUCT(MMULT(I2033:W2033,_XtX!$B$78:$P$92),I2033:W2033)</f>
        <v>0.459125719572369</v>
      </c>
      <c r="Z2033" s="0" t="n">
        <f aca="false">04_回帰ANOVA!$K$19*04_回帰ANOVA!$K$14*SQRT(1+Y2033)</f>
        <v>1.57450755575573</v>
      </c>
      <c r="AA2033" s="0" t="n">
        <f aca="false">X2033-Z2033</f>
        <v>42.1582090012618</v>
      </c>
      <c r="AB2033" s="0" t="n">
        <f aca="false">X2033+Z2033</f>
        <v>45.3072241127732</v>
      </c>
      <c r="AC2033" s="54" t="b">
        <f aca="false">AND(E2033&gt;=01_因子設定!$L$5-0.000000001,E2033&lt;=01_因子設定!$M$5+0.000000001,F2033&gt;=01_因子設定!$L$6-0.000000001,F2033&lt;=01_因子設定!$M$6+0.000000001,G2033&gt;=01_因子設定!$L$7-0.000000001,G2033&lt;=01_因子設定!$M$7+0.000000001,H2033&gt;=01_因子設定!$L$8-0.000000001,H2033&lt;=01_因子設定!$M$8+0.000000001,IF(01_因子設定!$B$20="Box-Behnken",E2033^2+F2033^2+G2033^2+H2033^2&lt;=2+0.000000001,TRUE()))</f>
        <v>1</v>
      </c>
      <c r="AD2033" s="55" t="n">
        <f aca="false">IF(AC2033,IF(01_因子設定!$B$13="最大化",AA2033-01_因子設定!$B$14,IF(01_因子設定!$B$13="最小化",01_因子設定!$B$15-AB2033,MIN(AA2033-01_因子設定!$B$14,01_因子設定!$B$15-AB2033))),-1E+030)</f>
        <v>-4.34179099873823</v>
      </c>
      <c r="AE2033" s="55" t="n">
        <f aca="false">IF(AC2033,IF(01_因子設定!$B$13="最大化",X2033,IF(01_因子設定!$B$13="最小化",-X2033,-ABS(X2033-01_因子設定!$B$16))),-1E+030)</f>
        <v>43.7327165570175</v>
      </c>
      <c r="AF2033" s="55" t="n">
        <f aca="false">AD2033+ROW()*0.000000001</f>
        <v>-4.34178896573823</v>
      </c>
      <c r="AG2033" s="55" t="n">
        <f aca="false">AE2033+ROW()*0.000000001</f>
        <v>43.7327185900175</v>
      </c>
    </row>
    <row r="2034" customFormat="false" ht="15" hidden="false" customHeight="false" outlineLevel="0" collapsed="false">
      <c r="A2034" s="0" t="n">
        <v>2</v>
      </c>
      <c r="B2034" s="0" t="n">
        <v>7</v>
      </c>
      <c r="C2034" s="0" t="n">
        <v>0</v>
      </c>
      <c r="D2034" s="0" t="n">
        <v>4</v>
      </c>
      <c r="E2034" s="0" t="n">
        <f aca="false">-1+A2034*0.25</f>
        <v>-0.5</v>
      </c>
      <c r="F2034" s="0" t="n">
        <f aca="false">-1+B2034*0.25</f>
        <v>0.75</v>
      </c>
      <c r="G2034" s="0" t="n">
        <f aca="false">-1+C2034*0.25</f>
        <v>-1</v>
      </c>
      <c r="H2034" s="0" t="n">
        <f aca="false">-1+D2034*0.25</f>
        <v>0</v>
      </c>
      <c r="I2034" s="0" t="n">
        <f aca="false">1</f>
        <v>1</v>
      </c>
      <c r="J2034" s="0" t="n">
        <f aca="false">E2034</f>
        <v>-0.5</v>
      </c>
      <c r="K2034" s="0" t="n">
        <f aca="false">F2034</f>
        <v>0.75</v>
      </c>
      <c r="L2034" s="0" t="n">
        <f aca="false">G2034</f>
        <v>-1</v>
      </c>
      <c r="M2034" s="0" t="n">
        <f aca="false">H2034</f>
        <v>0</v>
      </c>
      <c r="N2034" s="0" t="n">
        <f aca="false">E2034*F2034</f>
        <v>-0.375</v>
      </c>
      <c r="O2034" s="0" t="n">
        <f aca="false">E2034*G2034</f>
        <v>0.5</v>
      </c>
      <c r="P2034" s="0" t="n">
        <f aca="false">E2034*H2034</f>
        <v>-0</v>
      </c>
      <c r="Q2034" s="0" t="n">
        <f aca="false">F2034*G2034</f>
        <v>-0.75</v>
      </c>
      <c r="R2034" s="0" t="n">
        <f aca="false">F2034*H2034</f>
        <v>0</v>
      </c>
      <c r="S2034" s="0" t="n">
        <f aca="false">G2034*H2034</f>
        <v>-0</v>
      </c>
      <c r="T2034" s="0" t="n">
        <f aca="false">E2034*E2034</f>
        <v>0.25</v>
      </c>
      <c r="U2034" s="0" t="n">
        <f aca="false">F2034*F2034</f>
        <v>0.5625</v>
      </c>
      <c r="V2034" s="0" t="n">
        <f aca="false">G2034*G2034</f>
        <v>1</v>
      </c>
      <c r="W2034" s="0" t="n">
        <f aca="false">H2034*H2034</f>
        <v>0</v>
      </c>
      <c r="X2034" s="0" t="n">
        <f aca="false">SUMPRODUCT(I2034:W2034,_XtX!$B$96:$P$96)</f>
        <v>43.7306652046783</v>
      </c>
      <c r="Y2034" s="0" t="n">
        <f aca="false">SUMPRODUCT(MMULT(I2034:W2034,_XtX!$B$78:$P$92),I2034:W2034)</f>
        <v>0.476191292032164</v>
      </c>
      <c r="Z2034" s="0" t="n">
        <f aca="false">04_回帰ANOVA!$K$19*04_回帰ANOVA!$K$14*SQRT(1+Y2034)</f>
        <v>1.58368831471718</v>
      </c>
      <c r="AA2034" s="0" t="n">
        <f aca="false">X2034-Z2034</f>
        <v>42.1469768899611</v>
      </c>
      <c r="AB2034" s="0" t="n">
        <f aca="false">X2034+Z2034</f>
        <v>45.3143535193955</v>
      </c>
      <c r="AC2034" s="54" t="b">
        <f aca="false">AND(E2034&gt;=01_因子設定!$L$5-0.000000001,E2034&lt;=01_因子設定!$M$5+0.000000001,F2034&gt;=01_因子設定!$L$6-0.000000001,F2034&lt;=01_因子設定!$M$6+0.000000001,G2034&gt;=01_因子設定!$L$7-0.000000001,G2034&lt;=01_因子設定!$M$7+0.000000001,H2034&gt;=01_因子設定!$L$8-0.000000001,H2034&lt;=01_因子設定!$M$8+0.000000001,IF(01_因子設定!$B$20="Box-Behnken",E2034^2+F2034^2+G2034^2+H2034^2&lt;=2+0.000000001,TRUE()))</f>
        <v>1</v>
      </c>
      <c r="AD2034" s="55" t="n">
        <f aca="false">IF(AC2034,IF(01_因子設定!$B$13="最大化",AA2034-01_因子設定!$B$14,IF(01_因子設定!$B$13="最小化",01_因子設定!$B$15-AB2034,MIN(AA2034-01_因子設定!$B$14,01_因子設定!$B$15-AB2034))),-1E+030)</f>
        <v>-4.35302311003886</v>
      </c>
      <c r="AE2034" s="55" t="n">
        <f aca="false">IF(AC2034,IF(01_因子設定!$B$13="最大化",X2034,IF(01_因子設定!$B$13="最小化",-X2034,-ABS(X2034-01_因子設定!$B$16))),-1E+030)</f>
        <v>43.7306652046783</v>
      </c>
      <c r="AF2034" s="55" t="n">
        <f aca="false">AD2034+ROW()*0.000000001</f>
        <v>-4.35302107603885</v>
      </c>
      <c r="AG2034" s="55" t="n">
        <f aca="false">AE2034+ROW()*0.000000001</f>
        <v>43.7306672386783</v>
      </c>
    </row>
    <row r="2035" customFormat="false" ht="15" hidden="false" customHeight="false" outlineLevel="0" collapsed="false">
      <c r="A2035" s="0" t="n">
        <v>2</v>
      </c>
      <c r="B2035" s="0" t="n">
        <v>7</v>
      </c>
      <c r="C2035" s="0" t="n">
        <v>0</v>
      </c>
      <c r="D2035" s="0" t="n">
        <v>5</v>
      </c>
      <c r="E2035" s="0" t="n">
        <f aca="false">-1+A2035*0.25</f>
        <v>-0.5</v>
      </c>
      <c r="F2035" s="0" t="n">
        <f aca="false">-1+B2035*0.25</f>
        <v>0.75</v>
      </c>
      <c r="G2035" s="0" t="n">
        <f aca="false">-1+C2035*0.25</f>
        <v>-1</v>
      </c>
      <c r="H2035" s="0" t="n">
        <f aca="false">-1+D2035*0.25</f>
        <v>0.25</v>
      </c>
      <c r="I2035" s="0" t="n">
        <f aca="false">1</f>
        <v>1</v>
      </c>
      <c r="J2035" s="0" t="n">
        <f aca="false">E2035</f>
        <v>-0.5</v>
      </c>
      <c r="K2035" s="0" t="n">
        <f aca="false">F2035</f>
        <v>0.75</v>
      </c>
      <c r="L2035" s="0" t="n">
        <f aca="false">G2035</f>
        <v>-1</v>
      </c>
      <c r="M2035" s="0" t="n">
        <f aca="false">H2035</f>
        <v>0.25</v>
      </c>
      <c r="N2035" s="0" t="n">
        <f aca="false">E2035*F2035</f>
        <v>-0.375</v>
      </c>
      <c r="O2035" s="0" t="n">
        <f aca="false">E2035*G2035</f>
        <v>0.5</v>
      </c>
      <c r="P2035" s="0" t="n">
        <f aca="false">E2035*H2035</f>
        <v>-0.125</v>
      </c>
      <c r="Q2035" s="0" t="n">
        <f aca="false">F2035*G2035</f>
        <v>-0.75</v>
      </c>
      <c r="R2035" s="0" t="n">
        <f aca="false">F2035*H2035</f>
        <v>0.1875</v>
      </c>
      <c r="S2035" s="0" t="n">
        <f aca="false">G2035*H2035</f>
        <v>-0.25</v>
      </c>
      <c r="T2035" s="0" t="n">
        <f aca="false">E2035*E2035</f>
        <v>0.25</v>
      </c>
      <c r="U2035" s="0" t="n">
        <f aca="false">F2035*F2035</f>
        <v>0.5625</v>
      </c>
      <c r="V2035" s="0" t="n">
        <f aca="false">G2035*G2035</f>
        <v>1</v>
      </c>
      <c r="W2035" s="0" t="n">
        <f aca="false">H2035*H2035</f>
        <v>0.0625</v>
      </c>
      <c r="X2035" s="0" t="n">
        <f aca="false">SUMPRODUCT(I2035:W2035,_XtX!$B$96:$P$96)</f>
        <v>43.6808068347953</v>
      </c>
      <c r="Y2035" s="0" t="n">
        <f aca="false">SUMPRODUCT(MMULT(I2035:W2035,_XtX!$B$78:$P$92),I2035:W2035)</f>
        <v>0.459125719572369</v>
      </c>
      <c r="Z2035" s="0" t="n">
        <f aca="false">04_回帰ANOVA!$K$19*04_回帰ANOVA!$K$14*SQRT(1+Y2035)</f>
        <v>1.57450755575573</v>
      </c>
      <c r="AA2035" s="0" t="n">
        <f aca="false">X2035-Z2035</f>
        <v>42.1062992790396</v>
      </c>
      <c r="AB2035" s="0" t="n">
        <f aca="false">X2035+Z2035</f>
        <v>45.255314390551</v>
      </c>
      <c r="AC2035" s="54" t="b">
        <f aca="false">AND(E2035&gt;=01_因子設定!$L$5-0.000000001,E2035&lt;=01_因子設定!$M$5+0.000000001,F2035&gt;=01_因子設定!$L$6-0.000000001,F2035&lt;=01_因子設定!$M$6+0.000000001,G2035&gt;=01_因子設定!$L$7-0.000000001,G2035&lt;=01_因子設定!$M$7+0.000000001,H2035&gt;=01_因子設定!$L$8-0.000000001,H2035&lt;=01_因子設定!$M$8+0.000000001,IF(01_因子設定!$B$20="Box-Behnken",E2035^2+F2035^2+G2035^2+H2035^2&lt;=2+0.000000001,TRUE()))</f>
        <v>1</v>
      </c>
      <c r="AD2035" s="55" t="n">
        <f aca="false">IF(AC2035,IF(01_因子設定!$B$13="最大化",AA2035-01_因子設定!$B$14,IF(01_因子設定!$B$13="最小化",01_因子設定!$B$15-AB2035,MIN(AA2035-01_因子設定!$B$14,01_因子設定!$B$15-AB2035))),-1E+030)</f>
        <v>-4.39370072096045</v>
      </c>
      <c r="AE2035" s="55" t="n">
        <f aca="false">IF(AC2035,IF(01_因子設定!$B$13="最大化",X2035,IF(01_因子設定!$B$13="最小化",-X2035,-ABS(X2035-01_因子設定!$B$16))),-1E+030)</f>
        <v>43.6808068347953</v>
      </c>
      <c r="AF2035" s="55" t="n">
        <f aca="false">AD2035+ROW()*0.000000001</f>
        <v>-4.39369868596045</v>
      </c>
      <c r="AG2035" s="55" t="n">
        <f aca="false">AE2035+ROW()*0.000000001</f>
        <v>43.6808088697953</v>
      </c>
    </row>
    <row r="2036" customFormat="false" ht="15" hidden="false" customHeight="false" outlineLevel="0" collapsed="false">
      <c r="A2036" s="0" t="n">
        <v>2</v>
      </c>
      <c r="B2036" s="0" t="n">
        <v>7</v>
      </c>
      <c r="C2036" s="0" t="n">
        <v>0</v>
      </c>
      <c r="D2036" s="0" t="n">
        <v>6</v>
      </c>
      <c r="E2036" s="0" t="n">
        <f aca="false">-1+A2036*0.25</f>
        <v>-0.5</v>
      </c>
      <c r="F2036" s="0" t="n">
        <f aca="false">-1+B2036*0.25</f>
        <v>0.75</v>
      </c>
      <c r="G2036" s="0" t="n">
        <f aca="false">-1+C2036*0.25</f>
        <v>-1</v>
      </c>
      <c r="H2036" s="0" t="n">
        <f aca="false">-1+D2036*0.25</f>
        <v>0.5</v>
      </c>
      <c r="I2036" s="0" t="n">
        <f aca="false">1</f>
        <v>1</v>
      </c>
      <c r="J2036" s="0" t="n">
        <f aca="false">E2036</f>
        <v>-0.5</v>
      </c>
      <c r="K2036" s="0" t="n">
        <f aca="false">F2036</f>
        <v>0.75</v>
      </c>
      <c r="L2036" s="0" t="n">
        <f aca="false">G2036</f>
        <v>-1</v>
      </c>
      <c r="M2036" s="0" t="n">
        <f aca="false">H2036</f>
        <v>0.5</v>
      </c>
      <c r="N2036" s="0" t="n">
        <f aca="false">E2036*F2036</f>
        <v>-0.375</v>
      </c>
      <c r="O2036" s="0" t="n">
        <f aca="false">E2036*G2036</f>
        <v>0.5</v>
      </c>
      <c r="P2036" s="0" t="n">
        <f aca="false">E2036*H2036</f>
        <v>-0.25</v>
      </c>
      <c r="Q2036" s="0" t="n">
        <f aca="false">F2036*G2036</f>
        <v>-0.75</v>
      </c>
      <c r="R2036" s="0" t="n">
        <f aca="false">F2036*H2036</f>
        <v>0.375</v>
      </c>
      <c r="S2036" s="0" t="n">
        <f aca="false">G2036*H2036</f>
        <v>-0.5</v>
      </c>
      <c r="T2036" s="0" t="n">
        <f aca="false">E2036*E2036</f>
        <v>0.25</v>
      </c>
      <c r="U2036" s="0" t="n">
        <f aca="false">F2036*F2036</f>
        <v>0.5625</v>
      </c>
      <c r="V2036" s="0" t="n">
        <f aca="false">G2036*G2036</f>
        <v>1</v>
      </c>
      <c r="W2036" s="0" t="n">
        <f aca="false">H2036*H2036</f>
        <v>0.25</v>
      </c>
      <c r="X2036" s="0" t="n">
        <f aca="false">SUMPRODUCT(I2036:W2036,_XtX!$B$96:$P$96)</f>
        <v>43.5831414473684</v>
      </c>
      <c r="Y2036" s="0" t="n">
        <f aca="false">SUMPRODUCT(MMULT(I2036:W2036,_XtX!$B$78:$P$92),I2036:W2036)</f>
        <v>0.42602110745614</v>
      </c>
      <c r="Z2036" s="0" t="n">
        <f aca="false">04_回帰ANOVA!$K$19*04_回帰ANOVA!$K$14*SQRT(1+Y2036)</f>
        <v>1.55654388501114</v>
      </c>
      <c r="AA2036" s="0" t="n">
        <f aca="false">X2036-Z2036</f>
        <v>42.0265975623573</v>
      </c>
      <c r="AB2036" s="0" t="n">
        <f aca="false">X2036+Z2036</f>
        <v>45.1396853323795</v>
      </c>
      <c r="AC2036" s="54" t="b">
        <f aca="false">AND(E2036&gt;=01_因子設定!$L$5-0.000000001,E2036&lt;=01_因子設定!$M$5+0.000000001,F2036&gt;=01_因子設定!$L$6-0.000000001,F2036&lt;=01_因子設定!$M$6+0.000000001,G2036&gt;=01_因子設定!$L$7-0.000000001,G2036&lt;=01_因子設定!$M$7+0.000000001,H2036&gt;=01_因子設定!$L$8-0.000000001,H2036&lt;=01_因子設定!$M$8+0.000000001,IF(01_因子設定!$B$20="Box-Behnken",E2036^2+F2036^2+G2036^2+H2036^2&lt;=2+0.000000001,TRUE()))</f>
        <v>1</v>
      </c>
      <c r="AD2036" s="55" t="n">
        <f aca="false">IF(AC2036,IF(01_因子設定!$B$13="最大化",AA2036-01_因子設定!$B$14,IF(01_因子設定!$B$13="最小化",01_因子設定!$B$15-AB2036,MIN(AA2036-01_因子設定!$B$14,01_因子設定!$B$15-AB2036))),-1E+030)</f>
        <v>-4.47340243764275</v>
      </c>
      <c r="AE2036" s="55" t="n">
        <f aca="false">IF(AC2036,IF(01_因子設定!$B$13="最大化",X2036,IF(01_因子設定!$B$13="最小化",-X2036,-ABS(X2036-01_因子設定!$B$16))),-1E+030)</f>
        <v>43.5831414473684</v>
      </c>
      <c r="AF2036" s="55" t="n">
        <f aca="false">AD2036+ROW()*0.000000001</f>
        <v>-4.47340040164275</v>
      </c>
      <c r="AG2036" s="55" t="n">
        <f aca="false">AE2036+ROW()*0.000000001</f>
        <v>43.5831434833684</v>
      </c>
    </row>
    <row r="2037" customFormat="false" ht="15" hidden="false" customHeight="false" outlineLevel="0" collapsed="false">
      <c r="A2037" s="0" t="n">
        <v>2</v>
      </c>
      <c r="B2037" s="0" t="n">
        <v>7</v>
      </c>
      <c r="C2037" s="0" t="n">
        <v>0</v>
      </c>
      <c r="D2037" s="0" t="n">
        <v>7</v>
      </c>
      <c r="E2037" s="0" t="n">
        <f aca="false">-1+A2037*0.25</f>
        <v>-0.5</v>
      </c>
      <c r="F2037" s="0" t="n">
        <f aca="false">-1+B2037*0.25</f>
        <v>0.75</v>
      </c>
      <c r="G2037" s="0" t="n">
        <f aca="false">-1+C2037*0.25</f>
        <v>-1</v>
      </c>
      <c r="H2037" s="0" t="n">
        <f aca="false">-1+D2037*0.25</f>
        <v>0.75</v>
      </c>
      <c r="I2037" s="0" t="n">
        <f aca="false">1</f>
        <v>1</v>
      </c>
      <c r="J2037" s="0" t="n">
        <f aca="false">E2037</f>
        <v>-0.5</v>
      </c>
      <c r="K2037" s="0" t="n">
        <f aca="false">F2037</f>
        <v>0.75</v>
      </c>
      <c r="L2037" s="0" t="n">
        <f aca="false">G2037</f>
        <v>-1</v>
      </c>
      <c r="M2037" s="0" t="n">
        <f aca="false">H2037</f>
        <v>0.75</v>
      </c>
      <c r="N2037" s="0" t="n">
        <f aca="false">E2037*F2037</f>
        <v>-0.375</v>
      </c>
      <c r="O2037" s="0" t="n">
        <f aca="false">E2037*G2037</f>
        <v>0.5</v>
      </c>
      <c r="P2037" s="0" t="n">
        <f aca="false">E2037*H2037</f>
        <v>-0.375</v>
      </c>
      <c r="Q2037" s="0" t="n">
        <f aca="false">F2037*G2037</f>
        <v>-0.75</v>
      </c>
      <c r="R2037" s="0" t="n">
        <f aca="false">F2037*H2037</f>
        <v>0.5625</v>
      </c>
      <c r="S2037" s="0" t="n">
        <f aca="false">G2037*H2037</f>
        <v>-0.75</v>
      </c>
      <c r="T2037" s="0" t="n">
        <f aca="false">E2037*E2037</f>
        <v>0.25</v>
      </c>
      <c r="U2037" s="0" t="n">
        <f aca="false">F2037*F2037</f>
        <v>0.5625</v>
      </c>
      <c r="V2037" s="0" t="n">
        <f aca="false">G2037*G2037</f>
        <v>1</v>
      </c>
      <c r="W2037" s="0" t="n">
        <f aca="false">H2037*H2037</f>
        <v>0.5625</v>
      </c>
      <c r="X2037" s="0" t="n">
        <f aca="false">SUMPRODUCT(I2037:W2037,_XtX!$B$96:$P$96)</f>
        <v>43.4376690423976</v>
      </c>
      <c r="Y2037" s="0" t="n">
        <f aca="false">SUMPRODUCT(MMULT(I2037:W2037,_XtX!$B$78:$P$92),I2037:W2037)</f>
        <v>0.431153771472953</v>
      </c>
      <c r="Z2037" s="0" t="n">
        <f aca="false">04_回帰ANOVA!$K$19*04_回帰ANOVA!$K$14*SQRT(1+Y2037)</f>
        <v>1.55934259562563</v>
      </c>
      <c r="AA2037" s="0" t="n">
        <f aca="false">X2037-Z2037</f>
        <v>41.878326446772</v>
      </c>
      <c r="AB2037" s="0" t="n">
        <f aca="false">X2037+Z2037</f>
        <v>44.9970116380233</v>
      </c>
      <c r="AC2037" s="54" t="b">
        <f aca="false">AND(E2037&gt;=01_因子設定!$L$5-0.000000001,E2037&lt;=01_因子設定!$M$5+0.000000001,F2037&gt;=01_因子設定!$L$6-0.000000001,F2037&lt;=01_因子設定!$M$6+0.000000001,G2037&gt;=01_因子設定!$L$7-0.000000001,G2037&lt;=01_因子設定!$M$7+0.000000001,H2037&gt;=01_因子設定!$L$8-0.000000001,H2037&lt;=01_因子設定!$M$8+0.000000001,IF(01_因子設定!$B$20="Box-Behnken",E2037^2+F2037^2+G2037^2+H2037^2&lt;=2+0.000000001,TRUE()))</f>
        <v>1</v>
      </c>
      <c r="AD2037" s="55" t="n">
        <f aca="false">IF(AC2037,IF(01_因子設定!$B$13="最大化",AA2037-01_因子設定!$B$14,IF(01_因子設定!$B$13="最小化",01_因子設定!$B$15-AB2037,MIN(AA2037-01_因子設定!$B$14,01_因子設定!$B$15-AB2037))),-1E+030)</f>
        <v>-4.62167355322799</v>
      </c>
      <c r="AE2037" s="55" t="n">
        <f aca="false">IF(AC2037,IF(01_因子設定!$B$13="最大化",X2037,IF(01_因子設定!$B$13="最小化",-X2037,-ABS(X2037-01_因子設定!$B$16))),-1E+030)</f>
        <v>43.4376690423976</v>
      </c>
      <c r="AF2037" s="55" t="n">
        <f aca="false">AD2037+ROW()*0.000000001</f>
        <v>-4.62167151622799</v>
      </c>
      <c r="AG2037" s="55" t="n">
        <f aca="false">AE2037+ROW()*0.000000001</f>
        <v>43.4376710793976</v>
      </c>
    </row>
    <row r="2038" customFormat="false" ht="15" hidden="false" customHeight="false" outlineLevel="0" collapsed="false">
      <c r="A2038" s="0" t="n">
        <v>2</v>
      </c>
      <c r="B2038" s="0" t="n">
        <v>7</v>
      </c>
      <c r="C2038" s="0" t="n">
        <v>0</v>
      </c>
      <c r="D2038" s="0" t="n">
        <v>8</v>
      </c>
      <c r="E2038" s="0" t="n">
        <f aca="false">-1+A2038*0.25</f>
        <v>-0.5</v>
      </c>
      <c r="F2038" s="0" t="n">
        <f aca="false">-1+B2038*0.25</f>
        <v>0.75</v>
      </c>
      <c r="G2038" s="0" t="n">
        <f aca="false">-1+C2038*0.25</f>
        <v>-1</v>
      </c>
      <c r="H2038" s="0" t="n">
        <f aca="false">-1+D2038*0.25</f>
        <v>1</v>
      </c>
      <c r="I2038" s="0" t="n">
        <f aca="false">1</f>
        <v>1</v>
      </c>
      <c r="J2038" s="0" t="n">
        <f aca="false">E2038</f>
        <v>-0.5</v>
      </c>
      <c r="K2038" s="0" t="n">
        <f aca="false">F2038</f>
        <v>0.75</v>
      </c>
      <c r="L2038" s="0" t="n">
        <f aca="false">G2038</f>
        <v>-1</v>
      </c>
      <c r="M2038" s="0" t="n">
        <f aca="false">H2038</f>
        <v>1</v>
      </c>
      <c r="N2038" s="0" t="n">
        <f aca="false">E2038*F2038</f>
        <v>-0.375</v>
      </c>
      <c r="O2038" s="0" t="n">
        <f aca="false">E2038*G2038</f>
        <v>0.5</v>
      </c>
      <c r="P2038" s="0" t="n">
        <f aca="false">E2038*H2038</f>
        <v>-0.5</v>
      </c>
      <c r="Q2038" s="0" t="n">
        <f aca="false">F2038*G2038</f>
        <v>-0.75</v>
      </c>
      <c r="R2038" s="0" t="n">
        <f aca="false">F2038*H2038</f>
        <v>0.75</v>
      </c>
      <c r="S2038" s="0" t="n">
        <f aca="false">G2038*H2038</f>
        <v>-1</v>
      </c>
      <c r="T2038" s="0" t="n">
        <f aca="false">E2038*E2038</f>
        <v>0.25</v>
      </c>
      <c r="U2038" s="0" t="n">
        <f aca="false">F2038*F2038</f>
        <v>0.5625</v>
      </c>
      <c r="V2038" s="0" t="n">
        <f aca="false">G2038*G2038</f>
        <v>1</v>
      </c>
      <c r="W2038" s="0" t="n">
        <f aca="false">H2038*H2038</f>
        <v>1</v>
      </c>
      <c r="X2038" s="0" t="n">
        <f aca="false">SUMPRODUCT(I2038:W2038,_XtX!$B$96:$P$96)</f>
        <v>43.244389619883</v>
      </c>
      <c r="Y2038" s="0" t="n">
        <f aca="false">SUMPRODUCT(MMULT(I2038:W2038,_XtX!$B$78:$P$92),I2038:W2038)</f>
        <v>0.564984237938597</v>
      </c>
      <c r="Z2038" s="0" t="n">
        <f aca="false">04_回帰ANOVA!$K$19*04_回帰ANOVA!$K$14*SQRT(1+Y2038)</f>
        <v>1.63062229734503</v>
      </c>
      <c r="AA2038" s="0" t="n">
        <f aca="false">X2038-Z2038</f>
        <v>41.613767322538</v>
      </c>
      <c r="AB2038" s="0" t="n">
        <f aca="false">X2038+Z2038</f>
        <v>44.8750119172281</v>
      </c>
      <c r="AC2038" s="54" t="b">
        <f aca="false">AND(E2038&gt;=01_因子設定!$L$5-0.000000001,E2038&lt;=01_因子設定!$M$5+0.000000001,F2038&gt;=01_因子設定!$L$6-0.000000001,F2038&lt;=01_因子設定!$M$6+0.000000001,G2038&gt;=01_因子設定!$L$7-0.000000001,G2038&lt;=01_因子設定!$M$7+0.000000001,H2038&gt;=01_因子設定!$L$8-0.000000001,H2038&lt;=01_因子設定!$M$8+0.000000001,IF(01_因子設定!$B$20="Box-Behnken",E2038^2+F2038^2+G2038^2+H2038^2&lt;=2+0.000000001,TRUE()))</f>
        <v>1</v>
      </c>
      <c r="AD2038" s="55" t="n">
        <f aca="false">IF(AC2038,IF(01_因子設定!$B$13="最大化",AA2038-01_因子設定!$B$14,IF(01_因子設定!$B$13="最小化",01_因子設定!$B$15-AB2038,MIN(AA2038-01_因子設定!$B$14,01_因子設定!$B$15-AB2038))),-1E+030)</f>
        <v>-4.886232677462</v>
      </c>
      <c r="AE2038" s="55" t="n">
        <f aca="false">IF(AC2038,IF(01_因子設定!$B$13="最大化",X2038,IF(01_因子設定!$B$13="最小化",-X2038,-ABS(X2038-01_因子設定!$B$16))),-1E+030)</f>
        <v>43.244389619883</v>
      </c>
      <c r="AF2038" s="55" t="n">
        <f aca="false">AD2038+ROW()*0.000000001</f>
        <v>-4.886230639462</v>
      </c>
      <c r="AG2038" s="55" t="n">
        <f aca="false">AE2038+ROW()*0.000000001</f>
        <v>43.244391657883</v>
      </c>
    </row>
    <row r="2039" customFormat="false" ht="15" hidden="false" customHeight="false" outlineLevel="0" collapsed="false">
      <c r="A2039" s="0" t="n">
        <v>2</v>
      </c>
      <c r="B2039" s="0" t="n">
        <v>7</v>
      </c>
      <c r="C2039" s="0" t="n">
        <v>1</v>
      </c>
      <c r="D2039" s="0" t="n">
        <v>0</v>
      </c>
      <c r="E2039" s="0" t="n">
        <f aca="false">-1+A2039*0.25</f>
        <v>-0.5</v>
      </c>
      <c r="F2039" s="0" t="n">
        <f aca="false">-1+B2039*0.25</f>
        <v>0.75</v>
      </c>
      <c r="G2039" s="0" t="n">
        <f aca="false">-1+C2039*0.25</f>
        <v>-0.75</v>
      </c>
      <c r="H2039" s="0" t="n">
        <f aca="false">-1+D2039*0.25</f>
        <v>-1</v>
      </c>
      <c r="I2039" s="0" t="n">
        <f aca="false">1</f>
        <v>1</v>
      </c>
      <c r="J2039" s="0" t="n">
        <f aca="false">E2039</f>
        <v>-0.5</v>
      </c>
      <c r="K2039" s="0" t="n">
        <f aca="false">F2039</f>
        <v>0.75</v>
      </c>
      <c r="L2039" s="0" t="n">
        <f aca="false">G2039</f>
        <v>-0.75</v>
      </c>
      <c r="M2039" s="0" t="n">
        <f aca="false">H2039</f>
        <v>-1</v>
      </c>
      <c r="N2039" s="0" t="n">
        <f aca="false">E2039*F2039</f>
        <v>-0.375</v>
      </c>
      <c r="O2039" s="0" t="n">
        <f aca="false">E2039*G2039</f>
        <v>0.375</v>
      </c>
      <c r="P2039" s="0" t="n">
        <f aca="false">E2039*H2039</f>
        <v>0.5</v>
      </c>
      <c r="Q2039" s="0" t="n">
        <f aca="false">F2039*G2039</f>
        <v>-0.5625</v>
      </c>
      <c r="R2039" s="0" t="n">
        <f aca="false">F2039*H2039</f>
        <v>-0.75</v>
      </c>
      <c r="S2039" s="0" t="n">
        <f aca="false">G2039*H2039</f>
        <v>0.75</v>
      </c>
      <c r="T2039" s="0" t="n">
        <f aca="false">E2039*E2039</f>
        <v>0.25</v>
      </c>
      <c r="U2039" s="0" t="n">
        <f aca="false">F2039*F2039</f>
        <v>0.5625</v>
      </c>
      <c r="V2039" s="0" t="n">
        <f aca="false">G2039*G2039</f>
        <v>0.5625</v>
      </c>
      <c r="W2039" s="0" t="n">
        <f aca="false">H2039*H2039</f>
        <v>1</v>
      </c>
      <c r="X2039" s="0" t="n">
        <f aca="false">SUMPRODUCT(I2039:W2039,_XtX!$B$96:$P$96)</f>
        <v>44.0644051535088</v>
      </c>
      <c r="Y2039" s="0" t="n">
        <f aca="false">SUMPRODUCT(MMULT(I2039:W2039,_XtX!$B$78:$P$92),I2039:W2039)</f>
        <v>0.431153771472953</v>
      </c>
      <c r="Z2039" s="0" t="n">
        <f aca="false">04_回帰ANOVA!$K$19*04_回帰ANOVA!$K$14*SQRT(1+Y2039)</f>
        <v>1.55934259562563</v>
      </c>
      <c r="AA2039" s="0" t="n">
        <f aca="false">X2039-Z2039</f>
        <v>42.5050625578831</v>
      </c>
      <c r="AB2039" s="0" t="n">
        <f aca="false">X2039+Z2039</f>
        <v>45.6237477491344</v>
      </c>
      <c r="AC2039" s="54" t="b">
        <f aca="false">AND(E2039&gt;=01_因子設定!$L$5-0.000000001,E2039&lt;=01_因子設定!$M$5+0.000000001,F2039&gt;=01_因子設定!$L$6-0.000000001,F2039&lt;=01_因子設定!$M$6+0.000000001,G2039&gt;=01_因子設定!$L$7-0.000000001,G2039&lt;=01_因子設定!$M$7+0.000000001,H2039&gt;=01_因子設定!$L$8-0.000000001,H2039&lt;=01_因子設定!$M$8+0.000000001,IF(01_因子設定!$B$20="Box-Behnken",E2039^2+F2039^2+G2039^2+H2039^2&lt;=2+0.000000001,TRUE()))</f>
        <v>1</v>
      </c>
      <c r="AD2039" s="55" t="n">
        <f aca="false">IF(AC2039,IF(01_因子設定!$B$13="最大化",AA2039-01_因子設定!$B$14,IF(01_因子設定!$B$13="最小化",01_因子設定!$B$15-AB2039,MIN(AA2039-01_因子設定!$B$14,01_因子設定!$B$15-AB2039))),-1E+030)</f>
        <v>-3.99493744211686</v>
      </c>
      <c r="AE2039" s="55" t="n">
        <f aca="false">IF(AC2039,IF(01_因子設定!$B$13="最大化",X2039,IF(01_因子設定!$B$13="最小化",-X2039,-ABS(X2039-01_因子設定!$B$16))),-1E+030)</f>
        <v>44.0644051535088</v>
      </c>
      <c r="AF2039" s="55" t="n">
        <f aca="false">AD2039+ROW()*0.000000001</f>
        <v>-3.99493540311686</v>
      </c>
      <c r="AG2039" s="55" t="n">
        <f aca="false">AE2039+ROW()*0.000000001</f>
        <v>44.0644071925088</v>
      </c>
    </row>
    <row r="2040" customFormat="false" ht="15" hidden="false" customHeight="false" outlineLevel="0" collapsed="false">
      <c r="A2040" s="0" t="n">
        <v>2</v>
      </c>
      <c r="B2040" s="0" t="n">
        <v>7</v>
      </c>
      <c r="C2040" s="0" t="n">
        <v>1</v>
      </c>
      <c r="D2040" s="0" t="n">
        <v>1</v>
      </c>
      <c r="E2040" s="0" t="n">
        <f aca="false">-1+A2040*0.25</f>
        <v>-0.5</v>
      </c>
      <c r="F2040" s="0" t="n">
        <f aca="false">-1+B2040*0.25</f>
        <v>0.75</v>
      </c>
      <c r="G2040" s="0" t="n">
        <f aca="false">-1+C2040*0.25</f>
        <v>-0.75</v>
      </c>
      <c r="H2040" s="0" t="n">
        <f aca="false">-1+D2040*0.25</f>
        <v>-0.75</v>
      </c>
      <c r="I2040" s="0" t="n">
        <f aca="false">1</f>
        <v>1</v>
      </c>
      <c r="J2040" s="0" t="n">
        <f aca="false">E2040</f>
        <v>-0.5</v>
      </c>
      <c r="K2040" s="0" t="n">
        <f aca="false">F2040</f>
        <v>0.75</v>
      </c>
      <c r="L2040" s="0" t="n">
        <f aca="false">G2040</f>
        <v>-0.75</v>
      </c>
      <c r="M2040" s="0" t="n">
        <f aca="false">H2040</f>
        <v>-0.75</v>
      </c>
      <c r="N2040" s="0" t="n">
        <f aca="false">E2040*F2040</f>
        <v>-0.375</v>
      </c>
      <c r="O2040" s="0" t="n">
        <f aca="false">E2040*G2040</f>
        <v>0.375</v>
      </c>
      <c r="P2040" s="0" t="n">
        <f aca="false">E2040*H2040</f>
        <v>0.375</v>
      </c>
      <c r="Q2040" s="0" t="n">
        <f aca="false">F2040*G2040</f>
        <v>-0.5625</v>
      </c>
      <c r="R2040" s="0" t="n">
        <f aca="false">F2040*H2040</f>
        <v>-0.5625</v>
      </c>
      <c r="S2040" s="0" t="n">
        <f aca="false">G2040*H2040</f>
        <v>0.5625</v>
      </c>
      <c r="T2040" s="0" t="n">
        <f aca="false">E2040*E2040</f>
        <v>0.25</v>
      </c>
      <c r="U2040" s="0" t="n">
        <f aca="false">F2040*F2040</f>
        <v>0.5625</v>
      </c>
      <c r="V2040" s="0" t="n">
        <f aca="false">G2040*G2040</f>
        <v>0.5625</v>
      </c>
      <c r="W2040" s="0" t="n">
        <f aca="false">H2040*H2040</f>
        <v>0.5625</v>
      </c>
      <c r="X2040" s="0" t="n">
        <f aca="false">SUMPRODUCT(I2040:W2040,_XtX!$B$96:$P$96)</f>
        <v>44.2237436038012</v>
      </c>
      <c r="Y2040" s="0" t="n">
        <f aca="false">SUMPRODUCT(MMULT(I2040:W2040,_XtX!$B$78:$P$92),I2040:W2040)</f>
        <v>0.265632138614766</v>
      </c>
      <c r="Z2040" s="0" t="n">
        <f aca="false">04_回帰ANOVA!$K$19*04_回帰ANOVA!$K$14*SQRT(1+Y2040)</f>
        <v>1.46639894654257</v>
      </c>
      <c r="AA2040" s="0" t="n">
        <f aca="false">X2040-Z2040</f>
        <v>42.7573446572586</v>
      </c>
      <c r="AB2040" s="0" t="n">
        <f aca="false">X2040+Z2040</f>
        <v>45.6901425503437</v>
      </c>
      <c r="AC2040" s="54" t="b">
        <f aca="false">AND(E2040&gt;=01_因子設定!$L$5-0.000000001,E2040&lt;=01_因子設定!$M$5+0.000000001,F2040&gt;=01_因子設定!$L$6-0.000000001,F2040&lt;=01_因子設定!$M$6+0.000000001,G2040&gt;=01_因子設定!$L$7-0.000000001,G2040&lt;=01_因子設定!$M$7+0.000000001,H2040&gt;=01_因子設定!$L$8-0.000000001,H2040&lt;=01_因子設定!$M$8+0.000000001,IF(01_因子設定!$B$20="Box-Behnken",E2040^2+F2040^2+G2040^2+H2040^2&lt;=2+0.000000001,TRUE()))</f>
        <v>1</v>
      </c>
      <c r="AD2040" s="55" t="n">
        <f aca="false">IF(AC2040,IF(01_因子設定!$B$13="最大化",AA2040-01_因子設定!$B$14,IF(01_因子設定!$B$13="最小化",01_因子設定!$B$15-AB2040,MIN(AA2040-01_因子設定!$B$14,01_因子設定!$B$15-AB2040))),-1E+030)</f>
        <v>-3.74265534274143</v>
      </c>
      <c r="AE2040" s="55" t="n">
        <f aca="false">IF(AC2040,IF(01_因子設定!$B$13="最大化",X2040,IF(01_因子設定!$B$13="最小化",-X2040,-ABS(X2040-01_因子設定!$B$16))),-1E+030)</f>
        <v>44.2237436038012</v>
      </c>
      <c r="AF2040" s="55" t="n">
        <f aca="false">AD2040+ROW()*0.000000001</f>
        <v>-3.74265330274143</v>
      </c>
      <c r="AG2040" s="55" t="n">
        <f aca="false">AE2040+ROW()*0.000000001</f>
        <v>44.2237456438011</v>
      </c>
    </row>
    <row r="2041" customFormat="false" ht="15" hidden="false" customHeight="false" outlineLevel="0" collapsed="false">
      <c r="A2041" s="0" t="n">
        <v>2</v>
      </c>
      <c r="B2041" s="0" t="n">
        <v>7</v>
      </c>
      <c r="C2041" s="0" t="n">
        <v>1</v>
      </c>
      <c r="D2041" s="0" t="n">
        <v>2</v>
      </c>
      <c r="E2041" s="0" t="n">
        <f aca="false">-1+A2041*0.25</f>
        <v>-0.5</v>
      </c>
      <c r="F2041" s="0" t="n">
        <f aca="false">-1+B2041*0.25</f>
        <v>0.75</v>
      </c>
      <c r="G2041" s="0" t="n">
        <f aca="false">-1+C2041*0.25</f>
        <v>-0.75</v>
      </c>
      <c r="H2041" s="0" t="n">
        <f aca="false">-1+D2041*0.25</f>
        <v>-0.5</v>
      </c>
      <c r="I2041" s="0" t="n">
        <f aca="false">1</f>
        <v>1</v>
      </c>
      <c r="J2041" s="0" t="n">
        <f aca="false">E2041</f>
        <v>-0.5</v>
      </c>
      <c r="K2041" s="0" t="n">
        <f aca="false">F2041</f>
        <v>0.75</v>
      </c>
      <c r="L2041" s="0" t="n">
        <f aca="false">G2041</f>
        <v>-0.75</v>
      </c>
      <c r="M2041" s="0" t="n">
        <f aca="false">H2041</f>
        <v>-0.5</v>
      </c>
      <c r="N2041" s="0" t="n">
        <f aca="false">E2041*F2041</f>
        <v>-0.375</v>
      </c>
      <c r="O2041" s="0" t="n">
        <f aca="false">E2041*G2041</f>
        <v>0.375</v>
      </c>
      <c r="P2041" s="0" t="n">
        <f aca="false">E2041*H2041</f>
        <v>0.25</v>
      </c>
      <c r="Q2041" s="0" t="n">
        <f aca="false">F2041*G2041</f>
        <v>-0.5625</v>
      </c>
      <c r="R2041" s="0" t="n">
        <f aca="false">F2041*H2041</f>
        <v>-0.375</v>
      </c>
      <c r="S2041" s="0" t="n">
        <f aca="false">G2041*H2041</f>
        <v>0.375</v>
      </c>
      <c r="T2041" s="0" t="n">
        <f aca="false">E2041*E2041</f>
        <v>0.25</v>
      </c>
      <c r="U2041" s="0" t="n">
        <f aca="false">F2041*F2041</f>
        <v>0.5625</v>
      </c>
      <c r="V2041" s="0" t="n">
        <f aca="false">G2041*G2041</f>
        <v>0.5625</v>
      </c>
      <c r="W2041" s="0" t="n">
        <f aca="false">H2041*H2041</f>
        <v>0.25</v>
      </c>
      <c r="X2041" s="0" t="n">
        <f aca="false">SUMPRODUCT(I2041:W2041,_XtX!$B$96:$P$96)</f>
        <v>44.3352750365497</v>
      </c>
      <c r="Y2041" s="0" t="n">
        <f aca="false">SUMPRODUCT(MMULT(I2041:W2041,_XtX!$B$78:$P$92),I2041:W2041)</f>
        <v>0.237862927174708</v>
      </c>
      <c r="Z2041" s="0" t="n">
        <f aca="false">04_回帰ANOVA!$K$19*04_回帰ANOVA!$K$14*SQRT(1+Y2041)</f>
        <v>1.45022260708756</v>
      </c>
      <c r="AA2041" s="0" t="n">
        <f aca="false">X2041-Z2041</f>
        <v>42.8850524294621</v>
      </c>
      <c r="AB2041" s="0" t="n">
        <f aca="false">X2041+Z2041</f>
        <v>45.7854976436372</v>
      </c>
      <c r="AC2041" s="54" t="b">
        <f aca="false">AND(E2041&gt;=01_因子設定!$L$5-0.000000001,E2041&lt;=01_因子設定!$M$5+0.000000001,F2041&gt;=01_因子設定!$L$6-0.000000001,F2041&lt;=01_因子設定!$M$6+0.000000001,G2041&gt;=01_因子設定!$L$7-0.000000001,G2041&lt;=01_因子設定!$M$7+0.000000001,H2041&gt;=01_因子設定!$L$8-0.000000001,H2041&lt;=01_因子設定!$M$8+0.000000001,IF(01_因子設定!$B$20="Box-Behnken",E2041^2+F2041^2+G2041^2+H2041^2&lt;=2+0.000000001,TRUE()))</f>
        <v>1</v>
      </c>
      <c r="AD2041" s="55" t="n">
        <f aca="false">IF(AC2041,IF(01_因子設定!$B$13="最大化",AA2041-01_因子設定!$B$14,IF(01_因子設定!$B$13="最小化",01_因子設定!$B$15-AB2041,MIN(AA2041-01_因子設定!$B$14,01_因子設定!$B$15-AB2041))),-1E+030)</f>
        <v>-3.61494757053789</v>
      </c>
      <c r="AE2041" s="55" t="n">
        <f aca="false">IF(AC2041,IF(01_因子設定!$B$13="最大化",X2041,IF(01_因子設定!$B$13="最小化",-X2041,-ABS(X2041-01_因子設定!$B$16))),-1E+030)</f>
        <v>44.3352750365497</v>
      </c>
      <c r="AF2041" s="55" t="n">
        <f aca="false">AD2041+ROW()*0.000000001</f>
        <v>-3.61494552953789</v>
      </c>
      <c r="AG2041" s="55" t="n">
        <f aca="false">AE2041+ROW()*0.000000001</f>
        <v>44.3352770775497</v>
      </c>
    </row>
    <row r="2042" customFormat="false" ht="15" hidden="false" customHeight="false" outlineLevel="0" collapsed="false">
      <c r="A2042" s="0" t="n">
        <v>2</v>
      </c>
      <c r="B2042" s="0" t="n">
        <v>7</v>
      </c>
      <c r="C2042" s="0" t="n">
        <v>1</v>
      </c>
      <c r="D2042" s="0" t="n">
        <v>3</v>
      </c>
      <c r="E2042" s="0" t="n">
        <f aca="false">-1+A2042*0.25</f>
        <v>-0.5</v>
      </c>
      <c r="F2042" s="0" t="n">
        <f aca="false">-1+B2042*0.25</f>
        <v>0.75</v>
      </c>
      <c r="G2042" s="0" t="n">
        <f aca="false">-1+C2042*0.25</f>
        <v>-0.75</v>
      </c>
      <c r="H2042" s="0" t="n">
        <f aca="false">-1+D2042*0.25</f>
        <v>-0.25</v>
      </c>
      <c r="I2042" s="0" t="n">
        <f aca="false">1</f>
        <v>1</v>
      </c>
      <c r="J2042" s="0" t="n">
        <f aca="false">E2042</f>
        <v>-0.5</v>
      </c>
      <c r="K2042" s="0" t="n">
        <f aca="false">F2042</f>
        <v>0.75</v>
      </c>
      <c r="L2042" s="0" t="n">
        <f aca="false">G2042</f>
        <v>-0.75</v>
      </c>
      <c r="M2042" s="0" t="n">
        <f aca="false">H2042</f>
        <v>-0.25</v>
      </c>
      <c r="N2042" s="0" t="n">
        <f aca="false">E2042*F2042</f>
        <v>-0.375</v>
      </c>
      <c r="O2042" s="0" t="n">
        <f aca="false">E2042*G2042</f>
        <v>0.375</v>
      </c>
      <c r="P2042" s="0" t="n">
        <f aca="false">E2042*H2042</f>
        <v>0.125</v>
      </c>
      <c r="Q2042" s="0" t="n">
        <f aca="false">F2042*G2042</f>
        <v>-0.5625</v>
      </c>
      <c r="R2042" s="0" t="n">
        <f aca="false">F2042*H2042</f>
        <v>-0.1875</v>
      </c>
      <c r="S2042" s="0" t="n">
        <f aca="false">G2042*H2042</f>
        <v>0.1875</v>
      </c>
      <c r="T2042" s="0" t="n">
        <f aca="false">E2042*E2042</f>
        <v>0.25</v>
      </c>
      <c r="U2042" s="0" t="n">
        <f aca="false">F2042*F2042</f>
        <v>0.5625</v>
      </c>
      <c r="V2042" s="0" t="n">
        <f aca="false">G2042*G2042</f>
        <v>0.5625</v>
      </c>
      <c r="W2042" s="0" t="n">
        <f aca="false">H2042*H2042</f>
        <v>0.0625</v>
      </c>
      <c r="X2042" s="0" t="n">
        <f aca="false">SUMPRODUCT(I2042:W2042,_XtX!$B$96:$P$96)</f>
        <v>44.3989994517544</v>
      </c>
      <c r="Y2042" s="0" t="n">
        <f aca="false">SUMPRODUCT(MMULT(I2042:W2042,_XtX!$B$78:$P$92),I2042:W2042)</f>
        <v>0.257385610836988</v>
      </c>
      <c r="Z2042" s="0" t="n">
        <f aca="false">04_回帰ANOVA!$K$19*04_回帰ANOVA!$K$14*SQRT(1+Y2042)</f>
        <v>1.46161380324158</v>
      </c>
      <c r="AA2042" s="0" t="n">
        <f aca="false">X2042-Z2042</f>
        <v>42.9373856485128</v>
      </c>
      <c r="AB2042" s="0" t="n">
        <f aca="false">X2042+Z2042</f>
        <v>45.8606132549959</v>
      </c>
      <c r="AC2042" s="54" t="b">
        <f aca="false">AND(E2042&gt;=01_因子設定!$L$5-0.000000001,E2042&lt;=01_因子設定!$M$5+0.000000001,F2042&gt;=01_因子設定!$L$6-0.000000001,F2042&lt;=01_因子設定!$M$6+0.000000001,G2042&gt;=01_因子設定!$L$7-0.000000001,G2042&lt;=01_因子設定!$M$7+0.000000001,H2042&gt;=01_因子設定!$L$8-0.000000001,H2042&lt;=01_因子設定!$M$8+0.000000001,IF(01_因子設定!$B$20="Box-Behnken",E2042^2+F2042^2+G2042^2+H2042^2&lt;=2+0.000000001,TRUE()))</f>
        <v>1</v>
      </c>
      <c r="AD2042" s="55" t="n">
        <f aca="false">IF(AC2042,IF(01_因子設定!$B$13="最大化",AA2042-01_因子設定!$B$14,IF(01_因子設定!$B$13="最小化",01_因子設定!$B$15-AB2042,MIN(AA2042-01_因子設定!$B$14,01_因子設定!$B$15-AB2042))),-1E+030)</f>
        <v>-3.56261435148723</v>
      </c>
      <c r="AE2042" s="55" t="n">
        <f aca="false">IF(AC2042,IF(01_因子設定!$B$13="最大化",X2042,IF(01_因子設定!$B$13="最小化",-X2042,-ABS(X2042-01_因子設定!$B$16))),-1E+030)</f>
        <v>44.3989994517544</v>
      </c>
      <c r="AF2042" s="55" t="n">
        <f aca="false">AD2042+ROW()*0.000000001</f>
        <v>-3.56261230948723</v>
      </c>
      <c r="AG2042" s="55" t="n">
        <f aca="false">AE2042+ROW()*0.000000001</f>
        <v>44.3990014937544</v>
      </c>
    </row>
    <row r="2043" customFormat="false" ht="15" hidden="false" customHeight="false" outlineLevel="0" collapsed="false">
      <c r="A2043" s="0" t="n">
        <v>2</v>
      </c>
      <c r="B2043" s="0" t="n">
        <v>7</v>
      </c>
      <c r="C2043" s="0" t="n">
        <v>1</v>
      </c>
      <c r="D2043" s="0" t="n">
        <v>4</v>
      </c>
      <c r="E2043" s="0" t="n">
        <f aca="false">-1+A2043*0.25</f>
        <v>-0.5</v>
      </c>
      <c r="F2043" s="0" t="n">
        <f aca="false">-1+B2043*0.25</f>
        <v>0.75</v>
      </c>
      <c r="G2043" s="0" t="n">
        <f aca="false">-1+C2043*0.25</f>
        <v>-0.75</v>
      </c>
      <c r="H2043" s="0" t="n">
        <f aca="false">-1+D2043*0.25</f>
        <v>0</v>
      </c>
      <c r="I2043" s="0" t="n">
        <f aca="false">1</f>
        <v>1</v>
      </c>
      <c r="J2043" s="0" t="n">
        <f aca="false">E2043</f>
        <v>-0.5</v>
      </c>
      <c r="K2043" s="0" t="n">
        <f aca="false">F2043</f>
        <v>0.75</v>
      </c>
      <c r="L2043" s="0" t="n">
        <f aca="false">G2043</f>
        <v>-0.75</v>
      </c>
      <c r="M2043" s="0" t="n">
        <f aca="false">H2043</f>
        <v>0</v>
      </c>
      <c r="N2043" s="0" t="n">
        <f aca="false">E2043*F2043</f>
        <v>-0.375</v>
      </c>
      <c r="O2043" s="0" t="n">
        <f aca="false">E2043*G2043</f>
        <v>0.375</v>
      </c>
      <c r="P2043" s="0" t="n">
        <f aca="false">E2043*H2043</f>
        <v>-0</v>
      </c>
      <c r="Q2043" s="0" t="n">
        <f aca="false">F2043*G2043</f>
        <v>-0.5625</v>
      </c>
      <c r="R2043" s="0" t="n">
        <f aca="false">F2043*H2043</f>
        <v>0</v>
      </c>
      <c r="S2043" s="0" t="n">
        <f aca="false">G2043*H2043</f>
        <v>-0</v>
      </c>
      <c r="T2043" s="0" t="n">
        <f aca="false">E2043*E2043</f>
        <v>0.25</v>
      </c>
      <c r="U2043" s="0" t="n">
        <f aca="false">F2043*F2043</f>
        <v>0.5625</v>
      </c>
      <c r="V2043" s="0" t="n">
        <f aca="false">G2043*G2043</f>
        <v>0.5625</v>
      </c>
      <c r="W2043" s="0" t="n">
        <f aca="false">H2043*H2043</f>
        <v>0</v>
      </c>
      <c r="X2043" s="0" t="n">
        <f aca="false">SUMPRODUCT(I2043:W2043,_XtX!$B$96:$P$96)</f>
        <v>44.4149168494152</v>
      </c>
      <c r="Y2043" s="0" t="n">
        <f aca="false">SUMPRODUCT(MMULT(I2043:W2043,_XtX!$B$78:$P$92),I2043:W2043)</f>
        <v>0.269923873812135</v>
      </c>
      <c r="Z2043" s="0" t="n">
        <f aca="false">04_回帰ANOVA!$K$19*04_回帰ANOVA!$K$14*SQRT(1+Y2043)</f>
        <v>1.46888310825501</v>
      </c>
      <c r="AA2043" s="0" t="n">
        <f aca="false">X2043-Z2043</f>
        <v>42.9460337411602</v>
      </c>
      <c r="AB2043" s="0" t="n">
        <f aca="false">X2043+Z2043</f>
        <v>45.8837999576702</v>
      </c>
      <c r="AC2043" s="54" t="b">
        <f aca="false">AND(E2043&gt;=01_因子設定!$L$5-0.000000001,E2043&lt;=01_因子設定!$M$5+0.000000001,F2043&gt;=01_因子設定!$L$6-0.000000001,F2043&lt;=01_因子設定!$M$6+0.000000001,G2043&gt;=01_因子設定!$L$7-0.000000001,G2043&lt;=01_因子設定!$M$7+0.000000001,H2043&gt;=01_因子設定!$L$8-0.000000001,H2043&lt;=01_因子設定!$M$8+0.000000001,IF(01_因子設定!$B$20="Box-Behnken",E2043^2+F2043^2+G2043^2+H2043^2&lt;=2+0.000000001,TRUE()))</f>
        <v>1</v>
      </c>
      <c r="AD2043" s="55" t="n">
        <f aca="false">IF(AC2043,IF(01_因子設定!$B$13="最大化",AA2043-01_因子設定!$B$14,IF(01_因子設定!$B$13="最小化",01_因子設定!$B$15-AB2043,MIN(AA2043-01_因子設定!$B$14,01_因子設定!$B$15-AB2043))),-1E+030)</f>
        <v>-3.55396625883984</v>
      </c>
      <c r="AE2043" s="55" t="n">
        <f aca="false">IF(AC2043,IF(01_因子設定!$B$13="最大化",X2043,IF(01_因子設定!$B$13="最小化",-X2043,-ABS(X2043-01_因子設定!$B$16))),-1E+030)</f>
        <v>44.4149168494152</v>
      </c>
      <c r="AF2043" s="55" t="n">
        <f aca="false">AD2043+ROW()*0.000000001</f>
        <v>-3.55396421583984</v>
      </c>
      <c r="AG2043" s="55" t="n">
        <f aca="false">AE2043+ROW()*0.000000001</f>
        <v>44.4149188924152</v>
      </c>
    </row>
    <row r="2044" customFormat="false" ht="15" hidden="false" customHeight="false" outlineLevel="0" collapsed="false">
      <c r="A2044" s="0" t="n">
        <v>2</v>
      </c>
      <c r="B2044" s="0" t="n">
        <v>7</v>
      </c>
      <c r="C2044" s="0" t="n">
        <v>1</v>
      </c>
      <c r="D2044" s="0" t="n">
        <v>5</v>
      </c>
      <c r="E2044" s="0" t="n">
        <f aca="false">-1+A2044*0.25</f>
        <v>-0.5</v>
      </c>
      <c r="F2044" s="0" t="n">
        <f aca="false">-1+B2044*0.25</f>
        <v>0.75</v>
      </c>
      <c r="G2044" s="0" t="n">
        <f aca="false">-1+C2044*0.25</f>
        <v>-0.75</v>
      </c>
      <c r="H2044" s="0" t="n">
        <f aca="false">-1+D2044*0.25</f>
        <v>0.25</v>
      </c>
      <c r="I2044" s="0" t="n">
        <f aca="false">1</f>
        <v>1</v>
      </c>
      <c r="J2044" s="0" t="n">
        <f aca="false">E2044</f>
        <v>-0.5</v>
      </c>
      <c r="K2044" s="0" t="n">
        <f aca="false">F2044</f>
        <v>0.75</v>
      </c>
      <c r="L2044" s="0" t="n">
        <f aca="false">G2044</f>
        <v>-0.75</v>
      </c>
      <c r="M2044" s="0" t="n">
        <f aca="false">H2044</f>
        <v>0.25</v>
      </c>
      <c r="N2044" s="0" t="n">
        <f aca="false">E2044*F2044</f>
        <v>-0.375</v>
      </c>
      <c r="O2044" s="0" t="n">
        <f aca="false">E2044*G2044</f>
        <v>0.375</v>
      </c>
      <c r="P2044" s="0" t="n">
        <f aca="false">E2044*H2044</f>
        <v>-0.125</v>
      </c>
      <c r="Q2044" s="0" t="n">
        <f aca="false">F2044*G2044</f>
        <v>-0.5625</v>
      </c>
      <c r="R2044" s="0" t="n">
        <f aca="false">F2044*H2044</f>
        <v>0.1875</v>
      </c>
      <c r="S2044" s="0" t="n">
        <f aca="false">G2044*H2044</f>
        <v>-0.1875</v>
      </c>
      <c r="T2044" s="0" t="n">
        <f aca="false">E2044*E2044</f>
        <v>0.25</v>
      </c>
      <c r="U2044" s="0" t="n">
        <f aca="false">F2044*F2044</f>
        <v>0.5625</v>
      </c>
      <c r="V2044" s="0" t="n">
        <f aca="false">G2044*G2044</f>
        <v>0.5625</v>
      </c>
      <c r="W2044" s="0" t="n">
        <f aca="false">H2044*H2044</f>
        <v>0.0625</v>
      </c>
      <c r="X2044" s="0" t="n">
        <f aca="false">SUMPRODUCT(I2044:W2044,_XtX!$B$96:$P$96)</f>
        <v>44.3830272295321</v>
      </c>
      <c r="Y2044" s="0" t="n">
        <f aca="false">SUMPRODUCT(MMULT(I2044:W2044,_XtX!$B$78:$P$92),I2044:W2044)</f>
        <v>0.257385610836988</v>
      </c>
      <c r="Z2044" s="0" t="n">
        <f aca="false">04_回帰ANOVA!$K$19*04_回帰ANOVA!$K$14*SQRT(1+Y2044)</f>
        <v>1.46161380324158</v>
      </c>
      <c r="AA2044" s="0" t="n">
        <f aca="false">X2044-Z2044</f>
        <v>42.9214134262905</v>
      </c>
      <c r="AB2044" s="0" t="n">
        <f aca="false">X2044+Z2044</f>
        <v>45.8446410327737</v>
      </c>
      <c r="AC2044" s="54" t="b">
        <f aca="false">AND(E2044&gt;=01_因子設定!$L$5-0.000000001,E2044&lt;=01_因子設定!$M$5+0.000000001,F2044&gt;=01_因子設定!$L$6-0.000000001,F2044&lt;=01_因子設定!$M$6+0.000000001,G2044&gt;=01_因子設定!$L$7-0.000000001,G2044&lt;=01_因子設定!$M$7+0.000000001,H2044&gt;=01_因子設定!$L$8-0.000000001,H2044&lt;=01_因子設定!$M$8+0.000000001,IF(01_因子設定!$B$20="Box-Behnken",E2044^2+F2044^2+G2044^2+H2044^2&lt;=2+0.000000001,TRUE()))</f>
        <v>1</v>
      </c>
      <c r="AD2044" s="55" t="n">
        <f aca="false">IF(AC2044,IF(01_因子設定!$B$13="最大化",AA2044-01_因子設定!$B$14,IF(01_因子設定!$B$13="最小化",01_因子設定!$B$15-AB2044,MIN(AA2044-01_因子設定!$B$14,01_因子設定!$B$15-AB2044))),-1E+030)</f>
        <v>-3.57858657370946</v>
      </c>
      <c r="AE2044" s="55" t="n">
        <f aca="false">IF(AC2044,IF(01_因子設定!$B$13="最大化",X2044,IF(01_因子設定!$B$13="最小化",-X2044,-ABS(X2044-01_因子設定!$B$16))),-1E+030)</f>
        <v>44.3830272295321</v>
      </c>
      <c r="AF2044" s="55" t="n">
        <f aca="false">AD2044+ROW()*0.000000001</f>
        <v>-3.57858452970946</v>
      </c>
      <c r="AG2044" s="55" t="n">
        <f aca="false">AE2044+ROW()*0.000000001</f>
        <v>44.3830292735321</v>
      </c>
    </row>
    <row r="2045" customFormat="false" ht="15" hidden="false" customHeight="false" outlineLevel="0" collapsed="false">
      <c r="A2045" s="0" t="n">
        <v>2</v>
      </c>
      <c r="B2045" s="0" t="n">
        <v>7</v>
      </c>
      <c r="C2045" s="0" t="n">
        <v>1</v>
      </c>
      <c r="D2045" s="0" t="n">
        <v>6</v>
      </c>
      <c r="E2045" s="0" t="n">
        <f aca="false">-1+A2045*0.25</f>
        <v>-0.5</v>
      </c>
      <c r="F2045" s="0" t="n">
        <f aca="false">-1+B2045*0.25</f>
        <v>0.75</v>
      </c>
      <c r="G2045" s="0" t="n">
        <f aca="false">-1+C2045*0.25</f>
        <v>-0.75</v>
      </c>
      <c r="H2045" s="0" t="n">
        <f aca="false">-1+D2045*0.25</f>
        <v>0.5</v>
      </c>
      <c r="I2045" s="0" t="n">
        <f aca="false">1</f>
        <v>1</v>
      </c>
      <c r="J2045" s="0" t="n">
        <f aca="false">E2045</f>
        <v>-0.5</v>
      </c>
      <c r="K2045" s="0" t="n">
        <f aca="false">F2045</f>
        <v>0.75</v>
      </c>
      <c r="L2045" s="0" t="n">
        <f aca="false">G2045</f>
        <v>-0.75</v>
      </c>
      <c r="M2045" s="0" t="n">
        <f aca="false">H2045</f>
        <v>0.5</v>
      </c>
      <c r="N2045" s="0" t="n">
        <f aca="false">E2045*F2045</f>
        <v>-0.375</v>
      </c>
      <c r="O2045" s="0" t="n">
        <f aca="false">E2045*G2045</f>
        <v>0.375</v>
      </c>
      <c r="P2045" s="0" t="n">
        <f aca="false">E2045*H2045</f>
        <v>-0.25</v>
      </c>
      <c r="Q2045" s="0" t="n">
        <f aca="false">F2045*G2045</f>
        <v>-0.5625</v>
      </c>
      <c r="R2045" s="0" t="n">
        <f aca="false">F2045*H2045</f>
        <v>0.375</v>
      </c>
      <c r="S2045" s="0" t="n">
        <f aca="false">G2045*H2045</f>
        <v>-0.375</v>
      </c>
      <c r="T2045" s="0" t="n">
        <f aca="false">E2045*E2045</f>
        <v>0.25</v>
      </c>
      <c r="U2045" s="0" t="n">
        <f aca="false">F2045*F2045</f>
        <v>0.5625</v>
      </c>
      <c r="V2045" s="0" t="n">
        <f aca="false">G2045*G2045</f>
        <v>0.5625</v>
      </c>
      <c r="W2045" s="0" t="n">
        <f aca="false">H2045*H2045</f>
        <v>0.25</v>
      </c>
      <c r="X2045" s="0" t="n">
        <f aca="false">SUMPRODUCT(I2045:W2045,_XtX!$B$96:$P$96)</f>
        <v>44.3033305921052</v>
      </c>
      <c r="Y2045" s="0" t="n">
        <f aca="false">SUMPRODUCT(MMULT(I2045:W2045,_XtX!$B$78:$P$92),I2045:W2045)</f>
        <v>0.237862927174708</v>
      </c>
      <c r="Z2045" s="0" t="n">
        <f aca="false">04_回帰ANOVA!$K$19*04_回帰ANOVA!$K$14*SQRT(1+Y2045)</f>
        <v>1.45022260708756</v>
      </c>
      <c r="AA2045" s="0" t="n">
        <f aca="false">X2045-Z2045</f>
        <v>42.8531079850177</v>
      </c>
      <c r="AB2045" s="0" t="n">
        <f aca="false">X2045+Z2045</f>
        <v>45.7535531991928</v>
      </c>
      <c r="AC2045" s="54" t="b">
        <f aca="false">AND(E2045&gt;=01_因子設定!$L$5-0.000000001,E2045&lt;=01_因子設定!$M$5+0.000000001,F2045&gt;=01_因子設定!$L$6-0.000000001,F2045&lt;=01_因子設定!$M$6+0.000000001,G2045&gt;=01_因子設定!$L$7-0.000000001,G2045&lt;=01_因子設定!$M$7+0.000000001,H2045&gt;=01_因子設定!$L$8-0.000000001,H2045&lt;=01_因子設定!$M$8+0.000000001,IF(01_因子設定!$B$20="Box-Behnken",E2045^2+F2045^2+G2045^2+H2045^2&lt;=2+0.000000001,TRUE()))</f>
        <v>1</v>
      </c>
      <c r="AD2045" s="55" t="n">
        <f aca="false">IF(AC2045,IF(01_因子設定!$B$13="最大化",AA2045-01_因子設定!$B$14,IF(01_因子設定!$B$13="最小化",01_因子設定!$B$15-AB2045,MIN(AA2045-01_因子設定!$B$14,01_因子設定!$B$15-AB2045))),-1E+030)</f>
        <v>-3.64689201498233</v>
      </c>
      <c r="AE2045" s="55" t="n">
        <f aca="false">IF(AC2045,IF(01_因子設定!$B$13="最大化",X2045,IF(01_因子設定!$B$13="最小化",-X2045,-ABS(X2045-01_因子設定!$B$16))),-1E+030)</f>
        <v>44.3033305921052</v>
      </c>
      <c r="AF2045" s="55" t="n">
        <f aca="false">AD2045+ROW()*0.000000001</f>
        <v>-3.64688996998233</v>
      </c>
      <c r="AG2045" s="55" t="n">
        <f aca="false">AE2045+ROW()*0.000000001</f>
        <v>44.3033326371052</v>
      </c>
    </row>
    <row r="2046" customFormat="false" ht="15" hidden="false" customHeight="false" outlineLevel="0" collapsed="false">
      <c r="A2046" s="0" t="n">
        <v>2</v>
      </c>
      <c r="B2046" s="0" t="n">
        <v>7</v>
      </c>
      <c r="C2046" s="0" t="n">
        <v>1</v>
      </c>
      <c r="D2046" s="0" t="n">
        <v>7</v>
      </c>
      <c r="E2046" s="0" t="n">
        <f aca="false">-1+A2046*0.25</f>
        <v>-0.5</v>
      </c>
      <c r="F2046" s="0" t="n">
        <f aca="false">-1+B2046*0.25</f>
        <v>0.75</v>
      </c>
      <c r="G2046" s="0" t="n">
        <f aca="false">-1+C2046*0.25</f>
        <v>-0.75</v>
      </c>
      <c r="H2046" s="0" t="n">
        <f aca="false">-1+D2046*0.25</f>
        <v>0.75</v>
      </c>
      <c r="I2046" s="0" t="n">
        <f aca="false">1</f>
        <v>1</v>
      </c>
      <c r="J2046" s="0" t="n">
        <f aca="false">E2046</f>
        <v>-0.5</v>
      </c>
      <c r="K2046" s="0" t="n">
        <f aca="false">F2046</f>
        <v>0.75</v>
      </c>
      <c r="L2046" s="0" t="n">
        <f aca="false">G2046</f>
        <v>-0.75</v>
      </c>
      <c r="M2046" s="0" t="n">
        <f aca="false">H2046</f>
        <v>0.75</v>
      </c>
      <c r="N2046" s="0" t="n">
        <f aca="false">E2046*F2046</f>
        <v>-0.375</v>
      </c>
      <c r="O2046" s="0" t="n">
        <f aca="false">E2046*G2046</f>
        <v>0.375</v>
      </c>
      <c r="P2046" s="0" t="n">
        <f aca="false">E2046*H2046</f>
        <v>-0.375</v>
      </c>
      <c r="Q2046" s="0" t="n">
        <f aca="false">F2046*G2046</f>
        <v>-0.5625</v>
      </c>
      <c r="R2046" s="0" t="n">
        <f aca="false">F2046*H2046</f>
        <v>0.5625</v>
      </c>
      <c r="S2046" s="0" t="n">
        <f aca="false">G2046*H2046</f>
        <v>-0.5625</v>
      </c>
      <c r="T2046" s="0" t="n">
        <f aca="false">E2046*E2046</f>
        <v>0.25</v>
      </c>
      <c r="U2046" s="0" t="n">
        <f aca="false">F2046*F2046</f>
        <v>0.5625</v>
      </c>
      <c r="V2046" s="0" t="n">
        <f aca="false">G2046*G2046</f>
        <v>0.5625</v>
      </c>
      <c r="W2046" s="0" t="n">
        <f aca="false">H2046*H2046</f>
        <v>0.5625</v>
      </c>
      <c r="X2046" s="0" t="n">
        <f aca="false">SUMPRODUCT(I2046:W2046,_XtX!$B$96:$P$96)</f>
        <v>44.1758269371345</v>
      </c>
      <c r="Y2046" s="0" t="n">
        <f aca="false">SUMPRODUCT(MMULT(I2046:W2046,_XtX!$B$78:$P$92),I2046:W2046)</f>
        <v>0.265632138614766</v>
      </c>
      <c r="Z2046" s="0" t="n">
        <f aca="false">04_回帰ANOVA!$K$19*04_回帰ANOVA!$K$14*SQRT(1+Y2046)</f>
        <v>1.46639894654257</v>
      </c>
      <c r="AA2046" s="0" t="n">
        <f aca="false">X2046-Z2046</f>
        <v>42.7094279905919</v>
      </c>
      <c r="AB2046" s="0" t="n">
        <f aca="false">X2046+Z2046</f>
        <v>45.6422258836771</v>
      </c>
      <c r="AC2046" s="54" t="b">
        <f aca="false">AND(E2046&gt;=01_因子設定!$L$5-0.000000001,E2046&lt;=01_因子設定!$M$5+0.000000001,F2046&gt;=01_因子設定!$L$6-0.000000001,F2046&lt;=01_因子設定!$M$6+0.000000001,G2046&gt;=01_因子設定!$L$7-0.000000001,G2046&lt;=01_因子設定!$M$7+0.000000001,H2046&gt;=01_因子設定!$L$8-0.000000001,H2046&lt;=01_因子設定!$M$8+0.000000001,IF(01_因子設定!$B$20="Box-Behnken",E2046^2+F2046^2+G2046^2+H2046^2&lt;=2+0.000000001,TRUE()))</f>
        <v>1</v>
      </c>
      <c r="AD2046" s="55" t="n">
        <f aca="false">IF(AC2046,IF(01_因子設定!$B$13="最大化",AA2046-01_因子設定!$B$14,IF(01_因子設定!$B$13="最小化",01_因子設定!$B$15-AB2046,MIN(AA2046-01_因子設定!$B$14,01_因子設定!$B$15-AB2046))),-1E+030)</f>
        <v>-3.7905720094081</v>
      </c>
      <c r="AE2046" s="55" t="n">
        <f aca="false">IF(AC2046,IF(01_因子設定!$B$13="最大化",X2046,IF(01_因子設定!$B$13="最小化",-X2046,-ABS(X2046-01_因子設定!$B$16))),-1E+030)</f>
        <v>44.1758269371345</v>
      </c>
      <c r="AF2046" s="55" t="n">
        <f aca="false">AD2046+ROW()*0.000000001</f>
        <v>-3.79056996340809</v>
      </c>
      <c r="AG2046" s="55" t="n">
        <f aca="false">AE2046+ROW()*0.000000001</f>
        <v>44.1758289831345</v>
      </c>
    </row>
    <row r="2047" customFormat="false" ht="15" hidden="false" customHeight="false" outlineLevel="0" collapsed="false">
      <c r="A2047" s="0" t="n">
        <v>2</v>
      </c>
      <c r="B2047" s="0" t="n">
        <v>7</v>
      </c>
      <c r="C2047" s="0" t="n">
        <v>1</v>
      </c>
      <c r="D2047" s="0" t="n">
        <v>8</v>
      </c>
      <c r="E2047" s="0" t="n">
        <f aca="false">-1+A2047*0.25</f>
        <v>-0.5</v>
      </c>
      <c r="F2047" s="0" t="n">
        <f aca="false">-1+B2047*0.25</f>
        <v>0.75</v>
      </c>
      <c r="G2047" s="0" t="n">
        <f aca="false">-1+C2047*0.25</f>
        <v>-0.75</v>
      </c>
      <c r="H2047" s="0" t="n">
        <f aca="false">-1+D2047*0.25</f>
        <v>1</v>
      </c>
      <c r="I2047" s="0" t="n">
        <f aca="false">1</f>
        <v>1</v>
      </c>
      <c r="J2047" s="0" t="n">
        <f aca="false">E2047</f>
        <v>-0.5</v>
      </c>
      <c r="K2047" s="0" t="n">
        <f aca="false">F2047</f>
        <v>0.75</v>
      </c>
      <c r="L2047" s="0" t="n">
        <f aca="false">G2047</f>
        <v>-0.75</v>
      </c>
      <c r="M2047" s="0" t="n">
        <f aca="false">H2047</f>
        <v>1</v>
      </c>
      <c r="N2047" s="0" t="n">
        <f aca="false">E2047*F2047</f>
        <v>-0.375</v>
      </c>
      <c r="O2047" s="0" t="n">
        <f aca="false">E2047*G2047</f>
        <v>0.375</v>
      </c>
      <c r="P2047" s="0" t="n">
        <f aca="false">E2047*H2047</f>
        <v>-0.5</v>
      </c>
      <c r="Q2047" s="0" t="n">
        <f aca="false">F2047*G2047</f>
        <v>-0.5625</v>
      </c>
      <c r="R2047" s="0" t="n">
        <f aca="false">F2047*H2047</f>
        <v>0.75</v>
      </c>
      <c r="S2047" s="0" t="n">
        <f aca="false">G2047*H2047</f>
        <v>-0.75</v>
      </c>
      <c r="T2047" s="0" t="n">
        <f aca="false">E2047*E2047</f>
        <v>0.25</v>
      </c>
      <c r="U2047" s="0" t="n">
        <f aca="false">F2047*F2047</f>
        <v>0.5625</v>
      </c>
      <c r="V2047" s="0" t="n">
        <f aca="false">G2047*G2047</f>
        <v>0.5625</v>
      </c>
      <c r="W2047" s="0" t="n">
        <f aca="false">H2047*H2047</f>
        <v>1</v>
      </c>
      <c r="X2047" s="0" t="n">
        <f aca="false">SUMPRODUCT(I2047:W2047,_XtX!$B$96:$P$96)</f>
        <v>44.0005162646199</v>
      </c>
      <c r="Y2047" s="0" t="n">
        <f aca="false">SUMPRODUCT(MMULT(I2047:W2047,_XtX!$B$78:$P$92),I2047:W2047)</f>
        <v>0.431153771472953</v>
      </c>
      <c r="Z2047" s="0" t="n">
        <f aca="false">04_回帰ANOVA!$K$19*04_回帰ANOVA!$K$14*SQRT(1+Y2047)</f>
        <v>1.55934259562563</v>
      </c>
      <c r="AA2047" s="0" t="n">
        <f aca="false">X2047-Z2047</f>
        <v>42.4411736689942</v>
      </c>
      <c r="AB2047" s="0" t="n">
        <f aca="false">X2047+Z2047</f>
        <v>45.5598588602455</v>
      </c>
      <c r="AC2047" s="54" t="b">
        <f aca="false">AND(E2047&gt;=01_因子設定!$L$5-0.000000001,E2047&lt;=01_因子設定!$M$5+0.000000001,F2047&gt;=01_因子設定!$L$6-0.000000001,F2047&lt;=01_因子設定!$M$6+0.000000001,G2047&gt;=01_因子設定!$L$7-0.000000001,G2047&lt;=01_因子設定!$M$7+0.000000001,H2047&gt;=01_因子設定!$L$8-0.000000001,H2047&lt;=01_因子設定!$M$8+0.000000001,IF(01_因子設定!$B$20="Box-Behnken",E2047^2+F2047^2+G2047^2+H2047^2&lt;=2+0.000000001,TRUE()))</f>
        <v>1</v>
      </c>
      <c r="AD2047" s="55" t="n">
        <f aca="false">IF(AC2047,IF(01_因子設定!$B$13="最大化",AA2047-01_因子設定!$B$14,IF(01_因子設定!$B$13="最小化",01_因子設定!$B$15-AB2047,MIN(AA2047-01_因子設定!$B$14,01_因子設定!$B$15-AB2047))),-1E+030)</f>
        <v>-4.05882633100575</v>
      </c>
      <c r="AE2047" s="55" t="n">
        <f aca="false">IF(AC2047,IF(01_因子設定!$B$13="最大化",X2047,IF(01_因子設定!$B$13="最小化",-X2047,-ABS(X2047-01_因子設定!$B$16))),-1E+030)</f>
        <v>44.0005162646199</v>
      </c>
      <c r="AF2047" s="55" t="n">
        <f aca="false">AD2047+ROW()*0.000000001</f>
        <v>-4.05882428400575</v>
      </c>
      <c r="AG2047" s="55" t="n">
        <f aca="false">AE2047+ROW()*0.000000001</f>
        <v>44.0005183116199</v>
      </c>
    </row>
    <row r="2048" customFormat="false" ht="15" hidden="false" customHeight="false" outlineLevel="0" collapsed="false">
      <c r="A2048" s="0" t="n">
        <v>2</v>
      </c>
      <c r="B2048" s="0" t="n">
        <v>7</v>
      </c>
      <c r="C2048" s="0" t="n">
        <v>2</v>
      </c>
      <c r="D2048" s="0" t="n">
        <v>0</v>
      </c>
      <c r="E2048" s="0" t="n">
        <f aca="false">-1+A2048*0.25</f>
        <v>-0.5</v>
      </c>
      <c r="F2048" s="0" t="n">
        <f aca="false">-1+B2048*0.25</f>
        <v>0.75</v>
      </c>
      <c r="G2048" s="0" t="n">
        <f aca="false">-1+C2048*0.25</f>
        <v>-0.5</v>
      </c>
      <c r="H2048" s="0" t="n">
        <f aca="false">-1+D2048*0.25</f>
        <v>-1</v>
      </c>
      <c r="I2048" s="0" t="n">
        <f aca="false">1</f>
        <v>1</v>
      </c>
      <c r="J2048" s="0" t="n">
        <f aca="false">E2048</f>
        <v>-0.5</v>
      </c>
      <c r="K2048" s="0" t="n">
        <f aca="false">F2048</f>
        <v>0.75</v>
      </c>
      <c r="L2048" s="0" t="n">
        <f aca="false">G2048</f>
        <v>-0.5</v>
      </c>
      <c r="M2048" s="0" t="n">
        <f aca="false">H2048</f>
        <v>-1</v>
      </c>
      <c r="N2048" s="0" t="n">
        <f aca="false">E2048*F2048</f>
        <v>-0.375</v>
      </c>
      <c r="O2048" s="0" t="n">
        <f aca="false">E2048*G2048</f>
        <v>0.25</v>
      </c>
      <c r="P2048" s="0" t="n">
        <f aca="false">E2048*H2048</f>
        <v>0.5</v>
      </c>
      <c r="Q2048" s="0" t="n">
        <f aca="false">F2048*G2048</f>
        <v>-0.375</v>
      </c>
      <c r="R2048" s="0" t="n">
        <f aca="false">F2048*H2048</f>
        <v>-0.75</v>
      </c>
      <c r="S2048" s="0" t="n">
        <f aca="false">G2048*H2048</f>
        <v>0.5</v>
      </c>
      <c r="T2048" s="0" t="n">
        <f aca="false">E2048*E2048</f>
        <v>0.25</v>
      </c>
      <c r="U2048" s="0" t="n">
        <f aca="false">F2048*F2048</f>
        <v>0.5625</v>
      </c>
      <c r="V2048" s="0" t="n">
        <f aca="false">G2048*G2048</f>
        <v>0.25</v>
      </c>
      <c r="W2048" s="0" t="n">
        <f aca="false">H2048*H2048</f>
        <v>1</v>
      </c>
      <c r="X2048" s="0" t="n">
        <f aca="false">SUMPRODUCT(I2048:W2048,_XtX!$B$96:$P$96)</f>
        <v>44.5914747807018</v>
      </c>
      <c r="Y2048" s="0" t="n">
        <f aca="false">SUMPRODUCT(MMULT(I2048:W2048,_XtX!$B$78:$P$92),I2048:W2048)</f>
        <v>0.42602110745614</v>
      </c>
      <c r="Z2048" s="0" t="n">
        <f aca="false">04_回帰ANOVA!$K$19*04_回帰ANOVA!$K$14*SQRT(1+Y2048)</f>
        <v>1.55654388501114</v>
      </c>
      <c r="AA2048" s="0" t="n">
        <f aca="false">X2048-Z2048</f>
        <v>43.0349308956906</v>
      </c>
      <c r="AB2048" s="0" t="n">
        <f aca="false">X2048+Z2048</f>
        <v>46.1480186657129</v>
      </c>
      <c r="AC2048" s="54" t="b">
        <f aca="false">AND(E2048&gt;=01_因子設定!$L$5-0.000000001,E2048&lt;=01_因子設定!$M$5+0.000000001,F2048&gt;=01_因子設定!$L$6-0.000000001,F2048&lt;=01_因子設定!$M$6+0.000000001,G2048&gt;=01_因子設定!$L$7-0.000000001,G2048&lt;=01_因子設定!$M$7+0.000000001,H2048&gt;=01_因子設定!$L$8-0.000000001,H2048&lt;=01_因子設定!$M$8+0.000000001,IF(01_因子設定!$B$20="Box-Behnken",E2048^2+F2048^2+G2048^2+H2048^2&lt;=2+0.000000001,TRUE()))</f>
        <v>1</v>
      </c>
      <c r="AD2048" s="55" t="n">
        <f aca="false">IF(AC2048,IF(01_因子設定!$B$13="最大化",AA2048-01_因子設定!$B$14,IF(01_因子設定!$B$13="最小化",01_因子設定!$B$15-AB2048,MIN(AA2048-01_因子設定!$B$14,01_因子設定!$B$15-AB2048))),-1E+030)</f>
        <v>-3.46506910430939</v>
      </c>
      <c r="AE2048" s="55" t="n">
        <f aca="false">IF(AC2048,IF(01_因子設定!$B$13="最大化",X2048,IF(01_因子設定!$B$13="最小化",-X2048,-ABS(X2048-01_因子設定!$B$16))),-1E+030)</f>
        <v>44.5914747807018</v>
      </c>
      <c r="AF2048" s="55" t="n">
        <f aca="false">AD2048+ROW()*0.000000001</f>
        <v>-3.46506705630939</v>
      </c>
      <c r="AG2048" s="55" t="n">
        <f aca="false">AE2048+ROW()*0.000000001</f>
        <v>44.5914768287018</v>
      </c>
    </row>
    <row r="2049" customFormat="false" ht="15" hidden="false" customHeight="false" outlineLevel="0" collapsed="false">
      <c r="A2049" s="0" t="n">
        <v>2</v>
      </c>
      <c r="B2049" s="0" t="n">
        <v>7</v>
      </c>
      <c r="C2049" s="0" t="n">
        <v>2</v>
      </c>
      <c r="D2049" s="0" t="n">
        <v>1</v>
      </c>
      <c r="E2049" s="0" t="n">
        <f aca="false">-1+A2049*0.25</f>
        <v>-0.5</v>
      </c>
      <c r="F2049" s="0" t="n">
        <f aca="false">-1+B2049*0.25</f>
        <v>0.75</v>
      </c>
      <c r="G2049" s="0" t="n">
        <f aca="false">-1+C2049*0.25</f>
        <v>-0.5</v>
      </c>
      <c r="H2049" s="0" t="n">
        <f aca="false">-1+D2049*0.25</f>
        <v>-0.75</v>
      </c>
      <c r="I2049" s="0" t="n">
        <f aca="false">1</f>
        <v>1</v>
      </c>
      <c r="J2049" s="0" t="n">
        <f aca="false">E2049</f>
        <v>-0.5</v>
      </c>
      <c r="K2049" s="0" t="n">
        <f aca="false">F2049</f>
        <v>0.75</v>
      </c>
      <c r="L2049" s="0" t="n">
        <f aca="false">G2049</f>
        <v>-0.5</v>
      </c>
      <c r="M2049" s="0" t="n">
        <f aca="false">H2049</f>
        <v>-0.75</v>
      </c>
      <c r="N2049" s="0" t="n">
        <f aca="false">E2049*F2049</f>
        <v>-0.375</v>
      </c>
      <c r="O2049" s="0" t="n">
        <f aca="false">E2049*G2049</f>
        <v>0.25</v>
      </c>
      <c r="P2049" s="0" t="n">
        <f aca="false">E2049*H2049</f>
        <v>0.375</v>
      </c>
      <c r="Q2049" s="0" t="n">
        <f aca="false">F2049*G2049</f>
        <v>-0.375</v>
      </c>
      <c r="R2049" s="0" t="n">
        <f aca="false">F2049*H2049</f>
        <v>-0.5625</v>
      </c>
      <c r="S2049" s="0" t="n">
        <f aca="false">G2049*H2049</f>
        <v>0.375</v>
      </c>
      <c r="T2049" s="0" t="n">
        <f aca="false">E2049*E2049</f>
        <v>0.25</v>
      </c>
      <c r="U2049" s="0" t="n">
        <f aca="false">F2049*F2049</f>
        <v>0.5625</v>
      </c>
      <c r="V2049" s="0" t="n">
        <f aca="false">G2049*G2049</f>
        <v>0.25</v>
      </c>
      <c r="W2049" s="0" t="n">
        <f aca="false">H2049*H2049</f>
        <v>0.5625</v>
      </c>
      <c r="X2049" s="0" t="n">
        <f aca="false">SUMPRODUCT(I2049:W2049,_XtX!$B$96:$P$96)</f>
        <v>44.7687819809941</v>
      </c>
      <c r="Y2049" s="0" t="n">
        <f aca="false">SUMPRODUCT(MMULT(I2049:W2049,_XtX!$B$78:$P$92),I2049:W2049)</f>
        <v>0.237862927174708</v>
      </c>
      <c r="Z2049" s="0" t="n">
        <f aca="false">04_回帰ANOVA!$K$19*04_回帰ANOVA!$K$14*SQRT(1+Y2049)</f>
        <v>1.45022260708756</v>
      </c>
      <c r="AA2049" s="0" t="n">
        <f aca="false">X2049-Z2049</f>
        <v>43.3185593739066</v>
      </c>
      <c r="AB2049" s="0" t="n">
        <f aca="false">X2049+Z2049</f>
        <v>46.2190045880817</v>
      </c>
      <c r="AC2049" s="54" t="b">
        <f aca="false">AND(E2049&gt;=01_因子設定!$L$5-0.000000001,E2049&lt;=01_因子設定!$M$5+0.000000001,F2049&gt;=01_因子設定!$L$6-0.000000001,F2049&lt;=01_因子設定!$M$6+0.000000001,G2049&gt;=01_因子設定!$L$7-0.000000001,G2049&lt;=01_因子設定!$M$7+0.000000001,H2049&gt;=01_因子設定!$L$8-0.000000001,H2049&lt;=01_因子設定!$M$8+0.000000001,IF(01_因子設定!$B$20="Box-Behnken",E2049^2+F2049^2+G2049^2+H2049^2&lt;=2+0.000000001,TRUE()))</f>
        <v>1</v>
      </c>
      <c r="AD2049" s="55" t="n">
        <f aca="false">IF(AC2049,IF(01_因子設定!$B$13="最大化",AA2049-01_因子設定!$B$14,IF(01_因子設定!$B$13="最小化",01_因子設定!$B$15-AB2049,MIN(AA2049-01_因子設定!$B$14,01_因子設定!$B$15-AB2049))),-1E+030)</f>
        <v>-3.18144062609343</v>
      </c>
      <c r="AE2049" s="55" t="n">
        <f aca="false">IF(AC2049,IF(01_因子設定!$B$13="最大化",X2049,IF(01_因子設定!$B$13="最小化",-X2049,-ABS(X2049-01_因子設定!$B$16))),-1E+030)</f>
        <v>44.7687819809941</v>
      </c>
      <c r="AF2049" s="55" t="n">
        <f aca="false">AD2049+ROW()*0.000000001</f>
        <v>-3.18143857709343</v>
      </c>
      <c r="AG2049" s="55" t="n">
        <f aca="false">AE2049+ROW()*0.000000001</f>
        <v>44.7687840299941</v>
      </c>
    </row>
    <row r="2050" customFormat="false" ht="15" hidden="false" customHeight="false" outlineLevel="0" collapsed="false">
      <c r="A2050" s="0" t="n">
        <v>2</v>
      </c>
      <c r="B2050" s="0" t="n">
        <v>7</v>
      </c>
      <c r="C2050" s="0" t="n">
        <v>2</v>
      </c>
      <c r="D2050" s="0" t="n">
        <v>2</v>
      </c>
      <c r="E2050" s="0" t="n">
        <f aca="false">-1+A2050*0.25</f>
        <v>-0.5</v>
      </c>
      <c r="F2050" s="0" t="n">
        <f aca="false">-1+B2050*0.25</f>
        <v>0.75</v>
      </c>
      <c r="G2050" s="0" t="n">
        <f aca="false">-1+C2050*0.25</f>
        <v>-0.5</v>
      </c>
      <c r="H2050" s="0" t="n">
        <f aca="false">-1+D2050*0.25</f>
        <v>-0.5</v>
      </c>
      <c r="I2050" s="0" t="n">
        <f aca="false">1</f>
        <v>1</v>
      </c>
      <c r="J2050" s="0" t="n">
        <f aca="false">E2050</f>
        <v>-0.5</v>
      </c>
      <c r="K2050" s="0" t="n">
        <f aca="false">F2050</f>
        <v>0.75</v>
      </c>
      <c r="L2050" s="0" t="n">
        <f aca="false">G2050</f>
        <v>-0.5</v>
      </c>
      <c r="M2050" s="0" t="n">
        <f aca="false">H2050</f>
        <v>-0.5</v>
      </c>
      <c r="N2050" s="0" t="n">
        <f aca="false">E2050*F2050</f>
        <v>-0.375</v>
      </c>
      <c r="O2050" s="0" t="n">
        <f aca="false">E2050*G2050</f>
        <v>0.25</v>
      </c>
      <c r="P2050" s="0" t="n">
        <f aca="false">E2050*H2050</f>
        <v>0.25</v>
      </c>
      <c r="Q2050" s="0" t="n">
        <f aca="false">F2050*G2050</f>
        <v>-0.375</v>
      </c>
      <c r="R2050" s="0" t="n">
        <f aca="false">F2050*H2050</f>
        <v>-0.375</v>
      </c>
      <c r="S2050" s="0" t="n">
        <f aca="false">G2050*H2050</f>
        <v>0.25</v>
      </c>
      <c r="T2050" s="0" t="n">
        <f aca="false">E2050*E2050</f>
        <v>0.25</v>
      </c>
      <c r="U2050" s="0" t="n">
        <f aca="false">F2050*F2050</f>
        <v>0.5625</v>
      </c>
      <c r="V2050" s="0" t="n">
        <f aca="false">G2050*G2050</f>
        <v>0.25</v>
      </c>
      <c r="W2050" s="0" t="n">
        <f aca="false">H2050*H2050</f>
        <v>0.25</v>
      </c>
      <c r="X2050" s="0" t="n">
        <f aca="false">SUMPRODUCT(I2050:W2050,_XtX!$B$96:$P$96)</f>
        <v>44.8982821637427</v>
      </c>
      <c r="Y2050" s="0" t="n">
        <f aca="false">SUMPRODUCT(MMULT(I2050:W2050,_XtX!$B$78:$P$92),I2050:W2050)</f>
        <v>0.193924753289474</v>
      </c>
      <c r="Z2050" s="0" t="n">
        <f aca="false">04_回帰ANOVA!$K$19*04_回帰ANOVA!$K$14*SQRT(1+Y2050)</f>
        <v>1.4242521079916</v>
      </c>
      <c r="AA2050" s="0" t="n">
        <f aca="false">X2050-Z2050</f>
        <v>43.4740300557511</v>
      </c>
      <c r="AB2050" s="0" t="n">
        <f aca="false">X2050+Z2050</f>
        <v>46.3225342717343</v>
      </c>
      <c r="AC2050" s="54" t="b">
        <f aca="false">AND(E2050&gt;=01_因子設定!$L$5-0.000000001,E2050&lt;=01_因子設定!$M$5+0.000000001,F2050&gt;=01_因子設定!$L$6-0.000000001,F2050&lt;=01_因子設定!$M$6+0.000000001,G2050&gt;=01_因子設定!$L$7-0.000000001,G2050&lt;=01_因子設定!$M$7+0.000000001,H2050&gt;=01_因子設定!$L$8-0.000000001,H2050&lt;=01_因子設定!$M$8+0.000000001,IF(01_因子設定!$B$20="Box-Behnken",E2050^2+F2050^2+G2050^2+H2050^2&lt;=2+0.000000001,TRUE()))</f>
        <v>1</v>
      </c>
      <c r="AD2050" s="55" t="n">
        <f aca="false">IF(AC2050,IF(01_因子設定!$B$13="最大化",AA2050-01_因子設定!$B$14,IF(01_因子設定!$B$13="最小化",01_因子設定!$B$15-AB2050,MIN(AA2050-01_因子設定!$B$14,01_因子設定!$B$15-AB2050))),-1E+030)</f>
        <v>-3.02596994424894</v>
      </c>
      <c r="AE2050" s="55" t="n">
        <f aca="false">IF(AC2050,IF(01_因子設定!$B$13="最大化",X2050,IF(01_因子設定!$B$13="最小化",-X2050,-ABS(X2050-01_因子設定!$B$16))),-1E+030)</f>
        <v>44.8982821637427</v>
      </c>
      <c r="AF2050" s="55" t="n">
        <f aca="false">AD2050+ROW()*0.000000001</f>
        <v>-3.02596789424894</v>
      </c>
      <c r="AG2050" s="55" t="n">
        <f aca="false">AE2050+ROW()*0.000000001</f>
        <v>44.8982842137427</v>
      </c>
    </row>
    <row r="2051" customFormat="false" ht="15" hidden="false" customHeight="false" outlineLevel="0" collapsed="false">
      <c r="A2051" s="0" t="n">
        <v>2</v>
      </c>
      <c r="B2051" s="0" t="n">
        <v>7</v>
      </c>
      <c r="C2051" s="0" t="n">
        <v>2</v>
      </c>
      <c r="D2051" s="0" t="n">
        <v>3</v>
      </c>
      <c r="E2051" s="0" t="n">
        <f aca="false">-1+A2051*0.25</f>
        <v>-0.5</v>
      </c>
      <c r="F2051" s="0" t="n">
        <f aca="false">-1+B2051*0.25</f>
        <v>0.75</v>
      </c>
      <c r="G2051" s="0" t="n">
        <f aca="false">-1+C2051*0.25</f>
        <v>-0.5</v>
      </c>
      <c r="H2051" s="0" t="n">
        <f aca="false">-1+D2051*0.25</f>
        <v>-0.25</v>
      </c>
      <c r="I2051" s="0" t="n">
        <f aca="false">1</f>
        <v>1</v>
      </c>
      <c r="J2051" s="0" t="n">
        <f aca="false">E2051</f>
        <v>-0.5</v>
      </c>
      <c r="K2051" s="0" t="n">
        <f aca="false">F2051</f>
        <v>0.75</v>
      </c>
      <c r="L2051" s="0" t="n">
        <f aca="false">G2051</f>
        <v>-0.5</v>
      </c>
      <c r="M2051" s="0" t="n">
        <f aca="false">H2051</f>
        <v>-0.25</v>
      </c>
      <c r="N2051" s="0" t="n">
        <f aca="false">E2051*F2051</f>
        <v>-0.375</v>
      </c>
      <c r="O2051" s="0" t="n">
        <f aca="false">E2051*G2051</f>
        <v>0.25</v>
      </c>
      <c r="P2051" s="0" t="n">
        <f aca="false">E2051*H2051</f>
        <v>0.125</v>
      </c>
      <c r="Q2051" s="0" t="n">
        <f aca="false">F2051*G2051</f>
        <v>-0.375</v>
      </c>
      <c r="R2051" s="0" t="n">
        <f aca="false">F2051*H2051</f>
        <v>-0.1875</v>
      </c>
      <c r="S2051" s="0" t="n">
        <f aca="false">G2051*H2051</f>
        <v>0.125</v>
      </c>
      <c r="T2051" s="0" t="n">
        <f aca="false">E2051*E2051</f>
        <v>0.25</v>
      </c>
      <c r="U2051" s="0" t="n">
        <f aca="false">F2051*F2051</f>
        <v>0.5625</v>
      </c>
      <c r="V2051" s="0" t="n">
        <f aca="false">G2051*G2051</f>
        <v>0.25</v>
      </c>
      <c r="W2051" s="0" t="n">
        <f aca="false">H2051*H2051</f>
        <v>0.0625</v>
      </c>
      <c r="X2051" s="0" t="n">
        <f aca="false">SUMPRODUCT(I2051:W2051,_XtX!$B$96:$P$96)</f>
        <v>44.9799753289473</v>
      </c>
      <c r="Y2051" s="0" t="n">
        <f aca="false">SUMPRODUCT(MMULT(I2051:W2051,_XtX!$B$78:$P$92),I2051:W2051)</f>
        <v>0.203746059484649</v>
      </c>
      <c r="Z2051" s="0" t="n">
        <f aca="false">04_回帰ANOVA!$K$19*04_回帰ANOVA!$K$14*SQRT(1+Y2051)</f>
        <v>1.43009810755465</v>
      </c>
      <c r="AA2051" s="0" t="n">
        <f aca="false">X2051-Z2051</f>
        <v>43.5498772213927</v>
      </c>
      <c r="AB2051" s="0" t="n">
        <f aca="false">X2051+Z2051</f>
        <v>46.410073436502</v>
      </c>
      <c r="AC2051" s="54" t="b">
        <f aca="false">AND(E2051&gt;=01_因子設定!$L$5-0.000000001,E2051&lt;=01_因子設定!$M$5+0.000000001,F2051&gt;=01_因子設定!$L$6-0.000000001,F2051&lt;=01_因子設定!$M$6+0.000000001,G2051&gt;=01_因子設定!$L$7-0.000000001,G2051&lt;=01_因子設定!$M$7+0.000000001,H2051&gt;=01_因子設定!$L$8-0.000000001,H2051&lt;=01_因子設定!$M$8+0.000000001,IF(01_因子設定!$B$20="Box-Behnken",E2051^2+F2051^2+G2051^2+H2051^2&lt;=2+0.000000001,TRUE()))</f>
        <v>1</v>
      </c>
      <c r="AD2051" s="55" t="n">
        <f aca="false">IF(AC2051,IF(01_因子設定!$B$13="最大化",AA2051-01_因子設定!$B$14,IF(01_因子設定!$B$13="最小化",01_因子設定!$B$15-AB2051,MIN(AA2051-01_因子設定!$B$14,01_因子設定!$B$15-AB2051))),-1E+030)</f>
        <v>-2.95012277860732</v>
      </c>
      <c r="AE2051" s="55" t="n">
        <f aca="false">IF(AC2051,IF(01_因子設定!$B$13="最大化",X2051,IF(01_因子設定!$B$13="最小化",-X2051,-ABS(X2051-01_因子設定!$B$16))),-1E+030)</f>
        <v>44.9799753289473</v>
      </c>
      <c r="AF2051" s="55" t="n">
        <f aca="false">AD2051+ROW()*0.000000001</f>
        <v>-2.95012072760732</v>
      </c>
      <c r="AG2051" s="55" t="n">
        <f aca="false">AE2051+ROW()*0.000000001</f>
        <v>44.9799773799473</v>
      </c>
    </row>
    <row r="2052" customFormat="false" ht="15" hidden="false" customHeight="false" outlineLevel="0" collapsed="false">
      <c r="A2052" s="0" t="n">
        <v>2</v>
      </c>
      <c r="B2052" s="0" t="n">
        <v>7</v>
      </c>
      <c r="C2052" s="0" t="n">
        <v>2</v>
      </c>
      <c r="D2052" s="0" t="n">
        <v>4</v>
      </c>
      <c r="E2052" s="0" t="n">
        <f aca="false">-1+A2052*0.25</f>
        <v>-0.5</v>
      </c>
      <c r="F2052" s="0" t="n">
        <f aca="false">-1+B2052*0.25</f>
        <v>0.75</v>
      </c>
      <c r="G2052" s="0" t="n">
        <f aca="false">-1+C2052*0.25</f>
        <v>-0.5</v>
      </c>
      <c r="H2052" s="0" t="n">
        <f aca="false">-1+D2052*0.25</f>
        <v>0</v>
      </c>
      <c r="I2052" s="0" t="n">
        <f aca="false">1</f>
        <v>1</v>
      </c>
      <c r="J2052" s="0" t="n">
        <f aca="false">E2052</f>
        <v>-0.5</v>
      </c>
      <c r="K2052" s="0" t="n">
        <f aca="false">F2052</f>
        <v>0.75</v>
      </c>
      <c r="L2052" s="0" t="n">
        <f aca="false">G2052</f>
        <v>-0.5</v>
      </c>
      <c r="M2052" s="0" t="n">
        <f aca="false">H2052</f>
        <v>0</v>
      </c>
      <c r="N2052" s="0" t="n">
        <f aca="false">E2052*F2052</f>
        <v>-0.375</v>
      </c>
      <c r="O2052" s="0" t="n">
        <f aca="false">E2052*G2052</f>
        <v>0.25</v>
      </c>
      <c r="P2052" s="0" t="n">
        <f aca="false">E2052*H2052</f>
        <v>-0</v>
      </c>
      <c r="Q2052" s="0" t="n">
        <f aca="false">F2052*G2052</f>
        <v>-0.375</v>
      </c>
      <c r="R2052" s="0" t="n">
        <f aca="false">F2052*H2052</f>
        <v>0</v>
      </c>
      <c r="S2052" s="0" t="n">
        <f aca="false">G2052*H2052</f>
        <v>-0</v>
      </c>
      <c r="T2052" s="0" t="n">
        <f aca="false">E2052*E2052</f>
        <v>0.25</v>
      </c>
      <c r="U2052" s="0" t="n">
        <f aca="false">F2052*F2052</f>
        <v>0.5625</v>
      </c>
      <c r="V2052" s="0" t="n">
        <f aca="false">G2052*G2052</f>
        <v>0.25</v>
      </c>
      <c r="W2052" s="0" t="n">
        <f aca="false">H2052*H2052</f>
        <v>0</v>
      </c>
      <c r="X2052" s="0" t="n">
        <f aca="false">SUMPRODUCT(I2052:W2052,_XtX!$B$96:$P$96)</f>
        <v>45.0138614766081</v>
      </c>
      <c r="Y2052" s="0" t="n">
        <f aca="false">SUMPRODUCT(MMULT(I2052:W2052,_XtX!$B$78:$P$92),I2052:W2052)</f>
        <v>0.21305052997076</v>
      </c>
      <c r="Z2052" s="0" t="n">
        <f aca="false">04_回帰ANOVA!$K$19*04_回帰ANOVA!$K$14*SQRT(1+Y2052)</f>
        <v>1.43561450835061</v>
      </c>
      <c r="AA2052" s="0" t="n">
        <f aca="false">X2052-Z2052</f>
        <v>43.5782469682575</v>
      </c>
      <c r="AB2052" s="0" t="n">
        <f aca="false">X2052+Z2052</f>
        <v>46.4494759849587</v>
      </c>
      <c r="AC2052" s="54" t="b">
        <f aca="false">AND(E2052&gt;=01_因子設定!$L$5-0.000000001,E2052&lt;=01_因子設定!$M$5+0.000000001,F2052&gt;=01_因子設定!$L$6-0.000000001,F2052&lt;=01_因子設定!$M$6+0.000000001,G2052&gt;=01_因子設定!$L$7-0.000000001,G2052&lt;=01_因子設定!$M$7+0.000000001,H2052&gt;=01_因子設定!$L$8-0.000000001,H2052&lt;=01_因子設定!$M$8+0.000000001,IF(01_因子設定!$B$20="Box-Behnken",E2052^2+F2052^2+G2052^2+H2052^2&lt;=2+0.000000001,TRUE()))</f>
        <v>1</v>
      </c>
      <c r="AD2052" s="55" t="n">
        <f aca="false">IF(AC2052,IF(01_因子設定!$B$13="最大化",AA2052-01_因子設定!$B$14,IF(01_因子設定!$B$13="最小化",01_因子設定!$B$15-AB2052,MIN(AA2052-01_因子設定!$B$14,01_因子設定!$B$15-AB2052))),-1E+030)</f>
        <v>-2.92175303174246</v>
      </c>
      <c r="AE2052" s="55" t="n">
        <f aca="false">IF(AC2052,IF(01_因子設定!$B$13="最大化",X2052,IF(01_因子設定!$B$13="最小化",-X2052,-ABS(X2052-01_因子設定!$B$16))),-1E+030)</f>
        <v>45.0138614766081</v>
      </c>
      <c r="AF2052" s="55" t="n">
        <f aca="false">AD2052+ROW()*0.000000001</f>
        <v>-2.92175097974246</v>
      </c>
      <c r="AG2052" s="55" t="n">
        <f aca="false">AE2052+ROW()*0.000000001</f>
        <v>45.0138635286081</v>
      </c>
    </row>
    <row r="2053" customFormat="false" ht="15" hidden="false" customHeight="false" outlineLevel="0" collapsed="false">
      <c r="A2053" s="0" t="n">
        <v>2</v>
      </c>
      <c r="B2053" s="0" t="n">
        <v>7</v>
      </c>
      <c r="C2053" s="0" t="n">
        <v>2</v>
      </c>
      <c r="D2053" s="0" t="n">
        <v>5</v>
      </c>
      <c r="E2053" s="0" t="n">
        <f aca="false">-1+A2053*0.25</f>
        <v>-0.5</v>
      </c>
      <c r="F2053" s="0" t="n">
        <f aca="false">-1+B2053*0.25</f>
        <v>0.75</v>
      </c>
      <c r="G2053" s="0" t="n">
        <f aca="false">-1+C2053*0.25</f>
        <v>-0.5</v>
      </c>
      <c r="H2053" s="0" t="n">
        <f aca="false">-1+D2053*0.25</f>
        <v>0.25</v>
      </c>
      <c r="I2053" s="0" t="n">
        <f aca="false">1</f>
        <v>1</v>
      </c>
      <c r="J2053" s="0" t="n">
        <f aca="false">E2053</f>
        <v>-0.5</v>
      </c>
      <c r="K2053" s="0" t="n">
        <f aca="false">F2053</f>
        <v>0.75</v>
      </c>
      <c r="L2053" s="0" t="n">
        <f aca="false">G2053</f>
        <v>-0.5</v>
      </c>
      <c r="M2053" s="0" t="n">
        <f aca="false">H2053</f>
        <v>0.25</v>
      </c>
      <c r="N2053" s="0" t="n">
        <f aca="false">E2053*F2053</f>
        <v>-0.375</v>
      </c>
      <c r="O2053" s="0" t="n">
        <f aca="false">E2053*G2053</f>
        <v>0.25</v>
      </c>
      <c r="P2053" s="0" t="n">
        <f aca="false">E2053*H2053</f>
        <v>-0.125</v>
      </c>
      <c r="Q2053" s="0" t="n">
        <f aca="false">F2053*G2053</f>
        <v>-0.375</v>
      </c>
      <c r="R2053" s="0" t="n">
        <f aca="false">F2053*H2053</f>
        <v>0.1875</v>
      </c>
      <c r="S2053" s="0" t="n">
        <f aca="false">G2053*H2053</f>
        <v>-0.125</v>
      </c>
      <c r="T2053" s="0" t="n">
        <f aca="false">E2053*E2053</f>
        <v>0.25</v>
      </c>
      <c r="U2053" s="0" t="n">
        <f aca="false">F2053*F2053</f>
        <v>0.5625</v>
      </c>
      <c r="V2053" s="0" t="n">
        <f aca="false">G2053*G2053</f>
        <v>0.25</v>
      </c>
      <c r="W2053" s="0" t="n">
        <f aca="false">H2053*H2053</f>
        <v>0.0625</v>
      </c>
      <c r="X2053" s="0" t="n">
        <f aca="false">SUMPRODUCT(I2053:W2053,_XtX!$B$96:$P$96)</f>
        <v>44.9999406067251</v>
      </c>
      <c r="Y2053" s="0" t="n">
        <f aca="false">SUMPRODUCT(MMULT(I2053:W2053,_XtX!$B$78:$P$92),I2053:W2053)</f>
        <v>0.203746059484649</v>
      </c>
      <c r="Z2053" s="0" t="n">
        <f aca="false">04_回帰ANOVA!$K$19*04_回帰ANOVA!$K$14*SQRT(1+Y2053)</f>
        <v>1.43009810755465</v>
      </c>
      <c r="AA2053" s="0" t="n">
        <f aca="false">X2053-Z2053</f>
        <v>43.5698424991705</v>
      </c>
      <c r="AB2053" s="0" t="n">
        <f aca="false">X2053+Z2053</f>
        <v>46.4300387142798</v>
      </c>
      <c r="AC2053" s="54" t="b">
        <f aca="false">AND(E2053&gt;=01_因子設定!$L$5-0.000000001,E2053&lt;=01_因子設定!$M$5+0.000000001,F2053&gt;=01_因子設定!$L$6-0.000000001,F2053&lt;=01_因子設定!$M$6+0.000000001,G2053&gt;=01_因子設定!$L$7-0.000000001,G2053&lt;=01_因子設定!$M$7+0.000000001,H2053&gt;=01_因子設定!$L$8-0.000000001,H2053&lt;=01_因子設定!$M$8+0.000000001,IF(01_因子設定!$B$20="Box-Behnken",E2053^2+F2053^2+G2053^2+H2053^2&lt;=2+0.000000001,TRUE()))</f>
        <v>1</v>
      </c>
      <c r="AD2053" s="55" t="n">
        <f aca="false">IF(AC2053,IF(01_因子設定!$B$13="最大化",AA2053-01_因子設定!$B$14,IF(01_因子設定!$B$13="最小化",01_因子設定!$B$15-AB2053,MIN(AA2053-01_因子設定!$B$14,01_因子設定!$B$15-AB2053))),-1E+030)</f>
        <v>-2.93015750082954</v>
      </c>
      <c r="AE2053" s="55" t="n">
        <f aca="false">IF(AC2053,IF(01_因子設定!$B$13="最大化",X2053,IF(01_因子設定!$B$13="最小化",-X2053,-ABS(X2053-01_因子設定!$B$16))),-1E+030)</f>
        <v>44.9999406067251</v>
      </c>
      <c r="AF2053" s="55" t="n">
        <f aca="false">AD2053+ROW()*0.000000001</f>
        <v>-2.93015544782954</v>
      </c>
      <c r="AG2053" s="55" t="n">
        <f aca="false">AE2053+ROW()*0.000000001</f>
        <v>44.9999426597251</v>
      </c>
    </row>
    <row r="2054" customFormat="false" ht="15" hidden="false" customHeight="false" outlineLevel="0" collapsed="false">
      <c r="A2054" s="0" t="n">
        <v>2</v>
      </c>
      <c r="B2054" s="0" t="n">
        <v>7</v>
      </c>
      <c r="C2054" s="0" t="n">
        <v>2</v>
      </c>
      <c r="D2054" s="0" t="n">
        <v>6</v>
      </c>
      <c r="E2054" s="0" t="n">
        <f aca="false">-1+A2054*0.25</f>
        <v>-0.5</v>
      </c>
      <c r="F2054" s="0" t="n">
        <f aca="false">-1+B2054*0.25</f>
        <v>0.75</v>
      </c>
      <c r="G2054" s="0" t="n">
        <f aca="false">-1+C2054*0.25</f>
        <v>-0.5</v>
      </c>
      <c r="H2054" s="0" t="n">
        <f aca="false">-1+D2054*0.25</f>
        <v>0.5</v>
      </c>
      <c r="I2054" s="0" t="n">
        <f aca="false">1</f>
        <v>1</v>
      </c>
      <c r="J2054" s="0" t="n">
        <f aca="false">E2054</f>
        <v>-0.5</v>
      </c>
      <c r="K2054" s="0" t="n">
        <f aca="false">F2054</f>
        <v>0.75</v>
      </c>
      <c r="L2054" s="0" t="n">
        <f aca="false">G2054</f>
        <v>-0.5</v>
      </c>
      <c r="M2054" s="0" t="n">
        <f aca="false">H2054</f>
        <v>0.5</v>
      </c>
      <c r="N2054" s="0" t="n">
        <f aca="false">E2054*F2054</f>
        <v>-0.375</v>
      </c>
      <c r="O2054" s="0" t="n">
        <f aca="false">E2054*G2054</f>
        <v>0.25</v>
      </c>
      <c r="P2054" s="0" t="n">
        <f aca="false">E2054*H2054</f>
        <v>-0.25</v>
      </c>
      <c r="Q2054" s="0" t="n">
        <f aca="false">F2054*G2054</f>
        <v>-0.375</v>
      </c>
      <c r="R2054" s="0" t="n">
        <f aca="false">F2054*H2054</f>
        <v>0.375</v>
      </c>
      <c r="S2054" s="0" t="n">
        <f aca="false">G2054*H2054</f>
        <v>-0.25</v>
      </c>
      <c r="T2054" s="0" t="n">
        <f aca="false">E2054*E2054</f>
        <v>0.25</v>
      </c>
      <c r="U2054" s="0" t="n">
        <f aca="false">F2054*F2054</f>
        <v>0.5625</v>
      </c>
      <c r="V2054" s="0" t="n">
        <f aca="false">G2054*G2054</f>
        <v>0.25</v>
      </c>
      <c r="W2054" s="0" t="n">
        <f aca="false">H2054*H2054</f>
        <v>0.25</v>
      </c>
      <c r="X2054" s="0" t="n">
        <f aca="false">SUMPRODUCT(I2054:W2054,_XtX!$B$96:$P$96)</f>
        <v>44.9382127192982</v>
      </c>
      <c r="Y2054" s="0" t="n">
        <f aca="false">SUMPRODUCT(MMULT(I2054:W2054,_XtX!$B$78:$P$92),I2054:W2054)</f>
        <v>0.193924753289474</v>
      </c>
      <c r="Z2054" s="0" t="n">
        <f aca="false">04_回帰ANOVA!$K$19*04_回帰ANOVA!$K$14*SQRT(1+Y2054)</f>
        <v>1.4242521079916</v>
      </c>
      <c r="AA2054" s="0" t="n">
        <f aca="false">X2054-Z2054</f>
        <v>43.5139606113066</v>
      </c>
      <c r="AB2054" s="0" t="n">
        <f aca="false">X2054+Z2054</f>
        <v>46.3624648272898</v>
      </c>
      <c r="AC2054" s="54" t="b">
        <f aca="false">AND(E2054&gt;=01_因子設定!$L$5-0.000000001,E2054&lt;=01_因子設定!$M$5+0.000000001,F2054&gt;=01_因子設定!$L$6-0.000000001,F2054&lt;=01_因子設定!$M$6+0.000000001,G2054&gt;=01_因子設定!$L$7-0.000000001,G2054&lt;=01_因子設定!$M$7+0.000000001,H2054&gt;=01_因子設定!$L$8-0.000000001,H2054&lt;=01_因子設定!$M$8+0.000000001,IF(01_因子設定!$B$20="Box-Behnken",E2054^2+F2054^2+G2054^2+H2054^2&lt;=2+0.000000001,TRUE()))</f>
        <v>1</v>
      </c>
      <c r="AD2054" s="55" t="n">
        <f aca="false">IF(AC2054,IF(01_因子設定!$B$13="最大化",AA2054-01_因子設定!$B$14,IF(01_因子設定!$B$13="最小化",01_因子設定!$B$15-AB2054,MIN(AA2054-01_因子設定!$B$14,01_因子設定!$B$15-AB2054))),-1E+030)</f>
        <v>-2.98603938869339</v>
      </c>
      <c r="AE2054" s="55" t="n">
        <f aca="false">IF(AC2054,IF(01_因子設定!$B$13="最大化",X2054,IF(01_因子設定!$B$13="最小化",-X2054,-ABS(X2054-01_因子設定!$B$16))),-1E+030)</f>
        <v>44.9382127192982</v>
      </c>
      <c r="AF2054" s="55" t="n">
        <f aca="false">AD2054+ROW()*0.000000001</f>
        <v>-2.98603733469339</v>
      </c>
      <c r="AG2054" s="55" t="n">
        <f aca="false">AE2054+ROW()*0.000000001</f>
        <v>44.9382147732982</v>
      </c>
    </row>
    <row r="2055" customFormat="false" ht="15" hidden="false" customHeight="false" outlineLevel="0" collapsed="false">
      <c r="A2055" s="0" t="n">
        <v>2</v>
      </c>
      <c r="B2055" s="0" t="n">
        <v>7</v>
      </c>
      <c r="C2055" s="0" t="n">
        <v>2</v>
      </c>
      <c r="D2055" s="0" t="n">
        <v>7</v>
      </c>
      <c r="E2055" s="0" t="n">
        <f aca="false">-1+A2055*0.25</f>
        <v>-0.5</v>
      </c>
      <c r="F2055" s="0" t="n">
        <f aca="false">-1+B2055*0.25</f>
        <v>0.75</v>
      </c>
      <c r="G2055" s="0" t="n">
        <f aca="false">-1+C2055*0.25</f>
        <v>-0.5</v>
      </c>
      <c r="H2055" s="0" t="n">
        <f aca="false">-1+D2055*0.25</f>
        <v>0.75</v>
      </c>
      <c r="I2055" s="0" t="n">
        <f aca="false">1</f>
        <v>1</v>
      </c>
      <c r="J2055" s="0" t="n">
        <f aca="false">E2055</f>
        <v>-0.5</v>
      </c>
      <c r="K2055" s="0" t="n">
        <f aca="false">F2055</f>
        <v>0.75</v>
      </c>
      <c r="L2055" s="0" t="n">
        <f aca="false">G2055</f>
        <v>-0.5</v>
      </c>
      <c r="M2055" s="0" t="n">
        <f aca="false">H2055</f>
        <v>0.75</v>
      </c>
      <c r="N2055" s="0" t="n">
        <f aca="false">E2055*F2055</f>
        <v>-0.375</v>
      </c>
      <c r="O2055" s="0" t="n">
        <f aca="false">E2055*G2055</f>
        <v>0.25</v>
      </c>
      <c r="P2055" s="0" t="n">
        <f aca="false">E2055*H2055</f>
        <v>-0.375</v>
      </c>
      <c r="Q2055" s="0" t="n">
        <f aca="false">F2055*G2055</f>
        <v>-0.375</v>
      </c>
      <c r="R2055" s="0" t="n">
        <f aca="false">F2055*H2055</f>
        <v>0.5625</v>
      </c>
      <c r="S2055" s="0" t="n">
        <f aca="false">G2055*H2055</f>
        <v>-0.375</v>
      </c>
      <c r="T2055" s="0" t="n">
        <f aca="false">E2055*E2055</f>
        <v>0.25</v>
      </c>
      <c r="U2055" s="0" t="n">
        <f aca="false">F2055*F2055</f>
        <v>0.5625</v>
      </c>
      <c r="V2055" s="0" t="n">
        <f aca="false">G2055*G2055</f>
        <v>0.25</v>
      </c>
      <c r="W2055" s="0" t="n">
        <f aca="false">H2055*H2055</f>
        <v>0.5625</v>
      </c>
      <c r="X2055" s="0" t="n">
        <f aca="false">SUMPRODUCT(I2055:W2055,_XtX!$B$96:$P$96)</f>
        <v>44.8286778143275</v>
      </c>
      <c r="Y2055" s="0" t="n">
        <f aca="false">SUMPRODUCT(MMULT(I2055:W2055,_XtX!$B$78:$P$92),I2055:W2055)</f>
        <v>0.237862927174708</v>
      </c>
      <c r="Z2055" s="0" t="n">
        <f aca="false">04_回帰ANOVA!$K$19*04_回帰ANOVA!$K$14*SQRT(1+Y2055)</f>
        <v>1.45022260708756</v>
      </c>
      <c r="AA2055" s="0" t="n">
        <f aca="false">X2055-Z2055</f>
        <v>43.3784552072399</v>
      </c>
      <c r="AB2055" s="0" t="n">
        <f aca="false">X2055+Z2055</f>
        <v>46.278900421415</v>
      </c>
      <c r="AC2055" s="54" t="b">
        <f aca="false">AND(E2055&gt;=01_因子設定!$L$5-0.000000001,E2055&lt;=01_因子設定!$M$5+0.000000001,F2055&gt;=01_因子設定!$L$6-0.000000001,F2055&lt;=01_因子設定!$M$6+0.000000001,G2055&gt;=01_因子設定!$L$7-0.000000001,G2055&lt;=01_因子設定!$M$7+0.000000001,H2055&gt;=01_因子設定!$L$8-0.000000001,H2055&lt;=01_因子設定!$M$8+0.000000001,IF(01_因子設定!$B$20="Box-Behnken",E2055^2+F2055^2+G2055^2+H2055^2&lt;=2+0.000000001,TRUE()))</f>
        <v>1</v>
      </c>
      <c r="AD2055" s="55" t="n">
        <f aca="false">IF(AC2055,IF(01_因子設定!$B$13="最大化",AA2055-01_因子設定!$B$14,IF(01_因子設定!$B$13="最小化",01_因子設定!$B$15-AB2055,MIN(AA2055-01_因子設定!$B$14,01_因子設定!$B$15-AB2055))),-1E+030)</f>
        <v>-3.1215447927601</v>
      </c>
      <c r="AE2055" s="55" t="n">
        <f aca="false">IF(AC2055,IF(01_因子設定!$B$13="最大化",X2055,IF(01_因子設定!$B$13="最小化",-X2055,-ABS(X2055-01_因子設定!$B$16))),-1E+030)</f>
        <v>44.8286778143275</v>
      </c>
      <c r="AF2055" s="55" t="n">
        <f aca="false">AD2055+ROW()*0.000000001</f>
        <v>-3.1215427377601</v>
      </c>
      <c r="AG2055" s="55" t="n">
        <f aca="false">AE2055+ROW()*0.000000001</f>
        <v>44.8286798693275</v>
      </c>
    </row>
    <row r="2056" customFormat="false" ht="15" hidden="false" customHeight="false" outlineLevel="0" collapsed="false">
      <c r="A2056" s="0" t="n">
        <v>2</v>
      </c>
      <c r="B2056" s="0" t="n">
        <v>7</v>
      </c>
      <c r="C2056" s="0" t="n">
        <v>2</v>
      </c>
      <c r="D2056" s="0" t="n">
        <v>8</v>
      </c>
      <c r="E2056" s="0" t="n">
        <f aca="false">-1+A2056*0.25</f>
        <v>-0.5</v>
      </c>
      <c r="F2056" s="0" t="n">
        <f aca="false">-1+B2056*0.25</f>
        <v>0.75</v>
      </c>
      <c r="G2056" s="0" t="n">
        <f aca="false">-1+C2056*0.25</f>
        <v>-0.5</v>
      </c>
      <c r="H2056" s="0" t="n">
        <f aca="false">-1+D2056*0.25</f>
        <v>1</v>
      </c>
      <c r="I2056" s="0" t="n">
        <f aca="false">1</f>
        <v>1</v>
      </c>
      <c r="J2056" s="0" t="n">
        <f aca="false">E2056</f>
        <v>-0.5</v>
      </c>
      <c r="K2056" s="0" t="n">
        <f aca="false">F2056</f>
        <v>0.75</v>
      </c>
      <c r="L2056" s="0" t="n">
        <f aca="false">G2056</f>
        <v>-0.5</v>
      </c>
      <c r="M2056" s="0" t="n">
        <f aca="false">H2056</f>
        <v>1</v>
      </c>
      <c r="N2056" s="0" t="n">
        <f aca="false">E2056*F2056</f>
        <v>-0.375</v>
      </c>
      <c r="O2056" s="0" t="n">
        <f aca="false">E2056*G2056</f>
        <v>0.25</v>
      </c>
      <c r="P2056" s="0" t="n">
        <f aca="false">E2056*H2056</f>
        <v>-0.5</v>
      </c>
      <c r="Q2056" s="0" t="n">
        <f aca="false">F2056*G2056</f>
        <v>-0.375</v>
      </c>
      <c r="R2056" s="0" t="n">
        <f aca="false">F2056*H2056</f>
        <v>0.75</v>
      </c>
      <c r="S2056" s="0" t="n">
        <f aca="false">G2056*H2056</f>
        <v>-0.5</v>
      </c>
      <c r="T2056" s="0" t="n">
        <f aca="false">E2056*E2056</f>
        <v>0.25</v>
      </c>
      <c r="U2056" s="0" t="n">
        <f aca="false">F2056*F2056</f>
        <v>0.5625</v>
      </c>
      <c r="V2056" s="0" t="n">
        <f aca="false">G2056*G2056</f>
        <v>0.25</v>
      </c>
      <c r="W2056" s="0" t="n">
        <f aca="false">H2056*H2056</f>
        <v>1</v>
      </c>
      <c r="X2056" s="0" t="n">
        <f aca="false">SUMPRODUCT(I2056:W2056,_XtX!$B$96:$P$96)</f>
        <v>44.6713358918129</v>
      </c>
      <c r="Y2056" s="0" t="n">
        <f aca="false">SUMPRODUCT(MMULT(I2056:W2056,_XtX!$B$78:$P$92),I2056:W2056)</f>
        <v>0.42602110745614</v>
      </c>
      <c r="Z2056" s="0" t="n">
        <f aca="false">04_回帰ANOVA!$K$19*04_回帰ANOVA!$K$14*SQRT(1+Y2056)</f>
        <v>1.55654388501114</v>
      </c>
      <c r="AA2056" s="0" t="n">
        <f aca="false">X2056-Z2056</f>
        <v>43.1147920068017</v>
      </c>
      <c r="AB2056" s="0" t="n">
        <f aca="false">X2056+Z2056</f>
        <v>46.227879776824</v>
      </c>
      <c r="AC2056" s="54" t="b">
        <f aca="false">AND(E2056&gt;=01_因子設定!$L$5-0.000000001,E2056&lt;=01_因子設定!$M$5+0.000000001,F2056&gt;=01_因子設定!$L$6-0.000000001,F2056&lt;=01_因子設定!$M$6+0.000000001,G2056&gt;=01_因子設定!$L$7-0.000000001,G2056&lt;=01_因子設定!$M$7+0.000000001,H2056&gt;=01_因子設定!$L$8-0.000000001,H2056&lt;=01_因子設定!$M$8+0.000000001,IF(01_因子設定!$B$20="Box-Behnken",E2056^2+F2056^2+G2056^2+H2056^2&lt;=2+0.000000001,TRUE()))</f>
        <v>1</v>
      </c>
      <c r="AD2056" s="55" t="n">
        <f aca="false">IF(AC2056,IF(01_因子設定!$B$13="最大化",AA2056-01_因子設定!$B$14,IF(01_因子設定!$B$13="最小化",01_因子設定!$B$15-AB2056,MIN(AA2056-01_因子設定!$B$14,01_因子設定!$B$15-AB2056))),-1E+030)</f>
        <v>-3.38520799319828</v>
      </c>
      <c r="AE2056" s="55" t="n">
        <f aca="false">IF(AC2056,IF(01_因子設定!$B$13="最大化",X2056,IF(01_因子設定!$B$13="最小化",-X2056,-ABS(X2056-01_因子設定!$B$16))),-1E+030)</f>
        <v>44.6713358918129</v>
      </c>
      <c r="AF2056" s="55" t="n">
        <f aca="false">AD2056+ROW()*0.000000001</f>
        <v>-3.38520593719828</v>
      </c>
      <c r="AG2056" s="55" t="n">
        <f aca="false">AE2056+ROW()*0.000000001</f>
        <v>44.6713379478129</v>
      </c>
    </row>
    <row r="2057" customFormat="false" ht="15" hidden="false" customHeight="false" outlineLevel="0" collapsed="false">
      <c r="A2057" s="0" t="n">
        <v>2</v>
      </c>
      <c r="B2057" s="0" t="n">
        <v>7</v>
      </c>
      <c r="C2057" s="0" t="n">
        <v>3</v>
      </c>
      <c r="D2057" s="0" t="n">
        <v>0</v>
      </c>
      <c r="E2057" s="0" t="n">
        <f aca="false">-1+A2057*0.25</f>
        <v>-0.5</v>
      </c>
      <c r="F2057" s="0" t="n">
        <f aca="false">-1+B2057*0.25</f>
        <v>0.75</v>
      </c>
      <c r="G2057" s="0" t="n">
        <f aca="false">-1+C2057*0.25</f>
        <v>-0.25</v>
      </c>
      <c r="H2057" s="0" t="n">
        <f aca="false">-1+D2057*0.25</f>
        <v>-1</v>
      </c>
      <c r="I2057" s="0" t="n">
        <f aca="false">1</f>
        <v>1</v>
      </c>
      <c r="J2057" s="0" t="n">
        <f aca="false">E2057</f>
        <v>-0.5</v>
      </c>
      <c r="K2057" s="0" t="n">
        <f aca="false">F2057</f>
        <v>0.75</v>
      </c>
      <c r="L2057" s="0" t="n">
        <f aca="false">G2057</f>
        <v>-0.25</v>
      </c>
      <c r="M2057" s="0" t="n">
        <f aca="false">H2057</f>
        <v>-1</v>
      </c>
      <c r="N2057" s="0" t="n">
        <f aca="false">E2057*F2057</f>
        <v>-0.375</v>
      </c>
      <c r="O2057" s="0" t="n">
        <f aca="false">E2057*G2057</f>
        <v>0.125</v>
      </c>
      <c r="P2057" s="0" t="n">
        <f aca="false">E2057*H2057</f>
        <v>0.5</v>
      </c>
      <c r="Q2057" s="0" t="n">
        <f aca="false">F2057*G2057</f>
        <v>-0.1875</v>
      </c>
      <c r="R2057" s="0" t="n">
        <f aca="false">F2057*H2057</f>
        <v>-0.75</v>
      </c>
      <c r="S2057" s="0" t="n">
        <f aca="false">G2057*H2057</f>
        <v>0.25</v>
      </c>
      <c r="T2057" s="0" t="n">
        <f aca="false">E2057*E2057</f>
        <v>0.25</v>
      </c>
      <c r="U2057" s="0" t="n">
        <f aca="false">F2057*F2057</f>
        <v>0.5625</v>
      </c>
      <c r="V2057" s="0" t="n">
        <f aca="false">G2057*G2057</f>
        <v>0.0625</v>
      </c>
      <c r="W2057" s="0" t="n">
        <f aca="false">H2057*H2057</f>
        <v>1</v>
      </c>
      <c r="X2057" s="0" t="n">
        <f aca="false">SUMPRODUCT(I2057:W2057,_XtX!$B$96:$P$96)</f>
        <v>45.0332373903509</v>
      </c>
      <c r="Y2057" s="0" t="n">
        <f aca="false">SUMPRODUCT(MMULT(I2057:W2057,_XtX!$B$78:$P$92),I2057:W2057)</f>
        <v>0.459125719572369</v>
      </c>
      <c r="Z2057" s="0" t="n">
        <f aca="false">04_回帰ANOVA!$K$19*04_回帰ANOVA!$K$14*SQRT(1+Y2057)</f>
        <v>1.57450755575573</v>
      </c>
      <c r="AA2057" s="0" t="n">
        <f aca="false">X2057-Z2057</f>
        <v>43.4587298345951</v>
      </c>
      <c r="AB2057" s="0" t="n">
        <f aca="false">X2057+Z2057</f>
        <v>46.6077449461066</v>
      </c>
      <c r="AC2057" s="54" t="b">
        <f aca="false">AND(E2057&gt;=01_因子設定!$L$5-0.000000001,E2057&lt;=01_因子設定!$M$5+0.000000001,F2057&gt;=01_因子設定!$L$6-0.000000001,F2057&lt;=01_因子設定!$M$6+0.000000001,G2057&gt;=01_因子設定!$L$7-0.000000001,G2057&lt;=01_因子設定!$M$7+0.000000001,H2057&gt;=01_因子設定!$L$8-0.000000001,H2057&lt;=01_因子設定!$M$8+0.000000001,IF(01_因子設定!$B$20="Box-Behnken",E2057^2+F2057^2+G2057^2+H2057^2&lt;=2+0.000000001,TRUE()))</f>
        <v>1</v>
      </c>
      <c r="AD2057" s="55" t="n">
        <f aca="false">IF(AC2057,IF(01_因子設定!$B$13="最大化",AA2057-01_因子設定!$B$14,IF(01_因子設定!$B$13="最小化",01_因子設定!$B$15-AB2057,MIN(AA2057-01_因子設定!$B$14,01_因子設定!$B$15-AB2057))),-1E+030)</f>
        <v>-3.04127016540486</v>
      </c>
      <c r="AE2057" s="55" t="n">
        <f aca="false">IF(AC2057,IF(01_因子設定!$B$13="最大化",X2057,IF(01_因子設定!$B$13="最小化",-X2057,-ABS(X2057-01_因子設定!$B$16))),-1E+030)</f>
        <v>45.0332373903509</v>
      </c>
      <c r="AF2057" s="55" t="n">
        <f aca="false">AD2057+ROW()*0.000000001</f>
        <v>-3.04126810840486</v>
      </c>
      <c r="AG2057" s="55" t="n">
        <f aca="false">AE2057+ROW()*0.000000001</f>
        <v>45.0332394473509</v>
      </c>
    </row>
    <row r="2058" customFormat="false" ht="15" hidden="false" customHeight="false" outlineLevel="0" collapsed="false">
      <c r="A2058" s="0" t="n">
        <v>2</v>
      </c>
      <c r="B2058" s="0" t="n">
        <v>7</v>
      </c>
      <c r="C2058" s="0" t="n">
        <v>3</v>
      </c>
      <c r="D2058" s="0" t="n">
        <v>1</v>
      </c>
      <c r="E2058" s="0" t="n">
        <f aca="false">-1+A2058*0.25</f>
        <v>-0.5</v>
      </c>
      <c r="F2058" s="0" t="n">
        <f aca="false">-1+B2058*0.25</f>
        <v>0.75</v>
      </c>
      <c r="G2058" s="0" t="n">
        <f aca="false">-1+C2058*0.25</f>
        <v>-0.25</v>
      </c>
      <c r="H2058" s="0" t="n">
        <f aca="false">-1+D2058*0.25</f>
        <v>-0.75</v>
      </c>
      <c r="I2058" s="0" t="n">
        <f aca="false">1</f>
        <v>1</v>
      </c>
      <c r="J2058" s="0" t="n">
        <f aca="false">E2058</f>
        <v>-0.5</v>
      </c>
      <c r="K2058" s="0" t="n">
        <f aca="false">F2058</f>
        <v>0.75</v>
      </c>
      <c r="L2058" s="0" t="n">
        <f aca="false">G2058</f>
        <v>-0.25</v>
      </c>
      <c r="M2058" s="0" t="n">
        <f aca="false">H2058</f>
        <v>-0.75</v>
      </c>
      <c r="N2058" s="0" t="n">
        <f aca="false">E2058*F2058</f>
        <v>-0.375</v>
      </c>
      <c r="O2058" s="0" t="n">
        <f aca="false">E2058*G2058</f>
        <v>0.125</v>
      </c>
      <c r="P2058" s="0" t="n">
        <f aca="false">E2058*H2058</f>
        <v>0.375</v>
      </c>
      <c r="Q2058" s="0" t="n">
        <f aca="false">F2058*G2058</f>
        <v>-0.1875</v>
      </c>
      <c r="R2058" s="0" t="n">
        <f aca="false">F2058*H2058</f>
        <v>-0.5625</v>
      </c>
      <c r="S2058" s="0" t="n">
        <f aca="false">G2058*H2058</f>
        <v>0.1875</v>
      </c>
      <c r="T2058" s="0" t="n">
        <f aca="false">E2058*E2058</f>
        <v>0.25</v>
      </c>
      <c r="U2058" s="0" t="n">
        <f aca="false">F2058*F2058</f>
        <v>0.5625</v>
      </c>
      <c r="V2058" s="0" t="n">
        <f aca="false">G2058*G2058</f>
        <v>0.0625</v>
      </c>
      <c r="W2058" s="0" t="n">
        <f aca="false">H2058*H2058</f>
        <v>0.5625</v>
      </c>
      <c r="X2058" s="0" t="n">
        <f aca="false">SUMPRODUCT(I2058:W2058,_XtX!$B$96:$P$96)</f>
        <v>45.2285133406433</v>
      </c>
      <c r="Y2058" s="0" t="n">
        <f aca="false">SUMPRODUCT(MMULT(I2058:W2058,_XtX!$B$78:$P$92),I2058:W2058)</f>
        <v>0.257385610836988</v>
      </c>
      <c r="Z2058" s="0" t="n">
        <f aca="false">04_回帰ANOVA!$K$19*04_回帰ANOVA!$K$14*SQRT(1+Y2058)</f>
        <v>1.46161380324158</v>
      </c>
      <c r="AA2058" s="0" t="n">
        <f aca="false">X2058-Z2058</f>
        <v>43.7668995374017</v>
      </c>
      <c r="AB2058" s="0" t="n">
        <f aca="false">X2058+Z2058</f>
        <v>46.6901271438848</v>
      </c>
      <c r="AC2058" s="54" t="b">
        <f aca="false">AND(E2058&gt;=01_因子設定!$L$5-0.000000001,E2058&lt;=01_因子設定!$M$5+0.000000001,F2058&gt;=01_因子設定!$L$6-0.000000001,F2058&lt;=01_因子設定!$M$6+0.000000001,G2058&gt;=01_因子設定!$L$7-0.000000001,G2058&lt;=01_因子設定!$M$7+0.000000001,H2058&gt;=01_因子設定!$L$8-0.000000001,H2058&lt;=01_因子設定!$M$8+0.000000001,IF(01_因子設定!$B$20="Box-Behnken",E2058^2+F2058^2+G2058^2+H2058^2&lt;=2+0.000000001,TRUE()))</f>
        <v>1</v>
      </c>
      <c r="AD2058" s="55" t="n">
        <f aca="false">IF(AC2058,IF(01_因子設定!$B$13="最大化",AA2058-01_因子設定!$B$14,IF(01_因子設定!$B$13="最小化",01_因子設定!$B$15-AB2058,MIN(AA2058-01_因子設定!$B$14,01_因子設定!$B$15-AB2058))),-1E+030)</f>
        <v>-2.73310046259833</v>
      </c>
      <c r="AE2058" s="55" t="n">
        <f aca="false">IF(AC2058,IF(01_因子設定!$B$13="最大化",X2058,IF(01_因子設定!$B$13="最小化",-X2058,-ABS(X2058-01_因子設定!$B$16))),-1E+030)</f>
        <v>45.2285133406433</v>
      </c>
      <c r="AF2058" s="55" t="n">
        <f aca="false">AD2058+ROW()*0.000000001</f>
        <v>-2.73309840459833</v>
      </c>
      <c r="AG2058" s="55" t="n">
        <f aca="false">AE2058+ROW()*0.000000001</f>
        <v>45.2285153986433</v>
      </c>
    </row>
    <row r="2059" customFormat="false" ht="15" hidden="false" customHeight="false" outlineLevel="0" collapsed="false">
      <c r="A2059" s="0" t="n">
        <v>2</v>
      </c>
      <c r="B2059" s="0" t="n">
        <v>7</v>
      </c>
      <c r="C2059" s="0" t="n">
        <v>3</v>
      </c>
      <c r="D2059" s="0" t="n">
        <v>2</v>
      </c>
      <c r="E2059" s="0" t="n">
        <f aca="false">-1+A2059*0.25</f>
        <v>-0.5</v>
      </c>
      <c r="F2059" s="0" t="n">
        <f aca="false">-1+B2059*0.25</f>
        <v>0.75</v>
      </c>
      <c r="G2059" s="0" t="n">
        <f aca="false">-1+C2059*0.25</f>
        <v>-0.25</v>
      </c>
      <c r="H2059" s="0" t="n">
        <f aca="false">-1+D2059*0.25</f>
        <v>-0.5</v>
      </c>
      <c r="I2059" s="0" t="n">
        <f aca="false">1</f>
        <v>1</v>
      </c>
      <c r="J2059" s="0" t="n">
        <f aca="false">E2059</f>
        <v>-0.5</v>
      </c>
      <c r="K2059" s="0" t="n">
        <f aca="false">F2059</f>
        <v>0.75</v>
      </c>
      <c r="L2059" s="0" t="n">
        <f aca="false">G2059</f>
        <v>-0.25</v>
      </c>
      <c r="M2059" s="0" t="n">
        <f aca="false">H2059</f>
        <v>-0.5</v>
      </c>
      <c r="N2059" s="0" t="n">
        <f aca="false">E2059*F2059</f>
        <v>-0.375</v>
      </c>
      <c r="O2059" s="0" t="n">
        <f aca="false">E2059*G2059</f>
        <v>0.125</v>
      </c>
      <c r="P2059" s="0" t="n">
        <f aca="false">E2059*H2059</f>
        <v>0.25</v>
      </c>
      <c r="Q2059" s="0" t="n">
        <f aca="false">F2059*G2059</f>
        <v>-0.1875</v>
      </c>
      <c r="R2059" s="0" t="n">
        <f aca="false">F2059*H2059</f>
        <v>-0.375</v>
      </c>
      <c r="S2059" s="0" t="n">
        <f aca="false">G2059*H2059</f>
        <v>0.125</v>
      </c>
      <c r="T2059" s="0" t="n">
        <f aca="false">E2059*E2059</f>
        <v>0.25</v>
      </c>
      <c r="U2059" s="0" t="n">
        <f aca="false">F2059*F2059</f>
        <v>0.5625</v>
      </c>
      <c r="V2059" s="0" t="n">
        <f aca="false">G2059*G2059</f>
        <v>0.0625</v>
      </c>
      <c r="W2059" s="0" t="n">
        <f aca="false">H2059*H2059</f>
        <v>0.25</v>
      </c>
      <c r="X2059" s="0" t="n">
        <f aca="false">SUMPRODUCT(I2059:W2059,_XtX!$B$96:$P$96)</f>
        <v>45.3759822733918</v>
      </c>
      <c r="Y2059" s="0" t="n">
        <f aca="false">SUMPRODUCT(MMULT(I2059:W2059,_XtX!$B$78:$P$92),I2059:W2059)</f>
        <v>0.203746059484649</v>
      </c>
      <c r="Z2059" s="0" t="n">
        <f aca="false">04_回帰ANOVA!$K$19*04_回帰ANOVA!$K$14*SQRT(1+Y2059)</f>
        <v>1.43009810755465</v>
      </c>
      <c r="AA2059" s="0" t="n">
        <f aca="false">X2059-Z2059</f>
        <v>43.9458841658371</v>
      </c>
      <c r="AB2059" s="0" t="n">
        <f aca="false">X2059+Z2059</f>
        <v>46.8060803809464</v>
      </c>
      <c r="AC2059" s="54" t="b">
        <f aca="false">AND(E2059&gt;=01_因子設定!$L$5-0.000000001,E2059&lt;=01_因子設定!$M$5+0.000000001,F2059&gt;=01_因子設定!$L$6-0.000000001,F2059&lt;=01_因子設定!$M$6+0.000000001,G2059&gt;=01_因子設定!$L$7-0.000000001,G2059&lt;=01_因子設定!$M$7+0.000000001,H2059&gt;=01_因子設定!$L$8-0.000000001,H2059&lt;=01_因子設定!$M$8+0.000000001,IF(01_因子設定!$B$20="Box-Behnken",E2059^2+F2059^2+G2059^2+H2059^2&lt;=2+0.000000001,TRUE()))</f>
        <v>1</v>
      </c>
      <c r="AD2059" s="55" t="n">
        <f aca="false">IF(AC2059,IF(01_因子設定!$B$13="最大化",AA2059-01_因子設定!$B$14,IF(01_因子設定!$B$13="最小化",01_因子設定!$B$15-AB2059,MIN(AA2059-01_因子設定!$B$14,01_因子設定!$B$15-AB2059))),-1E+030)</f>
        <v>-2.55411583416287</v>
      </c>
      <c r="AE2059" s="55" t="n">
        <f aca="false">IF(AC2059,IF(01_因子設定!$B$13="最大化",X2059,IF(01_因子設定!$B$13="最小化",-X2059,-ABS(X2059-01_因子設定!$B$16))),-1E+030)</f>
        <v>45.3759822733918</v>
      </c>
      <c r="AF2059" s="55" t="n">
        <f aca="false">AD2059+ROW()*0.000000001</f>
        <v>-2.55411377516287</v>
      </c>
      <c r="AG2059" s="55" t="n">
        <f aca="false">AE2059+ROW()*0.000000001</f>
        <v>45.3759843323918</v>
      </c>
    </row>
    <row r="2060" customFormat="false" ht="15" hidden="false" customHeight="false" outlineLevel="0" collapsed="false">
      <c r="A2060" s="0" t="n">
        <v>2</v>
      </c>
      <c r="B2060" s="0" t="n">
        <v>7</v>
      </c>
      <c r="C2060" s="0" t="n">
        <v>3</v>
      </c>
      <c r="D2060" s="0" t="n">
        <v>3</v>
      </c>
      <c r="E2060" s="0" t="n">
        <f aca="false">-1+A2060*0.25</f>
        <v>-0.5</v>
      </c>
      <c r="F2060" s="0" t="n">
        <f aca="false">-1+B2060*0.25</f>
        <v>0.75</v>
      </c>
      <c r="G2060" s="0" t="n">
        <f aca="false">-1+C2060*0.25</f>
        <v>-0.25</v>
      </c>
      <c r="H2060" s="0" t="n">
        <f aca="false">-1+D2060*0.25</f>
        <v>-0.25</v>
      </c>
      <c r="I2060" s="0" t="n">
        <f aca="false">1</f>
        <v>1</v>
      </c>
      <c r="J2060" s="0" t="n">
        <f aca="false">E2060</f>
        <v>-0.5</v>
      </c>
      <c r="K2060" s="0" t="n">
        <f aca="false">F2060</f>
        <v>0.75</v>
      </c>
      <c r="L2060" s="0" t="n">
        <f aca="false">G2060</f>
        <v>-0.25</v>
      </c>
      <c r="M2060" s="0" t="n">
        <f aca="false">H2060</f>
        <v>-0.25</v>
      </c>
      <c r="N2060" s="0" t="n">
        <f aca="false">E2060*F2060</f>
        <v>-0.375</v>
      </c>
      <c r="O2060" s="0" t="n">
        <f aca="false">E2060*G2060</f>
        <v>0.125</v>
      </c>
      <c r="P2060" s="0" t="n">
        <f aca="false">E2060*H2060</f>
        <v>0.125</v>
      </c>
      <c r="Q2060" s="0" t="n">
        <f aca="false">F2060*G2060</f>
        <v>-0.1875</v>
      </c>
      <c r="R2060" s="0" t="n">
        <f aca="false">F2060*H2060</f>
        <v>-0.1875</v>
      </c>
      <c r="S2060" s="0" t="n">
        <f aca="false">G2060*H2060</f>
        <v>0.0625</v>
      </c>
      <c r="T2060" s="0" t="n">
        <f aca="false">E2060*E2060</f>
        <v>0.25</v>
      </c>
      <c r="U2060" s="0" t="n">
        <f aca="false">F2060*F2060</f>
        <v>0.5625</v>
      </c>
      <c r="V2060" s="0" t="n">
        <f aca="false">G2060*G2060</f>
        <v>0.0625</v>
      </c>
      <c r="W2060" s="0" t="n">
        <f aca="false">H2060*H2060</f>
        <v>0.0625</v>
      </c>
      <c r="X2060" s="0" t="n">
        <f aca="false">SUMPRODUCT(I2060:W2060,_XtX!$B$96:$P$96)</f>
        <v>45.4756441885965</v>
      </c>
      <c r="Y2060" s="0" t="n">
        <f aca="false">SUMPRODUCT(MMULT(I2060:W2060,_XtX!$B$78:$P$92),I2060:W2060)</f>
        <v>0.207746539199561</v>
      </c>
      <c r="Z2060" s="0" t="n">
        <f aca="false">04_回帰ANOVA!$K$19*04_回帰ANOVA!$K$14*SQRT(1+Y2060)</f>
        <v>1.43247250081141</v>
      </c>
      <c r="AA2060" s="0" t="n">
        <f aca="false">X2060-Z2060</f>
        <v>44.043171687785</v>
      </c>
      <c r="AB2060" s="0" t="n">
        <f aca="false">X2060+Z2060</f>
        <v>46.9081166894079</v>
      </c>
      <c r="AC2060" s="54" t="b">
        <f aca="false">AND(E2060&gt;=01_因子設定!$L$5-0.000000001,E2060&lt;=01_因子設定!$M$5+0.000000001,F2060&gt;=01_因子設定!$L$6-0.000000001,F2060&lt;=01_因子設定!$M$6+0.000000001,G2060&gt;=01_因子設定!$L$7-0.000000001,G2060&lt;=01_因子設定!$M$7+0.000000001,H2060&gt;=01_因子設定!$L$8-0.000000001,H2060&lt;=01_因子設定!$M$8+0.000000001,IF(01_因子設定!$B$20="Box-Behnken",E2060^2+F2060^2+G2060^2+H2060^2&lt;=2+0.000000001,TRUE()))</f>
        <v>1</v>
      </c>
      <c r="AD2060" s="55" t="n">
        <f aca="false">IF(AC2060,IF(01_因子設定!$B$13="最大化",AA2060-01_因子設定!$B$14,IF(01_因子設定!$B$13="最小化",01_因子設定!$B$15-AB2060,MIN(AA2060-01_因子設定!$B$14,01_因子設定!$B$15-AB2060))),-1E+030)</f>
        <v>-2.45682831221496</v>
      </c>
      <c r="AE2060" s="55" t="n">
        <f aca="false">IF(AC2060,IF(01_因子設定!$B$13="最大化",X2060,IF(01_因子設定!$B$13="最小化",-X2060,-ABS(X2060-01_因子設定!$B$16))),-1E+030)</f>
        <v>45.4756441885965</v>
      </c>
      <c r="AF2060" s="55" t="n">
        <f aca="false">AD2060+ROW()*0.000000001</f>
        <v>-2.45682625221496</v>
      </c>
      <c r="AG2060" s="55" t="n">
        <f aca="false">AE2060+ROW()*0.000000001</f>
        <v>45.4756462485965</v>
      </c>
    </row>
    <row r="2061" customFormat="false" ht="15" hidden="false" customHeight="false" outlineLevel="0" collapsed="false">
      <c r="A2061" s="0" t="n">
        <v>2</v>
      </c>
      <c r="B2061" s="0" t="n">
        <v>7</v>
      </c>
      <c r="C2061" s="0" t="n">
        <v>3</v>
      </c>
      <c r="D2061" s="0" t="n">
        <v>4</v>
      </c>
      <c r="E2061" s="0" t="n">
        <f aca="false">-1+A2061*0.25</f>
        <v>-0.5</v>
      </c>
      <c r="F2061" s="0" t="n">
        <f aca="false">-1+B2061*0.25</f>
        <v>0.75</v>
      </c>
      <c r="G2061" s="0" t="n">
        <f aca="false">-1+C2061*0.25</f>
        <v>-0.25</v>
      </c>
      <c r="H2061" s="0" t="n">
        <f aca="false">-1+D2061*0.25</f>
        <v>0</v>
      </c>
      <c r="I2061" s="0" t="n">
        <f aca="false">1</f>
        <v>1</v>
      </c>
      <c r="J2061" s="0" t="n">
        <f aca="false">E2061</f>
        <v>-0.5</v>
      </c>
      <c r="K2061" s="0" t="n">
        <f aca="false">F2061</f>
        <v>0.75</v>
      </c>
      <c r="L2061" s="0" t="n">
        <f aca="false">G2061</f>
        <v>-0.25</v>
      </c>
      <c r="M2061" s="0" t="n">
        <f aca="false">H2061</f>
        <v>0</v>
      </c>
      <c r="N2061" s="0" t="n">
        <f aca="false">E2061*F2061</f>
        <v>-0.375</v>
      </c>
      <c r="O2061" s="0" t="n">
        <f aca="false">E2061*G2061</f>
        <v>0.125</v>
      </c>
      <c r="P2061" s="0" t="n">
        <f aca="false">E2061*H2061</f>
        <v>-0</v>
      </c>
      <c r="Q2061" s="0" t="n">
        <f aca="false">F2061*G2061</f>
        <v>-0.1875</v>
      </c>
      <c r="R2061" s="0" t="n">
        <f aca="false">F2061*H2061</f>
        <v>0</v>
      </c>
      <c r="S2061" s="0" t="n">
        <f aca="false">G2061*H2061</f>
        <v>-0</v>
      </c>
      <c r="T2061" s="0" t="n">
        <f aca="false">E2061*E2061</f>
        <v>0.25</v>
      </c>
      <c r="U2061" s="0" t="n">
        <f aca="false">F2061*F2061</f>
        <v>0.5625</v>
      </c>
      <c r="V2061" s="0" t="n">
        <f aca="false">G2061*G2061</f>
        <v>0.0625</v>
      </c>
      <c r="W2061" s="0" t="n">
        <f aca="false">H2061*H2061</f>
        <v>0</v>
      </c>
      <c r="X2061" s="0" t="n">
        <f aca="false">SUMPRODUCT(I2061:W2061,_XtX!$B$96:$P$96)</f>
        <v>45.5274990862573</v>
      </c>
      <c r="Y2061" s="0" t="n">
        <f aca="false">SUMPRODUCT(MMULT(I2061:W2061,_XtX!$B$78:$P$92),I2061:W2061)</f>
        <v>0.215110734192252</v>
      </c>
      <c r="Z2061" s="0" t="n">
        <f aca="false">04_回帰ANOVA!$K$19*04_回帰ANOVA!$K$14*SQRT(1+Y2061)</f>
        <v>1.43683309086864</v>
      </c>
      <c r="AA2061" s="0" t="n">
        <f aca="false">X2061-Z2061</f>
        <v>44.0906659953886</v>
      </c>
      <c r="AB2061" s="0" t="n">
        <f aca="false">X2061+Z2061</f>
        <v>46.9643321771259</v>
      </c>
      <c r="AC2061" s="54" t="b">
        <f aca="false">AND(E2061&gt;=01_因子設定!$L$5-0.000000001,E2061&lt;=01_因子設定!$M$5+0.000000001,F2061&gt;=01_因子設定!$L$6-0.000000001,F2061&lt;=01_因子設定!$M$6+0.000000001,G2061&gt;=01_因子設定!$L$7-0.000000001,G2061&lt;=01_因子設定!$M$7+0.000000001,H2061&gt;=01_因子設定!$L$8-0.000000001,H2061&lt;=01_因子設定!$M$8+0.000000001,IF(01_因子設定!$B$20="Box-Behnken",E2061^2+F2061^2+G2061^2+H2061^2&lt;=2+0.000000001,TRUE()))</f>
        <v>1</v>
      </c>
      <c r="AD2061" s="55" t="n">
        <f aca="false">IF(AC2061,IF(01_因子設定!$B$13="最大化",AA2061-01_因子設定!$B$14,IF(01_因子設定!$B$13="最小化",01_因子設定!$B$15-AB2061,MIN(AA2061-01_因子設定!$B$14,01_因子設定!$B$15-AB2061))),-1E+030)</f>
        <v>-2.40933400461138</v>
      </c>
      <c r="AE2061" s="55" t="n">
        <f aca="false">IF(AC2061,IF(01_因子設定!$B$13="最大化",X2061,IF(01_因子設定!$B$13="最小化",-X2061,-ABS(X2061-01_因子設定!$B$16))),-1E+030)</f>
        <v>45.5274990862573</v>
      </c>
      <c r="AF2061" s="55" t="n">
        <f aca="false">AD2061+ROW()*0.000000001</f>
        <v>-2.40933194361138</v>
      </c>
      <c r="AG2061" s="55" t="n">
        <f aca="false">AE2061+ROW()*0.000000001</f>
        <v>45.5275011472573</v>
      </c>
    </row>
    <row r="2062" customFormat="false" ht="15" hidden="false" customHeight="false" outlineLevel="0" collapsed="false">
      <c r="A2062" s="0" t="n">
        <v>2</v>
      </c>
      <c r="B2062" s="0" t="n">
        <v>7</v>
      </c>
      <c r="C2062" s="0" t="n">
        <v>3</v>
      </c>
      <c r="D2062" s="0" t="n">
        <v>5</v>
      </c>
      <c r="E2062" s="0" t="n">
        <f aca="false">-1+A2062*0.25</f>
        <v>-0.5</v>
      </c>
      <c r="F2062" s="0" t="n">
        <f aca="false">-1+B2062*0.25</f>
        <v>0.75</v>
      </c>
      <c r="G2062" s="0" t="n">
        <f aca="false">-1+C2062*0.25</f>
        <v>-0.25</v>
      </c>
      <c r="H2062" s="0" t="n">
        <f aca="false">-1+D2062*0.25</f>
        <v>0.25</v>
      </c>
      <c r="I2062" s="0" t="n">
        <f aca="false">1</f>
        <v>1</v>
      </c>
      <c r="J2062" s="0" t="n">
        <f aca="false">E2062</f>
        <v>-0.5</v>
      </c>
      <c r="K2062" s="0" t="n">
        <f aca="false">F2062</f>
        <v>0.75</v>
      </c>
      <c r="L2062" s="0" t="n">
        <f aca="false">G2062</f>
        <v>-0.25</v>
      </c>
      <c r="M2062" s="0" t="n">
        <f aca="false">H2062</f>
        <v>0.25</v>
      </c>
      <c r="N2062" s="0" t="n">
        <f aca="false">E2062*F2062</f>
        <v>-0.375</v>
      </c>
      <c r="O2062" s="0" t="n">
        <f aca="false">E2062*G2062</f>
        <v>0.125</v>
      </c>
      <c r="P2062" s="0" t="n">
        <f aca="false">E2062*H2062</f>
        <v>-0.125</v>
      </c>
      <c r="Q2062" s="0" t="n">
        <f aca="false">F2062*G2062</f>
        <v>-0.1875</v>
      </c>
      <c r="R2062" s="0" t="n">
        <f aca="false">F2062*H2062</f>
        <v>0.1875</v>
      </c>
      <c r="S2062" s="0" t="n">
        <f aca="false">G2062*H2062</f>
        <v>-0.0625</v>
      </c>
      <c r="T2062" s="0" t="n">
        <f aca="false">E2062*E2062</f>
        <v>0.25</v>
      </c>
      <c r="U2062" s="0" t="n">
        <f aca="false">F2062*F2062</f>
        <v>0.5625</v>
      </c>
      <c r="V2062" s="0" t="n">
        <f aca="false">G2062*G2062</f>
        <v>0.0625</v>
      </c>
      <c r="W2062" s="0" t="n">
        <f aca="false">H2062*H2062</f>
        <v>0.0625</v>
      </c>
      <c r="X2062" s="0" t="n">
        <f aca="false">SUMPRODUCT(I2062:W2062,_XtX!$B$96:$P$96)</f>
        <v>45.5315469663742</v>
      </c>
      <c r="Y2062" s="0" t="n">
        <f aca="false">SUMPRODUCT(MMULT(I2062:W2062,_XtX!$B$78:$P$92),I2062:W2062)</f>
        <v>0.207746539199561</v>
      </c>
      <c r="Z2062" s="0" t="n">
        <f aca="false">04_回帰ANOVA!$K$19*04_回帰ANOVA!$K$14*SQRT(1+Y2062)</f>
        <v>1.43247250081141</v>
      </c>
      <c r="AA2062" s="0" t="n">
        <f aca="false">X2062-Z2062</f>
        <v>44.0990744655628</v>
      </c>
      <c r="AB2062" s="0" t="n">
        <f aca="false">X2062+Z2062</f>
        <v>46.9640194671856</v>
      </c>
      <c r="AC2062" s="54" t="b">
        <f aca="false">AND(E2062&gt;=01_因子設定!$L$5-0.000000001,E2062&lt;=01_因子設定!$M$5+0.000000001,F2062&gt;=01_因子設定!$L$6-0.000000001,F2062&lt;=01_因子設定!$M$6+0.000000001,G2062&gt;=01_因子設定!$L$7-0.000000001,G2062&lt;=01_因子設定!$M$7+0.000000001,H2062&gt;=01_因子設定!$L$8-0.000000001,H2062&lt;=01_因子設定!$M$8+0.000000001,IF(01_因子設定!$B$20="Box-Behnken",E2062^2+F2062^2+G2062^2+H2062^2&lt;=2+0.000000001,TRUE()))</f>
        <v>1</v>
      </c>
      <c r="AD2062" s="55" t="n">
        <f aca="false">IF(AC2062,IF(01_因子設定!$B$13="最大化",AA2062-01_因子設定!$B$14,IF(01_因子設定!$B$13="最小化",01_因子設定!$B$15-AB2062,MIN(AA2062-01_因子設定!$B$14,01_因子設定!$B$15-AB2062))),-1E+030)</f>
        <v>-2.40092553443718</v>
      </c>
      <c r="AE2062" s="55" t="n">
        <f aca="false">IF(AC2062,IF(01_因子設定!$B$13="最大化",X2062,IF(01_因子設定!$B$13="最小化",-X2062,-ABS(X2062-01_因子設定!$B$16))),-1E+030)</f>
        <v>45.5315469663742</v>
      </c>
      <c r="AF2062" s="55" t="n">
        <f aca="false">AD2062+ROW()*0.000000001</f>
        <v>-2.40092347243718</v>
      </c>
      <c r="AG2062" s="55" t="n">
        <f aca="false">AE2062+ROW()*0.000000001</f>
        <v>45.5315490283742</v>
      </c>
    </row>
    <row r="2063" customFormat="false" ht="15" hidden="false" customHeight="false" outlineLevel="0" collapsed="false">
      <c r="A2063" s="0" t="n">
        <v>2</v>
      </c>
      <c r="B2063" s="0" t="n">
        <v>7</v>
      </c>
      <c r="C2063" s="0" t="n">
        <v>3</v>
      </c>
      <c r="D2063" s="0" t="n">
        <v>6</v>
      </c>
      <c r="E2063" s="0" t="n">
        <f aca="false">-1+A2063*0.25</f>
        <v>-0.5</v>
      </c>
      <c r="F2063" s="0" t="n">
        <f aca="false">-1+B2063*0.25</f>
        <v>0.75</v>
      </c>
      <c r="G2063" s="0" t="n">
        <f aca="false">-1+C2063*0.25</f>
        <v>-0.25</v>
      </c>
      <c r="H2063" s="0" t="n">
        <f aca="false">-1+D2063*0.25</f>
        <v>0.5</v>
      </c>
      <c r="I2063" s="0" t="n">
        <f aca="false">1</f>
        <v>1</v>
      </c>
      <c r="J2063" s="0" t="n">
        <f aca="false">E2063</f>
        <v>-0.5</v>
      </c>
      <c r="K2063" s="0" t="n">
        <f aca="false">F2063</f>
        <v>0.75</v>
      </c>
      <c r="L2063" s="0" t="n">
        <f aca="false">G2063</f>
        <v>-0.25</v>
      </c>
      <c r="M2063" s="0" t="n">
        <f aca="false">H2063</f>
        <v>0.5</v>
      </c>
      <c r="N2063" s="0" t="n">
        <f aca="false">E2063*F2063</f>
        <v>-0.375</v>
      </c>
      <c r="O2063" s="0" t="n">
        <f aca="false">E2063*G2063</f>
        <v>0.125</v>
      </c>
      <c r="P2063" s="0" t="n">
        <f aca="false">E2063*H2063</f>
        <v>-0.25</v>
      </c>
      <c r="Q2063" s="0" t="n">
        <f aca="false">F2063*G2063</f>
        <v>-0.1875</v>
      </c>
      <c r="R2063" s="0" t="n">
        <f aca="false">F2063*H2063</f>
        <v>0.375</v>
      </c>
      <c r="S2063" s="0" t="n">
        <f aca="false">G2063*H2063</f>
        <v>-0.125</v>
      </c>
      <c r="T2063" s="0" t="n">
        <f aca="false">E2063*E2063</f>
        <v>0.25</v>
      </c>
      <c r="U2063" s="0" t="n">
        <f aca="false">F2063*F2063</f>
        <v>0.5625</v>
      </c>
      <c r="V2063" s="0" t="n">
        <f aca="false">G2063*G2063</f>
        <v>0.0625</v>
      </c>
      <c r="W2063" s="0" t="n">
        <f aca="false">H2063*H2063</f>
        <v>0.25</v>
      </c>
      <c r="X2063" s="0" t="n">
        <f aca="false">SUMPRODUCT(I2063:W2063,_XtX!$B$96:$P$96)</f>
        <v>45.4877878289473</v>
      </c>
      <c r="Y2063" s="0" t="n">
        <f aca="false">SUMPRODUCT(MMULT(I2063:W2063,_XtX!$B$78:$P$92),I2063:W2063)</f>
        <v>0.203746059484649</v>
      </c>
      <c r="Z2063" s="0" t="n">
        <f aca="false">04_回帰ANOVA!$K$19*04_回帰ANOVA!$K$14*SQRT(1+Y2063)</f>
        <v>1.43009810755465</v>
      </c>
      <c r="AA2063" s="0" t="n">
        <f aca="false">X2063-Z2063</f>
        <v>44.0576897213927</v>
      </c>
      <c r="AB2063" s="0" t="n">
        <f aca="false">X2063+Z2063</f>
        <v>46.917885936502</v>
      </c>
      <c r="AC2063" s="54" t="b">
        <f aca="false">AND(E2063&gt;=01_因子設定!$L$5-0.000000001,E2063&lt;=01_因子設定!$M$5+0.000000001,F2063&gt;=01_因子設定!$L$6-0.000000001,F2063&lt;=01_因子設定!$M$6+0.000000001,G2063&gt;=01_因子設定!$L$7-0.000000001,G2063&lt;=01_因子設定!$M$7+0.000000001,H2063&gt;=01_因子設定!$L$8-0.000000001,H2063&lt;=01_因子設定!$M$8+0.000000001,IF(01_因子設定!$B$20="Box-Behnken",E2063^2+F2063^2+G2063^2+H2063^2&lt;=2+0.000000001,TRUE()))</f>
        <v>1</v>
      </c>
      <c r="AD2063" s="55" t="n">
        <f aca="false">IF(AC2063,IF(01_因子設定!$B$13="最大化",AA2063-01_因子設定!$B$14,IF(01_因子設定!$B$13="最小化",01_因子設定!$B$15-AB2063,MIN(AA2063-01_因子設定!$B$14,01_因子設定!$B$15-AB2063))),-1E+030)</f>
        <v>-2.44231027860732</v>
      </c>
      <c r="AE2063" s="55" t="n">
        <f aca="false">IF(AC2063,IF(01_因子設定!$B$13="最大化",X2063,IF(01_因子設定!$B$13="最小化",-X2063,-ABS(X2063-01_因子設定!$B$16))),-1E+030)</f>
        <v>45.4877878289473</v>
      </c>
      <c r="AF2063" s="55" t="n">
        <f aca="false">AD2063+ROW()*0.000000001</f>
        <v>-2.44230821560732</v>
      </c>
      <c r="AG2063" s="55" t="n">
        <f aca="false">AE2063+ROW()*0.000000001</f>
        <v>45.4877898919473</v>
      </c>
    </row>
    <row r="2064" customFormat="false" ht="15" hidden="false" customHeight="false" outlineLevel="0" collapsed="false">
      <c r="A2064" s="0" t="n">
        <v>2</v>
      </c>
      <c r="B2064" s="0" t="n">
        <v>7</v>
      </c>
      <c r="C2064" s="0" t="n">
        <v>3</v>
      </c>
      <c r="D2064" s="0" t="n">
        <v>7</v>
      </c>
      <c r="E2064" s="0" t="n">
        <f aca="false">-1+A2064*0.25</f>
        <v>-0.5</v>
      </c>
      <c r="F2064" s="0" t="n">
        <f aca="false">-1+B2064*0.25</f>
        <v>0.75</v>
      </c>
      <c r="G2064" s="0" t="n">
        <f aca="false">-1+C2064*0.25</f>
        <v>-0.25</v>
      </c>
      <c r="H2064" s="0" t="n">
        <f aca="false">-1+D2064*0.25</f>
        <v>0.75</v>
      </c>
      <c r="I2064" s="0" t="n">
        <f aca="false">1</f>
        <v>1</v>
      </c>
      <c r="J2064" s="0" t="n">
        <f aca="false">E2064</f>
        <v>-0.5</v>
      </c>
      <c r="K2064" s="0" t="n">
        <f aca="false">F2064</f>
        <v>0.75</v>
      </c>
      <c r="L2064" s="0" t="n">
        <f aca="false">G2064</f>
        <v>-0.25</v>
      </c>
      <c r="M2064" s="0" t="n">
        <f aca="false">H2064</f>
        <v>0.75</v>
      </c>
      <c r="N2064" s="0" t="n">
        <f aca="false">E2064*F2064</f>
        <v>-0.375</v>
      </c>
      <c r="O2064" s="0" t="n">
        <f aca="false">E2064*G2064</f>
        <v>0.125</v>
      </c>
      <c r="P2064" s="0" t="n">
        <f aca="false">E2064*H2064</f>
        <v>-0.375</v>
      </c>
      <c r="Q2064" s="0" t="n">
        <f aca="false">F2064*G2064</f>
        <v>-0.1875</v>
      </c>
      <c r="R2064" s="0" t="n">
        <f aca="false">F2064*H2064</f>
        <v>0.5625</v>
      </c>
      <c r="S2064" s="0" t="n">
        <f aca="false">G2064*H2064</f>
        <v>-0.1875</v>
      </c>
      <c r="T2064" s="0" t="n">
        <f aca="false">E2064*E2064</f>
        <v>0.25</v>
      </c>
      <c r="U2064" s="0" t="n">
        <f aca="false">F2064*F2064</f>
        <v>0.5625</v>
      </c>
      <c r="V2064" s="0" t="n">
        <f aca="false">G2064*G2064</f>
        <v>0.0625</v>
      </c>
      <c r="W2064" s="0" t="n">
        <f aca="false">H2064*H2064</f>
        <v>0.5625</v>
      </c>
      <c r="X2064" s="0" t="n">
        <f aca="false">SUMPRODUCT(I2064:W2064,_XtX!$B$96:$P$96)</f>
        <v>45.3962216739766</v>
      </c>
      <c r="Y2064" s="0" t="n">
        <f aca="false">SUMPRODUCT(MMULT(I2064:W2064,_XtX!$B$78:$P$92),I2064:W2064)</f>
        <v>0.257385610836988</v>
      </c>
      <c r="Z2064" s="0" t="n">
        <f aca="false">04_回帰ANOVA!$K$19*04_回帰ANOVA!$K$14*SQRT(1+Y2064)</f>
        <v>1.46161380324158</v>
      </c>
      <c r="AA2064" s="0" t="n">
        <f aca="false">X2064-Z2064</f>
        <v>43.934607870735</v>
      </c>
      <c r="AB2064" s="0" t="n">
        <f aca="false">X2064+Z2064</f>
        <v>46.8578354772182</v>
      </c>
      <c r="AC2064" s="54" t="b">
        <f aca="false">AND(E2064&gt;=01_因子設定!$L$5-0.000000001,E2064&lt;=01_因子設定!$M$5+0.000000001,F2064&gt;=01_因子設定!$L$6-0.000000001,F2064&lt;=01_因子設定!$M$6+0.000000001,G2064&gt;=01_因子設定!$L$7-0.000000001,G2064&lt;=01_因子設定!$M$7+0.000000001,H2064&gt;=01_因子設定!$L$8-0.000000001,H2064&lt;=01_因子設定!$M$8+0.000000001,IF(01_因子設定!$B$20="Box-Behnken",E2064^2+F2064^2+G2064^2+H2064^2&lt;=2+0.000000001,TRUE()))</f>
        <v>1</v>
      </c>
      <c r="AD2064" s="55" t="n">
        <f aca="false">IF(AC2064,IF(01_因子設定!$B$13="最大化",AA2064-01_因子設定!$B$14,IF(01_因子設定!$B$13="最小化",01_因子設定!$B$15-AB2064,MIN(AA2064-01_因子設定!$B$14,01_因子設定!$B$15-AB2064))),-1E+030)</f>
        <v>-2.565392129265</v>
      </c>
      <c r="AE2064" s="55" t="n">
        <f aca="false">IF(AC2064,IF(01_因子設定!$B$13="最大化",X2064,IF(01_因子設定!$B$13="最小化",-X2064,-ABS(X2064-01_因子設定!$B$16))),-1E+030)</f>
        <v>45.3962216739766</v>
      </c>
      <c r="AF2064" s="55" t="n">
        <f aca="false">AD2064+ROW()*0.000000001</f>
        <v>-2.565390065265</v>
      </c>
      <c r="AG2064" s="55" t="n">
        <f aca="false">AE2064+ROW()*0.000000001</f>
        <v>45.3962237379766</v>
      </c>
    </row>
    <row r="2065" customFormat="false" ht="15" hidden="false" customHeight="false" outlineLevel="0" collapsed="false">
      <c r="A2065" s="0" t="n">
        <v>2</v>
      </c>
      <c r="B2065" s="0" t="n">
        <v>7</v>
      </c>
      <c r="C2065" s="0" t="n">
        <v>3</v>
      </c>
      <c r="D2065" s="0" t="n">
        <v>8</v>
      </c>
      <c r="E2065" s="0" t="n">
        <f aca="false">-1+A2065*0.25</f>
        <v>-0.5</v>
      </c>
      <c r="F2065" s="0" t="n">
        <f aca="false">-1+B2065*0.25</f>
        <v>0.75</v>
      </c>
      <c r="G2065" s="0" t="n">
        <f aca="false">-1+C2065*0.25</f>
        <v>-0.25</v>
      </c>
      <c r="H2065" s="0" t="n">
        <f aca="false">-1+D2065*0.25</f>
        <v>1</v>
      </c>
      <c r="I2065" s="0" t="n">
        <f aca="false">1</f>
        <v>1</v>
      </c>
      <c r="J2065" s="0" t="n">
        <f aca="false">E2065</f>
        <v>-0.5</v>
      </c>
      <c r="K2065" s="0" t="n">
        <f aca="false">F2065</f>
        <v>0.75</v>
      </c>
      <c r="L2065" s="0" t="n">
        <f aca="false">G2065</f>
        <v>-0.25</v>
      </c>
      <c r="M2065" s="0" t="n">
        <f aca="false">H2065</f>
        <v>1</v>
      </c>
      <c r="N2065" s="0" t="n">
        <f aca="false">E2065*F2065</f>
        <v>-0.375</v>
      </c>
      <c r="O2065" s="0" t="n">
        <f aca="false">E2065*G2065</f>
        <v>0.125</v>
      </c>
      <c r="P2065" s="0" t="n">
        <f aca="false">E2065*H2065</f>
        <v>-0.5</v>
      </c>
      <c r="Q2065" s="0" t="n">
        <f aca="false">F2065*G2065</f>
        <v>-0.1875</v>
      </c>
      <c r="R2065" s="0" t="n">
        <f aca="false">F2065*H2065</f>
        <v>0.75</v>
      </c>
      <c r="S2065" s="0" t="n">
        <f aca="false">G2065*H2065</f>
        <v>-0.25</v>
      </c>
      <c r="T2065" s="0" t="n">
        <f aca="false">E2065*E2065</f>
        <v>0.25</v>
      </c>
      <c r="U2065" s="0" t="n">
        <f aca="false">F2065*F2065</f>
        <v>0.5625</v>
      </c>
      <c r="V2065" s="0" t="n">
        <f aca="false">G2065*G2065</f>
        <v>0.0625</v>
      </c>
      <c r="W2065" s="0" t="n">
        <f aca="false">H2065*H2065</f>
        <v>1</v>
      </c>
      <c r="X2065" s="0" t="n">
        <f aca="false">SUMPRODUCT(I2065:W2065,_XtX!$B$96:$P$96)</f>
        <v>45.256848501462</v>
      </c>
      <c r="Y2065" s="0" t="n">
        <f aca="false">SUMPRODUCT(MMULT(I2065:W2065,_XtX!$B$78:$P$92),I2065:W2065)</f>
        <v>0.459125719572369</v>
      </c>
      <c r="Z2065" s="0" t="n">
        <f aca="false">04_回帰ANOVA!$K$19*04_回帰ANOVA!$K$14*SQRT(1+Y2065)</f>
        <v>1.57450755575573</v>
      </c>
      <c r="AA2065" s="0" t="n">
        <f aca="false">X2065-Z2065</f>
        <v>43.6823409457063</v>
      </c>
      <c r="AB2065" s="0" t="n">
        <f aca="false">X2065+Z2065</f>
        <v>46.8313560572177</v>
      </c>
      <c r="AC2065" s="54" t="b">
        <f aca="false">AND(E2065&gt;=01_因子設定!$L$5-0.000000001,E2065&lt;=01_因子設定!$M$5+0.000000001,F2065&gt;=01_因子設定!$L$6-0.000000001,F2065&lt;=01_因子設定!$M$6+0.000000001,G2065&gt;=01_因子設定!$L$7-0.000000001,G2065&lt;=01_因子設定!$M$7+0.000000001,H2065&gt;=01_因子設定!$L$8-0.000000001,H2065&lt;=01_因子設定!$M$8+0.000000001,IF(01_因子設定!$B$20="Box-Behnken",E2065^2+F2065^2+G2065^2+H2065^2&lt;=2+0.000000001,TRUE()))</f>
        <v>1</v>
      </c>
      <c r="AD2065" s="55" t="n">
        <f aca="false">IF(AC2065,IF(01_因子設定!$B$13="最大化",AA2065-01_因子設定!$B$14,IF(01_因子設定!$B$13="最小化",01_因子設定!$B$15-AB2065,MIN(AA2065-01_因子設定!$B$14,01_因子設定!$B$15-AB2065))),-1E+030)</f>
        <v>-2.81765905429375</v>
      </c>
      <c r="AE2065" s="55" t="n">
        <f aca="false">IF(AC2065,IF(01_因子設定!$B$13="最大化",X2065,IF(01_因子設定!$B$13="最小化",-X2065,-ABS(X2065-01_因子設定!$B$16))),-1E+030)</f>
        <v>45.256848501462</v>
      </c>
      <c r="AF2065" s="55" t="n">
        <f aca="false">AD2065+ROW()*0.000000001</f>
        <v>-2.81765698929375</v>
      </c>
      <c r="AG2065" s="55" t="n">
        <f aca="false">AE2065+ROW()*0.000000001</f>
        <v>45.256850566462</v>
      </c>
    </row>
    <row r="2066" customFormat="false" ht="15" hidden="false" customHeight="false" outlineLevel="0" collapsed="false">
      <c r="A2066" s="0" t="n">
        <v>2</v>
      </c>
      <c r="B2066" s="0" t="n">
        <v>7</v>
      </c>
      <c r="C2066" s="0" t="n">
        <v>4</v>
      </c>
      <c r="D2066" s="0" t="n">
        <v>0</v>
      </c>
      <c r="E2066" s="0" t="n">
        <f aca="false">-1+A2066*0.25</f>
        <v>-0.5</v>
      </c>
      <c r="F2066" s="0" t="n">
        <f aca="false">-1+B2066*0.25</f>
        <v>0.75</v>
      </c>
      <c r="G2066" s="0" t="n">
        <f aca="false">-1+C2066*0.25</f>
        <v>0</v>
      </c>
      <c r="H2066" s="0" t="n">
        <f aca="false">-1+D2066*0.25</f>
        <v>-1</v>
      </c>
      <c r="I2066" s="0" t="n">
        <f aca="false">1</f>
        <v>1</v>
      </c>
      <c r="J2066" s="0" t="n">
        <f aca="false">E2066</f>
        <v>-0.5</v>
      </c>
      <c r="K2066" s="0" t="n">
        <f aca="false">F2066</f>
        <v>0.75</v>
      </c>
      <c r="L2066" s="0" t="n">
        <f aca="false">G2066</f>
        <v>0</v>
      </c>
      <c r="M2066" s="0" t="n">
        <f aca="false">H2066</f>
        <v>-1</v>
      </c>
      <c r="N2066" s="0" t="n">
        <f aca="false">E2066*F2066</f>
        <v>-0.375</v>
      </c>
      <c r="O2066" s="0" t="n">
        <f aca="false">E2066*G2066</f>
        <v>-0</v>
      </c>
      <c r="P2066" s="0" t="n">
        <f aca="false">E2066*H2066</f>
        <v>0.5</v>
      </c>
      <c r="Q2066" s="0" t="n">
        <f aca="false">F2066*G2066</f>
        <v>0</v>
      </c>
      <c r="R2066" s="0" t="n">
        <f aca="false">F2066*H2066</f>
        <v>-0.75</v>
      </c>
      <c r="S2066" s="0" t="n">
        <f aca="false">G2066*H2066</f>
        <v>-0</v>
      </c>
      <c r="T2066" s="0" t="n">
        <f aca="false">E2066*E2066</f>
        <v>0.25</v>
      </c>
      <c r="U2066" s="0" t="n">
        <f aca="false">F2066*F2066</f>
        <v>0.5625</v>
      </c>
      <c r="V2066" s="0" t="n">
        <f aca="false">G2066*G2066</f>
        <v>0</v>
      </c>
      <c r="W2066" s="0" t="n">
        <f aca="false">H2066*H2066</f>
        <v>1</v>
      </c>
      <c r="X2066" s="0" t="n">
        <f aca="false">SUMPRODUCT(I2066:W2066,_XtX!$B$96:$P$96)</f>
        <v>45.3896929824561</v>
      </c>
      <c r="Y2066" s="0" t="n">
        <f aca="false">SUMPRODUCT(MMULT(I2066:W2066,_XtX!$B$78:$P$92),I2066:W2066)</f>
        <v>0.476191292032164</v>
      </c>
      <c r="Z2066" s="0" t="n">
        <f aca="false">04_回帰ANOVA!$K$19*04_回帰ANOVA!$K$14*SQRT(1+Y2066)</f>
        <v>1.58368831471718</v>
      </c>
      <c r="AA2066" s="0" t="n">
        <f aca="false">X2066-Z2066</f>
        <v>43.806004667739</v>
      </c>
      <c r="AB2066" s="0" t="n">
        <f aca="false">X2066+Z2066</f>
        <v>46.9733812971733</v>
      </c>
      <c r="AC2066" s="54" t="b">
        <f aca="false">AND(E2066&gt;=01_因子設定!$L$5-0.000000001,E2066&lt;=01_因子設定!$M$5+0.000000001,F2066&gt;=01_因子設定!$L$6-0.000000001,F2066&lt;=01_因子設定!$M$6+0.000000001,G2066&gt;=01_因子設定!$L$7-0.000000001,G2066&lt;=01_因子設定!$M$7+0.000000001,H2066&gt;=01_因子設定!$L$8-0.000000001,H2066&lt;=01_因子設定!$M$8+0.000000001,IF(01_因子設定!$B$20="Box-Behnken",E2066^2+F2066^2+G2066^2+H2066^2&lt;=2+0.000000001,TRUE()))</f>
        <v>1</v>
      </c>
      <c r="AD2066" s="55" t="n">
        <f aca="false">IF(AC2066,IF(01_因子設定!$B$13="最大化",AA2066-01_因子設定!$B$14,IF(01_因子設定!$B$13="最小化",01_因子設定!$B$15-AB2066,MIN(AA2066-01_因子設定!$B$14,01_因子設定!$B$15-AB2066))),-1E+030)</f>
        <v>-2.69399533226105</v>
      </c>
      <c r="AE2066" s="55" t="n">
        <f aca="false">IF(AC2066,IF(01_因子設定!$B$13="最大化",X2066,IF(01_因子設定!$B$13="最小化",-X2066,-ABS(X2066-01_因子設定!$B$16))),-1E+030)</f>
        <v>45.3896929824561</v>
      </c>
      <c r="AF2066" s="55" t="n">
        <f aca="false">AD2066+ROW()*0.000000001</f>
        <v>-2.69399326626105</v>
      </c>
      <c r="AG2066" s="55" t="n">
        <f aca="false">AE2066+ROW()*0.000000001</f>
        <v>45.3896950484561</v>
      </c>
    </row>
    <row r="2067" customFormat="false" ht="15" hidden="false" customHeight="false" outlineLevel="0" collapsed="false">
      <c r="A2067" s="0" t="n">
        <v>2</v>
      </c>
      <c r="B2067" s="0" t="n">
        <v>7</v>
      </c>
      <c r="C2067" s="0" t="n">
        <v>4</v>
      </c>
      <c r="D2067" s="0" t="n">
        <v>1</v>
      </c>
      <c r="E2067" s="0" t="n">
        <f aca="false">-1+A2067*0.25</f>
        <v>-0.5</v>
      </c>
      <c r="F2067" s="0" t="n">
        <f aca="false">-1+B2067*0.25</f>
        <v>0.75</v>
      </c>
      <c r="G2067" s="0" t="n">
        <f aca="false">-1+C2067*0.25</f>
        <v>0</v>
      </c>
      <c r="H2067" s="0" t="n">
        <f aca="false">-1+D2067*0.25</f>
        <v>-0.75</v>
      </c>
      <c r="I2067" s="0" t="n">
        <f aca="false">1</f>
        <v>1</v>
      </c>
      <c r="J2067" s="0" t="n">
        <f aca="false">E2067</f>
        <v>-0.5</v>
      </c>
      <c r="K2067" s="0" t="n">
        <f aca="false">F2067</f>
        <v>0.75</v>
      </c>
      <c r="L2067" s="0" t="n">
        <f aca="false">G2067</f>
        <v>0</v>
      </c>
      <c r="M2067" s="0" t="n">
        <f aca="false">H2067</f>
        <v>-0.75</v>
      </c>
      <c r="N2067" s="0" t="n">
        <f aca="false">E2067*F2067</f>
        <v>-0.375</v>
      </c>
      <c r="O2067" s="0" t="n">
        <f aca="false">E2067*G2067</f>
        <v>-0</v>
      </c>
      <c r="P2067" s="0" t="n">
        <f aca="false">E2067*H2067</f>
        <v>0.375</v>
      </c>
      <c r="Q2067" s="0" t="n">
        <f aca="false">F2067*G2067</f>
        <v>0</v>
      </c>
      <c r="R2067" s="0" t="n">
        <f aca="false">F2067*H2067</f>
        <v>-0.5625</v>
      </c>
      <c r="S2067" s="0" t="n">
        <f aca="false">G2067*H2067</f>
        <v>-0</v>
      </c>
      <c r="T2067" s="0" t="n">
        <f aca="false">E2067*E2067</f>
        <v>0.25</v>
      </c>
      <c r="U2067" s="0" t="n">
        <f aca="false">F2067*F2067</f>
        <v>0.5625</v>
      </c>
      <c r="V2067" s="0" t="n">
        <f aca="false">G2067*G2067</f>
        <v>0</v>
      </c>
      <c r="W2067" s="0" t="n">
        <f aca="false">H2067*H2067</f>
        <v>0.5625</v>
      </c>
      <c r="X2067" s="0" t="n">
        <f aca="false">SUMPRODUCT(I2067:W2067,_XtX!$B$96:$P$96)</f>
        <v>45.6029376827485</v>
      </c>
      <c r="Y2067" s="0" t="n">
        <f aca="false">SUMPRODUCT(MMULT(I2067:W2067,_XtX!$B$78:$P$92),I2067:W2067)</f>
        <v>0.269923873812135</v>
      </c>
      <c r="Z2067" s="0" t="n">
        <f aca="false">04_回帰ANOVA!$K$19*04_回帰ANOVA!$K$14*SQRT(1+Y2067)</f>
        <v>1.46888310825501</v>
      </c>
      <c r="AA2067" s="0" t="n">
        <f aca="false">X2067-Z2067</f>
        <v>44.1340545744935</v>
      </c>
      <c r="AB2067" s="0" t="n">
        <f aca="false">X2067+Z2067</f>
        <v>47.0718207910035</v>
      </c>
      <c r="AC2067" s="54" t="b">
        <f aca="false">AND(E2067&gt;=01_因子設定!$L$5-0.000000001,E2067&lt;=01_因子設定!$M$5+0.000000001,F2067&gt;=01_因子設定!$L$6-0.000000001,F2067&lt;=01_因子設定!$M$6+0.000000001,G2067&gt;=01_因子設定!$L$7-0.000000001,G2067&lt;=01_因子設定!$M$7+0.000000001,H2067&gt;=01_因子設定!$L$8-0.000000001,H2067&lt;=01_因子設定!$M$8+0.000000001,IF(01_因子設定!$B$20="Box-Behnken",E2067^2+F2067^2+G2067^2+H2067^2&lt;=2+0.000000001,TRUE()))</f>
        <v>1</v>
      </c>
      <c r="AD2067" s="55" t="n">
        <f aca="false">IF(AC2067,IF(01_因子設定!$B$13="最大化",AA2067-01_因子設定!$B$14,IF(01_因子設定!$B$13="最小化",01_因子設定!$B$15-AB2067,MIN(AA2067-01_因子設定!$B$14,01_因子設定!$B$15-AB2067))),-1E+030)</f>
        <v>-2.36594542550649</v>
      </c>
      <c r="AE2067" s="55" t="n">
        <f aca="false">IF(AC2067,IF(01_因子設定!$B$13="最大化",X2067,IF(01_因子設定!$B$13="最小化",-X2067,-ABS(X2067-01_因子設定!$B$16))),-1E+030)</f>
        <v>45.6029376827485</v>
      </c>
      <c r="AF2067" s="55" t="n">
        <f aca="false">AD2067+ROW()*0.000000001</f>
        <v>-2.36594335850649</v>
      </c>
      <c r="AG2067" s="55" t="n">
        <f aca="false">AE2067+ROW()*0.000000001</f>
        <v>45.6029397497485</v>
      </c>
    </row>
    <row r="2068" customFormat="false" ht="15" hidden="false" customHeight="false" outlineLevel="0" collapsed="false">
      <c r="A2068" s="0" t="n">
        <v>2</v>
      </c>
      <c r="B2068" s="0" t="n">
        <v>7</v>
      </c>
      <c r="C2068" s="0" t="n">
        <v>4</v>
      </c>
      <c r="D2068" s="0" t="n">
        <v>2</v>
      </c>
      <c r="E2068" s="0" t="n">
        <f aca="false">-1+A2068*0.25</f>
        <v>-0.5</v>
      </c>
      <c r="F2068" s="0" t="n">
        <f aca="false">-1+B2068*0.25</f>
        <v>0.75</v>
      </c>
      <c r="G2068" s="0" t="n">
        <f aca="false">-1+C2068*0.25</f>
        <v>0</v>
      </c>
      <c r="H2068" s="0" t="n">
        <f aca="false">-1+D2068*0.25</f>
        <v>-0.5</v>
      </c>
      <c r="I2068" s="0" t="n">
        <f aca="false">1</f>
        <v>1</v>
      </c>
      <c r="J2068" s="0" t="n">
        <f aca="false">E2068</f>
        <v>-0.5</v>
      </c>
      <c r="K2068" s="0" t="n">
        <f aca="false">F2068</f>
        <v>0.75</v>
      </c>
      <c r="L2068" s="0" t="n">
        <f aca="false">G2068</f>
        <v>0</v>
      </c>
      <c r="M2068" s="0" t="n">
        <f aca="false">H2068</f>
        <v>-0.5</v>
      </c>
      <c r="N2068" s="0" t="n">
        <f aca="false">E2068*F2068</f>
        <v>-0.375</v>
      </c>
      <c r="O2068" s="0" t="n">
        <f aca="false">E2068*G2068</f>
        <v>-0</v>
      </c>
      <c r="P2068" s="0" t="n">
        <f aca="false">E2068*H2068</f>
        <v>0.25</v>
      </c>
      <c r="Q2068" s="0" t="n">
        <f aca="false">F2068*G2068</f>
        <v>0</v>
      </c>
      <c r="R2068" s="0" t="n">
        <f aca="false">F2068*H2068</f>
        <v>-0.375</v>
      </c>
      <c r="S2068" s="0" t="n">
        <f aca="false">G2068*H2068</f>
        <v>-0</v>
      </c>
      <c r="T2068" s="0" t="n">
        <f aca="false">E2068*E2068</f>
        <v>0.25</v>
      </c>
      <c r="U2068" s="0" t="n">
        <f aca="false">F2068*F2068</f>
        <v>0.5625</v>
      </c>
      <c r="V2068" s="0" t="n">
        <f aca="false">G2068*G2068</f>
        <v>0</v>
      </c>
      <c r="W2068" s="0" t="n">
        <f aca="false">H2068*H2068</f>
        <v>0.25</v>
      </c>
      <c r="X2068" s="0" t="n">
        <f aca="false">SUMPRODUCT(I2068:W2068,_XtX!$B$96:$P$96)</f>
        <v>45.768375365497</v>
      </c>
      <c r="Y2068" s="0" t="n">
        <f aca="false">SUMPRODUCT(MMULT(I2068:W2068,_XtX!$B$78:$P$92),I2068:W2068)</f>
        <v>0.21305052997076</v>
      </c>
      <c r="Z2068" s="0" t="n">
        <f aca="false">04_回帰ANOVA!$K$19*04_回帰ANOVA!$K$14*SQRT(1+Y2068)</f>
        <v>1.43561450835061</v>
      </c>
      <c r="AA2068" s="0" t="n">
        <f aca="false">X2068-Z2068</f>
        <v>44.3327608571464</v>
      </c>
      <c r="AB2068" s="0" t="n">
        <f aca="false">X2068+Z2068</f>
        <v>47.2039898738477</v>
      </c>
      <c r="AC2068" s="54" t="b">
        <f aca="false">AND(E2068&gt;=01_因子設定!$L$5-0.000000001,E2068&lt;=01_因子設定!$M$5+0.000000001,F2068&gt;=01_因子設定!$L$6-0.000000001,F2068&lt;=01_因子設定!$M$6+0.000000001,G2068&gt;=01_因子設定!$L$7-0.000000001,G2068&lt;=01_因子設定!$M$7+0.000000001,H2068&gt;=01_因子設定!$L$8-0.000000001,H2068&lt;=01_因子設定!$M$8+0.000000001,IF(01_因子設定!$B$20="Box-Behnken",E2068^2+F2068^2+G2068^2+H2068^2&lt;=2+0.000000001,TRUE()))</f>
        <v>1</v>
      </c>
      <c r="AD2068" s="55" t="n">
        <f aca="false">IF(AC2068,IF(01_因子設定!$B$13="最大化",AA2068-01_因子設定!$B$14,IF(01_因子設定!$B$13="最小化",01_因子設定!$B$15-AB2068,MIN(AA2068-01_因子設定!$B$14,01_因子設定!$B$15-AB2068))),-1E+030)</f>
        <v>-2.16723914285356</v>
      </c>
      <c r="AE2068" s="55" t="n">
        <f aca="false">IF(AC2068,IF(01_因子設定!$B$13="最大化",X2068,IF(01_因子設定!$B$13="最小化",-X2068,-ABS(X2068-01_因子設定!$B$16))),-1E+030)</f>
        <v>45.768375365497</v>
      </c>
      <c r="AF2068" s="55" t="n">
        <f aca="false">AD2068+ROW()*0.000000001</f>
        <v>-2.16723707485356</v>
      </c>
      <c r="AG2068" s="55" t="n">
        <f aca="false">AE2068+ROW()*0.000000001</f>
        <v>45.768377433497</v>
      </c>
    </row>
    <row r="2069" customFormat="false" ht="15" hidden="false" customHeight="false" outlineLevel="0" collapsed="false">
      <c r="A2069" s="0" t="n">
        <v>2</v>
      </c>
      <c r="B2069" s="0" t="n">
        <v>7</v>
      </c>
      <c r="C2069" s="0" t="n">
        <v>4</v>
      </c>
      <c r="D2069" s="0" t="n">
        <v>3</v>
      </c>
      <c r="E2069" s="0" t="n">
        <f aca="false">-1+A2069*0.25</f>
        <v>-0.5</v>
      </c>
      <c r="F2069" s="0" t="n">
        <f aca="false">-1+B2069*0.25</f>
        <v>0.75</v>
      </c>
      <c r="G2069" s="0" t="n">
        <f aca="false">-1+C2069*0.25</f>
        <v>0</v>
      </c>
      <c r="H2069" s="0" t="n">
        <f aca="false">-1+D2069*0.25</f>
        <v>-0.25</v>
      </c>
      <c r="I2069" s="0" t="n">
        <f aca="false">1</f>
        <v>1</v>
      </c>
      <c r="J2069" s="0" t="n">
        <f aca="false">E2069</f>
        <v>-0.5</v>
      </c>
      <c r="K2069" s="0" t="n">
        <f aca="false">F2069</f>
        <v>0.75</v>
      </c>
      <c r="L2069" s="0" t="n">
        <f aca="false">G2069</f>
        <v>0</v>
      </c>
      <c r="M2069" s="0" t="n">
        <f aca="false">H2069</f>
        <v>-0.25</v>
      </c>
      <c r="N2069" s="0" t="n">
        <f aca="false">E2069*F2069</f>
        <v>-0.375</v>
      </c>
      <c r="O2069" s="0" t="n">
        <f aca="false">E2069*G2069</f>
        <v>-0</v>
      </c>
      <c r="P2069" s="0" t="n">
        <f aca="false">E2069*H2069</f>
        <v>0.125</v>
      </c>
      <c r="Q2069" s="0" t="n">
        <f aca="false">F2069*G2069</f>
        <v>0</v>
      </c>
      <c r="R2069" s="0" t="n">
        <f aca="false">F2069*H2069</f>
        <v>-0.1875</v>
      </c>
      <c r="S2069" s="0" t="n">
        <f aca="false">G2069*H2069</f>
        <v>-0</v>
      </c>
      <c r="T2069" s="0" t="n">
        <f aca="false">E2069*E2069</f>
        <v>0.25</v>
      </c>
      <c r="U2069" s="0" t="n">
        <f aca="false">F2069*F2069</f>
        <v>0.5625</v>
      </c>
      <c r="V2069" s="0" t="n">
        <f aca="false">G2069*G2069</f>
        <v>0</v>
      </c>
      <c r="W2069" s="0" t="n">
        <f aca="false">H2069*H2069</f>
        <v>0.0625</v>
      </c>
      <c r="X2069" s="0" t="n">
        <f aca="false">SUMPRODUCT(I2069:W2069,_XtX!$B$96:$P$96)</f>
        <v>45.8860060307017</v>
      </c>
      <c r="Y2069" s="0" t="n">
        <f aca="false">SUMPRODUCT(MMULT(I2069:W2069,_XtX!$B$78:$P$92),I2069:W2069)</f>
        <v>0.215110734192252</v>
      </c>
      <c r="Z2069" s="0" t="n">
        <f aca="false">04_回帰ANOVA!$K$19*04_回帰ANOVA!$K$14*SQRT(1+Y2069)</f>
        <v>1.43683309086864</v>
      </c>
      <c r="AA2069" s="0" t="n">
        <f aca="false">X2069-Z2069</f>
        <v>44.4491729398331</v>
      </c>
      <c r="AB2069" s="0" t="n">
        <f aca="false">X2069+Z2069</f>
        <v>47.3228391215704</v>
      </c>
      <c r="AC2069" s="54" t="b">
        <f aca="false">AND(E2069&gt;=01_因子設定!$L$5-0.000000001,E2069&lt;=01_因子設定!$M$5+0.000000001,F2069&gt;=01_因子設定!$L$6-0.000000001,F2069&lt;=01_因子設定!$M$6+0.000000001,G2069&gt;=01_因子設定!$L$7-0.000000001,G2069&lt;=01_因子設定!$M$7+0.000000001,H2069&gt;=01_因子設定!$L$8-0.000000001,H2069&lt;=01_因子設定!$M$8+0.000000001,IF(01_因子設定!$B$20="Box-Behnken",E2069^2+F2069^2+G2069^2+H2069^2&lt;=2+0.000000001,TRUE()))</f>
        <v>1</v>
      </c>
      <c r="AD2069" s="55" t="n">
        <f aca="false">IF(AC2069,IF(01_因子設定!$B$13="最大化",AA2069-01_因子設定!$B$14,IF(01_因子設定!$B$13="最小化",01_因子設定!$B$15-AB2069,MIN(AA2069-01_因子設定!$B$14,01_因子設定!$B$15-AB2069))),-1E+030)</f>
        <v>-2.05082706016693</v>
      </c>
      <c r="AE2069" s="55" t="n">
        <f aca="false">IF(AC2069,IF(01_因子設定!$B$13="最大化",X2069,IF(01_因子設定!$B$13="最小化",-X2069,-ABS(X2069-01_因子設定!$B$16))),-1E+030)</f>
        <v>45.8860060307017</v>
      </c>
      <c r="AF2069" s="55" t="n">
        <f aca="false">AD2069+ROW()*0.000000001</f>
        <v>-2.05082499116693</v>
      </c>
      <c r="AG2069" s="55" t="n">
        <f aca="false">AE2069+ROW()*0.000000001</f>
        <v>45.8860080997017</v>
      </c>
    </row>
    <row r="2070" customFormat="false" ht="15" hidden="false" customHeight="false" outlineLevel="0" collapsed="false">
      <c r="A2070" s="0" t="n">
        <v>2</v>
      </c>
      <c r="B2070" s="0" t="n">
        <v>7</v>
      </c>
      <c r="C2070" s="0" t="n">
        <v>4</v>
      </c>
      <c r="D2070" s="0" t="n">
        <v>4</v>
      </c>
      <c r="E2070" s="0" t="n">
        <f aca="false">-1+A2070*0.25</f>
        <v>-0.5</v>
      </c>
      <c r="F2070" s="0" t="n">
        <f aca="false">-1+B2070*0.25</f>
        <v>0.75</v>
      </c>
      <c r="G2070" s="0" t="n">
        <f aca="false">-1+C2070*0.25</f>
        <v>0</v>
      </c>
      <c r="H2070" s="0" t="n">
        <f aca="false">-1+D2070*0.25</f>
        <v>0</v>
      </c>
      <c r="I2070" s="0" t="n">
        <f aca="false">1</f>
        <v>1</v>
      </c>
      <c r="J2070" s="0" t="n">
        <f aca="false">E2070</f>
        <v>-0.5</v>
      </c>
      <c r="K2070" s="0" t="n">
        <f aca="false">F2070</f>
        <v>0.75</v>
      </c>
      <c r="L2070" s="0" t="n">
        <f aca="false">G2070</f>
        <v>0</v>
      </c>
      <c r="M2070" s="0" t="n">
        <f aca="false">H2070</f>
        <v>0</v>
      </c>
      <c r="N2070" s="0" t="n">
        <f aca="false">E2070*F2070</f>
        <v>-0.375</v>
      </c>
      <c r="O2070" s="0" t="n">
        <f aca="false">E2070*G2070</f>
        <v>-0</v>
      </c>
      <c r="P2070" s="0" t="n">
        <f aca="false">E2070*H2070</f>
        <v>-0</v>
      </c>
      <c r="Q2070" s="0" t="n">
        <f aca="false">F2070*G2070</f>
        <v>0</v>
      </c>
      <c r="R2070" s="0" t="n">
        <f aca="false">F2070*H2070</f>
        <v>0</v>
      </c>
      <c r="S2070" s="0" t="n">
        <f aca="false">G2070*H2070</f>
        <v>0</v>
      </c>
      <c r="T2070" s="0" t="n">
        <f aca="false">E2070*E2070</f>
        <v>0.25</v>
      </c>
      <c r="U2070" s="0" t="n">
        <f aca="false">F2070*F2070</f>
        <v>0.5625</v>
      </c>
      <c r="V2070" s="0" t="n">
        <f aca="false">G2070*G2070</f>
        <v>0</v>
      </c>
      <c r="W2070" s="0" t="n">
        <f aca="false">H2070*H2070</f>
        <v>0</v>
      </c>
      <c r="X2070" s="0" t="n">
        <f aca="false">SUMPRODUCT(I2070:W2070,_XtX!$B$96:$P$96)</f>
        <v>45.9558296783625</v>
      </c>
      <c r="Y2070" s="0" t="n">
        <f aca="false">SUMPRODUCT(MMULT(I2070:W2070,_XtX!$B$78:$P$92),I2070:W2070)</f>
        <v>0.221828170687135</v>
      </c>
      <c r="Z2070" s="0" t="n">
        <f aca="false">04_回帰ANOVA!$K$19*04_回帰ANOVA!$K$14*SQRT(1+Y2070)</f>
        <v>1.44079920361664</v>
      </c>
      <c r="AA2070" s="0" t="n">
        <f aca="false">X2070-Z2070</f>
        <v>44.5150304747459</v>
      </c>
      <c r="AB2070" s="0" t="n">
        <f aca="false">X2070+Z2070</f>
        <v>47.3966288819792</v>
      </c>
      <c r="AC2070" s="54" t="b">
        <f aca="false">AND(E2070&gt;=01_因子設定!$L$5-0.000000001,E2070&lt;=01_因子設定!$M$5+0.000000001,F2070&gt;=01_因子設定!$L$6-0.000000001,F2070&lt;=01_因子設定!$M$6+0.000000001,G2070&gt;=01_因子設定!$L$7-0.000000001,G2070&lt;=01_因子設定!$M$7+0.000000001,H2070&gt;=01_因子設定!$L$8-0.000000001,H2070&lt;=01_因子設定!$M$8+0.000000001,IF(01_因子設定!$B$20="Box-Behnken",E2070^2+F2070^2+G2070^2+H2070^2&lt;=2+0.000000001,TRUE()))</f>
        <v>1</v>
      </c>
      <c r="AD2070" s="55" t="n">
        <f aca="false">IF(AC2070,IF(01_因子設定!$B$13="最大化",AA2070-01_因子設定!$B$14,IF(01_因子設定!$B$13="最小化",01_因子設定!$B$15-AB2070,MIN(AA2070-01_因子設定!$B$14,01_因子設定!$B$15-AB2070))),-1E+030)</f>
        <v>-1.98496952525412</v>
      </c>
      <c r="AE2070" s="55" t="n">
        <f aca="false">IF(AC2070,IF(01_因子設定!$B$13="最大化",X2070,IF(01_因子設定!$B$13="最小化",-X2070,-ABS(X2070-01_因子設定!$B$16))),-1E+030)</f>
        <v>45.9558296783625</v>
      </c>
      <c r="AF2070" s="55" t="n">
        <f aca="false">AD2070+ROW()*0.000000001</f>
        <v>-1.98496745525412</v>
      </c>
      <c r="AG2070" s="55" t="n">
        <f aca="false">AE2070+ROW()*0.000000001</f>
        <v>45.9558317483625</v>
      </c>
    </row>
    <row r="2071" customFormat="false" ht="15" hidden="false" customHeight="false" outlineLevel="0" collapsed="false">
      <c r="A2071" s="0" t="n">
        <v>2</v>
      </c>
      <c r="B2071" s="0" t="n">
        <v>7</v>
      </c>
      <c r="C2071" s="0" t="n">
        <v>4</v>
      </c>
      <c r="D2071" s="0" t="n">
        <v>5</v>
      </c>
      <c r="E2071" s="0" t="n">
        <f aca="false">-1+A2071*0.25</f>
        <v>-0.5</v>
      </c>
      <c r="F2071" s="0" t="n">
        <f aca="false">-1+B2071*0.25</f>
        <v>0.75</v>
      </c>
      <c r="G2071" s="0" t="n">
        <f aca="false">-1+C2071*0.25</f>
        <v>0</v>
      </c>
      <c r="H2071" s="0" t="n">
        <f aca="false">-1+D2071*0.25</f>
        <v>0.25</v>
      </c>
      <c r="I2071" s="0" t="n">
        <f aca="false">1</f>
        <v>1</v>
      </c>
      <c r="J2071" s="0" t="n">
        <f aca="false">E2071</f>
        <v>-0.5</v>
      </c>
      <c r="K2071" s="0" t="n">
        <f aca="false">F2071</f>
        <v>0.75</v>
      </c>
      <c r="L2071" s="0" t="n">
        <f aca="false">G2071</f>
        <v>0</v>
      </c>
      <c r="M2071" s="0" t="n">
        <f aca="false">H2071</f>
        <v>0.25</v>
      </c>
      <c r="N2071" s="0" t="n">
        <f aca="false">E2071*F2071</f>
        <v>-0.375</v>
      </c>
      <c r="O2071" s="0" t="n">
        <f aca="false">E2071*G2071</f>
        <v>-0</v>
      </c>
      <c r="P2071" s="0" t="n">
        <f aca="false">E2071*H2071</f>
        <v>-0.125</v>
      </c>
      <c r="Q2071" s="0" t="n">
        <f aca="false">F2071*G2071</f>
        <v>0</v>
      </c>
      <c r="R2071" s="0" t="n">
        <f aca="false">F2071*H2071</f>
        <v>0.1875</v>
      </c>
      <c r="S2071" s="0" t="n">
        <f aca="false">G2071*H2071</f>
        <v>0</v>
      </c>
      <c r="T2071" s="0" t="n">
        <f aca="false">E2071*E2071</f>
        <v>0.25</v>
      </c>
      <c r="U2071" s="0" t="n">
        <f aca="false">F2071*F2071</f>
        <v>0.5625</v>
      </c>
      <c r="V2071" s="0" t="n">
        <f aca="false">G2071*G2071</f>
        <v>0</v>
      </c>
      <c r="W2071" s="0" t="n">
        <f aca="false">H2071*H2071</f>
        <v>0.0625</v>
      </c>
      <c r="X2071" s="0" t="n">
        <f aca="false">SUMPRODUCT(I2071:W2071,_XtX!$B$96:$P$96)</f>
        <v>45.9778463084795</v>
      </c>
      <c r="Y2071" s="0" t="n">
        <f aca="false">SUMPRODUCT(MMULT(I2071:W2071,_XtX!$B$78:$P$92),I2071:W2071)</f>
        <v>0.215110734192252</v>
      </c>
      <c r="Z2071" s="0" t="n">
        <f aca="false">04_回帰ANOVA!$K$19*04_回帰ANOVA!$K$14*SQRT(1+Y2071)</f>
        <v>1.43683309086864</v>
      </c>
      <c r="AA2071" s="0" t="n">
        <f aca="false">X2071-Z2071</f>
        <v>44.5410132176108</v>
      </c>
      <c r="AB2071" s="0" t="n">
        <f aca="false">X2071+Z2071</f>
        <v>47.4146793993481</v>
      </c>
      <c r="AC2071" s="54" t="b">
        <f aca="false">AND(E2071&gt;=01_因子設定!$L$5-0.000000001,E2071&lt;=01_因子設定!$M$5+0.000000001,F2071&gt;=01_因子設定!$L$6-0.000000001,F2071&lt;=01_因子設定!$M$6+0.000000001,G2071&gt;=01_因子設定!$L$7-0.000000001,G2071&lt;=01_因子設定!$M$7+0.000000001,H2071&gt;=01_因子設定!$L$8-0.000000001,H2071&lt;=01_因子設定!$M$8+0.000000001,IF(01_因子設定!$B$20="Box-Behnken",E2071^2+F2071^2+G2071^2+H2071^2&lt;=2+0.000000001,TRUE()))</f>
        <v>1</v>
      </c>
      <c r="AD2071" s="55" t="n">
        <f aca="false">IF(AC2071,IF(01_因子設定!$B$13="最大化",AA2071-01_因子設定!$B$14,IF(01_因子設定!$B$13="最小化",01_因子設定!$B$15-AB2071,MIN(AA2071-01_因子設定!$B$14,01_因子設定!$B$15-AB2071))),-1E+030)</f>
        <v>-1.95898678238915</v>
      </c>
      <c r="AE2071" s="55" t="n">
        <f aca="false">IF(AC2071,IF(01_因子設定!$B$13="最大化",X2071,IF(01_因子設定!$B$13="最小化",-X2071,-ABS(X2071-01_因子設定!$B$16))),-1E+030)</f>
        <v>45.9778463084795</v>
      </c>
      <c r="AF2071" s="55" t="n">
        <f aca="false">AD2071+ROW()*0.000000001</f>
        <v>-1.95898471138915</v>
      </c>
      <c r="AG2071" s="55" t="n">
        <f aca="false">AE2071+ROW()*0.000000001</f>
        <v>45.9778483794795</v>
      </c>
    </row>
    <row r="2072" customFormat="false" ht="15" hidden="false" customHeight="false" outlineLevel="0" collapsed="false">
      <c r="A2072" s="0" t="n">
        <v>2</v>
      </c>
      <c r="B2072" s="0" t="n">
        <v>7</v>
      </c>
      <c r="C2072" s="0" t="n">
        <v>4</v>
      </c>
      <c r="D2072" s="0" t="n">
        <v>6</v>
      </c>
      <c r="E2072" s="0" t="n">
        <f aca="false">-1+A2072*0.25</f>
        <v>-0.5</v>
      </c>
      <c r="F2072" s="0" t="n">
        <f aca="false">-1+B2072*0.25</f>
        <v>0.75</v>
      </c>
      <c r="G2072" s="0" t="n">
        <f aca="false">-1+C2072*0.25</f>
        <v>0</v>
      </c>
      <c r="H2072" s="0" t="n">
        <f aca="false">-1+D2072*0.25</f>
        <v>0.5</v>
      </c>
      <c r="I2072" s="0" t="n">
        <f aca="false">1</f>
        <v>1</v>
      </c>
      <c r="J2072" s="0" t="n">
        <f aca="false">E2072</f>
        <v>-0.5</v>
      </c>
      <c r="K2072" s="0" t="n">
        <f aca="false">F2072</f>
        <v>0.75</v>
      </c>
      <c r="L2072" s="0" t="n">
        <f aca="false">G2072</f>
        <v>0</v>
      </c>
      <c r="M2072" s="0" t="n">
        <f aca="false">H2072</f>
        <v>0.5</v>
      </c>
      <c r="N2072" s="0" t="n">
        <f aca="false">E2072*F2072</f>
        <v>-0.375</v>
      </c>
      <c r="O2072" s="0" t="n">
        <f aca="false">E2072*G2072</f>
        <v>-0</v>
      </c>
      <c r="P2072" s="0" t="n">
        <f aca="false">E2072*H2072</f>
        <v>-0.25</v>
      </c>
      <c r="Q2072" s="0" t="n">
        <f aca="false">F2072*G2072</f>
        <v>0</v>
      </c>
      <c r="R2072" s="0" t="n">
        <f aca="false">F2072*H2072</f>
        <v>0.375</v>
      </c>
      <c r="S2072" s="0" t="n">
        <f aca="false">G2072*H2072</f>
        <v>0</v>
      </c>
      <c r="T2072" s="0" t="n">
        <f aca="false">E2072*E2072</f>
        <v>0.25</v>
      </c>
      <c r="U2072" s="0" t="n">
        <f aca="false">F2072*F2072</f>
        <v>0.5625</v>
      </c>
      <c r="V2072" s="0" t="n">
        <f aca="false">G2072*G2072</f>
        <v>0</v>
      </c>
      <c r="W2072" s="0" t="n">
        <f aca="false">H2072*H2072</f>
        <v>0.25</v>
      </c>
      <c r="X2072" s="0" t="n">
        <f aca="false">SUMPRODUCT(I2072:W2072,_XtX!$B$96:$P$96)</f>
        <v>45.9520559210526</v>
      </c>
      <c r="Y2072" s="0" t="n">
        <f aca="false">SUMPRODUCT(MMULT(I2072:W2072,_XtX!$B$78:$P$92),I2072:W2072)</f>
        <v>0.21305052997076</v>
      </c>
      <c r="Z2072" s="0" t="n">
        <f aca="false">04_回帰ANOVA!$K$19*04_回帰ANOVA!$K$14*SQRT(1+Y2072)</f>
        <v>1.43561450835061</v>
      </c>
      <c r="AA2072" s="0" t="n">
        <f aca="false">X2072-Z2072</f>
        <v>44.516441412702</v>
      </c>
      <c r="AB2072" s="0" t="n">
        <f aca="false">X2072+Z2072</f>
        <v>47.3876704294032</v>
      </c>
      <c r="AC2072" s="54" t="b">
        <f aca="false">AND(E2072&gt;=01_因子設定!$L$5-0.000000001,E2072&lt;=01_因子設定!$M$5+0.000000001,F2072&gt;=01_因子設定!$L$6-0.000000001,F2072&lt;=01_因子設定!$M$6+0.000000001,G2072&gt;=01_因子設定!$L$7-0.000000001,G2072&lt;=01_因子設定!$M$7+0.000000001,H2072&gt;=01_因子設定!$L$8-0.000000001,H2072&lt;=01_因子設定!$M$8+0.000000001,IF(01_因子設定!$B$20="Box-Behnken",E2072^2+F2072^2+G2072^2+H2072^2&lt;=2+0.000000001,TRUE()))</f>
        <v>1</v>
      </c>
      <c r="AD2072" s="55" t="n">
        <f aca="false">IF(AC2072,IF(01_因子設定!$B$13="最大化",AA2072-01_因子設定!$B$14,IF(01_因子設定!$B$13="最小化",01_因子設定!$B$15-AB2072,MIN(AA2072-01_因子設定!$B$14,01_因子設定!$B$15-AB2072))),-1E+030)</f>
        <v>-1.98355858729801</v>
      </c>
      <c r="AE2072" s="55" t="n">
        <f aca="false">IF(AC2072,IF(01_因子設定!$B$13="最大化",X2072,IF(01_因子設定!$B$13="最小化",-X2072,-ABS(X2072-01_因子設定!$B$16))),-1E+030)</f>
        <v>45.9520559210526</v>
      </c>
      <c r="AF2072" s="55" t="n">
        <f aca="false">AD2072+ROW()*0.000000001</f>
        <v>-1.98355651529801</v>
      </c>
      <c r="AG2072" s="55" t="n">
        <f aca="false">AE2072+ROW()*0.000000001</f>
        <v>45.9520579930526</v>
      </c>
    </row>
    <row r="2073" customFormat="false" ht="15" hidden="false" customHeight="false" outlineLevel="0" collapsed="false">
      <c r="A2073" s="0" t="n">
        <v>2</v>
      </c>
      <c r="B2073" s="0" t="n">
        <v>7</v>
      </c>
      <c r="C2073" s="0" t="n">
        <v>4</v>
      </c>
      <c r="D2073" s="0" t="n">
        <v>7</v>
      </c>
      <c r="E2073" s="0" t="n">
        <f aca="false">-1+A2073*0.25</f>
        <v>-0.5</v>
      </c>
      <c r="F2073" s="0" t="n">
        <f aca="false">-1+B2073*0.25</f>
        <v>0.75</v>
      </c>
      <c r="G2073" s="0" t="n">
        <f aca="false">-1+C2073*0.25</f>
        <v>0</v>
      </c>
      <c r="H2073" s="0" t="n">
        <f aca="false">-1+D2073*0.25</f>
        <v>0.75</v>
      </c>
      <c r="I2073" s="0" t="n">
        <f aca="false">1</f>
        <v>1</v>
      </c>
      <c r="J2073" s="0" t="n">
        <f aca="false">E2073</f>
        <v>-0.5</v>
      </c>
      <c r="K2073" s="0" t="n">
        <f aca="false">F2073</f>
        <v>0.75</v>
      </c>
      <c r="L2073" s="0" t="n">
        <f aca="false">G2073</f>
        <v>0</v>
      </c>
      <c r="M2073" s="0" t="n">
        <f aca="false">H2073</f>
        <v>0.75</v>
      </c>
      <c r="N2073" s="0" t="n">
        <f aca="false">E2073*F2073</f>
        <v>-0.375</v>
      </c>
      <c r="O2073" s="0" t="n">
        <f aca="false">E2073*G2073</f>
        <v>-0</v>
      </c>
      <c r="P2073" s="0" t="n">
        <f aca="false">E2073*H2073</f>
        <v>-0.375</v>
      </c>
      <c r="Q2073" s="0" t="n">
        <f aca="false">F2073*G2073</f>
        <v>0</v>
      </c>
      <c r="R2073" s="0" t="n">
        <f aca="false">F2073*H2073</f>
        <v>0.5625</v>
      </c>
      <c r="S2073" s="0" t="n">
        <f aca="false">G2073*H2073</f>
        <v>0</v>
      </c>
      <c r="T2073" s="0" t="n">
        <f aca="false">E2073*E2073</f>
        <v>0.25</v>
      </c>
      <c r="U2073" s="0" t="n">
        <f aca="false">F2073*F2073</f>
        <v>0.5625</v>
      </c>
      <c r="V2073" s="0" t="n">
        <f aca="false">G2073*G2073</f>
        <v>0</v>
      </c>
      <c r="W2073" s="0" t="n">
        <f aca="false">H2073*H2073</f>
        <v>0.5625</v>
      </c>
      <c r="X2073" s="0" t="n">
        <f aca="false">SUMPRODUCT(I2073:W2073,_XtX!$B$96:$P$96)</f>
        <v>45.8784585160819</v>
      </c>
      <c r="Y2073" s="0" t="n">
        <f aca="false">SUMPRODUCT(MMULT(I2073:W2073,_XtX!$B$78:$P$92),I2073:W2073)</f>
        <v>0.269923873812135</v>
      </c>
      <c r="Z2073" s="0" t="n">
        <f aca="false">04_回帰ANOVA!$K$19*04_回帰ANOVA!$K$14*SQRT(1+Y2073)</f>
        <v>1.46888310825501</v>
      </c>
      <c r="AA2073" s="0" t="n">
        <f aca="false">X2073-Z2073</f>
        <v>44.4095754078268</v>
      </c>
      <c r="AB2073" s="0" t="n">
        <f aca="false">X2073+Z2073</f>
        <v>47.3473416243369</v>
      </c>
      <c r="AC2073" s="54" t="b">
        <f aca="false">AND(E2073&gt;=01_因子設定!$L$5-0.000000001,E2073&lt;=01_因子設定!$M$5+0.000000001,F2073&gt;=01_因子設定!$L$6-0.000000001,F2073&lt;=01_因子設定!$M$6+0.000000001,G2073&gt;=01_因子設定!$L$7-0.000000001,G2073&lt;=01_因子設定!$M$7+0.000000001,H2073&gt;=01_因子設定!$L$8-0.000000001,H2073&lt;=01_因子設定!$M$8+0.000000001,IF(01_因子設定!$B$20="Box-Behnken",E2073^2+F2073^2+G2073^2+H2073^2&lt;=2+0.000000001,TRUE()))</f>
        <v>1</v>
      </c>
      <c r="AD2073" s="55" t="n">
        <f aca="false">IF(AC2073,IF(01_因子設定!$B$13="最大化",AA2073-01_因子設定!$B$14,IF(01_因子設定!$B$13="最小化",01_因子設定!$B$15-AB2073,MIN(AA2073-01_因子設定!$B$14,01_因子設定!$B$15-AB2073))),-1E+030)</f>
        <v>-2.09042459217316</v>
      </c>
      <c r="AE2073" s="55" t="n">
        <f aca="false">IF(AC2073,IF(01_因子設定!$B$13="最大化",X2073,IF(01_因子設定!$B$13="最小化",-X2073,-ABS(X2073-01_因子設定!$B$16))),-1E+030)</f>
        <v>45.8784585160819</v>
      </c>
      <c r="AF2073" s="55" t="n">
        <f aca="false">AD2073+ROW()*0.000000001</f>
        <v>-2.09042251917316</v>
      </c>
      <c r="AG2073" s="55" t="n">
        <f aca="false">AE2073+ROW()*0.000000001</f>
        <v>45.8784605890819</v>
      </c>
    </row>
    <row r="2074" customFormat="false" ht="15" hidden="false" customHeight="false" outlineLevel="0" collapsed="false">
      <c r="A2074" s="0" t="n">
        <v>2</v>
      </c>
      <c r="B2074" s="0" t="n">
        <v>7</v>
      </c>
      <c r="C2074" s="0" t="n">
        <v>4</v>
      </c>
      <c r="D2074" s="0" t="n">
        <v>8</v>
      </c>
      <c r="E2074" s="0" t="n">
        <f aca="false">-1+A2074*0.25</f>
        <v>-0.5</v>
      </c>
      <c r="F2074" s="0" t="n">
        <f aca="false">-1+B2074*0.25</f>
        <v>0.75</v>
      </c>
      <c r="G2074" s="0" t="n">
        <f aca="false">-1+C2074*0.25</f>
        <v>0</v>
      </c>
      <c r="H2074" s="0" t="n">
        <f aca="false">-1+D2074*0.25</f>
        <v>1</v>
      </c>
      <c r="I2074" s="0" t="n">
        <f aca="false">1</f>
        <v>1</v>
      </c>
      <c r="J2074" s="0" t="n">
        <f aca="false">E2074</f>
        <v>-0.5</v>
      </c>
      <c r="K2074" s="0" t="n">
        <f aca="false">F2074</f>
        <v>0.75</v>
      </c>
      <c r="L2074" s="0" t="n">
        <f aca="false">G2074</f>
        <v>0</v>
      </c>
      <c r="M2074" s="0" t="n">
        <f aca="false">H2074</f>
        <v>1</v>
      </c>
      <c r="N2074" s="0" t="n">
        <f aca="false">E2074*F2074</f>
        <v>-0.375</v>
      </c>
      <c r="O2074" s="0" t="n">
        <f aca="false">E2074*G2074</f>
        <v>-0</v>
      </c>
      <c r="P2074" s="0" t="n">
        <f aca="false">E2074*H2074</f>
        <v>-0.5</v>
      </c>
      <c r="Q2074" s="0" t="n">
        <f aca="false">F2074*G2074</f>
        <v>0</v>
      </c>
      <c r="R2074" s="0" t="n">
        <f aca="false">F2074*H2074</f>
        <v>0.75</v>
      </c>
      <c r="S2074" s="0" t="n">
        <f aca="false">G2074*H2074</f>
        <v>0</v>
      </c>
      <c r="T2074" s="0" t="n">
        <f aca="false">E2074*E2074</f>
        <v>0.25</v>
      </c>
      <c r="U2074" s="0" t="n">
        <f aca="false">F2074*F2074</f>
        <v>0.5625</v>
      </c>
      <c r="V2074" s="0" t="n">
        <f aca="false">G2074*G2074</f>
        <v>0</v>
      </c>
      <c r="W2074" s="0" t="n">
        <f aca="false">H2074*H2074</f>
        <v>1</v>
      </c>
      <c r="X2074" s="0" t="n">
        <f aca="false">SUMPRODUCT(I2074:W2074,_XtX!$B$96:$P$96)</f>
        <v>45.7570540935672</v>
      </c>
      <c r="Y2074" s="0" t="n">
        <f aca="false">SUMPRODUCT(MMULT(I2074:W2074,_XtX!$B$78:$P$92),I2074:W2074)</f>
        <v>0.476191292032164</v>
      </c>
      <c r="Z2074" s="0" t="n">
        <f aca="false">04_回帰ANOVA!$K$19*04_回帰ANOVA!$K$14*SQRT(1+Y2074)</f>
        <v>1.58368831471718</v>
      </c>
      <c r="AA2074" s="0" t="n">
        <f aca="false">X2074-Z2074</f>
        <v>44.1733657788501</v>
      </c>
      <c r="AB2074" s="0" t="n">
        <f aca="false">X2074+Z2074</f>
        <v>47.3407424082844</v>
      </c>
      <c r="AC2074" s="54" t="b">
        <f aca="false">AND(E2074&gt;=01_因子設定!$L$5-0.000000001,E2074&lt;=01_因子設定!$M$5+0.000000001,F2074&gt;=01_因子設定!$L$6-0.000000001,F2074&lt;=01_因子設定!$M$6+0.000000001,G2074&gt;=01_因子設定!$L$7-0.000000001,G2074&lt;=01_因子設定!$M$7+0.000000001,H2074&gt;=01_因子設定!$L$8-0.000000001,H2074&lt;=01_因子設定!$M$8+0.000000001,IF(01_因子設定!$B$20="Box-Behnken",E2074^2+F2074^2+G2074^2+H2074^2&lt;=2+0.000000001,TRUE()))</f>
        <v>1</v>
      </c>
      <c r="AD2074" s="55" t="n">
        <f aca="false">IF(AC2074,IF(01_因子設定!$B$13="最大化",AA2074-01_因子設定!$B$14,IF(01_因子設定!$B$13="最小化",01_因子設定!$B$15-AB2074,MIN(AA2074-01_因子設定!$B$14,01_因子設定!$B$15-AB2074))),-1E+030)</f>
        <v>-2.32663422114994</v>
      </c>
      <c r="AE2074" s="55" t="n">
        <f aca="false">IF(AC2074,IF(01_因子設定!$B$13="最大化",X2074,IF(01_因子設定!$B$13="最小化",-X2074,-ABS(X2074-01_因子設定!$B$16))),-1E+030)</f>
        <v>45.7570540935672</v>
      </c>
      <c r="AF2074" s="55" t="n">
        <f aca="false">AD2074+ROW()*0.000000001</f>
        <v>-2.32663214714994</v>
      </c>
      <c r="AG2074" s="55" t="n">
        <f aca="false">AE2074+ROW()*0.000000001</f>
        <v>45.7570561675672</v>
      </c>
    </row>
    <row r="2075" customFormat="false" ht="15" hidden="false" customHeight="false" outlineLevel="0" collapsed="false">
      <c r="A2075" s="0" t="n">
        <v>2</v>
      </c>
      <c r="B2075" s="0" t="n">
        <v>7</v>
      </c>
      <c r="C2075" s="0" t="n">
        <v>5</v>
      </c>
      <c r="D2075" s="0" t="n">
        <v>0</v>
      </c>
      <c r="E2075" s="0" t="n">
        <f aca="false">-1+A2075*0.25</f>
        <v>-0.5</v>
      </c>
      <c r="F2075" s="0" t="n">
        <f aca="false">-1+B2075*0.25</f>
        <v>0.75</v>
      </c>
      <c r="G2075" s="0" t="n">
        <f aca="false">-1+C2075*0.25</f>
        <v>0.25</v>
      </c>
      <c r="H2075" s="0" t="n">
        <f aca="false">-1+D2075*0.25</f>
        <v>-1</v>
      </c>
      <c r="I2075" s="0" t="n">
        <f aca="false">1</f>
        <v>1</v>
      </c>
      <c r="J2075" s="0" t="n">
        <f aca="false">E2075</f>
        <v>-0.5</v>
      </c>
      <c r="K2075" s="0" t="n">
        <f aca="false">F2075</f>
        <v>0.75</v>
      </c>
      <c r="L2075" s="0" t="n">
        <f aca="false">G2075</f>
        <v>0.25</v>
      </c>
      <c r="M2075" s="0" t="n">
        <f aca="false">H2075</f>
        <v>-1</v>
      </c>
      <c r="N2075" s="0" t="n">
        <f aca="false">E2075*F2075</f>
        <v>-0.375</v>
      </c>
      <c r="O2075" s="0" t="n">
        <f aca="false">E2075*G2075</f>
        <v>-0.125</v>
      </c>
      <c r="P2075" s="0" t="n">
        <f aca="false">E2075*H2075</f>
        <v>0.5</v>
      </c>
      <c r="Q2075" s="0" t="n">
        <f aca="false">F2075*G2075</f>
        <v>0.1875</v>
      </c>
      <c r="R2075" s="0" t="n">
        <f aca="false">F2075*H2075</f>
        <v>-0.75</v>
      </c>
      <c r="S2075" s="0" t="n">
        <f aca="false">G2075*H2075</f>
        <v>-0.25</v>
      </c>
      <c r="T2075" s="0" t="n">
        <f aca="false">E2075*E2075</f>
        <v>0.25</v>
      </c>
      <c r="U2075" s="0" t="n">
        <f aca="false">F2075*F2075</f>
        <v>0.5625</v>
      </c>
      <c r="V2075" s="0" t="n">
        <f aca="false">G2075*G2075</f>
        <v>0.0625</v>
      </c>
      <c r="W2075" s="0" t="n">
        <f aca="false">H2075*H2075</f>
        <v>1</v>
      </c>
      <c r="X2075" s="0" t="n">
        <f aca="false">SUMPRODUCT(I2075:W2075,_XtX!$B$96:$P$96)</f>
        <v>45.6608415570175</v>
      </c>
      <c r="Y2075" s="0" t="n">
        <f aca="false">SUMPRODUCT(MMULT(I2075:W2075,_XtX!$B$78:$P$92),I2075:W2075)</f>
        <v>0.459125719572369</v>
      </c>
      <c r="Z2075" s="0" t="n">
        <f aca="false">04_回帰ANOVA!$K$19*04_回帰ANOVA!$K$14*SQRT(1+Y2075)</f>
        <v>1.57450755575573</v>
      </c>
      <c r="AA2075" s="0" t="n">
        <f aca="false">X2075-Z2075</f>
        <v>44.0863340012618</v>
      </c>
      <c r="AB2075" s="0" t="n">
        <f aca="false">X2075+Z2075</f>
        <v>47.2353491127733</v>
      </c>
      <c r="AC2075" s="54" t="b">
        <f aca="false">AND(E2075&gt;=01_因子設定!$L$5-0.000000001,E2075&lt;=01_因子設定!$M$5+0.000000001,F2075&gt;=01_因子設定!$L$6-0.000000001,F2075&lt;=01_因子設定!$M$6+0.000000001,G2075&gt;=01_因子設定!$L$7-0.000000001,G2075&lt;=01_因子設定!$M$7+0.000000001,H2075&gt;=01_因子設定!$L$8-0.000000001,H2075&lt;=01_因子設定!$M$8+0.000000001,IF(01_因子設定!$B$20="Box-Behnken",E2075^2+F2075^2+G2075^2+H2075^2&lt;=2+0.000000001,TRUE()))</f>
        <v>1</v>
      </c>
      <c r="AD2075" s="55" t="n">
        <f aca="false">IF(AC2075,IF(01_因子設定!$B$13="最大化",AA2075-01_因子設定!$B$14,IF(01_因子設定!$B$13="最小化",01_因子設定!$B$15-AB2075,MIN(AA2075-01_因子設定!$B$14,01_因子設定!$B$15-AB2075))),-1E+030)</f>
        <v>-2.41366599873819</v>
      </c>
      <c r="AE2075" s="55" t="n">
        <f aca="false">IF(AC2075,IF(01_因子設定!$B$13="最大化",X2075,IF(01_因子設定!$B$13="最小化",-X2075,-ABS(X2075-01_因子設定!$B$16))),-1E+030)</f>
        <v>45.6608415570175</v>
      </c>
      <c r="AF2075" s="55" t="n">
        <f aca="false">AD2075+ROW()*0.000000001</f>
        <v>-2.41366392373819</v>
      </c>
      <c r="AG2075" s="55" t="n">
        <f aca="false">AE2075+ROW()*0.000000001</f>
        <v>45.6608436320175</v>
      </c>
    </row>
    <row r="2076" customFormat="false" ht="15" hidden="false" customHeight="false" outlineLevel="0" collapsed="false">
      <c r="A2076" s="0" t="n">
        <v>2</v>
      </c>
      <c r="B2076" s="0" t="n">
        <v>7</v>
      </c>
      <c r="C2076" s="0" t="n">
        <v>5</v>
      </c>
      <c r="D2076" s="0" t="n">
        <v>1</v>
      </c>
      <c r="E2076" s="0" t="n">
        <f aca="false">-1+A2076*0.25</f>
        <v>-0.5</v>
      </c>
      <c r="F2076" s="0" t="n">
        <f aca="false">-1+B2076*0.25</f>
        <v>0.75</v>
      </c>
      <c r="G2076" s="0" t="n">
        <f aca="false">-1+C2076*0.25</f>
        <v>0.25</v>
      </c>
      <c r="H2076" s="0" t="n">
        <f aca="false">-1+D2076*0.25</f>
        <v>-0.75</v>
      </c>
      <c r="I2076" s="0" t="n">
        <f aca="false">1</f>
        <v>1</v>
      </c>
      <c r="J2076" s="0" t="n">
        <f aca="false">E2076</f>
        <v>-0.5</v>
      </c>
      <c r="K2076" s="0" t="n">
        <f aca="false">F2076</f>
        <v>0.75</v>
      </c>
      <c r="L2076" s="0" t="n">
        <f aca="false">G2076</f>
        <v>0.25</v>
      </c>
      <c r="M2076" s="0" t="n">
        <f aca="false">H2076</f>
        <v>-0.75</v>
      </c>
      <c r="N2076" s="0" t="n">
        <f aca="false">E2076*F2076</f>
        <v>-0.375</v>
      </c>
      <c r="O2076" s="0" t="n">
        <f aca="false">E2076*G2076</f>
        <v>-0.125</v>
      </c>
      <c r="P2076" s="0" t="n">
        <f aca="false">E2076*H2076</f>
        <v>0.375</v>
      </c>
      <c r="Q2076" s="0" t="n">
        <f aca="false">F2076*G2076</f>
        <v>0.1875</v>
      </c>
      <c r="R2076" s="0" t="n">
        <f aca="false">F2076*H2076</f>
        <v>-0.5625</v>
      </c>
      <c r="S2076" s="0" t="n">
        <f aca="false">G2076*H2076</f>
        <v>-0.1875</v>
      </c>
      <c r="T2076" s="0" t="n">
        <f aca="false">E2076*E2076</f>
        <v>0.25</v>
      </c>
      <c r="U2076" s="0" t="n">
        <f aca="false">F2076*F2076</f>
        <v>0.5625</v>
      </c>
      <c r="V2076" s="0" t="n">
        <f aca="false">G2076*G2076</f>
        <v>0.0625</v>
      </c>
      <c r="W2076" s="0" t="n">
        <f aca="false">H2076*H2076</f>
        <v>0.5625</v>
      </c>
      <c r="X2076" s="0" t="n">
        <f aca="false">SUMPRODUCT(I2076:W2076,_XtX!$B$96:$P$96)</f>
        <v>45.8920550073099</v>
      </c>
      <c r="Y2076" s="0" t="n">
        <f aca="false">SUMPRODUCT(MMULT(I2076:W2076,_XtX!$B$78:$P$92),I2076:W2076)</f>
        <v>0.257385610836988</v>
      </c>
      <c r="Z2076" s="0" t="n">
        <f aca="false">04_回帰ANOVA!$K$19*04_回帰ANOVA!$K$14*SQRT(1+Y2076)</f>
        <v>1.46161380324158</v>
      </c>
      <c r="AA2076" s="0" t="n">
        <f aca="false">X2076-Z2076</f>
        <v>44.4304412040683</v>
      </c>
      <c r="AB2076" s="0" t="n">
        <f aca="false">X2076+Z2076</f>
        <v>47.3536688105515</v>
      </c>
      <c r="AC2076" s="54" t="b">
        <f aca="false">AND(E2076&gt;=01_因子設定!$L$5-0.000000001,E2076&lt;=01_因子設定!$M$5+0.000000001,F2076&gt;=01_因子設定!$L$6-0.000000001,F2076&lt;=01_因子設定!$M$6+0.000000001,G2076&gt;=01_因子設定!$L$7-0.000000001,G2076&lt;=01_因子設定!$M$7+0.000000001,H2076&gt;=01_因子設定!$L$8-0.000000001,H2076&lt;=01_因子設定!$M$8+0.000000001,IF(01_因子設定!$B$20="Box-Behnken",E2076^2+F2076^2+G2076^2+H2076^2&lt;=2+0.000000001,TRUE()))</f>
        <v>1</v>
      </c>
      <c r="AD2076" s="55" t="n">
        <f aca="false">IF(AC2076,IF(01_因子設定!$B$13="最大化",AA2076-01_因子設定!$B$14,IF(01_因子設定!$B$13="最小化",01_因子設定!$B$15-AB2076,MIN(AA2076-01_因子設定!$B$14,01_因子設定!$B$15-AB2076))),-1E+030)</f>
        <v>-2.06955879593166</v>
      </c>
      <c r="AE2076" s="55" t="n">
        <f aca="false">IF(AC2076,IF(01_因子設定!$B$13="最大化",X2076,IF(01_因子設定!$B$13="最小化",-X2076,-ABS(X2076-01_因子設定!$B$16))),-1E+030)</f>
        <v>45.8920550073099</v>
      </c>
      <c r="AF2076" s="55" t="n">
        <f aca="false">AD2076+ROW()*0.000000001</f>
        <v>-2.06955671993166</v>
      </c>
      <c r="AG2076" s="55" t="n">
        <f aca="false">AE2076+ROW()*0.000000001</f>
        <v>45.8920570833099</v>
      </c>
    </row>
    <row r="2077" customFormat="false" ht="15" hidden="false" customHeight="false" outlineLevel="0" collapsed="false">
      <c r="A2077" s="0" t="n">
        <v>2</v>
      </c>
      <c r="B2077" s="0" t="n">
        <v>7</v>
      </c>
      <c r="C2077" s="0" t="n">
        <v>5</v>
      </c>
      <c r="D2077" s="0" t="n">
        <v>2</v>
      </c>
      <c r="E2077" s="0" t="n">
        <f aca="false">-1+A2077*0.25</f>
        <v>-0.5</v>
      </c>
      <c r="F2077" s="0" t="n">
        <f aca="false">-1+B2077*0.25</f>
        <v>0.75</v>
      </c>
      <c r="G2077" s="0" t="n">
        <f aca="false">-1+C2077*0.25</f>
        <v>0.25</v>
      </c>
      <c r="H2077" s="0" t="n">
        <f aca="false">-1+D2077*0.25</f>
        <v>-0.5</v>
      </c>
      <c r="I2077" s="0" t="n">
        <f aca="false">1</f>
        <v>1</v>
      </c>
      <c r="J2077" s="0" t="n">
        <f aca="false">E2077</f>
        <v>-0.5</v>
      </c>
      <c r="K2077" s="0" t="n">
        <f aca="false">F2077</f>
        <v>0.75</v>
      </c>
      <c r="L2077" s="0" t="n">
        <f aca="false">G2077</f>
        <v>0.25</v>
      </c>
      <c r="M2077" s="0" t="n">
        <f aca="false">H2077</f>
        <v>-0.5</v>
      </c>
      <c r="N2077" s="0" t="n">
        <f aca="false">E2077*F2077</f>
        <v>-0.375</v>
      </c>
      <c r="O2077" s="0" t="n">
        <f aca="false">E2077*G2077</f>
        <v>-0.125</v>
      </c>
      <c r="P2077" s="0" t="n">
        <f aca="false">E2077*H2077</f>
        <v>0.25</v>
      </c>
      <c r="Q2077" s="0" t="n">
        <f aca="false">F2077*G2077</f>
        <v>0.1875</v>
      </c>
      <c r="R2077" s="0" t="n">
        <f aca="false">F2077*H2077</f>
        <v>-0.375</v>
      </c>
      <c r="S2077" s="0" t="n">
        <f aca="false">G2077*H2077</f>
        <v>-0.125</v>
      </c>
      <c r="T2077" s="0" t="n">
        <f aca="false">E2077*E2077</f>
        <v>0.25</v>
      </c>
      <c r="U2077" s="0" t="n">
        <f aca="false">F2077*F2077</f>
        <v>0.5625</v>
      </c>
      <c r="V2077" s="0" t="n">
        <f aca="false">G2077*G2077</f>
        <v>0.0625</v>
      </c>
      <c r="W2077" s="0" t="n">
        <f aca="false">H2077*H2077</f>
        <v>0.25</v>
      </c>
      <c r="X2077" s="0" t="n">
        <f aca="false">SUMPRODUCT(I2077:W2077,_XtX!$B$96:$P$96)</f>
        <v>46.0754614400585</v>
      </c>
      <c r="Y2077" s="0" t="n">
        <f aca="false">SUMPRODUCT(MMULT(I2077:W2077,_XtX!$B$78:$P$92),I2077:W2077)</f>
        <v>0.203746059484649</v>
      </c>
      <c r="Z2077" s="0" t="n">
        <f aca="false">04_回帰ANOVA!$K$19*04_回帰ANOVA!$K$14*SQRT(1+Y2077)</f>
        <v>1.43009810755465</v>
      </c>
      <c r="AA2077" s="0" t="n">
        <f aca="false">X2077-Z2077</f>
        <v>44.6453633325038</v>
      </c>
      <c r="AB2077" s="0" t="n">
        <f aca="false">X2077+Z2077</f>
        <v>47.5055595476131</v>
      </c>
      <c r="AC2077" s="54" t="b">
        <f aca="false">AND(E2077&gt;=01_因子設定!$L$5-0.000000001,E2077&lt;=01_因子設定!$M$5+0.000000001,F2077&gt;=01_因子設定!$L$6-0.000000001,F2077&lt;=01_因子設定!$M$6+0.000000001,G2077&gt;=01_因子設定!$L$7-0.000000001,G2077&lt;=01_因子設定!$M$7+0.000000001,H2077&gt;=01_因子設定!$L$8-0.000000001,H2077&lt;=01_因子設定!$M$8+0.000000001,IF(01_因子設定!$B$20="Box-Behnken",E2077^2+F2077^2+G2077^2+H2077^2&lt;=2+0.000000001,TRUE()))</f>
        <v>1</v>
      </c>
      <c r="AD2077" s="55" t="n">
        <f aca="false">IF(AC2077,IF(01_因子設定!$B$13="最大化",AA2077-01_因子設定!$B$14,IF(01_因子設定!$B$13="最小化",01_因子設定!$B$15-AB2077,MIN(AA2077-01_因子設定!$B$14,01_因子設定!$B$15-AB2077))),-1E+030)</f>
        <v>-1.8546366674962</v>
      </c>
      <c r="AE2077" s="55" t="n">
        <f aca="false">IF(AC2077,IF(01_因子設定!$B$13="最大化",X2077,IF(01_因子設定!$B$13="最小化",-X2077,-ABS(X2077-01_因子設定!$B$16))),-1E+030)</f>
        <v>46.0754614400585</v>
      </c>
      <c r="AF2077" s="55" t="n">
        <f aca="false">AD2077+ROW()*0.000000001</f>
        <v>-1.8546345904962</v>
      </c>
      <c r="AG2077" s="55" t="n">
        <f aca="false">AE2077+ROW()*0.000000001</f>
        <v>46.0754635170584</v>
      </c>
    </row>
    <row r="2078" customFormat="false" ht="15" hidden="false" customHeight="false" outlineLevel="0" collapsed="false">
      <c r="A2078" s="0" t="n">
        <v>2</v>
      </c>
      <c r="B2078" s="0" t="n">
        <v>7</v>
      </c>
      <c r="C2078" s="0" t="n">
        <v>5</v>
      </c>
      <c r="D2078" s="0" t="n">
        <v>3</v>
      </c>
      <c r="E2078" s="0" t="n">
        <f aca="false">-1+A2078*0.25</f>
        <v>-0.5</v>
      </c>
      <c r="F2078" s="0" t="n">
        <f aca="false">-1+B2078*0.25</f>
        <v>0.75</v>
      </c>
      <c r="G2078" s="0" t="n">
        <f aca="false">-1+C2078*0.25</f>
        <v>0.25</v>
      </c>
      <c r="H2078" s="0" t="n">
        <f aca="false">-1+D2078*0.25</f>
        <v>-0.25</v>
      </c>
      <c r="I2078" s="0" t="n">
        <f aca="false">1</f>
        <v>1</v>
      </c>
      <c r="J2078" s="0" t="n">
        <f aca="false">E2078</f>
        <v>-0.5</v>
      </c>
      <c r="K2078" s="0" t="n">
        <f aca="false">F2078</f>
        <v>0.75</v>
      </c>
      <c r="L2078" s="0" t="n">
        <f aca="false">G2078</f>
        <v>0.25</v>
      </c>
      <c r="M2078" s="0" t="n">
        <f aca="false">H2078</f>
        <v>-0.25</v>
      </c>
      <c r="N2078" s="0" t="n">
        <f aca="false">E2078*F2078</f>
        <v>-0.375</v>
      </c>
      <c r="O2078" s="0" t="n">
        <f aca="false">E2078*G2078</f>
        <v>-0.125</v>
      </c>
      <c r="P2078" s="0" t="n">
        <f aca="false">E2078*H2078</f>
        <v>0.125</v>
      </c>
      <c r="Q2078" s="0" t="n">
        <f aca="false">F2078*G2078</f>
        <v>0.1875</v>
      </c>
      <c r="R2078" s="0" t="n">
        <f aca="false">F2078*H2078</f>
        <v>-0.1875</v>
      </c>
      <c r="S2078" s="0" t="n">
        <f aca="false">G2078*H2078</f>
        <v>-0.0625</v>
      </c>
      <c r="T2078" s="0" t="n">
        <f aca="false">E2078*E2078</f>
        <v>0.25</v>
      </c>
      <c r="U2078" s="0" t="n">
        <f aca="false">F2078*F2078</f>
        <v>0.5625</v>
      </c>
      <c r="V2078" s="0" t="n">
        <f aca="false">G2078*G2078</f>
        <v>0.0625</v>
      </c>
      <c r="W2078" s="0" t="n">
        <f aca="false">H2078*H2078</f>
        <v>0.0625</v>
      </c>
      <c r="X2078" s="0" t="n">
        <f aca="false">SUMPRODUCT(I2078:W2078,_XtX!$B$96:$P$96)</f>
        <v>46.2110608552631</v>
      </c>
      <c r="Y2078" s="0" t="n">
        <f aca="false">SUMPRODUCT(MMULT(I2078:W2078,_XtX!$B$78:$P$92),I2078:W2078)</f>
        <v>0.207746539199561</v>
      </c>
      <c r="Z2078" s="0" t="n">
        <f aca="false">04_回帰ANOVA!$K$19*04_回帰ANOVA!$K$14*SQRT(1+Y2078)</f>
        <v>1.43247250081141</v>
      </c>
      <c r="AA2078" s="0" t="n">
        <f aca="false">X2078-Z2078</f>
        <v>44.7785883544517</v>
      </c>
      <c r="AB2078" s="0" t="n">
        <f aca="false">X2078+Z2078</f>
        <v>47.6435333560745</v>
      </c>
      <c r="AC2078" s="54" t="b">
        <f aca="false">AND(E2078&gt;=01_因子設定!$L$5-0.000000001,E2078&lt;=01_因子設定!$M$5+0.000000001,F2078&gt;=01_因子設定!$L$6-0.000000001,F2078&lt;=01_因子設定!$M$6+0.000000001,G2078&gt;=01_因子設定!$L$7-0.000000001,G2078&lt;=01_因子設定!$M$7+0.000000001,H2078&gt;=01_因子設定!$L$8-0.000000001,H2078&lt;=01_因子設定!$M$8+0.000000001,IF(01_因子設定!$B$20="Box-Behnken",E2078^2+F2078^2+G2078^2+H2078^2&lt;=2+0.000000001,TRUE()))</f>
        <v>1</v>
      </c>
      <c r="AD2078" s="55" t="n">
        <f aca="false">IF(AC2078,IF(01_因子設定!$B$13="最大化",AA2078-01_因子設定!$B$14,IF(01_因子設定!$B$13="最小化",01_因子設定!$B$15-AB2078,MIN(AA2078-01_因子設定!$B$14,01_因子設定!$B$15-AB2078))),-1E+030)</f>
        <v>-1.72141164554829</v>
      </c>
      <c r="AE2078" s="55" t="n">
        <f aca="false">IF(AC2078,IF(01_因子設定!$B$13="最大化",X2078,IF(01_因子設定!$B$13="最小化",-X2078,-ABS(X2078-01_因子設定!$B$16))),-1E+030)</f>
        <v>46.2110608552631</v>
      </c>
      <c r="AF2078" s="55" t="n">
        <f aca="false">AD2078+ROW()*0.000000001</f>
        <v>-1.72140956754829</v>
      </c>
      <c r="AG2078" s="55" t="n">
        <f aca="false">AE2078+ROW()*0.000000001</f>
        <v>46.2110629332631</v>
      </c>
    </row>
    <row r="2079" customFormat="false" ht="15" hidden="false" customHeight="false" outlineLevel="0" collapsed="false">
      <c r="A2079" s="0" t="n">
        <v>2</v>
      </c>
      <c r="B2079" s="0" t="n">
        <v>7</v>
      </c>
      <c r="C2079" s="0" t="n">
        <v>5</v>
      </c>
      <c r="D2079" s="0" t="n">
        <v>4</v>
      </c>
      <c r="E2079" s="0" t="n">
        <f aca="false">-1+A2079*0.25</f>
        <v>-0.5</v>
      </c>
      <c r="F2079" s="0" t="n">
        <f aca="false">-1+B2079*0.25</f>
        <v>0.75</v>
      </c>
      <c r="G2079" s="0" t="n">
        <f aca="false">-1+C2079*0.25</f>
        <v>0.25</v>
      </c>
      <c r="H2079" s="0" t="n">
        <f aca="false">-1+D2079*0.25</f>
        <v>0</v>
      </c>
      <c r="I2079" s="0" t="n">
        <f aca="false">1</f>
        <v>1</v>
      </c>
      <c r="J2079" s="0" t="n">
        <f aca="false">E2079</f>
        <v>-0.5</v>
      </c>
      <c r="K2079" s="0" t="n">
        <f aca="false">F2079</f>
        <v>0.75</v>
      </c>
      <c r="L2079" s="0" t="n">
        <f aca="false">G2079</f>
        <v>0.25</v>
      </c>
      <c r="M2079" s="0" t="n">
        <f aca="false">H2079</f>
        <v>0</v>
      </c>
      <c r="N2079" s="0" t="n">
        <f aca="false">E2079*F2079</f>
        <v>-0.375</v>
      </c>
      <c r="O2079" s="0" t="n">
        <f aca="false">E2079*G2079</f>
        <v>-0.125</v>
      </c>
      <c r="P2079" s="0" t="n">
        <f aca="false">E2079*H2079</f>
        <v>-0</v>
      </c>
      <c r="Q2079" s="0" t="n">
        <f aca="false">F2079*G2079</f>
        <v>0.1875</v>
      </c>
      <c r="R2079" s="0" t="n">
        <f aca="false">F2079*H2079</f>
        <v>0</v>
      </c>
      <c r="S2079" s="0" t="n">
        <f aca="false">G2079*H2079</f>
        <v>0</v>
      </c>
      <c r="T2079" s="0" t="n">
        <f aca="false">E2079*E2079</f>
        <v>0.25</v>
      </c>
      <c r="U2079" s="0" t="n">
        <f aca="false">F2079*F2079</f>
        <v>0.5625</v>
      </c>
      <c r="V2079" s="0" t="n">
        <f aca="false">G2079*G2079</f>
        <v>0.0625</v>
      </c>
      <c r="W2079" s="0" t="n">
        <f aca="false">H2079*H2079</f>
        <v>0</v>
      </c>
      <c r="X2079" s="0" t="n">
        <f aca="false">SUMPRODUCT(I2079:W2079,_XtX!$B$96:$P$96)</f>
        <v>46.2988532529239</v>
      </c>
      <c r="Y2079" s="0" t="n">
        <f aca="false">SUMPRODUCT(MMULT(I2079:W2079,_XtX!$B$78:$P$92),I2079:W2079)</f>
        <v>0.215110734192252</v>
      </c>
      <c r="Z2079" s="0" t="n">
        <f aca="false">04_回帰ANOVA!$K$19*04_回帰ANOVA!$K$14*SQRT(1+Y2079)</f>
        <v>1.43683309086864</v>
      </c>
      <c r="AA2079" s="0" t="n">
        <f aca="false">X2079-Z2079</f>
        <v>44.8620201620553</v>
      </c>
      <c r="AB2079" s="0" t="n">
        <f aca="false">X2079+Z2079</f>
        <v>47.7356863437926</v>
      </c>
      <c r="AC2079" s="54" t="b">
        <f aca="false">AND(E2079&gt;=01_因子設定!$L$5-0.000000001,E2079&lt;=01_因子設定!$M$5+0.000000001,F2079&gt;=01_因子設定!$L$6-0.000000001,F2079&lt;=01_因子設定!$M$6+0.000000001,G2079&gt;=01_因子設定!$L$7-0.000000001,G2079&lt;=01_因子設定!$M$7+0.000000001,H2079&gt;=01_因子設定!$L$8-0.000000001,H2079&lt;=01_因子設定!$M$8+0.000000001,IF(01_因子設定!$B$20="Box-Behnken",E2079^2+F2079^2+G2079^2+H2079^2&lt;=2+0.000000001,TRUE()))</f>
        <v>1</v>
      </c>
      <c r="AD2079" s="55" t="n">
        <f aca="false">IF(AC2079,IF(01_因子設定!$B$13="最大化",AA2079-01_因子設定!$B$14,IF(01_因子設定!$B$13="最小化",01_因子設定!$B$15-AB2079,MIN(AA2079-01_因子設定!$B$14,01_因子設定!$B$15-AB2079))),-1E+030)</f>
        <v>-1.63797983794471</v>
      </c>
      <c r="AE2079" s="55" t="n">
        <f aca="false">IF(AC2079,IF(01_因子設定!$B$13="最大化",X2079,IF(01_因子設定!$B$13="最小化",-X2079,-ABS(X2079-01_因子設定!$B$16))),-1E+030)</f>
        <v>46.2988532529239</v>
      </c>
      <c r="AF2079" s="55" t="n">
        <f aca="false">AD2079+ROW()*0.000000001</f>
        <v>-1.63797775894471</v>
      </c>
      <c r="AG2079" s="55" t="n">
        <f aca="false">AE2079+ROW()*0.000000001</f>
        <v>46.2988553319239</v>
      </c>
    </row>
    <row r="2080" customFormat="false" ht="15" hidden="false" customHeight="false" outlineLevel="0" collapsed="false">
      <c r="A2080" s="0" t="n">
        <v>2</v>
      </c>
      <c r="B2080" s="0" t="n">
        <v>7</v>
      </c>
      <c r="C2080" s="0" t="n">
        <v>5</v>
      </c>
      <c r="D2080" s="0" t="n">
        <v>5</v>
      </c>
      <c r="E2080" s="0" t="n">
        <f aca="false">-1+A2080*0.25</f>
        <v>-0.5</v>
      </c>
      <c r="F2080" s="0" t="n">
        <f aca="false">-1+B2080*0.25</f>
        <v>0.75</v>
      </c>
      <c r="G2080" s="0" t="n">
        <f aca="false">-1+C2080*0.25</f>
        <v>0.25</v>
      </c>
      <c r="H2080" s="0" t="n">
        <f aca="false">-1+D2080*0.25</f>
        <v>0.25</v>
      </c>
      <c r="I2080" s="0" t="n">
        <f aca="false">1</f>
        <v>1</v>
      </c>
      <c r="J2080" s="0" t="n">
        <f aca="false">E2080</f>
        <v>-0.5</v>
      </c>
      <c r="K2080" s="0" t="n">
        <f aca="false">F2080</f>
        <v>0.75</v>
      </c>
      <c r="L2080" s="0" t="n">
        <f aca="false">G2080</f>
        <v>0.25</v>
      </c>
      <c r="M2080" s="0" t="n">
        <f aca="false">H2080</f>
        <v>0.25</v>
      </c>
      <c r="N2080" s="0" t="n">
        <f aca="false">E2080*F2080</f>
        <v>-0.375</v>
      </c>
      <c r="O2080" s="0" t="n">
        <f aca="false">E2080*G2080</f>
        <v>-0.125</v>
      </c>
      <c r="P2080" s="0" t="n">
        <f aca="false">E2080*H2080</f>
        <v>-0.125</v>
      </c>
      <c r="Q2080" s="0" t="n">
        <f aca="false">F2080*G2080</f>
        <v>0.1875</v>
      </c>
      <c r="R2080" s="0" t="n">
        <f aca="false">F2080*H2080</f>
        <v>0.1875</v>
      </c>
      <c r="S2080" s="0" t="n">
        <f aca="false">G2080*H2080</f>
        <v>0.0625</v>
      </c>
      <c r="T2080" s="0" t="n">
        <f aca="false">E2080*E2080</f>
        <v>0.25</v>
      </c>
      <c r="U2080" s="0" t="n">
        <f aca="false">F2080*F2080</f>
        <v>0.5625</v>
      </c>
      <c r="V2080" s="0" t="n">
        <f aca="false">G2080*G2080</f>
        <v>0.0625</v>
      </c>
      <c r="W2080" s="0" t="n">
        <f aca="false">H2080*H2080</f>
        <v>0.0625</v>
      </c>
      <c r="X2080" s="0" t="n">
        <f aca="false">SUMPRODUCT(I2080:W2080,_XtX!$B$96:$P$96)</f>
        <v>46.3388386330409</v>
      </c>
      <c r="Y2080" s="0" t="n">
        <f aca="false">SUMPRODUCT(MMULT(I2080:W2080,_XtX!$B$78:$P$92),I2080:W2080)</f>
        <v>0.207746539199561</v>
      </c>
      <c r="Z2080" s="0" t="n">
        <f aca="false">04_回帰ANOVA!$K$19*04_回帰ANOVA!$K$14*SQRT(1+Y2080)</f>
        <v>1.43247250081141</v>
      </c>
      <c r="AA2080" s="0" t="n">
        <f aca="false">X2080-Z2080</f>
        <v>44.9063661322295</v>
      </c>
      <c r="AB2080" s="0" t="n">
        <f aca="false">X2080+Z2080</f>
        <v>47.7713111338523</v>
      </c>
      <c r="AC2080" s="54" t="b">
        <f aca="false">AND(E2080&gt;=01_因子設定!$L$5-0.000000001,E2080&lt;=01_因子設定!$M$5+0.000000001,F2080&gt;=01_因子設定!$L$6-0.000000001,F2080&lt;=01_因子設定!$M$6+0.000000001,G2080&gt;=01_因子設定!$L$7-0.000000001,G2080&lt;=01_因子設定!$M$7+0.000000001,H2080&gt;=01_因子設定!$L$8-0.000000001,H2080&lt;=01_因子設定!$M$8+0.000000001,IF(01_因子設定!$B$20="Box-Behnken",E2080^2+F2080^2+G2080^2+H2080^2&lt;=2+0.000000001,TRUE()))</f>
        <v>1</v>
      </c>
      <c r="AD2080" s="55" t="n">
        <f aca="false">IF(AC2080,IF(01_因子設定!$B$13="最大化",AA2080-01_因子設定!$B$14,IF(01_因子設定!$B$13="最小化",01_因子設定!$B$15-AB2080,MIN(AA2080-01_因子設定!$B$14,01_因子設定!$B$15-AB2080))),-1E+030)</f>
        <v>-1.59363386777051</v>
      </c>
      <c r="AE2080" s="55" t="n">
        <f aca="false">IF(AC2080,IF(01_因子設定!$B$13="最大化",X2080,IF(01_因子設定!$B$13="最小化",-X2080,-ABS(X2080-01_因子設定!$B$16))),-1E+030)</f>
        <v>46.3388386330409</v>
      </c>
      <c r="AF2080" s="55" t="n">
        <f aca="false">AD2080+ROW()*0.000000001</f>
        <v>-1.59363178777051</v>
      </c>
      <c r="AG2080" s="55" t="n">
        <f aca="false">AE2080+ROW()*0.000000001</f>
        <v>46.3388407130409</v>
      </c>
    </row>
    <row r="2081" customFormat="false" ht="15" hidden="false" customHeight="false" outlineLevel="0" collapsed="false">
      <c r="A2081" s="0" t="n">
        <v>2</v>
      </c>
      <c r="B2081" s="0" t="n">
        <v>7</v>
      </c>
      <c r="C2081" s="0" t="n">
        <v>5</v>
      </c>
      <c r="D2081" s="0" t="n">
        <v>6</v>
      </c>
      <c r="E2081" s="0" t="n">
        <f aca="false">-1+A2081*0.25</f>
        <v>-0.5</v>
      </c>
      <c r="F2081" s="0" t="n">
        <f aca="false">-1+B2081*0.25</f>
        <v>0.75</v>
      </c>
      <c r="G2081" s="0" t="n">
        <f aca="false">-1+C2081*0.25</f>
        <v>0.25</v>
      </c>
      <c r="H2081" s="0" t="n">
        <f aca="false">-1+D2081*0.25</f>
        <v>0.5</v>
      </c>
      <c r="I2081" s="0" t="n">
        <f aca="false">1</f>
        <v>1</v>
      </c>
      <c r="J2081" s="0" t="n">
        <f aca="false">E2081</f>
        <v>-0.5</v>
      </c>
      <c r="K2081" s="0" t="n">
        <f aca="false">F2081</f>
        <v>0.75</v>
      </c>
      <c r="L2081" s="0" t="n">
        <f aca="false">G2081</f>
        <v>0.25</v>
      </c>
      <c r="M2081" s="0" t="n">
        <f aca="false">H2081</f>
        <v>0.5</v>
      </c>
      <c r="N2081" s="0" t="n">
        <f aca="false">E2081*F2081</f>
        <v>-0.375</v>
      </c>
      <c r="O2081" s="0" t="n">
        <f aca="false">E2081*G2081</f>
        <v>-0.125</v>
      </c>
      <c r="P2081" s="0" t="n">
        <f aca="false">E2081*H2081</f>
        <v>-0.25</v>
      </c>
      <c r="Q2081" s="0" t="n">
        <f aca="false">F2081*G2081</f>
        <v>0.1875</v>
      </c>
      <c r="R2081" s="0" t="n">
        <f aca="false">F2081*H2081</f>
        <v>0.375</v>
      </c>
      <c r="S2081" s="0" t="n">
        <f aca="false">G2081*H2081</f>
        <v>0.125</v>
      </c>
      <c r="T2081" s="0" t="n">
        <f aca="false">E2081*E2081</f>
        <v>0.25</v>
      </c>
      <c r="U2081" s="0" t="n">
        <f aca="false">F2081*F2081</f>
        <v>0.5625</v>
      </c>
      <c r="V2081" s="0" t="n">
        <f aca="false">G2081*G2081</f>
        <v>0.0625</v>
      </c>
      <c r="W2081" s="0" t="n">
        <f aca="false">H2081*H2081</f>
        <v>0.25</v>
      </c>
      <c r="X2081" s="0" t="n">
        <f aca="false">SUMPRODUCT(I2081:W2081,_XtX!$B$96:$P$96)</f>
        <v>46.331016995614</v>
      </c>
      <c r="Y2081" s="0" t="n">
        <f aca="false">SUMPRODUCT(MMULT(I2081:W2081,_XtX!$B$78:$P$92),I2081:W2081)</f>
        <v>0.203746059484649</v>
      </c>
      <c r="Z2081" s="0" t="n">
        <f aca="false">04_回帰ANOVA!$K$19*04_回帰ANOVA!$K$14*SQRT(1+Y2081)</f>
        <v>1.43009810755465</v>
      </c>
      <c r="AA2081" s="0" t="n">
        <f aca="false">X2081-Z2081</f>
        <v>44.9009188880594</v>
      </c>
      <c r="AB2081" s="0" t="n">
        <f aca="false">X2081+Z2081</f>
        <v>47.7611151031687</v>
      </c>
      <c r="AC2081" s="54" t="b">
        <f aca="false">AND(E2081&gt;=01_因子設定!$L$5-0.000000001,E2081&lt;=01_因子設定!$M$5+0.000000001,F2081&gt;=01_因子設定!$L$6-0.000000001,F2081&lt;=01_因子設定!$M$6+0.000000001,G2081&gt;=01_因子設定!$L$7-0.000000001,G2081&lt;=01_因子設定!$M$7+0.000000001,H2081&gt;=01_因子設定!$L$8-0.000000001,H2081&lt;=01_因子設定!$M$8+0.000000001,IF(01_因子設定!$B$20="Box-Behnken",E2081^2+F2081^2+G2081^2+H2081^2&lt;=2+0.000000001,TRUE()))</f>
        <v>1</v>
      </c>
      <c r="AD2081" s="55" t="n">
        <f aca="false">IF(AC2081,IF(01_因子設定!$B$13="最大化",AA2081-01_因子設定!$B$14,IF(01_因子設定!$B$13="最小化",01_因子設定!$B$15-AB2081,MIN(AA2081-01_因子設定!$B$14,01_因子設定!$B$15-AB2081))),-1E+030)</f>
        <v>-1.59908111194065</v>
      </c>
      <c r="AE2081" s="55" t="n">
        <f aca="false">IF(AC2081,IF(01_因子設定!$B$13="最大化",X2081,IF(01_因子設定!$B$13="最小化",-X2081,-ABS(X2081-01_因子設定!$B$16))),-1E+030)</f>
        <v>46.331016995614</v>
      </c>
      <c r="AF2081" s="55" t="n">
        <f aca="false">AD2081+ROW()*0.000000001</f>
        <v>-1.59907903094065</v>
      </c>
      <c r="AG2081" s="55" t="n">
        <f aca="false">AE2081+ROW()*0.000000001</f>
        <v>46.331019076614</v>
      </c>
    </row>
    <row r="2082" customFormat="false" ht="15" hidden="false" customHeight="false" outlineLevel="0" collapsed="false">
      <c r="A2082" s="0" t="n">
        <v>2</v>
      </c>
      <c r="B2082" s="0" t="n">
        <v>7</v>
      </c>
      <c r="C2082" s="0" t="n">
        <v>5</v>
      </c>
      <c r="D2082" s="0" t="n">
        <v>7</v>
      </c>
      <c r="E2082" s="0" t="n">
        <f aca="false">-1+A2082*0.25</f>
        <v>-0.5</v>
      </c>
      <c r="F2082" s="0" t="n">
        <f aca="false">-1+B2082*0.25</f>
        <v>0.75</v>
      </c>
      <c r="G2082" s="0" t="n">
        <f aca="false">-1+C2082*0.25</f>
        <v>0.25</v>
      </c>
      <c r="H2082" s="0" t="n">
        <f aca="false">-1+D2082*0.25</f>
        <v>0.75</v>
      </c>
      <c r="I2082" s="0" t="n">
        <f aca="false">1</f>
        <v>1</v>
      </c>
      <c r="J2082" s="0" t="n">
        <f aca="false">E2082</f>
        <v>-0.5</v>
      </c>
      <c r="K2082" s="0" t="n">
        <f aca="false">F2082</f>
        <v>0.75</v>
      </c>
      <c r="L2082" s="0" t="n">
        <f aca="false">G2082</f>
        <v>0.25</v>
      </c>
      <c r="M2082" s="0" t="n">
        <f aca="false">H2082</f>
        <v>0.75</v>
      </c>
      <c r="N2082" s="0" t="n">
        <f aca="false">E2082*F2082</f>
        <v>-0.375</v>
      </c>
      <c r="O2082" s="0" t="n">
        <f aca="false">E2082*G2082</f>
        <v>-0.125</v>
      </c>
      <c r="P2082" s="0" t="n">
        <f aca="false">E2082*H2082</f>
        <v>-0.375</v>
      </c>
      <c r="Q2082" s="0" t="n">
        <f aca="false">F2082*G2082</f>
        <v>0.1875</v>
      </c>
      <c r="R2082" s="0" t="n">
        <f aca="false">F2082*H2082</f>
        <v>0.5625</v>
      </c>
      <c r="S2082" s="0" t="n">
        <f aca="false">G2082*H2082</f>
        <v>0.1875</v>
      </c>
      <c r="T2082" s="0" t="n">
        <f aca="false">E2082*E2082</f>
        <v>0.25</v>
      </c>
      <c r="U2082" s="0" t="n">
        <f aca="false">F2082*F2082</f>
        <v>0.5625</v>
      </c>
      <c r="V2082" s="0" t="n">
        <f aca="false">G2082*G2082</f>
        <v>0.0625</v>
      </c>
      <c r="W2082" s="0" t="n">
        <f aca="false">H2082*H2082</f>
        <v>0.5625</v>
      </c>
      <c r="X2082" s="0" t="n">
        <f aca="false">SUMPRODUCT(I2082:W2082,_XtX!$B$96:$P$96)</f>
        <v>46.2753883406433</v>
      </c>
      <c r="Y2082" s="0" t="n">
        <f aca="false">SUMPRODUCT(MMULT(I2082:W2082,_XtX!$B$78:$P$92),I2082:W2082)</f>
        <v>0.257385610836988</v>
      </c>
      <c r="Z2082" s="0" t="n">
        <f aca="false">04_回帰ANOVA!$K$19*04_回帰ANOVA!$K$14*SQRT(1+Y2082)</f>
        <v>1.46161380324158</v>
      </c>
      <c r="AA2082" s="0" t="n">
        <f aca="false">X2082-Z2082</f>
        <v>44.8137745374017</v>
      </c>
      <c r="AB2082" s="0" t="n">
        <f aca="false">X2082+Z2082</f>
        <v>47.7370021438848</v>
      </c>
      <c r="AC2082" s="54" t="b">
        <f aca="false">AND(E2082&gt;=01_因子設定!$L$5-0.000000001,E2082&lt;=01_因子設定!$M$5+0.000000001,F2082&gt;=01_因子設定!$L$6-0.000000001,F2082&lt;=01_因子設定!$M$6+0.000000001,G2082&gt;=01_因子設定!$L$7-0.000000001,G2082&lt;=01_因子設定!$M$7+0.000000001,H2082&gt;=01_因子設定!$L$8-0.000000001,H2082&lt;=01_因子設定!$M$8+0.000000001,IF(01_因子設定!$B$20="Box-Behnken",E2082^2+F2082^2+G2082^2+H2082^2&lt;=2+0.000000001,TRUE()))</f>
        <v>1</v>
      </c>
      <c r="AD2082" s="55" t="n">
        <f aca="false">IF(AC2082,IF(01_因子設定!$B$13="最大化",AA2082-01_因子設定!$B$14,IF(01_因子設定!$B$13="最小化",01_因子設定!$B$15-AB2082,MIN(AA2082-01_因子設定!$B$14,01_因子設定!$B$15-AB2082))),-1E+030)</f>
        <v>-1.68622546259833</v>
      </c>
      <c r="AE2082" s="55" t="n">
        <f aca="false">IF(AC2082,IF(01_因子設定!$B$13="最大化",X2082,IF(01_因子設定!$B$13="最小化",-X2082,-ABS(X2082-01_因子設定!$B$16))),-1E+030)</f>
        <v>46.2753883406433</v>
      </c>
      <c r="AF2082" s="55" t="n">
        <f aca="false">AD2082+ROW()*0.000000001</f>
        <v>-1.68622338059833</v>
      </c>
      <c r="AG2082" s="55" t="n">
        <f aca="false">AE2082+ROW()*0.000000001</f>
        <v>46.2753904226433</v>
      </c>
    </row>
    <row r="2083" customFormat="false" ht="15" hidden="false" customHeight="false" outlineLevel="0" collapsed="false">
      <c r="A2083" s="0" t="n">
        <v>2</v>
      </c>
      <c r="B2083" s="0" t="n">
        <v>7</v>
      </c>
      <c r="C2083" s="0" t="n">
        <v>5</v>
      </c>
      <c r="D2083" s="0" t="n">
        <v>8</v>
      </c>
      <c r="E2083" s="0" t="n">
        <f aca="false">-1+A2083*0.25</f>
        <v>-0.5</v>
      </c>
      <c r="F2083" s="0" t="n">
        <f aca="false">-1+B2083*0.25</f>
        <v>0.75</v>
      </c>
      <c r="G2083" s="0" t="n">
        <f aca="false">-1+C2083*0.25</f>
        <v>0.25</v>
      </c>
      <c r="H2083" s="0" t="n">
        <f aca="false">-1+D2083*0.25</f>
        <v>1</v>
      </c>
      <c r="I2083" s="0" t="n">
        <f aca="false">1</f>
        <v>1</v>
      </c>
      <c r="J2083" s="0" t="n">
        <f aca="false">E2083</f>
        <v>-0.5</v>
      </c>
      <c r="K2083" s="0" t="n">
        <f aca="false">F2083</f>
        <v>0.75</v>
      </c>
      <c r="L2083" s="0" t="n">
        <f aca="false">G2083</f>
        <v>0.25</v>
      </c>
      <c r="M2083" s="0" t="n">
        <f aca="false">H2083</f>
        <v>1</v>
      </c>
      <c r="N2083" s="0" t="n">
        <f aca="false">E2083*F2083</f>
        <v>-0.375</v>
      </c>
      <c r="O2083" s="0" t="n">
        <f aca="false">E2083*G2083</f>
        <v>-0.125</v>
      </c>
      <c r="P2083" s="0" t="n">
        <f aca="false">E2083*H2083</f>
        <v>-0.5</v>
      </c>
      <c r="Q2083" s="0" t="n">
        <f aca="false">F2083*G2083</f>
        <v>0.1875</v>
      </c>
      <c r="R2083" s="0" t="n">
        <f aca="false">F2083*H2083</f>
        <v>0.75</v>
      </c>
      <c r="S2083" s="0" t="n">
        <f aca="false">G2083*H2083</f>
        <v>0.25</v>
      </c>
      <c r="T2083" s="0" t="n">
        <f aca="false">E2083*E2083</f>
        <v>0.25</v>
      </c>
      <c r="U2083" s="0" t="n">
        <f aca="false">F2083*F2083</f>
        <v>0.5625</v>
      </c>
      <c r="V2083" s="0" t="n">
        <f aca="false">G2083*G2083</f>
        <v>0.0625</v>
      </c>
      <c r="W2083" s="0" t="n">
        <f aca="false">H2083*H2083</f>
        <v>1</v>
      </c>
      <c r="X2083" s="0" t="n">
        <f aca="false">SUMPRODUCT(I2083:W2083,_XtX!$B$96:$P$96)</f>
        <v>46.1719526681287</v>
      </c>
      <c r="Y2083" s="0" t="n">
        <f aca="false">SUMPRODUCT(MMULT(I2083:W2083,_XtX!$B$78:$P$92),I2083:W2083)</f>
        <v>0.459125719572369</v>
      </c>
      <c r="Z2083" s="0" t="n">
        <f aca="false">04_回帰ANOVA!$K$19*04_回帰ANOVA!$K$14*SQRT(1+Y2083)</f>
        <v>1.57450755575573</v>
      </c>
      <c r="AA2083" s="0" t="n">
        <f aca="false">X2083-Z2083</f>
        <v>44.5974451123729</v>
      </c>
      <c r="AB2083" s="0" t="n">
        <f aca="false">X2083+Z2083</f>
        <v>47.7464602238844</v>
      </c>
      <c r="AC2083" s="54" t="b">
        <f aca="false">AND(E2083&gt;=01_因子設定!$L$5-0.000000001,E2083&lt;=01_因子設定!$M$5+0.000000001,F2083&gt;=01_因子設定!$L$6-0.000000001,F2083&lt;=01_因子設定!$M$6+0.000000001,G2083&gt;=01_因子設定!$L$7-0.000000001,G2083&lt;=01_因子設定!$M$7+0.000000001,H2083&gt;=01_因子設定!$L$8-0.000000001,H2083&lt;=01_因子設定!$M$8+0.000000001,IF(01_因子設定!$B$20="Box-Behnken",E2083^2+F2083^2+G2083^2+H2083^2&lt;=2+0.000000001,TRUE()))</f>
        <v>1</v>
      </c>
      <c r="AD2083" s="55" t="n">
        <f aca="false">IF(AC2083,IF(01_因子設定!$B$13="最大化",AA2083-01_因子設定!$B$14,IF(01_因子設定!$B$13="最小化",01_因子設定!$B$15-AB2083,MIN(AA2083-01_因子設定!$B$14,01_因子設定!$B$15-AB2083))),-1E+030)</f>
        <v>-1.90255488762708</v>
      </c>
      <c r="AE2083" s="55" t="n">
        <f aca="false">IF(AC2083,IF(01_因子設定!$B$13="最大化",X2083,IF(01_因子設定!$B$13="最小化",-X2083,-ABS(X2083-01_因子設定!$B$16))),-1E+030)</f>
        <v>46.1719526681287</v>
      </c>
      <c r="AF2083" s="55" t="n">
        <f aca="false">AD2083+ROW()*0.000000001</f>
        <v>-1.90255280462708</v>
      </c>
      <c r="AG2083" s="55" t="n">
        <f aca="false">AE2083+ROW()*0.000000001</f>
        <v>46.1719547511286</v>
      </c>
    </row>
    <row r="2084" customFormat="false" ht="15" hidden="false" customHeight="false" outlineLevel="0" collapsed="false">
      <c r="A2084" s="0" t="n">
        <v>2</v>
      </c>
      <c r="B2084" s="0" t="n">
        <v>7</v>
      </c>
      <c r="C2084" s="0" t="n">
        <v>6</v>
      </c>
      <c r="D2084" s="0" t="n">
        <v>0</v>
      </c>
      <c r="E2084" s="0" t="n">
        <f aca="false">-1+A2084*0.25</f>
        <v>-0.5</v>
      </c>
      <c r="F2084" s="0" t="n">
        <f aca="false">-1+B2084*0.25</f>
        <v>0.75</v>
      </c>
      <c r="G2084" s="0" t="n">
        <f aca="false">-1+C2084*0.25</f>
        <v>0.5</v>
      </c>
      <c r="H2084" s="0" t="n">
        <f aca="false">-1+D2084*0.25</f>
        <v>-1</v>
      </c>
      <c r="I2084" s="0" t="n">
        <f aca="false">1</f>
        <v>1</v>
      </c>
      <c r="J2084" s="0" t="n">
        <f aca="false">E2084</f>
        <v>-0.5</v>
      </c>
      <c r="K2084" s="0" t="n">
        <f aca="false">F2084</f>
        <v>0.75</v>
      </c>
      <c r="L2084" s="0" t="n">
        <f aca="false">G2084</f>
        <v>0.5</v>
      </c>
      <c r="M2084" s="0" t="n">
        <f aca="false">H2084</f>
        <v>-1</v>
      </c>
      <c r="N2084" s="0" t="n">
        <f aca="false">E2084*F2084</f>
        <v>-0.375</v>
      </c>
      <c r="O2084" s="0" t="n">
        <f aca="false">E2084*G2084</f>
        <v>-0.25</v>
      </c>
      <c r="P2084" s="0" t="n">
        <f aca="false">E2084*H2084</f>
        <v>0.5</v>
      </c>
      <c r="Q2084" s="0" t="n">
        <f aca="false">F2084*G2084</f>
        <v>0.375</v>
      </c>
      <c r="R2084" s="0" t="n">
        <f aca="false">F2084*H2084</f>
        <v>-0.75</v>
      </c>
      <c r="S2084" s="0" t="n">
        <f aca="false">G2084*H2084</f>
        <v>-0.5</v>
      </c>
      <c r="T2084" s="0" t="n">
        <f aca="false">E2084*E2084</f>
        <v>0.25</v>
      </c>
      <c r="U2084" s="0" t="n">
        <f aca="false">F2084*F2084</f>
        <v>0.5625</v>
      </c>
      <c r="V2084" s="0" t="n">
        <f aca="false">G2084*G2084</f>
        <v>0.25</v>
      </c>
      <c r="W2084" s="0" t="n">
        <f aca="false">H2084*H2084</f>
        <v>1</v>
      </c>
      <c r="X2084" s="0" t="n">
        <f aca="false">SUMPRODUCT(I2084:W2084,_XtX!$B$96:$P$96)</f>
        <v>45.8466831140351</v>
      </c>
      <c r="Y2084" s="0" t="n">
        <f aca="false">SUMPRODUCT(MMULT(I2084:W2084,_XtX!$B$78:$P$92),I2084:W2084)</f>
        <v>0.42602110745614</v>
      </c>
      <c r="Z2084" s="0" t="n">
        <f aca="false">04_回帰ANOVA!$K$19*04_回帰ANOVA!$K$14*SQRT(1+Y2084)</f>
        <v>1.55654388501114</v>
      </c>
      <c r="AA2084" s="0" t="n">
        <f aca="false">X2084-Z2084</f>
        <v>44.290139229024</v>
      </c>
      <c r="AB2084" s="0" t="n">
        <f aca="false">X2084+Z2084</f>
        <v>47.4032269990462</v>
      </c>
      <c r="AC2084" s="54" t="b">
        <f aca="false">AND(E2084&gt;=01_因子設定!$L$5-0.000000001,E2084&lt;=01_因子設定!$M$5+0.000000001,F2084&gt;=01_因子設定!$L$6-0.000000001,F2084&lt;=01_因子設定!$M$6+0.000000001,G2084&gt;=01_因子設定!$L$7-0.000000001,G2084&lt;=01_因子設定!$M$7+0.000000001,H2084&gt;=01_因子設定!$L$8-0.000000001,H2084&lt;=01_因子設定!$M$8+0.000000001,IF(01_因子設定!$B$20="Box-Behnken",E2084^2+F2084^2+G2084^2+H2084^2&lt;=2+0.000000001,TRUE()))</f>
        <v>1</v>
      </c>
      <c r="AD2084" s="55" t="n">
        <f aca="false">IF(AC2084,IF(01_因子設定!$B$13="最大化",AA2084-01_因子設定!$B$14,IF(01_因子設定!$B$13="最小化",01_因子設定!$B$15-AB2084,MIN(AA2084-01_因子設定!$B$14,01_因子設定!$B$15-AB2084))),-1E+030)</f>
        <v>-2.20986077097605</v>
      </c>
      <c r="AE2084" s="55" t="n">
        <f aca="false">IF(AC2084,IF(01_因子設定!$B$13="最大化",X2084,IF(01_因子設定!$B$13="最小化",-X2084,-ABS(X2084-01_因子設定!$B$16))),-1E+030)</f>
        <v>45.8466831140351</v>
      </c>
      <c r="AF2084" s="55" t="n">
        <f aca="false">AD2084+ROW()*0.000000001</f>
        <v>-2.20985868697605</v>
      </c>
      <c r="AG2084" s="55" t="n">
        <f aca="false">AE2084+ROW()*0.000000001</f>
        <v>45.8466851980351</v>
      </c>
    </row>
    <row r="2085" customFormat="false" ht="15" hidden="false" customHeight="false" outlineLevel="0" collapsed="false">
      <c r="A2085" s="0" t="n">
        <v>2</v>
      </c>
      <c r="B2085" s="0" t="n">
        <v>7</v>
      </c>
      <c r="C2085" s="0" t="n">
        <v>6</v>
      </c>
      <c r="D2085" s="0" t="n">
        <v>1</v>
      </c>
      <c r="E2085" s="0" t="n">
        <f aca="false">-1+A2085*0.25</f>
        <v>-0.5</v>
      </c>
      <c r="F2085" s="0" t="n">
        <f aca="false">-1+B2085*0.25</f>
        <v>0.75</v>
      </c>
      <c r="G2085" s="0" t="n">
        <f aca="false">-1+C2085*0.25</f>
        <v>0.5</v>
      </c>
      <c r="H2085" s="0" t="n">
        <f aca="false">-1+D2085*0.25</f>
        <v>-0.75</v>
      </c>
      <c r="I2085" s="0" t="n">
        <f aca="false">1</f>
        <v>1</v>
      </c>
      <c r="J2085" s="0" t="n">
        <f aca="false">E2085</f>
        <v>-0.5</v>
      </c>
      <c r="K2085" s="0" t="n">
        <f aca="false">F2085</f>
        <v>0.75</v>
      </c>
      <c r="L2085" s="0" t="n">
        <f aca="false">G2085</f>
        <v>0.5</v>
      </c>
      <c r="M2085" s="0" t="n">
        <f aca="false">H2085</f>
        <v>-0.75</v>
      </c>
      <c r="N2085" s="0" t="n">
        <f aca="false">E2085*F2085</f>
        <v>-0.375</v>
      </c>
      <c r="O2085" s="0" t="n">
        <f aca="false">E2085*G2085</f>
        <v>-0.25</v>
      </c>
      <c r="P2085" s="0" t="n">
        <f aca="false">E2085*H2085</f>
        <v>0.375</v>
      </c>
      <c r="Q2085" s="0" t="n">
        <f aca="false">F2085*G2085</f>
        <v>0.375</v>
      </c>
      <c r="R2085" s="0" t="n">
        <f aca="false">F2085*H2085</f>
        <v>-0.5625</v>
      </c>
      <c r="S2085" s="0" t="n">
        <f aca="false">G2085*H2085</f>
        <v>-0.375</v>
      </c>
      <c r="T2085" s="0" t="n">
        <f aca="false">E2085*E2085</f>
        <v>0.25</v>
      </c>
      <c r="U2085" s="0" t="n">
        <f aca="false">F2085*F2085</f>
        <v>0.5625</v>
      </c>
      <c r="V2085" s="0" t="n">
        <f aca="false">G2085*G2085</f>
        <v>0.25</v>
      </c>
      <c r="W2085" s="0" t="n">
        <f aca="false">H2085*H2085</f>
        <v>0.5625</v>
      </c>
      <c r="X2085" s="0" t="n">
        <f aca="false">SUMPRODUCT(I2085:W2085,_XtX!$B$96:$P$96)</f>
        <v>46.0958653143275</v>
      </c>
      <c r="Y2085" s="0" t="n">
        <f aca="false">SUMPRODUCT(MMULT(I2085:W2085,_XtX!$B$78:$P$92),I2085:W2085)</f>
        <v>0.237862927174708</v>
      </c>
      <c r="Z2085" s="0" t="n">
        <f aca="false">04_回帰ANOVA!$K$19*04_回帰ANOVA!$K$14*SQRT(1+Y2085)</f>
        <v>1.45022260708756</v>
      </c>
      <c r="AA2085" s="0" t="n">
        <f aca="false">X2085-Z2085</f>
        <v>44.6456427072399</v>
      </c>
      <c r="AB2085" s="0" t="n">
        <f aca="false">X2085+Z2085</f>
        <v>47.546087921415</v>
      </c>
      <c r="AC2085" s="54" t="b">
        <f aca="false">AND(E2085&gt;=01_因子設定!$L$5-0.000000001,E2085&lt;=01_因子設定!$M$5+0.000000001,F2085&gt;=01_因子設定!$L$6-0.000000001,F2085&lt;=01_因子設定!$M$6+0.000000001,G2085&gt;=01_因子設定!$L$7-0.000000001,G2085&lt;=01_因子設定!$M$7+0.000000001,H2085&gt;=01_因子設定!$L$8-0.000000001,H2085&lt;=01_因子設定!$M$8+0.000000001,IF(01_因子設定!$B$20="Box-Behnken",E2085^2+F2085^2+G2085^2+H2085^2&lt;=2+0.000000001,TRUE()))</f>
        <v>1</v>
      </c>
      <c r="AD2085" s="55" t="n">
        <f aca="false">IF(AC2085,IF(01_因子設定!$B$13="最大化",AA2085-01_因子設定!$B$14,IF(01_因子設定!$B$13="最小化",01_因子設定!$B$15-AB2085,MIN(AA2085-01_因子設定!$B$14,01_因子設定!$B$15-AB2085))),-1E+030)</f>
        <v>-1.8543572927601</v>
      </c>
      <c r="AE2085" s="55" t="n">
        <f aca="false">IF(AC2085,IF(01_因子設定!$B$13="最大化",X2085,IF(01_因子設定!$B$13="最小化",-X2085,-ABS(X2085-01_因子設定!$B$16))),-1E+030)</f>
        <v>46.0958653143275</v>
      </c>
      <c r="AF2085" s="55" t="n">
        <f aca="false">AD2085+ROW()*0.000000001</f>
        <v>-1.8543552077601</v>
      </c>
      <c r="AG2085" s="55" t="n">
        <f aca="false">AE2085+ROW()*0.000000001</f>
        <v>46.0958673993275</v>
      </c>
    </row>
    <row r="2086" customFormat="false" ht="15" hidden="false" customHeight="false" outlineLevel="0" collapsed="false">
      <c r="A2086" s="0" t="n">
        <v>2</v>
      </c>
      <c r="B2086" s="0" t="n">
        <v>7</v>
      </c>
      <c r="C2086" s="0" t="n">
        <v>6</v>
      </c>
      <c r="D2086" s="0" t="n">
        <v>2</v>
      </c>
      <c r="E2086" s="0" t="n">
        <f aca="false">-1+A2086*0.25</f>
        <v>-0.5</v>
      </c>
      <c r="F2086" s="0" t="n">
        <f aca="false">-1+B2086*0.25</f>
        <v>0.75</v>
      </c>
      <c r="G2086" s="0" t="n">
        <f aca="false">-1+C2086*0.25</f>
        <v>0.5</v>
      </c>
      <c r="H2086" s="0" t="n">
        <f aca="false">-1+D2086*0.25</f>
        <v>-0.5</v>
      </c>
      <c r="I2086" s="0" t="n">
        <f aca="false">1</f>
        <v>1</v>
      </c>
      <c r="J2086" s="0" t="n">
        <f aca="false">E2086</f>
        <v>-0.5</v>
      </c>
      <c r="K2086" s="0" t="n">
        <f aca="false">F2086</f>
        <v>0.75</v>
      </c>
      <c r="L2086" s="0" t="n">
        <f aca="false">G2086</f>
        <v>0.5</v>
      </c>
      <c r="M2086" s="0" t="n">
        <f aca="false">H2086</f>
        <v>-0.5</v>
      </c>
      <c r="N2086" s="0" t="n">
        <f aca="false">E2086*F2086</f>
        <v>-0.375</v>
      </c>
      <c r="O2086" s="0" t="n">
        <f aca="false">E2086*G2086</f>
        <v>-0.25</v>
      </c>
      <c r="P2086" s="0" t="n">
        <f aca="false">E2086*H2086</f>
        <v>0.25</v>
      </c>
      <c r="Q2086" s="0" t="n">
        <f aca="false">F2086*G2086</f>
        <v>0.375</v>
      </c>
      <c r="R2086" s="0" t="n">
        <f aca="false">F2086*H2086</f>
        <v>-0.375</v>
      </c>
      <c r="S2086" s="0" t="n">
        <f aca="false">G2086*H2086</f>
        <v>-0.25</v>
      </c>
      <c r="T2086" s="0" t="n">
        <f aca="false">E2086*E2086</f>
        <v>0.25</v>
      </c>
      <c r="U2086" s="0" t="n">
        <f aca="false">F2086*F2086</f>
        <v>0.5625</v>
      </c>
      <c r="V2086" s="0" t="n">
        <f aca="false">G2086*G2086</f>
        <v>0.25</v>
      </c>
      <c r="W2086" s="0" t="n">
        <f aca="false">H2086*H2086</f>
        <v>0.25</v>
      </c>
      <c r="X2086" s="0" t="n">
        <f aca="false">SUMPRODUCT(I2086:W2086,_XtX!$B$96:$P$96)</f>
        <v>46.297240497076</v>
      </c>
      <c r="Y2086" s="0" t="n">
        <f aca="false">SUMPRODUCT(MMULT(I2086:W2086,_XtX!$B$78:$P$92),I2086:W2086)</f>
        <v>0.193924753289474</v>
      </c>
      <c r="Z2086" s="0" t="n">
        <f aca="false">04_回帰ANOVA!$K$19*04_回帰ANOVA!$K$14*SQRT(1+Y2086)</f>
        <v>1.4242521079916</v>
      </c>
      <c r="AA2086" s="0" t="n">
        <f aca="false">X2086-Z2086</f>
        <v>44.8729883890844</v>
      </c>
      <c r="AB2086" s="0" t="n">
        <f aca="false">X2086+Z2086</f>
        <v>47.7214926050676</v>
      </c>
      <c r="AC2086" s="54" t="b">
        <f aca="false">AND(E2086&gt;=01_因子設定!$L$5-0.000000001,E2086&lt;=01_因子設定!$M$5+0.000000001,F2086&gt;=01_因子設定!$L$6-0.000000001,F2086&lt;=01_因子設定!$M$6+0.000000001,G2086&gt;=01_因子設定!$L$7-0.000000001,G2086&lt;=01_因子設定!$M$7+0.000000001,H2086&gt;=01_因子設定!$L$8-0.000000001,H2086&lt;=01_因子設定!$M$8+0.000000001,IF(01_因子設定!$B$20="Box-Behnken",E2086^2+F2086^2+G2086^2+H2086^2&lt;=2+0.000000001,TRUE()))</f>
        <v>1</v>
      </c>
      <c r="AD2086" s="55" t="n">
        <f aca="false">IF(AC2086,IF(01_因子設定!$B$13="最大化",AA2086-01_因子設定!$B$14,IF(01_因子設定!$B$13="最小化",01_因子設定!$B$15-AB2086,MIN(AA2086-01_因子設定!$B$14,01_因子設定!$B$15-AB2086))),-1E+030)</f>
        <v>-1.62701161091561</v>
      </c>
      <c r="AE2086" s="55" t="n">
        <f aca="false">IF(AC2086,IF(01_因子設定!$B$13="最大化",X2086,IF(01_因子設定!$B$13="最小化",-X2086,-ABS(X2086-01_因子設定!$B$16))),-1E+030)</f>
        <v>46.297240497076</v>
      </c>
      <c r="AF2086" s="55" t="n">
        <f aca="false">AD2086+ROW()*0.000000001</f>
        <v>-1.62700952491561</v>
      </c>
      <c r="AG2086" s="55" t="n">
        <f aca="false">AE2086+ROW()*0.000000001</f>
        <v>46.297242583076</v>
      </c>
    </row>
    <row r="2087" customFormat="false" ht="15" hidden="false" customHeight="false" outlineLevel="0" collapsed="false">
      <c r="A2087" s="0" t="n">
        <v>2</v>
      </c>
      <c r="B2087" s="0" t="n">
        <v>7</v>
      </c>
      <c r="C2087" s="0" t="n">
        <v>6</v>
      </c>
      <c r="D2087" s="0" t="n">
        <v>3</v>
      </c>
      <c r="E2087" s="0" t="n">
        <f aca="false">-1+A2087*0.25</f>
        <v>-0.5</v>
      </c>
      <c r="F2087" s="0" t="n">
        <f aca="false">-1+B2087*0.25</f>
        <v>0.75</v>
      </c>
      <c r="G2087" s="0" t="n">
        <f aca="false">-1+C2087*0.25</f>
        <v>0.5</v>
      </c>
      <c r="H2087" s="0" t="n">
        <f aca="false">-1+D2087*0.25</f>
        <v>-0.25</v>
      </c>
      <c r="I2087" s="0" t="n">
        <f aca="false">1</f>
        <v>1</v>
      </c>
      <c r="J2087" s="0" t="n">
        <f aca="false">E2087</f>
        <v>-0.5</v>
      </c>
      <c r="K2087" s="0" t="n">
        <f aca="false">F2087</f>
        <v>0.75</v>
      </c>
      <c r="L2087" s="0" t="n">
        <f aca="false">G2087</f>
        <v>0.5</v>
      </c>
      <c r="M2087" s="0" t="n">
        <f aca="false">H2087</f>
        <v>-0.25</v>
      </c>
      <c r="N2087" s="0" t="n">
        <f aca="false">E2087*F2087</f>
        <v>-0.375</v>
      </c>
      <c r="O2087" s="0" t="n">
        <f aca="false">E2087*G2087</f>
        <v>-0.25</v>
      </c>
      <c r="P2087" s="0" t="n">
        <f aca="false">E2087*H2087</f>
        <v>0.125</v>
      </c>
      <c r="Q2087" s="0" t="n">
        <f aca="false">F2087*G2087</f>
        <v>0.375</v>
      </c>
      <c r="R2087" s="0" t="n">
        <f aca="false">F2087*H2087</f>
        <v>-0.1875</v>
      </c>
      <c r="S2087" s="0" t="n">
        <f aca="false">G2087*H2087</f>
        <v>-0.125</v>
      </c>
      <c r="T2087" s="0" t="n">
        <f aca="false">E2087*E2087</f>
        <v>0.25</v>
      </c>
      <c r="U2087" s="0" t="n">
        <f aca="false">F2087*F2087</f>
        <v>0.5625</v>
      </c>
      <c r="V2087" s="0" t="n">
        <f aca="false">G2087*G2087</f>
        <v>0.25</v>
      </c>
      <c r="W2087" s="0" t="n">
        <f aca="false">H2087*H2087</f>
        <v>0.0625</v>
      </c>
      <c r="X2087" s="0" t="n">
        <f aca="false">SUMPRODUCT(I2087:W2087,_XtX!$B$96:$P$96)</f>
        <v>46.4508086622807</v>
      </c>
      <c r="Y2087" s="0" t="n">
        <f aca="false">SUMPRODUCT(MMULT(I2087:W2087,_XtX!$B$78:$P$92),I2087:W2087)</f>
        <v>0.203746059484649</v>
      </c>
      <c r="Z2087" s="0" t="n">
        <f aca="false">04_回帰ANOVA!$K$19*04_回帰ANOVA!$K$14*SQRT(1+Y2087)</f>
        <v>1.43009810755465</v>
      </c>
      <c r="AA2087" s="0" t="n">
        <f aca="false">X2087-Z2087</f>
        <v>45.020710554726</v>
      </c>
      <c r="AB2087" s="0" t="n">
        <f aca="false">X2087+Z2087</f>
        <v>47.8809067698353</v>
      </c>
      <c r="AC2087" s="54" t="b">
        <f aca="false">AND(E2087&gt;=01_因子設定!$L$5-0.000000001,E2087&lt;=01_因子設定!$M$5+0.000000001,F2087&gt;=01_因子設定!$L$6-0.000000001,F2087&lt;=01_因子設定!$M$6+0.000000001,G2087&gt;=01_因子設定!$L$7-0.000000001,G2087&lt;=01_因子設定!$M$7+0.000000001,H2087&gt;=01_因子設定!$L$8-0.000000001,H2087&lt;=01_因子設定!$M$8+0.000000001,IF(01_因子設定!$B$20="Box-Behnken",E2087^2+F2087^2+G2087^2+H2087^2&lt;=2+0.000000001,TRUE()))</f>
        <v>1</v>
      </c>
      <c r="AD2087" s="55" t="n">
        <f aca="false">IF(AC2087,IF(01_因子設定!$B$13="最大化",AA2087-01_因子設定!$B$14,IF(01_因子設定!$B$13="最小化",01_因子設定!$B$15-AB2087,MIN(AA2087-01_因子設定!$B$14,01_因子設定!$B$15-AB2087))),-1E+030)</f>
        <v>-1.47928944527398</v>
      </c>
      <c r="AE2087" s="55" t="n">
        <f aca="false">IF(AC2087,IF(01_因子設定!$B$13="最大化",X2087,IF(01_因子設定!$B$13="最小化",-X2087,-ABS(X2087-01_因子設定!$B$16))),-1E+030)</f>
        <v>46.4508086622807</v>
      </c>
      <c r="AF2087" s="55" t="n">
        <f aca="false">AD2087+ROW()*0.000000001</f>
        <v>-1.47928735827398</v>
      </c>
      <c r="AG2087" s="55" t="n">
        <f aca="false">AE2087+ROW()*0.000000001</f>
        <v>46.4508107492807</v>
      </c>
    </row>
    <row r="2088" customFormat="false" ht="15" hidden="false" customHeight="false" outlineLevel="0" collapsed="false">
      <c r="A2088" s="0" t="n">
        <v>2</v>
      </c>
      <c r="B2088" s="0" t="n">
        <v>7</v>
      </c>
      <c r="C2088" s="0" t="n">
        <v>6</v>
      </c>
      <c r="D2088" s="0" t="n">
        <v>4</v>
      </c>
      <c r="E2088" s="0" t="n">
        <f aca="false">-1+A2088*0.25</f>
        <v>-0.5</v>
      </c>
      <c r="F2088" s="0" t="n">
        <f aca="false">-1+B2088*0.25</f>
        <v>0.75</v>
      </c>
      <c r="G2088" s="0" t="n">
        <f aca="false">-1+C2088*0.25</f>
        <v>0.5</v>
      </c>
      <c r="H2088" s="0" t="n">
        <f aca="false">-1+D2088*0.25</f>
        <v>0</v>
      </c>
      <c r="I2088" s="0" t="n">
        <f aca="false">1</f>
        <v>1</v>
      </c>
      <c r="J2088" s="0" t="n">
        <f aca="false">E2088</f>
        <v>-0.5</v>
      </c>
      <c r="K2088" s="0" t="n">
        <f aca="false">F2088</f>
        <v>0.75</v>
      </c>
      <c r="L2088" s="0" t="n">
        <f aca="false">G2088</f>
        <v>0.5</v>
      </c>
      <c r="M2088" s="0" t="n">
        <f aca="false">H2088</f>
        <v>0</v>
      </c>
      <c r="N2088" s="0" t="n">
        <f aca="false">E2088*F2088</f>
        <v>-0.375</v>
      </c>
      <c r="O2088" s="0" t="n">
        <f aca="false">E2088*G2088</f>
        <v>-0.25</v>
      </c>
      <c r="P2088" s="0" t="n">
        <f aca="false">E2088*H2088</f>
        <v>-0</v>
      </c>
      <c r="Q2088" s="0" t="n">
        <f aca="false">F2088*G2088</f>
        <v>0.375</v>
      </c>
      <c r="R2088" s="0" t="n">
        <f aca="false">F2088*H2088</f>
        <v>0</v>
      </c>
      <c r="S2088" s="0" t="n">
        <f aca="false">G2088*H2088</f>
        <v>0</v>
      </c>
      <c r="T2088" s="0" t="n">
        <f aca="false">E2088*E2088</f>
        <v>0.25</v>
      </c>
      <c r="U2088" s="0" t="n">
        <f aca="false">F2088*F2088</f>
        <v>0.5625</v>
      </c>
      <c r="V2088" s="0" t="n">
        <f aca="false">G2088*G2088</f>
        <v>0.25</v>
      </c>
      <c r="W2088" s="0" t="n">
        <f aca="false">H2088*H2088</f>
        <v>0</v>
      </c>
      <c r="X2088" s="0" t="n">
        <f aca="false">SUMPRODUCT(I2088:W2088,_XtX!$B$96:$P$96)</f>
        <v>46.5565698099415</v>
      </c>
      <c r="Y2088" s="0" t="n">
        <f aca="false">SUMPRODUCT(MMULT(I2088:W2088,_XtX!$B$78:$P$92),I2088:W2088)</f>
        <v>0.21305052997076</v>
      </c>
      <c r="Z2088" s="0" t="n">
        <f aca="false">04_回帰ANOVA!$K$19*04_回帰ANOVA!$K$14*SQRT(1+Y2088)</f>
        <v>1.43561450835061</v>
      </c>
      <c r="AA2088" s="0" t="n">
        <f aca="false">X2088-Z2088</f>
        <v>45.1209553015909</v>
      </c>
      <c r="AB2088" s="0" t="n">
        <f aca="false">X2088+Z2088</f>
        <v>47.9921843182921</v>
      </c>
      <c r="AC2088" s="54" t="b">
        <f aca="false">AND(E2088&gt;=01_因子設定!$L$5-0.000000001,E2088&lt;=01_因子設定!$M$5+0.000000001,F2088&gt;=01_因子設定!$L$6-0.000000001,F2088&lt;=01_因子設定!$M$6+0.000000001,G2088&gt;=01_因子設定!$L$7-0.000000001,G2088&lt;=01_因子設定!$M$7+0.000000001,H2088&gt;=01_因子設定!$L$8-0.000000001,H2088&lt;=01_因子設定!$M$8+0.000000001,IF(01_因子設定!$B$20="Box-Behnken",E2088^2+F2088^2+G2088^2+H2088^2&lt;=2+0.000000001,TRUE()))</f>
        <v>1</v>
      </c>
      <c r="AD2088" s="55" t="n">
        <f aca="false">IF(AC2088,IF(01_因子設定!$B$13="最大化",AA2088-01_因子設定!$B$14,IF(01_因子設定!$B$13="最小化",01_因子設定!$B$15-AB2088,MIN(AA2088-01_因子設定!$B$14,01_因子設定!$B$15-AB2088))),-1E+030)</f>
        <v>-1.37904469840912</v>
      </c>
      <c r="AE2088" s="55" t="n">
        <f aca="false">IF(AC2088,IF(01_因子設定!$B$13="最大化",X2088,IF(01_因子設定!$B$13="最小化",-X2088,-ABS(X2088-01_因子設定!$B$16))),-1E+030)</f>
        <v>46.5565698099415</v>
      </c>
      <c r="AF2088" s="55" t="n">
        <f aca="false">AD2088+ROW()*0.000000001</f>
        <v>-1.37904261040912</v>
      </c>
      <c r="AG2088" s="55" t="n">
        <f aca="false">AE2088+ROW()*0.000000001</f>
        <v>46.5565718979415</v>
      </c>
    </row>
    <row r="2089" customFormat="false" ht="15" hidden="false" customHeight="false" outlineLevel="0" collapsed="false">
      <c r="A2089" s="0" t="n">
        <v>2</v>
      </c>
      <c r="B2089" s="0" t="n">
        <v>7</v>
      </c>
      <c r="C2089" s="0" t="n">
        <v>6</v>
      </c>
      <c r="D2089" s="0" t="n">
        <v>5</v>
      </c>
      <c r="E2089" s="0" t="n">
        <f aca="false">-1+A2089*0.25</f>
        <v>-0.5</v>
      </c>
      <c r="F2089" s="0" t="n">
        <f aca="false">-1+B2089*0.25</f>
        <v>0.75</v>
      </c>
      <c r="G2089" s="0" t="n">
        <f aca="false">-1+C2089*0.25</f>
        <v>0.5</v>
      </c>
      <c r="H2089" s="0" t="n">
        <f aca="false">-1+D2089*0.25</f>
        <v>0.25</v>
      </c>
      <c r="I2089" s="0" t="n">
        <f aca="false">1</f>
        <v>1</v>
      </c>
      <c r="J2089" s="0" t="n">
        <f aca="false">E2089</f>
        <v>-0.5</v>
      </c>
      <c r="K2089" s="0" t="n">
        <f aca="false">F2089</f>
        <v>0.75</v>
      </c>
      <c r="L2089" s="0" t="n">
        <f aca="false">G2089</f>
        <v>0.5</v>
      </c>
      <c r="M2089" s="0" t="n">
        <f aca="false">H2089</f>
        <v>0.25</v>
      </c>
      <c r="N2089" s="0" t="n">
        <f aca="false">E2089*F2089</f>
        <v>-0.375</v>
      </c>
      <c r="O2089" s="0" t="n">
        <f aca="false">E2089*G2089</f>
        <v>-0.25</v>
      </c>
      <c r="P2089" s="0" t="n">
        <f aca="false">E2089*H2089</f>
        <v>-0.125</v>
      </c>
      <c r="Q2089" s="0" t="n">
        <f aca="false">F2089*G2089</f>
        <v>0.375</v>
      </c>
      <c r="R2089" s="0" t="n">
        <f aca="false">F2089*H2089</f>
        <v>0.1875</v>
      </c>
      <c r="S2089" s="0" t="n">
        <f aca="false">G2089*H2089</f>
        <v>0.125</v>
      </c>
      <c r="T2089" s="0" t="n">
        <f aca="false">E2089*E2089</f>
        <v>0.25</v>
      </c>
      <c r="U2089" s="0" t="n">
        <f aca="false">F2089*F2089</f>
        <v>0.5625</v>
      </c>
      <c r="V2089" s="0" t="n">
        <f aca="false">G2089*G2089</f>
        <v>0.25</v>
      </c>
      <c r="W2089" s="0" t="n">
        <f aca="false">H2089*H2089</f>
        <v>0.0625</v>
      </c>
      <c r="X2089" s="0" t="n">
        <f aca="false">SUMPRODUCT(I2089:W2089,_XtX!$B$96:$P$96)</f>
        <v>46.6145239400584</v>
      </c>
      <c r="Y2089" s="0" t="n">
        <f aca="false">SUMPRODUCT(MMULT(I2089:W2089,_XtX!$B$78:$P$92),I2089:W2089)</f>
        <v>0.203746059484649</v>
      </c>
      <c r="Z2089" s="0" t="n">
        <f aca="false">04_回帰ANOVA!$K$19*04_回帰ANOVA!$K$14*SQRT(1+Y2089)</f>
        <v>1.43009810755465</v>
      </c>
      <c r="AA2089" s="0" t="n">
        <f aca="false">X2089-Z2089</f>
        <v>45.1844258325038</v>
      </c>
      <c r="AB2089" s="0" t="n">
        <f aca="false">X2089+Z2089</f>
        <v>48.0446220476131</v>
      </c>
      <c r="AC2089" s="54" t="b">
        <f aca="false">AND(E2089&gt;=01_因子設定!$L$5-0.000000001,E2089&lt;=01_因子設定!$M$5+0.000000001,F2089&gt;=01_因子設定!$L$6-0.000000001,F2089&lt;=01_因子設定!$M$6+0.000000001,G2089&gt;=01_因子設定!$L$7-0.000000001,G2089&lt;=01_因子設定!$M$7+0.000000001,H2089&gt;=01_因子設定!$L$8-0.000000001,H2089&lt;=01_因子設定!$M$8+0.000000001,IF(01_因子設定!$B$20="Box-Behnken",E2089^2+F2089^2+G2089^2+H2089^2&lt;=2+0.000000001,TRUE()))</f>
        <v>1</v>
      </c>
      <c r="AD2089" s="55" t="n">
        <f aca="false">IF(AC2089,IF(01_因子設定!$B$13="最大化",AA2089-01_因子設定!$B$14,IF(01_因子設定!$B$13="最小化",01_因子設定!$B$15-AB2089,MIN(AA2089-01_因子設定!$B$14,01_因子設定!$B$15-AB2089))),-1E+030)</f>
        <v>-1.31557416749621</v>
      </c>
      <c r="AE2089" s="55" t="n">
        <f aca="false">IF(AC2089,IF(01_因子設定!$B$13="最大化",X2089,IF(01_因子設定!$B$13="最小化",-X2089,-ABS(X2089-01_因子設定!$B$16))),-1E+030)</f>
        <v>46.6145239400584</v>
      </c>
      <c r="AF2089" s="55" t="n">
        <f aca="false">AD2089+ROW()*0.000000001</f>
        <v>-1.31557207849621</v>
      </c>
      <c r="AG2089" s="55" t="n">
        <f aca="false">AE2089+ROW()*0.000000001</f>
        <v>46.6145260290584</v>
      </c>
    </row>
    <row r="2090" customFormat="false" ht="15" hidden="false" customHeight="false" outlineLevel="0" collapsed="false">
      <c r="A2090" s="0" t="n">
        <v>2</v>
      </c>
      <c r="B2090" s="0" t="n">
        <v>7</v>
      </c>
      <c r="C2090" s="0" t="n">
        <v>6</v>
      </c>
      <c r="D2090" s="0" t="n">
        <v>6</v>
      </c>
      <c r="E2090" s="0" t="n">
        <f aca="false">-1+A2090*0.25</f>
        <v>-0.5</v>
      </c>
      <c r="F2090" s="0" t="n">
        <f aca="false">-1+B2090*0.25</f>
        <v>0.75</v>
      </c>
      <c r="G2090" s="0" t="n">
        <f aca="false">-1+C2090*0.25</f>
        <v>0.5</v>
      </c>
      <c r="H2090" s="0" t="n">
        <f aca="false">-1+D2090*0.25</f>
        <v>0.5</v>
      </c>
      <c r="I2090" s="0" t="n">
        <f aca="false">1</f>
        <v>1</v>
      </c>
      <c r="J2090" s="0" t="n">
        <f aca="false">E2090</f>
        <v>-0.5</v>
      </c>
      <c r="K2090" s="0" t="n">
        <f aca="false">F2090</f>
        <v>0.75</v>
      </c>
      <c r="L2090" s="0" t="n">
        <f aca="false">G2090</f>
        <v>0.5</v>
      </c>
      <c r="M2090" s="0" t="n">
        <f aca="false">H2090</f>
        <v>0.5</v>
      </c>
      <c r="N2090" s="0" t="n">
        <f aca="false">E2090*F2090</f>
        <v>-0.375</v>
      </c>
      <c r="O2090" s="0" t="n">
        <f aca="false">E2090*G2090</f>
        <v>-0.25</v>
      </c>
      <c r="P2090" s="0" t="n">
        <f aca="false">E2090*H2090</f>
        <v>-0.25</v>
      </c>
      <c r="Q2090" s="0" t="n">
        <f aca="false">F2090*G2090</f>
        <v>0.375</v>
      </c>
      <c r="R2090" s="0" t="n">
        <f aca="false">F2090*H2090</f>
        <v>0.375</v>
      </c>
      <c r="S2090" s="0" t="n">
        <f aca="false">G2090*H2090</f>
        <v>0.25</v>
      </c>
      <c r="T2090" s="0" t="n">
        <f aca="false">E2090*E2090</f>
        <v>0.25</v>
      </c>
      <c r="U2090" s="0" t="n">
        <f aca="false">F2090*F2090</f>
        <v>0.5625</v>
      </c>
      <c r="V2090" s="0" t="n">
        <f aca="false">G2090*G2090</f>
        <v>0.25</v>
      </c>
      <c r="W2090" s="0" t="n">
        <f aca="false">H2090*H2090</f>
        <v>0.25</v>
      </c>
      <c r="X2090" s="0" t="n">
        <f aca="false">SUMPRODUCT(I2090:W2090,_XtX!$B$96:$P$96)</f>
        <v>46.6246710526316</v>
      </c>
      <c r="Y2090" s="0" t="n">
        <f aca="false">SUMPRODUCT(MMULT(I2090:W2090,_XtX!$B$78:$P$92),I2090:W2090)</f>
        <v>0.193924753289474</v>
      </c>
      <c r="Z2090" s="0" t="n">
        <f aca="false">04_回帰ANOVA!$K$19*04_回帰ANOVA!$K$14*SQRT(1+Y2090)</f>
        <v>1.4242521079916</v>
      </c>
      <c r="AA2090" s="0" t="n">
        <f aca="false">X2090-Z2090</f>
        <v>45.20041894464</v>
      </c>
      <c r="AB2090" s="0" t="n">
        <f aca="false">X2090+Z2090</f>
        <v>48.0489231606232</v>
      </c>
      <c r="AC2090" s="54" t="b">
        <f aca="false">AND(E2090&gt;=01_因子設定!$L$5-0.000000001,E2090&lt;=01_因子設定!$M$5+0.000000001,F2090&gt;=01_因子設定!$L$6-0.000000001,F2090&lt;=01_因子設定!$M$6+0.000000001,G2090&gt;=01_因子設定!$L$7-0.000000001,G2090&lt;=01_因子設定!$M$7+0.000000001,H2090&gt;=01_因子設定!$L$8-0.000000001,H2090&lt;=01_因子設定!$M$8+0.000000001,IF(01_因子設定!$B$20="Box-Behnken",E2090^2+F2090^2+G2090^2+H2090^2&lt;=2+0.000000001,TRUE()))</f>
        <v>1</v>
      </c>
      <c r="AD2090" s="55" t="n">
        <f aca="false">IF(AC2090,IF(01_因子設定!$B$13="最大化",AA2090-01_因子設定!$B$14,IF(01_因子設定!$B$13="最小化",01_因子設定!$B$15-AB2090,MIN(AA2090-01_因子設定!$B$14,01_因子設定!$B$15-AB2090))),-1E+030)</f>
        <v>-1.29958105536005</v>
      </c>
      <c r="AE2090" s="55" t="n">
        <f aca="false">IF(AC2090,IF(01_因子設定!$B$13="最大化",X2090,IF(01_因子設定!$B$13="最小化",-X2090,-ABS(X2090-01_因子設定!$B$16))),-1E+030)</f>
        <v>46.6246710526316</v>
      </c>
      <c r="AF2090" s="55" t="n">
        <f aca="false">AD2090+ROW()*0.000000001</f>
        <v>-1.29957896536005</v>
      </c>
      <c r="AG2090" s="55" t="n">
        <f aca="false">AE2090+ROW()*0.000000001</f>
        <v>46.6246731426316</v>
      </c>
    </row>
    <row r="2091" customFormat="false" ht="15" hidden="false" customHeight="false" outlineLevel="0" collapsed="false">
      <c r="A2091" s="0" t="n">
        <v>2</v>
      </c>
      <c r="B2091" s="0" t="n">
        <v>7</v>
      </c>
      <c r="C2091" s="0" t="n">
        <v>6</v>
      </c>
      <c r="D2091" s="0" t="n">
        <v>7</v>
      </c>
      <c r="E2091" s="0" t="n">
        <f aca="false">-1+A2091*0.25</f>
        <v>-0.5</v>
      </c>
      <c r="F2091" s="0" t="n">
        <f aca="false">-1+B2091*0.25</f>
        <v>0.75</v>
      </c>
      <c r="G2091" s="0" t="n">
        <f aca="false">-1+C2091*0.25</f>
        <v>0.5</v>
      </c>
      <c r="H2091" s="0" t="n">
        <f aca="false">-1+D2091*0.25</f>
        <v>0.75</v>
      </c>
      <c r="I2091" s="0" t="n">
        <f aca="false">1</f>
        <v>1</v>
      </c>
      <c r="J2091" s="0" t="n">
        <f aca="false">E2091</f>
        <v>-0.5</v>
      </c>
      <c r="K2091" s="0" t="n">
        <f aca="false">F2091</f>
        <v>0.75</v>
      </c>
      <c r="L2091" s="0" t="n">
        <f aca="false">G2091</f>
        <v>0.5</v>
      </c>
      <c r="M2091" s="0" t="n">
        <f aca="false">H2091</f>
        <v>0.75</v>
      </c>
      <c r="N2091" s="0" t="n">
        <f aca="false">E2091*F2091</f>
        <v>-0.375</v>
      </c>
      <c r="O2091" s="0" t="n">
        <f aca="false">E2091*G2091</f>
        <v>-0.25</v>
      </c>
      <c r="P2091" s="0" t="n">
        <f aca="false">E2091*H2091</f>
        <v>-0.375</v>
      </c>
      <c r="Q2091" s="0" t="n">
        <f aca="false">F2091*G2091</f>
        <v>0.375</v>
      </c>
      <c r="R2091" s="0" t="n">
        <f aca="false">F2091*H2091</f>
        <v>0.5625</v>
      </c>
      <c r="S2091" s="0" t="n">
        <f aca="false">G2091*H2091</f>
        <v>0.375</v>
      </c>
      <c r="T2091" s="0" t="n">
        <f aca="false">E2091*E2091</f>
        <v>0.25</v>
      </c>
      <c r="U2091" s="0" t="n">
        <f aca="false">F2091*F2091</f>
        <v>0.5625</v>
      </c>
      <c r="V2091" s="0" t="n">
        <f aca="false">G2091*G2091</f>
        <v>0.25</v>
      </c>
      <c r="W2091" s="0" t="n">
        <f aca="false">H2091*H2091</f>
        <v>0.5625</v>
      </c>
      <c r="X2091" s="0" t="n">
        <f aca="false">SUMPRODUCT(I2091:W2091,_XtX!$B$96:$P$96)</f>
        <v>46.5870111476608</v>
      </c>
      <c r="Y2091" s="0" t="n">
        <f aca="false">SUMPRODUCT(MMULT(I2091:W2091,_XtX!$B$78:$P$92),I2091:W2091)</f>
        <v>0.237862927174708</v>
      </c>
      <c r="Z2091" s="0" t="n">
        <f aca="false">04_回帰ANOVA!$K$19*04_回帰ANOVA!$K$14*SQRT(1+Y2091)</f>
        <v>1.45022260708756</v>
      </c>
      <c r="AA2091" s="0" t="n">
        <f aca="false">X2091-Z2091</f>
        <v>45.1367885405732</v>
      </c>
      <c r="AB2091" s="0" t="n">
        <f aca="false">X2091+Z2091</f>
        <v>48.0372337547484</v>
      </c>
      <c r="AC2091" s="54" t="b">
        <f aca="false">AND(E2091&gt;=01_因子設定!$L$5-0.000000001,E2091&lt;=01_因子設定!$M$5+0.000000001,F2091&gt;=01_因子設定!$L$6-0.000000001,F2091&lt;=01_因子設定!$M$6+0.000000001,G2091&gt;=01_因子設定!$L$7-0.000000001,G2091&lt;=01_因子設定!$M$7+0.000000001,H2091&gt;=01_因子設定!$L$8-0.000000001,H2091&lt;=01_因子設定!$M$8+0.000000001,IF(01_因子設定!$B$20="Box-Behnken",E2091^2+F2091^2+G2091^2+H2091^2&lt;=2+0.000000001,TRUE()))</f>
        <v>1</v>
      </c>
      <c r="AD2091" s="55" t="n">
        <f aca="false">IF(AC2091,IF(01_因子設定!$B$13="最大化",AA2091-01_因子設定!$B$14,IF(01_因子設定!$B$13="最小化",01_因子設定!$B$15-AB2091,MIN(AA2091-01_因子設定!$B$14,01_因子設定!$B$15-AB2091))),-1E+030)</f>
        <v>-1.36321145942676</v>
      </c>
      <c r="AE2091" s="55" t="n">
        <f aca="false">IF(AC2091,IF(01_因子設定!$B$13="最大化",X2091,IF(01_因子設定!$B$13="最小化",-X2091,-ABS(X2091-01_因子設定!$B$16))),-1E+030)</f>
        <v>46.5870111476608</v>
      </c>
      <c r="AF2091" s="55" t="n">
        <f aca="false">AD2091+ROW()*0.000000001</f>
        <v>-1.36320936842676</v>
      </c>
      <c r="AG2091" s="55" t="n">
        <f aca="false">AE2091+ROW()*0.000000001</f>
        <v>46.5870132386608</v>
      </c>
    </row>
    <row r="2092" customFormat="false" ht="15" hidden="false" customHeight="false" outlineLevel="0" collapsed="false">
      <c r="A2092" s="0" t="n">
        <v>2</v>
      </c>
      <c r="B2092" s="0" t="n">
        <v>7</v>
      </c>
      <c r="C2092" s="0" t="n">
        <v>6</v>
      </c>
      <c r="D2092" s="0" t="n">
        <v>8</v>
      </c>
      <c r="E2092" s="0" t="n">
        <f aca="false">-1+A2092*0.25</f>
        <v>-0.5</v>
      </c>
      <c r="F2092" s="0" t="n">
        <f aca="false">-1+B2092*0.25</f>
        <v>0.75</v>
      </c>
      <c r="G2092" s="0" t="n">
        <f aca="false">-1+C2092*0.25</f>
        <v>0.5</v>
      </c>
      <c r="H2092" s="0" t="n">
        <f aca="false">-1+D2092*0.25</f>
        <v>1</v>
      </c>
      <c r="I2092" s="0" t="n">
        <f aca="false">1</f>
        <v>1</v>
      </c>
      <c r="J2092" s="0" t="n">
        <f aca="false">E2092</f>
        <v>-0.5</v>
      </c>
      <c r="K2092" s="0" t="n">
        <f aca="false">F2092</f>
        <v>0.75</v>
      </c>
      <c r="L2092" s="0" t="n">
        <f aca="false">G2092</f>
        <v>0.5</v>
      </c>
      <c r="M2092" s="0" t="n">
        <f aca="false">H2092</f>
        <v>1</v>
      </c>
      <c r="N2092" s="0" t="n">
        <f aca="false">E2092*F2092</f>
        <v>-0.375</v>
      </c>
      <c r="O2092" s="0" t="n">
        <f aca="false">E2092*G2092</f>
        <v>-0.25</v>
      </c>
      <c r="P2092" s="0" t="n">
        <f aca="false">E2092*H2092</f>
        <v>-0.5</v>
      </c>
      <c r="Q2092" s="0" t="n">
        <f aca="false">F2092*G2092</f>
        <v>0.375</v>
      </c>
      <c r="R2092" s="0" t="n">
        <f aca="false">F2092*H2092</f>
        <v>0.75</v>
      </c>
      <c r="S2092" s="0" t="n">
        <f aca="false">G2092*H2092</f>
        <v>0.5</v>
      </c>
      <c r="T2092" s="0" t="n">
        <f aca="false">E2092*E2092</f>
        <v>0.25</v>
      </c>
      <c r="U2092" s="0" t="n">
        <f aca="false">F2092*F2092</f>
        <v>0.5625</v>
      </c>
      <c r="V2092" s="0" t="n">
        <f aca="false">G2092*G2092</f>
        <v>0.25</v>
      </c>
      <c r="W2092" s="0" t="n">
        <f aca="false">H2092*H2092</f>
        <v>1</v>
      </c>
      <c r="X2092" s="0" t="n">
        <f aca="false">SUMPRODUCT(I2092:W2092,_XtX!$B$96:$P$96)</f>
        <v>46.5015442251462</v>
      </c>
      <c r="Y2092" s="0" t="n">
        <f aca="false">SUMPRODUCT(MMULT(I2092:W2092,_XtX!$B$78:$P$92),I2092:W2092)</f>
        <v>0.42602110745614</v>
      </c>
      <c r="Z2092" s="0" t="n">
        <f aca="false">04_回帰ANOVA!$K$19*04_回帰ANOVA!$K$14*SQRT(1+Y2092)</f>
        <v>1.55654388501114</v>
      </c>
      <c r="AA2092" s="0" t="n">
        <f aca="false">X2092-Z2092</f>
        <v>44.9450003401351</v>
      </c>
      <c r="AB2092" s="0" t="n">
        <f aca="false">X2092+Z2092</f>
        <v>48.0580881101573</v>
      </c>
      <c r="AC2092" s="54" t="b">
        <f aca="false">AND(E2092&gt;=01_因子設定!$L$5-0.000000001,E2092&lt;=01_因子設定!$M$5+0.000000001,F2092&gt;=01_因子設定!$L$6-0.000000001,F2092&lt;=01_因子設定!$M$6+0.000000001,G2092&gt;=01_因子設定!$L$7-0.000000001,G2092&lt;=01_因子設定!$M$7+0.000000001,H2092&gt;=01_因子設定!$L$8-0.000000001,H2092&lt;=01_因子設定!$M$8+0.000000001,IF(01_因子設定!$B$20="Box-Behnken",E2092^2+F2092^2+G2092^2+H2092^2&lt;=2+0.000000001,TRUE()))</f>
        <v>1</v>
      </c>
      <c r="AD2092" s="55" t="n">
        <f aca="false">IF(AC2092,IF(01_因子設定!$B$13="最大化",AA2092-01_因子設定!$B$14,IF(01_因子設定!$B$13="最小化",01_因子設定!$B$15-AB2092,MIN(AA2092-01_因子設定!$B$14,01_因子設定!$B$15-AB2092))),-1E+030)</f>
        <v>-1.55499965986495</v>
      </c>
      <c r="AE2092" s="55" t="n">
        <f aca="false">IF(AC2092,IF(01_因子設定!$B$13="最大化",X2092,IF(01_因子設定!$B$13="最小化",-X2092,-ABS(X2092-01_因子設定!$B$16))),-1E+030)</f>
        <v>46.5015442251462</v>
      </c>
      <c r="AF2092" s="55" t="n">
        <f aca="false">AD2092+ROW()*0.000000001</f>
        <v>-1.55499756786495</v>
      </c>
      <c r="AG2092" s="55" t="n">
        <f aca="false">AE2092+ROW()*0.000000001</f>
        <v>46.5015463171462</v>
      </c>
    </row>
    <row r="2093" customFormat="false" ht="15" hidden="false" customHeight="false" outlineLevel="0" collapsed="false">
      <c r="A2093" s="0" t="n">
        <v>2</v>
      </c>
      <c r="B2093" s="0" t="n">
        <v>7</v>
      </c>
      <c r="C2093" s="0" t="n">
        <v>7</v>
      </c>
      <c r="D2093" s="0" t="n">
        <v>0</v>
      </c>
      <c r="E2093" s="0" t="n">
        <f aca="false">-1+A2093*0.25</f>
        <v>-0.5</v>
      </c>
      <c r="F2093" s="0" t="n">
        <f aca="false">-1+B2093*0.25</f>
        <v>0.75</v>
      </c>
      <c r="G2093" s="0" t="n">
        <f aca="false">-1+C2093*0.25</f>
        <v>0.75</v>
      </c>
      <c r="H2093" s="0" t="n">
        <f aca="false">-1+D2093*0.25</f>
        <v>-1</v>
      </c>
      <c r="I2093" s="0" t="n">
        <f aca="false">1</f>
        <v>1</v>
      </c>
      <c r="J2093" s="0" t="n">
        <f aca="false">E2093</f>
        <v>-0.5</v>
      </c>
      <c r="K2093" s="0" t="n">
        <f aca="false">F2093</f>
        <v>0.75</v>
      </c>
      <c r="L2093" s="0" t="n">
        <f aca="false">G2093</f>
        <v>0.75</v>
      </c>
      <c r="M2093" s="0" t="n">
        <f aca="false">H2093</f>
        <v>-1</v>
      </c>
      <c r="N2093" s="0" t="n">
        <f aca="false">E2093*F2093</f>
        <v>-0.375</v>
      </c>
      <c r="O2093" s="0" t="n">
        <f aca="false">E2093*G2093</f>
        <v>-0.375</v>
      </c>
      <c r="P2093" s="0" t="n">
        <f aca="false">E2093*H2093</f>
        <v>0.5</v>
      </c>
      <c r="Q2093" s="0" t="n">
        <f aca="false">F2093*G2093</f>
        <v>0.5625</v>
      </c>
      <c r="R2093" s="0" t="n">
        <f aca="false">F2093*H2093</f>
        <v>-0.75</v>
      </c>
      <c r="S2093" s="0" t="n">
        <f aca="false">G2093*H2093</f>
        <v>-0.75</v>
      </c>
      <c r="T2093" s="0" t="n">
        <f aca="false">E2093*E2093</f>
        <v>0.25</v>
      </c>
      <c r="U2093" s="0" t="n">
        <f aca="false">F2093*F2093</f>
        <v>0.5625</v>
      </c>
      <c r="V2093" s="0" t="n">
        <f aca="false">G2093*G2093</f>
        <v>0.5625</v>
      </c>
      <c r="W2093" s="0" t="n">
        <f aca="false">H2093*H2093</f>
        <v>1</v>
      </c>
      <c r="X2093" s="0" t="n">
        <f aca="false">SUMPRODUCT(I2093:W2093,_XtX!$B$96:$P$96)</f>
        <v>45.9472176535088</v>
      </c>
      <c r="Y2093" s="0" t="n">
        <f aca="false">SUMPRODUCT(MMULT(I2093:W2093,_XtX!$B$78:$P$92),I2093:W2093)</f>
        <v>0.431153771472953</v>
      </c>
      <c r="Z2093" s="0" t="n">
        <f aca="false">04_回帰ANOVA!$K$19*04_回帰ANOVA!$K$14*SQRT(1+Y2093)</f>
        <v>1.55934259562563</v>
      </c>
      <c r="AA2093" s="0" t="n">
        <f aca="false">X2093-Z2093</f>
        <v>44.3878750578831</v>
      </c>
      <c r="AB2093" s="0" t="n">
        <f aca="false">X2093+Z2093</f>
        <v>47.5065602491344</v>
      </c>
      <c r="AC2093" s="54" t="b">
        <f aca="false">AND(E2093&gt;=01_因子設定!$L$5-0.000000001,E2093&lt;=01_因子設定!$M$5+0.000000001,F2093&gt;=01_因子設定!$L$6-0.000000001,F2093&lt;=01_因子設定!$M$6+0.000000001,G2093&gt;=01_因子設定!$L$7-0.000000001,G2093&lt;=01_因子設定!$M$7+0.000000001,H2093&gt;=01_因子設定!$L$8-0.000000001,H2093&lt;=01_因子設定!$M$8+0.000000001,IF(01_因子設定!$B$20="Box-Behnken",E2093^2+F2093^2+G2093^2+H2093^2&lt;=2+0.000000001,TRUE()))</f>
        <v>1</v>
      </c>
      <c r="AD2093" s="55" t="n">
        <f aca="false">IF(AC2093,IF(01_因子設定!$B$13="最大化",AA2093-01_因子設定!$B$14,IF(01_因子設定!$B$13="最小化",01_因子設定!$B$15-AB2093,MIN(AA2093-01_因子設定!$B$14,01_因子設定!$B$15-AB2093))),-1E+030)</f>
        <v>-2.11212494211686</v>
      </c>
      <c r="AE2093" s="55" t="n">
        <f aca="false">IF(AC2093,IF(01_因子設定!$B$13="最大化",X2093,IF(01_因子設定!$B$13="最小化",-X2093,-ABS(X2093-01_因子設定!$B$16))),-1E+030)</f>
        <v>45.9472176535088</v>
      </c>
      <c r="AF2093" s="55" t="n">
        <f aca="false">AD2093+ROW()*0.000000001</f>
        <v>-2.11212284911686</v>
      </c>
      <c r="AG2093" s="55" t="n">
        <f aca="false">AE2093+ROW()*0.000000001</f>
        <v>45.9472197465088</v>
      </c>
    </row>
    <row r="2094" customFormat="false" ht="15" hidden="false" customHeight="false" outlineLevel="0" collapsed="false">
      <c r="A2094" s="0" t="n">
        <v>2</v>
      </c>
      <c r="B2094" s="0" t="n">
        <v>7</v>
      </c>
      <c r="C2094" s="0" t="n">
        <v>7</v>
      </c>
      <c r="D2094" s="0" t="n">
        <v>1</v>
      </c>
      <c r="E2094" s="0" t="n">
        <f aca="false">-1+A2094*0.25</f>
        <v>-0.5</v>
      </c>
      <c r="F2094" s="0" t="n">
        <f aca="false">-1+B2094*0.25</f>
        <v>0.75</v>
      </c>
      <c r="G2094" s="0" t="n">
        <f aca="false">-1+C2094*0.25</f>
        <v>0.75</v>
      </c>
      <c r="H2094" s="0" t="n">
        <f aca="false">-1+D2094*0.25</f>
        <v>-0.75</v>
      </c>
      <c r="I2094" s="0" t="n">
        <f aca="false">1</f>
        <v>1</v>
      </c>
      <c r="J2094" s="0" t="n">
        <f aca="false">E2094</f>
        <v>-0.5</v>
      </c>
      <c r="K2094" s="0" t="n">
        <f aca="false">F2094</f>
        <v>0.75</v>
      </c>
      <c r="L2094" s="0" t="n">
        <f aca="false">G2094</f>
        <v>0.75</v>
      </c>
      <c r="M2094" s="0" t="n">
        <f aca="false">H2094</f>
        <v>-0.75</v>
      </c>
      <c r="N2094" s="0" t="n">
        <f aca="false">E2094*F2094</f>
        <v>-0.375</v>
      </c>
      <c r="O2094" s="0" t="n">
        <f aca="false">E2094*G2094</f>
        <v>-0.375</v>
      </c>
      <c r="P2094" s="0" t="n">
        <f aca="false">E2094*H2094</f>
        <v>0.375</v>
      </c>
      <c r="Q2094" s="0" t="n">
        <f aca="false">F2094*G2094</f>
        <v>0.5625</v>
      </c>
      <c r="R2094" s="0" t="n">
        <f aca="false">F2094*H2094</f>
        <v>-0.5625</v>
      </c>
      <c r="S2094" s="0" t="n">
        <f aca="false">G2094*H2094</f>
        <v>-0.5625</v>
      </c>
      <c r="T2094" s="0" t="n">
        <f aca="false">E2094*E2094</f>
        <v>0.25</v>
      </c>
      <c r="U2094" s="0" t="n">
        <f aca="false">F2094*F2094</f>
        <v>0.5625</v>
      </c>
      <c r="V2094" s="0" t="n">
        <f aca="false">G2094*G2094</f>
        <v>0.5625</v>
      </c>
      <c r="W2094" s="0" t="n">
        <f aca="false">H2094*H2094</f>
        <v>0.5625</v>
      </c>
      <c r="X2094" s="0" t="n">
        <f aca="false">SUMPRODUCT(I2094:W2094,_XtX!$B$96:$P$96)</f>
        <v>46.2143686038012</v>
      </c>
      <c r="Y2094" s="0" t="n">
        <f aca="false">SUMPRODUCT(MMULT(I2094:W2094,_XtX!$B$78:$P$92),I2094:W2094)</f>
        <v>0.265632138614766</v>
      </c>
      <c r="Z2094" s="0" t="n">
        <f aca="false">04_回帰ANOVA!$K$19*04_回帰ANOVA!$K$14*SQRT(1+Y2094)</f>
        <v>1.46639894654257</v>
      </c>
      <c r="AA2094" s="0" t="n">
        <f aca="false">X2094-Z2094</f>
        <v>44.7479696572586</v>
      </c>
      <c r="AB2094" s="0" t="n">
        <f aca="false">X2094+Z2094</f>
        <v>47.6807675503437</v>
      </c>
      <c r="AC2094" s="54" t="b">
        <f aca="false">AND(E2094&gt;=01_因子設定!$L$5-0.000000001,E2094&lt;=01_因子設定!$M$5+0.000000001,F2094&gt;=01_因子設定!$L$6-0.000000001,F2094&lt;=01_因子設定!$M$6+0.000000001,G2094&gt;=01_因子設定!$L$7-0.000000001,G2094&lt;=01_因子設定!$M$7+0.000000001,H2094&gt;=01_因子設定!$L$8-0.000000001,H2094&lt;=01_因子設定!$M$8+0.000000001,IF(01_因子設定!$B$20="Box-Behnken",E2094^2+F2094^2+G2094^2+H2094^2&lt;=2+0.000000001,TRUE()))</f>
        <v>1</v>
      </c>
      <c r="AD2094" s="55" t="n">
        <f aca="false">IF(AC2094,IF(01_因子設定!$B$13="最大化",AA2094-01_因子設定!$B$14,IF(01_因子設定!$B$13="最小化",01_因子設定!$B$15-AB2094,MIN(AA2094-01_因子設定!$B$14,01_因子設定!$B$15-AB2094))),-1E+030)</f>
        <v>-1.75203034274143</v>
      </c>
      <c r="AE2094" s="55" t="n">
        <f aca="false">IF(AC2094,IF(01_因子設定!$B$13="最大化",X2094,IF(01_因子設定!$B$13="最小化",-X2094,-ABS(X2094-01_因子設定!$B$16))),-1E+030)</f>
        <v>46.2143686038012</v>
      </c>
      <c r="AF2094" s="55" t="n">
        <f aca="false">AD2094+ROW()*0.000000001</f>
        <v>-1.75202824874143</v>
      </c>
      <c r="AG2094" s="55" t="n">
        <f aca="false">AE2094+ROW()*0.000000001</f>
        <v>46.2143706978012</v>
      </c>
    </row>
    <row r="2095" customFormat="false" ht="15" hidden="false" customHeight="false" outlineLevel="0" collapsed="false">
      <c r="A2095" s="0" t="n">
        <v>2</v>
      </c>
      <c r="B2095" s="0" t="n">
        <v>7</v>
      </c>
      <c r="C2095" s="0" t="n">
        <v>7</v>
      </c>
      <c r="D2095" s="0" t="n">
        <v>2</v>
      </c>
      <c r="E2095" s="0" t="n">
        <f aca="false">-1+A2095*0.25</f>
        <v>-0.5</v>
      </c>
      <c r="F2095" s="0" t="n">
        <f aca="false">-1+B2095*0.25</f>
        <v>0.75</v>
      </c>
      <c r="G2095" s="0" t="n">
        <f aca="false">-1+C2095*0.25</f>
        <v>0.75</v>
      </c>
      <c r="H2095" s="0" t="n">
        <f aca="false">-1+D2095*0.25</f>
        <v>-0.5</v>
      </c>
      <c r="I2095" s="0" t="n">
        <f aca="false">1</f>
        <v>1</v>
      </c>
      <c r="J2095" s="0" t="n">
        <f aca="false">E2095</f>
        <v>-0.5</v>
      </c>
      <c r="K2095" s="0" t="n">
        <f aca="false">F2095</f>
        <v>0.75</v>
      </c>
      <c r="L2095" s="0" t="n">
        <f aca="false">G2095</f>
        <v>0.75</v>
      </c>
      <c r="M2095" s="0" t="n">
        <f aca="false">H2095</f>
        <v>-0.5</v>
      </c>
      <c r="N2095" s="0" t="n">
        <f aca="false">E2095*F2095</f>
        <v>-0.375</v>
      </c>
      <c r="O2095" s="0" t="n">
        <f aca="false">E2095*G2095</f>
        <v>-0.375</v>
      </c>
      <c r="P2095" s="0" t="n">
        <f aca="false">E2095*H2095</f>
        <v>0.25</v>
      </c>
      <c r="Q2095" s="0" t="n">
        <f aca="false">F2095*G2095</f>
        <v>0.5625</v>
      </c>
      <c r="R2095" s="0" t="n">
        <f aca="false">F2095*H2095</f>
        <v>-0.375</v>
      </c>
      <c r="S2095" s="0" t="n">
        <f aca="false">G2095*H2095</f>
        <v>-0.375</v>
      </c>
      <c r="T2095" s="0" t="n">
        <f aca="false">E2095*E2095</f>
        <v>0.25</v>
      </c>
      <c r="U2095" s="0" t="n">
        <f aca="false">F2095*F2095</f>
        <v>0.5625</v>
      </c>
      <c r="V2095" s="0" t="n">
        <f aca="false">G2095*G2095</f>
        <v>0.5625</v>
      </c>
      <c r="W2095" s="0" t="n">
        <f aca="false">H2095*H2095</f>
        <v>0.25</v>
      </c>
      <c r="X2095" s="0" t="n">
        <f aca="false">SUMPRODUCT(I2095:W2095,_XtX!$B$96:$P$96)</f>
        <v>46.4337125365497</v>
      </c>
      <c r="Y2095" s="0" t="n">
        <f aca="false">SUMPRODUCT(MMULT(I2095:W2095,_XtX!$B$78:$P$92),I2095:W2095)</f>
        <v>0.237862927174708</v>
      </c>
      <c r="Z2095" s="0" t="n">
        <f aca="false">04_回帰ANOVA!$K$19*04_回帰ANOVA!$K$14*SQRT(1+Y2095)</f>
        <v>1.45022260708756</v>
      </c>
      <c r="AA2095" s="0" t="n">
        <f aca="false">X2095-Z2095</f>
        <v>44.9834899294621</v>
      </c>
      <c r="AB2095" s="0" t="n">
        <f aca="false">X2095+Z2095</f>
        <v>47.8839351436372</v>
      </c>
      <c r="AC2095" s="54" t="b">
        <f aca="false">AND(E2095&gt;=01_因子設定!$L$5-0.000000001,E2095&lt;=01_因子設定!$M$5+0.000000001,F2095&gt;=01_因子設定!$L$6-0.000000001,F2095&lt;=01_因子設定!$M$6+0.000000001,G2095&gt;=01_因子設定!$L$7-0.000000001,G2095&lt;=01_因子設定!$M$7+0.000000001,H2095&gt;=01_因子設定!$L$8-0.000000001,H2095&lt;=01_因子設定!$M$8+0.000000001,IF(01_因子設定!$B$20="Box-Behnken",E2095^2+F2095^2+G2095^2+H2095^2&lt;=2+0.000000001,TRUE()))</f>
        <v>1</v>
      </c>
      <c r="AD2095" s="55" t="n">
        <f aca="false">IF(AC2095,IF(01_因子設定!$B$13="最大化",AA2095-01_因子設定!$B$14,IF(01_因子設定!$B$13="最小化",01_因子設定!$B$15-AB2095,MIN(AA2095-01_因子設定!$B$14,01_因子設定!$B$15-AB2095))),-1E+030)</f>
        <v>-1.51651007053788</v>
      </c>
      <c r="AE2095" s="55" t="n">
        <f aca="false">IF(AC2095,IF(01_因子設定!$B$13="最大化",X2095,IF(01_因子設定!$B$13="最小化",-X2095,-ABS(X2095-01_因子設定!$B$16))),-1E+030)</f>
        <v>46.4337125365497</v>
      </c>
      <c r="AF2095" s="55" t="n">
        <f aca="false">AD2095+ROW()*0.000000001</f>
        <v>-1.51650797553788</v>
      </c>
      <c r="AG2095" s="55" t="n">
        <f aca="false">AE2095+ROW()*0.000000001</f>
        <v>46.4337146315497</v>
      </c>
    </row>
    <row r="2096" customFormat="false" ht="15" hidden="false" customHeight="false" outlineLevel="0" collapsed="false">
      <c r="A2096" s="0" t="n">
        <v>2</v>
      </c>
      <c r="B2096" s="0" t="n">
        <v>7</v>
      </c>
      <c r="C2096" s="0" t="n">
        <v>7</v>
      </c>
      <c r="D2096" s="0" t="n">
        <v>3</v>
      </c>
      <c r="E2096" s="0" t="n">
        <f aca="false">-1+A2096*0.25</f>
        <v>-0.5</v>
      </c>
      <c r="F2096" s="0" t="n">
        <f aca="false">-1+B2096*0.25</f>
        <v>0.75</v>
      </c>
      <c r="G2096" s="0" t="n">
        <f aca="false">-1+C2096*0.25</f>
        <v>0.75</v>
      </c>
      <c r="H2096" s="0" t="n">
        <f aca="false">-1+D2096*0.25</f>
        <v>-0.25</v>
      </c>
      <c r="I2096" s="0" t="n">
        <f aca="false">1</f>
        <v>1</v>
      </c>
      <c r="J2096" s="0" t="n">
        <f aca="false">E2096</f>
        <v>-0.5</v>
      </c>
      <c r="K2096" s="0" t="n">
        <f aca="false">F2096</f>
        <v>0.75</v>
      </c>
      <c r="L2096" s="0" t="n">
        <f aca="false">G2096</f>
        <v>0.75</v>
      </c>
      <c r="M2096" s="0" t="n">
        <f aca="false">H2096</f>
        <v>-0.25</v>
      </c>
      <c r="N2096" s="0" t="n">
        <f aca="false">E2096*F2096</f>
        <v>-0.375</v>
      </c>
      <c r="O2096" s="0" t="n">
        <f aca="false">E2096*G2096</f>
        <v>-0.375</v>
      </c>
      <c r="P2096" s="0" t="n">
        <f aca="false">E2096*H2096</f>
        <v>0.125</v>
      </c>
      <c r="Q2096" s="0" t="n">
        <f aca="false">F2096*G2096</f>
        <v>0.5625</v>
      </c>
      <c r="R2096" s="0" t="n">
        <f aca="false">F2096*H2096</f>
        <v>-0.1875</v>
      </c>
      <c r="S2096" s="0" t="n">
        <f aca="false">G2096*H2096</f>
        <v>-0.1875</v>
      </c>
      <c r="T2096" s="0" t="n">
        <f aca="false">E2096*E2096</f>
        <v>0.25</v>
      </c>
      <c r="U2096" s="0" t="n">
        <f aca="false">F2096*F2096</f>
        <v>0.5625</v>
      </c>
      <c r="V2096" s="0" t="n">
        <f aca="false">G2096*G2096</f>
        <v>0.5625</v>
      </c>
      <c r="W2096" s="0" t="n">
        <f aca="false">H2096*H2096</f>
        <v>0.0625</v>
      </c>
      <c r="X2096" s="0" t="n">
        <f aca="false">SUMPRODUCT(I2096:W2096,_XtX!$B$96:$P$96)</f>
        <v>46.6052494517544</v>
      </c>
      <c r="Y2096" s="0" t="n">
        <f aca="false">SUMPRODUCT(MMULT(I2096:W2096,_XtX!$B$78:$P$92),I2096:W2096)</f>
        <v>0.257385610836988</v>
      </c>
      <c r="Z2096" s="0" t="n">
        <f aca="false">04_回帰ANOVA!$K$19*04_回帰ANOVA!$K$14*SQRT(1+Y2096)</f>
        <v>1.46161380324158</v>
      </c>
      <c r="AA2096" s="0" t="n">
        <f aca="false">X2096-Z2096</f>
        <v>45.1436356485128</v>
      </c>
      <c r="AB2096" s="0" t="n">
        <f aca="false">X2096+Z2096</f>
        <v>48.0668632549959</v>
      </c>
      <c r="AC2096" s="54" t="b">
        <f aca="false">AND(E2096&gt;=01_因子設定!$L$5-0.000000001,E2096&lt;=01_因子設定!$M$5+0.000000001,F2096&gt;=01_因子設定!$L$6-0.000000001,F2096&lt;=01_因子設定!$M$6+0.000000001,G2096&gt;=01_因子設定!$L$7-0.000000001,G2096&lt;=01_因子設定!$M$7+0.000000001,H2096&gt;=01_因子設定!$L$8-0.000000001,H2096&lt;=01_因子設定!$M$8+0.000000001,IF(01_因子設定!$B$20="Box-Behnken",E2096^2+F2096^2+G2096^2+H2096^2&lt;=2+0.000000001,TRUE()))</f>
        <v>1</v>
      </c>
      <c r="AD2096" s="55" t="n">
        <f aca="false">IF(AC2096,IF(01_因子設定!$B$13="最大化",AA2096-01_因子設定!$B$14,IF(01_因子設定!$B$13="最小化",01_因子設定!$B$15-AB2096,MIN(AA2096-01_因子設定!$B$14,01_因子設定!$B$15-AB2096))),-1E+030)</f>
        <v>-1.35636435148724</v>
      </c>
      <c r="AE2096" s="55" t="n">
        <f aca="false">IF(AC2096,IF(01_因子設定!$B$13="最大化",X2096,IF(01_因子設定!$B$13="最小化",-X2096,-ABS(X2096-01_因子設定!$B$16))),-1E+030)</f>
        <v>46.6052494517544</v>
      </c>
      <c r="AF2096" s="55" t="n">
        <f aca="false">AD2096+ROW()*0.000000001</f>
        <v>-1.35636225548724</v>
      </c>
      <c r="AG2096" s="55" t="n">
        <f aca="false">AE2096+ROW()*0.000000001</f>
        <v>46.6052515477544</v>
      </c>
    </row>
    <row r="2097" customFormat="false" ht="15" hidden="false" customHeight="false" outlineLevel="0" collapsed="false">
      <c r="A2097" s="0" t="n">
        <v>2</v>
      </c>
      <c r="B2097" s="0" t="n">
        <v>7</v>
      </c>
      <c r="C2097" s="0" t="n">
        <v>7</v>
      </c>
      <c r="D2097" s="0" t="n">
        <v>4</v>
      </c>
      <c r="E2097" s="0" t="n">
        <f aca="false">-1+A2097*0.25</f>
        <v>-0.5</v>
      </c>
      <c r="F2097" s="0" t="n">
        <f aca="false">-1+B2097*0.25</f>
        <v>0.75</v>
      </c>
      <c r="G2097" s="0" t="n">
        <f aca="false">-1+C2097*0.25</f>
        <v>0.75</v>
      </c>
      <c r="H2097" s="0" t="n">
        <f aca="false">-1+D2097*0.25</f>
        <v>0</v>
      </c>
      <c r="I2097" s="0" t="n">
        <f aca="false">1</f>
        <v>1</v>
      </c>
      <c r="J2097" s="0" t="n">
        <f aca="false">E2097</f>
        <v>-0.5</v>
      </c>
      <c r="K2097" s="0" t="n">
        <f aca="false">F2097</f>
        <v>0.75</v>
      </c>
      <c r="L2097" s="0" t="n">
        <f aca="false">G2097</f>
        <v>0.75</v>
      </c>
      <c r="M2097" s="0" t="n">
        <f aca="false">H2097</f>
        <v>0</v>
      </c>
      <c r="N2097" s="0" t="n">
        <f aca="false">E2097*F2097</f>
        <v>-0.375</v>
      </c>
      <c r="O2097" s="0" t="n">
        <f aca="false">E2097*G2097</f>
        <v>-0.375</v>
      </c>
      <c r="P2097" s="0" t="n">
        <f aca="false">E2097*H2097</f>
        <v>-0</v>
      </c>
      <c r="Q2097" s="0" t="n">
        <f aca="false">F2097*G2097</f>
        <v>0.5625</v>
      </c>
      <c r="R2097" s="0" t="n">
        <f aca="false">F2097*H2097</f>
        <v>0</v>
      </c>
      <c r="S2097" s="0" t="n">
        <f aca="false">G2097*H2097</f>
        <v>0</v>
      </c>
      <c r="T2097" s="0" t="n">
        <f aca="false">E2097*E2097</f>
        <v>0.25</v>
      </c>
      <c r="U2097" s="0" t="n">
        <f aca="false">F2097*F2097</f>
        <v>0.5625</v>
      </c>
      <c r="V2097" s="0" t="n">
        <f aca="false">G2097*G2097</f>
        <v>0.5625</v>
      </c>
      <c r="W2097" s="0" t="n">
        <f aca="false">H2097*H2097</f>
        <v>0</v>
      </c>
      <c r="X2097" s="0" t="n">
        <f aca="false">SUMPRODUCT(I2097:W2097,_XtX!$B$96:$P$96)</f>
        <v>46.7289793494152</v>
      </c>
      <c r="Y2097" s="0" t="n">
        <f aca="false">SUMPRODUCT(MMULT(I2097:W2097,_XtX!$B$78:$P$92),I2097:W2097)</f>
        <v>0.269923873812135</v>
      </c>
      <c r="Z2097" s="0" t="n">
        <f aca="false">04_回帰ANOVA!$K$19*04_回帰ANOVA!$K$14*SQRT(1+Y2097)</f>
        <v>1.46888310825501</v>
      </c>
      <c r="AA2097" s="0" t="n">
        <f aca="false">X2097-Z2097</f>
        <v>45.2600962411602</v>
      </c>
      <c r="AB2097" s="0" t="n">
        <f aca="false">X2097+Z2097</f>
        <v>48.1978624576702</v>
      </c>
      <c r="AC2097" s="54" t="b">
        <f aca="false">AND(E2097&gt;=01_因子設定!$L$5-0.000000001,E2097&lt;=01_因子設定!$M$5+0.000000001,F2097&gt;=01_因子設定!$L$6-0.000000001,F2097&lt;=01_因子設定!$M$6+0.000000001,G2097&gt;=01_因子設定!$L$7-0.000000001,G2097&lt;=01_因子設定!$M$7+0.000000001,H2097&gt;=01_因子設定!$L$8-0.000000001,H2097&lt;=01_因子設定!$M$8+0.000000001,IF(01_因子設定!$B$20="Box-Behnken",E2097^2+F2097^2+G2097^2+H2097^2&lt;=2+0.000000001,TRUE()))</f>
        <v>1</v>
      </c>
      <c r="AD2097" s="55" t="n">
        <f aca="false">IF(AC2097,IF(01_因子設定!$B$13="最大化",AA2097-01_因子設定!$B$14,IF(01_因子設定!$B$13="最小化",01_因子設定!$B$15-AB2097,MIN(AA2097-01_因子設定!$B$14,01_因子設定!$B$15-AB2097))),-1E+030)</f>
        <v>-1.23990375883984</v>
      </c>
      <c r="AE2097" s="55" t="n">
        <f aca="false">IF(AC2097,IF(01_因子設定!$B$13="最大化",X2097,IF(01_因子設定!$B$13="最小化",-X2097,-ABS(X2097-01_因子設定!$B$16))),-1E+030)</f>
        <v>46.7289793494152</v>
      </c>
      <c r="AF2097" s="55" t="n">
        <f aca="false">AD2097+ROW()*0.000000001</f>
        <v>-1.23990166183984</v>
      </c>
      <c r="AG2097" s="55" t="n">
        <f aca="false">AE2097+ROW()*0.000000001</f>
        <v>46.7289814464152</v>
      </c>
    </row>
    <row r="2098" customFormat="false" ht="15" hidden="false" customHeight="false" outlineLevel="0" collapsed="false">
      <c r="A2098" s="0" t="n">
        <v>2</v>
      </c>
      <c r="B2098" s="0" t="n">
        <v>7</v>
      </c>
      <c r="C2098" s="0" t="n">
        <v>7</v>
      </c>
      <c r="D2098" s="0" t="n">
        <v>5</v>
      </c>
      <c r="E2098" s="0" t="n">
        <f aca="false">-1+A2098*0.25</f>
        <v>-0.5</v>
      </c>
      <c r="F2098" s="0" t="n">
        <f aca="false">-1+B2098*0.25</f>
        <v>0.75</v>
      </c>
      <c r="G2098" s="0" t="n">
        <f aca="false">-1+C2098*0.25</f>
        <v>0.75</v>
      </c>
      <c r="H2098" s="0" t="n">
        <f aca="false">-1+D2098*0.25</f>
        <v>0.25</v>
      </c>
      <c r="I2098" s="0" t="n">
        <f aca="false">1</f>
        <v>1</v>
      </c>
      <c r="J2098" s="0" t="n">
        <f aca="false">E2098</f>
        <v>-0.5</v>
      </c>
      <c r="K2098" s="0" t="n">
        <f aca="false">F2098</f>
        <v>0.75</v>
      </c>
      <c r="L2098" s="0" t="n">
        <f aca="false">G2098</f>
        <v>0.75</v>
      </c>
      <c r="M2098" s="0" t="n">
        <f aca="false">H2098</f>
        <v>0.25</v>
      </c>
      <c r="N2098" s="0" t="n">
        <f aca="false">E2098*F2098</f>
        <v>-0.375</v>
      </c>
      <c r="O2098" s="0" t="n">
        <f aca="false">E2098*G2098</f>
        <v>-0.375</v>
      </c>
      <c r="P2098" s="0" t="n">
        <f aca="false">E2098*H2098</f>
        <v>-0.125</v>
      </c>
      <c r="Q2098" s="0" t="n">
        <f aca="false">F2098*G2098</f>
        <v>0.5625</v>
      </c>
      <c r="R2098" s="0" t="n">
        <f aca="false">F2098*H2098</f>
        <v>0.1875</v>
      </c>
      <c r="S2098" s="0" t="n">
        <f aca="false">G2098*H2098</f>
        <v>0.1875</v>
      </c>
      <c r="T2098" s="0" t="n">
        <f aca="false">E2098*E2098</f>
        <v>0.25</v>
      </c>
      <c r="U2098" s="0" t="n">
        <f aca="false">F2098*F2098</f>
        <v>0.5625</v>
      </c>
      <c r="V2098" s="0" t="n">
        <f aca="false">G2098*G2098</f>
        <v>0.5625</v>
      </c>
      <c r="W2098" s="0" t="n">
        <f aca="false">H2098*H2098</f>
        <v>0.0625</v>
      </c>
      <c r="X2098" s="0" t="n">
        <f aca="false">SUMPRODUCT(I2098:W2098,_XtX!$B$96:$P$96)</f>
        <v>46.8049022295321</v>
      </c>
      <c r="Y2098" s="0" t="n">
        <f aca="false">SUMPRODUCT(MMULT(I2098:W2098,_XtX!$B$78:$P$92),I2098:W2098)</f>
        <v>0.257385610836988</v>
      </c>
      <c r="Z2098" s="0" t="n">
        <f aca="false">04_回帰ANOVA!$K$19*04_回帰ANOVA!$K$14*SQRT(1+Y2098)</f>
        <v>1.46161380324158</v>
      </c>
      <c r="AA2098" s="0" t="n">
        <f aca="false">X2098-Z2098</f>
        <v>45.3432884262905</v>
      </c>
      <c r="AB2098" s="0" t="n">
        <f aca="false">X2098+Z2098</f>
        <v>48.2665160327737</v>
      </c>
      <c r="AC2098" s="54" t="b">
        <f aca="false">AND(E2098&gt;=01_因子設定!$L$5-0.000000001,E2098&lt;=01_因子設定!$M$5+0.000000001,F2098&gt;=01_因子設定!$L$6-0.000000001,F2098&lt;=01_因子設定!$M$6+0.000000001,G2098&gt;=01_因子設定!$L$7-0.000000001,G2098&lt;=01_因子設定!$M$7+0.000000001,H2098&gt;=01_因子設定!$L$8-0.000000001,H2098&lt;=01_因子設定!$M$8+0.000000001,IF(01_因子設定!$B$20="Box-Behnken",E2098^2+F2098^2+G2098^2+H2098^2&lt;=2+0.000000001,TRUE()))</f>
        <v>1</v>
      </c>
      <c r="AD2098" s="55" t="n">
        <f aca="false">IF(AC2098,IF(01_因子設定!$B$13="最大化",AA2098-01_因子設定!$B$14,IF(01_因子設定!$B$13="最小化",01_因子設定!$B$15-AB2098,MIN(AA2098-01_因子設定!$B$14,01_因子設定!$B$15-AB2098))),-1E+030)</f>
        <v>-1.15671157370946</v>
      </c>
      <c r="AE2098" s="55" t="n">
        <f aca="false">IF(AC2098,IF(01_因子設定!$B$13="最大化",X2098,IF(01_因子設定!$B$13="最小化",-X2098,-ABS(X2098-01_因子設定!$B$16))),-1E+030)</f>
        <v>46.8049022295321</v>
      </c>
      <c r="AF2098" s="55" t="n">
        <f aca="false">AD2098+ROW()*0.000000001</f>
        <v>-1.15670947570946</v>
      </c>
      <c r="AG2098" s="55" t="n">
        <f aca="false">AE2098+ROW()*0.000000001</f>
        <v>46.8049043275321</v>
      </c>
    </row>
    <row r="2099" customFormat="false" ht="15" hidden="false" customHeight="false" outlineLevel="0" collapsed="false">
      <c r="A2099" s="0" t="n">
        <v>2</v>
      </c>
      <c r="B2099" s="0" t="n">
        <v>7</v>
      </c>
      <c r="C2099" s="0" t="n">
        <v>7</v>
      </c>
      <c r="D2099" s="0" t="n">
        <v>6</v>
      </c>
      <c r="E2099" s="0" t="n">
        <f aca="false">-1+A2099*0.25</f>
        <v>-0.5</v>
      </c>
      <c r="F2099" s="0" t="n">
        <f aca="false">-1+B2099*0.25</f>
        <v>0.75</v>
      </c>
      <c r="G2099" s="0" t="n">
        <f aca="false">-1+C2099*0.25</f>
        <v>0.75</v>
      </c>
      <c r="H2099" s="0" t="n">
        <f aca="false">-1+D2099*0.25</f>
        <v>0.5</v>
      </c>
      <c r="I2099" s="0" t="n">
        <f aca="false">1</f>
        <v>1</v>
      </c>
      <c r="J2099" s="0" t="n">
        <f aca="false">E2099</f>
        <v>-0.5</v>
      </c>
      <c r="K2099" s="0" t="n">
        <f aca="false">F2099</f>
        <v>0.75</v>
      </c>
      <c r="L2099" s="0" t="n">
        <f aca="false">G2099</f>
        <v>0.75</v>
      </c>
      <c r="M2099" s="0" t="n">
        <f aca="false">H2099</f>
        <v>0.5</v>
      </c>
      <c r="N2099" s="0" t="n">
        <f aca="false">E2099*F2099</f>
        <v>-0.375</v>
      </c>
      <c r="O2099" s="0" t="n">
        <f aca="false">E2099*G2099</f>
        <v>-0.375</v>
      </c>
      <c r="P2099" s="0" t="n">
        <f aca="false">E2099*H2099</f>
        <v>-0.25</v>
      </c>
      <c r="Q2099" s="0" t="n">
        <f aca="false">F2099*G2099</f>
        <v>0.5625</v>
      </c>
      <c r="R2099" s="0" t="n">
        <f aca="false">F2099*H2099</f>
        <v>0.375</v>
      </c>
      <c r="S2099" s="0" t="n">
        <f aca="false">G2099*H2099</f>
        <v>0.375</v>
      </c>
      <c r="T2099" s="0" t="n">
        <f aca="false">E2099*E2099</f>
        <v>0.25</v>
      </c>
      <c r="U2099" s="0" t="n">
        <f aca="false">F2099*F2099</f>
        <v>0.5625</v>
      </c>
      <c r="V2099" s="0" t="n">
        <f aca="false">G2099*G2099</f>
        <v>0.5625</v>
      </c>
      <c r="W2099" s="0" t="n">
        <f aca="false">H2099*H2099</f>
        <v>0.25</v>
      </c>
      <c r="X2099" s="0" t="n">
        <f aca="false">SUMPRODUCT(I2099:W2099,_XtX!$B$96:$P$96)</f>
        <v>46.8330180921052</v>
      </c>
      <c r="Y2099" s="0" t="n">
        <f aca="false">SUMPRODUCT(MMULT(I2099:W2099,_XtX!$B$78:$P$92),I2099:W2099)</f>
        <v>0.237862927174708</v>
      </c>
      <c r="Z2099" s="0" t="n">
        <f aca="false">04_回帰ANOVA!$K$19*04_回帰ANOVA!$K$14*SQRT(1+Y2099)</f>
        <v>1.45022260708756</v>
      </c>
      <c r="AA2099" s="0" t="n">
        <f aca="false">X2099-Z2099</f>
        <v>45.3827954850177</v>
      </c>
      <c r="AB2099" s="0" t="n">
        <f aca="false">X2099+Z2099</f>
        <v>48.2832406991928</v>
      </c>
      <c r="AC2099" s="54" t="b">
        <f aca="false">AND(E2099&gt;=01_因子設定!$L$5-0.000000001,E2099&lt;=01_因子設定!$M$5+0.000000001,F2099&gt;=01_因子設定!$L$6-0.000000001,F2099&lt;=01_因子設定!$M$6+0.000000001,G2099&gt;=01_因子設定!$L$7-0.000000001,G2099&lt;=01_因子設定!$M$7+0.000000001,H2099&gt;=01_因子設定!$L$8-0.000000001,H2099&lt;=01_因子設定!$M$8+0.000000001,IF(01_因子設定!$B$20="Box-Behnken",E2099^2+F2099^2+G2099^2+H2099^2&lt;=2+0.000000001,TRUE()))</f>
        <v>1</v>
      </c>
      <c r="AD2099" s="55" t="n">
        <f aca="false">IF(AC2099,IF(01_因子設定!$B$13="最大化",AA2099-01_因子設定!$B$14,IF(01_因子設定!$B$13="最小化",01_因子設定!$B$15-AB2099,MIN(AA2099-01_因子設定!$B$14,01_因子設定!$B$15-AB2099))),-1E+030)</f>
        <v>-1.11720451498233</v>
      </c>
      <c r="AE2099" s="55" t="n">
        <f aca="false">IF(AC2099,IF(01_因子設定!$B$13="最大化",X2099,IF(01_因子設定!$B$13="最小化",-X2099,-ABS(X2099-01_因子設定!$B$16))),-1E+030)</f>
        <v>46.8330180921052</v>
      </c>
      <c r="AF2099" s="55" t="n">
        <f aca="false">AD2099+ROW()*0.000000001</f>
        <v>-1.11720241598233</v>
      </c>
      <c r="AG2099" s="55" t="n">
        <f aca="false">AE2099+ROW()*0.000000001</f>
        <v>46.8330201911052</v>
      </c>
    </row>
    <row r="2100" customFormat="false" ht="15" hidden="false" customHeight="false" outlineLevel="0" collapsed="false">
      <c r="A2100" s="0" t="n">
        <v>2</v>
      </c>
      <c r="B2100" s="0" t="n">
        <v>7</v>
      </c>
      <c r="C2100" s="0" t="n">
        <v>7</v>
      </c>
      <c r="D2100" s="0" t="n">
        <v>7</v>
      </c>
      <c r="E2100" s="0" t="n">
        <f aca="false">-1+A2100*0.25</f>
        <v>-0.5</v>
      </c>
      <c r="F2100" s="0" t="n">
        <f aca="false">-1+B2100*0.25</f>
        <v>0.75</v>
      </c>
      <c r="G2100" s="0" t="n">
        <f aca="false">-1+C2100*0.25</f>
        <v>0.75</v>
      </c>
      <c r="H2100" s="0" t="n">
        <f aca="false">-1+D2100*0.25</f>
        <v>0.75</v>
      </c>
      <c r="I2100" s="0" t="n">
        <f aca="false">1</f>
        <v>1</v>
      </c>
      <c r="J2100" s="0" t="n">
        <f aca="false">E2100</f>
        <v>-0.5</v>
      </c>
      <c r="K2100" s="0" t="n">
        <f aca="false">F2100</f>
        <v>0.75</v>
      </c>
      <c r="L2100" s="0" t="n">
        <f aca="false">G2100</f>
        <v>0.75</v>
      </c>
      <c r="M2100" s="0" t="n">
        <f aca="false">H2100</f>
        <v>0.75</v>
      </c>
      <c r="N2100" s="0" t="n">
        <f aca="false">E2100*F2100</f>
        <v>-0.375</v>
      </c>
      <c r="O2100" s="0" t="n">
        <f aca="false">E2100*G2100</f>
        <v>-0.375</v>
      </c>
      <c r="P2100" s="0" t="n">
        <f aca="false">E2100*H2100</f>
        <v>-0.375</v>
      </c>
      <c r="Q2100" s="0" t="n">
        <f aca="false">F2100*G2100</f>
        <v>0.5625</v>
      </c>
      <c r="R2100" s="0" t="n">
        <f aca="false">F2100*H2100</f>
        <v>0.5625</v>
      </c>
      <c r="S2100" s="0" t="n">
        <f aca="false">G2100*H2100</f>
        <v>0.5625</v>
      </c>
      <c r="T2100" s="0" t="n">
        <f aca="false">E2100*E2100</f>
        <v>0.25</v>
      </c>
      <c r="U2100" s="0" t="n">
        <f aca="false">F2100*F2100</f>
        <v>0.5625</v>
      </c>
      <c r="V2100" s="0" t="n">
        <f aca="false">G2100*G2100</f>
        <v>0.5625</v>
      </c>
      <c r="W2100" s="0" t="n">
        <f aca="false">H2100*H2100</f>
        <v>0.5625</v>
      </c>
      <c r="X2100" s="0" t="n">
        <f aca="false">SUMPRODUCT(I2100:W2100,_XtX!$B$96:$P$96)</f>
        <v>46.8133269371345</v>
      </c>
      <c r="Y2100" s="0" t="n">
        <f aca="false">SUMPRODUCT(MMULT(I2100:W2100,_XtX!$B$78:$P$92),I2100:W2100)</f>
        <v>0.265632138614766</v>
      </c>
      <c r="Z2100" s="0" t="n">
        <f aca="false">04_回帰ANOVA!$K$19*04_回帰ANOVA!$K$14*SQRT(1+Y2100)</f>
        <v>1.46639894654257</v>
      </c>
      <c r="AA2100" s="0" t="n">
        <f aca="false">X2100-Z2100</f>
        <v>45.3469279905919</v>
      </c>
      <c r="AB2100" s="0" t="n">
        <f aca="false">X2100+Z2100</f>
        <v>48.2797258836771</v>
      </c>
      <c r="AC2100" s="54" t="b">
        <f aca="false">AND(E2100&gt;=01_因子設定!$L$5-0.000000001,E2100&lt;=01_因子設定!$M$5+0.000000001,F2100&gt;=01_因子設定!$L$6-0.000000001,F2100&lt;=01_因子設定!$M$6+0.000000001,G2100&gt;=01_因子設定!$L$7-0.000000001,G2100&lt;=01_因子設定!$M$7+0.000000001,H2100&gt;=01_因子設定!$L$8-0.000000001,H2100&lt;=01_因子設定!$M$8+0.000000001,IF(01_因子設定!$B$20="Box-Behnken",E2100^2+F2100^2+G2100^2+H2100^2&lt;=2+0.000000001,TRUE()))</f>
        <v>1</v>
      </c>
      <c r="AD2100" s="55" t="n">
        <f aca="false">IF(AC2100,IF(01_因子設定!$B$13="最大化",AA2100-01_因子設定!$B$14,IF(01_因子設定!$B$13="最小化",01_因子設定!$B$15-AB2100,MIN(AA2100-01_因子設定!$B$14,01_因子設定!$B$15-AB2100))),-1E+030)</f>
        <v>-1.15307200940809</v>
      </c>
      <c r="AE2100" s="55" t="n">
        <f aca="false">IF(AC2100,IF(01_因子設定!$B$13="最大化",X2100,IF(01_因子設定!$B$13="最小化",-X2100,-ABS(X2100-01_因子設定!$B$16))),-1E+030)</f>
        <v>46.8133269371345</v>
      </c>
      <c r="AF2100" s="55" t="n">
        <f aca="false">AD2100+ROW()*0.000000001</f>
        <v>-1.15306990940809</v>
      </c>
      <c r="AG2100" s="55" t="n">
        <f aca="false">AE2100+ROW()*0.000000001</f>
        <v>46.8133290371345</v>
      </c>
    </row>
    <row r="2101" customFormat="false" ht="15" hidden="false" customHeight="false" outlineLevel="0" collapsed="false">
      <c r="A2101" s="0" t="n">
        <v>2</v>
      </c>
      <c r="B2101" s="0" t="n">
        <v>7</v>
      </c>
      <c r="C2101" s="0" t="n">
        <v>7</v>
      </c>
      <c r="D2101" s="0" t="n">
        <v>8</v>
      </c>
      <c r="E2101" s="0" t="n">
        <f aca="false">-1+A2101*0.25</f>
        <v>-0.5</v>
      </c>
      <c r="F2101" s="0" t="n">
        <f aca="false">-1+B2101*0.25</f>
        <v>0.75</v>
      </c>
      <c r="G2101" s="0" t="n">
        <f aca="false">-1+C2101*0.25</f>
        <v>0.75</v>
      </c>
      <c r="H2101" s="0" t="n">
        <f aca="false">-1+D2101*0.25</f>
        <v>1</v>
      </c>
      <c r="I2101" s="0" t="n">
        <f aca="false">1</f>
        <v>1</v>
      </c>
      <c r="J2101" s="0" t="n">
        <f aca="false">E2101</f>
        <v>-0.5</v>
      </c>
      <c r="K2101" s="0" t="n">
        <f aca="false">F2101</f>
        <v>0.75</v>
      </c>
      <c r="L2101" s="0" t="n">
        <f aca="false">G2101</f>
        <v>0.75</v>
      </c>
      <c r="M2101" s="0" t="n">
        <f aca="false">H2101</f>
        <v>1</v>
      </c>
      <c r="N2101" s="0" t="n">
        <f aca="false">E2101*F2101</f>
        <v>-0.375</v>
      </c>
      <c r="O2101" s="0" t="n">
        <f aca="false">E2101*G2101</f>
        <v>-0.375</v>
      </c>
      <c r="P2101" s="0" t="n">
        <f aca="false">E2101*H2101</f>
        <v>-0.5</v>
      </c>
      <c r="Q2101" s="0" t="n">
        <f aca="false">F2101*G2101</f>
        <v>0.5625</v>
      </c>
      <c r="R2101" s="0" t="n">
        <f aca="false">F2101*H2101</f>
        <v>0.75</v>
      </c>
      <c r="S2101" s="0" t="n">
        <f aca="false">G2101*H2101</f>
        <v>0.75</v>
      </c>
      <c r="T2101" s="0" t="n">
        <f aca="false">E2101*E2101</f>
        <v>0.25</v>
      </c>
      <c r="U2101" s="0" t="n">
        <f aca="false">F2101*F2101</f>
        <v>0.5625</v>
      </c>
      <c r="V2101" s="0" t="n">
        <f aca="false">G2101*G2101</f>
        <v>0.5625</v>
      </c>
      <c r="W2101" s="0" t="n">
        <f aca="false">H2101*H2101</f>
        <v>1</v>
      </c>
      <c r="X2101" s="0" t="n">
        <f aca="false">SUMPRODUCT(I2101:W2101,_XtX!$B$96:$P$96)</f>
        <v>46.7458287646199</v>
      </c>
      <c r="Y2101" s="0" t="n">
        <f aca="false">SUMPRODUCT(MMULT(I2101:W2101,_XtX!$B$78:$P$92),I2101:W2101)</f>
        <v>0.431153771472953</v>
      </c>
      <c r="Z2101" s="0" t="n">
        <f aca="false">04_回帰ANOVA!$K$19*04_回帰ANOVA!$K$14*SQRT(1+Y2101)</f>
        <v>1.55934259562563</v>
      </c>
      <c r="AA2101" s="0" t="n">
        <f aca="false">X2101-Z2101</f>
        <v>45.1864861689943</v>
      </c>
      <c r="AB2101" s="0" t="n">
        <f aca="false">X2101+Z2101</f>
        <v>48.3051713602455</v>
      </c>
      <c r="AC2101" s="54" t="b">
        <f aca="false">AND(E2101&gt;=01_因子設定!$L$5-0.000000001,E2101&lt;=01_因子設定!$M$5+0.000000001,F2101&gt;=01_因子設定!$L$6-0.000000001,F2101&lt;=01_因子設定!$M$6+0.000000001,G2101&gt;=01_因子設定!$L$7-0.000000001,G2101&lt;=01_因子設定!$M$7+0.000000001,H2101&gt;=01_因子設定!$L$8-0.000000001,H2101&lt;=01_因子設定!$M$8+0.000000001,IF(01_因子設定!$B$20="Box-Behnken",E2101^2+F2101^2+G2101^2+H2101^2&lt;=2+0.000000001,TRUE()))</f>
        <v>1</v>
      </c>
      <c r="AD2101" s="55" t="n">
        <f aca="false">IF(AC2101,IF(01_因子設定!$B$13="最大化",AA2101-01_因子設定!$B$14,IF(01_因子設定!$B$13="最小化",01_因子設定!$B$15-AB2101,MIN(AA2101-01_因子設定!$B$14,01_因子設定!$B$15-AB2101))),-1E+030)</f>
        <v>-1.31351383100575</v>
      </c>
      <c r="AE2101" s="55" t="n">
        <f aca="false">IF(AC2101,IF(01_因子設定!$B$13="最大化",X2101,IF(01_因子設定!$B$13="最小化",-X2101,-ABS(X2101-01_因子設定!$B$16))),-1E+030)</f>
        <v>46.7458287646199</v>
      </c>
      <c r="AF2101" s="55" t="n">
        <f aca="false">AD2101+ROW()*0.000000001</f>
        <v>-1.31351173000575</v>
      </c>
      <c r="AG2101" s="55" t="n">
        <f aca="false">AE2101+ROW()*0.000000001</f>
        <v>46.7458308656199</v>
      </c>
    </row>
    <row r="2102" customFormat="false" ht="15" hidden="false" customHeight="false" outlineLevel="0" collapsed="false">
      <c r="A2102" s="0" t="n">
        <v>2</v>
      </c>
      <c r="B2102" s="0" t="n">
        <v>7</v>
      </c>
      <c r="C2102" s="0" t="n">
        <v>8</v>
      </c>
      <c r="D2102" s="0" t="n">
        <v>0</v>
      </c>
      <c r="E2102" s="0" t="n">
        <f aca="false">-1+A2102*0.25</f>
        <v>-0.5</v>
      </c>
      <c r="F2102" s="0" t="n">
        <f aca="false">-1+B2102*0.25</f>
        <v>0.75</v>
      </c>
      <c r="G2102" s="0" t="n">
        <f aca="false">-1+C2102*0.25</f>
        <v>1</v>
      </c>
      <c r="H2102" s="0" t="n">
        <f aca="false">-1+D2102*0.25</f>
        <v>-1</v>
      </c>
      <c r="I2102" s="0" t="n">
        <f aca="false">1</f>
        <v>1</v>
      </c>
      <c r="J2102" s="0" t="n">
        <f aca="false">E2102</f>
        <v>-0.5</v>
      </c>
      <c r="K2102" s="0" t="n">
        <f aca="false">F2102</f>
        <v>0.75</v>
      </c>
      <c r="L2102" s="0" t="n">
        <f aca="false">G2102</f>
        <v>1</v>
      </c>
      <c r="M2102" s="0" t="n">
        <f aca="false">H2102</f>
        <v>-1</v>
      </c>
      <c r="N2102" s="0" t="n">
        <f aca="false">E2102*F2102</f>
        <v>-0.375</v>
      </c>
      <c r="O2102" s="0" t="n">
        <f aca="false">E2102*G2102</f>
        <v>-0.5</v>
      </c>
      <c r="P2102" s="0" t="n">
        <f aca="false">E2102*H2102</f>
        <v>0.5</v>
      </c>
      <c r="Q2102" s="0" t="n">
        <f aca="false">F2102*G2102</f>
        <v>0.75</v>
      </c>
      <c r="R2102" s="0" t="n">
        <f aca="false">F2102*H2102</f>
        <v>-0.75</v>
      </c>
      <c r="S2102" s="0" t="n">
        <f aca="false">G2102*H2102</f>
        <v>-1</v>
      </c>
      <c r="T2102" s="0" t="n">
        <f aca="false">E2102*E2102</f>
        <v>0.25</v>
      </c>
      <c r="U2102" s="0" t="n">
        <f aca="false">F2102*F2102</f>
        <v>0.5625</v>
      </c>
      <c r="V2102" s="0" t="n">
        <f aca="false">G2102*G2102</f>
        <v>1</v>
      </c>
      <c r="W2102" s="0" t="n">
        <f aca="false">H2102*H2102</f>
        <v>1</v>
      </c>
      <c r="X2102" s="0" t="n">
        <f aca="false">SUMPRODUCT(I2102:W2102,_XtX!$B$96:$P$96)</f>
        <v>45.9624451754386</v>
      </c>
      <c r="Y2102" s="0" t="n">
        <f aca="false">SUMPRODUCT(MMULT(I2102:W2102,_XtX!$B$78:$P$92),I2102:W2102)</f>
        <v>0.564984237938597</v>
      </c>
      <c r="Z2102" s="0" t="n">
        <f aca="false">04_回帰ANOVA!$K$19*04_回帰ANOVA!$K$14*SQRT(1+Y2102)</f>
        <v>1.63062229734503</v>
      </c>
      <c r="AA2102" s="0" t="n">
        <f aca="false">X2102-Z2102</f>
        <v>44.3318228780936</v>
      </c>
      <c r="AB2102" s="0" t="n">
        <f aca="false">X2102+Z2102</f>
        <v>47.5930674727836</v>
      </c>
      <c r="AC2102" s="54" t="b">
        <f aca="false">AND(E2102&gt;=01_因子設定!$L$5-0.000000001,E2102&lt;=01_因子設定!$M$5+0.000000001,F2102&gt;=01_因子設定!$L$6-0.000000001,F2102&lt;=01_因子設定!$M$6+0.000000001,G2102&gt;=01_因子設定!$L$7-0.000000001,G2102&lt;=01_因子設定!$M$7+0.000000001,H2102&gt;=01_因子設定!$L$8-0.000000001,H2102&lt;=01_因子設定!$M$8+0.000000001,IF(01_因子設定!$B$20="Box-Behnken",E2102^2+F2102^2+G2102^2+H2102^2&lt;=2+0.000000001,TRUE()))</f>
        <v>1</v>
      </c>
      <c r="AD2102" s="55" t="n">
        <f aca="false">IF(AC2102,IF(01_因子設定!$B$13="最大化",AA2102-01_因子設定!$B$14,IF(01_因子設定!$B$13="最小化",01_因子設定!$B$15-AB2102,MIN(AA2102-01_因子設定!$B$14,01_因子設定!$B$15-AB2102))),-1E+030)</f>
        <v>-2.16817712190644</v>
      </c>
      <c r="AE2102" s="55" t="n">
        <f aca="false">IF(AC2102,IF(01_因子設定!$B$13="最大化",X2102,IF(01_因子設定!$B$13="最小化",-X2102,-ABS(X2102-01_因子設定!$B$16))),-1E+030)</f>
        <v>45.9624451754386</v>
      </c>
      <c r="AF2102" s="55" t="n">
        <f aca="false">AD2102+ROW()*0.000000001</f>
        <v>-2.16817501990644</v>
      </c>
      <c r="AG2102" s="55" t="n">
        <f aca="false">AE2102+ROW()*0.000000001</f>
        <v>45.9624472774386</v>
      </c>
    </row>
    <row r="2103" customFormat="false" ht="15" hidden="false" customHeight="false" outlineLevel="0" collapsed="false">
      <c r="A2103" s="0" t="n">
        <v>2</v>
      </c>
      <c r="B2103" s="0" t="n">
        <v>7</v>
      </c>
      <c r="C2103" s="0" t="n">
        <v>8</v>
      </c>
      <c r="D2103" s="0" t="n">
        <v>1</v>
      </c>
      <c r="E2103" s="0" t="n">
        <f aca="false">-1+A2103*0.25</f>
        <v>-0.5</v>
      </c>
      <c r="F2103" s="0" t="n">
        <f aca="false">-1+B2103*0.25</f>
        <v>0.75</v>
      </c>
      <c r="G2103" s="0" t="n">
        <f aca="false">-1+C2103*0.25</f>
        <v>1</v>
      </c>
      <c r="H2103" s="0" t="n">
        <f aca="false">-1+D2103*0.25</f>
        <v>-0.75</v>
      </c>
      <c r="I2103" s="0" t="n">
        <f aca="false">1</f>
        <v>1</v>
      </c>
      <c r="J2103" s="0" t="n">
        <f aca="false">E2103</f>
        <v>-0.5</v>
      </c>
      <c r="K2103" s="0" t="n">
        <f aca="false">F2103</f>
        <v>0.75</v>
      </c>
      <c r="L2103" s="0" t="n">
        <f aca="false">G2103</f>
        <v>1</v>
      </c>
      <c r="M2103" s="0" t="n">
        <f aca="false">H2103</f>
        <v>-0.75</v>
      </c>
      <c r="N2103" s="0" t="n">
        <f aca="false">E2103*F2103</f>
        <v>-0.375</v>
      </c>
      <c r="O2103" s="0" t="n">
        <f aca="false">E2103*G2103</f>
        <v>-0.5</v>
      </c>
      <c r="P2103" s="0" t="n">
        <f aca="false">E2103*H2103</f>
        <v>0.375</v>
      </c>
      <c r="Q2103" s="0" t="n">
        <f aca="false">F2103*G2103</f>
        <v>0.75</v>
      </c>
      <c r="R2103" s="0" t="n">
        <f aca="false">F2103*H2103</f>
        <v>-0.5625</v>
      </c>
      <c r="S2103" s="0" t="n">
        <f aca="false">G2103*H2103</f>
        <v>-0.75</v>
      </c>
      <c r="T2103" s="0" t="n">
        <f aca="false">E2103*E2103</f>
        <v>0.25</v>
      </c>
      <c r="U2103" s="0" t="n">
        <f aca="false">F2103*F2103</f>
        <v>0.5625</v>
      </c>
      <c r="V2103" s="0" t="n">
        <f aca="false">G2103*G2103</f>
        <v>1</v>
      </c>
      <c r="W2103" s="0" t="n">
        <f aca="false">H2103*H2103</f>
        <v>0.5625</v>
      </c>
      <c r="X2103" s="0" t="n">
        <f aca="false">SUMPRODUCT(I2103:W2103,_XtX!$B$96:$P$96)</f>
        <v>46.247564875731</v>
      </c>
      <c r="Y2103" s="0" t="n">
        <f aca="false">SUMPRODUCT(MMULT(I2103:W2103,_XtX!$B$78:$P$92),I2103:W2103)</f>
        <v>0.431153771472953</v>
      </c>
      <c r="Z2103" s="0" t="n">
        <f aca="false">04_回帰ANOVA!$K$19*04_回帰ANOVA!$K$14*SQRT(1+Y2103)</f>
        <v>1.55934259562563</v>
      </c>
      <c r="AA2103" s="0" t="n">
        <f aca="false">X2103-Z2103</f>
        <v>44.6882222801054</v>
      </c>
      <c r="AB2103" s="0" t="n">
        <f aca="false">X2103+Z2103</f>
        <v>47.8069074713566</v>
      </c>
      <c r="AC2103" s="54" t="b">
        <f aca="false">AND(E2103&gt;=01_因子設定!$L$5-0.000000001,E2103&lt;=01_因子設定!$M$5+0.000000001,F2103&gt;=01_因子設定!$L$6-0.000000001,F2103&lt;=01_因子設定!$M$6+0.000000001,G2103&gt;=01_因子設定!$L$7-0.000000001,G2103&lt;=01_因子設定!$M$7+0.000000001,H2103&gt;=01_因子設定!$L$8-0.000000001,H2103&lt;=01_因子設定!$M$8+0.000000001,IF(01_因子設定!$B$20="Box-Behnken",E2103^2+F2103^2+G2103^2+H2103^2&lt;=2+0.000000001,TRUE()))</f>
        <v>1</v>
      </c>
      <c r="AD2103" s="55" t="n">
        <f aca="false">IF(AC2103,IF(01_因子設定!$B$13="最大化",AA2103-01_因子設定!$B$14,IF(01_因子設定!$B$13="最小化",01_因子設定!$B$15-AB2103,MIN(AA2103-01_因子設定!$B$14,01_因子設定!$B$15-AB2103))),-1E+030)</f>
        <v>-1.81177771989465</v>
      </c>
      <c r="AE2103" s="55" t="n">
        <f aca="false">IF(AC2103,IF(01_因子設定!$B$13="最大化",X2103,IF(01_因子設定!$B$13="最小化",-X2103,-ABS(X2103-01_因子設定!$B$16))),-1E+030)</f>
        <v>46.247564875731</v>
      </c>
      <c r="AF2103" s="55" t="n">
        <f aca="false">AD2103+ROW()*0.000000001</f>
        <v>-1.81177561689465</v>
      </c>
      <c r="AG2103" s="55" t="n">
        <f aca="false">AE2103+ROW()*0.000000001</f>
        <v>46.247566978731</v>
      </c>
    </row>
    <row r="2104" customFormat="false" ht="15" hidden="false" customHeight="false" outlineLevel="0" collapsed="false">
      <c r="A2104" s="0" t="n">
        <v>2</v>
      </c>
      <c r="B2104" s="0" t="n">
        <v>7</v>
      </c>
      <c r="C2104" s="0" t="n">
        <v>8</v>
      </c>
      <c r="D2104" s="0" t="n">
        <v>2</v>
      </c>
      <c r="E2104" s="0" t="n">
        <f aca="false">-1+A2104*0.25</f>
        <v>-0.5</v>
      </c>
      <c r="F2104" s="0" t="n">
        <f aca="false">-1+B2104*0.25</f>
        <v>0.75</v>
      </c>
      <c r="G2104" s="0" t="n">
        <f aca="false">-1+C2104*0.25</f>
        <v>1</v>
      </c>
      <c r="H2104" s="0" t="n">
        <f aca="false">-1+D2104*0.25</f>
        <v>-0.5</v>
      </c>
      <c r="I2104" s="0" t="n">
        <f aca="false">1</f>
        <v>1</v>
      </c>
      <c r="J2104" s="0" t="n">
        <f aca="false">E2104</f>
        <v>-0.5</v>
      </c>
      <c r="K2104" s="0" t="n">
        <f aca="false">F2104</f>
        <v>0.75</v>
      </c>
      <c r="L2104" s="0" t="n">
        <f aca="false">G2104</f>
        <v>1</v>
      </c>
      <c r="M2104" s="0" t="n">
        <f aca="false">H2104</f>
        <v>-0.5</v>
      </c>
      <c r="N2104" s="0" t="n">
        <f aca="false">E2104*F2104</f>
        <v>-0.375</v>
      </c>
      <c r="O2104" s="0" t="n">
        <f aca="false">E2104*G2104</f>
        <v>-0.5</v>
      </c>
      <c r="P2104" s="0" t="n">
        <f aca="false">E2104*H2104</f>
        <v>0.25</v>
      </c>
      <c r="Q2104" s="0" t="n">
        <f aca="false">F2104*G2104</f>
        <v>0.75</v>
      </c>
      <c r="R2104" s="0" t="n">
        <f aca="false">F2104*H2104</f>
        <v>-0.375</v>
      </c>
      <c r="S2104" s="0" t="n">
        <f aca="false">G2104*H2104</f>
        <v>-0.5</v>
      </c>
      <c r="T2104" s="0" t="n">
        <f aca="false">E2104*E2104</f>
        <v>0.25</v>
      </c>
      <c r="U2104" s="0" t="n">
        <f aca="false">F2104*F2104</f>
        <v>0.5625</v>
      </c>
      <c r="V2104" s="0" t="n">
        <f aca="false">G2104*G2104</f>
        <v>1</v>
      </c>
      <c r="W2104" s="0" t="n">
        <f aca="false">H2104*H2104</f>
        <v>0.25</v>
      </c>
      <c r="X2104" s="0" t="n">
        <f aca="false">SUMPRODUCT(I2104:W2104,_XtX!$B$96:$P$96)</f>
        <v>46.4848775584795</v>
      </c>
      <c r="Y2104" s="0" t="n">
        <f aca="false">SUMPRODUCT(MMULT(I2104:W2104,_XtX!$B$78:$P$92),I2104:W2104)</f>
        <v>0.42602110745614</v>
      </c>
      <c r="Z2104" s="0" t="n">
        <f aca="false">04_回帰ANOVA!$K$19*04_回帰ANOVA!$K$14*SQRT(1+Y2104)</f>
        <v>1.55654388501114</v>
      </c>
      <c r="AA2104" s="0" t="n">
        <f aca="false">X2104-Z2104</f>
        <v>44.9283336734684</v>
      </c>
      <c r="AB2104" s="0" t="n">
        <f aca="false">X2104+Z2104</f>
        <v>48.0414214434906</v>
      </c>
      <c r="AC2104" s="54" t="b">
        <f aca="false">AND(E2104&gt;=01_因子設定!$L$5-0.000000001,E2104&lt;=01_因子設定!$M$5+0.000000001,F2104&gt;=01_因子設定!$L$6-0.000000001,F2104&lt;=01_因子設定!$M$6+0.000000001,G2104&gt;=01_因子設定!$L$7-0.000000001,G2104&lt;=01_因子設定!$M$7+0.000000001,H2104&gt;=01_因子設定!$L$8-0.000000001,H2104&lt;=01_因子設定!$M$8+0.000000001,IF(01_因子設定!$B$20="Box-Behnken",E2104^2+F2104^2+G2104^2+H2104^2&lt;=2+0.000000001,TRUE()))</f>
        <v>1</v>
      </c>
      <c r="AD2104" s="55" t="n">
        <f aca="false">IF(AC2104,IF(01_因子設定!$B$13="最大化",AA2104-01_因子設定!$B$14,IF(01_因子設定!$B$13="最小化",01_因子設定!$B$15-AB2104,MIN(AA2104-01_因子設定!$B$14,01_因子設定!$B$15-AB2104))),-1E+030)</f>
        <v>-1.57166632653163</v>
      </c>
      <c r="AE2104" s="55" t="n">
        <f aca="false">IF(AC2104,IF(01_因子設定!$B$13="最大化",X2104,IF(01_因子設定!$B$13="最小化",-X2104,-ABS(X2104-01_因子設定!$B$16))),-1E+030)</f>
        <v>46.4848775584795</v>
      </c>
      <c r="AF2104" s="55" t="n">
        <f aca="false">AD2104+ROW()*0.000000001</f>
        <v>-1.57166422253163</v>
      </c>
      <c r="AG2104" s="55" t="n">
        <f aca="false">AE2104+ROW()*0.000000001</f>
        <v>46.4848796624795</v>
      </c>
    </row>
    <row r="2105" customFormat="false" ht="15" hidden="false" customHeight="false" outlineLevel="0" collapsed="false">
      <c r="A2105" s="0" t="n">
        <v>2</v>
      </c>
      <c r="B2105" s="0" t="n">
        <v>7</v>
      </c>
      <c r="C2105" s="0" t="n">
        <v>8</v>
      </c>
      <c r="D2105" s="0" t="n">
        <v>3</v>
      </c>
      <c r="E2105" s="0" t="n">
        <f aca="false">-1+A2105*0.25</f>
        <v>-0.5</v>
      </c>
      <c r="F2105" s="0" t="n">
        <f aca="false">-1+B2105*0.25</f>
        <v>0.75</v>
      </c>
      <c r="G2105" s="0" t="n">
        <f aca="false">-1+C2105*0.25</f>
        <v>1</v>
      </c>
      <c r="H2105" s="0" t="n">
        <f aca="false">-1+D2105*0.25</f>
        <v>-0.25</v>
      </c>
      <c r="I2105" s="0" t="n">
        <f aca="false">1</f>
        <v>1</v>
      </c>
      <c r="J2105" s="0" t="n">
        <f aca="false">E2105</f>
        <v>-0.5</v>
      </c>
      <c r="K2105" s="0" t="n">
        <f aca="false">F2105</f>
        <v>0.75</v>
      </c>
      <c r="L2105" s="0" t="n">
        <f aca="false">G2105</f>
        <v>1</v>
      </c>
      <c r="M2105" s="0" t="n">
        <f aca="false">H2105</f>
        <v>-0.25</v>
      </c>
      <c r="N2105" s="0" t="n">
        <f aca="false">E2105*F2105</f>
        <v>-0.375</v>
      </c>
      <c r="O2105" s="0" t="n">
        <f aca="false">E2105*G2105</f>
        <v>-0.5</v>
      </c>
      <c r="P2105" s="0" t="n">
        <f aca="false">E2105*H2105</f>
        <v>0.125</v>
      </c>
      <c r="Q2105" s="0" t="n">
        <f aca="false">F2105*G2105</f>
        <v>0.75</v>
      </c>
      <c r="R2105" s="0" t="n">
        <f aca="false">F2105*H2105</f>
        <v>-0.1875</v>
      </c>
      <c r="S2105" s="0" t="n">
        <f aca="false">G2105*H2105</f>
        <v>-0.25</v>
      </c>
      <c r="T2105" s="0" t="n">
        <f aca="false">E2105*E2105</f>
        <v>0.25</v>
      </c>
      <c r="U2105" s="0" t="n">
        <f aca="false">F2105*F2105</f>
        <v>0.5625</v>
      </c>
      <c r="V2105" s="0" t="n">
        <f aca="false">G2105*G2105</f>
        <v>1</v>
      </c>
      <c r="W2105" s="0" t="n">
        <f aca="false">H2105*H2105</f>
        <v>0.0625</v>
      </c>
      <c r="X2105" s="0" t="n">
        <f aca="false">SUMPRODUCT(I2105:W2105,_XtX!$B$96:$P$96)</f>
        <v>46.6743832236842</v>
      </c>
      <c r="Y2105" s="0" t="n">
        <f aca="false">SUMPRODUCT(MMULT(I2105:W2105,_XtX!$B$78:$P$92),I2105:W2105)</f>
        <v>0.459125719572369</v>
      </c>
      <c r="Z2105" s="0" t="n">
        <f aca="false">04_回帰ANOVA!$K$19*04_回帰ANOVA!$K$14*SQRT(1+Y2105)</f>
        <v>1.57450755575573</v>
      </c>
      <c r="AA2105" s="0" t="n">
        <f aca="false">X2105-Z2105</f>
        <v>45.0998756679284</v>
      </c>
      <c r="AB2105" s="0" t="n">
        <f aca="false">X2105+Z2105</f>
        <v>48.2488907794399</v>
      </c>
      <c r="AC2105" s="54" t="b">
        <f aca="false">AND(E2105&gt;=01_因子設定!$L$5-0.000000001,E2105&lt;=01_因子設定!$M$5+0.000000001,F2105&gt;=01_因子設定!$L$6-0.000000001,F2105&lt;=01_因子設定!$M$6+0.000000001,G2105&gt;=01_因子設定!$L$7-0.000000001,G2105&lt;=01_因子設定!$M$7+0.000000001,H2105&gt;=01_因子設定!$L$8-0.000000001,H2105&lt;=01_因子設定!$M$8+0.000000001,IF(01_因子設定!$B$20="Box-Behnken",E2105^2+F2105^2+G2105^2+H2105^2&lt;=2+0.000000001,TRUE()))</f>
        <v>1</v>
      </c>
      <c r="AD2105" s="55" t="n">
        <f aca="false">IF(AC2105,IF(01_因子設定!$B$13="最大化",AA2105-01_因子設定!$B$14,IF(01_因子設定!$B$13="最小化",01_因子設定!$B$15-AB2105,MIN(AA2105-01_因子設定!$B$14,01_因子設定!$B$15-AB2105))),-1E+030)</f>
        <v>-1.40012433207156</v>
      </c>
      <c r="AE2105" s="55" t="n">
        <f aca="false">IF(AC2105,IF(01_因子設定!$B$13="最大化",X2105,IF(01_因子設定!$B$13="最小化",-X2105,-ABS(X2105-01_因子設定!$B$16))),-1E+030)</f>
        <v>46.6743832236842</v>
      </c>
      <c r="AF2105" s="55" t="n">
        <f aca="false">AD2105+ROW()*0.000000001</f>
        <v>-1.40012222707156</v>
      </c>
      <c r="AG2105" s="55" t="n">
        <f aca="false">AE2105+ROW()*0.000000001</f>
        <v>46.6743853286842</v>
      </c>
    </row>
    <row r="2106" customFormat="false" ht="15" hidden="false" customHeight="false" outlineLevel="0" collapsed="false">
      <c r="A2106" s="0" t="n">
        <v>2</v>
      </c>
      <c r="B2106" s="0" t="n">
        <v>7</v>
      </c>
      <c r="C2106" s="0" t="n">
        <v>8</v>
      </c>
      <c r="D2106" s="0" t="n">
        <v>4</v>
      </c>
      <c r="E2106" s="0" t="n">
        <f aca="false">-1+A2106*0.25</f>
        <v>-0.5</v>
      </c>
      <c r="F2106" s="0" t="n">
        <f aca="false">-1+B2106*0.25</f>
        <v>0.75</v>
      </c>
      <c r="G2106" s="0" t="n">
        <f aca="false">-1+C2106*0.25</f>
        <v>1</v>
      </c>
      <c r="H2106" s="0" t="n">
        <f aca="false">-1+D2106*0.25</f>
        <v>0</v>
      </c>
      <c r="I2106" s="0" t="n">
        <f aca="false">1</f>
        <v>1</v>
      </c>
      <c r="J2106" s="0" t="n">
        <f aca="false">E2106</f>
        <v>-0.5</v>
      </c>
      <c r="K2106" s="0" t="n">
        <f aca="false">F2106</f>
        <v>0.75</v>
      </c>
      <c r="L2106" s="0" t="n">
        <f aca="false">G2106</f>
        <v>1</v>
      </c>
      <c r="M2106" s="0" t="n">
        <f aca="false">H2106</f>
        <v>0</v>
      </c>
      <c r="N2106" s="0" t="n">
        <f aca="false">E2106*F2106</f>
        <v>-0.375</v>
      </c>
      <c r="O2106" s="0" t="n">
        <f aca="false">E2106*G2106</f>
        <v>-0.5</v>
      </c>
      <c r="P2106" s="0" t="n">
        <f aca="false">E2106*H2106</f>
        <v>-0</v>
      </c>
      <c r="Q2106" s="0" t="n">
        <f aca="false">F2106*G2106</f>
        <v>0.75</v>
      </c>
      <c r="R2106" s="0" t="n">
        <f aca="false">F2106*H2106</f>
        <v>0</v>
      </c>
      <c r="S2106" s="0" t="n">
        <f aca="false">G2106*H2106</f>
        <v>0</v>
      </c>
      <c r="T2106" s="0" t="n">
        <f aca="false">E2106*E2106</f>
        <v>0.25</v>
      </c>
      <c r="U2106" s="0" t="n">
        <f aca="false">F2106*F2106</f>
        <v>0.5625</v>
      </c>
      <c r="V2106" s="0" t="n">
        <f aca="false">G2106*G2106</f>
        <v>1</v>
      </c>
      <c r="W2106" s="0" t="n">
        <f aca="false">H2106*H2106</f>
        <v>0</v>
      </c>
      <c r="X2106" s="0" t="n">
        <f aca="false">SUMPRODUCT(I2106:W2106,_XtX!$B$96:$P$96)</f>
        <v>46.816081871345</v>
      </c>
      <c r="Y2106" s="0" t="n">
        <f aca="false">SUMPRODUCT(MMULT(I2106:W2106,_XtX!$B$78:$P$92),I2106:W2106)</f>
        <v>0.476191292032164</v>
      </c>
      <c r="Z2106" s="0" t="n">
        <f aca="false">04_回帰ANOVA!$K$19*04_回帰ANOVA!$K$14*SQRT(1+Y2106)</f>
        <v>1.58368831471718</v>
      </c>
      <c r="AA2106" s="0" t="n">
        <f aca="false">X2106-Z2106</f>
        <v>45.2323935566278</v>
      </c>
      <c r="AB2106" s="0" t="n">
        <f aca="false">X2106+Z2106</f>
        <v>48.3997701860622</v>
      </c>
      <c r="AC2106" s="54" t="b">
        <f aca="false">AND(E2106&gt;=01_因子設定!$L$5-0.000000001,E2106&lt;=01_因子設定!$M$5+0.000000001,F2106&gt;=01_因子設定!$L$6-0.000000001,F2106&lt;=01_因子設定!$M$6+0.000000001,G2106&gt;=01_因子設定!$L$7-0.000000001,G2106&lt;=01_因子設定!$M$7+0.000000001,H2106&gt;=01_因子設定!$L$8-0.000000001,H2106&lt;=01_因子設定!$M$8+0.000000001,IF(01_因子設定!$B$20="Box-Behnken",E2106^2+F2106^2+G2106^2+H2106^2&lt;=2+0.000000001,TRUE()))</f>
        <v>1</v>
      </c>
      <c r="AD2106" s="55" t="n">
        <f aca="false">IF(AC2106,IF(01_因子設定!$B$13="最大化",AA2106-01_因子設定!$B$14,IF(01_因子設定!$B$13="最小化",01_因子設定!$B$15-AB2106,MIN(AA2106-01_因子設定!$B$14,01_因子設定!$B$15-AB2106))),-1E+030)</f>
        <v>-1.26760644337219</v>
      </c>
      <c r="AE2106" s="55" t="n">
        <f aca="false">IF(AC2106,IF(01_因子設定!$B$13="最大化",X2106,IF(01_因子設定!$B$13="最小化",-X2106,-ABS(X2106-01_因子設定!$B$16))),-1E+030)</f>
        <v>46.816081871345</v>
      </c>
      <c r="AF2106" s="55" t="n">
        <f aca="false">AD2106+ROW()*0.000000001</f>
        <v>-1.26760433737219</v>
      </c>
      <c r="AG2106" s="55" t="n">
        <f aca="false">AE2106+ROW()*0.000000001</f>
        <v>46.816083977345</v>
      </c>
    </row>
    <row r="2107" customFormat="false" ht="15" hidden="false" customHeight="false" outlineLevel="0" collapsed="false">
      <c r="A2107" s="0" t="n">
        <v>2</v>
      </c>
      <c r="B2107" s="0" t="n">
        <v>7</v>
      </c>
      <c r="C2107" s="0" t="n">
        <v>8</v>
      </c>
      <c r="D2107" s="0" t="n">
        <v>5</v>
      </c>
      <c r="E2107" s="0" t="n">
        <f aca="false">-1+A2107*0.25</f>
        <v>-0.5</v>
      </c>
      <c r="F2107" s="0" t="n">
        <f aca="false">-1+B2107*0.25</f>
        <v>0.75</v>
      </c>
      <c r="G2107" s="0" t="n">
        <f aca="false">-1+C2107*0.25</f>
        <v>1</v>
      </c>
      <c r="H2107" s="0" t="n">
        <f aca="false">-1+D2107*0.25</f>
        <v>0.25</v>
      </c>
      <c r="I2107" s="0" t="n">
        <f aca="false">1</f>
        <v>1</v>
      </c>
      <c r="J2107" s="0" t="n">
        <f aca="false">E2107</f>
        <v>-0.5</v>
      </c>
      <c r="K2107" s="0" t="n">
        <f aca="false">F2107</f>
        <v>0.75</v>
      </c>
      <c r="L2107" s="0" t="n">
        <f aca="false">G2107</f>
        <v>1</v>
      </c>
      <c r="M2107" s="0" t="n">
        <f aca="false">H2107</f>
        <v>0.25</v>
      </c>
      <c r="N2107" s="0" t="n">
        <f aca="false">E2107*F2107</f>
        <v>-0.375</v>
      </c>
      <c r="O2107" s="0" t="n">
        <f aca="false">E2107*G2107</f>
        <v>-0.5</v>
      </c>
      <c r="P2107" s="0" t="n">
        <f aca="false">E2107*H2107</f>
        <v>-0.125</v>
      </c>
      <c r="Q2107" s="0" t="n">
        <f aca="false">F2107*G2107</f>
        <v>0.75</v>
      </c>
      <c r="R2107" s="0" t="n">
        <f aca="false">F2107*H2107</f>
        <v>0.1875</v>
      </c>
      <c r="S2107" s="0" t="n">
        <f aca="false">G2107*H2107</f>
        <v>0.25</v>
      </c>
      <c r="T2107" s="0" t="n">
        <f aca="false">E2107*E2107</f>
        <v>0.25</v>
      </c>
      <c r="U2107" s="0" t="n">
        <f aca="false">F2107*F2107</f>
        <v>0.5625</v>
      </c>
      <c r="V2107" s="0" t="n">
        <f aca="false">G2107*G2107</f>
        <v>1</v>
      </c>
      <c r="W2107" s="0" t="n">
        <f aca="false">H2107*H2107</f>
        <v>0.0625</v>
      </c>
      <c r="X2107" s="0" t="n">
        <f aca="false">SUMPRODUCT(I2107:W2107,_XtX!$B$96:$P$96)</f>
        <v>46.909973501462</v>
      </c>
      <c r="Y2107" s="0" t="n">
        <f aca="false">SUMPRODUCT(MMULT(I2107:W2107,_XtX!$B$78:$P$92),I2107:W2107)</f>
        <v>0.459125719572369</v>
      </c>
      <c r="Z2107" s="0" t="n">
        <f aca="false">04_回帰ANOVA!$K$19*04_回帰ANOVA!$K$14*SQRT(1+Y2107)</f>
        <v>1.57450755575573</v>
      </c>
      <c r="AA2107" s="0" t="n">
        <f aca="false">X2107-Z2107</f>
        <v>45.3354659457062</v>
      </c>
      <c r="AB2107" s="0" t="n">
        <f aca="false">X2107+Z2107</f>
        <v>48.4844810572177</v>
      </c>
      <c r="AC2107" s="54" t="b">
        <f aca="false">AND(E2107&gt;=01_因子設定!$L$5-0.000000001,E2107&lt;=01_因子設定!$M$5+0.000000001,F2107&gt;=01_因子設定!$L$6-0.000000001,F2107&lt;=01_因子設定!$M$6+0.000000001,G2107&gt;=01_因子設定!$L$7-0.000000001,G2107&lt;=01_因子設定!$M$7+0.000000001,H2107&gt;=01_因子設定!$L$8-0.000000001,H2107&lt;=01_因子設定!$M$8+0.000000001,IF(01_因子設定!$B$20="Box-Behnken",E2107^2+F2107^2+G2107^2+H2107^2&lt;=2+0.000000001,TRUE()))</f>
        <v>1</v>
      </c>
      <c r="AD2107" s="55" t="n">
        <f aca="false">IF(AC2107,IF(01_因子設定!$B$13="最大化",AA2107-01_因子設定!$B$14,IF(01_因子設定!$B$13="最小化",01_因子設定!$B$15-AB2107,MIN(AA2107-01_因子設定!$B$14,01_因子設定!$B$15-AB2107))),-1E+030)</f>
        <v>-1.16453405429378</v>
      </c>
      <c r="AE2107" s="55" t="n">
        <f aca="false">IF(AC2107,IF(01_因子設定!$B$13="最大化",X2107,IF(01_因子設定!$B$13="最小化",-X2107,-ABS(X2107-01_因子設定!$B$16))),-1E+030)</f>
        <v>46.909973501462</v>
      </c>
      <c r="AF2107" s="55" t="n">
        <f aca="false">AD2107+ROW()*0.000000001</f>
        <v>-1.16453194729378</v>
      </c>
      <c r="AG2107" s="55" t="n">
        <f aca="false">AE2107+ROW()*0.000000001</f>
        <v>46.909975608462</v>
      </c>
    </row>
    <row r="2108" customFormat="false" ht="15" hidden="false" customHeight="false" outlineLevel="0" collapsed="false">
      <c r="A2108" s="0" t="n">
        <v>2</v>
      </c>
      <c r="B2108" s="0" t="n">
        <v>7</v>
      </c>
      <c r="C2108" s="0" t="n">
        <v>8</v>
      </c>
      <c r="D2108" s="0" t="n">
        <v>6</v>
      </c>
      <c r="E2108" s="0" t="n">
        <f aca="false">-1+A2108*0.25</f>
        <v>-0.5</v>
      </c>
      <c r="F2108" s="0" t="n">
        <f aca="false">-1+B2108*0.25</f>
        <v>0.75</v>
      </c>
      <c r="G2108" s="0" t="n">
        <f aca="false">-1+C2108*0.25</f>
        <v>1</v>
      </c>
      <c r="H2108" s="0" t="n">
        <f aca="false">-1+D2108*0.25</f>
        <v>0.5</v>
      </c>
      <c r="I2108" s="0" t="n">
        <f aca="false">1</f>
        <v>1</v>
      </c>
      <c r="J2108" s="0" t="n">
        <f aca="false">E2108</f>
        <v>-0.5</v>
      </c>
      <c r="K2108" s="0" t="n">
        <f aca="false">F2108</f>
        <v>0.75</v>
      </c>
      <c r="L2108" s="0" t="n">
        <f aca="false">G2108</f>
        <v>1</v>
      </c>
      <c r="M2108" s="0" t="n">
        <f aca="false">H2108</f>
        <v>0.5</v>
      </c>
      <c r="N2108" s="0" t="n">
        <f aca="false">E2108*F2108</f>
        <v>-0.375</v>
      </c>
      <c r="O2108" s="0" t="n">
        <f aca="false">E2108*G2108</f>
        <v>-0.5</v>
      </c>
      <c r="P2108" s="0" t="n">
        <f aca="false">E2108*H2108</f>
        <v>-0.25</v>
      </c>
      <c r="Q2108" s="0" t="n">
        <f aca="false">F2108*G2108</f>
        <v>0.75</v>
      </c>
      <c r="R2108" s="0" t="n">
        <f aca="false">F2108*H2108</f>
        <v>0.375</v>
      </c>
      <c r="S2108" s="0" t="n">
        <f aca="false">G2108*H2108</f>
        <v>0.5</v>
      </c>
      <c r="T2108" s="0" t="n">
        <f aca="false">E2108*E2108</f>
        <v>0.25</v>
      </c>
      <c r="U2108" s="0" t="n">
        <f aca="false">F2108*F2108</f>
        <v>0.5625</v>
      </c>
      <c r="V2108" s="0" t="n">
        <f aca="false">G2108*G2108</f>
        <v>1</v>
      </c>
      <c r="W2108" s="0" t="n">
        <f aca="false">H2108*H2108</f>
        <v>0.25</v>
      </c>
      <c r="X2108" s="0" t="n">
        <f aca="false">SUMPRODUCT(I2108:W2108,_XtX!$B$96:$P$96)</f>
        <v>46.9560581140351</v>
      </c>
      <c r="Y2108" s="0" t="n">
        <f aca="false">SUMPRODUCT(MMULT(I2108:W2108,_XtX!$B$78:$P$92),I2108:W2108)</f>
        <v>0.42602110745614</v>
      </c>
      <c r="Z2108" s="0" t="n">
        <f aca="false">04_回帰ANOVA!$K$19*04_回帰ANOVA!$K$14*SQRT(1+Y2108)</f>
        <v>1.55654388501114</v>
      </c>
      <c r="AA2108" s="0" t="n">
        <f aca="false">X2108-Z2108</f>
        <v>45.3995142290239</v>
      </c>
      <c r="AB2108" s="0" t="n">
        <f aca="false">X2108+Z2108</f>
        <v>48.5126019990462</v>
      </c>
      <c r="AC2108" s="54" t="b">
        <f aca="false">AND(E2108&gt;=01_因子設定!$L$5-0.000000001,E2108&lt;=01_因子設定!$M$5+0.000000001,F2108&gt;=01_因子設定!$L$6-0.000000001,F2108&lt;=01_因子設定!$M$6+0.000000001,G2108&gt;=01_因子設定!$L$7-0.000000001,G2108&lt;=01_因子設定!$M$7+0.000000001,H2108&gt;=01_因子設定!$L$8-0.000000001,H2108&lt;=01_因子設定!$M$8+0.000000001,IF(01_因子設定!$B$20="Box-Behnken",E2108^2+F2108^2+G2108^2+H2108^2&lt;=2+0.000000001,TRUE()))</f>
        <v>1</v>
      </c>
      <c r="AD2108" s="55" t="n">
        <f aca="false">IF(AC2108,IF(01_因子設定!$B$13="最大化",AA2108-01_因子設定!$B$14,IF(01_因子設定!$B$13="最小化",01_因子設定!$B$15-AB2108,MIN(AA2108-01_因子設定!$B$14,01_因子設定!$B$15-AB2108))),-1E+030)</f>
        <v>-1.10048577097608</v>
      </c>
      <c r="AE2108" s="55" t="n">
        <f aca="false">IF(AC2108,IF(01_因子設定!$B$13="最大化",X2108,IF(01_因子設定!$B$13="最小化",-X2108,-ABS(X2108-01_因子設定!$B$16))),-1E+030)</f>
        <v>46.9560581140351</v>
      </c>
      <c r="AF2108" s="55" t="n">
        <f aca="false">AD2108+ROW()*0.000000001</f>
        <v>-1.10048366297608</v>
      </c>
      <c r="AG2108" s="55" t="n">
        <f aca="false">AE2108+ROW()*0.000000001</f>
        <v>46.9560602220351</v>
      </c>
    </row>
    <row r="2109" customFormat="false" ht="15" hidden="false" customHeight="false" outlineLevel="0" collapsed="false">
      <c r="A2109" s="0" t="n">
        <v>2</v>
      </c>
      <c r="B2109" s="0" t="n">
        <v>7</v>
      </c>
      <c r="C2109" s="0" t="n">
        <v>8</v>
      </c>
      <c r="D2109" s="0" t="n">
        <v>7</v>
      </c>
      <c r="E2109" s="0" t="n">
        <f aca="false">-1+A2109*0.25</f>
        <v>-0.5</v>
      </c>
      <c r="F2109" s="0" t="n">
        <f aca="false">-1+B2109*0.25</f>
        <v>0.75</v>
      </c>
      <c r="G2109" s="0" t="n">
        <f aca="false">-1+C2109*0.25</f>
        <v>1</v>
      </c>
      <c r="H2109" s="0" t="n">
        <f aca="false">-1+D2109*0.25</f>
        <v>0.75</v>
      </c>
      <c r="I2109" s="0" t="n">
        <f aca="false">1</f>
        <v>1</v>
      </c>
      <c r="J2109" s="0" t="n">
        <f aca="false">E2109</f>
        <v>-0.5</v>
      </c>
      <c r="K2109" s="0" t="n">
        <f aca="false">F2109</f>
        <v>0.75</v>
      </c>
      <c r="L2109" s="0" t="n">
        <f aca="false">G2109</f>
        <v>1</v>
      </c>
      <c r="M2109" s="0" t="n">
        <f aca="false">H2109</f>
        <v>0.75</v>
      </c>
      <c r="N2109" s="0" t="n">
        <f aca="false">E2109*F2109</f>
        <v>-0.375</v>
      </c>
      <c r="O2109" s="0" t="n">
        <f aca="false">E2109*G2109</f>
        <v>-0.5</v>
      </c>
      <c r="P2109" s="0" t="n">
        <f aca="false">E2109*H2109</f>
        <v>-0.375</v>
      </c>
      <c r="Q2109" s="0" t="n">
        <f aca="false">F2109*G2109</f>
        <v>0.75</v>
      </c>
      <c r="R2109" s="0" t="n">
        <f aca="false">F2109*H2109</f>
        <v>0.5625</v>
      </c>
      <c r="S2109" s="0" t="n">
        <f aca="false">G2109*H2109</f>
        <v>0.75</v>
      </c>
      <c r="T2109" s="0" t="n">
        <f aca="false">E2109*E2109</f>
        <v>0.25</v>
      </c>
      <c r="U2109" s="0" t="n">
        <f aca="false">F2109*F2109</f>
        <v>0.5625</v>
      </c>
      <c r="V2109" s="0" t="n">
        <f aca="false">G2109*G2109</f>
        <v>1</v>
      </c>
      <c r="W2109" s="0" t="n">
        <f aca="false">H2109*H2109</f>
        <v>0.5625</v>
      </c>
      <c r="X2109" s="0" t="n">
        <f aca="false">SUMPRODUCT(I2109:W2109,_XtX!$B$96:$P$96)</f>
        <v>46.9543357090643</v>
      </c>
      <c r="Y2109" s="0" t="n">
        <f aca="false">SUMPRODUCT(MMULT(I2109:W2109,_XtX!$B$78:$P$92),I2109:W2109)</f>
        <v>0.431153771472953</v>
      </c>
      <c r="Z2109" s="0" t="n">
        <f aca="false">04_回帰ANOVA!$K$19*04_回帰ANOVA!$K$14*SQRT(1+Y2109)</f>
        <v>1.55934259562563</v>
      </c>
      <c r="AA2109" s="0" t="n">
        <f aca="false">X2109-Z2109</f>
        <v>45.3949931134387</v>
      </c>
      <c r="AB2109" s="0" t="n">
        <f aca="false">X2109+Z2109</f>
        <v>48.5136783046899</v>
      </c>
      <c r="AC2109" s="54" t="b">
        <f aca="false">AND(E2109&gt;=01_因子設定!$L$5-0.000000001,E2109&lt;=01_因子設定!$M$5+0.000000001,F2109&gt;=01_因子設定!$L$6-0.000000001,F2109&lt;=01_因子設定!$M$6+0.000000001,G2109&gt;=01_因子設定!$L$7-0.000000001,G2109&lt;=01_因子設定!$M$7+0.000000001,H2109&gt;=01_因子設定!$L$8-0.000000001,H2109&lt;=01_因子設定!$M$8+0.000000001,IF(01_因子設定!$B$20="Box-Behnken",E2109^2+F2109^2+G2109^2+H2109^2&lt;=2+0.000000001,TRUE()))</f>
        <v>1</v>
      </c>
      <c r="AD2109" s="55" t="n">
        <f aca="false">IF(AC2109,IF(01_因子設定!$B$13="最大化",AA2109-01_因子設定!$B$14,IF(01_因子設定!$B$13="最小化",01_因子設定!$B$15-AB2109,MIN(AA2109-01_因子設定!$B$14,01_因子設定!$B$15-AB2109))),-1E+030)</f>
        <v>-1.10500688656132</v>
      </c>
      <c r="AE2109" s="55" t="n">
        <f aca="false">IF(AC2109,IF(01_因子設定!$B$13="最大化",X2109,IF(01_因子設定!$B$13="最小化",-X2109,-ABS(X2109-01_因子設定!$B$16))),-1E+030)</f>
        <v>46.9543357090643</v>
      </c>
      <c r="AF2109" s="55" t="n">
        <f aca="false">AD2109+ROW()*0.000000001</f>
        <v>-1.10500477756132</v>
      </c>
      <c r="AG2109" s="55" t="n">
        <f aca="false">AE2109+ROW()*0.000000001</f>
        <v>46.9543378180643</v>
      </c>
    </row>
    <row r="2110" customFormat="false" ht="15" hidden="false" customHeight="false" outlineLevel="0" collapsed="false">
      <c r="A2110" s="0" t="n">
        <v>2</v>
      </c>
      <c r="B2110" s="0" t="n">
        <v>7</v>
      </c>
      <c r="C2110" s="0" t="n">
        <v>8</v>
      </c>
      <c r="D2110" s="0" t="n">
        <v>8</v>
      </c>
      <c r="E2110" s="0" t="n">
        <f aca="false">-1+A2110*0.25</f>
        <v>-0.5</v>
      </c>
      <c r="F2110" s="0" t="n">
        <f aca="false">-1+B2110*0.25</f>
        <v>0.75</v>
      </c>
      <c r="G2110" s="0" t="n">
        <f aca="false">-1+C2110*0.25</f>
        <v>1</v>
      </c>
      <c r="H2110" s="0" t="n">
        <f aca="false">-1+D2110*0.25</f>
        <v>1</v>
      </c>
      <c r="I2110" s="0" t="n">
        <f aca="false">1</f>
        <v>1</v>
      </c>
      <c r="J2110" s="0" t="n">
        <f aca="false">E2110</f>
        <v>-0.5</v>
      </c>
      <c r="K2110" s="0" t="n">
        <f aca="false">F2110</f>
        <v>0.75</v>
      </c>
      <c r="L2110" s="0" t="n">
        <f aca="false">G2110</f>
        <v>1</v>
      </c>
      <c r="M2110" s="0" t="n">
        <f aca="false">H2110</f>
        <v>1</v>
      </c>
      <c r="N2110" s="0" t="n">
        <f aca="false">E2110*F2110</f>
        <v>-0.375</v>
      </c>
      <c r="O2110" s="0" t="n">
        <f aca="false">E2110*G2110</f>
        <v>-0.5</v>
      </c>
      <c r="P2110" s="0" t="n">
        <f aca="false">E2110*H2110</f>
        <v>-0.5</v>
      </c>
      <c r="Q2110" s="0" t="n">
        <f aca="false">F2110*G2110</f>
        <v>0.75</v>
      </c>
      <c r="R2110" s="0" t="n">
        <f aca="false">F2110*H2110</f>
        <v>0.75</v>
      </c>
      <c r="S2110" s="0" t="n">
        <f aca="false">G2110*H2110</f>
        <v>1</v>
      </c>
      <c r="T2110" s="0" t="n">
        <f aca="false">E2110*E2110</f>
        <v>0.25</v>
      </c>
      <c r="U2110" s="0" t="n">
        <f aca="false">F2110*F2110</f>
        <v>0.5625</v>
      </c>
      <c r="V2110" s="0" t="n">
        <f aca="false">G2110*G2110</f>
        <v>1</v>
      </c>
      <c r="W2110" s="0" t="n">
        <f aca="false">H2110*H2110</f>
        <v>1</v>
      </c>
      <c r="X2110" s="0" t="n">
        <f aca="false">SUMPRODUCT(I2110:W2110,_XtX!$B$96:$P$96)</f>
        <v>46.9048062865497</v>
      </c>
      <c r="Y2110" s="0" t="n">
        <f aca="false">SUMPRODUCT(MMULT(I2110:W2110,_XtX!$B$78:$P$92),I2110:W2110)</f>
        <v>0.564984237938597</v>
      </c>
      <c r="Z2110" s="0" t="n">
        <f aca="false">04_回帰ANOVA!$K$19*04_回帰ANOVA!$K$14*SQRT(1+Y2110)</f>
        <v>1.63062229734503</v>
      </c>
      <c r="AA2110" s="0" t="n">
        <f aca="false">X2110-Z2110</f>
        <v>45.2741839892047</v>
      </c>
      <c r="AB2110" s="0" t="n">
        <f aca="false">X2110+Z2110</f>
        <v>48.5354285838947</v>
      </c>
      <c r="AC2110" s="54" t="b">
        <f aca="false">AND(E2110&gt;=01_因子設定!$L$5-0.000000001,E2110&lt;=01_因子設定!$M$5+0.000000001,F2110&gt;=01_因子設定!$L$6-0.000000001,F2110&lt;=01_因子設定!$M$6+0.000000001,G2110&gt;=01_因子設定!$L$7-0.000000001,G2110&lt;=01_因子設定!$M$7+0.000000001,H2110&gt;=01_因子設定!$L$8-0.000000001,H2110&lt;=01_因子設定!$M$8+0.000000001,IF(01_因子設定!$B$20="Box-Behnken",E2110^2+F2110^2+G2110^2+H2110^2&lt;=2+0.000000001,TRUE()))</f>
        <v>1</v>
      </c>
      <c r="AD2110" s="55" t="n">
        <f aca="false">IF(AC2110,IF(01_因子設定!$B$13="最大化",AA2110-01_因子設定!$B$14,IF(01_因子設定!$B$13="最小化",01_因子設定!$B$15-AB2110,MIN(AA2110-01_因子設定!$B$14,01_因子設定!$B$15-AB2110))),-1E+030)</f>
        <v>-1.22581601079533</v>
      </c>
      <c r="AE2110" s="55" t="n">
        <f aca="false">IF(AC2110,IF(01_因子設定!$B$13="最大化",X2110,IF(01_因子設定!$B$13="最小化",-X2110,-ABS(X2110-01_因子設定!$B$16))),-1E+030)</f>
        <v>46.9048062865497</v>
      </c>
      <c r="AF2110" s="55" t="n">
        <f aca="false">AD2110+ROW()*0.000000001</f>
        <v>-1.22581390079533</v>
      </c>
      <c r="AG2110" s="55" t="n">
        <f aca="false">AE2110+ROW()*0.000000001</f>
        <v>46.9048083965497</v>
      </c>
    </row>
    <row r="2111" customFormat="false" ht="15" hidden="false" customHeight="false" outlineLevel="0" collapsed="false">
      <c r="A2111" s="0" t="n">
        <v>2</v>
      </c>
      <c r="B2111" s="0" t="n">
        <v>8</v>
      </c>
      <c r="C2111" s="0" t="n">
        <v>0</v>
      </c>
      <c r="D2111" s="0" t="n">
        <v>0</v>
      </c>
      <c r="E2111" s="0" t="n">
        <f aca="false">-1+A2111*0.25</f>
        <v>-0.5</v>
      </c>
      <c r="F2111" s="0" t="n">
        <f aca="false">-1+B2111*0.25</f>
        <v>1</v>
      </c>
      <c r="G2111" s="0" t="n">
        <f aca="false">-1+C2111*0.25</f>
        <v>-1</v>
      </c>
      <c r="H2111" s="0" t="n">
        <f aca="false">-1+D2111*0.25</f>
        <v>-1</v>
      </c>
      <c r="I2111" s="0" t="n">
        <f aca="false">1</f>
        <v>1</v>
      </c>
      <c r="J2111" s="0" t="n">
        <f aca="false">E2111</f>
        <v>-0.5</v>
      </c>
      <c r="K2111" s="0" t="n">
        <f aca="false">F2111</f>
        <v>1</v>
      </c>
      <c r="L2111" s="0" t="n">
        <f aca="false">G2111</f>
        <v>-1</v>
      </c>
      <c r="M2111" s="0" t="n">
        <f aca="false">H2111</f>
        <v>-1</v>
      </c>
      <c r="N2111" s="0" t="n">
        <f aca="false">E2111*F2111</f>
        <v>-0.5</v>
      </c>
      <c r="O2111" s="0" t="n">
        <f aca="false">E2111*G2111</f>
        <v>0.5</v>
      </c>
      <c r="P2111" s="0" t="n">
        <f aca="false">E2111*H2111</f>
        <v>0.5</v>
      </c>
      <c r="Q2111" s="0" t="n">
        <f aca="false">F2111*G2111</f>
        <v>-1</v>
      </c>
      <c r="R2111" s="0" t="n">
        <f aca="false">F2111*H2111</f>
        <v>-1</v>
      </c>
      <c r="S2111" s="0" t="n">
        <f aca="false">G2111*H2111</f>
        <v>1</v>
      </c>
      <c r="T2111" s="0" t="n">
        <f aca="false">E2111*E2111</f>
        <v>0.25</v>
      </c>
      <c r="U2111" s="0" t="n">
        <f aca="false">F2111*F2111</f>
        <v>1</v>
      </c>
      <c r="V2111" s="0" t="n">
        <f aca="false">G2111*G2111</f>
        <v>1</v>
      </c>
      <c r="W2111" s="0" t="n">
        <f aca="false">H2111*H2111</f>
        <v>1</v>
      </c>
      <c r="X2111" s="0" t="n">
        <f aca="false">SUMPRODUCT(I2111:W2111,_XtX!$B$96:$P$96)</f>
        <v>42.6801900584795</v>
      </c>
      <c r="Y2111" s="0" t="n">
        <f aca="false">SUMPRODUCT(MMULT(I2111:W2111,_XtX!$B$78:$P$92),I2111:W2111)</f>
        <v>0.667123538011696</v>
      </c>
      <c r="Z2111" s="0" t="n">
        <f aca="false">04_回帰ANOVA!$K$19*04_回帰ANOVA!$K$14*SQRT(1+Y2111)</f>
        <v>1.68299290213005</v>
      </c>
      <c r="AA2111" s="0" t="n">
        <f aca="false">X2111-Z2111</f>
        <v>40.9971971563495</v>
      </c>
      <c r="AB2111" s="0" t="n">
        <f aca="false">X2111+Z2111</f>
        <v>44.3631829606096</v>
      </c>
      <c r="AC2111" s="54" t="b">
        <f aca="false">AND(E2111&gt;=01_因子設定!$L$5-0.000000001,E2111&lt;=01_因子設定!$M$5+0.000000001,F2111&gt;=01_因子設定!$L$6-0.000000001,F2111&lt;=01_因子設定!$M$6+0.000000001,G2111&gt;=01_因子設定!$L$7-0.000000001,G2111&lt;=01_因子設定!$M$7+0.000000001,H2111&gt;=01_因子設定!$L$8-0.000000001,H2111&lt;=01_因子設定!$M$8+0.000000001,IF(01_因子設定!$B$20="Box-Behnken",E2111^2+F2111^2+G2111^2+H2111^2&lt;=2+0.000000001,TRUE()))</f>
        <v>1</v>
      </c>
      <c r="AD2111" s="55" t="n">
        <f aca="false">IF(AC2111,IF(01_因子設定!$B$13="最大化",AA2111-01_因子設定!$B$14,IF(01_因子設定!$B$13="最小化",01_因子設定!$B$15-AB2111,MIN(AA2111-01_因子設定!$B$14,01_因子設定!$B$15-AB2111))),-1E+030)</f>
        <v>-5.50280284365052</v>
      </c>
      <c r="AE2111" s="55" t="n">
        <f aca="false">IF(AC2111,IF(01_因子設定!$B$13="最大化",X2111,IF(01_因子設定!$B$13="最小化",-X2111,-ABS(X2111-01_因子設定!$B$16))),-1E+030)</f>
        <v>42.6801900584795</v>
      </c>
      <c r="AF2111" s="55" t="n">
        <f aca="false">AD2111+ROW()*0.000000001</f>
        <v>-5.50280073265052</v>
      </c>
      <c r="AG2111" s="55" t="n">
        <f aca="false">AE2111+ROW()*0.000000001</f>
        <v>42.6801921694795</v>
      </c>
    </row>
    <row r="2112" customFormat="false" ht="15" hidden="false" customHeight="false" outlineLevel="0" collapsed="false">
      <c r="A2112" s="0" t="n">
        <v>2</v>
      </c>
      <c r="B2112" s="0" t="n">
        <v>8</v>
      </c>
      <c r="C2112" s="0" t="n">
        <v>0</v>
      </c>
      <c r="D2112" s="0" t="n">
        <v>1</v>
      </c>
      <c r="E2112" s="0" t="n">
        <f aca="false">-1+A2112*0.25</f>
        <v>-0.5</v>
      </c>
      <c r="F2112" s="0" t="n">
        <f aca="false">-1+B2112*0.25</f>
        <v>1</v>
      </c>
      <c r="G2112" s="0" t="n">
        <f aca="false">-1+C2112*0.25</f>
        <v>-1</v>
      </c>
      <c r="H2112" s="0" t="n">
        <f aca="false">-1+D2112*0.25</f>
        <v>-0.75</v>
      </c>
      <c r="I2112" s="0" t="n">
        <f aca="false">1</f>
        <v>1</v>
      </c>
      <c r="J2112" s="0" t="n">
        <f aca="false">E2112</f>
        <v>-0.5</v>
      </c>
      <c r="K2112" s="0" t="n">
        <f aca="false">F2112</f>
        <v>1</v>
      </c>
      <c r="L2112" s="0" t="n">
        <f aca="false">G2112</f>
        <v>-1</v>
      </c>
      <c r="M2112" s="0" t="n">
        <f aca="false">H2112</f>
        <v>-0.75</v>
      </c>
      <c r="N2112" s="0" t="n">
        <f aca="false">E2112*F2112</f>
        <v>-0.5</v>
      </c>
      <c r="O2112" s="0" t="n">
        <f aca="false">E2112*G2112</f>
        <v>0.5</v>
      </c>
      <c r="P2112" s="0" t="n">
        <f aca="false">E2112*H2112</f>
        <v>0.375</v>
      </c>
      <c r="Q2112" s="0" t="n">
        <f aca="false">F2112*G2112</f>
        <v>-1</v>
      </c>
      <c r="R2112" s="0" t="n">
        <f aca="false">F2112*H2112</f>
        <v>-0.75</v>
      </c>
      <c r="S2112" s="0" t="n">
        <f aca="false">G2112*H2112</f>
        <v>0.75</v>
      </c>
      <c r="T2112" s="0" t="n">
        <f aca="false">E2112*E2112</f>
        <v>0.25</v>
      </c>
      <c r="U2112" s="0" t="n">
        <f aca="false">F2112*F2112</f>
        <v>1</v>
      </c>
      <c r="V2112" s="0" t="n">
        <f aca="false">G2112*G2112</f>
        <v>1</v>
      </c>
      <c r="W2112" s="0" t="n">
        <f aca="false">H2112*H2112</f>
        <v>0.5625</v>
      </c>
      <c r="X2112" s="0" t="n">
        <f aca="false">SUMPRODUCT(I2112:W2112,_XtX!$B$96:$P$96)</f>
        <v>42.8082785087719</v>
      </c>
      <c r="Y2112" s="0" t="n">
        <f aca="false">SUMPRODUCT(MMULT(I2112:W2112,_XtX!$B$78:$P$92),I2112:W2112)</f>
        <v>0.564984237938597</v>
      </c>
      <c r="Z2112" s="0" t="n">
        <f aca="false">04_回帰ANOVA!$K$19*04_回帰ANOVA!$K$14*SQRT(1+Y2112)</f>
        <v>1.63062229734503</v>
      </c>
      <c r="AA2112" s="0" t="n">
        <f aca="false">X2112-Z2112</f>
        <v>41.1776562114269</v>
      </c>
      <c r="AB2112" s="0" t="n">
        <f aca="false">X2112+Z2112</f>
        <v>44.438900806117</v>
      </c>
      <c r="AC2112" s="54" t="b">
        <f aca="false">AND(E2112&gt;=01_因子設定!$L$5-0.000000001,E2112&lt;=01_因子設定!$M$5+0.000000001,F2112&gt;=01_因子設定!$L$6-0.000000001,F2112&lt;=01_因子設定!$M$6+0.000000001,G2112&gt;=01_因子設定!$L$7-0.000000001,G2112&lt;=01_因子設定!$M$7+0.000000001,H2112&gt;=01_因子設定!$L$8-0.000000001,H2112&lt;=01_因子設定!$M$8+0.000000001,IF(01_因子設定!$B$20="Box-Behnken",E2112^2+F2112^2+G2112^2+H2112^2&lt;=2+0.000000001,TRUE()))</f>
        <v>1</v>
      </c>
      <c r="AD2112" s="55" t="n">
        <f aca="false">IF(AC2112,IF(01_因子設定!$B$13="最大化",AA2112-01_因子設定!$B$14,IF(01_因子設定!$B$13="最小化",01_因子設定!$B$15-AB2112,MIN(AA2112-01_因子設定!$B$14,01_因子設定!$B$15-AB2112))),-1E+030)</f>
        <v>-5.32234378857312</v>
      </c>
      <c r="AE2112" s="55" t="n">
        <f aca="false">IF(AC2112,IF(01_因子設定!$B$13="最大化",X2112,IF(01_因子設定!$B$13="最小化",-X2112,-ABS(X2112-01_因子設定!$B$16))),-1E+030)</f>
        <v>42.8082785087719</v>
      </c>
      <c r="AF2112" s="55" t="n">
        <f aca="false">AD2112+ROW()*0.000000001</f>
        <v>-5.32234167657312</v>
      </c>
      <c r="AG2112" s="55" t="n">
        <f aca="false">AE2112+ROW()*0.000000001</f>
        <v>42.8082806207719</v>
      </c>
    </row>
    <row r="2113" customFormat="false" ht="15" hidden="false" customHeight="false" outlineLevel="0" collapsed="false">
      <c r="A2113" s="0" t="n">
        <v>2</v>
      </c>
      <c r="B2113" s="0" t="n">
        <v>8</v>
      </c>
      <c r="C2113" s="0" t="n">
        <v>0</v>
      </c>
      <c r="D2113" s="0" t="n">
        <v>2</v>
      </c>
      <c r="E2113" s="0" t="n">
        <f aca="false">-1+A2113*0.25</f>
        <v>-0.5</v>
      </c>
      <c r="F2113" s="0" t="n">
        <f aca="false">-1+B2113*0.25</f>
        <v>1</v>
      </c>
      <c r="G2113" s="0" t="n">
        <f aca="false">-1+C2113*0.25</f>
        <v>-1</v>
      </c>
      <c r="H2113" s="0" t="n">
        <f aca="false">-1+D2113*0.25</f>
        <v>-0.5</v>
      </c>
      <c r="I2113" s="0" t="n">
        <f aca="false">1</f>
        <v>1</v>
      </c>
      <c r="J2113" s="0" t="n">
        <f aca="false">E2113</f>
        <v>-0.5</v>
      </c>
      <c r="K2113" s="0" t="n">
        <f aca="false">F2113</f>
        <v>1</v>
      </c>
      <c r="L2113" s="0" t="n">
        <f aca="false">G2113</f>
        <v>-1</v>
      </c>
      <c r="M2113" s="0" t="n">
        <f aca="false">H2113</f>
        <v>-0.5</v>
      </c>
      <c r="N2113" s="0" t="n">
        <f aca="false">E2113*F2113</f>
        <v>-0.5</v>
      </c>
      <c r="O2113" s="0" t="n">
        <f aca="false">E2113*G2113</f>
        <v>0.5</v>
      </c>
      <c r="P2113" s="0" t="n">
        <f aca="false">E2113*H2113</f>
        <v>0.25</v>
      </c>
      <c r="Q2113" s="0" t="n">
        <f aca="false">F2113*G2113</f>
        <v>-1</v>
      </c>
      <c r="R2113" s="0" t="n">
        <f aca="false">F2113*H2113</f>
        <v>-0.5</v>
      </c>
      <c r="S2113" s="0" t="n">
        <f aca="false">G2113*H2113</f>
        <v>0.5</v>
      </c>
      <c r="T2113" s="0" t="n">
        <f aca="false">E2113*E2113</f>
        <v>0.25</v>
      </c>
      <c r="U2113" s="0" t="n">
        <f aca="false">F2113*F2113</f>
        <v>1</v>
      </c>
      <c r="V2113" s="0" t="n">
        <f aca="false">G2113*G2113</f>
        <v>1</v>
      </c>
      <c r="W2113" s="0" t="n">
        <f aca="false">H2113*H2113</f>
        <v>0.25</v>
      </c>
      <c r="X2113" s="0" t="n">
        <f aca="false">SUMPRODUCT(I2113:W2113,_XtX!$B$96:$P$96)</f>
        <v>42.8885599415204</v>
      </c>
      <c r="Y2113" s="0" t="n">
        <f aca="false">SUMPRODUCT(MMULT(I2113:W2113,_XtX!$B$78:$P$92),I2113:W2113)</f>
        <v>0.582488121345029</v>
      </c>
      <c r="Z2113" s="0" t="n">
        <f aca="false">04_回帰ANOVA!$K$19*04_回帰ANOVA!$K$14*SQRT(1+Y2113)</f>
        <v>1.63971595338287</v>
      </c>
      <c r="AA2113" s="0" t="n">
        <f aca="false">X2113-Z2113</f>
        <v>41.2488439881376</v>
      </c>
      <c r="AB2113" s="0" t="n">
        <f aca="false">X2113+Z2113</f>
        <v>44.5282758949033</v>
      </c>
      <c r="AC2113" s="54" t="b">
        <f aca="false">AND(E2113&gt;=01_因子設定!$L$5-0.000000001,E2113&lt;=01_因子設定!$M$5+0.000000001,F2113&gt;=01_因子設定!$L$6-0.000000001,F2113&lt;=01_因子設定!$M$6+0.000000001,G2113&gt;=01_因子設定!$L$7-0.000000001,G2113&lt;=01_因子設定!$M$7+0.000000001,H2113&gt;=01_因子設定!$L$8-0.000000001,H2113&lt;=01_因子設定!$M$8+0.000000001,IF(01_因子設定!$B$20="Box-Behnken",E2113^2+F2113^2+G2113^2+H2113^2&lt;=2+0.000000001,TRUE()))</f>
        <v>1</v>
      </c>
      <c r="AD2113" s="55" t="n">
        <f aca="false">IF(AC2113,IF(01_因子設定!$B$13="最大化",AA2113-01_因子設定!$B$14,IF(01_因子設定!$B$13="最小化",01_因子設定!$B$15-AB2113,MIN(AA2113-01_因子設定!$B$14,01_因子設定!$B$15-AB2113))),-1E+030)</f>
        <v>-5.25115601186243</v>
      </c>
      <c r="AE2113" s="55" t="n">
        <f aca="false">IF(AC2113,IF(01_因子設定!$B$13="最大化",X2113,IF(01_因子設定!$B$13="最小化",-X2113,-ABS(X2113-01_因子設定!$B$16))),-1E+030)</f>
        <v>42.8885599415204</v>
      </c>
      <c r="AF2113" s="55" t="n">
        <f aca="false">AD2113+ROW()*0.000000001</f>
        <v>-5.25115389886243</v>
      </c>
      <c r="AG2113" s="55" t="n">
        <f aca="false">AE2113+ROW()*0.000000001</f>
        <v>42.8885620545204</v>
      </c>
    </row>
    <row r="2114" customFormat="false" ht="15" hidden="false" customHeight="false" outlineLevel="0" collapsed="false">
      <c r="A2114" s="0" t="n">
        <v>2</v>
      </c>
      <c r="B2114" s="0" t="n">
        <v>8</v>
      </c>
      <c r="C2114" s="0" t="n">
        <v>0</v>
      </c>
      <c r="D2114" s="0" t="n">
        <v>3</v>
      </c>
      <c r="E2114" s="0" t="n">
        <f aca="false">-1+A2114*0.25</f>
        <v>-0.5</v>
      </c>
      <c r="F2114" s="0" t="n">
        <f aca="false">-1+B2114*0.25</f>
        <v>1</v>
      </c>
      <c r="G2114" s="0" t="n">
        <f aca="false">-1+C2114*0.25</f>
        <v>-1</v>
      </c>
      <c r="H2114" s="0" t="n">
        <f aca="false">-1+D2114*0.25</f>
        <v>-0.25</v>
      </c>
      <c r="I2114" s="0" t="n">
        <f aca="false">1</f>
        <v>1</v>
      </c>
      <c r="J2114" s="0" t="n">
        <f aca="false">E2114</f>
        <v>-0.5</v>
      </c>
      <c r="K2114" s="0" t="n">
        <f aca="false">F2114</f>
        <v>1</v>
      </c>
      <c r="L2114" s="0" t="n">
        <f aca="false">G2114</f>
        <v>-1</v>
      </c>
      <c r="M2114" s="0" t="n">
        <f aca="false">H2114</f>
        <v>-0.25</v>
      </c>
      <c r="N2114" s="0" t="n">
        <f aca="false">E2114*F2114</f>
        <v>-0.5</v>
      </c>
      <c r="O2114" s="0" t="n">
        <f aca="false">E2114*G2114</f>
        <v>0.5</v>
      </c>
      <c r="P2114" s="0" t="n">
        <f aca="false">E2114*H2114</f>
        <v>0.125</v>
      </c>
      <c r="Q2114" s="0" t="n">
        <f aca="false">F2114*G2114</f>
        <v>-1</v>
      </c>
      <c r="R2114" s="0" t="n">
        <f aca="false">F2114*H2114</f>
        <v>-0.25</v>
      </c>
      <c r="S2114" s="0" t="n">
        <f aca="false">G2114*H2114</f>
        <v>0.25</v>
      </c>
      <c r="T2114" s="0" t="n">
        <f aca="false">E2114*E2114</f>
        <v>0.25</v>
      </c>
      <c r="U2114" s="0" t="n">
        <f aca="false">F2114*F2114</f>
        <v>1</v>
      </c>
      <c r="V2114" s="0" t="n">
        <f aca="false">G2114*G2114</f>
        <v>1</v>
      </c>
      <c r="W2114" s="0" t="n">
        <f aca="false">H2114*H2114</f>
        <v>0.0625</v>
      </c>
      <c r="X2114" s="0" t="n">
        <f aca="false">SUMPRODUCT(I2114:W2114,_XtX!$B$96:$P$96)</f>
        <v>42.9210343567251</v>
      </c>
      <c r="Y2114" s="0" t="n">
        <f aca="false">SUMPRODUCT(MMULT(I2114:W2114,_XtX!$B$78:$P$92),I2114:W2114)</f>
        <v>0.629174661915205</v>
      </c>
      <c r="Z2114" s="0" t="n">
        <f aca="false">04_回帰ANOVA!$K$19*04_回帰ANOVA!$K$14*SQRT(1+Y2114)</f>
        <v>1.66372758058297</v>
      </c>
      <c r="AA2114" s="0" t="n">
        <f aca="false">X2114-Z2114</f>
        <v>41.2573067761421</v>
      </c>
      <c r="AB2114" s="0" t="n">
        <f aca="false">X2114+Z2114</f>
        <v>44.5847619373081</v>
      </c>
      <c r="AC2114" s="54" t="b">
        <f aca="false">AND(E2114&gt;=01_因子設定!$L$5-0.000000001,E2114&lt;=01_因子設定!$M$5+0.000000001,F2114&gt;=01_因子設定!$L$6-0.000000001,F2114&lt;=01_因子設定!$M$6+0.000000001,G2114&gt;=01_因子設定!$L$7-0.000000001,G2114&lt;=01_因子設定!$M$7+0.000000001,H2114&gt;=01_因子設定!$L$8-0.000000001,H2114&lt;=01_因子設定!$M$8+0.000000001,IF(01_因子設定!$B$20="Box-Behnken",E2114^2+F2114^2+G2114^2+H2114^2&lt;=2+0.000000001,TRUE()))</f>
        <v>1</v>
      </c>
      <c r="AD2114" s="55" t="n">
        <f aca="false">IF(AC2114,IF(01_因子設定!$B$13="最大化",AA2114-01_因子設定!$B$14,IF(01_因子設定!$B$13="最小化",01_因子設定!$B$15-AB2114,MIN(AA2114-01_因子設定!$B$14,01_因子設定!$B$15-AB2114))),-1E+030)</f>
        <v>-5.24269322385786</v>
      </c>
      <c r="AE2114" s="55" t="n">
        <f aca="false">IF(AC2114,IF(01_因子設定!$B$13="最大化",X2114,IF(01_因子設定!$B$13="最小化",-X2114,-ABS(X2114-01_因子設定!$B$16))),-1E+030)</f>
        <v>42.9210343567251</v>
      </c>
      <c r="AF2114" s="55" t="n">
        <f aca="false">AD2114+ROW()*0.000000001</f>
        <v>-5.24269110985786</v>
      </c>
      <c r="AG2114" s="55" t="n">
        <f aca="false">AE2114+ROW()*0.000000001</f>
        <v>42.9210364707251</v>
      </c>
    </row>
    <row r="2115" customFormat="false" ht="15" hidden="false" customHeight="false" outlineLevel="0" collapsed="false">
      <c r="A2115" s="0" t="n">
        <v>2</v>
      </c>
      <c r="B2115" s="0" t="n">
        <v>8</v>
      </c>
      <c r="C2115" s="0" t="n">
        <v>0</v>
      </c>
      <c r="D2115" s="0" t="n">
        <v>4</v>
      </c>
      <c r="E2115" s="0" t="n">
        <f aca="false">-1+A2115*0.25</f>
        <v>-0.5</v>
      </c>
      <c r="F2115" s="0" t="n">
        <f aca="false">-1+B2115*0.25</f>
        <v>1</v>
      </c>
      <c r="G2115" s="0" t="n">
        <f aca="false">-1+C2115*0.25</f>
        <v>-1</v>
      </c>
      <c r="H2115" s="0" t="n">
        <f aca="false">-1+D2115*0.25</f>
        <v>0</v>
      </c>
      <c r="I2115" s="0" t="n">
        <f aca="false">1</f>
        <v>1</v>
      </c>
      <c r="J2115" s="0" t="n">
        <f aca="false">E2115</f>
        <v>-0.5</v>
      </c>
      <c r="K2115" s="0" t="n">
        <f aca="false">F2115</f>
        <v>1</v>
      </c>
      <c r="L2115" s="0" t="n">
        <f aca="false">G2115</f>
        <v>-1</v>
      </c>
      <c r="M2115" s="0" t="n">
        <f aca="false">H2115</f>
        <v>0</v>
      </c>
      <c r="N2115" s="0" t="n">
        <f aca="false">E2115*F2115</f>
        <v>-0.5</v>
      </c>
      <c r="O2115" s="0" t="n">
        <f aca="false">E2115*G2115</f>
        <v>0.5</v>
      </c>
      <c r="P2115" s="0" t="n">
        <f aca="false">E2115*H2115</f>
        <v>-0</v>
      </c>
      <c r="Q2115" s="0" t="n">
        <f aca="false">F2115*G2115</f>
        <v>-1</v>
      </c>
      <c r="R2115" s="0" t="n">
        <f aca="false">F2115*H2115</f>
        <v>0</v>
      </c>
      <c r="S2115" s="0" t="n">
        <f aca="false">G2115*H2115</f>
        <v>-0</v>
      </c>
      <c r="T2115" s="0" t="n">
        <f aca="false">E2115*E2115</f>
        <v>0.25</v>
      </c>
      <c r="U2115" s="0" t="n">
        <f aca="false">F2115*F2115</f>
        <v>1</v>
      </c>
      <c r="V2115" s="0" t="n">
        <f aca="false">G2115*G2115</f>
        <v>1</v>
      </c>
      <c r="W2115" s="0" t="n">
        <f aca="false">H2115*H2115</f>
        <v>0</v>
      </c>
      <c r="X2115" s="0" t="n">
        <f aca="false">SUMPRODUCT(I2115:W2115,_XtX!$B$96:$P$96)</f>
        <v>42.9057017543859</v>
      </c>
      <c r="Y2115" s="0" t="n">
        <f aca="false">SUMPRODUCT(MMULT(I2115:W2115,_XtX!$B$78:$P$92),I2115:W2115)</f>
        <v>0.650767543859649</v>
      </c>
      <c r="Z2115" s="0" t="n">
        <f aca="false">04_回帰ANOVA!$K$19*04_回帰ANOVA!$K$14*SQRT(1+Y2115)</f>
        <v>1.67471670935165</v>
      </c>
      <c r="AA2115" s="0" t="n">
        <f aca="false">X2115-Z2115</f>
        <v>41.2309850450343</v>
      </c>
      <c r="AB2115" s="0" t="n">
        <f aca="false">X2115+Z2115</f>
        <v>44.5804184637376</v>
      </c>
      <c r="AC2115" s="54" t="b">
        <f aca="false">AND(E2115&gt;=01_因子設定!$L$5-0.000000001,E2115&lt;=01_因子設定!$M$5+0.000000001,F2115&gt;=01_因子設定!$L$6-0.000000001,F2115&lt;=01_因子設定!$M$6+0.000000001,G2115&gt;=01_因子設定!$L$7-0.000000001,G2115&lt;=01_因子設定!$M$7+0.000000001,H2115&gt;=01_因子設定!$L$8-0.000000001,H2115&lt;=01_因子設定!$M$8+0.000000001,IF(01_因子設定!$B$20="Box-Behnken",E2115^2+F2115^2+G2115^2+H2115^2&lt;=2+0.000000001,TRUE()))</f>
        <v>1</v>
      </c>
      <c r="AD2115" s="55" t="n">
        <f aca="false">IF(AC2115,IF(01_因子設定!$B$13="最大化",AA2115-01_因子設定!$B$14,IF(01_因子設定!$B$13="最小化",01_因子設定!$B$15-AB2115,MIN(AA2115-01_因子設定!$B$14,01_因子設定!$B$15-AB2115))),-1E+030)</f>
        <v>-5.26901495496573</v>
      </c>
      <c r="AE2115" s="55" t="n">
        <f aca="false">IF(AC2115,IF(01_因子設定!$B$13="最大化",X2115,IF(01_因子設定!$B$13="最小化",-X2115,-ABS(X2115-01_因子設定!$B$16))),-1E+030)</f>
        <v>42.9057017543859</v>
      </c>
      <c r="AF2115" s="55" t="n">
        <f aca="false">AD2115+ROW()*0.000000001</f>
        <v>-5.26901283996573</v>
      </c>
      <c r="AG2115" s="55" t="n">
        <f aca="false">AE2115+ROW()*0.000000001</f>
        <v>42.9057038693859</v>
      </c>
    </row>
    <row r="2116" customFormat="false" ht="15" hidden="false" customHeight="false" outlineLevel="0" collapsed="false">
      <c r="A2116" s="0" t="n">
        <v>2</v>
      </c>
      <c r="B2116" s="0" t="n">
        <v>8</v>
      </c>
      <c r="C2116" s="0" t="n">
        <v>0</v>
      </c>
      <c r="D2116" s="0" t="n">
        <v>5</v>
      </c>
      <c r="E2116" s="0" t="n">
        <f aca="false">-1+A2116*0.25</f>
        <v>-0.5</v>
      </c>
      <c r="F2116" s="0" t="n">
        <f aca="false">-1+B2116*0.25</f>
        <v>1</v>
      </c>
      <c r="G2116" s="0" t="n">
        <f aca="false">-1+C2116*0.25</f>
        <v>-1</v>
      </c>
      <c r="H2116" s="0" t="n">
        <f aca="false">-1+D2116*0.25</f>
        <v>0.25</v>
      </c>
      <c r="I2116" s="0" t="n">
        <f aca="false">1</f>
        <v>1</v>
      </c>
      <c r="J2116" s="0" t="n">
        <f aca="false">E2116</f>
        <v>-0.5</v>
      </c>
      <c r="K2116" s="0" t="n">
        <f aca="false">F2116</f>
        <v>1</v>
      </c>
      <c r="L2116" s="0" t="n">
        <f aca="false">G2116</f>
        <v>-1</v>
      </c>
      <c r="M2116" s="0" t="n">
        <f aca="false">H2116</f>
        <v>0.25</v>
      </c>
      <c r="N2116" s="0" t="n">
        <f aca="false">E2116*F2116</f>
        <v>-0.5</v>
      </c>
      <c r="O2116" s="0" t="n">
        <f aca="false">E2116*G2116</f>
        <v>0.5</v>
      </c>
      <c r="P2116" s="0" t="n">
        <f aca="false">E2116*H2116</f>
        <v>-0.125</v>
      </c>
      <c r="Q2116" s="0" t="n">
        <f aca="false">F2116*G2116</f>
        <v>-1</v>
      </c>
      <c r="R2116" s="0" t="n">
        <f aca="false">F2116*H2116</f>
        <v>0.25</v>
      </c>
      <c r="S2116" s="0" t="n">
        <f aca="false">G2116*H2116</f>
        <v>-0.25</v>
      </c>
      <c r="T2116" s="0" t="n">
        <f aca="false">E2116*E2116</f>
        <v>0.25</v>
      </c>
      <c r="U2116" s="0" t="n">
        <f aca="false">F2116*F2116</f>
        <v>1</v>
      </c>
      <c r="V2116" s="0" t="n">
        <f aca="false">G2116*G2116</f>
        <v>1</v>
      </c>
      <c r="W2116" s="0" t="n">
        <f aca="false">H2116*H2116</f>
        <v>0.0625</v>
      </c>
      <c r="X2116" s="0" t="n">
        <f aca="false">SUMPRODUCT(I2116:W2116,_XtX!$B$96:$P$96)</f>
        <v>42.8425621345029</v>
      </c>
      <c r="Y2116" s="0" t="n">
        <f aca="false">SUMPRODUCT(MMULT(I2116:W2116,_XtX!$B$78:$P$92),I2116:W2116)</f>
        <v>0.629174661915205</v>
      </c>
      <c r="Z2116" s="0" t="n">
        <f aca="false">04_回帰ANOVA!$K$19*04_回帰ANOVA!$K$14*SQRT(1+Y2116)</f>
        <v>1.66372758058297</v>
      </c>
      <c r="AA2116" s="0" t="n">
        <f aca="false">X2116-Z2116</f>
        <v>41.1788345539199</v>
      </c>
      <c r="AB2116" s="0" t="n">
        <f aca="false">X2116+Z2116</f>
        <v>44.5062897150859</v>
      </c>
      <c r="AC2116" s="54" t="b">
        <f aca="false">AND(E2116&gt;=01_因子設定!$L$5-0.000000001,E2116&lt;=01_因子設定!$M$5+0.000000001,F2116&gt;=01_因子設定!$L$6-0.000000001,F2116&lt;=01_因子設定!$M$6+0.000000001,G2116&gt;=01_因子設定!$L$7-0.000000001,G2116&lt;=01_因子設定!$M$7+0.000000001,H2116&gt;=01_因子設定!$L$8-0.000000001,H2116&lt;=01_因子設定!$M$8+0.000000001,IF(01_因子設定!$B$20="Box-Behnken",E2116^2+F2116^2+G2116^2+H2116^2&lt;=2+0.000000001,TRUE()))</f>
        <v>1</v>
      </c>
      <c r="AD2116" s="55" t="n">
        <f aca="false">IF(AC2116,IF(01_因子設定!$B$13="最大化",AA2116-01_因子設定!$B$14,IF(01_因子設定!$B$13="最小化",01_因子設定!$B$15-AB2116,MIN(AA2116-01_因子設定!$B$14,01_因子設定!$B$15-AB2116))),-1E+030)</f>
        <v>-5.32116544608009</v>
      </c>
      <c r="AE2116" s="55" t="n">
        <f aca="false">IF(AC2116,IF(01_因子設定!$B$13="最大化",X2116,IF(01_因子設定!$B$13="最小化",-X2116,-ABS(X2116-01_因子設定!$B$16))),-1E+030)</f>
        <v>42.8425621345029</v>
      </c>
      <c r="AF2116" s="55" t="n">
        <f aca="false">AD2116+ROW()*0.000000001</f>
        <v>-5.32116333008009</v>
      </c>
      <c r="AG2116" s="55" t="n">
        <f aca="false">AE2116+ROW()*0.000000001</f>
        <v>42.8425642505029</v>
      </c>
    </row>
    <row r="2117" customFormat="false" ht="15" hidden="false" customHeight="false" outlineLevel="0" collapsed="false">
      <c r="A2117" s="0" t="n">
        <v>2</v>
      </c>
      <c r="B2117" s="0" t="n">
        <v>8</v>
      </c>
      <c r="C2117" s="0" t="n">
        <v>0</v>
      </c>
      <c r="D2117" s="0" t="n">
        <v>6</v>
      </c>
      <c r="E2117" s="0" t="n">
        <f aca="false">-1+A2117*0.25</f>
        <v>-0.5</v>
      </c>
      <c r="F2117" s="0" t="n">
        <f aca="false">-1+B2117*0.25</f>
        <v>1</v>
      </c>
      <c r="G2117" s="0" t="n">
        <f aca="false">-1+C2117*0.25</f>
        <v>-1</v>
      </c>
      <c r="H2117" s="0" t="n">
        <f aca="false">-1+D2117*0.25</f>
        <v>0.5</v>
      </c>
      <c r="I2117" s="0" t="n">
        <f aca="false">1</f>
        <v>1</v>
      </c>
      <c r="J2117" s="0" t="n">
        <f aca="false">E2117</f>
        <v>-0.5</v>
      </c>
      <c r="K2117" s="0" t="n">
        <f aca="false">F2117</f>
        <v>1</v>
      </c>
      <c r="L2117" s="0" t="n">
        <f aca="false">G2117</f>
        <v>-1</v>
      </c>
      <c r="M2117" s="0" t="n">
        <f aca="false">H2117</f>
        <v>0.5</v>
      </c>
      <c r="N2117" s="0" t="n">
        <f aca="false">E2117*F2117</f>
        <v>-0.5</v>
      </c>
      <c r="O2117" s="0" t="n">
        <f aca="false">E2117*G2117</f>
        <v>0.5</v>
      </c>
      <c r="P2117" s="0" t="n">
        <f aca="false">E2117*H2117</f>
        <v>-0.25</v>
      </c>
      <c r="Q2117" s="0" t="n">
        <f aca="false">F2117*G2117</f>
        <v>-1</v>
      </c>
      <c r="R2117" s="0" t="n">
        <f aca="false">F2117*H2117</f>
        <v>0.5</v>
      </c>
      <c r="S2117" s="0" t="n">
        <f aca="false">G2117*H2117</f>
        <v>-0.5</v>
      </c>
      <c r="T2117" s="0" t="n">
        <f aca="false">E2117*E2117</f>
        <v>0.25</v>
      </c>
      <c r="U2117" s="0" t="n">
        <f aca="false">F2117*F2117</f>
        <v>1</v>
      </c>
      <c r="V2117" s="0" t="n">
        <f aca="false">G2117*G2117</f>
        <v>1</v>
      </c>
      <c r="W2117" s="0" t="n">
        <f aca="false">H2117*H2117</f>
        <v>0.25</v>
      </c>
      <c r="X2117" s="0" t="n">
        <f aca="false">SUMPRODUCT(I2117:W2117,_XtX!$B$96:$P$96)</f>
        <v>42.731615497076</v>
      </c>
      <c r="Y2117" s="0" t="n">
        <f aca="false">SUMPRODUCT(MMULT(I2117:W2117,_XtX!$B$78:$P$92),I2117:W2117)</f>
        <v>0.582488121345029</v>
      </c>
      <c r="Z2117" s="0" t="n">
        <f aca="false">04_回帰ANOVA!$K$19*04_回帰ANOVA!$K$14*SQRT(1+Y2117)</f>
        <v>1.63971595338287</v>
      </c>
      <c r="AA2117" s="0" t="n">
        <f aca="false">X2117-Z2117</f>
        <v>41.0918995436931</v>
      </c>
      <c r="AB2117" s="0" t="n">
        <f aca="false">X2117+Z2117</f>
        <v>44.3713314504589</v>
      </c>
      <c r="AC2117" s="54" t="b">
        <f aca="false">AND(E2117&gt;=01_因子設定!$L$5-0.000000001,E2117&lt;=01_因子設定!$M$5+0.000000001,F2117&gt;=01_因子設定!$L$6-0.000000001,F2117&lt;=01_因子設定!$M$6+0.000000001,G2117&gt;=01_因子設定!$L$7-0.000000001,G2117&lt;=01_因子設定!$M$7+0.000000001,H2117&gt;=01_因子設定!$L$8-0.000000001,H2117&lt;=01_因子設定!$M$8+0.000000001,IF(01_因子設定!$B$20="Box-Behnken",E2117^2+F2117^2+G2117^2+H2117^2&lt;=2+0.000000001,TRUE()))</f>
        <v>1</v>
      </c>
      <c r="AD2117" s="55" t="n">
        <f aca="false">IF(AC2117,IF(01_因子設定!$B$13="最大化",AA2117-01_因子設定!$B$14,IF(01_因子設定!$B$13="最小化",01_因子設定!$B$15-AB2117,MIN(AA2117-01_因子設定!$B$14,01_因子設定!$B$15-AB2117))),-1E+030)</f>
        <v>-5.40810045630688</v>
      </c>
      <c r="AE2117" s="55" t="n">
        <f aca="false">IF(AC2117,IF(01_因子設定!$B$13="最大化",X2117,IF(01_因子設定!$B$13="最小化",-X2117,-ABS(X2117-01_因子設定!$B$16))),-1E+030)</f>
        <v>42.731615497076</v>
      </c>
      <c r="AF2117" s="55" t="n">
        <f aca="false">AD2117+ROW()*0.000000001</f>
        <v>-5.40809833930688</v>
      </c>
      <c r="AG2117" s="55" t="n">
        <f aca="false">AE2117+ROW()*0.000000001</f>
        <v>42.731617614076</v>
      </c>
    </row>
    <row r="2118" customFormat="false" ht="15" hidden="false" customHeight="false" outlineLevel="0" collapsed="false">
      <c r="A2118" s="0" t="n">
        <v>2</v>
      </c>
      <c r="B2118" s="0" t="n">
        <v>8</v>
      </c>
      <c r="C2118" s="0" t="n">
        <v>0</v>
      </c>
      <c r="D2118" s="0" t="n">
        <v>7</v>
      </c>
      <c r="E2118" s="0" t="n">
        <f aca="false">-1+A2118*0.25</f>
        <v>-0.5</v>
      </c>
      <c r="F2118" s="0" t="n">
        <f aca="false">-1+B2118*0.25</f>
        <v>1</v>
      </c>
      <c r="G2118" s="0" t="n">
        <f aca="false">-1+C2118*0.25</f>
        <v>-1</v>
      </c>
      <c r="H2118" s="0" t="n">
        <f aca="false">-1+D2118*0.25</f>
        <v>0.75</v>
      </c>
      <c r="I2118" s="0" t="n">
        <f aca="false">1</f>
        <v>1</v>
      </c>
      <c r="J2118" s="0" t="n">
        <f aca="false">E2118</f>
        <v>-0.5</v>
      </c>
      <c r="K2118" s="0" t="n">
        <f aca="false">F2118</f>
        <v>1</v>
      </c>
      <c r="L2118" s="0" t="n">
        <f aca="false">G2118</f>
        <v>-1</v>
      </c>
      <c r="M2118" s="0" t="n">
        <f aca="false">H2118</f>
        <v>0.75</v>
      </c>
      <c r="N2118" s="0" t="n">
        <f aca="false">E2118*F2118</f>
        <v>-0.5</v>
      </c>
      <c r="O2118" s="0" t="n">
        <f aca="false">E2118*G2118</f>
        <v>0.5</v>
      </c>
      <c r="P2118" s="0" t="n">
        <f aca="false">E2118*H2118</f>
        <v>-0.375</v>
      </c>
      <c r="Q2118" s="0" t="n">
        <f aca="false">F2118*G2118</f>
        <v>-1</v>
      </c>
      <c r="R2118" s="0" t="n">
        <f aca="false">F2118*H2118</f>
        <v>0.75</v>
      </c>
      <c r="S2118" s="0" t="n">
        <f aca="false">G2118*H2118</f>
        <v>-0.75</v>
      </c>
      <c r="T2118" s="0" t="n">
        <f aca="false">E2118*E2118</f>
        <v>0.25</v>
      </c>
      <c r="U2118" s="0" t="n">
        <f aca="false">F2118*F2118</f>
        <v>1</v>
      </c>
      <c r="V2118" s="0" t="n">
        <f aca="false">G2118*G2118</f>
        <v>1</v>
      </c>
      <c r="W2118" s="0" t="n">
        <f aca="false">H2118*H2118</f>
        <v>0.5625</v>
      </c>
      <c r="X2118" s="0" t="n">
        <f aca="false">SUMPRODUCT(I2118:W2118,_XtX!$B$96:$P$96)</f>
        <v>42.5728618421053</v>
      </c>
      <c r="Y2118" s="0" t="n">
        <f aca="false">SUMPRODUCT(MMULT(I2118:W2118,_XtX!$B$78:$P$92),I2118:W2118)</f>
        <v>0.564984237938597</v>
      </c>
      <c r="Z2118" s="0" t="n">
        <f aca="false">04_回帰ANOVA!$K$19*04_回帰ANOVA!$K$14*SQRT(1+Y2118)</f>
        <v>1.63062229734503</v>
      </c>
      <c r="AA2118" s="0" t="n">
        <f aca="false">X2118-Z2118</f>
        <v>40.9422395447602</v>
      </c>
      <c r="AB2118" s="0" t="n">
        <f aca="false">X2118+Z2118</f>
        <v>44.2034841394503</v>
      </c>
      <c r="AC2118" s="54" t="b">
        <f aca="false">AND(E2118&gt;=01_因子設定!$L$5-0.000000001,E2118&lt;=01_因子設定!$M$5+0.000000001,F2118&gt;=01_因子設定!$L$6-0.000000001,F2118&lt;=01_因子設定!$M$6+0.000000001,G2118&gt;=01_因子設定!$L$7-0.000000001,G2118&lt;=01_因子設定!$M$7+0.000000001,H2118&gt;=01_因子設定!$L$8-0.000000001,H2118&lt;=01_因子設定!$M$8+0.000000001,IF(01_因子設定!$B$20="Box-Behnken",E2118^2+F2118^2+G2118^2+H2118^2&lt;=2+0.000000001,TRUE()))</f>
        <v>1</v>
      </c>
      <c r="AD2118" s="55" t="n">
        <f aca="false">IF(AC2118,IF(01_因子設定!$B$13="最大化",AA2118-01_因子設定!$B$14,IF(01_因子設定!$B$13="最小化",01_因子設定!$B$15-AB2118,MIN(AA2118-01_因子設定!$B$14,01_因子設定!$B$15-AB2118))),-1E+030)</f>
        <v>-5.55776045523979</v>
      </c>
      <c r="AE2118" s="55" t="n">
        <f aca="false">IF(AC2118,IF(01_因子設定!$B$13="最大化",X2118,IF(01_因子設定!$B$13="最小化",-X2118,-ABS(X2118-01_因子設定!$B$16))),-1E+030)</f>
        <v>42.5728618421053</v>
      </c>
      <c r="AF2118" s="55" t="n">
        <f aca="false">AD2118+ROW()*0.000000001</f>
        <v>-5.55775833723979</v>
      </c>
      <c r="AG2118" s="55" t="n">
        <f aca="false">AE2118+ROW()*0.000000001</f>
        <v>42.5728639601052</v>
      </c>
    </row>
    <row r="2119" customFormat="false" ht="15" hidden="false" customHeight="false" outlineLevel="0" collapsed="false">
      <c r="A2119" s="0" t="n">
        <v>2</v>
      </c>
      <c r="B2119" s="0" t="n">
        <v>8</v>
      </c>
      <c r="C2119" s="0" t="n">
        <v>0</v>
      </c>
      <c r="D2119" s="0" t="n">
        <v>8</v>
      </c>
      <c r="E2119" s="0" t="n">
        <f aca="false">-1+A2119*0.25</f>
        <v>-0.5</v>
      </c>
      <c r="F2119" s="0" t="n">
        <f aca="false">-1+B2119*0.25</f>
        <v>1</v>
      </c>
      <c r="G2119" s="0" t="n">
        <f aca="false">-1+C2119*0.25</f>
        <v>-1</v>
      </c>
      <c r="H2119" s="0" t="n">
        <f aca="false">-1+D2119*0.25</f>
        <v>1</v>
      </c>
      <c r="I2119" s="0" t="n">
        <f aca="false">1</f>
        <v>1</v>
      </c>
      <c r="J2119" s="0" t="n">
        <f aca="false">E2119</f>
        <v>-0.5</v>
      </c>
      <c r="K2119" s="0" t="n">
        <f aca="false">F2119</f>
        <v>1</v>
      </c>
      <c r="L2119" s="0" t="n">
        <f aca="false">G2119</f>
        <v>-1</v>
      </c>
      <c r="M2119" s="0" t="n">
        <f aca="false">H2119</f>
        <v>1</v>
      </c>
      <c r="N2119" s="0" t="n">
        <f aca="false">E2119*F2119</f>
        <v>-0.5</v>
      </c>
      <c r="O2119" s="0" t="n">
        <f aca="false">E2119*G2119</f>
        <v>0.5</v>
      </c>
      <c r="P2119" s="0" t="n">
        <f aca="false">E2119*H2119</f>
        <v>-0.5</v>
      </c>
      <c r="Q2119" s="0" t="n">
        <f aca="false">F2119*G2119</f>
        <v>-1</v>
      </c>
      <c r="R2119" s="0" t="n">
        <f aca="false">F2119*H2119</f>
        <v>1</v>
      </c>
      <c r="S2119" s="0" t="n">
        <f aca="false">G2119*H2119</f>
        <v>-1</v>
      </c>
      <c r="T2119" s="0" t="n">
        <f aca="false">E2119*E2119</f>
        <v>0.25</v>
      </c>
      <c r="U2119" s="0" t="n">
        <f aca="false">F2119*F2119</f>
        <v>1</v>
      </c>
      <c r="V2119" s="0" t="n">
        <f aca="false">G2119*G2119</f>
        <v>1</v>
      </c>
      <c r="W2119" s="0" t="n">
        <f aca="false">H2119*H2119</f>
        <v>1</v>
      </c>
      <c r="X2119" s="0" t="n">
        <f aca="false">SUMPRODUCT(I2119:W2119,_XtX!$B$96:$P$96)</f>
        <v>42.3663011695906</v>
      </c>
      <c r="Y2119" s="0" t="n">
        <f aca="false">SUMPRODUCT(MMULT(I2119:W2119,_XtX!$B$78:$P$92),I2119:W2119)</f>
        <v>0.667123538011696</v>
      </c>
      <c r="Z2119" s="0" t="n">
        <f aca="false">04_回帰ANOVA!$K$19*04_回帰ANOVA!$K$14*SQRT(1+Y2119)</f>
        <v>1.68299290213005</v>
      </c>
      <c r="AA2119" s="0" t="n">
        <f aca="false">X2119-Z2119</f>
        <v>40.6833082674606</v>
      </c>
      <c r="AB2119" s="0" t="n">
        <f aca="false">X2119+Z2119</f>
        <v>44.0492940717207</v>
      </c>
      <c r="AC2119" s="54" t="b">
        <f aca="false">AND(E2119&gt;=01_因子設定!$L$5-0.000000001,E2119&lt;=01_因子設定!$M$5+0.000000001,F2119&gt;=01_因子設定!$L$6-0.000000001,F2119&lt;=01_因子設定!$M$6+0.000000001,G2119&gt;=01_因子設定!$L$7-0.000000001,G2119&lt;=01_因子設定!$M$7+0.000000001,H2119&gt;=01_因子設定!$L$8-0.000000001,H2119&lt;=01_因子設定!$M$8+0.000000001,IF(01_因子設定!$B$20="Box-Behnken",E2119^2+F2119^2+G2119^2+H2119^2&lt;=2+0.000000001,TRUE()))</f>
        <v>1</v>
      </c>
      <c r="AD2119" s="55" t="n">
        <f aca="false">IF(AC2119,IF(01_因子設定!$B$13="最大化",AA2119-01_因子設定!$B$14,IF(01_因子設定!$B$13="最小化",01_因子設定!$B$15-AB2119,MIN(AA2119-01_因子設定!$B$14,01_因子設定!$B$15-AB2119))),-1E+030)</f>
        <v>-5.81669173253941</v>
      </c>
      <c r="AE2119" s="55" t="n">
        <f aca="false">IF(AC2119,IF(01_因子設定!$B$13="最大化",X2119,IF(01_因子設定!$B$13="最小化",-X2119,-ABS(X2119-01_因子設定!$B$16))),-1E+030)</f>
        <v>42.3663011695906</v>
      </c>
      <c r="AF2119" s="55" t="n">
        <f aca="false">AD2119+ROW()*0.000000001</f>
        <v>-5.81668961353941</v>
      </c>
      <c r="AG2119" s="55" t="n">
        <f aca="false">AE2119+ROW()*0.000000001</f>
        <v>42.3663032885906</v>
      </c>
    </row>
    <row r="2120" customFormat="false" ht="15" hidden="false" customHeight="false" outlineLevel="0" collapsed="false">
      <c r="A2120" s="0" t="n">
        <v>2</v>
      </c>
      <c r="B2120" s="0" t="n">
        <v>8</v>
      </c>
      <c r="C2120" s="0" t="n">
        <v>1</v>
      </c>
      <c r="D2120" s="0" t="n">
        <v>0</v>
      </c>
      <c r="E2120" s="0" t="n">
        <f aca="false">-1+A2120*0.25</f>
        <v>-0.5</v>
      </c>
      <c r="F2120" s="0" t="n">
        <f aca="false">-1+B2120*0.25</f>
        <v>1</v>
      </c>
      <c r="G2120" s="0" t="n">
        <f aca="false">-1+C2120*0.25</f>
        <v>-0.75</v>
      </c>
      <c r="H2120" s="0" t="n">
        <f aca="false">-1+D2120*0.25</f>
        <v>-1</v>
      </c>
      <c r="I2120" s="0" t="n">
        <f aca="false">1</f>
        <v>1</v>
      </c>
      <c r="J2120" s="0" t="n">
        <f aca="false">E2120</f>
        <v>-0.5</v>
      </c>
      <c r="K2120" s="0" t="n">
        <f aca="false">F2120</f>
        <v>1</v>
      </c>
      <c r="L2120" s="0" t="n">
        <f aca="false">G2120</f>
        <v>-0.75</v>
      </c>
      <c r="M2120" s="0" t="n">
        <f aca="false">H2120</f>
        <v>-1</v>
      </c>
      <c r="N2120" s="0" t="n">
        <f aca="false">E2120*F2120</f>
        <v>-0.5</v>
      </c>
      <c r="O2120" s="0" t="n">
        <f aca="false">E2120*G2120</f>
        <v>0.375</v>
      </c>
      <c r="P2120" s="0" t="n">
        <f aca="false">E2120*H2120</f>
        <v>0.5</v>
      </c>
      <c r="Q2120" s="0" t="n">
        <f aca="false">F2120*G2120</f>
        <v>-0.75</v>
      </c>
      <c r="R2120" s="0" t="n">
        <f aca="false">F2120*H2120</f>
        <v>-1</v>
      </c>
      <c r="S2120" s="0" t="n">
        <f aca="false">G2120*H2120</f>
        <v>0.75</v>
      </c>
      <c r="T2120" s="0" t="n">
        <f aca="false">E2120*E2120</f>
        <v>0.25</v>
      </c>
      <c r="U2120" s="0" t="n">
        <f aca="false">F2120*F2120</f>
        <v>1</v>
      </c>
      <c r="V2120" s="0" t="n">
        <f aca="false">G2120*G2120</f>
        <v>0.5625</v>
      </c>
      <c r="W2120" s="0" t="n">
        <f aca="false">H2120*H2120</f>
        <v>1</v>
      </c>
      <c r="X2120" s="0" t="n">
        <f aca="false">SUMPRODUCT(I2120:W2120,_XtX!$B$96:$P$96)</f>
        <v>43.3120979532164</v>
      </c>
      <c r="Y2120" s="0" t="n">
        <f aca="false">SUMPRODUCT(MMULT(I2120:W2120,_XtX!$B$78:$P$92),I2120:W2120)</f>
        <v>0.564984237938597</v>
      </c>
      <c r="Z2120" s="0" t="n">
        <f aca="false">04_回帰ANOVA!$K$19*04_回帰ANOVA!$K$14*SQRT(1+Y2120)</f>
        <v>1.63062229734503</v>
      </c>
      <c r="AA2120" s="0" t="n">
        <f aca="false">X2120-Z2120</f>
        <v>41.6814756558713</v>
      </c>
      <c r="AB2120" s="0" t="n">
        <f aca="false">X2120+Z2120</f>
        <v>44.9427202505614</v>
      </c>
      <c r="AC2120" s="54" t="b">
        <f aca="false">AND(E2120&gt;=01_因子設定!$L$5-0.000000001,E2120&lt;=01_因子設定!$M$5+0.000000001,F2120&gt;=01_因子設定!$L$6-0.000000001,F2120&lt;=01_因子設定!$M$6+0.000000001,G2120&gt;=01_因子設定!$L$7-0.000000001,G2120&lt;=01_因子設定!$M$7+0.000000001,H2120&gt;=01_因子設定!$L$8-0.000000001,H2120&lt;=01_因子設定!$M$8+0.000000001,IF(01_因子設定!$B$20="Box-Behnken",E2120^2+F2120^2+G2120^2+H2120^2&lt;=2+0.000000001,TRUE()))</f>
        <v>1</v>
      </c>
      <c r="AD2120" s="55" t="n">
        <f aca="false">IF(AC2120,IF(01_因子設定!$B$13="最大化",AA2120-01_因子設定!$B$14,IF(01_因子設定!$B$13="最小化",01_因子設定!$B$15-AB2120,MIN(AA2120-01_因子設定!$B$14,01_因子設定!$B$15-AB2120))),-1E+030)</f>
        <v>-4.81852434412866</v>
      </c>
      <c r="AE2120" s="55" t="n">
        <f aca="false">IF(AC2120,IF(01_因子設定!$B$13="最大化",X2120,IF(01_因子設定!$B$13="最小化",-X2120,-ABS(X2120-01_因子設定!$B$16))),-1E+030)</f>
        <v>43.3120979532164</v>
      </c>
      <c r="AF2120" s="55" t="n">
        <f aca="false">AD2120+ROW()*0.000000001</f>
        <v>-4.81852222412866</v>
      </c>
      <c r="AG2120" s="55" t="n">
        <f aca="false">AE2120+ROW()*0.000000001</f>
        <v>43.3121000732164</v>
      </c>
    </row>
    <row r="2121" customFormat="false" ht="15" hidden="false" customHeight="false" outlineLevel="0" collapsed="false">
      <c r="A2121" s="0" t="n">
        <v>2</v>
      </c>
      <c r="B2121" s="0" t="n">
        <v>8</v>
      </c>
      <c r="C2121" s="0" t="n">
        <v>1</v>
      </c>
      <c r="D2121" s="0" t="n">
        <v>1</v>
      </c>
      <c r="E2121" s="0" t="n">
        <f aca="false">-1+A2121*0.25</f>
        <v>-0.5</v>
      </c>
      <c r="F2121" s="0" t="n">
        <f aca="false">-1+B2121*0.25</f>
        <v>1</v>
      </c>
      <c r="G2121" s="0" t="n">
        <f aca="false">-1+C2121*0.25</f>
        <v>-0.75</v>
      </c>
      <c r="H2121" s="0" t="n">
        <f aca="false">-1+D2121*0.25</f>
        <v>-0.75</v>
      </c>
      <c r="I2121" s="0" t="n">
        <f aca="false">1</f>
        <v>1</v>
      </c>
      <c r="J2121" s="0" t="n">
        <f aca="false">E2121</f>
        <v>-0.5</v>
      </c>
      <c r="K2121" s="0" t="n">
        <f aca="false">F2121</f>
        <v>1</v>
      </c>
      <c r="L2121" s="0" t="n">
        <f aca="false">G2121</f>
        <v>-0.75</v>
      </c>
      <c r="M2121" s="0" t="n">
        <f aca="false">H2121</f>
        <v>-0.75</v>
      </c>
      <c r="N2121" s="0" t="n">
        <f aca="false">E2121*F2121</f>
        <v>-0.5</v>
      </c>
      <c r="O2121" s="0" t="n">
        <f aca="false">E2121*G2121</f>
        <v>0.375</v>
      </c>
      <c r="P2121" s="0" t="n">
        <f aca="false">E2121*H2121</f>
        <v>0.375</v>
      </c>
      <c r="Q2121" s="0" t="n">
        <f aca="false">F2121*G2121</f>
        <v>-0.75</v>
      </c>
      <c r="R2121" s="0" t="n">
        <f aca="false">F2121*H2121</f>
        <v>-0.75</v>
      </c>
      <c r="S2121" s="0" t="n">
        <f aca="false">G2121*H2121</f>
        <v>0.5625</v>
      </c>
      <c r="T2121" s="0" t="n">
        <f aca="false">E2121*E2121</f>
        <v>0.25</v>
      </c>
      <c r="U2121" s="0" t="n">
        <f aca="false">F2121*F2121</f>
        <v>1</v>
      </c>
      <c r="V2121" s="0" t="n">
        <f aca="false">G2121*G2121</f>
        <v>0.5625</v>
      </c>
      <c r="W2121" s="0" t="n">
        <f aca="false">H2121*H2121</f>
        <v>0.5625</v>
      </c>
      <c r="X2121" s="0" t="n">
        <f aca="false">SUMPRODUCT(I2121:W2121,_XtX!$B$96:$P$96)</f>
        <v>43.4581551535088</v>
      </c>
      <c r="Y2121" s="0" t="n">
        <f aca="false">SUMPRODUCT(MMULT(I2121:W2121,_XtX!$B$78:$P$92),I2121:W2121)</f>
        <v>0.431153771472953</v>
      </c>
      <c r="Z2121" s="0" t="n">
        <f aca="false">04_回帰ANOVA!$K$19*04_回帰ANOVA!$K$14*SQRT(1+Y2121)</f>
        <v>1.55934259562563</v>
      </c>
      <c r="AA2121" s="0" t="n">
        <f aca="false">X2121-Z2121</f>
        <v>41.8988125578831</v>
      </c>
      <c r="AB2121" s="0" t="n">
        <f aca="false">X2121+Z2121</f>
        <v>45.0174977491344</v>
      </c>
      <c r="AC2121" s="54" t="b">
        <f aca="false">AND(E2121&gt;=01_因子設定!$L$5-0.000000001,E2121&lt;=01_因子設定!$M$5+0.000000001,F2121&gt;=01_因子設定!$L$6-0.000000001,F2121&lt;=01_因子設定!$M$6+0.000000001,G2121&gt;=01_因子設定!$L$7-0.000000001,G2121&lt;=01_因子設定!$M$7+0.000000001,H2121&gt;=01_因子設定!$L$8-0.000000001,H2121&lt;=01_因子設定!$M$8+0.000000001,IF(01_因子設定!$B$20="Box-Behnken",E2121^2+F2121^2+G2121^2+H2121^2&lt;=2+0.000000001,TRUE()))</f>
        <v>1</v>
      </c>
      <c r="AD2121" s="55" t="n">
        <f aca="false">IF(AC2121,IF(01_因子設定!$B$13="最大化",AA2121-01_因子設定!$B$14,IF(01_因子設定!$B$13="最小化",01_因子設定!$B$15-AB2121,MIN(AA2121-01_因子設定!$B$14,01_因子設定!$B$15-AB2121))),-1E+030)</f>
        <v>-4.60118744211687</v>
      </c>
      <c r="AE2121" s="55" t="n">
        <f aca="false">IF(AC2121,IF(01_因子設定!$B$13="最大化",X2121,IF(01_因子設定!$B$13="最小化",-X2121,-ABS(X2121-01_因子設定!$B$16))),-1E+030)</f>
        <v>43.4581551535088</v>
      </c>
      <c r="AF2121" s="55" t="n">
        <f aca="false">AD2121+ROW()*0.000000001</f>
        <v>-4.60118532111687</v>
      </c>
      <c r="AG2121" s="55" t="n">
        <f aca="false">AE2121+ROW()*0.000000001</f>
        <v>43.4581572745088</v>
      </c>
    </row>
    <row r="2122" customFormat="false" ht="15" hidden="false" customHeight="false" outlineLevel="0" collapsed="false">
      <c r="A2122" s="0" t="n">
        <v>2</v>
      </c>
      <c r="B2122" s="0" t="n">
        <v>8</v>
      </c>
      <c r="C2122" s="0" t="n">
        <v>1</v>
      </c>
      <c r="D2122" s="0" t="n">
        <v>2</v>
      </c>
      <c r="E2122" s="0" t="n">
        <f aca="false">-1+A2122*0.25</f>
        <v>-0.5</v>
      </c>
      <c r="F2122" s="0" t="n">
        <f aca="false">-1+B2122*0.25</f>
        <v>1</v>
      </c>
      <c r="G2122" s="0" t="n">
        <f aca="false">-1+C2122*0.25</f>
        <v>-0.75</v>
      </c>
      <c r="H2122" s="0" t="n">
        <f aca="false">-1+D2122*0.25</f>
        <v>-0.5</v>
      </c>
      <c r="I2122" s="0" t="n">
        <f aca="false">1</f>
        <v>1</v>
      </c>
      <c r="J2122" s="0" t="n">
        <f aca="false">E2122</f>
        <v>-0.5</v>
      </c>
      <c r="K2122" s="0" t="n">
        <f aca="false">F2122</f>
        <v>1</v>
      </c>
      <c r="L2122" s="0" t="n">
        <f aca="false">G2122</f>
        <v>-0.75</v>
      </c>
      <c r="M2122" s="0" t="n">
        <f aca="false">H2122</f>
        <v>-0.5</v>
      </c>
      <c r="N2122" s="0" t="n">
        <f aca="false">E2122*F2122</f>
        <v>-0.5</v>
      </c>
      <c r="O2122" s="0" t="n">
        <f aca="false">E2122*G2122</f>
        <v>0.375</v>
      </c>
      <c r="P2122" s="0" t="n">
        <f aca="false">E2122*H2122</f>
        <v>0.25</v>
      </c>
      <c r="Q2122" s="0" t="n">
        <f aca="false">F2122*G2122</f>
        <v>-0.75</v>
      </c>
      <c r="R2122" s="0" t="n">
        <f aca="false">F2122*H2122</f>
        <v>-0.5</v>
      </c>
      <c r="S2122" s="0" t="n">
        <f aca="false">G2122*H2122</f>
        <v>0.375</v>
      </c>
      <c r="T2122" s="0" t="n">
        <f aca="false">E2122*E2122</f>
        <v>0.25</v>
      </c>
      <c r="U2122" s="0" t="n">
        <f aca="false">F2122*F2122</f>
        <v>1</v>
      </c>
      <c r="V2122" s="0" t="n">
        <f aca="false">G2122*G2122</f>
        <v>0.5625</v>
      </c>
      <c r="W2122" s="0" t="n">
        <f aca="false">H2122*H2122</f>
        <v>0.25</v>
      </c>
      <c r="X2122" s="0" t="n">
        <f aca="false">SUMPRODUCT(I2122:W2122,_XtX!$B$96:$P$96)</f>
        <v>43.5564053362573</v>
      </c>
      <c r="Y2122" s="0" t="n">
        <f aca="false">SUMPRODUCT(MMULT(I2122:W2122,_XtX!$B$78:$P$92),I2122:W2122)</f>
        <v>0.42602110745614</v>
      </c>
      <c r="Z2122" s="0" t="n">
        <f aca="false">04_回帰ANOVA!$K$19*04_回帰ANOVA!$K$14*SQRT(1+Y2122)</f>
        <v>1.55654388501114</v>
      </c>
      <c r="AA2122" s="0" t="n">
        <f aca="false">X2122-Z2122</f>
        <v>41.9998614512461</v>
      </c>
      <c r="AB2122" s="0" t="n">
        <f aca="false">X2122+Z2122</f>
        <v>45.1129492212684</v>
      </c>
      <c r="AC2122" s="54" t="b">
        <f aca="false">AND(E2122&gt;=01_因子設定!$L$5-0.000000001,E2122&lt;=01_因子設定!$M$5+0.000000001,F2122&gt;=01_因子設定!$L$6-0.000000001,F2122&lt;=01_因子設定!$M$6+0.000000001,G2122&gt;=01_因子設定!$L$7-0.000000001,G2122&lt;=01_因子設定!$M$7+0.000000001,H2122&gt;=01_因子設定!$L$8-0.000000001,H2122&lt;=01_因子設定!$M$8+0.000000001,IF(01_因子設定!$B$20="Box-Behnken",E2122^2+F2122^2+G2122^2+H2122^2&lt;=2+0.000000001,TRUE()))</f>
        <v>1</v>
      </c>
      <c r="AD2122" s="55" t="n">
        <f aca="false">IF(AC2122,IF(01_因子設定!$B$13="最大化",AA2122-01_因子設定!$B$14,IF(01_因子設定!$B$13="最小化",01_因子設定!$B$15-AB2122,MIN(AA2122-01_因子設定!$B$14,01_因子設定!$B$15-AB2122))),-1E+030)</f>
        <v>-4.50013854875386</v>
      </c>
      <c r="AE2122" s="55" t="n">
        <f aca="false">IF(AC2122,IF(01_因子設定!$B$13="最大化",X2122,IF(01_因子設定!$B$13="最小化",-X2122,-ABS(X2122-01_因子設定!$B$16))),-1E+030)</f>
        <v>43.5564053362573</v>
      </c>
      <c r="AF2122" s="55" t="n">
        <f aca="false">AD2122+ROW()*0.000000001</f>
        <v>-4.50013642675386</v>
      </c>
      <c r="AG2122" s="55" t="n">
        <f aca="false">AE2122+ROW()*0.000000001</f>
        <v>43.5564074582573</v>
      </c>
    </row>
    <row r="2123" customFormat="false" ht="15" hidden="false" customHeight="false" outlineLevel="0" collapsed="false">
      <c r="A2123" s="0" t="n">
        <v>2</v>
      </c>
      <c r="B2123" s="0" t="n">
        <v>8</v>
      </c>
      <c r="C2123" s="0" t="n">
        <v>1</v>
      </c>
      <c r="D2123" s="0" t="n">
        <v>3</v>
      </c>
      <c r="E2123" s="0" t="n">
        <f aca="false">-1+A2123*0.25</f>
        <v>-0.5</v>
      </c>
      <c r="F2123" s="0" t="n">
        <f aca="false">-1+B2123*0.25</f>
        <v>1</v>
      </c>
      <c r="G2123" s="0" t="n">
        <f aca="false">-1+C2123*0.25</f>
        <v>-0.75</v>
      </c>
      <c r="H2123" s="0" t="n">
        <f aca="false">-1+D2123*0.25</f>
        <v>-0.25</v>
      </c>
      <c r="I2123" s="0" t="n">
        <f aca="false">1</f>
        <v>1</v>
      </c>
      <c r="J2123" s="0" t="n">
        <f aca="false">E2123</f>
        <v>-0.5</v>
      </c>
      <c r="K2123" s="0" t="n">
        <f aca="false">F2123</f>
        <v>1</v>
      </c>
      <c r="L2123" s="0" t="n">
        <f aca="false">G2123</f>
        <v>-0.75</v>
      </c>
      <c r="M2123" s="0" t="n">
        <f aca="false">H2123</f>
        <v>-0.25</v>
      </c>
      <c r="N2123" s="0" t="n">
        <f aca="false">E2123*F2123</f>
        <v>-0.5</v>
      </c>
      <c r="O2123" s="0" t="n">
        <f aca="false">E2123*G2123</f>
        <v>0.375</v>
      </c>
      <c r="P2123" s="0" t="n">
        <f aca="false">E2123*H2123</f>
        <v>0.125</v>
      </c>
      <c r="Q2123" s="0" t="n">
        <f aca="false">F2123*G2123</f>
        <v>-0.75</v>
      </c>
      <c r="R2123" s="0" t="n">
        <f aca="false">F2123*H2123</f>
        <v>-0.25</v>
      </c>
      <c r="S2123" s="0" t="n">
        <f aca="false">G2123*H2123</f>
        <v>0.1875</v>
      </c>
      <c r="T2123" s="0" t="n">
        <f aca="false">E2123*E2123</f>
        <v>0.25</v>
      </c>
      <c r="U2123" s="0" t="n">
        <f aca="false">F2123*F2123</f>
        <v>1</v>
      </c>
      <c r="V2123" s="0" t="n">
        <f aca="false">G2123*G2123</f>
        <v>0.5625</v>
      </c>
      <c r="W2123" s="0" t="n">
        <f aca="false">H2123*H2123</f>
        <v>0.0625</v>
      </c>
      <c r="X2123" s="0" t="n">
        <f aca="false">SUMPRODUCT(I2123:W2123,_XtX!$B$96:$P$96)</f>
        <v>43.606848501462</v>
      </c>
      <c r="Y2123" s="0" t="n">
        <f aca="false">SUMPRODUCT(MMULT(I2123:W2123,_XtX!$B$78:$P$92),I2123:W2123)</f>
        <v>0.459125719572369</v>
      </c>
      <c r="Z2123" s="0" t="n">
        <f aca="false">04_回帰ANOVA!$K$19*04_回帰ANOVA!$K$14*SQRT(1+Y2123)</f>
        <v>1.57450755575573</v>
      </c>
      <c r="AA2123" s="0" t="n">
        <f aca="false">X2123-Z2123</f>
        <v>42.0323409457062</v>
      </c>
      <c r="AB2123" s="0" t="n">
        <f aca="false">X2123+Z2123</f>
        <v>45.1813560572177</v>
      </c>
      <c r="AC2123" s="54" t="b">
        <f aca="false">AND(E2123&gt;=01_因子設定!$L$5-0.000000001,E2123&lt;=01_因子設定!$M$5+0.000000001,F2123&gt;=01_因子設定!$L$6-0.000000001,F2123&lt;=01_因子設定!$M$6+0.000000001,G2123&gt;=01_因子設定!$L$7-0.000000001,G2123&lt;=01_因子設定!$M$7+0.000000001,H2123&gt;=01_因子設定!$L$8-0.000000001,H2123&lt;=01_因子設定!$M$8+0.000000001,IF(01_因子設定!$B$20="Box-Behnken",E2123^2+F2123^2+G2123^2+H2123^2&lt;=2+0.000000001,TRUE()))</f>
        <v>1</v>
      </c>
      <c r="AD2123" s="55" t="n">
        <f aca="false">IF(AC2123,IF(01_因子設定!$B$13="最大化",AA2123-01_因子設定!$B$14,IF(01_因子設定!$B$13="最小化",01_因子設定!$B$15-AB2123,MIN(AA2123-01_因子設定!$B$14,01_因子設定!$B$15-AB2123))),-1E+030)</f>
        <v>-4.46765905429378</v>
      </c>
      <c r="AE2123" s="55" t="n">
        <f aca="false">IF(AC2123,IF(01_因子設定!$B$13="最大化",X2123,IF(01_因子設定!$B$13="最小化",-X2123,-ABS(X2123-01_因子設定!$B$16))),-1E+030)</f>
        <v>43.606848501462</v>
      </c>
      <c r="AF2123" s="55" t="n">
        <f aca="false">AD2123+ROW()*0.000000001</f>
        <v>-4.46765693129378</v>
      </c>
      <c r="AG2123" s="55" t="n">
        <f aca="false">AE2123+ROW()*0.000000001</f>
        <v>43.606850624462</v>
      </c>
    </row>
    <row r="2124" customFormat="false" ht="15" hidden="false" customHeight="false" outlineLevel="0" collapsed="false">
      <c r="A2124" s="0" t="n">
        <v>2</v>
      </c>
      <c r="B2124" s="0" t="n">
        <v>8</v>
      </c>
      <c r="C2124" s="0" t="n">
        <v>1</v>
      </c>
      <c r="D2124" s="0" t="n">
        <v>4</v>
      </c>
      <c r="E2124" s="0" t="n">
        <f aca="false">-1+A2124*0.25</f>
        <v>-0.5</v>
      </c>
      <c r="F2124" s="0" t="n">
        <f aca="false">-1+B2124*0.25</f>
        <v>1</v>
      </c>
      <c r="G2124" s="0" t="n">
        <f aca="false">-1+C2124*0.25</f>
        <v>-0.75</v>
      </c>
      <c r="H2124" s="0" t="n">
        <f aca="false">-1+D2124*0.25</f>
        <v>0</v>
      </c>
      <c r="I2124" s="0" t="n">
        <f aca="false">1</f>
        <v>1</v>
      </c>
      <c r="J2124" s="0" t="n">
        <f aca="false">E2124</f>
        <v>-0.5</v>
      </c>
      <c r="K2124" s="0" t="n">
        <f aca="false">F2124</f>
        <v>1</v>
      </c>
      <c r="L2124" s="0" t="n">
        <f aca="false">G2124</f>
        <v>-0.75</v>
      </c>
      <c r="M2124" s="0" t="n">
        <f aca="false">H2124</f>
        <v>0</v>
      </c>
      <c r="N2124" s="0" t="n">
        <f aca="false">E2124*F2124</f>
        <v>-0.5</v>
      </c>
      <c r="O2124" s="0" t="n">
        <f aca="false">E2124*G2124</f>
        <v>0.375</v>
      </c>
      <c r="P2124" s="0" t="n">
        <f aca="false">E2124*H2124</f>
        <v>-0</v>
      </c>
      <c r="Q2124" s="0" t="n">
        <f aca="false">F2124*G2124</f>
        <v>-0.75</v>
      </c>
      <c r="R2124" s="0" t="n">
        <f aca="false">F2124*H2124</f>
        <v>0</v>
      </c>
      <c r="S2124" s="0" t="n">
        <f aca="false">G2124*H2124</f>
        <v>-0</v>
      </c>
      <c r="T2124" s="0" t="n">
        <f aca="false">E2124*E2124</f>
        <v>0.25</v>
      </c>
      <c r="U2124" s="0" t="n">
        <f aca="false">F2124*F2124</f>
        <v>1</v>
      </c>
      <c r="V2124" s="0" t="n">
        <f aca="false">G2124*G2124</f>
        <v>0.5625</v>
      </c>
      <c r="W2124" s="0" t="n">
        <f aca="false">H2124*H2124</f>
        <v>0</v>
      </c>
      <c r="X2124" s="0" t="n">
        <f aca="false">SUMPRODUCT(I2124:W2124,_XtX!$B$96:$P$96)</f>
        <v>43.6094846491228</v>
      </c>
      <c r="Y2124" s="0" t="n">
        <f aca="false">SUMPRODUCT(MMULT(I2124:W2124,_XtX!$B$78:$P$92),I2124:W2124)</f>
        <v>0.476191292032164</v>
      </c>
      <c r="Z2124" s="0" t="n">
        <f aca="false">04_回帰ANOVA!$K$19*04_回帰ANOVA!$K$14*SQRT(1+Y2124)</f>
        <v>1.58368831471718</v>
      </c>
      <c r="AA2124" s="0" t="n">
        <f aca="false">X2124-Z2124</f>
        <v>42.0257963344056</v>
      </c>
      <c r="AB2124" s="0" t="n">
        <f aca="false">X2124+Z2124</f>
        <v>45.1931729638399</v>
      </c>
      <c r="AC2124" s="54" t="b">
        <f aca="false">AND(E2124&gt;=01_因子設定!$L$5-0.000000001,E2124&lt;=01_因子設定!$M$5+0.000000001,F2124&gt;=01_因子設定!$L$6-0.000000001,F2124&lt;=01_因子設定!$M$6+0.000000001,G2124&gt;=01_因子設定!$L$7-0.000000001,G2124&lt;=01_因子設定!$M$7+0.000000001,H2124&gt;=01_因子設定!$L$8-0.000000001,H2124&lt;=01_因子設定!$M$8+0.000000001,IF(01_因子設定!$B$20="Box-Behnken",E2124^2+F2124^2+G2124^2+H2124^2&lt;=2+0.000000001,TRUE()))</f>
        <v>1</v>
      </c>
      <c r="AD2124" s="55" t="n">
        <f aca="false">IF(AC2124,IF(01_因子設定!$B$13="最大化",AA2124-01_因子設定!$B$14,IF(01_因子設定!$B$13="最小化",01_因子設定!$B$15-AB2124,MIN(AA2124-01_因子設定!$B$14,01_因子設定!$B$15-AB2124))),-1E+030)</f>
        <v>-4.47420366559442</v>
      </c>
      <c r="AE2124" s="55" t="n">
        <f aca="false">IF(AC2124,IF(01_因子設定!$B$13="最大化",X2124,IF(01_因子設定!$B$13="最小化",-X2124,-ABS(X2124-01_因子設定!$B$16))),-1E+030)</f>
        <v>43.6094846491228</v>
      </c>
      <c r="AF2124" s="55" t="n">
        <f aca="false">AD2124+ROW()*0.000000001</f>
        <v>-4.47420154159442</v>
      </c>
      <c r="AG2124" s="55" t="n">
        <f aca="false">AE2124+ROW()*0.000000001</f>
        <v>43.6094867731228</v>
      </c>
    </row>
    <row r="2125" customFormat="false" ht="15" hidden="false" customHeight="false" outlineLevel="0" collapsed="false">
      <c r="A2125" s="0" t="n">
        <v>2</v>
      </c>
      <c r="B2125" s="0" t="n">
        <v>8</v>
      </c>
      <c r="C2125" s="0" t="n">
        <v>1</v>
      </c>
      <c r="D2125" s="0" t="n">
        <v>5</v>
      </c>
      <c r="E2125" s="0" t="n">
        <f aca="false">-1+A2125*0.25</f>
        <v>-0.5</v>
      </c>
      <c r="F2125" s="0" t="n">
        <f aca="false">-1+B2125*0.25</f>
        <v>1</v>
      </c>
      <c r="G2125" s="0" t="n">
        <f aca="false">-1+C2125*0.25</f>
        <v>-0.75</v>
      </c>
      <c r="H2125" s="0" t="n">
        <f aca="false">-1+D2125*0.25</f>
        <v>0.25</v>
      </c>
      <c r="I2125" s="0" t="n">
        <f aca="false">1</f>
        <v>1</v>
      </c>
      <c r="J2125" s="0" t="n">
        <f aca="false">E2125</f>
        <v>-0.5</v>
      </c>
      <c r="K2125" s="0" t="n">
        <f aca="false">F2125</f>
        <v>1</v>
      </c>
      <c r="L2125" s="0" t="n">
        <f aca="false">G2125</f>
        <v>-0.75</v>
      </c>
      <c r="M2125" s="0" t="n">
        <f aca="false">H2125</f>
        <v>0.25</v>
      </c>
      <c r="N2125" s="0" t="n">
        <f aca="false">E2125*F2125</f>
        <v>-0.5</v>
      </c>
      <c r="O2125" s="0" t="n">
        <f aca="false">E2125*G2125</f>
        <v>0.375</v>
      </c>
      <c r="P2125" s="0" t="n">
        <f aca="false">E2125*H2125</f>
        <v>-0.125</v>
      </c>
      <c r="Q2125" s="0" t="n">
        <f aca="false">F2125*G2125</f>
        <v>-0.75</v>
      </c>
      <c r="R2125" s="0" t="n">
        <f aca="false">F2125*H2125</f>
        <v>0.25</v>
      </c>
      <c r="S2125" s="0" t="n">
        <f aca="false">G2125*H2125</f>
        <v>-0.1875</v>
      </c>
      <c r="T2125" s="0" t="n">
        <f aca="false">E2125*E2125</f>
        <v>0.25</v>
      </c>
      <c r="U2125" s="0" t="n">
        <f aca="false">F2125*F2125</f>
        <v>1</v>
      </c>
      <c r="V2125" s="0" t="n">
        <f aca="false">G2125*G2125</f>
        <v>0.5625</v>
      </c>
      <c r="W2125" s="0" t="n">
        <f aca="false">H2125*H2125</f>
        <v>0.0625</v>
      </c>
      <c r="X2125" s="0" t="n">
        <f aca="false">SUMPRODUCT(I2125:W2125,_XtX!$B$96:$P$96)</f>
        <v>43.5643137792397</v>
      </c>
      <c r="Y2125" s="0" t="n">
        <f aca="false">SUMPRODUCT(MMULT(I2125:W2125,_XtX!$B$78:$P$92),I2125:W2125)</f>
        <v>0.459125719572369</v>
      </c>
      <c r="Z2125" s="0" t="n">
        <f aca="false">04_回帰ANOVA!$K$19*04_回帰ANOVA!$K$14*SQRT(1+Y2125)</f>
        <v>1.57450755575573</v>
      </c>
      <c r="AA2125" s="0" t="n">
        <f aca="false">X2125-Z2125</f>
        <v>41.989806223484</v>
      </c>
      <c r="AB2125" s="0" t="n">
        <f aca="false">X2125+Z2125</f>
        <v>45.1388213349955</v>
      </c>
      <c r="AC2125" s="54" t="b">
        <f aca="false">AND(E2125&gt;=01_因子設定!$L$5-0.000000001,E2125&lt;=01_因子設定!$M$5+0.000000001,F2125&gt;=01_因子設定!$L$6-0.000000001,F2125&lt;=01_因子設定!$M$6+0.000000001,G2125&gt;=01_因子設定!$L$7-0.000000001,G2125&lt;=01_因子設定!$M$7+0.000000001,H2125&gt;=01_因子設定!$L$8-0.000000001,H2125&lt;=01_因子設定!$M$8+0.000000001,IF(01_因子設定!$B$20="Box-Behnken",E2125^2+F2125^2+G2125^2+H2125^2&lt;=2+0.000000001,TRUE()))</f>
        <v>1</v>
      </c>
      <c r="AD2125" s="55" t="n">
        <f aca="false">IF(AC2125,IF(01_因子設定!$B$13="最大化",AA2125-01_因子設定!$B$14,IF(01_因子設定!$B$13="最小化",01_因子設定!$B$15-AB2125,MIN(AA2125-01_因子設定!$B$14,01_因子設定!$B$15-AB2125))),-1E+030)</f>
        <v>-4.510193776516</v>
      </c>
      <c r="AE2125" s="55" t="n">
        <f aca="false">IF(AC2125,IF(01_因子設定!$B$13="最大化",X2125,IF(01_因子設定!$B$13="最小化",-X2125,-ABS(X2125-01_因子設定!$B$16))),-1E+030)</f>
        <v>43.5643137792397</v>
      </c>
      <c r="AF2125" s="55" t="n">
        <f aca="false">AD2125+ROW()*0.000000001</f>
        <v>-4.510191651516</v>
      </c>
      <c r="AG2125" s="55" t="n">
        <f aca="false">AE2125+ROW()*0.000000001</f>
        <v>43.5643159042397</v>
      </c>
    </row>
    <row r="2126" customFormat="false" ht="15" hidden="false" customHeight="false" outlineLevel="0" collapsed="false">
      <c r="A2126" s="0" t="n">
        <v>2</v>
      </c>
      <c r="B2126" s="0" t="n">
        <v>8</v>
      </c>
      <c r="C2126" s="0" t="n">
        <v>1</v>
      </c>
      <c r="D2126" s="0" t="n">
        <v>6</v>
      </c>
      <c r="E2126" s="0" t="n">
        <f aca="false">-1+A2126*0.25</f>
        <v>-0.5</v>
      </c>
      <c r="F2126" s="0" t="n">
        <f aca="false">-1+B2126*0.25</f>
        <v>1</v>
      </c>
      <c r="G2126" s="0" t="n">
        <f aca="false">-1+C2126*0.25</f>
        <v>-0.75</v>
      </c>
      <c r="H2126" s="0" t="n">
        <f aca="false">-1+D2126*0.25</f>
        <v>0.5</v>
      </c>
      <c r="I2126" s="0" t="n">
        <f aca="false">1</f>
        <v>1</v>
      </c>
      <c r="J2126" s="0" t="n">
        <f aca="false">E2126</f>
        <v>-0.5</v>
      </c>
      <c r="K2126" s="0" t="n">
        <f aca="false">F2126</f>
        <v>1</v>
      </c>
      <c r="L2126" s="0" t="n">
        <f aca="false">G2126</f>
        <v>-0.75</v>
      </c>
      <c r="M2126" s="0" t="n">
        <f aca="false">H2126</f>
        <v>0.5</v>
      </c>
      <c r="N2126" s="0" t="n">
        <f aca="false">E2126*F2126</f>
        <v>-0.5</v>
      </c>
      <c r="O2126" s="0" t="n">
        <f aca="false">E2126*G2126</f>
        <v>0.375</v>
      </c>
      <c r="P2126" s="0" t="n">
        <f aca="false">E2126*H2126</f>
        <v>-0.25</v>
      </c>
      <c r="Q2126" s="0" t="n">
        <f aca="false">F2126*G2126</f>
        <v>-0.75</v>
      </c>
      <c r="R2126" s="0" t="n">
        <f aca="false">F2126*H2126</f>
        <v>0.5</v>
      </c>
      <c r="S2126" s="0" t="n">
        <f aca="false">G2126*H2126</f>
        <v>-0.375</v>
      </c>
      <c r="T2126" s="0" t="n">
        <f aca="false">E2126*E2126</f>
        <v>0.25</v>
      </c>
      <c r="U2126" s="0" t="n">
        <f aca="false">F2126*F2126</f>
        <v>1</v>
      </c>
      <c r="V2126" s="0" t="n">
        <f aca="false">G2126*G2126</f>
        <v>0.5625</v>
      </c>
      <c r="W2126" s="0" t="n">
        <f aca="false">H2126*H2126</f>
        <v>0.25</v>
      </c>
      <c r="X2126" s="0" t="n">
        <f aca="false">SUMPRODUCT(I2126:W2126,_XtX!$B$96:$P$96)</f>
        <v>43.4713358918128</v>
      </c>
      <c r="Y2126" s="0" t="n">
        <f aca="false">SUMPRODUCT(MMULT(I2126:W2126,_XtX!$B$78:$P$92),I2126:W2126)</f>
        <v>0.42602110745614</v>
      </c>
      <c r="Z2126" s="0" t="n">
        <f aca="false">04_回帰ANOVA!$K$19*04_回帰ANOVA!$K$14*SQRT(1+Y2126)</f>
        <v>1.55654388501114</v>
      </c>
      <c r="AA2126" s="0" t="n">
        <f aca="false">X2126-Z2126</f>
        <v>41.9147920068017</v>
      </c>
      <c r="AB2126" s="0" t="n">
        <f aca="false">X2126+Z2126</f>
        <v>45.027879776824</v>
      </c>
      <c r="AC2126" s="54" t="b">
        <f aca="false">AND(E2126&gt;=01_因子設定!$L$5-0.000000001,E2126&lt;=01_因子設定!$M$5+0.000000001,F2126&gt;=01_因子設定!$L$6-0.000000001,F2126&lt;=01_因子設定!$M$6+0.000000001,G2126&gt;=01_因子設定!$L$7-0.000000001,G2126&lt;=01_因子設定!$M$7+0.000000001,H2126&gt;=01_因子設定!$L$8-0.000000001,H2126&lt;=01_因子設定!$M$8+0.000000001,IF(01_因子設定!$B$20="Box-Behnken",E2126^2+F2126^2+G2126^2+H2126^2&lt;=2+0.000000001,TRUE()))</f>
        <v>1</v>
      </c>
      <c r="AD2126" s="55" t="n">
        <f aca="false">IF(AC2126,IF(01_因子設定!$B$13="最大化",AA2126-01_因子設定!$B$14,IF(01_因子設定!$B$13="最小化",01_因子設定!$B$15-AB2126,MIN(AA2126-01_因子設定!$B$14,01_因子設定!$B$15-AB2126))),-1E+030)</f>
        <v>-4.5852079931983</v>
      </c>
      <c r="AE2126" s="55" t="n">
        <f aca="false">IF(AC2126,IF(01_因子設定!$B$13="最大化",X2126,IF(01_因子設定!$B$13="最小化",-X2126,-ABS(X2126-01_因子設定!$B$16))),-1E+030)</f>
        <v>43.4713358918128</v>
      </c>
      <c r="AF2126" s="55" t="n">
        <f aca="false">AD2126+ROW()*0.000000001</f>
        <v>-4.5852058671983</v>
      </c>
      <c r="AG2126" s="55" t="n">
        <f aca="false">AE2126+ROW()*0.000000001</f>
        <v>43.4713380178128</v>
      </c>
    </row>
    <row r="2127" customFormat="false" ht="15" hidden="false" customHeight="false" outlineLevel="0" collapsed="false">
      <c r="A2127" s="0" t="n">
        <v>2</v>
      </c>
      <c r="B2127" s="0" t="n">
        <v>8</v>
      </c>
      <c r="C2127" s="0" t="n">
        <v>1</v>
      </c>
      <c r="D2127" s="0" t="n">
        <v>7</v>
      </c>
      <c r="E2127" s="0" t="n">
        <f aca="false">-1+A2127*0.25</f>
        <v>-0.5</v>
      </c>
      <c r="F2127" s="0" t="n">
        <f aca="false">-1+B2127*0.25</f>
        <v>1</v>
      </c>
      <c r="G2127" s="0" t="n">
        <f aca="false">-1+C2127*0.25</f>
        <v>-0.75</v>
      </c>
      <c r="H2127" s="0" t="n">
        <f aca="false">-1+D2127*0.25</f>
        <v>0.75</v>
      </c>
      <c r="I2127" s="0" t="n">
        <f aca="false">1</f>
        <v>1</v>
      </c>
      <c r="J2127" s="0" t="n">
        <f aca="false">E2127</f>
        <v>-0.5</v>
      </c>
      <c r="K2127" s="0" t="n">
        <f aca="false">F2127</f>
        <v>1</v>
      </c>
      <c r="L2127" s="0" t="n">
        <f aca="false">G2127</f>
        <v>-0.75</v>
      </c>
      <c r="M2127" s="0" t="n">
        <f aca="false">H2127</f>
        <v>0.75</v>
      </c>
      <c r="N2127" s="0" t="n">
        <f aca="false">E2127*F2127</f>
        <v>-0.5</v>
      </c>
      <c r="O2127" s="0" t="n">
        <f aca="false">E2127*G2127</f>
        <v>0.375</v>
      </c>
      <c r="P2127" s="0" t="n">
        <f aca="false">E2127*H2127</f>
        <v>-0.375</v>
      </c>
      <c r="Q2127" s="0" t="n">
        <f aca="false">F2127*G2127</f>
        <v>-0.75</v>
      </c>
      <c r="R2127" s="0" t="n">
        <f aca="false">F2127*H2127</f>
        <v>0.75</v>
      </c>
      <c r="S2127" s="0" t="n">
        <f aca="false">G2127*H2127</f>
        <v>-0.5625</v>
      </c>
      <c r="T2127" s="0" t="n">
        <f aca="false">E2127*E2127</f>
        <v>0.25</v>
      </c>
      <c r="U2127" s="0" t="n">
        <f aca="false">F2127*F2127</f>
        <v>1</v>
      </c>
      <c r="V2127" s="0" t="n">
        <f aca="false">G2127*G2127</f>
        <v>0.5625</v>
      </c>
      <c r="W2127" s="0" t="n">
        <f aca="false">H2127*H2127</f>
        <v>0.5625</v>
      </c>
      <c r="X2127" s="0" t="n">
        <f aca="false">SUMPRODUCT(I2127:W2127,_XtX!$B$96:$P$96)</f>
        <v>43.3305509868421</v>
      </c>
      <c r="Y2127" s="0" t="n">
        <f aca="false">SUMPRODUCT(MMULT(I2127:W2127,_XtX!$B$78:$P$92),I2127:W2127)</f>
        <v>0.431153771472953</v>
      </c>
      <c r="Z2127" s="0" t="n">
        <f aca="false">04_回帰ANOVA!$K$19*04_回帰ANOVA!$K$14*SQRT(1+Y2127)</f>
        <v>1.55934259562563</v>
      </c>
      <c r="AA2127" s="0" t="n">
        <f aca="false">X2127-Z2127</f>
        <v>41.7712083912165</v>
      </c>
      <c r="AB2127" s="0" t="n">
        <f aca="false">X2127+Z2127</f>
        <v>44.8898935824677</v>
      </c>
      <c r="AC2127" s="54" t="b">
        <f aca="false">AND(E2127&gt;=01_因子設定!$L$5-0.000000001,E2127&lt;=01_因子設定!$M$5+0.000000001,F2127&gt;=01_因子設定!$L$6-0.000000001,F2127&lt;=01_因子設定!$M$6+0.000000001,G2127&gt;=01_因子設定!$L$7-0.000000001,G2127&lt;=01_因子設定!$M$7+0.000000001,H2127&gt;=01_因子設定!$L$8-0.000000001,H2127&lt;=01_因子設定!$M$8+0.000000001,IF(01_因子設定!$B$20="Box-Behnken",E2127^2+F2127^2+G2127^2+H2127^2&lt;=2+0.000000001,TRUE()))</f>
        <v>1</v>
      </c>
      <c r="AD2127" s="55" t="n">
        <f aca="false">IF(AC2127,IF(01_因子設定!$B$13="最大化",AA2127-01_因子設定!$B$14,IF(01_因子設定!$B$13="最小化",01_因子設定!$B$15-AB2127,MIN(AA2127-01_因子設定!$B$14,01_因子設定!$B$15-AB2127))),-1E+030)</f>
        <v>-4.72879160878355</v>
      </c>
      <c r="AE2127" s="55" t="n">
        <f aca="false">IF(AC2127,IF(01_因子設定!$B$13="最大化",X2127,IF(01_因子設定!$B$13="最小化",-X2127,-ABS(X2127-01_因子設定!$B$16))),-1E+030)</f>
        <v>43.3305509868421</v>
      </c>
      <c r="AF2127" s="55" t="n">
        <f aca="false">AD2127+ROW()*0.000000001</f>
        <v>-4.72878948178355</v>
      </c>
      <c r="AG2127" s="55" t="n">
        <f aca="false">AE2127+ROW()*0.000000001</f>
        <v>43.3305531138421</v>
      </c>
    </row>
    <row r="2128" customFormat="false" ht="15" hidden="false" customHeight="false" outlineLevel="0" collapsed="false">
      <c r="A2128" s="0" t="n">
        <v>2</v>
      </c>
      <c r="B2128" s="0" t="n">
        <v>8</v>
      </c>
      <c r="C2128" s="0" t="n">
        <v>1</v>
      </c>
      <c r="D2128" s="0" t="n">
        <v>8</v>
      </c>
      <c r="E2128" s="0" t="n">
        <f aca="false">-1+A2128*0.25</f>
        <v>-0.5</v>
      </c>
      <c r="F2128" s="0" t="n">
        <f aca="false">-1+B2128*0.25</f>
        <v>1</v>
      </c>
      <c r="G2128" s="0" t="n">
        <f aca="false">-1+C2128*0.25</f>
        <v>-0.75</v>
      </c>
      <c r="H2128" s="0" t="n">
        <f aca="false">-1+D2128*0.25</f>
        <v>1</v>
      </c>
      <c r="I2128" s="0" t="n">
        <f aca="false">1</f>
        <v>1</v>
      </c>
      <c r="J2128" s="0" t="n">
        <f aca="false">E2128</f>
        <v>-0.5</v>
      </c>
      <c r="K2128" s="0" t="n">
        <f aca="false">F2128</f>
        <v>1</v>
      </c>
      <c r="L2128" s="0" t="n">
        <f aca="false">G2128</f>
        <v>-0.75</v>
      </c>
      <c r="M2128" s="0" t="n">
        <f aca="false">H2128</f>
        <v>1</v>
      </c>
      <c r="N2128" s="0" t="n">
        <f aca="false">E2128*F2128</f>
        <v>-0.5</v>
      </c>
      <c r="O2128" s="0" t="n">
        <f aca="false">E2128*G2128</f>
        <v>0.375</v>
      </c>
      <c r="P2128" s="0" t="n">
        <f aca="false">E2128*H2128</f>
        <v>-0.5</v>
      </c>
      <c r="Q2128" s="0" t="n">
        <f aca="false">F2128*G2128</f>
        <v>-0.75</v>
      </c>
      <c r="R2128" s="0" t="n">
        <f aca="false">F2128*H2128</f>
        <v>1</v>
      </c>
      <c r="S2128" s="0" t="n">
        <f aca="false">G2128*H2128</f>
        <v>-0.75</v>
      </c>
      <c r="T2128" s="0" t="n">
        <f aca="false">E2128*E2128</f>
        <v>0.25</v>
      </c>
      <c r="U2128" s="0" t="n">
        <f aca="false">F2128*F2128</f>
        <v>1</v>
      </c>
      <c r="V2128" s="0" t="n">
        <f aca="false">G2128*G2128</f>
        <v>0.5625</v>
      </c>
      <c r="W2128" s="0" t="n">
        <f aca="false">H2128*H2128</f>
        <v>1</v>
      </c>
      <c r="X2128" s="0" t="n">
        <f aca="false">SUMPRODUCT(I2128:W2128,_XtX!$B$96:$P$96)</f>
        <v>43.1419590643275</v>
      </c>
      <c r="Y2128" s="0" t="n">
        <f aca="false">SUMPRODUCT(MMULT(I2128:W2128,_XtX!$B$78:$P$92),I2128:W2128)</f>
        <v>0.564984237938597</v>
      </c>
      <c r="Z2128" s="0" t="n">
        <f aca="false">04_回帰ANOVA!$K$19*04_回帰ANOVA!$K$14*SQRT(1+Y2128)</f>
        <v>1.63062229734503</v>
      </c>
      <c r="AA2128" s="0" t="n">
        <f aca="false">X2128-Z2128</f>
        <v>41.5113367669824</v>
      </c>
      <c r="AB2128" s="0" t="n">
        <f aca="false">X2128+Z2128</f>
        <v>44.7725813616725</v>
      </c>
      <c r="AC2128" s="54" t="b">
        <f aca="false">AND(E2128&gt;=01_因子設定!$L$5-0.000000001,E2128&lt;=01_因子設定!$M$5+0.000000001,F2128&gt;=01_因子設定!$L$6-0.000000001,F2128&lt;=01_因子設定!$M$6+0.000000001,G2128&gt;=01_因子設定!$L$7-0.000000001,G2128&lt;=01_因子設定!$M$7+0.000000001,H2128&gt;=01_因子設定!$L$8-0.000000001,H2128&lt;=01_因子設定!$M$8+0.000000001,IF(01_因子設定!$B$20="Box-Behnken",E2128^2+F2128^2+G2128^2+H2128^2&lt;=2+0.000000001,TRUE()))</f>
        <v>1</v>
      </c>
      <c r="AD2128" s="55" t="n">
        <f aca="false">IF(AC2128,IF(01_因子設定!$B$13="最大化",AA2128-01_因子設定!$B$14,IF(01_因子設定!$B$13="最小化",01_因子設定!$B$15-AB2128,MIN(AA2128-01_因子設定!$B$14,01_因子設定!$B$15-AB2128))),-1E+030)</f>
        <v>-4.98866323301755</v>
      </c>
      <c r="AE2128" s="55" t="n">
        <f aca="false">IF(AC2128,IF(01_因子設定!$B$13="最大化",X2128,IF(01_因子設定!$B$13="最小化",-X2128,-ABS(X2128-01_因子設定!$B$16))),-1E+030)</f>
        <v>43.1419590643275</v>
      </c>
      <c r="AF2128" s="55" t="n">
        <f aca="false">AD2128+ROW()*0.000000001</f>
        <v>-4.98866110501755</v>
      </c>
      <c r="AG2128" s="55" t="n">
        <f aca="false">AE2128+ROW()*0.000000001</f>
        <v>43.1419611923275</v>
      </c>
    </row>
    <row r="2129" customFormat="false" ht="15" hidden="false" customHeight="false" outlineLevel="0" collapsed="false">
      <c r="A2129" s="0" t="n">
        <v>2</v>
      </c>
      <c r="B2129" s="0" t="n">
        <v>8</v>
      </c>
      <c r="C2129" s="0" t="n">
        <v>2</v>
      </c>
      <c r="D2129" s="0" t="n">
        <v>0</v>
      </c>
      <c r="E2129" s="0" t="n">
        <f aca="false">-1+A2129*0.25</f>
        <v>-0.5</v>
      </c>
      <c r="F2129" s="0" t="n">
        <f aca="false">-1+B2129*0.25</f>
        <v>1</v>
      </c>
      <c r="G2129" s="0" t="n">
        <f aca="false">-1+C2129*0.25</f>
        <v>-0.5</v>
      </c>
      <c r="H2129" s="0" t="n">
        <f aca="false">-1+D2129*0.25</f>
        <v>-1</v>
      </c>
      <c r="I2129" s="0" t="n">
        <f aca="false">1</f>
        <v>1</v>
      </c>
      <c r="J2129" s="0" t="n">
        <f aca="false">E2129</f>
        <v>-0.5</v>
      </c>
      <c r="K2129" s="0" t="n">
        <f aca="false">F2129</f>
        <v>1</v>
      </c>
      <c r="L2129" s="0" t="n">
        <f aca="false">G2129</f>
        <v>-0.5</v>
      </c>
      <c r="M2129" s="0" t="n">
        <f aca="false">H2129</f>
        <v>-1</v>
      </c>
      <c r="N2129" s="0" t="n">
        <f aca="false">E2129*F2129</f>
        <v>-0.5</v>
      </c>
      <c r="O2129" s="0" t="n">
        <f aca="false">E2129*G2129</f>
        <v>0.25</v>
      </c>
      <c r="P2129" s="0" t="n">
        <f aca="false">E2129*H2129</f>
        <v>0.5</v>
      </c>
      <c r="Q2129" s="0" t="n">
        <f aca="false">F2129*G2129</f>
        <v>-0.5</v>
      </c>
      <c r="R2129" s="0" t="n">
        <f aca="false">F2129*H2129</f>
        <v>-1</v>
      </c>
      <c r="S2129" s="0" t="n">
        <f aca="false">G2129*H2129</f>
        <v>0.5</v>
      </c>
      <c r="T2129" s="0" t="n">
        <f aca="false">E2129*E2129</f>
        <v>0.25</v>
      </c>
      <c r="U2129" s="0" t="n">
        <f aca="false">F2129*F2129</f>
        <v>1</v>
      </c>
      <c r="V2129" s="0" t="n">
        <f aca="false">G2129*G2129</f>
        <v>0.25</v>
      </c>
      <c r="W2129" s="0" t="n">
        <f aca="false">H2129*H2129</f>
        <v>1</v>
      </c>
      <c r="X2129" s="0" t="n">
        <f aca="false">SUMPRODUCT(I2129:W2129,_XtX!$B$96:$P$96)</f>
        <v>43.8586988304094</v>
      </c>
      <c r="Y2129" s="0" t="n">
        <f aca="false">SUMPRODUCT(MMULT(I2129:W2129,_XtX!$B$78:$P$92),I2129:W2129)</f>
        <v>0.582488121345029</v>
      </c>
      <c r="Z2129" s="0" t="n">
        <f aca="false">04_回帰ANOVA!$K$19*04_回帰ANOVA!$K$14*SQRT(1+Y2129)</f>
        <v>1.63971595338287</v>
      </c>
      <c r="AA2129" s="0" t="n">
        <f aca="false">X2129-Z2129</f>
        <v>42.2189828770265</v>
      </c>
      <c r="AB2129" s="0" t="n">
        <f aca="false">X2129+Z2129</f>
        <v>45.4984147837922</v>
      </c>
      <c r="AC2129" s="54" t="b">
        <f aca="false">AND(E2129&gt;=01_因子設定!$L$5-0.000000001,E2129&lt;=01_因子設定!$M$5+0.000000001,F2129&gt;=01_因子設定!$L$6-0.000000001,F2129&lt;=01_因子設定!$M$6+0.000000001,G2129&gt;=01_因子設定!$L$7-0.000000001,G2129&lt;=01_因子設定!$M$7+0.000000001,H2129&gt;=01_因子設定!$L$8-0.000000001,H2129&lt;=01_因子設定!$M$8+0.000000001,IF(01_因子設定!$B$20="Box-Behnken",E2129^2+F2129^2+G2129^2+H2129^2&lt;=2+0.000000001,TRUE()))</f>
        <v>1</v>
      </c>
      <c r="AD2129" s="55" t="n">
        <f aca="false">IF(AC2129,IF(01_因子設定!$B$13="最大化",AA2129-01_因子設定!$B$14,IF(01_因子設定!$B$13="最小化",01_因子設定!$B$15-AB2129,MIN(AA2129-01_因子設定!$B$14,01_因子設定!$B$15-AB2129))),-1E+030)</f>
        <v>-4.28101712297352</v>
      </c>
      <c r="AE2129" s="55" t="n">
        <f aca="false">IF(AC2129,IF(01_因子設定!$B$13="最大化",X2129,IF(01_因子設定!$B$13="最小化",-X2129,-ABS(X2129-01_因子設定!$B$16))),-1E+030)</f>
        <v>43.8586988304094</v>
      </c>
      <c r="AF2129" s="55" t="n">
        <f aca="false">AD2129+ROW()*0.000000001</f>
        <v>-4.28101499397352</v>
      </c>
      <c r="AG2129" s="55" t="n">
        <f aca="false">AE2129+ROW()*0.000000001</f>
        <v>43.8587009594094</v>
      </c>
    </row>
    <row r="2130" customFormat="false" ht="15" hidden="false" customHeight="false" outlineLevel="0" collapsed="false">
      <c r="A2130" s="0" t="n">
        <v>2</v>
      </c>
      <c r="B2130" s="0" t="n">
        <v>8</v>
      </c>
      <c r="C2130" s="0" t="n">
        <v>2</v>
      </c>
      <c r="D2130" s="0" t="n">
        <v>1</v>
      </c>
      <c r="E2130" s="0" t="n">
        <f aca="false">-1+A2130*0.25</f>
        <v>-0.5</v>
      </c>
      <c r="F2130" s="0" t="n">
        <f aca="false">-1+B2130*0.25</f>
        <v>1</v>
      </c>
      <c r="G2130" s="0" t="n">
        <f aca="false">-1+C2130*0.25</f>
        <v>-0.5</v>
      </c>
      <c r="H2130" s="0" t="n">
        <f aca="false">-1+D2130*0.25</f>
        <v>-0.75</v>
      </c>
      <c r="I2130" s="0" t="n">
        <f aca="false">1</f>
        <v>1</v>
      </c>
      <c r="J2130" s="0" t="n">
        <f aca="false">E2130</f>
        <v>-0.5</v>
      </c>
      <c r="K2130" s="0" t="n">
        <f aca="false">F2130</f>
        <v>1</v>
      </c>
      <c r="L2130" s="0" t="n">
        <f aca="false">G2130</f>
        <v>-0.5</v>
      </c>
      <c r="M2130" s="0" t="n">
        <f aca="false">H2130</f>
        <v>-0.75</v>
      </c>
      <c r="N2130" s="0" t="n">
        <f aca="false">E2130*F2130</f>
        <v>-0.5</v>
      </c>
      <c r="O2130" s="0" t="n">
        <f aca="false">E2130*G2130</f>
        <v>0.25</v>
      </c>
      <c r="P2130" s="0" t="n">
        <f aca="false">E2130*H2130</f>
        <v>0.375</v>
      </c>
      <c r="Q2130" s="0" t="n">
        <f aca="false">F2130*G2130</f>
        <v>-0.5</v>
      </c>
      <c r="R2130" s="0" t="n">
        <f aca="false">F2130*H2130</f>
        <v>-0.75</v>
      </c>
      <c r="S2130" s="0" t="n">
        <f aca="false">G2130*H2130</f>
        <v>0.375</v>
      </c>
      <c r="T2130" s="0" t="n">
        <f aca="false">E2130*E2130</f>
        <v>0.25</v>
      </c>
      <c r="U2130" s="0" t="n">
        <f aca="false">F2130*F2130</f>
        <v>1</v>
      </c>
      <c r="V2130" s="0" t="n">
        <f aca="false">G2130*G2130</f>
        <v>0.25</v>
      </c>
      <c r="W2130" s="0" t="n">
        <f aca="false">H2130*H2130</f>
        <v>0.5625</v>
      </c>
      <c r="X2130" s="0" t="n">
        <f aca="false">SUMPRODUCT(I2130:W2130,_XtX!$B$96:$P$96)</f>
        <v>44.0227247807017</v>
      </c>
      <c r="Y2130" s="0" t="n">
        <f aca="false">SUMPRODUCT(MMULT(I2130:W2130,_XtX!$B$78:$P$92),I2130:W2130)</f>
        <v>0.42602110745614</v>
      </c>
      <c r="Z2130" s="0" t="n">
        <f aca="false">04_回帰ANOVA!$K$19*04_回帰ANOVA!$K$14*SQRT(1+Y2130)</f>
        <v>1.55654388501114</v>
      </c>
      <c r="AA2130" s="0" t="n">
        <f aca="false">X2130-Z2130</f>
        <v>42.4661808956906</v>
      </c>
      <c r="AB2130" s="0" t="n">
        <f aca="false">X2130+Z2130</f>
        <v>45.5792686657129</v>
      </c>
      <c r="AC2130" s="54" t="b">
        <f aca="false">AND(E2130&gt;=01_因子設定!$L$5-0.000000001,E2130&lt;=01_因子設定!$M$5+0.000000001,F2130&gt;=01_因子設定!$L$6-0.000000001,F2130&lt;=01_因子設定!$M$6+0.000000001,G2130&gt;=01_因子設定!$L$7-0.000000001,G2130&lt;=01_因子設定!$M$7+0.000000001,H2130&gt;=01_因子設定!$L$8-0.000000001,H2130&lt;=01_因子設定!$M$8+0.000000001,IF(01_因子設定!$B$20="Box-Behnken",E2130^2+F2130^2+G2130^2+H2130^2&lt;=2+0.000000001,TRUE()))</f>
        <v>1</v>
      </c>
      <c r="AD2130" s="55" t="n">
        <f aca="false">IF(AC2130,IF(01_因子設定!$B$13="最大化",AA2130-01_因子設定!$B$14,IF(01_因子設定!$B$13="最小化",01_因子設定!$B$15-AB2130,MIN(AA2130-01_因子設定!$B$14,01_因子設定!$B$15-AB2130))),-1E+030)</f>
        <v>-4.0338191043094</v>
      </c>
      <c r="AE2130" s="55" t="n">
        <f aca="false">IF(AC2130,IF(01_因子設定!$B$13="最大化",X2130,IF(01_因子設定!$B$13="最小化",-X2130,-ABS(X2130-01_因子設定!$B$16))),-1E+030)</f>
        <v>44.0227247807017</v>
      </c>
      <c r="AF2130" s="55" t="n">
        <f aca="false">AD2130+ROW()*0.000000001</f>
        <v>-4.0338169743094</v>
      </c>
      <c r="AG2130" s="55" t="n">
        <f aca="false">AE2130+ROW()*0.000000001</f>
        <v>44.0227269107017</v>
      </c>
    </row>
    <row r="2131" customFormat="false" ht="15" hidden="false" customHeight="false" outlineLevel="0" collapsed="false">
      <c r="A2131" s="0" t="n">
        <v>2</v>
      </c>
      <c r="B2131" s="0" t="n">
        <v>8</v>
      </c>
      <c r="C2131" s="0" t="n">
        <v>2</v>
      </c>
      <c r="D2131" s="0" t="n">
        <v>2</v>
      </c>
      <c r="E2131" s="0" t="n">
        <f aca="false">-1+A2131*0.25</f>
        <v>-0.5</v>
      </c>
      <c r="F2131" s="0" t="n">
        <f aca="false">-1+B2131*0.25</f>
        <v>1</v>
      </c>
      <c r="G2131" s="0" t="n">
        <f aca="false">-1+C2131*0.25</f>
        <v>-0.5</v>
      </c>
      <c r="H2131" s="0" t="n">
        <f aca="false">-1+D2131*0.25</f>
        <v>-0.5</v>
      </c>
      <c r="I2131" s="0" t="n">
        <f aca="false">1</f>
        <v>1</v>
      </c>
      <c r="J2131" s="0" t="n">
        <f aca="false">E2131</f>
        <v>-0.5</v>
      </c>
      <c r="K2131" s="0" t="n">
        <f aca="false">F2131</f>
        <v>1</v>
      </c>
      <c r="L2131" s="0" t="n">
        <f aca="false">G2131</f>
        <v>-0.5</v>
      </c>
      <c r="M2131" s="0" t="n">
        <f aca="false">H2131</f>
        <v>-0.5</v>
      </c>
      <c r="N2131" s="0" t="n">
        <f aca="false">E2131*F2131</f>
        <v>-0.5</v>
      </c>
      <c r="O2131" s="0" t="n">
        <f aca="false">E2131*G2131</f>
        <v>0.25</v>
      </c>
      <c r="P2131" s="0" t="n">
        <f aca="false">E2131*H2131</f>
        <v>0.25</v>
      </c>
      <c r="Q2131" s="0" t="n">
        <f aca="false">F2131*G2131</f>
        <v>-0.5</v>
      </c>
      <c r="R2131" s="0" t="n">
        <f aca="false">F2131*H2131</f>
        <v>-0.5</v>
      </c>
      <c r="S2131" s="0" t="n">
        <f aca="false">G2131*H2131</f>
        <v>0.25</v>
      </c>
      <c r="T2131" s="0" t="n">
        <f aca="false">E2131*E2131</f>
        <v>0.25</v>
      </c>
      <c r="U2131" s="0" t="n">
        <f aca="false">F2131*F2131</f>
        <v>1</v>
      </c>
      <c r="V2131" s="0" t="n">
        <f aca="false">G2131*G2131</f>
        <v>0.25</v>
      </c>
      <c r="W2131" s="0" t="n">
        <f aca="false">H2131*H2131</f>
        <v>0.25</v>
      </c>
      <c r="X2131" s="0" t="n">
        <f aca="false">SUMPRODUCT(I2131:W2131,_XtX!$B$96:$P$96)</f>
        <v>44.1389437134503</v>
      </c>
      <c r="Y2131" s="0" t="n">
        <f aca="false">SUMPRODUCT(MMULT(I2131:W2131,_XtX!$B$78:$P$92),I2131:W2131)</f>
        <v>0.404719480994152</v>
      </c>
      <c r="Z2131" s="0" t="n">
        <f aca="false">04_回帰ANOVA!$K$19*04_回帰ANOVA!$K$14*SQRT(1+Y2131)</f>
        <v>1.54487446697867</v>
      </c>
      <c r="AA2131" s="0" t="n">
        <f aca="false">X2131-Z2131</f>
        <v>42.5940692464716</v>
      </c>
      <c r="AB2131" s="0" t="n">
        <f aca="false">X2131+Z2131</f>
        <v>45.6838181804289</v>
      </c>
      <c r="AC2131" s="54" t="b">
        <f aca="false">AND(E2131&gt;=01_因子設定!$L$5-0.000000001,E2131&lt;=01_因子設定!$M$5+0.000000001,F2131&gt;=01_因子設定!$L$6-0.000000001,F2131&lt;=01_因子設定!$M$6+0.000000001,G2131&gt;=01_因子設定!$L$7-0.000000001,G2131&lt;=01_因子設定!$M$7+0.000000001,H2131&gt;=01_因子設定!$L$8-0.000000001,H2131&lt;=01_因子設定!$M$8+0.000000001,IF(01_因子設定!$B$20="Box-Behnken",E2131^2+F2131^2+G2131^2+H2131^2&lt;=2+0.000000001,TRUE()))</f>
        <v>1</v>
      </c>
      <c r="AD2131" s="55" t="n">
        <f aca="false">IF(AC2131,IF(01_因子設定!$B$13="最大化",AA2131-01_因子設定!$B$14,IF(01_因子設定!$B$13="最小化",01_因子設定!$B$15-AB2131,MIN(AA2131-01_因子設定!$B$14,01_因子設定!$B$15-AB2131))),-1E+030)</f>
        <v>-3.90593075352842</v>
      </c>
      <c r="AE2131" s="55" t="n">
        <f aca="false">IF(AC2131,IF(01_因子設定!$B$13="最大化",X2131,IF(01_因子設定!$B$13="最小化",-X2131,-ABS(X2131-01_因子設定!$B$16))),-1E+030)</f>
        <v>44.1389437134503</v>
      </c>
      <c r="AF2131" s="55" t="n">
        <f aca="false">AD2131+ROW()*0.000000001</f>
        <v>-3.90592862252842</v>
      </c>
      <c r="AG2131" s="55" t="n">
        <f aca="false">AE2131+ROW()*0.000000001</f>
        <v>44.1389458444503</v>
      </c>
    </row>
    <row r="2132" customFormat="false" ht="15" hidden="false" customHeight="false" outlineLevel="0" collapsed="false">
      <c r="A2132" s="0" t="n">
        <v>2</v>
      </c>
      <c r="B2132" s="0" t="n">
        <v>8</v>
      </c>
      <c r="C2132" s="0" t="n">
        <v>2</v>
      </c>
      <c r="D2132" s="0" t="n">
        <v>3</v>
      </c>
      <c r="E2132" s="0" t="n">
        <f aca="false">-1+A2132*0.25</f>
        <v>-0.5</v>
      </c>
      <c r="F2132" s="0" t="n">
        <f aca="false">-1+B2132*0.25</f>
        <v>1</v>
      </c>
      <c r="G2132" s="0" t="n">
        <f aca="false">-1+C2132*0.25</f>
        <v>-0.5</v>
      </c>
      <c r="H2132" s="0" t="n">
        <f aca="false">-1+D2132*0.25</f>
        <v>-0.25</v>
      </c>
      <c r="I2132" s="0" t="n">
        <f aca="false">1</f>
        <v>1</v>
      </c>
      <c r="J2132" s="0" t="n">
        <f aca="false">E2132</f>
        <v>-0.5</v>
      </c>
      <c r="K2132" s="0" t="n">
        <f aca="false">F2132</f>
        <v>1</v>
      </c>
      <c r="L2132" s="0" t="n">
        <f aca="false">G2132</f>
        <v>-0.5</v>
      </c>
      <c r="M2132" s="0" t="n">
        <f aca="false">H2132</f>
        <v>-0.25</v>
      </c>
      <c r="N2132" s="0" t="n">
        <f aca="false">E2132*F2132</f>
        <v>-0.5</v>
      </c>
      <c r="O2132" s="0" t="n">
        <f aca="false">E2132*G2132</f>
        <v>0.25</v>
      </c>
      <c r="P2132" s="0" t="n">
        <f aca="false">E2132*H2132</f>
        <v>0.125</v>
      </c>
      <c r="Q2132" s="0" t="n">
        <f aca="false">F2132*G2132</f>
        <v>-0.5</v>
      </c>
      <c r="R2132" s="0" t="n">
        <f aca="false">F2132*H2132</f>
        <v>-0.25</v>
      </c>
      <c r="S2132" s="0" t="n">
        <f aca="false">G2132*H2132</f>
        <v>0.125</v>
      </c>
      <c r="T2132" s="0" t="n">
        <f aca="false">E2132*E2132</f>
        <v>0.25</v>
      </c>
      <c r="U2132" s="0" t="n">
        <f aca="false">F2132*F2132</f>
        <v>1</v>
      </c>
      <c r="V2132" s="0" t="n">
        <f aca="false">G2132*G2132</f>
        <v>0.25</v>
      </c>
      <c r="W2132" s="0" t="n">
        <f aca="false">H2132*H2132</f>
        <v>0.0625</v>
      </c>
      <c r="X2132" s="0" t="n">
        <f aca="false">SUMPRODUCT(I2132:W2132,_XtX!$B$96:$P$96)</f>
        <v>44.2073556286549</v>
      </c>
      <c r="Y2132" s="0" t="n">
        <f aca="false">SUMPRODUCT(MMULT(I2132:W2132,_XtX!$B$78:$P$92),I2132:W2132)</f>
        <v>0.428122715643275</v>
      </c>
      <c r="Z2132" s="0" t="n">
        <f aca="false">04_回帰ANOVA!$K$19*04_回帰ANOVA!$K$14*SQRT(1+Y2132)</f>
        <v>1.55769044623229</v>
      </c>
      <c r="AA2132" s="0" t="n">
        <f aca="false">X2132-Z2132</f>
        <v>42.6496651824226</v>
      </c>
      <c r="AB2132" s="0" t="n">
        <f aca="false">X2132+Z2132</f>
        <v>45.7650460748872</v>
      </c>
      <c r="AC2132" s="54" t="b">
        <f aca="false">AND(E2132&gt;=01_因子設定!$L$5-0.000000001,E2132&lt;=01_因子設定!$M$5+0.000000001,F2132&gt;=01_因子設定!$L$6-0.000000001,F2132&lt;=01_因子設定!$M$6+0.000000001,G2132&gt;=01_因子設定!$L$7-0.000000001,G2132&lt;=01_因子設定!$M$7+0.000000001,H2132&gt;=01_因子設定!$L$8-0.000000001,H2132&lt;=01_因子設定!$M$8+0.000000001,IF(01_因子設定!$B$20="Box-Behnken",E2132^2+F2132^2+G2132^2+H2132^2&lt;=2+0.000000001,TRUE()))</f>
        <v>1</v>
      </c>
      <c r="AD2132" s="55" t="n">
        <f aca="false">IF(AC2132,IF(01_因子設定!$B$13="最大化",AA2132-01_因子設定!$B$14,IF(01_因子設定!$B$13="最小化",01_因子設定!$B$15-AB2132,MIN(AA2132-01_因子設定!$B$14,01_因子設定!$B$15-AB2132))),-1E+030)</f>
        <v>-3.85033481757736</v>
      </c>
      <c r="AE2132" s="55" t="n">
        <f aca="false">IF(AC2132,IF(01_因子設定!$B$13="最大化",X2132,IF(01_因子設定!$B$13="最小化",-X2132,-ABS(X2132-01_因子設定!$B$16))),-1E+030)</f>
        <v>44.2073556286549</v>
      </c>
      <c r="AF2132" s="55" t="n">
        <f aca="false">AD2132+ROW()*0.000000001</f>
        <v>-3.85033268557736</v>
      </c>
      <c r="AG2132" s="55" t="n">
        <f aca="false">AE2132+ROW()*0.000000001</f>
        <v>44.2073577606549</v>
      </c>
    </row>
    <row r="2133" customFormat="false" ht="15" hidden="false" customHeight="false" outlineLevel="0" collapsed="false">
      <c r="A2133" s="0" t="n">
        <v>2</v>
      </c>
      <c r="B2133" s="0" t="n">
        <v>8</v>
      </c>
      <c r="C2133" s="0" t="n">
        <v>2</v>
      </c>
      <c r="D2133" s="0" t="n">
        <v>4</v>
      </c>
      <c r="E2133" s="0" t="n">
        <f aca="false">-1+A2133*0.25</f>
        <v>-0.5</v>
      </c>
      <c r="F2133" s="0" t="n">
        <f aca="false">-1+B2133*0.25</f>
        <v>1</v>
      </c>
      <c r="G2133" s="0" t="n">
        <f aca="false">-1+C2133*0.25</f>
        <v>-0.5</v>
      </c>
      <c r="H2133" s="0" t="n">
        <f aca="false">-1+D2133*0.25</f>
        <v>0</v>
      </c>
      <c r="I2133" s="0" t="n">
        <f aca="false">1</f>
        <v>1</v>
      </c>
      <c r="J2133" s="0" t="n">
        <f aca="false">E2133</f>
        <v>-0.5</v>
      </c>
      <c r="K2133" s="0" t="n">
        <f aca="false">F2133</f>
        <v>1</v>
      </c>
      <c r="L2133" s="0" t="n">
        <f aca="false">G2133</f>
        <v>-0.5</v>
      </c>
      <c r="M2133" s="0" t="n">
        <f aca="false">H2133</f>
        <v>0</v>
      </c>
      <c r="N2133" s="0" t="n">
        <f aca="false">E2133*F2133</f>
        <v>-0.5</v>
      </c>
      <c r="O2133" s="0" t="n">
        <f aca="false">E2133*G2133</f>
        <v>0.25</v>
      </c>
      <c r="P2133" s="0" t="n">
        <f aca="false">E2133*H2133</f>
        <v>-0</v>
      </c>
      <c r="Q2133" s="0" t="n">
        <f aca="false">F2133*G2133</f>
        <v>-0.5</v>
      </c>
      <c r="R2133" s="0" t="n">
        <f aca="false">F2133*H2133</f>
        <v>0</v>
      </c>
      <c r="S2133" s="0" t="n">
        <f aca="false">G2133*H2133</f>
        <v>-0</v>
      </c>
      <c r="T2133" s="0" t="n">
        <f aca="false">E2133*E2133</f>
        <v>0.25</v>
      </c>
      <c r="U2133" s="0" t="n">
        <f aca="false">F2133*F2133</f>
        <v>1</v>
      </c>
      <c r="V2133" s="0" t="n">
        <f aca="false">G2133*G2133</f>
        <v>0.25</v>
      </c>
      <c r="W2133" s="0" t="n">
        <f aca="false">H2133*H2133</f>
        <v>0</v>
      </c>
      <c r="X2133" s="0" t="n">
        <f aca="false">SUMPRODUCT(I2133:W2133,_XtX!$B$96:$P$96)</f>
        <v>44.2279605263158</v>
      </c>
      <c r="Y2133" s="0" t="n">
        <f aca="false">SUMPRODUCT(MMULT(I2133:W2133,_XtX!$B$78:$P$92),I2133:W2133)</f>
        <v>0.441954495614035</v>
      </c>
      <c r="Z2133" s="0" t="n">
        <f aca="false">04_回帰ANOVA!$K$19*04_回帰ANOVA!$K$14*SQRT(1+Y2133)</f>
        <v>1.56521560968066</v>
      </c>
      <c r="AA2133" s="0" t="n">
        <f aca="false">X2133-Z2133</f>
        <v>42.6627449166351</v>
      </c>
      <c r="AB2133" s="0" t="n">
        <f aca="false">X2133+Z2133</f>
        <v>45.7931761359964</v>
      </c>
      <c r="AC2133" s="54" t="b">
        <f aca="false">AND(E2133&gt;=01_因子設定!$L$5-0.000000001,E2133&lt;=01_因子設定!$M$5+0.000000001,F2133&gt;=01_因子設定!$L$6-0.000000001,F2133&lt;=01_因子設定!$M$6+0.000000001,G2133&gt;=01_因子設定!$L$7-0.000000001,G2133&lt;=01_因子設定!$M$7+0.000000001,H2133&gt;=01_因子設定!$L$8-0.000000001,H2133&lt;=01_因子設定!$M$8+0.000000001,IF(01_因子設定!$B$20="Box-Behnken",E2133^2+F2133^2+G2133^2+H2133^2&lt;=2+0.000000001,TRUE()))</f>
        <v>1</v>
      </c>
      <c r="AD2133" s="55" t="n">
        <f aca="false">IF(AC2133,IF(01_因子設定!$B$13="最大化",AA2133-01_因子設定!$B$14,IF(01_因子設定!$B$13="最小化",01_因子設定!$B$15-AB2133,MIN(AA2133-01_因子設定!$B$14,01_因子設定!$B$15-AB2133))),-1E+030)</f>
        <v>-3.83725508336492</v>
      </c>
      <c r="AE2133" s="55" t="n">
        <f aca="false">IF(AC2133,IF(01_因子設定!$B$13="最大化",X2133,IF(01_因子設定!$B$13="最小化",-X2133,-ABS(X2133-01_因子設定!$B$16))),-1E+030)</f>
        <v>44.2279605263158</v>
      </c>
      <c r="AF2133" s="55" t="n">
        <f aca="false">AD2133+ROW()*0.000000001</f>
        <v>-3.83725295036492</v>
      </c>
      <c r="AG2133" s="55" t="n">
        <f aca="false">AE2133+ROW()*0.000000001</f>
        <v>44.2279626593158</v>
      </c>
    </row>
    <row r="2134" customFormat="false" ht="15" hidden="false" customHeight="false" outlineLevel="0" collapsed="false">
      <c r="A2134" s="0" t="n">
        <v>2</v>
      </c>
      <c r="B2134" s="0" t="n">
        <v>8</v>
      </c>
      <c r="C2134" s="0" t="n">
        <v>2</v>
      </c>
      <c r="D2134" s="0" t="n">
        <v>5</v>
      </c>
      <c r="E2134" s="0" t="n">
        <f aca="false">-1+A2134*0.25</f>
        <v>-0.5</v>
      </c>
      <c r="F2134" s="0" t="n">
        <f aca="false">-1+B2134*0.25</f>
        <v>1</v>
      </c>
      <c r="G2134" s="0" t="n">
        <f aca="false">-1+C2134*0.25</f>
        <v>-0.5</v>
      </c>
      <c r="H2134" s="0" t="n">
        <f aca="false">-1+D2134*0.25</f>
        <v>0.25</v>
      </c>
      <c r="I2134" s="0" t="n">
        <f aca="false">1</f>
        <v>1</v>
      </c>
      <c r="J2134" s="0" t="n">
        <f aca="false">E2134</f>
        <v>-0.5</v>
      </c>
      <c r="K2134" s="0" t="n">
        <f aca="false">F2134</f>
        <v>1</v>
      </c>
      <c r="L2134" s="0" t="n">
        <f aca="false">G2134</f>
        <v>-0.5</v>
      </c>
      <c r="M2134" s="0" t="n">
        <f aca="false">H2134</f>
        <v>0.25</v>
      </c>
      <c r="N2134" s="0" t="n">
        <f aca="false">E2134*F2134</f>
        <v>-0.5</v>
      </c>
      <c r="O2134" s="0" t="n">
        <f aca="false">E2134*G2134</f>
        <v>0.25</v>
      </c>
      <c r="P2134" s="0" t="n">
        <f aca="false">E2134*H2134</f>
        <v>-0.125</v>
      </c>
      <c r="Q2134" s="0" t="n">
        <f aca="false">F2134*G2134</f>
        <v>-0.5</v>
      </c>
      <c r="R2134" s="0" t="n">
        <f aca="false">F2134*H2134</f>
        <v>0.25</v>
      </c>
      <c r="S2134" s="0" t="n">
        <f aca="false">G2134*H2134</f>
        <v>-0.125</v>
      </c>
      <c r="T2134" s="0" t="n">
        <f aca="false">E2134*E2134</f>
        <v>0.25</v>
      </c>
      <c r="U2134" s="0" t="n">
        <f aca="false">F2134*F2134</f>
        <v>1</v>
      </c>
      <c r="V2134" s="0" t="n">
        <f aca="false">G2134*G2134</f>
        <v>0.25</v>
      </c>
      <c r="W2134" s="0" t="n">
        <f aca="false">H2134*H2134</f>
        <v>0.0625</v>
      </c>
      <c r="X2134" s="0" t="n">
        <f aca="false">SUMPRODUCT(I2134:W2134,_XtX!$B$96:$P$96)</f>
        <v>44.2007584064327</v>
      </c>
      <c r="Y2134" s="0" t="n">
        <f aca="false">SUMPRODUCT(MMULT(I2134:W2134,_XtX!$B$78:$P$92),I2134:W2134)</f>
        <v>0.428122715643275</v>
      </c>
      <c r="Z2134" s="0" t="n">
        <f aca="false">04_回帰ANOVA!$K$19*04_回帰ANOVA!$K$14*SQRT(1+Y2134)</f>
        <v>1.55769044623229</v>
      </c>
      <c r="AA2134" s="0" t="n">
        <f aca="false">X2134-Z2134</f>
        <v>42.6430679602004</v>
      </c>
      <c r="AB2134" s="0" t="n">
        <f aca="false">X2134+Z2134</f>
        <v>45.758448852665</v>
      </c>
      <c r="AC2134" s="54" t="b">
        <f aca="false">AND(E2134&gt;=01_因子設定!$L$5-0.000000001,E2134&lt;=01_因子設定!$M$5+0.000000001,F2134&gt;=01_因子設定!$L$6-0.000000001,F2134&lt;=01_因子設定!$M$6+0.000000001,G2134&gt;=01_因子設定!$L$7-0.000000001,G2134&lt;=01_因子設定!$M$7+0.000000001,H2134&gt;=01_因子設定!$L$8-0.000000001,H2134&lt;=01_因子設定!$M$8+0.000000001,IF(01_因子設定!$B$20="Box-Behnken",E2134^2+F2134^2+G2134^2+H2134^2&lt;=2+0.000000001,TRUE()))</f>
        <v>1</v>
      </c>
      <c r="AD2134" s="55" t="n">
        <f aca="false">IF(AC2134,IF(01_因子設定!$B$13="最大化",AA2134-01_因子設定!$B$14,IF(01_因子設定!$B$13="最小化",01_因子設定!$B$15-AB2134,MIN(AA2134-01_因子設定!$B$14,01_因子設定!$B$15-AB2134))),-1E+030)</f>
        <v>-3.85693203979959</v>
      </c>
      <c r="AE2134" s="55" t="n">
        <f aca="false">IF(AC2134,IF(01_因子設定!$B$13="最大化",X2134,IF(01_因子設定!$B$13="最小化",-X2134,-ABS(X2134-01_因子設定!$B$16))),-1E+030)</f>
        <v>44.2007584064327</v>
      </c>
      <c r="AF2134" s="55" t="n">
        <f aca="false">AD2134+ROW()*0.000000001</f>
        <v>-3.85692990579959</v>
      </c>
      <c r="AG2134" s="55" t="n">
        <f aca="false">AE2134+ROW()*0.000000001</f>
        <v>44.2007605404327</v>
      </c>
    </row>
    <row r="2135" customFormat="false" ht="15" hidden="false" customHeight="false" outlineLevel="0" collapsed="false">
      <c r="A2135" s="0" t="n">
        <v>2</v>
      </c>
      <c r="B2135" s="0" t="n">
        <v>8</v>
      </c>
      <c r="C2135" s="0" t="n">
        <v>2</v>
      </c>
      <c r="D2135" s="0" t="n">
        <v>6</v>
      </c>
      <c r="E2135" s="0" t="n">
        <f aca="false">-1+A2135*0.25</f>
        <v>-0.5</v>
      </c>
      <c r="F2135" s="0" t="n">
        <f aca="false">-1+B2135*0.25</f>
        <v>1</v>
      </c>
      <c r="G2135" s="0" t="n">
        <f aca="false">-1+C2135*0.25</f>
        <v>-0.5</v>
      </c>
      <c r="H2135" s="0" t="n">
        <f aca="false">-1+D2135*0.25</f>
        <v>0.5</v>
      </c>
      <c r="I2135" s="0" t="n">
        <f aca="false">1</f>
        <v>1</v>
      </c>
      <c r="J2135" s="0" t="n">
        <f aca="false">E2135</f>
        <v>-0.5</v>
      </c>
      <c r="K2135" s="0" t="n">
        <f aca="false">F2135</f>
        <v>1</v>
      </c>
      <c r="L2135" s="0" t="n">
        <f aca="false">G2135</f>
        <v>-0.5</v>
      </c>
      <c r="M2135" s="0" t="n">
        <f aca="false">H2135</f>
        <v>0.5</v>
      </c>
      <c r="N2135" s="0" t="n">
        <f aca="false">E2135*F2135</f>
        <v>-0.5</v>
      </c>
      <c r="O2135" s="0" t="n">
        <f aca="false">E2135*G2135</f>
        <v>0.25</v>
      </c>
      <c r="P2135" s="0" t="n">
        <f aca="false">E2135*H2135</f>
        <v>-0.25</v>
      </c>
      <c r="Q2135" s="0" t="n">
        <f aca="false">F2135*G2135</f>
        <v>-0.5</v>
      </c>
      <c r="R2135" s="0" t="n">
        <f aca="false">F2135*H2135</f>
        <v>0.5</v>
      </c>
      <c r="S2135" s="0" t="n">
        <f aca="false">G2135*H2135</f>
        <v>-0.25</v>
      </c>
      <c r="T2135" s="0" t="n">
        <f aca="false">E2135*E2135</f>
        <v>0.25</v>
      </c>
      <c r="U2135" s="0" t="n">
        <f aca="false">F2135*F2135</f>
        <v>1</v>
      </c>
      <c r="V2135" s="0" t="n">
        <f aca="false">G2135*G2135</f>
        <v>0.25</v>
      </c>
      <c r="W2135" s="0" t="n">
        <f aca="false">H2135*H2135</f>
        <v>0.25</v>
      </c>
      <c r="X2135" s="0" t="n">
        <f aca="false">SUMPRODUCT(I2135:W2135,_XtX!$B$96:$P$96)</f>
        <v>44.1257492690058</v>
      </c>
      <c r="Y2135" s="0" t="n">
        <f aca="false">SUMPRODUCT(MMULT(I2135:W2135,_XtX!$B$78:$P$92),I2135:W2135)</f>
        <v>0.404719480994152</v>
      </c>
      <c r="Z2135" s="0" t="n">
        <f aca="false">04_回帰ANOVA!$K$19*04_回帰ANOVA!$K$14*SQRT(1+Y2135)</f>
        <v>1.54487446697867</v>
      </c>
      <c r="AA2135" s="0" t="n">
        <f aca="false">X2135-Z2135</f>
        <v>42.5808748020271</v>
      </c>
      <c r="AB2135" s="0" t="n">
        <f aca="false">X2135+Z2135</f>
        <v>45.6706237359845</v>
      </c>
      <c r="AC2135" s="54" t="b">
        <f aca="false">AND(E2135&gt;=01_因子設定!$L$5-0.000000001,E2135&lt;=01_因子設定!$M$5+0.000000001,F2135&gt;=01_因子設定!$L$6-0.000000001,F2135&lt;=01_因子設定!$M$6+0.000000001,G2135&gt;=01_因子設定!$L$7-0.000000001,G2135&lt;=01_因子設定!$M$7+0.000000001,H2135&gt;=01_因子設定!$L$8-0.000000001,H2135&lt;=01_因子設定!$M$8+0.000000001,IF(01_因子設定!$B$20="Box-Behnken",E2135^2+F2135^2+G2135^2+H2135^2&lt;=2+0.000000001,TRUE()))</f>
        <v>1</v>
      </c>
      <c r="AD2135" s="55" t="n">
        <f aca="false">IF(AC2135,IF(01_因子設定!$B$13="最大化",AA2135-01_因子設定!$B$14,IF(01_因子設定!$B$13="最小化",01_因子設定!$B$15-AB2135,MIN(AA2135-01_因子設定!$B$14,01_因子設定!$B$15-AB2135))),-1E+030)</f>
        <v>-3.91912519797286</v>
      </c>
      <c r="AE2135" s="55" t="n">
        <f aca="false">IF(AC2135,IF(01_因子設定!$B$13="最大化",X2135,IF(01_因子設定!$B$13="最小化",-X2135,-ABS(X2135-01_因子設定!$B$16))),-1E+030)</f>
        <v>44.1257492690058</v>
      </c>
      <c r="AF2135" s="55" t="n">
        <f aca="false">AD2135+ROW()*0.000000001</f>
        <v>-3.91912306297286</v>
      </c>
      <c r="AG2135" s="55" t="n">
        <f aca="false">AE2135+ROW()*0.000000001</f>
        <v>44.1257514040058</v>
      </c>
    </row>
    <row r="2136" customFormat="false" ht="15" hidden="false" customHeight="false" outlineLevel="0" collapsed="false">
      <c r="A2136" s="0" t="n">
        <v>2</v>
      </c>
      <c r="B2136" s="0" t="n">
        <v>8</v>
      </c>
      <c r="C2136" s="0" t="n">
        <v>2</v>
      </c>
      <c r="D2136" s="0" t="n">
        <v>7</v>
      </c>
      <c r="E2136" s="0" t="n">
        <f aca="false">-1+A2136*0.25</f>
        <v>-0.5</v>
      </c>
      <c r="F2136" s="0" t="n">
        <f aca="false">-1+B2136*0.25</f>
        <v>1</v>
      </c>
      <c r="G2136" s="0" t="n">
        <f aca="false">-1+C2136*0.25</f>
        <v>-0.5</v>
      </c>
      <c r="H2136" s="0" t="n">
        <f aca="false">-1+D2136*0.25</f>
        <v>0.75</v>
      </c>
      <c r="I2136" s="0" t="n">
        <f aca="false">1</f>
        <v>1</v>
      </c>
      <c r="J2136" s="0" t="n">
        <f aca="false">E2136</f>
        <v>-0.5</v>
      </c>
      <c r="K2136" s="0" t="n">
        <f aca="false">F2136</f>
        <v>1</v>
      </c>
      <c r="L2136" s="0" t="n">
        <f aca="false">G2136</f>
        <v>-0.5</v>
      </c>
      <c r="M2136" s="0" t="n">
        <f aca="false">H2136</f>
        <v>0.75</v>
      </c>
      <c r="N2136" s="0" t="n">
        <f aca="false">E2136*F2136</f>
        <v>-0.5</v>
      </c>
      <c r="O2136" s="0" t="n">
        <f aca="false">E2136*G2136</f>
        <v>0.25</v>
      </c>
      <c r="P2136" s="0" t="n">
        <f aca="false">E2136*H2136</f>
        <v>-0.375</v>
      </c>
      <c r="Q2136" s="0" t="n">
        <f aca="false">F2136*G2136</f>
        <v>-0.5</v>
      </c>
      <c r="R2136" s="0" t="n">
        <f aca="false">F2136*H2136</f>
        <v>0.75</v>
      </c>
      <c r="S2136" s="0" t="n">
        <f aca="false">G2136*H2136</f>
        <v>-0.375</v>
      </c>
      <c r="T2136" s="0" t="n">
        <f aca="false">E2136*E2136</f>
        <v>0.25</v>
      </c>
      <c r="U2136" s="0" t="n">
        <f aca="false">F2136*F2136</f>
        <v>1</v>
      </c>
      <c r="V2136" s="0" t="n">
        <f aca="false">G2136*G2136</f>
        <v>0.25</v>
      </c>
      <c r="W2136" s="0" t="n">
        <f aca="false">H2136*H2136</f>
        <v>0.5625</v>
      </c>
      <c r="X2136" s="0" t="n">
        <f aca="false">SUMPRODUCT(I2136:W2136,_XtX!$B$96:$P$96)</f>
        <v>44.0029331140351</v>
      </c>
      <c r="Y2136" s="0" t="n">
        <f aca="false">SUMPRODUCT(MMULT(I2136:W2136,_XtX!$B$78:$P$92),I2136:W2136)</f>
        <v>0.42602110745614</v>
      </c>
      <c r="Z2136" s="0" t="n">
        <f aca="false">04_回帰ANOVA!$K$19*04_回帰ANOVA!$K$14*SQRT(1+Y2136)</f>
        <v>1.55654388501114</v>
      </c>
      <c r="AA2136" s="0" t="n">
        <f aca="false">X2136-Z2136</f>
        <v>42.4463892290239</v>
      </c>
      <c r="AB2136" s="0" t="n">
        <f aca="false">X2136+Z2136</f>
        <v>45.5594769990462</v>
      </c>
      <c r="AC2136" s="54" t="b">
        <f aca="false">AND(E2136&gt;=01_因子設定!$L$5-0.000000001,E2136&lt;=01_因子設定!$M$5+0.000000001,F2136&gt;=01_因子設定!$L$6-0.000000001,F2136&lt;=01_因子設定!$M$6+0.000000001,G2136&gt;=01_因子設定!$L$7-0.000000001,G2136&lt;=01_因子設定!$M$7+0.000000001,H2136&gt;=01_因子設定!$L$8-0.000000001,H2136&lt;=01_因子設定!$M$8+0.000000001,IF(01_因子設定!$B$20="Box-Behnken",E2136^2+F2136^2+G2136^2+H2136^2&lt;=2+0.000000001,TRUE()))</f>
        <v>1</v>
      </c>
      <c r="AD2136" s="55" t="n">
        <f aca="false">IF(AC2136,IF(01_因子設定!$B$13="最大化",AA2136-01_因子設定!$B$14,IF(01_因子設定!$B$13="最小化",01_因子設定!$B$15-AB2136,MIN(AA2136-01_因子設定!$B$14,01_因子設定!$B$15-AB2136))),-1E+030)</f>
        <v>-4.05361077097607</v>
      </c>
      <c r="AE2136" s="55" t="n">
        <f aca="false">IF(AC2136,IF(01_因子設定!$B$13="最大化",X2136,IF(01_因子設定!$B$13="最小化",-X2136,-ABS(X2136-01_因子設定!$B$16))),-1E+030)</f>
        <v>44.0029331140351</v>
      </c>
      <c r="AF2136" s="55" t="n">
        <f aca="false">AD2136+ROW()*0.000000001</f>
        <v>-4.05360863497607</v>
      </c>
      <c r="AG2136" s="55" t="n">
        <f aca="false">AE2136+ROW()*0.000000001</f>
        <v>44.0029352500351</v>
      </c>
    </row>
    <row r="2137" customFormat="false" ht="15" hidden="false" customHeight="false" outlineLevel="0" collapsed="false">
      <c r="A2137" s="0" t="n">
        <v>2</v>
      </c>
      <c r="B2137" s="0" t="n">
        <v>8</v>
      </c>
      <c r="C2137" s="0" t="n">
        <v>2</v>
      </c>
      <c r="D2137" s="0" t="n">
        <v>8</v>
      </c>
      <c r="E2137" s="0" t="n">
        <f aca="false">-1+A2137*0.25</f>
        <v>-0.5</v>
      </c>
      <c r="F2137" s="0" t="n">
        <f aca="false">-1+B2137*0.25</f>
        <v>1</v>
      </c>
      <c r="G2137" s="0" t="n">
        <f aca="false">-1+C2137*0.25</f>
        <v>-0.5</v>
      </c>
      <c r="H2137" s="0" t="n">
        <f aca="false">-1+D2137*0.25</f>
        <v>1</v>
      </c>
      <c r="I2137" s="0" t="n">
        <f aca="false">1</f>
        <v>1</v>
      </c>
      <c r="J2137" s="0" t="n">
        <f aca="false">E2137</f>
        <v>-0.5</v>
      </c>
      <c r="K2137" s="0" t="n">
        <f aca="false">F2137</f>
        <v>1</v>
      </c>
      <c r="L2137" s="0" t="n">
        <f aca="false">G2137</f>
        <v>-0.5</v>
      </c>
      <c r="M2137" s="0" t="n">
        <f aca="false">H2137</f>
        <v>1</v>
      </c>
      <c r="N2137" s="0" t="n">
        <f aca="false">E2137*F2137</f>
        <v>-0.5</v>
      </c>
      <c r="O2137" s="0" t="n">
        <f aca="false">E2137*G2137</f>
        <v>0.25</v>
      </c>
      <c r="P2137" s="0" t="n">
        <f aca="false">E2137*H2137</f>
        <v>-0.5</v>
      </c>
      <c r="Q2137" s="0" t="n">
        <f aca="false">F2137*G2137</f>
        <v>-0.5</v>
      </c>
      <c r="R2137" s="0" t="n">
        <f aca="false">F2137*H2137</f>
        <v>1</v>
      </c>
      <c r="S2137" s="0" t="n">
        <f aca="false">G2137*H2137</f>
        <v>-0.5</v>
      </c>
      <c r="T2137" s="0" t="n">
        <f aca="false">E2137*E2137</f>
        <v>0.25</v>
      </c>
      <c r="U2137" s="0" t="n">
        <f aca="false">F2137*F2137</f>
        <v>1</v>
      </c>
      <c r="V2137" s="0" t="n">
        <f aca="false">G2137*G2137</f>
        <v>0.25</v>
      </c>
      <c r="W2137" s="0" t="n">
        <f aca="false">H2137*H2137</f>
        <v>1</v>
      </c>
      <c r="X2137" s="0" t="n">
        <f aca="false">SUMPRODUCT(I2137:W2137,_XtX!$B$96:$P$96)</f>
        <v>43.8323099415205</v>
      </c>
      <c r="Y2137" s="0" t="n">
        <f aca="false">SUMPRODUCT(MMULT(I2137:W2137,_XtX!$B$78:$P$92),I2137:W2137)</f>
        <v>0.582488121345029</v>
      </c>
      <c r="Z2137" s="0" t="n">
        <f aca="false">04_回帰ANOVA!$K$19*04_回帰ANOVA!$K$14*SQRT(1+Y2137)</f>
        <v>1.63971595338287</v>
      </c>
      <c r="AA2137" s="0" t="n">
        <f aca="false">X2137-Z2137</f>
        <v>42.1925939881376</v>
      </c>
      <c r="AB2137" s="0" t="n">
        <f aca="false">X2137+Z2137</f>
        <v>45.4720258949033</v>
      </c>
      <c r="AC2137" s="54" t="b">
        <f aca="false">AND(E2137&gt;=01_因子設定!$L$5-0.000000001,E2137&lt;=01_因子設定!$M$5+0.000000001,F2137&gt;=01_因子設定!$L$6-0.000000001,F2137&lt;=01_因子設定!$M$6+0.000000001,G2137&gt;=01_因子設定!$L$7-0.000000001,G2137&lt;=01_因子設定!$M$7+0.000000001,H2137&gt;=01_因子設定!$L$8-0.000000001,H2137&lt;=01_因子設定!$M$8+0.000000001,IF(01_因子設定!$B$20="Box-Behnken",E2137^2+F2137^2+G2137^2+H2137^2&lt;=2+0.000000001,TRUE()))</f>
        <v>1</v>
      </c>
      <c r="AD2137" s="55" t="n">
        <f aca="false">IF(AC2137,IF(01_因子設定!$B$13="最大化",AA2137-01_因子設定!$B$14,IF(01_因子設定!$B$13="最小化",01_因子設定!$B$15-AB2137,MIN(AA2137-01_因子設定!$B$14,01_因子設定!$B$15-AB2137))),-1E+030)</f>
        <v>-4.30740601186241</v>
      </c>
      <c r="AE2137" s="55" t="n">
        <f aca="false">IF(AC2137,IF(01_因子設定!$B$13="最大化",X2137,IF(01_因子設定!$B$13="最小化",-X2137,-ABS(X2137-01_因子設定!$B$16))),-1E+030)</f>
        <v>43.8323099415205</v>
      </c>
      <c r="AF2137" s="55" t="n">
        <f aca="false">AD2137+ROW()*0.000000001</f>
        <v>-4.30740387486241</v>
      </c>
      <c r="AG2137" s="55" t="n">
        <f aca="false">AE2137+ROW()*0.000000001</f>
        <v>43.8323120785205</v>
      </c>
    </row>
    <row r="2138" customFormat="false" ht="15" hidden="false" customHeight="false" outlineLevel="0" collapsed="false">
      <c r="A2138" s="0" t="n">
        <v>2</v>
      </c>
      <c r="B2138" s="0" t="n">
        <v>8</v>
      </c>
      <c r="C2138" s="0" t="n">
        <v>3</v>
      </c>
      <c r="D2138" s="0" t="n">
        <v>0</v>
      </c>
      <c r="E2138" s="0" t="n">
        <f aca="false">-1+A2138*0.25</f>
        <v>-0.5</v>
      </c>
      <c r="F2138" s="0" t="n">
        <f aca="false">-1+B2138*0.25</f>
        <v>1</v>
      </c>
      <c r="G2138" s="0" t="n">
        <f aca="false">-1+C2138*0.25</f>
        <v>-0.25</v>
      </c>
      <c r="H2138" s="0" t="n">
        <f aca="false">-1+D2138*0.25</f>
        <v>-1</v>
      </c>
      <c r="I2138" s="0" t="n">
        <f aca="false">1</f>
        <v>1</v>
      </c>
      <c r="J2138" s="0" t="n">
        <f aca="false">E2138</f>
        <v>-0.5</v>
      </c>
      <c r="K2138" s="0" t="n">
        <f aca="false">F2138</f>
        <v>1</v>
      </c>
      <c r="L2138" s="0" t="n">
        <f aca="false">G2138</f>
        <v>-0.25</v>
      </c>
      <c r="M2138" s="0" t="n">
        <f aca="false">H2138</f>
        <v>-1</v>
      </c>
      <c r="N2138" s="0" t="n">
        <f aca="false">E2138*F2138</f>
        <v>-0.5</v>
      </c>
      <c r="O2138" s="0" t="n">
        <f aca="false">E2138*G2138</f>
        <v>0.125</v>
      </c>
      <c r="P2138" s="0" t="n">
        <f aca="false">E2138*H2138</f>
        <v>0.5</v>
      </c>
      <c r="Q2138" s="0" t="n">
        <f aca="false">F2138*G2138</f>
        <v>-0.25</v>
      </c>
      <c r="R2138" s="0" t="n">
        <f aca="false">F2138*H2138</f>
        <v>-1</v>
      </c>
      <c r="S2138" s="0" t="n">
        <f aca="false">G2138*H2138</f>
        <v>0.25</v>
      </c>
      <c r="T2138" s="0" t="n">
        <f aca="false">E2138*E2138</f>
        <v>0.25</v>
      </c>
      <c r="U2138" s="0" t="n">
        <f aca="false">F2138*F2138</f>
        <v>1</v>
      </c>
      <c r="V2138" s="0" t="n">
        <f aca="false">G2138*G2138</f>
        <v>0.0625</v>
      </c>
      <c r="W2138" s="0" t="n">
        <f aca="false">H2138*H2138</f>
        <v>1</v>
      </c>
      <c r="X2138" s="0" t="n">
        <f aca="false">SUMPRODUCT(I2138:W2138,_XtX!$B$96:$P$96)</f>
        <v>44.3199926900585</v>
      </c>
      <c r="Y2138" s="0" t="n">
        <f aca="false">SUMPRODUCT(MMULT(I2138:W2138,_XtX!$B$78:$P$92),I2138:W2138)</f>
        <v>0.629174661915205</v>
      </c>
      <c r="Z2138" s="0" t="n">
        <f aca="false">04_回帰ANOVA!$K$19*04_回帰ANOVA!$K$14*SQRT(1+Y2138)</f>
        <v>1.66372758058297</v>
      </c>
      <c r="AA2138" s="0" t="n">
        <f aca="false">X2138-Z2138</f>
        <v>42.6562651094755</v>
      </c>
      <c r="AB2138" s="0" t="n">
        <f aca="false">X2138+Z2138</f>
        <v>45.9837202706415</v>
      </c>
      <c r="AC2138" s="54" t="b">
        <f aca="false">AND(E2138&gt;=01_因子設定!$L$5-0.000000001,E2138&lt;=01_因子設定!$M$5+0.000000001,F2138&gt;=01_因子設定!$L$6-0.000000001,F2138&lt;=01_因子設定!$M$6+0.000000001,G2138&gt;=01_因子設定!$L$7-0.000000001,G2138&lt;=01_因子設定!$M$7+0.000000001,H2138&gt;=01_因子設定!$L$8-0.000000001,H2138&lt;=01_因子設定!$M$8+0.000000001,IF(01_因子設定!$B$20="Box-Behnken",E2138^2+F2138^2+G2138^2+H2138^2&lt;=2+0.000000001,TRUE()))</f>
        <v>1</v>
      </c>
      <c r="AD2138" s="55" t="n">
        <f aca="false">IF(AC2138,IF(01_因子設定!$B$13="最大化",AA2138-01_因子設定!$B$14,IF(01_因子設定!$B$13="最小化",01_因子設定!$B$15-AB2138,MIN(AA2138-01_因子設定!$B$14,01_因子設定!$B$15-AB2138))),-1E+030)</f>
        <v>-3.84373489052449</v>
      </c>
      <c r="AE2138" s="55" t="n">
        <f aca="false">IF(AC2138,IF(01_因子設定!$B$13="最大化",X2138,IF(01_因子設定!$B$13="最小化",-X2138,-ABS(X2138-01_因子設定!$B$16))),-1E+030)</f>
        <v>44.3199926900585</v>
      </c>
      <c r="AF2138" s="55" t="n">
        <f aca="false">AD2138+ROW()*0.000000001</f>
        <v>-3.84373275252449</v>
      </c>
      <c r="AG2138" s="55" t="n">
        <f aca="false">AE2138+ROW()*0.000000001</f>
        <v>44.3199948280585</v>
      </c>
    </row>
    <row r="2139" customFormat="false" ht="15" hidden="false" customHeight="false" outlineLevel="0" collapsed="false">
      <c r="A2139" s="0" t="n">
        <v>2</v>
      </c>
      <c r="B2139" s="0" t="n">
        <v>8</v>
      </c>
      <c r="C2139" s="0" t="n">
        <v>3</v>
      </c>
      <c r="D2139" s="0" t="n">
        <v>1</v>
      </c>
      <c r="E2139" s="0" t="n">
        <f aca="false">-1+A2139*0.25</f>
        <v>-0.5</v>
      </c>
      <c r="F2139" s="0" t="n">
        <f aca="false">-1+B2139*0.25</f>
        <v>1</v>
      </c>
      <c r="G2139" s="0" t="n">
        <f aca="false">-1+C2139*0.25</f>
        <v>-0.25</v>
      </c>
      <c r="H2139" s="0" t="n">
        <f aca="false">-1+D2139*0.25</f>
        <v>-0.75</v>
      </c>
      <c r="I2139" s="0" t="n">
        <f aca="false">1</f>
        <v>1</v>
      </c>
      <c r="J2139" s="0" t="n">
        <f aca="false">E2139</f>
        <v>-0.5</v>
      </c>
      <c r="K2139" s="0" t="n">
        <f aca="false">F2139</f>
        <v>1</v>
      </c>
      <c r="L2139" s="0" t="n">
        <f aca="false">G2139</f>
        <v>-0.25</v>
      </c>
      <c r="M2139" s="0" t="n">
        <f aca="false">H2139</f>
        <v>-0.75</v>
      </c>
      <c r="N2139" s="0" t="n">
        <f aca="false">E2139*F2139</f>
        <v>-0.5</v>
      </c>
      <c r="O2139" s="0" t="n">
        <f aca="false">E2139*G2139</f>
        <v>0.125</v>
      </c>
      <c r="P2139" s="0" t="n">
        <f aca="false">E2139*H2139</f>
        <v>0.375</v>
      </c>
      <c r="Q2139" s="0" t="n">
        <f aca="false">F2139*G2139</f>
        <v>-0.25</v>
      </c>
      <c r="R2139" s="0" t="n">
        <f aca="false">F2139*H2139</f>
        <v>-0.75</v>
      </c>
      <c r="S2139" s="0" t="n">
        <f aca="false">G2139*H2139</f>
        <v>0.1875</v>
      </c>
      <c r="T2139" s="0" t="n">
        <f aca="false">E2139*E2139</f>
        <v>0.25</v>
      </c>
      <c r="U2139" s="0" t="n">
        <f aca="false">F2139*F2139</f>
        <v>1</v>
      </c>
      <c r="V2139" s="0" t="n">
        <f aca="false">G2139*G2139</f>
        <v>0.0625</v>
      </c>
      <c r="W2139" s="0" t="n">
        <f aca="false">H2139*H2139</f>
        <v>0.5625</v>
      </c>
      <c r="X2139" s="0" t="n">
        <f aca="false">SUMPRODUCT(I2139:W2139,_XtX!$B$96:$P$96)</f>
        <v>44.5019873903509</v>
      </c>
      <c r="Y2139" s="0" t="n">
        <f aca="false">SUMPRODUCT(MMULT(I2139:W2139,_XtX!$B$78:$P$92),I2139:W2139)</f>
        <v>0.459125719572369</v>
      </c>
      <c r="Z2139" s="0" t="n">
        <f aca="false">04_回帰ANOVA!$K$19*04_回帰ANOVA!$K$14*SQRT(1+Y2139)</f>
        <v>1.57450755575573</v>
      </c>
      <c r="AA2139" s="0" t="n">
        <f aca="false">X2139-Z2139</f>
        <v>42.9274798345951</v>
      </c>
      <c r="AB2139" s="0" t="n">
        <f aca="false">X2139+Z2139</f>
        <v>46.0764949461066</v>
      </c>
      <c r="AC2139" s="54" t="b">
        <f aca="false">AND(E2139&gt;=01_因子設定!$L$5-0.000000001,E2139&lt;=01_因子設定!$M$5+0.000000001,F2139&gt;=01_因子設定!$L$6-0.000000001,F2139&lt;=01_因子設定!$M$6+0.000000001,G2139&gt;=01_因子設定!$L$7-0.000000001,G2139&lt;=01_因子設定!$M$7+0.000000001,H2139&gt;=01_因子設定!$L$8-0.000000001,H2139&lt;=01_因子設定!$M$8+0.000000001,IF(01_因子設定!$B$20="Box-Behnken",E2139^2+F2139^2+G2139^2+H2139^2&lt;=2+0.000000001,TRUE()))</f>
        <v>1</v>
      </c>
      <c r="AD2139" s="55" t="n">
        <f aca="false">IF(AC2139,IF(01_因子設定!$B$13="最大化",AA2139-01_因子設定!$B$14,IF(01_因子設定!$B$13="最小化",01_因子設定!$B$15-AB2139,MIN(AA2139-01_因子設定!$B$14,01_因子設定!$B$15-AB2139))),-1E+030)</f>
        <v>-3.57252016540487</v>
      </c>
      <c r="AE2139" s="55" t="n">
        <f aca="false">IF(AC2139,IF(01_因子設定!$B$13="最大化",X2139,IF(01_因子設定!$B$13="最小化",-X2139,-ABS(X2139-01_因子設定!$B$16))),-1E+030)</f>
        <v>44.5019873903509</v>
      </c>
      <c r="AF2139" s="55" t="n">
        <f aca="false">AD2139+ROW()*0.000000001</f>
        <v>-3.57251802640488</v>
      </c>
      <c r="AG2139" s="55" t="n">
        <f aca="false">AE2139+ROW()*0.000000001</f>
        <v>44.5019895293509</v>
      </c>
    </row>
    <row r="2140" customFormat="false" ht="15" hidden="false" customHeight="false" outlineLevel="0" collapsed="false">
      <c r="A2140" s="0" t="n">
        <v>2</v>
      </c>
      <c r="B2140" s="0" t="n">
        <v>8</v>
      </c>
      <c r="C2140" s="0" t="n">
        <v>3</v>
      </c>
      <c r="D2140" s="0" t="n">
        <v>2</v>
      </c>
      <c r="E2140" s="0" t="n">
        <f aca="false">-1+A2140*0.25</f>
        <v>-0.5</v>
      </c>
      <c r="F2140" s="0" t="n">
        <f aca="false">-1+B2140*0.25</f>
        <v>1</v>
      </c>
      <c r="G2140" s="0" t="n">
        <f aca="false">-1+C2140*0.25</f>
        <v>-0.25</v>
      </c>
      <c r="H2140" s="0" t="n">
        <f aca="false">-1+D2140*0.25</f>
        <v>-0.5</v>
      </c>
      <c r="I2140" s="0" t="n">
        <f aca="false">1</f>
        <v>1</v>
      </c>
      <c r="J2140" s="0" t="n">
        <f aca="false">E2140</f>
        <v>-0.5</v>
      </c>
      <c r="K2140" s="0" t="n">
        <f aca="false">F2140</f>
        <v>1</v>
      </c>
      <c r="L2140" s="0" t="n">
        <f aca="false">G2140</f>
        <v>-0.25</v>
      </c>
      <c r="M2140" s="0" t="n">
        <f aca="false">H2140</f>
        <v>-0.5</v>
      </c>
      <c r="N2140" s="0" t="n">
        <f aca="false">E2140*F2140</f>
        <v>-0.5</v>
      </c>
      <c r="O2140" s="0" t="n">
        <f aca="false">E2140*G2140</f>
        <v>0.125</v>
      </c>
      <c r="P2140" s="0" t="n">
        <f aca="false">E2140*H2140</f>
        <v>0.25</v>
      </c>
      <c r="Q2140" s="0" t="n">
        <f aca="false">F2140*G2140</f>
        <v>-0.25</v>
      </c>
      <c r="R2140" s="0" t="n">
        <f aca="false">F2140*H2140</f>
        <v>-0.5</v>
      </c>
      <c r="S2140" s="0" t="n">
        <f aca="false">G2140*H2140</f>
        <v>0.125</v>
      </c>
      <c r="T2140" s="0" t="n">
        <f aca="false">E2140*E2140</f>
        <v>0.25</v>
      </c>
      <c r="U2140" s="0" t="n">
        <f aca="false">F2140*F2140</f>
        <v>1</v>
      </c>
      <c r="V2140" s="0" t="n">
        <f aca="false">G2140*G2140</f>
        <v>0.0625</v>
      </c>
      <c r="W2140" s="0" t="n">
        <f aca="false">H2140*H2140</f>
        <v>0.25</v>
      </c>
      <c r="X2140" s="0" t="n">
        <f aca="false">SUMPRODUCT(I2140:W2140,_XtX!$B$96:$P$96)</f>
        <v>44.6361750730994</v>
      </c>
      <c r="Y2140" s="0" t="n">
        <f aca="false">SUMPRODUCT(MMULT(I2140:W2140,_XtX!$B$78:$P$92),I2140:W2140)</f>
        <v>0.428122715643275</v>
      </c>
      <c r="Z2140" s="0" t="n">
        <f aca="false">04_回帰ANOVA!$K$19*04_回帰ANOVA!$K$14*SQRT(1+Y2140)</f>
        <v>1.55769044623229</v>
      </c>
      <c r="AA2140" s="0" t="n">
        <f aca="false">X2140-Z2140</f>
        <v>43.0784846268671</v>
      </c>
      <c r="AB2140" s="0" t="n">
        <f aca="false">X2140+Z2140</f>
        <v>46.1938655193317</v>
      </c>
      <c r="AC2140" s="54" t="b">
        <f aca="false">AND(E2140&gt;=01_因子設定!$L$5-0.000000001,E2140&lt;=01_因子設定!$M$5+0.000000001,F2140&gt;=01_因子設定!$L$6-0.000000001,F2140&lt;=01_因子設定!$M$6+0.000000001,G2140&gt;=01_因子設定!$L$7-0.000000001,G2140&lt;=01_因子設定!$M$7+0.000000001,H2140&gt;=01_因子設定!$L$8-0.000000001,H2140&lt;=01_因子設定!$M$8+0.000000001,IF(01_因子設定!$B$20="Box-Behnken",E2140^2+F2140^2+G2140^2+H2140^2&lt;=2+0.000000001,TRUE()))</f>
        <v>1</v>
      </c>
      <c r="AD2140" s="55" t="n">
        <f aca="false">IF(AC2140,IF(01_因子設定!$B$13="最大化",AA2140-01_因子設定!$B$14,IF(01_因子設定!$B$13="最小化",01_因子設定!$B$15-AB2140,MIN(AA2140-01_因子設定!$B$14,01_因子設定!$B$15-AB2140))),-1E+030)</f>
        <v>-3.42151537313291</v>
      </c>
      <c r="AE2140" s="55" t="n">
        <f aca="false">IF(AC2140,IF(01_因子設定!$B$13="最大化",X2140,IF(01_因子設定!$B$13="最小化",-X2140,-ABS(X2140-01_因子設定!$B$16))),-1E+030)</f>
        <v>44.6361750730994</v>
      </c>
      <c r="AF2140" s="55" t="n">
        <f aca="false">AD2140+ROW()*0.000000001</f>
        <v>-3.42151323313291</v>
      </c>
      <c r="AG2140" s="55" t="n">
        <f aca="false">AE2140+ROW()*0.000000001</f>
        <v>44.6361772130994</v>
      </c>
    </row>
    <row r="2141" customFormat="false" ht="15" hidden="false" customHeight="false" outlineLevel="0" collapsed="false">
      <c r="A2141" s="0" t="n">
        <v>2</v>
      </c>
      <c r="B2141" s="0" t="n">
        <v>8</v>
      </c>
      <c r="C2141" s="0" t="n">
        <v>3</v>
      </c>
      <c r="D2141" s="0" t="n">
        <v>3</v>
      </c>
      <c r="E2141" s="0" t="n">
        <f aca="false">-1+A2141*0.25</f>
        <v>-0.5</v>
      </c>
      <c r="F2141" s="0" t="n">
        <f aca="false">-1+B2141*0.25</f>
        <v>1</v>
      </c>
      <c r="G2141" s="0" t="n">
        <f aca="false">-1+C2141*0.25</f>
        <v>-0.25</v>
      </c>
      <c r="H2141" s="0" t="n">
        <f aca="false">-1+D2141*0.25</f>
        <v>-0.25</v>
      </c>
      <c r="I2141" s="0" t="n">
        <f aca="false">1</f>
        <v>1</v>
      </c>
      <c r="J2141" s="0" t="n">
        <f aca="false">E2141</f>
        <v>-0.5</v>
      </c>
      <c r="K2141" s="0" t="n">
        <f aca="false">F2141</f>
        <v>1</v>
      </c>
      <c r="L2141" s="0" t="n">
        <f aca="false">G2141</f>
        <v>-0.25</v>
      </c>
      <c r="M2141" s="0" t="n">
        <f aca="false">H2141</f>
        <v>-0.25</v>
      </c>
      <c r="N2141" s="0" t="n">
        <f aca="false">E2141*F2141</f>
        <v>-0.5</v>
      </c>
      <c r="O2141" s="0" t="n">
        <f aca="false">E2141*G2141</f>
        <v>0.125</v>
      </c>
      <c r="P2141" s="0" t="n">
        <f aca="false">E2141*H2141</f>
        <v>0.125</v>
      </c>
      <c r="Q2141" s="0" t="n">
        <f aca="false">F2141*G2141</f>
        <v>-0.25</v>
      </c>
      <c r="R2141" s="0" t="n">
        <f aca="false">F2141*H2141</f>
        <v>-0.25</v>
      </c>
      <c r="S2141" s="0" t="n">
        <f aca="false">G2141*H2141</f>
        <v>0.0625</v>
      </c>
      <c r="T2141" s="0" t="n">
        <f aca="false">E2141*E2141</f>
        <v>0.25</v>
      </c>
      <c r="U2141" s="0" t="n">
        <f aca="false">F2141*F2141</f>
        <v>1</v>
      </c>
      <c r="V2141" s="0" t="n">
        <f aca="false">G2141*G2141</f>
        <v>0.0625</v>
      </c>
      <c r="W2141" s="0" t="n">
        <f aca="false">H2141*H2141</f>
        <v>0.0625</v>
      </c>
      <c r="X2141" s="0" t="n">
        <f aca="false">SUMPRODUCT(I2141:W2141,_XtX!$B$96:$P$96)</f>
        <v>44.7225557383041</v>
      </c>
      <c r="Y2141" s="0" t="n">
        <f aca="false">SUMPRODUCT(MMULT(I2141:W2141,_XtX!$B$78:$P$92),I2141:W2141)</f>
        <v>0.445705123812135</v>
      </c>
      <c r="Z2141" s="0" t="n">
        <f aca="false">04_回帰ANOVA!$K$19*04_回帰ANOVA!$K$14*SQRT(1+Y2141)</f>
        <v>1.56724990734749</v>
      </c>
      <c r="AA2141" s="0" t="n">
        <f aca="false">X2141-Z2141</f>
        <v>43.1553058309566</v>
      </c>
      <c r="AB2141" s="0" t="n">
        <f aca="false">X2141+Z2141</f>
        <v>46.2898056456515</v>
      </c>
      <c r="AC2141" s="54" t="b">
        <f aca="false">AND(E2141&gt;=01_因子設定!$L$5-0.000000001,E2141&lt;=01_因子設定!$M$5+0.000000001,F2141&gt;=01_因子設定!$L$6-0.000000001,F2141&lt;=01_因子設定!$M$6+0.000000001,G2141&gt;=01_因子設定!$L$7-0.000000001,G2141&lt;=01_因子設定!$M$7+0.000000001,H2141&gt;=01_因子設定!$L$8-0.000000001,H2141&lt;=01_因子設定!$M$8+0.000000001,IF(01_因子設定!$B$20="Box-Behnken",E2141^2+F2141^2+G2141^2+H2141^2&lt;=2+0.000000001,TRUE()))</f>
        <v>1</v>
      </c>
      <c r="AD2141" s="55" t="n">
        <f aca="false">IF(AC2141,IF(01_因子設定!$B$13="最大化",AA2141-01_因子設定!$B$14,IF(01_因子設定!$B$13="最小化",01_因子設定!$B$15-AB2141,MIN(AA2141-01_因子設定!$B$14,01_因子設定!$B$15-AB2141))),-1E+030)</f>
        <v>-3.34469416904344</v>
      </c>
      <c r="AE2141" s="55" t="n">
        <f aca="false">IF(AC2141,IF(01_因子設定!$B$13="最大化",X2141,IF(01_因子設定!$B$13="最小化",-X2141,-ABS(X2141-01_因子設定!$B$16))),-1E+030)</f>
        <v>44.7225557383041</v>
      </c>
      <c r="AF2141" s="55" t="n">
        <f aca="false">AD2141+ROW()*0.000000001</f>
        <v>-3.34469202804344</v>
      </c>
      <c r="AG2141" s="55" t="n">
        <f aca="false">AE2141+ROW()*0.000000001</f>
        <v>44.7225578793041</v>
      </c>
    </row>
    <row r="2142" customFormat="false" ht="15" hidden="false" customHeight="false" outlineLevel="0" collapsed="false">
      <c r="A2142" s="0" t="n">
        <v>2</v>
      </c>
      <c r="B2142" s="0" t="n">
        <v>8</v>
      </c>
      <c r="C2142" s="0" t="n">
        <v>3</v>
      </c>
      <c r="D2142" s="0" t="n">
        <v>4</v>
      </c>
      <c r="E2142" s="0" t="n">
        <f aca="false">-1+A2142*0.25</f>
        <v>-0.5</v>
      </c>
      <c r="F2142" s="0" t="n">
        <f aca="false">-1+B2142*0.25</f>
        <v>1</v>
      </c>
      <c r="G2142" s="0" t="n">
        <f aca="false">-1+C2142*0.25</f>
        <v>-0.25</v>
      </c>
      <c r="H2142" s="0" t="n">
        <f aca="false">-1+D2142*0.25</f>
        <v>0</v>
      </c>
      <c r="I2142" s="0" t="n">
        <f aca="false">1</f>
        <v>1</v>
      </c>
      <c r="J2142" s="0" t="n">
        <f aca="false">E2142</f>
        <v>-0.5</v>
      </c>
      <c r="K2142" s="0" t="n">
        <f aca="false">F2142</f>
        <v>1</v>
      </c>
      <c r="L2142" s="0" t="n">
        <f aca="false">G2142</f>
        <v>-0.25</v>
      </c>
      <c r="M2142" s="0" t="n">
        <f aca="false">H2142</f>
        <v>0</v>
      </c>
      <c r="N2142" s="0" t="n">
        <f aca="false">E2142*F2142</f>
        <v>-0.5</v>
      </c>
      <c r="O2142" s="0" t="n">
        <f aca="false">E2142*G2142</f>
        <v>0.125</v>
      </c>
      <c r="P2142" s="0" t="n">
        <f aca="false">E2142*H2142</f>
        <v>-0</v>
      </c>
      <c r="Q2142" s="0" t="n">
        <f aca="false">F2142*G2142</f>
        <v>-0.25</v>
      </c>
      <c r="R2142" s="0" t="n">
        <f aca="false">F2142*H2142</f>
        <v>0</v>
      </c>
      <c r="S2142" s="0" t="n">
        <f aca="false">G2142*H2142</f>
        <v>-0</v>
      </c>
      <c r="T2142" s="0" t="n">
        <f aca="false">E2142*E2142</f>
        <v>0.25</v>
      </c>
      <c r="U2142" s="0" t="n">
        <f aca="false">F2142*F2142</f>
        <v>1</v>
      </c>
      <c r="V2142" s="0" t="n">
        <f aca="false">G2142*G2142</f>
        <v>0.0625</v>
      </c>
      <c r="W2142" s="0" t="n">
        <f aca="false">H2142*H2142</f>
        <v>0</v>
      </c>
      <c r="X2142" s="0" t="n">
        <f aca="false">SUMPRODUCT(I2142:W2142,_XtX!$B$96:$P$96)</f>
        <v>44.7611293859649</v>
      </c>
      <c r="Y2142" s="0" t="n">
        <f aca="false">SUMPRODUCT(MMULT(I2142:W2142,_XtX!$B$78:$P$92),I2142:W2142)</f>
        <v>0.457596628289474</v>
      </c>
      <c r="Z2142" s="0" t="n">
        <f aca="false">04_回帰ANOVA!$K$19*04_回帰ANOVA!$K$14*SQRT(1+Y2142)</f>
        <v>1.57368233664366</v>
      </c>
      <c r="AA2142" s="0" t="n">
        <f aca="false">X2142-Z2142</f>
        <v>43.1874470493212</v>
      </c>
      <c r="AB2142" s="0" t="n">
        <f aca="false">X2142+Z2142</f>
        <v>46.3348117226085</v>
      </c>
      <c r="AC2142" s="54" t="b">
        <f aca="false">AND(E2142&gt;=01_因子設定!$L$5-0.000000001,E2142&lt;=01_因子設定!$M$5+0.000000001,F2142&gt;=01_因子設定!$L$6-0.000000001,F2142&lt;=01_因子設定!$M$6+0.000000001,G2142&gt;=01_因子設定!$L$7-0.000000001,G2142&lt;=01_因子設定!$M$7+0.000000001,H2142&gt;=01_因子設定!$L$8-0.000000001,H2142&lt;=01_因子設定!$M$8+0.000000001,IF(01_因子設定!$B$20="Box-Behnken",E2142^2+F2142^2+G2142^2+H2142^2&lt;=2+0.000000001,TRUE()))</f>
        <v>1</v>
      </c>
      <c r="AD2142" s="55" t="n">
        <f aca="false">IF(AC2142,IF(01_因子設定!$B$13="最大化",AA2142-01_因子設定!$B$14,IF(01_因子設定!$B$13="最小化",01_因子設定!$B$15-AB2142,MIN(AA2142-01_因子設定!$B$14,01_因子設定!$B$15-AB2142))),-1E+030)</f>
        <v>-3.31255295067879</v>
      </c>
      <c r="AE2142" s="55" t="n">
        <f aca="false">IF(AC2142,IF(01_因子設定!$B$13="最大化",X2142,IF(01_因子設定!$B$13="最小化",-X2142,-ABS(X2142-01_因子設定!$B$16))),-1E+030)</f>
        <v>44.7611293859649</v>
      </c>
      <c r="AF2142" s="55" t="n">
        <f aca="false">AD2142+ROW()*0.000000001</f>
        <v>-3.31255080867879</v>
      </c>
      <c r="AG2142" s="55" t="n">
        <f aca="false">AE2142+ROW()*0.000000001</f>
        <v>44.7611315279649</v>
      </c>
    </row>
    <row r="2143" customFormat="false" ht="15" hidden="false" customHeight="false" outlineLevel="0" collapsed="false">
      <c r="A2143" s="0" t="n">
        <v>2</v>
      </c>
      <c r="B2143" s="0" t="n">
        <v>8</v>
      </c>
      <c r="C2143" s="0" t="n">
        <v>3</v>
      </c>
      <c r="D2143" s="0" t="n">
        <v>5</v>
      </c>
      <c r="E2143" s="0" t="n">
        <f aca="false">-1+A2143*0.25</f>
        <v>-0.5</v>
      </c>
      <c r="F2143" s="0" t="n">
        <f aca="false">-1+B2143*0.25</f>
        <v>1</v>
      </c>
      <c r="G2143" s="0" t="n">
        <f aca="false">-1+C2143*0.25</f>
        <v>-0.25</v>
      </c>
      <c r="H2143" s="0" t="n">
        <f aca="false">-1+D2143*0.25</f>
        <v>0.25</v>
      </c>
      <c r="I2143" s="0" t="n">
        <f aca="false">1</f>
        <v>1</v>
      </c>
      <c r="J2143" s="0" t="n">
        <f aca="false">E2143</f>
        <v>-0.5</v>
      </c>
      <c r="K2143" s="0" t="n">
        <f aca="false">F2143</f>
        <v>1</v>
      </c>
      <c r="L2143" s="0" t="n">
        <f aca="false">G2143</f>
        <v>-0.25</v>
      </c>
      <c r="M2143" s="0" t="n">
        <f aca="false">H2143</f>
        <v>0.25</v>
      </c>
      <c r="N2143" s="0" t="n">
        <f aca="false">E2143*F2143</f>
        <v>-0.5</v>
      </c>
      <c r="O2143" s="0" t="n">
        <f aca="false">E2143*G2143</f>
        <v>0.125</v>
      </c>
      <c r="P2143" s="0" t="n">
        <f aca="false">E2143*H2143</f>
        <v>-0.125</v>
      </c>
      <c r="Q2143" s="0" t="n">
        <f aca="false">F2143*G2143</f>
        <v>-0.25</v>
      </c>
      <c r="R2143" s="0" t="n">
        <f aca="false">F2143*H2143</f>
        <v>0.25</v>
      </c>
      <c r="S2143" s="0" t="n">
        <f aca="false">G2143*H2143</f>
        <v>-0.0625</v>
      </c>
      <c r="T2143" s="0" t="n">
        <f aca="false">E2143*E2143</f>
        <v>0.25</v>
      </c>
      <c r="U2143" s="0" t="n">
        <f aca="false">F2143*F2143</f>
        <v>1</v>
      </c>
      <c r="V2143" s="0" t="n">
        <f aca="false">G2143*G2143</f>
        <v>0.0625</v>
      </c>
      <c r="W2143" s="0" t="n">
        <f aca="false">H2143*H2143</f>
        <v>0.0625</v>
      </c>
      <c r="X2143" s="0" t="n">
        <f aca="false">SUMPRODUCT(I2143:W2143,_XtX!$B$96:$P$96)</f>
        <v>44.7518960160818</v>
      </c>
      <c r="Y2143" s="0" t="n">
        <f aca="false">SUMPRODUCT(MMULT(I2143:W2143,_XtX!$B$78:$P$92),I2143:W2143)</f>
        <v>0.445705123812135</v>
      </c>
      <c r="Z2143" s="0" t="n">
        <f aca="false">04_回帰ANOVA!$K$19*04_回帰ANOVA!$K$14*SQRT(1+Y2143)</f>
        <v>1.56724990734749</v>
      </c>
      <c r="AA2143" s="0" t="n">
        <f aca="false">X2143-Z2143</f>
        <v>43.1846461087343</v>
      </c>
      <c r="AB2143" s="0" t="n">
        <f aca="false">X2143+Z2143</f>
        <v>46.3191459234293</v>
      </c>
      <c r="AC2143" s="54" t="b">
        <f aca="false">AND(E2143&gt;=01_因子設定!$L$5-0.000000001,E2143&lt;=01_因子設定!$M$5+0.000000001,F2143&gt;=01_因子設定!$L$6-0.000000001,F2143&lt;=01_因子設定!$M$6+0.000000001,G2143&gt;=01_因子設定!$L$7-0.000000001,G2143&lt;=01_因子設定!$M$7+0.000000001,H2143&gt;=01_因子設定!$L$8-0.000000001,H2143&lt;=01_因子設定!$M$8+0.000000001,IF(01_因子設定!$B$20="Box-Behnken",E2143^2+F2143^2+G2143^2+H2143^2&lt;=2+0.000000001,TRUE()))</f>
        <v>1</v>
      </c>
      <c r="AD2143" s="55" t="n">
        <f aca="false">IF(AC2143,IF(01_因子設定!$B$13="最大化",AA2143-01_因子設定!$B$14,IF(01_因子設定!$B$13="最小化",01_因子設定!$B$15-AB2143,MIN(AA2143-01_因子設定!$B$14,01_因子設定!$B$15-AB2143))),-1E+030)</f>
        <v>-3.31535389126566</v>
      </c>
      <c r="AE2143" s="55" t="n">
        <f aca="false">IF(AC2143,IF(01_因子設定!$B$13="最大化",X2143,IF(01_因子設定!$B$13="最小化",-X2143,-ABS(X2143-01_因子設定!$B$16))),-1E+030)</f>
        <v>44.7518960160818</v>
      </c>
      <c r="AF2143" s="55" t="n">
        <f aca="false">AD2143+ROW()*0.000000001</f>
        <v>-3.31535174826566</v>
      </c>
      <c r="AG2143" s="55" t="n">
        <f aca="false">AE2143+ROW()*0.000000001</f>
        <v>44.7518981590818</v>
      </c>
    </row>
    <row r="2144" customFormat="false" ht="15" hidden="false" customHeight="false" outlineLevel="0" collapsed="false">
      <c r="A2144" s="0" t="n">
        <v>2</v>
      </c>
      <c r="B2144" s="0" t="n">
        <v>8</v>
      </c>
      <c r="C2144" s="0" t="n">
        <v>3</v>
      </c>
      <c r="D2144" s="0" t="n">
        <v>6</v>
      </c>
      <c r="E2144" s="0" t="n">
        <f aca="false">-1+A2144*0.25</f>
        <v>-0.5</v>
      </c>
      <c r="F2144" s="0" t="n">
        <f aca="false">-1+B2144*0.25</f>
        <v>1</v>
      </c>
      <c r="G2144" s="0" t="n">
        <f aca="false">-1+C2144*0.25</f>
        <v>-0.25</v>
      </c>
      <c r="H2144" s="0" t="n">
        <f aca="false">-1+D2144*0.25</f>
        <v>0.5</v>
      </c>
      <c r="I2144" s="0" t="n">
        <f aca="false">1</f>
        <v>1</v>
      </c>
      <c r="J2144" s="0" t="n">
        <f aca="false">E2144</f>
        <v>-0.5</v>
      </c>
      <c r="K2144" s="0" t="n">
        <f aca="false">F2144</f>
        <v>1</v>
      </c>
      <c r="L2144" s="0" t="n">
        <f aca="false">G2144</f>
        <v>-0.25</v>
      </c>
      <c r="M2144" s="0" t="n">
        <f aca="false">H2144</f>
        <v>0.5</v>
      </c>
      <c r="N2144" s="0" t="n">
        <f aca="false">E2144*F2144</f>
        <v>-0.5</v>
      </c>
      <c r="O2144" s="0" t="n">
        <f aca="false">E2144*G2144</f>
        <v>0.125</v>
      </c>
      <c r="P2144" s="0" t="n">
        <f aca="false">E2144*H2144</f>
        <v>-0.25</v>
      </c>
      <c r="Q2144" s="0" t="n">
        <f aca="false">F2144*G2144</f>
        <v>-0.25</v>
      </c>
      <c r="R2144" s="0" t="n">
        <f aca="false">F2144*H2144</f>
        <v>0.5</v>
      </c>
      <c r="S2144" s="0" t="n">
        <f aca="false">G2144*H2144</f>
        <v>-0.125</v>
      </c>
      <c r="T2144" s="0" t="n">
        <f aca="false">E2144*E2144</f>
        <v>0.25</v>
      </c>
      <c r="U2144" s="0" t="n">
        <f aca="false">F2144*F2144</f>
        <v>1</v>
      </c>
      <c r="V2144" s="0" t="n">
        <f aca="false">G2144*G2144</f>
        <v>0.0625</v>
      </c>
      <c r="W2144" s="0" t="n">
        <f aca="false">H2144*H2144</f>
        <v>0.25</v>
      </c>
      <c r="X2144" s="0" t="n">
        <f aca="false">SUMPRODUCT(I2144:W2144,_XtX!$B$96:$P$96)</f>
        <v>44.6948556286549</v>
      </c>
      <c r="Y2144" s="0" t="n">
        <f aca="false">SUMPRODUCT(MMULT(I2144:W2144,_XtX!$B$78:$P$92),I2144:W2144)</f>
        <v>0.428122715643275</v>
      </c>
      <c r="Z2144" s="0" t="n">
        <f aca="false">04_回帰ANOVA!$K$19*04_回帰ANOVA!$K$14*SQRT(1+Y2144)</f>
        <v>1.55769044623229</v>
      </c>
      <c r="AA2144" s="0" t="n">
        <f aca="false">X2144-Z2144</f>
        <v>43.1371651824226</v>
      </c>
      <c r="AB2144" s="0" t="n">
        <f aca="false">X2144+Z2144</f>
        <v>46.2525460748872</v>
      </c>
      <c r="AC2144" s="54" t="b">
        <f aca="false">AND(E2144&gt;=01_因子設定!$L$5-0.000000001,E2144&lt;=01_因子設定!$M$5+0.000000001,F2144&gt;=01_因子設定!$L$6-0.000000001,F2144&lt;=01_因子設定!$M$6+0.000000001,G2144&gt;=01_因子設定!$L$7-0.000000001,G2144&lt;=01_因子設定!$M$7+0.000000001,H2144&gt;=01_因子設定!$L$8-0.000000001,H2144&lt;=01_因子設定!$M$8+0.000000001,IF(01_因子設定!$B$20="Box-Behnken",E2144^2+F2144^2+G2144^2+H2144^2&lt;=2+0.000000001,TRUE()))</f>
        <v>1</v>
      </c>
      <c r="AD2144" s="55" t="n">
        <f aca="false">IF(AC2144,IF(01_因子設定!$B$13="最大化",AA2144-01_因子設定!$B$14,IF(01_因子設定!$B$13="最小化",01_因子設定!$B$15-AB2144,MIN(AA2144-01_因子設定!$B$14,01_因子設定!$B$15-AB2144))),-1E+030)</f>
        <v>-3.36283481757736</v>
      </c>
      <c r="AE2144" s="55" t="n">
        <f aca="false">IF(AC2144,IF(01_因子設定!$B$13="最大化",X2144,IF(01_因子設定!$B$13="最小化",-X2144,-ABS(X2144-01_因子設定!$B$16))),-1E+030)</f>
        <v>44.6948556286549</v>
      </c>
      <c r="AF2144" s="55" t="n">
        <f aca="false">AD2144+ROW()*0.000000001</f>
        <v>-3.36283267357736</v>
      </c>
      <c r="AG2144" s="55" t="n">
        <f aca="false">AE2144+ROW()*0.000000001</f>
        <v>44.6948577726549</v>
      </c>
    </row>
    <row r="2145" customFormat="false" ht="15" hidden="false" customHeight="false" outlineLevel="0" collapsed="false">
      <c r="A2145" s="0" t="n">
        <v>2</v>
      </c>
      <c r="B2145" s="0" t="n">
        <v>8</v>
      </c>
      <c r="C2145" s="0" t="n">
        <v>3</v>
      </c>
      <c r="D2145" s="0" t="n">
        <v>7</v>
      </c>
      <c r="E2145" s="0" t="n">
        <f aca="false">-1+A2145*0.25</f>
        <v>-0.5</v>
      </c>
      <c r="F2145" s="0" t="n">
        <f aca="false">-1+B2145*0.25</f>
        <v>1</v>
      </c>
      <c r="G2145" s="0" t="n">
        <f aca="false">-1+C2145*0.25</f>
        <v>-0.25</v>
      </c>
      <c r="H2145" s="0" t="n">
        <f aca="false">-1+D2145*0.25</f>
        <v>0.75</v>
      </c>
      <c r="I2145" s="0" t="n">
        <f aca="false">1</f>
        <v>1</v>
      </c>
      <c r="J2145" s="0" t="n">
        <f aca="false">E2145</f>
        <v>-0.5</v>
      </c>
      <c r="K2145" s="0" t="n">
        <f aca="false">F2145</f>
        <v>1</v>
      </c>
      <c r="L2145" s="0" t="n">
        <f aca="false">G2145</f>
        <v>-0.25</v>
      </c>
      <c r="M2145" s="0" t="n">
        <f aca="false">H2145</f>
        <v>0.75</v>
      </c>
      <c r="N2145" s="0" t="n">
        <f aca="false">E2145*F2145</f>
        <v>-0.5</v>
      </c>
      <c r="O2145" s="0" t="n">
        <f aca="false">E2145*G2145</f>
        <v>0.125</v>
      </c>
      <c r="P2145" s="0" t="n">
        <f aca="false">E2145*H2145</f>
        <v>-0.375</v>
      </c>
      <c r="Q2145" s="0" t="n">
        <f aca="false">F2145*G2145</f>
        <v>-0.25</v>
      </c>
      <c r="R2145" s="0" t="n">
        <f aca="false">F2145*H2145</f>
        <v>0.75</v>
      </c>
      <c r="S2145" s="0" t="n">
        <f aca="false">G2145*H2145</f>
        <v>-0.1875</v>
      </c>
      <c r="T2145" s="0" t="n">
        <f aca="false">E2145*E2145</f>
        <v>0.25</v>
      </c>
      <c r="U2145" s="0" t="n">
        <f aca="false">F2145*F2145</f>
        <v>1</v>
      </c>
      <c r="V2145" s="0" t="n">
        <f aca="false">G2145*G2145</f>
        <v>0.0625</v>
      </c>
      <c r="W2145" s="0" t="n">
        <f aca="false">H2145*H2145</f>
        <v>0.5625</v>
      </c>
      <c r="X2145" s="0" t="n">
        <f aca="false">SUMPRODUCT(I2145:W2145,_XtX!$B$96:$P$96)</f>
        <v>44.5900082236842</v>
      </c>
      <c r="Y2145" s="0" t="n">
        <f aca="false">SUMPRODUCT(MMULT(I2145:W2145,_XtX!$B$78:$P$92),I2145:W2145)</f>
        <v>0.459125719572369</v>
      </c>
      <c r="Z2145" s="0" t="n">
        <f aca="false">04_回帰ANOVA!$K$19*04_回帰ANOVA!$K$14*SQRT(1+Y2145)</f>
        <v>1.57450755575573</v>
      </c>
      <c r="AA2145" s="0" t="n">
        <f aca="false">X2145-Z2145</f>
        <v>43.0155006679285</v>
      </c>
      <c r="AB2145" s="0" t="n">
        <f aca="false">X2145+Z2145</f>
        <v>46.1645157794399</v>
      </c>
      <c r="AC2145" s="54" t="b">
        <f aca="false">AND(E2145&gt;=01_因子設定!$L$5-0.000000001,E2145&lt;=01_因子設定!$M$5+0.000000001,F2145&gt;=01_因子設定!$L$6-0.000000001,F2145&lt;=01_因子設定!$M$6+0.000000001,G2145&gt;=01_因子設定!$L$7-0.000000001,G2145&lt;=01_因子設定!$M$7+0.000000001,H2145&gt;=01_因子設定!$L$8-0.000000001,H2145&lt;=01_因子設定!$M$8+0.000000001,IF(01_因子設定!$B$20="Box-Behnken",E2145^2+F2145^2+G2145^2+H2145^2&lt;=2+0.000000001,TRUE()))</f>
        <v>1</v>
      </c>
      <c r="AD2145" s="55" t="n">
        <f aca="false">IF(AC2145,IF(01_因子設定!$B$13="最大化",AA2145-01_因子設定!$B$14,IF(01_因子設定!$B$13="最小化",01_因子設定!$B$15-AB2145,MIN(AA2145-01_因子設定!$B$14,01_因子設定!$B$15-AB2145))),-1E+030)</f>
        <v>-3.48449933207154</v>
      </c>
      <c r="AE2145" s="55" t="n">
        <f aca="false">IF(AC2145,IF(01_因子設定!$B$13="最大化",X2145,IF(01_因子設定!$B$13="最小化",-X2145,-ABS(X2145-01_因子設定!$B$16))),-1E+030)</f>
        <v>44.5900082236842</v>
      </c>
      <c r="AF2145" s="55" t="n">
        <f aca="false">AD2145+ROW()*0.000000001</f>
        <v>-3.48449718707154</v>
      </c>
      <c r="AG2145" s="55" t="n">
        <f aca="false">AE2145+ROW()*0.000000001</f>
        <v>44.5900103686842</v>
      </c>
    </row>
    <row r="2146" customFormat="false" ht="15" hidden="false" customHeight="false" outlineLevel="0" collapsed="false">
      <c r="A2146" s="0" t="n">
        <v>2</v>
      </c>
      <c r="B2146" s="0" t="n">
        <v>8</v>
      </c>
      <c r="C2146" s="0" t="n">
        <v>3</v>
      </c>
      <c r="D2146" s="0" t="n">
        <v>8</v>
      </c>
      <c r="E2146" s="0" t="n">
        <f aca="false">-1+A2146*0.25</f>
        <v>-0.5</v>
      </c>
      <c r="F2146" s="0" t="n">
        <f aca="false">-1+B2146*0.25</f>
        <v>1</v>
      </c>
      <c r="G2146" s="0" t="n">
        <f aca="false">-1+C2146*0.25</f>
        <v>-0.25</v>
      </c>
      <c r="H2146" s="0" t="n">
        <f aca="false">-1+D2146*0.25</f>
        <v>1</v>
      </c>
      <c r="I2146" s="0" t="n">
        <f aca="false">1</f>
        <v>1</v>
      </c>
      <c r="J2146" s="0" t="n">
        <f aca="false">E2146</f>
        <v>-0.5</v>
      </c>
      <c r="K2146" s="0" t="n">
        <f aca="false">F2146</f>
        <v>1</v>
      </c>
      <c r="L2146" s="0" t="n">
        <f aca="false">G2146</f>
        <v>-0.25</v>
      </c>
      <c r="M2146" s="0" t="n">
        <f aca="false">H2146</f>
        <v>1</v>
      </c>
      <c r="N2146" s="0" t="n">
        <f aca="false">E2146*F2146</f>
        <v>-0.5</v>
      </c>
      <c r="O2146" s="0" t="n">
        <f aca="false">E2146*G2146</f>
        <v>0.125</v>
      </c>
      <c r="P2146" s="0" t="n">
        <f aca="false">E2146*H2146</f>
        <v>-0.5</v>
      </c>
      <c r="Q2146" s="0" t="n">
        <f aca="false">F2146*G2146</f>
        <v>-0.25</v>
      </c>
      <c r="R2146" s="0" t="n">
        <f aca="false">F2146*H2146</f>
        <v>1</v>
      </c>
      <c r="S2146" s="0" t="n">
        <f aca="false">G2146*H2146</f>
        <v>-0.25</v>
      </c>
      <c r="T2146" s="0" t="n">
        <f aca="false">E2146*E2146</f>
        <v>0.25</v>
      </c>
      <c r="U2146" s="0" t="n">
        <f aca="false">F2146*F2146</f>
        <v>1</v>
      </c>
      <c r="V2146" s="0" t="n">
        <f aca="false">G2146*G2146</f>
        <v>0.0625</v>
      </c>
      <c r="W2146" s="0" t="n">
        <f aca="false">H2146*H2146</f>
        <v>1</v>
      </c>
      <c r="X2146" s="0" t="n">
        <f aca="false">SUMPRODUCT(I2146:W2146,_XtX!$B$96:$P$96)</f>
        <v>44.4373538011696</v>
      </c>
      <c r="Y2146" s="0" t="n">
        <f aca="false">SUMPRODUCT(MMULT(I2146:W2146,_XtX!$B$78:$P$92),I2146:W2146)</f>
        <v>0.629174661915205</v>
      </c>
      <c r="Z2146" s="0" t="n">
        <f aca="false">04_回帰ANOVA!$K$19*04_回帰ANOVA!$K$14*SQRT(1+Y2146)</f>
        <v>1.66372758058297</v>
      </c>
      <c r="AA2146" s="0" t="n">
        <f aca="false">X2146-Z2146</f>
        <v>42.7736262205866</v>
      </c>
      <c r="AB2146" s="0" t="n">
        <f aca="false">X2146+Z2146</f>
        <v>46.1010813817526</v>
      </c>
      <c r="AC2146" s="54" t="b">
        <f aca="false">AND(E2146&gt;=01_因子設定!$L$5-0.000000001,E2146&lt;=01_因子設定!$M$5+0.000000001,F2146&gt;=01_因子設定!$L$6-0.000000001,F2146&lt;=01_因子設定!$M$6+0.000000001,G2146&gt;=01_因子設定!$L$7-0.000000001,G2146&lt;=01_因子設定!$M$7+0.000000001,H2146&gt;=01_因子設定!$L$8-0.000000001,H2146&lt;=01_因子設定!$M$8+0.000000001,IF(01_因子設定!$B$20="Box-Behnken",E2146^2+F2146^2+G2146^2+H2146^2&lt;=2+0.000000001,TRUE()))</f>
        <v>1</v>
      </c>
      <c r="AD2146" s="55" t="n">
        <f aca="false">IF(AC2146,IF(01_因子設定!$B$13="最大化",AA2146-01_因子設定!$B$14,IF(01_因子設定!$B$13="最小化",01_因子設定!$B$15-AB2146,MIN(AA2146-01_因子設定!$B$14,01_因子設定!$B$15-AB2146))),-1E+030)</f>
        <v>-3.72637377941339</v>
      </c>
      <c r="AE2146" s="55" t="n">
        <f aca="false">IF(AC2146,IF(01_因子設定!$B$13="最大化",X2146,IF(01_因子設定!$B$13="最小化",-X2146,-ABS(X2146-01_因子設定!$B$16))),-1E+030)</f>
        <v>44.4373538011696</v>
      </c>
      <c r="AF2146" s="55" t="n">
        <f aca="false">AD2146+ROW()*0.000000001</f>
        <v>-3.72637163341339</v>
      </c>
      <c r="AG2146" s="55" t="n">
        <f aca="false">AE2146+ROW()*0.000000001</f>
        <v>44.4373559471696</v>
      </c>
    </row>
    <row r="2147" customFormat="false" ht="15" hidden="false" customHeight="false" outlineLevel="0" collapsed="false">
      <c r="A2147" s="0" t="n">
        <v>2</v>
      </c>
      <c r="B2147" s="0" t="n">
        <v>8</v>
      </c>
      <c r="C2147" s="0" t="n">
        <v>4</v>
      </c>
      <c r="D2147" s="0" t="n">
        <v>0</v>
      </c>
      <c r="E2147" s="0" t="n">
        <f aca="false">-1+A2147*0.25</f>
        <v>-0.5</v>
      </c>
      <c r="F2147" s="0" t="n">
        <f aca="false">-1+B2147*0.25</f>
        <v>1</v>
      </c>
      <c r="G2147" s="0" t="n">
        <f aca="false">-1+C2147*0.25</f>
        <v>0</v>
      </c>
      <c r="H2147" s="0" t="n">
        <f aca="false">-1+D2147*0.25</f>
        <v>-1</v>
      </c>
      <c r="I2147" s="0" t="n">
        <f aca="false">1</f>
        <v>1</v>
      </c>
      <c r="J2147" s="0" t="n">
        <f aca="false">E2147</f>
        <v>-0.5</v>
      </c>
      <c r="K2147" s="0" t="n">
        <f aca="false">F2147</f>
        <v>1</v>
      </c>
      <c r="L2147" s="0" t="n">
        <f aca="false">G2147</f>
        <v>0</v>
      </c>
      <c r="M2147" s="0" t="n">
        <f aca="false">H2147</f>
        <v>-1</v>
      </c>
      <c r="N2147" s="0" t="n">
        <f aca="false">E2147*F2147</f>
        <v>-0.5</v>
      </c>
      <c r="O2147" s="0" t="n">
        <f aca="false">E2147*G2147</f>
        <v>-0</v>
      </c>
      <c r="P2147" s="0" t="n">
        <f aca="false">E2147*H2147</f>
        <v>0.5</v>
      </c>
      <c r="Q2147" s="0" t="n">
        <f aca="false">F2147*G2147</f>
        <v>0</v>
      </c>
      <c r="R2147" s="0" t="n">
        <f aca="false">F2147*H2147</f>
        <v>-1</v>
      </c>
      <c r="S2147" s="0" t="n">
        <f aca="false">G2147*H2147</f>
        <v>-0</v>
      </c>
      <c r="T2147" s="0" t="n">
        <f aca="false">E2147*E2147</f>
        <v>0.25</v>
      </c>
      <c r="U2147" s="0" t="n">
        <f aca="false">F2147*F2147</f>
        <v>1</v>
      </c>
      <c r="V2147" s="0" t="n">
        <f aca="false">G2147*G2147</f>
        <v>0</v>
      </c>
      <c r="W2147" s="0" t="n">
        <f aca="false">H2147*H2147</f>
        <v>1</v>
      </c>
      <c r="X2147" s="0" t="n">
        <f aca="false">SUMPRODUCT(I2147:W2147,_XtX!$B$96:$P$96)</f>
        <v>44.6959795321637</v>
      </c>
      <c r="Y2147" s="0" t="n">
        <f aca="false">SUMPRODUCT(MMULT(I2147:W2147,_XtX!$B$78:$P$92),I2147:W2147)</f>
        <v>0.650767543859649</v>
      </c>
      <c r="Z2147" s="0" t="n">
        <f aca="false">04_回帰ANOVA!$K$19*04_回帰ANOVA!$K$14*SQRT(1+Y2147)</f>
        <v>1.67471670935165</v>
      </c>
      <c r="AA2147" s="0" t="n">
        <f aca="false">X2147-Z2147</f>
        <v>43.0212628228121</v>
      </c>
      <c r="AB2147" s="0" t="n">
        <f aca="false">X2147+Z2147</f>
        <v>46.3706962415154</v>
      </c>
      <c r="AC2147" s="54" t="b">
        <f aca="false">AND(E2147&gt;=01_因子設定!$L$5-0.000000001,E2147&lt;=01_因子設定!$M$5+0.000000001,F2147&gt;=01_因子設定!$L$6-0.000000001,F2147&lt;=01_因子設定!$M$6+0.000000001,G2147&gt;=01_因子設定!$L$7-0.000000001,G2147&lt;=01_因子設定!$M$7+0.000000001,H2147&gt;=01_因子設定!$L$8-0.000000001,H2147&lt;=01_因子設定!$M$8+0.000000001,IF(01_因子設定!$B$20="Box-Behnken",E2147^2+F2147^2+G2147^2+H2147^2&lt;=2+0.000000001,TRUE()))</f>
        <v>1</v>
      </c>
      <c r="AD2147" s="55" t="n">
        <f aca="false">IF(AC2147,IF(01_因子設定!$B$13="最大化",AA2147-01_因子設定!$B$14,IF(01_因子設定!$B$13="最小化",01_因子設定!$B$15-AB2147,MIN(AA2147-01_因子設定!$B$14,01_因子設定!$B$15-AB2147))),-1E+030)</f>
        <v>-3.47873717718791</v>
      </c>
      <c r="AE2147" s="55" t="n">
        <f aca="false">IF(AC2147,IF(01_因子設定!$B$13="最大化",X2147,IF(01_因子設定!$B$13="最小化",-X2147,-ABS(X2147-01_因子設定!$B$16))),-1E+030)</f>
        <v>44.6959795321637</v>
      </c>
      <c r="AF2147" s="55" t="n">
        <f aca="false">AD2147+ROW()*0.000000001</f>
        <v>-3.47873503018791</v>
      </c>
      <c r="AG2147" s="55" t="n">
        <f aca="false">AE2147+ROW()*0.000000001</f>
        <v>44.6959816791637</v>
      </c>
    </row>
    <row r="2148" customFormat="false" ht="15" hidden="false" customHeight="false" outlineLevel="0" collapsed="false">
      <c r="A2148" s="0" t="n">
        <v>2</v>
      </c>
      <c r="B2148" s="0" t="n">
        <v>8</v>
      </c>
      <c r="C2148" s="0" t="n">
        <v>4</v>
      </c>
      <c r="D2148" s="0" t="n">
        <v>1</v>
      </c>
      <c r="E2148" s="0" t="n">
        <f aca="false">-1+A2148*0.25</f>
        <v>-0.5</v>
      </c>
      <c r="F2148" s="0" t="n">
        <f aca="false">-1+B2148*0.25</f>
        <v>1</v>
      </c>
      <c r="G2148" s="0" t="n">
        <f aca="false">-1+C2148*0.25</f>
        <v>0</v>
      </c>
      <c r="H2148" s="0" t="n">
        <f aca="false">-1+D2148*0.25</f>
        <v>-0.75</v>
      </c>
      <c r="I2148" s="0" t="n">
        <f aca="false">1</f>
        <v>1</v>
      </c>
      <c r="J2148" s="0" t="n">
        <f aca="false">E2148</f>
        <v>-0.5</v>
      </c>
      <c r="K2148" s="0" t="n">
        <f aca="false">F2148</f>
        <v>1</v>
      </c>
      <c r="L2148" s="0" t="n">
        <f aca="false">G2148</f>
        <v>0</v>
      </c>
      <c r="M2148" s="0" t="n">
        <f aca="false">H2148</f>
        <v>-0.75</v>
      </c>
      <c r="N2148" s="0" t="n">
        <f aca="false">E2148*F2148</f>
        <v>-0.5</v>
      </c>
      <c r="O2148" s="0" t="n">
        <f aca="false">E2148*G2148</f>
        <v>-0</v>
      </c>
      <c r="P2148" s="0" t="n">
        <f aca="false">E2148*H2148</f>
        <v>0.375</v>
      </c>
      <c r="Q2148" s="0" t="n">
        <f aca="false">F2148*G2148</f>
        <v>0</v>
      </c>
      <c r="R2148" s="0" t="n">
        <f aca="false">F2148*H2148</f>
        <v>-0.75</v>
      </c>
      <c r="S2148" s="0" t="n">
        <f aca="false">G2148*H2148</f>
        <v>-0</v>
      </c>
      <c r="T2148" s="0" t="n">
        <f aca="false">E2148*E2148</f>
        <v>0.25</v>
      </c>
      <c r="U2148" s="0" t="n">
        <f aca="false">F2148*F2148</f>
        <v>1</v>
      </c>
      <c r="V2148" s="0" t="n">
        <f aca="false">G2148*G2148</f>
        <v>0</v>
      </c>
      <c r="W2148" s="0" t="n">
        <f aca="false">H2148*H2148</f>
        <v>0.5625</v>
      </c>
      <c r="X2148" s="0" t="n">
        <f aca="false">SUMPRODUCT(I2148:W2148,_XtX!$B$96:$P$96)</f>
        <v>44.8959429824561</v>
      </c>
      <c r="Y2148" s="0" t="n">
        <f aca="false">SUMPRODUCT(MMULT(I2148:W2148,_XtX!$B$78:$P$92),I2148:W2148)</f>
        <v>0.476191292032164</v>
      </c>
      <c r="Z2148" s="0" t="n">
        <f aca="false">04_回帰ANOVA!$K$19*04_回帰ANOVA!$K$14*SQRT(1+Y2148)</f>
        <v>1.58368831471718</v>
      </c>
      <c r="AA2148" s="0" t="n">
        <f aca="false">X2148-Z2148</f>
        <v>43.3122546677389</v>
      </c>
      <c r="AB2148" s="0" t="n">
        <f aca="false">X2148+Z2148</f>
        <v>46.4796312971733</v>
      </c>
      <c r="AC2148" s="54" t="b">
        <f aca="false">AND(E2148&gt;=01_因子設定!$L$5-0.000000001,E2148&lt;=01_因子設定!$M$5+0.000000001,F2148&gt;=01_因子設定!$L$6-0.000000001,F2148&lt;=01_因子設定!$M$6+0.000000001,G2148&gt;=01_因子設定!$L$7-0.000000001,G2148&lt;=01_因子設定!$M$7+0.000000001,H2148&gt;=01_因子設定!$L$8-0.000000001,H2148&lt;=01_因子設定!$M$8+0.000000001,IF(01_因子設定!$B$20="Box-Behnken",E2148^2+F2148^2+G2148^2+H2148^2&lt;=2+0.000000001,TRUE()))</f>
        <v>1</v>
      </c>
      <c r="AD2148" s="55" t="n">
        <f aca="false">IF(AC2148,IF(01_因子設定!$B$13="最大化",AA2148-01_因子設定!$B$14,IF(01_因子設定!$B$13="最小化",01_因子設定!$B$15-AB2148,MIN(AA2148-01_因子設定!$B$14,01_因子設定!$B$15-AB2148))),-1E+030)</f>
        <v>-3.18774533226106</v>
      </c>
      <c r="AE2148" s="55" t="n">
        <f aca="false">IF(AC2148,IF(01_因子設定!$B$13="最大化",X2148,IF(01_因子設定!$B$13="最小化",-X2148,-ABS(X2148-01_因子設定!$B$16))),-1E+030)</f>
        <v>44.8959429824561</v>
      </c>
      <c r="AF2148" s="55" t="n">
        <f aca="false">AD2148+ROW()*0.000000001</f>
        <v>-3.18774318426106</v>
      </c>
      <c r="AG2148" s="55" t="n">
        <f aca="false">AE2148+ROW()*0.000000001</f>
        <v>44.8959451304561</v>
      </c>
    </row>
    <row r="2149" customFormat="false" ht="15" hidden="false" customHeight="false" outlineLevel="0" collapsed="false">
      <c r="A2149" s="0" t="n">
        <v>2</v>
      </c>
      <c r="B2149" s="0" t="n">
        <v>8</v>
      </c>
      <c r="C2149" s="0" t="n">
        <v>4</v>
      </c>
      <c r="D2149" s="0" t="n">
        <v>2</v>
      </c>
      <c r="E2149" s="0" t="n">
        <f aca="false">-1+A2149*0.25</f>
        <v>-0.5</v>
      </c>
      <c r="F2149" s="0" t="n">
        <f aca="false">-1+B2149*0.25</f>
        <v>1</v>
      </c>
      <c r="G2149" s="0" t="n">
        <f aca="false">-1+C2149*0.25</f>
        <v>0</v>
      </c>
      <c r="H2149" s="0" t="n">
        <f aca="false">-1+D2149*0.25</f>
        <v>-0.5</v>
      </c>
      <c r="I2149" s="0" t="n">
        <f aca="false">1</f>
        <v>1</v>
      </c>
      <c r="J2149" s="0" t="n">
        <f aca="false">E2149</f>
        <v>-0.5</v>
      </c>
      <c r="K2149" s="0" t="n">
        <f aca="false">F2149</f>
        <v>1</v>
      </c>
      <c r="L2149" s="0" t="n">
        <f aca="false">G2149</f>
        <v>0</v>
      </c>
      <c r="M2149" s="0" t="n">
        <f aca="false">H2149</f>
        <v>-0.5</v>
      </c>
      <c r="N2149" s="0" t="n">
        <f aca="false">E2149*F2149</f>
        <v>-0.5</v>
      </c>
      <c r="O2149" s="0" t="n">
        <f aca="false">E2149*G2149</f>
        <v>-0</v>
      </c>
      <c r="P2149" s="0" t="n">
        <f aca="false">E2149*H2149</f>
        <v>0.25</v>
      </c>
      <c r="Q2149" s="0" t="n">
        <f aca="false">F2149*G2149</f>
        <v>0</v>
      </c>
      <c r="R2149" s="0" t="n">
        <f aca="false">F2149*H2149</f>
        <v>-0.5</v>
      </c>
      <c r="S2149" s="0" t="n">
        <f aca="false">G2149*H2149</f>
        <v>-0</v>
      </c>
      <c r="T2149" s="0" t="n">
        <f aca="false">E2149*E2149</f>
        <v>0.25</v>
      </c>
      <c r="U2149" s="0" t="n">
        <f aca="false">F2149*F2149</f>
        <v>1</v>
      </c>
      <c r="V2149" s="0" t="n">
        <f aca="false">G2149*G2149</f>
        <v>0</v>
      </c>
      <c r="W2149" s="0" t="n">
        <f aca="false">H2149*H2149</f>
        <v>0.25</v>
      </c>
      <c r="X2149" s="0" t="n">
        <f aca="false">SUMPRODUCT(I2149:W2149,_XtX!$B$96:$P$96)</f>
        <v>45.0480994152046</v>
      </c>
      <c r="Y2149" s="0" t="n">
        <f aca="false">SUMPRODUCT(MMULT(I2149:W2149,_XtX!$B$78:$P$92),I2149:W2149)</f>
        <v>0.441954495614035</v>
      </c>
      <c r="Z2149" s="0" t="n">
        <f aca="false">04_回帰ANOVA!$K$19*04_回帰ANOVA!$K$14*SQRT(1+Y2149)</f>
        <v>1.56521560968066</v>
      </c>
      <c r="AA2149" s="0" t="n">
        <f aca="false">X2149-Z2149</f>
        <v>43.482883805524</v>
      </c>
      <c r="AB2149" s="0" t="n">
        <f aca="false">X2149+Z2149</f>
        <v>46.6133150248853</v>
      </c>
      <c r="AC2149" s="54" t="b">
        <f aca="false">AND(E2149&gt;=01_因子設定!$L$5-0.000000001,E2149&lt;=01_因子設定!$M$5+0.000000001,F2149&gt;=01_因子設定!$L$6-0.000000001,F2149&lt;=01_因子設定!$M$6+0.000000001,G2149&gt;=01_因子設定!$L$7-0.000000001,G2149&lt;=01_因子設定!$M$7+0.000000001,H2149&gt;=01_因子設定!$L$8-0.000000001,H2149&lt;=01_因子設定!$M$8+0.000000001,IF(01_因子設定!$B$20="Box-Behnken",E2149^2+F2149^2+G2149^2+H2149^2&lt;=2+0.000000001,TRUE()))</f>
        <v>1</v>
      </c>
      <c r="AD2149" s="55" t="n">
        <f aca="false">IF(AC2149,IF(01_因子設定!$B$13="最大化",AA2149-01_因子設定!$B$14,IF(01_因子設定!$B$13="最小化",01_因子設定!$B$15-AB2149,MIN(AA2149-01_因子設定!$B$14,01_因子設定!$B$15-AB2149))),-1E+030)</f>
        <v>-3.01711619447602</v>
      </c>
      <c r="AE2149" s="55" t="n">
        <f aca="false">IF(AC2149,IF(01_因子設定!$B$13="最大化",X2149,IF(01_因子設定!$B$13="最小化",-X2149,-ABS(X2149-01_因子設定!$B$16))),-1E+030)</f>
        <v>45.0480994152046</v>
      </c>
      <c r="AF2149" s="55" t="n">
        <f aca="false">AD2149+ROW()*0.000000001</f>
        <v>-3.01711404547602</v>
      </c>
      <c r="AG2149" s="55" t="n">
        <f aca="false">AE2149+ROW()*0.000000001</f>
        <v>45.0481015642046</v>
      </c>
    </row>
    <row r="2150" customFormat="false" ht="15" hidden="false" customHeight="false" outlineLevel="0" collapsed="false">
      <c r="A2150" s="0" t="n">
        <v>2</v>
      </c>
      <c r="B2150" s="0" t="n">
        <v>8</v>
      </c>
      <c r="C2150" s="0" t="n">
        <v>4</v>
      </c>
      <c r="D2150" s="0" t="n">
        <v>3</v>
      </c>
      <c r="E2150" s="0" t="n">
        <f aca="false">-1+A2150*0.25</f>
        <v>-0.5</v>
      </c>
      <c r="F2150" s="0" t="n">
        <f aca="false">-1+B2150*0.25</f>
        <v>1</v>
      </c>
      <c r="G2150" s="0" t="n">
        <f aca="false">-1+C2150*0.25</f>
        <v>0</v>
      </c>
      <c r="H2150" s="0" t="n">
        <f aca="false">-1+D2150*0.25</f>
        <v>-0.25</v>
      </c>
      <c r="I2150" s="0" t="n">
        <f aca="false">1</f>
        <v>1</v>
      </c>
      <c r="J2150" s="0" t="n">
        <f aca="false">E2150</f>
        <v>-0.5</v>
      </c>
      <c r="K2150" s="0" t="n">
        <f aca="false">F2150</f>
        <v>1</v>
      </c>
      <c r="L2150" s="0" t="n">
        <f aca="false">G2150</f>
        <v>0</v>
      </c>
      <c r="M2150" s="0" t="n">
        <f aca="false">H2150</f>
        <v>-0.25</v>
      </c>
      <c r="N2150" s="0" t="n">
        <f aca="false">E2150*F2150</f>
        <v>-0.5</v>
      </c>
      <c r="O2150" s="0" t="n">
        <f aca="false">E2150*G2150</f>
        <v>-0</v>
      </c>
      <c r="P2150" s="0" t="n">
        <f aca="false">E2150*H2150</f>
        <v>0.125</v>
      </c>
      <c r="Q2150" s="0" t="n">
        <f aca="false">F2150*G2150</f>
        <v>0</v>
      </c>
      <c r="R2150" s="0" t="n">
        <f aca="false">F2150*H2150</f>
        <v>-0.25</v>
      </c>
      <c r="S2150" s="0" t="n">
        <f aca="false">G2150*H2150</f>
        <v>-0</v>
      </c>
      <c r="T2150" s="0" t="n">
        <f aca="false">E2150*E2150</f>
        <v>0.25</v>
      </c>
      <c r="U2150" s="0" t="n">
        <f aca="false">F2150*F2150</f>
        <v>1</v>
      </c>
      <c r="V2150" s="0" t="n">
        <f aca="false">G2150*G2150</f>
        <v>0</v>
      </c>
      <c r="W2150" s="0" t="n">
        <f aca="false">H2150*H2150</f>
        <v>0.0625</v>
      </c>
      <c r="X2150" s="0" t="n">
        <f aca="false">SUMPRODUCT(I2150:W2150,_XtX!$B$96:$P$96)</f>
        <v>45.1524488304093</v>
      </c>
      <c r="Y2150" s="0" t="n">
        <f aca="false">SUMPRODUCT(MMULT(I2150:W2150,_XtX!$B$78:$P$92),I2150:W2150)</f>
        <v>0.457596628289474</v>
      </c>
      <c r="Z2150" s="0" t="n">
        <f aca="false">04_回帰ANOVA!$K$19*04_回帰ANOVA!$K$14*SQRT(1+Y2150)</f>
        <v>1.57368233664366</v>
      </c>
      <c r="AA2150" s="0" t="n">
        <f aca="false">X2150-Z2150</f>
        <v>43.5787664937657</v>
      </c>
      <c r="AB2150" s="0" t="n">
        <f aca="false">X2150+Z2150</f>
        <v>46.726131167053</v>
      </c>
      <c r="AC2150" s="54" t="b">
        <f aca="false">AND(E2150&gt;=01_因子設定!$L$5-0.000000001,E2150&lt;=01_因子設定!$M$5+0.000000001,F2150&gt;=01_因子設定!$L$6-0.000000001,F2150&lt;=01_因子設定!$M$6+0.000000001,G2150&gt;=01_因子設定!$L$7-0.000000001,G2150&lt;=01_因子設定!$M$7+0.000000001,H2150&gt;=01_因子設定!$L$8-0.000000001,H2150&lt;=01_因子設定!$M$8+0.000000001,IF(01_因子設定!$B$20="Box-Behnken",E2150^2+F2150^2+G2150^2+H2150^2&lt;=2+0.000000001,TRUE()))</f>
        <v>1</v>
      </c>
      <c r="AD2150" s="55" t="n">
        <f aca="false">IF(AC2150,IF(01_因子設定!$B$13="最大化",AA2150-01_因子設定!$B$14,IF(01_因子設定!$B$13="最小化",01_因子設定!$B$15-AB2150,MIN(AA2150-01_因子設定!$B$14,01_因子設定!$B$15-AB2150))),-1E+030)</f>
        <v>-2.92123350623434</v>
      </c>
      <c r="AE2150" s="55" t="n">
        <f aca="false">IF(AC2150,IF(01_因子設定!$B$13="最大化",X2150,IF(01_因子設定!$B$13="最小化",-X2150,-ABS(X2150-01_因子設定!$B$16))),-1E+030)</f>
        <v>45.1524488304093</v>
      </c>
      <c r="AF2150" s="55" t="n">
        <f aca="false">AD2150+ROW()*0.000000001</f>
        <v>-2.92123135623434</v>
      </c>
      <c r="AG2150" s="55" t="n">
        <f aca="false">AE2150+ROW()*0.000000001</f>
        <v>45.1524509804093</v>
      </c>
    </row>
    <row r="2151" customFormat="false" ht="15" hidden="false" customHeight="false" outlineLevel="0" collapsed="false">
      <c r="A2151" s="0" t="n">
        <v>2</v>
      </c>
      <c r="B2151" s="0" t="n">
        <v>8</v>
      </c>
      <c r="C2151" s="0" t="n">
        <v>4</v>
      </c>
      <c r="D2151" s="0" t="n">
        <v>4</v>
      </c>
      <c r="E2151" s="0" t="n">
        <f aca="false">-1+A2151*0.25</f>
        <v>-0.5</v>
      </c>
      <c r="F2151" s="0" t="n">
        <f aca="false">-1+B2151*0.25</f>
        <v>1</v>
      </c>
      <c r="G2151" s="0" t="n">
        <f aca="false">-1+C2151*0.25</f>
        <v>0</v>
      </c>
      <c r="H2151" s="0" t="n">
        <f aca="false">-1+D2151*0.25</f>
        <v>0</v>
      </c>
      <c r="I2151" s="0" t="n">
        <f aca="false">1</f>
        <v>1</v>
      </c>
      <c r="J2151" s="0" t="n">
        <f aca="false">E2151</f>
        <v>-0.5</v>
      </c>
      <c r="K2151" s="0" t="n">
        <f aca="false">F2151</f>
        <v>1</v>
      </c>
      <c r="L2151" s="0" t="n">
        <f aca="false">G2151</f>
        <v>0</v>
      </c>
      <c r="M2151" s="0" t="n">
        <f aca="false">H2151</f>
        <v>0</v>
      </c>
      <c r="N2151" s="0" t="n">
        <f aca="false">E2151*F2151</f>
        <v>-0.5</v>
      </c>
      <c r="O2151" s="0" t="n">
        <f aca="false">E2151*G2151</f>
        <v>-0</v>
      </c>
      <c r="P2151" s="0" t="n">
        <f aca="false">E2151*H2151</f>
        <v>-0</v>
      </c>
      <c r="Q2151" s="0" t="n">
        <f aca="false">F2151*G2151</f>
        <v>0</v>
      </c>
      <c r="R2151" s="0" t="n">
        <f aca="false">F2151*H2151</f>
        <v>0</v>
      </c>
      <c r="S2151" s="0" t="n">
        <f aca="false">G2151*H2151</f>
        <v>0</v>
      </c>
      <c r="T2151" s="0" t="n">
        <f aca="false">E2151*E2151</f>
        <v>0.25</v>
      </c>
      <c r="U2151" s="0" t="n">
        <f aca="false">F2151*F2151</f>
        <v>1</v>
      </c>
      <c r="V2151" s="0" t="n">
        <f aca="false">G2151*G2151</f>
        <v>0</v>
      </c>
      <c r="W2151" s="0" t="n">
        <f aca="false">H2151*H2151</f>
        <v>0</v>
      </c>
      <c r="X2151" s="0" t="n">
        <f aca="false">SUMPRODUCT(I2151:W2151,_XtX!$B$96:$P$96)</f>
        <v>45.2089912280701</v>
      </c>
      <c r="Y2151" s="0" t="n">
        <f aca="false">SUMPRODUCT(MMULT(I2151:W2151,_XtX!$B$78:$P$92),I2151:W2151)</f>
        <v>0.468841374269006</v>
      </c>
      <c r="Z2151" s="0" t="n">
        <f aca="false">04_回帰ANOVA!$K$19*04_回帰ANOVA!$K$14*SQRT(1+Y2151)</f>
        <v>1.57974082366087</v>
      </c>
      <c r="AA2151" s="0" t="n">
        <f aca="false">X2151-Z2151</f>
        <v>43.6292504044093</v>
      </c>
      <c r="AB2151" s="0" t="n">
        <f aca="false">X2151+Z2151</f>
        <v>46.788732051731</v>
      </c>
      <c r="AC2151" s="54" t="b">
        <f aca="false">AND(E2151&gt;=01_因子設定!$L$5-0.000000001,E2151&lt;=01_因子設定!$M$5+0.000000001,F2151&gt;=01_因子設定!$L$6-0.000000001,F2151&lt;=01_因子設定!$M$6+0.000000001,G2151&gt;=01_因子設定!$L$7-0.000000001,G2151&lt;=01_因子設定!$M$7+0.000000001,H2151&gt;=01_因子設定!$L$8-0.000000001,H2151&lt;=01_因子設定!$M$8+0.000000001,IF(01_因子設定!$B$20="Box-Behnken",E2151^2+F2151^2+G2151^2+H2151^2&lt;=2+0.000000001,TRUE()))</f>
        <v>1</v>
      </c>
      <c r="AD2151" s="55" t="n">
        <f aca="false">IF(AC2151,IF(01_因子設定!$B$13="最大化",AA2151-01_因子設定!$B$14,IF(01_因子設定!$B$13="最小化",01_因子設定!$B$15-AB2151,MIN(AA2151-01_因子設定!$B$14,01_因子設定!$B$15-AB2151))),-1E+030)</f>
        <v>-2.87074959559074</v>
      </c>
      <c r="AE2151" s="55" t="n">
        <f aca="false">IF(AC2151,IF(01_因子設定!$B$13="最大化",X2151,IF(01_因子設定!$B$13="最小化",-X2151,-ABS(X2151-01_因子設定!$B$16))),-1E+030)</f>
        <v>45.2089912280701</v>
      </c>
      <c r="AF2151" s="55" t="n">
        <f aca="false">AD2151+ROW()*0.000000001</f>
        <v>-2.87074744459075</v>
      </c>
      <c r="AG2151" s="55" t="n">
        <f aca="false">AE2151+ROW()*0.000000001</f>
        <v>45.2089933790701</v>
      </c>
    </row>
    <row r="2152" customFormat="false" ht="15" hidden="false" customHeight="false" outlineLevel="0" collapsed="false">
      <c r="A2152" s="0" t="n">
        <v>2</v>
      </c>
      <c r="B2152" s="0" t="n">
        <v>8</v>
      </c>
      <c r="C2152" s="0" t="n">
        <v>4</v>
      </c>
      <c r="D2152" s="0" t="n">
        <v>5</v>
      </c>
      <c r="E2152" s="0" t="n">
        <f aca="false">-1+A2152*0.25</f>
        <v>-0.5</v>
      </c>
      <c r="F2152" s="0" t="n">
        <f aca="false">-1+B2152*0.25</f>
        <v>1</v>
      </c>
      <c r="G2152" s="0" t="n">
        <f aca="false">-1+C2152*0.25</f>
        <v>0</v>
      </c>
      <c r="H2152" s="0" t="n">
        <f aca="false">-1+D2152*0.25</f>
        <v>0.25</v>
      </c>
      <c r="I2152" s="0" t="n">
        <f aca="false">1</f>
        <v>1</v>
      </c>
      <c r="J2152" s="0" t="n">
        <f aca="false">E2152</f>
        <v>-0.5</v>
      </c>
      <c r="K2152" s="0" t="n">
        <f aca="false">F2152</f>
        <v>1</v>
      </c>
      <c r="L2152" s="0" t="n">
        <f aca="false">G2152</f>
        <v>0</v>
      </c>
      <c r="M2152" s="0" t="n">
        <f aca="false">H2152</f>
        <v>0.25</v>
      </c>
      <c r="N2152" s="0" t="n">
        <f aca="false">E2152*F2152</f>
        <v>-0.5</v>
      </c>
      <c r="O2152" s="0" t="n">
        <f aca="false">E2152*G2152</f>
        <v>-0</v>
      </c>
      <c r="P2152" s="0" t="n">
        <f aca="false">E2152*H2152</f>
        <v>-0.125</v>
      </c>
      <c r="Q2152" s="0" t="n">
        <f aca="false">F2152*G2152</f>
        <v>0</v>
      </c>
      <c r="R2152" s="0" t="n">
        <f aca="false">F2152*H2152</f>
        <v>0.25</v>
      </c>
      <c r="S2152" s="0" t="n">
        <f aca="false">G2152*H2152</f>
        <v>0</v>
      </c>
      <c r="T2152" s="0" t="n">
        <f aca="false">E2152*E2152</f>
        <v>0.25</v>
      </c>
      <c r="U2152" s="0" t="n">
        <f aca="false">F2152*F2152</f>
        <v>1</v>
      </c>
      <c r="V2152" s="0" t="n">
        <f aca="false">G2152*G2152</f>
        <v>0</v>
      </c>
      <c r="W2152" s="0" t="n">
        <f aca="false">H2152*H2152</f>
        <v>0.0625</v>
      </c>
      <c r="X2152" s="0" t="n">
        <f aca="false">SUMPRODUCT(I2152:W2152,_XtX!$B$96:$P$96)</f>
        <v>45.2177266081871</v>
      </c>
      <c r="Y2152" s="0" t="n">
        <f aca="false">SUMPRODUCT(MMULT(I2152:W2152,_XtX!$B$78:$P$92),I2152:W2152)</f>
        <v>0.457596628289474</v>
      </c>
      <c r="Z2152" s="0" t="n">
        <f aca="false">04_回帰ANOVA!$K$19*04_回帰ANOVA!$K$14*SQRT(1+Y2152)</f>
        <v>1.57368233664366</v>
      </c>
      <c r="AA2152" s="0" t="n">
        <f aca="false">X2152-Z2152</f>
        <v>43.6440442715434</v>
      </c>
      <c r="AB2152" s="0" t="n">
        <f aca="false">X2152+Z2152</f>
        <v>46.7914089448308</v>
      </c>
      <c r="AC2152" s="54" t="b">
        <f aca="false">AND(E2152&gt;=01_因子設定!$L$5-0.000000001,E2152&lt;=01_因子設定!$M$5+0.000000001,F2152&gt;=01_因子設定!$L$6-0.000000001,F2152&lt;=01_因子設定!$M$6+0.000000001,G2152&gt;=01_因子設定!$L$7-0.000000001,G2152&lt;=01_因子設定!$M$7+0.000000001,H2152&gt;=01_因子設定!$L$8-0.000000001,H2152&lt;=01_因子設定!$M$8+0.000000001,IF(01_因子設定!$B$20="Box-Behnken",E2152^2+F2152^2+G2152^2+H2152^2&lt;=2+0.000000001,TRUE()))</f>
        <v>1</v>
      </c>
      <c r="AD2152" s="55" t="n">
        <f aca="false">IF(AC2152,IF(01_因子設定!$B$13="最大化",AA2152-01_因子設定!$B$14,IF(01_因子設定!$B$13="最小化",01_因子設定!$B$15-AB2152,MIN(AA2152-01_因子設定!$B$14,01_因子設定!$B$15-AB2152))),-1E+030)</f>
        <v>-2.85595572845656</v>
      </c>
      <c r="AE2152" s="55" t="n">
        <f aca="false">IF(AC2152,IF(01_因子設定!$B$13="最大化",X2152,IF(01_因子設定!$B$13="最小化",-X2152,-ABS(X2152-01_因子設定!$B$16))),-1E+030)</f>
        <v>45.2177266081871</v>
      </c>
      <c r="AF2152" s="55" t="n">
        <f aca="false">AD2152+ROW()*0.000000001</f>
        <v>-2.85595357645656</v>
      </c>
      <c r="AG2152" s="55" t="n">
        <f aca="false">AE2152+ROW()*0.000000001</f>
        <v>45.2177287601871</v>
      </c>
    </row>
    <row r="2153" customFormat="false" ht="15" hidden="false" customHeight="false" outlineLevel="0" collapsed="false">
      <c r="A2153" s="0" t="n">
        <v>2</v>
      </c>
      <c r="B2153" s="0" t="n">
        <v>8</v>
      </c>
      <c r="C2153" s="0" t="n">
        <v>4</v>
      </c>
      <c r="D2153" s="0" t="n">
        <v>6</v>
      </c>
      <c r="E2153" s="0" t="n">
        <f aca="false">-1+A2153*0.25</f>
        <v>-0.5</v>
      </c>
      <c r="F2153" s="0" t="n">
        <f aca="false">-1+B2153*0.25</f>
        <v>1</v>
      </c>
      <c r="G2153" s="0" t="n">
        <f aca="false">-1+C2153*0.25</f>
        <v>0</v>
      </c>
      <c r="H2153" s="0" t="n">
        <f aca="false">-1+D2153*0.25</f>
        <v>0.5</v>
      </c>
      <c r="I2153" s="0" t="n">
        <f aca="false">1</f>
        <v>1</v>
      </c>
      <c r="J2153" s="0" t="n">
        <f aca="false">E2153</f>
        <v>-0.5</v>
      </c>
      <c r="K2153" s="0" t="n">
        <f aca="false">F2153</f>
        <v>1</v>
      </c>
      <c r="L2153" s="0" t="n">
        <f aca="false">G2153</f>
        <v>0</v>
      </c>
      <c r="M2153" s="0" t="n">
        <f aca="false">H2153</f>
        <v>0.5</v>
      </c>
      <c r="N2153" s="0" t="n">
        <f aca="false">E2153*F2153</f>
        <v>-0.5</v>
      </c>
      <c r="O2153" s="0" t="n">
        <f aca="false">E2153*G2153</f>
        <v>-0</v>
      </c>
      <c r="P2153" s="0" t="n">
        <f aca="false">E2153*H2153</f>
        <v>-0.25</v>
      </c>
      <c r="Q2153" s="0" t="n">
        <f aca="false">F2153*G2153</f>
        <v>0</v>
      </c>
      <c r="R2153" s="0" t="n">
        <f aca="false">F2153*H2153</f>
        <v>0.5</v>
      </c>
      <c r="S2153" s="0" t="n">
        <f aca="false">G2153*H2153</f>
        <v>0</v>
      </c>
      <c r="T2153" s="0" t="n">
        <f aca="false">E2153*E2153</f>
        <v>0.25</v>
      </c>
      <c r="U2153" s="0" t="n">
        <f aca="false">F2153*F2153</f>
        <v>1</v>
      </c>
      <c r="V2153" s="0" t="n">
        <f aca="false">G2153*G2153</f>
        <v>0</v>
      </c>
      <c r="W2153" s="0" t="n">
        <f aca="false">H2153*H2153</f>
        <v>0.25</v>
      </c>
      <c r="X2153" s="0" t="n">
        <f aca="false">SUMPRODUCT(I2153:W2153,_XtX!$B$96:$P$96)</f>
        <v>45.1786549707602</v>
      </c>
      <c r="Y2153" s="0" t="n">
        <f aca="false">SUMPRODUCT(MMULT(I2153:W2153,_XtX!$B$78:$P$92),I2153:W2153)</f>
        <v>0.441954495614035</v>
      </c>
      <c r="Z2153" s="0" t="n">
        <f aca="false">04_回帰ANOVA!$K$19*04_回帰ANOVA!$K$14*SQRT(1+Y2153)</f>
        <v>1.56521560968066</v>
      </c>
      <c r="AA2153" s="0" t="n">
        <f aca="false">X2153-Z2153</f>
        <v>43.6134393610795</v>
      </c>
      <c r="AB2153" s="0" t="n">
        <f aca="false">X2153+Z2153</f>
        <v>46.7438705804409</v>
      </c>
      <c r="AC2153" s="54" t="b">
        <f aca="false">AND(E2153&gt;=01_因子設定!$L$5-0.000000001,E2153&lt;=01_因子設定!$M$5+0.000000001,F2153&gt;=01_因子設定!$L$6-0.000000001,F2153&lt;=01_因子設定!$M$6+0.000000001,G2153&gt;=01_因子設定!$L$7-0.000000001,G2153&lt;=01_因子設定!$M$7+0.000000001,H2153&gt;=01_因子設定!$L$8-0.000000001,H2153&lt;=01_因子設定!$M$8+0.000000001,IF(01_因子設定!$B$20="Box-Behnken",E2153^2+F2153^2+G2153^2+H2153^2&lt;=2+0.000000001,TRUE()))</f>
        <v>1</v>
      </c>
      <c r="AD2153" s="55" t="n">
        <f aca="false">IF(AC2153,IF(01_因子設定!$B$13="最大化",AA2153-01_因子設定!$B$14,IF(01_因子設定!$B$13="最小化",01_因子設定!$B$15-AB2153,MIN(AA2153-01_因子設定!$B$14,01_因子設定!$B$15-AB2153))),-1E+030)</f>
        <v>-2.88656063892046</v>
      </c>
      <c r="AE2153" s="55" t="n">
        <f aca="false">IF(AC2153,IF(01_因子設定!$B$13="最大化",X2153,IF(01_因子設定!$B$13="最小化",-X2153,-ABS(X2153-01_因子設定!$B$16))),-1E+030)</f>
        <v>45.1786549707602</v>
      </c>
      <c r="AF2153" s="55" t="n">
        <f aca="false">AD2153+ROW()*0.000000001</f>
        <v>-2.88655848592046</v>
      </c>
      <c r="AG2153" s="55" t="n">
        <f aca="false">AE2153+ROW()*0.000000001</f>
        <v>45.1786571237602</v>
      </c>
    </row>
    <row r="2154" customFormat="false" ht="15" hidden="false" customHeight="false" outlineLevel="0" collapsed="false">
      <c r="A2154" s="0" t="n">
        <v>2</v>
      </c>
      <c r="B2154" s="0" t="n">
        <v>8</v>
      </c>
      <c r="C2154" s="0" t="n">
        <v>4</v>
      </c>
      <c r="D2154" s="0" t="n">
        <v>7</v>
      </c>
      <c r="E2154" s="0" t="n">
        <f aca="false">-1+A2154*0.25</f>
        <v>-0.5</v>
      </c>
      <c r="F2154" s="0" t="n">
        <f aca="false">-1+B2154*0.25</f>
        <v>1</v>
      </c>
      <c r="G2154" s="0" t="n">
        <f aca="false">-1+C2154*0.25</f>
        <v>0</v>
      </c>
      <c r="H2154" s="0" t="n">
        <f aca="false">-1+D2154*0.25</f>
        <v>0.75</v>
      </c>
      <c r="I2154" s="0" t="n">
        <f aca="false">1</f>
        <v>1</v>
      </c>
      <c r="J2154" s="0" t="n">
        <f aca="false">E2154</f>
        <v>-0.5</v>
      </c>
      <c r="K2154" s="0" t="n">
        <f aca="false">F2154</f>
        <v>1</v>
      </c>
      <c r="L2154" s="0" t="n">
        <f aca="false">G2154</f>
        <v>0</v>
      </c>
      <c r="M2154" s="0" t="n">
        <f aca="false">H2154</f>
        <v>0.75</v>
      </c>
      <c r="N2154" s="0" t="n">
        <f aca="false">E2154*F2154</f>
        <v>-0.5</v>
      </c>
      <c r="O2154" s="0" t="n">
        <f aca="false">E2154*G2154</f>
        <v>-0</v>
      </c>
      <c r="P2154" s="0" t="n">
        <f aca="false">E2154*H2154</f>
        <v>-0.375</v>
      </c>
      <c r="Q2154" s="0" t="n">
        <f aca="false">F2154*G2154</f>
        <v>0</v>
      </c>
      <c r="R2154" s="0" t="n">
        <f aca="false">F2154*H2154</f>
        <v>0.75</v>
      </c>
      <c r="S2154" s="0" t="n">
        <f aca="false">G2154*H2154</f>
        <v>0</v>
      </c>
      <c r="T2154" s="0" t="n">
        <f aca="false">E2154*E2154</f>
        <v>0.25</v>
      </c>
      <c r="U2154" s="0" t="n">
        <f aca="false">F2154*F2154</f>
        <v>1</v>
      </c>
      <c r="V2154" s="0" t="n">
        <f aca="false">G2154*G2154</f>
        <v>0</v>
      </c>
      <c r="W2154" s="0" t="n">
        <f aca="false">H2154*H2154</f>
        <v>0.5625</v>
      </c>
      <c r="X2154" s="0" t="n">
        <f aca="false">SUMPRODUCT(I2154:W2154,_XtX!$B$96:$P$96)</f>
        <v>45.0917763157895</v>
      </c>
      <c r="Y2154" s="0" t="n">
        <f aca="false">SUMPRODUCT(MMULT(I2154:W2154,_XtX!$B$78:$P$92),I2154:W2154)</f>
        <v>0.476191292032164</v>
      </c>
      <c r="Z2154" s="0" t="n">
        <f aca="false">04_回帰ANOVA!$K$19*04_回帰ANOVA!$K$14*SQRT(1+Y2154)</f>
        <v>1.58368831471718</v>
      </c>
      <c r="AA2154" s="0" t="n">
        <f aca="false">X2154-Z2154</f>
        <v>43.5080880010723</v>
      </c>
      <c r="AB2154" s="0" t="n">
        <f aca="false">X2154+Z2154</f>
        <v>46.6754646305066</v>
      </c>
      <c r="AC2154" s="54" t="b">
        <f aca="false">AND(E2154&gt;=01_因子設定!$L$5-0.000000001,E2154&lt;=01_因子設定!$M$5+0.000000001,F2154&gt;=01_因子設定!$L$6-0.000000001,F2154&lt;=01_因子設定!$M$6+0.000000001,G2154&gt;=01_因子設定!$L$7-0.000000001,G2154&lt;=01_因子設定!$M$7+0.000000001,H2154&gt;=01_因子設定!$L$8-0.000000001,H2154&lt;=01_因子設定!$M$8+0.000000001,IF(01_因子設定!$B$20="Box-Behnken",E2154^2+F2154^2+G2154^2+H2154^2&lt;=2+0.000000001,TRUE()))</f>
        <v>1</v>
      </c>
      <c r="AD2154" s="55" t="n">
        <f aca="false">IF(AC2154,IF(01_因子設定!$B$13="最大化",AA2154-01_因子設定!$B$14,IF(01_因子設定!$B$13="最小化",01_因子設定!$B$15-AB2154,MIN(AA2154-01_因子設定!$B$14,01_因子設定!$B$15-AB2154))),-1E+030)</f>
        <v>-2.99191199892773</v>
      </c>
      <c r="AE2154" s="55" t="n">
        <f aca="false">IF(AC2154,IF(01_因子設定!$B$13="最大化",X2154,IF(01_因子設定!$B$13="最小化",-X2154,-ABS(X2154-01_因子設定!$B$16))),-1E+030)</f>
        <v>45.0917763157895</v>
      </c>
      <c r="AF2154" s="55" t="n">
        <f aca="false">AD2154+ROW()*0.000000001</f>
        <v>-2.99190984492773</v>
      </c>
      <c r="AG2154" s="55" t="n">
        <f aca="false">AE2154+ROW()*0.000000001</f>
        <v>45.0917784697895</v>
      </c>
    </row>
    <row r="2155" customFormat="false" ht="15" hidden="false" customHeight="false" outlineLevel="0" collapsed="false">
      <c r="A2155" s="0" t="n">
        <v>2</v>
      </c>
      <c r="B2155" s="0" t="n">
        <v>8</v>
      </c>
      <c r="C2155" s="0" t="n">
        <v>4</v>
      </c>
      <c r="D2155" s="0" t="n">
        <v>8</v>
      </c>
      <c r="E2155" s="0" t="n">
        <f aca="false">-1+A2155*0.25</f>
        <v>-0.5</v>
      </c>
      <c r="F2155" s="0" t="n">
        <f aca="false">-1+B2155*0.25</f>
        <v>1</v>
      </c>
      <c r="G2155" s="0" t="n">
        <f aca="false">-1+C2155*0.25</f>
        <v>0</v>
      </c>
      <c r="H2155" s="0" t="n">
        <f aca="false">-1+D2155*0.25</f>
        <v>1</v>
      </c>
      <c r="I2155" s="0" t="n">
        <f aca="false">1</f>
        <v>1</v>
      </c>
      <c r="J2155" s="0" t="n">
        <f aca="false">E2155</f>
        <v>-0.5</v>
      </c>
      <c r="K2155" s="0" t="n">
        <f aca="false">F2155</f>
        <v>1</v>
      </c>
      <c r="L2155" s="0" t="n">
        <f aca="false">G2155</f>
        <v>0</v>
      </c>
      <c r="M2155" s="0" t="n">
        <f aca="false">H2155</f>
        <v>1</v>
      </c>
      <c r="N2155" s="0" t="n">
        <f aca="false">E2155*F2155</f>
        <v>-0.5</v>
      </c>
      <c r="O2155" s="0" t="n">
        <f aca="false">E2155*G2155</f>
        <v>-0</v>
      </c>
      <c r="P2155" s="0" t="n">
        <f aca="false">E2155*H2155</f>
        <v>-0.5</v>
      </c>
      <c r="Q2155" s="0" t="n">
        <f aca="false">F2155*G2155</f>
        <v>0</v>
      </c>
      <c r="R2155" s="0" t="n">
        <f aca="false">F2155*H2155</f>
        <v>1</v>
      </c>
      <c r="S2155" s="0" t="n">
        <f aca="false">G2155*H2155</f>
        <v>0</v>
      </c>
      <c r="T2155" s="0" t="n">
        <f aca="false">E2155*E2155</f>
        <v>0.25</v>
      </c>
      <c r="U2155" s="0" t="n">
        <f aca="false">F2155*F2155</f>
        <v>1</v>
      </c>
      <c r="V2155" s="0" t="n">
        <f aca="false">G2155*G2155</f>
        <v>0</v>
      </c>
      <c r="W2155" s="0" t="n">
        <f aca="false">H2155*H2155</f>
        <v>1</v>
      </c>
      <c r="X2155" s="0" t="n">
        <f aca="false">SUMPRODUCT(I2155:W2155,_XtX!$B$96:$P$96)</f>
        <v>44.9570906432748</v>
      </c>
      <c r="Y2155" s="0" t="n">
        <f aca="false">SUMPRODUCT(MMULT(I2155:W2155,_XtX!$B$78:$P$92),I2155:W2155)</f>
        <v>0.650767543859649</v>
      </c>
      <c r="Z2155" s="0" t="n">
        <f aca="false">04_回帰ANOVA!$K$19*04_回帰ANOVA!$K$14*SQRT(1+Y2155)</f>
        <v>1.67471670935165</v>
      </c>
      <c r="AA2155" s="0" t="n">
        <f aca="false">X2155-Z2155</f>
        <v>43.2823739339232</v>
      </c>
      <c r="AB2155" s="0" t="n">
        <f aca="false">X2155+Z2155</f>
        <v>46.6318073526265</v>
      </c>
      <c r="AC2155" s="54" t="b">
        <f aca="false">AND(E2155&gt;=01_因子設定!$L$5-0.000000001,E2155&lt;=01_因子設定!$M$5+0.000000001,F2155&gt;=01_因子設定!$L$6-0.000000001,F2155&lt;=01_因子設定!$M$6+0.000000001,G2155&gt;=01_因子設定!$L$7-0.000000001,G2155&lt;=01_因子設定!$M$7+0.000000001,H2155&gt;=01_因子設定!$L$8-0.000000001,H2155&lt;=01_因子設定!$M$8+0.000000001,IF(01_因子設定!$B$20="Box-Behnken",E2155^2+F2155^2+G2155^2+H2155^2&lt;=2+0.000000001,TRUE()))</f>
        <v>1</v>
      </c>
      <c r="AD2155" s="55" t="n">
        <f aca="false">IF(AC2155,IF(01_因子設定!$B$13="最大化",AA2155-01_因子設定!$B$14,IF(01_因子設定!$B$13="最小化",01_因子設定!$B$15-AB2155,MIN(AA2155-01_因子設定!$B$14,01_因子設定!$B$15-AB2155))),-1E+030)</f>
        <v>-3.2176260660768</v>
      </c>
      <c r="AE2155" s="55" t="n">
        <f aca="false">IF(AC2155,IF(01_因子設定!$B$13="最大化",X2155,IF(01_因子設定!$B$13="最小化",-X2155,-ABS(X2155-01_因子設定!$B$16))),-1E+030)</f>
        <v>44.9570906432748</v>
      </c>
      <c r="AF2155" s="55" t="n">
        <f aca="false">AD2155+ROW()*0.000000001</f>
        <v>-3.2176239110768</v>
      </c>
      <c r="AG2155" s="55" t="n">
        <f aca="false">AE2155+ROW()*0.000000001</f>
        <v>44.9570927982748</v>
      </c>
    </row>
    <row r="2156" customFormat="false" ht="15" hidden="false" customHeight="false" outlineLevel="0" collapsed="false">
      <c r="A2156" s="0" t="n">
        <v>2</v>
      </c>
      <c r="B2156" s="0" t="n">
        <v>8</v>
      </c>
      <c r="C2156" s="0" t="n">
        <v>5</v>
      </c>
      <c r="D2156" s="0" t="n">
        <v>0</v>
      </c>
      <c r="E2156" s="0" t="n">
        <f aca="false">-1+A2156*0.25</f>
        <v>-0.5</v>
      </c>
      <c r="F2156" s="0" t="n">
        <f aca="false">-1+B2156*0.25</f>
        <v>1</v>
      </c>
      <c r="G2156" s="0" t="n">
        <f aca="false">-1+C2156*0.25</f>
        <v>0.25</v>
      </c>
      <c r="H2156" s="0" t="n">
        <f aca="false">-1+D2156*0.25</f>
        <v>-1</v>
      </c>
      <c r="I2156" s="0" t="n">
        <f aca="false">1</f>
        <v>1</v>
      </c>
      <c r="J2156" s="0" t="n">
        <f aca="false">E2156</f>
        <v>-0.5</v>
      </c>
      <c r="K2156" s="0" t="n">
        <f aca="false">F2156</f>
        <v>1</v>
      </c>
      <c r="L2156" s="0" t="n">
        <f aca="false">G2156</f>
        <v>0.25</v>
      </c>
      <c r="M2156" s="0" t="n">
        <f aca="false">H2156</f>
        <v>-1</v>
      </c>
      <c r="N2156" s="0" t="n">
        <f aca="false">E2156*F2156</f>
        <v>-0.5</v>
      </c>
      <c r="O2156" s="0" t="n">
        <f aca="false">E2156*G2156</f>
        <v>-0.125</v>
      </c>
      <c r="P2156" s="0" t="n">
        <f aca="false">E2156*H2156</f>
        <v>0.5</v>
      </c>
      <c r="Q2156" s="0" t="n">
        <f aca="false">F2156*G2156</f>
        <v>0.25</v>
      </c>
      <c r="R2156" s="0" t="n">
        <f aca="false">F2156*H2156</f>
        <v>-1</v>
      </c>
      <c r="S2156" s="0" t="n">
        <f aca="false">G2156*H2156</f>
        <v>-0.25</v>
      </c>
      <c r="T2156" s="0" t="n">
        <f aca="false">E2156*E2156</f>
        <v>0.25</v>
      </c>
      <c r="U2156" s="0" t="n">
        <f aca="false">F2156*F2156</f>
        <v>1</v>
      </c>
      <c r="V2156" s="0" t="n">
        <f aca="false">G2156*G2156</f>
        <v>0.0625</v>
      </c>
      <c r="W2156" s="0" t="n">
        <f aca="false">H2156*H2156</f>
        <v>1</v>
      </c>
      <c r="X2156" s="0" t="n">
        <f aca="false">SUMPRODUCT(I2156:W2156,_XtX!$B$96:$P$96)</f>
        <v>44.9866593567251</v>
      </c>
      <c r="Y2156" s="0" t="n">
        <f aca="false">SUMPRODUCT(MMULT(I2156:W2156,_XtX!$B$78:$P$92),I2156:W2156)</f>
        <v>0.629174661915205</v>
      </c>
      <c r="Z2156" s="0" t="n">
        <f aca="false">04_回帰ANOVA!$K$19*04_回帰ANOVA!$K$14*SQRT(1+Y2156)</f>
        <v>1.66372758058297</v>
      </c>
      <c r="AA2156" s="0" t="n">
        <f aca="false">X2156-Z2156</f>
        <v>43.3229317761422</v>
      </c>
      <c r="AB2156" s="0" t="n">
        <f aca="false">X2156+Z2156</f>
        <v>46.6503869373081</v>
      </c>
      <c r="AC2156" s="54" t="b">
        <f aca="false">AND(E2156&gt;=01_因子設定!$L$5-0.000000001,E2156&lt;=01_因子設定!$M$5+0.000000001,F2156&gt;=01_因子設定!$L$6-0.000000001,F2156&lt;=01_因子設定!$M$6+0.000000001,G2156&gt;=01_因子設定!$L$7-0.000000001,G2156&lt;=01_因子設定!$M$7+0.000000001,H2156&gt;=01_因子設定!$L$8-0.000000001,H2156&lt;=01_因子設定!$M$8+0.000000001,IF(01_因子設定!$B$20="Box-Behnken",E2156^2+F2156^2+G2156^2+H2156^2&lt;=2+0.000000001,TRUE()))</f>
        <v>1</v>
      </c>
      <c r="AD2156" s="55" t="n">
        <f aca="false">IF(AC2156,IF(01_因子設定!$B$13="最大化",AA2156-01_因子設定!$B$14,IF(01_因子設定!$B$13="最小化",01_因子設定!$B$15-AB2156,MIN(AA2156-01_因子設定!$B$14,01_因子設定!$B$15-AB2156))),-1E+030)</f>
        <v>-3.17706822385783</v>
      </c>
      <c r="AE2156" s="55" t="n">
        <f aca="false">IF(AC2156,IF(01_因子設定!$B$13="最大化",X2156,IF(01_因子設定!$B$13="最小化",-X2156,-ABS(X2156-01_因子設定!$B$16))),-1E+030)</f>
        <v>44.9866593567251</v>
      </c>
      <c r="AF2156" s="55" t="n">
        <f aca="false">AD2156+ROW()*0.000000001</f>
        <v>-3.17706606785783</v>
      </c>
      <c r="AG2156" s="55" t="n">
        <f aca="false">AE2156+ROW()*0.000000001</f>
        <v>44.9866615127251</v>
      </c>
    </row>
    <row r="2157" customFormat="false" ht="15" hidden="false" customHeight="false" outlineLevel="0" collapsed="false">
      <c r="A2157" s="0" t="n">
        <v>2</v>
      </c>
      <c r="B2157" s="0" t="n">
        <v>8</v>
      </c>
      <c r="C2157" s="0" t="n">
        <v>5</v>
      </c>
      <c r="D2157" s="0" t="n">
        <v>1</v>
      </c>
      <c r="E2157" s="0" t="n">
        <f aca="false">-1+A2157*0.25</f>
        <v>-0.5</v>
      </c>
      <c r="F2157" s="0" t="n">
        <f aca="false">-1+B2157*0.25</f>
        <v>1</v>
      </c>
      <c r="G2157" s="0" t="n">
        <f aca="false">-1+C2157*0.25</f>
        <v>0.25</v>
      </c>
      <c r="H2157" s="0" t="n">
        <f aca="false">-1+D2157*0.25</f>
        <v>-0.75</v>
      </c>
      <c r="I2157" s="0" t="n">
        <f aca="false">1</f>
        <v>1</v>
      </c>
      <c r="J2157" s="0" t="n">
        <f aca="false">E2157</f>
        <v>-0.5</v>
      </c>
      <c r="K2157" s="0" t="n">
        <f aca="false">F2157</f>
        <v>1</v>
      </c>
      <c r="L2157" s="0" t="n">
        <f aca="false">G2157</f>
        <v>0.25</v>
      </c>
      <c r="M2157" s="0" t="n">
        <f aca="false">H2157</f>
        <v>-0.75</v>
      </c>
      <c r="N2157" s="0" t="n">
        <f aca="false">E2157*F2157</f>
        <v>-0.5</v>
      </c>
      <c r="O2157" s="0" t="n">
        <f aca="false">E2157*G2157</f>
        <v>-0.125</v>
      </c>
      <c r="P2157" s="0" t="n">
        <f aca="false">E2157*H2157</f>
        <v>0.375</v>
      </c>
      <c r="Q2157" s="0" t="n">
        <f aca="false">F2157*G2157</f>
        <v>0.25</v>
      </c>
      <c r="R2157" s="0" t="n">
        <f aca="false">F2157*H2157</f>
        <v>-0.75</v>
      </c>
      <c r="S2157" s="0" t="n">
        <f aca="false">G2157*H2157</f>
        <v>-0.1875</v>
      </c>
      <c r="T2157" s="0" t="n">
        <f aca="false">E2157*E2157</f>
        <v>0.25</v>
      </c>
      <c r="U2157" s="0" t="n">
        <f aca="false">F2157*F2157</f>
        <v>1</v>
      </c>
      <c r="V2157" s="0" t="n">
        <f aca="false">G2157*G2157</f>
        <v>0.0625</v>
      </c>
      <c r="W2157" s="0" t="n">
        <f aca="false">H2157*H2157</f>
        <v>0.5625</v>
      </c>
      <c r="X2157" s="0" t="n">
        <f aca="false">SUMPRODUCT(I2157:W2157,_XtX!$B$96:$P$96)</f>
        <v>45.2045915570175</v>
      </c>
      <c r="Y2157" s="0" t="n">
        <f aca="false">SUMPRODUCT(MMULT(I2157:W2157,_XtX!$B$78:$P$92),I2157:W2157)</f>
        <v>0.459125719572369</v>
      </c>
      <c r="Z2157" s="0" t="n">
        <f aca="false">04_回帰ANOVA!$K$19*04_回帰ANOVA!$K$14*SQRT(1+Y2157)</f>
        <v>1.57450755575573</v>
      </c>
      <c r="AA2157" s="0" t="n">
        <f aca="false">X2157-Z2157</f>
        <v>43.6300840012618</v>
      </c>
      <c r="AB2157" s="0" t="n">
        <f aca="false">X2157+Z2157</f>
        <v>46.7790991127733</v>
      </c>
      <c r="AC2157" s="54" t="b">
        <f aca="false">AND(E2157&gt;=01_因子設定!$L$5-0.000000001,E2157&lt;=01_因子設定!$M$5+0.000000001,F2157&gt;=01_因子設定!$L$6-0.000000001,F2157&lt;=01_因子設定!$M$6+0.000000001,G2157&gt;=01_因子設定!$L$7-0.000000001,G2157&lt;=01_因子設定!$M$7+0.000000001,H2157&gt;=01_因子設定!$L$8-0.000000001,H2157&lt;=01_因子設定!$M$8+0.000000001,IF(01_因子設定!$B$20="Box-Behnken",E2157^2+F2157^2+G2157^2+H2157^2&lt;=2+0.000000001,TRUE()))</f>
        <v>1</v>
      </c>
      <c r="AD2157" s="55" t="n">
        <f aca="false">IF(AC2157,IF(01_因子設定!$B$13="最大化",AA2157-01_因子設定!$B$14,IF(01_因子設定!$B$13="最小化",01_因子設定!$B$15-AB2157,MIN(AA2157-01_因子設定!$B$14,01_因子設定!$B$15-AB2157))),-1E+030)</f>
        <v>-2.86991599873821</v>
      </c>
      <c r="AE2157" s="55" t="n">
        <f aca="false">IF(AC2157,IF(01_因子設定!$B$13="最大化",X2157,IF(01_因子設定!$B$13="最小化",-X2157,-ABS(X2157-01_因子設定!$B$16))),-1E+030)</f>
        <v>45.2045915570175</v>
      </c>
      <c r="AF2157" s="55" t="n">
        <f aca="false">AD2157+ROW()*0.000000001</f>
        <v>-2.86991384173821</v>
      </c>
      <c r="AG2157" s="55" t="n">
        <f aca="false">AE2157+ROW()*0.000000001</f>
        <v>45.2045937140175</v>
      </c>
    </row>
    <row r="2158" customFormat="false" ht="15" hidden="false" customHeight="false" outlineLevel="0" collapsed="false">
      <c r="A2158" s="0" t="n">
        <v>2</v>
      </c>
      <c r="B2158" s="0" t="n">
        <v>8</v>
      </c>
      <c r="C2158" s="0" t="n">
        <v>5</v>
      </c>
      <c r="D2158" s="0" t="n">
        <v>2</v>
      </c>
      <c r="E2158" s="0" t="n">
        <f aca="false">-1+A2158*0.25</f>
        <v>-0.5</v>
      </c>
      <c r="F2158" s="0" t="n">
        <f aca="false">-1+B2158*0.25</f>
        <v>1</v>
      </c>
      <c r="G2158" s="0" t="n">
        <f aca="false">-1+C2158*0.25</f>
        <v>0.25</v>
      </c>
      <c r="H2158" s="0" t="n">
        <f aca="false">-1+D2158*0.25</f>
        <v>-0.5</v>
      </c>
      <c r="I2158" s="0" t="n">
        <f aca="false">1</f>
        <v>1</v>
      </c>
      <c r="J2158" s="0" t="n">
        <f aca="false">E2158</f>
        <v>-0.5</v>
      </c>
      <c r="K2158" s="0" t="n">
        <f aca="false">F2158</f>
        <v>1</v>
      </c>
      <c r="L2158" s="0" t="n">
        <f aca="false">G2158</f>
        <v>0.25</v>
      </c>
      <c r="M2158" s="0" t="n">
        <f aca="false">H2158</f>
        <v>-0.5</v>
      </c>
      <c r="N2158" s="0" t="n">
        <f aca="false">E2158*F2158</f>
        <v>-0.5</v>
      </c>
      <c r="O2158" s="0" t="n">
        <f aca="false">E2158*G2158</f>
        <v>-0.125</v>
      </c>
      <c r="P2158" s="0" t="n">
        <f aca="false">E2158*H2158</f>
        <v>0.25</v>
      </c>
      <c r="Q2158" s="0" t="n">
        <f aca="false">F2158*G2158</f>
        <v>0.25</v>
      </c>
      <c r="R2158" s="0" t="n">
        <f aca="false">F2158*H2158</f>
        <v>-0.5</v>
      </c>
      <c r="S2158" s="0" t="n">
        <f aca="false">G2158*H2158</f>
        <v>-0.125</v>
      </c>
      <c r="T2158" s="0" t="n">
        <f aca="false">E2158*E2158</f>
        <v>0.25</v>
      </c>
      <c r="U2158" s="0" t="n">
        <f aca="false">F2158*F2158</f>
        <v>1</v>
      </c>
      <c r="V2158" s="0" t="n">
        <f aca="false">G2158*G2158</f>
        <v>0.0625</v>
      </c>
      <c r="W2158" s="0" t="n">
        <f aca="false">H2158*H2158</f>
        <v>0.25</v>
      </c>
      <c r="X2158" s="0" t="n">
        <f aca="false">SUMPRODUCT(I2158:W2158,_XtX!$B$96:$P$96)</f>
        <v>45.3747167397661</v>
      </c>
      <c r="Y2158" s="0" t="n">
        <f aca="false">SUMPRODUCT(MMULT(I2158:W2158,_XtX!$B$78:$P$92),I2158:W2158)</f>
        <v>0.428122715643275</v>
      </c>
      <c r="Z2158" s="0" t="n">
        <f aca="false">04_回帰ANOVA!$K$19*04_回帰ANOVA!$K$14*SQRT(1+Y2158)</f>
        <v>1.55769044623229</v>
      </c>
      <c r="AA2158" s="0" t="n">
        <f aca="false">X2158-Z2158</f>
        <v>43.8170262935338</v>
      </c>
      <c r="AB2158" s="0" t="n">
        <f aca="false">X2158+Z2158</f>
        <v>46.9324071859983</v>
      </c>
      <c r="AC2158" s="54" t="b">
        <f aca="false">AND(E2158&gt;=01_因子設定!$L$5-0.000000001,E2158&lt;=01_因子設定!$M$5+0.000000001,F2158&gt;=01_因子設定!$L$6-0.000000001,F2158&lt;=01_因子設定!$M$6+0.000000001,G2158&gt;=01_因子設定!$L$7-0.000000001,G2158&lt;=01_因子設定!$M$7+0.000000001,H2158&gt;=01_因子設定!$L$8-0.000000001,H2158&lt;=01_因子設定!$M$8+0.000000001,IF(01_因子設定!$B$20="Box-Behnken",E2158^2+F2158^2+G2158^2+H2158^2&lt;=2+0.000000001,TRUE()))</f>
        <v>1</v>
      </c>
      <c r="AD2158" s="55" t="n">
        <f aca="false">IF(AC2158,IF(01_因子設定!$B$13="最大化",AA2158-01_因子設定!$B$14,IF(01_因子設定!$B$13="最小化",01_因子設定!$B$15-AB2158,MIN(AA2158-01_因子設定!$B$14,01_因子設定!$B$15-AB2158))),-1E+030)</f>
        <v>-2.68297370646624</v>
      </c>
      <c r="AE2158" s="55" t="n">
        <f aca="false">IF(AC2158,IF(01_因子設定!$B$13="最大化",X2158,IF(01_因子設定!$B$13="最小化",-X2158,-ABS(X2158-01_因子設定!$B$16))),-1E+030)</f>
        <v>45.3747167397661</v>
      </c>
      <c r="AF2158" s="55" t="n">
        <f aca="false">AD2158+ROW()*0.000000001</f>
        <v>-2.68297154846624</v>
      </c>
      <c r="AG2158" s="55" t="n">
        <f aca="false">AE2158+ROW()*0.000000001</f>
        <v>45.3747188977661</v>
      </c>
    </row>
    <row r="2159" customFormat="false" ht="15" hidden="false" customHeight="false" outlineLevel="0" collapsed="false">
      <c r="A2159" s="0" t="n">
        <v>2</v>
      </c>
      <c r="B2159" s="0" t="n">
        <v>8</v>
      </c>
      <c r="C2159" s="0" t="n">
        <v>5</v>
      </c>
      <c r="D2159" s="0" t="n">
        <v>3</v>
      </c>
      <c r="E2159" s="0" t="n">
        <f aca="false">-1+A2159*0.25</f>
        <v>-0.5</v>
      </c>
      <c r="F2159" s="0" t="n">
        <f aca="false">-1+B2159*0.25</f>
        <v>1</v>
      </c>
      <c r="G2159" s="0" t="n">
        <f aca="false">-1+C2159*0.25</f>
        <v>0.25</v>
      </c>
      <c r="H2159" s="0" t="n">
        <f aca="false">-1+D2159*0.25</f>
        <v>-0.25</v>
      </c>
      <c r="I2159" s="0" t="n">
        <f aca="false">1</f>
        <v>1</v>
      </c>
      <c r="J2159" s="0" t="n">
        <f aca="false">E2159</f>
        <v>-0.5</v>
      </c>
      <c r="K2159" s="0" t="n">
        <f aca="false">F2159</f>
        <v>1</v>
      </c>
      <c r="L2159" s="0" t="n">
        <f aca="false">G2159</f>
        <v>0.25</v>
      </c>
      <c r="M2159" s="0" t="n">
        <f aca="false">H2159</f>
        <v>-0.25</v>
      </c>
      <c r="N2159" s="0" t="n">
        <f aca="false">E2159*F2159</f>
        <v>-0.5</v>
      </c>
      <c r="O2159" s="0" t="n">
        <f aca="false">E2159*G2159</f>
        <v>-0.125</v>
      </c>
      <c r="P2159" s="0" t="n">
        <f aca="false">E2159*H2159</f>
        <v>0.125</v>
      </c>
      <c r="Q2159" s="0" t="n">
        <f aca="false">F2159*G2159</f>
        <v>0.25</v>
      </c>
      <c r="R2159" s="0" t="n">
        <f aca="false">F2159*H2159</f>
        <v>-0.25</v>
      </c>
      <c r="S2159" s="0" t="n">
        <f aca="false">G2159*H2159</f>
        <v>-0.0625</v>
      </c>
      <c r="T2159" s="0" t="n">
        <f aca="false">E2159*E2159</f>
        <v>0.25</v>
      </c>
      <c r="U2159" s="0" t="n">
        <f aca="false">F2159*F2159</f>
        <v>1</v>
      </c>
      <c r="V2159" s="0" t="n">
        <f aca="false">G2159*G2159</f>
        <v>0.0625</v>
      </c>
      <c r="W2159" s="0" t="n">
        <f aca="false">H2159*H2159</f>
        <v>0.0625</v>
      </c>
      <c r="X2159" s="0" t="n">
        <f aca="false">SUMPRODUCT(I2159:W2159,_XtX!$B$96:$P$96)</f>
        <v>45.4970349049707</v>
      </c>
      <c r="Y2159" s="0" t="n">
        <f aca="false">SUMPRODUCT(MMULT(I2159:W2159,_XtX!$B$78:$P$92),I2159:W2159)</f>
        <v>0.445705123812135</v>
      </c>
      <c r="Z2159" s="0" t="n">
        <f aca="false">04_回帰ANOVA!$K$19*04_回帰ANOVA!$K$14*SQRT(1+Y2159)</f>
        <v>1.56724990734749</v>
      </c>
      <c r="AA2159" s="0" t="n">
        <f aca="false">X2159-Z2159</f>
        <v>43.9297849976232</v>
      </c>
      <c r="AB2159" s="0" t="n">
        <f aca="false">X2159+Z2159</f>
        <v>47.0642848123182</v>
      </c>
      <c r="AC2159" s="54" t="b">
        <f aca="false">AND(E2159&gt;=01_因子設定!$L$5-0.000000001,E2159&lt;=01_因子設定!$M$5+0.000000001,F2159&gt;=01_因子設定!$L$6-0.000000001,F2159&lt;=01_因子設定!$M$6+0.000000001,G2159&gt;=01_因子設定!$L$7-0.000000001,G2159&lt;=01_因子設定!$M$7+0.000000001,H2159&gt;=01_因子設定!$L$8-0.000000001,H2159&lt;=01_因子設定!$M$8+0.000000001,IF(01_因子設定!$B$20="Box-Behnken",E2159^2+F2159^2+G2159^2+H2159^2&lt;=2+0.000000001,TRUE()))</f>
        <v>1</v>
      </c>
      <c r="AD2159" s="55" t="n">
        <f aca="false">IF(AC2159,IF(01_因子設定!$B$13="最大化",AA2159-01_因子設定!$B$14,IF(01_因子設定!$B$13="最小化",01_因子設定!$B$15-AB2159,MIN(AA2159-01_因子設定!$B$14,01_因子設定!$B$15-AB2159))),-1E+030)</f>
        <v>-2.57021500237677</v>
      </c>
      <c r="AE2159" s="55" t="n">
        <f aca="false">IF(AC2159,IF(01_因子設定!$B$13="最大化",X2159,IF(01_因子設定!$B$13="最小化",-X2159,-ABS(X2159-01_因子設定!$B$16))),-1E+030)</f>
        <v>45.4970349049707</v>
      </c>
      <c r="AF2159" s="55" t="n">
        <f aca="false">AD2159+ROW()*0.000000001</f>
        <v>-2.57021284337677</v>
      </c>
      <c r="AG2159" s="55" t="n">
        <f aca="false">AE2159+ROW()*0.000000001</f>
        <v>45.4970370639707</v>
      </c>
    </row>
    <row r="2160" customFormat="false" ht="15" hidden="false" customHeight="false" outlineLevel="0" collapsed="false">
      <c r="A2160" s="0" t="n">
        <v>2</v>
      </c>
      <c r="B2160" s="0" t="n">
        <v>8</v>
      </c>
      <c r="C2160" s="0" t="n">
        <v>5</v>
      </c>
      <c r="D2160" s="0" t="n">
        <v>4</v>
      </c>
      <c r="E2160" s="0" t="n">
        <f aca="false">-1+A2160*0.25</f>
        <v>-0.5</v>
      </c>
      <c r="F2160" s="0" t="n">
        <f aca="false">-1+B2160*0.25</f>
        <v>1</v>
      </c>
      <c r="G2160" s="0" t="n">
        <f aca="false">-1+C2160*0.25</f>
        <v>0.25</v>
      </c>
      <c r="H2160" s="0" t="n">
        <f aca="false">-1+D2160*0.25</f>
        <v>0</v>
      </c>
      <c r="I2160" s="0" t="n">
        <f aca="false">1</f>
        <v>1</v>
      </c>
      <c r="J2160" s="0" t="n">
        <f aca="false">E2160</f>
        <v>-0.5</v>
      </c>
      <c r="K2160" s="0" t="n">
        <f aca="false">F2160</f>
        <v>1</v>
      </c>
      <c r="L2160" s="0" t="n">
        <f aca="false">G2160</f>
        <v>0.25</v>
      </c>
      <c r="M2160" s="0" t="n">
        <f aca="false">H2160</f>
        <v>0</v>
      </c>
      <c r="N2160" s="0" t="n">
        <f aca="false">E2160*F2160</f>
        <v>-0.5</v>
      </c>
      <c r="O2160" s="0" t="n">
        <f aca="false">E2160*G2160</f>
        <v>-0.125</v>
      </c>
      <c r="P2160" s="0" t="n">
        <f aca="false">E2160*H2160</f>
        <v>-0</v>
      </c>
      <c r="Q2160" s="0" t="n">
        <f aca="false">F2160*G2160</f>
        <v>0.25</v>
      </c>
      <c r="R2160" s="0" t="n">
        <f aca="false">F2160*H2160</f>
        <v>0</v>
      </c>
      <c r="S2160" s="0" t="n">
        <f aca="false">G2160*H2160</f>
        <v>0</v>
      </c>
      <c r="T2160" s="0" t="n">
        <f aca="false">E2160*E2160</f>
        <v>0.25</v>
      </c>
      <c r="U2160" s="0" t="n">
        <f aca="false">F2160*F2160</f>
        <v>1</v>
      </c>
      <c r="V2160" s="0" t="n">
        <f aca="false">G2160*G2160</f>
        <v>0.0625</v>
      </c>
      <c r="W2160" s="0" t="n">
        <f aca="false">H2160*H2160</f>
        <v>0</v>
      </c>
      <c r="X2160" s="0" t="n">
        <f aca="false">SUMPRODUCT(I2160:W2160,_XtX!$B$96:$P$96)</f>
        <v>45.5715460526315</v>
      </c>
      <c r="Y2160" s="0" t="n">
        <f aca="false">SUMPRODUCT(MMULT(I2160:W2160,_XtX!$B$78:$P$92),I2160:W2160)</f>
        <v>0.457596628289474</v>
      </c>
      <c r="Z2160" s="0" t="n">
        <f aca="false">04_回帰ANOVA!$K$19*04_回帰ANOVA!$K$14*SQRT(1+Y2160)</f>
        <v>1.57368233664366</v>
      </c>
      <c r="AA2160" s="0" t="n">
        <f aca="false">X2160-Z2160</f>
        <v>43.9978637159879</v>
      </c>
      <c r="AB2160" s="0" t="n">
        <f aca="false">X2160+Z2160</f>
        <v>47.1452283892752</v>
      </c>
      <c r="AC2160" s="54" t="b">
        <f aca="false">AND(E2160&gt;=01_因子設定!$L$5-0.000000001,E2160&lt;=01_因子設定!$M$5+0.000000001,F2160&gt;=01_因子設定!$L$6-0.000000001,F2160&lt;=01_因子設定!$M$6+0.000000001,G2160&gt;=01_因子設定!$L$7-0.000000001,G2160&lt;=01_因子設定!$M$7+0.000000001,H2160&gt;=01_因子設定!$L$8-0.000000001,H2160&lt;=01_因子設定!$M$8+0.000000001,IF(01_因子設定!$B$20="Box-Behnken",E2160^2+F2160^2+G2160^2+H2160^2&lt;=2+0.000000001,TRUE()))</f>
        <v>1</v>
      </c>
      <c r="AD2160" s="55" t="n">
        <f aca="false">IF(AC2160,IF(01_因子設定!$B$13="最大化",AA2160-01_因子設定!$B$14,IF(01_因子設定!$B$13="最小化",01_因子設定!$B$15-AB2160,MIN(AA2160-01_因子設定!$B$14,01_因子設定!$B$15-AB2160))),-1E+030)</f>
        <v>-2.50213628401212</v>
      </c>
      <c r="AE2160" s="55" t="n">
        <f aca="false">IF(AC2160,IF(01_因子設定!$B$13="最大化",X2160,IF(01_因子設定!$B$13="最小化",-X2160,-ABS(X2160-01_因子設定!$B$16))),-1E+030)</f>
        <v>45.5715460526315</v>
      </c>
      <c r="AF2160" s="55" t="n">
        <f aca="false">AD2160+ROW()*0.000000001</f>
        <v>-2.50213412401212</v>
      </c>
      <c r="AG2160" s="55" t="n">
        <f aca="false">AE2160+ROW()*0.000000001</f>
        <v>45.5715482126315</v>
      </c>
    </row>
    <row r="2161" customFormat="false" ht="15" hidden="false" customHeight="false" outlineLevel="0" collapsed="false">
      <c r="A2161" s="0" t="n">
        <v>2</v>
      </c>
      <c r="B2161" s="0" t="n">
        <v>8</v>
      </c>
      <c r="C2161" s="0" t="n">
        <v>5</v>
      </c>
      <c r="D2161" s="0" t="n">
        <v>5</v>
      </c>
      <c r="E2161" s="0" t="n">
        <f aca="false">-1+A2161*0.25</f>
        <v>-0.5</v>
      </c>
      <c r="F2161" s="0" t="n">
        <f aca="false">-1+B2161*0.25</f>
        <v>1</v>
      </c>
      <c r="G2161" s="0" t="n">
        <f aca="false">-1+C2161*0.25</f>
        <v>0.25</v>
      </c>
      <c r="H2161" s="0" t="n">
        <f aca="false">-1+D2161*0.25</f>
        <v>0.25</v>
      </c>
      <c r="I2161" s="0" t="n">
        <f aca="false">1</f>
        <v>1</v>
      </c>
      <c r="J2161" s="0" t="n">
        <f aca="false">E2161</f>
        <v>-0.5</v>
      </c>
      <c r="K2161" s="0" t="n">
        <f aca="false">F2161</f>
        <v>1</v>
      </c>
      <c r="L2161" s="0" t="n">
        <f aca="false">G2161</f>
        <v>0.25</v>
      </c>
      <c r="M2161" s="0" t="n">
        <f aca="false">H2161</f>
        <v>0.25</v>
      </c>
      <c r="N2161" s="0" t="n">
        <f aca="false">E2161*F2161</f>
        <v>-0.5</v>
      </c>
      <c r="O2161" s="0" t="n">
        <f aca="false">E2161*G2161</f>
        <v>-0.125</v>
      </c>
      <c r="P2161" s="0" t="n">
        <f aca="false">E2161*H2161</f>
        <v>-0.125</v>
      </c>
      <c r="Q2161" s="0" t="n">
        <f aca="false">F2161*G2161</f>
        <v>0.25</v>
      </c>
      <c r="R2161" s="0" t="n">
        <f aca="false">F2161*H2161</f>
        <v>0.25</v>
      </c>
      <c r="S2161" s="0" t="n">
        <f aca="false">G2161*H2161</f>
        <v>0.0625</v>
      </c>
      <c r="T2161" s="0" t="n">
        <f aca="false">E2161*E2161</f>
        <v>0.25</v>
      </c>
      <c r="U2161" s="0" t="n">
        <f aca="false">F2161*F2161</f>
        <v>1</v>
      </c>
      <c r="V2161" s="0" t="n">
        <f aca="false">G2161*G2161</f>
        <v>0.0625</v>
      </c>
      <c r="W2161" s="0" t="n">
        <f aca="false">H2161*H2161</f>
        <v>0.0625</v>
      </c>
      <c r="X2161" s="0" t="n">
        <f aca="false">SUMPRODUCT(I2161:W2161,_XtX!$B$96:$P$96)</f>
        <v>45.5982501827485</v>
      </c>
      <c r="Y2161" s="0" t="n">
        <f aca="false">SUMPRODUCT(MMULT(I2161:W2161,_XtX!$B$78:$P$92),I2161:W2161)</f>
        <v>0.445705123812135</v>
      </c>
      <c r="Z2161" s="0" t="n">
        <f aca="false">04_回帰ANOVA!$K$19*04_回帰ANOVA!$K$14*SQRT(1+Y2161)</f>
        <v>1.56724990734749</v>
      </c>
      <c r="AA2161" s="0" t="n">
        <f aca="false">X2161-Z2161</f>
        <v>44.031000275401</v>
      </c>
      <c r="AB2161" s="0" t="n">
        <f aca="false">X2161+Z2161</f>
        <v>47.165500090096</v>
      </c>
      <c r="AC2161" s="54" t="b">
        <f aca="false">AND(E2161&gt;=01_因子設定!$L$5-0.000000001,E2161&lt;=01_因子設定!$M$5+0.000000001,F2161&gt;=01_因子設定!$L$6-0.000000001,F2161&lt;=01_因子設定!$M$6+0.000000001,G2161&gt;=01_因子設定!$L$7-0.000000001,G2161&lt;=01_因子設定!$M$7+0.000000001,H2161&gt;=01_因子設定!$L$8-0.000000001,H2161&lt;=01_因子設定!$M$8+0.000000001,IF(01_因子設定!$B$20="Box-Behnken",E2161^2+F2161^2+G2161^2+H2161^2&lt;=2+0.000000001,TRUE()))</f>
        <v>1</v>
      </c>
      <c r="AD2161" s="55" t="n">
        <f aca="false">IF(AC2161,IF(01_因子設定!$B$13="最大化",AA2161-01_因子設定!$B$14,IF(01_因子設定!$B$13="最小化",01_因子設定!$B$15-AB2161,MIN(AA2161-01_因子設定!$B$14,01_因子設定!$B$15-AB2161))),-1E+030)</f>
        <v>-2.46899972459899</v>
      </c>
      <c r="AE2161" s="55" t="n">
        <f aca="false">IF(AC2161,IF(01_因子設定!$B$13="最大化",X2161,IF(01_因子設定!$B$13="最小化",-X2161,-ABS(X2161-01_因子設定!$B$16))),-1E+030)</f>
        <v>45.5982501827485</v>
      </c>
      <c r="AF2161" s="55" t="n">
        <f aca="false">AD2161+ROW()*0.000000001</f>
        <v>-2.46899756359899</v>
      </c>
      <c r="AG2161" s="55" t="n">
        <f aca="false">AE2161+ROW()*0.000000001</f>
        <v>45.5982523437485</v>
      </c>
    </row>
    <row r="2162" customFormat="false" ht="15" hidden="false" customHeight="false" outlineLevel="0" collapsed="false">
      <c r="A2162" s="0" t="n">
        <v>2</v>
      </c>
      <c r="B2162" s="0" t="n">
        <v>8</v>
      </c>
      <c r="C2162" s="0" t="n">
        <v>5</v>
      </c>
      <c r="D2162" s="0" t="n">
        <v>6</v>
      </c>
      <c r="E2162" s="0" t="n">
        <f aca="false">-1+A2162*0.25</f>
        <v>-0.5</v>
      </c>
      <c r="F2162" s="0" t="n">
        <f aca="false">-1+B2162*0.25</f>
        <v>1</v>
      </c>
      <c r="G2162" s="0" t="n">
        <f aca="false">-1+C2162*0.25</f>
        <v>0.25</v>
      </c>
      <c r="H2162" s="0" t="n">
        <f aca="false">-1+D2162*0.25</f>
        <v>0.5</v>
      </c>
      <c r="I2162" s="0" t="n">
        <f aca="false">1</f>
        <v>1</v>
      </c>
      <c r="J2162" s="0" t="n">
        <f aca="false">E2162</f>
        <v>-0.5</v>
      </c>
      <c r="K2162" s="0" t="n">
        <f aca="false">F2162</f>
        <v>1</v>
      </c>
      <c r="L2162" s="0" t="n">
        <f aca="false">G2162</f>
        <v>0.25</v>
      </c>
      <c r="M2162" s="0" t="n">
        <f aca="false">H2162</f>
        <v>0.5</v>
      </c>
      <c r="N2162" s="0" t="n">
        <f aca="false">E2162*F2162</f>
        <v>-0.5</v>
      </c>
      <c r="O2162" s="0" t="n">
        <f aca="false">E2162*G2162</f>
        <v>-0.125</v>
      </c>
      <c r="P2162" s="0" t="n">
        <f aca="false">E2162*H2162</f>
        <v>-0.25</v>
      </c>
      <c r="Q2162" s="0" t="n">
        <f aca="false">F2162*G2162</f>
        <v>0.25</v>
      </c>
      <c r="R2162" s="0" t="n">
        <f aca="false">F2162*H2162</f>
        <v>0.5</v>
      </c>
      <c r="S2162" s="0" t="n">
        <f aca="false">G2162*H2162</f>
        <v>0.125</v>
      </c>
      <c r="T2162" s="0" t="n">
        <f aca="false">E2162*E2162</f>
        <v>0.25</v>
      </c>
      <c r="U2162" s="0" t="n">
        <f aca="false">F2162*F2162</f>
        <v>1</v>
      </c>
      <c r="V2162" s="0" t="n">
        <f aca="false">G2162*G2162</f>
        <v>0.0625</v>
      </c>
      <c r="W2162" s="0" t="n">
        <f aca="false">H2162*H2162</f>
        <v>0.25</v>
      </c>
      <c r="X2162" s="0" t="n">
        <f aca="false">SUMPRODUCT(I2162:W2162,_XtX!$B$96:$P$96)</f>
        <v>45.5771472953216</v>
      </c>
      <c r="Y2162" s="0" t="n">
        <f aca="false">SUMPRODUCT(MMULT(I2162:W2162,_XtX!$B$78:$P$92),I2162:W2162)</f>
        <v>0.428122715643275</v>
      </c>
      <c r="Z2162" s="0" t="n">
        <f aca="false">04_回帰ANOVA!$K$19*04_回帰ANOVA!$K$14*SQRT(1+Y2162)</f>
        <v>1.55769044623229</v>
      </c>
      <c r="AA2162" s="0" t="n">
        <f aca="false">X2162-Z2162</f>
        <v>44.0194568490893</v>
      </c>
      <c r="AB2162" s="0" t="n">
        <f aca="false">X2162+Z2162</f>
        <v>47.1348377415539</v>
      </c>
      <c r="AC2162" s="54" t="b">
        <f aca="false">AND(E2162&gt;=01_因子設定!$L$5-0.000000001,E2162&lt;=01_因子設定!$M$5+0.000000001,F2162&gt;=01_因子設定!$L$6-0.000000001,F2162&lt;=01_因子設定!$M$6+0.000000001,G2162&gt;=01_因子設定!$L$7-0.000000001,G2162&lt;=01_因子設定!$M$7+0.000000001,H2162&gt;=01_因子設定!$L$8-0.000000001,H2162&lt;=01_因子設定!$M$8+0.000000001,IF(01_因子設定!$B$20="Box-Behnken",E2162^2+F2162^2+G2162^2+H2162^2&lt;=2+0.000000001,TRUE()))</f>
        <v>1</v>
      </c>
      <c r="AD2162" s="55" t="n">
        <f aca="false">IF(AC2162,IF(01_因子設定!$B$13="最大化",AA2162-01_因子設定!$B$14,IF(01_因子設定!$B$13="最小化",01_因子設定!$B$15-AB2162,MIN(AA2162-01_因子設定!$B$14,01_因子設定!$B$15-AB2162))),-1E+030)</f>
        <v>-2.48054315091069</v>
      </c>
      <c r="AE2162" s="55" t="n">
        <f aca="false">IF(AC2162,IF(01_因子設定!$B$13="最大化",X2162,IF(01_因子設定!$B$13="最小化",-X2162,-ABS(X2162-01_因子設定!$B$16))),-1E+030)</f>
        <v>45.5771472953216</v>
      </c>
      <c r="AF2162" s="55" t="n">
        <f aca="false">AD2162+ROW()*0.000000001</f>
        <v>-2.48054098891069</v>
      </c>
      <c r="AG2162" s="55" t="n">
        <f aca="false">AE2162+ROW()*0.000000001</f>
        <v>45.5771494573216</v>
      </c>
    </row>
    <row r="2163" customFormat="false" ht="15" hidden="false" customHeight="false" outlineLevel="0" collapsed="false">
      <c r="A2163" s="0" t="n">
        <v>2</v>
      </c>
      <c r="B2163" s="0" t="n">
        <v>8</v>
      </c>
      <c r="C2163" s="0" t="n">
        <v>5</v>
      </c>
      <c r="D2163" s="0" t="n">
        <v>7</v>
      </c>
      <c r="E2163" s="0" t="n">
        <f aca="false">-1+A2163*0.25</f>
        <v>-0.5</v>
      </c>
      <c r="F2163" s="0" t="n">
        <f aca="false">-1+B2163*0.25</f>
        <v>1</v>
      </c>
      <c r="G2163" s="0" t="n">
        <f aca="false">-1+C2163*0.25</f>
        <v>0.25</v>
      </c>
      <c r="H2163" s="0" t="n">
        <f aca="false">-1+D2163*0.25</f>
        <v>0.75</v>
      </c>
      <c r="I2163" s="0" t="n">
        <f aca="false">1</f>
        <v>1</v>
      </c>
      <c r="J2163" s="0" t="n">
        <f aca="false">E2163</f>
        <v>-0.5</v>
      </c>
      <c r="K2163" s="0" t="n">
        <f aca="false">F2163</f>
        <v>1</v>
      </c>
      <c r="L2163" s="0" t="n">
        <f aca="false">G2163</f>
        <v>0.25</v>
      </c>
      <c r="M2163" s="0" t="n">
        <f aca="false">H2163</f>
        <v>0.75</v>
      </c>
      <c r="N2163" s="0" t="n">
        <f aca="false">E2163*F2163</f>
        <v>-0.5</v>
      </c>
      <c r="O2163" s="0" t="n">
        <f aca="false">E2163*G2163</f>
        <v>-0.125</v>
      </c>
      <c r="P2163" s="0" t="n">
        <f aca="false">E2163*H2163</f>
        <v>-0.375</v>
      </c>
      <c r="Q2163" s="0" t="n">
        <f aca="false">F2163*G2163</f>
        <v>0.25</v>
      </c>
      <c r="R2163" s="0" t="n">
        <f aca="false">F2163*H2163</f>
        <v>0.75</v>
      </c>
      <c r="S2163" s="0" t="n">
        <f aca="false">G2163*H2163</f>
        <v>0.1875</v>
      </c>
      <c r="T2163" s="0" t="n">
        <f aca="false">E2163*E2163</f>
        <v>0.25</v>
      </c>
      <c r="U2163" s="0" t="n">
        <f aca="false">F2163*F2163</f>
        <v>1</v>
      </c>
      <c r="V2163" s="0" t="n">
        <f aca="false">G2163*G2163</f>
        <v>0.0625</v>
      </c>
      <c r="W2163" s="0" t="n">
        <f aca="false">H2163*H2163</f>
        <v>0.5625</v>
      </c>
      <c r="X2163" s="0" t="n">
        <f aca="false">SUMPRODUCT(I2163:W2163,_XtX!$B$96:$P$96)</f>
        <v>45.5082373903509</v>
      </c>
      <c r="Y2163" s="0" t="n">
        <f aca="false">SUMPRODUCT(MMULT(I2163:W2163,_XtX!$B$78:$P$92),I2163:W2163)</f>
        <v>0.459125719572369</v>
      </c>
      <c r="Z2163" s="0" t="n">
        <f aca="false">04_回帰ANOVA!$K$19*04_回帰ANOVA!$K$14*SQRT(1+Y2163)</f>
        <v>1.57450755575573</v>
      </c>
      <c r="AA2163" s="0" t="n">
        <f aca="false">X2163-Z2163</f>
        <v>43.9337298345951</v>
      </c>
      <c r="AB2163" s="0" t="n">
        <f aca="false">X2163+Z2163</f>
        <v>47.0827449461066</v>
      </c>
      <c r="AC2163" s="54" t="b">
        <f aca="false">AND(E2163&gt;=01_因子設定!$L$5-0.000000001,E2163&lt;=01_因子設定!$M$5+0.000000001,F2163&gt;=01_因子設定!$L$6-0.000000001,F2163&lt;=01_因子設定!$M$6+0.000000001,G2163&gt;=01_因子設定!$L$7-0.000000001,G2163&lt;=01_因子設定!$M$7+0.000000001,H2163&gt;=01_因子設定!$L$8-0.000000001,H2163&lt;=01_因子設定!$M$8+0.000000001,IF(01_因子設定!$B$20="Box-Behnken",E2163^2+F2163^2+G2163^2+H2163^2&lt;=2+0.000000001,TRUE()))</f>
        <v>1</v>
      </c>
      <c r="AD2163" s="55" t="n">
        <f aca="false">IF(AC2163,IF(01_因子設定!$B$13="最大化",AA2163-01_因子設定!$B$14,IF(01_因子設定!$B$13="最小化",01_因子設定!$B$15-AB2163,MIN(AA2163-01_因子設定!$B$14,01_因子設定!$B$15-AB2163))),-1E+030)</f>
        <v>-2.56627016540487</v>
      </c>
      <c r="AE2163" s="55" t="n">
        <f aca="false">IF(AC2163,IF(01_因子設定!$B$13="最大化",X2163,IF(01_因子設定!$B$13="最小化",-X2163,-ABS(X2163-01_因子設定!$B$16))),-1E+030)</f>
        <v>45.5082373903509</v>
      </c>
      <c r="AF2163" s="55" t="n">
        <f aca="false">AD2163+ROW()*0.000000001</f>
        <v>-2.56626800240487</v>
      </c>
      <c r="AG2163" s="55" t="n">
        <f aca="false">AE2163+ROW()*0.000000001</f>
        <v>45.5082395533509</v>
      </c>
    </row>
    <row r="2164" customFormat="false" ht="15" hidden="false" customHeight="false" outlineLevel="0" collapsed="false">
      <c r="A2164" s="0" t="n">
        <v>2</v>
      </c>
      <c r="B2164" s="0" t="n">
        <v>8</v>
      </c>
      <c r="C2164" s="0" t="n">
        <v>5</v>
      </c>
      <c r="D2164" s="0" t="n">
        <v>8</v>
      </c>
      <c r="E2164" s="0" t="n">
        <f aca="false">-1+A2164*0.25</f>
        <v>-0.5</v>
      </c>
      <c r="F2164" s="0" t="n">
        <f aca="false">-1+B2164*0.25</f>
        <v>1</v>
      </c>
      <c r="G2164" s="0" t="n">
        <f aca="false">-1+C2164*0.25</f>
        <v>0.25</v>
      </c>
      <c r="H2164" s="0" t="n">
        <f aca="false">-1+D2164*0.25</f>
        <v>1</v>
      </c>
      <c r="I2164" s="0" t="n">
        <f aca="false">1</f>
        <v>1</v>
      </c>
      <c r="J2164" s="0" t="n">
        <f aca="false">E2164</f>
        <v>-0.5</v>
      </c>
      <c r="K2164" s="0" t="n">
        <f aca="false">F2164</f>
        <v>1</v>
      </c>
      <c r="L2164" s="0" t="n">
        <f aca="false">G2164</f>
        <v>0.25</v>
      </c>
      <c r="M2164" s="0" t="n">
        <f aca="false">H2164</f>
        <v>1</v>
      </c>
      <c r="N2164" s="0" t="n">
        <f aca="false">E2164*F2164</f>
        <v>-0.5</v>
      </c>
      <c r="O2164" s="0" t="n">
        <f aca="false">E2164*G2164</f>
        <v>-0.125</v>
      </c>
      <c r="P2164" s="0" t="n">
        <f aca="false">E2164*H2164</f>
        <v>-0.5</v>
      </c>
      <c r="Q2164" s="0" t="n">
        <f aca="false">F2164*G2164</f>
        <v>0.25</v>
      </c>
      <c r="R2164" s="0" t="n">
        <f aca="false">F2164*H2164</f>
        <v>1</v>
      </c>
      <c r="S2164" s="0" t="n">
        <f aca="false">G2164*H2164</f>
        <v>0.25</v>
      </c>
      <c r="T2164" s="0" t="n">
        <f aca="false">E2164*E2164</f>
        <v>0.25</v>
      </c>
      <c r="U2164" s="0" t="n">
        <f aca="false">F2164*F2164</f>
        <v>1</v>
      </c>
      <c r="V2164" s="0" t="n">
        <f aca="false">G2164*G2164</f>
        <v>0.0625</v>
      </c>
      <c r="W2164" s="0" t="n">
        <f aca="false">H2164*H2164</f>
        <v>1</v>
      </c>
      <c r="X2164" s="0" t="n">
        <f aca="false">SUMPRODUCT(I2164:W2164,_XtX!$B$96:$P$96)</f>
        <v>45.3915204678363</v>
      </c>
      <c r="Y2164" s="0" t="n">
        <f aca="false">SUMPRODUCT(MMULT(I2164:W2164,_XtX!$B$78:$P$92),I2164:W2164)</f>
        <v>0.629174661915205</v>
      </c>
      <c r="Z2164" s="0" t="n">
        <f aca="false">04_回帰ANOVA!$K$19*04_回帰ANOVA!$K$14*SQRT(1+Y2164)</f>
        <v>1.66372758058297</v>
      </c>
      <c r="AA2164" s="0" t="n">
        <f aca="false">X2164-Z2164</f>
        <v>43.7277928872533</v>
      </c>
      <c r="AB2164" s="0" t="n">
        <f aca="false">X2164+Z2164</f>
        <v>47.0552480484192</v>
      </c>
      <c r="AC2164" s="54" t="b">
        <f aca="false">AND(E2164&gt;=01_因子設定!$L$5-0.000000001,E2164&lt;=01_因子設定!$M$5+0.000000001,F2164&gt;=01_因子設定!$L$6-0.000000001,F2164&lt;=01_因子設定!$M$6+0.000000001,G2164&gt;=01_因子設定!$L$7-0.000000001,G2164&lt;=01_因子設定!$M$7+0.000000001,H2164&gt;=01_因子設定!$L$8-0.000000001,H2164&lt;=01_因子設定!$M$8+0.000000001,IF(01_因子設定!$B$20="Box-Behnken",E2164^2+F2164^2+G2164^2+H2164^2&lt;=2+0.000000001,TRUE()))</f>
        <v>1</v>
      </c>
      <c r="AD2164" s="55" t="n">
        <f aca="false">IF(AC2164,IF(01_因子設定!$B$13="最大化",AA2164-01_因子設定!$B$14,IF(01_因子設定!$B$13="最小化",01_因子設定!$B$15-AB2164,MIN(AA2164-01_因子設定!$B$14,01_因子設定!$B$15-AB2164))),-1E+030)</f>
        <v>-2.77220711274672</v>
      </c>
      <c r="AE2164" s="55" t="n">
        <f aca="false">IF(AC2164,IF(01_因子設定!$B$13="最大化",X2164,IF(01_因子設定!$B$13="最小化",-X2164,-ABS(X2164-01_因子設定!$B$16))),-1E+030)</f>
        <v>45.3915204678363</v>
      </c>
      <c r="AF2164" s="55" t="n">
        <f aca="false">AD2164+ROW()*0.000000001</f>
        <v>-2.77220494874672</v>
      </c>
      <c r="AG2164" s="55" t="n">
        <f aca="false">AE2164+ROW()*0.000000001</f>
        <v>45.3915226318363</v>
      </c>
    </row>
    <row r="2165" customFormat="false" ht="15" hidden="false" customHeight="false" outlineLevel="0" collapsed="false">
      <c r="A2165" s="0" t="n">
        <v>2</v>
      </c>
      <c r="B2165" s="0" t="n">
        <v>8</v>
      </c>
      <c r="C2165" s="0" t="n">
        <v>6</v>
      </c>
      <c r="D2165" s="0" t="n">
        <v>0</v>
      </c>
      <c r="E2165" s="0" t="n">
        <f aca="false">-1+A2165*0.25</f>
        <v>-0.5</v>
      </c>
      <c r="F2165" s="0" t="n">
        <f aca="false">-1+B2165*0.25</f>
        <v>1</v>
      </c>
      <c r="G2165" s="0" t="n">
        <f aca="false">-1+C2165*0.25</f>
        <v>0.5</v>
      </c>
      <c r="H2165" s="0" t="n">
        <f aca="false">-1+D2165*0.25</f>
        <v>-1</v>
      </c>
      <c r="I2165" s="0" t="n">
        <f aca="false">1</f>
        <v>1</v>
      </c>
      <c r="J2165" s="0" t="n">
        <f aca="false">E2165</f>
        <v>-0.5</v>
      </c>
      <c r="K2165" s="0" t="n">
        <f aca="false">F2165</f>
        <v>1</v>
      </c>
      <c r="L2165" s="0" t="n">
        <f aca="false">G2165</f>
        <v>0.5</v>
      </c>
      <c r="M2165" s="0" t="n">
        <f aca="false">H2165</f>
        <v>-1</v>
      </c>
      <c r="N2165" s="0" t="n">
        <f aca="false">E2165*F2165</f>
        <v>-0.5</v>
      </c>
      <c r="O2165" s="0" t="n">
        <f aca="false">E2165*G2165</f>
        <v>-0.25</v>
      </c>
      <c r="P2165" s="0" t="n">
        <f aca="false">E2165*H2165</f>
        <v>0.5</v>
      </c>
      <c r="Q2165" s="0" t="n">
        <f aca="false">F2165*G2165</f>
        <v>0.5</v>
      </c>
      <c r="R2165" s="0" t="n">
        <f aca="false">F2165*H2165</f>
        <v>-1</v>
      </c>
      <c r="S2165" s="0" t="n">
        <f aca="false">G2165*H2165</f>
        <v>-0.5</v>
      </c>
      <c r="T2165" s="0" t="n">
        <f aca="false">E2165*E2165</f>
        <v>0.25</v>
      </c>
      <c r="U2165" s="0" t="n">
        <f aca="false">F2165*F2165</f>
        <v>1</v>
      </c>
      <c r="V2165" s="0" t="n">
        <f aca="false">G2165*G2165</f>
        <v>0.25</v>
      </c>
      <c r="W2165" s="0" t="n">
        <f aca="false">H2165*H2165</f>
        <v>1</v>
      </c>
      <c r="X2165" s="0" t="n">
        <f aca="false">SUMPRODUCT(I2165:W2165,_XtX!$B$96:$P$96)</f>
        <v>45.1920321637427</v>
      </c>
      <c r="Y2165" s="0" t="n">
        <f aca="false">SUMPRODUCT(MMULT(I2165:W2165,_XtX!$B$78:$P$92),I2165:W2165)</f>
        <v>0.582488121345029</v>
      </c>
      <c r="Z2165" s="0" t="n">
        <f aca="false">04_回帰ANOVA!$K$19*04_回帰ANOVA!$K$14*SQRT(1+Y2165)</f>
        <v>1.63971595338287</v>
      </c>
      <c r="AA2165" s="0" t="n">
        <f aca="false">X2165-Z2165</f>
        <v>43.5523162103598</v>
      </c>
      <c r="AB2165" s="0" t="n">
        <f aca="false">X2165+Z2165</f>
        <v>46.8317481171256</v>
      </c>
      <c r="AC2165" s="54" t="b">
        <f aca="false">AND(E2165&gt;=01_因子設定!$L$5-0.000000001,E2165&lt;=01_因子設定!$M$5+0.000000001,F2165&gt;=01_因子設定!$L$6-0.000000001,F2165&lt;=01_因子設定!$M$6+0.000000001,G2165&gt;=01_因子設定!$L$7-0.000000001,G2165&lt;=01_因子設定!$M$7+0.000000001,H2165&gt;=01_因子設定!$L$8-0.000000001,H2165&lt;=01_因子設定!$M$8+0.000000001,IF(01_因子設定!$B$20="Box-Behnken",E2165^2+F2165^2+G2165^2+H2165^2&lt;=2+0.000000001,TRUE()))</f>
        <v>1</v>
      </c>
      <c r="AD2165" s="55" t="n">
        <f aca="false">IF(AC2165,IF(01_因子設定!$B$13="最大化",AA2165-01_因子設定!$B$14,IF(01_因子設定!$B$13="最小化",01_因子設定!$B$15-AB2165,MIN(AA2165-01_因子設定!$B$14,01_因子設定!$B$15-AB2165))),-1E+030)</f>
        <v>-2.94768378964018</v>
      </c>
      <c r="AE2165" s="55" t="n">
        <f aca="false">IF(AC2165,IF(01_因子設定!$B$13="最大化",X2165,IF(01_因子設定!$B$13="最小化",-X2165,-ABS(X2165-01_因子設定!$B$16))),-1E+030)</f>
        <v>45.1920321637427</v>
      </c>
      <c r="AF2165" s="55" t="n">
        <f aca="false">AD2165+ROW()*0.000000001</f>
        <v>-2.94768162464018</v>
      </c>
      <c r="AG2165" s="55" t="n">
        <f aca="false">AE2165+ROW()*0.000000001</f>
        <v>45.1920343287427</v>
      </c>
    </row>
    <row r="2166" customFormat="false" ht="15" hidden="false" customHeight="false" outlineLevel="0" collapsed="false">
      <c r="A2166" s="0" t="n">
        <v>2</v>
      </c>
      <c r="B2166" s="0" t="n">
        <v>8</v>
      </c>
      <c r="C2166" s="0" t="n">
        <v>6</v>
      </c>
      <c r="D2166" s="0" t="n">
        <v>1</v>
      </c>
      <c r="E2166" s="0" t="n">
        <f aca="false">-1+A2166*0.25</f>
        <v>-0.5</v>
      </c>
      <c r="F2166" s="0" t="n">
        <f aca="false">-1+B2166*0.25</f>
        <v>1</v>
      </c>
      <c r="G2166" s="0" t="n">
        <f aca="false">-1+C2166*0.25</f>
        <v>0.5</v>
      </c>
      <c r="H2166" s="0" t="n">
        <f aca="false">-1+D2166*0.25</f>
        <v>-0.75</v>
      </c>
      <c r="I2166" s="0" t="n">
        <f aca="false">1</f>
        <v>1</v>
      </c>
      <c r="J2166" s="0" t="n">
        <f aca="false">E2166</f>
        <v>-0.5</v>
      </c>
      <c r="K2166" s="0" t="n">
        <f aca="false">F2166</f>
        <v>1</v>
      </c>
      <c r="L2166" s="0" t="n">
        <f aca="false">G2166</f>
        <v>0.5</v>
      </c>
      <c r="M2166" s="0" t="n">
        <f aca="false">H2166</f>
        <v>-0.75</v>
      </c>
      <c r="N2166" s="0" t="n">
        <f aca="false">E2166*F2166</f>
        <v>-0.5</v>
      </c>
      <c r="O2166" s="0" t="n">
        <f aca="false">E2166*G2166</f>
        <v>-0.25</v>
      </c>
      <c r="P2166" s="0" t="n">
        <f aca="false">E2166*H2166</f>
        <v>0.375</v>
      </c>
      <c r="Q2166" s="0" t="n">
        <f aca="false">F2166*G2166</f>
        <v>0.5</v>
      </c>
      <c r="R2166" s="0" t="n">
        <f aca="false">F2166*H2166</f>
        <v>-0.75</v>
      </c>
      <c r="S2166" s="0" t="n">
        <f aca="false">G2166*H2166</f>
        <v>-0.375</v>
      </c>
      <c r="T2166" s="0" t="n">
        <f aca="false">E2166*E2166</f>
        <v>0.25</v>
      </c>
      <c r="U2166" s="0" t="n">
        <f aca="false">F2166*F2166</f>
        <v>1</v>
      </c>
      <c r="V2166" s="0" t="n">
        <f aca="false">G2166*G2166</f>
        <v>0.25</v>
      </c>
      <c r="W2166" s="0" t="n">
        <f aca="false">H2166*H2166</f>
        <v>0.5625</v>
      </c>
      <c r="X2166" s="0" t="n">
        <f aca="false">SUMPRODUCT(I2166:W2166,_XtX!$B$96:$P$96)</f>
        <v>45.4279331140351</v>
      </c>
      <c r="Y2166" s="0" t="n">
        <f aca="false">SUMPRODUCT(MMULT(I2166:W2166,_XtX!$B$78:$P$92),I2166:W2166)</f>
        <v>0.42602110745614</v>
      </c>
      <c r="Z2166" s="0" t="n">
        <f aca="false">04_回帰ANOVA!$K$19*04_回帰ANOVA!$K$14*SQRT(1+Y2166)</f>
        <v>1.55654388501114</v>
      </c>
      <c r="AA2166" s="0" t="n">
        <f aca="false">X2166-Z2166</f>
        <v>43.8713892290239</v>
      </c>
      <c r="AB2166" s="0" t="n">
        <f aca="false">X2166+Z2166</f>
        <v>46.9844769990462</v>
      </c>
      <c r="AC2166" s="54" t="b">
        <f aca="false">AND(E2166&gt;=01_因子設定!$L$5-0.000000001,E2166&lt;=01_因子設定!$M$5+0.000000001,F2166&gt;=01_因子設定!$L$6-0.000000001,F2166&lt;=01_因子設定!$M$6+0.000000001,G2166&gt;=01_因子設定!$L$7-0.000000001,G2166&lt;=01_因子設定!$M$7+0.000000001,H2166&gt;=01_因子設定!$L$8-0.000000001,H2166&lt;=01_因子設定!$M$8+0.000000001,IF(01_因子設定!$B$20="Box-Behnken",E2166^2+F2166^2+G2166^2+H2166^2&lt;=2+0.000000001,TRUE()))</f>
        <v>1</v>
      </c>
      <c r="AD2166" s="55" t="n">
        <f aca="false">IF(AC2166,IF(01_因子設定!$B$13="最大化",AA2166-01_因子設定!$B$14,IF(01_因子設定!$B$13="最小化",01_因子設定!$B$15-AB2166,MIN(AA2166-01_因子設定!$B$14,01_因子設定!$B$15-AB2166))),-1E+030)</f>
        <v>-2.62861077097607</v>
      </c>
      <c r="AE2166" s="55" t="n">
        <f aca="false">IF(AC2166,IF(01_因子設定!$B$13="最大化",X2166,IF(01_因子設定!$B$13="最小化",-X2166,-ABS(X2166-01_因子設定!$B$16))),-1E+030)</f>
        <v>45.4279331140351</v>
      </c>
      <c r="AF2166" s="55" t="n">
        <f aca="false">AD2166+ROW()*0.000000001</f>
        <v>-2.62860860497607</v>
      </c>
      <c r="AG2166" s="55" t="n">
        <f aca="false">AE2166+ROW()*0.000000001</f>
        <v>45.4279352800351</v>
      </c>
    </row>
    <row r="2167" customFormat="false" ht="15" hidden="false" customHeight="false" outlineLevel="0" collapsed="false">
      <c r="A2167" s="0" t="n">
        <v>2</v>
      </c>
      <c r="B2167" s="0" t="n">
        <v>8</v>
      </c>
      <c r="C2167" s="0" t="n">
        <v>6</v>
      </c>
      <c r="D2167" s="0" t="n">
        <v>2</v>
      </c>
      <c r="E2167" s="0" t="n">
        <f aca="false">-1+A2167*0.25</f>
        <v>-0.5</v>
      </c>
      <c r="F2167" s="0" t="n">
        <f aca="false">-1+B2167*0.25</f>
        <v>1</v>
      </c>
      <c r="G2167" s="0" t="n">
        <f aca="false">-1+C2167*0.25</f>
        <v>0.5</v>
      </c>
      <c r="H2167" s="0" t="n">
        <f aca="false">-1+D2167*0.25</f>
        <v>-0.5</v>
      </c>
      <c r="I2167" s="0" t="n">
        <f aca="false">1</f>
        <v>1</v>
      </c>
      <c r="J2167" s="0" t="n">
        <f aca="false">E2167</f>
        <v>-0.5</v>
      </c>
      <c r="K2167" s="0" t="n">
        <f aca="false">F2167</f>
        <v>1</v>
      </c>
      <c r="L2167" s="0" t="n">
        <f aca="false">G2167</f>
        <v>0.5</v>
      </c>
      <c r="M2167" s="0" t="n">
        <f aca="false">H2167</f>
        <v>-0.5</v>
      </c>
      <c r="N2167" s="0" t="n">
        <f aca="false">E2167*F2167</f>
        <v>-0.5</v>
      </c>
      <c r="O2167" s="0" t="n">
        <f aca="false">E2167*G2167</f>
        <v>-0.25</v>
      </c>
      <c r="P2167" s="0" t="n">
        <f aca="false">E2167*H2167</f>
        <v>0.25</v>
      </c>
      <c r="Q2167" s="0" t="n">
        <f aca="false">F2167*G2167</f>
        <v>0.5</v>
      </c>
      <c r="R2167" s="0" t="n">
        <f aca="false">F2167*H2167</f>
        <v>-0.5</v>
      </c>
      <c r="S2167" s="0" t="n">
        <f aca="false">G2167*H2167</f>
        <v>-0.25</v>
      </c>
      <c r="T2167" s="0" t="n">
        <f aca="false">E2167*E2167</f>
        <v>0.25</v>
      </c>
      <c r="U2167" s="0" t="n">
        <f aca="false">F2167*F2167</f>
        <v>1</v>
      </c>
      <c r="V2167" s="0" t="n">
        <f aca="false">G2167*G2167</f>
        <v>0.25</v>
      </c>
      <c r="W2167" s="0" t="n">
        <f aca="false">H2167*H2167</f>
        <v>0.25</v>
      </c>
      <c r="X2167" s="0" t="n">
        <f aca="false">SUMPRODUCT(I2167:W2167,_XtX!$B$96:$P$96)</f>
        <v>45.6160270467836</v>
      </c>
      <c r="Y2167" s="0" t="n">
        <f aca="false">SUMPRODUCT(MMULT(I2167:W2167,_XtX!$B$78:$P$92),I2167:W2167)</f>
        <v>0.404719480994152</v>
      </c>
      <c r="Z2167" s="0" t="n">
        <f aca="false">04_回帰ANOVA!$K$19*04_回帰ANOVA!$K$14*SQRT(1+Y2167)</f>
        <v>1.54487446697867</v>
      </c>
      <c r="AA2167" s="0" t="n">
        <f aca="false">X2167-Z2167</f>
        <v>44.0711525798049</v>
      </c>
      <c r="AB2167" s="0" t="n">
        <f aca="false">X2167+Z2167</f>
        <v>47.1609015137623</v>
      </c>
      <c r="AC2167" s="54" t="b">
        <f aca="false">AND(E2167&gt;=01_因子設定!$L$5-0.000000001,E2167&lt;=01_因子設定!$M$5+0.000000001,F2167&gt;=01_因子設定!$L$6-0.000000001,F2167&lt;=01_因子設定!$M$6+0.000000001,G2167&gt;=01_因子設定!$L$7-0.000000001,G2167&lt;=01_因子設定!$M$7+0.000000001,H2167&gt;=01_因子設定!$L$8-0.000000001,H2167&lt;=01_因子設定!$M$8+0.000000001,IF(01_因子設定!$B$20="Box-Behnken",E2167^2+F2167^2+G2167^2+H2167^2&lt;=2+0.000000001,TRUE()))</f>
        <v>1</v>
      </c>
      <c r="AD2167" s="55" t="n">
        <f aca="false">IF(AC2167,IF(01_因子設定!$B$13="最大化",AA2167-01_因子設定!$B$14,IF(01_因子設定!$B$13="最小化",01_因子設定!$B$15-AB2167,MIN(AA2167-01_因子設定!$B$14,01_因子設定!$B$15-AB2167))),-1E+030)</f>
        <v>-2.42884742019508</v>
      </c>
      <c r="AE2167" s="55" t="n">
        <f aca="false">IF(AC2167,IF(01_因子設定!$B$13="最大化",X2167,IF(01_因子設定!$B$13="最小化",-X2167,-ABS(X2167-01_因子設定!$B$16))),-1E+030)</f>
        <v>45.6160270467836</v>
      </c>
      <c r="AF2167" s="55" t="n">
        <f aca="false">AD2167+ROW()*0.000000001</f>
        <v>-2.42884525319508</v>
      </c>
      <c r="AG2167" s="55" t="n">
        <f aca="false">AE2167+ROW()*0.000000001</f>
        <v>45.6160292137836</v>
      </c>
    </row>
    <row r="2168" customFormat="false" ht="15" hidden="false" customHeight="false" outlineLevel="0" collapsed="false">
      <c r="A2168" s="0" t="n">
        <v>2</v>
      </c>
      <c r="B2168" s="0" t="n">
        <v>8</v>
      </c>
      <c r="C2168" s="0" t="n">
        <v>6</v>
      </c>
      <c r="D2168" s="0" t="n">
        <v>3</v>
      </c>
      <c r="E2168" s="0" t="n">
        <f aca="false">-1+A2168*0.25</f>
        <v>-0.5</v>
      </c>
      <c r="F2168" s="0" t="n">
        <f aca="false">-1+B2168*0.25</f>
        <v>1</v>
      </c>
      <c r="G2168" s="0" t="n">
        <f aca="false">-1+C2168*0.25</f>
        <v>0.5</v>
      </c>
      <c r="H2168" s="0" t="n">
        <f aca="false">-1+D2168*0.25</f>
        <v>-0.25</v>
      </c>
      <c r="I2168" s="0" t="n">
        <f aca="false">1</f>
        <v>1</v>
      </c>
      <c r="J2168" s="0" t="n">
        <f aca="false">E2168</f>
        <v>-0.5</v>
      </c>
      <c r="K2168" s="0" t="n">
        <f aca="false">F2168</f>
        <v>1</v>
      </c>
      <c r="L2168" s="0" t="n">
        <f aca="false">G2168</f>
        <v>0.5</v>
      </c>
      <c r="M2168" s="0" t="n">
        <f aca="false">H2168</f>
        <v>-0.25</v>
      </c>
      <c r="N2168" s="0" t="n">
        <f aca="false">E2168*F2168</f>
        <v>-0.5</v>
      </c>
      <c r="O2168" s="0" t="n">
        <f aca="false">E2168*G2168</f>
        <v>-0.25</v>
      </c>
      <c r="P2168" s="0" t="n">
        <f aca="false">E2168*H2168</f>
        <v>0.125</v>
      </c>
      <c r="Q2168" s="0" t="n">
        <f aca="false">F2168*G2168</f>
        <v>0.5</v>
      </c>
      <c r="R2168" s="0" t="n">
        <f aca="false">F2168*H2168</f>
        <v>-0.25</v>
      </c>
      <c r="S2168" s="0" t="n">
        <f aca="false">G2168*H2168</f>
        <v>-0.125</v>
      </c>
      <c r="T2168" s="0" t="n">
        <f aca="false">E2168*E2168</f>
        <v>0.25</v>
      </c>
      <c r="U2168" s="0" t="n">
        <f aca="false">F2168*F2168</f>
        <v>1</v>
      </c>
      <c r="V2168" s="0" t="n">
        <f aca="false">G2168*G2168</f>
        <v>0.25</v>
      </c>
      <c r="W2168" s="0" t="n">
        <f aca="false">H2168*H2168</f>
        <v>0.0625</v>
      </c>
      <c r="X2168" s="0" t="n">
        <f aca="false">SUMPRODUCT(I2168:W2168,_XtX!$B$96:$P$96)</f>
        <v>45.7563139619883</v>
      </c>
      <c r="Y2168" s="0" t="n">
        <f aca="false">SUMPRODUCT(MMULT(I2168:W2168,_XtX!$B$78:$P$92),I2168:W2168)</f>
        <v>0.428122715643275</v>
      </c>
      <c r="Z2168" s="0" t="n">
        <f aca="false">04_回帰ANOVA!$K$19*04_回帰ANOVA!$K$14*SQRT(1+Y2168)</f>
        <v>1.55769044623229</v>
      </c>
      <c r="AA2168" s="0" t="n">
        <f aca="false">X2168-Z2168</f>
        <v>44.198623515756</v>
      </c>
      <c r="AB2168" s="0" t="n">
        <f aca="false">X2168+Z2168</f>
        <v>47.3140044082206</v>
      </c>
      <c r="AC2168" s="54" t="b">
        <f aca="false">AND(E2168&gt;=01_因子設定!$L$5-0.000000001,E2168&lt;=01_因子設定!$M$5+0.000000001,F2168&gt;=01_因子設定!$L$6-0.000000001,F2168&lt;=01_因子設定!$M$6+0.000000001,G2168&gt;=01_因子設定!$L$7-0.000000001,G2168&lt;=01_因子設定!$M$7+0.000000001,H2168&gt;=01_因子設定!$L$8-0.000000001,H2168&lt;=01_因子設定!$M$8+0.000000001,IF(01_因子設定!$B$20="Box-Behnken",E2168^2+F2168^2+G2168^2+H2168^2&lt;=2+0.000000001,TRUE()))</f>
        <v>1</v>
      </c>
      <c r="AD2168" s="55" t="n">
        <f aca="false">IF(AC2168,IF(01_因子設定!$B$13="最大化",AA2168-01_因子設定!$B$14,IF(01_因子設定!$B$13="最小化",01_因子設定!$B$15-AB2168,MIN(AA2168-01_因子設定!$B$14,01_因子設定!$B$15-AB2168))),-1E+030)</f>
        <v>-2.30137648424403</v>
      </c>
      <c r="AE2168" s="55" t="n">
        <f aca="false">IF(AC2168,IF(01_因子設定!$B$13="最大化",X2168,IF(01_因子設定!$B$13="最小化",-X2168,-ABS(X2168-01_因子設定!$B$16))),-1E+030)</f>
        <v>45.7563139619883</v>
      </c>
      <c r="AF2168" s="55" t="n">
        <f aca="false">AD2168+ROW()*0.000000001</f>
        <v>-2.30137431624403</v>
      </c>
      <c r="AG2168" s="55" t="n">
        <f aca="false">AE2168+ROW()*0.000000001</f>
        <v>45.7563161299883</v>
      </c>
    </row>
    <row r="2169" customFormat="false" ht="15" hidden="false" customHeight="false" outlineLevel="0" collapsed="false">
      <c r="A2169" s="0" t="n">
        <v>2</v>
      </c>
      <c r="B2169" s="0" t="n">
        <v>8</v>
      </c>
      <c r="C2169" s="0" t="n">
        <v>6</v>
      </c>
      <c r="D2169" s="0" t="n">
        <v>4</v>
      </c>
      <c r="E2169" s="0" t="n">
        <f aca="false">-1+A2169*0.25</f>
        <v>-0.5</v>
      </c>
      <c r="F2169" s="0" t="n">
        <f aca="false">-1+B2169*0.25</f>
        <v>1</v>
      </c>
      <c r="G2169" s="0" t="n">
        <f aca="false">-1+C2169*0.25</f>
        <v>0.5</v>
      </c>
      <c r="H2169" s="0" t="n">
        <f aca="false">-1+D2169*0.25</f>
        <v>0</v>
      </c>
      <c r="I2169" s="0" t="n">
        <f aca="false">1</f>
        <v>1</v>
      </c>
      <c r="J2169" s="0" t="n">
        <f aca="false">E2169</f>
        <v>-0.5</v>
      </c>
      <c r="K2169" s="0" t="n">
        <f aca="false">F2169</f>
        <v>1</v>
      </c>
      <c r="L2169" s="0" t="n">
        <f aca="false">G2169</f>
        <v>0.5</v>
      </c>
      <c r="M2169" s="0" t="n">
        <f aca="false">H2169</f>
        <v>0</v>
      </c>
      <c r="N2169" s="0" t="n">
        <f aca="false">E2169*F2169</f>
        <v>-0.5</v>
      </c>
      <c r="O2169" s="0" t="n">
        <f aca="false">E2169*G2169</f>
        <v>-0.25</v>
      </c>
      <c r="P2169" s="0" t="n">
        <f aca="false">E2169*H2169</f>
        <v>-0</v>
      </c>
      <c r="Q2169" s="0" t="n">
        <f aca="false">F2169*G2169</f>
        <v>0.5</v>
      </c>
      <c r="R2169" s="0" t="n">
        <f aca="false">F2169*H2169</f>
        <v>0</v>
      </c>
      <c r="S2169" s="0" t="n">
        <f aca="false">G2169*H2169</f>
        <v>0</v>
      </c>
      <c r="T2169" s="0" t="n">
        <f aca="false">E2169*E2169</f>
        <v>0.25</v>
      </c>
      <c r="U2169" s="0" t="n">
        <f aca="false">F2169*F2169</f>
        <v>1</v>
      </c>
      <c r="V2169" s="0" t="n">
        <f aca="false">G2169*G2169</f>
        <v>0.25</v>
      </c>
      <c r="W2169" s="0" t="n">
        <f aca="false">H2169*H2169</f>
        <v>0</v>
      </c>
      <c r="X2169" s="0" t="n">
        <f aca="false">SUMPRODUCT(I2169:W2169,_XtX!$B$96:$P$96)</f>
        <v>45.8487938596491</v>
      </c>
      <c r="Y2169" s="0" t="n">
        <f aca="false">SUMPRODUCT(MMULT(I2169:W2169,_XtX!$B$78:$P$92),I2169:W2169)</f>
        <v>0.441954495614035</v>
      </c>
      <c r="Z2169" s="0" t="n">
        <f aca="false">04_回帰ANOVA!$K$19*04_回帰ANOVA!$K$14*SQRT(1+Y2169)</f>
        <v>1.56521560968066</v>
      </c>
      <c r="AA2169" s="0" t="n">
        <f aca="false">X2169-Z2169</f>
        <v>44.2835782499684</v>
      </c>
      <c r="AB2169" s="0" t="n">
        <f aca="false">X2169+Z2169</f>
        <v>47.4140094693297</v>
      </c>
      <c r="AC2169" s="54" t="b">
        <f aca="false">AND(E2169&gt;=01_因子設定!$L$5-0.000000001,E2169&lt;=01_因子設定!$M$5+0.000000001,F2169&gt;=01_因子設定!$L$6-0.000000001,F2169&lt;=01_因子設定!$M$6+0.000000001,G2169&gt;=01_因子設定!$L$7-0.000000001,G2169&lt;=01_因子設定!$M$7+0.000000001,H2169&gt;=01_因子設定!$L$8-0.000000001,H2169&lt;=01_因子設定!$M$8+0.000000001,IF(01_因子設定!$B$20="Box-Behnken",E2169^2+F2169^2+G2169^2+H2169^2&lt;=2+0.000000001,TRUE()))</f>
        <v>1</v>
      </c>
      <c r="AD2169" s="55" t="n">
        <f aca="false">IF(AC2169,IF(01_因子設定!$B$13="最大化",AA2169-01_因子設定!$B$14,IF(01_因子設定!$B$13="最小化",01_因子設定!$B$15-AB2169,MIN(AA2169-01_因子設定!$B$14,01_因子設定!$B$15-AB2169))),-1E+030)</f>
        <v>-2.21642175003159</v>
      </c>
      <c r="AE2169" s="55" t="n">
        <f aca="false">IF(AC2169,IF(01_因子設定!$B$13="最大化",X2169,IF(01_因子設定!$B$13="最小化",-X2169,-ABS(X2169-01_因子設定!$B$16))),-1E+030)</f>
        <v>45.8487938596491</v>
      </c>
      <c r="AF2169" s="55" t="n">
        <f aca="false">AD2169+ROW()*0.000000001</f>
        <v>-2.21641958103159</v>
      </c>
      <c r="AG2169" s="55" t="n">
        <f aca="false">AE2169+ROW()*0.000000001</f>
        <v>45.8487960286491</v>
      </c>
    </row>
    <row r="2170" customFormat="false" ht="15" hidden="false" customHeight="false" outlineLevel="0" collapsed="false">
      <c r="A2170" s="0" t="n">
        <v>2</v>
      </c>
      <c r="B2170" s="0" t="n">
        <v>8</v>
      </c>
      <c r="C2170" s="0" t="n">
        <v>6</v>
      </c>
      <c r="D2170" s="0" t="n">
        <v>5</v>
      </c>
      <c r="E2170" s="0" t="n">
        <f aca="false">-1+A2170*0.25</f>
        <v>-0.5</v>
      </c>
      <c r="F2170" s="0" t="n">
        <f aca="false">-1+B2170*0.25</f>
        <v>1</v>
      </c>
      <c r="G2170" s="0" t="n">
        <f aca="false">-1+C2170*0.25</f>
        <v>0.5</v>
      </c>
      <c r="H2170" s="0" t="n">
        <f aca="false">-1+D2170*0.25</f>
        <v>0.25</v>
      </c>
      <c r="I2170" s="0" t="n">
        <f aca="false">1</f>
        <v>1</v>
      </c>
      <c r="J2170" s="0" t="n">
        <f aca="false">E2170</f>
        <v>-0.5</v>
      </c>
      <c r="K2170" s="0" t="n">
        <f aca="false">F2170</f>
        <v>1</v>
      </c>
      <c r="L2170" s="0" t="n">
        <f aca="false">G2170</f>
        <v>0.5</v>
      </c>
      <c r="M2170" s="0" t="n">
        <f aca="false">H2170</f>
        <v>0.25</v>
      </c>
      <c r="N2170" s="0" t="n">
        <f aca="false">E2170*F2170</f>
        <v>-0.5</v>
      </c>
      <c r="O2170" s="0" t="n">
        <f aca="false">E2170*G2170</f>
        <v>-0.25</v>
      </c>
      <c r="P2170" s="0" t="n">
        <f aca="false">E2170*H2170</f>
        <v>-0.125</v>
      </c>
      <c r="Q2170" s="0" t="n">
        <f aca="false">F2170*G2170</f>
        <v>0.5</v>
      </c>
      <c r="R2170" s="0" t="n">
        <f aca="false">F2170*H2170</f>
        <v>0.25</v>
      </c>
      <c r="S2170" s="0" t="n">
        <f aca="false">G2170*H2170</f>
        <v>0.125</v>
      </c>
      <c r="T2170" s="0" t="n">
        <f aca="false">E2170*E2170</f>
        <v>0.25</v>
      </c>
      <c r="U2170" s="0" t="n">
        <f aca="false">F2170*F2170</f>
        <v>1</v>
      </c>
      <c r="V2170" s="0" t="n">
        <f aca="false">G2170*G2170</f>
        <v>0.25</v>
      </c>
      <c r="W2170" s="0" t="n">
        <f aca="false">H2170*H2170</f>
        <v>0.0625</v>
      </c>
      <c r="X2170" s="0" t="n">
        <f aca="false">SUMPRODUCT(I2170:W2170,_XtX!$B$96:$P$96)</f>
        <v>45.893466739766</v>
      </c>
      <c r="Y2170" s="0" t="n">
        <f aca="false">SUMPRODUCT(MMULT(I2170:W2170,_XtX!$B$78:$P$92),I2170:W2170)</f>
        <v>0.428122715643275</v>
      </c>
      <c r="Z2170" s="0" t="n">
        <f aca="false">04_回帰ANOVA!$K$19*04_回帰ANOVA!$K$14*SQRT(1+Y2170)</f>
        <v>1.55769044623229</v>
      </c>
      <c r="AA2170" s="0" t="n">
        <f aca="false">X2170-Z2170</f>
        <v>44.3357762935338</v>
      </c>
      <c r="AB2170" s="0" t="n">
        <f aca="false">X2170+Z2170</f>
        <v>47.4511571859983</v>
      </c>
      <c r="AC2170" s="54" t="b">
        <f aca="false">AND(E2170&gt;=01_因子設定!$L$5-0.000000001,E2170&lt;=01_因子設定!$M$5+0.000000001,F2170&gt;=01_因子設定!$L$6-0.000000001,F2170&lt;=01_因子設定!$M$6+0.000000001,G2170&gt;=01_因子設定!$L$7-0.000000001,G2170&lt;=01_因子設定!$M$7+0.000000001,H2170&gt;=01_因子設定!$L$8-0.000000001,H2170&lt;=01_因子設定!$M$8+0.000000001,IF(01_因子設定!$B$20="Box-Behnken",E2170^2+F2170^2+G2170^2+H2170^2&lt;=2+0.000000001,TRUE()))</f>
        <v>1</v>
      </c>
      <c r="AD2170" s="55" t="n">
        <f aca="false">IF(AC2170,IF(01_因子設定!$B$13="最大化",AA2170-01_因子設定!$B$14,IF(01_因子設定!$B$13="最小化",01_因子設定!$B$15-AB2170,MIN(AA2170-01_因子設定!$B$14,01_因子設定!$B$15-AB2170))),-1E+030)</f>
        <v>-2.16422370646625</v>
      </c>
      <c r="AE2170" s="55" t="n">
        <f aca="false">IF(AC2170,IF(01_因子設定!$B$13="最大化",X2170,IF(01_因子設定!$B$13="最小化",-X2170,-ABS(X2170-01_因子設定!$B$16))),-1E+030)</f>
        <v>45.893466739766</v>
      </c>
      <c r="AF2170" s="55" t="n">
        <f aca="false">AD2170+ROW()*0.000000001</f>
        <v>-2.16422153646625</v>
      </c>
      <c r="AG2170" s="55" t="n">
        <f aca="false">AE2170+ROW()*0.000000001</f>
        <v>45.893468909766</v>
      </c>
    </row>
    <row r="2171" customFormat="false" ht="15" hidden="false" customHeight="false" outlineLevel="0" collapsed="false">
      <c r="A2171" s="0" t="n">
        <v>2</v>
      </c>
      <c r="B2171" s="0" t="n">
        <v>8</v>
      </c>
      <c r="C2171" s="0" t="n">
        <v>6</v>
      </c>
      <c r="D2171" s="0" t="n">
        <v>6</v>
      </c>
      <c r="E2171" s="0" t="n">
        <f aca="false">-1+A2171*0.25</f>
        <v>-0.5</v>
      </c>
      <c r="F2171" s="0" t="n">
        <f aca="false">-1+B2171*0.25</f>
        <v>1</v>
      </c>
      <c r="G2171" s="0" t="n">
        <f aca="false">-1+C2171*0.25</f>
        <v>0.5</v>
      </c>
      <c r="H2171" s="0" t="n">
        <f aca="false">-1+D2171*0.25</f>
        <v>0.5</v>
      </c>
      <c r="I2171" s="0" t="n">
        <f aca="false">1</f>
        <v>1</v>
      </c>
      <c r="J2171" s="0" t="n">
        <f aca="false">E2171</f>
        <v>-0.5</v>
      </c>
      <c r="K2171" s="0" t="n">
        <f aca="false">F2171</f>
        <v>1</v>
      </c>
      <c r="L2171" s="0" t="n">
        <f aca="false">G2171</f>
        <v>0.5</v>
      </c>
      <c r="M2171" s="0" t="n">
        <f aca="false">H2171</f>
        <v>0.5</v>
      </c>
      <c r="N2171" s="0" t="n">
        <f aca="false">E2171*F2171</f>
        <v>-0.5</v>
      </c>
      <c r="O2171" s="0" t="n">
        <f aca="false">E2171*G2171</f>
        <v>-0.25</v>
      </c>
      <c r="P2171" s="0" t="n">
        <f aca="false">E2171*H2171</f>
        <v>-0.25</v>
      </c>
      <c r="Q2171" s="0" t="n">
        <f aca="false">F2171*G2171</f>
        <v>0.5</v>
      </c>
      <c r="R2171" s="0" t="n">
        <f aca="false">F2171*H2171</f>
        <v>0.5</v>
      </c>
      <c r="S2171" s="0" t="n">
        <f aca="false">G2171*H2171</f>
        <v>0.25</v>
      </c>
      <c r="T2171" s="0" t="n">
        <f aca="false">E2171*E2171</f>
        <v>0.25</v>
      </c>
      <c r="U2171" s="0" t="n">
        <f aca="false">F2171*F2171</f>
        <v>1</v>
      </c>
      <c r="V2171" s="0" t="n">
        <f aca="false">G2171*G2171</f>
        <v>0.25</v>
      </c>
      <c r="W2171" s="0" t="n">
        <f aca="false">H2171*H2171</f>
        <v>0.25</v>
      </c>
      <c r="X2171" s="0" t="n">
        <f aca="false">SUMPRODUCT(I2171:W2171,_XtX!$B$96:$P$96)</f>
        <v>45.8903326023392</v>
      </c>
      <c r="Y2171" s="0" t="n">
        <f aca="false">SUMPRODUCT(MMULT(I2171:W2171,_XtX!$B$78:$P$92),I2171:W2171)</f>
        <v>0.404719480994152</v>
      </c>
      <c r="Z2171" s="0" t="n">
        <f aca="false">04_回帰ANOVA!$K$19*04_回帰ANOVA!$K$14*SQRT(1+Y2171)</f>
        <v>1.54487446697867</v>
      </c>
      <c r="AA2171" s="0" t="n">
        <f aca="false">X2171-Z2171</f>
        <v>44.3454581353605</v>
      </c>
      <c r="AB2171" s="0" t="n">
        <f aca="false">X2171+Z2171</f>
        <v>47.4352070693178</v>
      </c>
      <c r="AC2171" s="54" t="b">
        <f aca="false">AND(E2171&gt;=01_因子設定!$L$5-0.000000001,E2171&lt;=01_因子設定!$M$5+0.000000001,F2171&gt;=01_因子設定!$L$6-0.000000001,F2171&lt;=01_因子設定!$M$6+0.000000001,G2171&gt;=01_因子設定!$L$7-0.000000001,G2171&lt;=01_因子設定!$M$7+0.000000001,H2171&gt;=01_因子設定!$L$8-0.000000001,H2171&lt;=01_因子設定!$M$8+0.000000001,IF(01_因子設定!$B$20="Box-Behnken",E2171^2+F2171^2+G2171^2+H2171^2&lt;=2+0.000000001,TRUE()))</f>
        <v>1</v>
      </c>
      <c r="AD2171" s="55" t="n">
        <f aca="false">IF(AC2171,IF(01_因子設定!$B$13="最大化",AA2171-01_因子設定!$B$14,IF(01_因子設定!$B$13="最小化",01_因子設定!$B$15-AB2171,MIN(AA2171-01_因子設定!$B$14,01_因子設定!$B$15-AB2171))),-1E+030)</f>
        <v>-2.15454186463953</v>
      </c>
      <c r="AE2171" s="55" t="n">
        <f aca="false">IF(AC2171,IF(01_因子設定!$B$13="最大化",X2171,IF(01_因子設定!$B$13="最小化",-X2171,-ABS(X2171-01_因子設定!$B$16))),-1E+030)</f>
        <v>45.8903326023392</v>
      </c>
      <c r="AF2171" s="55" t="n">
        <f aca="false">AD2171+ROW()*0.000000001</f>
        <v>-2.15453969363953</v>
      </c>
      <c r="AG2171" s="55" t="n">
        <f aca="false">AE2171+ROW()*0.000000001</f>
        <v>45.8903347733392</v>
      </c>
    </row>
    <row r="2172" customFormat="false" ht="15" hidden="false" customHeight="false" outlineLevel="0" collapsed="false">
      <c r="A2172" s="0" t="n">
        <v>2</v>
      </c>
      <c r="B2172" s="0" t="n">
        <v>8</v>
      </c>
      <c r="C2172" s="0" t="n">
        <v>6</v>
      </c>
      <c r="D2172" s="0" t="n">
        <v>7</v>
      </c>
      <c r="E2172" s="0" t="n">
        <f aca="false">-1+A2172*0.25</f>
        <v>-0.5</v>
      </c>
      <c r="F2172" s="0" t="n">
        <f aca="false">-1+B2172*0.25</f>
        <v>1</v>
      </c>
      <c r="G2172" s="0" t="n">
        <f aca="false">-1+C2172*0.25</f>
        <v>0.5</v>
      </c>
      <c r="H2172" s="0" t="n">
        <f aca="false">-1+D2172*0.25</f>
        <v>0.75</v>
      </c>
      <c r="I2172" s="0" t="n">
        <f aca="false">1</f>
        <v>1</v>
      </c>
      <c r="J2172" s="0" t="n">
        <f aca="false">E2172</f>
        <v>-0.5</v>
      </c>
      <c r="K2172" s="0" t="n">
        <f aca="false">F2172</f>
        <v>1</v>
      </c>
      <c r="L2172" s="0" t="n">
        <f aca="false">G2172</f>
        <v>0.5</v>
      </c>
      <c r="M2172" s="0" t="n">
        <f aca="false">H2172</f>
        <v>0.75</v>
      </c>
      <c r="N2172" s="0" t="n">
        <f aca="false">E2172*F2172</f>
        <v>-0.5</v>
      </c>
      <c r="O2172" s="0" t="n">
        <f aca="false">E2172*G2172</f>
        <v>-0.25</v>
      </c>
      <c r="P2172" s="0" t="n">
        <f aca="false">E2172*H2172</f>
        <v>-0.375</v>
      </c>
      <c r="Q2172" s="0" t="n">
        <f aca="false">F2172*G2172</f>
        <v>0.5</v>
      </c>
      <c r="R2172" s="0" t="n">
        <f aca="false">F2172*H2172</f>
        <v>0.75</v>
      </c>
      <c r="S2172" s="0" t="n">
        <f aca="false">G2172*H2172</f>
        <v>0.375</v>
      </c>
      <c r="T2172" s="0" t="n">
        <f aca="false">E2172*E2172</f>
        <v>0.25</v>
      </c>
      <c r="U2172" s="0" t="n">
        <f aca="false">F2172*F2172</f>
        <v>1</v>
      </c>
      <c r="V2172" s="0" t="n">
        <f aca="false">G2172*G2172</f>
        <v>0.25</v>
      </c>
      <c r="W2172" s="0" t="n">
        <f aca="false">H2172*H2172</f>
        <v>0.5625</v>
      </c>
      <c r="X2172" s="0" t="n">
        <f aca="false">SUMPRODUCT(I2172:W2172,_XtX!$B$96:$P$96)</f>
        <v>45.8393914473684</v>
      </c>
      <c r="Y2172" s="0" t="n">
        <f aca="false">SUMPRODUCT(MMULT(I2172:W2172,_XtX!$B$78:$P$92),I2172:W2172)</f>
        <v>0.42602110745614</v>
      </c>
      <c r="Z2172" s="0" t="n">
        <f aca="false">04_回帰ANOVA!$K$19*04_回帰ANOVA!$K$14*SQRT(1+Y2172)</f>
        <v>1.55654388501114</v>
      </c>
      <c r="AA2172" s="0" t="n">
        <f aca="false">X2172-Z2172</f>
        <v>44.2828475623573</v>
      </c>
      <c r="AB2172" s="0" t="n">
        <f aca="false">X2172+Z2172</f>
        <v>47.3959353323795</v>
      </c>
      <c r="AC2172" s="54" t="b">
        <f aca="false">AND(E2172&gt;=01_因子設定!$L$5-0.000000001,E2172&lt;=01_因子設定!$M$5+0.000000001,F2172&gt;=01_因子設定!$L$6-0.000000001,F2172&lt;=01_因子設定!$M$6+0.000000001,G2172&gt;=01_因子設定!$L$7-0.000000001,G2172&lt;=01_因子設定!$M$7+0.000000001,H2172&gt;=01_因子設定!$L$8-0.000000001,H2172&lt;=01_因子設定!$M$8+0.000000001,IF(01_因子設定!$B$20="Box-Behnken",E2172^2+F2172^2+G2172^2+H2172^2&lt;=2+0.000000001,TRUE()))</f>
        <v>1</v>
      </c>
      <c r="AD2172" s="55" t="n">
        <f aca="false">IF(AC2172,IF(01_因子設定!$B$13="最大化",AA2172-01_因子設定!$B$14,IF(01_因子設定!$B$13="最小化",01_因子設定!$B$15-AB2172,MIN(AA2172-01_因子設定!$B$14,01_因子設定!$B$15-AB2172))),-1E+030)</f>
        <v>-2.21715243764274</v>
      </c>
      <c r="AE2172" s="55" t="n">
        <f aca="false">IF(AC2172,IF(01_因子設定!$B$13="最大化",X2172,IF(01_因子設定!$B$13="最小化",-X2172,-ABS(X2172-01_因子設定!$B$16))),-1E+030)</f>
        <v>45.8393914473684</v>
      </c>
      <c r="AF2172" s="55" t="n">
        <f aca="false">AD2172+ROW()*0.000000001</f>
        <v>-2.21715026564274</v>
      </c>
      <c r="AG2172" s="55" t="n">
        <f aca="false">AE2172+ROW()*0.000000001</f>
        <v>45.8393936193684</v>
      </c>
    </row>
    <row r="2173" customFormat="false" ht="15" hidden="false" customHeight="false" outlineLevel="0" collapsed="false">
      <c r="A2173" s="0" t="n">
        <v>2</v>
      </c>
      <c r="B2173" s="0" t="n">
        <v>8</v>
      </c>
      <c r="C2173" s="0" t="n">
        <v>6</v>
      </c>
      <c r="D2173" s="0" t="n">
        <v>8</v>
      </c>
      <c r="E2173" s="0" t="n">
        <f aca="false">-1+A2173*0.25</f>
        <v>-0.5</v>
      </c>
      <c r="F2173" s="0" t="n">
        <f aca="false">-1+B2173*0.25</f>
        <v>1</v>
      </c>
      <c r="G2173" s="0" t="n">
        <f aca="false">-1+C2173*0.25</f>
        <v>0.5</v>
      </c>
      <c r="H2173" s="0" t="n">
        <f aca="false">-1+D2173*0.25</f>
        <v>1</v>
      </c>
      <c r="I2173" s="0" t="n">
        <f aca="false">1</f>
        <v>1</v>
      </c>
      <c r="J2173" s="0" t="n">
        <f aca="false">E2173</f>
        <v>-0.5</v>
      </c>
      <c r="K2173" s="0" t="n">
        <f aca="false">F2173</f>
        <v>1</v>
      </c>
      <c r="L2173" s="0" t="n">
        <f aca="false">G2173</f>
        <v>0.5</v>
      </c>
      <c r="M2173" s="0" t="n">
        <f aca="false">H2173</f>
        <v>1</v>
      </c>
      <c r="N2173" s="0" t="n">
        <f aca="false">E2173*F2173</f>
        <v>-0.5</v>
      </c>
      <c r="O2173" s="0" t="n">
        <f aca="false">E2173*G2173</f>
        <v>-0.25</v>
      </c>
      <c r="P2173" s="0" t="n">
        <f aca="false">E2173*H2173</f>
        <v>-0.5</v>
      </c>
      <c r="Q2173" s="0" t="n">
        <f aca="false">F2173*G2173</f>
        <v>0.5</v>
      </c>
      <c r="R2173" s="0" t="n">
        <f aca="false">F2173*H2173</f>
        <v>1</v>
      </c>
      <c r="S2173" s="0" t="n">
        <f aca="false">G2173*H2173</f>
        <v>0.5</v>
      </c>
      <c r="T2173" s="0" t="n">
        <f aca="false">E2173*E2173</f>
        <v>0.25</v>
      </c>
      <c r="U2173" s="0" t="n">
        <f aca="false">F2173*F2173</f>
        <v>1</v>
      </c>
      <c r="V2173" s="0" t="n">
        <f aca="false">G2173*G2173</f>
        <v>0.25</v>
      </c>
      <c r="W2173" s="0" t="n">
        <f aca="false">H2173*H2173</f>
        <v>1</v>
      </c>
      <c r="X2173" s="0" t="n">
        <f aca="false">SUMPRODUCT(I2173:W2173,_XtX!$B$96:$P$96)</f>
        <v>45.7406432748538</v>
      </c>
      <c r="Y2173" s="0" t="n">
        <f aca="false">SUMPRODUCT(MMULT(I2173:W2173,_XtX!$B$78:$P$92),I2173:W2173)</f>
        <v>0.582488121345029</v>
      </c>
      <c r="Z2173" s="0" t="n">
        <f aca="false">04_回帰ANOVA!$K$19*04_回帰ANOVA!$K$14*SQRT(1+Y2173)</f>
        <v>1.63971595338287</v>
      </c>
      <c r="AA2173" s="0" t="n">
        <f aca="false">X2173-Z2173</f>
        <v>44.1009273214709</v>
      </c>
      <c r="AB2173" s="0" t="n">
        <f aca="false">X2173+Z2173</f>
        <v>47.3803592282367</v>
      </c>
      <c r="AC2173" s="54" t="b">
        <f aca="false">AND(E2173&gt;=01_因子設定!$L$5-0.000000001,E2173&lt;=01_因子設定!$M$5+0.000000001,F2173&gt;=01_因子設定!$L$6-0.000000001,F2173&lt;=01_因子設定!$M$6+0.000000001,G2173&gt;=01_因子設定!$L$7-0.000000001,G2173&lt;=01_因子設定!$M$7+0.000000001,H2173&gt;=01_因子設定!$L$8-0.000000001,H2173&lt;=01_因子設定!$M$8+0.000000001,IF(01_因子設定!$B$20="Box-Behnken",E2173^2+F2173^2+G2173^2+H2173^2&lt;=2+0.000000001,TRUE()))</f>
        <v>1</v>
      </c>
      <c r="AD2173" s="55" t="n">
        <f aca="false">IF(AC2173,IF(01_因子設定!$B$13="最大化",AA2173-01_因子設定!$B$14,IF(01_因子設定!$B$13="最小化",01_因子設定!$B$15-AB2173,MIN(AA2173-01_因子設定!$B$14,01_因子設定!$B$15-AB2173))),-1E+030)</f>
        <v>-2.39907267852907</v>
      </c>
      <c r="AE2173" s="55" t="n">
        <f aca="false">IF(AC2173,IF(01_因子設定!$B$13="最大化",X2173,IF(01_因子設定!$B$13="最小化",-X2173,-ABS(X2173-01_因子設定!$B$16))),-1E+030)</f>
        <v>45.7406432748538</v>
      </c>
      <c r="AF2173" s="55" t="n">
        <f aca="false">AD2173+ROW()*0.000000001</f>
        <v>-2.39907050552907</v>
      </c>
      <c r="AG2173" s="55" t="n">
        <f aca="false">AE2173+ROW()*0.000000001</f>
        <v>45.7406454478538</v>
      </c>
    </row>
    <row r="2174" customFormat="false" ht="15" hidden="false" customHeight="false" outlineLevel="0" collapsed="false">
      <c r="A2174" s="0" t="n">
        <v>2</v>
      </c>
      <c r="B2174" s="0" t="n">
        <v>8</v>
      </c>
      <c r="C2174" s="0" t="n">
        <v>7</v>
      </c>
      <c r="D2174" s="0" t="n">
        <v>0</v>
      </c>
      <c r="E2174" s="0" t="n">
        <f aca="false">-1+A2174*0.25</f>
        <v>-0.5</v>
      </c>
      <c r="F2174" s="0" t="n">
        <f aca="false">-1+B2174*0.25</f>
        <v>1</v>
      </c>
      <c r="G2174" s="0" t="n">
        <f aca="false">-1+C2174*0.25</f>
        <v>0.75</v>
      </c>
      <c r="H2174" s="0" t="n">
        <f aca="false">-1+D2174*0.25</f>
        <v>-1</v>
      </c>
      <c r="I2174" s="0" t="n">
        <f aca="false">1</f>
        <v>1</v>
      </c>
      <c r="J2174" s="0" t="n">
        <f aca="false">E2174</f>
        <v>-0.5</v>
      </c>
      <c r="K2174" s="0" t="n">
        <f aca="false">F2174</f>
        <v>1</v>
      </c>
      <c r="L2174" s="0" t="n">
        <f aca="false">G2174</f>
        <v>0.75</v>
      </c>
      <c r="M2174" s="0" t="n">
        <f aca="false">H2174</f>
        <v>-1</v>
      </c>
      <c r="N2174" s="0" t="n">
        <f aca="false">E2174*F2174</f>
        <v>-0.5</v>
      </c>
      <c r="O2174" s="0" t="n">
        <f aca="false">E2174*G2174</f>
        <v>-0.375</v>
      </c>
      <c r="P2174" s="0" t="n">
        <f aca="false">E2174*H2174</f>
        <v>0.5</v>
      </c>
      <c r="Q2174" s="0" t="n">
        <f aca="false">F2174*G2174</f>
        <v>0.75</v>
      </c>
      <c r="R2174" s="0" t="n">
        <f aca="false">F2174*H2174</f>
        <v>-1</v>
      </c>
      <c r="S2174" s="0" t="n">
        <f aca="false">G2174*H2174</f>
        <v>-0.75</v>
      </c>
      <c r="T2174" s="0" t="n">
        <f aca="false">E2174*E2174</f>
        <v>0.25</v>
      </c>
      <c r="U2174" s="0" t="n">
        <f aca="false">F2174*F2174</f>
        <v>1</v>
      </c>
      <c r="V2174" s="0" t="n">
        <f aca="false">G2174*G2174</f>
        <v>0.5625</v>
      </c>
      <c r="W2174" s="0" t="n">
        <f aca="false">H2174*H2174</f>
        <v>1</v>
      </c>
      <c r="X2174" s="0" t="n">
        <f aca="false">SUMPRODUCT(I2174:W2174,_XtX!$B$96:$P$96)</f>
        <v>45.3120979532164</v>
      </c>
      <c r="Y2174" s="0" t="n">
        <f aca="false">SUMPRODUCT(MMULT(I2174:W2174,_XtX!$B$78:$P$92),I2174:W2174)</f>
        <v>0.564984237938597</v>
      </c>
      <c r="Z2174" s="0" t="n">
        <f aca="false">04_回帰ANOVA!$K$19*04_回帰ANOVA!$K$14*SQRT(1+Y2174)</f>
        <v>1.63062229734503</v>
      </c>
      <c r="AA2174" s="0" t="n">
        <f aca="false">X2174-Z2174</f>
        <v>43.6814756558713</v>
      </c>
      <c r="AB2174" s="0" t="n">
        <f aca="false">X2174+Z2174</f>
        <v>46.9427202505614</v>
      </c>
      <c r="AC2174" s="54" t="b">
        <f aca="false">AND(E2174&gt;=01_因子設定!$L$5-0.000000001,E2174&lt;=01_因子設定!$M$5+0.000000001,F2174&gt;=01_因子設定!$L$6-0.000000001,F2174&lt;=01_因子設定!$M$6+0.000000001,G2174&gt;=01_因子設定!$L$7-0.000000001,G2174&lt;=01_因子設定!$M$7+0.000000001,H2174&gt;=01_因子設定!$L$8-0.000000001,H2174&lt;=01_因子設定!$M$8+0.000000001,IF(01_因子設定!$B$20="Box-Behnken",E2174^2+F2174^2+G2174^2+H2174^2&lt;=2+0.000000001,TRUE()))</f>
        <v>1</v>
      </c>
      <c r="AD2174" s="55" t="n">
        <f aca="false">IF(AC2174,IF(01_因子設定!$B$13="最大化",AA2174-01_因子設定!$B$14,IF(01_因子設定!$B$13="最小化",01_因子設定!$B$15-AB2174,MIN(AA2174-01_因子設定!$B$14,01_因子設定!$B$15-AB2174))),-1E+030)</f>
        <v>-2.81852434412866</v>
      </c>
      <c r="AE2174" s="55" t="n">
        <f aca="false">IF(AC2174,IF(01_因子設定!$B$13="最大化",X2174,IF(01_因子設定!$B$13="最小化",-X2174,-ABS(X2174-01_因子設定!$B$16))),-1E+030)</f>
        <v>45.3120979532164</v>
      </c>
      <c r="AF2174" s="55" t="n">
        <f aca="false">AD2174+ROW()*0.000000001</f>
        <v>-2.81852217012866</v>
      </c>
      <c r="AG2174" s="55" t="n">
        <f aca="false">AE2174+ROW()*0.000000001</f>
        <v>45.3121001272164</v>
      </c>
    </row>
    <row r="2175" customFormat="false" ht="15" hidden="false" customHeight="false" outlineLevel="0" collapsed="false">
      <c r="A2175" s="0" t="n">
        <v>2</v>
      </c>
      <c r="B2175" s="0" t="n">
        <v>8</v>
      </c>
      <c r="C2175" s="0" t="n">
        <v>7</v>
      </c>
      <c r="D2175" s="0" t="n">
        <v>1</v>
      </c>
      <c r="E2175" s="0" t="n">
        <f aca="false">-1+A2175*0.25</f>
        <v>-0.5</v>
      </c>
      <c r="F2175" s="0" t="n">
        <f aca="false">-1+B2175*0.25</f>
        <v>1</v>
      </c>
      <c r="G2175" s="0" t="n">
        <f aca="false">-1+C2175*0.25</f>
        <v>0.75</v>
      </c>
      <c r="H2175" s="0" t="n">
        <f aca="false">-1+D2175*0.25</f>
        <v>-0.75</v>
      </c>
      <c r="I2175" s="0" t="n">
        <f aca="false">1</f>
        <v>1</v>
      </c>
      <c r="J2175" s="0" t="n">
        <f aca="false">E2175</f>
        <v>-0.5</v>
      </c>
      <c r="K2175" s="0" t="n">
        <f aca="false">F2175</f>
        <v>1</v>
      </c>
      <c r="L2175" s="0" t="n">
        <f aca="false">G2175</f>
        <v>0.75</v>
      </c>
      <c r="M2175" s="0" t="n">
        <f aca="false">H2175</f>
        <v>-0.75</v>
      </c>
      <c r="N2175" s="0" t="n">
        <f aca="false">E2175*F2175</f>
        <v>-0.5</v>
      </c>
      <c r="O2175" s="0" t="n">
        <f aca="false">E2175*G2175</f>
        <v>-0.375</v>
      </c>
      <c r="P2175" s="0" t="n">
        <f aca="false">E2175*H2175</f>
        <v>0.375</v>
      </c>
      <c r="Q2175" s="0" t="n">
        <f aca="false">F2175*G2175</f>
        <v>0.75</v>
      </c>
      <c r="R2175" s="0" t="n">
        <f aca="false">F2175*H2175</f>
        <v>-0.75</v>
      </c>
      <c r="S2175" s="0" t="n">
        <f aca="false">G2175*H2175</f>
        <v>-0.5625</v>
      </c>
      <c r="T2175" s="0" t="n">
        <f aca="false">E2175*E2175</f>
        <v>0.25</v>
      </c>
      <c r="U2175" s="0" t="n">
        <f aca="false">F2175*F2175</f>
        <v>1</v>
      </c>
      <c r="V2175" s="0" t="n">
        <f aca="false">G2175*G2175</f>
        <v>0.5625</v>
      </c>
      <c r="W2175" s="0" t="n">
        <f aca="false">H2175*H2175</f>
        <v>0.5625</v>
      </c>
      <c r="X2175" s="0" t="n">
        <f aca="false">SUMPRODUCT(I2175:W2175,_XtX!$B$96:$P$96)</f>
        <v>45.5659676535088</v>
      </c>
      <c r="Y2175" s="0" t="n">
        <f aca="false">SUMPRODUCT(MMULT(I2175:W2175,_XtX!$B$78:$P$92),I2175:W2175)</f>
        <v>0.431153771472953</v>
      </c>
      <c r="Z2175" s="0" t="n">
        <f aca="false">04_回帰ANOVA!$K$19*04_回帰ANOVA!$K$14*SQRT(1+Y2175)</f>
        <v>1.55934259562563</v>
      </c>
      <c r="AA2175" s="0" t="n">
        <f aca="false">X2175-Z2175</f>
        <v>44.0066250578831</v>
      </c>
      <c r="AB2175" s="0" t="n">
        <f aca="false">X2175+Z2175</f>
        <v>47.1253102491344</v>
      </c>
      <c r="AC2175" s="54" t="b">
        <f aca="false">AND(E2175&gt;=01_因子設定!$L$5-0.000000001,E2175&lt;=01_因子設定!$M$5+0.000000001,F2175&gt;=01_因子設定!$L$6-0.000000001,F2175&lt;=01_因子設定!$M$6+0.000000001,G2175&gt;=01_因子設定!$L$7-0.000000001,G2175&lt;=01_因子設定!$M$7+0.000000001,H2175&gt;=01_因子設定!$L$8-0.000000001,H2175&lt;=01_因子設定!$M$8+0.000000001,IF(01_因子設定!$B$20="Box-Behnken",E2175^2+F2175^2+G2175^2+H2175^2&lt;=2+0.000000001,TRUE()))</f>
        <v>1</v>
      </c>
      <c r="AD2175" s="55" t="n">
        <f aca="false">IF(AC2175,IF(01_因子設定!$B$13="最大化",AA2175-01_因子設定!$B$14,IF(01_因子設定!$B$13="最小化",01_因子設定!$B$15-AB2175,MIN(AA2175-01_因子設定!$B$14,01_因子設定!$B$15-AB2175))),-1E+030)</f>
        <v>-2.49337494211688</v>
      </c>
      <c r="AE2175" s="55" t="n">
        <f aca="false">IF(AC2175,IF(01_因子設定!$B$13="最大化",X2175,IF(01_因子設定!$B$13="最小化",-X2175,-ABS(X2175-01_因子設定!$B$16))),-1E+030)</f>
        <v>45.5659676535088</v>
      </c>
      <c r="AF2175" s="55" t="n">
        <f aca="false">AD2175+ROW()*0.000000001</f>
        <v>-2.49337276711688</v>
      </c>
      <c r="AG2175" s="55" t="n">
        <f aca="false">AE2175+ROW()*0.000000001</f>
        <v>45.5659698285088</v>
      </c>
    </row>
    <row r="2176" customFormat="false" ht="15" hidden="false" customHeight="false" outlineLevel="0" collapsed="false">
      <c r="A2176" s="0" t="n">
        <v>2</v>
      </c>
      <c r="B2176" s="0" t="n">
        <v>8</v>
      </c>
      <c r="C2176" s="0" t="n">
        <v>7</v>
      </c>
      <c r="D2176" s="0" t="n">
        <v>2</v>
      </c>
      <c r="E2176" s="0" t="n">
        <f aca="false">-1+A2176*0.25</f>
        <v>-0.5</v>
      </c>
      <c r="F2176" s="0" t="n">
        <f aca="false">-1+B2176*0.25</f>
        <v>1</v>
      </c>
      <c r="G2176" s="0" t="n">
        <f aca="false">-1+C2176*0.25</f>
        <v>0.75</v>
      </c>
      <c r="H2176" s="0" t="n">
        <f aca="false">-1+D2176*0.25</f>
        <v>-0.5</v>
      </c>
      <c r="I2176" s="0" t="n">
        <f aca="false">1</f>
        <v>1</v>
      </c>
      <c r="J2176" s="0" t="n">
        <f aca="false">E2176</f>
        <v>-0.5</v>
      </c>
      <c r="K2176" s="0" t="n">
        <f aca="false">F2176</f>
        <v>1</v>
      </c>
      <c r="L2176" s="0" t="n">
        <f aca="false">G2176</f>
        <v>0.75</v>
      </c>
      <c r="M2176" s="0" t="n">
        <f aca="false">H2176</f>
        <v>-0.5</v>
      </c>
      <c r="N2176" s="0" t="n">
        <f aca="false">E2176*F2176</f>
        <v>-0.5</v>
      </c>
      <c r="O2176" s="0" t="n">
        <f aca="false">E2176*G2176</f>
        <v>-0.375</v>
      </c>
      <c r="P2176" s="0" t="n">
        <f aca="false">E2176*H2176</f>
        <v>0.25</v>
      </c>
      <c r="Q2176" s="0" t="n">
        <f aca="false">F2176*G2176</f>
        <v>0.75</v>
      </c>
      <c r="R2176" s="0" t="n">
        <f aca="false">F2176*H2176</f>
        <v>-0.5</v>
      </c>
      <c r="S2176" s="0" t="n">
        <f aca="false">G2176*H2176</f>
        <v>-0.375</v>
      </c>
      <c r="T2176" s="0" t="n">
        <f aca="false">E2176*E2176</f>
        <v>0.25</v>
      </c>
      <c r="U2176" s="0" t="n">
        <f aca="false">F2176*F2176</f>
        <v>1</v>
      </c>
      <c r="V2176" s="0" t="n">
        <f aca="false">G2176*G2176</f>
        <v>0.5625</v>
      </c>
      <c r="W2176" s="0" t="n">
        <f aca="false">H2176*H2176</f>
        <v>0.25</v>
      </c>
      <c r="X2176" s="0" t="n">
        <f aca="false">SUMPRODUCT(I2176:W2176,_XtX!$B$96:$P$96)</f>
        <v>45.7720303362573</v>
      </c>
      <c r="Y2176" s="0" t="n">
        <f aca="false">SUMPRODUCT(MMULT(I2176:W2176,_XtX!$B$78:$P$92),I2176:W2176)</f>
        <v>0.42602110745614</v>
      </c>
      <c r="Z2176" s="0" t="n">
        <f aca="false">04_回帰ANOVA!$K$19*04_回帰ANOVA!$K$14*SQRT(1+Y2176)</f>
        <v>1.55654388501114</v>
      </c>
      <c r="AA2176" s="0" t="n">
        <f aca="false">X2176-Z2176</f>
        <v>44.2154864512461</v>
      </c>
      <c r="AB2176" s="0" t="n">
        <f aca="false">X2176+Z2176</f>
        <v>47.3285742212684</v>
      </c>
      <c r="AC2176" s="54" t="b">
        <f aca="false">AND(E2176&gt;=01_因子設定!$L$5-0.000000001,E2176&lt;=01_因子設定!$M$5+0.000000001,F2176&gt;=01_因子設定!$L$6-0.000000001,F2176&lt;=01_因子設定!$M$6+0.000000001,G2176&gt;=01_因子設定!$L$7-0.000000001,G2176&lt;=01_因子設定!$M$7+0.000000001,H2176&gt;=01_因子設定!$L$8-0.000000001,H2176&lt;=01_因子設定!$M$8+0.000000001,IF(01_因子設定!$B$20="Box-Behnken",E2176^2+F2176^2+G2176^2+H2176^2&lt;=2+0.000000001,TRUE()))</f>
        <v>1</v>
      </c>
      <c r="AD2176" s="55" t="n">
        <f aca="false">IF(AC2176,IF(01_因子設定!$B$13="最大化",AA2176-01_因子設定!$B$14,IF(01_因子設定!$B$13="最小化",01_因子設定!$B$15-AB2176,MIN(AA2176-01_因子設定!$B$14,01_因子設定!$B$15-AB2176))),-1E+030)</f>
        <v>-2.28451354875386</v>
      </c>
      <c r="AE2176" s="55" t="n">
        <f aca="false">IF(AC2176,IF(01_因子設定!$B$13="最大化",X2176,IF(01_因子設定!$B$13="最小化",-X2176,-ABS(X2176-01_因子設定!$B$16))),-1E+030)</f>
        <v>45.7720303362573</v>
      </c>
      <c r="AF2176" s="55" t="n">
        <f aca="false">AD2176+ROW()*0.000000001</f>
        <v>-2.28451137275386</v>
      </c>
      <c r="AG2176" s="55" t="n">
        <f aca="false">AE2176+ROW()*0.000000001</f>
        <v>45.7720325122573</v>
      </c>
    </row>
    <row r="2177" customFormat="false" ht="15" hidden="false" customHeight="false" outlineLevel="0" collapsed="false">
      <c r="A2177" s="0" t="n">
        <v>2</v>
      </c>
      <c r="B2177" s="0" t="n">
        <v>8</v>
      </c>
      <c r="C2177" s="0" t="n">
        <v>7</v>
      </c>
      <c r="D2177" s="0" t="n">
        <v>3</v>
      </c>
      <c r="E2177" s="0" t="n">
        <f aca="false">-1+A2177*0.25</f>
        <v>-0.5</v>
      </c>
      <c r="F2177" s="0" t="n">
        <f aca="false">-1+B2177*0.25</f>
        <v>1</v>
      </c>
      <c r="G2177" s="0" t="n">
        <f aca="false">-1+C2177*0.25</f>
        <v>0.75</v>
      </c>
      <c r="H2177" s="0" t="n">
        <f aca="false">-1+D2177*0.25</f>
        <v>-0.25</v>
      </c>
      <c r="I2177" s="0" t="n">
        <f aca="false">1</f>
        <v>1</v>
      </c>
      <c r="J2177" s="0" t="n">
        <f aca="false">E2177</f>
        <v>-0.5</v>
      </c>
      <c r="K2177" s="0" t="n">
        <f aca="false">F2177</f>
        <v>1</v>
      </c>
      <c r="L2177" s="0" t="n">
        <f aca="false">G2177</f>
        <v>0.75</v>
      </c>
      <c r="M2177" s="0" t="n">
        <f aca="false">H2177</f>
        <v>-0.25</v>
      </c>
      <c r="N2177" s="0" t="n">
        <f aca="false">E2177*F2177</f>
        <v>-0.5</v>
      </c>
      <c r="O2177" s="0" t="n">
        <f aca="false">E2177*G2177</f>
        <v>-0.375</v>
      </c>
      <c r="P2177" s="0" t="n">
        <f aca="false">E2177*H2177</f>
        <v>0.125</v>
      </c>
      <c r="Q2177" s="0" t="n">
        <f aca="false">F2177*G2177</f>
        <v>0.75</v>
      </c>
      <c r="R2177" s="0" t="n">
        <f aca="false">F2177*H2177</f>
        <v>-0.25</v>
      </c>
      <c r="S2177" s="0" t="n">
        <f aca="false">G2177*H2177</f>
        <v>-0.1875</v>
      </c>
      <c r="T2177" s="0" t="n">
        <f aca="false">E2177*E2177</f>
        <v>0.25</v>
      </c>
      <c r="U2177" s="0" t="n">
        <f aca="false">F2177*F2177</f>
        <v>1</v>
      </c>
      <c r="V2177" s="0" t="n">
        <f aca="false">G2177*G2177</f>
        <v>0.5625</v>
      </c>
      <c r="W2177" s="0" t="n">
        <f aca="false">H2177*H2177</f>
        <v>0.0625</v>
      </c>
      <c r="X2177" s="0" t="n">
        <f aca="false">SUMPRODUCT(I2177:W2177,_XtX!$B$96:$P$96)</f>
        <v>45.930286001462</v>
      </c>
      <c r="Y2177" s="0" t="n">
        <f aca="false">SUMPRODUCT(MMULT(I2177:W2177,_XtX!$B$78:$P$92),I2177:W2177)</f>
        <v>0.459125719572369</v>
      </c>
      <c r="Z2177" s="0" t="n">
        <f aca="false">04_回帰ANOVA!$K$19*04_回帰ANOVA!$K$14*SQRT(1+Y2177)</f>
        <v>1.57450755575573</v>
      </c>
      <c r="AA2177" s="0" t="n">
        <f aca="false">X2177-Z2177</f>
        <v>44.3557784457062</v>
      </c>
      <c r="AB2177" s="0" t="n">
        <f aca="false">X2177+Z2177</f>
        <v>47.5047935572177</v>
      </c>
      <c r="AC2177" s="54" t="b">
        <f aca="false">AND(E2177&gt;=01_因子設定!$L$5-0.000000001,E2177&lt;=01_因子設定!$M$5+0.000000001,F2177&gt;=01_因子設定!$L$6-0.000000001,F2177&lt;=01_因子設定!$M$6+0.000000001,G2177&gt;=01_因子設定!$L$7-0.000000001,G2177&lt;=01_因子設定!$M$7+0.000000001,H2177&gt;=01_因子設定!$L$8-0.000000001,H2177&lt;=01_因子設定!$M$8+0.000000001,IF(01_因子設定!$B$20="Box-Behnken",E2177^2+F2177^2+G2177^2+H2177^2&lt;=2+0.000000001,TRUE()))</f>
        <v>1</v>
      </c>
      <c r="AD2177" s="55" t="n">
        <f aca="false">IF(AC2177,IF(01_因子設定!$B$13="最大化",AA2177-01_因子設定!$B$14,IF(01_因子設定!$B$13="最小化",01_因子設定!$B$15-AB2177,MIN(AA2177-01_因子設定!$B$14,01_因子設定!$B$15-AB2177))),-1E+030)</f>
        <v>-2.14422155429378</v>
      </c>
      <c r="AE2177" s="55" t="n">
        <f aca="false">IF(AC2177,IF(01_因子設定!$B$13="最大化",X2177,IF(01_因子設定!$B$13="最小化",-X2177,-ABS(X2177-01_因子設定!$B$16))),-1E+030)</f>
        <v>45.930286001462</v>
      </c>
      <c r="AF2177" s="55" t="n">
        <f aca="false">AD2177+ROW()*0.000000001</f>
        <v>-2.14421937729378</v>
      </c>
      <c r="AG2177" s="55" t="n">
        <f aca="false">AE2177+ROW()*0.000000001</f>
        <v>45.930288178462</v>
      </c>
    </row>
    <row r="2178" customFormat="false" ht="15" hidden="false" customHeight="false" outlineLevel="0" collapsed="false">
      <c r="A2178" s="0" t="n">
        <v>2</v>
      </c>
      <c r="B2178" s="0" t="n">
        <v>8</v>
      </c>
      <c r="C2178" s="0" t="n">
        <v>7</v>
      </c>
      <c r="D2178" s="0" t="n">
        <v>4</v>
      </c>
      <c r="E2178" s="0" t="n">
        <f aca="false">-1+A2178*0.25</f>
        <v>-0.5</v>
      </c>
      <c r="F2178" s="0" t="n">
        <f aca="false">-1+B2178*0.25</f>
        <v>1</v>
      </c>
      <c r="G2178" s="0" t="n">
        <f aca="false">-1+C2178*0.25</f>
        <v>0.75</v>
      </c>
      <c r="H2178" s="0" t="n">
        <f aca="false">-1+D2178*0.25</f>
        <v>0</v>
      </c>
      <c r="I2178" s="0" t="n">
        <f aca="false">1</f>
        <v>1</v>
      </c>
      <c r="J2178" s="0" t="n">
        <f aca="false">E2178</f>
        <v>-0.5</v>
      </c>
      <c r="K2178" s="0" t="n">
        <f aca="false">F2178</f>
        <v>1</v>
      </c>
      <c r="L2178" s="0" t="n">
        <f aca="false">G2178</f>
        <v>0.75</v>
      </c>
      <c r="M2178" s="0" t="n">
        <f aca="false">H2178</f>
        <v>0</v>
      </c>
      <c r="N2178" s="0" t="n">
        <f aca="false">E2178*F2178</f>
        <v>-0.5</v>
      </c>
      <c r="O2178" s="0" t="n">
        <f aca="false">E2178*G2178</f>
        <v>-0.375</v>
      </c>
      <c r="P2178" s="0" t="n">
        <f aca="false">E2178*H2178</f>
        <v>-0</v>
      </c>
      <c r="Q2178" s="0" t="n">
        <f aca="false">F2178*G2178</f>
        <v>0.75</v>
      </c>
      <c r="R2178" s="0" t="n">
        <f aca="false">F2178*H2178</f>
        <v>0</v>
      </c>
      <c r="S2178" s="0" t="n">
        <f aca="false">G2178*H2178</f>
        <v>0</v>
      </c>
      <c r="T2178" s="0" t="n">
        <f aca="false">E2178*E2178</f>
        <v>0.25</v>
      </c>
      <c r="U2178" s="0" t="n">
        <f aca="false">F2178*F2178</f>
        <v>1</v>
      </c>
      <c r="V2178" s="0" t="n">
        <f aca="false">G2178*G2178</f>
        <v>0.5625</v>
      </c>
      <c r="W2178" s="0" t="n">
        <f aca="false">H2178*H2178</f>
        <v>0</v>
      </c>
      <c r="X2178" s="0" t="n">
        <f aca="false">SUMPRODUCT(I2178:W2178,_XtX!$B$96:$P$96)</f>
        <v>46.0407346491228</v>
      </c>
      <c r="Y2178" s="0" t="n">
        <f aca="false">SUMPRODUCT(MMULT(I2178:W2178,_XtX!$B$78:$P$92),I2178:W2178)</f>
        <v>0.476191292032164</v>
      </c>
      <c r="Z2178" s="0" t="n">
        <f aca="false">04_回帰ANOVA!$K$19*04_回帰ANOVA!$K$14*SQRT(1+Y2178)</f>
        <v>1.58368831471718</v>
      </c>
      <c r="AA2178" s="0" t="n">
        <f aca="false">X2178-Z2178</f>
        <v>44.4570463344056</v>
      </c>
      <c r="AB2178" s="0" t="n">
        <f aca="false">X2178+Z2178</f>
        <v>47.62442296384</v>
      </c>
      <c r="AC2178" s="54" t="b">
        <f aca="false">AND(E2178&gt;=01_因子設定!$L$5-0.000000001,E2178&lt;=01_因子設定!$M$5+0.000000001,F2178&gt;=01_因子設定!$L$6-0.000000001,F2178&lt;=01_因子設定!$M$6+0.000000001,G2178&gt;=01_因子設定!$L$7-0.000000001,G2178&lt;=01_因子設定!$M$7+0.000000001,H2178&gt;=01_因子設定!$L$8-0.000000001,H2178&lt;=01_因子設定!$M$8+0.000000001,IF(01_因子設定!$B$20="Box-Behnken",E2178^2+F2178^2+G2178^2+H2178^2&lt;=2+0.000000001,TRUE()))</f>
        <v>1</v>
      </c>
      <c r="AD2178" s="55" t="n">
        <f aca="false">IF(AC2178,IF(01_因子設定!$B$13="最大化",AA2178-01_因子設定!$B$14,IF(01_因子設定!$B$13="最小化",01_因子設定!$B$15-AB2178,MIN(AA2178-01_因子設定!$B$14,01_因子設定!$B$15-AB2178))),-1E+030)</f>
        <v>-2.04295366559441</v>
      </c>
      <c r="AE2178" s="55" t="n">
        <f aca="false">IF(AC2178,IF(01_因子設定!$B$13="最大化",X2178,IF(01_因子設定!$B$13="最小化",-X2178,-ABS(X2178-01_因子設定!$B$16))),-1E+030)</f>
        <v>46.0407346491228</v>
      </c>
      <c r="AF2178" s="55" t="n">
        <f aca="false">AD2178+ROW()*0.000000001</f>
        <v>-2.04295148759441</v>
      </c>
      <c r="AG2178" s="55" t="n">
        <f aca="false">AE2178+ROW()*0.000000001</f>
        <v>46.0407368271228</v>
      </c>
    </row>
    <row r="2179" customFormat="false" ht="15" hidden="false" customHeight="false" outlineLevel="0" collapsed="false">
      <c r="A2179" s="0" t="n">
        <v>2</v>
      </c>
      <c r="B2179" s="0" t="n">
        <v>8</v>
      </c>
      <c r="C2179" s="0" t="n">
        <v>7</v>
      </c>
      <c r="D2179" s="0" t="n">
        <v>5</v>
      </c>
      <c r="E2179" s="0" t="n">
        <f aca="false">-1+A2179*0.25</f>
        <v>-0.5</v>
      </c>
      <c r="F2179" s="0" t="n">
        <f aca="false">-1+B2179*0.25</f>
        <v>1</v>
      </c>
      <c r="G2179" s="0" t="n">
        <f aca="false">-1+C2179*0.25</f>
        <v>0.75</v>
      </c>
      <c r="H2179" s="0" t="n">
        <f aca="false">-1+D2179*0.25</f>
        <v>0.25</v>
      </c>
      <c r="I2179" s="0" t="n">
        <f aca="false">1</f>
        <v>1</v>
      </c>
      <c r="J2179" s="0" t="n">
        <f aca="false">E2179</f>
        <v>-0.5</v>
      </c>
      <c r="K2179" s="0" t="n">
        <f aca="false">F2179</f>
        <v>1</v>
      </c>
      <c r="L2179" s="0" t="n">
        <f aca="false">G2179</f>
        <v>0.75</v>
      </c>
      <c r="M2179" s="0" t="n">
        <f aca="false">H2179</f>
        <v>0.25</v>
      </c>
      <c r="N2179" s="0" t="n">
        <f aca="false">E2179*F2179</f>
        <v>-0.5</v>
      </c>
      <c r="O2179" s="0" t="n">
        <f aca="false">E2179*G2179</f>
        <v>-0.375</v>
      </c>
      <c r="P2179" s="0" t="n">
        <f aca="false">E2179*H2179</f>
        <v>-0.125</v>
      </c>
      <c r="Q2179" s="0" t="n">
        <f aca="false">F2179*G2179</f>
        <v>0.75</v>
      </c>
      <c r="R2179" s="0" t="n">
        <f aca="false">F2179*H2179</f>
        <v>0.25</v>
      </c>
      <c r="S2179" s="0" t="n">
        <f aca="false">G2179*H2179</f>
        <v>0.1875</v>
      </c>
      <c r="T2179" s="0" t="n">
        <f aca="false">E2179*E2179</f>
        <v>0.25</v>
      </c>
      <c r="U2179" s="0" t="n">
        <f aca="false">F2179*F2179</f>
        <v>1</v>
      </c>
      <c r="V2179" s="0" t="n">
        <f aca="false">G2179*G2179</f>
        <v>0.5625</v>
      </c>
      <c r="W2179" s="0" t="n">
        <f aca="false">H2179*H2179</f>
        <v>0.0625</v>
      </c>
      <c r="X2179" s="0" t="n">
        <f aca="false">SUMPRODUCT(I2179:W2179,_XtX!$B$96:$P$96)</f>
        <v>46.1033762792397</v>
      </c>
      <c r="Y2179" s="0" t="n">
        <f aca="false">SUMPRODUCT(MMULT(I2179:W2179,_XtX!$B$78:$P$92),I2179:W2179)</f>
        <v>0.459125719572369</v>
      </c>
      <c r="Z2179" s="0" t="n">
        <f aca="false">04_回帰ANOVA!$K$19*04_回帰ANOVA!$K$14*SQRT(1+Y2179)</f>
        <v>1.57450755575573</v>
      </c>
      <c r="AA2179" s="0" t="n">
        <f aca="false">X2179-Z2179</f>
        <v>44.528868723484</v>
      </c>
      <c r="AB2179" s="0" t="n">
        <f aca="false">X2179+Z2179</f>
        <v>47.6778838349955</v>
      </c>
      <c r="AC2179" s="54" t="b">
        <f aca="false">AND(E2179&gt;=01_因子設定!$L$5-0.000000001,E2179&lt;=01_因子設定!$M$5+0.000000001,F2179&gt;=01_因子設定!$L$6-0.000000001,F2179&lt;=01_因子設定!$M$6+0.000000001,G2179&gt;=01_因子設定!$L$7-0.000000001,G2179&lt;=01_因子設定!$M$7+0.000000001,H2179&gt;=01_因子設定!$L$8-0.000000001,H2179&lt;=01_因子設定!$M$8+0.000000001,IF(01_因子設定!$B$20="Box-Behnken",E2179^2+F2179^2+G2179^2+H2179^2&lt;=2+0.000000001,TRUE()))</f>
        <v>1</v>
      </c>
      <c r="AD2179" s="55" t="n">
        <f aca="false">IF(AC2179,IF(01_因子設定!$B$13="最大化",AA2179-01_因子設定!$B$14,IF(01_因子設定!$B$13="最小化",01_因子設定!$B$15-AB2179,MIN(AA2179-01_因子設定!$B$14,01_因子設定!$B$15-AB2179))),-1E+030)</f>
        <v>-1.971131276516</v>
      </c>
      <c r="AE2179" s="55" t="n">
        <f aca="false">IF(AC2179,IF(01_因子設定!$B$13="最大化",X2179,IF(01_因子設定!$B$13="最小化",-X2179,-ABS(X2179-01_因子設定!$B$16))),-1E+030)</f>
        <v>46.1033762792397</v>
      </c>
      <c r="AF2179" s="55" t="n">
        <f aca="false">AD2179+ROW()*0.000000001</f>
        <v>-1.971129097516</v>
      </c>
      <c r="AG2179" s="55" t="n">
        <f aca="false">AE2179+ROW()*0.000000001</f>
        <v>46.1033784582397</v>
      </c>
    </row>
    <row r="2180" customFormat="false" ht="15" hidden="false" customHeight="false" outlineLevel="0" collapsed="false">
      <c r="A2180" s="0" t="n">
        <v>2</v>
      </c>
      <c r="B2180" s="0" t="n">
        <v>8</v>
      </c>
      <c r="C2180" s="0" t="n">
        <v>7</v>
      </c>
      <c r="D2180" s="0" t="n">
        <v>6</v>
      </c>
      <c r="E2180" s="0" t="n">
        <f aca="false">-1+A2180*0.25</f>
        <v>-0.5</v>
      </c>
      <c r="F2180" s="0" t="n">
        <f aca="false">-1+B2180*0.25</f>
        <v>1</v>
      </c>
      <c r="G2180" s="0" t="n">
        <f aca="false">-1+C2180*0.25</f>
        <v>0.75</v>
      </c>
      <c r="H2180" s="0" t="n">
        <f aca="false">-1+D2180*0.25</f>
        <v>0.5</v>
      </c>
      <c r="I2180" s="0" t="n">
        <f aca="false">1</f>
        <v>1</v>
      </c>
      <c r="J2180" s="0" t="n">
        <f aca="false">E2180</f>
        <v>-0.5</v>
      </c>
      <c r="K2180" s="0" t="n">
        <f aca="false">F2180</f>
        <v>1</v>
      </c>
      <c r="L2180" s="0" t="n">
        <f aca="false">G2180</f>
        <v>0.75</v>
      </c>
      <c r="M2180" s="0" t="n">
        <f aca="false">H2180</f>
        <v>0.5</v>
      </c>
      <c r="N2180" s="0" t="n">
        <f aca="false">E2180*F2180</f>
        <v>-0.5</v>
      </c>
      <c r="O2180" s="0" t="n">
        <f aca="false">E2180*G2180</f>
        <v>-0.375</v>
      </c>
      <c r="P2180" s="0" t="n">
        <f aca="false">E2180*H2180</f>
        <v>-0.25</v>
      </c>
      <c r="Q2180" s="0" t="n">
        <f aca="false">F2180*G2180</f>
        <v>0.75</v>
      </c>
      <c r="R2180" s="0" t="n">
        <f aca="false">F2180*H2180</f>
        <v>0.5</v>
      </c>
      <c r="S2180" s="0" t="n">
        <f aca="false">G2180*H2180</f>
        <v>0.375</v>
      </c>
      <c r="T2180" s="0" t="n">
        <f aca="false">E2180*E2180</f>
        <v>0.25</v>
      </c>
      <c r="U2180" s="0" t="n">
        <f aca="false">F2180*F2180</f>
        <v>1</v>
      </c>
      <c r="V2180" s="0" t="n">
        <f aca="false">G2180*G2180</f>
        <v>0.5625</v>
      </c>
      <c r="W2180" s="0" t="n">
        <f aca="false">H2180*H2180</f>
        <v>0.25</v>
      </c>
      <c r="X2180" s="0" t="n">
        <f aca="false">SUMPRODUCT(I2180:W2180,_XtX!$B$96:$P$96)</f>
        <v>46.1182108918128</v>
      </c>
      <c r="Y2180" s="0" t="n">
        <f aca="false">SUMPRODUCT(MMULT(I2180:W2180,_XtX!$B$78:$P$92),I2180:W2180)</f>
        <v>0.42602110745614</v>
      </c>
      <c r="Z2180" s="0" t="n">
        <f aca="false">04_回帰ANOVA!$K$19*04_回帰ANOVA!$K$14*SQRT(1+Y2180)</f>
        <v>1.55654388501114</v>
      </c>
      <c r="AA2180" s="0" t="n">
        <f aca="false">X2180-Z2180</f>
        <v>44.5616670068017</v>
      </c>
      <c r="AB2180" s="0" t="n">
        <f aca="false">X2180+Z2180</f>
        <v>47.674754776824</v>
      </c>
      <c r="AC2180" s="54" t="b">
        <f aca="false">AND(E2180&gt;=01_因子設定!$L$5-0.000000001,E2180&lt;=01_因子設定!$M$5+0.000000001,F2180&gt;=01_因子設定!$L$6-0.000000001,F2180&lt;=01_因子設定!$M$6+0.000000001,G2180&gt;=01_因子設定!$L$7-0.000000001,G2180&lt;=01_因子設定!$M$7+0.000000001,H2180&gt;=01_因子設定!$L$8-0.000000001,H2180&lt;=01_因子設定!$M$8+0.000000001,IF(01_因子設定!$B$20="Box-Behnken",E2180^2+F2180^2+G2180^2+H2180^2&lt;=2+0.000000001,TRUE()))</f>
        <v>1</v>
      </c>
      <c r="AD2180" s="55" t="n">
        <f aca="false">IF(AC2180,IF(01_因子設定!$B$13="最大化",AA2180-01_因子設定!$B$14,IF(01_因子設定!$B$13="最小化",01_因子設定!$B$15-AB2180,MIN(AA2180-01_因子設定!$B$14,01_因子設定!$B$15-AB2180))),-1E+030)</f>
        <v>-1.9383329931983</v>
      </c>
      <c r="AE2180" s="55" t="n">
        <f aca="false">IF(AC2180,IF(01_因子設定!$B$13="最大化",X2180,IF(01_因子設定!$B$13="最小化",-X2180,-ABS(X2180-01_因子設定!$B$16))),-1E+030)</f>
        <v>46.1182108918128</v>
      </c>
      <c r="AF2180" s="55" t="n">
        <f aca="false">AD2180+ROW()*0.000000001</f>
        <v>-1.9383308131983</v>
      </c>
      <c r="AG2180" s="55" t="n">
        <f aca="false">AE2180+ROW()*0.000000001</f>
        <v>46.1182130718128</v>
      </c>
    </row>
    <row r="2181" customFormat="false" ht="15" hidden="false" customHeight="false" outlineLevel="0" collapsed="false">
      <c r="A2181" s="0" t="n">
        <v>2</v>
      </c>
      <c r="B2181" s="0" t="n">
        <v>8</v>
      </c>
      <c r="C2181" s="0" t="n">
        <v>7</v>
      </c>
      <c r="D2181" s="0" t="n">
        <v>7</v>
      </c>
      <c r="E2181" s="0" t="n">
        <f aca="false">-1+A2181*0.25</f>
        <v>-0.5</v>
      </c>
      <c r="F2181" s="0" t="n">
        <f aca="false">-1+B2181*0.25</f>
        <v>1</v>
      </c>
      <c r="G2181" s="0" t="n">
        <f aca="false">-1+C2181*0.25</f>
        <v>0.75</v>
      </c>
      <c r="H2181" s="0" t="n">
        <f aca="false">-1+D2181*0.25</f>
        <v>0.75</v>
      </c>
      <c r="I2181" s="0" t="n">
        <f aca="false">1</f>
        <v>1</v>
      </c>
      <c r="J2181" s="0" t="n">
        <f aca="false">E2181</f>
        <v>-0.5</v>
      </c>
      <c r="K2181" s="0" t="n">
        <f aca="false">F2181</f>
        <v>1</v>
      </c>
      <c r="L2181" s="0" t="n">
        <f aca="false">G2181</f>
        <v>0.75</v>
      </c>
      <c r="M2181" s="0" t="n">
        <f aca="false">H2181</f>
        <v>0.75</v>
      </c>
      <c r="N2181" s="0" t="n">
        <f aca="false">E2181*F2181</f>
        <v>-0.5</v>
      </c>
      <c r="O2181" s="0" t="n">
        <f aca="false">E2181*G2181</f>
        <v>-0.375</v>
      </c>
      <c r="P2181" s="0" t="n">
        <f aca="false">E2181*H2181</f>
        <v>-0.375</v>
      </c>
      <c r="Q2181" s="0" t="n">
        <f aca="false">F2181*G2181</f>
        <v>0.75</v>
      </c>
      <c r="R2181" s="0" t="n">
        <f aca="false">F2181*H2181</f>
        <v>0.75</v>
      </c>
      <c r="S2181" s="0" t="n">
        <f aca="false">G2181*H2181</f>
        <v>0.5625</v>
      </c>
      <c r="T2181" s="0" t="n">
        <f aca="false">E2181*E2181</f>
        <v>0.25</v>
      </c>
      <c r="U2181" s="0" t="n">
        <f aca="false">F2181*F2181</f>
        <v>1</v>
      </c>
      <c r="V2181" s="0" t="n">
        <f aca="false">G2181*G2181</f>
        <v>0.5625</v>
      </c>
      <c r="W2181" s="0" t="n">
        <f aca="false">H2181*H2181</f>
        <v>0.5625</v>
      </c>
      <c r="X2181" s="0" t="n">
        <f aca="false">SUMPRODUCT(I2181:W2181,_XtX!$B$96:$P$96)</f>
        <v>46.0852384868421</v>
      </c>
      <c r="Y2181" s="0" t="n">
        <f aca="false">SUMPRODUCT(MMULT(I2181:W2181,_XtX!$B$78:$P$92),I2181:W2181)</f>
        <v>0.431153771472953</v>
      </c>
      <c r="Z2181" s="0" t="n">
        <f aca="false">04_回帰ANOVA!$K$19*04_回帰ANOVA!$K$14*SQRT(1+Y2181)</f>
        <v>1.55934259562563</v>
      </c>
      <c r="AA2181" s="0" t="n">
        <f aca="false">X2181-Z2181</f>
        <v>44.5258958912165</v>
      </c>
      <c r="AB2181" s="0" t="n">
        <f aca="false">X2181+Z2181</f>
        <v>47.6445810824677</v>
      </c>
      <c r="AC2181" s="54" t="b">
        <f aca="false">AND(E2181&gt;=01_因子設定!$L$5-0.000000001,E2181&lt;=01_因子設定!$M$5+0.000000001,F2181&gt;=01_因子設定!$L$6-0.000000001,F2181&lt;=01_因子設定!$M$6+0.000000001,G2181&gt;=01_因子設定!$L$7-0.000000001,G2181&lt;=01_因子設定!$M$7+0.000000001,H2181&gt;=01_因子設定!$L$8-0.000000001,H2181&lt;=01_因子設定!$M$8+0.000000001,IF(01_因子設定!$B$20="Box-Behnken",E2181^2+F2181^2+G2181^2+H2181^2&lt;=2+0.000000001,TRUE()))</f>
        <v>1</v>
      </c>
      <c r="AD2181" s="55" t="n">
        <f aca="false">IF(AC2181,IF(01_因子設定!$B$13="最大化",AA2181-01_因子設定!$B$14,IF(01_因子設定!$B$13="最小化",01_因子設定!$B$15-AB2181,MIN(AA2181-01_因子設定!$B$14,01_因子設定!$B$15-AB2181))),-1E+030)</f>
        <v>-1.97410410878354</v>
      </c>
      <c r="AE2181" s="55" t="n">
        <f aca="false">IF(AC2181,IF(01_因子設定!$B$13="最大化",X2181,IF(01_因子設定!$B$13="最小化",-X2181,-ABS(X2181-01_因子設定!$B$16))),-1E+030)</f>
        <v>46.0852384868421</v>
      </c>
      <c r="AF2181" s="55" t="n">
        <f aca="false">AD2181+ROW()*0.000000001</f>
        <v>-1.97410192778354</v>
      </c>
      <c r="AG2181" s="55" t="n">
        <f aca="false">AE2181+ROW()*0.000000001</f>
        <v>46.0852406678421</v>
      </c>
    </row>
    <row r="2182" customFormat="false" ht="15" hidden="false" customHeight="false" outlineLevel="0" collapsed="false">
      <c r="A2182" s="0" t="n">
        <v>2</v>
      </c>
      <c r="B2182" s="0" t="n">
        <v>8</v>
      </c>
      <c r="C2182" s="0" t="n">
        <v>7</v>
      </c>
      <c r="D2182" s="0" t="n">
        <v>8</v>
      </c>
      <c r="E2182" s="0" t="n">
        <f aca="false">-1+A2182*0.25</f>
        <v>-0.5</v>
      </c>
      <c r="F2182" s="0" t="n">
        <f aca="false">-1+B2182*0.25</f>
        <v>1</v>
      </c>
      <c r="G2182" s="0" t="n">
        <f aca="false">-1+C2182*0.25</f>
        <v>0.75</v>
      </c>
      <c r="H2182" s="0" t="n">
        <f aca="false">-1+D2182*0.25</f>
        <v>1</v>
      </c>
      <c r="I2182" s="0" t="n">
        <f aca="false">1</f>
        <v>1</v>
      </c>
      <c r="J2182" s="0" t="n">
        <f aca="false">E2182</f>
        <v>-0.5</v>
      </c>
      <c r="K2182" s="0" t="n">
        <f aca="false">F2182</f>
        <v>1</v>
      </c>
      <c r="L2182" s="0" t="n">
        <f aca="false">G2182</f>
        <v>0.75</v>
      </c>
      <c r="M2182" s="0" t="n">
        <f aca="false">H2182</f>
        <v>1</v>
      </c>
      <c r="N2182" s="0" t="n">
        <f aca="false">E2182*F2182</f>
        <v>-0.5</v>
      </c>
      <c r="O2182" s="0" t="n">
        <f aca="false">E2182*G2182</f>
        <v>-0.375</v>
      </c>
      <c r="P2182" s="0" t="n">
        <f aca="false">E2182*H2182</f>
        <v>-0.5</v>
      </c>
      <c r="Q2182" s="0" t="n">
        <f aca="false">F2182*G2182</f>
        <v>0.75</v>
      </c>
      <c r="R2182" s="0" t="n">
        <f aca="false">F2182*H2182</f>
        <v>1</v>
      </c>
      <c r="S2182" s="0" t="n">
        <f aca="false">G2182*H2182</f>
        <v>0.75</v>
      </c>
      <c r="T2182" s="0" t="n">
        <f aca="false">E2182*E2182</f>
        <v>0.25</v>
      </c>
      <c r="U2182" s="0" t="n">
        <f aca="false">F2182*F2182</f>
        <v>1</v>
      </c>
      <c r="V2182" s="0" t="n">
        <f aca="false">G2182*G2182</f>
        <v>0.5625</v>
      </c>
      <c r="W2182" s="0" t="n">
        <f aca="false">H2182*H2182</f>
        <v>1</v>
      </c>
      <c r="X2182" s="0" t="n">
        <f aca="false">SUMPRODUCT(I2182:W2182,_XtX!$B$96:$P$96)</f>
        <v>46.0044590643275</v>
      </c>
      <c r="Y2182" s="0" t="n">
        <f aca="false">SUMPRODUCT(MMULT(I2182:W2182,_XtX!$B$78:$P$92),I2182:W2182)</f>
        <v>0.564984237938597</v>
      </c>
      <c r="Z2182" s="0" t="n">
        <f aca="false">04_回帰ANOVA!$K$19*04_回帰ANOVA!$K$14*SQRT(1+Y2182)</f>
        <v>1.63062229734503</v>
      </c>
      <c r="AA2182" s="0" t="n">
        <f aca="false">X2182-Z2182</f>
        <v>44.3738367669824</v>
      </c>
      <c r="AB2182" s="0" t="n">
        <f aca="false">X2182+Z2182</f>
        <v>47.6350813616725</v>
      </c>
      <c r="AC2182" s="54" t="b">
        <f aca="false">AND(E2182&gt;=01_因子設定!$L$5-0.000000001,E2182&lt;=01_因子設定!$M$5+0.000000001,F2182&gt;=01_因子設定!$L$6-0.000000001,F2182&lt;=01_因子設定!$M$6+0.000000001,G2182&gt;=01_因子設定!$L$7-0.000000001,G2182&lt;=01_因子設定!$M$7+0.000000001,H2182&gt;=01_因子設定!$L$8-0.000000001,H2182&lt;=01_因子設定!$M$8+0.000000001,IF(01_因子設定!$B$20="Box-Behnken",E2182^2+F2182^2+G2182^2+H2182^2&lt;=2+0.000000001,TRUE()))</f>
        <v>1</v>
      </c>
      <c r="AD2182" s="55" t="n">
        <f aca="false">IF(AC2182,IF(01_因子設定!$B$13="最大化",AA2182-01_因子設定!$B$14,IF(01_因子設定!$B$13="最小化",01_因子設定!$B$15-AB2182,MIN(AA2182-01_因子設定!$B$14,01_因子設定!$B$15-AB2182))),-1E+030)</f>
        <v>-2.12616323301756</v>
      </c>
      <c r="AE2182" s="55" t="n">
        <f aca="false">IF(AC2182,IF(01_因子設定!$B$13="最大化",X2182,IF(01_因子設定!$B$13="最小化",-X2182,-ABS(X2182-01_因子設定!$B$16))),-1E+030)</f>
        <v>46.0044590643275</v>
      </c>
      <c r="AF2182" s="55" t="n">
        <f aca="false">AD2182+ROW()*0.000000001</f>
        <v>-2.12616105101756</v>
      </c>
      <c r="AG2182" s="55" t="n">
        <f aca="false">AE2182+ROW()*0.000000001</f>
        <v>46.0044612463275</v>
      </c>
    </row>
    <row r="2183" customFormat="false" ht="15" hidden="false" customHeight="false" outlineLevel="0" collapsed="false">
      <c r="A2183" s="0" t="n">
        <v>2</v>
      </c>
      <c r="B2183" s="0" t="n">
        <v>8</v>
      </c>
      <c r="C2183" s="0" t="n">
        <v>8</v>
      </c>
      <c r="D2183" s="0" t="n">
        <v>0</v>
      </c>
      <c r="E2183" s="0" t="n">
        <f aca="false">-1+A2183*0.25</f>
        <v>-0.5</v>
      </c>
      <c r="F2183" s="0" t="n">
        <f aca="false">-1+B2183*0.25</f>
        <v>1</v>
      </c>
      <c r="G2183" s="0" t="n">
        <f aca="false">-1+C2183*0.25</f>
        <v>1</v>
      </c>
      <c r="H2183" s="0" t="n">
        <f aca="false">-1+D2183*0.25</f>
        <v>-1</v>
      </c>
      <c r="I2183" s="0" t="n">
        <f aca="false">1</f>
        <v>1</v>
      </c>
      <c r="J2183" s="0" t="n">
        <f aca="false">E2183</f>
        <v>-0.5</v>
      </c>
      <c r="K2183" s="0" t="n">
        <f aca="false">F2183</f>
        <v>1</v>
      </c>
      <c r="L2183" s="0" t="n">
        <f aca="false">G2183</f>
        <v>1</v>
      </c>
      <c r="M2183" s="0" t="n">
        <f aca="false">H2183</f>
        <v>-1</v>
      </c>
      <c r="N2183" s="0" t="n">
        <f aca="false">E2183*F2183</f>
        <v>-0.5</v>
      </c>
      <c r="O2183" s="0" t="n">
        <f aca="false">E2183*G2183</f>
        <v>-0.5</v>
      </c>
      <c r="P2183" s="0" t="n">
        <f aca="false">E2183*H2183</f>
        <v>0.5</v>
      </c>
      <c r="Q2183" s="0" t="n">
        <f aca="false">F2183*G2183</f>
        <v>1</v>
      </c>
      <c r="R2183" s="0" t="n">
        <f aca="false">F2183*H2183</f>
        <v>-1</v>
      </c>
      <c r="S2183" s="0" t="n">
        <f aca="false">G2183*H2183</f>
        <v>-1</v>
      </c>
      <c r="T2183" s="0" t="n">
        <f aca="false">E2183*E2183</f>
        <v>0.25</v>
      </c>
      <c r="U2183" s="0" t="n">
        <f aca="false">F2183*F2183</f>
        <v>1</v>
      </c>
      <c r="V2183" s="0" t="n">
        <f aca="false">G2183*G2183</f>
        <v>1</v>
      </c>
      <c r="W2183" s="0" t="n">
        <f aca="false">H2183*H2183</f>
        <v>1</v>
      </c>
      <c r="X2183" s="0" t="n">
        <f aca="false">SUMPRODUCT(I2183:W2183,_XtX!$B$96:$P$96)</f>
        <v>45.3468567251462</v>
      </c>
      <c r="Y2183" s="0" t="n">
        <f aca="false">SUMPRODUCT(MMULT(I2183:W2183,_XtX!$B$78:$P$92),I2183:W2183)</f>
        <v>0.667123538011696</v>
      </c>
      <c r="Z2183" s="0" t="n">
        <f aca="false">04_回帰ANOVA!$K$19*04_回帰ANOVA!$K$14*SQRT(1+Y2183)</f>
        <v>1.68299290213005</v>
      </c>
      <c r="AA2183" s="0" t="n">
        <f aca="false">X2183-Z2183</f>
        <v>43.6638638230161</v>
      </c>
      <c r="AB2183" s="0" t="n">
        <f aca="false">X2183+Z2183</f>
        <v>47.0298496272763</v>
      </c>
      <c r="AC2183" s="54" t="b">
        <f aca="false">AND(E2183&gt;=01_因子設定!$L$5-0.000000001,E2183&lt;=01_因子設定!$M$5+0.000000001,F2183&gt;=01_因子設定!$L$6-0.000000001,F2183&lt;=01_因子設定!$M$6+0.000000001,G2183&gt;=01_因子設定!$L$7-0.000000001,G2183&lt;=01_因子設定!$M$7+0.000000001,H2183&gt;=01_因子設定!$L$8-0.000000001,H2183&lt;=01_因子設定!$M$8+0.000000001,IF(01_因子設定!$B$20="Box-Behnken",E2183^2+F2183^2+G2183^2+H2183^2&lt;=2+0.000000001,TRUE()))</f>
        <v>1</v>
      </c>
      <c r="AD2183" s="55" t="n">
        <f aca="false">IF(AC2183,IF(01_因子設定!$B$13="最大化",AA2183-01_因子設定!$B$14,IF(01_因子設定!$B$13="最小化",01_因子設定!$B$15-AB2183,MIN(AA2183-01_因子設定!$B$14,01_因子設定!$B$15-AB2183))),-1E+030)</f>
        <v>-2.83613617698386</v>
      </c>
      <c r="AE2183" s="55" t="n">
        <f aca="false">IF(AC2183,IF(01_因子設定!$B$13="最大化",X2183,IF(01_因子設定!$B$13="最小化",-X2183,-ABS(X2183-01_因子設定!$B$16))),-1E+030)</f>
        <v>45.3468567251462</v>
      </c>
      <c r="AF2183" s="55" t="n">
        <f aca="false">AD2183+ROW()*0.000000001</f>
        <v>-2.83613399398386</v>
      </c>
      <c r="AG2183" s="55" t="n">
        <f aca="false">AE2183+ROW()*0.000000001</f>
        <v>45.3468589081462</v>
      </c>
    </row>
    <row r="2184" customFormat="false" ht="15" hidden="false" customHeight="false" outlineLevel="0" collapsed="false">
      <c r="A2184" s="0" t="n">
        <v>2</v>
      </c>
      <c r="B2184" s="0" t="n">
        <v>8</v>
      </c>
      <c r="C2184" s="0" t="n">
        <v>8</v>
      </c>
      <c r="D2184" s="0" t="n">
        <v>1</v>
      </c>
      <c r="E2184" s="0" t="n">
        <f aca="false">-1+A2184*0.25</f>
        <v>-0.5</v>
      </c>
      <c r="F2184" s="0" t="n">
        <f aca="false">-1+B2184*0.25</f>
        <v>1</v>
      </c>
      <c r="G2184" s="0" t="n">
        <f aca="false">-1+C2184*0.25</f>
        <v>1</v>
      </c>
      <c r="H2184" s="0" t="n">
        <f aca="false">-1+D2184*0.25</f>
        <v>-0.75</v>
      </c>
      <c r="I2184" s="0" t="n">
        <f aca="false">1</f>
        <v>1</v>
      </c>
      <c r="J2184" s="0" t="n">
        <f aca="false">E2184</f>
        <v>-0.5</v>
      </c>
      <c r="K2184" s="0" t="n">
        <f aca="false">F2184</f>
        <v>1</v>
      </c>
      <c r="L2184" s="0" t="n">
        <f aca="false">G2184</f>
        <v>1</v>
      </c>
      <c r="M2184" s="0" t="n">
        <f aca="false">H2184</f>
        <v>-0.75</v>
      </c>
      <c r="N2184" s="0" t="n">
        <f aca="false">E2184*F2184</f>
        <v>-0.5</v>
      </c>
      <c r="O2184" s="0" t="n">
        <f aca="false">E2184*G2184</f>
        <v>-0.5</v>
      </c>
      <c r="P2184" s="0" t="n">
        <f aca="false">E2184*H2184</f>
        <v>0.375</v>
      </c>
      <c r="Q2184" s="0" t="n">
        <f aca="false">F2184*G2184</f>
        <v>1</v>
      </c>
      <c r="R2184" s="0" t="n">
        <f aca="false">F2184*H2184</f>
        <v>-0.75</v>
      </c>
      <c r="S2184" s="0" t="n">
        <f aca="false">G2184*H2184</f>
        <v>-0.75</v>
      </c>
      <c r="T2184" s="0" t="n">
        <f aca="false">E2184*E2184</f>
        <v>0.25</v>
      </c>
      <c r="U2184" s="0" t="n">
        <f aca="false">F2184*F2184</f>
        <v>1</v>
      </c>
      <c r="V2184" s="0" t="n">
        <f aca="false">G2184*G2184</f>
        <v>1</v>
      </c>
      <c r="W2184" s="0" t="n">
        <f aca="false">H2184*H2184</f>
        <v>0.5625</v>
      </c>
      <c r="X2184" s="0" t="n">
        <f aca="false">SUMPRODUCT(I2184:W2184,_XtX!$B$96:$P$96)</f>
        <v>45.6186951754386</v>
      </c>
      <c r="Y2184" s="0" t="n">
        <f aca="false">SUMPRODUCT(MMULT(I2184:W2184,_XtX!$B$78:$P$92),I2184:W2184)</f>
        <v>0.564984237938597</v>
      </c>
      <c r="Z2184" s="0" t="n">
        <f aca="false">04_回帰ANOVA!$K$19*04_回帰ANOVA!$K$14*SQRT(1+Y2184)</f>
        <v>1.63062229734503</v>
      </c>
      <c r="AA2184" s="0" t="n">
        <f aca="false">X2184-Z2184</f>
        <v>43.9880728780936</v>
      </c>
      <c r="AB2184" s="0" t="n">
        <f aca="false">X2184+Z2184</f>
        <v>47.2493174727836</v>
      </c>
      <c r="AC2184" s="54" t="b">
        <f aca="false">AND(E2184&gt;=01_因子設定!$L$5-0.000000001,E2184&lt;=01_因子設定!$M$5+0.000000001,F2184&gt;=01_因子設定!$L$6-0.000000001,F2184&lt;=01_因子設定!$M$6+0.000000001,G2184&gt;=01_因子設定!$L$7-0.000000001,G2184&lt;=01_因子設定!$M$7+0.000000001,H2184&gt;=01_因子設定!$L$8-0.000000001,H2184&lt;=01_因子設定!$M$8+0.000000001,IF(01_因子設定!$B$20="Box-Behnken",E2184^2+F2184^2+G2184^2+H2184^2&lt;=2+0.000000001,TRUE()))</f>
        <v>1</v>
      </c>
      <c r="AD2184" s="55" t="n">
        <f aca="false">IF(AC2184,IF(01_因子設定!$B$13="最大化",AA2184-01_因子設定!$B$14,IF(01_因子設定!$B$13="最小化",01_因子設定!$B$15-AB2184,MIN(AA2184-01_因子設定!$B$14,01_因子設定!$B$15-AB2184))),-1E+030)</f>
        <v>-2.51192712190645</v>
      </c>
      <c r="AE2184" s="55" t="n">
        <f aca="false">IF(AC2184,IF(01_因子設定!$B$13="最大化",X2184,IF(01_因子設定!$B$13="最小化",-X2184,-ABS(X2184-01_因子設定!$B$16))),-1E+030)</f>
        <v>45.6186951754386</v>
      </c>
      <c r="AF2184" s="55" t="n">
        <f aca="false">AD2184+ROW()*0.000000001</f>
        <v>-2.51192493790645</v>
      </c>
      <c r="AG2184" s="55" t="n">
        <f aca="false">AE2184+ROW()*0.000000001</f>
        <v>45.6186973594386</v>
      </c>
    </row>
    <row r="2185" customFormat="false" ht="15" hidden="false" customHeight="false" outlineLevel="0" collapsed="false">
      <c r="A2185" s="0" t="n">
        <v>2</v>
      </c>
      <c r="B2185" s="0" t="n">
        <v>8</v>
      </c>
      <c r="C2185" s="0" t="n">
        <v>8</v>
      </c>
      <c r="D2185" s="0" t="n">
        <v>2</v>
      </c>
      <c r="E2185" s="0" t="n">
        <f aca="false">-1+A2185*0.25</f>
        <v>-0.5</v>
      </c>
      <c r="F2185" s="0" t="n">
        <f aca="false">-1+B2185*0.25</f>
        <v>1</v>
      </c>
      <c r="G2185" s="0" t="n">
        <f aca="false">-1+C2185*0.25</f>
        <v>1</v>
      </c>
      <c r="H2185" s="0" t="n">
        <f aca="false">-1+D2185*0.25</f>
        <v>-0.5</v>
      </c>
      <c r="I2185" s="0" t="n">
        <f aca="false">1</f>
        <v>1</v>
      </c>
      <c r="J2185" s="0" t="n">
        <f aca="false">E2185</f>
        <v>-0.5</v>
      </c>
      <c r="K2185" s="0" t="n">
        <f aca="false">F2185</f>
        <v>1</v>
      </c>
      <c r="L2185" s="0" t="n">
        <f aca="false">G2185</f>
        <v>1</v>
      </c>
      <c r="M2185" s="0" t="n">
        <f aca="false">H2185</f>
        <v>-0.5</v>
      </c>
      <c r="N2185" s="0" t="n">
        <f aca="false">E2185*F2185</f>
        <v>-0.5</v>
      </c>
      <c r="O2185" s="0" t="n">
        <f aca="false">E2185*G2185</f>
        <v>-0.5</v>
      </c>
      <c r="P2185" s="0" t="n">
        <f aca="false">E2185*H2185</f>
        <v>0.25</v>
      </c>
      <c r="Q2185" s="0" t="n">
        <f aca="false">F2185*G2185</f>
        <v>1</v>
      </c>
      <c r="R2185" s="0" t="n">
        <f aca="false">F2185*H2185</f>
        <v>-0.5</v>
      </c>
      <c r="S2185" s="0" t="n">
        <f aca="false">G2185*H2185</f>
        <v>-0.5</v>
      </c>
      <c r="T2185" s="0" t="n">
        <f aca="false">E2185*E2185</f>
        <v>0.25</v>
      </c>
      <c r="U2185" s="0" t="n">
        <f aca="false">F2185*F2185</f>
        <v>1</v>
      </c>
      <c r="V2185" s="0" t="n">
        <f aca="false">G2185*G2185</f>
        <v>1</v>
      </c>
      <c r="W2185" s="0" t="n">
        <f aca="false">H2185*H2185</f>
        <v>0.25</v>
      </c>
      <c r="X2185" s="0" t="n">
        <f aca="false">SUMPRODUCT(I2185:W2185,_XtX!$B$96:$P$96)</f>
        <v>45.8427266081871</v>
      </c>
      <c r="Y2185" s="0" t="n">
        <f aca="false">SUMPRODUCT(MMULT(I2185:W2185,_XtX!$B$78:$P$92),I2185:W2185)</f>
        <v>0.582488121345029</v>
      </c>
      <c r="Z2185" s="0" t="n">
        <f aca="false">04_回帰ANOVA!$K$19*04_回帰ANOVA!$K$14*SQRT(1+Y2185)</f>
        <v>1.63971595338287</v>
      </c>
      <c r="AA2185" s="0" t="n">
        <f aca="false">X2185-Z2185</f>
        <v>44.2030106548042</v>
      </c>
      <c r="AB2185" s="0" t="n">
        <f aca="false">X2185+Z2185</f>
        <v>47.48244256157</v>
      </c>
      <c r="AC2185" s="54" t="b">
        <f aca="false">AND(E2185&gt;=01_因子設定!$L$5-0.000000001,E2185&lt;=01_因子設定!$M$5+0.000000001,F2185&gt;=01_因子設定!$L$6-0.000000001,F2185&lt;=01_因子設定!$M$6+0.000000001,G2185&gt;=01_因子設定!$L$7-0.000000001,G2185&lt;=01_因子設定!$M$7+0.000000001,H2185&gt;=01_因子設定!$L$8-0.000000001,H2185&lt;=01_因子設定!$M$8+0.000000001,IF(01_因子設定!$B$20="Box-Behnken",E2185^2+F2185^2+G2185^2+H2185^2&lt;=2+0.000000001,TRUE()))</f>
        <v>1</v>
      </c>
      <c r="AD2185" s="55" t="n">
        <f aca="false">IF(AC2185,IF(01_因子設定!$B$13="最大化",AA2185-01_因子設定!$B$14,IF(01_因子設定!$B$13="最小化",01_因子設定!$B$15-AB2185,MIN(AA2185-01_因子設定!$B$14,01_因子設定!$B$15-AB2185))),-1E+030)</f>
        <v>-2.29698934519576</v>
      </c>
      <c r="AE2185" s="55" t="n">
        <f aca="false">IF(AC2185,IF(01_因子設定!$B$13="最大化",X2185,IF(01_因子設定!$B$13="最小化",-X2185,-ABS(X2185-01_因子設定!$B$16))),-1E+030)</f>
        <v>45.8427266081871</v>
      </c>
      <c r="AF2185" s="55" t="n">
        <f aca="false">AD2185+ROW()*0.000000001</f>
        <v>-2.29698716019576</v>
      </c>
      <c r="AG2185" s="55" t="n">
        <f aca="false">AE2185+ROW()*0.000000001</f>
        <v>45.8427287931871</v>
      </c>
    </row>
    <row r="2186" customFormat="false" ht="15" hidden="false" customHeight="false" outlineLevel="0" collapsed="false">
      <c r="A2186" s="0" t="n">
        <v>2</v>
      </c>
      <c r="B2186" s="0" t="n">
        <v>8</v>
      </c>
      <c r="C2186" s="0" t="n">
        <v>8</v>
      </c>
      <c r="D2186" s="0" t="n">
        <v>3</v>
      </c>
      <c r="E2186" s="0" t="n">
        <f aca="false">-1+A2186*0.25</f>
        <v>-0.5</v>
      </c>
      <c r="F2186" s="0" t="n">
        <f aca="false">-1+B2186*0.25</f>
        <v>1</v>
      </c>
      <c r="G2186" s="0" t="n">
        <f aca="false">-1+C2186*0.25</f>
        <v>1</v>
      </c>
      <c r="H2186" s="0" t="n">
        <f aca="false">-1+D2186*0.25</f>
        <v>-0.25</v>
      </c>
      <c r="I2186" s="0" t="n">
        <f aca="false">1</f>
        <v>1</v>
      </c>
      <c r="J2186" s="0" t="n">
        <f aca="false">E2186</f>
        <v>-0.5</v>
      </c>
      <c r="K2186" s="0" t="n">
        <f aca="false">F2186</f>
        <v>1</v>
      </c>
      <c r="L2186" s="0" t="n">
        <f aca="false">G2186</f>
        <v>1</v>
      </c>
      <c r="M2186" s="0" t="n">
        <f aca="false">H2186</f>
        <v>-0.25</v>
      </c>
      <c r="N2186" s="0" t="n">
        <f aca="false">E2186*F2186</f>
        <v>-0.5</v>
      </c>
      <c r="O2186" s="0" t="n">
        <f aca="false">E2186*G2186</f>
        <v>-0.5</v>
      </c>
      <c r="P2186" s="0" t="n">
        <f aca="false">E2186*H2186</f>
        <v>0.125</v>
      </c>
      <c r="Q2186" s="0" t="n">
        <f aca="false">F2186*G2186</f>
        <v>1</v>
      </c>
      <c r="R2186" s="0" t="n">
        <f aca="false">F2186*H2186</f>
        <v>-0.25</v>
      </c>
      <c r="S2186" s="0" t="n">
        <f aca="false">G2186*H2186</f>
        <v>-0.25</v>
      </c>
      <c r="T2186" s="0" t="n">
        <f aca="false">E2186*E2186</f>
        <v>0.25</v>
      </c>
      <c r="U2186" s="0" t="n">
        <f aca="false">F2186*F2186</f>
        <v>1</v>
      </c>
      <c r="V2186" s="0" t="n">
        <f aca="false">G2186*G2186</f>
        <v>1</v>
      </c>
      <c r="W2186" s="0" t="n">
        <f aca="false">H2186*H2186</f>
        <v>0.0625</v>
      </c>
      <c r="X2186" s="0" t="n">
        <f aca="false">SUMPRODUCT(I2186:W2186,_XtX!$B$96:$P$96)</f>
        <v>46.0189510233918</v>
      </c>
      <c r="Y2186" s="0" t="n">
        <f aca="false">SUMPRODUCT(MMULT(I2186:W2186,_XtX!$B$78:$P$92),I2186:W2186)</f>
        <v>0.629174661915205</v>
      </c>
      <c r="Z2186" s="0" t="n">
        <f aca="false">04_回帰ANOVA!$K$19*04_回帰ANOVA!$K$14*SQRT(1+Y2186)</f>
        <v>1.66372758058297</v>
      </c>
      <c r="AA2186" s="0" t="n">
        <f aca="false">X2186-Z2186</f>
        <v>44.3552234428088</v>
      </c>
      <c r="AB2186" s="0" t="n">
        <f aca="false">X2186+Z2186</f>
        <v>47.6826786039748</v>
      </c>
      <c r="AC2186" s="54" t="b">
        <f aca="false">AND(E2186&gt;=01_因子設定!$L$5-0.000000001,E2186&lt;=01_因子設定!$M$5+0.000000001,F2186&gt;=01_因子設定!$L$6-0.000000001,F2186&lt;=01_因子設定!$M$6+0.000000001,G2186&gt;=01_因子設定!$L$7-0.000000001,G2186&lt;=01_因子設定!$M$7+0.000000001,H2186&gt;=01_因子設定!$L$8-0.000000001,H2186&lt;=01_因子設定!$M$8+0.000000001,IF(01_因子設定!$B$20="Box-Behnken",E2186^2+F2186^2+G2186^2+H2186^2&lt;=2+0.000000001,TRUE()))</f>
        <v>1</v>
      </c>
      <c r="AD2186" s="55" t="n">
        <f aca="false">IF(AC2186,IF(01_因子設定!$B$13="最大化",AA2186-01_因子設定!$B$14,IF(01_因子設定!$B$13="最小化",01_因子設定!$B$15-AB2186,MIN(AA2186-01_因子設定!$B$14,01_因子設定!$B$15-AB2186))),-1E+030)</f>
        <v>-2.14477655719119</v>
      </c>
      <c r="AE2186" s="55" t="n">
        <f aca="false">IF(AC2186,IF(01_因子設定!$B$13="最大化",X2186,IF(01_因子設定!$B$13="最小化",-X2186,-ABS(X2186-01_因子設定!$B$16))),-1E+030)</f>
        <v>46.0189510233918</v>
      </c>
      <c r="AF2186" s="55" t="n">
        <f aca="false">AD2186+ROW()*0.000000001</f>
        <v>-2.14477437119119</v>
      </c>
      <c r="AG2186" s="55" t="n">
        <f aca="false">AE2186+ROW()*0.000000001</f>
        <v>46.0189532093918</v>
      </c>
    </row>
    <row r="2187" customFormat="false" ht="15" hidden="false" customHeight="false" outlineLevel="0" collapsed="false">
      <c r="A2187" s="0" t="n">
        <v>2</v>
      </c>
      <c r="B2187" s="0" t="n">
        <v>8</v>
      </c>
      <c r="C2187" s="0" t="n">
        <v>8</v>
      </c>
      <c r="D2187" s="0" t="n">
        <v>4</v>
      </c>
      <c r="E2187" s="0" t="n">
        <f aca="false">-1+A2187*0.25</f>
        <v>-0.5</v>
      </c>
      <c r="F2187" s="0" t="n">
        <f aca="false">-1+B2187*0.25</f>
        <v>1</v>
      </c>
      <c r="G2187" s="0" t="n">
        <f aca="false">-1+C2187*0.25</f>
        <v>1</v>
      </c>
      <c r="H2187" s="0" t="n">
        <f aca="false">-1+D2187*0.25</f>
        <v>0</v>
      </c>
      <c r="I2187" s="0" t="n">
        <f aca="false">1</f>
        <v>1</v>
      </c>
      <c r="J2187" s="0" t="n">
        <f aca="false">E2187</f>
        <v>-0.5</v>
      </c>
      <c r="K2187" s="0" t="n">
        <f aca="false">F2187</f>
        <v>1</v>
      </c>
      <c r="L2187" s="0" t="n">
        <f aca="false">G2187</f>
        <v>1</v>
      </c>
      <c r="M2187" s="0" t="n">
        <f aca="false">H2187</f>
        <v>0</v>
      </c>
      <c r="N2187" s="0" t="n">
        <f aca="false">E2187*F2187</f>
        <v>-0.5</v>
      </c>
      <c r="O2187" s="0" t="n">
        <f aca="false">E2187*G2187</f>
        <v>-0.5</v>
      </c>
      <c r="P2187" s="0" t="n">
        <f aca="false">E2187*H2187</f>
        <v>-0</v>
      </c>
      <c r="Q2187" s="0" t="n">
        <f aca="false">F2187*G2187</f>
        <v>1</v>
      </c>
      <c r="R2187" s="0" t="n">
        <f aca="false">F2187*H2187</f>
        <v>0</v>
      </c>
      <c r="S2187" s="0" t="n">
        <f aca="false">G2187*H2187</f>
        <v>0</v>
      </c>
      <c r="T2187" s="0" t="n">
        <f aca="false">E2187*E2187</f>
        <v>0.25</v>
      </c>
      <c r="U2187" s="0" t="n">
        <f aca="false">F2187*F2187</f>
        <v>1</v>
      </c>
      <c r="V2187" s="0" t="n">
        <f aca="false">G2187*G2187</f>
        <v>1</v>
      </c>
      <c r="W2187" s="0" t="n">
        <f aca="false">H2187*H2187</f>
        <v>0</v>
      </c>
      <c r="X2187" s="0" t="n">
        <f aca="false">SUMPRODUCT(I2187:W2187,_XtX!$B$96:$P$96)</f>
        <v>46.1473684210526</v>
      </c>
      <c r="Y2187" s="0" t="n">
        <f aca="false">SUMPRODUCT(MMULT(I2187:W2187,_XtX!$B$78:$P$92),I2187:W2187)</f>
        <v>0.650767543859649</v>
      </c>
      <c r="Z2187" s="0" t="n">
        <f aca="false">04_回帰ANOVA!$K$19*04_回帰ANOVA!$K$14*SQRT(1+Y2187)</f>
        <v>1.67471670935165</v>
      </c>
      <c r="AA2187" s="0" t="n">
        <f aca="false">X2187-Z2187</f>
        <v>44.4726517117009</v>
      </c>
      <c r="AB2187" s="0" t="n">
        <f aca="false">X2187+Z2187</f>
        <v>47.8220851304042</v>
      </c>
      <c r="AC2187" s="54" t="b">
        <f aca="false">AND(E2187&gt;=01_因子設定!$L$5-0.000000001,E2187&lt;=01_因子設定!$M$5+0.000000001,F2187&gt;=01_因子設定!$L$6-0.000000001,F2187&lt;=01_因子設定!$M$6+0.000000001,G2187&gt;=01_因子設定!$L$7-0.000000001,G2187&lt;=01_因子設定!$M$7+0.000000001,H2187&gt;=01_因子設定!$L$8-0.000000001,H2187&lt;=01_因子設定!$M$8+0.000000001,IF(01_因子設定!$B$20="Box-Behnken",E2187^2+F2187^2+G2187^2+H2187^2&lt;=2+0.000000001,TRUE()))</f>
        <v>1</v>
      </c>
      <c r="AD2187" s="55" t="n">
        <f aca="false">IF(AC2187,IF(01_因子設定!$B$13="最大化",AA2187-01_因子設定!$B$14,IF(01_因子設定!$B$13="最小化",01_因子設定!$B$15-AB2187,MIN(AA2187-01_因子設定!$B$14,01_因子設定!$B$15-AB2187))),-1E+030)</f>
        <v>-2.02734828829906</v>
      </c>
      <c r="AE2187" s="55" t="n">
        <f aca="false">IF(AC2187,IF(01_因子設定!$B$13="最大化",X2187,IF(01_因子設定!$B$13="最小化",-X2187,-ABS(X2187-01_因子設定!$B$16))),-1E+030)</f>
        <v>46.1473684210526</v>
      </c>
      <c r="AF2187" s="55" t="n">
        <f aca="false">AD2187+ROW()*0.000000001</f>
        <v>-2.02734610129906</v>
      </c>
      <c r="AG2187" s="55" t="n">
        <f aca="false">AE2187+ROW()*0.000000001</f>
        <v>46.1473706080526</v>
      </c>
    </row>
    <row r="2188" customFormat="false" ht="15" hidden="false" customHeight="false" outlineLevel="0" collapsed="false">
      <c r="A2188" s="0" t="n">
        <v>2</v>
      </c>
      <c r="B2188" s="0" t="n">
        <v>8</v>
      </c>
      <c r="C2188" s="0" t="n">
        <v>8</v>
      </c>
      <c r="D2188" s="0" t="n">
        <v>5</v>
      </c>
      <c r="E2188" s="0" t="n">
        <f aca="false">-1+A2188*0.25</f>
        <v>-0.5</v>
      </c>
      <c r="F2188" s="0" t="n">
        <f aca="false">-1+B2188*0.25</f>
        <v>1</v>
      </c>
      <c r="G2188" s="0" t="n">
        <f aca="false">-1+C2188*0.25</f>
        <v>1</v>
      </c>
      <c r="H2188" s="0" t="n">
        <f aca="false">-1+D2188*0.25</f>
        <v>0.25</v>
      </c>
      <c r="I2188" s="0" t="n">
        <f aca="false">1</f>
        <v>1</v>
      </c>
      <c r="J2188" s="0" t="n">
        <f aca="false">E2188</f>
        <v>-0.5</v>
      </c>
      <c r="K2188" s="0" t="n">
        <f aca="false">F2188</f>
        <v>1</v>
      </c>
      <c r="L2188" s="0" t="n">
        <f aca="false">G2188</f>
        <v>1</v>
      </c>
      <c r="M2188" s="0" t="n">
        <f aca="false">H2188</f>
        <v>0.25</v>
      </c>
      <c r="N2188" s="0" t="n">
        <f aca="false">E2188*F2188</f>
        <v>-0.5</v>
      </c>
      <c r="O2188" s="0" t="n">
        <f aca="false">E2188*G2188</f>
        <v>-0.5</v>
      </c>
      <c r="P2188" s="0" t="n">
        <f aca="false">E2188*H2188</f>
        <v>-0.125</v>
      </c>
      <c r="Q2188" s="0" t="n">
        <f aca="false">F2188*G2188</f>
        <v>1</v>
      </c>
      <c r="R2188" s="0" t="n">
        <f aca="false">F2188*H2188</f>
        <v>0.25</v>
      </c>
      <c r="S2188" s="0" t="n">
        <f aca="false">G2188*H2188</f>
        <v>0.25</v>
      </c>
      <c r="T2188" s="0" t="n">
        <f aca="false">E2188*E2188</f>
        <v>0.25</v>
      </c>
      <c r="U2188" s="0" t="n">
        <f aca="false">F2188*F2188</f>
        <v>1</v>
      </c>
      <c r="V2188" s="0" t="n">
        <f aca="false">G2188*G2188</f>
        <v>1</v>
      </c>
      <c r="W2188" s="0" t="n">
        <f aca="false">H2188*H2188</f>
        <v>0.0625</v>
      </c>
      <c r="X2188" s="0" t="n">
        <f aca="false">SUMPRODUCT(I2188:W2188,_XtX!$B$96:$P$96)</f>
        <v>46.2279788011696</v>
      </c>
      <c r="Y2188" s="0" t="n">
        <f aca="false">SUMPRODUCT(MMULT(I2188:W2188,_XtX!$B$78:$P$92),I2188:W2188)</f>
        <v>0.629174661915205</v>
      </c>
      <c r="Z2188" s="0" t="n">
        <f aca="false">04_回帰ANOVA!$K$19*04_回帰ANOVA!$K$14*SQRT(1+Y2188)</f>
        <v>1.66372758058297</v>
      </c>
      <c r="AA2188" s="0" t="n">
        <f aca="false">X2188-Z2188</f>
        <v>44.5642512205866</v>
      </c>
      <c r="AB2188" s="0" t="n">
        <f aca="false">X2188+Z2188</f>
        <v>47.8917063817525</v>
      </c>
      <c r="AC2188" s="54" t="b">
        <f aca="false">AND(E2188&gt;=01_因子設定!$L$5-0.000000001,E2188&lt;=01_因子設定!$M$5+0.000000001,F2188&gt;=01_因子設定!$L$6-0.000000001,F2188&lt;=01_因子設定!$M$6+0.000000001,G2188&gt;=01_因子設定!$L$7-0.000000001,G2188&lt;=01_因子設定!$M$7+0.000000001,H2188&gt;=01_因子設定!$L$8-0.000000001,H2188&lt;=01_因子設定!$M$8+0.000000001,IF(01_因子設定!$B$20="Box-Behnken",E2188^2+F2188^2+G2188^2+H2188^2&lt;=2+0.000000001,TRUE()))</f>
        <v>1</v>
      </c>
      <c r="AD2188" s="55" t="n">
        <f aca="false">IF(AC2188,IF(01_因子設定!$B$13="最大化",AA2188-01_因子設定!$B$14,IF(01_因子設定!$B$13="最小化",01_因子設定!$B$15-AB2188,MIN(AA2188-01_因子設定!$B$14,01_因子設定!$B$15-AB2188))),-1E+030)</f>
        <v>-1.93574877941342</v>
      </c>
      <c r="AE2188" s="55" t="n">
        <f aca="false">IF(AC2188,IF(01_因子設定!$B$13="最大化",X2188,IF(01_因子設定!$B$13="最小化",-X2188,-ABS(X2188-01_因子設定!$B$16))),-1E+030)</f>
        <v>46.2279788011696</v>
      </c>
      <c r="AF2188" s="55" t="n">
        <f aca="false">AD2188+ROW()*0.000000001</f>
        <v>-1.93574659141342</v>
      </c>
      <c r="AG2188" s="55" t="n">
        <f aca="false">AE2188+ROW()*0.000000001</f>
        <v>46.2279809891696</v>
      </c>
    </row>
    <row r="2189" customFormat="false" ht="15" hidden="false" customHeight="false" outlineLevel="0" collapsed="false">
      <c r="A2189" s="0" t="n">
        <v>2</v>
      </c>
      <c r="B2189" s="0" t="n">
        <v>8</v>
      </c>
      <c r="C2189" s="0" t="n">
        <v>8</v>
      </c>
      <c r="D2189" s="0" t="n">
        <v>6</v>
      </c>
      <c r="E2189" s="0" t="n">
        <f aca="false">-1+A2189*0.25</f>
        <v>-0.5</v>
      </c>
      <c r="F2189" s="0" t="n">
        <f aca="false">-1+B2189*0.25</f>
        <v>1</v>
      </c>
      <c r="G2189" s="0" t="n">
        <f aca="false">-1+C2189*0.25</f>
        <v>1</v>
      </c>
      <c r="H2189" s="0" t="n">
        <f aca="false">-1+D2189*0.25</f>
        <v>0.5</v>
      </c>
      <c r="I2189" s="0" t="n">
        <f aca="false">1</f>
        <v>1</v>
      </c>
      <c r="J2189" s="0" t="n">
        <f aca="false">E2189</f>
        <v>-0.5</v>
      </c>
      <c r="K2189" s="0" t="n">
        <f aca="false">F2189</f>
        <v>1</v>
      </c>
      <c r="L2189" s="0" t="n">
        <f aca="false">G2189</f>
        <v>1</v>
      </c>
      <c r="M2189" s="0" t="n">
        <f aca="false">H2189</f>
        <v>0.5</v>
      </c>
      <c r="N2189" s="0" t="n">
        <f aca="false">E2189*F2189</f>
        <v>-0.5</v>
      </c>
      <c r="O2189" s="0" t="n">
        <f aca="false">E2189*G2189</f>
        <v>-0.5</v>
      </c>
      <c r="P2189" s="0" t="n">
        <f aca="false">E2189*H2189</f>
        <v>-0.25</v>
      </c>
      <c r="Q2189" s="0" t="n">
        <f aca="false">F2189*G2189</f>
        <v>1</v>
      </c>
      <c r="R2189" s="0" t="n">
        <f aca="false">F2189*H2189</f>
        <v>0.5</v>
      </c>
      <c r="S2189" s="0" t="n">
        <f aca="false">G2189*H2189</f>
        <v>0.5</v>
      </c>
      <c r="T2189" s="0" t="n">
        <f aca="false">E2189*E2189</f>
        <v>0.25</v>
      </c>
      <c r="U2189" s="0" t="n">
        <f aca="false">F2189*F2189</f>
        <v>1</v>
      </c>
      <c r="V2189" s="0" t="n">
        <f aca="false">G2189*G2189</f>
        <v>1</v>
      </c>
      <c r="W2189" s="0" t="n">
        <f aca="false">H2189*H2189</f>
        <v>0.25</v>
      </c>
      <c r="X2189" s="0" t="n">
        <f aca="false">SUMPRODUCT(I2189:W2189,_XtX!$B$96:$P$96)</f>
        <v>46.2607821637427</v>
      </c>
      <c r="Y2189" s="0" t="n">
        <f aca="false">SUMPRODUCT(MMULT(I2189:W2189,_XtX!$B$78:$P$92),I2189:W2189)</f>
        <v>0.582488121345029</v>
      </c>
      <c r="Z2189" s="0" t="n">
        <f aca="false">04_回帰ANOVA!$K$19*04_回帰ANOVA!$K$14*SQRT(1+Y2189)</f>
        <v>1.63971595338287</v>
      </c>
      <c r="AA2189" s="0" t="n">
        <f aca="false">X2189-Z2189</f>
        <v>44.6210662103598</v>
      </c>
      <c r="AB2189" s="0" t="n">
        <f aca="false">X2189+Z2189</f>
        <v>47.9004981171255</v>
      </c>
      <c r="AC2189" s="54" t="b">
        <f aca="false">AND(E2189&gt;=01_因子設定!$L$5-0.000000001,E2189&lt;=01_因子設定!$M$5+0.000000001,F2189&gt;=01_因子設定!$L$6-0.000000001,F2189&lt;=01_因子設定!$M$6+0.000000001,G2189&gt;=01_因子設定!$L$7-0.000000001,G2189&lt;=01_因子設定!$M$7+0.000000001,H2189&gt;=01_因子設定!$L$8-0.000000001,H2189&lt;=01_因子設定!$M$8+0.000000001,IF(01_因子設定!$B$20="Box-Behnken",E2189^2+F2189^2+G2189^2+H2189^2&lt;=2+0.000000001,TRUE()))</f>
        <v>1</v>
      </c>
      <c r="AD2189" s="55" t="n">
        <f aca="false">IF(AC2189,IF(01_因子設定!$B$13="最大化",AA2189-01_因子設定!$B$14,IF(01_因子設定!$B$13="最小化",01_因子設定!$B$15-AB2189,MIN(AA2189-01_因子設定!$B$14,01_因子設定!$B$15-AB2189))),-1E+030)</f>
        <v>-1.87893378964021</v>
      </c>
      <c r="AE2189" s="55" t="n">
        <f aca="false">IF(AC2189,IF(01_因子設定!$B$13="最大化",X2189,IF(01_因子設定!$B$13="最小化",-X2189,-ABS(X2189-01_因子設定!$B$16))),-1E+030)</f>
        <v>46.2607821637427</v>
      </c>
      <c r="AF2189" s="55" t="n">
        <f aca="false">AD2189+ROW()*0.000000001</f>
        <v>-1.87893160064021</v>
      </c>
      <c r="AG2189" s="55" t="n">
        <f aca="false">AE2189+ROW()*0.000000001</f>
        <v>46.2607843527427</v>
      </c>
    </row>
    <row r="2190" customFormat="false" ht="15" hidden="false" customHeight="false" outlineLevel="0" collapsed="false">
      <c r="A2190" s="0" t="n">
        <v>2</v>
      </c>
      <c r="B2190" s="0" t="n">
        <v>8</v>
      </c>
      <c r="C2190" s="0" t="n">
        <v>8</v>
      </c>
      <c r="D2190" s="0" t="n">
        <v>7</v>
      </c>
      <c r="E2190" s="0" t="n">
        <f aca="false">-1+A2190*0.25</f>
        <v>-0.5</v>
      </c>
      <c r="F2190" s="0" t="n">
        <f aca="false">-1+B2190*0.25</f>
        <v>1</v>
      </c>
      <c r="G2190" s="0" t="n">
        <f aca="false">-1+C2190*0.25</f>
        <v>1</v>
      </c>
      <c r="H2190" s="0" t="n">
        <f aca="false">-1+D2190*0.25</f>
        <v>0.75</v>
      </c>
      <c r="I2190" s="0" t="n">
        <f aca="false">1</f>
        <v>1</v>
      </c>
      <c r="J2190" s="0" t="n">
        <f aca="false">E2190</f>
        <v>-0.5</v>
      </c>
      <c r="K2190" s="0" t="n">
        <f aca="false">F2190</f>
        <v>1</v>
      </c>
      <c r="L2190" s="0" t="n">
        <f aca="false">G2190</f>
        <v>1</v>
      </c>
      <c r="M2190" s="0" t="n">
        <f aca="false">H2190</f>
        <v>0.75</v>
      </c>
      <c r="N2190" s="0" t="n">
        <f aca="false">E2190*F2190</f>
        <v>-0.5</v>
      </c>
      <c r="O2190" s="0" t="n">
        <f aca="false">E2190*G2190</f>
        <v>-0.5</v>
      </c>
      <c r="P2190" s="0" t="n">
        <f aca="false">E2190*H2190</f>
        <v>-0.375</v>
      </c>
      <c r="Q2190" s="0" t="n">
        <f aca="false">F2190*G2190</f>
        <v>1</v>
      </c>
      <c r="R2190" s="0" t="n">
        <f aca="false">F2190*H2190</f>
        <v>0.75</v>
      </c>
      <c r="S2190" s="0" t="n">
        <f aca="false">G2190*H2190</f>
        <v>0.75</v>
      </c>
      <c r="T2190" s="0" t="n">
        <f aca="false">E2190*E2190</f>
        <v>0.25</v>
      </c>
      <c r="U2190" s="0" t="n">
        <f aca="false">F2190*F2190</f>
        <v>1</v>
      </c>
      <c r="V2190" s="0" t="n">
        <f aca="false">G2190*G2190</f>
        <v>1</v>
      </c>
      <c r="W2190" s="0" t="n">
        <f aca="false">H2190*H2190</f>
        <v>0.5625</v>
      </c>
      <c r="X2190" s="0" t="n">
        <f aca="false">SUMPRODUCT(I2190:W2190,_XtX!$B$96:$P$96)</f>
        <v>46.2457785087719</v>
      </c>
      <c r="Y2190" s="0" t="n">
        <f aca="false">SUMPRODUCT(MMULT(I2190:W2190,_XtX!$B$78:$P$92),I2190:W2190)</f>
        <v>0.564984237938597</v>
      </c>
      <c r="Z2190" s="0" t="n">
        <f aca="false">04_回帰ANOVA!$K$19*04_回帰ANOVA!$K$14*SQRT(1+Y2190)</f>
        <v>1.63062229734503</v>
      </c>
      <c r="AA2190" s="0" t="n">
        <f aca="false">X2190-Z2190</f>
        <v>44.6151562114269</v>
      </c>
      <c r="AB2190" s="0" t="n">
        <f aca="false">X2190+Z2190</f>
        <v>47.876400806117</v>
      </c>
      <c r="AC2190" s="54" t="b">
        <f aca="false">AND(E2190&gt;=01_因子設定!$L$5-0.000000001,E2190&lt;=01_因子設定!$M$5+0.000000001,F2190&gt;=01_因子設定!$L$6-0.000000001,F2190&lt;=01_因子設定!$M$6+0.000000001,G2190&gt;=01_因子設定!$L$7-0.000000001,G2190&lt;=01_因子設定!$M$7+0.000000001,H2190&gt;=01_因子設定!$L$8-0.000000001,H2190&lt;=01_因子設定!$M$8+0.000000001,IF(01_因子設定!$B$20="Box-Behnken",E2190^2+F2190^2+G2190^2+H2190^2&lt;=2+0.000000001,TRUE()))</f>
        <v>1</v>
      </c>
      <c r="AD2190" s="55" t="n">
        <f aca="false">IF(AC2190,IF(01_因子設定!$B$13="最大化",AA2190-01_因子設定!$B$14,IF(01_因子設定!$B$13="最小化",01_因子設定!$B$15-AB2190,MIN(AA2190-01_因子設定!$B$14,01_因子設定!$B$15-AB2190))),-1E+030)</f>
        <v>-1.88484378857312</v>
      </c>
      <c r="AE2190" s="55" t="n">
        <f aca="false">IF(AC2190,IF(01_因子設定!$B$13="最大化",X2190,IF(01_因子設定!$B$13="最小化",-X2190,-ABS(X2190-01_因子設定!$B$16))),-1E+030)</f>
        <v>46.2457785087719</v>
      </c>
      <c r="AF2190" s="55" t="n">
        <f aca="false">AD2190+ROW()*0.000000001</f>
        <v>-1.88484159857312</v>
      </c>
      <c r="AG2190" s="55" t="n">
        <f aca="false">AE2190+ROW()*0.000000001</f>
        <v>46.2457806987719</v>
      </c>
    </row>
    <row r="2191" customFormat="false" ht="15" hidden="false" customHeight="false" outlineLevel="0" collapsed="false">
      <c r="A2191" s="0" t="n">
        <v>2</v>
      </c>
      <c r="B2191" s="0" t="n">
        <v>8</v>
      </c>
      <c r="C2191" s="0" t="n">
        <v>8</v>
      </c>
      <c r="D2191" s="0" t="n">
        <v>8</v>
      </c>
      <c r="E2191" s="0" t="n">
        <f aca="false">-1+A2191*0.25</f>
        <v>-0.5</v>
      </c>
      <c r="F2191" s="0" t="n">
        <f aca="false">-1+B2191*0.25</f>
        <v>1</v>
      </c>
      <c r="G2191" s="0" t="n">
        <f aca="false">-1+C2191*0.25</f>
        <v>1</v>
      </c>
      <c r="H2191" s="0" t="n">
        <f aca="false">-1+D2191*0.25</f>
        <v>1</v>
      </c>
      <c r="I2191" s="0" t="n">
        <f aca="false">1</f>
        <v>1</v>
      </c>
      <c r="J2191" s="0" t="n">
        <f aca="false">E2191</f>
        <v>-0.5</v>
      </c>
      <c r="K2191" s="0" t="n">
        <f aca="false">F2191</f>
        <v>1</v>
      </c>
      <c r="L2191" s="0" t="n">
        <f aca="false">G2191</f>
        <v>1</v>
      </c>
      <c r="M2191" s="0" t="n">
        <f aca="false">H2191</f>
        <v>1</v>
      </c>
      <c r="N2191" s="0" t="n">
        <f aca="false">E2191*F2191</f>
        <v>-0.5</v>
      </c>
      <c r="O2191" s="0" t="n">
        <f aca="false">E2191*G2191</f>
        <v>-0.5</v>
      </c>
      <c r="P2191" s="0" t="n">
        <f aca="false">E2191*H2191</f>
        <v>-0.5</v>
      </c>
      <c r="Q2191" s="0" t="n">
        <f aca="false">F2191*G2191</f>
        <v>1</v>
      </c>
      <c r="R2191" s="0" t="n">
        <f aca="false">F2191*H2191</f>
        <v>1</v>
      </c>
      <c r="S2191" s="0" t="n">
        <f aca="false">G2191*H2191</f>
        <v>1</v>
      </c>
      <c r="T2191" s="0" t="n">
        <f aca="false">E2191*E2191</f>
        <v>0.25</v>
      </c>
      <c r="U2191" s="0" t="n">
        <f aca="false">F2191*F2191</f>
        <v>1</v>
      </c>
      <c r="V2191" s="0" t="n">
        <f aca="false">G2191*G2191</f>
        <v>1</v>
      </c>
      <c r="W2191" s="0" t="n">
        <f aca="false">H2191*H2191</f>
        <v>1</v>
      </c>
      <c r="X2191" s="0" t="n">
        <f aca="false">SUMPRODUCT(I2191:W2191,_XtX!$B$96:$P$96)</f>
        <v>46.1829678362573</v>
      </c>
      <c r="Y2191" s="0" t="n">
        <f aca="false">SUMPRODUCT(MMULT(I2191:W2191,_XtX!$B$78:$P$92),I2191:W2191)</f>
        <v>0.667123538011696</v>
      </c>
      <c r="Z2191" s="0" t="n">
        <f aca="false">04_回帰ANOVA!$K$19*04_回帰ANOVA!$K$14*SQRT(1+Y2191)</f>
        <v>1.68299290213005</v>
      </c>
      <c r="AA2191" s="0" t="n">
        <f aca="false">X2191-Z2191</f>
        <v>44.4999749341273</v>
      </c>
      <c r="AB2191" s="0" t="n">
        <f aca="false">X2191+Z2191</f>
        <v>47.8659607383874</v>
      </c>
      <c r="AC2191" s="54" t="b">
        <f aca="false">AND(E2191&gt;=01_因子設定!$L$5-0.000000001,E2191&lt;=01_因子設定!$M$5+0.000000001,F2191&gt;=01_因子設定!$L$6-0.000000001,F2191&lt;=01_因子設定!$M$6+0.000000001,G2191&gt;=01_因子設定!$L$7-0.000000001,G2191&lt;=01_因子設定!$M$7+0.000000001,H2191&gt;=01_因子設定!$L$8-0.000000001,H2191&lt;=01_因子設定!$M$8+0.000000001,IF(01_因子設定!$B$20="Box-Behnken",E2191^2+F2191^2+G2191^2+H2191^2&lt;=2+0.000000001,TRUE()))</f>
        <v>1</v>
      </c>
      <c r="AD2191" s="55" t="n">
        <f aca="false">IF(AC2191,IF(01_因子設定!$B$13="最大化",AA2191-01_因子設定!$B$14,IF(01_因子設定!$B$13="最小化",01_因子設定!$B$15-AB2191,MIN(AA2191-01_因子設定!$B$14,01_因子設定!$B$15-AB2191))),-1E+030)</f>
        <v>-2.00002506587275</v>
      </c>
      <c r="AE2191" s="55" t="n">
        <f aca="false">IF(AC2191,IF(01_因子設定!$B$13="最大化",X2191,IF(01_因子設定!$B$13="最小化",-X2191,-ABS(X2191-01_因子設定!$B$16))),-1E+030)</f>
        <v>46.1829678362573</v>
      </c>
      <c r="AF2191" s="55" t="n">
        <f aca="false">AD2191+ROW()*0.000000001</f>
        <v>-2.00002287487275</v>
      </c>
      <c r="AG2191" s="55" t="n">
        <f aca="false">AE2191+ROW()*0.000000001</f>
        <v>46.1829700272573</v>
      </c>
    </row>
    <row r="2192" customFormat="false" ht="15" hidden="false" customHeight="false" outlineLevel="0" collapsed="false">
      <c r="A2192" s="0" t="n">
        <v>3</v>
      </c>
      <c r="B2192" s="0" t="n">
        <v>0</v>
      </c>
      <c r="C2192" s="0" t="n">
        <v>0</v>
      </c>
      <c r="D2192" s="0" t="n">
        <v>0</v>
      </c>
      <c r="E2192" s="0" t="n">
        <f aca="false">-1+A2192*0.25</f>
        <v>-0.25</v>
      </c>
      <c r="F2192" s="0" t="n">
        <f aca="false">-1+B2192*0.25</f>
        <v>-1</v>
      </c>
      <c r="G2192" s="0" t="n">
        <f aca="false">-1+C2192*0.25</f>
        <v>-1</v>
      </c>
      <c r="H2192" s="0" t="n">
        <f aca="false">-1+D2192*0.25</f>
        <v>-1</v>
      </c>
      <c r="I2192" s="0" t="n">
        <f aca="false">1</f>
        <v>1</v>
      </c>
      <c r="J2192" s="0" t="n">
        <f aca="false">E2192</f>
        <v>-0.25</v>
      </c>
      <c r="K2192" s="0" t="n">
        <f aca="false">F2192</f>
        <v>-1</v>
      </c>
      <c r="L2192" s="0" t="n">
        <f aca="false">G2192</f>
        <v>-1</v>
      </c>
      <c r="M2192" s="0" t="n">
        <f aca="false">H2192</f>
        <v>-1</v>
      </c>
      <c r="N2192" s="0" t="n">
        <f aca="false">E2192*F2192</f>
        <v>0.25</v>
      </c>
      <c r="O2192" s="0" t="n">
        <f aca="false">E2192*G2192</f>
        <v>0.25</v>
      </c>
      <c r="P2192" s="0" t="n">
        <f aca="false">E2192*H2192</f>
        <v>0.25</v>
      </c>
      <c r="Q2192" s="0" t="n">
        <f aca="false">F2192*G2192</f>
        <v>1</v>
      </c>
      <c r="R2192" s="0" t="n">
        <f aca="false">F2192*H2192</f>
        <v>1</v>
      </c>
      <c r="S2192" s="0" t="n">
        <f aca="false">G2192*H2192</f>
        <v>1</v>
      </c>
      <c r="T2192" s="0" t="n">
        <f aca="false">E2192*E2192</f>
        <v>0.0625</v>
      </c>
      <c r="U2192" s="0" t="n">
        <f aca="false">F2192*F2192</f>
        <v>1</v>
      </c>
      <c r="V2192" s="0" t="n">
        <f aca="false">G2192*G2192</f>
        <v>1</v>
      </c>
      <c r="W2192" s="0" t="n">
        <f aca="false">H2192*H2192</f>
        <v>1</v>
      </c>
      <c r="X2192" s="0" t="n">
        <f aca="false">SUMPRODUCT(I2192:W2192,_XtX!$B$96:$P$96)</f>
        <v>40.6519005847953</v>
      </c>
      <c r="Y2192" s="0" t="n">
        <f aca="false">SUMPRODUCT(MMULT(I2192:W2192,_XtX!$B$78:$P$92),I2192:W2192)</f>
        <v>0.737093384502924</v>
      </c>
      <c r="Z2192" s="0" t="n">
        <f aca="false">04_回帰ANOVA!$K$19*04_回帰ANOVA!$K$14*SQRT(1+Y2192)</f>
        <v>1.71794784853551</v>
      </c>
      <c r="AA2192" s="0" t="n">
        <f aca="false">X2192-Z2192</f>
        <v>38.9339527362598</v>
      </c>
      <c r="AB2192" s="0" t="n">
        <f aca="false">X2192+Z2192</f>
        <v>42.3698484333308</v>
      </c>
      <c r="AC2192" s="54" t="b">
        <f aca="false">AND(E2192&gt;=01_因子設定!$L$5-0.000000001,E2192&lt;=01_因子設定!$M$5+0.000000001,F2192&gt;=01_因子設定!$L$6-0.000000001,F2192&lt;=01_因子設定!$M$6+0.000000001,G2192&gt;=01_因子設定!$L$7-0.000000001,G2192&lt;=01_因子設定!$M$7+0.000000001,H2192&gt;=01_因子設定!$L$8-0.000000001,H2192&lt;=01_因子設定!$M$8+0.000000001,IF(01_因子設定!$B$20="Box-Behnken",E2192^2+F2192^2+G2192^2+H2192^2&lt;=2+0.000000001,TRUE()))</f>
        <v>1</v>
      </c>
      <c r="AD2192" s="55" t="n">
        <f aca="false">IF(AC2192,IF(01_因子設定!$B$13="最大化",AA2192-01_因子設定!$B$14,IF(01_因子設定!$B$13="最小化",01_因子設定!$B$15-AB2192,MIN(AA2192-01_因子設定!$B$14,01_因子設定!$B$15-AB2192))),-1E+030)</f>
        <v>-7.5660472637402</v>
      </c>
      <c r="AE2192" s="55" t="n">
        <f aca="false">IF(AC2192,IF(01_因子設定!$B$13="最大化",X2192,IF(01_因子設定!$B$13="最小化",-X2192,-ABS(X2192-01_因子設定!$B$16))),-1E+030)</f>
        <v>40.6519005847953</v>
      </c>
      <c r="AF2192" s="55" t="n">
        <f aca="false">AD2192+ROW()*0.000000001</f>
        <v>-7.5660450717402</v>
      </c>
      <c r="AG2192" s="55" t="n">
        <f aca="false">AE2192+ROW()*0.000000001</f>
        <v>40.6519027767953</v>
      </c>
    </row>
    <row r="2193" customFormat="false" ht="15" hidden="false" customHeight="false" outlineLevel="0" collapsed="false">
      <c r="A2193" s="0" t="n">
        <v>3</v>
      </c>
      <c r="B2193" s="0" t="n">
        <v>0</v>
      </c>
      <c r="C2193" s="0" t="n">
        <v>0</v>
      </c>
      <c r="D2193" s="0" t="n">
        <v>1</v>
      </c>
      <c r="E2193" s="0" t="n">
        <f aca="false">-1+A2193*0.25</f>
        <v>-0.25</v>
      </c>
      <c r="F2193" s="0" t="n">
        <f aca="false">-1+B2193*0.25</f>
        <v>-1</v>
      </c>
      <c r="G2193" s="0" t="n">
        <f aca="false">-1+C2193*0.25</f>
        <v>-1</v>
      </c>
      <c r="H2193" s="0" t="n">
        <f aca="false">-1+D2193*0.25</f>
        <v>-0.75</v>
      </c>
      <c r="I2193" s="0" t="n">
        <f aca="false">1</f>
        <v>1</v>
      </c>
      <c r="J2193" s="0" t="n">
        <f aca="false">E2193</f>
        <v>-0.25</v>
      </c>
      <c r="K2193" s="0" t="n">
        <f aca="false">F2193</f>
        <v>-1</v>
      </c>
      <c r="L2193" s="0" t="n">
        <f aca="false">G2193</f>
        <v>-1</v>
      </c>
      <c r="M2193" s="0" t="n">
        <f aca="false">H2193</f>
        <v>-0.75</v>
      </c>
      <c r="N2193" s="0" t="n">
        <f aca="false">E2193*F2193</f>
        <v>0.25</v>
      </c>
      <c r="O2193" s="0" t="n">
        <f aca="false">E2193*G2193</f>
        <v>0.25</v>
      </c>
      <c r="P2193" s="0" t="n">
        <f aca="false">E2193*H2193</f>
        <v>0.1875</v>
      </c>
      <c r="Q2193" s="0" t="n">
        <f aca="false">F2193*G2193</f>
        <v>1</v>
      </c>
      <c r="R2193" s="0" t="n">
        <f aca="false">F2193*H2193</f>
        <v>0.75</v>
      </c>
      <c r="S2193" s="0" t="n">
        <f aca="false">G2193*H2193</f>
        <v>0.75</v>
      </c>
      <c r="T2193" s="0" t="n">
        <f aca="false">E2193*E2193</f>
        <v>0.0625</v>
      </c>
      <c r="U2193" s="0" t="n">
        <f aca="false">F2193*F2193</f>
        <v>1</v>
      </c>
      <c r="V2193" s="0" t="n">
        <f aca="false">G2193*G2193</f>
        <v>1</v>
      </c>
      <c r="W2193" s="0" t="n">
        <f aca="false">H2193*H2193</f>
        <v>0.5625</v>
      </c>
      <c r="X2193" s="0" t="n">
        <f aca="false">SUMPRODUCT(I2193:W2193,_XtX!$B$96:$P$96)</f>
        <v>40.8940515350877</v>
      </c>
      <c r="Y2193" s="0" t="n">
        <f aca="false">SUMPRODUCT(MMULT(I2193:W2193,_XtX!$B$78:$P$92),I2193:W2193)</f>
        <v>0.621372155975877</v>
      </c>
      <c r="Z2193" s="0" t="n">
        <f aca="false">04_回帰ANOVA!$K$19*04_回帰ANOVA!$K$14*SQRT(1+Y2193)</f>
        <v>1.65973880499872</v>
      </c>
      <c r="AA2193" s="0" t="n">
        <f aca="false">X2193-Z2193</f>
        <v>39.234312730089</v>
      </c>
      <c r="AB2193" s="0" t="n">
        <f aca="false">X2193+Z2193</f>
        <v>42.5537903400864</v>
      </c>
      <c r="AC2193" s="54" t="b">
        <f aca="false">AND(E2193&gt;=01_因子設定!$L$5-0.000000001,E2193&lt;=01_因子設定!$M$5+0.000000001,F2193&gt;=01_因子設定!$L$6-0.000000001,F2193&lt;=01_因子設定!$M$6+0.000000001,G2193&gt;=01_因子設定!$L$7-0.000000001,G2193&lt;=01_因子設定!$M$7+0.000000001,H2193&gt;=01_因子設定!$L$8-0.000000001,H2193&lt;=01_因子設定!$M$8+0.000000001,IF(01_因子設定!$B$20="Box-Behnken",E2193^2+F2193^2+G2193^2+H2193^2&lt;=2+0.000000001,TRUE()))</f>
        <v>1</v>
      </c>
      <c r="AD2193" s="55" t="n">
        <f aca="false">IF(AC2193,IF(01_因子設定!$B$13="最大化",AA2193-01_因子設定!$B$14,IF(01_因子設定!$B$13="最小化",01_因子設定!$B$15-AB2193,MIN(AA2193-01_因子設定!$B$14,01_因子設定!$B$15-AB2193))),-1E+030)</f>
        <v>-7.26568726991103</v>
      </c>
      <c r="AE2193" s="55" t="n">
        <f aca="false">IF(AC2193,IF(01_因子設定!$B$13="最大化",X2193,IF(01_因子設定!$B$13="最小化",-X2193,-ABS(X2193-01_因子設定!$B$16))),-1E+030)</f>
        <v>40.8940515350877</v>
      </c>
      <c r="AF2193" s="55" t="n">
        <f aca="false">AD2193+ROW()*0.000000001</f>
        <v>-7.26568507691103</v>
      </c>
      <c r="AG2193" s="55" t="n">
        <f aca="false">AE2193+ROW()*0.000000001</f>
        <v>40.8940537280877</v>
      </c>
    </row>
    <row r="2194" customFormat="false" ht="15" hidden="false" customHeight="false" outlineLevel="0" collapsed="false">
      <c r="A2194" s="0" t="n">
        <v>3</v>
      </c>
      <c r="B2194" s="0" t="n">
        <v>0</v>
      </c>
      <c r="C2194" s="0" t="n">
        <v>0</v>
      </c>
      <c r="D2194" s="0" t="n">
        <v>2</v>
      </c>
      <c r="E2194" s="0" t="n">
        <f aca="false">-1+A2194*0.25</f>
        <v>-0.25</v>
      </c>
      <c r="F2194" s="0" t="n">
        <f aca="false">-1+B2194*0.25</f>
        <v>-1</v>
      </c>
      <c r="G2194" s="0" t="n">
        <f aca="false">-1+C2194*0.25</f>
        <v>-1</v>
      </c>
      <c r="H2194" s="0" t="n">
        <f aca="false">-1+D2194*0.25</f>
        <v>-0.5</v>
      </c>
      <c r="I2194" s="0" t="n">
        <f aca="false">1</f>
        <v>1</v>
      </c>
      <c r="J2194" s="0" t="n">
        <f aca="false">E2194</f>
        <v>-0.25</v>
      </c>
      <c r="K2194" s="0" t="n">
        <f aca="false">F2194</f>
        <v>-1</v>
      </c>
      <c r="L2194" s="0" t="n">
        <f aca="false">G2194</f>
        <v>-1</v>
      </c>
      <c r="M2194" s="0" t="n">
        <f aca="false">H2194</f>
        <v>-0.5</v>
      </c>
      <c r="N2194" s="0" t="n">
        <f aca="false">E2194*F2194</f>
        <v>0.25</v>
      </c>
      <c r="O2194" s="0" t="n">
        <f aca="false">E2194*G2194</f>
        <v>0.25</v>
      </c>
      <c r="P2194" s="0" t="n">
        <f aca="false">E2194*H2194</f>
        <v>0.125</v>
      </c>
      <c r="Q2194" s="0" t="n">
        <f aca="false">F2194*G2194</f>
        <v>1</v>
      </c>
      <c r="R2194" s="0" t="n">
        <f aca="false">F2194*H2194</f>
        <v>0.5</v>
      </c>
      <c r="S2194" s="0" t="n">
        <f aca="false">G2194*H2194</f>
        <v>0.5</v>
      </c>
      <c r="T2194" s="0" t="n">
        <f aca="false">E2194*E2194</f>
        <v>0.0625</v>
      </c>
      <c r="U2194" s="0" t="n">
        <f aca="false">F2194*F2194</f>
        <v>1</v>
      </c>
      <c r="V2194" s="0" t="n">
        <f aca="false">G2194*G2194</f>
        <v>1</v>
      </c>
      <c r="W2194" s="0" t="n">
        <f aca="false">H2194*H2194</f>
        <v>0.25</v>
      </c>
      <c r="X2194" s="0" t="n">
        <f aca="false">SUMPRODUCT(I2194:W2194,_XtX!$B$96:$P$96)</f>
        <v>41.0883954678362</v>
      </c>
      <c r="Y2194" s="0" t="n">
        <f aca="false">SUMPRODUCT(MMULT(I2194:W2194,_XtX!$B$78:$P$92),I2194:W2194)</f>
        <v>0.629174661915205</v>
      </c>
      <c r="Z2194" s="0" t="n">
        <f aca="false">04_回帰ANOVA!$K$19*04_回帰ANOVA!$K$14*SQRT(1+Y2194)</f>
        <v>1.66372758058297</v>
      </c>
      <c r="AA2194" s="0" t="n">
        <f aca="false">X2194-Z2194</f>
        <v>39.4246678872532</v>
      </c>
      <c r="AB2194" s="0" t="n">
        <f aca="false">X2194+Z2194</f>
        <v>42.7521230484192</v>
      </c>
      <c r="AC2194" s="54" t="b">
        <f aca="false">AND(E2194&gt;=01_因子設定!$L$5-0.000000001,E2194&lt;=01_因子設定!$M$5+0.000000001,F2194&gt;=01_因子設定!$L$6-0.000000001,F2194&lt;=01_因子設定!$M$6+0.000000001,G2194&gt;=01_因子設定!$L$7-0.000000001,G2194&lt;=01_因子設定!$M$7+0.000000001,H2194&gt;=01_因子設定!$L$8-0.000000001,H2194&lt;=01_因子設定!$M$8+0.000000001,IF(01_因子設定!$B$20="Box-Behnken",E2194^2+F2194^2+G2194^2+H2194^2&lt;=2+0.000000001,TRUE()))</f>
        <v>1</v>
      </c>
      <c r="AD2194" s="55" t="n">
        <f aca="false">IF(AC2194,IF(01_因子設定!$B$13="最大化",AA2194-01_因子設定!$B$14,IF(01_因子設定!$B$13="最小化",01_因子設定!$B$15-AB2194,MIN(AA2194-01_因子設定!$B$14,01_因子設定!$B$15-AB2194))),-1E+030)</f>
        <v>-7.07533211274676</v>
      </c>
      <c r="AE2194" s="55" t="n">
        <f aca="false">IF(AC2194,IF(01_因子設定!$B$13="最大化",X2194,IF(01_因子設定!$B$13="最小化",-X2194,-ABS(X2194-01_因子設定!$B$16))),-1E+030)</f>
        <v>41.0883954678362</v>
      </c>
      <c r="AF2194" s="55" t="n">
        <f aca="false">AD2194+ROW()*0.000000001</f>
        <v>-7.07532991874676</v>
      </c>
      <c r="AG2194" s="55" t="n">
        <f aca="false">AE2194+ROW()*0.000000001</f>
        <v>41.0883976618362</v>
      </c>
    </row>
    <row r="2195" customFormat="false" ht="15" hidden="false" customHeight="false" outlineLevel="0" collapsed="false">
      <c r="A2195" s="0" t="n">
        <v>3</v>
      </c>
      <c r="B2195" s="0" t="n">
        <v>0</v>
      </c>
      <c r="C2195" s="0" t="n">
        <v>0</v>
      </c>
      <c r="D2195" s="0" t="n">
        <v>3</v>
      </c>
      <c r="E2195" s="0" t="n">
        <f aca="false">-1+A2195*0.25</f>
        <v>-0.25</v>
      </c>
      <c r="F2195" s="0" t="n">
        <f aca="false">-1+B2195*0.25</f>
        <v>-1</v>
      </c>
      <c r="G2195" s="0" t="n">
        <f aca="false">-1+C2195*0.25</f>
        <v>-1</v>
      </c>
      <c r="H2195" s="0" t="n">
        <f aca="false">-1+D2195*0.25</f>
        <v>-0.25</v>
      </c>
      <c r="I2195" s="0" t="n">
        <f aca="false">1</f>
        <v>1</v>
      </c>
      <c r="J2195" s="0" t="n">
        <f aca="false">E2195</f>
        <v>-0.25</v>
      </c>
      <c r="K2195" s="0" t="n">
        <f aca="false">F2195</f>
        <v>-1</v>
      </c>
      <c r="L2195" s="0" t="n">
        <f aca="false">G2195</f>
        <v>-1</v>
      </c>
      <c r="M2195" s="0" t="n">
        <f aca="false">H2195</f>
        <v>-0.25</v>
      </c>
      <c r="N2195" s="0" t="n">
        <f aca="false">E2195*F2195</f>
        <v>0.25</v>
      </c>
      <c r="O2195" s="0" t="n">
        <f aca="false">E2195*G2195</f>
        <v>0.25</v>
      </c>
      <c r="P2195" s="0" t="n">
        <f aca="false">E2195*H2195</f>
        <v>0.0625</v>
      </c>
      <c r="Q2195" s="0" t="n">
        <f aca="false">F2195*G2195</f>
        <v>1</v>
      </c>
      <c r="R2195" s="0" t="n">
        <f aca="false">F2195*H2195</f>
        <v>0.25</v>
      </c>
      <c r="S2195" s="0" t="n">
        <f aca="false">G2195*H2195</f>
        <v>0.25</v>
      </c>
      <c r="T2195" s="0" t="n">
        <f aca="false">E2195*E2195</f>
        <v>0.0625</v>
      </c>
      <c r="U2195" s="0" t="n">
        <f aca="false">F2195*F2195</f>
        <v>1</v>
      </c>
      <c r="V2195" s="0" t="n">
        <f aca="false">G2195*G2195</f>
        <v>1</v>
      </c>
      <c r="W2195" s="0" t="n">
        <f aca="false">H2195*H2195</f>
        <v>0.0625</v>
      </c>
      <c r="X2195" s="0" t="n">
        <f aca="false">SUMPRODUCT(I2195:W2195,_XtX!$B$96:$P$96)</f>
        <v>41.2349323830409</v>
      </c>
      <c r="Y2195" s="0" t="n">
        <f aca="false">SUMPRODUCT(MMULT(I2195:W2195,_XtX!$B$78:$P$92),I2195:W2195)</f>
        <v>0.670040376005117</v>
      </c>
      <c r="Z2195" s="0" t="n">
        <f aca="false">04_回帰ANOVA!$K$19*04_回帰ANOVA!$K$14*SQRT(1+Y2195)</f>
        <v>1.68446456039992</v>
      </c>
      <c r="AA2195" s="0" t="n">
        <f aca="false">X2195-Z2195</f>
        <v>39.550467822641</v>
      </c>
      <c r="AB2195" s="0" t="n">
        <f aca="false">X2195+Z2195</f>
        <v>42.9193969434408</v>
      </c>
      <c r="AC2195" s="54" t="b">
        <f aca="false">AND(E2195&gt;=01_因子設定!$L$5-0.000000001,E2195&lt;=01_因子設定!$M$5+0.000000001,F2195&gt;=01_因子設定!$L$6-0.000000001,F2195&lt;=01_因子設定!$M$6+0.000000001,G2195&gt;=01_因子設定!$L$7-0.000000001,G2195&lt;=01_因子設定!$M$7+0.000000001,H2195&gt;=01_因子設定!$L$8-0.000000001,H2195&lt;=01_因子設定!$M$8+0.000000001,IF(01_因子設定!$B$20="Box-Behnken",E2195^2+F2195^2+G2195^2+H2195^2&lt;=2+0.000000001,TRUE()))</f>
        <v>1</v>
      </c>
      <c r="AD2195" s="55" t="n">
        <f aca="false">IF(AC2195,IF(01_因子設定!$B$13="最大化",AA2195-01_因子設定!$B$14,IF(01_因子設定!$B$13="最小化",01_因子設定!$B$15-AB2195,MIN(AA2195-01_因子設定!$B$14,01_因子設定!$B$15-AB2195))),-1E+030)</f>
        <v>-6.94953217735904</v>
      </c>
      <c r="AE2195" s="55" t="n">
        <f aca="false">IF(AC2195,IF(01_因子設定!$B$13="最大化",X2195,IF(01_因子設定!$B$13="最小化",-X2195,-ABS(X2195-01_因子設定!$B$16))),-1E+030)</f>
        <v>41.2349323830409</v>
      </c>
      <c r="AF2195" s="55" t="n">
        <f aca="false">AD2195+ROW()*0.000000001</f>
        <v>-6.94952998235904</v>
      </c>
      <c r="AG2195" s="55" t="n">
        <f aca="false">AE2195+ROW()*0.000000001</f>
        <v>41.2349345780409</v>
      </c>
    </row>
    <row r="2196" customFormat="false" ht="15" hidden="false" customHeight="false" outlineLevel="0" collapsed="false">
      <c r="A2196" s="0" t="n">
        <v>3</v>
      </c>
      <c r="B2196" s="0" t="n">
        <v>0</v>
      </c>
      <c r="C2196" s="0" t="n">
        <v>0</v>
      </c>
      <c r="D2196" s="0" t="n">
        <v>4</v>
      </c>
      <c r="E2196" s="0" t="n">
        <f aca="false">-1+A2196*0.25</f>
        <v>-0.25</v>
      </c>
      <c r="F2196" s="0" t="n">
        <f aca="false">-1+B2196*0.25</f>
        <v>-1</v>
      </c>
      <c r="G2196" s="0" t="n">
        <f aca="false">-1+C2196*0.25</f>
        <v>-1</v>
      </c>
      <c r="H2196" s="0" t="n">
        <f aca="false">-1+D2196*0.25</f>
        <v>0</v>
      </c>
      <c r="I2196" s="0" t="n">
        <f aca="false">1</f>
        <v>1</v>
      </c>
      <c r="J2196" s="0" t="n">
        <f aca="false">E2196</f>
        <v>-0.25</v>
      </c>
      <c r="K2196" s="0" t="n">
        <f aca="false">F2196</f>
        <v>-1</v>
      </c>
      <c r="L2196" s="0" t="n">
        <f aca="false">G2196</f>
        <v>-1</v>
      </c>
      <c r="M2196" s="0" t="n">
        <f aca="false">H2196</f>
        <v>0</v>
      </c>
      <c r="N2196" s="0" t="n">
        <f aca="false">E2196*F2196</f>
        <v>0.25</v>
      </c>
      <c r="O2196" s="0" t="n">
        <f aca="false">E2196*G2196</f>
        <v>0.25</v>
      </c>
      <c r="P2196" s="0" t="n">
        <f aca="false">E2196*H2196</f>
        <v>-0</v>
      </c>
      <c r="Q2196" s="0" t="n">
        <f aca="false">F2196*G2196</f>
        <v>1</v>
      </c>
      <c r="R2196" s="0" t="n">
        <f aca="false">F2196*H2196</f>
        <v>-0</v>
      </c>
      <c r="S2196" s="0" t="n">
        <f aca="false">G2196*H2196</f>
        <v>-0</v>
      </c>
      <c r="T2196" s="0" t="n">
        <f aca="false">E2196*E2196</f>
        <v>0.0625</v>
      </c>
      <c r="U2196" s="0" t="n">
        <f aca="false">F2196*F2196</f>
        <v>1</v>
      </c>
      <c r="V2196" s="0" t="n">
        <f aca="false">G2196*G2196</f>
        <v>1</v>
      </c>
      <c r="W2196" s="0" t="n">
        <f aca="false">H2196*H2196</f>
        <v>0</v>
      </c>
      <c r="X2196" s="0" t="n">
        <f aca="false">SUMPRODUCT(I2196:W2196,_XtX!$B$96:$P$96)</f>
        <v>41.3336622807017</v>
      </c>
      <c r="Y2196" s="0" t="n">
        <f aca="false">SUMPRODUCT(MMULT(I2196:W2196,_XtX!$B$78:$P$92),I2196:W2196)</f>
        <v>0.689692982456141</v>
      </c>
      <c r="Z2196" s="0" t="n">
        <f aca="false">04_回帰ANOVA!$K$19*04_回帰ANOVA!$K$14*SQRT(1+Y2196)</f>
        <v>1.69434674594998</v>
      </c>
      <c r="AA2196" s="0" t="n">
        <f aca="false">X2196-Z2196</f>
        <v>39.6393155347517</v>
      </c>
      <c r="AB2196" s="0" t="n">
        <f aca="false">X2196+Z2196</f>
        <v>43.0280090266517</v>
      </c>
      <c r="AC2196" s="54" t="b">
        <f aca="false">AND(E2196&gt;=01_因子設定!$L$5-0.000000001,E2196&lt;=01_因子設定!$M$5+0.000000001,F2196&gt;=01_因子設定!$L$6-0.000000001,F2196&lt;=01_因子設定!$M$6+0.000000001,G2196&gt;=01_因子設定!$L$7-0.000000001,G2196&lt;=01_因子設定!$M$7+0.000000001,H2196&gt;=01_因子設定!$L$8-0.000000001,H2196&lt;=01_因子設定!$M$8+0.000000001,IF(01_因子設定!$B$20="Box-Behnken",E2196^2+F2196^2+G2196^2+H2196^2&lt;=2+0.000000001,TRUE()))</f>
        <v>1</v>
      </c>
      <c r="AD2196" s="55" t="n">
        <f aca="false">IF(AC2196,IF(01_因子設定!$B$13="最大化",AA2196-01_因子設定!$B$14,IF(01_因子設定!$B$13="最小化",01_因子設定!$B$15-AB2196,MIN(AA2196-01_因子設定!$B$14,01_因子設定!$B$15-AB2196))),-1E+030)</f>
        <v>-6.86068446524829</v>
      </c>
      <c r="AE2196" s="55" t="n">
        <f aca="false">IF(AC2196,IF(01_因子設定!$B$13="最大化",X2196,IF(01_因子設定!$B$13="最小化",-X2196,-ABS(X2196-01_因子設定!$B$16))),-1E+030)</f>
        <v>41.3336622807017</v>
      </c>
      <c r="AF2196" s="55" t="n">
        <f aca="false">AD2196+ROW()*0.000000001</f>
        <v>-6.86068226924829</v>
      </c>
      <c r="AG2196" s="55" t="n">
        <f aca="false">AE2196+ROW()*0.000000001</f>
        <v>41.3336644767017</v>
      </c>
    </row>
    <row r="2197" customFormat="false" ht="15" hidden="false" customHeight="false" outlineLevel="0" collapsed="false">
      <c r="A2197" s="0" t="n">
        <v>3</v>
      </c>
      <c r="B2197" s="0" t="n">
        <v>0</v>
      </c>
      <c r="C2197" s="0" t="n">
        <v>0</v>
      </c>
      <c r="D2197" s="0" t="n">
        <v>5</v>
      </c>
      <c r="E2197" s="0" t="n">
        <f aca="false">-1+A2197*0.25</f>
        <v>-0.25</v>
      </c>
      <c r="F2197" s="0" t="n">
        <f aca="false">-1+B2197*0.25</f>
        <v>-1</v>
      </c>
      <c r="G2197" s="0" t="n">
        <f aca="false">-1+C2197*0.25</f>
        <v>-1</v>
      </c>
      <c r="H2197" s="0" t="n">
        <f aca="false">-1+D2197*0.25</f>
        <v>0.25</v>
      </c>
      <c r="I2197" s="0" t="n">
        <f aca="false">1</f>
        <v>1</v>
      </c>
      <c r="J2197" s="0" t="n">
        <f aca="false">E2197</f>
        <v>-0.25</v>
      </c>
      <c r="K2197" s="0" t="n">
        <f aca="false">F2197</f>
        <v>-1</v>
      </c>
      <c r="L2197" s="0" t="n">
        <f aca="false">G2197</f>
        <v>-1</v>
      </c>
      <c r="M2197" s="0" t="n">
        <f aca="false">H2197</f>
        <v>0.25</v>
      </c>
      <c r="N2197" s="0" t="n">
        <f aca="false">E2197*F2197</f>
        <v>0.25</v>
      </c>
      <c r="O2197" s="0" t="n">
        <f aca="false">E2197*G2197</f>
        <v>0.25</v>
      </c>
      <c r="P2197" s="0" t="n">
        <f aca="false">E2197*H2197</f>
        <v>-0.0625</v>
      </c>
      <c r="Q2197" s="0" t="n">
        <f aca="false">F2197*G2197</f>
        <v>1</v>
      </c>
      <c r="R2197" s="0" t="n">
        <f aca="false">F2197*H2197</f>
        <v>-0.25</v>
      </c>
      <c r="S2197" s="0" t="n">
        <f aca="false">G2197*H2197</f>
        <v>-0.25</v>
      </c>
      <c r="T2197" s="0" t="n">
        <f aca="false">E2197*E2197</f>
        <v>0.0625</v>
      </c>
      <c r="U2197" s="0" t="n">
        <f aca="false">F2197*F2197</f>
        <v>1</v>
      </c>
      <c r="V2197" s="0" t="n">
        <f aca="false">G2197*G2197</f>
        <v>1</v>
      </c>
      <c r="W2197" s="0" t="n">
        <f aca="false">H2197*H2197</f>
        <v>0.0625</v>
      </c>
      <c r="X2197" s="0" t="n">
        <f aca="false">SUMPRODUCT(I2197:W2197,_XtX!$B$96:$P$96)</f>
        <v>41.3845851608187</v>
      </c>
      <c r="Y2197" s="0" t="n">
        <f aca="false">SUMPRODUCT(MMULT(I2197:W2197,_XtX!$B$78:$P$92),I2197:W2197)</f>
        <v>0.670040376005117</v>
      </c>
      <c r="Z2197" s="0" t="n">
        <f aca="false">04_回帰ANOVA!$K$19*04_回帰ANOVA!$K$14*SQRT(1+Y2197)</f>
        <v>1.68446456039992</v>
      </c>
      <c r="AA2197" s="0" t="n">
        <f aca="false">X2197-Z2197</f>
        <v>39.7001206004187</v>
      </c>
      <c r="AB2197" s="0" t="n">
        <f aca="false">X2197+Z2197</f>
        <v>43.0690497212186</v>
      </c>
      <c r="AC2197" s="54" t="b">
        <f aca="false">AND(E2197&gt;=01_因子設定!$L$5-0.000000001,E2197&lt;=01_因子設定!$M$5+0.000000001,F2197&gt;=01_因子設定!$L$6-0.000000001,F2197&lt;=01_因子設定!$M$6+0.000000001,G2197&gt;=01_因子設定!$L$7-0.000000001,G2197&lt;=01_因子設定!$M$7+0.000000001,H2197&gt;=01_因子設定!$L$8-0.000000001,H2197&lt;=01_因子設定!$M$8+0.000000001,IF(01_因子設定!$B$20="Box-Behnken",E2197^2+F2197^2+G2197^2+H2197^2&lt;=2+0.000000001,TRUE()))</f>
        <v>1</v>
      </c>
      <c r="AD2197" s="55" t="n">
        <f aca="false">IF(AC2197,IF(01_因子設定!$B$13="最大化",AA2197-01_因子設定!$B$14,IF(01_因子設定!$B$13="最小化",01_因子設定!$B$15-AB2197,MIN(AA2197-01_因子設定!$B$14,01_因子設定!$B$15-AB2197))),-1E+030)</f>
        <v>-6.79987939958126</v>
      </c>
      <c r="AE2197" s="55" t="n">
        <f aca="false">IF(AC2197,IF(01_因子設定!$B$13="最大化",X2197,IF(01_因子設定!$B$13="最小化",-X2197,-ABS(X2197-01_因子設定!$B$16))),-1E+030)</f>
        <v>41.3845851608187</v>
      </c>
      <c r="AF2197" s="55" t="n">
        <f aca="false">AD2197+ROW()*0.000000001</f>
        <v>-6.79987720258126</v>
      </c>
      <c r="AG2197" s="55" t="n">
        <f aca="false">AE2197+ROW()*0.000000001</f>
        <v>41.3845873578187</v>
      </c>
    </row>
    <row r="2198" customFormat="false" ht="15" hidden="false" customHeight="false" outlineLevel="0" collapsed="false">
      <c r="A2198" s="0" t="n">
        <v>3</v>
      </c>
      <c r="B2198" s="0" t="n">
        <v>0</v>
      </c>
      <c r="C2198" s="0" t="n">
        <v>0</v>
      </c>
      <c r="D2198" s="0" t="n">
        <v>6</v>
      </c>
      <c r="E2198" s="0" t="n">
        <f aca="false">-1+A2198*0.25</f>
        <v>-0.25</v>
      </c>
      <c r="F2198" s="0" t="n">
        <f aca="false">-1+B2198*0.25</f>
        <v>-1</v>
      </c>
      <c r="G2198" s="0" t="n">
        <f aca="false">-1+C2198*0.25</f>
        <v>-1</v>
      </c>
      <c r="H2198" s="0" t="n">
        <f aca="false">-1+D2198*0.25</f>
        <v>0.5</v>
      </c>
      <c r="I2198" s="0" t="n">
        <f aca="false">1</f>
        <v>1</v>
      </c>
      <c r="J2198" s="0" t="n">
        <f aca="false">E2198</f>
        <v>-0.25</v>
      </c>
      <c r="K2198" s="0" t="n">
        <f aca="false">F2198</f>
        <v>-1</v>
      </c>
      <c r="L2198" s="0" t="n">
        <f aca="false">G2198</f>
        <v>-1</v>
      </c>
      <c r="M2198" s="0" t="n">
        <f aca="false">H2198</f>
        <v>0.5</v>
      </c>
      <c r="N2198" s="0" t="n">
        <f aca="false">E2198*F2198</f>
        <v>0.25</v>
      </c>
      <c r="O2198" s="0" t="n">
        <f aca="false">E2198*G2198</f>
        <v>0.25</v>
      </c>
      <c r="P2198" s="0" t="n">
        <f aca="false">E2198*H2198</f>
        <v>-0.125</v>
      </c>
      <c r="Q2198" s="0" t="n">
        <f aca="false">F2198*G2198</f>
        <v>1</v>
      </c>
      <c r="R2198" s="0" t="n">
        <f aca="false">F2198*H2198</f>
        <v>-0.5</v>
      </c>
      <c r="S2198" s="0" t="n">
        <f aca="false">G2198*H2198</f>
        <v>-0.5</v>
      </c>
      <c r="T2198" s="0" t="n">
        <f aca="false">E2198*E2198</f>
        <v>0.0625</v>
      </c>
      <c r="U2198" s="0" t="n">
        <f aca="false">F2198*F2198</f>
        <v>1</v>
      </c>
      <c r="V2198" s="0" t="n">
        <f aca="false">G2198*G2198</f>
        <v>1</v>
      </c>
      <c r="W2198" s="0" t="n">
        <f aca="false">H2198*H2198</f>
        <v>0.25</v>
      </c>
      <c r="X2198" s="0" t="n">
        <f aca="false">SUMPRODUCT(I2198:W2198,_XtX!$B$96:$P$96)</f>
        <v>41.3877010233918</v>
      </c>
      <c r="Y2198" s="0" t="n">
        <f aca="false">SUMPRODUCT(MMULT(I2198:W2198,_XtX!$B$78:$P$92),I2198:W2198)</f>
        <v>0.629174661915205</v>
      </c>
      <c r="Z2198" s="0" t="n">
        <f aca="false">04_回帰ANOVA!$K$19*04_回帰ANOVA!$K$14*SQRT(1+Y2198)</f>
        <v>1.66372758058297</v>
      </c>
      <c r="AA2198" s="0" t="n">
        <f aca="false">X2198-Z2198</f>
        <v>39.7239734428088</v>
      </c>
      <c r="AB2198" s="0" t="n">
        <f aca="false">X2198+Z2198</f>
        <v>43.0514286039747</v>
      </c>
      <c r="AC2198" s="54" t="b">
        <f aca="false">AND(E2198&gt;=01_因子設定!$L$5-0.000000001,E2198&lt;=01_因子設定!$M$5+0.000000001,F2198&gt;=01_因子設定!$L$6-0.000000001,F2198&lt;=01_因子設定!$M$6+0.000000001,G2198&gt;=01_因子設定!$L$7-0.000000001,G2198&lt;=01_因子設定!$M$7+0.000000001,H2198&gt;=01_因子設定!$L$8-0.000000001,H2198&lt;=01_因子設定!$M$8+0.000000001,IF(01_因子設定!$B$20="Box-Behnken",E2198^2+F2198^2+G2198^2+H2198^2&lt;=2+0.000000001,TRUE()))</f>
        <v>1</v>
      </c>
      <c r="AD2198" s="55" t="n">
        <f aca="false">IF(AC2198,IF(01_因子設定!$B$13="最大化",AA2198-01_因子設定!$B$14,IF(01_因子設定!$B$13="最小化",01_因子設定!$B$15-AB2198,MIN(AA2198-01_因子設定!$B$14,01_因子設定!$B$15-AB2198))),-1E+030)</f>
        <v>-6.77602655719121</v>
      </c>
      <c r="AE2198" s="55" t="n">
        <f aca="false">IF(AC2198,IF(01_因子設定!$B$13="最大化",X2198,IF(01_因子設定!$B$13="最小化",-X2198,-ABS(X2198-01_因子設定!$B$16))),-1E+030)</f>
        <v>41.3877010233918</v>
      </c>
      <c r="AF2198" s="55" t="n">
        <f aca="false">AD2198+ROW()*0.000000001</f>
        <v>-6.77602435919121</v>
      </c>
      <c r="AG2198" s="55" t="n">
        <f aca="false">AE2198+ROW()*0.000000001</f>
        <v>41.3877032213918</v>
      </c>
    </row>
    <row r="2199" customFormat="false" ht="15" hidden="false" customHeight="false" outlineLevel="0" collapsed="false">
      <c r="A2199" s="0" t="n">
        <v>3</v>
      </c>
      <c r="B2199" s="0" t="n">
        <v>0</v>
      </c>
      <c r="C2199" s="0" t="n">
        <v>0</v>
      </c>
      <c r="D2199" s="0" t="n">
        <v>7</v>
      </c>
      <c r="E2199" s="0" t="n">
        <f aca="false">-1+A2199*0.25</f>
        <v>-0.25</v>
      </c>
      <c r="F2199" s="0" t="n">
        <f aca="false">-1+B2199*0.25</f>
        <v>-1</v>
      </c>
      <c r="G2199" s="0" t="n">
        <f aca="false">-1+C2199*0.25</f>
        <v>-1</v>
      </c>
      <c r="H2199" s="0" t="n">
        <f aca="false">-1+D2199*0.25</f>
        <v>0.75</v>
      </c>
      <c r="I2199" s="0" t="n">
        <f aca="false">1</f>
        <v>1</v>
      </c>
      <c r="J2199" s="0" t="n">
        <f aca="false">E2199</f>
        <v>-0.25</v>
      </c>
      <c r="K2199" s="0" t="n">
        <f aca="false">F2199</f>
        <v>-1</v>
      </c>
      <c r="L2199" s="0" t="n">
        <f aca="false">G2199</f>
        <v>-1</v>
      </c>
      <c r="M2199" s="0" t="n">
        <f aca="false">H2199</f>
        <v>0.75</v>
      </c>
      <c r="N2199" s="0" t="n">
        <f aca="false">E2199*F2199</f>
        <v>0.25</v>
      </c>
      <c r="O2199" s="0" t="n">
        <f aca="false">E2199*G2199</f>
        <v>0.25</v>
      </c>
      <c r="P2199" s="0" t="n">
        <f aca="false">E2199*H2199</f>
        <v>-0.1875</v>
      </c>
      <c r="Q2199" s="0" t="n">
        <f aca="false">F2199*G2199</f>
        <v>1</v>
      </c>
      <c r="R2199" s="0" t="n">
        <f aca="false">F2199*H2199</f>
        <v>-0.75</v>
      </c>
      <c r="S2199" s="0" t="n">
        <f aca="false">G2199*H2199</f>
        <v>-0.75</v>
      </c>
      <c r="T2199" s="0" t="n">
        <f aca="false">E2199*E2199</f>
        <v>0.0625</v>
      </c>
      <c r="U2199" s="0" t="n">
        <f aca="false">F2199*F2199</f>
        <v>1</v>
      </c>
      <c r="V2199" s="0" t="n">
        <f aca="false">G2199*G2199</f>
        <v>1</v>
      </c>
      <c r="W2199" s="0" t="n">
        <f aca="false">H2199*H2199</f>
        <v>0.5625</v>
      </c>
      <c r="X2199" s="0" t="n">
        <f aca="false">SUMPRODUCT(I2199:W2199,_XtX!$B$96:$P$96)</f>
        <v>41.343009868421</v>
      </c>
      <c r="Y2199" s="0" t="n">
        <f aca="false">SUMPRODUCT(MMULT(I2199:W2199,_XtX!$B$78:$P$92),I2199:W2199)</f>
        <v>0.621372155975877</v>
      </c>
      <c r="Z2199" s="0" t="n">
        <f aca="false">04_回帰ANOVA!$K$19*04_回帰ANOVA!$K$14*SQRT(1+Y2199)</f>
        <v>1.65973880499872</v>
      </c>
      <c r="AA2199" s="0" t="n">
        <f aca="false">X2199-Z2199</f>
        <v>39.6832710634223</v>
      </c>
      <c r="AB2199" s="0" t="n">
        <f aca="false">X2199+Z2199</f>
        <v>43.0027486734197</v>
      </c>
      <c r="AC2199" s="54" t="b">
        <f aca="false">AND(E2199&gt;=01_因子設定!$L$5-0.000000001,E2199&lt;=01_因子設定!$M$5+0.000000001,F2199&gt;=01_因子設定!$L$6-0.000000001,F2199&lt;=01_因子設定!$M$6+0.000000001,G2199&gt;=01_因子設定!$L$7-0.000000001,G2199&lt;=01_因子設定!$M$7+0.000000001,H2199&gt;=01_因子設定!$L$8-0.000000001,H2199&lt;=01_因子設定!$M$8+0.000000001,IF(01_因子設定!$B$20="Box-Behnken",E2199^2+F2199^2+G2199^2+H2199^2&lt;=2+0.000000001,TRUE()))</f>
        <v>1</v>
      </c>
      <c r="AD2199" s="55" t="n">
        <f aca="false">IF(AC2199,IF(01_因子設定!$B$13="最大化",AA2199-01_因子設定!$B$14,IF(01_因子設定!$B$13="最小化",01_因子設定!$B$15-AB2199,MIN(AA2199-01_因子設定!$B$14,01_因子設定!$B$15-AB2199))),-1E+030)</f>
        <v>-6.8167289365777</v>
      </c>
      <c r="AE2199" s="55" t="n">
        <f aca="false">IF(AC2199,IF(01_因子設定!$B$13="最大化",X2199,IF(01_因子設定!$B$13="最小化",-X2199,-ABS(X2199-01_因子設定!$B$16))),-1E+030)</f>
        <v>41.343009868421</v>
      </c>
      <c r="AF2199" s="55" t="n">
        <f aca="false">AD2199+ROW()*0.000000001</f>
        <v>-6.8167267375777</v>
      </c>
      <c r="AG2199" s="55" t="n">
        <f aca="false">AE2199+ROW()*0.000000001</f>
        <v>41.343012067421</v>
      </c>
    </row>
    <row r="2200" customFormat="false" ht="15" hidden="false" customHeight="false" outlineLevel="0" collapsed="false">
      <c r="A2200" s="0" t="n">
        <v>3</v>
      </c>
      <c r="B2200" s="0" t="n">
        <v>0</v>
      </c>
      <c r="C2200" s="0" t="n">
        <v>0</v>
      </c>
      <c r="D2200" s="0" t="n">
        <v>8</v>
      </c>
      <c r="E2200" s="0" t="n">
        <f aca="false">-1+A2200*0.25</f>
        <v>-0.25</v>
      </c>
      <c r="F2200" s="0" t="n">
        <f aca="false">-1+B2200*0.25</f>
        <v>-1</v>
      </c>
      <c r="G2200" s="0" t="n">
        <f aca="false">-1+C2200*0.25</f>
        <v>-1</v>
      </c>
      <c r="H2200" s="0" t="n">
        <f aca="false">-1+D2200*0.25</f>
        <v>1</v>
      </c>
      <c r="I2200" s="0" t="n">
        <f aca="false">1</f>
        <v>1</v>
      </c>
      <c r="J2200" s="0" t="n">
        <f aca="false">E2200</f>
        <v>-0.25</v>
      </c>
      <c r="K2200" s="0" t="n">
        <f aca="false">F2200</f>
        <v>-1</v>
      </c>
      <c r="L2200" s="0" t="n">
        <f aca="false">G2200</f>
        <v>-1</v>
      </c>
      <c r="M2200" s="0" t="n">
        <f aca="false">H2200</f>
        <v>1</v>
      </c>
      <c r="N2200" s="0" t="n">
        <f aca="false">E2200*F2200</f>
        <v>0.25</v>
      </c>
      <c r="O2200" s="0" t="n">
        <f aca="false">E2200*G2200</f>
        <v>0.25</v>
      </c>
      <c r="P2200" s="0" t="n">
        <f aca="false">E2200*H2200</f>
        <v>-0.25</v>
      </c>
      <c r="Q2200" s="0" t="n">
        <f aca="false">F2200*G2200</f>
        <v>1</v>
      </c>
      <c r="R2200" s="0" t="n">
        <f aca="false">F2200*H2200</f>
        <v>-1</v>
      </c>
      <c r="S2200" s="0" t="n">
        <f aca="false">G2200*H2200</f>
        <v>-1</v>
      </c>
      <c r="T2200" s="0" t="n">
        <f aca="false">E2200*E2200</f>
        <v>0.0625</v>
      </c>
      <c r="U2200" s="0" t="n">
        <f aca="false">F2200*F2200</f>
        <v>1</v>
      </c>
      <c r="V2200" s="0" t="n">
        <f aca="false">G2200*G2200</f>
        <v>1</v>
      </c>
      <c r="W2200" s="0" t="n">
        <f aca="false">H2200*H2200</f>
        <v>1</v>
      </c>
      <c r="X2200" s="0" t="n">
        <f aca="false">SUMPRODUCT(I2200:W2200,_XtX!$B$96:$P$96)</f>
        <v>41.2505116959064</v>
      </c>
      <c r="Y2200" s="0" t="n">
        <f aca="false">SUMPRODUCT(MMULT(I2200:W2200,_XtX!$B$78:$P$92),I2200:W2200)</f>
        <v>0.737093384502924</v>
      </c>
      <c r="Z2200" s="0" t="n">
        <f aca="false">04_回帰ANOVA!$K$19*04_回帰ANOVA!$K$14*SQRT(1+Y2200)</f>
        <v>1.71794784853551</v>
      </c>
      <c r="AA2200" s="0" t="n">
        <f aca="false">X2200-Z2200</f>
        <v>39.5325638473709</v>
      </c>
      <c r="AB2200" s="0" t="n">
        <f aca="false">X2200+Z2200</f>
        <v>42.9684595444419</v>
      </c>
      <c r="AC2200" s="54" t="b">
        <f aca="false">AND(E2200&gt;=01_因子設定!$L$5-0.000000001,E2200&lt;=01_因子設定!$M$5+0.000000001,F2200&gt;=01_因子設定!$L$6-0.000000001,F2200&lt;=01_因子設定!$M$6+0.000000001,G2200&gt;=01_因子設定!$L$7-0.000000001,G2200&lt;=01_因子設定!$M$7+0.000000001,H2200&gt;=01_因子設定!$L$8-0.000000001,H2200&lt;=01_因子設定!$M$8+0.000000001,IF(01_因子設定!$B$20="Box-Behnken",E2200^2+F2200^2+G2200^2+H2200^2&lt;=2+0.000000001,TRUE()))</f>
        <v>1</v>
      </c>
      <c r="AD2200" s="55" t="n">
        <f aca="false">IF(AC2200,IF(01_因子設定!$B$13="最大化",AA2200-01_因子設定!$B$14,IF(01_因子設定!$B$13="最小化",01_因子設定!$B$15-AB2200,MIN(AA2200-01_因子設定!$B$14,01_因子設定!$B$15-AB2200))),-1E+030)</f>
        <v>-6.96743615262909</v>
      </c>
      <c r="AE2200" s="55" t="n">
        <f aca="false">IF(AC2200,IF(01_因子設定!$B$13="最大化",X2200,IF(01_因子設定!$B$13="最小化",-X2200,-ABS(X2200-01_因子設定!$B$16))),-1E+030)</f>
        <v>41.2505116959064</v>
      </c>
      <c r="AF2200" s="55" t="n">
        <f aca="false">AD2200+ROW()*0.000000001</f>
        <v>-6.96743395262909</v>
      </c>
      <c r="AG2200" s="55" t="n">
        <f aca="false">AE2200+ROW()*0.000000001</f>
        <v>41.2505138959064</v>
      </c>
    </row>
    <row r="2201" customFormat="false" ht="15" hidden="false" customHeight="false" outlineLevel="0" collapsed="false">
      <c r="A2201" s="0" t="n">
        <v>3</v>
      </c>
      <c r="B2201" s="0" t="n">
        <v>0</v>
      </c>
      <c r="C2201" s="0" t="n">
        <v>1</v>
      </c>
      <c r="D2201" s="0" t="n">
        <v>0</v>
      </c>
      <c r="E2201" s="0" t="n">
        <f aca="false">-1+A2201*0.25</f>
        <v>-0.25</v>
      </c>
      <c r="F2201" s="0" t="n">
        <f aca="false">-1+B2201*0.25</f>
        <v>-1</v>
      </c>
      <c r="G2201" s="0" t="n">
        <f aca="false">-1+C2201*0.25</f>
        <v>-0.75</v>
      </c>
      <c r="H2201" s="0" t="n">
        <f aca="false">-1+D2201*0.25</f>
        <v>-1</v>
      </c>
      <c r="I2201" s="0" t="n">
        <f aca="false">1</f>
        <v>1</v>
      </c>
      <c r="J2201" s="0" t="n">
        <f aca="false">E2201</f>
        <v>-0.25</v>
      </c>
      <c r="K2201" s="0" t="n">
        <f aca="false">F2201</f>
        <v>-1</v>
      </c>
      <c r="L2201" s="0" t="n">
        <f aca="false">G2201</f>
        <v>-0.75</v>
      </c>
      <c r="M2201" s="0" t="n">
        <f aca="false">H2201</f>
        <v>-1</v>
      </c>
      <c r="N2201" s="0" t="n">
        <f aca="false">E2201*F2201</f>
        <v>0.25</v>
      </c>
      <c r="O2201" s="0" t="n">
        <f aca="false">E2201*G2201</f>
        <v>0.1875</v>
      </c>
      <c r="P2201" s="0" t="n">
        <f aca="false">E2201*H2201</f>
        <v>0.25</v>
      </c>
      <c r="Q2201" s="0" t="n">
        <f aca="false">F2201*G2201</f>
        <v>0.75</v>
      </c>
      <c r="R2201" s="0" t="n">
        <f aca="false">F2201*H2201</f>
        <v>1</v>
      </c>
      <c r="S2201" s="0" t="n">
        <f aca="false">G2201*H2201</f>
        <v>0.75</v>
      </c>
      <c r="T2201" s="0" t="n">
        <f aca="false">E2201*E2201</f>
        <v>0.0625</v>
      </c>
      <c r="U2201" s="0" t="n">
        <f aca="false">F2201*F2201</f>
        <v>1</v>
      </c>
      <c r="V2201" s="0" t="n">
        <f aca="false">G2201*G2201</f>
        <v>0.5625</v>
      </c>
      <c r="W2201" s="0" t="n">
        <f aca="false">H2201*H2201</f>
        <v>1</v>
      </c>
      <c r="X2201" s="0" t="n">
        <f aca="false">SUMPRODUCT(I2201:W2201,_XtX!$B$96:$P$96)</f>
        <v>41.0869334795321</v>
      </c>
      <c r="Y2201" s="0" t="n">
        <f aca="false">SUMPRODUCT(MMULT(I2201:W2201,_XtX!$B$78:$P$92),I2201:W2201)</f>
        <v>0.621372155975877</v>
      </c>
      <c r="Z2201" s="0" t="n">
        <f aca="false">04_回帰ANOVA!$K$19*04_回帰ANOVA!$K$14*SQRT(1+Y2201)</f>
        <v>1.65973880499872</v>
      </c>
      <c r="AA2201" s="0" t="n">
        <f aca="false">X2201-Z2201</f>
        <v>39.4271946745334</v>
      </c>
      <c r="AB2201" s="0" t="n">
        <f aca="false">X2201+Z2201</f>
        <v>42.7466722845309</v>
      </c>
      <c r="AC2201" s="54" t="b">
        <f aca="false">AND(E2201&gt;=01_因子設定!$L$5-0.000000001,E2201&lt;=01_因子設定!$M$5+0.000000001,F2201&gt;=01_因子設定!$L$6-0.000000001,F2201&lt;=01_因子設定!$M$6+0.000000001,G2201&gt;=01_因子設定!$L$7-0.000000001,G2201&lt;=01_因子設定!$M$7+0.000000001,H2201&gt;=01_因子設定!$L$8-0.000000001,H2201&lt;=01_因子設定!$M$8+0.000000001,IF(01_因子設定!$B$20="Box-Behnken",E2201^2+F2201^2+G2201^2+H2201^2&lt;=2+0.000000001,TRUE()))</f>
        <v>1</v>
      </c>
      <c r="AD2201" s="55" t="n">
        <f aca="false">IF(AC2201,IF(01_因子設定!$B$13="最大化",AA2201-01_因子設定!$B$14,IF(01_因子設定!$B$13="最小化",01_因子設定!$B$15-AB2201,MIN(AA2201-01_因子設定!$B$14,01_因子設定!$B$15-AB2201))),-1E+030)</f>
        <v>-7.07280532546658</v>
      </c>
      <c r="AE2201" s="55" t="n">
        <f aca="false">IF(AC2201,IF(01_因子設定!$B$13="最大化",X2201,IF(01_因子設定!$B$13="最小化",-X2201,-ABS(X2201-01_因子設定!$B$16))),-1E+030)</f>
        <v>41.0869334795321</v>
      </c>
      <c r="AF2201" s="55" t="n">
        <f aca="false">AD2201+ROW()*0.000000001</f>
        <v>-7.07280312446658</v>
      </c>
      <c r="AG2201" s="55" t="n">
        <f aca="false">AE2201+ROW()*0.000000001</f>
        <v>41.0869356805321</v>
      </c>
    </row>
    <row r="2202" customFormat="false" ht="15" hidden="false" customHeight="false" outlineLevel="0" collapsed="false">
      <c r="A2202" s="0" t="n">
        <v>3</v>
      </c>
      <c r="B2202" s="0" t="n">
        <v>0</v>
      </c>
      <c r="C2202" s="0" t="n">
        <v>1</v>
      </c>
      <c r="D2202" s="0" t="n">
        <v>1</v>
      </c>
      <c r="E2202" s="0" t="n">
        <f aca="false">-1+A2202*0.25</f>
        <v>-0.25</v>
      </c>
      <c r="F2202" s="0" t="n">
        <f aca="false">-1+B2202*0.25</f>
        <v>-1</v>
      </c>
      <c r="G2202" s="0" t="n">
        <f aca="false">-1+C2202*0.25</f>
        <v>-0.75</v>
      </c>
      <c r="H2202" s="0" t="n">
        <f aca="false">-1+D2202*0.25</f>
        <v>-0.75</v>
      </c>
      <c r="I2202" s="0" t="n">
        <f aca="false">1</f>
        <v>1</v>
      </c>
      <c r="J2202" s="0" t="n">
        <f aca="false">E2202</f>
        <v>-0.25</v>
      </c>
      <c r="K2202" s="0" t="n">
        <f aca="false">F2202</f>
        <v>-1</v>
      </c>
      <c r="L2202" s="0" t="n">
        <f aca="false">G2202</f>
        <v>-0.75</v>
      </c>
      <c r="M2202" s="0" t="n">
        <f aca="false">H2202</f>
        <v>-0.75</v>
      </c>
      <c r="N2202" s="0" t="n">
        <f aca="false">E2202*F2202</f>
        <v>0.25</v>
      </c>
      <c r="O2202" s="0" t="n">
        <f aca="false">E2202*G2202</f>
        <v>0.1875</v>
      </c>
      <c r="P2202" s="0" t="n">
        <f aca="false">E2202*H2202</f>
        <v>0.1875</v>
      </c>
      <c r="Q2202" s="0" t="n">
        <f aca="false">F2202*G2202</f>
        <v>0.75</v>
      </c>
      <c r="R2202" s="0" t="n">
        <f aca="false">F2202*H2202</f>
        <v>0.75</v>
      </c>
      <c r="S2202" s="0" t="n">
        <f aca="false">G2202*H2202</f>
        <v>0.5625</v>
      </c>
      <c r="T2202" s="0" t="n">
        <f aca="false">E2202*E2202</f>
        <v>0.0625</v>
      </c>
      <c r="U2202" s="0" t="n">
        <f aca="false">F2202*F2202</f>
        <v>1</v>
      </c>
      <c r="V2202" s="0" t="n">
        <f aca="false">G2202*G2202</f>
        <v>0.5625</v>
      </c>
      <c r="W2202" s="0" t="n">
        <f aca="false">H2202*H2202</f>
        <v>0.5625</v>
      </c>
      <c r="X2202" s="0" t="n">
        <f aca="false">SUMPRODUCT(I2202:W2202,_XtX!$B$96:$P$96)</f>
        <v>41.3470531798245</v>
      </c>
      <c r="Y2202" s="0" t="n">
        <f aca="false">SUMPRODUCT(MMULT(I2202:W2202,_XtX!$B$78:$P$92),I2202:W2202)</f>
        <v>0.473959761056287</v>
      </c>
      <c r="Z2202" s="0" t="n">
        <f aca="false">04_回帰ANOVA!$K$19*04_回帰ANOVA!$K$14*SQRT(1+Y2202)</f>
        <v>1.58249084588329</v>
      </c>
      <c r="AA2202" s="0" t="n">
        <f aca="false">X2202-Z2202</f>
        <v>39.7645623339412</v>
      </c>
      <c r="AB2202" s="0" t="n">
        <f aca="false">X2202+Z2202</f>
        <v>42.9295440257078</v>
      </c>
      <c r="AC2202" s="54" t="b">
        <f aca="false">AND(E2202&gt;=01_因子設定!$L$5-0.000000001,E2202&lt;=01_因子設定!$M$5+0.000000001,F2202&gt;=01_因子設定!$L$6-0.000000001,F2202&lt;=01_因子設定!$M$6+0.000000001,G2202&gt;=01_因子設定!$L$7-0.000000001,G2202&lt;=01_因子設定!$M$7+0.000000001,H2202&gt;=01_因子設定!$L$8-0.000000001,H2202&lt;=01_因子設定!$M$8+0.000000001,IF(01_因子設定!$B$20="Box-Behnken",E2202^2+F2202^2+G2202^2+H2202^2&lt;=2+0.000000001,TRUE()))</f>
        <v>1</v>
      </c>
      <c r="AD2202" s="55" t="n">
        <f aca="false">IF(AC2202,IF(01_因子設定!$B$13="最大化",AA2202-01_因子設定!$B$14,IF(01_因子設定!$B$13="最小化",01_因子設定!$B$15-AB2202,MIN(AA2202-01_因子設定!$B$14,01_因子設定!$B$15-AB2202))),-1E+030)</f>
        <v>-6.73543766605877</v>
      </c>
      <c r="AE2202" s="55" t="n">
        <f aca="false">IF(AC2202,IF(01_因子設定!$B$13="最大化",X2202,IF(01_因子設定!$B$13="最小化",-X2202,-ABS(X2202-01_因子設定!$B$16))),-1E+030)</f>
        <v>41.3470531798245</v>
      </c>
      <c r="AF2202" s="55" t="n">
        <f aca="false">AD2202+ROW()*0.000000001</f>
        <v>-6.73543546405877</v>
      </c>
      <c r="AG2202" s="55" t="n">
        <f aca="false">AE2202+ROW()*0.000000001</f>
        <v>41.3470553818245</v>
      </c>
    </row>
    <row r="2203" customFormat="false" ht="15" hidden="false" customHeight="false" outlineLevel="0" collapsed="false">
      <c r="A2203" s="0" t="n">
        <v>3</v>
      </c>
      <c r="B2203" s="0" t="n">
        <v>0</v>
      </c>
      <c r="C2203" s="0" t="n">
        <v>1</v>
      </c>
      <c r="D2203" s="0" t="n">
        <v>2</v>
      </c>
      <c r="E2203" s="0" t="n">
        <f aca="false">-1+A2203*0.25</f>
        <v>-0.25</v>
      </c>
      <c r="F2203" s="0" t="n">
        <f aca="false">-1+B2203*0.25</f>
        <v>-1</v>
      </c>
      <c r="G2203" s="0" t="n">
        <f aca="false">-1+C2203*0.25</f>
        <v>-0.75</v>
      </c>
      <c r="H2203" s="0" t="n">
        <f aca="false">-1+D2203*0.25</f>
        <v>-0.5</v>
      </c>
      <c r="I2203" s="0" t="n">
        <f aca="false">1</f>
        <v>1</v>
      </c>
      <c r="J2203" s="0" t="n">
        <f aca="false">E2203</f>
        <v>-0.25</v>
      </c>
      <c r="K2203" s="0" t="n">
        <f aca="false">F2203</f>
        <v>-1</v>
      </c>
      <c r="L2203" s="0" t="n">
        <f aca="false">G2203</f>
        <v>-0.75</v>
      </c>
      <c r="M2203" s="0" t="n">
        <f aca="false">H2203</f>
        <v>-0.5</v>
      </c>
      <c r="N2203" s="0" t="n">
        <f aca="false">E2203*F2203</f>
        <v>0.25</v>
      </c>
      <c r="O2203" s="0" t="n">
        <f aca="false">E2203*G2203</f>
        <v>0.1875</v>
      </c>
      <c r="P2203" s="0" t="n">
        <f aca="false">E2203*H2203</f>
        <v>0.125</v>
      </c>
      <c r="Q2203" s="0" t="n">
        <f aca="false">F2203*G2203</f>
        <v>0.75</v>
      </c>
      <c r="R2203" s="0" t="n">
        <f aca="false">F2203*H2203</f>
        <v>0.5</v>
      </c>
      <c r="S2203" s="0" t="n">
        <f aca="false">G2203*H2203</f>
        <v>0.375</v>
      </c>
      <c r="T2203" s="0" t="n">
        <f aca="false">E2203*E2203</f>
        <v>0.0625</v>
      </c>
      <c r="U2203" s="0" t="n">
        <f aca="false">F2203*F2203</f>
        <v>1</v>
      </c>
      <c r="V2203" s="0" t="n">
        <f aca="false">G2203*G2203</f>
        <v>0.5625</v>
      </c>
      <c r="W2203" s="0" t="n">
        <f aca="false">H2203*H2203</f>
        <v>0.25</v>
      </c>
      <c r="X2203" s="0" t="n">
        <f aca="false">SUMPRODUCT(I2203:W2203,_XtX!$B$96:$P$96)</f>
        <v>41.5593658625731</v>
      </c>
      <c r="Y2203" s="0" t="n">
        <f aca="false">SUMPRODUCT(MMULT(I2203:W2203,_XtX!$B$78:$P$92),I2203:W2203)</f>
        <v>0.459125719572369</v>
      </c>
      <c r="Z2203" s="0" t="n">
        <f aca="false">04_回帰ANOVA!$K$19*04_回帰ANOVA!$K$14*SQRT(1+Y2203)</f>
        <v>1.57450755575573</v>
      </c>
      <c r="AA2203" s="0" t="n">
        <f aca="false">X2203-Z2203</f>
        <v>39.9848583068173</v>
      </c>
      <c r="AB2203" s="0" t="n">
        <f aca="false">X2203+Z2203</f>
        <v>43.1338734183288</v>
      </c>
      <c r="AC2203" s="54" t="b">
        <f aca="false">AND(E2203&gt;=01_因子設定!$L$5-0.000000001,E2203&lt;=01_因子設定!$M$5+0.000000001,F2203&gt;=01_因子設定!$L$6-0.000000001,F2203&lt;=01_因子設定!$M$6+0.000000001,G2203&gt;=01_因子設定!$L$7-0.000000001,G2203&lt;=01_因子設定!$M$7+0.000000001,H2203&gt;=01_因子設定!$L$8-0.000000001,H2203&lt;=01_因子設定!$M$8+0.000000001,IF(01_因子設定!$B$20="Box-Behnken",E2203^2+F2203^2+G2203^2+H2203^2&lt;=2+0.000000001,TRUE()))</f>
        <v>1</v>
      </c>
      <c r="AD2203" s="55" t="n">
        <f aca="false">IF(AC2203,IF(01_因子設定!$B$13="最大化",AA2203-01_因子設定!$B$14,IF(01_因子設定!$B$13="最小化",01_因子設定!$B$15-AB2203,MIN(AA2203-01_因子設定!$B$14,01_因子設定!$B$15-AB2203))),-1E+030)</f>
        <v>-6.51514169318268</v>
      </c>
      <c r="AE2203" s="55" t="n">
        <f aca="false">IF(AC2203,IF(01_因子設定!$B$13="最大化",X2203,IF(01_因子設定!$B$13="最小化",-X2203,-ABS(X2203-01_因子設定!$B$16))),-1E+030)</f>
        <v>41.5593658625731</v>
      </c>
      <c r="AF2203" s="55" t="n">
        <f aca="false">AD2203+ROW()*0.000000001</f>
        <v>-6.51513949018268</v>
      </c>
      <c r="AG2203" s="55" t="n">
        <f aca="false">AE2203+ROW()*0.000000001</f>
        <v>41.5593680655731</v>
      </c>
    </row>
    <row r="2204" customFormat="false" ht="15" hidden="false" customHeight="false" outlineLevel="0" collapsed="false">
      <c r="A2204" s="0" t="n">
        <v>3</v>
      </c>
      <c r="B2204" s="0" t="n">
        <v>0</v>
      </c>
      <c r="C2204" s="0" t="n">
        <v>1</v>
      </c>
      <c r="D2204" s="0" t="n">
        <v>3</v>
      </c>
      <c r="E2204" s="0" t="n">
        <f aca="false">-1+A2204*0.25</f>
        <v>-0.25</v>
      </c>
      <c r="F2204" s="0" t="n">
        <f aca="false">-1+B2204*0.25</f>
        <v>-1</v>
      </c>
      <c r="G2204" s="0" t="n">
        <f aca="false">-1+C2204*0.25</f>
        <v>-0.75</v>
      </c>
      <c r="H2204" s="0" t="n">
        <f aca="false">-1+D2204*0.25</f>
        <v>-0.25</v>
      </c>
      <c r="I2204" s="0" t="n">
        <f aca="false">1</f>
        <v>1</v>
      </c>
      <c r="J2204" s="0" t="n">
        <f aca="false">E2204</f>
        <v>-0.25</v>
      </c>
      <c r="K2204" s="0" t="n">
        <f aca="false">F2204</f>
        <v>-1</v>
      </c>
      <c r="L2204" s="0" t="n">
        <f aca="false">G2204</f>
        <v>-0.75</v>
      </c>
      <c r="M2204" s="0" t="n">
        <f aca="false">H2204</f>
        <v>-0.25</v>
      </c>
      <c r="N2204" s="0" t="n">
        <f aca="false">E2204*F2204</f>
        <v>0.25</v>
      </c>
      <c r="O2204" s="0" t="n">
        <f aca="false">E2204*G2204</f>
        <v>0.1875</v>
      </c>
      <c r="P2204" s="0" t="n">
        <f aca="false">E2204*H2204</f>
        <v>0.0625</v>
      </c>
      <c r="Q2204" s="0" t="n">
        <f aca="false">F2204*G2204</f>
        <v>0.75</v>
      </c>
      <c r="R2204" s="0" t="n">
        <f aca="false">F2204*H2204</f>
        <v>0.25</v>
      </c>
      <c r="S2204" s="0" t="n">
        <f aca="false">G2204*H2204</f>
        <v>0.1875</v>
      </c>
      <c r="T2204" s="0" t="n">
        <f aca="false">E2204*E2204</f>
        <v>0.0625</v>
      </c>
      <c r="U2204" s="0" t="n">
        <f aca="false">F2204*F2204</f>
        <v>1</v>
      </c>
      <c r="V2204" s="0" t="n">
        <f aca="false">G2204*G2204</f>
        <v>0.5625</v>
      </c>
      <c r="W2204" s="0" t="n">
        <f aca="false">H2204*H2204</f>
        <v>0.0625</v>
      </c>
      <c r="X2204" s="0" t="n">
        <f aca="false">SUMPRODUCT(I2204:W2204,_XtX!$B$96:$P$96)</f>
        <v>41.7238715277777</v>
      </c>
      <c r="Y2204" s="0" t="n">
        <f aca="false">SUMPRODUCT(MMULT(I2204:W2204,_XtX!$B$78:$P$92),I2204:W2204)</f>
        <v>0.486409505208334</v>
      </c>
      <c r="Z2204" s="0" t="n">
        <f aca="false">04_回帰ANOVA!$K$19*04_回帰ANOVA!$K$14*SQRT(1+Y2204)</f>
        <v>1.58916001665498</v>
      </c>
      <c r="AA2204" s="0" t="n">
        <f aca="false">X2204-Z2204</f>
        <v>40.1347115111227</v>
      </c>
      <c r="AB2204" s="0" t="n">
        <f aca="false">X2204+Z2204</f>
        <v>43.3130315444327</v>
      </c>
      <c r="AC2204" s="54" t="b">
        <f aca="false">AND(E2204&gt;=01_因子設定!$L$5-0.000000001,E2204&lt;=01_因子設定!$M$5+0.000000001,F2204&gt;=01_因子設定!$L$6-0.000000001,F2204&lt;=01_因子設定!$M$6+0.000000001,G2204&gt;=01_因子設定!$L$7-0.000000001,G2204&lt;=01_因子設定!$M$7+0.000000001,H2204&gt;=01_因子設定!$L$8-0.000000001,H2204&lt;=01_因子設定!$M$8+0.000000001,IF(01_因子設定!$B$20="Box-Behnken",E2204^2+F2204^2+G2204^2+H2204^2&lt;=2+0.000000001,TRUE()))</f>
        <v>1</v>
      </c>
      <c r="AD2204" s="55" t="n">
        <f aca="false">IF(AC2204,IF(01_因子設定!$B$13="最大化",AA2204-01_因子設定!$B$14,IF(01_因子設定!$B$13="最小化",01_因子設定!$B$15-AB2204,MIN(AA2204-01_因子設定!$B$14,01_因子設定!$B$15-AB2204))),-1E+030)</f>
        <v>-6.36528848887726</v>
      </c>
      <c r="AE2204" s="55" t="n">
        <f aca="false">IF(AC2204,IF(01_因子設定!$B$13="最大化",X2204,IF(01_因子設定!$B$13="最小化",-X2204,-ABS(X2204-01_因子設定!$B$16))),-1E+030)</f>
        <v>41.7238715277777</v>
      </c>
      <c r="AF2204" s="55" t="n">
        <f aca="false">AD2204+ROW()*0.000000001</f>
        <v>-6.36528628487725</v>
      </c>
      <c r="AG2204" s="55" t="n">
        <f aca="false">AE2204+ROW()*0.000000001</f>
        <v>41.7238737317777</v>
      </c>
    </row>
    <row r="2205" customFormat="false" ht="15" hidden="false" customHeight="false" outlineLevel="0" collapsed="false">
      <c r="A2205" s="0" t="n">
        <v>3</v>
      </c>
      <c r="B2205" s="0" t="n">
        <v>0</v>
      </c>
      <c r="C2205" s="0" t="n">
        <v>1</v>
      </c>
      <c r="D2205" s="0" t="n">
        <v>4</v>
      </c>
      <c r="E2205" s="0" t="n">
        <f aca="false">-1+A2205*0.25</f>
        <v>-0.25</v>
      </c>
      <c r="F2205" s="0" t="n">
        <f aca="false">-1+B2205*0.25</f>
        <v>-1</v>
      </c>
      <c r="G2205" s="0" t="n">
        <f aca="false">-1+C2205*0.25</f>
        <v>-0.75</v>
      </c>
      <c r="H2205" s="0" t="n">
        <f aca="false">-1+D2205*0.25</f>
        <v>0</v>
      </c>
      <c r="I2205" s="0" t="n">
        <f aca="false">1</f>
        <v>1</v>
      </c>
      <c r="J2205" s="0" t="n">
        <f aca="false">E2205</f>
        <v>-0.25</v>
      </c>
      <c r="K2205" s="0" t="n">
        <f aca="false">F2205</f>
        <v>-1</v>
      </c>
      <c r="L2205" s="0" t="n">
        <f aca="false">G2205</f>
        <v>-0.75</v>
      </c>
      <c r="M2205" s="0" t="n">
        <f aca="false">H2205</f>
        <v>0</v>
      </c>
      <c r="N2205" s="0" t="n">
        <f aca="false">E2205*F2205</f>
        <v>0.25</v>
      </c>
      <c r="O2205" s="0" t="n">
        <f aca="false">E2205*G2205</f>
        <v>0.1875</v>
      </c>
      <c r="P2205" s="0" t="n">
        <f aca="false">E2205*H2205</f>
        <v>-0</v>
      </c>
      <c r="Q2205" s="0" t="n">
        <f aca="false">F2205*G2205</f>
        <v>0.75</v>
      </c>
      <c r="R2205" s="0" t="n">
        <f aca="false">F2205*H2205</f>
        <v>-0</v>
      </c>
      <c r="S2205" s="0" t="n">
        <f aca="false">G2205*H2205</f>
        <v>-0</v>
      </c>
      <c r="T2205" s="0" t="n">
        <f aca="false">E2205*E2205</f>
        <v>0.0625</v>
      </c>
      <c r="U2205" s="0" t="n">
        <f aca="false">F2205*F2205</f>
        <v>1</v>
      </c>
      <c r="V2205" s="0" t="n">
        <f aca="false">G2205*G2205</f>
        <v>0.5625</v>
      </c>
      <c r="W2205" s="0" t="n">
        <f aca="false">H2205*H2205</f>
        <v>0</v>
      </c>
      <c r="X2205" s="0" t="n">
        <f aca="false">SUMPRODUCT(I2205:W2205,_XtX!$B$96:$P$96)</f>
        <v>41.8405701754385</v>
      </c>
      <c r="Y2205" s="0" t="n">
        <f aca="false">SUMPRODUCT(MMULT(I2205:W2205,_XtX!$B$78:$P$92),I2205:W2205)</f>
        <v>0.501534802174708</v>
      </c>
      <c r="Z2205" s="0" t="n">
        <f aca="false">04_回帰ANOVA!$K$19*04_回帰ANOVA!$K$14*SQRT(1+Y2205)</f>
        <v>1.59722498091333</v>
      </c>
      <c r="AA2205" s="0" t="n">
        <f aca="false">X2205-Z2205</f>
        <v>40.2433451945252</v>
      </c>
      <c r="AB2205" s="0" t="n">
        <f aca="false">X2205+Z2205</f>
        <v>43.4377951563519</v>
      </c>
      <c r="AC2205" s="54" t="b">
        <f aca="false">AND(E2205&gt;=01_因子設定!$L$5-0.000000001,E2205&lt;=01_因子設定!$M$5+0.000000001,F2205&gt;=01_因子設定!$L$6-0.000000001,F2205&lt;=01_因子設定!$M$6+0.000000001,G2205&gt;=01_因子設定!$L$7-0.000000001,G2205&lt;=01_因子設定!$M$7+0.000000001,H2205&gt;=01_因子設定!$L$8-0.000000001,H2205&lt;=01_因子設定!$M$8+0.000000001,IF(01_因子設定!$B$20="Box-Behnken",E2205^2+F2205^2+G2205^2+H2205^2&lt;=2+0.000000001,TRUE()))</f>
        <v>1</v>
      </c>
      <c r="AD2205" s="55" t="n">
        <f aca="false">IF(AC2205,IF(01_因子設定!$B$13="最大化",AA2205-01_因子設定!$B$14,IF(01_因子設定!$B$13="最小化",01_因子設定!$B$15-AB2205,MIN(AA2205-01_因子設定!$B$14,01_因子設定!$B$15-AB2205))),-1E+030)</f>
        <v>-6.2566548054748</v>
      </c>
      <c r="AE2205" s="55" t="n">
        <f aca="false">IF(AC2205,IF(01_因子設定!$B$13="最大化",X2205,IF(01_因子設定!$B$13="最小化",-X2205,-ABS(X2205-01_因子設定!$B$16))),-1E+030)</f>
        <v>41.8405701754385</v>
      </c>
      <c r="AF2205" s="55" t="n">
        <f aca="false">AD2205+ROW()*0.000000001</f>
        <v>-6.2566526004748</v>
      </c>
      <c r="AG2205" s="55" t="n">
        <f aca="false">AE2205+ROW()*0.000000001</f>
        <v>41.8405723804385</v>
      </c>
    </row>
    <row r="2206" customFormat="false" ht="15" hidden="false" customHeight="false" outlineLevel="0" collapsed="false">
      <c r="A2206" s="0" t="n">
        <v>3</v>
      </c>
      <c r="B2206" s="0" t="n">
        <v>0</v>
      </c>
      <c r="C2206" s="0" t="n">
        <v>1</v>
      </c>
      <c r="D2206" s="0" t="n">
        <v>5</v>
      </c>
      <c r="E2206" s="0" t="n">
        <f aca="false">-1+A2206*0.25</f>
        <v>-0.25</v>
      </c>
      <c r="F2206" s="0" t="n">
        <f aca="false">-1+B2206*0.25</f>
        <v>-1</v>
      </c>
      <c r="G2206" s="0" t="n">
        <f aca="false">-1+C2206*0.25</f>
        <v>-0.75</v>
      </c>
      <c r="H2206" s="0" t="n">
        <f aca="false">-1+D2206*0.25</f>
        <v>0.25</v>
      </c>
      <c r="I2206" s="0" t="n">
        <f aca="false">1</f>
        <v>1</v>
      </c>
      <c r="J2206" s="0" t="n">
        <f aca="false">E2206</f>
        <v>-0.25</v>
      </c>
      <c r="K2206" s="0" t="n">
        <f aca="false">F2206</f>
        <v>-1</v>
      </c>
      <c r="L2206" s="0" t="n">
        <f aca="false">G2206</f>
        <v>-0.75</v>
      </c>
      <c r="M2206" s="0" t="n">
        <f aca="false">H2206</f>
        <v>0.25</v>
      </c>
      <c r="N2206" s="0" t="n">
        <f aca="false">E2206*F2206</f>
        <v>0.25</v>
      </c>
      <c r="O2206" s="0" t="n">
        <f aca="false">E2206*G2206</f>
        <v>0.1875</v>
      </c>
      <c r="P2206" s="0" t="n">
        <f aca="false">E2206*H2206</f>
        <v>-0.0625</v>
      </c>
      <c r="Q2206" s="0" t="n">
        <f aca="false">F2206*G2206</f>
        <v>0.75</v>
      </c>
      <c r="R2206" s="0" t="n">
        <f aca="false">F2206*H2206</f>
        <v>-0.25</v>
      </c>
      <c r="S2206" s="0" t="n">
        <f aca="false">G2206*H2206</f>
        <v>-0.1875</v>
      </c>
      <c r="T2206" s="0" t="n">
        <f aca="false">E2206*E2206</f>
        <v>0.0625</v>
      </c>
      <c r="U2206" s="0" t="n">
        <f aca="false">F2206*F2206</f>
        <v>1</v>
      </c>
      <c r="V2206" s="0" t="n">
        <f aca="false">G2206*G2206</f>
        <v>0.5625</v>
      </c>
      <c r="W2206" s="0" t="n">
        <f aca="false">H2206*H2206</f>
        <v>0.0625</v>
      </c>
      <c r="X2206" s="0" t="n">
        <f aca="false">SUMPRODUCT(I2206:W2206,_XtX!$B$96:$P$96)</f>
        <v>41.9094618055555</v>
      </c>
      <c r="Y2206" s="0" t="n">
        <f aca="false">SUMPRODUCT(MMULT(I2206:W2206,_XtX!$B$78:$P$92),I2206:W2206)</f>
        <v>0.486409505208334</v>
      </c>
      <c r="Z2206" s="0" t="n">
        <f aca="false">04_回帰ANOVA!$K$19*04_回帰ANOVA!$K$14*SQRT(1+Y2206)</f>
        <v>1.58916001665498</v>
      </c>
      <c r="AA2206" s="0" t="n">
        <f aca="false">X2206-Z2206</f>
        <v>40.3203017889005</v>
      </c>
      <c r="AB2206" s="0" t="n">
        <f aca="false">X2206+Z2206</f>
        <v>43.4986218222105</v>
      </c>
      <c r="AC2206" s="54" t="b">
        <f aca="false">AND(E2206&gt;=01_因子設定!$L$5-0.000000001,E2206&lt;=01_因子設定!$M$5+0.000000001,F2206&gt;=01_因子設定!$L$6-0.000000001,F2206&lt;=01_因子設定!$M$6+0.000000001,G2206&gt;=01_因子設定!$L$7-0.000000001,G2206&lt;=01_因子設定!$M$7+0.000000001,H2206&gt;=01_因子設定!$L$8-0.000000001,H2206&lt;=01_因子設定!$M$8+0.000000001,IF(01_因子設定!$B$20="Box-Behnken",E2206^2+F2206^2+G2206^2+H2206^2&lt;=2+0.000000001,TRUE()))</f>
        <v>1</v>
      </c>
      <c r="AD2206" s="55" t="n">
        <f aca="false">IF(AC2206,IF(01_因子設定!$B$13="最大化",AA2206-01_因子設定!$B$14,IF(01_因子設定!$B$13="最小化",01_因子設定!$B$15-AB2206,MIN(AA2206-01_因子設定!$B$14,01_因子設定!$B$15-AB2206))),-1E+030)</f>
        <v>-6.17969821109948</v>
      </c>
      <c r="AE2206" s="55" t="n">
        <f aca="false">IF(AC2206,IF(01_因子設定!$B$13="最大化",X2206,IF(01_因子設定!$B$13="最小化",-X2206,-ABS(X2206-01_因子設定!$B$16))),-1E+030)</f>
        <v>41.9094618055555</v>
      </c>
      <c r="AF2206" s="55" t="n">
        <f aca="false">AD2206+ROW()*0.000000001</f>
        <v>-6.17969600509948</v>
      </c>
      <c r="AG2206" s="55" t="n">
        <f aca="false">AE2206+ROW()*0.000000001</f>
        <v>41.9094640115555</v>
      </c>
    </row>
    <row r="2207" customFormat="false" ht="15" hidden="false" customHeight="false" outlineLevel="0" collapsed="false">
      <c r="A2207" s="0" t="n">
        <v>3</v>
      </c>
      <c r="B2207" s="0" t="n">
        <v>0</v>
      </c>
      <c r="C2207" s="0" t="n">
        <v>1</v>
      </c>
      <c r="D2207" s="0" t="n">
        <v>6</v>
      </c>
      <c r="E2207" s="0" t="n">
        <f aca="false">-1+A2207*0.25</f>
        <v>-0.25</v>
      </c>
      <c r="F2207" s="0" t="n">
        <f aca="false">-1+B2207*0.25</f>
        <v>-1</v>
      </c>
      <c r="G2207" s="0" t="n">
        <f aca="false">-1+C2207*0.25</f>
        <v>-0.75</v>
      </c>
      <c r="H2207" s="0" t="n">
        <f aca="false">-1+D2207*0.25</f>
        <v>0.5</v>
      </c>
      <c r="I2207" s="0" t="n">
        <f aca="false">1</f>
        <v>1</v>
      </c>
      <c r="J2207" s="0" t="n">
        <f aca="false">E2207</f>
        <v>-0.25</v>
      </c>
      <c r="K2207" s="0" t="n">
        <f aca="false">F2207</f>
        <v>-1</v>
      </c>
      <c r="L2207" s="0" t="n">
        <f aca="false">G2207</f>
        <v>-0.75</v>
      </c>
      <c r="M2207" s="0" t="n">
        <f aca="false">H2207</f>
        <v>0.5</v>
      </c>
      <c r="N2207" s="0" t="n">
        <f aca="false">E2207*F2207</f>
        <v>0.25</v>
      </c>
      <c r="O2207" s="0" t="n">
        <f aca="false">E2207*G2207</f>
        <v>0.1875</v>
      </c>
      <c r="P2207" s="0" t="n">
        <f aca="false">E2207*H2207</f>
        <v>-0.125</v>
      </c>
      <c r="Q2207" s="0" t="n">
        <f aca="false">F2207*G2207</f>
        <v>0.75</v>
      </c>
      <c r="R2207" s="0" t="n">
        <f aca="false">F2207*H2207</f>
        <v>-0.5</v>
      </c>
      <c r="S2207" s="0" t="n">
        <f aca="false">G2207*H2207</f>
        <v>-0.375</v>
      </c>
      <c r="T2207" s="0" t="n">
        <f aca="false">E2207*E2207</f>
        <v>0.0625</v>
      </c>
      <c r="U2207" s="0" t="n">
        <f aca="false">F2207*F2207</f>
        <v>1</v>
      </c>
      <c r="V2207" s="0" t="n">
        <f aca="false">G2207*G2207</f>
        <v>0.5625</v>
      </c>
      <c r="W2207" s="0" t="n">
        <f aca="false">H2207*H2207</f>
        <v>0.25</v>
      </c>
      <c r="X2207" s="0" t="n">
        <f aca="false">SUMPRODUCT(I2207:W2207,_XtX!$B$96:$P$96)</f>
        <v>41.9305464181286</v>
      </c>
      <c r="Y2207" s="0" t="n">
        <f aca="false">SUMPRODUCT(MMULT(I2207:W2207,_XtX!$B$78:$P$92),I2207:W2207)</f>
        <v>0.459125719572369</v>
      </c>
      <c r="Z2207" s="0" t="n">
        <f aca="false">04_回帰ANOVA!$K$19*04_回帰ANOVA!$K$14*SQRT(1+Y2207)</f>
        <v>1.57450755575573</v>
      </c>
      <c r="AA2207" s="0" t="n">
        <f aca="false">X2207-Z2207</f>
        <v>40.3560388623729</v>
      </c>
      <c r="AB2207" s="0" t="n">
        <f aca="false">X2207+Z2207</f>
        <v>43.5050539738843</v>
      </c>
      <c r="AC2207" s="54" t="b">
        <f aca="false">AND(E2207&gt;=01_因子設定!$L$5-0.000000001,E2207&lt;=01_因子設定!$M$5+0.000000001,F2207&gt;=01_因子設定!$L$6-0.000000001,F2207&lt;=01_因子設定!$M$6+0.000000001,G2207&gt;=01_因子設定!$L$7-0.000000001,G2207&lt;=01_因子設定!$M$7+0.000000001,H2207&gt;=01_因子設定!$L$8-0.000000001,H2207&lt;=01_因子設定!$M$8+0.000000001,IF(01_因子設定!$B$20="Box-Behnken",E2207^2+F2207^2+G2207^2+H2207^2&lt;=2+0.000000001,TRUE()))</f>
        <v>1</v>
      </c>
      <c r="AD2207" s="55" t="n">
        <f aca="false">IF(AC2207,IF(01_因子設定!$B$13="最大化",AA2207-01_因子設定!$B$14,IF(01_因子設定!$B$13="最小化",01_因子設定!$B$15-AB2207,MIN(AA2207-01_因子設定!$B$14,01_因子設定!$B$15-AB2207))),-1E+030)</f>
        <v>-6.14396113762712</v>
      </c>
      <c r="AE2207" s="55" t="n">
        <f aca="false">IF(AC2207,IF(01_因子設定!$B$13="最大化",X2207,IF(01_因子設定!$B$13="最小化",-X2207,-ABS(X2207-01_因子設定!$B$16))),-1E+030)</f>
        <v>41.9305464181286</v>
      </c>
      <c r="AF2207" s="55" t="n">
        <f aca="false">AD2207+ROW()*0.000000001</f>
        <v>-6.14395893062712</v>
      </c>
      <c r="AG2207" s="55" t="n">
        <f aca="false">AE2207+ROW()*0.000000001</f>
        <v>41.9305486251286</v>
      </c>
    </row>
    <row r="2208" customFormat="false" ht="15" hidden="false" customHeight="false" outlineLevel="0" collapsed="false">
      <c r="A2208" s="0" t="n">
        <v>3</v>
      </c>
      <c r="B2208" s="0" t="n">
        <v>0</v>
      </c>
      <c r="C2208" s="0" t="n">
        <v>1</v>
      </c>
      <c r="D2208" s="0" t="n">
        <v>7</v>
      </c>
      <c r="E2208" s="0" t="n">
        <f aca="false">-1+A2208*0.25</f>
        <v>-0.25</v>
      </c>
      <c r="F2208" s="0" t="n">
        <f aca="false">-1+B2208*0.25</f>
        <v>-1</v>
      </c>
      <c r="G2208" s="0" t="n">
        <f aca="false">-1+C2208*0.25</f>
        <v>-0.75</v>
      </c>
      <c r="H2208" s="0" t="n">
        <f aca="false">-1+D2208*0.25</f>
        <v>0.75</v>
      </c>
      <c r="I2208" s="0" t="n">
        <f aca="false">1</f>
        <v>1</v>
      </c>
      <c r="J2208" s="0" t="n">
        <f aca="false">E2208</f>
        <v>-0.25</v>
      </c>
      <c r="K2208" s="0" t="n">
        <f aca="false">F2208</f>
        <v>-1</v>
      </c>
      <c r="L2208" s="0" t="n">
        <f aca="false">G2208</f>
        <v>-0.75</v>
      </c>
      <c r="M2208" s="0" t="n">
        <f aca="false">H2208</f>
        <v>0.75</v>
      </c>
      <c r="N2208" s="0" t="n">
        <f aca="false">E2208*F2208</f>
        <v>0.25</v>
      </c>
      <c r="O2208" s="0" t="n">
        <f aca="false">E2208*G2208</f>
        <v>0.1875</v>
      </c>
      <c r="P2208" s="0" t="n">
        <f aca="false">E2208*H2208</f>
        <v>-0.1875</v>
      </c>
      <c r="Q2208" s="0" t="n">
        <f aca="false">F2208*G2208</f>
        <v>0.75</v>
      </c>
      <c r="R2208" s="0" t="n">
        <f aca="false">F2208*H2208</f>
        <v>-0.75</v>
      </c>
      <c r="S2208" s="0" t="n">
        <f aca="false">G2208*H2208</f>
        <v>-0.5625</v>
      </c>
      <c r="T2208" s="0" t="n">
        <f aca="false">E2208*E2208</f>
        <v>0.0625</v>
      </c>
      <c r="U2208" s="0" t="n">
        <f aca="false">F2208*F2208</f>
        <v>1</v>
      </c>
      <c r="V2208" s="0" t="n">
        <f aca="false">G2208*G2208</f>
        <v>0.5625</v>
      </c>
      <c r="W2208" s="0" t="n">
        <f aca="false">H2208*H2208</f>
        <v>0.5625</v>
      </c>
      <c r="X2208" s="0" t="n">
        <f aca="false">SUMPRODUCT(I2208:W2208,_XtX!$B$96:$P$96)</f>
        <v>41.9038240131579</v>
      </c>
      <c r="Y2208" s="0" t="n">
        <f aca="false">SUMPRODUCT(MMULT(I2208:W2208,_XtX!$B$78:$P$92),I2208:W2208)</f>
        <v>0.473959761056287</v>
      </c>
      <c r="Z2208" s="0" t="n">
        <f aca="false">04_回帰ANOVA!$K$19*04_回帰ANOVA!$K$14*SQRT(1+Y2208)</f>
        <v>1.58249084588329</v>
      </c>
      <c r="AA2208" s="0" t="n">
        <f aca="false">X2208-Z2208</f>
        <v>40.3213331672746</v>
      </c>
      <c r="AB2208" s="0" t="n">
        <f aca="false">X2208+Z2208</f>
        <v>43.4863148590411</v>
      </c>
      <c r="AC2208" s="54" t="b">
        <f aca="false">AND(E2208&gt;=01_因子設定!$L$5-0.000000001,E2208&lt;=01_因子設定!$M$5+0.000000001,F2208&gt;=01_因子設定!$L$6-0.000000001,F2208&lt;=01_因子設定!$M$6+0.000000001,G2208&gt;=01_因子設定!$L$7-0.000000001,G2208&lt;=01_因子設定!$M$7+0.000000001,H2208&gt;=01_因子設定!$L$8-0.000000001,H2208&lt;=01_因子設定!$M$8+0.000000001,IF(01_因子設定!$B$20="Box-Behnken",E2208^2+F2208^2+G2208^2+H2208^2&lt;=2+0.000000001,TRUE()))</f>
        <v>1</v>
      </c>
      <c r="AD2208" s="55" t="n">
        <f aca="false">IF(AC2208,IF(01_因子設定!$B$13="最大化",AA2208-01_因子設定!$B$14,IF(01_因子設定!$B$13="最小化",01_因子設定!$B$15-AB2208,MIN(AA2208-01_因子設定!$B$14,01_因子設定!$B$15-AB2208))),-1E+030)</f>
        <v>-6.17866683272543</v>
      </c>
      <c r="AE2208" s="55" t="n">
        <f aca="false">IF(AC2208,IF(01_因子設定!$B$13="最大化",X2208,IF(01_因子設定!$B$13="最小化",-X2208,-ABS(X2208-01_因子設定!$B$16))),-1E+030)</f>
        <v>41.9038240131579</v>
      </c>
      <c r="AF2208" s="55" t="n">
        <f aca="false">AD2208+ROW()*0.000000001</f>
        <v>-6.17866462472543</v>
      </c>
      <c r="AG2208" s="55" t="n">
        <f aca="false">AE2208+ROW()*0.000000001</f>
        <v>41.9038262211579</v>
      </c>
    </row>
    <row r="2209" customFormat="false" ht="15" hidden="false" customHeight="false" outlineLevel="0" collapsed="false">
      <c r="A2209" s="0" t="n">
        <v>3</v>
      </c>
      <c r="B2209" s="0" t="n">
        <v>0</v>
      </c>
      <c r="C2209" s="0" t="n">
        <v>1</v>
      </c>
      <c r="D2209" s="0" t="n">
        <v>8</v>
      </c>
      <c r="E2209" s="0" t="n">
        <f aca="false">-1+A2209*0.25</f>
        <v>-0.25</v>
      </c>
      <c r="F2209" s="0" t="n">
        <f aca="false">-1+B2209*0.25</f>
        <v>-1</v>
      </c>
      <c r="G2209" s="0" t="n">
        <f aca="false">-1+C2209*0.25</f>
        <v>-0.75</v>
      </c>
      <c r="H2209" s="0" t="n">
        <f aca="false">-1+D2209*0.25</f>
        <v>1</v>
      </c>
      <c r="I2209" s="0" t="n">
        <f aca="false">1</f>
        <v>1</v>
      </c>
      <c r="J2209" s="0" t="n">
        <f aca="false">E2209</f>
        <v>-0.25</v>
      </c>
      <c r="K2209" s="0" t="n">
        <f aca="false">F2209</f>
        <v>-1</v>
      </c>
      <c r="L2209" s="0" t="n">
        <f aca="false">G2209</f>
        <v>-0.75</v>
      </c>
      <c r="M2209" s="0" t="n">
        <f aca="false">H2209</f>
        <v>1</v>
      </c>
      <c r="N2209" s="0" t="n">
        <f aca="false">E2209*F2209</f>
        <v>0.25</v>
      </c>
      <c r="O2209" s="0" t="n">
        <f aca="false">E2209*G2209</f>
        <v>0.1875</v>
      </c>
      <c r="P2209" s="0" t="n">
        <f aca="false">E2209*H2209</f>
        <v>-0.25</v>
      </c>
      <c r="Q2209" s="0" t="n">
        <f aca="false">F2209*G2209</f>
        <v>0.75</v>
      </c>
      <c r="R2209" s="0" t="n">
        <f aca="false">F2209*H2209</f>
        <v>-1</v>
      </c>
      <c r="S2209" s="0" t="n">
        <f aca="false">G2209*H2209</f>
        <v>-0.75</v>
      </c>
      <c r="T2209" s="0" t="n">
        <f aca="false">E2209*E2209</f>
        <v>0.0625</v>
      </c>
      <c r="U2209" s="0" t="n">
        <f aca="false">F2209*F2209</f>
        <v>1</v>
      </c>
      <c r="V2209" s="0" t="n">
        <f aca="false">G2209*G2209</f>
        <v>0.5625</v>
      </c>
      <c r="W2209" s="0" t="n">
        <f aca="false">H2209*H2209</f>
        <v>1</v>
      </c>
      <c r="X2209" s="0" t="n">
        <f aca="false">SUMPRODUCT(I2209:W2209,_XtX!$B$96:$P$96)</f>
        <v>41.8292945906433</v>
      </c>
      <c r="Y2209" s="0" t="n">
        <f aca="false">SUMPRODUCT(MMULT(I2209:W2209,_XtX!$B$78:$P$92),I2209:W2209)</f>
        <v>0.621372155975877</v>
      </c>
      <c r="Z2209" s="0" t="n">
        <f aca="false">04_回帰ANOVA!$K$19*04_回帰ANOVA!$K$14*SQRT(1+Y2209)</f>
        <v>1.65973880499872</v>
      </c>
      <c r="AA2209" s="0" t="n">
        <f aca="false">X2209-Z2209</f>
        <v>40.1695557856445</v>
      </c>
      <c r="AB2209" s="0" t="n">
        <f aca="false">X2209+Z2209</f>
        <v>43.489033395642</v>
      </c>
      <c r="AC2209" s="54" t="b">
        <f aca="false">AND(E2209&gt;=01_因子設定!$L$5-0.000000001,E2209&lt;=01_因子設定!$M$5+0.000000001,F2209&gt;=01_因子設定!$L$6-0.000000001,F2209&lt;=01_因子設定!$M$6+0.000000001,G2209&gt;=01_因子設定!$L$7-0.000000001,G2209&lt;=01_因子設定!$M$7+0.000000001,H2209&gt;=01_因子設定!$L$8-0.000000001,H2209&lt;=01_因子設定!$M$8+0.000000001,IF(01_因子設定!$B$20="Box-Behnken",E2209^2+F2209^2+G2209^2+H2209^2&lt;=2+0.000000001,TRUE()))</f>
        <v>1</v>
      </c>
      <c r="AD2209" s="55" t="n">
        <f aca="false">IF(AC2209,IF(01_因子設定!$B$13="最大化",AA2209-01_因子設定!$B$14,IF(01_因子設定!$B$13="最小化",01_因子設定!$B$15-AB2209,MIN(AA2209-01_因子設定!$B$14,01_因子設定!$B$15-AB2209))),-1E+030)</f>
        <v>-6.33044421435547</v>
      </c>
      <c r="AE2209" s="55" t="n">
        <f aca="false">IF(AC2209,IF(01_因子設定!$B$13="最大化",X2209,IF(01_因子設定!$B$13="最小化",-X2209,-ABS(X2209-01_因子設定!$B$16))),-1E+030)</f>
        <v>41.8292945906433</v>
      </c>
      <c r="AF2209" s="55" t="n">
        <f aca="false">AD2209+ROW()*0.000000001</f>
        <v>-6.33044200535547</v>
      </c>
      <c r="AG2209" s="55" t="n">
        <f aca="false">AE2209+ROW()*0.000000001</f>
        <v>41.8292967996433</v>
      </c>
    </row>
    <row r="2210" customFormat="false" ht="15" hidden="false" customHeight="false" outlineLevel="0" collapsed="false">
      <c r="A2210" s="0" t="n">
        <v>3</v>
      </c>
      <c r="B2210" s="0" t="n">
        <v>0</v>
      </c>
      <c r="C2210" s="0" t="n">
        <v>2</v>
      </c>
      <c r="D2210" s="0" t="n">
        <v>0</v>
      </c>
      <c r="E2210" s="0" t="n">
        <f aca="false">-1+A2210*0.25</f>
        <v>-0.25</v>
      </c>
      <c r="F2210" s="0" t="n">
        <f aca="false">-1+B2210*0.25</f>
        <v>-1</v>
      </c>
      <c r="G2210" s="0" t="n">
        <f aca="false">-1+C2210*0.25</f>
        <v>-0.5</v>
      </c>
      <c r="H2210" s="0" t="n">
        <f aca="false">-1+D2210*0.25</f>
        <v>-1</v>
      </c>
      <c r="I2210" s="0" t="n">
        <f aca="false">1</f>
        <v>1</v>
      </c>
      <c r="J2210" s="0" t="n">
        <f aca="false">E2210</f>
        <v>-0.25</v>
      </c>
      <c r="K2210" s="0" t="n">
        <f aca="false">F2210</f>
        <v>-1</v>
      </c>
      <c r="L2210" s="0" t="n">
        <f aca="false">G2210</f>
        <v>-0.5</v>
      </c>
      <c r="M2210" s="0" t="n">
        <f aca="false">H2210</f>
        <v>-1</v>
      </c>
      <c r="N2210" s="0" t="n">
        <f aca="false">E2210*F2210</f>
        <v>0.25</v>
      </c>
      <c r="O2210" s="0" t="n">
        <f aca="false">E2210*G2210</f>
        <v>0.125</v>
      </c>
      <c r="P2210" s="0" t="n">
        <f aca="false">E2210*H2210</f>
        <v>0.25</v>
      </c>
      <c r="Q2210" s="0" t="n">
        <f aca="false">F2210*G2210</f>
        <v>0.5</v>
      </c>
      <c r="R2210" s="0" t="n">
        <f aca="false">F2210*H2210</f>
        <v>1</v>
      </c>
      <c r="S2210" s="0" t="n">
        <f aca="false">G2210*H2210</f>
        <v>0.5</v>
      </c>
      <c r="T2210" s="0" t="n">
        <f aca="false">E2210*E2210</f>
        <v>0.0625</v>
      </c>
      <c r="U2210" s="0" t="n">
        <f aca="false">F2210*F2210</f>
        <v>1</v>
      </c>
      <c r="V2210" s="0" t="n">
        <f aca="false">G2210*G2210</f>
        <v>0.25</v>
      </c>
      <c r="W2210" s="0" t="n">
        <f aca="false">H2210*H2210</f>
        <v>1</v>
      </c>
      <c r="X2210" s="0" t="n">
        <f aca="false">SUMPRODUCT(I2210:W2210,_XtX!$B$96:$P$96)</f>
        <v>41.4366593567251</v>
      </c>
      <c r="Y2210" s="0" t="n">
        <f aca="false">SUMPRODUCT(MMULT(I2210:W2210,_XtX!$B$78:$P$92),I2210:W2210)</f>
        <v>0.629174661915205</v>
      </c>
      <c r="Z2210" s="0" t="n">
        <f aca="false">04_回帰ANOVA!$K$19*04_回帰ANOVA!$K$14*SQRT(1+Y2210)</f>
        <v>1.66372758058297</v>
      </c>
      <c r="AA2210" s="0" t="n">
        <f aca="false">X2210-Z2210</f>
        <v>39.7729317761422</v>
      </c>
      <c r="AB2210" s="0" t="n">
        <f aca="false">X2210+Z2210</f>
        <v>43.1003869373081</v>
      </c>
      <c r="AC2210" s="54" t="b">
        <f aca="false">AND(E2210&gt;=01_因子設定!$L$5-0.000000001,E2210&lt;=01_因子設定!$M$5+0.000000001,F2210&gt;=01_因子設定!$L$6-0.000000001,F2210&lt;=01_因子設定!$M$6+0.000000001,G2210&gt;=01_因子設定!$L$7-0.000000001,G2210&lt;=01_因子設定!$M$7+0.000000001,H2210&gt;=01_因子設定!$L$8-0.000000001,H2210&lt;=01_因子設定!$M$8+0.000000001,IF(01_因子設定!$B$20="Box-Behnken",E2210^2+F2210^2+G2210^2+H2210^2&lt;=2+0.000000001,TRUE()))</f>
        <v>1</v>
      </c>
      <c r="AD2210" s="55" t="n">
        <f aca="false">IF(AC2210,IF(01_因子設定!$B$13="最大化",AA2210-01_因子設定!$B$14,IF(01_因子設定!$B$13="最小化",01_因子設定!$B$15-AB2210,MIN(AA2210-01_因子設定!$B$14,01_因子設定!$B$15-AB2210))),-1E+030)</f>
        <v>-6.72706822385785</v>
      </c>
      <c r="AE2210" s="55" t="n">
        <f aca="false">IF(AC2210,IF(01_因子設定!$B$13="最大化",X2210,IF(01_因子設定!$B$13="最小化",-X2210,-ABS(X2210-01_因子設定!$B$16))),-1E+030)</f>
        <v>41.4366593567251</v>
      </c>
      <c r="AF2210" s="55" t="n">
        <f aca="false">AD2210+ROW()*0.000000001</f>
        <v>-6.72706601385785</v>
      </c>
      <c r="AG2210" s="55" t="n">
        <f aca="false">AE2210+ROW()*0.000000001</f>
        <v>41.4366615667251</v>
      </c>
    </row>
    <row r="2211" customFormat="false" ht="15" hidden="false" customHeight="false" outlineLevel="0" collapsed="false">
      <c r="A2211" s="0" t="n">
        <v>3</v>
      </c>
      <c r="B2211" s="0" t="n">
        <v>0</v>
      </c>
      <c r="C2211" s="0" t="n">
        <v>2</v>
      </c>
      <c r="D2211" s="0" t="n">
        <v>1</v>
      </c>
      <c r="E2211" s="0" t="n">
        <f aca="false">-1+A2211*0.25</f>
        <v>-0.25</v>
      </c>
      <c r="F2211" s="0" t="n">
        <f aca="false">-1+B2211*0.25</f>
        <v>-1</v>
      </c>
      <c r="G2211" s="0" t="n">
        <f aca="false">-1+C2211*0.25</f>
        <v>-0.5</v>
      </c>
      <c r="H2211" s="0" t="n">
        <f aca="false">-1+D2211*0.25</f>
        <v>-0.75</v>
      </c>
      <c r="I2211" s="0" t="n">
        <f aca="false">1</f>
        <v>1</v>
      </c>
      <c r="J2211" s="0" t="n">
        <f aca="false">E2211</f>
        <v>-0.25</v>
      </c>
      <c r="K2211" s="0" t="n">
        <f aca="false">F2211</f>
        <v>-1</v>
      </c>
      <c r="L2211" s="0" t="n">
        <f aca="false">G2211</f>
        <v>-0.5</v>
      </c>
      <c r="M2211" s="0" t="n">
        <f aca="false">H2211</f>
        <v>-0.75</v>
      </c>
      <c r="N2211" s="0" t="n">
        <f aca="false">E2211*F2211</f>
        <v>0.25</v>
      </c>
      <c r="O2211" s="0" t="n">
        <f aca="false">E2211*G2211</f>
        <v>0.125</v>
      </c>
      <c r="P2211" s="0" t="n">
        <f aca="false">E2211*H2211</f>
        <v>0.1875</v>
      </c>
      <c r="Q2211" s="0" t="n">
        <f aca="false">F2211*G2211</f>
        <v>0.5</v>
      </c>
      <c r="R2211" s="0" t="n">
        <f aca="false">F2211*H2211</f>
        <v>0.75</v>
      </c>
      <c r="S2211" s="0" t="n">
        <f aca="false">G2211*H2211</f>
        <v>0.375</v>
      </c>
      <c r="T2211" s="0" t="n">
        <f aca="false">E2211*E2211</f>
        <v>0.0625</v>
      </c>
      <c r="U2211" s="0" t="n">
        <f aca="false">F2211*F2211</f>
        <v>1</v>
      </c>
      <c r="V2211" s="0" t="n">
        <f aca="false">G2211*G2211</f>
        <v>0.25</v>
      </c>
      <c r="W2211" s="0" t="n">
        <f aca="false">H2211*H2211</f>
        <v>0.5625</v>
      </c>
      <c r="X2211" s="0" t="n">
        <f aca="false">SUMPRODUCT(I2211:W2211,_XtX!$B$96:$P$96)</f>
        <v>41.7147478070175</v>
      </c>
      <c r="Y2211" s="0" t="n">
        <f aca="false">SUMPRODUCT(MMULT(I2211:W2211,_XtX!$B$78:$P$92),I2211:W2211)</f>
        <v>0.459125719572369</v>
      </c>
      <c r="Z2211" s="0" t="n">
        <f aca="false">04_回帰ANOVA!$K$19*04_回帰ANOVA!$K$14*SQRT(1+Y2211)</f>
        <v>1.57450755575573</v>
      </c>
      <c r="AA2211" s="0" t="n">
        <f aca="false">X2211-Z2211</f>
        <v>40.1402402512618</v>
      </c>
      <c r="AB2211" s="0" t="n">
        <f aca="false">X2211+Z2211</f>
        <v>43.2892553627732</v>
      </c>
      <c r="AC2211" s="54" t="b">
        <f aca="false">AND(E2211&gt;=01_因子設定!$L$5-0.000000001,E2211&lt;=01_因子設定!$M$5+0.000000001,F2211&gt;=01_因子設定!$L$6-0.000000001,F2211&lt;=01_因子設定!$M$6+0.000000001,G2211&gt;=01_因子設定!$L$7-0.000000001,G2211&lt;=01_因子設定!$M$7+0.000000001,H2211&gt;=01_因子設定!$L$8-0.000000001,H2211&lt;=01_因子設定!$M$8+0.000000001,IF(01_因子設定!$B$20="Box-Behnken",E2211^2+F2211^2+G2211^2+H2211^2&lt;=2+0.000000001,TRUE()))</f>
        <v>1</v>
      </c>
      <c r="AD2211" s="55" t="n">
        <f aca="false">IF(AC2211,IF(01_因子設定!$B$13="最大化",AA2211-01_因子設定!$B$14,IF(01_因子設定!$B$13="最小化",01_因子設定!$B$15-AB2211,MIN(AA2211-01_因子設定!$B$14,01_因子設定!$B$15-AB2211))),-1E+030)</f>
        <v>-6.35975974873823</v>
      </c>
      <c r="AE2211" s="55" t="n">
        <f aca="false">IF(AC2211,IF(01_因子設定!$B$13="最大化",X2211,IF(01_因子設定!$B$13="最小化",-X2211,-ABS(X2211-01_因子設定!$B$16))),-1E+030)</f>
        <v>41.7147478070175</v>
      </c>
      <c r="AF2211" s="55" t="n">
        <f aca="false">AD2211+ROW()*0.000000001</f>
        <v>-6.35975753773823</v>
      </c>
      <c r="AG2211" s="55" t="n">
        <f aca="false">AE2211+ROW()*0.000000001</f>
        <v>41.7147500180175</v>
      </c>
    </row>
    <row r="2212" customFormat="false" ht="15" hidden="false" customHeight="false" outlineLevel="0" collapsed="false">
      <c r="A2212" s="0" t="n">
        <v>3</v>
      </c>
      <c r="B2212" s="0" t="n">
        <v>0</v>
      </c>
      <c r="C2212" s="0" t="n">
        <v>2</v>
      </c>
      <c r="D2212" s="0" t="n">
        <v>2</v>
      </c>
      <c r="E2212" s="0" t="n">
        <f aca="false">-1+A2212*0.25</f>
        <v>-0.25</v>
      </c>
      <c r="F2212" s="0" t="n">
        <f aca="false">-1+B2212*0.25</f>
        <v>-1</v>
      </c>
      <c r="G2212" s="0" t="n">
        <f aca="false">-1+C2212*0.25</f>
        <v>-0.5</v>
      </c>
      <c r="H2212" s="0" t="n">
        <f aca="false">-1+D2212*0.25</f>
        <v>-0.5</v>
      </c>
      <c r="I2212" s="0" t="n">
        <f aca="false">1</f>
        <v>1</v>
      </c>
      <c r="J2212" s="0" t="n">
        <f aca="false">E2212</f>
        <v>-0.25</v>
      </c>
      <c r="K2212" s="0" t="n">
        <f aca="false">F2212</f>
        <v>-1</v>
      </c>
      <c r="L2212" s="0" t="n">
        <f aca="false">G2212</f>
        <v>-0.5</v>
      </c>
      <c r="M2212" s="0" t="n">
        <f aca="false">H2212</f>
        <v>-0.5</v>
      </c>
      <c r="N2212" s="0" t="n">
        <f aca="false">E2212*F2212</f>
        <v>0.25</v>
      </c>
      <c r="O2212" s="0" t="n">
        <f aca="false">E2212*G2212</f>
        <v>0.125</v>
      </c>
      <c r="P2212" s="0" t="n">
        <f aca="false">E2212*H2212</f>
        <v>0.125</v>
      </c>
      <c r="Q2212" s="0" t="n">
        <f aca="false">F2212*G2212</f>
        <v>0.5</v>
      </c>
      <c r="R2212" s="0" t="n">
        <f aca="false">F2212*H2212</f>
        <v>0.5</v>
      </c>
      <c r="S2212" s="0" t="n">
        <f aca="false">G2212*H2212</f>
        <v>0.25</v>
      </c>
      <c r="T2212" s="0" t="n">
        <f aca="false">E2212*E2212</f>
        <v>0.0625</v>
      </c>
      <c r="U2212" s="0" t="n">
        <f aca="false">F2212*F2212</f>
        <v>1</v>
      </c>
      <c r="V2212" s="0" t="n">
        <f aca="false">G2212*G2212</f>
        <v>0.25</v>
      </c>
      <c r="W2212" s="0" t="n">
        <f aca="false">H2212*H2212</f>
        <v>0.25</v>
      </c>
      <c r="X2212" s="0" t="n">
        <f aca="false">SUMPRODUCT(I2212:W2212,_XtX!$B$96:$P$96)</f>
        <v>41.945029239766</v>
      </c>
      <c r="Y2212" s="0" t="n">
        <f aca="false">SUMPRODUCT(MMULT(I2212:W2212,_XtX!$B$78:$P$92),I2212:W2212)</f>
        <v>0.428122715643275</v>
      </c>
      <c r="Z2212" s="0" t="n">
        <f aca="false">04_回帰ANOVA!$K$19*04_回帰ANOVA!$K$14*SQRT(1+Y2212)</f>
        <v>1.55769044623229</v>
      </c>
      <c r="AA2212" s="0" t="n">
        <f aca="false">X2212-Z2212</f>
        <v>40.3873387935337</v>
      </c>
      <c r="AB2212" s="0" t="n">
        <f aca="false">X2212+Z2212</f>
        <v>43.5027196859983</v>
      </c>
      <c r="AC2212" s="54" t="b">
        <f aca="false">AND(E2212&gt;=01_因子設定!$L$5-0.000000001,E2212&lt;=01_因子設定!$M$5+0.000000001,F2212&gt;=01_因子設定!$L$6-0.000000001,F2212&lt;=01_因子設定!$M$6+0.000000001,G2212&gt;=01_因子設定!$L$7-0.000000001,G2212&lt;=01_因子設定!$M$7+0.000000001,H2212&gt;=01_因子設定!$L$8-0.000000001,H2212&lt;=01_因子設定!$M$8+0.000000001,IF(01_因子設定!$B$20="Box-Behnken",E2212^2+F2212^2+G2212^2+H2212^2&lt;=2+0.000000001,TRUE()))</f>
        <v>1</v>
      </c>
      <c r="AD2212" s="55" t="n">
        <f aca="false">IF(AC2212,IF(01_因子設定!$B$13="最大化",AA2212-01_因子設定!$B$14,IF(01_因子設定!$B$13="最小化",01_因子設定!$B$15-AB2212,MIN(AA2212-01_因子設定!$B$14,01_因子設定!$B$15-AB2212))),-1E+030)</f>
        <v>-6.11266120646626</v>
      </c>
      <c r="AE2212" s="55" t="n">
        <f aca="false">IF(AC2212,IF(01_因子設定!$B$13="最大化",X2212,IF(01_因子設定!$B$13="最小化",-X2212,-ABS(X2212-01_因子設定!$B$16))),-1E+030)</f>
        <v>41.945029239766</v>
      </c>
      <c r="AF2212" s="55" t="n">
        <f aca="false">AD2212+ROW()*0.000000001</f>
        <v>-6.11265899446626</v>
      </c>
      <c r="AG2212" s="55" t="n">
        <f aca="false">AE2212+ROW()*0.000000001</f>
        <v>41.945031451766</v>
      </c>
    </row>
    <row r="2213" customFormat="false" ht="15" hidden="false" customHeight="false" outlineLevel="0" collapsed="false">
      <c r="A2213" s="0" t="n">
        <v>3</v>
      </c>
      <c r="B2213" s="0" t="n">
        <v>0</v>
      </c>
      <c r="C2213" s="0" t="n">
        <v>2</v>
      </c>
      <c r="D2213" s="0" t="n">
        <v>3</v>
      </c>
      <c r="E2213" s="0" t="n">
        <f aca="false">-1+A2213*0.25</f>
        <v>-0.25</v>
      </c>
      <c r="F2213" s="0" t="n">
        <f aca="false">-1+B2213*0.25</f>
        <v>-1</v>
      </c>
      <c r="G2213" s="0" t="n">
        <f aca="false">-1+C2213*0.25</f>
        <v>-0.5</v>
      </c>
      <c r="H2213" s="0" t="n">
        <f aca="false">-1+D2213*0.25</f>
        <v>-0.25</v>
      </c>
      <c r="I2213" s="0" t="n">
        <f aca="false">1</f>
        <v>1</v>
      </c>
      <c r="J2213" s="0" t="n">
        <f aca="false">E2213</f>
        <v>-0.25</v>
      </c>
      <c r="K2213" s="0" t="n">
        <f aca="false">F2213</f>
        <v>-1</v>
      </c>
      <c r="L2213" s="0" t="n">
        <f aca="false">G2213</f>
        <v>-0.5</v>
      </c>
      <c r="M2213" s="0" t="n">
        <f aca="false">H2213</f>
        <v>-0.25</v>
      </c>
      <c r="N2213" s="0" t="n">
        <f aca="false">E2213*F2213</f>
        <v>0.25</v>
      </c>
      <c r="O2213" s="0" t="n">
        <f aca="false">E2213*G2213</f>
        <v>0.125</v>
      </c>
      <c r="P2213" s="0" t="n">
        <f aca="false">E2213*H2213</f>
        <v>0.0625</v>
      </c>
      <c r="Q2213" s="0" t="n">
        <f aca="false">F2213*G2213</f>
        <v>0.5</v>
      </c>
      <c r="R2213" s="0" t="n">
        <f aca="false">F2213*H2213</f>
        <v>0.25</v>
      </c>
      <c r="S2213" s="0" t="n">
        <f aca="false">G2213*H2213</f>
        <v>0.125</v>
      </c>
      <c r="T2213" s="0" t="n">
        <f aca="false">E2213*E2213</f>
        <v>0.0625</v>
      </c>
      <c r="U2213" s="0" t="n">
        <f aca="false">F2213*F2213</f>
        <v>1</v>
      </c>
      <c r="V2213" s="0" t="n">
        <f aca="false">G2213*G2213</f>
        <v>0.25</v>
      </c>
      <c r="W2213" s="0" t="n">
        <f aca="false">H2213*H2213</f>
        <v>0.0625</v>
      </c>
      <c r="X2213" s="0" t="n">
        <f aca="false">SUMPRODUCT(I2213:W2213,_XtX!$B$96:$P$96)</f>
        <v>42.1275036549707</v>
      </c>
      <c r="Y2213" s="0" t="n">
        <f aca="false">SUMPRODUCT(MMULT(I2213:W2213,_XtX!$B$78:$P$92),I2213:W2213)</f>
        <v>0.445705123812135</v>
      </c>
      <c r="Z2213" s="0" t="n">
        <f aca="false">04_回帰ANOVA!$K$19*04_回帰ANOVA!$K$14*SQRT(1+Y2213)</f>
        <v>1.56724990734749</v>
      </c>
      <c r="AA2213" s="0" t="n">
        <f aca="false">X2213-Z2213</f>
        <v>40.5602537476232</v>
      </c>
      <c r="AB2213" s="0" t="n">
        <f aca="false">X2213+Z2213</f>
        <v>43.6947535623182</v>
      </c>
      <c r="AC2213" s="54" t="b">
        <f aca="false">AND(E2213&gt;=01_因子設定!$L$5-0.000000001,E2213&lt;=01_因子設定!$M$5+0.000000001,F2213&gt;=01_因子設定!$L$6-0.000000001,F2213&lt;=01_因子設定!$M$6+0.000000001,G2213&gt;=01_因子設定!$L$7-0.000000001,G2213&lt;=01_因子設定!$M$7+0.000000001,H2213&gt;=01_因子設定!$L$8-0.000000001,H2213&lt;=01_因子設定!$M$8+0.000000001,IF(01_因子設定!$B$20="Box-Behnken",E2213^2+F2213^2+G2213^2+H2213^2&lt;=2+0.000000001,TRUE()))</f>
        <v>1</v>
      </c>
      <c r="AD2213" s="55" t="n">
        <f aca="false">IF(AC2213,IF(01_因子設定!$B$13="最大化",AA2213-01_因子設定!$B$14,IF(01_因子設定!$B$13="最小化",01_因子設定!$B$15-AB2213,MIN(AA2213-01_因子設定!$B$14,01_因子設定!$B$15-AB2213))),-1E+030)</f>
        <v>-5.93974625237679</v>
      </c>
      <c r="AE2213" s="55" t="n">
        <f aca="false">IF(AC2213,IF(01_因子設定!$B$13="最大化",X2213,IF(01_因子設定!$B$13="最小化",-X2213,-ABS(X2213-01_因子設定!$B$16))),-1E+030)</f>
        <v>42.1275036549707</v>
      </c>
      <c r="AF2213" s="55" t="n">
        <f aca="false">AD2213+ROW()*0.000000001</f>
        <v>-5.93974403937679</v>
      </c>
      <c r="AG2213" s="55" t="n">
        <f aca="false">AE2213+ROW()*0.000000001</f>
        <v>42.1275058679707</v>
      </c>
    </row>
    <row r="2214" customFormat="false" ht="15" hidden="false" customHeight="false" outlineLevel="0" collapsed="false">
      <c r="A2214" s="0" t="n">
        <v>3</v>
      </c>
      <c r="B2214" s="0" t="n">
        <v>0</v>
      </c>
      <c r="C2214" s="0" t="n">
        <v>2</v>
      </c>
      <c r="D2214" s="0" t="n">
        <v>4</v>
      </c>
      <c r="E2214" s="0" t="n">
        <f aca="false">-1+A2214*0.25</f>
        <v>-0.25</v>
      </c>
      <c r="F2214" s="0" t="n">
        <f aca="false">-1+B2214*0.25</f>
        <v>-1</v>
      </c>
      <c r="G2214" s="0" t="n">
        <f aca="false">-1+C2214*0.25</f>
        <v>-0.5</v>
      </c>
      <c r="H2214" s="0" t="n">
        <f aca="false">-1+D2214*0.25</f>
        <v>0</v>
      </c>
      <c r="I2214" s="0" t="n">
        <f aca="false">1</f>
        <v>1</v>
      </c>
      <c r="J2214" s="0" t="n">
        <f aca="false">E2214</f>
        <v>-0.25</v>
      </c>
      <c r="K2214" s="0" t="n">
        <f aca="false">F2214</f>
        <v>-1</v>
      </c>
      <c r="L2214" s="0" t="n">
        <f aca="false">G2214</f>
        <v>-0.5</v>
      </c>
      <c r="M2214" s="0" t="n">
        <f aca="false">H2214</f>
        <v>0</v>
      </c>
      <c r="N2214" s="0" t="n">
        <f aca="false">E2214*F2214</f>
        <v>0.25</v>
      </c>
      <c r="O2214" s="0" t="n">
        <f aca="false">E2214*G2214</f>
        <v>0.125</v>
      </c>
      <c r="P2214" s="0" t="n">
        <f aca="false">E2214*H2214</f>
        <v>-0</v>
      </c>
      <c r="Q2214" s="0" t="n">
        <f aca="false">F2214*G2214</f>
        <v>0.5</v>
      </c>
      <c r="R2214" s="0" t="n">
        <f aca="false">F2214*H2214</f>
        <v>-0</v>
      </c>
      <c r="S2214" s="0" t="n">
        <f aca="false">G2214*H2214</f>
        <v>-0</v>
      </c>
      <c r="T2214" s="0" t="n">
        <f aca="false">E2214*E2214</f>
        <v>0.0625</v>
      </c>
      <c r="U2214" s="0" t="n">
        <f aca="false">F2214*F2214</f>
        <v>1</v>
      </c>
      <c r="V2214" s="0" t="n">
        <f aca="false">G2214*G2214</f>
        <v>0.25</v>
      </c>
      <c r="W2214" s="0" t="n">
        <f aca="false">H2214*H2214</f>
        <v>0</v>
      </c>
      <c r="X2214" s="0" t="n">
        <f aca="false">SUMPRODUCT(I2214:W2214,_XtX!$B$96:$P$96)</f>
        <v>42.2621710526315</v>
      </c>
      <c r="Y2214" s="0" t="n">
        <f aca="false">SUMPRODUCT(MMULT(I2214:W2214,_XtX!$B$78:$P$92),I2214:W2214)</f>
        <v>0.457596628289474</v>
      </c>
      <c r="Z2214" s="0" t="n">
        <f aca="false">04_回帰ANOVA!$K$19*04_回帰ANOVA!$K$14*SQRT(1+Y2214)</f>
        <v>1.57368233664366</v>
      </c>
      <c r="AA2214" s="0" t="n">
        <f aca="false">X2214-Z2214</f>
        <v>40.6884887159879</v>
      </c>
      <c r="AB2214" s="0" t="n">
        <f aca="false">X2214+Z2214</f>
        <v>43.8358533892752</v>
      </c>
      <c r="AC2214" s="54" t="b">
        <f aca="false">AND(E2214&gt;=01_因子設定!$L$5-0.000000001,E2214&lt;=01_因子設定!$M$5+0.000000001,F2214&gt;=01_因子設定!$L$6-0.000000001,F2214&lt;=01_因子設定!$M$6+0.000000001,G2214&gt;=01_因子設定!$L$7-0.000000001,G2214&lt;=01_因子設定!$M$7+0.000000001,H2214&gt;=01_因子設定!$L$8-0.000000001,H2214&lt;=01_因子設定!$M$8+0.000000001,IF(01_因子設定!$B$20="Box-Behnken",E2214^2+F2214^2+G2214^2+H2214^2&lt;=2+0.000000001,TRUE()))</f>
        <v>1</v>
      </c>
      <c r="AD2214" s="55" t="n">
        <f aca="false">IF(AC2214,IF(01_因子設定!$B$13="最大化",AA2214-01_因子設定!$B$14,IF(01_因子設定!$B$13="最小化",01_因子設定!$B$15-AB2214,MIN(AA2214-01_因子設定!$B$14,01_因子設定!$B$15-AB2214))),-1E+030)</f>
        <v>-5.81151128401214</v>
      </c>
      <c r="AE2214" s="55" t="n">
        <f aca="false">IF(AC2214,IF(01_因子設定!$B$13="最大化",X2214,IF(01_因子設定!$B$13="最小化",-X2214,-ABS(X2214-01_因子設定!$B$16))),-1E+030)</f>
        <v>42.2621710526315</v>
      </c>
      <c r="AF2214" s="55" t="n">
        <f aca="false">AD2214+ROW()*0.000000001</f>
        <v>-5.81150907001214</v>
      </c>
      <c r="AG2214" s="55" t="n">
        <f aca="false">AE2214+ROW()*0.000000001</f>
        <v>42.2621732666315</v>
      </c>
    </row>
    <row r="2215" customFormat="false" ht="15" hidden="false" customHeight="false" outlineLevel="0" collapsed="false">
      <c r="A2215" s="0" t="n">
        <v>3</v>
      </c>
      <c r="B2215" s="0" t="n">
        <v>0</v>
      </c>
      <c r="C2215" s="0" t="n">
        <v>2</v>
      </c>
      <c r="D2215" s="0" t="n">
        <v>5</v>
      </c>
      <c r="E2215" s="0" t="n">
        <f aca="false">-1+A2215*0.25</f>
        <v>-0.25</v>
      </c>
      <c r="F2215" s="0" t="n">
        <f aca="false">-1+B2215*0.25</f>
        <v>-1</v>
      </c>
      <c r="G2215" s="0" t="n">
        <f aca="false">-1+C2215*0.25</f>
        <v>-0.5</v>
      </c>
      <c r="H2215" s="0" t="n">
        <f aca="false">-1+D2215*0.25</f>
        <v>0.25</v>
      </c>
      <c r="I2215" s="0" t="n">
        <f aca="false">1</f>
        <v>1</v>
      </c>
      <c r="J2215" s="0" t="n">
        <f aca="false">E2215</f>
        <v>-0.25</v>
      </c>
      <c r="K2215" s="0" t="n">
        <f aca="false">F2215</f>
        <v>-1</v>
      </c>
      <c r="L2215" s="0" t="n">
        <f aca="false">G2215</f>
        <v>-0.5</v>
      </c>
      <c r="M2215" s="0" t="n">
        <f aca="false">H2215</f>
        <v>0.25</v>
      </c>
      <c r="N2215" s="0" t="n">
        <f aca="false">E2215*F2215</f>
        <v>0.25</v>
      </c>
      <c r="O2215" s="0" t="n">
        <f aca="false">E2215*G2215</f>
        <v>0.125</v>
      </c>
      <c r="P2215" s="0" t="n">
        <f aca="false">E2215*H2215</f>
        <v>-0.0625</v>
      </c>
      <c r="Q2215" s="0" t="n">
        <f aca="false">F2215*G2215</f>
        <v>0.5</v>
      </c>
      <c r="R2215" s="0" t="n">
        <f aca="false">F2215*H2215</f>
        <v>-0.25</v>
      </c>
      <c r="S2215" s="0" t="n">
        <f aca="false">G2215*H2215</f>
        <v>-0.125</v>
      </c>
      <c r="T2215" s="0" t="n">
        <f aca="false">E2215*E2215</f>
        <v>0.0625</v>
      </c>
      <c r="U2215" s="0" t="n">
        <f aca="false">F2215*F2215</f>
        <v>1</v>
      </c>
      <c r="V2215" s="0" t="n">
        <f aca="false">G2215*G2215</f>
        <v>0.25</v>
      </c>
      <c r="W2215" s="0" t="n">
        <f aca="false">H2215*H2215</f>
        <v>0.0625</v>
      </c>
      <c r="X2215" s="0" t="n">
        <f aca="false">SUMPRODUCT(I2215:W2215,_XtX!$B$96:$P$96)</f>
        <v>42.3490314327485</v>
      </c>
      <c r="Y2215" s="0" t="n">
        <f aca="false">SUMPRODUCT(MMULT(I2215:W2215,_XtX!$B$78:$P$92),I2215:W2215)</f>
        <v>0.445705123812135</v>
      </c>
      <c r="Z2215" s="0" t="n">
        <f aca="false">04_回帰ANOVA!$K$19*04_回帰ANOVA!$K$14*SQRT(1+Y2215)</f>
        <v>1.56724990734749</v>
      </c>
      <c r="AA2215" s="0" t="n">
        <f aca="false">X2215-Z2215</f>
        <v>40.781781525401</v>
      </c>
      <c r="AB2215" s="0" t="n">
        <f aca="false">X2215+Z2215</f>
        <v>43.916281340096</v>
      </c>
      <c r="AC2215" s="54" t="b">
        <f aca="false">AND(E2215&gt;=01_因子設定!$L$5-0.000000001,E2215&lt;=01_因子設定!$M$5+0.000000001,F2215&gt;=01_因子設定!$L$6-0.000000001,F2215&lt;=01_因子設定!$M$6+0.000000001,G2215&gt;=01_因子設定!$L$7-0.000000001,G2215&lt;=01_因子設定!$M$7+0.000000001,H2215&gt;=01_因子設定!$L$8-0.000000001,H2215&lt;=01_因子設定!$M$8+0.000000001,IF(01_因子設定!$B$20="Box-Behnken",E2215^2+F2215^2+G2215^2+H2215^2&lt;=2+0.000000001,TRUE()))</f>
        <v>1</v>
      </c>
      <c r="AD2215" s="55" t="n">
        <f aca="false">IF(AC2215,IF(01_因子設定!$B$13="最大化",AA2215-01_因子設定!$B$14,IF(01_因子設定!$B$13="最小化",01_因子設定!$B$15-AB2215,MIN(AA2215-01_因子設定!$B$14,01_因子設定!$B$15-AB2215))),-1E+030)</f>
        <v>-5.71821847459901</v>
      </c>
      <c r="AE2215" s="55" t="n">
        <f aca="false">IF(AC2215,IF(01_因子設定!$B$13="最大化",X2215,IF(01_因子設定!$B$13="最小化",-X2215,-ABS(X2215-01_因子設定!$B$16))),-1E+030)</f>
        <v>42.3490314327485</v>
      </c>
      <c r="AF2215" s="55" t="n">
        <f aca="false">AD2215+ROW()*0.000000001</f>
        <v>-5.71821625959901</v>
      </c>
      <c r="AG2215" s="55" t="n">
        <f aca="false">AE2215+ROW()*0.000000001</f>
        <v>42.3490336477485</v>
      </c>
    </row>
    <row r="2216" customFormat="false" ht="15" hidden="false" customHeight="false" outlineLevel="0" collapsed="false">
      <c r="A2216" s="0" t="n">
        <v>3</v>
      </c>
      <c r="B2216" s="0" t="n">
        <v>0</v>
      </c>
      <c r="C2216" s="0" t="n">
        <v>2</v>
      </c>
      <c r="D2216" s="0" t="n">
        <v>6</v>
      </c>
      <c r="E2216" s="0" t="n">
        <f aca="false">-1+A2216*0.25</f>
        <v>-0.25</v>
      </c>
      <c r="F2216" s="0" t="n">
        <f aca="false">-1+B2216*0.25</f>
        <v>-1</v>
      </c>
      <c r="G2216" s="0" t="n">
        <f aca="false">-1+C2216*0.25</f>
        <v>-0.5</v>
      </c>
      <c r="H2216" s="0" t="n">
        <f aca="false">-1+D2216*0.25</f>
        <v>0.5</v>
      </c>
      <c r="I2216" s="0" t="n">
        <f aca="false">1</f>
        <v>1</v>
      </c>
      <c r="J2216" s="0" t="n">
        <f aca="false">E2216</f>
        <v>-0.25</v>
      </c>
      <c r="K2216" s="0" t="n">
        <f aca="false">F2216</f>
        <v>-1</v>
      </c>
      <c r="L2216" s="0" t="n">
        <f aca="false">G2216</f>
        <v>-0.5</v>
      </c>
      <c r="M2216" s="0" t="n">
        <f aca="false">H2216</f>
        <v>0.5</v>
      </c>
      <c r="N2216" s="0" t="n">
        <f aca="false">E2216*F2216</f>
        <v>0.25</v>
      </c>
      <c r="O2216" s="0" t="n">
        <f aca="false">E2216*G2216</f>
        <v>0.125</v>
      </c>
      <c r="P2216" s="0" t="n">
        <f aca="false">E2216*H2216</f>
        <v>-0.125</v>
      </c>
      <c r="Q2216" s="0" t="n">
        <f aca="false">F2216*G2216</f>
        <v>0.5</v>
      </c>
      <c r="R2216" s="0" t="n">
        <f aca="false">F2216*H2216</f>
        <v>-0.5</v>
      </c>
      <c r="S2216" s="0" t="n">
        <f aca="false">G2216*H2216</f>
        <v>-0.25</v>
      </c>
      <c r="T2216" s="0" t="n">
        <f aca="false">E2216*E2216</f>
        <v>0.0625</v>
      </c>
      <c r="U2216" s="0" t="n">
        <f aca="false">F2216*F2216</f>
        <v>1</v>
      </c>
      <c r="V2216" s="0" t="n">
        <f aca="false">G2216*G2216</f>
        <v>0.25</v>
      </c>
      <c r="W2216" s="0" t="n">
        <f aca="false">H2216*H2216</f>
        <v>0.25</v>
      </c>
      <c r="X2216" s="0" t="n">
        <f aca="false">SUMPRODUCT(I2216:W2216,_XtX!$B$96:$P$96)</f>
        <v>42.3880847953216</v>
      </c>
      <c r="Y2216" s="0" t="n">
        <f aca="false">SUMPRODUCT(MMULT(I2216:W2216,_XtX!$B$78:$P$92),I2216:W2216)</f>
        <v>0.428122715643275</v>
      </c>
      <c r="Z2216" s="0" t="n">
        <f aca="false">04_回帰ANOVA!$K$19*04_回帰ANOVA!$K$14*SQRT(1+Y2216)</f>
        <v>1.55769044623229</v>
      </c>
      <c r="AA2216" s="0" t="n">
        <f aca="false">X2216-Z2216</f>
        <v>40.8303943490893</v>
      </c>
      <c r="AB2216" s="0" t="n">
        <f aca="false">X2216+Z2216</f>
        <v>43.9457752415539</v>
      </c>
      <c r="AC2216" s="54" t="b">
        <f aca="false">AND(E2216&gt;=01_因子設定!$L$5-0.000000001,E2216&lt;=01_因子設定!$M$5+0.000000001,F2216&gt;=01_因子設定!$L$6-0.000000001,F2216&lt;=01_因子設定!$M$6+0.000000001,G2216&gt;=01_因子設定!$L$7-0.000000001,G2216&lt;=01_因子設定!$M$7+0.000000001,H2216&gt;=01_因子設定!$L$8-0.000000001,H2216&lt;=01_因子設定!$M$8+0.000000001,IF(01_因子設定!$B$20="Box-Behnken",E2216^2+F2216^2+G2216^2+H2216^2&lt;=2+0.000000001,TRUE()))</f>
        <v>1</v>
      </c>
      <c r="AD2216" s="55" t="n">
        <f aca="false">IF(AC2216,IF(01_因子設定!$B$13="最大化",AA2216-01_因子設定!$B$14,IF(01_因子設定!$B$13="最小化",01_因子設定!$B$15-AB2216,MIN(AA2216-01_因子設定!$B$14,01_因子設定!$B$15-AB2216))),-1E+030)</f>
        <v>-5.6696056509107</v>
      </c>
      <c r="AE2216" s="55" t="n">
        <f aca="false">IF(AC2216,IF(01_因子設定!$B$13="最大化",X2216,IF(01_因子設定!$B$13="最小化",-X2216,-ABS(X2216-01_因子設定!$B$16))),-1E+030)</f>
        <v>42.3880847953216</v>
      </c>
      <c r="AF2216" s="55" t="n">
        <f aca="false">AD2216+ROW()*0.000000001</f>
        <v>-5.6696034349107</v>
      </c>
      <c r="AG2216" s="55" t="n">
        <f aca="false">AE2216+ROW()*0.000000001</f>
        <v>42.3880870113216</v>
      </c>
    </row>
    <row r="2217" customFormat="false" ht="15" hidden="false" customHeight="false" outlineLevel="0" collapsed="false">
      <c r="A2217" s="0" t="n">
        <v>3</v>
      </c>
      <c r="B2217" s="0" t="n">
        <v>0</v>
      </c>
      <c r="C2217" s="0" t="n">
        <v>2</v>
      </c>
      <c r="D2217" s="0" t="n">
        <v>7</v>
      </c>
      <c r="E2217" s="0" t="n">
        <f aca="false">-1+A2217*0.25</f>
        <v>-0.25</v>
      </c>
      <c r="F2217" s="0" t="n">
        <f aca="false">-1+B2217*0.25</f>
        <v>-1</v>
      </c>
      <c r="G2217" s="0" t="n">
        <f aca="false">-1+C2217*0.25</f>
        <v>-0.5</v>
      </c>
      <c r="H2217" s="0" t="n">
        <f aca="false">-1+D2217*0.25</f>
        <v>0.75</v>
      </c>
      <c r="I2217" s="0" t="n">
        <f aca="false">1</f>
        <v>1</v>
      </c>
      <c r="J2217" s="0" t="n">
        <f aca="false">E2217</f>
        <v>-0.25</v>
      </c>
      <c r="K2217" s="0" t="n">
        <f aca="false">F2217</f>
        <v>-1</v>
      </c>
      <c r="L2217" s="0" t="n">
        <f aca="false">G2217</f>
        <v>-0.5</v>
      </c>
      <c r="M2217" s="0" t="n">
        <f aca="false">H2217</f>
        <v>0.75</v>
      </c>
      <c r="N2217" s="0" t="n">
        <f aca="false">E2217*F2217</f>
        <v>0.25</v>
      </c>
      <c r="O2217" s="0" t="n">
        <f aca="false">E2217*G2217</f>
        <v>0.125</v>
      </c>
      <c r="P2217" s="0" t="n">
        <f aca="false">E2217*H2217</f>
        <v>-0.1875</v>
      </c>
      <c r="Q2217" s="0" t="n">
        <f aca="false">F2217*G2217</f>
        <v>0.5</v>
      </c>
      <c r="R2217" s="0" t="n">
        <f aca="false">F2217*H2217</f>
        <v>-0.75</v>
      </c>
      <c r="S2217" s="0" t="n">
        <f aca="false">G2217*H2217</f>
        <v>-0.375</v>
      </c>
      <c r="T2217" s="0" t="n">
        <f aca="false">E2217*E2217</f>
        <v>0.0625</v>
      </c>
      <c r="U2217" s="0" t="n">
        <f aca="false">F2217*F2217</f>
        <v>1</v>
      </c>
      <c r="V2217" s="0" t="n">
        <f aca="false">G2217*G2217</f>
        <v>0.25</v>
      </c>
      <c r="W2217" s="0" t="n">
        <f aca="false">H2217*H2217</f>
        <v>0.5625</v>
      </c>
      <c r="X2217" s="0" t="n">
        <f aca="false">SUMPRODUCT(I2217:W2217,_XtX!$B$96:$P$96)</f>
        <v>42.3793311403508</v>
      </c>
      <c r="Y2217" s="0" t="n">
        <f aca="false">SUMPRODUCT(MMULT(I2217:W2217,_XtX!$B$78:$P$92),I2217:W2217)</f>
        <v>0.459125719572369</v>
      </c>
      <c r="Z2217" s="0" t="n">
        <f aca="false">04_回帰ANOVA!$K$19*04_回帰ANOVA!$K$14*SQRT(1+Y2217)</f>
        <v>1.57450755575573</v>
      </c>
      <c r="AA2217" s="0" t="n">
        <f aca="false">X2217-Z2217</f>
        <v>40.8048235845951</v>
      </c>
      <c r="AB2217" s="0" t="n">
        <f aca="false">X2217+Z2217</f>
        <v>43.9538386961066</v>
      </c>
      <c r="AC2217" s="54" t="b">
        <f aca="false">AND(E2217&gt;=01_因子設定!$L$5-0.000000001,E2217&lt;=01_因子設定!$M$5+0.000000001,F2217&gt;=01_因子設定!$L$6-0.000000001,F2217&lt;=01_因子設定!$M$6+0.000000001,G2217&gt;=01_因子設定!$L$7-0.000000001,G2217&lt;=01_因子設定!$M$7+0.000000001,H2217&gt;=01_因子設定!$L$8-0.000000001,H2217&lt;=01_因子設定!$M$8+0.000000001,IF(01_因子設定!$B$20="Box-Behnken",E2217^2+F2217^2+G2217^2+H2217^2&lt;=2+0.000000001,TRUE()))</f>
        <v>1</v>
      </c>
      <c r="AD2217" s="55" t="n">
        <f aca="false">IF(AC2217,IF(01_因子設定!$B$13="最大化",AA2217-01_因子設定!$B$14,IF(01_因子設定!$B$13="最小化",01_因子設定!$B$15-AB2217,MIN(AA2217-01_因子設定!$B$14,01_因子設定!$B$15-AB2217))),-1E+030)</f>
        <v>-5.69517641540489</v>
      </c>
      <c r="AE2217" s="55" t="n">
        <f aca="false">IF(AC2217,IF(01_因子設定!$B$13="最大化",X2217,IF(01_因子設定!$B$13="最小化",-X2217,-ABS(X2217-01_因子設定!$B$16))),-1E+030)</f>
        <v>42.3793311403508</v>
      </c>
      <c r="AF2217" s="55" t="n">
        <f aca="false">AD2217+ROW()*0.000000001</f>
        <v>-5.6951741984049</v>
      </c>
      <c r="AG2217" s="55" t="n">
        <f aca="false">AE2217+ROW()*0.000000001</f>
        <v>42.3793333573508</v>
      </c>
    </row>
    <row r="2218" customFormat="false" ht="15" hidden="false" customHeight="false" outlineLevel="0" collapsed="false">
      <c r="A2218" s="0" t="n">
        <v>3</v>
      </c>
      <c r="B2218" s="0" t="n">
        <v>0</v>
      </c>
      <c r="C2218" s="0" t="n">
        <v>2</v>
      </c>
      <c r="D2218" s="0" t="n">
        <v>8</v>
      </c>
      <c r="E2218" s="0" t="n">
        <f aca="false">-1+A2218*0.25</f>
        <v>-0.25</v>
      </c>
      <c r="F2218" s="0" t="n">
        <f aca="false">-1+B2218*0.25</f>
        <v>-1</v>
      </c>
      <c r="G2218" s="0" t="n">
        <f aca="false">-1+C2218*0.25</f>
        <v>-0.5</v>
      </c>
      <c r="H2218" s="0" t="n">
        <f aca="false">-1+D2218*0.25</f>
        <v>1</v>
      </c>
      <c r="I2218" s="0" t="n">
        <f aca="false">1</f>
        <v>1</v>
      </c>
      <c r="J2218" s="0" t="n">
        <f aca="false">E2218</f>
        <v>-0.25</v>
      </c>
      <c r="K2218" s="0" t="n">
        <f aca="false">F2218</f>
        <v>-1</v>
      </c>
      <c r="L2218" s="0" t="n">
        <f aca="false">G2218</f>
        <v>-0.5</v>
      </c>
      <c r="M2218" s="0" t="n">
        <f aca="false">H2218</f>
        <v>1</v>
      </c>
      <c r="N2218" s="0" t="n">
        <f aca="false">E2218*F2218</f>
        <v>0.25</v>
      </c>
      <c r="O2218" s="0" t="n">
        <f aca="false">E2218*G2218</f>
        <v>0.125</v>
      </c>
      <c r="P2218" s="0" t="n">
        <f aca="false">E2218*H2218</f>
        <v>-0.25</v>
      </c>
      <c r="Q2218" s="0" t="n">
        <f aca="false">F2218*G2218</f>
        <v>0.5</v>
      </c>
      <c r="R2218" s="0" t="n">
        <f aca="false">F2218*H2218</f>
        <v>-1</v>
      </c>
      <c r="S2218" s="0" t="n">
        <f aca="false">G2218*H2218</f>
        <v>-0.5</v>
      </c>
      <c r="T2218" s="0" t="n">
        <f aca="false">E2218*E2218</f>
        <v>0.0625</v>
      </c>
      <c r="U2218" s="0" t="n">
        <f aca="false">F2218*F2218</f>
        <v>1</v>
      </c>
      <c r="V2218" s="0" t="n">
        <f aca="false">G2218*G2218</f>
        <v>0.25</v>
      </c>
      <c r="W2218" s="0" t="n">
        <f aca="false">H2218*H2218</f>
        <v>1</v>
      </c>
      <c r="X2218" s="0" t="n">
        <f aca="false">SUMPRODUCT(I2218:W2218,_XtX!$B$96:$P$96)</f>
        <v>42.3227704678362</v>
      </c>
      <c r="Y2218" s="0" t="n">
        <f aca="false">SUMPRODUCT(MMULT(I2218:W2218,_XtX!$B$78:$P$92),I2218:W2218)</f>
        <v>0.629174661915205</v>
      </c>
      <c r="Z2218" s="0" t="n">
        <f aca="false">04_回帰ANOVA!$K$19*04_回帰ANOVA!$K$14*SQRT(1+Y2218)</f>
        <v>1.66372758058297</v>
      </c>
      <c r="AA2218" s="0" t="n">
        <f aca="false">X2218-Z2218</f>
        <v>40.6590428872533</v>
      </c>
      <c r="AB2218" s="0" t="n">
        <f aca="false">X2218+Z2218</f>
        <v>43.9864980484192</v>
      </c>
      <c r="AC2218" s="54" t="b">
        <f aca="false">AND(E2218&gt;=01_因子設定!$L$5-0.000000001,E2218&lt;=01_因子設定!$M$5+0.000000001,F2218&gt;=01_因子設定!$L$6-0.000000001,F2218&lt;=01_因子設定!$M$6+0.000000001,G2218&gt;=01_因子設定!$L$7-0.000000001,G2218&lt;=01_因子設定!$M$7+0.000000001,H2218&gt;=01_因子設定!$L$8-0.000000001,H2218&lt;=01_因子設定!$M$8+0.000000001,IF(01_因子設定!$B$20="Box-Behnken",E2218^2+F2218^2+G2218^2+H2218^2&lt;=2+0.000000001,TRUE()))</f>
        <v>1</v>
      </c>
      <c r="AD2218" s="55" t="n">
        <f aca="false">IF(AC2218,IF(01_因子設定!$B$13="最大化",AA2218-01_因子設定!$B$14,IF(01_因子設定!$B$13="最小化",01_因子設定!$B$15-AB2218,MIN(AA2218-01_因子設定!$B$14,01_因子設定!$B$15-AB2218))),-1E+030)</f>
        <v>-5.84095711274674</v>
      </c>
      <c r="AE2218" s="55" t="n">
        <f aca="false">IF(AC2218,IF(01_因子設定!$B$13="最大化",X2218,IF(01_因子設定!$B$13="最小化",-X2218,-ABS(X2218-01_因子設定!$B$16))),-1E+030)</f>
        <v>42.3227704678362</v>
      </c>
      <c r="AF2218" s="55" t="n">
        <f aca="false">AD2218+ROW()*0.000000001</f>
        <v>-5.84095489474674</v>
      </c>
      <c r="AG2218" s="55" t="n">
        <f aca="false">AE2218+ROW()*0.000000001</f>
        <v>42.3227726858362</v>
      </c>
    </row>
    <row r="2219" customFormat="false" ht="15" hidden="false" customHeight="false" outlineLevel="0" collapsed="false">
      <c r="A2219" s="0" t="n">
        <v>3</v>
      </c>
      <c r="B2219" s="0" t="n">
        <v>0</v>
      </c>
      <c r="C2219" s="0" t="n">
        <v>3</v>
      </c>
      <c r="D2219" s="0" t="n">
        <v>0</v>
      </c>
      <c r="E2219" s="0" t="n">
        <f aca="false">-1+A2219*0.25</f>
        <v>-0.25</v>
      </c>
      <c r="F2219" s="0" t="n">
        <f aca="false">-1+B2219*0.25</f>
        <v>-1</v>
      </c>
      <c r="G2219" s="0" t="n">
        <f aca="false">-1+C2219*0.25</f>
        <v>-0.25</v>
      </c>
      <c r="H2219" s="0" t="n">
        <f aca="false">-1+D2219*0.25</f>
        <v>-1</v>
      </c>
      <c r="I2219" s="0" t="n">
        <f aca="false">1</f>
        <v>1</v>
      </c>
      <c r="J2219" s="0" t="n">
        <f aca="false">E2219</f>
        <v>-0.25</v>
      </c>
      <c r="K2219" s="0" t="n">
        <f aca="false">F2219</f>
        <v>-1</v>
      </c>
      <c r="L2219" s="0" t="n">
        <f aca="false">G2219</f>
        <v>-0.25</v>
      </c>
      <c r="M2219" s="0" t="n">
        <f aca="false">H2219</f>
        <v>-1</v>
      </c>
      <c r="N2219" s="0" t="n">
        <f aca="false">E2219*F2219</f>
        <v>0.25</v>
      </c>
      <c r="O2219" s="0" t="n">
        <f aca="false">E2219*G2219</f>
        <v>0.0625</v>
      </c>
      <c r="P2219" s="0" t="n">
        <f aca="false">E2219*H2219</f>
        <v>0.25</v>
      </c>
      <c r="Q2219" s="0" t="n">
        <f aca="false">F2219*G2219</f>
        <v>0.25</v>
      </c>
      <c r="R2219" s="0" t="n">
        <f aca="false">F2219*H2219</f>
        <v>1</v>
      </c>
      <c r="S2219" s="0" t="n">
        <f aca="false">G2219*H2219</f>
        <v>0.25</v>
      </c>
      <c r="T2219" s="0" t="n">
        <f aca="false">E2219*E2219</f>
        <v>0.0625</v>
      </c>
      <c r="U2219" s="0" t="n">
        <f aca="false">F2219*F2219</f>
        <v>1</v>
      </c>
      <c r="V2219" s="0" t="n">
        <f aca="false">G2219*G2219</f>
        <v>0.0625</v>
      </c>
      <c r="W2219" s="0" t="n">
        <f aca="false">H2219*H2219</f>
        <v>1</v>
      </c>
      <c r="X2219" s="0" t="n">
        <f aca="false">SUMPRODUCT(I2219:W2219,_XtX!$B$96:$P$96)</f>
        <v>41.7010782163743</v>
      </c>
      <c r="Y2219" s="0" t="n">
        <f aca="false">SUMPRODUCT(MMULT(I2219:W2219,_XtX!$B$78:$P$92),I2219:W2219)</f>
        <v>0.670040376005117</v>
      </c>
      <c r="Z2219" s="0" t="n">
        <f aca="false">04_回帰ANOVA!$K$19*04_回帰ANOVA!$K$14*SQRT(1+Y2219)</f>
        <v>1.68446456039992</v>
      </c>
      <c r="AA2219" s="0" t="n">
        <f aca="false">X2219-Z2219</f>
        <v>40.0166136559743</v>
      </c>
      <c r="AB2219" s="0" t="n">
        <f aca="false">X2219+Z2219</f>
        <v>43.3855427767742</v>
      </c>
      <c r="AC2219" s="54" t="b">
        <f aca="false">AND(E2219&gt;=01_因子設定!$L$5-0.000000001,E2219&lt;=01_因子設定!$M$5+0.000000001,F2219&gt;=01_因子設定!$L$6-0.000000001,F2219&lt;=01_因子設定!$M$6+0.000000001,G2219&gt;=01_因子設定!$L$7-0.000000001,G2219&lt;=01_因子設定!$M$7+0.000000001,H2219&gt;=01_因子設定!$L$8-0.000000001,H2219&lt;=01_因子設定!$M$8+0.000000001,IF(01_因子設定!$B$20="Box-Behnken",E2219^2+F2219^2+G2219^2+H2219^2&lt;=2+0.000000001,TRUE()))</f>
        <v>1</v>
      </c>
      <c r="AD2219" s="55" t="n">
        <f aca="false">IF(AC2219,IF(01_因子設定!$B$13="最大化",AA2219-01_因子設定!$B$14,IF(01_因子設定!$B$13="最小化",01_因子設定!$B$15-AB2219,MIN(AA2219-01_因子設定!$B$14,01_因子設定!$B$15-AB2219))),-1E+030)</f>
        <v>-6.48338634402567</v>
      </c>
      <c r="AE2219" s="55" t="n">
        <f aca="false">IF(AC2219,IF(01_因子設定!$B$13="最大化",X2219,IF(01_因子設定!$B$13="最小化",-X2219,-ABS(X2219-01_因子設定!$B$16))),-1E+030)</f>
        <v>41.7010782163743</v>
      </c>
      <c r="AF2219" s="55" t="n">
        <f aca="false">AD2219+ROW()*0.000000001</f>
        <v>-6.48338412502567</v>
      </c>
      <c r="AG2219" s="55" t="n">
        <f aca="false">AE2219+ROW()*0.000000001</f>
        <v>41.7010804353743</v>
      </c>
    </row>
    <row r="2220" customFormat="false" ht="15" hidden="false" customHeight="false" outlineLevel="0" collapsed="false">
      <c r="A2220" s="0" t="n">
        <v>3</v>
      </c>
      <c r="B2220" s="0" t="n">
        <v>0</v>
      </c>
      <c r="C2220" s="0" t="n">
        <v>3</v>
      </c>
      <c r="D2220" s="0" t="n">
        <v>1</v>
      </c>
      <c r="E2220" s="0" t="n">
        <f aca="false">-1+A2220*0.25</f>
        <v>-0.25</v>
      </c>
      <c r="F2220" s="0" t="n">
        <f aca="false">-1+B2220*0.25</f>
        <v>-1</v>
      </c>
      <c r="G2220" s="0" t="n">
        <f aca="false">-1+C2220*0.25</f>
        <v>-0.25</v>
      </c>
      <c r="H2220" s="0" t="n">
        <f aca="false">-1+D2220*0.25</f>
        <v>-0.75</v>
      </c>
      <c r="I2220" s="0" t="n">
        <f aca="false">1</f>
        <v>1</v>
      </c>
      <c r="J2220" s="0" t="n">
        <f aca="false">E2220</f>
        <v>-0.25</v>
      </c>
      <c r="K2220" s="0" t="n">
        <f aca="false">F2220</f>
        <v>-1</v>
      </c>
      <c r="L2220" s="0" t="n">
        <f aca="false">G2220</f>
        <v>-0.25</v>
      </c>
      <c r="M2220" s="0" t="n">
        <f aca="false">H2220</f>
        <v>-0.75</v>
      </c>
      <c r="N2220" s="0" t="n">
        <f aca="false">E2220*F2220</f>
        <v>0.25</v>
      </c>
      <c r="O2220" s="0" t="n">
        <f aca="false">E2220*G2220</f>
        <v>0.0625</v>
      </c>
      <c r="P2220" s="0" t="n">
        <f aca="false">E2220*H2220</f>
        <v>0.1875</v>
      </c>
      <c r="Q2220" s="0" t="n">
        <f aca="false">F2220*G2220</f>
        <v>0.25</v>
      </c>
      <c r="R2220" s="0" t="n">
        <f aca="false">F2220*H2220</f>
        <v>0.75</v>
      </c>
      <c r="S2220" s="0" t="n">
        <f aca="false">G2220*H2220</f>
        <v>0.1875</v>
      </c>
      <c r="T2220" s="0" t="n">
        <f aca="false">E2220*E2220</f>
        <v>0.0625</v>
      </c>
      <c r="U2220" s="0" t="n">
        <f aca="false">F2220*F2220</f>
        <v>1</v>
      </c>
      <c r="V2220" s="0" t="n">
        <f aca="false">G2220*G2220</f>
        <v>0.0625</v>
      </c>
      <c r="W2220" s="0" t="n">
        <f aca="false">H2220*H2220</f>
        <v>0.5625</v>
      </c>
      <c r="X2220" s="0" t="n">
        <f aca="false">SUMPRODUCT(I2220:W2220,_XtX!$B$96:$P$96)</f>
        <v>41.9971354166666</v>
      </c>
      <c r="Y2220" s="0" t="n">
        <f aca="false">SUMPRODUCT(MMULT(I2220:W2220,_XtX!$B$78:$P$92),I2220:W2220)</f>
        <v>0.486409505208334</v>
      </c>
      <c r="Z2220" s="0" t="n">
        <f aca="false">04_回帰ANOVA!$K$19*04_回帰ANOVA!$K$14*SQRT(1+Y2220)</f>
        <v>1.58916001665498</v>
      </c>
      <c r="AA2220" s="0" t="n">
        <f aca="false">X2220-Z2220</f>
        <v>40.4079754000117</v>
      </c>
      <c r="AB2220" s="0" t="n">
        <f aca="false">X2220+Z2220</f>
        <v>43.5862954333216</v>
      </c>
      <c r="AC2220" s="54" t="b">
        <f aca="false">AND(E2220&gt;=01_因子設定!$L$5-0.000000001,E2220&lt;=01_因子設定!$M$5+0.000000001,F2220&gt;=01_因子設定!$L$6-0.000000001,F2220&lt;=01_因子設定!$M$6+0.000000001,G2220&gt;=01_因子設定!$L$7-0.000000001,G2220&lt;=01_因子設定!$M$7+0.000000001,H2220&gt;=01_因子設定!$L$8-0.000000001,H2220&lt;=01_因子設定!$M$8+0.000000001,IF(01_因子設定!$B$20="Box-Behnken",E2220^2+F2220^2+G2220^2+H2220^2&lt;=2+0.000000001,TRUE()))</f>
        <v>1</v>
      </c>
      <c r="AD2220" s="55" t="n">
        <f aca="false">IF(AC2220,IF(01_因子設定!$B$13="最大化",AA2220-01_因子設定!$B$14,IF(01_因子設定!$B$13="最小化",01_因子設定!$B$15-AB2220,MIN(AA2220-01_因子設定!$B$14,01_因子設定!$B$15-AB2220))),-1E+030)</f>
        <v>-6.09202459998835</v>
      </c>
      <c r="AE2220" s="55" t="n">
        <f aca="false">IF(AC2220,IF(01_因子設定!$B$13="最大化",X2220,IF(01_因子設定!$B$13="最小化",-X2220,-ABS(X2220-01_因子設定!$B$16))),-1E+030)</f>
        <v>41.9971354166666</v>
      </c>
      <c r="AF2220" s="55" t="n">
        <f aca="false">AD2220+ROW()*0.000000001</f>
        <v>-6.09202237998835</v>
      </c>
      <c r="AG2220" s="55" t="n">
        <f aca="false">AE2220+ROW()*0.000000001</f>
        <v>41.9971376366666</v>
      </c>
    </row>
    <row r="2221" customFormat="false" ht="15" hidden="false" customHeight="false" outlineLevel="0" collapsed="false">
      <c r="A2221" s="0" t="n">
        <v>3</v>
      </c>
      <c r="B2221" s="0" t="n">
        <v>0</v>
      </c>
      <c r="C2221" s="0" t="n">
        <v>3</v>
      </c>
      <c r="D2221" s="0" t="n">
        <v>2</v>
      </c>
      <c r="E2221" s="0" t="n">
        <f aca="false">-1+A2221*0.25</f>
        <v>-0.25</v>
      </c>
      <c r="F2221" s="0" t="n">
        <f aca="false">-1+B2221*0.25</f>
        <v>-1</v>
      </c>
      <c r="G2221" s="0" t="n">
        <f aca="false">-1+C2221*0.25</f>
        <v>-0.25</v>
      </c>
      <c r="H2221" s="0" t="n">
        <f aca="false">-1+D2221*0.25</f>
        <v>-0.5</v>
      </c>
      <c r="I2221" s="0" t="n">
        <f aca="false">1</f>
        <v>1</v>
      </c>
      <c r="J2221" s="0" t="n">
        <f aca="false">E2221</f>
        <v>-0.25</v>
      </c>
      <c r="K2221" s="0" t="n">
        <f aca="false">F2221</f>
        <v>-1</v>
      </c>
      <c r="L2221" s="0" t="n">
        <f aca="false">G2221</f>
        <v>-0.25</v>
      </c>
      <c r="M2221" s="0" t="n">
        <f aca="false">H2221</f>
        <v>-0.5</v>
      </c>
      <c r="N2221" s="0" t="n">
        <f aca="false">E2221*F2221</f>
        <v>0.25</v>
      </c>
      <c r="O2221" s="0" t="n">
        <f aca="false">E2221*G2221</f>
        <v>0.0625</v>
      </c>
      <c r="P2221" s="0" t="n">
        <f aca="false">E2221*H2221</f>
        <v>0.125</v>
      </c>
      <c r="Q2221" s="0" t="n">
        <f aca="false">F2221*G2221</f>
        <v>0.25</v>
      </c>
      <c r="R2221" s="0" t="n">
        <f aca="false">F2221*H2221</f>
        <v>0.5</v>
      </c>
      <c r="S2221" s="0" t="n">
        <f aca="false">G2221*H2221</f>
        <v>0.125</v>
      </c>
      <c r="T2221" s="0" t="n">
        <f aca="false">E2221*E2221</f>
        <v>0.0625</v>
      </c>
      <c r="U2221" s="0" t="n">
        <f aca="false">F2221*F2221</f>
        <v>1</v>
      </c>
      <c r="V2221" s="0" t="n">
        <f aca="false">G2221*G2221</f>
        <v>0.0625</v>
      </c>
      <c r="W2221" s="0" t="n">
        <f aca="false">H2221*H2221</f>
        <v>0.25</v>
      </c>
      <c r="X2221" s="0" t="n">
        <f aca="false">SUMPRODUCT(I2221:W2221,_XtX!$B$96:$P$96)</f>
        <v>42.2453855994152</v>
      </c>
      <c r="Y2221" s="0" t="n">
        <f aca="false">SUMPRODUCT(MMULT(I2221:W2221,_XtX!$B$78:$P$92),I2221:W2221)</f>
        <v>0.445705123812135</v>
      </c>
      <c r="Z2221" s="0" t="n">
        <f aca="false">04_回帰ANOVA!$K$19*04_回帰ANOVA!$K$14*SQRT(1+Y2221)</f>
        <v>1.56724990734749</v>
      </c>
      <c r="AA2221" s="0" t="n">
        <f aca="false">X2221-Z2221</f>
        <v>40.6781356920677</v>
      </c>
      <c r="AB2221" s="0" t="n">
        <f aca="false">X2221+Z2221</f>
        <v>43.8126355067626</v>
      </c>
      <c r="AC2221" s="54" t="b">
        <f aca="false">AND(E2221&gt;=01_因子設定!$L$5-0.000000001,E2221&lt;=01_因子設定!$M$5+0.000000001,F2221&gt;=01_因子設定!$L$6-0.000000001,F2221&lt;=01_因子設定!$M$6+0.000000001,G2221&gt;=01_因子設定!$L$7-0.000000001,G2221&lt;=01_因子設定!$M$7+0.000000001,H2221&gt;=01_因子設定!$L$8-0.000000001,H2221&lt;=01_因子設定!$M$8+0.000000001,IF(01_因子設定!$B$20="Box-Behnken",E2221^2+F2221^2+G2221^2+H2221^2&lt;=2+0.000000001,TRUE()))</f>
        <v>1</v>
      </c>
      <c r="AD2221" s="55" t="n">
        <f aca="false">IF(AC2221,IF(01_因子設定!$B$13="最大化",AA2221-01_因子設定!$B$14,IF(01_因子設定!$B$13="最小化",01_因子設定!$B$15-AB2221,MIN(AA2221-01_因子設定!$B$14,01_因子設定!$B$15-AB2221))),-1E+030)</f>
        <v>-5.82186430793234</v>
      </c>
      <c r="AE2221" s="55" t="n">
        <f aca="false">IF(AC2221,IF(01_因子設定!$B$13="最大化",X2221,IF(01_因子設定!$B$13="最小化",-X2221,-ABS(X2221-01_因子設定!$B$16))),-1E+030)</f>
        <v>42.2453855994152</v>
      </c>
      <c r="AF2221" s="55" t="n">
        <f aca="false">AD2221+ROW()*0.000000001</f>
        <v>-5.82186208693234</v>
      </c>
      <c r="AG2221" s="55" t="n">
        <f aca="false">AE2221+ROW()*0.000000001</f>
        <v>42.2453878204152</v>
      </c>
    </row>
    <row r="2222" customFormat="false" ht="15" hidden="false" customHeight="false" outlineLevel="0" collapsed="false">
      <c r="A2222" s="0" t="n">
        <v>3</v>
      </c>
      <c r="B2222" s="0" t="n">
        <v>0</v>
      </c>
      <c r="C2222" s="0" t="n">
        <v>3</v>
      </c>
      <c r="D2222" s="0" t="n">
        <v>3</v>
      </c>
      <c r="E2222" s="0" t="n">
        <f aca="false">-1+A2222*0.25</f>
        <v>-0.25</v>
      </c>
      <c r="F2222" s="0" t="n">
        <f aca="false">-1+B2222*0.25</f>
        <v>-1</v>
      </c>
      <c r="G2222" s="0" t="n">
        <f aca="false">-1+C2222*0.25</f>
        <v>-0.25</v>
      </c>
      <c r="H2222" s="0" t="n">
        <f aca="false">-1+D2222*0.25</f>
        <v>-0.25</v>
      </c>
      <c r="I2222" s="0" t="n">
        <f aca="false">1</f>
        <v>1</v>
      </c>
      <c r="J2222" s="0" t="n">
        <f aca="false">E2222</f>
        <v>-0.25</v>
      </c>
      <c r="K2222" s="0" t="n">
        <f aca="false">F2222</f>
        <v>-1</v>
      </c>
      <c r="L2222" s="0" t="n">
        <f aca="false">G2222</f>
        <v>-0.25</v>
      </c>
      <c r="M2222" s="0" t="n">
        <f aca="false">H2222</f>
        <v>-0.25</v>
      </c>
      <c r="N2222" s="0" t="n">
        <f aca="false">E2222*F2222</f>
        <v>0.25</v>
      </c>
      <c r="O2222" s="0" t="n">
        <f aca="false">E2222*G2222</f>
        <v>0.0625</v>
      </c>
      <c r="P2222" s="0" t="n">
        <f aca="false">E2222*H2222</f>
        <v>0.0625</v>
      </c>
      <c r="Q2222" s="0" t="n">
        <f aca="false">F2222*G2222</f>
        <v>0.25</v>
      </c>
      <c r="R2222" s="0" t="n">
        <f aca="false">F2222*H2222</f>
        <v>0.25</v>
      </c>
      <c r="S2222" s="0" t="n">
        <f aca="false">G2222*H2222</f>
        <v>0.0625</v>
      </c>
      <c r="T2222" s="0" t="n">
        <f aca="false">E2222*E2222</f>
        <v>0.0625</v>
      </c>
      <c r="U2222" s="0" t="n">
        <f aca="false">F2222*F2222</f>
        <v>1</v>
      </c>
      <c r="V2222" s="0" t="n">
        <f aca="false">G2222*G2222</f>
        <v>0.0625</v>
      </c>
      <c r="W2222" s="0" t="n">
        <f aca="false">H2222*H2222</f>
        <v>0.0625</v>
      </c>
      <c r="X2222" s="0" t="n">
        <f aca="false">SUMPRODUCT(I2222:W2222,_XtX!$B$96:$P$96)</f>
        <v>42.4458287646198</v>
      </c>
      <c r="Y2222" s="0" t="n">
        <f aca="false">SUMPRODUCT(MMULT(I2222:W2222,_XtX!$B$78:$P$92),I2222:W2222)</f>
        <v>0.457466705500731</v>
      </c>
      <c r="Z2222" s="0" t="n">
        <f aca="false">04_回帰ANOVA!$K$19*04_回帰ANOVA!$K$14*SQRT(1+Y2222)</f>
        <v>1.57361220003999</v>
      </c>
      <c r="AA2222" s="0" t="n">
        <f aca="false">X2222-Z2222</f>
        <v>40.8722165645798</v>
      </c>
      <c r="AB2222" s="0" t="n">
        <f aca="false">X2222+Z2222</f>
        <v>44.0194409646598</v>
      </c>
      <c r="AC2222" s="54" t="b">
        <f aca="false">AND(E2222&gt;=01_因子設定!$L$5-0.000000001,E2222&lt;=01_因子設定!$M$5+0.000000001,F2222&gt;=01_因子設定!$L$6-0.000000001,F2222&lt;=01_因子設定!$M$6+0.000000001,G2222&gt;=01_因子設定!$L$7-0.000000001,G2222&lt;=01_因子設定!$M$7+0.000000001,H2222&gt;=01_因子設定!$L$8-0.000000001,H2222&lt;=01_因子設定!$M$8+0.000000001,IF(01_因子設定!$B$20="Box-Behnken",E2222^2+F2222^2+G2222^2+H2222^2&lt;=2+0.000000001,TRUE()))</f>
        <v>1</v>
      </c>
      <c r="AD2222" s="55" t="n">
        <f aca="false">IF(AC2222,IF(01_因子設定!$B$13="最大化",AA2222-01_因子設定!$B$14,IF(01_因子設定!$B$13="最小化",01_因子設定!$B$15-AB2222,MIN(AA2222-01_因子設定!$B$14,01_因子設定!$B$15-AB2222))),-1E+030)</f>
        <v>-5.62778343542017</v>
      </c>
      <c r="AE2222" s="55" t="n">
        <f aca="false">IF(AC2222,IF(01_因子設定!$B$13="最大化",X2222,IF(01_因子設定!$B$13="最小化",-X2222,-ABS(X2222-01_因子設定!$B$16))),-1E+030)</f>
        <v>42.4458287646198</v>
      </c>
      <c r="AF2222" s="55" t="n">
        <f aca="false">AD2222+ROW()*0.000000001</f>
        <v>-5.62778121342017</v>
      </c>
      <c r="AG2222" s="55" t="n">
        <f aca="false">AE2222+ROW()*0.000000001</f>
        <v>42.4458309866198</v>
      </c>
    </row>
    <row r="2223" customFormat="false" ht="15" hidden="false" customHeight="false" outlineLevel="0" collapsed="false">
      <c r="A2223" s="0" t="n">
        <v>3</v>
      </c>
      <c r="B2223" s="0" t="n">
        <v>0</v>
      </c>
      <c r="C2223" s="0" t="n">
        <v>3</v>
      </c>
      <c r="D2223" s="0" t="n">
        <v>4</v>
      </c>
      <c r="E2223" s="0" t="n">
        <f aca="false">-1+A2223*0.25</f>
        <v>-0.25</v>
      </c>
      <c r="F2223" s="0" t="n">
        <f aca="false">-1+B2223*0.25</f>
        <v>-1</v>
      </c>
      <c r="G2223" s="0" t="n">
        <f aca="false">-1+C2223*0.25</f>
        <v>-0.25</v>
      </c>
      <c r="H2223" s="0" t="n">
        <f aca="false">-1+D2223*0.25</f>
        <v>0</v>
      </c>
      <c r="I2223" s="0" t="n">
        <f aca="false">1</f>
        <v>1</v>
      </c>
      <c r="J2223" s="0" t="n">
        <f aca="false">E2223</f>
        <v>-0.25</v>
      </c>
      <c r="K2223" s="0" t="n">
        <f aca="false">F2223</f>
        <v>-1</v>
      </c>
      <c r="L2223" s="0" t="n">
        <f aca="false">G2223</f>
        <v>-0.25</v>
      </c>
      <c r="M2223" s="0" t="n">
        <f aca="false">H2223</f>
        <v>0</v>
      </c>
      <c r="N2223" s="0" t="n">
        <f aca="false">E2223*F2223</f>
        <v>0.25</v>
      </c>
      <c r="O2223" s="0" t="n">
        <f aca="false">E2223*G2223</f>
        <v>0.0625</v>
      </c>
      <c r="P2223" s="0" t="n">
        <f aca="false">E2223*H2223</f>
        <v>-0</v>
      </c>
      <c r="Q2223" s="0" t="n">
        <f aca="false">F2223*G2223</f>
        <v>0.25</v>
      </c>
      <c r="R2223" s="0" t="n">
        <f aca="false">F2223*H2223</f>
        <v>-0</v>
      </c>
      <c r="S2223" s="0" t="n">
        <f aca="false">G2223*H2223</f>
        <v>-0</v>
      </c>
      <c r="T2223" s="0" t="n">
        <f aca="false">E2223*E2223</f>
        <v>0.0625</v>
      </c>
      <c r="U2223" s="0" t="n">
        <f aca="false">F2223*F2223</f>
        <v>1</v>
      </c>
      <c r="V2223" s="0" t="n">
        <f aca="false">G2223*G2223</f>
        <v>0.0625</v>
      </c>
      <c r="W2223" s="0" t="n">
        <f aca="false">H2223*H2223</f>
        <v>0</v>
      </c>
      <c r="X2223" s="0" t="n">
        <f aca="false">SUMPRODUCT(I2223:W2223,_XtX!$B$96:$P$96)</f>
        <v>42.5984649122806</v>
      </c>
      <c r="Y2223" s="0" t="n">
        <f aca="false">SUMPRODUCT(MMULT(I2223:W2223,_XtX!$B$78:$P$92),I2223:W2223)</f>
        <v>0.467417934484649</v>
      </c>
      <c r="Z2223" s="0" t="n">
        <f aca="false">04_回帰ANOVA!$K$19*04_回帰ANOVA!$K$14*SQRT(1+Y2223)</f>
        <v>1.57897518244497</v>
      </c>
      <c r="AA2223" s="0" t="n">
        <f aca="false">X2223-Z2223</f>
        <v>41.0194897298357</v>
      </c>
      <c r="AB2223" s="0" t="n">
        <f aca="false">X2223+Z2223</f>
        <v>44.1774400947256</v>
      </c>
      <c r="AC2223" s="54" t="b">
        <f aca="false">AND(E2223&gt;=01_因子設定!$L$5-0.000000001,E2223&lt;=01_因子設定!$M$5+0.000000001,F2223&gt;=01_因子設定!$L$6-0.000000001,F2223&lt;=01_因子設定!$M$6+0.000000001,G2223&gt;=01_因子設定!$L$7-0.000000001,G2223&lt;=01_因子設定!$M$7+0.000000001,H2223&gt;=01_因子設定!$L$8-0.000000001,H2223&lt;=01_因子設定!$M$8+0.000000001,IF(01_因子設定!$B$20="Box-Behnken",E2223^2+F2223^2+G2223^2+H2223^2&lt;=2+0.000000001,TRUE()))</f>
        <v>1</v>
      </c>
      <c r="AD2223" s="55" t="n">
        <f aca="false">IF(AC2223,IF(01_因子設定!$B$13="最大化",AA2223-01_因子設定!$B$14,IF(01_因子設定!$B$13="最小化",01_因子設定!$B$15-AB2223,MIN(AA2223-01_因子設定!$B$14,01_因子設定!$B$15-AB2223))),-1E+030)</f>
        <v>-5.48051027016433</v>
      </c>
      <c r="AE2223" s="55" t="n">
        <f aca="false">IF(AC2223,IF(01_因子設定!$B$13="最大化",X2223,IF(01_因子設定!$B$13="最小化",-X2223,-ABS(X2223-01_因子設定!$B$16))),-1E+030)</f>
        <v>42.5984649122806</v>
      </c>
      <c r="AF2223" s="55" t="n">
        <f aca="false">AD2223+ROW()*0.000000001</f>
        <v>-5.48050804716433</v>
      </c>
      <c r="AG2223" s="55" t="n">
        <f aca="false">AE2223+ROW()*0.000000001</f>
        <v>42.5984671352806</v>
      </c>
    </row>
    <row r="2224" customFormat="false" ht="15" hidden="false" customHeight="false" outlineLevel="0" collapsed="false">
      <c r="A2224" s="0" t="n">
        <v>3</v>
      </c>
      <c r="B2224" s="0" t="n">
        <v>0</v>
      </c>
      <c r="C2224" s="0" t="n">
        <v>3</v>
      </c>
      <c r="D2224" s="0" t="n">
        <v>5</v>
      </c>
      <c r="E2224" s="0" t="n">
        <f aca="false">-1+A2224*0.25</f>
        <v>-0.25</v>
      </c>
      <c r="F2224" s="0" t="n">
        <f aca="false">-1+B2224*0.25</f>
        <v>-1</v>
      </c>
      <c r="G2224" s="0" t="n">
        <f aca="false">-1+C2224*0.25</f>
        <v>-0.25</v>
      </c>
      <c r="H2224" s="0" t="n">
        <f aca="false">-1+D2224*0.25</f>
        <v>0.25</v>
      </c>
      <c r="I2224" s="0" t="n">
        <f aca="false">1</f>
        <v>1</v>
      </c>
      <c r="J2224" s="0" t="n">
        <f aca="false">E2224</f>
        <v>-0.25</v>
      </c>
      <c r="K2224" s="0" t="n">
        <f aca="false">F2224</f>
        <v>-1</v>
      </c>
      <c r="L2224" s="0" t="n">
        <f aca="false">G2224</f>
        <v>-0.25</v>
      </c>
      <c r="M2224" s="0" t="n">
        <f aca="false">H2224</f>
        <v>0.25</v>
      </c>
      <c r="N2224" s="0" t="n">
        <f aca="false">E2224*F2224</f>
        <v>0.25</v>
      </c>
      <c r="O2224" s="0" t="n">
        <f aca="false">E2224*G2224</f>
        <v>0.0625</v>
      </c>
      <c r="P2224" s="0" t="n">
        <f aca="false">E2224*H2224</f>
        <v>-0.0625</v>
      </c>
      <c r="Q2224" s="0" t="n">
        <f aca="false">F2224*G2224</f>
        <v>0.25</v>
      </c>
      <c r="R2224" s="0" t="n">
        <f aca="false">F2224*H2224</f>
        <v>-0.25</v>
      </c>
      <c r="S2224" s="0" t="n">
        <f aca="false">G2224*H2224</f>
        <v>-0.0625</v>
      </c>
      <c r="T2224" s="0" t="n">
        <f aca="false">E2224*E2224</f>
        <v>0.0625</v>
      </c>
      <c r="U2224" s="0" t="n">
        <f aca="false">F2224*F2224</f>
        <v>1</v>
      </c>
      <c r="V2224" s="0" t="n">
        <f aca="false">G2224*G2224</f>
        <v>0.0625</v>
      </c>
      <c r="W2224" s="0" t="n">
        <f aca="false">H2224*H2224</f>
        <v>0.0625</v>
      </c>
      <c r="X2224" s="0" t="n">
        <f aca="false">SUMPRODUCT(I2224:W2224,_XtX!$B$96:$P$96)</f>
        <v>42.7032940423976</v>
      </c>
      <c r="Y2224" s="0" t="n">
        <f aca="false">SUMPRODUCT(MMULT(I2224:W2224,_XtX!$B$78:$P$92),I2224:W2224)</f>
        <v>0.457466705500731</v>
      </c>
      <c r="Z2224" s="0" t="n">
        <f aca="false">04_回帰ANOVA!$K$19*04_回帰ANOVA!$K$14*SQRT(1+Y2224)</f>
        <v>1.57361220003999</v>
      </c>
      <c r="AA2224" s="0" t="n">
        <f aca="false">X2224-Z2224</f>
        <v>41.1296818423576</v>
      </c>
      <c r="AB2224" s="0" t="n">
        <f aca="false">X2224+Z2224</f>
        <v>44.2769062424376</v>
      </c>
      <c r="AC2224" s="54" t="b">
        <f aca="false">AND(E2224&gt;=01_因子設定!$L$5-0.000000001,E2224&lt;=01_因子設定!$M$5+0.000000001,F2224&gt;=01_因子設定!$L$6-0.000000001,F2224&lt;=01_因子設定!$M$6+0.000000001,G2224&gt;=01_因子設定!$L$7-0.000000001,G2224&lt;=01_因子設定!$M$7+0.000000001,H2224&gt;=01_因子設定!$L$8-0.000000001,H2224&lt;=01_因子設定!$M$8+0.000000001,IF(01_因子設定!$B$20="Box-Behnken",E2224^2+F2224^2+G2224^2+H2224^2&lt;=2+0.000000001,TRUE()))</f>
        <v>1</v>
      </c>
      <c r="AD2224" s="55" t="n">
        <f aca="false">IF(AC2224,IF(01_因子設定!$B$13="最大化",AA2224-01_因子設定!$B$14,IF(01_因子設定!$B$13="最小化",01_因子設定!$B$15-AB2224,MIN(AA2224-01_因子設定!$B$14,01_因子設定!$B$15-AB2224))),-1E+030)</f>
        <v>-5.37031815764239</v>
      </c>
      <c r="AE2224" s="55" t="n">
        <f aca="false">IF(AC2224,IF(01_因子設定!$B$13="最大化",X2224,IF(01_因子設定!$B$13="最小化",-X2224,-ABS(X2224-01_因子設定!$B$16))),-1E+030)</f>
        <v>42.7032940423976</v>
      </c>
      <c r="AF2224" s="55" t="n">
        <f aca="false">AD2224+ROW()*0.000000001</f>
        <v>-5.37031593364239</v>
      </c>
      <c r="AG2224" s="55" t="n">
        <f aca="false">AE2224+ROW()*0.000000001</f>
        <v>42.7032962663976</v>
      </c>
    </row>
    <row r="2225" customFormat="false" ht="15" hidden="false" customHeight="false" outlineLevel="0" collapsed="false">
      <c r="A2225" s="0" t="n">
        <v>3</v>
      </c>
      <c r="B2225" s="0" t="n">
        <v>0</v>
      </c>
      <c r="C2225" s="0" t="n">
        <v>3</v>
      </c>
      <c r="D2225" s="0" t="n">
        <v>6</v>
      </c>
      <c r="E2225" s="0" t="n">
        <f aca="false">-1+A2225*0.25</f>
        <v>-0.25</v>
      </c>
      <c r="F2225" s="0" t="n">
        <f aca="false">-1+B2225*0.25</f>
        <v>-1</v>
      </c>
      <c r="G2225" s="0" t="n">
        <f aca="false">-1+C2225*0.25</f>
        <v>-0.25</v>
      </c>
      <c r="H2225" s="0" t="n">
        <f aca="false">-1+D2225*0.25</f>
        <v>0.5</v>
      </c>
      <c r="I2225" s="0" t="n">
        <f aca="false">1</f>
        <v>1</v>
      </c>
      <c r="J2225" s="0" t="n">
        <f aca="false">E2225</f>
        <v>-0.25</v>
      </c>
      <c r="K2225" s="0" t="n">
        <f aca="false">F2225</f>
        <v>-1</v>
      </c>
      <c r="L2225" s="0" t="n">
        <f aca="false">G2225</f>
        <v>-0.25</v>
      </c>
      <c r="M2225" s="0" t="n">
        <f aca="false">H2225</f>
        <v>0.5</v>
      </c>
      <c r="N2225" s="0" t="n">
        <f aca="false">E2225*F2225</f>
        <v>0.25</v>
      </c>
      <c r="O2225" s="0" t="n">
        <f aca="false">E2225*G2225</f>
        <v>0.0625</v>
      </c>
      <c r="P2225" s="0" t="n">
        <f aca="false">E2225*H2225</f>
        <v>-0.125</v>
      </c>
      <c r="Q2225" s="0" t="n">
        <f aca="false">F2225*G2225</f>
        <v>0.25</v>
      </c>
      <c r="R2225" s="0" t="n">
        <f aca="false">F2225*H2225</f>
        <v>-0.5</v>
      </c>
      <c r="S2225" s="0" t="n">
        <f aca="false">G2225*H2225</f>
        <v>-0.125</v>
      </c>
      <c r="T2225" s="0" t="n">
        <f aca="false">E2225*E2225</f>
        <v>0.0625</v>
      </c>
      <c r="U2225" s="0" t="n">
        <f aca="false">F2225*F2225</f>
        <v>1</v>
      </c>
      <c r="V2225" s="0" t="n">
        <f aca="false">G2225*G2225</f>
        <v>0.0625</v>
      </c>
      <c r="W2225" s="0" t="n">
        <f aca="false">H2225*H2225</f>
        <v>0.25</v>
      </c>
      <c r="X2225" s="0" t="n">
        <f aca="false">SUMPRODUCT(I2225:W2225,_XtX!$B$96:$P$96)</f>
        <v>42.7603161549707</v>
      </c>
      <c r="Y2225" s="0" t="n">
        <f aca="false">SUMPRODUCT(MMULT(I2225:W2225,_XtX!$B$78:$P$92),I2225:W2225)</f>
        <v>0.445705123812135</v>
      </c>
      <c r="Z2225" s="0" t="n">
        <f aca="false">04_回帰ANOVA!$K$19*04_回帰ANOVA!$K$14*SQRT(1+Y2225)</f>
        <v>1.56724990734749</v>
      </c>
      <c r="AA2225" s="0" t="n">
        <f aca="false">X2225-Z2225</f>
        <v>41.1930662476232</v>
      </c>
      <c r="AB2225" s="0" t="n">
        <f aca="false">X2225+Z2225</f>
        <v>44.3275660623182</v>
      </c>
      <c r="AC2225" s="54" t="b">
        <f aca="false">AND(E2225&gt;=01_因子設定!$L$5-0.000000001,E2225&lt;=01_因子設定!$M$5+0.000000001,F2225&gt;=01_因子設定!$L$6-0.000000001,F2225&lt;=01_因子設定!$M$6+0.000000001,G2225&gt;=01_因子設定!$L$7-0.000000001,G2225&lt;=01_因子設定!$M$7+0.000000001,H2225&gt;=01_因子設定!$L$8-0.000000001,H2225&lt;=01_因子設定!$M$8+0.000000001,IF(01_因子設定!$B$20="Box-Behnken",E2225^2+F2225^2+G2225^2+H2225^2&lt;=2+0.000000001,TRUE()))</f>
        <v>1</v>
      </c>
      <c r="AD2225" s="55" t="n">
        <f aca="false">IF(AC2225,IF(01_因子設定!$B$13="最大化",AA2225-01_因子設定!$B$14,IF(01_因子設定!$B$13="最小化",01_因子設定!$B$15-AB2225,MIN(AA2225-01_因子設定!$B$14,01_因子設定!$B$15-AB2225))),-1E+030)</f>
        <v>-5.30693375237678</v>
      </c>
      <c r="AE2225" s="55" t="n">
        <f aca="false">IF(AC2225,IF(01_因子設定!$B$13="最大化",X2225,IF(01_因子設定!$B$13="最小化",-X2225,-ABS(X2225-01_因子設定!$B$16))),-1E+030)</f>
        <v>42.7603161549707</v>
      </c>
      <c r="AF2225" s="55" t="n">
        <f aca="false">AD2225+ROW()*0.000000001</f>
        <v>-5.30693152737678</v>
      </c>
      <c r="AG2225" s="55" t="n">
        <f aca="false">AE2225+ROW()*0.000000001</f>
        <v>42.7603183799707</v>
      </c>
    </row>
    <row r="2226" customFormat="false" ht="15" hidden="false" customHeight="false" outlineLevel="0" collapsed="false">
      <c r="A2226" s="0" t="n">
        <v>3</v>
      </c>
      <c r="B2226" s="0" t="n">
        <v>0</v>
      </c>
      <c r="C2226" s="0" t="n">
        <v>3</v>
      </c>
      <c r="D2226" s="0" t="n">
        <v>7</v>
      </c>
      <c r="E2226" s="0" t="n">
        <f aca="false">-1+A2226*0.25</f>
        <v>-0.25</v>
      </c>
      <c r="F2226" s="0" t="n">
        <f aca="false">-1+B2226*0.25</f>
        <v>-1</v>
      </c>
      <c r="G2226" s="0" t="n">
        <f aca="false">-1+C2226*0.25</f>
        <v>-0.25</v>
      </c>
      <c r="H2226" s="0" t="n">
        <f aca="false">-1+D2226*0.25</f>
        <v>0.75</v>
      </c>
      <c r="I2226" s="0" t="n">
        <f aca="false">1</f>
        <v>1</v>
      </c>
      <c r="J2226" s="0" t="n">
        <f aca="false">E2226</f>
        <v>-0.25</v>
      </c>
      <c r="K2226" s="0" t="n">
        <f aca="false">F2226</f>
        <v>-1</v>
      </c>
      <c r="L2226" s="0" t="n">
        <f aca="false">G2226</f>
        <v>-0.25</v>
      </c>
      <c r="M2226" s="0" t="n">
        <f aca="false">H2226</f>
        <v>0.75</v>
      </c>
      <c r="N2226" s="0" t="n">
        <f aca="false">E2226*F2226</f>
        <v>0.25</v>
      </c>
      <c r="O2226" s="0" t="n">
        <f aca="false">E2226*G2226</f>
        <v>0.0625</v>
      </c>
      <c r="P2226" s="0" t="n">
        <f aca="false">E2226*H2226</f>
        <v>-0.1875</v>
      </c>
      <c r="Q2226" s="0" t="n">
        <f aca="false">F2226*G2226</f>
        <v>0.25</v>
      </c>
      <c r="R2226" s="0" t="n">
        <f aca="false">F2226*H2226</f>
        <v>-0.75</v>
      </c>
      <c r="S2226" s="0" t="n">
        <f aca="false">G2226*H2226</f>
        <v>-0.1875</v>
      </c>
      <c r="T2226" s="0" t="n">
        <f aca="false">E2226*E2226</f>
        <v>0.0625</v>
      </c>
      <c r="U2226" s="0" t="n">
        <f aca="false">F2226*F2226</f>
        <v>1</v>
      </c>
      <c r="V2226" s="0" t="n">
        <f aca="false">G2226*G2226</f>
        <v>0.0625</v>
      </c>
      <c r="W2226" s="0" t="n">
        <f aca="false">H2226*H2226</f>
        <v>0.5625</v>
      </c>
      <c r="X2226" s="0" t="n">
        <f aca="false">SUMPRODUCT(I2226:W2226,_XtX!$B$96:$P$96)</f>
        <v>42.76953125</v>
      </c>
      <c r="Y2226" s="0" t="n">
        <f aca="false">SUMPRODUCT(MMULT(I2226:W2226,_XtX!$B$78:$P$92),I2226:W2226)</f>
        <v>0.486409505208334</v>
      </c>
      <c r="Z2226" s="0" t="n">
        <f aca="false">04_回帰ANOVA!$K$19*04_回帰ANOVA!$K$14*SQRT(1+Y2226)</f>
        <v>1.58916001665498</v>
      </c>
      <c r="AA2226" s="0" t="n">
        <f aca="false">X2226-Z2226</f>
        <v>41.180371233345</v>
      </c>
      <c r="AB2226" s="0" t="n">
        <f aca="false">X2226+Z2226</f>
        <v>44.3586912666549</v>
      </c>
      <c r="AC2226" s="54" t="b">
        <f aca="false">AND(E2226&gt;=01_因子設定!$L$5-0.000000001,E2226&lt;=01_因子設定!$M$5+0.000000001,F2226&gt;=01_因子設定!$L$6-0.000000001,F2226&lt;=01_因子設定!$M$6+0.000000001,G2226&gt;=01_因子設定!$L$7-0.000000001,G2226&lt;=01_因子設定!$M$7+0.000000001,H2226&gt;=01_因子設定!$L$8-0.000000001,H2226&lt;=01_因子設定!$M$8+0.000000001,IF(01_因子設定!$B$20="Box-Behnken",E2226^2+F2226^2+G2226^2+H2226^2&lt;=2+0.000000001,TRUE()))</f>
        <v>1</v>
      </c>
      <c r="AD2226" s="55" t="n">
        <f aca="false">IF(AC2226,IF(01_因子設定!$B$13="最大化",AA2226-01_因子設定!$B$14,IF(01_因子設定!$B$13="最小化",01_因子設定!$B$15-AB2226,MIN(AA2226-01_因子設定!$B$14,01_因子設定!$B$15-AB2226))),-1E+030)</f>
        <v>-5.31962876665502</v>
      </c>
      <c r="AE2226" s="55" t="n">
        <f aca="false">IF(AC2226,IF(01_因子設定!$B$13="最大化",X2226,IF(01_因子設定!$B$13="最小化",-X2226,-ABS(X2226-01_因子設定!$B$16))),-1E+030)</f>
        <v>42.76953125</v>
      </c>
      <c r="AF2226" s="55" t="n">
        <f aca="false">AD2226+ROW()*0.000000001</f>
        <v>-5.31962654065502</v>
      </c>
      <c r="AG2226" s="55" t="n">
        <f aca="false">AE2226+ROW()*0.000000001</f>
        <v>42.769533476</v>
      </c>
    </row>
    <row r="2227" customFormat="false" ht="15" hidden="false" customHeight="false" outlineLevel="0" collapsed="false">
      <c r="A2227" s="0" t="n">
        <v>3</v>
      </c>
      <c r="B2227" s="0" t="n">
        <v>0</v>
      </c>
      <c r="C2227" s="0" t="n">
        <v>3</v>
      </c>
      <c r="D2227" s="0" t="n">
        <v>8</v>
      </c>
      <c r="E2227" s="0" t="n">
        <f aca="false">-1+A2227*0.25</f>
        <v>-0.25</v>
      </c>
      <c r="F2227" s="0" t="n">
        <f aca="false">-1+B2227*0.25</f>
        <v>-1</v>
      </c>
      <c r="G2227" s="0" t="n">
        <f aca="false">-1+C2227*0.25</f>
        <v>-0.25</v>
      </c>
      <c r="H2227" s="0" t="n">
        <f aca="false">-1+D2227*0.25</f>
        <v>1</v>
      </c>
      <c r="I2227" s="0" t="n">
        <f aca="false">1</f>
        <v>1</v>
      </c>
      <c r="J2227" s="0" t="n">
        <f aca="false">E2227</f>
        <v>-0.25</v>
      </c>
      <c r="K2227" s="0" t="n">
        <f aca="false">F2227</f>
        <v>-1</v>
      </c>
      <c r="L2227" s="0" t="n">
        <f aca="false">G2227</f>
        <v>-0.25</v>
      </c>
      <c r="M2227" s="0" t="n">
        <f aca="false">H2227</f>
        <v>1</v>
      </c>
      <c r="N2227" s="0" t="n">
        <f aca="false">E2227*F2227</f>
        <v>0.25</v>
      </c>
      <c r="O2227" s="0" t="n">
        <f aca="false">E2227*G2227</f>
        <v>0.0625</v>
      </c>
      <c r="P2227" s="0" t="n">
        <f aca="false">E2227*H2227</f>
        <v>-0.25</v>
      </c>
      <c r="Q2227" s="0" t="n">
        <f aca="false">F2227*G2227</f>
        <v>0.25</v>
      </c>
      <c r="R2227" s="0" t="n">
        <f aca="false">F2227*H2227</f>
        <v>-1</v>
      </c>
      <c r="S2227" s="0" t="n">
        <f aca="false">G2227*H2227</f>
        <v>-0.25</v>
      </c>
      <c r="T2227" s="0" t="n">
        <f aca="false">E2227*E2227</f>
        <v>0.0625</v>
      </c>
      <c r="U2227" s="0" t="n">
        <f aca="false">F2227*F2227</f>
        <v>1</v>
      </c>
      <c r="V2227" s="0" t="n">
        <f aca="false">G2227*G2227</f>
        <v>0.0625</v>
      </c>
      <c r="W2227" s="0" t="n">
        <f aca="false">H2227*H2227</f>
        <v>1</v>
      </c>
      <c r="X2227" s="0" t="n">
        <f aca="false">SUMPRODUCT(I2227:W2227,_XtX!$B$96:$P$96)</f>
        <v>42.7309393274854</v>
      </c>
      <c r="Y2227" s="0" t="n">
        <f aca="false">SUMPRODUCT(MMULT(I2227:W2227,_XtX!$B$78:$P$92),I2227:W2227)</f>
        <v>0.670040376005117</v>
      </c>
      <c r="Z2227" s="0" t="n">
        <f aca="false">04_回帰ANOVA!$K$19*04_回帰ANOVA!$K$14*SQRT(1+Y2227)</f>
        <v>1.68446456039992</v>
      </c>
      <c r="AA2227" s="0" t="n">
        <f aca="false">X2227-Z2227</f>
        <v>41.0464747670854</v>
      </c>
      <c r="AB2227" s="0" t="n">
        <f aca="false">X2227+Z2227</f>
        <v>44.4154038878853</v>
      </c>
      <c r="AC2227" s="54" t="b">
        <f aca="false">AND(E2227&gt;=01_因子設定!$L$5-0.000000001,E2227&lt;=01_因子設定!$M$5+0.000000001,F2227&gt;=01_因子設定!$L$6-0.000000001,F2227&lt;=01_因子設定!$M$6+0.000000001,G2227&gt;=01_因子設定!$L$7-0.000000001,G2227&lt;=01_因子設定!$M$7+0.000000001,H2227&gt;=01_因子設定!$L$8-0.000000001,H2227&lt;=01_因子設定!$M$8+0.000000001,IF(01_因子設定!$B$20="Box-Behnken",E2227^2+F2227^2+G2227^2+H2227^2&lt;=2+0.000000001,TRUE()))</f>
        <v>1</v>
      </c>
      <c r="AD2227" s="55" t="n">
        <f aca="false">IF(AC2227,IF(01_因子設定!$B$13="最大化",AA2227-01_因子設定!$B$14,IF(01_因子設定!$B$13="最小化",01_因子設定!$B$15-AB2227,MIN(AA2227-01_因子設定!$B$14,01_因子設定!$B$15-AB2227))),-1E+030)</f>
        <v>-5.45352523291456</v>
      </c>
      <c r="AE2227" s="55" t="n">
        <f aca="false">IF(AC2227,IF(01_因子設定!$B$13="最大化",X2227,IF(01_因子設定!$B$13="最小化",-X2227,-ABS(X2227-01_因子設定!$B$16))),-1E+030)</f>
        <v>42.7309393274854</v>
      </c>
      <c r="AF2227" s="55" t="n">
        <f aca="false">AD2227+ROW()*0.000000001</f>
        <v>-5.45352300591456</v>
      </c>
      <c r="AG2227" s="55" t="n">
        <f aca="false">AE2227+ROW()*0.000000001</f>
        <v>42.7309415544854</v>
      </c>
    </row>
    <row r="2228" customFormat="false" ht="15" hidden="false" customHeight="false" outlineLevel="0" collapsed="false">
      <c r="A2228" s="0" t="n">
        <v>3</v>
      </c>
      <c r="B2228" s="0" t="n">
        <v>0</v>
      </c>
      <c r="C2228" s="0" t="n">
        <v>4</v>
      </c>
      <c r="D2228" s="0" t="n">
        <v>0</v>
      </c>
      <c r="E2228" s="0" t="n">
        <f aca="false">-1+A2228*0.25</f>
        <v>-0.25</v>
      </c>
      <c r="F2228" s="0" t="n">
        <f aca="false">-1+B2228*0.25</f>
        <v>-1</v>
      </c>
      <c r="G2228" s="0" t="n">
        <f aca="false">-1+C2228*0.25</f>
        <v>0</v>
      </c>
      <c r="H2228" s="0" t="n">
        <f aca="false">-1+D2228*0.25</f>
        <v>-1</v>
      </c>
      <c r="I2228" s="0" t="n">
        <f aca="false">1</f>
        <v>1</v>
      </c>
      <c r="J2228" s="0" t="n">
        <f aca="false">E2228</f>
        <v>-0.25</v>
      </c>
      <c r="K2228" s="0" t="n">
        <f aca="false">F2228</f>
        <v>-1</v>
      </c>
      <c r="L2228" s="0" t="n">
        <f aca="false">G2228</f>
        <v>0</v>
      </c>
      <c r="M2228" s="0" t="n">
        <f aca="false">H2228</f>
        <v>-1</v>
      </c>
      <c r="N2228" s="0" t="n">
        <f aca="false">E2228*F2228</f>
        <v>0.25</v>
      </c>
      <c r="O2228" s="0" t="n">
        <f aca="false">E2228*G2228</f>
        <v>-0</v>
      </c>
      <c r="P2228" s="0" t="n">
        <f aca="false">E2228*H2228</f>
        <v>0.25</v>
      </c>
      <c r="Q2228" s="0" t="n">
        <f aca="false">F2228*G2228</f>
        <v>-0</v>
      </c>
      <c r="R2228" s="0" t="n">
        <f aca="false">F2228*H2228</f>
        <v>1</v>
      </c>
      <c r="S2228" s="0" t="n">
        <f aca="false">G2228*H2228</f>
        <v>-0</v>
      </c>
      <c r="T2228" s="0" t="n">
        <f aca="false">E2228*E2228</f>
        <v>0.0625</v>
      </c>
      <c r="U2228" s="0" t="n">
        <f aca="false">F2228*F2228</f>
        <v>1</v>
      </c>
      <c r="V2228" s="0" t="n">
        <f aca="false">G2228*G2228</f>
        <v>0</v>
      </c>
      <c r="W2228" s="0" t="n">
        <f aca="false">H2228*H2228</f>
        <v>1</v>
      </c>
      <c r="X2228" s="0" t="n">
        <f aca="false">SUMPRODUCT(I2228:W2228,_XtX!$B$96:$P$96)</f>
        <v>41.8801900584795</v>
      </c>
      <c r="Y2228" s="0" t="n">
        <f aca="false">SUMPRODUCT(MMULT(I2228:W2228,_XtX!$B$78:$P$92),I2228:W2228)</f>
        <v>0.689692982456141</v>
      </c>
      <c r="Z2228" s="0" t="n">
        <f aca="false">04_回帰ANOVA!$K$19*04_回帰ANOVA!$K$14*SQRT(1+Y2228)</f>
        <v>1.69434674594998</v>
      </c>
      <c r="AA2228" s="0" t="n">
        <f aca="false">X2228-Z2228</f>
        <v>40.1858433125295</v>
      </c>
      <c r="AB2228" s="0" t="n">
        <f aca="false">X2228+Z2228</f>
        <v>43.5745368044295</v>
      </c>
      <c r="AC2228" s="54" t="b">
        <f aca="false">AND(E2228&gt;=01_因子設定!$L$5-0.000000001,E2228&lt;=01_因子設定!$M$5+0.000000001,F2228&gt;=01_因子設定!$L$6-0.000000001,F2228&lt;=01_因子設定!$M$6+0.000000001,G2228&gt;=01_因子設定!$L$7-0.000000001,G2228&lt;=01_因子設定!$M$7+0.000000001,H2228&gt;=01_因子設定!$L$8-0.000000001,H2228&lt;=01_因子設定!$M$8+0.000000001,IF(01_因子設定!$B$20="Box-Behnken",E2228^2+F2228^2+G2228^2+H2228^2&lt;=2+0.000000001,TRUE()))</f>
        <v>1</v>
      </c>
      <c r="AD2228" s="55" t="n">
        <f aca="false">IF(AC2228,IF(01_因子設定!$B$13="最大化",AA2228-01_因子設定!$B$14,IF(01_因子設定!$B$13="最小化",01_因子設定!$B$15-AB2228,MIN(AA2228-01_因子設定!$B$14,01_因子設定!$B$15-AB2228))),-1E+030)</f>
        <v>-6.31415668747048</v>
      </c>
      <c r="AE2228" s="55" t="n">
        <f aca="false">IF(AC2228,IF(01_因子設定!$B$13="最大化",X2228,IF(01_因子設定!$B$13="最小化",-X2228,-ABS(X2228-01_因子設定!$B$16))),-1E+030)</f>
        <v>41.8801900584795</v>
      </c>
      <c r="AF2228" s="55" t="n">
        <f aca="false">AD2228+ROW()*0.000000001</f>
        <v>-6.31415445947048</v>
      </c>
      <c r="AG2228" s="55" t="n">
        <f aca="false">AE2228+ROW()*0.000000001</f>
        <v>41.8801922864795</v>
      </c>
    </row>
    <row r="2229" customFormat="false" ht="15" hidden="false" customHeight="false" outlineLevel="0" collapsed="false">
      <c r="A2229" s="0" t="n">
        <v>3</v>
      </c>
      <c r="B2229" s="0" t="n">
        <v>0</v>
      </c>
      <c r="C2229" s="0" t="n">
        <v>4</v>
      </c>
      <c r="D2229" s="0" t="n">
        <v>1</v>
      </c>
      <c r="E2229" s="0" t="n">
        <f aca="false">-1+A2229*0.25</f>
        <v>-0.25</v>
      </c>
      <c r="F2229" s="0" t="n">
        <f aca="false">-1+B2229*0.25</f>
        <v>-1</v>
      </c>
      <c r="G2229" s="0" t="n">
        <f aca="false">-1+C2229*0.25</f>
        <v>0</v>
      </c>
      <c r="H2229" s="0" t="n">
        <f aca="false">-1+D2229*0.25</f>
        <v>-0.75</v>
      </c>
      <c r="I2229" s="0" t="n">
        <f aca="false">1</f>
        <v>1</v>
      </c>
      <c r="J2229" s="0" t="n">
        <f aca="false">E2229</f>
        <v>-0.25</v>
      </c>
      <c r="K2229" s="0" t="n">
        <f aca="false">F2229</f>
        <v>-1</v>
      </c>
      <c r="L2229" s="0" t="n">
        <f aca="false">G2229</f>
        <v>0</v>
      </c>
      <c r="M2229" s="0" t="n">
        <f aca="false">H2229</f>
        <v>-0.75</v>
      </c>
      <c r="N2229" s="0" t="n">
        <f aca="false">E2229*F2229</f>
        <v>0.25</v>
      </c>
      <c r="O2229" s="0" t="n">
        <f aca="false">E2229*G2229</f>
        <v>-0</v>
      </c>
      <c r="P2229" s="0" t="n">
        <f aca="false">E2229*H2229</f>
        <v>0.1875</v>
      </c>
      <c r="Q2229" s="0" t="n">
        <f aca="false">F2229*G2229</f>
        <v>-0</v>
      </c>
      <c r="R2229" s="0" t="n">
        <f aca="false">F2229*H2229</f>
        <v>0.75</v>
      </c>
      <c r="S2229" s="0" t="n">
        <f aca="false">G2229*H2229</f>
        <v>-0</v>
      </c>
      <c r="T2229" s="0" t="n">
        <f aca="false">E2229*E2229</f>
        <v>0.0625</v>
      </c>
      <c r="U2229" s="0" t="n">
        <f aca="false">F2229*F2229</f>
        <v>1</v>
      </c>
      <c r="V2229" s="0" t="n">
        <f aca="false">G2229*G2229</f>
        <v>0</v>
      </c>
      <c r="W2229" s="0" t="n">
        <f aca="false">H2229*H2229</f>
        <v>0.5625</v>
      </c>
      <c r="X2229" s="0" t="n">
        <f aca="false">SUMPRODUCT(I2229:W2229,_XtX!$B$96:$P$96)</f>
        <v>42.1942160087719</v>
      </c>
      <c r="Y2229" s="0" t="n">
        <f aca="false">SUMPRODUCT(MMULT(I2229:W2229,_XtX!$B$78:$P$92),I2229:W2229)</f>
        <v>0.501534802174708</v>
      </c>
      <c r="Z2229" s="0" t="n">
        <f aca="false">04_回帰ANOVA!$K$19*04_回帰ANOVA!$K$14*SQRT(1+Y2229)</f>
        <v>1.59722498091333</v>
      </c>
      <c r="AA2229" s="0" t="n">
        <f aca="false">X2229-Z2229</f>
        <v>40.5969910278586</v>
      </c>
      <c r="AB2229" s="0" t="n">
        <f aca="false">X2229+Z2229</f>
        <v>43.7914409896852</v>
      </c>
      <c r="AC2229" s="54" t="b">
        <f aca="false">AND(E2229&gt;=01_因子設定!$L$5-0.000000001,E2229&lt;=01_因子設定!$M$5+0.000000001,F2229&gt;=01_因子設定!$L$6-0.000000001,F2229&lt;=01_因子設定!$M$6+0.000000001,G2229&gt;=01_因子設定!$L$7-0.000000001,G2229&lt;=01_因子設定!$M$7+0.000000001,H2229&gt;=01_因子設定!$L$8-0.000000001,H2229&lt;=01_因子設定!$M$8+0.000000001,IF(01_因子設定!$B$20="Box-Behnken",E2229^2+F2229^2+G2229^2+H2229^2&lt;=2+0.000000001,TRUE()))</f>
        <v>1</v>
      </c>
      <c r="AD2229" s="55" t="n">
        <f aca="false">IF(AC2229,IF(01_因子設定!$B$13="最大化",AA2229-01_因子設定!$B$14,IF(01_因子設定!$B$13="最小化",01_因子設定!$B$15-AB2229,MIN(AA2229-01_因子設定!$B$14,01_因子設定!$B$15-AB2229))),-1E+030)</f>
        <v>-5.90300897214144</v>
      </c>
      <c r="AE2229" s="55" t="n">
        <f aca="false">IF(AC2229,IF(01_因子設定!$B$13="最大化",X2229,IF(01_因子設定!$B$13="最小化",-X2229,-ABS(X2229-01_因子設定!$B$16))),-1E+030)</f>
        <v>42.1942160087719</v>
      </c>
      <c r="AF2229" s="55" t="n">
        <f aca="false">AD2229+ROW()*0.000000001</f>
        <v>-5.90300674314144</v>
      </c>
      <c r="AG2229" s="55" t="n">
        <f aca="false">AE2229+ROW()*0.000000001</f>
        <v>42.1942182377719</v>
      </c>
    </row>
    <row r="2230" customFormat="false" ht="15" hidden="false" customHeight="false" outlineLevel="0" collapsed="false">
      <c r="A2230" s="0" t="n">
        <v>3</v>
      </c>
      <c r="B2230" s="0" t="n">
        <v>0</v>
      </c>
      <c r="C2230" s="0" t="n">
        <v>4</v>
      </c>
      <c r="D2230" s="0" t="n">
        <v>2</v>
      </c>
      <c r="E2230" s="0" t="n">
        <f aca="false">-1+A2230*0.25</f>
        <v>-0.25</v>
      </c>
      <c r="F2230" s="0" t="n">
        <f aca="false">-1+B2230*0.25</f>
        <v>-1</v>
      </c>
      <c r="G2230" s="0" t="n">
        <f aca="false">-1+C2230*0.25</f>
        <v>0</v>
      </c>
      <c r="H2230" s="0" t="n">
        <f aca="false">-1+D2230*0.25</f>
        <v>-0.5</v>
      </c>
      <c r="I2230" s="0" t="n">
        <f aca="false">1</f>
        <v>1</v>
      </c>
      <c r="J2230" s="0" t="n">
        <f aca="false">E2230</f>
        <v>-0.25</v>
      </c>
      <c r="K2230" s="0" t="n">
        <f aca="false">F2230</f>
        <v>-1</v>
      </c>
      <c r="L2230" s="0" t="n">
        <f aca="false">G2230</f>
        <v>0</v>
      </c>
      <c r="M2230" s="0" t="n">
        <f aca="false">H2230</f>
        <v>-0.5</v>
      </c>
      <c r="N2230" s="0" t="n">
        <f aca="false">E2230*F2230</f>
        <v>0.25</v>
      </c>
      <c r="O2230" s="0" t="n">
        <f aca="false">E2230*G2230</f>
        <v>-0</v>
      </c>
      <c r="P2230" s="0" t="n">
        <f aca="false">E2230*H2230</f>
        <v>0.125</v>
      </c>
      <c r="Q2230" s="0" t="n">
        <f aca="false">F2230*G2230</f>
        <v>-0</v>
      </c>
      <c r="R2230" s="0" t="n">
        <f aca="false">F2230*H2230</f>
        <v>0.5</v>
      </c>
      <c r="S2230" s="0" t="n">
        <f aca="false">G2230*H2230</f>
        <v>-0</v>
      </c>
      <c r="T2230" s="0" t="n">
        <f aca="false">E2230*E2230</f>
        <v>0.0625</v>
      </c>
      <c r="U2230" s="0" t="n">
        <f aca="false">F2230*F2230</f>
        <v>1</v>
      </c>
      <c r="V2230" s="0" t="n">
        <f aca="false">G2230*G2230</f>
        <v>0</v>
      </c>
      <c r="W2230" s="0" t="n">
        <f aca="false">H2230*H2230</f>
        <v>0.25</v>
      </c>
      <c r="X2230" s="0" t="n">
        <f aca="false">SUMPRODUCT(I2230:W2230,_XtX!$B$96:$P$96)</f>
        <v>42.4604349415204</v>
      </c>
      <c r="Y2230" s="0" t="n">
        <f aca="false">SUMPRODUCT(MMULT(I2230:W2230,_XtX!$B$78:$P$92),I2230:W2230)</f>
        <v>0.457596628289474</v>
      </c>
      <c r="Z2230" s="0" t="n">
        <f aca="false">04_回帰ANOVA!$K$19*04_回帰ANOVA!$K$14*SQRT(1+Y2230)</f>
        <v>1.57368233664366</v>
      </c>
      <c r="AA2230" s="0" t="n">
        <f aca="false">X2230-Z2230</f>
        <v>40.8867526048768</v>
      </c>
      <c r="AB2230" s="0" t="n">
        <f aca="false">X2230+Z2230</f>
        <v>44.0341172781641</v>
      </c>
      <c r="AC2230" s="54" t="b">
        <f aca="false">AND(E2230&gt;=01_因子設定!$L$5-0.000000001,E2230&lt;=01_因子設定!$M$5+0.000000001,F2230&gt;=01_因子設定!$L$6-0.000000001,F2230&lt;=01_因子設定!$M$6+0.000000001,G2230&gt;=01_因子設定!$L$7-0.000000001,G2230&lt;=01_因子設定!$M$7+0.000000001,H2230&gt;=01_因子設定!$L$8-0.000000001,H2230&lt;=01_因子設定!$M$8+0.000000001,IF(01_因子設定!$B$20="Box-Behnken",E2230^2+F2230^2+G2230^2+H2230^2&lt;=2+0.000000001,TRUE()))</f>
        <v>1</v>
      </c>
      <c r="AD2230" s="55" t="n">
        <f aca="false">IF(AC2230,IF(01_因子設定!$B$13="最大化",AA2230-01_因子設定!$B$14,IF(01_因子設定!$B$13="最小化",01_因子設定!$B$15-AB2230,MIN(AA2230-01_因子設定!$B$14,01_因子設定!$B$15-AB2230))),-1E+030)</f>
        <v>-5.61324739512324</v>
      </c>
      <c r="AE2230" s="55" t="n">
        <f aca="false">IF(AC2230,IF(01_因子設定!$B$13="最大化",X2230,IF(01_因子設定!$B$13="最小化",-X2230,-ABS(X2230-01_因子設定!$B$16))),-1E+030)</f>
        <v>42.4604349415204</v>
      </c>
      <c r="AF2230" s="55" t="n">
        <f aca="false">AD2230+ROW()*0.000000001</f>
        <v>-5.61324516512324</v>
      </c>
      <c r="AG2230" s="55" t="n">
        <f aca="false">AE2230+ROW()*0.000000001</f>
        <v>42.4604371715204</v>
      </c>
    </row>
    <row r="2231" customFormat="false" ht="15" hidden="false" customHeight="false" outlineLevel="0" collapsed="false">
      <c r="A2231" s="0" t="n">
        <v>3</v>
      </c>
      <c r="B2231" s="0" t="n">
        <v>0</v>
      </c>
      <c r="C2231" s="0" t="n">
        <v>4</v>
      </c>
      <c r="D2231" s="0" t="n">
        <v>3</v>
      </c>
      <c r="E2231" s="0" t="n">
        <f aca="false">-1+A2231*0.25</f>
        <v>-0.25</v>
      </c>
      <c r="F2231" s="0" t="n">
        <f aca="false">-1+B2231*0.25</f>
        <v>-1</v>
      </c>
      <c r="G2231" s="0" t="n">
        <f aca="false">-1+C2231*0.25</f>
        <v>0</v>
      </c>
      <c r="H2231" s="0" t="n">
        <f aca="false">-1+D2231*0.25</f>
        <v>-0.25</v>
      </c>
      <c r="I2231" s="0" t="n">
        <f aca="false">1</f>
        <v>1</v>
      </c>
      <c r="J2231" s="0" t="n">
        <f aca="false">E2231</f>
        <v>-0.25</v>
      </c>
      <c r="K2231" s="0" t="n">
        <f aca="false">F2231</f>
        <v>-1</v>
      </c>
      <c r="L2231" s="0" t="n">
        <f aca="false">G2231</f>
        <v>0</v>
      </c>
      <c r="M2231" s="0" t="n">
        <f aca="false">H2231</f>
        <v>-0.25</v>
      </c>
      <c r="N2231" s="0" t="n">
        <f aca="false">E2231*F2231</f>
        <v>0.25</v>
      </c>
      <c r="O2231" s="0" t="n">
        <f aca="false">E2231*G2231</f>
        <v>-0</v>
      </c>
      <c r="P2231" s="0" t="n">
        <f aca="false">E2231*H2231</f>
        <v>0.0625</v>
      </c>
      <c r="Q2231" s="0" t="n">
        <f aca="false">F2231*G2231</f>
        <v>-0</v>
      </c>
      <c r="R2231" s="0" t="n">
        <f aca="false">F2231*H2231</f>
        <v>0.25</v>
      </c>
      <c r="S2231" s="0" t="n">
        <f aca="false">G2231*H2231</f>
        <v>-0</v>
      </c>
      <c r="T2231" s="0" t="n">
        <f aca="false">E2231*E2231</f>
        <v>0.0625</v>
      </c>
      <c r="U2231" s="0" t="n">
        <f aca="false">F2231*F2231</f>
        <v>1</v>
      </c>
      <c r="V2231" s="0" t="n">
        <f aca="false">G2231*G2231</f>
        <v>0</v>
      </c>
      <c r="W2231" s="0" t="n">
        <f aca="false">H2231*H2231</f>
        <v>0.0625</v>
      </c>
      <c r="X2231" s="0" t="n">
        <f aca="false">SUMPRODUCT(I2231:W2231,_XtX!$B$96:$P$96)</f>
        <v>42.6788468567251</v>
      </c>
      <c r="Y2231" s="0" t="n">
        <f aca="false">SUMPRODUCT(MMULT(I2231:W2231,_XtX!$B$78:$P$92),I2231:W2231)</f>
        <v>0.467417934484649</v>
      </c>
      <c r="Z2231" s="0" t="n">
        <f aca="false">04_回帰ANOVA!$K$19*04_回帰ANOVA!$K$14*SQRT(1+Y2231)</f>
        <v>1.57897518244497</v>
      </c>
      <c r="AA2231" s="0" t="n">
        <f aca="false">X2231-Z2231</f>
        <v>41.0998716742801</v>
      </c>
      <c r="AB2231" s="0" t="n">
        <f aca="false">X2231+Z2231</f>
        <v>44.2578220391701</v>
      </c>
      <c r="AC2231" s="54" t="b">
        <f aca="false">AND(E2231&gt;=01_因子設定!$L$5-0.000000001,E2231&lt;=01_因子設定!$M$5+0.000000001,F2231&gt;=01_因子設定!$L$6-0.000000001,F2231&lt;=01_因子設定!$M$6+0.000000001,G2231&gt;=01_因子設定!$L$7-0.000000001,G2231&lt;=01_因子設定!$M$7+0.000000001,H2231&gt;=01_因子設定!$L$8-0.000000001,H2231&lt;=01_因子設定!$M$8+0.000000001,IF(01_因子設定!$B$20="Box-Behnken",E2231^2+F2231^2+G2231^2+H2231^2&lt;=2+0.000000001,TRUE()))</f>
        <v>1</v>
      </c>
      <c r="AD2231" s="55" t="n">
        <f aca="false">IF(AC2231,IF(01_因子設定!$B$13="最大化",AA2231-01_因子設定!$B$14,IF(01_因子設定!$B$13="最小化",01_因子設定!$B$15-AB2231,MIN(AA2231-01_因子設定!$B$14,01_因子設定!$B$15-AB2231))),-1E+030)</f>
        <v>-5.40012832571988</v>
      </c>
      <c r="AE2231" s="55" t="n">
        <f aca="false">IF(AC2231,IF(01_因子設定!$B$13="最大化",X2231,IF(01_因子設定!$B$13="最小化",-X2231,-ABS(X2231-01_因子設定!$B$16))),-1E+030)</f>
        <v>42.6788468567251</v>
      </c>
      <c r="AF2231" s="55" t="n">
        <f aca="false">AD2231+ROW()*0.000000001</f>
        <v>-5.40012609471988</v>
      </c>
      <c r="AG2231" s="55" t="n">
        <f aca="false">AE2231+ROW()*0.000000001</f>
        <v>42.6788490877251</v>
      </c>
    </row>
    <row r="2232" customFormat="false" ht="15" hidden="false" customHeight="false" outlineLevel="0" collapsed="false">
      <c r="A2232" s="0" t="n">
        <v>3</v>
      </c>
      <c r="B2232" s="0" t="n">
        <v>0</v>
      </c>
      <c r="C2232" s="0" t="n">
        <v>4</v>
      </c>
      <c r="D2232" s="0" t="n">
        <v>4</v>
      </c>
      <c r="E2232" s="0" t="n">
        <f aca="false">-1+A2232*0.25</f>
        <v>-0.25</v>
      </c>
      <c r="F2232" s="0" t="n">
        <f aca="false">-1+B2232*0.25</f>
        <v>-1</v>
      </c>
      <c r="G2232" s="0" t="n">
        <f aca="false">-1+C2232*0.25</f>
        <v>0</v>
      </c>
      <c r="H2232" s="0" t="n">
        <f aca="false">-1+D2232*0.25</f>
        <v>0</v>
      </c>
      <c r="I2232" s="0" t="n">
        <f aca="false">1</f>
        <v>1</v>
      </c>
      <c r="J2232" s="0" t="n">
        <f aca="false">E2232</f>
        <v>-0.25</v>
      </c>
      <c r="K2232" s="0" t="n">
        <f aca="false">F2232</f>
        <v>-1</v>
      </c>
      <c r="L2232" s="0" t="n">
        <f aca="false">G2232</f>
        <v>0</v>
      </c>
      <c r="M2232" s="0" t="n">
        <f aca="false">H2232</f>
        <v>0</v>
      </c>
      <c r="N2232" s="0" t="n">
        <f aca="false">E2232*F2232</f>
        <v>0.25</v>
      </c>
      <c r="O2232" s="0" t="n">
        <f aca="false">E2232*G2232</f>
        <v>-0</v>
      </c>
      <c r="P2232" s="0" t="n">
        <f aca="false">E2232*H2232</f>
        <v>-0</v>
      </c>
      <c r="Q2232" s="0" t="n">
        <f aca="false">F2232*G2232</f>
        <v>-0</v>
      </c>
      <c r="R2232" s="0" t="n">
        <f aca="false">F2232*H2232</f>
        <v>-0</v>
      </c>
      <c r="S2232" s="0" t="n">
        <f aca="false">G2232*H2232</f>
        <v>0</v>
      </c>
      <c r="T2232" s="0" t="n">
        <f aca="false">E2232*E2232</f>
        <v>0.0625</v>
      </c>
      <c r="U2232" s="0" t="n">
        <f aca="false">F2232*F2232</f>
        <v>1</v>
      </c>
      <c r="V2232" s="0" t="n">
        <f aca="false">G2232*G2232</f>
        <v>0</v>
      </c>
      <c r="W2232" s="0" t="n">
        <f aca="false">H2232*H2232</f>
        <v>0</v>
      </c>
      <c r="X2232" s="0" t="n">
        <f aca="false">SUMPRODUCT(I2232:W2232,_XtX!$B$96:$P$96)</f>
        <v>42.8494517543859</v>
      </c>
      <c r="Y2232" s="0" t="n">
        <f aca="false">SUMPRODUCT(MMULT(I2232:W2232,_XtX!$B$78:$P$92),I2232:W2232)</f>
        <v>0.47672240497076</v>
      </c>
      <c r="Z2232" s="0" t="n">
        <f aca="false">04_回帰ANOVA!$K$19*04_回帰ANOVA!$K$14*SQRT(1+Y2232)</f>
        <v>1.58397318352695</v>
      </c>
      <c r="AA2232" s="0" t="n">
        <f aca="false">X2232-Z2232</f>
        <v>41.265478570859</v>
      </c>
      <c r="AB2232" s="0" t="n">
        <f aca="false">X2232+Z2232</f>
        <v>44.4334249379129</v>
      </c>
      <c r="AC2232" s="54" t="b">
        <f aca="false">AND(E2232&gt;=01_因子設定!$L$5-0.000000001,E2232&lt;=01_因子設定!$M$5+0.000000001,F2232&gt;=01_因子設定!$L$6-0.000000001,F2232&lt;=01_因子設定!$M$6+0.000000001,G2232&gt;=01_因子設定!$L$7-0.000000001,G2232&lt;=01_因子設定!$M$7+0.000000001,H2232&gt;=01_因子設定!$L$8-0.000000001,H2232&lt;=01_因子設定!$M$8+0.000000001,IF(01_因子設定!$B$20="Box-Behnken",E2232^2+F2232^2+G2232^2+H2232^2&lt;=2+0.000000001,TRUE()))</f>
        <v>1</v>
      </c>
      <c r="AD2232" s="55" t="n">
        <f aca="false">IF(AC2232,IF(01_因子設定!$B$13="最大化",AA2232-01_因子設定!$B$14,IF(01_因子設定!$B$13="最小化",01_因子設定!$B$15-AB2232,MIN(AA2232-01_因子設定!$B$14,01_因子設定!$B$15-AB2232))),-1E+030)</f>
        <v>-5.23452142914104</v>
      </c>
      <c r="AE2232" s="55" t="n">
        <f aca="false">IF(AC2232,IF(01_因子設定!$B$13="最大化",X2232,IF(01_因子設定!$B$13="最小化",-X2232,-ABS(X2232-01_因子設定!$B$16))),-1E+030)</f>
        <v>42.8494517543859</v>
      </c>
      <c r="AF2232" s="55" t="n">
        <f aca="false">AD2232+ROW()*0.000000001</f>
        <v>-5.23451919714104</v>
      </c>
      <c r="AG2232" s="55" t="n">
        <f aca="false">AE2232+ROW()*0.000000001</f>
        <v>42.8494539863859</v>
      </c>
    </row>
    <row r="2233" customFormat="false" ht="15" hidden="false" customHeight="false" outlineLevel="0" collapsed="false">
      <c r="A2233" s="0" t="n">
        <v>3</v>
      </c>
      <c r="B2233" s="0" t="n">
        <v>0</v>
      </c>
      <c r="C2233" s="0" t="n">
        <v>4</v>
      </c>
      <c r="D2233" s="0" t="n">
        <v>5</v>
      </c>
      <c r="E2233" s="0" t="n">
        <f aca="false">-1+A2233*0.25</f>
        <v>-0.25</v>
      </c>
      <c r="F2233" s="0" t="n">
        <f aca="false">-1+B2233*0.25</f>
        <v>-1</v>
      </c>
      <c r="G2233" s="0" t="n">
        <f aca="false">-1+C2233*0.25</f>
        <v>0</v>
      </c>
      <c r="H2233" s="0" t="n">
        <f aca="false">-1+D2233*0.25</f>
        <v>0.25</v>
      </c>
      <c r="I2233" s="0" t="n">
        <f aca="false">1</f>
        <v>1</v>
      </c>
      <c r="J2233" s="0" t="n">
        <f aca="false">E2233</f>
        <v>-0.25</v>
      </c>
      <c r="K2233" s="0" t="n">
        <f aca="false">F2233</f>
        <v>-1</v>
      </c>
      <c r="L2233" s="0" t="n">
        <f aca="false">G2233</f>
        <v>0</v>
      </c>
      <c r="M2233" s="0" t="n">
        <f aca="false">H2233</f>
        <v>0.25</v>
      </c>
      <c r="N2233" s="0" t="n">
        <f aca="false">E2233*F2233</f>
        <v>0.25</v>
      </c>
      <c r="O2233" s="0" t="n">
        <f aca="false">E2233*G2233</f>
        <v>-0</v>
      </c>
      <c r="P2233" s="0" t="n">
        <f aca="false">E2233*H2233</f>
        <v>-0.0625</v>
      </c>
      <c r="Q2233" s="0" t="n">
        <f aca="false">F2233*G2233</f>
        <v>-0</v>
      </c>
      <c r="R2233" s="0" t="n">
        <f aca="false">F2233*H2233</f>
        <v>-0.25</v>
      </c>
      <c r="S2233" s="0" t="n">
        <f aca="false">G2233*H2233</f>
        <v>0</v>
      </c>
      <c r="T2233" s="0" t="n">
        <f aca="false">E2233*E2233</f>
        <v>0.0625</v>
      </c>
      <c r="U2233" s="0" t="n">
        <f aca="false">F2233*F2233</f>
        <v>1</v>
      </c>
      <c r="V2233" s="0" t="n">
        <f aca="false">G2233*G2233</f>
        <v>0</v>
      </c>
      <c r="W2233" s="0" t="n">
        <f aca="false">H2233*H2233</f>
        <v>0.0625</v>
      </c>
      <c r="X2233" s="0" t="n">
        <f aca="false">SUMPRODUCT(I2233:W2233,_XtX!$B$96:$P$96)</f>
        <v>42.9722496345029</v>
      </c>
      <c r="Y2233" s="0" t="n">
        <f aca="false">SUMPRODUCT(MMULT(I2233:W2233,_XtX!$B$78:$P$92),I2233:W2233)</f>
        <v>0.467417934484649</v>
      </c>
      <c r="Z2233" s="0" t="n">
        <f aca="false">04_回帰ANOVA!$K$19*04_回帰ANOVA!$K$14*SQRT(1+Y2233)</f>
        <v>1.57897518244497</v>
      </c>
      <c r="AA2233" s="0" t="n">
        <f aca="false">X2233-Z2233</f>
        <v>41.3932744520579</v>
      </c>
      <c r="AB2233" s="0" t="n">
        <f aca="false">X2233+Z2233</f>
        <v>44.5512248169478</v>
      </c>
      <c r="AC2233" s="54" t="b">
        <f aca="false">AND(E2233&gt;=01_因子設定!$L$5-0.000000001,E2233&lt;=01_因子設定!$M$5+0.000000001,F2233&gt;=01_因子設定!$L$6-0.000000001,F2233&lt;=01_因子設定!$M$6+0.000000001,G2233&gt;=01_因子設定!$L$7-0.000000001,G2233&lt;=01_因子設定!$M$7+0.000000001,H2233&gt;=01_因子設定!$L$8-0.000000001,H2233&lt;=01_因子設定!$M$8+0.000000001,IF(01_因子設定!$B$20="Box-Behnken",E2233^2+F2233^2+G2233^2+H2233^2&lt;=2+0.000000001,TRUE()))</f>
        <v>1</v>
      </c>
      <c r="AD2233" s="55" t="n">
        <f aca="false">IF(AC2233,IF(01_因子設定!$B$13="最大化",AA2233-01_因子設定!$B$14,IF(01_因子設定!$B$13="最小化",01_因子設定!$B$15-AB2233,MIN(AA2233-01_因子設定!$B$14,01_因子設定!$B$15-AB2233))),-1E+030)</f>
        <v>-5.10672554794211</v>
      </c>
      <c r="AE2233" s="55" t="n">
        <f aca="false">IF(AC2233,IF(01_因子設定!$B$13="最大化",X2233,IF(01_因子設定!$B$13="最小化",-X2233,-ABS(X2233-01_因子設定!$B$16))),-1E+030)</f>
        <v>42.9722496345029</v>
      </c>
      <c r="AF2233" s="55" t="n">
        <f aca="false">AD2233+ROW()*0.000000001</f>
        <v>-5.10672331494211</v>
      </c>
      <c r="AG2233" s="55" t="n">
        <f aca="false">AE2233+ROW()*0.000000001</f>
        <v>42.9722518675029</v>
      </c>
    </row>
    <row r="2234" customFormat="false" ht="15" hidden="false" customHeight="false" outlineLevel="0" collapsed="false">
      <c r="A2234" s="0" t="n">
        <v>3</v>
      </c>
      <c r="B2234" s="0" t="n">
        <v>0</v>
      </c>
      <c r="C2234" s="0" t="n">
        <v>4</v>
      </c>
      <c r="D2234" s="0" t="n">
        <v>6</v>
      </c>
      <c r="E2234" s="0" t="n">
        <f aca="false">-1+A2234*0.25</f>
        <v>-0.25</v>
      </c>
      <c r="F2234" s="0" t="n">
        <f aca="false">-1+B2234*0.25</f>
        <v>-1</v>
      </c>
      <c r="G2234" s="0" t="n">
        <f aca="false">-1+C2234*0.25</f>
        <v>0</v>
      </c>
      <c r="H2234" s="0" t="n">
        <f aca="false">-1+D2234*0.25</f>
        <v>0.5</v>
      </c>
      <c r="I2234" s="0" t="n">
        <f aca="false">1</f>
        <v>1</v>
      </c>
      <c r="J2234" s="0" t="n">
        <f aca="false">E2234</f>
        <v>-0.25</v>
      </c>
      <c r="K2234" s="0" t="n">
        <f aca="false">F2234</f>
        <v>-1</v>
      </c>
      <c r="L2234" s="0" t="n">
        <f aca="false">G2234</f>
        <v>0</v>
      </c>
      <c r="M2234" s="0" t="n">
        <f aca="false">H2234</f>
        <v>0.5</v>
      </c>
      <c r="N2234" s="0" t="n">
        <f aca="false">E2234*F2234</f>
        <v>0.25</v>
      </c>
      <c r="O2234" s="0" t="n">
        <f aca="false">E2234*G2234</f>
        <v>-0</v>
      </c>
      <c r="P2234" s="0" t="n">
        <f aca="false">E2234*H2234</f>
        <v>-0.125</v>
      </c>
      <c r="Q2234" s="0" t="n">
        <f aca="false">F2234*G2234</f>
        <v>-0</v>
      </c>
      <c r="R2234" s="0" t="n">
        <f aca="false">F2234*H2234</f>
        <v>-0.5</v>
      </c>
      <c r="S2234" s="0" t="n">
        <f aca="false">G2234*H2234</f>
        <v>0</v>
      </c>
      <c r="T2234" s="0" t="n">
        <f aca="false">E2234*E2234</f>
        <v>0.0625</v>
      </c>
      <c r="U2234" s="0" t="n">
        <f aca="false">F2234*F2234</f>
        <v>1</v>
      </c>
      <c r="V2234" s="0" t="n">
        <f aca="false">G2234*G2234</f>
        <v>0</v>
      </c>
      <c r="W2234" s="0" t="n">
        <f aca="false">H2234*H2234</f>
        <v>0.25</v>
      </c>
      <c r="X2234" s="0" t="n">
        <f aca="false">SUMPRODUCT(I2234:W2234,_XtX!$B$96:$P$96)</f>
        <v>43.047240497076</v>
      </c>
      <c r="Y2234" s="0" t="n">
        <f aca="false">SUMPRODUCT(MMULT(I2234:W2234,_XtX!$B$78:$P$92),I2234:W2234)</f>
        <v>0.457596628289474</v>
      </c>
      <c r="Z2234" s="0" t="n">
        <f aca="false">04_回帰ANOVA!$K$19*04_回帰ANOVA!$K$14*SQRT(1+Y2234)</f>
        <v>1.57368233664366</v>
      </c>
      <c r="AA2234" s="0" t="n">
        <f aca="false">X2234-Z2234</f>
        <v>41.4735581604323</v>
      </c>
      <c r="AB2234" s="0" t="n">
        <f aca="false">X2234+Z2234</f>
        <v>44.6209228337196</v>
      </c>
      <c r="AC2234" s="54" t="b">
        <f aca="false">AND(E2234&gt;=01_因子設定!$L$5-0.000000001,E2234&lt;=01_因子設定!$M$5+0.000000001,F2234&gt;=01_因子設定!$L$6-0.000000001,F2234&lt;=01_因子設定!$M$6+0.000000001,G2234&gt;=01_因子設定!$L$7-0.000000001,G2234&lt;=01_因子設定!$M$7+0.000000001,H2234&gt;=01_因子設定!$L$8-0.000000001,H2234&lt;=01_因子設定!$M$8+0.000000001,IF(01_因子設定!$B$20="Box-Behnken",E2234^2+F2234^2+G2234^2+H2234^2&lt;=2+0.000000001,TRUE()))</f>
        <v>1</v>
      </c>
      <c r="AD2234" s="55" t="n">
        <f aca="false">IF(AC2234,IF(01_因子設定!$B$13="最大化",AA2234-01_因子設定!$B$14,IF(01_因子設定!$B$13="最小化",01_因子設定!$B$15-AB2234,MIN(AA2234-01_因子設定!$B$14,01_因子設定!$B$15-AB2234))),-1E+030)</f>
        <v>-5.02644183956769</v>
      </c>
      <c r="AE2234" s="55" t="n">
        <f aca="false">IF(AC2234,IF(01_因子設定!$B$13="最大化",X2234,IF(01_因子設定!$B$13="最小化",-X2234,-ABS(X2234-01_因子設定!$B$16))),-1E+030)</f>
        <v>43.047240497076</v>
      </c>
      <c r="AF2234" s="55" t="n">
        <f aca="false">AD2234+ROW()*0.000000001</f>
        <v>-5.02643960556769</v>
      </c>
      <c r="AG2234" s="55" t="n">
        <f aca="false">AE2234+ROW()*0.000000001</f>
        <v>43.047242731076</v>
      </c>
    </row>
    <row r="2235" customFormat="false" ht="15" hidden="false" customHeight="false" outlineLevel="0" collapsed="false">
      <c r="A2235" s="0" t="n">
        <v>3</v>
      </c>
      <c r="B2235" s="0" t="n">
        <v>0</v>
      </c>
      <c r="C2235" s="0" t="n">
        <v>4</v>
      </c>
      <c r="D2235" s="0" t="n">
        <v>7</v>
      </c>
      <c r="E2235" s="0" t="n">
        <f aca="false">-1+A2235*0.25</f>
        <v>-0.25</v>
      </c>
      <c r="F2235" s="0" t="n">
        <f aca="false">-1+B2235*0.25</f>
        <v>-1</v>
      </c>
      <c r="G2235" s="0" t="n">
        <f aca="false">-1+C2235*0.25</f>
        <v>0</v>
      </c>
      <c r="H2235" s="0" t="n">
        <f aca="false">-1+D2235*0.25</f>
        <v>0.75</v>
      </c>
      <c r="I2235" s="0" t="n">
        <f aca="false">1</f>
        <v>1</v>
      </c>
      <c r="J2235" s="0" t="n">
        <f aca="false">E2235</f>
        <v>-0.25</v>
      </c>
      <c r="K2235" s="0" t="n">
        <f aca="false">F2235</f>
        <v>-1</v>
      </c>
      <c r="L2235" s="0" t="n">
        <f aca="false">G2235</f>
        <v>0</v>
      </c>
      <c r="M2235" s="0" t="n">
        <f aca="false">H2235</f>
        <v>0.75</v>
      </c>
      <c r="N2235" s="0" t="n">
        <f aca="false">E2235*F2235</f>
        <v>0.25</v>
      </c>
      <c r="O2235" s="0" t="n">
        <f aca="false">E2235*G2235</f>
        <v>-0</v>
      </c>
      <c r="P2235" s="0" t="n">
        <f aca="false">E2235*H2235</f>
        <v>-0.1875</v>
      </c>
      <c r="Q2235" s="0" t="n">
        <f aca="false">F2235*G2235</f>
        <v>-0</v>
      </c>
      <c r="R2235" s="0" t="n">
        <f aca="false">F2235*H2235</f>
        <v>-0.75</v>
      </c>
      <c r="S2235" s="0" t="n">
        <f aca="false">G2235*H2235</f>
        <v>0</v>
      </c>
      <c r="T2235" s="0" t="n">
        <f aca="false">E2235*E2235</f>
        <v>0.0625</v>
      </c>
      <c r="U2235" s="0" t="n">
        <f aca="false">F2235*F2235</f>
        <v>1</v>
      </c>
      <c r="V2235" s="0" t="n">
        <f aca="false">G2235*G2235</f>
        <v>0</v>
      </c>
      <c r="W2235" s="0" t="n">
        <f aca="false">H2235*H2235</f>
        <v>0.5625</v>
      </c>
      <c r="X2235" s="0" t="n">
        <f aca="false">SUMPRODUCT(I2235:W2235,_XtX!$B$96:$P$96)</f>
        <v>43.0744243421052</v>
      </c>
      <c r="Y2235" s="0" t="n">
        <f aca="false">SUMPRODUCT(MMULT(I2235:W2235,_XtX!$B$78:$P$92),I2235:W2235)</f>
        <v>0.501534802174708</v>
      </c>
      <c r="Z2235" s="0" t="n">
        <f aca="false">04_回帰ANOVA!$K$19*04_回帰ANOVA!$K$14*SQRT(1+Y2235)</f>
        <v>1.59722498091333</v>
      </c>
      <c r="AA2235" s="0" t="n">
        <f aca="false">X2235-Z2235</f>
        <v>41.4771993611919</v>
      </c>
      <c r="AB2235" s="0" t="n">
        <f aca="false">X2235+Z2235</f>
        <v>44.6716493230186</v>
      </c>
      <c r="AC2235" s="54" t="b">
        <f aca="false">AND(E2235&gt;=01_因子設定!$L$5-0.000000001,E2235&lt;=01_因子設定!$M$5+0.000000001,F2235&gt;=01_因子設定!$L$6-0.000000001,F2235&lt;=01_因子設定!$M$6+0.000000001,G2235&gt;=01_因子設定!$L$7-0.000000001,G2235&lt;=01_因子設定!$M$7+0.000000001,H2235&gt;=01_因子設定!$L$8-0.000000001,H2235&lt;=01_因子設定!$M$8+0.000000001,IF(01_因子設定!$B$20="Box-Behnken",E2235^2+F2235^2+G2235^2+H2235^2&lt;=2+0.000000001,TRUE()))</f>
        <v>1</v>
      </c>
      <c r="AD2235" s="55" t="n">
        <f aca="false">IF(AC2235,IF(01_因子設定!$B$13="最大化",AA2235-01_因子設定!$B$14,IF(01_因子設定!$B$13="最小化",01_因子設定!$B$15-AB2235,MIN(AA2235-01_因子設定!$B$14,01_因子設定!$B$15-AB2235))),-1E+030)</f>
        <v>-5.02280063880811</v>
      </c>
      <c r="AE2235" s="55" t="n">
        <f aca="false">IF(AC2235,IF(01_因子設定!$B$13="最大化",X2235,IF(01_因子設定!$B$13="最小化",-X2235,-ABS(X2235-01_因子設定!$B$16))),-1E+030)</f>
        <v>43.0744243421052</v>
      </c>
      <c r="AF2235" s="55" t="n">
        <f aca="false">AD2235+ROW()*0.000000001</f>
        <v>-5.02279840380811</v>
      </c>
      <c r="AG2235" s="55" t="n">
        <f aca="false">AE2235+ROW()*0.000000001</f>
        <v>43.0744265771052</v>
      </c>
    </row>
    <row r="2236" customFormat="false" ht="15" hidden="false" customHeight="false" outlineLevel="0" collapsed="false">
      <c r="A2236" s="0" t="n">
        <v>3</v>
      </c>
      <c r="B2236" s="0" t="n">
        <v>0</v>
      </c>
      <c r="C2236" s="0" t="n">
        <v>4</v>
      </c>
      <c r="D2236" s="0" t="n">
        <v>8</v>
      </c>
      <c r="E2236" s="0" t="n">
        <f aca="false">-1+A2236*0.25</f>
        <v>-0.25</v>
      </c>
      <c r="F2236" s="0" t="n">
        <f aca="false">-1+B2236*0.25</f>
        <v>-1</v>
      </c>
      <c r="G2236" s="0" t="n">
        <f aca="false">-1+C2236*0.25</f>
        <v>0</v>
      </c>
      <c r="H2236" s="0" t="n">
        <f aca="false">-1+D2236*0.25</f>
        <v>1</v>
      </c>
      <c r="I2236" s="0" t="n">
        <f aca="false">1</f>
        <v>1</v>
      </c>
      <c r="J2236" s="0" t="n">
        <f aca="false">E2236</f>
        <v>-0.25</v>
      </c>
      <c r="K2236" s="0" t="n">
        <f aca="false">F2236</f>
        <v>-1</v>
      </c>
      <c r="L2236" s="0" t="n">
        <f aca="false">G2236</f>
        <v>0</v>
      </c>
      <c r="M2236" s="0" t="n">
        <f aca="false">H2236</f>
        <v>1</v>
      </c>
      <c r="N2236" s="0" t="n">
        <f aca="false">E2236*F2236</f>
        <v>0.25</v>
      </c>
      <c r="O2236" s="0" t="n">
        <f aca="false">E2236*G2236</f>
        <v>-0</v>
      </c>
      <c r="P2236" s="0" t="n">
        <f aca="false">E2236*H2236</f>
        <v>-0.25</v>
      </c>
      <c r="Q2236" s="0" t="n">
        <f aca="false">F2236*G2236</f>
        <v>-0</v>
      </c>
      <c r="R2236" s="0" t="n">
        <f aca="false">F2236*H2236</f>
        <v>-1</v>
      </c>
      <c r="S2236" s="0" t="n">
        <f aca="false">G2236*H2236</f>
        <v>0</v>
      </c>
      <c r="T2236" s="0" t="n">
        <f aca="false">E2236*E2236</f>
        <v>0.0625</v>
      </c>
      <c r="U2236" s="0" t="n">
        <f aca="false">F2236*F2236</f>
        <v>1</v>
      </c>
      <c r="V2236" s="0" t="n">
        <f aca="false">G2236*G2236</f>
        <v>0</v>
      </c>
      <c r="W2236" s="0" t="n">
        <f aca="false">H2236*H2236</f>
        <v>1</v>
      </c>
      <c r="X2236" s="0" t="n">
        <f aca="false">SUMPRODUCT(I2236:W2236,_XtX!$B$96:$P$96)</f>
        <v>43.0538011695906</v>
      </c>
      <c r="Y2236" s="0" t="n">
        <f aca="false">SUMPRODUCT(MMULT(I2236:W2236,_XtX!$B$78:$P$92),I2236:W2236)</f>
        <v>0.689692982456141</v>
      </c>
      <c r="Z2236" s="0" t="n">
        <f aca="false">04_回帰ANOVA!$K$19*04_回帰ANOVA!$K$14*SQRT(1+Y2236)</f>
        <v>1.69434674594998</v>
      </c>
      <c r="AA2236" s="0" t="n">
        <f aca="false">X2236-Z2236</f>
        <v>41.3594544236406</v>
      </c>
      <c r="AB2236" s="0" t="n">
        <f aca="false">X2236+Z2236</f>
        <v>44.7481479155406</v>
      </c>
      <c r="AC2236" s="54" t="b">
        <f aca="false">AND(E2236&gt;=01_因子設定!$L$5-0.000000001,E2236&lt;=01_因子設定!$M$5+0.000000001,F2236&gt;=01_因子設定!$L$6-0.000000001,F2236&lt;=01_因子設定!$M$6+0.000000001,G2236&gt;=01_因子設定!$L$7-0.000000001,G2236&lt;=01_因子設定!$M$7+0.000000001,H2236&gt;=01_因子設定!$L$8-0.000000001,H2236&lt;=01_因子設定!$M$8+0.000000001,IF(01_因子設定!$B$20="Box-Behnken",E2236^2+F2236^2+G2236^2+H2236^2&lt;=2+0.000000001,TRUE()))</f>
        <v>1</v>
      </c>
      <c r="AD2236" s="55" t="n">
        <f aca="false">IF(AC2236,IF(01_因子設定!$B$13="最大化",AA2236-01_因子設定!$B$14,IF(01_因子設定!$B$13="最小化",01_因子設定!$B$15-AB2236,MIN(AA2236-01_因子設定!$B$14,01_因子設定!$B$15-AB2236))),-1E+030)</f>
        <v>-5.14054557635937</v>
      </c>
      <c r="AE2236" s="55" t="n">
        <f aca="false">IF(AC2236,IF(01_因子設定!$B$13="最大化",X2236,IF(01_因子設定!$B$13="最小化",-X2236,-ABS(X2236-01_因子設定!$B$16))),-1E+030)</f>
        <v>43.0538011695906</v>
      </c>
      <c r="AF2236" s="55" t="n">
        <f aca="false">AD2236+ROW()*0.000000001</f>
        <v>-5.14054334035937</v>
      </c>
      <c r="AG2236" s="55" t="n">
        <f aca="false">AE2236+ROW()*0.000000001</f>
        <v>43.0538034055906</v>
      </c>
    </row>
    <row r="2237" customFormat="false" ht="15" hidden="false" customHeight="false" outlineLevel="0" collapsed="false">
      <c r="A2237" s="0" t="n">
        <v>3</v>
      </c>
      <c r="B2237" s="0" t="n">
        <v>0</v>
      </c>
      <c r="C2237" s="0" t="n">
        <v>5</v>
      </c>
      <c r="D2237" s="0" t="n">
        <v>0</v>
      </c>
      <c r="E2237" s="0" t="n">
        <f aca="false">-1+A2237*0.25</f>
        <v>-0.25</v>
      </c>
      <c r="F2237" s="0" t="n">
        <f aca="false">-1+B2237*0.25</f>
        <v>-1</v>
      </c>
      <c r="G2237" s="0" t="n">
        <f aca="false">-1+C2237*0.25</f>
        <v>0.25</v>
      </c>
      <c r="H2237" s="0" t="n">
        <f aca="false">-1+D2237*0.25</f>
        <v>-1</v>
      </c>
      <c r="I2237" s="0" t="n">
        <f aca="false">1</f>
        <v>1</v>
      </c>
      <c r="J2237" s="0" t="n">
        <f aca="false">E2237</f>
        <v>-0.25</v>
      </c>
      <c r="K2237" s="0" t="n">
        <f aca="false">F2237</f>
        <v>-1</v>
      </c>
      <c r="L2237" s="0" t="n">
        <f aca="false">G2237</f>
        <v>0.25</v>
      </c>
      <c r="M2237" s="0" t="n">
        <f aca="false">H2237</f>
        <v>-1</v>
      </c>
      <c r="N2237" s="0" t="n">
        <f aca="false">E2237*F2237</f>
        <v>0.25</v>
      </c>
      <c r="O2237" s="0" t="n">
        <f aca="false">E2237*G2237</f>
        <v>-0.0625</v>
      </c>
      <c r="P2237" s="0" t="n">
        <f aca="false">E2237*H2237</f>
        <v>0.25</v>
      </c>
      <c r="Q2237" s="0" t="n">
        <f aca="false">F2237*G2237</f>
        <v>-0.25</v>
      </c>
      <c r="R2237" s="0" t="n">
        <f aca="false">F2237*H2237</f>
        <v>1</v>
      </c>
      <c r="S2237" s="0" t="n">
        <f aca="false">G2237*H2237</f>
        <v>-0.25</v>
      </c>
      <c r="T2237" s="0" t="n">
        <f aca="false">E2237*E2237</f>
        <v>0.0625</v>
      </c>
      <c r="U2237" s="0" t="n">
        <f aca="false">F2237*F2237</f>
        <v>1</v>
      </c>
      <c r="V2237" s="0" t="n">
        <f aca="false">G2237*G2237</f>
        <v>0.0625</v>
      </c>
      <c r="W2237" s="0" t="n">
        <f aca="false">H2237*H2237</f>
        <v>1</v>
      </c>
      <c r="X2237" s="0" t="n">
        <f aca="false">SUMPRODUCT(I2237:W2237,_XtX!$B$96:$P$96)</f>
        <v>41.9739948830409</v>
      </c>
      <c r="Y2237" s="0" t="n">
        <f aca="false">SUMPRODUCT(MMULT(I2237:W2237,_XtX!$B$78:$P$92),I2237:W2237)</f>
        <v>0.670040376005117</v>
      </c>
      <c r="Z2237" s="0" t="n">
        <f aca="false">04_回帰ANOVA!$K$19*04_回帰ANOVA!$K$14*SQRT(1+Y2237)</f>
        <v>1.68446456039992</v>
      </c>
      <c r="AA2237" s="0" t="n">
        <f aca="false">X2237-Z2237</f>
        <v>40.289530322641</v>
      </c>
      <c r="AB2237" s="0" t="n">
        <f aca="false">X2237+Z2237</f>
        <v>43.6584594434408</v>
      </c>
      <c r="AC2237" s="54" t="b">
        <f aca="false">AND(E2237&gt;=01_因子設定!$L$5-0.000000001,E2237&lt;=01_因子設定!$M$5+0.000000001,F2237&gt;=01_因子設定!$L$6-0.000000001,F2237&lt;=01_因子設定!$M$6+0.000000001,G2237&gt;=01_因子設定!$L$7-0.000000001,G2237&lt;=01_因子設定!$M$7+0.000000001,H2237&gt;=01_因子設定!$L$8-0.000000001,H2237&lt;=01_因子設定!$M$8+0.000000001,IF(01_因子設定!$B$20="Box-Behnken",E2237^2+F2237^2+G2237^2+H2237^2&lt;=2+0.000000001,TRUE()))</f>
        <v>1</v>
      </c>
      <c r="AD2237" s="55" t="n">
        <f aca="false">IF(AC2237,IF(01_因子設定!$B$13="最大化",AA2237-01_因子設定!$B$14,IF(01_因子設定!$B$13="最小化",01_因子設定!$B$15-AB2237,MIN(AA2237-01_因子設定!$B$14,01_因子設定!$B$15-AB2237))),-1E+030)</f>
        <v>-6.21046967735901</v>
      </c>
      <c r="AE2237" s="55" t="n">
        <f aca="false">IF(AC2237,IF(01_因子設定!$B$13="最大化",X2237,IF(01_因子設定!$B$13="最小化",-X2237,-ABS(X2237-01_因子設定!$B$16))),-1E+030)</f>
        <v>41.9739948830409</v>
      </c>
      <c r="AF2237" s="55" t="n">
        <f aca="false">AD2237+ROW()*0.000000001</f>
        <v>-6.21046744035901</v>
      </c>
      <c r="AG2237" s="55" t="n">
        <f aca="false">AE2237+ROW()*0.000000001</f>
        <v>41.9739971200409</v>
      </c>
    </row>
    <row r="2238" customFormat="false" ht="15" hidden="false" customHeight="false" outlineLevel="0" collapsed="false">
      <c r="A2238" s="0" t="n">
        <v>3</v>
      </c>
      <c r="B2238" s="0" t="n">
        <v>0</v>
      </c>
      <c r="C2238" s="0" t="n">
        <v>5</v>
      </c>
      <c r="D2238" s="0" t="n">
        <v>1</v>
      </c>
      <c r="E2238" s="0" t="n">
        <f aca="false">-1+A2238*0.25</f>
        <v>-0.25</v>
      </c>
      <c r="F2238" s="0" t="n">
        <f aca="false">-1+B2238*0.25</f>
        <v>-1</v>
      </c>
      <c r="G2238" s="0" t="n">
        <f aca="false">-1+C2238*0.25</f>
        <v>0.25</v>
      </c>
      <c r="H2238" s="0" t="n">
        <f aca="false">-1+D2238*0.25</f>
        <v>-0.75</v>
      </c>
      <c r="I2238" s="0" t="n">
        <f aca="false">1</f>
        <v>1</v>
      </c>
      <c r="J2238" s="0" t="n">
        <f aca="false">E2238</f>
        <v>-0.25</v>
      </c>
      <c r="K2238" s="0" t="n">
        <f aca="false">F2238</f>
        <v>-1</v>
      </c>
      <c r="L2238" s="0" t="n">
        <f aca="false">G2238</f>
        <v>0.25</v>
      </c>
      <c r="M2238" s="0" t="n">
        <f aca="false">H2238</f>
        <v>-0.75</v>
      </c>
      <c r="N2238" s="0" t="n">
        <f aca="false">E2238*F2238</f>
        <v>0.25</v>
      </c>
      <c r="O2238" s="0" t="n">
        <f aca="false">E2238*G2238</f>
        <v>-0.0625</v>
      </c>
      <c r="P2238" s="0" t="n">
        <f aca="false">E2238*H2238</f>
        <v>0.1875</v>
      </c>
      <c r="Q2238" s="0" t="n">
        <f aca="false">F2238*G2238</f>
        <v>-0.25</v>
      </c>
      <c r="R2238" s="0" t="n">
        <f aca="false">F2238*H2238</f>
        <v>0.75</v>
      </c>
      <c r="S2238" s="0" t="n">
        <f aca="false">G2238*H2238</f>
        <v>-0.1875</v>
      </c>
      <c r="T2238" s="0" t="n">
        <f aca="false">E2238*E2238</f>
        <v>0.0625</v>
      </c>
      <c r="U2238" s="0" t="n">
        <f aca="false">F2238*F2238</f>
        <v>1</v>
      </c>
      <c r="V2238" s="0" t="n">
        <f aca="false">G2238*G2238</f>
        <v>0.0625</v>
      </c>
      <c r="W2238" s="0" t="n">
        <f aca="false">H2238*H2238</f>
        <v>0.5625</v>
      </c>
      <c r="X2238" s="0" t="n">
        <f aca="false">SUMPRODUCT(I2238:W2238,_XtX!$B$96:$P$96)</f>
        <v>42.3059895833333</v>
      </c>
      <c r="Y2238" s="0" t="n">
        <f aca="false">SUMPRODUCT(MMULT(I2238:W2238,_XtX!$B$78:$P$92),I2238:W2238)</f>
        <v>0.486409505208334</v>
      </c>
      <c r="Z2238" s="0" t="n">
        <f aca="false">04_回帰ANOVA!$K$19*04_回帰ANOVA!$K$14*SQRT(1+Y2238)</f>
        <v>1.58916001665498</v>
      </c>
      <c r="AA2238" s="0" t="n">
        <f aca="false">X2238-Z2238</f>
        <v>40.7168295666783</v>
      </c>
      <c r="AB2238" s="0" t="n">
        <f aca="false">X2238+Z2238</f>
        <v>43.8951495999883</v>
      </c>
      <c r="AC2238" s="54" t="b">
        <f aca="false">AND(E2238&gt;=01_因子設定!$L$5-0.000000001,E2238&lt;=01_因子設定!$M$5+0.000000001,F2238&gt;=01_因子設定!$L$6-0.000000001,F2238&lt;=01_因子設定!$M$6+0.000000001,G2238&gt;=01_因子設定!$L$7-0.000000001,G2238&lt;=01_因子設定!$M$7+0.000000001,H2238&gt;=01_因子設定!$L$8-0.000000001,H2238&lt;=01_因子設定!$M$8+0.000000001,IF(01_因子設定!$B$20="Box-Behnken",E2238^2+F2238^2+G2238^2+H2238^2&lt;=2+0.000000001,TRUE()))</f>
        <v>1</v>
      </c>
      <c r="AD2238" s="55" t="n">
        <f aca="false">IF(AC2238,IF(01_因子設定!$B$13="最大化",AA2238-01_因子設定!$B$14,IF(01_因子設定!$B$13="最小化",01_因子設定!$B$15-AB2238,MIN(AA2238-01_因子設定!$B$14,01_因子設定!$B$15-AB2238))),-1E+030)</f>
        <v>-5.78317043332169</v>
      </c>
      <c r="AE2238" s="55" t="n">
        <f aca="false">IF(AC2238,IF(01_因子設定!$B$13="最大化",X2238,IF(01_因子設定!$B$13="最小化",-X2238,-ABS(X2238-01_因子設定!$B$16))),-1E+030)</f>
        <v>42.3059895833333</v>
      </c>
      <c r="AF2238" s="55" t="n">
        <f aca="false">AD2238+ROW()*0.000000001</f>
        <v>-5.78316819532169</v>
      </c>
      <c r="AG2238" s="55" t="n">
        <f aca="false">AE2238+ROW()*0.000000001</f>
        <v>42.3059918213333</v>
      </c>
    </row>
    <row r="2239" customFormat="false" ht="15" hidden="false" customHeight="false" outlineLevel="0" collapsed="false">
      <c r="A2239" s="0" t="n">
        <v>3</v>
      </c>
      <c r="B2239" s="0" t="n">
        <v>0</v>
      </c>
      <c r="C2239" s="0" t="n">
        <v>5</v>
      </c>
      <c r="D2239" s="0" t="n">
        <v>2</v>
      </c>
      <c r="E2239" s="0" t="n">
        <f aca="false">-1+A2239*0.25</f>
        <v>-0.25</v>
      </c>
      <c r="F2239" s="0" t="n">
        <f aca="false">-1+B2239*0.25</f>
        <v>-1</v>
      </c>
      <c r="G2239" s="0" t="n">
        <f aca="false">-1+C2239*0.25</f>
        <v>0.25</v>
      </c>
      <c r="H2239" s="0" t="n">
        <f aca="false">-1+D2239*0.25</f>
        <v>-0.5</v>
      </c>
      <c r="I2239" s="0" t="n">
        <f aca="false">1</f>
        <v>1</v>
      </c>
      <c r="J2239" s="0" t="n">
        <f aca="false">E2239</f>
        <v>-0.25</v>
      </c>
      <c r="K2239" s="0" t="n">
        <f aca="false">F2239</f>
        <v>-1</v>
      </c>
      <c r="L2239" s="0" t="n">
        <f aca="false">G2239</f>
        <v>0.25</v>
      </c>
      <c r="M2239" s="0" t="n">
        <f aca="false">H2239</f>
        <v>-0.5</v>
      </c>
      <c r="N2239" s="0" t="n">
        <f aca="false">E2239*F2239</f>
        <v>0.25</v>
      </c>
      <c r="O2239" s="0" t="n">
        <f aca="false">E2239*G2239</f>
        <v>-0.0625</v>
      </c>
      <c r="P2239" s="0" t="n">
        <f aca="false">E2239*H2239</f>
        <v>0.125</v>
      </c>
      <c r="Q2239" s="0" t="n">
        <f aca="false">F2239*G2239</f>
        <v>-0.25</v>
      </c>
      <c r="R2239" s="0" t="n">
        <f aca="false">F2239*H2239</f>
        <v>0.5</v>
      </c>
      <c r="S2239" s="0" t="n">
        <f aca="false">G2239*H2239</f>
        <v>-0.125</v>
      </c>
      <c r="T2239" s="0" t="n">
        <f aca="false">E2239*E2239</f>
        <v>0.0625</v>
      </c>
      <c r="U2239" s="0" t="n">
        <f aca="false">F2239*F2239</f>
        <v>1</v>
      </c>
      <c r="V2239" s="0" t="n">
        <f aca="false">G2239*G2239</f>
        <v>0.0625</v>
      </c>
      <c r="W2239" s="0" t="n">
        <f aca="false">H2239*H2239</f>
        <v>0.25</v>
      </c>
      <c r="X2239" s="0" t="n">
        <f aca="false">SUMPRODUCT(I2239:W2239,_XtX!$B$96:$P$96)</f>
        <v>42.5901772660818</v>
      </c>
      <c r="Y2239" s="0" t="n">
        <f aca="false">SUMPRODUCT(MMULT(I2239:W2239,_XtX!$B$78:$P$92),I2239:W2239)</f>
        <v>0.445705123812135</v>
      </c>
      <c r="Z2239" s="0" t="n">
        <f aca="false">04_回帰ANOVA!$K$19*04_回帰ANOVA!$K$14*SQRT(1+Y2239)</f>
        <v>1.56724990734749</v>
      </c>
      <c r="AA2239" s="0" t="n">
        <f aca="false">X2239-Z2239</f>
        <v>41.0229273587343</v>
      </c>
      <c r="AB2239" s="0" t="n">
        <f aca="false">X2239+Z2239</f>
        <v>44.1574271734293</v>
      </c>
      <c r="AC2239" s="54" t="b">
        <f aca="false">AND(E2239&gt;=01_因子設定!$L$5-0.000000001,E2239&lt;=01_因子設定!$M$5+0.000000001,F2239&gt;=01_因子設定!$L$6-0.000000001,F2239&lt;=01_因子設定!$M$6+0.000000001,G2239&gt;=01_因子設定!$L$7-0.000000001,G2239&lt;=01_因子設定!$M$7+0.000000001,H2239&gt;=01_因子設定!$L$8-0.000000001,H2239&lt;=01_因子設定!$M$8+0.000000001,IF(01_因子設定!$B$20="Box-Behnken",E2239^2+F2239^2+G2239^2+H2239^2&lt;=2+0.000000001,TRUE()))</f>
        <v>1</v>
      </c>
      <c r="AD2239" s="55" t="n">
        <f aca="false">IF(AC2239,IF(01_因子設定!$B$13="最大化",AA2239-01_因子設定!$B$14,IF(01_因子設定!$B$13="最小化",01_因子設定!$B$15-AB2239,MIN(AA2239-01_因子設定!$B$14,01_因子設定!$B$15-AB2239))),-1E+030)</f>
        <v>-5.47707264126567</v>
      </c>
      <c r="AE2239" s="55" t="n">
        <f aca="false">IF(AC2239,IF(01_因子設定!$B$13="最大化",X2239,IF(01_因子設定!$B$13="最小化",-X2239,-ABS(X2239-01_因子設定!$B$16))),-1E+030)</f>
        <v>42.5901772660818</v>
      </c>
      <c r="AF2239" s="55" t="n">
        <f aca="false">AD2239+ROW()*0.000000001</f>
        <v>-5.47707040226567</v>
      </c>
      <c r="AG2239" s="55" t="n">
        <f aca="false">AE2239+ROW()*0.000000001</f>
        <v>42.5901795050818</v>
      </c>
    </row>
    <row r="2240" customFormat="false" ht="15" hidden="false" customHeight="false" outlineLevel="0" collapsed="false">
      <c r="A2240" s="0" t="n">
        <v>3</v>
      </c>
      <c r="B2240" s="0" t="n">
        <v>0</v>
      </c>
      <c r="C2240" s="0" t="n">
        <v>5</v>
      </c>
      <c r="D2240" s="0" t="n">
        <v>3</v>
      </c>
      <c r="E2240" s="0" t="n">
        <f aca="false">-1+A2240*0.25</f>
        <v>-0.25</v>
      </c>
      <c r="F2240" s="0" t="n">
        <f aca="false">-1+B2240*0.25</f>
        <v>-1</v>
      </c>
      <c r="G2240" s="0" t="n">
        <f aca="false">-1+C2240*0.25</f>
        <v>0.25</v>
      </c>
      <c r="H2240" s="0" t="n">
        <f aca="false">-1+D2240*0.25</f>
        <v>-0.25</v>
      </c>
      <c r="I2240" s="0" t="n">
        <f aca="false">1</f>
        <v>1</v>
      </c>
      <c r="J2240" s="0" t="n">
        <f aca="false">E2240</f>
        <v>-0.25</v>
      </c>
      <c r="K2240" s="0" t="n">
        <f aca="false">F2240</f>
        <v>-1</v>
      </c>
      <c r="L2240" s="0" t="n">
        <f aca="false">G2240</f>
        <v>0.25</v>
      </c>
      <c r="M2240" s="0" t="n">
        <f aca="false">H2240</f>
        <v>-0.25</v>
      </c>
      <c r="N2240" s="0" t="n">
        <f aca="false">E2240*F2240</f>
        <v>0.25</v>
      </c>
      <c r="O2240" s="0" t="n">
        <f aca="false">E2240*G2240</f>
        <v>-0.0625</v>
      </c>
      <c r="P2240" s="0" t="n">
        <f aca="false">E2240*H2240</f>
        <v>0.0625</v>
      </c>
      <c r="Q2240" s="0" t="n">
        <f aca="false">F2240*G2240</f>
        <v>-0.25</v>
      </c>
      <c r="R2240" s="0" t="n">
        <f aca="false">F2240*H2240</f>
        <v>0.25</v>
      </c>
      <c r="S2240" s="0" t="n">
        <f aca="false">G2240*H2240</f>
        <v>-0.0625</v>
      </c>
      <c r="T2240" s="0" t="n">
        <f aca="false">E2240*E2240</f>
        <v>0.0625</v>
      </c>
      <c r="U2240" s="0" t="n">
        <f aca="false">F2240*F2240</f>
        <v>1</v>
      </c>
      <c r="V2240" s="0" t="n">
        <f aca="false">G2240*G2240</f>
        <v>0.0625</v>
      </c>
      <c r="W2240" s="0" t="n">
        <f aca="false">H2240*H2240</f>
        <v>0.0625</v>
      </c>
      <c r="X2240" s="0" t="n">
        <f aca="false">SUMPRODUCT(I2240:W2240,_XtX!$B$96:$P$96)</f>
        <v>42.8265579312865</v>
      </c>
      <c r="Y2240" s="0" t="n">
        <f aca="false">SUMPRODUCT(MMULT(I2240:W2240,_XtX!$B$78:$P$92),I2240:W2240)</f>
        <v>0.457466705500731</v>
      </c>
      <c r="Z2240" s="0" t="n">
        <f aca="false">04_回帰ANOVA!$K$19*04_回帰ANOVA!$K$14*SQRT(1+Y2240)</f>
        <v>1.57361220003999</v>
      </c>
      <c r="AA2240" s="0" t="n">
        <f aca="false">X2240-Z2240</f>
        <v>41.2529457312465</v>
      </c>
      <c r="AB2240" s="0" t="n">
        <f aca="false">X2240+Z2240</f>
        <v>44.4001701313265</v>
      </c>
      <c r="AC2240" s="54" t="b">
        <f aca="false">AND(E2240&gt;=01_因子設定!$L$5-0.000000001,E2240&lt;=01_因子設定!$M$5+0.000000001,F2240&gt;=01_因子設定!$L$6-0.000000001,F2240&lt;=01_因子設定!$M$6+0.000000001,G2240&gt;=01_因子設定!$L$7-0.000000001,G2240&lt;=01_因子設定!$M$7+0.000000001,H2240&gt;=01_因子設定!$L$8-0.000000001,H2240&lt;=01_因子設定!$M$8+0.000000001,IF(01_因子設定!$B$20="Box-Behnken",E2240^2+F2240^2+G2240^2+H2240^2&lt;=2+0.000000001,TRUE()))</f>
        <v>1</v>
      </c>
      <c r="AD2240" s="55" t="n">
        <f aca="false">IF(AC2240,IF(01_因子設定!$B$13="最大化",AA2240-01_因子設定!$B$14,IF(01_因子設定!$B$13="最小化",01_因子設定!$B$15-AB2240,MIN(AA2240-01_因子設定!$B$14,01_因子設定!$B$15-AB2240))),-1E+030)</f>
        <v>-5.2470542687535</v>
      </c>
      <c r="AE2240" s="55" t="n">
        <f aca="false">IF(AC2240,IF(01_因子設定!$B$13="最大化",X2240,IF(01_因子設定!$B$13="最小化",-X2240,-ABS(X2240-01_因子設定!$B$16))),-1E+030)</f>
        <v>42.8265579312865</v>
      </c>
      <c r="AF2240" s="55" t="n">
        <f aca="false">AD2240+ROW()*0.000000001</f>
        <v>-5.2470520287535</v>
      </c>
      <c r="AG2240" s="55" t="n">
        <f aca="false">AE2240+ROW()*0.000000001</f>
        <v>42.8265601712865</v>
      </c>
    </row>
    <row r="2241" customFormat="false" ht="15" hidden="false" customHeight="false" outlineLevel="0" collapsed="false">
      <c r="A2241" s="0" t="n">
        <v>3</v>
      </c>
      <c r="B2241" s="0" t="n">
        <v>0</v>
      </c>
      <c r="C2241" s="0" t="n">
        <v>5</v>
      </c>
      <c r="D2241" s="0" t="n">
        <v>4</v>
      </c>
      <c r="E2241" s="0" t="n">
        <f aca="false">-1+A2241*0.25</f>
        <v>-0.25</v>
      </c>
      <c r="F2241" s="0" t="n">
        <f aca="false">-1+B2241*0.25</f>
        <v>-1</v>
      </c>
      <c r="G2241" s="0" t="n">
        <f aca="false">-1+C2241*0.25</f>
        <v>0.25</v>
      </c>
      <c r="H2241" s="0" t="n">
        <f aca="false">-1+D2241*0.25</f>
        <v>0</v>
      </c>
      <c r="I2241" s="0" t="n">
        <f aca="false">1</f>
        <v>1</v>
      </c>
      <c r="J2241" s="0" t="n">
        <f aca="false">E2241</f>
        <v>-0.25</v>
      </c>
      <c r="K2241" s="0" t="n">
        <f aca="false">F2241</f>
        <v>-1</v>
      </c>
      <c r="L2241" s="0" t="n">
        <f aca="false">G2241</f>
        <v>0.25</v>
      </c>
      <c r="M2241" s="0" t="n">
        <f aca="false">H2241</f>
        <v>0</v>
      </c>
      <c r="N2241" s="0" t="n">
        <f aca="false">E2241*F2241</f>
        <v>0.25</v>
      </c>
      <c r="O2241" s="0" t="n">
        <f aca="false">E2241*G2241</f>
        <v>-0.0625</v>
      </c>
      <c r="P2241" s="0" t="n">
        <f aca="false">E2241*H2241</f>
        <v>-0</v>
      </c>
      <c r="Q2241" s="0" t="n">
        <f aca="false">F2241*G2241</f>
        <v>-0.25</v>
      </c>
      <c r="R2241" s="0" t="n">
        <f aca="false">F2241*H2241</f>
        <v>-0</v>
      </c>
      <c r="S2241" s="0" t="n">
        <f aca="false">G2241*H2241</f>
        <v>0</v>
      </c>
      <c r="T2241" s="0" t="n">
        <f aca="false">E2241*E2241</f>
        <v>0.0625</v>
      </c>
      <c r="U2241" s="0" t="n">
        <f aca="false">F2241*F2241</f>
        <v>1</v>
      </c>
      <c r="V2241" s="0" t="n">
        <f aca="false">G2241*G2241</f>
        <v>0.0625</v>
      </c>
      <c r="W2241" s="0" t="n">
        <f aca="false">H2241*H2241</f>
        <v>0</v>
      </c>
      <c r="X2241" s="0" t="n">
        <f aca="false">SUMPRODUCT(I2241:W2241,_XtX!$B$96:$P$96)</f>
        <v>43.0151315789473</v>
      </c>
      <c r="Y2241" s="0" t="n">
        <f aca="false">SUMPRODUCT(MMULT(I2241:W2241,_XtX!$B$78:$P$92),I2241:W2241)</f>
        <v>0.467417934484649</v>
      </c>
      <c r="Z2241" s="0" t="n">
        <f aca="false">04_回帰ANOVA!$K$19*04_回帰ANOVA!$K$14*SQRT(1+Y2241)</f>
        <v>1.57897518244497</v>
      </c>
      <c r="AA2241" s="0" t="n">
        <f aca="false">X2241-Z2241</f>
        <v>41.4361563965023</v>
      </c>
      <c r="AB2241" s="0" t="n">
        <f aca="false">X2241+Z2241</f>
        <v>44.5941067613923</v>
      </c>
      <c r="AC2241" s="54" t="b">
        <f aca="false">AND(E2241&gt;=01_因子設定!$L$5-0.000000001,E2241&lt;=01_因子設定!$M$5+0.000000001,F2241&gt;=01_因子設定!$L$6-0.000000001,F2241&lt;=01_因子設定!$M$6+0.000000001,G2241&gt;=01_因子設定!$L$7-0.000000001,G2241&lt;=01_因子設定!$M$7+0.000000001,H2241&gt;=01_因子設定!$L$8-0.000000001,H2241&lt;=01_因子設定!$M$8+0.000000001,IF(01_因子設定!$B$20="Box-Behnken",E2241^2+F2241^2+G2241^2+H2241^2&lt;=2+0.000000001,TRUE()))</f>
        <v>1</v>
      </c>
      <c r="AD2241" s="55" t="n">
        <f aca="false">IF(AC2241,IF(01_因子設定!$B$13="最大化",AA2241-01_因子設定!$B$14,IF(01_因子設定!$B$13="最小化",01_因子設定!$B$15-AB2241,MIN(AA2241-01_因子設定!$B$14,01_因子設定!$B$15-AB2241))),-1E+030)</f>
        <v>-5.06384360349767</v>
      </c>
      <c r="AE2241" s="55" t="n">
        <f aca="false">IF(AC2241,IF(01_因子設定!$B$13="最大化",X2241,IF(01_因子設定!$B$13="最小化",-X2241,-ABS(X2241-01_因子設定!$B$16))),-1E+030)</f>
        <v>43.0151315789473</v>
      </c>
      <c r="AF2241" s="55" t="n">
        <f aca="false">AD2241+ROW()*0.000000001</f>
        <v>-5.06384136249767</v>
      </c>
      <c r="AG2241" s="55" t="n">
        <f aca="false">AE2241+ROW()*0.000000001</f>
        <v>43.0151338199473</v>
      </c>
    </row>
    <row r="2242" customFormat="false" ht="15" hidden="false" customHeight="false" outlineLevel="0" collapsed="false">
      <c r="A2242" s="0" t="n">
        <v>3</v>
      </c>
      <c r="B2242" s="0" t="n">
        <v>0</v>
      </c>
      <c r="C2242" s="0" t="n">
        <v>5</v>
      </c>
      <c r="D2242" s="0" t="n">
        <v>5</v>
      </c>
      <c r="E2242" s="0" t="n">
        <f aca="false">-1+A2242*0.25</f>
        <v>-0.25</v>
      </c>
      <c r="F2242" s="0" t="n">
        <f aca="false">-1+B2242*0.25</f>
        <v>-1</v>
      </c>
      <c r="G2242" s="0" t="n">
        <f aca="false">-1+C2242*0.25</f>
        <v>0.25</v>
      </c>
      <c r="H2242" s="0" t="n">
        <f aca="false">-1+D2242*0.25</f>
        <v>0.25</v>
      </c>
      <c r="I2242" s="0" t="n">
        <f aca="false">1</f>
        <v>1</v>
      </c>
      <c r="J2242" s="0" t="n">
        <f aca="false">E2242</f>
        <v>-0.25</v>
      </c>
      <c r="K2242" s="0" t="n">
        <f aca="false">F2242</f>
        <v>-1</v>
      </c>
      <c r="L2242" s="0" t="n">
        <f aca="false">G2242</f>
        <v>0.25</v>
      </c>
      <c r="M2242" s="0" t="n">
        <f aca="false">H2242</f>
        <v>0.25</v>
      </c>
      <c r="N2242" s="0" t="n">
        <f aca="false">E2242*F2242</f>
        <v>0.25</v>
      </c>
      <c r="O2242" s="0" t="n">
        <f aca="false">E2242*G2242</f>
        <v>-0.0625</v>
      </c>
      <c r="P2242" s="0" t="n">
        <f aca="false">E2242*H2242</f>
        <v>-0.0625</v>
      </c>
      <c r="Q2242" s="0" t="n">
        <f aca="false">F2242*G2242</f>
        <v>-0.25</v>
      </c>
      <c r="R2242" s="0" t="n">
        <f aca="false">F2242*H2242</f>
        <v>-0.25</v>
      </c>
      <c r="S2242" s="0" t="n">
        <f aca="false">G2242*H2242</f>
        <v>0.0625</v>
      </c>
      <c r="T2242" s="0" t="n">
        <f aca="false">E2242*E2242</f>
        <v>0.0625</v>
      </c>
      <c r="U2242" s="0" t="n">
        <f aca="false">F2242*F2242</f>
        <v>1</v>
      </c>
      <c r="V2242" s="0" t="n">
        <f aca="false">G2242*G2242</f>
        <v>0.0625</v>
      </c>
      <c r="W2242" s="0" t="n">
        <f aca="false">H2242*H2242</f>
        <v>0.0625</v>
      </c>
      <c r="X2242" s="0" t="n">
        <f aca="false">SUMPRODUCT(I2242:W2242,_XtX!$B$96:$P$96)</f>
        <v>43.1558982090643</v>
      </c>
      <c r="Y2242" s="0" t="n">
        <f aca="false">SUMPRODUCT(MMULT(I2242:W2242,_XtX!$B$78:$P$92),I2242:W2242)</f>
        <v>0.457466705500731</v>
      </c>
      <c r="Z2242" s="0" t="n">
        <f aca="false">04_回帰ANOVA!$K$19*04_回帰ANOVA!$K$14*SQRT(1+Y2242)</f>
        <v>1.57361220003999</v>
      </c>
      <c r="AA2242" s="0" t="n">
        <f aca="false">X2242-Z2242</f>
        <v>41.5822860090243</v>
      </c>
      <c r="AB2242" s="0" t="n">
        <f aca="false">X2242+Z2242</f>
        <v>44.7295104091043</v>
      </c>
      <c r="AC2242" s="54" t="b">
        <f aca="false">AND(E2242&gt;=01_因子設定!$L$5-0.000000001,E2242&lt;=01_因子設定!$M$5+0.000000001,F2242&gt;=01_因子設定!$L$6-0.000000001,F2242&lt;=01_因子設定!$M$6+0.000000001,G2242&gt;=01_因子設定!$L$7-0.000000001,G2242&lt;=01_因子設定!$M$7+0.000000001,H2242&gt;=01_因子設定!$L$8-0.000000001,H2242&lt;=01_因子設定!$M$8+0.000000001,IF(01_因子設定!$B$20="Box-Behnken",E2242^2+F2242^2+G2242^2+H2242^2&lt;=2+0.000000001,TRUE()))</f>
        <v>1</v>
      </c>
      <c r="AD2242" s="55" t="n">
        <f aca="false">IF(AC2242,IF(01_因子設定!$B$13="最大化",AA2242-01_因子設定!$B$14,IF(01_因子設定!$B$13="最小化",01_因子設定!$B$15-AB2242,MIN(AA2242-01_因子設定!$B$14,01_因子設定!$B$15-AB2242))),-1E+030)</f>
        <v>-4.91771399097573</v>
      </c>
      <c r="AE2242" s="55" t="n">
        <f aca="false">IF(AC2242,IF(01_因子設定!$B$13="最大化",X2242,IF(01_因子設定!$B$13="最小化",-X2242,-ABS(X2242-01_因子設定!$B$16))),-1E+030)</f>
        <v>43.1558982090643</v>
      </c>
      <c r="AF2242" s="55" t="n">
        <f aca="false">AD2242+ROW()*0.000000001</f>
        <v>-4.91771174897573</v>
      </c>
      <c r="AG2242" s="55" t="n">
        <f aca="false">AE2242+ROW()*0.000000001</f>
        <v>43.1559004510643</v>
      </c>
    </row>
    <row r="2243" customFormat="false" ht="15" hidden="false" customHeight="false" outlineLevel="0" collapsed="false">
      <c r="A2243" s="0" t="n">
        <v>3</v>
      </c>
      <c r="B2243" s="0" t="n">
        <v>0</v>
      </c>
      <c r="C2243" s="0" t="n">
        <v>5</v>
      </c>
      <c r="D2243" s="0" t="n">
        <v>6</v>
      </c>
      <c r="E2243" s="0" t="n">
        <f aca="false">-1+A2243*0.25</f>
        <v>-0.25</v>
      </c>
      <c r="F2243" s="0" t="n">
        <f aca="false">-1+B2243*0.25</f>
        <v>-1</v>
      </c>
      <c r="G2243" s="0" t="n">
        <f aca="false">-1+C2243*0.25</f>
        <v>0.25</v>
      </c>
      <c r="H2243" s="0" t="n">
        <f aca="false">-1+D2243*0.25</f>
        <v>0.5</v>
      </c>
      <c r="I2243" s="0" t="n">
        <f aca="false">1</f>
        <v>1</v>
      </c>
      <c r="J2243" s="0" t="n">
        <f aca="false">E2243</f>
        <v>-0.25</v>
      </c>
      <c r="K2243" s="0" t="n">
        <f aca="false">F2243</f>
        <v>-1</v>
      </c>
      <c r="L2243" s="0" t="n">
        <f aca="false">G2243</f>
        <v>0.25</v>
      </c>
      <c r="M2243" s="0" t="n">
        <f aca="false">H2243</f>
        <v>0.5</v>
      </c>
      <c r="N2243" s="0" t="n">
        <f aca="false">E2243*F2243</f>
        <v>0.25</v>
      </c>
      <c r="O2243" s="0" t="n">
        <f aca="false">E2243*G2243</f>
        <v>-0.0625</v>
      </c>
      <c r="P2243" s="0" t="n">
        <f aca="false">E2243*H2243</f>
        <v>-0.125</v>
      </c>
      <c r="Q2243" s="0" t="n">
        <f aca="false">F2243*G2243</f>
        <v>-0.25</v>
      </c>
      <c r="R2243" s="0" t="n">
        <f aca="false">F2243*H2243</f>
        <v>-0.5</v>
      </c>
      <c r="S2243" s="0" t="n">
        <f aca="false">G2243*H2243</f>
        <v>0.125</v>
      </c>
      <c r="T2243" s="0" t="n">
        <f aca="false">E2243*E2243</f>
        <v>0.0625</v>
      </c>
      <c r="U2243" s="0" t="n">
        <f aca="false">F2243*F2243</f>
        <v>1</v>
      </c>
      <c r="V2243" s="0" t="n">
        <f aca="false">G2243*G2243</f>
        <v>0.0625</v>
      </c>
      <c r="W2243" s="0" t="n">
        <f aca="false">H2243*H2243</f>
        <v>0.25</v>
      </c>
      <c r="X2243" s="0" t="n">
        <f aca="false">SUMPRODUCT(I2243:W2243,_XtX!$B$96:$P$96)</f>
        <v>43.2488578216374</v>
      </c>
      <c r="Y2243" s="0" t="n">
        <f aca="false">SUMPRODUCT(MMULT(I2243:W2243,_XtX!$B$78:$P$92),I2243:W2243)</f>
        <v>0.445705123812135</v>
      </c>
      <c r="Z2243" s="0" t="n">
        <f aca="false">04_回帰ANOVA!$K$19*04_回帰ANOVA!$K$14*SQRT(1+Y2243)</f>
        <v>1.56724990734749</v>
      </c>
      <c r="AA2243" s="0" t="n">
        <f aca="false">X2243-Z2243</f>
        <v>41.6816079142899</v>
      </c>
      <c r="AB2243" s="0" t="n">
        <f aca="false">X2243+Z2243</f>
        <v>44.8161077289849</v>
      </c>
      <c r="AC2243" s="54" t="b">
        <f aca="false">AND(E2243&gt;=01_因子設定!$L$5-0.000000001,E2243&lt;=01_因子設定!$M$5+0.000000001,F2243&gt;=01_因子設定!$L$6-0.000000001,F2243&lt;=01_因子設定!$M$6+0.000000001,G2243&gt;=01_因子設定!$L$7-0.000000001,G2243&lt;=01_因子設定!$M$7+0.000000001,H2243&gt;=01_因子設定!$L$8-0.000000001,H2243&lt;=01_因子設定!$M$8+0.000000001,IF(01_因子設定!$B$20="Box-Behnken",E2243^2+F2243^2+G2243^2+H2243^2&lt;=2+0.000000001,TRUE()))</f>
        <v>1</v>
      </c>
      <c r="AD2243" s="55" t="n">
        <f aca="false">IF(AC2243,IF(01_因子設定!$B$13="最大化",AA2243-01_因子設定!$B$14,IF(01_因子設定!$B$13="最小化",01_因子設定!$B$15-AB2243,MIN(AA2243-01_因子設定!$B$14,01_因子設定!$B$15-AB2243))),-1E+030)</f>
        <v>-4.81839208571012</v>
      </c>
      <c r="AE2243" s="55" t="n">
        <f aca="false">IF(AC2243,IF(01_因子設定!$B$13="最大化",X2243,IF(01_因子設定!$B$13="最小化",-X2243,-ABS(X2243-01_因子設定!$B$16))),-1E+030)</f>
        <v>43.2488578216374</v>
      </c>
      <c r="AF2243" s="55" t="n">
        <f aca="false">AD2243+ROW()*0.000000001</f>
        <v>-4.81838984271012</v>
      </c>
      <c r="AG2243" s="55" t="n">
        <f aca="false">AE2243+ROW()*0.000000001</f>
        <v>43.2488600646374</v>
      </c>
    </row>
    <row r="2244" customFormat="false" ht="15" hidden="false" customHeight="false" outlineLevel="0" collapsed="false">
      <c r="A2244" s="0" t="n">
        <v>3</v>
      </c>
      <c r="B2244" s="0" t="n">
        <v>0</v>
      </c>
      <c r="C2244" s="0" t="n">
        <v>5</v>
      </c>
      <c r="D2244" s="0" t="n">
        <v>7</v>
      </c>
      <c r="E2244" s="0" t="n">
        <f aca="false">-1+A2244*0.25</f>
        <v>-0.25</v>
      </c>
      <c r="F2244" s="0" t="n">
        <f aca="false">-1+B2244*0.25</f>
        <v>-1</v>
      </c>
      <c r="G2244" s="0" t="n">
        <f aca="false">-1+C2244*0.25</f>
        <v>0.25</v>
      </c>
      <c r="H2244" s="0" t="n">
        <f aca="false">-1+D2244*0.25</f>
        <v>0.75</v>
      </c>
      <c r="I2244" s="0" t="n">
        <f aca="false">1</f>
        <v>1</v>
      </c>
      <c r="J2244" s="0" t="n">
        <f aca="false">E2244</f>
        <v>-0.25</v>
      </c>
      <c r="K2244" s="0" t="n">
        <f aca="false">F2244</f>
        <v>-1</v>
      </c>
      <c r="L2244" s="0" t="n">
        <f aca="false">G2244</f>
        <v>0.25</v>
      </c>
      <c r="M2244" s="0" t="n">
        <f aca="false">H2244</f>
        <v>0.75</v>
      </c>
      <c r="N2244" s="0" t="n">
        <f aca="false">E2244*F2244</f>
        <v>0.25</v>
      </c>
      <c r="O2244" s="0" t="n">
        <f aca="false">E2244*G2244</f>
        <v>-0.0625</v>
      </c>
      <c r="P2244" s="0" t="n">
        <f aca="false">E2244*H2244</f>
        <v>-0.1875</v>
      </c>
      <c r="Q2244" s="0" t="n">
        <f aca="false">F2244*G2244</f>
        <v>-0.25</v>
      </c>
      <c r="R2244" s="0" t="n">
        <f aca="false">F2244*H2244</f>
        <v>-0.75</v>
      </c>
      <c r="S2244" s="0" t="n">
        <f aca="false">G2244*H2244</f>
        <v>0.1875</v>
      </c>
      <c r="T2244" s="0" t="n">
        <f aca="false">E2244*E2244</f>
        <v>0.0625</v>
      </c>
      <c r="U2244" s="0" t="n">
        <f aca="false">F2244*F2244</f>
        <v>1</v>
      </c>
      <c r="V2244" s="0" t="n">
        <f aca="false">G2244*G2244</f>
        <v>0.0625</v>
      </c>
      <c r="W2244" s="0" t="n">
        <f aca="false">H2244*H2244</f>
        <v>0.5625</v>
      </c>
      <c r="X2244" s="0" t="n">
        <f aca="false">SUMPRODUCT(I2244:W2244,_XtX!$B$96:$P$96)</f>
        <v>43.2940104166666</v>
      </c>
      <c r="Y2244" s="0" t="n">
        <f aca="false">SUMPRODUCT(MMULT(I2244:W2244,_XtX!$B$78:$P$92),I2244:W2244)</f>
        <v>0.486409505208334</v>
      </c>
      <c r="Z2244" s="0" t="n">
        <f aca="false">04_回帰ANOVA!$K$19*04_回帰ANOVA!$K$14*SQRT(1+Y2244)</f>
        <v>1.58916001665498</v>
      </c>
      <c r="AA2244" s="0" t="n">
        <f aca="false">X2244-Z2244</f>
        <v>41.7048504000116</v>
      </c>
      <c r="AB2244" s="0" t="n">
        <f aca="false">X2244+Z2244</f>
        <v>44.8831704333216</v>
      </c>
      <c r="AC2244" s="54" t="b">
        <f aca="false">AND(E2244&gt;=01_因子設定!$L$5-0.000000001,E2244&lt;=01_因子設定!$M$5+0.000000001,F2244&gt;=01_因子設定!$L$6-0.000000001,F2244&lt;=01_因子設定!$M$6+0.000000001,G2244&gt;=01_因子設定!$L$7-0.000000001,G2244&lt;=01_因子設定!$M$7+0.000000001,H2244&gt;=01_因子設定!$L$8-0.000000001,H2244&lt;=01_因子設定!$M$8+0.000000001,IF(01_因子設定!$B$20="Box-Behnken",E2244^2+F2244^2+G2244^2+H2244^2&lt;=2+0.000000001,TRUE()))</f>
        <v>1</v>
      </c>
      <c r="AD2244" s="55" t="n">
        <f aca="false">IF(AC2244,IF(01_因子設定!$B$13="最大化",AA2244-01_因子設定!$B$14,IF(01_因子設定!$B$13="最小化",01_因子設定!$B$15-AB2244,MIN(AA2244-01_因子設定!$B$14,01_因子設定!$B$15-AB2244))),-1E+030)</f>
        <v>-4.79514959998836</v>
      </c>
      <c r="AE2244" s="55" t="n">
        <f aca="false">IF(AC2244,IF(01_因子設定!$B$13="最大化",X2244,IF(01_因子設定!$B$13="最小化",-X2244,-ABS(X2244-01_因子設定!$B$16))),-1E+030)</f>
        <v>43.2940104166666</v>
      </c>
      <c r="AF2244" s="55" t="n">
        <f aca="false">AD2244+ROW()*0.000000001</f>
        <v>-4.79514735598836</v>
      </c>
      <c r="AG2244" s="55" t="n">
        <f aca="false">AE2244+ROW()*0.000000001</f>
        <v>43.2940126606666</v>
      </c>
    </row>
    <row r="2245" customFormat="false" ht="15" hidden="false" customHeight="false" outlineLevel="0" collapsed="false">
      <c r="A2245" s="0" t="n">
        <v>3</v>
      </c>
      <c r="B2245" s="0" t="n">
        <v>0</v>
      </c>
      <c r="C2245" s="0" t="n">
        <v>5</v>
      </c>
      <c r="D2245" s="0" t="n">
        <v>8</v>
      </c>
      <c r="E2245" s="0" t="n">
        <f aca="false">-1+A2245*0.25</f>
        <v>-0.25</v>
      </c>
      <c r="F2245" s="0" t="n">
        <f aca="false">-1+B2245*0.25</f>
        <v>-1</v>
      </c>
      <c r="G2245" s="0" t="n">
        <f aca="false">-1+C2245*0.25</f>
        <v>0.25</v>
      </c>
      <c r="H2245" s="0" t="n">
        <f aca="false">-1+D2245*0.25</f>
        <v>1</v>
      </c>
      <c r="I2245" s="0" t="n">
        <f aca="false">1</f>
        <v>1</v>
      </c>
      <c r="J2245" s="0" t="n">
        <f aca="false">E2245</f>
        <v>-0.25</v>
      </c>
      <c r="K2245" s="0" t="n">
        <f aca="false">F2245</f>
        <v>-1</v>
      </c>
      <c r="L2245" s="0" t="n">
        <f aca="false">G2245</f>
        <v>0.25</v>
      </c>
      <c r="M2245" s="0" t="n">
        <f aca="false">H2245</f>
        <v>1</v>
      </c>
      <c r="N2245" s="0" t="n">
        <f aca="false">E2245*F2245</f>
        <v>0.25</v>
      </c>
      <c r="O2245" s="0" t="n">
        <f aca="false">E2245*G2245</f>
        <v>-0.0625</v>
      </c>
      <c r="P2245" s="0" t="n">
        <f aca="false">E2245*H2245</f>
        <v>-0.25</v>
      </c>
      <c r="Q2245" s="0" t="n">
        <f aca="false">F2245*G2245</f>
        <v>-0.25</v>
      </c>
      <c r="R2245" s="0" t="n">
        <f aca="false">F2245*H2245</f>
        <v>-1</v>
      </c>
      <c r="S2245" s="0" t="n">
        <f aca="false">G2245*H2245</f>
        <v>0.25</v>
      </c>
      <c r="T2245" s="0" t="n">
        <f aca="false">E2245*E2245</f>
        <v>0.0625</v>
      </c>
      <c r="U2245" s="0" t="n">
        <f aca="false">F2245*F2245</f>
        <v>1</v>
      </c>
      <c r="V2245" s="0" t="n">
        <f aca="false">G2245*G2245</f>
        <v>0.0625</v>
      </c>
      <c r="W2245" s="0" t="n">
        <f aca="false">H2245*H2245</f>
        <v>1</v>
      </c>
      <c r="X2245" s="0" t="n">
        <f aca="false">SUMPRODUCT(I2245:W2245,_XtX!$B$96:$P$96)</f>
        <v>43.291355994152</v>
      </c>
      <c r="Y2245" s="0" t="n">
        <f aca="false">SUMPRODUCT(MMULT(I2245:W2245,_XtX!$B$78:$P$92),I2245:W2245)</f>
        <v>0.670040376005117</v>
      </c>
      <c r="Z2245" s="0" t="n">
        <f aca="false">04_回帰ANOVA!$K$19*04_回帰ANOVA!$K$14*SQRT(1+Y2245)</f>
        <v>1.68446456039992</v>
      </c>
      <c r="AA2245" s="0" t="n">
        <f aca="false">X2245-Z2245</f>
        <v>41.6068914337521</v>
      </c>
      <c r="AB2245" s="0" t="n">
        <f aca="false">X2245+Z2245</f>
        <v>44.9758205545519</v>
      </c>
      <c r="AC2245" s="54" t="b">
        <f aca="false">AND(E2245&gt;=01_因子設定!$L$5-0.000000001,E2245&lt;=01_因子設定!$M$5+0.000000001,F2245&gt;=01_因子設定!$L$6-0.000000001,F2245&lt;=01_因子設定!$M$6+0.000000001,G2245&gt;=01_因子設定!$L$7-0.000000001,G2245&lt;=01_因子設定!$M$7+0.000000001,H2245&gt;=01_因子設定!$L$8-0.000000001,H2245&lt;=01_因子設定!$M$8+0.000000001,IF(01_因子設定!$B$20="Box-Behnken",E2245^2+F2245^2+G2245^2+H2245^2&lt;=2+0.000000001,TRUE()))</f>
        <v>1</v>
      </c>
      <c r="AD2245" s="55" t="n">
        <f aca="false">IF(AC2245,IF(01_因子設定!$B$13="最大化",AA2245-01_因子設定!$B$14,IF(01_因子設定!$B$13="最小化",01_因子設定!$B$15-AB2245,MIN(AA2245-01_因子設定!$B$14,01_因子設定!$B$15-AB2245))),-1E+030)</f>
        <v>-4.8931085662479</v>
      </c>
      <c r="AE2245" s="55" t="n">
        <f aca="false">IF(AC2245,IF(01_因子設定!$B$13="最大化",X2245,IF(01_因子設定!$B$13="最小化",-X2245,-ABS(X2245-01_因子設定!$B$16))),-1E+030)</f>
        <v>43.291355994152</v>
      </c>
      <c r="AF2245" s="55" t="n">
        <f aca="false">AD2245+ROW()*0.000000001</f>
        <v>-4.8931063212479</v>
      </c>
      <c r="AG2245" s="55" t="n">
        <f aca="false">AE2245+ROW()*0.000000001</f>
        <v>43.291358239152</v>
      </c>
    </row>
    <row r="2246" customFormat="false" ht="15" hidden="false" customHeight="false" outlineLevel="0" collapsed="false">
      <c r="A2246" s="0" t="n">
        <v>3</v>
      </c>
      <c r="B2246" s="0" t="n">
        <v>0</v>
      </c>
      <c r="C2246" s="0" t="n">
        <v>6</v>
      </c>
      <c r="D2246" s="0" t="n">
        <v>0</v>
      </c>
      <c r="E2246" s="0" t="n">
        <f aca="false">-1+A2246*0.25</f>
        <v>-0.25</v>
      </c>
      <c r="F2246" s="0" t="n">
        <f aca="false">-1+B2246*0.25</f>
        <v>-1</v>
      </c>
      <c r="G2246" s="0" t="n">
        <f aca="false">-1+C2246*0.25</f>
        <v>0.5</v>
      </c>
      <c r="H2246" s="0" t="n">
        <f aca="false">-1+D2246*0.25</f>
        <v>-1</v>
      </c>
      <c r="I2246" s="0" t="n">
        <f aca="false">1</f>
        <v>1</v>
      </c>
      <c r="J2246" s="0" t="n">
        <f aca="false">E2246</f>
        <v>-0.25</v>
      </c>
      <c r="K2246" s="0" t="n">
        <f aca="false">F2246</f>
        <v>-1</v>
      </c>
      <c r="L2246" s="0" t="n">
        <f aca="false">G2246</f>
        <v>0.5</v>
      </c>
      <c r="M2246" s="0" t="n">
        <f aca="false">H2246</f>
        <v>-1</v>
      </c>
      <c r="N2246" s="0" t="n">
        <f aca="false">E2246*F2246</f>
        <v>0.25</v>
      </c>
      <c r="O2246" s="0" t="n">
        <f aca="false">E2246*G2246</f>
        <v>-0.125</v>
      </c>
      <c r="P2246" s="0" t="n">
        <f aca="false">E2246*H2246</f>
        <v>0.25</v>
      </c>
      <c r="Q2246" s="0" t="n">
        <f aca="false">F2246*G2246</f>
        <v>-0.5</v>
      </c>
      <c r="R2246" s="0" t="n">
        <f aca="false">F2246*H2246</f>
        <v>1</v>
      </c>
      <c r="S2246" s="0" t="n">
        <f aca="false">G2246*H2246</f>
        <v>-0.5</v>
      </c>
      <c r="T2246" s="0" t="n">
        <f aca="false">E2246*E2246</f>
        <v>0.0625</v>
      </c>
      <c r="U2246" s="0" t="n">
        <f aca="false">F2246*F2246</f>
        <v>1</v>
      </c>
      <c r="V2246" s="0" t="n">
        <f aca="false">G2246*G2246</f>
        <v>0.25</v>
      </c>
      <c r="W2246" s="0" t="n">
        <f aca="false">H2246*H2246</f>
        <v>1</v>
      </c>
      <c r="X2246" s="0" t="n">
        <f aca="false">SUMPRODUCT(I2246:W2246,_XtX!$B$96:$P$96)</f>
        <v>41.9824926900585</v>
      </c>
      <c r="Y2246" s="0" t="n">
        <f aca="false">SUMPRODUCT(MMULT(I2246:W2246,_XtX!$B$78:$P$92),I2246:W2246)</f>
        <v>0.629174661915205</v>
      </c>
      <c r="Z2246" s="0" t="n">
        <f aca="false">04_回帰ANOVA!$K$19*04_回帰ANOVA!$K$14*SQRT(1+Y2246)</f>
        <v>1.66372758058297</v>
      </c>
      <c r="AA2246" s="0" t="n">
        <f aca="false">X2246-Z2246</f>
        <v>40.3187651094755</v>
      </c>
      <c r="AB2246" s="0" t="n">
        <f aca="false">X2246+Z2246</f>
        <v>43.6462202706414</v>
      </c>
      <c r="AC2246" s="54" t="b">
        <f aca="false">AND(E2246&gt;=01_因子設定!$L$5-0.000000001,E2246&lt;=01_因子設定!$M$5+0.000000001,F2246&gt;=01_因子設定!$L$6-0.000000001,F2246&lt;=01_因子設定!$M$6+0.000000001,G2246&gt;=01_因子設定!$L$7-0.000000001,G2246&lt;=01_因子設定!$M$7+0.000000001,H2246&gt;=01_因子設定!$L$8-0.000000001,H2246&lt;=01_因子設定!$M$8+0.000000001,IF(01_因子設定!$B$20="Box-Behnken",E2246^2+F2246^2+G2246^2+H2246^2&lt;=2+0.000000001,TRUE()))</f>
        <v>1</v>
      </c>
      <c r="AD2246" s="55" t="n">
        <f aca="false">IF(AC2246,IF(01_因子設定!$B$13="最大化",AA2246-01_因子設定!$B$14,IF(01_因子設定!$B$13="最小化",01_因子設定!$B$15-AB2246,MIN(AA2246-01_因子設定!$B$14,01_因子設定!$B$15-AB2246))),-1E+030)</f>
        <v>-6.18123489052451</v>
      </c>
      <c r="AE2246" s="55" t="n">
        <f aca="false">IF(AC2246,IF(01_因子設定!$B$13="最大化",X2246,IF(01_因子設定!$B$13="最小化",-X2246,-ABS(X2246-01_因子設定!$B$16))),-1E+030)</f>
        <v>41.9824926900585</v>
      </c>
      <c r="AF2246" s="55" t="n">
        <f aca="false">AD2246+ROW()*0.000000001</f>
        <v>-6.18123264452451</v>
      </c>
      <c r="AG2246" s="55" t="n">
        <f aca="false">AE2246+ROW()*0.000000001</f>
        <v>41.9824949360585</v>
      </c>
    </row>
    <row r="2247" customFormat="false" ht="15" hidden="false" customHeight="false" outlineLevel="0" collapsed="false">
      <c r="A2247" s="0" t="n">
        <v>3</v>
      </c>
      <c r="B2247" s="0" t="n">
        <v>0</v>
      </c>
      <c r="C2247" s="0" t="n">
        <v>6</v>
      </c>
      <c r="D2247" s="0" t="n">
        <v>1</v>
      </c>
      <c r="E2247" s="0" t="n">
        <f aca="false">-1+A2247*0.25</f>
        <v>-0.25</v>
      </c>
      <c r="F2247" s="0" t="n">
        <f aca="false">-1+B2247*0.25</f>
        <v>-1</v>
      </c>
      <c r="G2247" s="0" t="n">
        <f aca="false">-1+C2247*0.25</f>
        <v>0.5</v>
      </c>
      <c r="H2247" s="0" t="n">
        <f aca="false">-1+D2247*0.25</f>
        <v>-0.75</v>
      </c>
      <c r="I2247" s="0" t="n">
        <f aca="false">1</f>
        <v>1</v>
      </c>
      <c r="J2247" s="0" t="n">
        <f aca="false">E2247</f>
        <v>-0.25</v>
      </c>
      <c r="K2247" s="0" t="n">
        <f aca="false">F2247</f>
        <v>-1</v>
      </c>
      <c r="L2247" s="0" t="n">
        <f aca="false">G2247</f>
        <v>0.5</v>
      </c>
      <c r="M2247" s="0" t="n">
        <f aca="false">H2247</f>
        <v>-0.75</v>
      </c>
      <c r="N2247" s="0" t="n">
        <f aca="false">E2247*F2247</f>
        <v>0.25</v>
      </c>
      <c r="O2247" s="0" t="n">
        <f aca="false">E2247*G2247</f>
        <v>-0.125</v>
      </c>
      <c r="P2247" s="0" t="n">
        <f aca="false">E2247*H2247</f>
        <v>0.1875</v>
      </c>
      <c r="Q2247" s="0" t="n">
        <f aca="false">F2247*G2247</f>
        <v>-0.5</v>
      </c>
      <c r="R2247" s="0" t="n">
        <f aca="false">F2247*H2247</f>
        <v>0.75</v>
      </c>
      <c r="S2247" s="0" t="n">
        <f aca="false">G2247*H2247</f>
        <v>-0.375</v>
      </c>
      <c r="T2247" s="0" t="n">
        <f aca="false">E2247*E2247</f>
        <v>0.0625</v>
      </c>
      <c r="U2247" s="0" t="n">
        <f aca="false">F2247*F2247</f>
        <v>1</v>
      </c>
      <c r="V2247" s="0" t="n">
        <f aca="false">G2247*G2247</f>
        <v>0.25</v>
      </c>
      <c r="W2247" s="0" t="n">
        <f aca="false">H2247*H2247</f>
        <v>0.5625</v>
      </c>
      <c r="X2247" s="0" t="n">
        <f aca="false">SUMPRODUCT(I2247:W2247,_XtX!$B$96:$P$96)</f>
        <v>42.3324561403508</v>
      </c>
      <c r="Y2247" s="0" t="n">
        <f aca="false">SUMPRODUCT(MMULT(I2247:W2247,_XtX!$B$78:$P$92),I2247:W2247)</f>
        <v>0.459125719572369</v>
      </c>
      <c r="Z2247" s="0" t="n">
        <f aca="false">04_回帰ANOVA!$K$19*04_回帰ANOVA!$K$14*SQRT(1+Y2247)</f>
        <v>1.57450755575573</v>
      </c>
      <c r="AA2247" s="0" t="n">
        <f aca="false">X2247-Z2247</f>
        <v>40.7579485845951</v>
      </c>
      <c r="AB2247" s="0" t="n">
        <f aca="false">X2247+Z2247</f>
        <v>43.9069636961066</v>
      </c>
      <c r="AC2247" s="54" t="b">
        <f aca="false">AND(E2247&gt;=01_因子設定!$L$5-0.000000001,E2247&lt;=01_因子設定!$M$5+0.000000001,F2247&gt;=01_因子設定!$L$6-0.000000001,F2247&lt;=01_因子設定!$M$6+0.000000001,G2247&gt;=01_因子設定!$L$7-0.000000001,G2247&lt;=01_因子設定!$M$7+0.000000001,H2247&gt;=01_因子設定!$L$8-0.000000001,H2247&lt;=01_因子設定!$M$8+0.000000001,IF(01_因子設定!$B$20="Box-Behnken",E2247^2+F2247^2+G2247^2+H2247^2&lt;=2+0.000000001,TRUE()))</f>
        <v>1</v>
      </c>
      <c r="AD2247" s="55" t="n">
        <f aca="false">IF(AC2247,IF(01_因子設定!$B$13="最大化",AA2247-01_因子設定!$B$14,IF(01_因子設定!$B$13="最小化",01_因子設定!$B$15-AB2247,MIN(AA2247-01_因子設定!$B$14,01_因子設定!$B$15-AB2247))),-1E+030)</f>
        <v>-5.74205141540489</v>
      </c>
      <c r="AE2247" s="55" t="n">
        <f aca="false">IF(AC2247,IF(01_因子設定!$B$13="最大化",X2247,IF(01_因子設定!$B$13="最小化",-X2247,-ABS(X2247-01_因子設定!$B$16))),-1E+030)</f>
        <v>42.3324561403508</v>
      </c>
      <c r="AF2247" s="55" t="n">
        <f aca="false">AD2247+ROW()*0.000000001</f>
        <v>-5.74204916840489</v>
      </c>
      <c r="AG2247" s="55" t="n">
        <f aca="false">AE2247+ROW()*0.000000001</f>
        <v>42.3324583873508</v>
      </c>
    </row>
    <row r="2248" customFormat="false" ht="15" hidden="false" customHeight="false" outlineLevel="0" collapsed="false">
      <c r="A2248" s="0" t="n">
        <v>3</v>
      </c>
      <c r="B2248" s="0" t="n">
        <v>0</v>
      </c>
      <c r="C2248" s="0" t="n">
        <v>6</v>
      </c>
      <c r="D2248" s="0" t="n">
        <v>2</v>
      </c>
      <c r="E2248" s="0" t="n">
        <f aca="false">-1+A2248*0.25</f>
        <v>-0.25</v>
      </c>
      <c r="F2248" s="0" t="n">
        <f aca="false">-1+B2248*0.25</f>
        <v>-1</v>
      </c>
      <c r="G2248" s="0" t="n">
        <f aca="false">-1+C2248*0.25</f>
        <v>0.5</v>
      </c>
      <c r="H2248" s="0" t="n">
        <f aca="false">-1+D2248*0.25</f>
        <v>-0.5</v>
      </c>
      <c r="I2248" s="0" t="n">
        <f aca="false">1</f>
        <v>1</v>
      </c>
      <c r="J2248" s="0" t="n">
        <f aca="false">E2248</f>
        <v>-0.25</v>
      </c>
      <c r="K2248" s="0" t="n">
        <f aca="false">F2248</f>
        <v>-1</v>
      </c>
      <c r="L2248" s="0" t="n">
        <f aca="false">G2248</f>
        <v>0.5</v>
      </c>
      <c r="M2248" s="0" t="n">
        <f aca="false">H2248</f>
        <v>-0.5</v>
      </c>
      <c r="N2248" s="0" t="n">
        <f aca="false">E2248*F2248</f>
        <v>0.25</v>
      </c>
      <c r="O2248" s="0" t="n">
        <f aca="false">E2248*G2248</f>
        <v>-0.125</v>
      </c>
      <c r="P2248" s="0" t="n">
        <f aca="false">E2248*H2248</f>
        <v>0.125</v>
      </c>
      <c r="Q2248" s="0" t="n">
        <f aca="false">F2248*G2248</f>
        <v>-0.5</v>
      </c>
      <c r="R2248" s="0" t="n">
        <f aca="false">F2248*H2248</f>
        <v>0.5</v>
      </c>
      <c r="S2248" s="0" t="n">
        <f aca="false">G2248*H2248</f>
        <v>-0.25</v>
      </c>
      <c r="T2248" s="0" t="n">
        <f aca="false">E2248*E2248</f>
        <v>0.0625</v>
      </c>
      <c r="U2248" s="0" t="n">
        <f aca="false">F2248*F2248</f>
        <v>1</v>
      </c>
      <c r="V2248" s="0" t="n">
        <f aca="false">G2248*G2248</f>
        <v>0.25</v>
      </c>
      <c r="W2248" s="0" t="n">
        <f aca="false">H2248*H2248</f>
        <v>0.25</v>
      </c>
      <c r="X2248" s="0" t="n">
        <f aca="false">SUMPRODUCT(I2248:W2248,_XtX!$B$96:$P$96)</f>
        <v>42.6346125730994</v>
      </c>
      <c r="Y2248" s="0" t="n">
        <f aca="false">SUMPRODUCT(MMULT(I2248:W2248,_XtX!$B$78:$P$92),I2248:W2248)</f>
        <v>0.428122715643275</v>
      </c>
      <c r="Z2248" s="0" t="n">
        <f aca="false">04_回帰ANOVA!$K$19*04_回帰ANOVA!$K$14*SQRT(1+Y2248)</f>
        <v>1.55769044623229</v>
      </c>
      <c r="AA2248" s="0" t="n">
        <f aca="false">X2248-Z2248</f>
        <v>41.0769221268671</v>
      </c>
      <c r="AB2248" s="0" t="n">
        <f aca="false">X2248+Z2248</f>
        <v>44.1923030193317</v>
      </c>
      <c r="AC2248" s="54" t="b">
        <f aca="false">AND(E2248&gt;=01_因子設定!$L$5-0.000000001,E2248&lt;=01_因子設定!$M$5+0.000000001,F2248&gt;=01_因子設定!$L$6-0.000000001,F2248&lt;=01_因子設定!$M$6+0.000000001,G2248&gt;=01_因子設定!$L$7-0.000000001,G2248&lt;=01_因子設定!$M$7+0.000000001,H2248&gt;=01_因子設定!$L$8-0.000000001,H2248&lt;=01_因子設定!$M$8+0.000000001,IF(01_因子設定!$B$20="Box-Behnken",E2248^2+F2248^2+G2248^2+H2248^2&lt;=2+0.000000001,TRUE()))</f>
        <v>1</v>
      </c>
      <c r="AD2248" s="55" t="n">
        <f aca="false">IF(AC2248,IF(01_因子設定!$B$13="最大化",AA2248-01_因子設定!$B$14,IF(01_因子設定!$B$13="最小化",01_因子設定!$B$15-AB2248,MIN(AA2248-01_因子設定!$B$14,01_因子設定!$B$15-AB2248))),-1E+030)</f>
        <v>-5.42307787313293</v>
      </c>
      <c r="AE2248" s="55" t="n">
        <f aca="false">IF(AC2248,IF(01_因子設定!$B$13="最大化",X2248,IF(01_因子設定!$B$13="最小化",-X2248,-ABS(X2248-01_因子設定!$B$16))),-1E+030)</f>
        <v>42.6346125730994</v>
      </c>
      <c r="AF2248" s="55" t="n">
        <f aca="false">AD2248+ROW()*0.000000001</f>
        <v>-5.42307562513293</v>
      </c>
      <c r="AG2248" s="55" t="n">
        <f aca="false">AE2248+ROW()*0.000000001</f>
        <v>42.6346148210994</v>
      </c>
    </row>
    <row r="2249" customFormat="false" ht="15" hidden="false" customHeight="false" outlineLevel="0" collapsed="false">
      <c r="A2249" s="0" t="n">
        <v>3</v>
      </c>
      <c r="B2249" s="0" t="n">
        <v>0</v>
      </c>
      <c r="C2249" s="0" t="n">
        <v>6</v>
      </c>
      <c r="D2249" s="0" t="n">
        <v>3</v>
      </c>
      <c r="E2249" s="0" t="n">
        <f aca="false">-1+A2249*0.25</f>
        <v>-0.25</v>
      </c>
      <c r="F2249" s="0" t="n">
        <f aca="false">-1+B2249*0.25</f>
        <v>-1</v>
      </c>
      <c r="G2249" s="0" t="n">
        <f aca="false">-1+C2249*0.25</f>
        <v>0.5</v>
      </c>
      <c r="H2249" s="0" t="n">
        <f aca="false">-1+D2249*0.25</f>
        <v>-0.25</v>
      </c>
      <c r="I2249" s="0" t="n">
        <f aca="false">1</f>
        <v>1</v>
      </c>
      <c r="J2249" s="0" t="n">
        <f aca="false">E2249</f>
        <v>-0.25</v>
      </c>
      <c r="K2249" s="0" t="n">
        <f aca="false">F2249</f>
        <v>-1</v>
      </c>
      <c r="L2249" s="0" t="n">
        <f aca="false">G2249</f>
        <v>0.5</v>
      </c>
      <c r="M2249" s="0" t="n">
        <f aca="false">H2249</f>
        <v>-0.25</v>
      </c>
      <c r="N2249" s="0" t="n">
        <f aca="false">E2249*F2249</f>
        <v>0.25</v>
      </c>
      <c r="O2249" s="0" t="n">
        <f aca="false">E2249*G2249</f>
        <v>-0.125</v>
      </c>
      <c r="P2249" s="0" t="n">
        <f aca="false">E2249*H2249</f>
        <v>0.0625</v>
      </c>
      <c r="Q2249" s="0" t="n">
        <f aca="false">F2249*G2249</f>
        <v>-0.5</v>
      </c>
      <c r="R2249" s="0" t="n">
        <f aca="false">F2249*H2249</f>
        <v>0.25</v>
      </c>
      <c r="S2249" s="0" t="n">
        <f aca="false">G2249*H2249</f>
        <v>-0.125</v>
      </c>
      <c r="T2249" s="0" t="n">
        <f aca="false">E2249*E2249</f>
        <v>0.0625</v>
      </c>
      <c r="U2249" s="0" t="n">
        <f aca="false">F2249*F2249</f>
        <v>1</v>
      </c>
      <c r="V2249" s="0" t="n">
        <f aca="false">G2249*G2249</f>
        <v>0.25</v>
      </c>
      <c r="W2249" s="0" t="n">
        <f aca="false">H2249*H2249</f>
        <v>0.0625</v>
      </c>
      <c r="X2249" s="0" t="n">
        <f aca="false">SUMPRODUCT(I2249:W2249,_XtX!$B$96:$P$96)</f>
        <v>42.888961988304</v>
      </c>
      <c r="Y2249" s="0" t="n">
        <f aca="false">SUMPRODUCT(MMULT(I2249:W2249,_XtX!$B$78:$P$92),I2249:W2249)</f>
        <v>0.445705123812135</v>
      </c>
      <c r="Z2249" s="0" t="n">
        <f aca="false">04_回帰ANOVA!$K$19*04_回帰ANOVA!$K$14*SQRT(1+Y2249)</f>
        <v>1.56724990734749</v>
      </c>
      <c r="AA2249" s="0" t="n">
        <f aca="false">X2249-Z2249</f>
        <v>41.3217120809565</v>
      </c>
      <c r="AB2249" s="0" t="n">
        <f aca="false">X2249+Z2249</f>
        <v>44.4562118956515</v>
      </c>
      <c r="AC2249" s="54" t="b">
        <f aca="false">AND(E2249&gt;=01_因子設定!$L$5-0.000000001,E2249&lt;=01_因子設定!$M$5+0.000000001,F2249&gt;=01_因子設定!$L$6-0.000000001,F2249&lt;=01_因子設定!$M$6+0.000000001,G2249&gt;=01_因子設定!$L$7-0.000000001,G2249&lt;=01_因子設定!$M$7+0.000000001,H2249&gt;=01_因子設定!$L$8-0.000000001,H2249&lt;=01_因子設定!$M$8+0.000000001,IF(01_因子設定!$B$20="Box-Behnken",E2249^2+F2249^2+G2249^2+H2249^2&lt;=2+0.000000001,TRUE()))</f>
        <v>1</v>
      </c>
      <c r="AD2249" s="55" t="n">
        <f aca="false">IF(AC2249,IF(01_因子設定!$B$13="最大化",AA2249-01_因子設定!$B$14,IF(01_因子設定!$B$13="最小化",01_因子設定!$B$15-AB2249,MIN(AA2249-01_因子設定!$B$14,01_因子設定!$B$15-AB2249))),-1E+030)</f>
        <v>-5.17828791904346</v>
      </c>
      <c r="AE2249" s="55" t="n">
        <f aca="false">IF(AC2249,IF(01_因子設定!$B$13="最大化",X2249,IF(01_因子設定!$B$13="最小化",-X2249,-ABS(X2249-01_因子設定!$B$16))),-1E+030)</f>
        <v>42.888961988304</v>
      </c>
      <c r="AF2249" s="55" t="n">
        <f aca="false">AD2249+ROW()*0.000000001</f>
        <v>-5.17828567004346</v>
      </c>
      <c r="AG2249" s="55" t="n">
        <f aca="false">AE2249+ROW()*0.000000001</f>
        <v>42.888964237304</v>
      </c>
    </row>
    <row r="2250" customFormat="false" ht="15" hidden="false" customHeight="false" outlineLevel="0" collapsed="false">
      <c r="A2250" s="0" t="n">
        <v>3</v>
      </c>
      <c r="B2250" s="0" t="n">
        <v>0</v>
      </c>
      <c r="C2250" s="0" t="n">
        <v>6</v>
      </c>
      <c r="D2250" s="0" t="n">
        <v>4</v>
      </c>
      <c r="E2250" s="0" t="n">
        <f aca="false">-1+A2250*0.25</f>
        <v>-0.25</v>
      </c>
      <c r="F2250" s="0" t="n">
        <f aca="false">-1+B2250*0.25</f>
        <v>-1</v>
      </c>
      <c r="G2250" s="0" t="n">
        <f aca="false">-1+C2250*0.25</f>
        <v>0.5</v>
      </c>
      <c r="H2250" s="0" t="n">
        <f aca="false">-1+D2250*0.25</f>
        <v>0</v>
      </c>
      <c r="I2250" s="0" t="n">
        <f aca="false">1</f>
        <v>1</v>
      </c>
      <c r="J2250" s="0" t="n">
        <f aca="false">E2250</f>
        <v>-0.25</v>
      </c>
      <c r="K2250" s="0" t="n">
        <f aca="false">F2250</f>
        <v>-1</v>
      </c>
      <c r="L2250" s="0" t="n">
        <f aca="false">G2250</f>
        <v>0.5</v>
      </c>
      <c r="M2250" s="0" t="n">
        <f aca="false">H2250</f>
        <v>0</v>
      </c>
      <c r="N2250" s="0" t="n">
        <f aca="false">E2250*F2250</f>
        <v>0.25</v>
      </c>
      <c r="O2250" s="0" t="n">
        <f aca="false">E2250*G2250</f>
        <v>-0.125</v>
      </c>
      <c r="P2250" s="0" t="n">
        <f aca="false">E2250*H2250</f>
        <v>-0</v>
      </c>
      <c r="Q2250" s="0" t="n">
        <f aca="false">F2250*G2250</f>
        <v>-0.5</v>
      </c>
      <c r="R2250" s="0" t="n">
        <f aca="false">F2250*H2250</f>
        <v>-0</v>
      </c>
      <c r="S2250" s="0" t="n">
        <f aca="false">G2250*H2250</f>
        <v>0</v>
      </c>
      <c r="T2250" s="0" t="n">
        <f aca="false">E2250*E2250</f>
        <v>0.0625</v>
      </c>
      <c r="U2250" s="0" t="n">
        <f aca="false">F2250*F2250</f>
        <v>1</v>
      </c>
      <c r="V2250" s="0" t="n">
        <f aca="false">G2250*G2250</f>
        <v>0.25</v>
      </c>
      <c r="W2250" s="0" t="n">
        <f aca="false">H2250*H2250</f>
        <v>0</v>
      </c>
      <c r="X2250" s="0" t="n">
        <f aca="false">SUMPRODUCT(I2250:W2250,_XtX!$B$96:$P$96)</f>
        <v>43.0955043859649</v>
      </c>
      <c r="Y2250" s="0" t="n">
        <f aca="false">SUMPRODUCT(MMULT(I2250:W2250,_XtX!$B$78:$P$92),I2250:W2250)</f>
        <v>0.457596628289474</v>
      </c>
      <c r="Z2250" s="0" t="n">
        <f aca="false">04_回帰ANOVA!$K$19*04_回帰ANOVA!$K$14*SQRT(1+Y2250)</f>
        <v>1.57368233664366</v>
      </c>
      <c r="AA2250" s="0" t="n">
        <f aca="false">X2250-Z2250</f>
        <v>41.5218220493212</v>
      </c>
      <c r="AB2250" s="0" t="n">
        <f aca="false">X2250+Z2250</f>
        <v>44.6691867226085</v>
      </c>
      <c r="AC2250" s="54" t="b">
        <f aca="false">AND(E2250&gt;=01_因子設定!$L$5-0.000000001,E2250&lt;=01_因子設定!$M$5+0.000000001,F2250&gt;=01_因子設定!$L$6-0.000000001,F2250&lt;=01_因子設定!$M$6+0.000000001,G2250&gt;=01_因子設定!$L$7-0.000000001,G2250&lt;=01_因子設定!$M$7+0.000000001,H2250&gt;=01_因子設定!$L$8-0.000000001,H2250&lt;=01_因子設定!$M$8+0.000000001,IF(01_因子設定!$B$20="Box-Behnken",E2250^2+F2250^2+G2250^2+H2250^2&lt;=2+0.000000001,TRUE()))</f>
        <v>1</v>
      </c>
      <c r="AD2250" s="55" t="n">
        <f aca="false">IF(AC2250,IF(01_因子設定!$B$13="最大化",AA2250-01_因子設定!$B$14,IF(01_因子設定!$B$13="最小化",01_因子設定!$B$15-AB2250,MIN(AA2250-01_因子設定!$B$14,01_因子設定!$B$15-AB2250))),-1E+030)</f>
        <v>-4.97817795067881</v>
      </c>
      <c r="AE2250" s="55" t="n">
        <f aca="false">IF(AC2250,IF(01_因子設定!$B$13="最大化",X2250,IF(01_因子設定!$B$13="最小化",-X2250,-ABS(X2250-01_因子設定!$B$16))),-1E+030)</f>
        <v>43.0955043859649</v>
      </c>
      <c r="AF2250" s="55" t="n">
        <f aca="false">AD2250+ROW()*0.000000001</f>
        <v>-4.97817570067881</v>
      </c>
      <c r="AG2250" s="55" t="n">
        <f aca="false">AE2250+ROW()*0.000000001</f>
        <v>43.0955066359649</v>
      </c>
    </row>
    <row r="2251" customFormat="false" ht="15" hidden="false" customHeight="false" outlineLevel="0" collapsed="false">
      <c r="A2251" s="0" t="n">
        <v>3</v>
      </c>
      <c r="B2251" s="0" t="n">
        <v>0</v>
      </c>
      <c r="C2251" s="0" t="n">
        <v>6</v>
      </c>
      <c r="D2251" s="0" t="n">
        <v>5</v>
      </c>
      <c r="E2251" s="0" t="n">
        <f aca="false">-1+A2251*0.25</f>
        <v>-0.25</v>
      </c>
      <c r="F2251" s="0" t="n">
        <f aca="false">-1+B2251*0.25</f>
        <v>-1</v>
      </c>
      <c r="G2251" s="0" t="n">
        <f aca="false">-1+C2251*0.25</f>
        <v>0.5</v>
      </c>
      <c r="H2251" s="0" t="n">
        <f aca="false">-1+D2251*0.25</f>
        <v>0.25</v>
      </c>
      <c r="I2251" s="0" t="n">
        <f aca="false">1</f>
        <v>1</v>
      </c>
      <c r="J2251" s="0" t="n">
        <f aca="false">E2251</f>
        <v>-0.25</v>
      </c>
      <c r="K2251" s="0" t="n">
        <f aca="false">F2251</f>
        <v>-1</v>
      </c>
      <c r="L2251" s="0" t="n">
        <f aca="false">G2251</f>
        <v>0.5</v>
      </c>
      <c r="M2251" s="0" t="n">
        <f aca="false">H2251</f>
        <v>0.25</v>
      </c>
      <c r="N2251" s="0" t="n">
        <f aca="false">E2251*F2251</f>
        <v>0.25</v>
      </c>
      <c r="O2251" s="0" t="n">
        <f aca="false">E2251*G2251</f>
        <v>-0.125</v>
      </c>
      <c r="P2251" s="0" t="n">
        <f aca="false">E2251*H2251</f>
        <v>-0.0625</v>
      </c>
      <c r="Q2251" s="0" t="n">
        <f aca="false">F2251*G2251</f>
        <v>-0.5</v>
      </c>
      <c r="R2251" s="0" t="n">
        <f aca="false">F2251*H2251</f>
        <v>-0.25</v>
      </c>
      <c r="S2251" s="0" t="n">
        <f aca="false">G2251*H2251</f>
        <v>0.125</v>
      </c>
      <c r="T2251" s="0" t="n">
        <f aca="false">E2251*E2251</f>
        <v>0.0625</v>
      </c>
      <c r="U2251" s="0" t="n">
        <f aca="false">F2251*F2251</f>
        <v>1</v>
      </c>
      <c r="V2251" s="0" t="n">
        <f aca="false">G2251*G2251</f>
        <v>0.25</v>
      </c>
      <c r="W2251" s="0" t="n">
        <f aca="false">H2251*H2251</f>
        <v>0.0625</v>
      </c>
      <c r="X2251" s="0" t="n">
        <f aca="false">SUMPRODUCT(I2251:W2251,_XtX!$B$96:$P$96)</f>
        <v>43.2542397660818</v>
      </c>
      <c r="Y2251" s="0" t="n">
        <f aca="false">SUMPRODUCT(MMULT(I2251:W2251,_XtX!$B$78:$P$92),I2251:W2251)</f>
        <v>0.445705123812135</v>
      </c>
      <c r="Z2251" s="0" t="n">
        <f aca="false">04_回帰ANOVA!$K$19*04_回帰ANOVA!$K$14*SQRT(1+Y2251)</f>
        <v>1.56724990734749</v>
      </c>
      <c r="AA2251" s="0" t="n">
        <f aca="false">X2251-Z2251</f>
        <v>41.6869898587343</v>
      </c>
      <c r="AB2251" s="0" t="n">
        <f aca="false">X2251+Z2251</f>
        <v>44.8214896734293</v>
      </c>
      <c r="AC2251" s="54" t="b">
        <f aca="false">AND(E2251&gt;=01_因子設定!$L$5-0.000000001,E2251&lt;=01_因子設定!$M$5+0.000000001,F2251&gt;=01_因子設定!$L$6-0.000000001,F2251&lt;=01_因子設定!$M$6+0.000000001,G2251&gt;=01_因子設定!$L$7-0.000000001,G2251&lt;=01_因子設定!$M$7+0.000000001,H2251&gt;=01_因子設定!$L$8-0.000000001,H2251&lt;=01_因子設定!$M$8+0.000000001,IF(01_因子設定!$B$20="Box-Behnken",E2251^2+F2251^2+G2251^2+H2251^2&lt;=2+0.000000001,TRUE()))</f>
        <v>1</v>
      </c>
      <c r="AD2251" s="55" t="n">
        <f aca="false">IF(AC2251,IF(01_因子設定!$B$13="最大化",AA2251-01_因子設定!$B$14,IF(01_因子設定!$B$13="最小化",01_因子設定!$B$15-AB2251,MIN(AA2251-01_因子設定!$B$14,01_因子設定!$B$15-AB2251))),-1E+030)</f>
        <v>-4.81301014126568</v>
      </c>
      <c r="AE2251" s="55" t="n">
        <f aca="false">IF(AC2251,IF(01_因子設定!$B$13="最大化",X2251,IF(01_因子設定!$B$13="最小化",-X2251,-ABS(X2251-01_因子設定!$B$16))),-1E+030)</f>
        <v>43.2542397660818</v>
      </c>
      <c r="AF2251" s="55" t="n">
        <f aca="false">AD2251+ROW()*0.000000001</f>
        <v>-4.81300789026568</v>
      </c>
      <c r="AG2251" s="55" t="n">
        <f aca="false">AE2251+ROW()*0.000000001</f>
        <v>43.2542420170818</v>
      </c>
    </row>
    <row r="2252" customFormat="false" ht="15" hidden="false" customHeight="false" outlineLevel="0" collapsed="false">
      <c r="A2252" s="0" t="n">
        <v>3</v>
      </c>
      <c r="B2252" s="0" t="n">
        <v>0</v>
      </c>
      <c r="C2252" s="0" t="n">
        <v>6</v>
      </c>
      <c r="D2252" s="0" t="n">
        <v>6</v>
      </c>
      <c r="E2252" s="0" t="n">
        <f aca="false">-1+A2252*0.25</f>
        <v>-0.25</v>
      </c>
      <c r="F2252" s="0" t="n">
        <f aca="false">-1+B2252*0.25</f>
        <v>-1</v>
      </c>
      <c r="G2252" s="0" t="n">
        <f aca="false">-1+C2252*0.25</f>
        <v>0.5</v>
      </c>
      <c r="H2252" s="0" t="n">
        <f aca="false">-1+D2252*0.25</f>
        <v>0.5</v>
      </c>
      <c r="I2252" s="0" t="n">
        <f aca="false">1</f>
        <v>1</v>
      </c>
      <c r="J2252" s="0" t="n">
        <f aca="false">E2252</f>
        <v>-0.25</v>
      </c>
      <c r="K2252" s="0" t="n">
        <f aca="false">F2252</f>
        <v>-1</v>
      </c>
      <c r="L2252" s="0" t="n">
        <f aca="false">G2252</f>
        <v>0.5</v>
      </c>
      <c r="M2252" s="0" t="n">
        <f aca="false">H2252</f>
        <v>0.5</v>
      </c>
      <c r="N2252" s="0" t="n">
        <f aca="false">E2252*F2252</f>
        <v>0.25</v>
      </c>
      <c r="O2252" s="0" t="n">
        <f aca="false">E2252*G2252</f>
        <v>-0.125</v>
      </c>
      <c r="P2252" s="0" t="n">
        <f aca="false">E2252*H2252</f>
        <v>-0.125</v>
      </c>
      <c r="Q2252" s="0" t="n">
        <f aca="false">F2252*G2252</f>
        <v>-0.5</v>
      </c>
      <c r="R2252" s="0" t="n">
        <f aca="false">F2252*H2252</f>
        <v>-0.5</v>
      </c>
      <c r="S2252" s="0" t="n">
        <f aca="false">G2252*H2252</f>
        <v>0.25</v>
      </c>
      <c r="T2252" s="0" t="n">
        <f aca="false">E2252*E2252</f>
        <v>0.0625</v>
      </c>
      <c r="U2252" s="0" t="n">
        <f aca="false">F2252*F2252</f>
        <v>1</v>
      </c>
      <c r="V2252" s="0" t="n">
        <f aca="false">G2252*G2252</f>
        <v>0.25</v>
      </c>
      <c r="W2252" s="0" t="n">
        <f aca="false">H2252*H2252</f>
        <v>0.25</v>
      </c>
      <c r="X2252" s="0" t="n">
        <f aca="false">SUMPRODUCT(I2252:W2252,_XtX!$B$96:$P$96)</f>
        <v>43.3651681286549</v>
      </c>
      <c r="Y2252" s="0" t="n">
        <f aca="false">SUMPRODUCT(MMULT(I2252:W2252,_XtX!$B$78:$P$92),I2252:W2252)</f>
        <v>0.428122715643275</v>
      </c>
      <c r="Z2252" s="0" t="n">
        <f aca="false">04_回帰ANOVA!$K$19*04_回帰ANOVA!$K$14*SQRT(1+Y2252)</f>
        <v>1.55769044623229</v>
      </c>
      <c r="AA2252" s="0" t="n">
        <f aca="false">X2252-Z2252</f>
        <v>41.8074776824226</v>
      </c>
      <c r="AB2252" s="0" t="n">
        <f aca="false">X2252+Z2252</f>
        <v>44.9228585748872</v>
      </c>
      <c r="AC2252" s="54" t="b">
        <f aca="false">AND(E2252&gt;=01_因子設定!$L$5-0.000000001,E2252&lt;=01_因子設定!$M$5+0.000000001,F2252&gt;=01_因子設定!$L$6-0.000000001,F2252&lt;=01_因子設定!$M$6+0.000000001,G2252&gt;=01_因子設定!$L$7-0.000000001,G2252&lt;=01_因子設定!$M$7+0.000000001,H2252&gt;=01_因子設定!$L$8-0.000000001,H2252&lt;=01_因子設定!$M$8+0.000000001,IF(01_因子設定!$B$20="Box-Behnken",E2252^2+F2252^2+G2252^2+H2252^2&lt;=2+0.000000001,TRUE()))</f>
        <v>1</v>
      </c>
      <c r="AD2252" s="55" t="n">
        <f aca="false">IF(AC2252,IF(01_因子設定!$B$13="最大化",AA2252-01_因子設定!$B$14,IF(01_因子設定!$B$13="最小化",01_因子設定!$B$15-AB2252,MIN(AA2252-01_因子設定!$B$14,01_因子設定!$B$15-AB2252))),-1E+030)</f>
        <v>-4.69252231757737</v>
      </c>
      <c r="AE2252" s="55" t="n">
        <f aca="false">IF(AC2252,IF(01_因子設定!$B$13="最大化",X2252,IF(01_因子設定!$B$13="最小化",-X2252,-ABS(X2252-01_因子設定!$B$16))),-1E+030)</f>
        <v>43.3651681286549</v>
      </c>
      <c r="AF2252" s="55" t="n">
        <f aca="false">AD2252+ROW()*0.000000001</f>
        <v>-4.69252006557737</v>
      </c>
      <c r="AG2252" s="55" t="n">
        <f aca="false">AE2252+ROW()*0.000000001</f>
        <v>43.3651703806549</v>
      </c>
    </row>
    <row r="2253" customFormat="false" ht="15" hidden="false" customHeight="false" outlineLevel="0" collapsed="false">
      <c r="A2253" s="0" t="n">
        <v>3</v>
      </c>
      <c r="B2253" s="0" t="n">
        <v>0</v>
      </c>
      <c r="C2253" s="0" t="n">
        <v>6</v>
      </c>
      <c r="D2253" s="0" t="n">
        <v>7</v>
      </c>
      <c r="E2253" s="0" t="n">
        <f aca="false">-1+A2253*0.25</f>
        <v>-0.25</v>
      </c>
      <c r="F2253" s="0" t="n">
        <f aca="false">-1+B2253*0.25</f>
        <v>-1</v>
      </c>
      <c r="G2253" s="0" t="n">
        <f aca="false">-1+C2253*0.25</f>
        <v>0.5</v>
      </c>
      <c r="H2253" s="0" t="n">
        <f aca="false">-1+D2253*0.25</f>
        <v>0.75</v>
      </c>
      <c r="I2253" s="0" t="n">
        <f aca="false">1</f>
        <v>1</v>
      </c>
      <c r="J2253" s="0" t="n">
        <f aca="false">E2253</f>
        <v>-0.25</v>
      </c>
      <c r="K2253" s="0" t="n">
        <f aca="false">F2253</f>
        <v>-1</v>
      </c>
      <c r="L2253" s="0" t="n">
        <f aca="false">G2253</f>
        <v>0.5</v>
      </c>
      <c r="M2253" s="0" t="n">
        <f aca="false">H2253</f>
        <v>0.75</v>
      </c>
      <c r="N2253" s="0" t="n">
        <f aca="false">E2253*F2253</f>
        <v>0.25</v>
      </c>
      <c r="O2253" s="0" t="n">
        <f aca="false">E2253*G2253</f>
        <v>-0.125</v>
      </c>
      <c r="P2253" s="0" t="n">
        <f aca="false">E2253*H2253</f>
        <v>-0.1875</v>
      </c>
      <c r="Q2253" s="0" t="n">
        <f aca="false">F2253*G2253</f>
        <v>-0.5</v>
      </c>
      <c r="R2253" s="0" t="n">
        <f aca="false">F2253*H2253</f>
        <v>-0.75</v>
      </c>
      <c r="S2253" s="0" t="n">
        <f aca="false">G2253*H2253</f>
        <v>0.375</v>
      </c>
      <c r="T2253" s="0" t="n">
        <f aca="false">E2253*E2253</f>
        <v>0.0625</v>
      </c>
      <c r="U2253" s="0" t="n">
        <f aca="false">F2253*F2253</f>
        <v>1</v>
      </c>
      <c r="V2253" s="0" t="n">
        <f aca="false">G2253*G2253</f>
        <v>0.25</v>
      </c>
      <c r="W2253" s="0" t="n">
        <f aca="false">H2253*H2253</f>
        <v>0.5625</v>
      </c>
      <c r="X2253" s="0" t="n">
        <f aca="false">SUMPRODUCT(I2253:W2253,_XtX!$B$96:$P$96)</f>
        <v>43.4282894736842</v>
      </c>
      <c r="Y2253" s="0" t="n">
        <f aca="false">SUMPRODUCT(MMULT(I2253:W2253,_XtX!$B$78:$P$92),I2253:W2253)</f>
        <v>0.459125719572369</v>
      </c>
      <c r="Z2253" s="0" t="n">
        <f aca="false">04_回帰ANOVA!$K$19*04_回帰ANOVA!$K$14*SQRT(1+Y2253)</f>
        <v>1.57450755575573</v>
      </c>
      <c r="AA2253" s="0" t="n">
        <f aca="false">X2253-Z2253</f>
        <v>41.8537819179284</v>
      </c>
      <c r="AB2253" s="0" t="n">
        <f aca="false">X2253+Z2253</f>
        <v>45.0027970294399</v>
      </c>
      <c r="AC2253" s="54" t="b">
        <f aca="false">AND(E2253&gt;=01_因子設定!$L$5-0.000000001,E2253&lt;=01_因子設定!$M$5+0.000000001,F2253&gt;=01_因子設定!$L$6-0.000000001,F2253&lt;=01_因子設定!$M$6+0.000000001,G2253&gt;=01_因子設定!$L$7-0.000000001,G2253&lt;=01_因子設定!$M$7+0.000000001,H2253&gt;=01_因子設定!$L$8-0.000000001,H2253&lt;=01_因子設定!$M$8+0.000000001,IF(01_因子設定!$B$20="Box-Behnken",E2253^2+F2253^2+G2253^2+H2253^2&lt;=2+0.000000001,TRUE()))</f>
        <v>1</v>
      </c>
      <c r="AD2253" s="55" t="n">
        <f aca="false">IF(AC2253,IF(01_因子設定!$B$13="最大化",AA2253-01_因子設定!$B$14,IF(01_因子設定!$B$13="最小化",01_因子設定!$B$15-AB2253,MIN(AA2253-01_因子設定!$B$14,01_因子設定!$B$15-AB2253))),-1E+030)</f>
        <v>-4.64621808207156</v>
      </c>
      <c r="AE2253" s="55" t="n">
        <f aca="false">IF(AC2253,IF(01_因子設定!$B$13="最大化",X2253,IF(01_因子設定!$B$13="最小化",-X2253,-ABS(X2253-01_因子設定!$B$16))),-1E+030)</f>
        <v>43.4282894736842</v>
      </c>
      <c r="AF2253" s="55" t="n">
        <f aca="false">AD2253+ROW()*0.000000001</f>
        <v>-4.64621582907156</v>
      </c>
      <c r="AG2253" s="55" t="n">
        <f aca="false">AE2253+ROW()*0.000000001</f>
        <v>43.4282917266842</v>
      </c>
    </row>
    <row r="2254" customFormat="false" ht="15" hidden="false" customHeight="false" outlineLevel="0" collapsed="false">
      <c r="A2254" s="0" t="n">
        <v>3</v>
      </c>
      <c r="B2254" s="0" t="n">
        <v>0</v>
      </c>
      <c r="C2254" s="0" t="n">
        <v>6</v>
      </c>
      <c r="D2254" s="0" t="n">
        <v>8</v>
      </c>
      <c r="E2254" s="0" t="n">
        <f aca="false">-1+A2254*0.25</f>
        <v>-0.25</v>
      </c>
      <c r="F2254" s="0" t="n">
        <f aca="false">-1+B2254*0.25</f>
        <v>-1</v>
      </c>
      <c r="G2254" s="0" t="n">
        <f aca="false">-1+C2254*0.25</f>
        <v>0.5</v>
      </c>
      <c r="H2254" s="0" t="n">
        <f aca="false">-1+D2254*0.25</f>
        <v>1</v>
      </c>
      <c r="I2254" s="0" t="n">
        <f aca="false">1</f>
        <v>1</v>
      </c>
      <c r="J2254" s="0" t="n">
        <f aca="false">E2254</f>
        <v>-0.25</v>
      </c>
      <c r="K2254" s="0" t="n">
        <f aca="false">F2254</f>
        <v>-1</v>
      </c>
      <c r="L2254" s="0" t="n">
        <f aca="false">G2254</f>
        <v>0.5</v>
      </c>
      <c r="M2254" s="0" t="n">
        <f aca="false">H2254</f>
        <v>1</v>
      </c>
      <c r="N2254" s="0" t="n">
        <f aca="false">E2254*F2254</f>
        <v>0.25</v>
      </c>
      <c r="O2254" s="0" t="n">
        <f aca="false">E2254*G2254</f>
        <v>-0.125</v>
      </c>
      <c r="P2254" s="0" t="n">
        <f aca="false">E2254*H2254</f>
        <v>-0.25</v>
      </c>
      <c r="Q2254" s="0" t="n">
        <f aca="false">F2254*G2254</f>
        <v>-0.5</v>
      </c>
      <c r="R2254" s="0" t="n">
        <f aca="false">F2254*H2254</f>
        <v>-1</v>
      </c>
      <c r="S2254" s="0" t="n">
        <f aca="false">G2254*H2254</f>
        <v>0.5</v>
      </c>
      <c r="T2254" s="0" t="n">
        <f aca="false">E2254*E2254</f>
        <v>0.0625</v>
      </c>
      <c r="U2254" s="0" t="n">
        <f aca="false">F2254*F2254</f>
        <v>1</v>
      </c>
      <c r="V2254" s="0" t="n">
        <f aca="false">G2254*G2254</f>
        <v>0.25</v>
      </c>
      <c r="W2254" s="0" t="n">
        <f aca="false">H2254*H2254</f>
        <v>1</v>
      </c>
      <c r="X2254" s="0" t="n">
        <f aca="false">SUMPRODUCT(I2254:W2254,_XtX!$B$96:$P$96)</f>
        <v>43.4436038011696</v>
      </c>
      <c r="Y2254" s="0" t="n">
        <f aca="false">SUMPRODUCT(MMULT(I2254:W2254,_XtX!$B$78:$P$92),I2254:W2254)</f>
        <v>0.629174661915205</v>
      </c>
      <c r="Z2254" s="0" t="n">
        <f aca="false">04_回帰ANOVA!$K$19*04_回帰ANOVA!$K$14*SQRT(1+Y2254)</f>
        <v>1.66372758058297</v>
      </c>
      <c r="AA2254" s="0" t="n">
        <f aca="false">X2254-Z2254</f>
        <v>41.7798762205866</v>
      </c>
      <c r="AB2254" s="0" t="n">
        <f aca="false">X2254+Z2254</f>
        <v>45.1073313817525</v>
      </c>
      <c r="AC2254" s="54" t="b">
        <f aca="false">AND(E2254&gt;=01_因子設定!$L$5-0.000000001,E2254&lt;=01_因子設定!$M$5+0.000000001,F2254&gt;=01_因子設定!$L$6-0.000000001,F2254&lt;=01_因子設定!$M$6+0.000000001,G2254&gt;=01_因子設定!$L$7-0.000000001,G2254&lt;=01_因子設定!$M$7+0.000000001,H2254&gt;=01_因子設定!$L$8-0.000000001,H2254&lt;=01_因子設定!$M$8+0.000000001,IF(01_因子設定!$B$20="Box-Behnken",E2254^2+F2254^2+G2254^2+H2254^2&lt;=2+0.000000001,TRUE()))</f>
        <v>1</v>
      </c>
      <c r="AD2254" s="55" t="n">
        <f aca="false">IF(AC2254,IF(01_因子設定!$B$13="最大化",AA2254-01_因子設定!$B$14,IF(01_因子設定!$B$13="最小化",01_因子設定!$B$15-AB2254,MIN(AA2254-01_因子設定!$B$14,01_因子設定!$B$15-AB2254))),-1E+030)</f>
        <v>-4.72012377941341</v>
      </c>
      <c r="AE2254" s="55" t="n">
        <f aca="false">IF(AC2254,IF(01_因子設定!$B$13="最大化",X2254,IF(01_因子設定!$B$13="最小化",-X2254,-ABS(X2254-01_因子設定!$B$16))),-1E+030)</f>
        <v>43.4436038011696</v>
      </c>
      <c r="AF2254" s="55" t="n">
        <f aca="false">AD2254+ROW()*0.000000001</f>
        <v>-4.72012152541341</v>
      </c>
      <c r="AG2254" s="55" t="n">
        <f aca="false">AE2254+ROW()*0.000000001</f>
        <v>43.4436060551696</v>
      </c>
    </row>
    <row r="2255" customFormat="false" ht="15" hidden="false" customHeight="false" outlineLevel="0" collapsed="false">
      <c r="A2255" s="0" t="n">
        <v>3</v>
      </c>
      <c r="B2255" s="0" t="n">
        <v>0</v>
      </c>
      <c r="C2255" s="0" t="n">
        <v>7</v>
      </c>
      <c r="D2255" s="0" t="n">
        <v>0</v>
      </c>
      <c r="E2255" s="0" t="n">
        <f aca="false">-1+A2255*0.25</f>
        <v>-0.25</v>
      </c>
      <c r="F2255" s="0" t="n">
        <f aca="false">-1+B2255*0.25</f>
        <v>-1</v>
      </c>
      <c r="G2255" s="0" t="n">
        <f aca="false">-1+C2255*0.25</f>
        <v>0.75</v>
      </c>
      <c r="H2255" s="0" t="n">
        <f aca="false">-1+D2255*0.25</f>
        <v>-1</v>
      </c>
      <c r="I2255" s="0" t="n">
        <f aca="false">1</f>
        <v>1</v>
      </c>
      <c r="J2255" s="0" t="n">
        <f aca="false">E2255</f>
        <v>-0.25</v>
      </c>
      <c r="K2255" s="0" t="n">
        <f aca="false">F2255</f>
        <v>-1</v>
      </c>
      <c r="L2255" s="0" t="n">
        <f aca="false">G2255</f>
        <v>0.75</v>
      </c>
      <c r="M2255" s="0" t="n">
        <f aca="false">H2255</f>
        <v>-1</v>
      </c>
      <c r="N2255" s="0" t="n">
        <f aca="false">E2255*F2255</f>
        <v>0.25</v>
      </c>
      <c r="O2255" s="0" t="n">
        <f aca="false">E2255*G2255</f>
        <v>-0.1875</v>
      </c>
      <c r="P2255" s="0" t="n">
        <f aca="false">E2255*H2255</f>
        <v>0.25</v>
      </c>
      <c r="Q2255" s="0" t="n">
        <f aca="false">F2255*G2255</f>
        <v>-0.75</v>
      </c>
      <c r="R2255" s="0" t="n">
        <f aca="false">F2255*H2255</f>
        <v>1</v>
      </c>
      <c r="S2255" s="0" t="n">
        <f aca="false">G2255*H2255</f>
        <v>-0.75</v>
      </c>
      <c r="T2255" s="0" t="n">
        <f aca="false">E2255*E2255</f>
        <v>0.0625</v>
      </c>
      <c r="U2255" s="0" t="n">
        <f aca="false">F2255*F2255</f>
        <v>1</v>
      </c>
      <c r="V2255" s="0" t="n">
        <f aca="false">G2255*G2255</f>
        <v>0.5625</v>
      </c>
      <c r="W2255" s="0" t="n">
        <f aca="false">H2255*H2255</f>
        <v>1</v>
      </c>
      <c r="X2255" s="0" t="n">
        <f aca="false">SUMPRODUCT(I2255:W2255,_XtX!$B$96:$P$96)</f>
        <v>41.9056834795321</v>
      </c>
      <c r="Y2255" s="0" t="n">
        <f aca="false">SUMPRODUCT(MMULT(I2255:W2255,_XtX!$B$78:$P$92),I2255:W2255)</f>
        <v>0.621372155975877</v>
      </c>
      <c r="Z2255" s="0" t="n">
        <f aca="false">04_回帰ANOVA!$K$19*04_回帰ANOVA!$K$14*SQRT(1+Y2255)</f>
        <v>1.65973880499872</v>
      </c>
      <c r="AA2255" s="0" t="n">
        <f aca="false">X2255-Z2255</f>
        <v>40.2459446745334</v>
      </c>
      <c r="AB2255" s="0" t="n">
        <f aca="false">X2255+Z2255</f>
        <v>43.5654222845309</v>
      </c>
      <c r="AC2255" s="54" t="b">
        <f aca="false">AND(E2255&gt;=01_因子設定!$L$5-0.000000001,E2255&lt;=01_因子設定!$M$5+0.000000001,F2255&gt;=01_因子設定!$L$6-0.000000001,F2255&lt;=01_因子設定!$M$6+0.000000001,G2255&gt;=01_因子設定!$L$7-0.000000001,G2255&lt;=01_因子設定!$M$7+0.000000001,H2255&gt;=01_因子設定!$L$8-0.000000001,H2255&lt;=01_因子設定!$M$8+0.000000001,IF(01_因子設定!$B$20="Box-Behnken",E2255^2+F2255^2+G2255^2+H2255^2&lt;=2+0.000000001,TRUE()))</f>
        <v>1</v>
      </c>
      <c r="AD2255" s="55" t="n">
        <f aca="false">IF(AC2255,IF(01_因子設定!$B$13="最大化",AA2255-01_因子設定!$B$14,IF(01_因子設定!$B$13="最小化",01_因子設定!$B$15-AB2255,MIN(AA2255-01_因子設定!$B$14,01_因子設定!$B$15-AB2255))),-1E+030)</f>
        <v>-6.25405532546657</v>
      </c>
      <c r="AE2255" s="55" t="n">
        <f aca="false">IF(AC2255,IF(01_因子設定!$B$13="最大化",X2255,IF(01_因子設定!$B$13="最小化",-X2255,-ABS(X2255-01_因子設定!$B$16))),-1E+030)</f>
        <v>41.9056834795321</v>
      </c>
      <c r="AF2255" s="55" t="n">
        <f aca="false">AD2255+ROW()*0.000000001</f>
        <v>-6.25405307046657</v>
      </c>
      <c r="AG2255" s="55" t="n">
        <f aca="false">AE2255+ROW()*0.000000001</f>
        <v>41.9056857345321</v>
      </c>
    </row>
    <row r="2256" customFormat="false" ht="15" hidden="false" customHeight="false" outlineLevel="0" collapsed="false">
      <c r="A2256" s="0" t="n">
        <v>3</v>
      </c>
      <c r="B2256" s="0" t="n">
        <v>0</v>
      </c>
      <c r="C2256" s="0" t="n">
        <v>7</v>
      </c>
      <c r="D2256" s="0" t="n">
        <v>1</v>
      </c>
      <c r="E2256" s="0" t="n">
        <f aca="false">-1+A2256*0.25</f>
        <v>-0.25</v>
      </c>
      <c r="F2256" s="0" t="n">
        <f aca="false">-1+B2256*0.25</f>
        <v>-1</v>
      </c>
      <c r="G2256" s="0" t="n">
        <f aca="false">-1+C2256*0.25</f>
        <v>0.75</v>
      </c>
      <c r="H2256" s="0" t="n">
        <f aca="false">-1+D2256*0.25</f>
        <v>-0.75</v>
      </c>
      <c r="I2256" s="0" t="n">
        <f aca="false">1</f>
        <v>1</v>
      </c>
      <c r="J2256" s="0" t="n">
        <f aca="false">E2256</f>
        <v>-0.25</v>
      </c>
      <c r="K2256" s="0" t="n">
        <f aca="false">F2256</f>
        <v>-1</v>
      </c>
      <c r="L2256" s="0" t="n">
        <f aca="false">G2256</f>
        <v>0.75</v>
      </c>
      <c r="M2256" s="0" t="n">
        <f aca="false">H2256</f>
        <v>-0.75</v>
      </c>
      <c r="N2256" s="0" t="n">
        <f aca="false">E2256*F2256</f>
        <v>0.25</v>
      </c>
      <c r="O2256" s="0" t="n">
        <f aca="false">E2256*G2256</f>
        <v>-0.1875</v>
      </c>
      <c r="P2256" s="0" t="n">
        <f aca="false">E2256*H2256</f>
        <v>0.1875</v>
      </c>
      <c r="Q2256" s="0" t="n">
        <f aca="false">F2256*G2256</f>
        <v>-0.75</v>
      </c>
      <c r="R2256" s="0" t="n">
        <f aca="false">F2256*H2256</f>
        <v>0.75</v>
      </c>
      <c r="S2256" s="0" t="n">
        <f aca="false">G2256*H2256</f>
        <v>-0.5625</v>
      </c>
      <c r="T2256" s="0" t="n">
        <f aca="false">E2256*E2256</f>
        <v>0.0625</v>
      </c>
      <c r="U2256" s="0" t="n">
        <f aca="false">F2256*F2256</f>
        <v>1</v>
      </c>
      <c r="V2256" s="0" t="n">
        <f aca="false">G2256*G2256</f>
        <v>0.5625</v>
      </c>
      <c r="W2256" s="0" t="n">
        <f aca="false">H2256*H2256</f>
        <v>0.5625</v>
      </c>
      <c r="X2256" s="0" t="n">
        <f aca="false">SUMPRODUCT(I2256:W2256,_XtX!$B$96:$P$96)</f>
        <v>42.2736156798245</v>
      </c>
      <c r="Y2256" s="0" t="n">
        <f aca="false">SUMPRODUCT(MMULT(I2256:W2256,_XtX!$B$78:$P$92),I2256:W2256)</f>
        <v>0.473959761056287</v>
      </c>
      <c r="Z2256" s="0" t="n">
        <f aca="false">04_回帰ANOVA!$K$19*04_回帰ANOVA!$K$14*SQRT(1+Y2256)</f>
        <v>1.58249084588329</v>
      </c>
      <c r="AA2256" s="0" t="n">
        <f aca="false">X2256-Z2256</f>
        <v>40.6911248339412</v>
      </c>
      <c r="AB2256" s="0" t="n">
        <f aca="false">X2256+Z2256</f>
        <v>43.8561065257078</v>
      </c>
      <c r="AC2256" s="54" t="b">
        <f aca="false">AND(E2256&gt;=01_因子設定!$L$5-0.000000001,E2256&lt;=01_因子設定!$M$5+0.000000001,F2256&gt;=01_因子設定!$L$6-0.000000001,F2256&lt;=01_因子設定!$M$6+0.000000001,G2256&gt;=01_因子設定!$L$7-0.000000001,G2256&lt;=01_因子設定!$M$7+0.000000001,H2256&gt;=01_因子設定!$L$8-0.000000001,H2256&lt;=01_因子設定!$M$8+0.000000001,IF(01_因子設定!$B$20="Box-Behnken",E2256^2+F2256^2+G2256^2+H2256^2&lt;=2+0.000000001,TRUE()))</f>
        <v>1</v>
      </c>
      <c r="AD2256" s="55" t="n">
        <f aca="false">IF(AC2256,IF(01_因子設定!$B$13="最大化",AA2256-01_因子設定!$B$14,IF(01_因子設定!$B$13="最小化",01_因子設定!$B$15-AB2256,MIN(AA2256-01_因子設定!$B$14,01_因子設定!$B$15-AB2256))),-1E+030)</f>
        <v>-5.80887516605876</v>
      </c>
      <c r="AE2256" s="55" t="n">
        <f aca="false">IF(AC2256,IF(01_因子設定!$B$13="最大化",X2256,IF(01_因子設定!$B$13="最小化",-X2256,-ABS(X2256-01_因子設定!$B$16))),-1E+030)</f>
        <v>42.2736156798245</v>
      </c>
      <c r="AF2256" s="55" t="n">
        <f aca="false">AD2256+ROW()*0.000000001</f>
        <v>-5.80887291005876</v>
      </c>
      <c r="AG2256" s="55" t="n">
        <f aca="false">AE2256+ROW()*0.000000001</f>
        <v>42.2736179358245</v>
      </c>
    </row>
    <row r="2257" customFormat="false" ht="15" hidden="false" customHeight="false" outlineLevel="0" collapsed="false">
      <c r="A2257" s="0" t="n">
        <v>3</v>
      </c>
      <c r="B2257" s="0" t="n">
        <v>0</v>
      </c>
      <c r="C2257" s="0" t="n">
        <v>7</v>
      </c>
      <c r="D2257" s="0" t="n">
        <v>2</v>
      </c>
      <c r="E2257" s="0" t="n">
        <f aca="false">-1+A2257*0.25</f>
        <v>-0.25</v>
      </c>
      <c r="F2257" s="0" t="n">
        <f aca="false">-1+B2257*0.25</f>
        <v>-1</v>
      </c>
      <c r="G2257" s="0" t="n">
        <f aca="false">-1+C2257*0.25</f>
        <v>0.75</v>
      </c>
      <c r="H2257" s="0" t="n">
        <f aca="false">-1+D2257*0.25</f>
        <v>-0.5</v>
      </c>
      <c r="I2257" s="0" t="n">
        <f aca="false">1</f>
        <v>1</v>
      </c>
      <c r="J2257" s="0" t="n">
        <f aca="false">E2257</f>
        <v>-0.25</v>
      </c>
      <c r="K2257" s="0" t="n">
        <f aca="false">F2257</f>
        <v>-1</v>
      </c>
      <c r="L2257" s="0" t="n">
        <f aca="false">G2257</f>
        <v>0.75</v>
      </c>
      <c r="M2257" s="0" t="n">
        <f aca="false">H2257</f>
        <v>-0.5</v>
      </c>
      <c r="N2257" s="0" t="n">
        <f aca="false">E2257*F2257</f>
        <v>0.25</v>
      </c>
      <c r="O2257" s="0" t="n">
        <f aca="false">E2257*G2257</f>
        <v>-0.1875</v>
      </c>
      <c r="P2257" s="0" t="n">
        <f aca="false">E2257*H2257</f>
        <v>0.125</v>
      </c>
      <c r="Q2257" s="0" t="n">
        <f aca="false">F2257*G2257</f>
        <v>-0.75</v>
      </c>
      <c r="R2257" s="0" t="n">
        <f aca="false">F2257*H2257</f>
        <v>0.5</v>
      </c>
      <c r="S2257" s="0" t="n">
        <f aca="false">G2257*H2257</f>
        <v>-0.375</v>
      </c>
      <c r="T2257" s="0" t="n">
        <f aca="false">E2257*E2257</f>
        <v>0.0625</v>
      </c>
      <c r="U2257" s="0" t="n">
        <f aca="false">F2257*F2257</f>
        <v>1</v>
      </c>
      <c r="V2257" s="0" t="n">
        <f aca="false">G2257*G2257</f>
        <v>0.5625</v>
      </c>
      <c r="W2257" s="0" t="n">
        <f aca="false">H2257*H2257</f>
        <v>0.25</v>
      </c>
      <c r="X2257" s="0" t="n">
        <f aca="false">SUMPRODUCT(I2257:W2257,_XtX!$B$96:$P$96)</f>
        <v>42.5937408625731</v>
      </c>
      <c r="Y2257" s="0" t="n">
        <f aca="false">SUMPRODUCT(MMULT(I2257:W2257,_XtX!$B$78:$P$92),I2257:W2257)</f>
        <v>0.459125719572369</v>
      </c>
      <c r="Z2257" s="0" t="n">
        <f aca="false">04_回帰ANOVA!$K$19*04_回帰ANOVA!$K$14*SQRT(1+Y2257)</f>
        <v>1.57450755575573</v>
      </c>
      <c r="AA2257" s="0" t="n">
        <f aca="false">X2257-Z2257</f>
        <v>41.0192333068173</v>
      </c>
      <c r="AB2257" s="0" t="n">
        <f aca="false">X2257+Z2257</f>
        <v>44.1682484183288</v>
      </c>
      <c r="AC2257" s="54" t="b">
        <f aca="false">AND(E2257&gt;=01_因子設定!$L$5-0.000000001,E2257&lt;=01_因子設定!$M$5+0.000000001,F2257&gt;=01_因子設定!$L$6-0.000000001,F2257&lt;=01_因子設定!$M$6+0.000000001,G2257&gt;=01_因子設定!$L$7-0.000000001,G2257&lt;=01_因子設定!$M$7+0.000000001,H2257&gt;=01_因子設定!$L$8-0.000000001,H2257&lt;=01_因子設定!$M$8+0.000000001,IF(01_因子設定!$B$20="Box-Behnken",E2257^2+F2257^2+G2257^2+H2257^2&lt;=2+0.000000001,TRUE()))</f>
        <v>1</v>
      </c>
      <c r="AD2257" s="55" t="n">
        <f aca="false">IF(AC2257,IF(01_因子設定!$B$13="最大化",AA2257-01_因子設定!$B$14,IF(01_因子設定!$B$13="最小化",01_因子設定!$B$15-AB2257,MIN(AA2257-01_因子設定!$B$14,01_因子設定!$B$15-AB2257))),-1E+030)</f>
        <v>-5.48076669318268</v>
      </c>
      <c r="AE2257" s="55" t="n">
        <f aca="false">IF(AC2257,IF(01_因子設定!$B$13="最大化",X2257,IF(01_因子設定!$B$13="最小化",-X2257,-ABS(X2257-01_因子設定!$B$16))),-1E+030)</f>
        <v>42.5937408625731</v>
      </c>
      <c r="AF2257" s="55" t="n">
        <f aca="false">AD2257+ROW()*0.000000001</f>
        <v>-5.48076443618268</v>
      </c>
      <c r="AG2257" s="55" t="n">
        <f aca="false">AE2257+ROW()*0.000000001</f>
        <v>42.5937431195731</v>
      </c>
    </row>
    <row r="2258" customFormat="false" ht="15" hidden="false" customHeight="false" outlineLevel="0" collapsed="false">
      <c r="A2258" s="0" t="n">
        <v>3</v>
      </c>
      <c r="B2258" s="0" t="n">
        <v>0</v>
      </c>
      <c r="C2258" s="0" t="n">
        <v>7</v>
      </c>
      <c r="D2258" s="0" t="n">
        <v>3</v>
      </c>
      <c r="E2258" s="0" t="n">
        <f aca="false">-1+A2258*0.25</f>
        <v>-0.25</v>
      </c>
      <c r="F2258" s="0" t="n">
        <f aca="false">-1+B2258*0.25</f>
        <v>-1</v>
      </c>
      <c r="G2258" s="0" t="n">
        <f aca="false">-1+C2258*0.25</f>
        <v>0.75</v>
      </c>
      <c r="H2258" s="0" t="n">
        <f aca="false">-1+D2258*0.25</f>
        <v>-0.25</v>
      </c>
      <c r="I2258" s="0" t="n">
        <f aca="false">1</f>
        <v>1</v>
      </c>
      <c r="J2258" s="0" t="n">
        <f aca="false">E2258</f>
        <v>-0.25</v>
      </c>
      <c r="K2258" s="0" t="n">
        <f aca="false">F2258</f>
        <v>-1</v>
      </c>
      <c r="L2258" s="0" t="n">
        <f aca="false">G2258</f>
        <v>0.75</v>
      </c>
      <c r="M2258" s="0" t="n">
        <f aca="false">H2258</f>
        <v>-0.25</v>
      </c>
      <c r="N2258" s="0" t="n">
        <f aca="false">E2258*F2258</f>
        <v>0.25</v>
      </c>
      <c r="O2258" s="0" t="n">
        <f aca="false">E2258*G2258</f>
        <v>-0.1875</v>
      </c>
      <c r="P2258" s="0" t="n">
        <f aca="false">E2258*H2258</f>
        <v>0.0625</v>
      </c>
      <c r="Q2258" s="0" t="n">
        <f aca="false">F2258*G2258</f>
        <v>-0.75</v>
      </c>
      <c r="R2258" s="0" t="n">
        <f aca="false">F2258*H2258</f>
        <v>0.25</v>
      </c>
      <c r="S2258" s="0" t="n">
        <f aca="false">G2258*H2258</f>
        <v>-0.1875</v>
      </c>
      <c r="T2258" s="0" t="n">
        <f aca="false">E2258*E2258</f>
        <v>0.0625</v>
      </c>
      <c r="U2258" s="0" t="n">
        <f aca="false">F2258*F2258</f>
        <v>1</v>
      </c>
      <c r="V2258" s="0" t="n">
        <f aca="false">G2258*G2258</f>
        <v>0.5625</v>
      </c>
      <c r="W2258" s="0" t="n">
        <f aca="false">H2258*H2258</f>
        <v>0.0625</v>
      </c>
      <c r="X2258" s="0" t="n">
        <f aca="false">SUMPRODUCT(I2258:W2258,_XtX!$B$96:$P$96)</f>
        <v>42.8660590277777</v>
      </c>
      <c r="Y2258" s="0" t="n">
        <f aca="false">SUMPRODUCT(MMULT(I2258:W2258,_XtX!$B$78:$P$92),I2258:W2258)</f>
        <v>0.486409505208334</v>
      </c>
      <c r="Z2258" s="0" t="n">
        <f aca="false">04_回帰ANOVA!$K$19*04_回帰ANOVA!$K$14*SQRT(1+Y2258)</f>
        <v>1.58916001665498</v>
      </c>
      <c r="AA2258" s="0" t="n">
        <f aca="false">X2258-Z2258</f>
        <v>41.2768990111227</v>
      </c>
      <c r="AB2258" s="0" t="n">
        <f aca="false">X2258+Z2258</f>
        <v>44.4552190444327</v>
      </c>
      <c r="AC2258" s="54" t="b">
        <f aca="false">AND(E2258&gt;=01_因子設定!$L$5-0.000000001,E2258&lt;=01_因子設定!$M$5+0.000000001,F2258&gt;=01_因子設定!$L$6-0.000000001,F2258&lt;=01_因子設定!$M$6+0.000000001,G2258&gt;=01_因子設定!$L$7-0.000000001,G2258&lt;=01_因子設定!$M$7+0.000000001,H2258&gt;=01_因子設定!$L$8-0.000000001,H2258&lt;=01_因子設定!$M$8+0.000000001,IF(01_因子設定!$B$20="Box-Behnken",E2258^2+F2258^2+G2258^2+H2258^2&lt;=2+0.000000001,TRUE()))</f>
        <v>1</v>
      </c>
      <c r="AD2258" s="55" t="n">
        <f aca="false">IF(AC2258,IF(01_因子設定!$B$13="最大化",AA2258-01_因子設定!$B$14,IF(01_因子設定!$B$13="最小化",01_因子設定!$B$15-AB2258,MIN(AA2258-01_因子設定!$B$14,01_因子設定!$B$15-AB2258))),-1E+030)</f>
        <v>-5.22310098887726</v>
      </c>
      <c r="AE2258" s="55" t="n">
        <f aca="false">IF(AC2258,IF(01_因子設定!$B$13="最大化",X2258,IF(01_因子設定!$B$13="最小化",-X2258,-ABS(X2258-01_因子設定!$B$16))),-1E+030)</f>
        <v>42.8660590277777</v>
      </c>
      <c r="AF2258" s="55" t="n">
        <f aca="false">AD2258+ROW()*0.000000001</f>
        <v>-5.22309873087726</v>
      </c>
      <c r="AG2258" s="55" t="n">
        <f aca="false">AE2258+ROW()*0.000000001</f>
        <v>42.8660612857777</v>
      </c>
    </row>
    <row r="2259" customFormat="false" ht="15" hidden="false" customHeight="false" outlineLevel="0" collapsed="false">
      <c r="A2259" s="0" t="n">
        <v>3</v>
      </c>
      <c r="B2259" s="0" t="n">
        <v>0</v>
      </c>
      <c r="C2259" s="0" t="n">
        <v>7</v>
      </c>
      <c r="D2259" s="0" t="n">
        <v>4</v>
      </c>
      <c r="E2259" s="0" t="n">
        <f aca="false">-1+A2259*0.25</f>
        <v>-0.25</v>
      </c>
      <c r="F2259" s="0" t="n">
        <f aca="false">-1+B2259*0.25</f>
        <v>-1</v>
      </c>
      <c r="G2259" s="0" t="n">
        <f aca="false">-1+C2259*0.25</f>
        <v>0.75</v>
      </c>
      <c r="H2259" s="0" t="n">
        <f aca="false">-1+D2259*0.25</f>
        <v>0</v>
      </c>
      <c r="I2259" s="0" t="n">
        <f aca="false">1</f>
        <v>1</v>
      </c>
      <c r="J2259" s="0" t="n">
        <f aca="false">E2259</f>
        <v>-0.25</v>
      </c>
      <c r="K2259" s="0" t="n">
        <f aca="false">F2259</f>
        <v>-1</v>
      </c>
      <c r="L2259" s="0" t="n">
        <f aca="false">G2259</f>
        <v>0.75</v>
      </c>
      <c r="M2259" s="0" t="n">
        <f aca="false">H2259</f>
        <v>0</v>
      </c>
      <c r="N2259" s="0" t="n">
        <f aca="false">E2259*F2259</f>
        <v>0.25</v>
      </c>
      <c r="O2259" s="0" t="n">
        <f aca="false">E2259*G2259</f>
        <v>-0.1875</v>
      </c>
      <c r="P2259" s="0" t="n">
        <f aca="false">E2259*H2259</f>
        <v>-0</v>
      </c>
      <c r="Q2259" s="0" t="n">
        <f aca="false">F2259*G2259</f>
        <v>-0.75</v>
      </c>
      <c r="R2259" s="0" t="n">
        <f aca="false">F2259*H2259</f>
        <v>-0</v>
      </c>
      <c r="S2259" s="0" t="n">
        <f aca="false">G2259*H2259</f>
        <v>0</v>
      </c>
      <c r="T2259" s="0" t="n">
        <f aca="false">E2259*E2259</f>
        <v>0.0625</v>
      </c>
      <c r="U2259" s="0" t="n">
        <f aca="false">F2259*F2259</f>
        <v>1</v>
      </c>
      <c r="V2259" s="0" t="n">
        <f aca="false">G2259*G2259</f>
        <v>0.5625</v>
      </c>
      <c r="W2259" s="0" t="n">
        <f aca="false">H2259*H2259</f>
        <v>0</v>
      </c>
      <c r="X2259" s="0" t="n">
        <f aca="false">SUMPRODUCT(I2259:W2259,_XtX!$B$96:$P$96)</f>
        <v>43.0905701754385</v>
      </c>
      <c r="Y2259" s="0" t="n">
        <f aca="false">SUMPRODUCT(MMULT(I2259:W2259,_XtX!$B$78:$P$92),I2259:W2259)</f>
        <v>0.501534802174708</v>
      </c>
      <c r="Z2259" s="0" t="n">
        <f aca="false">04_回帰ANOVA!$K$19*04_回帰ANOVA!$K$14*SQRT(1+Y2259)</f>
        <v>1.59722498091333</v>
      </c>
      <c r="AA2259" s="0" t="n">
        <f aca="false">X2259-Z2259</f>
        <v>41.4933451945252</v>
      </c>
      <c r="AB2259" s="0" t="n">
        <f aca="false">X2259+Z2259</f>
        <v>44.6877951563519</v>
      </c>
      <c r="AC2259" s="54" t="b">
        <f aca="false">AND(E2259&gt;=01_因子設定!$L$5-0.000000001,E2259&lt;=01_因子設定!$M$5+0.000000001,F2259&gt;=01_因子設定!$L$6-0.000000001,F2259&lt;=01_因子設定!$M$6+0.000000001,G2259&gt;=01_因子設定!$L$7-0.000000001,G2259&lt;=01_因子設定!$M$7+0.000000001,H2259&gt;=01_因子設定!$L$8-0.000000001,H2259&lt;=01_因子設定!$M$8+0.000000001,IF(01_因子設定!$B$20="Box-Behnken",E2259^2+F2259^2+G2259^2+H2259^2&lt;=2+0.000000001,TRUE()))</f>
        <v>1</v>
      </c>
      <c r="AD2259" s="55" t="n">
        <f aca="false">IF(AC2259,IF(01_因子設定!$B$13="最大化",AA2259-01_因子設定!$B$14,IF(01_因子設定!$B$13="最小化",01_因子設定!$B$15-AB2259,MIN(AA2259-01_因子設定!$B$14,01_因子設定!$B$15-AB2259))),-1E+030)</f>
        <v>-5.0066548054748</v>
      </c>
      <c r="AE2259" s="55" t="n">
        <f aca="false">IF(AC2259,IF(01_因子設定!$B$13="最大化",X2259,IF(01_因子設定!$B$13="最小化",-X2259,-ABS(X2259-01_因子設定!$B$16))),-1E+030)</f>
        <v>43.0905701754385</v>
      </c>
      <c r="AF2259" s="55" t="n">
        <f aca="false">AD2259+ROW()*0.000000001</f>
        <v>-5.0066525464748</v>
      </c>
      <c r="AG2259" s="55" t="n">
        <f aca="false">AE2259+ROW()*0.000000001</f>
        <v>43.0905724344385</v>
      </c>
    </row>
    <row r="2260" customFormat="false" ht="15" hidden="false" customHeight="false" outlineLevel="0" collapsed="false">
      <c r="A2260" s="0" t="n">
        <v>3</v>
      </c>
      <c r="B2260" s="0" t="n">
        <v>0</v>
      </c>
      <c r="C2260" s="0" t="n">
        <v>7</v>
      </c>
      <c r="D2260" s="0" t="n">
        <v>5</v>
      </c>
      <c r="E2260" s="0" t="n">
        <f aca="false">-1+A2260*0.25</f>
        <v>-0.25</v>
      </c>
      <c r="F2260" s="0" t="n">
        <f aca="false">-1+B2260*0.25</f>
        <v>-1</v>
      </c>
      <c r="G2260" s="0" t="n">
        <f aca="false">-1+C2260*0.25</f>
        <v>0.75</v>
      </c>
      <c r="H2260" s="0" t="n">
        <f aca="false">-1+D2260*0.25</f>
        <v>0.25</v>
      </c>
      <c r="I2260" s="0" t="n">
        <f aca="false">1</f>
        <v>1</v>
      </c>
      <c r="J2260" s="0" t="n">
        <f aca="false">E2260</f>
        <v>-0.25</v>
      </c>
      <c r="K2260" s="0" t="n">
        <f aca="false">F2260</f>
        <v>-1</v>
      </c>
      <c r="L2260" s="0" t="n">
        <f aca="false">G2260</f>
        <v>0.75</v>
      </c>
      <c r="M2260" s="0" t="n">
        <f aca="false">H2260</f>
        <v>0.25</v>
      </c>
      <c r="N2260" s="0" t="n">
        <f aca="false">E2260*F2260</f>
        <v>0.25</v>
      </c>
      <c r="O2260" s="0" t="n">
        <f aca="false">E2260*G2260</f>
        <v>-0.1875</v>
      </c>
      <c r="P2260" s="0" t="n">
        <f aca="false">E2260*H2260</f>
        <v>-0.0625</v>
      </c>
      <c r="Q2260" s="0" t="n">
        <f aca="false">F2260*G2260</f>
        <v>-0.75</v>
      </c>
      <c r="R2260" s="0" t="n">
        <f aca="false">F2260*H2260</f>
        <v>-0.25</v>
      </c>
      <c r="S2260" s="0" t="n">
        <f aca="false">G2260*H2260</f>
        <v>0.1875</v>
      </c>
      <c r="T2260" s="0" t="n">
        <f aca="false">E2260*E2260</f>
        <v>0.0625</v>
      </c>
      <c r="U2260" s="0" t="n">
        <f aca="false">F2260*F2260</f>
        <v>1</v>
      </c>
      <c r="V2260" s="0" t="n">
        <f aca="false">G2260*G2260</f>
        <v>0.5625</v>
      </c>
      <c r="W2260" s="0" t="n">
        <f aca="false">H2260*H2260</f>
        <v>0.0625</v>
      </c>
      <c r="X2260" s="0" t="n">
        <f aca="false">SUMPRODUCT(I2260:W2260,_XtX!$B$96:$P$96)</f>
        <v>43.2672743055555</v>
      </c>
      <c r="Y2260" s="0" t="n">
        <f aca="false">SUMPRODUCT(MMULT(I2260:W2260,_XtX!$B$78:$P$92),I2260:W2260)</f>
        <v>0.486409505208334</v>
      </c>
      <c r="Z2260" s="0" t="n">
        <f aca="false">04_回帰ANOVA!$K$19*04_回帰ANOVA!$K$14*SQRT(1+Y2260)</f>
        <v>1.58916001665498</v>
      </c>
      <c r="AA2260" s="0" t="n">
        <f aca="false">X2260-Z2260</f>
        <v>41.6781142889005</v>
      </c>
      <c r="AB2260" s="0" t="n">
        <f aca="false">X2260+Z2260</f>
        <v>44.8564343222105</v>
      </c>
      <c r="AC2260" s="54" t="b">
        <f aca="false">AND(E2260&gt;=01_因子設定!$L$5-0.000000001,E2260&lt;=01_因子設定!$M$5+0.000000001,F2260&gt;=01_因子設定!$L$6-0.000000001,F2260&lt;=01_因子設定!$M$6+0.000000001,G2260&gt;=01_因子設定!$L$7-0.000000001,G2260&lt;=01_因子設定!$M$7+0.000000001,H2260&gt;=01_因子設定!$L$8-0.000000001,H2260&lt;=01_因子設定!$M$8+0.000000001,IF(01_因子設定!$B$20="Box-Behnken",E2260^2+F2260^2+G2260^2+H2260^2&lt;=2+0.000000001,TRUE()))</f>
        <v>1</v>
      </c>
      <c r="AD2260" s="55" t="n">
        <f aca="false">IF(AC2260,IF(01_因子設定!$B$13="最大化",AA2260-01_因子設定!$B$14,IF(01_因子設定!$B$13="最小化",01_因子設定!$B$15-AB2260,MIN(AA2260-01_因子設定!$B$14,01_因子設定!$B$15-AB2260))),-1E+030)</f>
        <v>-4.82188571109948</v>
      </c>
      <c r="AE2260" s="55" t="n">
        <f aca="false">IF(AC2260,IF(01_因子設定!$B$13="最大化",X2260,IF(01_因子設定!$B$13="最小化",-X2260,-ABS(X2260-01_因子設定!$B$16))),-1E+030)</f>
        <v>43.2672743055555</v>
      </c>
      <c r="AF2260" s="55" t="n">
        <f aca="false">AD2260+ROW()*0.000000001</f>
        <v>-4.82188345109948</v>
      </c>
      <c r="AG2260" s="55" t="n">
        <f aca="false">AE2260+ROW()*0.000000001</f>
        <v>43.2672765655555</v>
      </c>
    </row>
    <row r="2261" customFormat="false" ht="15" hidden="false" customHeight="false" outlineLevel="0" collapsed="false">
      <c r="A2261" s="0" t="n">
        <v>3</v>
      </c>
      <c r="B2261" s="0" t="n">
        <v>0</v>
      </c>
      <c r="C2261" s="0" t="n">
        <v>7</v>
      </c>
      <c r="D2261" s="0" t="n">
        <v>6</v>
      </c>
      <c r="E2261" s="0" t="n">
        <f aca="false">-1+A2261*0.25</f>
        <v>-0.25</v>
      </c>
      <c r="F2261" s="0" t="n">
        <f aca="false">-1+B2261*0.25</f>
        <v>-1</v>
      </c>
      <c r="G2261" s="0" t="n">
        <f aca="false">-1+C2261*0.25</f>
        <v>0.75</v>
      </c>
      <c r="H2261" s="0" t="n">
        <f aca="false">-1+D2261*0.25</f>
        <v>0.5</v>
      </c>
      <c r="I2261" s="0" t="n">
        <f aca="false">1</f>
        <v>1</v>
      </c>
      <c r="J2261" s="0" t="n">
        <f aca="false">E2261</f>
        <v>-0.25</v>
      </c>
      <c r="K2261" s="0" t="n">
        <f aca="false">F2261</f>
        <v>-1</v>
      </c>
      <c r="L2261" s="0" t="n">
        <f aca="false">G2261</f>
        <v>0.75</v>
      </c>
      <c r="M2261" s="0" t="n">
        <f aca="false">H2261</f>
        <v>0.5</v>
      </c>
      <c r="N2261" s="0" t="n">
        <f aca="false">E2261*F2261</f>
        <v>0.25</v>
      </c>
      <c r="O2261" s="0" t="n">
        <f aca="false">E2261*G2261</f>
        <v>-0.1875</v>
      </c>
      <c r="P2261" s="0" t="n">
        <f aca="false">E2261*H2261</f>
        <v>-0.125</v>
      </c>
      <c r="Q2261" s="0" t="n">
        <f aca="false">F2261*G2261</f>
        <v>-0.75</v>
      </c>
      <c r="R2261" s="0" t="n">
        <f aca="false">F2261*H2261</f>
        <v>-0.5</v>
      </c>
      <c r="S2261" s="0" t="n">
        <f aca="false">G2261*H2261</f>
        <v>0.375</v>
      </c>
      <c r="T2261" s="0" t="n">
        <f aca="false">E2261*E2261</f>
        <v>0.0625</v>
      </c>
      <c r="U2261" s="0" t="n">
        <f aca="false">F2261*F2261</f>
        <v>1</v>
      </c>
      <c r="V2261" s="0" t="n">
        <f aca="false">G2261*G2261</f>
        <v>0.5625</v>
      </c>
      <c r="W2261" s="0" t="n">
        <f aca="false">H2261*H2261</f>
        <v>0.25</v>
      </c>
      <c r="X2261" s="0" t="n">
        <f aca="false">SUMPRODUCT(I2261:W2261,_XtX!$B$96:$P$96)</f>
        <v>43.3961714181286</v>
      </c>
      <c r="Y2261" s="0" t="n">
        <f aca="false">SUMPRODUCT(MMULT(I2261:W2261,_XtX!$B$78:$P$92),I2261:W2261)</f>
        <v>0.459125719572369</v>
      </c>
      <c r="Z2261" s="0" t="n">
        <f aca="false">04_回帰ANOVA!$K$19*04_回帰ANOVA!$K$14*SQRT(1+Y2261)</f>
        <v>1.57450755575573</v>
      </c>
      <c r="AA2261" s="0" t="n">
        <f aca="false">X2261-Z2261</f>
        <v>41.8216638623729</v>
      </c>
      <c r="AB2261" s="0" t="n">
        <f aca="false">X2261+Z2261</f>
        <v>44.9706789738843</v>
      </c>
      <c r="AC2261" s="54" t="b">
        <f aca="false">AND(E2261&gt;=01_因子設定!$L$5-0.000000001,E2261&lt;=01_因子設定!$M$5+0.000000001,F2261&gt;=01_因子設定!$L$6-0.000000001,F2261&lt;=01_因子設定!$M$6+0.000000001,G2261&gt;=01_因子設定!$L$7-0.000000001,G2261&lt;=01_因子設定!$M$7+0.000000001,H2261&gt;=01_因子設定!$L$8-0.000000001,H2261&lt;=01_因子設定!$M$8+0.000000001,IF(01_因子設定!$B$20="Box-Behnken",E2261^2+F2261^2+G2261^2+H2261^2&lt;=2+0.000000001,TRUE()))</f>
        <v>1</v>
      </c>
      <c r="AD2261" s="55" t="n">
        <f aca="false">IF(AC2261,IF(01_因子設定!$B$13="最大化",AA2261-01_因子設定!$B$14,IF(01_因子設定!$B$13="最小化",01_因子設定!$B$15-AB2261,MIN(AA2261-01_因子設定!$B$14,01_因子設定!$B$15-AB2261))),-1E+030)</f>
        <v>-4.67833613762713</v>
      </c>
      <c r="AE2261" s="55" t="n">
        <f aca="false">IF(AC2261,IF(01_因子設定!$B$13="最大化",X2261,IF(01_因子設定!$B$13="最小化",-X2261,-ABS(X2261-01_因子設定!$B$16))),-1E+030)</f>
        <v>43.3961714181286</v>
      </c>
      <c r="AF2261" s="55" t="n">
        <f aca="false">AD2261+ROW()*0.000000001</f>
        <v>-4.67833387662713</v>
      </c>
      <c r="AG2261" s="55" t="n">
        <f aca="false">AE2261+ROW()*0.000000001</f>
        <v>43.3961736791286</v>
      </c>
    </row>
    <row r="2262" customFormat="false" ht="15" hidden="false" customHeight="false" outlineLevel="0" collapsed="false">
      <c r="A2262" s="0" t="n">
        <v>3</v>
      </c>
      <c r="B2262" s="0" t="n">
        <v>0</v>
      </c>
      <c r="C2262" s="0" t="n">
        <v>7</v>
      </c>
      <c r="D2262" s="0" t="n">
        <v>7</v>
      </c>
      <c r="E2262" s="0" t="n">
        <f aca="false">-1+A2262*0.25</f>
        <v>-0.25</v>
      </c>
      <c r="F2262" s="0" t="n">
        <f aca="false">-1+B2262*0.25</f>
        <v>-1</v>
      </c>
      <c r="G2262" s="0" t="n">
        <f aca="false">-1+C2262*0.25</f>
        <v>0.75</v>
      </c>
      <c r="H2262" s="0" t="n">
        <f aca="false">-1+D2262*0.25</f>
        <v>0.75</v>
      </c>
      <c r="I2262" s="0" t="n">
        <f aca="false">1</f>
        <v>1</v>
      </c>
      <c r="J2262" s="0" t="n">
        <f aca="false">E2262</f>
        <v>-0.25</v>
      </c>
      <c r="K2262" s="0" t="n">
        <f aca="false">F2262</f>
        <v>-1</v>
      </c>
      <c r="L2262" s="0" t="n">
        <f aca="false">G2262</f>
        <v>0.75</v>
      </c>
      <c r="M2262" s="0" t="n">
        <f aca="false">H2262</f>
        <v>0.75</v>
      </c>
      <c r="N2262" s="0" t="n">
        <f aca="false">E2262*F2262</f>
        <v>0.25</v>
      </c>
      <c r="O2262" s="0" t="n">
        <f aca="false">E2262*G2262</f>
        <v>-0.1875</v>
      </c>
      <c r="P2262" s="0" t="n">
        <f aca="false">E2262*H2262</f>
        <v>-0.1875</v>
      </c>
      <c r="Q2262" s="0" t="n">
        <f aca="false">F2262*G2262</f>
        <v>-0.75</v>
      </c>
      <c r="R2262" s="0" t="n">
        <f aca="false">F2262*H2262</f>
        <v>-0.75</v>
      </c>
      <c r="S2262" s="0" t="n">
        <f aca="false">G2262*H2262</f>
        <v>0.5625</v>
      </c>
      <c r="T2262" s="0" t="n">
        <f aca="false">E2262*E2262</f>
        <v>0.0625</v>
      </c>
      <c r="U2262" s="0" t="n">
        <f aca="false">F2262*F2262</f>
        <v>1</v>
      </c>
      <c r="V2262" s="0" t="n">
        <f aca="false">G2262*G2262</f>
        <v>0.5625</v>
      </c>
      <c r="W2262" s="0" t="n">
        <f aca="false">H2262*H2262</f>
        <v>0.5625</v>
      </c>
      <c r="X2262" s="0" t="n">
        <f aca="false">SUMPRODUCT(I2262:W2262,_XtX!$B$96:$P$96)</f>
        <v>43.4772615131579</v>
      </c>
      <c r="Y2262" s="0" t="n">
        <f aca="false">SUMPRODUCT(MMULT(I2262:W2262,_XtX!$B$78:$P$92),I2262:W2262)</f>
        <v>0.473959761056287</v>
      </c>
      <c r="Z2262" s="0" t="n">
        <f aca="false">04_回帰ANOVA!$K$19*04_回帰ANOVA!$K$14*SQRT(1+Y2262)</f>
        <v>1.58249084588329</v>
      </c>
      <c r="AA2262" s="0" t="n">
        <f aca="false">X2262-Z2262</f>
        <v>41.8947706672746</v>
      </c>
      <c r="AB2262" s="0" t="n">
        <f aca="false">X2262+Z2262</f>
        <v>45.0597523590411</v>
      </c>
      <c r="AC2262" s="54" t="b">
        <f aca="false">AND(E2262&gt;=01_因子設定!$L$5-0.000000001,E2262&lt;=01_因子設定!$M$5+0.000000001,F2262&gt;=01_因子設定!$L$6-0.000000001,F2262&lt;=01_因子設定!$M$6+0.000000001,G2262&gt;=01_因子設定!$L$7-0.000000001,G2262&lt;=01_因子設定!$M$7+0.000000001,H2262&gt;=01_因子設定!$L$8-0.000000001,H2262&lt;=01_因子設定!$M$8+0.000000001,IF(01_因子設定!$B$20="Box-Behnken",E2262^2+F2262^2+G2262^2+H2262^2&lt;=2+0.000000001,TRUE()))</f>
        <v>1</v>
      </c>
      <c r="AD2262" s="55" t="n">
        <f aca="false">IF(AC2262,IF(01_因子設定!$B$13="最大化",AA2262-01_因子設定!$B$14,IF(01_因子設定!$B$13="最小化",01_因子設定!$B$15-AB2262,MIN(AA2262-01_因子設定!$B$14,01_因子設定!$B$15-AB2262))),-1E+030)</f>
        <v>-4.60522933272543</v>
      </c>
      <c r="AE2262" s="55" t="n">
        <f aca="false">IF(AC2262,IF(01_因子設定!$B$13="最大化",X2262,IF(01_因子設定!$B$13="最小化",-X2262,-ABS(X2262-01_因子設定!$B$16))),-1E+030)</f>
        <v>43.4772615131579</v>
      </c>
      <c r="AF2262" s="55" t="n">
        <f aca="false">AD2262+ROW()*0.000000001</f>
        <v>-4.60522707072543</v>
      </c>
      <c r="AG2262" s="55" t="n">
        <f aca="false">AE2262+ROW()*0.000000001</f>
        <v>43.4772637751579</v>
      </c>
    </row>
    <row r="2263" customFormat="false" ht="15" hidden="false" customHeight="false" outlineLevel="0" collapsed="false">
      <c r="A2263" s="0" t="n">
        <v>3</v>
      </c>
      <c r="B2263" s="0" t="n">
        <v>0</v>
      </c>
      <c r="C2263" s="0" t="n">
        <v>7</v>
      </c>
      <c r="D2263" s="0" t="n">
        <v>8</v>
      </c>
      <c r="E2263" s="0" t="n">
        <f aca="false">-1+A2263*0.25</f>
        <v>-0.25</v>
      </c>
      <c r="F2263" s="0" t="n">
        <f aca="false">-1+B2263*0.25</f>
        <v>-1</v>
      </c>
      <c r="G2263" s="0" t="n">
        <f aca="false">-1+C2263*0.25</f>
        <v>0.75</v>
      </c>
      <c r="H2263" s="0" t="n">
        <f aca="false">-1+D2263*0.25</f>
        <v>1</v>
      </c>
      <c r="I2263" s="0" t="n">
        <f aca="false">1</f>
        <v>1</v>
      </c>
      <c r="J2263" s="0" t="n">
        <f aca="false">E2263</f>
        <v>-0.25</v>
      </c>
      <c r="K2263" s="0" t="n">
        <f aca="false">F2263</f>
        <v>-1</v>
      </c>
      <c r="L2263" s="0" t="n">
        <f aca="false">G2263</f>
        <v>0.75</v>
      </c>
      <c r="M2263" s="0" t="n">
        <f aca="false">H2263</f>
        <v>1</v>
      </c>
      <c r="N2263" s="0" t="n">
        <f aca="false">E2263*F2263</f>
        <v>0.25</v>
      </c>
      <c r="O2263" s="0" t="n">
        <f aca="false">E2263*G2263</f>
        <v>-0.1875</v>
      </c>
      <c r="P2263" s="0" t="n">
        <f aca="false">E2263*H2263</f>
        <v>-0.25</v>
      </c>
      <c r="Q2263" s="0" t="n">
        <f aca="false">F2263*G2263</f>
        <v>-0.75</v>
      </c>
      <c r="R2263" s="0" t="n">
        <f aca="false">F2263*H2263</f>
        <v>-1</v>
      </c>
      <c r="S2263" s="0" t="n">
        <f aca="false">G2263*H2263</f>
        <v>0.75</v>
      </c>
      <c r="T2263" s="0" t="n">
        <f aca="false">E2263*E2263</f>
        <v>0.0625</v>
      </c>
      <c r="U2263" s="0" t="n">
        <f aca="false">F2263*F2263</f>
        <v>1</v>
      </c>
      <c r="V2263" s="0" t="n">
        <f aca="false">G2263*G2263</f>
        <v>0.5625</v>
      </c>
      <c r="W2263" s="0" t="n">
        <f aca="false">H2263*H2263</f>
        <v>1</v>
      </c>
      <c r="X2263" s="0" t="n">
        <f aca="false">SUMPRODUCT(I2263:W2263,_XtX!$B$96:$P$96)</f>
        <v>43.5105445906433</v>
      </c>
      <c r="Y2263" s="0" t="n">
        <f aca="false">SUMPRODUCT(MMULT(I2263:W2263,_XtX!$B$78:$P$92),I2263:W2263)</f>
        <v>0.621372155975877</v>
      </c>
      <c r="Z2263" s="0" t="n">
        <f aca="false">04_回帰ANOVA!$K$19*04_回帰ANOVA!$K$14*SQRT(1+Y2263)</f>
        <v>1.65973880499872</v>
      </c>
      <c r="AA2263" s="0" t="n">
        <f aca="false">X2263-Z2263</f>
        <v>41.8508057856445</v>
      </c>
      <c r="AB2263" s="0" t="n">
        <f aca="false">X2263+Z2263</f>
        <v>45.170283395642</v>
      </c>
      <c r="AC2263" s="54" t="b">
        <f aca="false">AND(E2263&gt;=01_因子設定!$L$5-0.000000001,E2263&lt;=01_因子設定!$M$5+0.000000001,F2263&gt;=01_因子設定!$L$6-0.000000001,F2263&lt;=01_因子設定!$M$6+0.000000001,G2263&gt;=01_因子設定!$L$7-0.000000001,G2263&lt;=01_因子設定!$M$7+0.000000001,H2263&gt;=01_因子設定!$L$8-0.000000001,H2263&lt;=01_因子設定!$M$8+0.000000001,IF(01_因子設定!$B$20="Box-Behnken",E2263^2+F2263^2+G2263^2+H2263^2&lt;=2+0.000000001,TRUE()))</f>
        <v>1</v>
      </c>
      <c r="AD2263" s="55" t="n">
        <f aca="false">IF(AC2263,IF(01_因子設定!$B$13="最大化",AA2263-01_因子設定!$B$14,IF(01_因子設定!$B$13="最小化",01_因子設定!$B$15-AB2263,MIN(AA2263-01_因子設定!$B$14,01_因子設定!$B$15-AB2263))),-1E+030)</f>
        <v>-4.64919421435547</v>
      </c>
      <c r="AE2263" s="55" t="n">
        <f aca="false">IF(AC2263,IF(01_因子設定!$B$13="最大化",X2263,IF(01_因子設定!$B$13="最小化",-X2263,-ABS(X2263-01_因子設定!$B$16))),-1E+030)</f>
        <v>43.5105445906433</v>
      </c>
      <c r="AF2263" s="55" t="n">
        <f aca="false">AD2263+ROW()*0.000000001</f>
        <v>-4.64919195135547</v>
      </c>
      <c r="AG2263" s="55" t="n">
        <f aca="false">AE2263+ROW()*0.000000001</f>
        <v>43.5105468536433</v>
      </c>
    </row>
    <row r="2264" customFormat="false" ht="15" hidden="false" customHeight="false" outlineLevel="0" collapsed="false">
      <c r="A2264" s="0" t="n">
        <v>3</v>
      </c>
      <c r="B2264" s="0" t="n">
        <v>0</v>
      </c>
      <c r="C2264" s="0" t="n">
        <v>8</v>
      </c>
      <c r="D2264" s="0" t="n">
        <v>0</v>
      </c>
      <c r="E2264" s="0" t="n">
        <f aca="false">-1+A2264*0.25</f>
        <v>-0.25</v>
      </c>
      <c r="F2264" s="0" t="n">
        <f aca="false">-1+B2264*0.25</f>
        <v>-1</v>
      </c>
      <c r="G2264" s="0" t="n">
        <f aca="false">-1+C2264*0.25</f>
        <v>1</v>
      </c>
      <c r="H2264" s="0" t="n">
        <f aca="false">-1+D2264*0.25</f>
        <v>-1</v>
      </c>
      <c r="I2264" s="0" t="n">
        <f aca="false">1</f>
        <v>1</v>
      </c>
      <c r="J2264" s="0" t="n">
        <f aca="false">E2264</f>
        <v>-0.25</v>
      </c>
      <c r="K2264" s="0" t="n">
        <f aca="false">F2264</f>
        <v>-1</v>
      </c>
      <c r="L2264" s="0" t="n">
        <f aca="false">G2264</f>
        <v>1</v>
      </c>
      <c r="M2264" s="0" t="n">
        <f aca="false">H2264</f>
        <v>-1</v>
      </c>
      <c r="N2264" s="0" t="n">
        <f aca="false">E2264*F2264</f>
        <v>0.25</v>
      </c>
      <c r="O2264" s="0" t="n">
        <f aca="false">E2264*G2264</f>
        <v>-0.25</v>
      </c>
      <c r="P2264" s="0" t="n">
        <f aca="false">E2264*H2264</f>
        <v>0.25</v>
      </c>
      <c r="Q2264" s="0" t="n">
        <f aca="false">F2264*G2264</f>
        <v>-1</v>
      </c>
      <c r="R2264" s="0" t="n">
        <f aca="false">F2264*H2264</f>
        <v>1</v>
      </c>
      <c r="S2264" s="0" t="n">
        <f aca="false">G2264*H2264</f>
        <v>-1</v>
      </c>
      <c r="T2264" s="0" t="n">
        <f aca="false">E2264*E2264</f>
        <v>0.0625</v>
      </c>
      <c r="U2264" s="0" t="n">
        <f aca="false">F2264*F2264</f>
        <v>1</v>
      </c>
      <c r="V2264" s="0" t="n">
        <f aca="false">G2264*G2264</f>
        <v>1</v>
      </c>
      <c r="W2264" s="0" t="n">
        <f aca="false">H2264*H2264</f>
        <v>1</v>
      </c>
      <c r="X2264" s="0" t="n">
        <f aca="false">SUMPRODUCT(I2264:W2264,_XtX!$B$96:$P$96)</f>
        <v>41.743567251462</v>
      </c>
      <c r="Y2264" s="0" t="n">
        <f aca="false">SUMPRODUCT(MMULT(I2264:W2264,_XtX!$B$78:$P$92),I2264:W2264)</f>
        <v>0.737093384502924</v>
      </c>
      <c r="Z2264" s="0" t="n">
        <f aca="false">04_回帰ANOVA!$K$19*04_回帰ANOVA!$K$14*SQRT(1+Y2264)</f>
        <v>1.71794784853551</v>
      </c>
      <c r="AA2264" s="0" t="n">
        <f aca="false">X2264-Z2264</f>
        <v>40.0256194029265</v>
      </c>
      <c r="AB2264" s="0" t="n">
        <f aca="false">X2264+Z2264</f>
        <v>43.4615150999975</v>
      </c>
      <c r="AC2264" s="54" t="b">
        <f aca="false">AND(E2264&gt;=01_因子設定!$L$5-0.000000001,E2264&lt;=01_因子設定!$M$5+0.000000001,F2264&gt;=01_因子設定!$L$6-0.000000001,F2264&lt;=01_因子設定!$M$6+0.000000001,G2264&gt;=01_因子設定!$L$7-0.000000001,G2264&lt;=01_因子設定!$M$7+0.000000001,H2264&gt;=01_因子設定!$L$8-0.000000001,H2264&lt;=01_因子設定!$M$8+0.000000001,IF(01_因子設定!$B$20="Box-Behnken",E2264^2+F2264^2+G2264^2+H2264^2&lt;=2+0.000000001,TRUE()))</f>
        <v>1</v>
      </c>
      <c r="AD2264" s="55" t="n">
        <f aca="false">IF(AC2264,IF(01_因子設定!$B$13="最大化",AA2264-01_因子設定!$B$14,IF(01_因子設定!$B$13="最小化",01_因子設定!$B$15-AB2264,MIN(AA2264-01_因子設定!$B$14,01_因子設定!$B$15-AB2264))),-1E+030)</f>
        <v>-6.47438059707353</v>
      </c>
      <c r="AE2264" s="55" t="n">
        <f aca="false">IF(AC2264,IF(01_因子設定!$B$13="最大化",X2264,IF(01_因子設定!$B$13="最小化",-X2264,-ABS(X2264-01_因子設定!$B$16))),-1E+030)</f>
        <v>41.743567251462</v>
      </c>
      <c r="AF2264" s="55" t="n">
        <f aca="false">AD2264+ROW()*0.000000001</f>
        <v>-6.47437833307353</v>
      </c>
      <c r="AG2264" s="55" t="n">
        <f aca="false">AE2264+ROW()*0.000000001</f>
        <v>41.743569515462</v>
      </c>
    </row>
    <row r="2265" customFormat="false" ht="15" hidden="false" customHeight="false" outlineLevel="0" collapsed="false">
      <c r="A2265" s="0" t="n">
        <v>3</v>
      </c>
      <c r="B2265" s="0" t="n">
        <v>0</v>
      </c>
      <c r="C2265" s="0" t="n">
        <v>8</v>
      </c>
      <c r="D2265" s="0" t="n">
        <v>1</v>
      </c>
      <c r="E2265" s="0" t="n">
        <f aca="false">-1+A2265*0.25</f>
        <v>-0.25</v>
      </c>
      <c r="F2265" s="0" t="n">
        <f aca="false">-1+B2265*0.25</f>
        <v>-1</v>
      </c>
      <c r="G2265" s="0" t="n">
        <f aca="false">-1+C2265*0.25</f>
        <v>1</v>
      </c>
      <c r="H2265" s="0" t="n">
        <f aca="false">-1+D2265*0.25</f>
        <v>-0.75</v>
      </c>
      <c r="I2265" s="0" t="n">
        <f aca="false">1</f>
        <v>1</v>
      </c>
      <c r="J2265" s="0" t="n">
        <f aca="false">E2265</f>
        <v>-0.25</v>
      </c>
      <c r="K2265" s="0" t="n">
        <f aca="false">F2265</f>
        <v>-1</v>
      </c>
      <c r="L2265" s="0" t="n">
        <f aca="false">G2265</f>
        <v>1</v>
      </c>
      <c r="M2265" s="0" t="n">
        <f aca="false">H2265</f>
        <v>-0.75</v>
      </c>
      <c r="N2265" s="0" t="n">
        <f aca="false">E2265*F2265</f>
        <v>0.25</v>
      </c>
      <c r="O2265" s="0" t="n">
        <f aca="false">E2265*G2265</f>
        <v>-0.25</v>
      </c>
      <c r="P2265" s="0" t="n">
        <f aca="false">E2265*H2265</f>
        <v>0.1875</v>
      </c>
      <c r="Q2265" s="0" t="n">
        <f aca="false">F2265*G2265</f>
        <v>-1</v>
      </c>
      <c r="R2265" s="0" t="n">
        <f aca="false">F2265*H2265</f>
        <v>0.75</v>
      </c>
      <c r="S2265" s="0" t="n">
        <f aca="false">G2265*H2265</f>
        <v>-0.75</v>
      </c>
      <c r="T2265" s="0" t="n">
        <f aca="false">E2265*E2265</f>
        <v>0.0625</v>
      </c>
      <c r="U2265" s="0" t="n">
        <f aca="false">F2265*F2265</f>
        <v>1</v>
      </c>
      <c r="V2265" s="0" t="n">
        <f aca="false">G2265*G2265</f>
        <v>1</v>
      </c>
      <c r="W2265" s="0" t="n">
        <f aca="false">H2265*H2265</f>
        <v>0.5625</v>
      </c>
      <c r="X2265" s="0" t="n">
        <f aca="false">SUMPRODUCT(I2265:W2265,_XtX!$B$96:$P$96)</f>
        <v>42.1294682017544</v>
      </c>
      <c r="Y2265" s="0" t="n">
        <f aca="false">SUMPRODUCT(MMULT(I2265:W2265,_XtX!$B$78:$P$92),I2265:W2265)</f>
        <v>0.621372155975877</v>
      </c>
      <c r="Z2265" s="0" t="n">
        <f aca="false">04_回帰ANOVA!$K$19*04_回帰ANOVA!$K$14*SQRT(1+Y2265)</f>
        <v>1.65973880499872</v>
      </c>
      <c r="AA2265" s="0" t="n">
        <f aca="false">X2265-Z2265</f>
        <v>40.4697293967556</v>
      </c>
      <c r="AB2265" s="0" t="n">
        <f aca="false">X2265+Z2265</f>
        <v>43.7892070067531</v>
      </c>
      <c r="AC2265" s="54" t="b">
        <f aca="false">AND(E2265&gt;=01_因子設定!$L$5-0.000000001,E2265&lt;=01_因子設定!$M$5+0.000000001,F2265&gt;=01_因子設定!$L$6-0.000000001,F2265&lt;=01_因子設定!$M$6+0.000000001,G2265&gt;=01_因子設定!$L$7-0.000000001,G2265&lt;=01_因子設定!$M$7+0.000000001,H2265&gt;=01_因子設定!$L$8-0.000000001,H2265&lt;=01_因子設定!$M$8+0.000000001,IF(01_因子設定!$B$20="Box-Behnken",E2265^2+F2265^2+G2265^2+H2265^2&lt;=2+0.000000001,TRUE()))</f>
        <v>1</v>
      </c>
      <c r="AD2265" s="55" t="n">
        <f aca="false">IF(AC2265,IF(01_因子設定!$B$13="最大化",AA2265-01_因子設定!$B$14,IF(01_因子設定!$B$13="最小化",01_因子設定!$B$15-AB2265,MIN(AA2265-01_因子設定!$B$14,01_因子設定!$B$15-AB2265))),-1E+030)</f>
        <v>-6.03027060324437</v>
      </c>
      <c r="AE2265" s="55" t="n">
        <f aca="false">IF(AC2265,IF(01_因子設定!$B$13="最大化",X2265,IF(01_因子設定!$B$13="最小化",-X2265,-ABS(X2265-01_因子設定!$B$16))),-1E+030)</f>
        <v>42.1294682017544</v>
      </c>
      <c r="AF2265" s="55" t="n">
        <f aca="false">AD2265+ROW()*0.000000001</f>
        <v>-6.03026833824437</v>
      </c>
      <c r="AG2265" s="55" t="n">
        <f aca="false">AE2265+ROW()*0.000000001</f>
        <v>42.1294704667544</v>
      </c>
    </row>
    <row r="2266" customFormat="false" ht="15" hidden="false" customHeight="false" outlineLevel="0" collapsed="false">
      <c r="A2266" s="0" t="n">
        <v>3</v>
      </c>
      <c r="B2266" s="0" t="n">
        <v>0</v>
      </c>
      <c r="C2266" s="0" t="n">
        <v>8</v>
      </c>
      <c r="D2266" s="0" t="n">
        <v>2</v>
      </c>
      <c r="E2266" s="0" t="n">
        <f aca="false">-1+A2266*0.25</f>
        <v>-0.25</v>
      </c>
      <c r="F2266" s="0" t="n">
        <f aca="false">-1+B2266*0.25</f>
        <v>-1</v>
      </c>
      <c r="G2266" s="0" t="n">
        <f aca="false">-1+C2266*0.25</f>
        <v>1</v>
      </c>
      <c r="H2266" s="0" t="n">
        <f aca="false">-1+D2266*0.25</f>
        <v>-0.5</v>
      </c>
      <c r="I2266" s="0" t="n">
        <f aca="false">1</f>
        <v>1</v>
      </c>
      <c r="J2266" s="0" t="n">
        <f aca="false">E2266</f>
        <v>-0.25</v>
      </c>
      <c r="K2266" s="0" t="n">
        <f aca="false">F2266</f>
        <v>-1</v>
      </c>
      <c r="L2266" s="0" t="n">
        <f aca="false">G2266</f>
        <v>1</v>
      </c>
      <c r="M2266" s="0" t="n">
        <f aca="false">H2266</f>
        <v>-0.5</v>
      </c>
      <c r="N2266" s="0" t="n">
        <f aca="false">E2266*F2266</f>
        <v>0.25</v>
      </c>
      <c r="O2266" s="0" t="n">
        <f aca="false">E2266*G2266</f>
        <v>-0.25</v>
      </c>
      <c r="P2266" s="0" t="n">
        <f aca="false">E2266*H2266</f>
        <v>0.125</v>
      </c>
      <c r="Q2266" s="0" t="n">
        <f aca="false">F2266*G2266</f>
        <v>-1</v>
      </c>
      <c r="R2266" s="0" t="n">
        <f aca="false">F2266*H2266</f>
        <v>0.5</v>
      </c>
      <c r="S2266" s="0" t="n">
        <f aca="false">G2266*H2266</f>
        <v>-0.5</v>
      </c>
      <c r="T2266" s="0" t="n">
        <f aca="false">E2266*E2266</f>
        <v>0.0625</v>
      </c>
      <c r="U2266" s="0" t="n">
        <f aca="false">F2266*F2266</f>
        <v>1</v>
      </c>
      <c r="V2266" s="0" t="n">
        <f aca="false">G2266*G2266</f>
        <v>1</v>
      </c>
      <c r="W2266" s="0" t="n">
        <f aca="false">H2266*H2266</f>
        <v>0.25</v>
      </c>
      <c r="X2266" s="0" t="n">
        <f aca="false">SUMPRODUCT(I2266:W2266,_XtX!$B$96:$P$96)</f>
        <v>42.4675621345029</v>
      </c>
      <c r="Y2266" s="0" t="n">
        <f aca="false">SUMPRODUCT(MMULT(I2266:W2266,_XtX!$B$78:$P$92),I2266:W2266)</f>
        <v>0.629174661915205</v>
      </c>
      <c r="Z2266" s="0" t="n">
        <f aca="false">04_回帰ANOVA!$K$19*04_回帰ANOVA!$K$14*SQRT(1+Y2266)</f>
        <v>1.66372758058297</v>
      </c>
      <c r="AA2266" s="0" t="n">
        <f aca="false">X2266-Z2266</f>
        <v>40.8038345539199</v>
      </c>
      <c r="AB2266" s="0" t="n">
        <f aca="false">X2266+Z2266</f>
        <v>44.1312897150859</v>
      </c>
      <c r="AC2266" s="54" t="b">
        <f aca="false">AND(E2266&gt;=01_因子設定!$L$5-0.000000001,E2266&lt;=01_因子設定!$M$5+0.000000001,F2266&gt;=01_因子設定!$L$6-0.000000001,F2266&lt;=01_因子設定!$M$6+0.000000001,G2266&gt;=01_因子設定!$L$7-0.000000001,G2266&lt;=01_因子設定!$M$7+0.000000001,H2266&gt;=01_因子設定!$L$8-0.000000001,H2266&lt;=01_因子設定!$M$8+0.000000001,IF(01_因子設定!$B$20="Box-Behnken",E2266^2+F2266^2+G2266^2+H2266^2&lt;=2+0.000000001,TRUE()))</f>
        <v>1</v>
      </c>
      <c r="AD2266" s="55" t="n">
        <f aca="false">IF(AC2266,IF(01_因子設定!$B$13="最大化",AA2266-01_因子設定!$B$14,IF(01_因子設定!$B$13="最小化",01_因子設定!$B$15-AB2266,MIN(AA2266-01_因子設定!$B$14,01_因子設定!$B$15-AB2266))),-1E+030)</f>
        <v>-5.69616544608009</v>
      </c>
      <c r="AE2266" s="55" t="n">
        <f aca="false">IF(AC2266,IF(01_因子設定!$B$13="最大化",X2266,IF(01_因子設定!$B$13="最小化",-X2266,-ABS(X2266-01_因子設定!$B$16))),-1E+030)</f>
        <v>42.4675621345029</v>
      </c>
      <c r="AF2266" s="55" t="n">
        <f aca="false">AD2266+ROW()*0.000000001</f>
        <v>-5.69616318008009</v>
      </c>
      <c r="AG2266" s="55" t="n">
        <f aca="false">AE2266+ROW()*0.000000001</f>
        <v>42.4675644005029</v>
      </c>
    </row>
    <row r="2267" customFormat="false" ht="15" hidden="false" customHeight="false" outlineLevel="0" collapsed="false">
      <c r="A2267" s="0" t="n">
        <v>3</v>
      </c>
      <c r="B2267" s="0" t="n">
        <v>0</v>
      </c>
      <c r="C2267" s="0" t="n">
        <v>8</v>
      </c>
      <c r="D2267" s="0" t="n">
        <v>3</v>
      </c>
      <c r="E2267" s="0" t="n">
        <f aca="false">-1+A2267*0.25</f>
        <v>-0.25</v>
      </c>
      <c r="F2267" s="0" t="n">
        <f aca="false">-1+B2267*0.25</f>
        <v>-1</v>
      </c>
      <c r="G2267" s="0" t="n">
        <f aca="false">-1+C2267*0.25</f>
        <v>1</v>
      </c>
      <c r="H2267" s="0" t="n">
        <f aca="false">-1+D2267*0.25</f>
        <v>-0.25</v>
      </c>
      <c r="I2267" s="0" t="n">
        <f aca="false">1</f>
        <v>1</v>
      </c>
      <c r="J2267" s="0" t="n">
        <f aca="false">E2267</f>
        <v>-0.25</v>
      </c>
      <c r="K2267" s="0" t="n">
        <f aca="false">F2267</f>
        <v>-1</v>
      </c>
      <c r="L2267" s="0" t="n">
        <f aca="false">G2267</f>
        <v>1</v>
      </c>
      <c r="M2267" s="0" t="n">
        <f aca="false">H2267</f>
        <v>-0.25</v>
      </c>
      <c r="N2267" s="0" t="n">
        <f aca="false">E2267*F2267</f>
        <v>0.25</v>
      </c>
      <c r="O2267" s="0" t="n">
        <f aca="false">E2267*G2267</f>
        <v>-0.25</v>
      </c>
      <c r="P2267" s="0" t="n">
        <f aca="false">E2267*H2267</f>
        <v>0.0625</v>
      </c>
      <c r="Q2267" s="0" t="n">
        <f aca="false">F2267*G2267</f>
        <v>-1</v>
      </c>
      <c r="R2267" s="0" t="n">
        <f aca="false">F2267*H2267</f>
        <v>0.25</v>
      </c>
      <c r="S2267" s="0" t="n">
        <f aca="false">G2267*H2267</f>
        <v>-0.25</v>
      </c>
      <c r="T2267" s="0" t="n">
        <f aca="false">E2267*E2267</f>
        <v>0.0625</v>
      </c>
      <c r="U2267" s="0" t="n">
        <f aca="false">F2267*F2267</f>
        <v>1</v>
      </c>
      <c r="V2267" s="0" t="n">
        <f aca="false">G2267*G2267</f>
        <v>1</v>
      </c>
      <c r="W2267" s="0" t="n">
        <f aca="false">H2267*H2267</f>
        <v>0.0625</v>
      </c>
      <c r="X2267" s="0" t="n">
        <f aca="false">SUMPRODUCT(I2267:W2267,_XtX!$B$96:$P$96)</f>
        <v>42.7578490497075</v>
      </c>
      <c r="Y2267" s="0" t="n">
        <f aca="false">SUMPRODUCT(MMULT(I2267:W2267,_XtX!$B$78:$P$92),I2267:W2267)</f>
        <v>0.670040376005117</v>
      </c>
      <c r="Z2267" s="0" t="n">
        <f aca="false">04_回帰ANOVA!$K$19*04_回帰ANOVA!$K$14*SQRT(1+Y2267)</f>
        <v>1.68446456039992</v>
      </c>
      <c r="AA2267" s="0" t="n">
        <f aca="false">X2267-Z2267</f>
        <v>41.0733844893076</v>
      </c>
      <c r="AB2267" s="0" t="n">
        <f aca="false">X2267+Z2267</f>
        <v>44.4423136101075</v>
      </c>
      <c r="AC2267" s="54" t="b">
        <f aca="false">AND(E2267&gt;=01_因子設定!$L$5-0.000000001,E2267&lt;=01_因子設定!$M$5+0.000000001,F2267&gt;=01_因子設定!$L$6-0.000000001,F2267&lt;=01_因子設定!$M$6+0.000000001,G2267&gt;=01_因子設定!$L$7-0.000000001,G2267&lt;=01_因子設定!$M$7+0.000000001,H2267&gt;=01_因子設定!$L$8-0.000000001,H2267&lt;=01_因子設定!$M$8+0.000000001,IF(01_因子設定!$B$20="Box-Behnken",E2267^2+F2267^2+G2267^2+H2267^2&lt;=2+0.000000001,TRUE()))</f>
        <v>1</v>
      </c>
      <c r="AD2267" s="55" t="n">
        <f aca="false">IF(AC2267,IF(01_因子設定!$B$13="最大化",AA2267-01_因子設定!$B$14,IF(01_因子設定!$B$13="最小化",01_因子設定!$B$15-AB2267,MIN(AA2267-01_因子設定!$B$14,01_因子設定!$B$15-AB2267))),-1E+030)</f>
        <v>-5.42661551069237</v>
      </c>
      <c r="AE2267" s="55" t="n">
        <f aca="false">IF(AC2267,IF(01_因子設定!$B$13="最大化",X2267,IF(01_因子設定!$B$13="最小化",-X2267,-ABS(X2267-01_因子設定!$B$16))),-1E+030)</f>
        <v>42.7578490497075</v>
      </c>
      <c r="AF2267" s="55" t="n">
        <f aca="false">AD2267+ROW()*0.000000001</f>
        <v>-5.42661324369237</v>
      </c>
      <c r="AG2267" s="55" t="n">
        <f aca="false">AE2267+ROW()*0.000000001</f>
        <v>42.7578513167075</v>
      </c>
    </row>
    <row r="2268" customFormat="false" ht="15" hidden="false" customHeight="false" outlineLevel="0" collapsed="false">
      <c r="A2268" s="0" t="n">
        <v>3</v>
      </c>
      <c r="B2268" s="0" t="n">
        <v>0</v>
      </c>
      <c r="C2268" s="0" t="n">
        <v>8</v>
      </c>
      <c r="D2268" s="0" t="n">
        <v>4</v>
      </c>
      <c r="E2268" s="0" t="n">
        <f aca="false">-1+A2268*0.25</f>
        <v>-0.25</v>
      </c>
      <c r="F2268" s="0" t="n">
        <f aca="false">-1+B2268*0.25</f>
        <v>-1</v>
      </c>
      <c r="G2268" s="0" t="n">
        <f aca="false">-1+C2268*0.25</f>
        <v>1</v>
      </c>
      <c r="H2268" s="0" t="n">
        <f aca="false">-1+D2268*0.25</f>
        <v>0</v>
      </c>
      <c r="I2268" s="0" t="n">
        <f aca="false">1</f>
        <v>1</v>
      </c>
      <c r="J2268" s="0" t="n">
        <f aca="false">E2268</f>
        <v>-0.25</v>
      </c>
      <c r="K2268" s="0" t="n">
        <f aca="false">F2268</f>
        <v>-1</v>
      </c>
      <c r="L2268" s="0" t="n">
        <f aca="false">G2268</f>
        <v>1</v>
      </c>
      <c r="M2268" s="0" t="n">
        <f aca="false">H2268</f>
        <v>0</v>
      </c>
      <c r="N2268" s="0" t="n">
        <f aca="false">E2268*F2268</f>
        <v>0.25</v>
      </c>
      <c r="O2268" s="0" t="n">
        <f aca="false">E2268*G2268</f>
        <v>-0.25</v>
      </c>
      <c r="P2268" s="0" t="n">
        <f aca="false">E2268*H2268</f>
        <v>-0</v>
      </c>
      <c r="Q2268" s="0" t="n">
        <f aca="false">F2268*G2268</f>
        <v>-1</v>
      </c>
      <c r="R2268" s="0" t="n">
        <f aca="false">F2268*H2268</f>
        <v>-0</v>
      </c>
      <c r="S2268" s="0" t="n">
        <f aca="false">G2268*H2268</f>
        <v>0</v>
      </c>
      <c r="T2268" s="0" t="n">
        <f aca="false">E2268*E2268</f>
        <v>0.0625</v>
      </c>
      <c r="U2268" s="0" t="n">
        <f aca="false">F2268*F2268</f>
        <v>1</v>
      </c>
      <c r="V2268" s="0" t="n">
        <f aca="false">G2268*G2268</f>
        <v>1</v>
      </c>
      <c r="W2268" s="0" t="n">
        <f aca="false">H2268*H2268</f>
        <v>0</v>
      </c>
      <c r="X2268" s="0" t="n">
        <f aca="false">SUMPRODUCT(I2268:W2268,_XtX!$B$96:$P$96)</f>
        <v>43.0003289473684</v>
      </c>
      <c r="Y2268" s="0" t="n">
        <f aca="false">SUMPRODUCT(MMULT(I2268:W2268,_XtX!$B$78:$P$92),I2268:W2268)</f>
        <v>0.689692982456141</v>
      </c>
      <c r="Z2268" s="0" t="n">
        <f aca="false">04_回帰ANOVA!$K$19*04_回帰ANOVA!$K$14*SQRT(1+Y2268)</f>
        <v>1.69434674594998</v>
      </c>
      <c r="AA2268" s="0" t="n">
        <f aca="false">X2268-Z2268</f>
        <v>41.3059822014184</v>
      </c>
      <c r="AB2268" s="0" t="n">
        <f aca="false">X2268+Z2268</f>
        <v>44.6946756933184</v>
      </c>
      <c r="AC2268" s="54" t="b">
        <f aca="false">AND(E2268&gt;=01_因子設定!$L$5-0.000000001,E2268&lt;=01_因子設定!$M$5+0.000000001,F2268&gt;=01_因子設定!$L$6-0.000000001,F2268&lt;=01_因子設定!$M$6+0.000000001,G2268&gt;=01_因子設定!$L$7-0.000000001,G2268&lt;=01_因子設定!$M$7+0.000000001,H2268&gt;=01_因子設定!$L$8-0.000000001,H2268&lt;=01_因子設定!$M$8+0.000000001,IF(01_因子設定!$B$20="Box-Behnken",E2268^2+F2268^2+G2268^2+H2268^2&lt;=2+0.000000001,TRUE()))</f>
        <v>1</v>
      </c>
      <c r="AD2268" s="55" t="n">
        <f aca="false">IF(AC2268,IF(01_因子設定!$B$13="最大化",AA2268-01_因子設定!$B$14,IF(01_因子設定!$B$13="最小化",01_因子設定!$B$15-AB2268,MIN(AA2268-01_因子設定!$B$14,01_因子設定!$B$15-AB2268))),-1E+030)</f>
        <v>-5.19401779858162</v>
      </c>
      <c r="AE2268" s="55" t="n">
        <f aca="false">IF(AC2268,IF(01_因子設定!$B$13="最大化",X2268,IF(01_因子設定!$B$13="最小化",-X2268,-ABS(X2268-01_因子設定!$B$16))),-1E+030)</f>
        <v>43.0003289473684</v>
      </c>
      <c r="AF2268" s="55" t="n">
        <f aca="false">AD2268+ROW()*0.000000001</f>
        <v>-5.19401553058162</v>
      </c>
      <c r="AG2268" s="55" t="n">
        <f aca="false">AE2268+ROW()*0.000000001</f>
        <v>43.0003312153684</v>
      </c>
    </row>
    <row r="2269" customFormat="false" ht="15" hidden="false" customHeight="false" outlineLevel="0" collapsed="false">
      <c r="A2269" s="0" t="n">
        <v>3</v>
      </c>
      <c r="B2269" s="0" t="n">
        <v>0</v>
      </c>
      <c r="C2269" s="0" t="n">
        <v>8</v>
      </c>
      <c r="D2269" s="0" t="n">
        <v>5</v>
      </c>
      <c r="E2269" s="0" t="n">
        <f aca="false">-1+A2269*0.25</f>
        <v>-0.25</v>
      </c>
      <c r="F2269" s="0" t="n">
        <f aca="false">-1+B2269*0.25</f>
        <v>-1</v>
      </c>
      <c r="G2269" s="0" t="n">
        <f aca="false">-1+C2269*0.25</f>
        <v>1</v>
      </c>
      <c r="H2269" s="0" t="n">
        <f aca="false">-1+D2269*0.25</f>
        <v>0.25</v>
      </c>
      <c r="I2269" s="0" t="n">
        <f aca="false">1</f>
        <v>1</v>
      </c>
      <c r="J2269" s="0" t="n">
        <f aca="false">E2269</f>
        <v>-0.25</v>
      </c>
      <c r="K2269" s="0" t="n">
        <f aca="false">F2269</f>
        <v>-1</v>
      </c>
      <c r="L2269" s="0" t="n">
        <f aca="false">G2269</f>
        <v>1</v>
      </c>
      <c r="M2269" s="0" t="n">
        <f aca="false">H2269</f>
        <v>0.25</v>
      </c>
      <c r="N2269" s="0" t="n">
        <f aca="false">E2269*F2269</f>
        <v>0.25</v>
      </c>
      <c r="O2269" s="0" t="n">
        <f aca="false">E2269*G2269</f>
        <v>-0.25</v>
      </c>
      <c r="P2269" s="0" t="n">
        <f aca="false">E2269*H2269</f>
        <v>-0.0625</v>
      </c>
      <c r="Q2269" s="0" t="n">
        <f aca="false">F2269*G2269</f>
        <v>-1</v>
      </c>
      <c r="R2269" s="0" t="n">
        <f aca="false">F2269*H2269</f>
        <v>-0.25</v>
      </c>
      <c r="S2269" s="0" t="n">
        <f aca="false">G2269*H2269</f>
        <v>0.25</v>
      </c>
      <c r="T2269" s="0" t="n">
        <f aca="false">E2269*E2269</f>
        <v>0.0625</v>
      </c>
      <c r="U2269" s="0" t="n">
        <f aca="false">F2269*F2269</f>
        <v>1</v>
      </c>
      <c r="V2269" s="0" t="n">
        <f aca="false">G2269*G2269</f>
        <v>1</v>
      </c>
      <c r="W2269" s="0" t="n">
        <f aca="false">H2269*H2269</f>
        <v>0.0625</v>
      </c>
      <c r="X2269" s="0" t="n">
        <f aca="false">SUMPRODUCT(I2269:W2269,_XtX!$B$96:$P$96)</f>
        <v>43.1950018274853</v>
      </c>
      <c r="Y2269" s="0" t="n">
        <f aca="false">SUMPRODUCT(MMULT(I2269:W2269,_XtX!$B$78:$P$92),I2269:W2269)</f>
        <v>0.670040376005117</v>
      </c>
      <c r="Z2269" s="0" t="n">
        <f aca="false">04_回帰ANOVA!$K$19*04_回帰ANOVA!$K$14*SQRT(1+Y2269)</f>
        <v>1.68446456039992</v>
      </c>
      <c r="AA2269" s="0" t="n">
        <f aca="false">X2269-Z2269</f>
        <v>41.5105372670854</v>
      </c>
      <c r="AB2269" s="0" t="n">
        <f aca="false">X2269+Z2269</f>
        <v>44.8794663878852</v>
      </c>
      <c r="AC2269" s="54" t="b">
        <f aca="false">AND(E2269&gt;=01_因子設定!$L$5-0.000000001,E2269&lt;=01_因子設定!$M$5+0.000000001,F2269&gt;=01_因子設定!$L$6-0.000000001,F2269&lt;=01_因子設定!$M$6+0.000000001,G2269&gt;=01_因子設定!$L$7-0.000000001,G2269&lt;=01_因子設定!$M$7+0.000000001,H2269&gt;=01_因子設定!$L$8-0.000000001,H2269&lt;=01_因子設定!$M$8+0.000000001,IF(01_因子設定!$B$20="Box-Behnken",E2269^2+F2269^2+G2269^2+H2269^2&lt;=2+0.000000001,TRUE()))</f>
        <v>1</v>
      </c>
      <c r="AD2269" s="55" t="n">
        <f aca="false">IF(AC2269,IF(01_因子設定!$B$13="最大化",AA2269-01_因子設定!$B$14,IF(01_因子設定!$B$13="最小化",01_因子設定!$B$15-AB2269,MIN(AA2269-01_因子設定!$B$14,01_因子設定!$B$15-AB2269))),-1E+030)</f>
        <v>-4.98946273291459</v>
      </c>
      <c r="AE2269" s="55" t="n">
        <f aca="false">IF(AC2269,IF(01_因子設定!$B$13="最大化",X2269,IF(01_因子設定!$B$13="最小化",-X2269,-ABS(X2269-01_因子設定!$B$16))),-1E+030)</f>
        <v>43.1950018274853</v>
      </c>
      <c r="AF2269" s="55" t="n">
        <f aca="false">AD2269+ROW()*0.000000001</f>
        <v>-4.98946046391459</v>
      </c>
      <c r="AG2269" s="55" t="n">
        <f aca="false">AE2269+ROW()*0.000000001</f>
        <v>43.1950040964853</v>
      </c>
    </row>
    <row r="2270" customFormat="false" ht="15" hidden="false" customHeight="false" outlineLevel="0" collapsed="false">
      <c r="A2270" s="0" t="n">
        <v>3</v>
      </c>
      <c r="B2270" s="0" t="n">
        <v>0</v>
      </c>
      <c r="C2270" s="0" t="n">
        <v>8</v>
      </c>
      <c r="D2270" s="0" t="n">
        <v>6</v>
      </c>
      <c r="E2270" s="0" t="n">
        <f aca="false">-1+A2270*0.25</f>
        <v>-0.25</v>
      </c>
      <c r="F2270" s="0" t="n">
        <f aca="false">-1+B2270*0.25</f>
        <v>-1</v>
      </c>
      <c r="G2270" s="0" t="n">
        <f aca="false">-1+C2270*0.25</f>
        <v>1</v>
      </c>
      <c r="H2270" s="0" t="n">
        <f aca="false">-1+D2270*0.25</f>
        <v>0.5</v>
      </c>
      <c r="I2270" s="0" t="n">
        <f aca="false">1</f>
        <v>1</v>
      </c>
      <c r="J2270" s="0" t="n">
        <f aca="false">E2270</f>
        <v>-0.25</v>
      </c>
      <c r="K2270" s="0" t="n">
        <f aca="false">F2270</f>
        <v>-1</v>
      </c>
      <c r="L2270" s="0" t="n">
        <f aca="false">G2270</f>
        <v>1</v>
      </c>
      <c r="M2270" s="0" t="n">
        <f aca="false">H2270</f>
        <v>0.5</v>
      </c>
      <c r="N2270" s="0" t="n">
        <f aca="false">E2270*F2270</f>
        <v>0.25</v>
      </c>
      <c r="O2270" s="0" t="n">
        <f aca="false">E2270*G2270</f>
        <v>-0.25</v>
      </c>
      <c r="P2270" s="0" t="n">
        <f aca="false">E2270*H2270</f>
        <v>-0.125</v>
      </c>
      <c r="Q2270" s="0" t="n">
        <f aca="false">F2270*G2270</f>
        <v>-1</v>
      </c>
      <c r="R2270" s="0" t="n">
        <f aca="false">F2270*H2270</f>
        <v>-0.5</v>
      </c>
      <c r="S2270" s="0" t="n">
        <f aca="false">G2270*H2270</f>
        <v>0.5</v>
      </c>
      <c r="T2270" s="0" t="n">
        <f aca="false">E2270*E2270</f>
        <v>0.0625</v>
      </c>
      <c r="U2270" s="0" t="n">
        <f aca="false">F2270*F2270</f>
        <v>1</v>
      </c>
      <c r="V2270" s="0" t="n">
        <f aca="false">G2270*G2270</f>
        <v>1</v>
      </c>
      <c r="W2270" s="0" t="n">
        <f aca="false">H2270*H2270</f>
        <v>0.25</v>
      </c>
      <c r="X2270" s="0" t="n">
        <f aca="false">SUMPRODUCT(I2270:W2270,_XtX!$B$96:$P$96)</f>
        <v>43.3418676900584</v>
      </c>
      <c r="Y2270" s="0" t="n">
        <f aca="false">SUMPRODUCT(MMULT(I2270:W2270,_XtX!$B$78:$P$92),I2270:W2270)</f>
        <v>0.629174661915205</v>
      </c>
      <c r="Z2270" s="0" t="n">
        <f aca="false">04_回帰ANOVA!$K$19*04_回帰ANOVA!$K$14*SQRT(1+Y2270)</f>
        <v>1.66372758058297</v>
      </c>
      <c r="AA2270" s="0" t="n">
        <f aca="false">X2270-Z2270</f>
        <v>41.6781401094755</v>
      </c>
      <c r="AB2270" s="0" t="n">
        <f aca="false">X2270+Z2270</f>
        <v>45.0055952706414</v>
      </c>
      <c r="AC2270" s="54" t="b">
        <f aca="false">AND(E2270&gt;=01_因子設定!$L$5-0.000000001,E2270&lt;=01_因子設定!$M$5+0.000000001,F2270&gt;=01_因子設定!$L$6-0.000000001,F2270&lt;=01_因子設定!$M$6+0.000000001,G2270&gt;=01_因子設定!$L$7-0.000000001,G2270&lt;=01_因子設定!$M$7+0.000000001,H2270&gt;=01_因子設定!$L$8-0.000000001,H2270&lt;=01_因子設定!$M$8+0.000000001,IF(01_因子設定!$B$20="Box-Behnken",E2270^2+F2270^2+G2270^2+H2270^2&lt;=2+0.000000001,TRUE()))</f>
        <v>1</v>
      </c>
      <c r="AD2270" s="55" t="n">
        <f aca="false">IF(AC2270,IF(01_因子設定!$B$13="最大化",AA2270-01_因子設定!$B$14,IF(01_因子設定!$B$13="最小化",01_因子設定!$B$15-AB2270,MIN(AA2270-01_因子設定!$B$14,01_因子設定!$B$15-AB2270))),-1E+030)</f>
        <v>-4.82185989052454</v>
      </c>
      <c r="AE2270" s="55" t="n">
        <f aca="false">IF(AC2270,IF(01_因子設定!$B$13="最大化",X2270,IF(01_因子設定!$B$13="最小化",-X2270,-ABS(X2270-01_因子設定!$B$16))),-1E+030)</f>
        <v>43.3418676900584</v>
      </c>
      <c r="AF2270" s="55" t="n">
        <f aca="false">AD2270+ROW()*0.000000001</f>
        <v>-4.82185762052454</v>
      </c>
      <c r="AG2270" s="55" t="n">
        <f aca="false">AE2270+ROW()*0.000000001</f>
        <v>43.3418699600584</v>
      </c>
    </row>
    <row r="2271" customFormat="false" ht="15" hidden="false" customHeight="false" outlineLevel="0" collapsed="false">
      <c r="A2271" s="0" t="n">
        <v>3</v>
      </c>
      <c r="B2271" s="0" t="n">
        <v>0</v>
      </c>
      <c r="C2271" s="0" t="n">
        <v>8</v>
      </c>
      <c r="D2271" s="0" t="n">
        <v>7</v>
      </c>
      <c r="E2271" s="0" t="n">
        <f aca="false">-1+A2271*0.25</f>
        <v>-0.25</v>
      </c>
      <c r="F2271" s="0" t="n">
        <f aca="false">-1+B2271*0.25</f>
        <v>-1</v>
      </c>
      <c r="G2271" s="0" t="n">
        <f aca="false">-1+C2271*0.25</f>
        <v>1</v>
      </c>
      <c r="H2271" s="0" t="n">
        <f aca="false">-1+D2271*0.25</f>
        <v>0.75</v>
      </c>
      <c r="I2271" s="0" t="n">
        <f aca="false">1</f>
        <v>1</v>
      </c>
      <c r="J2271" s="0" t="n">
        <f aca="false">E2271</f>
        <v>-0.25</v>
      </c>
      <c r="K2271" s="0" t="n">
        <f aca="false">F2271</f>
        <v>-1</v>
      </c>
      <c r="L2271" s="0" t="n">
        <f aca="false">G2271</f>
        <v>1</v>
      </c>
      <c r="M2271" s="0" t="n">
        <f aca="false">H2271</f>
        <v>0.75</v>
      </c>
      <c r="N2271" s="0" t="n">
        <f aca="false">E2271*F2271</f>
        <v>0.25</v>
      </c>
      <c r="O2271" s="0" t="n">
        <f aca="false">E2271*G2271</f>
        <v>-0.25</v>
      </c>
      <c r="P2271" s="0" t="n">
        <f aca="false">E2271*H2271</f>
        <v>-0.1875</v>
      </c>
      <c r="Q2271" s="0" t="n">
        <f aca="false">F2271*G2271</f>
        <v>-1</v>
      </c>
      <c r="R2271" s="0" t="n">
        <f aca="false">F2271*H2271</f>
        <v>-0.75</v>
      </c>
      <c r="S2271" s="0" t="n">
        <f aca="false">G2271*H2271</f>
        <v>0.75</v>
      </c>
      <c r="T2271" s="0" t="n">
        <f aca="false">E2271*E2271</f>
        <v>0.0625</v>
      </c>
      <c r="U2271" s="0" t="n">
        <f aca="false">F2271*F2271</f>
        <v>1</v>
      </c>
      <c r="V2271" s="0" t="n">
        <f aca="false">G2271*G2271</f>
        <v>1</v>
      </c>
      <c r="W2271" s="0" t="n">
        <f aca="false">H2271*H2271</f>
        <v>0.5625</v>
      </c>
      <c r="X2271" s="0" t="n">
        <f aca="false">SUMPRODUCT(I2271:W2271,_XtX!$B$96:$P$96)</f>
        <v>43.4409265350877</v>
      </c>
      <c r="Y2271" s="0" t="n">
        <f aca="false">SUMPRODUCT(MMULT(I2271:W2271,_XtX!$B$78:$P$92),I2271:W2271)</f>
        <v>0.621372155975877</v>
      </c>
      <c r="Z2271" s="0" t="n">
        <f aca="false">04_回帰ANOVA!$K$19*04_回帰ANOVA!$K$14*SQRT(1+Y2271)</f>
        <v>1.65973880499872</v>
      </c>
      <c r="AA2271" s="0" t="n">
        <f aca="false">X2271-Z2271</f>
        <v>41.781187730089</v>
      </c>
      <c r="AB2271" s="0" t="n">
        <f aca="false">X2271+Z2271</f>
        <v>45.1006653400864</v>
      </c>
      <c r="AC2271" s="54" t="b">
        <f aca="false">AND(E2271&gt;=01_因子設定!$L$5-0.000000001,E2271&lt;=01_因子設定!$M$5+0.000000001,F2271&gt;=01_因子設定!$L$6-0.000000001,F2271&lt;=01_因子設定!$M$6+0.000000001,G2271&gt;=01_因子設定!$L$7-0.000000001,G2271&lt;=01_因子設定!$M$7+0.000000001,H2271&gt;=01_因子設定!$L$8-0.000000001,H2271&lt;=01_因子設定!$M$8+0.000000001,IF(01_因子設定!$B$20="Box-Behnken",E2271^2+F2271^2+G2271^2+H2271^2&lt;=2+0.000000001,TRUE()))</f>
        <v>1</v>
      </c>
      <c r="AD2271" s="55" t="n">
        <f aca="false">IF(AC2271,IF(01_因子設定!$B$13="最大化",AA2271-01_因子設定!$B$14,IF(01_因子設定!$B$13="最小化",01_因子設定!$B$15-AB2271,MIN(AA2271-01_因子設定!$B$14,01_因子設定!$B$15-AB2271))),-1E+030)</f>
        <v>-4.71881226991103</v>
      </c>
      <c r="AE2271" s="55" t="n">
        <f aca="false">IF(AC2271,IF(01_因子設定!$B$13="最大化",X2271,IF(01_因子設定!$B$13="最小化",-X2271,-ABS(X2271-01_因子設定!$B$16))),-1E+030)</f>
        <v>43.4409265350877</v>
      </c>
      <c r="AF2271" s="55" t="n">
        <f aca="false">AD2271+ROW()*0.000000001</f>
        <v>-4.71880999891103</v>
      </c>
      <c r="AG2271" s="55" t="n">
        <f aca="false">AE2271+ROW()*0.000000001</f>
        <v>43.4409288060877</v>
      </c>
    </row>
    <row r="2272" customFormat="false" ht="15" hidden="false" customHeight="false" outlineLevel="0" collapsed="false">
      <c r="A2272" s="0" t="n">
        <v>3</v>
      </c>
      <c r="B2272" s="0" t="n">
        <v>0</v>
      </c>
      <c r="C2272" s="0" t="n">
        <v>8</v>
      </c>
      <c r="D2272" s="0" t="n">
        <v>8</v>
      </c>
      <c r="E2272" s="0" t="n">
        <f aca="false">-1+A2272*0.25</f>
        <v>-0.25</v>
      </c>
      <c r="F2272" s="0" t="n">
        <f aca="false">-1+B2272*0.25</f>
        <v>-1</v>
      </c>
      <c r="G2272" s="0" t="n">
        <f aca="false">-1+C2272*0.25</f>
        <v>1</v>
      </c>
      <c r="H2272" s="0" t="n">
        <f aca="false">-1+D2272*0.25</f>
        <v>1</v>
      </c>
      <c r="I2272" s="0" t="n">
        <f aca="false">1</f>
        <v>1</v>
      </c>
      <c r="J2272" s="0" t="n">
        <f aca="false">E2272</f>
        <v>-0.25</v>
      </c>
      <c r="K2272" s="0" t="n">
        <f aca="false">F2272</f>
        <v>-1</v>
      </c>
      <c r="L2272" s="0" t="n">
        <f aca="false">G2272</f>
        <v>1</v>
      </c>
      <c r="M2272" s="0" t="n">
        <f aca="false">H2272</f>
        <v>1</v>
      </c>
      <c r="N2272" s="0" t="n">
        <f aca="false">E2272*F2272</f>
        <v>0.25</v>
      </c>
      <c r="O2272" s="0" t="n">
        <f aca="false">E2272*G2272</f>
        <v>-0.25</v>
      </c>
      <c r="P2272" s="0" t="n">
        <f aca="false">E2272*H2272</f>
        <v>-0.25</v>
      </c>
      <c r="Q2272" s="0" t="n">
        <f aca="false">F2272*G2272</f>
        <v>-1</v>
      </c>
      <c r="R2272" s="0" t="n">
        <f aca="false">F2272*H2272</f>
        <v>-1</v>
      </c>
      <c r="S2272" s="0" t="n">
        <f aca="false">G2272*H2272</f>
        <v>1</v>
      </c>
      <c r="T2272" s="0" t="n">
        <f aca="false">E2272*E2272</f>
        <v>0.0625</v>
      </c>
      <c r="U2272" s="0" t="n">
        <f aca="false">F2272*F2272</f>
        <v>1</v>
      </c>
      <c r="V2272" s="0" t="n">
        <f aca="false">G2272*G2272</f>
        <v>1</v>
      </c>
      <c r="W2272" s="0" t="n">
        <f aca="false">H2272*H2272</f>
        <v>1</v>
      </c>
      <c r="X2272" s="0" t="n">
        <f aca="false">SUMPRODUCT(I2272:W2272,_XtX!$B$96:$P$96)</f>
        <v>43.4921783625731</v>
      </c>
      <c r="Y2272" s="0" t="n">
        <f aca="false">SUMPRODUCT(MMULT(I2272:W2272,_XtX!$B$78:$P$92),I2272:W2272)</f>
        <v>0.737093384502924</v>
      </c>
      <c r="Z2272" s="0" t="n">
        <f aca="false">04_回帰ANOVA!$K$19*04_回帰ANOVA!$K$14*SQRT(1+Y2272)</f>
        <v>1.71794784853551</v>
      </c>
      <c r="AA2272" s="0" t="n">
        <f aca="false">X2272-Z2272</f>
        <v>41.7742305140376</v>
      </c>
      <c r="AB2272" s="0" t="n">
        <f aca="false">X2272+Z2272</f>
        <v>45.2101262111086</v>
      </c>
      <c r="AC2272" s="54" t="b">
        <f aca="false">AND(E2272&gt;=01_因子設定!$L$5-0.000000001,E2272&lt;=01_因子設定!$M$5+0.000000001,F2272&gt;=01_因子設定!$L$6-0.000000001,F2272&lt;=01_因子設定!$M$6+0.000000001,G2272&gt;=01_因子設定!$L$7-0.000000001,G2272&lt;=01_因子設定!$M$7+0.000000001,H2272&gt;=01_因子設定!$L$8-0.000000001,H2272&lt;=01_因子設定!$M$8+0.000000001,IF(01_因子設定!$B$20="Box-Behnken",E2272^2+F2272^2+G2272^2+H2272^2&lt;=2+0.000000001,TRUE()))</f>
        <v>1</v>
      </c>
      <c r="AD2272" s="55" t="n">
        <f aca="false">IF(AC2272,IF(01_因子設定!$B$13="最大化",AA2272-01_因子設定!$B$14,IF(01_因子設定!$B$13="最小化",01_因子設定!$B$15-AB2272,MIN(AA2272-01_因子設定!$B$14,01_因子設定!$B$15-AB2272))),-1E+030)</f>
        <v>-4.72576948596242</v>
      </c>
      <c r="AE2272" s="55" t="n">
        <f aca="false">IF(AC2272,IF(01_因子設定!$B$13="最大化",X2272,IF(01_因子設定!$B$13="最小化",-X2272,-ABS(X2272-01_因子設定!$B$16))),-1E+030)</f>
        <v>43.4921783625731</v>
      </c>
      <c r="AF2272" s="55" t="n">
        <f aca="false">AD2272+ROW()*0.000000001</f>
        <v>-4.72576721396242</v>
      </c>
      <c r="AG2272" s="55" t="n">
        <f aca="false">AE2272+ROW()*0.000000001</f>
        <v>43.4921806345731</v>
      </c>
    </row>
    <row r="2273" customFormat="false" ht="15" hidden="false" customHeight="false" outlineLevel="0" collapsed="false">
      <c r="A2273" s="0" t="n">
        <v>3</v>
      </c>
      <c r="B2273" s="0" t="n">
        <v>1</v>
      </c>
      <c r="C2273" s="0" t="n">
        <v>0</v>
      </c>
      <c r="D2273" s="0" t="n">
        <v>0</v>
      </c>
      <c r="E2273" s="0" t="n">
        <f aca="false">-1+A2273*0.25</f>
        <v>-0.25</v>
      </c>
      <c r="F2273" s="0" t="n">
        <f aca="false">-1+B2273*0.25</f>
        <v>-0.75</v>
      </c>
      <c r="G2273" s="0" t="n">
        <f aca="false">-1+C2273*0.25</f>
        <v>-1</v>
      </c>
      <c r="H2273" s="0" t="n">
        <f aca="false">-1+D2273*0.25</f>
        <v>-1</v>
      </c>
      <c r="I2273" s="0" t="n">
        <f aca="false">1</f>
        <v>1</v>
      </c>
      <c r="J2273" s="0" t="n">
        <f aca="false">E2273</f>
        <v>-0.25</v>
      </c>
      <c r="K2273" s="0" t="n">
        <f aca="false">F2273</f>
        <v>-0.75</v>
      </c>
      <c r="L2273" s="0" t="n">
        <f aca="false">G2273</f>
        <v>-1</v>
      </c>
      <c r="M2273" s="0" t="n">
        <f aca="false">H2273</f>
        <v>-1</v>
      </c>
      <c r="N2273" s="0" t="n">
        <f aca="false">E2273*F2273</f>
        <v>0.1875</v>
      </c>
      <c r="O2273" s="0" t="n">
        <f aca="false">E2273*G2273</f>
        <v>0.25</v>
      </c>
      <c r="P2273" s="0" t="n">
        <f aca="false">E2273*H2273</f>
        <v>0.25</v>
      </c>
      <c r="Q2273" s="0" t="n">
        <f aca="false">F2273*G2273</f>
        <v>0.75</v>
      </c>
      <c r="R2273" s="0" t="n">
        <f aca="false">F2273*H2273</f>
        <v>0.75</v>
      </c>
      <c r="S2273" s="0" t="n">
        <f aca="false">G2273*H2273</f>
        <v>1</v>
      </c>
      <c r="T2273" s="0" t="n">
        <f aca="false">E2273*E2273</f>
        <v>0.0625</v>
      </c>
      <c r="U2273" s="0" t="n">
        <f aca="false">F2273*F2273</f>
        <v>0.5625</v>
      </c>
      <c r="V2273" s="0" t="n">
        <f aca="false">G2273*G2273</f>
        <v>1</v>
      </c>
      <c r="W2273" s="0" t="n">
        <f aca="false">H2273*H2273</f>
        <v>1</v>
      </c>
      <c r="X2273" s="0" t="n">
        <f aca="false">SUMPRODUCT(I2273:W2273,_XtX!$B$96:$P$96)</f>
        <v>42.2100237573099</v>
      </c>
      <c r="Y2273" s="0" t="n">
        <f aca="false">SUMPRODUCT(MMULT(I2273:W2273,_XtX!$B$78:$P$92),I2273:W2273)</f>
        <v>0.621372155975877</v>
      </c>
      <c r="Z2273" s="0" t="n">
        <f aca="false">04_回帰ANOVA!$K$19*04_回帰ANOVA!$K$14*SQRT(1+Y2273)</f>
        <v>1.65973880499872</v>
      </c>
      <c r="AA2273" s="0" t="n">
        <f aca="false">X2273-Z2273</f>
        <v>40.5502849523112</v>
      </c>
      <c r="AB2273" s="0" t="n">
        <f aca="false">X2273+Z2273</f>
        <v>43.8697625623086</v>
      </c>
      <c r="AC2273" s="54" t="b">
        <f aca="false">AND(E2273&gt;=01_因子設定!$L$5-0.000000001,E2273&lt;=01_因子設定!$M$5+0.000000001,F2273&gt;=01_因子設定!$L$6-0.000000001,F2273&lt;=01_因子設定!$M$6+0.000000001,G2273&gt;=01_因子設定!$L$7-0.000000001,G2273&lt;=01_因子設定!$M$7+0.000000001,H2273&gt;=01_因子設定!$L$8-0.000000001,H2273&lt;=01_因子設定!$M$8+0.000000001,IF(01_因子設定!$B$20="Box-Behnken",E2273^2+F2273^2+G2273^2+H2273^2&lt;=2+0.000000001,TRUE()))</f>
        <v>1</v>
      </c>
      <c r="AD2273" s="55" t="n">
        <f aca="false">IF(AC2273,IF(01_因子設定!$B$13="最大化",AA2273-01_因子設定!$B$14,IF(01_因子設定!$B$13="最小化",01_因子設定!$B$15-AB2273,MIN(AA2273-01_因子設定!$B$14,01_因子設定!$B$15-AB2273))),-1E+030)</f>
        <v>-5.94971504768879</v>
      </c>
      <c r="AE2273" s="55" t="n">
        <f aca="false">IF(AC2273,IF(01_因子設定!$B$13="最大化",X2273,IF(01_因子設定!$B$13="最小化",-X2273,-ABS(X2273-01_因子設定!$B$16))),-1E+030)</f>
        <v>42.2100237573099</v>
      </c>
      <c r="AF2273" s="55" t="n">
        <f aca="false">AD2273+ROW()*0.000000001</f>
        <v>-5.94971277468879</v>
      </c>
      <c r="AG2273" s="55" t="n">
        <f aca="false">AE2273+ROW()*0.000000001</f>
        <v>42.2100260303099</v>
      </c>
    </row>
    <row r="2274" customFormat="false" ht="15" hidden="false" customHeight="false" outlineLevel="0" collapsed="false">
      <c r="A2274" s="0" t="n">
        <v>3</v>
      </c>
      <c r="B2274" s="0" t="n">
        <v>1</v>
      </c>
      <c r="C2274" s="0" t="n">
        <v>0</v>
      </c>
      <c r="D2274" s="0" t="n">
        <v>1</v>
      </c>
      <c r="E2274" s="0" t="n">
        <f aca="false">-1+A2274*0.25</f>
        <v>-0.25</v>
      </c>
      <c r="F2274" s="0" t="n">
        <f aca="false">-1+B2274*0.25</f>
        <v>-0.75</v>
      </c>
      <c r="G2274" s="0" t="n">
        <f aca="false">-1+C2274*0.25</f>
        <v>-1</v>
      </c>
      <c r="H2274" s="0" t="n">
        <f aca="false">-1+D2274*0.25</f>
        <v>-0.75</v>
      </c>
      <c r="I2274" s="0" t="n">
        <f aca="false">1</f>
        <v>1</v>
      </c>
      <c r="J2274" s="0" t="n">
        <f aca="false">E2274</f>
        <v>-0.25</v>
      </c>
      <c r="K2274" s="0" t="n">
        <f aca="false">F2274</f>
        <v>-0.75</v>
      </c>
      <c r="L2274" s="0" t="n">
        <f aca="false">G2274</f>
        <v>-1</v>
      </c>
      <c r="M2274" s="0" t="n">
        <f aca="false">H2274</f>
        <v>-0.75</v>
      </c>
      <c r="N2274" s="0" t="n">
        <f aca="false">E2274*F2274</f>
        <v>0.1875</v>
      </c>
      <c r="O2274" s="0" t="n">
        <f aca="false">E2274*G2274</f>
        <v>0.25</v>
      </c>
      <c r="P2274" s="0" t="n">
        <f aca="false">E2274*H2274</f>
        <v>0.1875</v>
      </c>
      <c r="Q2274" s="0" t="n">
        <f aca="false">F2274*G2274</f>
        <v>0.75</v>
      </c>
      <c r="R2274" s="0" t="n">
        <f aca="false">F2274*H2274</f>
        <v>0.5625</v>
      </c>
      <c r="S2274" s="0" t="n">
        <f aca="false">G2274*H2274</f>
        <v>0.75</v>
      </c>
      <c r="T2274" s="0" t="n">
        <f aca="false">E2274*E2274</f>
        <v>0.0625</v>
      </c>
      <c r="U2274" s="0" t="n">
        <f aca="false">F2274*F2274</f>
        <v>0.5625</v>
      </c>
      <c r="V2274" s="0" t="n">
        <f aca="false">G2274*G2274</f>
        <v>1</v>
      </c>
      <c r="W2274" s="0" t="n">
        <f aca="false">H2274*H2274</f>
        <v>0.5625</v>
      </c>
      <c r="X2274" s="0" t="n">
        <f aca="false">SUMPRODUCT(I2274:W2274,_XtX!$B$96:$P$96)</f>
        <v>42.4388934576023</v>
      </c>
      <c r="Y2274" s="0" t="n">
        <f aca="false">SUMPRODUCT(MMULT(I2274:W2274,_XtX!$B$78:$P$92),I2274:W2274)</f>
        <v>0.473959761056287</v>
      </c>
      <c r="Z2274" s="0" t="n">
        <f aca="false">04_回帰ANOVA!$K$19*04_回帰ANOVA!$K$14*SQRT(1+Y2274)</f>
        <v>1.58249084588329</v>
      </c>
      <c r="AA2274" s="0" t="n">
        <f aca="false">X2274-Z2274</f>
        <v>40.856402611719</v>
      </c>
      <c r="AB2274" s="0" t="n">
        <f aca="false">X2274+Z2274</f>
        <v>44.0213843034856</v>
      </c>
      <c r="AC2274" s="54" t="b">
        <f aca="false">AND(E2274&gt;=01_因子設定!$L$5-0.000000001,E2274&lt;=01_因子設定!$M$5+0.000000001,F2274&gt;=01_因子設定!$L$6-0.000000001,F2274&lt;=01_因子設定!$M$6+0.000000001,G2274&gt;=01_因子設定!$L$7-0.000000001,G2274&lt;=01_因子設定!$M$7+0.000000001,H2274&gt;=01_因子設定!$L$8-0.000000001,H2274&lt;=01_因子設定!$M$8+0.000000001,IF(01_因子設定!$B$20="Box-Behnken",E2274^2+F2274^2+G2274^2+H2274^2&lt;=2+0.000000001,TRUE()))</f>
        <v>1</v>
      </c>
      <c r="AD2274" s="55" t="n">
        <f aca="false">IF(AC2274,IF(01_因子設定!$B$13="最大化",AA2274-01_因子設定!$B$14,IF(01_因子設定!$B$13="最小化",01_因子設定!$B$15-AB2274,MIN(AA2274-01_因子設定!$B$14,01_因子設定!$B$15-AB2274))),-1E+030)</f>
        <v>-5.64359738828098</v>
      </c>
      <c r="AE2274" s="55" t="n">
        <f aca="false">IF(AC2274,IF(01_因子設定!$B$13="最大化",X2274,IF(01_因子設定!$B$13="最小化",-X2274,-ABS(X2274-01_因子設定!$B$16))),-1E+030)</f>
        <v>42.4388934576023</v>
      </c>
      <c r="AF2274" s="55" t="n">
        <f aca="false">AD2274+ROW()*0.000000001</f>
        <v>-5.64359511428098</v>
      </c>
      <c r="AG2274" s="55" t="n">
        <f aca="false">AE2274+ROW()*0.000000001</f>
        <v>42.4388957316023</v>
      </c>
    </row>
    <row r="2275" customFormat="false" ht="15" hidden="false" customHeight="false" outlineLevel="0" collapsed="false">
      <c r="A2275" s="0" t="n">
        <v>3</v>
      </c>
      <c r="B2275" s="0" t="n">
        <v>1</v>
      </c>
      <c r="C2275" s="0" t="n">
        <v>0</v>
      </c>
      <c r="D2275" s="0" t="n">
        <v>2</v>
      </c>
      <c r="E2275" s="0" t="n">
        <f aca="false">-1+A2275*0.25</f>
        <v>-0.25</v>
      </c>
      <c r="F2275" s="0" t="n">
        <f aca="false">-1+B2275*0.25</f>
        <v>-0.75</v>
      </c>
      <c r="G2275" s="0" t="n">
        <f aca="false">-1+C2275*0.25</f>
        <v>-1</v>
      </c>
      <c r="H2275" s="0" t="n">
        <f aca="false">-1+D2275*0.25</f>
        <v>-0.5</v>
      </c>
      <c r="I2275" s="0" t="n">
        <f aca="false">1</f>
        <v>1</v>
      </c>
      <c r="J2275" s="0" t="n">
        <f aca="false">E2275</f>
        <v>-0.25</v>
      </c>
      <c r="K2275" s="0" t="n">
        <f aca="false">F2275</f>
        <v>-0.75</v>
      </c>
      <c r="L2275" s="0" t="n">
        <f aca="false">G2275</f>
        <v>-1</v>
      </c>
      <c r="M2275" s="0" t="n">
        <f aca="false">H2275</f>
        <v>-0.5</v>
      </c>
      <c r="N2275" s="0" t="n">
        <f aca="false">E2275*F2275</f>
        <v>0.1875</v>
      </c>
      <c r="O2275" s="0" t="n">
        <f aca="false">E2275*G2275</f>
        <v>0.25</v>
      </c>
      <c r="P2275" s="0" t="n">
        <f aca="false">E2275*H2275</f>
        <v>0.125</v>
      </c>
      <c r="Q2275" s="0" t="n">
        <f aca="false">F2275*G2275</f>
        <v>0.75</v>
      </c>
      <c r="R2275" s="0" t="n">
        <f aca="false">F2275*H2275</f>
        <v>0.375</v>
      </c>
      <c r="S2275" s="0" t="n">
        <f aca="false">G2275*H2275</f>
        <v>0.5</v>
      </c>
      <c r="T2275" s="0" t="n">
        <f aca="false">E2275*E2275</f>
        <v>0.0625</v>
      </c>
      <c r="U2275" s="0" t="n">
        <f aca="false">F2275*F2275</f>
        <v>0.5625</v>
      </c>
      <c r="V2275" s="0" t="n">
        <f aca="false">G2275*G2275</f>
        <v>1</v>
      </c>
      <c r="W2275" s="0" t="n">
        <f aca="false">H2275*H2275</f>
        <v>0.25</v>
      </c>
      <c r="X2275" s="0" t="n">
        <f aca="false">SUMPRODUCT(I2275:W2275,_XtX!$B$96:$P$96)</f>
        <v>42.6199561403508</v>
      </c>
      <c r="Y2275" s="0" t="n">
        <f aca="false">SUMPRODUCT(MMULT(I2275:W2275,_XtX!$B$78:$P$92),I2275:W2275)</f>
        <v>0.459125719572369</v>
      </c>
      <c r="Z2275" s="0" t="n">
        <f aca="false">04_回帰ANOVA!$K$19*04_回帰ANOVA!$K$14*SQRT(1+Y2275)</f>
        <v>1.57450755575573</v>
      </c>
      <c r="AA2275" s="0" t="n">
        <f aca="false">X2275-Z2275</f>
        <v>41.0454485845951</v>
      </c>
      <c r="AB2275" s="0" t="n">
        <f aca="false">X2275+Z2275</f>
        <v>44.1944636961066</v>
      </c>
      <c r="AC2275" s="54" t="b">
        <f aca="false">AND(E2275&gt;=01_因子設定!$L$5-0.000000001,E2275&lt;=01_因子設定!$M$5+0.000000001,F2275&gt;=01_因子設定!$L$6-0.000000001,F2275&lt;=01_因子設定!$M$6+0.000000001,G2275&gt;=01_因子設定!$L$7-0.000000001,G2275&lt;=01_因子設定!$M$7+0.000000001,H2275&gt;=01_因子設定!$L$8-0.000000001,H2275&lt;=01_因子設定!$M$8+0.000000001,IF(01_因子設定!$B$20="Box-Behnken",E2275^2+F2275^2+G2275^2+H2275^2&lt;=2+0.000000001,TRUE()))</f>
        <v>1</v>
      </c>
      <c r="AD2275" s="55" t="n">
        <f aca="false">IF(AC2275,IF(01_因子設定!$B$13="最大化",AA2275-01_因子設定!$B$14,IF(01_因子設定!$B$13="最小化",01_因子設定!$B$15-AB2275,MIN(AA2275-01_因子設定!$B$14,01_因子設定!$B$15-AB2275))),-1E+030)</f>
        <v>-5.4545514154049</v>
      </c>
      <c r="AE2275" s="55" t="n">
        <f aca="false">IF(AC2275,IF(01_因子設定!$B$13="最大化",X2275,IF(01_因子設定!$B$13="最小化",-X2275,-ABS(X2275-01_因子設定!$B$16))),-1E+030)</f>
        <v>42.6199561403508</v>
      </c>
      <c r="AF2275" s="55" t="n">
        <f aca="false">AD2275+ROW()*0.000000001</f>
        <v>-5.4545491404049</v>
      </c>
      <c r="AG2275" s="55" t="n">
        <f aca="false">AE2275+ROW()*0.000000001</f>
        <v>42.6199584153508</v>
      </c>
    </row>
    <row r="2276" customFormat="false" ht="15" hidden="false" customHeight="false" outlineLevel="0" collapsed="false">
      <c r="A2276" s="0" t="n">
        <v>3</v>
      </c>
      <c r="B2276" s="0" t="n">
        <v>1</v>
      </c>
      <c r="C2276" s="0" t="n">
        <v>0</v>
      </c>
      <c r="D2276" s="0" t="n">
        <v>3</v>
      </c>
      <c r="E2276" s="0" t="n">
        <f aca="false">-1+A2276*0.25</f>
        <v>-0.25</v>
      </c>
      <c r="F2276" s="0" t="n">
        <f aca="false">-1+B2276*0.25</f>
        <v>-0.75</v>
      </c>
      <c r="G2276" s="0" t="n">
        <f aca="false">-1+C2276*0.25</f>
        <v>-1</v>
      </c>
      <c r="H2276" s="0" t="n">
        <f aca="false">-1+D2276*0.25</f>
        <v>-0.25</v>
      </c>
      <c r="I2276" s="0" t="n">
        <f aca="false">1</f>
        <v>1</v>
      </c>
      <c r="J2276" s="0" t="n">
        <f aca="false">E2276</f>
        <v>-0.25</v>
      </c>
      <c r="K2276" s="0" t="n">
        <f aca="false">F2276</f>
        <v>-0.75</v>
      </c>
      <c r="L2276" s="0" t="n">
        <f aca="false">G2276</f>
        <v>-1</v>
      </c>
      <c r="M2276" s="0" t="n">
        <f aca="false">H2276</f>
        <v>-0.25</v>
      </c>
      <c r="N2276" s="0" t="n">
        <f aca="false">E2276*F2276</f>
        <v>0.1875</v>
      </c>
      <c r="O2276" s="0" t="n">
        <f aca="false">E2276*G2276</f>
        <v>0.25</v>
      </c>
      <c r="P2276" s="0" t="n">
        <f aca="false">E2276*H2276</f>
        <v>0.0625</v>
      </c>
      <c r="Q2276" s="0" t="n">
        <f aca="false">F2276*G2276</f>
        <v>0.75</v>
      </c>
      <c r="R2276" s="0" t="n">
        <f aca="false">F2276*H2276</f>
        <v>0.1875</v>
      </c>
      <c r="S2276" s="0" t="n">
        <f aca="false">G2276*H2276</f>
        <v>0.25</v>
      </c>
      <c r="T2276" s="0" t="n">
        <f aca="false">E2276*E2276</f>
        <v>0.0625</v>
      </c>
      <c r="U2276" s="0" t="n">
        <f aca="false">F2276*F2276</f>
        <v>0.5625</v>
      </c>
      <c r="V2276" s="0" t="n">
        <f aca="false">G2276*G2276</f>
        <v>1</v>
      </c>
      <c r="W2276" s="0" t="n">
        <f aca="false">H2276*H2276</f>
        <v>0.0625</v>
      </c>
      <c r="X2276" s="0" t="n">
        <f aca="false">SUMPRODUCT(I2276:W2276,_XtX!$B$96:$P$96)</f>
        <v>42.7532118055555</v>
      </c>
      <c r="Y2276" s="0" t="n">
        <f aca="false">SUMPRODUCT(MMULT(I2276:W2276,_XtX!$B$78:$P$92),I2276:W2276)</f>
        <v>0.486409505208334</v>
      </c>
      <c r="Z2276" s="0" t="n">
        <f aca="false">04_回帰ANOVA!$K$19*04_回帰ANOVA!$K$14*SQRT(1+Y2276)</f>
        <v>1.58916001665498</v>
      </c>
      <c r="AA2276" s="0" t="n">
        <f aca="false">X2276-Z2276</f>
        <v>41.1640517889005</v>
      </c>
      <c r="AB2276" s="0" t="n">
        <f aca="false">X2276+Z2276</f>
        <v>44.3423718222105</v>
      </c>
      <c r="AC2276" s="54" t="b">
        <f aca="false">AND(E2276&gt;=01_因子設定!$L$5-0.000000001,E2276&lt;=01_因子設定!$M$5+0.000000001,F2276&gt;=01_因子設定!$L$6-0.000000001,F2276&lt;=01_因子設定!$M$6+0.000000001,G2276&gt;=01_因子設定!$L$7-0.000000001,G2276&lt;=01_因子設定!$M$7+0.000000001,H2276&gt;=01_因子設定!$L$8-0.000000001,H2276&lt;=01_因子設定!$M$8+0.000000001,IF(01_因子設定!$B$20="Box-Behnken",E2276^2+F2276^2+G2276^2+H2276^2&lt;=2+0.000000001,TRUE()))</f>
        <v>1</v>
      </c>
      <c r="AD2276" s="55" t="n">
        <f aca="false">IF(AC2276,IF(01_因子設定!$B$13="最大化",AA2276-01_因子設定!$B$14,IF(01_因子設定!$B$13="最小化",01_因子設定!$B$15-AB2276,MIN(AA2276-01_因子設定!$B$14,01_因子設定!$B$15-AB2276))),-1E+030)</f>
        <v>-5.33594821109948</v>
      </c>
      <c r="AE2276" s="55" t="n">
        <f aca="false">IF(AC2276,IF(01_因子設定!$B$13="最大化",X2276,IF(01_因子設定!$B$13="最小化",-X2276,-ABS(X2276-01_因子設定!$B$16))),-1E+030)</f>
        <v>42.7532118055555</v>
      </c>
      <c r="AF2276" s="55" t="n">
        <f aca="false">AD2276+ROW()*0.000000001</f>
        <v>-5.33594593509948</v>
      </c>
      <c r="AG2276" s="55" t="n">
        <f aca="false">AE2276+ROW()*0.000000001</f>
        <v>42.7532140815555</v>
      </c>
    </row>
    <row r="2277" customFormat="false" ht="15" hidden="false" customHeight="false" outlineLevel="0" collapsed="false">
      <c r="A2277" s="0" t="n">
        <v>3</v>
      </c>
      <c r="B2277" s="0" t="n">
        <v>1</v>
      </c>
      <c r="C2277" s="0" t="n">
        <v>0</v>
      </c>
      <c r="D2277" s="0" t="n">
        <v>4</v>
      </c>
      <c r="E2277" s="0" t="n">
        <f aca="false">-1+A2277*0.25</f>
        <v>-0.25</v>
      </c>
      <c r="F2277" s="0" t="n">
        <f aca="false">-1+B2277*0.25</f>
        <v>-0.75</v>
      </c>
      <c r="G2277" s="0" t="n">
        <f aca="false">-1+C2277*0.25</f>
        <v>-1</v>
      </c>
      <c r="H2277" s="0" t="n">
        <f aca="false">-1+D2277*0.25</f>
        <v>0</v>
      </c>
      <c r="I2277" s="0" t="n">
        <f aca="false">1</f>
        <v>1</v>
      </c>
      <c r="J2277" s="0" t="n">
        <f aca="false">E2277</f>
        <v>-0.25</v>
      </c>
      <c r="K2277" s="0" t="n">
        <f aca="false">F2277</f>
        <v>-0.75</v>
      </c>
      <c r="L2277" s="0" t="n">
        <f aca="false">G2277</f>
        <v>-1</v>
      </c>
      <c r="M2277" s="0" t="n">
        <f aca="false">H2277</f>
        <v>0</v>
      </c>
      <c r="N2277" s="0" t="n">
        <f aca="false">E2277*F2277</f>
        <v>0.1875</v>
      </c>
      <c r="O2277" s="0" t="n">
        <f aca="false">E2277*G2277</f>
        <v>0.25</v>
      </c>
      <c r="P2277" s="0" t="n">
        <f aca="false">E2277*H2277</f>
        <v>-0</v>
      </c>
      <c r="Q2277" s="0" t="n">
        <f aca="false">F2277*G2277</f>
        <v>0.75</v>
      </c>
      <c r="R2277" s="0" t="n">
        <f aca="false">F2277*H2277</f>
        <v>-0</v>
      </c>
      <c r="S2277" s="0" t="n">
        <f aca="false">G2277*H2277</f>
        <v>-0</v>
      </c>
      <c r="T2277" s="0" t="n">
        <f aca="false">E2277*E2277</f>
        <v>0.0625</v>
      </c>
      <c r="U2277" s="0" t="n">
        <f aca="false">F2277*F2277</f>
        <v>0.5625</v>
      </c>
      <c r="V2277" s="0" t="n">
        <f aca="false">G2277*G2277</f>
        <v>1</v>
      </c>
      <c r="W2277" s="0" t="n">
        <f aca="false">H2277*H2277</f>
        <v>0</v>
      </c>
      <c r="X2277" s="0" t="n">
        <f aca="false">SUMPRODUCT(I2277:W2277,_XtX!$B$96:$P$96)</f>
        <v>42.8386604532163</v>
      </c>
      <c r="Y2277" s="0" t="n">
        <f aca="false">SUMPRODUCT(MMULT(I2277:W2277,_XtX!$B$78:$P$92),I2277:W2277)</f>
        <v>0.501534802174708</v>
      </c>
      <c r="Z2277" s="0" t="n">
        <f aca="false">04_回帰ANOVA!$K$19*04_回帰ANOVA!$K$14*SQRT(1+Y2277)</f>
        <v>1.59722498091333</v>
      </c>
      <c r="AA2277" s="0" t="n">
        <f aca="false">X2277-Z2277</f>
        <v>41.241435472303</v>
      </c>
      <c r="AB2277" s="0" t="n">
        <f aca="false">X2277+Z2277</f>
        <v>44.4358854341297</v>
      </c>
      <c r="AC2277" s="54" t="b">
        <f aca="false">AND(E2277&gt;=01_因子設定!$L$5-0.000000001,E2277&lt;=01_因子設定!$M$5+0.000000001,F2277&gt;=01_因子設定!$L$6-0.000000001,F2277&lt;=01_因子設定!$M$6+0.000000001,G2277&gt;=01_因子設定!$L$7-0.000000001,G2277&lt;=01_因子設定!$M$7+0.000000001,H2277&gt;=01_因子設定!$L$8-0.000000001,H2277&lt;=01_因子設定!$M$8+0.000000001,IF(01_因子設定!$B$20="Box-Behnken",E2277^2+F2277^2+G2277^2+H2277^2&lt;=2+0.000000001,TRUE()))</f>
        <v>1</v>
      </c>
      <c r="AD2277" s="55" t="n">
        <f aca="false">IF(AC2277,IF(01_因子設定!$B$13="最大化",AA2277-01_因子設定!$B$14,IF(01_因子設定!$B$13="最小化",01_因子設定!$B$15-AB2277,MIN(AA2277-01_因子設定!$B$14,01_因子設定!$B$15-AB2277))),-1E+030)</f>
        <v>-5.25856452769701</v>
      </c>
      <c r="AE2277" s="55" t="n">
        <f aca="false">IF(AC2277,IF(01_因子設定!$B$13="最大化",X2277,IF(01_因子設定!$B$13="最小化",-X2277,-ABS(X2277-01_因子設定!$B$16))),-1E+030)</f>
        <v>42.8386604532163</v>
      </c>
      <c r="AF2277" s="55" t="n">
        <f aca="false">AD2277+ROW()*0.000000001</f>
        <v>-5.25856225069701</v>
      </c>
      <c r="AG2277" s="55" t="n">
        <f aca="false">AE2277+ROW()*0.000000001</f>
        <v>42.8386627302163</v>
      </c>
    </row>
    <row r="2278" customFormat="false" ht="15" hidden="false" customHeight="false" outlineLevel="0" collapsed="false">
      <c r="A2278" s="0" t="n">
        <v>3</v>
      </c>
      <c r="B2278" s="0" t="n">
        <v>1</v>
      </c>
      <c r="C2278" s="0" t="n">
        <v>0</v>
      </c>
      <c r="D2278" s="0" t="n">
        <v>5</v>
      </c>
      <c r="E2278" s="0" t="n">
        <f aca="false">-1+A2278*0.25</f>
        <v>-0.25</v>
      </c>
      <c r="F2278" s="0" t="n">
        <f aca="false">-1+B2278*0.25</f>
        <v>-0.75</v>
      </c>
      <c r="G2278" s="0" t="n">
        <f aca="false">-1+C2278*0.25</f>
        <v>-1</v>
      </c>
      <c r="H2278" s="0" t="n">
        <f aca="false">-1+D2278*0.25</f>
        <v>0.25</v>
      </c>
      <c r="I2278" s="0" t="n">
        <f aca="false">1</f>
        <v>1</v>
      </c>
      <c r="J2278" s="0" t="n">
        <f aca="false">E2278</f>
        <v>-0.25</v>
      </c>
      <c r="K2278" s="0" t="n">
        <f aca="false">F2278</f>
        <v>-0.75</v>
      </c>
      <c r="L2278" s="0" t="n">
        <f aca="false">G2278</f>
        <v>-1</v>
      </c>
      <c r="M2278" s="0" t="n">
        <f aca="false">H2278</f>
        <v>0.25</v>
      </c>
      <c r="N2278" s="0" t="n">
        <f aca="false">E2278*F2278</f>
        <v>0.1875</v>
      </c>
      <c r="O2278" s="0" t="n">
        <f aca="false">E2278*G2278</f>
        <v>0.25</v>
      </c>
      <c r="P2278" s="0" t="n">
        <f aca="false">E2278*H2278</f>
        <v>-0.0625</v>
      </c>
      <c r="Q2278" s="0" t="n">
        <f aca="false">F2278*G2278</f>
        <v>0.75</v>
      </c>
      <c r="R2278" s="0" t="n">
        <f aca="false">F2278*H2278</f>
        <v>-0.1875</v>
      </c>
      <c r="S2278" s="0" t="n">
        <f aca="false">G2278*H2278</f>
        <v>-0.25</v>
      </c>
      <c r="T2278" s="0" t="n">
        <f aca="false">E2278*E2278</f>
        <v>0.0625</v>
      </c>
      <c r="U2278" s="0" t="n">
        <f aca="false">F2278*F2278</f>
        <v>0.5625</v>
      </c>
      <c r="V2278" s="0" t="n">
        <f aca="false">G2278*G2278</f>
        <v>1</v>
      </c>
      <c r="W2278" s="0" t="n">
        <f aca="false">H2278*H2278</f>
        <v>0.0625</v>
      </c>
      <c r="X2278" s="0" t="n">
        <f aca="false">SUMPRODUCT(I2278:W2278,_XtX!$B$96:$P$96)</f>
        <v>42.8763020833333</v>
      </c>
      <c r="Y2278" s="0" t="n">
        <f aca="false">SUMPRODUCT(MMULT(I2278:W2278,_XtX!$B$78:$P$92),I2278:W2278)</f>
        <v>0.486409505208334</v>
      </c>
      <c r="Z2278" s="0" t="n">
        <f aca="false">04_回帰ANOVA!$K$19*04_回帰ANOVA!$K$14*SQRT(1+Y2278)</f>
        <v>1.58916001665498</v>
      </c>
      <c r="AA2278" s="0" t="n">
        <f aca="false">X2278-Z2278</f>
        <v>41.2871420666783</v>
      </c>
      <c r="AB2278" s="0" t="n">
        <f aca="false">X2278+Z2278</f>
        <v>44.4654620999883</v>
      </c>
      <c r="AC2278" s="54" t="b">
        <f aca="false">AND(E2278&gt;=01_因子設定!$L$5-0.000000001,E2278&lt;=01_因子設定!$M$5+0.000000001,F2278&gt;=01_因子設定!$L$6-0.000000001,F2278&lt;=01_因子設定!$M$6+0.000000001,G2278&gt;=01_因子設定!$L$7-0.000000001,G2278&lt;=01_因子設定!$M$7+0.000000001,H2278&gt;=01_因子設定!$L$8-0.000000001,H2278&lt;=01_因子設定!$M$8+0.000000001,IF(01_因子設定!$B$20="Box-Behnken",E2278^2+F2278^2+G2278^2+H2278^2&lt;=2+0.000000001,TRUE()))</f>
        <v>1</v>
      </c>
      <c r="AD2278" s="55" t="n">
        <f aca="false">IF(AC2278,IF(01_因子設定!$B$13="最大化",AA2278-01_因子設定!$B$14,IF(01_因子設定!$B$13="最小化",01_因子設定!$B$15-AB2278,MIN(AA2278-01_因子設定!$B$14,01_因子設定!$B$15-AB2278))),-1E+030)</f>
        <v>-5.2128579333217</v>
      </c>
      <c r="AE2278" s="55" t="n">
        <f aca="false">IF(AC2278,IF(01_因子設定!$B$13="最大化",X2278,IF(01_因子設定!$B$13="最小化",-X2278,-ABS(X2278-01_因子設定!$B$16))),-1E+030)</f>
        <v>42.8763020833333</v>
      </c>
      <c r="AF2278" s="55" t="n">
        <f aca="false">AD2278+ROW()*0.000000001</f>
        <v>-5.2128556553217</v>
      </c>
      <c r="AG2278" s="55" t="n">
        <f aca="false">AE2278+ROW()*0.000000001</f>
        <v>42.8763043613333</v>
      </c>
    </row>
    <row r="2279" customFormat="false" ht="15" hidden="false" customHeight="false" outlineLevel="0" collapsed="false">
      <c r="A2279" s="0" t="n">
        <v>3</v>
      </c>
      <c r="B2279" s="0" t="n">
        <v>1</v>
      </c>
      <c r="C2279" s="0" t="n">
        <v>0</v>
      </c>
      <c r="D2279" s="0" t="n">
        <v>6</v>
      </c>
      <c r="E2279" s="0" t="n">
        <f aca="false">-1+A2279*0.25</f>
        <v>-0.25</v>
      </c>
      <c r="F2279" s="0" t="n">
        <f aca="false">-1+B2279*0.25</f>
        <v>-0.75</v>
      </c>
      <c r="G2279" s="0" t="n">
        <f aca="false">-1+C2279*0.25</f>
        <v>-1</v>
      </c>
      <c r="H2279" s="0" t="n">
        <f aca="false">-1+D2279*0.25</f>
        <v>0.5</v>
      </c>
      <c r="I2279" s="0" t="n">
        <f aca="false">1</f>
        <v>1</v>
      </c>
      <c r="J2279" s="0" t="n">
        <f aca="false">E2279</f>
        <v>-0.25</v>
      </c>
      <c r="K2279" s="0" t="n">
        <f aca="false">F2279</f>
        <v>-0.75</v>
      </c>
      <c r="L2279" s="0" t="n">
        <f aca="false">G2279</f>
        <v>-1</v>
      </c>
      <c r="M2279" s="0" t="n">
        <f aca="false">H2279</f>
        <v>0.5</v>
      </c>
      <c r="N2279" s="0" t="n">
        <f aca="false">E2279*F2279</f>
        <v>0.1875</v>
      </c>
      <c r="O2279" s="0" t="n">
        <f aca="false">E2279*G2279</f>
        <v>0.25</v>
      </c>
      <c r="P2279" s="0" t="n">
        <f aca="false">E2279*H2279</f>
        <v>-0.125</v>
      </c>
      <c r="Q2279" s="0" t="n">
        <f aca="false">F2279*G2279</f>
        <v>0.75</v>
      </c>
      <c r="R2279" s="0" t="n">
        <f aca="false">F2279*H2279</f>
        <v>-0.375</v>
      </c>
      <c r="S2279" s="0" t="n">
        <f aca="false">G2279*H2279</f>
        <v>-0.5</v>
      </c>
      <c r="T2279" s="0" t="n">
        <f aca="false">E2279*E2279</f>
        <v>0.0625</v>
      </c>
      <c r="U2279" s="0" t="n">
        <f aca="false">F2279*F2279</f>
        <v>0.5625</v>
      </c>
      <c r="V2279" s="0" t="n">
        <f aca="false">G2279*G2279</f>
        <v>1</v>
      </c>
      <c r="W2279" s="0" t="n">
        <f aca="false">H2279*H2279</f>
        <v>0.25</v>
      </c>
      <c r="X2279" s="0" t="n">
        <f aca="false">SUMPRODUCT(I2279:W2279,_XtX!$B$96:$P$96)</f>
        <v>42.8661366959064</v>
      </c>
      <c r="Y2279" s="0" t="n">
        <f aca="false">SUMPRODUCT(MMULT(I2279:W2279,_XtX!$B$78:$P$92),I2279:W2279)</f>
        <v>0.459125719572369</v>
      </c>
      <c r="Z2279" s="0" t="n">
        <f aca="false">04_回帰ANOVA!$K$19*04_回帰ANOVA!$K$14*SQRT(1+Y2279)</f>
        <v>1.57450755575573</v>
      </c>
      <c r="AA2279" s="0" t="n">
        <f aca="false">X2279-Z2279</f>
        <v>41.2916291401507</v>
      </c>
      <c r="AB2279" s="0" t="n">
        <f aca="false">X2279+Z2279</f>
        <v>44.4406442516621</v>
      </c>
      <c r="AC2279" s="54" t="b">
        <f aca="false">AND(E2279&gt;=01_因子設定!$L$5-0.000000001,E2279&lt;=01_因子設定!$M$5+0.000000001,F2279&gt;=01_因子設定!$L$6-0.000000001,F2279&lt;=01_因子設定!$M$6+0.000000001,G2279&gt;=01_因子設定!$L$7-0.000000001,G2279&lt;=01_因子設定!$M$7+0.000000001,H2279&gt;=01_因子設定!$L$8-0.000000001,H2279&lt;=01_因子設定!$M$8+0.000000001,IF(01_因子設定!$B$20="Box-Behnken",E2279^2+F2279^2+G2279^2+H2279^2&lt;=2+0.000000001,TRUE()))</f>
        <v>1</v>
      </c>
      <c r="AD2279" s="55" t="n">
        <f aca="false">IF(AC2279,IF(01_因子設定!$B$13="最大化",AA2279-01_因子設定!$B$14,IF(01_因子設定!$B$13="最小化",01_因子設定!$B$15-AB2279,MIN(AA2279-01_因子設定!$B$14,01_因子設定!$B$15-AB2279))),-1E+030)</f>
        <v>-5.20837085984935</v>
      </c>
      <c r="AE2279" s="55" t="n">
        <f aca="false">IF(AC2279,IF(01_因子設定!$B$13="最大化",X2279,IF(01_因子設定!$B$13="最小化",-X2279,-ABS(X2279-01_因子設定!$B$16))),-1E+030)</f>
        <v>42.8661366959064</v>
      </c>
      <c r="AF2279" s="55" t="n">
        <f aca="false">AD2279+ROW()*0.000000001</f>
        <v>-5.20836858084935</v>
      </c>
      <c r="AG2279" s="55" t="n">
        <f aca="false">AE2279+ROW()*0.000000001</f>
        <v>42.8661389749064</v>
      </c>
    </row>
    <row r="2280" customFormat="false" ht="15" hidden="false" customHeight="false" outlineLevel="0" collapsed="false">
      <c r="A2280" s="0" t="n">
        <v>3</v>
      </c>
      <c r="B2280" s="0" t="n">
        <v>1</v>
      </c>
      <c r="C2280" s="0" t="n">
        <v>0</v>
      </c>
      <c r="D2280" s="0" t="n">
        <v>7</v>
      </c>
      <c r="E2280" s="0" t="n">
        <f aca="false">-1+A2280*0.25</f>
        <v>-0.25</v>
      </c>
      <c r="F2280" s="0" t="n">
        <f aca="false">-1+B2280*0.25</f>
        <v>-0.75</v>
      </c>
      <c r="G2280" s="0" t="n">
        <f aca="false">-1+C2280*0.25</f>
        <v>-1</v>
      </c>
      <c r="H2280" s="0" t="n">
        <f aca="false">-1+D2280*0.25</f>
        <v>0.75</v>
      </c>
      <c r="I2280" s="0" t="n">
        <f aca="false">1</f>
        <v>1</v>
      </c>
      <c r="J2280" s="0" t="n">
        <f aca="false">E2280</f>
        <v>-0.25</v>
      </c>
      <c r="K2280" s="0" t="n">
        <f aca="false">F2280</f>
        <v>-0.75</v>
      </c>
      <c r="L2280" s="0" t="n">
        <f aca="false">G2280</f>
        <v>-1</v>
      </c>
      <c r="M2280" s="0" t="n">
        <f aca="false">H2280</f>
        <v>0.75</v>
      </c>
      <c r="N2280" s="0" t="n">
        <f aca="false">E2280*F2280</f>
        <v>0.1875</v>
      </c>
      <c r="O2280" s="0" t="n">
        <f aca="false">E2280*G2280</f>
        <v>0.25</v>
      </c>
      <c r="P2280" s="0" t="n">
        <f aca="false">E2280*H2280</f>
        <v>-0.1875</v>
      </c>
      <c r="Q2280" s="0" t="n">
        <f aca="false">F2280*G2280</f>
        <v>0.75</v>
      </c>
      <c r="R2280" s="0" t="n">
        <f aca="false">F2280*H2280</f>
        <v>-0.5625</v>
      </c>
      <c r="S2280" s="0" t="n">
        <f aca="false">G2280*H2280</f>
        <v>-0.75</v>
      </c>
      <c r="T2280" s="0" t="n">
        <f aca="false">E2280*E2280</f>
        <v>0.0625</v>
      </c>
      <c r="U2280" s="0" t="n">
        <f aca="false">F2280*F2280</f>
        <v>0.5625</v>
      </c>
      <c r="V2280" s="0" t="n">
        <f aca="false">G2280*G2280</f>
        <v>1</v>
      </c>
      <c r="W2280" s="0" t="n">
        <f aca="false">H2280*H2280</f>
        <v>0.5625</v>
      </c>
      <c r="X2280" s="0" t="n">
        <f aca="false">SUMPRODUCT(I2280:W2280,_XtX!$B$96:$P$96)</f>
        <v>42.8081642909356</v>
      </c>
      <c r="Y2280" s="0" t="n">
        <f aca="false">SUMPRODUCT(MMULT(I2280:W2280,_XtX!$B$78:$P$92),I2280:W2280)</f>
        <v>0.473959761056287</v>
      </c>
      <c r="Z2280" s="0" t="n">
        <f aca="false">04_回帰ANOVA!$K$19*04_回帰ANOVA!$K$14*SQRT(1+Y2280)</f>
        <v>1.58249084588329</v>
      </c>
      <c r="AA2280" s="0" t="n">
        <f aca="false">X2280-Z2280</f>
        <v>41.2256734450524</v>
      </c>
      <c r="AB2280" s="0" t="n">
        <f aca="false">X2280+Z2280</f>
        <v>44.3906551368189</v>
      </c>
      <c r="AC2280" s="54" t="b">
        <f aca="false">AND(E2280&gt;=01_因子設定!$L$5-0.000000001,E2280&lt;=01_因子設定!$M$5+0.000000001,F2280&gt;=01_因子設定!$L$6-0.000000001,F2280&lt;=01_因子設定!$M$6+0.000000001,G2280&gt;=01_因子設定!$L$7-0.000000001,G2280&lt;=01_因子設定!$M$7+0.000000001,H2280&gt;=01_因子設定!$L$8-0.000000001,H2280&lt;=01_因子設定!$M$8+0.000000001,IF(01_因子設定!$B$20="Box-Behnken",E2280^2+F2280^2+G2280^2+H2280^2&lt;=2+0.000000001,TRUE()))</f>
        <v>1</v>
      </c>
      <c r="AD2280" s="55" t="n">
        <f aca="false">IF(AC2280,IF(01_因子設定!$B$13="最大化",AA2280-01_因子設定!$B$14,IF(01_因子設定!$B$13="最小化",01_因子設定!$B$15-AB2280,MIN(AA2280-01_因子設定!$B$14,01_因子設定!$B$15-AB2280))),-1E+030)</f>
        <v>-5.27432655494765</v>
      </c>
      <c r="AE2280" s="55" t="n">
        <f aca="false">IF(AC2280,IF(01_因子設定!$B$13="最大化",X2280,IF(01_因子設定!$B$13="最小化",-X2280,-ABS(X2280-01_因子設定!$B$16))),-1E+030)</f>
        <v>42.8081642909356</v>
      </c>
      <c r="AF2280" s="55" t="n">
        <f aca="false">AD2280+ROW()*0.000000001</f>
        <v>-5.27432427494765</v>
      </c>
      <c r="AG2280" s="55" t="n">
        <f aca="false">AE2280+ROW()*0.000000001</f>
        <v>42.8081665709356</v>
      </c>
    </row>
    <row r="2281" customFormat="false" ht="15" hidden="false" customHeight="false" outlineLevel="0" collapsed="false">
      <c r="A2281" s="0" t="n">
        <v>3</v>
      </c>
      <c r="B2281" s="0" t="n">
        <v>1</v>
      </c>
      <c r="C2281" s="0" t="n">
        <v>0</v>
      </c>
      <c r="D2281" s="0" t="n">
        <v>8</v>
      </c>
      <c r="E2281" s="0" t="n">
        <f aca="false">-1+A2281*0.25</f>
        <v>-0.25</v>
      </c>
      <c r="F2281" s="0" t="n">
        <f aca="false">-1+B2281*0.25</f>
        <v>-0.75</v>
      </c>
      <c r="G2281" s="0" t="n">
        <f aca="false">-1+C2281*0.25</f>
        <v>-1</v>
      </c>
      <c r="H2281" s="0" t="n">
        <f aca="false">-1+D2281*0.25</f>
        <v>1</v>
      </c>
      <c r="I2281" s="0" t="n">
        <f aca="false">1</f>
        <v>1</v>
      </c>
      <c r="J2281" s="0" t="n">
        <f aca="false">E2281</f>
        <v>-0.25</v>
      </c>
      <c r="K2281" s="0" t="n">
        <f aca="false">F2281</f>
        <v>-0.75</v>
      </c>
      <c r="L2281" s="0" t="n">
        <f aca="false">G2281</f>
        <v>-1</v>
      </c>
      <c r="M2281" s="0" t="n">
        <f aca="false">H2281</f>
        <v>1</v>
      </c>
      <c r="N2281" s="0" t="n">
        <f aca="false">E2281*F2281</f>
        <v>0.1875</v>
      </c>
      <c r="O2281" s="0" t="n">
        <f aca="false">E2281*G2281</f>
        <v>0.25</v>
      </c>
      <c r="P2281" s="0" t="n">
        <f aca="false">E2281*H2281</f>
        <v>-0.25</v>
      </c>
      <c r="Q2281" s="0" t="n">
        <f aca="false">F2281*G2281</f>
        <v>0.75</v>
      </c>
      <c r="R2281" s="0" t="n">
        <f aca="false">F2281*H2281</f>
        <v>-0.75</v>
      </c>
      <c r="S2281" s="0" t="n">
        <f aca="false">G2281*H2281</f>
        <v>-1</v>
      </c>
      <c r="T2281" s="0" t="n">
        <f aca="false">E2281*E2281</f>
        <v>0.0625</v>
      </c>
      <c r="U2281" s="0" t="n">
        <f aca="false">F2281*F2281</f>
        <v>0.5625</v>
      </c>
      <c r="V2281" s="0" t="n">
        <f aca="false">G2281*G2281</f>
        <v>1</v>
      </c>
      <c r="W2281" s="0" t="n">
        <f aca="false">H2281*H2281</f>
        <v>1</v>
      </c>
      <c r="X2281" s="0" t="n">
        <f aca="false">SUMPRODUCT(I2281:W2281,_XtX!$B$96:$P$96)</f>
        <v>42.702384868421</v>
      </c>
      <c r="Y2281" s="0" t="n">
        <f aca="false">SUMPRODUCT(MMULT(I2281:W2281,_XtX!$B$78:$P$92),I2281:W2281)</f>
        <v>0.621372155975877</v>
      </c>
      <c r="Z2281" s="0" t="n">
        <f aca="false">04_回帰ANOVA!$K$19*04_回帰ANOVA!$K$14*SQRT(1+Y2281)</f>
        <v>1.65973880499872</v>
      </c>
      <c r="AA2281" s="0" t="n">
        <f aca="false">X2281-Z2281</f>
        <v>41.0426460634223</v>
      </c>
      <c r="AB2281" s="0" t="n">
        <f aca="false">X2281+Z2281</f>
        <v>44.3621236734198</v>
      </c>
      <c r="AC2281" s="54" t="b">
        <f aca="false">AND(E2281&gt;=01_因子設定!$L$5-0.000000001,E2281&lt;=01_因子設定!$M$5+0.000000001,F2281&gt;=01_因子設定!$L$6-0.000000001,F2281&lt;=01_因子設定!$M$6+0.000000001,G2281&gt;=01_因子設定!$L$7-0.000000001,G2281&lt;=01_因子設定!$M$7+0.000000001,H2281&gt;=01_因子設定!$L$8-0.000000001,H2281&lt;=01_因子設定!$M$8+0.000000001,IF(01_因子設定!$B$20="Box-Behnken",E2281^2+F2281^2+G2281^2+H2281^2&lt;=2+0.000000001,TRUE()))</f>
        <v>1</v>
      </c>
      <c r="AD2281" s="55" t="n">
        <f aca="false">IF(AC2281,IF(01_因子設定!$B$13="最大化",AA2281-01_因子設定!$B$14,IF(01_因子設定!$B$13="最小化",01_因子設定!$B$15-AB2281,MIN(AA2281-01_因子設定!$B$14,01_因子設定!$B$15-AB2281))),-1E+030)</f>
        <v>-5.45735393657768</v>
      </c>
      <c r="AE2281" s="55" t="n">
        <f aca="false">IF(AC2281,IF(01_因子設定!$B$13="最大化",X2281,IF(01_因子設定!$B$13="最小化",-X2281,-ABS(X2281-01_因子設定!$B$16))),-1E+030)</f>
        <v>42.702384868421</v>
      </c>
      <c r="AF2281" s="55" t="n">
        <f aca="false">AD2281+ROW()*0.000000001</f>
        <v>-5.45735165557768</v>
      </c>
      <c r="AG2281" s="55" t="n">
        <f aca="false">AE2281+ROW()*0.000000001</f>
        <v>42.702387149421</v>
      </c>
    </row>
    <row r="2282" customFormat="false" ht="15" hidden="false" customHeight="false" outlineLevel="0" collapsed="false">
      <c r="A2282" s="0" t="n">
        <v>3</v>
      </c>
      <c r="B2282" s="0" t="n">
        <v>1</v>
      </c>
      <c r="C2282" s="0" t="n">
        <v>1</v>
      </c>
      <c r="D2282" s="0" t="n">
        <v>0</v>
      </c>
      <c r="E2282" s="0" t="n">
        <f aca="false">-1+A2282*0.25</f>
        <v>-0.25</v>
      </c>
      <c r="F2282" s="0" t="n">
        <f aca="false">-1+B2282*0.25</f>
        <v>-0.75</v>
      </c>
      <c r="G2282" s="0" t="n">
        <f aca="false">-1+C2282*0.25</f>
        <v>-0.75</v>
      </c>
      <c r="H2282" s="0" t="n">
        <f aca="false">-1+D2282*0.25</f>
        <v>-1</v>
      </c>
      <c r="I2282" s="0" t="n">
        <f aca="false">1</f>
        <v>1</v>
      </c>
      <c r="J2282" s="0" t="n">
        <f aca="false">E2282</f>
        <v>-0.25</v>
      </c>
      <c r="K2282" s="0" t="n">
        <f aca="false">F2282</f>
        <v>-0.75</v>
      </c>
      <c r="L2282" s="0" t="n">
        <f aca="false">G2282</f>
        <v>-0.75</v>
      </c>
      <c r="M2282" s="0" t="n">
        <f aca="false">H2282</f>
        <v>-1</v>
      </c>
      <c r="N2282" s="0" t="n">
        <f aca="false">E2282*F2282</f>
        <v>0.1875</v>
      </c>
      <c r="O2282" s="0" t="n">
        <f aca="false">E2282*G2282</f>
        <v>0.1875</v>
      </c>
      <c r="P2282" s="0" t="n">
        <f aca="false">E2282*H2282</f>
        <v>0.25</v>
      </c>
      <c r="Q2282" s="0" t="n">
        <f aca="false">F2282*G2282</f>
        <v>0.5625</v>
      </c>
      <c r="R2282" s="0" t="n">
        <f aca="false">F2282*H2282</f>
        <v>0.75</v>
      </c>
      <c r="S2282" s="0" t="n">
        <f aca="false">G2282*H2282</f>
        <v>0.75</v>
      </c>
      <c r="T2282" s="0" t="n">
        <f aca="false">E2282*E2282</f>
        <v>0.0625</v>
      </c>
      <c r="U2282" s="0" t="n">
        <f aca="false">F2282*F2282</f>
        <v>0.5625</v>
      </c>
      <c r="V2282" s="0" t="n">
        <f aca="false">G2282*G2282</f>
        <v>0.5625</v>
      </c>
      <c r="W2282" s="0" t="n">
        <f aca="false">H2282*H2282</f>
        <v>1</v>
      </c>
      <c r="X2282" s="0" t="n">
        <f aca="false">SUMPRODUCT(I2282:W2282,_XtX!$B$96:$P$96)</f>
        <v>42.6645879020468</v>
      </c>
      <c r="Y2282" s="0" t="n">
        <f aca="false">SUMPRODUCT(MMULT(I2282:W2282,_XtX!$B$78:$P$92),I2282:W2282)</f>
        <v>0.473959761056287</v>
      </c>
      <c r="Z2282" s="0" t="n">
        <f aca="false">04_回帰ANOVA!$K$19*04_回帰ANOVA!$K$14*SQRT(1+Y2282)</f>
        <v>1.58249084588329</v>
      </c>
      <c r="AA2282" s="0" t="n">
        <f aca="false">X2282-Z2282</f>
        <v>41.0820970561635</v>
      </c>
      <c r="AB2282" s="0" t="n">
        <f aca="false">X2282+Z2282</f>
        <v>44.2470787479301</v>
      </c>
      <c r="AC2282" s="54" t="b">
        <f aca="false">AND(E2282&gt;=01_因子設定!$L$5-0.000000001,E2282&lt;=01_因子設定!$M$5+0.000000001,F2282&gt;=01_因子設定!$L$6-0.000000001,F2282&lt;=01_因子設定!$M$6+0.000000001,G2282&gt;=01_因子設定!$L$7-0.000000001,G2282&lt;=01_因子設定!$M$7+0.000000001,H2282&gt;=01_因子設定!$L$8-0.000000001,H2282&lt;=01_因子設定!$M$8+0.000000001,IF(01_因子設定!$B$20="Box-Behnken",E2282^2+F2282^2+G2282^2+H2282^2&lt;=2+0.000000001,TRUE()))</f>
        <v>1</v>
      </c>
      <c r="AD2282" s="55" t="n">
        <f aca="false">IF(AC2282,IF(01_因子設定!$B$13="最大化",AA2282-01_因子設定!$B$14,IF(01_因子設定!$B$13="最小化",01_因子設定!$B$15-AB2282,MIN(AA2282-01_因子設定!$B$14,01_因子設定!$B$15-AB2282))),-1E+030)</f>
        <v>-5.41790294383652</v>
      </c>
      <c r="AE2282" s="55" t="n">
        <f aca="false">IF(AC2282,IF(01_因子設定!$B$13="最大化",X2282,IF(01_因子設定!$B$13="最小化",-X2282,-ABS(X2282-01_因子設定!$B$16))),-1E+030)</f>
        <v>42.6645879020468</v>
      </c>
      <c r="AF2282" s="55" t="n">
        <f aca="false">AD2282+ROW()*0.000000001</f>
        <v>-5.41790066183652</v>
      </c>
      <c r="AG2282" s="55" t="n">
        <f aca="false">AE2282+ROW()*0.000000001</f>
        <v>42.6645901840468</v>
      </c>
    </row>
    <row r="2283" customFormat="false" ht="15" hidden="false" customHeight="false" outlineLevel="0" collapsed="false">
      <c r="A2283" s="0" t="n">
        <v>3</v>
      </c>
      <c r="B2283" s="0" t="n">
        <v>1</v>
      </c>
      <c r="C2283" s="0" t="n">
        <v>1</v>
      </c>
      <c r="D2283" s="0" t="n">
        <v>1</v>
      </c>
      <c r="E2283" s="0" t="n">
        <f aca="false">-1+A2283*0.25</f>
        <v>-0.25</v>
      </c>
      <c r="F2283" s="0" t="n">
        <f aca="false">-1+B2283*0.25</f>
        <v>-0.75</v>
      </c>
      <c r="G2283" s="0" t="n">
        <f aca="false">-1+C2283*0.25</f>
        <v>-0.75</v>
      </c>
      <c r="H2283" s="0" t="n">
        <f aca="false">-1+D2283*0.25</f>
        <v>-0.75</v>
      </c>
      <c r="I2283" s="0" t="n">
        <f aca="false">1</f>
        <v>1</v>
      </c>
      <c r="J2283" s="0" t="n">
        <f aca="false">E2283</f>
        <v>-0.25</v>
      </c>
      <c r="K2283" s="0" t="n">
        <f aca="false">F2283</f>
        <v>-0.75</v>
      </c>
      <c r="L2283" s="0" t="n">
        <f aca="false">G2283</f>
        <v>-0.75</v>
      </c>
      <c r="M2283" s="0" t="n">
        <f aca="false">H2283</f>
        <v>-0.75</v>
      </c>
      <c r="N2283" s="0" t="n">
        <f aca="false">E2283*F2283</f>
        <v>0.1875</v>
      </c>
      <c r="O2283" s="0" t="n">
        <f aca="false">E2283*G2283</f>
        <v>0.1875</v>
      </c>
      <c r="P2283" s="0" t="n">
        <f aca="false">E2283*H2283</f>
        <v>0.1875</v>
      </c>
      <c r="Q2283" s="0" t="n">
        <f aca="false">F2283*G2283</f>
        <v>0.5625</v>
      </c>
      <c r="R2283" s="0" t="n">
        <f aca="false">F2283*H2283</f>
        <v>0.5625</v>
      </c>
      <c r="S2283" s="0" t="n">
        <f aca="false">G2283*H2283</f>
        <v>0.5625</v>
      </c>
      <c r="T2283" s="0" t="n">
        <f aca="false">E2283*E2283</f>
        <v>0.0625</v>
      </c>
      <c r="U2283" s="0" t="n">
        <f aca="false">F2283*F2283</f>
        <v>0.5625</v>
      </c>
      <c r="V2283" s="0" t="n">
        <f aca="false">G2283*G2283</f>
        <v>0.5625</v>
      </c>
      <c r="W2283" s="0" t="n">
        <f aca="false">H2283*H2283</f>
        <v>0.5625</v>
      </c>
      <c r="X2283" s="0" t="n">
        <f aca="false">SUMPRODUCT(I2283:W2283,_XtX!$B$96:$P$96)</f>
        <v>42.9114263523391</v>
      </c>
      <c r="Y2283" s="0" t="n">
        <f aca="false">SUMPRODUCT(MMULT(I2283:W2283,_XtX!$B$78:$P$92),I2283:W2283)</f>
        <v>0.294856199744152</v>
      </c>
      <c r="Z2283" s="0" t="n">
        <f aca="false">04_回帰ANOVA!$K$19*04_回帰ANOVA!$K$14*SQRT(1+Y2283)</f>
        <v>1.48323226089013</v>
      </c>
      <c r="AA2283" s="0" t="n">
        <f aca="false">X2283-Z2283</f>
        <v>41.428194091449</v>
      </c>
      <c r="AB2283" s="0" t="n">
        <f aca="false">X2283+Z2283</f>
        <v>44.3946586132293</v>
      </c>
      <c r="AC2283" s="54" t="b">
        <f aca="false">AND(E2283&gt;=01_因子設定!$L$5-0.000000001,E2283&lt;=01_因子設定!$M$5+0.000000001,F2283&gt;=01_因子設定!$L$6-0.000000001,F2283&lt;=01_因子設定!$M$6+0.000000001,G2283&gt;=01_因子設定!$L$7-0.000000001,G2283&lt;=01_因子設定!$M$7+0.000000001,H2283&gt;=01_因子設定!$L$8-0.000000001,H2283&lt;=01_因子設定!$M$8+0.000000001,IF(01_因子設定!$B$20="Box-Behnken",E2283^2+F2283^2+G2283^2+H2283^2&lt;=2+0.000000001,TRUE()))</f>
        <v>1</v>
      </c>
      <c r="AD2283" s="55" t="n">
        <f aca="false">IF(AC2283,IF(01_因子設定!$B$13="最大化",AA2283-01_因子設定!$B$14,IF(01_因子設定!$B$13="最小化",01_因子設定!$B$15-AB2283,MIN(AA2283-01_因子設定!$B$14,01_因子設定!$B$15-AB2283))),-1E+030)</f>
        <v>-5.07180590855099</v>
      </c>
      <c r="AE2283" s="55" t="n">
        <f aca="false">IF(AC2283,IF(01_因子設定!$B$13="最大化",X2283,IF(01_因子設定!$B$13="最小化",-X2283,-ABS(X2283-01_因子設定!$B$16))),-1E+030)</f>
        <v>42.9114263523391</v>
      </c>
      <c r="AF2283" s="55" t="n">
        <f aca="false">AD2283+ROW()*0.000000001</f>
        <v>-5.07180362555099</v>
      </c>
      <c r="AG2283" s="55" t="n">
        <f aca="false">AE2283+ROW()*0.000000001</f>
        <v>42.9114286353391</v>
      </c>
    </row>
    <row r="2284" customFormat="false" ht="15" hidden="false" customHeight="false" outlineLevel="0" collapsed="false">
      <c r="A2284" s="0" t="n">
        <v>3</v>
      </c>
      <c r="B2284" s="0" t="n">
        <v>1</v>
      </c>
      <c r="C2284" s="0" t="n">
        <v>1</v>
      </c>
      <c r="D2284" s="0" t="n">
        <v>2</v>
      </c>
      <c r="E2284" s="0" t="n">
        <f aca="false">-1+A2284*0.25</f>
        <v>-0.25</v>
      </c>
      <c r="F2284" s="0" t="n">
        <f aca="false">-1+B2284*0.25</f>
        <v>-0.75</v>
      </c>
      <c r="G2284" s="0" t="n">
        <f aca="false">-1+C2284*0.25</f>
        <v>-0.75</v>
      </c>
      <c r="H2284" s="0" t="n">
        <f aca="false">-1+D2284*0.25</f>
        <v>-0.5</v>
      </c>
      <c r="I2284" s="0" t="n">
        <f aca="false">1</f>
        <v>1</v>
      </c>
      <c r="J2284" s="0" t="n">
        <f aca="false">E2284</f>
        <v>-0.25</v>
      </c>
      <c r="K2284" s="0" t="n">
        <f aca="false">F2284</f>
        <v>-0.75</v>
      </c>
      <c r="L2284" s="0" t="n">
        <f aca="false">G2284</f>
        <v>-0.75</v>
      </c>
      <c r="M2284" s="0" t="n">
        <f aca="false">H2284</f>
        <v>-0.5</v>
      </c>
      <c r="N2284" s="0" t="n">
        <f aca="false">E2284*F2284</f>
        <v>0.1875</v>
      </c>
      <c r="O2284" s="0" t="n">
        <f aca="false">E2284*G2284</f>
        <v>0.1875</v>
      </c>
      <c r="P2284" s="0" t="n">
        <f aca="false">E2284*H2284</f>
        <v>0.125</v>
      </c>
      <c r="Q2284" s="0" t="n">
        <f aca="false">F2284*G2284</f>
        <v>0.5625</v>
      </c>
      <c r="R2284" s="0" t="n">
        <f aca="false">F2284*H2284</f>
        <v>0.375</v>
      </c>
      <c r="S2284" s="0" t="n">
        <f aca="false">G2284*H2284</f>
        <v>0.375</v>
      </c>
      <c r="T2284" s="0" t="n">
        <f aca="false">E2284*E2284</f>
        <v>0.0625</v>
      </c>
      <c r="U2284" s="0" t="n">
        <f aca="false">F2284*F2284</f>
        <v>0.5625</v>
      </c>
      <c r="V2284" s="0" t="n">
        <f aca="false">G2284*G2284</f>
        <v>0.5625</v>
      </c>
      <c r="W2284" s="0" t="n">
        <f aca="false">H2284*H2284</f>
        <v>0.25</v>
      </c>
      <c r="X2284" s="0" t="n">
        <f aca="false">SUMPRODUCT(I2284:W2284,_XtX!$B$96:$P$96)</f>
        <v>43.1104577850877</v>
      </c>
      <c r="Y2284" s="0" t="n">
        <f aca="false">SUMPRODUCT(MMULT(I2284:W2284,_XtX!$B$78:$P$92),I2284:W2284)</f>
        <v>0.257385610836988</v>
      </c>
      <c r="Z2284" s="0" t="n">
        <f aca="false">04_回帰ANOVA!$K$19*04_回帰ANOVA!$K$14*SQRT(1+Y2284)</f>
        <v>1.46161380324158</v>
      </c>
      <c r="AA2284" s="0" t="n">
        <f aca="false">X2284-Z2284</f>
        <v>41.6488439818461</v>
      </c>
      <c r="AB2284" s="0" t="n">
        <f aca="false">X2284+Z2284</f>
        <v>44.5720715883293</v>
      </c>
      <c r="AC2284" s="54" t="b">
        <f aca="false">AND(E2284&gt;=01_因子設定!$L$5-0.000000001,E2284&lt;=01_因子設定!$M$5+0.000000001,F2284&gt;=01_因子設定!$L$6-0.000000001,F2284&lt;=01_因子設定!$M$6+0.000000001,G2284&gt;=01_因子設定!$L$7-0.000000001,G2284&lt;=01_因子設定!$M$7+0.000000001,H2284&gt;=01_因子設定!$L$8-0.000000001,H2284&lt;=01_因子設定!$M$8+0.000000001,IF(01_因子設定!$B$20="Box-Behnken",E2284^2+F2284^2+G2284^2+H2284^2&lt;=2+0.000000001,TRUE()))</f>
        <v>1</v>
      </c>
      <c r="AD2284" s="55" t="n">
        <f aca="false">IF(AC2284,IF(01_因子設定!$B$13="最大化",AA2284-01_因子設定!$B$14,IF(01_因子設定!$B$13="最小化",01_因子設定!$B$15-AB2284,MIN(AA2284-01_因子設定!$B$14,01_因子設定!$B$15-AB2284))),-1E+030)</f>
        <v>-4.85115601815392</v>
      </c>
      <c r="AE2284" s="55" t="n">
        <f aca="false">IF(AC2284,IF(01_因子設定!$B$13="最大化",X2284,IF(01_因子設定!$B$13="最小化",-X2284,-ABS(X2284-01_因子設定!$B$16))),-1E+030)</f>
        <v>43.1104577850877</v>
      </c>
      <c r="AF2284" s="55" t="n">
        <f aca="false">AD2284+ROW()*0.000000001</f>
        <v>-4.85115373415392</v>
      </c>
      <c r="AG2284" s="55" t="n">
        <f aca="false">AE2284+ROW()*0.000000001</f>
        <v>43.1104600690877</v>
      </c>
    </row>
    <row r="2285" customFormat="false" ht="15" hidden="false" customHeight="false" outlineLevel="0" collapsed="false">
      <c r="A2285" s="0" t="n">
        <v>3</v>
      </c>
      <c r="B2285" s="0" t="n">
        <v>1</v>
      </c>
      <c r="C2285" s="0" t="n">
        <v>1</v>
      </c>
      <c r="D2285" s="0" t="n">
        <v>3</v>
      </c>
      <c r="E2285" s="0" t="n">
        <f aca="false">-1+A2285*0.25</f>
        <v>-0.25</v>
      </c>
      <c r="F2285" s="0" t="n">
        <f aca="false">-1+B2285*0.25</f>
        <v>-0.75</v>
      </c>
      <c r="G2285" s="0" t="n">
        <f aca="false">-1+C2285*0.25</f>
        <v>-0.75</v>
      </c>
      <c r="H2285" s="0" t="n">
        <f aca="false">-1+D2285*0.25</f>
        <v>-0.25</v>
      </c>
      <c r="I2285" s="0" t="n">
        <f aca="false">1</f>
        <v>1</v>
      </c>
      <c r="J2285" s="0" t="n">
        <f aca="false">E2285</f>
        <v>-0.25</v>
      </c>
      <c r="K2285" s="0" t="n">
        <f aca="false">F2285</f>
        <v>-0.75</v>
      </c>
      <c r="L2285" s="0" t="n">
        <f aca="false">G2285</f>
        <v>-0.75</v>
      </c>
      <c r="M2285" s="0" t="n">
        <f aca="false">H2285</f>
        <v>-0.25</v>
      </c>
      <c r="N2285" s="0" t="n">
        <f aca="false">E2285*F2285</f>
        <v>0.1875</v>
      </c>
      <c r="O2285" s="0" t="n">
        <f aca="false">E2285*G2285</f>
        <v>0.1875</v>
      </c>
      <c r="P2285" s="0" t="n">
        <f aca="false">E2285*H2285</f>
        <v>0.0625</v>
      </c>
      <c r="Q2285" s="0" t="n">
        <f aca="false">F2285*G2285</f>
        <v>0.5625</v>
      </c>
      <c r="R2285" s="0" t="n">
        <f aca="false">F2285*H2285</f>
        <v>0.1875</v>
      </c>
      <c r="S2285" s="0" t="n">
        <f aca="false">G2285*H2285</f>
        <v>0.1875</v>
      </c>
      <c r="T2285" s="0" t="n">
        <f aca="false">E2285*E2285</f>
        <v>0.0625</v>
      </c>
      <c r="U2285" s="0" t="n">
        <f aca="false">F2285*F2285</f>
        <v>0.5625</v>
      </c>
      <c r="V2285" s="0" t="n">
        <f aca="false">G2285*G2285</f>
        <v>0.5625</v>
      </c>
      <c r="W2285" s="0" t="n">
        <f aca="false">H2285*H2285</f>
        <v>0.0625</v>
      </c>
      <c r="X2285" s="0" t="n">
        <f aca="false">SUMPRODUCT(I2285:W2285,_XtX!$B$96:$P$96)</f>
        <v>43.2616822002923</v>
      </c>
      <c r="Y2285" s="0" t="n">
        <f aca="false">SUMPRODUCT(MMULT(I2285:W2285,_XtX!$B$78:$P$92),I2285:W2285)</f>
        <v>0.271087468019006</v>
      </c>
      <c r="Z2285" s="0" t="n">
        <f aca="false">04_回帰ANOVA!$K$19*04_回帰ANOVA!$K$14*SQRT(1+Y2285)</f>
        <v>1.46955590155034</v>
      </c>
      <c r="AA2285" s="0" t="n">
        <f aca="false">X2285-Z2285</f>
        <v>41.792126298742</v>
      </c>
      <c r="AB2285" s="0" t="n">
        <f aca="false">X2285+Z2285</f>
        <v>44.7312381018427</v>
      </c>
      <c r="AC2285" s="54" t="b">
        <f aca="false">AND(E2285&gt;=01_因子設定!$L$5-0.000000001,E2285&lt;=01_因子設定!$M$5+0.000000001,F2285&gt;=01_因子設定!$L$6-0.000000001,F2285&lt;=01_因子設定!$M$6+0.000000001,G2285&gt;=01_因子設定!$L$7-0.000000001,G2285&lt;=01_因子設定!$M$7+0.000000001,H2285&gt;=01_因子設定!$L$8-0.000000001,H2285&lt;=01_因子設定!$M$8+0.000000001,IF(01_因子設定!$B$20="Box-Behnken",E2285^2+F2285^2+G2285^2+H2285^2&lt;=2+0.000000001,TRUE()))</f>
        <v>1</v>
      </c>
      <c r="AD2285" s="55" t="n">
        <f aca="false">IF(AC2285,IF(01_因子設定!$B$13="最大化",AA2285-01_因子設定!$B$14,IF(01_因子設定!$B$13="最小化",01_因子設定!$B$15-AB2285,MIN(AA2285-01_因子設定!$B$14,01_因子設定!$B$15-AB2285))),-1E+030)</f>
        <v>-4.707873701258</v>
      </c>
      <c r="AE2285" s="55" t="n">
        <f aca="false">IF(AC2285,IF(01_因子設定!$B$13="最大化",X2285,IF(01_因子設定!$B$13="最小化",-X2285,-ABS(X2285-01_因子設定!$B$16))),-1E+030)</f>
        <v>43.2616822002923</v>
      </c>
      <c r="AF2285" s="55" t="n">
        <f aca="false">AD2285+ROW()*0.000000001</f>
        <v>-4.707871416258</v>
      </c>
      <c r="AG2285" s="55" t="n">
        <f aca="false">AE2285+ROW()*0.000000001</f>
        <v>43.2616844852923</v>
      </c>
    </row>
    <row r="2286" customFormat="false" ht="15" hidden="false" customHeight="false" outlineLevel="0" collapsed="false">
      <c r="A2286" s="0" t="n">
        <v>3</v>
      </c>
      <c r="B2286" s="0" t="n">
        <v>1</v>
      </c>
      <c r="C2286" s="0" t="n">
        <v>1</v>
      </c>
      <c r="D2286" s="0" t="n">
        <v>4</v>
      </c>
      <c r="E2286" s="0" t="n">
        <f aca="false">-1+A2286*0.25</f>
        <v>-0.25</v>
      </c>
      <c r="F2286" s="0" t="n">
        <f aca="false">-1+B2286*0.25</f>
        <v>-0.75</v>
      </c>
      <c r="G2286" s="0" t="n">
        <f aca="false">-1+C2286*0.25</f>
        <v>-0.75</v>
      </c>
      <c r="H2286" s="0" t="n">
        <f aca="false">-1+D2286*0.25</f>
        <v>0</v>
      </c>
      <c r="I2286" s="0" t="n">
        <f aca="false">1</f>
        <v>1</v>
      </c>
      <c r="J2286" s="0" t="n">
        <f aca="false">E2286</f>
        <v>-0.25</v>
      </c>
      <c r="K2286" s="0" t="n">
        <f aca="false">F2286</f>
        <v>-0.75</v>
      </c>
      <c r="L2286" s="0" t="n">
        <f aca="false">G2286</f>
        <v>-0.75</v>
      </c>
      <c r="M2286" s="0" t="n">
        <f aca="false">H2286</f>
        <v>0</v>
      </c>
      <c r="N2286" s="0" t="n">
        <f aca="false">E2286*F2286</f>
        <v>0.1875</v>
      </c>
      <c r="O2286" s="0" t="n">
        <f aca="false">E2286*G2286</f>
        <v>0.1875</v>
      </c>
      <c r="P2286" s="0" t="n">
        <f aca="false">E2286*H2286</f>
        <v>-0</v>
      </c>
      <c r="Q2286" s="0" t="n">
        <f aca="false">F2286*G2286</f>
        <v>0.5625</v>
      </c>
      <c r="R2286" s="0" t="n">
        <f aca="false">F2286*H2286</f>
        <v>-0</v>
      </c>
      <c r="S2286" s="0" t="n">
        <f aca="false">G2286*H2286</f>
        <v>-0</v>
      </c>
      <c r="T2286" s="0" t="n">
        <f aca="false">E2286*E2286</f>
        <v>0.0625</v>
      </c>
      <c r="U2286" s="0" t="n">
        <f aca="false">F2286*F2286</f>
        <v>0.5625</v>
      </c>
      <c r="V2286" s="0" t="n">
        <f aca="false">G2286*G2286</f>
        <v>0.5625</v>
      </c>
      <c r="W2286" s="0" t="n">
        <f aca="false">H2286*H2286</f>
        <v>0</v>
      </c>
      <c r="X2286" s="0" t="n">
        <f aca="false">SUMPRODUCT(I2286:W2286,_XtX!$B$96:$P$96)</f>
        <v>43.3650995979532</v>
      </c>
      <c r="Y2286" s="0" t="n">
        <f aca="false">SUMPRODUCT(MMULT(I2286:W2286,_XtX!$B$78:$P$92),I2286:W2286)</f>
        <v>0.281685455500731</v>
      </c>
      <c r="Z2286" s="0" t="n">
        <f aca="false">04_回帰ANOVA!$K$19*04_回帰ANOVA!$K$14*SQRT(1+Y2286)</f>
        <v>1.47566956658694</v>
      </c>
      <c r="AA2286" s="0" t="n">
        <f aca="false">X2286-Z2286</f>
        <v>41.8894300313662</v>
      </c>
      <c r="AB2286" s="0" t="n">
        <f aca="false">X2286+Z2286</f>
        <v>44.8407691645401</v>
      </c>
      <c r="AC2286" s="54" t="b">
        <f aca="false">AND(E2286&gt;=01_因子設定!$L$5-0.000000001,E2286&lt;=01_因子設定!$M$5+0.000000001,F2286&gt;=01_因子設定!$L$6-0.000000001,F2286&lt;=01_因子設定!$M$6+0.000000001,G2286&gt;=01_因子設定!$L$7-0.000000001,G2286&lt;=01_因子設定!$M$7+0.000000001,H2286&gt;=01_因子設定!$L$8-0.000000001,H2286&lt;=01_因子設定!$M$8+0.000000001,IF(01_因子設定!$B$20="Box-Behnken",E2286^2+F2286^2+G2286^2+H2286^2&lt;=2+0.000000001,TRUE()))</f>
        <v>1</v>
      </c>
      <c r="AD2286" s="55" t="n">
        <f aca="false">IF(AC2286,IF(01_因子設定!$B$13="最大化",AA2286-01_因子設定!$B$14,IF(01_因子設定!$B$13="最小化",01_因子設定!$B$15-AB2286,MIN(AA2286-01_因子設定!$B$14,01_因子設定!$B$15-AB2286))),-1E+030)</f>
        <v>-4.61056996863378</v>
      </c>
      <c r="AE2286" s="55" t="n">
        <f aca="false">IF(AC2286,IF(01_因子設定!$B$13="最大化",X2286,IF(01_因子設定!$B$13="最小化",-X2286,-ABS(X2286-01_因子設定!$B$16))),-1E+030)</f>
        <v>43.3650995979532</v>
      </c>
      <c r="AF2286" s="55" t="n">
        <f aca="false">AD2286+ROW()*0.000000001</f>
        <v>-4.61056768263378</v>
      </c>
      <c r="AG2286" s="55" t="n">
        <f aca="false">AE2286+ROW()*0.000000001</f>
        <v>43.3651018839532</v>
      </c>
    </row>
    <row r="2287" customFormat="false" ht="15" hidden="false" customHeight="false" outlineLevel="0" collapsed="false">
      <c r="A2287" s="0" t="n">
        <v>3</v>
      </c>
      <c r="B2287" s="0" t="n">
        <v>1</v>
      </c>
      <c r="C2287" s="0" t="n">
        <v>1</v>
      </c>
      <c r="D2287" s="0" t="n">
        <v>5</v>
      </c>
      <c r="E2287" s="0" t="n">
        <f aca="false">-1+A2287*0.25</f>
        <v>-0.25</v>
      </c>
      <c r="F2287" s="0" t="n">
        <f aca="false">-1+B2287*0.25</f>
        <v>-0.75</v>
      </c>
      <c r="G2287" s="0" t="n">
        <f aca="false">-1+C2287*0.25</f>
        <v>-0.75</v>
      </c>
      <c r="H2287" s="0" t="n">
        <f aca="false">-1+D2287*0.25</f>
        <v>0.25</v>
      </c>
      <c r="I2287" s="0" t="n">
        <f aca="false">1</f>
        <v>1</v>
      </c>
      <c r="J2287" s="0" t="n">
        <f aca="false">E2287</f>
        <v>-0.25</v>
      </c>
      <c r="K2287" s="0" t="n">
        <f aca="false">F2287</f>
        <v>-0.75</v>
      </c>
      <c r="L2287" s="0" t="n">
        <f aca="false">G2287</f>
        <v>-0.75</v>
      </c>
      <c r="M2287" s="0" t="n">
        <f aca="false">H2287</f>
        <v>0.25</v>
      </c>
      <c r="N2287" s="0" t="n">
        <f aca="false">E2287*F2287</f>
        <v>0.1875</v>
      </c>
      <c r="O2287" s="0" t="n">
        <f aca="false">E2287*G2287</f>
        <v>0.1875</v>
      </c>
      <c r="P2287" s="0" t="n">
        <f aca="false">E2287*H2287</f>
        <v>-0.0625</v>
      </c>
      <c r="Q2287" s="0" t="n">
        <f aca="false">F2287*G2287</f>
        <v>0.5625</v>
      </c>
      <c r="R2287" s="0" t="n">
        <f aca="false">F2287*H2287</f>
        <v>-0.1875</v>
      </c>
      <c r="S2287" s="0" t="n">
        <f aca="false">G2287*H2287</f>
        <v>-0.1875</v>
      </c>
      <c r="T2287" s="0" t="n">
        <f aca="false">E2287*E2287</f>
        <v>0.0625</v>
      </c>
      <c r="U2287" s="0" t="n">
        <f aca="false">F2287*F2287</f>
        <v>0.5625</v>
      </c>
      <c r="V2287" s="0" t="n">
        <f aca="false">G2287*G2287</f>
        <v>0.5625</v>
      </c>
      <c r="W2287" s="0" t="n">
        <f aca="false">H2287*H2287</f>
        <v>0.0625</v>
      </c>
      <c r="X2287" s="0" t="n">
        <f aca="false">SUMPRODUCT(I2287:W2287,_XtX!$B$96:$P$96)</f>
        <v>43.4207099780701</v>
      </c>
      <c r="Y2287" s="0" t="n">
        <f aca="false">SUMPRODUCT(MMULT(I2287:W2287,_XtX!$B$78:$P$92),I2287:W2287)</f>
        <v>0.271087468019006</v>
      </c>
      <c r="Z2287" s="0" t="n">
        <f aca="false">04_回帰ANOVA!$K$19*04_回帰ANOVA!$K$14*SQRT(1+Y2287)</f>
        <v>1.46955590155034</v>
      </c>
      <c r="AA2287" s="0" t="n">
        <f aca="false">X2287-Z2287</f>
        <v>41.9511540765198</v>
      </c>
      <c r="AB2287" s="0" t="n">
        <f aca="false">X2287+Z2287</f>
        <v>44.8902658796205</v>
      </c>
      <c r="AC2287" s="54" t="b">
        <f aca="false">AND(E2287&gt;=01_因子設定!$L$5-0.000000001,E2287&lt;=01_因子設定!$M$5+0.000000001,F2287&gt;=01_因子設定!$L$6-0.000000001,F2287&lt;=01_因子設定!$M$6+0.000000001,G2287&gt;=01_因子設定!$L$7-0.000000001,G2287&lt;=01_因子設定!$M$7+0.000000001,H2287&gt;=01_因子設定!$L$8-0.000000001,H2287&lt;=01_因子設定!$M$8+0.000000001,IF(01_因子設定!$B$20="Box-Behnken",E2287^2+F2287^2+G2287^2+H2287^2&lt;=2+0.000000001,TRUE()))</f>
        <v>1</v>
      </c>
      <c r="AD2287" s="55" t="n">
        <f aca="false">IF(AC2287,IF(01_因子設定!$B$13="最大化",AA2287-01_因子設定!$B$14,IF(01_因子設定!$B$13="最小化",01_因子設定!$B$15-AB2287,MIN(AA2287-01_因子設定!$B$14,01_因子設定!$B$15-AB2287))),-1E+030)</f>
        <v>-4.54884592348022</v>
      </c>
      <c r="AE2287" s="55" t="n">
        <f aca="false">IF(AC2287,IF(01_因子設定!$B$13="最大化",X2287,IF(01_因子設定!$B$13="最小化",-X2287,-ABS(X2287-01_因子設定!$B$16))),-1E+030)</f>
        <v>43.4207099780701</v>
      </c>
      <c r="AF2287" s="55" t="n">
        <f aca="false">AD2287+ROW()*0.000000001</f>
        <v>-4.54884363648022</v>
      </c>
      <c r="AG2287" s="55" t="n">
        <f aca="false">AE2287+ROW()*0.000000001</f>
        <v>43.4207122650701</v>
      </c>
    </row>
    <row r="2288" customFormat="false" ht="15" hidden="false" customHeight="false" outlineLevel="0" collapsed="false">
      <c r="A2288" s="0" t="n">
        <v>3</v>
      </c>
      <c r="B2288" s="0" t="n">
        <v>1</v>
      </c>
      <c r="C2288" s="0" t="n">
        <v>1</v>
      </c>
      <c r="D2288" s="0" t="n">
        <v>6</v>
      </c>
      <c r="E2288" s="0" t="n">
        <f aca="false">-1+A2288*0.25</f>
        <v>-0.25</v>
      </c>
      <c r="F2288" s="0" t="n">
        <f aca="false">-1+B2288*0.25</f>
        <v>-0.75</v>
      </c>
      <c r="G2288" s="0" t="n">
        <f aca="false">-1+C2288*0.25</f>
        <v>-0.75</v>
      </c>
      <c r="H2288" s="0" t="n">
        <f aca="false">-1+D2288*0.25</f>
        <v>0.5</v>
      </c>
      <c r="I2288" s="0" t="n">
        <f aca="false">1</f>
        <v>1</v>
      </c>
      <c r="J2288" s="0" t="n">
        <f aca="false">E2288</f>
        <v>-0.25</v>
      </c>
      <c r="K2288" s="0" t="n">
        <f aca="false">F2288</f>
        <v>-0.75</v>
      </c>
      <c r="L2288" s="0" t="n">
        <f aca="false">G2288</f>
        <v>-0.75</v>
      </c>
      <c r="M2288" s="0" t="n">
        <f aca="false">H2288</f>
        <v>0.5</v>
      </c>
      <c r="N2288" s="0" t="n">
        <f aca="false">E2288*F2288</f>
        <v>0.1875</v>
      </c>
      <c r="O2288" s="0" t="n">
        <f aca="false">E2288*G2288</f>
        <v>0.1875</v>
      </c>
      <c r="P2288" s="0" t="n">
        <f aca="false">E2288*H2288</f>
        <v>-0.125</v>
      </c>
      <c r="Q2288" s="0" t="n">
        <f aca="false">F2288*G2288</f>
        <v>0.5625</v>
      </c>
      <c r="R2288" s="0" t="n">
        <f aca="false">F2288*H2288</f>
        <v>-0.375</v>
      </c>
      <c r="S2288" s="0" t="n">
        <f aca="false">G2288*H2288</f>
        <v>-0.375</v>
      </c>
      <c r="T2288" s="0" t="n">
        <f aca="false">E2288*E2288</f>
        <v>0.0625</v>
      </c>
      <c r="U2288" s="0" t="n">
        <f aca="false">F2288*F2288</f>
        <v>0.5625</v>
      </c>
      <c r="V2288" s="0" t="n">
        <f aca="false">G2288*G2288</f>
        <v>0.5625</v>
      </c>
      <c r="W2288" s="0" t="n">
        <f aca="false">H2288*H2288</f>
        <v>0.25</v>
      </c>
      <c r="X2288" s="0" t="n">
        <f aca="false">SUMPRODUCT(I2288:W2288,_XtX!$B$96:$P$96)</f>
        <v>43.4285133406432</v>
      </c>
      <c r="Y2288" s="0" t="n">
        <f aca="false">SUMPRODUCT(MMULT(I2288:W2288,_XtX!$B$78:$P$92),I2288:W2288)</f>
        <v>0.257385610836988</v>
      </c>
      <c r="Z2288" s="0" t="n">
        <f aca="false">04_回帰ANOVA!$K$19*04_回帰ANOVA!$K$14*SQRT(1+Y2288)</f>
        <v>1.46161380324158</v>
      </c>
      <c r="AA2288" s="0" t="n">
        <f aca="false">X2288-Z2288</f>
        <v>41.9668995374016</v>
      </c>
      <c r="AB2288" s="0" t="n">
        <f aca="false">X2288+Z2288</f>
        <v>44.8901271438848</v>
      </c>
      <c r="AC2288" s="54" t="b">
        <f aca="false">AND(E2288&gt;=01_因子設定!$L$5-0.000000001,E2288&lt;=01_因子設定!$M$5+0.000000001,F2288&gt;=01_因子設定!$L$6-0.000000001,F2288&lt;=01_因子設定!$M$6+0.000000001,G2288&gt;=01_因子設定!$L$7-0.000000001,G2288&lt;=01_因子設定!$M$7+0.000000001,H2288&gt;=01_因子設定!$L$8-0.000000001,H2288&lt;=01_因子設定!$M$8+0.000000001,IF(01_因子設定!$B$20="Box-Behnken",E2288^2+F2288^2+G2288^2+H2288^2&lt;=2+0.000000001,TRUE()))</f>
        <v>1</v>
      </c>
      <c r="AD2288" s="55" t="n">
        <f aca="false">IF(AC2288,IF(01_因子設定!$B$13="最大化",AA2288-01_因子設定!$B$14,IF(01_因子設定!$B$13="最小化",01_因子設定!$B$15-AB2288,MIN(AA2288-01_因子設定!$B$14,01_因子設定!$B$15-AB2288))),-1E+030)</f>
        <v>-4.53310046259836</v>
      </c>
      <c r="AE2288" s="55" t="n">
        <f aca="false">IF(AC2288,IF(01_因子設定!$B$13="最大化",X2288,IF(01_因子設定!$B$13="最小化",-X2288,-ABS(X2288-01_因子設定!$B$16))),-1E+030)</f>
        <v>43.4285133406432</v>
      </c>
      <c r="AF2288" s="55" t="n">
        <f aca="false">AD2288+ROW()*0.000000001</f>
        <v>-4.53309817459836</v>
      </c>
      <c r="AG2288" s="55" t="n">
        <f aca="false">AE2288+ROW()*0.000000001</f>
        <v>43.4285156286432</v>
      </c>
    </row>
    <row r="2289" customFormat="false" ht="15" hidden="false" customHeight="false" outlineLevel="0" collapsed="false">
      <c r="A2289" s="0" t="n">
        <v>3</v>
      </c>
      <c r="B2289" s="0" t="n">
        <v>1</v>
      </c>
      <c r="C2289" s="0" t="n">
        <v>1</v>
      </c>
      <c r="D2289" s="0" t="n">
        <v>7</v>
      </c>
      <c r="E2289" s="0" t="n">
        <f aca="false">-1+A2289*0.25</f>
        <v>-0.25</v>
      </c>
      <c r="F2289" s="0" t="n">
        <f aca="false">-1+B2289*0.25</f>
        <v>-0.75</v>
      </c>
      <c r="G2289" s="0" t="n">
        <f aca="false">-1+C2289*0.25</f>
        <v>-0.75</v>
      </c>
      <c r="H2289" s="0" t="n">
        <f aca="false">-1+D2289*0.25</f>
        <v>0.75</v>
      </c>
      <c r="I2289" s="0" t="n">
        <f aca="false">1</f>
        <v>1</v>
      </c>
      <c r="J2289" s="0" t="n">
        <f aca="false">E2289</f>
        <v>-0.25</v>
      </c>
      <c r="K2289" s="0" t="n">
        <f aca="false">F2289</f>
        <v>-0.75</v>
      </c>
      <c r="L2289" s="0" t="n">
        <f aca="false">G2289</f>
        <v>-0.75</v>
      </c>
      <c r="M2289" s="0" t="n">
        <f aca="false">H2289</f>
        <v>0.75</v>
      </c>
      <c r="N2289" s="0" t="n">
        <f aca="false">E2289*F2289</f>
        <v>0.1875</v>
      </c>
      <c r="O2289" s="0" t="n">
        <f aca="false">E2289*G2289</f>
        <v>0.1875</v>
      </c>
      <c r="P2289" s="0" t="n">
        <f aca="false">E2289*H2289</f>
        <v>-0.1875</v>
      </c>
      <c r="Q2289" s="0" t="n">
        <f aca="false">F2289*G2289</f>
        <v>0.5625</v>
      </c>
      <c r="R2289" s="0" t="n">
        <f aca="false">F2289*H2289</f>
        <v>-0.5625</v>
      </c>
      <c r="S2289" s="0" t="n">
        <f aca="false">G2289*H2289</f>
        <v>-0.5625</v>
      </c>
      <c r="T2289" s="0" t="n">
        <f aca="false">E2289*E2289</f>
        <v>0.0625</v>
      </c>
      <c r="U2289" s="0" t="n">
        <f aca="false">F2289*F2289</f>
        <v>0.5625</v>
      </c>
      <c r="V2289" s="0" t="n">
        <f aca="false">G2289*G2289</f>
        <v>0.5625</v>
      </c>
      <c r="W2289" s="0" t="n">
        <f aca="false">H2289*H2289</f>
        <v>0.5625</v>
      </c>
      <c r="X2289" s="0" t="n">
        <f aca="false">SUMPRODUCT(I2289:W2289,_XtX!$B$96:$P$96)</f>
        <v>43.3885096856725</v>
      </c>
      <c r="Y2289" s="0" t="n">
        <f aca="false">SUMPRODUCT(MMULT(I2289:W2289,_XtX!$B$78:$P$92),I2289:W2289)</f>
        <v>0.294856199744152</v>
      </c>
      <c r="Z2289" s="0" t="n">
        <f aca="false">04_回帰ANOVA!$K$19*04_回帰ANOVA!$K$14*SQRT(1+Y2289)</f>
        <v>1.48323226089013</v>
      </c>
      <c r="AA2289" s="0" t="n">
        <f aca="false">X2289-Z2289</f>
        <v>41.9052774247823</v>
      </c>
      <c r="AB2289" s="0" t="n">
        <f aca="false">X2289+Z2289</f>
        <v>44.8717419465626</v>
      </c>
      <c r="AC2289" s="54" t="b">
        <f aca="false">AND(E2289&gt;=01_因子設定!$L$5-0.000000001,E2289&lt;=01_因子設定!$M$5+0.000000001,F2289&gt;=01_因子設定!$L$6-0.000000001,F2289&lt;=01_因子設定!$M$6+0.000000001,G2289&gt;=01_因子設定!$L$7-0.000000001,G2289&lt;=01_因子設定!$M$7+0.000000001,H2289&gt;=01_因子設定!$L$8-0.000000001,H2289&lt;=01_因子設定!$M$8+0.000000001,IF(01_因子設定!$B$20="Box-Behnken",E2289^2+F2289^2+G2289^2+H2289^2&lt;=2+0.000000001,TRUE()))</f>
        <v>1</v>
      </c>
      <c r="AD2289" s="55" t="n">
        <f aca="false">IF(AC2289,IF(01_因子設定!$B$13="最大化",AA2289-01_因子設定!$B$14,IF(01_因子設定!$B$13="最小化",01_因子設定!$B$15-AB2289,MIN(AA2289-01_因子設定!$B$14,01_因子設定!$B$15-AB2289))),-1E+030)</f>
        <v>-4.59472257521766</v>
      </c>
      <c r="AE2289" s="55" t="n">
        <f aca="false">IF(AC2289,IF(01_因子設定!$B$13="最大化",X2289,IF(01_因子設定!$B$13="最小化",-X2289,-ABS(X2289-01_因子設定!$B$16))),-1E+030)</f>
        <v>43.3885096856725</v>
      </c>
      <c r="AF2289" s="55" t="n">
        <f aca="false">AD2289+ROW()*0.000000001</f>
        <v>-4.59472028621766</v>
      </c>
      <c r="AG2289" s="55" t="n">
        <f aca="false">AE2289+ROW()*0.000000001</f>
        <v>43.3885119746725</v>
      </c>
    </row>
    <row r="2290" customFormat="false" ht="15" hidden="false" customHeight="false" outlineLevel="0" collapsed="false">
      <c r="A2290" s="0" t="n">
        <v>3</v>
      </c>
      <c r="B2290" s="0" t="n">
        <v>1</v>
      </c>
      <c r="C2290" s="0" t="n">
        <v>1</v>
      </c>
      <c r="D2290" s="0" t="n">
        <v>8</v>
      </c>
      <c r="E2290" s="0" t="n">
        <f aca="false">-1+A2290*0.25</f>
        <v>-0.25</v>
      </c>
      <c r="F2290" s="0" t="n">
        <f aca="false">-1+B2290*0.25</f>
        <v>-0.75</v>
      </c>
      <c r="G2290" s="0" t="n">
        <f aca="false">-1+C2290*0.25</f>
        <v>-0.75</v>
      </c>
      <c r="H2290" s="0" t="n">
        <f aca="false">-1+D2290*0.25</f>
        <v>1</v>
      </c>
      <c r="I2290" s="0" t="n">
        <f aca="false">1</f>
        <v>1</v>
      </c>
      <c r="J2290" s="0" t="n">
        <f aca="false">E2290</f>
        <v>-0.25</v>
      </c>
      <c r="K2290" s="0" t="n">
        <f aca="false">F2290</f>
        <v>-0.75</v>
      </c>
      <c r="L2290" s="0" t="n">
        <f aca="false">G2290</f>
        <v>-0.75</v>
      </c>
      <c r="M2290" s="0" t="n">
        <f aca="false">H2290</f>
        <v>1</v>
      </c>
      <c r="N2290" s="0" t="n">
        <f aca="false">E2290*F2290</f>
        <v>0.1875</v>
      </c>
      <c r="O2290" s="0" t="n">
        <f aca="false">E2290*G2290</f>
        <v>0.1875</v>
      </c>
      <c r="P2290" s="0" t="n">
        <f aca="false">E2290*H2290</f>
        <v>-0.25</v>
      </c>
      <c r="Q2290" s="0" t="n">
        <f aca="false">F2290*G2290</f>
        <v>0.5625</v>
      </c>
      <c r="R2290" s="0" t="n">
        <f aca="false">F2290*H2290</f>
        <v>-0.75</v>
      </c>
      <c r="S2290" s="0" t="n">
        <f aca="false">G2290*H2290</f>
        <v>-0.75</v>
      </c>
      <c r="T2290" s="0" t="n">
        <f aca="false">E2290*E2290</f>
        <v>0.0625</v>
      </c>
      <c r="U2290" s="0" t="n">
        <f aca="false">F2290*F2290</f>
        <v>0.5625</v>
      </c>
      <c r="V2290" s="0" t="n">
        <f aca="false">G2290*G2290</f>
        <v>0.5625</v>
      </c>
      <c r="W2290" s="0" t="n">
        <f aca="false">H2290*H2290</f>
        <v>1</v>
      </c>
      <c r="X2290" s="0" t="n">
        <f aca="false">SUMPRODUCT(I2290:W2290,_XtX!$B$96:$P$96)</f>
        <v>43.3006990131579</v>
      </c>
      <c r="Y2290" s="0" t="n">
        <f aca="false">SUMPRODUCT(MMULT(I2290:W2290,_XtX!$B$78:$P$92),I2290:W2290)</f>
        <v>0.473959761056287</v>
      </c>
      <c r="Z2290" s="0" t="n">
        <f aca="false">04_回帰ANOVA!$K$19*04_回帰ANOVA!$K$14*SQRT(1+Y2290)</f>
        <v>1.58249084588329</v>
      </c>
      <c r="AA2290" s="0" t="n">
        <f aca="false">X2290-Z2290</f>
        <v>41.7182081672746</v>
      </c>
      <c r="AB2290" s="0" t="n">
        <f aca="false">X2290+Z2290</f>
        <v>44.8831898590412</v>
      </c>
      <c r="AC2290" s="54" t="b">
        <f aca="false">AND(E2290&gt;=01_因子設定!$L$5-0.000000001,E2290&lt;=01_因子設定!$M$5+0.000000001,F2290&gt;=01_因子設定!$L$6-0.000000001,F2290&lt;=01_因子設定!$M$6+0.000000001,G2290&gt;=01_因子設定!$L$7-0.000000001,G2290&lt;=01_因子設定!$M$7+0.000000001,H2290&gt;=01_因子設定!$L$8-0.000000001,H2290&lt;=01_因子設定!$M$8+0.000000001,IF(01_因子設定!$B$20="Box-Behnken",E2290^2+F2290^2+G2290^2+H2290^2&lt;=2+0.000000001,TRUE()))</f>
        <v>1</v>
      </c>
      <c r="AD2290" s="55" t="n">
        <f aca="false">IF(AC2290,IF(01_因子設定!$B$13="最大化",AA2290-01_因子設定!$B$14,IF(01_因子設定!$B$13="最小化",01_因子設定!$B$15-AB2290,MIN(AA2290-01_因子設定!$B$14,01_因子設定!$B$15-AB2290))),-1E+030)</f>
        <v>-4.78179183272541</v>
      </c>
      <c r="AE2290" s="55" t="n">
        <f aca="false">IF(AC2290,IF(01_因子設定!$B$13="最大化",X2290,IF(01_因子設定!$B$13="最小化",-X2290,-ABS(X2290-01_因子設定!$B$16))),-1E+030)</f>
        <v>43.3006990131579</v>
      </c>
      <c r="AF2290" s="55" t="n">
        <f aca="false">AD2290+ROW()*0.000000001</f>
        <v>-4.78178954272541</v>
      </c>
      <c r="AG2290" s="55" t="n">
        <f aca="false">AE2290+ROW()*0.000000001</f>
        <v>43.3007013031579</v>
      </c>
    </row>
    <row r="2291" customFormat="false" ht="15" hidden="false" customHeight="false" outlineLevel="0" collapsed="false">
      <c r="A2291" s="0" t="n">
        <v>3</v>
      </c>
      <c r="B2291" s="0" t="n">
        <v>1</v>
      </c>
      <c r="C2291" s="0" t="n">
        <v>2</v>
      </c>
      <c r="D2291" s="0" t="n">
        <v>0</v>
      </c>
      <c r="E2291" s="0" t="n">
        <f aca="false">-1+A2291*0.25</f>
        <v>-0.25</v>
      </c>
      <c r="F2291" s="0" t="n">
        <f aca="false">-1+B2291*0.25</f>
        <v>-0.75</v>
      </c>
      <c r="G2291" s="0" t="n">
        <f aca="false">-1+C2291*0.25</f>
        <v>-0.5</v>
      </c>
      <c r="H2291" s="0" t="n">
        <f aca="false">-1+D2291*0.25</f>
        <v>-1</v>
      </c>
      <c r="I2291" s="0" t="n">
        <f aca="false">1</f>
        <v>1</v>
      </c>
      <c r="J2291" s="0" t="n">
        <f aca="false">E2291</f>
        <v>-0.25</v>
      </c>
      <c r="K2291" s="0" t="n">
        <f aca="false">F2291</f>
        <v>-0.75</v>
      </c>
      <c r="L2291" s="0" t="n">
        <f aca="false">G2291</f>
        <v>-0.5</v>
      </c>
      <c r="M2291" s="0" t="n">
        <f aca="false">H2291</f>
        <v>-1</v>
      </c>
      <c r="N2291" s="0" t="n">
        <f aca="false">E2291*F2291</f>
        <v>0.1875</v>
      </c>
      <c r="O2291" s="0" t="n">
        <f aca="false">E2291*G2291</f>
        <v>0.125</v>
      </c>
      <c r="P2291" s="0" t="n">
        <f aca="false">E2291*H2291</f>
        <v>0.25</v>
      </c>
      <c r="Q2291" s="0" t="n">
        <f aca="false">F2291*G2291</f>
        <v>0.375</v>
      </c>
      <c r="R2291" s="0" t="n">
        <f aca="false">F2291*H2291</f>
        <v>0.75</v>
      </c>
      <c r="S2291" s="0" t="n">
        <f aca="false">G2291*H2291</f>
        <v>0.5</v>
      </c>
      <c r="T2291" s="0" t="n">
        <f aca="false">E2291*E2291</f>
        <v>0.0625</v>
      </c>
      <c r="U2291" s="0" t="n">
        <f aca="false">F2291*F2291</f>
        <v>0.5625</v>
      </c>
      <c r="V2291" s="0" t="n">
        <f aca="false">G2291*G2291</f>
        <v>0.25</v>
      </c>
      <c r="W2291" s="0" t="n">
        <f aca="false">H2291*H2291</f>
        <v>1</v>
      </c>
      <c r="X2291" s="0" t="n">
        <f aca="false">SUMPRODUCT(I2291:W2291,_XtX!$B$96:$P$96)</f>
        <v>43.0338450292397</v>
      </c>
      <c r="Y2291" s="0" t="n">
        <f aca="false">SUMPRODUCT(MMULT(I2291:W2291,_XtX!$B$78:$P$92),I2291:W2291)</f>
        <v>0.459125719572369</v>
      </c>
      <c r="Z2291" s="0" t="n">
        <f aca="false">04_回帰ANOVA!$K$19*04_回帰ANOVA!$K$14*SQRT(1+Y2291)</f>
        <v>1.57450755575573</v>
      </c>
      <c r="AA2291" s="0" t="n">
        <f aca="false">X2291-Z2291</f>
        <v>41.459337473484</v>
      </c>
      <c r="AB2291" s="0" t="n">
        <f aca="false">X2291+Z2291</f>
        <v>44.6083525849955</v>
      </c>
      <c r="AC2291" s="54" t="b">
        <f aca="false">AND(E2291&gt;=01_因子設定!$L$5-0.000000001,E2291&lt;=01_因子設定!$M$5+0.000000001,F2291&gt;=01_因子設定!$L$6-0.000000001,F2291&lt;=01_因子設定!$M$6+0.000000001,G2291&gt;=01_因子設定!$L$7-0.000000001,G2291&lt;=01_因子設定!$M$7+0.000000001,H2291&gt;=01_因子設定!$L$8-0.000000001,H2291&lt;=01_因子設定!$M$8+0.000000001,IF(01_因子設定!$B$20="Box-Behnken",E2291^2+F2291^2+G2291^2+H2291^2&lt;=2+0.000000001,TRUE()))</f>
        <v>1</v>
      </c>
      <c r="AD2291" s="55" t="n">
        <f aca="false">IF(AC2291,IF(01_因子設定!$B$13="最大化",AA2291-01_因子設定!$B$14,IF(01_因子設定!$B$13="最小化",01_因子設定!$B$15-AB2291,MIN(AA2291-01_因子設定!$B$14,01_因子設定!$B$15-AB2291))),-1E+030)</f>
        <v>-5.04066252651599</v>
      </c>
      <c r="AE2291" s="55" t="n">
        <f aca="false">IF(AC2291,IF(01_因子設定!$B$13="最大化",X2291,IF(01_因子設定!$B$13="最小化",-X2291,-ABS(X2291-01_因子設定!$B$16))),-1E+030)</f>
        <v>43.0338450292397</v>
      </c>
      <c r="AF2291" s="55" t="n">
        <f aca="false">AD2291+ROW()*0.000000001</f>
        <v>-5.04066023551599</v>
      </c>
      <c r="AG2291" s="55" t="n">
        <f aca="false">AE2291+ROW()*0.000000001</f>
        <v>43.0338473202397</v>
      </c>
    </row>
    <row r="2292" customFormat="false" ht="15" hidden="false" customHeight="false" outlineLevel="0" collapsed="false">
      <c r="A2292" s="0" t="n">
        <v>3</v>
      </c>
      <c r="B2292" s="0" t="n">
        <v>1</v>
      </c>
      <c r="C2292" s="0" t="n">
        <v>2</v>
      </c>
      <c r="D2292" s="0" t="n">
        <v>1</v>
      </c>
      <c r="E2292" s="0" t="n">
        <f aca="false">-1+A2292*0.25</f>
        <v>-0.25</v>
      </c>
      <c r="F2292" s="0" t="n">
        <f aca="false">-1+B2292*0.25</f>
        <v>-0.75</v>
      </c>
      <c r="G2292" s="0" t="n">
        <f aca="false">-1+C2292*0.25</f>
        <v>-0.5</v>
      </c>
      <c r="H2292" s="0" t="n">
        <f aca="false">-1+D2292*0.25</f>
        <v>-0.75</v>
      </c>
      <c r="I2292" s="0" t="n">
        <f aca="false">1</f>
        <v>1</v>
      </c>
      <c r="J2292" s="0" t="n">
        <f aca="false">E2292</f>
        <v>-0.25</v>
      </c>
      <c r="K2292" s="0" t="n">
        <f aca="false">F2292</f>
        <v>-0.75</v>
      </c>
      <c r="L2292" s="0" t="n">
        <f aca="false">G2292</f>
        <v>-0.5</v>
      </c>
      <c r="M2292" s="0" t="n">
        <f aca="false">H2292</f>
        <v>-0.75</v>
      </c>
      <c r="N2292" s="0" t="n">
        <f aca="false">E2292*F2292</f>
        <v>0.1875</v>
      </c>
      <c r="O2292" s="0" t="n">
        <f aca="false">E2292*G2292</f>
        <v>0.125</v>
      </c>
      <c r="P2292" s="0" t="n">
        <f aca="false">E2292*H2292</f>
        <v>0.1875</v>
      </c>
      <c r="Q2292" s="0" t="n">
        <f aca="false">F2292*G2292</f>
        <v>0.375</v>
      </c>
      <c r="R2292" s="0" t="n">
        <f aca="false">F2292*H2292</f>
        <v>0.5625</v>
      </c>
      <c r="S2292" s="0" t="n">
        <f aca="false">G2292*H2292</f>
        <v>0.375</v>
      </c>
      <c r="T2292" s="0" t="n">
        <f aca="false">E2292*E2292</f>
        <v>0.0625</v>
      </c>
      <c r="U2292" s="0" t="n">
        <f aca="false">F2292*F2292</f>
        <v>0.5625</v>
      </c>
      <c r="V2292" s="0" t="n">
        <f aca="false">G2292*G2292</f>
        <v>0.25</v>
      </c>
      <c r="W2292" s="0" t="n">
        <f aca="false">H2292*H2292</f>
        <v>0.5625</v>
      </c>
      <c r="X2292" s="0" t="n">
        <f aca="false">SUMPRODUCT(I2292:W2292,_XtX!$B$96:$P$96)</f>
        <v>43.2986522295321</v>
      </c>
      <c r="Y2292" s="0" t="n">
        <f aca="false">SUMPRODUCT(MMULT(I2292:W2292,_XtX!$B$78:$P$92),I2292:W2292)</f>
        <v>0.257385610836988</v>
      </c>
      <c r="Z2292" s="0" t="n">
        <f aca="false">04_回帰ANOVA!$K$19*04_回帰ANOVA!$K$14*SQRT(1+Y2292)</f>
        <v>1.46161380324158</v>
      </c>
      <c r="AA2292" s="0" t="n">
        <f aca="false">X2292-Z2292</f>
        <v>41.8370384262905</v>
      </c>
      <c r="AB2292" s="0" t="n">
        <f aca="false">X2292+Z2292</f>
        <v>44.7602660327737</v>
      </c>
      <c r="AC2292" s="54" t="b">
        <f aca="false">AND(E2292&gt;=01_因子設定!$L$5-0.000000001,E2292&lt;=01_因子設定!$M$5+0.000000001,F2292&gt;=01_因子設定!$L$6-0.000000001,F2292&lt;=01_因子設定!$M$6+0.000000001,G2292&gt;=01_因子設定!$L$7-0.000000001,G2292&lt;=01_因子設定!$M$7+0.000000001,H2292&gt;=01_因子設定!$L$8-0.000000001,H2292&lt;=01_因子設定!$M$8+0.000000001,IF(01_因子設定!$B$20="Box-Behnken",E2292^2+F2292^2+G2292^2+H2292^2&lt;=2+0.000000001,TRUE()))</f>
        <v>1</v>
      </c>
      <c r="AD2292" s="55" t="n">
        <f aca="false">IF(AC2292,IF(01_因子設定!$B$13="最大化",AA2292-01_因子設定!$B$14,IF(01_因子設定!$B$13="最小化",01_因子設定!$B$15-AB2292,MIN(AA2292-01_因子設定!$B$14,01_因子設定!$B$15-AB2292))),-1E+030)</f>
        <v>-4.66296157370946</v>
      </c>
      <c r="AE2292" s="55" t="n">
        <f aca="false">IF(AC2292,IF(01_因子設定!$B$13="最大化",X2292,IF(01_因子設定!$B$13="最小化",-X2292,-ABS(X2292-01_因子設定!$B$16))),-1E+030)</f>
        <v>43.2986522295321</v>
      </c>
      <c r="AF2292" s="55" t="n">
        <f aca="false">AD2292+ROW()*0.000000001</f>
        <v>-4.66295928170946</v>
      </c>
      <c r="AG2292" s="55" t="n">
        <f aca="false">AE2292+ROW()*0.000000001</f>
        <v>43.2986545215321</v>
      </c>
    </row>
    <row r="2293" customFormat="false" ht="15" hidden="false" customHeight="false" outlineLevel="0" collapsed="false">
      <c r="A2293" s="0" t="n">
        <v>3</v>
      </c>
      <c r="B2293" s="0" t="n">
        <v>1</v>
      </c>
      <c r="C2293" s="0" t="n">
        <v>2</v>
      </c>
      <c r="D2293" s="0" t="n">
        <v>2</v>
      </c>
      <c r="E2293" s="0" t="n">
        <f aca="false">-1+A2293*0.25</f>
        <v>-0.25</v>
      </c>
      <c r="F2293" s="0" t="n">
        <f aca="false">-1+B2293*0.25</f>
        <v>-0.75</v>
      </c>
      <c r="G2293" s="0" t="n">
        <f aca="false">-1+C2293*0.25</f>
        <v>-0.5</v>
      </c>
      <c r="H2293" s="0" t="n">
        <f aca="false">-1+D2293*0.25</f>
        <v>-0.5</v>
      </c>
      <c r="I2293" s="0" t="n">
        <f aca="false">1</f>
        <v>1</v>
      </c>
      <c r="J2293" s="0" t="n">
        <f aca="false">E2293</f>
        <v>-0.25</v>
      </c>
      <c r="K2293" s="0" t="n">
        <f aca="false">F2293</f>
        <v>-0.75</v>
      </c>
      <c r="L2293" s="0" t="n">
        <f aca="false">G2293</f>
        <v>-0.5</v>
      </c>
      <c r="M2293" s="0" t="n">
        <f aca="false">H2293</f>
        <v>-0.5</v>
      </c>
      <c r="N2293" s="0" t="n">
        <f aca="false">E2293*F2293</f>
        <v>0.1875</v>
      </c>
      <c r="O2293" s="0" t="n">
        <f aca="false">E2293*G2293</f>
        <v>0.125</v>
      </c>
      <c r="P2293" s="0" t="n">
        <f aca="false">E2293*H2293</f>
        <v>0.125</v>
      </c>
      <c r="Q2293" s="0" t="n">
        <f aca="false">F2293*G2293</f>
        <v>0.375</v>
      </c>
      <c r="R2293" s="0" t="n">
        <f aca="false">F2293*H2293</f>
        <v>0.375</v>
      </c>
      <c r="S2293" s="0" t="n">
        <f aca="false">G2293*H2293</f>
        <v>0.25</v>
      </c>
      <c r="T2293" s="0" t="n">
        <f aca="false">E2293*E2293</f>
        <v>0.0625</v>
      </c>
      <c r="U2293" s="0" t="n">
        <f aca="false">F2293*F2293</f>
        <v>0.5625</v>
      </c>
      <c r="V2293" s="0" t="n">
        <f aca="false">G2293*G2293</f>
        <v>0.25</v>
      </c>
      <c r="W2293" s="0" t="n">
        <f aca="false">H2293*H2293</f>
        <v>0.25</v>
      </c>
      <c r="X2293" s="0" t="n">
        <f aca="false">SUMPRODUCT(I2293:W2293,_XtX!$B$96:$P$96)</f>
        <v>43.5156524122807</v>
      </c>
      <c r="Y2293" s="0" t="n">
        <f aca="false">SUMPRODUCT(MMULT(I2293:W2293,_XtX!$B$78:$P$92),I2293:W2293)</f>
        <v>0.203746059484649</v>
      </c>
      <c r="Z2293" s="0" t="n">
        <f aca="false">04_回帰ANOVA!$K$19*04_回帰ANOVA!$K$14*SQRT(1+Y2293)</f>
        <v>1.43009810755465</v>
      </c>
      <c r="AA2293" s="0" t="n">
        <f aca="false">X2293-Z2293</f>
        <v>42.085554304726</v>
      </c>
      <c r="AB2293" s="0" t="n">
        <f aca="false">X2293+Z2293</f>
        <v>44.9457505198353</v>
      </c>
      <c r="AC2293" s="54" t="b">
        <f aca="false">AND(E2293&gt;=01_因子設定!$L$5-0.000000001,E2293&lt;=01_因子設定!$M$5+0.000000001,F2293&gt;=01_因子設定!$L$6-0.000000001,F2293&lt;=01_因子設定!$M$6+0.000000001,G2293&gt;=01_因子設定!$L$7-0.000000001,G2293&lt;=01_因子設定!$M$7+0.000000001,H2293&gt;=01_因子設定!$L$8-0.000000001,H2293&lt;=01_因子設定!$M$8+0.000000001,IF(01_因子設定!$B$20="Box-Behnken",E2293^2+F2293^2+G2293^2+H2293^2&lt;=2+0.000000001,TRUE()))</f>
        <v>1</v>
      </c>
      <c r="AD2293" s="55" t="n">
        <f aca="false">IF(AC2293,IF(01_因子設定!$B$13="最大化",AA2293-01_因子設定!$B$14,IF(01_因子設定!$B$13="最小化",01_因子設定!$B$15-AB2293,MIN(AA2293-01_因子設定!$B$14,01_因子設定!$B$15-AB2293))),-1E+030)</f>
        <v>-4.414445695274</v>
      </c>
      <c r="AE2293" s="55" t="n">
        <f aca="false">IF(AC2293,IF(01_因子設定!$B$13="最大化",X2293,IF(01_因子設定!$B$13="最小化",-X2293,-ABS(X2293-01_因子設定!$B$16))),-1E+030)</f>
        <v>43.5156524122807</v>
      </c>
      <c r="AF2293" s="55" t="n">
        <f aca="false">AD2293+ROW()*0.000000001</f>
        <v>-4.414443402274</v>
      </c>
      <c r="AG2293" s="55" t="n">
        <f aca="false">AE2293+ROW()*0.000000001</f>
        <v>43.5156547052807</v>
      </c>
    </row>
    <row r="2294" customFormat="false" ht="15" hidden="false" customHeight="false" outlineLevel="0" collapsed="false">
      <c r="A2294" s="0" t="n">
        <v>3</v>
      </c>
      <c r="B2294" s="0" t="n">
        <v>1</v>
      </c>
      <c r="C2294" s="0" t="n">
        <v>2</v>
      </c>
      <c r="D2294" s="0" t="n">
        <v>3</v>
      </c>
      <c r="E2294" s="0" t="n">
        <f aca="false">-1+A2294*0.25</f>
        <v>-0.25</v>
      </c>
      <c r="F2294" s="0" t="n">
        <f aca="false">-1+B2294*0.25</f>
        <v>-0.75</v>
      </c>
      <c r="G2294" s="0" t="n">
        <f aca="false">-1+C2294*0.25</f>
        <v>-0.5</v>
      </c>
      <c r="H2294" s="0" t="n">
        <f aca="false">-1+D2294*0.25</f>
        <v>-0.25</v>
      </c>
      <c r="I2294" s="0" t="n">
        <f aca="false">1</f>
        <v>1</v>
      </c>
      <c r="J2294" s="0" t="n">
        <f aca="false">E2294</f>
        <v>-0.25</v>
      </c>
      <c r="K2294" s="0" t="n">
        <f aca="false">F2294</f>
        <v>-0.75</v>
      </c>
      <c r="L2294" s="0" t="n">
        <f aca="false">G2294</f>
        <v>-0.5</v>
      </c>
      <c r="M2294" s="0" t="n">
        <f aca="false">H2294</f>
        <v>-0.25</v>
      </c>
      <c r="N2294" s="0" t="n">
        <f aca="false">E2294*F2294</f>
        <v>0.1875</v>
      </c>
      <c r="O2294" s="0" t="n">
        <f aca="false">E2294*G2294</f>
        <v>0.125</v>
      </c>
      <c r="P2294" s="0" t="n">
        <f aca="false">E2294*H2294</f>
        <v>0.0625</v>
      </c>
      <c r="Q2294" s="0" t="n">
        <f aca="false">F2294*G2294</f>
        <v>0.375</v>
      </c>
      <c r="R2294" s="0" t="n">
        <f aca="false">F2294*H2294</f>
        <v>0.1875</v>
      </c>
      <c r="S2294" s="0" t="n">
        <f aca="false">G2294*H2294</f>
        <v>0.125</v>
      </c>
      <c r="T2294" s="0" t="n">
        <f aca="false">E2294*E2294</f>
        <v>0.0625</v>
      </c>
      <c r="U2294" s="0" t="n">
        <f aca="false">F2294*F2294</f>
        <v>0.5625</v>
      </c>
      <c r="V2294" s="0" t="n">
        <f aca="false">G2294*G2294</f>
        <v>0.25</v>
      </c>
      <c r="W2294" s="0" t="n">
        <f aca="false">H2294*H2294</f>
        <v>0.0625</v>
      </c>
      <c r="X2294" s="0" t="n">
        <f aca="false">SUMPRODUCT(I2294:W2294,_XtX!$B$96:$P$96)</f>
        <v>43.6848455774853</v>
      </c>
      <c r="Y2294" s="0" t="n">
        <f aca="false">SUMPRODUCT(MMULT(I2294:W2294,_XtX!$B$78:$P$92),I2294:W2294)</f>
        <v>0.207746539199561</v>
      </c>
      <c r="Z2294" s="0" t="n">
        <f aca="false">04_回帰ANOVA!$K$19*04_回帰ANOVA!$K$14*SQRT(1+Y2294)</f>
        <v>1.43247250081141</v>
      </c>
      <c r="AA2294" s="0" t="n">
        <f aca="false">X2294-Z2294</f>
        <v>42.2523730766739</v>
      </c>
      <c r="AB2294" s="0" t="n">
        <f aca="false">X2294+Z2294</f>
        <v>45.1173180782967</v>
      </c>
      <c r="AC2294" s="54" t="b">
        <f aca="false">AND(E2294&gt;=01_因子設定!$L$5-0.000000001,E2294&lt;=01_因子設定!$M$5+0.000000001,F2294&gt;=01_因子設定!$L$6-0.000000001,F2294&lt;=01_因子設定!$M$6+0.000000001,G2294&gt;=01_因子設定!$L$7-0.000000001,G2294&lt;=01_因子設定!$M$7+0.000000001,H2294&gt;=01_因子設定!$L$8-0.000000001,H2294&lt;=01_因子設定!$M$8+0.000000001,IF(01_因子設定!$B$20="Box-Behnken",E2294^2+F2294^2+G2294^2+H2294^2&lt;=2+0.000000001,TRUE()))</f>
        <v>1</v>
      </c>
      <c r="AD2294" s="55" t="n">
        <f aca="false">IF(AC2294,IF(01_因子設定!$B$13="最大化",AA2294-01_因子設定!$B$14,IF(01_因子設定!$B$13="最小化",01_因子設定!$B$15-AB2294,MIN(AA2294-01_因子設定!$B$14,01_因子設定!$B$15-AB2294))),-1E+030)</f>
        <v>-4.24762692332609</v>
      </c>
      <c r="AE2294" s="55" t="n">
        <f aca="false">IF(AC2294,IF(01_因子設定!$B$13="最大化",X2294,IF(01_因子設定!$B$13="最小化",-X2294,-ABS(X2294-01_因子設定!$B$16))),-1E+030)</f>
        <v>43.6848455774853</v>
      </c>
      <c r="AF2294" s="55" t="n">
        <f aca="false">AD2294+ROW()*0.000000001</f>
        <v>-4.24762462932609</v>
      </c>
      <c r="AG2294" s="55" t="n">
        <f aca="false">AE2294+ROW()*0.000000001</f>
        <v>43.6848478714853</v>
      </c>
    </row>
    <row r="2295" customFormat="false" ht="15" hidden="false" customHeight="false" outlineLevel="0" collapsed="false">
      <c r="A2295" s="0" t="n">
        <v>3</v>
      </c>
      <c r="B2295" s="0" t="n">
        <v>1</v>
      </c>
      <c r="C2295" s="0" t="n">
        <v>2</v>
      </c>
      <c r="D2295" s="0" t="n">
        <v>4</v>
      </c>
      <c r="E2295" s="0" t="n">
        <f aca="false">-1+A2295*0.25</f>
        <v>-0.25</v>
      </c>
      <c r="F2295" s="0" t="n">
        <f aca="false">-1+B2295*0.25</f>
        <v>-0.75</v>
      </c>
      <c r="G2295" s="0" t="n">
        <f aca="false">-1+C2295*0.25</f>
        <v>-0.5</v>
      </c>
      <c r="H2295" s="0" t="n">
        <f aca="false">-1+D2295*0.25</f>
        <v>0</v>
      </c>
      <c r="I2295" s="0" t="n">
        <f aca="false">1</f>
        <v>1</v>
      </c>
      <c r="J2295" s="0" t="n">
        <f aca="false">E2295</f>
        <v>-0.25</v>
      </c>
      <c r="K2295" s="0" t="n">
        <f aca="false">F2295</f>
        <v>-0.75</v>
      </c>
      <c r="L2295" s="0" t="n">
        <f aca="false">G2295</f>
        <v>-0.5</v>
      </c>
      <c r="M2295" s="0" t="n">
        <f aca="false">H2295</f>
        <v>0</v>
      </c>
      <c r="N2295" s="0" t="n">
        <f aca="false">E2295*F2295</f>
        <v>0.1875</v>
      </c>
      <c r="O2295" s="0" t="n">
        <f aca="false">E2295*G2295</f>
        <v>0.125</v>
      </c>
      <c r="P2295" s="0" t="n">
        <f aca="false">E2295*H2295</f>
        <v>-0</v>
      </c>
      <c r="Q2295" s="0" t="n">
        <f aca="false">F2295*G2295</f>
        <v>0.375</v>
      </c>
      <c r="R2295" s="0" t="n">
        <f aca="false">F2295*H2295</f>
        <v>-0</v>
      </c>
      <c r="S2295" s="0" t="n">
        <f aca="false">G2295*H2295</f>
        <v>-0</v>
      </c>
      <c r="T2295" s="0" t="n">
        <f aca="false">E2295*E2295</f>
        <v>0.0625</v>
      </c>
      <c r="U2295" s="0" t="n">
        <f aca="false">F2295*F2295</f>
        <v>0.5625</v>
      </c>
      <c r="V2295" s="0" t="n">
        <f aca="false">G2295*G2295</f>
        <v>0.25</v>
      </c>
      <c r="W2295" s="0" t="n">
        <f aca="false">H2295*H2295</f>
        <v>0</v>
      </c>
      <c r="X2295" s="0" t="n">
        <f aca="false">SUMPRODUCT(I2295:W2295,_XtX!$B$96:$P$96)</f>
        <v>43.8062317251461</v>
      </c>
      <c r="Y2295" s="0" t="n">
        <f aca="false">SUMPRODUCT(MMULT(I2295:W2295,_XtX!$B$78:$P$92),I2295:W2295)</f>
        <v>0.215110734192252</v>
      </c>
      <c r="Z2295" s="0" t="n">
        <f aca="false">04_回帰ANOVA!$K$19*04_回帰ANOVA!$K$14*SQRT(1+Y2295)</f>
        <v>1.43683309086864</v>
      </c>
      <c r="AA2295" s="0" t="n">
        <f aca="false">X2295-Z2295</f>
        <v>42.3693986342775</v>
      </c>
      <c r="AB2295" s="0" t="n">
        <f aca="false">X2295+Z2295</f>
        <v>45.2430648160148</v>
      </c>
      <c r="AC2295" s="54" t="b">
        <f aca="false">AND(E2295&gt;=01_因子設定!$L$5-0.000000001,E2295&lt;=01_因子設定!$M$5+0.000000001,F2295&gt;=01_因子設定!$L$6-0.000000001,F2295&lt;=01_因子設定!$M$6+0.000000001,G2295&gt;=01_因子設定!$L$7-0.000000001,G2295&lt;=01_因子設定!$M$7+0.000000001,H2295&gt;=01_因子設定!$L$8-0.000000001,H2295&lt;=01_因子設定!$M$8+0.000000001,IF(01_因子設定!$B$20="Box-Behnken",E2295^2+F2295^2+G2295^2+H2295^2&lt;=2+0.000000001,TRUE()))</f>
        <v>1</v>
      </c>
      <c r="AD2295" s="55" t="n">
        <f aca="false">IF(AC2295,IF(01_因子設定!$B$13="最大化",AA2295-01_因子設定!$B$14,IF(01_因子設定!$B$13="最小化",01_因子設定!$B$15-AB2295,MIN(AA2295-01_因子設定!$B$14,01_因子設定!$B$15-AB2295))),-1E+030)</f>
        <v>-4.13060136572251</v>
      </c>
      <c r="AE2295" s="55" t="n">
        <f aca="false">IF(AC2295,IF(01_因子設定!$B$13="最大化",X2295,IF(01_因子設定!$B$13="最小化",-X2295,-ABS(X2295-01_因子設定!$B$16))),-1E+030)</f>
        <v>43.8062317251461</v>
      </c>
      <c r="AF2295" s="55" t="n">
        <f aca="false">AD2295+ROW()*0.000000001</f>
        <v>-4.13059907072251</v>
      </c>
      <c r="AG2295" s="55" t="n">
        <f aca="false">AE2295+ROW()*0.000000001</f>
        <v>43.8062340201461</v>
      </c>
    </row>
    <row r="2296" customFormat="false" ht="15" hidden="false" customHeight="false" outlineLevel="0" collapsed="false">
      <c r="A2296" s="0" t="n">
        <v>3</v>
      </c>
      <c r="B2296" s="0" t="n">
        <v>1</v>
      </c>
      <c r="C2296" s="0" t="n">
        <v>2</v>
      </c>
      <c r="D2296" s="0" t="n">
        <v>5</v>
      </c>
      <c r="E2296" s="0" t="n">
        <f aca="false">-1+A2296*0.25</f>
        <v>-0.25</v>
      </c>
      <c r="F2296" s="0" t="n">
        <f aca="false">-1+B2296*0.25</f>
        <v>-0.75</v>
      </c>
      <c r="G2296" s="0" t="n">
        <f aca="false">-1+C2296*0.25</f>
        <v>-0.5</v>
      </c>
      <c r="H2296" s="0" t="n">
        <f aca="false">-1+D2296*0.25</f>
        <v>0.25</v>
      </c>
      <c r="I2296" s="0" t="n">
        <f aca="false">1</f>
        <v>1</v>
      </c>
      <c r="J2296" s="0" t="n">
        <f aca="false">E2296</f>
        <v>-0.25</v>
      </c>
      <c r="K2296" s="0" t="n">
        <f aca="false">F2296</f>
        <v>-0.75</v>
      </c>
      <c r="L2296" s="0" t="n">
        <f aca="false">G2296</f>
        <v>-0.5</v>
      </c>
      <c r="M2296" s="0" t="n">
        <f aca="false">H2296</f>
        <v>0.25</v>
      </c>
      <c r="N2296" s="0" t="n">
        <f aca="false">E2296*F2296</f>
        <v>0.1875</v>
      </c>
      <c r="O2296" s="0" t="n">
        <f aca="false">E2296*G2296</f>
        <v>0.125</v>
      </c>
      <c r="P2296" s="0" t="n">
        <f aca="false">E2296*H2296</f>
        <v>-0.0625</v>
      </c>
      <c r="Q2296" s="0" t="n">
        <f aca="false">F2296*G2296</f>
        <v>0.375</v>
      </c>
      <c r="R2296" s="0" t="n">
        <f aca="false">F2296*H2296</f>
        <v>-0.1875</v>
      </c>
      <c r="S2296" s="0" t="n">
        <f aca="false">G2296*H2296</f>
        <v>-0.125</v>
      </c>
      <c r="T2296" s="0" t="n">
        <f aca="false">E2296*E2296</f>
        <v>0.0625</v>
      </c>
      <c r="U2296" s="0" t="n">
        <f aca="false">F2296*F2296</f>
        <v>0.5625</v>
      </c>
      <c r="V2296" s="0" t="n">
        <f aca="false">G2296*G2296</f>
        <v>0.25</v>
      </c>
      <c r="W2296" s="0" t="n">
        <f aca="false">H2296*H2296</f>
        <v>0.0625</v>
      </c>
      <c r="X2296" s="0" t="n">
        <f aca="false">SUMPRODUCT(I2296:W2296,_XtX!$B$96:$P$96)</f>
        <v>43.8798108552631</v>
      </c>
      <c r="Y2296" s="0" t="n">
        <f aca="false">SUMPRODUCT(MMULT(I2296:W2296,_XtX!$B$78:$P$92),I2296:W2296)</f>
        <v>0.207746539199561</v>
      </c>
      <c r="Z2296" s="0" t="n">
        <f aca="false">04_回帰ANOVA!$K$19*04_回帰ANOVA!$K$14*SQRT(1+Y2296)</f>
        <v>1.43247250081141</v>
      </c>
      <c r="AA2296" s="0" t="n">
        <f aca="false">X2296-Z2296</f>
        <v>42.4473383544517</v>
      </c>
      <c r="AB2296" s="0" t="n">
        <f aca="false">X2296+Z2296</f>
        <v>45.3122833560745</v>
      </c>
      <c r="AC2296" s="54" t="b">
        <f aca="false">AND(E2296&gt;=01_因子設定!$L$5-0.000000001,E2296&lt;=01_因子設定!$M$5+0.000000001,F2296&gt;=01_因子設定!$L$6-0.000000001,F2296&lt;=01_因子設定!$M$6+0.000000001,G2296&gt;=01_因子設定!$L$7-0.000000001,G2296&lt;=01_因子設定!$M$7+0.000000001,H2296&gt;=01_因子設定!$L$8-0.000000001,H2296&lt;=01_因子設定!$M$8+0.000000001,IF(01_因子設定!$B$20="Box-Behnken",E2296^2+F2296^2+G2296^2+H2296^2&lt;=2+0.000000001,TRUE()))</f>
        <v>1</v>
      </c>
      <c r="AD2296" s="55" t="n">
        <f aca="false">IF(AC2296,IF(01_因子設定!$B$13="最大化",AA2296-01_因子設定!$B$14,IF(01_因子設定!$B$13="最小化",01_因子設定!$B$15-AB2296,MIN(AA2296-01_因子設定!$B$14,01_因子設定!$B$15-AB2296))),-1E+030)</f>
        <v>-4.05266164554831</v>
      </c>
      <c r="AE2296" s="55" t="n">
        <f aca="false">IF(AC2296,IF(01_因子設定!$B$13="最大化",X2296,IF(01_因子設定!$B$13="最小化",-X2296,-ABS(X2296-01_因子設定!$B$16))),-1E+030)</f>
        <v>43.8798108552631</v>
      </c>
      <c r="AF2296" s="55" t="n">
        <f aca="false">AD2296+ROW()*0.000000001</f>
        <v>-4.05265934954831</v>
      </c>
      <c r="AG2296" s="55" t="n">
        <f aca="false">AE2296+ROW()*0.000000001</f>
        <v>43.8798131512631</v>
      </c>
    </row>
    <row r="2297" customFormat="false" ht="15" hidden="false" customHeight="false" outlineLevel="0" collapsed="false">
      <c r="A2297" s="0" t="n">
        <v>3</v>
      </c>
      <c r="B2297" s="0" t="n">
        <v>1</v>
      </c>
      <c r="C2297" s="0" t="n">
        <v>2</v>
      </c>
      <c r="D2297" s="0" t="n">
        <v>6</v>
      </c>
      <c r="E2297" s="0" t="n">
        <f aca="false">-1+A2297*0.25</f>
        <v>-0.25</v>
      </c>
      <c r="F2297" s="0" t="n">
        <f aca="false">-1+B2297*0.25</f>
        <v>-0.75</v>
      </c>
      <c r="G2297" s="0" t="n">
        <f aca="false">-1+C2297*0.25</f>
        <v>-0.5</v>
      </c>
      <c r="H2297" s="0" t="n">
        <f aca="false">-1+D2297*0.25</f>
        <v>0.5</v>
      </c>
      <c r="I2297" s="0" t="n">
        <f aca="false">1</f>
        <v>1</v>
      </c>
      <c r="J2297" s="0" t="n">
        <f aca="false">E2297</f>
        <v>-0.25</v>
      </c>
      <c r="K2297" s="0" t="n">
        <f aca="false">F2297</f>
        <v>-0.75</v>
      </c>
      <c r="L2297" s="0" t="n">
        <f aca="false">G2297</f>
        <v>-0.5</v>
      </c>
      <c r="M2297" s="0" t="n">
        <f aca="false">H2297</f>
        <v>0.5</v>
      </c>
      <c r="N2297" s="0" t="n">
        <f aca="false">E2297*F2297</f>
        <v>0.1875</v>
      </c>
      <c r="O2297" s="0" t="n">
        <f aca="false">E2297*G2297</f>
        <v>0.125</v>
      </c>
      <c r="P2297" s="0" t="n">
        <f aca="false">E2297*H2297</f>
        <v>-0.125</v>
      </c>
      <c r="Q2297" s="0" t="n">
        <f aca="false">F2297*G2297</f>
        <v>0.375</v>
      </c>
      <c r="R2297" s="0" t="n">
        <f aca="false">F2297*H2297</f>
        <v>-0.375</v>
      </c>
      <c r="S2297" s="0" t="n">
        <f aca="false">G2297*H2297</f>
        <v>-0.25</v>
      </c>
      <c r="T2297" s="0" t="n">
        <f aca="false">E2297*E2297</f>
        <v>0.0625</v>
      </c>
      <c r="U2297" s="0" t="n">
        <f aca="false">F2297*F2297</f>
        <v>0.5625</v>
      </c>
      <c r="V2297" s="0" t="n">
        <f aca="false">G2297*G2297</f>
        <v>0.25</v>
      </c>
      <c r="W2297" s="0" t="n">
        <f aca="false">H2297*H2297</f>
        <v>0.25</v>
      </c>
      <c r="X2297" s="0" t="n">
        <f aca="false">SUMPRODUCT(I2297:W2297,_XtX!$B$96:$P$96)</f>
        <v>43.9055829678362</v>
      </c>
      <c r="Y2297" s="0" t="n">
        <f aca="false">SUMPRODUCT(MMULT(I2297:W2297,_XtX!$B$78:$P$92),I2297:W2297)</f>
        <v>0.203746059484649</v>
      </c>
      <c r="Z2297" s="0" t="n">
        <f aca="false">04_回帰ANOVA!$K$19*04_回帰ANOVA!$K$14*SQRT(1+Y2297)</f>
        <v>1.43009810755465</v>
      </c>
      <c r="AA2297" s="0" t="n">
        <f aca="false">X2297-Z2297</f>
        <v>42.4754848602816</v>
      </c>
      <c r="AB2297" s="0" t="n">
        <f aca="false">X2297+Z2297</f>
        <v>45.3356810753909</v>
      </c>
      <c r="AC2297" s="54" t="b">
        <f aca="false">AND(E2297&gt;=01_因子設定!$L$5-0.000000001,E2297&lt;=01_因子設定!$M$5+0.000000001,F2297&gt;=01_因子設定!$L$6-0.000000001,F2297&lt;=01_因子設定!$M$6+0.000000001,G2297&gt;=01_因子設定!$L$7-0.000000001,G2297&lt;=01_因子設定!$M$7+0.000000001,H2297&gt;=01_因子設定!$L$8-0.000000001,H2297&lt;=01_因子設定!$M$8+0.000000001,IF(01_因子設定!$B$20="Box-Behnken",E2297^2+F2297^2+G2297^2+H2297^2&lt;=2+0.000000001,TRUE()))</f>
        <v>1</v>
      </c>
      <c r="AD2297" s="55" t="n">
        <f aca="false">IF(AC2297,IF(01_因子設定!$B$13="最大化",AA2297-01_因子設定!$B$14,IF(01_因子設定!$B$13="最小化",01_因子設定!$B$15-AB2297,MIN(AA2297-01_因子設定!$B$14,01_因子設定!$B$15-AB2297))),-1E+030)</f>
        <v>-4.02451513971845</v>
      </c>
      <c r="AE2297" s="55" t="n">
        <f aca="false">IF(AC2297,IF(01_因子設定!$B$13="最大化",X2297,IF(01_因子設定!$B$13="最小化",-X2297,-ABS(X2297-01_因子設定!$B$16))),-1E+030)</f>
        <v>43.9055829678362</v>
      </c>
      <c r="AF2297" s="55" t="n">
        <f aca="false">AD2297+ROW()*0.000000001</f>
        <v>-4.02451284271845</v>
      </c>
      <c r="AG2297" s="55" t="n">
        <f aca="false">AE2297+ROW()*0.000000001</f>
        <v>43.9055852648362</v>
      </c>
    </row>
    <row r="2298" customFormat="false" ht="15" hidden="false" customHeight="false" outlineLevel="0" collapsed="false">
      <c r="A2298" s="0" t="n">
        <v>3</v>
      </c>
      <c r="B2298" s="0" t="n">
        <v>1</v>
      </c>
      <c r="C2298" s="0" t="n">
        <v>2</v>
      </c>
      <c r="D2298" s="0" t="n">
        <v>7</v>
      </c>
      <c r="E2298" s="0" t="n">
        <f aca="false">-1+A2298*0.25</f>
        <v>-0.25</v>
      </c>
      <c r="F2298" s="0" t="n">
        <f aca="false">-1+B2298*0.25</f>
        <v>-0.75</v>
      </c>
      <c r="G2298" s="0" t="n">
        <f aca="false">-1+C2298*0.25</f>
        <v>-0.5</v>
      </c>
      <c r="H2298" s="0" t="n">
        <f aca="false">-1+D2298*0.25</f>
        <v>0.75</v>
      </c>
      <c r="I2298" s="0" t="n">
        <f aca="false">1</f>
        <v>1</v>
      </c>
      <c r="J2298" s="0" t="n">
        <f aca="false">E2298</f>
        <v>-0.25</v>
      </c>
      <c r="K2298" s="0" t="n">
        <f aca="false">F2298</f>
        <v>-0.75</v>
      </c>
      <c r="L2298" s="0" t="n">
        <f aca="false">G2298</f>
        <v>-0.5</v>
      </c>
      <c r="M2298" s="0" t="n">
        <f aca="false">H2298</f>
        <v>0.75</v>
      </c>
      <c r="N2298" s="0" t="n">
        <f aca="false">E2298*F2298</f>
        <v>0.1875</v>
      </c>
      <c r="O2298" s="0" t="n">
        <f aca="false">E2298*G2298</f>
        <v>0.125</v>
      </c>
      <c r="P2298" s="0" t="n">
        <f aca="false">E2298*H2298</f>
        <v>-0.1875</v>
      </c>
      <c r="Q2298" s="0" t="n">
        <f aca="false">F2298*G2298</f>
        <v>0.375</v>
      </c>
      <c r="R2298" s="0" t="n">
        <f aca="false">F2298*H2298</f>
        <v>-0.5625</v>
      </c>
      <c r="S2298" s="0" t="n">
        <f aca="false">G2298*H2298</f>
        <v>-0.375</v>
      </c>
      <c r="T2298" s="0" t="n">
        <f aca="false">E2298*E2298</f>
        <v>0.0625</v>
      </c>
      <c r="U2298" s="0" t="n">
        <f aca="false">F2298*F2298</f>
        <v>0.5625</v>
      </c>
      <c r="V2298" s="0" t="n">
        <f aca="false">G2298*G2298</f>
        <v>0.25</v>
      </c>
      <c r="W2298" s="0" t="n">
        <f aca="false">H2298*H2298</f>
        <v>0.5625</v>
      </c>
      <c r="X2298" s="0" t="n">
        <f aca="false">SUMPRODUCT(I2298:W2298,_XtX!$B$96:$P$96)</f>
        <v>43.8835480628655</v>
      </c>
      <c r="Y2298" s="0" t="n">
        <f aca="false">SUMPRODUCT(MMULT(I2298:W2298,_XtX!$B$78:$P$92),I2298:W2298)</f>
        <v>0.257385610836988</v>
      </c>
      <c r="Z2298" s="0" t="n">
        <f aca="false">04_回帰ANOVA!$K$19*04_回帰ANOVA!$K$14*SQRT(1+Y2298)</f>
        <v>1.46161380324158</v>
      </c>
      <c r="AA2298" s="0" t="n">
        <f aca="false">X2298-Z2298</f>
        <v>42.4219342596239</v>
      </c>
      <c r="AB2298" s="0" t="n">
        <f aca="false">X2298+Z2298</f>
        <v>45.345161866107</v>
      </c>
      <c r="AC2298" s="54" t="b">
        <f aca="false">AND(E2298&gt;=01_因子設定!$L$5-0.000000001,E2298&lt;=01_因子設定!$M$5+0.000000001,F2298&gt;=01_因子設定!$L$6-0.000000001,F2298&lt;=01_因子設定!$M$6+0.000000001,G2298&gt;=01_因子設定!$L$7-0.000000001,G2298&lt;=01_因子設定!$M$7+0.000000001,H2298&gt;=01_因子設定!$L$8-0.000000001,H2298&lt;=01_因子設定!$M$8+0.000000001,IF(01_因子設定!$B$20="Box-Behnken",E2298^2+F2298^2+G2298^2+H2298^2&lt;=2+0.000000001,TRUE()))</f>
        <v>1</v>
      </c>
      <c r="AD2298" s="55" t="n">
        <f aca="false">IF(AC2298,IF(01_因子設定!$B$13="最大化",AA2298-01_因子設定!$B$14,IF(01_因子設定!$B$13="最小化",01_因子設定!$B$15-AB2298,MIN(AA2298-01_因子設定!$B$14,01_因子設定!$B$15-AB2298))),-1E+030)</f>
        <v>-4.07806574037613</v>
      </c>
      <c r="AE2298" s="55" t="n">
        <f aca="false">IF(AC2298,IF(01_因子設定!$B$13="最大化",X2298,IF(01_因子設定!$B$13="最小化",-X2298,-ABS(X2298-01_因子設定!$B$16))),-1E+030)</f>
        <v>43.8835480628655</v>
      </c>
      <c r="AF2298" s="55" t="n">
        <f aca="false">AD2298+ROW()*0.000000001</f>
        <v>-4.07806344237613</v>
      </c>
      <c r="AG2298" s="55" t="n">
        <f aca="false">AE2298+ROW()*0.000000001</f>
        <v>43.8835503608655</v>
      </c>
    </row>
    <row r="2299" customFormat="false" ht="15" hidden="false" customHeight="false" outlineLevel="0" collapsed="false">
      <c r="A2299" s="0" t="n">
        <v>3</v>
      </c>
      <c r="B2299" s="0" t="n">
        <v>1</v>
      </c>
      <c r="C2299" s="0" t="n">
        <v>2</v>
      </c>
      <c r="D2299" s="0" t="n">
        <v>8</v>
      </c>
      <c r="E2299" s="0" t="n">
        <f aca="false">-1+A2299*0.25</f>
        <v>-0.25</v>
      </c>
      <c r="F2299" s="0" t="n">
        <f aca="false">-1+B2299*0.25</f>
        <v>-0.75</v>
      </c>
      <c r="G2299" s="0" t="n">
        <f aca="false">-1+C2299*0.25</f>
        <v>-0.5</v>
      </c>
      <c r="H2299" s="0" t="n">
        <f aca="false">-1+D2299*0.25</f>
        <v>1</v>
      </c>
      <c r="I2299" s="0" t="n">
        <f aca="false">1</f>
        <v>1</v>
      </c>
      <c r="J2299" s="0" t="n">
        <f aca="false">E2299</f>
        <v>-0.25</v>
      </c>
      <c r="K2299" s="0" t="n">
        <f aca="false">F2299</f>
        <v>-0.75</v>
      </c>
      <c r="L2299" s="0" t="n">
        <f aca="false">G2299</f>
        <v>-0.5</v>
      </c>
      <c r="M2299" s="0" t="n">
        <f aca="false">H2299</f>
        <v>1</v>
      </c>
      <c r="N2299" s="0" t="n">
        <f aca="false">E2299*F2299</f>
        <v>0.1875</v>
      </c>
      <c r="O2299" s="0" t="n">
        <f aca="false">E2299*G2299</f>
        <v>0.125</v>
      </c>
      <c r="P2299" s="0" t="n">
        <f aca="false">E2299*H2299</f>
        <v>-0.25</v>
      </c>
      <c r="Q2299" s="0" t="n">
        <f aca="false">F2299*G2299</f>
        <v>0.375</v>
      </c>
      <c r="R2299" s="0" t="n">
        <f aca="false">F2299*H2299</f>
        <v>-0.75</v>
      </c>
      <c r="S2299" s="0" t="n">
        <f aca="false">G2299*H2299</f>
        <v>-0.5</v>
      </c>
      <c r="T2299" s="0" t="n">
        <f aca="false">E2299*E2299</f>
        <v>0.0625</v>
      </c>
      <c r="U2299" s="0" t="n">
        <f aca="false">F2299*F2299</f>
        <v>0.5625</v>
      </c>
      <c r="V2299" s="0" t="n">
        <f aca="false">G2299*G2299</f>
        <v>0.25</v>
      </c>
      <c r="W2299" s="0" t="n">
        <f aca="false">H2299*H2299</f>
        <v>1</v>
      </c>
      <c r="X2299" s="0" t="n">
        <f aca="false">SUMPRODUCT(I2299:W2299,_XtX!$B$96:$P$96)</f>
        <v>43.8137061403509</v>
      </c>
      <c r="Y2299" s="0" t="n">
        <f aca="false">SUMPRODUCT(MMULT(I2299:W2299,_XtX!$B$78:$P$92),I2299:W2299)</f>
        <v>0.459125719572369</v>
      </c>
      <c r="Z2299" s="0" t="n">
        <f aca="false">04_回帰ANOVA!$K$19*04_回帰ANOVA!$K$14*SQRT(1+Y2299)</f>
        <v>1.57450755575573</v>
      </c>
      <c r="AA2299" s="0" t="n">
        <f aca="false">X2299-Z2299</f>
        <v>42.2391985845951</v>
      </c>
      <c r="AB2299" s="0" t="n">
        <f aca="false">X2299+Z2299</f>
        <v>45.3882136961066</v>
      </c>
      <c r="AC2299" s="54" t="b">
        <f aca="false">AND(E2299&gt;=01_因子設定!$L$5-0.000000001,E2299&lt;=01_因子設定!$M$5+0.000000001,F2299&gt;=01_因子設定!$L$6-0.000000001,F2299&lt;=01_因子設定!$M$6+0.000000001,G2299&gt;=01_因子設定!$L$7-0.000000001,G2299&lt;=01_因子設定!$M$7+0.000000001,H2299&gt;=01_因子設定!$L$8-0.000000001,H2299&lt;=01_因子設定!$M$8+0.000000001,IF(01_因子設定!$B$20="Box-Behnken",E2299^2+F2299^2+G2299^2+H2299^2&lt;=2+0.000000001,TRUE()))</f>
        <v>1</v>
      </c>
      <c r="AD2299" s="55" t="n">
        <f aca="false">IF(AC2299,IF(01_因子設定!$B$13="最大化",AA2299-01_因子設定!$B$14,IF(01_因子設定!$B$13="最小化",01_因子設定!$B$15-AB2299,MIN(AA2299-01_因子設定!$B$14,01_因子設定!$B$15-AB2299))),-1E+030)</f>
        <v>-4.26080141540488</v>
      </c>
      <c r="AE2299" s="55" t="n">
        <f aca="false">IF(AC2299,IF(01_因子設定!$B$13="最大化",X2299,IF(01_因子設定!$B$13="最小化",-X2299,-ABS(X2299-01_因子設定!$B$16))),-1E+030)</f>
        <v>43.8137061403509</v>
      </c>
      <c r="AF2299" s="55" t="n">
        <f aca="false">AD2299+ROW()*0.000000001</f>
        <v>-4.26079911640488</v>
      </c>
      <c r="AG2299" s="55" t="n">
        <f aca="false">AE2299+ROW()*0.000000001</f>
        <v>43.8137084393509</v>
      </c>
    </row>
    <row r="2300" customFormat="false" ht="15" hidden="false" customHeight="false" outlineLevel="0" collapsed="false">
      <c r="A2300" s="0" t="n">
        <v>3</v>
      </c>
      <c r="B2300" s="0" t="n">
        <v>1</v>
      </c>
      <c r="C2300" s="0" t="n">
        <v>3</v>
      </c>
      <c r="D2300" s="0" t="n">
        <v>0</v>
      </c>
      <c r="E2300" s="0" t="n">
        <f aca="false">-1+A2300*0.25</f>
        <v>-0.25</v>
      </c>
      <c r="F2300" s="0" t="n">
        <f aca="false">-1+B2300*0.25</f>
        <v>-0.75</v>
      </c>
      <c r="G2300" s="0" t="n">
        <f aca="false">-1+C2300*0.25</f>
        <v>-0.25</v>
      </c>
      <c r="H2300" s="0" t="n">
        <f aca="false">-1+D2300*0.25</f>
        <v>-1</v>
      </c>
      <c r="I2300" s="0" t="n">
        <f aca="false">1</f>
        <v>1</v>
      </c>
      <c r="J2300" s="0" t="n">
        <f aca="false">E2300</f>
        <v>-0.25</v>
      </c>
      <c r="K2300" s="0" t="n">
        <f aca="false">F2300</f>
        <v>-0.75</v>
      </c>
      <c r="L2300" s="0" t="n">
        <f aca="false">G2300</f>
        <v>-0.25</v>
      </c>
      <c r="M2300" s="0" t="n">
        <f aca="false">H2300</f>
        <v>-1</v>
      </c>
      <c r="N2300" s="0" t="n">
        <f aca="false">E2300*F2300</f>
        <v>0.1875</v>
      </c>
      <c r="O2300" s="0" t="n">
        <f aca="false">E2300*G2300</f>
        <v>0.0625</v>
      </c>
      <c r="P2300" s="0" t="n">
        <f aca="false">E2300*H2300</f>
        <v>0.25</v>
      </c>
      <c r="Q2300" s="0" t="n">
        <f aca="false">F2300*G2300</f>
        <v>0.1875</v>
      </c>
      <c r="R2300" s="0" t="n">
        <f aca="false">F2300*H2300</f>
        <v>0.75</v>
      </c>
      <c r="S2300" s="0" t="n">
        <f aca="false">G2300*H2300</f>
        <v>0.25</v>
      </c>
      <c r="T2300" s="0" t="n">
        <f aca="false">E2300*E2300</f>
        <v>0.0625</v>
      </c>
      <c r="U2300" s="0" t="n">
        <f aca="false">F2300*F2300</f>
        <v>0.5625</v>
      </c>
      <c r="V2300" s="0" t="n">
        <f aca="false">G2300*G2300</f>
        <v>0.0625</v>
      </c>
      <c r="W2300" s="0" t="n">
        <f aca="false">H2300*H2300</f>
        <v>1</v>
      </c>
      <c r="X2300" s="0" t="n">
        <f aca="false">SUMPRODUCT(I2300:W2300,_XtX!$B$96:$P$96)</f>
        <v>43.3177951388889</v>
      </c>
      <c r="Y2300" s="0" t="n">
        <f aca="false">SUMPRODUCT(MMULT(I2300:W2300,_XtX!$B$78:$P$92),I2300:W2300)</f>
        <v>0.486409505208333</v>
      </c>
      <c r="Z2300" s="0" t="n">
        <f aca="false">04_回帰ANOVA!$K$19*04_回帰ANOVA!$K$14*SQRT(1+Y2300)</f>
        <v>1.58916001665498</v>
      </c>
      <c r="AA2300" s="0" t="n">
        <f aca="false">X2300-Z2300</f>
        <v>41.7286351222339</v>
      </c>
      <c r="AB2300" s="0" t="n">
        <f aca="false">X2300+Z2300</f>
        <v>44.9069551555439</v>
      </c>
      <c r="AC2300" s="54" t="b">
        <f aca="false">AND(E2300&gt;=01_因子設定!$L$5-0.000000001,E2300&lt;=01_因子設定!$M$5+0.000000001,F2300&gt;=01_因子設定!$L$6-0.000000001,F2300&lt;=01_因子設定!$M$6+0.000000001,G2300&gt;=01_因子設定!$L$7-0.000000001,G2300&lt;=01_因子設定!$M$7+0.000000001,H2300&gt;=01_因子設定!$L$8-0.000000001,H2300&lt;=01_因子設定!$M$8+0.000000001,IF(01_因子設定!$B$20="Box-Behnken",E2300^2+F2300^2+G2300^2+H2300^2&lt;=2+0.000000001,TRUE()))</f>
        <v>1</v>
      </c>
      <c r="AD2300" s="55" t="n">
        <f aca="false">IF(AC2300,IF(01_因子設定!$B$13="最大化",AA2300-01_因子設定!$B$14,IF(01_因子設定!$B$13="最小化",01_因子設定!$B$15-AB2300,MIN(AA2300-01_因子設定!$B$14,01_因子設定!$B$15-AB2300))),-1E+030)</f>
        <v>-4.77136487776611</v>
      </c>
      <c r="AE2300" s="55" t="n">
        <f aca="false">IF(AC2300,IF(01_因子設定!$B$13="最大化",X2300,IF(01_因子設定!$B$13="最小化",-X2300,-ABS(X2300-01_因子設定!$B$16))),-1E+030)</f>
        <v>43.3177951388889</v>
      </c>
      <c r="AF2300" s="55" t="n">
        <f aca="false">AD2300+ROW()*0.000000001</f>
        <v>-4.77136257776611</v>
      </c>
      <c r="AG2300" s="55" t="n">
        <f aca="false">AE2300+ROW()*0.000000001</f>
        <v>43.3177974388889</v>
      </c>
    </row>
    <row r="2301" customFormat="false" ht="15" hidden="false" customHeight="false" outlineLevel="0" collapsed="false">
      <c r="A2301" s="0" t="n">
        <v>3</v>
      </c>
      <c r="B2301" s="0" t="n">
        <v>1</v>
      </c>
      <c r="C2301" s="0" t="n">
        <v>3</v>
      </c>
      <c r="D2301" s="0" t="n">
        <v>1</v>
      </c>
      <c r="E2301" s="0" t="n">
        <f aca="false">-1+A2301*0.25</f>
        <v>-0.25</v>
      </c>
      <c r="F2301" s="0" t="n">
        <f aca="false">-1+B2301*0.25</f>
        <v>-0.75</v>
      </c>
      <c r="G2301" s="0" t="n">
        <f aca="false">-1+C2301*0.25</f>
        <v>-0.25</v>
      </c>
      <c r="H2301" s="0" t="n">
        <f aca="false">-1+D2301*0.25</f>
        <v>-0.75</v>
      </c>
      <c r="I2301" s="0" t="n">
        <f aca="false">1</f>
        <v>1</v>
      </c>
      <c r="J2301" s="0" t="n">
        <f aca="false">E2301</f>
        <v>-0.25</v>
      </c>
      <c r="K2301" s="0" t="n">
        <f aca="false">F2301</f>
        <v>-0.75</v>
      </c>
      <c r="L2301" s="0" t="n">
        <f aca="false">G2301</f>
        <v>-0.25</v>
      </c>
      <c r="M2301" s="0" t="n">
        <f aca="false">H2301</f>
        <v>-0.75</v>
      </c>
      <c r="N2301" s="0" t="n">
        <f aca="false">E2301*F2301</f>
        <v>0.1875</v>
      </c>
      <c r="O2301" s="0" t="n">
        <f aca="false">E2301*G2301</f>
        <v>0.0625</v>
      </c>
      <c r="P2301" s="0" t="n">
        <f aca="false">E2301*H2301</f>
        <v>0.1875</v>
      </c>
      <c r="Q2301" s="0" t="n">
        <f aca="false">F2301*G2301</f>
        <v>0.1875</v>
      </c>
      <c r="R2301" s="0" t="n">
        <f aca="false">F2301*H2301</f>
        <v>0.5625</v>
      </c>
      <c r="S2301" s="0" t="n">
        <f aca="false">G2301*H2301</f>
        <v>0.1875</v>
      </c>
      <c r="T2301" s="0" t="n">
        <f aca="false">E2301*E2301</f>
        <v>0.0625</v>
      </c>
      <c r="U2301" s="0" t="n">
        <f aca="false">F2301*F2301</f>
        <v>0.5625</v>
      </c>
      <c r="V2301" s="0" t="n">
        <f aca="false">G2301*G2301</f>
        <v>0.0625</v>
      </c>
      <c r="W2301" s="0" t="n">
        <f aca="false">H2301*H2301</f>
        <v>0.5625</v>
      </c>
      <c r="X2301" s="0" t="n">
        <f aca="false">SUMPRODUCT(I2301:W2301,_XtX!$B$96:$P$96)</f>
        <v>43.6005710891812</v>
      </c>
      <c r="Y2301" s="0" t="n">
        <f aca="false">SUMPRODUCT(MMULT(I2301:W2301,_XtX!$B$78:$P$92),I2301:W2301)</f>
        <v>0.271087468019006</v>
      </c>
      <c r="Z2301" s="0" t="n">
        <f aca="false">04_回帰ANOVA!$K$19*04_回帰ANOVA!$K$14*SQRT(1+Y2301)</f>
        <v>1.46955590155034</v>
      </c>
      <c r="AA2301" s="0" t="n">
        <f aca="false">X2301-Z2301</f>
        <v>42.1310151876309</v>
      </c>
      <c r="AB2301" s="0" t="n">
        <f aca="false">X2301+Z2301</f>
        <v>45.0701269907316</v>
      </c>
      <c r="AC2301" s="54" t="b">
        <f aca="false">AND(E2301&gt;=01_因子設定!$L$5-0.000000001,E2301&lt;=01_因子設定!$M$5+0.000000001,F2301&gt;=01_因子設定!$L$6-0.000000001,F2301&lt;=01_因子設定!$M$6+0.000000001,G2301&gt;=01_因子設定!$L$7-0.000000001,G2301&lt;=01_因子設定!$M$7+0.000000001,H2301&gt;=01_因子設定!$L$8-0.000000001,H2301&lt;=01_因子設定!$M$8+0.000000001,IF(01_因子設定!$B$20="Box-Behnken",E2301^2+F2301^2+G2301^2+H2301^2&lt;=2+0.000000001,TRUE()))</f>
        <v>1</v>
      </c>
      <c r="AD2301" s="55" t="n">
        <f aca="false">IF(AC2301,IF(01_因子設定!$B$13="最大化",AA2301-01_因子設定!$B$14,IF(01_因子設定!$B$13="最小化",01_因子設定!$B$15-AB2301,MIN(AA2301-01_因子設定!$B$14,01_因子設定!$B$15-AB2301))),-1E+030)</f>
        <v>-4.3689848123691</v>
      </c>
      <c r="AE2301" s="55" t="n">
        <f aca="false">IF(AC2301,IF(01_因子設定!$B$13="最大化",X2301,IF(01_因子設定!$B$13="最小化",-X2301,-ABS(X2301-01_因子設定!$B$16))),-1E+030)</f>
        <v>43.6005710891812</v>
      </c>
      <c r="AF2301" s="55" t="n">
        <f aca="false">AD2301+ROW()*0.000000001</f>
        <v>-4.3689825113691</v>
      </c>
      <c r="AG2301" s="55" t="n">
        <f aca="false">AE2301+ROW()*0.000000001</f>
        <v>43.6005733901812</v>
      </c>
    </row>
    <row r="2302" customFormat="false" ht="15" hidden="false" customHeight="false" outlineLevel="0" collapsed="false">
      <c r="A2302" s="0" t="n">
        <v>3</v>
      </c>
      <c r="B2302" s="0" t="n">
        <v>1</v>
      </c>
      <c r="C2302" s="0" t="n">
        <v>3</v>
      </c>
      <c r="D2302" s="0" t="n">
        <v>2</v>
      </c>
      <c r="E2302" s="0" t="n">
        <f aca="false">-1+A2302*0.25</f>
        <v>-0.25</v>
      </c>
      <c r="F2302" s="0" t="n">
        <f aca="false">-1+B2302*0.25</f>
        <v>-0.75</v>
      </c>
      <c r="G2302" s="0" t="n">
        <f aca="false">-1+C2302*0.25</f>
        <v>-0.25</v>
      </c>
      <c r="H2302" s="0" t="n">
        <f aca="false">-1+D2302*0.25</f>
        <v>-0.5</v>
      </c>
      <c r="I2302" s="0" t="n">
        <f aca="false">1</f>
        <v>1</v>
      </c>
      <c r="J2302" s="0" t="n">
        <f aca="false">E2302</f>
        <v>-0.25</v>
      </c>
      <c r="K2302" s="0" t="n">
        <f aca="false">F2302</f>
        <v>-0.75</v>
      </c>
      <c r="L2302" s="0" t="n">
        <f aca="false">G2302</f>
        <v>-0.25</v>
      </c>
      <c r="M2302" s="0" t="n">
        <f aca="false">H2302</f>
        <v>-0.5</v>
      </c>
      <c r="N2302" s="0" t="n">
        <f aca="false">E2302*F2302</f>
        <v>0.1875</v>
      </c>
      <c r="O2302" s="0" t="n">
        <f aca="false">E2302*G2302</f>
        <v>0.0625</v>
      </c>
      <c r="P2302" s="0" t="n">
        <f aca="false">E2302*H2302</f>
        <v>0.125</v>
      </c>
      <c r="Q2302" s="0" t="n">
        <f aca="false">F2302*G2302</f>
        <v>0.1875</v>
      </c>
      <c r="R2302" s="0" t="n">
        <f aca="false">F2302*H2302</f>
        <v>0.375</v>
      </c>
      <c r="S2302" s="0" t="n">
        <f aca="false">G2302*H2302</f>
        <v>0.125</v>
      </c>
      <c r="T2302" s="0" t="n">
        <f aca="false">E2302*E2302</f>
        <v>0.0625</v>
      </c>
      <c r="U2302" s="0" t="n">
        <f aca="false">F2302*F2302</f>
        <v>0.5625</v>
      </c>
      <c r="V2302" s="0" t="n">
        <f aca="false">G2302*G2302</f>
        <v>0.0625</v>
      </c>
      <c r="W2302" s="0" t="n">
        <f aca="false">H2302*H2302</f>
        <v>0.25</v>
      </c>
      <c r="X2302" s="0" t="n">
        <f aca="false">SUMPRODUCT(I2302:W2302,_XtX!$B$96:$P$96)</f>
        <v>43.8355400219298</v>
      </c>
      <c r="Y2302" s="0" t="n">
        <f aca="false">SUMPRODUCT(MMULT(I2302:W2302,_XtX!$B$78:$P$92),I2302:W2302)</f>
        <v>0.207746539199561</v>
      </c>
      <c r="Z2302" s="0" t="n">
        <f aca="false">04_回帰ANOVA!$K$19*04_回帰ANOVA!$K$14*SQRT(1+Y2302)</f>
        <v>1.43247250081141</v>
      </c>
      <c r="AA2302" s="0" t="n">
        <f aca="false">X2302-Z2302</f>
        <v>42.4030675211184</v>
      </c>
      <c r="AB2302" s="0" t="n">
        <f aca="false">X2302+Z2302</f>
        <v>45.2680125227412</v>
      </c>
      <c r="AC2302" s="54" t="b">
        <f aca="false">AND(E2302&gt;=01_因子設定!$L$5-0.000000001,E2302&lt;=01_因子設定!$M$5+0.000000001,F2302&gt;=01_因子設定!$L$6-0.000000001,F2302&lt;=01_因子設定!$M$6+0.000000001,G2302&gt;=01_因子設定!$L$7-0.000000001,G2302&lt;=01_因子設定!$M$7+0.000000001,H2302&gt;=01_因子設定!$L$8-0.000000001,H2302&lt;=01_因子設定!$M$8+0.000000001,IF(01_因子設定!$B$20="Box-Behnken",E2302^2+F2302^2+G2302^2+H2302^2&lt;=2+0.000000001,TRUE()))</f>
        <v>1</v>
      </c>
      <c r="AD2302" s="55" t="n">
        <f aca="false">IF(AC2302,IF(01_因子設定!$B$13="最大化",AA2302-01_因子設定!$B$14,IF(01_因子設定!$B$13="最小化",01_因子設定!$B$15-AB2302,MIN(AA2302-01_因子設定!$B$14,01_因子設定!$B$15-AB2302))),-1E+030)</f>
        <v>-4.09693247888163</v>
      </c>
      <c r="AE2302" s="55" t="n">
        <f aca="false">IF(AC2302,IF(01_因子設定!$B$13="最大化",X2302,IF(01_因子設定!$B$13="最小化",-X2302,-ABS(X2302-01_因子設定!$B$16))),-1E+030)</f>
        <v>43.8355400219298</v>
      </c>
      <c r="AF2302" s="55" t="n">
        <f aca="false">AD2302+ROW()*0.000000001</f>
        <v>-4.09693017688163</v>
      </c>
      <c r="AG2302" s="55" t="n">
        <f aca="false">AE2302+ROW()*0.000000001</f>
        <v>43.8355423239298</v>
      </c>
    </row>
    <row r="2303" customFormat="false" ht="15" hidden="false" customHeight="false" outlineLevel="0" collapsed="false">
      <c r="A2303" s="0" t="n">
        <v>3</v>
      </c>
      <c r="B2303" s="0" t="n">
        <v>1</v>
      </c>
      <c r="C2303" s="0" t="n">
        <v>3</v>
      </c>
      <c r="D2303" s="0" t="n">
        <v>3</v>
      </c>
      <c r="E2303" s="0" t="n">
        <f aca="false">-1+A2303*0.25</f>
        <v>-0.25</v>
      </c>
      <c r="F2303" s="0" t="n">
        <f aca="false">-1+B2303*0.25</f>
        <v>-0.75</v>
      </c>
      <c r="G2303" s="0" t="n">
        <f aca="false">-1+C2303*0.25</f>
        <v>-0.25</v>
      </c>
      <c r="H2303" s="0" t="n">
        <f aca="false">-1+D2303*0.25</f>
        <v>-0.25</v>
      </c>
      <c r="I2303" s="0" t="n">
        <f aca="false">1</f>
        <v>1</v>
      </c>
      <c r="J2303" s="0" t="n">
        <f aca="false">E2303</f>
        <v>-0.25</v>
      </c>
      <c r="K2303" s="0" t="n">
        <f aca="false">F2303</f>
        <v>-0.75</v>
      </c>
      <c r="L2303" s="0" t="n">
        <f aca="false">G2303</f>
        <v>-0.25</v>
      </c>
      <c r="M2303" s="0" t="n">
        <f aca="false">H2303</f>
        <v>-0.25</v>
      </c>
      <c r="N2303" s="0" t="n">
        <f aca="false">E2303*F2303</f>
        <v>0.1875</v>
      </c>
      <c r="O2303" s="0" t="n">
        <f aca="false">E2303*G2303</f>
        <v>0.0625</v>
      </c>
      <c r="P2303" s="0" t="n">
        <f aca="false">E2303*H2303</f>
        <v>0.0625</v>
      </c>
      <c r="Q2303" s="0" t="n">
        <f aca="false">F2303*G2303</f>
        <v>0.1875</v>
      </c>
      <c r="R2303" s="0" t="n">
        <f aca="false">F2303*H2303</f>
        <v>0.1875</v>
      </c>
      <c r="S2303" s="0" t="n">
        <f aca="false">G2303*H2303</f>
        <v>0.0625</v>
      </c>
      <c r="T2303" s="0" t="n">
        <f aca="false">E2303*E2303</f>
        <v>0.0625</v>
      </c>
      <c r="U2303" s="0" t="n">
        <f aca="false">F2303*F2303</f>
        <v>0.5625</v>
      </c>
      <c r="V2303" s="0" t="n">
        <f aca="false">G2303*G2303</f>
        <v>0.0625</v>
      </c>
      <c r="W2303" s="0" t="n">
        <f aca="false">H2303*H2303</f>
        <v>0.0625</v>
      </c>
      <c r="X2303" s="0" t="n">
        <f aca="false">SUMPRODUCT(I2303:W2303,_XtX!$B$96:$P$96)</f>
        <v>44.0227019371344</v>
      </c>
      <c r="Y2303" s="0" t="n">
        <f aca="false">SUMPRODUCT(MMULT(I2303:W2303,_XtX!$B$78:$P$92),I2303:W2303)</f>
        <v>0.205926192434211</v>
      </c>
      <c r="Z2303" s="0" t="n">
        <f aca="false">04_回帰ANOVA!$K$19*04_回帰ANOVA!$K$14*SQRT(1+Y2303)</f>
        <v>1.43139256396246</v>
      </c>
      <c r="AA2303" s="0" t="n">
        <f aca="false">X2303-Z2303</f>
        <v>42.591309373172</v>
      </c>
      <c r="AB2303" s="0" t="n">
        <f aca="false">X2303+Z2303</f>
        <v>45.4540945010969</v>
      </c>
      <c r="AC2303" s="54" t="b">
        <f aca="false">AND(E2303&gt;=01_因子設定!$L$5-0.000000001,E2303&lt;=01_因子設定!$M$5+0.000000001,F2303&gt;=01_因子設定!$L$6-0.000000001,F2303&lt;=01_因子設定!$M$6+0.000000001,G2303&gt;=01_因子設定!$L$7-0.000000001,G2303&lt;=01_因子設定!$M$7+0.000000001,H2303&gt;=01_因子設定!$L$8-0.000000001,H2303&lt;=01_因子設定!$M$8+0.000000001,IF(01_因子設定!$B$20="Box-Behnken",E2303^2+F2303^2+G2303^2+H2303^2&lt;=2+0.000000001,TRUE()))</f>
        <v>1</v>
      </c>
      <c r="AD2303" s="55" t="n">
        <f aca="false">IF(AC2303,IF(01_因子設定!$B$13="最大化",AA2303-01_因子設定!$B$14,IF(01_因子設定!$B$13="最小化",01_因子設定!$B$15-AB2303,MIN(AA2303-01_因子設定!$B$14,01_因子設定!$B$15-AB2303))),-1E+030)</f>
        <v>-3.90869062682802</v>
      </c>
      <c r="AE2303" s="55" t="n">
        <f aca="false">IF(AC2303,IF(01_因子設定!$B$13="最大化",X2303,IF(01_因子設定!$B$13="最小化",-X2303,-ABS(X2303-01_因子設定!$B$16))),-1E+030)</f>
        <v>44.0227019371344</v>
      </c>
      <c r="AF2303" s="55" t="n">
        <f aca="false">AD2303+ROW()*0.000000001</f>
        <v>-3.90868832382802</v>
      </c>
      <c r="AG2303" s="55" t="n">
        <f aca="false">AE2303+ROW()*0.000000001</f>
        <v>44.0227042401344</v>
      </c>
    </row>
    <row r="2304" customFormat="false" ht="15" hidden="false" customHeight="false" outlineLevel="0" collapsed="false">
      <c r="A2304" s="0" t="n">
        <v>3</v>
      </c>
      <c r="B2304" s="0" t="n">
        <v>1</v>
      </c>
      <c r="C2304" s="0" t="n">
        <v>3</v>
      </c>
      <c r="D2304" s="0" t="n">
        <v>4</v>
      </c>
      <c r="E2304" s="0" t="n">
        <f aca="false">-1+A2304*0.25</f>
        <v>-0.25</v>
      </c>
      <c r="F2304" s="0" t="n">
        <f aca="false">-1+B2304*0.25</f>
        <v>-0.75</v>
      </c>
      <c r="G2304" s="0" t="n">
        <f aca="false">-1+C2304*0.25</f>
        <v>-0.25</v>
      </c>
      <c r="H2304" s="0" t="n">
        <f aca="false">-1+D2304*0.25</f>
        <v>0</v>
      </c>
      <c r="I2304" s="0" t="n">
        <f aca="false">1</f>
        <v>1</v>
      </c>
      <c r="J2304" s="0" t="n">
        <f aca="false">E2304</f>
        <v>-0.25</v>
      </c>
      <c r="K2304" s="0" t="n">
        <f aca="false">F2304</f>
        <v>-0.75</v>
      </c>
      <c r="L2304" s="0" t="n">
        <f aca="false">G2304</f>
        <v>-0.25</v>
      </c>
      <c r="M2304" s="0" t="n">
        <f aca="false">H2304</f>
        <v>0</v>
      </c>
      <c r="N2304" s="0" t="n">
        <f aca="false">E2304*F2304</f>
        <v>0.1875</v>
      </c>
      <c r="O2304" s="0" t="n">
        <f aca="false">E2304*G2304</f>
        <v>0.0625</v>
      </c>
      <c r="P2304" s="0" t="n">
        <f aca="false">E2304*H2304</f>
        <v>-0</v>
      </c>
      <c r="Q2304" s="0" t="n">
        <f aca="false">F2304*G2304</f>
        <v>0.1875</v>
      </c>
      <c r="R2304" s="0" t="n">
        <f aca="false">F2304*H2304</f>
        <v>-0</v>
      </c>
      <c r="S2304" s="0" t="n">
        <f aca="false">G2304*H2304</f>
        <v>-0</v>
      </c>
      <c r="T2304" s="0" t="n">
        <f aca="false">E2304*E2304</f>
        <v>0.0625</v>
      </c>
      <c r="U2304" s="0" t="n">
        <f aca="false">F2304*F2304</f>
        <v>0.5625</v>
      </c>
      <c r="V2304" s="0" t="n">
        <f aca="false">G2304*G2304</f>
        <v>0.0625</v>
      </c>
      <c r="W2304" s="0" t="n">
        <f aca="false">H2304*H2304</f>
        <v>0</v>
      </c>
      <c r="X2304" s="0" t="n">
        <f aca="false">SUMPRODUCT(I2304:W2304,_XtX!$B$96:$P$96)</f>
        <v>44.1620568347953</v>
      </c>
      <c r="Y2304" s="0" t="n">
        <f aca="false">SUMPRODUCT(MMULT(I2304:W2304,_XtX!$B$78:$P$92),I2304:W2304)</f>
        <v>0.21135011193348</v>
      </c>
      <c r="Z2304" s="0" t="n">
        <f aca="false">04_回帰ANOVA!$K$19*04_回帰ANOVA!$K$14*SQRT(1+Y2304)</f>
        <v>1.43460795469709</v>
      </c>
      <c r="AA2304" s="0" t="n">
        <f aca="false">X2304-Z2304</f>
        <v>42.7274488800982</v>
      </c>
      <c r="AB2304" s="0" t="n">
        <f aca="false">X2304+Z2304</f>
        <v>45.5966647894923</v>
      </c>
      <c r="AC2304" s="54" t="b">
        <f aca="false">AND(E2304&gt;=01_因子設定!$L$5-0.000000001,E2304&lt;=01_因子設定!$M$5+0.000000001,F2304&gt;=01_因子設定!$L$6-0.000000001,F2304&lt;=01_因子設定!$M$6+0.000000001,G2304&gt;=01_因子設定!$L$7-0.000000001,G2304&lt;=01_因子設定!$M$7+0.000000001,H2304&gt;=01_因子設定!$L$8-0.000000001,H2304&lt;=01_因子設定!$M$8+0.000000001,IF(01_因子設定!$B$20="Box-Behnken",E2304^2+F2304^2+G2304^2+H2304^2&lt;=2+0.000000001,TRUE()))</f>
        <v>1</v>
      </c>
      <c r="AD2304" s="55" t="n">
        <f aca="false">IF(AC2304,IF(01_因子設定!$B$13="最大化",AA2304-01_因子設定!$B$14,IF(01_因子設定!$B$13="最小化",01_因子設定!$B$15-AB2304,MIN(AA2304-01_因子設定!$B$14,01_因子設定!$B$15-AB2304))),-1E+030)</f>
        <v>-3.77255111990183</v>
      </c>
      <c r="AE2304" s="55" t="n">
        <f aca="false">IF(AC2304,IF(01_因子設定!$B$13="最大化",X2304,IF(01_因子設定!$B$13="最小化",-X2304,-ABS(X2304-01_因子設定!$B$16))),-1E+030)</f>
        <v>44.1620568347953</v>
      </c>
      <c r="AF2304" s="55" t="n">
        <f aca="false">AD2304+ROW()*0.000000001</f>
        <v>-3.77254881590183</v>
      </c>
      <c r="AG2304" s="55" t="n">
        <f aca="false">AE2304+ROW()*0.000000001</f>
        <v>44.1620591387953</v>
      </c>
    </row>
    <row r="2305" customFormat="false" ht="15" hidden="false" customHeight="false" outlineLevel="0" collapsed="false">
      <c r="A2305" s="0" t="n">
        <v>3</v>
      </c>
      <c r="B2305" s="0" t="n">
        <v>1</v>
      </c>
      <c r="C2305" s="0" t="n">
        <v>3</v>
      </c>
      <c r="D2305" s="0" t="n">
        <v>5</v>
      </c>
      <c r="E2305" s="0" t="n">
        <f aca="false">-1+A2305*0.25</f>
        <v>-0.25</v>
      </c>
      <c r="F2305" s="0" t="n">
        <f aca="false">-1+B2305*0.25</f>
        <v>-0.75</v>
      </c>
      <c r="G2305" s="0" t="n">
        <f aca="false">-1+C2305*0.25</f>
        <v>-0.25</v>
      </c>
      <c r="H2305" s="0" t="n">
        <f aca="false">-1+D2305*0.25</f>
        <v>0.25</v>
      </c>
      <c r="I2305" s="0" t="n">
        <f aca="false">1</f>
        <v>1</v>
      </c>
      <c r="J2305" s="0" t="n">
        <f aca="false">E2305</f>
        <v>-0.25</v>
      </c>
      <c r="K2305" s="0" t="n">
        <f aca="false">F2305</f>
        <v>-0.75</v>
      </c>
      <c r="L2305" s="0" t="n">
        <f aca="false">G2305</f>
        <v>-0.25</v>
      </c>
      <c r="M2305" s="0" t="n">
        <f aca="false">H2305</f>
        <v>0.25</v>
      </c>
      <c r="N2305" s="0" t="n">
        <f aca="false">E2305*F2305</f>
        <v>0.1875</v>
      </c>
      <c r="O2305" s="0" t="n">
        <f aca="false">E2305*G2305</f>
        <v>0.0625</v>
      </c>
      <c r="P2305" s="0" t="n">
        <f aca="false">E2305*H2305</f>
        <v>-0.0625</v>
      </c>
      <c r="Q2305" s="0" t="n">
        <f aca="false">F2305*G2305</f>
        <v>0.1875</v>
      </c>
      <c r="R2305" s="0" t="n">
        <f aca="false">F2305*H2305</f>
        <v>-0.1875</v>
      </c>
      <c r="S2305" s="0" t="n">
        <f aca="false">G2305*H2305</f>
        <v>-0.0625</v>
      </c>
      <c r="T2305" s="0" t="n">
        <f aca="false">E2305*E2305</f>
        <v>0.0625</v>
      </c>
      <c r="U2305" s="0" t="n">
        <f aca="false">F2305*F2305</f>
        <v>0.5625</v>
      </c>
      <c r="V2305" s="0" t="n">
        <f aca="false">G2305*G2305</f>
        <v>0.0625</v>
      </c>
      <c r="W2305" s="0" t="n">
        <f aca="false">H2305*H2305</f>
        <v>0.0625</v>
      </c>
      <c r="X2305" s="0" t="n">
        <f aca="false">SUMPRODUCT(I2305:W2305,_XtX!$B$96:$P$96)</f>
        <v>44.2536047149122</v>
      </c>
      <c r="Y2305" s="0" t="n">
        <f aca="false">SUMPRODUCT(MMULT(I2305:W2305,_XtX!$B$78:$P$92),I2305:W2305)</f>
        <v>0.205926192434211</v>
      </c>
      <c r="Z2305" s="0" t="n">
        <f aca="false">04_回帰ANOVA!$K$19*04_回帰ANOVA!$K$14*SQRT(1+Y2305)</f>
        <v>1.43139256396246</v>
      </c>
      <c r="AA2305" s="0" t="n">
        <f aca="false">X2305-Z2305</f>
        <v>42.8222121509498</v>
      </c>
      <c r="AB2305" s="0" t="n">
        <f aca="false">X2305+Z2305</f>
        <v>45.6849972788747</v>
      </c>
      <c r="AC2305" s="54" t="b">
        <f aca="false">AND(E2305&gt;=01_因子設定!$L$5-0.000000001,E2305&lt;=01_因子設定!$M$5+0.000000001,F2305&gt;=01_因子設定!$L$6-0.000000001,F2305&lt;=01_因子設定!$M$6+0.000000001,G2305&gt;=01_因子設定!$L$7-0.000000001,G2305&lt;=01_因子設定!$M$7+0.000000001,H2305&gt;=01_因子設定!$L$8-0.000000001,H2305&lt;=01_因子設定!$M$8+0.000000001,IF(01_因子設定!$B$20="Box-Behnken",E2305^2+F2305^2+G2305^2+H2305^2&lt;=2+0.000000001,TRUE()))</f>
        <v>1</v>
      </c>
      <c r="AD2305" s="55" t="n">
        <f aca="false">IF(AC2305,IF(01_因子設定!$B$13="最大化",AA2305-01_因子設定!$B$14,IF(01_因子設定!$B$13="最小化",01_因子設定!$B$15-AB2305,MIN(AA2305-01_因子設定!$B$14,01_因子設定!$B$15-AB2305))),-1E+030)</f>
        <v>-3.67778784905024</v>
      </c>
      <c r="AE2305" s="55" t="n">
        <f aca="false">IF(AC2305,IF(01_因子設定!$B$13="最大化",X2305,IF(01_因子設定!$B$13="最小化",-X2305,-ABS(X2305-01_因子設定!$B$16))),-1E+030)</f>
        <v>44.2536047149122</v>
      </c>
      <c r="AF2305" s="55" t="n">
        <f aca="false">AD2305+ROW()*0.000000001</f>
        <v>-3.67778554405024</v>
      </c>
      <c r="AG2305" s="55" t="n">
        <f aca="false">AE2305+ROW()*0.000000001</f>
        <v>44.2536070199122</v>
      </c>
    </row>
    <row r="2306" customFormat="false" ht="15" hidden="false" customHeight="false" outlineLevel="0" collapsed="false">
      <c r="A2306" s="0" t="n">
        <v>3</v>
      </c>
      <c r="B2306" s="0" t="n">
        <v>1</v>
      </c>
      <c r="C2306" s="0" t="n">
        <v>3</v>
      </c>
      <c r="D2306" s="0" t="n">
        <v>6</v>
      </c>
      <c r="E2306" s="0" t="n">
        <f aca="false">-1+A2306*0.25</f>
        <v>-0.25</v>
      </c>
      <c r="F2306" s="0" t="n">
        <f aca="false">-1+B2306*0.25</f>
        <v>-0.75</v>
      </c>
      <c r="G2306" s="0" t="n">
        <f aca="false">-1+C2306*0.25</f>
        <v>-0.25</v>
      </c>
      <c r="H2306" s="0" t="n">
        <f aca="false">-1+D2306*0.25</f>
        <v>0.5</v>
      </c>
      <c r="I2306" s="0" t="n">
        <f aca="false">1</f>
        <v>1</v>
      </c>
      <c r="J2306" s="0" t="n">
        <f aca="false">E2306</f>
        <v>-0.25</v>
      </c>
      <c r="K2306" s="0" t="n">
        <f aca="false">F2306</f>
        <v>-0.75</v>
      </c>
      <c r="L2306" s="0" t="n">
        <f aca="false">G2306</f>
        <v>-0.25</v>
      </c>
      <c r="M2306" s="0" t="n">
        <f aca="false">H2306</f>
        <v>0.5</v>
      </c>
      <c r="N2306" s="0" t="n">
        <f aca="false">E2306*F2306</f>
        <v>0.1875</v>
      </c>
      <c r="O2306" s="0" t="n">
        <f aca="false">E2306*G2306</f>
        <v>0.0625</v>
      </c>
      <c r="P2306" s="0" t="n">
        <f aca="false">E2306*H2306</f>
        <v>-0.125</v>
      </c>
      <c r="Q2306" s="0" t="n">
        <f aca="false">F2306*G2306</f>
        <v>0.1875</v>
      </c>
      <c r="R2306" s="0" t="n">
        <f aca="false">F2306*H2306</f>
        <v>-0.375</v>
      </c>
      <c r="S2306" s="0" t="n">
        <f aca="false">G2306*H2306</f>
        <v>-0.125</v>
      </c>
      <c r="T2306" s="0" t="n">
        <f aca="false">E2306*E2306</f>
        <v>0.0625</v>
      </c>
      <c r="U2306" s="0" t="n">
        <f aca="false">F2306*F2306</f>
        <v>0.5625</v>
      </c>
      <c r="V2306" s="0" t="n">
        <f aca="false">G2306*G2306</f>
        <v>0.0625</v>
      </c>
      <c r="W2306" s="0" t="n">
        <f aca="false">H2306*H2306</f>
        <v>0.25</v>
      </c>
      <c r="X2306" s="0" t="n">
        <f aca="false">SUMPRODUCT(I2306:W2306,_XtX!$B$96:$P$96)</f>
        <v>44.2973455774853</v>
      </c>
      <c r="Y2306" s="0" t="n">
        <f aca="false">SUMPRODUCT(MMULT(I2306:W2306,_XtX!$B$78:$P$92),I2306:W2306)</f>
        <v>0.207746539199561</v>
      </c>
      <c r="Z2306" s="0" t="n">
        <f aca="false">04_回帰ANOVA!$K$19*04_回帰ANOVA!$K$14*SQRT(1+Y2306)</f>
        <v>1.43247250081141</v>
      </c>
      <c r="AA2306" s="0" t="n">
        <f aca="false">X2306-Z2306</f>
        <v>42.8648730766739</v>
      </c>
      <c r="AB2306" s="0" t="n">
        <f aca="false">X2306+Z2306</f>
        <v>45.7298180782967</v>
      </c>
      <c r="AC2306" s="54" t="b">
        <f aca="false">AND(E2306&gt;=01_因子設定!$L$5-0.000000001,E2306&lt;=01_因子設定!$M$5+0.000000001,F2306&gt;=01_因子設定!$L$6-0.000000001,F2306&lt;=01_因子設定!$M$6+0.000000001,G2306&gt;=01_因子設定!$L$7-0.000000001,G2306&lt;=01_因子設定!$M$7+0.000000001,H2306&gt;=01_因子設定!$L$8-0.000000001,H2306&lt;=01_因子設定!$M$8+0.000000001,IF(01_因子設定!$B$20="Box-Behnken",E2306^2+F2306^2+G2306^2+H2306^2&lt;=2+0.000000001,TRUE()))</f>
        <v>1</v>
      </c>
      <c r="AD2306" s="55" t="n">
        <f aca="false">IF(AC2306,IF(01_因子設定!$B$13="最大化",AA2306-01_因子設定!$B$14,IF(01_因子設定!$B$13="最小化",01_因子設定!$B$15-AB2306,MIN(AA2306-01_因子設定!$B$14,01_因子設定!$B$15-AB2306))),-1E+030)</f>
        <v>-3.63512692332608</v>
      </c>
      <c r="AE2306" s="55" t="n">
        <f aca="false">IF(AC2306,IF(01_因子設定!$B$13="最大化",X2306,IF(01_因子設定!$B$13="最小化",-X2306,-ABS(X2306-01_因子設定!$B$16))),-1E+030)</f>
        <v>44.2973455774853</v>
      </c>
      <c r="AF2306" s="55" t="n">
        <f aca="false">AD2306+ROW()*0.000000001</f>
        <v>-3.63512461732608</v>
      </c>
      <c r="AG2306" s="55" t="n">
        <f aca="false">AE2306+ROW()*0.000000001</f>
        <v>44.2973478834853</v>
      </c>
    </row>
    <row r="2307" customFormat="false" ht="15" hidden="false" customHeight="false" outlineLevel="0" collapsed="false">
      <c r="A2307" s="0" t="n">
        <v>3</v>
      </c>
      <c r="B2307" s="0" t="n">
        <v>1</v>
      </c>
      <c r="C2307" s="0" t="n">
        <v>3</v>
      </c>
      <c r="D2307" s="0" t="n">
        <v>7</v>
      </c>
      <c r="E2307" s="0" t="n">
        <f aca="false">-1+A2307*0.25</f>
        <v>-0.25</v>
      </c>
      <c r="F2307" s="0" t="n">
        <f aca="false">-1+B2307*0.25</f>
        <v>-0.75</v>
      </c>
      <c r="G2307" s="0" t="n">
        <f aca="false">-1+C2307*0.25</f>
        <v>-0.25</v>
      </c>
      <c r="H2307" s="0" t="n">
        <f aca="false">-1+D2307*0.25</f>
        <v>0.75</v>
      </c>
      <c r="I2307" s="0" t="n">
        <f aca="false">1</f>
        <v>1</v>
      </c>
      <c r="J2307" s="0" t="n">
        <f aca="false">E2307</f>
        <v>-0.25</v>
      </c>
      <c r="K2307" s="0" t="n">
        <f aca="false">F2307</f>
        <v>-0.75</v>
      </c>
      <c r="L2307" s="0" t="n">
        <f aca="false">G2307</f>
        <v>-0.25</v>
      </c>
      <c r="M2307" s="0" t="n">
        <f aca="false">H2307</f>
        <v>0.75</v>
      </c>
      <c r="N2307" s="0" t="n">
        <f aca="false">E2307*F2307</f>
        <v>0.1875</v>
      </c>
      <c r="O2307" s="0" t="n">
        <f aca="false">E2307*G2307</f>
        <v>0.0625</v>
      </c>
      <c r="P2307" s="0" t="n">
        <f aca="false">E2307*H2307</f>
        <v>-0.1875</v>
      </c>
      <c r="Q2307" s="0" t="n">
        <f aca="false">F2307*G2307</f>
        <v>0.1875</v>
      </c>
      <c r="R2307" s="0" t="n">
        <f aca="false">F2307*H2307</f>
        <v>-0.5625</v>
      </c>
      <c r="S2307" s="0" t="n">
        <f aca="false">G2307*H2307</f>
        <v>-0.1875</v>
      </c>
      <c r="T2307" s="0" t="n">
        <f aca="false">E2307*E2307</f>
        <v>0.0625</v>
      </c>
      <c r="U2307" s="0" t="n">
        <f aca="false">F2307*F2307</f>
        <v>0.5625</v>
      </c>
      <c r="V2307" s="0" t="n">
        <f aca="false">G2307*G2307</f>
        <v>0.0625</v>
      </c>
      <c r="W2307" s="0" t="n">
        <f aca="false">H2307*H2307</f>
        <v>0.5625</v>
      </c>
      <c r="X2307" s="0" t="n">
        <f aca="false">SUMPRODUCT(I2307:W2307,_XtX!$B$96:$P$96)</f>
        <v>44.2932794225146</v>
      </c>
      <c r="Y2307" s="0" t="n">
        <f aca="false">SUMPRODUCT(MMULT(I2307:W2307,_XtX!$B$78:$P$92),I2307:W2307)</f>
        <v>0.271087468019006</v>
      </c>
      <c r="Z2307" s="0" t="n">
        <f aca="false">04_回帰ANOVA!$K$19*04_回帰ANOVA!$K$14*SQRT(1+Y2307)</f>
        <v>1.46955590155034</v>
      </c>
      <c r="AA2307" s="0" t="n">
        <f aca="false">X2307-Z2307</f>
        <v>42.8237235209642</v>
      </c>
      <c r="AB2307" s="0" t="n">
        <f aca="false">X2307+Z2307</f>
        <v>45.7628353240649</v>
      </c>
      <c r="AC2307" s="54" t="b">
        <f aca="false">AND(E2307&gt;=01_因子設定!$L$5-0.000000001,E2307&lt;=01_因子設定!$M$5+0.000000001,F2307&gt;=01_因子設定!$L$6-0.000000001,F2307&lt;=01_因子設定!$M$6+0.000000001,G2307&gt;=01_因子設定!$L$7-0.000000001,G2307&lt;=01_因子設定!$M$7+0.000000001,H2307&gt;=01_因子設定!$L$8-0.000000001,H2307&lt;=01_因子設定!$M$8+0.000000001,IF(01_因子設定!$B$20="Box-Behnken",E2307^2+F2307^2+G2307^2+H2307^2&lt;=2+0.000000001,TRUE()))</f>
        <v>1</v>
      </c>
      <c r="AD2307" s="55" t="n">
        <f aca="false">IF(AC2307,IF(01_因子設定!$B$13="最大化",AA2307-01_因子設定!$B$14,IF(01_因子設定!$B$13="最小化",01_因子設定!$B$15-AB2307,MIN(AA2307-01_因子設定!$B$14,01_因子設定!$B$15-AB2307))),-1E+030)</f>
        <v>-3.67627647903576</v>
      </c>
      <c r="AE2307" s="55" t="n">
        <f aca="false">IF(AC2307,IF(01_因子設定!$B$13="最大化",X2307,IF(01_因子設定!$B$13="最小化",-X2307,-ABS(X2307-01_因子設定!$B$16))),-1E+030)</f>
        <v>44.2932794225146</v>
      </c>
      <c r="AF2307" s="55" t="n">
        <f aca="false">AD2307+ROW()*0.000000001</f>
        <v>-3.67627417203576</v>
      </c>
      <c r="AG2307" s="55" t="n">
        <f aca="false">AE2307+ROW()*0.000000001</f>
        <v>44.2932817295146</v>
      </c>
    </row>
    <row r="2308" customFormat="false" ht="15" hidden="false" customHeight="false" outlineLevel="0" collapsed="false">
      <c r="A2308" s="0" t="n">
        <v>3</v>
      </c>
      <c r="B2308" s="0" t="n">
        <v>1</v>
      </c>
      <c r="C2308" s="0" t="n">
        <v>3</v>
      </c>
      <c r="D2308" s="0" t="n">
        <v>8</v>
      </c>
      <c r="E2308" s="0" t="n">
        <f aca="false">-1+A2308*0.25</f>
        <v>-0.25</v>
      </c>
      <c r="F2308" s="0" t="n">
        <f aca="false">-1+B2308*0.25</f>
        <v>-0.75</v>
      </c>
      <c r="G2308" s="0" t="n">
        <f aca="false">-1+C2308*0.25</f>
        <v>-0.25</v>
      </c>
      <c r="H2308" s="0" t="n">
        <f aca="false">-1+D2308*0.25</f>
        <v>1</v>
      </c>
      <c r="I2308" s="0" t="n">
        <f aca="false">1</f>
        <v>1</v>
      </c>
      <c r="J2308" s="0" t="n">
        <f aca="false">E2308</f>
        <v>-0.25</v>
      </c>
      <c r="K2308" s="0" t="n">
        <f aca="false">F2308</f>
        <v>-0.75</v>
      </c>
      <c r="L2308" s="0" t="n">
        <f aca="false">G2308</f>
        <v>-0.25</v>
      </c>
      <c r="M2308" s="0" t="n">
        <f aca="false">H2308</f>
        <v>1</v>
      </c>
      <c r="N2308" s="0" t="n">
        <f aca="false">E2308*F2308</f>
        <v>0.1875</v>
      </c>
      <c r="O2308" s="0" t="n">
        <f aca="false">E2308*G2308</f>
        <v>0.0625</v>
      </c>
      <c r="P2308" s="0" t="n">
        <f aca="false">E2308*H2308</f>
        <v>-0.25</v>
      </c>
      <c r="Q2308" s="0" t="n">
        <f aca="false">F2308*G2308</f>
        <v>0.1875</v>
      </c>
      <c r="R2308" s="0" t="n">
        <f aca="false">F2308*H2308</f>
        <v>-0.75</v>
      </c>
      <c r="S2308" s="0" t="n">
        <f aca="false">G2308*H2308</f>
        <v>-0.25</v>
      </c>
      <c r="T2308" s="0" t="n">
        <f aca="false">E2308*E2308</f>
        <v>0.0625</v>
      </c>
      <c r="U2308" s="0" t="n">
        <f aca="false">F2308*F2308</f>
        <v>0.5625</v>
      </c>
      <c r="V2308" s="0" t="n">
        <f aca="false">G2308*G2308</f>
        <v>0.0625</v>
      </c>
      <c r="W2308" s="0" t="n">
        <f aca="false">H2308*H2308</f>
        <v>1</v>
      </c>
      <c r="X2308" s="0" t="n">
        <f aca="false">SUMPRODUCT(I2308:W2308,_XtX!$B$96:$P$96)</f>
        <v>44.24140625</v>
      </c>
      <c r="Y2308" s="0" t="n">
        <f aca="false">SUMPRODUCT(MMULT(I2308:W2308,_XtX!$B$78:$P$92),I2308:W2308)</f>
        <v>0.486409505208333</v>
      </c>
      <c r="Z2308" s="0" t="n">
        <f aca="false">04_回帰ANOVA!$K$19*04_回帰ANOVA!$K$14*SQRT(1+Y2308)</f>
        <v>1.58916001665498</v>
      </c>
      <c r="AA2308" s="0" t="n">
        <f aca="false">X2308-Z2308</f>
        <v>42.652246233345</v>
      </c>
      <c r="AB2308" s="0" t="n">
        <f aca="false">X2308+Z2308</f>
        <v>45.830566266655</v>
      </c>
      <c r="AC2308" s="54" t="b">
        <f aca="false">AND(E2308&gt;=01_因子設定!$L$5-0.000000001,E2308&lt;=01_因子設定!$M$5+0.000000001,F2308&gt;=01_因子設定!$L$6-0.000000001,F2308&lt;=01_因子設定!$M$6+0.000000001,G2308&gt;=01_因子設定!$L$7-0.000000001,G2308&lt;=01_因子設定!$M$7+0.000000001,H2308&gt;=01_因子設定!$L$8-0.000000001,H2308&lt;=01_因子設定!$M$8+0.000000001,IF(01_因子設定!$B$20="Box-Behnken",E2308^2+F2308^2+G2308^2+H2308^2&lt;=2+0.000000001,TRUE()))</f>
        <v>1</v>
      </c>
      <c r="AD2308" s="55" t="n">
        <f aca="false">IF(AC2308,IF(01_因子設定!$B$13="最大化",AA2308-01_因子設定!$B$14,IF(01_因子設定!$B$13="最小化",01_因子設定!$B$15-AB2308,MIN(AA2308-01_因子設定!$B$14,01_因子設定!$B$15-AB2308))),-1E+030)</f>
        <v>-3.847753766655</v>
      </c>
      <c r="AE2308" s="55" t="n">
        <f aca="false">IF(AC2308,IF(01_因子設定!$B$13="最大化",X2308,IF(01_因子設定!$B$13="最小化",-X2308,-ABS(X2308-01_因子設定!$B$16))),-1E+030)</f>
        <v>44.24140625</v>
      </c>
      <c r="AF2308" s="55" t="n">
        <f aca="false">AD2308+ROW()*0.000000001</f>
        <v>-3.847751458655</v>
      </c>
      <c r="AG2308" s="55" t="n">
        <f aca="false">AE2308+ROW()*0.000000001</f>
        <v>44.241408558</v>
      </c>
    </row>
    <row r="2309" customFormat="false" ht="15" hidden="false" customHeight="false" outlineLevel="0" collapsed="false">
      <c r="A2309" s="0" t="n">
        <v>3</v>
      </c>
      <c r="B2309" s="0" t="n">
        <v>1</v>
      </c>
      <c r="C2309" s="0" t="n">
        <v>4</v>
      </c>
      <c r="D2309" s="0" t="n">
        <v>0</v>
      </c>
      <c r="E2309" s="0" t="n">
        <f aca="false">-1+A2309*0.25</f>
        <v>-0.25</v>
      </c>
      <c r="F2309" s="0" t="n">
        <f aca="false">-1+B2309*0.25</f>
        <v>-0.75</v>
      </c>
      <c r="G2309" s="0" t="n">
        <f aca="false">-1+C2309*0.25</f>
        <v>0</v>
      </c>
      <c r="H2309" s="0" t="n">
        <f aca="false">-1+D2309*0.25</f>
        <v>-1</v>
      </c>
      <c r="I2309" s="0" t="n">
        <f aca="false">1</f>
        <v>1</v>
      </c>
      <c r="J2309" s="0" t="n">
        <f aca="false">E2309</f>
        <v>-0.25</v>
      </c>
      <c r="K2309" s="0" t="n">
        <f aca="false">F2309</f>
        <v>-0.75</v>
      </c>
      <c r="L2309" s="0" t="n">
        <f aca="false">G2309</f>
        <v>0</v>
      </c>
      <c r="M2309" s="0" t="n">
        <f aca="false">H2309</f>
        <v>-1</v>
      </c>
      <c r="N2309" s="0" t="n">
        <f aca="false">E2309*F2309</f>
        <v>0.1875</v>
      </c>
      <c r="O2309" s="0" t="n">
        <f aca="false">E2309*G2309</f>
        <v>-0</v>
      </c>
      <c r="P2309" s="0" t="n">
        <f aca="false">E2309*H2309</f>
        <v>0.25</v>
      </c>
      <c r="Q2309" s="0" t="n">
        <f aca="false">F2309*G2309</f>
        <v>-0</v>
      </c>
      <c r="R2309" s="0" t="n">
        <f aca="false">F2309*H2309</f>
        <v>0.75</v>
      </c>
      <c r="S2309" s="0" t="n">
        <f aca="false">G2309*H2309</f>
        <v>-0</v>
      </c>
      <c r="T2309" s="0" t="n">
        <f aca="false">E2309*E2309</f>
        <v>0.0625</v>
      </c>
      <c r="U2309" s="0" t="n">
        <f aca="false">F2309*F2309</f>
        <v>0.5625</v>
      </c>
      <c r="V2309" s="0" t="n">
        <f aca="false">G2309*G2309</f>
        <v>0</v>
      </c>
      <c r="W2309" s="0" t="n">
        <f aca="false">H2309*H2309</f>
        <v>1</v>
      </c>
      <c r="X2309" s="0" t="n">
        <f aca="false">SUMPRODUCT(I2309:W2309,_XtX!$B$96:$P$96)</f>
        <v>43.5164382309941</v>
      </c>
      <c r="Y2309" s="0" t="n">
        <f aca="false">SUMPRODUCT(MMULT(I2309:W2309,_XtX!$B$78:$P$92),I2309:W2309)</f>
        <v>0.501534802174708</v>
      </c>
      <c r="Z2309" s="0" t="n">
        <f aca="false">04_回帰ANOVA!$K$19*04_回帰ANOVA!$K$14*SQRT(1+Y2309)</f>
        <v>1.59722498091333</v>
      </c>
      <c r="AA2309" s="0" t="n">
        <f aca="false">X2309-Z2309</f>
        <v>41.9192132500808</v>
      </c>
      <c r="AB2309" s="0" t="n">
        <f aca="false">X2309+Z2309</f>
        <v>45.1136632119075</v>
      </c>
      <c r="AC2309" s="54" t="b">
        <f aca="false">AND(E2309&gt;=01_因子設定!$L$5-0.000000001,E2309&lt;=01_因子設定!$M$5+0.000000001,F2309&gt;=01_因子設定!$L$6-0.000000001,F2309&lt;=01_因子設定!$M$6+0.000000001,G2309&gt;=01_因子設定!$L$7-0.000000001,G2309&lt;=01_因子設定!$M$7+0.000000001,H2309&gt;=01_因子設定!$L$8-0.000000001,H2309&lt;=01_因子設定!$M$8+0.000000001,IF(01_因子設定!$B$20="Box-Behnken",E2309^2+F2309^2+G2309^2+H2309^2&lt;=2+0.000000001,TRUE()))</f>
        <v>1</v>
      </c>
      <c r="AD2309" s="55" t="n">
        <f aca="false">IF(AC2309,IF(01_因子設定!$B$13="最大化",AA2309-01_因子設定!$B$14,IF(01_因子設定!$B$13="最小化",01_因子設定!$B$15-AB2309,MIN(AA2309-01_因子設定!$B$14,01_因子設定!$B$15-AB2309))),-1E+030)</f>
        <v>-4.58078674991921</v>
      </c>
      <c r="AE2309" s="55" t="n">
        <f aca="false">IF(AC2309,IF(01_因子設定!$B$13="最大化",X2309,IF(01_因子設定!$B$13="最小化",-X2309,-ABS(X2309-01_因子設定!$B$16))),-1E+030)</f>
        <v>43.5164382309941</v>
      </c>
      <c r="AF2309" s="55" t="n">
        <f aca="false">AD2309+ROW()*0.000000001</f>
        <v>-4.58078444091921</v>
      </c>
      <c r="AG2309" s="55" t="n">
        <f aca="false">AE2309+ROW()*0.000000001</f>
        <v>43.5164405399941</v>
      </c>
    </row>
    <row r="2310" customFormat="false" ht="15" hidden="false" customHeight="false" outlineLevel="0" collapsed="false">
      <c r="A2310" s="0" t="n">
        <v>3</v>
      </c>
      <c r="B2310" s="0" t="n">
        <v>1</v>
      </c>
      <c r="C2310" s="0" t="n">
        <v>4</v>
      </c>
      <c r="D2310" s="0" t="n">
        <v>1</v>
      </c>
      <c r="E2310" s="0" t="n">
        <f aca="false">-1+A2310*0.25</f>
        <v>-0.25</v>
      </c>
      <c r="F2310" s="0" t="n">
        <f aca="false">-1+B2310*0.25</f>
        <v>-0.75</v>
      </c>
      <c r="G2310" s="0" t="n">
        <f aca="false">-1+C2310*0.25</f>
        <v>0</v>
      </c>
      <c r="H2310" s="0" t="n">
        <f aca="false">-1+D2310*0.25</f>
        <v>-0.75</v>
      </c>
      <c r="I2310" s="0" t="n">
        <f aca="false">1</f>
        <v>1</v>
      </c>
      <c r="J2310" s="0" t="n">
        <f aca="false">E2310</f>
        <v>-0.25</v>
      </c>
      <c r="K2310" s="0" t="n">
        <f aca="false">F2310</f>
        <v>-0.75</v>
      </c>
      <c r="L2310" s="0" t="n">
        <f aca="false">G2310</f>
        <v>0</v>
      </c>
      <c r="M2310" s="0" t="n">
        <f aca="false">H2310</f>
        <v>-0.75</v>
      </c>
      <c r="N2310" s="0" t="n">
        <f aca="false">E2310*F2310</f>
        <v>0.1875</v>
      </c>
      <c r="O2310" s="0" t="n">
        <f aca="false">E2310*G2310</f>
        <v>-0</v>
      </c>
      <c r="P2310" s="0" t="n">
        <f aca="false">E2310*H2310</f>
        <v>0.1875</v>
      </c>
      <c r="Q2310" s="0" t="n">
        <f aca="false">F2310*G2310</f>
        <v>-0</v>
      </c>
      <c r="R2310" s="0" t="n">
        <f aca="false">F2310*H2310</f>
        <v>0.5625</v>
      </c>
      <c r="S2310" s="0" t="n">
        <f aca="false">G2310*H2310</f>
        <v>-0</v>
      </c>
      <c r="T2310" s="0" t="n">
        <f aca="false">E2310*E2310</f>
        <v>0.0625</v>
      </c>
      <c r="U2310" s="0" t="n">
        <f aca="false">F2310*F2310</f>
        <v>0.5625</v>
      </c>
      <c r="V2310" s="0" t="n">
        <f aca="false">G2310*G2310</f>
        <v>0</v>
      </c>
      <c r="W2310" s="0" t="n">
        <f aca="false">H2310*H2310</f>
        <v>0.5625</v>
      </c>
      <c r="X2310" s="0" t="n">
        <f aca="false">SUMPRODUCT(I2310:W2310,_XtX!$B$96:$P$96)</f>
        <v>43.8171829312865</v>
      </c>
      <c r="Y2310" s="0" t="n">
        <f aca="false">SUMPRODUCT(MMULT(I2310:W2310,_XtX!$B$78:$P$92),I2310:W2310)</f>
        <v>0.281685455500731</v>
      </c>
      <c r="Z2310" s="0" t="n">
        <f aca="false">04_回帰ANOVA!$K$19*04_回帰ANOVA!$K$14*SQRT(1+Y2310)</f>
        <v>1.47566956658694</v>
      </c>
      <c r="AA2310" s="0" t="n">
        <f aca="false">X2310-Z2310</f>
        <v>42.3415133646996</v>
      </c>
      <c r="AB2310" s="0" t="n">
        <f aca="false">X2310+Z2310</f>
        <v>45.2928524978735</v>
      </c>
      <c r="AC2310" s="54" t="b">
        <f aca="false">AND(E2310&gt;=01_因子設定!$L$5-0.000000001,E2310&lt;=01_因子設定!$M$5+0.000000001,F2310&gt;=01_因子設定!$L$6-0.000000001,F2310&lt;=01_因子設定!$M$6+0.000000001,G2310&gt;=01_因子設定!$L$7-0.000000001,G2310&lt;=01_因子設定!$M$7+0.000000001,H2310&gt;=01_因子設定!$L$8-0.000000001,H2310&lt;=01_因子設定!$M$8+0.000000001,IF(01_因子設定!$B$20="Box-Behnken",E2310^2+F2310^2+G2310^2+H2310^2&lt;=2+0.000000001,TRUE()))</f>
        <v>1</v>
      </c>
      <c r="AD2310" s="55" t="n">
        <f aca="false">IF(AC2310,IF(01_因子設定!$B$13="最大化",AA2310-01_因子設定!$B$14,IF(01_因子設定!$B$13="最小化",01_因子設定!$B$15-AB2310,MIN(AA2310-01_因子設定!$B$14,01_因子設定!$B$15-AB2310))),-1E+030)</f>
        <v>-4.15848663530043</v>
      </c>
      <c r="AE2310" s="55" t="n">
        <f aca="false">IF(AC2310,IF(01_因子設定!$B$13="最大化",X2310,IF(01_因子設定!$B$13="最小化",-X2310,-ABS(X2310-01_因子設定!$B$16))),-1E+030)</f>
        <v>43.8171829312865</v>
      </c>
      <c r="AF2310" s="55" t="n">
        <f aca="false">AD2310+ROW()*0.000000001</f>
        <v>-4.15848432530043</v>
      </c>
      <c r="AG2310" s="55" t="n">
        <f aca="false">AE2310+ROW()*0.000000001</f>
        <v>43.8171852412865</v>
      </c>
    </row>
    <row r="2311" customFormat="false" ht="15" hidden="false" customHeight="false" outlineLevel="0" collapsed="false">
      <c r="A2311" s="0" t="n">
        <v>3</v>
      </c>
      <c r="B2311" s="0" t="n">
        <v>1</v>
      </c>
      <c r="C2311" s="0" t="n">
        <v>4</v>
      </c>
      <c r="D2311" s="0" t="n">
        <v>2</v>
      </c>
      <c r="E2311" s="0" t="n">
        <f aca="false">-1+A2311*0.25</f>
        <v>-0.25</v>
      </c>
      <c r="F2311" s="0" t="n">
        <f aca="false">-1+B2311*0.25</f>
        <v>-0.75</v>
      </c>
      <c r="G2311" s="0" t="n">
        <f aca="false">-1+C2311*0.25</f>
        <v>0</v>
      </c>
      <c r="H2311" s="0" t="n">
        <f aca="false">-1+D2311*0.25</f>
        <v>-0.5</v>
      </c>
      <c r="I2311" s="0" t="n">
        <f aca="false">1</f>
        <v>1</v>
      </c>
      <c r="J2311" s="0" t="n">
        <f aca="false">E2311</f>
        <v>-0.25</v>
      </c>
      <c r="K2311" s="0" t="n">
        <f aca="false">F2311</f>
        <v>-0.75</v>
      </c>
      <c r="L2311" s="0" t="n">
        <f aca="false">G2311</f>
        <v>0</v>
      </c>
      <c r="M2311" s="0" t="n">
        <f aca="false">H2311</f>
        <v>-0.5</v>
      </c>
      <c r="N2311" s="0" t="n">
        <f aca="false">E2311*F2311</f>
        <v>0.1875</v>
      </c>
      <c r="O2311" s="0" t="n">
        <f aca="false">E2311*G2311</f>
        <v>-0</v>
      </c>
      <c r="P2311" s="0" t="n">
        <f aca="false">E2311*H2311</f>
        <v>0.125</v>
      </c>
      <c r="Q2311" s="0" t="n">
        <f aca="false">F2311*G2311</f>
        <v>-0</v>
      </c>
      <c r="R2311" s="0" t="n">
        <f aca="false">F2311*H2311</f>
        <v>0.375</v>
      </c>
      <c r="S2311" s="0" t="n">
        <f aca="false">G2311*H2311</f>
        <v>-0</v>
      </c>
      <c r="T2311" s="0" t="n">
        <f aca="false">E2311*E2311</f>
        <v>0.0625</v>
      </c>
      <c r="U2311" s="0" t="n">
        <f aca="false">F2311*F2311</f>
        <v>0.5625</v>
      </c>
      <c r="V2311" s="0" t="n">
        <f aca="false">G2311*G2311</f>
        <v>0</v>
      </c>
      <c r="W2311" s="0" t="n">
        <f aca="false">H2311*H2311</f>
        <v>0.25</v>
      </c>
      <c r="X2311" s="0" t="n">
        <f aca="false">SUMPRODUCT(I2311:W2311,_XtX!$B$96:$P$96)</f>
        <v>44.070120614035</v>
      </c>
      <c r="Y2311" s="0" t="n">
        <f aca="false">SUMPRODUCT(MMULT(I2311:W2311,_XtX!$B$78:$P$92),I2311:W2311)</f>
        <v>0.215110734192252</v>
      </c>
      <c r="Z2311" s="0" t="n">
        <f aca="false">04_回帰ANOVA!$K$19*04_回帰ANOVA!$K$14*SQRT(1+Y2311)</f>
        <v>1.43683309086864</v>
      </c>
      <c r="AA2311" s="0" t="n">
        <f aca="false">X2311-Z2311</f>
        <v>42.6332875231664</v>
      </c>
      <c r="AB2311" s="0" t="n">
        <f aca="false">X2311+Z2311</f>
        <v>45.5069537049037</v>
      </c>
      <c r="AC2311" s="54" t="b">
        <f aca="false">AND(E2311&gt;=01_因子設定!$L$5-0.000000001,E2311&lt;=01_因子設定!$M$5+0.000000001,F2311&gt;=01_因子設定!$L$6-0.000000001,F2311&lt;=01_因子設定!$M$6+0.000000001,G2311&gt;=01_因子設定!$L$7-0.000000001,G2311&lt;=01_因子設定!$M$7+0.000000001,H2311&gt;=01_因子設定!$L$8-0.000000001,H2311&lt;=01_因子設定!$M$8+0.000000001,IF(01_因子設定!$B$20="Box-Behnken",E2311^2+F2311^2+G2311^2+H2311^2&lt;=2+0.000000001,TRUE()))</f>
        <v>1</v>
      </c>
      <c r="AD2311" s="55" t="n">
        <f aca="false">IF(AC2311,IF(01_因子設定!$B$13="最大化",AA2311-01_因子設定!$B$14,IF(01_因子設定!$B$13="最小化",01_因子設定!$B$15-AB2311,MIN(AA2311-01_因子設定!$B$14,01_因子設定!$B$15-AB2311))),-1E+030)</f>
        <v>-3.86671247683361</v>
      </c>
      <c r="AE2311" s="55" t="n">
        <f aca="false">IF(AC2311,IF(01_因子設定!$B$13="最大化",X2311,IF(01_因子設定!$B$13="最小化",-X2311,-ABS(X2311-01_因子設定!$B$16))),-1E+030)</f>
        <v>44.070120614035</v>
      </c>
      <c r="AF2311" s="55" t="n">
        <f aca="false">AD2311+ROW()*0.000000001</f>
        <v>-3.86671016583361</v>
      </c>
      <c r="AG2311" s="55" t="n">
        <f aca="false">AE2311+ROW()*0.000000001</f>
        <v>44.070122925035</v>
      </c>
    </row>
    <row r="2312" customFormat="false" ht="15" hidden="false" customHeight="false" outlineLevel="0" collapsed="false">
      <c r="A2312" s="0" t="n">
        <v>3</v>
      </c>
      <c r="B2312" s="0" t="n">
        <v>1</v>
      </c>
      <c r="C2312" s="0" t="n">
        <v>4</v>
      </c>
      <c r="D2312" s="0" t="n">
        <v>3</v>
      </c>
      <c r="E2312" s="0" t="n">
        <f aca="false">-1+A2312*0.25</f>
        <v>-0.25</v>
      </c>
      <c r="F2312" s="0" t="n">
        <f aca="false">-1+B2312*0.25</f>
        <v>-0.75</v>
      </c>
      <c r="G2312" s="0" t="n">
        <f aca="false">-1+C2312*0.25</f>
        <v>0</v>
      </c>
      <c r="H2312" s="0" t="n">
        <f aca="false">-1+D2312*0.25</f>
        <v>-0.25</v>
      </c>
      <c r="I2312" s="0" t="n">
        <f aca="false">1</f>
        <v>1</v>
      </c>
      <c r="J2312" s="0" t="n">
        <f aca="false">E2312</f>
        <v>-0.25</v>
      </c>
      <c r="K2312" s="0" t="n">
        <f aca="false">F2312</f>
        <v>-0.75</v>
      </c>
      <c r="L2312" s="0" t="n">
        <f aca="false">G2312</f>
        <v>0</v>
      </c>
      <c r="M2312" s="0" t="n">
        <f aca="false">H2312</f>
        <v>-0.25</v>
      </c>
      <c r="N2312" s="0" t="n">
        <f aca="false">E2312*F2312</f>
        <v>0.1875</v>
      </c>
      <c r="O2312" s="0" t="n">
        <f aca="false">E2312*G2312</f>
        <v>-0</v>
      </c>
      <c r="P2312" s="0" t="n">
        <f aca="false">E2312*H2312</f>
        <v>0.0625</v>
      </c>
      <c r="Q2312" s="0" t="n">
        <f aca="false">F2312*G2312</f>
        <v>-0</v>
      </c>
      <c r="R2312" s="0" t="n">
        <f aca="false">F2312*H2312</f>
        <v>0.1875</v>
      </c>
      <c r="S2312" s="0" t="n">
        <f aca="false">G2312*H2312</f>
        <v>-0</v>
      </c>
      <c r="T2312" s="0" t="n">
        <f aca="false">E2312*E2312</f>
        <v>0.0625</v>
      </c>
      <c r="U2312" s="0" t="n">
        <f aca="false">F2312*F2312</f>
        <v>0.5625</v>
      </c>
      <c r="V2312" s="0" t="n">
        <f aca="false">G2312*G2312</f>
        <v>0</v>
      </c>
      <c r="W2312" s="0" t="n">
        <f aca="false">H2312*H2312</f>
        <v>0.0625</v>
      </c>
      <c r="X2312" s="0" t="n">
        <f aca="false">SUMPRODUCT(I2312:W2312,_XtX!$B$96:$P$96)</f>
        <v>44.2752512792397</v>
      </c>
      <c r="Y2312" s="0" t="n">
        <f aca="false">SUMPRODUCT(MMULT(I2312:W2312,_XtX!$B$78:$P$92),I2312:W2312)</f>
        <v>0.21135011193348</v>
      </c>
      <c r="Z2312" s="0" t="n">
        <f aca="false">04_回帰ANOVA!$K$19*04_回帰ANOVA!$K$14*SQRT(1+Y2312)</f>
        <v>1.43460795469709</v>
      </c>
      <c r="AA2312" s="0" t="n">
        <f aca="false">X2312-Z2312</f>
        <v>42.8406433245426</v>
      </c>
      <c r="AB2312" s="0" t="n">
        <f aca="false">X2312+Z2312</f>
        <v>45.7098592339368</v>
      </c>
      <c r="AC2312" s="54" t="b">
        <f aca="false">AND(E2312&gt;=01_因子設定!$L$5-0.000000001,E2312&lt;=01_因子設定!$M$5+0.000000001,F2312&gt;=01_因子設定!$L$6-0.000000001,F2312&lt;=01_因子設定!$M$6+0.000000001,G2312&gt;=01_因子設定!$L$7-0.000000001,G2312&lt;=01_因子設定!$M$7+0.000000001,H2312&gt;=01_因子設定!$L$8-0.000000001,H2312&lt;=01_因子設定!$M$8+0.000000001,IF(01_因子設定!$B$20="Box-Behnken",E2312^2+F2312^2+G2312^2+H2312^2&lt;=2+0.000000001,TRUE()))</f>
        <v>1</v>
      </c>
      <c r="AD2312" s="55" t="n">
        <f aca="false">IF(AC2312,IF(01_因子設定!$B$13="最大化",AA2312-01_因子設定!$B$14,IF(01_因子設定!$B$13="最小化",01_因子設定!$B$15-AB2312,MIN(AA2312-01_因子設定!$B$14,01_因子設定!$B$15-AB2312))),-1E+030)</f>
        <v>-3.65935667545738</v>
      </c>
      <c r="AE2312" s="55" t="n">
        <f aca="false">IF(AC2312,IF(01_因子設定!$B$13="最大化",X2312,IF(01_因子設定!$B$13="最小化",-X2312,-ABS(X2312-01_因子設定!$B$16))),-1E+030)</f>
        <v>44.2752512792397</v>
      </c>
      <c r="AF2312" s="55" t="n">
        <f aca="false">AD2312+ROW()*0.000000001</f>
        <v>-3.65935436345738</v>
      </c>
      <c r="AG2312" s="55" t="n">
        <f aca="false">AE2312+ROW()*0.000000001</f>
        <v>44.2752535912397</v>
      </c>
    </row>
    <row r="2313" customFormat="false" ht="15" hidden="false" customHeight="false" outlineLevel="0" collapsed="false">
      <c r="A2313" s="0" t="n">
        <v>3</v>
      </c>
      <c r="B2313" s="0" t="n">
        <v>1</v>
      </c>
      <c r="C2313" s="0" t="n">
        <v>4</v>
      </c>
      <c r="D2313" s="0" t="n">
        <v>4</v>
      </c>
      <c r="E2313" s="0" t="n">
        <f aca="false">-1+A2313*0.25</f>
        <v>-0.25</v>
      </c>
      <c r="F2313" s="0" t="n">
        <f aca="false">-1+B2313*0.25</f>
        <v>-0.75</v>
      </c>
      <c r="G2313" s="0" t="n">
        <f aca="false">-1+C2313*0.25</f>
        <v>0</v>
      </c>
      <c r="H2313" s="0" t="n">
        <f aca="false">-1+D2313*0.25</f>
        <v>0</v>
      </c>
      <c r="I2313" s="0" t="n">
        <f aca="false">1</f>
        <v>1</v>
      </c>
      <c r="J2313" s="0" t="n">
        <f aca="false">E2313</f>
        <v>-0.25</v>
      </c>
      <c r="K2313" s="0" t="n">
        <f aca="false">F2313</f>
        <v>-0.75</v>
      </c>
      <c r="L2313" s="0" t="n">
        <f aca="false">G2313</f>
        <v>0</v>
      </c>
      <c r="M2313" s="0" t="n">
        <f aca="false">H2313</f>
        <v>0</v>
      </c>
      <c r="N2313" s="0" t="n">
        <f aca="false">E2313*F2313</f>
        <v>0.1875</v>
      </c>
      <c r="O2313" s="0" t="n">
        <f aca="false">E2313*G2313</f>
        <v>-0</v>
      </c>
      <c r="P2313" s="0" t="n">
        <f aca="false">E2313*H2313</f>
        <v>-0</v>
      </c>
      <c r="Q2313" s="0" t="n">
        <f aca="false">F2313*G2313</f>
        <v>-0</v>
      </c>
      <c r="R2313" s="0" t="n">
        <f aca="false">F2313*H2313</f>
        <v>-0</v>
      </c>
      <c r="S2313" s="0" t="n">
        <f aca="false">G2313*H2313</f>
        <v>0</v>
      </c>
      <c r="T2313" s="0" t="n">
        <f aca="false">E2313*E2313</f>
        <v>0.0625</v>
      </c>
      <c r="U2313" s="0" t="n">
        <f aca="false">F2313*F2313</f>
        <v>0.5625</v>
      </c>
      <c r="V2313" s="0" t="n">
        <f aca="false">G2313*G2313</f>
        <v>0</v>
      </c>
      <c r="W2313" s="0" t="n">
        <f aca="false">H2313*H2313</f>
        <v>0</v>
      </c>
      <c r="X2313" s="0" t="n">
        <f aca="false">SUMPRODUCT(I2313:W2313,_XtX!$B$96:$P$96)</f>
        <v>44.4325749269005</v>
      </c>
      <c r="Y2313" s="0" t="n">
        <f aca="false">SUMPRODUCT(MMULT(I2313:W2313,_XtX!$B$78:$P$92),I2313:W2313)</f>
        <v>0.216127272934942</v>
      </c>
      <c r="Z2313" s="0" t="n">
        <f aca="false">04_回帰ANOVA!$K$19*04_回帰ANOVA!$K$14*SQRT(1+Y2313)</f>
        <v>1.43743397896608</v>
      </c>
      <c r="AA2313" s="0" t="n">
        <f aca="false">X2313-Z2313</f>
        <v>42.9951409479344</v>
      </c>
      <c r="AB2313" s="0" t="n">
        <f aca="false">X2313+Z2313</f>
        <v>45.8700089058666</v>
      </c>
      <c r="AC2313" s="54" t="b">
        <f aca="false">AND(E2313&gt;=01_因子設定!$L$5-0.000000001,E2313&lt;=01_因子設定!$M$5+0.000000001,F2313&gt;=01_因子設定!$L$6-0.000000001,F2313&lt;=01_因子設定!$M$6+0.000000001,G2313&gt;=01_因子設定!$L$7-0.000000001,G2313&lt;=01_因子設定!$M$7+0.000000001,H2313&gt;=01_因子設定!$L$8-0.000000001,H2313&lt;=01_因子設定!$M$8+0.000000001,IF(01_因子設定!$B$20="Box-Behnken",E2313^2+F2313^2+G2313^2+H2313^2&lt;=2+0.000000001,TRUE()))</f>
        <v>1</v>
      </c>
      <c r="AD2313" s="55" t="n">
        <f aca="false">IF(AC2313,IF(01_因子設定!$B$13="最大化",AA2313-01_因子設定!$B$14,IF(01_因子設定!$B$13="最小化",01_因子設定!$B$15-AB2313,MIN(AA2313-01_因子設定!$B$14,01_因子設定!$B$15-AB2313))),-1E+030)</f>
        <v>-3.50485905206556</v>
      </c>
      <c r="AE2313" s="55" t="n">
        <f aca="false">IF(AC2313,IF(01_因子設定!$B$13="最大化",X2313,IF(01_因子設定!$B$13="最小化",-X2313,-ABS(X2313-01_因子設定!$B$16))),-1E+030)</f>
        <v>44.4325749269005</v>
      </c>
      <c r="AF2313" s="55" t="n">
        <f aca="false">AD2313+ROW()*0.000000001</f>
        <v>-3.50485673906556</v>
      </c>
      <c r="AG2313" s="55" t="n">
        <f aca="false">AE2313+ROW()*0.000000001</f>
        <v>44.4325772399005</v>
      </c>
    </row>
    <row r="2314" customFormat="false" ht="15" hidden="false" customHeight="false" outlineLevel="0" collapsed="false">
      <c r="A2314" s="0" t="n">
        <v>3</v>
      </c>
      <c r="B2314" s="0" t="n">
        <v>1</v>
      </c>
      <c r="C2314" s="0" t="n">
        <v>4</v>
      </c>
      <c r="D2314" s="0" t="n">
        <v>5</v>
      </c>
      <c r="E2314" s="0" t="n">
        <f aca="false">-1+A2314*0.25</f>
        <v>-0.25</v>
      </c>
      <c r="F2314" s="0" t="n">
        <f aca="false">-1+B2314*0.25</f>
        <v>-0.75</v>
      </c>
      <c r="G2314" s="0" t="n">
        <f aca="false">-1+C2314*0.25</f>
        <v>0</v>
      </c>
      <c r="H2314" s="0" t="n">
        <f aca="false">-1+D2314*0.25</f>
        <v>0.25</v>
      </c>
      <c r="I2314" s="0" t="n">
        <f aca="false">1</f>
        <v>1</v>
      </c>
      <c r="J2314" s="0" t="n">
        <f aca="false">E2314</f>
        <v>-0.25</v>
      </c>
      <c r="K2314" s="0" t="n">
        <f aca="false">F2314</f>
        <v>-0.75</v>
      </c>
      <c r="L2314" s="0" t="n">
        <f aca="false">G2314</f>
        <v>0</v>
      </c>
      <c r="M2314" s="0" t="n">
        <f aca="false">H2314</f>
        <v>0.25</v>
      </c>
      <c r="N2314" s="0" t="n">
        <f aca="false">E2314*F2314</f>
        <v>0.1875</v>
      </c>
      <c r="O2314" s="0" t="n">
        <f aca="false">E2314*G2314</f>
        <v>-0</v>
      </c>
      <c r="P2314" s="0" t="n">
        <f aca="false">E2314*H2314</f>
        <v>-0.0625</v>
      </c>
      <c r="Q2314" s="0" t="n">
        <f aca="false">F2314*G2314</f>
        <v>-0</v>
      </c>
      <c r="R2314" s="0" t="n">
        <f aca="false">F2314*H2314</f>
        <v>-0.1875</v>
      </c>
      <c r="S2314" s="0" t="n">
        <f aca="false">G2314*H2314</f>
        <v>0</v>
      </c>
      <c r="T2314" s="0" t="n">
        <f aca="false">E2314*E2314</f>
        <v>0.0625</v>
      </c>
      <c r="U2314" s="0" t="n">
        <f aca="false">F2314*F2314</f>
        <v>0.5625</v>
      </c>
      <c r="V2314" s="0" t="n">
        <f aca="false">G2314*G2314</f>
        <v>0</v>
      </c>
      <c r="W2314" s="0" t="n">
        <f aca="false">H2314*H2314</f>
        <v>0.0625</v>
      </c>
      <c r="X2314" s="0" t="n">
        <f aca="false">SUMPRODUCT(I2314:W2314,_XtX!$B$96:$P$96)</f>
        <v>44.5420915570175</v>
      </c>
      <c r="Y2314" s="0" t="n">
        <f aca="false">SUMPRODUCT(MMULT(I2314:W2314,_XtX!$B$78:$P$92),I2314:W2314)</f>
        <v>0.21135011193348</v>
      </c>
      <c r="Z2314" s="0" t="n">
        <f aca="false">04_回帰ANOVA!$K$19*04_回帰ANOVA!$K$14*SQRT(1+Y2314)</f>
        <v>1.43460795469709</v>
      </c>
      <c r="AA2314" s="0" t="n">
        <f aca="false">X2314-Z2314</f>
        <v>43.1074836023204</v>
      </c>
      <c r="AB2314" s="0" t="n">
        <f aca="false">X2314+Z2314</f>
        <v>45.9766995117146</v>
      </c>
      <c r="AC2314" s="54" t="b">
        <f aca="false">AND(E2314&gt;=01_因子設定!$L$5-0.000000001,E2314&lt;=01_因子設定!$M$5+0.000000001,F2314&gt;=01_因子設定!$L$6-0.000000001,F2314&lt;=01_因子設定!$M$6+0.000000001,G2314&gt;=01_因子設定!$L$7-0.000000001,G2314&lt;=01_因子設定!$M$7+0.000000001,H2314&gt;=01_因子設定!$L$8-0.000000001,H2314&lt;=01_因子設定!$M$8+0.000000001,IF(01_因子設定!$B$20="Box-Behnken",E2314^2+F2314^2+G2314^2+H2314^2&lt;=2+0.000000001,TRUE()))</f>
        <v>1</v>
      </c>
      <c r="AD2314" s="55" t="n">
        <f aca="false">IF(AC2314,IF(01_因子設定!$B$13="最大化",AA2314-01_因子設定!$B$14,IF(01_因子設定!$B$13="最小化",01_因子設定!$B$15-AB2314,MIN(AA2314-01_因子設定!$B$14,01_因子設定!$B$15-AB2314))),-1E+030)</f>
        <v>-3.3925163976796</v>
      </c>
      <c r="AE2314" s="55" t="n">
        <f aca="false">IF(AC2314,IF(01_因子設定!$B$13="最大化",X2314,IF(01_因子設定!$B$13="最小化",-X2314,-ABS(X2314-01_因子設定!$B$16))),-1E+030)</f>
        <v>44.5420915570175</v>
      </c>
      <c r="AF2314" s="55" t="n">
        <f aca="false">AD2314+ROW()*0.000000001</f>
        <v>-3.3925140836796</v>
      </c>
      <c r="AG2314" s="55" t="n">
        <f aca="false">AE2314+ROW()*0.000000001</f>
        <v>44.5420938710175</v>
      </c>
    </row>
    <row r="2315" customFormat="false" ht="15" hidden="false" customHeight="false" outlineLevel="0" collapsed="false">
      <c r="A2315" s="0" t="n">
        <v>3</v>
      </c>
      <c r="B2315" s="0" t="n">
        <v>1</v>
      </c>
      <c r="C2315" s="0" t="n">
        <v>4</v>
      </c>
      <c r="D2315" s="0" t="n">
        <v>6</v>
      </c>
      <c r="E2315" s="0" t="n">
        <f aca="false">-1+A2315*0.25</f>
        <v>-0.25</v>
      </c>
      <c r="F2315" s="0" t="n">
        <f aca="false">-1+B2315*0.25</f>
        <v>-0.75</v>
      </c>
      <c r="G2315" s="0" t="n">
        <f aca="false">-1+C2315*0.25</f>
        <v>0</v>
      </c>
      <c r="H2315" s="0" t="n">
        <f aca="false">-1+D2315*0.25</f>
        <v>0.5</v>
      </c>
      <c r="I2315" s="0" t="n">
        <f aca="false">1</f>
        <v>1</v>
      </c>
      <c r="J2315" s="0" t="n">
        <f aca="false">E2315</f>
        <v>-0.25</v>
      </c>
      <c r="K2315" s="0" t="n">
        <f aca="false">F2315</f>
        <v>-0.75</v>
      </c>
      <c r="L2315" s="0" t="n">
        <f aca="false">G2315</f>
        <v>0</v>
      </c>
      <c r="M2315" s="0" t="n">
        <f aca="false">H2315</f>
        <v>0.5</v>
      </c>
      <c r="N2315" s="0" t="n">
        <f aca="false">E2315*F2315</f>
        <v>0.1875</v>
      </c>
      <c r="O2315" s="0" t="n">
        <f aca="false">E2315*G2315</f>
        <v>-0</v>
      </c>
      <c r="P2315" s="0" t="n">
        <f aca="false">E2315*H2315</f>
        <v>-0.125</v>
      </c>
      <c r="Q2315" s="0" t="n">
        <f aca="false">F2315*G2315</f>
        <v>-0</v>
      </c>
      <c r="R2315" s="0" t="n">
        <f aca="false">F2315*H2315</f>
        <v>-0.375</v>
      </c>
      <c r="S2315" s="0" t="n">
        <f aca="false">G2315*H2315</f>
        <v>0</v>
      </c>
      <c r="T2315" s="0" t="n">
        <f aca="false">E2315*E2315</f>
        <v>0.0625</v>
      </c>
      <c r="U2315" s="0" t="n">
        <f aca="false">F2315*F2315</f>
        <v>0.5625</v>
      </c>
      <c r="V2315" s="0" t="n">
        <f aca="false">G2315*G2315</f>
        <v>0</v>
      </c>
      <c r="W2315" s="0" t="n">
        <f aca="false">H2315*H2315</f>
        <v>0.25</v>
      </c>
      <c r="X2315" s="0" t="n">
        <f aca="false">SUMPRODUCT(I2315:W2315,_XtX!$B$96:$P$96)</f>
        <v>44.6038011695906</v>
      </c>
      <c r="Y2315" s="0" t="n">
        <f aca="false">SUMPRODUCT(MMULT(I2315:W2315,_XtX!$B$78:$P$92),I2315:W2315)</f>
        <v>0.215110734192252</v>
      </c>
      <c r="Z2315" s="0" t="n">
        <f aca="false">04_回帰ANOVA!$K$19*04_回帰ANOVA!$K$14*SQRT(1+Y2315)</f>
        <v>1.43683309086864</v>
      </c>
      <c r="AA2315" s="0" t="n">
        <f aca="false">X2315-Z2315</f>
        <v>43.1669680787219</v>
      </c>
      <c r="AB2315" s="0" t="n">
        <f aca="false">X2315+Z2315</f>
        <v>46.0406342604592</v>
      </c>
      <c r="AC2315" s="54" t="b">
        <f aca="false">AND(E2315&gt;=01_因子設定!$L$5-0.000000001,E2315&lt;=01_因子設定!$M$5+0.000000001,F2315&gt;=01_因子設定!$L$6-0.000000001,F2315&lt;=01_因子設定!$M$6+0.000000001,G2315&gt;=01_因子設定!$L$7-0.000000001,G2315&lt;=01_因子設定!$M$7+0.000000001,H2315&gt;=01_因子設定!$L$8-0.000000001,H2315&lt;=01_因子設定!$M$8+0.000000001,IF(01_因子設定!$B$20="Box-Behnken",E2315^2+F2315^2+G2315^2+H2315^2&lt;=2+0.000000001,TRUE()))</f>
        <v>1</v>
      </c>
      <c r="AD2315" s="55" t="n">
        <f aca="false">IF(AC2315,IF(01_因子設定!$B$13="最大化",AA2315-01_因子設定!$B$14,IF(01_因子設定!$B$13="最小化",01_因子設定!$B$15-AB2315,MIN(AA2315-01_因子設定!$B$14,01_因子設定!$B$15-AB2315))),-1E+030)</f>
        <v>-3.33303192127806</v>
      </c>
      <c r="AE2315" s="55" t="n">
        <f aca="false">IF(AC2315,IF(01_因子設定!$B$13="最大化",X2315,IF(01_因子設定!$B$13="最小化",-X2315,-ABS(X2315-01_因子設定!$B$16))),-1E+030)</f>
        <v>44.6038011695906</v>
      </c>
      <c r="AF2315" s="55" t="n">
        <f aca="false">AD2315+ROW()*0.000000001</f>
        <v>-3.33302960627806</v>
      </c>
      <c r="AG2315" s="55" t="n">
        <f aca="false">AE2315+ROW()*0.000000001</f>
        <v>44.6038034845906</v>
      </c>
    </row>
    <row r="2316" customFormat="false" ht="15" hidden="false" customHeight="false" outlineLevel="0" collapsed="false">
      <c r="A2316" s="0" t="n">
        <v>3</v>
      </c>
      <c r="B2316" s="0" t="n">
        <v>1</v>
      </c>
      <c r="C2316" s="0" t="n">
        <v>4</v>
      </c>
      <c r="D2316" s="0" t="n">
        <v>7</v>
      </c>
      <c r="E2316" s="0" t="n">
        <f aca="false">-1+A2316*0.25</f>
        <v>-0.25</v>
      </c>
      <c r="F2316" s="0" t="n">
        <f aca="false">-1+B2316*0.25</f>
        <v>-0.75</v>
      </c>
      <c r="G2316" s="0" t="n">
        <f aca="false">-1+C2316*0.25</f>
        <v>0</v>
      </c>
      <c r="H2316" s="0" t="n">
        <f aca="false">-1+D2316*0.25</f>
        <v>0.75</v>
      </c>
      <c r="I2316" s="0" t="n">
        <f aca="false">1</f>
        <v>1</v>
      </c>
      <c r="J2316" s="0" t="n">
        <f aca="false">E2316</f>
        <v>-0.25</v>
      </c>
      <c r="K2316" s="0" t="n">
        <f aca="false">F2316</f>
        <v>-0.75</v>
      </c>
      <c r="L2316" s="0" t="n">
        <f aca="false">G2316</f>
        <v>0</v>
      </c>
      <c r="M2316" s="0" t="n">
        <f aca="false">H2316</f>
        <v>0.75</v>
      </c>
      <c r="N2316" s="0" t="n">
        <f aca="false">E2316*F2316</f>
        <v>0.1875</v>
      </c>
      <c r="O2316" s="0" t="n">
        <f aca="false">E2316*G2316</f>
        <v>-0</v>
      </c>
      <c r="P2316" s="0" t="n">
        <f aca="false">E2316*H2316</f>
        <v>-0.1875</v>
      </c>
      <c r="Q2316" s="0" t="n">
        <f aca="false">F2316*G2316</f>
        <v>-0</v>
      </c>
      <c r="R2316" s="0" t="n">
        <f aca="false">F2316*H2316</f>
        <v>-0.5625</v>
      </c>
      <c r="S2316" s="0" t="n">
        <f aca="false">G2316*H2316</f>
        <v>0</v>
      </c>
      <c r="T2316" s="0" t="n">
        <f aca="false">E2316*E2316</f>
        <v>0.0625</v>
      </c>
      <c r="U2316" s="0" t="n">
        <f aca="false">F2316*F2316</f>
        <v>0.5625</v>
      </c>
      <c r="V2316" s="0" t="n">
        <f aca="false">G2316*G2316</f>
        <v>0</v>
      </c>
      <c r="W2316" s="0" t="n">
        <f aca="false">H2316*H2316</f>
        <v>0.5625</v>
      </c>
      <c r="X2316" s="0" t="n">
        <f aca="false">SUMPRODUCT(I2316:W2316,_XtX!$B$96:$P$96)</f>
        <v>44.6177037646198</v>
      </c>
      <c r="Y2316" s="0" t="n">
        <f aca="false">SUMPRODUCT(MMULT(I2316:W2316,_XtX!$B$78:$P$92),I2316:W2316)</f>
        <v>0.281685455500731</v>
      </c>
      <c r="Z2316" s="0" t="n">
        <f aca="false">04_回帰ANOVA!$K$19*04_回帰ANOVA!$K$14*SQRT(1+Y2316)</f>
        <v>1.47566956658694</v>
      </c>
      <c r="AA2316" s="0" t="n">
        <f aca="false">X2316-Z2316</f>
        <v>43.1420341980329</v>
      </c>
      <c r="AB2316" s="0" t="n">
        <f aca="false">X2316+Z2316</f>
        <v>46.0933733312068</v>
      </c>
      <c r="AC2316" s="54" t="b">
        <f aca="false">AND(E2316&gt;=01_因子設定!$L$5-0.000000001,E2316&lt;=01_因子設定!$M$5+0.000000001,F2316&gt;=01_因子設定!$L$6-0.000000001,F2316&lt;=01_因子設定!$M$6+0.000000001,G2316&gt;=01_因子設定!$L$7-0.000000001,G2316&lt;=01_因子設定!$M$7+0.000000001,H2316&gt;=01_因子設定!$L$8-0.000000001,H2316&lt;=01_因子設定!$M$8+0.000000001,IF(01_因子設定!$B$20="Box-Behnken",E2316^2+F2316^2+G2316^2+H2316^2&lt;=2+0.000000001,TRUE()))</f>
        <v>1</v>
      </c>
      <c r="AD2316" s="55" t="n">
        <f aca="false">IF(AC2316,IF(01_因子設定!$B$13="最大化",AA2316-01_因子設定!$B$14,IF(01_因子設定!$B$13="最小化",01_因子設定!$B$15-AB2316,MIN(AA2316-01_因子設定!$B$14,01_因子設定!$B$15-AB2316))),-1E+030)</f>
        <v>-3.3579658019671</v>
      </c>
      <c r="AE2316" s="55" t="n">
        <f aca="false">IF(AC2316,IF(01_因子設定!$B$13="最大化",X2316,IF(01_因子設定!$B$13="最小化",-X2316,-ABS(X2316-01_因子設定!$B$16))),-1E+030)</f>
        <v>44.6177037646198</v>
      </c>
      <c r="AF2316" s="55" t="n">
        <f aca="false">AD2316+ROW()*0.000000001</f>
        <v>-3.3579634859671</v>
      </c>
      <c r="AG2316" s="55" t="n">
        <f aca="false">AE2316+ROW()*0.000000001</f>
        <v>44.6177060806198</v>
      </c>
    </row>
    <row r="2317" customFormat="false" ht="15" hidden="false" customHeight="false" outlineLevel="0" collapsed="false">
      <c r="A2317" s="0" t="n">
        <v>3</v>
      </c>
      <c r="B2317" s="0" t="n">
        <v>1</v>
      </c>
      <c r="C2317" s="0" t="n">
        <v>4</v>
      </c>
      <c r="D2317" s="0" t="n">
        <v>8</v>
      </c>
      <c r="E2317" s="0" t="n">
        <f aca="false">-1+A2317*0.25</f>
        <v>-0.25</v>
      </c>
      <c r="F2317" s="0" t="n">
        <f aca="false">-1+B2317*0.25</f>
        <v>-0.75</v>
      </c>
      <c r="G2317" s="0" t="n">
        <f aca="false">-1+C2317*0.25</f>
        <v>0</v>
      </c>
      <c r="H2317" s="0" t="n">
        <f aca="false">-1+D2317*0.25</f>
        <v>1</v>
      </c>
      <c r="I2317" s="0" t="n">
        <f aca="false">1</f>
        <v>1</v>
      </c>
      <c r="J2317" s="0" t="n">
        <f aca="false">E2317</f>
        <v>-0.25</v>
      </c>
      <c r="K2317" s="0" t="n">
        <f aca="false">F2317</f>
        <v>-0.75</v>
      </c>
      <c r="L2317" s="0" t="n">
        <f aca="false">G2317</f>
        <v>0</v>
      </c>
      <c r="M2317" s="0" t="n">
        <f aca="false">H2317</f>
        <v>1</v>
      </c>
      <c r="N2317" s="0" t="n">
        <f aca="false">E2317*F2317</f>
        <v>0.1875</v>
      </c>
      <c r="O2317" s="0" t="n">
        <f aca="false">E2317*G2317</f>
        <v>-0</v>
      </c>
      <c r="P2317" s="0" t="n">
        <f aca="false">E2317*H2317</f>
        <v>-0.25</v>
      </c>
      <c r="Q2317" s="0" t="n">
        <f aca="false">F2317*G2317</f>
        <v>-0</v>
      </c>
      <c r="R2317" s="0" t="n">
        <f aca="false">F2317*H2317</f>
        <v>-0.75</v>
      </c>
      <c r="S2317" s="0" t="n">
        <f aca="false">G2317*H2317</f>
        <v>0</v>
      </c>
      <c r="T2317" s="0" t="n">
        <f aca="false">E2317*E2317</f>
        <v>0.0625</v>
      </c>
      <c r="U2317" s="0" t="n">
        <f aca="false">F2317*F2317</f>
        <v>0.5625</v>
      </c>
      <c r="V2317" s="0" t="n">
        <f aca="false">G2317*G2317</f>
        <v>0</v>
      </c>
      <c r="W2317" s="0" t="n">
        <f aca="false">H2317*H2317</f>
        <v>1</v>
      </c>
      <c r="X2317" s="0" t="n">
        <f aca="false">SUMPRODUCT(I2317:W2317,_XtX!$B$96:$P$96)</f>
        <v>44.5837993421052</v>
      </c>
      <c r="Y2317" s="0" t="n">
        <f aca="false">SUMPRODUCT(MMULT(I2317:W2317,_XtX!$B$78:$P$92),I2317:W2317)</f>
        <v>0.501534802174708</v>
      </c>
      <c r="Z2317" s="0" t="n">
        <f aca="false">04_回帰ANOVA!$K$19*04_回帰ANOVA!$K$14*SQRT(1+Y2317)</f>
        <v>1.59722498091333</v>
      </c>
      <c r="AA2317" s="0" t="n">
        <f aca="false">X2317-Z2317</f>
        <v>42.9865743611919</v>
      </c>
      <c r="AB2317" s="0" t="n">
        <f aca="false">X2317+Z2317</f>
        <v>46.1810243230186</v>
      </c>
      <c r="AC2317" s="54" t="b">
        <f aca="false">AND(E2317&gt;=01_因子設定!$L$5-0.000000001,E2317&lt;=01_因子設定!$M$5+0.000000001,F2317&gt;=01_因子設定!$L$6-0.000000001,F2317&lt;=01_因子設定!$M$6+0.000000001,G2317&gt;=01_因子設定!$L$7-0.000000001,G2317&lt;=01_因子設定!$M$7+0.000000001,H2317&gt;=01_因子設定!$L$8-0.000000001,H2317&lt;=01_因子設定!$M$8+0.000000001,IF(01_因子設定!$B$20="Box-Behnken",E2317^2+F2317^2+G2317^2+H2317^2&lt;=2+0.000000001,TRUE()))</f>
        <v>1</v>
      </c>
      <c r="AD2317" s="55" t="n">
        <f aca="false">IF(AC2317,IF(01_因子設定!$B$13="最大化",AA2317-01_因子設定!$B$14,IF(01_因子設定!$B$13="最小化",01_因子設定!$B$15-AB2317,MIN(AA2317-01_因子設定!$B$14,01_因子設定!$B$15-AB2317))),-1E+030)</f>
        <v>-3.51342563880809</v>
      </c>
      <c r="AE2317" s="55" t="n">
        <f aca="false">IF(AC2317,IF(01_因子設定!$B$13="最大化",X2317,IF(01_因子設定!$B$13="最小化",-X2317,-ABS(X2317-01_因子設定!$B$16))),-1E+030)</f>
        <v>44.5837993421052</v>
      </c>
      <c r="AF2317" s="55" t="n">
        <f aca="false">AD2317+ROW()*0.000000001</f>
        <v>-3.51342332180809</v>
      </c>
      <c r="AG2317" s="55" t="n">
        <f aca="false">AE2317+ROW()*0.000000001</f>
        <v>44.5838016591052</v>
      </c>
    </row>
    <row r="2318" customFormat="false" ht="15" hidden="false" customHeight="false" outlineLevel="0" collapsed="false">
      <c r="A2318" s="0" t="n">
        <v>3</v>
      </c>
      <c r="B2318" s="0" t="n">
        <v>1</v>
      </c>
      <c r="C2318" s="0" t="n">
        <v>5</v>
      </c>
      <c r="D2318" s="0" t="n">
        <v>0</v>
      </c>
      <c r="E2318" s="0" t="n">
        <f aca="false">-1+A2318*0.25</f>
        <v>-0.25</v>
      </c>
      <c r="F2318" s="0" t="n">
        <f aca="false">-1+B2318*0.25</f>
        <v>-0.75</v>
      </c>
      <c r="G2318" s="0" t="n">
        <f aca="false">-1+C2318*0.25</f>
        <v>0.25</v>
      </c>
      <c r="H2318" s="0" t="n">
        <f aca="false">-1+D2318*0.25</f>
        <v>-1</v>
      </c>
      <c r="I2318" s="0" t="n">
        <f aca="false">1</f>
        <v>1</v>
      </c>
      <c r="J2318" s="0" t="n">
        <f aca="false">E2318</f>
        <v>-0.25</v>
      </c>
      <c r="K2318" s="0" t="n">
        <f aca="false">F2318</f>
        <v>-0.75</v>
      </c>
      <c r="L2318" s="0" t="n">
        <f aca="false">G2318</f>
        <v>0.25</v>
      </c>
      <c r="M2318" s="0" t="n">
        <f aca="false">H2318</f>
        <v>-1</v>
      </c>
      <c r="N2318" s="0" t="n">
        <f aca="false">E2318*F2318</f>
        <v>0.1875</v>
      </c>
      <c r="O2318" s="0" t="n">
        <f aca="false">E2318*G2318</f>
        <v>-0.0625</v>
      </c>
      <c r="P2318" s="0" t="n">
        <f aca="false">E2318*H2318</f>
        <v>0.25</v>
      </c>
      <c r="Q2318" s="0" t="n">
        <f aca="false">F2318*G2318</f>
        <v>-0.1875</v>
      </c>
      <c r="R2318" s="0" t="n">
        <f aca="false">F2318*H2318</f>
        <v>0.75</v>
      </c>
      <c r="S2318" s="0" t="n">
        <f aca="false">G2318*H2318</f>
        <v>-0.25</v>
      </c>
      <c r="T2318" s="0" t="n">
        <f aca="false">E2318*E2318</f>
        <v>0.0625</v>
      </c>
      <c r="U2318" s="0" t="n">
        <f aca="false">F2318*F2318</f>
        <v>0.5625</v>
      </c>
      <c r="V2318" s="0" t="n">
        <f aca="false">G2318*G2318</f>
        <v>0.0625</v>
      </c>
      <c r="W2318" s="0" t="n">
        <f aca="false">H2318*H2318</f>
        <v>1</v>
      </c>
      <c r="X2318" s="0" t="n">
        <f aca="false">SUMPRODUCT(I2318:W2318,_XtX!$B$96:$P$96)</f>
        <v>43.6297743055555</v>
      </c>
      <c r="Y2318" s="0" t="n">
        <f aca="false">SUMPRODUCT(MMULT(I2318:W2318,_XtX!$B$78:$P$92),I2318:W2318)</f>
        <v>0.486409505208333</v>
      </c>
      <c r="Z2318" s="0" t="n">
        <f aca="false">04_回帰ANOVA!$K$19*04_回帰ANOVA!$K$14*SQRT(1+Y2318)</f>
        <v>1.58916001665498</v>
      </c>
      <c r="AA2318" s="0" t="n">
        <f aca="false">X2318-Z2318</f>
        <v>42.0406142889006</v>
      </c>
      <c r="AB2318" s="0" t="n">
        <f aca="false">X2318+Z2318</f>
        <v>45.2189343222105</v>
      </c>
      <c r="AC2318" s="54" t="b">
        <f aca="false">AND(E2318&gt;=01_因子設定!$L$5-0.000000001,E2318&lt;=01_因子設定!$M$5+0.000000001,F2318&gt;=01_因子設定!$L$6-0.000000001,F2318&lt;=01_因子設定!$M$6+0.000000001,G2318&gt;=01_因子設定!$L$7-0.000000001,G2318&lt;=01_因子設定!$M$7+0.000000001,H2318&gt;=01_因子設定!$L$8-0.000000001,H2318&lt;=01_因子設定!$M$8+0.000000001,IF(01_因子設定!$B$20="Box-Behnken",E2318^2+F2318^2+G2318^2+H2318^2&lt;=2+0.000000001,TRUE()))</f>
        <v>1</v>
      </c>
      <c r="AD2318" s="55" t="n">
        <f aca="false">IF(AC2318,IF(01_因子設定!$B$13="最大化",AA2318-01_因子設定!$B$14,IF(01_因子設定!$B$13="最小化",01_因子設定!$B$15-AB2318,MIN(AA2318-01_因子設定!$B$14,01_因子設定!$B$15-AB2318))),-1E+030)</f>
        <v>-4.45938571109944</v>
      </c>
      <c r="AE2318" s="55" t="n">
        <f aca="false">IF(AC2318,IF(01_因子設定!$B$13="最大化",X2318,IF(01_因子設定!$B$13="最小化",-X2318,-ABS(X2318-01_因子設定!$B$16))),-1E+030)</f>
        <v>43.6297743055555</v>
      </c>
      <c r="AF2318" s="55" t="n">
        <f aca="false">AD2318+ROW()*0.000000001</f>
        <v>-4.45938339309944</v>
      </c>
      <c r="AG2318" s="55" t="n">
        <f aca="false">AE2318+ROW()*0.000000001</f>
        <v>43.6297766235555</v>
      </c>
    </row>
    <row r="2319" customFormat="false" ht="15" hidden="false" customHeight="false" outlineLevel="0" collapsed="false">
      <c r="A2319" s="0" t="n">
        <v>3</v>
      </c>
      <c r="B2319" s="0" t="n">
        <v>1</v>
      </c>
      <c r="C2319" s="0" t="n">
        <v>5</v>
      </c>
      <c r="D2319" s="0" t="n">
        <v>1</v>
      </c>
      <c r="E2319" s="0" t="n">
        <f aca="false">-1+A2319*0.25</f>
        <v>-0.25</v>
      </c>
      <c r="F2319" s="0" t="n">
        <f aca="false">-1+B2319*0.25</f>
        <v>-0.75</v>
      </c>
      <c r="G2319" s="0" t="n">
        <f aca="false">-1+C2319*0.25</f>
        <v>0.25</v>
      </c>
      <c r="H2319" s="0" t="n">
        <f aca="false">-1+D2319*0.25</f>
        <v>-0.75</v>
      </c>
      <c r="I2319" s="0" t="n">
        <f aca="false">1</f>
        <v>1</v>
      </c>
      <c r="J2319" s="0" t="n">
        <f aca="false">E2319</f>
        <v>-0.25</v>
      </c>
      <c r="K2319" s="0" t="n">
        <f aca="false">F2319</f>
        <v>-0.75</v>
      </c>
      <c r="L2319" s="0" t="n">
        <f aca="false">G2319</f>
        <v>0.25</v>
      </c>
      <c r="M2319" s="0" t="n">
        <f aca="false">H2319</f>
        <v>-0.75</v>
      </c>
      <c r="N2319" s="0" t="n">
        <f aca="false">E2319*F2319</f>
        <v>0.1875</v>
      </c>
      <c r="O2319" s="0" t="n">
        <f aca="false">E2319*G2319</f>
        <v>-0.0625</v>
      </c>
      <c r="P2319" s="0" t="n">
        <f aca="false">E2319*H2319</f>
        <v>0.1875</v>
      </c>
      <c r="Q2319" s="0" t="n">
        <f aca="false">F2319*G2319</f>
        <v>-0.1875</v>
      </c>
      <c r="R2319" s="0" t="n">
        <f aca="false">F2319*H2319</f>
        <v>0.5625</v>
      </c>
      <c r="S2319" s="0" t="n">
        <f aca="false">G2319*H2319</f>
        <v>-0.1875</v>
      </c>
      <c r="T2319" s="0" t="n">
        <f aca="false">E2319*E2319</f>
        <v>0.0625</v>
      </c>
      <c r="U2319" s="0" t="n">
        <f aca="false">F2319*F2319</f>
        <v>0.5625</v>
      </c>
      <c r="V2319" s="0" t="n">
        <f aca="false">G2319*G2319</f>
        <v>0.0625</v>
      </c>
      <c r="W2319" s="0" t="n">
        <f aca="false">H2319*H2319</f>
        <v>0.5625</v>
      </c>
      <c r="X2319" s="0" t="n">
        <f aca="false">SUMPRODUCT(I2319:W2319,_XtX!$B$96:$P$96)</f>
        <v>43.9484877558479</v>
      </c>
      <c r="Y2319" s="0" t="n">
        <f aca="false">SUMPRODUCT(MMULT(I2319:W2319,_XtX!$B$78:$P$92),I2319:W2319)</f>
        <v>0.271087468019006</v>
      </c>
      <c r="Z2319" s="0" t="n">
        <f aca="false">04_回帰ANOVA!$K$19*04_回帰ANOVA!$K$14*SQRT(1+Y2319)</f>
        <v>1.46955590155034</v>
      </c>
      <c r="AA2319" s="0" t="n">
        <f aca="false">X2319-Z2319</f>
        <v>42.4789318542976</v>
      </c>
      <c r="AB2319" s="0" t="n">
        <f aca="false">X2319+Z2319</f>
        <v>45.4180436573983</v>
      </c>
      <c r="AC2319" s="54" t="b">
        <f aca="false">AND(E2319&gt;=01_因子設定!$L$5-0.000000001,E2319&lt;=01_因子設定!$M$5+0.000000001,F2319&gt;=01_因子設定!$L$6-0.000000001,F2319&lt;=01_因子設定!$M$6+0.000000001,G2319&gt;=01_因子設定!$L$7-0.000000001,G2319&lt;=01_因子設定!$M$7+0.000000001,H2319&gt;=01_因子設定!$L$8-0.000000001,H2319&lt;=01_因子設定!$M$8+0.000000001,IF(01_因子設定!$B$20="Box-Behnken",E2319^2+F2319^2+G2319^2+H2319^2&lt;=2+0.000000001,TRUE()))</f>
        <v>1</v>
      </c>
      <c r="AD2319" s="55" t="n">
        <f aca="false">IF(AC2319,IF(01_因子設定!$B$13="最大化",AA2319-01_因子設定!$B$14,IF(01_因子設定!$B$13="最小化",01_因子設定!$B$15-AB2319,MIN(AA2319-01_因子設定!$B$14,01_因子設定!$B$15-AB2319))),-1E+030)</f>
        <v>-4.02106814570243</v>
      </c>
      <c r="AE2319" s="55" t="n">
        <f aca="false">IF(AC2319,IF(01_因子設定!$B$13="最大化",X2319,IF(01_因子設定!$B$13="最小化",-X2319,-ABS(X2319-01_因子設定!$B$16))),-1E+030)</f>
        <v>43.9484877558479</v>
      </c>
      <c r="AF2319" s="55" t="n">
        <f aca="false">AD2319+ROW()*0.000000001</f>
        <v>-4.02106582670243</v>
      </c>
      <c r="AG2319" s="55" t="n">
        <f aca="false">AE2319+ROW()*0.000000001</f>
        <v>43.9484900748479</v>
      </c>
    </row>
    <row r="2320" customFormat="false" ht="15" hidden="false" customHeight="false" outlineLevel="0" collapsed="false">
      <c r="A2320" s="0" t="n">
        <v>3</v>
      </c>
      <c r="B2320" s="0" t="n">
        <v>1</v>
      </c>
      <c r="C2320" s="0" t="n">
        <v>5</v>
      </c>
      <c r="D2320" s="0" t="n">
        <v>2</v>
      </c>
      <c r="E2320" s="0" t="n">
        <f aca="false">-1+A2320*0.25</f>
        <v>-0.25</v>
      </c>
      <c r="F2320" s="0" t="n">
        <f aca="false">-1+B2320*0.25</f>
        <v>-0.75</v>
      </c>
      <c r="G2320" s="0" t="n">
        <f aca="false">-1+C2320*0.25</f>
        <v>0.25</v>
      </c>
      <c r="H2320" s="0" t="n">
        <f aca="false">-1+D2320*0.25</f>
        <v>-0.5</v>
      </c>
      <c r="I2320" s="0" t="n">
        <f aca="false">1</f>
        <v>1</v>
      </c>
      <c r="J2320" s="0" t="n">
        <f aca="false">E2320</f>
        <v>-0.25</v>
      </c>
      <c r="K2320" s="0" t="n">
        <f aca="false">F2320</f>
        <v>-0.75</v>
      </c>
      <c r="L2320" s="0" t="n">
        <f aca="false">G2320</f>
        <v>0.25</v>
      </c>
      <c r="M2320" s="0" t="n">
        <f aca="false">H2320</f>
        <v>-0.5</v>
      </c>
      <c r="N2320" s="0" t="n">
        <f aca="false">E2320*F2320</f>
        <v>0.1875</v>
      </c>
      <c r="O2320" s="0" t="n">
        <f aca="false">E2320*G2320</f>
        <v>-0.0625</v>
      </c>
      <c r="P2320" s="0" t="n">
        <f aca="false">E2320*H2320</f>
        <v>0.125</v>
      </c>
      <c r="Q2320" s="0" t="n">
        <f aca="false">F2320*G2320</f>
        <v>-0.1875</v>
      </c>
      <c r="R2320" s="0" t="n">
        <f aca="false">F2320*H2320</f>
        <v>0.375</v>
      </c>
      <c r="S2320" s="0" t="n">
        <f aca="false">G2320*H2320</f>
        <v>-0.125</v>
      </c>
      <c r="T2320" s="0" t="n">
        <f aca="false">E2320*E2320</f>
        <v>0.0625</v>
      </c>
      <c r="U2320" s="0" t="n">
        <f aca="false">F2320*F2320</f>
        <v>0.5625</v>
      </c>
      <c r="V2320" s="0" t="n">
        <f aca="false">G2320*G2320</f>
        <v>0.0625</v>
      </c>
      <c r="W2320" s="0" t="n">
        <f aca="false">H2320*H2320</f>
        <v>0.25</v>
      </c>
      <c r="X2320" s="0" t="n">
        <f aca="false">SUMPRODUCT(I2320:W2320,_XtX!$B$96:$P$96)</f>
        <v>44.2193941885964</v>
      </c>
      <c r="Y2320" s="0" t="n">
        <f aca="false">SUMPRODUCT(MMULT(I2320:W2320,_XtX!$B$78:$P$92),I2320:W2320)</f>
        <v>0.207746539199561</v>
      </c>
      <c r="Z2320" s="0" t="n">
        <f aca="false">04_回帰ANOVA!$K$19*04_回帰ANOVA!$K$14*SQRT(1+Y2320)</f>
        <v>1.43247250081141</v>
      </c>
      <c r="AA2320" s="0" t="n">
        <f aca="false">X2320-Z2320</f>
        <v>42.786921687785</v>
      </c>
      <c r="AB2320" s="0" t="n">
        <f aca="false">X2320+Z2320</f>
        <v>45.6518666894078</v>
      </c>
      <c r="AC2320" s="54" t="b">
        <f aca="false">AND(E2320&gt;=01_因子設定!$L$5-0.000000001,E2320&lt;=01_因子設定!$M$5+0.000000001,F2320&gt;=01_因子設定!$L$6-0.000000001,F2320&lt;=01_因子設定!$M$6+0.000000001,G2320&gt;=01_因子設定!$L$7-0.000000001,G2320&lt;=01_因子設定!$M$7+0.000000001,H2320&gt;=01_因子設定!$L$8-0.000000001,H2320&lt;=01_因子設定!$M$8+0.000000001,IF(01_因子設定!$B$20="Box-Behnken",E2320^2+F2320^2+G2320^2+H2320^2&lt;=2+0.000000001,TRUE()))</f>
        <v>1</v>
      </c>
      <c r="AD2320" s="55" t="n">
        <f aca="false">IF(AC2320,IF(01_因子設定!$B$13="最大化",AA2320-01_因子設定!$B$14,IF(01_因子設定!$B$13="最小化",01_因子設定!$B$15-AB2320,MIN(AA2320-01_因子設定!$B$14,01_因子設定!$B$15-AB2320))),-1E+030)</f>
        <v>-3.71307831221497</v>
      </c>
      <c r="AE2320" s="55" t="n">
        <f aca="false">IF(AC2320,IF(01_因子設定!$B$13="最大化",X2320,IF(01_因子設定!$B$13="最小化",-X2320,-ABS(X2320-01_因子設定!$B$16))),-1E+030)</f>
        <v>44.2193941885964</v>
      </c>
      <c r="AF2320" s="55" t="n">
        <f aca="false">AD2320+ROW()*0.000000001</f>
        <v>-3.71307599221497</v>
      </c>
      <c r="AG2320" s="55" t="n">
        <f aca="false">AE2320+ROW()*0.000000001</f>
        <v>44.2193965085964</v>
      </c>
    </row>
    <row r="2321" customFormat="false" ht="15" hidden="false" customHeight="false" outlineLevel="0" collapsed="false">
      <c r="A2321" s="0" t="n">
        <v>3</v>
      </c>
      <c r="B2321" s="0" t="n">
        <v>1</v>
      </c>
      <c r="C2321" s="0" t="n">
        <v>5</v>
      </c>
      <c r="D2321" s="0" t="n">
        <v>3</v>
      </c>
      <c r="E2321" s="0" t="n">
        <f aca="false">-1+A2321*0.25</f>
        <v>-0.25</v>
      </c>
      <c r="F2321" s="0" t="n">
        <f aca="false">-1+B2321*0.25</f>
        <v>-0.75</v>
      </c>
      <c r="G2321" s="0" t="n">
        <f aca="false">-1+C2321*0.25</f>
        <v>0.25</v>
      </c>
      <c r="H2321" s="0" t="n">
        <f aca="false">-1+D2321*0.25</f>
        <v>-0.25</v>
      </c>
      <c r="I2321" s="0" t="n">
        <f aca="false">1</f>
        <v>1</v>
      </c>
      <c r="J2321" s="0" t="n">
        <f aca="false">E2321</f>
        <v>-0.25</v>
      </c>
      <c r="K2321" s="0" t="n">
        <f aca="false">F2321</f>
        <v>-0.75</v>
      </c>
      <c r="L2321" s="0" t="n">
        <f aca="false">G2321</f>
        <v>0.25</v>
      </c>
      <c r="M2321" s="0" t="n">
        <f aca="false">H2321</f>
        <v>-0.25</v>
      </c>
      <c r="N2321" s="0" t="n">
        <f aca="false">E2321*F2321</f>
        <v>0.1875</v>
      </c>
      <c r="O2321" s="0" t="n">
        <f aca="false">E2321*G2321</f>
        <v>-0.0625</v>
      </c>
      <c r="P2321" s="0" t="n">
        <f aca="false">E2321*H2321</f>
        <v>0.0625</v>
      </c>
      <c r="Q2321" s="0" t="n">
        <f aca="false">F2321*G2321</f>
        <v>-0.1875</v>
      </c>
      <c r="R2321" s="0" t="n">
        <f aca="false">F2321*H2321</f>
        <v>0.1875</v>
      </c>
      <c r="S2321" s="0" t="n">
        <f aca="false">G2321*H2321</f>
        <v>-0.0625</v>
      </c>
      <c r="T2321" s="0" t="n">
        <f aca="false">E2321*E2321</f>
        <v>0.0625</v>
      </c>
      <c r="U2321" s="0" t="n">
        <f aca="false">F2321*F2321</f>
        <v>0.5625</v>
      </c>
      <c r="V2321" s="0" t="n">
        <f aca="false">G2321*G2321</f>
        <v>0.0625</v>
      </c>
      <c r="W2321" s="0" t="n">
        <f aca="false">H2321*H2321</f>
        <v>0.0625</v>
      </c>
      <c r="X2321" s="0" t="n">
        <f aca="false">SUMPRODUCT(I2321:W2321,_XtX!$B$96:$P$96)</f>
        <v>44.4424936038011</v>
      </c>
      <c r="Y2321" s="0" t="n">
        <f aca="false">SUMPRODUCT(MMULT(I2321:W2321,_XtX!$B$78:$P$92),I2321:W2321)</f>
        <v>0.205926192434211</v>
      </c>
      <c r="Z2321" s="0" t="n">
        <f aca="false">04_回帰ANOVA!$K$19*04_回帰ANOVA!$K$14*SQRT(1+Y2321)</f>
        <v>1.43139256396246</v>
      </c>
      <c r="AA2321" s="0" t="n">
        <f aca="false">X2321-Z2321</f>
        <v>43.0111010398387</v>
      </c>
      <c r="AB2321" s="0" t="n">
        <f aca="false">X2321+Z2321</f>
        <v>45.8738861677636</v>
      </c>
      <c r="AC2321" s="54" t="b">
        <f aca="false">AND(E2321&gt;=01_因子設定!$L$5-0.000000001,E2321&lt;=01_因子設定!$M$5+0.000000001,F2321&gt;=01_因子設定!$L$6-0.000000001,F2321&lt;=01_因子設定!$M$6+0.000000001,G2321&gt;=01_因子設定!$L$7-0.000000001,G2321&lt;=01_因子設定!$M$7+0.000000001,H2321&gt;=01_因子設定!$L$8-0.000000001,H2321&lt;=01_因子設定!$M$8+0.000000001,IF(01_因子設定!$B$20="Box-Behnken",E2321^2+F2321^2+G2321^2+H2321^2&lt;=2+0.000000001,TRUE()))</f>
        <v>1</v>
      </c>
      <c r="AD2321" s="55" t="n">
        <f aca="false">IF(AC2321,IF(01_因子設定!$B$13="最大化",AA2321-01_因子設定!$B$14,IF(01_因子設定!$B$13="最小化",01_因子設定!$B$15-AB2321,MIN(AA2321-01_因子設定!$B$14,01_因子設定!$B$15-AB2321))),-1E+030)</f>
        <v>-3.48889896016135</v>
      </c>
      <c r="AE2321" s="55" t="n">
        <f aca="false">IF(AC2321,IF(01_因子設定!$B$13="最大化",X2321,IF(01_因子設定!$B$13="最小化",-X2321,-ABS(X2321-01_因子設定!$B$16))),-1E+030)</f>
        <v>44.4424936038011</v>
      </c>
      <c r="AF2321" s="55" t="n">
        <f aca="false">AD2321+ROW()*0.000000001</f>
        <v>-3.48889663916135</v>
      </c>
      <c r="AG2321" s="55" t="n">
        <f aca="false">AE2321+ROW()*0.000000001</f>
        <v>44.4424959248011</v>
      </c>
    </row>
    <row r="2322" customFormat="false" ht="15" hidden="false" customHeight="false" outlineLevel="0" collapsed="false">
      <c r="A2322" s="0" t="n">
        <v>3</v>
      </c>
      <c r="B2322" s="0" t="n">
        <v>1</v>
      </c>
      <c r="C2322" s="0" t="n">
        <v>5</v>
      </c>
      <c r="D2322" s="0" t="n">
        <v>4</v>
      </c>
      <c r="E2322" s="0" t="n">
        <f aca="false">-1+A2322*0.25</f>
        <v>-0.25</v>
      </c>
      <c r="F2322" s="0" t="n">
        <f aca="false">-1+B2322*0.25</f>
        <v>-0.75</v>
      </c>
      <c r="G2322" s="0" t="n">
        <f aca="false">-1+C2322*0.25</f>
        <v>0.25</v>
      </c>
      <c r="H2322" s="0" t="n">
        <f aca="false">-1+D2322*0.25</f>
        <v>0</v>
      </c>
      <c r="I2322" s="0" t="n">
        <f aca="false">1</f>
        <v>1</v>
      </c>
      <c r="J2322" s="0" t="n">
        <f aca="false">E2322</f>
        <v>-0.25</v>
      </c>
      <c r="K2322" s="0" t="n">
        <f aca="false">F2322</f>
        <v>-0.75</v>
      </c>
      <c r="L2322" s="0" t="n">
        <f aca="false">G2322</f>
        <v>0.25</v>
      </c>
      <c r="M2322" s="0" t="n">
        <f aca="false">H2322</f>
        <v>0</v>
      </c>
      <c r="N2322" s="0" t="n">
        <f aca="false">E2322*F2322</f>
        <v>0.1875</v>
      </c>
      <c r="O2322" s="0" t="n">
        <f aca="false">E2322*G2322</f>
        <v>-0.0625</v>
      </c>
      <c r="P2322" s="0" t="n">
        <f aca="false">E2322*H2322</f>
        <v>-0</v>
      </c>
      <c r="Q2322" s="0" t="n">
        <f aca="false">F2322*G2322</f>
        <v>-0.1875</v>
      </c>
      <c r="R2322" s="0" t="n">
        <f aca="false">F2322*H2322</f>
        <v>-0</v>
      </c>
      <c r="S2322" s="0" t="n">
        <f aca="false">G2322*H2322</f>
        <v>0</v>
      </c>
      <c r="T2322" s="0" t="n">
        <f aca="false">E2322*E2322</f>
        <v>0.0625</v>
      </c>
      <c r="U2322" s="0" t="n">
        <f aca="false">F2322*F2322</f>
        <v>0.5625</v>
      </c>
      <c r="V2322" s="0" t="n">
        <f aca="false">G2322*G2322</f>
        <v>0.0625</v>
      </c>
      <c r="W2322" s="0" t="n">
        <f aca="false">H2322*H2322</f>
        <v>0</v>
      </c>
      <c r="X2322" s="0" t="n">
        <f aca="false">SUMPRODUCT(I2322:W2322,_XtX!$B$96:$P$96)</f>
        <v>44.6177860014619</v>
      </c>
      <c r="Y2322" s="0" t="n">
        <f aca="false">SUMPRODUCT(MMULT(I2322:W2322,_XtX!$B$78:$P$92),I2322:W2322)</f>
        <v>0.21135011193348</v>
      </c>
      <c r="Z2322" s="0" t="n">
        <f aca="false">04_回帰ANOVA!$K$19*04_回帰ANOVA!$K$14*SQRT(1+Y2322)</f>
        <v>1.43460795469709</v>
      </c>
      <c r="AA2322" s="0" t="n">
        <f aca="false">X2322-Z2322</f>
        <v>43.1831780467648</v>
      </c>
      <c r="AB2322" s="0" t="n">
        <f aca="false">X2322+Z2322</f>
        <v>46.052393956159</v>
      </c>
      <c r="AC2322" s="54" t="b">
        <f aca="false">AND(E2322&gt;=01_因子設定!$L$5-0.000000001,E2322&lt;=01_因子設定!$M$5+0.000000001,F2322&gt;=01_因子設定!$L$6-0.000000001,F2322&lt;=01_因子設定!$M$6+0.000000001,G2322&gt;=01_因子設定!$L$7-0.000000001,G2322&lt;=01_因子設定!$M$7+0.000000001,H2322&gt;=01_因子設定!$L$8-0.000000001,H2322&lt;=01_因子設定!$M$8+0.000000001,IF(01_因子設定!$B$20="Box-Behnken",E2322^2+F2322^2+G2322^2+H2322^2&lt;=2+0.000000001,TRUE()))</f>
        <v>1</v>
      </c>
      <c r="AD2322" s="55" t="n">
        <f aca="false">IF(AC2322,IF(01_因子設定!$B$13="最大化",AA2322-01_因子設定!$B$14,IF(01_因子設定!$B$13="最小化",01_因子設定!$B$15-AB2322,MIN(AA2322-01_因子設定!$B$14,01_因子設定!$B$15-AB2322))),-1E+030)</f>
        <v>-3.31682195323516</v>
      </c>
      <c r="AE2322" s="55" t="n">
        <f aca="false">IF(AC2322,IF(01_因子設定!$B$13="最大化",X2322,IF(01_因子設定!$B$13="最小化",-X2322,-ABS(X2322-01_因子設定!$B$16))),-1E+030)</f>
        <v>44.6177860014619</v>
      </c>
      <c r="AF2322" s="55" t="n">
        <f aca="false">AD2322+ROW()*0.000000001</f>
        <v>-3.31681963123516</v>
      </c>
      <c r="AG2322" s="55" t="n">
        <f aca="false">AE2322+ROW()*0.000000001</f>
        <v>44.6177883234619</v>
      </c>
    </row>
    <row r="2323" customFormat="false" ht="15" hidden="false" customHeight="false" outlineLevel="0" collapsed="false">
      <c r="A2323" s="0" t="n">
        <v>3</v>
      </c>
      <c r="B2323" s="0" t="n">
        <v>1</v>
      </c>
      <c r="C2323" s="0" t="n">
        <v>5</v>
      </c>
      <c r="D2323" s="0" t="n">
        <v>5</v>
      </c>
      <c r="E2323" s="0" t="n">
        <f aca="false">-1+A2323*0.25</f>
        <v>-0.25</v>
      </c>
      <c r="F2323" s="0" t="n">
        <f aca="false">-1+B2323*0.25</f>
        <v>-0.75</v>
      </c>
      <c r="G2323" s="0" t="n">
        <f aca="false">-1+C2323*0.25</f>
        <v>0.25</v>
      </c>
      <c r="H2323" s="0" t="n">
        <f aca="false">-1+D2323*0.25</f>
        <v>0.25</v>
      </c>
      <c r="I2323" s="0" t="n">
        <f aca="false">1</f>
        <v>1</v>
      </c>
      <c r="J2323" s="0" t="n">
        <f aca="false">E2323</f>
        <v>-0.25</v>
      </c>
      <c r="K2323" s="0" t="n">
        <f aca="false">F2323</f>
        <v>-0.75</v>
      </c>
      <c r="L2323" s="0" t="n">
        <f aca="false">G2323</f>
        <v>0.25</v>
      </c>
      <c r="M2323" s="0" t="n">
        <f aca="false">H2323</f>
        <v>0.25</v>
      </c>
      <c r="N2323" s="0" t="n">
        <f aca="false">E2323*F2323</f>
        <v>0.1875</v>
      </c>
      <c r="O2323" s="0" t="n">
        <f aca="false">E2323*G2323</f>
        <v>-0.0625</v>
      </c>
      <c r="P2323" s="0" t="n">
        <f aca="false">E2323*H2323</f>
        <v>-0.0625</v>
      </c>
      <c r="Q2323" s="0" t="n">
        <f aca="false">F2323*G2323</f>
        <v>-0.1875</v>
      </c>
      <c r="R2323" s="0" t="n">
        <f aca="false">F2323*H2323</f>
        <v>-0.1875</v>
      </c>
      <c r="S2323" s="0" t="n">
        <f aca="false">G2323*H2323</f>
        <v>0.0625</v>
      </c>
      <c r="T2323" s="0" t="n">
        <f aca="false">E2323*E2323</f>
        <v>0.0625</v>
      </c>
      <c r="U2323" s="0" t="n">
        <f aca="false">F2323*F2323</f>
        <v>0.5625</v>
      </c>
      <c r="V2323" s="0" t="n">
        <f aca="false">G2323*G2323</f>
        <v>0.0625</v>
      </c>
      <c r="W2323" s="0" t="n">
        <f aca="false">H2323*H2323</f>
        <v>0.0625</v>
      </c>
      <c r="X2323" s="0" t="n">
        <f aca="false">SUMPRODUCT(I2323:W2323,_XtX!$B$96:$P$96)</f>
        <v>44.7452713815789</v>
      </c>
      <c r="Y2323" s="0" t="n">
        <f aca="false">SUMPRODUCT(MMULT(I2323:W2323,_XtX!$B$78:$P$92),I2323:W2323)</f>
        <v>0.205926192434211</v>
      </c>
      <c r="Z2323" s="0" t="n">
        <f aca="false">04_回帰ANOVA!$K$19*04_回帰ANOVA!$K$14*SQRT(1+Y2323)</f>
        <v>1.43139256396246</v>
      </c>
      <c r="AA2323" s="0" t="n">
        <f aca="false">X2323-Z2323</f>
        <v>43.3138788176164</v>
      </c>
      <c r="AB2323" s="0" t="n">
        <f aca="false">X2323+Z2323</f>
        <v>46.1766639455414</v>
      </c>
      <c r="AC2323" s="54" t="b">
        <f aca="false">AND(E2323&gt;=01_因子設定!$L$5-0.000000001,E2323&lt;=01_因子設定!$M$5+0.000000001,F2323&gt;=01_因子設定!$L$6-0.000000001,F2323&lt;=01_因子設定!$M$6+0.000000001,G2323&gt;=01_因子設定!$L$7-0.000000001,G2323&lt;=01_因子設定!$M$7+0.000000001,H2323&gt;=01_因子設定!$L$8-0.000000001,H2323&lt;=01_因子設定!$M$8+0.000000001,IF(01_因子設定!$B$20="Box-Behnken",E2323^2+F2323^2+G2323^2+H2323^2&lt;=2+0.000000001,TRUE()))</f>
        <v>1</v>
      </c>
      <c r="AD2323" s="55" t="n">
        <f aca="false">IF(AC2323,IF(01_因子設定!$B$13="最大化",AA2323-01_因子設定!$B$14,IF(01_因子設定!$B$13="最小化",01_因子設定!$B$15-AB2323,MIN(AA2323-01_因子設定!$B$14,01_因子設定!$B$15-AB2323))),-1E+030)</f>
        <v>-3.18612118238357</v>
      </c>
      <c r="AE2323" s="55" t="n">
        <f aca="false">IF(AC2323,IF(01_因子設定!$B$13="最大化",X2323,IF(01_因子設定!$B$13="最小化",-X2323,-ABS(X2323-01_因子設定!$B$16))),-1E+030)</f>
        <v>44.7452713815789</v>
      </c>
      <c r="AF2323" s="55" t="n">
        <f aca="false">AD2323+ROW()*0.000000001</f>
        <v>-3.18611885938357</v>
      </c>
      <c r="AG2323" s="55" t="n">
        <f aca="false">AE2323+ROW()*0.000000001</f>
        <v>44.7452737045789</v>
      </c>
    </row>
    <row r="2324" customFormat="false" ht="15" hidden="false" customHeight="false" outlineLevel="0" collapsed="false">
      <c r="A2324" s="0" t="n">
        <v>3</v>
      </c>
      <c r="B2324" s="0" t="n">
        <v>1</v>
      </c>
      <c r="C2324" s="0" t="n">
        <v>5</v>
      </c>
      <c r="D2324" s="0" t="n">
        <v>6</v>
      </c>
      <c r="E2324" s="0" t="n">
        <f aca="false">-1+A2324*0.25</f>
        <v>-0.25</v>
      </c>
      <c r="F2324" s="0" t="n">
        <f aca="false">-1+B2324*0.25</f>
        <v>-0.75</v>
      </c>
      <c r="G2324" s="0" t="n">
        <f aca="false">-1+C2324*0.25</f>
        <v>0.25</v>
      </c>
      <c r="H2324" s="0" t="n">
        <f aca="false">-1+D2324*0.25</f>
        <v>0.5</v>
      </c>
      <c r="I2324" s="0" t="n">
        <f aca="false">1</f>
        <v>1</v>
      </c>
      <c r="J2324" s="0" t="n">
        <f aca="false">E2324</f>
        <v>-0.25</v>
      </c>
      <c r="K2324" s="0" t="n">
        <f aca="false">F2324</f>
        <v>-0.75</v>
      </c>
      <c r="L2324" s="0" t="n">
        <f aca="false">G2324</f>
        <v>0.25</v>
      </c>
      <c r="M2324" s="0" t="n">
        <f aca="false">H2324</f>
        <v>0.5</v>
      </c>
      <c r="N2324" s="0" t="n">
        <f aca="false">E2324*F2324</f>
        <v>0.1875</v>
      </c>
      <c r="O2324" s="0" t="n">
        <f aca="false">E2324*G2324</f>
        <v>-0.0625</v>
      </c>
      <c r="P2324" s="0" t="n">
        <f aca="false">E2324*H2324</f>
        <v>-0.125</v>
      </c>
      <c r="Q2324" s="0" t="n">
        <f aca="false">F2324*G2324</f>
        <v>-0.1875</v>
      </c>
      <c r="R2324" s="0" t="n">
        <f aca="false">F2324*H2324</f>
        <v>-0.375</v>
      </c>
      <c r="S2324" s="0" t="n">
        <f aca="false">G2324*H2324</f>
        <v>0.125</v>
      </c>
      <c r="T2324" s="0" t="n">
        <f aca="false">E2324*E2324</f>
        <v>0.0625</v>
      </c>
      <c r="U2324" s="0" t="n">
        <f aca="false">F2324*F2324</f>
        <v>0.5625</v>
      </c>
      <c r="V2324" s="0" t="n">
        <f aca="false">G2324*G2324</f>
        <v>0.0625</v>
      </c>
      <c r="W2324" s="0" t="n">
        <f aca="false">H2324*H2324</f>
        <v>0.25</v>
      </c>
      <c r="X2324" s="0" t="n">
        <f aca="false">SUMPRODUCT(I2324:W2324,_XtX!$B$96:$P$96)</f>
        <v>44.824949744152</v>
      </c>
      <c r="Y2324" s="0" t="n">
        <f aca="false">SUMPRODUCT(MMULT(I2324:W2324,_XtX!$B$78:$P$92),I2324:W2324)</f>
        <v>0.207746539199561</v>
      </c>
      <c r="Z2324" s="0" t="n">
        <f aca="false">04_回帰ANOVA!$K$19*04_回帰ANOVA!$K$14*SQRT(1+Y2324)</f>
        <v>1.43247250081141</v>
      </c>
      <c r="AA2324" s="0" t="n">
        <f aca="false">X2324-Z2324</f>
        <v>43.3924772433406</v>
      </c>
      <c r="AB2324" s="0" t="n">
        <f aca="false">X2324+Z2324</f>
        <v>46.2574222449634</v>
      </c>
      <c r="AC2324" s="54" t="b">
        <f aca="false">AND(E2324&gt;=01_因子設定!$L$5-0.000000001,E2324&lt;=01_因子設定!$M$5+0.000000001,F2324&gt;=01_因子設定!$L$6-0.000000001,F2324&lt;=01_因子設定!$M$6+0.000000001,G2324&gt;=01_因子設定!$L$7-0.000000001,G2324&lt;=01_因子設定!$M$7+0.000000001,H2324&gt;=01_因子設定!$L$8-0.000000001,H2324&lt;=01_因子設定!$M$8+0.000000001,IF(01_因子設定!$B$20="Box-Behnken",E2324^2+F2324^2+G2324^2+H2324^2&lt;=2+0.000000001,TRUE()))</f>
        <v>1</v>
      </c>
      <c r="AD2324" s="55" t="n">
        <f aca="false">IF(AC2324,IF(01_因子設定!$B$13="最大化",AA2324-01_因子設定!$B$14,IF(01_因子設定!$B$13="最小化",01_因子設定!$B$15-AB2324,MIN(AA2324-01_因子設定!$B$14,01_因子設定!$B$15-AB2324))),-1E+030)</f>
        <v>-3.10752275665941</v>
      </c>
      <c r="AE2324" s="55" t="n">
        <f aca="false">IF(AC2324,IF(01_因子設定!$B$13="最大化",X2324,IF(01_因子設定!$B$13="最小化",-X2324,-ABS(X2324-01_因子設定!$B$16))),-1E+030)</f>
        <v>44.824949744152</v>
      </c>
      <c r="AF2324" s="55" t="n">
        <f aca="false">AD2324+ROW()*0.000000001</f>
        <v>-3.10752043265941</v>
      </c>
      <c r="AG2324" s="55" t="n">
        <f aca="false">AE2324+ROW()*0.000000001</f>
        <v>44.824952068152</v>
      </c>
    </row>
    <row r="2325" customFormat="false" ht="15" hidden="false" customHeight="false" outlineLevel="0" collapsed="false">
      <c r="A2325" s="0" t="n">
        <v>3</v>
      </c>
      <c r="B2325" s="0" t="n">
        <v>1</v>
      </c>
      <c r="C2325" s="0" t="n">
        <v>5</v>
      </c>
      <c r="D2325" s="0" t="n">
        <v>7</v>
      </c>
      <c r="E2325" s="0" t="n">
        <f aca="false">-1+A2325*0.25</f>
        <v>-0.25</v>
      </c>
      <c r="F2325" s="0" t="n">
        <f aca="false">-1+B2325*0.25</f>
        <v>-0.75</v>
      </c>
      <c r="G2325" s="0" t="n">
        <f aca="false">-1+C2325*0.25</f>
        <v>0.25</v>
      </c>
      <c r="H2325" s="0" t="n">
        <f aca="false">-1+D2325*0.25</f>
        <v>0.75</v>
      </c>
      <c r="I2325" s="0" t="n">
        <f aca="false">1</f>
        <v>1</v>
      </c>
      <c r="J2325" s="0" t="n">
        <f aca="false">E2325</f>
        <v>-0.25</v>
      </c>
      <c r="K2325" s="0" t="n">
        <f aca="false">F2325</f>
        <v>-0.75</v>
      </c>
      <c r="L2325" s="0" t="n">
        <f aca="false">G2325</f>
        <v>0.25</v>
      </c>
      <c r="M2325" s="0" t="n">
        <f aca="false">H2325</f>
        <v>0.75</v>
      </c>
      <c r="N2325" s="0" t="n">
        <f aca="false">E2325*F2325</f>
        <v>0.1875</v>
      </c>
      <c r="O2325" s="0" t="n">
        <f aca="false">E2325*G2325</f>
        <v>-0.0625</v>
      </c>
      <c r="P2325" s="0" t="n">
        <f aca="false">E2325*H2325</f>
        <v>-0.1875</v>
      </c>
      <c r="Q2325" s="0" t="n">
        <f aca="false">F2325*G2325</f>
        <v>-0.1875</v>
      </c>
      <c r="R2325" s="0" t="n">
        <f aca="false">F2325*H2325</f>
        <v>-0.5625</v>
      </c>
      <c r="S2325" s="0" t="n">
        <f aca="false">G2325*H2325</f>
        <v>0.1875</v>
      </c>
      <c r="T2325" s="0" t="n">
        <f aca="false">E2325*E2325</f>
        <v>0.0625</v>
      </c>
      <c r="U2325" s="0" t="n">
        <f aca="false">F2325*F2325</f>
        <v>0.5625</v>
      </c>
      <c r="V2325" s="0" t="n">
        <f aca="false">G2325*G2325</f>
        <v>0.0625</v>
      </c>
      <c r="W2325" s="0" t="n">
        <f aca="false">H2325*H2325</f>
        <v>0.5625</v>
      </c>
      <c r="X2325" s="0" t="n">
        <f aca="false">SUMPRODUCT(I2325:W2325,_XtX!$B$96:$P$96)</f>
        <v>44.8568210891812</v>
      </c>
      <c r="Y2325" s="0" t="n">
        <f aca="false">SUMPRODUCT(MMULT(I2325:W2325,_XtX!$B$78:$P$92),I2325:W2325)</f>
        <v>0.271087468019006</v>
      </c>
      <c r="Z2325" s="0" t="n">
        <f aca="false">04_回帰ANOVA!$K$19*04_回帰ANOVA!$K$14*SQRT(1+Y2325)</f>
        <v>1.46955590155034</v>
      </c>
      <c r="AA2325" s="0" t="n">
        <f aca="false">X2325-Z2325</f>
        <v>43.3872651876309</v>
      </c>
      <c r="AB2325" s="0" t="n">
        <f aca="false">X2325+Z2325</f>
        <v>46.3263769907316</v>
      </c>
      <c r="AC2325" s="54" t="b">
        <f aca="false">AND(E2325&gt;=01_因子設定!$L$5-0.000000001,E2325&lt;=01_因子設定!$M$5+0.000000001,F2325&gt;=01_因子設定!$L$6-0.000000001,F2325&lt;=01_因子設定!$M$6+0.000000001,G2325&gt;=01_因子設定!$L$7-0.000000001,G2325&lt;=01_因子設定!$M$7+0.000000001,H2325&gt;=01_因子設定!$L$8-0.000000001,H2325&lt;=01_因子設定!$M$8+0.000000001,IF(01_因子設定!$B$20="Box-Behnken",E2325^2+F2325^2+G2325^2+H2325^2&lt;=2+0.000000001,TRUE()))</f>
        <v>1</v>
      </c>
      <c r="AD2325" s="55" t="n">
        <f aca="false">IF(AC2325,IF(01_因子設定!$B$13="最大化",AA2325-01_因子設定!$B$14,IF(01_因子設定!$B$13="最小化",01_因子設定!$B$15-AB2325,MIN(AA2325-01_因子設定!$B$14,01_因子設定!$B$15-AB2325))),-1E+030)</f>
        <v>-3.1127348123691</v>
      </c>
      <c r="AE2325" s="55" t="n">
        <f aca="false">IF(AC2325,IF(01_因子設定!$B$13="最大化",X2325,IF(01_因子設定!$B$13="最小化",-X2325,-ABS(X2325-01_因子設定!$B$16))),-1E+030)</f>
        <v>44.8568210891812</v>
      </c>
      <c r="AF2325" s="55" t="n">
        <f aca="false">AD2325+ROW()*0.000000001</f>
        <v>-3.1127324873691</v>
      </c>
      <c r="AG2325" s="55" t="n">
        <f aca="false">AE2325+ROW()*0.000000001</f>
        <v>44.8568234141812</v>
      </c>
    </row>
    <row r="2326" customFormat="false" ht="15" hidden="false" customHeight="false" outlineLevel="0" collapsed="false">
      <c r="A2326" s="0" t="n">
        <v>3</v>
      </c>
      <c r="B2326" s="0" t="n">
        <v>1</v>
      </c>
      <c r="C2326" s="0" t="n">
        <v>5</v>
      </c>
      <c r="D2326" s="0" t="n">
        <v>8</v>
      </c>
      <c r="E2326" s="0" t="n">
        <f aca="false">-1+A2326*0.25</f>
        <v>-0.25</v>
      </c>
      <c r="F2326" s="0" t="n">
        <f aca="false">-1+B2326*0.25</f>
        <v>-0.75</v>
      </c>
      <c r="G2326" s="0" t="n">
        <f aca="false">-1+C2326*0.25</f>
        <v>0.25</v>
      </c>
      <c r="H2326" s="0" t="n">
        <f aca="false">-1+D2326*0.25</f>
        <v>1</v>
      </c>
      <c r="I2326" s="0" t="n">
        <f aca="false">1</f>
        <v>1</v>
      </c>
      <c r="J2326" s="0" t="n">
        <f aca="false">E2326</f>
        <v>-0.25</v>
      </c>
      <c r="K2326" s="0" t="n">
        <f aca="false">F2326</f>
        <v>-0.75</v>
      </c>
      <c r="L2326" s="0" t="n">
        <f aca="false">G2326</f>
        <v>0.25</v>
      </c>
      <c r="M2326" s="0" t="n">
        <f aca="false">H2326</f>
        <v>1</v>
      </c>
      <c r="N2326" s="0" t="n">
        <f aca="false">E2326*F2326</f>
        <v>0.1875</v>
      </c>
      <c r="O2326" s="0" t="n">
        <f aca="false">E2326*G2326</f>
        <v>-0.0625</v>
      </c>
      <c r="P2326" s="0" t="n">
        <f aca="false">E2326*H2326</f>
        <v>-0.25</v>
      </c>
      <c r="Q2326" s="0" t="n">
        <f aca="false">F2326*G2326</f>
        <v>-0.1875</v>
      </c>
      <c r="R2326" s="0" t="n">
        <f aca="false">F2326*H2326</f>
        <v>-0.75</v>
      </c>
      <c r="S2326" s="0" t="n">
        <f aca="false">G2326*H2326</f>
        <v>0.25</v>
      </c>
      <c r="T2326" s="0" t="n">
        <f aca="false">E2326*E2326</f>
        <v>0.0625</v>
      </c>
      <c r="U2326" s="0" t="n">
        <f aca="false">F2326*F2326</f>
        <v>0.5625</v>
      </c>
      <c r="V2326" s="0" t="n">
        <f aca="false">G2326*G2326</f>
        <v>0.0625</v>
      </c>
      <c r="W2326" s="0" t="n">
        <f aca="false">H2326*H2326</f>
        <v>1</v>
      </c>
      <c r="X2326" s="0" t="n">
        <f aca="false">SUMPRODUCT(I2326:W2326,_XtX!$B$96:$P$96)</f>
        <v>44.8408854166666</v>
      </c>
      <c r="Y2326" s="0" t="n">
        <f aca="false">SUMPRODUCT(MMULT(I2326:W2326,_XtX!$B$78:$P$92),I2326:W2326)</f>
        <v>0.486409505208333</v>
      </c>
      <c r="Z2326" s="0" t="n">
        <f aca="false">04_回帰ANOVA!$K$19*04_回帰ANOVA!$K$14*SQRT(1+Y2326)</f>
        <v>1.58916001665498</v>
      </c>
      <c r="AA2326" s="0" t="n">
        <f aca="false">X2326-Z2326</f>
        <v>43.2517254000117</v>
      </c>
      <c r="AB2326" s="0" t="n">
        <f aca="false">X2326+Z2326</f>
        <v>46.4300454333216</v>
      </c>
      <c r="AC2326" s="54" t="b">
        <f aca="false">AND(E2326&gt;=01_因子設定!$L$5-0.000000001,E2326&lt;=01_因子設定!$M$5+0.000000001,F2326&gt;=01_因子設定!$L$6-0.000000001,F2326&lt;=01_因子設定!$M$6+0.000000001,G2326&gt;=01_因子設定!$L$7-0.000000001,G2326&lt;=01_因子設定!$M$7+0.000000001,H2326&gt;=01_因子設定!$L$8-0.000000001,H2326&lt;=01_因子設定!$M$8+0.000000001,IF(01_因子設定!$B$20="Box-Behnken",E2326^2+F2326^2+G2326^2+H2326^2&lt;=2+0.000000001,TRUE()))</f>
        <v>1</v>
      </c>
      <c r="AD2326" s="55" t="n">
        <f aca="false">IF(AC2326,IF(01_因子設定!$B$13="最大化",AA2326-01_因子設定!$B$14,IF(01_因子設定!$B$13="最小化",01_因子設定!$B$15-AB2326,MIN(AA2326-01_因子設定!$B$14,01_因子設定!$B$15-AB2326))),-1E+030)</f>
        <v>-3.24827459998834</v>
      </c>
      <c r="AE2326" s="55" t="n">
        <f aca="false">IF(AC2326,IF(01_因子設定!$B$13="最大化",X2326,IF(01_因子設定!$B$13="最小化",-X2326,-ABS(X2326-01_因子設定!$B$16))),-1E+030)</f>
        <v>44.8408854166666</v>
      </c>
      <c r="AF2326" s="55" t="n">
        <f aca="false">AD2326+ROW()*0.000000001</f>
        <v>-3.24827227398833</v>
      </c>
      <c r="AG2326" s="55" t="n">
        <f aca="false">AE2326+ROW()*0.000000001</f>
        <v>44.8408877426666</v>
      </c>
    </row>
    <row r="2327" customFormat="false" ht="15" hidden="false" customHeight="false" outlineLevel="0" collapsed="false">
      <c r="A2327" s="0" t="n">
        <v>3</v>
      </c>
      <c r="B2327" s="0" t="n">
        <v>1</v>
      </c>
      <c r="C2327" s="0" t="n">
        <v>6</v>
      </c>
      <c r="D2327" s="0" t="n">
        <v>0</v>
      </c>
      <c r="E2327" s="0" t="n">
        <f aca="false">-1+A2327*0.25</f>
        <v>-0.25</v>
      </c>
      <c r="F2327" s="0" t="n">
        <f aca="false">-1+B2327*0.25</f>
        <v>-0.75</v>
      </c>
      <c r="G2327" s="0" t="n">
        <f aca="false">-1+C2327*0.25</f>
        <v>0.5</v>
      </c>
      <c r="H2327" s="0" t="n">
        <f aca="false">-1+D2327*0.25</f>
        <v>-1</v>
      </c>
      <c r="I2327" s="0" t="n">
        <f aca="false">1</f>
        <v>1</v>
      </c>
      <c r="J2327" s="0" t="n">
        <f aca="false">E2327</f>
        <v>-0.25</v>
      </c>
      <c r="K2327" s="0" t="n">
        <f aca="false">F2327</f>
        <v>-0.75</v>
      </c>
      <c r="L2327" s="0" t="n">
        <f aca="false">G2327</f>
        <v>0.5</v>
      </c>
      <c r="M2327" s="0" t="n">
        <f aca="false">H2327</f>
        <v>-1</v>
      </c>
      <c r="N2327" s="0" t="n">
        <f aca="false">E2327*F2327</f>
        <v>0.1875</v>
      </c>
      <c r="O2327" s="0" t="n">
        <f aca="false">E2327*G2327</f>
        <v>-0.125</v>
      </c>
      <c r="P2327" s="0" t="n">
        <f aca="false">E2327*H2327</f>
        <v>0.25</v>
      </c>
      <c r="Q2327" s="0" t="n">
        <f aca="false">F2327*G2327</f>
        <v>-0.375</v>
      </c>
      <c r="R2327" s="0" t="n">
        <f aca="false">F2327*H2327</f>
        <v>0.75</v>
      </c>
      <c r="S2327" s="0" t="n">
        <f aca="false">G2327*H2327</f>
        <v>-0.5</v>
      </c>
      <c r="T2327" s="0" t="n">
        <f aca="false">E2327*E2327</f>
        <v>0.0625</v>
      </c>
      <c r="U2327" s="0" t="n">
        <f aca="false">F2327*F2327</f>
        <v>0.5625</v>
      </c>
      <c r="V2327" s="0" t="n">
        <f aca="false">G2327*G2327</f>
        <v>0.25</v>
      </c>
      <c r="W2327" s="0" t="n">
        <f aca="false">H2327*H2327</f>
        <v>1</v>
      </c>
      <c r="X2327" s="0" t="n">
        <f aca="false">SUMPRODUCT(I2327:W2327,_XtX!$B$96:$P$96)</f>
        <v>43.6578033625731</v>
      </c>
      <c r="Y2327" s="0" t="n">
        <f aca="false">SUMPRODUCT(MMULT(I2327:W2327,_XtX!$B$78:$P$92),I2327:W2327)</f>
        <v>0.459125719572369</v>
      </c>
      <c r="Z2327" s="0" t="n">
        <f aca="false">04_回帰ANOVA!$K$19*04_回帰ANOVA!$K$14*SQRT(1+Y2327)</f>
        <v>1.57450755575573</v>
      </c>
      <c r="AA2327" s="0" t="n">
        <f aca="false">X2327-Z2327</f>
        <v>42.0832958068174</v>
      </c>
      <c r="AB2327" s="0" t="n">
        <f aca="false">X2327+Z2327</f>
        <v>45.2323109183288</v>
      </c>
      <c r="AC2327" s="54" t="b">
        <f aca="false">AND(E2327&gt;=01_因子設定!$L$5-0.000000001,E2327&lt;=01_因子設定!$M$5+0.000000001,F2327&gt;=01_因子設定!$L$6-0.000000001,F2327&lt;=01_因子設定!$M$6+0.000000001,G2327&gt;=01_因子設定!$L$7-0.000000001,G2327&lt;=01_因子設定!$M$7+0.000000001,H2327&gt;=01_因子設定!$L$8-0.000000001,H2327&lt;=01_因子設定!$M$8+0.000000001,IF(01_因子設定!$B$20="Box-Behnken",E2327^2+F2327^2+G2327^2+H2327^2&lt;=2+0.000000001,TRUE()))</f>
        <v>1</v>
      </c>
      <c r="AD2327" s="55" t="n">
        <f aca="false">IF(AC2327,IF(01_因子設定!$B$13="最大化",AA2327-01_因子設定!$B$14,IF(01_因子設定!$B$13="最小化",01_因子設定!$B$15-AB2327,MIN(AA2327-01_因子設定!$B$14,01_因子設定!$B$15-AB2327))),-1E+030)</f>
        <v>-4.41670419318265</v>
      </c>
      <c r="AE2327" s="55" t="n">
        <f aca="false">IF(AC2327,IF(01_因子設定!$B$13="最大化",X2327,IF(01_因子設定!$B$13="最小化",-X2327,-ABS(X2327-01_因子設定!$B$16))),-1E+030)</f>
        <v>43.6578033625731</v>
      </c>
      <c r="AF2327" s="55" t="n">
        <f aca="false">AD2327+ROW()*0.000000001</f>
        <v>-4.41670186618265</v>
      </c>
      <c r="AG2327" s="55" t="n">
        <f aca="false">AE2327+ROW()*0.000000001</f>
        <v>43.6578056895731</v>
      </c>
    </row>
    <row r="2328" customFormat="false" ht="15" hidden="false" customHeight="false" outlineLevel="0" collapsed="false">
      <c r="A2328" s="0" t="n">
        <v>3</v>
      </c>
      <c r="B2328" s="0" t="n">
        <v>1</v>
      </c>
      <c r="C2328" s="0" t="n">
        <v>6</v>
      </c>
      <c r="D2328" s="0" t="n">
        <v>1</v>
      </c>
      <c r="E2328" s="0" t="n">
        <f aca="false">-1+A2328*0.25</f>
        <v>-0.25</v>
      </c>
      <c r="F2328" s="0" t="n">
        <f aca="false">-1+B2328*0.25</f>
        <v>-0.75</v>
      </c>
      <c r="G2328" s="0" t="n">
        <f aca="false">-1+C2328*0.25</f>
        <v>0.5</v>
      </c>
      <c r="H2328" s="0" t="n">
        <f aca="false">-1+D2328*0.25</f>
        <v>-0.75</v>
      </c>
      <c r="I2328" s="0" t="n">
        <f aca="false">1</f>
        <v>1</v>
      </c>
      <c r="J2328" s="0" t="n">
        <f aca="false">E2328</f>
        <v>-0.25</v>
      </c>
      <c r="K2328" s="0" t="n">
        <f aca="false">F2328</f>
        <v>-0.75</v>
      </c>
      <c r="L2328" s="0" t="n">
        <f aca="false">G2328</f>
        <v>0.5</v>
      </c>
      <c r="M2328" s="0" t="n">
        <f aca="false">H2328</f>
        <v>-0.75</v>
      </c>
      <c r="N2328" s="0" t="n">
        <f aca="false">E2328*F2328</f>
        <v>0.1875</v>
      </c>
      <c r="O2328" s="0" t="n">
        <f aca="false">E2328*G2328</f>
        <v>-0.125</v>
      </c>
      <c r="P2328" s="0" t="n">
        <f aca="false">E2328*H2328</f>
        <v>0.1875</v>
      </c>
      <c r="Q2328" s="0" t="n">
        <f aca="false">F2328*G2328</f>
        <v>-0.375</v>
      </c>
      <c r="R2328" s="0" t="n">
        <f aca="false">F2328*H2328</f>
        <v>0.5625</v>
      </c>
      <c r="S2328" s="0" t="n">
        <f aca="false">G2328*H2328</f>
        <v>-0.375</v>
      </c>
      <c r="T2328" s="0" t="n">
        <f aca="false">E2328*E2328</f>
        <v>0.0625</v>
      </c>
      <c r="U2328" s="0" t="n">
        <f aca="false">F2328*F2328</f>
        <v>0.5625</v>
      </c>
      <c r="V2328" s="0" t="n">
        <f aca="false">G2328*G2328</f>
        <v>0.25</v>
      </c>
      <c r="W2328" s="0" t="n">
        <f aca="false">H2328*H2328</f>
        <v>0.5625</v>
      </c>
      <c r="X2328" s="0" t="n">
        <f aca="false">SUMPRODUCT(I2328:W2328,_XtX!$B$96:$P$96)</f>
        <v>43.9944855628655</v>
      </c>
      <c r="Y2328" s="0" t="n">
        <f aca="false">SUMPRODUCT(MMULT(I2328:W2328,_XtX!$B$78:$P$92),I2328:W2328)</f>
        <v>0.257385610836988</v>
      </c>
      <c r="Z2328" s="0" t="n">
        <f aca="false">04_回帰ANOVA!$K$19*04_回帰ANOVA!$K$14*SQRT(1+Y2328)</f>
        <v>1.46161380324158</v>
      </c>
      <c r="AA2328" s="0" t="n">
        <f aca="false">X2328-Z2328</f>
        <v>42.5328717596239</v>
      </c>
      <c r="AB2328" s="0" t="n">
        <f aca="false">X2328+Z2328</f>
        <v>45.456099366107</v>
      </c>
      <c r="AC2328" s="54" t="b">
        <f aca="false">AND(E2328&gt;=01_因子設定!$L$5-0.000000001,E2328&lt;=01_因子設定!$M$5+0.000000001,F2328&gt;=01_因子設定!$L$6-0.000000001,F2328&lt;=01_因子設定!$M$6+0.000000001,G2328&gt;=01_因子設定!$L$7-0.000000001,G2328&lt;=01_因子設定!$M$7+0.000000001,H2328&gt;=01_因子設定!$L$8-0.000000001,H2328&lt;=01_因子設定!$M$8+0.000000001,IF(01_因子設定!$B$20="Box-Behnken",E2328^2+F2328^2+G2328^2+H2328^2&lt;=2+0.000000001,TRUE()))</f>
        <v>1</v>
      </c>
      <c r="AD2328" s="55" t="n">
        <f aca="false">IF(AC2328,IF(01_因子設定!$B$13="最大化",AA2328-01_因子設定!$B$14,IF(01_因子設定!$B$13="最小化",01_因子設定!$B$15-AB2328,MIN(AA2328-01_因子設定!$B$14,01_因子設定!$B$15-AB2328))),-1E+030)</f>
        <v>-3.96712824037613</v>
      </c>
      <c r="AE2328" s="55" t="n">
        <f aca="false">IF(AC2328,IF(01_因子設定!$B$13="最大化",X2328,IF(01_因子設定!$B$13="最小化",-X2328,-ABS(X2328-01_因子設定!$B$16))),-1E+030)</f>
        <v>43.9944855628655</v>
      </c>
      <c r="AF2328" s="55" t="n">
        <f aca="false">AD2328+ROW()*0.000000001</f>
        <v>-3.96712591237613</v>
      </c>
      <c r="AG2328" s="55" t="n">
        <f aca="false">AE2328+ROW()*0.000000001</f>
        <v>43.9944878908655</v>
      </c>
    </row>
    <row r="2329" customFormat="false" ht="15" hidden="false" customHeight="false" outlineLevel="0" collapsed="false">
      <c r="A2329" s="0" t="n">
        <v>3</v>
      </c>
      <c r="B2329" s="0" t="n">
        <v>1</v>
      </c>
      <c r="C2329" s="0" t="n">
        <v>6</v>
      </c>
      <c r="D2329" s="0" t="n">
        <v>2</v>
      </c>
      <c r="E2329" s="0" t="n">
        <f aca="false">-1+A2329*0.25</f>
        <v>-0.25</v>
      </c>
      <c r="F2329" s="0" t="n">
        <f aca="false">-1+B2329*0.25</f>
        <v>-0.75</v>
      </c>
      <c r="G2329" s="0" t="n">
        <f aca="false">-1+C2329*0.25</f>
        <v>0.5</v>
      </c>
      <c r="H2329" s="0" t="n">
        <f aca="false">-1+D2329*0.25</f>
        <v>-0.5</v>
      </c>
      <c r="I2329" s="0" t="n">
        <f aca="false">1</f>
        <v>1</v>
      </c>
      <c r="J2329" s="0" t="n">
        <f aca="false">E2329</f>
        <v>-0.25</v>
      </c>
      <c r="K2329" s="0" t="n">
        <f aca="false">F2329</f>
        <v>-0.75</v>
      </c>
      <c r="L2329" s="0" t="n">
        <f aca="false">G2329</f>
        <v>0.5</v>
      </c>
      <c r="M2329" s="0" t="n">
        <f aca="false">H2329</f>
        <v>-0.5</v>
      </c>
      <c r="N2329" s="0" t="n">
        <f aca="false">E2329*F2329</f>
        <v>0.1875</v>
      </c>
      <c r="O2329" s="0" t="n">
        <f aca="false">E2329*G2329</f>
        <v>-0.125</v>
      </c>
      <c r="P2329" s="0" t="n">
        <f aca="false">E2329*H2329</f>
        <v>0.125</v>
      </c>
      <c r="Q2329" s="0" t="n">
        <f aca="false">F2329*G2329</f>
        <v>-0.375</v>
      </c>
      <c r="R2329" s="0" t="n">
        <f aca="false">F2329*H2329</f>
        <v>0.375</v>
      </c>
      <c r="S2329" s="0" t="n">
        <f aca="false">G2329*H2329</f>
        <v>-0.25</v>
      </c>
      <c r="T2329" s="0" t="n">
        <f aca="false">E2329*E2329</f>
        <v>0.0625</v>
      </c>
      <c r="U2329" s="0" t="n">
        <f aca="false">F2329*F2329</f>
        <v>0.5625</v>
      </c>
      <c r="V2329" s="0" t="n">
        <f aca="false">G2329*G2329</f>
        <v>0.25</v>
      </c>
      <c r="W2329" s="0" t="n">
        <f aca="false">H2329*H2329</f>
        <v>0.25</v>
      </c>
      <c r="X2329" s="0" t="n">
        <f aca="false">SUMPRODUCT(I2329:W2329,_XtX!$B$96:$P$96)</f>
        <v>44.283360745614</v>
      </c>
      <c r="Y2329" s="0" t="n">
        <f aca="false">SUMPRODUCT(MMULT(I2329:W2329,_XtX!$B$78:$P$92),I2329:W2329)</f>
        <v>0.203746059484649</v>
      </c>
      <c r="Z2329" s="0" t="n">
        <f aca="false">04_回帰ANOVA!$K$19*04_回帰ANOVA!$K$14*SQRT(1+Y2329)</f>
        <v>1.43009810755465</v>
      </c>
      <c r="AA2329" s="0" t="n">
        <f aca="false">X2329-Z2329</f>
        <v>42.8532626380593</v>
      </c>
      <c r="AB2329" s="0" t="n">
        <f aca="false">X2329+Z2329</f>
        <v>45.7134588531686</v>
      </c>
      <c r="AC2329" s="54" t="b">
        <f aca="false">AND(E2329&gt;=01_因子設定!$L$5-0.000000001,E2329&lt;=01_因子設定!$M$5+0.000000001,F2329&gt;=01_因子設定!$L$6-0.000000001,F2329&lt;=01_因子設定!$M$6+0.000000001,G2329&gt;=01_因子設定!$L$7-0.000000001,G2329&lt;=01_因子設定!$M$7+0.000000001,H2329&gt;=01_因子設定!$L$8-0.000000001,H2329&lt;=01_因子設定!$M$8+0.000000001,IF(01_因子設定!$B$20="Box-Behnken",E2329^2+F2329^2+G2329^2+H2329^2&lt;=2+0.000000001,TRUE()))</f>
        <v>1</v>
      </c>
      <c r="AD2329" s="55" t="n">
        <f aca="false">IF(AC2329,IF(01_因子設定!$B$13="最大化",AA2329-01_因子設定!$B$14,IF(01_因子設定!$B$13="最小化",01_因子設定!$B$15-AB2329,MIN(AA2329-01_因子設定!$B$14,01_因子設定!$B$15-AB2329))),-1E+030)</f>
        <v>-3.64673736194067</v>
      </c>
      <c r="AE2329" s="55" t="n">
        <f aca="false">IF(AC2329,IF(01_因子設定!$B$13="最大化",X2329,IF(01_因子設定!$B$13="最小化",-X2329,-ABS(X2329-01_因子設定!$B$16))),-1E+030)</f>
        <v>44.283360745614</v>
      </c>
      <c r="AF2329" s="55" t="n">
        <f aca="false">AD2329+ROW()*0.000000001</f>
        <v>-3.64673503294067</v>
      </c>
      <c r="AG2329" s="55" t="n">
        <f aca="false">AE2329+ROW()*0.000000001</f>
        <v>44.283363074614</v>
      </c>
    </row>
    <row r="2330" customFormat="false" ht="15" hidden="false" customHeight="false" outlineLevel="0" collapsed="false">
      <c r="A2330" s="0" t="n">
        <v>3</v>
      </c>
      <c r="B2330" s="0" t="n">
        <v>1</v>
      </c>
      <c r="C2330" s="0" t="n">
        <v>6</v>
      </c>
      <c r="D2330" s="0" t="n">
        <v>3</v>
      </c>
      <c r="E2330" s="0" t="n">
        <f aca="false">-1+A2330*0.25</f>
        <v>-0.25</v>
      </c>
      <c r="F2330" s="0" t="n">
        <f aca="false">-1+B2330*0.25</f>
        <v>-0.75</v>
      </c>
      <c r="G2330" s="0" t="n">
        <f aca="false">-1+C2330*0.25</f>
        <v>0.5</v>
      </c>
      <c r="H2330" s="0" t="n">
        <f aca="false">-1+D2330*0.25</f>
        <v>-0.25</v>
      </c>
      <c r="I2330" s="0" t="n">
        <f aca="false">1</f>
        <v>1</v>
      </c>
      <c r="J2330" s="0" t="n">
        <f aca="false">E2330</f>
        <v>-0.25</v>
      </c>
      <c r="K2330" s="0" t="n">
        <f aca="false">F2330</f>
        <v>-0.75</v>
      </c>
      <c r="L2330" s="0" t="n">
        <f aca="false">G2330</f>
        <v>0.5</v>
      </c>
      <c r="M2330" s="0" t="n">
        <f aca="false">H2330</f>
        <v>-0.25</v>
      </c>
      <c r="N2330" s="0" t="n">
        <f aca="false">E2330*F2330</f>
        <v>0.1875</v>
      </c>
      <c r="O2330" s="0" t="n">
        <f aca="false">E2330*G2330</f>
        <v>-0.125</v>
      </c>
      <c r="P2330" s="0" t="n">
        <f aca="false">E2330*H2330</f>
        <v>0.0625</v>
      </c>
      <c r="Q2330" s="0" t="n">
        <f aca="false">F2330*G2330</f>
        <v>-0.375</v>
      </c>
      <c r="R2330" s="0" t="n">
        <f aca="false">F2330*H2330</f>
        <v>0.1875</v>
      </c>
      <c r="S2330" s="0" t="n">
        <f aca="false">G2330*H2330</f>
        <v>-0.125</v>
      </c>
      <c r="T2330" s="0" t="n">
        <f aca="false">E2330*E2330</f>
        <v>0.0625</v>
      </c>
      <c r="U2330" s="0" t="n">
        <f aca="false">F2330*F2330</f>
        <v>0.5625</v>
      </c>
      <c r="V2330" s="0" t="n">
        <f aca="false">G2330*G2330</f>
        <v>0.25</v>
      </c>
      <c r="W2330" s="0" t="n">
        <f aca="false">H2330*H2330</f>
        <v>0.0625</v>
      </c>
      <c r="X2330" s="0" t="n">
        <f aca="false">SUMPRODUCT(I2330:W2330,_XtX!$B$96:$P$96)</f>
        <v>44.5244289108187</v>
      </c>
      <c r="Y2330" s="0" t="n">
        <f aca="false">SUMPRODUCT(MMULT(I2330:W2330,_XtX!$B$78:$P$92),I2330:W2330)</f>
        <v>0.207746539199561</v>
      </c>
      <c r="Z2330" s="0" t="n">
        <f aca="false">04_回帰ANOVA!$K$19*04_回帰ANOVA!$K$14*SQRT(1+Y2330)</f>
        <v>1.43247250081141</v>
      </c>
      <c r="AA2330" s="0" t="n">
        <f aca="false">X2330-Z2330</f>
        <v>43.0919564100073</v>
      </c>
      <c r="AB2330" s="0" t="n">
        <f aca="false">X2330+Z2330</f>
        <v>45.9569014116301</v>
      </c>
      <c r="AC2330" s="54" t="b">
        <f aca="false">AND(E2330&gt;=01_因子設定!$L$5-0.000000001,E2330&lt;=01_因子設定!$M$5+0.000000001,F2330&gt;=01_因子設定!$L$6-0.000000001,F2330&lt;=01_因子設定!$M$6+0.000000001,G2330&gt;=01_因子設定!$L$7-0.000000001,G2330&lt;=01_因子設定!$M$7+0.000000001,H2330&gt;=01_因子設定!$L$8-0.000000001,H2330&lt;=01_因子設定!$M$8+0.000000001,IF(01_因子設定!$B$20="Box-Behnken",E2330^2+F2330^2+G2330^2+H2330^2&lt;=2+0.000000001,TRUE()))</f>
        <v>1</v>
      </c>
      <c r="AD2330" s="55" t="n">
        <f aca="false">IF(AC2330,IF(01_因子設定!$B$13="最大化",AA2330-01_因子設定!$B$14,IF(01_因子設定!$B$13="最小化",01_因子設定!$B$15-AB2330,MIN(AA2330-01_因子設定!$B$14,01_因子設定!$B$15-AB2330))),-1E+030)</f>
        <v>-3.40804358999275</v>
      </c>
      <c r="AE2330" s="55" t="n">
        <f aca="false">IF(AC2330,IF(01_因子設定!$B$13="最大化",X2330,IF(01_因子設定!$B$13="最小化",-X2330,-ABS(X2330-01_因子設定!$B$16))),-1E+030)</f>
        <v>44.5244289108187</v>
      </c>
      <c r="AF2330" s="55" t="n">
        <f aca="false">AD2330+ROW()*0.000000001</f>
        <v>-3.40804125999275</v>
      </c>
      <c r="AG2330" s="55" t="n">
        <f aca="false">AE2330+ROW()*0.000000001</f>
        <v>44.5244312408187</v>
      </c>
    </row>
    <row r="2331" customFormat="false" ht="15" hidden="false" customHeight="false" outlineLevel="0" collapsed="false">
      <c r="A2331" s="0" t="n">
        <v>3</v>
      </c>
      <c r="B2331" s="0" t="n">
        <v>1</v>
      </c>
      <c r="C2331" s="0" t="n">
        <v>6</v>
      </c>
      <c r="D2331" s="0" t="n">
        <v>4</v>
      </c>
      <c r="E2331" s="0" t="n">
        <f aca="false">-1+A2331*0.25</f>
        <v>-0.25</v>
      </c>
      <c r="F2331" s="0" t="n">
        <f aca="false">-1+B2331*0.25</f>
        <v>-0.75</v>
      </c>
      <c r="G2331" s="0" t="n">
        <f aca="false">-1+C2331*0.25</f>
        <v>0.5</v>
      </c>
      <c r="H2331" s="0" t="n">
        <f aca="false">-1+D2331*0.25</f>
        <v>0</v>
      </c>
      <c r="I2331" s="0" t="n">
        <f aca="false">1</f>
        <v>1</v>
      </c>
      <c r="J2331" s="0" t="n">
        <f aca="false">E2331</f>
        <v>-0.25</v>
      </c>
      <c r="K2331" s="0" t="n">
        <f aca="false">F2331</f>
        <v>-0.75</v>
      </c>
      <c r="L2331" s="0" t="n">
        <f aca="false">G2331</f>
        <v>0.5</v>
      </c>
      <c r="M2331" s="0" t="n">
        <f aca="false">H2331</f>
        <v>0</v>
      </c>
      <c r="N2331" s="0" t="n">
        <f aca="false">E2331*F2331</f>
        <v>0.1875</v>
      </c>
      <c r="O2331" s="0" t="n">
        <f aca="false">E2331*G2331</f>
        <v>-0.125</v>
      </c>
      <c r="P2331" s="0" t="n">
        <f aca="false">E2331*H2331</f>
        <v>-0</v>
      </c>
      <c r="Q2331" s="0" t="n">
        <f aca="false">F2331*G2331</f>
        <v>-0.375</v>
      </c>
      <c r="R2331" s="0" t="n">
        <f aca="false">F2331*H2331</f>
        <v>-0</v>
      </c>
      <c r="S2331" s="0" t="n">
        <f aca="false">G2331*H2331</f>
        <v>0</v>
      </c>
      <c r="T2331" s="0" t="n">
        <f aca="false">E2331*E2331</f>
        <v>0.0625</v>
      </c>
      <c r="U2331" s="0" t="n">
        <f aca="false">F2331*F2331</f>
        <v>0.5625</v>
      </c>
      <c r="V2331" s="0" t="n">
        <f aca="false">G2331*G2331</f>
        <v>0.25</v>
      </c>
      <c r="W2331" s="0" t="n">
        <f aca="false">H2331*H2331</f>
        <v>0</v>
      </c>
      <c r="X2331" s="0" t="n">
        <f aca="false">SUMPRODUCT(I2331:W2331,_XtX!$B$96:$P$96)</f>
        <v>44.7176900584795</v>
      </c>
      <c r="Y2331" s="0" t="n">
        <f aca="false">SUMPRODUCT(MMULT(I2331:W2331,_XtX!$B$78:$P$92),I2331:W2331)</f>
        <v>0.215110734192252</v>
      </c>
      <c r="Z2331" s="0" t="n">
        <f aca="false">04_回帰ANOVA!$K$19*04_回帰ANOVA!$K$14*SQRT(1+Y2331)</f>
        <v>1.43683309086864</v>
      </c>
      <c r="AA2331" s="0" t="n">
        <f aca="false">X2331-Z2331</f>
        <v>43.2808569676108</v>
      </c>
      <c r="AB2331" s="0" t="n">
        <f aca="false">X2331+Z2331</f>
        <v>46.1545231493481</v>
      </c>
      <c r="AC2331" s="54" t="b">
        <f aca="false">AND(E2331&gt;=01_因子設定!$L$5-0.000000001,E2331&lt;=01_因子設定!$M$5+0.000000001,F2331&gt;=01_因子設定!$L$6-0.000000001,F2331&lt;=01_因子設定!$M$6+0.000000001,G2331&gt;=01_因子設定!$L$7-0.000000001,G2331&lt;=01_因子設定!$M$7+0.000000001,H2331&gt;=01_因子設定!$L$8-0.000000001,H2331&lt;=01_因子設定!$M$8+0.000000001,IF(01_因子設定!$B$20="Box-Behnken",E2331^2+F2331^2+G2331^2+H2331^2&lt;=2+0.000000001,TRUE()))</f>
        <v>1</v>
      </c>
      <c r="AD2331" s="55" t="n">
        <f aca="false">IF(AC2331,IF(01_因子設定!$B$13="最大化",AA2331-01_因子設定!$B$14,IF(01_因子設定!$B$13="最小化",01_因子設定!$B$15-AB2331,MIN(AA2331-01_因子設定!$B$14,01_因子設定!$B$15-AB2331))),-1E+030)</f>
        <v>-3.21914303238918</v>
      </c>
      <c r="AE2331" s="55" t="n">
        <f aca="false">IF(AC2331,IF(01_因子設定!$B$13="最大化",X2331,IF(01_因子設定!$B$13="最小化",-X2331,-ABS(X2331-01_因子設定!$B$16))),-1E+030)</f>
        <v>44.7176900584795</v>
      </c>
      <c r="AF2331" s="55" t="n">
        <f aca="false">AD2331+ROW()*0.000000001</f>
        <v>-3.21914070138918</v>
      </c>
      <c r="AG2331" s="55" t="n">
        <f aca="false">AE2331+ROW()*0.000000001</f>
        <v>44.7176923894795</v>
      </c>
    </row>
    <row r="2332" customFormat="false" ht="15" hidden="false" customHeight="false" outlineLevel="0" collapsed="false">
      <c r="A2332" s="0" t="n">
        <v>3</v>
      </c>
      <c r="B2332" s="0" t="n">
        <v>1</v>
      </c>
      <c r="C2332" s="0" t="n">
        <v>6</v>
      </c>
      <c r="D2332" s="0" t="n">
        <v>5</v>
      </c>
      <c r="E2332" s="0" t="n">
        <f aca="false">-1+A2332*0.25</f>
        <v>-0.25</v>
      </c>
      <c r="F2332" s="0" t="n">
        <f aca="false">-1+B2332*0.25</f>
        <v>-0.75</v>
      </c>
      <c r="G2332" s="0" t="n">
        <f aca="false">-1+C2332*0.25</f>
        <v>0.5</v>
      </c>
      <c r="H2332" s="0" t="n">
        <f aca="false">-1+D2332*0.25</f>
        <v>0.25</v>
      </c>
      <c r="I2332" s="0" t="n">
        <f aca="false">1</f>
        <v>1</v>
      </c>
      <c r="J2332" s="0" t="n">
        <f aca="false">E2332</f>
        <v>-0.25</v>
      </c>
      <c r="K2332" s="0" t="n">
        <f aca="false">F2332</f>
        <v>-0.75</v>
      </c>
      <c r="L2332" s="0" t="n">
        <f aca="false">G2332</f>
        <v>0.5</v>
      </c>
      <c r="M2332" s="0" t="n">
        <f aca="false">H2332</f>
        <v>0.25</v>
      </c>
      <c r="N2332" s="0" t="n">
        <f aca="false">E2332*F2332</f>
        <v>0.1875</v>
      </c>
      <c r="O2332" s="0" t="n">
        <f aca="false">E2332*G2332</f>
        <v>-0.125</v>
      </c>
      <c r="P2332" s="0" t="n">
        <f aca="false">E2332*H2332</f>
        <v>-0.0625</v>
      </c>
      <c r="Q2332" s="0" t="n">
        <f aca="false">F2332*G2332</f>
        <v>-0.375</v>
      </c>
      <c r="R2332" s="0" t="n">
        <f aca="false">F2332*H2332</f>
        <v>-0.1875</v>
      </c>
      <c r="S2332" s="0" t="n">
        <f aca="false">G2332*H2332</f>
        <v>0.125</v>
      </c>
      <c r="T2332" s="0" t="n">
        <f aca="false">E2332*E2332</f>
        <v>0.0625</v>
      </c>
      <c r="U2332" s="0" t="n">
        <f aca="false">F2332*F2332</f>
        <v>0.5625</v>
      </c>
      <c r="V2332" s="0" t="n">
        <f aca="false">G2332*G2332</f>
        <v>0.25</v>
      </c>
      <c r="W2332" s="0" t="n">
        <f aca="false">H2332*H2332</f>
        <v>0.0625</v>
      </c>
      <c r="X2332" s="0" t="n">
        <f aca="false">SUMPRODUCT(I2332:W2332,_XtX!$B$96:$P$96)</f>
        <v>44.8631441885964</v>
      </c>
      <c r="Y2332" s="0" t="n">
        <f aca="false">SUMPRODUCT(MMULT(I2332:W2332,_XtX!$B$78:$P$92),I2332:W2332)</f>
        <v>0.207746539199561</v>
      </c>
      <c r="Z2332" s="0" t="n">
        <f aca="false">04_回帰ANOVA!$K$19*04_回帰ANOVA!$K$14*SQRT(1+Y2332)</f>
        <v>1.43247250081141</v>
      </c>
      <c r="AA2332" s="0" t="n">
        <f aca="false">X2332-Z2332</f>
        <v>43.430671687785</v>
      </c>
      <c r="AB2332" s="0" t="n">
        <f aca="false">X2332+Z2332</f>
        <v>46.2956166894078</v>
      </c>
      <c r="AC2332" s="54" t="b">
        <f aca="false">AND(E2332&gt;=01_因子設定!$L$5-0.000000001,E2332&lt;=01_因子設定!$M$5+0.000000001,F2332&gt;=01_因子設定!$L$6-0.000000001,F2332&lt;=01_因子設定!$M$6+0.000000001,G2332&gt;=01_因子設定!$L$7-0.000000001,G2332&lt;=01_因子設定!$M$7+0.000000001,H2332&gt;=01_因子設定!$L$8-0.000000001,H2332&lt;=01_因子設定!$M$8+0.000000001,IF(01_因子設定!$B$20="Box-Behnken",E2332^2+F2332^2+G2332^2+H2332^2&lt;=2+0.000000001,TRUE()))</f>
        <v>1</v>
      </c>
      <c r="AD2332" s="55" t="n">
        <f aca="false">IF(AC2332,IF(01_因子設定!$B$13="最大化",AA2332-01_因子設定!$B$14,IF(01_因子設定!$B$13="最小化",01_因子設定!$B$15-AB2332,MIN(AA2332-01_因子設定!$B$14,01_因子設定!$B$15-AB2332))),-1E+030)</f>
        <v>-3.06932831221497</v>
      </c>
      <c r="AE2332" s="55" t="n">
        <f aca="false">IF(AC2332,IF(01_因子設定!$B$13="最大化",X2332,IF(01_因子設定!$B$13="最小化",-X2332,-ABS(X2332-01_因子設定!$B$16))),-1E+030)</f>
        <v>44.8631441885964</v>
      </c>
      <c r="AF2332" s="55" t="n">
        <f aca="false">AD2332+ROW()*0.000000001</f>
        <v>-3.06932598021497</v>
      </c>
      <c r="AG2332" s="55" t="n">
        <f aca="false">AE2332+ROW()*0.000000001</f>
        <v>44.8631465205964</v>
      </c>
    </row>
    <row r="2333" customFormat="false" ht="15" hidden="false" customHeight="false" outlineLevel="0" collapsed="false">
      <c r="A2333" s="0" t="n">
        <v>3</v>
      </c>
      <c r="B2333" s="0" t="n">
        <v>1</v>
      </c>
      <c r="C2333" s="0" t="n">
        <v>6</v>
      </c>
      <c r="D2333" s="0" t="n">
        <v>6</v>
      </c>
      <c r="E2333" s="0" t="n">
        <f aca="false">-1+A2333*0.25</f>
        <v>-0.25</v>
      </c>
      <c r="F2333" s="0" t="n">
        <f aca="false">-1+B2333*0.25</f>
        <v>-0.75</v>
      </c>
      <c r="G2333" s="0" t="n">
        <f aca="false">-1+C2333*0.25</f>
        <v>0.5</v>
      </c>
      <c r="H2333" s="0" t="n">
        <f aca="false">-1+D2333*0.25</f>
        <v>0.5</v>
      </c>
      <c r="I2333" s="0" t="n">
        <f aca="false">1</f>
        <v>1</v>
      </c>
      <c r="J2333" s="0" t="n">
        <f aca="false">E2333</f>
        <v>-0.25</v>
      </c>
      <c r="K2333" s="0" t="n">
        <f aca="false">F2333</f>
        <v>-0.75</v>
      </c>
      <c r="L2333" s="0" t="n">
        <f aca="false">G2333</f>
        <v>0.5</v>
      </c>
      <c r="M2333" s="0" t="n">
        <f aca="false">H2333</f>
        <v>0.5</v>
      </c>
      <c r="N2333" s="0" t="n">
        <f aca="false">E2333*F2333</f>
        <v>0.1875</v>
      </c>
      <c r="O2333" s="0" t="n">
        <f aca="false">E2333*G2333</f>
        <v>-0.125</v>
      </c>
      <c r="P2333" s="0" t="n">
        <f aca="false">E2333*H2333</f>
        <v>-0.125</v>
      </c>
      <c r="Q2333" s="0" t="n">
        <f aca="false">F2333*G2333</f>
        <v>-0.375</v>
      </c>
      <c r="R2333" s="0" t="n">
        <f aca="false">F2333*H2333</f>
        <v>-0.375</v>
      </c>
      <c r="S2333" s="0" t="n">
        <f aca="false">G2333*H2333</f>
        <v>0.25</v>
      </c>
      <c r="T2333" s="0" t="n">
        <f aca="false">E2333*E2333</f>
        <v>0.0625</v>
      </c>
      <c r="U2333" s="0" t="n">
        <f aca="false">F2333*F2333</f>
        <v>0.5625</v>
      </c>
      <c r="V2333" s="0" t="n">
        <f aca="false">G2333*G2333</f>
        <v>0.25</v>
      </c>
      <c r="W2333" s="0" t="n">
        <f aca="false">H2333*H2333</f>
        <v>0.25</v>
      </c>
      <c r="X2333" s="0" t="n">
        <f aca="false">SUMPRODUCT(I2333:W2333,_XtX!$B$96:$P$96)</f>
        <v>44.9607913011695</v>
      </c>
      <c r="Y2333" s="0" t="n">
        <f aca="false">SUMPRODUCT(MMULT(I2333:W2333,_XtX!$B$78:$P$92),I2333:W2333)</f>
        <v>0.203746059484649</v>
      </c>
      <c r="Z2333" s="0" t="n">
        <f aca="false">04_回帰ANOVA!$K$19*04_回帰ANOVA!$K$14*SQRT(1+Y2333)</f>
        <v>1.43009810755465</v>
      </c>
      <c r="AA2333" s="0" t="n">
        <f aca="false">X2333-Z2333</f>
        <v>43.5306931936149</v>
      </c>
      <c r="AB2333" s="0" t="n">
        <f aca="false">X2333+Z2333</f>
        <v>46.3908894087242</v>
      </c>
      <c r="AC2333" s="54" t="b">
        <f aca="false">AND(E2333&gt;=01_因子設定!$L$5-0.000000001,E2333&lt;=01_因子設定!$M$5+0.000000001,F2333&gt;=01_因子設定!$L$6-0.000000001,F2333&lt;=01_因子設定!$M$6+0.000000001,G2333&gt;=01_因子設定!$L$7-0.000000001,G2333&lt;=01_因子設定!$M$7+0.000000001,H2333&gt;=01_因子設定!$L$8-0.000000001,H2333&lt;=01_因子設定!$M$8+0.000000001,IF(01_因子設定!$B$20="Box-Behnken",E2333^2+F2333^2+G2333^2+H2333^2&lt;=2+0.000000001,TRUE()))</f>
        <v>1</v>
      </c>
      <c r="AD2333" s="55" t="n">
        <f aca="false">IF(AC2333,IF(01_因子設定!$B$13="最大化",AA2333-01_因子設定!$B$14,IF(01_因子設定!$B$13="最小化",01_因子設定!$B$15-AB2333,MIN(AA2333-01_因子設定!$B$14,01_因子設定!$B$15-AB2333))),-1E+030)</f>
        <v>-2.96930680638511</v>
      </c>
      <c r="AE2333" s="55" t="n">
        <f aca="false">IF(AC2333,IF(01_因子設定!$B$13="最大化",X2333,IF(01_因子設定!$B$13="最小化",-X2333,-ABS(X2333-01_因子設定!$B$16))),-1E+030)</f>
        <v>44.9607913011695</v>
      </c>
      <c r="AF2333" s="55" t="n">
        <f aca="false">AD2333+ROW()*0.000000001</f>
        <v>-2.96930447338511</v>
      </c>
      <c r="AG2333" s="55" t="n">
        <f aca="false">AE2333+ROW()*0.000000001</f>
        <v>44.9607936341695</v>
      </c>
    </row>
    <row r="2334" customFormat="false" ht="15" hidden="false" customHeight="false" outlineLevel="0" collapsed="false">
      <c r="A2334" s="0" t="n">
        <v>3</v>
      </c>
      <c r="B2334" s="0" t="n">
        <v>1</v>
      </c>
      <c r="C2334" s="0" t="n">
        <v>6</v>
      </c>
      <c r="D2334" s="0" t="n">
        <v>7</v>
      </c>
      <c r="E2334" s="0" t="n">
        <f aca="false">-1+A2334*0.25</f>
        <v>-0.25</v>
      </c>
      <c r="F2334" s="0" t="n">
        <f aca="false">-1+B2334*0.25</f>
        <v>-0.75</v>
      </c>
      <c r="G2334" s="0" t="n">
        <f aca="false">-1+C2334*0.25</f>
        <v>0.5</v>
      </c>
      <c r="H2334" s="0" t="n">
        <f aca="false">-1+D2334*0.25</f>
        <v>0.75</v>
      </c>
      <c r="I2334" s="0" t="n">
        <f aca="false">1</f>
        <v>1</v>
      </c>
      <c r="J2334" s="0" t="n">
        <f aca="false">E2334</f>
        <v>-0.25</v>
      </c>
      <c r="K2334" s="0" t="n">
        <f aca="false">F2334</f>
        <v>-0.75</v>
      </c>
      <c r="L2334" s="0" t="n">
        <f aca="false">G2334</f>
        <v>0.5</v>
      </c>
      <c r="M2334" s="0" t="n">
        <f aca="false">H2334</f>
        <v>0.75</v>
      </c>
      <c r="N2334" s="0" t="n">
        <f aca="false">E2334*F2334</f>
        <v>0.1875</v>
      </c>
      <c r="O2334" s="0" t="n">
        <f aca="false">E2334*G2334</f>
        <v>-0.125</v>
      </c>
      <c r="P2334" s="0" t="n">
        <f aca="false">E2334*H2334</f>
        <v>-0.1875</v>
      </c>
      <c r="Q2334" s="0" t="n">
        <f aca="false">F2334*G2334</f>
        <v>-0.375</v>
      </c>
      <c r="R2334" s="0" t="n">
        <f aca="false">F2334*H2334</f>
        <v>-0.5625</v>
      </c>
      <c r="S2334" s="0" t="n">
        <f aca="false">G2334*H2334</f>
        <v>0.375</v>
      </c>
      <c r="T2334" s="0" t="n">
        <f aca="false">E2334*E2334</f>
        <v>0.0625</v>
      </c>
      <c r="U2334" s="0" t="n">
        <f aca="false">F2334*F2334</f>
        <v>0.5625</v>
      </c>
      <c r="V2334" s="0" t="n">
        <f aca="false">G2334*G2334</f>
        <v>0.25</v>
      </c>
      <c r="W2334" s="0" t="n">
        <f aca="false">H2334*H2334</f>
        <v>0.5625</v>
      </c>
      <c r="X2334" s="0" t="n">
        <f aca="false">SUMPRODUCT(I2334:W2334,_XtX!$B$96:$P$96)</f>
        <v>45.0106313961988</v>
      </c>
      <c r="Y2334" s="0" t="n">
        <f aca="false">SUMPRODUCT(MMULT(I2334:W2334,_XtX!$B$78:$P$92),I2334:W2334)</f>
        <v>0.257385610836988</v>
      </c>
      <c r="Z2334" s="0" t="n">
        <f aca="false">04_回帰ANOVA!$K$19*04_回帰ANOVA!$K$14*SQRT(1+Y2334)</f>
        <v>1.46161380324158</v>
      </c>
      <c r="AA2334" s="0" t="n">
        <f aca="false">X2334-Z2334</f>
        <v>43.5490175929572</v>
      </c>
      <c r="AB2334" s="0" t="n">
        <f aca="false">X2334+Z2334</f>
        <v>46.4722451994404</v>
      </c>
      <c r="AC2334" s="54" t="b">
        <f aca="false">AND(E2334&gt;=01_因子設定!$L$5-0.000000001,E2334&lt;=01_因子設定!$M$5+0.000000001,F2334&gt;=01_因子設定!$L$6-0.000000001,F2334&lt;=01_因子設定!$M$6+0.000000001,G2334&gt;=01_因子設定!$L$7-0.000000001,G2334&lt;=01_因子設定!$M$7+0.000000001,H2334&gt;=01_因子設定!$L$8-0.000000001,H2334&lt;=01_因子設定!$M$8+0.000000001,IF(01_因子設定!$B$20="Box-Behnken",E2334^2+F2334^2+G2334^2+H2334^2&lt;=2+0.000000001,TRUE()))</f>
        <v>1</v>
      </c>
      <c r="AD2334" s="55" t="n">
        <f aca="false">IF(AC2334,IF(01_因子設定!$B$13="最大化",AA2334-01_因子設定!$B$14,IF(01_因子設定!$B$13="最小化",01_因子設定!$B$15-AB2334,MIN(AA2334-01_因子設定!$B$14,01_因子設定!$B$15-AB2334))),-1E+030)</f>
        <v>-2.95098240704279</v>
      </c>
      <c r="AE2334" s="55" t="n">
        <f aca="false">IF(AC2334,IF(01_因子設定!$B$13="最大化",X2334,IF(01_因子設定!$B$13="最小化",-X2334,-ABS(X2334-01_因子設定!$B$16))),-1E+030)</f>
        <v>45.0106313961988</v>
      </c>
      <c r="AF2334" s="55" t="n">
        <f aca="false">AD2334+ROW()*0.000000001</f>
        <v>-2.95098007304279</v>
      </c>
      <c r="AG2334" s="55" t="n">
        <f aca="false">AE2334+ROW()*0.000000001</f>
        <v>45.0106337301988</v>
      </c>
    </row>
    <row r="2335" customFormat="false" ht="15" hidden="false" customHeight="false" outlineLevel="0" collapsed="false">
      <c r="A2335" s="0" t="n">
        <v>3</v>
      </c>
      <c r="B2335" s="0" t="n">
        <v>1</v>
      </c>
      <c r="C2335" s="0" t="n">
        <v>6</v>
      </c>
      <c r="D2335" s="0" t="n">
        <v>8</v>
      </c>
      <c r="E2335" s="0" t="n">
        <f aca="false">-1+A2335*0.25</f>
        <v>-0.25</v>
      </c>
      <c r="F2335" s="0" t="n">
        <f aca="false">-1+B2335*0.25</f>
        <v>-0.75</v>
      </c>
      <c r="G2335" s="0" t="n">
        <f aca="false">-1+C2335*0.25</f>
        <v>0.5</v>
      </c>
      <c r="H2335" s="0" t="n">
        <f aca="false">-1+D2335*0.25</f>
        <v>1</v>
      </c>
      <c r="I2335" s="0" t="n">
        <f aca="false">1</f>
        <v>1</v>
      </c>
      <c r="J2335" s="0" t="n">
        <f aca="false">E2335</f>
        <v>-0.25</v>
      </c>
      <c r="K2335" s="0" t="n">
        <f aca="false">F2335</f>
        <v>-0.75</v>
      </c>
      <c r="L2335" s="0" t="n">
        <f aca="false">G2335</f>
        <v>0.5</v>
      </c>
      <c r="M2335" s="0" t="n">
        <f aca="false">H2335</f>
        <v>1</v>
      </c>
      <c r="N2335" s="0" t="n">
        <f aca="false">E2335*F2335</f>
        <v>0.1875</v>
      </c>
      <c r="O2335" s="0" t="n">
        <f aca="false">E2335*G2335</f>
        <v>-0.125</v>
      </c>
      <c r="P2335" s="0" t="n">
        <f aca="false">E2335*H2335</f>
        <v>-0.25</v>
      </c>
      <c r="Q2335" s="0" t="n">
        <f aca="false">F2335*G2335</f>
        <v>-0.375</v>
      </c>
      <c r="R2335" s="0" t="n">
        <f aca="false">F2335*H2335</f>
        <v>-0.75</v>
      </c>
      <c r="S2335" s="0" t="n">
        <f aca="false">G2335*H2335</f>
        <v>0.5</v>
      </c>
      <c r="T2335" s="0" t="n">
        <f aca="false">E2335*E2335</f>
        <v>0.0625</v>
      </c>
      <c r="U2335" s="0" t="n">
        <f aca="false">F2335*F2335</f>
        <v>0.5625</v>
      </c>
      <c r="V2335" s="0" t="n">
        <f aca="false">G2335*G2335</f>
        <v>0.25</v>
      </c>
      <c r="W2335" s="0" t="n">
        <f aca="false">H2335*H2335</f>
        <v>1</v>
      </c>
      <c r="X2335" s="0" t="n">
        <f aca="false">SUMPRODUCT(I2335:W2335,_XtX!$B$96:$P$96)</f>
        <v>45.0126644736842</v>
      </c>
      <c r="Y2335" s="0" t="n">
        <f aca="false">SUMPRODUCT(MMULT(I2335:W2335,_XtX!$B$78:$P$92),I2335:W2335)</f>
        <v>0.459125719572369</v>
      </c>
      <c r="Z2335" s="0" t="n">
        <f aca="false">04_回帰ANOVA!$K$19*04_回帰ANOVA!$K$14*SQRT(1+Y2335)</f>
        <v>1.57450755575573</v>
      </c>
      <c r="AA2335" s="0" t="n">
        <f aca="false">X2335-Z2335</f>
        <v>43.4381569179285</v>
      </c>
      <c r="AB2335" s="0" t="n">
        <f aca="false">X2335+Z2335</f>
        <v>46.5871720294399</v>
      </c>
      <c r="AC2335" s="54" t="b">
        <f aca="false">AND(E2335&gt;=01_因子設定!$L$5-0.000000001,E2335&lt;=01_因子設定!$M$5+0.000000001,F2335&gt;=01_因子設定!$L$6-0.000000001,F2335&lt;=01_因子設定!$M$6+0.000000001,G2335&gt;=01_因子設定!$L$7-0.000000001,G2335&lt;=01_因子設定!$M$7+0.000000001,H2335&gt;=01_因子設定!$L$8-0.000000001,H2335&lt;=01_因子設定!$M$8+0.000000001,IF(01_因子設定!$B$20="Box-Behnken",E2335^2+F2335^2+G2335^2+H2335^2&lt;=2+0.000000001,TRUE()))</f>
        <v>1</v>
      </c>
      <c r="AD2335" s="55" t="n">
        <f aca="false">IF(AC2335,IF(01_因子設定!$B$13="最大化",AA2335-01_因子設定!$B$14,IF(01_因子設定!$B$13="最小化",01_因子設定!$B$15-AB2335,MIN(AA2335-01_因子設定!$B$14,01_因子設定!$B$15-AB2335))),-1E+030)</f>
        <v>-3.06184308207154</v>
      </c>
      <c r="AE2335" s="55" t="n">
        <f aca="false">IF(AC2335,IF(01_因子設定!$B$13="最大化",X2335,IF(01_因子設定!$B$13="最小化",-X2335,-ABS(X2335-01_因子設定!$B$16))),-1E+030)</f>
        <v>45.0126644736842</v>
      </c>
      <c r="AF2335" s="55" t="n">
        <f aca="false">AD2335+ROW()*0.000000001</f>
        <v>-3.06184074707154</v>
      </c>
      <c r="AG2335" s="55" t="n">
        <f aca="false">AE2335+ROW()*0.000000001</f>
        <v>45.0126668086842</v>
      </c>
    </row>
    <row r="2336" customFormat="false" ht="15" hidden="false" customHeight="false" outlineLevel="0" collapsed="false">
      <c r="A2336" s="0" t="n">
        <v>3</v>
      </c>
      <c r="B2336" s="0" t="n">
        <v>1</v>
      </c>
      <c r="C2336" s="0" t="n">
        <v>7</v>
      </c>
      <c r="D2336" s="0" t="n">
        <v>0</v>
      </c>
      <c r="E2336" s="0" t="n">
        <f aca="false">-1+A2336*0.25</f>
        <v>-0.25</v>
      </c>
      <c r="F2336" s="0" t="n">
        <f aca="false">-1+B2336*0.25</f>
        <v>-0.75</v>
      </c>
      <c r="G2336" s="0" t="n">
        <f aca="false">-1+C2336*0.25</f>
        <v>0.75</v>
      </c>
      <c r="H2336" s="0" t="n">
        <f aca="false">-1+D2336*0.25</f>
        <v>-1</v>
      </c>
      <c r="I2336" s="0" t="n">
        <f aca="false">1</f>
        <v>1</v>
      </c>
      <c r="J2336" s="0" t="n">
        <f aca="false">E2336</f>
        <v>-0.25</v>
      </c>
      <c r="K2336" s="0" t="n">
        <f aca="false">F2336</f>
        <v>-0.75</v>
      </c>
      <c r="L2336" s="0" t="n">
        <f aca="false">G2336</f>
        <v>0.75</v>
      </c>
      <c r="M2336" s="0" t="n">
        <f aca="false">H2336</f>
        <v>-1</v>
      </c>
      <c r="N2336" s="0" t="n">
        <f aca="false">E2336*F2336</f>
        <v>0.1875</v>
      </c>
      <c r="O2336" s="0" t="n">
        <f aca="false">E2336*G2336</f>
        <v>-0.1875</v>
      </c>
      <c r="P2336" s="0" t="n">
        <f aca="false">E2336*H2336</f>
        <v>0.25</v>
      </c>
      <c r="Q2336" s="0" t="n">
        <f aca="false">F2336*G2336</f>
        <v>-0.5625</v>
      </c>
      <c r="R2336" s="0" t="n">
        <f aca="false">F2336*H2336</f>
        <v>0.75</v>
      </c>
      <c r="S2336" s="0" t="n">
        <f aca="false">G2336*H2336</f>
        <v>-0.75</v>
      </c>
      <c r="T2336" s="0" t="n">
        <f aca="false">E2336*E2336</f>
        <v>0.0625</v>
      </c>
      <c r="U2336" s="0" t="n">
        <f aca="false">F2336*F2336</f>
        <v>0.5625</v>
      </c>
      <c r="V2336" s="0" t="n">
        <f aca="false">G2336*G2336</f>
        <v>0.5625</v>
      </c>
      <c r="W2336" s="0" t="n">
        <f aca="false">H2336*H2336</f>
        <v>1</v>
      </c>
      <c r="X2336" s="0" t="n">
        <f aca="false">SUMPRODUCT(I2336:W2336,_XtX!$B$96:$P$96)</f>
        <v>43.6005254020468</v>
      </c>
      <c r="Y2336" s="0" t="n">
        <f aca="false">SUMPRODUCT(MMULT(I2336:W2336,_XtX!$B$78:$P$92),I2336:W2336)</f>
        <v>0.473959761056287</v>
      </c>
      <c r="Z2336" s="0" t="n">
        <f aca="false">04_回帰ANOVA!$K$19*04_回帰ANOVA!$K$14*SQRT(1+Y2336)</f>
        <v>1.58249084588329</v>
      </c>
      <c r="AA2336" s="0" t="n">
        <f aca="false">X2336-Z2336</f>
        <v>42.0180345561635</v>
      </c>
      <c r="AB2336" s="0" t="n">
        <f aca="false">X2336+Z2336</f>
        <v>45.1830162479301</v>
      </c>
      <c r="AC2336" s="54" t="b">
        <f aca="false">AND(E2336&gt;=01_因子設定!$L$5-0.000000001,E2336&lt;=01_因子設定!$M$5+0.000000001,F2336&gt;=01_因子設定!$L$6-0.000000001,F2336&lt;=01_因子設定!$M$6+0.000000001,G2336&gt;=01_因子設定!$L$7-0.000000001,G2336&lt;=01_因子設定!$M$7+0.000000001,H2336&gt;=01_因子設定!$L$8-0.000000001,H2336&lt;=01_因子設定!$M$8+0.000000001,IF(01_因子設定!$B$20="Box-Behnken",E2336^2+F2336^2+G2336^2+H2336^2&lt;=2+0.000000001,TRUE()))</f>
        <v>1</v>
      </c>
      <c r="AD2336" s="55" t="n">
        <f aca="false">IF(AC2336,IF(01_因子設定!$B$13="最大化",AA2336-01_因子設定!$B$14,IF(01_因子設定!$B$13="最小化",01_因子設定!$B$15-AB2336,MIN(AA2336-01_因子設定!$B$14,01_因子設定!$B$15-AB2336))),-1E+030)</f>
        <v>-4.48196544383652</v>
      </c>
      <c r="AE2336" s="55" t="n">
        <f aca="false">IF(AC2336,IF(01_因子設定!$B$13="最大化",X2336,IF(01_因子設定!$B$13="最小化",-X2336,-ABS(X2336-01_因子設定!$B$16))),-1E+030)</f>
        <v>43.6005254020468</v>
      </c>
      <c r="AF2336" s="55" t="n">
        <f aca="false">AD2336+ROW()*0.000000001</f>
        <v>-4.48196310783652</v>
      </c>
      <c r="AG2336" s="55" t="n">
        <f aca="false">AE2336+ROW()*0.000000001</f>
        <v>43.6005277380468</v>
      </c>
    </row>
    <row r="2337" customFormat="false" ht="15" hidden="false" customHeight="false" outlineLevel="0" collapsed="false">
      <c r="A2337" s="0" t="n">
        <v>3</v>
      </c>
      <c r="B2337" s="0" t="n">
        <v>1</v>
      </c>
      <c r="C2337" s="0" t="n">
        <v>7</v>
      </c>
      <c r="D2337" s="0" t="n">
        <v>1</v>
      </c>
      <c r="E2337" s="0" t="n">
        <f aca="false">-1+A2337*0.25</f>
        <v>-0.25</v>
      </c>
      <c r="F2337" s="0" t="n">
        <f aca="false">-1+B2337*0.25</f>
        <v>-0.75</v>
      </c>
      <c r="G2337" s="0" t="n">
        <f aca="false">-1+C2337*0.25</f>
        <v>0.75</v>
      </c>
      <c r="H2337" s="0" t="n">
        <f aca="false">-1+D2337*0.25</f>
        <v>-0.75</v>
      </c>
      <c r="I2337" s="0" t="n">
        <f aca="false">1</f>
        <v>1</v>
      </c>
      <c r="J2337" s="0" t="n">
        <f aca="false">E2337</f>
        <v>-0.25</v>
      </c>
      <c r="K2337" s="0" t="n">
        <f aca="false">F2337</f>
        <v>-0.75</v>
      </c>
      <c r="L2337" s="0" t="n">
        <f aca="false">G2337</f>
        <v>0.75</v>
      </c>
      <c r="M2337" s="0" t="n">
        <f aca="false">H2337</f>
        <v>-0.75</v>
      </c>
      <c r="N2337" s="0" t="n">
        <f aca="false">E2337*F2337</f>
        <v>0.1875</v>
      </c>
      <c r="O2337" s="0" t="n">
        <f aca="false">E2337*G2337</f>
        <v>-0.1875</v>
      </c>
      <c r="P2337" s="0" t="n">
        <f aca="false">E2337*H2337</f>
        <v>0.1875</v>
      </c>
      <c r="Q2337" s="0" t="n">
        <f aca="false">F2337*G2337</f>
        <v>-0.5625</v>
      </c>
      <c r="R2337" s="0" t="n">
        <f aca="false">F2337*H2337</f>
        <v>0.5625</v>
      </c>
      <c r="S2337" s="0" t="n">
        <f aca="false">G2337*H2337</f>
        <v>-0.5625</v>
      </c>
      <c r="T2337" s="0" t="n">
        <f aca="false">E2337*E2337</f>
        <v>0.0625</v>
      </c>
      <c r="U2337" s="0" t="n">
        <f aca="false">F2337*F2337</f>
        <v>0.5625</v>
      </c>
      <c r="V2337" s="0" t="n">
        <f aca="false">G2337*G2337</f>
        <v>0.5625</v>
      </c>
      <c r="W2337" s="0" t="n">
        <f aca="false">H2337*H2337</f>
        <v>0.5625</v>
      </c>
      <c r="X2337" s="0" t="n">
        <f aca="false">SUMPRODUCT(I2337:W2337,_XtX!$B$96:$P$96)</f>
        <v>43.9551763523391</v>
      </c>
      <c r="Y2337" s="0" t="n">
        <f aca="false">SUMPRODUCT(MMULT(I2337:W2337,_XtX!$B$78:$P$92),I2337:W2337)</f>
        <v>0.294856199744152</v>
      </c>
      <c r="Z2337" s="0" t="n">
        <f aca="false">04_回帰ANOVA!$K$19*04_回帰ANOVA!$K$14*SQRT(1+Y2337)</f>
        <v>1.48323226089013</v>
      </c>
      <c r="AA2337" s="0" t="n">
        <f aca="false">X2337-Z2337</f>
        <v>42.471944091449</v>
      </c>
      <c r="AB2337" s="0" t="n">
        <f aca="false">X2337+Z2337</f>
        <v>45.4384086132293</v>
      </c>
      <c r="AC2337" s="54" t="b">
        <f aca="false">AND(E2337&gt;=01_因子設定!$L$5-0.000000001,E2337&lt;=01_因子設定!$M$5+0.000000001,F2337&gt;=01_因子設定!$L$6-0.000000001,F2337&lt;=01_因子設定!$M$6+0.000000001,G2337&gt;=01_因子設定!$L$7-0.000000001,G2337&lt;=01_因子設定!$M$7+0.000000001,H2337&gt;=01_因子設定!$L$8-0.000000001,H2337&lt;=01_因子設定!$M$8+0.000000001,IF(01_因子設定!$B$20="Box-Behnken",E2337^2+F2337^2+G2337^2+H2337^2&lt;=2+0.000000001,TRUE()))</f>
        <v>1</v>
      </c>
      <c r="AD2337" s="55" t="n">
        <f aca="false">IF(AC2337,IF(01_因子設定!$B$13="最大化",AA2337-01_因子設定!$B$14,IF(01_因子設定!$B$13="最小化",01_因子設定!$B$15-AB2337,MIN(AA2337-01_因子設定!$B$14,01_因子設定!$B$15-AB2337))),-1E+030)</f>
        <v>-4.02805590855099</v>
      </c>
      <c r="AE2337" s="55" t="n">
        <f aca="false">IF(AC2337,IF(01_因子設定!$B$13="最大化",X2337,IF(01_因子設定!$B$13="最小化",-X2337,-ABS(X2337-01_因子設定!$B$16))),-1E+030)</f>
        <v>43.9551763523391</v>
      </c>
      <c r="AF2337" s="55" t="n">
        <f aca="false">AD2337+ROW()*0.000000001</f>
        <v>-4.02805357155099</v>
      </c>
      <c r="AG2337" s="55" t="n">
        <f aca="false">AE2337+ROW()*0.000000001</f>
        <v>43.9551786893391</v>
      </c>
    </row>
    <row r="2338" customFormat="false" ht="15" hidden="false" customHeight="false" outlineLevel="0" collapsed="false">
      <c r="A2338" s="0" t="n">
        <v>3</v>
      </c>
      <c r="B2338" s="0" t="n">
        <v>1</v>
      </c>
      <c r="C2338" s="0" t="n">
        <v>7</v>
      </c>
      <c r="D2338" s="0" t="n">
        <v>2</v>
      </c>
      <c r="E2338" s="0" t="n">
        <f aca="false">-1+A2338*0.25</f>
        <v>-0.25</v>
      </c>
      <c r="F2338" s="0" t="n">
        <f aca="false">-1+B2338*0.25</f>
        <v>-0.75</v>
      </c>
      <c r="G2338" s="0" t="n">
        <f aca="false">-1+C2338*0.25</f>
        <v>0.75</v>
      </c>
      <c r="H2338" s="0" t="n">
        <f aca="false">-1+D2338*0.25</f>
        <v>-0.5</v>
      </c>
      <c r="I2338" s="0" t="n">
        <f aca="false">1</f>
        <v>1</v>
      </c>
      <c r="J2338" s="0" t="n">
        <f aca="false">E2338</f>
        <v>-0.25</v>
      </c>
      <c r="K2338" s="0" t="n">
        <f aca="false">F2338</f>
        <v>-0.75</v>
      </c>
      <c r="L2338" s="0" t="n">
        <f aca="false">G2338</f>
        <v>0.75</v>
      </c>
      <c r="M2338" s="0" t="n">
        <f aca="false">H2338</f>
        <v>-0.5</v>
      </c>
      <c r="N2338" s="0" t="n">
        <f aca="false">E2338*F2338</f>
        <v>0.1875</v>
      </c>
      <c r="O2338" s="0" t="n">
        <f aca="false">E2338*G2338</f>
        <v>-0.1875</v>
      </c>
      <c r="P2338" s="0" t="n">
        <f aca="false">E2338*H2338</f>
        <v>0.125</v>
      </c>
      <c r="Q2338" s="0" t="n">
        <f aca="false">F2338*G2338</f>
        <v>-0.5625</v>
      </c>
      <c r="R2338" s="0" t="n">
        <f aca="false">F2338*H2338</f>
        <v>0.375</v>
      </c>
      <c r="S2338" s="0" t="n">
        <f aca="false">G2338*H2338</f>
        <v>-0.375</v>
      </c>
      <c r="T2338" s="0" t="n">
        <f aca="false">E2338*E2338</f>
        <v>0.0625</v>
      </c>
      <c r="U2338" s="0" t="n">
        <f aca="false">F2338*F2338</f>
        <v>0.5625</v>
      </c>
      <c r="V2338" s="0" t="n">
        <f aca="false">G2338*G2338</f>
        <v>0.5625</v>
      </c>
      <c r="W2338" s="0" t="n">
        <f aca="false">H2338*H2338</f>
        <v>0.25</v>
      </c>
      <c r="X2338" s="0" t="n">
        <f aca="false">SUMPRODUCT(I2338:W2338,_XtX!$B$96:$P$96)</f>
        <v>44.2620202850877</v>
      </c>
      <c r="Y2338" s="0" t="n">
        <f aca="false">SUMPRODUCT(MMULT(I2338:W2338,_XtX!$B$78:$P$92),I2338:W2338)</f>
        <v>0.257385610836988</v>
      </c>
      <c r="Z2338" s="0" t="n">
        <f aca="false">04_回帰ANOVA!$K$19*04_回帰ANOVA!$K$14*SQRT(1+Y2338)</f>
        <v>1.46161380324158</v>
      </c>
      <c r="AA2338" s="0" t="n">
        <f aca="false">X2338-Z2338</f>
        <v>42.8004064818461</v>
      </c>
      <c r="AB2338" s="0" t="n">
        <f aca="false">X2338+Z2338</f>
        <v>45.7236340883293</v>
      </c>
      <c r="AC2338" s="54" t="b">
        <f aca="false">AND(E2338&gt;=01_因子設定!$L$5-0.000000001,E2338&lt;=01_因子設定!$M$5+0.000000001,F2338&gt;=01_因子設定!$L$6-0.000000001,F2338&lt;=01_因子設定!$M$6+0.000000001,G2338&gt;=01_因子設定!$L$7-0.000000001,G2338&lt;=01_因子設定!$M$7+0.000000001,H2338&gt;=01_因子設定!$L$8-0.000000001,H2338&lt;=01_因子設定!$M$8+0.000000001,IF(01_因子設定!$B$20="Box-Behnken",E2338^2+F2338^2+G2338^2+H2338^2&lt;=2+0.000000001,TRUE()))</f>
        <v>1</v>
      </c>
      <c r="AD2338" s="55" t="n">
        <f aca="false">IF(AC2338,IF(01_因子設定!$B$13="最大化",AA2338-01_因子設定!$B$14,IF(01_因子設定!$B$13="最小化",01_因子設定!$B$15-AB2338,MIN(AA2338-01_因子設定!$B$14,01_因子設定!$B$15-AB2338))),-1E+030)</f>
        <v>-3.69959351815391</v>
      </c>
      <c r="AE2338" s="55" t="n">
        <f aca="false">IF(AC2338,IF(01_因子設定!$B$13="最大化",X2338,IF(01_因子設定!$B$13="最小化",-X2338,-ABS(X2338-01_因子設定!$B$16))),-1E+030)</f>
        <v>44.2620202850877</v>
      </c>
      <c r="AF2338" s="55" t="n">
        <f aca="false">AD2338+ROW()*0.000000001</f>
        <v>-3.69959118015391</v>
      </c>
      <c r="AG2338" s="55" t="n">
        <f aca="false">AE2338+ROW()*0.000000001</f>
        <v>44.2620226230877</v>
      </c>
    </row>
    <row r="2339" customFormat="false" ht="15" hidden="false" customHeight="false" outlineLevel="0" collapsed="false">
      <c r="A2339" s="0" t="n">
        <v>3</v>
      </c>
      <c r="B2339" s="0" t="n">
        <v>1</v>
      </c>
      <c r="C2339" s="0" t="n">
        <v>7</v>
      </c>
      <c r="D2339" s="0" t="n">
        <v>3</v>
      </c>
      <c r="E2339" s="0" t="n">
        <f aca="false">-1+A2339*0.25</f>
        <v>-0.25</v>
      </c>
      <c r="F2339" s="0" t="n">
        <f aca="false">-1+B2339*0.25</f>
        <v>-0.75</v>
      </c>
      <c r="G2339" s="0" t="n">
        <f aca="false">-1+C2339*0.25</f>
        <v>0.75</v>
      </c>
      <c r="H2339" s="0" t="n">
        <f aca="false">-1+D2339*0.25</f>
        <v>-0.25</v>
      </c>
      <c r="I2339" s="0" t="n">
        <f aca="false">1</f>
        <v>1</v>
      </c>
      <c r="J2339" s="0" t="n">
        <f aca="false">E2339</f>
        <v>-0.25</v>
      </c>
      <c r="K2339" s="0" t="n">
        <f aca="false">F2339</f>
        <v>-0.75</v>
      </c>
      <c r="L2339" s="0" t="n">
        <f aca="false">G2339</f>
        <v>0.75</v>
      </c>
      <c r="M2339" s="0" t="n">
        <f aca="false">H2339</f>
        <v>-0.25</v>
      </c>
      <c r="N2339" s="0" t="n">
        <f aca="false">E2339*F2339</f>
        <v>0.1875</v>
      </c>
      <c r="O2339" s="0" t="n">
        <f aca="false">E2339*G2339</f>
        <v>-0.1875</v>
      </c>
      <c r="P2339" s="0" t="n">
        <f aca="false">E2339*H2339</f>
        <v>0.0625</v>
      </c>
      <c r="Q2339" s="0" t="n">
        <f aca="false">F2339*G2339</f>
        <v>-0.5625</v>
      </c>
      <c r="R2339" s="0" t="n">
        <f aca="false">F2339*H2339</f>
        <v>0.1875</v>
      </c>
      <c r="S2339" s="0" t="n">
        <f aca="false">G2339*H2339</f>
        <v>-0.1875</v>
      </c>
      <c r="T2339" s="0" t="n">
        <f aca="false">E2339*E2339</f>
        <v>0.0625</v>
      </c>
      <c r="U2339" s="0" t="n">
        <f aca="false">F2339*F2339</f>
        <v>0.5625</v>
      </c>
      <c r="V2339" s="0" t="n">
        <f aca="false">G2339*G2339</f>
        <v>0.5625</v>
      </c>
      <c r="W2339" s="0" t="n">
        <f aca="false">H2339*H2339</f>
        <v>0.0625</v>
      </c>
      <c r="X2339" s="0" t="n">
        <f aca="false">SUMPRODUCT(I2339:W2339,_XtX!$B$96:$P$96)</f>
        <v>44.5210572002923</v>
      </c>
      <c r="Y2339" s="0" t="n">
        <f aca="false">SUMPRODUCT(MMULT(I2339:W2339,_XtX!$B$78:$P$92),I2339:W2339)</f>
        <v>0.271087468019006</v>
      </c>
      <c r="Z2339" s="0" t="n">
        <f aca="false">04_回帰ANOVA!$K$19*04_回帰ANOVA!$K$14*SQRT(1+Y2339)</f>
        <v>1.46955590155034</v>
      </c>
      <c r="AA2339" s="0" t="n">
        <f aca="false">X2339-Z2339</f>
        <v>43.051501298742</v>
      </c>
      <c r="AB2339" s="0" t="n">
        <f aca="false">X2339+Z2339</f>
        <v>45.9906131018427</v>
      </c>
      <c r="AC2339" s="54" t="b">
        <f aca="false">AND(E2339&gt;=01_因子設定!$L$5-0.000000001,E2339&lt;=01_因子設定!$M$5+0.000000001,F2339&gt;=01_因子設定!$L$6-0.000000001,F2339&lt;=01_因子設定!$M$6+0.000000001,G2339&gt;=01_因子設定!$L$7-0.000000001,G2339&lt;=01_因子設定!$M$7+0.000000001,H2339&gt;=01_因子設定!$L$8-0.000000001,H2339&lt;=01_因子設定!$M$8+0.000000001,IF(01_因子設定!$B$20="Box-Behnken",E2339^2+F2339^2+G2339^2+H2339^2&lt;=2+0.000000001,TRUE()))</f>
        <v>1</v>
      </c>
      <c r="AD2339" s="55" t="n">
        <f aca="false">IF(AC2339,IF(01_因子設定!$B$13="最大化",AA2339-01_因子設定!$B$14,IF(01_因子設定!$B$13="最小化",01_因子設定!$B$15-AB2339,MIN(AA2339-01_因子設定!$B$14,01_因子設定!$B$15-AB2339))),-1E+030)</f>
        <v>-3.448498701258</v>
      </c>
      <c r="AE2339" s="55" t="n">
        <f aca="false">IF(AC2339,IF(01_因子設定!$B$13="最大化",X2339,IF(01_因子設定!$B$13="最小化",-X2339,-ABS(X2339-01_因子設定!$B$16))),-1E+030)</f>
        <v>44.5210572002923</v>
      </c>
      <c r="AF2339" s="55" t="n">
        <f aca="false">AD2339+ROW()*0.000000001</f>
        <v>-3.448496362258</v>
      </c>
      <c r="AG2339" s="55" t="n">
        <f aca="false">AE2339+ROW()*0.000000001</f>
        <v>44.5210595392923</v>
      </c>
    </row>
    <row r="2340" customFormat="false" ht="15" hidden="false" customHeight="false" outlineLevel="0" collapsed="false">
      <c r="A2340" s="0" t="n">
        <v>3</v>
      </c>
      <c r="B2340" s="0" t="n">
        <v>1</v>
      </c>
      <c r="C2340" s="0" t="n">
        <v>7</v>
      </c>
      <c r="D2340" s="0" t="n">
        <v>4</v>
      </c>
      <c r="E2340" s="0" t="n">
        <f aca="false">-1+A2340*0.25</f>
        <v>-0.25</v>
      </c>
      <c r="F2340" s="0" t="n">
        <f aca="false">-1+B2340*0.25</f>
        <v>-0.75</v>
      </c>
      <c r="G2340" s="0" t="n">
        <f aca="false">-1+C2340*0.25</f>
        <v>0.75</v>
      </c>
      <c r="H2340" s="0" t="n">
        <f aca="false">-1+D2340*0.25</f>
        <v>0</v>
      </c>
      <c r="I2340" s="0" t="n">
        <f aca="false">1</f>
        <v>1</v>
      </c>
      <c r="J2340" s="0" t="n">
        <f aca="false">E2340</f>
        <v>-0.25</v>
      </c>
      <c r="K2340" s="0" t="n">
        <f aca="false">F2340</f>
        <v>-0.75</v>
      </c>
      <c r="L2340" s="0" t="n">
        <f aca="false">G2340</f>
        <v>0.75</v>
      </c>
      <c r="M2340" s="0" t="n">
        <f aca="false">H2340</f>
        <v>0</v>
      </c>
      <c r="N2340" s="0" t="n">
        <f aca="false">E2340*F2340</f>
        <v>0.1875</v>
      </c>
      <c r="O2340" s="0" t="n">
        <f aca="false">E2340*G2340</f>
        <v>-0.1875</v>
      </c>
      <c r="P2340" s="0" t="n">
        <f aca="false">E2340*H2340</f>
        <v>-0</v>
      </c>
      <c r="Q2340" s="0" t="n">
        <f aca="false">F2340*G2340</f>
        <v>-0.5625</v>
      </c>
      <c r="R2340" s="0" t="n">
        <f aca="false">F2340*H2340</f>
        <v>-0</v>
      </c>
      <c r="S2340" s="0" t="n">
        <f aca="false">G2340*H2340</f>
        <v>0</v>
      </c>
      <c r="T2340" s="0" t="n">
        <f aca="false">E2340*E2340</f>
        <v>0.0625</v>
      </c>
      <c r="U2340" s="0" t="n">
        <f aca="false">F2340*F2340</f>
        <v>0.5625</v>
      </c>
      <c r="V2340" s="0" t="n">
        <f aca="false">G2340*G2340</f>
        <v>0.5625</v>
      </c>
      <c r="W2340" s="0" t="n">
        <f aca="false">H2340*H2340</f>
        <v>0</v>
      </c>
      <c r="X2340" s="0" t="n">
        <f aca="false">SUMPRODUCT(I2340:W2340,_XtX!$B$96:$P$96)</f>
        <v>44.7322870979532</v>
      </c>
      <c r="Y2340" s="0" t="n">
        <f aca="false">SUMPRODUCT(MMULT(I2340:W2340,_XtX!$B$78:$P$92),I2340:W2340)</f>
        <v>0.281685455500731</v>
      </c>
      <c r="Z2340" s="0" t="n">
        <f aca="false">04_回帰ANOVA!$K$19*04_回帰ANOVA!$K$14*SQRT(1+Y2340)</f>
        <v>1.47566956658694</v>
      </c>
      <c r="AA2340" s="0" t="n">
        <f aca="false">X2340-Z2340</f>
        <v>43.2566175313662</v>
      </c>
      <c r="AB2340" s="0" t="n">
        <f aca="false">X2340+Z2340</f>
        <v>46.2079566645401</v>
      </c>
      <c r="AC2340" s="54" t="b">
        <f aca="false">AND(E2340&gt;=01_因子設定!$L$5-0.000000001,E2340&lt;=01_因子設定!$M$5+0.000000001,F2340&gt;=01_因子設定!$L$6-0.000000001,F2340&lt;=01_因子設定!$M$6+0.000000001,G2340&gt;=01_因子設定!$L$7-0.000000001,G2340&lt;=01_因子設定!$M$7+0.000000001,H2340&gt;=01_因子設定!$L$8-0.000000001,H2340&lt;=01_因子設定!$M$8+0.000000001,IF(01_因子設定!$B$20="Box-Behnken",E2340^2+F2340^2+G2340^2+H2340^2&lt;=2+0.000000001,TRUE()))</f>
        <v>1</v>
      </c>
      <c r="AD2340" s="55" t="n">
        <f aca="false">IF(AC2340,IF(01_因子設定!$B$13="最大化",AA2340-01_因子設定!$B$14,IF(01_因子設定!$B$13="最小化",01_因子設定!$B$15-AB2340,MIN(AA2340-01_因子設定!$B$14,01_因子設定!$B$15-AB2340))),-1E+030)</f>
        <v>-3.24338246863378</v>
      </c>
      <c r="AE2340" s="55" t="n">
        <f aca="false">IF(AC2340,IF(01_因子設定!$B$13="最大化",X2340,IF(01_因子設定!$B$13="最小化",-X2340,-ABS(X2340-01_因子設定!$B$16))),-1E+030)</f>
        <v>44.7322870979532</v>
      </c>
      <c r="AF2340" s="55" t="n">
        <f aca="false">AD2340+ROW()*0.000000001</f>
        <v>-3.24338012863378</v>
      </c>
      <c r="AG2340" s="55" t="n">
        <f aca="false">AE2340+ROW()*0.000000001</f>
        <v>44.7322894379532</v>
      </c>
    </row>
    <row r="2341" customFormat="false" ht="15" hidden="false" customHeight="false" outlineLevel="0" collapsed="false">
      <c r="A2341" s="0" t="n">
        <v>3</v>
      </c>
      <c r="B2341" s="0" t="n">
        <v>1</v>
      </c>
      <c r="C2341" s="0" t="n">
        <v>7</v>
      </c>
      <c r="D2341" s="0" t="n">
        <v>5</v>
      </c>
      <c r="E2341" s="0" t="n">
        <f aca="false">-1+A2341*0.25</f>
        <v>-0.25</v>
      </c>
      <c r="F2341" s="0" t="n">
        <f aca="false">-1+B2341*0.25</f>
        <v>-0.75</v>
      </c>
      <c r="G2341" s="0" t="n">
        <f aca="false">-1+C2341*0.25</f>
        <v>0.75</v>
      </c>
      <c r="H2341" s="0" t="n">
        <f aca="false">-1+D2341*0.25</f>
        <v>0.25</v>
      </c>
      <c r="I2341" s="0" t="n">
        <f aca="false">1</f>
        <v>1</v>
      </c>
      <c r="J2341" s="0" t="n">
        <f aca="false">E2341</f>
        <v>-0.25</v>
      </c>
      <c r="K2341" s="0" t="n">
        <f aca="false">F2341</f>
        <v>-0.75</v>
      </c>
      <c r="L2341" s="0" t="n">
        <f aca="false">G2341</f>
        <v>0.75</v>
      </c>
      <c r="M2341" s="0" t="n">
        <f aca="false">H2341</f>
        <v>0.25</v>
      </c>
      <c r="N2341" s="0" t="n">
        <f aca="false">E2341*F2341</f>
        <v>0.1875</v>
      </c>
      <c r="O2341" s="0" t="n">
        <f aca="false">E2341*G2341</f>
        <v>-0.1875</v>
      </c>
      <c r="P2341" s="0" t="n">
        <f aca="false">E2341*H2341</f>
        <v>-0.0625</v>
      </c>
      <c r="Q2341" s="0" t="n">
        <f aca="false">F2341*G2341</f>
        <v>-0.5625</v>
      </c>
      <c r="R2341" s="0" t="n">
        <f aca="false">F2341*H2341</f>
        <v>-0.1875</v>
      </c>
      <c r="S2341" s="0" t="n">
        <f aca="false">G2341*H2341</f>
        <v>0.1875</v>
      </c>
      <c r="T2341" s="0" t="n">
        <f aca="false">E2341*E2341</f>
        <v>0.0625</v>
      </c>
      <c r="U2341" s="0" t="n">
        <f aca="false">F2341*F2341</f>
        <v>0.5625</v>
      </c>
      <c r="V2341" s="0" t="n">
        <f aca="false">G2341*G2341</f>
        <v>0.5625</v>
      </c>
      <c r="W2341" s="0" t="n">
        <f aca="false">H2341*H2341</f>
        <v>0.0625</v>
      </c>
      <c r="X2341" s="0" t="n">
        <f aca="false">SUMPRODUCT(I2341:W2341,_XtX!$B$96:$P$96)</f>
        <v>44.8957099780701</v>
      </c>
      <c r="Y2341" s="0" t="n">
        <f aca="false">SUMPRODUCT(MMULT(I2341:W2341,_XtX!$B$78:$P$92),I2341:W2341)</f>
        <v>0.271087468019006</v>
      </c>
      <c r="Z2341" s="0" t="n">
        <f aca="false">04_回帰ANOVA!$K$19*04_回帰ANOVA!$K$14*SQRT(1+Y2341)</f>
        <v>1.46955590155034</v>
      </c>
      <c r="AA2341" s="0" t="n">
        <f aca="false">X2341-Z2341</f>
        <v>43.4261540765198</v>
      </c>
      <c r="AB2341" s="0" t="n">
        <f aca="false">X2341+Z2341</f>
        <v>46.3652658796205</v>
      </c>
      <c r="AC2341" s="54" t="b">
        <f aca="false">AND(E2341&gt;=01_因子設定!$L$5-0.000000001,E2341&lt;=01_因子設定!$M$5+0.000000001,F2341&gt;=01_因子設定!$L$6-0.000000001,F2341&lt;=01_因子設定!$M$6+0.000000001,G2341&gt;=01_因子設定!$L$7-0.000000001,G2341&lt;=01_因子設定!$M$7+0.000000001,H2341&gt;=01_因子設定!$L$8-0.000000001,H2341&lt;=01_因子設定!$M$8+0.000000001,IF(01_因子設定!$B$20="Box-Behnken",E2341^2+F2341^2+G2341^2+H2341^2&lt;=2+0.000000001,TRUE()))</f>
        <v>1</v>
      </c>
      <c r="AD2341" s="55" t="n">
        <f aca="false">IF(AC2341,IF(01_因子設定!$B$13="最大化",AA2341-01_因子設定!$B$14,IF(01_因子設定!$B$13="最小化",01_因子設定!$B$15-AB2341,MIN(AA2341-01_因子設定!$B$14,01_因子設定!$B$15-AB2341))),-1E+030)</f>
        <v>-3.07384592348023</v>
      </c>
      <c r="AE2341" s="55" t="n">
        <f aca="false">IF(AC2341,IF(01_因子設定!$B$13="最大化",X2341,IF(01_因子設定!$B$13="最小化",-X2341,-ABS(X2341-01_因子設定!$B$16))),-1E+030)</f>
        <v>44.8957099780701</v>
      </c>
      <c r="AF2341" s="55" t="n">
        <f aca="false">AD2341+ROW()*0.000000001</f>
        <v>-3.07384358248023</v>
      </c>
      <c r="AG2341" s="55" t="n">
        <f aca="false">AE2341+ROW()*0.000000001</f>
        <v>44.8957123190701</v>
      </c>
    </row>
    <row r="2342" customFormat="false" ht="15" hidden="false" customHeight="false" outlineLevel="0" collapsed="false">
      <c r="A2342" s="0" t="n">
        <v>3</v>
      </c>
      <c r="B2342" s="0" t="n">
        <v>1</v>
      </c>
      <c r="C2342" s="0" t="n">
        <v>7</v>
      </c>
      <c r="D2342" s="0" t="n">
        <v>6</v>
      </c>
      <c r="E2342" s="0" t="n">
        <f aca="false">-1+A2342*0.25</f>
        <v>-0.25</v>
      </c>
      <c r="F2342" s="0" t="n">
        <f aca="false">-1+B2342*0.25</f>
        <v>-0.75</v>
      </c>
      <c r="G2342" s="0" t="n">
        <f aca="false">-1+C2342*0.25</f>
        <v>0.75</v>
      </c>
      <c r="H2342" s="0" t="n">
        <f aca="false">-1+D2342*0.25</f>
        <v>0.5</v>
      </c>
      <c r="I2342" s="0" t="n">
        <f aca="false">1</f>
        <v>1</v>
      </c>
      <c r="J2342" s="0" t="n">
        <f aca="false">E2342</f>
        <v>-0.25</v>
      </c>
      <c r="K2342" s="0" t="n">
        <f aca="false">F2342</f>
        <v>-0.75</v>
      </c>
      <c r="L2342" s="0" t="n">
        <f aca="false">G2342</f>
        <v>0.75</v>
      </c>
      <c r="M2342" s="0" t="n">
        <f aca="false">H2342</f>
        <v>0.5</v>
      </c>
      <c r="N2342" s="0" t="n">
        <f aca="false">E2342*F2342</f>
        <v>0.1875</v>
      </c>
      <c r="O2342" s="0" t="n">
        <f aca="false">E2342*G2342</f>
        <v>-0.1875</v>
      </c>
      <c r="P2342" s="0" t="n">
        <f aca="false">E2342*H2342</f>
        <v>-0.125</v>
      </c>
      <c r="Q2342" s="0" t="n">
        <f aca="false">F2342*G2342</f>
        <v>-0.5625</v>
      </c>
      <c r="R2342" s="0" t="n">
        <f aca="false">F2342*H2342</f>
        <v>-0.375</v>
      </c>
      <c r="S2342" s="0" t="n">
        <f aca="false">G2342*H2342</f>
        <v>0.375</v>
      </c>
      <c r="T2342" s="0" t="n">
        <f aca="false">E2342*E2342</f>
        <v>0.0625</v>
      </c>
      <c r="U2342" s="0" t="n">
        <f aca="false">F2342*F2342</f>
        <v>0.5625</v>
      </c>
      <c r="V2342" s="0" t="n">
        <f aca="false">G2342*G2342</f>
        <v>0.5625</v>
      </c>
      <c r="W2342" s="0" t="n">
        <f aca="false">H2342*H2342</f>
        <v>0.25</v>
      </c>
      <c r="X2342" s="0" t="n">
        <f aca="false">SUMPRODUCT(I2342:W2342,_XtX!$B$96:$P$96)</f>
        <v>45.0113258406432</v>
      </c>
      <c r="Y2342" s="0" t="n">
        <f aca="false">SUMPRODUCT(MMULT(I2342:W2342,_XtX!$B$78:$P$92),I2342:W2342)</f>
        <v>0.257385610836988</v>
      </c>
      <c r="Z2342" s="0" t="n">
        <f aca="false">04_回帰ANOVA!$K$19*04_回帰ANOVA!$K$14*SQRT(1+Y2342)</f>
        <v>1.46161380324158</v>
      </c>
      <c r="AA2342" s="0" t="n">
        <f aca="false">X2342-Z2342</f>
        <v>43.5497120374016</v>
      </c>
      <c r="AB2342" s="0" t="n">
        <f aca="false">X2342+Z2342</f>
        <v>46.4729396438848</v>
      </c>
      <c r="AC2342" s="54" t="b">
        <f aca="false">AND(E2342&gt;=01_因子設定!$L$5-0.000000001,E2342&lt;=01_因子設定!$M$5+0.000000001,F2342&gt;=01_因子設定!$L$6-0.000000001,F2342&lt;=01_因子設定!$M$6+0.000000001,G2342&gt;=01_因子設定!$L$7-0.000000001,G2342&lt;=01_因子設定!$M$7+0.000000001,H2342&gt;=01_因子設定!$L$8-0.000000001,H2342&lt;=01_因子設定!$M$8+0.000000001,IF(01_因子設定!$B$20="Box-Behnken",E2342^2+F2342^2+G2342^2+H2342^2&lt;=2+0.000000001,TRUE()))</f>
        <v>1</v>
      </c>
      <c r="AD2342" s="55" t="n">
        <f aca="false">IF(AC2342,IF(01_因子設定!$B$13="最大化",AA2342-01_因子設定!$B$14,IF(01_因子設定!$B$13="最小化",01_因子設定!$B$15-AB2342,MIN(AA2342-01_因子設定!$B$14,01_因子設定!$B$15-AB2342))),-1E+030)</f>
        <v>-2.95028796259836</v>
      </c>
      <c r="AE2342" s="55" t="n">
        <f aca="false">IF(AC2342,IF(01_因子設定!$B$13="最大化",X2342,IF(01_因子設定!$B$13="最小化",-X2342,-ABS(X2342-01_因子設定!$B$16))),-1E+030)</f>
        <v>45.0113258406432</v>
      </c>
      <c r="AF2342" s="55" t="n">
        <f aca="false">AD2342+ROW()*0.000000001</f>
        <v>-2.95028562059836</v>
      </c>
      <c r="AG2342" s="55" t="n">
        <f aca="false">AE2342+ROW()*0.000000001</f>
        <v>45.0113281826432</v>
      </c>
    </row>
    <row r="2343" customFormat="false" ht="15" hidden="false" customHeight="false" outlineLevel="0" collapsed="false">
      <c r="A2343" s="0" t="n">
        <v>3</v>
      </c>
      <c r="B2343" s="0" t="n">
        <v>1</v>
      </c>
      <c r="C2343" s="0" t="n">
        <v>7</v>
      </c>
      <c r="D2343" s="0" t="n">
        <v>7</v>
      </c>
      <c r="E2343" s="0" t="n">
        <f aca="false">-1+A2343*0.25</f>
        <v>-0.25</v>
      </c>
      <c r="F2343" s="0" t="n">
        <f aca="false">-1+B2343*0.25</f>
        <v>-0.75</v>
      </c>
      <c r="G2343" s="0" t="n">
        <f aca="false">-1+C2343*0.25</f>
        <v>0.75</v>
      </c>
      <c r="H2343" s="0" t="n">
        <f aca="false">-1+D2343*0.25</f>
        <v>0.75</v>
      </c>
      <c r="I2343" s="0" t="n">
        <f aca="false">1</f>
        <v>1</v>
      </c>
      <c r="J2343" s="0" t="n">
        <f aca="false">E2343</f>
        <v>-0.25</v>
      </c>
      <c r="K2343" s="0" t="n">
        <f aca="false">F2343</f>
        <v>-0.75</v>
      </c>
      <c r="L2343" s="0" t="n">
        <f aca="false">G2343</f>
        <v>0.75</v>
      </c>
      <c r="M2343" s="0" t="n">
        <f aca="false">H2343</f>
        <v>0.75</v>
      </c>
      <c r="N2343" s="0" t="n">
        <f aca="false">E2343*F2343</f>
        <v>0.1875</v>
      </c>
      <c r="O2343" s="0" t="n">
        <f aca="false">E2343*G2343</f>
        <v>-0.1875</v>
      </c>
      <c r="P2343" s="0" t="n">
        <f aca="false">E2343*H2343</f>
        <v>-0.1875</v>
      </c>
      <c r="Q2343" s="0" t="n">
        <f aca="false">F2343*G2343</f>
        <v>-0.5625</v>
      </c>
      <c r="R2343" s="0" t="n">
        <f aca="false">F2343*H2343</f>
        <v>-0.5625</v>
      </c>
      <c r="S2343" s="0" t="n">
        <f aca="false">G2343*H2343</f>
        <v>0.5625</v>
      </c>
      <c r="T2343" s="0" t="n">
        <f aca="false">E2343*E2343</f>
        <v>0.0625</v>
      </c>
      <c r="U2343" s="0" t="n">
        <f aca="false">F2343*F2343</f>
        <v>0.5625</v>
      </c>
      <c r="V2343" s="0" t="n">
        <f aca="false">G2343*G2343</f>
        <v>0.5625</v>
      </c>
      <c r="W2343" s="0" t="n">
        <f aca="false">H2343*H2343</f>
        <v>0.5625</v>
      </c>
      <c r="X2343" s="0" t="n">
        <f aca="false">SUMPRODUCT(I2343:W2343,_XtX!$B$96:$P$96)</f>
        <v>45.0791346856725</v>
      </c>
      <c r="Y2343" s="0" t="n">
        <f aca="false">SUMPRODUCT(MMULT(I2343:W2343,_XtX!$B$78:$P$92),I2343:W2343)</f>
        <v>0.294856199744152</v>
      </c>
      <c r="Z2343" s="0" t="n">
        <f aca="false">04_回帰ANOVA!$K$19*04_回帰ANOVA!$K$14*SQRT(1+Y2343)</f>
        <v>1.48323226089013</v>
      </c>
      <c r="AA2343" s="0" t="n">
        <f aca="false">X2343-Z2343</f>
        <v>43.5959024247823</v>
      </c>
      <c r="AB2343" s="0" t="n">
        <f aca="false">X2343+Z2343</f>
        <v>46.5623669465626</v>
      </c>
      <c r="AC2343" s="54" t="b">
        <f aca="false">AND(E2343&gt;=01_因子設定!$L$5-0.000000001,E2343&lt;=01_因子設定!$M$5+0.000000001,F2343&gt;=01_因子設定!$L$6-0.000000001,F2343&lt;=01_因子設定!$M$6+0.000000001,G2343&gt;=01_因子設定!$L$7-0.000000001,G2343&lt;=01_因子設定!$M$7+0.000000001,H2343&gt;=01_因子設定!$L$8-0.000000001,H2343&lt;=01_因子設定!$M$8+0.000000001,IF(01_因子設定!$B$20="Box-Behnken",E2343^2+F2343^2+G2343^2+H2343^2&lt;=2+0.000000001,TRUE()))</f>
        <v>1</v>
      </c>
      <c r="AD2343" s="55" t="n">
        <f aca="false">IF(AC2343,IF(01_因子設定!$B$13="最大化",AA2343-01_因子設定!$B$14,IF(01_因子設定!$B$13="最小化",01_因子設定!$B$15-AB2343,MIN(AA2343-01_因子設定!$B$14,01_因子設定!$B$15-AB2343))),-1E+030)</f>
        <v>-2.90409757521766</v>
      </c>
      <c r="AE2343" s="55" t="n">
        <f aca="false">IF(AC2343,IF(01_因子設定!$B$13="最大化",X2343,IF(01_因子設定!$B$13="最小化",-X2343,-ABS(X2343-01_因子設定!$B$16))),-1E+030)</f>
        <v>45.0791346856725</v>
      </c>
      <c r="AF2343" s="55" t="n">
        <f aca="false">AD2343+ROW()*0.000000001</f>
        <v>-2.90409523221766</v>
      </c>
      <c r="AG2343" s="55" t="n">
        <f aca="false">AE2343+ROW()*0.000000001</f>
        <v>45.0791370286725</v>
      </c>
    </row>
    <row r="2344" customFormat="false" ht="15" hidden="false" customHeight="false" outlineLevel="0" collapsed="false">
      <c r="A2344" s="0" t="n">
        <v>3</v>
      </c>
      <c r="B2344" s="0" t="n">
        <v>1</v>
      </c>
      <c r="C2344" s="0" t="n">
        <v>7</v>
      </c>
      <c r="D2344" s="0" t="n">
        <v>8</v>
      </c>
      <c r="E2344" s="0" t="n">
        <f aca="false">-1+A2344*0.25</f>
        <v>-0.25</v>
      </c>
      <c r="F2344" s="0" t="n">
        <f aca="false">-1+B2344*0.25</f>
        <v>-0.75</v>
      </c>
      <c r="G2344" s="0" t="n">
        <f aca="false">-1+C2344*0.25</f>
        <v>0.75</v>
      </c>
      <c r="H2344" s="0" t="n">
        <f aca="false">-1+D2344*0.25</f>
        <v>1</v>
      </c>
      <c r="I2344" s="0" t="n">
        <f aca="false">1</f>
        <v>1</v>
      </c>
      <c r="J2344" s="0" t="n">
        <f aca="false">E2344</f>
        <v>-0.25</v>
      </c>
      <c r="K2344" s="0" t="n">
        <f aca="false">F2344</f>
        <v>-0.75</v>
      </c>
      <c r="L2344" s="0" t="n">
        <f aca="false">G2344</f>
        <v>0.75</v>
      </c>
      <c r="M2344" s="0" t="n">
        <f aca="false">H2344</f>
        <v>1</v>
      </c>
      <c r="N2344" s="0" t="n">
        <f aca="false">E2344*F2344</f>
        <v>0.1875</v>
      </c>
      <c r="O2344" s="0" t="n">
        <f aca="false">E2344*G2344</f>
        <v>-0.1875</v>
      </c>
      <c r="P2344" s="0" t="n">
        <f aca="false">E2344*H2344</f>
        <v>-0.25</v>
      </c>
      <c r="Q2344" s="0" t="n">
        <f aca="false">F2344*G2344</f>
        <v>-0.5625</v>
      </c>
      <c r="R2344" s="0" t="n">
        <f aca="false">F2344*H2344</f>
        <v>-0.75</v>
      </c>
      <c r="S2344" s="0" t="n">
        <f aca="false">G2344*H2344</f>
        <v>0.75</v>
      </c>
      <c r="T2344" s="0" t="n">
        <f aca="false">E2344*E2344</f>
        <v>0.0625</v>
      </c>
      <c r="U2344" s="0" t="n">
        <f aca="false">F2344*F2344</f>
        <v>0.5625</v>
      </c>
      <c r="V2344" s="0" t="n">
        <f aca="false">G2344*G2344</f>
        <v>0.5625</v>
      </c>
      <c r="W2344" s="0" t="n">
        <f aca="false">H2344*H2344</f>
        <v>1</v>
      </c>
      <c r="X2344" s="0" t="n">
        <f aca="false">SUMPRODUCT(I2344:W2344,_XtX!$B$96:$P$96)</f>
        <v>45.0991365131579</v>
      </c>
      <c r="Y2344" s="0" t="n">
        <f aca="false">SUMPRODUCT(MMULT(I2344:W2344,_XtX!$B$78:$P$92),I2344:W2344)</f>
        <v>0.473959761056287</v>
      </c>
      <c r="Z2344" s="0" t="n">
        <f aca="false">04_回帰ANOVA!$K$19*04_回帰ANOVA!$K$14*SQRT(1+Y2344)</f>
        <v>1.58249084588329</v>
      </c>
      <c r="AA2344" s="0" t="n">
        <f aca="false">X2344-Z2344</f>
        <v>43.5166456672746</v>
      </c>
      <c r="AB2344" s="0" t="n">
        <f aca="false">X2344+Z2344</f>
        <v>46.6816273590412</v>
      </c>
      <c r="AC2344" s="54" t="b">
        <f aca="false">AND(E2344&gt;=01_因子設定!$L$5-0.000000001,E2344&lt;=01_因子設定!$M$5+0.000000001,F2344&gt;=01_因子設定!$L$6-0.000000001,F2344&lt;=01_因子設定!$M$6+0.000000001,G2344&gt;=01_因子設定!$L$7-0.000000001,G2344&lt;=01_因子設定!$M$7+0.000000001,H2344&gt;=01_因子設定!$L$8-0.000000001,H2344&lt;=01_因子設定!$M$8+0.000000001,IF(01_因子設定!$B$20="Box-Behnken",E2344^2+F2344^2+G2344^2+H2344^2&lt;=2+0.000000001,TRUE()))</f>
        <v>1</v>
      </c>
      <c r="AD2344" s="55" t="n">
        <f aca="false">IF(AC2344,IF(01_因子設定!$B$13="最大化",AA2344-01_因子設定!$B$14,IF(01_因子設定!$B$13="最小化",01_因子設定!$B$15-AB2344,MIN(AA2344-01_因子設定!$B$14,01_因子設定!$B$15-AB2344))),-1E+030)</f>
        <v>-2.98335433272541</v>
      </c>
      <c r="AE2344" s="55" t="n">
        <f aca="false">IF(AC2344,IF(01_因子設定!$B$13="最大化",X2344,IF(01_因子設定!$B$13="最小化",-X2344,-ABS(X2344-01_因子設定!$B$16))),-1E+030)</f>
        <v>45.0991365131579</v>
      </c>
      <c r="AF2344" s="55" t="n">
        <f aca="false">AD2344+ROW()*0.000000001</f>
        <v>-2.98335198872541</v>
      </c>
      <c r="AG2344" s="55" t="n">
        <f aca="false">AE2344+ROW()*0.000000001</f>
        <v>45.0991388571579</v>
      </c>
    </row>
    <row r="2345" customFormat="false" ht="15" hidden="false" customHeight="false" outlineLevel="0" collapsed="false">
      <c r="A2345" s="0" t="n">
        <v>3</v>
      </c>
      <c r="B2345" s="0" t="n">
        <v>1</v>
      </c>
      <c r="C2345" s="0" t="n">
        <v>8</v>
      </c>
      <c r="D2345" s="0" t="n">
        <v>0</v>
      </c>
      <c r="E2345" s="0" t="n">
        <f aca="false">-1+A2345*0.25</f>
        <v>-0.25</v>
      </c>
      <c r="F2345" s="0" t="n">
        <f aca="false">-1+B2345*0.25</f>
        <v>-0.75</v>
      </c>
      <c r="G2345" s="0" t="n">
        <f aca="false">-1+C2345*0.25</f>
        <v>1</v>
      </c>
      <c r="H2345" s="0" t="n">
        <f aca="false">-1+D2345*0.25</f>
        <v>-1</v>
      </c>
      <c r="I2345" s="0" t="n">
        <f aca="false">1</f>
        <v>1</v>
      </c>
      <c r="J2345" s="0" t="n">
        <f aca="false">E2345</f>
        <v>-0.25</v>
      </c>
      <c r="K2345" s="0" t="n">
        <f aca="false">F2345</f>
        <v>-0.75</v>
      </c>
      <c r="L2345" s="0" t="n">
        <f aca="false">G2345</f>
        <v>1</v>
      </c>
      <c r="M2345" s="0" t="n">
        <f aca="false">H2345</f>
        <v>-1</v>
      </c>
      <c r="N2345" s="0" t="n">
        <f aca="false">E2345*F2345</f>
        <v>0.1875</v>
      </c>
      <c r="O2345" s="0" t="n">
        <f aca="false">E2345*G2345</f>
        <v>-0.25</v>
      </c>
      <c r="P2345" s="0" t="n">
        <f aca="false">E2345*H2345</f>
        <v>0.25</v>
      </c>
      <c r="Q2345" s="0" t="n">
        <f aca="false">F2345*G2345</f>
        <v>-0.75</v>
      </c>
      <c r="R2345" s="0" t="n">
        <f aca="false">F2345*H2345</f>
        <v>0.75</v>
      </c>
      <c r="S2345" s="0" t="n">
        <f aca="false">G2345*H2345</f>
        <v>-1</v>
      </c>
      <c r="T2345" s="0" t="n">
        <f aca="false">E2345*E2345</f>
        <v>0.0625</v>
      </c>
      <c r="U2345" s="0" t="n">
        <f aca="false">F2345*F2345</f>
        <v>0.5625</v>
      </c>
      <c r="V2345" s="0" t="n">
        <f aca="false">G2345*G2345</f>
        <v>1</v>
      </c>
      <c r="W2345" s="0" t="n">
        <f aca="false">H2345*H2345</f>
        <v>1</v>
      </c>
      <c r="X2345" s="0" t="n">
        <f aca="false">SUMPRODUCT(I2345:W2345,_XtX!$B$96:$P$96)</f>
        <v>43.4579404239766</v>
      </c>
      <c r="Y2345" s="0" t="n">
        <f aca="false">SUMPRODUCT(MMULT(I2345:W2345,_XtX!$B$78:$P$92),I2345:W2345)</f>
        <v>0.621372155975877</v>
      </c>
      <c r="Z2345" s="0" t="n">
        <f aca="false">04_回帰ANOVA!$K$19*04_回帰ANOVA!$K$14*SQRT(1+Y2345)</f>
        <v>1.65973880499872</v>
      </c>
      <c r="AA2345" s="0" t="n">
        <f aca="false">X2345-Z2345</f>
        <v>41.7982016189779</v>
      </c>
      <c r="AB2345" s="0" t="n">
        <f aca="false">X2345+Z2345</f>
        <v>45.1176792289753</v>
      </c>
      <c r="AC2345" s="54" t="b">
        <f aca="false">AND(E2345&gt;=01_因子設定!$L$5-0.000000001,E2345&lt;=01_因子設定!$M$5+0.000000001,F2345&gt;=01_因子設定!$L$6-0.000000001,F2345&lt;=01_因子設定!$M$6+0.000000001,G2345&gt;=01_因子設定!$L$7-0.000000001,G2345&lt;=01_因子設定!$M$7+0.000000001,H2345&gt;=01_因子設定!$L$8-0.000000001,H2345&lt;=01_因子設定!$M$8+0.000000001,IF(01_因子設定!$B$20="Box-Behnken",E2345^2+F2345^2+G2345^2+H2345^2&lt;=2+0.000000001,TRUE()))</f>
        <v>1</v>
      </c>
      <c r="AD2345" s="55" t="n">
        <f aca="false">IF(AC2345,IF(01_因子設定!$B$13="最大化",AA2345-01_因子設定!$B$14,IF(01_因子設定!$B$13="最小化",01_因子設定!$B$15-AB2345,MIN(AA2345-01_因子設定!$B$14,01_因子設定!$B$15-AB2345))),-1E+030)</f>
        <v>-4.70179838102213</v>
      </c>
      <c r="AE2345" s="55" t="n">
        <f aca="false">IF(AC2345,IF(01_因子設定!$B$13="最大化",X2345,IF(01_因子設定!$B$13="最小化",-X2345,-ABS(X2345-01_因子設定!$B$16))),-1E+030)</f>
        <v>43.4579404239766</v>
      </c>
      <c r="AF2345" s="55" t="n">
        <f aca="false">AD2345+ROW()*0.000000001</f>
        <v>-4.70179603602213</v>
      </c>
      <c r="AG2345" s="55" t="n">
        <f aca="false">AE2345+ROW()*0.000000001</f>
        <v>43.4579427689766</v>
      </c>
    </row>
    <row r="2346" customFormat="false" ht="15" hidden="false" customHeight="false" outlineLevel="0" collapsed="false">
      <c r="A2346" s="0" t="n">
        <v>3</v>
      </c>
      <c r="B2346" s="0" t="n">
        <v>1</v>
      </c>
      <c r="C2346" s="0" t="n">
        <v>8</v>
      </c>
      <c r="D2346" s="0" t="n">
        <v>1</v>
      </c>
      <c r="E2346" s="0" t="n">
        <f aca="false">-1+A2346*0.25</f>
        <v>-0.25</v>
      </c>
      <c r="F2346" s="0" t="n">
        <f aca="false">-1+B2346*0.25</f>
        <v>-0.75</v>
      </c>
      <c r="G2346" s="0" t="n">
        <f aca="false">-1+C2346*0.25</f>
        <v>1</v>
      </c>
      <c r="H2346" s="0" t="n">
        <f aca="false">-1+D2346*0.25</f>
        <v>-0.75</v>
      </c>
      <c r="I2346" s="0" t="n">
        <f aca="false">1</f>
        <v>1</v>
      </c>
      <c r="J2346" s="0" t="n">
        <f aca="false">E2346</f>
        <v>-0.25</v>
      </c>
      <c r="K2346" s="0" t="n">
        <f aca="false">F2346</f>
        <v>-0.75</v>
      </c>
      <c r="L2346" s="0" t="n">
        <f aca="false">G2346</f>
        <v>1</v>
      </c>
      <c r="M2346" s="0" t="n">
        <f aca="false">H2346</f>
        <v>-0.75</v>
      </c>
      <c r="N2346" s="0" t="n">
        <f aca="false">E2346*F2346</f>
        <v>0.1875</v>
      </c>
      <c r="O2346" s="0" t="n">
        <f aca="false">E2346*G2346</f>
        <v>-0.25</v>
      </c>
      <c r="P2346" s="0" t="n">
        <f aca="false">E2346*H2346</f>
        <v>0.1875</v>
      </c>
      <c r="Q2346" s="0" t="n">
        <f aca="false">F2346*G2346</f>
        <v>-0.75</v>
      </c>
      <c r="R2346" s="0" t="n">
        <f aca="false">F2346*H2346</f>
        <v>0.5625</v>
      </c>
      <c r="S2346" s="0" t="n">
        <f aca="false">G2346*H2346</f>
        <v>-0.75</v>
      </c>
      <c r="T2346" s="0" t="n">
        <f aca="false">E2346*E2346</f>
        <v>0.0625</v>
      </c>
      <c r="U2346" s="0" t="n">
        <f aca="false">F2346*F2346</f>
        <v>0.5625</v>
      </c>
      <c r="V2346" s="0" t="n">
        <f aca="false">G2346*G2346</f>
        <v>1</v>
      </c>
      <c r="W2346" s="0" t="n">
        <f aca="false">H2346*H2346</f>
        <v>0.5625</v>
      </c>
      <c r="X2346" s="0" t="n">
        <f aca="false">SUMPRODUCT(I2346:W2346,_XtX!$B$96:$P$96)</f>
        <v>43.830560124269</v>
      </c>
      <c r="Y2346" s="0" t="n">
        <f aca="false">SUMPRODUCT(MMULT(I2346:W2346,_XtX!$B$78:$P$92),I2346:W2346)</f>
        <v>0.473959761056287</v>
      </c>
      <c r="Z2346" s="0" t="n">
        <f aca="false">04_回帰ANOVA!$K$19*04_回帰ANOVA!$K$14*SQRT(1+Y2346)</f>
        <v>1.58249084588329</v>
      </c>
      <c r="AA2346" s="0" t="n">
        <f aca="false">X2346-Z2346</f>
        <v>42.2480692783857</v>
      </c>
      <c r="AB2346" s="0" t="n">
        <f aca="false">X2346+Z2346</f>
        <v>45.4130509701523</v>
      </c>
      <c r="AC2346" s="54" t="b">
        <f aca="false">AND(E2346&gt;=01_因子設定!$L$5-0.000000001,E2346&lt;=01_因子設定!$M$5+0.000000001,F2346&gt;=01_因子設定!$L$6-0.000000001,F2346&lt;=01_因子設定!$M$6+0.000000001,G2346&gt;=01_因子設定!$L$7-0.000000001,G2346&lt;=01_因子設定!$M$7+0.000000001,H2346&gt;=01_因子設定!$L$8-0.000000001,H2346&lt;=01_因子設定!$M$8+0.000000001,IF(01_因子設定!$B$20="Box-Behnken",E2346^2+F2346^2+G2346^2+H2346^2&lt;=2+0.000000001,TRUE()))</f>
        <v>1</v>
      </c>
      <c r="AD2346" s="55" t="n">
        <f aca="false">IF(AC2346,IF(01_因子設定!$B$13="最大化",AA2346-01_因子設定!$B$14,IF(01_因子設定!$B$13="最小化",01_因子設定!$B$15-AB2346,MIN(AA2346-01_因子設定!$B$14,01_因子設定!$B$15-AB2346))),-1E+030)</f>
        <v>-4.25193072161432</v>
      </c>
      <c r="AE2346" s="55" t="n">
        <f aca="false">IF(AC2346,IF(01_因子設定!$B$13="最大化",X2346,IF(01_因子設定!$B$13="最小化",-X2346,-ABS(X2346-01_因子設定!$B$16))),-1E+030)</f>
        <v>43.830560124269</v>
      </c>
      <c r="AF2346" s="55" t="n">
        <f aca="false">AD2346+ROW()*0.000000001</f>
        <v>-4.25192837561432</v>
      </c>
      <c r="AG2346" s="55" t="n">
        <f aca="false">AE2346+ROW()*0.000000001</f>
        <v>43.830562470269</v>
      </c>
    </row>
    <row r="2347" customFormat="false" ht="15" hidden="false" customHeight="false" outlineLevel="0" collapsed="false">
      <c r="A2347" s="0" t="n">
        <v>3</v>
      </c>
      <c r="B2347" s="0" t="n">
        <v>1</v>
      </c>
      <c r="C2347" s="0" t="n">
        <v>8</v>
      </c>
      <c r="D2347" s="0" t="n">
        <v>2</v>
      </c>
      <c r="E2347" s="0" t="n">
        <f aca="false">-1+A2347*0.25</f>
        <v>-0.25</v>
      </c>
      <c r="F2347" s="0" t="n">
        <f aca="false">-1+B2347*0.25</f>
        <v>-0.75</v>
      </c>
      <c r="G2347" s="0" t="n">
        <f aca="false">-1+C2347*0.25</f>
        <v>1</v>
      </c>
      <c r="H2347" s="0" t="n">
        <f aca="false">-1+D2347*0.25</f>
        <v>-0.5</v>
      </c>
      <c r="I2347" s="0" t="n">
        <f aca="false">1</f>
        <v>1</v>
      </c>
      <c r="J2347" s="0" t="n">
        <f aca="false">E2347</f>
        <v>-0.25</v>
      </c>
      <c r="K2347" s="0" t="n">
        <f aca="false">F2347</f>
        <v>-0.75</v>
      </c>
      <c r="L2347" s="0" t="n">
        <f aca="false">G2347</f>
        <v>1</v>
      </c>
      <c r="M2347" s="0" t="n">
        <f aca="false">H2347</f>
        <v>-0.5</v>
      </c>
      <c r="N2347" s="0" t="n">
        <f aca="false">E2347*F2347</f>
        <v>0.1875</v>
      </c>
      <c r="O2347" s="0" t="n">
        <f aca="false">E2347*G2347</f>
        <v>-0.25</v>
      </c>
      <c r="P2347" s="0" t="n">
        <f aca="false">E2347*H2347</f>
        <v>0.125</v>
      </c>
      <c r="Q2347" s="0" t="n">
        <f aca="false">F2347*G2347</f>
        <v>-0.75</v>
      </c>
      <c r="R2347" s="0" t="n">
        <f aca="false">F2347*H2347</f>
        <v>0.375</v>
      </c>
      <c r="S2347" s="0" t="n">
        <f aca="false">G2347*H2347</f>
        <v>-0.5</v>
      </c>
      <c r="T2347" s="0" t="n">
        <f aca="false">E2347*E2347</f>
        <v>0.0625</v>
      </c>
      <c r="U2347" s="0" t="n">
        <f aca="false">F2347*F2347</f>
        <v>0.5625</v>
      </c>
      <c r="V2347" s="0" t="n">
        <f aca="false">G2347*G2347</f>
        <v>1</v>
      </c>
      <c r="W2347" s="0" t="n">
        <f aca="false">H2347*H2347</f>
        <v>0.25</v>
      </c>
      <c r="X2347" s="0" t="n">
        <f aca="false">SUMPRODUCT(I2347:W2347,_XtX!$B$96:$P$96)</f>
        <v>44.1553728070175</v>
      </c>
      <c r="Y2347" s="0" t="n">
        <f aca="false">SUMPRODUCT(MMULT(I2347:W2347,_XtX!$B$78:$P$92),I2347:W2347)</f>
        <v>0.459125719572369</v>
      </c>
      <c r="Z2347" s="0" t="n">
        <f aca="false">04_回帰ANOVA!$K$19*04_回帰ANOVA!$K$14*SQRT(1+Y2347)</f>
        <v>1.57450755575573</v>
      </c>
      <c r="AA2347" s="0" t="n">
        <f aca="false">X2347-Z2347</f>
        <v>42.5808652512618</v>
      </c>
      <c r="AB2347" s="0" t="n">
        <f aca="false">X2347+Z2347</f>
        <v>45.7298803627732</v>
      </c>
      <c r="AC2347" s="54" t="b">
        <f aca="false">AND(E2347&gt;=01_因子設定!$L$5-0.000000001,E2347&lt;=01_因子設定!$M$5+0.000000001,F2347&gt;=01_因子設定!$L$6-0.000000001,F2347&lt;=01_因子設定!$M$6+0.000000001,G2347&gt;=01_因子設定!$L$7-0.000000001,G2347&lt;=01_因子設定!$M$7+0.000000001,H2347&gt;=01_因子設定!$L$8-0.000000001,H2347&lt;=01_因子設定!$M$8+0.000000001,IF(01_因子設定!$B$20="Box-Behnken",E2347^2+F2347^2+G2347^2+H2347^2&lt;=2+0.000000001,TRUE()))</f>
        <v>1</v>
      </c>
      <c r="AD2347" s="55" t="n">
        <f aca="false">IF(AC2347,IF(01_因子設定!$B$13="最大化",AA2347-01_因子設定!$B$14,IF(01_因子設定!$B$13="最小化",01_因子設定!$B$15-AB2347,MIN(AA2347-01_因子設定!$B$14,01_因子設定!$B$15-AB2347))),-1E+030)</f>
        <v>-3.91913474873823</v>
      </c>
      <c r="AE2347" s="55" t="n">
        <f aca="false">IF(AC2347,IF(01_因子設定!$B$13="最大化",X2347,IF(01_因子設定!$B$13="最小化",-X2347,-ABS(X2347-01_因子設定!$B$16))),-1E+030)</f>
        <v>44.1553728070175</v>
      </c>
      <c r="AF2347" s="55" t="n">
        <f aca="false">AD2347+ROW()*0.000000001</f>
        <v>-3.91913240173823</v>
      </c>
      <c r="AG2347" s="55" t="n">
        <f aca="false">AE2347+ROW()*0.000000001</f>
        <v>44.1553751540175</v>
      </c>
    </row>
    <row r="2348" customFormat="false" ht="15" hidden="false" customHeight="false" outlineLevel="0" collapsed="false">
      <c r="A2348" s="0" t="n">
        <v>3</v>
      </c>
      <c r="B2348" s="0" t="n">
        <v>1</v>
      </c>
      <c r="C2348" s="0" t="n">
        <v>8</v>
      </c>
      <c r="D2348" s="0" t="n">
        <v>3</v>
      </c>
      <c r="E2348" s="0" t="n">
        <f aca="false">-1+A2348*0.25</f>
        <v>-0.25</v>
      </c>
      <c r="F2348" s="0" t="n">
        <f aca="false">-1+B2348*0.25</f>
        <v>-0.75</v>
      </c>
      <c r="G2348" s="0" t="n">
        <f aca="false">-1+C2348*0.25</f>
        <v>1</v>
      </c>
      <c r="H2348" s="0" t="n">
        <f aca="false">-1+D2348*0.25</f>
        <v>-0.25</v>
      </c>
      <c r="I2348" s="0" t="n">
        <f aca="false">1</f>
        <v>1</v>
      </c>
      <c r="J2348" s="0" t="n">
        <f aca="false">E2348</f>
        <v>-0.25</v>
      </c>
      <c r="K2348" s="0" t="n">
        <f aca="false">F2348</f>
        <v>-0.75</v>
      </c>
      <c r="L2348" s="0" t="n">
        <f aca="false">G2348</f>
        <v>1</v>
      </c>
      <c r="M2348" s="0" t="n">
        <f aca="false">H2348</f>
        <v>-0.25</v>
      </c>
      <c r="N2348" s="0" t="n">
        <f aca="false">E2348*F2348</f>
        <v>0.1875</v>
      </c>
      <c r="O2348" s="0" t="n">
        <f aca="false">E2348*G2348</f>
        <v>-0.25</v>
      </c>
      <c r="P2348" s="0" t="n">
        <f aca="false">E2348*H2348</f>
        <v>0.0625</v>
      </c>
      <c r="Q2348" s="0" t="n">
        <f aca="false">F2348*G2348</f>
        <v>-0.75</v>
      </c>
      <c r="R2348" s="0" t="n">
        <f aca="false">F2348*H2348</f>
        <v>0.1875</v>
      </c>
      <c r="S2348" s="0" t="n">
        <f aca="false">G2348*H2348</f>
        <v>-0.25</v>
      </c>
      <c r="T2348" s="0" t="n">
        <f aca="false">E2348*E2348</f>
        <v>0.0625</v>
      </c>
      <c r="U2348" s="0" t="n">
        <f aca="false">F2348*F2348</f>
        <v>0.5625</v>
      </c>
      <c r="V2348" s="0" t="n">
        <f aca="false">G2348*G2348</f>
        <v>1</v>
      </c>
      <c r="W2348" s="0" t="n">
        <f aca="false">H2348*H2348</f>
        <v>0.0625</v>
      </c>
      <c r="X2348" s="0" t="n">
        <f aca="false">SUMPRODUCT(I2348:W2348,_XtX!$B$96:$P$96)</f>
        <v>44.4323784722222</v>
      </c>
      <c r="Y2348" s="0" t="n">
        <f aca="false">SUMPRODUCT(MMULT(I2348:W2348,_XtX!$B$78:$P$92),I2348:W2348)</f>
        <v>0.486409505208334</v>
      </c>
      <c r="Z2348" s="0" t="n">
        <f aca="false">04_回帰ANOVA!$K$19*04_回帰ANOVA!$K$14*SQRT(1+Y2348)</f>
        <v>1.58916001665498</v>
      </c>
      <c r="AA2348" s="0" t="n">
        <f aca="false">X2348-Z2348</f>
        <v>42.8432184555672</v>
      </c>
      <c r="AB2348" s="0" t="n">
        <f aca="false">X2348+Z2348</f>
        <v>46.0215384888772</v>
      </c>
      <c r="AC2348" s="54" t="b">
        <f aca="false">AND(E2348&gt;=01_因子設定!$L$5-0.000000001,E2348&lt;=01_因子設定!$M$5+0.000000001,F2348&gt;=01_因子設定!$L$6-0.000000001,F2348&lt;=01_因子設定!$M$6+0.000000001,G2348&gt;=01_因子設定!$L$7-0.000000001,G2348&lt;=01_因子設定!$M$7+0.000000001,H2348&gt;=01_因子設定!$L$8-0.000000001,H2348&lt;=01_因子設定!$M$8+0.000000001,IF(01_因子設定!$B$20="Box-Behnken",E2348^2+F2348^2+G2348^2+H2348^2&lt;=2+0.000000001,TRUE()))</f>
        <v>1</v>
      </c>
      <c r="AD2348" s="55" t="n">
        <f aca="false">IF(AC2348,IF(01_因子設定!$B$13="最大化",AA2348-01_因子設定!$B$14,IF(01_因子設定!$B$13="最小化",01_因子設定!$B$15-AB2348,MIN(AA2348-01_因子設定!$B$14,01_因子設定!$B$15-AB2348))),-1E+030)</f>
        <v>-3.65678154443281</v>
      </c>
      <c r="AE2348" s="55" t="n">
        <f aca="false">IF(AC2348,IF(01_因子設定!$B$13="最大化",X2348,IF(01_因子設定!$B$13="最小化",-X2348,-ABS(X2348-01_因子設定!$B$16))),-1E+030)</f>
        <v>44.4323784722222</v>
      </c>
      <c r="AF2348" s="55" t="n">
        <f aca="false">AD2348+ROW()*0.000000001</f>
        <v>-3.65677919643281</v>
      </c>
      <c r="AG2348" s="55" t="n">
        <f aca="false">AE2348+ROW()*0.000000001</f>
        <v>44.4323808202222</v>
      </c>
    </row>
    <row r="2349" customFormat="false" ht="15" hidden="false" customHeight="false" outlineLevel="0" collapsed="false">
      <c r="A2349" s="0" t="n">
        <v>3</v>
      </c>
      <c r="B2349" s="0" t="n">
        <v>1</v>
      </c>
      <c r="C2349" s="0" t="n">
        <v>8</v>
      </c>
      <c r="D2349" s="0" t="n">
        <v>4</v>
      </c>
      <c r="E2349" s="0" t="n">
        <f aca="false">-1+A2349*0.25</f>
        <v>-0.25</v>
      </c>
      <c r="F2349" s="0" t="n">
        <f aca="false">-1+B2349*0.25</f>
        <v>-0.75</v>
      </c>
      <c r="G2349" s="0" t="n">
        <f aca="false">-1+C2349*0.25</f>
        <v>1</v>
      </c>
      <c r="H2349" s="0" t="n">
        <f aca="false">-1+D2349*0.25</f>
        <v>0</v>
      </c>
      <c r="I2349" s="0" t="n">
        <f aca="false">1</f>
        <v>1</v>
      </c>
      <c r="J2349" s="0" t="n">
        <f aca="false">E2349</f>
        <v>-0.25</v>
      </c>
      <c r="K2349" s="0" t="n">
        <f aca="false">F2349</f>
        <v>-0.75</v>
      </c>
      <c r="L2349" s="0" t="n">
        <f aca="false">G2349</f>
        <v>1</v>
      </c>
      <c r="M2349" s="0" t="n">
        <f aca="false">H2349</f>
        <v>0</v>
      </c>
      <c r="N2349" s="0" t="n">
        <f aca="false">E2349*F2349</f>
        <v>0.1875</v>
      </c>
      <c r="O2349" s="0" t="n">
        <f aca="false">E2349*G2349</f>
        <v>-0.25</v>
      </c>
      <c r="P2349" s="0" t="n">
        <f aca="false">E2349*H2349</f>
        <v>-0</v>
      </c>
      <c r="Q2349" s="0" t="n">
        <f aca="false">F2349*G2349</f>
        <v>-0.75</v>
      </c>
      <c r="R2349" s="0" t="n">
        <f aca="false">F2349*H2349</f>
        <v>-0</v>
      </c>
      <c r="S2349" s="0" t="n">
        <f aca="false">G2349*H2349</f>
        <v>0</v>
      </c>
      <c r="T2349" s="0" t="n">
        <f aca="false">E2349*E2349</f>
        <v>0.0625</v>
      </c>
      <c r="U2349" s="0" t="n">
        <f aca="false">F2349*F2349</f>
        <v>0.5625</v>
      </c>
      <c r="V2349" s="0" t="n">
        <f aca="false">G2349*G2349</f>
        <v>1</v>
      </c>
      <c r="W2349" s="0" t="n">
        <f aca="false">H2349*H2349</f>
        <v>0</v>
      </c>
      <c r="X2349" s="0" t="n">
        <f aca="false">SUMPRODUCT(I2349:W2349,_XtX!$B$96:$P$96)</f>
        <v>44.661577119883</v>
      </c>
      <c r="Y2349" s="0" t="n">
        <f aca="false">SUMPRODUCT(MMULT(I2349:W2349,_XtX!$B$78:$P$92),I2349:W2349)</f>
        <v>0.501534802174708</v>
      </c>
      <c r="Z2349" s="0" t="n">
        <f aca="false">04_回帰ANOVA!$K$19*04_回帰ANOVA!$K$14*SQRT(1+Y2349)</f>
        <v>1.59722498091333</v>
      </c>
      <c r="AA2349" s="0" t="n">
        <f aca="false">X2349-Z2349</f>
        <v>43.0643521389697</v>
      </c>
      <c r="AB2349" s="0" t="n">
        <f aca="false">X2349+Z2349</f>
        <v>46.2588021007963</v>
      </c>
      <c r="AC2349" s="54" t="b">
        <f aca="false">AND(E2349&gt;=01_因子設定!$L$5-0.000000001,E2349&lt;=01_因子設定!$M$5+0.000000001,F2349&gt;=01_因子設定!$L$6-0.000000001,F2349&lt;=01_因子設定!$M$6+0.000000001,G2349&gt;=01_因子設定!$L$7-0.000000001,G2349&lt;=01_因子設定!$M$7+0.000000001,H2349&gt;=01_因子設定!$L$8-0.000000001,H2349&lt;=01_因子設定!$M$8+0.000000001,IF(01_因子設定!$B$20="Box-Behnken",E2349^2+F2349^2+G2349^2+H2349^2&lt;=2+0.000000001,TRUE()))</f>
        <v>1</v>
      </c>
      <c r="AD2349" s="55" t="n">
        <f aca="false">IF(AC2349,IF(01_因子設定!$B$13="最大化",AA2349-01_因子設定!$B$14,IF(01_因子設定!$B$13="最小化",01_因子設定!$B$15-AB2349,MIN(AA2349-01_因子設定!$B$14,01_因子設定!$B$15-AB2349))),-1E+030)</f>
        <v>-3.43564786103035</v>
      </c>
      <c r="AE2349" s="55" t="n">
        <f aca="false">IF(AC2349,IF(01_因子設定!$B$13="最大化",X2349,IF(01_因子設定!$B$13="最小化",-X2349,-ABS(X2349-01_因子設定!$B$16))),-1E+030)</f>
        <v>44.661577119883</v>
      </c>
      <c r="AF2349" s="55" t="n">
        <f aca="false">AD2349+ROW()*0.000000001</f>
        <v>-3.43564551203035</v>
      </c>
      <c r="AG2349" s="55" t="n">
        <f aca="false">AE2349+ROW()*0.000000001</f>
        <v>44.661579468883</v>
      </c>
    </row>
    <row r="2350" customFormat="false" ht="15" hidden="false" customHeight="false" outlineLevel="0" collapsed="false">
      <c r="A2350" s="0" t="n">
        <v>3</v>
      </c>
      <c r="B2350" s="0" t="n">
        <v>1</v>
      </c>
      <c r="C2350" s="0" t="n">
        <v>8</v>
      </c>
      <c r="D2350" s="0" t="n">
        <v>5</v>
      </c>
      <c r="E2350" s="0" t="n">
        <f aca="false">-1+A2350*0.25</f>
        <v>-0.25</v>
      </c>
      <c r="F2350" s="0" t="n">
        <f aca="false">-1+B2350*0.25</f>
        <v>-0.75</v>
      </c>
      <c r="G2350" s="0" t="n">
        <f aca="false">-1+C2350*0.25</f>
        <v>1</v>
      </c>
      <c r="H2350" s="0" t="n">
        <f aca="false">-1+D2350*0.25</f>
        <v>0.25</v>
      </c>
      <c r="I2350" s="0" t="n">
        <f aca="false">1</f>
        <v>1</v>
      </c>
      <c r="J2350" s="0" t="n">
        <f aca="false">E2350</f>
        <v>-0.25</v>
      </c>
      <c r="K2350" s="0" t="n">
        <f aca="false">F2350</f>
        <v>-0.75</v>
      </c>
      <c r="L2350" s="0" t="n">
        <f aca="false">G2350</f>
        <v>1</v>
      </c>
      <c r="M2350" s="0" t="n">
        <f aca="false">H2350</f>
        <v>0.25</v>
      </c>
      <c r="N2350" s="0" t="n">
        <f aca="false">E2350*F2350</f>
        <v>0.1875</v>
      </c>
      <c r="O2350" s="0" t="n">
        <f aca="false">E2350*G2350</f>
        <v>-0.25</v>
      </c>
      <c r="P2350" s="0" t="n">
        <f aca="false">E2350*H2350</f>
        <v>-0.0625</v>
      </c>
      <c r="Q2350" s="0" t="n">
        <f aca="false">F2350*G2350</f>
        <v>-0.75</v>
      </c>
      <c r="R2350" s="0" t="n">
        <f aca="false">F2350*H2350</f>
        <v>-0.1875</v>
      </c>
      <c r="S2350" s="0" t="n">
        <f aca="false">G2350*H2350</f>
        <v>0.25</v>
      </c>
      <c r="T2350" s="0" t="n">
        <f aca="false">E2350*E2350</f>
        <v>0.0625</v>
      </c>
      <c r="U2350" s="0" t="n">
        <f aca="false">F2350*F2350</f>
        <v>0.5625</v>
      </c>
      <c r="V2350" s="0" t="n">
        <f aca="false">G2350*G2350</f>
        <v>1</v>
      </c>
      <c r="W2350" s="0" t="n">
        <f aca="false">H2350*H2350</f>
        <v>0.0625</v>
      </c>
      <c r="X2350" s="0" t="n">
        <f aca="false">SUMPRODUCT(I2350:W2350,_XtX!$B$96:$P$96)</f>
        <v>44.84296875</v>
      </c>
      <c r="Y2350" s="0" t="n">
        <f aca="false">SUMPRODUCT(MMULT(I2350:W2350,_XtX!$B$78:$P$92),I2350:W2350)</f>
        <v>0.486409505208334</v>
      </c>
      <c r="Z2350" s="0" t="n">
        <f aca="false">04_回帰ANOVA!$K$19*04_回帰ANOVA!$K$14*SQRT(1+Y2350)</f>
        <v>1.58916001665498</v>
      </c>
      <c r="AA2350" s="0" t="n">
        <f aca="false">X2350-Z2350</f>
        <v>43.253808733345</v>
      </c>
      <c r="AB2350" s="0" t="n">
        <f aca="false">X2350+Z2350</f>
        <v>46.4321287666549</v>
      </c>
      <c r="AC2350" s="54" t="b">
        <f aca="false">AND(E2350&gt;=01_因子設定!$L$5-0.000000001,E2350&lt;=01_因子設定!$M$5+0.000000001,F2350&gt;=01_因子設定!$L$6-0.000000001,F2350&lt;=01_因子設定!$M$6+0.000000001,G2350&gt;=01_因子設定!$L$7-0.000000001,G2350&lt;=01_因子設定!$M$7+0.000000001,H2350&gt;=01_因子設定!$L$8-0.000000001,H2350&lt;=01_因子設定!$M$8+0.000000001,IF(01_因子設定!$B$20="Box-Behnken",E2350^2+F2350^2+G2350^2+H2350^2&lt;=2+0.000000001,TRUE()))</f>
        <v>1</v>
      </c>
      <c r="AD2350" s="55" t="n">
        <f aca="false">IF(AC2350,IF(01_因子設定!$B$13="最大化",AA2350-01_因子設定!$B$14,IF(01_因子設定!$B$13="最小化",01_因子設定!$B$15-AB2350,MIN(AA2350-01_因子設定!$B$14,01_因子設定!$B$15-AB2350))),-1E+030)</f>
        <v>-3.24619126665503</v>
      </c>
      <c r="AE2350" s="55" t="n">
        <f aca="false">IF(AC2350,IF(01_因子設定!$B$13="最大化",X2350,IF(01_因子設定!$B$13="最小化",-X2350,-ABS(X2350-01_因子設定!$B$16))),-1E+030)</f>
        <v>44.84296875</v>
      </c>
      <c r="AF2350" s="55" t="n">
        <f aca="false">AD2350+ROW()*0.000000001</f>
        <v>-3.24618891665503</v>
      </c>
      <c r="AG2350" s="55" t="n">
        <f aca="false">AE2350+ROW()*0.000000001</f>
        <v>44.8429711</v>
      </c>
    </row>
    <row r="2351" customFormat="false" ht="15" hidden="false" customHeight="false" outlineLevel="0" collapsed="false">
      <c r="A2351" s="0" t="n">
        <v>3</v>
      </c>
      <c r="B2351" s="0" t="n">
        <v>1</v>
      </c>
      <c r="C2351" s="0" t="n">
        <v>8</v>
      </c>
      <c r="D2351" s="0" t="n">
        <v>6</v>
      </c>
      <c r="E2351" s="0" t="n">
        <f aca="false">-1+A2351*0.25</f>
        <v>-0.25</v>
      </c>
      <c r="F2351" s="0" t="n">
        <f aca="false">-1+B2351*0.25</f>
        <v>-0.75</v>
      </c>
      <c r="G2351" s="0" t="n">
        <f aca="false">-1+C2351*0.25</f>
        <v>1</v>
      </c>
      <c r="H2351" s="0" t="n">
        <f aca="false">-1+D2351*0.25</f>
        <v>0.5</v>
      </c>
      <c r="I2351" s="0" t="n">
        <f aca="false">1</f>
        <v>1</v>
      </c>
      <c r="J2351" s="0" t="n">
        <f aca="false">E2351</f>
        <v>-0.25</v>
      </c>
      <c r="K2351" s="0" t="n">
        <f aca="false">F2351</f>
        <v>-0.75</v>
      </c>
      <c r="L2351" s="0" t="n">
        <f aca="false">G2351</f>
        <v>1</v>
      </c>
      <c r="M2351" s="0" t="n">
        <f aca="false">H2351</f>
        <v>0.5</v>
      </c>
      <c r="N2351" s="0" t="n">
        <f aca="false">E2351*F2351</f>
        <v>0.1875</v>
      </c>
      <c r="O2351" s="0" t="n">
        <f aca="false">E2351*G2351</f>
        <v>-0.25</v>
      </c>
      <c r="P2351" s="0" t="n">
        <f aca="false">E2351*H2351</f>
        <v>-0.125</v>
      </c>
      <c r="Q2351" s="0" t="n">
        <f aca="false">F2351*G2351</f>
        <v>-0.75</v>
      </c>
      <c r="R2351" s="0" t="n">
        <f aca="false">F2351*H2351</f>
        <v>-0.375</v>
      </c>
      <c r="S2351" s="0" t="n">
        <f aca="false">G2351*H2351</f>
        <v>0.5</v>
      </c>
      <c r="T2351" s="0" t="n">
        <f aca="false">E2351*E2351</f>
        <v>0.0625</v>
      </c>
      <c r="U2351" s="0" t="n">
        <f aca="false">F2351*F2351</f>
        <v>0.5625</v>
      </c>
      <c r="V2351" s="0" t="n">
        <f aca="false">G2351*G2351</f>
        <v>1</v>
      </c>
      <c r="W2351" s="0" t="n">
        <f aca="false">H2351*H2351</f>
        <v>0.25</v>
      </c>
      <c r="X2351" s="0" t="n">
        <f aca="false">SUMPRODUCT(I2351:W2351,_XtX!$B$96:$P$96)</f>
        <v>44.9765533625731</v>
      </c>
      <c r="Y2351" s="0" t="n">
        <f aca="false">SUMPRODUCT(MMULT(I2351:W2351,_XtX!$B$78:$P$92),I2351:W2351)</f>
        <v>0.459125719572369</v>
      </c>
      <c r="Z2351" s="0" t="n">
        <f aca="false">04_回帰ANOVA!$K$19*04_回帰ANOVA!$K$14*SQRT(1+Y2351)</f>
        <v>1.57450755575573</v>
      </c>
      <c r="AA2351" s="0" t="n">
        <f aca="false">X2351-Z2351</f>
        <v>43.4020458068173</v>
      </c>
      <c r="AB2351" s="0" t="n">
        <f aca="false">X2351+Z2351</f>
        <v>46.5510609183288</v>
      </c>
      <c r="AC2351" s="54" t="b">
        <f aca="false">AND(E2351&gt;=01_因子設定!$L$5-0.000000001,E2351&lt;=01_因子設定!$M$5+0.000000001,F2351&gt;=01_因子設定!$L$6-0.000000001,F2351&lt;=01_因子設定!$M$6+0.000000001,G2351&gt;=01_因子設定!$L$7-0.000000001,G2351&lt;=01_因子設定!$M$7+0.000000001,H2351&gt;=01_因子設定!$L$8-0.000000001,H2351&lt;=01_因子設定!$M$8+0.000000001,IF(01_因子設定!$B$20="Box-Behnken",E2351^2+F2351^2+G2351^2+H2351^2&lt;=2+0.000000001,TRUE()))</f>
        <v>1</v>
      </c>
      <c r="AD2351" s="55" t="n">
        <f aca="false">IF(AC2351,IF(01_因子設定!$B$13="最大化",AA2351-01_因子設定!$B$14,IF(01_因子設定!$B$13="最小化",01_因子設定!$B$15-AB2351,MIN(AA2351-01_因子設定!$B$14,01_因子設定!$B$15-AB2351))),-1E+030)</f>
        <v>-3.09795419318268</v>
      </c>
      <c r="AE2351" s="55" t="n">
        <f aca="false">IF(AC2351,IF(01_因子設定!$B$13="最大化",X2351,IF(01_因子設定!$B$13="最小化",-X2351,-ABS(X2351-01_因子設定!$B$16))),-1E+030)</f>
        <v>44.9765533625731</v>
      </c>
      <c r="AF2351" s="55" t="n">
        <f aca="false">AD2351+ROW()*0.000000001</f>
        <v>-3.09795184218268</v>
      </c>
      <c r="AG2351" s="55" t="n">
        <f aca="false">AE2351+ROW()*0.000000001</f>
        <v>44.9765557135731</v>
      </c>
    </row>
    <row r="2352" customFormat="false" ht="15" hidden="false" customHeight="false" outlineLevel="0" collapsed="false">
      <c r="A2352" s="0" t="n">
        <v>3</v>
      </c>
      <c r="B2352" s="0" t="n">
        <v>1</v>
      </c>
      <c r="C2352" s="0" t="n">
        <v>8</v>
      </c>
      <c r="D2352" s="0" t="n">
        <v>7</v>
      </c>
      <c r="E2352" s="0" t="n">
        <f aca="false">-1+A2352*0.25</f>
        <v>-0.25</v>
      </c>
      <c r="F2352" s="0" t="n">
        <f aca="false">-1+B2352*0.25</f>
        <v>-0.75</v>
      </c>
      <c r="G2352" s="0" t="n">
        <f aca="false">-1+C2352*0.25</f>
        <v>1</v>
      </c>
      <c r="H2352" s="0" t="n">
        <f aca="false">-1+D2352*0.25</f>
        <v>0.75</v>
      </c>
      <c r="I2352" s="0" t="n">
        <f aca="false">1</f>
        <v>1</v>
      </c>
      <c r="J2352" s="0" t="n">
        <f aca="false">E2352</f>
        <v>-0.25</v>
      </c>
      <c r="K2352" s="0" t="n">
        <f aca="false">F2352</f>
        <v>-0.75</v>
      </c>
      <c r="L2352" s="0" t="n">
        <f aca="false">G2352</f>
        <v>1</v>
      </c>
      <c r="M2352" s="0" t="n">
        <f aca="false">H2352</f>
        <v>0.75</v>
      </c>
      <c r="N2352" s="0" t="n">
        <f aca="false">E2352*F2352</f>
        <v>0.1875</v>
      </c>
      <c r="O2352" s="0" t="n">
        <f aca="false">E2352*G2352</f>
        <v>-0.25</v>
      </c>
      <c r="P2352" s="0" t="n">
        <f aca="false">E2352*H2352</f>
        <v>-0.1875</v>
      </c>
      <c r="Q2352" s="0" t="n">
        <f aca="false">F2352*G2352</f>
        <v>-0.75</v>
      </c>
      <c r="R2352" s="0" t="n">
        <f aca="false">F2352*H2352</f>
        <v>-0.5625</v>
      </c>
      <c r="S2352" s="0" t="n">
        <f aca="false">G2352*H2352</f>
        <v>0.75</v>
      </c>
      <c r="T2352" s="0" t="n">
        <f aca="false">E2352*E2352</f>
        <v>0.0625</v>
      </c>
      <c r="U2352" s="0" t="n">
        <f aca="false">F2352*F2352</f>
        <v>0.5625</v>
      </c>
      <c r="V2352" s="0" t="n">
        <f aca="false">G2352*G2352</f>
        <v>1</v>
      </c>
      <c r="W2352" s="0" t="n">
        <f aca="false">H2352*H2352</f>
        <v>0.5625</v>
      </c>
      <c r="X2352" s="0" t="n">
        <f aca="false">SUMPRODUCT(I2352:W2352,_XtX!$B$96:$P$96)</f>
        <v>45.0623309576023</v>
      </c>
      <c r="Y2352" s="0" t="n">
        <f aca="false">SUMPRODUCT(MMULT(I2352:W2352,_XtX!$B$78:$P$92),I2352:W2352)</f>
        <v>0.473959761056287</v>
      </c>
      <c r="Z2352" s="0" t="n">
        <f aca="false">04_回帰ANOVA!$K$19*04_回帰ANOVA!$K$14*SQRT(1+Y2352)</f>
        <v>1.58249084588329</v>
      </c>
      <c r="AA2352" s="0" t="n">
        <f aca="false">X2352-Z2352</f>
        <v>43.479840111719</v>
      </c>
      <c r="AB2352" s="0" t="n">
        <f aca="false">X2352+Z2352</f>
        <v>46.6448218034856</v>
      </c>
      <c r="AC2352" s="54" t="b">
        <f aca="false">AND(E2352&gt;=01_因子設定!$L$5-0.000000001,E2352&lt;=01_因子設定!$M$5+0.000000001,F2352&gt;=01_因子設定!$L$6-0.000000001,F2352&lt;=01_因子設定!$M$6+0.000000001,G2352&gt;=01_因子設定!$L$7-0.000000001,G2352&lt;=01_因子設定!$M$7+0.000000001,H2352&gt;=01_因子設定!$L$8-0.000000001,H2352&lt;=01_因子設定!$M$8+0.000000001,IF(01_因子設定!$B$20="Box-Behnken",E2352^2+F2352^2+G2352^2+H2352^2&lt;=2+0.000000001,TRUE()))</f>
        <v>1</v>
      </c>
      <c r="AD2352" s="55" t="n">
        <f aca="false">IF(AC2352,IF(01_因子設定!$B$13="最大化",AA2352-01_因子設定!$B$14,IF(01_因子設定!$B$13="最小化",01_因子設定!$B$15-AB2352,MIN(AA2352-01_因子設定!$B$14,01_因子設定!$B$15-AB2352))),-1E+030)</f>
        <v>-3.02015988828098</v>
      </c>
      <c r="AE2352" s="55" t="n">
        <f aca="false">IF(AC2352,IF(01_因子設定!$B$13="最大化",X2352,IF(01_因子設定!$B$13="最小化",-X2352,-ABS(X2352-01_因子設定!$B$16))),-1E+030)</f>
        <v>45.0623309576023</v>
      </c>
      <c r="AF2352" s="55" t="n">
        <f aca="false">AD2352+ROW()*0.000000001</f>
        <v>-3.02015753628098</v>
      </c>
      <c r="AG2352" s="55" t="n">
        <f aca="false">AE2352+ROW()*0.000000001</f>
        <v>45.0623333096023</v>
      </c>
    </row>
    <row r="2353" customFormat="false" ht="15" hidden="false" customHeight="false" outlineLevel="0" collapsed="false">
      <c r="A2353" s="0" t="n">
        <v>3</v>
      </c>
      <c r="B2353" s="0" t="n">
        <v>1</v>
      </c>
      <c r="C2353" s="0" t="n">
        <v>8</v>
      </c>
      <c r="D2353" s="0" t="n">
        <v>8</v>
      </c>
      <c r="E2353" s="0" t="n">
        <f aca="false">-1+A2353*0.25</f>
        <v>-0.25</v>
      </c>
      <c r="F2353" s="0" t="n">
        <f aca="false">-1+B2353*0.25</f>
        <v>-0.75</v>
      </c>
      <c r="G2353" s="0" t="n">
        <f aca="false">-1+C2353*0.25</f>
        <v>1</v>
      </c>
      <c r="H2353" s="0" t="n">
        <f aca="false">-1+D2353*0.25</f>
        <v>1</v>
      </c>
      <c r="I2353" s="0" t="n">
        <f aca="false">1</f>
        <v>1</v>
      </c>
      <c r="J2353" s="0" t="n">
        <f aca="false">E2353</f>
        <v>-0.25</v>
      </c>
      <c r="K2353" s="0" t="n">
        <f aca="false">F2353</f>
        <v>-0.75</v>
      </c>
      <c r="L2353" s="0" t="n">
        <f aca="false">G2353</f>
        <v>1</v>
      </c>
      <c r="M2353" s="0" t="n">
        <f aca="false">H2353</f>
        <v>1</v>
      </c>
      <c r="N2353" s="0" t="n">
        <f aca="false">E2353*F2353</f>
        <v>0.1875</v>
      </c>
      <c r="O2353" s="0" t="n">
        <f aca="false">E2353*G2353</f>
        <v>-0.25</v>
      </c>
      <c r="P2353" s="0" t="n">
        <f aca="false">E2353*H2353</f>
        <v>-0.25</v>
      </c>
      <c r="Q2353" s="0" t="n">
        <f aca="false">F2353*G2353</f>
        <v>-0.75</v>
      </c>
      <c r="R2353" s="0" t="n">
        <f aca="false">F2353*H2353</f>
        <v>-0.75</v>
      </c>
      <c r="S2353" s="0" t="n">
        <f aca="false">G2353*H2353</f>
        <v>1</v>
      </c>
      <c r="T2353" s="0" t="n">
        <f aca="false">E2353*E2353</f>
        <v>0.0625</v>
      </c>
      <c r="U2353" s="0" t="n">
        <f aca="false">F2353*F2353</f>
        <v>0.5625</v>
      </c>
      <c r="V2353" s="0" t="n">
        <f aca="false">G2353*G2353</f>
        <v>1</v>
      </c>
      <c r="W2353" s="0" t="n">
        <f aca="false">H2353*H2353</f>
        <v>1</v>
      </c>
      <c r="X2353" s="0" t="n">
        <f aca="false">SUMPRODUCT(I2353:W2353,_XtX!$B$96:$P$96)</f>
        <v>45.1003015350877</v>
      </c>
      <c r="Y2353" s="0" t="n">
        <f aca="false">SUMPRODUCT(MMULT(I2353:W2353,_XtX!$B$78:$P$92),I2353:W2353)</f>
        <v>0.621372155975877</v>
      </c>
      <c r="Z2353" s="0" t="n">
        <f aca="false">04_回帰ANOVA!$K$19*04_回帰ANOVA!$K$14*SQRT(1+Y2353)</f>
        <v>1.65973880499872</v>
      </c>
      <c r="AA2353" s="0" t="n">
        <f aca="false">X2353-Z2353</f>
        <v>43.440562730089</v>
      </c>
      <c r="AB2353" s="0" t="n">
        <f aca="false">X2353+Z2353</f>
        <v>46.7600403400864</v>
      </c>
      <c r="AC2353" s="54" t="b">
        <f aca="false">AND(E2353&gt;=01_因子設定!$L$5-0.000000001,E2353&lt;=01_因子設定!$M$5+0.000000001,F2353&gt;=01_因子設定!$L$6-0.000000001,F2353&lt;=01_因子設定!$M$6+0.000000001,G2353&gt;=01_因子設定!$L$7-0.000000001,G2353&lt;=01_因子設定!$M$7+0.000000001,H2353&gt;=01_因子設定!$L$8-0.000000001,H2353&lt;=01_因子設定!$M$8+0.000000001,IF(01_因子設定!$B$20="Box-Behnken",E2353^2+F2353^2+G2353^2+H2353^2&lt;=2+0.000000001,TRUE()))</f>
        <v>1</v>
      </c>
      <c r="AD2353" s="55" t="n">
        <f aca="false">IF(AC2353,IF(01_因子設定!$B$13="最大化",AA2353-01_因子設定!$B$14,IF(01_因子設定!$B$13="最小化",01_因子設定!$B$15-AB2353,MIN(AA2353-01_因子設定!$B$14,01_因子設定!$B$15-AB2353))),-1E+030)</f>
        <v>-3.05943726991102</v>
      </c>
      <c r="AE2353" s="55" t="n">
        <f aca="false">IF(AC2353,IF(01_因子設定!$B$13="最大化",X2353,IF(01_因子設定!$B$13="最小化",-X2353,-ABS(X2353-01_因子設定!$B$16))),-1E+030)</f>
        <v>45.1003015350877</v>
      </c>
      <c r="AF2353" s="55" t="n">
        <f aca="false">AD2353+ROW()*0.000000001</f>
        <v>-3.05943491691102</v>
      </c>
      <c r="AG2353" s="55" t="n">
        <f aca="false">AE2353+ROW()*0.000000001</f>
        <v>45.1003038880877</v>
      </c>
    </row>
    <row r="2354" customFormat="false" ht="15" hidden="false" customHeight="false" outlineLevel="0" collapsed="false">
      <c r="A2354" s="0" t="n">
        <v>3</v>
      </c>
      <c r="B2354" s="0" t="n">
        <v>2</v>
      </c>
      <c r="C2354" s="0" t="n">
        <v>0</v>
      </c>
      <c r="D2354" s="0" t="n">
        <v>0</v>
      </c>
      <c r="E2354" s="0" t="n">
        <f aca="false">-1+A2354*0.25</f>
        <v>-0.25</v>
      </c>
      <c r="F2354" s="0" t="n">
        <f aca="false">-1+B2354*0.25</f>
        <v>-0.5</v>
      </c>
      <c r="G2354" s="0" t="n">
        <f aca="false">-1+C2354*0.25</f>
        <v>-1</v>
      </c>
      <c r="H2354" s="0" t="n">
        <f aca="false">-1+D2354*0.25</f>
        <v>-1</v>
      </c>
      <c r="I2354" s="0" t="n">
        <f aca="false">1</f>
        <v>1</v>
      </c>
      <c r="J2354" s="0" t="n">
        <f aca="false">E2354</f>
        <v>-0.25</v>
      </c>
      <c r="K2354" s="0" t="n">
        <f aca="false">F2354</f>
        <v>-0.5</v>
      </c>
      <c r="L2354" s="0" t="n">
        <f aca="false">G2354</f>
        <v>-1</v>
      </c>
      <c r="M2354" s="0" t="n">
        <f aca="false">H2354</f>
        <v>-1</v>
      </c>
      <c r="N2354" s="0" t="n">
        <f aca="false">E2354*F2354</f>
        <v>0.125</v>
      </c>
      <c r="O2354" s="0" t="n">
        <f aca="false">E2354*G2354</f>
        <v>0.25</v>
      </c>
      <c r="P2354" s="0" t="n">
        <f aca="false">E2354*H2354</f>
        <v>0.25</v>
      </c>
      <c r="Q2354" s="0" t="n">
        <f aca="false">F2354*G2354</f>
        <v>0.5</v>
      </c>
      <c r="R2354" s="0" t="n">
        <f aca="false">F2354*H2354</f>
        <v>0.5</v>
      </c>
      <c r="S2354" s="0" t="n">
        <f aca="false">G2354*H2354</f>
        <v>1</v>
      </c>
      <c r="T2354" s="0" t="n">
        <f aca="false">E2354*E2354</f>
        <v>0.0625</v>
      </c>
      <c r="U2354" s="0" t="n">
        <f aca="false">F2354*F2354</f>
        <v>0.25</v>
      </c>
      <c r="V2354" s="0" t="n">
        <f aca="false">G2354*G2354</f>
        <v>1</v>
      </c>
      <c r="W2354" s="0" t="n">
        <f aca="false">H2354*H2354</f>
        <v>1</v>
      </c>
      <c r="X2354" s="0" t="n">
        <f aca="false">SUMPRODUCT(I2354:W2354,_XtX!$B$96:$P$96)</f>
        <v>43.4453399122807</v>
      </c>
      <c r="Y2354" s="0" t="n">
        <f aca="false">SUMPRODUCT(MMULT(I2354:W2354,_XtX!$B$78:$P$92),I2354:W2354)</f>
        <v>0.629174661915205</v>
      </c>
      <c r="Z2354" s="0" t="n">
        <f aca="false">04_回帰ANOVA!$K$19*04_回帰ANOVA!$K$14*SQRT(1+Y2354)</f>
        <v>1.66372758058297</v>
      </c>
      <c r="AA2354" s="0" t="n">
        <f aca="false">X2354-Z2354</f>
        <v>41.7816123316977</v>
      </c>
      <c r="AB2354" s="0" t="n">
        <f aca="false">X2354+Z2354</f>
        <v>45.1090674928637</v>
      </c>
      <c r="AC2354" s="54" t="b">
        <f aca="false">AND(E2354&gt;=01_因子設定!$L$5-0.000000001,E2354&lt;=01_因子設定!$M$5+0.000000001,F2354&gt;=01_因子設定!$L$6-0.000000001,F2354&lt;=01_因子設定!$M$6+0.000000001,G2354&gt;=01_因子設定!$L$7-0.000000001,G2354&lt;=01_因子設定!$M$7+0.000000001,H2354&gt;=01_因子設定!$L$8-0.000000001,H2354&lt;=01_因子設定!$M$8+0.000000001,IF(01_因子設定!$B$20="Box-Behnken",E2354^2+F2354^2+G2354^2+H2354^2&lt;=2+0.000000001,TRUE()))</f>
        <v>1</v>
      </c>
      <c r="AD2354" s="55" t="n">
        <f aca="false">IF(AC2354,IF(01_因子設定!$B$13="最大化",AA2354-01_因子設定!$B$14,IF(01_因子設定!$B$13="最小化",01_因子設定!$B$15-AB2354,MIN(AA2354-01_因子設定!$B$14,01_因子設定!$B$15-AB2354))),-1E+030)</f>
        <v>-4.71838766830229</v>
      </c>
      <c r="AE2354" s="55" t="n">
        <f aca="false">IF(AC2354,IF(01_因子設定!$B$13="最大化",X2354,IF(01_因子設定!$B$13="最小化",-X2354,-ABS(X2354-01_因子設定!$B$16))),-1E+030)</f>
        <v>43.4453399122807</v>
      </c>
      <c r="AF2354" s="55" t="n">
        <f aca="false">AD2354+ROW()*0.000000001</f>
        <v>-4.71838531430229</v>
      </c>
      <c r="AG2354" s="55" t="n">
        <f aca="false">AE2354+ROW()*0.000000001</f>
        <v>43.4453422662807</v>
      </c>
    </row>
    <row r="2355" customFormat="false" ht="15" hidden="false" customHeight="false" outlineLevel="0" collapsed="false">
      <c r="A2355" s="0" t="n">
        <v>3</v>
      </c>
      <c r="B2355" s="0" t="n">
        <v>2</v>
      </c>
      <c r="C2355" s="0" t="n">
        <v>0</v>
      </c>
      <c r="D2355" s="0" t="n">
        <v>1</v>
      </c>
      <c r="E2355" s="0" t="n">
        <f aca="false">-1+A2355*0.25</f>
        <v>-0.25</v>
      </c>
      <c r="F2355" s="0" t="n">
        <f aca="false">-1+B2355*0.25</f>
        <v>-0.5</v>
      </c>
      <c r="G2355" s="0" t="n">
        <f aca="false">-1+C2355*0.25</f>
        <v>-1</v>
      </c>
      <c r="H2355" s="0" t="n">
        <f aca="false">-1+D2355*0.25</f>
        <v>-0.75</v>
      </c>
      <c r="I2355" s="0" t="n">
        <f aca="false">1</f>
        <v>1</v>
      </c>
      <c r="J2355" s="0" t="n">
        <f aca="false">E2355</f>
        <v>-0.25</v>
      </c>
      <c r="K2355" s="0" t="n">
        <f aca="false">F2355</f>
        <v>-0.5</v>
      </c>
      <c r="L2355" s="0" t="n">
        <f aca="false">G2355</f>
        <v>-1</v>
      </c>
      <c r="M2355" s="0" t="n">
        <f aca="false">H2355</f>
        <v>-0.75</v>
      </c>
      <c r="N2355" s="0" t="n">
        <f aca="false">E2355*F2355</f>
        <v>0.125</v>
      </c>
      <c r="O2355" s="0" t="n">
        <f aca="false">E2355*G2355</f>
        <v>0.25</v>
      </c>
      <c r="P2355" s="0" t="n">
        <f aca="false">E2355*H2355</f>
        <v>0.1875</v>
      </c>
      <c r="Q2355" s="0" t="n">
        <f aca="false">F2355*G2355</f>
        <v>0.5</v>
      </c>
      <c r="R2355" s="0" t="n">
        <f aca="false">F2355*H2355</f>
        <v>0.375</v>
      </c>
      <c r="S2355" s="0" t="n">
        <f aca="false">G2355*H2355</f>
        <v>0.75</v>
      </c>
      <c r="T2355" s="0" t="n">
        <f aca="false">E2355*E2355</f>
        <v>0.0625</v>
      </c>
      <c r="U2355" s="0" t="n">
        <f aca="false">F2355*F2355</f>
        <v>0.25</v>
      </c>
      <c r="V2355" s="0" t="n">
        <f aca="false">G2355*G2355</f>
        <v>1</v>
      </c>
      <c r="W2355" s="0" t="n">
        <f aca="false">H2355*H2355</f>
        <v>0.5625</v>
      </c>
      <c r="X2355" s="0" t="n">
        <f aca="false">SUMPRODUCT(I2355:W2355,_XtX!$B$96:$P$96)</f>
        <v>43.6609283625731</v>
      </c>
      <c r="Y2355" s="0" t="n">
        <f aca="false">SUMPRODUCT(MMULT(I2355:W2355,_XtX!$B$78:$P$92),I2355:W2355)</f>
        <v>0.459125719572369</v>
      </c>
      <c r="Z2355" s="0" t="n">
        <f aca="false">04_回帰ANOVA!$K$19*04_回帰ANOVA!$K$14*SQRT(1+Y2355)</f>
        <v>1.57450755575573</v>
      </c>
      <c r="AA2355" s="0" t="n">
        <f aca="false">X2355-Z2355</f>
        <v>42.0864208068173</v>
      </c>
      <c r="AB2355" s="0" t="n">
        <f aca="false">X2355+Z2355</f>
        <v>45.2354359183288</v>
      </c>
      <c r="AC2355" s="54" t="b">
        <f aca="false">AND(E2355&gt;=01_因子設定!$L$5-0.000000001,E2355&lt;=01_因子設定!$M$5+0.000000001,F2355&gt;=01_因子設定!$L$6-0.000000001,F2355&lt;=01_因子設定!$M$6+0.000000001,G2355&gt;=01_因子設定!$L$7-0.000000001,G2355&lt;=01_因子設定!$M$7+0.000000001,H2355&gt;=01_因子設定!$L$8-0.000000001,H2355&lt;=01_因子設定!$M$8+0.000000001,IF(01_因子設定!$B$20="Box-Behnken",E2355^2+F2355^2+G2355^2+H2355^2&lt;=2+0.000000001,TRUE()))</f>
        <v>1</v>
      </c>
      <c r="AD2355" s="55" t="n">
        <f aca="false">IF(AC2355,IF(01_因子設定!$B$13="最大化",AA2355-01_因子設定!$B$14,IF(01_因子設定!$B$13="最小化",01_因子設定!$B$15-AB2355,MIN(AA2355-01_因子設定!$B$14,01_因子設定!$B$15-AB2355))),-1E+030)</f>
        <v>-4.41357919318266</v>
      </c>
      <c r="AE2355" s="55" t="n">
        <f aca="false">IF(AC2355,IF(01_因子設定!$B$13="最大化",X2355,IF(01_因子設定!$B$13="最小化",-X2355,-ABS(X2355-01_因子設定!$B$16))),-1E+030)</f>
        <v>43.6609283625731</v>
      </c>
      <c r="AF2355" s="55" t="n">
        <f aca="false">AD2355+ROW()*0.000000001</f>
        <v>-4.41357683818266</v>
      </c>
      <c r="AG2355" s="55" t="n">
        <f aca="false">AE2355+ROW()*0.000000001</f>
        <v>43.6609307175731</v>
      </c>
    </row>
    <row r="2356" customFormat="false" ht="15" hidden="false" customHeight="false" outlineLevel="0" collapsed="false">
      <c r="A2356" s="0" t="n">
        <v>3</v>
      </c>
      <c r="B2356" s="0" t="n">
        <v>2</v>
      </c>
      <c r="C2356" s="0" t="n">
        <v>0</v>
      </c>
      <c r="D2356" s="0" t="n">
        <v>2</v>
      </c>
      <c r="E2356" s="0" t="n">
        <f aca="false">-1+A2356*0.25</f>
        <v>-0.25</v>
      </c>
      <c r="F2356" s="0" t="n">
        <f aca="false">-1+B2356*0.25</f>
        <v>-0.5</v>
      </c>
      <c r="G2356" s="0" t="n">
        <f aca="false">-1+C2356*0.25</f>
        <v>-1</v>
      </c>
      <c r="H2356" s="0" t="n">
        <f aca="false">-1+D2356*0.25</f>
        <v>-0.5</v>
      </c>
      <c r="I2356" s="0" t="n">
        <f aca="false">1</f>
        <v>1</v>
      </c>
      <c r="J2356" s="0" t="n">
        <f aca="false">E2356</f>
        <v>-0.25</v>
      </c>
      <c r="K2356" s="0" t="n">
        <f aca="false">F2356</f>
        <v>-0.5</v>
      </c>
      <c r="L2356" s="0" t="n">
        <f aca="false">G2356</f>
        <v>-1</v>
      </c>
      <c r="M2356" s="0" t="n">
        <f aca="false">H2356</f>
        <v>-0.5</v>
      </c>
      <c r="N2356" s="0" t="n">
        <f aca="false">E2356*F2356</f>
        <v>0.125</v>
      </c>
      <c r="O2356" s="0" t="n">
        <f aca="false">E2356*G2356</f>
        <v>0.25</v>
      </c>
      <c r="P2356" s="0" t="n">
        <f aca="false">E2356*H2356</f>
        <v>0.125</v>
      </c>
      <c r="Q2356" s="0" t="n">
        <f aca="false">F2356*G2356</f>
        <v>0.5</v>
      </c>
      <c r="R2356" s="0" t="n">
        <f aca="false">F2356*H2356</f>
        <v>0.25</v>
      </c>
      <c r="S2356" s="0" t="n">
        <f aca="false">G2356*H2356</f>
        <v>0.5</v>
      </c>
      <c r="T2356" s="0" t="n">
        <f aca="false">E2356*E2356</f>
        <v>0.0625</v>
      </c>
      <c r="U2356" s="0" t="n">
        <f aca="false">F2356*F2356</f>
        <v>0.25</v>
      </c>
      <c r="V2356" s="0" t="n">
        <f aca="false">G2356*G2356</f>
        <v>1</v>
      </c>
      <c r="W2356" s="0" t="n">
        <f aca="false">H2356*H2356</f>
        <v>0.25</v>
      </c>
      <c r="X2356" s="0" t="n">
        <f aca="false">SUMPRODUCT(I2356:W2356,_XtX!$B$96:$P$96)</f>
        <v>43.8287097953216</v>
      </c>
      <c r="Y2356" s="0" t="n">
        <f aca="false">SUMPRODUCT(MMULT(I2356:W2356,_XtX!$B$78:$P$92),I2356:W2356)</f>
        <v>0.428122715643275</v>
      </c>
      <c r="Z2356" s="0" t="n">
        <f aca="false">04_回帰ANOVA!$K$19*04_回帰ANOVA!$K$14*SQRT(1+Y2356)</f>
        <v>1.55769044623229</v>
      </c>
      <c r="AA2356" s="0" t="n">
        <f aca="false">X2356-Z2356</f>
        <v>42.2710193490893</v>
      </c>
      <c r="AB2356" s="0" t="n">
        <f aca="false">X2356+Z2356</f>
        <v>45.3864002415539</v>
      </c>
      <c r="AC2356" s="54" t="b">
        <f aca="false">AND(E2356&gt;=01_因子設定!$L$5-0.000000001,E2356&lt;=01_因子設定!$M$5+0.000000001,F2356&gt;=01_因子設定!$L$6-0.000000001,F2356&lt;=01_因子設定!$M$6+0.000000001,G2356&gt;=01_因子設定!$L$7-0.000000001,G2356&lt;=01_因子設定!$M$7+0.000000001,H2356&gt;=01_因子設定!$L$8-0.000000001,H2356&lt;=01_因子設定!$M$8+0.000000001,IF(01_因子設定!$B$20="Box-Behnken",E2356^2+F2356^2+G2356^2+H2356^2&lt;=2+0.000000001,TRUE()))</f>
        <v>1</v>
      </c>
      <c r="AD2356" s="55" t="n">
        <f aca="false">IF(AC2356,IF(01_因子設定!$B$13="最大化",AA2356-01_因子設定!$B$14,IF(01_因子設定!$B$13="最小化",01_因子設定!$B$15-AB2356,MIN(AA2356-01_因子設定!$B$14,01_因子設定!$B$15-AB2356))),-1E+030)</f>
        <v>-4.2289806509107</v>
      </c>
      <c r="AE2356" s="55" t="n">
        <f aca="false">IF(AC2356,IF(01_因子設定!$B$13="最大化",X2356,IF(01_因子設定!$B$13="最小化",-X2356,-ABS(X2356-01_因子設定!$B$16))),-1E+030)</f>
        <v>43.8287097953216</v>
      </c>
      <c r="AF2356" s="55" t="n">
        <f aca="false">AD2356+ROW()*0.000000001</f>
        <v>-4.2289782949107</v>
      </c>
      <c r="AG2356" s="55" t="n">
        <f aca="false">AE2356+ROW()*0.000000001</f>
        <v>43.8287121513216</v>
      </c>
    </row>
    <row r="2357" customFormat="false" ht="15" hidden="false" customHeight="false" outlineLevel="0" collapsed="false">
      <c r="A2357" s="0" t="n">
        <v>3</v>
      </c>
      <c r="B2357" s="0" t="n">
        <v>2</v>
      </c>
      <c r="C2357" s="0" t="n">
        <v>0</v>
      </c>
      <c r="D2357" s="0" t="n">
        <v>3</v>
      </c>
      <c r="E2357" s="0" t="n">
        <f aca="false">-1+A2357*0.25</f>
        <v>-0.25</v>
      </c>
      <c r="F2357" s="0" t="n">
        <f aca="false">-1+B2357*0.25</f>
        <v>-0.5</v>
      </c>
      <c r="G2357" s="0" t="n">
        <f aca="false">-1+C2357*0.25</f>
        <v>-1</v>
      </c>
      <c r="H2357" s="0" t="n">
        <f aca="false">-1+D2357*0.25</f>
        <v>-0.25</v>
      </c>
      <c r="I2357" s="0" t="n">
        <f aca="false">1</f>
        <v>1</v>
      </c>
      <c r="J2357" s="0" t="n">
        <f aca="false">E2357</f>
        <v>-0.25</v>
      </c>
      <c r="K2357" s="0" t="n">
        <f aca="false">F2357</f>
        <v>-0.5</v>
      </c>
      <c r="L2357" s="0" t="n">
        <f aca="false">G2357</f>
        <v>-1</v>
      </c>
      <c r="M2357" s="0" t="n">
        <f aca="false">H2357</f>
        <v>-0.25</v>
      </c>
      <c r="N2357" s="0" t="n">
        <f aca="false">E2357*F2357</f>
        <v>0.125</v>
      </c>
      <c r="O2357" s="0" t="n">
        <f aca="false">E2357*G2357</f>
        <v>0.25</v>
      </c>
      <c r="P2357" s="0" t="n">
        <f aca="false">E2357*H2357</f>
        <v>0.0625</v>
      </c>
      <c r="Q2357" s="0" t="n">
        <f aca="false">F2357*G2357</f>
        <v>0.5</v>
      </c>
      <c r="R2357" s="0" t="n">
        <f aca="false">F2357*H2357</f>
        <v>0.125</v>
      </c>
      <c r="S2357" s="0" t="n">
        <f aca="false">G2357*H2357</f>
        <v>0.25</v>
      </c>
      <c r="T2357" s="0" t="n">
        <f aca="false">E2357*E2357</f>
        <v>0.0625</v>
      </c>
      <c r="U2357" s="0" t="n">
        <f aca="false">F2357*F2357</f>
        <v>0.25</v>
      </c>
      <c r="V2357" s="0" t="n">
        <f aca="false">G2357*G2357</f>
        <v>1</v>
      </c>
      <c r="W2357" s="0" t="n">
        <f aca="false">H2357*H2357</f>
        <v>0.0625</v>
      </c>
      <c r="X2357" s="0" t="n">
        <f aca="false">SUMPRODUCT(I2357:W2357,_XtX!$B$96:$P$96)</f>
        <v>43.9486842105263</v>
      </c>
      <c r="Y2357" s="0" t="n">
        <f aca="false">SUMPRODUCT(MMULT(I2357:W2357,_XtX!$B$78:$P$92),I2357:W2357)</f>
        <v>0.445705123812135</v>
      </c>
      <c r="Z2357" s="0" t="n">
        <f aca="false">04_回帰ANOVA!$K$19*04_回帰ANOVA!$K$14*SQRT(1+Y2357)</f>
        <v>1.56724990734749</v>
      </c>
      <c r="AA2357" s="0" t="n">
        <f aca="false">X2357-Z2357</f>
        <v>42.3814343031788</v>
      </c>
      <c r="AB2357" s="0" t="n">
        <f aca="false">X2357+Z2357</f>
        <v>45.5159341178738</v>
      </c>
      <c r="AC2357" s="54" t="b">
        <f aca="false">AND(E2357&gt;=01_因子設定!$L$5-0.000000001,E2357&lt;=01_因子設定!$M$5+0.000000001,F2357&gt;=01_因子設定!$L$6-0.000000001,F2357&lt;=01_因子設定!$M$6+0.000000001,G2357&gt;=01_因子設定!$L$7-0.000000001,G2357&lt;=01_因子設定!$M$7+0.000000001,H2357&gt;=01_因子設定!$L$8-0.000000001,H2357&lt;=01_因子設定!$M$8+0.000000001,IF(01_因子設定!$B$20="Box-Behnken",E2357^2+F2357^2+G2357^2+H2357^2&lt;=2+0.000000001,TRUE()))</f>
        <v>1</v>
      </c>
      <c r="AD2357" s="55" t="n">
        <f aca="false">IF(AC2357,IF(01_因子設定!$B$13="最大化",AA2357-01_因子設定!$B$14,IF(01_因子設定!$B$13="最小化",01_因子設定!$B$15-AB2357,MIN(AA2357-01_因子設定!$B$14,01_因子設定!$B$15-AB2357))),-1E+030)</f>
        <v>-4.11856569682123</v>
      </c>
      <c r="AE2357" s="55" t="n">
        <f aca="false">IF(AC2357,IF(01_因子設定!$B$13="最大化",X2357,IF(01_因子設定!$B$13="最小化",-X2357,-ABS(X2357-01_因子設定!$B$16))),-1E+030)</f>
        <v>43.9486842105263</v>
      </c>
      <c r="AF2357" s="55" t="n">
        <f aca="false">AD2357+ROW()*0.000000001</f>
        <v>-4.11856333982123</v>
      </c>
      <c r="AG2357" s="55" t="n">
        <f aca="false">AE2357+ROW()*0.000000001</f>
        <v>43.9486865675263</v>
      </c>
    </row>
    <row r="2358" customFormat="false" ht="15" hidden="false" customHeight="false" outlineLevel="0" collapsed="false">
      <c r="A2358" s="0" t="n">
        <v>3</v>
      </c>
      <c r="B2358" s="0" t="n">
        <v>2</v>
      </c>
      <c r="C2358" s="0" t="n">
        <v>0</v>
      </c>
      <c r="D2358" s="0" t="n">
        <v>4</v>
      </c>
      <c r="E2358" s="0" t="n">
        <f aca="false">-1+A2358*0.25</f>
        <v>-0.25</v>
      </c>
      <c r="F2358" s="0" t="n">
        <f aca="false">-1+B2358*0.25</f>
        <v>-0.5</v>
      </c>
      <c r="G2358" s="0" t="n">
        <f aca="false">-1+C2358*0.25</f>
        <v>-1</v>
      </c>
      <c r="H2358" s="0" t="n">
        <f aca="false">-1+D2358*0.25</f>
        <v>0</v>
      </c>
      <c r="I2358" s="0" t="n">
        <f aca="false">1</f>
        <v>1</v>
      </c>
      <c r="J2358" s="0" t="n">
        <f aca="false">E2358</f>
        <v>-0.25</v>
      </c>
      <c r="K2358" s="0" t="n">
        <f aca="false">F2358</f>
        <v>-0.5</v>
      </c>
      <c r="L2358" s="0" t="n">
        <f aca="false">G2358</f>
        <v>-1</v>
      </c>
      <c r="M2358" s="0" t="n">
        <f aca="false">H2358</f>
        <v>0</v>
      </c>
      <c r="N2358" s="0" t="n">
        <f aca="false">E2358*F2358</f>
        <v>0.125</v>
      </c>
      <c r="O2358" s="0" t="n">
        <f aca="false">E2358*G2358</f>
        <v>0.25</v>
      </c>
      <c r="P2358" s="0" t="n">
        <f aca="false">E2358*H2358</f>
        <v>-0</v>
      </c>
      <c r="Q2358" s="0" t="n">
        <f aca="false">F2358*G2358</f>
        <v>0.5</v>
      </c>
      <c r="R2358" s="0" t="n">
        <f aca="false">F2358*H2358</f>
        <v>-0</v>
      </c>
      <c r="S2358" s="0" t="n">
        <f aca="false">G2358*H2358</f>
        <v>-0</v>
      </c>
      <c r="T2358" s="0" t="n">
        <f aca="false">E2358*E2358</f>
        <v>0.0625</v>
      </c>
      <c r="U2358" s="0" t="n">
        <f aca="false">F2358*F2358</f>
        <v>0.25</v>
      </c>
      <c r="V2358" s="0" t="n">
        <f aca="false">G2358*G2358</f>
        <v>1</v>
      </c>
      <c r="W2358" s="0" t="n">
        <f aca="false">H2358*H2358</f>
        <v>0</v>
      </c>
      <c r="X2358" s="0" t="n">
        <f aca="false">SUMPRODUCT(I2358:W2358,_XtX!$B$96:$P$96)</f>
        <v>44.0208516081871</v>
      </c>
      <c r="Y2358" s="0" t="n">
        <f aca="false">SUMPRODUCT(MMULT(I2358:W2358,_XtX!$B$78:$P$92),I2358:W2358)</f>
        <v>0.457596628289474</v>
      </c>
      <c r="Z2358" s="0" t="n">
        <f aca="false">04_回帰ANOVA!$K$19*04_回帰ANOVA!$K$14*SQRT(1+Y2358)</f>
        <v>1.57368233664366</v>
      </c>
      <c r="AA2358" s="0" t="n">
        <f aca="false">X2358-Z2358</f>
        <v>42.4471692715434</v>
      </c>
      <c r="AB2358" s="0" t="n">
        <f aca="false">X2358+Z2358</f>
        <v>45.5945339448307</v>
      </c>
      <c r="AC2358" s="54" t="b">
        <f aca="false">AND(E2358&gt;=01_因子設定!$L$5-0.000000001,E2358&lt;=01_因子設定!$M$5+0.000000001,F2358&gt;=01_因子設定!$L$6-0.000000001,F2358&lt;=01_因子設定!$M$6+0.000000001,G2358&gt;=01_因子設定!$L$7-0.000000001,G2358&lt;=01_因子設定!$M$7+0.000000001,H2358&gt;=01_因子設定!$L$8-0.000000001,H2358&lt;=01_因子設定!$M$8+0.000000001,IF(01_因子設定!$B$20="Box-Behnken",E2358^2+F2358^2+G2358^2+H2358^2&lt;=2+0.000000001,TRUE()))</f>
        <v>1</v>
      </c>
      <c r="AD2358" s="55" t="n">
        <f aca="false">IF(AC2358,IF(01_因子設定!$B$13="最大化",AA2358-01_因子設定!$B$14,IF(01_因子設定!$B$13="最小化",01_因子設定!$B$15-AB2358,MIN(AA2358-01_因子設定!$B$14,01_因子設定!$B$15-AB2358))),-1E+030)</f>
        <v>-4.05283072845658</v>
      </c>
      <c r="AE2358" s="55" t="n">
        <f aca="false">IF(AC2358,IF(01_因子設定!$B$13="最大化",X2358,IF(01_因子設定!$B$13="最小化",-X2358,-ABS(X2358-01_因子設定!$B$16))),-1E+030)</f>
        <v>44.0208516081871</v>
      </c>
      <c r="AF2358" s="55" t="n">
        <f aca="false">AD2358+ROW()*0.000000001</f>
        <v>-4.05282837045658</v>
      </c>
      <c r="AG2358" s="55" t="n">
        <f aca="false">AE2358+ROW()*0.000000001</f>
        <v>44.0208539661871</v>
      </c>
    </row>
    <row r="2359" customFormat="false" ht="15" hidden="false" customHeight="false" outlineLevel="0" collapsed="false">
      <c r="A2359" s="0" t="n">
        <v>3</v>
      </c>
      <c r="B2359" s="0" t="n">
        <v>2</v>
      </c>
      <c r="C2359" s="0" t="n">
        <v>0</v>
      </c>
      <c r="D2359" s="0" t="n">
        <v>5</v>
      </c>
      <c r="E2359" s="0" t="n">
        <f aca="false">-1+A2359*0.25</f>
        <v>-0.25</v>
      </c>
      <c r="F2359" s="0" t="n">
        <f aca="false">-1+B2359*0.25</f>
        <v>-0.5</v>
      </c>
      <c r="G2359" s="0" t="n">
        <f aca="false">-1+C2359*0.25</f>
        <v>-1</v>
      </c>
      <c r="H2359" s="0" t="n">
        <f aca="false">-1+D2359*0.25</f>
        <v>0.25</v>
      </c>
      <c r="I2359" s="0" t="n">
        <f aca="false">1</f>
        <v>1</v>
      </c>
      <c r="J2359" s="0" t="n">
        <f aca="false">E2359</f>
        <v>-0.25</v>
      </c>
      <c r="K2359" s="0" t="n">
        <f aca="false">F2359</f>
        <v>-0.5</v>
      </c>
      <c r="L2359" s="0" t="n">
        <f aca="false">G2359</f>
        <v>-1</v>
      </c>
      <c r="M2359" s="0" t="n">
        <f aca="false">H2359</f>
        <v>0.25</v>
      </c>
      <c r="N2359" s="0" t="n">
        <f aca="false">E2359*F2359</f>
        <v>0.125</v>
      </c>
      <c r="O2359" s="0" t="n">
        <f aca="false">E2359*G2359</f>
        <v>0.25</v>
      </c>
      <c r="P2359" s="0" t="n">
        <f aca="false">E2359*H2359</f>
        <v>-0.0625</v>
      </c>
      <c r="Q2359" s="0" t="n">
        <f aca="false">F2359*G2359</f>
        <v>0.5</v>
      </c>
      <c r="R2359" s="0" t="n">
        <f aca="false">F2359*H2359</f>
        <v>-0.125</v>
      </c>
      <c r="S2359" s="0" t="n">
        <f aca="false">G2359*H2359</f>
        <v>-0.25</v>
      </c>
      <c r="T2359" s="0" t="n">
        <f aca="false">E2359*E2359</f>
        <v>0.0625</v>
      </c>
      <c r="U2359" s="0" t="n">
        <f aca="false">F2359*F2359</f>
        <v>0.25</v>
      </c>
      <c r="V2359" s="0" t="n">
        <f aca="false">G2359*G2359</f>
        <v>1</v>
      </c>
      <c r="W2359" s="0" t="n">
        <f aca="false">H2359*H2359</f>
        <v>0.0625</v>
      </c>
      <c r="X2359" s="0" t="n">
        <f aca="false">SUMPRODUCT(I2359:W2359,_XtX!$B$96:$P$96)</f>
        <v>44.045211988304</v>
      </c>
      <c r="Y2359" s="0" t="n">
        <f aca="false">SUMPRODUCT(MMULT(I2359:W2359,_XtX!$B$78:$P$92),I2359:W2359)</f>
        <v>0.445705123812135</v>
      </c>
      <c r="Z2359" s="0" t="n">
        <f aca="false">04_回帰ANOVA!$K$19*04_回帰ANOVA!$K$14*SQRT(1+Y2359)</f>
        <v>1.56724990734749</v>
      </c>
      <c r="AA2359" s="0" t="n">
        <f aca="false">X2359-Z2359</f>
        <v>42.4779620809566</v>
      </c>
      <c r="AB2359" s="0" t="n">
        <f aca="false">X2359+Z2359</f>
        <v>45.6124618956515</v>
      </c>
      <c r="AC2359" s="54" t="b">
        <f aca="false">AND(E2359&gt;=01_因子設定!$L$5-0.000000001,E2359&lt;=01_因子設定!$M$5+0.000000001,F2359&gt;=01_因子設定!$L$6-0.000000001,F2359&lt;=01_因子設定!$M$6+0.000000001,G2359&gt;=01_因子設定!$L$7-0.000000001,G2359&lt;=01_因子設定!$M$7+0.000000001,H2359&gt;=01_因子設定!$L$8-0.000000001,H2359&lt;=01_因子設定!$M$8+0.000000001,IF(01_因子設定!$B$20="Box-Behnken",E2359^2+F2359^2+G2359^2+H2359^2&lt;=2+0.000000001,TRUE()))</f>
        <v>1</v>
      </c>
      <c r="AD2359" s="55" t="n">
        <f aca="false">IF(AC2359,IF(01_因子設定!$B$13="最大化",AA2359-01_因子設定!$B$14,IF(01_因子設定!$B$13="最小化",01_因子設定!$B$15-AB2359,MIN(AA2359-01_因子設定!$B$14,01_因子設定!$B$15-AB2359))),-1E+030)</f>
        <v>-4.02203791904345</v>
      </c>
      <c r="AE2359" s="55" t="n">
        <f aca="false">IF(AC2359,IF(01_因子設定!$B$13="最大化",X2359,IF(01_因子設定!$B$13="最小化",-X2359,-ABS(X2359-01_因子設定!$B$16))),-1E+030)</f>
        <v>44.045211988304</v>
      </c>
      <c r="AF2359" s="55" t="n">
        <f aca="false">AD2359+ROW()*0.000000001</f>
        <v>-4.02203556004345</v>
      </c>
      <c r="AG2359" s="55" t="n">
        <f aca="false">AE2359+ROW()*0.000000001</f>
        <v>44.045214347304</v>
      </c>
    </row>
    <row r="2360" customFormat="false" ht="15" hidden="false" customHeight="false" outlineLevel="0" collapsed="false">
      <c r="A2360" s="0" t="n">
        <v>3</v>
      </c>
      <c r="B2360" s="0" t="n">
        <v>2</v>
      </c>
      <c r="C2360" s="0" t="n">
        <v>0</v>
      </c>
      <c r="D2360" s="0" t="n">
        <v>6</v>
      </c>
      <c r="E2360" s="0" t="n">
        <f aca="false">-1+A2360*0.25</f>
        <v>-0.25</v>
      </c>
      <c r="F2360" s="0" t="n">
        <f aca="false">-1+B2360*0.25</f>
        <v>-0.5</v>
      </c>
      <c r="G2360" s="0" t="n">
        <f aca="false">-1+C2360*0.25</f>
        <v>-1</v>
      </c>
      <c r="H2360" s="0" t="n">
        <f aca="false">-1+D2360*0.25</f>
        <v>0.5</v>
      </c>
      <c r="I2360" s="0" t="n">
        <f aca="false">1</f>
        <v>1</v>
      </c>
      <c r="J2360" s="0" t="n">
        <f aca="false">E2360</f>
        <v>-0.25</v>
      </c>
      <c r="K2360" s="0" t="n">
        <f aca="false">F2360</f>
        <v>-0.5</v>
      </c>
      <c r="L2360" s="0" t="n">
        <f aca="false">G2360</f>
        <v>-1</v>
      </c>
      <c r="M2360" s="0" t="n">
        <f aca="false">H2360</f>
        <v>0.5</v>
      </c>
      <c r="N2360" s="0" t="n">
        <f aca="false">E2360*F2360</f>
        <v>0.125</v>
      </c>
      <c r="O2360" s="0" t="n">
        <f aca="false">E2360*G2360</f>
        <v>0.25</v>
      </c>
      <c r="P2360" s="0" t="n">
        <f aca="false">E2360*H2360</f>
        <v>-0.125</v>
      </c>
      <c r="Q2360" s="0" t="n">
        <f aca="false">F2360*G2360</f>
        <v>0.5</v>
      </c>
      <c r="R2360" s="0" t="n">
        <f aca="false">F2360*H2360</f>
        <v>-0.25</v>
      </c>
      <c r="S2360" s="0" t="n">
        <f aca="false">G2360*H2360</f>
        <v>-0.5</v>
      </c>
      <c r="T2360" s="0" t="n">
        <f aca="false">E2360*E2360</f>
        <v>0.0625</v>
      </c>
      <c r="U2360" s="0" t="n">
        <f aca="false">F2360*F2360</f>
        <v>0.25</v>
      </c>
      <c r="V2360" s="0" t="n">
        <f aca="false">G2360*G2360</f>
        <v>1</v>
      </c>
      <c r="W2360" s="0" t="n">
        <f aca="false">H2360*H2360</f>
        <v>0.25</v>
      </c>
      <c r="X2360" s="0" t="n">
        <f aca="false">SUMPRODUCT(I2360:W2360,_XtX!$B$96:$P$96)</f>
        <v>44.0217653508771</v>
      </c>
      <c r="Y2360" s="0" t="n">
        <f aca="false">SUMPRODUCT(MMULT(I2360:W2360,_XtX!$B$78:$P$92),I2360:W2360)</f>
        <v>0.428122715643275</v>
      </c>
      <c r="Z2360" s="0" t="n">
        <f aca="false">04_回帰ANOVA!$K$19*04_回帰ANOVA!$K$14*SQRT(1+Y2360)</f>
        <v>1.55769044623229</v>
      </c>
      <c r="AA2360" s="0" t="n">
        <f aca="false">X2360-Z2360</f>
        <v>42.4640749046449</v>
      </c>
      <c r="AB2360" s="0" t="n">
        <f aca="false">X2360+Z2360</f>
        <v>45.5794557971094</v>
      </c>
      <c r="AC2360" s="54" t="b">
        <f aca="false">AND(E2360&gt;=01_因子設定!$L$5-0.000000001,E2360&lt;=01_因子設定!$M$5+0.000000001,F2360&gt;=01_因子設定!$L$6-0.000000001,F2360&lt;=01_因子設定!$M$6+0.000000001,G2360&gt;=01_因子設定!$L$7-0.000000001,G2360&lt;=01_因子設定!$M$7+0.000000001,H2360&gt;=01_因子設定!$L$8-0.000000001,H2360&lt;=01_因子設定!$M$8+0.000000001,IF(01_因子設定!$B$20="Box-Behnken",E2360^2+F2360^2+G2360^2+H2360^2&lt;=2+0.000000001,TRUE()))</f>
        <v>1</v>
      </c>
      <c r="AD2360" s="55" t="n">
        <f aca="false">IF(AC2360,IF(01_因子設定!$B$13="最大化",AA2360-01_因子設定!$B$14,IF(01_因子設定!$B$13="最小化",01_因子設定!$B$15-AB2360,MIN(AA2360-01_因子設定!$B$14,01_因子設定!$B$15-AB2360))),-1E+030)</f>
        <v>-4.03592509535515</v>
      </c>
      <c r="AE2360" s="55" t="n">
        <f aca="false">IF(AC2360,IF(01_因子設定!$B$13="最大化",X2360,IF(01_因子設定!$B$13="最小化",-X2360,-ABS(X2360-01_因子設定!$B$16))),-1E+030)</f>
        <v>44.0217653508771</v>
      </c>
      <c r="AF2360" s="55" t="n">
        <f aca="false">AD2360+ROW()*0.000000001</f>
        <v>-4.03592273535515</v>
      </c>
      <c r="AG2360" s="55" t="n">
        <f aca="false">AE2360+ROW()*0.000000001</f>
        <v>44.0217677108772</v>
      </c>
    </row>
    <row r="2361" customFormat="false" ht="15" hidden="false" customHeight="false" outlineLevel="0" collapsed="false">
      <c r="A2361" s="0" t="n">
        <v>3</v>
      </c>
      <c r="B2361" s="0" t="n">
        <v>2</v>
      </c>
      <c r="C2361" s="0" t="n">
        <v>0</v>
      </c>
      <c r="D2361" s="0" t="n">
        <v>7</v>
      </c>
      <c r="E2361" s="0" t="n">
        <f aca="false">-1+A2361*0.25</f>
        <v>-0.25</v>
      </c>
      <c r="F2361" s="0" t="n">
        <f aca="false">-1+B2361*0.25</f>
        <v>-0.5</v>
      </c>
      <c r="G2361" s="0" t="n">
        <f aca="false">-1+C2361*0.25</f>
        <v>-1</v>
      </c>
      <c r="H2361" s="0" t="n">
        <f aca="false">-1+D2361*0.25</f>
        <v>0.75</v>
      </c>
      <c r="I2361" s="0" t="n">
        <f aca="false">1</f>
        <v>1</v>
      </c>
      <c r="J2361" s="0" t="n">
        <f aca="false">E2361</f>
        <v>-0.25</v>
      </c>
      <c r="K2361" s="0" t="n">
        <f aca="false">F2361</f>
        <v>-0.5</v>
      </c>
      <c r="L2361" s="0" t="n">
        <f aca="false">G2361</f>
        <v>-1</v>
      </c>
      <c r="M2361" s="0" t="n">
        <f aca="false">H2361</f>
        <v>0.75</v>
      </c>
      <c r="N2361" s="0" t="n">
        <f aca="false">E2361*F2361</f>
        <v>0.125</v>
      </c>
      <c r="O2361" s="0" t="n">
        <f aca="false">E2361*G2361</f>
        <v>0.25</v>
      </c>
      <c r="P2361" s="0" t="n">
        <f aca="false">E2361*H2361</f>
        <v>-0.1875</v>
      </c>
      <c r="Q2361" s="0" t="n">
        <f aca="false">F2361*G2361</f>
        <v>0.5</v>
      </c>
      <c r="R2361" s="0" t="n">
        <f aca="false">F2361*H2361</f>
        <v>-0.375</v>
      </c>
      <c r="S2361" s="0" t="n">
        <f aca="false">G2361*H2361</f>
        <v>-0.75</v>
      </c>
      <c r="T2361" s="0" t="n">
        <f aca="false">E2361*E2361</f>
        <v>0.0625</v>
      </c>
      <c r="U2361" s="0" t="n">
        <f aca="false">F2361*F2361</f>
        <v>0.25</v>
      </c>
      <c r="V2361" s="0" t="n">
        <f aca="false">G2361*G2361</f>
        <v>1</v>
      </c>
      <c r="W2361" s="0" t="n">
        <f aca="false">H2361*H2361</f>
        <v>0.5625</v>
      </c>
      <c r="X2361" s="0" t="n">
        <f aca="false">SUMPRODUCT(I2361:W2361,_XtX!$B$96:$P$96)</f>
        <v>43.9505116959064</v>
      </c>
      <c r="Y2361" s="0" t="n">
        <f aca="false">SUMPRODUCT(MMULT(I2361:W2361,_XtX!$B$78:$P$92),I2361:W2361)</f>
        <v>0.459125719572369</v>
      </c>
      <c r="Z2361" s="0" t="n">
        <f aca="false">04_回帰ANOVA!$K$19*04_回帰ANOVA!$K$14*SQRT(1+Y2361)</f>
        <v>1.57450755575573</v>
      </c>
      <c r="AA2361" s="0" t="n">
        <f aca="false">X2361-Z2361</f>
        <v>42.3760041401507</v>
      </c>
      <c r="AB2361" s="0" t="n">
        <f aca="false">X2361+Z2361</f>
        <v>45.5250192516621</v>
      </c>
      <c r="AC2361" s="54" t="b">
        <f aca="false">AND(E2361&gt;=01_因子設定!$L$5-0.000000001,E2361&lt;=01_因子設定!$M$5+0.000000001,F2361&gt;=01_因子設定!$L$6-0.000000001,F2361&lt;=01_因子設定!$M$6+0.000000001,G2361&gt;=01_因子設定!$L$7-0.000000001,G2361&lt;=01_因子設定!$M$7+0.000000001,H2361&gt;=01_因子設定!$L$8-0.000000001,H2361&lt;=01_因子設定!$M$8+0.000000001,IF(01_因子設定!$B$20="Box-Behnken",E2361^2+F2361^2+G2361^2+H2361^2&lt;=2+0.000000001,TRUE()))</f>
        <v>1</v>
      </c>
      <c r="AD2361" s="55" t="n">
        <f aca="false">IF(AC2361,IF(01_因子設定!$B$13="最大化",AA2361-01_因子設定!$B$14,IF(01_因子設定!$B$13="最小化",01_因子設定!$B$15-AB2361,MIN(AA2361-01_因子設定!$B$14,01_因子設定!$B$15-AB2361))),-1E+030)</f>
        <v>-4.12399585984933</v>
      </c>
      <c r="AE2361" s="55" t="n">
        <f aca="false">IF(AC2361,IF(01_因子設定!$B$13="最大化",X2361,IF(01_因子設定!$B$13="最小化",-X2361,-ABS(X2361-01_因子設定!$B$16))),-1E+030)</f>
        <v>43.9505116959064</v>
      </c>
      <c r="AF2361" s="55" t="n">
        <f aca="false">AD2361+ROW()*0.000000001</f>
        <v>-4.12399349884933</v>
      </c>
      <c r="AG2361" s="55" t="n">
        <f aca="false">AE2361+ROW()*0.000000001</f>
        <v>43.9505140569064</v>
      </c>
    </row>
    <row r="2362" customFormat="false" ht="15" hidden="false" customHeight="false" outlineLevel="0" collapsed="false">
      <c r="A2362" s="0" t="n">
        <v>3</v>
      </c>
      <c r="B2362" s="0" t="n">
        <v>2</v>
      </c>
      <c r="C2362" s="0" t="n">
        <v>0</v>
      </c>
      <c r="D2362" s="0" t="n">
        <v>8</v>
      </c>
      <c r="E2362" s="0" t="n">
        <f aca="false">-1+A2362*0.25</f>
        <v>-0.25</v>
      </c>
      <c r="F2362" s="0" t="n">
        <f aca="false">-1+B2362*0.25</f>
        <v>-0.5</v>
      </c>
      <c r="G2362" s="0" t="n">
        <f aca="false">-1+C2362*0.25</f>
        <v>-1</v>
      </c>
      <c r="H2362" s="0" t="n">
        <f aca="false">-1+D2362*0.25</f>
        <v>1</v>
      </c>
      <c r="I2362" s="0" t="n">
        <f aca="false">1</f>
        <v>1</v>
      </c>
      <c r="J2362" s="0" t="n">
        <f aca="false">E2362</f>
        <v>-0.25</v>
      </c>
      <c r="K2362" s="0" t="n">
        <f aca="false">F2362</f>
        <v>-0.5</v>
      </c>
      <c r="L2362" s="0" t="n">
        <f aca="false">G2362</f>
        <v>-1</v>
      </c>
      <c r="M2362" s="0" t="n">
        <f aca="false">H2362</f>
        <v>1</v>
      </c>
      <c r="N2362" s="0" t="n">
        <f aca="false">E2362*F2362</f>
        <v>0.125</v>
      </c>
      <c r="O2362" s="0" t="n">
        <f aca="false">E2362*G2362</f>
        <v>0.25</v>
      </c>
      <c r="P2362" s="0" t="n">
        <f aca="false">E2362*H2362</f>
        <v>-0.25</v>
      </c>
      <c r="Q2362" s="0" t="n">
        <f aca="false">F2362*G2362</f>
        <v>0.5</v>
      </c>
      <c r="R2362" s="0" t="n">
        <f aca="false">F2362*H2362</f>
        <v>-0.5</v>
      </c>
      <c r="S2362" s="0" t="n">
        <f aca="false">G2362*H2362</f>
        <v>-1</v>
      </c>
      <c r="T2362" s="0" t="n">
        <f aca="false">E2362*E2362</f>
        <v>0.0625</v>
      </c>
      <c r="U2362" s="0" t="n">
        <f aca="false">F2362*F2362</f>
        <v>0.25</v>
      </c>
      <c r="V2362" s="0" t="n">
        <f aca="false">G2362*G2362</f>
        <v>1</v>
      </c>
      <c r="W2362" s="0" t="n">
        <f aca="false">H2362*H2362</f>
        <v>1</v>
      </c>
      <c r="X2362" s="0" t="n">
        <f aca="false">SUMPRODUCT(I2362:W2362,_XtX!$B$96:$P$96)</f>
        <v>43.8314510233918</v>
      </c>
      <c r="Y2362" s="0" t="n">
        <f aca="false">SUMPRODUCT(MMULT(I2362:W2362,_XtX!$B$78:$P$92),I2362:W2362)</f>
        <v>0.629174661915205</v>
      </c>
      <c r="Z2362" s="0" t="n">
        <f aca="false">04_回帰ANOVA!$K$19*04_回帰ANOVA!$K$14*SQRT(1+Y2362)</f>
        <v>1.66372758058297</v>
      </c>
      <c r="AA2362" s="0" t="n">
        <f aca="false">X2362-Z2362</f>
        <v>42.1677234428088</v>
      </c>
      <c r="AB2362" s="0" t="n">
        <f aca="false">X2362+Z2362</f>
        <v>45.4951786039748</v>
      </c>
      <c r="AC2362" s="54" t="b">
        <f aca="false">AND(E2362&gt;=01_因子設定!$L$5-0.000000001,E2362&lt;=01_因子設定!$M$5+0.000000001,F2362&gt;=01_因子設定!$L$6-0.000000001,F2362&lt;=01_因子設定!$M$6+0.000000001,G2362&gt;=01_因子設定!$L$7-0.000000001,G2362&lt;=01_因子設定!$M$7+0.000000001,H2362&gt;=01_因子設定!$L$8-0.000000001,H2362&lt;=01_因子設定!$M$8+0.000000001,IF(01_因子設定!$B$20="Box-Behnken",E2362^2+F2362^2+G2362^2+H2362^2&lt;=2+0.000000001,TRUE()))</f>
        <v>1</v>
      </c>
      <c r="AD2362" s="55" t="n">
        <f aca="false">IF(AC2362,IF(01_因子設定!$B$13="最大化",AA2362-01_因子設定!$B$14,IF(01_因子設定!$B$13="最小化",01_因子設定!$B$15-AB2362,MIN(AA2362-01_因子設定!$B$14,01_因子設定!$B$15-AB2362))),-1E+030)</f>
        <v>-4.33227655719118</v>
      </c>
      <c r="AE2362" s="55" t="n">
        <f aca="false">IF(AC2362,IF(01_因子設定!$B$13="最大化",X2362,IF(01_因子設定!$B$13="最小化",-X2362,-ABS(X2362-01_因子設定!$B$16))),-1E+030)</f>
        <v>43.8314510233918</v>
      </c>
      <c r="AF2362" s="55" t="n">
        <f aca="false">AD2362+ROW()*0.000000001</f>
        <v>-4.33227419519118</v>
      </c>
      <c r="AG2362" s="55" t="n">
        <f aca="false">AE2362+ROW()*0.000000001</f>
        <v>43.8314533853918</v>
      </c>
    </row>
    <row r="2363" customFormat="false" ht="15" hidden="false" customHeight="false" outlineLevel="0" collapsed="false">
      <c r="A2363" s="0" t="n">
        <v>3</v>
      </c>
      <c r="B2363" s="0" t="n">
        <v>2</v>
      </c>
      <c r="C2363" s="0" t="n">
        <v>1</v>
      </c>
      <c r="D2363" s="0" t="n">
        <v>0</v>
      </c>
      <c r="E2363" s="0" t="n">
        <f aca="false">-1+A2363*0.25</f>
        <v>-0.25</v>
      </c>
      <c r="F2363" s="0" t="n">
        <f aca="false">-1+B2363*0.25</f>
        <v>-0.5</v>
      </c>
      <c r="G2363" s="0" t="n">
        <f aca="false">-1+C2363*0.25</f>
        <v>-0.75</v>
      </c>
      <c r="H2363" s="0" t="n">
        <f aca="false">-1+D2363*0.25</f>
        <v>-1</v>
      </c>
      <c r="I2363" s="0" t="n">
        <f aca="false">1</f>
        <v>1</v>
      </c>
      <c r="J2363" s="0" t="n">
        <f aca="false">E2363</f>
        <v>-0.25</v>
      </c>
      <c r="K2363" s="0" t="n">
        <f aca="false">F2363</f>
        <v>-0.5</v>
      </c>
      <c r="L2363" s="0" t="n">
        <f aca="false">G2363</f>
        <v>-0.75</v>
      </c>
      <c r="M2363" s="0" t="n">
        <f aca="false">H2363</f>
        <v>-1</v>
      </c>
      <c r="N2363" s="0" t="n">
        <f aca="false">E2363*F2363</f>
        <v>0.125</v>
      </c>
      <c r="O2363" s="0" t="n">
        <f aca="false">E2363*G2363</f>
        <v>0.1875</v>
      </c>
      <c r="P2363" s="0" t="n">
        <f aca="false">E2363*H2363</f>
        <v>0.25</v>
      </c>
      <c r="Q2363" s="0" t="n">
        <f aca="false">F2363*G2363</f>
        <v>0.375</v>
      </c>
      <c r="R2363" s="0" t="n">
        <f aca="false">F2363*H2363</f>
        <v>0.5</v>
      </c>
      <c r="S2363" s="0" t="n">
        <f aca="false">G2363*H2363</f>
        <v>0.75</v>
      </c>
      <c r="T2363" s="0" t="n">
        <f aca="false">E2363*E2363</f>
        <v>0.0625</v>
      </c>
      <c r="U2363" s="0" t="n">
        <f aca="false">F2363*F2363</f>
        <v>0.25</v>
      </c>
      <c r="V2363" s="0" t="n">
        <f aca="false">G2363*G2363</f>
        <v>0.5625</v>
      </c>
      <c r="W2363" s="0" t="n">
        <f aca="false">H2363*H2363</f>
        <v>1</v>
      </c>
      <c r="X2363" s="0" t="n">
        <f aca="false">SUMPRODUCT(I2363:W2363,_XtX!$B$96:$P$96)</f>
        <v>43.9194353070175</v>
      </c>
      <c r="Y2363" s="0" t="n">
        <f aca="false">SUMPRODUCT(MMULT(I2363:W2363,_XtX!$B$78:$P$92),I2363:W2363)</f>
        <v>0.459125719572369</v>
      </c>
      <c r="Z2363" s="0" t="n">
        <f aca="false">04_回帰ANOVA!$K$19*04_回帰ANOVA!$K$14*SQRT(1+Y2363)</f>
        <v>1.57450755575573</v>
      </c>
      <c r="AA2363" s="0" t="n">
        <f aca="false">X2363-Z2363</f>
        <v>42.3449277512618</v>
      </c>
      <c r="AB2363" s="0" t="n">
        <f aca="false">X2363+Z2363</f>
        <v>45.4939428627733</v>
      </c>
      <c r="AC2363" s="54" t="b">
        <f aca="false">AND(E2363&gt;=01_因子設定!$L$5-0.000000001,E2363&lt;=01_因子設定!$M$5+0.000000001,F2363&gt;=01_因子設定!$L$6-0.000000001,F2363&lt;=01_因子設定!$M$6+0.000000001,G2363&gt;=01_因子設定!$L$7-0.000000001,G2363&lt;=01_因子設定!$M$7+0.000000001,H2363&gt;=01_因子設定!$L$8-0.000000001,H2363&lt;=01_因子設定!$M$8+0.000000001,IF(01_因子設定!$B$20="Box-Behnken",E2363^2+F2363^2+G2363^2+H2363^2&lt;=2+0.000000001,TRUE()))</f>
        <v>1</v>
      </c>
      <c r="AD2363" s="55" t="n">
        <f aca="false">IF(AC2363,IF(01_因子設定!$B$13="最大化",AA2363-01_因子設定!$B$14,IF(01_因子設定!$B$13="最小化",01_因子設定!$B$15-AB2363,MIN(AA2363-01_因子設定!$B$14,01_因子設定!$B$15-AB2363))),-1E+030)</f>
        <v>-4.15507224873821</v>
      </c>
      <c r="AE2363" s="55" t="n">
        <f aca="false">IF(AC2363,IF(01_因子設定!$B$13="最大化",X2363,IF(01_因子設定!$B$13="最小化",-X2363,-ABS(X2363-01_因子設定!$B$16))),-1E+030)</f>
        <v>43.9194353070175</v>
      </c>
      <c r="AF2363" s="55" t="n">
        <f aca="false">AD2363+ROW()*0.000000001</f>
        <v>-4.15506988573821</v>
      </c>
      <c r="AG2363" s="55" t="n">
        <f aca="false">AE2363+ROW()*0.000000001</f>
        <v>43.9194376700175</v>
      </c>
    </row>
    <row r="2364" customFormat="false" ht="15" hidden="false" customHeight="false" outlineLevel="0" collapsed="false">
      <c r="A2364" s="0" t="n">
        <v>3</v>
      </c>
      <c r="B2364" s="0" t="n">
        <v>2</v>
      </c>
      <c r="C2364" s="0" t="n">
        <v>1</v>
      </c>
      <c r="D2364" s="0" t="n">
        <v>1</v>
      </c>
      <c r="E2364" s="0" t="n">
        <f aca="false">-1+A2364*0.25</f>
        <v>-0.25</v>
      </c>
      <c r="F2364" s="0" t="n">
        <f aca="false">-1+B2364*0.25</f>
        <v>-0.5</v>
      </c>
      <c r="G2364" s="0" t="n">
        <f aca="false">-1+C2364*0.25</f>
        <v>-0.75</v>
      </c>
      <c r="H2364" s="0" t="n">
        <f aca="false">-1+D2364*0.25</f>
        <v>-0.75</v>
      </c>
      <c r="I2364" s="0" t="n">
        <f aca="false">1</f>
        <v>1</v>
      </c>
      <c r="J2364" s="0" t="n">
        <f aca="false">E2364</f>
        <v>-0.25</v>
      </c>
      <c r="K2364" s="0" t="n">
        <f aca="false">F2364</f>
        <v>-0.5</v>
      </c>
      <c r="L2364" s="0" t="n">
        <f aca="false">G2364</f>
        <v>-0.75</v>
      </c>
      <c r="M2364" s="0" t="n">
        <f aca="false">H2364</f>
        <v>-0.75</v>
      </c>
      <c r="N2364" s="0" t="n">
        <f aca="false">E2364*F2364</f>
        <v>0.125</v>
      </c>
      <c r="O2364" s="0" t="n">
        <f aca="false">E2364*G2364</f>
        <v>0.1875</v>
      </c>
      <c r="P2364" s="0" t="n">
        <f aca="false">E2364*H2364</f>
        <v>0.1875</v>
      </c>
      <c r="Q2364" s="0" t="n">
        <f aca="false">F2364*G2364</f>
        <v>0.375</v>
      </c>
      <c r="R2364" s="0" t="n">
        <f aca="false">F2364*H2364</f>
        <v>0.375</v>
      </c>
      <c r="S2364" s="0" t="n">
        <f aca="false">G2364*H2364</f>
        <v>0.5625</v>
      </c>
      <c r="T2364" s="0" t="n">
        <f aca="false">E2364*E2364</f>
        <v>0.0625</v>
      </c>
      <c r="U2364" s="0" t="n">
        <f aca="false">F2364*F2364</f>
        <v>0.25</v>
      </c>
      <c r="V2364" s="0" t="n">
        <f aca="false">G2364*G2364</f>
        <v>0.5625</v>
      </c>
      <c r="W2364" s="0" t="n">
        <f aca="false">H2364*H2364</f>
        <v>0.5625</v>
      </c>
      <c r="X2364" s="0" t="n">
        <f aca="false">SUMPRODUCT(I2364:W2364,_XtX!$B$96:$P$96)</f>
        <v>44.1529925073099</v>
      </c>
      <c r="Y2364" s="0" t="n">
        <f aca="false">SUMPRODUCT(MMULT(I2364:W2364,_XtX!$B$78:$P$92),I2364:W2364)</f>
        <v>0.257385610836988</v>
      </c>
      <c r="Z2364" s="0" t="n">
        <f aca="false">04_回帰ANOVA!$K$19*04_回帰ANOVA!$K$14*SQRT(1+Y2364)</f>
        <v>1.46161380324158</v>
      </c>
      <c r="AA2364" s="0" t="n">
        <f aca="false">X2364-Z2364</f>
        <v>42.6913787040683</v>
      </c>
      <c r="AB2364" s="0" t="n">
        <f aca="false">X2364+Z2364</f>
        <v>45.6146063105515</v>
      </c>
      <c r="AC2364" s="54" t="b">
        <f aca="false">AND(E2364&gt;=01_因子設定!$L$5-0.000000001,E2364&lt;=01_因子設定!$M$5+0.000000001,F2364&gt;=01_因子設定!$L$6-0.000000001,F2364&lt;=01_因子設定!$M$6+0.000000001,G2364&gt;=01_因子設定!$L$7-0.000000001,G2364&lt;=01_因子設定!$M$7+0.000000001,H2364&gt;=01_因子設定!$L$8-0.000000001,H2364&lt;=01_因子設定!$M$8+0.000000001,IF(01_因子設定!$B$20="Box-Behnken",E2364^2+F2364^2+G2364^2+H2364^2&lt;=2+0.000000001,TRUE()))</f>
        <v>1</v>
      </c>
      <c r="AD2364" s="55" t="n">
        <f aca="false">IF(AC2364,IF(01_因子設定!$B$13="最大化",AA2364-01_因子設定!$B$14,IF(01_因子設定!$B$13="最小化",01_因子設定!$B$15-AB2364,MIN(AA2364-01_因子設定!$B$14,01_因子設定!$B$15-AB2364))),-1E+030)</f>
        <v>-3.80862129593168</v>
      </c>
      <c r="AE2364" s="55" t="n">
        <f aca="false">IF(AC2364,IF(01_因子設定!$B$13="最大化",X2364,IF(01_因子設定!$B$13="最小化",-X2364,-ABS(X2364-01_因子設定!$B$16))),-1E+030)</f>
        <v>44.1529925073099</v>
      </c>
      <c r="AF2364" s="55" t="n">
        <f aca="false">AD2364+ROW()*0.000000001</f>
        <v>-3.80861893193168</v>
      </c>
      <c r="AG2364" s="55" t="n">
        <f aca="false">AE2364+ROW()*0.000000001</f>
        <v>44.1529948713099</v>
      </c>
    </row>
    <row r="2365" customFormat="false" ht="15" hidden="false" customHeight="false" outlineLevel="0" collapsed="false">
      <c r="A2365" s="0" t="n">
        <v>3</v>
      </c>
      <c r="B2365" s="0" t="n">
        <v>2</v>
      </c>
      <c r="C2365" s="0" t="n">
        <v>1</v>
      </c>
      <c r="D2365" s="0" t="n">
        <v>2</v>
      </c>
      <c r="E2365" s="0" t="n">
        <f aca="false">-1+A2365*0.25</f>
        <v>-0.25</v>
      </c>
      <c r="F2365" s="0" t="n">
        <f aca="false">-1+B2365*0.25</f>
        <v>-0.5</v>
      </c>
      <c r="G2365" s="0" t="n">
        <f aca="false">-1+C2365*0.25</f>
        <v>-0.75</v>
      </c>
      <c r="H2365" s="0" t="n">
        <f aca="false">-1+D2365*0.25</f>
        <v>-0.5</v>
      </c>
      <c r="I2365" s="0" t="n">
        <f aca="false">1</f>
        <v>1</v>
      </c>
      <c r="J2365" s="0" t="n">
        <f aca="false">E2365</f>
        <v>-0.25</v>
      </c>
      <c r="K2365" s="0" t="n">
        <f aca="false">F2365</f>
        <v>-0.5</v>
      </c>
      <c r="L2365" s="0" t="n">
        <f aca="false">G2365</f>
        <v>-0.75</v>
      </c>
      <c r="M2365" s="0" t="n">
        <f aca="false">H2365</f>
        <v>-0.5</v>
      </c>
      <c r="N2365" s="0" t="n">
        <f aca="false">E2365*F2365</f>
        <v>0.125</v>
      </c>
      <c r="O2365" s="0" t="n">
        <f aca="false">E2365*G2365</f>
        <v>0.1875</v>
      </c>
      <c r="P2365" s="0" t="n">
        <f aca="false">E2365*H2365</f>
        <v>0.125</v>
      </c>
      <c r="Q2365" s="0" t="n">
        <f aca="false">F2365*G2365</f>
        <v>0.375</v>
      </c>
      <c r="R2365" s="0" t="n">
        <f aca="false">F2365*H2365</f>
        <v>0.25</v>
      </c>
      <c r="S2365" s="0" t="n">
        <f aca="false">G2365*H2365</f>
        <v>0.375</v>
      </c>
      <c r="T2365" s="0" t="n">
        <f aca="false">E2365*E2365</f>
        <v>0.0625</v>
      </c>
      <c r="U2365" s="0" t="n">
        <f aca="false">F2365*F2365</f>
        <v>0.25</v>
      </c>
      <c r="V2365" s="0" t="n">
        <f aca="false">G2365*G2365</f>
        <v>0.5625</v>
      </c>
      <c r="W2365" s="0" t="n">
        <f aca="false">H2365*H2365</f>
        <v>0.25</v>
      </c>
      <c r="X2365" s="0" t="n">
        <f aca="false">SUMPRODUCT(I2365:W2365,_XtX!$B$96:$P$96)</f>
        <v>44.3387426900584</v>
      </c>
      <c r="Y2365" s="0" t="n">
        <f aca="false">SUMPRODUCT(MMULT(I2365:W2365,_XtX!$B$78:$P$92),I2365:W2365)</f>
        <v>0.203746059484649</v>
      </c>
      <c r="Z2365" s="0" t="n">
        <f aca="false">04_回帰ANOVA!$K$19*04_回帰ANOVA!$K$14*SQRT(1+Y2365)</f>
        <v>1.43009810755465</v>
      </c>
      <c r="AA2365" s="0" t="n">
        <f aca="false">X2365-Z2365</f>
        <v>42.9086445825038</v>
      </c>
      <c r="AB2365" s="0" t="n">
        <f aca="false">X2365+Z2365</f>
        <v>45.7688407976131</v>
      </c>
      <c r="AC2365" s="54" t="b">
        <f aca="false">AND(E2365&gt;=01_因子設定!$L$5-0.000000001,E2365&lt;=01_因子設定!$M$5+0.000000001,F2365&gt;=01_因子設定!$L$6-0.000000001,F2365&lt;=01_因子設定!$M$6+0.000000001,G2365&gt;=01_因子設定!$L$7-0.000000001,G2365&lt;=01_因子設定!$M$7+0.000000001,H2365&gt;=01_因子設定!$L$8-0.000000001,H2365&lt;=01_因子設定!$M$8+0.000000001,IF(01_因子設定!$B$20="Box-Behnken",E2365^2+F2365^2+G2365^2+H2365^2&lt;=2+0.000000001,TRUE()))</f>
        <v>1</v>
      </c>
      <c r="AD2365" s="55" t="n">
        <f aca="false">IF(AC2365,IF(01_因子設定!$B$13="最大化",AA2365-01_因子設定!$B$14,IF(01_因子設定!$B$13="最小化",01_因子設定!$B$15-AB2365,MIN(AA2365-01_因子設定!$B$14,01_因子設定!$B$15-AB2365))),-1E+030)</f>
        <v>-3.59135541749622</v>
      </c>
      <c r="AE2365" s="55" t="n">
        <f aca="false">IF(AC2365,IF(01_因子設定!$B$13="最大化",X2365,IF(01_因子設定!$B$13="最小化",-X2365,-ABS(X2365-01_因子設定!$B$16))),-1E+030)</f>
        <v>44.3387426900584</v>
      </c>
      <c r="AF2365" s="55" t="n">
        <f aca="false">AD2365+ROW()*0.000000001</f>
        <v>-3.59135305249622</v>
      </c>
      <c r="AG2365" s="55" t="n">
        <f aca="false">AE2365+ROW()*0.000000001</f>
        <v>44.3387450550584</v>
      </c>
    </row>
    <row r="2366" customFormat="false" ht="15" hidden="false" customHeight="false" outlineLevel="0" collapsed="false">
      <c r="A2366" s="0" t="n">
        <v>3</v>
      </c>
      <c r="B2366" s="0" t="n">
        <v>2</v>
      </c>
      <c r="C2366" s="0" t="n">
        <v>1</v>
      </c>
      <c r="D2366" s="0" t="n">
        <v>3</v>
      </c>
      <c r="E2366" s="0" t="n">
        <f aca="false">-1+A2366*0.25</f>
        <v>-0.25</v>
      </c>
      <c r="F2366" s="0" t="n">
        <f aca="false">-1+B2366*0.25</f>
        <v>-0.5</v>
      </c>
      <c r="G2366" s="0" t="n">
        <f aca="false">-1+C2366*0.25</f>
        <v>-0.75</v>
      </c>
      <c r="H2366" s="0" t="n">
        <f aca="false">-1+D2366*0.25</f>
        <v>-0.25</v>
      </c>
      <c r="I2366" s="0" t="n">
        <f aca="false">1</f>
        <v>1</v>
      </c>
      <c r="J2366" s="0" t="n">
        <f aca="false">E2366</f>
        <v>-0.25</v>
      </c>
      <c r="K2366" s="0" t="n">
        <f aca="false">F2366</f>
        <v>-0.5</v>
      </c>
      <c r="L2366" s="0" t="n">
        <f aca="false">G2366</f>
        <v>-0.75</v>
      </c>
      <c r="M2366" s="0" t="n">
        <f aca="false">H2366</f>
        <v>-0.25</v>
      </c>
      <c r="N2366" s="0" t="n">
        <f aca="false">E2366*F2366</f>
        <v>0.125</v>
      </c>
      <c r="O2366" s="0" t="n">
        <f aca="false">E2366*G2366</f>
        <v>0.1875</v>
      </c>
      <c r="P2366" s="0" t="n">
        <f aca="false">E2366*H2366</f>
        <v>0.0625</v>
      </c>
      <c r="Q2366" s="0" t="n">
        <f aca="false">F2366*G2366</f>
        <v>0.375</v>
      </c>
      <c r="R2366" s="0" t="n">
        <f aca="false">F2366*H2366</f>
        <v>0.125</v>
      </c>
      <c r="S2366" s="0" t="n">
        <f aca="false">G2366*H2366</f>
        <v>0.1875</v>
      </c>
      <c r="T2366" s="0" t="n">
        <f aca="false">E2366*E2366</f>
        <v>0.0625</v>
      </c>
      <c r="U2366" s="0" t="n">
        <f aca="false">F2366*F2366</f>
        <v>0.25</v>
      </c>
      <c r="V2366" s="0" t="n">
        <f aca="false">G2366*G2366</f>
        <v>0.5625</v>
      </c>
      <c r="W2366" s="0" t="n">
        <f aca="false">H2366*H2366</f>
        <v>0.0625</v>
      </c>
      <c r="X2366" s="0" t="n">
        <f aca="false">SUMPRODUCT(I2366:W2366,_XtX!$B$96:$P$96)</f>
        <v>44.4766858552631</v>
      </c>
      <c r="Y2366" s="0" t="n">
        <f aca="false">SUMPRODUCT(MMULT(I2366:W2366,_XtX!$B$78:$P$92),I2366:W2366)</f>
        <v>0.207746539199561</v>
      </c>
      <c r="Z2366" s="0" t="n">
        <f aca="false">04_回帰ANOVA!$K$19*04_回帰ANOVA!$K$14*SQRT(1+Y2366)</f>
        <v>1.43247250081141</v>
      </c>
      <c r="AA2366" s="0" t="n">
        <f aca="false">X2366-Z2366</f>
        <v>43.0442133544517</v>
      </c>
      <c r="AB2366" s="0" t="n">
        <f aca="false">X2366+Z2366</f>
        <v>45.9091583560745</v>
      </c>
      <c r="AC2366" s="54" t="b">
        <f aca="false">AND(E2366&gt;=01_因子設定!$L$5-0.000000001,E2366&lt;=01_因子設定!$M$5+0.000000001,F2366&gt;=01_因子設定!$L$6-0.000000001,F2366&lt;=01_因子設定!$M$6+0.000000001,G2366&gt;=01_因子設定!$L$7-0.000000001,G2366&lt;=01_因子設定!$M$7+0.000000001,H2366&gt;=01_因子設定!$L$8-0.000000001,H2366&lt;=01_因子設定!$M$8+0.000000001,IF(01_因子設定!$B$20="Box-Behnken",E2366^2+F2366^2+G2366^2+H2366^2&lt;=2+0.000000001,TRUE()))</f>
        <v>1</v>
      </c>
      <c r="AD2366" s="55" t="n">
        <f aca="false">IF(AC2366,IF(01_因子設定!$B$13="最大化",AA2366-01_因子設定!$B$14,IF(01_因子設定!$B$13="最小化",01_因子設定!$B$15-AB2366,MIN(AA2366-01_因子設定!$B$14,01_因子設定!$B$15-AB2366))),-1E+030)</f>
        <v>-3.45578664554831</v>
      </c>
      <c r="AE2366" s="55" t="n">
        <f aca="false">IF(AC2366,IF(01_因子設定!$B$13="最大化",X2366,IF(01_因子設定!$B$13="最小化",-X2366,-ABS(X2366-01_因子設定!$B$16))),-1E+030)</f>
        <v>44.4766858552631</v>
      </c>
      <c r="AF2366" s="55" t="n">
        <f aca="false">AD2366+ROW()*0.000000001</f>
        <v>-3.45578427954831</v>
      </c>
      <c r="AG2366" s="55" t="n">
        <f aca="false">AE2366+ROW()*0.000000001</f>
        <v>44.4766882212631</v>
      </c>
    </row>
    <row r="2367" customFormat="false" ht="15" hidden="false" customHeight="false" outlineLevel="0" collapsed="false">
      <c r="A2367" s="0" t="n">
        <v>3</v>
      </c>
      <c r="B2367" s="0" t="n">
        <v>2</v>
      </c>
      <c r="C2367" s="0" t="n">
        <v>1</v>
      </c>
      <c r="D2367" s="0" t="n">
        <v>4</v>
      </c>
      <c r="E2367" s="0" t="n">
        <f aca="false">-1+A2367*0.25</f>
        <v>-0.25</v>
      </c>
      <c r="F2367" s="0" t="n">
        <f aca="false">-1+B2367*0.25</f>
        <v>-0.5</v>
      </c>
      <c r="G2367" s="0" t="n">
        <f aca="false">-1+C2367*0.25</f>
        <v>-0.75</v>
      </c>
      <c r="H2367" s="0" t="n">
        <f aca="false">-1+D2367*0.25</f>
        <v>0</v>
      </c>
      <c r="I2367" s="0" t="n">
        <f aca="false">1</f>
        <v>1</v>
      </c>
      <c r="J2367" s="0" t="n">
        <f aca="false">E2367</f>
        <v>-0.25</v>
      </c>
      <c r="K2367" s="0" t="n">
        <f aca="false">F2367</f>
        <v>-0.5</v>
      </c>
      <c r="L2367" s="0" t="n">
        <f aca="false">G2367</f>
        <v>-0.75</v>
      </c>
      <c r="M2367" s="0" t="n">
        <f aca="false">H2367</f>
        <v>0</v>
      </c>
      <c r="N2367" s="0" t="n">
        <f aca="false">E2367*F2367</f>
        <v>0.125</v>
      </c>
      <c r="O2367" s="0" t="n">
        <f aca="false">E2367*G2367</f>
        <v>0.1875</v>
      </c>
      <c r="P2367" s="0" t="n">
        <f aca="false">E2367*H2367</f>
        <v>-0</v>
      </c>
      <c r="Q2367" s="0" t="n">
        <f aca="false">F2367*G2367</f>
        <v>0.375</v>
      </c>
      <c r="R2367" s="0" t="n">
        <f aca="false">F2367*H2367</f>
        <v>-0</v>
      </c>
      <c r="S2367" s="0" t="n">
        <f aca="false">G2367*H2367</f>
        <v>-0</v>
      </c>
      <c r="T2367" s="0" t="n">
        <f aca="false">E2367*E2367</f>
        <v>0.0625</v>
      </c>
      <c r="U2367" s="0" t="n">
        <f aca="false">F2367*F2367</f>
        <v>0.25</v>
      </c>
      <c r="V2367" s="0" t="n">
        <f aca="false">G2367*G2367</f>
        <v>0.5625</v>
      </c>
      <c r="W2367" s="0" t="n">
        <f aca="false">H2367*H2367</f>
        <v>0</v>
      </c>
      <c r="X2367" s="0" t="n">
        <f aca="false">SUMPRODUCT(I2367:W2367,_XtX!$B$96:$P$96)</f>
        <v>44.5668220029239</v>
      </c>
      <c r="Y2367" s="0" t="n">
        <f aca="false">SUMPRODUCT(MMULT(I2367:W2367,_XtX!$B$78:$P$92),I2367:W2367)</f>
        <v>0.215110734192252</v>
      </c>
      <c r="Z2367" s="0" t="n">
        <f aca="false">04_回帰ANOVA!$K$19*04_回帰ANOVA!$K$14*SQRT(1+Y2367)</f>
        <v>1.43683309086864</v>
      </c>
      <c r="AA2367" s="0" t="n">
        <f aca="false">X2367-Z2367</f>
        <v>43.1299889120553</v>
      </c>
      <c r="AB2367" s="0" t="n">
        <f aca="false">X2367+Z2367</f>
        <v>46.0036550937926</v>
      </c>
      <c r="AC2367" s="54" t="b">
        <f aca="false">AND(E2367&gt;=01_因子設定!$L$5-0.000000001,E2367&lt;=01_因子設定!$M$5+0.000000001,F2367&gt;=01_因子設定!$L$6-0.000000001,F2367&lt;=01_因子設定!$M$6+0.000000001,G2367&gt;=01_因子設定!$L$7-0.000000001,G2367&lt;=01_因子設定!$M$7+0.000000001,H2367&gt;=01_因子設定!$L$8-0.000000001,H2367&lt;=01_因子設定!$M$8+0.000000001,IF(01_因子設定!$B$20="Box-Behnken",E2367^2+F2367^2+G2367^2+H2367^2&lt;=2+0.000000001,TRUE()))</f>
        <v>1</v>
      </c>
      <c r="AD2367" s="55" t="n">
        <f aca="false">IF(AC2367,IF(01_因子設定!$B$13="最大化",AA2367-01_因子設定!$B$14,IF(01_因子設定!$B$13="最小化",01_因子設定!$B$15-AB2367,MIN(AA2367-01_因子設定!$B$14,01_因子設定!$B$15-AB2367))),-1E+030)</f>
        <v>-3.37001108794473</v>
      </c>
      <c r="AE2367" s="55" t="n">
        <f aca="false">IF(AC2367,IF(01_因子設定!$B$13="最大化",X2367,IF(01_因子設定!$B$13="最小化",-X2367,-ABS(X2367-01_因子設定!$B$16))),-1E+030)</f>
        <v>44.5668220029239</v>
      </c>
      <c r="AF2367" s="55" t="n">
        <f aca="false">AD2367+ROW()*0.000000001</f>
        <v>-3.37000872094473</v>
      </c>
      <c r="AG2367" s="55" t="n">
        <f aca="false">AE2367+ROW()*0.000000001</f>
        <v>44.5668243699239</v>
      </c>
    </row>
    <row r="2368" customFormat="false" ht="15" hidden="false" customHeight="false" outlineLevel="0" collapsed="false">
      <c r="A2368" s="0" t="n">
        <v>3</v>
      </c>
      <c r="B2368" s="0" t="n">
        <v>2</v>
      </c>
      <c r="C2368" s="0" t="n">
        <v>1</v>
      </c>
      <c r="D2368" s="0" t="n">
        <v>5</v>
      </c>
      <c r="E2368" s="0" t="n">
        <f aca="false">-1+A2368*0.25</f>
        <v>-0.25</v>
      </c>
      <c r="F2368" s="0" t="n">
        <f aca="false">-1+B2368*0.25</f>
        <v>-0.5</v>
      </c>
      <c r="G2368" s="0" t="n">
        <f aca="false">-1+C2368*0.25</f>
        <v>-0.75</v>
      </c>
      <c r="H2368" s="0" t="n">
        <f aca="false">-1+D2368*0.25</f>
        <v>0.25</v>
      </c>
      <c r="I2368" s="0" t="n">
        <f aca="false">1</f>
        <v>1</v>
      </c>
      <c r="J2368" s="0" t="n">
        <f aca="false">E2368</f>
        <v>-0.25</v>
      </c>
      <c r="K2368" s="0" t="n">
        <f aca="false">F2368</f>
        <v>-0.5</v>
      </c>
      <c r="L2368" s="0" t="n">
        <f aca="false">G2368</f>
        <v>-0.75</v>
      </c>
      <c r="M2368" s="0" t="n">
        <f aca="false">H2368</f>
        <v>0.25</v>
      </c>
      <c r="N2368" s="0" t="n">
        <f aca="false">E2368*F2368</f>
        <v>0.125</v>
      </c>
      <c r="O2368" s="0" t="n">
        <f aca="false">E2368*G2368</f>
        <v>0.1875</v>
      </c>
      <c r="P2368" s="0" t="n">
        <f aca="false">E2368*H2368</f>
        <v>-0.0625</v>
      </c>
      <c r="Q2368" s="0" t="n">
        <f aca="false">F2368*G2368</f>
        <v>0.375</v>
      </c>
      <c r="R2368" s="0" t="n">
        <f aca="false">F2368*H2368</f>
        <v>-0.125</v>
      </c>
      <c r="S2368" s="0" t="n">
        <f aca="false">G2368*H2368</f>
        <v>-0.1875</v>
      </c>
      <c r="T2368" s="0" t="n">
        <f aca="false">E2368*E2368</f>
        <v>0.0625</v>
      </c>
      <c r="U2368" s="0" t="n">
        <f aca="false">F2368*F2368</f>
        <v>0.25</v>
      </c>
      <c r="V2368" s="0" t="n">
        <f aca="false">G2368*G2368</f>
        <v>0.5625</v>
      </c>
      <c r="W2368" s="0" t="n">
        <f aca="false">H2368*H2368</f>
        <v>0.0625</v>
      </c>
      <c r="X2368" s="0" t="n">
        <f aca="false">SUMPRODUCT(I2368:W2368,_XtX!$B$96:$P$96)</f>
        <v>44.6091511330409</v>
      </c>
      <c r="Y2368" s="0" t="n">
        <f aca="false">SUMPRODUCT(MMULT(I2368:W2368,_XtX!$B$78:$P$92),I2368:W2368)</f>
        <v>0.207746539199561</v>
      </c>
      <c r="Z2368" s="0" t="n">
        <f aca="false">04_回帰ANOVA!$K$19*04_回帰ANOVA!$K$14*SQRT(1+Y2368)</f>
        <v>1.43247250081141</v>
      </c>
      <c r="AA2368" s="0" t="n">
        <f aca="false">X2368-Z2368</f>
        <v>43.1766786322295</v>
      </c>
      <c r="AB2368" s="0" t="n">
        <f aca="false">X2368+Z2368</f>
        <v>46.0416236338523</v>
      </c>
      <c r="AC2368" s="54" t="b">
        <f aca="false">AND(E2368&gt;=01_因子設定!$L$5-0.000000001,E2368&lt;=01_因子設定!$M$5+0.000000001,F2368&gt;=01_因子設定!$L$6-0.000000001,F2368&lt;=01_因子設定!$M$6+0.000000001,G2368&gt;=01_因子設定!$L$7-0.000000001,G2368&lt;=01_因子設定!$M$7+0.000000001,H2368&gt;=01_因子設定!$L$8-0.000000001,H2368&lt;=01_因子設定!$M$8+0.000000001,IF(01_因子設定!$B$20="Box-Behnken",E2368^2+F2368^2+G2368^2+H2368^2&lt;=2+0.000000001,TRUE()))</f>
        <v>1</v>
      </c>
      <c r="AD2368" s="55" t="n">
        <f aca="false">IF(AC2368,IF(01_因子設定!$B$13="最大化",AA2368-01_因子設定!$B$14,IF(01_因子設定!$B$13="最小化",01_因子設定!$B$15-AB2368,MIN(AA2368-01_因子設定!$B$14,01_因子設定!$B$15-AB2368))),-1E+030)</f>
        <v>-3.32332136777053</v>
      </c>
      <c r="AE2368" s="55" t="n">
        <f aca="false">IF(AC2368,IF(01_因子設定!$B$13="最大化",X2368,IF(01_因子設定!$B$13="最小化",-X2368,-ABS(X2368-01_因子設定!$B$16))),-1E+030)</f>
        <v>44.6091511330409</v>
      </c>
      <c r="AF2368" s="55" t="n">
        <f aca="false">AD2368+ROW()*0.000000001</f>
        <v>-3.32331899977053</v>
      </c>
      <c r="AG2368" s="55" t="n">
        <f aca="false">AE2368+ROW()*0.000000001</f>
        <v>44.6091535010409</v>
      </c>
    </row>
    <row r="2369" customFormat="false" ht="15" hidden="false" customHeight="false" outlineLevel="0" collapsed="false">
      <c r="A2369" s="0" t="n">
        <v>3</v>
      </c>
      <c r="B2369" s="0" t="n">
        <v>2</v>
      </c>
      <c r="C2369" s="0" t="n">
        <v>1</v>
      </c>
      <c r="D2369" s="0" t="n">
        <v>6</v>
      </c>
      <c r="E2369" s="0" t="n">
        <f aca="false">-1+A2369*0.25</f>
        <v>-0.25</v>
      </c>
      <c r="F2369" s="0" t="n">
        <f aca="false">-1+B2369*0.25</f>
        <v>-0.5</v>
      </c>
      <c r="G2369" s="0" t="n">
        <f aca="false">-1+C2369*0.25</f>
        <v>-0.75</v>
      </c>
      <c r="H2369" s="0" t="n">
        <f aca="false">-1+D2369*0.25</f>
        <v>0.5</v>
      </c>
      <c r="I2369" s="0" t="n">
        <f aca="false">1</f>
        <v>1</v>
      </c>
      <c r="J2369" s="0" t="n">
        <f aca="false">E2369</f>
        <v>-0.25</v>
      </c>
      <c r="K2369" s="0" t="n">
        <f aca="false">F2369</f>
        <v>-0.5</v>
      </c>
      <c r="L2369" s="0" t="n">
        <f aca="false">G2369</f>
        <v>-0.75</v>
      </c>
      <c r="M2369" s="0" t="n">
        <f aca="false">H2369</f>
        <v>0.5</v>
      </c>
      <c r="N2369" s="0" t="n">
        <f aca="false">E2369*F2369</f>
        <v>0.125</v>
      </c>
      <c r="O2369" s="0" t="n">
        <f aca="false">E2369*G2369</f>
        <v>0.1875</v>
      </c>
      <c r="P2369" s="0" t="n">
        <f aca="false">E2369*H2369</f>
        <v>-0.125</v>
      </c>
      <c r="Q2369" s="0" t="n">
        <f aca="false">F2369*G2369</f>
        <v>0.375</v>
      </c>
      <c r="R2369" s="0" t="n">
        <f aca="false">F2369*H2369</f>
        <v>-0.25</v>
      </c>
      <c r="S2369" s="0" t="n">
        <f aca="false">G2369*H2369</f>
        <v>-0.375</v>
      </c>
      <c r="T2369" s="0" t="n">
        <f aca="false">E2369*E2369</f>
        <v>0.0625</v>
      </c>
      <c r="U2369" s="0" t="n">
        <f aca="false">F2369*F2369</f>
        <v>0.25</v>
      </c>
      <c r="V2369" s="0" t="n">
        <f aca="false">G2369*G2369</f>
        <v>0.5625</v>
      </c>
      <c r="W2369" s="0" t="n">
        <f aca="false">H2369*H2369</f>
        <v>0.25</v>
      </c>
      <c r="X2369" s="0" t="n">
        <f aca="false">SUMPRODUCT(I2369:W2369,_XtX!$B$96:$P$96)</f>
        <v>44.603673245614</v>
      </c>
      <c r="Y2369" s="0" t="n">
        <f aca="false">SUMPRODUCT(MMULT(I2369:W2369,_XtX!$B$78:$P$92),I2369:W2369)</f>
        <v>0.203746059484649</v>
      </c>
      <c r="Z2369" s="0" t="n">
        <f aca="false">04_回帰ANOVA!$K$19*04_回帰ANOVA!$K$14*SQRT(1+Y2369)</f>
        <v>1.43009810755465</v>
      </c>
      <c r="AA2369" s="0" t="n">
        <f aca="false">X2369-Z2369</f>
        <v>43.1735751380593</v>
      </c>
      <c r="AB2369" s="0" t="n">
        <f aca="false">X2369+Z2369</f>
        <v>46.0337713531686</v>
      </c>
      <c r="AC2369" s="54" t="b">
        <f aca="false">AND(E2369&gt;=01_因子設定!$L$5-0.000000001,E2369&lt;=01_因子設定!$M$5+0.000000001,F2369&gt;=01_因子設定!$L$6-0.000000001,F2369&lt;=01_因子設定!$M$6+0.000000001,G2369&gt;=01_因子設定!$L$7-0.000000001,G2369&lt;=01_因子設定!$M$7+0.000000001,H2369&gt;=01_因子設定!$L$8-0.000000001,H2369&lt;=01_因子設定!$M$8+0.000000001,IF(01_因子設定!$B$20="Box-Behnken",E2369^2+F2369^2+G2369^2+H2369^2&lt;=2+0.000000001,TRUE()))</f>
        <v>1</v>
      </c>
      <c r="AD2369" s="55" t="n">
        <f aca="false">IF(AC2369,IF(01_因子設定!$B$13="最大化",AA2369-01_因子設定!$B$14,IF(01_因子設定!$B$13="最小化",01_因子設定!$B$15-AB2369,MIN(AA2369-01_因子設定!$B$14,01_因子設定!$B$15-AB2369))),-1E+030)</f>
        <v>-3.32642486194067</v>
      </c>
      <c r="AE2369" s="55" t="n">
        <f aca="false">IF(AC2369,IF(01_因子設定!$B$13="最大化",X2369,IF(01_因子設定!$B$13="最小化",-X2369,-ABS(X2369-01_因子設定!$B$16))),-1E+030)</f>
        <v>44.603673245614</v>
      </c>
      <c r="AF2369" s="55" t="n">
        <f aca="false">AD2369+ROW()*0.000000001</f>
        <v>-3.32642249294067</v>
      </c>
      <c r="AG2369" s="55" t="n">
        <f aca="false">AE2369+ROW()*0.000000001</f>
        <v>44.603675614614</v>
      </c>
    </row>
    <row r="2370" customFormat="false" ht="15" hidden="false" customHeight="false" outlineLevel="0" collapsed="false">
      <c r="A2370" s="0" t="n">
        <v>3</v>
      </c>
      <c r="B2370" s="0" t="n">
        <v>2</v>
      </c>
      <c r="C2370" s="0" t="n">
        <v>1</v>
      </c>
      <c r="D2370" s="0" t="n">
        <v>7</v>
      </c>
      <c r="E2370" s="0" t="n">
        <f aca="false">-1+A2370*0.25</f>
        <v>-0.25</v>
      </c>
      <c r="F2370" s="0" t="n">
        <f aca="false">-1+B2370*0.25</f>
        <v>-0.5</v>
      </c>
      <c r="G2370" s="0" t="n">
        <f aca="false">-1+C2370*0.25</f>
        <v>-0.75</v>
      </c>
      <c r="H2370" s="0" t="n">
        <f aca="false">-1+D2370*0.25</f>
        <v>0.75</v>
      </c>
      <c r="I2370" s="0" t="n">
        <f aca="false">1</f>
        <v>1</v>
      </c>
      <c r="J2370" s="0" t="n">
        <f aca="false">E2370</f>
        <v>-0.25</v>
      </c>
      <c r="K2370" s="0" t="n">
        <f aca="false">F2370</f>
        <v>-0.5</v>
      </c>
      <c r="L2370" s="0" t="n">
        <f aca="false">G2370</f>
        <v>-0.75</v>
      </c>
      <c r="M2370" s="0" t="n">
        <f aca="false">H2370</f>
        <v>0.75</v>
      </c>
      <c r="N2370" s="0" t="n">
        <f aca="false">E2370*F2370</f>
        <v>0.125</v>
      </c>
      <c r="O2370" s="0" t="n">
        <f aca="false">E2370*G2370</f>
        <v>0.1875</v>
      </c>
      <c r="P2370" s="0" t="n">
        <f aca="false">E2370*H2370</f>
        <v>-0.1875</v>
      </c>
      <c r="Q2370" s="0" t="n">
        <f aca="false">F2370*G2370</f>
        <v>0.375</v>
      </c>
      <c r="R2370" s="0" t="n">
        <f aca="false">F2370*H2370</f>
        <v>-0.375</v>
      </c>
      <c r="S2370" s="0" t="n">
        <f aca="false">G2370*H2370</f>
        <v>-0.5625</v>
      </c>
      <c r="T2370" s="0" t="n">
        <f aca="false">E2370*E2370</f>
        <v>0.0625</v>
      </c>
      <c r="U2370" s="0" t="n">
        <f aca="false">F2370*F2370</f>
        <v>0.25</v>
      </c>
      <c r="V2370" s="0" t="n">
        <f aca="false">G2370*G2370</f>
        <v>0.5625</v>
      </c>
      <c r="W2370" s="0" t="n">
        <f aca="false">H2370*H2370</f>
        <v>0.5625</v>
      </c>
      <c r="X2370" s="0" t="n">
        <f aca="false">SUMPRODUCT(I2370:W2370,_XtX!$B$96:$P$96)</f>
        <v>44.5503883406432</v>
      </c>
      <c r="Y2370" s="0" t="n">
        <f aca="false">SUMPRODUCT(MMULT(I2370:W2370,_XtX!$B$78:$P$92),I2370:W2370)</f>
        <v>0.257385610836988</v>
      </c>
      <c r="Z2370" s="0" t="n">
        <f aca="false">04_回帰ANOVA!$K$19*04_回帰ANOVA!$K$14*SQRT(1+Y2370)</f>
        <v>1.46161380324158</v>
      </c>
      <c r="AA2370" s="0" t="n">
        <f aca="false">X2370-Z2370</f>
        <v>43.0887745374017</v>
      </c>
      <c r="AB2370" s="0" t="n">
        <f aca="false">X2370+Z2370</f>
        <v>46.0120021438848</v>
      </c>
      <c r="AC2370" s="54" t="b">
        <f aca="false">AND(E2370&gt;=01_因子設定!$L$5-0.000000001,E2370&lt;=01_因子設定!$M$5+0.000000001,F2370&gt;=01_因子設定!$L$6-0.000000001,F2370&lt;=01_因子設定!$M$6+0.000000001,G2370&gt;=01_因子設定!$L$7-0.000000001,G2370&lt;=01_因子設定!$M$7+0.000000001,H2370&gt;=01_因子設定!$L$8-0.000000001,H2370&lt;=01_因子設定!$M$8+0.000000001,IF(01_因子設定!$B$20="Box-Behnken",E2370^2+F2370^2+G2370^2+H2370^2&lt;=2+0.000000001,TRUE()))</f>
        <v>1</v>
      </c>
      <c r="AD2370" s="55" t="n">
        <f aca="false">IF(AC2370,IF(01_因子設定!$B$13="最大化",AA2370-01_因子設定!$B$14,IF(01_因子設定!$B$13="最小化",01_因子設定!$B$15-AB2370,MIN(AA2370-01_因子設定!$B$14,01_因子設定!$B$15-AB2370))),-1E+030)</f>
        <v>-3.41122546259835</v>
      </c>
      <c r="AE2370" s="55" t="n">
        <f aca="false">IF(AC2370,IF(01_因子設定!$B$13="最大化",X2370,IF(01_因子設定!$B$13="最小化",-X2370,-ABS(X2370-01_因子設定!$B$16))),-1E+030)</f>
        <v>44.5503883406432</v>
      </c>
      <c r="AF2370" s="55" t="n">
        <f aca="false">AD2370+ROW()*0.000000001</f>
        <v>-3.41122309259835</v>
      </c>
      <c r="AG2370" s="55" t="n">
        <f aca="false">AE2370+ROW()*0.000000001</f>
        <v>44.5503907106432</v>
      </c>
    </row>
    <row r="2371" customFormat="false" ht="15" hidden="false" customHeight="false" outlineLevel="0" collapsed="false">
      <c r="A2371" s="0" t="n">
        <v>3</v>
      </c>
      <c r="B2371" s="0" t="n">
        <v>2</v>
      </c>
      <c r="C2371" s="0" t="n">
        <v>1</v>
      </c>
      <c r="D2371" s="0" t="n">
        <v>8</v>
      </c>
      <c r="E2371" s="0" t="n">
        <f aca="false">-1+A2371*0.25</f>
        <v>-0.25</v>
      </c>
      <c r="F2371" s="0" t="n">
        <f aca="false">-1+B2371*0.25</f>
        <v>-0.5</v>
      </c>
      <c r="G2371" s="0" t="n">
        <f aca="false">-1+C2371*0.25</f>
        <v>-0.75</v>
      </c>
      <c r="H2371" s="0" t="n">
        <f aca="false">-1+D2371*0.25</f>
        <v>1</v>
      </c>
      <c r="I2371" s="0" t="n">
        <f aca="false">1</f>
        <v>1</v>
      </c>
      <c r="J2371" s="0" t="n">
        <f aca="false">E2371</f>
        <v>-0.25</v>
      </c>
      <c r="K2371" s="0" t="n">
        <f aca="false">F2371</f>
        <v>-0.5</v>
      </c>
      <c r="L2371" s="0" t="n">
        <f aca="false">G2371</f>
        <v>-0.75</v>
      </c>
      <c r="M2371" s="0" t="n">
        <f aca="false">H2371</f>
        <v>1</v>
      </c>
      <c r="N2371" s="0" t="n">
        <f aca="false">E2371*F2371</f>
        <v>0.125</v>
      </c>
      <c r="O2371" s="0" t="n">
        <f aca="false">E2371*G2371</f>
        <v>0.1875</v>
      </c>
      <c r="P2371" s="0" t="n">
        <f aca="false">E2371*H2371</f>
        <v>-0.25</v>
      </c>
      <c r="Q2371" s="0" t="n">
        <f aca="false">F2371*G2371</f>
        <v>0.375</v>
      </c>
      <c r="R2371" s="0" t="n">
        <f aca="false">F2371*H2371</f>
        <v>-0.5</v>
      </c>
      <c r="S2371" s="0" t="n">
        <f aca="false">G2371*H2371</f>
        <v>-0.75</v>
      </c>
      <c r="T2371" s="0" t="n">
        <f aca="false">E2371*E2371</f>
        <v>0.0625</v>
      </c>
      <c r="U2371" s="0" t="n">
        <f aca="false">F2371*F2371</f>
        <v>0.25</v>
      </c>
      <c r="V2371" s="0" t="n">
        <f aca="false">G2371*G2371</f>
        <v>0.5625</v>
      </c>
      <c r="W2371" s="0" t="n">
        <f aca="false">H2371*H2371</f>
        <v>1</v>
      </c>
      <c r="X2371" s="0" t="n">
        <f aca="false">SUMPRODUCT(I2371:W2371,_XtX!$B$96:$P$96)</f>
        <v>44.4492964181286</v>
      </c>
      <c r="Y2371" s="0" t="n">
        <f aca="false">SUMPRODUCT(MMULT(I2371:W2371,_XtX!$B$78:$P$92),I2371:W2371)</f>
        <v>0.459125719572369</v>
      </c>
      <c r="Z2371" s="0" t="n">
        <f aca="false">04_回帰ANOVA!$K$19*04_回帰ANOVA!$K$14*SQRT(1+Y2371)</f>
        <v>1.57450755575573</v>
      </c>
      <c r="AA2371" s="0" t="n">
        <f aca="false">X2371-Z2371</f>
        <v>42.8747888623729</v>
      </c>
      <c r="AB2371" s="0" t="n">
        <f aca="false">X2371+Z2371</f>
        <v>46.0238039738844</v>
      </c>
      <c r="AC2371" s="54" t="b">
        <f aca="false">AND(E2371&gt;=01_因子設定!$L$5-0.000000001,E2371&lt;=01_因子設定!$M$5+0.000000001,F2371&gt;=01_因子設定!$L$6-0.000000001,F2371&lt;=01_因子設定!$M$6+0.000000001,G2371&gt;=01_因子設定!$L$7-0.000000001,G2371&lt;=01_因子設定!$M$7+0.000000001,H2371&gt;=01_因子設定!$L$8-0.000000001,H2371&lt;=01_因子設定!$M$8+0.000000001,IF(01_因子設定!$B$20="Box-Behnken",E2371^2+F2371^2+G2371^2+H2371^2&lt;=2+0.000000001,TRUE()))</f>
        <v>1</v>
      </c>
      <c r="AD2371" s="55" t="n">
        <f aca="false">IF(AC2371,IF(01_因子設定!$B$13="最大化",AA2371-01_因子設定!$B$14,IF(01_因子設定!$B$13="最小化",01_因子設定!$B$15-AB2371,MIN(AA2371-01_因子設定!$B$14,01_因子設定!$B$15-AB2371))),-1E+030)</f>
        <v>-3.6252111376271</v>
      </c>
      <c r="AE2371" s="55" t="n">
        <f aca="false">IF(AC2371,IF(01_因子設定!$B$13="最大化",X2371,IF(01_因子設定!$B$13="最小化",-X2371,-ABS(X2371-01_因子設定!$B$16))),-1E+030)</f>
        <v>44.4492964181286</v>
      </c>
      <c r="AF2371" s="55" t="n">
        <f aca="false">AD2371+ROW()*0.000000001</f>
        <v>-3.6252087666271</v>
      </c>
      <c r="AG2371" s="55" t="n">
        <f aca="false">AE2371+ROW()*0.000000001</f>
        <v>44.4492987891286</v>
      </c>
    </row>
    <row r="2372" customFormat="false" ht="15" hidden="false" customHeight="false" outlineLevel="0" collapsed="false">
      <c r="A2372" s="0" t="n">
        <v>3</v>
      </c>
      <c r="B2372" s="0" t="n">
        <v>2</v>
      </c>
      <c r="C2372" s="0" t="n">
        <v>2</v>
      </c>
      <c r="D2372" s="0" t="n">
        <v>0</v>
      </c>
      <c r="E2372" s="0" t="n">
        <f aca="false">-1+A2372*0.25</f>
        <v>-0.25</v>
      </c>
      <c r="F2372" s="0" t="n">
        <f aca="false">-1+B2372*0.25</f>
        <v>-0.5</v>
      </c>
      <c r="G2372" s="0" t="n">
        <f aca="false">-1+C2372*0.25</f>
        <v>-0.5</v>
      </c>
      <c r="H2372" s="0" t="n">
        <f aca="false">-1+D2372*0.25</f>
        <v>-1</v>
      </c>
      <c r="I2372" s="0" t="n">
        <f aca="false">1</f>
        <v>1</v>
      </c>
      <c r="J2372" s="0" t="n">
        <f aca="false">E2372</f>
        <v>-0.25</v>
      </c>
      <c r="K2372" s="0" t="n">
        <f aca="false">F2372</f>
        <v>-0.5</v>
      </c>
      <c r="L2372" s="0" t="n">
        <f aca="false">G2372</f>
        <v>-0.5</v>
      </c>
      <c r="M2372" s="0" t="n">
        <f aca="false">H2372</f>
        <v>-1</v>
      </c>
      <c r="N2372" s="0" t="n">
        <f aca="false">E2372*F2372</f>
        <v>0.125</v>
      </c>
      <c r="O2372" s="0" t="n">
        <f aca="false">E2372*G2372</f>
        <v>0.125</v>
      </c>
      <c r="P2372" s="0" t="n">
        <f aca="false">E2372*H2372</f>
        <v>0.25</v>
      </c>
      <c r="Q2372" s="0" t="n">
        <f aca="false">F2372*G2372</f>
        <v>0.25</v>
      </c>
      <c r="R2372" s="0" t="n">
        <f aca="false">F2372*H2372</f>
        <v>0.5</v>
      </c>
      <c r="S2372" s="0" t="n">
        <f aca="false">G2372*H2372</f>
        <v>0.5</v>
      </c>
      <c r="T2372" s="0" t="n">
        <f aca="false">E2372*E2372</f>
        <v>0.0625</v>
      </c>
      <c r="U2372" s="0" t="n">
        <f aca="false">F2372*F2372</f>
        <v>0.25</v>
      </c>
      <c r="V2372" s="0" t="n">
        <f aca="false">G2372*G2372</f>
        <v>0.25</v>
      </c>
      <c r="W2372" s="0" t="n">
        <f aca="false">H2372*H2372</f>
        <v>1</v>
      </c>
      <c r="X2372" s="0" t="n">
        <f aca="false">SUMPRODUCT(I2372:W2372,_XtX!$B$96:$P$96)</f>
        <v>44.3082236842105</v>
      </c>
      <c r="Y2372" s="0" t="n">
        <f aca="false">SUMPRODUCT(MMULT(I2372:W2372,_XtX!$B$78:$P$92),I2372:W2372)</f>
        <v>0.428122715643275</v>
      </c>
      <c r="Z2372" s="0" t="n">
        <f aca="false">04_回帰ANOVA!$K$19*04_回帰ANOVA!$K$14*SQRT(1+Y2372)</f>
        <v>1.55769044623229</v>
      </c>
      <c r="AA2372" s="0" t="n">
        <f aca="false">X2372-Z2372</f>
        <v>42.7505332379782</v>
      </c>
      <c r="AB2372" s="0" t="n">
        <f aca="false">X2372+Z2372</f>
        <v>45.8659141304428</v>
      </c>
      <c r="AC2372" s="54" t="b">
        <f aca="false">AND(E2372&gt;=01_因子設定!$L$5-0.000000001,E2372&lt;=01_因子設定!$M$5+0.000000001,F2372&gt;=01_因子設定!$L$6-0.000000001,F2372&lt;=01_因子設定!$M$6+0.000000001,G2372&gt;=01_因子設定!$L$7-0.000000001,G2372&lt;=01_因子設定!$M$7+0.000000001,H2372&gt;=01_因子設定!$L$8-0.000000001,H2372&lt;=01_因子設定!$M$8+0.000000001,IF(01_因子設定!$B$20="Box-Behnken",E2372^2+F2372^2+G2372^2+H2372^2&lt;=2+0.000000001,TRUE()))</f>
        <v>1</v>
      </c>
      <c r="AD2372" s="55" t="n">
        <f aca="false">IF(AC2372,IF(01_因子設定!$B$13="最大化",AA2372-01_因子設定!$B$14,IF(01_因子設定!$B$13="最小化",01_因子設定!$B$15-AB2372,MIN(AA2372-01_因子設定!$B$14,01_因子設定!$B$15-AB2372))),-1E+030)</f>
        <v>-3.74946676202179</v>
      </c>
      <c r="AE2372" s="55" t="n">
        <f aca="false">IF(AC2372,IF(01_因子設定!$B$13="最大化",X2372,IF(01_因子設定!$B$13="最小化",-X2372,-ABS(X2372-01_因子設定!$B$16))),-1E+030)</f>
        <v>44.3082236842105</v>
      </c>
      <c r="AF2372" s="55" t="n">
        <f aca="false">AD2372+ROW()*0.000000001</f>
        <v>-3.74946439002179</v>
      </c>
      <c r="AG2372" s="55" t="n">
        <f aca="false">AE2372+ROW()*0.000000001</f>
        <v>44.3082260562105</v>
      </c>
    </row>
    <row r="2373" customFormat="false" ht="15" hidden="false" customHeight="false" outlineLevel="0" collapsed="false">
      <c r="A2373" s="0" t="n">
        <v>3</v>
      </c>
      <c r="B2373" s="0" t="n">
        <v>2</v>
      </c>
      <c r="C2373" s="0" t="n">
        <v>2</v>
      </c>
      <c r="D2373" s="0" t="n">
        <v>1</v>
      </c>
      <c r="E2373" s="0" t="n">
        <f aca="false">-1+A2373*0.25</f>
        <v>-0.25</v>
      </c>
      <c r="F2373" s="0" t="n">
        <f aca="false">-1+B2373*0.25</f>
        <v>-0.5</v>
      </c>
      <c r="G2373" s="0" t="n">
        <f aca="false">-1+C2373*0.25</f>
        <v>-0.5</v>
      </c>
      <c r="H2373" s="0" t="n">
        <f aca="false">-1+D2373*0.25</f>
        <v>-0.75</v>
      </c>
      <c r="I2373" s="0" t="n">
        <f aca="false">1</f>
        <v>1</v>
      </c>
      <c r="J2373" s="0" t="n">
        <f aca="false">E2373</f>
        <v>-0.25</v>
      </c>
      <c r="K2373" s="0" t="n">
        <f aca="false">F2373</f>
        <v>-0.5</v>
      </c>
      <c r="L2373" s="0" t="n">
        <f aca="false">G2373</f>
        <v>-0.5</v>
      </c>
      <c r="M2373" s="0" t="n">
        <f aca="false">H2373</f>
        <v>-0.75</v>
      </c>
      <c r="N2373" s="0" t="n">
        <f aca="false">E2373*F2373</f>
        <v>0.125</v>
      </c>
      <c r="O2373" s="0" t="n">
        <f aca="false">E2373*G2373</f>
        <v>0.125</v>
      </c>
      <c r="P2373" s="0" t="n">
        <f aca="false">E2373*H2373</f>
        <v>0.1875</v>
      </c>
      <c r="Q2373" s="0" t="n">
        <f aca="false">F2373*G2373</f>
        <v>0.25</v>
      </c>
      <c r="R2373" s="0" t="n">
        <f aca="false">F2373*H2373</f>
        <v>0.375</v>
      </c>
      <c r="S2373" s="0" t="n">
        <f aca="false">G2373*H2373</f>
        <v>0.375</v>
      </c>
      <c r="T2373" s="0" t="n">
        <f aca="false">E2373*E2373</f>
        <v>0.0625</v>
      </c>
      <c r="U2373" s="0" t="n">
        <f aca="false">F2373*F2373</f>
        <v>0.25</v>
      </c>
      <c r="V2373" s="0" t="n">
        <f aca="false">G2373*G2373</f>
        <v>0.25</v>
      </c>
      <c r="W2373" s="0" t="n">
        <f aca="false">H2373*H2373</f>
        <v>0.5625</v>
      </c>
      <c r="X2373" s="0" t="n">
        <f aca="false">SUMPRODUCT(I2373:W2373,_XtX!$B$96:$P$96)</f>
        <v>44.5597496345029</v>
      </c>
      <c r="Y2373" s="0" t="n">
        <f aca="false">SUMPRODUCT(MMULT(I2373:W2373,_XtX!$B$78:$P$92),I2373:W2373)</f>
        <v>0.203746059484649</v>
      </c>
      <c r="Z2373" s="0" t="n">
        <f aca="false">04_回帰ANOVA!$K$19*04_回帰ANOVA!$K$14*SQRT(1+Y2373)</f>
        <v>1.43009810755465</v>
      </c>
      <c r="AA2373" s="0" t="n">
        <f aca="false">X2373-Z2373</f>
        <v>43.1296515269482</v>
      </c>
      <c r="AB2373" s="0" t="n">
        <f aca="false">X2373+Z2373</f>
        <v>45.9898477420575</v>
      </c>
      <c r="AC2373" s="54" t="b">
        <f aca="false">AND(E2373&gt;=01_因子設定!$L$5-0.000000001,E2373&lt;=01_因子設定!$M$5+0.000000001,F2373&gt;=01_因子設定!$L$6-0.000000001,F2373&lt;=01_因子設定!$M$6+0.000000001,G2373&gt;=01_因子設定!$L$7-0.000000001,G2373&lt;=01_因子設定!$M$7+0.000000001,H2373&gt;=01_因子設定!$L$8-0.000000001,H2373&lt;=01_因子設定!$M$8+0.000000001,IF(01_因子設定!$B$20="Box-Behnken",E2373^2+F2373^2+G2373^2+H2373^2&lt;=2+0.000000001,TRUE()))</f>
        <v>1</v>
      </c>
      <c r="AD2373" s="55" t="n">
        <f aca="false">IF(AC2373,IF(01_因子設定!$B$13="最大化",AA2373-01_因子設定!$B$14,IF(01_因子設定!$B$13="最小化",01_因子設定!$B$15-AB2373,MIN(AA2373-01_因子設定!$B$14,01_因子設定!$B$15-AB2373))),-1E+030)</f>
        <v>-3.37034847305176</v>
      </c>
      <c r="AE2373" s="55" t="n">
        <f aca="false">IF(AC2373,IF(01_因子設定!$B$13="最大化",X2373,IF(01_因子設定!$B$13="最小化",-X2373,-ABS(X2373-01_因子設定!$B$16))),-1E+030)</f>
        <v>44.5597496345029</v>
      </c>
      <c r="AF2373" s="55" t="n">
        <f aca="false">AD2373+ROW()*0.000000001</f>
        <v>-3.37034610005176</v>
      </c>
      <c r="AG2373" s="55" t="n">
        <f aca="false">AE2373+ROW()*0.000000001</f>
        <v>44.5597520075029</v>
      </c>
    </row>
    <row r="2374" customFormat="false" ht="15" hidden="false" customHeight="false" outlineLevel="0" collapsed="false">
      <c r="A2374" s="0" t="n">
        <v>3</v>
      </c>
      <c r="B2374" s="0" t="n">
        <v>2</v>
      </c>
      <c r="C2374" s="0" t="n">
        <v>2</v>
      </c>
      <c r="D2374" s="0" t="n">
        <v>2</v>
      </c>
      <c r="E2374" s="0" t="n">
        <f aca="false">-1+A2374*0.25</f>
        <v>-0.25</v>
      </c>
      <c r="F2374" s="0" t="n">
        <f aca="false">-1+B2374*0.25</f>
        <v>-0.5</v>
      </c>
      <c r="G2374" s="0" t="n">
        <f aca="false">-1+C2374*0.25</f>
        <v>-0.5</v>
      </c>
      <c r="H2374" s="0" t="n">
        <f aca="false">-1+D2374*0.25</f>
        <v>-0.5</v>
      </c>
      <c r="I2374" s="0" t="n">
        <f aca="false">1</f>
        <v>1</v>
      </c>
      <c r="J2374" s="0" t="n">
        <f aca="false">E2374</f>
        <v>-0.25</v>
      </c>
      <c r="K2374" s="0" t="n">
        <f aca="false">F2374</f>
        <v>-0.5</v>
      </c>
      <c r="L2374" s="0" t="n">
        <f aca="false">G2374</f>
        <v>-0.5</v>
      </c>
      <c r="M2374" s="0" t="n">
        <f aca="false">H2374</f>
        <v>-0.5</v>
      </c>
      <c r="N2374" s="0" t="n">
        <f aca="false">E2374*F2374</f>
        <v>0.125</v>
      </c>
      <c r="O2374" s="0" t="n">
        <f aca="false">E2374*G2374</f>
        <v>0.125</v>
      </c>
      <c r="P2374" s="0" t="n">
        <f aca="false">E2374*H2374</f>
        <v>0.125</v>
      </c>
      <c r="Q2374" s="0" t="n">
        <f aca="false">F2374*G2374</f>
        <v>0.25</v>
      </c>
      <c r="R2374" s="0" t="n">
        <f aca="false">F2374*H2374</f>
        <v>0.25</v>
      </c>
      <c r="S2374" s="0" t="n">
        <f aca="false">G2374*H2374</f>
        <v>0.25</v>
      </c>
      <c r="T2374" s="0" t="n">
        <f aca="false">E2374*E2374</f>
        <v>0.0625</v>
      </c>
      <c r="U2374" s="0" t="n">
        <f aca="false">F2374*F2374</f>
        <v>0.25</v>
      </c>
      <c r="V2374" s="0" t="n">
        <f aca="false">G2374*G2374</f>
        <v>0.25</v>
      </c>
      <c r="W2374" s="0" t="n">
        <f aca="false">H2374*H2374</f>
        <v>0.25</v>
      </c>
      <c r="X2374" s="0" t="n">
        <f aca="false">SUMPRODUCT(I2374:W2374,_XtX!$B$96:$P$96)</f>
        <v>44.7634685672514</v>
      </c>
      <c r="Y2374" s="0" t="n">
        <f aca="false">SUMPRODUCT(MMULT(I2374:W2374,_XtX!$B$78:$P$92),I2374:W2374)</f>
        <v>0.133937545687135</v>
      </c>
      <c r="Z2374" s="0" t="n">
        <f aca="false">04_回帰ANOVA!$K$19*04_回帰ANOVA!$K$14*SQRT(1+Y2374)</f>
        <v>1.38801116780825</v>
      </c>
      <c r="AA2374" s="0" t="n">
        <f aca="false">X2374-Z2374</f>
        <v>43.3754573994432</v>
      </c>
      <c r="AB2374" s="0" t="n">
        <f aca="false">X2374+Z2374</f>
        <v>46.1514797350597</v>
      </c>
      <c r="AC2374" s="54" t="b">
        <f aca="false">AND(E2374&gt;=01_因子設定!$L$5-0.000000001,E2374&lt;=01_因子設定!$M$5+0.000000001,F2374&gt;=01_因子設定!$L$6-0.000000001,F2374&lt;=01_因子設定!$M$6+0.000000001,G2374&gt;=01_因子設定!$L$7-0.000000001,G2374&lt;=01_因子設定!$M$7+0.000000001,H2374&gt;=01_因子設定!$L$8-0.000000001,H2374&lt;=01_因子設定!$M$8+0.000000001,IF(01_因子設定!$B$20="Box-Behnken",E2374^2+F2374^2+G2374^2+H2374^2&lt;=2+0.000000001,TRUE()))</f>
        <v>1</v>
      </c>
      <c r="AD2374" s="55" t="n">
        <f aca="false">IF(AC2374,IF(01_因子設定!$B$13="最大化",AA2374-01_因子設定!$B$14,IF(01_因子設定!$B$13="最小化",01_因子設定!$B$15-AB2374,MIN(AA2374-01_因子設定!$B$14,01_因子設定!$B$15-AB2374))),-1E+030)</f>
        <v>-3.12454260055684</v>
      </c>
      <c r="AE2374" s="55" t="n">
        <f aca="false">IF(AC2374,IF(01_因子設定!$B$13="最大化",X2374,IF(01_因子設定!$B$13="最小化",-X2374,-ABS(X2374-01_因子設定!$B$16))),-1E+030)</f>
        <v>44.7634685672514</v>
      </c>
      <c r="AF2374" s="55" t="n">
        <f aca="false">AD2374+ROW()*0.000000001</f>
        <v>-3.12454022655684</v>
      </c>
      <c r="AG2374" s="55" t="n">
        <f aca="false">AE2374+ROW()*0.000000001</f>
        <v>44.7634709412514</v>
      </c>
    </row>
    <row r="2375" customFormat="false" ht="15" hidden="false" customHeight="false" outlineLevel="0" collapsed="false">
      <c r="A2375" s="0" t="n">
        <v>3</v>
      </c>
      <c r="B2375" s="0" t="n">
        <v>2</v>
      </c>
      <c r="C2375" s="0" t="n">
        <v>2</v>
      </c>
      <c r="D2375" s="0" t="n">
        <v>3</v>
      </c>
      <c r="E2375" s="0" t="n">
        <f aca="false">-1+A2375*0.25</f>
        <v>-0.25</v>
      </c>
      <c r="F2375" s="0" t="n">
        <f aca="false">-1+B2375*0.25</f>
        <v>-0.5</v>
      </c>
      <c r="G2375" s="0" t="n">
        <f aca="false">-1+C2375*0.25</f>
        <v>-0.5</v>
      </c>
      <c r="H2375" s="0" t="n">
        <f aca="false">-1+D2375*0.25</f>
        <v>-0.25</v>
      </c>
      <c r="I2375" s="0" t="n">
        <f aca="false">1</f>
        <v>1</v>
      </c>
      <c r="J2375" s="0" t="n">
        <f aca="false">E2375</f>
        <v>-0.25</v>
      </c>
      <c r="K2375" s="0" t="n">
        <f aca="false">F2375</f>
        <v>-0.5</v>
      </c>
      <c r="L2375" s="0" t="n">
        <f aca="false">G2375</f>
        <v>-0.5</v>
      </c>
      <c r="M2375" s="0" t="n">
        <f aca="false">H2375</f>
        <v>-0.25</v>
      </c>
      <c r="N2375" s="0" t="n">
        <f aca="false">E2375*F2375</f>
        <v>0.125</v>
      </c>
      <c r="O2375" s="0" t="n">
        <f aca="false">E2375*G2375</f>
        <v>0.125</v>
      </c>
      <c r="P2375" s="0" t="n">
        <f aca="false">E2375*H2375</f>
        <v>0.0625</v>
      </c>
      <c r="Q2375" s="0" t="n">
        <f aca="false">F2375*G2375</f>
        <v>0.25</v>
      </c>
      <c r="R2375" s="0" t="n">
        <f aca="false">F2375*H2375</f>
        <v>0.125</v>
      </c>
      <c r="S2375" s="0" t="n">
        <f aca="false">G2375*H2375</f>
        <v>0.125</v>
      </c>
      <c r="T2375" s="0" t="n">
        <f aca="false">E2375*E2375</f>
        <v>0.0625</v>
      </c>
      <c r="U2375" s="0" t="n">
        <f aca="false">F2375*F2375</f>
        <v>0.25</v>
      </c>
      <c r="V2375" s="0" t="n">
        <f aca="false">G2375*G2375</f>
        <v>0.25</v>
      </c>
      <c r="W2375" s="0" t="n">
        <f aca="false">H2375*H2375</f>
        <v>0.0625</v>
      </c>
      <c r="X2375" s="0" t="n">
        <f aca="false">SUMPRODUCT(I2375:W2375,_XtX!$B$96:$P$96)</f>
        <v>44.9193804824561</v>
      </c>
      <c r="Y2375" s="0" t="n">
        <f aca="false">SUMPRODUCT(MMULT(I2375:W2375,_XtX!$B$78:$P$92),I2375:W2375)</f>
        <v>0.128236647934942</v>
      </c>
      <c r="Z2375" s="0" t="n">
        <f aca="false">04_回帰ANOVA!$K$19*04_回帰ANOVA!$K$14*SQRT(1+Y2375)</f>
        <v>1.38451764188989</v>
      </c>
      <c r="AA2375" s="0" t="n">
        <f aca="false">X2375-Z2375</f>
        <v>43.5348628405662</v>
      </c>
      <c r="AB2375" s="0" t="n">
        <f aca="false">X2375+Z2375</f>
        <v>46.303898124346</v>
      </c>
      <c r="AC2375" s="54" t="b">
        <f aca="false">AND(E2375&gt;=01_因子設定!$L$5-0.000000001,E2375&lt;=01_因子設定!$M$5+0.000000001,F2375&gt;=01_因子設定!$L$6-0.000000001,F2375&lt;=01_因子設定!$M$6+0.000000001,G2375&gt;=01_因子設定!$L$7-0.000000001,G2375&lt;=01_因子設定!$M$7+0.000000001,H2375&gt;=01_因子設定!$L$8-0.000000001,H2375&lt;=01_因子設定!$M$8+0.000000001,IF(01_因子設定!$B$20="Box-Behnken",E2375^2+F2375^2+G2375^2+H2375^2&lt;=2+0.000000001,TRUE()))</f>
        <v>1</v>
      </c>
      <c r="AD2375" s="55" t="n">
        <f aca="false">IF(AC2375,IF(01_因子設定!$B$13="最大化",AA2375-01_因子設定!$B$14,IF(01_因子設定!$B$13="最小化",01_因子設定!$B$15-AB2375,MIN(AA2375-01_因子設定!$B$14,01_因子設定!$B$15-AB2375))),-1E+030)</f>
        <v>-2.9651371594338</v>
      </c>
      <c r="AE2375" s="55" t="n">
        <f aca="false">IF(AC2375,IF(01_因子設定!$B$13="最大化",X2375,IF(01_因子設定!$B$13="最小化",-X2375,-ABS(X2375-01_因子設定!$B$16))),-1E+030)</f>
        <v>44.9193804824561</v>
      </c>
      <c r="AF2375" s="55" t="n">
        <f aca="false">AD2375+ROW()*0.000000001</f>
        <v>-2.9651347844338</v>
      </c>
      <c r="AG2375" s="55" t="n">
        <f aca="false">AE2375+ROW()*0.000000001</f>
        <v>44.9193828574561</v>
      </c>
    </row>
    <row r="2376" customFormat="false" ht="15" hidden="false" customHeight="false" outlineLevel="0" collapsed="false">
      <c r="A2376" s="0" t="n">
        <v>3</v>
      </c>
      <c r="B2376" s="0" t="n">
        <v>2</v>
      </c>
      <c r="C2376" s="0" t="n">
        <v>2</v>
      </c>
      <c r="D2376" s="0" t="n">
        <v>4</v>
      </c>
      <c r="E2376" s="0" t="n">
        <f aca="false">-1+A2376*0.25</f>
        <v>-0.25</v>
      </c>
      <c r="F2376" s="0" t="n">
        <f aca="false">-1+B2376*0.25</f>
        <v>-0.5</v>
      </c>
      <c r="G2376" s="0" t="n">
        <f aca="false">-1+C2376*0.25</f>
        <v>-0.5</v>
      </c>
      <c r="H2376" s="0" t="n">
        <f aca="false">-1+D2376*0.25</f>
        <v>0</v>
      </c>
      <c r="I2376" s="0" t="n">
        <f aca="false">1</f>
        <v>1</v>
      </c>
      <c r="J2376" s="0" t="n">
        <f aca="false">E2376</f>
        <v>-0.25</v>
      </c>
      <c r="K2376" s="0" t="n">
        <f aca="false">F2376</f>
        <v>-0.5</v>
      </c>
      <c r="L2376" s="0" t="n">
        <f aca="false">G2376</f>
        <v>-0.5</v>
      </c>
      <c r="M2376" s="0" t="n">
        <f aca="false">H2376</f>
        <v>0</v>
      </c>
      <c r="N2376" s="0" t="n">
        <f aca="false">E2376*F2376</f>
        <v>0.125</v>
      </c>
      <c r="O2376" s="0" t="n">
        <f aca="false">E2376*G2376</f>
        <v>0.125</v>
      </c>
      <c r="P2376" s="0" t="n">
        <f aca="false">E2376*H2376</f>
        <v>-0</v>
      </c>
      <c r="Q2376" s="0" t="n">
        <f aca="false">F2376*G2376</f>
        <v>0.25</v>
      </c>
      <c r="R2376" s="0" t="n">
        <f aca="false">F2376*H2376</f>
        <v>-0</v>
      </c>
      <c r="S2376" s="0" t="n">
        <f aca="false">G2376*H2376</f>
        <v>-0</v>
      </c>
      <c r="T2376" s="0" t="n">
        <f aca="false">E2376*E2376</f>
        <v>0.0625</v>
      </c>
      <c r="U2376" s="0" t="n">
        <f aca="false">F2376*F2376</f>
        <v>0.25</v>
      </c>
      <c r="V2376" s="0" t="n">
        <f aca="false">G2376*G2376</f>
        <v>0.25</v>
      </c>
      <c r="W2376" s="0" t="n">
        <f aca="false">H2376*H2376</f>
        <v>0</v>
      </c>
      <c r="X2376" s="0" t="n">
        <f aca="false">SUMPRODUCT(I2376:W2376,_XtX!$B$96:$P$96)</f>
        <v>45.0274853801169</v>
      </c>
      <c r="Y2376" s="0" t="n">
        <f aca="false">SUMPRODUCT(MMULT(I2376:W2376,_XtX!$B$78:$P$92),I2376:W2376)</f>
        <v>0.132367050438597</v>
      </c>
      <c r="Z2376" s="0" t="n">
        <f aca="false">04_回帰ANOVA!$K$19*04_回帰ANOVA!$K$14*SQRT(1+Y2376)</f>
        <v>1.38704964208329</v>
      </c>
      <c r="AA2376" s="0" t="n">
        <f aca="false">X2376-Z2376</f>
        <v>43.6404357380336</v>
      </c>
      <c r="AB2376" s="0" t="n">
        <f aca="false">X2376+Z2376</f>
        <v>46.4145350222002</v>
      </c>
      <c r="AC2376" s="54" t="b">
        <f aca="false">AND(E2376&gt;=01_因子設定!$L$5-0.000000001,E2376&lt;=01_因子設定!$M$5+0.000000001,F2376&gt;=01_因子設定!$L$6-0.000000001,F2376&lt;=01_因子設定!$M$6+0.000000001,G2376&gt;=01_因子設定!$L$7-0.000000001,G2376&lt;=01_因子設定!$M$7+0.000000001,H2376&gt;=01_因子設定!$L$8-0.000000001,H2376&lt;=01_因子設定!$M$8+0.000000001,IF(01_因子設定!$B$20="Box-Behnken",E2376^2+F2376^2+G2376^2+H2376^2&lt;=2+0.000000001,TRUE()))</f>
        <v>1</v>
      </c>
      <c r="AD2376" s="55" t="n">
        <f aca="false">IF(AC2376,IF(01_因子設定!$B$13="最大化",AA2376-01_因子設定!$B$14,IF(01_因子設定!$B$13="最小化",01_因子設定!$B$15-AB2376,MIN(AA2376-01_因子設定!$B$14,01_因子設定!$B$15-AB2376))),-1E+030)</f>
        <v>-2.85956426196639</v>
      </c>
      <c r="AE2376" s="55" t="n">
        <f aca="false">IF(AC2376,IF(01_因子設定!$B$13="最大化",X2376,IF(01_因子設定!$B$13="最小化",-X2376,-ABS(X2376-01_因子設定!$B$16))),-1E+030)</f>
        <v>45.0274853801169</v>
      </c>
      <c r="AF2376" s="55" t="n">
        <f aca="false">AD2376+ROW()*0.000000001</f>
        <v>-2.85956188596639</v>
      </c>
      <c r="AG2376" s="55" t="n">
        <f aca="false">AE2376+ROW()*0.000000001</f>
        <v>45.0274877561169</v>
      </c>
    </row>
    <row r="2377" customFormat="false" ht="15" hidden="false" customHeight="false" outlineLevel="0" collapsed="false">
      <c r="A2377" s="0" t="n">
        <v>3</v>
      </c>
      <c r="B2377" s="0" t="n">
        <v>2</v>
      </c>
      <c r="C2377" s="0" t="n">
        <v>2</v>
      </c>
      <c r="D2377" s="0" t="n">
        <v>5</v>
      </c>
      <c r="E2377" s="0" t="n">
        <f aca="false">-1+A2377*0.25</f>
        <v>-0.25</v>
      </c>
      <c r="F2377" s="0" t="n">
        <f aca="false">-1+B2377*0.25</f>
        <v>-0.5</v>
      </c>
      <c r="G2377" s="0" t="n">
        <f aca="false">-1+C2377*0.25</f>
        <v>-0.5</v>
      </c>
      <c r="H2377" s="0" t="n">
        <f aca="false">-1+D2377*0.25</f>
        <v>0.25</v>
      </c>
      <c r="I2377" s="0" t="n">
        <f aca="false">1</f>
        <v>1</v>
      </c>
      <c r="J2377" s="0" t="n">
        <f aca="false">E2377</f>
        <v>-0.25</v>
      </c>
      <c r="K2377" s="0" t="n">
        <f aca="false">F2377</f>
        <v>-0.5</v>
      </c>
      <c r="L2377" s="0" t="n">
        <f aca="false">G2377</f>
        <v>-0.5</v>
      </c>
      <c r="M2377" s="0" t="n">
        <f aca="false">H2377</f>
        <v>0.25</v>
      </c>
      <c r="N2377" s="0" t="n">
        <f aca="false">E2377*F2377</f>
        <v>0.125</v>
      </c>
      <c r="O2377" s="0" t="n">
        <f aca="false">E2377*G2377</f>
        <v>0.125</v>
      </c>
      <c r="P2377" s="0" t="n">
        <f aca="false">E2377*H2377</f>
        <v>-0.0625</v>
      </c>
      <c r="Q2377" s="0" t="n">
        <f aca="false">F2377*G2377</f>
        <v>0.25</v>
      </c>
      <c r="R2377" s="0" t="n">
        <f aca="false">F2377*H2377</f>
        <v>-0.125</v>
      </c>
      <c r="S2377" s="0" t="n">
        <f aca="false">G2377*H2377</f>
        <v>-0.125</v>
      </c>
      <c r="T2377" s="0" t="n">
        <f aca="false">E2377*E2377</f>
        <v>0.0625</v>
      </c>
      <c r="U2377" s="0" t="n">
        <f aca="false">F2377*F2377</f>
        <v>0.25</v>
      </c>
      <c r="V2377" s="0" t="n">
        <f aca="false">G2377*G2377</f>
        <v>0.25</v>
      </c>
      <c r="W2377" s="0" t="n">
        <f aca="false">H2377*H2377</f>
        <v>0.0625</v>
      </c>
      <c r="X2377" s="0" t="n">
        <f aca="false">SUMPRODUCT(I2377:W2377,_XtX!$B$96:$P$96)</f>
        <v>45.0877832602339</v>
      </c>
      <c r="Y2377" s="0" t="n">
        <f aca="false">SUMPRODUCT(MMULT(I2377:W2377,_XtX!$B$78:$P$92),I2377:W2377)</f>
        <v>0.128236647934942</v>
      </c>
      <c r="Z2377" s="0" t="n">
        <f aca="false">04_回帰ANOVA!$K$19*04_回帰ANOVA!$K$14*SQRT(1+Y2377)</f>
        <v>1.38451764188989</v>
      </c>
      <c r="AA2377" s="0" t="n">
        <f aca="false">X2377-Z2377</f>
        <v>43.703265618344</v>
      </c>
      <c r="AB2377" s="0" t="n">
        <f aca="false">X2377+Z2377</f>
        <v>46.4723009021238</v>
      </c>
      <c r="AC2377" s="54" t="b">
        <f aca="false">AND(E2377&gt;=01_因子設定!$L$5-0.000000001,E2377&lt;=01_因子設定!$M$5+0.000000001,F2377&gt;=01_因子設定!$L$6-0.000000001,F2377&lt;=01_因子設定!$M$6+0.000000001,G2377&gt;=01_因子設定!$L$7-0.000000001,G2377&lt;=01_因子設定!$M$7+0.000000001,H2377&gt;=01_因子設定!$L$8-0.000000001,H2377&lt;=01_因子設定!$M$8+0.000000001,IF(01_因子設定!$B$20="Box-Behnken",E2377^2+F2377^2+G2377^2+H2377^2&lt;=2+0.000000001,TRUE()))</f>
        <v>1</v>
      </c>
      <c r="AD2377" s="55" t="n">
        <f aca="false">IF(AC2377,IF(01_因子設定!$B$13="最大化",AA2377-01_因子設定!$B$14,IF(01_因子設定!$B$13="最小化",01_因子設定!$B$15-AB2377,MIN(AA2377-01_因子設定!$B$14,01_因子設定!$B$15-AB2377))),-1E+030)</f>
        <v>-2.79673438165602</v>
      </c>
      <c r="AE2377" s="55" t="n">
        <f aca="false">IF(AC2377,IF(01_因子設定!$B$13="最大化",X2377,IF(01_因子設定!$B$13="最小化",-X2377,-ABS(X2377-01_因子設定!$B$16))),-1E+030)</f>
        <v>45.0877832602339</v>
      </c>
      <c r="AF2377" s="55" t="n">
        <f aca="false">AD2377+ROW()*0.000000001</f>
        <v>-2.79673200465602</v>
      </c>
      <c r="AG2377" s="55" t="n">
        <f aca="false">AE2377+ROW()*0.000000001</f>
        <v>45.0877856372339</v>
      </c>
    </row>
    <row r="2378" customFormat="false" ht="15" hidden="false" customHeight="false" outlineLevel="0" collapsed="false">
      <c r="A2378" s="0" t="n">
        <v>3</v>
      </c>
      <c r="B2378" s="0" t="n">
        <v>2</v>
      </c>
      <c r="C2378" s="0" t="n">
        <v>2</v>
      </c>
      <c r="D2378" s="0" t="n">
        <v>6</v>
      </c>
      <c r="E2378" s="0" t="n">
        <f aca="false">-1+A2378*0.25</f>
        <v>-0.25</v>
      </c>
      <c r="F2378" s="0" t="n">
        <f aca="false">-1+B2378*0.25</f>
        <v>-0.5</v>
      </c>
      <c r="G2378" s="0" t="n">
        <f aca="false">-1+C2378*0.25</f>
        <v>-0.5</v>
      </c>
      <c r="H2378" s="0" t="n">
        <f aca="false">-1+D2378*0.25</f>
        <v>0.5</v>
      </c>
      <c r="I2378" s="0" t="n">
        <f aca="false">1</f>
        <v>1</v>
      </c>
      <c r="J2378" s="0" t="n">
        <f aca="false">E2378</f>
        <v>-0.25</v>
      </c>
      <c r="K2378" s="0" t="n">
        <f aca="false">F2378</f>
        <v>-0.5</v>
      </c>
      <c r="L2378" s="0" t="n">
        <f aca="false">G2378</f>
        <v>-0.5</v>
      </c>
      <c r="M2378" s="0" t="n">
        <f aca="false">H2378</f>
        <v>0.5</v>
      </c>
      <c r="N2378" s="0" t="n">
        <f aca="false">E2378*F2378</f>
        <v>0.125</v>
      </c>
      <c r="O2378" s="0" t="n">
        <f aca="false">E2378*G2378</f>
        <v>0.125</v>
      </c>
      <c r="P2378" s="0" t="n">
        <f aca="false">E2378*H2378</f>
        <v>-0.125</v>
      </c>
      <c r="Q2378" s="0" t="n">
        <f aca="false">F2378*G2378</f>
        <v>0.25</v>
      </c>
      <c r="R2378" s="0" t="n">
        <f aca="false">F2378*H2378</f>
        <v>-0.25</v>
      </c>
      <c r="S2378" s="0" t="n">
        <f aca="false">G2378*H2378</f>
        <v>-0.25</v>
      </c>
      <c r="T2378" s="0" t="n">
        <f aca="false">E2378*E2378</f>
        <v>0.0625</v>
      </c>
      <c r="U2378" s="0" t="n">
        <f aca="false">F2378*F2378</f>
        <v>0.25</v>
      </c>
      <c r="V2378" s="0" t="n">
        <f aca="false">G2378*G2378</f>
        <v>0.25</v>
      </c>
      <c r="W2378" s="0" t="n">
        <f aca="false">H2378*H2378</f>
        <v>0.25</v>
      </c>
      <c r="X2378" s="0" t="n">
        <f aca="false">SUMPRODUCT(I2378:W2378,_XtX!$B$96:$P$96)</f>
        <v>45.100274122807</v>
      </c>
      <c r="Y2378" s="0" t="n">
        <f aca="false">SUMPRODUCT(MMULT(I2378:W2378,_XtX!$B$78:$P$92),I2378:W2378)</f>
        <v>0.133937545687135</v>
      </c>
      <c r="Z2378" s="0" t="n">
        <f aca="false">04_回帰ANOVA!$K$19*04_回帰ANOVA!$K$14*SQRT(1+Y2378)</f>
        <v>1.38801116780825</v>
      </c>
      <c r="AA2378" s="0" t="n">
        <f aca="false">X2378-Z2378</f>
        <v>43.7122629549987</v>
      </c>
      <c r="AB2378" s="0" t="n">
        <f aca="false">X2378+Z2378</f>
        <v>46.4882852906152</v>
      </c>
      <c r="AC2378" s="54" t="b">
        <f aca="false">AND(E2378&gt;=01_因子設定!$L$5-0.000000001,E2378&lt;=01_因子設定!$M$5+0.000000001,F2378&gt;=01_因子設定!$L$6-0.000000001,F2378&lt;=01_因子設定!$M$6+0.000000001,G2378&gt;=01_因子設定!$L$7-0.000000001,G2378&lt;=01_因子設定!$M$7+0.000000001,H2378&gt;=01_因子設定!$L$8-0.000000001,H2378&lt;=01_因子設定!$M$8+0.000000001,IF(01_因子設定!$B$20="Box-Behnken",E2378^2+F2378^2+G2378^2+H2378^2&lt;=2+0.000000001,TRUE()))</f>
        <v>1</v>
      </c>
      <c r="AD2378" s="55" t="n">
        <f aca="false">IF(AC2378,IF(01_因子設定!$B$13="最大化",AA2378-01_因子設定!$B$14,IF(01_因子設定!$B$13="最小化",01_因子設定!$B$15-AB2378,MIN(AA2378-01_因子設定!$B$14,01_因子設定!$B$15-AB2378))),-1E+030)</f>
        <v>-2.78773704500129</v>
      </c>
      <c r="AE2378" s="55" t="n">
        <f aca="false">IF(AC2378,IF(01_因子設定!$B$13="最大化",X2378,IF(01_因子設定!$B$13="最小化",-X2378,-ABS(X2378-01_因子設定!$B$16))),-1E+030)</f>
        <v>45.100274122807</v>
      </c>
      <c r="AF2378" s="55" t="n">
        <f aca="false">AD2378+ROW()*0.000000001</f>
        <v>-2.78773466700129</v>
      </c>
      <c r="AG2378" s="55" t="n">
        <f aca="false">AE2378+ROW()*0.000000001</f>
        <v>45.100276500807</v>
      </c>
    </row>
    <row r="2379" customFormat="false" ht="15" hidden="false" customHeight="false" outlineLevel="0" collapsed="false">
      <c r="A2379" s="0" t="n">
        <v>3</v>
      </c>
      <c r="B2379" s="0" t="n">
        <v>2</v>
      </c>
      <c r="C2379" s="0" t="n">
        <v>2</v>
      </c>
      <c r="D2379" s="0" t="n">
        <v>7</v>
      </c>
      <c r="E2379" s="0" t="n">
        <f aca="false">-1+A2379*0.25</f>
        <v>-0.25</v>
      </c>
      <c r="F2379" s="0" t="n">
        <f aca="false">-1+B2379*0.25</f>
        <v>-0.5</v>
      </c>
      <c r="G2379" s="0" t="n">
        <f aca="false">-1+C2379*0.25</f>
        <v>-0.5</v>
      </c>
      <c r="H2379" s="0" t="n">
        <f aca="false">-1+D2379*0.25</f>
        <v>0.75</v>
      </c>
      <c r="I2379" s="0" t="n">
        <f aca="false">1</f>
        <v>1</v>
      </c>
      <c r="J2379" s="0" t="n">
        <f aca="false">E2379</f>
        <v>-0.25</v>
      </c>
      <c r="K2379" s="0" t="n">
        <f aca="false">F2379</f>
        <v>-0.5</v>
      </c>
      <c r="L2379" s="0" t="n">
        <f aca="false">G2379</f>
        <v>-0.5</v>
      </c>
      <c r="M2379" s="0" t="n">
        <f aca="false">H2379</f>
        <v>0.75</v>
      </c>
      <c r="N2379" s="0" t="n">
        <f aca="false">E2379*F2379</f>
        <v>0.125</v>
      </c>
      <c r="O2379" s="0" t="n">
        <f aca="false">E2379*G2379</f>
        <v>0.125</v>
      </c>
      <c r="P2379" s="0" t="n">
        <f aca="false">E2379*H2379</f>
        <v>-0.1875</v>
      </c>
      <c r="Q2379" s="0" t="n">
        <f aca="false">F2379*G2379</f>
        <v>0.25</v>
      </c>
      <c r="R2379" s="0" t="n">
        <f aca="false">F2379*H2379</f>
        <v>-0.375</v>
      </c>
      <c r="S2379" s="0" t="n">
        <f aca="false">G2379*H2379</f>
        <v>-0.375</v>
      </c>
      <c r="T2379" s="0" t="n">
        <f aca="false">E2379*E2379</f>
        <v>0.0625</v>
      </c>
      <c r="U2379" s="0" t="n">
        <f aca="false">F2379*F2379</f>
        <v>0.25</v>
      </c>
      <c r="V2379" s="0" t="n">
        <f aca="false">G2379*G2379</f>
        <v>0.25</v>
      </c>
      <c r="W2379" s="0" t="n">
        <f aca="false">H2379*H2379</f>
        <v>0.5625</v>
      </c>
      <c r="X2379" s="0" t="n">
        <f aca="false">SUMPRODUCT(I2379:W2379,_XtX!$B$96:$P$96)</f>
        <v>45.0649579678362</v>
      </c>
      <c r="Y2379" s="0" t="n">
        <f aca="false">SUMPRODUCT(MMULT(I2379:W2379,_XtX!$B$78:$P$92),I2379:W2379)</f>
        <v>0.203746059484649</v>
      </c>
      <c r="Z2379" s="0" t="n">
        <f aca="false">04_回帰ANOVA!$K$19*04_回帰ANOVA!$K$14*SQRT(1+Y2379)</f>
        <v>1.43009810755465</v>
      </c>
      <c r="AA2379" s="0" t="n">
        <f aca="false">X2379-Z2379</f>
        <v>43.6348598602816</v>
      </c>
      <c r="AB2379" s="0" t="n">
        <f aca="false">X2379+Z2379</f>
        <v>46.4950560753909</v>
      </c>
      <c r="AC2379" s="54" t="b">
        <f aca="false">AND(E2379&gt;=01_因子設定!$L$5-0.000000001,E2379&lt;=01_因子設定!$M$5+0.000000001,F2379&gt;=01_因子設定!$L$6-0.000000001,F2379&lt;=01_因子設定!$M$6+0.000000001,G2379&gt;=01_因子設定!$L$7-0.000000001,G2379&lt;=01_因子設定!$M$7+0.000000001,H2379&gt;=01_因子設定!$L$8-0.000000001,H2379&lt;=01_因子設定!$M$8+0.000000001,IF(01_因子設定!$B$20="Box-Behnken",E2379^2+F2379^2+G2379^2+H2379^2&lt;=2+0.000000001,TRUE()))</f>
        <v>1</v>
      </c>
      <c r="AD2379" s="55" t="n">
        <f aca="false">IF(AC2379,IF(01_因子設定!$B$13="最大化",AA2379-01_因子設定!$B$14,IF(01_因子設定!$B$13="最小化",01_因子設定!$B$15-AB2379,MIN(AA2379-01_因子設定!$B$14,01_因子設定!$B$15-AB2379))),-1E+030)</f>
        <v>-2.86514013971843</v>
      </c>
      <c r="AE2379" s="55" t="n">
        <f aca="false">IF(AC2379,IF(01_因子設定!$B$13="最大化",X2379,IF(01_因子設定!$B$13="最小化",-X2379,-ABS(X2379-01_因子設定!$B$16))),-1E+030)</f>
        <v>45.0649579678362</v>
      </c>
      <c r="AF2379" s="55" t="n">
        <f aca="false">AD2379+ROW()*0.000000001</f>
        <v>-2.86513776071843</v>
      </c>
      <c r="AG2379" s="55" t="n">
        <f aca="false">AE2379+ROW()*0.000000001</f>
        <v>45.0649603468362</v>
      </c>
    </row>
    <row r="2380" customFormat="false" ht="15" hidden="false" customHeight="false" outlineLevel="0" collapsed="false">
      <c r="A2380" s="0" t="n">
        <v>3</v>
      </c>
      <c r="B2380" s="0" t="n">
        <v>2</v>
      </c>
      <c r="C2380" s="0" t="n">
        <v>2</v>
      </c>
      <c r="D2380" s="0" t="n">
        <v>8</v>
      </c>
      <c r="E2380" s="0" t="n">
        <f aca="false">-1+A2380*0.25</f>
        <v>-0.25</v>
      </c>
      <c r="F2380" s="0" t="n">
        <f aca="false">-1+B2380*0.25</f>
        <v>-0.5</v>
      </c>
      <c r="G2380" s="0" t="n">
        <f aca="false">-1+C2380*0.25</f>
        <v>-0.5</v>
      </c>
      <c r="H2380" s="0" t="n">
        <f aca="false">-1+D2380*0.25</f>
        <v>1</v>
      </c>
      <c r="I2380" s="0" t="n">
        <f aca="false">1</f>
        <v>1</v>
      </c>
      <c r="J2380" s="0" t="n">
        <f aca="false">E2380</f>
        <v>-0.25</v>
      </c>
      <c r="K2380" s="0" t="n">
        <f aca="false">F2380</f>
        <v>-0.5</v>
      </c>
      <c r="L2380" s="0" t="n">
        <f aca="false">G2380</f>
        <v>-0.5</v>
      </c>
      <c r="M2380" s="0" t="n">
        <f aca="false">H2380</f>
        <v>1</v>
      </c>
      <c r="N2380" s="0" t="n">
        <f aca="false">E2380*F2380</f>
        <v>0.125</v>
      </c>
      <c r="O2380" s="0" t="n">
        <f aca="false">E2380*G2380</f>
        <v>0.125</v>
      </c>
      <c r="P2380" s="0" t="n">
        <f aca="false">E2380*H2380</f>
        <v>-0.25</v>
      </c>
      <c r="Q2380" s="0" t="n">
        <f aca="false">F2380*G2380</f>
        <v>0.25</v>
      </c>
      <c r="R2380" s="0" t="n">
        <f aca="false">F2380*H2380</f>
        <v>-0.5</v>
      </c>
      <c r="S2380" s="0" t="n">
        <f aca="false">G2380*H2380</f>
        <v>-0.5</v>
      </c>
      <c r="T2380" s="0" t="n">
        <f aca="false">E2380*E2380</f>
        <v>0.0625</v>
      </c>
      <c r="U2380" s="0" t="n">
        <f aca="false">F2380*F2380</f>
        <v>0.25</v>
      </c>
      <c r="V2380" s="0" t="n">
        <f aca="false">G2380*G2380</f>
        <v>0.25</v>
      </c>
      <c r="W2380" s="0" t="n">
        <f aca="false">H2380*H2380</f>
        <v>1</v>
      </c>
      <c r="X2380" s="0" t="n">
        <f aca="false">SUMPRODUCT(I2380:W2380,_XtX!$B$96:$P$96)</f>
        <v>44.9818347953216</v>
      </c>
      <c r="Y2380" s="0" t="n">
        <f aca="false">SUMPRODUCT(MMULT(I2380:W2380,_XtX!$B$78:$P$92),I2380:W2380)</f>
        <v>0.428122715643275</v>
      </c>
      <c r="Z2380" s="0" t="n">
        <f aca="false">04_回帰ANOVA!$K$19*04_回帰ANOVA!$K$14*SQRT(1+Y2380)</f>
        <v>1.55769044623229</v>
      </c>
      <c r="AA2380" s="0" t="n">
        <f aca="false">X2380-Z2380</f>
        <v>43.4241443490893</v>
      </c>
      <c r="AB2380" s="0" t="n">
        <f aca="false">X2380+Z2380</f>
        <v>46.5395252415539</v>
      </c>
      <c r="AC2380" s="54" t="b">
        <f aca="false">AND(E2380&gt;=01_因子設定!$L$5-0.000000001,E2380&lt;=01_因子設定!$M$5+0.000000001,F2380&gt;=01_因子設定!$L$6-0.000000001,F2380&lt;=01_因子設定!$M$6+0.000000001,G2380&gt;=01_因子設定!$L$7-0.000000001,G2380&lt;=01_因子設定!$M$7+0.000000001,H2380&gt;=01_因子設定!$L$8-0.000000001,H2380&lt;=01_因子設定!$M$8+0.000000001,IF(01_因子設定!$B$20="Box-Behnken",E2380^2+F2380^2+G2380^2+H2380^2&lt;=2+0.000000001,TRUE()))</f>
        <v>1</v>
      </c>
      <c r="AD2380" s="55" t="n">
        <f aca="false">IF(AC2380,IF(01_因子設定!$B$13="最大化",AA2380-01_因子設定!$B$14,IF(01_因子設定!$B$13="最小化",01_因子設定!$B$15-AB2380,MIN(AA2380-01_因子設定!$B$14,01_因子設定!$B$15-AB2380))),-1E+030)</f>
        <v>-3.07585565091068</v>
      </c>
      <c r="AE2380" s="55" t="n">
        <f aca="false">IF(AC2380,IF(01_因子設定!$B$13="最大化",X2380,IF(01_因子設定!$B$13="最小化",-X2380,-ABS(X2380-01_因子設定!$B$16))),-1E+030)</f>
        <v>44.9818347953216</v>
      </c>
      <c r="AF2380" s="55" t="n">
        <f aca="false">AD2380+ROW()*0.000000001</f>
        <v>-3.07585327091068</v>
      </c>
      <c r="AG2380" s="55" t="n">
        <f aca="false">AE2380+ROW()*0.000000001</f>
        <v>44.9818371753216</v>
      </c>
    </row>
    <row r="2381" customFormat="false" ht="15" hidden="false" customHeight="false" outlineLevel="0" collapsed="false">
      <c r="A2381" s="0" t="n">
        <v>3</v>
      </c>
      <c r="B2381" s="0" t="n">
        <v>2</v>
      </c>
      <c r="C2381" s="0" t="n">
        <v>3</v>
      </c>
      <c r="D2381" s="0" t="n">
        <v>0</v>
      </c>
      <c r="E2381" s="0" t="n">
        <f aca="false">-1+A2381*0.25</f>
        <v>-0.25</v>
      </c>
      <c r="F2381" s="0" t="n">
        <f aca="false">-1+B2381*0.25</f>
        <v>-0.5</v>
      </c>
      <c r="G2381" s="0" t="n">
        <f aca="false">-1+C2381*0.25</f>
        <v>-0.25</v>
      </c>
      <c r="H2381" s="0" t="n">
        <f aca="false">-1+D2381*0.25</f>
        <v>-1</v>
      </c>
      <c r="I2381" s="0" t="n">
        <f aca="false">1</f>
        <v>1</v>
      </c>
      <c r="J2381" s="0" t="n">
        <f aca="false">E2381</f>
        <v>-0.25</v>
      </c>
      <c r="K2381" s="0" t="n">
        <f aca="false">F2381</f>
        <v>-0.5</v>
      </c>
      <c r="L2381" s="0" t="n">
        <f aca="false">G2381</f>
        <v>-0.25</v>
      </c>
      <c r="M2381" s="0" t="n">
        <f aca="false">H2381</f>
        <v>-1</v>
      </c>
      <c r="N2381" s="0" t="n">
        <f aca="false">E2381*F2381</f>
        <v>0.125</v>
      </c>
      <c r="O2381" s="0" t="n">
        <f aca="false">E2381*G2381</f>
        <v>0.0625</v>
      </c>
      <c r="P2381" s="0" t="n">
        <f aca="false">E2381*H2381</f>
        <v>0.25</v>
      </c>
      <c r="Q2381" s="0" t="n">
        <f aca="false">F2381*G2381</f>
        <v>0.125</v>
      </c>
      <c r="R2381" s="0" t="n">
        <f aca="false">F2381*H2381</f>
        <v>0.5</v>
      </c>
      <c r="S2381" s="0" t="n">
        <f aca="false">G2381*H2381</f>
        <v>0.25</v>
      </c>
      <c r="T2381" s="0" t="n">
        <f aca="false">E2381*E2381</f>
        <v>0.0625</v>
      </c>
      <c r="U2381" s="0" t="n">
        <f aca="false">F2381*F2381</f>
        <v>0.25</v>
      </c>
      <c r="V2381" s="0" t="n">
        <f aca="false">G2381*G2381</f>
        <v>0.0625</v>
      </c>
      <c r="W2381" s="0" t="n">
        <f aca="false">H2381*H2381</f>
        <v>1</v>
      </c>
      <c r="X2381" s="0" t="n">
        <f aca="false">SUMPRODUCT(I2381:W2381,_XtX!$B$96:$P$96)</f>
        <v>44.6117050438596</v>
      </c>
      <c r="Y2381" s="0" t="n">
        <f aca="false">SUMPRODUCT(MMULT(I2381:W2381,_XtX!$B$78:$P$92),I2381:W2381)</f>
        <v>0.445705123812135</v>
      </c>
      <c r="Z2381" s="0" t="n">
        <f aca="false">04_回帰ANOVA!$K$19*04_回帰ANOVA!$K$14*SQRT(1+Y2381)</f>
        <v>1.56724990734749</v>
      </c>
      <c r="AA2381" s="0" t="n">
        <f aca="false">X2381-Z2381</f>
        <v>43.0444551365121</v>
      </c>
      <c r="AB2381" s="0" t="n">
        <f aca="false">X2381+Z2381</f>
        <v>46.1789549512071</v>
      </c>
      <c r="AC2381" s="54" t="b">
        <f aca="false">AND(E2381&gt;=01_因子設定!$L$5-0.000000001,E2381&lt;=01_因子設定!$M$5+0.000000001,F2381&gt;=01_因子設定!$L$6-0.000000001,F2381&lt;=01_因子設定!$M$6+0.000000001,G2381&gt;=01_因子設定!$L$7-0.000000001,G2381&lt;=01_因子設定!$M$7+0.000000001,H2381&gt;=01_因子設定!$L$8-0.000000001,H2381&lt;=01_因子設定!$M$8+0.000000001,IF(01_因子設定!$B$20="Box-Behnken",E2381^2+F2381^2+G2381^2+H2381^2&lt;=2+0.000000001,TRUE()))</f>
        <v>1</v>
      </c>
      <c r="AD2381" s="55" t="n">
        <f aca="false">IF(AC2381,IF(01_因子設定!$B$13="最大化",AA2381-01_因子設定!$B$14,IF(01_因子設定!$B$13="最小化",01_因子設定!$B$15-AB2381,MIN(AA2381-01_因子設定!$B$14,01_因子設定!$B$15-AB2381))),-1E+030)</f>
        <v>-3.45554486348786</v>
      </c>
      <c r="AE2381" s="55" t="n">
        <f aca="false">IF(AC2381,IF(01_因子設定!$B$13="最大化",X2381,IF(01_因子設定!$B$13="最小化",-X2381,-ABS(X2381-01_因子設定!$B$16))),-1E+030)</f>
        <v>44.6117050438596</v>
      </c>
      <c r="AF2381" s="55" t="n">
        <f aca="false">AD2381+ROW()*0.000000001</f>
        <v>-3.45554248248786</v>
      </c>
      <c r="AG2381" s="55" t="n">
        <f aca="false">AE2381+ROW()*0.000000001</f>
        <v>44.6117074248596</v>
      </c>
    </row>
    <row r="2382" customFormat="false" ht="15" hidden="false" customHeight="false" outlineLevel="0" collapsed="false">
      <c r="A2382" s="0" t="n">
        <v>3</v>
      </c>
      <c r="B2382" s="0" t="n">
        <v>2</v>
      </c>
      <c r="C2382" s="0" t="n">
        <v>3</v>
      </c>
      <c r="D2382" s="0" t="n">
        <v>1</v>
      </c>
      <c r="E2382" s="0" t="n">
        <f aca="false">-1+A2382*0.25</f>
        <v>-0.25</v>
      </c>
      <c r="F2382" s="0" t="n">
        <f aca="false">-1+B2382*0.25</f>
        <v>-0.5</v>
      </c>
      <c r="G2382" s="0" t="n">
        <f aca="false">-1+C2382*0.25</f>
        <v>-0.25</v>
      </c>
      <c r="H2382" s="0" t="n">
        <f aca="false">-1+D2382*0.25</f>
        <v>-0.75</v>
      </c>
      <c r="I2382" s="0" t="n">
        <f aca="false">1</f>
        <v>1</v>
      </c>
      <c r="J2382" s="0" t="n">
        <f aca="false">E2382</f>
        <v>-0.25</v>
      </c>
      <c r="K2382" s="0" t="n">
        <f aca="false">F2382</f>
        <v>-0.5</v>
      </c>
      <c r="L2382" s="0" t="n">
        <f aca="false">G2382</f>
        <v>-0.25</v>
      </c>
      <c r="M2382" s="0" t="n">
        <f aca="false">H2382</f>
        <v>-0.75</v>
      </c>
      <c r="N2382" s="0" t="n">
        <f aca="false">E2382*F2382</f>
        <v>0.125</v>
      </c>
      <c r="O2382" s="0" t="n">
        <f aca="false">E2382*G2382</f>
        <v>0.0625</v>
      </c>
      <c r="P2382" s="0" t="n">
        <f aca="false">E2382*H2382</f>
        <v>0.1875</v>
      </c>
      <c r="Q2382" s="0" t="n">
        <f aca="false">F2382*G2382</f>
        <v>0.125</v>
      </c>
      <c r="R2382" s="0" t="n">
        <f aca="false">F2382*H2382</f>
        <v>0.375</v>
      </c>
      <c r="S2382" s="0" t="n">
        <f aca="false">G2382*H2382</f>
        <v>0.1875</v>
      </c>
      <c r="T2382" s="0" t="n">
        <f aca="false">E2382*E2382</f>
        <v>0.0625</v>
      </c>
      <c r="U2382" s="0" t="n">
        <f aca="false">F2382*F2382</f>
        <v>0.25</v>
      </c>
      <c r="V2382" s="0" t="n">
        <f aca="false">G2382*G2382</f>
        <v>0.0625</v>
      </c>
      <c r="W2382" s="0" t="n">
        <f aca="false">H2382*H2382</f>
        <v>0.5625</v>
      </c>
      <c r="X2382" s="0" t="n">
        <f aca="false">SUMPRODUCT(I2382:W2382,_XtX!$B$96:$P$96)</f>
        <v>44.881199744152</v>
      </c>
      <c r="Y2382" s="0" t="n">
        <f aca="false">SUMPRODUCT(MMULT(I2382:W2382,_XtX!$B$78:$P$92),I2382:W2382)</f>
        <v>0.207746539199561</v>
      </c>
      <c r="Z2382" s="0" t="n">
        <f aca="false">04_回帰ANOVA!$K$19*04_回帰ANOVA!$K$14*SQRT(1+Y2382)</f>
        <v>1.43247250081141</v>
      </c>
      <c r="AA2382" s="0" t="n">
        <f aca="false">X2382-Z2382</f>
        <v>43.4487272433406</v>
      </c>
      <c r="AB2382" s="0" t="n">
        <f aca="false">X2382+Z2382</f>
        <v>46.3136722449634</v>
      </c>
      <c r="AC2382" s="54" t="b">
        <f aca="false">AND(E2382&gt;=01_因子設定!$L$5-0.000000001,E2382&lt;=01_因子設定!$M$5+0.000000001,F2382&gt;=01_因子設定!$L$6-0.000000001,F2382&lt;=01_因子設定!$M$6+0.000000001,G2382&gt;=01_因子設定!$L$7-0.000000001,G2382&lt;=01_因子設定!$M$7+0.000000001,H2382&gt;=01_因子設定!$L$8-0.000000001,H2382&lt;=01_因子設定!$M$8+0.000000001,IF(01_因子設定!$B$20="Box-Behnken",E2382^2+F2382^2+G2382^2+H2382^2&lt;=2+0.000000001,TRUE()))</f>
        <v>1</v>
      </c>
      <c r="AD2382" s="55" t="n">
        <f aca="false">IF(AC2382,IF(01_因子設定!$B$13="最大化",AA2382-01_因子設定!$B$14,IF(01_因子設定!$B$13="最小化",01_因子設定!$B$15-AB2382,MIN(AA2382-01_因子設定!$B$14,01_因子設定!$B$15-AB2382))),-1E+030)</f>
        <v>-3.0512727566594</v>
      </c>
      <c r="AE2382" s="55" t="n">
        <f aca="false">IF(AC2382,IF(01_因子設定!$B$13="最大化",X2382,IF(01_因子設定!$B$13="最小化",-X2382,-ABS(X2382-01_因子設定!$B$16))),-1E+030)</f>
        <v>44.881199744152</v>
      </c>
      <c r="AF2382" s="55" t="n">
        <f aca="false">AD2382+ROW()*0.000000001</f>
        <v>-3.0512703746594</v>
      </c>
      <c r="AG2382" s="55" t="n">
        <f aca="false">AE2382+ROW()*0.000000001</f>
        <v>44.881202126152</v>
      </c>
    </row>
    <row r="2383" customFormat="false" ht="15" hidden="false" customHeight="false" outlineLevel="0" collapsed="false">
      <c r="A2383" s="0" t="n">
        <v>3</v>
      </c>
      <c r="B2383" s="0" t="n">
        <v>2</v>
      </c>
      <c r="C2383" s="0" t="n">
        <v>3</v>
      </c>
      <c r="D2383" s="0" t="n">
        <v>2</v>
      </c>
      <c r="E2383" s="0" t="n">
        <f aca="false">-1+A2383*0.25</f>
        <v>-0.25</v>
      </c>
      <c r="F2383" s="0" t="n">
        <f aca="false">-1+B2383*0.25</f>
        <v>-0.5</v>
      </c>
      <c r="G2383" s="0" t="n">
        <f aca="false">-1+C2383*0.25</f>
        <v>-0.25</v>
      </c>
      <c r="H2383" s="0" t="n">
        <f aca="false">-1+D2383*0.25</f>
        <v>-0.5</v>
      </c>
      <c r="I2383" s="0" t="n">
        <f aca="false">1</f>
        <v>1</v>
      </c>
      <c r="J2383" s="0" t="n">
        <f aca="false">E2383</f>
        <v>-0.25</v>
      </c>
      <c r="K2383" s="0" t="n">
        <f aca="false">F2383</f>
        <v>-0.5</v>
      </c>
      <c r="L2383" s="0" t="n">
        <f aca="false">G2383</f>
        <v>-0.25</v>
      </c>
      <c r="M2383" s="0" t="n">
        <f aca="false">H2383</f>
        <v>-0.5</v>
      </c>
      <c r="N2383" s="0" t="n">
        <f aca="false">E2383*F2383</f>
        <v>0.125</v>
      </c>
      <c r="O2383" s="0" t="n">
        <f aca="false">E2383*G2383</f>
        <v>0.0625</v>
      </c>
      <c r="P2383" s="0" t="n">
        <f aca="false">E2383*H2383</f>
        <v>0.125</v>
      </c>
      <c r="Q2383" s="0" t="n">
        <f aca="false">F2383*G2383</f>
        <v>0.125</v>
      </c>
      <c r="R2383" s="0" t="n">
        <f aca="false">F2383*H2383</f>
        <v>0.25</v>
      </c>
      <c r="S2383" s="0" t="n">
        <f aca="false">G2383*H2383</f>
        <v>0.125</v>
      </c>
      <c r="T2383" s="0" t="n">
        <f aca="false">E2383*E2383</f>
        <v>0.0625</v>
      </c>
      <c r="U2383" s="0" t="n">
        <f aca="false">F2383*F2383</f>
        <v>0.25</v>
      </c>
      <c r="V2383" s="0" t="n">
        <f aca="false">G2383*G2383</f>
        <v>0.0625</v>
      </c>
      <c r="W2383" s="0" t="n">
        <f aca="false">H2383*H2383</f>
        <v>0.25</v>
      </c>
      <c r="X2383" s="0" t="n">
        <f aca="false">SUMPRODUCT(I2383:W2383,_XtX!$B$96:$P$96)</f>
        <v>45.1028874269005</v>
      </c>
      <c r="Y2383" s="0" t="n">
        <f aca="false">SUMPRODUCT(MMULT(I2383:W2383,_XtX!$B$78:$P$92),I2383:W2383)</f>
        <v>0.128236647934942</v>
      </c>
      <c r="Z2383" s="0" t="n">
        <f aca="false">04_回帰ANOVA!$K$19*04_回帰ANOVA!$K$14*SQRT(1+Y2383)</f>
        <v>1.38451764188989</v>
      </c>
      <c r="AA2383" s="0" t="n">
        <f aca="false">X2383-Z2383</f>
        <v>43.7183697850107</v>
      </c>
      <c r="AB2383" s="0" t="n">
        <f aca="false">X2383+Z2383</f>
        <v>46.4874050687904</v>
      </c>
      <c r="AC2383" s="54" t="b">
        <f aca="false">AND(E2383&gt;=01_因子設定!$L$5-0.000000001,E2383&lt;=01_因子設定!$M$5+0.000000001,F2383&gt;=01_因子設定!$L$6-0.000000001,F2383&lt;=01_因子設定!$M$6+0.000000001,G2383&gt;=01_因子設定!$L$7-0.000000001,G2383&lt;=01_因子設定!$M$7+0.000000001,H2383&gt;=01_因子設定!$L$8-0.000000001,H2383&lt;=01_因子設定!$M$8+0.000000001,IF(01_因子設定!$B$20="Box-Behnken",E2383^2+F2383^2+G2383^2+H2383^2&lt;=2+0.000000001,TRUE()))</f>
        <v>1</v>
      </c>
      <c r="AD2383" s="55" t="n">
        <f aca="false">IF(AC2383,IF(01_因子設定!$B$13="最大化",AA2383-01_因子設定!$B$14,IF(01_因子設定!$B$13="最小化",01_因子設定!$B$15-AB2383,MIN(AA2383-01_因子設定!$B$14,01_因子設定!$B$15-AB2383))),-1E+030)</f>
        <v>-2.78163021498935</v>
      </c>
      <c r="AE2383" s="55" t="n">
        <f aca="false">IF(AC2383,IF(01_因子設定!$B$13="最大化",X2383,IF(01_因子設定!$B$13="最小化",-X2383,-ABS(X2383-01_因子設定!$B$16))),-1E+030)</f>
        <v>45.1028874269005</v>
      </c>
      <c r="AF2383" s="55" t="n">
        <f aca="false">AD2383+ROW()*0.000000001</f>
        <v>-2.78162783198935</v>
      </c>
      <c r="AG2383" s="55" t="n">
        <f aca="false">AE2383+ROW()*0.000000001</f>
        <v>45.1028898099005</v>
      </c>
    </row>
    <row r="2384" customFormat="false" ht="15" hidden="false" customHeight="false" outlineLevel="0" collapsed="false">
      <c r="A2384" s="0" t="n">
        <v>3</v>
      </c>
      <c r="B2384" s="0" t="n">
        <v>2</v>
      </c>
      <c r="C2384" s="0" t="n">
        <v>3</v>
      </c>
      <c r="D2384" s="0" t="n">
        <v>3</v>
      </c>
      <c r="E2384" s="0" t="n">
        <f aca="false">-1+A2384*0.25</f>
        <v>-0.25</v>
      </c>
      <c r="F2384" s="0" t="n">
        <f aca="false">-1+B2384*0.25</f>
        <v>-0.5</v>
      </c>
      <c r="G2384" s="0" t="n">
        <f aca="false">-1+C2384*0.25</f>
        <v>-0.25</v>
      </c>
      <c r="H2384" s="0" t="n">
        <f aca="false">-1+D2384*0.25</f>
        <v>-0.25</v>
      </c>
      <c r="I2384" s="0" t="n">
        <f aca="false">1</f>
        <v>1</v>
      </c>
      <c r="J2384" s="0" t="n">
        <f aca="false">E2384</f>
        <v>-0.25</v>
      </c>
      <c r="K2384" s="0" t="n">
        <f aca="false">F2384</f>
        <v>-0.5</v>
      </c>
      <c r="L2384" s="0" t="n">
        <f aca="false">G2384</f>
        <v>-0.25</v>
      </c>
      <c r="M2384" s="0" t="n">
        <f aca="false">H2384</f>
        <v>-0.25</v>
      </c>
      <c r="N2384" s="0" t="n">
        <f aca="false">E2384*F2384</f>
        <v>0.125</v>
      </c>
      <c r="O2384" s="0" t="n">
        <f aca="false">E2384*G2384</f>
        <v>0.0625</v>
      </c>
      <c r="P2384" s="0" t="n">
        <f aca="false">E2384*H2384</f>
        <v>0.0625</v>
      </c>
      <c r="Q2384" s="0" t="n">
        <f aca="false">F2384*G2384</f>
        <v>0.125</v>
      </c>
      <c r="R2384" s="0" t="n">
        <f aca="false">F2384*H2384</f>
        <v>0.125</v>
      </c>
      <c r="S2384" s="0" t="n">
        <f aca="false">G2384*H2384</f>
        <v>0.0625</v>
      </c>
      <c r="T2384" s="0" t="n">
        <f aca="false">E2384*E2384</f>
        <v>0.0625</v>
      </c>
      <c r="U2384" s="0" t="n">
        <f aca="false">F2384*F2384</f>
        <v>0.25</v>
      </c>
      <c r="V2384" s="0" t="n">
        <f aca="false">G2384*G2384</f>
        <v>0.0625</v>
      </c>
      <c r="W2384" s="0" t="n">
        <f aca="false">H2384*H2384</f>
        <v>0.0625</v>
      </c>
      <c r="X2384" s="0" t="n">
        <f aca="false">SUMPRODUCT(I2384:W2384,_XtX!$B$96:$P$96)</f>
        <v>45.2767680921052</v>
      </c>
      <c r="Y2384" s="0" t="n">
        <f aca="false">SUMPRODUCT(MMULT(I2384:W2384,_XtX!$B$78:$P$92),I2384:W2384)</f>
        <v>0.116714923702485</v>
      </c>
      <c r="Z2384" s="0" t="n">
        <f aca="false">04_回帰ANOVA!$K$19*04_回帰ANOVA!$K$14*SQRT(1+Y2384)</f>
        <v>1.37743004820023</v>
      </c>
      <c r="AA2384" s="0" t="n">
        <f aca="false">X2384-Z2384</f>
        <v>43.899338043905</v>
      </c>
      <c r="AB2384" s="0" t="n">
        <f aca="false">X2384+Z2384</f>
        <v>46.6541981403054</v>
      </c>
      <c r="AC2384" s="54" t="b">
        <f aca="false">AND(E2384&gt;=01_因子設定!$L$5-0.000000001,E2384&lt;=01_因子設定!$M$5+0.000000001,F2384&gt;=01_因子設定!$L$6-0.000000001,F2384&lt;=01_因子設定!$M$6+0.000000001,G2384&gt;=01_因子設定!$L$7-0.000000001,G2384&lt;=01_因子設定!$M$7+0.000000001,H2384&gt;=01_因子設定!$L$8-0.000000001,H2384&lt;=01_因子設定!$M$8+0.000000001,IF(01_因子設定!$B$20="Box-Behnken",E2384^2+F2384^2+G2384^2+H2384^2&lt;=2+0.000000001,TRUE()))</f>
        <v>1</v>
      </c>
      <c r="AD2384" s="55" t="n">
        <f aca="false">IF(AC2384,IF(01_因子設定!$B$13="最大化",AA2384-01_因子設定!$B$14,IF(01_因子設定!$B$13="最小化",01_因子設定!$B$15-AB2384,MIN(AA2384-01_因子設定!$B$14,01_因子設定!$B$15-AB2384))),-1E+030)</f>
        <v>-2.60066195609502</v>
      </c>
      <c r="AE2384" s="55" t="n">
        <f aca="false">IF(AC2384,IF(01_因子設定!$B$13="最大化",X2384,IF(01_因子設定!$B$13="最小化",-X2384,-ABS(X2384-01_因子設定!$B$16))),-1E+030)</f>
        <v>45.2767680921052</v>
      </c>
      <c r="AF2384" s="55" t="n">
        <f aca="false">AD2384+ROW()*0.000000001</f>
        <v>-2.60065957209502</v>
      </c>
      <c r="AG2384" s="55" t="n">
        <f aca="false">AE2384+ROW()*0.000000001</f>
        <v>45.2767704761052</v>
      </c>
    </row>
    <row r="2385" customFormat="false" ht="15" hidden="false" customHeight="false" outlineLevel="0" collapsed="false">
      <c r="A2385" s="0" t="n">
        <v>3</v>
      </c>
      <c r="B2385" s="0" t="n">
        <v>2</v>
      </c>
      <c r="C2385" s="0" t="n">
        <v>3</v>
      </c>
      <c r="D2385" s="0" t="n">
        <v>4</v>
      </c>
      <c r="E2385" s="0" t="n">
        <f aca="false">-1+A2385*0.25</f>
        <v>-0.25</v>
      </c>
      <c r="F2385" s="0" t="n">
        <f aca="false">-1+B2385*0.25</f>
        <v>-0.5</v>
      </c>
      <c r="G2385" s="0" t="n">
        <f aca="false">-1+C2385*0.25</f>
        <v>-0.25</v>
      </c>
      <c r="H2385" s="0" t="n">
        <f aca="false">-1+D2385*0.25</f>
        <v>0</v>
      </c>
      <c r="I2385" s="0" t="n">
        <f aca="false">1</f>
        <v>1</v>
      </c>
      <c r="J2385" s="0" t="n">
        <f aca="false">E2385</f>
        <v>-0.25</v>
      </c>
      <c r="K2385" s="0" t="n">
        <f aca="false">F2385</f>
        <v>-0.5</v>
      </c>
      <c r="L2385" s="0" t="n">
        <f aca="false">G2385</f>
        <v>-0.25</v>
      </c>
      <c r="M2385" s="0" t="n">
        <f aca="false">H2385</f>
        <v>0</v>
      </c>
      <c r="N2385" s="0" t="n">
        <f aca="false">E2385*F2385</f>
        <v>0.125</v>
      </c>
      <c r="O2385" s="0" t="n">
        <f aca="false">E2385*G2385</f>
        <v>0.0625</v>
      </c>
      <c r="P2385" s="0" t="n">
        <f aca="false">E2385*H2385</f>
        <v>-0</v>
      </c>
      <c r="Q2385" s="0" t="n">
        <f aca="false">F2385*G2385</f>
        <v>0.125</v>
      </c>
      <c r="R2385" s="0" t="n">
        <f aca="false">F2385*H2385</f>
        <v>-0</v>
      </c>
      <c r="S2385" s="0" t="n">
        <f aca="false">G2385*H2385</f>
        <v>-0</v>
      </c>
      <c r="T2385" s="0" t="n">
        <f aca="false">E2385*E2385</f>
        <v>0.0625</v>
      </c>
      <c r="U2385" s="0" t="n">
        <f aca="false">F2385*F2385</f>
        <v>0.25</v>
      </c>
      <c r="V2385" s="0" t="n">
        <f aca="false">G2385*G2385</f>
        <v>0.0625</v>
      </c>
      <c r="W2385" s="0" t="n">
        <f aca="false">H2385*H2385</f>
        <v>0</v>
      </c>
      <c r="X2385" s="0" t="n">
        <f aca="false">SUMPRODUCT(I2385:W2385,_XtX!$B$96:$P$96)</f>
        <v>45.402841739766</v>
      </c>
      <c r="Y2385" s="0" t="n">
        <f aca="false">SUMPRODUCT(MMULT(I2385:W2385,_XtX!$B$78:$P$92),I2385:W2385)</f>
        <v>0.118905050712719</v>
      </c>
      <c r="Z2385" s="0" t="n">
        <f aca="false">04_回帰ANOVA!$K$19*04_回帰ANOVA!$K$14*SQRT(1+Y2385)</f>
        <v>1.37878011033769</v>
      </c>
      <c r="AA2385" s="0" t="n">
        <f aca="false">X2385-Z2385</f>
        <v>44.0240616294283</v>
      </c>
      <c r="AB2385" s="0" t="n">
        <f aca="false">X2385+Z2385</f>
        <v>46.7816218501037</v>
      </c>
      <c r="AC2385" s="54" t="b">
        <f aca="false">AND(E2385&gt;=01_因子設定!$L$5-0.000000001,E2385&lt;=01_因子設定!$M$5+0.000000001,F2385&gt;=01_因子設定!$L$6-0.000000001,F2385&lt;=01_因子設定!$M$6+0.000000001,G2385&gt;=01_因子設定!$L$7-0.000000001,G2385&lt;=01_因子設定!$M$7+0.000000001,H2385&gt;=01_因子設定!$L$8-0.000000001,H2385&lt;=01_因子設定!$M$8+0.000000001,IF(01_因子設定!$B$20="Box-Behnken",E2385^2+F2385^2+G2385^2+H2385^2&lt;=2+0.000000001,TRUE()))</f>
        <v>1</v>
      </c>
      <c r="AD2385" s="55" t="n">
        <f aca="false">IF(AC2385,IF(01_因子設定!$B$13="最大化",AA2385-01_因子設定!$B$14,IF(01_因子設定!$B$13="最小化",01_因子設定!$B$15-AB2385,MIN(AA2385-01_因子設定!$B$14,01_因子設定!$B$15-AB2385))),-1E+030)</f>
        <v>-2.47593837057167</v>
      </c>
      <c r="AE2385" s="55" t="n">
        <f aca="false">IF(AC2385,IF(01_因子設定!$B$13="最大化",X2385,IF(01_因子設定!$B$13="最小化",-X2385,-ABS(X2385-01_因子設定!$B$16))),-1E+030)</f>
        <v>45.402841739766</v>
      </c>
      <c r="AF2385" s="55" t="n">
        <f aca="false">AD2385+ROW()*0.000000001</f>
        <v>-2.47593598557167</v>
      </c>
      <c r="AG2385" s="55" t="n">
        <f aca="false">AE2385+ROW()*0.000000001</f>
        <v>45.402844124766</v>
      </c>
    </row>
    <row r="2386" customFormat="false" ht="15" hidden="false" customHeight="false" outlineLevel="0" collapsed="false">
      <c r="A2386" s="0" t="n">
        <v>3</v>
      </c>
      <c r="B2386" s="0" t="n">
        <v>2</v>
      </c>
      <c r="C2386" s="0" t="n">
        <v>3</v>
      </c>
      <c r="D2386" s="0" t="n">
        <v>5</v>
      </c>
      <c r="E2386" s="0" t="n">
        <f aca="false">-1+A2386*0.25</f>
        <v>-0.25</v>
      </c>
      <c r="F2386" s="0" t="n">
        <f aca="false">-1+B2386*0.25</f>
        <v>-0.5</v>
      </c>
      <c r="G2386" s="0" t="n">
        <f aca="false">-1+C2386*0.25</f>
        <v>-0.25</v>
      </c>
      <c r="H2386" s="0" t="n">
        <f aca="false">-1+D2386*0.25</f>
        <v>0.25</v>
      </c>
      <c r="I2386" s="0" t="n">
        <f aca="false">1</f>
        <v>1</v>
      </c>
      <c r="J2386" s="0" t="n">
        <f aca="false">E2386</f>
        <v>-0.25</v>
      </c>
      <c r="K2386" s="0" t="n">
        <f aca="false">F2386</f>
        <v>-0.5</v>
      </c>
      <c r="L2386" s="0" t="n">
        <f aca="false">G2386</f>
        <v>-0.25</v>
      </c>
      <c r="M2386" s="0" t="n">
        <f aca="false">H2386</f>
        <v>0.25</v>
      </c>
      <c r="N2386" s="0" t="n">
        <f aca="false">E2386*F2386</f>
        <v>0.125</v>
      </c>
      <c r="O2386" s="0" t="n">
        <f aca="false">E2386*G2386</f>
        <v>0.0625</v>
      </c>
      <c r="P2386" s="0" t="n">
        <f aca="false">E2386*H2386</f>
        <v>-0.0625</v>
      </c>
      <c r="Q2386" s="0" t="n">
        <f aca="false">F2386*G2386</f>
        <v>0.125</v>
      </c>
      <c r="R2386" s="0" t="n">
        <f aca="false">F2386*H2386</f>
        <v>-0.125</v>
      </c>
      <c r="S2386" s="0" t="n">
        <f aca="false">G2386*H2386</f>
        <v>-0.0625</v>
      </c>
      <c r="T2386" s="0" t="n">
        <f aca="false">E2386*E2386</f>
        <v>0.0625</v>
      </c>
      <c r="U2386" s="0" t="n">
        <f aca="false">F2386*F2386</f>
        <v>0.25</v>
      </c>
      <c r="V2386" s="0" t="n">
        <f aca="false">G2386*G2386</f>
        <v>0.0625</v>
      </c>
      <c r="W2386" s="0" t="n">
        <f aca="false">H2386*H2386</f>
        <v>0.0625</v>
      </c>
      <c r="X2386" s="0" t="n">
        <f aca="false">SUMPRODUCT(I2386:W2386,_XtX!$B$96:$P$96)</f>
        <v>45.481108369883</v>
      </c>
      <c r="Y2386" s="0" t="n">
        <f aca="false">SUMPRODUCT(MMULT(I2386:W2386,_XtX!$B$78:$P$92),I2386:W2386)</f>
        <v>0.116714923702485</v>
      </c>
      <c r="Z2386" s="0" t="n">
        <f aca="false">04_回帰ANOVA!$K$19*04_回帰ANOVA!$K$14*SQRT(1+Y2386)</f>
        <v>1.37743004820023</v>
      </c>
      <c r="AA2386" s="0" t="n">
        <f aca="false">X2386-Z2386</f>
        <v>44.1036783216828</v>
      </c>
      <c r="AB2386" s="0" t="n">
        <f aca="false">X2386+Z2386</f>
        <v>46.8585384180832</v>
      </c>
      <c r="AC2386" s="54" t="b">
        <f aca="false">AND(E2386&gt;=01_因子設定!$L$5-0.000000001,E2386&lt;=01_因子設定!$M$5+0.000000001,F2386&gt;=01_因子設定!$L$6-0.000000001,F2386&lt;=01_因子設定!$M$6+0.000000001,G2386&gt;=01_因子設定!$L$7-0.000000001,G2386&lt;=01_因子設定!$M$7+0.000000001,H2386&gt;=01_因子設定!$L$8-0.000000001,H2386&lt;=01_因子設定!$M$8+0.000000001,IF(01_因子設定!$B$20="Box-Behnken",E2386^2+F2386^2+G2386^2+H2386^2&lt;=2+0.000000001,TRUE()))</f>
        <v>1</v>
      </c>
      <c r="AD2386" s="55" t="n">
        <f aca="false">IF(AC2386,IF(01_因子設定!$B$13="最大化",AA2386-01_因子設定!$B$14,IF(01_因子設定!$B$13="最小化",01_因子設定!$B$15-AB2386,MIN(AA2386-01_因子設定!$B$14,01_因子設定!$B$15-AB2386))),-1E+030)</f>
        <v>-2.39632167831724</v>
      </c>
      <c r="AE2386" s="55" t="n">
        <f aca="false">IF(AC2386,IF(01_因子設定!$B$13="最大化",X2386,IF(01_因子設定!$B$13="最小化",-X2386,-ABS(X2386-01_因子設定!$B$16))),-1E+030)</f>
        <v>45.481108369883</v>
      </c>
      <c r="AF2386" s="55" t="n">
        <f aca="false">AD2386+ROW()*0.000000001</f>
        <v>-2.39631929231724</v>
      </c>
      <c r="AG2386" s="55" t="n">
        <f aca="false">AE2386+ROW()*0.000000001</f>
        <v>45.481110755883</v>
      </c>
    </row>
    <row r="2387" customFormat="false" ht="15" hidden="false" customHeight="false" outlineLevel="0" collapsed="false">
      <c r="A2387" s="0" t="n">
        <v>3</v>
      </c>
      <c r="B2387" s="0" t="n">
        <v>2</v>
      </c>
      <c r="C2387" s="0" t="n">
        <v>3</v>
      </c>
      <c r="D2387" s="0" t="n">
        <v>6</v>
      </c>
      <c r="E2387" s="0" t="n">
        <f aca="false">-1+A2387*0.25</f>
        <v>-0.25</v>
      </c>
      <c r="F2387" s="0" t="n">
        <f aca="false">-1+B2387*0.25</f>
        <v>-0.5</v>
      </c>
      <c r="G2387" s="0" t="n">
        <f aca="false">-1+C2387*0.25</f>
        <v>-0.25</v>
      </c>
      <c r="H2387" s="0" t="n">
        <f aca="false">-1+D2387*0.25</f>
        <v>0.5</v>
      </c>
      <c r="I2387" s="0" t="n">
        <f aca="false">1</f>
        <v>1</v>
      </c>
      <c r="J2387" s="0" t="n">
        <f aca="false">E2387</f>
        <v>-0.25</v>
      </c>
      <c r="K2387" s="0" t="n">
        <f aca="false">F2387</f>
        <v>-0.5</v>
      </c>
      <c r="L2387" s="0" t="n">
        <f aca="false">G2387</f>
        <v>-0.25</v>
      </c>
      <c r="M2387" s="0" t="n">
        <f aca="false">H2387</f>
        <v>0.5</v>
      </c>
      <c r="N2387" s="0" t="n">
        <f aca="false">E2387*F2387</f>
        <v>0.125</v>
      </c>
      <c r="O2387" s="0" t="n">
        <f aca="false">E2387*G2387</f>
        <v>0.0625</v>
      </c>
      <c r="P2387" s="0" t="n">
        <f aca="false">E2387*H2387</f>
        <v>-0.125</v>
      </c>
      <c r="Q2387" s="0" t="n">
        <f aca="false">F2387*G2387</f>
        <v>0.125</v>
      </c>
      <c r="R2387" s="0" t="n">
        <f aca="false">F2387*H2387</f>
        <v>-0.25</v>
      </c>
      <c r="S2387" s="0" t="n">
        <f aca="false">G2387*H2387</f>
        <v>-0.125</v>
      </c>
      <c r="T2387" s="0" t="n">
        <f aca="false">E2387*E2387</f>
        <v>0.0625</v>
      </c>
      <c r="U2387" s="0" t="n">
        <f aca="false">F2387*F2387</f>
        <v>0.25</v>
      </c>
      <c r="V2387" s="0" t="n">
        <f aca="false">G2387*G2387</f>
        <v>0.0625</v>
      </c>
      <c r="W2387" s="0" t="n">
        <f aca="false">H2387*H2387</f>
        <v>0.25</v>
      </c>
      <c r="X2387" s="0" t="n">
        <f aca="false">SUMPRODUCT(I2387:W2387,_XtX!$B$96:$P$96)</f>
        <v>45.5115679824561</v>
      </c>
      <c r="Y2387" s="0" t="n">
        <f aca="false">SUMPRODUCT(MMULT(I2387:W2387,_XtX!$B$78:$P$92),I2387:W2387)</f>
        <v>0.128236647934942</v>
      </c>
      <c r="Z2387" s="0" t="n">
        <f aca="false">04_回帰ANOVA!$K$19*04_回帰ANOVA!$K$14*SQRT(1+Y2387)</f>
        <v>1.38451764188989</v>
      </c>
      <c r="AA2387" s="0" t="n">
        <f aca="false">X2387-Z2387</f>
        <v>44.1270503405662</v>
      </c>
      <c r="AB2387" s="0" t="n">
        <f aca="false">X2387+Z2387</f>
        <v>46.896085624346</v>
      </c>
      <c r="AC2387" s="54" t="b">
        <f aca="false">AND(E2387&gt;=01_因子設定!$L$5-0.000000001,E2387&lt;=01_因子設定!$M$5+0.000000001,F2387&gt;=01_因子設定!$L$6-0.000000001,F2387&lt;=01_因子設定!$M$6+0.000000001,G2387&gt;=01_因子設定!$L$7-0.000000001,G2387&lt;=01_因子設定!$M$7+0.000000001,H2387&gt;=01_因子設定!$L$8-0.000000001,H2387&lt;=01_因子設定!$M$8+0.000000001,IF(01_因子設定!$B$20="Box-Behnken",E2387^2+F2387^2+G2387^2+H2387^2&lt;=2+0.000000001,TRUE()))</f>
        <v>1</v>
      </c>
      <c r="AD2387" s="55" t="n">
        <f aca="false">IF(AC2387,IF(01_因子設定!$B$13="最大化",AA2387-01_因子設定!$B$14,IF(01_因子設定!$B$13="最小化",01_因子設定!$B$15-AB2387,MIN(AA2387-01_因子設定!$B$14,01_因子設定!$B$15-AB2387))),-1E+030)</f>
        <v>-2.3729496594338</v>
      </c>
      <c r="AE2387" s="55" t="n">
        <f aca="false">IF(AC2387,IF(01_因子設定!$B$13="最大化",X2387,IF(01_因子設定!$B$13="最小化",-X2387,-ABS(X2387-01_因子設定!$B$16))),-1E+030)</f>
        <v>45.5115679824561</v>
      </c>
      <c r="AF2387" s="55" t="n">
        <f aca="false">AD2387+ROW()*0.000000001</f>
        <v>-2.3729472724338</v>
      </c>
      <c r="AG2387" s="55" t="n">
        <f aca="false">AE2387+ROW()*0.000000001</f>
        <v>45.5115703694561</v>
      </c>
    </row>
    <row r="2388" customFormat="false" ht="15" hidden="false" customHeight="false" outlineLevel="0" collapsed="false">
      <c r="A2388" s="0" t="n">
        <v>3</v>
      </c>
      <c r="B2388" s="0" t="n">
        <v>2</v>
      </c>
      <c r="C2388" s="0" t="n">
        <v>3</v>
      </c>
      <c r="D2388" s="0" t="n">
        <v>7</v>
      </c>
      <c r="E2388" s="0" t="n">
        <f aca="false">-1+A2388*0.25</f>
        <v>-0.25</v>
      </c>
      <c r="F2388" s="0" t="n">
        <f aca="false">-1+B2388*0.25</f>
        <v>-0.5</v>
      </c>
      <c r="G2388" s="0" t="n">
        <f aca="false">-1+C2388*0.25</f>
        <v>-0.25</v>
      </c>
      <c r="H2388" s="0" t="n">
        <f aca="false">-1+D2388*0.25</f>
        <v>0.75</v>
      </c>
      <c r="I2388" s="0" t="n">
        <f aca="false">1</f>
        <v>1</v>
      </c>
      <c r="J2388" s="0" t="n">
        <f aca="false">E2388</f>
        <v>-0.25</v>
      </c>
      <c r="K2388" s="0" t="n">
        <f aca="false">F2388</f>
        <v>-0.5</v>
      </c>
      <c r="L2388" s="0" t="n">
        <f aca="false">G2388</f>
        <v>-0.25</v>
      </c>
      <c r="M2388" s="0" t="n">
        <f aca="false">H2388</f>
        <v>0.75</v>
      </c>
      <c r="N2388" s="0" t="n">
        <f aca="false">E2388*F2388</f>
        <v>0.125</v>
      </c>
      <c r="O2388" s="0" t="n">
        <f aca="false">E2388*G2388</f>
        <v>0.0625</v>
      </c>
      <c r="P2388" s="0" t="n">
        <f aca="false">E2388*H2388</f>
        <v>-0.1875</v>
      </c>
      <c r="Q2388" s="0" t="n">
        <f aca="false">F2388*G2388</f>
        <v>0.125</v>
      </c>
      <c r="R2388" s="0" t="n">
        <f aca="false">F2388*H2388</f>
        <v>-0.375</v>
      </c>
      <c r="S2388" s="0" t="n">
        <f aca="false">G2388*H2388</f>
        <v>-0.1875</v>
      </c>
      <c r="T2388" s="0" t="n">
        <f aca="false">E2388*E2388</f>
        <v>0.0625</v>
      </c>
      <c r="U2388" s="0" t="n">
        <f aca="false">F2388*F2388</f>
        <v>0.25</v>
      </c>
      <c r="V2388" s="0" t="n">
        <f aca="false">G2388*G2388</f>
        <v>0.0625</v>
      </c>
      <c r="W2388" s="0" t="n">
        <f aca="false">H2388*H2388</f>
        <v>0.5625</v>
      </c>
      <c r="X2388" s="0" t="n">
        <f aca="false">SUMPRODUCT(I2388:W2388,_XtX!$B$96:$P$96)</f>
        <v>45.4942205774853</v>
      </c>
      <c r="Y2388" s="0" t="n">
        <f aca="false">SUMPRODUCT(MMULT(I2388:W2388,_XtX!$B$78:$P$92),I2388:W2388)</f>
        <v>0.207746539199561</v>
      </c>
      <c r="Z2388" s="0" t="n">
        <f aca="false">04_回帰ANOVA!$K$19*04_回帰ANOVA!$K$14*SQRT(1+Y2388)</f>
        <v>1.43247250081141</v>
      </c>
      <c r="AA2388" s="0" t="n">
        <f aca="false">X2388-Z2388</f>
        <v>44.0617480766739</v>
      </c>
      <c r="AB2388" s="0" t="n">
        <f aca="false">X2388+Z2388</f>
        <v>46.9266930782968</v>
      </c>
      <c r="AC2388" s="54" t="b">
        <f aca="false">AND(E2388&gt;=01_因子設定!$L$5-0.000000001,E2388&lt;=01_因子設定!$M$5+0.000000001,F2388&gt;=01_因子設定!$L$6-0.000000001,F2388&lt;=01_因子設定!$M$6+0.000000001,G2388&gt;=01_因子設定!$L$7-0.000000001,G2388&lt;=01_因子設定!$M$7+0.000000001,H2388&gt;=01_因子設定!$L$8-0.000000001,H2388&lt;=01_因子設定!$M$8+0.000000001,IF(01_因子設定!$B$20="Box-Behnken",E2388^2+F2388^2+G2388^2+H2388^2&lt;=2+0.000000001,TRUE()))</f>
        <v>1</v>
      </c>
      <c r="AD2388" s="55" t="n">
        <f aca="false">IF(AC2388,IF(01_因子設定!$B$13="最大化",AA2388-01_因子設定!$B$14,IF(01_因子設定!$B$13="最小化",01_因子設定!$B$15-AB2388,MIN(AA2388-01_因子設定!$B$14,01_因子設定!$B$15-AB2388))),-1E+030)</f>
        <v>-2.43825192332606</v>
      </c>
      <c r="AE2388" s="55" t="n">
        <f aca="false">IF(AC2388,IF(01_因子設定!$B$13="最大化",X2388,IF(01_因子設定!$B$13="最小化",-X2388,-ABS(X2388-01_因子設定!$B$16))),-1E+030)</f>
        <v>45.4942205774853</v>
      </c>
      <c r="AF2388" s="55" t="n">
        <f aca="false">AD2388+ROW()*0.000000001</f>
        <v>-2.43824953532606</v>
      </c>
      <c r="AG2388" s="55" t="n">
        <f aca="false">AE2388+ROW()*0.000000001</f>
        <v>45.4942229654853</v>
      </c>
    </row>
    <row r="2389" customFormat="false" ht="15" hidden="false" customHeight="false" outlineLevel="0" collapsed="false">
      <c r="A2389" s="0" t="n">
        <v>3</v>
      </c>
      <c r="B2389" s="0" t="n">
        <v>2</v>
      </c>
      <c r="C2389" s="0" t="n">
        <v>3</v>
      </c>
      <c r="D2389" s="0" t="n">
        <v>8</v>
      </c>
      <c r="E2389" s="0" t="n">
        <f aca="false">-1+A2389*0.25</f>
        <v>-0.25</v>
      </c>
      <c r="F2389" s="0" t="n">
        <f aca="false">-1+B2389*0.25</f>
        <v>-0.5</v>
      </c>
      <c r="G2389" s="0" t="n">
        <f aca="false">-1+C2389*0.25</f>
        <v>-0.25</v>
      </c>
      <c r="H2389" s="0" t="n">
        <f aca="false">-1+D2389*0.25</f>
        <v>1</v>
      </c>
      <c r="I2389" s="0" t="n">
        <f aca="false">1</f>
        <v>1</v>
      </c>
      <c r="J2389" s="0" t="n">
        <f aca="false">E2389</f>
        <v>-0.25</v>
      </c>
      <c r="K2389" s="0" t="n">
        <f aca="false">F2389</f>
        <v>-0.5</v>
      </c>
      <c r="L2389" s="0" t="n">
        <f aca="false">G2389</f>
        <v>-0.25</v>
      </c>
      <c r="M2389" s="0" t="n">
        <f aca="false">H2389</f>
        <v>1</v>
      </c>
      <c r="N2389" s="0" t="n">
        <f aca="false">E2389*F2389</f>
        <v>0.125</v>
      </c>
      <c r="O2389" s="0" t="n">
        <f aca="false">E2389*G2389</f>
        <v>0.0625</v>
      </c>
      <c r="P2389" s="0" t="n">
        <f aca="false">E2389*H2389</f>
        <v>-0.25</v>
      </c>
      <c r="Q2389" s="0" t="n">
        <f aca="false">F2389*G2389</f>
        <v>0.125</v>
      </c>
      <c r="R2389" s="0" t="n">
        <f aca="false">F2389*H2389</f>
        <v>-0.5</v>
      </c>
      <c r="S2389" s="0" t="n">
        <f aca="false">G2389*H2389</f>
        <v>-0.25</v>
      </c>
      <c r="T2389" s="0" t="n">
        <f aca="false">E2389*E2389</f>
        <v>0.0625</v>
      </c>
      <c r="U2389" s="0" t="n">
        <f aca="false">F2389*F2389</f>
        <v>0.25</v>
      </c>
      <c r="V2389" s="0" t="n">
        <f aca="false">G2389*G2389</f>
        <v>0.0625</v>
      </c>
      <c r="W2389" s="0" t="n">
        <f aca="false">H2389*H2389</f>
        <v>1</v>
      </c>
      <c r="X2389" s="0" t="n">
        <f aca="false">SUMPRODUCT(I2389:W2389,_XtX!$B$96:$P$96)</f>
        <v>45.4290661549707</v>
      </c>
      <c r="Y2389" s="0" t="n">
        <f aca="false">SUMPRODUCT(MMULT(I2389:W2389,_XtX!$B$78:$P$92),I2389:W2389)</f>
        <v>0.445705123812135</v>
      </c>
      <c r="Z2389" s="0" t="n">
        <f aca="false">04_回帰ANOVA!$K$19*04_回帰ANOVA!$K$14*SQRT(1+Y2389)</f>
        <v>1.56724990734749</v>
      </c>
      <c r="AA2389" s="0" t="n">
        <f aca="false">X2389-Z2389</f>
        <v>43.8618162476232</v>
      </c>
      <c r="AB2389" s="0" t="n">
        <f aca="false">X2389+Z2389</f>
        <v>46.9963160623182</v>
      </c>
      <c r="AC2389" s="54" t="b">
        <f aca="false">AND(E2389&gt;=01_因子設定!$L$5-0.000000001,E2389&lt;=01_因子設定!$M$5+0.000000001,F2389&gt;=01_因子設定!$L$6-0.000000001,F2389&lt;=01_因子設定!$M$6+0.000000001,G2389&gt;=01_因子設定!$L$7-0.000000001,G2389&lt;=01_因子設定!$M$7+0.000000001,H2389&gt;=01_因子設定!$L$8-0.000000001,H2389&lt;=01_因子設定!$M$8+0.000000001,IF(01_因子設定!$B$20="Box-Behnken",E2389^2+F2389^2+G2389^2+H2389^2&lt;=2+0.000000001,TRUE()))</f>
        <v>1</v>
      </c>
      <c r="AD2389" s="55" t="n">
        <f aca="false">IF(AC2389,IF(01_因子設定!$B$13="最大化",AA2389-01_因子設定!$B$14,IF(01_因子設定!$B$13="最小化",01_因子設定!$B$15-AB2389,MIN(AA2389-01_因子設定!$B$14,01_因子設定!$B$15-AB2389))),-1E+030)</f>
        <v>-2.63818375237675</v>
      </c>
      <c r="AE2389" s="55" t="n">
        <f aca="false">IF(AC2389,IF(01_因子設定!$B$13="最大化",X2389,IF(01_因子設定!$B$13="最小化",-X2389,-ABS(X2389-01_因子設定!$B$16))),-1E+030)</f>
        <v>45.4290661549707</v>
      </c>
      <c r="AF2389" s="55" t="n">
        <f aca="false">AD2389+ROW()*0.000000001</f>
        <v>-2.63818136337675</v>
      </c>
      <c r="AG2389" s="55" t="n">
        <f aca="false">AE2389+ROW()*0.000000001</f>
        <v>45.4290685439707</v>
      </c>
    </row>
    <row r="2390" customFormat="false" ht="15" hidden="false" customHeight="false" outlineLevel="0" collapsed="false">
      <c r="A2390" s="0" t="n">
        <v>3</v>
      </c>
      <c r="B2390" s="0" t="n">
        <v>2</v>
      </c>
      <c r="C2390" s="0" t="n">
        <v>4</v>
      </c>
      <c r="D2390" s="0" t="n">
        <v>0</v>
      </c>
      <c r="E2390" s="0" t="n">
        <f aca="false">-1+A2390*0.25</f>
        <v>-0.25</v>
      </c>
      <c r="F2390" s="0" t="n">
        <f aca="false">-1+B2390*0.25</f>
        <v>-0.5</v>
      </c>
      <c r="G2390" s="0" t="n">
        <f aca="false">-1+C2390*0.25</f>
        <v>0</v>
      </c>
      <c r="H2390" s="0" t="n">
        <f aca="false">-1+D2390*0.25</f>
        <v>-1</v>
      </c>
      <c r="I2390" s="0" t="n">
        <f aca="false">1</f>
        <v>1</v>
      </c>
      <c r="J2390" s="0" t="n">
        <f aca="false">E2390</f>
        <v>-0.25</v>
      </c>
      <c r="K2390" s="0" t="n">
        <f aca="false">F2390</f>
        <v>-0.5</v>
      </c>
      <c r="L2390" s="0" t="n">
        <f aca="false">G2390</f>
        <v>0</v>
      </c>
      <c r="M2390" s="0" t="n">
        <f aca="false">H2390</f>
        <v>-1</v>
      </c>
      <c r="N2390" s="0" t="n">
        <f aca="false">E2390*F2390</f>
        <v>0.125</v>
      </c>
      <c r="O2390" s="0" t="n">
        <f aca="false">E2390*G2390</f>
        <v>-0</v>
      </c>
      <c r="P2390" s="0" t="n">
        <f aca="false">E2390*H2390</f>
        <v>0.25</v>
      </c>
      <c r="Q2390" s="0" t="n">
        <f aca="false">F2390*G2390</f>
        <v>-0</v>
      </c>
      <c r="R2390" s="0" t="n">
        <f aca="false">F2390*H2390</f>
        <v>0.5</v>
      </c>
      <c r="S2390" s="0" t="n">
        <f aca="false">G2390*H2390</f>
        <v>-0</v>
      </c>
      <c r="T2390" s="0" t="n">
        <f aca="false">E2390*E2390</f>
        <v>0.0625</v>
      </c>
      <c r="U2390" s="0" t="n">
        <f aca="false">F2390*F2390</f>
        <v>0.25</v>
      </c>
      <c r="V2390" s="0" t="n">
        <f aca="false">G2390*G2390</f>
        <v>0</v>
      </c>
      <c r="W2390" s="0" t="n">
        <f aca="false">H2390*H2390</f>
        <v>1</v>
      </c>
      <c r="X2390" s="0" t="n">
        <f aca="false">SUMPRODUCT(I2390:W2390,_XtX!$B$96:$P$96)</f>
        <v>44.8298793859649</v>
      </c>
      <c r="Y2390" s="0" t="n">
        <f aca="false">SUMPRODUCT(MMULT(I2390:W2390,_XtX!$B$78:$P$92),I2390:W2390)</f>
        <v>0.457596628289474</v>
      </c>
      <c r="Z2390" s="0" t="n">
        <f aca="false">04_回帰ANOVA!$K$19*04_回帰ANOVA!$K$14*SQRT(1+Y2390)</f>
        <v>1.57368233664366</v>
      </c>
      <c r="AA2390" s="0" t="n">
        <f aca="false">X2390-Z2390</f>
        <v>43.2561970493212</v>
      </c>
      <c r="AB2390" s="0" t="n">
        <f aca="false">X2390+Z2390</f>
        <v>46.4035617226085</v>
      </c>
      <c r="AC2390" s="54" t="b">
        <f aca="false">AND(E2390&gt;=01_因子設定!$L$5-0.000000001,E2390&lt;=01_因子設定!$M$5+0.000000001,F2390&gt;=01_因子設定!$L$6-0.000000001,F2390&lt;=01_因子設定!$M$6+0.000000001,G2390&gt;=01_因子設定!$L$7-0.000000001,G2390&lt;=01_因子設定!$M$7+0.000000001,H2390&gt;=01_因子設定!$L$8-0.000000001,H2390&lt;=01_因子設定!$M$8+0.000000001,IF(01_因子設定!$B$20="Box-Behnken",E2390^2+F2390^2+G2390^2+H2390^2&lt;=2+0.000000001,TRUE()))</f>
        <v>1</v>
      </c>
      <c r="AD2390" s="55" t="n">
        <f aca="false">IF(AC2390,IF(01_因子設定!$B$13="最大化",AA2390-01_因子設定!$B$14,IF(01_因子設定!$B$13="最小化",01_因子設定!$B$15-AB2390,MIN(AA2390-01_因子設定!$B$14,01_因子設定!$B$15-AB2390))),-1E+030)</f>
        <v>-3.24380295067877</v>
      </c>
      <c r="AE2390" s="55" t="n">
        <f aca="false">IF(AC2390,IF(01_因子設定!$B$13="最大化",X2390,IF(01_因子設定!$B$13="最小化",-X2390,-ABS(X2390-01_因子設定!$B$16))),-1E+030)</f>
        <v>44.8298793859649</v>
      </c>
      <c r="AF2390" s="55" t="n">
        <f aca="false">AD2390+ROW()*0.000000001</f>
        <v>-3.24380056067877</v>
      </c>
      <c r="AG2390" s="55" t="n">
        <f aca="false">AE2390+ROW()*0.000000001</f>
        <v>44.8298817759649</v>
      </c>
    </row>
    <row r="2391" customFormat="false" ht="15" hidden="false" customHeight="false" outlineLevel="0" collapsed="false">
      <c r="A2391" s="0" t="n">
        <v>3</v>
      </c>
      <c r="B2391" s="0" t="n">
        <v>2</v>
      </c>
      <c r="C2391" s="0" t="n">
        <v>4</v>
      </c>
      <c r="D2391" s="0" t="n">
        <v>1</v>
      </c>
      <c r="E2391" s="0" t="n">
        <f aca="false">-1+A2391*0.25</f>
        <v>-0.25</v>
      </c>
      <c r="F2391" s="0" t="n">
        <f aca="false">-1+B2391*0.25</f>
        <v>-0.5</v>
      </c>
      <c r="G2391" s="0" t="n">
        <f aca="false">-1+C2391*0.25</f>
        <v>0</v>
      </c>
      <c r="H2391" s="0" t="n">
        <f aca="false">-1+D2391*0.25</f>
        <v>-0.75</v>
      </c>
      <c r="I2391" s="0" t="n">
        <f aca="false">1</f>
        <v>1</v>
      </c>
      <c r="J2391" s="0" t="n">
        <f aca="false">E2391</f>
        <v>-0.25</v>
      </c>
      <c r="K2391" s="0" t="n">
        <f aca="false">F2391</f>
        <v>-0.5</v>
      </c>
      <c r="L2391" s="0" t="n">
        <f aca="false">G2391</f>
        <v>0</v>
      </c>
      <c r="M2391" s="0" t="n">
        <f aca="false">H2391</f>
        <v>-0.75</v>
      </c>
      <c r="N2391" s="0" t="n">
        <f aca="false">E2391*F2391</f>
        <v>0.125</v>
      </c>
      <c r="O2391" s="0" t="n">
        <f aca="false">E2391*G2391</f>
        <v>-0</v>
      </c>
      <c r="P2391" s="0" t="n">
        <f aca="false">E2391*H2391</f>
        <v>0.1875</v>
      </c>
      <c r="Q2391" s="0" t="n">
        <f aca="false">F2391*G2391</f>
        <v>-0</v>
      </c>
      <c r="R2391" s="0" t="n">
        <f aca="false">F2391*H2391</f>
        <v>0.375</v>
      </c>
      <c r="S2391" s="0" t="n">
        <f aca="false">G2391*H2391</f>
        <v>-0</v>
      </c>
      <c r="T2391" s="0" t="n">
        <f aca="false">E2391*E2391</f>
        <v>0.0625</v>
      </c>
      <c r="U2391" s="0" t="n">
        <f aca="false">F2391*F2391</f>
        <v>0.25</v>
      </c>
      <c r="V2391" s="0" t="n">
        <f aca="false">G2391*G2391</f>
        <v>0</v>
      </c>
      <c r="W2391" s="0" t="n">
        <f aca="false">H2391*H2391</f>
        <v>0.5625</v>
      </c>
      <c r="X2391" s="0" t="n">
        <f aca="false">SUMPRODUCT(I2391:W2391,_XtX!$B$96:$P$96)</f>
        <v>45.1173428362573</v>
      </c>
      <c r="Y2391" s="0" t="n">
        <f aca="false">SUMPRODUCT(MMULT(I2391:W2391,_XtX!$B$78:$P$92),I2391:W2391)</f>
        <v>0.215110734192252</v>
      </c>
      <c r="Z2391" s="0" t="n">
        <f aca="false">04_回帰ANOVA!$K$19*04_回帰ANOVA!$K$14*SQRT(1+Y2391)</f>
        <v>1.43683309086864</v>
      </c>
      <c r="AA2391" s="0" t="n">
        <f aca="false">X2391-Z2391</f>
        <v>43.6805097453886</v>
      </c>
      <c r="AB2391" s="0" t="n">
        <f aca="false">X2391+Z2391</f>
        <v>46.5541759271259</v>
      </c>
      <c r="AC2391" s="54" t="b">
        <f aca="false">AND(E2391&gt;=01_因子設定!$L$5-0.000000001,E2391&lt;=01_因子設定!$M$5+0.000000001,F2391&gt;=01_因子設定!$L$6-0.000000001,F2391&lt;=01_因子設定!$M$6+0.000000001,G2391&gt;=01_因子設定!$L$7-0.000000001,G2391&lt;=01_因子設定!$M$7+0.000000001,H2391&gt;=01_因子設定!$L$8-0.000000001,H2391&lt;=01_因子設定!$M$8+0.000000001,IF(01_因子設定!$B$20="Box-Behnken",E2391^2+F2391^2+G2391^2+H2391^2&lt;=2+0.000000001,TRUE()))</f>
        <v>1</v>
      </c>
      <c r="AD2391" s="55" t="n">
        <f aca="false">IF(AC2391,IF(01_因子設定!$B$13="最大化",AA2391-01_因子設定!$B$14,IF(01_因子設定!$B$13="最小化",01_因子設定!$B$15-AB2391,MIN(AA2391-01_因子設定!$B$14,01_因子設定!$B$15-AB2391))),-1E+030)</f>
        <v>-2.81949025461137</v>
      </c>
      <c r="AE2391" s="55" t="n">
        <f aca="false">IF(AC2391,IF(01_因子設定!$B$13="最大化",X2391,IF(01_因子設定!$B$13="最小化",-X2391,-ABS(X2391-01_因子設定!$B$16))),-1E+030)</f>
        <v>45.1173428362573</v>
      </c>
      <c r="AF2391" s="55" t="n">
        <f aca="false">AD2391+ROW()*0.000000001</f>
        <v>-2.81948786361137</v>
      </c>
      <c r="AG2391" s="55" t="n">
        <f aca="false">AE2391+ROW()*0.000000001</f>
        <v>45.1173452272573</v>
      </c>
    </row>
    <row r="2392" customFormat="false" ht="15" hidden="false" customHeight="false" outlineLevel="0" collapsed="false">
      <c r="A2392" s="0" t="n">
        <v>3</v>
      </c>
      <c r="B2392" s="0" t="n">
        <v>2</v>
      </c>
      <c r="C2392" s="0" t="n">
        <v>4</v>
      </c>
      <c r="D2392" s="0" t="n">
        <v>2</v>
      </c>
      <c r="E2392" s="0" t="n">
        <f aca="false">-1+A2392*0.25</f>
        <v>-0.25</v>
      </c>
      <c r="F2392" s="0" t="n">
        <f aca="false">-1+B2392*0.25</f>
        <v>-0.5</v>
      </c>
      <c r="G2392" s="0" t="n">
        <f aca="false">-1+C2392*0.25</f>
        <v>0</v>
      </c>
      <c r="H2392" s="0" t="n">
        <f aca="false">-1+D2392*0.25</f>
        <v>-0.5</v>
      </c>
      <c r="I2392" s="0" t="n">
        <f aca="false">1</f>
        <v>1</v>
      </c>
      <c r="J2392" s="0" t="n">
        <f aca="false">E2392</f>
        <v>-0.25</v>
      </c>
      <c r="K2392" s="0" t="n">
        <f aca="false">F2392</f>
        <v>-0.5</v>
      </c>
      <c r="L2392" s="0" t="n">
        <f aca="false">G2392</f>
        <v>0</v>
      </c>
      <c r="M2392" s="0" t="n">
        <f aca="false">H2392</f>
        <v>-0.5</v>
      </c>
      <c r="N2392" s="0" t="n">
        <f aca="false">E2392*F2392</f>
        <v>0.125</v>
      </c>
      <c r="O2392" s="0" t="n">
        <f aca="false">E2392*G2392</f>
        <v>-0</v>
      </c>
      <c r="P2392" s="0" t="n">
        <f aca="false">E2392*H2392</f>
        <v>0.125</v>
      </c>
      <c r="Q2392" s="0" t="n">
        <f aca="false">F2392*G2392</f>
        <v>-0</v>
      </c>
      <c r="R2392" s="0" t="n">
        <f aca="false">F2392*H2392</f>
        <v>0.25</v>
      </c>
      <c r="S2392" s="0" t="n">
        <f aca="false">G2392*H2392</f>
        <v>-0</v>
      </c>
      <c r="T2392" s="0" t="n">
        <f aca="false">E2392*E2392</f>
        <v>0.0625</v>
      </c>
      <c r="U2392" s="0" t="n">
        <f aca="false">F2392*F2392</f>
        <v>0.25</v>
      </c>
      <c r="V2392" s="0" t="n">
        <f aca="false">G2392*G2392</f>
        <v>0</v>
      </c>
      <c r="W2392" s="0" t="n">
        <f aca="false">H2392*H2392</f>
        <v>0.25</v>
      </c>
      <c r="X2392" s="0" t="n">
        <f aca="false">SUMPRODUCT(I2392:W2392,_XtX!$B$96:$P$96)</f>
        <v>45.3569992690058</v>
      </c>
      <c r="Y2392" s="0" t="n">
        <f aca="false">SUMPRODUCT(MMULT(I2392:W2392,_XtX!$B$78:$P$92),I2392:W2392)</f>
        <v>0.132367050438597</v>
      </c>
      <c r="Z2392" s="0" t="n">
        <f aca="false">04_回帰ANOVA!$K$19*04_回帰ANOVA!$K$14*SQRT(1+Y2392)</f>
        <v>1.38704964208329</v>
      </c>
      <c r="AA2392" s="0" t="n">
        <f aca="false">X2392-Z2392</f>
        <v>43.9699496269225</v>
      </c>
      <c r="AB2392" s="0" t="n">
        <f aca="false">X2392+Z2392</f>
        <v>46.7440489110891</v>
      </c>
      <c r="AC2392" s="54" t="b">
        <f aca="false">AND(E2392&gt;=01_因子設定!$L$5-0.000000001,E2392&lt;=01_因子設定!$M$5+0.000000001,F2392&gt;=01_因子設定!$L$6-0.000000001,F2392&lt;=01_因子設定!$M$6+0.000000001,G2392&gt;=01_因子設定!$L$7-0.000000001,G2392&lt;=01_因子設定!$M$7+0.000000001,H2392&gt;=01_因子設定!$L$8-0.000000001,H2392&lt;=01_因子設定!$M$8+0.000000001,IF(01_因子設定!$B$20="Box-Behnken",E2392^2+F2392^2+G2392^2+H2392^2&lt;=2+0.000000001,TRUE()))</f>
        <v>1</v>
      </c>
      <c r="AD2392" s="55" t="n">
        <f aca="false">IF(AC2392,IF(01_因子設定!$B$13="最大化",AA2392-01_因子設定!$B$14,IF(01_因子設定!$B$13="最小化",01_因子設定!$B$15-AB2392,MIN(AA2392-01_因子設定!$B$14,01_因子設定!$B$15-AB2392))),-1E+030)</f>
        <v>-2.53005037307749</v>
      </c>
      <c r="AE2392" s="55" t="n">
        <f aca="false">IF(AC2392,IF(01_因子設定!$B$13="最大化",X2392,IF(01_因子設定!$B$13="最小化",-X2392,-ABS(X2392-01_因子設定!$B$16))),-1E+030)</f>
        <v>45.3569992690058</v>
      </c>
      <c r="AF2392" s="55" t="n">
        <f aca="false">AD2392+ROW()*0.000000001</f>
        <v>-2.53004798107749</v>
      </c>
      <c r="AG2392" s="55" t="n">
        <f aca="false">AE2392+ROW()*0.000000001</f>
        <v>45.3570016610058</v>
      </c>
    </row>
    <row r="2393" customFormat="false" ht="15" hidden="false" customHeight="false" outlineLevel="0" collapsed="false">
      <c r="A2393" s="0" t="n">
        <v>3</v>
      </c>
      <c r="B2393" s="0" t="n">
        <v>2</v>
      </c>
      <c r="C2393" s="0" t="n">
        <v>4</v>
      </c>
      <c r="D2393" s="0" t="n">
        <v>3</v>
      </c>
      <c r="E2393" s="0" t="n">
        <f aca="false">-1+A2393*0.25</f>
        <v>-0.25</v>
      </c>
      <c r="F2393" s="0" t="n">
        <f aca="false">-1+B2393*0.25</f>
        <v>-0.5</v>
      </c>
      <c r="G2393" s="0" t="n">
        <f aca="false">-1+C2393*0.25</f>
        <v>0</v>
      </c>
      <c r="H2393" s="0" t="n">
        <f aca="false">-1+D2393*0.25</f>
        <v>-0.25</v>
      </c>
      <c r="I2393" s="0" t="n">
        <f aca="false">1</f>
        <v>1</v>
      </c>
      <c r="J2393" s="0" t="n">
        <f aca="false">E2393</f>
        <v>-0.25</v>
      </c>
      <c r="K2393" s="0" t="n">
        <f aca="false">F2393</f>
        <v>-0.5</v>
      </c>
      <c r="L2393" s="0" t="n">
        <f aca="false">G2393</f>
        <v>0</v>
      </c>
      <c r="M2393" s="0" t="n">
        <f aca="false">H2393</f>
        <v>-0.25</v>
      </c>
      <c r="N2393" s="0" t="n">
        <f aca="false">E2393*F2393</f>
        <v>0.125</v>
      </c>
      <c r="O2393" s="0" t="n">
        <f aca="false">E2393*G2393</f>
        <v>-0</v>
      </c>
      <c r="P2393" s="0" t="n">
        <f aca="false">E2393*H2393</f>
        <v>0.0625</v>
      </c>
      <c r="Q2393" s="0" t="n">
        <f aca="false">F2393*G2393</f>
        <v>-0</v>
      </c>
      <c r="R2393" s="0" t="n">
        <f aca="false">F2393*H2393</f>
        <v>0.125</v>
      </c>
      <c r="S2393" s="0" t="n">
        <f aca="false">G2393*H2393</f>
        <v>-0</v>
      </c>
      <c r="T2393" s="0" t="n">
        <f aca="false">E2393*E2393</f>
        <v>0.0625</v>
      </c>
      <c r="U2393" s="0" t="n">
        <f aca="false">F2393*F2393</f>
        <v>0.25</v>
      </c>
      <c r="V2393" s="0" t="n">
        <f aca="false">G2393*G2393</f>
        <v>0</v>
      </c>
      <c r="W2393" s="0" t="n">
        <f aca="false">H2393*H2393</f>
        <v>0.0625</v>
      </c>
      <c r="X2393" s="0" t="n">
        <f aca="false">SUMPRODUCT(I2393:W2393,_XtX!$B$96:$P$96)</f>
        <v>45.5488486842105</v>
      </c>
      <c r="Y2393" s="0" t="n">
        <f aca="false">SUMPRODUCT(MMULT(I2393:W2393,_XtX!$B$78:$P$92),I2393:W2393)</f>
        <v>0.118905050712719</v>
      </c>
      <c r="Z2393" s="0" t="n">
        <f aca="false">04_回帰ANOVA!$K$19*04_回帰ANOVA!$K$14*SQRT(1+Y2393)</f>
        <v>1.37878011033769</v>
      </c>
      <c r="AA2393" s="0" t="n">
        <f aca="false">X2393-Z2393</f>
        <v>44.1700685738728</v>
      </c>
      <c r="AB2393" s="0" t="n">
        <f aca="false">X2393+Z2393</f>
        <v>46.9276287945482</v>
      </c>
      <c r="AC2393" s="54" t="b">
        <f aca="false">AND(E2393&gt;=01_因子設定!$L$5-0.000000001,E2393&lt;=01_因子設定!$M$5+0.000000001,F2393&gt;=01_因子設定!$L$6-0.000000001,F2393&lt;=01_因子設定!$M$6+0.000000001,G2393&gt;=01_因子設定!$L$7-0.000000001,G2393&lt;=01_因子設定!$M$7+0.000000001,H2393&gt;=01_因子設定!$L$8-0.000000001,H2393&lt;=01_因子設定!$M$8+0.000000001,IF(01_因子設定!$B$20="Box-Behnken",E2393^2+F2393^2+G2393^2+H2393^2&lt;=2+0.000000001,TRUE()))</f>
        <v>1</v>
      </c>
      <c r="AD2393" s="55" t="n">
        <f aca="false">IF(AC2393,IF(01_因子設定!$B$13="最大化",AA2393-01_因子設定!$B$14,IF(01_因子設定!$B$13="最小化",01_因子設定!$B$15-AB2393,MIN(AA2393-01_因子設定!$B$14,01_因子設定!$B$15-AB2393))),-1E+030)</f>
        <v>-2.32993142612722</v>
      </c>
      <c r="AE2393" s="55" t="n">
        <f aca="false">IF(AC2393,IF(01_因子設定!$B$13="最大化",X2393,IF(01_因子設定!$B$13="最小化",-X2393,-ABS(X2393-01_因子設定!$B$16))),-1E+030)</f>
        <v>45.5488486842105</v>
      </c>
      <c r="AF2393" s="55" t="n">
        <f aca="false">AD2393+ROW()*0.000000001</f>
        <v>-2.32992903312722</v>
      </c>
      <c r="AG2393" s="55" t="n">
        <f aca="false">AE2393+ROW()*0.000000001</f>
        <v>45.5488510772105</v>
      </c>
    </row>
    <row r="2394" customFormat="false" ht="15" hidden="false" customHeight="false" outlineLevel="0" collapsed="false">
      <c r="A2394" s="0" t="n">
        <v>3</v>
      </c>
      <c r="B2394" s="0" t="n">
        <v>2</v>
      </c>
      <c r="C2394" s="0" t="n">
        <v>4</v>
      </c>
      <c r="D2394" s="0" t="n">
        <v>4</v>
      </c>
      <c r="E2394" s="0" t="n">
        <f aca="false">-1+A2394*0.25</f>
        <v>-0.25</v>
      </c>
      <c r="F2394" s="0" t="n">
        <f aca="false">-1+B2394*0.25</f>
        <v>-0.5</v>
      </c>
      <c r="G2394" s="0" t="n">
        <f aca="false">-1+C2394*0.25</f>
        <v>0</v>
      </c>
      <c r="H2394" s="0" t="n">
        <f aca="false">-1+D2394*0.25</f>
        <v>0</v>
      </c>
      <c r="I2394" s="0" t="n">
        <f aca="false">1</f>
        <v>1</v>
      </c>
      <c r="J2394" s="0" t="n">
        <f aca="false">E2394</f>
        <v>-0.25</v>
      </c>
      <c r="K2394" s="0" t="n">
        <f aca="false">F2394</f>
        <v>-0.5</v>
      </c>
      <c r="L2394" s="0" t="n">
        <f aca="false">G2394</f>
        <v>0</v>
      </c>
      <c r="M2394" s="0" t="n">
        <f aca="false">H2394</f>
        <v>0</v>
      </c>
      <c r="N2394" s="0" t="n">
        <f aca="false">E2394*F2394</f>
        <v>0.125</v>
      </c>
      <c r="O2394" s="0" t="n">
        <f aca="false">E2394*G2394</f>
        <v>-0</v>
      </c>
      <c r="P2394" s="0" t="n">
        <f aca="false">E2394*H2394</f>
        <v>-0</v>
      </c>
      <c r="Q2394" s="0" t="n">
        <f aca="false">F2394*G2394</f>
        <v>-0</v>
      </c>
      <c r="R2394" s="0" t="n">
        <f aca="false">F2394*H2394</f>
        <v>-0</v>
      </c>
      <c r="S2394" s="0" t="n">
        <f aca="false">G2394*H2394</f>
        <v>0</v>
      </c>
      <c r="T2394" s="0" t="n">
        <f aca="false">E2394*E2394</f>
        <v>0.0625</v>
      </c>
      <c r="U2394" s="0" t="n">
        <f aca="false">F2394*F2394</f>
        <v>0.25</v>
      </c>
      <c r="V2394" s="0" t="n">
        <f aca="false">G2394*G2394</f>
        <v>0</v>
      </c>
      <c r="W2394" s="0" t="n">
        <f aca="false">H2394*H2394</f>
        <v>0</v>
      </c>
      <c r="X2394" s="0" t="n">
        <f aca="false">SUMPRODUCT(I2394:W2394,_XtX!$B$96:$P$96)</f>
        <v>45.6928910818713</v>
      </c>
      <c r="Y2394" s="0" t="n">
        <f aca="false">SUMPRODUCT(MMULT(I2394:W2394,_XtX!$B$78:$P$92),I2394:W2394)</f>
        <v>0.120448419225146</v>
      </c>
      <c r="Z2394" s="0" t="n">
        <f aca="false">04_回帰ANOVA!$K$19*04_回帰ANOVA!$K$14*SQRT(1+Y2394)</f>
        <v>1.37973069703246</v>
      </c>
      <c r="AA2394" s="0" t="n">
        <f aca="false">X2394-Z2394</f>
        <v>44.3131603848388</v>
      </c>
      <c r="AB2394" s="0" t="n">
        <f aca="false">X2394+Z2394</f>
        <v>47.0726217789037</v>
      </c>
      <c r="AC2394" s="54" t="b">
        <f aca="false">AND(E2394&gt;=01_因子設定!$L$5-0.000000001,E2394&lt;=01_因子設定!$M$5+0.000000001,F2394&gt;=01_因子設定!$L$6-0.000000001,F2394&lt;=01_因子設定!$M$6+0.000000001,G2394&gt;=01_因子設定!$L$7-0.000000001,G2394&lt;=01_因子設定!$M$7+0.000000001,H2394&gt;=01_因子設定!$L$8-0.000000001,H2394&lt;=01_因子設定!$M$8+0.000000001,IF(01_因子設定!$B$20="Box-Behnken",E2394^2+F2394^2+G2394^2+H2394^2&lt;=2+0.000000001,TRUE()))</f>
        <v>1</v>
      </c>
      <c r="AD2394" s="55" t="n">
        <f aca="false">IF(AC2394,IF(01_因子設定!$B$13="最大化",AA2394-01_因子設定!$B$14,IF(01_因子設定!$B$13="最小化",01_因子設定!$B$15-AB2394,MIN(AA2394-01_因子設定!$B$14,01_因子設定!$B$15-AB2394))),-1E+030)</f>
        <v>-2.18683961516118</v>
      </c>
      <c r="AE2394" s="55" t="n">
        <f aca="false">IF(AC2394,IF(01_因子設定!$B$13="最大化",X2394,IF(01_因子設定!$B$13="最小化",-X2394,-ABS(X2394-01_因子設定!$B$16))),-1E+030)</f>
        <v>45.6928910818713</v>
      </c>
      <c r="AF2394" s="55" t="n">
        <f aca="false">AD2394+ROW()*0.000000001</f>
        <v>-2.18683722116118</v>
      </c>
      <c r="AG2394" s="55" t="n">
        <f aca="false">AE2394+ROW()*0.000000001</f>
        <v>45.6928934758713</v>
      </c>
    </row>
    <row r="2395" customFormat="false" ht="15" hidden="false" customHeight="false" outlineLevel="0" collapsed="false">
      <c r="A2395" s="0" t="n">
        <v>3</v>
      </c>
      <c r="B2395" s="0" t="n">
        <v>2</v>
      </c>
      <c r="C2395" s="0" t="n">
        <v>4</v>
      </c>
      <c r="D2395" s="0" t="n">
        <v>5</v>
      </c>
      <c r="E2395" s="0" t="n">
        <f aca="false">-1+A2395*0.25</f>
        <v>-0.25</v>
      </c>
      <c r="F2395" s="0" t="n">
        <f aca="false">-1+B2395*0.25</f>
        <v>-0.5</v>
      </c>
      <c r="G2395" s="0" t="n">
        <f aca="false">-1+C2395*0.25</f>
        <v>0</v>
      </c>
      <c r="H2395" s="0" t="n">
        <f aca="false">-1+D2395*0.25</f>
        <v>0.25</v>
      </c>
      <c r="I2395" s="0" t="n">
        <f aca="false">1</f>
        <v>1</v>
      </c>
      <c r="J2395" s="0" t="n">
        <f aca="false">E2395</f>
        <v>-0.25</v>
      </c>
      <c r="K2395" s="0" t="n">
        <f aca="false">F2395</f>
        <v>-0.5</v>
      </c>
      <c r="L2395" s="0" t="n">
        <f aca="false">G2395</f>
        <v>0</v>
      </c>
      <c r="M2395" s="0" t="n">
        <f aca="false">H2395</f>
        <v>0.25</v>
      </c>
      <c r="N2395" s="0" t="n">
        <f aca="false">E2395*F2395</f>
        <v>0.125</v>
      </c>
      <c r="O2395" s="0" t="n">
        <f aca="false">E2395*G2395</f>
        <v>-0</v>
      </c>
      <c r="P2395" s="0" t="n">
        <f aca="false">E2395*H2395</f>
        <v>-0.0625</v>
      </c>
      <c r="Q2395" s="0" t="n">
        <f aca="false">F2395*G2395</f>
        <v>-0</v>
      </c>
      <c r="R2395" s="0" t="n">
        <f aca="false">F2395*H2395</f>
        <v>-0.125</v>
      </c>
      <c r="S2395" s="0" t="n">
        <f aca="false">G2395*H2395</f>
        <v>0</v>
      </c>
      <c r="T2395" s="0" t="n">
        <f aca="false">E2395*E2395</f>
        <v>0.0625</v>
      </c>
      <c r="U2395" s="0" t="n">
        <f aca="false">F2395*F2395</f>
        <v>0.25</v>
      </c>
      <c r="V2395" s="0" t="n">
        <f aca="false">G2395*G2395</f>
        <v>0</v>
      </c>
      <c r="W2395" s="0" t="n">
        <f aca="false">H2395*H2395</f>
        <v>0.0625</v>
      </c>
      <c r="X2395" s="0" t="n">
        <f aca="false">SUMPRODUCT(I2395:W2395,_XtX!$B$96:$P$96)</f>
        <v>45.7891264619882</v>
      </c>
      <c r="Y2395" s="0" t="n">
        <f aca="false">SUMPRODUCT(MMULT(I2395:W2395,_XtX!$B$78:$P$92),I2395:W2395)</f>
        <v>0.118905050712719</v>
      </c>
      <c r="Z2395" s="0" t="n">
        <f aca="false">04_回帰ANOVA!$K$19*04_回帰ANOVA!$K$14*SQRT(1+Y2395)</f>
        <v>1.37878011033769</v>
      </c>
      <c r="AA2395" s="0" t="n">
        <f aca="false">X2395-Z2395</f>
        <v>44.4103463516506</v>
      </c>
      <c r="AB2395" s="0" t="n">
        <f aca="false">X2395+Z2395</f>
        <v>47.1679065723259</v>
      </c>
      <c r="AC2395" s="54" t="b">
        <f aca="false">AND(E2395&gt;=01_因子設定!$L$5-0.000000001,E2395&lt;=01_因子設定!$M$5+0.000000001,F2395&gt;=01_因子設定!$L$6-0.000000001,F2395&lt;=01_因子設定!$M$6+0.000000001,G2395&gt;=01_因子設定!$L$7-0.000000001,G2395&lt;=01_因子設定!$M$7+0.000000001,H2395&gt;=01_因子設定!$L$8-0.000000001,H2395&lt;=01_因子設定!$M$8+0.000000001,IF(01_因子設定!$B$20="Box-Behnken",E2395^2+F2395^2+G2395^2+H2395^2&lt;=2+0.000000001,TRUE()))</f>
        <v>1</v>
      </c>
      <c r="AD2395" s="55" t="n">
        <f aca="false">IF(AC2395,IF(01_因子設定!$B$13="最大化",AA2395-01_因子設定!$B$14,IF(01_因子設定!$B$13="最小化",01_因子設定!$B$15-AB2395,MIN(AA2395-01_因子設定!$B$14,01_因子設定!$B$15-AB2395))),-1E+030)</f>
        <v>-2.08965364834944</v>
      </c>
      <c r="AE2395" s="55" t="n">
        <f aca="false">IF(AC2395,IF(01_因子設定!$B$13="最大化",X2395,IF(01_因子設定!$B$13="最小化",-X2395,-ABS(X2395-01_因子設定!$B$16))),-1E+030)</f>
        <v>45.7891264619882</v>
      </c>
      <c r="AF2395" s="55" t="n">
        <f aca="false">AD2395+ROW()*0.000000001</f>
        <v>-2.08965125334944</v>
      </c>
      <c r="AG2395" s="55" t="n">
        <f aca="false">AE2395+ROW()*0.000000001</f>
        <v>45.7891288569883</v>
      </c>
    </row>
    <row r="2396" customFormat="false" ht="15" hidden="false" customHeight="false" outlineLevel="0" collapsed="false">
      <c r="A2396" s="0" t="n">
        <v>3</v>
      </c>
      <c r="B2396" s="0" t="n">
        <v>2</v>
      </c>
      <c r="C2396" s="0" t="n">
        <v>4</v>
      </c>
      <c r="D2396" s="0" t="n">
        <v>6</v>
      </c>
      <c r="E2396" s="0" t="n">
        <f aca="false">-1+A2396*0.25</f>
        <v>-0.25</v>
      </c>
      <c r="F2396" s="0" t="n">
        <f aca="false">-1+B2396*0.25</f>
        <v>-0.5</v>
      </c>
      <c r="G2396" s="0" t="n">
        <f aca="false">-1+C2396*0.25</f>
        <v>0</v>
      </c>
      <c r="H2396" s="0" t="n">
        <f aca="false">-1+D2396*0.25</f>
        <v>0.5</v>
      </c>
      <c r="I2396" s="0" t="n">
        <f aca="false">1</f>
        <v>1</v>
      </c>
      <c r="J2396" s="0" t="n">
        <f aca="false">E2396</f>
        <v>-0.25</v>
      </c>
      <c r="K2396" s="0" t="n">
        <f aca="false">F2396</f>
        <v>-0.5</v>
      </c>
      <c r="L2396" s="0" t="n">
        <f aca="false">G2396</f>
        <v>0</v>
      </c>
      <c r="M2396" s="0" t="n">
        <f aca="false">H2396</f>
        <v>0.5</v>
      </c>
      <c r="N2396" s="0" t="n">
        <f aca="false">E2396*F2396</f>
        <v>0.125</v>
      </c>
      <c r="O2396" s="0" t="n">
        <f aca="false">E2396*G2396</f>
        <v>-0</v>
      </c>
      <c r="P2396" s="0" t="n">
        <f aca="false">E2396*H2396</f>
        <v>-0.125</v>
      </c>
      <c r="Q2396" s="0" t="n">
        <f aca="false">F2396*G2396</f>
        <v>-0</v>
      </c>
      <c r="R2396" s="0" t="n">
        <f aca="false">F2396*H2396</f>
        <v>-0.25</v>
      </c>
      <c r="S2396" s="0" t="n">
        <f aca="false">G2396*H2396</f>
        <v>0</v>
      </c>
      <c r="T2396" s="0" t="n">
        <f aca="false">E2396*E2396</f>
        <v>0.0625</v>
      </c>
      <c r="U2396" s="0" t="n">
        <f aca="false">F2396*F2396</f>
        <v>0.25</v>
      </c>
      <c r="V2396" s="0" t="n">
        <f aca="false">G2396*G2396</f>
        <v>0</v>
      </c>
      <c r="W2396" s="0" t="n">
        <f aca="false">H2396*H2396</f>
        <v>0.25</v>
      </c>
      <c r="X2396" s="0" t="n">
        <f aca="false">SUMPRODUCT(I2396:W2396,_XtX!$B$96:$P$96)</f>
        <v>45.8375548245614</v>
      </c>
      <c r="Y2396" s="0" t="n">
        <f aca="false">SUMPRODUCT(MMULT(I2396:W2396,_XtX!$B$78:$P$92),I2396:W2396)</f>
        <v>0.132367050438597</v>
      </c>
      <c r="Z2396" s="0" t="n">
        <f aca="false">04_回帰ANOVA!$K$19*04_回帰ANOVA!$K$14*SQRT(1+Y2396)</f>
        <v>1.38704964208329</v>
      </c>
      <c r="AA2396" s="0" t="n">
        <f aca="false">X2396-Z2396</f>
        <v>44.4505051824781</v>
      </c>
      <c r="AB2396" s="0" t="n">
        <f aca="false">X2396+Z2396</f>
        <v>47.2246044666446</v>
      </c>
      <c r="AC2396" s="54" t="b">
        <f aca="false">AND(E2396&gt;=01_因子設定!$L$5-0.000000001,E2396&lt;=01_因子設定!$M$5+0.000000001,F2396&gt;=01_因子設定!$L$6-0.000000001,F2396&lt;=01_因子設定!$M$6+0.000000001,G2396&gt;=01_因子設定!$L$7-0.000000001,G2396&lt;=01_因子設定!$M$7+0.000000001,H2396&gt;=01_因子設定!$L$8-0.000000001,H2396&lt;=01_因子設定!$M$8+0.000000001,IF(01_因子設定!$B$20="Box-Behnken",E2396^2+F2396^2+G2396^2+H2396^2&lt;=2+0.000000001,TRUE()))</f>
        <v>1</v>
      </c>
      <c r="AD2396" s="55" t="n">
        <f aca="false">IF(AC2396,IF(01_因子設定!$B$13="最大化",AA2396-01_因子設定!$B$14,IF(01_因子設定!$B$13="最小化",01_因子設定!$B$15-AB2396,MIN(AA2396-01_因子設定!$B$14,01_因子設定!$B$15-AB2396))),-1E+030)</f>
        <v>-2.04949481752194</v>
      </c>
      <c r="AE2396" s="55" t="n">
        <f aca="false">IF(AC2396,IF(01_因子設定!$B$13="最大化",X2396,IF(01_因子設定!$B$13="最小化",-X2396,-ABS(X2396-01_因子設定!$B$16))),-1E+030)</f>
        <v>45.8375548245614</v>
      </c>
      <c r="AF2396" s="55" t="n">
        <f aca="false">AD2396+ROW()*0.000000001</f>
        <v>-2.04949242152194</v>
      </c>
      <c r="AG2396" s="55" t="n">
        <f aca="false">AE2396+ROW()*0.000000001</f>
        <v>45.8375572205614</v>
      </c>
    </row>
    <row r="2397" customFormat="false" ht="15" hidden="false" customHeight="false" outlineLevel="0" collapsed="false">
      <c r="A2397" s="0" t="n">
        <v>3</v>
      </c>
      <c r="B2397" s="0" t="n">
        <v>2</v>
      </c>
      <c r="C2397" s="0" t="n">
        <v>4</v>
      </c>
      <c r="D2397" s="0" t="n">
        <v>7</v>
      </c>
      <c r="E2397" s="0" t="n">
        <f aca="false">-1+A2397*0.25</f>
        <v>-0.25</v>
      </c>
      <c r="F2397" s="0" t="n">
        <f aca="false">-1+B2397*0.25</f>
        <v>-0.5</v>
      </c>
      <c r="G2397" s="0" t="n">
        <f aca="false">-1+C2397*0.25</f>
        <v>0</v>
      </c>
      <c r="H2397" s="0" t="n">
        <f aca="false">-1+D2397*0.25</f>
        <v>0.75</v>
      </c>
      <c r="I2397" s="0" t="n">
        <f aca="false">1</f>
        <v>1</v>
      </c>
      <c r="J2397" s="0" t="n">
        <f aca="false">E2397</f>
        <v>-0.25</v>
      </c>
      <c r="K2397" s="0" t="n">
        <f aca="false">F2397</f>
        <v>-0.5</v>
      </c>
      <c r="L2397" s="0" t="n">
        <f aca="false">G2397</f>
        <v>0</v>
      </c>
      <c r="M2397" s="0" t="n">
        <f aca="false">H2397</f>
        <v>0.75</v>
      </c>
      <c r="N2397" s="0" t="n">
        <f aca="false">E2397*F2397</f>
        <v>0.125</v>
      </c>
      <c r="O2397" s="0" t="n">
        <f aca="false">E2397*G2397</f>
        <v>-0</v>
      </c>
      <c r="P2397" s="0" t="n">
        <f aca="false">E2397*H2397</f>
        <v>-0.1875</v>
      </c>
      <c r="Q2397" s="0" t="n">
        <f aca="false">F2397*G2397</f>
        <v>-0</v>
      </c>
      <c r="R2397" s="0" t="n">
        <f aca="false">F2397*H2397</f>
        <v>-0.375</v>
      </c>
      <c r="S2397" s="0" t="n">
        <f aca="false">G2397*H2397</f>
        <v>0</v>
      </c>
      <c r="T2397" s="0" t="n">
        <f aca="false">E2397*E2397</f>
        <v>0.0625</v>
      </c>
      <c r="U2397" s="0" t="n">
        <f aca="false">F2397*F2397</f>
        <v>0.25</v>
      </c>
      <c r="V2397" s="0" t="n">
        <f aca="false">G2397*G2397</f>
        <v>0</v>
      </c>
      <c r="W2397" s="0" t="n">
        <f aca="false">H2397*H2397</f>
        <v>0.5625</v>
      </c>
      <c r="X2397" s="0" t="n">
        <f aca="false">SUMPRODUCT(I2397:W2397,_XtX!$B$96:$P$96)</f>
        <v>45.8381761695906</v>
      </c>
      <c r="Y2397" s="0" t="n">
        <f aca="false">SUMPRODUCT(MMULT(I2397:W2397,_XtX!$B$78:$P$92),I2397:W2397)</f>
        <v>0.215110734192252</v>
      </c>
      <c r="Z2397" s="0" t="n">
        <f aca="false">04_回帰ANOVA!$K$19*04_回帰ANOVA!$K$14*SQRT(1+Y2397)</f>
        <v>1.43683309086864</v>
      </c>
      <c r="AA2397" s="0" t="n">
        <f aca="false">X2397-Z2397</f>
        <v>44.401343078722</v>
      </c>
      <c r="AB2397" s="0" t="n">
        <f aca="false">X2397+Z2397</f>
        <v>47.2750092604593</v>
      </c>
      <c r="AC2397" s="54" t="b">
        <f aca="false">AND(E2397&gt;=01_因子設定!$L$5-0.000000001,E2397&lt;=01_因子設定!$M$5+0.000000001,F2397&gt;=01_因子設定!$L$6-0.000000001,F2397&lt;=01_因子設定!$M$6+0.000000001,G2397&gt;=01_因子設定!$L$7-0.000000001,G2397&lt;=01_因子設定!$M$7+0.000000001,H2397&gt;=01_因子設定!$L$8-0.000000001,H2397&lt;=01_因子設定!$M$8+0.000000001,IF(01_因子設定!$B$20="Box-Behnken",E2397^2+F2397^2+G2397^2+H2397^2&lt;=2+0.000000001,TRUE()))</f>
        <v>1</v>
      </c>
      <c r="AD2397" s="55" t="n">
        <f aca="false">IF(AC2397,IF(01_因子設定!$B$13="最大化",AA2397-01_因子設定!$B$14,IF(01_因子設定!$B$13="最小化",01_因子設定!$B$15-AB2397,MIN(AA2397-01_因子設定!$B$14,01_因子設定!$B$15-AB2397))),-1E+030)</f>
        <v>-2.09865692127804</v>
      </c>
      <c r="AE2397" s="55" t="n">
        <f aca="false">IF(AC2397,IF(01_因子設定!$B$13="最大化",X2397,IF(01_因子設定!$B$13="最小化",-X2397,-ABS(X2397-01_因子設定!$B$16))),-1E+030)</f>
        <v>45.8381761695906</v>
      </c>
      <c r="AF2397" s="55" t="n">
        <f aca="false">AD2397+ROW()*0.000000001</f>
        <v>-2.09865452427804</v>
      </c>
      <c r="AG2397" s="55" t="n">
        <f aca="false">AE2397+ROW()*0.000000001</f>
        <v>45.8381785665906</v>
      </c>
    </row>
    <row r="2398" customFormat="false" ht="15" hidden="false" customHeight="false" outlineLevel="0" collapsed="false">
      <c r="A2398" s="0" t="n">
        <v>3</v>
      </c>
      <c r="B2398" s="0" t="n">
        <v>2</v>
      </c>
      <c r="C2398" s="0" t="n">
        <v>4</v>
      </c>
      <c r="D2398" s="0" t="n">
        <v>8</v>
      </c>
      <c r="E2398" s="0" t="n">
        <f aca="false">-1+A2398*0.25</f>
        <v>-0.25</v>
      </c>
      <c r="F2398" s="0" t="n">
        <f aca="false">-1+B2398*0.25</f>
        <v>-0.5</v>
      </c>
      <c r="G2398" s="0" t="n">
        <f aca="false">-1+C2398*0.25</f>
        <v>0</v>
      </c>
      <c r="H2398" s="0" t="n">
        <f aca="false">-1+D2398*0.25</f>
        <v>1</v>
      </c>
      <c r="I2398" s="0" t="n">
        <f aca="false">1</f>
        <v>1</v>
      </c>
      <c r="J2398" s="0" t="n">
        <f aca="false">E2398</f>
        <v>-0.25</v>
      </c>
      <c r="K2398" s="0" t="n">
        <f aca="false">F2398</f>
        <v>-0.5</v>
      </c>
      <c r="L2398" s="0" t="n">
        <f aca="false">G2398</f>
        <v>0</v>
      </c>
      <c r="M2398" s="0" t="n">
        <f aca="false">H2398</f>
        <v>1</v>
      </c>
      <c r="N2398" s="0" t="n">
        <f aca="false">E2398*F2398</f>
        <v>0.125</v>
      </c>
      <c r="O2398" s="0" t="n">
        <f aca="false">E2398*G2398</f>
        <v>-0</v>
      </c>
      <c r="P2398" s="0" t="n">
        <f aca="false">E2398*H2398</f>
        <v>-0.25</v>
      </c>
      <c r="Q2398" s="0" t="n">
        <f aca="false">F2398*G2398</f>
        <v>-0</v>
      </c>
      <c r="R2398" s="0" t="n">
        <f aca="false">F2398*H2398</f>
        <v>-0.5</v>
      </c>
      <c r="S2398" s="0" t="n">
        <f aca="false">G2398*H2398</f>
        <v>0</v>
      </c>
      <c r="T2398" s="0" t="n">
        <f aca="false">E2398*E2398</f>
        <v>0.0625</v>
      </c>
      <c r="U2398" s="0" t="n">
        <f aca="false">F2398*F2398</f>
        <v>0.25</v>
      </c>
      <c r="V2398" s="0" t="n">
        <f aca="false">G2398*G2398</f>
        <v>0</v>
      </c>
      <c r="W2398" s="0" t="n">
        <f aca="false">H2398*H2398</f>
        <v>1</v>
      </c>
      <c r="X2398" s="0" t="n">
        <f aca="false">SUMPRODUCT(I2398:W2398,_XtX!$B$96:$P$96)</f>
        <v>45.790990497076</v>
      </c>
      <c r="Y2398" s="0" t="n">
        <f aca="false">SUMPRODUCT(MMULT(I2398:W2398,_XtX!$B$78:$P$92),I2398:W2398)</f>
        <v>0.457596628289474</v>
      </c>
      <c r="Z2398" s="0" t="n">
        <f aca="false">04_回帰ANOVA!$K$19*04_回帰ANOVA!$K$14*SQRT(1+Y2398)</f>
        <v>1.57368233664366</v>
      </c>
      <c r="AA2398" s="0" t="n">
        <f aca="false">X2398-Z2398</f>
        <v>44.2173081604323</v>
      </c>
      <c r="AB2398" s="0" t="n">
        <f aca="false">X2398+Z2398</f>
        <v>47.3646728337197</v>
      </c>
      <c r="AC2398" s="54" t="b">
        <f aca="false">AND(E2398&gt;=01_因子設定!$L$5-0.000000001,E2398&lt;=01_因子設定!$M$5+0.000000001,F2398&gt;=01_因子設定!$L$6-0.000000001,F2398&lt;=01_因子設定!$M$6+0.000000001,G2398&gt;=01_因子設定!$L$7-0.000000001,G2398&lt;=01_因子設定!$M$7+0.000000001,H2398&gt;=01_因子設定!$L$8-0.000000001,H2398&lt;=01_因子設定!$M$8+0.000000001,IF(01_因子設定!$B$20="Box-Behnken",E2398^2+F2398^2+G2398^2+H2398^2&lt;=2+0.000000001,TRUE()))</f>
        <v>1</v>
      </c>
      <c r="AD2398" s="55" t="n">
        <f aca="false">IF(AC2398,IF(01_因子設定!$B$13="最大化",AA2398-01_因子設定!$B$14,IF(01_因子設定!$B$13="最小化",01_因子設定!$B$15-AB2398,MIN(AA2398-01_因子設定!$B$14,01_因子設定!$B$15-AB2398))),-1E+030)</f>
        <v>-2.28269183956765</v>
      </c>
      <c r="AE2398" s="55" t="n">
        <f aca="false">IF(AC2398,IF(01_因子設定!$B$13="最大化",X2398,IF(01_因子設定!$B$13="最小化",-X2398,-ABS(X2398-01_因子設定!$B$16))),-1E+030)</f>
        <v>45.790990497076</v>
      </c>
      <c r="AF2398" s="55" t="n">
        <f aca="false">AD2398+ROW()*0.000000001</f>
        <v>-2.28268944156765</v>
      </c>
      <c r="AG2398" s="55" t="n">
        <f aca="false">AE2398+ROW()*0.000000001</f>
        <v>45.790992895076</v>
      </c>
    </row>
    <row r="2399" customFormat="false" ht="15" hidden="false" customHeight="false" outlineLevel="0" collapsed="false">
      <c r="A2399" s="0" t="n">
        <v>3</v>
      </c>
      <c r="B2399" s="0" t="n">
        <v>2</v>
      </c>
      <c r="C2399" s="0" t="n">
        <v>5</v>
      </c>
      <c r="D2399" s="0" t="n">
        <v>0</v>
      </c>
      <c r="E2399" s="0" t="n">
        <f aca="false">-1+A2399*0.25</f>
        <v>-0.25</v>
      </c>
      <c r="F2399" s="0" t="n">
        <f aca="false">-1+B2399*0.25</f>
        <v>-0.5</v>
      </c>
      <c r="G2399" s="0" t="n">
        <f aca="false">-1+C2399*0.25</f>
        <v>0.25</v>
      </c>
      <c r="H2399" s="0" t="n">
        <f aca="false">-1+D2399*0.25</f>
        <v>-1</v>
      </c>
      <c r="I2399" s="0" t="n">
        <f aca="false">1</f>
        <v>1</v>
      </c>
      <c r="J2399" s="0" t="n">
        <f aca="false">E2399</f>
        <v>-0.25</v>
      </c>
      <c r="K2399" s="0" t="n">
        <f aca="false">F2399</f>
        <v>-0.5</v>
      </c>
      <c r="L2399" s="0" t="n">
        <f aca="false">G2399</f>
        <v>0.25</v>
      </c>
      <c r="M2399" s="0" t="n">
        <f aca="false">H2399</f>
        <v>-1</v>
      </c>
      <c r="N2399" s="0" t="n">
        <f aca="false">E2399*F2399</f>
        <v>0.125</v>
      </c>
      <c r="O2399" s="0" t="n">
        <f aca="false">E2399*G2399</f>
        <v>-0.0625</v>
      </c>
      <c r="P2399" s="0" t="n">
        <f aca="false">E2399*H2399</f>
        <v>0.25</v>
      </c>
      <c r="Q2399" s="0" t="n">
        <f aca="false">F2399*G2399</f>
        <v>-0.125</v>
      </c>
      <c r="R2399" s="0" t="n">
        <f aca="false">F2399*H2399</f>
        <v>0.5</v>
      </c>
      <c r="S2399" s="0" t="n">
        <f aca="false">G2399*H2399</f>
        <v>-0.25</v>
      </c>
      <c r="T2399" s="0" t="n">
        <f aca="false">E2399*E2399</f>
        <v>0.0625</v>
      </c>
      <c r="U2399" s="0" t="n">
        <f aca="false">F2399*F2399</f>
        <v>0.25</v>
      </c>
      <c r="V2399" s="0" t="n">
        <f aca="false">G2399*G2399</f>
        <v>0.0625</v>
      </c>
      <c r="W2399" s="0" t="n">
        <f aca="false">H2399*H2399</f>
        <v>1</v>
      </c>
      <c r="X2399" s="0" t="n">
        <f aca="false">SUMPRODUCT(I2399:W2399,_XtX!$B$96:$P$96)</f>
        <v>44.9627467105263</v>
      </c>
      <c r="Y2399" s="0" t="n">
        <f aca="false">SUMPRODUCT(MMULT(I2399:W2399,_XtX!$B$78:$P$92),I2399:W2399)</f>
        <v>0.445705123812135</v>
      </c>
      <c r="Z2399" s="0" t="n">
        <f aca="false">04_回帰ANOVA!$K$19*04_回帰ANOVA!$K$14*SQRT(1+Y2399)</f>
        <v>1.56724990734749</v>
      </c>
      <c r="AA2399" s="0" t="n">
        <f aca="false">X2399-Z2399</f>
        <v>43.3954968031788</v>
      </c>
      <c r="AB2399" s="0" t="n">
        <f aca="false">X2399+Z2399</f>
        <v>46.5299966178738</v>
      </c>
      <c r="AC2399" s="54" t="b">
        <f aca="false">AND(E2399&gt;=01_因子設定!$L$5-0.000000001,E2399&lt;=01_因子設定!$M$5+0.000000001,F2399&gt;=01_因子設定!$L$6-0.000000001,F2399&lt;=01_因子設定!$M$6+0.000000001,G2399&gt;=01_因子設定!$L$7-0.000000001,G2399&lt;=01_因子設定!$M$7+0.000000001,H2399&gt;=01_因子設定!$L$8-0.000000001,H2399&lt;=01_因子設定!$M$8+0.000000001,IF(01_因子設定!$B$20="Box-Behnken",E2399^2+F2399^2+G2399^2+H2399^2&lt;=2+0.000000001,TRUE()))</f>
        <v>1</v>
      </c>
      <c r="AD2399" s="55" t="n">
        <f aca="false">IF(AC2399,IF(01_因子設定!$B$13="最大化",AA2399-01_因子設定!$B$14,IF(01_因子設定!$B$13="最小化",01_因子設定!$B$15-AB2399,MIN(AA2399-01_因子設定!$B$14,01_因子設定!$B$15-AB2399))),-1E+030)</f>
        <v>-3.10450319682119</v>
      </c>
      <c r="AE2399" s="55" t="n">
        <f aca="false">IF(AC2399,IF(01_因子設定!$B$13="最大化",X2399,IF(01_因子設定!$B$13="最小化",-X2399,-ABS(X2399-01_因子設定!$B$16))),-1E+030)</f>
        <v>44.9627467105263</v>
      </c>
      <c r="AF2399" s="55" t="n">
        <f aca="false">AD2399+ROW()*0.000000001</f>
        <v>-3.10450079782119</v>
      </c>
      <c r="AG2399" s="55" t="n">
        <f aca="false">AE2399+ROW()*0.000000001</f>
        <v>44.9627491095263</v>
      </c>
    </row>
    <row r="2400" customFormat="false" ht="15" hidden="false" customHeight="false" outlineLevel="0" collapsed="false">
      <c r="A2400" s="0" t="n">
        <v>3</v>
      </c>
      <c r="B2400" s="0" t="n">
        <v>2</v>
      </c>
      <c r="C2400" s="0" t="n">
        <v>5</v>
      </c>
      <c r="D2400" s="0" t="n">
        <v>1</v>
      </c>
      <c r="E2400" s="0" t="n">
        <f aca="false">-1+A2400*0.25</f>
        <v>-0.25</v>
      </c>
      <c r="F2400" s="0" t="n">
        <f aca="false">-1+B2400*0.25</f>
        <v>-0.5</v>
      </c>
      <c r="G2400" s="0" t="n">
        <f aca="false">-1+C2400*0.25</f>
        <v>0.25</v>
      </c>
      <c r="H2400" s="0" t="n">
        <f aca="false">-1+D2400*0.25</f>
        <v>-0.75</v>
      </c>
      <c r="I2400" s="0" t="n">
        <f aca="false">1</f>
        <v>1</v>
      </c>
      <c r="J2400" s="0" t="n">
        <f aca="false">E2400</f>
        <v>-0.25</v>
      </c>
      <c r="K2400" s="0" t="n">
        <f aca="false">F2400</f>
        <v>-0.5</v>
      </c>
      <c r="L2400" s="0" t="n">
        <f aca="false">G2400</f>
        <v>0.25</v>
      </c>
      <c r="M2400" s="0" t="n">
        <f aca="false">H2400</f>
        <v>-0.75</v>
      </c>
      <c r="N2400" s="0" t="n">
        <f aca="false">E2400*F2400</f>
        <v>0.125</v>
      </c>
      <c r="O2400" s="0" t="n">
        <f aca="false">E2400*G2400</f>
        <v>-0.0625</v>
      </c>
      <c r="P2400" s="0" t="n">
        <f aca="false">E2400*H2400</f>
        <v>0.1875</v>
      </c>
      <c r="Q2400" s="0" t="n">
        <f aca="false">F2400*G2400</f>
        <v>-0.125</v>
      </c>
      <c r="R2400" s="0" t="n">
        <f aca="false">F2400*H2400</f>
        <v>0.375</v>
      </c>
      <c r="S2400" s="0" t="n">
        <f aca="false">G2400*H2400</f>
        <v>-0.1875</v>
      </c>
      <c r="T2400" s="0" t="n">
        <f aca="false">E2400*E2400</f>
        <v>0.0625</v>
      </c>
      <c r="U2400" s="0" t="n">
        <f aca="false">F2400*F2400</f>
        <v>0.25</v>
      </c>
      <c r="V2400" s="0" t="n">
        <f aca="false">G2400*G2400</f>
        <v>0.0625</v>
      </c>
      <c r="W2400" s="0" t="n">
        <f aca="false">H2400*H2400</f>
        <v>0.5625</v>
      </c>
      <c r="X2400" s="0" t="n">
        <f aca="false">SUMPRODUCT(I2400:W2400,_XtX!$B$96:$P$96)</f>
        <v>45.2681789108187</v>
      </c>
      <c r="Y2400" s="0" t="n">
        <f aca="false">SUMPRODUCT(MMULT(I2400:W2400,_XtX!$B$78:$P$92),I2400:W2400)</f>
        <v>0.207746539199561</v>
      </c>
      <c r="Z2400" s="0" t="n">
        <f aca="false">04_回帰ANOVA!$K$19*04_回帰ANOVA!$K$14*SQRT(1+Y2400)</f>
        <v>1.43247250081141</v>
      </c>
      <c r="AA2400" s="0" t="n">
        <f aca="false">X2400-Z2400</f>
        <v>43.8357064100073</v>
      </c>
      <c r="AB2400" s="0" t="n">
        <f aca="false">X2400+Z2400</f>
        <v>46.7006514116301</v>
      </c>
      <c r="AC2400" s="54" t="b">
        <f aca="false">AND(E2400&gt;=01_因子設定!$L$5-0.000000001,E2400&lt;=01_因子設定!$M$5+0.000000001,F2400&gt;=01_因子設定!$L$6-0.000000001,F2400&lt;=01_因子設定!$M$6+0.000000001,G2400&gt;=01_因子設定!$L$7-0.000000001,G2400&lt;=01_因子設定!$M$7+0.000000001,H2400&gt;=01_因子設定!$L$8-0.000000001,H2400&lt;=01_因子設定!$M$8+0.000000001,IF(01_因子設定!$B$20="Box-Behnken",E2400^2+F2400^2+G2400^2+H2400^2&lt;=2+0.000000001,TRUE()))</f>
        <v>1</v>
      </c>
      <c r="AD2400" s="55" t="n">
        <f aca="false">IF(AC2400,IF(01_因子設定!$B$13="最大化",AA2400-01_因子設定!$B$14,IF(01_因子設定!$B$13="最小化",01_因子設定!$B$15-AB2400,MIN(AA2400-01_因子設定!$B$14,01_因子設定!$B$15-AB2400))),-1E+030)</f>
        <v>-2.66429358999273</v>
      </c>
      <c r="AE2400" s="55" t="n">
        <f aca="false">IF(AC2400,IF(01_因子設定!$B$13="最大化",X2400,IF(01_因子設定!$B$13="最小化",-X2400,-ABS(X2400-01_因子設定!$B$16))),-1E+030)</f>
        <v>45.2681789108187</v>
      </c>
      <c r="AF2400" s="55" t="n">
        <f aca="false">AD2400+ROW()*0.000000001</f>
        <v>-2.66429118999273</v>
      </c>
      <c r="AG2400" s="55" t="n">
        <f aca="false">AE2400+ROW()*0.000000001</f>
        <v>45.2681813108187</v>
      </c>
    </row>
    <row r="2401" customFormat="false" ht="15" hidden="false" customHeight="false" outlineLevel="0" collapsed="false">
      <c r="A2401" s="0" t="n">
        <v>3</v>
      </c>
      <c r="B2401" s="0" t="n">
        <v>2</v>
      </c>
      <c r="C2401" s="0" t="n">
        <v>5</v>
      </c>
      <c r="D2401" s="0" t="n">
        <v>2</v>
      </c>
      <c r="E2401" s="0" t="n">
        <f aca="false">-1+A2401*0.25</f>
        <v>-0.25</v>
      </c>
      <c r="F2401" s="0" t="n">
        <f aca="false">-1+B2401*0.25</f>
        <v>-0.5</v>
      </c>
      <c r="G2401" s="0" t="n">
        <f aca="false">-1+C2401*0.25</f>
        <v>0.25</v>
      </c>
      <c r="H2401" s="0" t="n">
        <f aca="false">-1+D2401*0.25</f>
        <v>-0.5</v>
      </c>
      <c r="I2401" s="0" t="n">
        <f aca="false">1</f>
        <v>1</v>
      </c>
      <c r="J2401" s="0" t="n">
        <f aca="false">E2401</f>
        <v>-0.25</v>
      </c>
      <c r="K2401" s="0" t="n">
        <f aca="false">F2401</f>
        <v>-0.5</v>
      </c>
      <c r="L2401" s="0" t="n">
        <f aca="false">G2401</f>
        <v>0.25</v>
      </c>
      <c r="M2401" s="0" t="n">
        <f aca="false">H2401</f>
        <v>-0.5</v>
      </c>
      <c r="N2401" s="0" t="n">
        <f aca="false">E2401*F2401</f>
        <v>0.125</v>
      </c>
      <c r="O2401" s="0" t="n">
        <f aca="false">E2401*G2401</f>
        <v>-0.0625</v>
      </c>
      <c r="P2401" s="0" t="n">
        <f aca="false">E2401*H2401</f>
        <v>0.125</v>
      </c>
      <c r="Q2401" s="0" t="n">
        <f aca="false">F2401*G2401</f>
        <v>-0.125</v>
      </c>
      <c r="R2401" s="0" t="n">
        <f aca="false">F2401*H2401</f>
        <v>0.25</v>
      </c>
      <c r="S2401" s="0" t="n">
        <f aca="false">G2401*H2401</f>
        <v>-0.125</v>
      </c>
      <c r="T2401" s="0" t="n">
        <f aca="false">E2401*E2401</f>
        <v>0.0625</v>
      </c>
      <c r="U2401" s="0" t="n">
        <f aca="false">F2401*F2401</f>
        <v>0.25</v>
      </c>
      <c r="V2401" s="0" t="n">
        <f aca="false">G2401*G2401</f>
        <v>0.0625</v>
      </c>
      <c r="W2401" s="0" t="n">
        <f aca="false">H2401*H2401</f>
        <v>0.25</v>
      </c>
      <c r="X2401" s="0" t="n">
        <f aca="false">SUMPRODUCT(I2401:W2401,_XtX!$B$96:$P$96)</f>
        <v>45.5258040935672</v>
      </c>
      <c r="Y2401" s="0" t="n">
        <f aca="false">SUMPRODUCT(MMULT(I2401:W2401,_XtX!$B$78:$P$92),I2401:W2401)</f>
        <v>0.128236647934942</v>
      </c>
      <c r="Z2401" s="0" t="n">
        <f aca="false">04_回帰ANOVA!$K$19*04_回帰ANOVA!$K$14*SQRT(1+Y2401)</f>
        <v>1.38451764188989</v>
      </c>
      <c r="AA2401" s="0" t="n">
        <f aca="false">X2401-Z2401</f>
        <v>44.1412864516773</v>
      </c>
      <c r="AB2401" s="0" t="n">
        <f aca="false">X2401+Z2401</f>
        <v>46.9103217354571</v>
      </c>
      <c r="AC2401" s="54" t="b">
        <f aca="false">AND(E2401&gt;=01_因子設定!$L$5-0.000000001,E2401&lt;=01_因子設定!$M$5+0.000000001,F2401&gt;=01_因子設定!$L$6-0.000000001,F2401&lt;=01_因子設定!$M$6+0.000000001,G2401&gt;=01_因子設定!$L$7-0.000000001,G2401&lt;=01_因子設定!$M$7+0.000000001,H2401&gt;=01_因子設定!$L$8-0.000000001,H2401&lt;=01_因子設定!$M$8+0.000000001,IF(01_因子設定!$B$20="Box-Behnken",E2401^2+F2401^2+G2401^2+H2401^2&lt;=2+0.000000001,TRUE()))</f>
        <v>1</v>
      </c>
      <c r="AD2401" s="55" t="n">
        <f aca="false">IF(AC2401,IF(01_因子設定!$B$13="最大化",AA2401-01_因子設定!$B$14,IF(01_因子設定!$B$13="最小化",01_因子設定!$B$15-AB2401,MIN(AA2401-01_因子設定!$B$14,01_因子設定!$B$15-AB2401))),-1E+030)</f>
        <v>-2.35871354832268</v>
      </c>
      <c r="AE2401" s="55" t="n">
        <f aca="false">IF(AC2401,IF(01_因子設定!$B$13="最大化",X2401,IF(01_因子設定!$B$13="最小化",-X2401,-ABS(X2401-01_因子設定!$B$16))),-1E+030)</f>
        <v>45.5258040935672</v>
      </c>
      <c r="AF2401" s="55" t="n">
        <f aca="false">AD2401+ROW()*0.000000001</f>
        <v>-2.35871114732268</v>
      </c>
      <c r="AG2401" s="55" t="n">
        <f aca="false">AE2401+ROW()*0.000000001</f>
        <v>45.5258064945672</v>
      </c>
    </row>
    <row r="2402" customFormat="false" ht="15" hidden="false" customHeight="false" outlineLevel="0" collapsed="false">
      <c r="A2402" s="0" t="n">
        <v>3</v>
      </c>
      <c r="B2402" s="0" t="n">
        <v>2</v>
      </c>
      <c r="C2402" s="0" t="n">
        <v>5</v>
      </c>
      <c r="D2402" s="0" t="n">
        <v>3</v>
      </c>
      <c r="E2402" s="0" t="n">
        <f aca="false">-1+A2402*0.25</f>
        <v>-0.25</v>
      </c>
      <c r="F2402" s="0" t="n">
        <f aca="false">-1+B2402*0.25</f>
        <v>-0.5</v>
      </c>
      <c r="G2402" s="0" t="n">
        <f aca="false">-1+C2402*0.25</f>
        <v>0.25</v>
      </c>
      <c r="H2402" s="0" t="n">
        <f aca="false">-1+D2402*0.25</f>
        <v>-0.25</v>
      </c>
      <c r="I2402" s="0" t="n">
        <f aca="false">1</f>
        <v>1</v>
      </c>
      <c r="J2402" s="0" t="n">
        <f aca="false">E2402</f>
        <v>-0.25</v>
      </c>
      <c r="K2402" s="0" t="n">
        <f aca="false">F2402</f>
        <v>-0.5</v>
      </c>
      <c r="L2402" s="0" t="n">
        <f aca="false">G2402</f>
        <v>0.25</v>
      </c>
      <c r="M2402" s="0" t="n">
        <f aca="false">H2402</f>
        <v>-0.25</v>
      </c>
      <c r="N2402" s="0" t="n">
        <f aca="false">E2402*F2402</f>
        <v>0.125</v>
      </c>
      <c r="O2402" s="0" t="n">
        <f aca="false">E2402*G2402</f>
        <v>-0.0625</v>
      </c>
      <c r="P2402" s="0" t="n">
        <f aca="false">E2402*H2402</f>
        <v>0.0625</v>
      </c>
      <c r="Q2402" s="0" t="n">
        <f aca="false">F2402*G2402</f>
        <v>-0.125</v>
      </c>
      <c r="R2402" s="0" t="n">
        <f aca="false">F2402*H2402</f>
        <v>0.125</v>
      </c>
      <c r="S2402" s="0" t="n">
        <f aca="false">G2402*H2402</f>
        <v>-0.0625</v>
      </c>
      <c r="T2402" s="0" t="n">
        <f aca="false">E2402*E2402</f>
        <v>0.0625</v>
      </c>
      <c r="U2402" s="0" t="n">
        <f aca="false">F2402*F2402</f>
        <v>0.25</v>
      </c>
      <c r="V2402" s="0" t="n">
        <f aca="false">G2402*G2402</f>
        <v>0.0625</v>
      </c>
      <c r="W2402" s="0" t="n">
        <f aca="false">H2402*H2402</f>
        <v>0.0625</v>
      </c>
      <c r="X2402" s="0" t="n">
        <f aca="false">SUMPRODUCT(I2402:W2402,_XtX!$B$96:$P$96)</f>
        <v>45.7356222587719</v>
      </c>
      <c r="Y2402" s="0" t="n">
        <f aca="false">SUMPRODUCT(MMULT(I2402:W2402,_XtX!$B$78:$P$92),I2402:W2402)</f>
        <v>0.116714923702485</v>
      </c>
      <c r="Z2402" s="0" t="n">
        <f aca="false">04_回帰ANOVA!$K$19*04_回帰ANOVA!$K$14*SQRT(1+Y2402)</f>
        <v>1.37743004820023</v>
      </c>
      <c r="AA2402" s="0" t="n">
        <f aca="false">X2402-Z2402</f>
        <v>44.3581922105716</v>
      </c>
      <c r="AB2402" s="0" t="n">
        <f aca="false">X2402+Z2402</f>
        <v>47.1130523069721</v>
      </c>
      <c r="AC2402" s="54" t="b">
        <f aca="false">AND(E2402&gt;=01_因子設定!$L$5-0.000000001,E2402&lt;=01_因子設定!$M$5+0.000000001,F2402&gt;=01_因子設定!$L$6-0.000000001,F2402&lt;=01_因子設定!$M$6+0.000000001,G2402&gt;=01_因子設定!$L$7-0.000000001,G2402&lt;=01_因子設定!$M$7+0.000000001,H2402&gt;=01_因子設定!$L$8-0.000000001,H2402&lt;=01_因子設定!$M$8+0.000000001,IF(01_因子設定!$B$20="Box-Behnken",E2402^2+F2402^2+G2402^2+H2402^2&lt;=2+0.000000001,TRUE()))</f>
        <v>1</v>
      </c>
      <c r="AD2402" s="55" t="n">
        <f aca="false">IF(AC2402,IF(01_因子設定!$B$13="最大化",AA2402-01_因子設定!$B$14,IF(01_因子設定!$B$13="最小化",01_因子設定!$B$15-AB2402,MIN(AA2402-01_因子設定!$B$14,01_因子設定!$B$15-AB2402))),-1E+030)</f>
        <v>-2.14180778942836</v>
      </c>
      <c r="AE2402" s="55" t="n">
        <f aca="false">IF(AC2402,IF(01_因子設定!$B$13="最大化",X2402,IF(01_因子設定!$B$13="最小化",-X2402,-ABS(X2402-01_因子設定!$B$16))),-1E+030)</f>
        <v>45.7356222587719</v>
      </c>
      <c r="AF2402" s="55" t="n">
        <f aca="false">AD2402+ROW()*0.000000001</f>
        <v>-2.14180538742836</v>
      </c>
      <c r="AG2402" s="55" t="n">
        <f aca="false">AE2402+ROW()*0.000000001</f>
        <v>45.7356246607719</v>
      </c>
    </row>
    <row r="2403" customFormat="false" ht="15" hidden="false" customHeight="false" outlineLevel="0" collapsed="false">
      <c r="A2403" s="0" t="n">
        <v>3</v>
      </c>
      <c r="B2403" s="0" t="n">
        <v>2</v>
      </c>
      <c r="C2403" s="0" t="n">
        <v>5</v>
      </c>
      <c r="D2403" s="0" t="n">
        <v>4</v>
      </c>
      <c r="E2403" s="0" t="n">
        <f aca="false">-1+A2403*0.25</f>
        <v>-0.25</v>
      </c>
      <c r="F2403" s="0" t="n">
        <f aca="false">-1+B2403*0.25</f>
        <v>-0.5</v>
      </c>
      <c r="G2403" s="0" t="n">
        <f aca="false">-1+C2403*0.25</f>
        <v>0.25</v>
      </c>
      <c r="H2403" s="0" t="n">
        <f aca="false">-1+D2403*0.25</f>
        <v>0</v>
      </c>
      <c r="I2403" s="0" t="n">
        <f aca="false">1</f>
        <v>1</v>
      </c>
      <c r="J2403" s="0" t="n">
        <f aca="false">E2403</f>
        <v>-0.25</v>
      </c>
      <c r="K2403" s="0" t="n">
        <f aca="false">F2403</f>
        <v>-0.5</v>
      </c>
      <c r="L2403" s="0" t="n">
        <f aca="false">G2403</f>
        <v>0.25</v>
      </c>
      <c r="M2403" s="0" t="n">
        <f aca="false">H2403</f>
        <v>0</v>
      </c>
      <c r="N2403" s="0" t="n">
        <f aca="false">E2403*F2403</f>
        <v>0.125</v>
      </c>
      <c r="O2403" s="0" t="n">
        <f aca="false">E2403*G2403</f>
        <v>-0.0625</v>
      </c>
      <c r="P2403" s="0" t="n">
        <f aca="false">E2403*H2403</f>
        <v>-0</v>
      </c>
      <c r="Q2403" s="0" t="n">
        <f aca="false">F2403*G2403</f>
        <v>-0.125</v>
      </c>
      <c r="R2403" s="0" t="n">
        <f aca="false">F2403*H2403</f>
        <v>-0</v>
      </c>
      <c r="S2403" s="0" t="n">
        <f aca="false">G2403*H2403</f>
        <v>0</v>
      </c>
      <c r="T2403" s="0" t="n">
        <f aca="false">E2403*E2403</f>
        <v>0.0625</v>
      </c>
      <c r="U2403" s="0" t="n">
        <f aca="false">F2403*F2403</f>
        <v>0.25</v>
      </c>
      <c r="V2403" s="0" t="n">
        <f aca="false">G2403*G2403</f>
        <v>0.0625</v>
      </c>
      <c r="W2403" s="0" t="n">
        <f aca="false">H2403*H2403</f>
        <v>0</v>
      </c>
      <c r="X2403" s="0" t="n">
        <f aca="false">SUMPRODUCT(I2403:W2403,_XtX!$B$96:$P$96)</f>
        <v>45.8976334064327</v>
      </c>
      <c r="Y2403" s="0" t="n">
        <f aca="false">SUMPRODUCT(MMULT(I2403:W2403,_XtX!$B$78:$P$92),I2403:W2403)</f>
        <v>0.118905050712719</v>
      </c>
      <c r="Z2403" s="0" t="n">
        <f aca="false">04_回帰ANOVA!$K$19*04_回帰ANOVA!$K$14*SQRT(1+Y2403)</f>
        <v>1.37878011033769</v>
      </c>
      <c r="AA2403" s="0" t="n">
        <f aca="false">X2403-Z2403</f>
        <v>44.518853296095</v>
      </c>
      <c r="AB2403" s="0" t="n">
        <f aca="false">X2403+Z2403</f>
        <v>47.2764135167704</v>
      </c>
      <c r="AC2403" s="54" t="b">
        <f aca="false">AND(E2403&gt;=01_因子設定!$L$5-0.000000001,E2403&lt;=01_因子設定!$M$5+0.000000001,F2403&gt;=01_因子設定!$L$6-0.000000001,F2403&lt;=01_因子設定!$M$6+0.000000001,G2403&gt;=01_因子設定!$L$7-0.000000001,G2403&lt;=01_因子設定!$M$7+0.000000001,H2403&gt;=01_因子設定!$L$8-0.000000001,H2403&lt;=01_因子設定!$M$8+0.000000001,IF(01_因子設定!$B$20="Box-Behnken",E2403^2+F2403^2+G2403^2+H2403^2&lt;=2+0.000000001,TRUE()))</f>
        <v>1</v>
      </c>
      <c r="AD2403" s="55" t="n">
        <f aca="false">IF(AC2403,IF(01_因子設定!$B$13="最大化",AA2403-01_因子設定!$B$14,IF(01_因子設定!$B$13="最小化",01_因子設定!$B$15-AB2403,MIN(AA2403-01_因子設定!$B$14,01_因子設定!$B$15-AB2403))),-1E+030)</f>
        <v>-1.981146703905</v>
      </c>
      <c r="AE2403" s="55" t="n">
        <f aca="false">IF(AC2403,IF(01_因子設定!$B$13="最大化",X2403,IF(01_因子設定!$B$13="最小化",-X2403,-ABS(X2403-01_因子設定!$B$16))),-1E+030)</f>
        <v>45.8976334064327</v>
      </c>
      <c r="AF2403" s="55" t="n">
        <f aca="false">AD2403+ROW()*0.000000001</f>
        <v>-1.981144300905</v>
      </c>
      <c r="AG2403" s="55" t="n">
        <f aca="false">AE2403+ROW()*0.000000001</f>
        <v>45.8976358094327</v>
      </c>
    </row>
    <row r="2404" customFormat="false" ht="15" hidden="false" customHeight="false" outlineLevel="0" collapsed="false">
      <c r="A2404" s="0" t="n">
        <v>3</v>
      </c>
      <c r="B2404" s="0" t="n">
        <v>2</v>
      </c>
      <c r="C2404" s="0" t="n">
        <v>5</v>
      </c>
      <c r="D2404" s="0" t="n">
        <v>5</v>
      </c>
      <c r="E2404" s="0" t="n">
        <f aca="false">-1+A2404*0.25</f>
        <v>-0.25</v>
      </c>
      <c r="F2404" s="0" t="n">
        <f aca="false">-1+B2404*0.25</f>
        <v>-0.5</v>
      </c>
      <c r="G2404" s="0" t="n">
        <f aca="false">-1+C2404*0.25</f>
        <v>0.25</v>
      </c>
      <c r="H2404" s="0" t="n">
        <f aca="false">-1+D2404*0.25</f>
        <v>0.25</v>
      </c>
      <c r="I2404" s="0" t="n">
        <f aca="false">1</f>
        <v>1</v>
      </c>
      <c r="J2404" s="0" t="n">
        <f aca="false">E2404</f>
        <v>-0.25</v>
      </c>
      <c r="K2404" s="0" t="n">
        <f aca="false">F2404</f>
        <v>-0.5</v>
      </c>
      <c r="L2404" s="0" t="n">
        <f aca="false">G2404</f>
        <v>0.25</v>
      </c>
      <c r="M2404" s="0" t="n">
        <f aca="false">H2404</f>
        <v>0.25</v>
      </c>
      <c r="N2404" s="0" t="n">
        <f aca="false">E2404*F2404</f>
        <v>0.125</v>
      </c>
      <c r="O2404" s="0" t="n">
        <f aca="false">E2404*G2404</f>
        <v>-0.0625</v>
      </c>
      <c r="P2404" s="0" t="n">
        <f aca="false">E2404*H2404</f>
        <v>-0.0625</v>
      </c>
      <c r="Q2404" s="0" t="n">
        <f aca="false">F2404*G2404</f>
        <v>-0.125</v>
      </c>
      <c r="R2404" s="0" t="n">
        <f aca="false">F2404*H2404</f>
        <v>-0.125</v>
      </c>
      <c r="S2404" s="0" t="n">
        <f aca="false">G2404*H2404</f>
        <v>0.0625</v>
      </c>
      <c r="T2404" s="0" t="n">
        <f aca="false">E2404*E2404</f>
        <v>0.0625</v>
      </c>
      <c r="U2404" s="0" t="n">
        <f aca="false">F2404*F2404</f>
        <v>0.25</v>
      </c>
      <c r="V2404" s="0" t="n">
        <f aca="false">G2404*G2404</f>
        <v>0.0625</v>
      </c>
      <c r="W2404" s="0" t="n">
        <f aca="false">H2404*H2404</f>
        <v>0.0625</v>
      </c>
      <c r="X2404" s="0" t="n">
        <f aca="false">SUMPRODUCT(I2404:W2404,_XtX!$B$96:$P$96)</f>
        <v>46.0118375365497</v>
      </c>
      <c r="Y2404" s="0" t="n">
        <f aca="false">SUMPRODUCT(MMULT(I2404:W2404,_XtX!$B$78:$P$92),I2404:W2404)</f>
        <v>0.116714923702485</v>
      </c>
      <c r="Z2404" s="0" t="n">
        <f aca="false">04_回帰ANOVA!$K$19*04_回帰ANOVA!$K$14*SQRT(1+Y2404)</f>
        <v>1.37743004820023</v>
      </c>
      <c r="AA2404" s="0" t="n">
        <f aca="false">X2404-Z2404</f>
        <v>44.6344074883494</v>
      </c>
      <c r="AB2404" s="0" t="n">
        <f aca="false">X2404+Z2404</f>
        <v>47.3892675847499</v>
      </c>
      <c r="AC2404" s="54" t="b">
        <f aca="false">AND(E2404&gt;=01_因子設定!$L$5-0.000000001,E2404&lt;=01_因子設定!$M$5+0.000000001,F2404&gt;=01_因子設定!$L$6-0.000000001,F2404&lt;=01_因子設定!$M$6+0.000000001,G2404&gt;=01_因子設定!$L$7-0.000000001,G2404&lt;=01_因子設定!$M$7+0.000000001,H2404&gt;=01_因子設定!$L$8-0.000000001,H2404&lt;=01_因子設定!$M$8+0.000000001,IF(01_因子設定!$B$20="Box-Behnken",E2404^2+F2404^2+G2404^2+H2404^2&lt;=2+0.000000001,TRUE()))</f>
        <v>1</v>
      </c>
      <c r="AD2404" s="55" t="n">
        <f aca="false">IF(AC2404,IF(01_因子設定!$B$13="最大化",AA2404-01_因子設定!$B$14,IF(01_因子設定!$B$13="最小化",01_因子設定!$B$15-AB2404,MIN(AA2404-01_因子設定!$B$14,01_因子設定!$B$15-AB2404))),-1E+030)</f>
        <v>-1.86559251165058</v>
      </c>
      <c r="AE2404" s="55" t="n">
        <f aca="false">IF(AC2404,IF(01_因子設定!$B$13="最大化",X2404,IF(01_因子設定!$B$13="最小化",-X2404,-ABS(X2404-01_因子設定!$B$16))),-1E+030)</f>
        <v>46.0118375365497</v>
      </c>
      <c r="AF2404" s="55" t="n">
        <f aca="false">AD2404+ROW()*0.000000001</f>
        <v>-1.86559010765058</v>
      </c>
      <c r="AG2404" s="55" t="n">
        <f aca="false">AE2404+ROW()*0.000000001</f>
        <v>46.0118399405497</v>
      </c>
    </row>
    <row r="2405" customFormat="false" ht="15" hidden="false" customHeight="false" outlineLevel="0" collapsed="false">
      <c r="A2405" s="0" t="n">
        <v>3</v>
      </c>
      <c r="B2405" s="0" t="n">
        <v>2</v>
      </c>
      <c r="C2405" s="0" t="n">
        <v>5</v>
      </c>
      <c r="D2405" s="0" t="n">
        <v>6</v>
      </c>
      <c r="E2405" s="0" t="n">
        <f aca="false">-1+A2405*0.25</f>
        <v>-0.25</v>
      </c>
      <c r="F2405" s="0" t="n">
        <f aca="false">-1+B2405*0.25</f>
        <v>-0.5</v>
      </c>
      <c r="G2405" s="0" t="n">
        <f aca="false">-1+C2405*0.25</f>
        <v>0.25</v>
      </c>
      <c r="H2405" s="0" t="n">
        <f aca="false">-1+D2405*0.25</f>
        <v>0.5</v>
      </c>
      <c r="I2405" s="0" t="n">
        <f aca="false">1</f>
        <v>1</v>
      </c>
      <c r="J2405" s="0" t="n">
        <f aca="false">E2405</f>
        <v>-0.25</v>
      </c>
      <c r="K2405" s="0" t="n">
        <f aca="false">F2405</f>
        <v>-0.5</v>
      </c>
      <c r="L2405" s="0" t="n">
        <f aca="false">G2405</f>
        <v>0.25</v>
      </c>
      <c r="M2405" s="0" t="n">
        <f aca="false">H2405</f>
        <v>0.5</v>
      </c>
      <c r="N2405" s="0" t="n">
        <f aca="false">E2405*F2405</f>
        <v>0.125</v>
      </c>
      <c r="O2405" s="0" t="n">
        <f aca="false">E2405*G2405</f>
        <v>-0.0625</v>
      </c>
      <c r="P2405" s="0" t="n">
        <f aca="false">E2405*H2405</f>
        <v>-0.125</v>
      </c>
      <c r="Q2405" s="0" t="n">
        <f aca="false">F2405*G2405</f>
        <v>-0.125</v>
      </c>
      <c r="R2405" s="0" t="n">
        <f aca="false">F2405*H2405</f>
        <v>-0.25</v>
      </c>
      <c r="S2405" s="0" t="n">
        <f aca="false">G2405*H2405</f>
        <v>0.125</v>
      </c>
      <c r="T2405" s="0" t="n">
        <f aca="false">E2405*E2405</f>
        <v>0.0625</v>
      </c>
      <c r="U2405" s="0" t="n">
        <f aca="false">F2405*F2405</f>
        <v>0.25</v>
      </c>
      <c r="V2405" s="0" t="n">
        <f aca="false">G2405*G2405</f>
        <v>0.0625</v>
      </c>
      <c r="W2405" s="0" t="n">
        <f aca="false">H2405*H2405</f>
        <v>0.25</v>
      </c>
      <c r="X2405" s="0" t="n">
        <f aca="false">SUMPRODUCT(I2405:W2405,_XtX!$B$96:$P$96)</f>
        <v>46.0782346491228</v>
      </c>
      <c r="Y2405" s="0" t="n">
        <f aca="false">SUMPRODUCT(MMULT(I2405:W2405,_XtX!$B$78:$P$92),I2405:W2405)</f>
        <v>0.128236647934942</v>
      </c>
      <c r="Z2405" s="0" t="n">
        <f aca="false">04_回帰ANOVA!$K$19*04_回帰ANOVA!$K$14*SQRT(1+Y2405)</f>
        <v>1.38451764188989</v>
      </c>
      <c r="AA2405" s="0" t="n">
        <f aca="false">X2405-Z2405</f>
        <v>44.6937170072329</v>
      </c>
      <c r="AB2405" s="0" t="n">
        <f aca="false">X2405+Z2405</f>
        <v>47.4627522910126</v>
      </c>
      <c r="AC2405" s="54" t="b">
        <f aca="false">AND(E2405&gt;=01_因子設定!$L$5-0.000000001,E2405&lt;=01_因子設定!$M$5+0.000000001,F2405&gt;=01_因子設定!$L$6-0.000000001,F2405&lt;=01_因子設定!$M$6+0.000000001,G2405&gt;=01_因子設定!$L$7-0.000000001,G2405&lt;=01_因子設定!$M$7+0.000000001,H2405&gt;=01_因子設定!$L$8-0.000000001,H2405&lt;=01_因子設定!$M$8+0.000000001,IF(01_因子設定!$B$20="Box-Behnken",E2405^2+F2405^2+G2405^2+H2405^2&lt;=2+0.000000001,TRUE()))</f>
        <v>1</v>
      </c>
      <c r="AD2405" s="55" t="n">
        <f aca="false">IF(AC2405,IF(01_因子設定!$B$13="最大化",AA2405-01_因子設定!$B$14,IF(01_因子設定!$B$13="最小化",01_因子設定!$B$15-AB2405,MIN(AA2405-01_因子設定!$B$14,01_因子設定!$B$15-AB2405))),-1E+030)</f>
        <v>-1.80628299276713</v>
      </c>
      <c r="AE2405" s="55" t="n">
        <f aca="false">IF(AC2405,IF(01_因子設定!$B$13="最大化",X2405,IF(01_因子設定!$B$13="最小化",-X2405,-ABS(X2405-01_因子設定!$B$16))),-1E+030)</f>
        <v>46.0782346491228</v>
      </c>
      <c r="AF2405" s="55" t="n">
        <f aca="false">AD2405+ROW()*0.000000001</f>
        <v>-1.80628058776713</v>
      </c>
      <c r="AG2405" s="55" t="n">
        <f aca="false">AE2405+ROW()*0.000000001</f>
        <v>46.0782370541228</v>
      </c>
    </row>
    <row r="2406" customFormat="false" ht="15" hidden="false" customHeight="false" outlineLevel="0" collapsed="false">
      <c r="A2406" s="0" t="n">
        <v>3</v>
      </c>
      <c r="B2406" s="0" t="n">
        <v>2</v>
      </c>
      <c r="C2406" s="0" t="n">
        <v>5</v>
      </c>
      <c r="D2406" s="0" t="n">
        <v>7</v>
      </c>
      <c r="E2406" s="0" t="n">
        <f aca="false">-1+A2406*0.25</f>
        <v>-0.25</v>
      </c>
      <c r="F2406" s="0" t="n">
        <f aca="false">-1+B2406*0.25</f>
        <v>-0.5</v>
      </c>
      <c r="G2406" s="0" t="n">
        <f aca="false">-1+C2406*0.25</f>
        <v>0.25</v>
      </c>
      <c r="H2406" s="0" t="n">
        <f aca="false">-1+D2406*0.25</f>
        <v>0.75</v>
      </c>
      <c r="I2406" s="0" t="n">
        <f aca="false">1</f>
        <v>1</v>
      </c>
      <c r="J2406" s="0" t="n">
        <f aca="false">E2406</f>
        <v>-0.25</v>
      </c>
      <c r="K2406" s="0" t="n">
        <f aca="false">F2406</f>
        <v>-0.5</v>
      </c>
      <c r="L2406" s="0" t="n">
        <f aca="false">G2406</f>
        <v>0.25</v>
      </c>
      <c r="M2406" s="0" t="n">
        <f aca="false">H2406</f>
        <v>0.75</v>
      </c>
      <c r="N2406" s="0" t="n">
        <f aca="false">E2406*F2406</f>
        <v>0.125</v>
      </c>
      <c r="O2406" s="0" t="n">
        <f aca="false">E2406*G2406</f>
        <v>-0.0625</v>
      </c>
      <c r="P2406" s="0" t="n">
        <f aca="false">E2406*H2406</f>
        <v>-0.1875</v>
      </c>
      <c r="Q2406" s="0" t="n">
        <f aca="false">F2406*G2406</f>
        <v>-0.125</v>
      </c>
      <c r="R2406" s="0" t="n">
        <f aca="false">F2406*H2406</f>
        <v>-0.375</v>
      </c>
      <c r="S2406" s="0" t="n">
        <f aca="false">G2406*H2406</f>
        <v>0.1875</v>
      </c>
      <c r="T2406" s="0" t="n">
        <f aca="false">E2406*E2406</f>
        <v>0.0625</v>
      </c>
      <c r="U2406" s="0" t="n">
        <f aca="false">F2406*F2406</f>
        <v>0.25</v>
      </c>
      <c r="V2406" s="0" t="n">
        <f aca="false">G2406*G2406</f>
        <v>0.0625</v>
      </c>
      <c r="W2406" s="0" t="n">
        <f aca="false">H2406*H2406</f>
        <v>0.5625</v>
      </c>
      <c r="X2406" s="0" t="n">
        <f aca="false">SUMPRODUCT(I2406:W2406,_XtX!$B$96:$P$96)</f>
        <v>46.096824744152</v>
      </c>
      <c r="Y2406" s="0" t="n">
        <f aca="false">SUMPRODUCT(MMULT(I2406:W2406,_XtX!$B$78:$P$92),I2406:W2406)</f>
        <v>0.207746539199561</v>
      </c>
      <c r="Z2406" s="0" t="n">
        <f aca="false">04_回帰ANOVA!$K$19*04_回帰ANOVA!$K$14*SQRT(1+Y2406)</f>
        <v>1.43247250081141</v>
      </c>
      <c r="AA2406" s="0" t="n">
        <f aca="false">X2406-Z2406</f>
        <v>44.6643522433406</v>
      </c>
      <c r="AB2406" s="0" t="n">
        <f aca="false">X2406+Z2406</f>
        <v>47.5292972449634</v>
      </c>
      <c r="AC2406" s="54" t="b">
        <f aca="false">AND(E2406&gt;=01_因子設定!$L$5-0.000000001,E2406&lt;=01_因子設定!$M$5+0.000000001,F2406&gt;=01_因子設定!$L$6-0.000000001,F2406&lt;=01_因子設定!$M$6+0.000000001,G2406&gt;=01_因子設定!$L$7-0.000000001,G2406&lt;=01_因子設定!$M$7+0.000000001,H2406&gt;=01_因子設定!$L$8-0.000000001,H2406&lt;=01_因子設定!$M$8+0.000000001,IF(01_因子設定!$B$20="Box-Behnken",E2406^2+F2406^2+G2406^2+H2406^2&lt;=2+0.000000001,TRUE()))</f>
        <v>1</v>
      </c>
      <c r="AD2406" s="55" t="n">
        <f aca="false">IF(AC2406,IF(01_因子設定!$B$13="最大化",AA2406-01_因子設定!$B$14,IF(01_因子設定!$B$13="最小化",01_因子設定!$B$15-AB2406,MIN(AA2406-01_因子設定!$B$14,01_因子設定!$B$15-AB2406))),-1E+030)</f>
        <v>-1.8356477566594</v>
      </c>
      <c r="AE2406" s="55" t="n">
        <f aca="false">IF(AC2406,IF(01_因子設定!$B$13="最大化",X2406,IF(01_因子設定!$B$13="最小化",-X2406,-ABS(X2406-01_因子設定!$B$16))),-1E+030)</f>
        <v>46.096824744152</v>
      </c>
      <c r="AF2406" s="55" t="n">
        <f aca="false">AD2406+ROW()*0.000000001</f>
        <v>-1.8356453506594</v>
      </c>
      <c r="AG2406" s="55" t="n">
        <f aca="false">AE2406+ROW()*0.000000001</f>
        <v>46.096827150152</v>
      </c>
    </row>
    <row r="2407" customFormat="false" ht="15" hidden="false" customHeight="false" outlineLevel="0" collapsed="false">
      <c r="A2407" s="0" t="n">
        <v>3</v>
      </c>
      <c r="B2407" s="0" t="n">
        <v>2</v>
      </c>
      <c r="C2407" s="0" t="n">
        <v>5</v>
      </c>
      <c r="D2407" s="0" t="n">
        <v>8</v>
      </c>
      <c r="E2407" s="0" t="n">
        <f aca="false">-1+A2407*0.25</f>
        <v>-0.25</v>
      </c>
      <c r="F2407" s="0" t="n">
        <f aca="false">-1+B2407*0.25</f>
        <v>-0.5</v>
      </c>
      <c r="G2407" s="0" t="n">
        <f aca="false">-1+C2407*0.25</f>
        <v>0.25</v>
      </c>
      <c r="H2407" s="0" t="n">
        <f aca="false">-1+D2407*0.25</f>
        <v>1</v>
      </c>
      <c r="I2407" s="0" t="n">
        <f aca="false">1</f>
        <v>1</v>
      </c>
      <c r="J2407" s="0" t="n">
        <f aca="false">E2407</f>
        <v>-0.25</v>
      </c>
      <c r="K2407" s="0" t="n">
        <f aca="false">F2407</f>
        <v>-0.5</v>
      </c>
      <c r="L2407" s="0" t="n">
        <f aca="false">G2407</f>
        <v>0.25</v>
      </c>
      <c r="M2407" s="0" t="n">
        <f aca="false">H2407</f>
        <v>1</v>
      </c>
      <c r="N2407" s="0" t="n">
        <f aca="false">E2407*F2407</f>
        <v>0.125</v>
      </c>
      <c r="O2407" s="0" t="n">
        <f aca="false">E2407*G2407</f>
        <v>-0.0625</v>
      </c>
      <c r="P2407" s="0" t="n">
        <f aca="false">E2407*H2407</f>
        <v>-0.25</v>
      </c>
      <c r="Q2407" s="0" t="n">
        <f aca="false">F2407*G2407</f>
        <v>-0.125</v>
      </c>
      <c r="R2407" s="0" t="n">
        <f aca="false">F2407*H2407</f>
        <v>-0.5</v>
      </c>
      <c r="S2407" s="0" t="n">
        <f aca="false">G2407*H2407</f>
        <v>0.25</v>
      </c>
      <c r="T2407" s="0" t="n">
        <f aca="false">E2407*E2407</f>
        <v>0.0625</v>
      </c>
      <c r="U2407" s="0" t="n">
        <f aca="false">F2407*F2407</f>
        <v>0.25</v>
      </c>
      <c r="V2407" s="0" t="n">
        <f aca="false">G2407*G2407</f>
        <v>0.0625</v>
      </c>
      <c r="W2407" s="0" t="n">
        <f aca="false">H2407*H2407</f>
        <v>1</v>
      </c>
      <c r="X2407" s="0" t="n">
        <f aca="false">SUMPRODUCT(I2407:W2407,_XtX!$B$96:$P$96)</f>
        <v>46.0676078216374</v>
      </c>
      <c r="Y2407" s="0" t="n">
        <f aca="false">SUMPRODUCT(MMULT(I2407:W2407,_XtX!$B$78:$P$92),I2407:W2407)</f>
        <v>0.445705123812135</v>
      </c>
      <c r="Z2407" s="0" t="n">
        <f aca="false">04_回帰ANOVA!$K$19*04_回帰ANOVA!$K$14*SQRT(1+Y2407)</f>
        <v>1.56724990734749</v>
      </c>
      <c r="AA2407" s="0" t="n">
        <f aca="false">X2407-Z2407</f>
        <v>44.5003579142899</v>
      </c>
      <c r="AB2407" s="0" t="n">
        <f aca="false">X2407+Z2407</f>
        <v>47.6348577289849</v>
      </c>
      <c r="AC2407" s="54" t="b">
        <f aca="false">AND(E2407&gt;=01_因子設定!$L$5-0.000000001,E2407&lt;=01_因子設定!$M$5+0.000000001,F2407&gt;=01_因子設定!$L$6-0.000000001,F2407&lt;=01_因子設定!$M$6+0.000000001,G2407&gt;=01_因子設定!$L$7-0.000000001,G2407&lt;=01_因子設定!$M$7+0.000000001,H2407&gt;=01_因子設定!$L$8-0.000000001,H2407&lt;=01_因子設定!$M$8+0.000000001,IF(01_因子設定!$B$20="Box-Behnken",E2407^2+F2407^2+G2407^2+H2407^2&lt;=2+0.000000001,TRUE()))</f>
        <v>1</v>
      </c>
      <c r="AD2407" s="55" t="n">
        <f aca="false">IF(AC2407,IF(01_因子設定!$B$13="最大化",AA2407-01_因子設定!$B$14,IF(01_因子設定!$B$13="最小化",01_因子設定!$B$15-AB2407,MIN(AA2407-01_因子設定!$B$14,01_因子設定!$B$15-AB2407))),-1E+030)</f>
        <v>-1.99964208571009</v>
      </c>
      <c r="AE2407" s="55" t="n">
        <f aca="false">IF(AC2407,IF(01_因子設定!$B$13="最大化",X2407,IF(01_因子設定!$B$13="最小化",-X2407,-ABS(X2407-01_因子設定!$B$16))),-1E+030)</f>
        <v>46.0676078216374</v>
      </c>
      <c r="AF2407" s="55" t="n">
        <f aca="false">AD2407+ROW()*0.000000001</f>
        <v>-1.99963967871009</v>
      </c>
      <c r="AG2407" s="55" t="n">
        <f aca="false">AE2407+ROW()*0.000000001</f>
        <v>46.0676102286374</v>
      </c>
    </row>
    <row r="2408" customFormat="false" ht="15" hidden="false" customHeight="false" outlineLevel="0" collapsed="false">
      <c r="A2408" s="0" t="n">
        <v>3</v>
      </c>
      <c r="B2408" s="0" t="n">
        <v>2</v>
      </c>
      <c r="C2408" s="0" t="n">
        <v>6</v>
      </c>
      <c r="D2408" s="0" t="n">
        <v>0</v>
      </c>
      <c r="E2408" s="0" t="n">
        <f aca="false">-1+A2408*0.25</f>
        <v>-0.25</v>
      </c>
      <c r="F2408" s="0" t="n">
        <f aca="false">-1+B2408*0.25</f>
        <v>-0.5</v>
      </c>
      <c r="G2408" s="0" t="n">
        <f aca="false">-1+C2408*0.25</f>
        <v>0.5</v>
      </c>
      <c r="H2408" s="0" t="n">
        <f aca="false">-1+D2408*0.25</f>
        <v>-1</v>
      </c>
      <c r="I2408" s="0" t="n">
        <f aca="false">1</f>
        <v>1</v>
      </c>
      <c r="J2408" s="0" t="n">
        <f aca="false">E2408</f>
        <v>-0.25</v>
      </c>
      <c r="K2408" s="0" t="n">
        <f aca="false">F2408</f>
        <v>-0.5</v>
      </c>
      <c r="L2408" s="0" t="n">
        <f aca="false">G2408</f>
        <v>0.5</v>
      </c>
      <c r="M2408" s="0" t="n">
        <f aca="false">H2408</f>
        <v>-1</v>
      </c>
      <c r="N2408" s="0" t="n">
        <f aca="false">E2408*F2408</f>
        <v>0.125</v>
      </c>
      <c r="O2408" s="0" t="n">
        <f aca="false">E2408*G2408</f>
        <v>-0.125</v>
      </c>
      <c r="P2408" s="0" t="n">
        <f aca="false">E2408*H2408</f>
        <v>0.25</v>
      </c>
      <c r="Q2408" s="0" t="n">
        <f aca="false">F2408*G2408</f>
        <v>-0.25</v>
      </c>
      <c r="R2408" s="0" t="n">
        <f aca="false">F2408*H2408</f>
        <v>0.5</v>
      </c>
      <c r="S2408" s="0" t="n">
        <f aca="false">G2408*H2408</f>
        <v>-0.5</v>
      </c>
      <c r="T2408" s="0" t="n">
        <f aca="false">E2408*E2408</f>
        <v>0.0625</v>
      </c>
      <c r="U2408" s="0" t="n">
        <f aca="false">F2408*F2408</f>
        <v>0.25</v>
      </c>
      <c r="V2408" s="0" t="n">
        <f aca="false">G2408*G2408</f>
        <v>0.25</v>
      </c>
      <c r="W2408" s="0" t="n">
        <f aca="false">H2408*H2408</f>
        <v>1</v>
      </c>
      <c r="X2408" s="0" t="n">
        <f aca="false">SUMPRODUCT(I2408:W2408,_XtX!$B$96:$P$96)</f>
        <v>45.0103070175438</v>
      </c>
      <c r="Y2408" s="0" t="n">
        <f aca="false">SUMPRODUCT(MMULT(I2408:W2408,_XtX!$B$78:$P$92),I2408:W2408)</f>
        <v>0.428122715643275</v>
      </c>
      <c r="Z2408" s="0" t="n">
        <f aca="false">04_回帰ANOVA!$K$19*04_回帰ANOVA!$K$14*SQRT(1+Y2408)</f>
        <v>1.55769044623229</v>
      </c>
      <c r="AA2408" s="0" t="n">
        <f aca="false">X2408-Z2408</f>
        <v>43.4526165713115</v>
      </c>
      <c r="AB2408" s="0" t="n">
        <f aca="false">X2408+Z2408</f>
        <v>46.5679974637761</v>
      </c>
      <c r="AC2408" s="54" t="b">
        <f aca="false">AND(E2408&gt;=01_因子設定!$L$5-0.000000001,E2408&lt;=01_因子設定!$M$5+0.000000001,F2408&gt;=01_因子設定!$L$6-0.000000001,F2408&lt;=01_因子設定!$M$6+0.000000001,G2408&gt;=01_因子設定!$L$7-0.000000001,G2408&lt;=01_因子設定!$M$7+0.000000001,H2408&gt;=01_因子設定!$L$8-0.000000001,H2408&lt;=01_因子設定!$M$8+0.000000001,IF(01_因子設定!$B$20="Box-Behnken",E2408^2+F2408^2+G2408^2+H2408^2&lt;=2+0.000000001,TRUE()))</f>
        <v>1</v>
      </c>
      <c r="AD2408" s="55" t="n">
        <f aca="false">IF(AC2408,IF(01_因子設定!$B$13="最大化",AA2408-01_因子設定!$B$14,IF(01_因子設定!$B$13="最小化",01_因子設定!$B$15-AB2408,MIN(AA2408-01_因子設定!$B$14,01_因子設定!$B$15-AB2408))),-1E+030)</f>
        <v>-3.04738342868846</v>
      </c>
      <c r="AE2408" s="55" t="n">
        <f aca="false">IF(AC2408,IF(01_因子設定!$B$13="最大化",X2408,IF(01_因子設定!$B$13="最小化",-X2408,-ABS(X2408-01_因子設定!$B$16))),-1E+030)</f>
        <v>45.0103070175438</v>
      </c>
      <c r="AF2408" s="55" t="n">
        <f aca="false">AD2408+ROW()*0.000000001</f>
        <v>-3.04738102068846</v>
      </c>
      <c r="AG2408" s="55" t="n">
        <f aca="false">AE2408+ROW()*0.000000001</f>
        <v>45.0103094255438</v>
      </c>
    </row>
    <row r="2409" customFormat="false" ht="15" hidden="false" customHeight="false" outlineLevel="0" collapsed="false">
      <c r="A2409" s="0" t="n">
        <v>3</v>
      </c>
      <c r="B2409" s="0" t="n">
        <v>2</v>
      </c>
      <c r="C2409" s="0" t="n">
        <v>6</v>
      </c>
      <c r="D2409" s="0" t="n">
        <v>1</v>
      </c>
      <c r="E2409" s="0" t="n">
        <f aca="false">-1+A2409*0.25</f>
        <v>-0.25</v>
      </c>
      <c r="F2409" s="0" t="n">
        <f aca="false">-1+B2409*0.25</f>
        <v>-0.5</v>
      </c>
      <c r="G2409" s="0" t="n">
        <f aca="false">-1+C2409*0.25</f>
        <v>0.5</v>
      </c>
      <c r="H2409" s="0" t="n">
        <f aca="false">-1+D2409*0.25</f>
        <v>-0.75</v>
      </c>
      <c r="I2409" s="0" t="n">
        <f aca="false">1</f>
        <v>1</v>
      </c>
      <c r="J2409" s="0" t="n">
        <f aca="false">E2409</f>
        <v>-0.25</v>
      </c>
      <c r="K2409" s="0" t="n">
        <f aca="false">F2409</f>
        <v>-0.5</v>
      </c>
      <c r="L2409" s="0" t="n">
        <f aca="false">G2409</f>
        <v>0.5</v>
      </c>
      <c r="M2409" s="0" t="n">
        <f aca="false">H2409</f>
        <v>-0.75</v>
      </c>
      <c r="N2409" s="0" t="n">
        <f aca="false">E2409*F2409</f>
        <v>0.125</v>
      </c>
      <c r="O2409" s="0" t="n">
        <f aca="false">E2409*G2409</f>
        <v>-0.125</v>
      </c>
      <c r="P2409" s="0" t="n">
        <f aca="false">E2409*H2409</f>
        <v>0.1875</v>
      </c>
      <c r="Q2409" s="0" t="n">
        <f aca="false">F2409*G2409</f>
        <v>-0.25</v>
      </c>
      <c r="R2409" s="0" t="n">
        <f aca="false">F2409*H2409</f>
        <v>0.375</v>
      </c>
      <c r="S2409" s="0" t="n">
        <f aca="false">G2409*H2409</f>
        <v>-0.375</v>
      </c>
      <c r="T2409" s="0" t="n">
        <f aca="false">E2409*E2409</f>
        <v>0.0625</v>
      </c>
      <c r="U2409" s="0" t="n">
        <f aca="false">F2409*F2409</f>
        <v>0.25</v>
      </c>
      <c r="V2409" s="0" t="n">
        <f aca="false">G2409*G2409</f>
        <v>0.25</v>
      </c>
      <c r="W2409" s="0" t="n">
        <f aca="false">H2409*H2409</f>
        <v>0.5625</v>
      </c>
      <c r="X2409" s="0" t="n">
        <f aca="false">SUMPRODUCT(I2409:W2409,_XtX!$B$96:$P$96)</f>
        <v>45.3337079678362</v>
      </c>
      <c r="Y2409" s="0" t="n">
        <f aca="false">SUMPRODUCT(MMULT(I2409:W2409,_XtX!$B$78:$P$92),I2409:W2409)</f>
        <v>0.203746059484649</v>
      </c>
      <c r="Z2409" s="0" t="n">
        <f aca="false">04_回帰ANOVA!$K$19*04_回帰ANOVA!$K$14*SQRT(1+Y2409)</f>
        <v>1.43009810755465</v>
      </c>
      <c r="AA2409" s="0" t="n">
        <f aca="false">X2409-Z2409</f>
        <v>43.9036098602816</v>
      </c>
      <c r="AB2409" s="0" t="n">
        <f aca="false">X2409+Z2409</f>
        <v>46.7638060753909</v>
      </c>
      <c r="AC2409" s="54" t="b">
        <f aca="false">AND(E2409&gt;=01_因子設定!$L$5-0.000000001,E2409&lt;=01_因子設定!$M$5+0.000000001,F2409&gt;=01_因子設定!$L$6-0.000000001,F2409&lt;=01_因子設定!$M$6+0.000000001,G2409&gt;=01_因子設定!$L$7-0.000000001,G2409&lt;=01_因子設定!$M$7+0.000000001,H2409&gt;=01_因子設定!$L$8-0.000000001,H2409&lt;=01_因子設定!$M$8+0.000000001,IF(01_因子設定!$B$20="Box-Behnken",E2409^2+F2409^2+G2409^2+H2409^2&lt;=2+0.000000001,TRUE()))</f>
        <v>1</v>
      </c>
      <c r="AD2409" s="55" t="n">
        <f aca="false">IF(AC2409,IF(01_因子設定!$B$13="最大化",AA2409-01_因子設定!$B$14,IF(01_因子設定!$B$13="最小化",01_因子設定!$B$15-AB2409,MIN(AA2409-01_因子設定!$B$14,01_因子設定!$B$15-AB2409))),-1E+030)</f>
        <v>-2.59639013971843</v>
      </c>
      <c r="AE2409" s="55" t="n">
        <f aca="false">IF(AC2409,IF(01_因子設定!$B$13="最大化",X2409,IF(01_因子設定!$B$13="最小化",-X2409,-ABS(X2409-01_因子設定!$B$16))),-1E+030)</f>
        <v>45.3337079678362</v>
      </c>
      <c r="AF2409" s="55" t="n">
        <f aca="false">AD2409+ROW()*0.000000001</f>
        <v>-2.59638773071843</v>
      </c>
      <c r="AG2409" s="55" t="n">
        <f aca="false">AE2409+ROW()*0.000000001</f>
        <v>45.3337103768362</v>
      </c>
    </row>
    <row r="2410" customFormat="false" ht="15" hidden="false" customHeight="false" outlineLevel="0" collapsed="false">
      <c r="A2410" s="0" t="n">
        <v>3</v>
      </c>
      <c r="B2410" s="0" t="n">
        <v>2</v>
      </c>
      <c r="C2410" s="0" t="n">
        <v>6</v>
      </c>
      <c r="D2410" s="0" t="n">
        <v>2</v>
      </c>
      <c r="E2410" s="0" t="n">
        <f aca="false">-1+A2410*0.25</f>
        <v>-0.25</v>
      </c>
      <c r="F2410" s="0" t="n">
        <f aca="false">-1+B2410*0.25</f>
        <v>-0.5</v>
      </c>
      <c r="G2410" s="0" t="n">
        <f aca="false">-1+C2410*0.25</f>
        <v>0.5</v>
      </c>
      <c r="H2410" s="0" t="n">
        <f aca="false">-1+D2410*0.25</f>
        <v>-0.5</v>
      </c>
      <c r="I2410" s="0" t="n">
        <f aca="false">1</f>
        <v>1</v>
      </c>
      <c r="J2410" s="0" t="n">
        <f aca="false">E2410</f>
        <v>-0.25</v>
      </c>
      <c r="K2410" s="0" t="n">
        <f aca="false">F2410</f>
        <v>-0.5</v>
      </c>
      <c r="L2410" s="0" t="n">
        <f aca="false">G2410</f>
        <v>0.5</v>
      </c>
      <c r="M2410" s="0" t="n">
        <f aca="false">H2410</f>
        <v>-0.5</v>
      </c>
      <c r="N2410" s="0" t="n">
        <f aca="false">E2410*F2410</f>
        <v>0.125</v>
      </c>
      <c r="O2410" s="0" t="n">
        <f aca="false">E2410*G2410</f>
        <v>-0.125</v>
      </c>
      <c r="P2410" s="0" t="n">
        <f aca="false">E2410*H2410</f>
        <v>0.125</v>
      </c>
      <c r="Q2410" s="0" t="n">
        <f aca="false">F2410*G2410</f>
        <v>-0.25</v>
      </c>
      <c r="R2410" s="0" t="n">
        <f aca="false">F2410*H2410</f>
        <v>0.25</v>
      </c>
      <c r="S2410" s="0" t="n">
        <f aca="false">G2410*H2410</f>
        <v>-0.25</v>
      </c>
      <c r="T2410" s="0" t="n">
        <f aca="false">E2410*E2410</f>
        <v>0.0625</v>
      </c>
      <c r="U2410" s="0" t="n">
        <f aca="false">F2410*F2410</f>
        <v>0.25</v>
      </c>
      <c r="V2410" s="0" t="n">
        <f aca="false">G2410*G2410</f>
        <v>0.25</v>
      </c>
      <c r="W2410" s="0" t="n">
        <f aca="false">H2410*H2410</f>
        <v>0.25</v>
      </c>
      <c r="X2410" s="0" t="n">
        <f aca="false">SUMPRODUCT(I2410:W2410,_XtX!$B$96:$P$96)</f>
        <v>45.6093019005848</v>
      </c>
      <c r="Y2410" s="0" t="n">
        <f aca="false">SUMPRODUCT(MMULT(I2410:W2410,_XtX!$B$78:$P$92),I2410:W2410)</f>
        <v>0.133937545687135</v>
      </c>
      <c r="Z2410" s="0" t="n">
        <f aca="false">04_回帰ANOVA!$K$19*04_回帰ANOVA!$K$14*SQRT(1+Y2410)</f>
        <v>1.38801116780825</v>
      </c>
      <c r="AA2410" s="0" t="n">
        <f aca="false">X2410-Z2410</f>
        <v>44.2212907327765</v>
      </c>
      <c r="AB2410" s="0" t="n">
        <f aca="false">X2410+Z2410</f>
        <v>46.997313068393</v>
      </c>
      <c r="AC2410" s="54" t="b">
        <f aca="false">AND(E2410&gt;=01_因子設定!$L$5-0.000000001,E2410&lt;=01_因子設定!$M$5+0.000000001,F2410&gt;=01_因子設定!$L$6-0.000000001,F2410&lt;=01_因子設定!$M$6+0.000000001,G2410&gt;=01_因子設定!$L$7-0.000000001,G2410&lt;=01_因子設定!$M$7+0.000000001,H2410&gt;=01_因子設定!$L$8-0.000000001,H2410&lt;=01_因子設定!$M$8+0.000000001,IF(01_因子設定!$B$20="Box-Behnken",E2410^2+F2410^2+G2410^2+H2410^2&lt;=2+0.000000001,TRUE()))</f>
        <v>1</v>
      </c>
      <c r="AD2410" s="55" t="n">
        <f aca="false">IF(AC2410,IF(01_因子設定!$B$13="最大化",AA2410-01_因子設定!$B$14,IF(01_因子設定!$B$13="最小化",01_因子設定!$B$15-AB2410,MIN(AA2410-01_因子設定!$B$14,01_因子設定!$B$15-AB2410))),-1E+030)</f>
        <v>-2.2787092672235</v>
      </c>
      <c r="AE2410" s="55" t="n">
        <f aca="false">IF(AC2410,IF(01_因子設定!$B$13="最大化",X2410,IF(01_因子設定!$B$13="最小化",-X2410,-ABS(X2410-01_因子設定!$B$16))),-1E+030)</f>
        <v>45.6093019005848</v>
      </c>
      <c r="AF2410" s="55" t="n">
        <f aca="false">AD2410+ROW()*0.000000001</f>
        <v>-2.2787068572235</v>
      </c>
      <c r="AG2410" s="55" t="n">
        <f aca="false">AE2410+ROW()*0.000000001</f>
        <v>45.6093043105848</v>
      </c>
    </row>
    <row r="2411" customFormat="false" ht="15" hidden="false" customHeight="false" outlineLevel="0" collapsed="false">
      <c r="A2411" s="0" t="n">
        <v>3</v>
      </c>
      <c r="B2411" s="0" t="n">
        <v>2</v>
      </c>
      <c r="C2411" s="0" t="n">
        <v>6</v>
      </c>
      <c r="D2411" s="0" t="n">
        <v>3</v>
      </c>
      <c r="E2411" s="0" t="n">
        <f aca="false">-1+A2411*0.25</f>
        <v>-0.25</v>
      </c>
      <c r="F2411" s="0" t="n">
        <f aca="false">-1+B2411*0.25</f>
        <v>-0.5</v>
      </c>
      <c r="G2411" s="0" t="n">
        <f aca="false">-1+C2411*0.25</f>
        <v>0.5</v>
      </c>
      <c r="H2411" s="0" t="n">
        <f aca="false">-1+D2411*0.25</f>
        <v>-0.25</v>
      </c>
      <c r="I2411" s="0" t="n">
        <f aca="false">1</f>
        <v>1</v>
      </c>
      <c r="J2411" s="0" t="n">
        <f aca="false">E2411</f>
        <v>-0.25</v>
      </c>
      <c r="K2411" s="0" t="n">
        <f aca="false">F2411</f>
        <v>-0.5</v>
      </c>
      <c r="L2411" s="0" t="n">
        <f aca="false">G2411</f>
        <v>0.5</v>
      </c>
      <c r="M2411" s="0" t="n">
        <f aca="false">H2411</f>
        <v>-0.25</v>
      </c>
      <c r="N2411" s="0" t="n">
        <f aca="false">E2411*F2411</f>
        <v>0.125</v>
      </c>
      <c r="O2411" s="0" t="n">
        <f aca="false">E2411*G2411</f>
        <v>-0.125</v>
      </c>
      <c r="P2411" s="0" t="n">
        <f aca="false">E2411*H2411</f>
        <v>0.0625</v>
      </c>
      <c r="Q2411" s="0" t="n">
        <f aca="false">F2411*G2411</f>
        <v>-0.25</v>
      </c>
      <c r="R2411" s="0" t="n">
        <f aca="false">F2411*H2411</f>
        <v>0.125</v>
      </c>
      <c r="S2411" s="0" t="n">
        <f aca="false">G2411*H2411</f>
        <v>-0.125</v>
      </c>
      <c r="T2411" s="0" t="n">
        <f aca="false">E2411*E2411</f>
        <v>0.0625</v>
      </c>
      <c r="U2411" s="0" t="n">
        <f aca="false">F2411*F2411</f>
        <v>0.25</v>
      </c>
      <c r="V2411" s="0" t="n">
        <f aca="false">G2411*G2411</f>
        <v>0.25</v>
      </c>
      <c r="W2411" s="0" t="n">
        <f aca="false">H2411*H2411</f>
        <v>0.0625</v>
      </c>
      <c r="X2411" s="0" t="n">
        <f aca="false">SUMPRODUCT(I2411:W2411,_XtX!$B$96:$P$96)</f>
        <v>45.8370888157894</v>
      </c>
      <c r="Y2411" s="0" t="n">
        <f aca="false">SUMPRODUCT(MMULT(I2411:W2411,_XtX!$B$78:$P$92),I2411:W2411)</f>
        <v>0.128236647934942</v>
      </c>
      <c r="Z2411" s="0" t="n">
        <f aca="false">04_回帰ANOVA!$K$19*04_回帰ANOVA!$K$14*SQRT(1+Y2411)</f>
        <v>1.38451764188989</v>
      </c>
      <c r="AA2411" s="0" t="n">
        <f aca="false">X2411-Z2411</f>
        <v>44.4525711738995</v>
      </c>
      <c r="AB2411" s="0" t="n">
        <f aca="false">X2411+Z2411</f>
        <v>47.2216064576793</v>
      </c>
      <c r="AC2411" s="54" t="b">
        <f aca="false">AND(E2411&gt;=01_因子設定!$L$5-0.000000001,E2411&lt;=01_因子設定!$M$5+0.000000001,F2411&gt;=01_因子設定!$L$6-0.000000001,F2411&lt;=01_因子設定!$M$6+0.000000001,G2411&gt;=01_因子設定!$L$7-0.000000001,G2411&lt;=01_因子設定!$M$7+0.000000001,H2411&gt;=01_因子設定!$L$8-0.000000001,H2411&lt;=01_因子設定!$M$8+0.000000001,IF(01_因子設定!$B$20="Box-Behnken",E2411^2+F2411^2+G2411^2+H2411^2&lt;=2+0.000000001,TRUE()))</f>
        <v>1</v>
      </c>
      <c r="AD2411" s="55" t="n">
        <f aca="false">IF(AC2411,IF(01_因子設定!$B$13="最大化",AA2411-01_因子設定!$B$14,IF(01_因子設定!$B$13="最小化",01_因子設定!$B$15-AB2411,MIN(AA2411-01_因子設定!$B$14,01_因子設定!$B$15-AB2411))),-1E+030)</f>
        <v>-2.04742882610047</v>
      </c>
      <c r="AE2411" s="55" t="n">
        <f aca="false">IF(AC2411,IF(01_因子設定!$B$13="最大化",X2411,IF(01_因子設定!$B$13="最小化",-X2411,-ABS(X2411-01_因子設定!$B$16))),-1E+030)</f>
        <v>45.8370888157894</v>
      </c>
      <c r="AF2411" s="55" t="n">
        <f aca="false">AD2411+ROW()*0.000000001</f>
        <v>-2.04742641510047</v>
      </c>
      <c r="AG2411" s="55" t="n">
        <f aca="false">AE2411+ROW()*0.000000001</f>
        <v>45.8370912267894</v>
      </c>
    </row>
    <row r="2412" customFormat="false" ht="15" hidden="false" customHeight="false" outlineLevel="0" collapsed="false">
      <c r="A2412" s="0" t="n">
        <v>3</v>
      </c>
      <c r="B2412" s="0" t="n">
        <v>2</v>
      </c>
      <c r="C2412" s="0" t="n">
        <v>6</v>
      </c>
      <c r="D2412" s="0" t="n">
        <v>4</v>
      </c>
      <c r="E2412" s="0" t="n">
        <f aca="false">-1+A2412*0.25</f>
        <v>-0.25</v>
      </c>
      <c r="F2412" s="0" t="n">
        <f aca="false">-1+B2412*0.25</f>
        <v>-0.5</v>
      </c>
      <c r="G2412" s="0" t="n">
        <f aca="false">-1+C2412*0.25</f>
        <v>0.5</v>
      </c>
      <c r="H2412" s="0" t="n">
        <f aca="false">-1+D2412*0.25</f>
        <v>0</v>
      </c>
      <c r="I2412" s="0" t="n">
        <f aca="false">1</f>
        <v>1</v>
      </c>
      <c r="J2412" s="0" t="n">
        <f aca="false">E2412</f>
        <v>-0.25</v>
      </c>
      <c r="K2412" s="0" t="n">
        <f aca="false">F2412</f>
        <v>-0.5</v>
      </c>
      <c r="L2412" s="0" t="n">
        <f aca="false">G2412</f>
        <v>0.5</v>
      </c>
      <c r="M2412" s="0" t="n">
        <f aca="false">H2412</f>
        <v>0</v>
      </c>
      <c r="N2412" s="0" t="n">
        <f aca="false">E2412*F2412</f>
        <v>0.125</v>
      </c>
      <c r="O2412" s="0" t="n">
        <f aca="false">E2412*G2412</f>
        <v>-0.125</v>
      </c>
      <c r="P2412" s="0" t="n">
        <f aca="false">E2412*H2412</f>
        <v>-0</v>
      </c>
      <c r="Q2412" s="0" t="n">
        <f aca="false">F2412*G2412</f>
        <v>-0.25</v>
      </c>
      <c r="R2412" s="0" t="n">
        <f aca="false">F2412*H2412</f>
        <v>-0</v>
      </c>
      <c r="S2412" s="0" t="n">
        <f aca="false">G2412*H2412</f>
        <v>0</v>
      </c>
      <c r="T2412" s="0" t="n">
        <f aca="false">E2412*E2412</f>
        <v>0.0625</v>
      </c>
      <c r="U2412" s="0" t="n">
        <f aca="false">F2412*F2412</f>
        <v>0.25</v>
      </c>
      <c r="V2412" s="0" t="n">
        <f aca="false">G2412*G2412</f>
        <v>0.25</v>
      </c>
      <c r="W2412" s="0" t="n">
        <f aca="false">H2412*H2412</f>
        <v>0</v>
      </c>
      <c r="X2412" s="0" t="n">
        <f aca="false">SUMPRODUCT(I2412:W2412,_XtX!$B$96:$P$96)</f>
        <v>46.0170687134502</v>
      </c>
      <c r="Y2412" s="0" t="n">
        <f aca="false">SUMPRODUCT(MMULT(I2412:W2412,_XtX!$B$78:$P$92),I2412:W2412)</f>
        <v>0.132367050438597</v>
      </c>
      <c r="Z2412" s="0" t="n">
        <f aca="false">04_回帰ANOVA!$K$19*04_回帰ANOVA!$K$14*SQRT(1+Y2412)</f>
        <v>1.38704964208329</v>
      </c>
      <c r="AA2412" s="0" t="n">
        <f aca="false">X2412-Z2412</f>
        <v>44.6300190713669</v>
      </c>
      <c r="AB2412" s="0" t="n">
        <f aca="false">X2412+Z2412</f>
        <v>47.4041183555335</v>
      </c>
      <c r="AC2412" s="54" t="b">
        <f aca="false">AND(E2412&gt;=01_因子設定!$L$5-0.000000001,E2412&lt;=01_因子設定!$M$5+0.000000001,F2412&gt;=01_因子設定!$L$6-0.000000001,F2412&lt;=01_因子設定!$M$6+0.000000001,G2412&gt;=01_因子設定!$L$7-0.000000001,G2412&lt;=01_因子設定!$M$7+0.000000001,H2412&gt;=01_因子設定!$L$8-0.000000001,H2412&lt;=01_因子設定!$M$8+0.000000001,IF(01_因子設定!$B$20="Box-Behnken",E2412^2+F2412^2+G2412^2+H2412^2&lt;=2+0.000000001,TRUE()))</f>
        <v>1</v>
      </c>
      <c r="AD2412" s="55" t="n">
        <f aca="false">IF(AC2412,IF(01_因子設定!$B$13="最大化",AA2412-01_因子設定!$B$14,IF(01_因子設定!$B$13="最小化",01_因子設定!$B$15-AB2412,MIN(AA2412-01_因子設定!$B$14,01_因子設定!$B$15-AB2412))),-1E+030)</f>
        <v>-1.86998092863305</v>
      </c>
      <c r="AE2412" s="55" t="n">
        <f aca="false">IF(AC2412,IF(01_因子設定!$B$13="最大化",X2412,IF(01_因子設定!$B$13="最小化",-X2412,-ABS(X2412-01_因子設定!$B$16))),-1E+030)</f>
        <v>46.0170687134502</v>
      </c>
      <c r="AF2412" s="55" t="n">
        <f aca="false">AD2412+ROW()*0.000000001</f>
        <v>-1.86997851663306</v>
      </c>
      <c r="AG2412" s="55" t="n">
        <f aca="false">AE2412+ROW()*0.000000001</f>
        <v>46.0170711254502</v>
      </c>
    </row>
    <row r="2413" customFormat="false" ht="15" hidden="false" customHeight="false" outlineLevel="0" collapsed="false">
      <c r="A2413" s="0" t="n">
        <v>3</v>
      </c>
      <c r="B2413" s="0" t="n">
        <v>2</v>
      </c>
      <c r="C2413" s="0" t="n">
        <v>6</v>
      </c>
      <c r="D2413" s="0" t="n">
        <v>5</v>
      </c>
      <c r="E2413" s="0" t="n">
        <f aca="false">-1+A2413*0.25</f>
        <v>-0.25</v>
      </c>
      <c r="F2413" s="0" t="n">
        <f aca="false">-1+B2413*0.25</f>
        <v>-0.5</v>
      </c>
      <c r="G2413" s="0" t="n">
        <f aca="false">-1+C2413*0.25</f>
        <v>0.5</v>
      </c>
      <c r="H2413" s="0" t="n">
        <f aca="false">-1+D2413*0.25</f>
        <v>0.25</v>
      </c>
      <c r="I2413" s="0" t="n">
        <f aca="false">1</f>
        <v>1</v>
      </c>
      <c r="J2413" s="0" t="n">
        <f aca="false">E2413</f>
        <v>-0.25</v>
      </c>
      <c r="K2413" s="0" t="n">
        <f aca="false">F2413</f>
        <v>-0.5</v>
      </c>
      <c r="L2413" s="0" t="n">
        <f aca="false">G2413</f>
        <v>0.5</v>
      </c>
      <c r="M2413" s="0" t="n">
        <f aca="false">H2413</f>
        <v>0.25</v>
      </c>
      <c r="N2413" s="0" t="n">
        <f aca="false">E2413*F2413</f>
        <v>0.125</v>
      </c>
      <c r="O2413" s="0" t="n">
        <f aca="false">E2413*G2413</f>
        <v>-0.125</v>
      </c>
      <c r="P2413" s="0" t="n">
        <f aca="false">E2413*H2413</f>
        <v>-0.0625</v>
      </c>
      <c r="Q2413" s="0" t="n">
        <f aca="false">F2413*G2413</f>
        <v>-0.25</v>
      </c>
      <c r="R2413" s="0" t="n">
        <f aca="false">F2413*H2413</f>
        <v>-0.125</v>
      </c>
      <c r="S2413" s="0" t="n">
        <f aca="false">G2413*H2413</f>
        <v>0.125</v>
      </c>
      <c r="T2413" s="0" t="n">
        <f aca="false">E2413*E2413</f>
        <v>0.0625</v>
      </c>
      <c r="U2413" s="0" t="n">
        <f aca="false">F2413*F2413</f>
        <v>0.25</v>
      </c>
      <c r="V2413" s="0" t="n">
        <f aca="false">G2413*G2413</f>
        <v>0.25</v>
      </c>
      <c r="W2413" s="0" t="n">
        <f aca="false">H2413*H2413</f>
        <v>0.0625</v>
      </c>
      <c r="X2413" s="0" t="n">
        <f aca="false">SUMPRODUCT(I2413:W2413,_XtX!$B$96:$P$96)</f>
        <v>46.1492415935672</v>
      </c>
      <c r="Y2413" s="0" t="n">
        <f aca="false">SUMPRODUCT(MMULT(I2413:W2413,_XtX!$B$78:$P$92),I2413:W2413)</f>
        <v>0.128236647934942</v>
      </c>
      <c r="Z2413" s="0" t="n">
        <f aca="false">04_回帰ANOVA!$K$19*04_回帰ANOVA!$K$14*SQRT(1+Y2413)</f>
        <v>1.38451764188989</v>
      </c>
      <c r="AA2413" s="0" t="n">
        <f aca="false">X2413-Z2413</f>
        <v>44.7647239516773</v>
      </c>
      <c r="AB2413" s="0" t="n">
        <f aca="false">X2413+Z2413</f>
        <v>47.5337592354571</v>
      </c>
      <c r="AC2413" s="54" t="b">
        <f aca="false">AND(E2413&gt;=01_因子設定!$L$5-0.000000001,E2413&lt;=01_因子設定!$M$5+0.000000001,F2413&gt;=01_因子設定!$L$6-0.000000001,F2413&lt;=01_因子設定!$M$6+0.000000001,G2413&gt;=01_因子設定!$L$7-0.000000001,G2413&lt;=01_因子設定!$M$7+0.000000001,H2413&gt;=01_因子設定!$L$8-0.000000001,H2413&lt;=01_因子設定!$M$8+0.000000001,IF(01_因子設定!$B$20="Box-Behnken",E2413^2+F2413^2+G2413^2+H2413^2&lt;=2+0.000000001,TRUE()))</f>
        <v>1</v>
      </c>
      <c r="AD2413" s="55" t="n">
        <f aca="false">IF(AC2413,IF(01_因子設定!$B$13="最大化",AA2413-01_因子設定!$B$14,IF(01_因子設定!$B$13="最小化",01_因子設定!$B$15-AB2413,MIN(AA2413-01_因子設定!$B$14,01_因子設定!$B$15-AB2413))),-1E+030)</f>
        <v>-1.73527604832269</v>
      </c>
      <c r="AE2413" s="55" t="n">
        <f aca="false">IF(AC2413,IF(01_因子設定!$B$13="最大化",X2413,IF(01_因子設定!$B$13="最小化",-X2413,-ABS(X2413-01_因子設定!$B$16))),-1E+030)</f>
        <v>46.1492415935672</v>
      </c>
      <c r="AF2413" s="55" t="n">
        <f aca="false">AD2413+ROW()*0.000000001</f>
        <v>-1.73527363532269</v>
      </c>
      <c r="AG2413" s="55" t="n">
        <f aca="false">AE2413+ROW()*0.000000001</f>
        <v>46.1492440065672</v>
      </c>
    </row>
    <row r="2414" customFormat="false" ht="15" hidden="false" customHeight="false" outlineLevel="0" collapsed="false">
      <c r="A2414" s="0" t="n">
        <v>3</v>
      </c>
      <c r="B2414" s="0" t="n">
        <v>2</v>
      </c>
      <c r="C2414" s="0" t="n">
        <v>6</v>
      </c>
      <c r="D2414" s="0" t="n">
        <v>6</v>
      </c>
      <c r="E2414" s="0" t="n">
        <f aca="false">-1+A2414*0.25</f>
        <v>-0.25</v>
      </c>
      <c r="F2414" s="0" t="n">
        <f aca="false">-1+B2414*0.25</f>
        <v>-0.5</v>
      </c>
      <c r="G2414" s="0" t="n">
        <f aca="false">-1+C2414*0.25</f>
        <v>0.5</v>
      </c>
      <c r="H2414" s="0" t="n">
        <f aca="false">-1+D2414*0.25</f>
        <v>0.5</v>
      </c>
      <c r="I2414" s="0" t="n">
        <f aca="false">1</f>
        <v>1</v>
      </c>
      <c r="J2414" s="0" t="n">
        <f aca="false">E2414</f>
        <v>-0.25</v>
      </c>
      <c r="K2414" s="0" t="n">
        <f aca="false">F2414</f>
        <v>-0.5</v>
      </c>
      <c r="L2414" s="0" t="n">
        <f aca="false">G2414</f>
        <v>0.5</v>
      </c>
      <c r="M2414" s="0" t="n">
        <f aca="false">H2414</f>
        <v>0.5</v>
      </c>
      <c r="N2414" s="0" t="n">
        <f aca="false">E2414*F2414</f>
        <v>0.125</v>
      </c>
      <c r="O2414" s="0" t="n">
        <f aca="false">E2414*G2414</f>
        <v>-0.125</v>
      </c>
      <c r="P2414" s="0" t="n">
        <f aca="false">E2414*H2414</f>
        <v>-0.125</v>
      </c>
      <c r="Q2414" s="0" t="n">
        <f aca="false">F2414*G2414</f>
        <v>-0.25</v>
      </c>
      <c r="R2414" s="0" t="n">
        <f aca="false">F2414*H2414</f>
        <v>-0.25</v>
      </c>
      <c r="S2414" s="0" t="n">
        <f aca="false">G2414*H2414</f>
        <v>0.25</v>
      </c>
      <c r="T2414" s="0" t="n">
        <f aca="false">E2414*E2414</f>
        <v>0.0625</v>
      </c>
      <c r="U2414" s="0" t="n">
        <f aca="false">F2414*F2414</f>
        <v>0.25</v>
      </c>
      <c r="V2414" s="0" t="n">
        <f aca="false">G2414*G2414</f>
        <v>0.25</v>
      </c>
      <c r="W2414" s="0" t="n">
        <f aca="false">H2414*H2414</f>
        <v>0.25</v>
      </c>
      <c r="X2414" s="0" t="n">
        <f aca="false">SUMPRODUCT(I2414:W2414,_XtX!$B$96:$P$96)</f>
        <v>46.2336074561403</v>
      </c>
      <c r="Y2414" s="0" t="n">
        <f aca="false">SUMPRODUCT(MMULT(I2414:W2414,_XtX!$B$78:$P$92),I2414:W2414)</f>
        <v>0.133937545687135</v>
      </c>
      <c r="Z2414" s="0" t="n">
        <f aca="false">04_回帰ANOVA!$K$19*04_回帰ANOVA!$K$14*SQRT(1+Y2414)</f>
        <v>1.38801116780825</v>
      </c>
      <c r="AA2414" s="0" t="n">
        <f aca="false">X2414-Z2414</f>
        <v>44.8455962883321</v>
      </c>
      <c r="AB2414" s="0" t="n">
        <f aca="false">X2414+Z2414</f>
        <v>47.6216186239486</v>
      </c>
      <c r="AC2414" s="54" t="b">
        <f aca="false">AND(E2414&gt;=01_因子設定!$L$5-0.000000001,E2414&lt;=01_因子設定!$M$5+0.000000001,F2414&gt;=01_因子設定!$L$6-0.000000001,F2414&lt;=01_因子設定!$M$6+0.000000001,G2414&gt;=01_因子設定!$L$7-0.000000001,G2414&lt;=01_因子設定!$M$7+0.000000001,H2414&gt;=01_因子設定!$L$8-0.000000001,H2414&lt;=01_因子設定!$M$8+0.000000001,IF(01_因子設定!$B$20="Box-Behnken",E2414^2+F2414^2+G2414^2+H2414^2&lt;=2+0.000000001,TRUE()))</f>
        <v>1</v>
      </c>
      <c r="AD2414" s="55" t="n">
        <f aca="false">IF(AC2414,IF(01_因子設定!$B$13="最大化",AA2414-01_因子設定!$B$14,IF(01_因子設定!$B$13="最小化",01_因子設定!$B$15-AB2414,MIN(AA2414-01_因子設定!$B$14,01_因子設定!$B$15-AB2414))),-1E+030)</f>
        <v>-1.65440371166795</v>
      </c>
      <c r="AE2414" s="55" t="n">
        <f aca="false">IF(AC2414,IF(01_因子設定!$B$13="最大化",X2414,IF(01_因子設定!$B$13="最小化",-X2414,-ABS(X2414-01_因子設定!$B$16))),-1E+030)</f>
        <v>46.2336074561403</v>
      </c>
      <c r="AF2414" s="55" t="n">
        <f aca="false">AD2414+ROW()*0.000000001</f>
        <v>-1.65440129766795</v>
      </c>
      <c r="AG2414" s="55" t="n">
        <f aca="false">AE2414+ROW()*0.000000001</f>
        <v>46.2336098701403</v>
      </c>
    </row>
    <row r="2415" customFormat="false" ht="15" hidden="false" customHeight="false" outlineLevel="0" collapsed="false">
      <c r="A2415" s="0" t="n">
        <v>3</v>
      </c>
      <c r="B2415" s="0" t="n">
        <v>2</v>
      </c>
      <c r="C2415" s="0" t="n">
        <v>6</v>
      </c>
      <c r="D2415" s="0" t="n">
        <v>7</v>
      </c>
      <c r="E2415" s="0" t="n">
        <f aca="false">-1+A2415*0.25</f>
        <v>-0.25</v>
      </c>
      <c r="F2415" s="0" t="n">
        <f aca="false">-1+B2415*0.25</f>
        <v>-0.5</v>
      </c>
      <c r="G2415" s="0" t="n">
        <f aca="false">-1+C2415*0.25</f>
        <v>0.5</v>
      </c>
      <c r="H2415" s="0" t="n">
        <f aca="false">-1+D2415*0.25</f>
        <v>0.75</v>
      </c>
      <c r="I2415" s="0" t="n">
        <f aca="false">1</f>
        <v>1</v>
      </c>
      <c r="J2415" s="0" t="n">
        <f aca="false">E2415</f>
        <v>-0.25</v>
      </c>
      <c r="K2415" s="0" t="n">
        <f aca="false">F2415</f>
        <v>-0.5</v>
      </c>
      <c r="L2415" s="0" t="n">
        <f aca="false">G2415</f>
        <v>0.5</v>
      </c>
      <c r="M2415" s="0" t="n">
        <f aca="false">H2415</f>
        <v>0.75</v>
      </c>
      <c r="N2415" s="0" t="n">
        <f aca="false">E2415*F2415</f>
        <v>0.125</v>
      </c>
      <c r="O2415" s="0" t="n">
        <f aca="false">E2415*G2415</f>
        <v>-0.125</v>
      </c>
      <c r="P2415" s="0" t="n">
        <f aca="false">E2415*H2415</f>
        <v>-0.1875</v>
      </c>
      <c r="Q2415" s="0" t="n">
        <f aca="false">F2415*G2415</f>
        <v>-0.25</v>
      </c>
      <c r="R2415" s="0" t="n">
        <f aca="false">F2415*H2415</f>
        <v>-0.375</v>
      </c>
      <c r="S2415" s="0" t="n">
        <f aca="false">G2415*H2415</f>
        <v>0.375</v>
      </c>
      <c r="T2415" s="0" t="n">
        <f aca="false">E2415*E2415</f>
        <v>0.0625</v>
      </c>
      <c r="U2415" s="0" t="n">
        <f aca="false">F2415*F2415</f>
        <v>0.25</v>
      </c>
      <c r="V2415" s="0" t="n">
        <f aca="false">G2415*G2415</f>
        <v>0.25</v>
      </c>
      <c r="W2415" s="0" t="n">
        <f aca="false">H2415*H2415</f>
        <v>0.5625</v>
      </c>
      <c r="X2415" s="0" t="n">
        <f aca="false">SUMPRODUCT(I2415:W2415,_XtX!$B$96:$P$96)</f>
        <v>46.2701663011696</v>
      </c>
      <c r="Y2415" s="0" t="n">
        <f aca="false">SUMPRODUCT(MMULT(I2415:W2415,_XtX!$B$78:$P$92),I2415:W2415)</f>
        <v>0.203746059484649</v>
      </c>
      <c r="Z2415" s="0" t="n">
        <f aca="false">04_回帰ANOVA!$K$19*04_回帰ANOVA!$K$14*SQRT(1+Y2415)</f>
        <v>1.43009810755465</v>
      </c>
      <c r="AA2415" s="0" t="n">
        <f aca="false">X2415-Z2415</f>
        <v>44.8400681936149</v>
      </c>
      <c r="AB2415" s="0" t="n">
        <f aca="false">X2415+Z2415</f>
        <v>47.7002644087242</v>
      </c>
      <c r="AC2415" s="54" t="b">
        <f aca="false">AND(E2415&gt;=01_因子設定!$L$5-0.000000001,E2415&lt;=01_因子設定!$M$5+0.000000001,F2415&gt;=01_因子設定!$L$6-0.000000001,F2415&lt;=01_因子設定!$M$6+0.000000001,G2415&gt;=01_因子設定!$L$7-0.000000001,G2415&lt;=01_因子設定!$M$7+0.000000001,H2415&gt;=01_因子設定!$L$8-0.000000001,H2415&lt;=01_因子設定!$M$8+0.000000001,IF(01_因子設定!$B$20="Box-Behnken",E2415^2+F2415^2+G2415^2+H2415^2&lt;=2+0.000000001,TRUE()))</f>
        <v>1</v>
      </c>
      <c r="AD2415" s="55" t="n">
        <f aca="false">IF(AC2415,IF(01_因子設定!$B$13="最大化",AA2415-01_因子設定!$B$14,IF(01_因子設定!$B$13="最小化",01_因子設定!$B$15-AB2415,MIN(AA2415-01_因子設定!$B$14,01_因子設定!$B$15-AB2415))),-1E+030)</f>
        <v>-1.6599318063851</v>
      </c>
      <c r="AE2415" s="55" t="n">
        <f aca="false">IF(AC2415,IF(01_因子設定!$B$13="最大化",X2415,IF(01_因子設定!$B$13="最小化",-X2415,-ABS(X2415-01_因子設定!$B$16))),-1E+030)</f>
        <v>46.2701663011696</v>
      </c>
      <c r="AF2415" s="55" t="n">
        <f aca="false">AD2415+ROW()*0.000000001</f>
        <v>-1.6599293913851</v>
      </c>
      <c r="AG2415" s="55" t="n">
        <f aca="false">AE2415+ROW()*0.000000001</f>
        <v>46.2701687161696</v>
      </c>
    </row>
    <row r="2416" customFormat="false" ht="15" hidden="false" customHeight="false" outlineLevel="0" collapsed="false">
      <c r="A2416" s="0" t="n">
        <v>3</v>
      </c>
      <c r="B2416" s="0" t="n">
        <v>2</v>
      </c>
      <c r="C2416" s="0" t="n">
        <v>6</v>
      </c>
      <c r="D2416" s="0" t="n">
        <v>8</v>
      </c>
      <c r="E2416" s="0" t="n">
        <f aca="false">-1+A2416*0.25</f>
        <v>-0.25</v>
      </c>
      <c r="F2416" s="0" t="n">
        <f aca="false">-1+B2416*0.25</f>
        <v>-0.5</v>
      </c>
      <c r="G2416" s="0" t="n">
        <f aca="false">-1+C2416*0.25</f>
        <v>0.5</v>
      </c>
      <c r="H2416" s="0" t="n">
        <f aca="false">-1+D2416*0.25</f>
        <v>1</v>
      </c>
      <c r="I2416" s="0" t="n">
        <f aca="false">1</f>
        <v>1</v>
      </c>
      <c r="J2416" s="0" t="n">
        <f aca="false">E2416</f>
        <v>-0.25</v>
      </c>
      <c r="K2416" s="0" t="n">
        <f aca="false">F2416</f>
        <v>-0.5</v>
      </c>
      <c r="L2416" s="0" t="n">
        <f aca="false">G2416</f>
        <v>0.5</v>
      </c>
      <c r="M2416" s="0" t="n">
        <f aca="false">H2416</f>
        <v>1</v>
      </c>
      <c r="N2416" s="0" t="n">
        <f aca="false">E2416*F2416</f>
        <v>0.125</v>
      </c>
      <c r="O2416" s="0" t="n">
        <f aca="false">E2416*G2416</f>
        <v>-0.125</v>
      </c>
      <c r="P2416" s="0" t="n">
        <f aca="false">E2416*H2416</f>
        <v>-0.25</v>
      </c>
      <c r="Q2416" s="0" t="n">
        <f aca="false">F2416*G2416</f>
        <v>-0.25</v>
      </c>
      <c r="R2416" s="0" t="n">
        <f aca="false">F2416*H2416</f>
        <v>-0.5</v>
      </c>
      <c r="S2416" s="0" t="n">
        <f aca="false">G2416*H2416</f>
        <v>0.5</v>
      </c>
      <c r="T2416" s="0" t="n">
        <f aca="false">E2416*E2416</f>
        <v>0.0625</v>
      </c>
      <c r="U2416" s="0" t="n">
        <f aca="false">F2416*F2416</f>
        <v>0.25</v>
      </c>
      <c r="V2416" s="0" t="n">
        <f aca="false">G2416*G2416</f>
        <v>0.25</v>
      </c>
      <c r="W2416" s="0" t="n">
        <f aca="false">H2416*H2416</f>
        <v>1</v>
      </c>
      <c r="X2416" s="0" t="n">
        <f aca="false">SUMPRODUCT(I2416:W2416,_XtX!$B$96:$P$96)</f>
        <v>46.258918128655</v>
      </c>
      <c r="Y2416" s="0" t="n">
        <f aca="false">SUMPRODUCT(MMULT(I2416:W2416,_XtX!$B$78:$P$92),I2416:W2416)</f>
        <v>0.428122715643275</v>
      </c>
      <c r="Z2416" s="0" t="n">
        <f aca="false">04_回帰ANOVA!$K$19*04_回帰ANOVA!$K$14*SQRT(1+Y2416)</f>
        <v>1.55769044623229</v>
      </c>
      <c r="AA2416" s="0" t="n">
        <f aca="false">X2416-Z2416</f>
        <v>44.7012276824227</v>
      </c>
      <c r="AB2416" s="0" t="n">
        <f aca="false">X2416+Z2416</f>
        <v>47.8166085748872</v>
      </c>
      <c r="AC2416" s="54" t="b">
        <f aca="false">AND(E2416&gt;=01_因子設定!$L$5-0.000000001,E2416&lt;=01_因子設定!$M$5+0.000000001,F2416&gt;=01_因子設定!$L$6-0.000000001,F2416&lt;=01_因子設定!$M$6+0.000000001,G2416&gt;=01_因子設定!$L$7-0.000000001,G2416&lt;=01_因子設定!$M$7+0.000000001,H2416&gt;=01_因子設定!$L$8-0.000000001,H2416&lt;=01_因子設定!$M$8+0.000000001,IF(01_因子設定!$B$20="Box-Behnken",E2416^2+F2416^2+G2416^2+H2416^2&lt;=2+0.000000001,TRUE()))</f>
        <v>1</v>
      </c>
      <c r="AD2416" s="55" t="n">
        <f aca="false">IF(AC2416,IF(01_因子設定!$B$13="最大化",AA2416-01_因子設定!$B$14,IF(01_因子設定!$B$13="最小化",01_因子設定!$B$15-AB2416,MIN(AA2416-01_因子設定!$B$14,01_因子設定!$B$15-AB2416))),-1E+030)</f>
        <v>-1.79877231757735</v>
      </c>
      <c r="AE2416" s="55" t="n">
        <f aca="false">IF(AC2416,IF(01_因子設定!$B$13="最大化",X2416,IF(01_因子設定!$B$13="最小化",-X2416,-ABS(X2416-01_因子設定!$B$16))),-1E+030)</f>
        <v>46.258918128655</v>
      </c>
      <c r="AF2416" s="55" t="n">
        <f aca="false">AD2416+ROW()*0.000000001</f>
        <v>-1.79876990157735</v>
      </c>
      <c r="AG2416" s="55" t="n">
        <f aca="false">AE2416+ROW()*0.000000001</f>
        <v>46.258920544655</v>
      </c>
    </row>
    <row r="2417" customFormat="false" ht="15" hidden="false" customHeight="false" outlineLevel="0" collapsed="false">
      <c r="A2417" s="0" t="n">
        <v>3</v>
      </c>
      <c r="B2417" s="0" t="n">
        <v>2</v>
      </c>
      <c r="C2417" s="0" t="n">
        <v>7</v>
      </c>
      <c r="D2417" s="0" t="n">
        <v>0</v>
      </c>
      <c r="E2417" s="0" t="n">
        <f aca="false">-1+A2417*0.25</f>
        <v>-0.25</v>
      </c>
      <c r="F2417" s="0" t="n">
        <f aca="false">-1+B2417*0.25</f>
        <v>-0.5</v>
      </c>
      <c r="G2417" s="0" t="n">
        <f aca="false">-1+C2417*0.25</f>
        <v>0.75</v>
      </c>
      <c r="H2417" s="0" t="n">
        <f aca="false">-1+D2417*0.25</f>
        <v>-1</v>
      </c>
      <c r="I2417" s="0" t="n">
        <f aca="false">1</f>
        <v>1</v>
      </c>
      <c r="J2417" s="0" t="n">
        <f aca="false">E2417</f>
        <v>-0.25</v>
      </c>
      <c r="K2417" s="0" t="n">
        <f aca="false">F2417</f>
        <v>-0.5</v>
      </c>
      <c r="L2417" s="0" t="n">
        <f aca="false">G2417</f>
        <v>0.75</v>
      </c>
      <c r="M2417" s="0" t="n">
        <f aca="false">H2417</f>
        <v>-1</v>
      </c>
      <c r="N2417" s="0" t="n">
        <f aca="false">E2417*F2417</f>
        <v>0.125</v>
      </c>
      <c r="O2417" s="0" t="n">
        <f aca="false">E2417*G2417</f>
        <v>-0.1875</v>
      </c>
      <c r="P2417" s="0" t="n">
        <f aca="false">E2417*H2417</f>
        <v>0.25</v>
      </c>
      <c r="Q2417" s="0" t="n">
        <f aca="false">F2417*G2417</f>
        <v>-0.375</v>
      </c>
      <c r="R2417" s="0" t="n">
        <f aca="false">F2417*H2417</f>
        <v>0.5</v>
      </c>
      <c r="S2417" s="0" t="n">
        <f aca="false">G2417*H2417</f>
        <v>-0.75</v>
      </c>
      <c r="T2417" s="0" t="n">
        <f aca="false">E2417*E2417</f>
        <v>0.0625</v>
      </c>
      <c r="U2417" s="0" t="n">
        <f aca="false">F2417*F2417</f>
        <v>0.25</v>
      </c>
      <c r="V2417" s="0" t="n">
        <f aca="false">G2417*G2417</f>
        <v>0.5625</v>
      </c>
      <c r="W2417" s="0" t="n">
        <f aca="false">H2417*H2417</f>
        <v>1</v>
      </c>
      <c r="X2417" s="0" t="n">
        <f aca="false">SUMPRODUCT(I2417:W2417,_XtX!$B$96:$P$96)</f>
        <v>44.9725603070175</v>
      </c>
      <c r="Y2417" s="0" t="n">
        <f aca="false">SUMPRODUCT(MMULT(I2417:W2417,_XtX!$B$78:$P$92),I2417:W2417)</f>
        <v>0.459125719572369</v>
      </c>
      <c r="Z2417" s="0" t="n">
        <f aca="false">04_回帰ANOVA!$K$19*04_回帰ANOVA!$K$14*SQRT(1+Y2417)</f>
        <v>1.57450755575573</v>
      </c>
      <c r="AA2417" s="0" t="n">
        <f aca="false">X2417-Z2417</f>
        <v>43.3980527512618</v>
      </c>
      <c r="AB2417" s="0" t="n">
        <f aca="false">X2417+Z2417</f>
        <v>46.5470678627733</v>
      </c>
      <c r="AC2417" s="54" t="b">
        <f aca="false">AND(E2417&gt;=01_因子設定!$L$5-0.000000001,E2417&lt;=01_因子設定!$M$5+0.000000001,F2417&gt;=01_因子設定!$L$6-0.000000001,F2417&lt;=01_因子設定!$M$6+0.000000001,G2417&gt;=01_因子設定!$L$7-0.000000001,G2417&lt;=01_因子設定!$M$7+0.000000001,H2417&gt;=01_因子設定!$L$8-0.000000001,H2417&lt;=01_因子設定!$M$8+0.000000001,IF(01_因子設定!$B$20="Box-Behnken",E2417^2+F2417^2+G2417^2+H2417^2&lt;=2+0.000000001,TRUE()))</f>
        <v>1</v>
      </c>
      <c r="AD2417" s="55" t="n">
        <f aca="false">IF(AC2417,IF(01_因子設定!$B$13="最大化",AA2417-01_因子設定!$B$14,IF(01_因子設定!$B$13="最小化",01_因子設定!$B$15-AB2417,MIN(AA2417-01_因子設定!$B$14,01_因子設定!$B$15-AB2417))),-1E+030)</f>
        <v>-3.10194724873821</v>
      </c>
      <c r="AE2417" s="55" t="n">
        <f aca="false">IF(AC2417,IF(01_因子設定!$B$13="最大化",X2417,IF(01_因子設定!$B$13="最小化",-X2417,-ABS(X2417-01_因子設定!$B$16))),-1E+030)</f>
        <v>44.9725603070175</v>
      </c>
      <c r="AF2417" s="55" t="n">
        <f aca="false">AD2417+ROW()*0.000000001</f>
        <v>-3.10194483173821</v>
      </c>
      <c r="AG2417" s="55" t="n">
        <f aca="false">AE2417+ROW()*0.000000001</f>
        <v>44.9725627240175</v>
      </c>
    </row>
    <row r="2418" customFormat="false" ht="15" hidden="false" customHeight="false" outlineLevel="0" collapsed="false">
      <c r="A2418" s="0" t="n">
        <v>3</v>
      </c>
      <c r="B2418" s="0" t="n">
        <v>2</v>
      </c>
      <c r="C2418" s="0" t="n">
        <v>7</v>
      </c>
      <c r="D2418" s="0" t="n">
        <v>1</v>
      </c>
      <c r="E2418" s="0" t="n">
        <f aca="false">-1+A2418*0.25</f>
        <v>-0.25</v>
      </c>
      <c r="F2418" s="0" t="n">
        <f aca="false">-1+B2418*0.25</f>
        <v>-0.5</v>
      </c>
      <c r="G2418" s="0" t="n">
        <f aca="false">-1+C2418*0.25</f>
        <v>0.75</v>
      </c>
      <c r="H2418" s="0" t="n">
        <f aca="false">-1+D2418*0.25</f>
        <v>-0.75</v>
      </c>
      <c r="I2418" s="0" t="n">
        <f aca="false">1</f>
        <v>1</v>
      </c>
      <c r="J2418" s="0" t="n">
        <f aca="false">E2418</f>
        <v>-0.25</v>
      </c>
      <c r="K2418" s="0" t="n">
        <f aca="false">F2418</f>
        <v>-0.5</v>
      </c>
      <c r="L2418" s="0" t="n">
        <f aca="false">G2418</f>
        <v>0.75</v>
      </c>
      <c r="M2418" s="0" t="n">
        <f aca="false">H2418</f>
        <v>-0.75</v>
      </c>
      <c r="N2418" s="0" t="n">
        <f aca="false">E2418*F2418</f>
        <v>0.125</v>
      </c>
      <c r="O2418" s="0" t="n">
        <f aca="false">E2418*G2418</f>
        <v>-0.1875</v>
      </c>
      <c r="P2418" s="0" t="n">
        <f aca="false">E2418*H2418</f>
        <v>0.1875</v>
      </c>
      <c r="Q2418" s="0" t="n">
        <f aca="false">F2418*G2418</f>
        <v>-0.375</v>
      </c>
      <c r="R2418" s="0" t="n">
        <f aca="false">F2418*H2418</f>
        <v>0.375</v>
      </c>
      <c r="S2418" s="0" t="n">
        <f aca="false">G2418*H2418</f>
        <v>-0.5625</v>
      </c>
      <c r="T2418" s="0" t="n">
        <f aca="false">E2418*E2418</f>
        <v>0.0625</v>
      </c>
      <c r="U2418" s="0" t="n">
        <f aca="false">F2418*F2418</f>
        <v>0.25</v>
      </c>
      <c r="V2418" s="0" t="n">
        <f aca="false">G2418*G2418</f>
        <v>0.5625</v>
      </c>
      <c r="W2418" s="0" t="n">
        <f aca="false">H2418*H2418</f>
        <v>0.5625</v>
      </c>
      <c r="X2418" s="0" t="n">
        <f aca="false">SUMPRODUCT(I2418:W2418,_XtX!$B$96:$P$96)</f>
        <v>45.3139300073099</v>
      </c>
      <c r="Y2418" s="0" t="n">
        <f aca="false">SUMPRODUCT(MMULT(I2418:W2418,_XtX!$B$78:$P$92),I2418:W2418)</f>
        <v>0.257385610836988</v>
      </c>
      <c r="Z2418" s="0" t="n">
        <f aca="false">04_回帰ANOVA!$K$19*04_回帰ANOVA!$K$14*SQRT(1+Y2418)</f>
        <v>1.46161380324158</v>
      </c>
      <c r="AA2418" s="0" t="n">
        <f aca="false">X2418-Z2418</f>
        <v>43.8523162040683</v>
      </c>
      <c r="AB2418" s="0" t="n">
        <f aca="false">X2418+Z2418</f>
        <v>46.7755438105515</v>
      </c>
      <c r="AC2418" s="54" t="b">
        <f aca="false">AND(E2418&gt;=01_因子設定!$L$5-0.000000001,E2418&lt;=01_因子設定!$M$5+0.000000001,F2418&gt;=01_因子設定!$L$6-0.000000001,F2418&lt;=01_因子設定!$M$6+0.000000001,G2418&gt;=01_因子設定!$L$7-0.000000001,G2418&lt;=01_因子設定!$M$7+0.000000001,H2418&gt;=01_因子設定!$L$8-0.000000001,H2418&lt;=01_因子設定!$M$8+0.000000001,IF(01_因子設定!$B$20="Box-Behnken",E2418^2+F2418^2+G2418^2+H2418^2&lt;=2+0.000000001,TRUE()))</f>
        <v>1</v>
      </c>
      <c r="AD2418" s="55" t="n">
        <f aca="false">IF(AC2418,IF(01_因子設定!$B$13="最大化",AA2418-01_因子設定!$B$14,IF(01_因子設定!$B$13="最小化",01_因子設定!$B$15-AB2418,MIN(AA2418-01_因子設定!$B$14,01_因子設定!$B$15-AB2418))),-1E+030)</f>
        <v>-2.64768379593168</v>
      </c>
      <c r="AE2418" s="55" t="n">
        <f aca="false">IF(AC2418,IF(01_因子設定!$B$13="最大化",X2418,IF(01_因子設定!$B$13="最小化",-X2418,-ABS(X2418-01_因子設定!$B$16))),-1E+030)</f>
        <v>45.3139300073099</v>
      </c>
      <c r="AF2418" s="55" t="n">
        <f aca="false">AD2418+ROW()*0.000000001</f>
        <v>-2.64768137793168</v>
      </c>
      <c r="AG2418" s="55" t="n">
        <f aca="false">AE2418+ROW()*0.000000001</f>
        <v>45.3139324253099</v>
      </c>
    </row>
    <row r="2419" customFormat="false" ht="15" hidden="false" customHeight="false" outlineLevel="0" collapsed="false">
      <c r="A2419" s="0" t="n">
        <v>3</v>
      </c>
      <c r="B2419" s="0" t="n">
        <v>2</v>
      </c>
      <c r="C2419" s="0" t="n">
        <v>7</v>
      </c>
      <c r="D2419" s="0" t="n">
        <v>2</v>
      </c>
      <c r="E2419" s="0" t="n">
        <f aca="false">-1+A2419*0.25</f>
        <v>-0.25</v>
      </c>
      <c r="F2419" s="0" t="n">
        <f aca="false">-1+B2419*0.25</f>
        <v>-0.5</v>
      </c>
      <c r="G2419" s="0" t="n">
        <f aca="false">-1+C2419*0.25</f>
        <v>0.75</v>
      </c>
      <c r="H2419" s="0" t="n">
        <f aca="false">-1+D2419*0.25</f>
        <v>-0.5</v>
      </c>
      <c r="I2419" s="0" t="n">
        <f aca="false">1</f>
        <v>1</v>
      </c>
      <c r="J2419" s="0" t="n">
        <f aca="false">E2419</f>
        <v>-0.25</v>
      </c>
      <c r="K2419" s="0" t="n">
        <f aca="false">F2419</f>
        <v>-0.5</v>
      </c>
      <c r="L2419" s="0" t="n">
        <f aca="false">G2419</f>
        <v>0.75</v>
      </c>
      <c r="M2419" s="0" t="n">
        <f aca="false">H2419</f>
        <v>-0.5</v>
      </c>
      <c r="N2419" s="0" t="n">
        <f aca="false">E2419*F2419</f>
        <v>0.125</v>
      </c>
      <c r="O2419" s="0" t="n">
        <f aca="false">E2419*G2419</f>
        <v>-0.1875</v>
      </c>
      <c r="P2419" s="0" t="n">
        <f aca="false">E2419*H2419</f>
        <v>0.125</v>
      </c>
      <c r="Q2419" s="0" t="n">
        <f aca="false">F2419*G2419</f>
        <v>-0.375</v>
      </c>
      <c r="R2419" s="0" t="n">
        <f aca="false">F2419*H2419</f>
        <v>0.25</v>
      </c>
      <c r="S2419" s="0" t="n">
        <f aca="false">G2419*H2419</f>
        <v>-0.375</v>
      </c>
      <c r="T2419" s="0" t="n">
        <f aca="false">E2419*E2419</f>
        <v>0.0625</v>
      </c>
      <c r="U2419" s="0" t="n">
        <f aca="false">F2419*F2419</f>
        <v>0.25</v>
      </c>
      <c r="V2419" s="0" t="n">
        <f aca="false">G2419*G2419</f>
        <v>0.5625</v>
      </c>
      <c r="W2419" s="0" t="n">
        <f aca="false">H2419*H2419</f>
        <v>0.25</v>
      </c>
      <c r="X2419" s="0" t="n">
        <f aca="false">SUMPRODUCT(I2419:W2419,_XtX!$B$96:$P$96)</f>
        <v>45.6074926900584</v>
      </c>
      <c r="Y2419" s="0" t="n">
        <f aca="false">SUMPRODUCT(MMULT(I2419:W2419,_XtX!$B$78:$P$92),I2419:W2419)</f>
        <v>0.203746059484649</v>
      </c>
      <c r="Z2419" s="0" t="n">
        <f aca="false">04_回帰ANOVA!$K$19*04_回帰ANOVA!$K$14*SQRT(1+Y2419)</f>
        <v>1.43009810755465</v>
      </c>
      <c r="AA2419" s="0" t="n">
        <f aca="false">X2419-Z2419</f>
        <v>44.1773945825038</v>
      </c>
      <c r="AB2419" s="0" t="n">
        <f aca="false">X2419+Z2419</f>
        <v>47.0375907976131</v>
      </c>
      <c r="AC2419" s="54" t="b">
        <f aca="false">AND(E2419&gt;=01_因子設定!$L$5-0.000000001,E2419&lt;=01_因子設定!$M$5+0.000000001,F2419&gt;=01_因子設定!$L$6-0.000000001,F2419&lt;=01_因子設定!$M$6+0.000000001,G2419&gt;=01_因子設定!$L$7-0.000000001,G2419&lt;=01_因子設定!$M$7+0.000000001,H2419&gt;=01_因子設定!$L$8-0.000000001,H2419&lt;=01_因子設定!$M$8+0.000000001,IF(01_因子設定!$B$20="Box-Behnken",E2419^2+F2419^2+G2419^2+H2419^2&lt;=2+0.000000001,TRUE()))</f>
        <v>1</v>
      </c>
      <c r="AD2419" s="55" t="n">
        <f aca="false">IF(AC2419,IF(01_因子設定!$B$13="最大化",AA2419-01_因子設定!$B$14,IF(01_因子設定!$B$13="最小化",01_因子設定!$B$15-AB2419,MIN(AA2419-01_因子設定!$B$14,01_因子設定!$B$15-AB2419))),-1E+030)</f>
        <v>-2.32260541749622</v>
      </c>
      <c r="AE2419" s="55" t="n">
        <f aca="false">IF(AC2419,IF(01_因子設定!$B$13="最大化",X2419,IF(01_因子設定!$B$13="最小化",-X2419,-ABS(X2419-01_因子設定!$B$16))),-1E+030)</f>
        <v>45.6074926900584</v>
      </c>
      <c r="AF2419" s="55" t="n">
        <f aca="false">AD2419+ROW()*0.000000001</f>
        <v>-2.32260299849622</v>
      </c>
      <c r="AG2419" s="55" t="n">
        <f aca="false">AE2419+ROW()*0.000000001</f>
        <v>45.6074951090584</v>
      </c>
    </row>
    <row r="2420" customFormat="false" ht="15" hidden="false" customHeight="false" outlineLevel="0" collapsed="false">
      <c r="A2420" s="0" t="n">
        <v>3</v>
      </c>
      <c r="B2420" s="0" t="n">
        <v>2</v>
      </c>
      <c r="C2420" s="0" t="n">
        <v>7</v>
      </c>
      <c r="D2420" s="0" t="n">
        <v>3</v>
      </c>
      <c r="E2420" s="0" t="n">
        <f aca="false">-1+A2420*0.25</f>
        <v>-0.25</v>
      </c>
      <c r="F2420" s="0" t="n">
        <f aca="false">-1+B2420*0.25</f>
        <v>-0.5</v>
      </c>
      <c r="G2420" s="0" t="n">
        <f aca="false">-1+C2420*0.25</f>
        <v>0.75</v>
      </c>
      <c r="H2420" s="0" t="n">
        <f aca="false">-1+D2420*0.25</f>
        <v>-0.25</v>
      </c>
      <c r="I2420" s="0" t="n">
        <f aca="false">1</f>
        <v>1</v>
      </c>
      <c r="J2420" s="0" t="n">
        <f aca="false">E2420</f>
        <v>-0.25</v>
      </c>
      <c r="K2420" s="0" t="n">
        <f aca="false">F2420</f>
        <v>-0.5</v>
      </c>
      <c r="L2420" s="0" t="n">
        <f aca="false">G2420</f>
        <v>0.75</v>
      </c>
      <c r="M2420" s="0" t="n">
        <f aca="false">H2420</f>
        <v>-0.25</v>
      </c>
      <c r="N2420" s="0" t="n">
        <f aca="false">E2420*F2420</f>
        <v>0.125</v>
      </c>
      <c r="O2420" s="0" t="n">
        <f aca="false">E2420*G2420</f>
        <v>-0.1875</v>
      </c>
      <c r="P2420" s="0" t="n">
        <f aca="false">E2420*H2420</f>
        <v>0.0625</v>
      </c>
      <c r="Q2420" s="0" t="n">
        <f aca="false">F2420*G2420</f>
        <v>-0.375</v>
      </c>
      <c r="R2420" s="0" t="n">
        <f aca="false">F2420*H2420</f>
        <v>0.125</v>
      </c>
      <c r="S2420" s="0" t="n">
        <f aca="false">G2420*H2420</f>
        <v>-0.1875</v>
      </c>
      <c r="T2420" s="0" t="n">
        <f aca="false">E2420*E2420</f>
        <v>0.0625</v>
      </c>
      <c r="U2420" s="0" t="n">
        <f aca="false">F2420*F2420</f>
        <v>0.25</v>
      </c>
      <c r="V2420" s="0" t="n">
        <f aca="false">G2420*G2420</f>
        <v>0.5625</v>
      </c>
      <c r="W2420" s="0" t="n">
        <f aca="false">H2420*H2420</f>
        <v>0.0625</v>
      </c>
      <c r="X2420" s="0" t="n">
        <f aca="false">SUMPRODUCT(I2420:W2420,_XtX!$B$96:$P$96)</f>
        <v>45.8532483552631</v>
      </c>
      <c r="Y2420" s="0" t="n">
        <f aca="false">SUMPRODUCT(MMULT(I2420:W2420,_XtX!$B$78:$P$92),I2420:W2420)</f>
        <v>0.207746539199561</v>
      </c>
      <c r="Z2420" s="0" t="n">
        <f aca="false">04_回帰ANOVA!$K$19*04_回帰ANOVA!$K$14*SQRT(1+Y2420)</f>
        <v>1.43247250081141</v>
      </c>
      <c r="AA2420" s="0" t="n">
        <f aca="false">X2420-Z2420</f>
        <v>44.4207758544517</v>
      </c>
      <c r="AB2420" s="0" t="n">
        <f aca="false">X2420+Z2420</f>
        <v>47.2857208560745</v>
      </c>
      <c r="AC2420" s="54" t="b">
        <f aca="false">AND(E2420&gt;=01_因子設定!$L$5-0.000000001,E2420&lt;=01_因子設定!$M$5+0.000000001,F2420&gt;=01_因子設定!$L$6-0.000000001,F2420&lt;=01_因子設定!$M$6+0.000000001,G2420&gt;=01_因子設定!$L$7-0.000000001,G2420&lt;=01_因子設定!$M$7+0.000000001,H2420&gt;=01_因子設定!$L$8-0.000000001,H2420&lt;=01_因子設定!$M$8+0.000000001,IF(01_因子設定!$B$20="Box-Behnken",E2420^2+F2420^2+G2420^2+H2420^2&lt;=2+0.000000001,TRUE()))</f>
        <v>1</v>
      </c>
      <c r="AD2420" s="55" t="n">
        <f aca="false">IF(AC2420,IF(01_因子設定!$B$13="最大化",AA2420-01_因子設定!$B$14,IF(01_因子設定!$B$13="最小化",01_因子設定!$B$15-AB2420,MIN(AA2420-01_因子設定!$B$14,01_因子設定!$B$15-AB2420))),-1E+030)</f>
        <v>-2.0792241455483</v>
      </c>
      <c r="AE2420" s="55" t="n">
        <f aca="false">IF(AC2420,IF(01_因子設定!$B$13="最大化",X2420,IF(01_因子設定!$B$13="最小化",-X2420,-ABS(X2420-01_因子設定!$B$16))),-1E+030)</f>
        <v>45.8532483552631</v>
      </c>
      <c r="AF2420" s="55" t="n">
        <f aca="false">AD2420+ROW()*0.000000001</f>
        <v>-2.0792217255483</v>
      </c>
      <c r="AG2420" s="55" t="n">
        <f aca="false">AE2420+ROW()*0.000000001</f>
        <v>45.8532507752631</v>
      </c>
    </row>
    <row r="2421" customFormat="false" ht="15" hidden="false" customHeight="false" outlineLevel="0" collapsed="false">
      <c r="A2421" s="0" t="n">
        <v>3</v>
      </c>
      <c r="B2421" s="0" t="n">
        <v>2</v>
      </c>
      <c r="C2421" s="0" t="n">
        <v>7</v>
      </c>
      <c r="D2421" s="0" t="n">
        <v>4</v>
      </c>
      <c r="E2421" s="0" t="n">
        <f aca="false">-1+A2421*0.25</f>
        <v>-0.25</v>
      </c>
      <c r="F2421" s="0" t="n">
        <f aca="false">-1+B2421*0.25</f>
        <v>-0.5</v>
      </c>
      <c r="G2421" s="0" t="n">
        <f aca="false">-1+C2421*0.25</f>
        <v>0.75</v>
      </c>
      <c r="H2421" s="0" t="n">
        <f aca="false">-1+D2421*0.25</f>
        <v>0</v>
      </c>
      <c r="I2421" s="0" t="n">
        <f aca="false">1</f>
        <v>1</v>
      </c>
      <c r="J2421" s="0" t="n">
        <f aca="false">E2421</f>
        <v>-0.25</v>
      </c>
      <c r="K2421" s="0" t="n">
        <f aca="false">F2421</f>
        <v>-0.5</v>
      </c>
      <c r="L2421" s="0" t="n">
        <f aca="false">G2421</f>
        <v>0.75</v>
      </c>
      <c r="M2421" s="0" t="n">
        <f aca="false">H2421</f>
        <v>0</v>
      </c>
      <c r="N2421" s="0" t="n">
        <f aca="false">E2421*F2421</f>
        <v>0.125</v>
      </c>
      <c r="O2421" s="0" t="n">
        <f aca="false">E2421*G2421</f>
        <v>-0.1875</v>
      </c>
      <c r="P2421" s="0" t="n">
        <f aca="false">E2421*H2421</f>
        <v>-0</v>
      </c>
      <c r="Q2421" s="0" t="n">
        <f aca="false">F2421*G2421</f>
        <v>-0.375</v>
      </c>
      <c r="R2421" s="0" t="n">
        <f aca="false">F2421*H2421</f>
        <v>-0</v>
      </c>
      <c r="S2421" s="0" t="n">
        <f aca="false">G2421*H2421</f>
        <v>0</v>
      </c>
      <c r="T2421" s="0" t="n">
        <f aca="false">E2421*E2421</f>
        <v>0.0625</v>
      </c>
      <c r="U2421" s="0" t="n">
        <f aca="false">F2421*F2421</f>
        <v>0.25</v>
      </c>
      <c r="V2421" s="0" t="n">
        <f aca="false">G2421*G2421</f>
        <v>0.5625</v>
      </c>
      <c r="W2421" s="0" t="n">
        <f aca="false">H2421*H2421</f>
        <v>0</v>
      </c>
      <c r="X2421" s="0" t="n">
        <f aca="false">SUMPRODUCT(I2421:W2421,_XtX!$B$96:$P$96)</f>
        <v>46.0511970029239</v>
      </c>
      <c r="Y2421" s="0" t="n">
        <f aca="false">SUMPRODUCT(MMULT(I2421:W2421,_XtX!$B$78:$P$92),I2421:W2421)</f>
        <v>0.215110734192252</v>
      </c>
      <c r="Z2421" s="0" t="n">
        <f aca="false">04_回帰ANOVA!$K$19*04_回帰ANOVA!$K$14*SQRT(1+Y2421)</f>
        <v>1.43683309086864</v>
      </c>
      <c r="AA2421" s="0" t="n">
        <f aca="false">X2421-Z2421</f>
        <v>44.6143639120553</v>
      </c>
      <c r="AB2421" s="0" t="n">
        <f aca="false">X2421+Z2421</f>
        <v>47.4880300937926</v>
      </c>
      <c r="AC2421" s="54" t="b">
        <f aca="false">AND(E2421&gt;=01_因子設定!$L$5-0.000000001,E2421&lt;=01_因子設定!$M$5+0.000000001,F2421&gt;=01_因子設定!$L$6-0.000000001,F2421&lt;=01_因子設定!$M$6+0.000000001,G2421&gt;=01_因子設定!$L$7-0.000000001,G2421&lt;=01_因子設定!$M$7+0.000000001,H2421&gt;=01_因子設定!$L$8-0.000000001,H2421&lt;=01_因子設定!$M$8+0.000000001,IF(01_因子設定!$B$20="Box-Behnken",E2421^2+F2421^2+G2421^2+H2421^2&lt;=2+0.000000001,TRUE()))</f>
        <v>1</v>
      </c>
      <c r="AD2421" s="55" t="n">
        <f aca="false">IF(AC2421,IF(01_因子設定!$B$13="最大化",AA2421-01_因子設定!$B$14,IF(01_因子設定!$B$13="最小化",01_因子設定!$B$15-AB2421,MIN(AA2421-01_因子設定!$B$14,01_因子設定!$B$15-AB2421))),-1E+030)</f>
        <v>-1.88563608794473</v>
      </c>
      <c r="AE2421" s="55" t="n">
        <f aca="false">IF(AC2421,IF(01_因子設定!$B$13="最大化",X2421,IF(01_因子設定!$B$13="最小化",-X2421,-ABS(X2421-01_因子設定!$B$16))),-1E+030)</f>
        <v>46.0511970029239</v>
      </c>
      <c r="AF2421" s="55" t="n">
        <f aca="false">AD2421+ROW()*0.000000001</f>
        <v>-1.88563366694473</v>
      </c>
      <c r="AG2421" s="55" t="n">
        <f aca="false">AE2421+ROW()*0.000000001</f>
        <v>46.0511994239239</v>
      </c>
    </row>
    <row r="2422" customFormat="false" ht="15" hidden="false" customHeight="false" outlineLevel="0" collapsed="false">
      <c r="A2422" s="0" t="n">
        <v>3</v>
      </c>
      <c r="B2422" s="0" t="n">
        <v>2</v>
      </c>
      <c r="C2422" s="0" t="n">
        <v>7</v>
      </c>
      <c r="D2422" s="0" t="n">
        <v>5</v>
      </c>
      <c r="E2422" s="0" t="n">
        <f aca="false">-1+A2422*0.25</f>
        <v>-0.25</v>
      </c>
      <c r="F2422" s="0" t="n">
        <f aca="false">-1+B2422*0.25</f>
        <v>-0.5</v>
      </c>
      <c r="G2422" s="0" t="n">
        <f aca="false">-1+C2422*0.25</f>
        <v>0.75</v>
      </c>
      <c r="H2422" s="0" t="n">
        <f aca="false">-1+D2422*0.25</f>
        <v>0.25</v>
      </c>
      <c r="I2422" s="0" t="n">
        <f aca="false">1</f>
        <v>1</v>
      </c>
      <c r="J2422" s="0" t="n">
        <f aca="false">E2422</f>
        <v>-0.25</v>
      </c>
      <c r="K2422" s="0" t="n">
        <f aca="false">F2422</f>
        <v>-0.5</v>
      </c>
      <c r="L2422" s="0" t="n">
        <f aca="false">G2422</f>
        <v>0.75</v>
      </c>
      <c r="M2422" s="0" t="n">
        <f aca="false">H2422</f>
        <v>0.25</v>
      </c>
      <c r="N2422" s="0" t="n">
        <f aca="false">E2422*F2422</f>
        <v>0.125</v>
      </c>
      <c r="O2422" s="0" t="n">
        <f aca="false">E2422*G2422</f>
        <v>-0.1875</v>
      </c>
      <c r="P2422" s="0" t="n">
        <f aca="false">E2422*H2422</f>
        <v>-0.0625</v>
      </c>
      <c r="Q2422" s="0" t="n">
        <f aca="false">F2422*G2422</f>
        <v>-0.375</v>
      </c>
      <c r="R2422" s="0" t="n">
        <f aca="false">F2422*H2422</f>
        <v>-0.125</v>
      </c>
      <c r="S2422" s="0" t="n">
        <f aca="false">G2422*H2422</f>
        <v>0.1875</v>
      </c>
      <c r="T2422" s="0" t="n">
        <f aca="false">E2422*E2422</f>
        <v>0.0625</v>
      </c>
      <c r="U2422" s="0" t="n">
        <f aca="false">F2422*F2422</f>
        <v>0.25</v>
      </c>
      <c r="V2422" s="0" t="n">
        <f aca="false">G2422*G2422</f>
        <v>0.5625</v>
      </c>
      <c r="W2422" s="0" t="n">
        <f aca="false">H2422*H2422</f>
        <v>0.0625</v>
      </c>
      <c r="X2422" s="0" t="n">
        <f aca="false">SUMPRODUCT(I2422:W2422,_XtX!$B$96:$P$96)</f>
        <v>46.2013386330409</v>
      </c>
      <c r="Y2422" s="0" t="n">
        <f aca="false">SUMPRODUCT(MMULT(I2422:W2422,_XtX!$B$78:$P$92),I2422:W2422)</f>
        <v>0.207746539199561</v>
      </c>
      <c r="Z2422" s="0" t="n">
        <f aca="false">04_回帰ANOVA!$K$19*04_回帰ANOVA!$K$14*SQRT(1+Y2422)</f>
        <v>1.43247250081141</v>
      </c>
      <c r="AA2422" s="0" t="n">
        <f aca="false">X2422-Z2422</f>
        <v>44.7688661322295</v>
      </c>
      <c r="AB2422" s="0" t="n">
        <f aca="false">X2422+Z2422</f>
        <v>47.6338111338523</v>
      </c>
      <c r="AC2422" s="54" t="b">
        <f aca="false">AND(E2422&gt;=01_因子設定!$L$5-0.000000001,E2422&lt;=01_因子設定!$M$5+0.000000001,F2422&gt;=01_因子設定!$L$6-0.000000001,F2422&lt;=01_因子設定!$M$6+0.000000001,G2422&gt;=01_因子設定!$L$7-0.000000001,G2422&lt;=01_因子設定!$M$7+0.000000001,H2422&gt;=01_因子設定!$L$8-0.000000001,H2422&lt;=01_因子設定!$M$8+0.000000001,IF(01_因子設定!$B$20="Box-Behnken",E2422^2+F2422^2+G2422^2+H2422^2&lt;=2+0.000000001,TRUE()))</f>
        <v>1</v>
      </c>
      <c r="AD2422" s="55" t="n">
        <f aca="false">IF(AC2422,IF(01_因子設定!$B$13="最大化",AA2422-01_因子設定!$B$14,IF(01_因子設定!$B$13="最小化",01_因子設定!$B$15-AB2422,MIN(AA2422-01_因子設定!$B$14,01_因子設定!$B$15-AB2422))),-1E+030)</f>
        <v>-1.73113386777053</v>
      </c>
      <c r="AE2422" s="55" t="n">
        <f aca="false">IF(AC2422,IF(01_因子設定!$B$13="最大化",X2422,IF(01_因子設定!$B$13="最小化",-X2422,-ABS(X2422-01_因子設定!$B$16))),-1E+030)</f>
        <v>46.2013386330409</v>
      </c>
      <c r="AF2422" s="55" t="n">
        <f aca="false">AD2422+ROW()*0.000000001</f>
        <v>-1.73113144577053</v>
      </c>
      <c r="AG2422" s="55" t="n">
        <f aca="false">AE2422+ROW()*0.000000001</f>
        <v>46.2013410550409</v>
      </c>
    </row>
    <row r="2423" customFormat="false" ht="15" hidden="false" customHeight="false" outlineLevel="0" collapsed="false">
      <c r="A2423" s="0" t="n">
        <v>3</v>
      </c>
      <c r="B2423" s="0" t="n">
        <v>2</v>
      </c>
      <c r="C2423" s="0" t="n">
        <v>7</v>
      </c>
      <c r="D2423" s="0" t="n">
        <v>6</v>
      </c>
      <c r="E2423" s="0" t="n">
        <f aca="false">-1+A2423*0.25</f>
        <v>-0.25</v>
      </c>
      <c r="F2423" s="0" t="n">
        <f aca="false">-1+B2423*0.25</f>
        <v>-0.5</v>
      </c>
      <c r="G2423" s="0" t="n">
        <f aca="false">-1+C2423*0.25</f>
        <v>0.75</v>
      </c>
      <c r="H2423" s="0" t="n">
        <f aca="false">-1+D2423*0.25</f>
        <v>0.5</v>
      </c>
      <c r="I2423" s="0" t="n">
        <f aca="false">1</f>
        <v>1</v>
      </c>
      <c r="J2423" s="0" t="n">
        <f aca="false">E2423</f>
        <v>-0.25</v>
      </c>
      <c r="K2423" s="0" t="n">
        <f aca="false">F2423</f>
        <v>-0.5</v>
      </c>
      <c r="L2423" s="0" t="n">
        <f aca="false">G2423</f>
        <v>0.75</v>
      </c>
      <c r="M2423" s="0" t="n">
        <f aca="false">H2423</f>
        <v>0.5</v>
      </c>
      <c r="N2423" s="0" t="n">
        <f aca="false">E2423*F2423</f>
        <v>0.125</v>
      </c>
      <c r="O2423" s="0" t="n">
        <f aca="false">E2423*G2423</f>
        <v>-0.1875</v>
      </c>
      <c r="P2423" s="0" t="n">
        <f aca="false">E2423*H2423</f>
        <v>-0.125</v>
      </c>
      <c r="Q2423" s="0" t="n">
        <f aca="false">F2423*G2423</f>
        <v>-0.375</v>
      </c>
      <c r="R2423" s="0" t="n">
        <f aca="false">F2423*H2423</f>
        <v>-0.25</v>
      </c>
      <c r="S2423" s="0" t="n">
        <f aca="false">G2423*H2423</f>
        <v>0.375</v>
      </c>
      <c r="T2423" s="0" t="n">
        <f aca="false">E2423*E2423</f>
        <v>0.0625</v>
      </c>
      <c r="U2423" s="0" t="n">
        <f aca="false">F2423*F2423</f>
        <v>0.25</v>
      </c>
      <c r="V2423" s="0" t="n">
        <f aca="false">G2423*G2423</f>
        <v>0.5625</v>
      </c>
      <c r="W2423" s="0" t="n">
        <f aca="false">H2423*H2423</f>
        <v>0.25</v>
      </c>
      <c r="X2423" s="0" t="n">
        <f aca="false">SUMPRODUCT(I2423:W2423,_XtX!$B$96:$P$96)</f>
        <v>46.303673245614</v>
      </c>
      <c r="Y2423" s="0" t="n">
        <f aca="false">SUMPRODUCT(MMULT(I2423:W2423,_XtX!$B$78:$P$92),I2423:W2423)</f>
        <v>0.203746059484649</v>
      </c>
      <c r="Z2423" s="0" t="n">
        <f aca="false">04_回帰ANOVA!$K$19*04_回帰ANOVA!$K$14*SQRT(1+Y2423)</f>
        <v>1.43009810755465</v>
      </c>
      <c r="AA2423" s="0" t="n">
        <f aca="false">X2423-Z2423</f>
        <v>44.8735751380593</v>
      </c>
      <c r="AB2423" s="0" t="n">
        <f aca="false">X2423+Z2423</f>
        <v>47.7337713531686</v>
      </c>
      <c r="AC2423" s="54" t="b">
        <f aca="false">AND(E2423&gt;=01_因子設定!$L$5-0.000000001,E2423&lt;=01_因子設定!$M$5+0.000000001,F2423&gt;=01_因子設定!$L$6-0.000000001,F2423&lt;=01_因子設定!$M$6+0.000000001,G2423&gt;=01_因子設定!$L$7-0.000000001,G2423&lt;=01_因子設定!$M$7+0.000000001,H2423&gt;=01_因子設定!$L$8-0.000000001,H2423&lt;=01_因子設定!$M$8+0.000000001,IF(01_因子設定!$B$20="Box-Behnken",E2423^2+F2423^2+G2423^2+H2423^2&lt;=2+0.000000001,TRUE()))</f>
        <v>1</v>
      </c>
      <c r="AD2423" s="55" t="n">
        <f aca="false">IF(AC2423,IF(01_因子設定!$B$13="最大化",AA2423-01_因子設定!$B$14,IF(01_因子設定!$B$13="最小化",01_因子設定!$B$15-AB2423,MIN(AA2423-01_因子設定!$B$14,01_因子設定!$B$15-AB2423))),-1E+030)</f>
        <v>-1.62642486194066</v>
      </c>
      <c r="AE2423" s="55" t="n">
        <f aca="false">IF(AC2423,IF(01_因子設定!$B$13="最大化",X2423,IF(01_因子設定!$B$13="最小化",-X2423,-ABS(X2423-01_因子設定!$B$16))),-1E+030)</f>
        <v>46.303673245614</v>
      </c>
      <c r="AF2423" s="55" t="n">
        <f aca="false">AD2423+ROW()*0.000000001</f>
        <v>-1.62642243894066</v>
      </c>
      <c r="AG2423" s="55" t="n">
        <f aca="false">AE2423+ROW()*0.000000001</f>
        <v>46.303675668614</v>
      </c>
    </row>
    <row r="2424" customFormat="false" ht="15" hidden="false" customHeight="false" outlineLevel="0" collapsed="false">
      <c r="A2424" s="0" t="n">
        <v>3</v>
      </c>
      <c r="B2424" s="0" t="n">
        <v>2</v>
      </c>
      <c r="C2424" s="0" t="n">
        <v>7</v>
      </c>
      <c r="D2424" s="0" t="n">
        <v>7</v>
      </c>
      <c r="E2424" s="0" t="n">
        <f aca="false">-1+A2424*0.25</f>
        <v>-0.25</v>
      </c>
      <c r="F2424" s="0" t="n">
        <f aca="false">-1+B2424*0.25</f>
        <v>-0.5</v>
      </c>
      <c r="G2424" s="0" t="n">
        <f aca="false">-1+C2424*0.25</f>
        <v>0.75</v>
      </c>
      <c r="H2424" s="0" t="n">
        <f aca="false">-1+D2424*0.25</f>
        <v>0.75</v>
      </c>
      <c r="I2424" s="0" t="n">
        <f aca="false">1</f>
        <v>1</v>
      </c>
      <c r="J2424" s="0" t="n">
        <f aca="false">E2424</f>
        <v>-0.25</v>
      </c>
      <c r="K2424" s="0" t="n">
        <f aca="false">F2424</f>
        <v>-0.5</v>
      </c>
      <c r="L2424" s="0" t="n">
        <f aca="false">G2424</f>
        <v>0.75</v>
      </c>
      <c r="M2424" s="0" t="n">
        <f aca="false">H2424</f>
        <v>0.75</v>
      </c>
      <c r="N2424" s="0" t="n">
        <f aca="false">E2424*F2424</f>
        <v>0.125</v>
      </c>
      <c r="O2424" s="0" t="n">
        <f aca="false">E2424*G2424</f>
        <v>-0.1875</v>
      </c>
      <c r="P2424" s="0" t="n">
        <f aca="false">E2424*H2424</f>
        <v>-0.1875</v>
      </c>
      <c r="Q2424" s="0" t="n">
        <f aca="false">F2424*G2424</f>
        <v>-0.375</v>
      </c>
      <c r="R2424" s="0" t="n">
        <f aca="false">F2424*H2424</f>
        <v>-0.375</v>
      </c>
      <c r="S2424" s="0" t="n">
        <f aca="false">G2424*H2424</f>
        <v>0.5625</v>
      </c>
      <c r="T2424" s="0" t="n">
        <f aca="false">E2424*E2424</f>
        <v>0.0625</v>
      </c>
      <c r="U2424" s="0" t="n">
        <f aca="false">F2424*F2424</f>
        <v>0.25</v>
      </c>
      <c r="V2424" s="0" t="n">
        <f aca="false">G2424*G2424</f>
        <v>0.5625</v>
      </c>
      <c r="W2424" s="0" t="n">
        <f aca="false">H2424*H2424</f>
        <v>0.5625</v>
      </c>
      <c r="X2424" s="0" t="n">
        <f aca="false">SUMPRODUCT(I2424:W2424,_XtX!$B$96:$P$96)</f>
        <v>46.3582008406432</v>
      </c>
      <c r="Y2424" s="0" t="n">
        <f aca="false">SUMPRODUCT(MMULT(I2424:W2424,_XtX!$B$78:$P$92),I2424:W2424)</f>
        <v>0.257385610836988</v>
      </c>
      <c r="Z2424" s="0" t="n">
        <f aca="false">04_回帰ANOVA!$K$19*04_回帰ANOVA!$K$14*SQRT(1+Y2424)</f>
        <v>1.46161380324158</v>
      </c>
      <c r="AA2424" s="0" t="n">
        <f aca="false">X2424-Z2424</f>
        <v>44.8965870374017</v>
      </c>
      <c r="AB2424" s="0" t="n">
        <f aca="false">X2424+Z2424</f>
        <v>47.8198146438848</v>
      </c>
      <c r="AC2424" s="54" t="b">
        <f aca="false">AND(E2424&gt;=01_因子設定!$L$5-0.000000001,E2424&lt;=01_因子設定!$M$5+0.000000001,F2424&gt;=01_因子設定!$L$6-0.000000001,F2424&lt;=01_因子設定!$M$6+0.000000001,G2424&gt;=01_因子設定!$L$7-0.000000001,G2424&lt;=01_因子設定!$M$7+0.000000001,H2424&gt;=01_因子設定!$L$8-0.000000001,H2424&lt;=01_因子設定!$M$8+0.000000001,IF(01_因子設定!$B$20="Box-Behnken",E2424^2+F2424^2+G2424^2+H2424^2&lt;=2+0.000000001,TRUE()))</f>
        <v>1</v>
      </c>
      <c r="AD2424" s="55" t="n">
        <f aca="false">IF(AC2424,IF(01_因子設定!$B$13="最大化",AA2424-01_因子設定!$B$14,IF(01_因子設定!$B$13="最小化",01_因子設定!$B$15-AB2424,MIN(AA2424-01_因子設定!$B$14,01_因子設定!$B$15-AB2424))),-1E+030)</f>
        <v>-1.60341296259835</v>
      </c>
      <c r="AE2424" s="55" t="n">
        <f aca="false">IF(AC2424,IF(01_因子設定!$B$13="最大化",X2424,IF(01_因子設定!$B$13="最小化",-X2424,-ABS(X2424-01_因子設定!$B$16))),-1E+030)</f>
        <v>46.3582008406432</v>
      </c>
      <c r="AF2424" s="55" t="n">
        <f aca="false">AD2424+ROW()*0.000000001</f>
        <v>-1.60341053859835</v>
      </c>
      <c r="AG2424" s="55" t="n">
        <f aca="false">AE2424+ROW()*0.000000001</f>
        <v>46.3582032646432</v>
      </c>
    </row>
    <row r="2425" customFormat="false" ht="15" hidden="false" customHeight="false" outlineLevel="0" collapsed="false">
      <c r="A2425" s="0" t="n">
        <v>3</v>
      </c>
      <c r="B2425" s="0" t="n">
        <v>2</v>
      </c>
      <c r="C2425" s="0" t="n">
        <v>7</v>
      </c>
      <c r="D2425" s="0" t="n">
        <v>8</v>
      </c>
      <c r="E2425" s="0" t="n">
        <f aca="false">-1+A2425*0.25</f>
        <v>-0.25</v>
      </c>
      <c r="F2425" s="0" t="n">
        <f aca="false">-1+B2425*0.25</f>
        <v>-0.5</v>
      </c>
      <c r="G2425" s="0" t="n">
        <f aca="false">-1+C2425*0.25</f>
        <v>0.75</v>
      </c>
      <c r="H2425" s="0" t="n">
        <f aca="false">-1+D2425*0.25</f>
        <v>1</v>
      </c>
      <c r="I2425" s="0" t="n">
        <f aca="false">1</f>
        <v>1</v>
      </c>
      <c r="J2425" s="0" t="n">
        <f aca="false">E2425</f>
        <v>-0.25</v>
      </c>
      <c r="K2425" s="0" t="n">
        <f aca="false">F2425</f>
        <v>-0.5</v>
      </c>
      <c r="L2425" s="0" t="n">
        <f aca="false">G2425</f>
        <v>0.75</v>
      </c>
      <c r="M2425" s="0" t="n">
        <f aca="false">H2425</f>
        <v>1</v>
      </c>
      <c r="N2425" s="0" t="n">
        <f aca="false">E2425*F2425</f>
        <v>0.125</v>
      </c>
      <c r="O2425" s="0" t="n">
        <f aca="false">E2425*G2425</f>
        <v>-0.1875</v>
      </c>
      <c r="P2425" s="0" t="n">
        <f aca="false">E2425*H2425</f>
        <v>-0.25</v>
      </c>
      <c r="Q2425" s="0" t="n">
        <f aca="false">F2425*G2425</f>
        <v>-0.375</v>
      </c>
      <c r="R2425" s="0" t="n">
        <f aca="false">F2425*H2425</f>
        <v>-0.5</v>
      </c>
      <c r="S2425" s="0" t="n">
        <f aca="false">G2425*H2425</f>
        <v>0.75</v>
      </c>
      <c r="T2425" s="0" t="n">
        <f aca="false">E2425*E2425</f>
        <v>0.0625</v>
      </c>
      <c r="U2425" s="0" t="n">
        <f aca="false">F2425*F2425</f>
        <v>0.25</v>
      </c>
      <c r="V2425" s="0" t="n">
        <f aca="false">G2425*G2425</f>
        <v>0.5625</v>
      </c>
      <c r="W2425" s="0" t="n">
        <f aca="false">H2425*H2425</f>
        <v>1</v>
      </c>
      <c r="X2425" s="0" t="n">
        <f aca="false">SUMPRODUCT(I2425:W2425,_XtX!$B$96:$P$96)</f>
        <v>46.3649214181286</v>
      </c>
      <c r="Y2425" s="0" t="n">
        <f aca="false">SUMPRODUCT(MMULT(I2425:W2425,_XtX!$B$78:$P$92),I2425:W2425)</f>
        <v>0.459125719572369</v>
      </c>
      <c r="Z2425" s="0" t="n">
        <f aca="false">04_回帰ANOVA!$K$19*04_回帰ANOVA!$K$14*SQRT(1+Y2425)</f>
        <v>1.57450755575573</v>
      </c>
      <c r="AA2425" s="0" t="n">
        <f aca="false">X2425-Z2425</f>
        <v>44.7904138623729</v>
      </c>
      <c r="AB2425" s="0" t="n">
        <f aca="false">X2425+Z2425</f>
        <v>47.9394289738844</v>
      </c>
      <c r="AC2425" s="54" t="b">
        <f aca="false">AND(E2425&gt;=01_因子設定!$L$5-0.000000001,E2425&lt;=01_因子設定!$M$5+0.000000001,F2425&gt;=01_因子設定!$L$6-0.000000001,F2425&lt;=01_因子設定!$M$6+0.000000001,G2425&gt;=01_因子設定!$L$7-0.000000001,G2425&lt;=01_因子設定!$M$7+0.000000001,H2425&gt;=01_因子設定!$L$8-0.000000001,H2425&lt;=01_因子設定!$M$8+0.000000001,IF(01_因子設定!$B$20="Box-Behnken",E2425^2+F2425^2+G2425^2+H2425^2&lt;=2+0.000000001,TRUE()))</f>
        <v>1</v>
      </c>
      <c r="AD2425" s="55" t="n">
        <f aca="false">IF(AC2425,IF(01_因子設定!$B$13="最大化",AA2425-01_因子設定!$B$14,IF(01_因子設定!$B$13="最小化",01_因子設定!$B$15-AB2425,MIN(AA2425-01_因子設定!$B$14,01_因子設定!$B$15-AB2425))),-1E+030)</f>
        <v>-1.7095861376271</v>
      </c>
      <c r="AE2425" s="55" t="n">
        <f aca="false">IF(AC2425,IF(01_因子設定!$B$13="最大化",X2425,IF(01_因子設定!$B$13="最小化",-X2425,-ABS(X2425-01_因子設定!$B$16))),-1E+030)</f>
        <v>46.3649214181286</v>
      </c>
      <c r="AF2425" s="55" t="n">
        <f aca="false">AD2425+ROW()*0.000000001</f>
        <v>-1.7095837126271</v>
      </c>
      <c r="AG2425" s="55" t="n">
        <f aca="false">AE2425+ROW()*0.000000001</f>
        <v>46.3649238431286</v>
      </c>
    </row>
    <row r="2426" customFormat="false" ht="15" hidden="false" customHeight="false" outlineLevel="0" collapsed="false">
      <c r="A2426" s="0" t="n">
        <v>3</v>
      </c>
      <c r="B2426" s="0" t="n">
        <v>2</v>
      </c>
      <c r="C2426" s="0" t="n">
        <v>8</v>
      </c>
      <c r="D2426" s="0" t="n">
        <v>0</v>
      </c>
      <c r="E2426" s="0" t="n">
        <f aca="false">-1+A2426*0.25</f>
        <v>-0.25</v>
      </c>
      <c r="F2426" s="0" t="n">
        <f aca="false">-1+B2426*0.25</f>
        <v>-0.5</v>
      </c>
      <c r="G2426" s="0" t="n">
        <f aca="false">-1+C2426*0.25</f>
        <v>1</v>
      </c>
      <c r="H2426" s="0" t="n">
        <f aca="false">-1+D2426*0.25</f>
        <v>-1</v>
      </c>
      <c r="I2426" s="0" t="n">
        <f aca="false">1</f>
        <v>1</v>
      </c>
      <c r="J2426" s="0" t="n">
        <f aca="false">E2426</f>
        <v>-0.25</v>
      </c>
      <c r="K2426" s="0" t="n">
        <f aca="false">F2426</f>
        <v>-0.5</v>
      </c>
      <c r="L2426" s="0" t="n">
        <f aca="false">G2426</f>
        <v>1</v>
      </c>
      <c r="M2426" s="0" t="n">
        <f aca="false">H2426</f>
        <v>-1</v>
      </c>
      <c r="N2426" s="0" t="n">
        <f aca="false">E2426*F2426</f>
        <v>0.125</v>
      </c>
      <c r="O2426" s="0" t="n">
        <f aca="false">E2426*G2426</f>
        <v>-0.25</v>
      </c>
      <c r="P2426" s="0" t="n">
        <f aca="false">E2426*H2426</f>
        <v>0.25</v>
      </c>
      <c r="Q2426" s="0" t="n">
        <f aca="false">F2426*G2426</f>
        <v>-0.5</v>
      </c>
      <c r="R2426" s="0" t="n">
        <f aca="false">F2426*H2426</f>
        <v>0.5</v>
      </c>
      <c r="S2426" s="0" t="n">
        <f aca="false">G2426*H2426</f>
        <v>-1</v>
      </c>
      <c r="T2426" s="0" t="n">
        <f aca="false">E2426*E2426</f>
        <v>0.0625</v>
      </c>
      <c r="U2426" s="0" t="n">
        <f aca="false">F2426*F2426</f>
        <v>0.25</v>
      </c>
      <c r="V2426" s="0" t="n">
        <f aca="false">G2426*G2426</f>
        <v>1</v>
      </c>
      <c r="W2426" s="0" t="n">
        <f aca="false">H2426*H2426</f>
        <v>1</v>
      </c>
      <c r="X2426" s="0" t="n">
        <f aca="false">SUMPRODUCT(I2426:W2426,_XtX!$B$96:$P$96)</f>
        <v>44.8495065789474</v>
      </c>
      <c r="Y2426" s="0" t="n">
        <f aca="false">SUMPRODUCT(MMULT(I2426:W2426,_XtX!$B$78:$P$92),I2426:W2426)</f>
        <v>0.629174661915205</v>
      </c>
      <c r="Z2426" s="0" t="n">
        <f aca="false">04_回帰ANOVA!$K$19*04_回帰ANOVA!$K$14*SQRT(1+Y2426)</f>
        <v>1.66372758058297</v>
      </c>
      <c r="AA2426" s="0" t="n">
        <f aca="false">X2426-Z2426</f>
        <v>43.1857789983644</v>
      </c>
      <c r="AB2426" s="0" t="n">
        <f aca="false">X2426+Z2426</f>
        <v>46.5132341595303</v>
      </c>
      <c r="AC2426" s="54" t="b">
        <f aca="false">AND(E2426&gt;=01_因子設定!$L$5-0.000000001,E2426&lt;=01_因子設定!$M$5+0.000000001,F2426&gt;=01_因子設定!$L$6-0.000000001,F2426&lt;=01_因子設定!$M$6+0.000000001,G2426&gt;=01_因子設定!$L$7-0.000000001,G2426&lt;=01_因子設定!$M$7+0.000000001,H2426&gt;=01_因子設定!$L$8-0.000000001,H2426&lt;=01_因子設定!$M$8+0.000000001,IF(01_因子設定!$B$20="Box-Behnken",E2426^2+F2426^2+G2426^2+H2426^2&lt;=2+0.000000001,TRUE()))</f>
        <v>1</v>
      </c>
      <c r="AD2426" s="55" t="n">
        <f aca="false">IF(AC2426,IF(01_因子設定!$B$13="最大化",AA2426-01_因子設定!$B$14,IF(01_因子設定!$B$13="最小化",01_因子設定!$B$15-AB2426,MIN(AA2426-01_因子設定!$B$14,01_因子設定!$B$15-AB2426))),-1E+030)</f>
        <v>-3.31422100163562</v>
      </c>
      <c r="AE2426" s="55" t="n">
        <f aca="false">IF(AC2426,IF(01_因子設定!$B$13="最大化",X2426,IF(01_因子設定!$B$13="最小化",-X2426,-ABS(X2426-01_因子設定!$B$16))),-1E+030)</f>
        <v>44.8495065789474</v>
      </c>
      <c r="AF2426" s="55" t="n">
        <f aca="false">AD2426+ROW()*0.000000001</f>
        <v>-3.31421857563562</v>
      </c>
      <c r="AG2426" s="55" t="n">
        <f aca="false">AE2426+ROW()*0.000000001</f>
        <v>44.8495090049474</v>
      </c>
    </row>
    <row r="2427" customFormat="false" ht="15" hidden="false" customHeight="false" outlineLevel="0" collapsed="false">
      <c r="A2427" s="0" t="n">
        <v>3</v>
      </c>
      <c r="B2427" s="0" t="n">
        <v>2</v>
      </c>
      <c r="C2427" s="0" t="n">
        <v>8</v>
      </c>
      <c r="D2427" s="0" t="n">
        <v>1</v>
      </c>
      <c r="E2427" s="0" t="n">
        <f aca="false">-1+A2427*0.25</f>
        <v>-0.25</v>
      </c>
      <c r="F2427" s="0" t="n">
        <f aca="false">-1+B2427*0.25</f>
        <v>-0.5</v>
      </c>
      <c r="G2427" s="0" t="n">
        <f aca="false">-1+C2427*0.25</f>
        <v>1</v>
      </c>
      <c r="H2427" s="0" t="n">
        <f aca="false">-1+D2427*0.25</f>
        <v>-0.75</v>
      </c>
      <c r="I2427" s="0" t="n">
        <f aca="false">1</f>
        <v>1</v>
      </c>
      <c r="J2427" s="0" t="n">
        <f aca="false">E2427</f>
        <v>-0.25</v>
      </c>
      <c r="K2427" s="0" t="n">
        <f aca="false">F2427</f>
        <v>-0.5</v>
      </c>
      <c r="L2427" s="0" t="n">
        <f aca="false">G2427</f>
        <v>1</v>
      </c>
      <c r="M2427" s="0" t="n">
        <f aca="false">H2427</f>
        <v>-0.75</v>
      </c>
      <c r="N2427" s="0" t="n">
        <f aca="false">E2427*F2427</f>
        <v>0.125</v>
      </c>
      <c r="O2427" s="0" t="n">
        <f aca="false">E2427*G2427</f>
        <v>-0.25</v>
      </c>
      <c r="P2427" s="0" t="n">
        <f aca="false">E2427*H2427</f>
        <v>0.1875</v>
      </c>
      <c r="Q2427" s="0" t="n">
        <f aca="false">F2427*G2427</f>
        <v>-0.5</v>
      </c>
      <c r="R2427" s="0" t="n">
        <f aca="false">F2427*H2427</f>
        <v>0.375</v>
      </c>
      <c r="S2427" s="0" t="n">
        <f aca="false">G2427*H2427</f>
        <v>-0.75</v>
      </c>
      <c r="T2427" s="0" t="n">
        <f aca="false">E2427*E2427</f>
        <v>0.0625</v>
      </c>
      <c r="U2427" s="0" t="n">
        <f aca="false">F2427*F2427</f>
        <v>0.25</v>
      </c>
      <c r="V2427" s="0" t="n">
        <f aca="false">G2427*G2427</f>
        <v>1</v>
      </c>
      <c r="W2427" s="0" t="n">
        <f aca="false">H2427*H2427</f>
        <v>0.5625</v>
      </c>
      <c r="X2427" s="0" t="n">
        <f aca="false">SUMPRODUCT(I2427:W2427,_XtX!$B$96:$P$96)</f>
        <v>45.2088450292397</v>
      </c>
      <c r="Y2427" s="0" t="n">
        <f aca="false">SUMPRODUCT(MMULT(I2427:W2427,_XtX!$B$78:$P$92),I2427:W2427)</f>
        <v>0.459125719572369</v>
      </c>
      <c r="Z2427" s="0" t="n">
        <f aca="false">04_回帰ANOVA!$K$19*04_回帰ANOVA!$K$14*SQRT(1+Y2427)</f>
        <v>1.57450755575573</v>
      </c>
      <c r="AA2427" s="0" t="n">
        <f aca="false">X2427-Z2427</f>
        <v>43.634337473484</v>
      </c>
      <c r="AB2427" s="0" t="n">
        <f aca="false">X2427+Z2427</f>
        <v>46.7833525849955</v>
      </c>
      <c r="AC2427" s="54" t="b">
        <f aca="false">AND(E2427&gt;=01_因子設定!$L$5-0.000000001,E2427&lt;=01_因子設定!$M$5+0.000000001,F2427&gt;=01_因子設定!$L$6-0.000000001,F2427&lt;=01_因子設定!$M$6+0.000000001,G2427&gt;=01_因子設定!$L$7-0.000000001,G2427&lt;=01_因子設定!$M$7+0.000000001,H2427&gt;=01_因子設定!$L$8-0.000000001,H2427&lt;=01_因子設定!$M$8+0.000000001,IF(01_因子設定!$B$20="Box-Behnken",E2427^2+F2427^2+G2427^2+H2427^2&lt;=2+0.000000001,TRUE()))</f>
        <v>1</v>
      </c>
      <c r="AD2427" s="55" t="n">
        <f aca="false">IF(AC2427,IF(01_因子設定!$B$13="最大化",AA2427-01_因子設定!$B$14,IF(01_因子設定!$B$13="最小化",01_因子設定!$B$15-AB2427,MIN(AA2427-01_因子設定!$B$14,01_因子設定!$B$15-AB2427))),-1E+030)</f>
        <v>-2.865662526516</v>
      </c>
      <c r="AE2427" s="55" t="n">
        <f aca="false">IF(AC2427,IF(01_因子設定!$B$13="最大化",X2427,IF(01_因子設定!$B$13="最小化",-X2427,-ABS(X2427-01_因子設定!$B$16))),-1E+030)</f>
        <v>45.2088450292397</v>
      </c>
      <c r="AF2427" s="55" t="n">
        <f aca="false">AD2427+ROW()*0.000000001</f>
        <v>-2.865660099516</v>
      </c>
      <c r="AG2427" s="55" t="n">
        <f aca="false">AE2427+ROW()*0.000000001</f>
        <v>45.2088474562397</v>
      </c>
    </row>
    <row r="2428" customFormat="false" ht="15" hidden="false" customHeight="false" outlineLevel="0" collapsed="false">
      <c r="A2428" s="0" t="n">
        <v>3</v>
      </c>
      <c r="B2428" s="0" t="n">
        <v>2</v>
      </c>
      <c r="C2428" s="0" t="n">
        <v>8</v>
      </c>
      <c r="D2428" s="0" t="n">
        <v>2</v>
      </c>
      <c r="E2428" s="0" t="n">
        <f aca="false">-1+A2428*0.25</f>
        <v>-0.25</v>
      </c>
      <c r="F2428" s="0" t="n">
        <f aca="false">-1+B2428*0.25</f>
        <v>-0.5</v>
      </c>
      <c r="G2428" s="0" t="n">
        <f aca="false">-1+C2428*0.25</f>
        <v>1</v>
      </c>
      <c r="H2428" s="0" t="n">
        <f aca="false">-1+D2428*0.25</f>
        <v>-0.5</v>
      </c>
      <c r="I2428" s="0" t="n">
        <f aca="false">1</f>
        <v>1</v>
      </c>
      <c r="J2428" s="0" t="n">
        <f aca="false">E2428</f>
        <v>-0.25</v>
      </c>
      <c r="K2428" s="0" t="n">
        <f aca="false">F2428</f>
        <v>-0.5</v>
      </c>
      <c r="L2428" s="0" t="n">
        <f aca="false">G2428</f>
        <v>1</v>
      </c>
      <c r="M2428" s="0" t="n">
        <f aca="false">H2428</f>
        <v>-0.5</v>
      </c>
      <c r="N2428" s="0" t="n">
        <f aca="false">E2428*F2428</f>
        <v>0.125</v>
      </c>
      <c r="O2428" s="0" t="n">
        <f aca="false">E2428*G2428</f>
        <v>-0.25</v>
      </c>
      <c r="P2428" s="0" t="n">
        <f aca="false">E2428*H2428</f>
        <v>0.125</v>
      </c>
      <c r="Q2428" s="0" t="n">
        <f aca="false">F2428*G2428</f>
        <v>-0.5</v>
      </c>
      <c r="R2428" s="0" t="n">
        <f aca="false">F2428*H2428</f>
        <v>0.25</v>
      </c>
      <c r="S2428" s="0" t="n">
        <f aca="false">G2428*H2428</f>
        <v>-0.5</v>
      </c>
      <c r="T2428" s="0" t="n">
        <f aca="false">E2428*E2428</f>
        <v>0.0625</v>
      </c>
      <c r="U2428" s="0" t="n">
        <f aca="false">F2428*F2428</f>
        <v>0.25</v>
      </c>
      <c r="V2428" s="0" t="n">
        <f aca="false">G2428*G2428</f>
        <v>1</v>
      </c>
      <c r="W2428" s="0" t="n">
        <f aca="false">H2428*H2428</f>
        <v>0.25</v>
      </c>
      <c r="X2428" s="0" t="n">
        <f aca="false">SUMPRODUCT(I2428:W2428,_XtX!$B$96:$P$96)</f>
        <v>45.5203764619883</v>
      </c>
      <c r="Y2428" s="0" t="n">
        <f aca="false">SUMPRODUCT(MMULT(I2428:W2428,_XtX!$B$78:$P$92),I2428:W2428)</f>
        <v>0.428122715643275</v>
      </c>
      <c r="Z2428" s="0" t="n">
        <f aca="false">04_回帰ANOVA!$K$19*04_回帰ANOVA!$K$14*SQRT(1+Y2428)</f>
        <v>1.55769044623229</v>
      </c>
      <c r="AA2428" s="0" t="n">
        <f aca="false">X2428-Z2428</f>
        <v>43.962686015756</v>
      </c>
      <c r="AB2428" s="0" t="n">
        <f aca="false">X2428+Z2428</f>
        <v>47.0780669082206</v>
      </c>
      <c r="AC2428" s="54" t="b">
        <f aca="false">AND(E2428&gt;=01_因子設定!$L$5-0.000000001,E2428&lt;=01_因子設定!$M$5+0.000000001,F2428&gt;=01_因子設定!$L$6-0.000000001,F2428&lt;=01_因子設定!$M$6+0.000000001,G2428&gt;=01_因子設定!$L$7-0.000000001,G2428&lt;=01_因子設定!$M$7+0.000000001,H2428&gt;=01_因子設定!$L$8-0.000000001,H2428&lt;=01_因子設定!$M$8+0.000000001,IF(01_因子設定!$B$20="Box-Behnken",E2428^2+F2428^2+G2428^2+H2428^2&lt;=2+0.000000001,TRUE()))</f>
        <v>1</v>
      </c>
      <c r="AD2428" s="55" t="n">
        <f aca="false">IF(AC2428,IF(01_因子設定!$B$13="最大化",AA2428-01_因子設定!$B$14,IF(01_因子設定!$B$13="最小化",01_因子設定!$B$15-AB2428,MIN(AA2428-01_因子設定!$B$14,01_因子設定!$B$15-AB2428))),-1E+030)</f>
        <v>-2.53731398424404</v>
      </c>
      <c r="AE2428" s="55" t="n">
        <f aca="false">IF(AC2428,IF(01_因子設定!$B$13="最大化",X2428,IF(01_因子設定!$B$13="最小化",-X2428,-ABS(X2428-01_因子設定!$B$16))),-1E+030)</f>
        <v>45.5203764619883</v>
      </c>
      <c r="AF2428" s="55" t="n">
        <f aca="false">AD2428+ROW()*0.000000001</f>
        <v>-2.53731155624404</v>
      </c>
      <c r="AG2428" s="55" t="n">
        <f aca="false">AE2428+ROW()*0.000000001</f>
        <v>45.5203788899883</v>
      </c>
    </row>
    <row r="2429" customFormat="false" ht="15" hidden="false" customHeight="false" outlineLevel="0" collapsed="false">
      <c r="A2429" s="0" t="n">
        <v>3</v>
      </c>
      <c r="B2429" s="0" t="n">
        <v>2</v>
      </c>
      <c r="C2429" s="0" t="n">
        <v>8</v>
      </c>
      <c r="D2429" s="0" t="n">
        <v>3</v>
      </c>
      <c r="E2429" s="0" t="n">
        <f aca="false">-1+A2429*0.25</f>
        <v>-0.25</v>
      </c>
      <c r="F2429" s="0" t="n">
        <f aca="false">-1+B2429*0.25</f>
        <v>-0.5</v>
      </c>
      <c r="G2429" s="0" t="n">
        <f aca="false">-1+C2429*0.25</f>
        <v>1</v>
      </c>
      <c r="H2429" s="0" t="n">
        <f aca="false">-1+D2429*0.25</f>
        <v>-0.25</v>
      </c>
      <c r="I2429" s="0" t="n">
        <f aca="false">1</f>
        <v>1</v>
      </c>
      <c r="J2429" s="0" t="n">
        <f aca="false">E2429</f>
        <v>-0.25</v>
      </c>
      <c r="K2429" s="0" t="n">
        <f aca="false">F2429</f>
        <v>-0.5</v>
      </c>
      <c r="L2429" s="0" t="n">
        <f aca="false">G2429</f>
        <v>1</v>
      </c>
      <c r="M2429" s="0" t="n">
        <f aca="false">H2429</f>
        <v>-0.25</v>
      </c>
      <c r="N2429" s="0" t="n">
        <f aca="false">E2429*F2429</f>
        <v>0.125</v>
      </c>
      <c r="O2429" s="0" t="n">
        <f aca="false">E2429*G2429</f>
        <v>-0.25</v>
      </c>
      <c r="P2429" s="0" t="n">
        <f aca="false">E2429*H2429</f>
        <v>0.0625</v>
      </c>
      <c r="Q2429" s="0" t="n">
        <f aca="false">F2429*G2429</f>
        <v>-0.5</v>
      </c>
      <c r="R2429" s="0" t="n">
        <f aca="false">F2429*H2429</f>
        <v>0.125</v>
      </c>
      <c r="S2429" s="0" t="n">
        <f aca="false">G2429*H2429</f>
        <v>-0.25</v>
      </c>
      <c r="T2429" s="0" t="n">
        <f aca="false">E2429*E2429</f>
        <v>0.0625</v>
      </c>
      <c r="U2429" s="0" t="n">
        <f aca="false">F2429*F2429</f>
        <v>0.25</v>
      </c>
      <c r="V2429" s="0" t="n">
        <f aca="false">G2429*G2429</f>
        <v>1</v>
      </c>
      <c r="W2429" s="0" t="n">
        <f aca="false">H2429*H2429</f>
        <v>0.0625</v>
      </c>
      <c r="X2429" s="0" t="n">
        <f aca="false">SUMPRODUCT(I2429:W2429,_XtX!$B$96:$P$96)</f>
        <v>45.7841008771929</v>
      </c>
      <c r="Y2429" s="0" t="n">
        <f aca="false">SUMPRODUCT(MMULT(I2429:W2429,_XtX!$B$78:$P$92),I2429:W2429)</f>
        <v>0.445705123812135</v>
      </c>
      <c r="Z2429" s="0" t="n">
        <f aca="false">04_回帰ANOVA!$K$19*04_回帰ANOVA!$K$14*SQRT(1+Y2429)</f>
        <v>1.56724990734749</v>
      </c>
      <c r="AA2429" s="0" t="n">
        <f aca="false">X2429-Z2429</f>
        <v>44.2168509698454</v>
      </c>
      <c r="AB2429" s="0" t="n">
        <f aca="false">X2429+Z2429</f>
        <v>47.3513507845404</v>
      </c>
      <c r="AC2429" s="54" t="b">
        <f aca="false">AND(E2429&gt;=01_因子設定!$L$5-0.000000001,E2429&lt;=01_因子設定!$M$5+0.000000001,F2429&gt;=01_因子設定!$L$6-0.000000001,F2429&lt;=01_因子設定!$M$6+0.000000001,G2429&gt;=01_因子設定!$L$7-0.000000001,G2429&lt;=01_因子設定!$M$7+0.000000001,H2429&gt;=01_因子設定!$L$8-0.000000001,H2429&lt;=01_因子設定!$M$8+0.000000001,IF(01_因子設定!$B$20="Box-Behnken",E2429^2+F2429^2+G2429^2+H2429^2&lt;=2+0.000000001,TRUE()))</f>
        <v>1</v>
      </c>
      <c r="AD2429" s="55" t="n">
        <f aca="false">IF(AC2429,IF(01_因子設定!$B$13="最大化",AA2429-01_因子設定!$B$14,IF(01_因子設定!$B$13="最小化",01_因子設定!$B$15-AB2429,MIN(AA2429-01_因子設定!$B$14,01_因子設定!$B$15-AB2429))),-1E+030)</f>
        <v>-2.28314903015456</v>
      </c>
      <c r="AE2429" s="55" t="n">
        <f aca="false">IF(AC2429,IF(01_因子設定!$B$13="最大化",X2429,IF(01_因子設定!$B$13="最小化",-X2429,-ABS(X2429-01_因子設定!$B$16))),-1E+030)</f>
        <v>45.7841008771929</v>
      </c>
      <c r="AF2429" s="55" t="n">
        <f aca="false">AD2429+ROW()*0.000000001</f>
        <v>-2.28314660115456</v>
      </c>
      <c r="AG2429" s="55" t="n">
        <f aca="false">AE2429+ROW()*0.000000001</f>
        <v>45.7841033061929</v>
      </c>
    </row>
    <row r="2430" customFormat="false" ht="15" hidden="false" customHeight="false" outlineLevel="0" collapsed="false">
      <c r="A2430" s="0" t="n">
        <v>3</v>
      </c>
      <c r="B2430" s="0" t="n">
        <v>2</v>
      </c>
      <c r="C2430" s="0" t="n">
        <v>8</v>
      </c>
      <c r="D2430" s="0" t="n">
        <v>4</v>
      </c>
      <c r="E2430" s="0" t="n">
        <f aca="false">-1+A2430*0.25</f>
        <v>-0.25</v>
      </c>
      <c r="F2430" s="0" t="n">
        <f aca="false">-1+B2430*0.25</f>
        <v>-0.5</v>
      </c>
      <c r="G2430" s="0" t="n">
        <f aca="false">-1+C2430*0.25</f>
        <v>1</v>
      </c>
      <c r="H2430" s="0" t="n">
        <f aca="false">-1+D2430*0.25</f>
        <v>0</v>
      </c>
      <c r="I2430" s="0" t="n">
        <f aca="false">1</f>
        <v>1</v>
      </c>
      <c r="J2430" s="0" t="n">
        <f aca="false">E2430</f>
        <v>-0.25</v>
      </c>
      <c r="K2430" s="0" t="n">
        <f aca="false">F2430</f>
        <v>-0.5</v>
      </c>
      <c r="L2430" s="0" t="n">
        <f aca="false">G2430</f>
        <v>1</v>
      </c>
      <c r="M2430" s="0" t="n">
        <f aca="false">H2430</f>
        <v>0</v>
      </c>
      <c r="N2430" s="0" t="n">
        <f aca="false">E2430*F2430</f>
        <v>0.125</v>
      </c>
      <c r="O2430" s="0" t="n">
        <f aca="false">E2430*G2430</f>
        <v>-0.25</v>
      </c>
      <c r="P2430" s="0" t="n">
        <f aca="false">E2430*H2430</f>
        <v>-0</v>
      </c>
      <c r="Q2430" s="0" t="n">
        <f aca="false">F2430*G2430</f>
        <v>-0.5</v>
      </c>
      <c r="R2430" s="0" t="n">
        <f aca="false">F2430*H2430</f>
        <v>-0</v>
      </c>
      <c r="S2430" s="0" t="n">
        <f aca="false">G2430*H2430</f>
        <v>0</v>
      </c>
      <c r="T2430" s="0" t="n">
        <f aca="false">E2430*E2430</f>
        <v>0.0625</v>
      </c>
      <c r="U2430" s="0" t="n">
        <f aca="false">F2430*F2430</f>
        <v>0.25</v>
      </c>
      <c r="V2430" s="0" t="n">
        <f aca="false">G2430*G2430</f>
        <v>1</v>
      </c>
      <c r="W2430" s="0" t="n">
        <f aca="false">H2430*H2430</f>
        <v>0</v>
      </c>
      <c r="X2430" s="0" t="n">
        <f aca="false">SUMPRODUCT(I2430:W2430,_XtX!$B$96:$P$96)</f>
        <v>46.0000182748537</v>
      </c>
      <c r="Y2430" s="0" t="n">
        <f aca="false">SUMPRODUCT(MMULT(I2430:W2430,_XtX!$B$78:$P$92),I2430:W2430)</f>
        <v>0.457596628289474</v>
      </c>
      <c r="Z2430" s="0" t="n">
        <f aca="false">04_回帰ANOVA!$K$19*04_回帰ANOVA!$K$14*SQRT(1+Y2430)</f>
        <v>1.57368233664366</v>
      </c>
      <c r="AA2430" s="0" t="n">
        <f aca="false">X2430-Z2430</f>
        <v>44.4263359382101</v>
      </c>
      <c r="AB2430" s="0" t="n">
        <f aca="false">X2430+Z2430</f>
        <v>47.5737006114974</v>
      </c>
      <c r="AC2430" s="54" t="b">
        <f aca="false">AND(E2430&gt;=01_因子設定!$L$5-0.000000001,E2430&lt;=01_因子設定!$M$5+0.000000001,F2430&gt;=01_因子設定!$L$6-0.000000001,F2430&lt;=01_因子設定!$M$6+0.000000001,G2430&gt;=01_因子設定!$L$7-0.000000001,G2430&lt;=01_因子設定!$M$7+0.000000001,H2430&gt;=01_因子設定!$L$8-0.000000001,H2430&lt;=01_因子設定!$M$8+0.000000001,IF(01_因子設定!$B$20="Box-Behnken",E2430^2+F2430^2+G2430^2+H2430^2&lt;=2+0.000000001,TRUE()))</f>
        <v>1</v>
      </c>
      <c r="AD2430" s="55" t="n">
        <f aca="false">IF(AC2430,IF(01_因子設定!$B$13="最大化",AA2430-01_因子設定!$B$14,IF(01_因子設定!$B$13="最小化",01_因子設定!$B$15-AB2430,MIN(AA2430-01_因子設定!$B$14,01_因子設定!$B$15-AB2430))),-1E+030)</f>
        <v>-2.07366406178991</v>
      </c>
      <c r="AE2430" s="55" t="n">
        <f aca="false">IF(AC2430,IF(01_因子設定!$B$13="最大化",X2430,IF(01_因子設定!$B$13="最小化",-X2430,-ABS(X2430-01_因子設定!$B$16))),-1E+030)</f>
        <v>46.0000182748537</v>
      </c>
      <c r="AF2430" s="55" t="n">
        <f aca="false">AD2430+ROW()*0.000000001</f>
        <v>-2.07366163178991</v>
      </c>
      <c r="AG2430" s="55" t="n">
        <f aca="false">AE2430+ROW()*0.000000001</f>
        <v>46.0000207048537</v>
      </c>
    </row>
    <row r="2431" customFormat="false" ht="15" hidden="false" customHeight="false" outlineLevel="0" collapsed="false">
      <c r="A2431" s="0" t="n">
        <v>3</v>
      </c>
      <c r="B2431" s="0" t="n">
        <v>2</v>
      </c>
      <c r="C2431" s="0" t="n">
        <v>8</v>
      </c>
      <c r="D2431" s="0" t="n">
        <v>5</v>
      </c>
      <c r="E2431" s="0" t="n">
        <f aca="false">-1+A2431*0.25</f>
        <v>-0.25</v>
      </c>
      <c r="F2431" s="0" t="n">
        <f aca="false">-1+B2431*0.25</f>
        <v>-0.5</v>
      </c>
      <c r="G2431" s="0" t="n">
        <f aca="false">-1+C2431*0.25</f>
        <v>1</v>
      </c>
      <c r="H2431" s="0" t="n">
        <f aca="false">-1+D2431*0.25</f>
        <v>0.25</v>
      </c>
      <c r="I2431" s="0" t="n">
        <f aca="false">1</f>
        <v>1</v>
      </c>
      <c r="J2431" s="0" t="n">
        <f aca="false">E2431</f>
        <v>-0.25</v>
      </c>
      <c r="K2431" s="0" t="n">
        <f aca="false">F2431</f>
        <v>-0.5</v>
      </c>
      <c r="L2431" s="0" t="n">
        <f aca="false">G2431</f>
        <v>1</v>
      </c>
      <c r="M2431" s="0" t="n">
        <f aca="false">H2431</f>
        <v>0.25</v>
      </c>
      <c r="N2431" s="0" t="n">
        <f aca="false">E2431*F2431</f>
        <v>0.125</v>
      </c>
      <c r="O2431" s="0" t="n">
        <f aca="false">E2431*G2431</f>
        <v>-0.25</v>
      </c>
      <c r="P2431" s="0" t="n">
        <f aca="false">E2431*H2431</f>
        <v>-0.0625</v>
      </c>
      <c r="Q2431" s="0" t="n">
        <f aca="false">F2431*G2431</f>
        <v>-0.5</v>
      </c>
      <c r="R2431" s="0" t="n">
        <f aca="false">F2431*H2431</f>
        <v>-0.125</v>
      </c>
      <c r="S2431" s="0" t="n">
        <f aca="false">G2431*H2431</f>
        <v>0.25</v>
      </c>
      <c r="T2431" s="0" t="n">
        <f aca="false">E2431*E2431</f>
        <v>0.0625</v>
      </c>
      <c r="U2431" s="0" t="n">
        <f aca="false">F2431*F2431</f>
        <v>0.25</v>
      </c>
      <c r="V2431" s="0" t="n">
        <f aca="false">G2431*G2431</f>
        <v>1</v>
      </c>
      <c r="W2431" s="0" t="n">
        <f aca="false">H2431*H2431</f>
        <v>0.0625</v>
      </c>
      <c r="X2431" s="0" t="n">
        <f aca="false">SUMPRODUCT(I2431:W2431,_XtX!$B$96:$P$96)</f>
        <v>46.1681286549707</v>
      </c>
      <c r="Y2431" s="0" t="n">
        <f aca="false">SUMPRODUCT(MMULT(I2431:W2431,_XtX!$B$78:$P$92),I2431:W2431)</f>
        <v>0.445705123812135</v>
      </c>
      <c r="Z2431" s="0" t="n">
        <f aca="false">04_回帰ANOVA!$K$19*04_回帰ANOVA!$K$14*SQRT(1+Y2431)</f>
        <v>1.56724990734749</v>
      </c>
      <c r="AA2431" s="0" t="n">
        <f aca="false">X2431-Z2431</f>
        <v>44.6008787476232</v>
      </c>
      <c r="AB2431" s="0" t="n">
        <f aca="false">X2431+Z2431</f>
        <v>47.7353785623182</v>
      </c>
      <c r="AC2431" s="54" t="b">
        <f aca="false">AND(E2431&gt;=01_因子設定!$L$5-0.000000001,E2431&lt;=01_因子設定!$M$5+0.000000001,F2431&gt;=01_因子設定!$L$6-0.000000001,F2431&lt;=01_因子設定!$M$6+0.000000001,G2431&gt;=01_因子設定!$L$7-0.000000001,G2431&lt;=01_因子設定!$M$7+0.000000001,H2431&gt;=01_因子設定!$L$8-0.000000001,H2431&lt;=01_因子設定!$M$8+0.000000001,IF(01_因子設定!$B$20="Box-Behnken",E2431^2+F2431^2+G2431^2+H2431^2&lt;=2+0.000000001,TRUE()))</f>
        <v>1</v>
      </c>
      <c r="AD2431" s="55" t="n">
        <f aca="false">IF(AC2431,IF(01_因子設定!$B$13="最大化",AA2431-01_因子設定!$B$14,IF(01_因子設定!$B$13="最小化",01_因子設定!$B$15-AB2431,MIN(AA2431-01_因子設定!$B$14,01_因子設定!$B$15-AB2431))),-1E+030)</f>
        <v>-1.89912125237678</v>
      </c>
      <c r="AE2431" s="55" t="n">
        <f aca="false">IF(AC2431,IF(01_因子設定!$B$13="最大化",X2431,IF(01_因子設定!$B$13="最小化",-X2431,-ABS(X2431-01_因子設定!$B$16))),-1E+030)</f>
        <v>46.1681286549707</v>
      </c>
      <c r="AF2431" s="55" t="n">
        <f aca="false">AD2431+ROW()*0.000000001</f>
        <v>-1.89911882137678</v>
      </c>
      <c r="AG2431" s="55" t="n">
        <f aca="false">AE2431+ROW()*0.000000001</f>
        <v>46.1681310859707</v>
      </c>
    </row>
    <row r="2432" customFormat="false" ht="15" hidden="false" customHeight="false" outlineLevel="0" collapsed="false">
      <c r="A2432" s="0" t="n">
        <v>3</v>
      </c>
      <c r="B2432" s="0" t="n">
        <v>2</v>
      </c>
      <c r="C2432" s="0" t="n">
        <v>8</v>
      </c>
      <c r="D2432" s="0" t="n">
        <v>6</v>
      </c>
      <c r="E2432" s="0" t="n">
        <f aca="false">-1+A2432*0.25</f>
        <v>-0.25</v>
      </c>
      <c r="F2432" s="0" t="n">
        <f aca="false">-1+B2432*0.25</f>
        <v>-0.5</v>
      </c>
      <c r="G2432" s="0" t="n">
        <f aca="false">-1+C2432*0.25</f>
        <v>1</v>
      </c>
      <c r="H2432" s="0" t="n">
        <f aca="false">-1+D2432*0.25</f>
        <v>0.5</v>
      </c>
      <c r="I2432" s="0" t="n">
        <f aca="false">1</f>
        <v>1</v>
      </c>
      <c r="J2432" s="0" t="n">
        <f aca="false">E2432</f>
        <v>-0.25</v>
      </c>
      <c r="K2432" s="0" t="n">
        <f aca="false">F2432</f>
        <v>-0.5</v>
      </c>
      <c r="L2432" s="0" t="n">
        <f aca="false">G2432</f>
        <v>1</v>
      </c>
      <c r="M2432" s="0" t="n">
        <f aca="false">H2432</f>
        <v>0.5</v>
      </c>
      <c r="N2432" s="0" t="n">
        <f aca="false">E2432*F2432</f>
        <v>0.125</v>
      </c>
      <c r="O2432" s="0" t="n">
        <f aca="false">E2432*G2432</f>
        <v>-0.25</v>
      </c>
      <c r="P2432" s="0" t="n">
        <f aca="false">E2432*H2432</f>
        <v>-0.125</v>
      </c>
      <c r="Q2432" s="0" t="n">
        <f aca="false">F2432*G2432</f>
        <v>-0.5</v>
      </c>
      <c r="R2432" s="0" t="n">
        <f aca="false">F2432*H2432</f>
        <v>-0.25</v>
      </c>
      <c r="S2432" s="0" t="n">
        <f aca="false">G2432*H2432</f>
        <v>0.5</v>
      </c>
      <c r="T2432" s="0" t="n">
        <f aca="false">E2432*E2432</f>
        <v>0.0625</v>
      </c>
      <c r="U2432" s="0" t="n">
        <f aca="false">F2432*F2432</f>
        <v>0.25</v>
      </c>
      <c r="V2432" s="0" t="n">
        <f aca="false">G2432*G2432</f>
        <v>1</v>
      </c>
      <c r="W2432" s="0" t="n">
        <f aca="false">H2432*H2432</f>
        <v>0.25</v>
      </c>
      <c r="X2432" s="0" t="n">
        <f aca="false">SUMPRODUCT(I2432:W2432,_XtX!$B$96:$P$96)</f>
        <v>46.2884320175438</v>
      </c>
      <c r="Y2432" s="0" t="n">
        <f aca="false">SUMPRODUCT(MMULT(I2432:W2432,_XtX!$B$78:$P$92),I2432:W2432)</f>
        <v>0.428122715643275</v>
      </c>
      <c r="Z2432" s="0" t="n">
        <f aca="false">04_回帰ANOVA!$K$19*04_回帰ANOVA!$K$14*SQRT(1+Y2432)</f>
        <v>1.55769044623229</v>
      </c>
      <c r="AA2432" s="0" t="n">
        <f aca="false">X2432-Z2432</f>
        <v>44.7307415713115</v>
      </c>
      <c r="AB2432" s="0" t="n">
        <f aca="false">X2432+Z2432</f>
        <v>47.8461224637761</v>
      </c>
      <c r="AC2432" s="54" t="b">
        <f aca="false">AND(E2432&gt;=01_因子設定!$L$5-0.000000001,E2432&lt;=01_因子設定!$M$5+0.000000001,F2432&gt;=01_因子設定!$L$6-0.000000001,F2432&lt;=01_因子設定!$M$6+0.000000001,G2432&gt;=01_因子設定!$L$7-0.000000001,G2432&lt;=01_因子設定!$M$7+0.000000001,H2432&gt;=01_因子設定!$L$8-0.000000001,H2432&lt;=01_因子設定!$M$8+0.000000001,IF(01_因子設定!$B$20="Box-Behnken",E2432^2+F2432^2+G2432^2+H2432^2&lt;=2+0.000000001,TRUE()))</f>
        <v>1</v>
      </c>
      <c r="AD2432" s="55" t="n">
        <f aca="false">IF(AC2432,IF(01_因子設定!$B$13="最大化",AA2432-01_因子設定!$B$14,IF(01_因子設定!$B$13="最小化",01_因子設定!$B$15-AB2432,MIN(AA2432-01_因子設定!$B$14,01_因子設定!$B$15-AB2432))),-1E+030)</f>
        <v>-1.76925842868848</v>
      </c>
      <c r="AE2432" s="55" t="n">
        <f aca="false">IF(AC2432,IF(01_因子設定!$B$13="最大化",X2432,IF(01_因子設定!$B$13="最小化",-X2432,-ABS(X2432-01_因子設定!$B$16))),-1E+030)</f>
        <v>46.2884320175438</v>
      </c>
      <c r="AF2432" s="55" t="n">
        <f aca="false">AD2432+ROW()*0.000000001</f>
        <v>-1.76925599668848</v>
      </c>
      <c r="AG2432" s="55" t="n">
        <f aca="false">AE2432+ROW()*0.000000001</f>
        <v>46.2884344495438</v>
      </c>
    </row>
    <row r="2433" customFormat="false" ht="15" hidden="false" customHeight="false" outlineLevel="0" collapsed="false">
      <c r="A2433" s="0" t="n">
        <v>3</v>
      </c>
      <c r="B2433" s="0" t="n">
        <v>2</v>
      </c>
      <c r="C2433" s="0" t="n">
        <v>8</v>
      </c>
      <c r="D2433" s="0" t="n">
        <v>7</v>
      </c>
      <c r="E2433" s="0" t="n">
        <f aca="false">-1+A2433*0.25</f>
        <v>-0.25</v>
      </c>
      <c r="F2433" s="0" t="n">
        <f aca="false">-1+B2433*0.25</f>
        <v>-0.5</v>
      </c>
      <c r="G2433" s="0" t="n">
        <f aca="false">-1+C2433*0.25</f>
        <v>1</v>
      </c>
      <c r="H2433" s="0" t="n">
        <f aca="false">-1+D2433*0.25</f>
        <v>0.75</v>
      </c>
      <c r="I2433" s="0" t="n">
        <f aca="false">1</f>
        <v>1</v>
      </c>
      <c r="J2433" s="0" t="n">
        <f aca="false">E2433</f>
        <v>-0.25</v>
      </c>
      <c r="K2433" s="0" t="n">
        <f aca="false">F2433</f>
        <v>-0.5</v>
      </c>
      <c r="L2433" s="0" t="n">
        <f aca="false">G2433</f>
        <v>1</v>
      </c>
      <c r="M2433" s="0" t="n">
        <f aca="false">H2433</f>
        <v>0.75</v>
      </c>
      <c r="N2433" s="0" t="n">
        <f aca="false">E2433*F2433</f>
        <v>0.125</v>
      </c>
      <c r="O2433" s="0" t="n">
        <f aca="false">E2433*G2433</f>
        <v>-0.25</v>
      </c>
      <c r="P2433" s="0" t="n">
        <f aca="false">E2433*H2433</f>
        <v>-0.1875</v>
      </c>
      <c r="Q2433" s="0" t="n">
        <f aca="false">F2433*G2433</f>
        <v>-0.5</v>
      </c>
      <c r="R2433" s="0" t="n">
        <f aca="false">F2433*H2433</f>
        <v>-0.375</v>
      </c>
      <c r="S2433" s="0" t="n">
        <f aca="false">G2433*H2433</f>
        <v>0.75</v>
      </c>
      <c r="T2433" s="0" t="n">
        <f aca="false">E2433*E2433</f>
        <v>0.0625</v>
      </c>
      <c r="U2433" s="0" t="n">
        <f aca="false">F2433*F2433</f>
        <v>0.25</v>
      </c>
      <c r="V2433" s="0" t="n">
        <f aca="false">G2433*G2433</f>
        <v>1</v>
      </c>
      <c r="W2433" s="0" t="n">
        <f aca="false">H2433*H2433</f>
        <v>0.5625</v>
      </c>
      <c r="X2433" s="0" t="n">
        <f aca="false">SUMPRODUCT(I2433:W2433,_XtX!$B$96:$P$96)</f>
        <v>46.3609283625731</v>
      </c>
      <c r="Y2433" s="0" t="n">
        <f aca="false">SUMPRODUCT(MMULT(I2433:W2433,_XtX!$B$78:$P$92),I2433:W2433)</f>
        <v>0.459125719572369</v>
      </c>
      <c r="Z2433" s="0" t="n">
        <f aca="false">04_回帰ANOVA!$K$19*04_回帰ANOVA!$K$14*SQRT(1+Y2433)</f>
        <v>1.57450755575573</v>
      </c>
      <c r="AA2433" s="0" t="n">
        <f aca="false">X2433-Z2433</f>
        <v>44.7864208068173</v>
      </c>
      <c r="AB2433" s="0" t="n">
        <f aca="false">X2433+Z2433</f>
        <v>47.9354359183288</v>
      </c>
      <c r="AC2433" s="54" t="b">
        <f aca="false">AND(E2433&gt;=01_因子設定!$L$5-0.000000001,E2433&lt;=01_因子設定!$M$5+0.000000001,F2433&gt;=01_因子設定!$L$6-0.000000001,F2433&lt;=01_因子設定!$M$6+0.000000001,G2433&gt;=01_因子設定!$L$7-0.000000001,G2433&lt;=01_因子設定!$M$7+0.000000001,H2433&gt;=01_因子設定!$L$8-0.000000001,H2433&lt;=01_因子設定!$M$8+0.000000001,IF(01_因子設定!$B$20="Box-Behnken",E2433^2+F2433^2+G2433^2+H2433^2&lt;=2+0.000000001,TRUE()))</f>
        <v>1</v>
      </c>
      <c r="AD2433" s="55" t="n">
        <f aca="false">IF(AC2433,IF(01_因子設定!$B$13="最大化",AA2433-01_因子設定!$B$14,IF(01_因子設定!$B$13="最小化",01_因子設定!$B$15-AB2433,MIN(AA2433-01_因子設定!$B$14,01_因子設定!$B$15-AB2433))),-1E+030)</f>
        <v>-1.71357919318267</v>
      </c>
      <c r="AE2433" s="55" t="n">
        <f aca="false">IF(AC2433,IF(01_因子設定!$B$13="最大化",X2433,IF(01_因子設定!$B$13="最小化",-X2433,-ABS(X2433-01_因子設定!$B$16))),-1E+030)</f>
        <v>46.3609283625731</v>
      </c>
      <c r="AF2433" s="55" t="n">
        <f aca="false">AD2433+ROW()*0.000000001</f>
        <v>-1.71357676018267</v>
      </c>
      <c r="AG2433" s="55" t="n">
        <f aca="false">AE2433+ROW()*0.000000001</f>
        <v>46.3609307955731</v>
      </c>
    </row>
    <row r="2434" customFormat="false" ht="15" hidden="false" customHeight="false" outlineLevel="0" collapsed="false">
      <c r="A2434" s="0" t="n">
        <v>3</v>
      </c>
      <c r="B2434" s="0" t="n">
        <v>2</v>
      </c>
      <c r="C2434" s="0" t="n">
        <v>8</v>
      </c>
      <c r="D2434" s="0" t="n">
        <v>8</v>
      </c>
      <c r="E2434" s="0" t="n">
        <f aca="false">-1+A2434*0.25</f>
        <v>-0.25</v>
      </c>
      <c r="F2434" s="0" t="n">
        <f aca="false">-1+B2434*0.25</f>
        <v>-0.5</v>
      </c>
      <c r="G2434" s="0" t="n">
        <f aca="false">-1+C2434*0.25</f>
        <v>1</v>
      </c>
      <c r="H2434" s="0" t="n">
        <f aca="false">-1+D2434*0.25</f>
        <v>1</v>
      </c>
      <c r="I2434" s="0" t="n">
        <f aca="false">1</f>
        <v>1</v>
      </c>
      <c r="J2434" s="0" t="n">
        <f aca="false">E2434</f>
        <v>-0.25</v>
      </c>
      <c r="K2434" s="0" t="n">
        <f aca="false">F2434</f>
        <v>-0.5</v>
      </c>
      <c r="L2434" s="0" t="n">
        <f aca="false">G2434</f>
        <v>1</v>
      </c>
      <c r="M2434" s="0" t="n">
        <f aca="false">H2434</f>
        <v>1</v>
      </c>
      <c r="N2434" s="0" t="n">
        <f aca="false">E2434*F2434</f>
        <v>0.125</v>
      </c>
      <c r="O2434" s="0" t="n">
        <f aca="false">E2434*G2434</f>
        <v>-0.25</v>
      </c>
      <c r="P2434" s="0" t="n">
        <f aca="false">E2434*H2434</f>
        <v>-0.25</v>
      </c>
      <c r="Q2434" s="0" t="n">
        <f aca="false">F2434*G2434</f>
        <v>-0.5</v>
      </c>
      <c r="R2434" s="0" t="n">
        <f aca="false">F2434*H2434</f>
        <v>-0.5</v>
      </c>
      <c r="S2434" s="0" t="n">
        <f aca="false">G2434*H2434</f>
        <v>1</v>
      </c>
      <c r="T2434" s="0" t="n">
        <f aca="false">E2434*E2434</f>
        <v>0.0625</v>
      </c>
      <c r="U2434" s="0" t="n">
        <f aca="false">F2434*F2434</f>
        <v>0.25</v>
      </c>
      <c r="V2434" s="0" t="n">
        <f aca="false">G2434*G2434</f>
        <v>1</v>
      </c>
      <c r="W2434" s="0" t="n">
        <f aca="false">H2434*H2434</f>
        <v>1</v>
      </c>
      <c r="X2434" s="0" t="n">
        <f aca="false">SUMPRODUCT(I2434:W2434,_XtX!$B$96:$P$96)</f>
        <v>46.3856176900585</v>
      </c>
      <c r="Y2434" s="0" t="n">
        <f aca="false">SUMPRODUCT(MMULT(I2434:W2434,_XtX!$B$78:$P$92),I2434:W2434)</f>
        <v>0.629174661915205</v>
      </c>
      <c r="Z2434" s="0" t="n">
        <f aca="false">04_回帰ANOVA!$K$19*04_回帰ANOVA!$K$14*SQRT(1+Y2434)</f>
        <v>1.66372758058297</v>
      </c>
      <c r="AA2434" s="0" t="n">
        <f aca="false">X2434-Z2434</f>
        <v>44.7218901094755</v>
      </c>
      <c r="AB2434" s="0" t="n">
        <f aca="false">X2434+Z2434</f>
        <v>48.0493452706414</v>
      </c>
      <c r="AC2434" s="54" t="b">
        <f aca="false">AND(E2434&gt;=01_因子設定!$L$5-0.000000001,E2434&lt;=01_因子設定!$M$5+0.000000001,F2434&gt;=01_因子設定!$L$6-0.000000001,F2434&lt;=01_因子設定!$M$6+0.000000001,G2434&gt;=01_因子設定!$L$7-0.000000001,G2434&lt;=01_因子設定!$M$7+0.000000001,H2434&gt;=01_因子設定!$L$8-0.000000001,H2434&lt;=01_因子設定!$M$8+0.000000001,IF(01_因子設定!$B$20="Box-Behnken",E2434^2+F2434^2+G2434^2+H2434^2&lt;=2+0.000000001,TRUE()))</f>
        <v>1</v>
      </c>
      <c r="AD2434" s="55" t="n">
        <f aca="false">IF(AC2434,IF(01_因子設定!$B$13="最大化",AA2434-01_因子設定!$B$14,IF(01_因子設定!$B$13="最小化",01_因子設定!$B$15-AB2434,MIN(AA2434-01_因子設定!$B$14,01_因子設定!$B$15-AB2434))),-1E+030)</f>
        <v>-1.77810989052451</v>
      </c>
      <c r="AE2434" s="55" t="n">
        <f aca="false">IF(AC2434,IF(01_因子設定!$B$13="最大化",X2434,IF(01_因子設定!$B$13="最小化",-X2434,-ABS(X2434-01_因子設定!$B$16))),-1E+030)</f>
        <v>46.3856176900585</v>
      </c>
      <c r="AF2434" s="55" t="n">
        <f aca="false">AD2434+ROW()*0.000000001</f>
        <v>-1.77810745652451</v>
      </c>
      <c r="AG2434" s="55" t="n">
        <f aca="false">AE2434+ROW()*0.000000001</f>
        <v>46.3856201240585</v>
      </c>
    </row>
    <row r="2435" customFormat="false" ht="15" hidden="false" customHeight="false" outlineLevel="0" collapsed="false">
      <c r="A2435" s="0" t="n">
        <v>3</v>
      </c>
      <c r="B2435" s="0" t="n">
        <v>3</v>
      </c>
      <c r="C2435" s="0" t="n">
        <v>0</v>
      </c>
      <c r="D2435" s="0" t="n">
        <v>0</v>
      </c>
      <c r="E2435" s="0" t="n">
        <f aca="false">-1+A2435*0.25</f>
        <v>-0.25</v>
      </c>
      <c r="F2435" s="0" t="n">
        <f aca="false">-1+B2435*0.25</f>
        <v>-0.25</v>
      </c>
      <c r="G2435" s="0" t="n">
        <f aca="false">-1+C2435*0.25</f>
        <v>-1</v>
      </c>
      <c r="H2435" s="0" t="n">
        <f aca="false">-1+D2435*0.25</f>
        <v>-1</v>
      </c>
      <c r="I2435" s="0" t="n">
        <f aca="false">1</f>
        <v>1</v>
      </c>
      <c r="J2435" s="0" t="n">
        <f aca="false">E2435</f>
        <v>-0.25</v>
      </c>
      <c r="K2435" s="0" t="n">
        <f aca="false">F2435</f>
        <v>-0.25</v>
      </c>
      <c r="L2435" s="0" t="n">
        <f aca="false">G2435</f>
        <v>-1</v>
      </c>
      <c r="M2435" s="0" t="n">
        <f aca="false">H2435</f>
        <v>-1</v>
      </c>
      <c r="N2435" s="0" t="n">
        <f aca="false">E2435*F2435</f>
        <v>0.0625</v>
      </c>
      <c r="O2435" s="0" t="n">
        <f aca="false">E2435*G2435</f>
        <v>0.25</v>
      </c>
      <c r="P2435" s="0" t="n">
        <f aca="false">E2435*H2435</f>
        <v>0.25</v>
      </c>
      <c r="Q2435" s="0" t="n">
        <f aca="false">F2435*G2435</f>
        <v>0.25</v>
      </c>
      <c r="R2435" s="0" t="n">
        <f aca="false">F2435*H2435</f>
        <v>0.25</v>
      </c>
      <c r="S2435" s="0" t="n">
        <f aca="false">G2435*H2435</f>
        <v>1</v>
      </c>
      <c r="T2435" s="0" t="n">
        <f aca="false">E2435*E2435</f>
        <v>0.0625</v>
      </c>
      <c r="U2435" s="0" t="n">
        <f aca="false">F2435*F2435</f>
        <v>0.0625</v>
      </c>
      <c r="V2435" s="0" t="n">
        <f aca="false">G2435*G2435</f>
        <v>1</v>
      </c>
      <c r="W2435" s="0" t="n">
        <f aca="false">H2435*H2435</f>
        <v>1</v>
      </c>
      <c r="X2435" s="0" t="n">
        <f aca="false">SUMPRODUCT(I2435:W2435,_XtX!$B$96:$P$96)</f>
        <v>44.3578490497076</v>
      </c>
      <c r="Y2435" s="0" t="n">
        <f aca="false">SUMPRODUCT(MMULT(I2435:W2435,_XtX!$B$78:$P$92),I2435:W2435)</f>
        <v>0.670040376005117</v>
      </c>
      <c r="Z2435" s="0" t="n">
        <f aca="false">04_回帰ANOVA!$K$19*04_回帰ANOVA!$K$14*SQRT(1+Y2435)</f>
        <v>1.68446456039992</v>
      </c>
      <c r="AA2435" s="0" t="n">
        <f aca="false">X2435-Z2435</f>
        <v>42.6733844893077</v>
      </c>
      <c r="AB2435" s="0" t="n">
        <f aca="false">X2435+Z2435</f>
        <v>46.0423136101075</v>
      </c>
      <c r="AC2435" s="54" t="b">
        <f aca="false">AND(E2435&gt;=01_因子設定!$L$5-0.000000001,E2435&lt;=01_因子設定!$M$5+0.000000001,F2435&gt;=01_因子設定!$L$6-0.000000001,F2435&lt;=01_因子設定!$M$6+0.000000001,G2435&gt;=01_因子設定!$L$7-0.000000001,G2435&lt;=01_因子設定!$M$7+0.000000001,H2435&gt;=01_因子設定!$L$8-0.000000001,H2435&lt;=01_因子設定!$M$8+0.000000001,IF(01_因子設定!$B$20="Box-Behnken",E2435^2+F2435^2+G2435^2+H2435^2&lt;=2+0.000000001,TRUE()))</f>
        <v>1</v>
      </c>
      <c r="AD2435" s="55" t="n">
        <f aca="false">IF(AC2435,IF(01_因子設定!$B$13="最大化",AA2435-01_因子設定!$B$14,IF(01_因子設定!$B$13="最小化",01_因子設定!$B$15-AB2435,MIN(AA2435-01_因子設定!$B$14,01_因子設定!$B$15-AB2435))),-1E+030)</f>
        <v>-3.82661551069234</v>
      </c>
      <c r="AE2435" s="55" t="n">
        <f aca="false">IF(AC2435,IF(01_因子設定!$B$13="最大化",X2435,IF(01_因子設定!$B$13="最小化",-X2435,-ABS(X2435-01_因子設定!$B$16))),-1E+030)</f>
        <v>44.3578490497076</v>
      </c>
      <c r="AF2435" s="55" t="n">
        <f aca="false">AD2435+ROW()*0.000000001</f>
        <v>-3.82661307569234</v>
      </c>
      <c r="AG2435" s="55" t="n">
        <f aca="false">AE2435+ROW()*0.000000001</f>
        <v>44.3578514847076</v>
      </c>
    </row>
    <row r="2436" customFormat="false" ht="15" hidden="false" customHeight="false" outlineLevel="0" collapsed="false">
      <c r="A2436" s="0" t="n">
        <v>3</v>
      </c>
      <c r="B2436" s="0" t="n">
        <v>3</v>
      </c>
      <c r="C2436" s="0" t="n">
        <v>0</v>
      </c>
      <c r="D2436" s="0" t="n">
        <v>1</v>
      </c>
      <c r="E2436" s="0" t="n">
        <f aca="false">-1+A2436*0.25</f>
        <v>-0.25</v>
      </c>
      <c r="F2436" s="0" t="n">
        <f aca="false">-1+B2436*0.25</f>
        <v>-0.25</v>
      </c>
      <c r="G2436" s="0" t="n">
        <f aca="false">-1+C2436*0.25</f>
        <v>-1</v>
      </c>
      <c r="H2436" s="0" t="n">
        <f aca="false">-1+D2436*0.25</f>
        <v>-0.75</v>
      </c>
      <c r="I2436" s="0" t="n">
        <f aca="false">1</f>
        <v>1</v>
      </c>
      <c r="J2436" s="0" t="n">
        <f aca="false">E2436</f>
        <v>-0.25</v>
      </c>
      <c r="K2436" s="0" t="n">
        <f aca="false">F2436</f>
        <v>-0.25</v>
      </c>
      <c r="L2436" s="0" t="n">
        <f aca="false">G2436</f>
        <v>-1</v>
      </c>
      <c r="M2436" s="0" t="n">
        <f aca="false">H2436</f>
        <v>-0.75</v>
      </c>
      <c r="N2436" s="0" t="n">
        <f aca="false">E2436*F2436</f>
        <v>0.0625</v>
      </c>
      <c r="O2436" s="0" t="n">
        <f aca="false">E2436*G2436</f>
        <v>0.25</v>
      </c>
      <c r="P2436" s="0" t="n">
        <f aca="false">E2436*H2436</f>
        <v>0.1875</v>
      </c>
      <c r="Q2436" s="0" t="n">
        <f aca="false">F2436*G2436</f>
        <v>0.25</v>
      </c>
      <c r="R2436" s="0" t="n">
        <f aca="false">F2436*H2436</f>
        <v>0.1875</v>
      </c>
      <c r="S2436" s="0" t="n">
        <f aca="false">G2436*H2436</f>
        <v>0.75</v>
      </c>
      <c r="T2436" s="0" t="n">
        <f aca="false">E2436*E2436</f>
        <v>0.0625</v>
      </c>
      <c r="U2436" s="0" t="n">
        <f aca="false">F2436*F2436</f>
        <v>0.0625</v>
      </c>
      <c r="V2436" s="0" t="n">
        <f aca="false">G2436*G2436</f>
        <v>1</v>
      </c>
      <c r="W2436" s="0" t="n">
        <f aca="false">H2436*H2436</f>
        <v>0.5625</v>
      </c>
      <c r="X2436" s="0" t="n">
        <f aca="false">SUMPRODUCT(I2436:W2436,_XtX!$B$96:$P$96)</f>
        <v>44.56015625</v>
      </c>
      <c r="Y2436" s="0" t="n">
        <f aca="false">SUMPRODUCT(MMULT(I2436:W2436,_XtX!$B$78:$P$92),I2436:W2436)</f>
        <v>0.486409505208334</v>
      </c>
      <c r="Z2436" s="0" t="n">
        <f aca="false">04_回帰ANOVA!$K$19*04_回帰ANOVA!$K$14*SQRT(1+Y2436)</f>
        <v>1.58916001665498</v>
      </c>
      <c r="AA2436" s="0" t="n">
        <f aca="false">X2436-Z2436</f>
        <v>42.970996233345</v>
      </c>
      <c r="AB2436" s="0" t="n">
        <f aca="false">X2436+Z2436</f>
        <v>46.1493162666549</v>
      </c>
      <c r="AC2436" s="54" t="b">
        <f aca="false">AND(E2436&gt;=01_因子設定!$L$5-0.000000001,E2436&lt;=01_因子設定!$M$5+0.000000001,F2436&gt;=01_因子設定!$L$6-0.000000001,F2436&lt;=01_因子設定!$M$6+0.000000001,G2436&gt;=01_因子設定!$L$7-0.000000001,G2436&lt;=01_因子設定!$M$7+0.000000001,H2436&gt;=01_因子設定!$L$8-0.000000001,H2436&lt;=01_因子設定!$M$8+0.000000001,IF(01_因子設定!$B$20="Box-Behnken",E2436^2+F2436^2+G2436^2+H2436^2&lt;=2+0.000000001,TRUE()))</f>
        <v>1</v>
      </c>
      <c r="AD2436" s="55" t="n">
        <f aca="false">IF(AC2436,IF(01_因子設定!$B$13="最大化",AA2436-01_因子設定!$B$14,IF(01_因子設定!$B$13="最小化",01_因子設定!$B$15-AB2436,MIN(AA2436-01_因子設定!$B$14,01_因子設定!$B$15-AB2436))),-1E+030)</f>
        <v>-3.52900376665502</v>
      </c>
      <c r="AE2436" s="55" t="n">
        <f aca="false">IF(AC2436,IF(01_因子設定!$B$13="最大化",X2436,IF(01_因子設定!$B$13="最小化",-X2436,-ABS(X2436-01_因子設定!$B$16))),-1E+030)</f>
        <v>44.56015625</v>
      </c>
      <c r="AF2436" s="55" t="n">
        <f aca="false">AD2436+ROW()*0.000000001</f>
        <v>-3.52900133065502</v>
      </c>
      <c r="AG2436" s="55" t="n">
        <f aca="false">AE2436+ROW()*0.000000001</f>
        <v>44.560158686</v>
      </c>
    </row>
    <row r="2437" customFormat="false" ht="15" hidden="false" customHeight="false" outlineLevel="0" collapsed="false">
      <c r="A2437" s="0" t="n">
        <v>3</v>
      </c>
      <c r="B2437" s="0" t="n">
        <v>3</v>
      </c>
      <c r="C2437" s="0" t="n">
        <v>0</v>
      </c>
      <c r="D2437" s="0" t="n">
        <v>2</v>
      </c>
      <c r="E2437" s="0" t="n">
        <f aca="false">-1+A2437*0.25</f>
        <v>-0.25</v>
      </c>
      <c r="F2437" s="0" t="n">
        <f aca="false">-1+B2437*0.25</f>
        <v>-0.25</v>
      </c>
      <c r="G2437" s="0" t="n">
        <f aca="false">-1+C2437*0.25</f>
        <v>-1</v>
      </c>
      <c r="H2437" s="0" t="n">
        <f aca="false">-1+D2437*0.25</f>
        <v>-0.5</v>
      </c>
      <c r="I2437" s="0" t="n">
        <f aca="false">1</f>
        <v>1</v>
      </c>
      <c r="J2437" s="0" t="n">
        <f aca="false">E2437</f>
        <v>-0.25</v>
      </c>
      <c r="K2437" s="0" t="n">
        <f aca="false">F2437</f>
        <v>-0.25</v>
      </c>
      <c r="L2437" s="0" t="n">
        <f aca="false">G2437</f>
        <v>-1</v>
      </c>
      <c r="M2437" s="0" t="n">
        <f aca="false">H2437</f>
        <v>-0.5</v>
      </c>
      <c r="N2437" s="0" t="n">
        <f aca="false">E2437*F2437</f>
        <v>0.0625</v>
      </c>
      <c r="O2437" s="0" t="n">
        <f aca="false">E2437*G2437</f>
        <v>0.25</v>
      </c>
      <c r="P2437" s="0" t="n">
        <f aca="false">E2437*H2437</f>
        <v>0.125</v>
      </c>
      <c r="Q2437" s="0" t="n">
        <f aca="false">F2437*G2437</f>
        <v>0.25</v>
      </c>
      <c r="R2437" s="0" t="n">
        <f aca="false">F2437*H2437</f>
        <v>0.125</v>
      </c>
      <c r="S2437" s="0" t="n">
        <f aca="false">G2437*H2437</f>
        <v>0.5</v>
      </c>
      <c r="T2437" s="0" t="n">
        <f aca="false">E2437*E2437</f>
        <v>0.0625</v>
      </c>
      <c r="U2437" s="0" t="n">
        <f aca="false">F2437*F2437</f>
        <v>0.0625</v>
      </c>
      <c r="V2437" s="0" t="n">
        <f aca="false">G2437*G2437</f>
        <v>1</v>
      </c>
      <c r="W2437" s="0" t="n">
        <f aca="false">H2437*H2437</f>
        <v>0.25</v>
      </c>
      <c r="X2437" s="0" t="n">
        <f aca="false">SUMPRODUCT(I2437:W2437,_XtX!$B$96:$P$96)</f>
        <v>44.7146564327485</v>
      </c>
      <c r="Y2437" s="0" t="n">
        <f aca="false">SUMPRODUCT(MMULT(I2437:W2437,_XtX!$B$78:$P$92),I2437:W2437)</f>
        <v>0.445705123812135</v>
      </c>
      <c r="Z2437" s="0" t="n">
        <f aca="false">04_回帰ANOVA!$K$19*04_回帰ANOVA!$K$14*SQRT(1+Y2437)</f>
        <v>1.56724990734749</v>
      </c>
      <c r="AA2437" s="0" t="n">
        <f aca="false">X2437-Z2437</f>
        <v>43.147406525401</v>
      </c>
      <c r="AB2437" s="0" t="n">
        <f aca="false">X2437+Z2437</f>
        <v>46.281906340096</v>
      </c>
      <c r="AC2437" s="54" t="b">
        <f aca="false">AND(E2437&gt;=01_因子設定!$L$5-0.000000001,E2437&lt;=01_因子設定!$M$5+0.000000001,F2437&gt;=01_因子設定!$L$6-0.000000001,F2437&lt;=01_因子設定!$M$6+0.000000001,G2437&gt;=01_因子設定!$L$7-0.000000001,G2437&lt;=01_因子設定!$M$7+0.000000001,H2437&gt;=01_因子設定!$L$8-0.000000001,H2437&lt;=01_因子設定!$M$8+0.000000001,IF(01_因子設定!$B$20="Box-Behnken",E2437^2+F2437^2+G2437^2+H2437^2&lt;=2+0.000000001,TRUE()))</f>
        <v>1</v>
      </c>
      <c r="AD2437" s="55" t="n">
        <f aca="false">IF(AC2437,IF(01_因子設定!$B$13="最大化",AA2437-01_因子設定!$B$14,IF(01_因子設定!$B$13="最小化",01_因子設定!$B$15-AB2437,MIN(AA2437-01_因子設定!$B$14,01_因子設定!$B$15-AB2437))),-1E+030)</f>
        <v>-3.352593474599</v>
      </c>
      <c r="AE2437" s="55" t="n">
        <f aca="false">IF(AC2437,IF(01_因子設定!$B$13="最大化",X2437,IF(01_因子設定!$B$13="最小化",-X2437,-ABS(X2437-01_因子設定!$B$16))),-1E+030)</f>
        <v>44.7146564327485</v>
      </c>
      <c r="AF2437" s="55" t="n">
        <f aca="false">AD2437+ROW()*0.000000001</f>
        <v>-3.352591037599</v>
      </c>
      <c r="AG2437" s="55" t="n">
        <f aca="false">AE2437+ROW()*0.000000001</f>
        <v>44.7146588697485</v>
      </c>
    </row>
    <row r="2438" customFormat="false" ht="15" hidden="false" customHeight="false" outlineLevel="0" collapsed="false">
      <c r="A2438" s="0" t="n">
        <v>3</v>
      </c>
      <c r="B2438" s="0" t="n">
        <v>3</v>
      </c>
      <c r="C2438" s="0" t="n">
        <v>0</v>
      </c>
      <c r="D2438" s="0" t="n">
        <v>3</v>
      </c>
      <c r="E2438" s="0" t="n">
        <f aca="false">-1+A2438*0.25</f>
        <v>-0.25</v>
      </c>
      <c r="F2438" s="0" t="n">
        <f aca="false">-1+B2438*0.25</f>
        <v>-0.25</v>
      </c>
      <c r="G2438" s="0" t="n">
        <f aca="false">-1+C2438*0.25</f>
        <v>-1</v>
      </c>
      <c r="H2438" s="0" t="n">
        <f aca="false">-1+D2438*0.25</f>
        <v>-0.25</v>
      </c>
      <c r="I2438" s="0" t="n">
        <f aca="false">1</f>
        <v>1</v>
      </c>
      <c r="J2438" s="0" t="n">
        <f aca="false">E2438</f>
        <v>-0.25</v>
      </c>
      <c r="K2438" s="0" t="n">
        <f aca="false">F2438</f>
        <v>-0.25</v>
      </c>
      <c r="L2438" s="0" t="n">
        <f aca="false">G2438</f>
        <v>-1</v>
      </c>
      <c r="M2438" s="0" t="n">
        <f aca="false">H2438</f>
        <v>-0.25</v>
      </c>
      <c r="N2438" s="0" t="n">
        <f aca="false">E2438*F2438</f>
        <v>0.0625</v>
      </c>
      <c r="O2438" s="0" t="n">
        <f aca="false">E2438*G2438</f>
        <v>0.25</v>
      </c>
      <c r="P2438" s="0" t="n">
        <f aca="false">E2438*H2438</f>
        <v>0.0625</v>
      </c>
      <c r="Q2438" s="0" t="n">
        <f aca="false">F2438*G2438</f>
        <v>0.25</v>
      </c>
      <c r="R2438" s="0" t="n">
        <f aca="false">F2438*H2438</f>
        <v>0.0625</v>
      </c>
      <c r="S2438" s="0" t="n">
        <f aca="false">G2438*H2438</f>
        <v>0.25</v>
      </c>
      <c r="T2438" s="0" t="n">
        <f aca="false">E2438*E2438</f>
        <v>0.0625</v>
      </c>
      <c r="U2438" s="0" t="n">
        <f aca="false">F2438*F2438</f>
        <v>0.0625</v>
      </c>
      <c r="V2438" s="0" t="n">
        <f aca="false">G2438*G2438</f>
        <v>1</v>
      </c>
      <c r="W2438" s="0" t="n">
        <f aca="false">H2438*H2438</f>
        <v>0.0625</v>
      </c>
      <c r="X2438" s="0" t="n">
        <f aca="false">SUMPRODUCT(I2438:W2438,_XtX!$B$96:$P$96)</f>
        <v>44.8213495979532</v>
      </c>
      <c r="Y2438" s="0" t="n">
        <f aca="false">SUMPRODUCT(MMULT(I2438:W2438,_XtX!$B$78:$P$92),I2438:W2438)</f>
        <v>0.457466705500731</v>
      </c>
      <c r="Z2438" s="0" t="n">
        <f aca="false">04_回帰ANOVA!$K$19*04_回帰ANOVA!$K$14*SQRT(1+Y2438)</f>
        <v>1.57361220003999</v>
      </c>
      <c r="AA2438" s="0" t="n">
        <f aca="false">X2438-Z2438</f>
        <v>43.2477373979132</v>
      </c>
      <c r="AB2438" s="0" t="n">
        <f aca="false">X2438+Z2438</f>
        <v>46.3949617979932</v>
      </c>
      <c r="AC2438" s="54" t="b">
        <f aca="false">AND(E2438&gt;=01_因子設定!$L$5-0.000000001,E2438&lt;=01_因子設定!$M$5+0.000000001,F2438&gt;=01_因子設定!$L$6-0.000000001,F2438&lt;=01_因子設定!$M$6+0.000000001,G2438&gt;=01_因子設定!$L$7-0.000000001,G2438&lt;=01_因子設定!$M$7+0.000000001,H2438&gt;=01_因子設定!$L$8-0.000000001,H2438&lt;=01_因子設定!$M$8+0.000000001,IF(01_因子設定!$B$20="Box-Behnken",E2438^2+F2438^2+G2438^2+H2438^2&lt;=2+0.000000001,TRUE()))</f>
        <v>1</v>
      </c>
      <c r="AD2438" s="55" t="n">
        <f aca="false">IF(AC2438,IF(01_因子設定!$B$13="最大化",AA2438-01_因子設定!$B$14,IF(01_因子設定!$B$13="最小化",01_因子設定!$B$15-AB2438,MIN(AA2438-01_因子設定!$B$14,01_因子設定!$B$15-AB2438))),-1E+030)</f>
        <v>-3.25226260208683</v>
      </c>
      <c r="AE2438" s="55" t="n">
        <f aca="false">IF(AC2438,IF(01_因子設定!$B$13="最大化",X2438,IF(01_因子設定!$B$13="最小化",-X2438,-ABS(X2438-01_因子設定!$B$16))),-1E+030)</f>
        <v>44.8213495979532</v>
      </c>
      <c r="AF2438" s="55" t="n">
        <f aca="false">AD2438+ROW()*0.000000001</f>
        <v>-3.25226016408683</v>
      </c>
      <c r="AG2438" s="55" t="n">
        <f aca="false">AE2438+ROW()*0.000000001</f>
        <v>44.8213520359532</v>
      </c>
    </row>
    <row r="2439" customFormat="false" ht="15" hidden="false" customHeight="false" outlineLevel="0" collapsed="false">
      <c r="A2439" s="0" t="n">
        <v>3</v>
      </c>
      <c r="B2439" s="0" t="n">
        <v>3</v>
      </c>
      <c r="C2439" s="0" t="n">
        <v>0</v>
      </c>
      <c r="D2439" s="0" t="n">
        <v>4</v>
      </c>
      <c r="E2439" s="0" t="n">
        <f aca="false">-1+A2439*0.25</f>
        <v>-0.25</v>
      </c>
      <c r="F2439" s="0" t="n">
        <f aca="false">-1+B2439*0.25</f>
        <v>-0.25</v>
      </c>
      <c r="G2439" s="0" t="n">
        <f aca="false">-1+C2439*0.25</f>
        <v>-1</v>
      </c>
      <c r="H2439" s="0" t="n">
        <f aca="false">-1+D2439*0.25</f>
        <v>0</v>
      </c>
      <c r="I2439" s="0" t="n">
        <f aca="false">1</f>
        <v>1</v>
      </c>
      <c r="J2439" s="0" t="n">
        <f aca="false">E2439</f>
        <v>-0.25</v>
      </c>
      <c r="K2439" s="0" t="n">
        <f aca="false">F2439</f>
        <v>-0.25</v>
      </c>
      <c r="L2439" s="0" t="n">
        <f aca="false">G2439</f>
        <v>-1</v>
      </c>
      <c r="M2439" s="0" t="n">
        <f aca="false">H2439</f>
        <v>0</v>
      </c>
      <c r="N2439" s="0" t="n">
        <f aca="false">E2439*F2439</f>
        <v>0.0625</v>
      </c>
      <c r="O2439" s="0" t="n">
        <f aca="false">E2439*G2439</f>
        <v>0.25</v>
      </c>
      <c r="P2439" s="0" t="n">
        <f aca="false">E2439*H2439</f>
        <v>-0</v>
      </c>
      <c r="Q2439" s="0" t="n">
        <f aca="false">F2439*G2439</f>
        <v>0.25</v>
      </c>
      <c r="R2439" s="0" t="n">
        <f aca="false">F2439*H2439</f>
        <v>-0</v>
      </c>
      <c r="S2439" s="0" t="n">
        <f aca="false">G2439*H2439</f>
        <v>-0</v>
      </c>
      <c r="T2439" s="0" t="n">
        <f aca="false">E2439*E2439</f>
        <v>0.0625</v>
      </c>
      <c r="U2439" s="0" t="n">
        <f aca="false">F2439*F2439</f>
        <v>0.0625</v>
      </c>
      <c r="V2439" s="0" t="n">
        <f aca="false">G2439*G2439</f>
        <v>1</v>
      </c>
      <c r="W2439" s="0" t="n">
        <f aca="false">H2439*H2439</f>
        <v>0</v>
      </c>
      <c r="X2439" s="0" t="n">
        <f aca="false">SUMPRODUCT(I2439:W2439,_XtX!$B$96:$P$96)</f>
        <v>44.880235745614</v>
      </c>
      <c r="Y2439" s="0" t="n">
        <f aca="false">SUMPRODUCT(MMULT(I2439:W2439,_XtX!$B$78:$P$92),I2439:W2439)</f>
        <v>0.467417934484649</v>
      </c>
      <c r="Z2439" s="0" t="n">
        <f aca="false">04_回帰ANOVA!$K$19*04_回帰ANOVA!$K$14*SQRT(1+Y2439)</f>
        <v>1.57897518244497</v>
      </c>
      <c r="AA2439" s="0" t="n">
        <f aca="false">X2439-Z2439</f>
        <v>43.301260563169</v>
      </c>
      <c r="AB2439" s="0" t="n">
        <f aca="false">X2439+Z2439</f>
        <v>46.459210928059</v>
      </c>
      <c r="AC2439" s="54" t="b">
        <f aca="false">AND(E2439&gt;=01_因子設定!$L$5-0.000000001,E2439&lt;=01_因子設定!$M$5+0.000000001,F2439&gt;=01_因子設定!$L$6-0.000000001,F2439&lt;=01_因子設定!$M$6+0.000000001,G2439&gt;=01_因子設定!$L$7-0.000000001,G2439&lt;=01_因子設定!$M$7+0.000000001,H2439&gt;=01_因子設定!$L$8-0.000000001,H2439&lt;=01_因子設定!$M$8+0.000000001,IF(01_因子設定!$B$20="Box-Behnken",E2439^2+F2439^2+G2439^2+H2439^2&lt;=2+0.000000001,TRUE()))</f>
        <v>1</v>
      </c>
      <c r="AD2439" s="55" t="n">
        <f aca="false">IF(AC2439,IF(01_因子設定!$B$13="最大化",AA2439-01_因子設定!$B$14,IF(01_因子設定!$B$13="最小化",01_因子設定!$B$15-AB2439,MIN(AA2439-01_因子設定!$B$14,01_因子設定!$B$15-AB2439))),-1E+030)</f>
        <v>-3.19873943683099</v>
      </c>
      <c r="AE2439" s="55" t="n">
        <f aca="false">IF(AC2439,IF(01_因子設定!$B$13="最大化",X2439,IF(01_因子設定!$B$13="最小化",-X2439,-ABS(X2439-01_因子設定!$B$16))),-1E+030)</f>
        <v>44.880235745614</v>
      </c>
      <c r="AF2439" s="55" t="n">
        <f aca="false">AD2439+ROW()*0.000000001</f>
        <v>-3.19873699783099</v>
      </c>
      <c r="AG2439" s="55" t="n">
        <f aca="false">AE2439+ROW()*0.000000001</f>
        <v>44.880238184614</v>
      </c>
    </row>
    <row r="2440" customFormat="false" ht="15" hidden="false" customHeight="false" outlineLevel="0" collapsed="false">
      <c r="A2440" s="0" t="n">
        <v>3</v>
      </c>
      <c r="B2440" s="0" t="n">
        <v>3</v>
      </c>
      <c r="C2440" s="0" t="n">
        <v>0</v>
      </c>
      <c r="D2440" s="0" t="n">
        <v>5</v>
      </c>
      <c r="E2440" s="0" t="n">
        <f aca="false">-1+A2440*0.25</f>
        <v>-0.25</v>
      </c>
      <c r="F2440" s="0" t="n">
        <f aca="false">-1+B2440*0.25</f>
        <v>-0.25</v>
      </c>
      <c r="G2440" s="0" t="n">
        <f aca="false">-1+C2440*0.25</f>
        <v>-1</v>
      </c>
      <c r="H2440" s="0" t="n">
        <f aca="false">-1+D2440*0.25</f>
        <v>0.25</v>
      </c>
      <c r="I2440" s="0" t="n">
        <f aca="false">1</f>
        <v>1</v>
      </c>
      <c r="J2440" s="0" t="n">
        <f aca="false">E2440</f>
        <v>-0.25</v>
      </c>
      <c r="K2440" s="0" t="n">
        <f aca="false">F2440</f>
        <v>-0.25</v>
      </c>
      <c r="L2440" s="0" t="n">
        <f aca="false">G2440</f>
        <v>-1</v>
      </c>
      <c r="M2440" s="0" t="n">
        <f aca="false">H2440</f>
        <v>0.25</v>
      </c>
      <c r="N2440" s="0" t="n">
        <f aca="false">E2440*F2440</f>
        <v>0.0625</v>
      </c>
      <c r="O2440" s="0" t="n">
        <f aca="false">E2440*G2440</f>
        <v>0.25</v>
      </c>
      <c r="P2440" s="0" t="n">
        <f aca="false">E2440*H2440</f>
        <v>-0.0625</v>
      </c>
      <c r="Q2440" s="0" t="n">
        <f aca="false">F2440*G2440</f>
        <v>0.25</v>
      </c>
      <c r="R2440" s="0" t="n">
        <f aca="false">F2440*H2440</f>
        <v>-0.0625</v>
      </c>
      <c r="S2440" s="0" t="n">
        <f aca="false">G2440*H2440</f>
        <v>-0.25</v>
      </c>
      <c r="T2440" s="0" t="n">
        <f aca="false">E2440*E2440</f>
        <v>0.0625</v>
      </c>
      <c r="U2440" s="0" t="n">
        <f aca="false">F2440*F2440</f>
        <v>0.0625</v>
      </c>
      <c r="V2440" s="0" t="n">
        <f aca="false">G2440*G2440</f>
        <v>1</v>
      </c>
      <c r="W2440" s="0" t="n">
        <f aca="false">H2440*H2440</f>
        <v>0.0625</v>
      </c>
      <c r="X2440" s="0" t="n">
        <f aca="false">SUMPRODUCT(I2440:W2440,_XtX!$B$96:$P$96)</f>
        <v>44.8913148757309</v>
      </c>
      <c r="Y2440" s="0" t="n">
        <f aca="false">SUMPRODUCT(MMULT(I2440:W2440,_XtX!$B$78:$P$92),I2440:W2440)</f>
        <v>0.457466705500731</v>
      </c>
      <c r="Z2440" s="0" t="n">
        <f aca="false">04_回帰ANOVA!$K$19*04_回帰ANOVA!$K$14*SQRT(1+Y2440)</f>
        <v>1.57361220003999</v>
      </c>
      <c r="AA2440" s="0" t="n">
        <f aca="false">X2440-Z2440</f>
        <v>43.3177026756909</v>
      </c>
      <c r="AB2440" s="0" t="n">
        <f aca="false">X2440+Z2440</f>
        <v>46.4649270757709</v>
      </c>
      <c r="AC2440" s="54" t="b">
        <f aca="false">AND(E2440&gt;=01_因子設定!$L$5-0.000000001,E2440&lt;=01_因子設定!$M$5+0.000000001,F2440&gt;=01_因子設定!$L$6-0.000000001,F2440&lt;=01_因子設定!$M$6+0.000000001,G2440&gt;=01_因子設定!$L$7-0.000000001,G2440&lt;=01_因子設定!$M$7+0.000000001,H2440&gt;=01_因子設定!$L$8-0.000000001,H2440&lt;=01_因子設定!$M$8+0.000000001,IF(01_因子設定!$B$20="Box-Behnken",E2440^2+F2440^2+G2440^2+H2440^2&lt;=2+0.000000001,TRUE()))</f>
        <v>1</v>
      </c>
      <c r="AD2440" s="55" t="n">
        <f aca="false">IF(AC2440,IF(01_因子設定!$B$13="最大化",AA2440-01_因子設定!$B$14,IF(01_因子設定!$B$13="最小化",01_因子設定!$B$15-AB2440,MIN(AA2440-01_因子設定!$B$14,01_因子設定!$B$15-AB2440))),-1E+030)</f>
        <v>-3.18229732430905</v>
      </c>
      <c r="AE2440" s="55" t="n">
        <f aca="false">IF(AC2440,IF(01_因子設定!$B$13="最大化",X2440,IF(01_因子設定!$B$13="最小化",-X2440,-ABS(X2440-01_因子設定!$B$16))),-1E+030)</f>
        <v>44.8913148757309</v>
      </c>
      <c r="AF2440" s="55" t="n">
        <f aca="false">AD2440+ROW()*0.000000001</f>
        <v>-3.18229488430905</v>
      </c>
      <c r="AG2440" s="55" t="n">
        <f aca="false">AE2440+ROW()*0.000000001</f>
        <v>44.8913173157309</v>
      </c>
    </row>
    <row r="2441" customFormat="false" ht="15" hidden="false" customHeight="false" outlineLevel="0" collapsed="false">
      <c r="A2441" s="0" t="n">
        <v>3</v>
      </c>
      <c r="B2441" s="0" t="n">
        <v>3</v>
      </c>
      <c r="C2441" s="0" t="n">
        <v>0</v>
      </c>
      <c r="D2441" s="0" t="n">
        <v>6</v>
      </c>
      <c r="E2441" s="0" t="n">
        <f aca="false">-1+A2441*0.25</f>
        <v>-0.25</v>
      </c>
      <c r="F2441" s="0" t="n">
        <f aca="false">-1+B2441*0.25</f>
        <v>-0.25</v>
      </c>
      <c r="G2441" s="0" t="n">
        <f aca="false">-1+C2441*0.25</f>
        <v>-1</v>
      </c>
      <c r="H2441" s="0" t="n">
        <f aca="false">-1+D2441*0.25</f>
        <v>0.5</v>
      </c>
      <c r="I2441" s="0" t="n">
        <f aca="false">1</f>
        <v>1</v>
      </c>
      <c r="J2441" s="0" t="n">
        <f aca="false">E2441</f>
        <v>-0.25</v>
      </c>
      <c r="K2441" s="0" t="n">
        <f aca="false">F2441</f>
        <v>-0.25</v>
      </c>
      <c r="L2441" s="0" t="n">
        <f aca="false">G2441</f>
        <v>-1</v>
      </c>
      <c r="M2441" s="0" t="n">
        <f aca="false">H2441</f>
        <v>0.5</v>
      </c>
      <c r="N2441" s="0" t="n">
        <f aca="false">E2441*F2441</f>
        <v>0.0625</v>
      </c>
      <c r="O2441" s="0" t="n">
        <f aca="false">E2441*G2441</f>
        <v>0.25</v>
      </c>
      <c r="P2441" s="0" t="n">
        <f aca="false">E2441*H2441</f>
        <v>-0.125</v>
      </c>
      <c r="Q2441" s="0" t="n">
        <f aca="false">F2441*G2441</f>
        <v>0.25</v>
      </c>
      <c r="R2441" s="0" t="n">
        <f aca="false">F2441*H2441</f>
        <v>-0.125</v>
      </c>
      <c r="S2441" s="0" t="n">
        <f aca="false">G2441*H2441</f>
        <v>-0.5</v>
      </c>
      <c r="T2441" s="0" t="n">
        <f aca="false">E2441*E2441</f>
        <v>0.0625</v>
      </c>
      <c r="U2441" s="0" t="n">
        <f aca="false">F2441*F2441</f>
        <v>0.0625</v>
      </c>
      <c r="V2441" s="0" t="n">
        <f aca="false">G2441*G2441</f>
        <v>1</v>
      </c>
      <c r="W2441" s="0" t="n">
        <f aca="false">H2441*H2441</f>
        <v>0.25</v>
      </c>
      <c r="X2441" s="0" t="n">
        <f aca="false">SUMPRODUCT(I2441:W2441,_XtX!$B$96:$P$96)</f>
        <v>44.8545869883041</v>
      </c>
      <c r="Y2441" s="0" t="n">
        <f aca="false">SUMPRODUCT(MMULT(I2441:W2441,_XtX!$B$78:$P$92),I2441:W2441)</f>
        <v>0.445705123812135</v>
      </c>
      <c r="Z2441" s="0" t="n">
        <f aca="false">04_回帰ANOVA!$K$19*04_回帰ANOVA!$K$14*SQRT(1+Y2441)</f>
        <v>1.56724990734749</v>
      </c>
      <c r="AA2441" s="0" t="n">
        <f aca="false">X2441-Z2441</f>
        <v>43.2873370809566</v>
      </c>
      <c r="AB2441" s="0" t="n">
        <f aca="false">X2441+Z2441</f>
        <v>46.4218368956515</v>
      </c>
      <c r="AC2441" s="54" t="b">
        <f aca="false">AND(E2441&gt;=01_因子設定!$L$5-0.000000001,E2441&lt;=01_因子設定!$M$5+0.000000001,F2441&gt;=01_因子設定!$L$6-0.000000001,F2441&lt;=01_因子設定!$M$6+0.000000001,G2441&gt;=01_因子設定!$L$7-0.000000001,G2441&lt;=01_因子設定!$M$7+0.000000001,H2441&gt;=01_因子設定!$L$8-0.000000001,H2441&lt;=01_因子設定!$M$8+0.000000001,IF(01_因子設定!$B$20="Box-Behnken",E2441^2+F2441^2+G2441^2+H2441^2&lt;=2+0.000000001,TRUE()))</f>
        <v>1</v>
      </c>
      <c r="AD2441" s="55" t="n">
        <f aca="false">IF(AC2441,IF(01_因子設定!$B$13="最大化",AA2441-01_因子設定!$B$14,IF(01_因子設定!$B$13="最小化",01_因子設定!$B$15-AB2441,MIN(AA2441-01_因子設定!$B$14,01_因子設定!$B$15-AB2441))),-1E+030)</f>
        <v>-3.21266291904344</v>
      </c>
      <c r="AE2441" s="55" t="n">
        <f aca="false">IF(AC2441,IF(01_因子設定!$B$13="最大化",X2441,IF(01_因子設定!$B$13="最小化",-X2441,-ABS(X2441-01_因子設定!$B$16))),-1E+030)</f>
        <v>44.8545869883041</v>
      </c>
      <c r="AF2441" s="55" t="n">
        <f aca="false">AD2441+ROW()*0.000000001</f>
        <v>-3.21266047804344</v>
      </c>
      <c r="AG2441" s="55" t="n">
        <f aca="false">AE2441+ROW()*0.000000001</f>
        <v>44.8545894293041</v>
      </c>
    </row>
    <row r="2442" customFormat="false" ht="15" hidden="false" customHeight="false" outlineLevel="0" collapsed="false">
      <c r="A2442" s="0" t="n">
        <v>3</v>
      </c>
      <c r="B2442" s="0" t="n">
        <v>3</v>
      </c>
      <c r="C2442" s="0" t="n">
        <v>0</v>
      </c>
      <c r="D2442" s="0" t="n">
        <v>7</v>
      </c>
      <c r="E2442" s="0" t="n">
        <f aca="false">-1+A2442*0.25</f>
        <v>-0.25</v>
      </c>
      <c r="F2442" s="0" t="n">
        <f aca="false">-1+B2442*0.25</f>
        <v>-0.25</v>
      </c>
      <c r="G2442" s="0" t="n">
        <f aca="false">-1+C2442*0.25</f>
        <v>-1</v>
      </c>
      <c r="H2442" s="0" t="n">
        <f aca="false">-1+D2442*0.25</f>
        <v>0.75</v>
      </c>
      <c r="I2442" s="0" t="n">
        <f aca="false">1</f>
        <v>1</v>
      </c>
      <c r="J2442" s="0" t="n">
        <f aca="false">E2442</f>
        <v>-0.25</v>
      </c>
      <c r="K2442" s="0" t="n">
        <f aca="false">F2442</f>
        <v>-0.25</v>
      </c>
      <c r="L2442" s="0" t="n">
        <f aca="false">G2442</f>
        <v>-1</v>
      </c>
      <c r="M2442" s="0" t="n">
        <f aca="false">H2442</f>
        <v>0.75</v>
      </c>
      <c r="N2442" s="0" t="n">
        <f aca="false">E2442*F2442</f>
        <v>0.0625</v>
      </c>
      <c r="O2442" s="0" t="n">
        <f aca="false">E2442*G2442</f>
        <v>0.25</v>
      </c>
      <c r="P2442" s="0" t="n">
        <f aca="false">E2442*H2442</f>
        <v>-0.1875</v>
      </c>
      <c r="Q2442" s="0" t="n">
        <f aca="false">F2442*G2442</f>
        <v>0.25</v>
      </c>
      <c r="R2442" s="0" t="n">
        <f aca="false">F2442*H2442</f>
        <v>-0.1875</v>
      </c>
      <c r="S2442" s="0" t="n">
        <f aca="false">G2442*H2442</f>
        <v>-0.75</v>
      </c>
      <c r="T2442" s="0" t="n">
        <f aca="false">E2442*E2442</f>
        <v>0.0625</v>
      </c>
      <c r="U2442" s="0" t="n">
        <f aca="false">F2442*F2442</f>
        <v>0.0625</v>
      </c>
      <c r="V2442" s="0" t="n">
        <f aca="false">G2442*G2442</f>
        <v>1</v>
      </c>
      <c r="W2442" s="0" t="n">
        <f aca="false">H2442*H2442</f>
        <v>0.5625</v>
      </c>
      <c r="X2442" s="0" t="n">
        <f aca="false">SUMPRODUCT(I2442:W2442,_XtX!$B$96:$P$96)</f>
        <v>44.7700520833333</v>
      </c>
      <c r="Y2442" s="0" t="n">
        <f aca="false">SUMPRODUCT(MMULT(I2442:W2442,_XtX!$B$78:$P$92),I2442:W2442)</f>
        <v>0.486409505208334</v>
      </c>
      <c r="Z2442" s="0" t="n">
        <f aca="false">04_回帰ANOVA!$K$19*04_回帰ANOVA!$K$14*SQRT(1+Y2442)</f>
        <v>1.58916001665498</v>
      </c>
      <c r="AA2442" s="0" t="n">
        <f aca="false">X2442-Z2442</f>
        <v>43.1808920666783</v>
      </c>
      <c r="AB2442" s="0" t="n">
        <f aca="false">X2442+Z2442</f>
        <v>46.3592120999883</v>
      </c>
      <c r="AC2442" s="54" t="b">
        <f aca="false">AND(E2442&gt;=01_因子設定!$L$5-0.000000001,E2442&lt;=01_因子設定!$M$5+0.000000001,F2442&gt;=01_因子設定!$L$6-0.000000001,F2442&lt;=01_因子設定!$M$6+0.000000001,G2442&gt;=01_因子設定!$L$7-0.000000001,G2442&lt;=01_因子設定!$M$7+0.000000001,H2442&gt;=01_因子設定!$L$8-0.000000001,H2442&lt;=01_因子設定!$M$8+0.000000001,IF(01_因子設定!$B$20="Box-Behnken",E2442^2+F2442^2+G2442^2+H2442^2&lt;=2+0.000000001,TRUE()))</f>
        <v>1</v>
      </c>
      <c r="AD2442" s="55" t="n">
        <f aca="false">IF(AC2442,IF(01_因子設定!$B$13="最大化",AA2442-01_因子設定!$B$14,IF(01_因子設定!$B$13="最小化",01_因子設定!$B$15-AB2442,MIN(AA2442-01_因子設定!$B$14,01_因子設定!$B$15-AB2442))),-1E+030)</f>
        <v>-3.31910793332168</v>
      </c>
      <c r="AE2442" s="55" t="n">
        <f aca="false">IF(AC2442,IF(01_因子設定!$B$13="最大化",X2442,IF(01_因子設定!$B$13="最小化",-X2442,-ABS(X2442-01_因子設定!$B$16))),-1E+030)</f>
        <v>44.7700520833333</v>
      </c>
      <c r="AF2442" s="55" t="n">
        <f aca="false">AD2442+ROW()*0.000000001</f>
        <v>-3.31910549132168</v>
      </c>
      <c r="AG2442" s="55" t="n">
        <f aca="false">AE2442+ROW()*0.000000001</f>
        <v>44.7700545253333</v>
      </c>
    </row>
    <row r="2443" customFormat="false" ht="15" hidden="false" customHeight="false" outlineLevel="0" collapsed="false">
      <c r="A2443" s="0" t="n">
        <v>3</v>
      </c>
      <c r="B2443" s="0" t="n">
        <v>3</v>
      </c>
      <c r="C2443" s="0" t="n">
        <v>0</v>
      </c>
      <c r="D2443" s="0" t="n">
        <v>8</v>
      </c>
      <c r="E2443" s="0" t="n">
        <f aca="false">-1+A2443*0.25</f>
        <v>-0.25</v>
      </c>
      <c r="F2443" s="0" t="n">
        <f aca="false">-1+B2443*0.25</f>
        <v>-0.25</v>
      </c>
      <c r="G2443" s="0" t="n">
        <f aca="false">-1+C2443*0.25</f>
        <v>-1</v>
      </c>
      <c r="H2443" s="0" t="n">
        <f aca="false">-1+D2443*0.25</f>
        <v>1</v>
      </c>
      <c r="I2443" s="0" t="n">
        <f aca="false">1</f>
        <v>1</v>
      </c>
      <c r="J2443" s="0" t="n">
        <f aca="false">E2443</f>
        <v>-0.25</v>
      </c>
      <c r="K2443" s="0" t="n">
        <f aca="false">F2443</f>
        <v>-0.25</v>
      </c>
      <c r="L2443" s="0" t="n">
        <f aca="false">G2443</f>
        <v>-1</v>
      </c>
      <c r="M2443" s="0" t="n">
        <f aca="false">H2443</f>
        <v>1</v>
      </c>
      <c r="N2443" s="0" t="n">
        <f aca="false">E2443*F2443</f>
        <v>0.0625</v>
      </c>
      <c r="O2443" s="0" t="n">
        <f aca="false">E2443*G2443</f>
        <v>0.25</v>
      </c>
      <c r="P2443" s="0" t="n">
        <f aca="false">E2443*H2443</f>
        <v>-0.25</v>
      </c>
      <c r="Q2443" s="0" t="n">
        <f aca="false">F2443*G2443</f>
        <v>0.25</v>
      </c>
      <c r="R2443" s="0" t="n">
        <f aca="false">F2443*H2443</f>
        <v>-0.25</v>
      </c>
      <c r="S2443" s="0" t="n">
        <f aca="false">G2443*H2443</f>
        <v>-1</v>
      </c>
      <c r="T2443" s="0" t="n">
        <f aca="false">E2443*E2443</f>
        <v>0.0625</v>
      </c>
      <c r="U2443" s="0" t="n">
        <f aca="false">F2443*F2443</f>
        <v>0.0625</v>
      </c>
      <c r="V2443" s="0" t="n">
        <f aca="false">G2443*G2443</f>
        <v>1</v>
      </c>
      <c r="W2443" s="0" t="n">
        <f aca="false">H2443*H2443</f>
        <v>1</v>
      </c>
      <c r="X2443" s="0" t="n">
        <f aca="false">SUMPRODUCT(I2443:W2443,_XtX!$B$96:$P$96)</f>
        <v>44.6377101608187</v>
      </c>
      <c r="Y2443" s="0" t="n">
        <f aca="false">SUMPRODUCT(MMULT(I2443:W2443,_XtX!$B$78:$P$92),I2443:W2443)</f>
        <v>0.670040376005117</v>
      </c>
      <c r="Z2443" s="0" t="n">
        <f aca="false">04_回帰ANOVA!$K$19*04_回帰ANOVA!$K$14*SQRT(1+Y2443)</f>
        <v>1.68446456039992</v>
      </c>
      <c r="AA2443" s="0" t="n">
        <f aca="false">X2443-Z2443</f>
        <v>42.9532456004188</v>
      </c>
      <c r="AB2443" s="0" t="n">
        <f aca="false">X2443+Z2443</f>
        <v>46.3221747212186</v>
      </c>
      <c r="AC2443" s="54" t="b">
        <f aca="false">AND(E2443&gt;=01_因子設定!$L$5-0.000000001,E2443&lt;=01_因子設定!$M$5+0.000000001,F2443&gt;=01_因子設定!$L$6-0.000000001,F2443&lt;=01_因子設定!$M$6+0.000000001,G2443&gt;=01_因子設定!$L$7-0.000000001,G2443&lt;=01_因子設定!$M$7+0.000000001,H2443&gt;=01_因子設定!$L$8-0.000000001,H2443&lt;=01_因子設定!$M$8+0.000000001,IF(01_因子設定!$B$20="Box-Behnken",E2443^2+F2443^2+G2443^2+H2443^2&lt;=2+0.000000001,TRUE()))</f>
        <v>1</v>
      </c>
      <c r="AD2443" s="55" t="n">
        <f aca="false">IF(AC2443,IF(01_因子設定!$B$13="最大化",AA2443-01_因子設定!$B$14,IF(01_因子設定!$B$13="最小化",01_因子設定!$B$15-AB2443,MIN(AA2443-01_因子設定!$B$14,01_因子設定!$B$15-AB2443))),-1E+030)</f>
        <v>-3.54675439958123</v>
      </c>
      <c r="AE2443" s="55" t="n">
        <f aca="false">IF(AC2443,IF(01_因子設定!$B$13="最大化",X2443,IF(01_因子設定!$B$13="最小化",-X2443,-ABS(X2443-01_因子設定!$B$16))),-1E+030)</f>
        <v>44.6377101608187</v>
      </c>
      <c r="AF2443" s="55" t="n">
        <f aca="false">AD2443+ROW()*0.000000001</f>
        <v>-3.54675195658123</v>
      </c>
      <c r="AG2443" s="55" t="n">
        <f aca="false">AE2443+ROW()*0.000000001</f>
        <v>44.6377126038187</v>
      </c>
    </row>
    <row r="2444" customFormat="false" ht="15" hidden="false" customHeight="false" outlineLevel="0" collapsed="false">
      <c r="A2444" s="0" t="n">
        <v>3</v>
      </c>
      <c r="B2444" s="0" t="n">
        <v>3</v>
      </c>
      <c r="C2444" s="0" t="n">
        <v>1</v>
      </c>
      <c r="D2444" s="0" t="n">
        <v>0</v>
      </c>
      <c r="E2444" s="0" t="n">
        <f aca="false">-1+A2444*0.25</f>
        <v>-0.25</v>
      </c>
      <c r="F2444" s="0" t="n">
        <f aca="false">-1+B2444*0.25</f>
        <v>-0.25</v>
      </c>
      <c r="G2444" s="0" t="n">
        <f aca="false">-1+C2444*0.25</f>
        <v>-0.75</v>
      </c>
      <c r="H2444" s="0" t="n">
        <f aca="false">-1+D2444*0.25</f>
        <v>-1</v>
      </c>
      <c r="I2444" s="0" t="n">
        <f aca="false">1</f>
        <v>1</v>
      </c>
      <c r="J2444" s="0" t="n">
        <f aca="false">E2444</f>
        <v>-0.25</v>
      </c>
      <c r="K2444" s="0" t="n">
        <f aca="false">F2444</f>
        <v>-0.25</v>
      </c>
      <c r="L2444" s="0" t="n">
        <f aca="false">G2444</f>
        <v>-0.75</v>
      </c>
      <c r="M2444" s="0" t="n">
        <f aca="false">H2444</f>
        <v>-1</v>
      </c>
      <c r="N2444" s="0" t="n">
        <f aca="false">E2444*F2444</f>
        <v>0.0625</v>
      </c>
      <c r="O2444" s="0" t="n">
        <f aca="false">E2444*G2444</f>
        <v>0.1875</v>
      </c>
      <c r="P2444" s="0" t="n">
        <f aca="false">E2444*H2444</f>
        <v>0.25</v>
      </c>
      <c r="Q2444" s="0" t="n">
        <f aca="false">F2444*G2444</f>
        <v>0.1875</v>
      </c>
      <c r="R2444" s="0" t="n">
        <f aca="false">F2444*H2444</f>
        <v>0.25</v>
      </c>
      <c r="S2444" s="0" t="n">
        <f aca="false">G2444*H2444</f>
        <v>0.75</v>
      </c>
      <c r="T2444" s="0" t="n">
        <f aca="false">E2444*E2444</f>
        <v>0.0625</v>
      </c>
      <c r="U2444" s="0" t="n">
        <f aca="false">F2444*F2444</f>
        <v>0.0625</v>
      </c>
      <c r="V2444" s="0" t="n">
        <f aca="false">G2444*G2444</f>
        <v>0.5625</v>
      </c>
      <c r="W2444" s="0" t="n">
        <f aca="false">H2444*H2444</f>
        <v>1</v>
      </c>
      <c r="X2444" s="0" t="n">
        <f aca="false">SUMPRODUCT(I2444:W2444,_XtX!$B$96:$P$96)</f>
        <v>44.8514756944444</v>
      </c>
      <c r="Y2444" s="0" t="n">
        <f aca="false">SUMPRODUCT(MMULT(I2444:W2444,_XtX!$B$78:$P$92),I2444:W2444)</f>
        <v>0.486409505208334</v>
      </c>
      <c r="Z2444" s="0" t="n">
        <f aca="false">04_回帰ANOVA!$K$19*04_回帰ANOVA!$K$14*SQRT(1+Y2444)</f>
        <v>1.58916001665498</v>
      </c>
      <c r="AA2444" s="0" t="n">
        <f aca="false">X2444-Z2444</f>
        <v>43.2623156777894</v>
      </c>
      <c r="AB2444" s="0" t="n">
        <f aca="false">X2444+Z2444</f>
        <v>46.4406357110994</v>
      </c>
      <c r="AC2444" s="54" t="b">
        <f aca="false">AND(E2444&gt;=01_因子設定!$L$5-0.000000001,E2444&lt;=01_因子設定!$M$5+0.000000001,F2444&gt;=01_因子設定!$L$6-0.000000001,F2444&lt;=01_因子設定!$M$6+0.000000001,G2444&gt;=01_因子設定!$L$7-0.000000001,G2444&lt;=01_因子設定!$M$7+0.000000001,H2444&gt;=01_因子設定!$L$8-0.000000001,H2444&lt;=01_因子設定!$M$8+0.000000001,IF(01_因子設定!$B$20="Box-Behnken",E2444^2+F2444^2+G2444^2+H2444^2&lt;=2+0.000000001,TRUE()))</f>
        <v>1</v>
      </c>
      <c r="AD2444" s="55" t="n">
        <f aca="false">IF(AC2444,IF(01_因子設定!$B$13="最大化",AA2444-01_因子設定!$B$14,IF(01_因子設定!$B$13="最小化",01_因子設定!$B$15-AB2444,MIN(AA2444-01_因子設定!$B$14,01_因子設定!$B$15-AB2444))),-1E+030)</f>
        <v>-3.23768432221056</v>
      </c>
      <c r="AE2444" s="55" t="n">
        <f aca="false">IF(AC2444,IF(01_因子設定!$B$13="最大化",X2444,IF(01_因子設定!$B$13="最小化",-X2444,-ABS(X2444-01_因子設定!$B$16))),-1E+030)</f>
        <v>44.8514756944444</v>
      </c>
      <c r="AF2444" s="55" t="n">
        <f aca="false">AD2444+ROW()*0.000000001</f>
        <v>-3.23768187821055</v>
      </c>
      <c r="AG2444" s="55" t="n">
        <f aca="false">AE2444+ROW()*0.000000001</f>
        <v>44.8514781384444</v>
      </c>
    </row>
    <row r="2445" customFormat="false" ht="15" hidden="false" customHeight="false" outlineLevel="0" collapsed="false">
      <c r="A2445" s="0" t="n">
        <v>3</v>
      </c>
      <c r="B2445" s="0" t="n">
        <v>3</v>
      </c>
      <c r="C2445" s="0" t="n">
        <v>1</v>
      </c>
      <c r="D2445" s="0" t="n">
        <v>1</v>
      </c>
      <c r="E2445" s="0" t="n">
        <f aca="false">-1+A2445*0.25</f>
        <v>-0.25</v>
      </c>
      <c r="F2445" s="0" t="n">
        <f aca="false">-1+B2445*0.25</f>
        <v>-0.25</v>
      </c>
      <c r="G2445" s="0" t="n">
        <f aca="false">-1+C2445*0.25</f>
        <v>-0.75</v>
      </c>
      <c r="H2445" s="0" t="n">
        <f aca="false">-1+D2445*0.25</f>
        <v>-0.75</v>
      </c>
      <c r="I2445" s="0" t="n">
        <f aca="false">1</f>
        <v>1</v>
      </c>
      <c r="J2445" s="0" t="n">
        <f aca="false">E2445</f>
        <v>-0.25</v>
      </c>
      <c r="K2445" s="0" t="n">
        <f aca="false">F2445</f>
        <v>-0.25</v>
      </c>
      <c r="L2445" s="0" t="n">
        <f aca="false">G2445</f>
        <v>-0.75</v>
      </c>
      <c r="M2445" s="0" t="n">
        <f aca="false">H2445</f>
        <v>-0.75</v>
      </c>
      <c r="N2445" s="0" t="n">
        <f aca="false">E2445*F2445</f>
        <v>0.0625</v>
      </c>
      <c r="O2445" s="0" t="n">
        <f aca="false">E2445*G2445</f>
        <v>0.1875</v>
      </c>
      <c r="P2445" s="0" t="n">
        <f aca="false">E2445*H2445</f>
        <v>0.1875</v>
      </c>
      <c r="Q2445" s="0" t="n">
        <f aca="false">F2445*G2445</f>
        <v>0.1875</v>
      </c>
      <c r="R2445" s="0" t="n">
        <f aca="false">F2445*H2445</f>
        <v>0.1875</v>
      </c>
      <c r="S2445" s="0" t="n">
        <f aca="false">G2445*H2445</f>
        <v>0.5625</v>
      </c>
      <c r="T2445" s="0" t="n">
        <f aca="false">E2445*E2445</f>
        <v>0.0625</v>
      </c>
      <c r="U2445" s="0" t="n">
        <f aca="false">F2445*F2445</f>
        <v>0.0625</v>
      </c>
      <c r="V2445" s="0" t="n">
        <f aca="false">G2445*G2445</f>
        <v>0.5625</v>
      </c>
      <c r="W2445" s="0" t="n">
        <f aca="false">H2445*H2445</f>
        <v>0.5625</v>
      </c>
      <c r="X2445" s="0" t="n">
        <f aca="false">SUMPRODUCT(I2445:W2445,_XtX!$B$96:$P$96)</f>
        <v>45.0717516447368</v>
      </c>
      <c r="Y2445" s="0" t="n">
        <f aca="false">SUMPRODUCT(MMULT(I2445:W2445,_XtX!$B$78:$P$92),I2445:W2445)</f>
        <v>0.271087468019006</v>
      </c>
      <c r="Z2445" s="0" t="n">
        <f aca="false">04_回帰ANOVA!$K$19*04_回帰ANOVA!$K$14*SQRT(1+Y2445)</f>
        <v>1.46955590155034</v>
      </c>
      <c r="AA2445" s="0" t="n">
        <f aca="false">X2445-Z2445</f>
        <v>43.6021957431865</v>
      </c>
      <c r="AB2445" s="0" t="n">
        <f aca="false">X2445+Z2445</f>
        <v>46.5413075462872</v>
      </c>
      <c r="AC2445" s="54" t="b">
        <f aca="false">AND(E2445&gt;=01_因子設定!$L$5-0.000000001,E2445&lt;=01_因子設定!$M$5+0.000000001,F2445&gt;=01_因子設定!$L$6-0.000000001,F2445&lt;=01_因子設定!$M$6+0.000000001,G2445&gt;=01_因子設定!$L$7-0.000000001,G2445&lt;=01_因子設定!$M$7+0.000000001,H2445&gt;=01_因子設定!$L$8-0.000000001,H2445&lt;=01_因子設定!$M$8+0.000000001,IF(01_因子設定!$B$20="Box-Behnken",E2445^2+F2445^2+G2445^2+H2445^2&lt;=2+0.000000001,TRUE()))</f>
        <v>1</v>
      </c>
      <c r="AD2445" s="55" t="n">
        <f aca="false">IF(AC2445,IF(01_因子設定!$B$13="最大化",AA2445-01_因子設定!$B$14,IF(01_因子設定!$B$13="最小化",01_因子設定!$B$15-AB2445,MIN(AA2445-01_因子設定!$B$14,01_因子設定!$B$15-AB2445))),-1E+030)</f>
        <v>-2.89780425681354</v>
      </c>
      <c r="AE2445" s="55" t="n">
        <f aca="false">IF(AC2445,IF(01_因子設定!$B$13="最大化",X2445,IF(01_因子設定!$B$13="最小化",-X2445,-ABS(X2445-01_因子設定!$B$16))),-1E+030)</f>
        <v>45.0717516447368</v>
      </c>
      <c r="AF2445" s="55" t="n">
        <f aca="false">AD2445+ROW()*0.000000001</f>
        <v>-2.89780181181354</v>
      </c>
      <c r="AG2445" s="55" t="n">
        <f aca="false">AE2445+ROW()*0.000000001</f>
        <v>45.0717540897368</v>
      </c>
    </row>
    <row r="2446" customFormat="false" ht="15" hidden="false" customHeight="false" outlineLevel="0" collapsed="false">
      <c r="A2446" s="0" t="n">
        <v>3</v>
      </c>
      <c r="B2446" s="0" t="n">
        <v>3</v>
      </c>
      <c r="C2446" s="0" t="n">
        <v>1</v>
      </c>
      <c r="D2446" s="0" t="n">
        <v>2</v>
      </c>
      <c r="E2446" s="0" t="n">
        <f aca="false">-1+A2446*0.25</f>
        <v>-0.25</v>
      </c>
      <c r="F2446" s="0" t="n">
        <f aca="false">-1+B2446*0.25</f>
        <v>-0.25</v>
      </c>
      <c r="G2446" s="0" t="n">
        <f aca="false">-1+C2446*0.25</f>
        <v>-0.75</v>
      </c>
      <c r="H2446" s="0" t="n">
        <f aca="false">-1+D2446*0.25</f>
        <v>-0.5</v>
      </c>
      <c r="I2446" s="0" t="n">
        <f aca="false">1</f>
        <v>1</v>
      </c>
      <c r="J2446" s="0" t="n">
        <f aca="false">E2446</f>
        <v>-0.25</v>
      </c>
      <c r="K2446" s="0" t="n">
        <f aca="false">F2446</f>
        <v>-0.25</v>
      </c>
      <c r="L2446" s="0" t="n">
        <f aca="false">G2446</f>
        <v>-0.75</v>
      </c>
      <c r="M2446" s="0" t="n">
        <f aca="false">H2446</f>
        <v>-0.5</v>
      </c>
      <c r="N2446" s="0" t="n">
        <f aca="false">E2446*F2446</f>
        <v>0.0625</v>
      </c>
      <c r="O2446" s="0" t="n">
        <f aca="false">E2446*G2446</f>
        <v>0.1875</v>
      </c>
      <c r="P2446" s="0" t="n">
        <f aca="false">E2446*H2446</f>
        <v>0.125</v>
      </c>
      <c r="Q2446" s="0" t="n">
        <f aca="false">F2446*G2446</f>
        <v>0.1875</v>
      </c>
      <c r="R2446" s="0" t="n">
        <f aca="false">F2446*H2446</f>
        <v>0.125</v>
      </c>
      <c r="S2446" s="0" t="n">
        <f aca="false">G2446*H2446</f>
        <v>0.375</v>
      </c>
      <c r="T2446" s="0" t="n">
        <f aca="false">E2446*E2446</f>
        <v>0.0625</v>
      </c>
      <c r="U2446" s="0" t="n">
        <f aca="false">F2446*F2446</f>
        <v>0.0625</v>
      </c>
      <c r="V2446" s="0" t="n">
        <f aca="false">G2446*G2446</f>
        <v>0.5625</v>
      </c>
      <c r="W2446" s="0" t="n">
        <f aca="false">H2446*H2446</f>
        <v>0.25</v>
      </c>
      <c r="X2446" s="0" t="n">
        <f aca="false">SUMPRODUCT(I2446:W2446,_XtX!$B$96:$P$96)</f>
        <v>45.2442205774853</v>
      </c>
      <c r="Y2446" s="0" t="n">
        <f aca="false">SUMPRODUCT(MMULT(I2446:W2446,_XtX!$B$78:$P$92),I2446:W2446)</f>
        <v>0.207746539199561</v>
      </c>
      <c r="Z2446" s="0" t="n">
        <f aca="false">04_回帰ANOVA!$K$19*04_回帰ANOVA!$K$14*SQRT(1+Y2446)</f>
        <v>1.43247250081141</v>
      </c>
      <c r="AA2446" s="0" t="n">
        <f aca="false">X2446-Z2446</f>
        <v>43.8117480766739</v>
      </c>
      <c r="AB2446" s="0" t="n">
        <f aca="false">X2446+Z2446</f>
        <v>46.6766930782967</v>
      </c>
      <c r="AC2446" s="54" t="b">
        <f aca="false">AND(E2446&gt;=01_因子設定!$L$5-0.000000001,E2446&lt;=01_因子設定!$M$5+0.000000001,F2446&gt;=01_因子設定!$L$6-0.000000001,F2446&lt;=01_因子設定!$M$6+0.000000001,G2446&gt;=01_因子設定!$L$7-0.000000001,G2446&lt;=01_因子設定!$M$7+0.000000001,H2446&gt;=01_因子設定!$L$8-0.000000001,H2446&lt;=01_因子設定!$M$8+0.000000001,IF(01_因子設定!$B$20="Box-Behnken",E2446^2+F2446^2+G2446^2+H2446^2&lt;=2+0.000000001,TRUE()))</f>
        <v>1</v>
      </c>
      <c r="AD2446" s="55" t="n">
        <f aca="false">IF(AC2446,IF(01_因子設定!$B$13="最大化",AA2446-01_因子設定!$B$14,IF(01_因子設定!$B$13="最小化",01_因子設定!$B$15-AB2446,MIN(AA2446-01_因子設定!$B$14,01_因子設定!$B$15-AB2446))),-1E+030)</f>
        <v>-2.68825192332608</v>
      </c>
      <c r="AE2446" s="55" t="n">
        <f aca="false">IF(AC2446,IF(01_因子設定!$B$13="最大化",X2446,IF(01_因子設定!$B$13="最小化",-X2446,-ABS(X2446-01_因子設定!$B$16))),-1E+030)</f>
        <v>45.2442205774853</v>
      </c>
      <c r="AF2446" s="55" t="n">
        <f aca="false">AD2446+ROW()*0.000000001</f>
        <v>-2.68824947732608</v>
      </c>
      <c r="AG2446" s="55" t="n">
        <f aca="false">AE2446+ROW()*0.000000001</f>
        <v>45.2442230234853</v>
      </c>
    </row>
    <row r="2447" customFormat="false" ht="15" hidden="false" customHeight="false" outlineLevel="0" collapsed="false">
      <c r="A2447" s="0" t="n">
        <v>3</v>
      </c>
      <c r="B2447" s="0" t="n">
        <v>3</v>
      </c>
      <c r="C2447" s="0" t="n">
        <v>1</v>
      </c>
      <c r="D2447" s="0" t="n">
        <v>3</v>
      </c>
      <c r="E2447" s="0" t="n">
        <f aca="false">-1+A2447*0.25</f>
        <v>-0.25</v>
      </c>
      <c r="F2447" s="0" t="n">
        <f aca="false">-1+B2447*0.25</f>
        <v>-0.25</v>
      </c>
      <c r="G2447" s="0" t="n">
        <f aca="false">-1+C2447*0.25</f>
        <v>-0.75</v>
      </c>
      <c r="H2447" s="0" t="n">
        <f aca="false">-1+D2447*0.25</f>
        <v>-0.25</v>
      </c>
      <c r="I2447" s="0" t="n">
        <f aca="false">1</f>
        <v>1</v>
      </c>
      <c r="J2447" s="0" t="n">
        <f aca="false">E2447</f>
        <v>-0.25</v>
      </c>
      <c r="K2447" s="0" t="n">
        <f aca="false">F2447</f>
        <v>-0.25</v>
      </c>
      <c r="L2447" s="0" t="n">
        <f aca="false">G2447</f>
        <v>-0.75</v>
      </c>
      <c r="M2447" s="0" t="n">
        <f aca="false">H2447</f>
        <v>-0.25</v>
      </c>
      <c r="N2447" s="0" t="n">
        <f aca="false">E2447*F2447</f>
        <v>0.0625</v>
      </c>
      <c r="O2447" s="0" t="n">
        <f aca="false">E2447*G2447</f>
        <v>0.1875</v>
      </c>
      <c r="P2447" s="0" t="n">
        <f aca="false">E2447*H2447</f>
        <v>0.0625</v>
      </c>
      <c r="Q2447" s="0" t="n">
        <f aca="false">F2447*G2447</f>
        <v>0.1875</v>
      </c>
      <c r="R2447" s="0" t="n">
        <f aca="false">F2447*H2447</f>
        <v>0.0625</v>
      </c>
      <c r="S2447" s="0" t="n">
        <f aca="false">G2447*H2447</f>
        <v>0.1875</v>
      </c>
      <c r="T2447" s="0" t="n">
        <f aca="false">E2447*E2447</f>
        <v>0.0625</v>
      </c>
      <c r="U2447" s="0" t="n">
        <f aca="false">F2447*F2447</f>
        <v>0.0625</v>
      </c>
      <c r="V2447" s="0" t="n">
        <f aca="false">G2447*G2447</f>
        <v>0.5625</v>
      </c>
      <c r="W2447" s="0" t="n">
        <f aca="false">H2447*H2447</f>
        <v>0.0625</v>
      </c>
      <c r="X2447" s="0" t="n">
        <f aca="false">SUMPRODUCT(I2447:W2447,_XtX!$B$96:$P$96)</f>
        <v>45.36888249269</v>
      </c>
      <c r="Y2447" s="0" t="n">
        <f aca="false">SUMPRODUCT(MMULT(I2447:W2447,_XtX!$B$78:$P$92),I2447:W2447)</f>
        <v>0.205926192434211</v>
      </c>
      <c r="Z2447" s="0" t="n">
        <f aca="false">04_回帰ANOVA!$K$19*04_回帰ANOVA!$K$14*SQRT(1+Y2447)</f>
        <v>1.43139256396246</v>
      </c>
      <c r="AA2447" s="0" t="n">
        <f aca="false">X2447-Z2447</f>
        <v>43.9374899287275</v>
      </c>
      <c r="AB2447" s="0" t="n">
        <f aca="false">X2447+Z2447</f>
        <v>46.8002750566525</v>
      </c>
      <c r="AC2447" s="54" t="b">
        <f aca="false">AND(E2447&gt;=01_因子設定!$L$5-0.000000001,E2447&lt;=01_因子設定!$M$5+0.000000001,F2447&gt;=01_因子設定!$L$6-0.000000001,F2447&lt;=01_因子設定!$M$6+0.000000001,G2447&gt;=01_因子設定!$L$7-0.000000001,G2447&lt;=01_因子設定!$M$7+0.000000001,H2447&gt;=01_因子設定!$L$8-0.000000001,H2447&lt;=01_因子設定!$M$8+0.000000001,IF(01_因子設定!$B$20="Box-Behnken",E2447^2+F2447^2+G2447^2+H2447^2&lt;=2+0.000000001,TRUE()))</f>
        <v>1</v>
      </c>
      <c r="AD2447" s="55" t="n">
        <f aca="false">IF(AC2447,IF(01_因子設定!$B$13="最大化",AA2447-01_因子設定!$B$14,IF(01_因子設定!$B$13="最小化",01_因子設定!$B$15-AB2447,MIN(AA2447-01_因子設定!$B$14,01_因子設定!$B$15-AB2447))),-1E+030)</f>
        <v>-2.56251007127246</v>
      </c>
      <c r="AE2447" s="55" t="n">
        <f aca="false">IF(AC2447,IF(01_因子設定!$B$13="最大化",X2447,IF(01_因子設定!$B$13="最小化",-X2447,-ABS(X2447-01_因子設定!$B$16))),-1E+030)</f>
        <v>45.36888249269</v>
      </c>
      <c r="AF2447" s="55" t="n">
        <f aca="false">AD2447+ROW()*0.000000001</f>
        <v>-2.56250762427246</v>
      </c>
      <c r="AG2447" s="55" t="n">
        <f aca="false">AE2447+ROW()*0.000000001</f>
        <v>45.36888493969</v>
      </c>
    </row>
    <row r="2448" customFormat="false" ht="15" hidden="false" customHeight="false" outlineLevel="0" collapsed="false">
      <c r="A2448" s="0" t="n">
        <v>3</v>
      </c>
      <c r="B2448" s="0" t="n">
        <v>3</v>
      </c>
      <c r="C2448" s="0" t="n">
        <v>1</v>
      </c>
      <c r="D2448" s="0" t="n">
        <v>4</v>
      </c>
      <c r="E2448" s="0" t="n">
        <f aca="false">-1+A2448*0.25</f>
        <v>-0.25</v>
      </c>
      <c r="F2448" s="0" t="n">
        <f aca="false">-1+B2448*0.25</f>
        <v>-0.25</v>
      </c>
      <c r="G2448" s="0" t="n">
        <f aca="false">-1+C2448*0.25</f>
        <v>-0.75</v>
      </c>
      <c r="H2448" s="0" t="n">
        <f aca="false">-1+D2448*0.25</f>
        <v>0</v>
      </c>
      <c r="I2448" s="0" t="n">
        <f aca="false">1</f>
        <v>1</v>
      </c>
      <c r="J2448" s="0" t="n">
        <f aca="false">E2448</f>
        <v>-0.25</v>
      </c>
      <c r="K2448" s="0" t="n">
        <f aca="false">F2448</f>
        <v>-0.25</v>
      </c>
      <c r="L2448" s="0" t="n">
        <f aca="false">G2448</f>
        <v>-0.75</v>
      </c>
      <c r="M2448" s="0" t="n">
        <f aca="false">H2448</f>
        <v>0</v>
      </c>
      <c r="N2448" s="0" t="n">
        <f aca="false">E2448*F2448</f>
        <v>0.0625</v>
      </c>
      <c r="O2448" s="0" t="n">
        <f aca="false">E2448*G2448</f>
        <v>0.1875</v>
      </c>
      <c r="P2448" s="0" t="n">
        <f aca="false">E2448*H2448</f>
        <v>-0</v>
      </c>
      <c r="Q2448" s="0" t="n">
        <f aca="false">F2448*G2448</f>
        <v>0.1875</v>
      </c>
      <c r="R2448" s="0" t="n">
        <f aca="false">F2448*H2448</f>
        <v>-0</v>
      </c>
      <c r="S2448" s="0" t="n">
        <f aca="false">G2448*H2448</f>
        <v>-0</v>
      </c>
      <c r="T2448" s="0" t="n">
        <f aca="false">E2448*E2448</f>
        <v>0.0625</v>
      </c>
      <c r="U2448" s="0" t="n">
        <f aca="false">F2448*F2448</f>
        <v>0.0625</v>
      </c>
      <c r="V2448" s="0" t="n">
        <f aca="false">G2448*G2448</f>
        <v>0.5625</v>
      </c>
      <c r="W2448" s="0" t="n">
        <f aca="false">H2448*H2448</f>
        <v>0</v>
      </c>
      <c r="X2448" s="0" t="n">
        <f aca="false">SUMPRODUCT(I2448:W2448,_XtX!$B$96:$P$96)</f>
        <v>45.4457373903508</v>
      </c>
      <c r="Y2448" s="0" t="n">
        <f aca="false">SUMPRODUCT(MMULT(I2448:W2448,_XtX!$B$78:$P$92),I2448:W2448)</f>
        <v>0.21135011193348</v>
      </c>
      <c r="Z2448" s="0" t="n">
        <f aca="false">04_回帰ANOVA!$K$19*04_回帰ANOVA!$K$14*SQRT(1+Y2448)</f>
        <v>1.43460795469709</v>
      </c>
      <c r="AA2448" s="0" t="n">
        <f aca="false">X2448-Z2448</f>
        <v>44.0111294356537</v>
      </c>
      <c r="AB2448" s="0" t="n">
        <f aca="false">X2448+Z2448</f>
        <v>46.8803453450479</v>
      </c>
      <c r="AC2448" s="54" t="b">
        <f aca="false">AND(E2448&gt;=01_因子設定!$L$5-0.000000001,E2448&lt;=01_因子設定!$M$5+0.000000001,F2448&gt;=01_因子設定!$L$6-0.000000001,F2448&lt;=01_因子設定!$M$6+0.000000001,G2448&gt;=01_因子設定!$L$7-0.000000001,G2448&lt;=01_因子設定!$M$7+0.000000001,H2448&gt;=01_因子設定!$L$8-0.000000001,H2448&lt;=01_因子設定!$M$8+0.000000001,IF(01_因子設定!$B$20="Box-Behnken",E2448^2+F2448^2+G2448^2+H2448^2&lt;=2+0.000000001,TRUE()))</f>
        <v>1</v>
      </c>
      <c r="AD2448" s="55" t="n">
        <f aca="false">IF(AC2448,IF(01_因子設定!$B$13="最大化",AA2448-01_因子設定!$B$14,IF(01_因子設定!$B$13="最小化",01_因子設定!$B$15-AB2448,MIN(AA2448-01_因子設定!$B$14,01_因子設定!$B$15-AB2448))),-1E+030)</f>
        <v>-2.48887056434626</v>
      </c>
      <c r="AE2448" s="55" t="n">
        <f aca="false">IF(AC2448,IF(01_因子設定!$B$13="最大化",X2448,IF(01_因子設定!$B$13="最小化",-X2448,-ABS(X2448-01_因子設定!$B$16))),-1E+030)</f>
        <v>45.4457373903508</v>
      </c>
      <c r="AF2448" s="55" t="n">
        <f aca="false">AD2448+ROW()*0.000000001</f>
        <v>-2.48886811634626</v>
      </c>
      <c r="AG2448" s="55" t="n">
        <f aca="false">AE2448+ROW()*0.000000001</f>
        <v>45.4457398383508</v>
      </c>
    </row>
    <row r="2449" customFormat="false" ht="15" hidden="false" customHeight="false" outlineLevel="0" collapsed="false">
      <c r="A2449" s="0" t="n">
        <v>3</v>
      </c>
      <c r="B2449" s="0" t="n">
        <v>3</v>
      </c>
      <c r="C2449" s="0" t="n">
        <v>1</v>
      </c>
      <c r="D2449" s="0" t="n">
        <v>5</v>
      </c>
      <c r="E2449" s="0" t="n">
        <f aca="false">-1+A2449*0.25</f>
        <v>-0.25</v>
      </c>
      <c r="F2449" s="0" t="n">
        <f aca="false">-1+B2449*0.25</f>
        <v>-0.25</v>
      </c>
      <c r="G2449" s="0" t="n">
        <f aca="false">-1+C2449*0.25</f>
        <v>-0.75</v>
      </c>
      <c r="H2449" s="0" t="n">
        <f aca="false">-1+D2449*0.25</f>
        <v>0.25</v>
      </c>
      <c r="I2449" s="0" t="n">
        <f aca="false">1</f>
        <v>1</v>
      </c>
      <c r="J2449" s="0" t="n">
        <f aca="false">E2449</f>
        <v>-0.25</v>
      </c>
      <c r="K2449" s="0" t="n">
        <f aca="false">F2449</f>
        <v>-0.25</v>
      </c>
      <c r="L2449" s="0" t="n">
        <f aca="false">G2449</f>
        <v>-0.75</v>
      </c>
      <c r="M2449" s="0" t="n">
        <f aca="false">H2449</f>
        <v>0.25</v>
      </c>
      <c r="N2449" s="0" t="n">
        <f aca="false">E2449*F2449</f>
        <v>0.0625</v>
      </c>
      <c r="O2449" s="0" t="n">
        <f aca="false">E2449*G2449</f>
        <v>0.1875</v>
      </c>
      <c r="P2449" s="0" t="n">
        <f aca="false">E2449*H2449</f>
        <v>-0.0625</v>
      </c>
      <c r="Q2449" s="0" t="n">
        <f aca="false">F2449*G2449</f>
        <v>0.1875</v>
      </c>
      <c r="R2449" s="0" t="n">
        <f aca="false">F2449*H2449</f>
        <v>-0.0625</v>
      </c>
      <c r="S2449" s="0" t="n">
        <f aca="false">G2449*H2449</f>
        <v>-0.1875</v>
      </c>
      <c r="T2449" s="0" t="n">
        <f aca="false">E2449*E2449</f>
        <v>0.0625</v>
      </c>
      <c r="U2449" s="0" t="n">
        <f aca="false">F2449*F2449</f>
        <v>0.0625</v>
      </c>
      <c r="V2449" s="0" t="n">
        <f aca="false">G2449*G2449</f>
        <v>0.5625</v>
      </c>
      <c r="W2449" s="0" t="n">
        <f aca="false">H2449*H2449</f>
        <v>0.0625</v>
      </c>
      <c r="X2449" s="0" t="n">
        <f aca="false">SUMPRODUCT(I2449:W2449,_XtX!$B$96:$P$96)</f>
        <v>45.4747852704678</v>
      </c>
      <c r="Y2449" s="0" t="n">
        <f aca="false">SUMPRODUCT(MMULT(I2449:W2449,_XtX!$B$78:$P$92),I2449:W2449)</f>
        <v>0.205926192434211</v>
      </c>
      <c r="Z2449" s="0" t="n">
        <f aca="false">04_回帰ANOVA!$K$19*04_回帰ANOVA!$K$14*SQRT(1+Y2449)</f>
        <v>1.43139256396246</v>
      </c>
      <c r="AA2449" s="0" t="n">
        <f aca="false">X2449-Z2449</f>
        <v>44.0433927065053</v>
      </c>
      <c r="AB2449" s="0" t="n">
        <f aca="false">X2449+Z2449</f>
        <v>46.9061778344302</v>
      </c>
      <c r="AC2449" s="54" t="b">
        <f aca="false">AND(E2449&gt;=01_因子設定!$L$5-0.000000001,E2449&lt;=01_因子設定!$M$5+0.000000001,F2449&gt;=01_因子設定!$L$6-0.000000001,F2449&lt;=01_因子設定!$M$6+0.000000001,G2449&gt;=01_因子設定!$L$7-0.000000001,G2449&lt;=01_因子設定!$M$7+0.000000001,H2449&gt;=01_因子設定!$L$8-0.000000001,H2449&lt;=01_因子設定!$M$8+0.000000001,IF(01_因子設定!$B$20="Box-Behnken",E2449^2+F2449^2+G2449^2+H2449^2&lt;=2+0.000000001,TRUE()))</f>
        <v>1</v>
      </c>
      <c r="AD2449" s="55" t="n">
        <f aca="false">IF(AC2449,IF(01_因子設定!$B$13="最大化",AA2449-01_因子設定!$B$14,IF(01_因子設定!$B$13="最小化",01_因子設定!$B$15-AB2449,MIN(AA2449-01_因子設定!$B$14,01_因子設定!$B$15-AB2449))),-1E+030)</f>
        <v>-2.45660729349468</v>
      </c>
      <c r="AE2449" s="55" t="n">
        <f aca="false">IF(AC2449,IF(01_因子設定!$B$13="最大化",X2449,IF(01_因子設定!$B$13="最小化",-X2449,-ABS(X2449-01_因子設定!$B$16))),-1E+030)</f>
        <v>45.4747852704678</v>
      </c>
      <c r="AF2449" s="55" t="n">
        <f aca="false">AD2449+ROW()*0.000000001</f>
        <v>-2.45660484449468</v>
      </c>
      <c r="AG2449" s="55" t="n">
        <f aca="false">AE2449+ROW()*0.000000001</f>
        <v>45.4747877194678</v>
      </c>
    </row>
    <row r="2450" customFormat="false" ht="15" hidden="false" customHeight="false" outlineLevel="0" collapsed="false">
      <c r="A2450" s="0" t="n">
        <v>3</v>
      </c>
      <c r="B2450" s="0" t="n">
        <v>3</v>
      </c>
      <c r="C2450" s="0" t="n">
        <v>1</v>
      </c>
      <c r="D2450" s="0" t="n">
        <v>6</v>
      </c>
      <c r="E2450" s="0" t="n">
        <f aca="false">-1+A2450*0.25</f>
        <v>-0.25</v>
      </c>
      <c r="F2450" s="0" t="n">
        <f aca="false">-1+B2450*0.25</f>
        <v>-0.25</v>
      </c>
      <c r="G2450" s="0" t="n">
        <f aca="false">-1+C2450*0.25</f>
        <v>-0.75</v>
      </c>
      <c r="H2450" s="0" t="n">
        <f aca="false">-1+D2450*0.25</f>
        <v>0.5</v>
      </c>
      <c r="I2450" s="0" t="n">
        <f aca="false">1</f>
        <v>1</v>
      </c>
      <c r="J2450" s="0" t="n">
        <f aca="false">E2450</f>
        <v>-0.25</v>
      </c>
      <c r="K2450" s="0" t="n">
        <f aca="false">F2450</f>
        <v>-0.25</v>
      </c>
      <c r="L2450" s="0" t="n">
        <f aca="false">G2450</f>
        <v>-0.75</v>
      </c>
      <c r="M2450" s="0" t="n">
        <f aca="false">H2450</f>
        <v>0.5</v>
      </c>
      <c r="N2450" s="0" t="n">
        <f aca="false">E2450*F2450</f>
        <v>0.0625</v>
      </c>
      <c r="O2450" s="0" t="n">
        <f aca="false">E2450*G2450</f>
        <v>0.1875</v>
      </c>
      <c r="P2450" s="0" t="n">
        <f aca="false">E2450*H2450</f>
        <v>-0.125</v>
      </c>
      <c r="Q2450" s="0" t="n">
        <f aca="false">F2450*G2450</f>
        <v>0.1875</v>
      </c>
      <c r="R2450" s="0" t="n">
        <f aca="false">F2450*H2450</f>
        <v>-0.125</v>
      </c>
      <c r="S2450" s="0" t="n">
        <f aca="false">G2450*H2450</f>
        <v>-0.375</v>
      </c>
      <c r="T2450" s="0" t="n">
        <f aca="false">E2450*E2450</f>
        <v>0.0625</v>
      </c>
      <c r="U2450" s="0" t="n">
        <f aca="false">F2450*F2450</f>
        <v>0.0625</v>
      </c>
      <c r="V2450" s="0" t="n">
        <f aca="false">G2450*G2450</f>
        <v>0.5625</v>
      </c>
      <c r="W2450" s="0" t="n">
        <f aca="false">H2450*H2450</f>
        <v>0.25</v>
      </c>
      <c r="X2450" s="0" t="n">
        <f aca="false">SUMPRODUCT(I2450:W2450,_XtX!$B$96:$P$96)</f>
        <v>45.4560261330409</v>
      </c>
      <c r="Y2450" s="0" t="n">
        <f aca="false">SUMPRODUCT(MMULT(I2450:W2450,_XtX!$B$78:$P$92),I2450:W2450)</f>
        <v>0.207746539199561</v>
      </c>
      <c r="Z2450" s="0" t="n">
        <f aca="false">04_回帰ANOVA!$K$19*04_回帰ANOVA!$K$14*SQRT(1+Y2450)</f>
        <v>1.43247250081141</v>
      </c>
      <c r="AA2450" s="0" t="n">
        <f aca="false">X2450-Z2450</f>
        <v>44.0235536322295</v>
      </c>
      <c r="AB2450" s="0" t="n">
        <f aca="false">X2450+Z2450</f>
        <v>46.8884986338523</v>
      </c>
      <c r="AC2450" s="54" t="b">
        <f aca="false">AND(E2450&gt;=01_因子設定!$L$5-0.000000001,E2450&lt;=01_因子設定!$M$5+0.000000001,F2450&gt;=01_因子設定!$L$6-0.000000001,F2450&lt;=01_因子設定!$M$6+0.000000001,G2450&gt;=01_因子設定!$L$7-0.000000001,G2450&lt;=01_因子設定!$M$7+0.000000001,H2450&gt;=01_因子設定!$L$8-0.000000001,H2450&lt;=01_因子設定!$M$8+0.000000001,IF(01_因子設定!$B$20="Box-Behnken",E2450^2+F2450^2+G2450^2+H2450^2&lt;=2+0.000000001,TRUE()))</f>
        <v>1</v>
      </c>
      <c r="AD2450" s="55" t="n">
        <f aca="false">IF(AC2450,IF(01_因子設定!$B$13="最大化",AA2450-01_因子設定!$B$14,IF(01_因子設定!$B$13="最小化",01_因子設定!$B$15-AB2450,MIN(AA2450-01_因子設定!$B$14,01_因子設定!$B$15-AB2450))),-1E+030)</f>
        <v>-2.47644636777052</v>
      </c>
      <c r="AE2450" s="55" t="n">
        <f aca="false">IF(AC2450,IF(01_因子設定!$B$13="最大化",X2450,IF(01_因子設定!$B$13="最小化",-X2450,-ABS(X2450-01_因子設定!$B$16))),-1E+030)</f>
        <v>45.4560261330409</v>
      </c>
      <c r="AF2450" s="55" t="n">
        <f aca="false">AD2450+ROW()*0.000000001</f>
        <v>-2.47644391777052</v>
      </c>
      <c r="AG2450" s="55" t="n">
        <f aca="false">AE2450+ROW()*0.000000001</f>
        <v>45.4560285830409</v>
      </c>
    </row>
    <row r="2451" customFormat="false" ht="15" hidden="false" customHeight="false" outlineLevel="0" collapsed="false">
      <c r="A2451" s="0" t="n">
        <v>3</v>
      </c>
      <c r="B2451" s="0" t="n">
        <v>3</v>
      </c>
      <c r="C2451" s="0" t="n">
        <v>1</v>
      </c>
      <c r="D2451" s="0" t="n">
        <v>7</v>
      </c>
      <c r="E2451" s="0" t="n">
        <f aca="false">-1+A2451*0.25</f>
        <v>-0.25</v>
      </c>
      <c r="F2451" s="0" t="n">
        <f aca="false">-1+B2451*0.25</f>
        <v>-0.25</v>
      </c>
      <c r="G2451" s="0" t="n">
        <f aca="false">-1+C2451*0.25</f>
        <v>-0.75</v>
      </c>
      <c r="H2451" s="0" t="n">
        <f aca="false">-1+D2451*0.25</f>
        <v>0.75</v>
      </c>
      <c r="I2451" s="0" t="n">
        <f aca="false">1</f>
        <v>1</v>
      </c>
      <c r="J2451" s="0" t="n">
        <f aca="false">E2451</f>
        <v>-0.25</v>
      </c>
      <c r="K2451" s="0" t="n">
        <f aca="false">F2451</f>
        <v>-0.25</v>
      </c>
      <c r="L2451" s="0" t="n">
        <f aca="false">G2451</f>
        <v>-0.75</v>
      </c>
      <c r="M2451" s="0" t="n">
        <f aca="false">H2451</f>
        <v>0.75</v>
      </c>
      <c r="N2451" s="0" t="n">
        <f aca="false">E2451*F2451</f>
        <v>0.0625</v>
      </c>
      <c r="O2451" s="0" t="n">
        <f aca="false">E2451*G2451</f>
        <v>0.1875</v>
      </c>
      <c r="P2451" s="0" t="n">
        <f aca="false">E2451*H2451</f>
        <v>-0.1875</v>
      </c>
      <c r="Q2451" s="0" t="n">
        <f aca="false">F2451*G2451</f>
        <v>0.1875</v>
      </c>
      <c r="R2451" s="0" t="n">
        <f aca="false">F2451*H2451</f>
        <v>-0.1875</v>
      </c>
      <c r="S2451" s="0" t="n">
        <f aca="false">G2451*H2451</f>
        <v>-0.5625</v>
      </c>
      <c r="T2451" s="0" t="n">
        <f aca="false">E2451*E2451</f>
        <v>0.0625</v>
      </c>
      <c r="U2451" s="0" t="n">
        <f aca="false">F2451*F2451</f>
        <v>0.0625</v>
      </c>
      <c r="V2451" s="0" t="n">
        <f aca="false">G2451*G2451</f>
        <v>0.5625</v>
      </c>
      <c r="W2451" s="0" t="n">
        <f aca="false">H2451*H2451</f>
        <v>0.5625</v>
      </c>
      <c r="X2451" s="0" t="n">
        <f aca="false">SUMPRODUCT(I2451:W2451,_XtX!$B$96:$P$96)</f>
        <v>45.3894599780701</v>
      </c>
      <c r="Y2451" s="0" t="n">
        <f aca="false">SUMPRODUCT(MMULT(I2451:W2451,_XtX!$B$78:$P$92),I2451:W2451)</f>
        <v>0.271087468019006</v>
      </c>
      <c r="Z2451" s="0" t="n">
        <f aca="false">04_回帰ANOVA!$K$19*04_回帰ANOVA!$K$14*SQRT(1+Y2451)</f>
        <v>1.46955590155034</v>
      </c>
      <c r="AA2451" s="0" t="n">
        <f aca="false">X2451-Z2451</f>
        <v>43.9199040765198</v>
      </c>
      <c r="AB2451" s="0" t="n">
        <f aca="false">X2451+Z2451</f>
        <v>46.8590158796205</v>
      </c>
      <c r="AC2451" s="54" t="b">
        <f aca="false">AND(E2451&gt;=01_因子設定!$L$5-0.000000001,E2451&lt;=01_因子設定!$M$5+0.000000001,F2451&gt;=01_因子設定!$L$6-0.000000001,F2451&lt;=01_因子設定!$M$6+0.000000001,G2451&gt;=01_因子設定!$L$7-0.000000001,G2451&lt;=01_因子設定!$M$7+0.000000001,H2451&gt;=01_因子設定!$L$8-0.000000001,H2451&lt;=01_因子設定!$M$8+0.000000001,IF(01_因子設定!$B$20="Box-Behnken",E2451^2+F2451^2+G2451^2+H2451^2&lt;=2+0.000000001,TRUE()))</f>
        <v>1</v>
      </c>
      <c r="AD2451" s="55" t="n">
        <f aca="false">IF(AC2451,IF(01_因子設定!$B$13="最大化",AA2451-01_因子設定!$B$14,IF(01_因子設定!$B$13="最小化",01_因子設定!$B$15-AB2451,MIN(AA2451-01_因子設定!$B$14,01_因子設定!$B$15-AB2451))),-1E+030)</f>
        <v>-2.58009592348021</v>
      </c>
      <c r="AE2451" s="55" t="n">
        <f aca="false">IF(AC2451,IF(01_因子設定!$B$13="最大化",X2451,IF(01_因子設定!$B$13="最小化",-X2451,-ABS(X2451-01_因子設定!$B$16))),-1E+030)</f>
        <v>45.3894599780701</v>
      </c>
      <c r="AF2451" s="55" t="n">
        <f aca="false">AD2451+ROW()*0.000000001</f>
        <v>-2.58009347248021</v>
      </c>
      <c r="AG2451" s="55" t="n">
        <f aca="false">AE2451+ROW()*0.000000001</f>
        <v>45.3894624290701</v>
      </c>
    </row>
    <row r="2452" customFormat="false" ht="15" hidden="false" customHeight="false" outlineLevel="0" collapsed="false">
      <c r="A2452" s="0" t="n">
        <v>3</v>
      </c>
      <c r="B2452" s="0" t="n">
        <v>3</v>
      </c>
      <c r="C2452" s="0" t="n">
        <v>1</v>
      </c>
      <c r="D2452" s="0" t="n">
        <v>8</v>
      </c>
      <c r="E2452" s="0" t="n">
        <f aca="false">-1+A2452*0.25</f>
        <v>-0.25</v>
      </c>
      <c r="F2452" s="0" t="n">
        <f aca="false">-1+B2452*0.25</f>
        <v>-0.25</v>
      </c>
      <c r="G2452" s="0" t="n">
        <f aca="false">-1+C2452*0.25</f>
        <v>-0.75</v>
      </c>
      <c r="H2452" s="0" t="n">
        <f aca="false">-1+D2452*0.25</f>
        <v>1</v>
      </c>
      <c r="I2452" s="0" t="n">
        <f aca="false">1</f>
        <v>1</v>
      </c>
      <c r="J2452" s="0" t="n">
        <f aca="false">E2452</f>
        <v>-0.25</v>
      </c>
      <c r="K2452" s="0" t="n">
        <f aca="false">F2452</f>
        <v>-0.25</v>
      </c>
      <c r="L2452" s="0" t="n">
        <f aca="false">G2452</f>
        <v>-0.75</v>
      </c>
      <c r="M2452" s="0" t="n">
        <f aca="false">H2452</f>
        <v>1</v>
      </c>
      <c r="N2452" s="0" t="n">
        <f aca="false">E2452*F2452</f>
        <v>0.0625</v>
      </c>
      <c r="O2452" s="0" t="n">
        <f aca="false">E2452*G2452</f>
        <v>0.1875</v>
      </c>
      <c r="P2452" s="0" t="n">
        <f aca="false">E2452*H2452</f>
        <v>-0.25</v>
      </c>
      <c r="Q2452" s="0" t="n">
        <f aca="false">F2452*G2452</f>
        <v>0.1875</v>
      </c>
      <c r="R2452" s="0" t="n">
        <f aca="false">F2452*H2452</f>
        <v>-0.25</v>
      </c>
      <c r="S2452" s="0" t="n">
        <f aca="false">G2452*H2452</f>
        <v>-0.75</v>
      </c>
      <c r="T2452" s="0" t="n">
        <f aca="false">E2452*E2452</f>
        <v>0.0625</v>
      </c>
      <c r="U2452" s="0" t="n">
        <f aca="false">F2452*F2452</f>
        <v>0.0625</v>
      </c>
      <c r="V2452" s="0" t="n">
        <f aca="false">G2452*G2452</f>
        <v>0.5625</v>
      </c>
      <c r="W2452" s="0" t="n">
        <f aca="false">H2452*H2452</f>
        <v>1</v>
      </c>
      <c r="X2452" s="0" t="n">
        <f aca="false">SUMPRODUCT(I2452:W2452,_XtX!$B$96:$P$96)</f>
        <v>45.2750868055555</v>
      </c>
      <c r="Y2452" s="0" t="n">
        <f aca="false">SUMPRODUCT(MMULT(I2452:W2452,_XtX!$B$78:$P$92),I2452:W2452)</f>
        <v>0.486409505208334</v>
      </c>
      <c r="Z2452" s="0" t="n">
        <f aca="false">04_回帰ANOVA!$K$19*04_回帰ANOVA!$K$14*SQRT(1+Y2452)</f>
        <v>1.58916001665498</v>
      </c>
      <c r="AA2452" s="0" t="n">
        <f aca="false">X2452-Z2452</f>
        <v>43.6859267889006</v>
      </c>
      <c r="AB2452" s="0" t="n">
        <f aca="false">X2452+Z2452</f>
        <v>46.8642468222105</v>
      </c>
      <c r="AC2452" s="54" t="b">
        <f aca="false">AND(E2452&gt;=01_因子設定!$L$5-0.000000001,E2452&lt;=01_因子設定!$M$5+0.000000001,F2452&gt;=01_因子設定!$L$6-0.000000001,F2452&lt;=01_因子設定!$M$6+0.000000001,G2452&gt;=01_因子設定!$L$7-0.000000001,G2452&lt;=01_因子設定!$M$7+0.000000001,H2452&gt;=01_因子設定!$L$8-0.000000001,H2452&lt;=01_因子設定!$M$8+0.000000001,IF(01_因子設定!$B$20="Box-Behnken",E2452^2+F2452^2+G2452^2+H2452^2&lt;=2+0.000000001,TRUE()))</f>
        <v>1</v>
      </c>
      <c r="AD2452" s="55" t="n">
        <f aca="false">IF(AC2452,IF(01_因子設定!$B$13="最大化",AA2452-01_因子設定!$B$14,IF(01_因子設定!$B$13="最小化",01_因子設定!$B$15-AB2452,MIN(AA2452-01_因子設定!$B$14,01_因子設定!$B$15-AB2452))),-1E+030)</f>
        <v>-2.81407321109945</v>
      </c>
      <c r="AE2452" s="55" t="n">
        <f aca="false">IF(AC2452,IF(01_因子設定!$B$13="最大化",X2452,IF(01_因子設定!$B$13="最小化",-X2452,-ABS(X2452-01_因子設定!$B$16))),-1E+030)</f>
        <v>45.2750868055555</v>
      </c>
      <c r="AF2452" s="55" t="n">
        <f aca="false">AD2452+ROW()*0.000000001</f>
        <v>-2.81407075909945</v>
      </c>
      <c r="AG2452" s="55" t="n">
        <f aca="false">AE2452+ROW()*0.000000001</f>
        <v>45.2750892575555</v>
      </c>
    </row>
    <row r="2453" customFormat="false" ht="15" hidden="false" customHeight="false" outlineLevel="0" collapsed="false">
      <c r="A2453" s="0" t="n">
        <v>3</v>
      </c>
      <c r="B2453" s="0" t="n">
        <v>3</v>
      </c>
      <c r="C2453" s="0" t="n">
        <v>2</v>
      </c>
      <c r="D2453" s="0" t="n">
        <v>0</v>
      </c>
      <c r="E2453" s="0" t="n">
        <f aca="false">-1+A2453*0.25</f>
        <v>-0.25</v>
      </c>
      <c r="F2453" s="0" t="n">
        <f aca="false">-1+B2453*0.25</f>
        <v>-0.25</v>
      </c>
      <c r="G2453" s="0" t="n">
        <f aca="false">-1+C2453*0.25</f>
        <v>-0.5</v>
      </c>
      <c r="H2453" s="0" t="n">
        <f aca="false">-1+D2453*0.25</f>
        <v>-1</v>
      </c>
      <c r="I2453" s="0" t="n">
        <f aca="false">1</f>
        <v>1</v>
      </c>
      <c r="J2453" s="0" t="n">
        <f aca="false">E2453</f>
        <v>-0.25</v>
      </c>
      <c r="K2453" s="0" t="n">
        <f aca="false">F2453</f>
        <v>-0.25</v>
      </c>
      <c r="L2453" s="0" t="n">
        <f aca="false">G2453</f>
        <v>-0.5</v>
      </c>
      <c r="M2453" s="0" t="n">
        <f aca="false">H2453</f>
        <v>-1</v>
      </c>
      <c r="N2453" s="0" t="n">
        <f aca="false">E2453*F2453</f>
        <v>0.0625</v>
      </c>
      <c r="O2453" s="0" t="n">
        <f aca="false">E2453*G2453</f>
        <v>0.125</v>
      </c>
      <c r="P2453" s="0" t="n">
        <f aca="false">E2453*H2453</f>
        <v>0.25</v>
      </c>
      <c r="Q2453" s="0" t="n">
        <f aca="false">F2453*G2453</f>
        <v>0.125</v>
      </c>
      <c r="R2453" s="0" t="n">
        <f aca="false">F2453*H2453</f>
        <v>0.25</v>
      </c>
      <c r="S2453" s="0" t="n">
        <f aca="false">G2453*H2453</f>
        <v>0.5</v>
      </c>
      <c r="T2453" s="0" t="n">
        <f aca="false">E2453*E2453</f>
        <v>0.0625</v>
      </c>
      <c r="U2453" s="0" t="n">
        <f aca="false">F2453*F2453</f>
        <v>0.0625</v>
      </c>
      <c r="V2453" s="0" t="n">
        <f aca="false">G2453*G2453</f>
        <v>0.25</v>
      </c>
      <c r="W2453" s="0" t="n">
        <f aca="false">H2453*H2453</f>
        <v>1</v>
      </c>
      <c r="X2453" s="0" t="n">
        <f aca="false">SUMPRODUCT(I2453:W2453,_XtX!$B$96:$P$96)</f>
        <v>45.2597953216374</v>
      </c>
      <c r="Y2453" s="0" t="n">
        <f aca="false">SUMPRODUCT(MMULT(I2453:W2453,_XtX!$B$78:$P$92),I2453:W2453)</f>
        <v>0.445705123812135</v>
      </c>
      <c r="Z2453" s="0" t="n">
        <f aca="false">04_回帰ANOVA!$K$19*04_回帰ANOVA!$K$14*SQRT(1+Y2453)</f>
        <v>1.56724990734749</v>
      </c>
      <c r="AA2453" s="0" t="n">
        <f aca="false">X2453-Z2453</f>
        <v>43.6925454142899</v>
      </c>
      <c r="AB2453" s="0" t="n">
        <f aca="false">X2453+Z2453</f>
        <v>46.8270452289849</v>
      </c>
      <c r="AC2453" s="54" t="b">
        <f aca="false">AND(E2453&gt;=01_因子設定!$L$5-0.000000001,E2453&lt;=01_因子設定!$M$5+0.000000001,F2453&gt;=01_因子設定!$L$6-0.000000001,F2453&lt;=01_因子設定!$M$6+0.000000001,G2453&gt;=01_因子設定!$L$7-0.000000001,G2453&lt;=01_因子設定!$M$7+0.000000001,H2453&gt;=01_因子設定!$L$8-0.000000001,H2453&lt;=01_因子設定!$M$8+0.000000001,IF(01_因子設定!$B$20="Box-Behnken",E2453^2+F2453^2+G2453^2+H2453^2&lt;=2+0.000000001,TRUE()))</f>
        <v>1</v>
      </c>
      <c r="AD2453" s="55" t="n">
        <f aca="false">IF(AC2453,IF(01_因子設定!$B$13="最大化",AA2453-01_因子設定!$B$14,IF(01_因子設定!$B$13="最小化",01_因子設定!$B$15-AB2453,MIN(AA2453-01_因子設定!$B$14,01_因子設定!$B$15-AB2453))),-1E+030)</f>
        <v>-2.80745458571008</v>
      </c>
      <c r="AE2453" s="55" t="n">
        <f aca="false">IF(AC2453,IF(01_因子設定!$B$13="最大化",X2453,IF(01_因子設定!$B$13="最小化",-X2453,-ABS(X2453-01_因子設定!$B$16))),-1E+030)</f>
        <v>45.2597953216374</v>
      </c>
      <c r="AF2453" s="55" t="n">
        <f aca="false">AD2453+ROW()*0.000000001</f>
        <v>-2.80745213271008</v>
      </c>
      <c r="AG2453" s="55" t="n">
        <f aca="false">AE2453+ROW()*0.000000001</f>
        <v>45.2597977746374</v>
      </c>
    </row>
    <row r="2454" customFormat="false" ht="15" hidden="false" customHeight="false" outlineLevel="0" collapsed="false">
      <c r="A2454" s="0" t="n">
        <v>3</v>
      </c>
      <c r="B2454" s="0" t="n">
        <v>3</v>
      </c>
      <c r="C2454" s="0" t="n">
        <v>2</v>
      </c>
      <c r="D2454" s="0" t="n">
        <v>1</v>
      </c>
      <c r="E2454" s="0" t="n">
        <f aca="false">-1+A2454*0.25</f>
        <v>-0.25</v>
      </c>
      <c r="F2454" s="0" t="n">
        <f aca="false">-1+B2454*0.25</f>
        <v>-0.25</v>
      </c>
      <c r="G2454" s="0" t="n">
        <f aca="false">-1+C2454*0.25</f>
        <v>-0.5</v>
      </c>
      <c r="H2454" s="0" t="n">
        <f aca="false">-1+D2454*0.25</f>
        <v>-0.75</v>
      </c>
      <c r="I2454" s="0" t="n">
        <f aca="false">1</f>
        <v>1</v>
      </c>
      <c r="J2454" s="0" t="n">
        <f aca="false">E2454</f>
        <v>-0.25</v>
      </c>
      <c r="K2454" s="0" t="n">
        <f aca="false">F2454</f>
        <v>-0.25</v>
      </c>
      <c r="L2454" s="0" t="n">
        <f aca="false">G2454</f>
        <v>-0.5</v>
      </c>
      <c r="M2454" s="0" t="n">
        <f aca="false">H2454</f>
        <v>-0.75</v>
      </c>
      <c r="N2454" s="0" t="n">
        <f aca="false">E2454*F2454</f>
        <v>0.0625</v>
      </c>
      <c r="O2454" s="0" t="n">
        <f aca="false">E2454*G2454</f>
        <v>0.125</v>
      </c>
      <c r="P2454" s="0" t="n">
        <f aca="false">E2454*H2454</f>
        <v>0.1875</v>
      </c>
      <c r="Q2454" s="0" t="n">
        <f aca="false">F2454*G2454</f>
        <v>0.125</v>
      </c>
      <c r="R2454" s="0" t="n">
        <f aca="false">F2454*H2454</f>
        <v>0.1875</v>
      </c>
      <c r="S2454" s="0" t="n">
        <f aca="false">G2454*H2454</f>
        <v>0.375</v>
      </c>
      <c r="T2454" s="0" t="n">
        <f aca="false">E2454*E2454</f>
        <v>0.0625</v>
      </c>
      <c r="U2454" s="0" t="n">
        <f aca="false">F2454*F2454</f>
        <v>0.0625</v>
      </c>
      <c r="V2454" s="0" t="n">
        <f aca="false">G2454*G2454</f>
        <v>0.25</v>
      </c>
      <c r="W2454" s="0" t="n">
        <f aca="false">H2454*H2454</f>
        <v>0.5625</v>
      </c>
      <c r="X2454" s="0" t="n">
        <f aca="false">SUMPRODUCT(I2454:W2454,_XtX!$B$96:$P$96)</f>
        <v>45.4980400219298</v>
      </c>
      <c r="Y2454" s="0" t="n">
        <f aca="false">SUMPRODUCT(MMULT(I2454:W2454,_XtX!$B$78:$P$92),I2454:W2454)</f>
        <v>0.207746539199561</v>
      </c>
      <c r="Z2454" s="0" t="n">
        <f aca="false">04_回帰ANOVA!$K$19*04_回帰ANOVA!$K$14*SQRT(1+Y2454)</f>
        <v>1.43247250081141</v>
      </c>
      <c r="AA2454" s="0" t="n">
        <f aca="false">X2454-Z2454</f>
        <v>44.0655675211184</v>
      </c>
      <c r="AB2454" s="0" t="n">
        <f aca="false">X2454+Z2454</f>
        <v>46.9305125227412</v>
      </c>
      <c r="AC2454" s="54" t="b">
        <f aca="false">AND(E2454&gt;=01_因子設定!$L$5-0.000000001,E2454&lt;=01_因子設定!$M$5+0.000000001,F2454&gt;=01_因子設定!$L$6-0.000000001,F2454&lt;=01_因子設定!$M$6+0.000000001,G2454&gt;=01_因子設定!$L$7-0.000000001,G2454&lt;=01_因子設定!$M$7+0.000000001,H2454&gt;=01_因子設定!$L$8-0.000000001,H2454&lt;=01_因子設定!$M$8+0.000000001,IF(01_因子設定!$B$20="Box-Behnken",E2454^2+F2454^2+G2454^2+H2454^2&lt;=2+0.000000001,TRUE()))</f>
        <v>1</v>
      </c>
      <c r="AD2454" s="55" t="n">
        <f aca="false">IF(AC2454,IF(01_因子設定!$B$13="最大化",AA2454-01_因子設定!$B$14,IF(01_因子設定!$B$13="最小化",01_因子設定!$B$15-AB2454,MIN(AA2454-01_因子設定!$B$14,01_因子設定!$B$15-AB2454))),-1E+030)</f>
        <v>-2.43443247888162</v>
      </c>
      <c r="AE2454" s="55" t="n">
        <f aca="false">IF(AC2454,IF(01_因子設定!$B$13="最大化",X2454,IF(01_因子設定!$B$13="最小化",-X2454,-ABS(X2454-01_因子設定!$B$16))),-1E+030)</f>
        <v>45.4980400219298</v>
      </c>
      <c r="AF2454" s="55" t="n">
        <f aca="false">AD2454+ROW()*0.000000001</f>
        <v>-2.43443002488162</v>
      </c>
      <c r="AG2454" s="55" t="n">
        <f aca="false">AE2454+ROW()*0.000000001</f>
        <v>45.4980424759298</v>
      </c>
    </row>
    <row r="2455" customFormat="false" ht="15" hidden="false" customHeight="false" outlineLevel="0" collapsed="false">
      <c r="A2455" s="0" t="n">
        <v>3</v>
      </c>
      <c r="B2455" s="0" t="n">
        <v>3</v>
      </c>
      <c r="C2455" s="0" t="n">
        <v>2</v>
      </c>
      <c r="D2455" s="0" t="n">
        <v>2</v>
      </c>
      <c r="E2455" s="0" t="n">
        <f aca="false">-1+A2455*0.25</f>
        <v>-0.25</v>
      </c>
      <c r="F2455" s="0" t="n">
        <f aca="false">-1+B2455*0.25</f>
        <v>-0.25</v>
      </c>
      <c r="G2455" s="0" t="n">
        <f aca="false">-1+C2455*0.25</f>
        <v>-0.5</v>
      </c>
      <c r="H2455" s="0" t="n">
        <f aca="false">-1+D2455*0.25</f>
        <v>-0.5</v>
      </c>
      <c r="I2455" s="0" t="n">
        <f aca="false">1</f>
        <v>1</v>
      </c>
      <c r="J2455" s="0" t="n">
        <f aca="false">E2455</f>
        <v>-0.25</v>
      </c>
      <c r="K2455" s="0" t="n">
        <f aca="false">F2455</f>
        <v>-0.25</v>
      </c>
      <c r="L2455" s="0" t="n">
        <f aca="false">G2455</f>
        <v>-0.5</v>
      </c>
      <c r="M2455" s="0" t="n">
        <f aca="false">H2455</f>
        <v>-0.5</v>
      </c>
      <c r="N2455" s="0" t="n">
        <f aca="false">E2455*F2455</f>
        <v>0.0625</v>
      </c>
      <c r="O2455" s="0" t="n">
        <f aca="false">E2455*G2455</f>
        <v>0.125</v>
      </c>
      <c r="P2455" s="0" t="n">
        <f aca="false">E2455*H2455</f>
        <v>0.125</v>
      </c>
      <c r="Q2455" s="0" t="n">
        <f aca="false">F2455*G2455</f>
        <v>0.125</v>
      </c>
      <c r="R2455" s="0" t="n">
        <f aca="false">F2455*H2455</f>
        <v>0.125</v>
      </c>
      <c r="S2455" s="0" t="n">
        <f aca="false">G2455*H2455</f>
        <v>0.25</v>
      </c>
      <c r="T2455" s="0" t="n">
        <f aca="false">E2455*E2455</f>
        <v>0.0625</v>
      </c>
      <c r="U2455" s="0" t="n">
        <f aca="false">F2455*F2455</f>
        <v>0.0625</v>
      </c>
      <c r="V2455" s="0" t="n">
        <f aca="false">G2455*G2455</f>
        <v>0.25</v>
      </c>
      <c r="W2455" s="0" t="n">
        <f aca="false">H2455*H2455</f>
        <v>0.25</v>
      </c>
      <c r="X2455" s="0" t="n">
        <f aca="false">SUMPRODUCT(I2455:W2455,_XtX!$B$96:$P$96)</f>
        <v>45.6884777046783</v>
      </c>
      <c r="Y2455" s="0" t="n">
        <f aca="false">SUMPRODUCT(MMULT(I2455:W2455,_XtX!$B$78:$P$92),I2455:W2455)</f>
        <v>0.128236647934942</v>
      </c>
      <c r="Z2455" s="0" t="n">
        <f aca="false">04_回帰ANOVA!$K$19*04_回帰ANOVA!$K$14*SQRT(1+Y2455)</f>
        <v>1.38451764188989</v>
      </c>
      <c r="AA2455" s="0" t="n">
        <f aca="false">X2455-Z2455</f>
        <v>44.3039600627884</v>
      </c>
      <c r="AB2455" s="0" t="n">
        <f aca="false">X2455+Z2455</f>
        <v>47.0729953465682</v>
      </c>
      <c r="AC2455" s="54" t="b">
        <f aca="false">AND(E2455&gt;=01_因子設定!$L$5-0.000000001,E2455&lt;=01_因子設定!$M$5+0.000000001,F2455&gt;=01_因子設定!$L$6-0.000000001,F2455&lt;=01_因子設定!$M$6+0.000000001,G2455&gt;=01_因子設定!$L$7-0.000000001,G2455&lt;=01_因子設定!$M$7+0.000000001,H2455&gt;=01_因子設定!$L$8-0.000000001,H2455&lt;=01_因子設定!$M$8+0.000000001,IF(01_因子設定!$B$20="Box-Behnken",E2455^2+F2455^2+G2455^2+H2455^2&lt;=2+0.000000001,TRUE()))</f>
        <v>1</v>
      </c>
      <c r="AD2455" s="55" t="n">
        <f aca="false">IF(AC2455,IF(01_因子設定!$B$13="最大化",AA2455-01_因子設定!$B$14,IF(01_因子設定!$B$13="最小化",01_因子設定!$B$15-AB2455,MIN(AA2455-01_因子設定!$B$14,01_因子設定!$B$15-AB2455))),-1E+030)</f>
        <v>-2.19603993721157</v>
      </c>
      <c r="AE2455" s="55" t="n">
        <f aca="false">IF(AC2455,IF(01_因子設定!$B$13="最大化",X2455,IF(01_因子設定!$B$13="最小化",-X2455,-ABS(X2455-01_因子設定!$B$16))),-1E+030)</f>
        <v>45.6884777046783</v>
      </c>
      <c r="AF2455" s="55" t="n">
        <f aca="false">AD2455+ROW()*0.000000001</f>
        <v>-2.19603748221157</v>
      </c>
      <c r="AG2455" s="55" t="n">
        <f aca="false">AE2455+ROW()*0.000000001</f>
        <v>45.6884801596783</v>
      </c>
    </row>
    <row r="2456" customFormat="false" ht="15" hidden="false" customHeight="false" outlineLevel="0" collapsed="false">
      <c r="A2456" s="0" t="n">
        <v>3</v>
      </c>
      <c r="B2456" s="0" t="n">
        <v>3</v>
      </c>
      <c r="C2456" s="0" t="n">
        <v>2</v>
      </c>
      <c r="D2456" s="0" t="n">
        <v>3</v>
      </c>
      <c r="E2456" s="0" t="n">
        <f aca="false">-1+A2456*0.25</f>
        <v>-0.25</v>
      </c>
      <c r="F2456" s="0" t="n">
        <f aca="false">-1+B2456*0.25</f>
        <v>-0.25</v>
      </c>
      <c r="G2456" s="0" t="n">
        <f aca="false">-1+C2456*0.25</f>
        <v>-0.5</v>
      </c>
      <c r="H2456" s="0" t="n">
        <f aca="false">-1+D2456*0.25</f>
        <v>-0.25</v>
      </c>
      <c r="I2456" s="0" t="n">
        <f aca="false">1</f>
        <v>1</v>
      </c>
      <c r="J2456" s="0" t="n">
        <f aca="false">E2456</f>
        <v>-0.25</v>
      </c>
      <c r="K2456" s="0" t="n">
        <f aca="false">F2456</f>
        <v>-0.25</v>
      </c>
      <c r="L2456" s="0" t="n">
        <f aca="false">G2456</f>
        <v>-0.5</v>
      </c>
      <c r="M2456" s="0" t="n">
        <f aca="false">H2456</f>
        <v>-0.25</v>
      </c>
      <c r="N2456" s="0" t="n">
        <f aca="false">E2456*F2456</f>
        <v>0.0625</v>
      </c>
      <c r="O2456" s="0" t="n">
        <f aca="false">E2456*G2456</f>
        <v>0.125</v>
      </c>
      <c r="P2456" s="0" t="n">
        <f aca="false">E2456*H2456</f>
        <v>0.0625</v>
      </c>
      <c r="Q2456" s="0" t="n">
        <f aca="false">F2456*G2456</f>
        <v>0.125</v>
      </c>
      <c r="R2456" s="0" t="n">
        <f aca="false">F2456*H2456</f>
        <v>0.0625</v>
      </c>
      <c r="S2456" s="0" t="n">
        <f aca="false">G2456*H2456</f>
        <v>0.125</v>
      </c>
      <c r="T2456" s="0" t="n">
        <f aca="false">E2456*E2456</f>
        <v>0.0625</v>
      </c>
      <c r="U2456" s="0" t="n">
        <f aca="false">F2456*F2456</f>
        <v>0.0625</v>
      </c>
      <c r="V2456" s="0" t="n">
        <f aca="false">G2456*G2456</f>
        <v>0.25</v>
      </c>
      <c r="W2456" s="0" t="n">
        <f aca="false">H2456*H2456</f>
        <v>0.0625</v>
      </c>
      <c r="X2456" s="0" t="n">
        <f aca="false">SUMPRODUCT(I2456:W2456,_XtX!$B$96:$P$96)</f>
        <v>45.831108369883</v>
      </c>
      <c r="Y2456" s="0" t="n">
        <f aca="false">SUMPRODUCT(MMULT(I2456:W2456,_XtX!$B$78:$P$92),I2456:W2456)</f>
        <v>0.116714923702485</v>
      </c>
      <c r="Z2456" s="0" t="n">
        <f aca="false">04_回帰ANOVA!$K$19*04_回帰ANOVA!$K$14*SQRT(1+Y2456)</f>
        <v>1.37743004820023</v>
      </c>
      <c r="AA2456" s="0" t="n">
        <f aca="false">X2456-Z2456</f>
        <v>44.4536783216828</v>
      </c>
      <c r="AB2456" s="0" t="n">
        <f aca="false">X2456+Z2456</f>
        <v>47.2085384180832</v>
      </c>
      <c r="AC2456" s="54" t="b">
        <f aca="false">AND(E2456&gt;=01_因子設定!$L$5-0.000000001,E2456&lt;=01_因子設定!$M$5+0.000000001,F2456&gt;=01_因子設定!$L$6-0.000000001,F2456&lt;=01_因子設定!$M$6+0.000000001,G2456&gt;=01_因子設定!$L$7-0.000000001,G2456&lt;=01_因子設定!$M$7+0.000000001,H2456&gt;=01_因子設定!$L$8-0.000000001,H2456&lt;=01_因子設定!$M$8+0.000000001,IF(01_因子設定!$B$20="Box-Behnken",E2456^2+F2456^2+G2456^2+H2456^2&lt;=2+0.000000001,TRUE()))</f>
        <v>1</v>
      </c>
      <c r="AD2456" s="55" t="n">
        <f aca="false">IF(AC2456,IF(01_因子設定!$B$13="最大化",AA2456-01_因子設定!$B$14,IF(01_因子設定!$B$13="最小化",01_因子設定!$B$15-AB2456,MIN(AA2456-01_因子設定!$B$14,01_因子設定!$B$15-AB2456))),-1E+030)</f>
        <v>-2.04632167831724</v>
      </c>
      <c r="AE2456" s="55" t="n">
        <f aca="false">IF(AC2456,IF(01_因子設定!$B$13="最大化",X2456,IF(01_因子設定!$B$13="最小化",-X2456,-ABS(X2456-01_因子設定!$B$16))),-1E+030)</f>
        <v>45.831108369883</v>
      </c>
      <c r="AF2456" s="55" t="n">
        <f aca="false">AD2456+ROW()*0.000000001</f>
        <v>-2.04631922231724</v>
      </c>
      <c r="AG2456" s="55" t="n">
        <f aca="false">AE2456+ROW()*0.000000001</f>
        <v>45.831110825883</v>
      </c>
    </row>
    <row r="2457" customFormat="false" ht="15" hidden="false" customHeight="false" outlineLevel="0" collapsed="false">
      <c r="A2457" s="0" t="n">
        <v>3</v>
      </c>
      <c r="B2457" s="0" t="n">
        <v>3</v>
      </c>
      <c r="C2457" s="0" t="n">
        <v>2</v>
      </c>
      <c r="D2457" s="0" t="n">
        <v>4</v>
      </c>
      <c r="E2457" s="0" t="n">
        <f aca="false">-1+A2457*0.25</f>
        <v>-0.25</v>
      </c>
      <c r="F2457" s="0" t="n">
        <f aca="false">-1+B2457*0.25</f>
        <v>-0.25</v>
      </c>
      <c r="G2457" s="0" t="n">
        <f aca="false">-1+C2457*0.25</f>
        <v>-0.5</v>
      </c>
      <c r="H2457" s="0" t="n">
        <f aca="false">-1+D2457*0.25</f>
        <v>0</v>
      </c>
      <c r="I2457" s="0" t="n">
        <f aca="false">1</f>
        <v>1</v>
      </c>
      <c r="J2457" s="0" t="n">
        <f aca="false">E2457</f>
        <v>-0.25</v>
      </c>
      <c r="K2457" s="0" t="n">
        <f aca="false">F2457</f>
        <v>-0.25</v>
      </c>
      <c r="L2457" s="0" t="n">
        <f aca="false">G2457</f>
        <v>-0.5</v>
      </c>
      <c r="M2457" s="0" t="n">
        <f aca="false">H2457</f>
        <v>0</v>
      </c>
      <c r="N2457" s="0" t="n">
        <f aca="false">E2457*F2457</f>
        <v>0.0625</v>
      </c>
      <c r="O2457" s="0" t="n">
        <f aca="false">E2457*G2457</f>
        <v>0.125</v>
      </c>
      <c r="P2457" s="0" t="n">
        <f aca="false">E2457*H2457</f>
        <v>-0</v>
      </c>
      <c r="Q2457" s="0" t="n">
        <f aca="false">F2457*G2457</f>
        <v>0.125</v>
      </c>
      <c r="R2457" s="0" t="n">
        <f aca="false">F2457*H2457</f>
        <v>-0</v>
      </c>
      <c r="S2457" s="0" t="n">
        <f aca="false">G2457*H2457</f>
        <v>-0</v>
      </c>
      <c r="T2457" s="0" t="n">
        <f aca="false">E2457*E2457</f>
        <v>0.0625</v>
      </c>
      <c r="U2457" s="0" t="n">
        <f aca="false">F2457*F2457</f>
        <v>0.0625</v>
      </c>
      <c r="V2457" s="0" t="n">
        <f aca="false">G2457*G2457</f>
        <v>0.25</v>
      </c>
      <c r="W2457" s="0" t="n">
        <f aca="false">H2457*H2457</f>
        <v>0</v>
      </c>
      <c r="X2457" s="0" t="n">
        <f aca="false">SUMPRODUCT(I2457:W2457,_XtX!$B$96:$P$96)</f>
        <v>45.9259320175438</v>
      </c>
      <c r="Y2457" s="0" t="n">
        <f aca="false">SUMPRODUCT(MMULT(I2457:W2457,_XtX!$B$78:$P$92),I2457:W2457)</f>
        <v>0.118905050712719</v>
      </c>
      <c r="Z2457" s="0" t="n">
        <f aca="false">04_回帰ANOVA!$K$19*04_回帰ANOVA!$K$14*SQRT(1+Y2457)</f>
        <v>1.37878011033769</v>
      </c>
      <c r="AA2457" s="0" t="n">
        <f aca="false">X2457-Z2457</f>
        <v>44.5471519072061</v>
      </c>
      <c r="AB2457" s="0" t="n">
        <f aca="false">X2457+Z2457</f>
        <v>47.3047121278815</v>
      </c>
      <c r="AC2457" s="54" t="b">
        <f aca="false">AND(E2457&gt;=01_因子設定!$L$5-0.000000001,E2457&lt;=01_因子設定!$M$5+0.000000001,F2457&gt;=01_因子設定!$L$6-0.000000001,F2457&lt;=01_因子設定!$M$6+0.000000001,G2457&gt;=01_因子設定!$L$7-0.000000001,G2457&lt;=01_因子設定!$M$7+0.000000001,H2457&gt;=01_因子設定!$L$8-0.000000001,H2457&lt;=01_因子設定!$M$8+0.000000001,IF(01_因子設定!$B$20="Box-Behnken",E2457^2+F2457^2+G2457^2+H2457^2&lt;=2+0.000000001,TRUE()))</f>
        <v>1</v>
      </c>
      <c r="AD2457" s="55" t="n">
        <f aca="false">IF(AC2457,IF(01_因子設定!$B$13="最大化",AA2457-01_因子設定!$B$14,IF(01_因子設定!$B$13="最小化",01_因子設定!$B$15-AB2457,MIN(AA2457-01_因子設定!$B$14,01_因子設定!$B$15-AB2457))),-1E+030)</f>
        <v>-1.95284809279389</v>
      </c>
      <c r="AE2457" s="55" t="n">
        <f aca="false">IF(AC2457,IF(01_因子設定!$B$13="最大化",X2457,IF(01_因子設定!$B$13="最小化",-X2457,-ABS(X2457-01_因子設定!$B$16))),-1E+030)</f>
        <v>45.9259320175438</v>
      </c>
      <c r="AF2457" s="55" t="n">
        <f aca="false">AD2457+ROW()*0.000000001</f>
        <v>-1.95284563579389</v>
      </c>
      <c r="AG2457" s="55" t="n">
        <f aca="false">AE2457+ROW()*0.000000001</f>
        <v>45.9259344745438</v>
      </c>
    </row>
    <row r="2458" customFormat="false" ht="15" hidden="false" customHeight="false" outlineLevel="0" collapsed="false">
      <c r="A2458" s="0" t="n">
        <v>3</v>
      </c>
      <c r="B2458" s="0" t="n">
        <v>3</v>
      </c>
      <c r="C2458" s="0" t="n">
        <v>2</v>
      </c>
      <c r="D2458" s="0" t="n">
        <v>5</v>
      </c>
      <c r="E2458" s="0" t="n">
        <f aca="false">-1+A2458*0.25</f>
        <v>-0.25</v>
      </c>
      <c r="F2458" s="0" t="n">
        <f aca="false">-1+B2458*0.25</f>
        <v>-0.25</v>
      </c>
      <c r="G2458" s="0" t="n">
        <f aca="false">-1+C2458*0.25</f>
        <v>-0.5</v>
      </c>
      <c r="H2458" s="0" t="n">
        <f aca="false">-1+D2458*0.25</f>
        <v>0.25</v>
      </c>
      <c r="I2458" s="0" t="n">
        <f aca="false">1</f>
        <v>1</v>
      </c>
      <c r="J2458" s="0" t="n">
        <f aca="false">E2458</f>
        <v>-0.25</v>
      </c>
      <c r="K2458" s="0" t="n">
        <f aca="false">F2458</f>
        <v>-0.25</v>
      </c>
      <c r="L2458" s="0" t="n">
        <f aca="false">G2458</f>
        <v>-0.5</v>
      </c>
      <c r="M2458" s="0" t="n">
        <f aca="false">H2458</f>
        <v>0.25</v>
      </c>
      <c r="N2458" s="0" t="n">
        <f aca="false">E2458*F2458</f>
        <v>0.0625</v>
      </c>
      <c r="O2458" s="0" t="n">
        <f aca="false">E2458*G2458</f>
        <v>0.125</v>
      </c>
      <c r="P2458" s="0" t="n">
        <f aca="false">E2458*H2458</f>
        <v>-0.0625</v>
      </c>
      <c r="Q2458" s="0" t="n">
        <f aca="false">F2458*G2458</f>
        <v>0.125</v>
      </c>
      <c r="R2458" s="0" t="n">
        <f aca="false">F2458*H2458</f>
        <v>-0.0625</v>
      </c>
      <c r="S2458" s="0" t="n">
        <f aca="false">G2458*H2458</f>
        <v>-0.125</v>
      </c>
      <c r="T2458" s="0" t="n">
        <f aca="false">E2458*E2458</f>
        <v>0.0625</v>
      </c>
      <c r="U2458" s="0" t="n">
        <f aca="false">F2458*F2458</f>
        <v>0.0625</v>
      </c>
      <c r="V2458" s="0" t="n">
        <f aca="false">G2458*G2458</f>
        <v>0.25</v>
      </c>
      <c r="W2458" s="0" t="n">
        <f aca="false">H2458*H2458</f>
        <v>0.0625</v>
      </c>
      <c r="X2458" s="0" t="n">
        <f aca="false">SUMPRODUCT(I2458:W2458,_XtX!$B$96:$P$96)</f>
        <v>45.9729486476608</v>
      </c>
      <c r="Y2458" s="0" t="n">
        <f aca="false">SUMPRODUCT(MMULT(I2458:W2458,_XtX!$B$78:$P$92),I2458:W2458)</f>
        <v>0.116714923702485</v>
      </c>
      <c r="Z2458" s="0" t="n">
        <f aca="false">04_回帰ANOVA!$K$19*04_回帰ANOVA!$K$14*SQRT(1+Y2458)</f>
        <v>1.37743004820023</v>
      </c>
      <c r="AA2458" s="0" t="n">
        <f aca="false">X2458-Z2458</f>
        <v>44.5955185994605</v>
      </c>
      <c r="AB2458" s="0" t="n">
        <f aca="false">X2458+Z2458</f>
        <v>47.350378695861</v>
      </c>
      <c r="AC2458" s="54" t="b">
        <f aca="false">AND(E2458&gt;=01_因子設定!$L$5-0.000000001,E2458&lt;=01_因子設定!$M$5+0.000000001,F2458&gt;=01_因子設定!$L$6-0.000000001,F2458&lt;=01_因子設定!$M$6+0.000000001,G2458&gt;=01_因子設定!$L$7-0.000000001,G2458&lt;=01_因子設定!$M$7+0.000000001,H2458&gt;=01_因子設定!$L$8-0.000000001,H2458&lt;=01_因子設定!$M$8+0.000000001,IF(01_因子設定!$B$20="Box-Behnken",E2458^2+F2458^2+G2458^2+H2458^2&lt;=2+0.000000001,TRUE()))</f>
        <v>1</v>
      </c>
      <c r="AD2458" s="55" t="n">
        <f aca="false">IF(AC2458,IF(01_因子設定!$B$13="最大化",AA2458-01_因子設定!$B$14,IF(01_因子設定!$B$13="最小化",01_因子設定!$B$15-AB2458,MIN(AA2458-01_因子設定!$B$14,01_因子設定!$B$15-AB2458))),-1E+030)</f>
        <v>-1.90448140053946</v>
      </c>
      <c r="AE2458" s="55" t="n">
        <f aca="false">IF(AC2458,IF(01_因子設定!$B$13="最大化",X2458,IF(01_因子設定!$B$13="最小化",-X2458,-ABS(X2458-01_因子設定!$B$16))),-1E+030)</f>
        <v>45.9729486476608</v>
      </c>
      <c r="AF2458" s="55" t="n">
        <f aca="false">AD2458+ROW()*0.000000001</f>
        <v>-1.90447894253946</v>
      </c>
      <c r="AG2458" s="55" t="n">
        <f aca="false">AE2458+ROW()*0.000000001</f>
        <v>45.9729511056608</v>
      </c>
    </row>
    <row r="2459" customFormat="false" ht="15" hidden="false" customHeight="false" outlineLevel="0" collapsed="false">
      <c r="A2459" s="0" t="n">
        <v>3</v>
      </c>
      <c r="B2459" s="0" t="n">
        <v>3</v>
      </c>
      <c r="C2459" s="0" t="n">
        <v>2</v>
      </c>
      <c r="D2459" s="0" t="n">
        <v>6</v>
      </c>
      <c r="E2459" s="0" t="n">
        <f aca="false">-1+A2459*0.25</f>
        <v>-0.25</v>
      </c>
      <c r="F2459" s="0" t="n">
        <f aca="false">-1+B2459*0.25</f>
        <v>-0.25</v>
      </c>
      <c r="G2459" s="0" t="n">
        <f aca="false">-1+C2459*0.25</f>
        <v>-0.5</v>
      </c>
      <c r="H2459" s="0" t="n">
        <f aca="false">-1+D2459*0.25</f>
        <v>0.5</v>
      </c>
      <c r="I2459" s="0" t="n">
        <f aca="false">1</f>
        <v>1</v>
      </c>
      <c r="J2459" s="0" t="n">
        <f aca="false">E2459</f>
        <v>-0.25</v>
      </c>
      <c r="K2459" s="0" t="n">
        <f aca="false">F2459</f>
        <v>-0.25</v>
      </c>
      <c r="L2459" s="0" t="n">
        <f aca="false">G2459</f>
        <v>-0.5</v>
      </c>
      <c r="M2459" s="0" t="n">
        <f aca="false">H2459</f>
        <v>0.5</v>
      </c>
      <c r="N2459" s="0" t="n">
        <f aca="false">E2459*F2459</f>
        <v>0.0625</v>
      </c>
      <c r="O2459" s="0" t="n">
        <f aca="false">E2459*G2459</f>
        <v>0.125</v>
      </c>
      <c r="P2459" s="0" t="n">
        <f aca="false">E2459*H2459</f>
        <v>-0.125</v>
      </c>
      <c r="Q2459" s="0" t="n">
        <f aca="false">F2459*G2459</f>
        <v>0.125</v>
      </c>
      <c r="R2459" s="0" t="n">
        <f aca="false">F2459*H2459</f>
        <v>-0.125</v>
      </c>
      <c r="S2459" s="0" t="n">
        <f aca="false">G2459*H2459</f>
        <v>-0.25</v>
      </c>
      <c r="T2459" s="0" t="n">
        <f aca="false">E2459*E2459</f>
        <v>0.0625</v>
      </c>
      <c r="U2459" s="0" t="n">
        <f aca="false">F2459*F2459</f>
        <v>0.0625</v>
      </c>
      <c r="V2459" s="0" t="n">
        <f aca="false">G2459*G2459</f>
        <v>0.25</v>
      </c>
      <c r="W2459" s="0" t="n">
        <f aca="false">H2459*H2459</f>
        <v>0.25</v>
      </c>
      <c r="X2459" s="0" t="n">
        <f aca="false">SUMPRODUCT(I2459:W2459,_XtX!$B$96:$P$96)</f>
        <v>45.9721582602339</v>
      </c>
      <c r="Y2459" s="0" t="n">
        <f aca="false">SUMPRODUCT(MMULT(I2459:W2459,_XtX!$B$78:$P$92),I2459:W2459)</f>
        <v>0.128236647934942</v>
      </c>
      <c r="Z2459" s="0" t="n">
        <f aca="false">04_回帰ANOVA!$K$19*04_回帰ANOVA!$K$14*SQRT(1+Y2459)</f>
        <v>1.38451764188989</v>
      </c>
      <c r="AA2459" s="0" t="n">
        <f aca="false">X2459-Z2459</f>
        <v>44.587640618344</v>
      </c>
      <c r="AB2459" s="0" t="n">
        <f aca="false">X2459+Z2459</f>
        <v>47.3566759021238</v>
      </c>
      <c r="AC2459" s="54" t="b">
        <f aca="false">AND(E2459&gt;=01_因子設定!$L$5-0.000000001,E2459&lt;=01_因子設定!$M$5+0.000000001,F2459&gt;=01_因子設定!$L$6-0.000000001,F2459&lt;=01_因子設定!$M$6+0.000000001,G2459&gt;=01_因子設定!$L$7-0.000000001,G2459&lt;=01_因子設定!$M$7+0.000000001,H2459&gt;=01_因子設定!$L$8-0.000000001,H2459&lt;=01_因子設定!$M$8+0.000000001,IF(01_因子設定!$B$20="Box-Behnken",E2459^2+F2459^2+G2459^2+H2459^2&lt;=2+0.000000001,TRUE()))</f>
        <v>1</v>
      </c>
      <c r="AD2459" s="55" t="n">
        <f aca="false">IF(AC2459,IF(01_因子設定!$B$13="最大化",AA2459-01_因子設定!$B$14,IF(01_因子設定!$B$13="最小化",01_因子設定!$B$15-AB2459,MIN(AA2459-01_因子設定!$B$14,01_因子設定!$B$15-AB2459))),-1E+030)</f>
        <v>-1.91235938165602</v>
      </c>
      <c r="AE2459" s="55" t="n">
        <f aca="false">IF(AC2459,IF(01_因子設定!$B$13="最大化",X2459,IF(01_因子設定!$B$13="最小化",-X2459,-ABS(X2459-01_因子設定!$B$16))),-1E+030)</f>
        <v>45.9721582602339</v>
      </c>
      <c r="AF2459" s="55" t="n">
        <f aca="false">AD2459+ROW()*0.000000001</f>
        <v>-1.91235692265602</v>
      </c>
      <c r="AG2459" s="55" t="n">
        <f aca="false">AE2459+ROW()*0.000000001</f>
        <v>45.9721607192339</v>
      </c>
    </row>
    <row r="2460" customFormat="false" ht="15" hidden="false" customHeight="false" outlineLevel="0" collapsed="false">
      <c r="A2460" s="0" t="n">
        <v>3</v>
      </c>
      <c r="B2460" s="0" t="n">
        <v>3</v>
      </c>
      <c r="C2460" s="0" t="n">
        <v>2</v>
      </c>
      <c r="D2460" s="0" t="n">
        <v>7</v>
      </c>
      <c r="E2460" s="0" t="n">
        <f aca="false">-1+A2460*0.25</f>
        <v>-0.25</v>
      </c>
      <c r="F2460" s="0" t="n">
        <f aca="false">-1+B2460*0.25</f>
        <v>-0.25</v>
      </c>
      <c r="G2460" s="0" t="n">
        <f aca="false">-1+C2460*0.25</f>
        <v>-0.5</v>
      </c>
      <c r="H2460" s="0" t="n">
        <f aca="false">-1+D2460*0.25</f>
        <v>0.75</v>
      </c>
      <c r="I2460" s="0" t="n">
        <f aca="false">1</f>
        <v>1</v>
      </c>
      <c r="J2460" s="0" t="n">
        <f aca="false">E2460</f>
        <v>-0.25</v>
      </c>
      <c r="K2460" s="0" t="n">
        <f aca="false">F2460</f>
        <v>-0.25</v>
      </c>
      <c r="L2460" s="0" t="n">
        <f aca="false">G2460</f>
        <v>-0.5</v>
      </c>
      <c r="M2460" s="0" t="n">
        <f aca="false">H2460</f>
        <v>0.75</v>
      </c>
      <c r="N2460" s="0" t="n">
        <f aca="false">E2460*F2460</f>
        <v>0.0625</v>
      </c>
      <c r="O2460" s="0" t="n">
        <f aca="false">E2460*G2460</f>
        <v>0.125</v>
      </c>
      <c r="P2460" s="0" t="n">
        <f aca="false">E2460*H2460</f>
        <v>-0.1875</v>
      </c>
      <c r="Q2460" s="0" t="n">
        <f aca="false">F2460*G2460</f>
        <v>0.125</v>
      </c>
      <c r="R2460" s="0" t="n">
        <f aca="false">F2460*H2460</f>
        <v>-0.1875</v>
      </c>
      <c r="S2460" s="0" t="n">
        <f aca="false">G2460*H2460</f>
        <v>-0.375</v>
      </c>
      <c r="T2460" s="0" t="n">
        <f aca="false">E2460*E2460</f>
        <v>0.0625</v>
      </c>
      <c r="U2460" s="0" t="n">
        <f aca="false">F2460*F2460</f>
        <v>0.0625</v>
      </c>
      <c r="V2460" s="0" t="n">
        <f aca="false">G2460*G2460</f>
        <v>0.25</v>
      </c>
      <c r="W2460" s="0" t="n">
        <f aca="false">H2460*H2460</f>
        <v>0.5625</v>
      </c>
      <c r="X2460" s="0" t="n">
        <f aca="false">SUMPRODUCT(I2460:W2460,_XtX!$B$96:$P$96)</f>
        <v>45.9235608552631</v>
      </c>
      <c r="Y2460" s="0" t="n">
        <f aca="false">SUMPRODUCT(MMULT(I2460:W2460,_XtX!$B$78:$P$92),I2460:W2460)</f>
        <v>0.207746539199561</v>
      </c>
      <c r="Z2460" s="0" t="n">
        <f aca="false">04_回帰ANOVA!$K$19*04_回帰ANOVA!$K$14*SQRT(1+Y2460)</f>
        <v>1.43247250081141</v>
      </c>
      <c r="AA2460" s="0" t="n">
        <f aca="false">X2460-Z2460</f>
        <v>44.4910883544517</v>
      </c>
      <c r="AB2460" s="0" t="n">
        <f aca="false">X2460+Z2460</f>
        <v>47.3560333560745</v>
      </c>
      <c r="AC2460" s="54" t="b">
        <f aca="false">AND(E2460&gt;=01_因子設定!$L$5-0.000000001,E2460&lt;=01_因子設定!$M$5+0.000000001,F2460&gt;=01_因子設定!$L$6-0.000000001,F2460&lt;=01_因子設定!$M$6+0.000000001,G2460&gt;=01_因子設定!$L$7-0.000000001,G2460&lt;=01_因子設定!$M$7+0.000000001,H2460&gt;=01_因子設定!$L$8-0.000000001,H2460&lt;=01_因子設定!$M$8+0.000000001,IF(01_因子設定!$B$20="Box-Behnken",E2460^2+F2460^2+G2460^2+H2460^2&lt;=2+0.000000001,TRUE()))</f>
        <v>1</v>
      </c>
      <c r="AD2460" s="55" t="n">
        <f aca="false">IF(AC2460,IF(01_因子設定!$B$13="最大化",AA2460-01_因子設定!$B$14,IF(01_因子設定!$B$13="最小化",01_因子設定!$B$15-AB2460,MIN(AA2460-01_因子設定!$B$14,01_因子設定!$B$15-AB2460))),-1E+030)</f>
        <v>-2.00891164554829</v>
      </c>
      <c r="AE2460" s="55" t="n">
        <f aca="false">IF(AC2460,IF(01_因子設定!$B$13="最大化",X2460,IF(01_因子設定!$B$13="最小化",-X2460,-ABS(X2460-01_因子設定!$B$16))),-1E+030)</f>
        <v>45.9235608552631</v>
      </c>
      <c r="AF2460" s="55" t="n">
        <f aca="false">AD2460+ROW()*0.000000001</f>
        <v>-2.00890918554829</v>
      </c>
      <c r="AG2460" s="55" t="n">
        <f aca="false">AE2460+ROW()*0.000000001</f>
        <v>45.9235633152631</v>
      </c>
    </row>
    <row r="2461" customFormat="false" ht="15" hidden="false" customHeight="false" outlineLevel="0" collapsed="false">
      <c r="A2461" s="0" t="n">
        <v>3</v>
      </c>
      <c r="B2461" s="0" t="n">
        <v>3</v>
      </c>
      <c r="C2461" s="0" t="n">
        <v>2</v>
      </c>
      <c r="D2461" s="0" t="n">
        <v>8</v>
      </c>
      <c r="E2461" s="0" t="n">
        <f aca="false">-1+A2461*0.25</f>
        <v>-0.25</v>
      </c>
      <c r="F2461" s="0" t="n">
        <f aca="false">-1+B2461*0.25</f>
        <v>-0.25</v>
      </c>
      <c r="G2461" s="0" t="n">
        <f aca="false">-1+C2461*0.25</f>
        <v>-0.5</v>
      </c>
      <c r="H2461" s="0" t="n">
        <f aca="false">-1+D2461*0.25</f>
        <v>1</v>
      </c>
      <c r="I2461" s="0" t="n">
        <f aca="false">1</f>
        <v>1</v>
      </c>
      <c r="J2461" s="0" t="n">
        <f aca="false">E2461</f>
        <v>-0.25</v>
      </c>
      <c r="K2461" s="0" t="n">
        <f aca="false">F2461</f>
        <v>-0.25</v>
      </c>
      <c r="L2461" s="0" t="n">
        <f aca="false">G2461</f>
        <v>-0.5</v>
      </c>
      <c r="M2461" s="0" t="n">
        <f aca="false">H2461</f>
        <v>1</v>
      </c>
      <c r="N2461" s="0" t="n">
        <f aca="false">E2461*F2461</f>
        <v>0.0625</v>
      </c>
      <c r="O2461" s="0" t="n">
        <f aca="false">E2461*G2461</f>
        <v>0.125</v>
      </c>
      <c r="P2461" s="0" t="n">
        <f aca="false">E2461*H2461</f>
        <v>-0.25</v>
      </c>
      <c r="Q2461" s="0" t="n">
        <f aca="false">F2461*G2461</f>
        <v>0.125</v>
      </c>
      <c r="R2461" s="0" t="n">
        <f aca="false">F2461*H2461</f>
        <v>-0.25</v>
      </c>
      <c r="S2461" s="0" t="n">
        <f aca="false">G2461*H2461</f>
        <v>-0.5</v>
      </c>
      <c r="T2461" s="0" t="n">
        <f aca="false">E2461*E2461</f>
        <v>0.0625</v>
      </c>
      <c r="U2461" s="0" t="n">
        <f aca="false">F2461*F2461</f>
        <v>0.0625</v>
      </c>
      <c r="V2461" s="0" t="n">
        <f aca="false">G2461*G2461</f>
        <v>0.25</v>
      </c>
      <c r="W2461" s="0" t="n">
        <f aca="false">H2461*H2461</f>
        <v>1</v>
      </c>
      <c r="X2461" s="0" t="n">
        <f aca="false">SUMPRODUCT(I2461:W2461,_XtX!$B$96:$P$96)</f>
        <v>45.8271564327485</v>
      </c>
      <c r="Y2461" s="0" t="n">
        <f aca="false">SUMPRODUCT(MMULT(I2461:W2461,_XtX!$B$78:$P$92),I2461:W2461)</f>
        <v>0.445705123812135</v>
      </c>
      <c r="Z2461" s="0" t="n">
        <f aca="false">04_回帰ANOVA!$K$19*04_回帰ANOVA!$K$14*SQRT(1+Y2461)</f>
        <v>1.56724990734749</v>
      </c>
      <c r="AA2461" s="0" t="n">
        <f aca="false">X2461-Z2461</f>
        <v>44.259906525401</v>
      </c>
      <c r="AB2461" s="0" t="n">
        <f aca="false">X2461+Z2461</f>
        <v>47.394406340096</v>
      </c>
      <c r="AC2461" s="54" t="b">
        <f aca="false">AND(E2461&gt;=01_因子設定!$L$5-0.000000001,E2461&lt;=01_因子設定!$M$5+0.000000001,F2461&gt;=01_因子設定!$L$6-0.000000001,F2461&lt;=01_因子設定!$M$6+0.000000001,G2461&gt;=01_因子設定!$L$7-0.000000001,G2461&lt;=01_因子設定!$M$7+0.000000001,H2461&gt;=01_因子設定!$L$8-0.000000001,H2461&lt;=01_因子設定!$M$8+0.000000001,IF(01_因子設定!$B$20="Box-Behnken",E2461^2+F2461^2+G2461^2+H2461^2&lt;=2+0.000000001,TRUE()))</f>
        <v>1</v>
      </c>
      <c r="AD2461" s="55" t="n">
        <f aca="false">IF(AC2461,IF(01_因子設定!$B$13="最大化",AA2461-01_因子設定!$B$14,IF(01_因子設定!$B$13="最小化",01_因子設定!$B$15-AB2461,MIN(AA2461-01_因子設定!$B$14,01_因子設定!$B$15-AB2461))),-1E+030)</f>
        <v>-2.24009347459897</v>
      </c>
      <c r="AE2461" s="55" t="n">
        <f aca="false">IF(AC2461,IF(01_因子設定!$B$13="最大化",X2461,IF(01_因子設定!$B$13="最小化",-X2461,-ABS(X2461-01_因子設定!$B$16))),-1E+030)</f>
        <v>45.8271564327485</v>
      </c>
      <c r="AF2461" s="55" t="n">
        <f aca="false">AD2461+ROW()*0.000000001</f>
        <v>-2.24009101359897</v>
      </c>
      <c r="AG2461" s="55" t="n">
        <f aca="false">AE2461+ROW()*0.000000001</f>
        <v>45.8271588937485</v>
      </c>
    </row>
    <row r="2462" customFormat="false" ht="15" hidden="false" customHeight="false" outlineLevel="0" collapsed="false">
      <c r="A2462" s="0" t="n">
        <v>3</v>
      </c>
      <c r="B2462" s="0" t="n">
        <v>3</v>
      </c>
      <c r="C2462" s="0" t="n">
        <v>3</v>
      </c>
      <c r="D2462" s="0" t="n">
        <v>0</v>
      </c>
      <c r="E2462" s="0" t="n">
        <f aca="false">-1+A2462*0.25</f>
        <v>-0.25</v>
      </c>
      <c r="F2462" s="0" t="n">
        <f aca="false">-1+B2462*0.25</f>
        <v>-0.25</v>
      </c>
      <c r="G2462" s="0" t="n">
        <f aca="false">-1+C2462*0.25</f>
        <v>-0.25</v>
      </c>
      <c r="H2462" s="0" t="n">
        <f aca="false">-1+D2462*0.25</f>
        <v>-1</v>
      </c>
      <c r="I2462" s="0" t="n">
        <f aca="false">1</f>
        <v>1</v>
      </c>
      <c r="J2462" s="0" t="n">
        <f aca="false">E2462</f>
        <v>-0.25</v>
      </c>
      <c r="K2462" s="0" t="n">
        <f aca="false">F2462</f>
        <v>-0.25</v>
      </c>
      <c r="L2462" s="0" t="n">
        <f aca="false">G2462</f>
        <v>-0.25</v>
      </c>
      <c r="M2462" s="0" t="n">
        <f aca="false">H2462</f>
        <v>-1</v>
      </c>
      <c r="N2462" s="0" t="n">
        <f aca="false">E2462*F2462</f>
        <v>0.0625</v>
      </c>
      <c r="O2462" s="0" t="n">
        <f aca="false">E2462*G2462</f>
        <v>0.0625</v>
      </c>
      <c r="P2462" s="0" t="n">
        <f aca="false">E2462*H2462</f>
        <v>0.25</v>
      </c>
      <c r="Q2462" s="0" t="n">
        <f aca="false">F2462*G2462</f>
        <v>0.0625</v>
      </c>
      <c r="R2462" s="0" t="n">
        <f aca="false">F2462*H2462</f>
        <v>0.25</v>
      </c>
      <c r="S2462" s="0" t="n">
        <f aca="false">G2462*H2462</f>
        <v>0.25</v>
      </c>
      <c r="T2462" s="0" t="n">
        <f aca="false">E2462*E2462</f>
        <v>0.0625</v>
      </c>
      <c r="U2462" s="0" t="n">
        <f aca="false">F2462*F2462</f>
        <v>0.0625</v>
      </c>
      <c r="V2462" s="0" t="n">
        <f aca="false">G2462*G2462</f>
        <v>0.0625</v>
      </c>
      <c r="W2462" s="0" t="n">
        <f aca="false">H2462*H2462</f>
        <v>1</v>
      </c>
      <c r="X2462" s="0" t="n">
        <f aca="false">SUMPRODUCT(I2462:W2462,_XtX!$B$96:$P$96)</f>
        <v>45.5828079312865</v>
      </c>
      <c r="Y2462" s="0" t="n">
        <f aca="false">SUMPRODUCT(MMULT(I2462:W2462,_XtX!$B$78:$P$92),I2462:W2462)</f>
        <v>0.457466705500731</v>
      </c>
      <c r="Z2462" s="0" t="n">
        <f aca="false">04_回帰ANOVA!$K$19*04_回帰ANOVA!$K$14*SQRT(1+Y2462)</f>
        <v>1.57361220003999</v>
      </c>
      <c r="AA2462" s="0" t="n">
        <f aca="false">X2462-Z2462</f>
        <v>44.0091957312465</v>
      </c>
      <c r="AB2462" s="0" t="n">
        <f aca="false">X2462+Z2462</f>
        <v>47.1564201313265</v>
      </c>
      <c r="AC2462" s="54" t="b">
        <f aca="false">AND(E2462&gt;=01_因子設定!$L$5-0.000000001,E2462&lt;=01_因子設定!$M$5+0.000000001,F2462&gt;=01_因子設定!$L$6-0.000000001,F2462&lt;=01_因子設定!$M$6+0.000000001,G2462&gt;=01_因子設定!$L$7-0.000000001,G2462&lt;=01_因子設定!$M$7+0.000000001,H2462&gt;=01_因子設定!$L$8-0.000000001,H2462&lt;=01_因子設定!$M$8+0.000000001,IF(01_因子設定!$B$20="Box-Behnken",E2462^2+F2462^2+G2462^2+H2462^2&lt;=2+0.000000001,TRUE()))</f>
        <v>1</v>
      </c>
      <c r="AD2462" s="55" t="n">
        <f aca="false">IF(AC2462,IF(01_因子設定!$B$13="最大化",AA2462-01_因子設定!$B$14,IF(01_因子設定!$B$13="最小化",01_因子設定!$B$15-AB2462,MIN(AA2462-01_因子設定!$B$14,01_因子設定!$B$15-AB2462))),-1E+030)</f>
        <v>-2.49080426875347</v>
      </c>
      <c r="AE2462" s="55" t="n">
        <f aca="false">IF(AC2462,IF(01_因子設定!$B$13="最大化",X2462,IF(01_因子設定!$B$13="最小化",-X2462,-ABS(X2462-01_因子設定!$B$16))),-1E+030)</f>
        <v>45.5828079312865</v>
      </c>
      <c r="AF2462" s="55" t="n">
        <f aca="false">AD2462+ROW()*0.000000001</f>
        <v>-2.49080180675347</v>
      </c>
      <c r="AG2462" s="55" t="n">
        <f aca="false">AE2462+ROW()*0.000000001</f>
        <v>45.5828103932865</v>
      </c>
    </row>
    <row r="2463" customFormat="false" ht="15" hidden="false" customHeight="false" outlineLevel="0" collapsed="false">
      <c r="A2463" s="0" t="n">
        <v>3</v>
      </c>
      <c r="B2463" s="0" t="n">
        <v>3</v>
      </c>
      <c r="C2463" s="0" t="n">
        <v>3</v>
      </c>
      <c r="D2463" s="0" t="n">
        <v>1</v>
      </c>
      <c r="E2463" s="0" t="n">
        <f aca="false">-1+A2463*0.25</f>
        <v>-0.25</v>
      </c>
      <c r="F2463" s="0" t="n">
        <f aca="false">-1+B2463*0.25</f>
        <v>-0.25</v>
      </c>
      <c r="G2463" s="0" t="n">
        <f aca="false">-1+C2463*0.25</f>
        <v>-0.25</v>
      </c>
      <c r="H2463" s="0" t="n">
        <f aca="false">-1+D2463*0.25</f>
        <v>-0.75</v>
      </c>
      <c r="I2463" s="0" t="n">
        <f aca="false">1</f>
        <v>1</v>
      </c>
      <c r="J2463" s="0" t="n">
        <f aca="false">E2463</f>
        <v>-0.25</v>
      </c>
      <c r="K2463" s="0" t="n">
        <f aca="false">F2463</f>
        <v>-0.25</v>
      </c>
      <c r="L2463" s="0" t="n">
        <f aca="false">G2463</f>
        <v>-0.25</v>
      </c>
      <c r="M2463" s="0" t="n">
        <f aca="false">H2463</f>
        <v>-0.75</v>
      </c>
      <c r="N2463" s="0" t="n">
        <f aca="false">E2463*F2463</f>
        <v>0.0625</v>
      </c>
      <c r="O2463" s="0" t="n">
        <f aca="false">E2463*G2463</f>
        <v>0.0625</v>
      </c>
      <c r="P2463" s="0" t="n">
        <f aca="false">E2463*H2463</f>
        <v>0.1875</v>
      </c>
      <c r="Q2463" s="0" t="n">
        <f aca="false">F2463*G2463</f>
        <v>0.0625</v>
      </c>
      <c r="R2463" s="0" t="n">
        <f aca="false">F2463*H2463</f>
        <v>0.1875</v>
      </c>
      <c r="S2463" s="0" t="n">
        <f aca="false">G2463*H2463</f>
        <v>0.1875</v>
      </c>
      <c r="T2463" s="0" t="n">
        <f aca="false">E2463*E2463</f>
        <v>0.0625</v>
      </c>
      <c r="U2463" s="0" t="n">
        <f aca="false">F2463*F2463</f>
        <v>0.0625</v>
      </c>
      <c r="V2463" s="0" t="n">
        <f aca="false">G2463*G2463</f>
        <v>0.0625</v>
      </c>
      <c r="W2463" s="0" t="n">
        <f aca="false">H2463*H2463</f>
        <v>0.5625</v>
      </c>
      <c r="X2463" s="0" t="n">
        <f aca="false">SUMPRODUCT(I2463:W2463,_XtX!$B$96:$P$96)</f>
        <v>45.8390213815789</v>
      </c>
      <c r="Y2463" s="0" t="n">
        <f aca="false">SUMPRODUCT(MMULT(I2463:W2463,_XtX!$B$78:$P$92),I2463:W2463)</f>
        <v>0.205926192434211</v>
      </c>
      <c r="Z2463" s="0" t="n">
        <f aca="false">04_回帰ANOVA!$K$19*04_回帰ANOVA!$K$14*SQRT(1+Y2463)</f>
        <v>1.43139256396246</v>
      </c>
      <c r="AA2463" s="0" t="n">
        <f aca="false">X2463-Z2463</f>
        <v>44.4076288176165</v>
      </c>
      <c r="AB2463" s="0" t="n">
        <f aca="false">X2463+Z2463</f>
        <v>47.2704139455414</v>
      </c>
      <c r="AC2463" s="54" t="b">
        <f aca="false">AND(E2463&gt;=01_因子設定!$L$5-0.000000001,E2463&lt;=01_因子設定!$M$5+0.000000001,F2463&gt;=01_因子設定!$L$6-0.000000001,F2463&lt;=01_因子設定!$M$6+0.000000001,G2463&gt;=01_因子設定!$L$7-0.000000001,G2463&lt;=01_因子設定!$M$7+0.000000001,H2463&gt;=01_因子設定!$L$8-0.000000001,H2463&lt;=01_因子設定!$M$8+0.000000001,IF(01_因子設定!$B$20="Box-Behnken",E2463^2+F2463^2+G2463^2+H2463^2&lt;=2+0.000000001,TRUE()))</f>
        <v>1</v>
      </c>
      <c r="AD2463" s="55" t="n">
        <f aca="false">IF(AC2463,IF(01_因子設定!$B$13="最大化",AA2463-01_因子設定!$B$14,IF(01_因子設定!$B$13="最小化",01_因子設定!$B$15-AB2463,MIN(AA2463-01_因子設定!$B$14,01_因子設定!$B$15-AB2463))),-1E+030)</f>
        <v>-2.09237118238355</v>
      </c>
      <c r="AE2463" s="55" t="n">
        <f aca="false">IF(AC2463,IF(01_因子設定!$B$13="最大化",X2463,IF(01_因子設定!$B$13="最小化",-X2463,-ABS(X2463-01_因子設定!$B$16))),-1E+030)</f>
        <v>45.8390213815789</v>
      </c>
      <c r="AF2463" s="55" t="n">
        <f aca="false">AD2463+ROW()*0.000000001</f>
        <v>-2.09236871938355</v>
      </c>
      <c r="AG2463" s="55" t="n">
        <f aca="false">AE2463+ROW()*0.000000001</f>
        <v>45.8390238445789</v>
      </c>
    </row>
    <row r="2464" customFormat="false" ht="15" hidden="false" customHeight="false" outlineLevel="0" collapsed="false">
      <c r="A2464" s="0" t="n">
        <v>3</v>
      </c>
      <c r="B2464" s="0" t="n">
        <v>3</v>
      </c>
      <c r="C2464" s="0" t="n">
        <v>3</v>
      </c>
      <c r="D2464" s="0" t="n">
        <v>2</v>
      </c>
      <c r="E2464" s="0" t="n">
        <f aca="false">-1+A2464*0.25</f>
        <v>-0.25</v>
      </c>
      <c r="F2464" s="0" t="n">
        <f aca="false">-1+B2464*0.25</f>
        <v>-0.25</v>
      </c>
      <c r="G2464" s="0" t="n">
        <f aca="false">-1+C2464*0.25</f>
        <v>-0.25</v>
      </c>
      <c r="H2464" s="0" t="n">
        <f aca="false">-1+D2464*0.25</f>
        <v>-0.5</v>
      </c>
      <c r="I2464" s="0" t="n">
        <f aca="false">1</f>
        <v>1</v>
      </c>
      <c r="J2464" s="0" t="n">
        <f aca="false">E2464</f>
        <v>-0.25</v>
      </c>
      <c r="K2464" s="0" t="n">
        <f aca="false">F2464</f>
        <v>-0.25</v>
      </c>
      <c r="L2464" s="0" t="n">
        <f aca="false">G2464</f>
        <v>-0.25</v>
      </c>
      <c r="M2464" s="0" t="n">
        <f aca="false">H2464</f>
        <v>-0.5</v>
      </c>
      <c r="N2464" s="0" t="n">
        <f aca="false">E2464*F2464</f>
        <v>0.0625</v>
      </c>
      <c r="O2464" s="0" t="n">
        <f aca="false">E2464*G2464</f>
        <v>0.0625</v>
      </c>
      <c r="P2464" s="0" t="n">
        <f aca="false">E2464*H2464</f>
        <v>0.125</v>
      </c>
      <c r="Q2464" s="0" t="n">
        <f aca="false">F2464*G2464</f>
        <v>0.0625</v>
      </c>
      <c r="R2464" s="0" t="n">
        <f aca="false">F2464*H2464</f>
        <v>0.125</v>
      </c>
      <c r="S2464" s="0" t="n">
        <f aca="false">G2464*H2464</f>
        <v>0.125</v>
      </c>
      <c r="T2464" s="0" t="n">
        <f aca="false">E2464*E2464</f>
        <v>0.0625</v>
      </c>
      <c r="U2464" s="0" t="n">
        <f aca="false">F2464*F2464</f>
        <v>0.0625</v>
      </c>
      <c r="V2464" s="0" t="n">
        <f aca="false">G2464*G2464</f>
        <v>0.0625</v>
      </c>
      <c r="W2464" s="0" t="n">
        <f aca="false">H2464*H2464</f>
        <v>0.25</v>
      </c>
      <c r="X2464" s="0" t="n">
        <f aca="false">SUMPRODUCT(I2464:W2464,_XtX!$B$96:$P$96)</f>
        <v>46.0474278143274</v>
      </c>
      <c r="Y2464" s="0" t="n">
        <f aca="false">SUMPRODUCT(MMULT(I2464:W2464,_XtX!$B$78:$P$92),I2464:W2464)</f>
        <v>0.116714923702485</v>
      </c>
      <c r="Z2464" s="0" t="n">
        <f aca="false">04_回帰ANOVA!$K$19*04_回帰ANOVA!$K$14*SQRT(1+Y2464)</f>
        <v>1.37743004820023</v>
      </c>
      <c r="AA2464" s="0" t="n">
        <f aca="false">X2464-Z2464</f>
        <v>44.6699977661272</v>
      </c>
      <c r="AB2464" s="0" t="n">
        <f aca="false">X2464+Z2464</f>
        <v>47.4248578625277</v>
      </c>
      <c r="AC2464" s="54" t="b">
        <f aca="false">AND(E2464&gt;=01_因子設定!$L$5-0.000000001,E2464&lt;=01_因子設定!$M$5+0.000000001,F2464&gt;=01_因子設定!$L$6-0.000000001,F2464&lt;=01_因子設定!$M$6+0.000000001,G2464&gt;=01_因子設定!$L$7-0.000000001,G2464&lt;=01_因子設定!$M$7+0.000000001,H2464&gt;=01_因子設定!$L$8-0.000000001,H2464&lt;=01_因子設定!$M$8+0.000000001,IF(01_因子設定!$B$20="Box-Behnken",E2464^2+F2464^2+G2464^2+H2464^2&lt;=2+0.000000001,TRUE()))</f>
        <v>1</v>
      </c>
      <c r="AD2464" s="55" t="n">
        <f aca="false">IF(AC2464,IF(01_因子設定!$B$13="最大化",AA2464-01_因子設定!$B$14,IF(01_因子設定!$B$13="最小化",01_因子設定!$B$15-AB2464,MIN(AA2464-01_因子設定!$B$14,01_因子設定!$B$15-AB2464))),-1E+030)</f>
        <v>-1.83000223387279</v>
      </c>
      <c r="AE2464" s="55" t="n">
        <f aca="false">IF(AC2464,IF(01_因子設定!$B$13="最大化",X2464,IF(01_因子設定!$B$13="最小化",-X2464,-ABS(X2464-01_因子設定!$B$16))),-1E+030)</f>
        <v>46.0474278143274</v>
      </c>
      <c r="AF2464" s="55" t="n">
        <f aca="false">AD2464+ROW()*0.000000001</f>
        <v>-1.82999976987279</v>
      </c>
      <c r="AG2464" s="55" t="n">
        <f aca="false">AE2464+ROW()*0.000000001</f>
        <v>46.0474302783274</v>
      </c>
    </row>
    <row r="2465" customFormat="false" ht="15" hidden="false" customHeight="false" outlineLevel="0" collapsed="false">
      <c r="A2465" s="0" t="n">
        <v>3</v>
      </c>
      <c r="B2465" s="0" t="n">
        <v>3</v>
      </c>
      <c r="C2465" s="0" t="n">
        <v>3</v>
      </c>
      <c r="D2465" s="0" t="n">
        <v>3</v>
      </c>
      <c r="E2465" s="0" t="n">
        <f aca="false">-1+A2465*0.25</f>
        <v>-0.25</v>
      </c>
      <c r="F2465" s="0" t="n">
        <f aca="false">-1+B2465*0.25</f>
        <v>-0.25</v>
      </c>
      <c r="G2465" s="0" t="n">
        <f aca="false">-1+C2465*0.25</f>
        <v>-0.25</v>
      </c>
      <c r="H2465" s="0" t="n">
        <f aca="false">-1+D2465*0.25</f>
        <v>-0.25</v>
      </c>
      <c r="I2465" s="0" t="n">
        <f aca="false">1</f>
        <v>1</v>
      </c>
      <c r="J2465" s="0" t="n">
        <f aca="false">E2465</f>
        <v>-0.25</v>
      </c>
      <c r="K2465" s="0" t="n">
        <f aca="false">F2465</f>
        <v>-0.25</v>
      </c>
      <c r="L2465" s="0" t="n">
        <f aca="false">G2465</f>
        <v>-0.25</v>
      </c>
      <c r="M2465" s="0" t="n">
        <f aca="false">H2465</f>
        <v>-0.25</v>
      </c>
      <c r="N2465" s="0" t="n">
        <f aca="false">E2465*F2465</f>
        <v>0.0625</v>
      </c>
      <c r="O2465" s="0" t="n">
        <f aca="false">E2465*G2465</f>
        <v>0.0625</v>
      </c>
      <c r="P2465" s="0" t="n">
        <f aca="false">E2465*H2465</f>
        <v>0.0625</v>
      </c>
      <c r="Q2465" s="0" t="n">
        <f aca="false">F2465*G2465</f>
        <v>0.0625</v>
      </c>
      <c r="R2465" s="0" t="n">
        <f aca="false">F2465*H2465</f>
        <v>0.0625</v>
      </c>
      <c r="S2465" s="0" t="n">
        <f aca="false">G2465*H2465</f>
        <v>0.0625</v>
      </c>
      <c r="T2465" s="0" t="n">
        <f aca="false">E2465*E2465</f>
        <v>0.0625</v>
      </c>
      <c r="U2465" s="0" t="n">
        <f aca="false">F2465*F2465</f>
        <v>0.0625</v>
      </c>
      <c r="V2465" s="0" t="n">
        <f aca="false">G2465*G2465</f>
        <v>0.0625</v>
      </c>
      <c r="W2465" s="0" t="n">
        <f aca="false">H2465*H2465</f>
        <v>0.0625</v>
      </c>
      <c r="X2465" s="0" t="n">
        <f aca="false">SUMPRODUCT(I2465:W2465,_XtX!$B$96:$P$96)</f>
        <v>46.2080272295321</v>
      </c>
      <c r="Y2465" s="0" t="n">
        <f aca="false">SUMPRODUCT(MMULT(I2465:W2465,_XtX!$B$78:$P$92),I2465:W2465)</f>
        <v>0.0993723729897661</v>
      </c>
      <c r="Z2465" s="0" t="n">
        <f aca="false">04_回帰ANOVA!$K$19*04_回帰ANOVA!$K$14*SQRT(1+Y2465)</f>
        <v>1.36669247195631</v>
      </c>
      <c r="AA2465" s="0" t="n">
        <f aca="false">X2465-Z2465</f>
        <v>44.8413347575758</v>
      </c>
      <c r="AB2465" s="0" t="n">
        <f aca="false">X2465+Z2465</f>
        <v>47.5747197014884</v>
      </c>
      <c r="AC2465" s="54" t="b">
        <f aca="false">AND(E2465&gt;=01_因子設定!$L$5-0.000000001,E2465&lt;=01_因子設定!$M$5+0.000000001,F2465&gt;=01_因子設定!$L$6-0.000000001,F2465&lt;=01_因子設定!$M$6+0.000000001,G2465&gt;=01_因子設定!$L$7-0.000000001,G2465&lt;=01_因子設定!$M$7+0.000000001,H2465&gt;=01_因子設定!$L$8-0.000000001,H2465&lt;=01_因子設定!$M$8+0.000000001,IF(01_因子設定!$B$20="Box-Behnken",E2465^2+F2465^2+G2465^2+H2465^2&lt;=2+0.000000001,TRUE()))</f>
        <v>1</v>
      </c>
      <c r="AD2465" s="55" t="n">
        <f aca="false">IF(AC2465,IF(01_因子設定!$B$13="最大化",AA2465-01_因子設定!$B$14,IF(01_因子設定!$B$13="最小化",01_因子設定!$B$15-AB2465,MIN(AA2465-01_因子設定!$B$14,01_因子設定!$B$15-AB2465))),-1E+030)</f>
        <v>-1.65866524242421</v>
      </c>
      <c r="AE2465" s="55" t="n">
        <f aca="false">IF(AC2465,IF(01_因子設定!$B$13="最大化",X2465,IF(01_因子設定!$B$13="最小化",-X2465,-ABS(X2465-01_因子設定!$B$16))),-1E+030)</f>
        <v>46.2080272295321</v>
      </c>
      <c r="AF2465" s="55" t="n">
        <f aca="false">AD2465+ROW()*0.000000001</f>
        <v>-1.65866277742421</v>
      </c>
      <c r="AG2465" s="55" t="n">
        <f aca="false">AE2465+ROW()*0.000000001</f>
        <v>46.2080296945321</v>
      </c>
    </row>
    <row r="2466" customFormat="false" ht="15" hidden="false" customHeight="false" outlineLevel="0" collapsed="false">
      <c r="A2466" s="0" t="n">
        <v>3</v>
      </c>
      <c r="B2466" s="0" t="n">
        <v>3</v>
      </c>
      <c r="C2466" s="0" t="n">
        <v>3</v>
      </c>
      <c r="D2466" s="0" t="n">
        <v>4</v>
      </c>
      <c r="E2466" s="0" t="n">
        <f aca="false">-1+A2466*0.25</f>
        <v>-0.25</v>
      </c>
      <c r="F2466" s="0" t="n">
        <f aca="false">-1+B2466*0.25</f>
        <v>-0.25</v>
      </c>
      <c r="G2466" s="0" t="n">
        <f aca="false">-1+C2466*0.25</f>
        <v>-0.25</v>
      </c>
      <c r="H2466" s="0" t="n">
        <f aca="false">-1+D2466*0.25</f>
        <v>0</v>
      </c>
      <c r="I2466" s="0" t="n">
        <f aca="false">1</f>
        <v>1</v>
      </c>
      <c r="J2466" s="0" t="n">
        <f aca="false">E2466</f>
        <v>-0.25</v>
      </c>
      <c r="K2466" s="0" t="n">
        <f aca="false">F2466</f>
        <v>-0.25</v>
      </c>
      <c r="L2466" s="0" t="n">
        <f aca="false">G2466</f>
        <v>-0.25</v>
      </c>
      <c r="M2466" s="0" t="n">
        <f aca="false">H2466</f>
        <v>0</v>
      </c>
      <c r="N2466" s="0" t="n">
        <f aca="false">E2466*F2466</f>
        <v>0.0625</v>
      </c>
      <c r="O2466" s="0" t="n">
        <f aca="false">E2466*G2466</f>
        <v>0.0625</v>
      </c>
      <c r="P2466" s="0" t="n">
        <f aca="false">E2466*H2466</f>
        <v>-0</v>
      </c>
      <c r="Q2466" s="0" t="n">
        <f aca="false">F2466*G2466</f>
        <v>0.0625</v>
      </c>
      <c r="R2466" s="0" t="n">
        <f aca="false">F2466*H2466</f>
        <v>-0</v>
      </c>
      <c r="S2466" s="0" t="n">
        <f aca="false">G2466*H2466</f>
        <v>-0</v>
      </c>
      <c r="T2466" s="0" t="n">
        <f aca="false">E2466*E2466</f>
        <v>0.0625</v>
      </c>
      <c r="U2466" s="0" t="n">
        <f aca="false">F2466*F2466</f>
        <v>0.0625</v>
      </c>
      <c r="V2466" s="0" t="n">
        <f aca="false">G2466*G2466</f>
        <v>0.0625</v>
      </c>
      <c r="W2466" s="0" t="n">
        <f aca="false">H2466*H2466</f>
        <v>0</v>
      </c>
      <c r="X2466" s="0" t="n">
        <f aca="false">SUMPRODUCT(I2466:W2466,_XtX!$B$96:$P$96)</f>
        <v>46.3208196271929</v>
      </c>
      <c r="Y2466" s="0" t="n">
        <f aca="false">SUMPRODUCT(MMULT(I2466:W2466,_XtX!$B$78:$P$92),I2466:W2466)</f>
        <v>0.099622224506579</v>
      </c>
      <c r="Z2466" s="0" t="n">
        <f aca="false">04_回帰ANOVA!$K$19*04_回帰ANOVA!$K$14*SQRT(1+Y2466)</f>
        <v>1.3668477654658</v>
      </c>
      <c r="AA2466" s="0" t="n">
        <f aca="false">X2466-Z2466</f>
        <v>44.9539718617271</v>
      </c>
      <c r="AB2466" s="0" t="n">
        <f aca="false">X2466+Z2466</f>
        <v>47.6876673926587</v>
      </c>
      <c r="AC2466" s="54" t="b">
        <f aca="false">AND(E2466&gt;=01_因子設定!$L$5-0.000000001,E2466&lt;=01_因子設定!$M$5+0.000000001,F2466&gt;=01_因子設定!$L$6-0.000000001,F2466&lt;=01_因子設定!$M$6+0.000000001,G2466&gt;=01_因子設定!$L$7-0.000000001,G2466&lt;=01_因子設定!$M$7+0.000000001,H2466&gt;=01_因子設定!$L$8-0.000000001,H2466&lt;=01_因子設定!$M$8+0.000000001,IF(01_因子設定!$B$20="Box-Behnken",E2466^2+F2466^2+G2466^2+H2466^2&lt;=2+0.000000001,TRUE()))</f>
        <v>1</v>
      </c>
      <c r="AD2466" s="55" t="n">
        <f aca="false">IF(AC2466,IF(01_因子設定!$B$13="最大化",AA2466-01_因子設定!$B$14,IF(01_因子設定!$B$13="最小化",01_因子設定!$B$15-AB2466,MIN(AA2466-01_因子設定!$B$14,01_因子設定!$B$15-AB2466))),-1E+030)</f>
        <v>-1.54602813827287</v>
      </c>
      <c r="AE2466" s="55" t="n">
        <f aca="false">IF(AC2466,IF(01_因子設定!$B$13="最大化",X2466,IF(01_因子設定!$B$13="最小化",-X2466,-ABS(X2466-01_因子設定!$B$16))),-1E+030)</f>
        <v>46.3208196271929</v>
      </c>
      <c r="AF2466" s="55" t="n">
        <f aca="false">AD2466+ROW()*0.000000001</f>
        <v>-1.54602567227287</v>
      </c>
      <c r="AG2466" s="55" t="n">
        <f aca="false">AE2466+ROW()*0.000000001</f>
        <v>46.3208220931929</v>
      </c>
    </row>
    <row r="2467" customFormat="false" ht="15" hidden="false" customHeight="false" outlineLevel="0" collapsed="false">
      <c r="A2467" s="0" t="n">
        <v>3</v>
      </c>
      <c r="B2467" s="0" t="n">
        <v>3</v>
      </c>
      <c r="C2467" s="0" t="n">
        <v>3</v>
      </c>
      <c r="D2467" s="0" t="n">
        <v>5</v>
      </c>
      <c r="E2467" s="0" t="n">
        <f aca="false">-1+A2467*0.25</f>
        <v>-0.25</v>
      </c>
      <c r="F2467" s="0" t="n">
        <f aca="false">-1+B2467*0.25</f>
        <v>-0.25</v>
      </c>
      <c r="G2467" s="0" t="n">
        <f aca="false">-1+C2467*0.25</f>
        <v>-0.25</v>
      </c>
      <c r="H2467" s="0" t="n">
        <f aca="false">-1+D2467*0.25</f>
        <v>0.25</v>
      </c>
      <c r="I2467" s="0" t="n">
        <f aca="false">1</f>
        <v>1</v>
      </c>
      <c r="J2467" s="0" t="n">
        <f aca="false">E2467</f>
        <v>-0.25</v>
      </c>
      <c r="K2467" s="0" t="n">
        <f aca="false">F2467</f>
        <v>-0.25</v>
      </c>
      <c r="L2467" s="0" t="n">
        <f aca="false">G2467</f>
        <v>-0.25</v>
      </c>
      <c r="M2467" s="0" t="n">
        <f aca="false">H2467</f>
        <v>0.25</v>
      </c>
      <c r="N2467" s="0" t="n">
        <f aca="false">E2467*F2467</f>
        <v>0.0625</v>
      </c>
      <c r="O2467" s="0" t="n">
        <f aca="false">E2467*G2467</f>
        <v>0.0625</v>
      </c>
      <c r="P2467" s="0" t="n">
        <f aca="false">E2467*H2467</f>
        <v>-0.0625</v>
      </c>
      <c r="Q2467" s="0" t="n">
        <f aca="false">F2467*G2467</f>
        <v>0.0625</v>
      </c>
      <c r="R2467" s="0" t="n">
        <f aca="false">F2467*H2467</f>
        <v>-0.0625</v>
      </c>
      <c r="S2467" s="0" t="n">
        <f aca="false">G2467*H2467</f>
        <v>-0.0625</v>
      </c>
      <c r="T2467" s="0" t="n">
        <f aca="false">E2467*E2467</f>
        <v>0.0625</v>
      </c>
      <c r="U2467" s="0" t="n">
        <f aca="false">F2467*F2467</f>
        <v>0.0625</v>
      </c>
      <c r="V2467" s="0" t="n">
        <f aca="false">G2467*G2467</f>
        <v>0.0625</v>
      </c>
      <c r="W2467" s="0" t="n">
        <f aca="false">H2467*H2467</f>
        <v>0.0625</v>
      </c>
      <c r="X2467" s="0" t="n">
        <f aca="false">SUMPRODUCT(I2467:W2467,_XtX!$B$96:$P$96)</f>
        <v>46.3858050073099</v>
      </c>
      <c r="Y2467" s="0" t="n">
        <f aca="false">SUMPRODUCT(MMULT(I2467:W2467,_XtX!$B$78:$P$92),I2467:W2467)</f>
        <v>0.0993723729897661</v>
      </c>
      <c r="Z2467" s="0" t="n">
        <f aca="false">04_回帰ANOVA!$K$19*04_回帰ANOVA!$K$14*SQRT(1+Y2467)</f>
        <v>1.36669247195631</v>
      </c>
      <c r="AA2467" s="0" t="n">
        <f aca="false">X2467-Z2467</f>
        <v>45.0191125353536</v>
      </c>
      <c r="AB2467" s="0" t="n">
        <f aca="false">X2467+Z2467</f>
        <v>47.7524974792662</v>
      </c>
      <c r="AC2467" s="54" t="b">
        <f aca="false">AND(E2467&gt;=01_因子設定!$L$5-0.000000001,E2467&lt;=01_因子設定!$M$5+0.000000001,F2467&gt;=01_因子設定!$L$6-0.000000001,F2467&lt;=01_因子設定!$M$6+0.000000001,G2467&gt;=01_因子設定!$L$7-0.000000001,G2467&lt;=01_因子設定!$M$7+0.000000001,H2467&gt;=01_因子設定!$L$8-0.000000001,H2467&lt;=01_因子設定!$M$8+0.000000001,IF(01_因子設定!$B$20="Box-Behnken",E2467^2+F2467^2+G2467^2+H2467^2&lt;=2+0.000000001,TRUE()))</f>
        <v>1</v>
      </c>
      <c r="AD2467" s="55" t="n">
        <f aca="false">IF(AC2467,IF(01_因子設定!$B$13="最大化",AA2467-01_因子設定!$B$14,IF(01_因子設定!$B$13="最小化",01_因子設定!$B$15-AB2467,MIN(AA2467-01_因子設定!$B$14,01_因子設定!$B$15-AB2467))),-1E+030)</f>
        <v>-1.48088746464643</v>
      </c>
      <c r="AE2467" s="55" t="n">
        <f aca="false">IF(AC2467,IF(01_因子設定!$B$13="最大化",X2467,IF(01_因子設定!$B$13="最小化",-X2467,-ABS(X2467-01_因子設定!$B$16))),-1E+030)</f>
        <v>46.3858050073099</v>
      </c>
      <c r="AF2467" s="55" t="n">
        <f aca="false">AD2467+ROW()*0.000000001</f>
        <v>-1.48088499764643</v>
      </c>
      <c r="AG2467" s="55" t="n">
        <f aca="false">AE2467+ROW()*0.000000001</f>
        <v>46.3858074743099</v>
      </c>
    </row>
    <row r="2468" customFormat="false" ht="15" hidden="false" customHeight="false" outlineLevel="0" collapsed="false">
      <c r="A2468" s="0" t="n">
        <v>3</v>
      </c>
      <c r="B2468" s="0" t="n">
        <v>3</v>
      </c>
      <c r="C2468" s="0" t="n">
        <v>3</v>
      </c>
      <c r="D2468" s="0" t="n">
        <v>6</v>
      </c>
      <c r="E2468" s="0" t="n">
        <f aca="false">-1+A2468*0.25</f>
        <v>-0.25</v>
      </c>
      <c r="F2468" s="0" t="n">
        <f aca="false">-1+B2468*0.25</f>
        <v>-0.25</v>
      </c>
      <c r="G2468" s="0" t="n">
        <f aca="false">-1+C2468*0.25</f>
        <v>-0.25</v>
      </c>
      <c r="H2468" s="0" t="n">
        <f aca="false">-1+D2468*0.25</f>
        <v>0.5</v>
      </c>
      <c r="I2468" s="0" t="n">
        <f aca="false">1</f>
        <v>1</v>
      </c>
      <c r="J2468" s="0" t="n">
        <f aca="false">E2468</f>
        <v>-0.25</v>
      </c>
      <c r="K2468" s="0" t="n">
        <f aca="false">F2468</f>
        <v>-0.25</v>
      </c>
      <c r="L2468" s="0" t="n">
        <f aca="false">G2468</f>
        <v>-0.25</v>
      </c>
      <c r="M2468" s="0" t="n">
        <f aca="false">H2468</f>
        <v>0.5</v>
      </c>
      <c r="N2468" s="0" t="n">
        <f aca="false">E2468*F2468</f>
        <v>0.0625</v>
      </c>
      <c r="O2468" s="0" t="n">
        <f aca="false">E2468*G2468</f>
        <v>0.0625</v>
      </c>
      <c r="P2468" s="0" t="n">
        <f aca="false">E2468*H2468</f>
        <v>-0.125</v>
      </c>
      <c r="Q2468" s="0" t="n">
        <f aca="false">F2468*G2468</f>
        <v>0.0625</v>
      </c>
      <c r="R2468" s="0" t="n">
        <f aca="false">F2468*H2468</f>
        <v>-0.125</v>
      </c>
      <c r="S2468" s="0" t="n">
        <f aca="false">G2468*H2468</f>
        <v>-0.125</v>
      </c>
      <c r="T2468" s="0" t="n">
        <f aca="false">E2468*E2468</f>
        <v>0.0625</v>
      </c>
      <c r="U2468" s="0" t="n">
        <f aca="false">F2468*F2468</f>
        <v>0.0625</v>
      </c>
      <c r="V2468" s="0" t="n">
        <f aca="false">G2468*G2468</f>
        <v>0.0625</v>
      </c>
      <c r="W2468" s="0" t="n">
        <f aca="false">H2468*H2468</f>
        <v>0.25</v>
      </c>
      <c r="X2468" s="0" t="n">
        <f aca="false">SUMPRODUCT(I2468:W2468,_XtX!$B$96:$P$96)</f>
        <v>46.402983369883</v>
      </c>
      <c r="Y2468" s="0" t="n">
        <f aca="false">SUMPRODUCT(MMULT(I2468:W2468,_XtX!$B$78:$P$92),I2468:W2468)</f>
        <v>0.116714923702485</v>
      </c>
      <c r="Z2468" s="0" t="n">
        <f aca="false">04_回帰ANOVA!$K$19*04_回帰ANOVA!$K$14*SQRT(1+Y2468)</f>
        <v>1.37743004820023</v>
      </c>
      <c r="AA2468" s="0" t="n">
        <f aca="false">X2468-Z2468</f>
        <v>45.0255533216828</v>
      </c>
      <c r="AB2468" s="0" t="n">
        <f aca="false">X2468+Z2468</f>
        <v>47.7804134180832</v>
      </c>
      <c r="AC2468" s="54" t="b">
        <f aca="false">AND(E2468&gt;=01_因子設定!$L$5-0.000000001,E2468&lt;=01_因子設定!$M$5+0.000000001,F2468&gt;=01_因子設定!$L$6-0.000000001,F2468&lt;=01_因子設定!$M$6+0.000000001,G2468&gt;=01_因子設定!$L$7-0.000000001,G2468&lt;=01_因子設定!$M$7+0.000000001,H2468&gt;=01_因子設定!$L$8-0.000000001,H2468&lt;=01_因子設定!$M$8+0.000000001,IF(01_因子設定!$B$20="Box-Behnken",E2468^2+F2468^2+G2468^2+H2468^2&lt;=2+0.000000001,TRUE()))</f>
        <v>1</v>
      </c>
      <c r="AD2468" s="55" t="n">
        <f aca="false">IF(AC2468,IF(01_因子設定!$B$13="最大化",AA2468-01_因子設定!$B$14,IF(01_因子設定!$B$13="最小化",01_因子設定!$B$15-AB2468,MIN(AA2468-01_因子設定!$B$14,01_因子設定!$B$15-AB2468))),-1E+030)</f>
        <v>-1.47444667831724</v>
      </c>
      <c r="AE2468" s="55" t="n">
        <f aca="false">IF(AC2468,IF(01_因子設定!$B$13="最大化",X2468,IF(01_因子設定!$B$13="最小化",-X2468,-ABS(X2468-01_因子設定!$B$16))),-1E+030)</f>
        <v>46.402983369883</v>
      </c>
      <c r="AF2468" s="55" t="n">
        <f aca="false">AD2468+ROW()*0.000000001</f>
        <v>-1.47444421031724</v>
      </c>
      <c r="AG2468" s="55" t="n">
        <f aca="false">AE2468+ROW()*0.000000001</f>
        <v>46.402985837883</v>
      </c>
    </row>
    <row r="2469" customFormat="false" ht="15" hidden="false" customHeight="false" outlineLevel="0" collapsed="false">
      <c r="A2469" s="0" t="n">
        <v>3</v>
      </c>
      <c r="B2469" s="0" t="n">
        <v>3</v>
      </c>
      <c r="C2469" s="0" t="n">
        <v>3</v>
      </c>
      <c r="D2469" s="0" t="n">
        <v>7</v>
      </c>
      <c r="E2469" s="0" t="n">
        <f aca="false">-1+A2469*0.25</f>
        <v>-0.25</v>
      </c>
      <c r="F2469" s="0" t="n">
        <f aca="false">-1+B2469*0.25</f>
        <v>-0.25</v>
      </c>
      <c r="G2469" s="0" t="n">
        <f aca="false">-1+C2469*0.25</f>
        <v>-0.25</v>
      </c>
      <c r="H2469" s="0" t="n">
        <f aca="false">-1+D2469*0.25</f>
        <v>0.75</v>
      </c>
      <c r="I2469" s="0" t="n">
        <f aca="false">1</f>
        <v>1</v>
      </c>
      <c r="J2469" s="0" t="n">
        <f aca="false">E2469</f>
        <v>-0.25</v>
      </c>
      <c r="K2469" s="0" t="n">
        <f aca="false">F2469</f>
        <v>-0.25</v>
      </c>
      <c r="L2469" s="0" t="n">
        <f aca="false">G2469</f>
        <v>-0.25</v>
      </c>
      <c r="M2469" s="0" t="n">
        <f aca="false">H2469</f>
        <v>0.75</v>
      </c>
      <c r="N2469" s="0" t="n">
        <f aca="false">E2469*F2469</f>
        <v>0.0625</v>
      </c>
      <c r="O2469" s="0" t="n">
        <f aca="false">E2469*G2469</f>
        <v>0.0625</v>
      </c>
      <c r="P2469" s="0" t="n">
        <f aca="false">E2469*H2469</f>
        <v>-0.1875</v>
      </c>
      <c r="Q2469" s="0" t="n">
        <f aca="false">F2469*G2469</f>
        <v>0.0625</v>
      </c>
      <c r="R2469" s="0" t="n">
        <f aca="false">F2469*H2469</f>
        <v>-0.1875</v>
      </c>
      <c r="S2469" s="0" t="n">
        <f aca="false">G2469*H2469</f>
        <v>-0.1875</v>
      </c>
      <c r="T2469" s="0" t="n">
        <f aca="false">E2469*E2469</f>
        <v>0.0625</v>
      </c>
      <c r="U2469" s="0" t="n">
        <f aca="false">F2469*F2469</f>
        <v>0.0625</v>
      </c>
      <c r="V2469" s="0" t="n">
        <f aca="false">G2469*G2469</f>
        <v>0.0625</v>
      </c>
      <c r="W2469" s="0" t="n">
        <f aca="false">H2469*H2469</f>
        <v>0.5625</v>
      </c>
      <c r="X2469" s="0" t="n">
        <f aca="false">SUMPRODUCT(I2469:W2469,_XtX!$B$96:$P$96)</f>
        <v>46.3723547149122</v>
      </c>
      <c r="Y2469" s="0" t="n">
        <f aca="false">SUMPRODUCT(MMULT(I2469:W2469,_XtX!$B$78:$P$92),I2469:W2469)</f>
        <v>0.205926192434211</v>
      </c>
      <c r="Z2469" s="0" t="n">
        <f aca="false">04_回帰ANOVA!$K$19*04_回帰ANOVA!$K$14*SQRT(1+Y2469)</f>
        <v>1.43139256396246</v>
      </c>
      <c r="AA2469" s="0" t="n">
        <f aca="false">X2469-Z2469</f>
        <v>44.9409621509498</v>
      </c>
      <c r="AB2469" s="0" t="n">
        <f aca="false">X2469+Z2469</f>
        <v>47.8037472788747</v>
      </c>
      <c r="AC2469" s="54" t="b">
        <f aca="false">AND(E2469&gt;=01_因子設定!$L$5-0.000000001,E2469&lt;=01_因子設定!$M$5+0.000000001,F2469&gt;=01_因子設定!$L$6-0.000000001,F2469&lt;=01_因子設定!$M$6+0.000000001,G2469&gt;=01_因子設定!$L$7-0.000000001,G2469&lt;=01_因子設定!$M$7+0.000000001,H2469&gt;=01_因子設定!$L$8-0.000000001,H2469&lt;=01_因子設定!$M$8+0.000000001,IF(01_因子設定!$B$20="Box-Behnken",E2469^2+F2469^2+G2469^2+H2469^2&lt;=2+0.000000001,TRUE()))</f>
        <v>1</v>
      </c>
      <c r="AD2469" s="55" t="n">
        <f aca="false">IF(AC2469,IF(01_因子設定!$B$13="最大化",AA2469-01_因子設定!$B$14,IF(01_因子設定!$B$13="最小化",01_因子設定!$B$15-AB2469,MIN(AA2469-01_因子設定!$B$14,01_因子設定!$B$15-AB2469))),-1E+030)</f>
        <v>-1.55903784905022</v>
      </c>
      <c r="AE2469" s="55" t="n">
        <f aca="false">IF(AC2469,IF(01_因子設定!$B$13="最大化",X2469,IF(01_因子設定!$B$13="最小化",-X2469,-ABS(X2469-01_因子設定!$B$16))),-1E+030)</f>
        <v>46.3723547149122</v>
      </c>
      <c r="AF2469" s="55" t="n">
        <f aca="false">AD2469+ROW()*0.000000001</f>
        <v>-1.55903538005022</v>
      </c>
      <c r="AG2469" s="55" t="n">
        <f aca="false">AE2469+ROW()*0.000000001</f>
        <v>46.3723571839122</v>
      </c>
    </row>
    <row r="2470" customFormat="false" ht="15" hidden="false" customHeight="false" outlineLevel="0" collapsed="false">
      <c r="A2470" s="0" t="n">
        <v>3</v>
      </c>
      <c r="B2470" s="0" t="n">
        <v>3</v>
      </c>
      <c r="C2470" s="0" t="n">
        <v>3</v>
      </c>
      <c r="D2470" s="0" t="n">
        <v>8</v>
      </c>
      <c r="E2470" s="0" t="n">
        <f aca="false">-1+A2470*0.25</f>
        <v>-0.25</v>
      </c>
      <c r="F2470" s="0" t="n">
        <f aca="false">-1+B2470*0.25</f>
        <v>-0.25</v>
      </c>
      <c r="G2470" s="0" t="n">
        <f aca="false">-1+C2470*0.25</f>
        <v>-0.25</v>
      </c>
      <c r="H2470" s="0" t="n">
        <f aca="false">-1+D2470*0.25</f>
        <v>1</v>
      </c>
      <c r="I2470" s="0" t="n">
        <f aca="false">1</f>
        <v>1</v>
      </c>
      <c r="J2470" s="0" t="n">
        <f aca="false">E2470</f>
        <v>-0.25</v>
      </c>
      <c r="K2470" s="0" t="n">
        <f aca="false">F2470</f>
        <v>-0.25</v>
      </c>
      <c r="L2470" s="0" t="n">
        <f aca="false">G2470</f>
        <v>-0.25</v>
      </c>
      <c r="M2470" s="0" t="n">
        <f aca="false">H2470</f>
        <v>1</v>
      </c>
      <c r="N2470" s="0" t="n">
        <f aca="false">E2470*F2470</f>
        <v>0.0625</v>
      </c>
      <c r="O2470" s="0" t="n">
        <f aca="false">E2470*G2470</f>
        <v>0.0625</v>
      </c>
      <c r="P2470" s="0" t="n">
        <f aca="false">E2470*H2470</f>
        <v>-0.25</v>
      </c>
      <c r="Q2470" s="0" t="n">
        <f aca="false">F2470*G2470</f>
        <v>0.0625</v>
      </c>
      <c r="R2470" s="0" t="n">
        <f aca="false">F2470*H2470</f>
        <v>-0.25</v>
      </c>
      <c r="S2470" s="0" t="n">
        <f aca="false">G2470*H2470</f>
        <v>-0.25</v>
      </c>
      <c r="T2470" s="0" t="n">
        <f aca="false">E2470*E2470</f>
        <v>0.0625</v>
      </c>
      <c r="U2470" s="0" t="n">
        <f aca="false">F2470*F2470</f>
        <v>0.0625</v>
      </c>
      <c r="V2470" s="0" t="n">
        <f aca="false">G2470*G2470</f>
        <v>0.0625</v>
      </c>
      <c r="W2470" s="0" t="n">
        <f aca="false">H2470*H2470</f>
        <v>1</v>
      </c>
      <c r="X2470" s="0" t="n">
        <f aca="false">SUMPRODUCT(I2470:W2470,_XtX!$B$96:$P$96)</f>
        <v>46.2939190423976</v>
      </c>
      <c r="Y2470" s="0" t="n">
        <f aca="false">SUMPRODUCT(MMULT(I2470:W2470,_XtX!$B$78:$P$92),I2470:W2470)</f>
        <v>0.457466705500731</v>
      </c>
      <c r="Z2470" s="0" t="n">
        <f aca="false">04_回帰ANOVA!$K$19*04_回帰ANOVA!$K$14*SQRT(1+Y2470)</f>
        <v>1.57361220003999</v>
      </c>
      <c r="AA2470" s="0" t="n">
        <f aca="false">X2470-Z2470</f>
        <v>44.7203068423576</v>
      </c>
      <c r="AB2470" s="0" t="n">
        <f aca="false">X2470+Z2470</f>
        <v>47.8675312424376</v>
      </c>
      <c r="AC2470" s="54" t="b">
        <f aca="false">AND(E2470&gt;=01_因子設定!$L$5-0.000000001,E2470&lt;=01_因子設定!$M$5+0.000000001,F2470&gt;=01_因子設定!$L$6-0.000000001,F2470&lt;=01_因子設定!$M$6+0.000000001,G2470&gt;=01_因子設定!$L$7-0.000000001,G2470&lt;=01_因子設定!$M$7+0.000000001,H2470&gt;=01_因子設定!$L$8-0.000000001,H2470&lt;=01_因子設定!$M$8+0.000000001,IF(01_因子設定!$B$20="Box-Behnken",E2470^2+F2470^2+G2470^2+H2470^2&lt;=2+0.000000001,TRUE()))</f>
        <v>1</v>
      </c>
      <c r="AD2470" s="55" t="n">
        <f aca="false">IF(AC2470,IF(01_因子設定!$B$13="最大化",AA2470-01_因子設定!$B$14,IF(01_因子設定!$B$13="最小化",01_因子設定!$B$15-AB2470,MIN(AA2470-01_因子設定!$B$14,01_因子設定!$B$15-AB2470))),-1E+030)</f>
        <v>-1.77969315764236</v>
      </c>
      <c r="AE2470" s="55" t="n">
        <f aca="false">IF(AC2470,IF(01_因子設定!$B$13="最大化",X2470,IF(01_因子設定!$B$13="最小化",-X2470,-ABS(X2470-01_因子設定!$B$16))),-1E+030)</f>
        <v>46.2939190423976</v>
      </c>
      <c r="AF2470" s="55" t="n">
        <f aca="false">AD2470+ROW()*0.000000001</f>
        <v>-1.77969068764236</v>
      </c>
      <c r="AG2470" s="55" t="n">
        <f aca="false">AE2470+ROW()*0.000000001</f>
        <v>46.2939215123976</v>
      </c>
    </row>
    <row r="2471" customFormat="false" ht="15" hidden="false" customHeight="false" outlineLevel="0" collapsed="false">
      <c r="A2471" s="0" t="n">
        <v>3</v>
      </c>
      <c r="B2471" s="0" t="n">
        <v>3</v>
      </c>
      <c r="C2471" s="0" t="n">
        <v>4</v>
      </c>
      <c r="D2471" s="0" t="n">
        <v>0</v>
      </c>
      <c r="E2471" s="0" t="n">
        <f aca="false">-1+A2471*0.25</f>
        <v>-0.25</v>
      </c>
      <c r="F2471" s="0" t="n">
        <f aca="false">-1+B2471*0.25</f>
        <v>-0.25</v>
      </c>
      <c r="G2471" s="0" t="n">
        <f aca="false">-1+C2471*0.25</f>
        <v>0</v>
      </c>
      <c r="H2471" s="0" t="n">
        <f aca="false">-1+D2471*0.25</f>
        <v>-1</v>
      </c>
      <c r="I2471" s="0" t="n">
        <f aca="false">1</f>
        <v>1</v>
      </c>
      <c r="J2471" s="0" t="n">
        <f aca="false">E2471</f>
        <v>-0.25</v>
      </c>
      <c r="K2471" s="0" t="n">
        <f aca="false">F2471</f>
        <v>-0.25</v>
      </c>
      <c r="L2471" s="0" t="n">
        <f aca="false">G2471</f>
        <v>0</v>
      </c>
      <c r="M2471" s="0" t="n">
        <f aca="false">H2471</f>
        <v>-1</v>
      </c>
      <c r="N2471" s="0" t="n">
        <f aca="false">E2471*F2471</f>
        <v>0.0625</v>
      </c>
      <c r="O2471" s="0" t="n">
        <f aca="false">E2471*G2471</f>
        <v>-0</v>
      </c>
      <c r="P2471" s="0" t="n">
        <f aca="false">E2471*H2471</f>
        <v>0.25</v>
      </c>
      <c r="Q2471" s="0" t="n">
        <f aca="false">F2471*G2471</f>
        <v>-0</v>
      </c>
      <c r="R2471" s="0" t="n">
        <f aca="false">F2471*H2471</f>
        <v>0.25</v>
      </c>
      <c r="S2471" s="0" t="n">
        <f aca="false">G2471*H2471</f>
        <v>-0</v>
      </c>
      <c r="T2471" s="0" t="n">
        <f aca="false">E2471*E2471</f>
        <v>0.0625</v>
      </c>
      <c r="U2471" s="0" t="n">
        <f aca="false">F2471*F2471</f>
        <v>0.0625</v>
      </c>
      <c r="V2471" s="0" t="n">
        <f aca="false">G2471*G2471</f>
        <v>0</v>
      </c>
      <c r="W2471" s="0" t="n">
        <f aca="false">H2471*H2471</f>
        <v>1</v>
      </c>
      <c r="X2471" s="0" t="n">
        <f aca="false">SUMPRODUCT(I2471:W2471,_XtX!$B$96:$P$96)</f>
        <v>45.8205135233918</v>
      </c>
      <c r="Y2471" s="0" t="n">
        <f aca="false">SUMPRODUCT(MMULT(I2471:W2471,_XtX!$B$78:$P$92),I2471:W2471)</f>
        <v>0.467417934484649</v>
      </c>
      <c r="Z2471" s="0" t="n">
        <f aca="false">04_回帰ANOVA!$K$19*04_回帰ANOVA!$K$14*SQRT(1+Y2471)</f>
        <v>1.57897518244497</v>
      </c>
      <c r="AA2471" s="0" t="n">
        <f aca="false">X2471-Z2471</f>
        <v>44.2415383409468</v>
      </c>
      <c r="AB2471" s="0" t="n">
        <f aca="false">X2471+Z2471</f>
        <v>47.3994887058368</v>
      </c>
      <c r="AC2471" s="54" t="b">
        <f aca="false">AND(E2471&gt;=01_因子設定!$L$5-0.000000001,E2471&lt;=01_因子設定!$M$5+0.000000001,F2471&gt;=01_因子設定!$L$6-0.000000001,F2471&lt;=01_因子設定!$M$6+0.000000001,G2471&gt;=01_因子設定!$L$7-0.000000001,G2471&lt;=01_因子設定!$M$7+0.000000001,H2471&gt;=01_因子設定!$L$8-0.000000001,H2471&lt;=01_因子設定!$M$8+0.000000001,IF(01_因子設定!$B$20="Box-Behnken",E2471^2+F2471^2+G2471^2+H2471^2&lt;=2+0.000000001,TRUE()))</f>
        <v>1</v>
      </c>
      <c r="AD2471" s="55" t="n">
        <f aca="false">IF(AC2471,IF(01_因子設定!$B$13="最大化",AA2471-01_因子設定!$B$14,IF(01_因子設定!$B$13="最小化",01_因子設定!$B$15-AB2471,MIN(AA2471-01_因子設定!$B$14,01_因子設定!$B$15-AB2471))),-1E+030)</f>
        <v>-2.25846165905318</v>
      </c>
      <c r="AE2471" s="55" t="n">
        <f aca="false">IF(AC2471,IF(01_因子設定!$B$13="最大化",X2471,IF(01_因子設定!$B$13="最小化",-X2471,-ABS(X2471-01_因子設定!$B$16))),-1E+030)</f>
        <v>45.8205135233918</v>
      </c>
      <c r="AF2471" s="55" t="n">
        <f aca="false">AD2471+ROW()*0.000000001</f>
        <v>-2.25845918805318</v>
      </c>
      <c r="AG2471" s="55" t="n">
        <f aca="false">AE2471+ROW()*0.000000001</f>
        <v>45.8205159943918</v>
      </c>
    </row>
    <row r="2472" customFormat="false" ht="15" hidden="false" customHeight="false" outlineLevel="0" collapsed="false">
      <c r="A2472" s="0" t="n">
        <v>3</v>
      </c>
      <c r="B2472" s="0" t="n">
        <v>3</v>
      </c>
      <c r="C2472" s="0" t="n">
        <v>4</v>
      </c>
      <c r="D2472" s="0" t="n">
        <v>1</v>
      </c>
      <c r="E2472" s="0" t="n">
        <f aca="false">-1+A2472*0.25</f>
        <v>-0.25</v>
      </c>
      <c r="F2472" s="0" t="n">
        <f aca="false">-1+B2472*0.25</f>
        <v>-0.25</v>
      </c>
      <c r="G2472" s="0" t="n">
        <f aca="false">-1+C2472*0.25</f>
        <v>0</v>
      </c>
      <c r="H2472" s="0" t="n">
        <f aca="false">-1+D2472*0.25</f>
        <v>-0.75</v>
      </c>
      <c r="I2472" s="0" t="n">
        <f aca="false">1</f>
        <v>1</v>
      </c>
      <c r="J2472" s="0" t="n">
        <f aca="false">E2472</f>
        <v>-0.25</v>
      </c>
      <c r="K2472" s="0" t="n">
        <f aca="false">F2472</f>
        <v>-0.25</v>
      </c>
      <c r="L2472" s="0" t="n">
        <f aca="false">G2472</f>
        <v>0</v>
      </c>
      <c r="M2472" s="0" t="n">
        <f aca="false">H2472</f>
        <v>-0.75</v>
      </c>
      <c r="N2472" s="0" t="n">
        <f aca="false">E2472*F2472</f>
        <v>0.0625</v>
      </c>
      <c r="O2472" s="0" t="n">
        <f aca="false">E2472*G2472</f>
        <v>-0</v>
      </c>
      <c r="P2472" s="0" t="n">
        <f aca="false">E2472*H2472</f>
        <v>0.1875</v>
      </c>
      <c r="Q2472" s="0" t="n">
        <f aca="false">F2472*G2472</f>
        <v>-0</v>
      </c>
      <c r="R2472" s="0" t="n">
        <f aca="false">F2472*H2472</f>
        <v>0.1875</v>
      </c>
      <c r="S2472" s="0" t="n">
        <f aca="false">G2472*H2472</f>
        <v>-0</v>
      </c>
      <c r="T2472" s="0" t="n">
        <f aca="false">E2472*E2472</f>
        <v>0.0625</v>
      </c>
      <c r="U2472" s="0" t="n">
        <f aca="false">F2472*F2472</f>
        <v>0.0625</v>
      </c>
      <c r="V2472" s="0" t="n">
        <f aca="false">G2472*G2472</f>
        <v>0</v>
      </c>
      <c r="W2472" s="0" t="n">
        <f aca="false">H2472*H2472</f>
        <v>0.5625</v>
      </c>
      <c r="X2472" s="0" t="n">
        <f aca="false">SUMPRODUCT(I2472:W2472,_XtX!$B$96:$P$96)</f>
        <v>46.0946957236842</v>
      </c>
      <c r="Y2472" s="0" t="n">
        <f aca="false">SUMPRODUCT(MMULT(I2472:W2472,_XtX!$B$78:$P$92),I2472:W2472)</f>
        <v>0.21135011193348</v>
      </c>
      <c r="Z2472" s="0" t="n">
        <f aca="false">04_回帰ANOVA!$K$19*04_回帰ANOVA!$K$14*SQRT(1+Y2472)</f>
        <v>1.43460795469709</v>
      </c>
      <c r="AA2472" s="0" t="n">
        <f aca="false">X2472-Z2472</f>
        <v>44.6600877689871</v>
      </c>
      <c r="AB2472" s="0" t="n">
        <f aca="false">X2472+Z2472</f>
        <v>47.5293036783813</v>
      </c>
      <c r="AC2472" s="54" t="b">
        <f aca="false">AND(E2472&gt;=01_因子設定!$L$5-0.000000001,E2472&lt;=01_因子設定!$M$5+0.000000001,F2472&gt;=01_因子設定!$L$6-0.000000001,F2472&lt;=01_因子設定!$M$6+0.000000001,G2472&gt;=01_因子設定!$L$7-0.000000001,G2472&lt;=01_因子設定!$M$7+0.000000001,H2472&gt;=01_因子設定!$L$8-0.000000001,H2472&lt;=01_因子設定!$M$8+0.000000001,IF(01_因子設定!$B$20="Box-Behnken",E2472^2+F2472^2+G2472^2+H2472^2&lt;=2+0.000000001,TRUE()))</f>
        <v>1</v>
      </c>
      <c r="AD2472" s="55" t="n">
        <f aca="false">IF(AC2472,IF(01_因子設定!$B$13="最大化",AA2472-01_因子設定!$B$14,IF(01_因子設定!$B$13="最小化",01_因子設定!$B$15-AB2472,MIN(AA2472-01_因子設定!$B$14,01_因子設定!$B$15-AB2472))),-1E+030)</f>
        <v>-1.83991223101292</v>
      </c>
      <c r="AE2472" s="55" t="n">
        <f aca="false">IF(AC2472,IF(01_因子設定!$B$13="最大化",X2472,IF(01_因子設定!$B$13="最小化",-X2472,-ABS(X2472-01_因子設定!$B$16))),-1E+030)</f>
        <v>46.0946957236842</v>
      </c>
      <c r="AF2472" s="55" t="n">
        <f aca="false">AD2472+ROW()*0.000000001</f>
        <v>-1.83990975901292</v>
      </c>
      <c r="AG2472" s="55" t="n">
        <f aca="false">AE2472+ROW()*0.000000001</f>
        <v>46.0946981956842</v>
      </c>
    </row>
    <row r="2473" customFormat="false" ht="15" hidden="false" customHeight="false" outlineLevel="0" collapsed="false">
      <c r="A2473" s="0" t="n">
        <v>3</v>
      </c>
      <c r="B2473" s="0" t="n">
        <v>3</v>
      </c>
      <c r="C2473" s="0" t="n">
        <v>4</v>
      </c>
      <c r="D2473" s="0" t="n">
        <v>2</v>
      </c>
      <c r="E2473" s="0" t="n">
        <f aca="false">-1+A2473*0.25</f>
        <v>-0.25</v>
      </c>
      <c r="F2473" s="0" t="n">
        <f aca="false">-1+B2473*0.25</f>
        <v>-0.25</v>
      </c>
      <c r="G2473" s="0" t="n">
        <f aca="false">-1+C2473*0.25</f>
        <v>0</v>
      </c>
      <c r="H2473" s="0" t="n">
        <f aca="false">-1+D2473*0.25</f>
        <v>-0.5</v>
      </c>
      <c r="I2473" s="0" t="n">
        <f aca="false">1</f>
        <v>1</v>
      </c>
      <c r="J2473" s="0" t="n">
        <f aca="false">E2473</f>
        <v>-0.25</v>
      </c>
      <c r="K2473" s="0" t="n">
        <f aca="false">F2473</f>
        <v>-0.25</v>
      </c>
      <c r="L2473" s="0" t="n">
        <f aca="false">G2473</f>
        <v>0</v>
      </c>
      <c r="M2473" s="0" t="n">
        <f aca="false">H2473</f>
        <v>-0.5</v>
      </c>
      <c r="N2473" s="0" t="n">
        <f aca="false">E2473*F2473</f>
        <v>0.0625</v>
      </c>
      <c r="O2473" s="0" t="n">
        <f aca="false">E2473*G2473</f>
        <v>-0</v>
      </c>
      <c r="P2473" s="0" t="n">
        <f aca="false">E2473*H2473</f>
        <v>0.125</v>
      </c>
      <c r="Q2473" s="0" t="n">
        <f aca="false">F2473*G2473</f>
        <v>-0</v>
      </c>
      <c r="R2473" s="0" t="n">
        <f aca="false">F2473*H2473</f>
        <v>0.125</v>
      </c>
      <c r="S2473" s="0" t="n">
        <f aca="false">G2473*H2473</f>
        <v>-0</v>
      </c>
      <c r="T2473" s="0" t="n">
        <f aca="false">E2473*E2473</f>
        <v>0.0625</v>
      </c>
      <c r="U2473" s="0" t="n">
        <f aca="false">F2473*F2473</f>
        <v>0.0625</v>
      </c>
      <c r="V2473" s="0" t="n">
        <f aca="false">G2473*G2473</f>
        <v>0</v>
      </c>
      <c r="W2473" s="0" t="n">
        <f aca="false">H2473*H2473</f>
        <v>0.25</v>
      </c>
      <c r="X2473" s="0" t="n">
        <f aca="false">SUMPRODUCT(I2473:W2473,_XtX!$B$96:$P$96)</f>
        <v>46.3210709064327</v>
      </c>
      <c r="Y2473" s="0" t="n">
        <f aca="false">SUMPRODUCT(MMULT(I2473:W2473,_XtX!$B$78:$P$92),I2473:W2473)</f>
        <v>0.118905050712719</v>
      </c>
      <c r="Z2473" s="0" t="n">
        <f aca="false">04_回帰ANOVA!$K$19*04_回帰ANOVA!$K$14*SQRT(1+Y2473)</f>
        <v>1.37878011033769</v>
      </c>
      <c r="AA2473" s="0" t="n">
        <f aca="false">X2473-Z2473</f>
        <v>44.942290796095</v>
      </c>
      <c r="AB2473" s="0" t="n">
        <f aca="false">X2473+Z2473</f>
        <v>47.6998510167704</v>
      </c>
      <c r="AC2473" s="54" t="b">
        <f aca="false">AND(E2473&gt;=01_因子設定!$L$5-0.000000001,E2473&lt;=01_因子設定!$M$5+0.000000001,F2473&gt;=01_因子設定!$L$6-0.000000001,F2473&lt;=01_因子設定!$M$6+0.000000001,G2473&gt;=01_因子設定!$L$7-0.000000001,G2473&lt;=01_因子設定!$M$7+0.000000001,H2473&gt;=01_因子設定!$L$8-0.000000001,H2473&lt;=01_因子設定!$M$8+0.000000001,IF(01_因子設定!$B$20="Box-Behnken",E2473^2+F2473^2+G2473^2+H2473^2&lt;=2+0.000000001,TRUE()))</f>
        <v>1</v>
      </c>
      <c r="AD2473" s="55" t="n">
        <f aca="false">IF(AC2473,IF(01_因子設定!$B$13="最大化",AA2473-01_因子設定!$B$14,IF(01_因子設定!$B$13="最小化",01_因子設定!$B$15-AB2473,MIN(AA2473-01_因子設定!$B$14,01_因子設定!$B$15-AB2473))),-1E+030)</f>
        <v>-1.55770920390499</v>
      </c>
      <c r="AE2473" s="55" t="n">
        <f aca="false">IF(AC2473,IF(01_因子設定!$B$13="最大化",X2473,IF(01_因子設定!$B$13="最小化",-X2473,-ABS(X2473-01_因子設定!$B$16))),-1E+030)</f>
        <v>46.3210709064327</v>
      </c>
      <c r="AF2473" s="55" t="n">
        <f aca="false">AD2473+ROW()*0.000000001</f>
        <v>-1.55770673090499</v>
      </c>
      <c r="AG2473" s="55" t="n">
        <f aca="false">AE2473+ROW()*0.000000001</f>
        <v>46.3210733794327</v>
      </c>
    </row>
    <row r="2474" customFormat="false" ht="15" hidden="false" customHeight="false" outlineLevel="0" collapsed="false">
      <c r="A2474" s="0" t="n">
        <v>3</v>
      </c>
      <c r="B2474" s="0" t="n">
        <v>3</v>
      </c>
      <c r="C2474" s="0" t="n">
        <v>4</v>
      </c>
      <c r="D2474" s="0" t="n">
        <v>3</v>
      </c>
      <c r="E2474" s="0" t="n">
        <f aca="false">-1+A2474*0.25</f>
        <v>-0.25</v>
      </c>
      <c r="F2474" s="0" t="n">
        <f aca="false">-1+B2474*0.25</f>
        <v>-0.25</v>
      </c>
      <c r="G2474" s="0" t="n">
        <f aca="false">-1+C2474*0.25</f>
        <v>0</v>
      </c>
      <c r="H2474" s="0" t="n">
        <f aca="false">-1+D2474*0.25</f>
        <v>-0.25</v>
      </c>
      <c r="I2474" s="0" t="n">
        <f aca="false">1</f>
        <v>1</v>
      </c>
      <c r="J2474" s="0" t="n">
        <f aca="false">E2474</f>
        <v>-0.25</v>
      </c>
      <c r="K2474" s="0" t="n">
        <f aca="false">F2474</f>
        <v>-0.25</v>
      </c>
      <c r="L2474" s="0" t="n">
        <f aca="false">G2474</f>
        <v>0</v>
      </c>
      <c r="M2474" s="0" t="n">
        <f aca="false">H2474</f>
        <v>-0.25</v>
      </c>
      <c r="N2474" s="0" t="n">
        <f aca="false">E2474*F2474</f>
        <v>0.0625</v>
      </c>
      <c r="O2474" s="0" t="n">
        <f aca="false">E2474*G2474</f>
        <v>-0</v>
      </c>
      <c r="P2474" s="0" t="n">
        <f aca="false">E2474*H2474</f>
        <v>0.0625</v>
      </c>
      <c r="Q2474" s="0" t="n">
        <f aca="false">F2474*G2474</f>
        <v>-0</v>
      </c>
      <c r="R2474" s="0" t="n">
        <f aca="false">F2474*H2474</f>
        <v>0.0625</v>
      </c>
      <c r="S2474" s="0" t="n">
        <f aca="false">G2474*H2474</f>
        <v>-0</v>
      </c>
      <c r="T2474" s="0" t="n">
        <f aca="false">E2474*E2474</f>
        <v>0.0625</v>
      </c>
      <c r="U2474" s="0" t="n">
        <f aca="false">F2474*F2474</f>
        <v>0.0625</v>
      </c>
      <c r="V2474" s="0" t="n">
        <f aca="false">G2474*G2474</f>
        <v>0</v>
      </c>
      <c r="W2474" s="0" t="n">
        <f aca="false">H2474*H2474</f>
        <v>0.0625</v>
      </c>
      <c r="X2474" s="0" t="n">
        <f aca="false">SUMPRODUCT(I2474:W2474,_XtX!$B$96:$P$96)</f>
        <v>46.4996390716374</v>
      </c>
      <c r="Y2474" s="0" t="n">
        <f aca="false">SUMPRODUCT(MMULT(I2474:W2474,_XtX!$B$78:$P$92),I2474:W2474)</f>
        <v>0.099622224506579</v>
      </c>
      <c r="Z2474" s="0" t="n">
        <f aca="false">04_回帰ANOVA!$K$19*04_回帰ANOVA!$K$14*SQRT(1+Y2474)</f>
        <v>1.3668477654658</v>
      </c>
      <c r="AA2474" s="0" t="n">
        <f aca="false">X2474-Z2474</f>
        <v>45.1327913061716</v>
      </c>
      <c r="AB2474" s="0" t="n">
        <f aca="false">X2474+Z2474</f>
        <v>47.8664868371032</v>
      </c>
      <c r="AC2474" s="54" t="b">
        <f aca="false">AND(E2474&gt;=01_因子設定!$L$5-0.000000001,E2474&lt;=01_因子設定!$M$5+0.000000001,F2474&gt;=01_因子設定!$L$6-0.000000001,F2474&lt;=01_因子設定!$M$6+0.000000001,G2474&gt;=01_因子設定!$L$7-0.000000001,G2474&lt;=01_因子設定!$M$7+0.000000001,H2474&gt;=01_因子設定!$L$8-0.000000001,H2474&lt;=01_因子設定!$M$8+0.000000001,IF(01_因子設定!$B$20="Box-Behnken",E2474^2+F2474^2+G2474^2+H2474^2&lt;=2+0.000000001,TRUE()))</f>
        <v>1</v>
      </c>
      <c r="AD2474" s="55" t="n">
        <f aca="false">IF(AC2474,IF(01_因子設定!$B$13="最大化",AA2474-01_因子設定!$B$14,IF(01_因子設定!$B$13="最小化",01_因子設定!$B$15-AB2474,MIN(AA2474-01_因子設定!$B$14,01_因子設定!$B$15-AB2474))),-1E+030)</f>
        <v>-1.36720869382843</v>
      </c>
      <c r="AE2474" s="55" t="n">
        <f aca="false">IF(AC2474,IF(01_因子設定!$B$13="最大化",X2474,IF(01_因子設定!$B$13="最小化",-X2474,-ABS(X2474-01_因子設定!$B$16))),-1E+030)</f>
        <v>46.4996390716374</v>
      </c>
      <c r="AF2474" s="55" t="n">
        <f aca="false">AD2474+ROW()*0.000000001</f>
        <v>-1.36720621982843</v>
      </c>
      <c r="AG2474" s="55" t="n">
        <f aca="false">AE2474+ROW()*0.000000001</f>
        <v>46.4996415456374</v>
      </c>
    </row>
    <row r="2475" customFormat="false" ht="15" hidden="false" customHeight="false" outlineLevel="0" collapsed="false">
      <c r="A2475" s="0" t="n">
        <v>3</v>
      </c>
      <c r="B2475" s="0" t="n">
        <v>3</v>
      </c>
      <c r="C2475" s="0" t="n">
        <v>4</v>
      </c>
      <c r="D2475" s="0" t="n">
        <v>4</v>
      </c>
      <c r="E2475" s="0" t="n">
        <f aca="false">-1+A2475*0.25</f>
        <v>-0.25</v>
      </c>
      <c r="F2475" s="0" t="n">
        <f aca="false">-1+B2475*0.25</f>
        <v>-0.25</v>
      </c>
      <c r="G2475" s="0" t="n">
        <f aca="false">-1+C2475*0.25</f>
        <v>0</v>
      </c>
      <c r="H2475" s="0" t="n">
        <f aca="false">-1+D2475*0.25</f>
        <v>0</v>
      </c>
      <c r="I2475" s="0" t="n">
        <f aca="false">1</f>
        <v>1</v>
      </c>
      <c r="J2475" s="0" t="n">
        <f aca="false">E2475</f>
        <v>-0.25</v>
      </c>
      <c r="K2475" s="0" t="n">
        <f aca="false">F2475</f>
        <v>-0.25</v>
      </c>
      <c r="L2475" s="0" t="n">
        <f aca="false">G2475</f>
        <v>0</v>
      </c>
      <c r="M2475" s="0" t="n">
        <f aca="false">H2475</f>
        <v>0</v>
      </c>
      <c r="N2475" s="0" t="n">
        <f aca="false">E2475*F2475</f>
        <v>0.0625</v>
      </c>
      <c r="O2475" s="0" t="n">
        <f aca="false">E2475*G2475</f>
        <v>-0</v>
      </c>
      <c r="P2475" s="0" t="n">
        <f aca="false">E2475*H2475</f>
        <v>-0</v>
      </c>
      <c r="Q2475" s="0" t="n">
        <f aca="false">F2475*G2475</f>
        <v>-0</v>
      </c>
      <c r="R2475" s="0" t="n">
        <f aca="false">F2475*H2475</f>
        <v>-0</v>
      </c>
      <c r="S2475" s="0" t="n">
        <f aca="false">G2475*H2475</f>
        <v>0</v>
      </c>
      <c r="T2475" s="0" t="n">
        <f aca="false">E2475*E2475</f>
        <v>0.0625</v>
      </c>
      <c r="U2475" s="0" t="n">
        <f aca="false">F2475*F2475</f>
        <v>0.0625</v>
      </c>
      <c r="V2475" s="0" t="n">
        <f aca="false">G2475*G2475</f>
        <v>0</v>
      </c>
      <c r="W2475" s="0" t="n">
        <f aca="false">H2475*H2475</f>
        <v>0</v>
      </c>
      <c r="X2475" s="0" t="n">
        <f aca="false">SUMPRODUCT(I2475:W2475,_XtX!$B$96:$P$96)</f>
        <v>46.6304002192982</v>
      </c>
      <c r="Y2475" s="0" t="n">
        <f aca="false">SUMPRODUCT(MMULT(I2475:W2475,_XtX!$B$78:$P$92),I2475:W2475)</f>
        <v>0.0992253175255848</v>
      </c>
      <c r="Z2475" s="0" t="n">
        <f aca="false">04_回帰ANOVA!$K$19*04_回帰ANOVA!$K$14*SQRT(1+Y2475)</f>
        <v>1.36660106238383</v>
      </c>
      <c r="AA2475" s="0" t="n">
        <f aca="false">X2475-Z2475</f>
        <v>45.2637991569144</v>
      </c>
      <c r="AB2475" s="0" t="n">
        <f aca="false">X2475+Z2475</f>
        <v>47.997001281682</v>
      </c>
      <c r="AC2475" s="54" t="b">
        <f aca="false">AND(E2475&gt;=01_因子設定!$L$5-0.000000001,E2475&lt;=01_因子設定!$M$5+0.000000001,F2475&gt;=01_因子設定!$L$6-0.000000001,F2475&lt;=01_因子設定!$M$6+0.000000001,G2475&gt;=01_因子設定!$L$7-0.000000001,G2475&lt;=01_因子設定!$M$7+0.000000001,H2475&gt;=01_因子設定!$L$8-0.000000001,H2475&lt;=01_因子設定!$M$8+0.000000001,IF(01_因子設定!$B$20="Box-Behnken",E2475^2+F2475^2+G2475^2+H2475^2&lt;=2+0.000000001,TRUE()))</f>
        <v>1</v>
      </c>
      <c r="AD2475" s="55" t="n">
        <f aca="false">IF(AC2475,IF(01_因子設定!$B$13="最大化",AA2475-01_因子設定!$B$14,IF(01_因子設定!$B$13="最小化",01_因子設定!$B$15-AB2475,MIN(AA2475-01_因子設定!$B$14,01_因子設定!$B$15-AB2475))),-1E+030)</f>
        <v>-1.23620084308564</v>
      </c>
      <c r="AE2475" s="55" t="n">
        <f aca="false">IF(AC2475,IF(01_因子設定!$B$13="最大化",X2475,IF(01_因子設定!$B$13="最小化",-X2475,-ABS(X2475-01_因子設定!$B$16))),-1E+030)</f>
        <v>46.6304002192982</v>
      </c>
      <c r="AF2475" s="55" t="n">
        <f aca="false">AD2475+ROW()*0.000000001</f>
        <v>-1.23619836808564</v>
      </c>
      <c r="AG2475" s="55" t="n">
        <f aca="false">AE2475+ROW()*0.000000001</f>
        <v>46.6304026942982</v>
      </c>
    </row>
    <row r="2476" customFormat="false" ht="15" hidden="false" customHeight="false" outlineLevel="0" collapsed="false">
      <c r="A2476" s="0" t="n">
        <v>3</v>
      </c>
      <c r="B2476" s="0" t="n">
        <v>3</v>
      </c>
      <c r="C2476" s="0" t="n">
        <v>4</v>
      </c>
      <c r="D2476" s="0" t="n">
        <v>5</v>
      </c>
      <c r="E2476" s="0" t="n">
        <f aca="false">-1+A2476*0.25</f>
        <v>-0.25</v>
      </c>
      <c r="F2476" s="0" t="n">
        <f aca="false">-1+B2476*0.25</f>
        <v>-0.25</v>
      </c>
      <c r="G2476" s="0" t="n">
        <f aca="false">-1+C2476*0.25</f>
        <v>0</v>
      </c>
      <c r="H2476" s="0" t="n">
        <f aca="false">-1+D2476*0.25</f>
        <v>0.25</v>
      </c>
      <c r="I2476" s="0" t="n">
        <f aca="false">1</f>
        <v>1</v>
      </c>
      <c r="J2476" s="0" t="n">
        <f aca="false">E2476</f>
        <v>-0.25</v>
      </c>
      <c r="K2476" s="0" t="n">
        <f aca="false">F2476</f>
        <v>-0.25</v>
      </c>
      <c r="L2476" s="0" t="n">
        <f aca="false">G2476</f>
        <v>0</v>
      </c>
      <c r="M2476" s="0" t="n">
        <f aca="false">H2476</f>
        <v>0.25</v>
      </c>
      <c r="N2476" s="0" t="n">
        <f aca="false">E2476*F2476</f>
        <v>0.0625</v>
      </c>
      <c r="O2476" s="0" t="n">
        <f aca="false">E2476*G2476</f>
        <v>-0</v>
      </c>
      <c r="P2476" s="0" t="n">
        <f aca="false">E2476*H2476</f>
        <v>-0.0625</v>
      </c>
      <c r="Q2476" s="0" t="n">
        <f aca="false">F2476*G2476</f>
        <v>-0</v>
      </c>
      <c r="R2476" s="0" t="n">
        <f aca="false">F2476*H2476</f>
        <v>-0.0625</v>
      </c>
      <c r="S2476" s="0" t="n">
        <f aca="false">G2476*H2476</f>
        <v>0</v>
      </c>
      <c r="T2476" s="0" t="n">
        <f aca="false">E2476*E2476</f>
        <v>0.0625</v>
      </c>
      <c r="U2476" s="0" t="n">
        <f aca="false">F2476*F2476</f>
        <v>0.0625</v>
      </c>
      <c r="V2476" s="0" t="n">
        <f aca="false">G2476*G2476</f>
        <v>0</v>
      </c>
      <c r="W2476" s="0" t="n">
        <f aca="false">H2476*H2476</f>
        <v>0.0625</v>
      </c>
      <c r="X2476" s="0" t="n">
        <f aca="false">SUMPRODUCT(I2476:W2476,_XtX!$B$96:$P$96)</f>
        <v>46.7133543494152</v>
      </c>
      <c r="Y2476" s="0" t="n">
        <f aca="false">SUMPRODUCT(MMULT(I2476:W2476,_XtX!$B$78:$P$92),I2476:W2476)</f>
        <v>0.099622224506579</v>
      </c>
      <c r="Z2476" s="0" t="n">
        <f aca="false">04_回帰ANOVA!$K$19*04_回帰ANOVA!$K$14*SQRT(1+Y2476)</f>
        <v>1.3668477654658</v>
      </c>
      <c r="AA2476" s="0" t="n">
        <f aca="false">X2476-Z2476</f>
        <v>45.3465065839494</v>
      </c>
      <c r="AB2476" s="0" t="n">
        <f aca="false">X2476+Z2476</f>
        <v>48.080202114881</v>
      </c>
      <c r="AC2476" s="54" t="b">
        <f aca="false">AND(E2476&gt;=01_因子設定!$L$5-0.000000001,E2476&lt;=01_因子設定!$M$5+0.000000001,F2476&gt;=01_因子設定!$L$6-0.000000001,F2476&lt;=01_因子設定!$M$6+0.000000001,G2476&gt;=01_因子設定!$L$7-0.000000001,G2476&lt;=01_因子設定!$M$7+0.000000001,H2476&gt;=01_因子設定!$L$8-0.000000001,H2476&lt;=01_因子設定!$M$8+0.000000001,IF(01_因子設定!$B$20="Box-Behnken",E2476^2+F2476^2+G2476^2+H2476^2&lt;=2+0.000000001,TRUE()))</f>
        <v>1</v>
      </c>
      <c r="AD2476" s="55" t="n">
        <f aca="false">IF(AC2476,IF(01_因子設定!$B$13="最大化",AA2476-01_因子設定!$B$14,IF(01_因子設定!$B$13="最小化",01_因子設定!$B$15-AB2476,MIN(AA2476-01_因子設定!$B$14,01_因子設定!$B$15-AB2476))),-1E+030)</f>
        <v>-1.15349341605065</v>
      </c>
      <c r="AE2476" s="55" t="n">
        <f aca="false">IF(AC2476,IF(01_因子設定!$B$13="最大化",X2476,IF(01_因子設定!$B$13="最小化",-X2476,-ABS(X2476-01_因子設定!$B$16))),-1E+030)</f>
        <v>46.7133543494152</v>
      </c>
      <c r="AF2476" s="55" t="n">
        <f aca="false">AD2476+ROW()*0.000000001</f>
        <v>-1.15349094005065</v>
      </c>
      <c r="AG2476" s="55" t="n">
        <f aca="false">AE2476+ROW()*0.000000001</f>
        <v>46.7133568254152</v>
      </c>
    </row>
    <row r="2477" customFormat="false" ht="15" hidden="false" customHeight="false" outlineLevel="0" collapsed="false">
      <c r="A2477" s="0" t="n">
        <v>3</v>
      </c>
      <c r="B2477" s="0" t="n">
        <v>3</v>
      </c>
      <c r="C2477" s="0" t="n">
        <v>4</v>
      </c>
      <c r="D2477" s="0" t="n">
        <v>6</v>
      </c>
      <c r="E2477" s="0" t="n">
        <f aca="false">-1+A2477*0.25</f>
        <v>-0.25</v>
      </c>
      <c r="F2477" s="0" t="n">
        <f aca="false">-1+B2477*0.25</f>
        <v>-0.25</v>
      </c>
      <c r="G2477" s="0" t="n">
        <f aca="false">-1+C2477*0.25</f>
        <v>0</v>
      </c>
      <c r="H2477" s="0" t="n">
        <f aca="false">-1+D2477*0.25</f>
        <v>0.5</v>
      </c>
      <c r="I2477" s="0" t="n">
        <f aca="false">1</f>
        <v>1</v>
      </c>
      <c r="J2477" s="0" t="n">
        <f aca="false">E2477</f>
        <v>-0.25</v>
      </c>
      <c r="K2477" s="0" t="n">
        <f aca="false">F2477</f>
        <v>-0.25</v>
      </c>
      <c r="L2477" s="0" t="n">
        <f aca="false">G2477</f>
        <v>0</v>
      </c>
      <c r="M2477" s="0" t="n">
        <f aca="false">H2477</f>
        <v>0.5</v>
      </c>
      <c r="N2477" s="0" t="n">
        <f aca="false">E2477*F2477</f>
        <v>0.0625</v>
      </c>
      <c r="O2477" s="0" t="n">
        <f aca="false">E2477*G2477</f>
        <v>-0</v>
      </c>
      <c r="P2477" s="0" t="n">
        <f aca="false">E2477*H2477</f>
        <v>-0.125</v>
      </c>
      <c r="Q2477" s="0" t="n">
        <f aca="false">F2477*G2477</f>
        <v>-0</v>
      </c>
      <c r="R2477" s="0" t="n">
        <f aca="false">F2477*H2477</f>
        <v>-0.125</v>
      </c>
      <c r="S2477" s="0" t="n">
        <f aca="false">G2477*H2477</f>
        <v>0</v>
      </c>
      <c r="T2477" s="0" t="n">
        <f aca="false">E2477*E2477</f>
        <v>0.0625</v>
      </c>
      <c r="U2477" s="0" t="n">
        <f aca="false">F2477*F2477</f>
        <v>0.0625</v>
      </c>
      <c r="V2477" s="0" t="n">
        <f aca="false">G2477*G2477</f>
        <v>0</v>
      </c>
      <c r="W2477" s="0" t="n">
        <f aca="false">H2477*H2477</f>
        <v>0.25</v>
      </c>
      <c r="X2477" s="0" t="n">
        <f aca="false">SUMPRODUCT(I2477:W2477,_XtX!$B$96:$P$96)</f>
        <v>46.7485014619883</v>
      </c>
      <c r="Y2477" s="0" t="n">
        <f aca="false">SUMPRODUCT(MMULT(I2477:W2477,_XtX!$B$78:$P$92),I2477:W2477)</f>
        <v>0.118905050712719</v>
      </c>
      <c r="Z2477" s="0" t="n">
        <f aca="false">04_回帰ANOVA!$K$19*04_回帰ANOVA!$K$14*SQRT(1+Y2477)</f>
        <v>1.37878011033769</v>
      </c>
      <c r="AA2477" s="0" t="n">
        <f aca="false">X2477-Z2477</f>
        <v>45.3697213516506</v>
      </c>
      <c r="AB2477" s="0" t="n">
        <f aca="false">X2477+Z2477</f>
        <v>48.1272815723259</v>
      </c>
      <c r="AC2477" s="54" t="b">
        <f aca="false">AND(E2477&gt;=01_因子設定!$L$5-0.000000001,E2477&lt;=01_因子設定!$M$5+0.000000001,F2477&gt;=01_因子設定!$L$6-0.000000001,F2477&lt;=01_因子設定!$M$6+0.000000001,G2477&gt;=01_因子設定!$L$7-0.000000001,G2477&lt;=01_因子設定!$M$7+0.000000001,H2477&gt;=01_因子設定!$L$8-0.000000001,H2477&lt;=01_因子設定!$M$8+0.000000001,IF(01_因子設定!$B$20="Box-Behnken",E2477^2+F2477^2+G2477^2+H2477^2&lt;=2+0.000000001,TRUE()))</f>
        <v>1</v>
      </c>
      <c r="AD2477" s="55" t="n">
        <f aca="false">IF(AC2477,IF(01_因子設定!$B$13="最大化",AA2477-01_因子設定!$B$14,IF(01_因子設定!$B$13="最小化",01_因子設定!$B$15-AB2477,MIN(AA2477-01_因子設定!$B$14,01_因子設定!$B$15-AB2477))),-1E+030)</f>
        <v>-1.13027864834943</v>
      </c>
      <c r="AE2477" s="55" t="n">
        <f aca="false">IF(AC2477,IF(01_因子設定!$B$13="最大化",X2477,IF(01_因子設定!$B$13="最小化",-X2477,-ABS(X2477-01_因子設定!$B$16))),-1E+030)</f>
        <v>46.7485014619883</v>
      </c>
      <c r="AF2477" s="55" t="n">
        <f aca="false">AD2477+ROW()*0.000000001</f>
        <v>-1.13027617134943</v>
      </c>
      <c r="AG2477" s="55" t="n">
        <f aca="false">AE2477+ROW()*0.000000001</f>
        <v>46.7485039389883</v>
      </c>
    </row>
    <row r="2478" customFormat="false" ht="15" hidden="false" customHeight="false" outlineLevel="0" collapsed="false">
      <c r="A2478" s="0" t="n">
        <v>3</v>
      </c>
      <c r="B2478" s="0" t="n">
        <v>3</v>
      </c>
      <c r="C2478" s="0" t="n">
        <v>4</v>
      </c>
      <c r="D2478" s="0" t="n">
        <v>7</v>
      </c>
      <c r="E2478" s="0" t="n">
        <f aca="false">-1+A2478*0.25</f>
        <v>-0.25</v>
      </c>
      <c r="F2478" s="0" t="n">
        <f aca="false">-1+B2478*0.25</f>
        <v>-0.25</v>
      </c>
      <c r="G2478" s="0" t="n">
        <f aca="false">-1+C2478*0.25</f>
        <v>0</v>
      </c>
      <c r="H2478" s="0" t="n">
        <f aca="false">-1+D2478*0.25</f>
        <v>0.75</v>
      </c>
      <c r="I2478" s="0" t="n">
        <f aca="false">1</f>
        <v>1</v>
      </c>
      <c r="J2478" s="0" t="n">
        <f aca="false">E2478</f>
        <v>-0.25</v>
      </c>
      <c r="K2478" s="0" t="n">
        <f aca="false">F2478</f>
        <v>-0.25</v>
      </c>
      <c r="L2478" s="0" t="n">
        <f aca="false">G2478</f>
        <v>0</v>
      </c>
      <c r="M2478" s="0" t="n">
        <f aca="false">H2478</f>
        <v>0.75</v>
      </c>
      <c r="N2478" s="0" t="n">
        <f aca="false">E2478*F2478</f>
        <v>0.0625</v>
      </c>
      <c r="O2478" s="0" t="n">
        <f aca="false">E2478*G2478</f>
        <v>-0</v>
      </c>
      <c r="P2478" s="0" t="n">
        <f aca="false">E2478*H2478</f>
        <v>-0.1875</v>
      </c>
      <c r="Q2478" s="0" t="n">
        <f aca="false">F2478*G2478</f>
        <v>-0</v>
      </c>
      <c r="R2478" s="0" t="n">
        <f aca="false">F2478*H2478</f>
        <v>-0.1875</v>
      </c>
      <c r="S2478" s="0" t="n">
        <f aca="false">G2478*H2478</f>
        <v>0</v>
      </c>
      <c r="T2478" s="0" t="n">
        <f aca="false">E2478*E2478</f>
        <v>0.0625</v>
      </c>
      <c r="U2478" s="0" t="n">
        <f aca="false">F2478*F2478</f>
        <v>0.0625</v>
      </c>
      <c r="V2478" s="0" t="n">
        <f aca="false">G2478*G2478</f>
        <v>0</v>
      </c>
      <c r="W2478" s="0" t="n">
        <f aca="false">H2478*H2478</f>
        <v>0.5625</v>
      </c>
      <c r="X2478" s="0" t="n">
        <f aca="false">SUMPRODUCT(I2478:W2478,_XtX!$B$96:$P$96)</f>
        <v>46.7358415570175</v>
      </c>
      <c r="Y2478" s="0" t="n">
        <f aca="false">SUMPRODUCT(MMULT(I2478:W2478,_XtX!$B$78:$P$92),I2478:W2478)</f>
        <v>0.21135011193348</v>
      </c>
      <c r="Z2478" s="0" t="n">
        <f aca="false">04_回帰ANOVA!$K$19*04_回帰ANOVA!$K$14*SQRT(1+Y2478)</f>
        <v>1.43460795469709</v>
      </c>
      <c r="AA2478" s="0" t="n">
        <f aca="false">X2478-Z2478</f>
        <v>45.3012336023204</v>
      </c>
      <c r="AB2478" s="0" t="n">
        <f aca="false">X2478+Z2478</f>
        <v>48.1704495117146</v>
      </c>
      <c r="AC2478" s="54" t="b">
        <f aca="false">AND(E2478&gt;=01_因子設定!$L$5-0.000000001,E2478&lt;=01_因子設定!$M$5+0.000000001,F2478&gt;=01_因子設定!$L$6-0.000000001,F2478&lt;=01_因子設定!$M$6+0.000000001,G2478&gt;=01_因子設定!$L$7-0.000000001,G2478&lt;=01_因子設定!$M$7+0.000000001,H2478&gt;=01_因子設定!$L$8-0.000000001,H2478&lt;=01_因子設定!$M$8+0.000000001,IF(01_因子設定!$B$20="Box-Behnken",E2478^2+F2478^2+G2478^2+H2478^2&lt;=2+0.000000001,TRUE()))</f>
        <v>1</v>
      </c>
      <c r="AD2478" s="55" t="n">
        <f aca="false">IF(AC2478,IF(01_因子設定!$B$13="最大化",AA2478-01_因子設定!$B$14,IF(01_因子設定!$B$13="最小化",01_因子設定!$B$15-AB2478,MIN(AA2478-01_因子設定!$B$14,01_因子設定!$B$15-AB2478))),-1E+030)</f>
        <v>-1.19876639767958</v>
      </c>
      <c r="AE2478" s="55" t="n">
        <f aca="false">IF(AC2478,IF(01_因子設定!$B$13="最大化",X2478,IF(01_因子設定!$B$13="最小化",-X2478,-ABS(X2478-01_因子設定!$B$16))),-1E+030)</f>
        <v>46.7358415570175</v>
      </c>
      <c r="AF2478" s="55" t="n">
        <f aca="false">AD2478+ROW()*0.000000001</f>
        <v>-1.19876391967958</v>
      </c>
      <c r="AG2478" s="55" t="n">
        <f aca="false">AE2478+ROW()*0.000000001</f>
        <v>46.7358440350175</v>
      </c>
    </row>
    <row r="2479" customFormat="false" ht="15" hidden="false" customHeight="false" outlineLevel="0" collapsed="false">
      <c r="A2479" s="0" t="n">
        <v>3</v>
      </c>
      <c r="B2479" s="0" t="n">
        <v>3</v>
      </c>
      <c r="C2479" s="0" t="n">
        <v>4</v>
      </c>
      <c r="D2479" s="0" t="n">
        <v>8</v>
      </c>
      <c r="E2479" s="0" t="n">
        <f aca="false">-1+A2479*0.25</f>
        <v>-0.25</v>
      </c>
      <c r="F2479" s="0" t="n">
        <f aca="false">-1+B2479*0.25</f>
        <v>-0.25</v>
      </c>
      <c r="G2479" s="0" t="n">
        <f aca="false">-1+C2479*0.25</f>
        <v>0</v>
      </c>
      <c r="H2479" s="0" t="n">
        <f aca="false">-1+D2479*0.25</f>
        <v>1</v>
      </c>
      <c r="I2479" s="0" t="n">
        <f aca="false">1</f>
        <v>1</v>
      </c>
      <c r="J2479" s="0" t="n">
        <f aca="false">E2479</f>
        <v>-0.25</v>
      </c>
      <c r="K2479" s="0" t="n">
        <f aca="false">F2479</f>
        <v>-0.25</v>
      </c>
      <c r="L2479" s="0" t="n">
        <f aca="false">G2479</f>
        <v>0</v>
      </c>
      <c r="M2479" s="0" t="n">
        <f aca="false">H2479</f>
        <v>1</v>
      </c>
      <c r="N2479" s="0" t="n">
        <f aca="false">E2479*F2479</f>
        <v>0.0625</v>
      </c>
      <c r="O2479" s="0" t="n">
        <f aca="false">E2479*G2479</f>
        <v>-0</v>
      </c>
      <c r="P2479" s="0" t="n">
        <f aca="false">E2479*H2479</f>
        <v>-0.25</v>
      </c>
      <c r="Q2479" s="0" t="n">
        <f aca="false">F2479*G2479</f>
        <v>-0</v>
      </c>
      <c r="R2479" s="0" t="n">
        <f aca="false">F2479*H2479</f>
        <v>-0.25</v>
      </c>
      <c r="S2479" s="0" t="n">
        <f aca="false">G2479*H2479</f>
        <v>0</v>
      </c>
      <c r="T2479" s="0" t="n">
        <f aca="false">E2479*E2479</f>
        <v>0.0625</v>
      </c>
      <c r="U2479" s="0" t="n">
        <f aca="false">F2479*F2479</f>
        <v>0.0625</v>
      </c>
      <c r="V2479" s="0" t="n">
        <f aca="false">G2479*G2479</f>
        <v>0</v>
      </c>
      <c r="W2479" s="0" t="n">
        <f aca="false">H2479*H2479</f>
        <v>1</v>
      </c>
      <c r="X2479" s="0" t="n">
        <f aca="false">SUMPRODUCT(I2479:W2479,_XtX!$B$96:$P$96)</f>
        <v>46.6753746345029</v>
      </c>
      <c r="Y2479" s="0" t="n">
        <f aca="false">SUMPRODUCT(MMULT(I2479:W2479,_XtX!$B$78:$P$92),I2479:W2479)</f>
        <v>0.467417934484649</v>
      </c>
      <c r="Z2479" s="0" t="n">
        <f aca="false">04_回帰ANOVA!$K$19*04_回帰ANOVA!$K$14*SQRT(1+Y2479)</f>
        <v>1.57897518244497</v>
      </c>
      <c r="AA2479" s="0" t="n">
        <f aca="false">X2479-Z2479</f>
        <v>45.0963994520579</v>
      </c>
      <c r="AB2479" s="0" t="n">
        <f aca="false">X2479+Z2479</f>
        <v>48.2543498169479</v>
      </c>
      <c r="AC2479" s="54" t="b">
        <f aca="false">AND(E2479&gt;=01_因子設定!$L$5-0.000000001,E2479&lt;=01_因子設定!$M$5+0.000000001,F2479&gt;=01_因子設定!$L$6-0.000000001,F2479&lt;=01_因子設定!$M$6+0.000000001,G2479&gt;=01_因子設定!$L$7-0.000000001,G2479&lt;=01_因子設定!$M$7+0.000000001,H2479&gt;=01_因子設定!$L$8-0.000000001,H2479&lt;=01_因子設定!$M$8+0.000000001,IF(01_因子設定!$B$20="Box-Behnken",E2479^2+F2479^2+G2479^2+H2479^2&lt;=2+0.000000001,TRUE()))</f>
        <v>1</v>
      </c>
      <c r="AD2479" s="55" t="n">
        <f aca="false">IF(AC2479,IF(01_因子設定!$B$13="最大化",AA2479-01_因子設定!$B$14,IF(01_因子設定!$B$13="最小化",01_因子設定!$B$15-AB2479,MIN(AA2479-01_因子設定!$B$14,01_因子設定!$B$15-AB2479))),-1E+030)</f>
        <v>-1.40360054794207</v>
      </c>
      <c r="AE2479" s="55" t="n">
        <f aca="false">IF(AC2479,IF(01_因子設定!$B$13="最大化",X2479,IF(01_因子設定!$B$13="最小化",-X2479,-ABS(X2479-01_因子設定!$B$16))),-1E+030)</f>
        <v>46.6753746345029</v>
      </c>
      <c r="AF2479" s="55" t="n">
        <f aca="false">AD2479+ROW()*0.000000001</f>
        <v>-1.40359806894207</v>
      </c>
      <c r="AG2479" s="55" t="n">
        <f aca="false">AE2479+ROW()*0.000000001</f>
        <v>46.6753771135029</v>
      </c>
    </row>
    <row r="2480" customFormat="false" ht="15" hidden="false" customHeight="false" outlineLevel="0" collapsed="false">
      <c r="A2480" s="0" t="n">
        <v>3</v>
      </c>
      <c r="B2480" s="0" t="n">
        <v>3</v>
      </c>
      <c r="C2480" s="0" t="n">
        <v>5</v>
      </c>
      <c r="D2480" s="0" t="n">
        <v>0</v>
      </c>
      <c r="E2480" s="0" t="n">
        <f aca="false">-1+A2480*0.25</f>
        <v>-0.25</v>
      </c>
      <c r="F2480" s="0" t="n">
        <f aca="false">-1+B2480*0.25</f>
        <v>-0.25</v>
      </c>
      <c r="G2480" s="0" t="n">
        <f aca="false">-1+C2480*0.25</f>
        <v>0.25</v>
      </c>
      <c r="H2480" s="0" t="n">
        <f aca="false">-1+D2480*0.25</f>
        <v>-1</v>
      </c>
      <c r="I2480" s="0" t="n">
        <f aca="false">1</f>
        <v>1</v>
      </c>
      <c r="J2480" s="0" t="n">
        <f aca="false">E2480</f>
        <v>-0.25</v>
      </c>
      <c r="K2480" s="0" t="n">
        <f aca="false">F2480</f>
        <v>-0.25</v>
      </c>
      <c r="L2480" s="0" t="n">
        <f aca="false">G2480</f>
        <v>0.25</v>
      </c>
      <c r="M2480" s="0" t="n">
        <f aca="false">H2480</f>
        <v>-1</v>
      </c>
      <c r="N2480" s="0" t="n">
        <f aca="false">E2480*F2480</f>
        <v>0.0625</v>
      </c>
      <c r="O2480" s="0" t="n">
        <f aca="false">E2480*G2480</f>
        <v>-0.0625</v>
      </c>
      <c r="P2480" s="0" t="n">
        <f aca="false">E2480*H2480</f>
        <v>0.25</v>
      </c>
      <c r="Q2480" s="0" t="n">
        <f aca="false">F2480*G2480</f>
        <v>-0.0625</v>
      </c>
      <c r="R2480" s="0" t="n">
        <f aca="false">F2480*H2480</f>
        <v>0.25</v>
      </c>
      <c r="S2480" s="0" t="n">
        <f aca="false">G2480*H2480</f>
        <v>-0.25</v>
      </c>
      <c r="T2480" s="0" t="n">
        <f aca="false">E2480*E2480</f>
        <v>0.0625</v>
      </c>
      <c r="U2480" s="0" t="n">
        <f aca="false">F2480*F2480</f>
        <v>0.0625</v>
      </c>
      <c r="V2480" s="0" t="n">
        <f aca="false">G2480*G2480</f>
        <v>0.0625</v>
      </c>
      <c r="W2480" s="0" t="n">
        <f aca="false">H2480*H2480</f>
        <v>1</v>
      </c>
      <c r="X2480" s="0" t="n">
        <f aca="false">SUMPRODUCT(I2480:W2480,_XtX!$B$96:$P$96)</f>
        <v>45.9729120979532</v>
      </c>
      <c r="Y2480" s="0" t="n">
        <f aca="false">SUMPRODUCT(MMULT(I2480:W2480,_XtX!$B$78:$P$92),I2480:W2480)</f>
        <v>0.457466705500731</v>
      </c>
      <c r="Z2480" s="0" t="n">
        <f aca="false">04_回帰ANOVA!$K$19*04_回帰ANOVA!$K$14*SQRT(1+Y2480)</f>
        <v>1.57361220003999</v>
      </c>
      <c r="AA2480" s="0" t="n">
        <f aca="false">X2480-Z2480</f>
        <v>44.3992998979132</v>
      </c>
      <c r="AB2480" s="0" t="n">
        <f aca="false">X2480+Z2480</f>
        <v>47.5465242979932</v>
      </c>
      <c r="AC2480" s="54" t="b">
        <f aca="false">AND(E2480&gt;=01_因子設定!$L$5-0.000000001,E2480&lt;=01_因子設定!$M$5+0.000000001,F2480&gt;=01_因子設定!$L$6-0.000000001,F2480&lt;=01_因子設定!$M$6+0.000000001,G2480&gt;=01_因子設定!$L$7-0.000000001,G2480&lt;=01_因子設定!$M$7+0.000000001,H2480&gt;=01_因子設定!$L$8-0.000000001,H2480&lt;=01_因子設定!$M$8+0.000000001,IF(01_因子設定!$B$20="Box-Behnken",E2480^2+F2480^2+G2480^2+H2480^2&lt;=2+0.000000001,TRUE()))</f>
        <v>1</v>
      </c>
      <c r="AD2480" s="55" t="n">
        <f aca="false">IF(AC2480,IF(01_因子設定!$B$13="最大化",AA2480-01_因子設定!$B$14,IF(01_因子設定!$B$13="最小化",01_因子設定!$B$15-AB2480,MIN(AA2480-01_因子設定!$B$14,01_因子設定!$B$15-AB2480))),-1E+030)</f>
        <v>-2.1007001020868</v>
      </c>
      <c r="AE2480" s="55" t="n">
        <f aca="false">IF(AC2480,IF(01_因子設定!$B$13="最大化",X2480,IF(01_因子設定!$B$13="最小化",-X2480,-ABS(X2480-01_因子設定!$B$16))),-1E+030)</f>
        <v>45.9729120979532</v>
      </c>
      <c r="AF2480" s="55" t="n">
        <f aca="false">AD2480+ROW()*0.000000001</f>
        <v>-2.1006976220868</v>
      </c>
      <c r="AG2480" s="55" t="n">
        <f aca="false">AE2480+ROW()*0.000000001</f>
        <v>45.9729145779532</v>
      </c>
    </row>
    <row r="2481" customFormat="false" ht="15" hidden="false" customHeight="false" outlineLevel="0" collapsed="false">
      <c r="A2481" s="0" t="n">
        <v>3</v>
      </c>
      <c r="B2481" s="0" t="n">
        <v>3</v>
      </c>
      <c r="C2481" s="0" t="n">
        <v>5</v>
      </c>
      <c r="D2481" s="0" t="n">
        <v>1</v>
      </c>
      <c r="E2481" s="0" t="n">
        <f aca="false">-1+A2481*0.25</f>
        <v>-0.25</v>
      </c>
      <c r="F2481" s="0" t="n">
        <f aca="false">-1+B2481*0.25</f>
        <v>-0.25</v>
      </c>
      <c r="G2481" s="0" t="n">
        <f aca="false">-1+C2481*0.25</f>
        <v>0.25</v>
      </c>
      <c r="H2481" s="0" t="n">
        <f aca="false">-1+D2481*0.25</f>
        <v>-0.75</v>
      </c>
      <c r="I2481" s="0" t="n">
        <f aca="false">1</f>
        <v>1</v>
      </c>
      <c r="J2481" s="0" t="n">
        <f aca="false">E2481</f>
        <v>-0.25</v>
      </c>
      <c r="K2481" s="0" t="n">
        <f aca="false">F2481</f>
        <v>-0.25</v>
      </c>
      <c r="L2481" s="0" t="n">
        <f aca="false">G2481</f>
        <v>0.25</v>
      </c>
      <c r="M2481" s="0" t="n">
        <f aca="false">H2481</f>
        <v>-0.75</v>
      </c>
      <c r="N2481" s="0" t="n">
        <f aca="false">E2481*F2481</f>
        <v>0.0625</v>
      </c>
      <c r="O2481" s="0" t="n">
        <f aca="false">E2481*G2481</f>
        <v>-0.0625</v>
      </c>
      <c r="P2481" s="0" t="n">
        <f aca="false">E2481*H2481</f>
        <v>0.1875</v>
      </c>
      <c r="Q2481" s="0" t="n">
        <f aca="false">F2481*G2481</f>
        <v>-0.0625</v>
      </c>
      <c r="R2481" s="0" t="n">
        <f aca="false">F2481*H2481</f>
        <v>0.1875</v>
      </c>
      <c r="S2481" s="0" t="n">
        <f aca="false">G2481*H2481</f>
        <v>-0.1875</v>
      </c>
      <c r="T2481" s="0" t="n">
        <f aca="false">E2481*E2481</f>
        <v>0.0625</v>
      </c>
      <c r="U2481" s="0" t="n">
        <f aca="false">F2481*F2481</f>
        <v>0.0625</v>
      </c>
      <c r="V2481" s="0" t="n">
        <f aca="false">G2481*G2481</f>
        <v>0.0625</v>
      </c>
      <c r="W2481" s="0" t="n">
        <f aca="false">H2481*H2481</f>
        <v>0.5625</v>
      </c>
      <c r="X2481" s="0" t="n">
        <f aca="false">SUMPRODUCT(I2481:W2481,_XtX!$B$96:$P$96)</f>
        <v>46.2650630482456</v>
      </c>
      <c r="Y2481" s="0" t="n">
        <f aca="false">SUMPRODUCT(MMULT(I2481:W2481,_XtX!$B$78:$P$92),I2481:W2481)</f>
        <v>0.205926192434211</v>
      </c>
      <c r="Z2481" s="0" t="n">
        <f aca="false">04_回帰ANOVA!$K$19*04_回帰ANOVA!$K$14*SQRT(1+Y2481)</f>
        <v>1.43139256396246</v>
      </c>
      <c r="AA2481" s="0" t="n">
        <f aca="false">X2481-Z2481</f>
        <v>44.8336704842831</v>
      </c>
      <c r="AB2481" s="0" t="n">
        <f aca="false">X2481+Z2481</f>
        <v>47.696455612208</v>
      </c>
      <c r="AC2481" s="54" t="b">
        <f aca="false">AND(E2481&gt;=01_因子設定!$L$5-0.000000001,E2481&lt;=01_因子設定!$M$5+0.000000001,F2481&gt;=01_因子設定!$L$6-0.000000001,F2481&lt;=01_因子設定!$M$6+0.000000001,G2481&gt;=01_因子設定!$L$7-0.000000001,G2481&lt;=01_因子設定!$M$7+0.000000001,H2481&gt;=01_因子設定!$L$8-0.000000001,H2481&lt;=01_因子設定!$M$8+0.000000001,IF(01_因子設定!$B$20="Box-Behnken",E2481^2+F2481^2+G2481^2+H2481^2&lt;=2+0.000000001,TRUE()))</f>
        <v>1</v>
      </c>
      <c r="AD2481" s="55" t="n">
        <f aca="false">IF(AC2481,IF(01_因子設定!$B$13="最大化",AA2481-01_因子設定!$B$14,IF(01_因子設定!$B$13="最小化",01_因子設定!$B$15-AB2481,MIN(AA2481-01_因子設定!$B$14,01_因子設定!$B$15-AB2481))),-1E+030)</f>
        <v>-1.66632951571689</v>
      </c>
      <c r="AE2481" s="55" t="n">
        <f aca="false">IF(AC2481,IF(01_因子設定!$B$13="最大化",X2481,IF(01_因子設定!$B$13="最小化",-X2481,-ABS(X2481-01_因子設定!$B$16))),-1E+030)</f>
        <v>46.2650630482456</v>
      </c>
      <c r="AF2481" s="55" t="n">
        <f aca="false">AD2481+ROW()*0.000000001</f>
        <v>-1.66632703471689</v>
      </c>
      <c r="AG2481" s="55" t="n">
        <f aca="false">AE2481+ROW()*0.000000001</f>
        <v>46.2650655292456</v>
      </c>
    </row>
    <row r="2482" customFormat="false" ht="15" hidden="false" customHeight="false" outlineLevel="0" collapsed="false">
      <c r="A2482" s="0" t="n">
        <v>3</v>
      </c>
      <c r="B2482" s="0" t="n">
        <v>3</v>
      </c>
      <c r="C2482" s="0" t="n">
        <v>5</v>
      </c>
      <c r="D2482" s="0" t="n">
        <v>2</v>
      </c>
      <c r="E2482" s="0" t="n">
        <f aca="false">-1+A2482*0.25</f>
        <v>-0.25</v>
      </c>
      <c r="F2482" s="0" t="n">
        <f aca="false">-1+B2482*0.25</f>
        <v>-0.25</v>
      </c>
      <c r="G2482" s="0" t="n">
        <f aca="false">-1+C2482*0.25</f>
        <v>0.25</v>
      </c>
      <c r="H2482" s="0" t="n">
        <f aca="false">-1+D2482*0.25</f>
        <v>-0.5</v>
      </c>
      <c r="I2482" s="0" t="n">
        <f aca="false">1</f>
        <v>1</v>
      </c>
      <c r="J2482" s="0" t="n">
        <f aca="false">E2482</f>
        <v>-0.25</v>
      </c>
      <c r="K2482" s="0" t="n">
        <f aca="false">F2482</f>
        <v>-0.25</v>
      </c>
      <c r="L2482" s="0" t="n">
        <f aca="false">G2482</f>
        <v>0.25</v>
      </c>
      <c r="M2482" s="0" t="n">
        <f aca="false">H2482</f>
        <v>-0.5</v>
      </c>
      <c r="N2482" s="0" t="n">
        <f aca="false">E2482*F2482</f>
        <v>0.0625</v>
      </c>
      <c r="O2482" s="0" t="n">
        <f aca="false">E2482*G2482</f>
        <v>-0.0625</v>
      </c>
      <c r="P2482" s="0" t="n">
        <f aca="false">E2482*H2482</f>
        <v>0.125</v>
      </c>
      <c r="Q2482" s="0" t="n">
        <f aca="false">F2482*G2482</f>
        <v>-0.0625</v>
      </c>
      <c r="R2482" s="0" t="n">
        <f aca="false">F2482*H2482</f>
        <v>0.125</v>
      </c>
      <c r="S2482" s="0" t="n">
        <f aca="false">G2482*H2482</f>
        <v>-0.125</v>
      </c>
      <c r="T2482" s="0" t="n">
        <f aca="false">E2482*E2482</f>
        <v>0.0625</v>
      </c>
      <c r="U2482" s="0" t="n">
        <f aca="false">F2482*F2482</f>
        <v>0.0625</v>
      </c>
      <c r="V2482" s="0" t="n">
        <f aca="false">G2482*G2482</f>
        <v>0.0625</v>
      </c>
      <c r="W2482" s="0" t="n">
        <f aca="false">H2482*H2482</f>
        <v>0.25</v>
      </c>
      <c r="X2482" s="0" t="n">
        <f aca="false">SUMPRODUCT(I2482:W2482,_XtX!$B$96:$P$96)</f>
        <v>46.5094069809941</v>
      </c>
      <c r="Y2482" s="0" t="n">
        <f aca="false">SUMPRODUCT(MMULT(I2482:W2482,_XtX!$B$78:$P$92),I2482:W2482)</f>
        <v>0.116714923702485</v>
      </c>
      <c r="Z2482" s="0" t="n">
        <f aca="false">04_回帰ANOVA!$K$19*04_回帰ANOVA!$K$14*SQRT(1+Y2482)</f>
        <v>1.37743004820023</v>
      </c>
      <c r="AA2482" s="0" t="n">
        <f aca="false">X2482-Z2482</f>
        <v>45.1319769327939</v>
      </c>
      <c r="AB2482" s="0" t="n">
        <f aca="false">X2482+Z2482</f>
        <v>47.8868370291943</v>
      </c>
      <c r="AC2482" s="54" t="b">
        <f aca="false">AND(E2482&gt;=01_因子設定!$L$5-0.000000001,E2482&lt;=01_因子設定!$M$5+0.000000001,F2482&gt;=01_因子設定!$L$6-0.000000001,F2482&lt;=01_因子設定!$M$6+0.000000001,G2482&gt;=01_因子設定!$L$7-0.000000001,G2482&lt;=01_因子設定!$M$7+0.000000001,H2482&gt;=01_因子設定!$L$8-0.000000001,H2482&lt;=01_因子設定!$M$8+0.000000001,IF(01_因子設定!$B$20="Box-Behnken",E2482^2+F2482^2+G2482^2+H2482^2&lt;=2+0.000000001,TRUE()))</f>
        <v>1</v>
      </c>
      <c r="AD2482" s="55" t="n">
        <f aca="false">IF(AC2482,IF(01_因子設定!$B$13="最大化",AA2482-01_因子設定!$B$14,IF(01_因子設定!$B$13="最小化",01_因子設定!$B$15-AB2482,MIN(AA2482-01_因子設定!$B$14,01_因子設定!$B$15-AB2482))),-1E+030)</f>
        <v>-1.36802306720612</v>
      </c>
      <c r="AE2482" s="55" t="n">
        <f aca="false">IF(AC2482,IF(01_因子設定!$B$13="最大化",X2482,IF(01_因子設定!$B$13="最小化",-X2482,-ABS(X2482-01_因子設定!$B$16))),-1E+030)</f>
        <v>46.5094069809941</v>
      </c>
      <c r="AF2482" s="55" t="n">
        <f aca="false">AD2482+ROW()*0.000000001</f>
        <v>-1.36802058520612</v>
      </c>
      <c r="AG2482" s="55" t="n">
        <f aca="false">AE2482+ROW()*0.000000001</f>
        <v>46.5094094629941</v>
      </c>
    </row>
    <row r="2483" customFormat="false" ht="15" hidden="false" customHeight="false" outlineLevel="0" collapsed="false">
      <c r="A2483" s="0" t="n">
        <v>3</v>
      </c>
      <c r="B2483" s="0" t="n">
        <v>3</v>
      </c>
      <c r="C2483" s="0" t="n">
        <v>5</v>
      </c>
      <c r="D2483" s="0" t="n">
        <v>3</v>
      </c>
      <c r="E2483" s="0" t="n">
        <f aca="false">-1+A2483*0.25</f>
        <v>-0.25</v>
      </c>
      <c r="F2483" s="0" t="n">
        <f aca="false">-1+B2483*0.25</f>
        <v>-0.25</v>
      </c>
      <c r="G2483" s="0" t="n">
        <f aca="false">-1+C2483*0.25</f>
        <v>0.25</v>
      </c>
      <c r="H2483" s="0" t="n">
        <f aca="false">-1+D2483*0.25</f>
        <v>-0.25</v>
      </c>
      <c r="I2483" s="0" t="n">
        <f aca="false">1</f>
        <v>1</v>
      </c>
      <c r="J2483" s="0" t="n">
        <f aca="false">E2483</f>
        <v>-0.25</v>
      </c>
      <c r="K2483" s="0" t="n">
        <f aca="false">F2483</f>
        <v>-0.25</v>
      </c>
      <c r="L2483" s="0" t="n">
        <f aca="false">G2483</f>
        <v>0.25</v>
      </c>
      <c r="M2483" s="0" t="n">
        <f aca="false">H2483</f>
        <v>-0.25</v>
      </c>
      <c r="N2483" s="0" t="n">
        <f aca="false">E2483*F2483</f>
        <v>0.0625</v>
      </c>
      <c r="O2483" s="0" t="n">
        <f aca="false">E2483*G2483</f>
        <v>-0.0625</v>
      </c>
      <c r="P2483" s="0" t="n">
        <f aca="false">E2483*H2483</f>
        <v>0.0625</v>
      </c>
      <c r="Q2483" s="0" t="n">
        <f aca="false">F2483*G2483</f>
        <v>-0.0625</v>
      </c>
      <c r="R2483" s="0" t="n">
        <f aca="false">F2483*H2483</f>
        <v>0.0625</v>
      </c>
      <c r="S2483" s="0" t="n">
        <f aca="false">G2483*H2483</f>
        <v>-0.0625</v>
      </c>
      <c r="T2483" s="0" t="n">
        <f aca="false">E2483*E2483</f>
        <v>0.0625</v>
      </c>
      <c r="U2483" s="0" t="n">
        <f aca="false">F2483*F2483</f>
        <v>0.0625</v>
      </c>
      <c r="V2483" s="0" t="n">
        <f aca="false">G2483*G2483</f>
        <v>0.0625</v>
      </c>
      <c r="W2483" s="0" t="n">
        <f aca="false">H2483*H2483</f>
        <v>0.0625</v>
      </c>
      <c r="X2483" s="0" t="n">
        <f aca="false">SUMPRODUCT(I2483:W2483,_XtX!$B$96:$P$96)</f>
        <v>46.7059438961988</v>
      </c>
      <c r="Y2483" s="0" t="n">
        <f aca="false">SUMPRODUCT(MMULT(I2483:W2483,_XtX!$B$78:$P$92),I2483:W2483)</f>
        <v>0.0993723729897661</v>
      </c>
      <c r="Z2483" s="0" t="n">
        <f aca="false">04_回帰ANOVA!$K$19*04_回帰ANOVA!$K$14*SQRT(1+Y2483)</f>
        <v>1.36669247195631</v>
      </c>
      <c r="AA2483" s="0" t="n">
        <f aca="false">X2483-Z2483</f>
        <v>45.3392514242425</v>
      </c>
      <c r="AB2483" s="0" t="n">
        <f aca="false">X2483+Z2483</f>
        <v>48.0726363681551</v>
      </c>
      <c r="AC2483" s="54" t="b">
        <f aca="false">AND(E2483&gt;=01_因子設定!$L$5-0.000000001,E2483&lt;=01_因子設定!$M$5+0.000000001,F2483&gt;=01_因子設定!$L$6-0.000000001,F2483&lt;=01_因子設定!$M$6+0.000000001,G2483&gt;=01_因子設定!$L$7-0.000000001,G2483&lt;=01_因子設定!$M$7+0.000000001,H2483&gt;=01_因子設定!$L$8-0.000000001,H2483&lt;=01_因子設定!$M$8+0.000000001,IF(01_因子設定!$B$20="Box-Behnken",E2483^2+F2483^2+G2483^2+H2483^2&lt;=2+0.000000001,TRUE()))</f>
        <v>1</v>
      </c>
      <c r="AD2483" s="55" t="n">
        <f aca="false">IF(AC2483,IF(01_因子設定!$B$13="最大化",AA2483-01_因子設定!$B$14,IF(01_因子設定!$B$13="最小化",01_因子設定!$B$15-AB2483,MIN(AA2483-01_因子設定!$B$14,01_因子設定!$B$15-AB2483))),-1E+030)</f>
        <v>-1.16074857575754</v>
      </c>
      <c r="AE2483" s="55" t="n">
        <f aca="false">IF(AC2483,IF(01_因子設定!$B$13="最大化",X2483,IF(01_因子設定!$B$13="最小化",-X2483,-ABS(X2483-01_因子設定!$B$16))),-1E+030)</f>
        <v>46.7059438961988</v>
      </c>
      <c r="AF2483" s="55" t="n">
        <f aca="false">AD2483+ROW()*0.000000001</f>
        <v>-1.16074609275754</v>
      </c>
      <c r="AG2483" s="55" t="n">
        <f aca="false">AE2483+ROW()*0.000000001</f>
        <v>46.7059463791988</v>
      </c>
    </row>
    <row r="2484" customFormat="false" ht="15" hidden="false" customHeight="false" outlineLevel="0" collapsed="false">
      <c r="A2484" s="0" t="n">
        <v>3</v>
      </c>
      <c r="B2484" s="0" t="n">
        <v>3</v>
      </c>
      <c r="C2484" s="0" t="n">
        <v>5</v>
      </c>
      <c r="D2484" s="0" t="n">
        <v>4</v>
      </c>
      <c r="E2484" s="0" t="n">
        <f aca="false">-1+A2484*0.25</f>
        <v>-0.25</v>
      </c>
      <c r="F2484" s="0" t="n">
        <f aca="false">-1+B2484*0.25</f>
        <v>-0.25</v>
      </c>
      <c r="G2484" s="0" t="n">
        <f aca="false">-1+C2484*0.25</f>
        <v>0.25</v>
      </c>
      <c r="H2484" s="0" t="n">
        <f aca="false">-1+D2484*0.25</f>
        <v>0</v>
      </c>
      <c r="I2484" s="0" t="n">
        <f aca="false">1</f>
        <v>1</v>
      </c>
      <c r="J2484" s="0" t="n">
        <f aca="false">E2484</f>
        <v>-0.25</v>
      </c>
      <c r="K2484" s="0" t="n">
        <f aca="false">F2484</f>
        <v>-0.25</v>
      </c>
      <c r="L2484" s="0" t="n">
        <f aca="false">G2484</f>
        <v>0.25</v>
      </c>
      <c r="M2484" s="0" t="n">
        <f aca="false">H2484</f>
        <v>0</v>
      </c>
      <c r="N2484" s="0" t="n">
        <f aca="false">E2484*F2484</f>
        <v>0.0625</v>
      </c>
      <c r="O2484" s="0" t="n">
        <f aca="false">E2484*G2484</f>
        <v>-0.0625</v>
      </c>
      <c r="P2484" s="0" t="n">
        <f aca="false">E2484*H2484</f>
        <v>-0</v>
      </c>
      <c r="Q2484" s="0" t="n">
        <f aca="false">F2484*G2484</f>
        <v>-0.0625</v>
      </c>
      <c r="R2484" s="0" t="n">
        <f aca="false">F2484*H2484</f>
        <v>-0</v>
      </c>
      <c r="S2484" s="0" t="n">
        <f aca="false">G2484*H2484</f>
        <v>0</v>
      </c>
      <c r="T2484" s="0" t="n">
        <f aca="false">E2484*E2484</f>
        <v>0.0625</v>
      </c>
      <c r="U2484" s="0" t="n">
        <f aca="false">F2484*F2484</f>
        <v>0.0625</v>
      </c>
      <c r="V2484" s="0" t="n">
        <f aca="false">G2484*G2484</f>
        <v>0.0625</v>
      </c>
      <c r="W2484" s="0" t="n">
        <f aca="false">H2484*H2484</f>
        <v>0</v>
      </c>
      <c r="X2484" s="0" t="n">
        <f aca="false">SUMPRODUCT(I2484:W2484,_XtX!$B$96:$P$96)</f>
        <v>46.8546737938596</v>
      </c>
      <c r="Y2484" s="0" t="n">
        <f aca="false">SUMPRODUCT(MMULT(I2484:W2484,_XtX!$B$78:$P$92),I2484:W2484)</f>
        <v>0.099622224506579</v>
      </c>
      <c r="Z2484" s="0" t="n">
        <f aca="false">04_回帰ANOVA!$K$19*04_回帰ANOVA!$K$14*SQRT(1+Y2484)</f>
        <v>1.3668477654658</v>
      </c>
      <c r="AA2484" s="0" t="n">
        <f aca="false">X2484-Z2484</f>
        <v>45.4878260283938</v>
      </c>
      <c r="AB2484" s="0" t="n">
        <f aca="false">X2484+Z2484</f>
        <v>48.2215215593254</v>
      </c>
      <c r="AC2484" s="54" t="b">
        <f aca="false">AND(E2484&gt;=01_因子設定!$L$5-0.000000001,E2484&lt;=01_因子設定!$M$5+0.000000001,F2484&gt;=01_因子設定!$L$6-0.000000001,F2484&lt;=01_因子設定!$M$6+0.000000001,G2484&gt;=01_因子設定!$L$7-0.000000001,G2484&lt;=01_因子設定!$M$7+0.000000001,H2484&gt;=01_因子設定!$L$8-0.000000001,H2484&lt;=01_因子設定!$M$8+0.000000001,IF(01_因子設定!$B$20="Box-Behnken",E2484^2+F2484^2+G2484^2+H2484^2&lt;=2+0.000000001,TRUE()))</f>
        <v>1</v>
      </c>
      <c r="AD2484" s="55" t="n">
        <f aca="false">IF(AC2484,IF(01_因子設定!$B$13="最大化",AA2484-01_因子設定!$B$14,IF(01_因子設定!$B$13="最小化",01_因子設定!$B$15-AB2484,MIN(AA2484-01_因子設定!$B$14,01_因子設定!$B$15-AB2484))),-1E+030)</f>
        <v>-1.01217397160621</v>
      </c>
      <c r="AE2484" s="55" t="n">
        <f aca="false">IF(AC2484,IF(01_因子設定!$B$13="最大化",X2484,IF(01_因子設定!$B$13="最小化",-X2484,-ABS(X2484-01_因子設定!$B$16))),-1E+030)</f>
        <v>46.8546737938596</v>
      </c>
      <c r="AF2484" s="55" t="n">
        <f aca="false">AD2484+ROW()*0.000000001</f>
        <v>-1.01217148760621</v>
      </c>
      <c r="AG2484" s="55" t="n">
        <f aca="false">AE2484+ROW()*0.000000001</f>
        <v>46.8546762778596</v>
      </c>
    </row>
    <row r="2485" customFormat="false" ht="15" hidden="false" customHeight="false" outlineLevel="0" collapsed="false">
      <c r="A2485" s="0" t="n">
        <v>3</v>
      </c>
      <c r="B2485" s="0" t="n">
        <v>3</v>
      </c>
      <c r="C2485" s="0" t="n">
        <v>5</v>
      </c>
      <c r="D2485" s="0" t="n">
        <v>5</v>
      </c>
      <c r="E2485" s="0" t="n">
        <f aca="false">-1+A2485*0.25</f>
        <v>-0.25</v>
      </c>
      <c r="F2485" s="0" t="n">
        <f aca="false">-1+B2485*0.25</f>
        <v>-0.25</v>
      </c>
      <c r="G2485" s="0" t="n">
        <f aca="false">-1+C2485*0.25</f>
        <v>0.25</v>
      </c>
      <c r="H2485" s="0" t="n">
        <f aca="false">-1+D2485*0.25</f>
        <v>0.25</v>
      </c>
      <c r="I2485" s="0" t="n">
        <f aca="false">1</f>
        <v>1</v>
      </c>
      <c r="J2485" s="0" t="n">
        <f aca="false">E2485</f>
        <v>-0.25</v>
      </c>
      <c r="K2485" s="0" t="n">
        <f aca="false">F2485</f>
        <v>-0.25</v>
      </c>
      <c r="L2485" s="0" t="n">
        <f aca="false">G2485</f>
        <v>0.25</v>
      </c>
      <c r="M2485" s="0" t="n">
        <f aca="false">H2485</f>
        <v>0.25</v>
      </c>
      <c r="N2485" s="0" t="n">
        <f aca="false">E2485*F2485</f>
        <v>0.0625</v>
      </c>
      <c r="O2485" s="0" t="n">
        <f aca="false">E2485*G2485</f>
        <v>-0.0625</v>
      </c>
      <c r="P2485" s="0" t="n">
        <f aca="false">E2485*H2485</f>
        <v>-0.0625</v>
      </c>
      <c r="Q2485" s="0" t="n">
        <f aca="false">F2485*G2485</f>
        <v>-0.0625</v>
      </c>
      <c r="R2485" s="0" t="n">
        <f aca="false">F2485*H2485</f>
        <v>-0.0625</v>
      </c>
      <c r="S2485" s="0" t="n">
        <f aca="false">G2485*H2485</f>
        <v>0.0625</v>
      </c>
      <c r="T2485" s="0" t="n">
        <f aca="false">E2485*E2485</f>
        <v>0.0625</v>
      </c>
      <c r="U2485" s="0" t="n">
        <f aca="false">F2485*F2485</f>
        <v>0.0625</v>
      </c>
      <c r="V2485" s="0" t="n">
        <f aca="false">G2485*G2485</f>
        <v>0.0625</v>
      </c>
      <c r="W2485" s="0" t="n">
        <f aca="false">H2485*H2485</f>
        <v>0.0625</v>
      </c>
      <c r="X2485" s="0" t="n">
        <f aca="false">SUMPRODUCT(I2485:W2485,_XtX!$B$96:$P$96)</f>
        <v>46.9555966739766</v>
      </c>
      <c r="Y2485" s="0" t="n">
        <f aca="false">SUMPRODUCT(MMULT(I2485:W2485,_XtX!$B$78:$P$92),I2485:W2485)</f>
        <v>0.0993723729897661</v>
      </c>
      <c r="Z2485" s="0" t="n">
        <f aca="false">04_回帰ANOVA!$K$19*04_回帰ANOVA!$K$14*SQRT(1+Y2485)</f>
        <v>1.36669247195631</v>
      </c>
      <c r="AA2485" s="0" t="n">
        <f aca="false">X2485-Z2485</f>
        <v>45.5889042020202</v>
      </c>
      <c r="AB2485" s="0" t="n">
        <f aca="false">X2485+Z2485</f>
        <v>48.3222891459329</v>
      </c>
      <c r="AC2485" s="54" t="b">
        <f aca="false">AND(E2485&gt;=01_因子設定!$L$5-0.000000001,E2485&lt;=01_因子設定!$M$5+0.000000001,F2485&gt;=01_因子設定!$L$6-0.000000001,F2485&lt;=01_因子設定!$M$6+0.000000001,G2485&gt;=01_因子設定!$L$7-0.000000001,G2485&lt;=01_因子設定!$M$7+0.000000001,H2485&gt;=01_因子設定!$L$8-0.000000001,H2485&lt;=01_因子設定!$M$8+0.000000001,IF(01_因子設定!$B$20="Box-Behnken",E2485^2+F2485^2+G2485^2+H2485^2&lt;=2+0.000000001,TRUE()))</f>
        <v>1</v>
      </c>
      <c r="AD2485" s="55" t="n">
        <f aca="false">IF(AC2485,IF(01_因子設定!$B$13="最大化",AA2485-01_因子設定!$B$14,IF(01_因子設定!$B$13="最小化",01_因子設定!$B$15-AB2485,MIN(AA2485-01_因子設定!$B$14,01_因子設定!$B$15-AB2485))),-1E+030)</f>
        <v>-0.911095797979762</v>
      </c>
      <c r="AE2485" s="55" t="n">
        <f aca="false">IF(AC2485,IF(01_因子設定!$B$13="最大化",X2485,IF(01_因子設定!$B$13="最小化",-X2485,-ABS(X2485-01_因子設定!$B$16))),-1E+030)</f>
        <v>46.9555966739766</v>
      </c>
      <c r="AF2485" s="55" t="n">
        <f aca="false">AD2485+ROW()*0.000000001</f>
        <v>-0.911093312979762</v>
      </c>
      <c r="AG2485" s="55" t="n">
        <f aca="false">AE2485+ROW()*0.000000001</f>
        <v>46.9555991589766</v>
      </c>
    </row>
    <row r="2486" customFormat="false" ht="15" hidden="false" customHeight="false" outlineLevel="0" collapsed="false">
      <c r="A2486" s="0" t="n">
        <v>3</v>
      </c>
      <c r="B2486" s="0" t="n">
        <v>3</v>
      </c>
      <c r="C2486" s="0" t="n">
        <v>5</v>
      </c>
      <c r="D2486" s="0" t="n">
        <v>6</v>
      </c>
      <c r="E2486" s="0" t="n">
        <f aca="false">-1+A2486*0.25</f>
        <v>-0.25</v>
      </c>
      <c r="F2486" s="0" t="n">
        <f aca="false">-1+B2486*0.25</f>
        <v>-0.25</v>
      </c>
      <c r="G2486" s="0" t="n">
        <f aca="false">-1+C2486*0.25</f>
        <v>0.25</v>
      </c>
      <c r="H2486" s="0" t="n">
        <f aca="false">-1+D2486*0.25</f>
        <v>0.5</v>
      </c>
      <c r="I2486" s="0" t="n">
        <f aca="false">1</f>
        <v>1</v>
      </c>
      <c r="J2486" s="0" t="n">
        <f aca="false">E2486</f>
        <v>-0.25</v>
      </c>
      <c r="K2486" s="0" t="n">
        <f aca="false">F2486</f>
        <v>-0.25</v>
      </c>
      <c r="L2486" s="0" t="n">
        <f aca="false">G2486</f>
        <v>0.25</v>
      </c>
      <c r="M2486" s="0" t="n">
        <f aca="false">H2486</f>
        <v>0.5</v>
      </c>
      <c r="N2486" s="0" t="n">
        <f aca="false">E2486*F2486</f>
        <v>0.0625</v>
      </c>
      <c r="O2486" s="0" t="n">
        <f aca="false">E2486*G2486</f>
        <v>-0.0625</v>
      </c>
      <c r="P2486" s="0" t="n">
        <f aca="false">E2486*H2486</f>
        <v>-0.125</v>
      </c>
      <c r="Q2486" s="0" t="n">
        <f aca="false">F2486*G2486</f>
        <v>-0.0625</v>
      </c>
      <c r="R2486" s="0" t="n">
        <f aca="false">F2486*H2486</f>
        <v>-0.125</v>
      </c>
      <c r="S2486" s="0" t="n">
        <f aca="false">G2486*H2486</f>
        <v>0.125</v>
      </c>
      <c r="T2486" s="0" t="n">
        <f aca="false">E2486*E2486</f>
        <v>0.0625</v>
      </c>
      <c r="U2486" s="0" t="n">
        <f aca="false">F2486*F2486</f>
        <v>0.0625</v>
      </c>
      <c r="V2486" s="0" t="n">
        <f aca="false">G2486*G2486</f>
        <v>0.0625</v>
      </c>
      <c r="W2486" s="0" t="n">
        <f aca="false">H2486*H2486</f>
        <v>0.25</v>
      </c>
      <c r="X2486" s="0" t="n">
        <f aca="false">SUMPRODUCT(I2486:W2486,_XtX!$B$96:$P$96)</f>
        <v>47.0087125365497</v>
      </c>
      <c r="Y2486" s="0" t="n">
        <f aca="false">SUMPRODUCT(MMULT(I2486:W2486,_XtX!$B$78:$P$92),I2486:W2486)</f>
        <v>0.116714923702485</v>
      </c>
      <c r="Z2486" s="0" t="n">
        <f aca="false">04_回帰ANOVA!$K$19*04_回帰ANOVA!$K$14*SQRT(1+Y2486)</f>
        <v>1.37743004820023</v>
      </c>
      <c r="AA2486" s="0" t="n">
        <f aca="false">X2486-Z2486</f>
        <v>45.6312824883494</v>
      </c>
      <c r="AB2486" s="0" t="n">
        <f aca="false">X2486+Z2486</f>
        <v>48.3861425847499</v>
      </c>
      <c r="AC2486" s="54" t="b">
        <f aca="false">AND(E2486&gt;=01_因子設定!$L$5-0.000000001,E2486&lt;=01_因子設定!$M$5+0.000000001,F2486&gt;=01_因子設定!$L$6-0.000000001,F2486&lt;=01_因子設定!$M$6+0.000000001,G2486&gt;=01_因子設定!$L$7-0.000000001,G2486&lt;=01_因子設定!$M$7+0.000000001,H2486&gt;=01_因子設定!$L$8-0.000000001,H2486&lt;=01_因子設定!$M$8+0.000000001,IF(01_因子設定!$B$20="Box-Behnken",E2486^2+F2486^2+G2486^2+H2486^2&lt;=2+0.000000001,TRUE()))</f>
        <v>1</v>
      </c>
      <c r="AD2486" s="55" t="n">
        <f aca="false">IF(AC2486,IF(01_因子設定!$B$13="最大化",AA2486-01_因子設定!$B$14,IF(01_因子設定!$B$13="最小化",01_因子設定!$B$15-AB2486,MIN(AA2486-01_因子設定!$B$14,01_因子設定!$B$15-AB2486))),-1E+030)</f>
        <v>-0.868717511650566</v>
      </c>
      <c r="AE2486" s="55" t="n">
        <f aca="false">IF(AC2486,IF(01_因子設定!$B$13="最大化",X2486,IF(01_因子設定!$B$13="最小化",-X2486,-ABS(X2486-01_因子設定!$B$16))),-1E+030)</f>
        <v>47.0087125365497</v>
      </c>
      <c r="AF2486" s="55" t="n">
        <f aca="false">AD2486+ROW()*0.000000001</f>
        <v>-0.868715025650566</v>
      </c>
      <c r="AG2486" s="55" t="n">
        <f aca="false">AE2486+ROW()*0.000000001</f>
        <v>47.0087150225497</v>
      </c>
    </row>
    <row r="2487" customFormat="false" ht="15" hidden="false" customHeight="false" outlineLevel="0" collapsed="false">
      <c r="A2487" s="0" t="n">
        <v>3</v>
      </c>
      <c r="B2487" s="0" t="n">
        <v>3</v>
      </c>
      <c r="C2487" s="0" t="n">
        <v>5</v>
      </c>
      <c r="D2487" s="0" t="n">
        <v>7</v>
      </c>
      <c r="E2487" s="0" t="n">
        <f aca="false">-1+A2487*0.25</f>
        <v>-0.25</v>
      </c>
      <c r="F2487" s="0" t="n">
        <f aca="false">-1+B2487*0.25</f>
        <v>-0.25</v>
      </c>
      <c r="G2487" s="0" t="n">
        <f aca="false">-1+C2487*0.25</f>
        <v>0.25</v>
      </c>
      <c r="H2487" s="0" t="n">
        <f aca="false">-1+D2487*0.25</f>
        <v>0.75</v>
      </c>
      <c r="I2487" s="0" t="n">
        <f aca="false">1</f>
        <v>1</v>
      </c>
      <c r="J2487" s="0" t="n">
        <f aca="false">E2487</f>
        <v>-0.25</v>
      </c>
      <c r="K2487" s="0" t="n">
        <f aca="false">F2487</f>
        <v>-0.25</v>
      </c>
      <c r="L2487" s="0" t="n">
        <f aca="false">G2487</f>
        <v>0.25</v>
      </c>
      <c r="M2487" s="0" t="n">
        <f aca="false">H2487</f>
        <v>0.75</v>
      </c>
      <c r="N2487" s="0" t="n">
        <f aca="false">E2487*F2487</f>
        <v>0.0625</v>
      </c>
      <c r="O2487" s="0" t="n">
        <f aca="false">E2487*G2487</f>
        <v>-0.0625</v>
      </c>
      <c r="P2487" s="0" t="n">
        <f aca="false">E2487*H2487</f>
        <v>-0.1875</v>
      </c>
      <c r="Q2487" s="0" t="n">
        <f aca="false">F2487*G2487</f>
        <v>-0.0625</v>
      </c>
      <c r="R2487" s="0" t="n">
        <f aca="false">F2487*H2487</f>
        <v>-0.1875</v>
      </c>
      <c r="S2487" s="0" t="n">
        <f aca="false">G2487*H2487</f>
        <v>0.1875</v>
      </c>
      <c r="T2487" s="0" t="n">
        <f aca="false">E2487*E2487</f>
        <v>0.0625</v>
      </c>
      <c r="U2487" s="0" t="n">
        <f aca="false">F2487*F2487</f>
        <v>0.0625</v>
      </c>
      <c r="V2487" s="0" t="n">
        <f aca="false">G2487*G2487</f>
        <v>0.0625</v>
      </c>
      <c r="W2487" s="0" t="n">
        <f aca="false">H2487*H2487</f>
        <v>0.5625</v>
      </c>
      <c r="X2487" s="0" t="n">
        <f aca="false">SUMPRODUCT(I2487:W2487,_XtX!$B$96:$P$96)</f>
        <v>47.0140213815789</v>
      </c>
      <c r="Y2487" s="0" t="n">
        <f aca="false">SUMPRODUCT(MMULT(I2487:W2487,_XtX!$B$78:$P$92),I2487:W2487)</f>
        <v>0.205926192434211</v>
      </c>
      <c r="Z2487" s="0" t="n">
        <f aca="false">04_回帰ANOVA!$K$19*04_回帰ANOVA!$K$14*SQRT(1+Y2487)</f>
        <v>1.43139256396246</v>
      </c>
      <c r="AA2487" s="0" t="n">
        <f aca="false">X2487-Z2487</f>
        <v>45.5826288176164</v>
      </c>
      <c r="AB2487" s="0" t="n">
        <f aca="false">X2487+Z2487</f>
        <v>48.4454139455414</v>
      </c>
      <c r="AC2487" s="54" t="b">
        <f aca="false">AND(E2487&gt;=01_因子設定!$L$5-0.000000001,E2487&lt;=01_因子設定!$M$5+0.000000001,F2487&gt;=01_因子設定!$L$6-0.000000001,F2487&lt;=01_因子設定!$M$6+0.000000001,G2487&gt;=01_因子設定!$L$7-0.000000001,G2487&lt;=01_因子設定!$M$7+0.000000001,H2487&gt;=01_因子設定!$L$8-0.000000001,H2487&lt;=01_因子設定!$M$8+0.000000001,IF(01_因子設定!$B$20="Box-Behnken",E2487^2+F2487^2+G2487^2+H2487^2&lt;=2+0.000000001,TRUE()))</f>
        <v>1</v>
      </c>
      <c r="AD2487" s="55" t="n">
        <f aca="false">IF(AC2487,IF(01_因子設定!$B$13="最大化",AA2487-01_因子設定!$B$14,IF(01_因子設定!$B$13="最小化",01_因子設定!$B$15-AB2487,MIN(AA2487-01_因子設定!$B$14,01_因子設定!$B$15-AB2487))),-1E+030)</f>
        <v>-0.917371182383555</v>
      </c>
      <c r="AE2487" s="55" t="n">
        <f aca="false">IF(AC2487,IF(01_因子設定!$B$13="最大化",X2487,IF(01_因子設定!$B$13="最小化",-X2487,-ABS(X2487-01_因子設定!$B$16))),-1E+030)</f>
        <v>47.0140213815789</v>
      </c>
      <c r="AF2487" s="55" t="n">
        <f aca="false">AD2487+ROW()*0.000000001</f>
        <v>-0.917368695383555</v>
      </c>
      <c r="AG2487" s="55" t="n">
        <f aca="false">AE2487+ROW()*0.000000001</f>
        <v>47.0140238685789</v>
      </c>
    </row>
    <row r="2488" customFormat="false" ht="15" hidden="false" customHeight="false" outlineLevel="0" collapsed="false">
      <c r="A2488" s="0" t="n">
        <v>3</v>
      </c>
      <c r="B2488" s="0" t="n">
        <v>3</v>
      </c>
      <c r="C2488" s="0" t="n">
        <v>5</v>
      </c>
      <c r="D2488" s="0" t="n">
        <v>8</v>
      </c>
      <c r="E2488" s="0" t="n">
        <f aca="false">-1+A2488*0.25</f>
        <v>-0.25</v>
      </c>
      <c r="F2488" s="0" t="n">
        <f aca="false">-1+B2488*0.25</f>
        <v>-0.25</v>
      </c>
      <c r="G2488" s="0" t="n">
        <f aca="false">-1+C2488*0.25</f>
        <v>0.25</v>
      </c>
      <c r="H2488" s="0" t="n">
        <f aca="false">-1+D2488*0.25</f>
        <v>1</v>
      </c>
      <c r="I2488" s="0" t="n">
        <f aca="false">1</f>
        <v>1</v>
      </c>
      <c r="J2488" s="0" t="n">
        <f aca="false">E2488</f>
        <v>-0.25</v>
      </c>
      <c r="K2488" s="0" t="n">
        <f aca="false">F2488</f>
        <v>-0.25</v>
      </c>
      <c r="L2488" s="0" t="n">
        <f aca="false">G2488</f>
        <v>0.25</v>
      </c>
      <c r="M2488" s="0" t="n">
        <f aca="false">H2488</f>
        <v>1</v>
      </c>
      <c r="N2488" s="0" t="n">
        <f aca="false">E2488*F2488</f>
        <v>0.0625</v>
      </c>
      <c r="O2488" s="0" t="n">
        <f aca="false">E2488*G2488</f>
        <v>-0.0625</v>
      </c>
      <c r="P2488" s="0" t="n">
        <f aca="false">E2488*H2488</f>
        <v>-0.25</v>
      </c>
      <c r="Q2488" s="0" t="n">
        <f aca="false">F2488*G2488</f>
        <v>-0.0625</v>
      </c>
      <c r="R2488" s="0" t="n">
        <f aca="false">F2488*H2488</f>
        <v>-0.25</v>
      </c>
      <c r="S2488" s="0" t="n">
        <f aca="false">G2488*H2488</f>
        <v>0.25</v>
      </c>
      <c r="T2488" s="0" t="n">
        <f aca="false">E2488*E2488</f>
        <v>0.0625</v>
      </c>
      <c r="U2488" s="0" t="n">
        <f aca="false">F2488*F2488</f>
        <v>0.0625</v>
      </c>
      <c r="V2488" s="0" t="n">
        <f aca="false">G2488*G2488</f>
        <v>0.0625</v>
      </c>
      <c r="W2488" s="0" t="n">
        <f aca="false">H2488*H2488</f>
        <v>1</v>
      </c>
      <c r="X2488" s="0" t="n">
        <f aca="false">SUMPRODUCT(I2488:W2488,_XtX!$B$96:$P$96)</f>
        <v>46.9715232090643</v>
      </c>
      <c r="Y2488" s="0" t="n">
        <f aca="false">SUMPRODUCT(MMULT(I2488:W2488,_XtX!$B$78:$P$92),I2488:W2488)</f>
        <v>0.457466705500731</v>
      </c>
      <c r="Z2488" s="0" t="n">
        <f aca="false">04_回帰ANOVA!$K$19*04_回帰ANOVA!$K$14*SQRT(1+Y2488)</f>
        <v>1.57361220003999</v>
      </c>
      <c r="AA2488" s="0" t="n">
        <f aca="false">X2488-Z2488</f>
        <v>45.3979110090243</v>
      </c>
      <c r="AB2488" s="0" t="n">
        <f aca="false">X2488+Z2488</f>
        <v>48.5451354091043</v>
      </c>
      <c r="AC2488" s="54" t="b">
        <f aca="false">AND(E2488&gt;=01_因子設定!$L$5-0.000000001,E2488&lt;=01_因子設定!$M$5+0.000000001,F2488&gt;=01_因子設定!$L$6-0.000000001,F2488&lt;=01_因子設定!$M$6+0.000000001,G2488&gt;=01_因子設定!$L$7-0.000000001,G2488&lt;=01_因子設定!$M$7+0.000000001,H2488&gt;=01_因子設定!$L$8-0.000000001,H2488&lt;=01_因子設定!$M$8+0.000000001,IF(01_因子設定!$B$20="Box-Behnken",E2488^2+F2488^2+G2488^2+H2488^2&lt;=2+0.000000001,TRUE()))</f>
        <v>1</v>
      </c>
      <c r="AD2488" s="55" t="n">
        <f aca="false">IF(AC2488,IF(01_因子設定!$B$13="最大化",AA2488-01_因子設定!$B$14,IF(01_因子設定!$B$13="最小化",01_因子設定!$B$15-AB2488,MIN(AA2488-01_因子設定!$B$14,01_因子設定!$B$15-AB2488))),-1E+030)</f>
        <v>-1.10208899097569</v>
      </c>
      <c r="AE2488" s="55" t="n">
        <f aca="false">IF(AC2488,IF(01_因子設定!$B$13="最大化",X2488,IF(01_因子設定!$B$13="最小化",-X2488,-ABS(X2488-01_因子設定!$B$16))),-1E+030)</f>
        <v>46.9715232090643</v>
      </c>
      <c r="AF2488" s="55" t="n">
        <f aca="false">AD2488+ROW()*0.000000001</f>
        <v>-1.10208650297569</v>
      </c>
      <c r="AG2488" s="55" t="n">
        <f aca="false">AE2488+ROW()*0.000000001</f>
        <v>46.9715256970643</v>
      </c>
    </row>
    <row r="2489" customFormat="false" ht="15" hidden="false" customHeight="false" outlineLevel="0" collapsed="false">
      <c r="A2489" s="0" t="n">
        <v>3</v>
      </c>
      <c r="B2489" s="0" t="n">
        <v>3</v>
      </c>
      <c r="C2489" s="0" t="n">
        <v>6</v>
      </c>
      <c r="D2489" s="0" t="n">
        <v>0</v>
      </c>
      <c r="E2489" s="0" t="n">
        <f aca="false">-1+A2489*0.25</f>
        <v>-0.25</v>
      </c>
      <c r="F2489" s="0" t="n">
        <f aca="false">-1+B2489*0.25</f>
        <v>-0.25</v>
      </c>
      <c r="G2489" s="0" t="n">
        <f aca="false">-1+C2489*0.25</f>
        <v>0.5</v>
      </c>
      <c r="H2489" s="0" t="n">
        <f aca="false">-1+D2489*0.25</f>
        <v>-1</v>
      </c>
      <c r="I2489" s="0" t="n">
        <f aca="false">1</f>
        <v>1</v>
      </c>
      <c r="J2489" s="0" t="n">
        <f aca="false">E2489</f>
        <v>-0.25</v>
      </c>
      <c r="K2489" s="0" t="n">
        <f aca="false">F2489</f>
        <v>-0.25</v>
      </c>
      <c r="L2489" s="0" t="n">
        <f aca="false">G2489</f>
        <v>0.5</v>
      </c>
      <c r="M2489" s="0" t="n">
        <f aca="false">H2489</f>
        <v>-1</v>
      </c>
      <c r="N2489" s="0" t="n">
        <f aca="false">E2489*F2489</f>
        <v>0.0625</v>
      </c>
      <c r="O2489" s="0" t="n">
        <f aca="false">E2489*G2489</f>
        <v>-0.125</v>
      </c>
      <c r="P2489" s="0" t="n">
        <f aca="false">E2489*H2489</f>
        <v>0.25</v>
      </c>
      <c r="Q2489" s="0" t="n">
        <f aca="false">F2489*G2489</f>
        <v>-0.125</v>
      </c>
      <c r="R2489" s="0" t="n">
        <f aca="false">F2489*H2489</f>
        <v>0.25</v>
      </c>
      <c r="S2489" s="0" t="n">
        <f aca="false">G2489*H2489</f>
        <v>-0.5</v>
      </c>
      <c r="T2489" s="0" t="n">
        <f aca="false">E2489*E2489</f>
        <v>0.0625</v>
      </c>
      <c r="U2489" s="0" t="n">
        <f aca="false">F2489*F2489</f>
        <v>0.0625</v>
      </c>
      <c r="V2489" s="0" t="n">
        <f aca="false">G2489*G2489</f>
        <v>0.25</v>
      </c>
      <c r="W2489" s="0" t="n">
        <f aca="false">H2489*H2489</f>
        <v>1</v>
      </c>
      <c r="X2489" s="0" t="n">
        <f aca="false">SUMPRODUCT(I2489:W2489,_XtX!$B$96:$P$96)</f>
        <v>46.0400036549707</v>
      </c>
      <c r="Y2489" s="0" t="n">
        <f aca="false">SUMPRODUCT(MMULT(I2489:W2489,_XtX!$B$78:$P$92),I2489:W2489)</f>
        <v>0.445705123812135</v>
      </c>
      <c r="Z2489" s="0" t="n">
        <f aca="false">04_回帰ANOVA!$K$19*04_回帰ANOVA!$K$14*SQRT(1+Y2489)</f>
        <v>1.56724990734749</v>
      </c>
      <c r="AA2489" s="0" t="n">
        <f aca="false">X2489-Z2489</f>
        <v>44.4727537476233</v>
      </c>
      <c r="AB2489" s="0" t="n">
        <f aca="false">X2489+Z2489</f>
        <v>47.6072535623182</v>
      </c>
      <c r="AC2489" s="54" t="b">
        <f aca="false">AND(E2489&gt;=01_因子設定!$L$5-0.000000001,E2489&lt;=01_因子設定!$M$5+0.000000001,F2489&gt;=01_因子設定!$L$6-0.000000001,F2489&lt;=01_因子設定!$M$6+0.000000001,G2489&gt;=01_因子設定!$L$7-0.000000001,G2489&lt;=01_因子設定!$M$7+0.000000001,H2489&gt;=01_因子設定!$L$8-0.000000001,H2489&lt;=01_因子設定!$M$8+0.000000001,IF(01_因子設定!$B$20="Box-Behnken",E2489^2+F2489^2+G2489^2+H2489^2&lt;=2+0.000000001,TRUE()))</f>
        <v>1</v>
      </c>
      <c r="AD2489" s="55" t="n">
        <f aca="false">IF(AC2489,IF(01_因子設定!$B$13="最大化",AA2489-01_因子設定!$B$14,IF(01_因子設定!$B$13="最小化",01_因子設定!$B$15-AB2489,MIN(AA2489-01_因子設定!$B$14,01_因子設定!$B$15-AB2489))),-1E+030)</f>
        <v>-2.02724625237675</v>
      </c>
      <c r="AE2489" s="55" t="n">
        <f aca="false">IF(AC2489,IF(01_因子設定!$B$13="最大化",X2489,IF(01_因子設定!$B$13="最小化",-X2489,-ABS(X2489-01_因子設定!$B$16))),-1E+030)</f>
        <v>46.0400036549707</v>
      </c>
      <c r="AF2489" s="55" t="n">
        <f aca="false">AD2489+ROW()*0.000000001</f>
        <v>-2.02724376337675</v>
      </c>
      <c r="AG2489" s="55" t="n">
        <f aca="false">AE2489+ROW()*0.000000001</f>
        <v>46.0400061439707</v>
      </c>
    </row>
    <row r="2490" customFormat="false" ht="15" hidden="false" customHeight="false" outlineLevel="0" collapsed="false">
      <c r="A2490" s="0" t="n">
        <v>3</v>
      </c>
      <c r="B2490" s="0" t="n">
        <v>3</v>
      </c>
      <c r="C2490" s="0" t="n">
        <v>6</v>
      </c>
      <c r="D2490" s="0" t="n">
        <v>1</v>
      </c>
      <c r="E2490" s="0" t="n">
        <f aca="false">-1+A2490*0.25</f>
        <v>-0.25</v>
      </c>
      <c r="F2490" s="0" t="n">
        <f aca="false">-1+B2490*0.25</f>
        <v>-0.25</v>
      </c>
      <c r="G2490" s="0" t="n">
        <f aca="false">-1+C2490*0.25</f>
        <v>0.5</v>
      </c>
      <c r="H2490" s="0" t="n">
        <f aca="false">-1+D2490*0.25</f>
        <v>-0.75</v>
      </c>
      <c r="I2490" s="0" t="n">
        <f aca="false">1</f>
        <v>1</v>
      </c>
      <c r="J2490" s="0" t="n">
        <f aca="false">E2490</f>
        <v>-0.25</v>
      </c>
      <c r="K2490" s="0" t="n">
        <f aca="false">F2490</f>
        <v>-0.25</v>
      </c>
      <c r="L2490" s="0" t="n">
        <f aca="false">G2490</f>
        <v>0.5</v>
      </c>
      <c r="M2490" s="0" t="n">
        <f aca="false">H2490</f>
        <v>-0.75</v>
      </c>
      <c r="N2490" s="0" t="n">
        <f aca="false">E2490*F2490</f>
        <v>0.0625</v>
      </c>
      <c r="O2490" s="0" t="n">
        <f aca="false">E2490*G2490</f>
        <v>-0.125</v>
      </c>
      <c r="P2490" s="0" t="n">
        <f aca="false">E2490*H2490</f>
        <v>0.1875</v>
      </c>
      <c r="Q2490" s="0" t="n">
        <f aca="false">F2490*G2490</f>
        <v>-0.125</v>
      </c>
      <c r="R2490" s="0" t="n">
        <f aca="false">F2490*H2490</f>
        <v>0.1875</v>
      </c>
      <c r="S2490" s="0" t="n">
        <f aca="false">G2490*H2490</f>
        <v>-0.375</v>
      </c>
      <c r="T2490" s="0" t="n">
        <f aca="false">E2490*E2490</f>
        <v>0.0625</v>
      </c>
      <c r="U2490" s="0" t="n">
        <f aca="false">F2490*F2490</f>
        <v>0.0625</v>
      </c>
      <c r="V2490" s="0" t="n">
        <f aca="false">G2490*G2490</f>
        <v>0.25</v>
      </c>
      <c r="W2490" s="0" t="n">
        <f aca="false">H2490*H2490</f>
        <v>0.5625</v>
      </c>
      <c r="X2490" s="0" t="n">
        <f aca="false">SUMPRODUCT(I2490:W2490,_XtX!$B$96:$P$96)</f>
        <v>46.3501233552631</v>
      </c>
      <c r="Y2490" s="0" t="n">
        <f aca="false">SUMPRODUCT(MMULT(I2490:W2490,_XtX!$B$78:$P$92),I2490:W2490)</f>
        <v>0.207746539199561</v>
      </c>
      <c r="Z2490" s="0" t="n">
        <f aca="false">04_回帰ANOVA!$K$19*04_回帰ANOVA!$K$14*SQRT(1+Y2490)</f>
        <v>1.43247250081141</v>
      </c>
      <c r="AA2490" s="0" t="n">
        <f aca="false">X2490-Z2490</f>
        <v>44.9176508544517</v>
      </c>
      <c r="AB2490" s="0" t="n">
        <f aca="false">X2490+Z2490</f>
        <v>47.7825958560745</v>
      </c>
      <c r="AC2490" s="54" t="b">
        <f aca="false">AND(E2490&gt;=01_因子設定!$L$5-0.000000001,E2490&lt;=01_因子設定!$M$5+0.000000001,F2490&gt;=01_因子設定!$L$6-0.000000001,F2490&lt;=01_因子設定!$M$6+0.000000001,G2490&gt;=01_因子設定!$L$7-0.000000001,G2490&lt;=01_因子設定!$M$7+0.000000001,H2490&gt;=01_因子設定!$L$8-0.000000001,H2490&lt;=01_因子設定!$M$8+0.000000001,IF(01_因子設定!$B$20="Box-Behnken",E2490^2+F2490^2+G2490^2+H2490^2&lt;=2+0.000000001,TRUE()))</f>
        <v>1</v>
      </c>
      <c r="AD2490" s="55" t="n">
        <f aca="false">IF(AC2490,IF(01_因子設定!$B$13="最大化",AA2490-01_因子設定!$B$14,IF(01_因子設定!$B$13="最小化",01_因子設定!$B$15-AB2490,MIN(AA2490-01_因子設定!$B$14,01_因子設定!$B$15-AB2490))),-1E+030)</f>
        <v>-1.58234914554829</v>
      </c>
      <c r="AE2490" s="55" t="n">
        <f aca="false">IF(AC2490,IF(01_因子設定!$B$13="最大化",X2490,IF(01_因子設定!$B$13="最小化",-X2490,-ABS(X2490-01_因子設定!$B$16))),-1E+030)</f>
        <v>46.3501233552631</v>
      </c>
      <c r="AF2490" s="55" t="n">
        <f aca="false">AD2490+ROW()*0.000000001</f>
        <v>-1.58234665554829</v>
      </c>
      <c r="AG2490" s="55" t="n">
        <f aca="false">AE2490+ROW()*0.000000001</f>
        <v>46.3501258452631</v>
      </c>
    </row>
    <row r="2491" customFormat="false" ht="15" hidden="false" customHeight="false" outlineLevel="0" collapsed="false">
      <c r="A2491" s="0" t="n">
        <v>3</v>
      </c>
      <c r="B2491" s="0" t="n">
        <v>3</v>
      </c>
      <c r="C2491" s="0" t="n">
        <v>6</v>
      </c>
      <c r="D2491" s="0" t="n">
        <v>2</v>
      </c>
      <c r="E2491" s="0" t="n">
        <f aca="false">-1+A2491*0.25</f>
        <v>-0.25</v>
      </c>
      <c r="F2491" s="0" t="n">
        <f aca="false">-1+B2491*0.25</f>
        <v>-0.25</v>
      </c>
      <c r="G2491" s="0" t="n">
        <f aca="false">-1+C2491*0.25</f>
        <v>0.5</v>
      </c>
      <c r="H2491" s="0" t="n">
        <f aca="false">-1+D2491*0.25</f>
        <v>-0.5</v>
      </c>
      <c r="I2491" s="0" t="n">
        <f aca="false">1</f>
        <v>1</v>
      </c>
      <c r="J2491" s="0" t="n">
        <f aca="false">E2491</f>
        <v>-0.25</v>
      </c>
      <c r="K2491" s="0" t="n">
        <f aca="false">F2491</f>
        <v>-0.25</v>
      </c>
      <c r="L2491" s="0" t="n">
        <f aca="false">G2491</f>
        <v>0.5</v>
      </c>
      <c r="M2491" s="0" t="n">
        <f aca="false">H2491</f>
        <v>-0.5</v>
      </c>
      <c r="N2491" s="0" t="n">
        <f aca="false">E2491*F2491</f>
        <v>0.0625</v>
      </c>
      <c r="O2491" s="0" t="n">
        <f aca="false">E2491*G2491</f>
        <v>-0.125</v>
      </c>
      <c r="P2491" s="0" t="n">
        <f aca="false">E2491*H2491</f>
        <v>0.125</v>
      </c>
      <c r="Q2491" s="0" t="n">
        <f aca="false">F2491*G2491</f>
        <v>-0.125</v>
      </c>
      <c r="R2491" s="0" t="n">
        <f aca="false">F2491*H2491</f>
        <v>0.125</v>
      </c>
      <c r="S2491" s="0" t="n">
        <f aca="false">G2491*H2491</f>
        <v>-0.25</v>
      </c>
      <c r="T2491" s="0" t="n">
        <f aca="false">E2491*E2491</f>
        <v>0.0625</v>
      </c>
      <c r="U2491" s="0" t="n">
        <f aca="false">F2491*F2491</f>
        <v>0.0625</v>
      </c>
      <c r="V2491" s="0" t="n">
        <f aca="false">G2491*G2491</f>
        <v>0.25</v>
      </c>
      <c r="W2491" s="0" t="n">
        <f aca="false">H2491*H2491</f>
        <v>0.25</v>
      </c>
      <c r="X2491" s="0" t="n">
        <f aca="false">SUMPRODUCT(I2491:W2491,_XtX!$B$96:$P$96)</f>
        <v>46.6124360380116</v>
      </c>
      <c r="Y2491" s="0" t="n">
        <f aca="false">SUMPRODUCT(MMULT(I2491:W2491,_XtX!$B$78:$P$92),I2491:W2491)</f>
        <v>0.128236647934942</v>
      </c>
      <c r="Z2491" s="0" t="n">
        <f aca="false">04_回帰ANOVA!$K$19*04_回帰ANOVA!$K$14*SQRT(1+Y2491)</f>
        <v>1.38451764188989</v>
      </c>
      <c r="AA2491" s="0" t="n">
        <f aca="false">X2491-Z2491</f>
        <v>45.2279183961218</v>
      </c>
      <c r="AB2491" s="0" t="n">
        <f aca="false">X2491+Z2491</f>
        <v>47.9969536799015</v>
      </c>
      <c r="AC2491" s="54" t="b">
        <f aca="false">AND(E2491&gt;=01_因子設定!$L$5-0.000000001,E2491&lt;=01_因子設定!$M$5+0.000000001,F2491&gt;=01_因子設定!$L$6-0.000000001,F2491&lt;=01_因子設定!$M$6+0.000000001,G2491&gt;=01_因子設定!$L$7-0.000000001,G2491&lt;=01_因子設定!$M$7+0.000000001,H2491&gt;=01_因子設定!$L$8-0.000000001,H2491&lt;=01_因子設定!$M$8+0.000000001,IF(01_因子設定!$B$20="Box-Behnken",E2491^2+F2491^2+G2491^2+H2491^2&lt;=2+0.000000001,TRUE()))</f>
        <v>1</v>
      </c>
      <c r="AD2491" s="55" t="n">
        <f aca="false">IF(AC2491,IF(01_因子設定!$B$13="最大化",AA2491-01_因子設定!$B$14,IF(01_因子設定!$B$13="最小化",01_因子設定!$B$15-AB2491,MIN(AA2491-01_因子設定!$B$14,01_因子設定!$B$15-AB2491))),-1E+030)</f>
        <v>-1.27208160387824</v>
      </c>
      <c r="AE2491" s="55" t="n">
        <f aca="false">IF(AC2491,IF(01_因子設定!$B$13="最大化",X2491,IF(01_因子設定!$B$13="最小化",-X2491,-ABS(X2491-01_因子設定!$B$16))),-1E+030)</f>
        <v>46.6124360380116</v>
      </c>
      <c r="AF2491" s="55" t="n">
        <f aca="false">AD2491+ROW()*0.000000001</f>
        <v>-1.27207911287824</v>
      </c>
      <c r="AG2491" s="55" t="n">
        <f aca="false">AE2491+ROW()*0.000000001</f>
        <v>46.6124385290116</v>
      </c>
    </row>
    <row r="2492" customFormat="false" ht="15" hidden="false" customHeight="false" outlineLevel="0" collapsed="false">
      <c r="A2492" s="0" t="n">
        <v>3</v>
      </c>
      <c r="B2492" s="0" t="n">
        <v>3</v>
      </c>
      <c r="C2492" s="0" t="n">
        <v>6</v>
      </c>
      <c r="D2492" s="0" t="n">
        <v>3</v>
      </c>
      <c r="E2492" s="0" t="n">
        <f aca="false">-1+A2492*0.25</f>
        <v>-0.25</v>
      </c>
      <c r="F2492" s="0" t="n">
        <f aca="false">-1+B2492*0.25</f>
        <v>-0.25</v>
      </c>
      <c r="G2492" s="0" t="n">
        <f aca="false">-1+C2492*0.25</f>
        <v>0.5</v>
      </c>
      <c r="H2492" s="0" t="n">
        <f aca="false">-1+D2492*0.25</f>
        <v>-0.25</v>
      </c>
      <c r="I2492" s="0" t="n">
        <f aca="false">1</f>
        <v>1</v>
      </c>
      <c r="J2492" s="0" t="n">
        <f aca="false">E2492</f>
        <v>-0.25</v>
      </c>
      <c r="K2492" s="0" t="n">
        <f aca="false">F2492</f>
        <v>-0.25</v>
      </c>
      <c r="L2492" s="0" t="n">
        <f aca="false">G2492</f>
        <v>0.5</v>
      </c>
      <c r="M2492" s="0" t="n">
        <f aca="false">H2492</f>
        <v>-0.25</v>
      </c>
      <c r="N2492" s="0" t="n">
        <f aca="false">E2492*F2492</f>
        <v>0.0625</v>
      </c>
      <c r="O2492" s="0" t="n">
        <f aca="false">E2492*G2492</f>
        <v>-0.125</v>
      </c>
      <c r="P2492" s="0" t="n">
        <f aca="false">E2492*H2492</f>
        <v>0.0625</v>
      </c>
      <c r="Q2492" s="0" t="n">
        <f aca="false">F2492*G2492</f>
        <v>-0.125</v>
      </c>
      <c r="R2492" s="0" t="n">
        <f aca="false">F2492*H2492</f>
        <v>0.0625</v>
      </c>
      <c r="S2492" s="0" t="n">
        <f aca="false">G2492*H2492</f>
        <v>-0.125</v>
      </c>
      <c r="T2492" s="0" t="n">
        <f aca="false">E2492*E2492</f>
        <v>0.0625</v>
      </c>
      <c r="U2492" s="0" t="n">
        <f aca="false">F2492*F2492</f>
        <v>0.0625</v>
      </c>
      <c r="V2492" s="0" t="n">
        <f aca="false">G2492*G2492</f>
        <v>0.25</v>
      </c>
      <c r="W2492" s="0" t="n">
        <f aca="false">H2492*H2492</f>
        <v>0.0625</v>
      </c>
      <c r="X2492" s="0" t="n">
        <f aca="false">SUMPRODUCT(I2492:W2492,_XtX!$B$96:$P$96)</f>
        <v>46.8269417032163</v>
      </c>
      <c r="Y2492" s="0" t="n">
        <f aca="false">SUMPRODUCT(MMULT(I2492:W2492,_XtX!$B$78:$P$92),I2492:W2492)</f>
        <v>0.116714923702485</v>
      </c>
      <c r="Z2492" s="0" t="n">
        <f aca="false">04_回帰ANOVA!$K$19*04_回帰ANOVA!$K$14*SQRT(1+Y2492)</f>
        <v>1.37743004820023</v>
      </c>
      <c r="AA2492" s="0" t="n">
        <f aca="false">X2492-Z2492</f>
        <v>45.4495116550161</v>
      </c>
      <c r="AB2492" s="0" t="n">
        <f aca="false">X2492+Z2492</f>
        <v>48.2043717514165</v>
      </c>
      <c r="AC2492" s="54" t="b">
        <f aca="false">AND(E2492&gt;=01_因子設定!$L$5-0.000000001,E2492&lt;=01_因子設定!$M$5+0.000000001,F2492&gt;=01_因子設定!$L$6-0.000000001,F2492&lt;=01_因子設定!$M$6+0.000000001,G2492&gt;=01_因子設定!$L$7-0.000000001,G2492&lt;=01_因子設定!$M$7+0.000000001,H2492&gt;=01_因子設定!$L$8-0.000000001,H2492&lt;=01_因子設定!$M$8+0.000000001,IF(01_因子設定!$B$20="Box-Behnken",E2492^2+F2492^2+G2492^2+H2492^2&lt;=2+0.000000001,TRUE()))</f>
        <v>1</v>
      </c>
      <c r="AD2492" s="55" t="n">
        <f aca="false">IF(AC2492,IF(01_因子設定!$B$13="最大化",AA2492-01_因子設定!$B$14,IF(01_因子設定!$B$13="最小化",01_因子設定!$B$15-AB2492,MIN(AA2492-01_因子設定!$B$14,01_因子設定!$B$15-AB2492))),-1E+030)</f>
        <v>-1.0504883449839</v>
      </c>
      <c r="AE2492" s="55" t="n">
        <f aca="false">IF(AC2492,IF(01_因子設定!$B$13="最大化",X2492,IF(01_因子設定!$B$13="最小化",-X2492,-ABS(X2492-01_因子設定!$B$16))),-1E+030)</f>
        <v>46.8269417032163</v>
      </c>
      <c r="AF2492" s="55" t="n">
        <f aca="false">AD2492+ROW()*0.000000001</f>
        <v>-1.0504858529839</v>
      </c>
      <c r="AG2492" s="55" t="n">
        <f aca="false">AE2492+ROW()*0.000000001</f>
        <v>46.8269441952163</v>
      </c>
    </row>
    <row r="2493" customFormat="false" ht="15" hidden="false" customHeight="false" outlineLevel="0" collapsed="false">
      <c r="A2493" s="0" t="n">
        <v>3</v>
      </c>
      <c r="B2493" s="0" t="n">
        <v>3</v>
      </c>
      <c r="C2493" s="0" t="n">
        <v>6</v>
      </c>
      <c r="D2493" s="0" t="n">
        <v>4</v>
      </c>
      <c r="E2493" s="0" t="n">
        <f aca="false">-1+A2493*0.25</f>
        <v>-0.25</v>
      </c>
      <c r="F2493" s="0" t="n">
        <f aca="false">-1+B2493*0.25</f>
        <v>-0.25</v>
      </c>
      <c r="G2493" s="0" t="n">
        <f aca="false">-1+C2493*0.25</f>
        <v>0.5</v>
      </c>
      <c r="H2493" s="0" t="n">
        <f aca="false">-1+D2493*0.25</f>
        <v>0</v>
      </c>
      <c r="I2493" s="0" t="n">
        <f aca="false">1</f>
        <v>1</v>
      </c>
      <c r="J2493" s="0" t="n">
        <f aca="false">E2493</f>
        <v>-0.25</v>
      </c>
      <c r="K2493" s="0" t="n">
        <f aca="false">F2493</f>
        <v>-0.25</v>
      </c>
      <c r="L2493" s="0" t="n">
        <f aca="false">G2493</f>
        <v>0.5</v>
      </c>
      <c r="M2493" s="0" t="n">
        <f aca="false">H2493</f>
        <v>0</v>
      </c>
      <c r="N2493" s="0" t="n">
        <f aca="false">E2493*F2493</f>
        <v>0.0625</v>
      </c>
      <c r="O2493" s="0" t="n">
        <f aca="false">E2493*G2493</f>
        <v>-0.125</v>
      </c>
      <c r="P2493" s="0" t="n">
        <f aca="false">E2493*H2493</f>
        <v>-0</v>
      </c>
      <c r="Q2493" s="0" t="n">
        <f aca="false">F2493*G2493</f>
        <v>-0.125</v>
      </c>
      <c r="R2493" s="0" t="n">
        <f aca="false">F2493*H2493</f>
        <v>-0</v>
      </c>
      <c r="S2493" s="0" t="n">
        <f aca="false">G2493*H2493</f>
        <v>0</v>
      </c>
      <c r="T2493" s="0" t="n">
        <f aca="false">E2493*E2493</f>
        <v>0.0625</v>
      </c>
      <c r="U2493" s="0" t="n">
        <f aca="false">F2493*F2493</f>
        <v>0.0625</v>
      </c>
      <c r="V2493" s="0" t="n">
        <f aca="false">G2493*G2493</f>
        <v>0.25</v>
      </c>
      <c r="W2493" s="0" t="n">
        <f aca="false">H2493*H2493</f>
        <v>0</v>
      </c>
      <c r="X2493" s="0" t="n">
        <f aca="false">SUMPRODUCT(I2493:W2493,_XtX!$B$96:$P$96)</f>
        <v>46.9936403508771</v>
      </c>
      <c r="Y2493" s="0" t="n">
        <f aca="false">SUMPRODUCT(MMULT(I2493:W2493,_XtX!$B$78:$P$92),I2493:W2493)</f>
        <v>0.118905050712719</v>
      </c>
      <c r="Z2493" s="0" t="n">
        <f aca="false">04_回帰ANOVA!$K$19*04_回帰ANOVA!$K$14*SQRT(1+Y2493)</f>
        <v>1.37878011033769</v>
      </c>
      <c r="AA2493" s="0" t="n">
        <f aca="false">X2493-Z2493</f>
        <v>45.6148602405395</v>
      </c>
      <c r="AB2493" s="0" t="n">
        <f aca="false">X2493+Z2493</f>
        <v>48.3724204612148</v>
      </c>
      <c r="AC2493" s="54" t="b">
        <f aca="false">AND(E2493&gt;=01_因子設定!$L$5-0.000000001,E2493&lt;=01_因子設定!$M$5+0.000000001,F2493&gt;=01_因子設定!$L$6-0.000000001,F2493&lt;=01_因子設定!$M$6+0.000000001,G2493&gt;=01_因子設定!$L$7-0.000000001,G2493&lt;=01_因子設定!$M$7+0.000000001,H2493&gt;=01_因子設定!$L$8-0.000000001,H2493&lt;=01_因子設定!$M$8+0.000000001,IF(01_因子設定!$B$20="Box-Behnken",E2493^2+F2493^2+G2493^2+H2493^2&lt;=2+0.000000001,TRUE()))</f>
        <v>1</v>
      </c>
      <c r="AD2493" s="55" t="n">
        <f aca="false">IF(AC2493,IF(01_因子設定!$B$13="最大化",AA2493-01_因子設定!$B$14,IF(01_因子設定!$B$13="最小化",01_因子設定!$B$15-AB2493,MIN(AA2493-01_因子設定!$B$14,01_因子設定!$B$15-AB2493))),-1E+030)</f>
        <v>-0.88513975946055</v>
      </c>
      <c r="AE2493" s="55" t="n">
        <f aca="false">IF(AC2493,IF(01_因子設定!$B$13="最大化",X2493,IF(01_因子設定!$B$13="最小化",-X2493,-ABS(X2493-01_因子設定!$B$16))),-1E+030)</f>
        <v>46.9936403508771</v>
      </c>
      <c r="AF2493" s="55" t="n">
        <f aca="false">AD2493+ROW()*0.000000001</f>
        <v>-0.88513726646055</v>
      </c>
      <c r="AG2493" s="55" t="n">
        <f aca="false">AE2493+ROW()*0.000000001</f>
        <v>46.9936428438771</v>
      </c>
    </row>
    <row r="2494" customFormat="false" ht="15" hidden="false" customHeight="false" outlineLevel="0" collapsed="false">
      <c r="A2494" s="0" t="n">
        <v>3</v>
      </c>
      <c r="B2494" s="0" t="n">
        <v>3</v>
      </c>
      <c r="C2494" s="0" t="n">
        <v>6</v>
      </c>
      <c r="D2494" s="0" t="n">
        <v>5</v>
      </c>
      <c r="E2494" s="0" t="n">
        <f aca="false">-1+A2494*0.25</f>
        <v>-0.25</v>
      </c>
      <c r="F2494" s="0" t="n">
        <f aca="false">-1+B2494*0.25</f>
        <v>-0.25</v>
      </c>
      <c r="G2494" s="0" t="n">
        <f aca="false">-1+C2494*0.25</f>
        <v>0.5</v>
      </c>
      <c r="H2494" s="0" t="n">
        <f aca="false">-1+D2494*0.25</f>
        <v>0.25</v>
      </c>
      <c r="I2494" s="0" t="n">
        <f aca="false">1</f>
        <v>1</v>
      </c>
      <c r="J2494" s="0" t="n">
        <f aca="false">E2494</f>
        <v>-0.25</v>
      </c>
      <c r="K2494" s="0" t="n">
        <f aca="false">F2494</f>
        <v>-0.25</v>
      </c>
      <c r="L2494" s="0" t="n">
        <f aca="false">G2494</f>
        <v>0.5</v>
      </c>
      <c r="M2494" s="0" t="n">
        <f aca="false">H2494</f>
        <v>0.25</v>
      </c>
      <c r="N2494" s="0" t="n">
        <f aca="false">E2494*F2494</f>
        <v>0.0625</v>
      </c>
      <c r="O2494" s="0" t="n">
        <f aca="false">E2494*G2494</f>
        <v>-0.125</v>
      </c>
      <c r="P2494" s="0" t="n">
        <f aca="false">E2494*H2494</f>
        <v>-0.0625</v>
      </c>
      <c r="Q2494" s="0" t="n">
        <f aca="false">F2494*G2494</f>
        <v>-0.125</v>
      </c>
      <c r="R2494" s="0" t="n">
        <f aca="false">F2494*H2494</f>
        <v>-0.0625</v>
      </c>
      <c r="S2494" s="0" t="n">
        <f aca="false">G2494*H2494</f>
        <v>0.125</v>
      </c>
      <c r="T2494" s="0" t="n">
        <f aca="false">E2494*E2494</f>
        <v>0.0625</v>
      </c>
      <c r="U2494" s="0" t="n">
        <f aca="false">F2494*F2494</f>
        <v>0.0625</v>
      </c>
      <c r="V2494" s="0" t="n">
        <f aca="false">G2494*G2494</f>
        <v>0.25</v>
      </c>
      <c r="W2494" s="0" t="n">
        <f aca="false">H2494*H2494</f>
        <v>0.0625</v>
      </c>
      <c r="X2494" s="0" t="n">
        <f aca="false">SUMPRODUCT(I2494:W2494,_XtX!$B$96:$P$96)</f>
        <v>47.1125319809941</v>
      </c>
      <c r="Y2494" s="0" t="n">
        <f aca="false">SUMPRODUCT(MMULT(I2494:W2494,_XtX!$B$78:$P$92),I2494:W2494)</f>
        <v>0.116714923702485</v>
      </c>
      <c r="Z2494" s="0" t="n">
        <f aca="false">04_回帰ANOVA!$K$19*04_回帰ANOVA!$K$14*SQRT(1+Y2494)</f>
        <v>1.37743004820023</v>
      </c>
      <c r="AA2494" s="0" t="n">
        <f aca="false">X2494-Z2494</f>
        <v>45.7351019327939</v>
      </c>
      <c r="AB2494" s="0" t="n">
        <f aca="false">X2494+Z2494</f>
        <v>48.4899620291943</v>
      </c>
      <c r="AC2494" s="54" t="b">
        <f aca="false">AND(E2494&gt;=01_因子設定!$L$5-0.000000001,E2494&lt;=01_因子設定!$M$5+0.000000001,F2494&gt;=01_因子設定!$L$6-0.000000001,F2494&lt;=01_因子設定!$M$6+0.000000001,G2494&gt;=01_因子設定!$L$7-0.000000001,G2494&lt;=01_因子設定!$M$7+0.000000001,H2494&gt;=01_因子設定!$L$8-0.000000001,H2494&lt;=01_因子設定!$M$8+0.000000001,IF(01_因子設定!$B$20="Box-Behnken",E2494^2+F2494^2+G2494^2+H2494^2&lt;=2+0.000000001,TRUE()))</f>
        <v>1</v>
      </c>
      <c r="AD2494" s="55" t="n">
        <f aca="false">IF(AC2494,IF(01_因子設定!$B$13="最大化",AA2494-01_因子設定!$B$14,IF(01_因子設定!$B$13="最小化",01_因子設定!$B$15-AB2494,MIN(AA2494-01_因子設定!$B$14,01_因子設定!$B$15-AB2494))),-1E+030)</f>
        <v>-0.764898067206133</v>
      </c>
      <c r="AE2494" s="55" t="n">
        <f aca="false">IF(AC2494,IF(01_因子設定!$B$13="最大化",X2494,IF(01_因子設定!$B$13="最小化",-X2494,-ABS(X2494-01_因子設定!$B$16))),-1E+030)</f>
        <v>47.1125319809941</v>
      </c>
      <c r="AF2494" s="55" t="n">
        <f aca="false">AD2494+ROW()*0.000000001</f>
        <v>-0.764895573206133</v>
      </c>
      <c r="AG2494" s="55" t="n">
        <f aca="false">AE2494+ROW()*0.000000001</f>
        <v>47.1125344749941</v>
      </c>
    </row>
    <row r="2495" customFormat="false" ht="15" hidden="false" customHeight="false" outlineLevel="0" collapsed="false">
      <c r="A2495" s="0" t="n">
        <v>3</v>
      </c>
      <c r="B2495" s="0" t="n">
        <v>3</v>
      </c>
      <c r="C2495" s="0" t="n">
        <v>6</v>
      </c>
      <c r="D2495" s="0" t="n">
        <v>6</v>
      </c>
      <c r="E2495" s="0" t="n">
        <f aca="false">-1+A2495*0.25</f>
        <v>-0.25</v>
      </c>
      <c r="F2495" s="0" t="n">
        <f aca="false">-1+B2495*0.25</f>
        <v>-0.25</v>
      </c>
      <c r="G2495" s="0" t="n">
        <f aca="false">-1+C2495*0.25</f>
        <v>0.5</v>
      </c>
      <c r="H2495" s="0" t="n">
        <f aca="false">-1+D2495*0.25</f>
        <v>0.5</v>
      </c>
      <c r="I2495" s="0" t="n">
        <f aca="false">1</f>
        <v>1</v>
      </c>
      <c r="J2495" s="0" t="n">
        <f aca="false">E2495</f>
        <v>-0.25</v>
      </c>
      <c r="K2495" s="0" t="n">
        <f aca="false">F2495</f>
        <v>-0.25</v>
      </c>
      <c r="L2495" s="0" t="n">
        <f aca="false">G2495</f>
        <v>0.5</v>
      </c>
      <c r="M2495" s="0" t="n">
        <f aca="false">H2495</f>
        <v>0.5</v>
      </c>
      <c r="N2495" s="0" t="n">
        <f aca="false">E2495*F2495</f>
        <v>0.0625</v>
      </c>
      <c r="O2495" s="0" t="n">
        <f aca="false">E2495*G2495</f>
        <v>-0.125</v>
      </c>
      <c r="P2495" s="0" t="n">
        <f aca="false">E2495*H2495</f>
        <v>-0.125</v>
      </c>
      <c r="Q2495" s="0" t="n">
        <f aca="false">F2495*G2495</f>
        <v>-0.125</v>
      </c>
      <c r="R2495" s="0" t="n">
        <f aca="false">F2495*H2495</f>
        <v>-0.125</v>
      </c>
      <c r="S2495" s="0" t="n">
        <f aca="false">G2495*H2495</f>
        <v>0.25</v>
      </c>
      <c r="T2495" s="0" t="n">
        <f aca="false">E2495*E2495</f>
        <v>0.0625</v>
      </c>
      <c r="U2495" s="0" t="n">
        <f aca="false">F2495*F2495</f>
        <v>0.0625</v>
      </c>
      <c r="V2495" s="0" t="n">
        <f aca="false">G2495*G2495</f>
        <v>0.25</v>
      </c>
      <c r="W2495" s="0" t="n">
        <f aca="false">H2495*H2495</f>
        <v>0.25</v>
      </c>
      <c r="X2495" s="0" t="n">
        <f aca="false">SUMPRODUCT(I2495:W2495,_XtX!$B$96:$P$96)</f>
        <v>47.1836165935672</v>
      </c>
      <c r="Y2495" s="0" t="n">
        <f aca="false">SUMPRODUCT(MMULT(I2495:W2495,_XtX!$B$78:$P$92),I2495:W2495)</f>
        <v>0.128236647934942</v>
      </c>
      <c r="Z2495" s="0" t="n">
        <f aca="false">04_回帰ANOVA!$K$19*04_回帰ANOVA!$K$14*SQRT(1+Y2495)</f>
        <v>1.38451764188989</v>
      </c>
      <c r="AA2495" s="0" t="n">
        <f aca="false">X2495-Z2495</f>
        <v>45.7990989516773</v>
      </c>
      <c r="AB2495" s="0" t="n">
        <f aca="false">X2495+Z2495</f>
        <v>48.5681342354571</v>
      </c>
      <c r="AC2495" s="54" t="b">
        <f aca="false">AND(E2495&gt;=01_因子設定!$L$5-0.000000001,E2495&lt;=01_因子設定!$M$5+0.000000001,F2495&gt;=01_因子設定!$L$6-0.000000001,F2495&lt;=01_因子設定!$M$6+0.000000001,G2495&gt;=01_因子設定!$L$7-0.000000001,G2495&lt;=01_因子設定!$M$7+0.000000001,H2495&gt;=01_因子設定!$L$8-0.000000001,H2495&lt;=01_因子設定!$M$8+0.000000001,IF(01_因子設定!$B$20="Box-Behnken",E2495^2+F2495^2+G2495^2+H2495^2&lt;=2+0.000000001,TRUE()))</f>
        <v>1</v>
      </c>
      <c r="AD2495" s="55" t="n">
        <f aca="false">IF(AC2495,IF(01_因子設定!$B$13="最大化",AA2495-01_因子設定!$B$14,IF(01_因子設定!$B$13="最小化",01_因子設定!$B$15-AB2495,MIN(AA2495-01_因子設定!$B$14,01_因子設定!$B$15-AB2495))),-1E+030)</f>
        <v>-0.700901048322685</v>
      </c>
      <c r="AE2495" s="55" t="n">
        <f aca="false">IF(AC2495,IF(01_因子設定!$B$13="最大化",X2495,IF(01_因子設定!$B$13="最小化",-X2495,-ABS(X2495-01_因子設定!$B$16))),-1E+030)</f>
        <v>47.1836165935672</v>
      </c>
      <c r="AF2495" s="55" t="n">
        <f aca="false">AD2495+ROW()*0.000000001</f>
        <v>-0.700898553322685</v>
      </c>
      <c r="AG2495" s="55" t="n">
        <f aca="false">AE2495+ROW()*0.000000001</f>
        <v>47.1836190885672</v>
      </c>
    </row>
    <row r="2496" customFormat="false" ht="15" hidden="false" customHeight="false" outlineLevel="0" collapsed="false">
      <c r="A2496" s="0" t="n">
        <v>3</v>
      </c>
      <c r="B2496" s="0" t="n">
        <v>3</v>
      </c>
      <c r="C2496" s="0" t="n">
        <v>6</v>
      </c>
      <c r="D2496" s="0" t="n">
        <v>7</v>
      </c>
      <c r="E2496" s="0" t="n">
        <f aca="false">-1+A2496*0.25</f>
        <v>-0.25</v>
      </c>
      <c r="F2496" s="0" t="n">
        <f aca="false">-1+B2496*0.25</f>
        <v>-0.25</v>
      </c>
      <c r="G2496" s="0" t="n">
        <f aca="false">-1+C2496*0.25</f>
        <v>0.5</v>
      </c>
      <c r="H2496" s="0" t="n">
        <f aca="false">-1+D2496*0.25</f>
        <v>0.75</v>
      </c>
      <c r="I2496" s="0" t="n">
        <f aca="false">1</f>
        <v>1</v>
      </c>
      <c r="J2496" s="0" t="n">
        <f aca="false">E2496</f>
        <v>-0.25</v>
      </c>
      <c r="K2496" s="0" t="n">
        <f aca="false">F2496</f>
        <v>-0.25</v>
      </c>
      <c r="L2496" s="0" t="n">
        <f aca="false">G2496</f>
        <v>0.5</v>
      </c>
      <c r="M2496" s="0" t="n">
        <f aca="false">H2496</f>
        <v>0.75</v>
      </c>
      <c r="N2496" s="0" t="n">
        <f aca="false">E2496*F2496</f>
        <v>0.0625</v>
      </c>
      <c r="O2496" s="0" t="n">
        <f aca="false">E2496*G2496</f>
        <v>-0.125</v>
      </c>
      <c r="P2496" s="0" t="n">
        <f aca="false">E2496*H2496</f>
        <v>-0.1875</v>
      </c>
      <c r="Q2496" s="0" t="n">
        <f aca="false">F2496*G2496</f>
        <v>-0.125</v>
      </c>
      <c r="R2496" s="0" t="n">
        <f aca="false">F2496*H2496</f>
        <v>-0.1875</v>
      </c>
      <c r="S2496" s="0" t="n">
        <f aca="false">G2496*H2496</f>
        <v>0.375</v>
      </c>
      <c r="T2496" s="0" t="n">
        <f aca="false">E2496*E2496</f>
        <v>0.0625</v>
      </c>
      <c r="U2496" s="0" t="n">
        <f aca="false">F2496*F2496</f>
        <v>0.0625</v>
      </c>
      <c r="V2496" s="0" t="n">
        <f aca="false">G2496*G2496</f>
        <v>0.25</v>
      </c>
      <c r="W2496" s="0" t="n">
        <f aca="false">H2496*H2496</f>
        <v>0.5625</v>
      </c>
      <c r="X2496" s="0" t="n">
        <f aca="false">SUMPRODUCT(I2496:W2496,_XtX!$B$96:$P$96)</f>
        <v>47.2068941885965</v>
      </c>
      <c r="Y2496" s="0" t="n">
        <f aca="false">SUMPRODUCT(MMULT(I2496:W2496,_XtX!$B$78:$P$92),I2496:W2496)</f>
        <v>0.207746539199561</v>
      </c>
      <c r="Z2496" s="0" t="n">
        <f aca="false">04_回帰ANOVA!$K$19*04_回帰ANOVA!$K$14*SQRT(1+Y2496)</f>
        <v>1.43247250081141</v>
      </c>
      <c r="AA2496" s="0" t="n">
        <f aca="false">X2496-Z2496</f>
        <v>45.774421687785</v>
      </c>
      <c r="AB2496" s="0" t="n">
        <f aca="false">X2496+Z2496</f>
        <v>48.6393666894079</v>
      </c>
      <c r="AC2496" s="54" t="b">
        <f aca="false">AND(E2496&gt;=01_因子設定!$L$5-0.000000001,E2496&lt;=01_因子設定!$M$5+0.000000001,F2496&gt;=01_因子設定!$L$6-0.000000001,F2496&lt;=01_因子設定!$M$6+0.000000001,G2496&gt;=01_因子設定!$L$7-0.000000001,G2496&lt;=01_因子設定!$M$7+0.000000001,H2496&gt;=01_因子設定!$L$8-0.000000001,H2496&lt;=01_因子設定!$M$8+0.000000001,IF(01_因子設定!$B$20="Box-Behnken",E2496^2+F2496^2+G2496^2+H2496^2&lt;=2+0.000000001,TRUE()))</f>
        <v>1</v>
      </c>
      <c r="AD2496" s="55" t="n">
        <f aca="false">IF(AC2496,IF(01_因子設定!$B$13="最大化",AA2496-01_因子設定!$B$14,IF(01_因子設定!$B$13="最小化",01_因子設定!$B$15-AB2496,MIN(AA2496-01_因子設定!$B$14,01_因子設定!$B$15-AB2496))),-1E+030)</f>
        <v>-0.725578312214957</v>
      </c>
      <c r="AE2496" s="55" t="n">
        <f aca="false">IF(AC2496,IF(01_因子設定!$B$13="最大化",X2496,IF(01_因子設定!$B$13="最小化",-X2496,-ABS(X2496-01_因子設定!$B$16))),-1E+030)</f>
        <v>47.2068941885965</v>
      </c>
      <c r="AF2496" s="55" t="n">
        <f aca="false">AD2496+ROW()*0.000000001</f>
        <v>-0.725575816214957</v>
      </c>
      <c r="AG2496" s="55" t="n">
        <f aca="false">AE2496+ROW()*0.000000001</f>
        <v>47.2068966845965</v>
      </c>
    </row>
    <row r="2497" customFormat="false" ht="15" hidden="false" customHeight="false" outlineLevel="0" collapsed="false">
      <c r="A2497" s="0" t="n">
        <v>3</v>
      </c>
      <c r="B2497" s="0" t="n">
        <v>3</v>
      </c>
      <c r="C2497" s="0" t="n">
        <v>6</v>
      </c>
      <c r="D2497" s="0" t="n">
        <v>8</v>
      </c>
      <c r="E2497" s="0" t="n">
        <f aca="false">-1+A2497*0.25</f>
        <v>-0.25</v>
      </c>
      <c r="F2497" s="0" t="n">
        <f aca="false">-1+B2497*0.25</f>
        <v>-0.25</v>
      </c>
      <c r="G2497" s="0" t="n">
        <f aca="false">-1+C2497*0.25</f>
        <v>0.5</v>
      </c>
      <c r="H2497" s="0" t="n">
        <f aca="false">-1+D2497*0.25</f>
        <v>1</v>
      </c>
      <c r="I2497" s="0" t="n">
        <f aca="false">1</f>
        <v>1</v>
      </c>
      <c r="J2497" s="0" t="n">
        <f aca="false">E2497</f>
        <v>-0.25</v>
      </c>
      <c r="K2497" s="0" t="n">
        <f aca="false">F2497</f>
        <v>-0.25</v>
      </c>
      <c r="L2497" s="0" t="n">
        <f aca="false">G2497</f>
        <v>0.5</v>
      </c>
      <c r="M2497" s="0" t="n">
        <f aca="false">H2497</f>
        <v>1</v>
      </c>
      <c r="N2497" s="0" t="n">
        <f aca="false">E2497*F2497</f>
        <v>0.0625</v>
      </c>
      <c r="O2497" s="0" t="n">
        <f aca="false">E2497*G2497</f>
        <v>-0.125</v>
      </c>
      <c r="P2497" s="0" t="n">
        <f aca="false">E2497*H2497</f>
        <v>-0.25</v>
      </c>
      <c r="Q2497" s="0" t="n">
        <f aca="false">F2497*G2497</f>
        <v>-0.125</v>
      </c>
      <c r="R2497" s="0" t="n">
        <f aca="false">F2497*H2497</f>
        <v>-0.25</v>
      </c>
      <c r="S2497" s="0" t="n">
        <f aca="false">G2497*H2497</f>
        <v>0.5</v>
      </c>
      <c r="T2497" s="0" t="n">
        <f aca="false">E2497*E2497</f>
        <v>0.0625</v>
      </c>
      <c r="U2497" s="0" t="n">
        <f aca="false">F2497*F2497</f>
        <v>0.0625</v>
      </c>
      <c r="V2497" s="0" t="n">
        <f aca="false">G2497*G2497</f>
        <v>0.25</v>
      </c>
      <c r="W2497" s="0" t="n">
        <f aca="false">H2497*H2497</f>
        <v>1</v>
      </c>
      <c r="X2497" s="0" t="n">
        <f aca="false">SUMPRODUCT(I2497:W2497,_XtX!$B$96:$P$96)</f>
        <v>47.1823647660819</v>
      </c>
      <c r="Y2497" s="0" t="n">
        <f aca="false">SUMPRODUCT(MMULT(I2497:W2497,_XtX!$B$78:$P$92),I2497:W2497)</f>
        <v>0.445705123812135</v>
      </c>
      <c r="Z2497" s="0" t="n">
        <f aca="false">04_回帰ANOVA!$K$19*04_回帰ANOVA!$K$14*SQRT(1+Y2497)</f>
        <v>1.56724990734749</v>
      </c>
      <c r="AA2497" s="0" t="n">
        <f aca="false">X2497-Z2497</f>
        <v>45.6151148587344</v>
      </c>
      <c r="AB2497" s="0" t="n">
        <f aca="false">X2497+Z2497</f>
        <v>48.7496146734293</v>
      </c>
      <c r="AC2497" s="54" t="b">
        <f aca="false">AND(E2497&gt;=01_因子設定!$L$5-0.000000001,E2497&lt;=01_因子設定!$M$5+0.000000001,F2497&gt;=01_因子設定!$L$6-0.000000001,F2497&lt;=01_因子設定!$M$6+0.000000001,G2497&gt;=01_因子設定!$L$7-0.000000001,G2497&lt;=01_因子設定!$M$7+0.000000001,H2497&gt;=01_因子設定!$L$8-0.000000001,H2497&lt;=01_因子設定!$M$8+0.000000001,IF(01_因子設定!$B$20="Box-Behnken",E2497^2+F2497^2+G2497^2+H2497^2&lt;=2+0.000000001,TRUE()))</f>
        <v>1</v>
      </c>
      <c r="AD2497" s="55" t="n">
        <f aca="false">IF(AC2497,IF(01_因子設定!$B$13="最大化",AA2497-01_因子設定!$B$14,IF(01_因子設定!$B$13="最小化",01_因子設定!$B$15-AB2497,MIN(AA2497-01_因子設定!$B$14,01_因子設定!$B$15-AB2497))),-1E+030)</f>
        <v>-0.884885141265642</v>
      </c>
      <c r="AE2497" s="55" t="n">
        <f aca="false">IF(AC2497,IF(01_因子設定!$B$13="最大化",X2497,IF(01_因子設定!$B$13="最小化",-X2497,-ABS(X2497-01_因子設定!$B$16))),-1E+030)</f>
        <v>47.1823647660819</v>
      </c>
      <c r="AF2497" s="55" t="n">
        <f aca="false">AD2497+ROW()*0.000000001</f>
        <v>-0.884882644265642</v>
      </c>
      <c r="AG2497" s="55" t="n">
        <f aca="false">AE2497+ROW()*0.000000001</f>
        <v>47.1823672630818</v>
      </c>
    </row>
    <row r="2498" customFormat="false" ht="15" hidden="false" customHeight="false" outlineLevel="0" collapsed="false">
      <c r="A2498" s="0" t="n">
        <v>3</v>
      </c>
      <c r="B2498" s="0" t="n">
        <v>3</v>
      </c>
      <c r="C2498" s="0" t="n">
        <v>7</v>
      </c>
      <c r="D2498" s="0" t="n">
        <v>0</v>
      </c>
      <c r="E2498" s="0" t="n">
        <f aca="false">-1+A2498*0.25</f>
        <v>-0.25</v>
      </c>
      <c r="F2498" s="0" t="n">
        <f aca="false">-1+B2498*0.25</f>
        <v>-0.25</v>
      </c>
      <c r="G2498" s="0" t="n">
        <f aca="false">-1+C2498*0.25</f>
        <v>0.75</v>
      </c>
      <c r="H2498" s="0" t="n">
        <f aca="false">-1+D2498*0.25</f>
        <v>-1</v>
      </c>
      <c r="I2498" s="0" t="n">
        <f aca="false">1</f>
        <v>1</v>
      </c>
      <c r="J2498" s="0" t="n">
        <f aca="false">E2498</f>
        <v>-0.25</v>
      </c>
      <c r="K2498" s="0" t="n">
        <f aca="false">F2498</f>
        <v>-0.25</v>
      </c>
      <c r="L2498" s="0" t="n">
        <f aca="false">G2498</f>
        <v>0.75</v>
      </c>
      <c r="M2498" s="0" t="n">
        <f aca="false">H2498</f>
        <v>-1</v>
      </c>
      <c r="N2498" s="0" t="n">
        <f aca="false">E2498*F2498</f>
        <v>0.0625</v>
      </c>
      <c r="O2498" s="0" t="n">
        <f aca="false">E2498*G2498</f>
        <v>-0.1875</v>
      </c>
      <c r="P2498" s="0" t="n">
        <f aca="false">E2498*H2498</f>
        <v>0.25</v>
      </c>
      <c r="Q2498" s="0" t="n">
        <f aca="false">F2498*G2498</f>
        <v>-0.1875</v>
      </c>
      <c r="R2498" s="0" t="n">
        <f aca="false">F2498*H2498</f>
        <v>0.25</v>
      </c>
      <c r="S2498" s="0" t="n">
        <f aca="false">G2498*H2498</f>
        <v>-0.75</v>
      </c>
      <c r="T2498" s="0" t="n">
        <f aca="false">E2498*E2498</f>
        <v>0.0625</v>
      </c>
      <c r="U2498" s="0" t="n">
        <f aca="false">F2498*F2498</f>
        <v>0.0625</v>
      </c>
      <c r="V2498" s="0" t="n">
        <f aca="false">G2498*G2498</f>
        <v>0.5625</v>
      </c>
      <c r="W2498" s="0" t="n">
        <f aca="false">H2498*H2498</f>
        <v>1</v>
      </c>
      <c r="X2498" s="0" t="n">
        <f aca="false">SUMPRODUCT(I2498:W2498,_XtX!$B$96:$P$96)</f>
        <v>46.0217881944444</v>
      </c>
      <c r="Y2498" s="0" t="n">
        <f aca="false">SUMPRODUCT(MMULT(I2498:W2498,_XtX!$B$78:$P$92),I2498:W2498)</f>
        <v>0.486409505208334</v>
      </c>
      <c r="Z2498" s="0" t="n">
        <f aca="false">04_回帰ANOVA!$K$19*04_回帰ANOVA!$K$14*SQRT(1+Y2498)</f>
        <v>1.58916001665498</v>
      </c>
      <c r="AA2498" s="0" t="n">
        <f aca="false">X2498-Z2498</f>
        <v>44.4326281777895</v>
      </c>
      <c r="AB2498" s="0" t="n">
        <f aca="false">X2498+Z2498</f>
        <v>47.6109482110994</v>
      </c>
      <c r="AC2498" s="54" t="b">
        <f aca="false">AND(E2498&gt;=01_因子設定!$L$5-0.000000001,E2498&lt;=01_因子設定!$M$5+0.000000001,F2498&gt;=01_因子設定!$L$6-0.000000001,F2498&lt;=01_因子設定!$M$6+0.000000001,G2498&gt;=01_因子設定!$L$7-0.000000001,G2498&lt;=01_因子設定!$M$7+0.000000001,H2498&gt;=01_因子設定!$L$8-0.000000001,H2498&lt;=01_因子設定!$M$8+0.000000001,IF(01_因子設定!$B$20="Box-Behnken",E2498^2+F2498^2+G2498^2+H2498^2&lt;=2+0.000000001,TRUE()))</f>
        <v>1</v>
      </c>
      <c r="AD2498" s="55" t="n">
        <f aca="false">IF(AC2498,IF(01_因子設定!$B$13="最大化",AA2498-01_因子設定!$B$14,IF(01_因子設定!$B$13="最小化",01_因子設定!$B$15-AB2498,MIN(AA2498-01_因子設定!$B$14,01_因子設定!$B$15-AB2498))),-1E+030)</f>
        <v>-2.06737182221055</v>
      </c>
      <c r="AE2498" s="55" t="n">
        <f aca="false">IF(AC2498,IF(01_因子設定!$B$13="最大化",X2498,IF(01_因子設定!$B$13="最小化",-X2498,-ABS(X2498-01_因子設定!$B$16))),-1E+030)</f>
        <v>46.0217881944444</v>
      </c>
      <c r="AF2498" s="55" t="n">
        <f aca="false">AD2498+ROW()*0.000000001</f>
        <v>-2.06736932421055</v>
      </c>
      <c r="AG2498" s="55" t="n">
        <f aca="false">AE2498+ROW()*0.000000001</f>
        <v>46.0217906924444</v>
      </c>
    </row>
    <row r="2499" customFormat="false" ht="15" hidden="false" customHeight="false" outlineLevel="0" collapsed="false">
      <c r="A2499" s="0" t="n">
        <v>3</v>
      </c>
      <c r="B2499" s="0" t="n">
        <v>3</v>
      </c>
      <c r="C2499" s="0" t="n">
        <v>7</v>
      </c>
      <c r="D2499" s="0" t="n">
        <v>1</v>
      </c>
      <c r="E2499" s="0" t="n">
        <f aca="false">-1+A2499*0.25</f>
        <v>-0.25</v>
      </c>
      <c r="F2499" s="0" t="n">
        <f aca="false">-1+B2499*0.25</f>
        <v>-0.25</v>
      </c>
      <c r="G2499" s="0" t="n">
        <f aca="false">-1+C2499*0.25</f>
        <v>0.75</v>
      </c>
      <c r="H2499" s="0" t="n">
        <f aca="false">-1+D2499*0.25</f>
        <v>-0.75</v>
      </c>
      <c r="I2499" s="0" t="n">
        <f aca="false">1</f>
        <v>1</v>
      </c>
      <c r="J2499" s="0" t="n">
        <f aca="false">E2499</f>
        <v>-0.25</v>
      </c>
      <c r="K2499" s="0" t="n">
        <f aca="false">F2499</f>
        <v>-0.25</v>
      </c>
      <c r="L2499" s="0" t="n">
        <f aca="false">G2499</f>
        <v>0.75</v>
      </c>
      <c r="M2499" s="0" t="n">
        <f aca="false">H2499</f>
        <v>-0.75</v>
      </c>
      <c r="N2499" s="0" t="n">
        <f aca="false">E2499*F2499</f>
        <v>0.0625</v>
      </c>
      <c r="O2499" s="0" t="n">
        <f aca="false">E2499*G2499</f>
        <v>-0.1875</v>
      </c>
      <c r="P2499" s="0" t="n">
        <f aca="false">E2499*H2499</f>
        <v>0.1875</v>
      </c>
      <c r="Q2499" s="0" t="n">
        <f aca="false">F2499*G2499</f>
        <v>-0.1875</v>
      </c>
      <c r="R2499" s="0" t="n">
        <f aca="false">F2499*H2499</f>
        <v>0.1875</v>
      </c>
      <c r="S2499" s="0" t="n">
        <f aca="false">G2499*H2499</f>
        <v>-0.5625</v>
      </c>
      <c r="T2499" s="0" t="n">
        <f aca="false">E2499*E2499</f>
        <v>0.0625</v>
      </c>
      <c r="U2499" s="0" t="n">
        <f aca="false">F2499*F2499</f>
        <v>0.0625</v>
      </c>
      <c r="V2499" s="0" t="n">
        <f aca="false">G2499*G2499</f>
        <v>0.5625</v>
      </c>
      <c r="W2499" s="0" t="n">
        <f aca="false">H2499*H2499</f>
        <v>0.5625</v>
      </c>
      <c r="X2499" s="0" t="n">
        <f aca="false">SUMPRODUCT(I2499:W2499,_XtX!$B$96:$P$96)</f>
        <v>46.3498766447368</v>
      </c>
      <c r="Y2499" s="0" t="n">
        <f aca="false">SUMPRODUCT(MMULT(I2499:W2499,_XtX!$B$78:$P$92),I2499:W2499)</f>
        <v>0.271087468019006</v>
      </c>
      <c r="Z2499" s="0" t="n">
        <f aca="false">04_回帰ANOVA!$K$19*04_回帰ANOVA!$K$14*SQRT(1+Y2499)</f>
        <v>1.46955590155034</v>
      </c>
      <c r="AA2499" s="0" t="n">
        <f aca="false">X2499-Z2499</f>
        <v>44.8803207431865</v>
      </c>
      <c r="AB2499" s="0" t="n">
        <f aca="false">X2499+Z2499</f>
        <v>47.8194325462871</v>
      </c>
      <c r="AC2499" s="54" t="b">
        <f aca="false">AND(E2499&gt;=01_因子設定!$L$5-0.000000001,E2499&lt;=01_因子設定!$M$5+0.000000001,F2499&gt;=01_因子設定!$L$6-0.000000001,F2499&lt;=01_因子設定!$M$6+0.000000001,G2499&gt;=01_因子設定!$L$7-0.000000001,G2499&lt;=01_因子設定!$M$7+0.000000001,H2499&gt;=01_因子設定!$L$8-0.000000001,H2499&lt;=01_因子設定!$M$8+0.000000001,IF(01_因子設定!$B$20="Box-Behnken",E2499^2+F2499^2+G2499^2+H2499^2&lt;=2+0.000000001,TRUE()))</f>
        <v>1</v>
      </c>
      <c r="AD2499" s="55" t="n">
        <f aca="false">IF(AC2499,IF(01_因子設定!$B$13="最大化",AA2499-01_因子設定!$B$14,IF(01_因子設定!$B$13="最小化",01_因子設定!$B$15-AB2499,MIN(AA2499-01_因子設定!$B$14,01_因子設定!$B$15-AB2499))),-1E+030)</f>
        <v>-1.61967925681354</v>
      </c>
      <c r="AE2499" s="55" t="n">
        <f aca="false">IF(AC2499,IF(01_因子設定!$B$13="最大化",X2499,IF(01_因子設定!$B$13="最小化",-X2499,-ABS(X2499-01_因子設定!$B$16))),-1E+030)</f>
        <v>46.3498766447368</v>
      </c>
      <c r="AF2499" s="55" t="n">
        <f aca="false">AD2499+ROW()*0.000000001</f>
        <v>-1.61967675781354</v>
      </c>
      <c r="AG2499" s="55" t="n">
        <f aca="false">AE2499+ROW()*0.000000001</f>
        <v>46.3498791437368</v>
      </c>
    </row>
    <row r="2500" customFormat="false" ht="15" hidden="false" customHeight="false" outlineLevel="0" collapsed="false">
      <c r="A2500" s="0" t="n">
        <v>3</v>
      </c>
      <c r="B2500" s="0" t="n">
        <v>3</v>
      </c>
      <c r="C2500" s="0" t="n">
        <v>7</v>
      </c>
      <c r="D2500" s="0" t="n">
        <v>2</v>
      </c>
      <c r="E2500" s="0" t="n">
        <f aca="false">-1+A2500*0.25</f>
        <v>-0.25</v>
      </c>
      <c r="F2500" s="0" t="n">
        <f aca="false">-1+B2500*0.25</f>
        <v>-0.25</v>
      </c>
      <c r="G2500" s="0" t="n">
        <f aca="false">-1+C2500*0.25</f>
        <v>0.75</v>
      </c>
      <c r="H2500" s="0" t="n">
        <f aca="false">-1+D2500*0.25</f>
        <v>-0.5</v>
      </c>
      <c r="I2500" s="0" t="n">
        <f aca="false">1</f>
        <v>1</v>
      </c>
      <c r="J2500" s="0" t="n">
        <f aca="false">E2500</f>
        <v>-0.25</v>
      </c>
      <c r="K2500" s="0" t="n">
        <f aca="false">F2500</f>
        <v>-0.25</v>
      </c>
      <c r="L2500" s="0" t="n">
        <f aca="false">G2500</f>
        <v>0.75</v>
      </c>
      <c r="M2500" s="0" t="n">
        <f aca="false">H2500</f>
        <v>-0.5</v>
      </c>
      <c r="N2500" s="0" t="n">
        <f aca="false">E2500*F2500</f>
        <v>0.0625</v>
      </c>
      <c r="O2500" s="0" t="n">
        <f aca="false">E2500*G2500</f>
        <v>-0.1875</v>
      </c>
      <c r="P2500" s="0" t="n">
        <f aca="false">E2500*H2500</f>
        <v>0.125</v>
      </c>
      <c r="Q2500" s="0" t="n">
        <f aca="false">F2500*G2500</f>
        <v>-0.1875</v>
      </c>
      <c r="R2500" s="0" t="n">
        <f aca="false">F2500*H2500</f>
        <v>0.125</v>
      </c>
      <c r="S2500" s="0" t="n">
        <f aca="false">G2500*H2500</f>
        <v>-0.375</v>
      </c>
      <c r="T2500" s="0" t="n">
        <f aca="false">E2500*E2500</f>
        <v>0.0625</v>
      </c>
      <c r="U2500" s="0" t="n">
        <f aca="false">F2500*F2500</f>
        <v>0.0625</v>
      </c>
      <c r="V2500" s="0" t="n">
        <f aca="false">G2500*G2500</f>
        <v>0.5625</v>
      </c>
      <c r="W2500" s="0" t="n">
        <f aca="false">H2500*H2500</f>
        <v>0.25</v>
      </c>
      <c r="X2500" s="0" t="n">
        <f aca="false">SUMPRODUCT(I2500:W2500,_XtX!$B$96:$P$96)</f>
        <v>46.6301580774853</v>
      </c>
      <c r="Y2500" s="0" t="n">
        <f aca="false">SUMPRODUCT(MMULT(I2500:W2500,_XtX!$B$78:$P$92),I2500:W2500)</f>
        <v>0.207746539199561</v>
      </c>
      <c r="Z2500" s="0" t="n">
        <f aca="false">04_回帰ANOVA!$K$19*04_回帰ANOVA!$K$14*SQRT(1+Y2500)</f>
        <v>1.43247250081141</v>
      </c>
      <c r="AA2500" s="0" t="n">
        <f aca="false">X2500-Z2500</f>
        <v>45.1976855766739</v>
      </c>
      <c r="AB2500" s="0" t="n">
        <f aca="false">X2500+Z2500</f>
        <v>48.0626305782967</v>
      </c>
      <c r="AC2500" s="54" t="b">
        <f aca="false">AND(E2500&gt;=01_因子設定!$L$5-0.000000001,E2500&lt;=01_因子設定!$M$5+0.000000001,F2500&gt;=01_因子設定!$L$6-0.000000001,F2500&lt;=01_因子設定!$M$6+0.000000001,G2500&gt;=01_因子設定!$L$7-0.000000001,G2500&lt;=01_因子設定!$M$7+0.000000001,H2500&gt;=01_因子設定!$L$8-0.000000001,H2500&lt;=01_因子設定!$M$8+0.000000001,IF(01_因子設定!$B$20="Box-Behnken",E2500^2+F2500^2+G2500^2+H2500^2&lt;=2+0.000000001,TRUE()))</f>
        <v>1</v>
      </c>
      <c r="AD2500" s="55" t="n">
        <f aca="false">IF(AC2500,IF(01_因子設定!$B$13="最大化",AA2500-01_因子設定!$B$14,IF(01_因子設定!$B$13="最小化",01_因子設定!$B$15-AB2500,MIN(AA2500-01_因子設定!$B$14,01_因子設定!$B$15-AB2500))),-1E+030)</f>
        <v>-1.30231442332607</v>
      </c>
      <c r="AE2500" s="55" t="n">
        <f aca="false">IF(AC2500,IF(01_因子設定!$B$13="最大化",X2500,IF(01_因子設定!$B$13="最小化",-X2500,-ABS(X2500-01_因子設定!$B$16))),-1E+030)</f>
        <v>46.6301580774853</v>
      </c>
      <c r="AF2500" s="55" t="n">
        <f aca="false">AD2500+ROW()*0.000000001</f>
        <v>-1.30231192332607</v>
      </c>
      <c r="AG2500" s="55" t="n">
        <f aca="false">AE2500+ROW()*0.000000001</f>
        <v>46.6301605774853</v>
      </c>
    </row>
    <row r="2501" customFormat="false" ht="15" hidden="false" customHeight="false" outlineLevel="0" collapsed="false">
      <c r="A2501" s="0" t="n">
        <v>3</v>
      </c>
      <c r="B2501" s="0" t="n">
        <v>3</v>
      </c>
      <c r="C2501" s="0" t="n">
        <v>7</v>
      </c>
      <c r="D2501" s="0" t="n">
        <v>3</v>
      </c>
      <c r="E2501" s="0" t="n">
        <f aca="false">-1+A2501*0.25</f>
        <v>-0.25</v>
      </c>
      <c r="F2501" s="0" t="n">
        <f aca="false">-1+B2501*0.25</f>
        <v>-0.25</v>
      </c>
      <c r="G2501" s="0" t="n">
        <f aca="false">-1+C2501*0.25</f>
        <v>0.75</v>
      </c>
      <c r="H2501" s="0" t="n">
        <f aca="false">-1+D2501*0.25</f>
        <v>-0.25</v>
      </c>
      <c r="I2501" s="0" t="n">
        <f aca="false">1</f>
        <v>1</v>
      </c>
      <c r="J2501" s="0" t="n">
        <f aca="false">E2501</f>
        <v>-0.25</v>
      </c>
      <c r="K2501" s="0" t="n">
        <f aca="false">F2501</f>
        <v>-0.25</v>
      </c>
      <c r="L2501" s="0" t="n">
        <f aca="false">G2501</f>
        <v>0.75</v>
      </c>
      <c r="M2501" s="0" t="n">
        <f aca="false">H2501</f>
        <v>-0.25</v>
      </c>
      <c r="N2501" s="0" t="n">
        <f aca="false">E2501*F2501</f>
        <v>0.0625</v>
      </c>
      <c r="O2501" s="0" t="n">
        <f aca="false">E2501*G2501</f>
        <v>-0.1875</v>
      </c>
      <c r="P2501" s="0" t="n">
        <f aca="false">E2501*H2501</f>
        <v>0.0625</v>
      </c>
      <c r="Q2501" s="0" t="n">
        <f aca="false">F2501*G2501</f>
        <v>-0.1875</v>
      </c>
      <c r="R2501" s="0" t="n">
        <f aca="false">F2501*H2501</f>
        <v>0.0625</v>
      </c>
      <c r="S2501" s="0" t="n">
        <f aca="false">G2501*H2501</f>
        <v>-0.1875</v>
      </c>
      <c r="T2501" s="0" t="n">
        <f aca="false">E2501*E2501</f>
        <v>0.0625</v>
      </c>
      <c r="U2501" s="0" t="n">
        <f aca="false">F2501*F2501</f>
        <v>0.0625</v>
      </c>
      <c r="V2501" s="0" t="n">
        <f aca="false">G2501*G2501</f>
        <v>0.5625</v>
      </c>
      <c r="W2501" s="0" t="n">
        <f aca="false">H2501*H2501</f>
        <v>0.0625</v>
      </c>
      <c r="X2501" s="0" t="n">
        <f aca="false">SUMPRODUCT(I2501:W2501,_XtX!$B$96:$P$96)</f>
        <v>46.86263249269</v>
      </c>
      <c r="Y2501" s="0" t="n">
        <f aca="false">SUMPRODUCT(MMULT(I2501:W2501,_XtX!$B$78:$P$92),I2501:W2501)</f>
        <v>0.205926192434211</v>
      </c>
      <c r="Z2501" s="0" t="n">
        <f aca="false">04_回帰ANOVA!$K$19*04_回帰ANOVA!$K$14*SQRT(1+Y2501)</f>
        <v>1.43139256396246</v>
      </c>
      <c r="AA2501" s="0" t="n">
        <f aca="false">X2501-Z2501</f>
        <v>45.4312399287275</v>
      </c>
      <c r="AB2501" s="0" t="n">
        <f aca="false">X2501+Z2501</f>
        <v>48.2940250566525</v>
      </c>
      <c r="AC2501" s="54" t="b">
        <f aca="false">AND(E2501&gt;=01_因子設定!$L$5-0.000000001,E2501&lt;=01_因子設定!$M$5+0.000000001,F2501&gt;=01_因子設定!$L$6-0.000000001,F2501&lt;=01_因子設定!$M$6+0.000000001,G2501&gt;=01_因子設定!$L$7-0.000000001,G2501&lt;=01_因子設定!$M$7+0.000000001,H2501&gt;=01_因子設定!$L$8-0.000000001,H2501&lt;=01_因子設定!$M$8+0.000000001,IF(01_因子設定!$B$20="Box-Behnken",E2501^2+F2501^2+G2501^2+H2501^2&lt;=2+0.000000001,TRUE()))</f>
        <v>1</v>
      </c>
      <c r="AD2501" s="55" t="n">
        <f aca="false">IF(AC2501,IF(01_因子設定!$B$13="最大化",AA2501-01_因子設定!$B$14,IF(01_因子設定!$B$13="最小化",01_因子設定!$B$15-AB2501,MIN(AA2501-01_因子設定!$B$14,01_因子設定!$B$15-AB2501))),-1E+030)</f>
        <v>-1.06876007127246</v>
      </c>
      <c r="AE2501" s="55" t="n">
        <f aca="false">IF(AC2501,IF(01_因子設定!$B$13="最大化",X2501,IF(01_因子設定!$B$13="最小化",-X2501,-ABS(X2501-01_因子設定!$B$16))),-1E+030)</f>
        <v>46.86263249269</v>
      </c>
      <c r="AF2501" s="55" t="n">
        <f aca="false">AD2501+ROW()*0.000000001</f>
        <v>-1.06875757027246</v>
      </c>
      <c r="AG2501" s="55" t="n">
        <f aca="false">AE2501+ROW()*0.000000001</f>
        <v>46.86263499369</v>
      </c>
    </row>
    <row r="2502" customFormat="false" ht="15" hidden="false" customHeight="false" outlineLevel="0" collapsed="false">
      <c r="A2502" s="0" t="n">
        <v>3</v>
      </c>
      <c r="B2502" s="0" t="n">
        <v>3</v>
      </c>
      <c r="C2502" s="0" t="n">
        <v>7</v>
      </c>
      <c r="D2502" s="0" t="n">
        <v>4</v>
      </c>
      <c r="E2502" s="0" t="n">
        <f aca="false">-1+A2502*0.25</f>
        <v>-0.25</v>
      </c>
      <c r="F2502" s="0" t="n">
        <f aca="false">-1+B2502*0.25</f>
        <v>-0.25</v>
      </c>
      <c r="G2502" s="0" t="n">
        <f aca="false">-1+C2502*0.25</f>
        <v>0.75</v>
      </c>
      <c r="H2502" s="0" t="n">
        <f aca="false">-1+D2502*0.25</f>
        <v>0</v>
      </c>
      <c r="I2502" s="0" t="n">
        <f aca="false">1</f>
        <v>1</v>
      </c>
      <c r="J2502" s="0" t="n">
        <f aca="false">E2502</f>
        <v>-0.25</v>
      </c>
      <c r="K2502" s="0" t="n">
        <f aca="false">F2502</f>
        <v>-0.25</v>
      </c>
      <c r="L2502" s="0" t="n">
        <f aca="false">G2502</f>
        <v>0.75</v>
      </c>
      <c r="M2502" s="0" t="n">
        <f aca="false">H2502</f>
        <v>0</v>
      </c>
      <c r="N2502" s="0" t="n">
        <f aca="false">E2502*F2502</f>
        <v>0.0625</v>
      </c>
      <c r="O2502" s="0" t="n">
        <f aca="false">E2502*G2502</f>
        <v>-0.1875</v>
      </c>
      <c r="P2502" s="0" t="n">
        <f aca="false">E2502*H2502</f>
        <v>-0</v>
      </c>
      <c r="Q2502" s="0" t="n">
        <f aca="false">F2502*G2502</f>
        <v>-0.1875</v>
      </c>
      <c r="R2502" s="0" t="n">
        <f aca="false">F2502*H2502</f>
        <v>-0</v>
      </c>
      <c r="S2502" s="0" t="n">
        <f aca="false">G2502*H2502</f>
        <v>0</v>
      </c>
      <c r="T2502" s="0" t="n">
        <f aca="false">E2502*E2502</f>
        <v>0.0625</v>
      </c>
      <c r="U2502" s="0" t="n">
        <f aca="false">F2502*F2502</f>
        <v>0.0625</v>
      </c>
      <c r="V2502" s="0" t="n">
        <f aca="false">G2502*G2502</f>
        <v>0.5625</v>
      </c>
      <c r="W2502" s="0" t="n">
        <f aca="false">H2502*H2502</f>
        <v>0</v>
      </c>
      <c r="X2502" s="0" t="n">
        <f aca="false">SUMPRODUCT(I2502:W2502,_XtX!$B$96:$P$96)</f>
        <v>47.0472998903508</v>
      </c>
      <c r="Y2502" s="0" t="n">
        <f aca="false">SUMPRODUCT(MMULT(I2502:W2502,_XtX!$B$78:$P$92),I2502:W2502)</f>
        <v>0.21135011193348</v>
      </c>
      <c r="Z2502" s="0" t="n">
        <f aca="false">04_回帰ANOVA!$K$19*04_回帰ANOVA!$K$14*SQRT(1+Y2502)</f>
        <v>1.43460795469709</v>
      </c>
      <c r="AA2502" s="0" t="n">
        <f aca="false">X2502-Z2502</f>
        <v>45.6126919356537</v>
      </c>
      <c r="AB2502" s="0" t="n">
        <f aca="false">X2502+Z2502</f>
        <v>48.4819078450479</v>
      </c>
      <c r="AC2502" s="54" t="b">
        <f aca="false">AND(E2502&gt;=01_因子設定!$L$5-0.000000001,E2502&lt;=01_因子設定!$M$5+0.000000001,F2502&gt;=01_因子設定!$L$6-0.000000001,F2502&lt;=01_因子設定!$M$6+0.000000001,G2502&gt;=01_因子設定!$L$7-0.000000001,G2502&lt;=01_因子設定!$M$7+0.000000001,H2502&gt;=01_因子設定!$L$8-0.000000001,H2502&lt;=01_因子設定!$M$8+0.000000001,IF(01_因子設定!$B$20="Box-Behnken",E2502^2+F2502^2+G2502^2+H2502^2&lt;=2+0.000000001,TRUE()))</f>
        <v>1</v>
      </c>
      <c r="AD2502" s="55" t="n">
        <f aca="false">IF(AC2502,IF(01_因子設定!$B$13="最大化",AA2502-01_因子設定!$B$14,IF(01_因子設定!$B$13="最小化",01_因子設定!$B$15-AB2502,MIN(AA2502-01_因子設定!$B$14,01_因子設定!$B$15-AB2502))),-1E+030)</f>
        <v>-0.887308064346264</v>
      </c>
      <c r="AE2502" s="55" t="n">
        <f aca="false">IF(AC2502,IF(01_因子設定!$B$13="最大化",X2502,IF(01_因子設定!$B$13="最小化",-X2502,-ABS(X2502-01_因子設定!$B$16))),-1E+030)</f>
        <v>47.0472998903508</v>
      </c>
      <c r="AF2502" s="55" t="n">
        <f aca="false">AD2502+ROW()*0.000000001</f>
        <v>-0.887305562346264</v>
      </c>
      <c r="AG2502" s="55" t="n">
        <f aca="false">AE2502+ROW()*0.000000001</f>
        <v>47.0473023923508</v>
      </c>
    </row>
    <row r="2503" customFormat="false" ht="15" hidden="false" customHeight="false" outlineLevel="0" collapsed="false">
      <c r="A2503" s="0" t="n">
        <v>3</v>
      </c>
      <c r="B2503" s="0" t="n">
        <v>3</v>
      </c>
      <c r="C2503" s="0" t="n">
        <v>7</v>
      </c>
      <c r="D2503" s="0" t="n">
        <v>5</v>
      </c>
      <c r="E2503" s="0" t="n">
        <f aca="false">-1+A2503*0.25</f>
        <v>-0.25</v>
      </c>
      <c r="F2503" s="0" t="n">
        <f aca="false">-1+B2503*0.25</f>
        <v>-0.25</v>
      </c>
      <c r="G2503" s="0" t="n">
        <f aca="false">-1+C2503*0.25</f>
        <v>0.75</v>
      </c>
      <c r="H2503" s="0" t="n">
        <f aca="false">-1+D2503*0.25</f>
        <v>0.25</v>
      </c>
      <c r="I2503" s="0" t="n">
        <f aca="false">1</f>
        <v>1</v>
      </c>
      <c r="J2503" s="0" t="n">
        <f aca="false">E2503</f>
        <v>-0.25</v>
      </c>
      <c r="K2503" s="0" t="n">
        <f aca="false">F2503</f>
        <v>-0.25</v>
      </c>
      <c r="L2503" s="0" t="n">
        <f aca="false">G2503</f>
        <v>0.75</v>
      </c>
      <c r="M2503" s="0" t="n">
        <f aca="false">H2503</f>
        <v>0.25</v>
      </c>
      <c r="N2503" s="0" t="n">
        <f aca="false">E2503*F2503</f>
        <v>0.0625</v>
      </c>
      <c r="O2503" s="0" t="n">
        <f aca="false">E2503*G2503</f>
        <v>-0.1875</v>
      </c>
      <c r="P2503" s="0" t="n">
        <f aca="false">E2503*H2503</f>
        <v>-0.0625</v>
      </c>
      <c r="Q2503" s="0" t="n">
        <f aca="false">F2503*G2503</f>
        <v>-0.1875</v>
      </c>
      <c r="R2503" s="0" t="n">
        <f aca="false">F2503*H2503</f>
        <v>-0.0625</v>
      </c>
      <c r="S2503" s="0" t="n">
        <f aca="false">G2503*H2503</f>
        <v>0.1875</v>
      </c>
      <c r="T2503" s="0" t="n">
        <f aca="false">E2503*E2503</f>
        <v>0.0625</v>
      </c>
      <c r="U2503" s="0" t="n">
        <f aca="false">F2503*F2503</f>
        <v>0.0625</v>
      </c>
      <c r="V2503" s="0" t="n">
        <f aca="false">G2503*G2503</f>
        <v>0.5625</v>
      </c>
      <c r="W2503" s="0" t="n">
        <f aca="false">H2503*H2503</f>
        <v>0.0625</v>
      </c>
      <c r="X2503" s="0" t="n">
        <f aca="false">SUMPRODUCT(I2503:W2503,_XtX!$B$96:$P$96)</f>
        <v>47.1841602704678</v>
      </c>
      <c r="Y2503" s="0" t="n">
        <f aca="false">SUMPRODUCT(MMULT(I2503:W2503,_XtX!$B$78:$P$92),I2503:W2503)</f>
        <v>0.205926192434211</v>
      </c>
      <c r="Z2503" s="0" t="n">
        <f aca="false">04_回帰ANOVA!$K$19*04_回帰ANOVA!$K$14*SQRT(1+Y2503)</f>
        <v>1.43139256396246</v>
      </c>
      <c r="AA2503" s="0" t="n">
        <f aca="false">X2503-Z2503</f>
        <v>45.7527677065053</v>
      </c>
      <c r="AB2503" s="0" t="n">
        <f aca="false">X2503+Z2503</f>
        <v>48.6155528344302</v>
      </c>
      <c r="AC2503" s="54" t="b">
        <f aca="false">AND(E2503&gt;=01_因子設定!$L$5-0.000000001,E2503&lt;=01_因子設定!$M$5+0.000000001,F2503&gt;=01_因子設定!$L$6-0.000000001,F2503&lt;=01_因子設定!$M$6+0.000000001,G2503&gt;=01_因子設定!$L$7-0.000000001,G2503&lt;=01_因子設定!$M$7+0.000000001,H2503&gt;=01_因子設定!$L$8-0.000000001,H2503&lt;=01_因子設定!$M$8+0.000000001,IF(01_因子設定!$B$20="Box-Behnken",E2503^2+F2503^2+G2503^2+H2503^2&lt;=2+0.000000001,TRUE()))</f>
        <v>1</v>
      </c>
      <c r="AD2503" s="55" t="n">
        <f aca="false">IF(AC2503,IF(01_因子設定!$B$13="最大化",AA2503-01_因子設定!$B$14,IF(01_因子設定!$B$13="最小化",01_因子設定!$B$15-AB2503,MIN(AA2503-01_因子設定!$B$14,01_因子設定!$B$15-AB2503))),-1E+030)</f>
        <v>-0.747232293494683</v>
      </c>
      <c r="AE2503" s="55" t="n">
        <f aca="false">IF(AC2503,IF(01_因子設定!$B$13="最大化",X2503,IF(01_因子設定!$B$13="最小化",-X2503,-ABS(X2503-01_因子設定!$B$16))),-1E+030)</f>
        <v>47.1841602704678</v>
      </c>
      <c r="AF2503" s="55" t="n">
        <f aca="false">AD2503+ROW()*0.000000001</f>
        <v>-0.747229790494683</v>
      </c>
      <c r="AG2503" s="55" t="n">
        <f aca="false">AE2503+ROW()*0.000000001</f>
        <v>47.1841627734678</v>
      </c>
    </row>
    <row r="2504" customFormat="false" ht="15" hidden="false" customHeight="false" outlineLevel="0" collapsed="false">
      <c r="A2504" s="0" t="n">
        <v>3</v>
      </c>
      <c r="B2504" s="0" t="n">
        <v>3</v>
      </c>
      <c r="C2504" s="0" t="n">
        <v>7</v>
      </c>
      <c r="D2504" s="0" t="n">
        <v>6</v>
      </c>
      <c r="E2504" s="0" t="n">
        <f aca="false">-1+A2504*0.25</f>
        <v>-0.25</v>
      </c>
      <c r="F2504" s="0" t="n">
        <f aca="false">-1+B2504*0.25</f>
        <v>-0.25</v>
      </c>
      <c r="G2504" s="0" t="n">
        <f aca="false">-1+C2504*0.25</f>
        <v>0.75</v>
      </c>
      <c r="H2504" s="0" t="n">
        <f aca="false">-1+D2504*0.25</f>
        <v>0.5</v>
      </c>
      <c r="I2504" s="0" t="n">
        <f aca="false">1</f>
        <v>1</v>
      </c>
      <c r="J2504" s="0" t="n">
        <f aca="false">E2504</f>
        <v>-0.25</v>
      </c>
      <c r="K2504" s="0" t="n">
        <f aca="false">F2504</f>
        <v>-0.25</v>
      </c>
      <c r="L2504" s="0" t="n">
        <f aca="false">G2504</f>
        <v>0.75</v>
      </c>
      <c r="M2504" s="0" t="n">
        <f aca="false">H2504</f>
        <v>0.5</v>
      </c>
      <c r="N2504" s="0" t="n">
        <f aca="false">E2504*F2504</f>
        <v>0.0625</v>
      </c>
      <c r="O2504" s="0" t="n">
        <f aca="false">E2504*G2504</f>
        <v>-0.1875</v>
      </c>
      <c r="P2504" s="0" t="n">
        <f aca="false">E2504*H2504</f>
        <v>-0.125</v>
      </c>
      <c r="Q2504" s="0" t="n">
        <f aca="false">F2504*G2504</f>
        <v>-0.1875</v>
      </c>
      <c r="R2504" s="0" t="n">
        <f aca="false">F2504*H2504</f>
        <v>-0.125</v>
      </c>
      <c r="S2504" s="0" t="n">
        <f aca="false">G2504*H2504</f>
        <v>0.375</v>
      </c>
      <c r="T2504" s="0" t="n">
        <f aca="false">E2504*E2504</f>
        <v>0.0625</v>
      </c>
      <c r="U2504" s="0" t="n">
        <f aca="false">F2504*F2504</f>
        <v>0.0625</v>
      </c>
      <c r="V2504" s="0" t="n">
        <f aca="false">G2504*G2504</f>
        <v>0.5625</v>
      </c>
      <c r="W2504" s="0" t="n">
        <f aca="false">H2504*H2504</f>
        <v>0.25</v>
      </c>
      <c r="X2504" s="0" t="n">
        <f aca="false">SUMPRODUCT(I2504:W2504,_XtX!$B$96:$P$96)</f>
        <v>47.2732136330409</v>
      </c>
      <c r="Y2504" s="0" t="n">
        <f aca="false">SUMPRODUCT(MMULT(I2504:W2504,_XtX!$B$78:$P$92),I2504:W2504)</f>
        <v>0.207746539199561</v>
      </c>
      <c r="Z2504" s="0" t="n">
        <f aca="false">04_回帰ANOVA!$K$19*04_回帰ANOVA!$K$14*SQRT(1+Y2504)</f>
        <v>1.43247250081141</v>
      </c>
      <c r="AA2504" s="0" t="n">
        <f aca="false">X2504-Z2504</f>
        <v>45.8407411322295</v>
      </c>
      <c r="AB2504" s="0" t="n">
        <f aca="false">X2504+Z2504</f>
        <v>48.7056861338523</v>
      </c>
      <c r="AC2504" s="54" t="b">
        <f aca="false">AND(E2504&gt;=01_因子設定!$L$5-0.000000001,E2504&lt;=01_因子設定!$M$5+0.000000001,F2504&gt;=01_因子設定!$L$6-0.000000001,F2504&lt;=01_因子設定!$M$6+0.000000001,G2504&gt;=01_因子設定!$L$7-0.000000001,G2504&lt;=01_因子設定!$M$7+0.000000001,H2504&gt;=01_因子設定!$L$8-0.000000001,H2504&lt;=01_因子設定!$M$8+0.000000001,IF(01_因子設定!$B$20="Box-Behnken",E2504^2+F2504^2+G2504^2+H2504^2&lt;=2+0.000000001,TRUE()))</f>
        <v>1</v>
      </c>
      <c r="AD2504" s="55" t="n">
        <f aca="false">IF(AC2504,IF(01_因子設定!$B$13="最大化",AA2504-01_因子設定!$B$14,IF(01_因子設定!$B$13="最小化",01_因子設定!$B$15-AB2504,MIN(AA2504-01_因子設定!$B$14,01_因子設定!$B$15-AB2504))),-1E+030)</f>
        <v>-0.659258867770518</v>
      </c>
      <c r="AE2504" s="55" t="n">
        <f aca="false">IF(AC2504,IF(01_因子設定!$B$13="最大化",X2504,IF(01_因子設定!$B$13="最小化",-X2504,-ABS(X2504-01_因子設定!$B$16))),-1E+030)</f>
        <v>47.2732136330409</v>
      </c>
      <c r="AF2504" s="55" t="n">
        <f aca="false">AD2504+ROW()*0.000000001</f>
        <v>-0.659256363770518</v>
      </c>
      <c r="AG2504" s="55" t="n">
        <f aca="false">AE2504+ROW()*0.000000001</f>
        <v>47.2732161370409</v>
      </c>
    </row>
    <row r="2505" customFormat="false" ht="15" hidden="false" customHeight="false" outlineLevel="0" collapsed="false">
      <c r="A2505" s="0" t="n">
        <v>3</v>
      </c>
      <c r="B2505" s="0" t="n">
        <v>3</v>
      </c>
      <c r="C2505" s="0" t="n">
        <v>7</v>
      </c>
      <c r="D2505" s="0" t="n">
        <v>7</v>
      </c>
      <c r="E2505" s="0" t="n">
        <f aca="false">-1+A2505*0.25</f>
        <v>-0.25</v>
      </c>
      <c r="F2505" s="0" t="n">
        <f aca="false">-1+B2505*0.25</f>
        <v>-0.25</v>
      </c>
      <c r="G2505" s="0" t="n">
        <f aca="false">-1+C2505*0.25</f>
        <v>0.75</v>
      </c>
      <c r="H2505" s="0" t="n">
        <f aca="false">-1+D2505*0.25</f>
        <v>0.75</v>
      </c>
      <c r="I2505" s="0" t="n">
        <f aca="false">1</f>
        <v>1</v>
      </c>
      <c r="J2505" s="0" t="n">
        <f aca="false">E2505</f>
        <v>-0.25</v>
      </c>
      <c r="K2505" s="0" t="n">
        <f aca="false">F2505</f>
        <v>-0.25</v>
      </c>
      <c r="L2505" s="0" t="n">
        <f aca="false">G2505</f>
        <v>0.75</v>
      </c>
      <c r="M2505" s="0" t="n">
        <f aca="false">H2505</f>
        <v>0.75</v>
      </c>
      <c r="N2505" s="0" t="n">
        <f aca="false">E2505*F2505</f>
        <v>0.0625</v>
      </c>
      <c r="O2505" s="0" t="n">
        <f aca="false">E2505*G2505</f>
        <v>-0.1875</v>
      </c>
      <c r="P2505" s="0" t="n">
        <f aca="false">E2505*H2505</f>
        <v>-0.1875</v>
      </c>
      <c r="Q2505" s="0" t="n">
        <f aca="false">F2505*G2505</f>
        <v>-0.1875</v>
      </c>
      <c r="R2505" s="0" t="n">
        <f aca="false">F2505*H2505</f>
        <v>-0.1875</v>
      </c>
      <c r="S2505" s="0" t="n">
        <f aca="false">G2505*H2505</f>
        <v>0.5625</v>
      </c>
      <c r="T2505" s="0" t="n">
        <f aca="false">E2505*E2505</f>
        <v>0.0625</v>
      </c>
      <c r="U2505" s="0" t="n">
        <f aca="false">F2505*F2505</f>
        <v>0.0625</v>
      </c>
      <c r="V2505" s="0" t="n">
        <f aca="false">G2505*G2505</f>
        <v>0.5625</v>
      </c>
      <c r="W2505" s="0" t="n">
        <f aca="false">H2505*H2505</f>
        <v>0.5625</v>
      </c>
      <c r="X2505" s="0" t="n">
        <f aca="false">SUMPRODUCT(I2505:W2505,_XtX!$B$96:$P$96)</f>
        <v>47.3144599780701</v>
      </c>
      <c r="Y2505" s="0" t="n">
        <f aca="false">SUMPRODUCT(MMULT(I2505:W2505,_XtX!$B$78:$P$92),I2505:W2505)</f>
        <v>0.271087468019006</v>
      </c>
      <c r="Z2505" s="0" t="n">
        <f aca="false">04_回帰ANOVA!$K$19*04_回帰ANOVA!$K$14*SQRT(1+Y2505)</f>
        <v>1.46955590155034</v>
      </c>
      <c r="AA2505" s="0" t="n">
        <f aca="false">X2505-Z2505</f>
        <v>45.8449040765198</v>
      </c>
      <c r="AB2505" s="0" t="n">
        <f aca="false">X2505+Z2505</f>
        <v>48.7840158796205</v>
      </c>
      <c r="AC2505" s="54" t="b">
        <f aca="false">AND(E2505&gt;=01_因子設定!$L$5-0.000000001,E2505&lt;=01_因子設定!$M$5+0.000000001,F2505&gt;=01_因子設定!$L$6-0.000000001,F2505&lt;=01_因子設定!$M$6+0.000000001,G2505&gt;=01_因子設定!$L$7-0.000000001,G2505&lt;=01_因子設定!$M$7+0.000000001,H2505&gt;=01_因子設定!$L$8-0.000000001,H2505&lt;=01_因子設定!$M$8+0.000000001,IF(01_因子設定!$B$20="Box-Behnken",E2505^2+F2505^2+G2505^2+H2505^2&lt;=2+0.000000001,TRUE()))</f>
        <v>1</v>
      </c>
      <c r="AD2505" s="55" t="n">
        <f aca="false">IF(AC2505,IF(01_因子設定!$B$13="最大化",AA2505-01_因子設定!$B$14,IF(01_因子設定!$B$13="最小化",01_因子設定!$B$15-AB2505,MIN(AA2505-01_因子設定!$B$14,01_因子設定!$B$15-AB2505))),-1E+030)</f>
        <v>-0.655095923480204</v>
      </c>
      <c r="AE2505" s="55" t="n">
        <f aca="false">IF(AC2505,IF(01_因子設定!$B$13="最大化",X2505,IF(01_因子設定!$B$13="最小化",-X2505,-ABS(X2505-01_因子設定!$B$16))),-1E+030)</f>
        <v>47.3144599780701</v>
      </c>
      <c r="AF2505" s="55" t="n">
        <f aca="false">AD2505+ROW()*0.000000001</f>
        <v>-0.655093418480204</v>
      </c>
      <c r="AG2505" s="55" t="n">
        <f aca="false">AE2505+ROW()*0.000000001</f>
        <v>47.3144624830701</v>
      </c>
    </row>
    <row r="2506" customFormat="false" ht="15" hidden="false" customHeight="false" outlineLevel="0" collapsed="false">
      <c r="A2506" s="0" t="n">
        <v>3</v>
      </c>
      <c r="B2506" s="0" t="n">
        <v>3</v>
      </c>
      <c r="C2506" s="0" t="n">
        <v>7</v>
      </c>
      <c r="D2506" s="0" t="n">
        <v>8</v>
      </c>
      <c r="E2506" s="0" t="n">
        <f aca="false">-1+A2506*0.25</f>
        <v>-0.25</v>
      </c>
      <c r="F2506" s="0" t="n">
        <f aca="false">-1+B2506*0.25</f>
        <v>-0.25</v>
      </c>
      <c r="G2506" s="0" t="n">
        <f aca="false">-1+C2506*0.25</f>
        <v>0.75</v>
      </c>
      <c r="H2506" s="0" t="n">
        <f aca="false">-1+D2506*0.25</f>
        <v>1</v>
      </c>
      <c r="I2506" s="0" t="n">
        <f aca="false">1</f>
        <v>1</v>
      </c>
      <c r="J2506" s="0" t="n">
        <f aca="false">E2506</f>
        <v>-0.25</v>
      </c>
      <c r="K2506" s="0" t="n">
        <f aca="false">F2506</f>
        <v>-0.25</v>
      </c>
      <c r="L2506" s="0" t="n">
        <f aca="false">G2506</f>
        <v>0.75</v>
      </c>
      <c r="M2506" s="0" t="n">
        <f aca="false">H2506</f>
        <v>1</v>
      </c>
      <c r="N2506" s="0" t="n">
        <f aca="false">E2506*F2506</f>
        <v>0.0625</v>
      </c>
      <c r="O2506" s="0" t="n">
        <f aca="false">E2506*G2506</f>
        <v>-0.1875</v>
      </c>
      <c r="P2506" s="0" t="n">
        <f aca="false">E2506*H2506</f>
        <v>-0.25</v>
      </c>
      <c r="Q2506" s="0" t="n">
        <f aca="false">F2506*G2506</f>
        <v>-0.1875</v>
      </c>
      <c r="R2506" s="0" t="n">
        <f aca="false">F2506*H2506</f>
        <v>-0.25</v>
      </c>
      <c r="S2506" s="0" t="n">
        <f aca="false">G2506*H2506</f>
        <v>0.75</v>
      </c>
      <c r="T2506" s="0" t="n">
        <f aca="false">E2506*E2506</f>
        <v>0.0625</v>
      </c>
      <c r="U2506" s="0" t="n">
        <f aca="false">F2506*F2506</f>
        <v>0.0625</v>
      </c>
      <c r="V2506" s="0" t="n">
        <f aca="false">G2506*G2506</f>
        <v>0.5625</v>
      </c>
      <c r="W2506" s="0" t="n">
        <f aca="false">H2506*H2506</f>
        <v>1</v>
      </c>
      <c r="X2506" s="0" t="n">
        <f aca="false">SUMPRODUCT(I2506:W2506,_XtX!$B$96:$P$96)</f>
        <v>47.3078993055555</v>
      </c>
      <c r="Y2506" s="0" t="n">
        <f aca="false">SUMPRODUCT(MMULT(I2506:W2506,_XtX!$B$78:$P$92),I2506:W2506)</f>
        <v>0.486409505208334</v>
      </c>
      <c r="Z2506" s="0" t="n">
        <f aca="false">04_回帰ANOVA!$K$19*04_回帰ANOVA!$K$14*SQRT(1+Y2506)</f>
        <v>1.58916001665498</v>
      </c>
      <c r="AA2506" s="0" t="n">
        <f aca="false">X2506-Z2506</f>
        <v>45.7187392889006</v>
      </c>
      <c r="AB2506" s="0" t="n">
        <f aca="false">X2506+Z2506</f>
        <v>48.8970593222105</v>
      </c>
      <c r="AC2506" s="54" t="b">
        <f aca="false">AND(E2506&gt;=01_因子設定!$L$5-0.000000001,E2506&lt;=01_因子設定!$M$5+0.000000001,F2506&gt;=01_因子設定!$L$6-0.000000001,F2506&lt;=01_因子設定!$M$6+0.000000001,G2506&gt;=01_因子設定!$L$7-0.000000001,G2506&lt;=01_因子設定!$M$7+0.000000001,H2506&gt;=01_因子設定!$L$8-0.000000001,H2506&lt;=01_因子設定!$M$8+0.000000001,IF(01_因子設定!$B$20="Box-Behnken",E2506^2+F2506^2+G2506^2+H2506^2&lt;=2+0.000000001,TRUE()))</f>
        <v>1</v>
      </c>
      <c r="AD2506" s="55" t="n">
        <f aca="false">IF(AC2506,IF(01_因子設定!$B$13="最大化",AA2506-01_因子設定!$B$14,IF(01_因子設定!$B$13="最小化",01_因子設定!$B$15-AB2506,MIN(AA2506-01_因子設定!$B$14,01_因子設定!$B$15-AB2506))),-1E+030)</f>
        <v>-0.781260711099442</v>
      </c>
      <c r="AE2506" s="55" t="n">
        <f aca="false">IF(AC2506,IF(01_因子設定!$B$13="最大化",X2506,IF(01_因子設定!$B$13="最小化",-X2506,-ABS(X2506-01_因子設定!$B$16))),-1E+030)</f>
        <v>47.3078993055555</v>
      </c>
      <c r="AF2506" s="55" t="n">
        <f aca="false">AD2506+ROW()*0.000000001</f>
        <v>-0.781258205099442</v>
      </c>
      <c r="AG2506" s="55" t="n">
        <f aca="false">AE2506+ROW()*0.000000001</f>
        <v>47.3079018115555</v>
      </c>
    </row>
    <row r="2507" customFormat="false" ht="15" hidden="false" customHeight="false" outlineLevel="0" collapsed="false">
      <c r="A2507" s="0" t="n">
        <v>3</v>
      </c>
      <c r="B2507" s="0" t="n">
        <v>3</v>
      </c>
      <c r="C2507" s="0" t="n">
        <v>8</v>
      </c>
      <c r="D2507" s="0" t="n">
        <v>0</v>
      </c>
      <c r="E2507" s="0" t="n">
        <f aca="false">-1+A2507*0.25</f>
        <v>-0.25</v>
      </c>
      <c r="F2507" s="0" t="n">
        <f aca="false">-1+B2507*0.25</f>
        <v>-0.25</v>
      </c>
      <c r="G2507" s="0" t="n">
        <f aca="false">-1+C2507*0.25</f>
        <v>1</v>
      </c>
      <c r="H2507" s="0" t="n">
        <f aca="false">-1+D2507*0.25</f>
        <v>-1</v>
      </c>
      <c r="I2507" s="0" t="n">
        <f aca="false">1</f>
        <v>1</v>
      </c>
      <c r="J2507" s="0" t="n">
        <f aca="false">E2507</f>
        <v>-0.25</v>
      </c>
      <c r="K2507" s="0" t="n">
        <f aca="false">F2507</f>
        <v>-0.25</v>
      </c>
      <c r="L2507" s="0" t="n">
        <f aca="false">G2507</f>
        <v>1</v>
      </c>
      <c r="M2507" s="0" t="n">
        <f aca="false">H2507</f>
        <v>-1</v>
      </c>
      <c r="N2507" s="0" t="n">
        <f aca="false">E2507*F2507</f>
        <v>0.0625</v>
      </c>
      <c r="O2507" s="0" t="n">
        <f aca="false">E2507*G2507</f>
        <v>-0.25</v>
      </c>
      <c r="P2507" s="0" t="n">
        <f aca="false">E2507*H2507</f>
        <v>0.25</v>
      </c>
      <c r="Q2507" s="0" t="n">
        <f aca="false">F2507*G2507</f>
        <v>-0.25</v>
      </c>
      <c r="R2507" s="0" t="n">
        <f aca="false">F2507*H2507</f>
        <v>0.25</v>
      </c>
      <c r="S2507" s="0" t="n">
        <f aca="false">G2507*H2507</f>
        <v>-1</v>
      </c>
      <c r="T2507" s="0" t="n">
        <f aca="false">E2507*E2507</f>
        <v>0.0625</v>
      </c>
      <c r="U2507" s="0" t="n">
        <f aca="false">F2507*F2507</f>
        <v>0.0625</v>
      </c>
      <c r="V2507" s="0" t="n">
        <f aca="false">G2507*G2507</f>
        <v>1</v>
      </c>
      <c r="W2507" s="0" t="n">
        <f aca="false">H2507*H2507</f>
        <v>1</v>
      </c>
      <c r="X2507" s="0" t="n">
        <f aca="false">SUMPRODUCT(I2507:W2507,_XtX!$B$96:$P$96)</f>
        <v>45.9182657163743</v>
      </c>
      <c r="Y2507" s="0" t="n">
        <f aca="false">SUMPRODUCT(MMULT(I2507:W2507,_XtX!$B$78:$P$92),I2507:W2507)</f>
        <v>0.670040376005117</v>
      </c>
      <c r="Z2507" s="0" t="n">
        <f aca="false">04_回帰ANOVA!$K$19*04_回帰ANOVA!$K$14*SQRT(1+Y2507)</f>
        <v>1.68446456039992</v>
      </c>
      <c r="AA2507" s="0" t="n">
        <f aca="false">X2507-Z2507</f>
        <v>44.2338011559743</v>
      </c>
      <c r="AB2507" s="0" t="n">
        <f aca="false">X2507+Z2507</f>
        <v>47.6027302767742</v>
      </c>
      <c r="AC2507" s="54" t="b">
        <f aca="false">AND(E2507&gt;=01_因子設定!$L$5-0.000000001,E2507&lt;=01_因子設定!$M$5+0.000000001,F2507&gt;=01_因子設定!$L$6-0.000000001,F2507&lt;=01_因子設定!$M$6+0.000000001,G2507&gt;=01_因子設定!$L$7-0.000000001,G2507&lt;=01_因子設定!$M$7+0.000000001,H2507&gt;=01_因子設定!$L$8-0.000000001,H2507&lt;=01_因子設定!$M$8+0.000000001,IF(01_因子設定!$B$20="Box-Behnken",E2507^2+F2507^2+G2507^2+H2507^2&lt;=2+0.000000001,TRUE()))</f>
        <v>1</v>
      </c>
      <c r="AD2507" s="55" t="n">
        <f aca="false">IF(AC2507,IF(01_因子設定!$B$13="最大化",AA2507-01_因子設定!$B$14,IF(01_因子設定!$B$13="最小化",01_因子設定!$B$15-AB2507,MIN(AA2507-01_因子設定!$B$14,01_因子設定!$B$15-AB2507))),-1E+030)</f>
        <v>-2.26619884402567</v>
      </c>
      <c r="AE2507" s="55" t="n">
        <f aca="false">IF(AC2507,IF(01_因子設定!$B$13="最大化",X2507,IF(01_因子設定!$B$13="最小化",-X2507,-ABS(X2507-01_因子設定!$B$16))),-1E+030)</f>
        <v>45.9182657163743</v>
      </c>
      <c r="AF2507" s="55" t="n">
        <f aca="false">AD2507+ROW()*0.000000001</f>
        <v>-2.26619633702567</v>
      </c>
      <c r="AG2507" s="55" t="n">
        <f aca="false">AE2507+ROW()*0.000000001</f>
        <v>45.9182682233743</v>
      </c>
    </row>
    <row r="2508" customFormat="false" ht="15" hidden="false" customHeight="false" outlineLevel="0" collapsed="false">
      <c r="A2508" s="0" t="n">
        <v>3</v>
      </c>
      <c r="B2508" s="0" t="n">
        <v>3</v>
      </c>
      <c r="C2508" s="0" t="n">
        <v>8</v>
      </c>
      <c r="D2508" s="0" t="n">
        <v>1</v>
      </c>
      <c r="E2508" s="0" t="n">
        <f aca="false">-1+A2508*0.25</f>
        <v>-0.25</v>
      </c>
      <c r="F2508" s="0" t="n">
        <f aca="false">-1+B2508*0.25</f>
        <v>-0.25</v>
      </c>
      <c r="G2508" s="0" t="n">
        <f aca="false">-1+C2508*0.25</f>
        <v>1</v>
      </c>
      <c r="H2508" s="0" t="n">
        <f aca="false">-1+D2508*0.25</f>
        <v>-0.75</v>
      </c>
      <c r="I2508" s="0" t="n">
        <f aca="false">1</f>
        <v>1</v>
      </c>
      <c r="J2508" s="0" t="n">
        <f aca="false">E2508</f>
        <v>-0.25</v>
      </c>
      <c r="K2508" s="0" t="n">
        <f aca="false">F2508</f>
        <v>-0.25</v>
      </c>
      <c r="L2508" s="0" t="n">
        <f aca="false">G2508</f>
        <v>1</v>
      </c>
      <c r="M2508" s="0" t="n">
        <f aca="false">H2508</f>
        <v>-0.75</v>
      </c>
      <c r="N2508" s="0" t="n">
        <f aca="false">E2508*F2508</f>
        <v>0.0625</v>
      </c>
      <c r="O2508" s="0" t="n">
        <f aca="false">E2508*G2508</f>
        <v>-0.25</v>
      </c>
      <c r="P2508" s="0" t="n">
        <f aca="false">E2508*H2508</f>
        <v>0.1875</v>
      </c>
      <c r="Q2508" s="0" t="n">
        <f aca="false">F2508*G2508</f>
        <v>-0.25</v>
      </c>
      <c r="R2508" s="0" t="n">
        <f aca="false">F2508*H2508</f>
        <v>0.1875</v>
      </c>
      <c r="S2508" s="0" t="n">
        <f aca="false">G2508*H2508</f>
        <v>-0.75</v>
      </c>
      <c r="T2508" s="0" t="n">
        <f aca="false">E2508*E2508</f>
        <v>0.0625</v>
      </c>
      <c r="U2508" s="0" t="n">
        <f aca="false">F2508*F2508</f>
        <v>0.0625</v>
      </c>
      <c r="V2508" s="0" t="n">
        <f aca="false">G2508*G2508</f>
        <v>1</v>
      </c>
      <c r="W2508" s="0" t="n">
        <f aca="false">H2508*H2508</f>
        <v>0.5625</v>
      </c>
      <c r="X2508" s="0" t="n">
        <f aca="false">SUMPRODUCT(I2508:W2508,_XtX!$B$96:$P$96)</f>
        <v>46.2643229166666</v>
      </c>
      <c r="Y2508" s="0" t="n">
        <f aca="false">SUMPRODUCT(MMULT(I2508:W2508,_XtX!$B$78:$P$92),I2508:W2508)</f>
        <v>0.486409505208334</v>
      </c>
      <c r="Z2508" s="0" t="n">
        <f aca="false">04_回帰ANOVA!$K$19*04_回帰ANOVA!$K$14*SQRT(1+Y2508)</f>
        <v>1.58916001665498</v>
      </c>
      <c r="AA2508" s="0" t="n">
        <f aca="false">X2508-Z2508</f>
        <v>44.6751629000117</v>
      </c>
      <c r="AB2508" s="0" t="n">
        <f aca="false">X2508+Z2508</f>
        <v>47.8534829333216</v>
      </c>
      <c r="AC2508" s="54" t="b">
        <f aca="false">AND(E2508&gt;=01_因子設定!$L$5-0.000000001,E2508&lt;=01_因子設定!$M$5+0.000000001,F2508&gt;=01_因子設定!$L$6-0.000000001,F2508&lt;=01_因子設定!$M$6+0.000000001,G2508&gt;=01_因子設定!$L$7-0.000000001,G2508&lt;=01_因子設定!$M$7+0.000000001,H2508&gt;=01_因子設定!$L$8-0.000000001,H2508&lt;=01_因子設定!$M$8+0.000000001,IF(01_因子設定!$B$20="Box-Behnken",E2508^2+F2508^2+G2508^2+H2508^2&lt;=2+0.000000001,TRUE()))</f>
        <v>1</v>
      </c>
      <c r="AD2508" s="55" t="n">
        <f aca="false">IF(AC2508,IF(01_因子設定!$B$13="最大化",AA2508-01_因子設定!$B$14,IF(01_因子設定!$B$13="最小化",01_因子設定!$B$15-AB2508,MIN(AA2508-01_因子設定!$B$14,01_因子設定!$B$15-AB2508))),-1E+030)</f>
        <v>-1.82483709998834</v>
      </c>
      <c r="AE2508" s="55" t="n">
        <f aca="false">IF(AC2508,IF(01_因子設定!$B$13="最大化",X2508,IF(01_因子設定!$B$13="最小化",-X2508,-ABS(X2508-01_因子設定!$B$16))),-1E+030)</f>
        <v>46.2643229166666</v>
      </c>
      <c r="AF2508" s="55" t="n">
        <f aca="false">AD2508+ROW()*0.000000001</f>
        <v>-1.82483459198834</v>
      </c>
      <c r="AG2508" s="55" t="n">
        <f aca="false">AE2508+ROW()*0.000000001</f>
        <v>46.2643254246666</v>
      </c>
    </row>
    <row r="2509" customFormat="false" ht="15" hidden="false" customHeight="false" outlineLevel="0" collapsed="false">
      <c r="A2509" s="0" t="n">
        <v>3</v>
      </c>
      <c r="B2509" s="0" t="n">
        <v>3</v>
      </c>
      <c r="C2509" s="0" t="n">
        <v>8</v>
      </c>
      <c r="D2509" s="0" t="n">
        <v>2</v>
      </c>
      <c r="E2509" s="0" t="n">
        <f aca="false">-1+A2509*0.25</f>
        <v>-0.25</v>
      </c>
      <c r="F2509" s="0" t="n">
        <f aca="false">-1+B2509*0.25</f>
        <v>-0.25</v>
      </c>
      <c r="G2509" s="0" t="n">
        <f aca="false">-1+C2509*0.25</f>
        <v>1</v>
      </c>
      <c r="H2509" s="0" t="n">
        <f aca="false">-1+D2509*0.25</f>
        <v>-0.5</v>
      </c>
      <c r="I2509" s="0" t="n">
        <f aca="false">1</f>
        <v>1</v>
      </c>
      <c r="J2509" s="0" t="n">
        <f aca="false">E2509</f>
        <v>-0.25</v>
      </c>
      <c r="K2509" s="0" t="n">
        <f aca="false">F2509</f>
        <v>-0.25</v>
      </c>
      <c r="L2509" s="0" t="n">
        <f aca="false">G2509</f>
        <v>1</v>
      </c>
      <c r="M2509" s="0" t="n">
        <f aca="false">H2509</f>
        <v>-0.5</v>
      </c>
      <c r="N2509" s="0" t="n">
        <f aca="false">E2509*F2509</f>
        <v>0.0625</v>
      </c>
      <c r="O2509" s="0" t="n">
        <f aca="false">E2509*G2509</f>
        <v>-0.25</v>
      </c>
      <c r="P2509" s="0" t="n">
        <f aca="false">E2509*H2509</f>
        <v>0.125</v>
      </c>
      <c r="Q2509" s="0" t="n">
        <f aca="false">F2509*G2509</f>
        <v>-0.25</v>
      </c>
      <c r="R2509" s="0" t="n">
        <f aca="false">F2509*H2509</f>
        <v>0.125</v>
      </c>
      <c r="S2509" s="0" t="n">
        <f aca="false">G2509*H2509</f>
        <v>-0.5</v>
      </c>
      <c r="T2509" s="0" t="n">
        <f aca="false">E2509*E2509</f>
        <v>0.0625</v>
      </c>
      <c r="U2509" s="0" t="n">
        <f aca="false">F2509*F2509</f>
        <v>0.0625</v>
      </c>
      <c r="V2509" s="0" t="n">
        <f aca="false">G2509*G2509</f>
        <v>1</v>
      </c>
      <c r="W2509" s="0" t="n">
        <f aca="false">H2509*H2509</f>
        <v>0.25</v>
      </c>
      <c r="X2509" s="0" t="n">
        <f aca="false">SUMPRODUCT(I2509:W2509,_XtX!$B$96:$P$96)</f>
        <v>46.5625730994152</v>
      </c>
      <c r="Y2509" s="0" t="n">
        <f aca="false">SUMPRODUCT(MMULT(I2509:W2509,_XtX!$B$78:$P$92),I2509:W2509)</f>
        <v>0.445705123812135</v>
      </c>
      <c r="Z2509" s="0" t="n">
        <f aca="false">04_回帰ANOVA!$K$19*04_回帰ANOVA!$K$14*SQRT(1+Y2509)</f>
        <v>1.56724990734749</v>
      </c>
      <c r="AA2509" s="0" t="n">
        <f aca="false">X2509-Z2509</f>
        <v>44.9953231920677</v>
      </c>
      <c r="AB2509" s="0" t="n">
        <f aca="false">X2509+Z2509</f>
        <v>48.1298230067627</v>
      </c>
      <c r="AC2509" s="54" t="b">
        <f aca="false">AND(E2509&gt;=01_因子設定!$L$5-0.000000001,E2509&lt;=01_因子設定!$M$5+0.000000001,F2509&gt;=01_因子設定!$L$6-0.000000001,F2509&lt;=01_因子設定!$M$6+0.000000001,G2509&gt;=01_因子設定!$L$7-0.000000001,G2509&lt;=01_因子設定!$M$7+0.000000001,H2509&gt;=01_因子設定!$L$8-0.000000001,H2509&lt;=01_因子設定!$M$8+0.000000001,IF(01_因子設定!$B$20="Box-Behnken",E2509^2+F2509^2+G2509^2+H2509^2&lt;=2+0.000000001,TRUE()))</f>
        <v>1</v>
      </c>
      <c r="AD2509" s="55" t="n">
        <f aca="false">IF(AC2509,IF(01_因子設定!$B$13="最大化",AA2509-01_因子設定!$B$14,IF(01_因子設定!$B$13="最小化",01_因子設定!$B$15-AB2509,MIN(AA2509-01_因子設定!$B$14,01_因子設定!$B$15-AB2509))),-1E+030)</f>
        <v>-1.50467680793233</v>
      </c>
      <c r="AE2509" s="55" t="n">
        <f aca="false">IF(AC2509,IF(01_因子設定!$B$13="最大化",X2509,IF(01_因子設定!$B$13="最小化",-X2509,-ABS(X2509-01_因子設定!$B$16))),-1E+030)</f>
        <v>46.5625730994152</v>
      </c>
      <c r="AF2509" s="55" t="n">
        <f aca="false">AD2509+ROW()*0.000000001</f>
        <v>-1.50467429893233</v>
      </c>
      <c r="AG2509" s="55" t="n">
        <f aca="false">AE2509+ROW()*0.000000001</f>
        <v>46.5625756084152</v>
      </c>
    </row>
    <row r="2510" customFormat="false" ht="15" hidden="false" customHeight="false" outlineLevel="0" collapsed="false">
      <c r="A2510" s="0" t="n">
        <v>3</v>
      </c>
      <c r="B2510" s="0" t="n">
        <v>3</v>
      </c>
      <c r="C2510" s="0" t="n">
        <v>8</v>
      </c>
      <c r="D2510" s="0" t="n">
        <v>3</v>
      </c>
      <c r="E2510" s="0" t="n">
        <f aca="false">-1+A2510*0.25</f>
        <v>-0.25</v>
      </c>
      <c r="F2510" s="0" t="n">
        <f aca="false">-1+B2510*0.25</f>
        <v>-0.25</v>
      </c>
      <c r="G2510" s="0" t="n">
        <f aca="false">-1+C2510*0.25</f>
        <v>1</v>
      </c>
      <c r="H2510" s="0" t="n">
        <f aca="false">-1+D2510*0.25</f>
        <v>-0.25</v>
      </c>
      <c r="I2510" s="0" t="n">
        <f aca="false">1</f>
        <v>1</v>
      </c>
      <c r="J2510" s="0" t="n">
        <f aca="false">E2510</f>
        <v>-0.25</v>
      </c>
      <c r="K2510" s="0" t="n">
        <f aca="false">F2510</f>
        <v>-0.25</v>
      </c>
      <c r="L2510" s="0" t="n">
        <f aca="false">G2510</f>
        <v>1</v>
      </c>
      <c r="M2510" s="0" t="n">
        <f aca="false">H2510</f>
        <v>-0.25</v>
      </c>
      <c r="N2510" s="0" t="n">
        <f aca="false">E2510*F2510</f>
        <v>0.0625</v>
      </c>
      <c r="O2510" s="0" t="n">
        <f aca="false">E2510*G2510</f>
        <v>-0.25</v>
      </c>
      <c r="P2510" s="0" t="n">
        <f aca="false">E2510*H2510</f>
        <v>0.0625</v>
      </c>
      <c r="Q2510" s="0" t="n">
        <f aca="false">F2510*G2510</f>
        <v>-0.25</v>
      </c>
      <c r="R2510" s="0" t="n">
        <f aca="false">F2510*H2510</f>
        <v>0.0625</v>
      </c>
      <c r="S2510" s="0" t="n">
        <f aca="false">G2510*H2510</f>
        <v>-0.25</v>
      </c>
      <c r="T2510" s="0" t="n">
        <f aca="false">E2510*E2510</f>
        <v>0.0625</v>
      </c>
      <c r="U2510" s="0" t="n">
        <f aca="false">F2510*F2510</f>
        <v>0.0625</v>
      </c>
      <c r="V2510" s="0" t="n">
        <f aca="false">G2510*G2510</f>
        <v>1</v>
      </c>
      <c r="W2510" s="0" t="n">
        <f aca="false">H2510*H2510</f>
        <v>0.0625</v>
      </c>
      <c r="X2510" s="0" t="n">
        <f aca="false">SUMPRODUCT(I2510:W2510,_XtX!$B$96:$P$96)</f>
        <v>46.8130162646198</v>
      </c>
      <c r="Y2510" s="0" t="n">
        <f aca="false">SUMPRODUCT(MMULT(I2510:W2510,_XtX!$B$78:$P$92),I2510:W2510)</f>
        <v>0.457466705500731</v>
      </c>
      <c r="Z2510" s="0" t="n">
        <f aca="false">04_回帰ANOVA!$K$19*04_回帰ANOVA!$K$14*SQRT(1+Y2510)</f>
        <v>1.57361220003999</v>
      </c>
      <c r="AA2510" s="0" t="n">
        <f aca="false">X2510-Z2510</f>
        <v>45.2394040645798</v>
      </c>
      <c r="AB2510" s="0" t="n">
        <f aca="false">X2510+Z2510</f>
        <v>48.3866284646598</v>
      </c>
      <c r="AC2510" s="54" t="b">
        <f aca="false">AND(E2510&gt;=01_因子設定!$L$5-0.000000001,E2510&lt;=01_因子設定!$M$5+0.000000001,F2510&gt;=01_因子設定!$L$6-0.000000001,F2510&lt;=01_因子設定!$M$6+0.000000001,G2510&gt;=01_因子設定!$L$7-0.000000001,G2510&lt;=01_因子設定!$M$7+0.000000001,H2510&gt;=01_因子設定!$L$8-0.000000001,H2510&lt;=01_因子設定!$M$8+0.000000001,IF(01_因子設定!$B$20="Box-Behnken",E2510^2+F2510^2+G2510^2+H2510^2&lt;=2+0.000000001,TRUE()))</f>
        <v>1</v>
      </c>
      <c r="AD2510" s="55" t="n">
        <f aca="false">IF(AC2510,IF(01_因子設定!$B$13="最大化",AA2510-01_因子設定!$B$14,IF(01_因子設定!$B$13="最小化",01_因子設定!$B$15-AB2510,MIN(AA2510-01_因子設定!$B$14,01_因子設定!$B$15-AB2510))),-1E+030)</f>
        <v>-1.26059593542016</v>
      </c>
      <c r="AE2510" s="55" t="n">
        <f aca="false">IF(AC2510,IF(01_因子設定!$B$13="最大化",X2510,IF(01_因子設定!$B$13="最小化",-X2510,-ABS(X2510-01_因子設定!$B$16))),-1E+030)</f>
        <v>46.8130162646198</v>
      </c>
      <c r="AF2510" s="55" t="n">
        <f aca="false">AD2510+ROW()*0.000000001</f>
        <v>-1.26059342542016</v>
      </c>
      <c r="AG2510" s="55" t="n">
        <f aca="false">AE2510+ROW()*0.000000001</f>
        <v>46.8130187746198</v>
      </c>
    </row>
    <row r="2511" customFormat="false" ht="15" hidden="false" customHeight="false" outlineLevel="0" collapsed="false">
      <c r="A2511" s="0" t="n">
        <v>3</v>
      </c>
      <c r="B2511" s="0" t="n">
        <v>3</v>
      </c>
      <c r="C2511" s="0" t="n">
        <v>8</v>
      </c>
      <c r="D2511" s="0" t="n">
        <v>4</v>
      </c>
      <c r="E2511" s="0" t="n">
        <f aca="false">-1+A2511*0.25</f>
        <v>-0.25</v>
      </c>
      <c r="F2511" s="0" t="n">
        <f aca="false">-1+B2511*0.25</f>
        <v>-0.25</v>
      </c>
      <c r="G2511" s="0" t="n">
        <f aca="false">-1+C2511*0.25</f>
        <v>1</v>
      </c>
      <c r="H2511" s="0" t="n">
        <f aca="false">-1+D2511*0.25</f>
        <v>0</v>
      </c>
      <c r="I2511" s="0" t="n">
        <f aca="false">1</f>
        <v>1</v>
      </c>
      <c r="J2511" s="0" t="n">
        <f aca="false">E2511</f>
        <v>-0.25</v>
      </c>
      <c r="K2511" s="0" t="n">
        <f aca="false">F2511</f>
        <v>-0.25</v>
      </c>
      <c r="L2511" s="0" t="n">
        <f aca="false">G2511</f>
        <v>1</v>
      </c>
      <c r="M2511" s="0" t="n">
        <f aca="false">H2511</f>
        <v>0</v>
      </c>
      <c r="N2511" s="0" t="n">
        <f aca="false">E2511*F2511</f>
        <v>0.0625</v>
      </c>
      <c r="O2511" s="0" t="n">
        <f aca="false">E2511*G2511</f>
        <v>-0.25</v>
      </c>
      <c r="P2511" s="0" t="n">
        <f aca="false">E2511*H2511</f>
        <v>-0</v>
      </c>
      <c r="Q2511" s="0" t="n">
        <f aca="false">F2511*G2511</f>
        <v>-0.25</v>
      </c>
      <c r="R2511" s="0" t="n">
        <f aca="false">F2511*H2511</f>
        <v>-0</v>
      </c>
      <c r="S2511" s="0" t="n">
        <f aca="false">G2511*H2511</f>
        <v>0</v>
      </c>
      <c r="T2511" s="0" t="n">
        <f aca="false">E2511*E2511</f>
        <v>0.0625</v>
      </c>
      <c r="U2511" s="0" t="n">
        <f aca="false">F2511*F2511</f>
        <v>0.0625</v>
      </c>
      <c r="V2511" s="0" t="n">
        <f aca="false">G2511*G2511</f>
        <v>1</v>
      </c>
      <c r="W2511" s="0" t="n">
        <f aca="false">H2511*H2511</f>
        <v>0</v>
      </c>
      <c r="X2511" s="0" t="n">
        <f aca="false">SUMPRODUCT(I2511:W2511,_XtX!$B$96:$P$96)</f>
        <v>47.0156524122806</v>
      </c>
      <c r="Y2511" s="0" t="n">
        <f aca="false">SUMPRODUCT(MMULT(I2511:W2511,_XtX!$B$78:$P$92),I2511:W2511)</f>
        <v>0.467417934484649</v>
      </c>
      <c r="Z2511" s="0" t="n">
        <f aca="false">04_回帰ANOVA!$K$19*04_回帰ANOVA!$K$14*SQRT(1+Y2511)</f>
        <v>1.57897518244497</v>
      </c>
      <c r="AA2511" s="0" t="n">
        <f aca="false">X2511-Z2511</f>
        <v>45.4366772298357</v>
      </c>
      <c r="AB2511" s="0" t="n">
        <f aca="false">X2511+Z2511</f>
        <v>48.5946275947256</v>
      </c>
      <c r="AC2511" s="54" t="b">
        <f aca="false">AND(E2511&gt;=01_因子設定!$L$5-0.000000001,E2511&lt;=01_因子設定!$M$5+0.000000001,F2511&gt;=01_因子設定!$L$6-0.000000001,F2511&lt;=01_因子設定!$M$6+0.000000001,G2511&gt;=01_因子設定!$L$7-0.000000001,G2511&lt;=01_因子設定!$M$7+0.000000001,H2511&gt;=01_因子設定!$L$8-0.000000001,H2511&lt;=01_因子設定!$M$8+0.000000001,IF(01_因子設定!$B$20="Box-Behnken",E2511^2+F2511^2+G2511^2+H2511^2&lt;=2+0.000000001,TRUE()))</f>
        <v>1</v>
      </c>
      <c r="AD2511" s="55" t="n">
        <f aca="false">IF(AC2511,IF(01_因子設定!$B$13="最大化",AA2511-01_因子設定!$B$14,IF(01_因子設定!$B$13="最小化",01_因子設定!$B$15-AB2511,MIN(AA2511-01_因子設定!$B$14,01_因子設定!$B$15-AB2511))),-1E+030)</f>
        <v>-1.06332277016433</v>
      </c>
      <c r="AE2511" s="55" t="n">
        <f aca="false">IF(AC2511,IF(01_因子設定!$B$13="最大化",X2511,IF(01_因子設定!$B$13="最小化",-X2511,-ABS(X2511-01_因子設定!$B$16))),-1E+030)</f>
        <v>47.0156524122806</v>
      </c>
      <c r="AF2511" s="55" t="n">
        <f aca="false">AD2511+ROW()*0.000000001</f>
        <v>-1.06332025916433</v>
      </c>
      <c r="AG2511" s="55" t="n">
        <f aca="false">AE2511+ROW()*0.000000001</f>
        <v>47.0156549232806</v>
      </c>
    </row>
    <row r="2512" customFormat="false" ht="15" hidden="false" customHeight="false" outlineLevel="0" collapsed="false">
      <c r="A2512" s="0" t="n">
        <v>3</v>
      </c>
      <c r="B2512" s="0" t="n">
        <v>3</v>
      </c>
      <c r="C2512" s="0" t="n">
        <v>8</v>
      </c>
      <c r="D2512" s="0" t="n">
        <v>5</v>
      </c>
      <c r="E2512" s="0" t="n">
        <f aca="false">-1+A2512*0.25</f>
        <v>-0.25</v>
      </c>
      <c r="F2512" s="0" t="n">
        <f aca="false">-1+B2512*0.25</f>
        <v>-0.25</v>
      </c>
      <c r="G2512" s="0" t="n">
        <f aca="false">-1+C2512*0.25</f>
        <v>1</v>
      </c>
      <c r="H2512" s="0" t="n">
        <f aca="false">-1+D2512*0.25</f>
        <v>0.25</v>
      </c>
      <c r="I2512" s="0" t="n">
        <f aca="false">1</f>
        <v>1</v>
      </c>
      <c r="J2512" s="0" t="n">
        <f aca="false">E2512</f>
        <v>-0.25</v>
      </c>
      <c r="K2512" s="0" t="n">
        <f aca="false">F2512</f>
        <v>-0.25</v>
      </c>
      <c r="L2512" s="0" t="n">
        <f aca="false">G2512</f>
        <v>1</v>
      </c>
      <c r="M2512" s="0" t="n">
        <f aca="false">H2512</f>
        <v>0.25</v>
      </c>
      <c r="N2512" s="0" t="n">
        <f aca="false">E2512*F2512</f>
        <v>0.0625</v>
      </c>
      <c r="O2512" s="0" t="n">
        <f aca="false">E2512*G2512</f>
        <v>-0.25</v>
      </c>
      <c r="P2512" s="0" t="n">
        <f aca="false">E2512*H2512</f>
        <v>-0.0625</v>
      </c>
      <c r="Q2512" s="0" t="n">
        <f aca="false">F2512*G2512</f>
        <v>-0.25</v>
      </c>
      <c r="R2512" s="0" t="n">
        <f aca="false">F2512*H2512</f>
        <v>-0.0625</v>
      </c>
      <c r="S2512" s="0" t="n">
        <f aca="false">G2512*H2512</f>
        <v>0.25</v>
      </c>
      <c r="T2512" s="0" t="n">
        <f aca="false">E2512*E2512</f>
        <v>0.0625</v>
      </c>
      <c r="U2512" s="0" t="n">
        <f aca="false">F2512*F2512</f>
        <v>0.0625</v>
      </c>
      <c r="V2512" s="0" t="n">
        <f aca="false">G2512*G2512</f>
        <v>1</v>
      </c>
      <c r="W2512" s="0" t="n">
        <f aca="false">H2512*H2512</f>
        <v>0.0625</v>
      </c>
      <c r="X2512" s="0" t="n">
        <f aca="false">SUMPRODUCT(I2512:W2512,_XtX!$B$96:$P$96)</f>
        <v>47.1704815423976</v>
      </c>
      <c r="Y2512" s="0" t="n">
        <f aca="false">SUMPRODUCT(MMULT(I2512:W2512,_XtX!$B$78:$P$92),I2512:W2512)</f>
        <v>0.457466705500731</v>
      </c>
      <c r="Z2512" s="0" t="n">
        <f aca="false">04_回帰ANOVA!$K$19*04_回帰ANOVA!$K$14*SQRT(1+Y2512)</f>
        <v>1.57361220003999</v>
      </c>
      <c r="AA2512" s="0" t="n">
        <f aca="false">X2512-Z2512</f>
        <v>45.5968693423576</v>
      </c>
      <c r="AB2512" s="0" t="n">
        <f aca="false">X2512+Z2512</f>
        <v>48.7440937424376</v>
      </c>
      <c r="AC2512" s="54" t="b">
        <f aca="false">AND(E2512&gt;=01_因子設定!$L$5-0.000000001,E2512&lt;=01_因子設定!$M$5+0.000000001,F2512&gt;=01_因子設定!$L$6-0.000000001,F2512&lt;=01_因子設定!$M$6+0.000000001,G2512&gt;=01_因子設定!$L$7-0.000000001,G2512&lt;=01_因子設定!$M$7+0.000000001,H2512&gt;=01_因子設定!$L$8-0.000000001,H2512&lt;=01_因子設定!$M$8+0.000000001,IF(01_因子設定!$B$20="Box-Behnken",E2512^2+F2512^2+G2512^2+H2512^2&lt;=2+0.000000001,TRUE()))</f>
        <v>1</v>
      </c>
      <c r="AD2512" s="55" t="n">
        <f aca="false">IF(AC2512,IF(01_因子設定!$B$13="最大化",AA2512-01_因子設定!$B$14,IF(01_因子設定!$B$13="最小化",01_因子設定!$B$15-AB2512,MIN(AA2512-01_因子設定!$B$14,01_因子設定!$B$15-AB2512))),-1E+030)</f>
        <v>-0.903130657642386</v>
      </c>
      <c r="AE2512" s="55" t="n">
        <f aca="false">IF(AC2512,IF(01_因子設定!$B$13="最大化",X2512,IF(01_因子設定!$B$13="最小化",-X2512,-ABS(X2512-01_因子設定!$B$16))),-1E+030)</f>
        <v>47.1704815423976</v>
      </c>
      <c r="AF2512" s="55" t="n">
        <f aca="false">AD2512+ROW()*0.000000001</f>
        <v>-0.903128145642386</v>
      </c>
      <c r="AG2512" s="55" t="n">
        <f aca="false">AE2512+ROW()*0.000000001</f>
        <v>47.1704840543976</v>
      </c>
    </row>
    <row r="2513" customFormat="false" ht="15" hidden="false" customHeight="false" outlineLevel="0" collapsed="false">
      <c r="A2513" s="0" t="n">
        <v>3</v>
      </c>
      <c r="B2513" s="0" t="n">
        <v>3</v>
      </c>
      <c r="C2513" s="0" t="n">
        <v>8</v>
      </c>
      <c r="D2513" s="0" t="n">
        <v>6</v>
      </c>
      <c r="E2513" s="0" t="n">
        <f aca="false">-1+A2513*0.25</f>
        <v>-0.25</v>
      </c>
      <c r="F2513" s="0" t="n">
        <f aca="false">-1+B2513*0.25</f>
        <v>-0.25</v>
      </c>
      <c r="G2513" s="0" t="n">
        <f aca="false">-1+C2513*0.25</f>
        <v>1</v>
      </c>
      <c r="H2513" s="0" t="n">
        <f aca="false">-1+D2513*0.25</f>
        <v>0.5</v>
      </c>
      <c r="I2513" s="0" t="n">
        <f aca="false">1</f>
        <v>1</v>
      </c>
      <c r="J2513" s="0" t="n">
        <f aca="false">E2513</f>
        <v>-0.25</v>
      </c>
      <c r="K2513" s="0" t="n">
        <f aca="false">F2513</f>
        <v>-0.25</v>
      </c>
      <c r="L2513" s="0" t="n">
        <f aca="false">G2513</f>
        <v>1</v>
      </c>
      <c r="M2513" s="0" t="n">
        <f aca="false">H2513</f>
        <v>0.5</v>
      </c>
      <c r="N2513" s="0" t="n">
        <f aca="false">E2513*F2513</f>
        <v>0.0625</v>
      </c>
      <c r="O2513" s="0" t="n">
        <f aca="false">E2513*G2513</f>
        <v>-0.25</v>
      </c>
      <c r="P2513" s="0" t="n">
        <f aca="false">E2513*H2513</f>
        <v>-0.125</v>
      </c>
      <c r="Q2513" s="0" t="n">
        <f aca="false">F2513*G2513</f>
        <v>-0.25</v>
      </c>
      <c r="R2513" s="0" t="n">
        <f aca="false">F2513*H2513</f>
        <v>-0.125</v>
      </c>
      <c r="S2513" s="0" t="n">
        <f aca="false">G2513*H2513</f>
        <v>0.5</v>
      </c>
      <c r="T2513" s="0" t="n">
        <f aca="false">E2513*E2513</f>
        <v>0.0625</v>
      </c>
      <c r="U2513" s="0" t="n">
        <f aca="false">F2513*F2513</f>
        <v>0.0625</v>
      </c>
      <c r="V2513" s="0" t="n">
        <f aca="false">G2513*G2513</f>
        <v>1</v>
      </c>
      <c r="W2513" s="0" t="n">
        <f aca="false">H2513*H2513</f>
        <v>0.25</v>
      </c>
      <c r="X2513" s="0" t="n">
        <f aca="false">SUMPRODUCT(I2513:W2513,_XtX!$B$96:$P$96)</f>
        <v>47.2775036549707</v>
      </c>
      <c r="Y2513" s="0" t="n">
        <f aca="false">SUMPRODUCT(MMULT(I2513:W2513,_XtX!$B$78:$P$92),I2513:W2513)</f>
        <v>0.445705123812135</v>
      </c>
      <c r="Z2513" s="0" t="n">
        <f aca="false">04_回帰ANOVA!$K$19*04_回帰ANOVA!$K$14*SQRT(1+Y2513)</f>
        <v>1.56724990734749</v>
      </c>
      <c r="AA2513" s="0" t="n">
        <f aca="false">X2513-Z2513</f>
        <v>45.7102537476232</v>
      </c>
      <c r="AB2513" s="0" t="n">
        <f aca="false">X2513+Z2513</f>
        <v>48.8447535623182</v>
      </c>
      <c r="AC2513" s="54" t="b">
        <f aca="false">AND(E2513&gt;=01_因子設定!$L$5-0.000000001,E2513&lt;=01_因子設定!$M$5+0.000000001,F2513&gt;=01_因子設定!$L$6-0.000000001,F2513&lt;=01_因子設定!$M$6+0.000000001,G2513&gt;=01_因子設定!$L$7-0.000000001,G2513&lt;=01_因子設定!$M$7+0.000000001,H2513&gt;=01_因子設定!$L$8-0.000000001,H2513&lt;=01_因子設定!$M$8+0.000000001,IF(01_因子設定!$B$20="Box-Behnken",E2513^2+F2513^2+G2513^2+H2513^2&lt;=2+0.000000001,TRUE()))</f>
        <v>1</v>
      </c>
      <c r="AD2513" s="55" t="n">
        <f aca="false">IF(AC2513,IF(01_因子設定!$B$13="最大化",AA2513-01_因子設定!$B$14,IF(01_因子設定!$B$13="最小化",01_因子設定!$B$15-AB2513,MIN(AA2513-01_因子設定!$B$14,01_因子設定!$B$15-AB2513))),-1E+030)</f>
        <v>-0.789746252376773</v>
      </c>
      <c r="AE2513" s="55" t="n">
        <f aca="false">IF(AC2513,IF(01_因子設定!$B$13="最大化",X2513,IF(01_因子設定!$B$13="最小化",-X2513,-ABS(X2513-01_因子設定!$B$16))),-1E+030)</f>
        <v>47.2775036549707</v>
      </c>
      <c r="AF2513" s="55" t="n">
        <f aca="false">AD2513+ROW()*0.000000001</f>
        <v>-0.789743739376773</v>
      </c>
      <c r="AG2513" s="55" t="n">
        <f aca="false">AE2513+ROW()*0.000000001</f>
        <v>47.2775061679707</v>
      </c>
    </row>
    <row r="2514" customFormat="false" ht="15" hidden="false" customHeight="false" outlineLevel="0" collapsed="false">
      <c r="A2514" s="0" t="n">
        <v>3</v>
      </c>
      <c r="B2514" s="0" t="n">
        <v>3</v>
      </c>
      <c r="C2514" s="0" t="n">
        <v>8</v>
      </c>
      <c r="D2514" s="0" t="n">
        <v>7</v>
      </c>
      <c r="E2514" s="0" t="n">
        <f aca="false">-1+A2514*0.25</f>
        <v>-0.25</v>
      </c>
      <c r="F2514" s="0" t="n">
        <f aca="false">-1+B2514*0.25</f>
        <v>-0.25</v>
      </c>
      <c r="G2514" s="0" t="n">
        <f aca="false">-1+C2514*0.25</f>
        <v>1</v>
      </c>
      <c r="H2514" s="0" t="n">
        <f aca="false">-1+D2514*0.25</f>
        <v>0.75</v>
      </c>
      <c r="I2514" s="0" t="n">
        <f aca="false">1</f>
        <v>1</v>
      </c>
      <c r="J2514" s="0" t="n">
        <f aca="false">E2514</f>
        <v>-0.25</v>
      </c>
      <c r="K2514" s="0" t="n">
        <f aca="false">F2514</f>
        <v>-0.25</v>
      </c>
      <c r="L2514" s="0" t="n">
        <f aca="false">G2514</f>
        <v>1</v>
      </c>
      <c r="M2514" s="0" t="n">
        <f aca="false">H2514</f>
        <v>0.75</v>
      </c>
      <c r="N2514" s="0" t="n">
        <f aca="false">E2514*F2514</f>
        <v>0.0625</v>
      </c>
      <c r="O2514" s="0" t="n">
        <f aca="false">E2514*G2514</f>
        <v>-0.25</v>
      </c>
      <c r="P2514" s="0" t="n">
        <f aca="false">E2514*H2514</f>
        <v>-0.1875</v>
      </c>
      <c r="Q2514" s="0" t="n">
        <f aca="false">F2514*G2514</f>
        <v>-0.25</v>
      </c>
      <c r="R2514" s="0" t="n">
        <f aca="false">F2514*H2514</f>
        <v>-0.1875</v>
      </c>
      <c r="S2514" s="0" t="n">
        <f aca="false">G2514*H2514</f>
        <v>0.75</v>
      </c>
      <c r="T2514" s="0" t="n">
        <f aca="false">E2514*E2514</f>
        <v>0.0625</v>
      </c>
      <c r="U2514" s="0" t="n">
        <f aca="false">F2514*F2514</f>
        <v>0.0625</v>
      </c>
      <c r="V2514" s="0" t="n">
        <f aca="false">G2514*G2514</f>
        <v>1</v>
      </c>
      <c r="W2514" s="0" t="n">
        <f aca="false">H2514*H2514</f>
        <v>0.5625</v>
      </c>
      <c r="X2514" s="0" t="n">
        <f aca="false">SUMPRODUCT(I2514:W2514,_XtX!$B$96:$P$96)</f>
        <v>47.33671875</v>
      </c>
      <c r="Y2514" s="0" t="n">
        <f aca="false">SUMPRODUCT(MMULT(I2514:W2514,_XtX!$B$78:$P$92),I2514:W2514)</f>
        <v>0.486409505208334</v>
      </c>
      <c r="Z2514" s="0" t="n">
        <f aca="false">04_回帰ANOVA!$K$19*04_回帰ANOVA!$K$14*SQRT(1+Y2514)</f>
        <v>1.58916001665498</v>
      </c>
      <c r="AA2514" s="0" t="n">
        <f aca="false">X2514-Z2514</f>
        <v>45.747558733345</v>
      </c>
      <c r="AB2514" s="0" t="n">
        <f aca="false">X2514+Z2514</f>
        <v>48.925878766655</v>
      </c>
      <c r="AC2514" s="54" t="b">
        <f aca="false">AND(E2514&gt;=01_因子設定!$L$5-0.000000001,E2514&lt;=01_因子設定!$M$5+0.000000001,F2514&gt;=01_因子設定!$L$6-0.000000001,F2514&lt;=01_因子設定!$M$6+0.000000001,G2514&gt;=01_因子設定!$L$7-0.000000001,G2514&lt;=01_因子設定!$M$7+0.000000001,H2514&gt;=01_因子設定!$L$8-0.000000001,H2514&lt;=01_因子設定!$M$8+0.000000001,IF(01_因子設定!$B$20="Box-Behnken",E2514^2+F2514^2+G2514^2+H2514^2&lt;=2+0.000000001,TRUE()))</f>
        <v>1</v>
      </c>
      <c r="AD2514" s="55" t="n">
        <f aca="false">IF(AC2514,IF(01_因子設定!$B$13="最大化",AA2514-01_因子設定!$B$14,IF(01_因子設定!$B$13="最小化",01_因子設定!$B$15-AB2514,MIN(AA2514-01_因子設定!$B$14,01_因子設定!$B$15-AB2514))),-1E+030)</f>
        <v>-0.752441266655012</v>
      </c>
      <c r="AE2514" s="55" t="n">
        <f aca="false">IF(AC2514,IF(01_因子設定!$B$13="最大化",X2514,IF(01_因子設定!$B$13="最小化",-X2514,-ABS(X2514-01_因子設定!$B$16))),-1E+030)</f>
        <v>47.33671875</v>
      </c>
      <c r="AF2514" s="55" t="n">
        <f aca="false">AD2514+ROW()*0.000000001</f>
        <v>-0.752438752655012</v>
      </c>
      <c r="AG2514" s="55" t="n">
        <f aca="false">AE2514+ROW()*0.000000001</f>
        <v>47.336721264</v>
      </c>
    </row>
    <row r="2515" customFormat="false" ht="15" hidden="false" customHeight="false" outlineLevel="0" collapsed="false">
      <c r="A2515" s="0" t="n">
        <v>3</v>
      </c>
      <c r="B2515" s="0" t="n">
        <v>3</v>
      </c>
      <c r="C2515" s="0" t="n">
        <v>8</v>
      </c>
      <c r="D2515" s="0" t="n">
        <v>8</v>
      </c>
      <c r="E2515" s="0" t="n">
        <f aca="false">-1+A2515*0.25</f>
        <v>-0.25</v>
      </c>
      <c r="F2515" s="0" t="n">
        <f aca="false">-1+B2515*0.25</f>
        <v>-0.25</v>
      </c>
      <c r="G2515" s="0" t="n">
        <f aca="false">-1+C2515*0.25</f>
        <v>1</v>
      </c>
      <c r="H2515" s="0" t="n">
        <f aca="false">-1+D2515*0.25</f>
        <v>1</v>
      </c>
      <c r="I2515" s="0" t="n">
        <f aca="false">1</f>
        <v>1</v>
      </c>
      <c r="J2515" s="0" t="n">
        <f aca="false">E2515</f>
        <v>-0.25</v>
      </c>
      <c r="K2515" s="0" t="n">
        <f aca="false">F2515</f>
        <v>-0.25</v>
      </c>
      <c r="L2515" s="0" t="n">
        <f aca="false">G2515</f>
        <v>1</v>
      </c>
      <c r="M2515" s="0" t="n">
        <f aca="false">H2515</f>
        <v>1</v>
      </c>
      <c r="N2515" s="0" t="n">
        <f aca="false">E2515*F2515</f>
        <v>0.0625</v>
      </c>
      <c r="O2515" s="0" t="n">
        <f aca="false">E2515*G2515</f>
        <v>-0.25</v>
      </c>
      <c r="P2515" s="0" t="n">
        <f aca="false">E2515*H2515</f>
        <v>-0.25</v>
      </c>
      <c r="Q2515" s="0" t="n">
        <f aca="false">F2515*G2515</f>
        <v>-0.25</v>
      </c>
      <c r="R2515" s="0" t="n">
        <f aca="false">F2515*H2515</f>
        <v>-0.25</v>
      </c>
      <c r="S2515" s="0" t="n">
        <f aca="false">G2515*H2515</f>
        <v>1</v>
      </c>
      <c r="T2515" s="0" t="n">
        <f aca="false">E2515*E2515</f>
        <v>0.0625</v>
      </c>
      <c r="U2515" s="0" t="n">
        <f aca="false">F2515*F2515</f>
        <v>0.0625</v>
      </c>
      <c r="V2515" s="0" t="n">
        <f aca="false">G2515*G2515</f>
        <v>1</v>
      </c>
      <c r="W2515" s="0" t="n">
        <f aca="false">H2515*H2515</f>
        <v>1</v>
      </c>
      <c r="X2515" s="0" t="n">
        <f aca="false">SUMPRODUCT(I2515:W2515,_XtX!$B$96:$P$96)</f>
        <v>47.3481268274854</v>
      </c>
      <c r="Y2515" s="0" t="n">
        <f aca="false">SUMPRODUCT(MMULT(I2515:W2515,_XtX!$B$78:$P$92),I2515:W2515)</f>
        <v>0.670040376005117</v>
      </c>
      <c r="Z2515" s="0" t="n">
        <f aca="false">04_回帰ANOVA!$K$19*04_回帰ANOVA!$K$14*SQRT(1+Y2515)</f>
        <v>1.68446456039992</v>
      </c>
      <c r="AA2515" s="0" t="n">
        <f aca="false">X2515-Z2515</f>
        <v>45.6636622670854</v>
      </c>
      <c r="AB2515" s="0" t="n">
        <f aca="false">X2515+Z2515</f>
        <v>49.0325913878853</v>
      </c>
      <c r="AC2515" s="54" t="b">
        <f aca="false">AND(E2515&gt;=01_因子設定!$L$5-0.000000001,E2515&lt;=01_因子設定!$M$5+0.000000001,F2515&gt;=01_因子設定!$L$6-0.000000001,F2515&lt;=01_因子設定!$M$6+0.000000001,G2515&gt;=01_因子設定!$L$7-0.000000001,G2515&lt;=01_因子設定!$M$7+0.000000001,H2515&gt;=01_因子設定!$L$8-0.000000001,H2515&lt;=01_因子設定!$M$8+0.000000001,IF(01_因子設定!$B$20="Box-Behnken",E2515^2+F2515^2+G2515^2+H2515^2&lt;=2+0.000000001,TRUE()))</f>
        <v>1</v>
      </c>
      <c r="AD2515" s="55" t="n">
        <f aca="false">IF(AC2515,IF(01_因子設定!$B$13="最大化",AA2515-01_因子設定!$B$14,IF(01_因子設定!$B$13="最小化",01_因子設定!$B$15-AB2515,MIN(AA2515-01_因子設定!$B$14,01_因子設定!$B$15-AB2515))),-1E+030)</f>
        <v>-0.836337732914558</v>
      </c>
      <c r="AE2515" s="55" t="n">
        <f aca="false">IF(AC2515,IF(01_因子設定!$B$13="最大化",X2515,IF(01_因子設定!$B$13="最小化",-X2515,-ABS(X2515-01_因子設定!$B$16))),-1E+030)</f>
        <v>47.3481268274854</v>
      </c>
      <c r="AF2515" s="55" t="n">
        <f aca="false">AD2515+ROW()*0.000000001</f>
        <v>-0.836335217914558</v>
      </c>
      <c r="AG2515" s="55" t="n">
        <f aca="false">AE2515+ROW()*0.000000001</f>
        <v>47.3481293424854</v>
      </c>
    </row>
    <row r="2516" customFormat="false" ht="15" hidden="false" customHeight="false" outlineLevel="0" collapsed="false">
      <c r="A2516" s="0" t="n">
        <v>3</v>
      </c>
      <c r="B2516" s="0" t="n">
        <v>4</v>
      </c>
      <c r="C2516" s="0" t="n">
        <v>0</v>
      </c>
      <c r="D2516" s="0" t="n">
        <v>0</v>
      </c>
      <c r="E2516" s="0" t="n">
        <f aca="false">-1+A2516*0.25</f>
        <v>-0.25</v>
      </c>
      <c r="F2516" s="0" t="n">
        <f aca="false">-1+B2516*0.25</f>
        <v>0</v>
      </c>
      <c r="G2516" s="0" t="n">
        <f aca="false">-1+C2516*0.25</f>
        <v>-1</v>
      </c>
      <c r="H2516" s="0" t="n">
        <f aca="false">-1+D2516*0.25</f>
        <v>-1</v>
      </c>
      <c r="I2516" s="0" t="n">
        <f aca="false">1</f>
        <v>1</v>
      </c>
      <c r="J2516" s="0" t="n">
        <f aca="false">E2516</f>
        <v>-0.25</v>
      </c>
      <c r="K2516" s="0" t="n">
        <f aca="false">F2516</f>
        <v>0</v>
      </c>
      <c r="L2516" s="0" t="n">
        <f aca="false">G2516</f>
        <v>-1</v>
      </c>
      <c r="M2516" s="0" t="n">
        <f aca="false">H2516</f>
        <v>-1</v>
      </c>
      <c r="N2516" s="0" t="n">
        <f aca="false">E2516*F2516</f>
        <v>-0</v>
      </c>
      <c r="O2516" s="0" t="n">
        <f aca="false">E2516*G2516</f>
        <v>0.25</v>
      </c>
      <c r="P2516" s="0" t="n">
        <f aca="false">E2516*H2516</f>
        <v>0.25</v>
      </c>
      <c r="Q2516" s="0" t="n">
        <f aca="false">F2516*G2516</f>
        <v>-0</v>
      </c>
      <c r="R2516" s="0" t="n">
        <f aca="false">F2516*H2516</f>
        <v>-0</v>
      </c>
      <c r="S2516" s="0" t="n">
        <f aca="false">G2516*H2516</f>
        <v>1</v>
      </c>
      <c r="T2516" s="0" t="n">
        <f aca="false">E2516*E2516</f>
        <v>0.0625</v>
      </c>
      <c r="U2516" s="0" t="n">
        <f aca="false">F2516*F2516</f>
        <v>0</v>
      </c>
      <c r="V2516" s="0" t="n">
        <f aca="false">G2516*G2516</f>
        <v>1</v>
      </c>
      <c r="W2516" s="0" t="n">
        <f aca="false">H2516*H2516</f>
        <v>1</v>
      </c>
      <c r="X2516" s="0" t="n">
        <f aca="false">SUMPRODUCT(I2516:W2516,_XtX!$B$96:$P$96)</f>
        <v>44.9475511695906</v>
      </c>
      <c r="Y2516" s="0" t="n">
        <f aca="false">SUMPRODUCT(MMULT(I2516:W2516,_XtX!$B$78:$P$92),I2516:W2516)</f>
        <v>0.689692982456141</v>
      </c>
      <c r="Z2516" s="0" t="n">
        <f aca="false">04_回帰ANOVA!$K$19*04_回帰ANOVA!$K$14*SQRT(1+Y2516)</f>
        <v>1.69434674594998</v>
      </c>
      <c r="AA2516" s="0" t="n">
        <f aca="false">X2516-Z2516</f>
        <v>43.2532044236406</v>
      </c>
      <c r="AB2516" s="0" t="n">
        <f aca="false">X2516+Z2516</f>
        <v>46.6418979155406</v>
      </c>
      <c r="AC2516" s="54" t="b">
        <f aca="false">AND(E2516&gt;=01_因子設定!$L$5-0.000000001,E2516&lt;=01_因子設定!$M$5+0.000000001,F2516&gt;=01_因子設定!$L$6-0.000000001,F2516&lt;=01_因子設定!$M$6+0.000000001,G2516&gt;=01_因子設定!$L$7-0.000000001,G2516&lt;=01_因子設定!$M$7+0.000000001,H2516&gt;=01_因子設定!$L$8-0.000000001,H2516&lt;=01_因子設定!$M$8+0.000000001,IF(01_因子設定!$B$20="Box-Behnken",E2516^2+F2516^2+G2516^2+H2516^2&lt;=2+0.000000001,TRUE()))</f>
        <v>1</v>
      </c>
      <c r="AD2516" s="55" t="n">
        <f aca="false">IF(AC2516,IF(01_因子設定!$B$13="最大化",AA2516-01_因子設定!$B$14,IF(01_因子設定!$B$13="最小化",01_因子設定!$B$15-AB2516,MIN(AA2516-01_因子設定!$B$14,01_因子設定!$B$15-AB2516))),-1E+030)</f>
        <v>-3.24679557635936</v>
      </c>
      <c r="AE2516" s="55" t="n">
        <f aca="false">IF(AC2516,IF(01_因子設定!$B$13="最大化",X2516,IF(01_因子設定!$B$13="最小化",-X2516,-ABS(X2516-01_因子設定!$B$16))),-1E+030)</f>
        <v>44.9475511695906</v>
      </c>
      <c r="AF2516" s="55" t="n">
        <f aca="false">AD2516+ROW()*0.000000001</f>
        <v>-3.24679306035936</v>
      </c>
      <c r="AG2516" s="55" t="n">
        <f aca="false">AE2516+ROW()*0.000000001</f>
        <v>44.9475536855906</v>
      </c>
    </row>
    <row r="2517" customFormat="false" ht="15" hidden="false" customHeight="false" outlineLevel="0" collapsed="false">
      <c r="A2517" s="0" t="n">
        <v>3</v>
      </c>
      <c r="B2517" s="0" t="n">
        <v>4</v>
      </c>
      <c r="C2517" s="0" t="n">
        <v>0</v>
      </c>
      <c r="D2517" s="0" t="n">
        <v>1</v>
      </c>
      <c r="E2517" s="0" t="n">
        <f aca="false">-1+A2517*0.25</f>
        <v>-0.25</v>
      </c>
      <c r="F2517" s="0" t="n">
        <f aca="false">-1+B2517*0.25</f>
        <v>0</v>
      </c>
      <c r="G2517" s="0" t="n">
        <f aca="false">-1+C2517*0.25</f>
        <v>-1</v>
      </c>
      <c r="H2517" s="0" t="n">
        <f aca="false">-1+D2517*0.25</f>
        <v>-0.75</v>
      </c>
      <c r="I2517" s="0" t="n">
        <f aca="false">1</f>
        <v>1</v>
      </c>
      <c r="J2517" s="0" t="n">
        <f aca="false">E2517</f>
        <v>-0.25</v>
      </c>
      <c r="K2517" s="0" t="n">
        <f aca="false">F2517</f>
        <v>0</v>
      </c>
      <c r="L2517" s="0" t="n">
        <f aca="false">G2517</f>
        <v>-1</v>
      </c>
      <c r="M2517" s="0" t="n">
        <f aca="false">H2517</f>
        <v>-0.75</v>
      </c>
      <c r="N2517" s="0" t="n">
        <f aca="false">E2517*F2517</f>
        <v>-0</v>
      </c>
      <c r="O2517" s="0" t="n">
        <f aca="false">E2517*G2517</f>
        <v>0.25</v>
      </c>
      <c r="P2517" s="0" t="n">
        <f aca="false">E2517*H2517</f>
        <v>0.1875</v>
      </c>
      <c r="Q2517" s="0" t="n">
        <f aca="false">F2517*G2517</f>
        <v>-0</v>
      </c>
      <c r="R2517" s="0" t="n">
        <f aca="false">F2517*H2517</f>
        <v>-0</v>
      </c>
      <c r="S2517" s="0" t="n">
        <f aca="false">G2517*H2517</f>
        <v>0.75</v>
      </c>
      <c r="T2517" s="0" t="n">
        <f aca="false">E2517*E2517</f>
        <v>0.0625</v>
      </c>
      <c r="U2517" s="0" t="n">
        <f aca="false">F2517*F2517</f>
        <v>0</v>
      </c>
      <c r="V2517" s="0" t="n">
        <f aca="false">G2517*G2517</f>
        <v>1</v>
      </c>
      <c r="W2517" s="0" t="n">
        <f aca="false">H2517*H2517</f>
        <v>0.5625</v>
      </c>
      <c r="X2517" s="0" t="n">
        <f aca="false">SUMPRODUCT(I2517:W2517,_XtX!$B$96:$P$96)</f>
        <v>45.136577119883</v>
      </c>
      <c r="Y2517" s="0" t="n">
        <f aca="false">SUMPRODUCT(MMULT(I2517:W2517,_XtX!$B$78:$P$92),I2517:W2517)</f>
        <v>0.501534802174708</v>
      </c>
      <c r="Z2517" s="0" t="n">
        <f aca="false">04_回帰ANOVA!$K$19*04_回帰ANOVA!$K$14*SQRT(1+Y2517)</f>
        <v>1.59722498091333</v>
      </c>
      <c r="AA2517" s="0" t="n">
        <f aca="false">X2517-Z2517</f>
        <v>43.5393521389697</v>
      </c>
      <c r="AB2517" s="0" t="n">
        <f aca="false">X2517+Z2517</f>
        <v>46.7338021007963</v>
      </c>
      <c r="AC2517" s="54" t="b">
        <f aca="false">AND(E2517&gt;=01_因子設定!$L$5-0.000000001,E2517&lt;=01_因子設定!$M$5+0.000000001,F2517&gt;=01_因子設定!$L$6-0.000000001,F2517&lt;=01_因子設定!$M$6+0.000000001,G2517&gt;=01_因子設定!$L$7-0.000000001,G2517&lt;=01_因子設定!$M$7+0.000000001,H2517&gt;=01_因子設定!$L$8-0.000000001,H2517&lt;=01_因子設定!$M$8+0.000000001,IF(01_因子設定!$B$20="Box-Behnken",E2517^2+F2517^2+G2517^2+H2517^2&lt;=2+0.000000001,TRUE()))</f>
        <v>1</v>
      </c>
      <c r="AD2517" s="55" t="n">
        <f aca="false">IF(AC2517,IF(01_因子設定!$B$13="最大化",AA2517-01_因子設定!$B$14,IF(01_因子設定!$B$13="最小化",01_因子設定!$B$15-AB2517,MIN(AA2517-01_因子設定!$B$14,01_因子設定!$B$15-AB2517))),-1E+030)</f>
        <v>-2.96064786103032</v>
      </c>
      <c r="AE2517" s="55" t="n">
        <f aca="false">IF(AC2517,IF(01_因子設定!$B$13="最大化",X2517,IF(01_因子設定!$B$13="最小化",-X2517,-ABS(X2517-01_因子設定!$B$16))),-1E+030)</f>
        <v>45.136577119883</v>
      </c>
      <c r="AF2517" s="55" t="n">
        <f aca="false">AD2517+ROW()*0.000000001</f>
        <v>-2.96064534403032</v>
      </c>
      <c r="AG2517" s="55" t="n">
        <f aca="false">AE2517+ROW()*0.000000001</f>
        <v>45.136579636883</v>
      </c>
    </row>
    <row r="2518" customFormat="false" ht="15" hidden="false" customHeight="false" outlineLevel="0" collapsed="false">
      <c r="A2518" s="0" t="n">
        <v>3</v>
      </c>
      <c r="B2518" s="0" t="n">
        <v>4</v>
      </c>
      <c r="C2518" s="0" t="n">
        <v>0</v>
      </c>
      <c r="D2518" s="0" t="n">
        <v>2</v>
      </c>
      <c r="E2518" s="0" t="n">
        <f aca="false">-1+A2518*0.25</f>
        <v>-0.25</v>
      </c>
      <c r="F2518" s="0" t="n">
        <f aca="false">-1+B2518*0.25</f>
        <v>0</v>
      </c>
      <c r="G2518" s="0" t="n">
        <f aca="false">-1+C2518*0.25</f>
        <v>-1</v>
      </c>
      <c r="H2518" s="0" t="n">
        <f aca="false">-1+D2518*0.25</f>
        <v>-0.5</v>
      </c>
      <c r="I2518" s="0" t="n">
        <f aca="false">1</f>
        <v>1</v>
      </c>
      <c r="J2518" s="0" t="n">
        <f aca="false">E2518</f>
        <v>-0.25</v>
      </c>
      <c r="K2518" s="0" t="n">
        <f aca="false">F2518</f>
        <v>0</v>
      </c>
      <c r="L2518" s="0" t="n">
        <f aca="false">G2518</f>
        <v>-1</v>
      </c>
      <c r="M2518" s="0" t="n">
        <f aca="false">H2518</f>
        <v>-0.5</v>
      </c>
      <c r="N2518" s="0" t="n">
        <f aca="false">E2518*F2518</f>
        <v>-0</v>
      </c>
      <c r="O2518" s="0" t="n">
        <f aca="false">E2518*G2518</f>
        <v>0.25</v>
      </c>
      <c r="P2518" s="0" t="n">
        <f aca="false">E2518*H2518</f>
        <v>0.125</v>
      </c>
      <c r="Q2518" s="0" t="n">
        <f aca="false">F2518*G2518</f>
        <v>-0</v>
      </c>
      <c r="R2518" s="0" t="n">
        <f aca="false">F2518*H2518</f>
        <v>-0</v>
      </c>
      <c r="S2518" s="0" t="n">
        <f aca="false">G2518*H2518</f>
        <v>0.5</v>
      </c>
      <c r="T2518" s="0" t="n">
        <f aca="false">E2518*E2518</f>
        <v>0.0625</v>
      </c>
      <c r="U2518" s="0" t="n">
        <f aca="false">F2518*F2518</f>
        <v>0</v>
      </c>
      <c r="V2518" s="0" t="n">
        <f aca="false">G2518*G2518</f>
        <v>1</v>
      </c>
      <c r="W2518" s="0" t="n">
        <f aca="false">H2518*H2518</f>
        <v>0.25</v>
      </c>
      <c r="X2518" s="0" t="n">
        <f aca="false">SUMPRODUCT(I2518:W2518,_XtX!$B$96:$P$96)</f>
        <v>45.2777960526315</v>
      </c>
      <c r="Y2518" s="0" t="n">
        <f aca="false">SUMPRODUCT(MMULT(I2518:W2518,_XtX!$B$78:$P$92),I2518:W2518)</f>
        <v>0.457596628289474</v>
      </c>
      <c r="Z2518" s="0" t="n">
        <f aca="false">04_回帰ANOVA!$K$19*04_回帰ANOVA!$K$14*SQRT(1+Y2518)</f>
        <v>1.57368233664366</v>
      </c>
      <c r="AA2518" s="0" t="n">
        <f aca="false">X2518-Z2518</f>
        <v>43.7041137159879</v>
      </c>
      <c r="AB2518" s="0" t="n">
        <f aca="false">X2518+Z2518</f>
        <v>46.8514783892752</v>
      </c>
      <c r="AC2518" s="54" t="b">
        <f aca="false">AND(E2518&gt;=01_因子設定!$L$5-0.000000001,E2518&lt;=01_因子設定!$M$5+0.000000001,F2518&gt;=01_因子設定!$L$6-0.000000001,F2518&lt;=01_因子設定!$M$6+0.000000001,G2518&gt;=01_因子設定!$L$7-0.000000001,G2518&lt;=01_因子設定!$M$7+0.000000001,H2518&gt;=01_因子設定!$L$8-0.000000001,H2518&lt;=01_因子設定!$M$8+0.000000001,IF(01_因子設定!$B$20="Box-Behnken",E2518^2+F2518^2+G2518^2+H2518^2&lt;=2+0.000000001,TRUE()))</f>
        <v>1</v>
      </c>
      <c r="AD2518" s="55" t="n">
        <f aca="false">IF(AC2518,IF(01_因子設定!$B$13="最大化",AA2518-01_因子設定!$B$14,IF(01_因子設定!$B$13="最小化",01_因子設定!$B$15-AB2518,MIN(AA2518-01_因子設定!$B$14,01_因子設定!$B$15-AB2518))),-1E+030)</f>
        <v>-2.79588628401213</v>
      </c>
      <c r="AE2518" s="55" t="n">
        <f aca="false">IF(AC2518,IF(01_因子設定!$B$13="最大化",X2518,IF(01_因子設定!$B$13="最小化",-X2518,-ABS(X2518-01_因子設定!$B$16))),-1E+030)</f>
        <v>45.2777960526315</v>
      </c>
      <c r="AF2518" s="55" t="n">
        <f aca="false">AD2518+ROW()*0.000000001</f>
        <v>-2.79588376601213</v>
      </c>
      <c r="AG2518" s="55" t="n">
        <f aca="false">AE2518+ROW()*0.000000001</f>
        <v>45.2777985706315</v>
      </c>
    </row>
    <row r="2519" customFormat="false" ht="15" hidden="false" customHeight="false" outlineLevel="0" collapsed="false">
      <c r="A2519" s="0" t="n">
        <v>3</v>
      </c>
      <c r="B2519" s="0" t="n">
        <v>4</v>
      </c>
      <c r="C2519" s="0" t="n">
        <v>0</v>
      </c>
      <c r="D2519" s="0" t="n">
        <v>3</v>
      </c>
      <c r="E2519" s="0" t="n">
        <f aca="false">-1+A2519*0.25</f>
        <v>-0.25</v>
      </c>
      <c r="F2519" s="0" t="n">
        <f aca="false">-1+B2519*0.25</f>
        <v>0</v>
      </c>
      <c r="G2519" s="0" t="n">
        <f aca="false">-1+C2519*0.25</f>
        <v>-1</v>
      </c>
      <c r="H2519" s="0" t="n">
        <f aca="false">-1+D2519*0.25</f>
        <v>-0.25</v>
      </c>
      <c r="I2519" s="0" t="n">
        <f aca="false">1</f>
        <v>1</v>
      </c>
      <c r="J2519" s="0" t="n">
        <f aca="false">E2519</f>
        <v>-0.25</v>
      </c>
      <c r="K2519" s="0" t="n">
        <f aca="false">F2519</f>
        <v>0</v>
      </c>
      <c r="L2519" s="0" t="n">
        <f aca="false">G2519</f>
        <v>-1</v>
      </c>
      <c r="M2519" s="0" t="n">
        <f aca="false">H2519</f>
        <v>-0.25</v>
      </c>
      <c r="N2519" s="0" t="n">
        <f aca="false">E2519*F2519</f>
        <v>-0</v>
      </c>
      <c r="O2519" s="0" t="n">
        <f aca="false">E2519*G2519</f>
        <v>0.25</v>
      </c>
      <c r="P2519" s="0" t="n">
        <f aca="false">E2519*H2519</f>
        <v>0.0625</v>
      </c>
      <c r="Q2519" s="0" t="n">
        <f aca="false">F2519*G2519</f>
        <v>-0</v>
      </c>
      <c r="R2519" s="0" t="n">
        <f aca="false">F2519*H2519</f>
        <v>-0</v>
      </c>
      <c r="S2519" s="0" t="n">
        <f aca="false">G2519*H2519</f>
        <v>0.25</v>
      </c>
      <c r="T2519" s="0" t="n">
        <f aca="false">E2519*E2519</f>
        <v>0.0625</v>
      </c>
      <c r="U2519" s="0" t="n">
        <f aca="false">F2519*F2519</f>
        <v>0</v>
      </c>
      <c r="V2519" s="0" t="n">
        <f aca="false">G2519*G2519</f>
        <v>1</v>
      </c>
      <c r="W2519" s="0" t="n">
        <f aca="false">H2519*H2519</f>
        <v>0.0625</v>
      </c>
      <c r="X2519" s="0" t="n">
        <f aca="false">SUMPRODUCT(I2519:W2519,_XtX!$B$96:$P$96)</f>
        <v>45.3712079678362</v>
      </c>
      <c r="Y2519" s="0" t="n">
        <f aca="false">SUMPRODUCT(MMULT(I2519:W2519,_XtX!$B$78:$P$92),I2519:W2519)</f>
        <v>0.467417934484649</v>
      </c>
      <c r="Z2519" s="0" t="n">
        <f aca="false">04_回帰ANOVA!$K$19*04_回帰ANOVA!$K$14*SQRT(1+Y2519)</f>
        <v>1.57897518244497</v>
      </c>
      <c r="AA2519" s="0" t="n">
        <f aca="false">X2519-Z2519</f>
        <v>43.7922327853912</v>
      </c>
      <c r="AB2519" s="0" t="n">
        <f aca="false">X2519+Z2519</f>
        <v>46.9501831502812</v>
      </c>
      <c r="AC2519" s="54" t="b">
        <f aca="false">AND(E2519&gt;=01_因子設定!$L$5-0.000000001,E2519&lt;=01_因子設定!$M$5+0.000000001,F2519&gt;=01_因子設定!$L$6-0.000000001,F2519&lt;=01_因子設定!$M$6+0.000000001,G2519&gt;=01_因子設定!$L$7-0.000000001,G2519&lt;=01_因子設定!$M$7+0.000000001,H2519&gt;=01_因子設定!$L$8-0.000000001,H2519&lt;=01_因子設定!$M$8+0.000000001,IF(01_因子設定!$B$20="Box-Behnken",E2519^2+F2519^2+G2519^2+H2519^2&lt;=2+0.000000001,TRUE()))</f>
        <v>1</v>
      </c>
      <c r="AD2519" s="55" t="n">
        <f aca="false">IF(AC2519,IF(01_因子設定!$B$13="最大化",AA2519-01_因子設定!$B$14,IF(01_因子設定!$B$13="最小化",01_因子設定!$B$15-AB2519,MIN(AA2519-01_因子設定!$B$14,01_因子設定!$B$15-AB2519))),-1E+030)</f>
        <v>-2.70776721460877</v>
      </c>
      <c r="AE2519" s="55" t="n">
        <f aca="false">IF(AC2519,IF(01_因子設定!$B$13="最大化",X2519,IF(01_因子設定!$B$13="最小化",-X2519,-ABS(X2519-01_因子設定!$B$16))),-1E+030)</f>
        <v>45.3712079678362</v>
      </c>
      <c r="AF2519" s="55" t="n">
        <f aca="false">AD2519+ROW()*0.000000001</f>
        <v>-2.70776469560877</v>
      </c>
      <c r="AG2519" s="55" t="n">
        <f aca="false">AE2519+ROW()*0.000000001</f>
        <v>45.3712104868362</v>
      </c>
    </row>
    <row r="2520" customFormat="false" ht="15" hidden="false" customHeight="false" outlineLevel="0" collapsed="false">
      <c r="A2520" s="0" t="n">
        <v>3</v>
      </c>
      <c r="B2520" s="0" t="n">
        <v>4</v>
      </c>
      <c r="C2520" s="0" t="n">
        <v>0</v>
      </c>
      <c r="D2520" s="0" t="n">
        <v>4</v>
      </c>
      <c r="E2520" s="0" t="n">
        <f aca="false">-1+A2520*0.25</f>
        <v>-0.25</v>
      </c>
      <c r="F2520" s="0" t="n">
        <f aca="false">-1+B2520*0.25</f>
        <v>0</v>
      </c>
      <c r="G2520" s="0" t="n">
        <f aca="false">-1+C2520*0.25</f>
        <v>-1</v>
      </c>
      <c r="H2520" s="0" t="n">
        <f aca="false">-1+D2520*0.25</f>
        <v>0</v>
      </c>
      <c r="I2520" s="0" t="n">
        <f aca="false">1</f>
        <v>1</v>
      </c>
      <c r="J2520" s="0" t="n">
        <f aca="false">E2520</f>
        <v>-0.25</v>
      </c>
      <c r="K2520" s="0" t="n">
        <f aca="false">F2520</f>
        <v>0</v>
      </c>
      <c r="L2520" s="0" t="n">
        <f aca="false">G2520</f>
        <v>-1</v>
      </c>
      <c r="M2520" s="0" t="n">
        <f aca="false">H2520</f>
        <v>0</v>
      </c>
      <c r="N2520" s="0" t="n">
        <f aca="false">E2520*F2520</f>
        <v>-0</v>
      </c>
      <c r="O2520" s="0" t="n">
        <f aca="false">E2520*G2520</f>
        <v>0.25</v>
      </c>
      <c r="P2520" s="0" t="n">
        <f aca="false">E2520*H2520</f>
        <v>-0</v>
      </c>
      <c r="Q2520" s="0" t="n">
        <f aca="false">F2520*G2520</f>
        <v>-0</v>
      </c>
      <c r="R2520" s="0" t="n">
        <f aca="false">F2520*H2520</f>
        <v>0</v>
      </c>
      <c r="S2520" s="0" t="n">
        <f aca="false">G2520*H2520</f>
        <v>-0</v>
      </c>
      <c r="T2520" s="0" t="n">
        <f aca="false">E2520*E2520</f>
        <v>0.0625</v>
      </c>
      <c r="U2520" s="0" t="n">
        <f aca="false">F2520*F2520</f>
        <v>0</v>
      </c>
      <c r="V2520" s="0" t="n">
        <f aca="false">G2520*G2520</f>
        <v>1</v>
      </c>
      <c r="W2520" s="0" t="n">
        <f aca="false">H2520*H2520</f>
        <v>0</v>
      </c>
      <c r="X2520" s="0" t="n">
        <f aca="false">SUMPRODUCT(I2520:W2520,_XtX!$B$96:$P$96)</f>
        <v>45.416812865497</v>
      </c>
      <c r="Y2520" s="0" t="n">
        <f aca="false">SUMPRODUCT(MMULT(I2520:W2520,_XtX!$B$78:$P$92),I2520:W2520)</f>
        <v>0.476722404970761</v>
      </c>
      <c r="Z2520" s="0" t="n">
        <f aca="false">04_回帰ANOVA!$K$19*04_回帰ANOVA!$K$14*SQRT(1+Y2520)</f>
        <v>1.58397318352695</v>
      </c>
      <c r="AA2520" s="0" t="n">
        <f aca="false">X2520-Z2520</f>
        <v>43.8328396819701</v>
      </c>
      <c r="AB2520" s="0" t="n">
        <f aca="false">X2520+Z2520</f>
        <v>47.000786049024</v>
      </c>
      <c r="AC2520" s="54" t="b">
        <f aca="false">AND(E2520&gt;=01_因子設定!$L$5-0.000000001,E2520&lt;=01_因子設定!$M$5+0.000000001,F2520&gt;=01_因子設定!$L$6-0.000000001,F2520&lt;=01_因子設定!$M$6+0.000000001,G2520&gt;=01_因子設定!$L$7-0.000000001,G2520&lt;=01_因子設定!$M$7+0.000000001,H2520&gt;=01_因子設定!$L$8-0.000000001,H2520&lt;=01_因子設定!$M$8+0.000000001,IF(01_因子設定!$B$20="Box-Behnken",E2520^2+F2520^2+G2520^2+H2520^2&lt;=2+0.000000001,TRUE()))</f>
        <v>1</v>
      </c>
      <c r="AD2520" s="55" t="n">
        <f aca="false">IF(AC2520,IF(01_因子設定!$B$13="最大化",AA2520-01_因子設定!$B$14,IF(01_因子設定!$B$13="最小化",01_因子設定!$B$15-AB2520,MIN(AA2520-01_因子設定!$B$14,01_因子設定!$B$15-AB2520))),-1E+030)</f>
        <v>-2.66716031802992</v>
      </c>
      <c r="AE2520" s="55" t="n">
        <f aca="false">IF(AC2520,IF(01_因子設定!$B$13="最大化",X2520,IF(01_因子設定!$B$13="最小化",-X2520,-ABS(X2520-01_因子設定!$B$16))),-1E+030)</f>
        <v>45.416812865497</v>
      </c>
      <c r="AF2520" s="55" t="n">
        <f aca="false">AD2520+ROW()*0.000000001</f>
        <v>-2.66715779802992</v>
      </c>
      <c r="AG2520" s="55" t="n">
        <f aca="false">AE2520+ROW()*0.000000001</f>
        <v>45.416815385497</v>
      </c>
    </row>
    <row r="2521" customFormat="false" ht="15" hidden="false" customHeight="false" outlineLevel="0" collapsed="false">
      <c r="A2521" s="0" t="n">
        <v>3</v>
      </c>
      <c r="B2521" s="0" t="n">
        <v>4</v>
      </c>
      <c r="C2521" s="0" t="n">
        <v>0</v>
      </c>
      <c r="D2521" s="0" t="n">
        <v>5</v>
      </c>
      <c r="E2521" s="0" t="n">
        <f aca="false">-1+A2521*0.25</f>
        <v>-0.25</v>
      </c>
      <c r="F2521" s="0" t="n">
        <f aca="false">-1+B2521*0.25</f>
        <v>0</v>
      </c>
      <c r="G2521" s="0" t="n">
        <f aca="false">-1+C2521*0.25</f>
        <v>-1</v>
      </c>
      <c r="H2521" s="0" t="n">
        <f aca="false">-1+D2521*0.25</f>
        <v>0.25</v>
      </c>
      <c r="I2521" s="0" t="n">
        <f aca="false">1</f>
        <v>1</v>
      </c>
      <c r="J2521" s="0" t="n">
        <f aca="false">E2521</f>
        <v>-0.25</v>
      </c>
      <c r="K2521" s="0" t="n">
        <f aca="false">F2521</f>
        <v>0</v>
      </c>
      <c r="L2521" s="0" t="n">
        <f aca="false">G2521</f>
        <v>-1</v>
      </c>
      <c r="M2521" s="0" t="n">
        <f aca="false">H2521</f>
        <v>0.25</v>
      </c>
      <c r="N2521" s="0" t="n">
        <f aca="false">E2521*F2521</f>
        <v>-0</v>
      </c>
      <c r="O2521" s="0" t="n">
        <f aca="false">E2521*G2521</f>
        <v>0.25</v>
      </c>
      <c r="P2521" s="0" t="n">
        <f aca="false">E2521*H2521</f>
        <v>-0.0625</v>
      </c>
      <c r="Q2521" s="0" t="n">
        <f aca="false">F2521*G2521</f>
        <v>-0</v>
      </c>
      <c r="R2521" s="0" t="n">
        <f aca="false">F2521*H2521</f>
        <v>0</v>
      </c>
      <c r="S2521" s="0" t="n">
        <f aca="false">G2521*H2521</f>
        <v>-0.25</v>
      </c>
      <c r="T2521" s="0" t="n">
        <f aca="false">E2521*E2521</f>
        <v>0.0625</v>
      </c>
      <c r="U2521" s="0" t="n">
        <f aca="false">F2521*F2521</f>
        <v>0</v>
      </c>
      <c r="V2521" s="0" t="n">
        <f aca="false">G2521*G2521</f>
        <v>1</v>
      </c>
      <c r="W2521" s="0" t="n">
        <f aca="false">H2521*H2521</f>
        <v>0.0625</v>
      </c>
      <c r="X2521" s="0" t="n">
        <f aca="false">SUMPRODUCT(I2521:W2521,_XtX!$B$96:$P$96)</f>
        <v>45.414610745614</v>
      </c>
      <c r="Y2521" s="0" t="n">
        <f aca="false">SUMPRODUCT(MMULT(I2521:W2521,_XtX!$B$78:$P$92),I2521:W2521)</f>
        <v>0.467417934484649</v>
      </c>
      <c r="Z2521" s="0" t="n">
        <f aca="false">04_回帰ANOVA!$K$19*04_回帰ANOVA!$K$14*SQRT(1+Y2521)</f>
        <v>1.57897518244497</v>
      </c>
      <c r="AA2521" s="0" t="n">
        <f aca="false">X2521-Z2521</f>
        <v>43.835635563169</v>
      </c>
      <c r="AB2521" s="0" t="n">
        <f aca="false">X2521+Z2521</f>
        <v>46.993585928059</v>
      </c>
      <c r="AC2521" s="54" t="b">
        <f aca="false">AND(E2521&gt;=01_因子設定!$L$5-0.000000001,E2521&lt;=01_因子設定!$M$5+0.000000001,F2521&gt;=01_因子設定!$L$6-0.000000001,F2521&lt;=01_因子設定!$M$6+0.000000001,G2521&gt;=01_因子設定!$L$7-0.000000001,G2521&lt;=01_因子設定!$M$7+0.000000001,H2521&gt;=01_因子設定!$L$8-0.000000001,H2521&lt;=01_因子設定!$M$8+0.000000001,IF(01_因子設定!$B$20="Box-Behnken",E2521^2+F2521^2+G2521^2+H2521^2&lt;=2+0.000000001,TRUE()))</f>
        <v>1</v>
      </c>
      <c r="AD2521" s="55" t="n">
        <f aca="false">IF(AC2521,IF(01_因子設定!$B$13="最大化",AA2521-01_因子設定!$B$14,IF(01_因子設定!$B$13="最小化",01_因子設定!$B$15-AB2521,MIN(AA2521-01_因子設定!$B$14,01_因子設定!$B$15-AB2521))),-1E+030)</f>
        <v>-2.66436443683099</v>
      </c>
      <c r="AE2521" s="55" t="n">
        <f aca="false">IF(AC2521,IF(01_因子設定!$B$13="最大化",X2521,IF(01_因子設定!$B$13="最小化",-X2521,-ABS(X2521-01_因子設定!$B$16))),-1E+030)</f>
        <v>45.414610745614</v>
      </c>
      <c r="AF2521" s="55" t="n">
        <f aca="false">AD2521+ROW()*0.000000001</f>
        <v>-2.66436191583099</v>
      </c>
      <c r="AG2521" s="55" t="n">
        <f aca="false">AE2521+ROW()*0.000000001</f>
        <v>45.414613266614</v>
      </c>
    </row>
    <row r="2522" customFormat="false" ht="15" hidden="false" customHeight="false" outlineLevel="0" collapsed="false">
      <c r="A2522" s="0" t="n">
        <v>3</v>
      </c>
      <c r="B2522" s="0" t="n">
        <v>4</v>
      </c>
      <c r="C2522" s="0" t="n">
        <v>0</v>
      </c>
      <c r="D2522" s="0" t="n">
        <v>6</v>
      </c>
      <c r="E2522" s="0" t="n">
        <f aca="false">-1+A2522*0.25</f>
        <v>-0.25</v>
      </c>
      <c r="F2522" s="0" t="n">
        <f aca="false">-1+B2522*0.25</f>
        <v>0</v>
      </c>
      <c r="G2522" s="0" t="n">
        <f aca="false">-1+C2522*0.25</f>
        <v>-1</v>
      </c>
      <c r="H2522" s="0" t="n">
        <f aca="false">-1+D2522*0.25</f>
        <v>0.5</v>
      </c>
      <c r="I2522" s="0" t="n">
        <f aca="false">1</f>
        <v>1</v>
      </c>
      <c r="J2522" s="0" t="n">
        <f aca="false">E2522</f>
        <v>-0.25</v>
      </c>
      <c r="K2522" s="0" t="n">
        <f aca="false">F2522</f>
        <v>0</v>
      </c>
      <c r="L2522" s="0" t="n">
        <f aca="false">G2522</f>
        <v>-1</v>
      </c>
      <c r="M2522" s="0" t="n">
        <f aca="false">H2522</f>
        <v>0.5</v>
      </c>
      <c r="N2522" s="0" t="n">
        <f aca="false">E2522*F2522</f>
        <v>-0</v>
      </c>
      <c r="O2522" s="0" t="n">
        <f aca="false">E2522*G2522</f>
        <v>0.25</v>
      </c>
      <c r="P2522" s="0" t="n">
        <f aca="false">E2522*H2522</f>
        <v>-0.125</v>
      </c>
      <c r="Q2522" s="0" t="n">
        <f aca="false">F2522*G2522</f>
        <v>-0</v>
      </c>
      <c r="R2522" s="0" t="n">
        <f aca="false">F2522*H2522</f>
        <v>0</v>
      </c>
      <c r="S2522" s="0" t="n">
        <f aca="false">G2522*H2522</f>
        <v>-0.5</v>
      </c>
      <c r="T2522" s="0" t="n">
        <f aca="false">E2522*E2522</f>
        <v>0.0625</v>
      </c>
      <c r="U2522" s="0" t="n">
        <f aca="false">F2522*F2522</f>
        <v>0</v>
      </c>
      <c r="V2522" s="0" t="n">
        <f aca="false">G2522*G2522</f>
        <v>1</v>
      </c>
      <c r="W2522" s="0" t="n">
        <f aca="false">H2522*H2522</f>
        <v>0.25</v>
      </c>
      <c r="X2522" s="0" t="n">
        <f aca="false">SUMPRODUCT(I2522:W2522,_XtX!$B$96:$P$96)</f>
        <v>45.3646016081871</v>
      </c>
      <c r="Y2522" s="0" t="n">
        <f aca="false">SUMPRODUCT(MMULT(I2522:W2522,_XtX!$B$78:$P$92),I2522:W2522)</f>
        <v>0.457596628289474</v>
      </c>
      <c r="Z2522" s="0" t="n">
        <f aca="false">04_回帰ANOVA!$K$19*04_回帰ANOVA!$K$14*SQRT(1+Y2522)</f>
        <v>1.57368233664366</v>
      </c>
      <c r="AA2522" s="0" t="n">
        <f aca="false">X2522-Z2522</f>
        <v>43.7909192715434</v>
      </c>
      <c r="AB2522" s="0" t="n">
        <f aca="false">X2522+Z2522</f>
        <v>46.9382839448307</v>
      </c>
      <c r="AC2522" s="54" t="b">
        <f aca="false">AND(E2522&gt;=01_因子設定!$L$5-0.000000001,E2522&lt;=01_因子設定!$M$5+0.000000001,F2522&gt;=01_因子設定!$L$6-0.000000001,F2522&lt;=01_因子設定!$M$6+0.000000001,G2522&gt;=01_因子設定!$L$7-0.000000001,G2522&lt;=01_因子設定!$M$7+0.000000001,H2522&gt;=01_因子設定!$L$8-0.000000001,H2522&lt;=01_因子設定!$M$8+0.000000001,IF(01_因子設定!$B$20="Box-Behnken",E2522^2+F2522^2+G2522^2+H2522^2&lt;=2+0.000000001,TRUE()))</f>
        <v>1</v>
      </c>
      <c r="AD2522" s="55" t="n">
        <f aca="false">IF(AC2522,IF(01_因子設定!$B$13="最大化",AA2522-01_因子設定!$B$14,IF(01_因子設定!$B$13="最小化",01_因子設定!$B$15-AB2522,MIN(AA2522-01_因子設定!$B$14,01_因子設定!$B$15-AB2522))),-1E+030)</f>
        <v>-2.70908072845657</v>
      </c>
      <c r="AE2522" s="55" t="n">
        <f aca="false">IF(AC2522,IF(01_因子設定!$B$13="最大化",X2522,IF(01_因子設定!$B$13="最小化",-X2522,-ABS(X2522-01_因子設定!$B$16))),-1E+030)</f>
        <v>45.3646016081871</v>
      </c>
      <c r="AF2522" s="55" t="n">
        <f aca="false">AD2522+ROW()*0.000000001</f>
        <v>-2.70907820645657</v>
      </c>
      <c r="AG2522" s="55" t="n">
        <f aca="false">AE2522+ROW()*0.000000001</f>
        <v>45.3646041301871</v>
      </c>
    </row>
    <row r="2523" customFormat="false" ht="15" hidden="false" customHeight="false" outlineLevel="0" collapsed="false">
      <c r="A2523" s="0" t="n">
        <v>3</v>
      </c>
      <c r="B2523" s="0" t="n">
        <v>4</v>
      </c>
      <c r="C2523" s="0" t="n">
        <v>0</v>
      </c>
      <c r="D2523" s="0" t="n">
        <v>7</v>
      </c>
      <c r="E2523" s="0" t="n">
        <f aca="false">-1+A2523*0.25</f>
        <v>-0.25</v>
      </c>
      <c r="F2523" s="0" t="n">
        <f aca="false">-1+B2523*0.25</f>
        <v>0</v>
      </c>
      <c r="G2523" s="0" t="n">
        <f aca="false">-1+C2523*0.25</f>
        <v>-1</v>
      </c>
      <c r="H2523" s="0" t="n">
        <f aca="false">-1+D2523*0.25</f>
        <v>0.75</v>
      </c>
      <c r="I2523" s="0" t="n">
        <f aca="false">1</f>
        <v>1</v>
      </c>
      <c r="J2523" s="0" t="n">
        <f aca="false">E2523</f>
        <v>-0.25</v>
      </c>
      <c r="K2523" s="0" t="n">
        <f aca="false">F2523</f>
        <v>0</v>
      </c>
      <c r="L2523" s="0" t="n">
        <f aca="false">G2523</f>
        <v>-1</v>
      </c>
      <c r="M2523" s="0" t="n">
        <f aca="false">H2523</f>
        <v>0.75</v>
      </c>
      <c r="N2523" s="0" t="n">
        <f aca="false">E2523*F2523</f>
        <v>-0</v>
      </c>
      <c r="O2523" s="0" t="n">
        <f aca="false">E2523*G2523</f>
        <v>0.25</v>
      </c>
      <c r="P2523" s="0" t="n">
        <f aca="false">E2523*H2523</f>
        <v>-0.1875</v>
      </c>
      <c r="Q2523" s="0" t="n">
        <f aca="false">F2523*G2523</f>
        <v>-0</v>
      </c>
      <c r="R2523" s="0" t="n">
        <f aca="false">F2523*H2523</f>
        <v>0</v>
      </c>
      <c r="S2523" s="0" t="n">
        <f aca="false">G2523*H2523</f>
        <v>-0.75</v>
      </c>
      <c r="T2523" s="0" t="n">
        <f aca="false">E2523*E2523</f>
        <v>0.0625</v>
      </c>
      <c r="U2523" s="0" t="n">
        <f aca="false">F2523*F2523</f>
        <v>0</v>
      </c>
      <c r="V2523" s="0" t="n">
        <f aca="false">G2523*G2523</f>
        <v>1</v>
      </c>
      <c r="W2523" s="0" t="n">
        <f aca="false">H2523*H2523</f>
        <v>0.5625</v>
      </c>
      <c r="X2523" s="0" t="n">
        <f aca="false">SUMPRODUCT(I2523:W2523,_XtX!$B$96:$P$96)</f>
        <v>45.2667854532163</v>
      </c>
      <c r="Y2523" s="0" t="n">
        <f aca="false">SUMPRODUCT(MMULT(I2523:W2523,_XtX!$B$78:$P$92),I2523:W2523)</f>
        <v>0.501534802174708</v>
      </c>
      <c r="Z2523" s="0" t="n">
        <f aca="false">04_回帰ANOVA!$K$19*04_回帰ANOVA!$K$14*SQRT(1+Y2523)</f>
        <v>1.59722498091333</v>
      </c>
      <c r="AA2523" s="0" t="n">
        <f aca="false">X2523-Z2523</f>
        <v>43.669560472303</v>
      </c>
      <c r="AB2523" s="0" t="n">
        <f aca="false">X2523+Z2523</f>
        <v>46.8640104341297</v>
      </c>
      <c r="AC2523" s="54" t="b">
        <f aca="false">AND(E2523&gt;=01_因子設定!$L$5-0.000000001,E2523&lt;=01_因子設定!$M$5+0.000000001,F2523&gt;=01_因子設定!$L$6-0.000000001,F2523&lt;=01_因子設定!$M$6+0.000000001,G2523&gt;=01_因子設定!$L$7-0.000000001,G2523&lt;=01_因子設定!$M$7+0.000000001,H2523&gt;=01_因子設定!$L$8-0.000000001,H2523&lt;=01_因子設定!$M$8+0.000000001,IF(01_因子設定!$B$20="Box-Behnken",E2523^2+F2523^2+G2523^2+H2523^2&lt;=2+0.000000001,TRUE()))</f>
        <v>1</v>
      </c>
      <c r="AD2523" s="55" t="n">
        <f aca="false">IF(AC2523,IF(01_因子設定!$B$13="最大化",AA2523-01_因子設定!$B$14,IF(01_因子設定!$B$13="最小化",01_因子設定!$B$15-AB2523,MIN(AA2523-01_因子設定!$B$14,01_因子設定!$B$15-AB2523))),-1E+030)</f>
        <v>-2.830439527697</v>
      </c>
      <c r="AE2523" s="55" t="n">
        <f aca="false">IF(AC2523,IF(01_因子設定!$B$13="最大化",X2523,IF(01_因子設定!$B$13="最小化",-X2523,-ABS(X2523-01_因子設定!$B$16))),-1E+030)</f>
        <v>45.2667854532163</v>
      </c>
      <c r="AF2523" s="55" t="n">
        <f aca="false">AD2523+ROW()*0.000000001</f>
        <v>-2.830437004697</v>
      </c>
      <c r="AG2523" s="55" t="n">
        <f aca="false">AE2523+ROW()*0.000000001</f>
        <v>45.2667879762163</v>
      </c>
    </row>
    <row r="2524" customFormat="false" ht="15" hidden="false" customHeight="false" outlineLevel="0" collapsed="false">
      <c r="A2524" s="0" t="n">
        <v>3</v>
      </c>
      <c r="B2524" s="0" t="n">
        <v>4</v>
      </c>
      <c r="C2524" s="0" t="n">
        <v>0</v>
      </c>
      <c r="D2524" s="0" t="n">
        <v>8</v>
      </c>
      <c r="E2524" s="0" t="n">
        <f aca="false">-1+A2524*0.25</f>
        <v>-0.25</v>
      </c>
      <c r="F2524" s="0" t="n">
        <f aca="false">-1+B2524*0.25</f>
        <v>0</v>
      </c>
      <c r="G2524" s="0" t="n">
        <f aca="false">-1+C2524*0.25</f>
        <v>-1</v>
      </c>
      <c r="H2524" s="0" t="n">
        <f aca="false">-1+D2524*0.25</f>
        <v>1</v>
      </c>
      <c r="I2524" s="0" t="n">
        <f aca="false">1</f>
        <v>1</v>
      </c>
      <c r="J2524" s="0" t="n">
        <f aca="false">E2524</f>
        <v>-0.25</v>
      </c>
      <c r="K2524" s="0" t="n">
        <f aca="false">F2524</f>
        <v>0</v>
      </c>
      <c r="L2524" s="0" t="n">
        <f aca="false">G2524</f>
        <v>-1</v>
      </c>
      <c r="M2524" s="0" t="n">
        <f aca="false">H2524</f>
        <v>1</v>
      </c>
      <c r="N2524" s="0" t="n">
        <f aca="false">E2524*F2524</f>
        <v>-0</v>
      </c>
      <c r="O2524" s="0" t="n">
        <f aca="false">E2524*G2524</f>
        <v>0.25</v>
      </c>
      <c r="P2524" s="0" t="n">
        <f aca="false">E2524*H2524</f>
        <v>-0.25</v>
      </c>
      <c r="Q2524" s="0" t="n">
        <f aca="false">F2524*G2524</f>
        <v>-0</v>
      </c>
      <c r="R2524" s="0" t="n">
        <f aca="false">F2524*H2524</f>
        <v>0</v>
      </c>
      <c r="S2524" s="0" t="n">
        <f aca="false">G2524*H2524</f>
        <v>-1</v>
      </c>
      <c r="T2524" s="0" t="n">
        <f aca="false">E2524*E2524</f>
        <v>0.0625</v>
      </c>
      <c r="U2524" s="0" t="n">
        <f aca="false">F2524*F2524</f>
        <v>0</v>
      </c>
      <c r="V2524" s="0" t="n">
        <f aca="false">G2524*G2524</f>
        <v>1</v>
      </c>
      <c r="W2524" s="0" t="n">
        <f aca="false">H2524*H2524</f>
        <v>1</v>
      </c>
      <c r="X2524" s="0" t="n">
        <f aca="false">SUMPRODUCT(I2524:W2524,_XtX!$B$96:$P$96)</f>
        <v>45.1211622807017</v>
      </c>
      <c r="Y2524" s="0" t="n">
        <f aca="false">SUMPRODUCT(MMULT(I2524:W2524,_XtX!$B$78:$P$92),I2524:W2524)</f>
        <v>0.689692982456141</v>
      </c>
      <c r="Z2524" s="0" t="n">
        <f aca="false">04_回帰ANOVA!$K$19*04_回帰ANOVA!$K$14*SQRT(1+Y2524)</f>
        <v>1.69434674594998</v>
      </c>
      <c r="AA2524" s="0" t="n">
        <f aca="false">X2524-Z2524</f>
        <v>43.4268155347517</v>
      </c>
      <c r="AB2524" s="0" t="n">
        <f aca="false">X2524+Z2524</f>
        <v>46.8155090266517</v>
      </c>
      <c r="AC2524" s="54" t="b">
        <f aca="false">AND(E2524&gt;=01_因子設定!$L$5-0.000000001,E2524&lt;=01_因子設定!$M$5+0.000000001,F2524&gt;=01_因子設定!$L$6-0.000000001,F2524&lt;=01_因子設定!$M$6+0.000000001,G2524&gt;=01_因子設定!$L$7-0.000000001,G2524&lt;=01_因子設定!$M$7+0.000000001,H2524&gt;=01_因子設定!$L$8-0.000000001,H2524&lt;=01_因子設定!$M$8+0.000000001,IF(01_因子設定!$B$20="Box-Behnken",E2524^2+F2524^2+G2524^2+H2524^2&lt;=2+0.000000001,TRUE()))</f>
        <v>1</v>
      </c>
      <c r="AD2524" s="55" t="n">
        <f aca="false">IF(AC2524,IF(01_因子設定!$B$13="最大化",AA2524-01_因子設定!$B$14,IF(01_因子設定!$B$13="最小化",01_因子設定!$B$15-AB2524,MIN(AA2524-01_因子設定!$B$14,01_因子設定!$B$15-AB2524))),-1E+030)</f>
        <v>-3.07318446524825</v>
      </c>
      <c r="AE2524" s="55" t="n">
        <f aca="false">IF(AC2524,IF(01_因子設定!$B$13="最大化",X2524,IF(01_因子設定!$B$13="最小化",-X2524,-ABS(X2524-01_因子設定!$B$16))),-1E+030)</f>
        <v>45.1211622807017</v>
      </c>
      <c r="AF2524" s="55" t="n">
        <f aca="false">AD2524+ROW()*0.000000001</f>
        <v>-3.07318194124825</v>
      </c>
      <c r="AG2524" s="55" t="n">
        <f aca="false">AE2524+ROW()*0.000000001</f>
        <v>45.1211648047017</v>
      </c>
    </row>
    <row r="2525" customFormat="false" ht="15" hidden="false" customHeight="false" outlineLevel="0" collapsed="false">
      <c r="A2525" s="0" t="n">
        <v>3</v>
      </c>
      <c r="B2525" s="0" t="n">
        <v>4</v>
      </c>
      <c r="C2525" s="0" t="n">
        <v>1</v>
      </c>
      <c r="D2525" s="0" t="n">
        <v>0</v>
      </c>
      <c r="E2525" s="0" t="n">
        <f aca="false">-1+A2525*0.25</f>
        <v>-0.25</v>
      </c>
      <c r="F2525" s="0" t="n">
        <f aca="false">-1+B2525*0.25</f>
        <v>0</v>
      </c>
      <c r="G2525" s="0" t="n">
        <f aca="false">-1+C2525*0.25</f>
        <v>-0.75</v>
      </c>
      <c r="H2525" s="0" t="n">
        <f aca="false">-1+D2525*0.25</f>
        <v>-1</v>
      </c>
      <c r="I2525" s="0" t="n">
        <f aca="false">1</f>
        <v>1</v>
      </c>
      <c r="J2525" s="0" t="n">
        <f aca="false">E2525</f>
        <v>-0.25</v>
      </c>
      <c r="K2525" s="0" t="n">
        <f aca="false">F2525</f>
        <v>0</v>
      </c>
      <c r="L2525" s="0" t="n">
        <f aca="false">G2525</f>
        <v>-0.75</v>
      </c>
      <c r="M2525" s="0" t="n">
        <f aca="false">H2525</f>
        <v>-1</v>
      </c>
      <c r="N2525" s="0" t="n">
        <f aca="false">E2525*F2525</f>
        <v>-0</v>
      </c>
      <c r="O2525" s="0" t="n">
        <f aca="false">E2525*G2525</f>
        <v>0.1875</v>
      </c>
      <c r="P2525" s="0" t="n">
        <f aca="false">E2525*H2525</f>
        <v>0.25</v>
      </c>
      <c r="Q2525" s="0" t="n">
        <f aca="false">F2525*G2525</f>
        <v>-0</v>
      </c>
      <c r="R2525" s="0" t="n">
        <f aca="false">F2525*H2525</f>
        <v>-0</v>
      </c>
      <c r="S2525" s="0" t="n">
        <f aca="false">G2525*H2525</f>
        <v>0.75</v>
      </c>
      <c r="T2525" s="0" t="n">
        <f aca="false">E2525*E2525</f>
        <v>0.0625</v>
      </c>
      <c r="U2525" s="0" t="n">
        <f aca="false">F2525*F2525</f>
        <v>0</v>
      </c>
      <c r="V2525" s="0" t="n">
        <f aca="false">G2525*G2525</f>
        <v>0.5625</v>
      </c>
      <c r="W2525" s="0" t="n">
        <f aca="false">H2525*H2525</f>
        <v>1</v>
      </c>
      <c r="X2525" s="0" t="n">
        <f aca="false">SUMPRODUCT(I2525:W2525,_XtX!$B$96:$P$96)</f>
        <v>45.4607090643275</v>
      </c>
      <c r="Y2525" s="0" t="n">
        <f aca="false">SUMPRODUCT(MMULT(I2525:W2525,_XtX!$B$78:$P$92),I2525:W2525)</f>
        <v>0.501534802174708</v>
      </c>
      <c r="Z2525" s="0" t="n">
        <f aca="false">04_回帰ANOVA!$K$19*04_回帰ANOVA!$K$14*SQRT(1+Y2525)</f>
        <v>1.59722498091333</v>
      </c>
      <c r="AA2525" s="0" t="n">
        <f aca="false">X2525-Z2525</f>
        <v>43.8634840834141</v>
      </c>
      <c r="AB2525" s="0" t="n">
        <f aca="false">X2525+Z2525</f>
        <v>47.0579340452408</v>
      </c>
      <c r="AC2525" s="54" t="b">
        <f aca="false">AND(E2525&gt;=01_因子設定!$L$5-0.000000001,E2525&lt;=01_因子設定!$M$5+0.000000001,F2525&gt;=01_因子設定!$L$6-0.000000001,F2525&lt;=01_因子設定!$M$6+0.000000001,G2525&gt;=01_因子設定!$L$7-0.000000001,G2525&lt;=01_因子設定!$M$7+0.000000001,H2525&gt;=01_因子設定!$L$8-0.000000001,H2525&lt;=01_因子設定!$M$8+0.000000001,IF(01_因子設定!$B$20="Box-Behnken",E2525^2+F2525^2+G2525^2+H2525^2&lt;=2+0.000000001,TRUE()))</f>
        <v>1</v>
      </c>
      <c r="AD2525" s="55" t="n">
        <f aca="false">IF(AC2525,IF(01_因子設定!$B$13="最大化",AA2525-01_因子設定!$B$14,IF(01_因子設定!$B$13="最小化",01_因子設定!$B$15-AB2525,MIN(AA2525-01_因子設定!$B$14,01_因子設定!$B$15-AB2525))),-1E+030)</f>
        <v>-2.63651591658586</v>
      </c>
      <c r="AE2525" s="55" t="n">
        <f aca="false">IF(AC2525,IF(01_因子設定!$B$13="最大化",X2525,IF(01_因子設定!$B$13="最小化",-X2525,-ABS(X2525-01_因子設定!$B$16))),-1E+030)</f>
        <v>45.4607090643275</v>
      </c>
      <c r="AF2525" s="55" t="n">
        <f aca="false">AD2525+ROW()*0.000000001</f>
        <v>-2.63651339158586</v>
      </c>
      <c r="AG2525" s="55" t="n">
        <f aca="false">AE2525+ROW()*0.000000001</f>
        <v>45.4607115893275</v>
      </c>
    </row>
    <row r="2526" customFormat="false" ht="15" hidden="false" customHeight="false" outlineLevel="0" collapsed="false">
      <c r="A2526" s="0" t="n">
        <v>3</v>
      </c>
      <c r="B2526" s="0" t="n">
        <v>4</v>
      </c>
      <c r="C2526" s="0" t="n">
        <v>1</v>
      </c>
      <c r="D2526" s="0" t="n">
        <v>1</v>
      </c>
      <c r="E2526" s="0" t="n">
        <f aca="false">-1+A2526*0.25</f>
        <v>-0.25</v>
      </c>
      <c r="F2526" s="0" t="n">
        <f aca="false">-1+B2526*0.25</f>
        <v>0</v>
      </c>
      <c r="G2526" s="0" t="n">
        <f aca="false">-1+C2526*0.25</f>
        <v>-0.75</v>
      </c>
      <c r="H2526" s="0" t="n">
        <f aca="false">-1+D2526*0.25</f>
        <v>-0.75</v>
      </c>
      <c r="I2526" s="0" t="n">
        <f aca="false">1</f>
        <v>1</v>
      </c>
      <c r="J2526" s="0" t="n">
        <f aca="false">E2526</f>
        <v>-0.25</v>
      </c>
      <c r="K2526" s="0" t="n">
        <f aca="false">F2526</f>
        <v>0</v>
      </c>
      <c r="L2526" s="0" t="n">
        <f aca="false">G2526</f>
        <v>-0.75</v>
      </c>
      <c r="M2526" s="0" t="n">
        <f aca="false">H2526</f>
        <v>-0.75</v>
      </c>
      <c r="N2526" s="0" t="n">
        <f aca="false">E2526*F2526</f>
        <v>-0</v>
      </c>
      <c r="O2526" s="0" t="n">
        <f aca="false">E2526*G2526</f>
        <v>0.1875</v>
      </c>
      <c r="P2526" s="0" t="n">
        <f aca="false">E2526*H2526</f>
        <v>0.1875</v>
      </c>
      <c r="Q2526" s="0" t="n">
        <f aca="false">F2526*G2526</f>
        <v>-0</v>
      </c>
      <c r="R2526" s="0" t="n">
        <f aca="false">F2526*H2526</f>
        <v>-0</v>
      </c>
      <c r="S2526" s="0" t="n">
        <f aca="false">G2526*H2526</f>
        <v>0.5625</v>
      </c>
      <c r="T2526" s="0" t="n">
        <f aca="false">E2526*E2526</f>
        <v>0.0625</v>
      </c>
      <c r="U2526" s="0" t="n">
        <f aca="false">F2526*F2526</f>
        <v>0</v>
      </c>
      <c r="V2526" s="0" t="n">
        <f aca="false">G2526*G2526</f>
        <v>0.5625</v>
      </c>
      <c r="W2526" s="0" t="n">
        <f aca="false">H2526*H2526</f>
        <v>0.5625</v>
      </c>
      <c r="X2526" s="0" t="n">
        <f aca="false">SUMPRODUCT(I2526:W2526,_XtX!$B$96:$P$96)</f>
        <v>45.6677037646198</v>
      </c>
      <c r="Y2526" s="0" t="n">
        <f aca="false">SUMPRODUCT(MMULT(I2526:W2526,_XtX!$B$78:$P$92),I2526:W2526)</f>
        <v>0.281685455500731</v>
      </c>
      <c r="Z2526" s="0" t="n">
        <f aca="false">04_回帰ANOVA!$K$19*04_回帰ANOVA!$K$14*SQRT(1+Y2526)</f>
        <v>1.47566956658694</v>
      </c>
      <c r="AA2526" s="0" t="n">
        <f aca="false">X2526-Z2526</f>
        <v>44.1920341980329</v>
      </c>
      <c r="AB2526" s="0" t="n">
        <f aca="false">X2526+Z2526</f>
        <v>47.1433733312068</v>
      </c>
      <c r="AC2526" s="54" t="b">
        <f aca="false">AND(E2526&gt;=01_因子設定!$L$5-0.000000001,E2526&lt;=01_因子設定!$M$5+0.000000001,F2526&gt;=01_因子設定!$L$6-0.000000001,F2526&lt;=01_因子設定!$M$6+0.000000001,G2526&gt;=01_因子設定!$L$7-0.000000001,G2526&lt;=01_因子設定!$M$7+0.000000001,H2526&gt;=01_因子設定!$L$8-0.000000001,H2526&lt;=01_因子設定!$M$8+0.000000001,IF(01_因子設定!$B$20="Box-Behnken",E2526^2+F2526^2+G2526^2+H2526^2&lt;=2+0.000000001,TRUE()))</f>
        <v>1</v>
      </c>
      <c r="AD2526" s="55" t="n">
        <f aca="false">IF(AC2526,IF(01_因子設定!$B$13="最大化",AA2526-01_因子設定!$B$14,IF(01_因子設定!$B$13="最小化",01_因子設定!$B$15-AB2526,MIN(AA2526-01_因子設定!$B$14,01_因子設定!$B$15-AB2526))),-1E+030)</f>
        <v>-2.30796580196709</v>
      </c>
      <c r="AE2526" s="55" t="n">
        <f aca="false">IF(AC2526,IF(01_因子設定!$B$13="最大化",X2526,IF(01_因子設定!$B$13="最小化",-X2526,-ABS(X2526-01_因子設定!$B$16))),-1E+030)</f>
        <v>45.6677037646198</v>
      </c>
      <c r="AF2526" s="55" t="n">
        <f aca="false">AD2526+ROW()*0.000000001</f>
        <v>-2.30796327596709</v>
      </c>
      <c r="AG2526" s="55" t="n">
        <f aca="false">AE2526+ROW()*0.000000001</f>
        <v>45.6677062906199</v>
      </c>
    </row>
    <row r="2527" customFormat="false" ht="15" hidden="false" customHeight="false" outlineLevel="0" collapsed="false">
      <c r="A2527" s="0" t="n">
        <v>3</v>
      </c>
      <c r="B2527" s="0" t="n">
        <v>4</v>
      </c>
      <c r="C2527" s="0" t="n">
        <v>1</v>
      </c>
      <c r="D2527" s="0" t="n">
        <v>2</v>
      </c>
      <c r="E2527" s="0" t="n">
        <f aca="false">-1+A2527*0.25</f>
        <v>-0.25</v>
      </c>
      <c r="F2527" s="0" t="n">
        <f aca="false">-1+B2527*0.25</f>
        <v>0</v>
      </c>
      <c r="G2527" s="0" t="n">
        <f aca="false">-1+C2527*0.25</f>
        <v>-0.75</v>
      </c>
      <c r="H2527" s="0" t="n">
        <f aca="false">-1+D2527*0.25</f>
        <v>-0.5</v>
      </c>
      <c r="I2527" s="0" t="n">
        <f aca="false">1</f>
        <v>1</v>
      </c>
      <c r="J2527" s="0" t="n">
        <f aca="false">E2527</f>
        <v>-0.25</v>
      </c>
      <c r="K2527" s="0" t="n">
        <f aca="false">F2527</f>
        <v>0</v>
      </c>
      <c r="L2527" s="0" t="n">
        <f aca="false">G2527</f>
        <v>-0.75</v>
      </c>
      <c r="M2527" s="0" t="n">
        <f aca="false">H2527</f>
        <v>-0.5</v>
      </c>
      <c r="N2527" s="0" t="n">
        <f aca="false">E2527*F2527</f>
        <v>-0</v>
      </c>
      <c r="O2527" s="0" t="n">
        <f aca="false">E2527*G2527</f>
        <v>0.1875</v>
      </c>
      <c r="P2527" s="0" t="n">
        <f aca="false">E2527*H2527</f>
        <v>0.125</v>
      </c>
      <c r="Q2527" s="0" t="n">
        <f aca="false">F2527*G2527</f>
        <v>-0</v>
      </c>
      <c r="R2527" s="0" t="n">
        <f aca="false">F2527*H2527</f>
        <v>-0</v>
      </c>
      <c r="S2527" s="0" t="n">
        <f aca="false">G2527*H2527</f>
        <v>0.375</v>
      </c>
      <c r="T2527" s="0" t="n">
        <f aca="false">E2527*E2527</f>
        <v>0.0625</v>
      </c>
      <c r="U2527" s="0" t="n">
        <f aca="false">F2527*F2527</f>
        <v>0</v>
      </c>
      <c r="V2527" s="0" t="n">
        <f aca="false">G2527*G2527</f>
        <v>0.5625</v>
      </c>
      <c r="W2527" s="0" t="n">
        <f aca="false">H2527*H2527</f>
        <v>0.25</v>
      </c>
      <c r="X2527" s="0" t="n">
        <f aca="false">SUMPRODUCT(I2527:W2527,_XtX!$B$96:$P$96)</f>
        <v>45.8268914473684</v>
      </c>
      <c r="Y2527" s="0" t="n">
        <f aca="false">SUMPRODUCT(MMULT(I2527:W2527,_XtX!$B$78:$P$92),I2527:W2527)</f>
        <v>0.215110734192252</v>
      </c>
      <c r="Z2527" s="0" t="n">
        <f aca="false">04_回帰ANOVA!$K$19*04_回帰ANOVA!$K$14*SQRT(1+Y2527)</f>
        <v>1.43683309086864</v>
      </c>
      <c r="AA2527" s="0" t="n">
        <f aca="false">X2527-Z2527</f>
        <v>44.3900583564997</v>
      </c>
      <c r="AB2527" s="0" t="n">
        <f aca="false">X2527+Z2527</f>
        <v>47.263724538237</v>
      </c>
      <c r="AC2527" s="54" t="b">
        <f aca="false">AND(E2527&gt;=01_因子設定!$L$5-0.000000001,E2527&lt;=01_因子設定!$M$5+0.000000001,F2527&gt;=01_因子設定!$L$6-0.000000001,F2527&lt;=01_因子設定!$M$6+0.000000001,G2527&gt;=01_因子設定!$L$7-0.000000001,G2527&lt;=01_因子設定!$M$7+0.000000001,H2527&gt;=01_因子設定!$L$8-0.000000001,H2527&lt;=01_因子設定!$M$8+0.000000001,IF(01_因子設定!$B$20="Box-Behnken",E2527^2+F2527^2+G2527^2+H2527^2&lt;=2+0.000000001,TRUE()))</f>
        <v>1</v>
      </c>
      <c r="AD2527" s="55" t="n">
        <f aca="false">IF(AC2527,IF(01_因子設定!$B$13="最大化",AA2527-01_因子設定!$B$14,IF(01_因子設定!$B$13="最小化",01_因子設定!$B$15-AB2527,MIN(AA2527-01_因子設定!$B$14,01_因子設定!$B$15-AB2527))),-1E+030)</f>
        <v>-2.10994164350027</v>
      </c>
      <c r="AE2527" s="55" t="n">
        <f aca="false">IF(AC2527,IF(01_因子設定!$B$13="最大化",X2527,IF(01_因子設定!$B$13="最小化",-X2527,-ABS(X2527-01_因子設定!$B$16))),-1E+030)</f>
        <v>45.8268914473684</v>
      </c>
      <c r="AF2527" s="55" t="n">
        <f aca="false">AD2527+ROW()*0.000000001</f>
        <v>-2.10993911650027</v>
      </c>
      <c r="AG2527" s="55" t="n">
        <f aca="false">AE2527+ROW()*0.000000001</f>
        <v>45.8268939743684</v>
      </c>
    </row>
    <row r="2528" customFormat="false" ht="15" hidden="false" customHeight="false" outlineLevel="0" collapsed="false">
      <c r="A2528" s="0" t="n">
        <v>3</v>
      </c>
      <c r="B2528" s="0" t="n">
        <v>4</v>
      </c>
      <c r="C2528" s="0" t="n">
        <v>1</v>
      </c>
      <c r="D2528" s="0" t="n">
        <v>3</v>
      </c>
      <c r="E2528" s="0" t="n">
        <f aca="false">-1+A2528*0.25</f>
        <v>-0.25</v>
      </c>
      <c r="F2528" s="0" t="n">
        <f aca="false">-1+B2528*0.25</f>
        <v>0</v>
      </c>
      <c r="G2528" s="0" t="n">
        <f aca="false">-1+C2528*0.25</f>
        <v>-0.75</v>
      </c>
      <c r="H2528" s="0" t="n">
        <f aca="false">-1+D2528*0.25</f>
        <v>-0.25</v>
      </c>
      <c r="I2528" s="0" t="n">
        <f aca="false">1</f>
        <v>1</v>
      </c>
      <c r="J2528" s="0" t="n">
        <f aca="false">E2528</f>
        <v>-0.25</v>
      </c>
      <c r="K2528" s="0" t="n">
        <f aca="false">F2528</f>
        <v>0</v>
      </c>
      <c r="L2528" s="0" t="n">
        <f aca="false">G2528</f>
        <v>-0.75</v>
      </c>
      <c r="M2528" s="0" t="n">
        <f aca="false">H2528</f>
        <v>-0.25</v>
      </c>
      <c r="N2528" s="0" t="n">
        <f aca="false">E2528*F2528</f>
        <v>-0</v>
      </c>
      <c r="O2528" s="0" t="n">
        <f aca="false">E2528*G2528</f>
        <v>0.1875</v>
      </c>
      <c r="P2528" s="0" t="n">
        <f aca="false">E2528*H2528</f>
        <v>0.0625</v>
      </c>
      <c r="Q2528" s="0" t="n">
        <f aca="false">F2528*G2528</f>
        <v>-0</v>
      </c>
      <c r="R2528" s="0" t="n">
        <f aca="false">F2528*H2528</f>
        <v>-0</v>
      </c>
      <c r="S2528" s="0" t="n">
        <f aca="false">G2528*H2528</f>
        <v>0.1875</v>
      </c>
      <c r="T2528" s="0" t="n">
        <f aca="false">E2528*E2528</f>
        <v>0.0625</v>
      </c>
      <c r="U2528" s="0" t="n">
        <f aca="false">F2528*F2528</f>
        <v>0</v>
      </c>
      <c r="V2528" s="0" t="n">
        <f aca="false">G2528*G2528</f>
        <v>0.5625</v>
      </c>
      <c r="W2528" s="0" t="n">
        <f aca="false">H2528*H2528</f>
        <v>0.0625</v>
      </c>
      <c r="X2528" s="0" t="n">
        <f aca="false">SUMPRODUCT(I2528:W2528,_XtX!$B$96:$P$96)</f>
        <v>45.938272112573</v>
      </c>
      <c r="Y2528" s="0" t="n">
        <f aca="false">SUMPRODUCT(MMULT(I2528:W2528,_XtX!$B$78:$P$92),I2528:W2528)</f>
        <v>0.21135011193348</v>
      </c>
      <c r="Z2528" s="0" t="n">
        <f aca="false">04_回帰ANOVA!$K$19*04_回帰ANOVA!$K$14*SQRT(1+Y2528)</f>
        <v>1.43460795469709</v>
      </c>
      <c r="AA2528" s="0" t="n">
        <f aca="false">X2528-Z2528</f>
        <v>44.503664157876</v>
      </c>
      <c r="AB2528" s="0" t="n">
        <f aca="false">X2528+Z2528</f>
        <v>47.3728800672701</v>
      </c>
      <c r="AC2528" s="54" t="b">
        <f aca="false">AND(E2528&gt;=01_因子設定!$L$5-0.000000001,E2528&lt;=01_因子設定!$M$5+0.000000001,F2528&gt;=01_因子設定!$L$6-0.000000001,F2528&lt;=01_因子設定!$M$6+0.000000001,G2528&gt;=01_因子設定!$L$7-0.000000001,G2528&lt;=01_因子設定!$M$7+0.000000001,H2528&gt;=01_因子設定!$L$8-0.000000001,H2528&lt;=01_因子設定!$M$8+0.000000001,IF(01_因子設定!$B$20="Box-Behnken",E2528^2+F2528^2+G2528^2+H2528^2&lt;=2+0.000000001,TRUE()))</f>
        <v>1</v>
      </c>
      <c r="AD2528" s="55" t="n">
        <f aca="false">IF(AC2528,IF(01_因子設定!$B$13="最大化",AA2528-01_因子設定!$B$14,IF(01_因子設定!$B$13="最小化",01_因子設定!$B$15-AB2528,MIN(AA2528-01_因子設定!$B$14,01_因子設定!$B$15-AB2528))),-1E+030)</f>
        <v>-1.99633584212404</v>
      </c>
      <c r="AE2528" s="55" t="n">
        <f aca="false">IF(AC2528,IF(01_因子設定!$B$13="最大化",X2528,IF(01_因子設定!$B$13="最小化",-X2528,-ABS(X2528-01_因子設定!$B$16))),-1E+030)</f>
        <v>45.938272112573</v>
      </c>
      <c r="AF2528" s="55" t="n">
        <f aca="false">AD2528+ROW()*0.000000001</f>
        <v>-1.99633331412404</v>
      </c>
      <c r="AG2528" s="55" t="n">
        <f aca="false">AE2528+ROW()*0.000000001</f>
        <v>45.9382746405731</v>
      </c>
    </row>
    <row r="2529" customFormat="false" ht="15" hidden="false" customHeight="false" outlineLevel="0" collapsed="false">
      <c r="A2529" s="0" t="n">
        <v>3</v>
      </c>
      <c r="B2529" s="0" t="n">
        <v>4</v>
      </c>
      <c r="C2529" s="0" t="n">
        <v>1</v>
      </c>
      <c r="D2529" s="0" t="n">
        <v>4</v>
      </c>
      <c r="E2529" s="0" t="n">
        <f aca="false">-1+A2529*0.25</f>
        <v>-0.25</v>
      </c>
      <c r="F2529" s="0" t="n">
        <f aca="false">-1+B2529*0.25</f>
        <v>0</v>
      </c>
      <c r="G2529" s="0" t="n">
        <f aca="false">-1+C2529*0.25</f>
        <v>-0.75</v>
      </c>
      <c r="H2529" s="0" t="n">
        <f aca="false">-1+D2529*0.25</f>
        <v>0</v>
      </c>
      <c r="I2529" s="0" t="n">
        <f aca="false">1</f>
        <v>1</v>
      </c>
      <c r="J2529" s="0" t="n">
        <f aca="false">E2529</f>
        <v>-0.25</v>
      </c>
      <c r="K2529" s="0" t="n">
        <f aca="false">F2529</f>
        <v>0</v>
      </c>
      <c r="L2529" s="0" t="n">
        <f aca="false">G2529</f>
        <v>-0.75</v>
      </c>
      <c r="M2529" s="0" t="n">
        <f aca="false">H2529</f>
        <v>0</v>
      </c>
      <c r="N2529" s="0" t="n">
        <f aca="false">E2529*F2529</f>
        <v>-0</v>
      </c>
      <c r="O2529" s="0" t="n">
        <f aca="false">E2529*G2529</f>
        <v>0.1875</v>
      </c>
      <c r="P2529" s="0" t="n">
        <f aca="false">E2529*H2529</f>
        <v>-0</v>
      </c>
      <c r="Q2529" s="0" t="n">
        <f aca="false">F2529*G2529</f>
        <v>-0</v>
      </c>
      <c r="R2529" s="0" t="n">
        <f aca="false">F2529*H2529</f>
        <v>0</v>
      </c>
      <c r="S2529" s="0" t="n">
        <f aca="false">G2529*H2529</f>
        <v>-0</v>
      </c>
      <c r="T2529" s="0" t="n">
        <f aca="false">E2529*E2529</f>
        <v>0.0625</v>
      </c>
      <c r="U2529" s="0" t="n">
        <f aca="false">F2529*F2529</f>
        <v>0</v>
      </c>
      <c r="V2529" s="0" t="n">
        <f aca="false">G2529*G2529</f>
        <v>0.5625</v>
      </c>
      <c r="W2529" s="0" t="n">
        <f aca="false">H2529*H2529</f>
        <v>0</v>
      </c>
      <c r="X2529" s="0" t="n">
        <f aca="false">SUMPRODUCT(I2529:W2529,_XtX!$B$96:$P$96)</f>
        <v>46.0018457602339</v>
      </c>
      <c r="Y2529" s="0" t="n">
        <f aca="false">SUMPRODUCT(MMULT(I2529:W2529,_XtX!$B$78:$P$92),I2529:W2529)</f>
        <v>0.216127272934942</v>
      </c>
      <c r="Z2529" s="0" t="n">
        <f aca="false">04_回帰ANOVA!$K$19*04_回帰ANOVA!$K$14*SQRT(1+Y2529)</f>
        <v>1.43743397896608</v>
      </c>
      <c r="AA2529" s="0" t="n">
        <f aca="false">X2529-Z2529</f>
        <v>44.5644117812678</v>
      </c>
      <c r="AB2529" s="0" t="n">
        <f aca="false">X2529+Z2529</f>
        <v>47.4392797391999</v>
      </c>
      <c r="AC2529" s="54" t="b">
        <f aca="false">AND(E2529&gt;=01_因子設定!$L$5-0.000000001,E2529&lt;=01_因子設定!$M$5+0.000000001,F2529&gt;=01_因子設定!$L$6-0.000000001,F2529&lt;=01_因子設定!$M$6+0.000000001,G2529&gt;=01_因子設定!$L$7-0.000000001,G2529&lt;=01_因子設定!$M$7+0.000000001,H2529&gt;=01_因子設定!$L$8-0.000000001,H2529&lt;=01_因子設定!$M$8+0.000000001,IF(01_因子設定!$B$20="Box-Behnken",E2529^2+F2529^2+G2529^2+H2529^2&lt;=2+0.000000001,TRUE()))</f>
        <v>1</v>
      </c>
      <c r="AD2529" s="55" t="n">
        <f aca="false">IF(AC2529,IF(01_因子設定!$B$13="最大化",AA2529-01_因子設定!$B$14,IF(01_因子設定!$B$13="最小化",01_因子設定!$B$15-AB2529,MIN(AA2529-01_因子設定!$B$14,01_因子設定!$B$15-AB2529))),-1E+030)</f>
        <v>-1.93558821873221</v>
      </c>
      <c r="AE2529" s="55" t="n">
        <f aca="false">IF(AC2529,IF(01_因子設定!$B$13="最大化",X2529,IF(01_因子設定!$B$13="最小化",-X2529,-ABS(X2529-01_因子設定!$B$16))),-1E+030)</f>
        <v>46.0018457602339</v>
      </c>
      <c r="AF2529" s="55" t="n">
        <f aca="false">AD2529+ROW()*0.000000001</f>
        <v>-1.93558568973221</v>
      </c>
      <c r="AG2529" s="55" t="n">
        <f aca="false">AE2529+ROW()*0.000000001</f>
        <v>46.0018482892339</v>
      </c>
    </row>
    <row r="2530" customFormat="false" ht="15" hidden="false" customHeight="false" outlineLevel="0" collapsed="false">
      <c r="A2530" s="0" t="n">
        <v>3</v>
      </c>
      <c r="B2530" s="0" t="n">
        <v>4</v>
      </c>
      <c r="C2530" s="0" t="n">
        <v>1</v>
      </c>
      <c r="D2530" s="0" t="n">
        <v>5</v>
      </c>
      <c r="E2530" s="0" t="n">
        <f aca="false">-1+A2530*0.25</f>
        <v>-0.25</v>
      </c>
      <c r="F2530" s="0" t="n">
        <f aca="false">-1+B2530*0.25</f>
        <v>0</v>
      </c>
      <c r="G2530" s="0" t="n">
        <f aca="false">-1+C2530*0.25</f>
        <v>-0.75</v>
      </c>
      <c r="H2530" s="0" t="n">
        <f aca="false">-1+D2530*0.25</f>
        <v>0.25</v>
      </c>
      <c r="I2530" s="0" t="n">
        <f aca="false">1</f>
        <v>1</v>
      </c>
      <c r="J2530" s="0" t="n">
        <f aca="false">E2530</f>
        <v>-0.25</v>
      </c>
      <c r="K2530" s="0" t="n">
        <f aca="false">F2530</f>
        <v>0</v>
      </c>
      <c r="L2530" s="0" t="n">
        <f aca="false">G2530</f>
        <v>-0.75</v>
      </c>
      <c r="M2530" s="0" t="n">
        <f aca="false">H2530</f>
        <v>0.25</v>
      </c>
      <c r="N2530" s="0" t="n">
        <f aca="false">E2530*F2530</f>
        <v>-0</v>
      </c>
      <c r="O2530" s="0" t="n">
        <f aca="false">E2530*G2530</f>
        <v>0.1875</v>
      </c>
      <c r="P2530" s="0" t="n">
        <f aca="false">E2530*H2530</f>
        <v>-0.0625</v>
      </c>
      <c r="Q2530" s="0" t="n">
        <f aca="false">F2530*G2530</f>
        <v>-0</v>
      </c>
      <c r="R2530" s="0" t="n">
        <f aca="false">F2530*H2530</f>
        <v>0</v>
      </c>
      <c r="S2530" s="0" t="n">
        <f aca="false">G2530*H2530</f>
        <v>-0.1875</v>
      </c>
      <c r="T2530" s="0" t="n">
        <f aca="false">E2530*E2530</f>
        <v>0.0625</v>
      </c>
      <c r="U2530" s="0" t="n">
        <f aca="false">F2530*F2530</f>
        <v>0</v>
      </c>
      <c r="V2530" s="0" t="n">
        <f aca="false">G2530*G2530</f>
        <v>0.5625</v>
      </c>
      <c r="W2530" s="0" t="n">
        <f aca="false">H2530*H2530</f>
        <v>0.0625</v>
      </c>
      <c r="X2530" s="0" t="n">
        <f aca="false">SUMPRODUCT(I2530:W2530,_XtX!$B$96:$P$96)</f>
        <v>46.0176123903508</v>
      </c>
      <c r="Y2530" s="0" t="n">
        <f aca="false">SUMPRODUCT(MMULT(I2530:W2530,_XtX!$B$78:$P$92),I2530:W2530)</f>
        <v>0.21135011193348</v>
      </c>
      <c r="Z2530" s="0" t="n">
        <f aca="false">04_回帰ANOVA!$K$19*04_回帰ANOVA!$K$14*SQRT(1+Y2530)</f>
        <v>1.43460795469709</v>
      </c>
      <c r="AA2530" s="0" t="n">
        <f aca="false">X2530-Z2530</f>
        <v>44.5830044356537</v>
      </c>
      <c r="AB2530" s="0" t="n">
        <f aca="false">X2530+Z2530</f>
        <v>47.4522203450479</v>
      </c>
      <c r="AC2530" s="54" t="b">
        <f aca="false">AND(E2530&gt;=01_因子設定!$L$5-0.000000001,E2530&lt;=01_因子設定!$M$5+0.000000001,F2530&gt;=01_因子設定!$L$6-0.000000001,F2530&lt;=01_因子設定!$M$6+0.000000001,G2530&gt;=01_因子設定!$L$7-0.000000001,G2530&lt;=01_因子設定!$M$7+0.000000001,H2530&gt;=01_因子設定!$L$8-0.000000001,H2530&lt;=01_因子設定!$M$8+0.000000001,IF(01_因子設定!$B$20="Box-Behnken",E2530^2+F2530^2+G2530^2+H2530^2&lt;=2+0.000000001,TRUE()))</f>
        <v>1</v>
      </c>
      <c r="AD2530" s="55" t="n">
        <f aca="false">IF(AC2530,IF(01_因子設定!$B$13="最大化",AA2530-01_因子設定!$B$14,IF(01_因子設定!$B$13="最小化",01_因子設定!$B$15-AB2530,MIN(AA2530-01_因子設定!$B$14,01_因子設定!$B$15-AB2530))),-1E+030)</f>
        <v>-1.91699556434627</v>
      </c>
      <c r="AE2530" s="55" t="n">
        <f aca="false">IF(AC2530,IF(01_因子設定!$B$13="最大化",X2530,IF(01_因子設定!$B$13="最小化",-X2530,-ABS(X2530-01_因子設定!$B$16))),-1E+030)</f>
        <v>46.0176123903508</v>
      </c>
      <c r="AF2530" s="55" t="n">
        <f aca="false">AD2530+ROW()*0.000000001</f>
        <v>-1.91699303434627</v>
      </c>
      <c r="AG2530" s="55" t="n">
        <f aca="false">AE2530+ROW()*0.000000001</f>
        <v>46.0176149203508</v>
      </c>
    </row>
    <row r="2531" customFormat="false" ht="15" hidden="false" customHeight="false" outlineLevel="0" collapsed="false">
      <c r="A2531" s="0" t="n">
        <v>3</v>
      </c>
      <c r="B2531" s="0" t="n">
        <v>4</v>
      </c>
      <c r="C2531" s="0" t="n">
        <v>1</v>
      </c>
      <c r="D2531" s="0" t="n">
        <v>6</v>
      </c>
      <c r="E2531" s="0" t="n">
        <f aca="false">-1+A2531*0.25</f>
        <v>-0.25</v>
      </c>
      <c r="F2531" s="0" t="n">
        <f aca="false">-1+B2531*0.25</f>
        <v>0</v>
      </c>
      <c r="G2531" s="0" t="n">
        <f aca="false">-1+C2531*0.25</f>
        <v>-0.75</v>
      </c>
      <c r="H2531" s="0" t="n">
        <f aca="false">-1+D2531*0.25</f>
        <v>0.5</v>
      </c>
      <c r="I2531" s="0" t="n">
        <f aca="false">1</f>
        <v>1</v>
      </c>
      <c r="J2531" s="0" t="n">
        <f aca="false">E2531</f>
        <v>-0.25</v>
      </c>
      <c r="K2531" s="0" t="n">
        <f aca="false">F2531</f>
        <v>0</v>
      </c>
      <c r="L2531" s="0" t="n">
        <f aca="false">G2531</f>
        <v>-0.75</v>
      </c>
      <c r="M2531" s="0" t="n">
        <f aca="false">H2531</f>
        <v>0.5</v>
      </c>
      <c r="N2531" s="0" t="n">
        <f aca="false">E2531*F2531</f>
        <v>-0</v>
      </c>
      <c r="O2531" s="0" t="n">
        <f aca="false">E2531*G2531</f>
        <v>0.1875</v>
      </c>
      <c r="P2531" s="0" t="n">
        <f aca="false">E2531*H2531</f>
        <v>-0.125</v>
      </c>
      <c r="Q2531" s="0" t="n">
        <f aca="false">F2531*G2531</f>
        <v>-0</v>
      </c>
      <c r="R2531" s="0" t="n">
        <f aca="false">F2531*H2531</f>
        <v>0</v>
      </c>
      <c r="S2531" s="0" t="n">
        <f aca="false">G2531*H2531</f>
        <v>-0.375</v>
      </c>
      <c r="T2531" s="0" t="n">
        <f aca="false">E2531*E2531</f>
        <v>0.0625</v>
      </c>
      <c r="U2531" s="0" t="n">
        <f aca="false">F2531*F2531</f>
        <v>0</v>
      </c>
      <c r="V2531" s="0" t="n">
        <f aca="false">G2531*G2531</f>
        <v>0.5625</v>
      </c>
      <c r="W2531" s="0" t="n">
        <f aca="false">H2531*H2531</f>
        <v>0.25</v>
      </c>
      <c r="X2531" s="0" t="n">
        <f aca="false">SUMPRODUCT(I2531:W2531,_XtX!$B$96:$P$96)</f>
        <v>45.9855720029239</v>
      </c>
      <c r="Y2531" s="0" t="n">
        <f aca="false">SUMPRODUCT(MMULT(I2531:W2531,_XtX!$B$78:$P$92),I2531:W2531)</f>
        <v>0.215110734192252</v>
      </c>
      <c r="Z2531" s="0" t="n">
        <f aca="false">04_回帰ANOVA!$K$19*04_回帰ANOVA!$K$14*SQRT(1+Y2531)</f>
        <v>1.43683309086864</v>
      </c>
      <c r="AA2531" s="0" t="n">
        <f aca="false">X2531-Z2531</f>
        <v>44.5487389120553</v>
      </c>
      <c r="AB2531" s="0" t="n">
        <f aca="false">X2531+Z2531</f>
        <v>47.4224050937926</v>
      </c>
      <c r="AC2531" s="54" t="b">
        <f aca="false">AND(E2531&gt;=01_因子設定!$L$5-0.000000001,E2531&lt;=01_因子設定!$M$5+0.000000001,F2531&gt;=01_因子設定!$L$6-0.000000001,F2531&lt;=01_因子設定!$M$6+0.000000001,G2531&gt;=01_因子設定!$L$7-0.000000001,G2531&lt;=01_因子設定!$M$7+0.000000001,H2531&gt;=01_因子設定!$L$8-0.000000001,H2531&lt;=01_因子設定!$M$8+0.000000001,IF(01_因子設定!$B$20="Box-Behnken",E2531^2+F2531^2+G2531^2+H2531^2&lt;=2+0.000000001,TRUE()))</f>
        <v>1</v>
      </c>
      <c r="AD2531" s="55" t="n">
        <f aca="false">IF(AC2531,IF(01_因子設定!$B$13="最大化",AA2531-01_因子設定!$B$14,IF(01_因子設定!$B$13="最小化",01_因子設定!$B$15-AB2531,MIN(AA2531-01_因子設定!$B$14,01_因子設定!$B$15-AB2531))),-1E+030)</f>
        <v>-1.95126108794472</v>
      </c>
      <c r="AE2531" s="55" t="n">
        <f aca="false">IF(AC2531,IF(01_因子設定!$B$13="最大化",X2531,IF(01_因子設定!$B$13="最小化",-X2531,-ABS(X2531-01_因子設定!$B$16))),-1E+030)</f>
        <v>45.9855720029239</v>
      </c>
      <c r="AF2531" s="55" t="n">
        <f aca="false">AD2531+ROW()*0.000000001</f>
        <v>-1.95125855694472</v>
      </c>
      <c r="AG2531" s="55" t="n">
        <f aca="false">AE2531+ROW()*0.000000001</f>
        <v>45.9855745339239</v>
      </c>
    </row>
    <row r="2532" customFormat="false" ht="15" hidden="false" customHeight="false" outlineLevel="0" collapsed="false">
      <c r="A2532" s="0" t="n">
        <v>3</v>
      </c>
      <c r="B2532" s="0" t="n">
        <v>4</v>
      </c>
      <c r="C2532" s="0" t="n">
        <v>1</v>
      </c>
      <c r="D2532" s="0" t="n">
        <v>7</v>
      </c>
      <c r="E2532" s="0" t="n">
        <f aca="false">-1+A2532*0.25</f>
        <v>-0.25</v>
      </c>
      <c r="F2532" s="0" t="n">
        <f aca="false">-1+B2532*0.25</f>
        <v>0</v>
      </c>
      <c r="G2532" s="0" t="n">
        <f aca="false">-1+C2532*0.25</f>
        <v>-0.75</v>
      </c>
      <c r="H2532" s="0" t="n">
        <f aca="false">-1+D2532*0.25</f>
        <v>0.75</v>
      </c>
      <c r="I2532" s="0" t="n">
        <f aca="false">1</f>
        <v>1</v>
      </c>
      <c r="J2532" s="0" t="n">
        <f aca="false">E2532</f>
        <v>-0.25</v>
      </c>
      <c r="K2532" s="0" t="n">
        <f aca="false">F2532</f>
        <v>0</v>
      </c>
      <c r="L2532" s="0" t="n">
        <f aca="false">G2532</f>
        <v>-0.75</v>
      </c>
      <c r="M2532" s="0" t="n">
        <f aca="false">H2532</f>
        <v>0.75</v>
      </c>
      <c r="N2532" s="0" t="n">
        <f aca="false">E2532*F2532</f>
        <v>-0</v>
      </c>
      <c r="O2532" s="0" t="n">
        <f aca="false">E2532*G2532</f>
        <v>0.1875</v>
      </c>
      <c r="P2532" s="0" t="n">
        <f aca="false">E2532*H2532</f>
        <v>-0.1875</v>
      </c>
      <c r="Q2532" s="0" t="n">
        <f aca="false">F2532*G2532</f>
        <v>-0</v>
      </c>
      <c r="R2532" s="0" t="n">
        <f aca="false">F2532*H2532</f>
        <v>0</v>
      </c>
      <c r="S2532" s="0" t="n">
        <f aca="false">G2532*H2532</f>
        <v>-0.5625</v>
      </c>
      <c r="T2532" s="0" t="n">
        <f aca="false">E2532*E2532</f>
        <v>0.0625</v>
      </c>
      <c r="U2532" s="0" t="n">
        <f aca="false">F2532*F2532</f>
        <v>0</v>
      </c>
      <c r="V2532" s="0" t="n">
        <f aca="false">G2532*G2532</f>
        <v>0.5625</v>
      </c>
      <c r="W2532" s="0" t="n">
        <f aca="false">H2532*H2532</f>
        <v>0.5625</v>
      </c>
      <c r="X2532" s="0" t="n">
        <f aca="false">SUMPRODUCT(I2532:W2532,_XtX!$B$96:$P$96)</f>
        <v>45.9057245979532</v>
      </c>
      <c r="Y2532" s="0" t="n">
        <f aca="false">SUMPRODUCT(MMULT(I2532:W2532,_XtX!$B$78:$P$92),I2532:W2532)</f>
        <v>0.281685455500731</v>
      </c>
      <c r="Z2532" s="0" t="n">
        <f aca="false">04_回帰ANOVA!$K$19*04_回帰ANOVA!$K$14*SQRT(1+Y2532)</f>
        <v>1.47566956658694</v>
      </c>
      <c r="AA2532" s="0" t="n">
        <f aca="false">X2532-Z2532</f>
        <v>44.4300550313662</v>
      </c>
      <c r="AB2532" s="0" t="n">
        <f aca="false">X2532+Z2532</f>
        <v>47.3813941645401</v>
      </c>
      <c r="AC2532" s="54" t="b">
        <f aca="false">AND(E2532&gt;=01_因子設定!$L$5-0.000000001,E2532&lt;=01_因子設定!$M$5+0.000000001,F2532&gt;=01_因子設定!$L$6-0.000000001,F2532&lt;=01_因子設定!$M$6+0.000000001,G2532&gt;=01_因子設定!$L$7-0.000000001,G2532&lt;=01_因子設定!$M$7+0.000000001,H2532&gt;=01_因子設定!$L$8-0.000000001,H2532&lt;=01_因子設定!$M$8+0.000000001,IF(01_因子設定!$B$20="Box-Behnken",E2532^2+F2532^2+G2532^2+H2532^2&lt;=2+0.000000001,TRUE()))</f>
        <v>1</v>
      </c>
      <c r="AD2532" s="55" t="n">
        <f aca="false">IF(AC2532,IF(01_因子設定!$B$13="最大化",AA2532-01_因子設定!$B$14,IF(01_因子設定!$B$13="最小化",01_因子設定!$B$15-AB2532,MIN(AA2532-01_因子設定!$B$14,01_因子設定!$B$15-AB2532))),-1E+030)</f>
        <v>-2.06994496863376</v>
      </c>
      <c r="AE2532" s="55" t="n">
        <f aca="false">IF(AC2532,IF(01_因子設定!$B$13="最大化",X2532,IF(01_因子設定!$B$13="最小化",-X2532,-ABS(X2532-01_因子設定!$B$16))),-1E+030)</f>
        <v>45.9057245979532</v>
      </c>
      <c r="AF2532" s="55" t="n">
        <f aca="false">AD2532+ROW()*0.000000001</f>
        <v>-2.06994243663376</v>
      </c>
      <c r="AG2532" s="55" t="n">
        <f aca="false">AE2532+ROW()*0.000000001</f>
        <v>45.9057271299532</v>
      </c>
    </row>
    <row r="2533" customFormat="false" ht="15" hidden="false" customHeight="false" outlineLevel="0" collapsed="false">
      <c r="A2533" s="0" t="n">
        <v>3</v>
      </c>
      <c r="B2533" s="0" t="n">
        <v>4</v>
      </c>
      <c r="C2533" s="0" t="n">
        <v>1</v>
      </c>
      <c r="D2533" s="0" t="n">
        <v>8</v>
      </c>
      <c r="E2533" s="0" t="n">
        <f aca="false">-1+A2533*0.25</f>
        <v>-0.25</v>
      </c>
      <c r="F2533" s="0" t="n">
        <f aca="false">-1+B2533*0.25</f>
        <v>0</v>
      </c>
      <c r="G2533" s="0" t="n">
        <f aca="false">-1+C2533*0.25</f>
        <v>-0.75</v>
      </c>
      <c r="H2533" s="0" t="n">
        <f aca="false">-1+D2533*0.25</f>
        <v>1</v>
      </c>
      <c r="I2533" s="0" t="n">
        <f aca="false">1</f>
        <v>1</v>
      </c>
      <c r="J2533" s="0" t="n">
        <f aca="false">E2533</f>
        <v>-0.25</v>
      </c>
      <c r="K2533" s="0" t="n">
        <f aca="false">F2533</f>
        <v>0</v>
      </c>
      <c r="L2533" s="0" t="n">
        <f aca="false">G2533</f>
        <v>-0.75</v>
      </c>
      <c r="M2533" s="0" t="n">
        <f aca="false">H2533</f>
        <v>1</v>
      </c>
      <c r="N2533" s="0" t="n">
        <f aca="false">E2533*F2533</f>
        <v>-0</v>
      </c>
      <c r="O2533" s="0" t="n">
        <f aca="false">E2533*G2533</f>
        <v>0.1875</v>
      </c>
      <c r="P2533" s="0" t="n">
        <f aca="false">E2533*H2533</f>
        <v>-0.25</v>
      </c>
      <c r="Q2533" s="0" t="n">
        <f aca="false">F2533*G2533</f>
        <v>-0</v>
      </c>
      <c r="R2533" s="0" t="n">
        <f aca="false">F2533*H2533</f>
        <v>0</v>
      </c>
      <c r="S2533" s="0" t="n">
        <f aca="false">G2533*H2533</f>
        <v>-0.75</v>
      </c>
      <c r="T2533" s="0" t="n">
        <f aca="false">E2533*E2533</f>
        <v>0.0625</v>
      </c>
      <c r="U2533" s="0" t="n">
        <f aca="false">F2533*F2533</f>
        <v>0</v>
      </c>
      <c r="V2533" s="0" t="n">
        <f aca="false">G2533*G2533</f>
        <v>0.5625</v>
      </c>
      <c r="W2533" s="0" t="n">
        <f aca="false">H2533*H2533</f>
        <v>1</v>
      </c>
      <c r="X2533" s="0" t="n">
        <f aca="false">SUMPRODUCT(I2533:W2533,_XtX!$B$96:$P$96)</f>
        <v>45.7780701754386</v>
      </c>
      <c r="Y2533" s="0" t="n">
        <f aca="false">SUMPRODUCT(MMULT(I2533:W2533,_XtX!$B$78:$P$92),I2533:W2533)</f>
        <v>0.501534802174708</v>
      </c>
      <c r="Z2533" s="0" t="n">
        <f aca="false">04_回帰ANOVA!$K$19*04_回帰ANOVA!$K$14*SQRT(1+Y2533)</f>
        <v>1.59722498091333</v>
      </c>
      <c r="AA2533" s="0" t="n">
        <f aca="false">X2533-Z2533</f>
        <v>44.1808451945252</v>
      </c>
      <c r="AB2533" s="0" t="n">
        <f aca="false">X2533+Z2533</f>
        <v>47.3752951563519</v>
      </c>
      <c r="AC2533" s="54" t="b">
        <f aca="false">AND(E2533&gt;=01_因子設定!$L$5-0.000000001,E2533&lt;=01_因子設定!$M$5+0.000000001,F2533&gt;=01_因子設定!$L$6-0.000000001,F2533&lt;=01_因子設定!$M$6+0.000000001,G2533&gt;=01_因子設定!$L$7-0.000000001,G2533&lt;=01_因子設定!$M$7+0.000000001,H2533&gt;=01_因子設定!$L$8-0.000000001,H2533&lt;=01_因子設定!$M$8+0.000000001,IF(01_因子設定!$B$20="Box-Behnken",E2533^2+F2533^2+G2533^2+H2533^2&lt;=2+0.000000001,TRUE()))</f>
        <v>1</v>
      </c>
      <c r="AD2533" s="55" t="n">
        <f aca="false">IF(AC2533,IF(01_因子設定!$B$13="最大化",AA2533-01_因子設定!$B$14,IF(01_因子設定!$B$13="最小化",01_因子設定!$B$15-AB2533,MIN(AA2533-01_因子設定!$B$14,01_因子設定!$B$15-AB2533))),-1E+030)</f>
        <v>-2.31915480547476</v>
      </c>
      <c r="AE2533" s="55" t="n">
        <f aca="false">IF(AC2533,IF(01_因子設定!$B$13="最大化",X2533,IF(01_因子設定!$B$13="最小化",-X2533,-ABS(X2533-01_因子設定!$B$16))),-1E+030)</f>
        <v>45.7780701754386</v>
      </c>
      <c r="AF2533" s="55" t="n">
        <f aca="false">AD2533+ROW()*0.000000001</f>
        <v>-2.31915227247476</v>
      </c>
      <c r="AG2533" s="55" t="n">
        <f aca="false">AE2533+ROW()*0.000000001</f>
        <v>45.7780727084386</v>
      </c>
    </row>
    <row r="2534" customFormat="false" ht="15" hidden="false" customHeight="false" outlineLevel="0" collapsed="false">
      <c r="A2534" s="0" t="n">
        <v>3</v>
      </c>
      <c r="B2534" s="0" t="n">
        <v>4</v>
      </c>
      <c r="C2534" s="0" t="n">
        <v>2</v>
      </c>
      <c r="D2534" s="0" t="n">
        <v>0</v>
      </c>
      <c r="E2534" s="0" t="n">
        <f aca="false">-1+A2534*0.25</f>
        <v>-0.25</v>
      </c>
      <c r="F2534" s="0" t="n">
        <f aca="false">-1+B2534*0.25</f>
        <v>0</v>
      </c>
      <c r="G2534" s="0" t="n">
        <f aca="false">-1+C2534*0.25</f>
        <v>-0.5</v>
      </c>
      <c r="H2534" s="0" t="n">
        <f aca="false">-1+D2534*0.25</f>
        <v>-1</v>
      </c>
      <c r="I2534" s="0" t="n">
        <f aca="false">1</f>
        <v>1</v>
      </c>
      <c r="J2534" s="0" t="n">
        <f aca="false">E2534</f>
        <v>-0.25</v>
      </c>
      <c r="K2534" s="0" t="n">
        <f aca="false">F2534</f>
        <v>0</v>
      </c>
      <c r="L2534" s="0" t="n">
        <f aca="false">G2534</f>
        <v>-0.5</v>
      </c>
      <c r="M2534" s="0" t="n">
        <f aca="false">H2534</f>
        <v>-1</v>
      </c>
      <c r="N2534" s="0" t="n">
        <f aca="false">E2534*F2534</f>
        <v>-0</v>
      </c>
      <c r="O2534" s="0" t="n">
        <f aca="false">E2534*G2534</f>
        <v>0.125</v>
      </c>
      <c r="P2534" s="0" t="n">
        <f aca="false">E2534*H2534</f>
        <v>0.25</v>
      </c>
      <c r="Q2534" s="0" t="n">
        <f aca="false">F2534*G2534</f>
        <v>-0</v>
      </c>
      <c r="R2534" s="0" t="n">
        <f aca="false">F2534*H2534</f>
        <v>-0</v>
      </c>
      <c r="S2534" s="0" t="n">
        <f aca="false">G2534*H2534</f>
        <v>0.5</v>
      </c>
      <c r="T2534" s="0" t="n">
        <f aca="false">E2534*E2534</f>
        <v>0.0625</v>
      </c>
      <c r="U2534" s="0" t="n">
        <f aca="false">F2534*F2534</f>
        <v>0</v>
      </c>
      <c r="V2534" s="0" t="n">
        <f aca="false">G2534*G2534</f>
        <v>0.25</v>
      </c>
      <c r="W2534" s="0" t="n">
        <f aca="false">H2534*H2534</f>
        <v>1</v>
      </c>
      <c r="X2534" s="0" t="n">
        <f aca="false">SUMPRODUCT(I2534:W2534,_XtX!$B$96:$P$96)</f>
        <v>45.8885599415205</v>
      </c>
      <c r="Y2534" s="0" t="n">
        <f aca="false">SUMPRODUCT(MMULT(I2534:W2534,_XtX!$B$78:$P$92),I2534:W2534)</f>
        <v>0.457596628289474</v>
      </c>
      <c r="Z2534" s="0" t="n">
        <f aca="false">04_回帰ANOVA!$K$19*04_回帰ANOVA!$K$14*SQRT(1+Y2534)</f>
        <v>1.57368233664366</v>
      </c>
      <c r="AA2534" s="0" t="n">
        <f aca="false">X2534-Z2534</f>
        <v>44.3148776048768</v>
      </c>
      <c r="AB2534" s="0" t="n">
        <f aca="false">X2534+Z2534</f>
        <v>47.4622422781641</v>
      </c>
      <c r="AC2534" s="54" t="b">
        <f aca="false">AND(E2534&gt;=01_因子設定!$L$5-0.000000001,E2534&lt;=01_因子設定!$M$5+0.000000001,F2534&gt;=01_因子設定!$L$6-0.000000001,F2534&lt;=01_因子設定!$M$6+0.000000001,G2534&gt;=01_因子設定!$L$7-0.000000001,G2534&lt;=01_因子設定!$M$7+0.000000001,H2534&gt;=01_因子設定!$L$8-0.000000001,H2534&lt;=01_因子設定!$M$8+0.000000001,IF(01_因子設定!$B$20="Box-Behnken",E2534^2+F2534^2+G2534^2+H2534^2&lt;=2+0.000000001,TRUE()))</f>
        <v>1</v>
      </c>
      <c r="AD2534" s="55" t="n">
        <f aca="false">IF(AC2534,IF(01_因子設定!$B$13="最大化",AA2534-01_因子設定!$B$14,IF(01_因子設定!$B$13="最小化",01_因子設定!$B$15-AB2534,MIN(AA2534-01_因子設定!$B$14,01_因子設定!$B$15-AB2534))),-1E+030)</f>
        <v>-2.18512239512321</v>
      </c>
      <c r="AE2534" s="55" t="n">
        <f aca="false">IF(AC2534,IF(01_因子設定!$B$13="最大化",X2534,IF(01_因子設定!$B$13="最小化",-X2534,-ABS(X2534-01_因子設定!$B$16))),-1E+030)</f>
        <v>45.8885599415205</v>
      </c>
      <c r="AF2534" s="55" t="n">
        <f aca="false">AD2534+ROW()*0.000000001</f>
        <v>-2.18511986112321</v>
      </c>
      <c r="AG2534" s="55" t="n">
        <f aca="false">AE2534+ROW()*0.000000001</f>
        <v>45.8885624755204</v>
      </c>
    </row>
    <row r="2535" customFormat="false" ht="15" hidden="false" customHeight="false" outlineLevel="0" collapsed="false">
      <c r="A2535" s="0" t="n">
        <v>3</v>
      </c>
      <c r="B2535" s="0" t="n">
        <v>4</v>
      </c>
      <c r="C2535" s="0" t="n">
        <v>2</v>
      </c>
      <c r="D2535" s="0" t="n">
        <v>1</v>
      </c>
      <c r="E2535" s="0" t="n">
        <f aca="false">-1+A2535*0.25</f>
        <v>-0.25</v>
      </c>
      <c r="F2535" s="0" t="n">
        <f aca="false">-1+B2535*0.25</f>
        <v>0</v>
      </c>
      <c r="G2535" s="0" t="n">
        <f aca="false">-1+C2535*0.25</f>
        <v>-0.5</v>
      </c>
      <c r="H2535" s="0" t="n">
        <f aca="false">-1+D2535*0.25</f>
        <v>-0.75</v>
      </c>
      <c r="I2535" s="0" t="n">
        <f aca="false">1</f>
        <v>1</v>
      </c>
      <c r="J2535" s="0" t="n">
        <f aca="false">E2535</f>
        <v>-0.25</v>
      </c>
      <c r="K2535" s="0" t="n">
        <f aca="false">F2535</f>
        <v>0</v>
      </c>
      <c r="L2535" s="0" t="n">
        <f aca="false">G2535</f>
        <v>-0.5</v>
      </c>
      <c r="M2535" s="0" t="n">
        <f aca="false">H2535</f>
        <v>-0.75</v>
      </c>
      <c r="N2535" s="0" t="n">
        <f aca="false">E2535*F2535</f>
        <v>-0</v>
      </c>
      <c r="O2535" s="0" t="n">
        <f aca="false">E2535*G2535</f>
        <v>0.125</v>
      </c>
      <c r="P2535" s="0" t="n">
        <f aca="false">E2535*H2535</f>
        <v>0.1875</v>
      </c>
      <c r="Q2535" s="0" t="n">
        <f aca="false">F2535*G2535</f>
        <v>-0</v>
      </c>
      <c r="R2535" s="0" t="n">
        <f aca="false">F2535*H2535</f>
        <v>-0</v>
      </c>
      <c r="S2535" s="0" t="n">
        <f aca="false">G2535*H2535</f>
        <v>0.375</v>
      </c>
      <c r="T2535" s="0" t="n">
        <f aca="false">E2535*E2535</f>
        <v>0.0625</v>
      </c>
      <c r="U2535" s="0" t="n">
        <f aca="false">F2535*F2535</f>
        <v>0</v>
      </c>
      <c r="V2535" s="0" t="n">
        <f aca="false">G2535*G2535</f>
        <v>0.25</v>
      </c>
      <c r="W2535" s="0" t="n">
        <f aca="false">H2535*H2535</f>
        <v>0.5625</v>
      </c>
      <c r="X2535" s="0" t="n">
        <f aca="false">SUMPRODUCT(I2535:W2535,_XtX!$B$96:$P$96)</f>
        <v>46.1135233918128</v>
      </c>
      <c r="Y2535" s="0" t="n">
        <f aca="false">SUMPRODUCT(MMULT(I2535:W2535,_XtX!$B$78:$P$92),I2535:W2535)</f>
        <v>0.215110734192252</v>
      </c>
      <c r="Z2535" s="0" t="n">
        <f aca="false">04_回帰ANOVA!$K$19*04_回帰ANOVA!$K$14*SQRT(1+Y2535)</f>
        <v>1.43683309086864</v>
      </c>
      <c r="AA2535" s="0" t="n">
        <f aca="false">X2535-Z2535</f>
        <v>44.6766903009442</v>
      </c>
      <c r="AB2535" s="0" t="n">
        <f aca="false">X2535+Z2535</f>
        <v>47.5503564826815</v>
      </c>
      <c r="AC2535" s="54" t="b">
        <f aca="false">AND(E2535&gt;=01_因子設定!$L$5-0.000000001,E2535&lt;=01_因子設定!$M$5+0.000000001,F2535&gt;=01_因子設定!$L$6-0.000000001,F2535&lt;=01_因子設定!$M$6+0.000000001,G2535&gt;=01_因子設定!$L$7-0.000000001,G2535&lt;=01_因子設定!$M$7+0.000000001,H2535&gt;=01_因子設定!$L$8-0.000000001,H2535&lt;=01_因子設定!$M$8+0.000000001,IF(01_因子設定!$B$20="Box-Behnken",E2535^2+F2535^2+G2535^2+H2535^2&lt;=2+0.000000001,TRUE()))</f>
        <v>1</v>
      </c>
      <c r="AD2535" s="55" t="n">
        <f aca="false">IF(AC2535,IF(01_因子設定!$B$13="最大化",AA2535-01_因子設定!$B$14,IF(01_因子設定!$B$13="最小化",01_因子設定!$B$15-AB2535,MIN(AA2535-01_因子設定!$B$14,01_因子設定!$B$15-AB2535))),-1E+030)</f>
        <v>-1.82330969905582</v>
      </c>
      <c r="AE2535" s="55" t="n">
        <f aca="false">IF(AC2535,IF(01_因子設定!$B$13="最大化",X2535,IF(01_因子設定!$B$13="最小化",-X2535,-ABS(X2535-01_因子設定!$B$16))),-1E+030)</f>
        <v>46.1135233918128</v>
      </c>
      <c r="AF2535" s="55" t="n">
        <f aca="false">AD2535+ROW()*0.000000001</f>
        <v>-1.82330716405582</v>
      </c>
      <c r="AG2535" s="55" t="n">
        <f aca="false">AE2535+ROW()*0.000000001</f>
        <v>46.1135259268128</v>
      </c>
    </row>
    <row r="2536" customFormat="false" ht="15" hidden="false" customHeight="false" outlineLevel="0" collapsed="false">
      <c r="A2536" s="0" t="n">
        <v>3</v>
      </c>
      <c r="B2536" s="0" t="n">
        <v>4</v>
      </c>
      <c r="C2536" s="0" t="n">
        <v>2</v>
      </c>
      <c r="D2536" s="0" t="n">
        <v>2</v>
      </c>
      <c r="E2536" s="0" t="n">
        <f aca="false">-1+A2536*0.25</f>
        <v>-0.25</v>
      </c>
      <c r="F2536" s="0" t="n">
        <f aca="false">-1+B2536*0.25</f>
        <v>0</v>
      </c>
      <c r="G2536" s="0" t="n">
        <f aca="false">-1+C2536*0.25</f>
        <v>-0.5</v>
      </c>
      <c r="H2536" s="0" t="n">
        <f aca="false">-1+D2536*0.25</f>
        <v>-0.5</v>
      </c>
      <c r="I2536" s="0" t="n">
        <f aca="false">1</f>
        <v>1</v>
      </c>
      <c r="J2536" s="0" t="n">
        <f aca="false">E2536</f>
        <v>-0.25</v>
      </c>
      <c r="K2536" s="0" t="n">
        <f aca="false">F2536</f>
        <v>0</v>
      </c>
      <c r="L2536" s="0" t="n">
        <f aca="false">G2536</f>
        <v>-0.5</v>
      </c>
      <c r="M2536" s="0" t="n">
        <f aca="false">H2536</f>
        <v>-0.5</v>
      </c>
      <c r="N2536" s="0" t="n">
        <f aca="false">E2536*F2536</f>
        <v>-0</v>
      </c>
      <c r="O2536" s="0" t="n">
        <f aca="false">E2536*G2536</f>
        <v>0.125</v>
      </c>
      <c r="P2536" s="0" t="n">
        <f aca="false">E2536*H2536</f>
        <v>0.125</v>
      </c>
      <c r="Q2536" s="0" t="n">
        <f aca="false">F2536*G2536</f>
        <v>-0</v>
      </c>
      <c r="R2536" s="0" t="n">
        <f aca="false">F2536*H2536</f>
        <v>-0</v>
      </c>
      <c r="S2536" s="0" t="n">
        <f aca="false">G2536*H2536</f>
        <v>0.25</v>
      </c>
      <c r="T2536" s="0" t="n">
        <f aca="false">E2536*E2536</f>
        <v>0.0625</v>
      </c>
      <c r="U2536" s="0" t="n">
        <f aca="false">F2536*F2536</f>
        <v>0</v>
      </c>
      <c r="V2536" s="0" t="n">
        <f aca="false">G2536*G2536</f>
        <v>0.25</v>
      </c>
      <c r="W2536" s="0" t="n">
        <f aca="false">H2536*H2536</f>
        <v>0.25</v>
      </c>
      <c r="X2536" s="0" t="n">
        <f aca="false">SUMPRODUCT(I2536:W2536,_XtX!$B$96:$P$96)</f>
        <v>46.2906798245614</v>
      </c>
      <c r="Y2536" s="0" t="n">
        <f aca="false">SUMPRODUCT(MMULT(I2536:W2536,_XtX!$B$78:$P$92),I2536:W2536)</f>
        <v>0.132367050438597</v>
      </c>
      <c r="Z2536" s="0" t="n">
        <f aca="false">04_回帰ANOVA!$K$19*04_回帰ANOVA!$K$14*SQRT(1+Y2536)</f>
        <v>1.38704964208329</v>
      </c>
      <c r="AA2536" s="0" t="n">
        <f aca="false">X2536-Z2536</f>
        <v>44.9036301824781</v>
      </c>
      <c r="AB2536" s="0" t="n">
        <f aca="false">X2536+Z2536</f>
        <v>47.6777294666446</v>
      </c>
      <c r="AC2536" s="54" t="b">
        <f aca="false">AND(E2536&gt;=01_因子設定!$L$5-0.000000001,E2536&lt;=01_因子設定!$M$5+0.000000001,F2536&gt;=01_因子設定!$L$6-0.000000001,F2536&lt;=01_因子設定!$M$6+0.000000001,G2536&gt;=01_因子設定!$L$7-0.000000001,G2536&lt;=01_因子設定!$M$7+0.000000001,H2536&gt;=01_因子設定!$L$8-0.000000001,H2536&lt;=01_因子設定!$M$8+0.000000001,IF(01_因子設定!$B$20="Box-Behnken",E2536^2+F2536^2+G2536^2+H2536^2&lt;=2+0.000000001,TRUE()))</f>
        <v>1</v>
      </c>
      <c r="AD2536" s="55" t="n">
        <f aca="false">IF(AC2536,IF(01_因子設定!$B$13="最大化",AA2536-01_因子設定!$B$14,IF(01_因子設定!$B$13="最小化",01_因子設定!$B$15-AB2536,MIN(AA2536-01_因子設定!$B$14,01_因子設定!$B$15-AB2536))),-1E+030)</f>
        <v>-1.59636981752194</v>
      </c>
      <c r="AE2536" s="55" t="n">
        <f aca="false">IF(AC2536,IF(01_因子設定!$B$13="最大化",X2536,IF(01_因子設定!$B$13="最小化",-X2536,-ABS(X2536-01_因子設定!$B$16))),-1E+030)</f>
        <v>46.2906798245614</v>
      </c>
      <c r="AF2536" s="55" t="n">
        <f aca="false">AD2536+ROW()*0.000000001</f>
        <v>-1.59636728152194</v>
      </c>
      <c r="AG2536" s="55" t="n">
        <f aca="false">AE2536+ROW()*0.000000001</f>
        <v>46.2906823605614</v>
      </c>
    </row>
    <row r="2537" customFormat="false" ht="15" hidden="false" customHeight="false" outlineLevel="0" collapsed="false">
      <c r="A2537" s="0" t="n">
        <v>3</v>
      </c>
      <c r="B2537" s="0" t="n">
        <v>4</v>
      </c>
      <c r="C2537" s="0" t="n">
        <v>2</v>
      </c>
      <c r="D2537" s="0" t="n">
        <v>3</v>
      </c>
      <c r="E2537" s="0" t="n">
        <f aca="false">-1+A2537*0.25</f>
        <v>-0.25</v>
      </c>
      <c r="F2537" s="0" t="n">
        <f aca="false">-1+B2537*0.25</f>
        <v>0</v>
      </c>
      <c r="G2537" s="0" t="n">
        <f aca="false">-1+C2537*0.25</f>
        <v>-0.5</v>
      </c>
      <c r="H2537" s="0" t="n">
        <f aca="false">-1+D2537*0.25</f>
        <v>-0.25</v>
      </c>
      <c r="I2537" s="0" t="n">
        <f aca="false">1</f>
        <v>1</v>
      </c>
      <c r="J2537" s="0" t="n">
        <f aca="false">E2537</f>
        <v>-0.25</v>
      </c>
      <c r="K2537" s="0" t="n">
        <f aca="false">F2537</f>
        <v>0</v>
      </c>
      <c r="L2537" s="0" t="n">
        <f aca="false">G2537</f>
        <v>-0.5</v>
      </c>
      <c r="M2537" s="0" t="n">
        <f aca="false">H2537</f>
        <v>-0.25</v>
      </c>
      <c r="N2537" s="0" t="n">
        <f aca="false">E2537*F2537</f>
        <v>-0</v>
      </c>
      <c r="O2537" s="0" t="n">
        <f aca="false">E2537*G2537</f>
        <v>0.125</v>
      </c>
      <c r="P2537" s="0" t="n">
        <f aca="false">E2537*H2537</f>
        <v>0.0625</v>
      </c>
      <c r="Q2537" s="0" t="n">
        <f aca="false">F2537*G2537</f>
        <v>-0</v>
      </c>
      <c r="R2537" s="0" t="n">
        <f aca="false">F2537*H2537</f>
        <v>-0</v>
      </c>
      <c r="S2537" s="0" t="n">
        <f aca="false">G2537*H2537</f>
        <v>0.125</v>
      </c>
      <c r="T2537" s="0" t="n">
        <f aca="false">E2537*E2537</f>
        <v>0.0625</v>
      </c>
      <c r="U2537" s="0" t="n">
        <f aca="false">F2537*F2537</f>
        <v>0</v>
      </c>
      <c r="V2537" s="0" t="n">
        <f aca="false">G2537*G2537</f>
        <v>0.25</v>
      </c>
      <c r="W2537" s="0" t="n">
        <f aca="false">H2537*H2537</f>
        <v>0.0625</v>
      </c>
      <c r="X2537" s="0" t="n">
        <f aca="false">SUMPRODUCT(I2537:W2537,_XtX!$B$96:$P$96)</f>
        <v>46.420029239766</v>
      </c>
      <c r="Y2537" s="0" t="n">
        <f aca="false">SUMPRODUCT(MMULT(I2537:W2537,_XtX!$B$78:$P$92),I2537:W2537)</f>
        <v>0.118905050712719</v>
      </c>
      <c r="Z2537" s="0" t="n">
        <f aca="false">04_回帰ANOVA!$K$19*04_回帰ANOVA!$K$14*SQRT(1+Y2537)</f>
        <v>1.37878011033769</v>
      </c>
      <c r="AA2537" s="0" t="n">
        <f aca="false">X2537-Z2537</f>
        <v>45.0412491294283</v>
      </c>
      <c r="AB2537" s="0" t="n">
        <f aca="false">X2537+Z2537</f>
        <v>47.7988093501037</v>
      </c>
      <c r="AC2537" s="54" t="b">
        <f aca="false">AND(E2537&gt;=01_因子設定!$L$5-0.000000001,E2537&lt;=01_因子設定!$M$5+0.000000001,F2537&gt;=01_因子設定!$L$6-0.000000001,F2537&lt;=01_因子設定!$M$6+0.000000001,G2537&gt;=01_因子設定!$L$7-0.000000001,G2537&lt;=01_因子設定!$M$7+0.000000001,H2537&gt;=01_因子設定!$L$8-0.000000001,H2537&lt;=01_因子設定!$M$8+0.000000001,IF(01_因子設定!$B$20="Box-Behnken",E2537^2+F2537^2+G2537^2+H2537^2&lt;=2+0.000000001,TRUE()))</f>
        <v>1</v>
      </c>
      <c r="AD2537" s="55" t="n">
        <f aca="false">IF(AC2537,IF(01_因子設定!$B$13="最大化",AA2537-01_因子設定!$B$14,IF(01_因子設定!$B$13="最小化",01_因子設定!$B$15-AB2537,MIN(AA2537-01_因子設定!$B$14,01_因子設定!$B$15-AB2537))),-1E+030)</f>
        <v>-1.45875087057166</v>
      </c>
      <c r="AE2537" s="55" t="n">
        <f aca="false">IF(AC2537,IF(01_因子設定!$B$13="最大化",X2537,IF(01_因子設定!$B$13="最小化",-X2537,-ABS(X2537-01_因子設定!$B$16))),-1E+030)</f>
        <v>46.420029239766</v>
      </c>
      <c r="AF2537" s="55" t="n">
        <f aca="false">AD2537+ROW()*0.000000001</f>
        <v>-1.45874833357166</v>
      </c>
      <c r="AG2537" s="55" t="n">
        <f aca="false">AE2537+ROW()*0.000000001</f>
        <v>46.420031776766</v>
      </c>
    </row>
    <row r="2538" customFormat="false" ht="15" hidden="false" customHeight="false" outlineLevel="0" collapsed="false">
      <c r="A2538" s="0" t="n">
        <v>3</v>
      </c>
      <c r="B2538" s="0" t="n">
        <v>4</v>
      </c>
      <c r="C2538" s="0" t="n">
        <v>2</v>
      </c>
      <c r="D2538" s="0" t="n">
        <v>4</v>
      </c>
      <c r="E2538" s="0" t="n">
        <f aca="false">-1+A2538*0.25</f>
        <v>-0.25</v>
      </c>
      <c r="F2538" s="0" t="n">
        <f aca="false">-1+B2538*0.25</f>
        <v>0</v>
      </c>
      <c r="G2538" s="0" t="n">
        <f aca="false">-1+C2538*0.25</f>
        <v>-0.5</v>
      </c>
      <c r="H2538" s="0" t="n">
        <f aca="false">-1+D2538*0.25</f>
        <v>0</v>
      </c>
      <c r="I2538" s="0" t="n">
        <f aca="false">1</f>
        <v>1</v>
      </c>
      <c r="J2538" s="0" t="n">
        <f aca="false">E2538</f>
        <v>-0.25</v>
      </c>
      <c r="K2538" s="0" t="n">
        <f aca="false">F2538</f>
        <v>0</v>
      </c>
      <c r="L2538" s="0" t="n">
        <f aca="false">G2538</f>
        <v>-0.5</v>
      </c>
      <c r="M2538" s="0" t="n">
        <f aca="false">H2538</f>
        <v>0</v>
      </c>
      <c r="N2538" s="0" t="n">
        <f aca="false">E2538*F2538</f>
        <v>-0</v>
      </c>
      <c r="O2538" s="0" t="n">
        <f aca="false">E2538*G2538</f>
        <v>0.125</v>
      </c>
      <c r="P2538" s="0" t="n">
        <f aca="false">E2538*H2538</f>
        <v>-0</v>
      </c>
      <c r="Q2538" s="0" t="n">
        <f aca="false">F2538*G2538</f>
        <v>-0</v>
      </c>
      <c r="R2538" s="0" t="n">
        <f aca="false">F2538*H2538</f>
        <v>0</v>
      </c>
      <c r="S2538" s="0" t="n">
        <f aca="false">G2538*H2538</f>
        <v>-0</v>
      </c>
      <c r="T2538" s="0" t="n">
        <f aca="false">E2538*E2538</f>
        <v>0.0625</v>
      </c>
      <c r="U2538" s="0" t="n">
        <f aca="false">F2538*F2538</f>
        <v>0</v>
      </c>
      <c r="V2538" s="0" t="n">
        <f aca="false">G2538*G2538</f>
        <v>0.25</v>
      </c>
      <c r="W2538" s="0" t="n">
        <f aca="false">H2538*H2538</f>
        <v>0</v>
      </c>
      <c r="X2538" s="0" t="n">
        <f aca="false">SUMPRODUCT(I2538:W2538,_XtX!$B$96:$P$96)</f>
        <v>46.5015716374268</v>
      </c>
      <c r="Y2538" s="0" t="n">
        <f aca="false">SUMPRODUCT(MMULT(I2538:W2538,_XtX!$B$78:$P$92),I2538:W2538)</f>
        <v>0.120448419225146</v>
      </c>
      <c r="Z2538" s="0" t="n">
        <f aca="false">04_回帰ANOVA!$K$19*04_回帰ANOVA!$K$14*SQRT(1+Y2538)</f>
        <v>1.37973069703246</v>
      </c>
      <c r="AA2538" s="0" t="n">
        <f aca="false">X2538-Z2538</f>
        <v>45.1218409403944</v>
      </c>
      <c r="AB2538" s="0" t="n">
        <f aca="false">X2538+Z2538</f>
        <v>47.8813023344593</v>
      </c>
      <c r="AC2538" s="54" t="b">
        <f aca="false">AND(E2538&gt;=01_因子設定!$L$5-0.000000001,E2538&lt;=01_因子設定!$M$5+0.000000001,F2538&gt;=01_因子設定!$L$6-0.000000001,F2538&lt;=01_因子設定!$M$6+0.000000001,G2538&gt;=01_因子設定!$L$7-0.000000001,G2538&lt;=01_因子設定!$M$7+0.000000001,H2538&gt;=01_因子設定!$L$8-0.000000001,H2538&lt;=01_因子設定!$M$8+0.000000001,IF(01_因子設定!$B$20="Box-Behnken",E2538^2+F2538^2+G2538^2+H2538^2&lt;=2+0.000000001,TRUE()))</f>
        <v>1</v>
      </c>
      <c r="AD2538" s="55" t="n">
        <f aca="false">IF(AC2538,IF(01_因子設定!$B$13="最大化",AA2538-01_因子設定!$B$14,IF(01_因子設定!$B$13="最小化",01_因子設定!$B$15-AB2538,MIN(AA2538-01_因子設定!$B$14,01_因子設定!$B$15-AB2538))),-1E+030)</f>
        <v>-1.37815905960562</v>
      </c>
      <c r="AE2538" s="55" t="n">
        <f aca="false">IF(AC2538,IF(01_因子設定!$B$13="最大化",X2538,IF(01_因子設定!$B$13="最小化",-X2538,-ABS(X2538-01_因子設定!$B$16))),-1E+030)</f>
        <v>46.5015716374268</v>
      </c>
      <c r="AF2538" s="55" t="n">
        <f aca="false">AD2538+ROW()*0.000000001</f>
        <v>-1.37815652160562</v>
      </c>
      <c r="AG2538" s="55" t="n">
        <f aca="false">AE2538+ROW()*0.000000001</f>
        <v>46.5015741754268</v>
      </c>
    </row>
    <row r="2539" customFormat="false" ht="15" hidden="false" customHeight="false" outlineLevel="0" collapsed="false">
      <c r="A2539" s="0" t="n">
        <v>3</v>
      </c>
      <c r="B2539" s="0" t="n">
        <v>4</v>
      </c>
      <c r="C2539" s="0" t="n">
        <v>2</v>
      </c>
      <c r="D2539" s="0" t="n">
        <v>5</v>
      </c>
      <c r="E2539" s="0" t="n">
        <f aca="false">-1+A2539*0.25</f>
        <v>-0.25</v>
      </c>
      <c r="F2539" s="0" t="n">
        <f aca="false">-1+B2539*0.25</f>
        <v>0</v>
      </c>
      <c r="G2539" s="0" t="n">
        <f aca="false">-1+C2539*0.25</f>
        <v>-0.5</v>
      </c>
      <c r="H2539" s="0" t="n">
        <f aca="false">-1+D2539*0.25</f>
        <v>0.25</v>
      </c>
      <c r="I2539" s="0" t="n">
        <f aca="false">1</f>
        <v>1</v>
      </c>
      <c r="J2539" s="0" t="n">
        <f aca="false">E2539</f>
        <v>-0.25</v>
      </c>
      <c r="K2539" s="0" t="n">
        <f aca="false">F2539</f>
        <v>0</v>
      </c>
      <c r="L2539" s="0" t="n">
        <f aca="false">G2539</f>
        <v>-0.5</v>
      </c>
      <c r="M2539" s="0" t="n">
        <f aca="false">H2539</f>
        <v>0.25</v>
      </c>
      <c r="N2539" s="0" t="n">
        <f aca="false">E2539*F2539</f>
        <v>-0</v>
      </c>
      <c r="O2539" s="0" t="n">
        <f aca="false">E2539*G2539</f>
        <v>0.125</v>
      </c>
      <c r="P2539" s="0" t="n">
        <f aca="false">E2539*H2539</f>
        <v>-0.0625</v>
      </c>
      <c r="Q2539" s="0" t="n">
        <f aca="false">F2539*G2539</f>
        <v>-0</v>
      </c>
      <c r="R2539" s="0" t="n">
        <f aca="false">F2539*H2539</f>
        <v>0</v>
      </c>
      <c r="S2539" s="0" t="n">
        <f aca="false">G2539*H2539</f>
        <v>-0.125</v>
      </c>
      <c r="T2539" s="0" t="n">
        <f aca="false">E2539*E2539</f>
        <v>0.0625</v>
      </c>
      <c r="U2539" s="0" t="n">
        <f aca="false">F2539*F2539</f>
        <v>0</v>
      </c>
      <c r="V2539" s="0" t="n">
        <f aca="false">G2539*G2539</f>
        <v>0.25</v>
      </c>
      <c r="W2539" s="0" t="n">
        <f aca="false">H2539*H2539</f>
        <v>0.0625</v>
      </c>
      <c r="X2539" s="0" t="n">
        <f aca="false">SUMPRODUCT(I2539:W2539,_XtX!$B$96:$P$96)</f>
        <v>46.5353070175438</v>
      </c>
      <c r="Y2539" s="0" t="n">
        <f aca="false">SUMPRODUCT(MMULT(I2539:W2539,_XtX!$B$78:$P$92),I2539:W2539)</f>
        <v>0.118905050712719</v>
      </c>
      <c r="Z2539" s="0" t="n">
        <f aca="false">04_回帰ANOVA!$K$19*04_回帰ANOVA!$K$14*SQRT(1+Y2539)</f>
        <v>1.37878011033769</v>
      </c>
      <c r="AA2539" s="0" t="n">
        <f aca="false">X2539-Z2539</f>
        <v>45.1565269072061</v>
      </c>
      <c r="AB2539" s="0" t="n">
        <f aca="false">X2539+Z2539</f>
        <v>47.9140871278815</v>
      </c>
      <c r="AC2539" s="54" t="b">
        <f aca="false">AND(E2539&gt;=01_因子設定!$L$5-0.000000001,E2539&lt;=01_因子設定!$M$5+0.000000001,F2539&gt;=01_因子設定!$L$6-0.000000001,F2539&lt;=01_因子設定!$M$6+0.000000001,G2539&gt;=01_因子設定!$L$7-0.000000001,G2539&lt;=01_因子設定!$M$7+0.000000001,H2539&gt;=01_因子設定!$L$8-0.000000001,H2539&lt;=01_因子設定!$M$8+0.000000001,IF(01_因子設定!$B$20="Box-Behnken",E2539^2+F2539^2+G2539^2+H2539^2&lt;=2+0.000000001,TRUE()))</f>
        <v>1</v>
      </c>
      <c r="AD2539" s="55" t="n">
        <f aca="false">IF(AC2539,IF(01_因子設定!$B$13="最大化",AA2539-01_因子設定!$B$14,IF(01_因子設定!$B$13="最小化",01_因子設定!$B$15-AB2539,MIN(AA2539-01_因子設定!$B$14,01_因子設定!$B$15-AB2539))),-1E+030)</f>
        <v>-1.34347309279389</v>
      </c>
      <c r="AE2539" s="55" t="n">
        <f aca="false">IF(AC2539,IF(01_因子設定!$B$13="最大化",X2539,IF(01_因子設定!$B$13="最小化",-X2539,-ABS(X2539-01_因子設定!$B$16))),-1E+030)</f>
        <v>46.5353070175438</v>
      </c>
      <c r="AF2539" s="55" t="n">
        <f aca="false">AD2539+ROW()*0.000000001</f>
        <v>-1.34347055379389</v>
      </c>
      <c r="AG2539" s="55" t="n">
        <f aca="false">AE2539+ROW()*0.000000001</f>
        <v>46.5353095565438</v>
      </c>
    </row>
    <row r="2540" customFormat="false" ht="15" hidden="false" customHeight="false" outlineLevel="0" collapsed="false">
      <c r="A2540" s="0" t="n">
        <v>3</v>
      </c>
      <c r="B2540" s="0" t="n">
        <v>4</v>
      </c>
      <c r="C2540" s="0" t="n">
        <v>2</v>
      </c>
      <c r="D2540" s="0" t="n">
        <v>6</v>
      </c>
      <c r="E2540" s="0" t="n">
        <f aca="false">-1+A2540*0.25</f>
        <v>-0.25</v>
      </c>
      <c r="F2540" s="0" t="n">
        <f aca="false">-1+B2540*0.25</f>
        <v>0</v>
      </c>
      <c r="G2540" s="0" t="n">
        <f aca="false">-1+C2540*0.25</f>
        <v>-0.5</v>
      </c>
      <c r="H2540" s="0" t="n">
        <f aca="false">-1+D2540*0.25</f>
        <v>0.5</v>
      </c>
      <c r="I2540" s="0" t="n">
        <f aca="false">1</f>
        <v>1</v>
      </c>
      <c r="J2540" s="0" t="n">
        <f aca="false">E2540</f>
        <v>-0.25</v>
      </c>
      <c r="K2540" s="0" t="n">
        <f aca="false">F2540</f>
        <v>0</v>
      </c>
      <c r="L2540" s="0" t="n">
        <f aca="false">G2540</f>
        <v>-0.5</v>
      </c>
      <c r="M2540" s="0" t="n">
        <f aca="false">H2540</f>
        <v>0.5</v>
      </c>
      <c r="N2540" s="0" t="n">
        <f aca="false">E2540*F2540</f>
        <v>-0</v>
      </c>
      <c r="O2540" s="0" t="n">
        <f aca="false">E2540*G2540</f>
        <v>0.125</v>
      </c>
      <c r="P2540" s="0" t="n">
        <f aca="false">E2540*H2540</f>
        <v>-0.125</v>
      </c>
      <c r="Q2540" s="0" t="n">
        <f aca="false">F2540*G2540</f>
        <v>-0</v>
      </c>
      <c r="R2540" s="0" t="n">
        <f aca="false">F2540*H2540</f>
        <v>0</v>
      </c>
      <c r="S2540" s="0" t="n">
        <f aca="false">G2540*H2540</f>
        <v>-0.25</v>
      </c>
      <c r="T2540" s="0" t="n">
        <f aca="false">E2540*E2540</f>
        <v>0.0625</v>
      </c>
      <c r="U2540" s="0" t="n">
        <f aca="false">F2540*F2540</f>
        <v>0</v>
      </c>
      <c r="V2540" s="0" t="n">
        <f aca="false">G2540*G2540</f>
        <v>0.25</v>
      </c>
      <c r="W2540" s="0" t="n">
        <f aca="false">H2540*H2540</f>
        <v>0.25</v>
      </c>
      <c r="X2540" s="0" t="n">
        <f aca="false">SUMPRODUCT(I2540:W2540,_XtX!$B$96:$P$96)</f>
        <v>46.5212353801169</v>
      </c>
      <c r="Y2540" s="0" t="n">
        <f aca="false">SUMPRODUCT(MMULT(I2540:W2540,_XtX!$B$78:$P$92),I2540:W2540)</f>
        <v>0.132367050438597</v>
      </c>
      <c r="Z2540" s="0" t="n">
        <f aca="false">04_回帰ANOVA!$K$19*04_回帰ANOVA!$K$14*SQRT(1+Y2540)</f>
        <v>1.38704964208329</v>
      </c>
      <c r="AA2540" s="0" t="n">
        <f aca="false">X2540-Z2540</f>
        <v>45.1341857380336</v>
      </c>
      <c r="AB2540" s="0" t="n">
        <f aca="false">X2540+Z2540</f>
        <v>47.9082850222002</v>
      </c>
      <c r="AC2540" s="54" t="b">
        <f aca="false">AND(E2540&gt;=01_因子設定!$L$5-0.000000001,E2540&lt;=01_因子設定!$M$5+0.000000001,F2540&gt;=01_因子設定!$L$6-0.000000001,F2540&lt;=01_因子設定!$M$6+0.000000001,G2540&gt;=01_因子設定!$L$7-0.000000001,G2540&lt;=01_因子設定!$M$7+0.000000001,H2540&gt;=01_因子設定!$L$8-0.000000001,H2540&lt;=01_因子設定!$M$8+0.000000001,IF(01_因子設定!$B$20="Box-Behnken",E2540^2+F2540^2+G2540^2+H2540^2&lt;=2+0.000000001,TRUE()))</f>
        <v>1</v>
      </c>
      <c r="AD2540" s="55" t="n">
        <f aca="false">IF(AC2540,IF(01_因子設定!$B$13="最大化",AA2540-01_因子設定!$B$14,IF(01_因子設定!$B$13="最小化",01_因子設定!$B$15-AB2540,MIN(AA2540-01_因子設定!$B$14,01_因子設定!$B$15-AB2540))),-1E+030)</f>
        <v>-1.36581426196639</v>
      </c>
      <c r="AE2540" s="55" t="n">
        <f aca="false">IF(AC2540,IF(01_因子設定!$B$13="最大化",X2540,IF(01_因子設定!$B$13="最小化",-X2540,-ABS(X2540-01_因子設定!$B$16))),-1E+030)</f>
        <v>46.5212353801169</v>
      </c>
      <c r="AF2540" s="55" t="n">
        <f aca="false">AD2540+ROW()*0.000000001</f>
        <v>-1.36581172196638</v>
      </c>
      <c r="AG2540" s="55" t="n">
        <f aca="false">AE2540+ROW()*0.000000001</f>
        <v>46.5212379201169</v>
      </c>
    </row>
    <row r="2541" customFormat="false" ht="15" hidden="false" customHeight="false" outlineLevel="0" collapsed="false">
      <c r="A2541" s="0" t="n">
        <v>3</v>
      </c>
      <c r="B2541" s="0" t="n">
        <v>4</v>
      </c>
      <c r="C2541" s="0" t="n">
        <v>2</v>
      </c>
      <c r="D2541" s="0" t="n">
        <v>7</v>
      </c>
      <c r="E2541" s="0" t="n">
        <f aca="false">-1+A2541*0.25</f>
        <v>-0.25</v>
      </c>
      <c r="F2541" s="0" t="n">
        <f aca="false">-1+B2541*0.25</f>
        <v>0</v>
      </c>
      <c r="G2541" s="0" t="n">
        <f aca="false">-1+C2541*0.25</f>
        <v>-0.5</v>
      </c>
      <c r="H2541" s="0" t="n">
        <f aca="false">-1+D2541*0.25</f>
        <v>0.75</v>
      </c>
      <c r="I2541" s="0" t="n">
        <f aca="false">1</f>
        <v>1</v>
      </c>
      <c r="J2541" s="0" t="n">
        <f aca="false">E2541</f>
        <v>-0.25</v>
      </c>
      <c r="K2541" s="0" t="n">
        <f aca="false">F2541</f>
        <v>0</v>
      </c>
      <c r="L2541" s="0" t="n">
        <f aca="false">G2541</f>
        <v>-0.5</v>
      </c>
      <c r="M2541" s="0" t="n">
        <f aca="false">H2541</f>
        <v>0.75</v>
      </c>
      <c r="N2541" s="0" t="n">
        <f aca="false">E2541*F2541</f>
        <v>-0</v>
      </c>
      <c r="O2541" s="0" t="n">
        <f aca="false">E2541*G2541</f>
        <v>0.125</v>
      </c>
      <c r="P2541" s="0" t="n">
        <f aca="false">E2541*H2541</f>
        <v>-0.1875</v>
      </c>
      <c r="Q2541" s="0" t="n">
        <f aca="false">F2541*G2541</f>
        <v>-0</v>
      </c>
      <c r="R2541" s="0" t="n">
        <f aca="false">F2541*H2541</f>
        <v>0</v>
      </c>
      <c r="S2541" s="0" t="n">
        <f aca="false">G2541*H2541</f>
        <v>-0.375</v>
      </c>
      <c r="T2541" s="0" t="n">
        <f aca="false">E2541*E2541</f>
        <v>0.0625</v>
      </c>
      <c r="U2541" s="0" t="n">
        <f aca="false">F2541*F2541</f>
        <v>0</v>
      </c>
      <c r="V2541" s="0" t="n">
        <f aca="false">G2541*G2541</f>
        <v>0.25</v>
      </c>
      <c r="W2541" s="0" t="n">
        <f aca="false">H2541*H2541</f>
        <v>0.5625</v>
      </c>
      <c r="X2541" s="0" t="n">
        <f aca="false">SUMPRODUCT(I2541:W2541,_XtX!$B$96:$P$96)</f>
        <v>46.4593567251462</v>
      </c>
      <c r="Y2541" s="0" t="n">
        <f aca="false">SUMPRODUCT(MMULT(I2541:W2541,_XtX!$B$78:$P$92),I2541:W2541)</f>
        <v>0.215110734192252</v>
      </c>
      <c r="Z2541" s="0" t="n">
        <f aca="false">04_回帰ANOVA!$K$19*04_回帰ANOVA!$K$14*SQRT(1+Y2541)</f>
        <v>1.43683309086864</v>
      </c>
      <c r="AA2541" s="0" t="n">
        <f aca="false">X2541-Z2541</f>
        <v>45.0225236342775</v>
      </c>
      <c r="AB2541" s="0" t="n">
        <f aca="false">X2541+Z2541</f>
        <v>47.8961898160148</v>
      </c>
      <c r="AC2541" s="54" t="b">
        <f aca="false">AND(E2541&gt;=01_因子設定!$L$5-0.000000001,E2541&lt;=01_因子設定!$M$5+0.000000001,F2541&gt;=01_因子設定!$L$6-0.000000001,F2541&lt;=01_因子設定!$M$6+0.000000001,G2541&gt;=01_因子設定!$L$7-0.000000001,G2541&lt;=01_因子設定!$M$7+0.000000001,H2541&gt;=01_因子設定!$L$8-0.000000001,H2541&lt;=01_因子設定!$M$8+0.000000001,IF(01_因子設定!$B$20="Box-Behnken",E2541^2+F2541^2+G2541^2+H2541^2&lt;=2+0.000000001,TRUE()))</f>
        <v>1</v>
      </c>
      <c r="AD2541" s="55" t="n">
        <f aca="false">IF(AC2541,IF(01_因子設定!$B$13="最大化",AA2541-01_因子設定!$B$14,IF(01_因子設定!$B$13="最小化",01_因子設定!$B$15-AB2541,MIN(AA2541-01_因子設定!$B$14,01_因子設定!$B$15-AB2541))),-1E+030)</f>
        <v>-1.47747636572249</v>
      </c>
      <c r="AE2541" s="55" t="n">
        <f aca="false">IF(AC2541,IF(01_因子設定!$B$13="最大化",X2541,IF(01_因子設定!$B$13="最小化",-X2541,-ABS(X2541-01_因子設定!$B$16))),-1E+030)</f>
        <v>46.4593567251462</v>
      </c>
      <c r="AF2541" s="55" t="n">
        <f aca="false">AD2541+ROW()*0.000000001</f>
        <v>-1.47747382472249</v>
      </c>
      <c r="AG2541" s="55" t="n">
        <f aca="false">AE2541+ROW()*0.000000001</f>
        <v>46.4593592661462</v>
      </c>
    </row>
    <row r="2542" customFormat="false" ht="15" hidden="false" customHeight="false" outlineLevel="0" collapsed="false">
      <c r="A2542" s="0" t="n">
        <v>3</v>
      </c>
      <c r="B2542" s="0" t="n">
        <v>4</v>
      </c>
      <c r="C2542" s="0" t="n">
        <v>2</v>
      </c>
      <c r="D2542" s="0" t="n">
        <v>8</v>
      </c>
      <c r="E2542" s="0" t="n">
        <f aca="false">-1+A2542*0.25</f>
        <v>-0.25</v>
      </c>
      <c r="F2542" s="0" t="n">
        <f aca="false">-1+B2542*0.25</f>
        <v>0</v>
      </c>
      <c r="G2542" s="0" t="n">
        <f aca="false">-1+C2542*0.25</f>
        <v>-0.5</v>
      </c>
      <c r="H2542" s="0" t="n">
        <f aca="false">-1+D2542*0.25</f>
        <v>1</v>
      </c>
      <c r="I2542" s="0" t="n">
        <f aca="false">1</f>
        <v>1</v>
      </c>
      <c r="J2542" s="0" t="n">
        <f aca="false">E2542</f>
        <v>-0.25</v>
      </c>
      <c r="K2542" s="0" t="n">
        <f aca="false">F2542</f>
        <v>0</v>
      </c>
      <c r="L2542" s="0" t="n">
        <f aca="false">G2542</f>
        <v>-0.5</v>
      </c>
      <c r="M2542" s="0" t="n">
        <f aca="false">H2542</f>
        <v>1</v>
      </c>
      <c r="N2542" s="0" t="n">
        <f aca="false">E2542*F2542</f>
        <v>-0</v>
      </c>
      <c r="O2542" s="0" t="n">
        <f aca="false">E2542*G2542</f>
        <v>0.125</v>
      </c>
      <c r="P2542" s="0" t="n">
        <f aca="false">E2542*H2542</f>
        <v>-0.25</v>
      </c>
      <c r="Q2542" s="0" t="n">
        <f aca="false">F2542*G2542</f>
        <v>-0</v>
      </c>
      <c r="R2542" s="0" t="n">
        <f aca="false">F2542*H2542</f>
        <v>0</v>
      </c>
      <c r="S2542" s="0" t="n">
        <f aca="false">G2542*H2542</f>
        <v>-0.5</v>
      </c>
      <c r="T2542" s="0" t="n">
        <f aca="false">E2542*E2542</f>
        <v>0.0625</v>
      </c>
      <c r="U2542" s="0" t="n">
        <f aca="false">F2542*F2542</f>
        <v>0</v>
      </c>
      <c r="V2542" s="0" t="n">
        <f aca="false">G2542*G2542</f>
        <v>0.25</v>
      </c>
      <c r="W2542" s="0" t="n">
        <f aca="false">H2542*H2542</f>
        <v>1</v>
      </c>
      <c r="X2542" s="0" t="n">
        <f aca="false">SUMPRODUCT(I2542:W2542,_XtX!$B$96:$P$96)</f>
        <v>46.3496710526316</v>
      </c>
      <c r="Y2542" s="0" t="n">
        <f aca="false">SUMPRODUCT(MMULT(I2542:W2542,_XtX!$B$78:$P$92),I2542:W2542)</f>
        <v>0.457596628289474</v>
      </c>
      <c r="Z2542" s="0" t="n">
        <f aca="false">04_回帰ANOVA!$K$19*04_回帰ANOVA!$K$14*SQRT(1+Y2542)</f>
        <v>1.57368233664366</v>
      </c>
      <c r="AA2542" s="0" t="n">
        <f aca="false">X2542-Z2542</f>
        <v>44.7759887159879</v>
      </c>
      <c r="AB2542" s="0" t="n">
        <f aca="false">X2542+Z2542</f>
        <v>47.9233533892752</v>
      </c>
      <c r="AC2542" s="54" t="b">
        <f aca="false">AND(E2542&gt;=01_因子設定!$L$5-0.000000001,E2542&lt;=01_因子設定!$M$5+0.000000001,F2542&gt;=01_因子設定!$L$6-0.000000001,F2542&lt;=01_因子設定!$M$6+0.000000001,G2542&gt;=01_因子設定!$L$7-0.000000001,G2542&lt;=01_因子設定!$M$7+0.000000001,H2542&gt;=01_因子設定!$L$8-0.000000001,H2542&lt;=01_因子設定!$M$8+0.000000001,IF(01_因子設定!$B$20="Box-Behnken",E2542^2+F2542^2+G2542^2+H2542^2&lt;=2+0.000000001,TRUE()))</f>
        <v>1</v>
      </c>
      <c r="AD2542" s="55" t="n">
        <f aca="false">IF(AC2542,IF(01_因子設定!$B$13="最大化",AA2542-01_因子設定!$B$14,IF(01_因子設定!$B$13="最小化",01_因子設定!$B$15-AB2542,MIN(AA2542-01_因子設定!$B$14,01_因子設定!$B$15-AB2542))),-1E+030)</f>
        <v>-1.7240112840121</v>
      </c>
      <c r="AE2542" s="55" t="n">
        <f aca="false">IF(AC2542,IF(01_因子設定!$B$13="最大化",X2542,IF(01_因子設定!$B$13="最小化",-X2542,-ABS(X2542-01_因子設定!$B$16))),-1E+030)</f>
        <v>46.3496710526316</v>
      </c>
      <c r="AF2542" s="55" t="n">
        <f aca="false">AD2542+ROW()*0.000000001</f>
        <v>-1.7240087420121</v>
      </c>
      <c r="AG2542" s="55" t="n">
        <f aca="false">AE2542+ROW()*0.000000001</f>
        <v>46.3496735946316</v>
      </c>
    </row>
    <row r="2543" customFormat="false" ht="15" hidden="false" customHeight="false" outlineLevel="0" collapsed="false">
      <c r="A2543" s="0" t="n">
        <v>3</v>
      </c>
      <c r="B2543" s="0" t="n">
        <v>4</v>
      </c>
      <c r="C2543" s="0" t="n">
        <v>3</v>
      </c>
      <c r="D2543" s="0" t="n">
        <v>0</v>
      </c>
      <c r="E2543" s="0" t="n">
        <f aca="false">-1+A2543*0.25</f>
        <v>-0.25</v>
      </c>
      <c r="F2543" s="0" t="n">
        <f aca="false">-1+B2543*0.25</f>
        <v>0</v>
      </c>
      <c r="G2543" s="0" t="n">
        <f aca="false">-1+C2543*0.25</f>
        <v>-0.25</v>
      </c>
      <c r="H2543" s="0" t="n">
        <f aca="false">-1+D2543*0.25</f>
        <v>-1</v>
      </c>
      <c r="I2543" s="0" t="n">
        <f aca="false">1</f>
        <v>1</v>
      </c>
      <c r="J2543" s="0" t="n">
        <f aca="false">E2543</f>
        <v>-0.25</v>
      </c>
      <c r="K2543" s="0" t="n">
        <f aca="false">F2543</f>
        <v>0</v>
      </c>
      <c r="L2543" s="0" t="n">
        <f aca="false">G2543</f>
        <v>-0.25</v>
      </c>
      <c r="M2543" s="0" t="n">
        <f aca="false">H2543</f>
        <v>-1</v>
      </c>
      <c r="N2543" s="0" t="n">
        <f aca="false">E2543*F2543</f>
        <v>-0</v>
      </c>
      <c r="O2543" s="0" t="n">
        <f aca="false">E2543*G2543</f>
        <v>0.0625</v>
      </c>
      <c r="P2543" s="0" t="n">
        <f aca="false">E2543*H2543</f>
        <v>0.25</v>
      </c>
      <c r="Q2543" s="0" t="n">
        <f aca="false">F2543*G2543</f>
        <v>-0</v>
      </c>
      <c r="R2543" s="0" t="n">
        <f aca="false">F2543*H2543</f>
        <v>-0</v>
      </c>
      <c r="S2543" s="0" t="n">
        <f aca="false">G2543*H2543</f>
        <v>0.25</v>
      </c>
      <c r="T2543" s="0" t="n">
        <f aca="false">E2543*E2543</f>
        <v>0.0625</v>
      </c>
      <c r="U2543" s="0" t="n">
        <f aca="false">F2543*F2543</f>
        <v>0</v>
      </c>
      <c r="V2543" s="0" t="n">
        <f aca="false">G2543*G2543</f>
        <v>0.0625</v>
      </c>
      <c r="W2543" s="0" t="n">
        <f aca="false">H2543*H2543</f>
        <v>1</v>
      </c>
      <c r="X2543" s="0" t="n">
        <f aca="false">SUMPRODUCT(I2543:W2543,_XtX!$B$96:$P$96)</f>
        <v>46.2311038011696</v>
      </c>
      <c r="Y2543" s="0" t="n">
        <f aca="false">SUMPRODUCT(MMULT(I2543:W2543,_XtX!$B$78:$P$92),I2543:W2543)</f>
        <v>0.467417934484649</v>
      </c>
      <c r="Z2543" s="0" t="n">
        <f aca="false">04_回帰ANOVA!$K$19*04_回帰ANOVA!$K$14*SQRT(1+Y2543)</f>
        <v>1.57897518244497</v>
      </c>
      <c r="AA2543" s="0" t="n">
        <f aca="false">X2543-Z2543</f>
        <v>44.6521286187246</v>
      </c>
      <c r="AB2543" s="0" t="n">
        <f aca="false">X2543+Z2543</f>
        <v>47.8100789836145</v>
      </c>
      <c r="AC2543" s="54" t="b">
        <f aca="false">AND(E2543&gt;=01_因子設定!$L$5-0.000000001,E2543&lt;=01_因子設定!$M$5+0.000000001,F2543&gt;=01_因子設定!$L$6-0.000000001,F2543&lt;=01_因子設定!$M$6+0.000000001,G2543&gt;=01_因子設定!$L$7-0.000000001,G2543&lt;=01_因子設定!$M$7+0.000000001,H2543&gt;=01_因子設定!$L$8-0.000000001,H2543&lt;=01_因子設定!$M$8+0.000000001,IF(01_因子設定!$B$20="Box-Behnken",E2543^2+F2543^2+G2543^2+H2543^2&lt;=2+0.000000001,TRUE()))</f>
        <v>1</v>
      </c>
      <c r="AD2543" s="55" t="n">
        <f aca="false">IF(AC2543,IF(01_因子設定!$B$13="最大化",AA2543-01_因子設定!$B$14,IF(01_因子設定!$B$13="最小化",01_因子設定!$B$15-AB2543,MIN(AA2543-01_因子設定!$B$14,01_因子設定!$B$15-AB2543))),-1E+030)</f>
        <v>-1.8478713812754</v>
      </c>
      <c r="AE2543" s="55" t="n">
        <f aca="false">IF(AC2543,IF(01_因子設定!$B$13="最大化",X2543,IF(01_因子設定!$B$13="最小化",-X2543,-ABS(X2543-01_因子設定!$B$16))),-1E+030)</f>
        <v>46.2311038011696</v>
      </c>
      <c r="AF2543" s="55" t="n">
        <f aca="false">AD2543+ROW()*0.000000001</f>
        <v>-1.8478688382754</v>
      </c>
      <c r="AG2543" s="55" t="n">
        <f aca="false">AE2543+ROW()*0.000000001</f>
        <v>46.2311063441696</v>
      </c>
    </row>
    <row r="2544" customFormat="false" ht="15" hidden="false" customHeight="false" outlineLevel="0" collapsed="false">
      <c r="A2544" s="0" t="n">
        <v>3</v>
      </c>
      <c r="B2544" s="0" t="n">
        <v>4</v>
      </c>
      <c r="C2544" s="0" t="n">
        <v>3</v>
      </c>
      <c r="D2544" s="0" t="n">
        <v>1</v>
      </c>
      <c r="E2544" s="0" t="n">
        <f aca="false">-1+A2544*0.25</f>
        <v>-0.25</v>
      </c>
      <c r="F2544" s="0" t="n">
        <f aca="false">-1+B2544*0.25</f>
        <v>0</v>
      </c>
      <c r="G2544" s="0" t="n">
        <f aca="false">-1+C2544*0.25</f>
        <v>-0.25</v>
      </c>
      <c r="H2544" s="0" t="n">
        <f aca="false">-1+D2544*0.25</f>
        <v>-0.75</v>
      </c>
      <c r="I2544" s="0" t="n">
        <f aca="false">1</f>
        <v>1</v>
      </c>
      <c r="J2544" s="0" t="n">
        <f aca="false">E2544</f>
        <v>-0.25</v>
      </c>
      <c r="K2544" s="0" t="n">
        <f aca="false">F2544</f>
        <v>0</v>
      </c>
      <c r="L2544" s="0" t="n">
        <f aca="false">G2544</f>
        <v>-0.25</v>
      </c>
      <c r="M2544" s="0" t="n">
        <f aca="false">H2544</f>
        <v>-0.75</v>
      </c>
      <c r="N2544" s="0" t="n">
        <f aca="false">E2544*F2544</f>
        <v>-0</v>
      </c>
      <c r="O2544" s="0" t="n">
        <f aca="false">E2544*G2544</f>
        <v>0.0625</v>
      </c>
      <c r="P2544" s="0" t="n">
        <f aca="false">E2544*H2544</f>
        <v>0.1875</v>
      </c>
      <c r="Q2544" s="0" t="n">
        <f aca="false">F2544*G2544</f>
        <v>-0</v>
      </c>
      <c r="R2544" s="0" t="n">
        <f aca="false">F2544*H2544</f>
        <v>-0</v>
      </c>
      <c r="S2544" s="0" t="n">
        <f aca="false">G2544*H2544</f>
        <v>0.1875</v>
      </c>
      <c r="T2544" s="0" t="n">
        <f aca="false">E2544*E2544</f>
        <v>0.0625</v>
      </c>
      <c r="U2544" s="0" t="n">
        <f aca="false">F2544*F2544</f>
        <v>0</v>
      </c>
      <c r="V2544" s="0" t="n">
        <f aca="false">G2544*G2544</f>
        <v>0.0625</v>
      </c>
      <c r="W2544" s="0" t="n">
        <f aca="false">H2544*H2544</f>
        <v>0.5625</v>
      </c>
      <c r="X2544" s="0" t="n">
        <f aca="false">SUMPRODUCT(I2544:W2544,_XtX!$B$96:$P$96)</f>
        <v>46.474036001462</v>
      </c>
      <c r="Y2544" s="0" t="n">
        <f aca="false">SUMPRODUCT(MMULT(I2544:W2544,_XtX!$B$78:$P$92),I2544:W2544)</f>
        <v>0.21135011193348</v>
      </c>
      <c r="Z2544" s="0" t="n">
        <f aca="false">04_回帰ANOVA!$K$19*04_回帰ANOVA!$K$14*SQRT(1+Y2544)</f>
        <v>1.43460795469709</v>
      </c>
      <c r="AA2544" s="0" t="n">
        <f aca="false">X2544-Z2544</f>
        <v>45.0394280467649</v>
      </c>
      <c r="AB2544" s="0" t="n">
        <f aca="false">X2544+Z2544</f>
        <v>47.908643956159</v>
      </c>
      <c r="AC2544" s="54" t="b">
        <f aca="false">AND(E2544&gt;=01_因子設定!$L$5-0.000000001,E2544&lt;=01_因子設定!$M$5+0.000000001,F2544&gt;=01_因子設定!$L$6-0.000000001,F2544&lt;=01_因子設定!$M$6+0.000000001,G2544&gt;=01_因子設定!$L$7-0.000000001,G2544&lt;=01_因子設定!$M$7+0.000000001,H2544&gt;=01_因子設定!$L$8-0.000000001,H2544&lt;=01_因子設定!$M$8+0.000000001,IF(01_因子設定!$B$20="Box-Behnken",E2544^2+F2544^2+G2544^2+H2544^2&lt;=2+0.000000001,TRUE()))</f>
        <v>1</v>
      </c>
      <c r="AD2544" s="55" t="n">
        <f aca="false">IF(AC2544,IF(01_因子設定!$B$13="最大化",AA2544-01_因子設定!$B$14,IF(01_因子設定!$B$13="最小化",01_因子設定!$B$15-AB2544,MIN(AA2544-01_因子設定!$B$14,01_因子設定!$B$15-AB2544))),-1E+030)</f>
        <v>-1.46057195323514</v>
      </c>
      <c r="AE2544" s="55" t="n">
        <f aca="false">IF(AC2544,IF(01_因子設定!$B$13="最大化",X2544,IF(01_因子設定!$B$13="最小化",-X2544,-ABS(X2544-01_因子設定!$B$16))),-1E+030)</f>
        <v>46.474036001462</v>
      </c>
      <c r="AF2544" s="55" t="n">
        <f aca="false">AD2544+ROW()*0.000000001</f>
        <v>-1.46056940923514</v>
      </c>
      <c r="AG2544" s="55" t="n">
        <f aca="false">AE2544+ROW()*0.000000001</f>
        <v>46.4740385454619</v>
      </c>
    </row>
    <row r="2545" customFormat="false" ht="15" hidden="false" customHeight="false" outlineLevel="0" collapsed="false">
      <c r="A2545" s="0" t="n">
        <v>3</v>
      </c>
      <c r="B2545" s="0" t="n">
        <v>4</v>
      </c>
      <c r="C2545" s="0" t="n">
        <v>3</v>
      </c>
      <c r="D2545" s="0" t="n">
        <v>2</v>
      </c>
      <c r="E2545" s="0" t="n">
        <f aca="false">-1+A2545*0.25</f>
        <v>-0.25</v>
      </c>
      <c r="F2545" s="0" t="n">
        <f aca="false">-1+B2545*0.25</f>
        <v>0</v>
      </c>
      <c r="G2545" s="0" t="n">
        <f aca="false">-1+C2545*0.25</f>
        <v>-0.25</v>
      </c>
      <c r="H2545" s="0" t="n">
        <f aca="false">-1+D2545*0.25</f>
        <v>-0.5</v>
      </c>
      <c r="I2545" s="0" t="n">
        <f aca="false">1</f>
        <v>1</v>
      </c>
      <c r="J2545" s="0" t="n">
        <f aca="false">E2545</f>
        <v>-0.25</v>
      </c>
      <c r="K2545" s="0" t="n">
        <f aca="false">F2545</f>
        <v>0</v>
      </c>
      <c r="L2545" s="0" t="n">
        <f aca="false">G2545</f>
        <v>-0.25</v>
      </c>
      <c r="M2545" s="0" t="n">
        <f aca="false">H2545</f>
        <v>-0.5</v>
      </c>
      <c r="N2545" s="0" t="n">
        <f aca="false">E2545*F2545</f>
        <v>-0</v>
      </c>
      <c r="O2545" s="0" t="n">
        <f aca="false">E2545*G2545</f>
        <v>0.0625</v>
      </c>
      <c r="P2545" s="0" t="n">
        <f aca="false">E2545*H2545</f>
        <v>0.125</v>
      </c>
      <c r="Q2545" s="0" t="n">
        <f aca="false">F2545*G2545</f>
        <v>-0</v>
      </c>
      <c r="R2545" s="0" t="n">
        <f aca="false">F2545*H2545</f>
        <v>-0</v>
      </c>
      <c r="S2545" s="0" t="n">
        <f aca="false">G2545*H2545</f>
        <v>0.125</v>
      </c>
      <c r="T2545" s="0" t="n">
        <f aca="false">E2545*E2545</f>
        <v>0.0625</v>
      </c>
      <c r="U2545" s="0" t="n">
        <f aca="false">F2545*F2545</f>
        <v>0</v>
      </c>
      <c r="V2545" s="0" t="n">
        <f aca="false">G2545*G2545</f>
        <v>0.0625</v>
      </c>
      <c r="W2545" s="0" t="n">
        <f aca="false">H2545*H2545</f>
        <v>0.25</v>
      </c>
      <c r="X2545" s="0" t="n">
        <f aca="false">SUMPRODUCT(I2545:W2545,_XtX!$B$96:$P$96)</f>
        <v>46.6691611842105</v>
      </c>
      <c r="Y2545" s="0" t="n">
        <f aca="false">SUMPRODUCT(MMULT(I2545:W2545,_XtX!$B$78:$P$92),I2545:W2545)</f>
        <v>0.118905050712719</v>
      </c>
      <c r="Z2545" s="0" t="n">
        <f aca="false">04_回帰ANOVA!$K$19*04_回帰ANOVA!$K$14*SQRT(1+Y2545)</f>
        <v>1.37878011033769</v>
      </c>
      <c r="AA2545" s="0" t="n">
        <f aca="false">X2545-Z2545</f>
        <v>45.2903810738728</v>
      </c>
      <c r="AB2545" s="0" t="n">
        <f aca="false">X2545+Z2545</f>
        <v>48.0479412945482</v>
      </c>
      <c r="AC2545" s="54" t="b">
        <f aca="false">AND(E2545&gt;=01_因子設定!$L$5-0.000000001,E2545&lt;=01_因子設定!$M$5+0.000000001,F2545&gt;=01_因子設定!$L$6-0.000000001,F2545&lt;=01_因子設定!$M$6+0.000000001,G2545&gt;=01_因子設定!$L$7-0.000000001,G2545&lt;=01_因子設定!$M$7+0.000000001,H2545&gt;=01_因子設定!$L$8-0.000000001,H2545&lt;=01_因子設定!$M$8+0.000000001,IF(01_因子設定!$B$20="Box-Behnken",E2545^2+F2545^2+G2545^2+H2545^2&lt;=2+0.000000001,TRUE()))</f>
        <v>1</v>
      </c>
      <c r="AD2545" s="55" t="n">
        <f aca="false">IF(AC2545,IF(01_因子設定!$B$13="最大化",AA2545-01_因子設定!$B$14,IF(01_因子設定!$B$13="最小化",01_因子設定!$B$15-AB2545,MIN(AA2545-01_因子設定!$B$14,01_因子設定!$B$15-AB2545))),-1E+030)</f>
        <v>-1.20961892612721</v>
      </c>
      <c r="AE2545" s="55" t="n">
        <f aca="false">IF(AC2545,IF(01_因子設定!$B$13="最大化",X2545,IF(01_因子設定!$B$13="最小化",-X2545,-ABS(X2545-01_因子設定!$B$16))),-1E+030)</f>
        <v>46.6691611842105</v>
      </c>
      <c r="AF2545" s="55" t="n">
        <f aca="false">AD2545+ROW()*0.000000001</f>
        <v>-1.20961638112721</v>
      </c>
      <c r="AG2545" s="55" t="n">
        <f aca="false">AE2545+ROW()*0.000000001</f>
        <v>46.6691637292105</v>
      </c>
    </row>
    <row r="2546" customFormat="false" ht="15" hidden="false" customHeight="false" outlineLevel="0" collapsed="false">
      <c r="A2546" s="0" t="n">
        <v>3</v>
      </c>
      <c r="B2546" s="0" t="n">
        <v>4</v>
      </c>
      <c r="C2546" s="0" t="n">
        <v>3</v>
      </c>
      <c r="D2546" s="0" t="n">
        <v>3</v>
      </c>
      <c r="E2546" s="0" t="n">
        <f aca="false">-1+A2546*0.25</f>
        <v>-0.25</v>
      </c>
      <c r="F2546" s="0" t="n">
        <f aca="false">-1+B2546*0.25</f>
        <v>0</v>
      </c>
      <c r="G2546" s="0" t="n">
        <f aca="false">-1+C2546*0.25</f>
        <v>-0.25</v>
      </c>
      <c r="H2546" s="0" t="n">
        <f aca="false">-1+D2546*0.25</f>
        <v>-0.25</v>
      </c>
      <c r="I2546" s="0" t="n">
        <f aca="false">1</f>
        <v>1</v>
      </c>
      <c r="J2546" s="0" t="n">
        <f aca="false">E2546</f>
        <v>-0.25</v>
      </c>
      <c r="K2546" s="0" t="n">
        <f aca="false">F2546</f>
        <v>0</v>
      </c>
      <c r="L2546" s="0" t="n">
        <f aca="false">G2546</f>
        <v>-0.25</v>
      </c>
      <c r="M2546" s="0" t="n">
        <f aca="false">H2546</f>
        <v>-0.25</v>
      </c>
      <c r="N2546" s="0" t="n">
        <f aca="false">E2546*F2546</f>
        <v>-0</v>
      </c>
      <c r="O2546" s="0" t="n">
        <f aca="false">E2546*G2546</f>
        <v>0.0625</v>
      </c>
      <c r="P2546" s="0" t="n">
        <f aca="false">E2546*H2546</f>
        <v>0.0625</v>
      </c>
      <c r="Q2546" s="0" t="n">
        <f aca="false">F2546*G2546</f>
        <v>-0</v>
      </c>
      <c r="R2546" s="0" t="n">
        <f aca="false">F2546*H2546</f>
        <v>-0</v>
      </c>
      <c r="S2546" s="0" t="n">
        <f aca="false">G2546*H2546</f>
        <v>0.0625</v>
      </c>
      <c r="T2546" s="0" t="n">
        <f aca="false">E2546*E2546</f>
        <v>0.0625</v>
      </c>
      <c r="U2546" s="0" t="n">
        <f aca="false">F2546*F2546</f>
        <v>0</v>
      </c>
      <c r="V2546" s="0" t="n">
        <f aca="false">G2546*G2546</f>
        <v>0.0625</v>
      </c>
      <c r="W2546" s="0" t="n">
        <f aca="false">H2546*H2546</f>
        <v>0.0625</v>
      </c>
      <c r="X2546" s="0" t="n">
        <f aca="false">SUMPRODUCT(I2546:W2546,_XtX!$B$96:$P$96)</f>
        <v>46.8164793494152</v>
      </c>
      <c r="Y2546" s="0" t="n">
        <f aca="false">SUMPRODUCT(MMULT(I2546:W2546,_XtX!$B$78:$P$92),I2546:W2546)</f>
        <v>0.099622224506579</v>
      </c>
      <c r="Z2546" s="0" t="n">
        <f aca="false">04_回帰ANOVA!$K$19*04_回帰ANOVA!$K$14*SQRT(1+Y2546)</f>
        <v>1.3668477654658</v>
      </c>
      <c r="AA2546" s="0" t="n">
        <f aca="false">X2546-Z2546</f>
        <v>45.4496315839494</v>
      </c>
      <c r="AB2546" s="0" t="n">
        <f aca="false">X2546+Z2546</f>
        <v>48.1833271148809</v>
      </c>
      <c r="AC2546" s="54" t="b">
        <f aca="false">AND(E2546&gt;=01_因子設定!$L$5-0.000000001,E2546&lt;=01_因子設定!$M$5+0.000000001,F2546&gt;=01_因子設定!$L$6-0.000000001,F2546&lt;=01_因子設定!$M$6+0.000000001,G2546&gt;=01_因子設定!$L$7-0.000000001,G2546&lt;=01_因子設定!$M$7+0.000000001,H2546&gt;=01_因子設定!$L$8-0.000000001,H2546&lt;=01_因子設定!$M$8+0.000000001,IF(01_因子設定!$B$20="Box-Behnken",E2546^2+F2546^2+G2546^2+H2546^2&lt;=2+0.000000001,TRUE()))</f>
        <v>1</v>
      </c>
      <c r="AD2546" s="55" t="n">
        <f aca="false">IF(AC2546,IF(01_因子設定!$B$13="最大化",AA2546-01_因子設定!$B$14,IF(01_因子設定!$B$13="最小化",01_因子設定!$B$15-AB2546,MIN(AA2546-01_因子設定!$B$14,01_因子設定!$B$15-AB2546))),-1E+030)</f>
        <v>-1.05036841605065</v>
      </c>
      <c r="AE2546" s="55" t="n">
        <f aca="false">IF(AC2546,IF(01_因子設定!$B$13="最大化",X2546,IF(01_因子設定!$B$13="最小化",-X2546,-ABS(X2546-01_因子設定!$B$16))),-1E+030)</f>
        <v>46.8164793494152</v>
      </c>
      <c r="AF2546" s="55" t="n">
        <f aca="false">AD2546+ROW()*0.000000001</f>
        <v>-1.05036587005065</v>
      </c>
      <c r="AG2546" s="55" t="n">
        <f aca="false">AE2546+ROW()*0.000000001</f>
        <v>46.8164818954151</v>
      </c>
    </row>
    <row r="2547" customFormat="false" ht="15" hidden="false" customHeight="false" outlineLevel="0" collapsed="false">
      <c r="A2547" s="0" t="n">
        <v>3</v>
      </c>
      <c r="B2547" s="0" t="n">
        <v>4</v>
      </c>
      <c r="C2547" s="0" t="n">
        <v>3</v>
      </c>
      <c r="D2547" s="0" t="n">
        <v>4</v>
      </c>
      <c r="E2547" s="0" t="n">
        <f aca="false">-1+A2547*0.25</f>
        <v>-0.25</v>
      </c>
      <c r="F2547" s="0" t="n">
        <f aca="false">-1+B2547*0.25</f>
        <v>0</v>
      </c>
      <c r="G2547" s="0" t="n">
        <f aca="false">-1+C2547*0.25</f>
        <v>-0.25</v>
      </c>
      <c r="H2547" s="0" t="n">
        <f aca="false">-1+D2547*0.25</f>
        <v>0</v>
      </c>
      <c r="I2547" s="0" t="n">
        <f aca="false">1</f>
        <v>1</v>
      </c>
      <c r="J2547" s="0" t="n">
        <f aca="false">E2547</f>
        <v>-0.25</v>
      </c>
      <c r="K2547" s="0" t="n">
        <f aca="false">F2547</f>
        <v>0</v>
      </c>
      <c r="L2547" s="0" t="n">
        <f aca="false">G2547</f>
        <v>-0.25</v>
      </c>
      <c r="M2547" s="0" t="n">
        <f aca="false">H2547</f>
        <v>0</v>
      </c>
      <c r="N2547" s="0" t="n">
        <f aca="false">E2547*F2547</f>
        <v>-0</v>
      </c>
      <c r="O2547" s="0" t="n">
        <f aca="false">E2547*G2547</f>
        <v>0.0625</v>
      </c>
      <c r="P2547" s="0" t="n">
        <f aca="false">E2547*H2547</f>
        <v>-0</v>
      </c>
      <c r="Q2547" s="0" t="n">
        <f aca="false">F2547*G2547</f>
        <v>-0</v>
      </c>
      <c r="R2547" s="0" t="n">
        <f aca="false">F2547*H2547</f>
        <v>0</v>
      </c>
      <c r="S2547" s="0" t="n">
        <f aca="false">G2547*H2547</f>
        <v>-0</v>
      </c>
      <c r="T2547" s="0" t="n">
        <f aca="false">E2547*E2547</f>
        <v>0.0625</v>
      </c>
      <c r="U2547" s="0" t="n">
        <f aca="false">F2547*F2547</f>
        <v>0</v>
      </c>
      <c r="V2547" s="0" t="n">
        <f aca="false">G2547*G2547</f>
        <v>0.0625</v>
      </c>
      <c r="W2547" s="0" t="n">
        <f aca="false">H2547*H2547</f>
        <v>0</v>
      </c>
      <c r="X2547" s="0" t="n">
        <f aca="false">SUMPRODUCT(I2547:W2547,_XtX!$B$96:$P$96)</f>
        <v>46.915990497076</v>
      </c>
      <c r="Y2547" s="0" t="n">
        <f aca="false">SUMPRODUCT(MMULT(I2547:W2547,_XtX!$B$78:$P$92),I2547:W2547)</f>
        <v>0.0992253175255848</v>
      </c>
      <c r="Z2547" s="0" t="n">
        <f aca="false">04_回帰ANOVA!$K$19*04_回帰ANOVA!$K$14*SQRT(1+Y2547)</f>
        <v>1.36660106238383</v>
      </c>
      <c r="AA2547" s="0" t="n">
        <f aca="false">X2547-Z2547</f>
        <v>45.5493894346921</v>
      </c>
      <c r="AB2547" s="0" t="n">
        <f aca="false">X2547+Z2547</f>
        <v>48.2825915594598</v>
      </c>
      <c r="AC2547" s="54" t="b">
        <f aca="false">AND(E2547&gt;=01_因子設定!$L$5-0.000000001,E2547&lt;=01_因子設定!$M$5+0.000000001,F2547&gt;=01_因子設定!$L$6-0.000000001,F2547&lt;=01_因子設定!$M$6+0.000000001,G2547&gt;=01_因子設定!$L$7-0.000000001,G2547&lt;=01_因子設定!$M$7+0.000000001,H2547&gt;=01_因子設定!$L$8-0.000000001,H2547&lt;=01_因子設定!$M$8+0.000000001,IF(01_因子設定!$B$20="Box-Behnken",E2547^2+F2547^2+G2547^2+H2547^2&lt;=2+0.000000001,TRUE()))</f>
        <v>1</v>
      </c>
      <c r="AD2547" s="55" t="n">
        <f aca="false">IF(AC2547,IF(01_因子設定!$B$13="最大化",AA2547-01_因子設定!$B$14,IF(01_因子設定!$B$13="最小化",01_因子設定!$B$15-AB2547,MIN(AA2547-01_因子設定!$B$14,01_因子設定!$B$15-AB2547))),-1E+030)</f>
        <v>-0.950610565307869</v>
      </c>
      <c r="AE2547" s="55" t="n">
        <f aca="false">IF(AC2547,IF(01_因子設定!$B$13="最大化",X2547,IF(01_因子設定!$B$13="最小化",-X2547,-ABS(X2547-01_因子設定!$B$16))),-1E+030)</f>
        <v>46.915990497076</v>
      </c>
      <c r="AF2547" s="55" t="n">
        <f aca="false">AD2547+ROW()*0.000000001</f>
        <v>-0.950608018307869</v>
      </c>
      <c r="AG2547" s="55" t="n">
        <f aca="false">AE2547+ROW()*0.000000001</f>
        <v>46.915993044076</v>
      </c>
    </row>
    <row r="2548" customFormat="false" ht="15" hidden="false" customHeight="false" outlineLevel="0" collapsed="false">
      <c r="A2548" s="0" t="n">
        <v>3</v>
      </c>
      <c r="B2548" s="0" t="n">
        <v>4</v>
      </c>
      <c r="C2548" s="0" t="n">
        <v>3</v>
      </c>
      <c r="D2548" s="0" t="n">
        <v>5</v>
      </c>
      <c r="E2548" s="0" t="n">
        <f aca="false">-1+A2548*0.25</f>
        <v>-0.25</v>
      </c>
      <c r="F2548" s="0" t="n">
        <f aca="false">-1+B2548*0.25</f>
        <v>0</v>
      </c>
      <c r="G2548" s="0" t="n">
        <f aca="false">-1+C2548*0.25</f>
        <v>-0.25</v>
      </c>
      <c r="H2548" s="0" t="n">
        <f aca="false">-1+D2548*0.25</f>
        <v>0.25</v>
      </c>
      <c r="I2548" s="0" t="n">
        <f aca="false">1</f>
        <v>1</v>
      </c>
      <c r="J2548" s="0" t="n">
        <f aca="false">E2548</f>
        <v>-0.25</v>
      </c>
      <c r="K2548" s="0" t="n">
        <f aca="false">F2548</f>
        <v>0</v>
      </c>
      <c r="L2548" s="0" t="n">
        <f aca="false">G2548</f>
        <v>-0.25</v>
      </c>
      <c r="M2548" s="0" t="n">
        <f aca="false">H2548</f>
        <v>0.25</v>
      </c>
      <c r="N2548" s="0" t="n">
        <f aca="false">E2548*F2548</f>
        <v>-0</v>
      </c>
      <c r="O2548" s="0" t="n">
        <f aca="false">E2548*G2548</f>
        <v>0.0625</v>
      </c>
      <c r="P2548" s="0" t="n">
        <f aca="false">E2548*H2548</f>
        <v>-0.0625</v>
      </c>
      <c r="Q2548" s="0" t="n">
        <f aca="false">F2548*G2548</f>
        <v>-0</v>
      </c>
      <c r="R2548" s="0" t="n">
        <f aca="false">F2548*H2548</f>
        <v>0</v>
      </c>
      <c r="S2548" s="0" t="n">
        <f aca="false">G2548*H2548</f>
        <v>-0.0625</v>
      </c>
      <c r="T2548" s="0" t="n">
        <f aca="false">E2548*E2548</f>
        <v>0.0625</v>
      </c>
      <c r="U2548" s="0" t="n">
        <f aca="false">F2548*F2548</f>
        <v>0</v>
      </c>
      <c r="V2548" s="0" t="n">
        <f aca="false">G2548*G2548</f>
        <v>0.0625</v>
      </c>
      <c r="W2548" s="0" t="n">
        <f aca="false">H2548*H2548</f>
        <v>0.0625</v>
      </c>
      <c r="X2548" s="0" t="n">
        <f aca="false">SUMPRODUCT(I2548:W2548,_XtX!$B$96:$P$96)</f>
        <v>46.9676946271929</v>
      </c>
      <c r="Y2548" s="0" t="n">
        <f aca="false">SUMPRODUCT(MMULT(I2548:W2548,_XtX!$B$78:$P$92),I2548:W2548)</f>
        <v>0.099622224506579</v>
      </c>
      <c r="Z2548" s="0" t="n">
        <f aca="false">04_回帰ANOVA!$K$19*04_回帰ANOVA!$K$14*SQRT(1+Y2548)</f>
        <v>1.3668477654658</v>
      </c>
      <c r="AA2548" s="0" t="n">
        <f aca="false">X2548-Z2548</f>
        <v>45.6008468617271</v>
      </c>
      <c r="AB2548" s="0" t="n">
        <f aca="false">X2548+Z2548</f>
        <v>48.3345423926587</v>
      </c>
      <c r="AC2548" s="54" t="b">
        <f aca="false">AND(E2548&gt;=01_因子設定!$L$5-0.000000001,E2548&lt;=01_因子設定!$M$5+0.000000001,F2548&gt;=01_因子設定!$L$6-0.000000001,F2548&lt;=01_因子設定!$M$6+0.000000001,G2548&gt;=01_因子設定!$L$7-0.000000001,G2548&lt;=01_因子設定!$M$7+0.000000001,H2548&gt;=01_因子設定!$L$8-0.000000001,H2548&lt;=01_因子設定!$M$8+0.000000001,IF(01_因子設定!$B$20="Box-Behnken",E2548^2+F2548^2+G2548^2+H2548^2&lt;=2+0.000000001,TRUE()))</f>
        <v>1</v>
      </c>
      <c r="AD2548" s="55" t="n">
        <f aca="false">IF(AC2548,IF(01_因子設定!$B$13="最大化",AA2548-01_因子設定!$B$14,IF(01_因子設定!$B$13="最小化",01_因子設定!$B$15-AB2548,MIN(AA2548-01_因子設定!$B$14,01_因子設定!$B$15-AB2548))),-1E+030)</f>
        <v>-0.899153138272872</v>
      </c>
      <c r="AE2548" s="55" t="n">
        <f aca="false">IF(AC2548,IF(01_因子設定!$B$13="最大化",X2548,IF(01_因子設定!$B$13="最小化",-X2548,-ABS(X2548-01_因子設定!$B$16))),-1E+030)</f>
        <v>46.9676946271929</v>
      </c>
      <c r="AF2548" s="55" t="n">
        <f aca="false">AD2548+ROW()*0.000000001</f>
        <v>-0.899150590272872</v>
      </c>
      <c r="AG2548" s="55" t="n">
        <f aca="false">AE2548+ROW()*0.000000001</f>
        <v>46.9676971751929</v>
      </c>
    </row>
    <row r="2549" customFormat="false" ht="15" hidden="false" customHeight="false" outlineLevel="0" collapsed="false">
      <c r="A2549" s="0" t="n">
        <v>3</v>
      </c>
      <c r="B2549" s="0" t="n">
        <v>4</v>
      </c>
      <c r="C2549" s="0" t="n">
        <v>3</v>
      </c>
      <c r="D2549" s="0" t="n">
        <v>6</v>
      </c>
      <c r="E2549" s="0" t="n">
        <f aca="false">-1+A2549*0.25</f>
        <v>-0.25</v>
      </c>
      <c r="F2549" s="0" t="n">
        <f aca="false">-1+B2549*0.25</f>
        <v>0</v>
      </c>
      <c r="G2549" s="0" t="n">
        <f aca="false">-1+C2549*0.25</f>
        <v>-0.25</v>
      </c>
      <c r="H2549" s="0" t="n">
        <f aca="false">-1+D2549*0.25</f>
        <v>0.5</v>
      </c>
      <c r="I2549" s="0" t="n">
        <f aca="false">1</f>
        <v>1</v>
      </c>
      <c r="J2549" s="0" t="n">
        <f aca="false">E2549</f>
        <v>-0.25</v>
      </c>
      <c r="K2549" s="0" t="n">
        <f aca="false">F2549</f>
        <v>0</v>
      </c>
      <c r="L2549" s="0" t="n">
        <f aca="false">G2549</f>
        <v>-0.25</v>
      </c>
      <c r="M2549" s="0" t="n">
        <f aca="false">H2549</f>
        <v>0.5</v>
      </c>
      <c r="N2549" s="0" t="n">
        <f aca="false">E2549*F2549</f>
        <v>-0</v>
      </c>
      <c r="O2549" s="0" t="n">
        <f aca="false">E2549*G2549</f>
        <v>0.0625</v>
      </c>
      <c r="P2549" s="0" t="n">
        <f aca="false">E2549*H2549</f>
        <v>-0.125</v>
      </c>
      <c r="Q2549" s="0" t="n">
        <f aca="false">F2549*G2549</f>
        <v>-0</v>
      </c>
      <c r="R2549" s="0" t="n">
        <f aca="false">F2549*H2549</f>
        <v>0</v>
      </c>
      <c r="S2549" s="0" t="n">
        <f aca="false">G2549*H2549</f>
        <v>-0.125</v>
      </c>
      <c r="T2549" s="0" t="n">
        <f aca="false">E2549*E2549</f>
        <v>0.0625</v>
      </c>
      <c r="U2549" s="0" t="n">
        <f aca="false">F2549*F2549</f>
        <v>0</v>
      </c>
      <c r="V2549" s="0" t="n">
        <f aca="false">G2549*G2549</f>
        <v>0.0625</v>
      </c>
      <c r="W2549" s="0" t="n">
        <f aca="false">H2549*H2549</f>
        <v>0.25</v>
      </c>
      <c r="X2549" s="0" t="n">
        <f aca="false">SUMPRODUCT(I2549:W2549,_XtX!$B$96:$P$96)</f>
        <v>46.971591739766</v>
      </c>
      <c r="Y2549" s="0" t="n">
        <f aca="false">SUMPRODUCT(MMULT(I2549:W2549,_XtX!$B$78:$P$92),I2549:W2549)</f>
        <v>0.118905050712719</v>
      </c>
      <c r="Z2549" s="0" t="n">
        <f aca="false">04_回帰ANOVA!$K$19*04_回帰ANOVA!$K$14*SQRT(1+Y2549)</f>
        <v>1.37878011033769</v>
      </c>
      <c r="AA2549" s="0" t="n">
        <f aca="false">X2549-Z2549</f>
        <v>45.5928116294284</v>
      </c>
      <c r="AB2549" s="0" t="n">
        <f aca="false">X2549+Z2549</f>
        <v>48.3503718501037</v>
      </c>
      <c r="AC2549" s="54" t="b">
        <f aca="false">AND(E2549&gt;=01_因子設定!$L$5-0.000000001,E2549&lt;=01_因子設定!$M$5+0.000000001,F2549&gt;=01_因子設定!$L$6-0.000000001,F2549&lt;=01_因子設定!$M$6+0.000000001,G2549&gt;=01_因子設定!$L$7-0.000000001,G2549&lt;=01_因子設定!$M$7+0.000000001,H2549&gt;=01_因子設定!$L$8-0.000000001,H2549&lt;=01_因子設定!$M$8+0.000000001,IF(01_因子設定!$B$20="Box-Behnken",E2549^2+F2549^2+G2549^2+H2549^2&lt;=2+0.000000001,TRUE()))</f>
        <v>1</v>
      </c>
      <c r="AD2549" s="55" t="n">
        <f aca="false">IF(AC2549,IF(01_因子設定!$B$13="最大化",AA2549-01_因子設定!$B$14,IF(01_因子設定!$B$13="最小化",01_因子設定!$B$15-AB2549,MIN(AA2549-01_因子設定!$B$14,01_因子設定!$B$15-AB2549))),-1E+030)</f>
        <v>-0.907188370571653</v>
      </c>
      <c r="AE2549" s="55" t="n">
        <f aca="false">IF(AC2549,IF(01_因子設定!$B$13="最大化",X2549,IF(01_因子設定!$B$13="最小化",-X2549,-ABS(X2549-01_因子設定!$B$16))),-1E+030)</f>
        <v>46.971591739766</v>
      </c>
      <c r="AF2549" s="55" t="n">
        <f aca="false">AD2549+ROW()*0.000000001</f>
        <v>-0.907185821571653</v>
      </c>
      <c r="AG2549" s="55" t="n">
        <f aca="false">AE2549+ROW()*0.000000001</f>
        <v>46.971594288766</v>
      </c>
    </row>
    <row r="2550" customFormat="false" ht="15" hidden="false" customHeight="false" outlineLevel="0" collapsed="false">
      <c r="A2550" s="0" t="n">
        <v>3</v>
      </c>
      <c r="B2550" s="0" t="n">
        <v>4</v>
      </c>
      <c r="C2550" s="0" t="n">
        <v>3</v>
      </c>
      <c r="D2550" s="0" t="n">
        <v>7</v>
      </c>
      <c r="E2550" s="0" t="n">
        <f aca="false">-1+A2550*0.25</f>
        <v>-0.25</v>
      </c>
      <c r="F2550" s="0" t="n">
        <f aca="false">-1+B2550*0.25</f>
        <v>0</v>
      </c>
      <c r="G2550" s="0" t="n">
        <f aca="false">-1+C2550*0.25</f>
        <v>-0.25</v>
      </c>
      <c r="H2550" s="0" t="n">
        <f aca="false">-1+D2550*0.25</f>
        <v>0.75</v>
      </c>
      <c r="I2550" s="0" t="n">
        <f aca="false">1</f>
        <v>1</v>
      </c>
      <c r="J2550" s="0" t="n">
        <f aca="false">E2550</f>
        <v>-0.25</v>
      </c>
      <c r="K2550" s="0" t="n">
        <f aca="false">F2550</f>
        <v>0</v>
      </c>
      <c r="L2550" s="0" t="n">
        <f aca="false">G2550</f>
        <v>-0.25</v>
      </c>
      <c r="M2550" s="0" t="n">
        <f aca="false">H2550</f>
        <v>0.75</v>
      </c>
      <c r="N2550" s="0" t="n">
        <f aca="false">E2550*F2550</f>
        <v>-0</v>
      </c>
      <c r="O2550" s="0" t="n">
        <f aca="false">E2550*G2550</f>
        <v>0.0625</v>
      </c>
      <c r="P2550" s="0" t="n">
        <f aca="false">E2550*H2550</f>
        <v>-0.1875</v>
      </c>
      <c r="Q2550" s="0" t="n">
        <f aca="false">F2550*G2550</f>
        <v>-0</v>
      </c>
      <c r="R2550" s="0" t="n">
        <f aca="false">F2550*H2550</f>
        <v>0</v>
      </c>
      <c r="S2550" s="0" t="n">
        <f aca="false">G2550*H2550</f>
        <v>-0.1875</v>
      </c>
      <c r="T2550" s="0" t="n">
        <f aca="false">E2550*E2550</f>
        <v>0.0625</v>
      </c>
      <c r="U2550" s="0" t="n">
        <f aca="false">F2550*F2550</f>
        <v>0</v>
      </c>
      <c r="V2550" s="0" t="n">
        <f aca="false">G2550*G2550</f>
        <v>0.0625</v>
      </c>
      <c r="W2550" s="0" t="n">
        <f aca="false">H2550*H2550</f>
        <v>0.5625</v>
      </c>
      <c r="X2550" s="0" t="n">
        <f aca="false">SUMPRODUCT(I2550:W2550,_XtX!$B$96:$P$96)</f>
        <v>46.9276818347953</v>
      </c>
      <c r="Y2550" s="0" t="n">
        <f aca="false">SUMPRODUCT(MMULT(I2550:W2550,_XtX!$B$78:$P$92),I2550:W2550)</f>
        <v>0.21135011193348</v>
      </c>
      <c r="Z2550" s="0" t="n">
        <f aca="false">04_回帰ANOVA!$K$19*04_回帰ANOVA!$K$14*SQRT(1+Y2550)</f>
        <v>1.43460795469709</v>
      </c>
      <c r="AA2550" s="0" t="n">
        <f aca="false">X2550-Z2550</f>
        <v>45.4930738800982</v>
      </c>
      <c r="AB2550" s="0" t="n">
        <f aca="false">X2550+Z2550</f>
        <v>48.3622897894924</v>
      </c>
      <c r="AC2550" s="54" t="b">
        <f aca="false">AND(E2550&gt;=01_因子設定!$L$5-0.000000001,E2550&lt;=01_因子設定!$M$5+0.000000001,F2550&gt;=01_因子設定!$L$6-0.000000001,F2550&lt;=01_因子設定!$M$6+0.000000001,G2550&gt;=01_因子設定!$L$7-0.000000001,G2550&lt;=01_因子設定!$M$7+0.000000001,H2550&gt;=01_因子設定!$L$8-0.000000001,H2550&lt;=01_因子設定!$M$8+0.000000001,IF(01_因子設定!$B$20="Box-Behnken",E2550^2+F2550^2+G2550^2+H2550^2&lt;=2+0.000000001,TRUE()))</f>
        <v>1</v>
      </c>
      <c r="AD2550" s="55" t="n">
        <f aca="false">IF(AC2550,IF(01_因子設定!$B$13="最大化",AA2550-01_因子設定!$B$14,IF(01_因子設定!$B$13="最小化",01_因子設定!$B$15-AB2550,MIN(AA2550-01_因子設定!$B$14,01_因子設定!$B$15-AB2550))),-1E+030)</f>
        <v>-1.00692611990181</v>
      </c>
      <c r="AE2550" s="55" t="n">
        <f aca="false">IF(AC2550,IF(01_因子設定!$B$13="最大化",X2550,IF(01_因子設定!$B$13="最小化",-X2550,-ABS(X2550-01_因子設定!$B$16))),-1E+030)</f>
        <v>46.9276818347953</v>
      </c>
      <c r="AF2550" s="55" t="n">
        <f aca="false">AD2550+ROW()*0.000000001</f>
        <v>-1.00692356990181</v>
      </c>
      <c r="AG2550" s="55" t="n">
        <f aca="false">AE2550+ROW()*0.000000001</f>
        <v>46.9276843847953</v>
      </c>
    </row>
    <row r="2551" customFormat="false" ht="15" hidden="false" customHeight="false" outlineLevel="0" collapsed="false">
      <c r="A2551" s="0" t="n">
        <v>3</v>
      </c>
      <c r="B2551" s="0" t="n">
        <v>4</v>
      </c>
      <c r="C2551" s="0" t="n">
        <v>3</v>
      </c>
      <c r="D2551" s="0" t="n">
        <v>8</v>
      </c>
      <c r="E2551" s="0" t="n">
        <f aca="false">-1+A2551*0.25</f>
        <v>-0.25</v>
      </c>
      <c r="F2551" s="0" t="n">
        <f aca="false">-1+B2551*0.25</f>
        <v>0</v>
      </c>
      <c r="G2551" s="0" t="n">
        <f aca="false">-1+C2551*0.25</f>
        <v>-0.25</v>
      </c>
      <c r="H2551" s="0" t="n">
        <f aca="false">-1+D2551*0.25</f>
        <v>1</v>
      </c>
      <c r="I2551" s="0" t="n">
        <f aca="false">1</f>
        <v>1</v>
      </c>
      <c r="J2551" s="0" t="n">
        <f aca="false">E2551</f>
        <v>-0.25</v>
      </c>
      <c r="K2551" s="0" t="n">
        <f aca="false">F2551</f>
        <v>0</v>
      </c>
      <c r="L2551" s="0" t="n">
        <f aca="false">G2551</f>
        <v>-0.25</v>
      </c>
      <c r="M2551" s="0" t="n">
        <f aca="false">H2551</f>
        <v>1</v>
      </c>
      <c r="N2551" s="0" t="n">
        <f aca="false">E2551*F2551</f>
        <v>-0</v>
      </c>
      <c r="O2551" s="0" t="n">
        <f aca="false">E2551*G2551</f>
        <v>0.0625</v>
      </c>
      <c r="P2551" s="0" t="n">
        <f aca="false">E2551*H2551</f>
        <v>-0.25</v>
      </c>
      <c r="Q2551" s="0" t="n">
        <f aca="false">F2551*G2551</f>
        <v>-0</v>
      </c>
      <c r="R2551" s="0" t="n">
        <f aca="false">F2551*H2551</f>
        <v>0</v>
      </c>
      <c r="S2551" s="0" t="n">
        <f aca="false">G2551*H2551</f>
        <v>-0.25</v>
      </c>
      <c r="T2551" s="0" t="n">
        <f aca="false">E2551*E2551</f>
        <v>0.0625</v>
      </c>
      <c r="U2551" s="0" t="n">
        <f aca="false">F2551*F2551</f>
        <v>0</v>
      </c>
      <c r="V2551" s="0" t="n">
        <f aca="false">G2551*G2551</f>
        <v>0.0625</v>
      </c>
      <c r="W2551" s="0" t="n">
        <f aca="false">H2551*H2551</f>
        <v>1</v>
      </c>
      <c r="X2551" s="0" t="n">
        <f aca="false">SUMPRODUCT(I2551:W2551,_XtX!$B$96:$P$96)</f>
        <v>46.8359649122807</v>
      </c>
      <c r="Y2551" s="0" t="n">
        <f aca="false">SUMPRODUCT(MMULT(I2551:W2551,_XtX!$B$78:$P$92),I2551:W2551)</f>
        <v>0.467417934484649</v>
      </c>
      <c r="Z2551" s="0" t="n">
        <f aca="false">04_回帰ANOVA!$K$19*04_回帰ANOVA!$K$14*SQRT(1+Y2551)</f>
        <v>1.57897518244497</v>
      </c>
      <c r="AA2551" s="0" t="n">
        <f aca="false">X2551-Z2551</f>
        <v>45.2569897298357</v>
      </c>
      <c r="AB2551" s="0" t="n">
        <f aca="false">X2551+Z2551</f>
        <v>48.4149400947257</v>
      </c>
      <c r="AC2551" s="54" t="b">
        <f aca="false">AND(E2551&gt;=01_因子設定!$L$5-0.000000001,E2551&lt;=01_因子設定!$M$5+0.000000001,F2551&gt;=01_因子設定!$L$6-0.000000001,F2551&lt;=01_因子設定!$M$6+0.000000001,G2551&gt;=01_因子設定!$L$7-0.000000001,G2551&lt;=01_因子設定!$M$7+0.000000001,H2551&gt;=01_因子設定!$L$8-0.000000001,H2551&lt;=01_因子設定!$M$8+0.000000001,IF(01_因子設定!$B$20="Box-Behnken",E2551^2+F2551^2+G2551^2+H2551^2&lt;=2+0.000000001,TRUE()))</f>
        <v>1</v>
      </c>
      <c r="AD2551" s="55" t="n">
        <f aca="false">IF(AC2551,IF(01_因子設定!$B$13="最大化",AA2551-01_因子設定!$B$14,IF(01_因子設定!$B$13="最小化",01_因子設定!$B$15-AB2551,MIN(AA2551-01_因子設定!$B$14,01_因子設定!$B$15-AB2551))),-1E+030)</f>
        <v>-1.24301027016429</v>
      </c>
      <c r="AE2551" s="55" t="n">
        <f aca="false">IF(AC2551,IF(01_因子設定!$B$13="最大化",X2551,IF(01_因子設定!$B$13="最小化",-X2551,-ABS(X2551-01_因子設定!$B$16))),-1E+030)</f>
        <v>46.8359649122807</v>
      </c>
      <c r="AF2551" s="55" t="n">
        <f aca="false">AD2551+ROW()*0.000000001</f>
        <v>-1.24300771916429</v>
      </c>
      <c r="AG2551" s="55" t="n">
        <f aca="false">AE2551+ROW()*0.000000001</f>
        <v>46.8359674632807</v>
      </c>
    </row>
    <row r="2552" customFormat="false" ht="15" hidden="false" customHeight="false" outlineLevel="0" collapsed="false">
      <c r="A2552" s="0" t="n">
        <v>3</v>
      </c>
      <c r="B2552" s="0" t="n">
        <v>4</v>
      </c>
      <c r="C2552" s="0" t="n">
        <v>4</v>
      </c>
      <c r="D2552" s="0" t="n">
        <v>0</v>
      </c>
      <c r="E2552" s="0" t="n">
        <f aca="false">-1+A2552*0.25</f>
        <v>-0.25</v>
      </c>
      <c r="F2552" s="0" t="n">
        <f aca="false">-1+B2552*0.25</f>
        <v>0</v>
      </c>
      <c r="G2552" s="0" t="n">
        <f aca="false">-1+C2552*0.25</f>
        <v>0</v>
      </c>
      <c r="H2552" s="0" t="n">
        <f aca="false">-1+D2552*0.25</f>
        <v>-1</v>
      </c>
      <c r="I2552" s="0" t="n">
        <f aca="false">1</f>
        <v>1</v>
      </c>
      <c r="J2552" s="0" t="n">
        <f aca="false">E2552</f>
        <v>-0.25</v>
      </c>
      <c r="K2552" s="0" t="n">
        <f aca="false">F2552</f>
        <v>0</v>
      </c>
      <c r="L2552" s="0" t="n">
        <f aca="false">G2552</f>
        <v>0</v>
      </c>
      <c r="M2552" s="0" t="n">
        <f aca="false">H2552</f>
        <v>-1</v>
      </c>
      <c r="N2552" s="0" t="n">
        <f aca="false">E2552*F2552</f>
        <v>-0</v>
      </c>
      <c r="O2552" s="0" t="n">
        <f aca="false">E2552*G2552</f>
        <v>-0</v>
      </c>
      <c r="P2552" s="0" t="n">
        <f aca="false">E2552*H2552</f>
        <v>0.25</v>
      </c>
      <c r="Q2552" s="0" t="n">
        <f aca="false">F2552*G2552</f>
        <v>0</v>
      </c>
      <c r="R2552" s="0" t="n">
        <f aca="false">F2552*H2552</f>
        <v>-0</v>
      </c>
      <c r="S2552" s="0" t="n">
        <f aca="false">G2552*H2552</f>
        <v>-0</v>
      </c>
      <c r="T2552" s="0" t="n">
        <f aca="false">E2552*E2552</f>
        <v>0.0625</v>
      </c>
      <c r="U2552" s="0" t="n">
        <f aca="false">F2552*F2552</f>
        <v>0</v>
      </c>
      <c r="V2552" s="0" t="n">
        <f aca="false">G2552*G2552</f>
        <v>0</v>
      </c>
      <c r="W2552" s="0" t="n">
        <f aca="false">H2552*H2552</f>
        <v>1</v>
      </c>
      <c r="X2552" s="0" t="n">
        <f aca="false">SUMPRODUCT(I2552:W2552,_XtX!$B$96:$P$96)</f>
        <v>46.4883406432748</v>
      </c>
      <c r="Y2552" s="0" t="n">
        <f aca="false">SUMPRODUCT(MMULT(I2552:W2552,_XtX!$B$78:$P$92),I2552:W2552)</f>
        <v>0.47672240497076</v>
      </c>
      <c r="Z2552" s="0" t="n">
        <f aca="false">04_回帰ANOVA!$K$19*04_回帰ANOVA!$K$14*SQRT(1+Y2552)</f>
        <v>1.58397318352695</v>
      </c>
      <c r="AA2552" s="0" t="n">
        <f aca="false">X2552-Z2552</f>
        <v>44.9043674597479</v>
      </c>
      <c r="AB2552" s="0" t="n">
        <f aca="false">X2552+Z2552</f>
        <v>48.0723138268018</v>
      </c>
      <c r="AC2552" s="54" t="b">
        <f aca="false">AND(E2552&gt;=01_因子設定!$L$5-0.000000001,E2552&lt;=01_因子設定!$M$5+0.000000001,F2552&gt;=01_因子設定!$L$6-0.000000001,F2552&lt;=01_因子設定!$M$6+0.000000001,G2552&gt;=01_因子設定!$L$7-0.000000001,G2552&lt;=01_因子設定!$M$7+0.000000001,H2552&gt;=01_因子設定!$L$8-0.000000001,H2552&lt;=01_因子設定!$M$8+0.000000001,IF(01_因子設定!$B$20="Box-Behnken",E2552^2+F2552^2+G2552^2+H2552^2&lt;=2+0.000000001,TRUE()))</f>
        <v>1</v>
      </c>
      <c r="AD2552" s="55" t="n">
        <f aca="false">IF(AC2552,IF(01_因子設定!$B$13="最大化",AA2552-01_因子設定!$B$14,IF(01_因子設定!$B$13="最小化",01_因子設定!$B$15-AB2552,MIN(AA2552-01_因子設定!$B$14,01_因子設定!$B$15-AB2552))),-1E+030)</f>
        <v>-1.59563254025211</v>
      </c>
      <c r="AE2552" s="55" t="n">
        <f aca="false">IF(AC2552,IF(01_因子設定!$B$13="最大化",X2552,IF(01_因子設定!$B$13="最小化",-X2552,-ABS(X2552-01_因子設定!$B$16))),-1E+030)</f>
        <v>46.4883406432748</v>
      </c>
      <c r="AF2552" s="55" t="n">
        <f aca="false">AD2552+ROW()*0.000000001</f>
        <v>-1.59562998825211</v>
      </c>
      <c r="AG2552" s="55" t="n">
        <f aca="false">AE2552+ROW()*0.000000001</f>
        <v>46.4883431952748</v>
      </c>
    </row>
    <row r="2553" customFormat="false" ht="15" hidden="false" customHeight="false" outlineLevel="0" collapsed="false">
      <c r="A2553" s="0" t="n">
        <v>3</v>
      </c>
      <c r="B2553" s="0" t="n">
        <v>4</v>
      </c>
      <c r="C2553" s="0" t="n">
        <v>4</v>
      </c>
      <c r="D2553" s="0" t="n">
        <v>1</v>
      </c>
      <c r="E2553" s="0" t="n">
        <f aca="false">-1+A2553*0.25</f>
        <v>-0.25</v>
      </c>
      <c r="F2553" s="0" t="n">
        <f aca="false">-1+B2553*0.25</f>
        <v>0</v>
      </c>
      <c r="G2553" s="0" t="n">
        <f aca="false">-1+C2553*0.25</f>
        <v>0</v>
      </c>
      <c r="H2553" s="0" t="n">
        <f aca="false">-1+D2553*0.25</f>
        <v>-0.75</v>
      </c>
      <c r="I2553" s="0" t="n">
        <f aca="false">1</f>
        <v>1</v>
      </c>
      <c r="J2553" s="0" t="n">
        <f aca="false">E2553</f>
        <v>-0.25</v>
      </c>
      <c r="K2553" s="0" t="n">
        <f aca="false">F2553</f>
        <v>0</v>
      </c>
      <c r="L2553" s="0" t="n">
        <f aca="false">G2553</f>
        <v>0</v>
      </c>
      <c r="M2553" s="0" t="n">
        <f aca="false">H2553</f>
        <v>-0.75</v>
      </c>
      <c r="N2553" s="0" t="n">
        <f aca="false">E2553*F2553</f>
        <v>-0</v>
      </c>
      <c r="O2553" s="0" t="n">
        <f aca="false">E2553*G2553</f>
        <v>-0</v>
      </c>
      <c r="P2553" s="0" t="n">
        <f aca="false">E2553*H2553</f>
        <v>0.1875</v>
      </c>
      <c r="Q2553" s="0" t="n">
        <f aca="false">F2553*G2553</f>
        <v>0</v>
      </c>
      <c r="R2553" s="0" t="n">
        <f aca="false">F2553*H2553</f>
        <v>-0</v>
      </c>
      <c r="S2553" s="0" t="n">
        <f aca="false">G2553*H2553</f>
        <v>-0</v>
      </c>
      <c r="T2553" s="0" t="n">
        <f aca="false">E2553*E2553</f>
        <v>0.0625</v>
      </c>
      <c r="U2553" s="0" t="n">
        <f aca="false">F2553*F2553</f>
        <v>0</v>
      </c>
      <c r="V2553" s="0" t="n">
        <f aca="false">G2553*G2553</f>
        <v>0</v>
      </c>
      <c r="W2553" s="0" t="n">
        <f aca="false">H2553*H2553</f>
        <v>0.5625</v>
      </c>
      <c r="X2553" s="0" t="n">
        <f aca="false">SUMPRODUCT(I2553:W2553,_XtX!$B$96:$P$96)</f>
        <v>46.7492415935672</v>
      </c>
      <c r="Y2553" s="0" t="n">
        <f aca="false">SUMPRODUCT(MMULT(I2553:W2553,_XtX!$B$78:$P$92),I2553:W2553)</f>
        <v>0.216127272934942</v>
      </c>
      <c r="Z2553" s="0" t="n">
        <f aca="false">04_回帰ANOVA!$K$19*04_回帰ANOVA!$K$14*SQRT(1+Y2553)</f>
        <v>1.43743397896608</v>
      </c>
      <c r="AA2553" s="0" t="n">
        <f aca="false">X2553-Z2553</f>
        <v>45.3118076146011</v>
      </c>
      <c r="AB2553" s="0" t="n">
        <f aca="false">X2553+Z2553</f>
        <v>48.1866755725333</v>
      </c>
      <c r="AC2553" s="54" t="b">
        <f aca="false">AND(E2553&gt;=01_因子設定!$L$5-0.000000001,E2553&lt;=01_因子設定!$M$5+0.000000001,F2553&gt;=01_因子設定!$L$6-0.000000001,F2553&lt;=01_因子設定!$M$6+0.000000001,G2553&gt;=01_因子設定!$L$7-0.000000001,G2553&lt;=01_因子設定!$M$7+0.000000001,H2553&gt;=01_因子設定!$L$8-0.000000001,H2553&lt;=01_因子設定!$M$8+0.000000001,IF(01_因子設定!$B$20="Box-Behnken",E2553^2+F2553^2+G2553^2+H2553^2&lt;=2+0.000000001,TRUE()))</f>
        <v>1</v>
      </c>
      <c r="AD2553" s="55" t="n">
        <f aca="false">IF(AC2553,IF(01_因子設定!$B$13="最大化",AA2553-01_因子設定!$B$14,IF(01_因子設定!$B$13="最小化",01_因子設定!$B$15-AB2553,MIN(AA2553-01_因子設定!$B$14,01_因子設定!$B$15-AB2553))),-1E+030)</f>
        <v>-1.18819238539886</v>
      </c>
      <c r="AE2553" s="55" t="n">
        <f aca="false">IF(AC2553,IF(01_因子設定!$B$13="最大化",X2553,IF(01_因子設定!$B$13="最小化",-X2553,-ABS(X2553-01_因子設定!$B$16))),-1E+030)</f>
        <v>46.7492415935672</v>
      </c>
      <c r="AF2553" s="55" t="n">
        <f aca="false">AD2553+ROW()*0.000000001</f>
        <v>-1.18818983239886</v>
      </c>
      <c r="AG2553" s="55" t="n">
        <f aca="false">AE2553+ROW()*0.000000001</f>
        <v>46.7492441465672</v>
      </c>
    </row>
    <row r="2554" customFormat="false" ht="15" hidden="false" customHeight="false" outlineLevel="0" collapsed="false">
      <c r="A2554" s="0" t="n">
        <v>3</v>
      </c>
      <c r="B2554" s="0" t="n">
        <v>4</v>
      </c>
      <c r="C2554" s="0" t="n">
        <v>4</v>
      </c>
      <c r="D2554" s="0" t="n">
        <v>2</v>
      </c>
      <c r="E2554" s="0" t="n">
        <f aca="false">-1+A2554*0.25</f>
        <v>-0.25</v>
      </c>
      <c r="F2554" s="0" t="n">
        <f aca="false">-1+B2554*0.25</f>
        <v>0</v>
      </c>
      <c r="G2554" s="0" t="n">
        <f aca="false">-1+C2554*0.25</f>
        <v>0</v>
      </c>
      <c r="H2554" s="0" t="n">
        <f aca="false">-1+D2554*0.25</f>
        <v>-0.5</v>
      </c>
      <c r="I2554" s="0" t="n">
        <f aca="false">1</f>
        <v>1</v>
      </c>
      <c r="J2554" s="0" t="n">
        <f aca="false">E2554</f>
        <v>-0.25</v>
      </c>
      <c r="K2554" s="0" t="n">
        <f aca="false">F2554</f>
        <v>0</v>
      </c>
      <c r="L2554" s="0" t="n">
        <f aca="false">G2554</f>
        <v>0</v>
      </c>
      <c r="M2554" s="0" t="n">
        <f aca="false">H2554</f>
        <v>-0.5</v>
      </c>
      <c r="N2554" s="0" t="n">
        <f aca="false">E2554*F2554</f>
        <v>-0</v>
      </c>
      <c r="O2554" s="0" t="n">
        <f aca="false">E2554*G2554</f>
        <v>-0</v>
      </c>
      <c r="P2554" s="0" t="n">
        <f aca="false">E2554*H2554</f>
        <v>0.125</v>
      </c>
      <c r="Q2554" s="0" t="n">
        <f aca="false">F2554*G2554</f>
        <v>0</v>
      </c>
      <c r="R2554" s="0" t="n">
        <f aca="false">F2554*H2554</f>
        <v>-0</v>
      </c>
      <c r="S2554" s="0" t="n">
        <f aca="false">G2554*H2554</f>
        <v>-0</v>
      </c>
      <c r="T2554" s="0" t="n">
        <f aca="false">E2554*E2554</f>
        <v>0.0625</v>
      </c>
      <c r="U2554" s="0" t="n">
        <f aca="false">F2554*F2554</f>
        <v>0</v>
      </c>
      <c r="V2554" s="0" t="n">
        <f aca="false">G2554*G2554</f>
        <v>0</v>
      </c>
      <c r="W2554" s="0" t="n">
        <f aca="false">H2554*H2554</f>
        <v>0.25</v>
      </c>
      <c r="X2554" s="0" t="n">
        <f aca="false">SUMPRODUCT(I2554:W2554,_XtX!$B$96:$P$96)</f>
        <v>46.9623355263157</v>
      </c>
      <c r="Y2554" s="0" t="n">
        <f aca="false">SUMPRODUCT(MMULT(I2554:W2554,_XtX!$B$78:$P$92),I2554:W2554)</f>
        <v>0.120448419225146</v>
      </c>
      <c r="Z2554" s="0" t="n">
        <f aca="false">04_回帰ANOVA!$K$19*04_回帰ANOVA!$K$14*SQRT(1+Y2554)</f>
        <v>1.37973069703246</v>
      </c>
      <c r="AA2554" s="0" t="n">
        <f aca="false">X2554-Z2554</f>
        <v>45.5826048292833</v>
      </c>
      <c r="AB2554" s="0" t="n">
        <f aca="false">X2554+Z2554</f>
        <v>48.3420662233482</v>
      </c>
      <c r="AC2554" s="54" t="b">
        <f aca="false">AND(E2554&gt;=01_因子設定!$L$5-0.000000001,E2554&lt;=01_因子設定!$M$5+0.000000001,F2554&gt;=01_因子設定!$L$6-0.000000001,F2554&lt;=01_因子設定!$M$6+0.000000001,G2554&gt;=01_因子設定!$L$7-0.000000001,G2554&lt;=01_因子設定!$M$7+0.000000001,H2554&gt;=01_因子設定!$L$8-0.000000001,H2554&lt;=01_因子設定!$M$8+0.000000001,IF(01_因子設定!$B$20="Box-Behnken",E2554^2+F2554^2+G2554^2+H2554^2&lt;=2+0.000000001,TRUE()))</f>
        <v>1</v>
      </c>
      <c r="AD2554" s="55" t="n">
        <f aca="false">IF(AC2554,IF(01_因子設定!$B$13="最大化",AA2554-01_因子設定!$B$14,IF(01_因子設定!$B$13="最小化",01_因子設定!$B$15-AB2554,MIN(AA2554-01_因子設定!$B$14,01_因子設定!$B$15-AB2554))),-1E+030)</f>
        <v>-0.917395170716723</v>
      </c>
      <c r="AE2554" s="55" t="n">
        <f aca="false">IF(AC2554,IF(01_因子設定!$B$13="最大化",X2554,IF(01_因子設定!$B$13="最小化",-X2554,-ABS(X2554-01_因子設定!$B$16))),-1E+030)</f>
        <v>46.9623355263157</v>
      </c>
      <c r="AF2554" s="55" t="n">
        <f aca="false">AD2554+ROW()*0.000000001</f>
        <v>-0.917392616716723</v>
      </c>
      <c r="AG2554" s="55" t="n">
        <f aca="false">AE2554+ROW()*0.000000001</f>
        <v>46.9623380803157</v>
      </c>
    </row>
    <row r="2555" customFormat="false" ht="15" hidden="false" customHeight="false" outlineLevel="0" collapsed="false">
      <c r="A2555" s="0" t="n">
        <v>3</v>
      </c>
      <c r="B2555" s="0" t="n">
        <v>4</v>
      </c>
      <c r="C2555" s="0" t="n">
        <v>4</v>
      </c>
      <c r="D2555" s="0" t="n">
        <v>3</v>
      </c>
      <c r="E2555" s="0" t="n">
        <f aca="false">-1+A2555*0.25</f>
        <v>-0.25</v>
      </c>
      <c r="F2555" s="0" t="n">
        <f aca="false">-1+B2555*0.25</f>
        <v>0</v>
      </c>
      <c r="G2555" s="0" t="n">
        <f aca="false">-1+C2555*0.25</f>
        <v>0</v>
      </c>
      <c r="H2555" s="0" t="n">
        <f aca="false">-1+D2555*0.25</f>
        <v>-0.25</v>
      </c>
      <c r="I2555" s="0" t="n">
        <f aca="false">1</f>
        <v>1</v>
      </c>
      <c r="J2555" s="0" t="n">
        <f aca="false">E2555</f>
        <v>-0.25</v>
      </c>
      <c r="K2555" s="0" t="n">
        <f aca="false">F2555</f>
        <v>0</v>
      </c>
      <c r="L2555" s="0" t="n">
        <f aca="false">G2555</f>
        <v>0</v>
      </c>
      <c r="M2555" s="0" t="n">
        <f aca="false">H2555</f>
        <v>-0.25</v>
      </c>
      <c r="N2555" s="0" t="n">
        <f aca="false">E2555*F2555</f>
        <v>-0</v>
      </c>
      <c r="O2555" s="0" t="n">
        <f aca="false">E2555*G2555</f>
        <v>-0</v>
      </c>
      <c r="P2555" s="0" t="n">
        <f aca="false">E2555*H2555</f>
        <v>0.0625</v>
      </c>
      <c r="Q2555" s="0" t="n">
        <f aca="false">F2555*G2555</f>
        <v>0</v>
      </c>
      <c r="R2555" s="0" t="n">
        <f aca="false">F2555*H2555</f>
        <v>-0</v>
      </c>
      <c r="S2555" s="0" t="n">
        <f aca="false">G2555*H2555</f>
        <v>-0</v>
      </c>
      <c r="T2555" s="0" t="n">
        <f aca="false">E2555*E2555</f>
        <v>0.0625</v>
      </c>
      <c r="U2555" s="0" t="n">
        <f aca="false">F2555*F2555</f>
        <v>0</v>
      </c>
      <c r="V2555" s="0" t="n">
        <f aca="false">G2555*G2555</f>
        <v>0</v>
      </c>
      <c r="W2555" s="0" t="n">
        <f aca="false">H2555*H2555</f>
        <v>0.0625</v>
      </c>
      <c r="X2555" s="0" t="n">
        <f aca="false">SUMPRODUCT(I2555:W2555,_XtX!$B$96:$P$96)</f>
        <v>47.1276224415204</v>
      </c>
      <c r="Y2555" s="0" t="n">
        <f aca="false">SUMPRODUCT(MMULT(I2555:W2555,_XtX!$B$78:$P$92),I2555:W2555)</f>
        <v>0.0992253175255848</v>
      </c>
      <c r="Z2555" s="0" t="n">
        <f aca="false">04_回帰ANOVA!$K$19*04_回帰ANOVA!$K$14*SQRT(1+Y2555)</f>
        <v>1.36660106238383</v>
      </c>
      <c r="AA2555" s="0" t="n">
        <f aca="false">X2555-Z2555</f>
        <v>45.7610213791366</v>
      </c>
      <c r="AB2555" s="0" t="n">
        <f aca="false">X2555+Z2555</f>
        <v>48.4942235039042</v>
      </c>
      <c r="AC2555" s="54" t="b">
        <f aca="false">AND(E2555&gt;=01_因子設定!$L$5-0.000000001,E2555&lt;=01_因子設定!$M$5+0.000000001,F2555&gt;=01_因子設定!$L$6-0.000000001,F2555&lt;=01_因子設定!$M$6+0.000000001,G2555&gt;=01_因子設定!$L$7-0.000000001,G2555&lt;=01_因子設定!$M$7+0.000000001,H2555&gt;=01_因子設定!$L$8-0.000000001,H2555&lt;=01_因子設定!$M$8+0.000000001,IF(01_因子設定!$B$20="Box-Behnken",E2555^2+F2555^2+G2555^2+H2555^2&lt;=2+0.000000001,TRUE()))</f>
        <v>1</v>
      </c>
      <c r="AD2555" s="55" t="n">
        <f aca="false">IF(AC2555,IF(01_因子設定!$B$13="最大化",AA2555-01_因子設定!$B$14,IF(01_因子設定!$B$13="最小化",01_因子設定!$B$15-AB2555,MIN(AA2555-01_因子設定!$B$14,01_因子設定!$B$15-AB2555))),-1E+030)</f>
        <v>-0.738978620863421</v>
      </c>
      <c r="AE2555" s="55" t="n">
        <f aca="false">IF(AC2555,IF(01_因子設定!$B$13="最大化",X2555,IF(01_因子設定!$B$13="最小化",-X2555,-ABS(X2555-01_因子設定!$B$16))),-1E+030)</f>
        <v>47.1276224415204</v>
      </c>
      <c r="AF2555" s="55" t="n">
        <f aca="false">AD2555+ROW()*0.000000001</f>
        <v>-0.738976065863421</v>
      </c>
      <c r="AG2555" s="55" t="n">
        <f aca="false">AE2555+ROW()*0.000000001</f>
        <v>47.1276249965204</v>
      </c>
    </row>
    <row r="2556" customFormat="false" ht="15" hidden="false" customHeight="false" outlineLevel="0" collapsed="false">
      <c r="A2556" s="0" t="n">
        <v>3</v>
      </c>
      <c r="B2556" s="0" t="n">
        <v>4</v>
      </c>
      <c r="C2556" s="0" t="n">
        <v>4</v>
      </c>
      <c r="D2556" s="0" t="n">
        <v>4</v>
      </c>
      <c r="E2556" s="0" t="n">
        <f aca="false">-1+A2556*0.25</f>
        <v>-0.25</v>
      </c>
      <c r="F2556" s="0" t="n">
        <f aca="false">-1+B2556*0.25</f>
        <v>0</v>
      </c>
      <c r="G2556" s="0" t="n">
        <f aca="false">-1+C2556*0.25</f>
        <v>0</v>
      </c>
      <c r="H2556" s="0" t="n">
        <f aca="false">-1+D2556*0.25</f>
        <v>0</v>
      </c>
      <c r="I2556" s="0" t="n">
        <f aca="false">1</f>
        <v>1</v>
      </c>
      <c r="J2556" s="0" t="n">
        <f aca="false">E2556</f>
        <v>-0.25</v>
      </c>
      <c r="K2556" s="0" t="n">
        <f aca="false">F2556</f>
        <v>0</v>
      </c>
      <c r="L2556" s="0" t="n">
        <f aca="false">G2556</f>
        <v>0</v>
      </c>
      <c r="M2556" s="0" t="n">
        <f aca="false">H2556</f>
        <v>0</v>
      </c>
      <c r="N2556" s="0" t="n">
        <f aca="false">E2556*F2556</f>
        <v>-0</v>
      </c>
      <c r="O2556" s="0" t="n">
        <f aca="false">E2556*G2556</f>
        <v>-0</v>
      </c>
      <c r="P2556" s="0" t="n">
        <f aca="false">E2556*H2556</f>
        <v>-0</v>
      </c>
      <c r="Q2556" s="0" t="n">
        <f aca="false">F2556*G2556</f>
        <v>0</v>
      </c>
      <c r="R2556" s="0" t="n">
        <f aca="false">F2556*H2556</f>
        <v>0</v>
      </c>
      <c r="S2556" s="0" t="n">
        <f aca="false">G2556*H2556</f>
        <v>0</v>
      </c>
      <c r="T2556" s="0" t="n">
        <f aca="false">E2556*E2556</f>
        <v>0.0625</v>
      </c>
      <c r="U2556" s="0" t="n">
        <f aca="false">F2556*F2556</f>
        <v>0</v>
      </c>
      <c r="V2556" s="0" t="n">
        <f aca="false">G2556*G2556</f>
        <v>0</v>
      </c>
      <c r="W2556" s="0" t="n">
        <f aca="false">H2556*H2556</f>
        <v>0</v>
      </c>
      <c r="X2556" s="0" t="n">
        <f aca="false">SUMPRODUCT(I2556:W2556,_XtX!$B$96:$P$96)</f>
        <v>47.2451023391812</v>
      </c>
      <c r="Y2556" s="0" t="n">
        <f aca="false">SUMPRODUCT(MMULT(I2556:W2556,_XtX!$B$78:$P$92),I2556:W2556)</f>
        <v>0.0981816520467836</v>
      </c>
      <c r="Z2556" s="0" t="n">
        <f aca="false">04_回帰ANOVA!$K$19*04_回帰ANOVA!$K$14*SQRT(1+Y2556)</f>
        <v>1.36595214489796</v>
      </c>
      <c r="AA2556" s="0" t="n">
        <f aca="false">X2556-Z2556</f>
        <v>45.8791501942833</v>
      </c>
      <c r="AB2556" s="0" t="n">
        <f aca="false">X2556+Z2556</f>
        <v>48.6110544840792</v>
      </c>
      <c r="AC2556" s="54" t="b">
        <f aca="false">AND(E2556&gt;=01_因子設定!$L$5-0.000000001,E2556&lt;=01_因子設定!$M$5+0.000000001,F2556&gt;=01_因子設定!$L$6-0.000000001,F2556&lt;=01_因子設定!$M$6+0.000000001,G2556&gt;=01_因子設定!$L$7-0.000000001,G2556&lt;=01_因子設定!$M$7+0.000000001,H2556&gt;=01_因子設定!$L$8-0.000000001,H2556&lt;=01_因子設定!$M$8+0.000000001,IF(01_因子設定!$B$20="Box-Behnken",E2556^2+F2556^2+G2556^2+H2556^2&lt;=2+0.000000001,TRUE()))</f>
        <v>1</v>
      </c>
      <c r="AD2556" s="55" t="n">
        <f aca="false">IF(AC2556,IF(01_因子設定!$B$13="最大化",AA2556-01_因子設定!$B$14,IF(01_因子設定!$B$13="最小化",01_因子設定!$B$15-AB2556,MIN(AA2556-01_因子設定!$B$14,01_因子設定!$B$15-AB2556))),-1E+030)</f>
        <v>-0.620849805716738</v>
      </c>
      <c r="AE2556" s="55" t="n">
        <f aca="false">IF(AC2556,IF(01_因子設定!$B$13="最大化",X2556,IF(01_因子設定!$B$13="最小化",-X2556,-ABS(X2556-01_因子設定!$B$16))),-1E+030)</f>
        <v>47.2451023391812</v>
      </c>
      <c r="AF2556" s="55" t="n">
        <f aca="false">AD2556+ROW()*0.000000001</f>
        <v>-0.620847249716738</v>
      </c>
      <c r="AG2556" s="55" t="n">
        <f aca="false">AE2556+ROW()*0.000000001</f>
        <v>47.2451048951812</v>
      </c>
    </row>
    <row r="2557" customFormat="false" ht="15" hidden="false" customHeight="false" outlineLevel="0" collapsed="false">
      <c r="A2557" s="0" t="n">
        <v>3</v>
      </c>
      <c r="B2557" s="0" t="n">
        <v>4</v>
      </c>
      <c r="C2557" s="0" t="n">
        <v>4</v>
      </c>
      <c r="D2557" s="0" t="n">
        <v>5</v>
      </c>
      <c r="E2557" s="0" t="n">
        <f aca="false">-1+A2557*0.25</f>
        <v>-0.25</v>
      </c>
      <c r="F2557" s="0" t="n">
        <f aca="false">-1+B2557*0.25</f>
        <v>0</v>
      </c>
      <c r="G2557" s="0" t="n">
        <f aca="false">-1+C2557*0.25</f>
        <v>0</v>
      </c>
      <c r="H2557" s="0" t="n">
        <f aca="false">-1+D2557*0.25</f>
        <v>0.25</v>
      </c>
      <c r="I2557" s="0" t="n">
        <f aca="false">1</f>
        <v>1</v>
      </c>
      <c r="J2557" s="0" t="n">
        <f aca="false">E2557</f>
        <v>-0.25</v>
      </c>
      <c r="K2557" s="0" t="n">
        <f aca="false">F2557</f>
        <v>0</v>
      </c>
      <c r="L2557" s="0" t="n">
        <f aca="false">G2557</f>
        <v>0</v>
      </c>
      <c r="M2557" s="0" t="n">
        <f aca="false">H2557</f>
        <v>0.25</v>
      </c>
      <c r="N2557" s="0" t="n">
        <f aca="false">E2557*F2557</f>
        <v>-0</v>
      </c>
      <c r="O2557" s="0" t="n">
        <f aca="false">E2557*G2557</f>
        <v>-0</v>
      </c>
      <c r="P2557" s="0" t="n">
        <f aca="false">E2557*H2557</f>
        <v>-0.0625</v>
      </c>
      <c r="Q2557" s="0" t="n">
        <f aca="false">F2557*G2557</f>
        <v>0</v>
      </c>
      <c r="R2557" s="0" t="n">
        <f aca="false">F2557*H2557</f>
        <v>0</v>
      </c>
      <c r="S2557" s="0" t="n">
        <f aca="false">G2557*H2557</f>
        <v>0</v>
      </c>
      <c r="T2557" s="0" t="n">
        <f aca="false">E2557*E2557</f>
        <v>0.0625</v>
      </c>
      <c r="U2557" s="0" t="n">
        <f aca="false">F2557*F2557</f>
        <v>0</v>
      </c>
      <c r="V2557" s="0" t="n">
        <f aca="false">G2557*G2557</f>
        <v>0</v>
      </c>
      <c r="W2557" s="0" t="n">
        <f aca="false">H2557*H2557</f>
        <v>0.0625</v>
      </c>
      <c r="X2557" s="0" t="n">
        <f aca="false">SUMPRODUCT(I2557:W2557,_XtX!$B$96:$P$96)</f>
        <v>47.3147752192982</v>
      </c>
      <c r="Y2557" s="0" t="n">
        <f aca="false">SUMPRODUCT(MMULT(I2557:W2557,_XtX!$B$78:$P$92),I2557:W2557)</f>
        <v>0.0992253175255848</v>
      </c>
      <c r="Z2557" s="0" t="n">
        <f aca="false">04_回帰ANOVA!$K$19*04_回帰ANOVA!$K$14*SQRT(1+Y2557)</f>
        <v>1.36660106238383</v>
      </c>
      <c r="AA2557" s="0" t="n">
        <f aca="false">X2557-Z2557</f>
        <v>45.9481741569144</v>
      </c>
      <c r="AB2557" s="0" t="n">
        <f aca="false">X2557+Z2557</f>
        <v>48.681376281682</v>
      </c>
      <c r="AC2557" s="54" t="b">
        <f aca="false">AND(E2557&gt;=01_因子設定!$L$5-0.000000001,E2557&lt;=01_因子設定!$M$5+0.000000001,F2557&gt;=01_因子設定!$L$6-0.000000001,F2557&lt;=01_因子設定!$M$6+0.000000001,G2557&gt;=01_因子設定!$L$7-0.000000001,G2557&lt;=01_因子設定!$M$7+0.000000001,H2557&gt;=01_因子設定!$L$8-0.000000001,H2557&lt;=01_因子設定!$M$8+0.000000001,IF(01_因子設定!$B$20="Box-Behnken",E2557^2+F2557^2+G2557^2+H2557^2&lt;=2+0.000000001,TRUE()))</f>
        <v>1</v>
      </c>
      <c r="AD2557" s="55" t="n">
        <f aca="false">IF(AC2557,IF(01_因子設定!$B$13="最大化",AA2557-01_因子設定!$B$14,IF(01_因子設定!$B$13="最小化",01_因子設定!$B$15-AB2557,MIN(AA2557-01_因子設定!$B$14,01_因子設定!$B$15-AB2557))),-1E+030)</f>
        <v>-0.551825843085645</v>
      </c>
      <c r="AE2557" s="55" t="n">
        <f aca="false">IF(AC2557,IF(01_因子設定!$B$13="最大化",X2557,IF(01_因子設定!$B$13="最小化",-X2557,-ABS(X2557-01_因子設定!$B$16))),-1E+030)</f>
        <v>47.3147752192982</v>
      </c>
      <c r="AF2557" s="55" t="n">
        <f aca="false">AD2557+ROW()*0.000000001</f>
        <v>-0.551823286085645</v>
      </c>
      <c r="AG2557" s="55" t="n">
        <f aca="false">AE2557+ROW()*0.000000001</f>
        <v>47.3147777762982</v>
      </c>
    </row>
    <row r="2558" customFormat="false" ht="15" hidden="false" customHeight="false" outlineLevel="0" collapsed="false">
      <c r="A2558" s="0" t="n">
        <v>3</v>
      </c>
      <c r="B2558" s="0" t="n">
        <v>4</v>
      </c>
      <c r="C2558" s="0" t="n">
        <v>4</v>
      </c>
      <c r="D2558" s="0" t="n">
        <v>6</v>
      </c>
      <c r="E2558" s="0" t="n">
        <f aca="false">-1+A2558*0.25</f>
        <v>-0.25</v>
      </c>
      <c r="F2558" s="0" t="n">
        <f aca="false">-1+B2558*0.25</f>
        <v>0</v>
      </c>
      <c r="G2558" s="0" t="n">
        <f aca="false">-1+C2558*0.25</f>
        <v>0</v>
      </c>
      <c r="H2558" s="0" t="n">
        <f aca="false">-1+D2558*0.25</f>
        <v>0.5</v>
      </c>
      <c r="I2558" s="0" t="n">
        <f aca="false">1</f>
        <v>1</v>
      </c>
      <c r="J2558" s="0" t="n">
        <f aca="false">E2558</f>
        <v>-0.25</v>
      </c>
      <c r="K2558" s="0" t="n">
        <f aca="false">F2558</f>
        <v>0</v>
      </c>
      <c r="L2558" s="0" t="n">
        <f aca="false">G2558</f>
        <v>0</v>
      </c>
      <c r="M2558" s="0" t="n">
        <f aca="false">H2558</f>
        <v>0.5</v>
      </c>
      <c r="N2558" s="0" t="n">
        <f aca="false">E2558*F2558</f>
        <v>-0</v>
      </c>
      <c r="O2558" s="0" t="n">
        <f aca="false">E2558*G2558</f>
        <v>-0</v>
      </c>
      <c r="P2558" s="0" t="n">
        <f aca="false">E2558*H2558</f>
        <v>-0.125</v>
      </c>
      <c r="Q2558" s="0" t="n">
        <f aca="false">F2558*G2558</f>
        <v>0</v>
      </c>
      <c r="R2558" s="0" t="n">
        <f aca="false">F2558*H2558</f>
        <v>0</v>
      </c>
      <c r="S2558" s="0" t="n">
        <f aca="false">G2558*H2558</f>
        <v>0</v>
      </c>
      <c r="T2558" s="0" t="n">
        <f aca="false">E2558*E2558</f>
        <v>0.0625</v>
      </c>
      <c r="U2558" s="0" t="n">
        <f aca="false">F2558*F2558</f>
        <v>0</v>
      </c>
      <c r="V2558" s="0" t="n">
        <f aca="false">G2558*G2558</f>
        <v>0</v>
      </c>
      <c r="W2558" s="0" t="n">
        <f aca="false">H2558*H2558</f>
        <v>0.25</v>
      </c>
      <c r="X2558" s="0" t="n">
        <f aca="false">SUMPRODUCT(I2558:W2558,_XtX!$B$96:$P$96)</f>
        <v>47.3366410818713</v>
      </c>
      <c r="Y2558" s="0" t="n">
        <f aca="false">SUMPRODUCT(MMULT(I2558:W2558,_XtX!$B$78:$P$92),I2558:W2558)</f>
        <v>0.120448419225146</v>
      </c>
      <c r="Z2558" s="0" t="n">
        <f aca="false">04_回帰ANOVA!$K$19*04_回帰ANOVA!$K$14*SQRT(1+Y2558)</f>
        <v>1.37973069703246</v>
      </c>
      <c r="AA2558" s="0" t="n">
        <f aca="false">X2558-Z2558</f>
        <v>45.9569103848388</v>
      </c>
      <c r="AB2558" s="0" t="n">
        <f aca="false">X2558+Z2558</f>
        <v>48.7163717789038</v>
      </c>
      <c r="AC2558" s="54" t="b">
        <f aca="false">AND(E2558&gt;=01_因子設定!$L$5-0.000000001,E2558&lt;=01_因子設定!$M$5+0.000000001,F2558&gt;=01_因子設定!$L$6-0.000000001,F2558&lt;=01_因子設定!$M$6+0.000000001,G2558&gt;=01_因子設定!$L$7-0.000000001,G2558&lt;=01_因子設定!$M$7+0.000000001,H2558&gt;=01_因子設定!$L$8-0.000000001,H2558&lt;=01_因子設定!$M$8+0.000000001,IF(01_因子設定!$B$20="Box-Behnken",E2558^2+F2558^2+G2558^2+H2558^2&lt;=2+0.000000001,TRUE()))</f>
        <v>1</v>
      </c>
      <c r="AD2558" s="55" t="n">
        <f aca="false">IF(AC2558,IF(01_因子設定!$B$13="最大化",AA2558-01_因子設定!$B$14,IF(01_因子設定!$B$13="最小化",01_因子設定!$B$15-AB2558,MIN(AA2558-01_因子設定!$B$14,01_因子設定!$B$15-AB2558))),-1E+030)</f>
        <v>-0.543089615161172</v>
      </c>
      <c r="AE2558" s="55" t="n">
        <f aca="false">IF(AC2558,IF(01_因子設定!$B$13="最大化",X2558,IF(01_因子設定!$B$13="最小化",-X2558,-ABS(X2558-01_因子設定!$B$16))),-1E+030)</f>
        <v>47.3366410818713</v>
      </c>
      <c r="AF2558" s="55" t="n">
        <f aca="false">AD2558+ROW()*0.000000001</f>
        <v>-0.543087057161172</v>
      </c>
      <c r="AG2558" s="55" t="n">
        <f aca="false">AE2558+ROW()*0.000000001</f>
        <v>47.3366436398713</v>
      </c>
    </row>
    <row r="2559" customFormat="false" ht="15" hidden="false" customHeight="false" outlineLevel="0" collapsed="false">
      <c r="A2559" s="0" t="n">
        <v>3</v>
      </c>
      <c r="B2559" s="0" t="n">
        <v>4</v>
      </c>
      <c r="C2559" s="0" t="n">
        <v>4</v>
      </c>
      <c r="D2559" s="0" t="n">
        <v>7</v>
      </c>
      <c r="E2559" s="0" t="n">
        <f aca="false">-1+A2559*0.25</f>
        <v>-0.25</v>
      </c>
      <c r="F2559" s="0" t="n">
        <f aca="false">-1+B2559*0.25</f>
        <v>0</v>
      </c>
      <c r="G2559" s="0" t="n">
        <f aca="false">-1+C2559*0.25</f>
        <v>0</v>
      </c>
      <c r="H2559" s="0" t="n">
        <f aca="false">-1+D2559*0.25</f>
        <v>0.75</v>
      </c>
      <c r="I2559" s="0" t="n">
        <f aca="false">1</f>
        <v>1</v>
      </c>
      <c r="J2559" s="0" t="n">
        <f aca="false">E2559</f>
        <v>-0.25</v>
      </c>
      <c r="K2559" s="0" t="n">
        <f aca="false">F2559</f>
        <v>0</v>
      </c>
      <c r="L2559" s="0" t="n">
        <f aca="false">G2559</f>
        <v>0</v>
      </c>
      <c r="M2559" s="0" t="n">
        <f aca="false">H2559</f>
        <v>0.75</v>
      </c>
      <c r="N2559" s="0" t="n">
        <f aca="false">E2559*F2559</f>
        <v>-0</v>
      </c>
      <c r="O2559" s="0" t="n">
        <f aca="false">E2559*G2559</f>
        <v>-0</v>
      </c>
      <c r="P2559" s="0" t="n">
        <f aca="false">E2559*H2559</f>
        <v>-0.1875</v>
      </c>
      <c r="Q2559" s="0" t="n">
        <f aca="false">F2559*G2559</f>
        <v>0</v>
      </c>
      <c r="R2559" s="0" t="n">
        <f aca="false">F2559*H2559</f>
        <v>0</v>
      </c>
      <c r="S2559" s="0" t="n">
        <f aca="false">G2559*H2559</f>
        <v>0</v>
      </c>
      <c r="T2559" s="0" t="n">
        <f aca="false">E2559*E2559</f>
        <v>0.0625</v>
      </c>
      <c r="U2559" s="0" t="n">
        <f aca="false">F2559*F2559</f>
        <v>0</v>
      </c>
      <c r="V2559" s="0" t="n">
        <f aca="false">G2559*G2559</f>
        <v>0</v>
      </c>
      <c r="W2559" s="0" t="n">
        <f aca="false">H2559*H2559</f>
        <v>0.5625</v>
      </c>
      <c r="X2559" s="0" t="n">
        <f aca="false">SUMPRODUCT(I2559:W2559,_XtX!$B$96:$P$96)</f>
        <v>47.3106999269006</v>
      </c>
      <c r="Y2559" s="0" t="n">
        <f aca="false">SUMPRODUCT(MMULT(I2559:W2559,_XtX!$B$78:$P$92),I2559:W2559)</f>
        <v>0.216127272934942</v>
      </c>
      <c r="Z2559" s="0" t="n">
        <f aca="false">04_回帰ANOVA!$K$19*04_回帰ANOVA!$K$14*SQRT(1+Y2559)</f>
        <v>1.43743397896608</v>
      </c>
      <c r="AA2559" s="0" t="n">
        <f aca="false">X2559-Z2559</f>
        <v>45.8732659479345</v>
      </c>
      <c r="AB2559" s="0" t="n">
        <f aca="false">X2559+Z2559</f>
        <v>48.7481339058666</v>
      </c>
      <c r="AC2559" s="54" t="b">
        <f aca="false">AND(E2559&gt;=01_因子設定!$L$5-0.000000001,E2559&lt;=01_因子設定!$M$5+0.000000001,F2559&gt;=01_因子設定!$L$6-0.000000001,F2559&lt;=01_因子設定!$M$6+0.000000001,G2559&gt;=01_因子設定!$L$7-0.000000001,G2559&lt;=01_因子設定!$M$7+0.000000001,H2559&gt;=01_因子設定!$L$8-0.000000001,H2559&lt;=01_因子設定!$M$8+0.000000001,IF(01_因子設定!$B$20="Box-Behnken",E2559^2+F2559^2+G2559^2+H2559^2&lt;=2+0.000000001,TRUE()))</f>
        <v>1</v>
      </c>
      <c r="AD2559" s="55" t="n">
        <f aca="false">IF(AC2559,IF(01_因子設定!$B$13="最大化",AA2559-01_因子設定!$B$14,IF(01_因子設定!$B$13="最小化",01_因子設定!$B$15-AB2559,MIN(AA2559-01_因子設定!$B$14,01_因子設定!$B$15-AB2559))),-1E+030)</f>
        <v>-0.62673405206553</v>
      </c>
      <c r="AE2559" s="55" t="n">
        <f aca="false">IF(AC2559,IF(01_因子設定!$B$13="最大化",X2559,IF(01_因子設定!$B$13="最小化",-X2559,-ABS(X2559-01_因子設定!$B$16))),-1E+030)</f>
        <v>47.3106999269006</v>
      </c>
      <c r="AF2559" s="55" t="n">
        <f aca="false">AD2559+ROW()*0.000000001</f>
        <v>-0.62673149306553</v>
      </c>
      <c r="AG2559" s="55" t="n">
        <f aca="false">AE2559+ROW()*0.000000001</f>
        <v>47.3107024859006</v>
      </c>
    </row>
    <row r="2560" customFormat="false" ht="15" hidden="false" customHeight="false" outlineLevel="0" collapsed="false">
      <c r="A2560" s="0" t="n">
        <v>3</v>
      </c>
      <c r="B2560" s="0" t="n">
        <v>4</v>
      </c>
      <c r="C2560" s="0" t="n">
        <v>4</v>
      </c>
      <c r="D2560" s="0" t="n">
        <v>8</v>
      </c>
      <c r="E2560" s="0" t="n">
        <f aca="false">-1+A2560*0.25</f>
        <v>-0.25</v>
      </c>
      <c r="F2560" s="0" t="n">
        <f aca="false">-1+B2560*0.25</f>
        <v>0</v>
      </c>
      <c r="G2560" s="0" t="n">
        <f aca="false">-1+C2560*0.25</f>
        <v>0</v>
      </c>
      <c r="H2560" s="0" t="n">
        <f aca="false">-1+D2560*0.25</f>
        <v>1</v>
      </c>
      <c r="I2560" s="0" t="n">
        <f aca="false">1</f>
        <v>1</v>
      </c>
      <c r="J2560" s="0" t="n">
        <f aca="false">E2560</f>
        <v>-0.25</v>
      </c>
      <c r="K2560" s="0" t="n">
        <f aca="false">F2560</f>
        <v>0</v>
      </c>
      <c r="L2560" s="0" t="n">
        <f aca="false">G2560</f>
        <v>0</v>
      </c>
      <c r="M2560" s="0" t="n">
        <f aca="false">H2560</f>
        <v>1</v>
      </c>
      <c r="N2560" s="0" t="n">
        <f aca="false">E2560*F2560</f>
        <v>-0</v>
      </c>
      <c r="O2560" s="0" t="n">
        <f aca="false">E2560*G2560</f>
        <v>-0</v>
      </c>
      <c r="P2560" s="0" t="n">
        <f aca="false">E2560*H2560</f>
        <v>-0.25</v>
      </c>
      <c r="Q2560" s="0" t="n">
        <f aca="false">F2560*G2560</f>
        <v>0</v>
      </c>
      <c r="R2560" s="0" t="n">
        <f aca="false">F2560*H2560</f>
        <v>0</v>
      </c>
      <c r="S2560" s="0" t="n">
        <f aca="false">G2560*H2560</f>
        <v>0</v>
      </c>
      <c r="T2560" s="0" t="n">
        <f aca="false">E2560*E2560</f>
        <v>0.0625</v>
      </c>
      <c r="U2560" s="0" t="n">
        <f aca="false">F2560*F2560</f>
        <v>0</v>
      </c>
      <c r="V2560" s="0" t="n">
        <f aca="false">G2560*G2560</f>
        <v>0</v>
      </c>
      <c r="W2560" s="0" t="n">
        <f aca="false">H2560*H2560</f>
        <v>1</v>
      </c>
      <c r="X2560" s="0" t="n">
        <f aca="false">SUMPRODUCT(I2560:W2560,_XtX!$B$96:$P$96)</f>
        <v>47.2369517543859</v>
      </c>
      <c r="Y2560" s="0" t="n">
        <f aca="false">SUMPRODUCT(MMULT(I2560:W2560,_XtX!$B$78:$P$92),I2560:W2560)</f>
        <v>0.47672240497076</v>
      </c>
      <c r="Z2560" s="0" t="n">
        <f aca="false">04_回帰ANOVA!$K$19*04_回帰ANOVA!$K$14*SQRT(1+Y2560)</f>
        <v>1.58397318352695</v>
      </c>
      <c r="AA2560" s="0" t="n">
        <f aca="false">X2560-Z2560</f>
        <v>45.652978570859</v>
      </c>
      <c r="AB2560" s="0" t="n">
        <f aca="false">X2560+Z2560</f>
        <v>48.8209249379129</v>
      </c>
      <c r="AC2560" s="54" t="b">
        <f aca="false">AND(E2560&gt;=01_因子設定!$L$5-0.000000001,E2560&lt;=01_因子設定!$M$5+0.000000001,F2560&gt;=01_因子設定!$L$6-0.000000001,F2560&lt;=01_因子設定!$M$6+0.000000001,G2560&gt;=01_因子設定!$L$7-0.000000001,G2560&lt;=01_因子設定!$M$7+0.000000001,H2560&gt;=01_因子設定!$L$8-0.000000001,H2560&lt;=01_因子設定!$M$8+0.000000001,IF(01_因子設定!$B$20="Box-Behnken",E2560^2+F2560^2+G2560^2+H2560^2&lt;=2+0.000000001,TRUE()))</f>
        <v>1</v>
      </c>
      <c r="AD2560" s="55" t="n">
        <f aca="false">IF(AC2560,IF(01_因子設定!$B$13="最大化",AA2560-01_因子設定!$B$14,IF(01_因子設定!$B$13="最小化",01_因子設定!$B$15-AB2560,MIN(AA2560-01_因子設定!$B$14,01_因子設定!$B$15-AB2560))),-1E+030)</f>
        <v>-0.847021429141002</v>
      </c>
      <c r="AE2560" s="55" t="n">
        <f aca="false">IF(AC2560,IF(01_因子設定!$B$13="最大化",X2560,IF(01_因子設定!$B$13="最小化",-X2560,-ABS(X2560-01_因子設定!$B$16))),-1E+030)</f>
        <v>47.2369517543859</v>
      </c>
      <c r="AF2560" s="55" t="n">
        <f aca="false">AD2560+ROW()*0.000000001</f>
        <v>-0.847018869141002</v>
      </c>
      <c r="AG2560" s="55" t="n">
        <f aca="false">AE2560+ROW()*0.000000001</f>
        <v>47.2369543143859</v>
      </c>
    </row>
    <row r="2561" customFormat="false" ht="15" hidden="false" customHeight="false" outlineLevel="0" collapsed="false">
      <c r="A2561" s="0" t="n">
        <v>3</v>
      </c>
      <c r="B2561" s="0" t="n">
        <v>4</v>
      </c>
      <c r="C2561" s="0" t="n">
        <v>5</v>
      </c>
      <c r="D2561" s="0" t="n">
        <v>0</v>
      </c>
      <c r="E2561" s="0" t="n">
        <f aca="false">-1+A2561*0.25</f>
        <v>-0.25</v>
      </c>
      <c r="F2561" s="0" t="n">
        <f aca="false">-1+B2561*0.25</f>
        <v>0</v>
      </c>
      <c r="G2561" s="0" t="n">
        <f aca="false">-1+C2561*0.25</f>
        <v>0.25</v>
      </c>
      <c r="H2561" s="0" t="n">
        <f aca="false">-1+D2561*0.25</f>
        <v>-1</v>
      </c>
      <c r="I2561" s="0" t="n">
        <f aca="false">1</f>
        <v>1</v>
      </c>
      <c r="J2561" s="0" t="n">
        <f aca="false">E2561</f>
        <v>-0.25</v>
      </c>
      <c r="K2561" s="0" t="n">
        <f aca="false">F2561</f>
        <v>0</v>
      </c>
      <c r="L2561" s="0" t="n">
        <f aca="false">G2561</f>
        <v>0.25</v>
      </c>
      <c r="M2561" s="0" t="n">
        <f aca="false">H2561</f>
        <v>-1</v>
      </c>
      <c r="N2561" s="0" t="n">
        <f aca="false">E2561*F2561</f>
        <v>-0</v>
      </c>
      <c r="O2561" s="0" t="n">
        <f aca="false">E2561*G2561</f>
        <v>-0.0625</v>
      </c>
      <c r="P2561" s="0" t="n">
        <f aca="false">E2561*H2561</f>
        <v>0.25</v>
      </c>
      <c r="Q2561" s="0" t="n">
        <f aca="false">F2561*G2561</f>
        <v>0</v>
      </c>
      <c r="R2561" s="0" t="n">
        <f aca="false">F2561*H2561</f>
        <v>-0</v>
      </c>
      <c r="S2561" s="0" t="n">
        <f aca="false">G2561*H2561</f>
        <v>-0.25</v>
      </c>
      <c r="T2561" s="0" t="n">
        <f aca="false">E2561*E2561</f>
        <v>0.0625</v>
      </c>
      <c r="U2561" s="0" t="n">
        <f aca="false">F2561*F2561</f>
        <v>0</v>
      </c>
      <c r="V2561" s="0" t="n">
        <f aca="false">G2561*G2561</f>
        <v>0.0625</v>
      </c>
      <c r="W2561" s="0" t="n">
        <f aca="false">H2561*H2561</f>
        <v>1</v>
      </c>
      <c r="X2561" s="0" t="n">
        <f aca="false">SUMPRODUCT(I2561:W2561,_XtX!$B$96:$P$96)</f>
        <v>46.6602704678362</v>
      </c>
      <c r="Y2561" s="0" t="n">
        <f aca="false">SUMPRODUCT(MMULT(I2561:W2561,_XtX!$B$78:$P$92),I2561:W2561)</f>
        <v>0.467417934484649</v>
      </c>
      <c r="Z2561" s="0" t="n">
        <f aca="false">04_回帰ANOVA!$K$19*04_回帰ANOVA!$K$14*SQRT(1+Y2561)</f>
        <v>1.57897518244497</v>
      </c>
      <c r="AA2561" s="0" t="n">
        <f aca="false">X2561-Z2561</f>
        <v>45.0812952853913</v>
      </c>
      <c r="AB2561" s="0" t="n">
        <f aca="false">X2561+Z2561</f>
        <v>48.2392456502812</v>
      </c>
      <c r="AC2561" s="54" t="b">
        <f aca="false">AND(E2561&gt;=01_因子設定!$L$5-0.000000001,E2561&lt;=01_因子設定!$M$5+0.000000001,F2561&gt;=01_因子設定!$L$6-0.000000001,F2561&lt;=01_因子設定!$M$6+0.000000001,G2561&gt;=01_因子設定!$L$7-0.000000001,G2561&lt;=01_因子設定!$M$7+0.000000001,H2561&gt;=01_因子設定!$L$8-0.000000001,H2561&lt;=01_因子設定!$M$8+0.000000001,IF(01_因子設定!$B$20="Box-Behnken",E2561^2+F2561^2+G2561^2+H2561^2&lt;=2+0.000000001,TRUE()))</f>
        <v>1</v>
      </c>
      <c r="AD2561" s="55" t="n">
        <f aca="false">IF(AC2561,IF(01_因子設定!$B$13="最大化",AA2561-01_因子設定!$B$14,IF(01_因子設定!$B$13="最小化",01_因子設定!$B$15-AB2561,MIN(AA2561-01_因子設定!$B$14,01_因子設定!$B$15-AB2561))),-1E+030)</f>
        <v>-1.41870471460874</v>
      </c>
      <c r="AE2561" s="55" t="n">
        <f aca="false">IF(AC2561,IF(01_因子設定!$B$13="最大化",X2561,IF(01_因子設定!$B$13="最小化",-X2561,-ABS(X2561-01_因子設定!$B$16))),-1E+030)</f>
        <v>46.6602704678362</v>
      </c>
      <c r="AF2561" s="55" t="n">
        <f aca="false">AD2561+ROW()*0.000000001</f>
        <v>-1.41870215360874</v>
      </c>
      <c r="AG2561" s="55" t="n">
        <f aca="false">AE2561+ROW()*0.000000001</f>
        <v>46.6602730288362</v>
      </c>
    </row>
    <row r="2562" customFormat="false" ht="15" hidden="false" customHeight="false" outlineLevel="0" collapsed="false">
      <c r="A2562" s="0" t="n">
        <v>3</v>
      </c>
      <c r="B2562" s="0" t="n">
        <v>4</v>
      </c>
      <c r="C2562" s="0" t="n">
        <v>5</v>
      </c>
      <c r="D2562" s="0" t="n">
        <v>1</v>
      </c>
      <c r="E2562" s="0" t="n">
        <f aca="false">-1+A2562*0.25</f>
        <v>-0.25</v>
      </c>
      <c r="F2562" s="0" t="n">
        <f aca="false">-1+B2562*0.25</f>
        <v>0</v>
      </c>
      <c r="G2562" s="0" t="n">
        <f aca="false">-1+C2562*0.25</f>
        <v>0.25</v>
      </c>
      <c r="H2562" s="0" t="n">
        <f aca="false">-1+D2562*0.25</f>
        <v>-0.75</v>
      </c>
      <c r="I2562" s="0" t="n">
        <f aca="false">1</f>
        <v>1</v>
      </c>
      <c r="J2562" s="0" t="n">
        <f aca="false">E2562</f>
        <v>-0.25</v>
      </c>
      <c r="K2562" s="0" t="n">
        <f aca="false">F2562</f>
        <v>0</v>
      </c>
      <c r="L2562" s="0" t="n">
        <f aca="false">G2562</f>
        <v>0.25</v>
      </c>
      <c r="M2562" s="0" t="n">
        <f aca="false">H2562</f>
        <v>-0.75</v>
      </c>
      <c r="N2562" s="0" t="n">
        <f aca="false">E2562*F2562</f>
        <v>-0</v>
      </c>
      <c r="O2562" s="0" t="n">
        <f aca="false">E2562*G2562</f>
        <v>-0.0625</v>
      </c>
      <c r="P2562" s="0" t="n">
        <f aca="false">E2562*H2562</f>
        <v>0.1875</v>
      </c>
      <c r="Q2562" s="0" t="n">
        <f aca="false">F2562*G2562</f>
        <v>0</v>
      </c>
      <c r="R2562" s="0" t="n">
        <f aca="false">F2562*H2562</f>
        <v>-0</v>
      </c>
      <c r="S2562" s="0" t="n">
        <f aca="false">G2562*H2562</f>
        <v>-0.1875</v>
      </c>
      <c r="T2562" s="0" t="n">
        <f aca="false">E2562*E2562</f>
        <v>0.0625</v>
      </c>
      <c r="U2562" s="0" t="n">
        <f aca="false">F2562*F2562</f>
        <v>0</v>
      </c>
      <c r="V2562" s="0" t="n">
        <f aca="false">G2562*G2562</f>
        <v>0.0625</v>
      </c>
      <c r="W2562" s="0" t="n">
        <f aca="false">H2562*H2562</f>
        <v>0.5625</v>
      </c>
      <c r="X2562" s="0" t="n">
        <f aca="false">SUMPRODUCT(I2562:W2562,_XtX!$B$96:$P$96)</f>
        <v>46.9391401681286</v>
      </c>
      <c r="Y2562" s="0" t="n">
        <f aca="false">SUMPRODUCT(MMULT(I2562:W2562,_XtX!$B$78:$P$92),I2562:W2562)</f>
        <v>0.21135011193348</v>
      </c>
      <c r="Z2562" s="0" t="n">
        <f aca="false">04_回帰ANOVA!$K$19*04_回帰ANOVA!$K$14*SQRT(1+Y2562)</f>
        <v>1.43460795469709</v>
      </c>
      <c r="AA2562" s="0" t="n">
        <f aca="false">X2562-Z2562</f>
        <v>45.5045322134315</v>
      </c>
      <c r="AB2562" s="0" t="n">
        <f aca="false">X2562+Z2562</f>
        <v>48.3737481228257</v>
      </c>
      <c r="AC2562" s="54" t="b">
        <f aca="false">AND(E2562&gt;=01_因子設定!$L$5-0.000000001,E2562&lt;=01_因子設定!$M$5+0.000000001,F2562&gt;=01_因子設定!$L$6-0.000000001,F2562&lt;=01_因子設定!$M$6+0.000000001,G2562&gt;=01_因子設定!$L$7-0.000000001,G2562&lt;=01_因子設定!$M$7+0.000000001,H2562&gt;=01_因子設定!$L$8-0.000000001,H2562&lt;=01_因子設定!$M$8+0.000000001,IF(01_因子設定!$B$20="Box-Behnken",E2562^2+F2562^2+G2562^2+H2562^2&lt;=2+0.000000001,TRUE()))</f>
        <v>1</v>
      </c>
      <c r="AD2562" s="55" t="n">
        <f aca="false">IF(AC2562,IF(01_因子設定!$B$13="最大化",AA2562-01_因子設定!$B$14,IF(01_因子設定!$B$13="最小化",01_因子設定!$B$15-AB2562,MIN(AA2562-01_因子設定!$B$14,01_因子設定!$B$15-AB2562))),-1E+030)</f>
        <v>-0.995467786568469</v>
      </c>
      <c r="AE2562" s="55" t="n">
        <f aca="false">IF(AC2562,IF(01_因子設定!$B$13="最大化",X2562,IF(01_因子設定!$B$13="最小化",-X2562,-ABS(X2562-01_因子設定!$B$16))),-1E+030)</f>
        <v>46.9391401681286</v>
      </c>
      <c r="AF2562" s="55" t="n">
        <f aca="false">AD2562+ROW()*0.000000001</f>
        <v>-0.995465224568469</v>
      </c>
      <c r="AG2562" s="55" t="n">
        <f aca="false">AE2562+ROW()*0.000000001</f>
        <v>46.9391427301286</v>
      </c>
    </row>
    <row r="2563" customFormat="false" ht="15" hidden="false" customHeight="false" outlineLevel="0" collapsed="false">
      <c r="A2563" s="0" t="n">
        <v>3</v>
      </c>
      <c r="B2563" s="0" t="n">
        <v>4</v>
      </c>
      <c r="C2563" s="0" t="n">
        <v>5</v>
      </c>
      <c r="D2563" s="0" t="n">
        <v>2</v>
      </c>
      <c r="E2563" s="0" t="n">
        <f aca="false">-1+A2563*0.25</f>
        <v>-0.25</v>
      </c>
      <c r="F2563" s="0" t="n">
        <f aca="false">-1+B2563*0.25</f>
        <v>0</v>
      </c>
      <c r="G2563" s="0" t="n">
        <f aca="false">-1+C2563*0.25</f>
        <v>0.25</v>
      </c>
      <c r="H2563" s="0" t="n">
        <f aca="false">-1+D2563*0.25</f>
        <v>-0.5</v>
      </c>
      <c r="I2563" s="0" t="n">
        <f aca="false">1</f>
        <v>1</v>
      </c>
      <c r="J2563" s="0" t="n">
        <f aca="false">E2563</f>
        <v>-0.25</v>
      </c>
      <c r="K2563" s="0" t="n">
        <f aca="false">F2563</f>
        <v>0</v>
      </c>
      <c r="L2563" s="0" t="n">
        <f aca="false">G2563</f>
        <v>0.25</v>
      </c>
      <c r="M2563" s="0" t="n">
        <f aca="false">H2563</f>
        <v>-0.5</v>
      </c>
      <c r="N2563" s="0" t="n">
        <f aca="false">E2563*F2563</f>
        <v>-0</v>
      </c>
      <c r="O2563" s="0" t="n">
        <f aca="false">E2563*G2563</f>
        <v>-0.0625</v>
      </c>
      <c r="P2563" s="0" t="n">
        <f aca="false">E2563*H2563</f>
        <v>0.125</v>
      </c>
      <c r="Q2563" s="0" t="n">
        <f aca="false">F2563*G2563</f>
        <v>0</v>
      </c>
      <c r="R2563" s="0" t="n">
        <f aca="false">F2563*H2563</f>
        <v>-0</v>
      </c>
      <c r="S2563" s="0" t="n">
        <f aca="false">G2563*H2563</f>
        <v>-0.125</v>
      </c>
      <c r="T2563" s="0" t="n">
        <f aca="false">E2563*E2563</f>
        <v>0.0625</v>
      </c>
      <c r="U2563" s="0" t="n">
        <f aca="false">F2563*F2563</f>
        <v>0</v>
      </c>
      <c r="V2563" s="0" t="n">
        <f aca="false">G2563*G2563</f>
        <v>0.0625</v>
      </c>
      <c r="W2563" s="0" t="n">
        <f aca="false">H2563*H2563</f>
        <v>0.25</v>
      </c>
      <c r="X2563" s="0" t="n">
        <f aca="false">SUMPRODUCT(I2563:W2563,_XtX!$B$96:$P$96)</f>
        <v>47.1702028508771</v>
      </c>
      <c r="Y2563" s="0" t="n">
        <f aca="false">SUMPRODUCT(MMULT(I2563:W2563,_XtX!$B$78:$P$92),I2563:W2563)</f>
        <v>0.118905050712719</v>
      </c>
      <c r="Z2563" s="0" t="n">
        <f aca="false">04_回帰ANOVA!$K$19*04_回帰ANOVA!$K$14*SQRT(1+Y2563)</f>
        <v>1.37878011033769</v>
      </c>
      <c r="AA2563" s="0" t="n">
        <f aca="false">X2563-Z2563</f>
        <v>45.7914227405395</v>
      </c>
      <c r="AB2563" s="0" t="n">
        <f aca="false">X2563+Z2563</f>
        <v>48.5489829612148</v>
      </c>
      <c r="AC2563" s="54" t="b">
        <f aca="false">AND(E2563&gt;=01_因子設定!$L$5-0.000000001,E2563&lt;=01_因子設定!$M$5+0.000000001,F2563&gt;=01_因子設定!$L$6-0.000000001,F2563&lt;=01_因子設定!$M$6+0.000000001,G2563&gt;=01_因子設定!$L$7-0.000000001,G2563&lt;=01_因子設定!$M$7+0.000000001,H2563&gt;=01_因子設定!$L$8-0.000000001,H2563&lt;=01_因子設定!$M$8+0.000000001,IF(01_因子設定!$B$20="Box-Behnken",E2563^2+F2563^2+G2563^2+H2563^2&lt;=2+0.000000001,TRUE()))</f>
        <v>1</v>
      </c>
      <c r="AD2563" s="55" t="n">
        <f aca="false">IF(AC2563,IF(01_因子設定!$B$13="最大化",AA2563-01_因子設定!$B$14,IF(01_因子設定!$B$13="最小化",01_因子設定!$B$15-AB2563,MIN(AA2563-01_因子設定!$B$14,01_因子設定!$B$15-AB2563))),-1E+030)</f>
        <v>-0.708577259460547</v>
      </c>
      <c r="AE2563" s="55" t="n">
        <f aca="false">IF(AC2563,IF(01_因子設定!$B$13="最大化",X2563,IF(01_因子設定!$B$13="最小化",-X2563,-ABS(X2563-01_因子設定!$B$16))),-1E+030)</f>
        <v>47.1702028508771</v>
      </c>
      <c r="AF2563" s="55" t="n">
        <f aca="false">AD2563+ROW()*0.000000001</f>
        <v>-0.708574696460547</v>
      </c>
      <c r="AG2563" s="55" t="n">
        <f aca="false">AE2563+ROW()*0.000000001</f>
        <v>47.1702054138771</v>
      </c>
    </row>
    <row r="2564" customFormat="false" ht="15" hidden="false" customHeight="false" outlineLevel="0" collapsed="false">
      <c r="A2564" s="0" t="n">
        <v>3</v>
      </c>
      <c r="B2564" s="0" t="n">
        <v>4</v>
      </c>
      <c r="C2564" s="0" t="n">
        <v>5</v>
      </c>
      <c r="D2564" s="0" t="n">
        <v>3</v>
      </c>
      <c r="E2564" s="0" t="n">
        <f aca="false">-1+A2564*0.25</f>
        <v>-0.25</v>
      </c>
      <c r="F2564" s="0" t="n">
        <f aca="false">-1+B2564*0.25</f>
        <v>0</v>
      </c>
      <c r="G2564" s="0" t="n">
        <f aca="false">-1+C2564*0.25</f>
        <v>0.25</v>
      </c>
      <c r="H2564" s="0" t="n">
        <f aca="false">-1+D2564*0.25</f>
        <v>-0.25</v>
      </c>
      <c r="I2564" s="0" t="n">
        <f aca="false">1</f>
        <v>1</v>
      </c>
      <c r="J2564" s="0" t="n">
        <f aca="false">E2564</f>
        <v>-0.25</v>
      </c>
      <c r="K2564" s="0" t="n">
        <f aca="false">F2564</f>
        <v>0</v>
      </c>
      <c r="L2564" s="0" t="n">
        <f aca="false">G2564</f>
        <v>0.25</v>
      </c>
      <c r="M2564" s="0" t="n">
        <f aca="false">H2564</f>
        <v>-0.25</v>
      </c>
      <c r="N2564" s="0" t="n">
        <f aca="false">E2564*F2564</f>
        <v>-0</v>
      </c>
      <c r="O2564" s="0" t="n">
        <f aca="false">E2564*G2564</f>
        <v>-0.0625</v>
      </c>
      <c r="P2564" s="0" t="n">
        <f aca="false">E2564*H2564</f>
        <v>0.0625</v>
      </c>
      <c r="Q2564" s="0" t="n">
        <f aca="false">F2564*G2564</f>
        <v>0</v>
      </c>
      <c r="R2564" s="0" t="n">
        <f aca="false">F2564*H2564</f>
        <v>-0</v>
      </c>
      <c r="S2564" s="0" t="n">
        <f aca="false">G2564*H2564</f>
        <v>-0.0625</v>
      </c>
      <c r="T2564" s="0" t="n">
        <f aca="false">E2564*E2564</f>
        <v>0.0625</v>
      </c>
      <c r="U2564" s="0" t="n">
        <f aca="false">F2564*F2564</f>
        <v>0</v>
      </c>
      <c r="V2564" s="0" t="n">
        <f aca="false">G2564*G2564</f>
        <v>0.0625</v>
      </c>
      <c r="W2564" s="0" t="n">
        <f aca="false">H2564*H2564</f>
        <v>0.0625</v>
      </c>
      <c r="X2564" s="0" t="n">
        <f aca="false">SUMPRODUCT(I2564:W2564,_XtX!$B$96:$P$96)</f>
        <v>47.3534585160818</v>
      </c>
      <c r="Y2564" s="0" t="n">
        <f aca="false">SUMPRODUCT(MMULT(I2564:W2564,_XtX!$B$78:$P$92),I2564:W2564)</f>
        <v>0.099622224506579</v>
      </c>
      <c r="Z2564" s="0" t="n">
        <f aca="false">04_回帰ANOVA!$K$19*04_回帰ANOVA!$K$14*SQRT(1+Y2564)</f>
        <v>1.3668477654658</v>
      </c>
      <c r="AA2564" s="0" t="n">
        <f aca="false">X2564-Z2564</f>
        <v>45.986610750616</v>
      </c>
      <c r="AB2564" s="0" t="n">
        <f aca="false">X2564+Z2564</f>
        <v>48.7203062815476</v>
      </c>
      <c r="AC2564" s="54" t="b">
        <f aca="false">AND(E2564&gt;=01_因子設定!$L$5-0.000000001,E2564&lt;=01_因子設定!$M$5+0.000000001,F2564&gt;=01_因子設定!$L$6-0.000000001,F2564&lt;=01_因子設定!$M$6+0.000000001,G2564&gt;=01_因子設定!$L$7-0.000000001,G2564&lt;=01_因子設定!$M$7+0.000000001,H2564&gt;=01_因子設定!$L$8-0.000000001,H2564&lt;=01_因子設定!$M$8+0.000000001,IF(01_因子設定!$B$20="Box-Behnken",E2564^2+F2564^2+G2564^2+H2564^2&lt;=2+0.000000001,TRUE()))</f>
        <v>1</v>
      </c>
      <c r="AD2564" s="55" t="n">
        <f aca="false">IF(AC2564,IF(01_因子設定!$B$13="最大化",AA2564-01_因子設定!$B$14,IF(01_因子設定!$B$13="最小化",01_因子設定!$B$15-AB2564,MIN(AA2564-01_因子設定!$B$14,01_因子設定!$B$15-AB2564))),-1E+030)</f>
        <v>-0.513389249383984</v>
      </c>
      <c r="AE2564" s="55" t="n">
        <f aca="false">IF(AC2564,IF(01_因子設定!$B$13="最大化",X2564,IF(01_因子設定!$B$13="最小化",-X2564,-ABS(X2564-01_因子設定!$B$16))),-1E+030)</f>
        <v>47.3534585160818</v>
      </c>
      <c r="AF2564" s="55" t="n">
        <f aca="false">AD2564+ROW()*0.000000001</f>
        <v>-0.513386685383984</v>
      </c>
      <c r="AG2564" s="55" t="n">
        <f aca="false">AE2564+ROW()*0.000000001</f>
        <v>47.3534610800818</v>
      </c>
    </row>
    <row r="2565" customFormat="false" ht="15" hidden="false" customHeight="false" outlineLevel="0" collapsed="false">
      <c r="A2565" s="0" t="n">
        <v>3</v>
      </c>
      <c r="B2565" s="0" t="n">
        <v>4</v>
      </c>
      <c r="C2565" s="0" t="n">
        <v>5</v>
      </c>
      <c r="D2565" s="0" t="n">
        <v>4</v>
      </c>
      <c r="E2565" s="0" t="n">
        <f aca="false">-1+A2565*0.25</f>
        <v>-0.25</v>
      </c>
      <c r="F2565" s="0" t="n">
        <f aca="false">-1+B2565*0.25</f>
        <v>0</v>
      </c>
      <c r="G2565" s="0" t="n">
        <f aca="false">-1+C2565*0.25</f>
        <v>0.25</v>
      </c>
      <c r="H2565" s="0" t="n">
        <f aca="false">-1+D2565*0.25</f>
        <v>0</v>
      </c>
      <c r="I2565" s="0" t="n">
        <f aca="false">1</f>
        <v>1</v>
      </c>
      <c r="J2565" s="0" t="n">
        <f aca="false">E2565</f>
        <v>-0.25</v>
      </c>
      <c r="K2565" s="0" t="n">
        <f aca="false">F2565</f>
        <v>0</v>
      </c>
      <c r="L2565" s="0" t="n">
        <f aca="false">G2565</f>
        <v>0.25</v>
      </c>
      <c r="M2565" s="0" t="n">
        <f aca="false">H2565</f>
        <v>0</v>
      </c>
      <c r="N2565" s="0" t="n">
        <f aca="false">E2565*F2565</f>
        <v>-0</v>
      </c>
      <c r="O2565" s="0" t="n">
        <f aca="false">E2565*G2565</f>
        <v>-0.0625</v>
      </c>
      <c r="P2565" s="0" t="n">
        <f aca="false">E2565*H2565</f>
        <v>-0</v>
      </c>
      <c r="Q2565" s="0" t="n">
        <f aca="false">F2565*G2565</f>
        <v>0</v>
      </c>
      <c r="R2565" s="0" t="n">
        <f aca="false">F2565*H2565</f>
        <v>0</v>
      </c>
      <c r="S2565" s="0" t="n">
        <f aca="false">G2565*H2565</f>
        <v>0</v>
      </c>
      <c r="T2565" s="0" t="n">
        <f aca="false">E2565*E2565</f>
        <v>0.0625</v>
      </c>
      <c r="U2565" s="0" t="n">
        <f aca="false">F2565*F2565</f>
        <v>0</v>
      </c>
      <c r="V2565" s="0" t="n">
        <f aca="false">G2565*G2565</f>
        <v>0.0625</v>
      </c>
      <c r="W2565" s="0" t="n">
        <f aca="false">H2565*H2565</f>
        <v>0</v>
      </c>
      <c r="X2565" s="0" t="n">
        <f aca="false">SUMPRODUCT(I2565:W2565,_XtX!$B$96:$P$96)</f>
        <v>47.4889071637426</v>
      </c>
      <c r="Y2565" s="0" t="n">
        <f aca="false">SUMPRODUCT(MMULT(I2565:W2565,_XtX!$B$78:$P$92),I2565:W2565)</f>
        <v>0.0992253175255848</v>
      </c>
      <c r="Z2565" s="0" t="n">
        <f aca="false">04_回帰ANOVA!$K$19*04_回帰ANOVA!$K$14*SQRT(1+Y2565)</f>
        <v>1.36660106238383</v>
      </c>
      <c r="AA2565" s="0" t="n">
        <f aca="false">X2565-Z2565</f>
        <v>46.1223061013588</v>
      </c>
      <c r="AB2565" s="0" t="n">
        <f aca="false">X2565+Z2565</f>
        <v>48.8555082261265</v>
      </c>
      <c r="AC2565" s="54" t="b">
        <f aca="false">AND(E2565&gt;=01_因子設定!$L$5-0.000000001,E2565&lt;=01_因子設定!$M$5+0.000000001,F2565&gt;=01_因子設定!$L$6-0.000000001,F2565&lt;=01_因子設定!$M$6+0.000000001,G2565&gt;=01_因子設定!$L$7-0.000000001,G2565&lt;=01_因子設定!$M$7+0.000000001,H2565&gt;=01_因子設定!$L$8-0.000000001,H2565&lt;=01_因子設定!$M$8+0.000000001,IF(01_因子設定!$B$20="Box-Behnken",E2565^2+F2565^2+G2565^2+H2565^2&lt;=2+0.000000001,TRUE()))</f>
        <v>1</v>
      </c>
      <c r="AD2565" s="55" t="n">
        <f aca="false">IF(AC2565,IF(01_因子設定!$B$13="最大化",AA2565-01_因子設定!$B$14,IF(01_因子設定!$B$13="最小化",01_因子設定!$B$15-AB2565,MIN(AA2565-01_因子設定!$B$14,01_因子設定!$B$15-AB2565))),-1E+030)</f>
        <v>-0.377693898641198</v>
      </c>
      <c r="AE2565" s="55" t="n">
        <f aca="false">IF(AC2565,IF(01_因子設定!$B$13="最大化",X2565,IF(01_因子設定!$B$13="最小化",-X2565,-ABS(X2565-01_因子設定!$B$16))),-1E+030)</f>
        <v>47.4889071637426</v>
      </c>
      <c r="AF2565" s="55" t="n">
        <f aca="false">AD2565+ROW()*0.000000001</f>
        <v>-0.377691333641198</v>
      </c>
      <c r="AG2565" s="55" t="n">
        <f aca="false">AE2565+ROW()*0.000000001</f>
        <v>47.4889097287426</v>
      </c>
    </row>
    <row r="2566" customFormat="false" ht="15" hidden="false" customHeight="false" outlineLevel="0" collapsed="false">
      <c r="A2566" s="0" t="n">
        <v>3</v>
      </c>
      <c r="B2566" s="0" t="n">
        <v>4</v>
      </c>
      <c r="C2566" s="0" t="n">
        <v>5</v>
      </c>
      <c r="D2566" s="0" t="n">
        <v>5</v>
      </c>
      <c r="E2566" s="0" t="n">
        <f aca="false">-1+A2566*0.25</f>
        <v>-0.25</v>
      </c>
      <c r="F2566" s="0" t="n">
        <f aca="false">-1+B2566*0.25</f>
        <v>0</v>
      </c>
      <c r="G2566" s="0" t="n">
        <f aca="false">-1+C2566*0.25</f>
        <v>0.25</v>
      </c>
      <c r="H2566" s="0" t="n">
        <f aca="false">-1+D2566*0.25</f>
        <v>0.25</v>
      </c>
      <c r="I2566" s="0" t="n">
        <f aca="false">1</f>
        <v>1</v>
      </c>
      <c r="J2566" s="0" t="n">
        <f aca="false">E2566</f>
        <v>-0.25</v>
      </c>
      <c r="K2566" s="0" t="n">
        <f aca="false">F2566</f>
        <v>0</v>
      </c>
      <c r="L2566" s="0" t="n">
        <f aca="false">G2566</f>
        <v>0.25</v>
      </c>
      <c r="M2566" s="0" t="n">
        <f aca="false">H2566</f>
        <v>0.25</v>
      </c>
      <c r="N2566" s="0" t="n">
        <f aca="false">E2566*F2566</f>
        <v>-0</v>
      </c>
      <c r="O2566" s="0" t="n">
        <f aca="false">E2566*G2566</f>
        <v>-0.0625</v>
      </c>
      <c r="P2566" s="0" t="n">
        <f aca="false">E2566*H2566</f>
        <v>-0.0625</v>
      </c>
      <c r="Q2566" s="0" t="n">
        <f aca="false">F2566*G2566</f>
        <v>0</v>
      </c>
      <c r="R2566" s="0" t="n">
        <f aca="false">F2566*H2566</f>
        <v>0</v>
      </c>
      <c r="S2566" s="0" t="n">
        <f aca="false">G2566*H2566</f>
        <v>0.0625</v>
      </c>
      <c r="T2566" s="0" t="n">
        <f aca="false">E2566*E2566</f>
        <v>0.0625</v>
      </c>
      <c r="U2566" s="0" t="n">
        <f aca="false">F2566*F2566</f>
        <v>0</v>
      </c>
      <c r="V2566" s="0" t="n">
        <f aca="false">G2566*G2566</f>
        <v>0.0625</v>
      </c>
      <c r="W2566" s="0" t="n">
        <f aca="false">H2566*H2566</f>
        <v>0.0625</v>
      </c>
      <c r="X2566" s="0" t="n">
        <f aca="false">SUMPRODUCT(I2566:W2566,_XtX!$B$96:$P$96)</f>
        <v>47.5765487938596</v>
      </c>
      <c r="Y2566" s="0" t="n">
        <f aca="false">SUMPRODUCT(MMULT(I2566:W2566,_XtX!$B$78:$P$92),I2566:W2566)</f>
        <v>0.099622224506579</v>
      </c>
      <c r="Z2566" s="0" t="n">
        <f aca="false">04_回帰ANOVA!$K$19*04_回帰ANOVA!$K$14*SQRT(1+Y2566)</f>
        <v>1.3668477654658</v>
      </c>
      <c r="AA2566" s="0" t="n">
        <f aca="false">X2566-Z2566</f>
        <v>46.2097010283938</v>
      </c>
      <c r="AB2566" s="0" t="n">
        <f aca="false">X2566+Z2566</f>
        <v>48.9433965593254</v>
      </c>
      <c r="AC2566" s="54" t="b">
        <f aca="false">AND(E2566&gt;=01_因子設定!$L$5-0.000000001,E2566&lt;=01_因子設定!$M$5+0.000000001,F2566&gt;=01_因子設定!$L$6-0.000000001,F2566&lt;=01_因子設定!$M$6+0.000000001,G2566&gt;=01_因子設定!$L$7-0.000000001,G2566&lt;=01_因子設定!$M$7+0.000000001,H2566&gt;=01_因子設定!$L$8-0.000000001,H2566&lt;=01_因子設定!$M$8+0.000000001,IF(01_因子設定!$B$20="Box-Behnken",E2566^2+F2566^2+G2566^2+H2566^2&lt;=2+0.000000001,TRUE()))</f>
        <v>1</v>
      </c>
      <c r="AD2566" s="55" t="n">
        <f aca="false">IF(AC2566,IF(01_因子設定!$B$13="最大化",AA2566-01_因子設定!$B$14,IF(01_因子設定!$B$13="最小化",01_因子設定!$B$15-AB2566,MIN(AA2566-01_因子設定!$B$14,01_因子設定!$B$15-AB2566))),-1E+030)</f>
        <v>-0.290298971606205</v>
      </c>
      <c r="AE2566" s="55" t="n">
        <f aca="false">IF(AC2566,IF(01_因子設定!$B$13="最大化",X2566,IF(01_因子設定!$B$13="最小化",-X2566,-ABS(X2566-01_因子設定!$B$16))),-1E+030)</f>
        <v>47.5765487938596</v>
      </c>
      <c r="AF2566" s="55" t="n">
        <f aca="false">AD2566+ROW()*0.000000001</f>
        <v>-0.290296405606205</v>
      </c>
      <c r="AG2566" s="55" t="n">
        <f aca="false">AE2566+ROW()*0.000000001</f>
        <v>47.5765513598596</v>
      </c>
    </row>
    <row r="2567" customFormat="false" ht="15" hidden="false" customHeight="false" outlineLevel="0" collapsed="false">
      <c r="A2567" s="0" t="n">
        <v>3</v>
      </c>
      <c r="B2567" s="0" t="n">
        <v>4</v>
      </c>
      <c r="C2567" s="0" t="n">
        <v>5</v>
      </c>
      <c r="D2567" s="0" t="n">
        <v>6</v>
      </c>
      <c r="E2567" s="0" t="n">
        <f aca="false">-1+A2567*0.25</f>
        <v>-0.25</v>
      </c>
      <c r="F2567" s="0" t="n">
        <f aca="false">-1+B2567*0.25</f>
        <v>0</v>
      </c>
      <c r="G2567" s="0" t="n">
        <f aca="false">-1+C2567*0.25</f>
        <v>0.25</v>
      </c>
      <c r="H2567" s="0" t="n">
        <f aca="false">-1+D2567*0.25</f>
        <v>0.5</v>
      </c>
      <c r="I2567" s="0" t="n">
        <f aca="false">1</f>
        <v>1</v>
      </c>
      <c r="J2567" s="0" t="n">
        <f aca="false">E2567</f>
        <v>-0.25</v>
      </c>
      <c r="K2567" s="0" t="n">
        <f aca="false">F2567</f>
        <v>0</v>
      </c>
      <c r="L2567" s="0" t="n">
        <f aca="false">G2567</f>
        <v>0.25</v>
      </c>
      <c r="M2567" s="0" t="n">
        <f aca="false">H2567</f>
        <v>0.5</v>
      </c>
      <c r="N2567" s="0" t="n">
        <f aca="false">E2567*F2567</f>
        <v>-0</v>
      </c>
      <c r="O2567" s="0" t="n">
        <f aca="false">E2567*G2567</f>
        <v>-0.0625</v>
      </c>
      <c r="P2567" s="0" t="n">
        <f aca="false">E2567*H2567</f>
        <v>-0.125</v>
      </c>
      <c r="Q2567" s="0" t="n">
        <f aca="false">F2567*G2567</f>
        <v>0</v>
      </c>
      <c r="R2567" s="0" t="n">
        <f aca="false">F2567*H2567</f>
        <v>0</v>
      </c>
      <c r="S2567" s="0" t="n">
        <f aca="false">G2567*H2567</f>
        <v>0.125</v>
      </c>
      <c r="T2567" s="0" t="n">
        <f aca="false">E2567*E2567</f>
        <v>0.0625</v>
      </c>
      <c r="U2567" s="0" t="n">
        <f aca="false">F2567*F2567</f>
        <v>0</v>
      </c>
      <c r="V2567" s="0" t="n">
        <f aca="false">G2567*G2567</f>
        <v>0.0625</v>
      </c>
      <c r="W2567" s="0" t="n">
        <f aca="false">H2567*H2567</f>
        <v>0.25</v>
      </c>
      <c r="X2567" s="0" t="n">
        <f aca="false">SUMPRODUCT(I2567:W2567,_XtX!$B$96:$P$96)</f>
        <v>47.6163834064327</v>
      </c>
      <c r="Y2567" s="0" t="n">
        <f aca="false">SUMPRODUCT(MMULT(I2567:W2567,_XtX!$B$78:$P$92),I2567:W2567)</f>
        <v>0.118905050712719</v>
      </c>
      <c r="Z2567" s="0" t="n">
        <f aca="false">04_回帰ANOVA!$K$19*04_回帰ANOVA!$K$14*SQRT(1+Y2567)</f>
        <v>1.37878011033769</v>
      </c>
      <c r="AA2567" s="0" t="n">
        <f aca="false">X2567-Z2567</f>
        <v>46.237603296095</v>
      </c>
      <c r="AB2567" s="0" t="n">
        <f aca="false">X2567+Z2567</f>
        <v>48.9951635167704</v>
      </c>
      <c r="AC2567" s="54" t="b">
        <f aca="false">AND(E2567&gt;=01_因子設定!$L$5-0.000000001,E2567&lt;=01_因子設定!$M$5+0.000000001,F2567&gt;=01_因子設定!$L$6-0.000000001,F2567&lt;=01_因子設定!$M$6+0.000000001,G2567&gt;=01_因子設定!$L$7-0.000000001,G2567&lt;=01_因子設定!$M$7+0.000000001,H2567&gt;=01_因子設定!$L$8-0.000000001,H2567&lt;=01_因子設定!$M$8+0.000000001,IF(01_因子設定!$B$20="Box-Behnken",E2567^2+F2567^2+G2567^2+H2567^2&lt;=2+0.000000001,TRUE()))</f>
        <v>1</v>
      </c>
      <c r="AD2567" s="55" t="n">
        <f aca="false">IF(AC2567,IF(01_因子設定!$B$13="最大化",AA2567-01_因子設定!$B$14,IF(01_因子設定!$B$13="最小化",01_因子設定!$B$15-AB2567,MIN(AA2567-01_因子設定!$B$14,01_因子設定!$B$15-AB2567))),-1E+030)</f>
        <v>-0.26239670390499</v>
      </c>
      <c r="AE2567" s="55" t="n">
        <f aca="false">IF(AC2567,IF(01_因子設定!$B$13="最大化",X2567,IF(01_因子設定!$B$13="最小化",-X2567,-ABS(X2567-01_因子設定!$B$16))),-1E+030)</f>
        <v>47.6163834064327</v>
      </c>
      <c r="AF2567" s="55" t="n">
        <f aca="false">AD2567+ROW()*0.000000001</f>
        <v>-0.26239413690499</v>
      </c>
      <c r="AG2567" s="55" t="n">
        <f aca="false">AE2567+ROW()*0.000000001</f>
        <v>47.6163859734327</v>
      </c>
    </row>
    <row r="2568" customFormat="false" ht="15" hidden="false" customHeight="false" outlineLevel="0" collapsed="false">
      <c r="A2568" s="0" t="n">
        <v>3</v>
      </c>
      <c r="B2568" s="0" t="n">
        <v>4</v>
      </c>
      <c r="C2568" s="0" t="n">
        <v>5</v>
      </c>
      <c r="D2568" s="0" t="n">
        <v>7</v>
      </c>
      <c r="E2568" s="0" t="n">
        <f aca="false">-1+A2568*0.25</f>
        <v>-0.25</v>
      </c>
      <c r="F2568" s="0" t="n">
        <f aca="false">-1+B2568*0.25</f>
        <v>0</v>
      </c>
      <c r="G2568" s="0" t="n">
        <f aca="false">-1+C2568*0.25</f>
        <v>0.25</v>
      </c>
      <c r="H2568" s="0" t="n">
        <f aca="false">-1+D2568*0.25</f>
        <v>0.75</v>
      </c>
      <c r="I2568" s="0" t="n">
        <f aca="false">1</f>
        <v>1</v>
      </c>
      <c r="J2568" s="0" t="n">
        <f aca="false">E2568</f>
        <v>-0.25</v>
      </c>
      <c r="K2568" s="0" t="n">
        <f aca="false">F2568</f>
        <v>0</v>
      </c>
      <c r="L2568" s="0" t="n">
        <f aca="false">G2568</f>
        <v>0.25</v>
      </c>
      <c r="M2568" s="0" t="n">
        <f aca="false">H2568</f>
        <v>0.75</v>
      </c>
      <c r="N2568" s="0" t="n">
        <f aca="false">E2568*F2568</f>
        <v>-0</v>
      </c>
      <c r="O2568" s="0" t="n">
        <f aca="false">E2568*G2568</f>
        <v>-0.0625</v>
      </c>
      <c r="P2568" s="0" t="n">
        <f aca="false">E2568*H2568</f>
        <v>-0.1875</v>
      </c>
      <c r="Q2568" s="0" t="n">
        <f aca="false">F2568*G2568</f>
        <v>0</v>
      </c>
      <c r="R2568" s="0" t="n">
        <f aca="false">F2568*H2568</f>
        <v>0</v>
      </c>
      <c r="S2568" s="0" t="n">
        <f aca="false">G2568*H2568</f>
        <v>0.1875</v>
      </c>
      <c r="T2568" s="0" t="n">
        <f aca="false">E2568*E2568</f>
        <v>0.0625</v>
      </c>
      <c r="U2568" s="0" t="n">
        <f aca="false">F2568*F2568</f>
        <v>0</v>
      </c>
      <c r="V2568" s="0" t="n">
        <f aca="false">G2568*G2568</f>
        <v>0.0625</v>
      </c>
      <c r="W2568" s="0" t="n">
        <f aca="false">H2568*H2568</f>
        <v>0.5625</v>
      </c>
      <c r="X2568" s="0" t="n">
        <f aca="false">SUMPRODUCT(I2568:W2568,_XtX!$B$96:$P$96)</f>
        <v>47.6084110014619</v>
      </c>
      <c r="Y2568" s="0" t="n">
        <f aca="false">SUMPRODUCT(MMULT(I2568:W2568,_XtX!$B$78:$P$92),I2568:W2568)</f>
        <v>0.21135011193348</v>
      </c>
      <c r="Z2568" s="0" t="n">
        <f aca="false">04_回帰ANOVA!$K$19*04_回帰ANOVA!$K$14*SQRT(1+Y2568)</f>
        <v>1.43460795469709</v>
      </c>
      <c r="AA2568" s="0" t="n">
        <f aca="false">X2568-Z2568</f>
        <v>46.1738030467649</v>
      </c>
      <c r="AB2568" s="0" t="n">
        <f aca="false">X2568+Z2568</f>
        <v>49.043018956159</v>
      </c>
      <c r="AC2568" s="54" t="b">
        <f aca="false">AND(E2568&gt;=01_因子設定!$L$5-0.000000001,E2568&lt;=01_因子設定!$M$5+0.000000001,F2568&gt;=01_因子設定!$L$6-0.000000001,F2568&lt;=01_因子設定!$M$6+0.000000001,G2568&gt;=01_因子設定!$L$7-0.000000001,G2568&lt;=01_因子設定!$M$7+0.000000001,H2568&gt;=01_因子設定!$L$8-0.000000001,H2568&lt;=01_因子設定!$M$8+0.000000001,IF(01_因子設定!$B$20="Box-Behnken",E2568^2+F2568^2+G2568^2+H2568^2&lt;=2+0.000000001,TRUE()))</f>
        <v>1</v>
      </c>
      <c r="AD2568" s="55" t="n">
        <f aca="false">IF(AC2568,IF(01_因子設定!$B$13="最大化",AA2568-01_因子設定!$B$14,IF(01_因子設定!$B$13="最小化",01_因子設定!$B$15-AB2568,MIN(AA2568-01_因子設定!$B$14,01_因子設定!$B$15-AB2568))),-1E+030)</f>
        <v>-0.32619695323514</v>
      </c>
      <c r="AE2568" s="55" t="n">
        <f aca="false">IF(AC2568,IF(01_因子設定!$B$13="最大化",X2568,IF(01_因子設定!$B$13="最小化",-X2568,-ABS(X2568-01_因子設定!$B$16))),-1E+030)</f>
        <v>47.6084110014619</v>
      </c>
      <c r="AF2568" s="55" t="n">
        <f aca="false">AD2568+ROW()*0.000000001</f>
        <v>-0.32619438523514</v>
      </c>
      <c r="AG2568" s="55" t="n">
        <f aca="false">AE2568+ROW()*0.000000001</f>
        <v>47.6084135694619</v>
      </c>
    </row>
    <row r="2569" customFormat="false" ht="15" hidden="false" customHeight="false" outlineLevel="0" collapsed="false">
      <c r="A2569" s="0" t="n">
        <v>3</v>
      </c>
      <c r="B2569" s="0" t="n">
        <v>4</v>
      </c>
      <c r="C2569" s="0" t="n">
        <v>5</v>
      </c>
      <c r="D2569" s="0" t="n">
        <v>8</v>
      </c>
      <c r="E2569" s="0" t="n">
        <f aca="false">-1+A2569*0.25</f>
        <v>-0.25</v>
      </c>
      <c r="F2569" s="0" t="n">
        <f aca="false">-1+B2569*0.25</f>
        <v>0</v>
      </c>
      <c r="G2569" s="0" t="n">
        <f aca="false">-1+C2569*0.25</f>
        <v>0.25</v>
      </c>
      <c r="H2569" s="0" t="n">
        <f aca="false">-1+D2569*0.25</f>
        <v>1</v>
      </c>
      <c r="I2569" s="0" t="n">
        <f aca="false">1</f>
        <v>1</v>
      </c>
      <c r="J2569" s="0" t="n">
        <f aca="false">E2569</f>
        <v>-0.25</v>
      </c>
      <c r="K2569" s="0" t="n">
        <f aca="false">F2569</f>
        <v>0</v>
      </c>
      <c r="L2569" s="0" t="n">
        <f aca="false">G2569</f>
        <v>0.25</v>
      </c>
      <c r="M2569" s="0" t="n">
        <f aca="false">H2569</f>
        <v>1</v>
      </c>
      <c r="N2569" s="0" t="n">
        <f aca="false">E2569*F2569</f>
        <v>-0</v>
      </c>
      <c r="O2569" s="0" t="n">
        <f aca="false">E2569*G2569</f>
        <v>-0.0625</v>
      </c>
      <c r="P2569" s="0" t="n">
        <f aca="false">E2569*H2569</f>
        <v>-0.25</v>
      </c>
      <c r="Q2569" s="0" t="n">
        <f aca="false">F2569*G2569</f>
        <v>0</v>
      </c>
      <c r="R2569" s="0" t="n">
        <f aca="false">F2569*H2569</f>
        <v>0</v>
      </c>
      <c r="S2569" s="0" t="n">
        <f aca="false">G2569*H2569</f>
        <v>0.25</v>
      </c>
      <c r="T2569" s="0" t="n">
        <f aca="false">E2569*E2569</f>
        <v>0.0625</v>
      </c>
      <c r="U2569" s="0" t="n">
        <f aca="false">F2569*F2569</f>
        <v>0</v>
      </c>
      <c r="V2569" s="0" t="n">
        <f aca="false">G2569*G2569</f>
        <v>0.0625</v>
      </c>
      <c r="W2569" s="0" t="n">
        <f aca="false">H2569*H2569</f>
        <v>1</v>
      </c>
      <c r="X2569" s="0" t="n">
        <f aca="false">SUMPRODUCT(I2569:W2569,_XtX!$B$96:$P$96)</f>
        <v>47.5526315789473</v>
      </c>
      <c r="Y2569" s="0" t="n">
        <f aca="false">SUMPRODUCT(MMULT(I2569:W2569,_XtX!$B$78:$P$92),I2569:W2569)</f>
        <v>0.467417934484649</v>
      </c>
      <c r="Z2569" s="0" t="n">
        <f aca="false">04_回帰ANOVA!$K$19*04_回帰ANOVA!$K$14*SQRT(1+Y2569)</f>
        <v>1.57897518244497</v>
      </c>
      <c r="AA2569" s="0" t="n">
        <f aca="false">X2569-Z2569</f>
        <v>45.9736563965024</v>
      </c>
      <c r="AB2569" s="0" t="n">
        <f aca="false">X2569+Z2569</f>
        <v>49.1316067613923</v>
      </c>
      <c r="AC2569" s="54" t="b">
        <f aca="false">AND(E2569&gt;=01_因子設定!$L$5-0.000000001,E2569&lt;=01_因子設定!$M$5+0.000000001,F2569&gt;=01_因子設定!$L$6-0.000000001,F2569&lt;=01_因子設定!$M$6+0.000000001,G2569&gt;=01_因子設定!$L$7-0.000000001,G2569&lt;=01_因子設定!$M$7+0.000000001,H2569&gt;=01_因子設定!$L$8-0.000000001,H2569&lt;=01_因子設定!$M$8+0.000000001,IF(01_因子設定!$B$20="Box-Behnken",E2569^2+F2569^2+G2569^2+H2569^2&lt;=2+0.000000001,TRUE()))</f>
        <v>1</v>
      </c>
      <c r="AD2569" s="55" t="n">
        <f aca="false">IF(AC2569,IF(01_因子設定!$B$13="最大化",AA2569-01_因子設定!$B$14,IF(01_因子設定!$B$13="最小化",01_因子設定!$B$15-AB2569,MIN(AA2569-01_因子設定!$B$14,01_因子設定!$B$15-AB2569))),-1E+030)</f>
        <v>-0.526343603497629</v>
      </c>
      <c r="AE2569" s="55" t="n">
        <f aca="false">IF(AC2569,IF(01_因子設定!$B$13="最大化",X2569,IF(01_因子設定!$B$13="最小化",-X2569,-ABS(X2569-01_因子設定!$B$16))),-1E+030)</f>
        <v>47.5526315789473</v>
      </c>
      <c r="AF2569" s="55" t="n">
        <f aca="false">AD2569+ROW()*0.000000001</f>
        <v>-0.52634103449763</v>
      </c>
      <c r="AG2569" s="55" t="n">
        <f aca="false">AE2569+ROW()*0.000000001</f>
        <v>47.5526341479473</v>
      </c>
    </row>
    <row r="2570" customFormat="false" ht="15" hidden="false" customHeight="false" outlineLevel="0" collapsed="false">
      <c r="A2570" s="0" t="n">
        <v>3</v>
      </c>
      <c r="B2570" s="0" t="n">
        <v>4</v>
      </c>
      <c r="C2570" s="0" t="n">
        <v>6</v>
      </c>
      <c r="D2570" s="0" t="n">
        <v>0</v>
      </c>
      <c r="E2570" s="0" t="n">
        <f aca="false">-1+A2570*0.25</f>
        <v>-0.25</v>
      </c>
      <c r="F2570" s="0" t="n">
        <f aca="false">-1+B2570*0.25</f>
        <v>0</v>
      </c>
      <c r="G2570" s="0" t="n">
        <f aca="false">-1+C2570*0.25</f>
        <v>0.5</v>
      </c>
      <c r="H2570" s="0" t="n">
        <f aca="false">-1+D2570*0.25</f>
        <v>-1</v>
      </c>
      <c r="I2570" s="0" t="n">
        <f aca="false">1</f>
        <v>1</v>
      </c>
      <c r="J2570" s="0" t="n">
        <f aca="false">E2570</f>
        <v>-0.25</v>
      </c>
      <c r="K2570" s="0" t="n">
        <f aca="false">F2570</f>
        <v>0</v>
      </c>
      <c r="L2570" s="0" t="n">
        <f aca="false">G2570</f>
        <v>0.5</v>
      </c>
      <c r="M2570" s="0" t="n">
        <f aca="false">H2570</f>
        <v>-1</v>
      </c>
      <c r="N2570" s="0" t="n">
        <f aca="false">E2570*F2570</f>
        <v>-0</v>
      </c>
      <c r="O2570" s="0" t="n">
        <f aca="false">E2570*G2570</f>
        <v>-0.125</v>
      </c>
      <c r="P2570" s="0" t="n">
        <f aca="false">E2570*H2570</f>
        <v>0.25</v>
      </c>
      <c r="Q2570" s="0" t="n">
        <f aca="false">F2570*G2570</f>
        <v>0</v>
      </c>
      <c r="R2570" s="0" t="n">
        <f aca="false">F2570*H2570</f>
        <v>-0</v>
      </c>
      <c r="S2570" s="0" t="n">
        <f aca="false">G2570*H2570</f>
        <v>-0.5</v>
      </c>
      <c r="T2570" s="0" t="n">
        <f aca="false">E2570*E2570</f>
        <v>0.0625</v>
      </c>
      <c r="U2570" s="0" t="n">
        <f aca="false">F2570*F2570</f>
        <v>0</v>
      </c>
      <c r="V2570" s="0" t="n">
        <f aca="false">G2570*G2570</f>
        <v>0.25</v>
      </c>
      <c r="W2570" s="0" t="n">
        <f aca="false">H2570*H2570</f>
        <v>1</v>
      </c>
      <c r="X2570" s="0" t="n">
        <f aca="false">SUMPRODUCT(I2570:W2570,_XtX!$B$96:$P$96)</f>
        <v>46.7468932748538</v>
      </c>
      <c r="Y2570" s="0" t="n">
        <f aca="false">SUMPRODUCT(MMULT(I2570:W2570,_XtX!$B$78:$P$92),I2570:W2570)</f>
        <v>0.457596628289474</v>
      </c>
      <c r="Z2570" s="0" t="n">
        <f aca="false">04_回帰ANOVA!$K$19*04_回帰ANOVA!$K$14*SQRT(1+Y2570)</f>
        <v>1.57368233664366</v>
      </c>
      <c r="AA2570" s="0" t="n">
        <f aca="false">X2570-Z2570</f>
        <v>45.1732109382101</v>
      </c>
      <c r="AB2570" s="0" t="n">
        <f aca="false">X2570+Z2570</f>
        <v>48.3205756114974</v>
      </c>
      <c r="AC2570" s="54" t="b">
        <f aca="false">AND(E2570&gt;=01_因子設定!$L$5-0.000000001,E2570&lt;=01_因子設定!$M$5+0.000000001,F2570&gt;=01_因子設定!$L$6-0.000000001,F2570&lt;=01_因子設定!$M$6+0.000000001,G2570&gt;=01_因子設定!$L$7-0.000000001,G2570&lt;=01_因子設定!$M$7+0.000000001,H2570&gt;=01_因子設定!$L$8-0.000000001,H2570&lt;=01_因子設定!$M$8+0.000000001,IF(01_因子設定!$B$20="Box-Behnken",E2570^2+F2570^2+G2570^2+H2570^2&lt;=2+0.000000001,TRUE()))</f>
        <v>1</v>
      </c>
      <c r="AD2570" s="55" t="n">
        <f aca="false">IF(AC2570,IF(01_因子設定!$B$13="最大化",AA2570-01_因子設定!$B$14,IF(01_因子設定!$B$13="最小化",01_因子設定!$B$15-AB2570,MIN(AA2570-01_因子設定!$B$14,01_因子設定!$B$15-AB2570))),-1E+030)</f>
        <v>-1.32678906178987</v>
      </c>
      <c r="AE2570" s="55" t="n">
        <f aca="false">IF(AC2570,IF(01_因子設定!$B$13="最大化",X2570,IF(01_因子設定!$B$13="最小化",-X2570,-ABS(X2570-01_因子設定!$B$16))),-1E+030)</f>
        <v>46.7468932748538</v>
      </c>
      <c r="AF2570" s="55" t="n">
        <f aca="false">AD2570+ROW()*0.000000001</f>
        <v>-1.32678649178987</v>
      </c>
      <c r="AG2570" s="55" t="n">
        <f aca="false">AE2570+ROW()*0.000000001</f>
        <v>46.7468958448538</v>
      </c>
    </row>
    <row r="2571" customFormat="false" ht="15" hidden="false" customHeight="false" outlineLevel="0" collapsed="false">
      <c r="A2571" s="0" t="n">
        <v>3</v>
      </c>
      <c r="B2571" s="0" t="n">
        <v>4</v>
      </c>
      <c r="C2571" s="0" t="n">
        <v>6</v>
      </c>
      <c r="D2571" s="0" t="n">
        <v>1</v>
      </c>
      <c r="E2571" s="0" t="n">
        <f aca="false">-1+A2571*0.25</f>
        <v>-0.25</v>
      </c>
      <c r="F2571" s="0" t="n">
        <f aca="false">-1+B2571*0.25</f>
        <v>0</v>
      </c>
      <c r="G2571" s="0" t="n">
        <f aca="false">-1+C2571*0.25</f>
        <v>0.5</v>
      </c>
      <c r="H2571" s="0" t="n">
        <f aca="false">-1+D2571*0.25</f>
        <v>-0.75</v>
      </c>
      <c r="I2571" s="0" t="n">
        <f aca="false">1</f>
        <v>1</v>
      </c>
      <c r="J2571" s="0" t="n">
        <f aca="false">E2571</f>
        <v>-0.25</v>
      </c>
      <c r="K2571" s="0" t="n">
        <f aca="false">F2571</f>
        <v>0</v>
      </c>
      <c r="L2571" s="0" t="n">
        <f aca="false">G2571</f>
        <v>0.5</v>
      </c>
      <c r="M2571" s="0" t="n">
        <f aca="false">H2571</f>
        <v>-0.75</v>
      </c>
      <c r="N2571" s="0" t="n">
        <f aca="false">E2571*F2571</f>
        <v>-0</v>
      </c>
      <c r="O2571" s="0" t="n">
        <f aca="false">E2571*G2571</f>
        <v>-0.125</v>
      </c>
      <c r="P2571" s="0" t="n">
        <f aca="false">E2571*H2571</f>
        <v>0.1875</v>
      </c>
      <c r="Q2571" s="0" t="n">
        <f aca="false">F2571*G2571</f>
        <v>0</v>
      </c>
      <c r="R2571" s="0" t="n">
        <f aca="false">F2571*H2571</f>
        <v>-0</v>
      </c>
      <c r="S2571" s="0" t="n">
        <f aca="false">G2571*H2571</f>
        <v>-0.375</v>
      </c>
      <c r="T2571" s="0" t="n">
        <f aca="false">E2571*E2571</f>
        <v>0.0625</v>
      </c>
      <c r="U2571" s="0" t="n">
        <f aca="false">F2571*F2571</f>
        <v>0</v>
      </c>
      <c r="V2571" s="0" t="n">
        <f aca="false">G2571*G2571</f>
        <v>0.25</v>
      </c>
      <c r="W2571" s="0" t="n">
        <f aca="false">H2571*H2571</f>
        <v>0.5625</v>
      </c>
      <c r="X2571" s="0" t="n">
        <f aca="false">SUMPRODUCT(I2571:W2571,_XtX!$B$96:$P$96)</f>
        <v>47.0437317251462</v>
      </c>
      <c r="Y2571" s="0" t="n">
        <f aca="false">SUMPRODUCT(MMULT(I2571:W2571,_XtX!$B$78:$P$92),I2571:W2571)</f>
        <v>0.215110734192252</v>
      </c>
      <c r="Z2571" s="0" t="n">
        <f aca="false">04_回帰ANOVA!$K$19*04_回帰ANOVA!$K$14*SQRT(1+Y2571)</f>
        <v>1.43683309086864</v>
      </c>
      <c r="AA2571" s="0" t="n">
        <f aca="false">X2571-Z2571</f>
        <v>45.6068986342775</v>
      </c>
      <c r="AB2571" s="0" t="n">
        <f aca="false">X2571+Z2571</f>
        <v>48.4805648160148</v>
      </c>
      <c r="AC2571" s="54" t="b">
        <f aca="false">AND(E2571&gt;=01_因子設定!$L$5-0.000000001,E2571&lt;=01_因子設定!$M$5+0.000000001,F2571&gt;=01_因子設定!$L$6-0.000000001,F2571&lt;=01_因子設定!$M$6+0.000000001,G2571&gt;=01_因子設定!$L$7-0.000000001,G2571&lt;=01_因子設定!$M$7+0.000000001,H2571&gt;=01_因子設定!$L$8-0.000000001,H2571&lt;=01_因子設定!$M$8+0.000000001,IF(01_因子設定!$B$20="Box-Behnken",E2571^2+F2571^2+G2571^2+H2571^2&lt;=2+0.000000001,TRUE()))</f>
        <v>1</v>
      </c>
      <c r="AD2571" s="55" t="n">
        <f aca="false">IF(AC2571,IF(01_因子設定!$B$13="最大化",AA2571-01_因子設定!$B$14,IF(01_因子設定!$B$13="最小化",01_因子設定!$B$15-AB2571,MIN(AA2571-01_因子設定!$B$14,01_因子設定!$B$15-AB2571))),-1E+030)</f>
        <v>-0.893101365722487</v>
      </c>
      <c r="AE2571" s="55" t="n">
        <f aca="false">IF(AC2571,IF(01_因子設定!$B$13="最大化",X2571,IF(01_因子設定!$B$13="最小化",-X2571,-ABS(X2571-01_因子設定!$B$16))),-1E+030)</f>
        <v>47.0437317251462</v>
      </c>
      <c r="AF2571" s="55" t="n">
        <f aca="false">AD2571+ROW()*0.000000001</f>
        <v>-0.893098794722487</v>
      </c>
      <c r="AG2571" s="55" t="n">
        <f aca="false">AE2571+ROW()*0.000000001</f>
        <v>47.0437342961462</v>
      </c>
    </row>
    <row r="2572" customFormat="false" ht="15" hidden="false" customHeight="false" outlineLevel="0" collapsed="false">
      <c r="A2572" s="0" t="n">
        <v>3</v>
      </c>
      <c r="B2572" s="0" t="n">
        <v>4</v>
      </c>
      <c r="C2572" s="0" t="n">
        <v>6</v>
      </c>
      <c r="D2572" s="0" t="n">
        <v>2</v>
      </c>
      <c r="E2572" s="0" t="n">
        <f aca="false">-1+A2572*0.25</f>
        <v>-0.25</v>
      </c>
      <c r="F2572" s="0" t="n">
        <f aca="false">-1+B2572*0.25</f>
        <v>0</v>
      </c>
      <c r="G2572" s="0" t="n">
        <f aca="false">-1+C2572*0.25</f>
        <v>0.5</v>
      </c>
      <c r="H2572" s="0" t="n">
        <f aca="false">-1+D2572*0.25</f>
        <v>-0.5</v>
      </c>
      <c r="I2572" s="0" t="n">
        <f aca="false">1</f>
        <v>1</v>
      </c>
      <c r="J2572" s="0" t="n">
        <f aca="false">E2572</f>
        <v>-0.25</v>
      </c>
      <c r="K2572" s="0" t="n">
        <f aca="false">F2572</f>
        <v>0</v>
      </c>
      <c r="L2572" s="0" t="n">
        <f aca="false">G2572</f>
        <v>0.5</v>
      </c>
      <c r="M2572" s="0" t="n">
        <f aca="false">H2572</f>
        <v>-0.5</v>
      </c>
      <c r="N2572" s="0" t="n">
        <f aca="false">E2572*F2572</f>
        <v>-0</v>
      </c>
      <c r="O2572" s="0" t="n">
        <f aca="false">E2572*G2572</f>
        <v>-0.125</v>
      </c>
      <c r="P2572" s="0" t="n">
        <f aca="false">E2572*H2572</f>
        <v>0.125</v>
      </c>
      <c r="Q2572" s="0" t="n">
        <f aca="false">F2572*G2572</f>
        <v>0</v>
      </c>
      <c r="R2572" s="0" t="n">
        <f aca="false">F2572*H2572</f>
        <v>-0</v>
      </c>
      <c r="S2572" s="0" t="n">
        <f aca="false">G2572*H2572</f>
        <v>-0.25</v>
      </c>
      <c r="T2572" s="0" t="n">
        <f aca="false">E2572*E2572</f>
        <v>0.0625</v>
      </c>
      <c r="U2572" s="0" t="n">
        <f aca="false">F2572*F2572</f>
        <v>0</v>
      </c>
      <c r="V2572" s="0" t="n">
        <f aca="false">G2572*G2572</f>
        <v>0.25</v>
      </c>
      <c r="W2572" s="0" t="n">
        <f aca="false">H2572*H2572</f>
        <v>0.25</v>
      </c>
      <c r="X2572" s="0" t="n">
        <f aca="false">SUMPRODUCT(I2572:W2572,_XtX!$B$96:$P$96)</f>
        <v>47.2927631578947</v>
      </c>
      <c r="Y2572" s="0" t="n">
        <f aca="false">SUMPRODUCT(MMULT(I2572:W2572,_XtX!$B$78:$P$92),I2572:W2572)</f>
        <v>0.132367050438597</v>
      </c>
      <c r="Z2572" s="0" t="n">
        <f aca="false">04_回帰ANOVA!$K$19*04_回帰ANOVA!$K$14*SQRT(1+Y2572)</f>
        <v>1.38704964208329</v>
      </c>
      <c r="AA2572" s="0" t="n">
        <f aca="false">X2572-Z2572</f>
        <v>45.9057135158114</v>
      </c>
      <c r="AB2572" s="0" t="n">
        <f aca="false">X2572+Z2572</f>
        <v>48.679812799978</v>
      </c>
      <c r="AC2572" s="54" t="b">
        <f aca="false">AND(E2572&gt;=01_因子設定!$L$5-0.000000001,E2572&lt;=01_因子設定!$M$5+0.000000001,F2572&gt;=01_因子設定!$L$6-0.000000001,F2572&lt;=01_因子設定!$M$6+0.000000001,G2572&gt;=01_因子設定!$L$7-0.000000001,G2572&lt;=01_因子設定!$M$7+0.000000001,H2572&gt;=01_因子設定!$L$8-0.000000001,H2572&lt;=01_因子設定!$M$8+0.000000001,IF(01_因子設定!$B$20="Box-Behnken",E2572^2+F2572^2+G2572^2+H2572^2&lt;=2+0.000000001,TRUE()))</f>
        <v>1</v>
      </c>
      <c r="AD2572" s="55" t="n">
        <f aca="false">IF(AC2572,IF(01_因子設定!$B$13="最大化",AA2572-01_因子設定!$B$14,IF(01_因子設定!$B$13="最小化",01_因子設定!$B$15-AB2572,MIN(AA2572-01_因子設定!$B$14,01_因子設定!$B$15-AB2572))),-1E+030)</f>
        <v>-0.594286484188601</v>
      </c>
      <c r="AE2572" s="55" t="n">
        <f aca="false">IF(AC2572,IF(01_因子設定!$B$13="最大化",X2572,IF(01_因子設定!$B$13="最小化",-X2572,-ABS(X2572-01_因子設定!$B$16))),-1E+030)</f>
        <v>47.2927631578947</v>
      </c>
      <c r="AF2572" s="55" t="n">
        <f aca="false">AD2572+ROW()*0.000000001</f>
        <v>-0.594283912188601</v>
      </c>
      <c r="AG2572" s="55" t="n">
        <f aca="false">AE2572+ROW()*0.000000001</f>
        <v>47.2927657298947</v>
      </c>
    </row>
    <row r="2573" customFormat="false" ht="15" hidden="false" customHeight="false" outlineLevel="0" collapsed="false">
      <c r="A2573" s="0" t="n">
        <v>3</v>
      </c>
      <c r="B2573" s="0" t="n">
        <v>4</v>
      </c>
      <c r="C2573" s="0" t="n">
        <v>6</v>
      </c>
      <c r="D2573" s="0" t="n">
        <v>3</v>
      </c>
      <c r="E2573" s="0" t="n">
        <f aca="false">-1+A2573*0.25</f>
        <v>-0.25</v>
      </c>
      <c r="F2573" s="0" t="n">
        <f aca="false">-1+B2573*0.25</f>
        <v>0</v>
      </c>
      <c r="G2573" s="0" t="n">
        <f aca="false">-1+C2573*0.25</f>
        <v>0.5</v>
      </c>
      <c r="H2573" s="0" t="n">
        <f aca="false">-1+D2573*0.25</f>
        <v>-0.25</v>
      </c>
      <c r="I2573" s="0" t="n">
        <f aca="false">1</f>
        <v>1</v>
      </c>
      <c r="J2573" s="0" t="n">
        <f aca="false">E2573</f>
        <v>-0.25</v>
      </c>
      <c r="K2573" s="0" t="n">
        <f aca="false">F2573</f>
        <v>0</v>
      </c>
      <c r="L2573" s="0" t="n">
        <f aca="false">G2573</f>
        <v>0.5</v>
      </c>
      <c r="M2573" s="0" t="n">
        <f aca="false">H2573</f>
        <v>-0.25</v>
      </c>
      <c r="N2573" s="0" t="n">
        <f aca="false">E2573*F2573</f>
        <v>-0</v>
      </c>
      <c r="O2573" s="0" t="n">
        <f aca="false">E2573*G2573</f>
        <v>-0.125</v>
      </c>
      <c r="P2573" s="0" t="n">
        <f aca="false">E2573*H2573</f>
        <v>0.0625</v>
      </c>
      <c r="Q2573" s="0" t="n">
        <f aca="false">F2573*G2573</f>
        <v>0</v>
      </c>
      <c r="R2573" s="0" t="n">
        <f aca="false">F2573*H2573</f>
        <v>-0</v>
      </c>
      <c r="S2573" s="0" t="n">
        <f aca="false">G2573*H2573</f>
        <v>-0.125</v>
      </c>
      <c r="T2573" s="0" t="n">
        <f aca="false">E2573*E2573</f>
        <v>0.0625</v>
      </c>
      <c r="U2573" s="0" t="n">
        <f aca="false">F2573*F2573</f>
        <v>0</v>
      </c>
      <c r="V2573" s="0" t="n">
        <f aca="false">G2573*G2573</f>
        <v>0.25</v>
      </c>
      <c r="W2573" s="0" t="n">
        <f aca="false">H2573*H2573</f>
        <v>0.0625</v>
      </c>
      <c r="X2573" s="0" t="n">
        <f aca="false">SUMPRODUCT(I2573:W2573,_XtX!$B$96:$P$96)</f>
        <v>47.4939875730994</v>
      </c>
      <c r="Y2573" s="0" t="n">
        <f aca="false">SUMPRODUCT(MMULT(I2573:W2573,_XtX!$B$78:$P$92),I2573:W2573)</f>
        <v>0.118905050712719</v>
      </c>
      <c r="Z2573" s="0" t="n">
        <f aca="false">04_回帰ANOVA!$K$19*04_回帰ANOVA!$K$14*SQRT(1+Y2573)</f>
        <v>1.37878011033769</v>
      </c>
      <c r="AA2573" s="0" t="n">
        <f aca="false">X2573-Z2573</f>
        <v>46.1152074627617</v>
      </c>
      <c r="AB2573" s="0" t="n">
        <f aca="false">X2573+Z2573</f>
        <v>48.8727676834371</v>
      </c>
      <c r="AC2573" s="54" t="b">
        <f aca="false">AND(E2573&gt;=01_因子設定!$L$5-0.000000001,E2573&lt;=01_因子設定!$M$5+0.000000001,F2573&gt;=01_因子設定!$L$6-0.000000001,F2573&lt;=01_因子設定!$M$6+0.000000001,G2573&gt;=01_因子設定!$L$7-0.000000001,G2573&lt;=01_因子設定!$M$7+0.000000001,H2573&gt;=01_因子設定!$L$8-0.000000001,H2573&lt;=01_因子設定!$M$8+0.000000001,IF(01_因子設定!$B$20="Box-Behnken",E2573^2+F2573^2+G2573^2+H2573^2&lt;=2+0.000000001,TRUE()))</f>
        <v>1</v>
      </c>
      <c r="AD2573" s="55" t="n">
        <f aca="false">IF(AC2573,IF(01_因子設定!$B$13="最大化",AA2573-01_因子設定!$B$14,IF(01_因子設定!$B$13="最小化",01_因子設定!$B$15-AB2573,MIN(AA2573-01_因子設定!$B$14,01_因子設定!$B$15-AB2573))),-1E+030)</f>
        <v>-0.384792537238326</v>
      </c>
      <c r="AE2573" s="55" t="n">
        <f aca="false">IF(AC2573,IF(01_因子設定!$B$13="最大化",X2573,IF(01_因子設定!$B$13="最小化",-X2573,-ABS(X2573-01_因子設定!$B$16))),-1E+030)</f>
        <v>47.4939875730994</v>
      </c>
      <c r="AF2573" s="55" t="n">
        <f aca="false">AD2573+ROW()*0.000000001</f>
        <v>-0.384789964238326</v>
      </c>
      <c r="AG2573" s="55" t="n">
        <f aca="false">AE2573+ROW()*0.000000001</f>
        <v>47.4939901460994</v>
      </c>
    </row>
    <row r="2574" customFormat="false" ht="15" hidden="false" customHeight="false" outlineLevel="0" collapsed="false">
      <c r="A2574" s="0" t="n">
        <v>3</v>
      </c>
      <c r="B2574" s="0" t="n">
        <v>4</v>
      </c>
      <c r="C2574" s="0" t="n">
        <v>6</v>
      </c>
      <c r="D2574" s="0" t="n">
        <v>4</v>
      </c>
      <c r="E2574" s="0" t="n">
        <f aca="false">-1+A2574*0.25</f>
        <v>-0.25</v>
      </c>
      <c r="F2574" s="0" t="n">
        <f aca="false">-1+B2574*0.25</f>
        <v>0</v>
      </c>
      <c r="G2574" s="0" t="n">
        <f aca="false">-1+C2574*0.25</f>
        <v>0.5</v>
      </c>
      <c r="H2574" s="0" t="n">
        <f aca="false">-1+D2574*0.25</f>
        <v>0</v>
      </c>
      <c r="I2574" s="0" t="n">
        <f aca="false">1</f>
        <v>1</v>
      </c>
      <c r="J2574" s="0" t="n">
        <f aca="false">E2574</f>
        <v>-0.25</v>
      </c>
      <c r="K2574" s="0" t="n">
        <f aca="false">F2574</f>
        <v>0</v>
      </c>
      <c r="L2574" s="0" t="n">
        <f aca="false">G2574</f>
        <v>0.5</v>
      </c>
      <c r="M2574" s="0" t="n">
        <f aca="false">H2574</f>
        <v>0</v>
      </c>
      <c r="N2574" s="0" t="n">
        <f aca="false">E2574*F2574</f>
        <v>-0</v>
      </c>
      <c r="O2574" s="0" t="n">
        <f aca="false">E2574*G2574</f>
        <v>-0.125</v>
      </c>
      <c r="P2574" s="0" t="n">
        <f aca="false">E2574*H2574</f>
        <v>-0</v>
      </c>
      <c r="Q2574" s="0" t="n">
        <f aca="false">F2574*G2574</f>
        <v>0</v>
      </c>
      <c r="R2574" s="0" t="n">
        <f aca="false">F2574*H2574</f>
        <v>0</v>
      </c>
      <c r="S2574" s="0" t="n">
        <f aca="false">G2574*H2574</f>
        <v>0</v>
      </c>
      <c r="T2574" s="0" t="n">
        <f aca="false">E2574*E2574</f>
        <v>0.0625</v>
      </c>
      <c r="U2574" s="0" t="n">
        <f aca="false">F2574*F2574</f>
        <v>0</v>
      </c>
      <c r="V2574" s="0" t="n">
        <f aca="false">G2574*G2574</f>
        <v>0.25</v>
      </c>
      <c r="W2574" s="0" t="n">
        <f aca="false">H2574*H2574</f>
        <v>0</v>
      </c>
      <c r="X2574" s="0" t="n">
        <f aca="false">SUMPRODUCT(I2574:W2574,_XtX!$B$96:$P$96)</f>
        <v>47.6474049707602</v>
      </c>
      <c r="Y2574" s="0" t="n">
        <f aca="false">SUMPRODUCT(MMULT(I2574:W2574,_XtX!$B$78:$P$92),I2574:W2574)</f>
        <v>0.120448419225146</v>
      </c>
      <c r="Z2574" s="0" t="n">
        <f aca="false">04_回帰ANOVA!$K$19*04_回帰ANOVA!$K$14*SQRT(1+Y2574)</f>
        <v>1.37973069703246</v>
      </c>
      <c r="AA2574" s="0" t="n">
        <f aca="false">X2574-Z2574</f>
        <v>46.2676742737277</v>
      </c>
      <c r="AB2574" s="0" t="n">
        <f aca="false">X2574+Z2574</f>
        <v>49.0271356677926</v>
      </c>
      <c r="AC2574" s="54" t="b">
        <f aca="false">AND(E2574&gt;=01_因子設定!$L$5-0.000000001,E2574&lt;=01_因子設定!$M$5+0.000000001,F2574&gt;=01_因子設定!$L$6-0.000000001,F2574&lt;=01_因子設定!$M$6+0.000000001,G2574&gt;=01_因子設定!$L$7-0.000000001,G2574&lt;=01_因子設定!$M$7+0.000000001,H2574&gt;=01_因子設定!$L$8-0.000000001,H2574&lt;=01_因子設定!$M$8+0.000000001,IF(01_因子設定!$B$20="Box-Behnken",E2574^2+F2574^2+G2574^2+H2574^2&lt;=2+0.000000001,TRUE()))</f>
        <v>1</v>
      </c>
      <c r="AD2574" s="55" t="n">
        <f aca="false">IF(AC2574,IF(01_因子設定!$B$13="最大化",AA2574-01_因子設定!$B$14,IF(01_因子設定!$B$13="最小化",01_因子設定!$B$15-AB2574,MIN(AA2574-01_因子設定!$B$14,01_因子設定!$B$15-AB2574))),-1E+030)</f>
        <v>-0.232325726272286</v>
      </c>
      <c r="AE2574" s="55" t="n">
        <f aca="false">IF(AC2574,IF(01_因子設定!$B$13="最大化",X2574,IF(01_因子設定!$B$13="最小化",-X2574,-ABS(X2574-01_因子設定!$B$16))),-1E+030)</f>
        <v>47.6474049707602</v>
      </c>
      <c r="AF2574" s="55" t="n">
        <f aca="false">AD2574+ROW()*0.000000001</f>
        <v>-0.232323152272286</v>
      </c>
      <c r="AG2574" s="55" t="n">
        <f aca="false">AE2574+ROW()*0.000000001</f>
        <v>47.6474075447602</v>
      </c>
    </row>
    <row r="2575" customFormat="false" ht="15" hidden="false" customHeight="false" outlineLevel="0" collapsed="false">
      <c r="A2575" s="0" t="n">
        <v>3</v>
      </c>
      <c r="B2575" s="0" t="n">
        <v>4</v>
      </c>
      <c r="C2575" s="0" t="n">
        <v>6</v>
      </c>
      <c r="D2575" s="0" t="n">
        <v>5</v>
      </c>
      <c r="E2575" s="0" t="n">
        <f aca="false">-1+A2575*0.25</f>
        <v>-0.25</v>
      </c>
      <c r="F2575" s="0" t="n">
        <f aca="false">-1+B2575*0.25</f>
        <v>0</v>
      </c>
      <c r="G2575" s="0" t="n">
        <f aca="false">-1+C2575*0.25</f>
        <v>0.5</v>
      </c>
      <c r="H2575" s="0" t="n">
        <f aca="false">-1+D2575*0.25</f>
        <v>0.25</v>
      </c>
      <c r="I2575" s="0" t="n">
        <f aca="false">1</f>
        <v>1</v>
      </c>
      <c r="J2575" s="0" t="n">
        <f aca="false">E2575</f>
        <v>-0.25</v>
      </c>
      <c r="K2575" s="0" t="n">
        <f aca="false">F2575</f>
        <v>0</v>
      </c>
      <c r="L2575" s="0" t="n">
        <f aca="false">G2575</f>
        <v>0.5</v>
      </c>
      <c r="M2575" s="0" t="n">
        <f aca="false">H2575</f>
        <v>0.25</v>
      </c>
      <c r="N2575" s="0" t="n">
        <f aca="false">E2575*F2575</f>
        <v>-0</v>
      </c>
      <c r="O2575" s="0" t="n">
        <f aca="false">E2575*G2575</f>
        <v>-0.125</v>
      </c>
      <c r="P2575" s="0" t="n">
        <f aca="false">E2575*H2575</f>
        <v>-0.0625</v>
      </c>
      <c r="Q2575" s="0" t="n">
        <f aca="false">F2575*G2575</f>
        <v>0</v>
      </c>
      <c r="R2575" s="0" t="n">
        <f aca="false">F2575*H2575</f>
        <v>0</v>
      </c>
      <c r="S2575" s="0" t="n">
        <f aca="false">G2575*H2575</f>
        <v>0.125</v>
      </c>
      <c r="T2575" s="0" t="n">
        <f aca="false">E2575*E2575</f>
        <v>0.0625</v>
      </c>
      <c r="U2575" s="0" t="n">
        <f aca="false">F2575*F2575</f>
        <v>0</v>
      </c>
      <c r="V2575" s="0" t="n">
        <f aca="false">G2575*G2575</f>
        <v>0.25</v>
      </c>
      <c r="W2575" s="0" t="n">
        <f aca="false">H2575*H2575</f>
        <v>0.0625</v>
      </c>
      <c r="X2575" s="0" t="n">
        <f aca="false">SUMPRODUCT(I2575:W2575,_XtX!$B$96:$P$96)</f>
        <v>47.7530153508771</v>
      </c>
      <c r="Y2575" s="0" t="n">
        <f aca="false">SUMPRODUCT(MMULT(I2575:W2575,_XtX!$B$78:$P$92),I2575:W2575)</f>
        <v>0.118905050712719</v>
      </c>
      <c r="Z2575" s="0" t="n">
        <f aca="false">04_回帰ANOVA!$K$19*04_回帰ANOVA!$K$14*SQRT(1+Y2575)</f>
        <v>1.37878011033769</v>
      </c>
      <c r="AA2575" s="0" t="n">
        <f aca="false">X2575-Z2575</f>
        <v>46.3742352405395</v>
      </c>
      <c r="AB2575" s="0" t="n">
        <f aca="false">X2575+Z2575</f>
        <v>49.1317954612148</v>
      </c>
      <c r="AC2575" s="54" t="b">
        <f aca="false">AND(E2575&gt;=01_因子設定!$L$5-0.000000001,E2575&lt;=01_因子設定!$M$5+0.000000001,F2575&gt;=01_因子設定!$L$6-0.000000001,F2575&lt;=01_因子設定!$M$6+0.000000001,G2575&gt;=01_因子設定!$L$7-0.000000001,G2575&lt;=01_因子設定!$M$7+0.000000001,H2575&gt;=01_因子設定!$L$8-0.000000001,H2575&lt;=01_因子設定!$M$8+0.000000001,IF(01_因子設定!$B$20="Box-Behnken",E2575^2+F2575^2+G2575^2+H2575^2&lt;=2+0.000000001,TRUE()))</f>
        <v>1</v>
      </c>
      <c r="AD2575" s="55" t="n">
        <f aca="false">IF(AC2575,IF(01_因子設定!$B$13="最大化",AA2575-01_因子設定!$B$14,IF(01_因子設定!$B$13="最小化",01_因子設定!$B$15-AB2575,MIN(AA2575-01_因子設定!$B$14,01_因子設定!$B$15-AB2575))),-1E+030)</f>
        <v>-0.125764759460552</v>
      </c>
      <c r="AE2575" s="55" t="n">
        <f aca="false">IF(AC2575,IF(01_因子設定!$B$13="最大化",X2575,IF(01_因子設定!$B$13="最小化",-X2575,-ABS(X2575-01_因子設定!$B$16))),-1E+030)</f>
        <v>47.7530153508771</v>
      </c>
      <c r="AF2575" s="55" t="n">
        <f aca="false">AD2575+ROW()*0.000000001</f>
        <v>-0.125762184460552</v>
      </c>
      <c r="AG2575" s="55" t="n">
        <f aca="false">AE2575+ROW()*0.000000001</f>
        <v>47.7530179258771</v>
      </c>
    </row>
    <row r="2576" customFormat="false" ht="15" hidden="false" customHeight="false" outlineLevel="0" collapsed="false">
      <c r="A2576" s="0" t="n">
        <v>3</v>
      </c>
      <c r="B2576" s="0" t="n">
        <v>4</v>
      </c>
      <c r="C2576" s="0" t="n">
        <v>6</v>
      </c>
      <c r="D2576" s="0" t="n">
        <v>6</v>
      </c>
      <c r="E2576" s="0" t="n">
        <f aca="false">-1+A2576*0.25</f>
        <v>-0.25</v>
      </c>
      <c r="F2576" s="0" t="n">
        <f aca="false">-1+B2576*0.25</f>
        <v>0</v>
      </c>
      <c r="G2576" s="0" t="n">
        <f aca="false">-1+C2576*0.25</f>
        <v>0.5</v>
      </c>
      <c r="H2576" s="0" t="n">
        <f aca="false">-1+D2576*0.25</f>
        <v>0.5</v>
      </c>
      <c r="I2576" s="0" t="n">
        <f aca="false">1</f>
        <v>1</v>
      </c>
      <c r="J2576" s="0" t="n">
        <f aca="false">E2576</f>
        <v>-0.25</v>
      </c>
      <c r="K2576" s="0" t="n">
        <f aca="false">F2576</f>
        <v>0</v>
      </c>
      <c r="L2576" s="0" t="n">
        <f aca="false">G2576</f>
        <v>0.5</v>
      </c>
      <c r="M2576" s="0" t="n">
        <f aca="false">H2576</f>
        <v>0.5</v>
      </c>
      <c r="N2576" s="0" t="n">
        <f aca="false">E2576*F2576</f>
        <v>-0</v>
      </c>
      <c r="O2576" s="0" t="n">
        <f aca="false">E2576*G2576</f>
        <v>-0.125</v>
      </c>
      <c r="P2576" s="0" t="n">
        <f aca="false">E2576*H2576</f>
        <v>-0.125</v>
      </c>
      <c r="Q2576" s="0" t="n">
        <f aca="false">F2576*G2576</f>
        <v>0</v>
      </c>
      <c r="R2576" s="0" t="n">
        <f aca="false">F2576*H2576</f>
        <v>0</v>
      </c>
      <c r="S2576" s="0" t="n">
        <f aca="false">G2576*H2576</f>
        <v>0.25</v>
      </c>
      <c r="T2576" s="0" t="n">
        <f aca="false">E2576*E2576</f>
        <v>0.0625</v>
      </c>
      <c r="U2576" s="0" t="n">
        <f aca="false">F2576*F2576</f>
        <v>0</v>
      </c>
      <c r="V2576" s="0" t="n">
        <f aca="false">G2576*G2576</f>
        <v>0.25</v>
      </c>
      <c r="W2576" s="0" t="n">
        <f aca="false">H2576*H2576</f>
        <v>0.25</v>
      </c>
      <c r="X2576" s="0" t="n">
        <f aca="false">SUMPRODUCT(I2576:W2576,_XtX!$B$96:$P$96)</f>
        <v>47.8108187134502</v>
      </c>
      <c r="Y2576" s="0" t="n">
        <f aca="false">SUMPRODUCT(MMULT(I2576:W2576,_XtX!$B$78:$P$92),I2576:W2576)</f>
        <v>0.132367050438597</v>
      </c>
      <c r="Z2576" s="0" t="n">
        <f aca="false">04_回帰ANOVA!$K$19*04_回帰ANOVA!$K$14*SQRT(1+Y2576)</f>
        <v>1.38704964208329</v>
      </c>
      <c r="AA2576" s="0" t="n">
        <f aca="false">X2576-Z2576</f>
        <v>46.423769071367</v>
      </c>
      <c r="AB2576" s="0" t="n">
        <f aca="false">X2576+Z2576</f>
        <v>49.1978683555335</v>
      </c>
      <c r="AC2576" s="54" t="b">
        <f aca="false">AND(E2576&gt;=01_因子設定!$L$5-0.000000001,E2576&lt;=01_因子設定!$M$5+0.000000001,F2576&gt;=01_因子設定!$L$6-0.000000001,F2576&lt;=01_因子設定!$M$6+0.000000001,G2576&gt;=01_因子設定!$L$7-0.000000001,G2576&lt;=01_因子設定!$M$7+0.000000001,H2576&gt;=01_因子設定!$L$8-0.000000001,H2576&lt;=01_因子設定!$M$8+0.000000001,IF(01_因子設定!$B$20="Box-Behnken",E2576^2+F2576^2+G2576^2+H2576^2&lt;=2+0.000000001,TRUE()))</f>
        <v>1</v>
      </c>
      <c r="AD2576" s="55" t="n">
        <f aca="false">IF(AC2576,IF(01_因子設定!$B$13="最大化",AA2576-01_因子設定!$B$14,IF(01_因子設定!$B$13="最小化",01_因子設定!$B$15-AB2576,MIN(AA2576-01_因子設定!$B$14,01_因子設定!$B$15-AB2576))),-1E+030)</f>
        <v>-0.076230928633052</v>
      </c>
      <c r="AE2576" s="55" t="n">
        <f aca="false">IF(AC2576,IF(01_因子設定!$B$13="最大化",X2576,IF(01_因子設定!$B$13="最小化",-X2576,-ABS(X2576-01_因子設定!$B$16))),-1E+030)</f>
        <v>47.8108187134502</v>
      </c>
      <c r="AF2576" s="55" t="n">
        <f aca="false">AD2576+ROW()*0.000000001</f>
        <v>-0.076228352633052</v>
      </c>
      <c r="AG2576" s="55" t="n">
        <f aca="false">AE2576+ROW()*0.000000001</f>
        <v>47.8108212894502</v>
      </c>
    </row>
    <row r="2577" customFormat="false" ht="15" hidden="false" customHeight="false" outlineLevel="0" collapsed="false">
      <c r="A2577" s="0" t="n">
        <v>3</v>
      </c>
      <c r="B2577" s="0" t="n">
        <v>4</v>
      </c>
      <c r="C2577" s="0" t="n">
        <v>6</v>
      </c>
      <c r="D2577" s="0" t="n">
        <v>7</v>
      </c>
      <c r="E2577" s="0" t="n">
        <f aca="false">-1+A2577*0.25</f>
        <v>-0.25</v>
      </c>
      <c r="F2577" s="0" t="n">
        <f aca="false">-1+B2577*0.25</f>
        <v>0</v>
      </c>
      <c r="G2577" s="0" t="n">
        <f aca="false">-1+C2577*0.25</f>
        <v>0.5</v>
      </c>
      <c r="H2577" s="0" t="n">
        <f aca="false">-1+D2577*0.25</f>
        <v>0.75</v>
      </c>
      <c r="I2577" s="0" t="n">
        <f aca="false">1</f>
        <v>1</v>
      </c>
      <c r="J2577" s="0" t="n">
        <f aca="false">E2577</f>
        <v>-0.25</v>
      </c>
      <c r="K2577" s="0" t="n">
        <f aca="false">F2577</f>
        <v>0</v>
      </c>
      <c r="L2577" s="0" t="n">
        <f aca="false">G2577</f>
        <v>0.5</v>
      </c>
      <c r="M2577" s="0" t="n">
        <f aca="false">H2577</f>
        <v>0.75</v>
      </c>
      <c r="N2577" s="0" t="n">
        <f aca="false">E2577*F2577</f>
        <v>-0</v>
      </c>
      <c r="O2577" s="0" t="n">
        <f aca="false">E2577*G2577</f>
        <v>-0.125</v>
      </c>
      <c r="P2577" s="0" t="n">
        <f aca="false">E2577*H2577</f>
        <v>-0.1875</v>
      </c>
      <c r="Q2577" s="0" t="n">
        <f aca="false">F2577*G2577</f>
        <v>0</v>
      </c>
      <c r="R2577" s="0" t="n">
        <f aca="false">F2577*H2577</f>
        <v>0</v>
      </c>
      <c r="S2577" s="0" t="n">
        <f aca="false">G2577*H2577</f>
        <v>0.375</v>
      </c>
      <c r="T2577" s="0" t="n">
        <f aca="false">E2577*E2577</f>
        <v>0.0625</v>
      </c>
      <c r="U2577" s="0" t="n">
        <f aca="false">F2577*F2577</f>
        <v>0</v>
      </c>
      <c r="V2577" s="0" t="n">
        <f aca="false">G2577*G2577</f>
        <v>0.25</v>
      </c>
      <c r="W2577" s="0" t="n">
        <f aca="false">H2577*H2577</f>
        <v>0.5625</v>
      </c>
      <c r="X2577" s="0" t="n">
        <f aca="false">SUMPRODUCT(I2577:W2577,_XtX!$B$96:$P$96)</f>
        <v>47.8208150584795</v>
      </c>
      <c r="Y2577" s="0" t="n">
        <f aca="false">SUMPRODUCT(MMULT(I2577:W2577,_XtX!$B$78:$P$92),I2577:W2577)</f>
        <v>0.215110734192252</v>
      </c>
      <c r="Z2577" s="0" t="n">
        <f aca="false">04_回帰ANOVA!$K$19*04_回帰ANOVA!$K$14*SQRT(1+Y2577)</f>
        <v>1.43683309086864</v>
      </c>
      <c r="AA2577" s="0" t="n">
        <f aca="false">X2577-Z2577</f>
        <v>46.3839819676109</v>
      </c>
      <c r="AB2577" s="0" t="n">
        <f aca="false">X2577+Z2577</f>
        <v>49.2576481493481</v>
      </c>
      <c r="AC2577" s="54" t="b">
        <f aca="false">AND(E2577&gt;=01_因子設定!$L$5-0.000000001,E2577&lt;=01_因子設定!$M$5+0.000000001,F2577&gt;=01_因子設定!$L$6-0.000000001,F2577&lt;=01_因子設定!$M$6+0.000000001,G2577&gt;=01_因子設定!$L$7-0.000000001,G2577&lt;=01_因子設定!$M$7+0.000000001,H2577&gt;=01_因子設定!$L$8-0.000000001,H2577&lt;=01_因子設定!$M$8+0.000000001,IF(01_因子設定!$B$20="Box-Behnken",E2577^2+F2577^2+G2577^2+H2577^2&lt;=2+0.000000001,TRUE()))</f>
        <v>1</v>
      </c>
      <c r="AD2577" s="55" t="n">
        <f aca="false">IF(AC2577,IF(01_因子設定!$B$13="最大化",AA2577-01_因子設定!$B$14,IF(01_因子設定!$B$13="最小化",01_因子設定!$B$15-AB2577,MIN(AA2577-01_因子設定!$B$14,01_因子設定!$B$15-AB2577))),-1E+030)</f>
        <v>-0.11601803238915</v>
      </c>
      <c r="AE2577" s="55" t="n">
        <f aca="false">IF(AC2577,IF(01_因子設定!$B$13="最大化",X2577,IF(01_因子設定!$B$13="最小化",-X2577,-ABS(X2577-01_因子設定!$B$16))),-1E+030)</f>
        <v>47.8208150584795</v>
      </c>
      <c r="AF2577" s="55" t="n">
        <f aca="false">AD2577+ROW()*0.000000001</f>
        <v>-0.11601545538915</v>
      </c>
      <c r="AG2577" s="55" t="n">
        <f aca="false">AE2577+ROW()*0.000000001</f>
        <v>47.8208176354795</v>
      </c>
    </row>
    <row r="2578" customFormat="false" ht="15" hidden="false" customHeight="false" outlineLevel="0" collapsed="false">
      <c r="A2578" s="0" t="n">
        <v>3</v>
      </c>
      <c r="B2578" s="0" t="n">
        <v>4</v>
      </c>
      <c r="C2578" s="0" t="n">
        <v>6</v>
      </c>
      <c r="D2578" s="0" t="n">
        <v>8</v>
      </c>
      <c r="E2578" s="0" t="n">
        <f aca="false">-1+A2578*0.25</f>
        <v>-0.25</v>
      </c>
      <c r="F2578" s="0" t="n">
        <f aca="false">-1+B2578*0.25</f>
        <v>0</v>
      </c>
      <c r="G2578" s="0" t="n">
        <f aca="false">-1+C2578*0.25</f>
        <v>0.5</v>
      </c>
      <c r="H2578" s="0" t="n">
        <f aca="false">-1+D2578*0.25</f>
        <v>1</v>
      </c>
      <c r="I2578" s="0" t="n">
        <f aca="false">1</f>
        <v>1</v>
      </c>
      <c r="J2578" s="0" t="n">
        <f aca="false">E2578</f>
        <v>-0.25</v>
      </c>
      <c r="K2578" s="0" t="n">
        <f aca="false">F2578</f>
        <v>0</v>
      </c>
      <c r="L2578" s="0" t="n">
        <f aca="false">G2578</f>
        <v>0.5</v>
      </c>
      <c r="M2578" s="0" t="n">
        <f aca="false">H2578</f>
        <v>1</v>
      </c>
      <c r="N2578" s="0" t="n">
        <f aca="false">E2578*F2578</f>
        <v>-0</v>
      </c>
      <c r="O2578" s="0" t="n">
        <f aca="false">E2578*G2578</f>
        <v>-0.125</v>
      </c>
      <c r="P2578" s="0" t="n">
        <f aca="false">E2578*H2578</f>
        <v>-0.25</v>
      </c>
      <c r="Q2578" s="0" t="n">
        <f aca="false">F2578*G2578</f>
        <v>0</v>
      </c>
      <c r="R2578" s="0" t="n">
        <f aca="false">F2578*H2578</f>
        <v>0</v>
      </c>
      <c r="S2578" s="0" t="n">
        <f aca="false">G2578*H2578</f>
        <v>0.5</v>
      </c>
      <c r="T2578" s="0" t="n">
        <f aca="false">E2578*E2578</f>
        <v>0.0625</v>
      </c>
      <c r="U2578" s="0" t="n">
        <f aca="false">F2578*F2578</f>
        <v>0</v>
      </c>
      <c r="V2578" s="0" t="n">
        <f aca="false">G2578*G2578</f>
        <v>0.25</v>
      </c>
      <c r="W2578" s="0" t="n">
        <f aca="false">H2578*H2578</f>
        <v>1</v>
      </c>
      <c r="X2578" s="0" t="n">
        <f aca="false">SUMPRODUCT(I2578:W2578,_XtX!$B$96:$P$96)</f>
        <v>47.7830043859649</v>
      </c>
      <c r="Y2578" s="0" t="n">
        <f aca="false">SUMPRODUCT(MMULT(I2578:W2578,_XtX!$B$78:$P$92),I2578:W2578)</f>
        <v>0.457596628289474</v>
      </c>
      <c r="Z2578" s="0" t="n">
        <f aca="false">04_回帰ANOVA!$K$19*04_回帰ANOVA!$K$14*SQRT(1+Y2578)</f>
        <v>1.57368233664366</v>
      </c>
      <c r="AA2578" s="0" t="n">
        <f aca="false">X2578-Z2578</f>
        <v>46.2093220493212</v>
      </c>
      <c r="AB2578" s="0" t="n">
        <f aca="false">X2578+Z2578</f>
        <v>49.3566867226085</v>
      </c>
      <c r="AC2578" s="54" t="b">
        <f aca="false">AND(E2578&gt;=01_因子設定!$L$5-0.000000001,E2578&lt;=01_因子設定!$M$5+0.000000001,F2578&gt;=01_因子設定!$L$6-0.000000001,F2578&lt;=01_因子設定!$M$6+0.000000001,G2578&gt;=01_因子設定!$L$7-0.000000001,G2578&lt;=01_因子設定!$M$7+0.000000001,H2578&gt;=01_因子設定!$L$8-0.000000001,H2578&lt;=01_因子設定!$M$8+0.000000001,IF(01_因子設定!$B$20="Box-Behnken",E2578^2+F2578^2+G2578^2+H2578^2&lt;=2+0.000000001,TRUE()))</f>
        <v>1</v>
      </c>
      <c r="AD2578" s="55" t="n">
        <f aca="false">IF(AC2578,IF(01_因子設定!$B$13="最大化",AA2578-01_因子設定!$B$14,IF(01_因子設定!$B$13="最小化",01_因子設定!$B$15-AB2578,MIN(AA2578-01_因子設定!$B$14,01_因子設定!$B$15-AB2578))),-1E+030)</f>
        <v>-0.29067795067877</v>
      </c>
      <c r="AE2578" s="55" t="n">
        <f aca="false">IF(AC2578,IF(01_因子設定!$B$13="最大化",X2578,IF(01_因子設定!$B$13="最小化",-X2578,-ABS(X2578-01_因子設定!$B$16))),-1E+030)</f>
        <v>47.7830043859649</v>
      </c>
      <c r="AF2578" s="55" t="n">
        <f aca="false">AD2578+ROW()*0.000000001</f>
        <v>-0.29067537267877</v>
      </c>
      <c r="AG2578" s="55" t="n">
        <f aca="false">AE2578+ROW()*0.000000001</f>
        <v>47.7830069639649</v>
      </c>
    </row>
    <row r="2579" customFormat="false" ht="15" hidden="false" customHeight="false" outlineLevel="0" collapsed="false">
      <c r="A2579" s="0" t="n">
        <v>3</v>
      </c>
      <c r="B2579" s="0" t="n">
        <v>4</v>
      </c>
      <c r="C2579" s="0" t="n">
        <v>7</v>
      </c>
      <c r="D2579" s="0" t="n">
        <v>0</v>
      </c>
      <c r="E2579" s="0" t="n">
        <f aca="false">-1+A2579*0.25</f>
        <v>-0.25</v>
      </c>
      <c r="F2579" s="0" t="n">
        <f aca="false">-1+B2579*0.25</f>
        <v>0</v>
      </c>
      <c r="G2579" s="0" t="n">
        <f aca="false">-1+C2579*0.25</f>
        <v>0.75</v>
      </c>
      <c r="H2579" s="0" t="n">
        <f aca="false">-1+D2579*0.25</f>
        <v>-1</v>
      </c>
      <c r="I2579" s="0" t="n">
        <f aca="false">1</f>
        <v>1</v>
      </c>
      <c r="J2579" s="0" t="n">
        <f aca="false">E2579</f>
        <v>-0.25</v>
      </c>
      <c r="K2579" s="0" t="n">
        <f aca="false">F2579</f>
        <v>0</v>
      </c>
      <c r="L2579" s="0" t="n">
        <f aca="false">G2579</f>
        <v>0.75</v>
      </c>
      <c r="M2579" s="0" t="n">
        <f aca="false">H2579</f>
        <v>-1</v>
      </c>
      <c r="N2579" s="0" t="n">
        <f aca="false">E2579*F2579</f>
        <v>-0</v>
      </c>
      <c r="O2579" s="0" t="n">
        <f aca="false">E2579*G2579</f>
        <v>-0.1875</v>
      </c>
      <c r="P2579" s="0" t="n">
        <f aca="false">E2579*H2579</f>
        <v>0.25</v>
      </c>
      <c r="Q2579" s="0" t="n">
        <f aca="false">F2579*G2579</f>
        <v>0</v>
      </c>
      <c r="R2579" s="0" t="n">
        <f aca="false">F2579*H2579</f>
        <v>-0</v>
      </c>
      <c r="S2579" s="0" t="n">
        <f aca="false">G2579*H2579</f>
        <v>-0.75</v>
      </c>
      <c r="T2579" s="0" t="n">
        <f aca="false">E2579*E2579</f>
        <v>0.0625</v>
      </c>
      <c r="U2579" s="0" t="n">
        <f aca="false">F2579*F2579</f>
        <v>0</v>
      </c>
      <c r="V2579" s="0" t="n">
        <f aca="false">G2579*G2579</f>
        <v>0.5625</v>
      </c>
      <c r="W2579" s="0" t="n">
        <f aca="false">H2579*H2579</f>
        <v>1</v>
      </c>
      <c r="X2579" s="0" t="n">
        <f aca="false">SUMPRODUCT(I2579:W2579,_XtX!$B$96:$P$96)</f>
        <v>46.7482090643275</v>
      </c>
      <c r="Y2579" s="0" t="n">
        <f aca="false">SUMPRODUCT(MMULT(I2579:W2579,_XtX!$B$78:$P$92),I2579:W2579)</f>
        <v>0.501534802174708</v>
      </c>
      <c r="Z2579" s="0" t="n">
        <f aca="false">04_回帰ANOVA!$K$19*04_回帰ANOVA!$K$14*SQRT(1+Y2579)</f>
        <v>1.59722498091333</v>
      </c>
      <c r="AA2579" s="0" t="n">
        <f aca="false">X2579-Z2579</f>
        <v>45.1509840834141</v>
      </c>
      <c r="AB2579" s="0" t="n">
        <f aca="false">X2579+Z2579</f>
        <v>48.3454340452408</v>
      </c>
      <c r="AC2579" s="54" t="b">
        <f aca="false">AND(E2579&gt;=01_因子設定!$L$5-0.000000001,E2579&lt;=01_因子設定!$M$5+0.000000001,F2579&gt;=01_因子設定!$L$6-0.000000001,F2579&lt;=01_因子設定!$M$6+0.000000001,G2579&gt;=01_因子設定!$L$7-0.000000001,G2579&lt;=01_因子設定!$M$7+0.000000001,H2579&gt;=01_因子設定!$L$8-0.000000001,H2579&lt;=01_因子設定!$M$8+0.000000001,IF(01_因子設定!$B$20="Box-Behnken",E2579^2+F2579^2+G2579^2+H2579^2&lt;=2+0.000000001,TRUE()))</f>
        <v>1</v>
      </c>
      <c r="AD2579" s="55" t="n">
        <f aca="false">IF(AC2579,IF(01_因子設定!$B$13="最大化",AA2579-01_因子設定!$B$14,IF(01_因子設定!$B$13="最小化",01_因子設定!$B$15-AB2579,MIN(AA2579-01_因子設定!$B$14,01_因子設定!$B$15-AB2579))),-1E+030)</f>
        <v>-1.34901591658586</v>
      </c>
      <c r="AE2579" s="55" t="n">
        <f aca="false">IF(AC2579,IF(01_因子設定!$B$13="最大化",X2579,IF(01_因子設定!$B$13="最小化",-X2579,-ABS(X2579-01_因子設定!$B$16))),-1E+030)</f>
        <v>46.7482090643275</v>
      </c>
      <c r="AF2579" s="55" t="n">
        <f aca="false">AD2579+ROW()*0.000000001</f>
        <v>-1.34901333758586</v>
      </c>
      <c r="AG2579" s="55" t="n">
        <f aca="false">AE2579+ROW()*0.000000001</f>
        <v>46.7482116433275</v>
      </c>
    </row>
    <row r="2580" customFormat="false" ht="15" hidden="false" customHeight="false" outlineLevel="0" collapsed="false">
      <c r="A2580" s="0" t="n">
        <v>3</v>
      </c>
      <c r="B2580" s="0" t="n">
        <v>4</v>
      </c>
      <c r="C2580" s="0" t="n">
        <v>7</v>
      </c>
      <c r="D2580" s="0" t="n">
        <v>1</v>
      </c>
      <c r="E2580" s="0" t="n">
        <f aca="false">-1+A2580*0.25</f>
        <v>-0.25</v>
      </c>
      <c r="F2580" s="0" t="n">
        <f aca="false">-1+B2580*0.25</f>
        <v>0</v>
      </c>
      <c r="G2580" s="0" t="n">
        <f aca="false">-1+C2580*0.25</f>
        <v>0.75</v>
      </c>
      <c r="H2580" s="0" t="n">
        <f aca="false">-1+D2580*0.25</f>
        <v>-0.75</v>
      </c>
      <c r="I2580" s="0" t="n">
        <f aca="false">1</f>
        <v>1</v>
      </c>
      <c r="J2580" s="0" t="n">
        <f aca="false">E2580</f>
        <v>-0.25</v>
      </c>
      <c r="K2580" s="0" t="n">
        <f aca="false">F2580</f>
        <v>0</v>
      </c>
      <c r="L2580" s="0" t="n">
        <f aca="false">G2580</f>
        <v>0.75</v>
      </c>
      <c r="M2580" s="0" t="n">
        <f aca="false">H2580</f>
        <v>-0.75</v>
      </c>
      <c r="N2580" s="0" t="n">
        <f aca="false">E2580*F2580</f>
        <v>-0</v>
      </c>
      <c r="O2580" s="0" t="n">
        <f aca="false">E2580*G2580</f>
        <v>-0.1875</v>
      </c>
      <c r="P2580" s="0" t="n">
        <f aca="false">E2580*H2580</f>
        <v>0.1875</v>
      </c>
      <c r="Q2580" s="0" t="n">
        <f aca="false">F2580*G2580</f>
        <v>0</v>
      </c>
      <c r="R2580" s="0" t="n">
        <f aca="false">F2580*H2580</f>
        <v>-0</v>
      </c>
      <c r="S2580" s="0" t="n">
        <f aca="false">G2580*H2580</f>
        <v>-0.5625</v>
      </c>
      <c r="T2580" s="0" t="n">
        <f aca="false">E2580*E2580</f>
        <v>0.0625</v>
      </c>
      <c r="U2580" s="0" t="n">
        <f aca="false">F2580*F2580</f>
        <v>0</v>
      </c>
      <c r="V2580" s="0" t="n">
        <f aca="false">G2580*G2580</f>
        <v>0.5625</v>
      </c>
      <c r="W2580" s="0" t="n">
        <f aca="false">H2580*H2580</f>
        <v>0.5625</v>
      </c>
      <c r="X2580" s="0" t="n">
        <f aca="false">SUMPRODUCT(I2580:W2580,_XtX!$B$96:$P$96)</f>
        <v>47.0630162646199</v>
      </c>
      <c r="Y2580" s="0" t="n">
        <f aca="false">SUMPRODUCT(MMULT(I2580:W2580,_XtX!$B$78:$P$92),I2580:W2580)</f>
        <v>0.281685455500731</v>
      </c>
      <c r="Z2580" s="0" t="n">
        <f aca="false">04_回帰ANOVA!$K$19*04_回帰ANOVA!$K$14*SQRT(1+Y2580)</f>
        <v>1.47566956658694</v>
      </c>
      <c r="AA2580" s="0" t="n">
        <f aca="false">X2580-Z2580</f>
        <v>45.5873466980329</v>
      </c>
      <c r="AB2580" s="0" t="n">
        <f aca="false">X2580+Z2580</f>
        <v>48.5386858312068</v>
      </c>
      <c r="AC2580" s="54" t="b">
        <f aca="false">AND(E2580&gt;=01_因子設定!$L$5-0.000000001,E2580&lt;=01_因子設定!$M$5+0.000000001,F2580&gt;=01_因子設定!$L$6-0.000000001,F2580&lt;=01_因子設定!$M$6+0.000000001,G2580&gt;=01_因子設定!$L$7-0.000000001,G2580&lt;=01_因子設定!$M$7+0.000000001,H2580&gt;=01_因子設定!$L$8-0.000000001,H2580&lt;=01_因子設定!$M$8+0.000000001,IF(01_因子設定!$B$20="Box-Behnken",E2580^2+F2580^2+G2580^2+H2580^2&lt;=2+0.000000001,TRUE()))</f>
        <v>1</v>
      </c>
      <c r="AD2580" s="55" t="n">
        <f aca="false">IF(AC2580,IF(01_因子設定!$B$13="最大化",AA2580-01_因子設定!$B$14,IF(01_因子設定!$B$13="最小化",01_因子設定!$B$15-AB2580,MIN(AA2580-01_因子設定!$B$14,01_因子設定!$B$15-AB2580))),-1E+030)</f>
        <v>-0.91265330196709</v>
      </c>
      <c r="AE2580" s="55" t="n">
        <f aca="false">IF(AC2580,IF(01_因子設定!$B$13="最大化",X2580,IF(01_因子設定!$B$13="最小化",-X2580,-ABS(X2580-01_因子設定!$B$16))),-1E+030)</f>
        <v>47.0630162646199</v>
      </c>
      <c r="AF2580" s="55" t="n">
        <f aca="false">AD2580+ROW()*0.000000001</f>
        <v>-0.91265072196709</v>
      </c>
      <c r="AG2580" s="55" t="n">
        <f aca="false">AE2580+ROW()*0.000000001</f>
        <v>47.0630188446199</v>
      </c>
    </row>
    <row r="2581" customFormat="false" ht="15" hidden="false" customHeight="false" outlineLevel="0" collapsed="false">
      <c r="A2581" s="0" t="n">
        <v>3</v>
      </c>
      <c r="B2581" s="0" t="n">
        <v>4</v>
      </c>
      <c r="C2581" s="0" t="n">
        <v>7</v>
      </c>
      <c r="D2581" s="0" t="n">
        <v>2</v>
      </c>
      <c r="E2581" s="0" t="n">
        <f aca="false">-1+A2581*0.25</f>
        <v>-0.25</v>
      </c>
      <c r="F2581" s="0" t="n">
        <f aca="false">-1+B2581*0.25</f>
        <v>0</v>
      </c>
      <c r="G2581" s="0" t="n">
        <f aca="false">-1+C2581*0.25</f>
        <v>0.75</v>
      </c>
      <c r="H2581" s="0" t="n">
        <f aca="false">-1+D2581*0.25</f>
        <v>-0.5</v>
      </c>
      <c r="I2581" s="0" t="n">
        <f aca="false">1</f>
        <v>1</v>
      </c>
      <c r="J2581" s="0" t="n">
        <f aca="false">E2581</f>
        <v>-0.25</v>
      </c>
      <c r="K2581" s="0" t="n">
        <f aca="false">F2581</f>
        <v>0</v>
      </c>
      <c r="L2581" s="0" t="n">
        <f aca="false">G2581</f>
        <v>0.75</v>
      </c>
      <c r="M2581" s="0" t="n">
        <f aca="false">H2581</f>
        <v>-0.5</v>
      </c>
      <c r="N2581" s="0" t="n">
        <f aca="false">E2581*F2581</f>
        <v>-0</v>
      </c>
      <c r="O2581" s="0" t="n">
        <f aca="false">E2581*G2581</f>
        <v>-0.1875</v>
      </c>
      <c r="P2581" s="0" t="n">
        <f aca="false">E2581*H2581</f>
        <v>0.125</v>
      </c>
      <c r="Q2581" s="0" t="n">
        <f aca="false">F2581*G2581</f>
        <v>0</v>
      </c>
      <c r="R2581" s="0" t="n">
        <f aca="false">F2581*H2581</f>
        <v>-0</v>
      </c>
      <c r="S2581" s="0" t="n">
        <f aca="false">G2581*H2581</f>
        <v>-0.375</v>
      </c>
      <c r="T2581" s="0" t="n">
        <f aca="false">E2581*E2581</f>
        <v>0.0625</v>
      </c>
      <c r="U2581" s="0" t="n">
        <f aca="false">F2581*F2581</f>
        <v>0</v>
      </c>
      <c r="V2581" s="0" t="n">
        <f aca="false">G2581*G2581</f>
        <v>0.5625</v>
      </c>
      <c r="W2581" s="0" t="n">
        <f aca="false">H2581*H2581</f>
        <v>0.25</v>
      </c>
      <c r="X2581" s="0" t="n">
        <f aca="false">SUMPRODUCT(I2581:W2581,_XtX!$B$96:$P$96)</f>
        <v>47.3300164473684</v>
      </c>
      <c r="Y2581" s="0" t="n">
        <f aca="false">SUMPRODUCT(MMULT(I2581:W2581,_XtX!$B$78:$P$92),I2581:W2581)</f>
        <v>0.215110734192252</v>
      </c>
      <c r="Z2581" s="0" t="n">
        <f aca="false">04_回帰ANOVA!$K$19*04_回帰ANOVA!$K$14*SQRT(1+Y2581)</f>
        <v>1.43683309086864</v>
      </c>
      <c r="AA2581" s="0" t="n">
        <f aca="false">X2581-Z2581</f>
        <v>45.8931833564997</v>
      </c>
      <c r="AB2581" s="0" t="n">
        <f aca="false">X2581+Z2581</f>
        <v>48.766849538237</v>
      </c>
      <c r="AC2581" s="54" t="b">
        <f aca="false">AND(E2581&gt;=01_因子設定!$L$5-0.000000001,E2581&lt;=01_因子設定!$M$5+0.000000001,F2581&gt;=01_因子設定!$L$6-0.000000001,F2581&lt;=01_因子設定!$M$6+0.000000001,G2581&gt;=01_因子設定!$L$7-0.000000001,G2581&lt;=01_因子設定!$M$7+0.000000001,H2581&gt;=01_因子設定!$L$8-0.000000001,H2581&lt;=01_因子設定!$M$8+0.000000001,IF(01_因子設定!$B$20="Box-Behnken",E2581^2+F2581^2+G2581^2+H2581^2&lt;=2+0.000000001,TRUE()))</f>
        <v>1</v>
      </c>
      <c r="AD2581" s="55" t="n">
        <f aca="false">IF(AC2581,IF(01_因子設定!$B$13="最大化",AA2581-01_因子設定!$B$14,IF(01_因子設定!$B$13="最小化",01_因子設定!$B$15-AB2581,MIN(AA2581-01_因子設定!$B$14,01_因子設定!$B$15-AB2581))),-1E+030)</f>
        <v>-0.606816643500274</v>
      </c>
      <c r="AE2581" s="55" t="n">
        <f aca="false">IF(AC2581,IF(01_因子設定!$B$13="最大化",X2581,IF(01_因子設定!$B$13="最小化",-X2581,-ABS(X2581-01_因子設定!$B$16))),-1E+030)</f>
        <v>47.3300164473684</v>
      </c>
      <c r="AF2581" s="55" t="n">
        <f aca="false">AD2581+ROW()*0.000000001</f>
        <v>-0.606814062500274</v>
      </c>
      <c r="AG2581" s="55" t="n">
        <f aca="false">AE2581+ROW()*0.000000001</f>
        <v>47.3300190283684</v>
      </c>
    </row>
    <row r="2582" customFormat="false" ht="15" hidden="false" customHeight="false" outlineLevel="0" collapsed="false">
      <c r="A2582" s="0" t="n">
        <v>3</v>
      </c>
      <c r="B2582" s="0" t="n">
        <v>4</v>
      </c>
      <c r="C2582" s="0" t="n">
        <v>7</v>
      </c>
      <c r="D2582" s="0" t="n">
        <v>3</v>
      </c>
      <c r="E2582" s="0" t="n">
        <f aca="false">-1+A2582*0.25</f>
        <v>-0.25</v>
      </c>
      <c r="F2582" s="0" t="n">
        <f aca="false">-1+B2582*0.25</f>
        <v>0</v>
      </c>
      <c r="G2582" s="0" t="n">
        <f aca="false">-1+C2582*0.25</f>
        <v>0.75</v>
      </c>
      <c r="H2582" s="0" t="n">
        <f aca="false">-1+D2582*0.25</f>
        <v>-0.25</v>
      </c>
      <c r="I2582" s="0" t="n">
        <f aca="false">1</f>
        <v>1</v>
      </c>
      <c r="J2582" s="0" t="n">
        <f aca="false">E2582</f>
        <v>-0.25</v>
      </c>
      <c r="K2582" s="0" t="n">
        <f aca="false">F2582</f>
        <v>0</v>
      </c>
      <c r="L2582" s="0" t="n">
        <f aca="false">G2582</f>
        <v>0.75</v>
      </c>
      <c r="M2582" s="0" t="n">
        <f aca="false">H2582</f>
        <v>-0.25</v>
      </c>
      <c r="N2582" s="0" t="n">
        <f aca="false">E2582*F2582</f>
        <v>-0</v>
      </c>
      <c r="O2582" s="0" t="n">
        <f aca="false">E2582*G2582</f>
        <v>-0.1875</v>
      </c>
      <c r="P2582" s="0" t="n">
        <f aca="false">E2582*H2582</f>
        <v>0.0625</v>
      </c>
      <c r="Q2582" s="0" t="n">
        <f aca="false">F2582*G2582</f>
        <v>0</v>
      </c>
      <c r="R2582" s="0" t="n">
        <f aca="false">F2582*H2582</f>
        <v>-0</v>
      </c>
      <c r="S2582" s="0" t="n">
        <f aca="false">G2582*H2582</f>
        <v>-0.1875</v>
      </c>
      <c r="T2582" s="0" t="n">
        <f aca="false">E2582*E2582</f>
        <v>0.0625</v>
      </c>
      <c r="U2582" s="0" t="n">
        <f aca="false">F2582*F2582</f>
        <v>0</v>
      </c>
      <c r="V2582" s="0" t="n">
        <f aca="false">G2582*G2582</f>
        <v>0.5625</v>
      </c>
      <c r="W2582" s="0" t="n">
        <f aca="false">H2582*H2582</f>
        <v>0.0625</v>
      </c>
      <c r="X2582" s="0" t="n">
        <f aca="false">SUMPRODUCT(I2582:W2582,_XtX!$B$96:$P$96)</f>
        <v>47.549209612573</v>
      </c>
      <c r="Y2582" s="0" t="n">
        <f aca="false">SUMPRODUCT(MMULT(I2582:W2582,_XtX!$B$78:$P$92),I2582:W2582)</f>
        <v>0.21135011193348</v>
      </c>
      <c r="Z2582" s="0" t="n">
        <f aca="false">04_回帰ANOVA!$K$19*04_回帰ANOVA!$K$14*SQRT(1+Y2582)</f>
        <v>1.43460795469709</v>
      </c>
      <c r="AA2582" s="0" t="n">
        <f aca="false">X2582-Z2582</f>
        <v>46.114601657876</v>
      </c>
      <c r="AB2582" s="0" t="n">
        <f aca="false">X2582+Z2582</f>
        <v>48.9838175672701</v>
      </c>
      <c r="AC2582" s="54" t="b">
        <f aca="false">AND(E2582&gt;=01_因子設定!$L$5-0.000000001,E2582&lt;=01_因子設定!$M$5+0.000000001,F2582&gt;=01_因子設定!$L$6-0.000000001,F2582&lt;=01_因子設定!$M$6+0.000000001,G2582&gt;=01_因子設定!$L$7-0.000000001,G2582&lt;=01_因子設定!$M$7+0.000000001,H2582&gt;=01_因子設定!$L$8-0.000000001,H2582&lt;=01_因子設定!$M$8+0.000000001,IF(01_因子設定!$B$20="Box-Behnken",E2582^2+F2582^2+G2582^2+H2582^2&lt;=2+0.000000001,TRUE()))</f>
        <v>1</v>
      </c>
      <c r="AD2582" s="55" t="n">
        <f aca="false">IF(AC2582,IF(01_因子設定!$B$13="最大化",AA2582-01_因子設定!$B$14,IF(01_因子設定!$B$13="最小化",01_因子設定!$B$15-AB2582,MIN(AA2582-01_因子設定!$B$14,01_因子設定!$B$15-AB2582))),-1E+030)</f>
        <v>-0.385398342124041</v>
      </c>
      <c r="AE2582" s="55" t="n">
        <f aca="false">IF(AC2582,IF(01_因子設定!$B$13="最大化",X2582,IF(01_因子設定!$B$13="最小化",-X2582,-ABS(X2582-01_因子設定!$B$16))),-1E+030)</f>
        <v>47.549209612573</v>
      </c>
      <c r="AF2582" s="55" t="n">
        <f aca="false">AD2582+ROW()*0.000000001</f>
        <v>-0.385395760124042</v>
      </c>
      <c r="AG2582" s="55" t="n">
        <f aca="false">AE2582+ROW()*0.000000001</f>
        <v>47.549212194573</v>
      </c>
    </row>
    <row r="2583" customFormat="false" ht="15" hidden="false" customHeight="false" outlineLevel="0" collapsed="false">
      <c r="A2583" s="0" t="n">
        <v>3</v>
      </c>
      <c r="B2583" s="0" t="n">
        <v>4</v>
      </c>
      <c r="C2583" s="0" t="n">
        <v>7</v>
      </c>
      <c r="D2583" s="0" t="n">
        <v>4</v>
      </c>
      <c r="E2583" s="0" t="n">
        <f aca="false">-1+A2583*0.25</f>
        <v>-0.25</v>
      </c>
      <c r="F2583" s="0" t="n">
        <f aca="false">-1+B2583*0.25</f>
        <v>0</v>
      </c>
      <c r="G2583" s="0" t="n">
        <f aca="false">-1+C2583*0.25</f>
        <v>0.75</v>
      </c>
      <c r="H2583" s="0" t="n">
        <f aca="false">-1+D2583*0.25</f>
        <v>0</v>
      </c>
      <c r="I2583" s="0" t="n">
        <f aca="false">1</f>
        <v>1</v>
      </c>
      <c r="J2583" s="0" t="n">
        <f aca="false">E2583</f>
        <v>-0.25</v>
      </c>
      <c r="K2583" s="0" t="n">
        <f aca="false">F2583</f>
        <v>0</v>
      </c>
      <c r="L2583" s="0" t="n">
        <f aca="false">G2583</f>
        <v>0.75</v>
      </c>
      <c r="M2583" s="0" t="n">
        <f aca="false">H2583</f>
        <v>0</v>
      </c>
      <c r="N2583" s="0" t="n">
        <f aca="false">E2583*F2583</f>
        <v>-0</v>
      </c>
      <c r="O2583" s="0" t="n">
        <f aca="false">E2583*G2583</f>
        <v>-0.1875</v>
      </c>
      <c r="P2583" s="0" t="n">
        <f aca="false">E2583*H2583</f>
        <v>-0</v>
      </c>
      <c r="Q2583" s="0" t="n">
        <f aca="false">F2583*G2583</f>
        <v>0</v>
      </c>
      <c r="R2583" s="0" t="n">
        <f aca="false">F2583*H2583</f>
        <v>0</v>
      </c>
      <c r="S2583" s="0" t="n">
        <f aca="false">G2583*H2583</f>
        <v>0</v>
      </c>
      <c r="T2583" s="0" t="n">
        <f aca="false">E2583*E2583</f>
        <v>0.0625</v>
      </c>
      <c r="U2583" s="0" t="n">
        <f aca="false">F2583*F2583</f>
        <v>0</v>
      </c>
      <c r="V2583" s="0" t="n">
        <f aca="false">G2583*G2583</f>
        <v>0.5625</v>
      </c>
      <c r="W2583" s="0" t="n">
        <f aca="false">H2583*H2583</f>
        <v>0</v>
      </c>
      <c r="X2583" s="0" t="n">
        <f aca="false">SUMPRODUCT(I2583:W2583,_XtX!$B$96:$P$96)</f>
        <v>47.7205957602339</v>
      </c>
      <c r="Y2583" s="0" t="n">
        <f aca="false">SUMPRODUCT(MMULT(I2583:W2583,_XtX!$B$78:$P$92),I2583:W2583)</f>
        <v>0.216127272934942</v>
      </c>
      <c r="Z2583" s="0" t="n">
        <f aca="false">04_回帰ANOVA!$K$19*04_回帰ANOVA!$K$14*SQRT(1+Y2583)</f>
        <v>1.43743397896608</v>
      </c>
      <c r="AA2583" s="0" t="n">
        <f aca="false">X2583-Z2583</f>
        <v>46.2831617812678</v>
      </c>
      <c r="AB2583" s="0" t="n">
        <f aca="false">X2583+Z2583</f>
        <v>49.1580297391999</v>
      </c>
      <c r="AC2583" s="54" t="b">
        <f aca="false">AND(E2583&gt;=01_因子設定!$L$5-0.000000001,E2583&lt;=01_因子設定!$M$5+0.000000001,F2583&gt;=01_因子設定!$L$6-0.000000001,F2583&lt;=01_因子設定!$M$6+0.000000001,G2583&gt;=01_因子設定!$L$7-0.000000001,G2583&lt;=01_因子設定!$M$7+0.000000001,H2583&gt;=01_因子設定!$L$8-0.000000001,H2583&lt;=01_因子設定!$M$8+0.000000001,IF(01_因子設定!$B$20="Box-Behnken",E2583^2+F2583^2+G2583^2+H2583^2&lt;=2+0.000000001,TRUE()))</f>
        <v>1</v>
      </c>
      <c r="AD2583" s="55" t="n">
        <f aca="false">IF(AC2583,IF(01_因子設定!$B$13="最大化",AA2583-01_因子設定!$B$14,IF(01_因子設定!$B$13="最小化",01_因子設定!$B$15-AB2583,MIN(AA2583-01_因子設定!$B$14,01_因子設定!$B$15-AB2583))),-1E+030)</f>
        <v>-0.216838218732214</v>
      </c>
      <c r="AE2583" s="55" t="n">
        <f aca="false">IF(AC2583,IF(01_因子設定!$B$13="最大化",X2583,IF(01_因子設定!$B$13="最小化",-X2583,-ABS(X2583-01_因子設定!$B$16))),-1E+030)</f>
        <v>47.7205957602339</v>
      </c>
      <c r="AF2583" s="55" t="n">
        <f aca="false">AD2583+ROW()*0.000000001</f>
        <v>-0.216835635732214</v>
      </c>
      <c r="AG2583" s="55" t="n">
        <f aca="false">AE2583+ROW()*0.000000001</f>
        <v>47.7205983432339</v>
      </c>
    </row>
    <row r="2584" customFormat="false" ht="15" hidden="false" customHeight="false" outlineLevel="0" collapsed="false">
      <c r="A2584" s="0" t="n">
        <v>3</v>
      </c>
      <c r="B2584" s="0" t="n">
        <v>4</v>
      </c>
      <c r="C2584" s="0" t="n">
        <v>7</v>
      </c>
      <c r="D2584" s="0" t="n">
        <v>5</v>
      </c>
      <c r="E2584" s="0" t="n">
        <f aca="false">-1+A2584*0.25</f>
        <v>-0.25</v>
      </c>
      <c r="F2584" s="0" t="n">
        <f aca="false">-1+B2584*0.25</f>
        <v>0</v>
      </c>
      <c r="G2584" s="0" t="n">
        <f aca="false">-1+C2584*0.25</f>
        <v>0.75</v>
      </c>
      <c r="H2584" s="0" t="n">
        <f aca="false">-1+D2584*0.25</f>
        <v>0.25</v>
      </c>
      <c r="I2584" s="0" t="n">
        <f aca="false">1</f>
        <v>1</v>
      </c>
      <c r="J2584" s="0" t="n">
        <f aca="false">E2584</f>
        <v>-0.25</v>
      </c>
      <c r="K2584" s="0" t="n">
        <f aca="false">F2584</f>
        <v>0</v>
      </c>
      <c r="L2584" s="0" t="n">
        <f aca="false">G2584</f>
        <v>0.75</v>
      </c>
      <c r="M2584" s="0" t="n">
        <f aca="false">H2584</f>
        <v>0.25</v>
      </c>
      <c r="N2584" s="0" t="n">
        <f aca="false">E2584*F2584</f>
        <v>-0</v>
      </c>
      <c r="O2584" s="0" t="n">
        <f aca="false">E2584*G2584</f>
        <v>-0.1875</v>
      </c>
      <c r="P2584" s="0" t="n">
        <f aca="false">E2584*H2584</f>
        <v>-0.0625</v>
      </c>
      <c r="Q2584" s="0" t="n">
        <f aca="false">F2584*G2584</f>
        <v>0</v>
      </c>
      <c r="R2584" s="0" t="n">
        <f aca="false">F2584*H2584</f>
        <v>0</v>
      </c>
      <c r="S2584" s="0" t="n">
        <f aca="false">G2584*H2584</f>
        <v>0.1875</v>
      </c>
      <c r="T2584" s="0" t="n">
        <f aca="false">E2584*E2584</f>
        <v>0.0625</v>
      </c>
      <c r="U2584" s="0" t="n">
        <f aca="false">F2584*F2584</f>
        <v>0</v>
      </c>
      <c r="V2584" s="0" t="n">
        <f aca="false">G2584*G2584</f>
        <v>0.5625</v>
      </c>
      <c r="W2584" s="0" t="n">
        <f aca="false">H2584*H2584</f>
        <v>0.0625</v>
      </c>
      <c r="X2584" s="0" t="n">
        <f aca="false">SUMPRODUCT(I2584:W2584,_XtX!$B$96:$P$96)</f>
        <v>47.8441748903508</v>
      </c>
      <c r="Y2584" s="0" t="n">
        <f aca="false">SUMPRODUCT(MMULT(I2584:W2584,_XtX!$B$78:$P$92),I2584:W2584)</f>
        <v>0.21135011193348</v>
      </c>
      <c r="Z2584" s="0" t="n">
        <f aca="false">04_回帰ANOVA!$K$19*04_回帰ANOVA!$K$14*SQRT(1+Y2584)</f>
        <v>1.43460795469709</v>
      </c>
      <c r="AA2584" s="0" t="n">
        <f aca="false">X2584-Z2584</f>
        <v>46.4095669356537</v>
      </c>
      <c r="AB2584" s="0" t="n">
        <f aca="false">X2584+Z2584</f>
        <v>49.2787828450479</v>
      </c>
      <c r="AC2584" s="54" t="b">
        <f aca="false">AND(E2584&gt;=01_因子設定!$L$5-0.000000001,E2584&lt;=01_因子設定!$M$5+0.000000001,F2584&gt;=01_因子設定!$L$6-0.000000001,F2584&lt;=01_因子設定!$M$6+0.000000001,G2584&gt;=01_因子設定!$L$7-0.000000001,G2584&lt;=01_因子設定!$M$7+0.000000001,H2584&gt;=01_因子設定!$L$8-0.000000001,H2584&lt;=01_因子設定!$M$8+0.000000001,IF(01_因子設定!$B$20="Box-Behnken",E2584^2+F2584^2+G2584^2+H2584^2&lt;=2+0.000000001,TRUE()))</f>
        <v>1</v>
      </c>
      <c r="AD2584" s="55" t="n">
        <f aca="false">IF(AC2584,IF(01_因子設定!$B$13="最大化",AA2584-01_因子設定!$B$14,IF(01_因子設定!$B$13="最小化",01_因子設定!$B$15-AB2584,MIN(AA2584-01_因子設定!$B$14,01_因子設定!$B$15-AB2584))),-1E+030)</f>
        <v>-0.0904330643462643</v>
      </c>
      <c r="AE2584" s="55" t="n">
        <f aca="false">IF(AC2584,IF(01_因子設定!$B$13="最大化",X2584,IF(01_因子設定!$B$13="最小化",-X2584,-ABS(X2584-01_因子設定!$B$16))),-1E+030)</f>
        <v>47.8441748903508</v>
      </c>
      <c r="AF2584" s="55" t="n">
        <f aca="false">AD2584+ROW()*0.000000001</f>
        <v>-0.0904304803462643</v>
      </c>
      <c r="AG2584" s="55" t="n">
        <f aca="false">AE2584+ROW()*0.000000001</f>
        <v>47.8441774743508</v>
      </c>
    </row>
    <row r="2585" customFormat="false" ht="15" hidden="false" customHeight="false" outlineLevel="0" collapsed="false">
      <c r="A2585" s="0" t="n">
        <v>3</v>
      </c>
      <c r="B2585" s="0" t="n">
        <v>4</v>
      </c>
      <c r="C2585" s="0" t="n">
        <v>7</v>
      </c>
      <c r="D2585" s="0" t="n">
        <v>6</v>
      </c>
      <c r="E2585" s="0" t="n">
        <f aca="false">-1+A2585*0.25</f>
        <v>-0.25</v>
      </c>
      <c r="F2585" s="0" t="n">
        <f aca="false">-1+B2585*0.25</f>
        <v>0</v>
      </c>
      <c r="G2585" s="0" t="n">
        <f aca="false">-1+C2585*0.25</f>
        <v>0.75</v>
      </c>
      <c r="H2585" s="0" t="n">
        <f aca="false">-1+D2585*0.25</f>
        <v>0.5</v>
      </c>
      <c r="I2585" s="0" t="n">
        <f aca="false">1</f>
        <v>1</v>
      </c>
      <c r="J2585" s="0" t="n">
        <f aca="false">E2585</f>
        <v>-0.25</v>
      </c>
      <c r="K2585" s="0" t="n">
        <f aca="false">F2585</f>
        <v>0</v>
      </c>
      <c r="L2585" s="0" t="n">
        <f aca="false">G2585</f>
        <v>0.75</v>
      </c>
      <c r="M2585" s="0" t="n">
        <f aca="false">H2585</f>
        <v>0.5</v>
      </c>
      <c r="N2585" s="0" t="n">
        <f aca="false">E2585*F2585</f>
        <v>-0</v>
      </c>
      <c r="O2585" s="0" t="n">
        <f aca="false">E2585*G2585</f>
        <v>-0.1875</v>
      </c>
      <c r="P2585" s="0" t="n">
        <f aca="false">E2585*H2585</f>
        <v>-0.125</v>
      </c>
      <c r="Q2585" s="0" t="n">
        <f aca="false">F2585*G2585</f>
        <v>0</v>
      </c>
      <c r="R2585" s="0" t="n">
        <f aca="false">F2585*H2585</f>
        <v>0</v>
      </c>
      <c r="S2585" s="0" t="n">
        <f aca="false">G2585*H2585</f>
        <v>0.375</v>
      </c>
      <c r="T2585" s="0" t="n">
        <f aca="false">E2585*E2585</f>
        <v>0.0625</v>
      </c>
      <c r="U2585" s="0" t="n">
        <f aca="false">F2585*F2585</f>
        <v>0</v>
      </c>
      <c r="V2585" s="0" t="n">
        <f aca="false">G2585*G2585</f>
        <v>0.5625</v>
      </c>
      <c r="W2585" s="0" t="n">
        <f aca="false">H2585*H2585</f>
        <v>0.25</v>
      </c>
      <c r="X2585" s="0" t="n">
        <f aca="false">SUMPRODUCT(I2585:W2585,_XtX!$B$96:$P$96)</f>
        <v>47.9199470029239</v>
      </c>
      <c r="Y2585" s="0" t="n">
        <f aca="false">SUMPRODUCT(MMULT(I2585:W2585,_XtX!$B$78:$P$92),I2585:W2585)</f>
        <v>0.215110734192252</v>
      </c>
      <c r="Z2585" s="0" t="n">
        <f aca="false">04_回帰ANOVA!$K$19*04_回帰ANOVA!$K$14*SQRT(1+Y2585)</f>
        <v>1.43683309086864</v>
      </c>
      <c r="AA2585" s="0" t="n">
        <f aca="false">X2585-Z2585</f>
        <v>46.4831139120553</v>
      </c>
      <c r="AB2585" s="0" t="n">
        <f aca="false">X2585+Z2585</f>
        <v>49.3567800937926</v>
      </c>
      <c r="AC2585" s="54" t="b">
        <f aca="false">AND(E2585&gt;=01_因子設定!$L$5-0.000000001,E2585&lt;=01_因子設定!$M$5+0.000000001,F2585&gt;=01_因子設定!$L$6-0.000000001,F2585&lt;=01_因子設定!$M$6+0.000000001,G2585&gt;=01_因子設定!$L$7-0.000000001,G2585&lt;=01_因子設定!$M$7+0.000000001,H2585&gt;=01_因子設定!$L$8-0.000000001,H2585&lt;=01_因子設定!$M$8+0.000000001,IF(01_因子設定!$B$20="Box-Behnken",E2585^2+F2585^2+G2585^2+H2585^2&lt;=2+0.000000001,TRUE()))</f>
        <v>1</v>
      </c>
      <c r="AD2585" s="55" t="n">
        <f aca="false">IF(AC2585,IF(01_因子設定!$B$13="最大化",AA2585-01_因子設定!$B$14,IF(01_因子設定!$B$13="最小化",01_因子設定!$B$15-AB2585,MIN(AA2585-01_因子設定!$B$14,01_因子設定!$B$15-AB2585))),-1E+030)</f>
        <v>-0.0168860879447195</v>
      </c>
      <c r="AE2585" s="55" t="n">
        <f aca="false">IF(AC2585,IF(01_因子設定!$B$13="最大化",X2585,IF(01_因子設定!$B$13="最小化",-X2585,-ABS(X2585-01_因子設定!$B$16))),-1E+030)</f>
        <v>47.9199470029239</v>
      </c>
      <c r="AF2585" s="55" t="n">
        <f aca="false">AD2585+ROW()*0.000000001</f>
        <v>-0.0168835029447195</v>
      </c>
      <c r="AG2585" s="55" t="n">
        <f aca="false">AE2585+ROW()*0.000000001</f>
        <v>47.9199495879239</v>
      </c>
    </row>
    <row r="2586" customFormat="false" ht="15" hidden="false" customHeight="false" outlineLevel="0" collapsed="false">
      <c r="A2586" s="0" t="n">
        <v>3</v>
      </c>
      <c r="B2586" s="0" t="n">
        <v>4</v>
      </c>
      <c r="C2586" s="0" t="n">
        <v>7</v>
      </c>
      <c r="D2586" s="0" t="n">
        <v>7</v>
      </c>
      <c r="E2586" s="0" t="n">
        <f aca="false">-1+A2586*0.25</f>
        <v>-0.25</v>
      </c>
      <c r="F2586" s="0" t="n">
        <f aca="false">-1+B2586*0.25</f>
        <v>0</v>
      </c>
      <c r="G2586" s="0" t="n">
        <f aca="false">-1+C2586*0.25</f>
        <v>0.75</v>
      </c>
      <c r="H2586" s="0" t="n">
        <f aca="false">-1+D2586*0.25</f>
        <v>0.75</v>
      </c>
      <c r="I2586" s="0" t="n">
        <f aca="false">1</f>
        <v>1</v>
      </c>
      <c r="J2586" s="0" t="n">
        <f aca="false">E2586</f>
        <v>-0.25</v>
      </c>
      <c r="K2586" s="0" t="n">
        <f aca="false">F2586</f>
        <v>0</v>
      </c>
      <c r="L2586" s="0" t="n">
        <f aca="false">G2586</f>
        <v>0.75</v>
      </c>
      <c r="M2586" s="0" t="n">
        <f aca="false">H2586</f>
        <v>0.75</v>
      </c>
      <c r="N2586" s="0" t="n">
        <f aca="false">E2586*F2586</f>
        <v>-0</v>
      </c>
      <c r="O2586" s="0" t="n">
        <f aca="false">E2586*G2586</f>
        <v>-0.1875</v>
      </c>
      <c r="P2586" s="0" t="n">
        <f aca="false">E2586*H2586</f>
        <v>-0.1875</v>
      </c>
      <c r="Q2586" s="0" t="n">
        <f aca="false">F2586*G2586</f>
        <v>0</v>
      </c>
      <c r="R2586" s="0" t="n">
        <f aca="false">F2586*H2586</f>
        <v>0</v>
      </c>
      <c r="S2586" s="0" t="n">
        <f aca="false">G2586*H2586</f>
        <v>0.5625</v>
      </c>
      <c r="T2586" s="0" t="n">
        <f aca="false">E2586*E2586</f>
        <v>0.0625</v>
      </c>
      <c r="U2586" s="0" t="n">
        <f aca="false">F2586*F2586</f>
        <v>0</v>
      </c>
      <c r="V2586" s="0" t="n">
        <f aca="false">G2586*G2586</f>
        <v>0.5625</v>
      </c>
      <c r="W2586" s="0" t="n">
        <f aca="false">H2586*H2586</f>
        <v>0.5625</v>
      </c>
      <c r="X2586" s="0" t="n">
        <f aca="false">SUMPRODUCT(I2586:W2586,_XtX!$B$96:$P$96)</f>
        <v>47.9479120979532</v>
      </c>
      <c r="Y2586" s="0" t="n">
        <f aca="false">SUMPRODUCT(MMULT(I2586:W2586,_XtX!$B$78:$P$92),I2586:W2586)</f>
        <v>0.281685455500731</v>
      </c>
      <c r="Z2586" s="0" t="n">
        <f aca="false">04_回帰ANOVA!$K$19*04_回帰ANOVA!$K$14*SQRT(1+Y2586)</f>
        <v>1.47566956658694</v>
      </c>
      <c r="AA2586" s="0" t="n">
        <f aca="false">X2586-Z2586</f>
        <v>46.4722425313662</v>
      </c>
      <c r="AB2586" s="0" t="n">
        <f aca="false">X2586+Z2586</f>
        <v>49.4235816645401</v>
      </c>
      <c r="AC2586" s="54" t="b">
        <f aca="false">AND(E2586&gt;=01_因子設定!$L$5-0.000000001,E2586&lt;=01_因子設定!$M$5+0.000000001,F2586&gt;=01_因子設定!$L$6-0.000000001,F2586&lt;=01_因子設定!$M$6+0.000000001,G2586&gt;=01_因子設定!$L$7-0.000000001,G2586&lt;=01_因子設定!$M$7+0.000000001,H2586&gt;=01_因子設定!$L$8-0.000000001,H2586&lt;=01_因子設定!$M$8+0.000000001,IF(01_因子設定!$B$20="Box-Behnken",E2586^2+F2586^2+G2586^2+H2586^2&lt;=2+0.000000001,TRUE()))</f>
        <v>1</v>
      </c>
      <c r="AD2586" s="55" t="n">
        <f aca="false">IF(AC2586,IF(01_因子設定!$B$13="最大化",AA2586-01_因子設定!$B$14,IF(01_因子設定!$B$13="最小化",01_因子設定!$B$15-AB2586,MIN(AA2586-01_因子設定!$B$14,01_因子設定!$B$15-AB2586))),-1E+030)</f>
        <v>-0.0277574686337587</v>
      </c>
      <c r="AE2586" s="55" t="n">
        <f aca="false">IF(AC2586,IF(01_因子設定!$B$13="最大化",X2586,IF(01_因子設定!$B$13="最小化",-X2586,-ABS(X2586-01_因子設定!$B$16))),-1E+030)</f>
        <v>47.9479120979532</v>
      </c>
      <c r="AF2586" s="55" t="n">
        <f aca="false">AD2586+ROW()*0.000000001</f>
        <v>-0.0277548826337587</v>
      </c>
      <c r="AG2586" s="55" t="n">
        <f aca="false">AE2586+ROW()*0.000000001</f>
        <v>47.9479146839532</v>
      </c>
    </row>
    <row r="2587" customFormat="false" ht="15" hidden="false" customHeight="false" outlineLevel="0" collapsed="false">
      <c r="A2587" s="0" t="n">
        <v>3</v>
      </c>
      <c r="B2587" s="0" t="n">
        <v>4</v>
      </c>
      <c r="C2587" s="0" t="n">
        <v>7</v>
      </c>
      <c r="D2587" s="0" t="n">
        <v>8</v>
      </c>
      <c r="E2587" s="0" t="n">
        <f aca="false">-1+A2587*0.25</f>
        <v>-0.25</v>
      </c>
      <c r="F2587" s="0" t="n">
        <f aca="false">-1+B2587*0.25</f>
        <v>0</v>
      </c>
      <c r="G2587" s="0" t="n">
        <f aca="false">-1+C2587*0.25</f>
        <v>0.75</v>
      </c>
      <c r="H2587" s="0" t="n">
        <f aca="false">-1+D2587*0.25</f>
        <v>1</v>
      </c>
      <c r="I2587" s="0" t="n">
        <f aca="false">1</f>
        <v>1</v>
      </c>
      <c r="J2587" s="0" t="n">
        <f aca="false">E2587</f>
        <v>-0.25</v>
      </c>
      <c r="K2587" s="0" t="n">
        <f aca="false">F2587</f>
        <v>0</v>
      </c>
      <c r="L2587" s="0" t="n">
        <f aca="false">G2587</f>
        <v>0.75</v>
      </c>
      <c r="M2587" s="0" t="n">
        <f aca="false">H2587</f>
        <v>1</v>
      </c>
      <c r="N2587" s="0" t="n">
        <f aca="false">E2587*F2587</f>
        <v>-0</v>
      </c>
      <c r="O2587" s="0" t="n">
        <f aca="false">E2587*G2587</f>
        <v>-0.1875</v>
      </c>
      <c r="P2587" s="0" t="n">
        <f aca="false">E2587*H2587</f>
        <v>-0.25</v>
      </c>
      <c r="Q2587" s="0" t="n">
        <f aca="false">F2587*G2587</f>
        <v>0</v>
      </c>
      <c r="R2587" s="0" t="n">
        <f aca="false">F2587*H2587</f>
        <v>0</v>
      </c>
      <c r="S2587" s="0" t="n">
        <f aca="false">G2587*H2587</f>
        <v>0.75</v>
      </c>
      <c r="T2587" s="0" t="n">
        <f aca="false">E2587*E2587</f>
        <v>0.0625</v>
      </c>
      <c r="U2587" s="0" t="n">
        <f aca="false">F2587*F2587</f>
        <v>0</v>
      </c>
      <c r="V2587" s="0" t="n">
        <f aca="false">G2587*G2587</f>
        <v>0.5625</v>
      </c>
      <c r="W2587" s="0" t="n">
        <f aca="false">H2587*H2587</f>
        <v>1</v>
      </c>
      <c r="X2587" s="0" t="n">
        <f aca="false">SUMPRODUCT(I2587:W2587,_XtX!$B$96:$P$96)</f>
        <v>47.9280701754386</v>
      </c>
      <c r="Y2587" s="0" t="n">
        <f aca="false">SUMPRODUCT(MMULT(I2587:W2587,_XtX!$B$78:$P$92),I2587:W2587)</f>
        <v>0.501534802174708</v>
      </c>
      <c r="Z2587" s="0" t="n">
        <f aca="false">04_回帰ANOVA!$K$19*04_回帰ANOVA!$K$14*SQRT(1+Y2587)</f>
        <v>1.59722498091333</v>
      </c>
      <c r="AA2587" s="0" t="n">
        <f aca="false">X2587-Z2587</f>
        <v>46.3308451945252</v>
      </c>
      <c r="AB2587" s="0" t="n">
        <f aca="false">X2587+Z2587</f>
        <v>49.5252951563519</v>
      </c>
      <c r="AC2587" s="54" t="b">
        <f aca="false">AND(E2587&gt;=01_因子設定!$L$5-0.000000001,E2587&lt;=01_因子設定!$M$5+0.000000001,F2587&gt;=01_因子設定!$L$6-0.000000001,F2587&lt;=01_因子設定!$M$6+0.000000001,G2587&gt;=01_因子設定!$L$7-0.000000001,G2587&lt;=01_因子設定!$M$7+0.000000001,H2587&gt;=01_因子設定!$L$8-0.000000001,H2587&lt;=01_因子設定!$M$8+0.000000001,IF(01_因子設定!$B$20="Box-Behnken",E2587^2+F2587^2+G2587^2+H2587^2&lt;=2+0.000000001,TRUE()))</f>
        <v>1</v>
      </c>
      <c r="AD2587" s="55" t="n">
        <f aca="false">IF(AC2587,IF(01_因子設定!$B$13="最大化",AA2587-01_因子設定!$B$14,IF(01_因子設定!$B$13="最小化",01_因子設定!$B$15-AB2587,MIN(AA2587-01_因子設定!$B$14,01_因子設定!$B$15-AB2587))),-1E+030)</f>
        <v>-0.169154805474754</v>
      </c>
      <c r="AE2587" s="55" t="n">
        <f aca="false">IF(AC2587,IF(01_因子設定!$B$13="最大化",X2587,IF(01_因子設定!$B$13="最小化",-X2587,-ABS(X2587-01_因子設定!$B$16))),-1E+030)</f>
        <v>47.9280701754386</v>
      </c>
      <c r="AF2587" s="55" t="n">
        <f aca="false">AD2587+ROW()*0.000000001</f>
        <v>-0.169152218474754</v>
      </c>
      <c r="AG2587" s="55" t="n">
        <f aca="false">AE2587+ROW()*0.000000001</f>
        <v>47.9280727624386</v>
      </c>
    </row>
    <row r="2588" customFormat="false" ht="15" hidden="false" customHeight="false" outlineLevel="0" collapsed="false">
      <c r="A2588" s="0" t="n">
        <v>3</v>
      </c>
      <c r="B2588" s="0" t="n">
        <v>4</v>
      </c>
      <c r="C2588" s="0" t="n">
        <v>8</v>
      </c>
      <c r="D2588" s="0" t="n">
        <v>0</v>
      </c>
      <c r="E2588" s="0" t="n">
        <f aca="false">-1+A2588*0.25</f>
        <v>-0.25</v>
      </c>
      <c r="F2588" s="0" t="n">
        <f aca="false">-1+B2588*0.25</f>
        <v>0</v>
      </c>
      <c r="G2588" s="0" t="n">
        <f aca="false">-1+C2588*0.25</f>
        <v>1</v>
      </c>
      <c r="H2588" s="0" t="n">
        <f aca="false">-1+D2588*0.25</f>
        <v>-1</v>
      </c>
      <c r="I2588" s="0" t="n">
        <f aca="false">1</f>
        <v>1</v>
      </c>
      <c r="J2588" s="0" t="n">
        <f aca="false">E2588</f>
        <v>-0.25</v>
      </c>
      <c r="K2588" s="0" t="n">
        <f aca="false">F2588</f>
        <v>0</v>
      </c>
      <c r="L2588" s="0" t="n">
        <f aca="false">G2588</f>
        <v>1</v>
      </c>
      <c r="M2588" s="0" t="n">
        <f aca="false">H2588</f>
        <v>-1</v>
      </c>
      <c r="N2588" s="0" t="n">
        <f aca="false">E2588*F2588</f>
        <v>-0</v>
      </c>
      <c r="O2588" s="0" t="n">
        <f aca="false">E2588*G2588</f>
        <v>-0.25</v>
      </c>
      <c r="P2588" s="0" t="n">
        <f aca="false">E2588*H2588</f>
        <v>0.25</v>
      </c>
      <c r="Q2588" s="0" t="n">
        <f aca="false">F2588*G2588</f>
        <v>0</v>
      </c>
      <c r="R2588" s="0" t="n">
        <f aca="false">F2588*H2588</f>
        <v>-0</v>
      </c>
      <c r="S2588" s="0" t="n">
        <f aca="false">G2588*H2588</f>
        <v>-1</v>
      </c>
      <c r="T2588" s="0" t="n">
        <f aca="false">E2588*E2588</f>
        <v>0.0625</v>
      </c>
      <c r="U2588" s="0" t="n">
        <f aca="false">F2588*F2588</f>
        <v>0</v>
      </c>
      <c r="V2588" s="0" t="n">
        <f aca="false">G2588*G2588</f>
        <v>1</v>
      </c>
      <c r="W2588" s="0" t="n">
        <f aca="false">H2588*H2588</f>
        <v>1</v>
      </c>
      <c r="X2588" s="0" t="n">
        <f aca="false">SUMPRODUCT(I2588:W2588,_XtX!$B$96:$P$96)</f>
        <v>46.6642178362573</v>
      </c>
      <c r="Y2588" s="0" t="n">
        <f aca="false">SUMPRODUCT(MMULT(I2588:W2588,_XtX!$B$78:$P$92),I2588:W2588)</f>
        <v>0.689692982456141</v>
      </c>
      <c r="Z2588" s="0" t="n">
        <f aca="false">04_回帰ANOVA!$K$19*04_回帰ANOVA!$K$14*SQRT(1+Y2588)</f>
        <v>1.69434674594998</v>
      </c>
      <c r="AA2588" s="0" t="n">
        <f aca="false">X2588-Z2588</f>
        <v>44.9698710903073</v>
      </c>
      <c r="AB2588" s="0" t="n">
        <f aca="false">X2588+Z2588</f>
        <v>48.3585645822073</v>
      </c>
      <c r="AC2588" s="54" t="b">
        <f aca="false">AND(E2588&gt;=01_因子設定!$L$5-0.000000001,E2588&lt;=01_因子設定!$M$5+0.000000001,F2588&gt;=01_因子設定!$L$6-0.000000001,F2588&lt;=01_因子設定!$M$6+0.000000001,G2588&gt;=01_因子設定!$L$7-0.000000001,G2588&lt;=01_因子設定!$M$7+0.000000001,H2588&gt;=01_因子設定!$L$8-0.000000001,H2588&lt;=01_因子設定!$M$8+0.000000001,IF(01_因子設定!$B$20="Box-Behnken",E2588^2+F2588^2+G2588^2+H2588^2&lt;=2+0.000000001,TRUE()))</f>
        <v>1</v>
      </c>
      <c r="AD2588" s="55" t="n">
        <f aca="false">IF(AC2588,IF(01_因子設定!$B$13="最大化",AA2588-01_因子設定!$B$14,IF(01_因子設定!$B$13="最小化",01_因子設定!$B$15-AB2588,MIN(AA2588-01_因子設定!$B$14,01_因子設定!$B$15-AB2588))),-1E+030)</f>
        <v>-1.53012890969269</v>
      </c>
      <c r="AE2588" s="55" t="n">
        <f aca="false">IF(AC2588,IF(01_因子設定!$B$13="最大化",X2588,IF(01_因子設定!$B$13="最小化",-X2588,-ABS(X2588-01_因子設定!$B$16))),-1E+030)</f>
        <v>46.6642178362573</v>
      </c>
      <c r="AF2588" s="55" t="n">
        <f aca="false">AD2588+ROW()*0.000000001</f>
        <v>-1.53012632169269</v>
      </c>
      <c r="AG2588" s="55" t="n">
        <f aca="false">AE2588+ROW()*0.000000001</f>
        <v>46.6642204242573</v>
      </c>
    </row>
    <row r="2589" customFormat="false" ht="15" hidden="false" customHeight="false" outlineLevel="0" collapsed="false">
      <c r="A2589" s="0" t="n">
        <v>3</v>
      </c>
      <c r="B2589" s="0" t="n">
        <v>4</v>
      </c>
      <c r="C2589" s="0" t="n">
        <v>8</v>
      </c>
      <c r="D2589" s="0" t="n">
        <v>1</v>
      </c>
      <c r="E2589" s="0" t="n">
        <f aca="false">-1+A2589*0.25</f>
        <v>-0.25</v>
      </c>
      <c r="F2589" s="0" t="n">
        <f aca="false">-1+B2589*0.25</f>
        <v>0</v>
      </c>
      <c r="G2589" s="0" t="n">
        <f aca="false">-1+C2589*0.25</f>
        <v>1</v>
      </c>
      <c r="H2589" s="0" t="n">
        <f aca="false">-1+D2589*0.25</f>
        <v>-0.75</v>
      </c>
      <c r="I2589" s="0" t="n">
        <f aca="false">1</f>
        <v>1</v>
      </c>
      <c r="J2589" s="0" t="n">
        <f aca="false">E2589</f>
        <v>-0.25</v>
      </c>
      <c r="K2589" s="0" t="n">
        <f aca="false">F2589</f>
        <v>0</v>
      </c>
      <c r="L2589" s="0" t="n">
        <f aca="false">G2589</f>
        <v>1</v>
      </c>
      <c r="M2589" s="0" t="n">
        <f aca="false">H2589</f>
        <v>-0.75</v>
      </c>
      <c r="N2589" s="0" t="n">
        <f aca="false">E2589*F2589</f>
        <v>-0</v>
      </c>
      <c r="O2589" s="0" t="n">
        <f aca="false">E2589*G2589</f>
        <v>-0.25</v>
      </c>
      <c r="P2589" s="0" t="n">
        <f aca="false">E2589*H2589</f>
        <v>0.1875</v>
      </c>
      <c r="Q2589" s="0" t="n">
        <f aca="false">F2589*G2589</f>
        <v>0</v>
      </c>
      <c r="R2589" s="0" t="n">
        <f aca="false">F2589*H2589</f>
        <v>-0</v>
      </c>
      <c r="S2589" s="0" t="n">
        <f aca="false">G2589*H2589</f>
        <v>-0.75</v>
      </c>
      <c r="T2589" s="0" t="n">
        <f aca="false">E2589*E2589</f>
        <v>0.0625</v>
      </c>
      <c r="U2589" s="0" t="n">
        <f aca="false">F2589*F2589</f>
        <v>0</v>
      </c>
      <c r="V2589" s="0" t="n">
        <f aca="false">G2589*G2589</f>
        <v>1</v>
      </c>
      <c r="W2589" s="0" t="n">
        <f aca="false">H2589*H2589</f>
        <v>0.5625</v>
      </c>
      <c r="X2589" s="0" t="n">
        <f aca="false">SUMPRODUCT(I2589:W2589,_XtX!$B$96:$P$96)</f>
        <v>46.9969937865497</v>
      </c>
      <c r="Y2589" s="0" t="n">
        <f aca="false">SUMPRODUCT(MMULT(I2589:W2589,_XtX!$B$78:$P$92),I2589:W2589)</f>
        <v>0.501534802174708</v>
      </c>
      <c r="Z2589" s="0" t="n">
        <f aca="false">04_回帰ANOVA!$K$19*04_回帰ANOVA!$K$14*SQRT(1+Y2589)</f>
        <v>1.59722498091333</v>
      </c>
      <c r="AA2589" s="0" t="n">
        <f aca="false">X2589-Z2589</f>
        <v>45.3997688056363</v>
      </c>
      <c r="AB2589" s="0" t="n">
        <f aca="false">X2589+Z2589</f>
        <v>48.594218767463</v>
      </c>
      <c r="AC2589" s="54" t="b">
        <f aca="false">AND(E2589&gt;=01_因子設定!$L$5-0.000000001,E2589&lt;=01_因子設定!$M$5+0.000000001,F2589&gt;=01_因子設定!$L$6-0.000000001,F2589&lt;=01_因子設定!$M$6+0.000000001,G2589&gt;=01_因子設定!$L$7-0.000000001,G2589&lt;=01_因子設定!$M$7+0.000000001,H2589&gt;=01_因子設定!$L$8-0.000000001,H2589&lt;=01_因子設定!$M$8+0.000000001,IF(01_因子設定!$B$20="Box-Behnken",E2589^2+F2589^2+G2589^2+H2589^2&lt;=2+0.000000001,TRUE()))</f>
        <v>1</v>
      </c>
      <c r="AD2589" s="55" t="n">
        <f aca="false">IF(AC2589,IF(01_因子設定!$B$13="最大化",AA2589-01_因子設定!$B$14,IF(01_因子設定!$B$13="最小化",01_因子設定!$B$15-AB2589,MIN(AA2589-01_因子設定!$B$14,01_因子設定!$B$15-AB2589))),-1E+030)</f>
        <v>-1.10023119436366</v>
      </c>
      <c r="AE2589" s="55" t="n">
        <f aca="false">IF(AC2589,IF(01_因子設定!$B$13="最大化",X2589,IF(01_因子設定!$B$13="最小化",-X2589,-ABS(X2589-01_因子設定!$B$16))),-1E+030)</f>
        <v>46.9969937865497</v>
      </c>
      <c r="AF2589" s="55" t="n">
        <f aca="false">AD2589+ROW()*0.000000001</f>
        <v>-1.10022860536366</v>
      </c>
      <c r="AG2589" s="55" t="n">
        <f aca="false">AE2589+ROW()*0.000000001</f>
        <v>46.9969963755497</v>
      </c>
    </row>
    <row r="2590" customFormat="false" ht="15" hidden="false" customHeight="false" outlineLevel="0" collapsed="false">
      <c r="A2590" s="0" t="n">
        <v>3</v>
      </c>
      <c r="B2590" s="0" t="n">
        <v>4</v>
      </c>
      <c r="C2590" s="0" t="n">
        <v>8</v>
      </c>
      <c r="D2590" s="0" t="n">
        <v>2</v>
      </c>
      <c r="E2590" s="0" t="n">
        <f aca="false">-1+A2590*0.25</f>
        <v>-0.25</v>
      </c>
      <c r="F2590" s="0" t="n">
        <f aca="false">-1+B2590*0.25</f>
        <v>0</v>
      </c>
      <c r="G2590" s="0" t="n">
        <f aca="false">-1+C2590*0.25</f>
        <v>1</v>
      </c>
      <c r="H2590" s="0" t="n">
        <f aca="false">-1+D2590*0.25</f>
        <v>-0.5</v>
      </c>
      <c r="I2590" s="0" t="n">
        <f aca="false">1</f>
        <v>1</v>
      </c>
      <c r="J2590" s="0" t="n">
        <f aca="false">E2590</f>
        <v>-0.25</v>
      </c>
      <c r="K2590" s="0" t="n">
        <f aca="false">F2590</f>
        <v>0</v>
      </c>
      <c r="L2590" s="0" t="n">
        <f aca="false">G2590</f>
        <v>1</v>
      </c>
      <c r="M2590" s="0" t="n">
        <f aca="false">H2590</f>
        <v>-0.5</v>
      </c>
      <c r="N2590" s="0" t="n">
        <f aca="false">E2590*F2590</f>
        <v>-0</v>
      </c>
      <c r="O2590" s="0" t="n">
        <f aca="false">E2590*G2590</f>
        <v>-0.25</v>
      </c>
      <c r="P2590" s="0" t="n">
        <f aca="false">E2590*H2590</f>
        <v>0.125</v>
      </c>
      <c r="Q2590" s="0" t="n">
        <f aca="false">F2590*G2590</f>
        <v>0</v>
      </c>
      <c r="R2590" s="0" t="n">
        <f aca="false">F2590*H2590</f>
        <v>-0</v>
      </c>
      <c r="S2590" s="0" t="n">
        <f aca="false">G2590*H2590</f>
        <v>-0.5</v>
      </c>
      <c r="T2590" s="0" t="n">
        <f aca="false">E2590*E2590</f>
        <v>0.0625</v>
      </c>
      <c r="U2590" s="0" t="n">
        <f aca="false">F2590*F2590</f>
        <v>0</v>
      </c>
      <c r="V2590" s="0" t="n">
        <f aca="false">G2590*G2590</f>
        <v>1</v>
      </c>
      <c r="W2590" s="0" t="n">
        <f aca="false">H2590*H2590</f>
        <v>0.25</v>
      </c>
      <c r="X2590" s="0" t="n">
        <f aca="false">SUMPRODUCT(I2590:W2590,_XtX!$B$96:$P$96)</f>
        <v>47.2819627192982</v>
      </c>
      <c r="Y2590" s="0" t="n">
        <f aca="false">SUMPRODUCT(MMULT(I2590:W2590,_XtX!$B$78:$P$92),I2590:W2590)</f>
        <v>0.457596628289474</v>
      </c>
      <c r="Z2590" s="0" t="n">
        <f aca="false">04_回帰ANOVA!$K$19*04_回帰ANOVA!$K$14*SQRT(1+Y2590)</f>
        <v>1.57368233664366</v>
      </c>
      <c r="AA2590" s="0" t="n">
        <f aca="false">X2590-Z2590</f>
        <v>45.7082803826545</v>
      </c>
      <c r="AB2590" s="0" t="n">
        <f aca="false">X2590+Z2590</f>
        <v>48.8556450559419</v>
      </c>
      <c r="AC2590" s="54" t="b">
        <f aca="false">AND(E2590&gt;=01_因子設定!$L$5-0.000000001,E2590&lt;=01_因子設定!$M$5+0.000000001,F2590&gt;=01_因子設定!$L$6-0.000000001,F2590&lt;=01_因子設定!$M$6+0.000000001,G2590&gt;=01_因子設定!$L$7-0.000000001,G2590&lt;=01_因子設定!$M$7+0.000000001,H2590&gt;=01_因子設定!$L$8-0.000000001,H2590&lt;=01_因子設定!$M$8+0.000000001,IF(01_因子設定!$B$20="Box-Behnken",E2590^2+F2590^2+G2590^2+H2590^2&lt;=2+0.000000001,TRUE()))</f>
        <v>1</v>
      </c>
      <c r="AD2590" s="55" t="n">
        <f aca="false">IF(AC2590,IF(01_因子設定!$B$13="最大化",AA2590-01_因子設定!$B$14,IF(01_因子設定!$B$13="最小化",01_因子設定!$B$15-AB2590,MIN(AA2590-01_因子設定!$B$14,01_因子設定!$B$15-AB2590))),-1E+030)</f>
        <v>-0.791719617345457</v>
      </c>
      <c r="AE2590" s="55" t="n">
        <f aca="false">IF(AC2590,IF(01_因子設定!$B$13="最大化",X2590,IF(01_因子設定!$B$13="最小化",-X2590,-ABS(X2590-01_因子設定!$B$16))),-1E+030)</f>
        <v>47.2819627192982</v>
      </c>
      <c r="AF2590" s="55" t="n">
        <f aca="false">AD2590+ROW()*0.000000001</f>
        <v>-0.791717027345457</v>
      </c>
      <c r="AG2590" s="55" t="n">
        <f aca="false">AE2590+ROW()*0.000000001</f>
        <v>47.2819653092982</v>
      </c>
    </row>
    <row r="2591" customFormat="false" ht="15" hidden="false" customHeight="false" outlineLevel="0" collapsed="false">
      <c r="A2591" s="0" t="n">
        <v>3</v>
      </c>
      <c r="B2591" s="0" t="n">
        <v>4</v>
      </c>
      <c r="C2591" s="0" t="n">
        <v>8</v>
      </c>
      <c r="D2591" s="0" t="n">
        <v>3</v>
      </c>
      <c r="E2591" s="0" t="n">
        <f aca="false">-1+A2591*0.25</f>
        <v>-0.25</v>
      </c>
      <c r="F2591" s="0" t="n">
        <f aca="false">-1+B2591*0.25</f>
        <v>0</v>
      </c>
      <c r="G2591" s="0" t="n">
        <f aca="false">-1+C2591*0.25</f>
        <v>1</v>
      </c>
      <c r="H2591" s="0" t="n">
        <f aca="false">-1+D2591*0.25</f>
        <v>-0.25</v>
      </c>
      <c r="I2591" s="0" t="n">
        <f aca="false">1</f>
        <v>1</v>
      </c>
      <c r="J2591" s="0" t="n">
        <f aca="false">E2591</f>
        <v>-0.25</v>
      </c>
      <c r="K2591" s="0" t="n">
        <f aca="false">F2591</f>
        <v>0</v>
      </c>
      <c r="L2591" s="0" t="n">
        <f aca="false">G2591</f>
        <v>1</v>
      </c>
      <c r="M2591" s="0" t="n">
        <f aca="false">H2591</f>
        <v>-0.25</v>
      </c>
      <c r="N2591" s="0" t="n">
        <f aca="false">E2591*F2591</f>
        <v>-0</v>
      </c>
      <c r="O2591" s="0" t="n">
        <f aca="false">E2591*G2591</f>
        <v>-0.25</v>
      </c>
      <c r="P2591" s="0" t="n">
        <f aca="false">E2591*H2591</f>
        <v>0.0625</v>
      </c>
      <c r="Q2591" s="0" t="n">
        <f aca="false">F2591*G2591</f>
        <v>0</v>
      </c>
      <c r="R2591" s="0" t="n">
        <f aca="false">F2591*H2591</f>
        <v>-0</v>
      </c>
      <c r="S2591" s="0" t="n">
        <f aca="false">G2591*H2591</f>
        <v>-0.25</v>
      </c>
      <c r="T2591" s="0" t="n">
        <f aca="false">E2591*E2591</f>
        <v>0.0625</v>
      </c>
      <c r="U2591" s="0" t="n">
        <f aca="false">F2591*F2591</f>
        <v>0</v>
      </c>
      <c r="V2591" s="0" t="n">
        <f aca="false">G2591*G2591</f>
        <v>1</v>
      </c>
      <c r="W2591" s="0" t="n">
        <f aca="false">H2591*H2591</f>
        <v>0.0625</v>
      </c>
      <c r="X2591" s="0" t="n">
        <f aca="false">SUMPRODUCT(I2591:W2591,_XtX!$B$96:$P$96)</f>
        <v>47.5191246345029</v>
      </c>
      <c r="Y2591" s="0" t="n">
        <f aca="false">SUMPRODUCT(MMULT(I2591:W2591,_XtX!$B$78:$P$92),I2591:W2591)</f>
        <v>0.467417934484649</v>
      </c>
      <c r="Z2591" s="0" t="n">
        <f aca="false">04_回帰ANOVA!$K$19*04_回帰ANOVA!$K$14*SQRT(1+Y2591)</f>
        <v>1.57897518244497</v>
      </c>
      <c r="AA2591" s="0" t="n">
        <f aca="false">X2591-Z2591</f>
        <v>45.9401494520579</v>
      </c>
      <c r="AB2591" s="0" t="n">
        <f aca="false">X2591+Z2591</f>
        <v>49.0980998169478</v>
      </c>
      <c r="AC2591" s="54" t="b">
        <f aca="false">AND(E2591&gt;=01_因子設定!$L$5-0.000000001,E2591&lt;=01_因子設定!$M$5+0.000000001,F2591&gt;=01_因子設定!$L$6-0.000000001,F2591&lt;=01_因子設定!$M$6+0.000000001,G2591&gt;=01_因子設定!$L$7-0.000000001,G2591&lt;=01_因子設定!$M$7+0.000000001,H2591&gt;=01_因子設定!$L$8-0.000000001,H2591&lt;=01_因子設定!$M$8+0.000000001,IF(01_因子設定!$B$20="Box-Behnken",E2591^2+F2591^2+G2591^2+H2591^2&lt;=2+0.000000001,TRUE()))</f>
        <v>1</v>
      </c>
      <c r="AD2591" s="55" t="n">
        <f aca="false">IF(AC2591,IF(01_因子設定!$B$13="最大化",AA2591-01_因子設定!$B$14,IF(01_因子設定!$B$13="最小化",01_因子設定!$B$15-AB2591,MIN(AA2591-01_因子設定!$B$14,01_因子設定!$B$15-AB2591))),-1E+030)</f>
        <v>-0.559850547942098</v>
      </c>
      <c r="AE2591" s="55" t="n">
        <f aca="false">IF(AC2591,IF(01_因子設定!$B$13="最大化",X2591,IF(01_因子設定!$B$13="最小化",-X2591,-ABS(X2591-01_因子設定!$B$16))),-1E+030)</f>
        <v>47.5191246345029</v>
      </c>
      <c r="AF2591" s="55" t="n">
        <f aca="false">AD2591+ROW()*0.000000001</f>
        <v>-0.559847956942098</v>
      </c>
      <c r="AG2591" s="55" t="n">
        <f aca="false">AE2591+ROW()*0.000000001</f>
        <v>47.5191272255029</v>
      </c>
    </row>
    <row r="2592" customFormat="false" ht="15" hidden="false" customHeight="false" outlineLevel="0" collapsed="false">
      <c r="A2592" s="0" t="n">
        <v>3</v>
      </c>
      <c r="B2592" s="0" t="n">
        <v>4</v>
      </c>
      <c r="C2592" s="0" t="n">
        <v>8</v>
      </c>
      <c r="D2592" s="0" t="n">
        <v>4</v>
      </c>
      <c r="E2592" s="0" t="n">
        <f aca="false">-1+A2592*0.25</f>
        <v>-0.25</v>
      </c>
      <c r="F2592" s="0" t="n">
        <f aca="false">-1+B2592*0.25</f>
        <v>0</v>
      </c>
      <c r="G2592" s="0" t="n">
        <f aca="false">-1+C2592*0.25</f>
        <v>1</v>
      </c>
      <c r="H2592" s="0" t="n">
        <f aca="false">-1+D2592*0.25</f>
        <v>0</v>
      </c>
      <c r="I2592" s="0" t="n">
        <f aca="false">1</f>
        <v>1</v>
      </c>
      <c r="J2592" s="0" t="n">
        <f aca="false">E2592</f>
        <v>-0.25</v>
      </c>
      <c r="K2592" s="0" t="n">
        <f aca="false">F2592</f>
        <v>0</v>
      </c>
      <c r="L2592" s="0" t="n">
        <f aca="false">G2592</f>
        <v>1</v>
      </c>
      <c r="M2592" s="0" t="n">
        <f aca="false">H2592</f>
        <v>0</v>
      </c>
      <c r="N2592" s="0" t="n">
        <f aca="false">E2592*F2592</f>
        <v>-0</v>
      </c>
      <c r="O2592" s="0" t="n">
        <f aca="false">E2592*G2592</f>
        <v>-0.25</v>
      </c>
      <c r="P2592" s="0" t="n">
        <f aca="false">E2592*H2592</f>
        <v>-0</v>
      </c>
      <c r="Q2592" s="0" t="n">
        <f aca="false">F2592*G2592</f>
        <v>0</v>
      </c>
      <c r="R2592" s="0" t="n">
        <f aca="false">F2592*H2592</f>
        <v>0</v>
      </c>
      <c r="S2592" s="0" t="n">
        <f aca="false">G2592*H2592</f>
        <v>0</v>
      </c>
      <c r="T2592" s="0" t="n">
        <f aca="false">E2592*E2592</f>
        <v>0.0625</v>
      </c>
      <c r="U2592" s="0" t="n">
        <f aca="false">F2592*F2592</f>
        <v>0</v>
      </c>
      <c r="V2592" s="0" t="n">
        <f aca="false">G2592*G2592</f>
        <v>1</v>
      </c>
      <c r="W2592" s="0" t="n">
        <f aca="false">H2592*H2592</f>
        <v>0</v>
      </c>
      <c r="X2592" s="0" t="n">
        <f aca="false">SUMPRODUCT(I2592:W2592,_XtX!$B$96:$P$96)</f>
        <v>47.7084795321637</v>
      </c>
      <c r="Y2592" s="0" t="n">
        <f aca="false">SUMPRODUCT(MMULT(I2592:W2592,_XtX!$B$78:$P$92),I2592:W2592)</f>
        <v>0.476722404970761</v>
      </c>
      <c r="Z2592" s="0" t="n">
        <f aca="false">04_回帰ANOVA!$K$19*04_回帰ANOVA!$K$14*SQRT(1+Y2592)</f>
        <v>1.58397318352695</v>
      </c>
      <c r="AA2592" s="0" t="n">
        <f aca="false">X2592-Z2592</f>
        <v>46.1245063486367</v>
      </c>
      <c r="AB2592" s="0" t="n">
        <f aca="false">X2592+Z2592</f>
        <v>49.2924527156906</v>
      </c>
      <c r="AC2592" s="54" t="b">
        <f aca="false">AND(E2592&gt;=01_因子設定!$L$5-0.000000001,E2592&lt;=01_因子設定!$M$5+0.000000001,F2592&gt;=01_因子設定!$L$6-0.000000001,F2592&lt;=01_因子設定!$M$6+0.000000001,G2592&gt;=01_因子設定!$L$7-0.000000001,G2592&lt;=01_因子設定!$M$7+0.000000001,H2592&gt;=01_因子設定!$L$8-0.000000001,H2592&lt;=01_因子設定!$M$8+0.000000001,IF(01_因子設定!$B$20="Box-Behnken",E2592^2+F2592^2+G2592^2+H2592^2&lt;=2+0.000000001,TRUE()))</f>
        <v>1</v>
      </c>
      <c r="AD2592" s="55" t="n">
        <f aca="false">IF(AC2592,IF(01_因子設定!$B$13="最大化",AA2592-01_因子設定!$B$14,IF(01_因子設定!$B$13="最小化",01_因子設定!$B$15-AB2592,MIN(AA2592-01_因子設定!$B$14,01_因子設定!$B$15-AB2592))),-1E+030)</f>
        <v>-0.375493651363257</v>
      </c>
      <c r="AE2592" s="55" t="n">
        <f aca="false">IF(AC2592,IF(01_因子設定!$B$13="最大化",X2592,IF(01_因子設定!$B$13="最小化",-X2592,-ABS(X2592-01_因子設定!$B$16))),-1E+030)</f>
        <v>47.7084795321637</v>
      </c>
      <c r="AF2592" s="55" t="n">
        <f aca="false">AD2592+ROW()*0.000000001</f>
        <v>-0.375491059363257</v>
      </c>
      <c r="AG2592" s="55" t="n">
        <f aca="false">AE2592+ROW()*0.000000001</f>
        <v>47.7084821241637</v>
      </c>
    </row>
    <row r="2593" customFormat="false" ht="15" hidden="false" customHeight="false" outlineLevel="0" collapsed="false">
      <c r="A2593" s="0" t="n">
        <v>3</v>
      </c>
      <c r="B2593" s="0" t="n">
        <v>4</v>
      </c>
      <c r="C2593" s="0" t="n">
        <v>8</v>
      </c>
      <c r="D2593" s="0" t="n">
        <v>5</v>
      </c>
      <c r="E2593" s="0" t="n">
        <f aca="false">-1+A2593*0.25</f>
        <v>-0.25</v>
      </c>
      <c r="F2593" s="0" t="n">
        <f aca="false">-1+B2593*0.25</f>
        <v>0</v>
      </c>
      <c r="G2593" s="0" t="n">
        <f aca="false">-1+C2593*0.25</f>
        <v>1</v>
      </c>
      <c r="H2593" s="0" t="n">
        <f aca="false">-1+D2593*0.25</f>
        <v>0.25</v>
      </c>
      <c r="I2593" s="0" t="n">
        <f aca="false">1</f>
        <v>1</v>
      </c>
      <c r="J2593" s="0" t="n">
        <f aca="false">E2593</f>
        <v>-0.25</v>
      </c>
      <c r="K2593" s="0" t="n">
        <f aca="false">F2593</f>
        <v>0</v>
      </c>
      <c r="L2593" s="0" t="n">
        <f aca="false">G2593</f>
        <v>1</v>
      </c>
      <c r="M2593" s="0" t="n">
        <f aca="false">H2593</f>
        <v>0.25</v>
      </c>
      <c r="N2593" s="0" t="n">
        <f aca="false">E2593*F2593</f>
        <v>-0</v>
      </c>
      <c r="O2593" s="0" t="n">
        <f aca="false">E2593*G2593</f>
        <v>-0.25</v>
      </c>
      <c r="P2593" s="0" t="n">
        <f aca="false">E2593*H2593</f>
        <v>-0.0625</v>
      </c>
      <c r="Q2593" s="0" t="n">
        <f aca="false">F2593*G2593</f>
        <v>0</v>
      </c>
      <c r="R2593" s="0" t="n">
        <f aca="false">F2593*H2593</f>
        <v>0</v>
      </c>
      <c r="S2593" s="0" t="n">
        <f aca="false">G2593*H2593</f>
        <v>0.25</v>
      </c>
      <c r="T2593" s="0" t="n">
        <f aca="false">E2593*E2593</f>
        <v>0.0625</v>
      </c>
      <c r="U2593" s="0" t="n">
        <f aca="false">F2593*F2593</f>
        <v>0</v>
      </c>
      <c r="V2593" s="0" t="n">
        <f aca="false">G2593*G2593</f>
        <v>1</v>
      </c>
      <c r="W2593" s="0" t="n">
        <f aca="false">H2593*H2593</f>
        <v>0.0625</v>
      </c>
      <c r="X2593" s="0" t="n">
        <f aca="false">SUMPRODUCT(I2593:W2593,_XtX!$B$96:$P$96)</f>
        <v>47.8500274122806</v>
      </c>
      <c r="Y2593" s="0" t="n">
        <f aca="false">SUMPRODUCT(MMULT(I2593:W2593,_XtX!$B$78:$P$92),I2593:W2593)</f>
        <v>0.467417934484649</v>
      </c>
      <c r="Z2593" s="0" t="n">
        <f aca="false">04_回帰ANOVA!$K$19*04_回帰ANOVA!$K$14*SQRT(1+Y2593)</f>
        <v>1.57897518244497</v>
      </c>
      <c r="AA2593" s="0" t="n">
        <f aca="false">X2593-Z2593</f>
        <v>46.2710522298357</v>
      </c>
      <c r="AB2593" s="0" t="n">
        <f aca="false">X2593+Z2593</f>
        <v>49.4290025947256</v>
      </c>
      <c r="AC2593" s="54" t="b">
        <f aca="false">AND(E2593&gt;=01_因子設定!$L$5-0.000000001,E2593&lt;=01_因子設定!$M$5+0.000000001,F2593&gt;=01_因子設定!$L$6-0.000000001,F2593&lt;=01_因子設定!$M$6+0.000000001,G2593&gt;=01_因子設定!$L$7-0.000000001,G2593&lt;=01_因子設定!$M$7+0.000000001,H2593&gt;=01_因子設定!$L$8-0.000000001,H2593&lt;=01_因子設定!$M$8+0.000000001,IF(01_因子設定!$B$20="Box-Behnken",E2593^2+F2593^2+G2593^2+H2593^2&lt;=2+0.000000001,TRUE()))</f>
        <v>1</v>
      </c>
      <c r="AD2593" s="55" t="n">
        <f aca="false">IF(AC2593,IF(01_因子設定!$B$13="最大化",AA2593-01_因子設定!$B$14,IF(01_因子設定!$B$13="最小化",01_因子設定!$B$15-AB2593,MIN(AA2593-01_因子設定!$B$14,01_因子設定!$B$15-AB2593))),-1E+030)</f>
        <v>-0.228947770164325</v>
      </c>
      <c r="AE2593" s="55" t="n">
        <f aca="false">IF(AC2593,IF(01_因子設定!$B$13="最大化",X2593,IF(01_因子設定!$B$13="最小化",-X2593,-ABS(X2593-01_因子設定!$B$16))),-1E+030)</f>
        <v>47.8500274122806</v>
      </c>
      <c r="AF2593" s="55" t="n">
        <f aca="false">AD2593+ROW()*0.000000001</f>
        <v>-0.228945177164325</v>
      </c>
      <c r="AG2593" s="55" t="n">
        <f aca="false">AE2593+ROW()*0.000000001</f>
        <v>47.8500300052806</v>
      </c>
    </row>
    <row r="2594" customFormat="false" ht="15" hidden="false" customHeight="false" outlineLevel="0" collapsed="false">
      <c r="A2594" s="0" t="n">
        <v>3</v>
      </c>
      <c r="B2594" s="0" t="n">
        <v>4</v>
      </c>
      <c r="C2594" s="0" t="n">
        <v>8</v>
      </c>
      <c r="D2594" s="0" t="n">
        <v>6</v>
      </c>
      <c r="E2594" s="0" t="n">
        <f aca="false">-1+A2594*0.25</f>
        <v>-0.25</v>
      </c>
      <c r="F2594" s="0" t="n">
        <f aca="false">-1+B2594*0.25</f>
        <v>0</v>
      </c>
      <c r="G2594" s="0" t="n">
        <f aca="false">-1+C2594*0.25</f>
        <v>1</v>
      </c>
      <c r="H2594" s="0" t="n">
        <f aca="false">-1+D2594*0.25</f>
        <v>0.5</v>
      </c>
      <c r="I2594" s="0" t="n">
        <f aca="false">1</f>
        <v>1</v>
      </c>
      <c r="J2594" s="0" t="n">
        <f aca="false">E2594</f>
        <v>-0.25</v>
      </c>
      <c r="K2594" s="0" t="n">
        <f aca="false">F2594</f>
        <v>0</v>
      </c>
      <c r="L2594" s="0" t="n">
        <f aca="false">G2594</f>
        <v>1</v>
      </c>
      <c r="M2594" s="0" t="n">
        <f aca="false">H2594</f>
        <v>0.5</v>
      </c>
      <c r="N2594" s="0" t="n">
        <f aca="false">E2594*F2594</f>
        <v>-0</v>
      </c>
      <c r="O2594" s="0" t="n">
        <f aca="false">E2594*G2594</f>
        <v>-0.25</v>
      </c>
      <c r="P2594" s="0" t="n">
        <f aca="false">E2594*H2594</f>
        <v>-0.125</v>
      </c>
      <c r="Q2594" s="0" t="n">
        <f aca="false">F2594*G2594</f>
        <v>0</v>
      </c>
      <c r="R2594" s="0" t="n">
        <f aca="false">F2594*H2594</f>
        <v>0</v>
      </c>
      <c r="S2594" s="0" t="n">
        <f aca="false">G2594*H2594</f>
        <v>0.5</v>
      </c>
      <c r="T2594" s="0" t="n">
        <f aca="false">E2594*E2594</f>
        <v>0.0625</v>
      </c>
      <c r="U2594" s="0" t="n">
        <f aca="false">F2594*F2594</f>
        <v>0</v>
      </c>
      <c r="V2594" s="0" t="n">
        <f aca="false">G2594*G2594</f>
        <v>1</v>
      </c>
      <c r="W2594" s="0" t="n">
        <f aca="false">H2594*H2594</f>
        <v>0.25</v>
      </c>
      <c r="X2594" s="0" t="n">
        <f aca="false">SUMPRODUCT(I2594:W2594,_XtX!$B$96:$P$96)</f>
        <v>47.9437682748538</v>
      </c>
      <c r="Y2594" s="0" t="n">
        <f aca="false">SUMPRODUCT(MMULT(I2594:W2594,_XtX!$B$78:$P$92),I2594:W2594)</f>
        <v>0.457596628289474</v>
      </c>
      <c r="Z2594" s="0" t="n">
        <f aca="false">04_回帰ANOVA!$K$19*04_回帰ANOVA!$K$14*SQRT(1+Y2594)</f>
        <v>1.57368233664366</v>
      </c>
      <c r="AA2594" s="0" t="n">
        <f aca="false">X2594-Z2594</f>
        <v>46.3700859382101</v>
      </c>
      <c r="AB2594" s="0" t="n">
        <f aca="false">X2594+Z2594</f>
        <v>49.5174506114974</v>
      </c>
      <c r="AC2594" s="54" t="b">
        <f aca="false">AND(E2594&gt;=01_因子設定!$L$5-0.000000001,E2594&lt;=01_因子設定!$M$5+0.000000001,F2594&gt;=01_因子設定!$L$6-0.000000001,F2594&lt;=01_因子設定!$M$6+0.000000001,G2594&gt;=01_因子設定!$L$7-0.000000001,G2594&lt;=01_因子設定!$M$7+0.000000001,H2594&gt;=01_因子設定!$L$8-0.000000001,H2594&lt;=01_因子設定!$M$8+0.000000001,IF(01_因子設定!$B$20="Box-Behnken",E2594^2+F2594^2+G2594^2+H2594^2&lt;=2+0.000000001,TRUE()))</f>
        <v>1</v>
      </c>
      <c r="AD2594" s="55" t="n">
        <f aca="false">IF(AC2594,IF(01_因子設定!$B$13="最大化",AA2594-01_因子設定!$B$14,IF(01_因子設定!$B$13="最小化",01_因子設定!$B$15-AB2594,MIN(AA2594-01_因子設定!$B$14,01_因子設定!$B$15-AB2594))),-1E+030)</f>
        <v>-0.129914061789904</v>
      </c>
      <c r="AE2594" s="55" t="n">
        <f aca="false">IF(AC2594,IF(01_因子設定!$B$13="最大化",X2594,IF(01_因子設定!$B$13="最小化",-X2594,-ABS(X2594-01_因子設定!$B$16))),-1E+030)</f>
        <v>47.9437682748538</v>
      </c>
      <c r="AF2594" s="55" t="n">
        <f aca="false">AD2594+ROW()*0.000000001</f>
        <v>-0.129911467789904</v>
      </c>
      <c r="AG2594" s="55" t="n">
        <f aca="false">AE2594+ROW()*0.000000001</f>
        <v>47.9437708688538</v>
      </c>
    </row>
    <row r="2595" customFormat="false" ht="15" hidden="false" customHeight="false" outlineLevel="0" collapsed="false">
      <c r="A2595" s="0" t="n">
        <v>3</v>
      </c>
      <c r="B2595" s="0" t="n">
        <v>4</v>
      </c>
      <c r="C2595" s="0" t="n">
        <v>8</v>
      </c>
      <c r="D2595" s="0" t="n">
        <v>7</v>
      </c>
      <c r="E2595" s="0" t="n">
        <f aca="false">-1+A2595*0.25</f>
        <v>-0.25</v>
      </c>
      <c r="F2595" s="0" t="n">
        <f aca="false">-1+B2595*0.25</f>
        <v>0</v>
      </c>
      <c r="G2595" s="0" t="n">
        <f aca="false">-1+C2595*0.25</f>
        <v>1</v>
      </c>
      <c r="H2595" s="0" t="n">
        <f aca="false">-1+D2595*0.25</f>
        <v>0.75</v>
      </c>
      <c r="I2595" s="0" t="n">
        <f aca="false">1</f>
        <v>1</v>
      </c>
      <c r="J2595" s="0" t="n">
        <f aca="false">E2595</f>
        <v>-0.25</v>
      </c>
      <c r="K2595" s="0" t="n">
        <f aca="false">F2595</f>
        <v>0</v>
      </c>
      <c r="L2595" s="0" t="n">
        <f aca="false">G2595</f>
        <v>1</v>
      </c>
      <c r="M2595" s="0" t="n">
        <f aca="false">H2595</f>
        <v>0.75</v>
      </c>
      <c r="N2595" s="0" t="n">
        <f aca="false">E2595*F2595</f>
        <v>-0</v>
      </c>
      <c r="O2595" s="0" t="n">
        <f aca="false">E2595*G2595</f>
        <v>-0.25</v>
      </c>
      <c r="P2595" s="0" t="n">
        <f aca="false">E2595*H2595</f>
        <v>-0.1875</v>
      </c>
      <c r="Q2595" s="0" t="n">
        <f aca="false">F2595*G2595</f>
        <v>0</v>
      </c>
      <c r="R2595" s="0" t="n">
        <f aca="false">F2595*H2595</f>
        <v>0</v>
      </c>
      <c r="S2595" s="0" t="n">
        <f aca="false">G2595*H2595</f>
        <v>0.75</v>
      </c>
      <c r="T2595" s="0" t="n">
        <f aca="false">E2595*E2595</f>
        <v>0.0625</v>
      </c>
      <c r="U2595" s="0" t="n">
        <f aca="false">F2595*F2595</f>
        <v>0</v>
      </c>
      <c r="V2595" s="0" t="n">
        <f aca="false">G2595*G2595</f>
        <v>1</v>
      </c>
      <c r="W2595" s="0" t="n">
        <f aca="false">H2595*H2595</f>
        <v>0.5625</v>
      </c>
      <c r="X2595" s="0" t="n">
        <f aca="false">SUMPRODUCT(I2595:W2595,_XtX!$B$96:$P$96)</f>
        <v>47.989702119883</v>
      </c>
      <c r="Y2595" s="0" t="n">
        <f aca="false">SUMPRODUCT(MMULT(I2595:W2595,_XtX!$B$78:$P$92),I2595:W2595)</f>
        <v>0.501534802174708</v>
      </c>
      <c r="Z2595" s="0" t="n">
        <f aca="false">04_回帰ANOVA!$K$19*04_回帰ANOVA!$K$14*SQRT(1+Y2595)</f>
        <v>1.59722498091333</v>
      </c>
      <c r="AA2595" s="0" t="n">
        <f aca="false">X2595-Z2595</f>
        <v>46.3924771389697</v>
      </c>
      <c r="AB2595" s="0" t="n">
        <f aca="false">X2595+Z2595</f>
        <v>49.5869271007963</v>
      </c>
      <c r="AC2595" s="54" t="b">
        <f aca="false">AND(E2595&gt;=01_因子設定!$L$5-0.000000001,E2595&lt;=01_因子設定!$M$5+0.000000001,F2595&gt;=01_因子設定!$L$6-0.000000001,F2595&lt;=01_因子設定!$M$6+0.000000001,G2595&gt;=01_因子設定!$L$7-0.000000001,G2595&lt;=01_因子設定!$M$7+0.000000001,H2595&gt;=01_因子設定!$L$8-0.000000001,H2595&lt;=01_因子設定!$M$8+0.000000001,IF(01_因子設定!$B$20="Box-Behnken",E2595^2+F2595^2+G2595^2+H2595^2&lt;=2+0.000000001,TRUE()))</f>
        <v>1</v>
      </c>
      <c r="AD2595" s="55" t="n">
        <f aca="false">IF(AC2595,IF(01_因子設定!$B$13="最大化",AA2595-01_因子設定!$B$14,IF(01_因子設定!$B$13="最小化",01_因子設定!$B$15-AB2595,MIN(AA2595-01_因子設定!$B$14,01_因子設定!$B$15-AB2595))),-1E+030)</f>
        <v>-0.107522861030326</v>
      </c>
      <c r="AE2595" s="55" t="n">
        <f aca="false">IF(AC2595,IF(01_因子設定!$B$13="最大化",X2595,IF(01_因子設定!$B$13="最小化",-X2595,-ABS(X2595-01_因子設定!$B$16))),-1E+030)</f>
        <v>47.989702119883</v>
      </c>
      <c r="AF2595" s="55" t="n">
        <f aca="false">AD2595+ROW()*0.000000001</f>
        <v>-0.107520266030326</v>
      </c>
      <c r="AG2595" s="55" t="n">
        <f aca="false">AE2595+ROW()*0.000000001</f>
        <v>47.989704714883</v>
      </c>
    </row>
    <row r="2596" customFormat="false" ht="15" hidden="false" customHeight="false" outlineLevel="0" collapsed="false">
      <c r="A2596" s="0" t="n">
        <v>3</v>
      </c>
      <c r="B2596" s="0" t="n">
        <v>4</v>
      </c>
      <c r="C2596" s="0" t="n">
        <v>8</v>
      </c>
      <c r="D2596" s="0" t="n">
        <v>8</v>
      </c>
      <c r="E2596" s="0" t="n">
        <f aca="false">-1+A2596*0.25</f>
        <v>-0.25</v>
      </c>
      <c r="F2596" s="0" t="n">
        <f aca="false">-1+B2596*0.25</f>
        <v>0</v>
      </c>
      <c r="G2596" s="0" t="n">
        <f aca="false">-1+C2596*0.25</f>
        <v>1</v>
      </c>
      <c r="H2596" s="0" t="n">
        <f aca="false">-1+D2596*0.25</f>
        <v>1</v>
      </c>
      <c r="I2596" s="0" t="n">
        <f aca="false">1</f>
        <v>1</v>
      </c>
      <c r="J2596" s="0" t="n">
        <f aca="false">E2596</f>
        <v>-0.25</v>
      </c>
      <c r="K2596" s="0" t="n">
        <f aca="false">F2596</f>
        <v>0</v>
      </c>
      <c r="L2596" s="0" t="n">
        <f aca="false">G2596</f>
        <v>1</v>
      </c>
      <c r="M2596" s="0" t="n">
        <f aca="false">H2596</f>
        <v>1</v>
      </c>
      <c r="N2596" s="0" t="n">
        <f aca="false">E2596*F2596</f>
        <v>-0</v>
      </c>
      <c r="O2596" s="0" t="n">
        <f aca="false">E2596*G2596</f>
        <v>-0.25</v>
      </c>
      <c r="P2596" s="0" t="n">
        <f aca="false">E2596*H2596</f>
        <v>-0.25</v>
      </c>
      <c r="Q2596" s="0" t="n">
        <f aca="false">F2596*G2596</f>
        <v>0</v>
      </c>
      <c r="R2596" s="0" t="n">
        <f aca="false">F2596*H2596</f>
        <v>0</v>
      </c>
      <c r="S2596" s="0" t="n">
        <f aca="false">G2596*H2596</f>
        <v>1</v>
      </c>
      <c r="T2596" s="0" t="n">
        <f aca="false">E2596*E2596</f>
        <v>0.0625</v>
      </c>
      <c r="U2596" s="0" t="n">
        <f aca="false">F2596*F2596</f>
        <v>0</v>
      </c>
      <c r="V2596" s="0" t="n">
        <f aca="false">G2596*G2596</f>
        <v>1</v>
      </c>
      <c r="W2596" s="0" t="n">
        <f aca="false">H2596*H2596</f>
        <v>1</v>
      </c>
      <c r="X2596" s="0" t="n">
        <f aca="false">SUMPRODUCT(I2596:W2596,_XtX!$B$96:$P$96)</f>
        <v>47.9878289473684</v>
      </c>
      <c r="Y2596" s="0" t="n">
        <f aca="false">SUMPRODUCT(MMULT(I2596:W2596,_XtX!$B$78:$P$92),I2596:W2596)</f>
        <v>0.689692982456141</v>
      </c>
      <c r="Z2596" s="0" t="n">
        <f aca="false">04_回帰ANOVA!$K$19*04_回帰ANOVA!$K$14*SQRT(1+Y2596)</f>
        <v>1.69434674594998</v>
      </c>
      <c r="AA2596" s="0" t="n">
        <f aca="false">X2596-Z2596</f>
        <v>46.2934822014184</v>
      </c>
      <c r="AB2596" s="0" t="n">
        <f aca="false">X2596+Z2596</f>
        <v>49.6821756933184</v>
      </c>
      <c r="AC2596" s="54" t="b">
        <f aca="false">AND(E2596&gt;=01_因子設定!$L$5-0.000000001,E2596&lt;=01_因子設定!$M$5+0.000000001,F2596&gt;=01_因子設定!$L$6-0.000000001,F2596&lt;=01_因子設定!$M$6+0.000000001,G2596&gt;=01_因子設定!$L$7-0.000000001,G2596&lt;=01_因子設定!$M$7+0.000000001,H2596&gt;=01_因子設定!$L$8-0.000000001,H2596&lt;=01_因子設定!$M$8+0.000000001,IF(01_因子設定!$B$20="Box-Behnken",E2596^2+F2596^2+G2596^2+H2596^2&lt;=2+0.000000001,TRUE()))</f>
        <v>1</v>
      </c>
      <c r="AD2596" s="55" t="n">
        <f aca="false">IF(AC2596,IF(01_因子設定!$B$13="最大化",AA2596-01_因子設定!$B$14,IF(01_因子設定!$B$13="最小化",01_因子設定!$B$15-AB2596,MIN(AA2596-01_因子設定!$B$14,01_因子設定!$B$15-AB2596))),-1E+030)</f>
        <v>-0.206517798581586</v>
      </c>
      <c r="AE2596" s="55" t="n">
        <f aca="false">IF(AC2596,IF(01_因子設定!$B$13="最大化",X2596,IF(01_因子設定!$B$13="最小化",-X2596,-ABS(X2596-01_因子設定!$B$16))),-1E+030)</f>
        <v>47.9878289473684</v>
      </c>
      <c r="AF2596" s="55" t="n">
        <f aca="false">AD2596+ROW()*0.000000001</f>
        <v>-0.206515202581586</v>
      </c>
      <c r="AG2596" s="55" t="n">
        <f aca="false">AE2596+ROW()*0.000000001</f>
        <v>47.9878315433684</v>
      </c>
    </row>
    <row r="2597" customFormat="false" ht="15" hidden="false" customHeight="false" outlineLevel="0" collapsed="false">
      <c r="A2597" s="0" t="n">
        <v>3</v>
      </c>
      <c r="B2597" s="0" t="n">
        <v>5</v>
      </c>
      <c r="C2597" s="0" t="n">
        <v>0</v>
      </c>
      <c r="D2597" s="0" t="n">
        <v>0</v>
      </c>
      <c r="E2597" s="0" t="n">
        <f aca="false">-1+A2597*0.25</f>
        <v>-0.25</v>
      </c>
      <c r="F2597" s="0" t="n">
        <f aca="false">-1+B2597*0.25</f>
        <v>0.25</v>
      </c>
      <c r="G2597" s="0" t="n">
        <f aca="false">-1+C2597*0.25</f>
        <v>-1</v>
      </c>
      <c r="H2597" s="0" t="n">
        <f aca="false">-1+D2597*0.25</f>
        <v>-1</v>
      </c>
      <c r="I2597" s="0" t="n">
        <f aca="false">1</f>
        <v>1</v>
      </c>
      <c r="J2597" s="0" t="n">
        <f aca="false">E2597</f>
        <v>-0.25</v>
      </c>
      <c r="K2597" s="0" t="n">
        <f aca="false">F2597</f>
        <v>0.25</v>
      </c>
      <c r="L2597" s="0" t="n">
        <f aca="false">G2597</f>
        <v>-1</v>
      </c>
      <c r="M2597" s="0" t="n">
        <f aca="false">H2597</f>
        <v>-1</v>
      </c>
      <c r="N2597" s="0" t="n">
        <f aca="false">E2597*F2597</f>
        <v>-0.0625</v>
      </c>
      <c r="O2597" s="0" t="n">
        <f aca="false">E2597*G2597</f>
        <v>0.25</v>
      </c>
      <c r="P2597" s="0" t="n">
        <f aca="false">E2597*H2597</f>
        <v>0.25</v>
      </c>
      <c r="Q2597" s="0" t="n">
        <f aca="false">F2597*G2597</f>
        <v>-0.25</v>
      </c>
      <c r="R2597" s="0" t="n">
        <f aca="false">F2597*H2597</f>
        <v>-0.25</v>
      </c>
      <c r="S2597" s="0" t="n">
        <f aca="false">G2597*H2597</f>
        <v>1</v>
      </c>
      <c r="T2597" s="0" t="n">
        <f aca="false">E2597*E2597</f>
        <v>0.0625</v>
      </c>
      <c r="U2597" s="0" t="n">
        <f aca="false">F2597*F2597</f>
        <v>0.0625</v>
      </c>
      <c r="V2597" s="0" t="n">
        <f aca="false">G2597*G2597</f>
        <v>1</v>
      </c>
      <c r="W2597" s="0" t="n">
        <f aca="false">H2597*H2597</f>
        <v>1</v>
      </c>
      <c r="X2597" s="0" t="n">
        <f aca="false">SUMPRODUCT(I2597:W2597,_XtX!$B$96:$P$96)</f>
        <v>45.2144462719298</v>
      </c>
      <c r="Y2597" s="0" t="n">
        <f aca="false">SUMPRODUCT(MMULT(I2597:W2597,_XtX!$B$78:$P$92),I2597:W2597)</f>
        <v>0.670040376005117</v>
      </c>
      <c r="Z2597" s="0" t="n">
        <f aca="false">04_回帰ANOVA!$K$19*04_回帰ANOVA!$K$14*SQRT(1+Y2597)</f>
        <v>1.68446456039992</v>
      </c>
      <c r="AA2597" s="0" t="n">
        <f aca="false">X2597-Z2597</f>
        <v>43.5299817115299</v>
      </c>
      <c r="AB2597" s="0" t="n">
        <f aca="false">X2597+Z2597</f>
        <v>46.8989108323297</v>
      </c>
      <c r="AC2597" s="54" t="b">
        <f aca="false">AND(E2597&gt;=01_因子設定!$L$5-0.000000001,E2597&lt;=01_因子設定!$M$5+0.000000001,F2597&gt;=01_因子設定!$L$6-0.000000001,F2597&lt;=01_因子設定!$M$6+0.000000001,G2597&gt;=01_因子設定!$L$7-0.000000001,G2597&lt;=01_因子設定!$M$7+0.000000001,H2597&gt;=01_因子設定!$L$8-0.000000001,H2597&lt;=01_因子設定!$M$8+0.000000001,IF(01_因子設定!$B$20="Box-Behnken",E2597^2+F2597^2+G2597^2+H2597^2&lt;=2+0.000000001,TRUE()))</f>
        <v>1</v>
      </c>
      <c r="AD2597" s="55" t="n">
        <f aca="false">IF(AC2597,IF(01_因子設定!$B$13="最大化",AA2597-01_因子設定!$B$14,IF(01_因子設定!$B$13="最小化",01_因子設定!$B$15-AB2597,MIN(AA2597-01_因子設定!$B$14,01_因子設定!$B$15-AB2597))),-1E+030)</f>
        <v>-2.97001828847011</v>
      </c>
      <c r="AE2597" s="55" t="n">
        <f aca="false">IF(AC2597,IF(01_因子設定!$B$13="最大化",X2597,IF(01_因子設定!$B$13="最小化",-X2597,-ABS(X2597-01_因子設定!$B$16))),-1E+030)</f>
        <v>45.2144462719298</v>
      </c>
      <c r="AF2597" s="55" t="n">
        <f aca="false">AD2597+ROW()*0.000000001</f>
        <v>-2.97001569147011</v>
      </c>
      <c r="AG2597" s="55" t="n">
        <f aca="false">AE2597+ROW()*0.000000001</f>
        <v>45.2144488689298</v>
      </c>
    </row>
    <row r="2598" customFormat="false" ht="15" hidden="false" customHeight="false" outlineLevel="0" collapsed="false">
      <c r="A2598" s="0" t="n">
        <v>3</v>
      </c>
      <c r="B2598" s="0" t="n">
        <v>5</v>
      </c>
      <c r="C2598" s="0" t="n">
        <v>0</v>
      </c>
      <c r="D2598" s="0" t="n">
        <v>1</v>
      </c>
      <c r="E2598" s="0" t="n">
        <f aca="false">-1+A2598*0.25</f>
        <v>-0.25</v>
      </c>
      <c r="F2598" s="0" t="n">
        <f aca="false">-1+B2598*0.25</f>
        <v>0.25</v>
      </c>
      <c r="G2598" s="0" t="n">
        <f aca="false">-1+C2598*0.25</f>
        <v>-1</v>
      </c>
      <c r="H2598" s="0" t="n">
        <f aca="false">-1+D2598*0.25</f>
        <v>-0.75</v>
      </c>
      <c r="I2598" s="0" t="n">
        <f aca="false">1</f>
        <v>1</v>
      </c>
      <c r="J2598" s="0" t="n">
        <f aca="false">E2598</f>
        <v>-0.25</v>
      </c>
      <c r="K2598" s="0" t="n">
        <f aca="false">F2598</f>
        <v>0.25</v>
      </c>
      <c r="L2598" s="0" t="n">
        <f aca="false">G2598</f>
        <v>-1</v>
      </c>
      <c r="M2598" s="0" t="n">
        <f aca="false">H2598</f>
        <v>-0.75</v>
      </c>
      <c r="N2598" s="0" t="n">
        <f aca="false">E2598*F2598</f>
        <v>-0.0625</v>
      </c>
      <c r="O2598" s="0" t="n">
        <f aca="false">E2598*G2598</f>
        <v>0.25</v>
      </c>
      <c r="P2598" s="0" t="n">
        <f aca="false">E2598*H2598</f>
        <v>0.1875</v>
      </c>
      <c r="Q2598" s="0" t="n">
        <f aca="false">F2598*G2598</f>
        <v>-0.25</v>
      </c>
      <c r="R2598" s="0" t="n">
        <f aca="false">F2598*H2598</f>
        <v>-0.1875</v>
      </c>
      <c r="S2598" s="0" t="n">
        <f aca="false">G2598*H2598</f>
        <v>0.75</v>
      </c>
      <c r="T2598" s="0" t="n">
        <f aca="false">E2598*E2598</f>
        <v>0.0625</v>
      </c>
      <c r="U2598" s="0" t="n">
        <f aca="false">F2598*F2598</f>
        <v>0.0625</v>
      </c>
      <c r="V2598" s="0" t="n">
        <f aca="false">G2598*G2598</f>
        <v>1</v>
      </c>
      <c r="W2598" s="0" t="n">
        <f aca="false">H2598*H2598</f>
        <v>0.5625</v>
      </c>
      <c r="X2598" s="0" t="n">
        <f aca="false">SUMPRODUCT(I2598:W2598,_XtX!$B$96:$P$96)</f>
        <v>45.3901909722222</v>
      </c>
      <c r="Y2598" s="0" t="n">
        <f aca="false">SUMPRODUCT(MMULT(I2598:W2598,_XtX!$B$78:$P$92),I2598:W2598)</f>
        <v>0.486409505208334</v>
      </c>
      <c r="Z2598" s="0" t="n">
        <f aca="false">04_回帰ANOVA!$K$19*04_回帰ANOVA!$K$14*SQRT(1+Y2598)</f>
        <v>1.58916001665498</v>
      </c>
      <c r="AA2598" s="0" t="n">
        <f aca="false">X2598-Z2598</f>
        <v>43.8010309555672</v>
      </c>
      <c r="AB2598" s="0" t="n">
        <f aca="false">X2598+Z2598</f>
        <v>46.9793509888772</v>
      </c>
      <c r="AC2598" s="54" t="b">
        <f aca="false">AND(E2598&gt;=01_因子設定!$L$5-0.000000001,E2598&lt;=01_因子設定!$M$5+0.000000001,F2598&gt;=01_因子設定!$L$6-0.000000001,F2598&lt;=01_因子設定!$M$6+0.000000001,G2598&gt;=01_因子設定!$L$7-0.000000001,G2598&lt;=01_因子設定!$M$7+0.000000001,H2598&gt;=01_因子設定!$L$8-0.000000001,H2598&lt;=01_因子設定!$M$8+0.000000001,IF(01_因子設定!$B$20="Box-Behnken",E2598^2+F2598^2+G2598^2+H2598^2&lt;=2+0.000000001,TRUE()))</f>
        <v>1</v>
      </c>
      <c r="AD2598" s="55" t="n">
        <f aca="false">IF(AC2598,IF(01_因子設定!$B$13="最大化",AA2598-01_因子設定!$B$14,IF(01_因子設定!$B$13="最小化",01_因子設定!$B$15-AB2598,MIN(AA2598-01_因子設定!$B$14,01_因子設定!$B$15-AB2598))),-1E+030)</f>
        <v>-2.69896904443279</v>
      </c>
      <c r="AE2598" s="55" t="n">
        <f aca="false">IF(AC2598,IF(01_因子設定!$B$13="最大化",X2598,IF(01_因子設定!$B$13="最小化",-X2598,-ABS(X2598-01_因子設定!$B$16))),-1E+030)</f>
        <v>45.3901909722222</v>
      </c>
      <c r="AF2598" s="55" t="n">
        <f aca="false">AD2598+ROW()*0.000000001</f>
        <v>-2.69896644643279</v>
      </c>
      <c r="AG2598" s="55" t="n">
        <f aca="false">AE2598+ROW()*0.000000001</f>
        <v>45.3901935702222</v>
      </c>
    </row>
    <row r="2599" customFormat="false" ht="15" hidden="false" customHeight="false" outlineLevel="0" collapsed="false">
      <c r="A2599" s="0" t="n">
        <v>3</v>
      </c>
      <c r="B2599" s="0" t="n">
        <v>5</v>
      </c>
      <c r="C2599" s="0" t="n">
        <v>0</v>
      </c>
      <c r="D2599" s="0" t="n">
        <v>2</v>
      </c>
      <c r="E2599" s="0" t="n">
        <f aca="false">-1+A2599*0.25</f>
        <v>-0.25</v>
      </c>
      <c r="F2599" s="0" t="n">
        <f aca="false">-1+B2599*0.25</f>
        <v>0.25</v>
      </c>
      <c r="G2599" s="0" t="n">
        <f aca="false">-1+C2599*0.25</f>
        <v>-1</v>
      </c>
      <c r="H2599" s="0" t="n">
        <f aca="false">-1+D2599*0.25</f>
        <v>-0.5</v>
      </c>
      <c r="I2599" s="0" t="n">
        <f aca="false">1</f>
        <v>1</v>
      </c>
      <c r="J2599" s="0" t="n">
        <f aca="false">E2599</f>
        <v>-0.25</v>
      </c>
      <c r="K2599" s="0" t="n">
        <f aca="false">F2599</f>
        <v>0.25</v>
      </c>
      <c r="L2599" s="0" t="n">
        <f aca="false">G2599</f>
        <v>-1</v>
      </c>
      <c r="M2599" s="0" t="n">
        <f aca="false">H2599</f>
        <v>-0.5</v>
      </c>
      <c r="N2599" s="0" t="n">
        <f aca="false">E2599*F2599</f>
        <v>-0.0625</v>
      </c>
      <c r="O2599" s="0" t="n">
        <f aca="false">E2599*G2599</f>
        <v>0.25</v>
      </c>
      <c r="P2599" s="0" t="n">
        <f aca="false">E2599*H2599</f>
        <v>0.125</v>
      </c>
      <c r="Q2599" s="0" t="n">
        <f aca="false">F2599*G2599</f>
        <v>-0.25</v>
      </c>
      <c r="R2599" s="0" t="n">
        <f aca="false">F2599*H2599</f>
        <v>-0.125</v>
      </c>
      <c r="S2599" s="0" t="n">
        <f aca="false">G2599*H2599</f>
        <v>0.5</v>
      </c>
      <c r="T2599" s="0" t="n">
        <f aca="false">E2599*E2599</f>
        <v>0.0625</v>
      </c>
      <c r="U2599" s="0" t="n">
        <f aca="false">F2599*F2599</f>
        <v>0.0625</v>
      </c>
      <c r="V2599" s="0" t="n">
        <f aca="false">G2599*G2599</f>
        <v>1</v>
      </c>
      <c r="W2599" s="0" t="n">
        <f aca="false">H2599*H2599</f>
        <v>0.25</v>
      </c>
      <c r="X2599" s="0" t="n">
        <f aca="false">SUMPRODUCT(I2599:W2599,_XtX!$B$96:$P$96)</f>
        <v>45.5181286549707</v>
      </c>
      <c r="Y2599" s="0" t="n">
        <f aca="false">SUMPRODUCT(MMULT(I2599:W2599,_XtX!$B$78:$P$92),I2599:W2599)</f>
        <v>0.445705123812135</v>
      </c>
      <c r="Z2599" s="0" t="n">
        <f aca="false">04_回帰ANOVA!$K$19*04_回帰ANOVA!$K$14*SQRT(1+Y2599)</f>
        <v>1.56724990734749</v>
      </c>
      <c r="AA2599" s="0" t="n">
        <f aca="false">X2599-Z2599</f>
        <v>43.9508787476232</v>
      </c>
      <c r="AB2599" s="0" t="n">
        <f aca="false">X2599+Z2599</f>
        <v>47.0853785623182</v>
      </c>
      <c r="AC2599" s="54" t="b">
        <f aca="false">AND(E2599&gt;=01_因子設定!$L$5-0.000000001,E2599&lt;=01_因子設定!$M$5+0.000000001,F2599&gt;=01_因子設定!$L$6-0.000000001,F2599&lt;=01_因子設定!$M$6+0.000000001,G2599&gt;=01_因子設定!$L$7-0.000000001,G2599&lt;=01_因子設定!$M$7+0.000000001,H2599&gt;=01_因子設定!$L$8-0.000000001,H2599&lt;=01_因子設定!$M$8+0.000000001,IF(01_因子設定!$B$20="Box-Behnken",E2599^2+F2599^2+G2599^2+H2599^2&lt;=2+0.000000001,TRUE()))</f>
        <v>1</v>
      </c>
      <c r="AD2599" s="55" t="n">
        <f aca="false">IF(AC2599,IF(01_因子設定!$B$13="最大化",AA2599-01_因子設定!$B$14,IF(01_因子設定!$B$13="最小化",01_因子設定!$B$15-AB2599,MIN(AA2599-01_因子設定!$B$14,01_因子設定!$B$15-AB2599))),-1E+030)</f>
        <v>-2.54912125237677</v>
      </c>
      <c r="AE2599" s="55" t="n">
        <f aca="false">IF(AC2599,IF(01_因子設定!$B$13="最大化",X2599,IF(01_因子設定!$B$13="最小化",-X2599,-ABS(X2599-01_因子設定!$B$16))),-1E+030)</f>
        <v>45.5181286549707</v>
      </c>
      <c r="AF2599" s="55" t="n">
        <f aca="false">AD2599+ROW()*0.000000001</f>
        <v>-2.54911865337677</v>
      </c>
      <c r="AG2599" s="55" t="n">
        <f aca="false">AE2599+ROW()*0.000000001</f>
        <v>45.5181312539707</v>
      </c>
    </row>
    <row r="2600" customFormat="false" ht="15" hidden="false" customHeight="false" outlineLevel="0" collapsed="false">
      <c r="A2600" s="0" t="n">
        <v>3</v>
      </c>
      <c r="B2600" s="0" t="n">
        <v>5</v>
      </c>
      <c r="C2600" s="0" t="n">
        <v>0</v>
      </c>
      <c r="D2600" s="0" t="n">
        <v>3</v>
      </c>
      <c r="E2600" s="0" t="n">
        <f aca="false">-1+A2600*0.25</f>
        <v>-0.25</v>
      </c>
      <c r="F2600" s="0" t="n">
        <f aca="false">-1+B2600*0.25</f>
        <v>0.25</v>
      </c>
      <c r="G2600" s="0" t="n">
        <f aca="false">-1+C2600*0.25</f>
        <v>-1</v>
      </c>
      <c r="H2600" s="0" t="n">
        <f aca="false">-1+D2600*0.25</f>
        <v>-0.25</v>
      </c>
      <c r="I2600" s="0" t="n">
        <f aca="false">1</f>
        <v>1</v>
      </c>
      <c r="J2600" s="0" t="n">
        <f aca="false">E2600</f>
        <v>-0.25</v>
      </c>
      <c r="K2600" s="0" t="n">
        <f aca="false">F2600</f>
        <v>0.25</v>
      </c>
      <c r="L2600" s="0" t="n">
        <f aca="false">G2600</f>
        <v>-1</v>
      </c>
      <c r="M2600" s="0" t="n">
        <f aca="false">H2600</f>
        <v>-0.25</v>
      </c>
      <c r="N2600" s="0" t="n">
        <f aca="false">E2600*F2600</f>
        <v>-0.0625</v>
      </c>
      <c r="O2600" s="0" t="n">
        <f aca="false">E2600*G2600</f>
        <v>0.25</v>
      </c>
      <c r="P2600" s="0" t="n">
        <f aca="false">E2600*H2600</f>
        <v>0.0625</v>
      </c>
      <c r="Q2600" s="0" t="n">
        <f aca="false">F2600*G2600</f>
        <v>-0.25</v>
      </c>
      <c r="R2600" s="0" t="n">
        <f aca="false">F2600*H2600</f>
        <v>-0.0625</v>
      </c>
      <c r="S2600" s="0" t="n">
        <f aca="false">G2600*H2600</f>
        <v>0.25</v>
      </c>
      <c r="T2600" s="0" t="n">
        <f aca="false">E2600*E2600</f>
        <v>0.0625</v>
      </c>
      <c r="U2600" s="0" t="n">
        <f aca="false">F2600*F2600</f>
        <v>0.0625</v>
      </c>
      <c r="V2600" s="0" t="n">
        <f aca="false">G2600*G2600</f>
        <v>1</v>
      </c>
      <c r="W2600" s="0" t="n">
        <f aca="false">H2600*H2600</f>
        <v>0.0625</v>
      </c>
      <c r="X2600" s="0" t="n">
        <f aca="false">SUMPRODUCT(I2600:W2600,_XtX!$B$96:$P$96)</f>
        <v>45.5982593201754</v>
      </c>
      <c r="Y2600" s="0" t="n">
        <f aca="false">SUMPRODUCT(MMULT(I2600:W2600,_XtX!$B$78:$P$92),I2600:W2600)</f>
        <v>0.457466705500731</v>
      </c>
      <c r="Z2600" s="0" t="n">
        <f aca="false">04_回帰ANOVA!$K$19*04_回帰ANOVA!$K$14*SQRT(1+Y2600)</f>
        <v>1.57361220003999</v>
      </c>
      <c r="AA2600" s="0" t="n">
        <f aca="false">X2600-Z2600</f>
        <v>44.0246471201354</v>
      </c>
      <c r="AB2600" s="0" t="n">
        <f aca="false">X2600+Z2600</f>
        <v>47.1718715202154</v>
      </c>
      <c r="AC2600" s="54" t="b">
        <f aca="false">AND(E2600&gt;=01_因子設定!$L$5-0.000000001,E2600&lt;=01_因子設定!$M$5+0.000000001,F2600&gt;=01_因子設定!$L$6-0.000000001,F2600&lt;=01_因子設定!$M$6+0.000000001,G2600&gt;=01_因子設定!$L$7-0.000000001,G2600&lt;=01_因子設定!$M$7+0.000000001,H2600&gt;=01_因子設定!$L$8-0.000000001,H2600&lt;=01_因子設定!$M$8+0.000000001,IF(01_因子設定!$B$20="Box-Behnken",E2600^2+F2600^2+G2600^2+H2600^2&lt;=2+0.000000001,TRUE()))</f>
        <v>1</v>
      </c>
      <c r="AD2600" s="55" t="n">
        <f aca="false">IF(AC2600,IF(01_因子設定!$B$13="最大化",AA2600-01_因子設定!$B$14,IF(01_因子設定!$B$13="最小化",01_因子設定!$B$15-AB2600,MIN(AA2600-01_因子設定!$B$14,01_因子設定!$B$15-AB2600))),-1E+030)</f>
        <v>-2.47535287986461</v>
      </c>
      <c r="AE2600" s="55" t="n">
        <f aca="false">IF(AC2600,IF(01_因子設定!$B$13="最大化",X2600,IF(01_因子設定!$B$13="最小化",-X2600,-ABS(X2600-01_因子設定!$B$16))),-1E+030)</f>
        <v>45.5982593201754</v>
      </c>
      <c r="AF2600" s="55" t="n">
        <f aca="false">AD2600+ROW()*0.000000001</f>
        <v>-2.47535027986461</v>
      </c>
      <c r="AG2600" s="55" t="n">
        <f aca="false">AE2600+ROW()*0.000000001</f>
        <v>45.5982619201754</v>
      </c>
    </row>
    <row r="2601" customFormat="false" ht="15" hidden="false" customHeight="false" outlineLevel="0" collapsed="false">
      <c r="A2601" s="0" t="n">
        <v>3</v>
      </c>
      <c r="B2601" s="0" t="n">
        <v>5</v>
      </c>
      <c r="C2601" s="0" t="n">
        <v>0</v>
      </c>
      <c r="D2601" s="0" t="n">
        <v>4</v>
      </c>
      <c r="E2601" s="0" t="n">
        <f aca="false">-1+A2601*0.25</f>
        <v>-0.25</v>
      </c>
      <c r="F2601" s="0" t="n">
        <f aca="false">-1+B2601*0.25</f>
        <v>0.25</v>
      </c>
      <c r="G2601" s="0" t="n">
        <f aca="false">-1+C2601*0.25</f>
        <v>-1</v>
      </c>
      <c r="H2601" s="0" t="n">
        <f aca="false">-1+D2601*0.25</f>
        <v>0</v>
      </c>
      <c r="I2601" s="0" t="n">
        <f aca="false">1</f>
        <v>1</v>
      </c>
      <c r="J2601" s="0" t="n">
        <f aca="false">E2601</f>
        <v>-0.25</v>
      </c>
      <c r="K2601" s="0" t="n">
        <f aca="false">F2601</f>
        <v>0.25</v>
      </c>
      <c r="L2601" s="0" t="n">
        <f aca="false">G2601</f>
        <v>-1</v>
      </c>
      <c r="M2601" s="0" t="n">
        <f aca="false">H2601</f>
        <v>0</v>
      </c>
      <c r="N2601" s="0" t="n">
        <f aca="false">E2601*F2601</f>
        <v>-0.0625</v>
      </c>
      <c r="O2601" s="0" t="n">
        <f aca="false">E2601*G2601</f>
        <v>0.25</v>
      </c>
      <c r="P2601" s="0" t="n">
        <f aca="false">E2601*H2601</f>
        <v>-0</v>
      </c>
      <c r="Q2601" s="0" t="n">
        <f aca="false">F2601*G2601</f>
        <v>-0.25</v>
      </c>
      <c r="R2601" s="0" t="n">
        <f aca="false">F2601*H2601</f>
        <v>0</v>
      </c>
      <c r="S2601" s="0" t="n">
        <f aca="false">G2601*H2601</f>
        <v>-0</v>
      </c>
      <c r="T2601" s="0" t="n">
        <f aca="false">E2601*E2601</f>
        <v>0.0625</v>
      </c>
      <c r="U2601" s="0" t="n">
        <f aca="false">F2601*F2601</f>
        <v>0.0625</v>
      </c>
      <c r="V2601" s="0" t="n">
        <f aca="false">G2601*G2601</f>
        <v>1</v>
      </c>
      <c r="W2601" s="0" t="n">
        <f aca="false">H2601*H2601</f>
        <v>0</v>
      </c>
      <c r="X2601" s="0" t="n">
        <f aca="false">SUMPRODUCT(I2601:W2601,_XtX!$B$96:$P$96)</f>
        <v>45.6305829678362</v>
      </c>
      <c r="Y2601" s="0" t="n">
        <f aca="false">SUMPRODUCT(MMULT(I2601:W2601,_XtX!$B$78:$P$92),I2601:W2601)</f>
        <v>0.467417934484649</v>
      </c>
      <c r="Z2601" s="0" t="n">
        <f aca="false">04_回帰ANOVA!$K$19*04_回帰ANOVA!$K$14*SQRT(1+Y2601)</f>
        <v>1.57897518244497</v>
      </c>
      <c r="AA2601" s="0" t="n">
        <f aca="false">X2601-Z2601</f>
        <v>44.0516077853912</v>
      </c>
      <c r="AB2601" s="0" t="n">
        <f aca="false">X2601+Z2601</f>
        <v>47.2095581502812</v>
      </c>
      <c r="AC2601" s="54" t="b">
        <f aca="false">AND(E2601&gt;=01_因子設定!$L$5-0.000000001,E2601&lt;=01_因子設定!$M$5+0.000000001,F2601&gt;=01_因子設定!$L$6-0.000000001,F2601&lt;=01_因子設定!$M$6+0.000000001,G2601&gt;=01_因子設定!$L$7-0.000000001,G2601&lt;=01_因子設定!$M$7+0.000000001,H2601&gt;=01_因子設定!$L$8-0.000000001,H2601&lt;=01_因子設定!$M$8+0.000000001,IF(01_因子設定!$B$20="Box-Behnken",E2601^2+F2601^2+G2601^2+H2601^2&lt;=2+0.000000001,TRUE()))</f>
        <v>1</v>
      </c>
      <c r="AD2601" s="55" t="n">
        <f aca="false">IF(AC2601,IF(01_因子設定!$B$13="最大化",AA2601-01_因子設定!$B$14,IF(01_因子設定!$B$13="最小化",01_因子設定!$B$15-AB2601,MIN(AA2601-01_因子設定!$B$14,01_因子設定!$B$15-AB2601))),-1E+030)</f>
        <v>-2.44839221460877</v>
      </c>
      <c r="AE2601" s="55" t="n">
        <f aca="false">IF(AC2601,IF(01_因子設定!$B$13="最大化",X2601,IF(01_因子設定!$B$13="最小化",-X2601,-ABS(X2601-01_因子設定!$B$16))),-1E+030)</f>
        <v>45.6305829678362</v>
      </c>
      <c r="AF2601" s="55" t="n">
        <f aca="false">AD2601+ROW()*0.000000001</f>
        <v>-2.44838961360877</v>
      </c>
      <c r="AG2601" s="55" t="n">
        <f aca="false">AE2601+ROW()*0.000000001</f>
        <v>45.6305855688362</v>
      </c>
    </row>
    <row r="2602" customFormat="false" ht="15" hidden="false" customHeight="false" outlineLevel="0" collapsed="false">
      <c r="A2602" s="0" t="n">
        <v>3</v>
      </c>
      <c r="B2602" s="0" t="n">
        <v>5</v>
      </c>
      <c r="C2602" s="0" t="n">
        <v>0</v>
      </c>
      <c r="D2602" s="0" t="n">
        <v>5</v>
      </c>
      <c r="E2602" s="0" t="n">
        <f aca="false">-1+A2602*0.25</f>
        <v>-0.25</v>
      </c>
      <c r="F2602" s="0" t="n">
        <f aca="false">-1+B2602*0.25</f>
        <v>0.25</v>
      </c>
      <c r="G2602" s="0" t="n">
        <f aca="false">-1+C2602*0.25</f>
        <v>-1</v>
      </c>
      <c r="H2602" s="0" t="n">
        <f aca="false">-1+D2602*0.25</f>
        <v>0.25</v>
      </c>
      <c r="I2602" s="0" t="n">
        <f aca="false">1</f>
        <v>1</v>
      </c>
      <c r="J2602" s="0" t="n">
        <f aca="false">E2602</f>
        <v>-0.25</v>
      </c>
      <c r="K2602" s="0" t="n">
        <f aca="false">F2602</f>
        <v>0.25</v>
      </c>
      <c r="L2602" s="0" t="n">
        <f aca="false">G2602</f>
        <v>-1</v>
      </c>
      <c r="M2602" s="0" t="n">
        <f aca="false">H2602</f>
        <v>0.25</v>
      </c>
      <c r="N2602" s="0" t="n">
        <f aca="false">E2602*F2602</f>
        <v>-0.0625</v>
      </c>
      <c r="O2602" s="0" t="n">
        <f aca="false">E2602*G2602</f>
        <v>0.25</v>
      </c>
      <c r="P2602" s="0" t="n">
        <f aca="false">E2602*H2602</f>
        <v>-0.0625</v>
      </c>
      <c r="Q2602" s="0" t="n">
        <f aca="false">F2602*G2602</f>
        <v>-0.25</v>
      </c>
      <c r="R2602" s="0" t="n">
        <f aca="false">F2602*H2602</f>
        <v>0.0625</v>
      </c>
      <c r="S2602" s="0" t="n">
        <f aca="false">G2602*H2602</f>
        <v>-0.25</v>
      </c>
      <c r="T2602" s="0" t="n">
        <f aca="false">E2602*E2602</f>
        <v>0.0625</v>
      </c>
      <c r="U2602" s="0" t="n">
        <f aca="false">F2602*F2602</f>
        <v>0.0625</v>
      </c>
      <c r="V2602" s="0" t="n">
        <f aca="false">G2602*G2602</f>
        <v>1</v>
      </c>
      <c r="W2602" s="0" t="n">
        <f aca="false">H2602*H2602</f>
        <v>0.0625</v>
      </c>
      <c r="X2602" s="0" t="n">
        <f aca="false">SUMPRODUCT(I2602:W2602,_XtX!$B$96:$P$96)</f>
        <v>45.6150995979532</v>
      </c>
      <c r="Y2602" s="0" t="n">
        <f aca="false">SUMPRODUCT(MMULT(I2602:W2602,_XtX!$B$78:$P$92),I2602:W2602)</f>
        <v>0.457466705500731</v>
      </c>
      <c r="Z2602" s="0" t="n">
        <f aca="false">04_回帰ANOVA!$K$19*04_回帰ANOVA!$K$14*SQRT(1+Y2602)</f>
        <v>1.57361220003999</v>
      </c>
      <c r="AA2602" s="0" t="n">
        <f aca="false">X2602-Z2602</f>
        <v>44.0414873979132</v>
      </c>
      <c r="AB2602" s="0" t="n">
        <f aca="false">X2602+Z2602</f>
        <v>47.1887117979932</v>
      </c>
      <c r="AC2602" s="54" t="b">
        <f aca="false">AND(E2602&gt;=01_因子設定!$L$5-0.000000001,E2602&lt;=01_因子設定!$M$5+0.000000001,F2602&gt;=01_因子設定!$L$6-0.000000001,F2602&lt;=01_因子設定!$M$6+0.000000001,G2602&gt;=01_因子設定!$L$7-0.000000001,G2602&lt;=01_因子設定!$M$7+0.000000001,H2602&gt;=01_因子設定!$L$8-0.000000001,H2602&lt;=01_因子設定!$M$8+0.000000001,IF(01_因子設定!$B$20="Box-Behnken",E2602^2+F2602^2+G2602^2+H2602^2&lt;=2+0.000000001,TRUE()))</f>
        <v>1</v>
      </c>
      <c r="AD2602" s="55" t="n">
        <f aca="false">IF(AC2602,IF(01_因子設定!$B$13="最大化",AA2602-01_因子設定!$B$14,IF(01_因子設定!$B$13="最小化",01_因子設定!$B$15-AB2602,MIN(AA2602-01_因子設定!$B$14,01_因子設定!$B$15-AB2602))),-1E+030)</f>
        <v>-2.45851260208683</v>
      </c>
      <c r="AE2602" s="55" t="n">
        <f aca="false">IF(AC2602,IF(01_因子設定!$B$13="最大化",X2602,IF(01_因子設定!$B$13="最小化",-X2602,-ABS(X2602-01_因子設定!$B$16))),-1E+030)</f>
        <v>45.6150995979532</v>
      </c>
      <c r="AF2602" s="55" t="n">
        <f aca="false">AD2602+ROW()*0.000000001</f>
        <v>-2.45851000008683</v>
      </c>
      <c r="AG2602" s="55" t="n">
        <f aca="false">AE2602+ROW()*0.000000001</f>
        <v>45.6151021999532</v>
      </c>
    </row>
    <row r="2603" customFormat="false" ht="15" hidden="false" customHeight="false" outlineLevel="0" collapsed="false">
      <c r="A2603" s="0" t="n">
        <v>3</v>
      </c>
      <c r="B2603" s="0" t="n">
        <v>5</v>
      </c>
      <c r="C2603" s="0" t="n">
        <v>0</v>
      </c>
      <c r="D2603" s="0" t="n">
        <v>6</v>
      </c>
      <c r="E2603" s="0" t="n">
        <f aca="false">-1+A2603*0.25</f>
        <v>-0.25</v>
      </c>
      <c r="F2603" s="0" t="n">
        <f aca="false">-1+B2603*0.25</f>
        <v>0.25</v>
      </c>
      <c r="G2603" s="0" t="n">
        <f aca="false">-1+C2603*0.25</f>
        <v>-1</v>
      </c>
      <c r="H2603" s="0" t="n">
        <f aca="false">-1+D2603*0.25</f>
        <v>0.5</v>
      </c>
      <c r="I2603" s="0" t="n">
        <f aca="false">1</f>
        <v>1</v>
      </c>
      <c r="J2603" s="0" t="n">
        <f aca="false">E2603</f>
        <v>-0.25</v>
      </c>
      <c r="K2603" s="0" t="n">
        <f aca="false">F2603</f>
        <v>0.25</v>
      </c>
      <c r="L2603" s="0" t="n">
        <f aca="false">G2603</f>
        <v>-1</v>
      </c>
      <c r="M2603" s="0" t="n">
        <f aca="false">H2603</f>
        <v>0.5</v>
      </c>
      <c r="N2603" s="0" t="n">
        <f aca="false">E2603*F2603</f>
        <v>-0.0625</v>
      </c>
      <c r="O2603" s="0" t="n">
        <f aca="false">E2603*G2603</f>
        <v>0.25</v>
      </c>
      <c r="P2603" s="0" t="n">
        <f aca="false">E2603*H2603</f>
        <v>-0.125</v>
      </c>
      <c r="Q2603" s="0" t="n">
        <f aca="false">F2603*G2603</f>
        <v>-0.25</v>
      </c>
      <c r="R2603" s="0" t="n">
        <f aca="false">F2603*H2603</f>
        <v>0.125</v>
      </c>
      <c r="S2603" s="0" t="n">
        <f aca="false">G2603*H2603</f>
        <v>-0.5</v>
      </c>
      <c r="T2603" s="0" t="n">
        <f aca="false">E2603*E2603</f>
        <v>0.0625</v>
      </c>
      <c r="U2603" s="0" t="n">
        <f aca="false">F2603*F2603</f>
        <v>0.0625</v>
      </c>
      <c r="V2603" s="0" t="n">
        <f aca="false">G2603*G2603</f>
        <v>1</v>
      </c>
      <c r="W2603" s="0" t="n">
        <f aca="false">H2603*H2603</f>
        <v>0.25</v>
      </c>
      <c r="X2603" s="0" t="n">
        <f aca="false">SUMPRODUCT(I2603:W2603,_XtX!$B$96:$P$96)</f>
        <v>45.5518092105263</v>
      </c>
      <c r="Y2603" s="0" t="n">
        <f aca="false">SUMPRODUCT(MMULT(I2603:W2603,_XtX!$B$78:$P$92),I2603:W2603)</f>
        <v>0.445705123812135</v>
      </c>
      <c r="Z2603" s="0" t="n">
        <f aca="false">04_回帰ANOVA!$K$19*04_回帰ANOVA!$K$14*SQRT(1+Y2603)</f>
        <v>1.56724990734749</v>
      </c>
      <c r="AA2603" s="0" t="n">
        <f aca="false">X2603-Z2603</f>
        <v>43.9845593031788</v>
      </c>
      <c r="AB2603" s="0" t="n">
        <f aca="false">X2603+Z2603</f>
        <v>47.1190591178738</v>
      </c>
      <c r="AC2603" s="54" t="b">
        <f aca="false">AND(E2603&gt;=01_因子設定!$L$5-0.000000001,E2603&lt;=01_因子設定!$M$5+0.000000001,F2603&gt;=01_因子設定!$L$6-0.000000001,F2603&lt;=01_因子設定!$M$6+0.000000001,G2603&gt;=01_因子設定!$L$7-0.000000001,G2603&lt;=01_因子設定!$M$7+0.000000001,H2603&gt;=01_因子設定!$L$8-0.000000001,H2603&lt;=01_因子設定!$M$8+0.000000001,IF(01_因子設定!$B$20="Box-Behnken",E2603^2+F2603^2+G2603^2+H2603^2&lt;=2+0.000000001,TRUE()))</f>
        <v>1</v>
      </c>
      <c r="AD2603" s="55" t="n">
        <f aca="false">IF(AC2603,IF(01_因子設定!$B$13="最大化",AA2603-01_因子設定!$B$14,IF(01_因子設定!$B$13="最小化",01_因子設定!$B$15-AB2603,MIN(AA2603-01_因子設定!$B$14,01_因子設定!$B$15-AB2603))),-1E+030)</f>
        <v>-2.51544069682122</v>
      </c>
      <c r="AE2603" s="55" t="n">
        <f aca="false">IF(AC2603,IF(01_因子設定!$B$13="最大化",X2603,IF(01_因子設定!$B$13="最小化",-X2603,-ABS(X2603-01_因子設定!$B$16))),-1E+030)</f>
        <v>45.5518092105263</v>
      </c>
      <c r="AF2603" s="55" t="n">
        <f aca="false">AD2603+ROW()*0.000000001</f>
        <v>-2.51543809382122</v>
      </c>
      <c r="AG2603" s="55" t="n">
        <f aca="false">AE2603+ROW()*0.000000001</f>
        <v>45.5518118135263</v>
      </c>
    </row>
    <row r="2604" customFormat="false" ht="15" hidden="false" customHeight="false" outlineLevel="0" collapsed="false">
      <c r="A2604" s="0" t="n">
        <v>3</v>
      </c>
      <c r="B2604" s="0" t="n">
        <v>5</v>
      </c>
      <c r="C2604" s="0" t="n">
        <v>0</v>
      </c>
      <c r="D2604" s="0" t="n">
        <v>7</v>
      </c>
      <c r="E2604" s="0" t="n">
        <f aca="false">-1+A2604*0.25</f>
        <v>-0.25</v>
      </c>
      <c r="F2604" s="0" t="n">
        <f aca="false">-1+B2604*0.25</f>
        <v>0.25</v>
      </c>
      <c r="G2604" s="0" t="n">
        <f aca="false">-1+C2604*0.25</f>
        <v>-1</v>
      </c>
      <c r="H2604" s="0" t="n">
        <f aca="false">-1+D2604*0.25</f>
        <v>0.75</v>
      </c>
      <c r="I2604" s="0" t="n">
        <f aca="false">1</f>
        <v>1</v>
      </c>
      <c r="J2604" s="0" t="n">
        <f aca="false">E2604</f>
        <v>-0.25</v>
      </c>
      <c r="K2604" s="0" t="n">
        <f aca="false">F2604</f>
        <v>0.25</v>
      </c>
      <c r="L2604" s="0" t="n">
        <f aca="false">G2604</f>
        <v>-1</v>
      </c>
      <c r="M2604" s="0" t="n">
        <f aca="false">H2604</f>
        <v>0.75</v>
      </c>
      <c r="N2604" s="0" t="n">
        <f aca="false">E2604*F2604</f>
        <v>-0.0625</v>
      </c>
      <c r="O2604" s="0" t="n">
        <f aca="false">E2604*G2604</f>
        <v>0.25</v>
      </c>
      <c r="P2604" s="0" t="n">
        <f aca="false">E2604*H2604</f>
        <v>-0.1875</v>
      </c>
      <c r="Q2604" s="0" t="n">
        <f aca="false">F2604*G2604</f>
        <v>-0.25</v>
      </c>
      <c r="R2604" s="0" t="n">
        <f aca="false">F2604*H2604</f>
        <v>0.1875</v>
      </c>
      <c r="S2604" s="0" t="n">
        <f aca="false">G2604*H2604</f>
        <v>-0.75</v>
      </c>
      <c r="T2604" s="0" t="n">
        <f aca="false">E2604*E2604</f>
        <v>0.0625</v>
      </c>
      <c r="U2604" s="0" t="n">
        <f aca="false">F2604*F2604</f>
        <v>0.0625</v>
      </c>
      <c r="V2604" s="0" t="n">
        <f aca="false">G2604*G2604</f>
        <v>1</v>
      </c>
      <c r="W2604" s="0" t="n">
        <f aca="false">H2604*H2604</f>
        <v>0.5625</v>
      </c>
      <c r="X2604" s="0" t="n">
        <f aca="false">SUMPRODUCT(I2604:W2604,_XtX!$B$96:$P$96)</f>
        <v>45.4407118055555</v>
      </c>
      <c r="Y2604" s="0" t="n">
        <f aca="false">SUMPRODUCT(MMULT(I2604:W2604,_XtX!$B$78:$P$92),I2604:W2604)</f>
        <v>0.486409505208334</v>
      </c>
      <c r="Z2604" s="0" t="n">
        <f aca="false">04_回帰ANOVA!$K$19*04_回帰ANOVA!$K$14*SQRT(1+Y2604)</f>
        <v>1.58916001665498</v>
      </c>
      <c r="AA2604" s="0" t="n">
        <f aca="false">X2604-Z2604</f>
        <v>43.8515517889005</v>
      </c>
      <c r="AB2604" s="0" t="n">
        <f aca="false">X2604+Z2604</f>
        <v>47.0298718222105</v>
      </c>
      <c r="AC2604" s="54" t="b">
        <f aca="false">AND(E2604&gt;=01_因子設定!$L$5-0.000000001,E2604&lt;=01_因子設定!$M$5+0.000000001,F2604&gt;=01_因子設定!$L$6-0.000000001,F2604&lt;=01_因子設定!$M$6+0.000000001,G2604&gt;=01_因子設定!$L$7-0.000000001,G2604&lt;=01_因子設定!$M$7+0.000000001,H2604&gt;=01_因子設定!$L$8-0.000000001,H2604&lt;=01_因子設定!$M$8+0.000000001,IF(01_因子設定!$B$20="Box-Behnken",E2604^2+F2604^2+G2604^2+H2604^2&lt;=2+0.000000001,TRUE()))</f>
        <v>1</v>
      </c>
      <c r="AD2604" s="55" t="n">
        <f aca="false">IF(AC2604,IF(01_因子設定!$B$13="最大化",AA2604-01_因子設定!$B$14,IF(01_因子設定!$B$13="最小化",01_因子設定!$B$15-AB2604,MIN(AA2604-01_因子設定!$B$14,01_因子設定!$B$15-AB2604))),-1E+030)</f>
        <v>-2.64844821109946</v>
      </c>
      <c r="AE2604" s="55" t="n">
        <f aca="false">IF(AC2604,IF(01_因子設定!$B$13="最大化",X2604,IF(01_因子設定!$B$13="最小化",-X2604,-ABS(X2604-01_因子設定!$B$16))),-1E+030)</f>
        <v>45.4407118055555</v>
      </c>
      <c r="AF2604" s="55" t="n">
        <f aca="false">AD2604+ROW()*0.000000001</f>
        <v>-2.64844560709946</v>
      </c>
      <c r="AG2604" s="55" t="n">
        <f aca="false">AE2604+ROW()*0.000000001</f>
        <v>45.4407144095555</v>
      </c>
    </row>
    <row r="2605" customFormat="false" ht="15" hidden="false" customHeight="false" outlineLevel="0" collapsed="false">
      <c r="A2605" s="0" t="n">
        <v>3</v>
      </c>
      <c r="B2605" s="0" t="n">
        <v>5</v>
      </c>
      <c r="C2605" s="0" t="n">
        <v>0</v>
      </c>
      <c r="D2605" s="0" t="n">
        <v>8</v>
      </c>
      <c r="E2605" s="0" t="n">
        <f aca="false">-1+A2605*0.25</f>
        <v>-0.25</v>
      </c>
      <c r="F2605" s="0" t="n">
        <f aca="false">-1+B2605*0.25</f>
        <v>0.25</v>
      </c>
      <c r="G2605" s="0" t="n">
        <f aca="false">-1+C2605*0.25</f>
        <v>-1</v>
      </c>
      <c r="H2605" s="0" t="n">
        <f aca="false">-1+D2605*0.25</f>
        <v>1</v>
      </c>
      <c r="I2605" s="0" t="n">
        <f aca="false">1</f>
        <v>1</v>
      </c>
      <c r="J2605" s="0" t="n">
        <f aca="false">E2605</f>
        <v>-0.25</v>
      </c>
      <c r="K2605" s="0" t="n">
        <f aca="false">F2605</f>
        <v>0.25</v>
      </c>
      <c r="L2605" s="0" t="n">
        <f aca="false">G2605</f>
        <v>-1</v>
      </c>
      <c r="M2605" s="0" t="n">
        <f aca="false">H2605</f>
        <v>1</v>
      </c>
      <c r="N2605" s="0" t="n">
        <f aca="false">E2605*F2605</f>
        <v>-0.0625</v>
      </c>
      <c r="O2605" s="0" t="n">
        <f aca="false">E2605*G2605</f>
        <v>0.25</v>
      </c>
      <c r="P2605" s="0" t="n">
        <f aca="false">E2605*H2605</f>
        <v>-0.25</v>
      </c>
      <c r="Q2605" s="0" t="n">
        <f aca="false">F2605*G2605</f>
        <v>-0.25</v>
      </c>
      <c r="R2605" s="0" t="n">
        <f aca="false">F2605*H2605</f>
        <v>0.25</v>
      </c>
      <c r="S2605" s="0" t="n">
        <f aca="false">G2605*H2605</f>
        <v>-1</v>
      </c>
      <c r="T2605" s="0" t="n">
        <f aca="false">E2605*E2605</f>
        <v>0.0625</v>
      </c>
      <c r="U2605" s="0" t="n">
        <f aca="false">F2605*F2605</f>
        <v>0.0625</v>
      </c>
      <c r="V2605" s="0" t="n">
        <f aca="false">G2605*G2605</f>
        <v>1</v>
      </c>
      <c r="W2605" s="0" t="n">
        <f aca="false">H2605*H2605</f>
        <v>1</v>
      </c>
      <c r="X2605" s="0" t="n">
        <f aca="false">SUMPRODUCT(I2605:W2605,_XtX!$B$96:$P$96)</f>
        <v>45.2818073830409</v>
      </c>
      <c r="Y2605" s="0" t="n">
        <f aca="false">SUMPRODUCT(MMULT(I2605:W2605,_XtX!$B$78:$P$92),I2605:W2605)</f>
        <v>0.670040376005117</v>
      </c>
      <c r="Z2605" s="0" t="n">
        <f aca="false">04_回帰ANOVA!$K$19*04_回帰ANOVA!$K$14*SQRT(1+Y2605)</f>
        <v>1.68446456039992</v>
      </c>
      <c r="AA2605" s="0" t="n">
        <f aca="false">X2605-Z2605</f>
        <v>43.597342822641</v>
      </c>
      <c r="AB2605" s="0" t="n">
        <f aca="false">X2605+Z2605</f>
        <v>46.9662719434408</v>
      </c>
      <c r="AC2605" s="54" t="b">
        <f aca="false">AND(E2605&gt;=01_因子設定!$L$5-0.000000001,E2605&lt;=01_因子設定!$M$5+0.000000001,F2605&gt;=01_因子設定!$L$6-0.000000001,F2605&lt;=01_因子設定!$M$6+0.000000001,G2605&gt;=01_因子設定!$L$7-0.000000001,G2605&lt;=01_因子設定!$M$7+0.000000001,H2605&gt;=01_因子設定!$L$8-0.000000001,H2605&lt;=01_因子設定!$M$8+0.000000001,IF(01_因子設定!$B$20="Box-Behnken",E2605^2+F2605^2+G2605^2+H2605^2&lt;=2+0.000000001,TRUE()))</f>
        <v>1</v>
      </c>
      <c r="AD2605" s="55" t="n">
        <f aca="false">IF(AC2605,IF(01_因子設定!$B$13="最大化",AA2605-01_因子設定!$B$14,IF(01_因子設定!$B$13="最小化",01_因子設定!$B$15-AB2605,MIN(AA2605-01_因子設定!$B$14,01_因子設定!$B$15-AB2605))),-1E+030)</f>
        <v>-2.902657177359</v>
      </c>
      <c r="AE2605" s="55" t="n">
        <f aca="false">IF(AC2605,IF(01_因子設定!$B$13="最大化",X2605,IF(01_因子設定!$B$13="最小化",-X2605,-ABS(X2605-01_因子設定!$B$16))),-1E+030)</f>
        <v>45.2818073830409</v>
      </c>
      <c r="AF2605" s="55" t="n">
        <f aca="false">AD2605+ROW()*0.000000001</f>
        <v>-2.902654572359</v>
      </c>
      <c r="AG2605" s="55" t="n">
        <f aca="false">AE2605+ROW()*0.000000001</f>
        <v>45.2818099880409</v>
      </c>
    </row>
    <row r="2606" customFormat="false" ht="15" hidden="false" customHeight="false" outlineLevel="0" collapsed="false">
      <c r="A2606" s="0" t="n">
        <v>3</v>
      </c>
      <c r="B2606" s="0" t="n">
        <v>5</v>
      </c>
      <c r="C2606" s="0" t="n">
        <v>1</v>
      </c>
      <c r="D2606" s="0" t="n">
        <v>0</v>
      </c>
      <c r="E2606" s="0" t="n">
        <f aca="false">-1+A2606*0.25</f>
        <v>-0.25</v>
      </c>
      <c r="F2606" s="0" t="n">
        <f aca="false">-1+B2606*0.25</f>
        <v>0.25</v>
      </c>
      <c r="G2606" s="0" t="n">
        <f aca="false">-1+C2606*0.25</f>
        <v>-0.75</v>
      </c>
      <c r="H2606" s="0" t="n">
        <f aca="false">-1+D2606*0.25</f>
        <v>-1</v>
      </c>
      <c r="I2606" s="0" t="n">
        <f aca="false">1</f>
        <v>1</v>
      </c>
      <c r="J2606" s="0" t="n">
        <f aca="false">E2606</f>
        <v>-0.25</v>
      </c>
      <c r="K2606" s="0" t="n">
        <f aca="false">F2606</f>
        <v>0.25</v>
      </c>
      <c r="L2606" s="0" t="n">
        <f aca="false">G2606</f>
        <v>-0.75</v>
      </c>
      <c r="M2606" s="0" t="n">
        <f aca="false">H2606</f>
        <v>-1</v>
      </c>
      <c r="N2606" s="0" t="n">
        <f aca="false">E2606*F2606</f>
        <v>-0.0625</v>
      </c>
      <c r="O2606" s="0" t="n">
        <f aca="false">E2606*G2606</f>
        <v>0.1875</v>
      </c>
      <c r="P2606" s="0" t="n">
        <f aca="false">E2606*H2606</f>
        <v>0.25</v>
      </c>
      <c r="Q2606" s="0" t="n">
        <f aca="false">F2606*G2606</f>
        <v>-0.1875</v>
      </c>
      <c r="R2606" s="0" t="n">
        <f aca="false">F2606*H2606</f>
        <v>-0.25</v>
      </c>
      <c r="S2606" s="0" t="n">
        <f aca="false">G2606*H2606</f>
        <v>0.75</v>
      </c>
      <c r="T2606" s="0" t="n">
        <f aca="false">E2606*E2606</f>
        <v>0.0625</v>
      </c>
      <c r="U2606" s="0" t="n">
        <f aca="false">F2606*F2606</f>
        <v>0.0625</v>
      </c>
      <c r="V2606" s="0" t="n">
        <f aca="false">G2606*G2606</f>
        <v>0.5625</v>
      </c>
      <c r="W2606" s="0" t="n">
        <f aca="false">H2606*H2606</f>
        <v>1</v>
      </c>
      <c r="X2606" s="0" t="n">
        <f aca="false">SUMPRODUCT(I2606:W2606,_XtX!$B$96:$P$96)</f>
        <v>45.7471354166666</v>
      </c>
      <c r="Y2606" s="0" t="n">
        <f aca="false">SUMPRODUCT(MMULT(I2606:W2606,_XtX!$B$78:$P$92),I2606:W2606)</f>
        <v>0.486409505208334</v>
      </c>
      <c r="Z2606" s="0" t="n">
        <f aca="false">04_回帰ANOVA!$K$19*04_回帰ANOVA!$K$14*SQRT(1+Y2606)</f>
        <v>1.58916001665498</v>
      </c>
      <c r="AA2606" s="0" t="n">
        <f aca="false">X2606-Z2606</f>
        <v>44.1579754000117</v>
      </c>
      <c r="AB2606" s="0" t="n">
        <f aca="false">X2606+Z2606</f>
        <v>47.3362954333216</v>
      </c>
      <c r="AC2606" s="54" t="b">
        <f aca="false">AND(E2606&gt;=01_因子設定!$L$5-0.000000001,E2606&lt;=01_因子設定!$M$5+0.000000001,F2606&gt;=01_因子設定!$L$6-0.000000001,F2606&lt;=01_因子設定!$M$6+0.000000001,G2606&gt;=01_因子設定!$L$7-0.000000001,G2606&lt;=01_因子設定!$M$7+0.000000001,H2606&gt;=01_因子設定!$L$8-0.000000001,H2606&lt;=01_因子設定!$M$8+0.000000001,IF(01_因子設定!$B$20="Box-Behnken",E2606^2+F2606^2+G2606^2+H2606^2&lt;=2+0.000000001,TRUE()))</f>
        <v>1</v>
      </c>
      <c r="AD2606" s="55" t="n">
        <f aca="false">IF(AC2606,IF(01_因子設定!$B$13="最大化",AA2606-01_因子設定!$B$14,IF(01_因子設定!$B$13="最小化",01_因子設定!$B$15-AB2606,MIN(AA2606-01_因子設定!$B$14,01_因子設定!$B$15-AB2606))),-1E+030)</f>
        <v>-2.34202459998834</v>
      </c>
      <c r="AE2606" s="55" t="n">
        <f aca="false">IF(AC2606,IF(01_因子設定!$B$13="最大化",X2606,IF(01_因子設定!$B$13="最小化",-X2606,-ABS(X2606-01_因子設定!$B$16))),-1E+030)</f>
        <v>45.7471354166666</v>
      </c>
      <c r="AF2606" s="55" t="n">
        <f aca="false">AD2606+ROW()*0.000000001</f>
        <v>-2.34202199398834</v>
      </c>
      <c r="AG2606" s="55" t="n">
        <f aca="false">AE2606+ROW()*0.000000001</f>
        <v>45.7471380226667</v>
      </c>
    </row>
    <row r="2607" customFormat="false" ht="15" hidden="false" customHeight="false" outlineLevel="0" collapsed="false">
      <c r="A2607" s="0" t="n">
        <v>3</v>
      </c>
      <c r="B2607" s="0" t="n">
        <v>5</v>
      </c>
      <c r="C2607" s="0" t="n">
        <v>1</v>
      </c>
      <c r="D2607" s="0" t="n">
        <v>1</v>
      </c>
      <c r="E2607" s="0" t="n">
        <f aca="false">-1+A2607*0.25</f>
        <v>-0.25</v>
      </c>
      <c r="F2607" s="0" t="n">
        <f aca="false">-1+B2607*0.25</f>
        <v>0.25</v>
      </c>
      <c r="G2607" s="0" t="n">
        <f aca="false">-1+C2607*0.25</f>
        <v>-0.75</v>
      </c>
      <c r="H2607" s="0" t="n">
        <f aca="false">-1+D2607*0.25</f>
        <v>-0.75</v>
      </c>
      <c r="I2607" s="0" t="n">
        <f aca="false">1</f>
        <v>1</v>
      </c>
      <c r="J2607" s="0" t="n">
        <f aca="false">E2607</f>
        <v>-0.25</v>
      </c>
      <c r="K2607" s="0" t="n">
        <f aca="false">F2607</f>
        <v>0.25</v>
      </c>
      <c r="L2607" s="0" t="n">
        <f aca="false">G2607</f>
        <v>-0.75</v>
      </c>
      <c r="M2607" s="0" t="n">
        <f aca="false">H2607</f>
        <v>-0.75</v>
      </c>
      <c r="N2607" s="0" t="n">
        <f aca="false">E2607*F2607</f>
        <v>-0.0625</v>
      </c>
      <c r="O2607" s="0" t="n">
        <f aca="false">E2607*G2607</f>
        <v>0.1875</v>
      </c>
      <c r="P2607" s="0" t="n">
        <f aca="false">E2607*H2607</f>
        <v>0.1875</v>
      </c>
      <c r="Q2607" s="0" t="n">
        <f aca="false">F2607*G2607</f>
        <v>-0.1875</v>
      </c>
      <c r="R2607" s="0" t="n">
        <f aca="false">F2607*H2607</f>
        <v>-0.1875</v>
      </c>
      <c r="S2607" s="0" t="n">
        <f aca="false">G2607*H2607</f>
        <v>0.5625</v>
      </c>
      <c r="T2607" s="0" t="n">
        <f aca="false">E2607*E2607</f>
        <v>0.0625</v>
      </c>
      <c r="U2607" s="0" t="n">
        <f aca="false">F2607*F2607</f>
        <v>0.0625</v>
      </c>
      <c r="V2607" s="0" t="n">
        <f aca="false">G2607*G2607</f>
        <v>0.5625</v>
      </c>
      <c r="W2607" s="0" t="n">
        <f aca="false">H2607*H2607</f>
        <v>0.5625</v>
      </c>
      <c r="X2607" s="0" t="n">
        <f aca="false">SUMPRODUCT(I2607:W2607,_XtX!$B$96:$P$96)</f>
        <v>45.940848866959</v>
      </c>
      <c r="Y2607" s="0" t="n">
        <f aca="false">SUMPRODUCT(MMULT(I2607:W2607,_XtX!$B$78:$P$92),I2607:W2607)</f>
        <v>0.271087468019006</v>
      </c>
      <c r="Z2607" s="0" t="n">
        <f aca="false">04_回帰ANOVA!$K$19*04_回帰ANOVA!$K$14*SQRT(1+Y2607)</f>
        <v>1.46955590155034</v>
      </c>
      <c r="AA2607" s="0" t="n">
        <f aca="false">X2607-Z2607</f>
        <v>44.4712929654087</v>
      </c>
      <c r="AB2607" s="0" t="n">
        <f aca="false">X2607+Z2607</f>
        <v>47.4104047685094</v>
      </c>
      <c r="AC2607" s="54" t="b">
        <f aca="false">AND(E2607&gt;=01_因子設定!$L$5-0.000000001,E2607&lt;=01_因子設定!$M$5+0.000000001,F2607&gt;=01_因子設定!$L$6-0.000000001,F2607&lt;=01_因子設定!$M$6+0.000000001,G2607&gt;=01_因子設定!$L$7-0.000000001,G2607&lt;=01_因子設定!$M$7+0.000000001,H2607&gt;=01_因子設定!$L$8-0.000000001,H2607&lt;=01_因子設定!$M$8+0.000000001,IF(01_因子設定!$B$20="Box-Behnken",E2607^2+F2607^2+G2607^2+H2607^2&lt;=2+0.000000001,TRUE()))</f>
        <v>1</v>
      </c>
      <c r="AD2607" s="55" t="n">
        <f aca="false">IF(AC2607,IF(01_因子設定!$B$13="最大化",AA2607-01_因子設定!$B$14,IF(01_因子設定!$B$13="最小化",01_因子設定!$B$15-AB2607,MIN(AA2607-01_因子設定!$B$14,01_因子設定!$B$15-AB2607))),-1E+030)</f>
        <v>-2.02870703459131</v>
      </c>
      <c r="AE2607" s="55" t="n">
        <f aca="false">IF(AC2607,IF(01_因子設定!$B$13="最大化",X2607,IF(01_因子設定!$B$13="最小化",-X2607,-ABS(X2607-01_因子設定!$B$16))),-1E+030)</f>
        <v>45.940848866959</v>
      </c>
      <c r="AF2607" s="55" t="n">
        <f aca="false">AD2607+ROW()*0.000000001</f>
        <v>-2.02870442759131</v>
      </c>
      <c r="AG2607" s="55" t="n">
        <f aca="false">AE2607+ROW()*0.000000001</f>
        <v>45.940851473959</v>
      </c>
    </row>
    <row r="2608" customFormat="false" ht="15" hidden="false" customHeight="false" outlineLevel="0" collapsed="false">
      <c r="A2608" s="0" t="n">
        <v>3</v>
      </c>
      <c r="B2608" s="0" t="n">
        <v>5</v>
      </c>
      <c r="C2608" s="0" t="n">
        <v>1</v>
      </c>
      <c r="D2608" s="0" t="n">
        <v>2</v>
      </c>
      <c r="E2608" s="0" t="n">
        <f aca="false">-1+A2608*0.25</f>
        <v>-0.25</v>
      </c>
      <c r="F2608" s="0" t="n">
        <f aca="false">-1+B2608*0.25</f>
        <v>0.25</v>
      </c>
      <c r="G2608" s="0" t="n">
        <f aca="false">-1+C2608*0.25</f>
        <v>-0.75</v>
      </c>
      <c r="H2608" s="0" t="n">
        <f aca="false">-1+D2608*0.25</f>
        <v>-0.5</v>
      </c>
      <c r="I2608" s="0" t="n">
        <f aca="false">1</f>
        <v>1</v>
      </c>
      <c r="J2608" s="0" t="n">
        <f aca="false">E2608</f>
        <v>-0.25</v>
      </c>
      <c r="K2608" s="0" t="n">
        <f aca="false">F2608</f>
        <v>0.25</v>
      </c>
      <c r="L2608" s="0" t="n">
        <f aca="false">G2608</f>
        <v>-0.75</v>
      </c>
      <c r="M2608" s="0" t="n">
        <f aca="false">H2608</f>
        <v>-0.5</v>
      </c>
      <c r="N2608" s="0" t="n">
        <f aca="false">E2608*F2608</f>
        <v>-0.0625</v>
      </c>
      <c r="O2608" s="0" t="n">
        <f aca="false">E2608*G2608</f>
        <v>0.1875</v>
      </c>
      <c r="P2608" s="0" t="n">
        <f aca="false">E2608*H2608</f>
        <v>0.125</v>
      </c>
      <c r="Q2608" s="0" t="n">
        <f aca="false">F2608*G2608</f>
        <v>-0.1875</v>
      </c>
      <c r="R2608" s="0" t="n">
        <f aca="false">F2608*H2608</f>
        <v>-0.125</v>
      </c>
      <c r="S2608" s="0" t="n">
        <f aca="false">G2608*H2608</f>
        <v>0.375</v>
      </c>
      <c r="T2608" s="0" t="n">
        <f aca="false">E2608*E2608</f>
        <v>0.0625</v>
      </c>
      <c r="U2608" s="0" t="n">
        <f aca="false">F2608*F2608</f>
        <v>0.0625</v>
      </c>
      <c r="V2608" s="0" t="n">
        <f aca="false">G2608*G2608</f>
        <v>0.5625</v>
      </c>
      <c r="W2608" s="0" t="n">
        <f aca="false">H2608*H2608</f>
        <v>0.25</v>
      </c>
      <c r="X2608" s="0" t="n">
        <f aca="false">SUMPRODUCT(I2608:W2608,_XtX!$B$96:$P$96)</f>
        <v>46.0867552997076</v>
      </c>
      <c r="Y2608" s="0" t="n">
        <f aca="false">SUMPRODUCT(MMULT(I2608:W2608,_XtX!$B$78:$P$92),I2608:W2608)</f>
        <v>0.207746539199561</v>
      </c>
      <c r="Z2608" s="0" t="n">
        <f aca="false">04_回帰ANOVA!$K$19*04_回帰ANOVA!$K$14*SQRT(1+Y2608)</f>
        <v>1.43247250081141</v>
      </c>
      <c r="AA2608" s="0" t="n">
        <f aca="false">X2608-Z2608</f>
        <v>44.6542827988962</v>
      </c>
      <c r="AB2608" s="0" t="n">
        <f aca="false">X2608+Z2608</f>
        <v>47.519227800519</v>
      </c>
      <c r="AC2608" s="54" t="b">
        <f aca="false">AND(E2608&gt;=01_因子設定!$L$5-0.000000001,E2608&lt;=01_因子設定!$M$5+0.000000001,F2608&gt;=01_因子設定!$L$6-0.000000001,F2608&lt;=01_因子設定!$M$6+0.000000001,G2608&gt;=01_因子設定!$L$7-0.000000001,G2608&lt;=01_因子設定!$M$7+0.000000001,H2608&gt;=01_因子設定!$L$8-0.000000001,H2608&lt;=01_因子設定!$M$8+0.000000001,IF(01_因子設定!$B$20="Box-Behnken",E2608^2+F2608^2+G2608^2+H2608^2&lt;=2+0.000000001,TRUE()))</f>
        <v>1</v>
      </c>
      <c r="AD2608" s="55" t="n">
        <f aca="false">IF(AC2608,IF(01_因子設定!$B$13="最大化",AA2608-01_因子設定!$B$14,IF(01_因子設定!$B$13="最小化",01_因子設定!$B$15-AB2608,MIN(AA2608-01_因子設定!$B$14,01_因子設定!$B$15-AB2608))),-1E+030)</f>
        <v>-1.84571720110385</v>
      </c>
      <c r="AE2608" s="55" t="n">
        <f aca="false">IF(AC2608,IF(01_因子設定!$B$13="最大化",X2608,IF(01_因子設定!$B$13="最小化",-X2608,-ABS(X2608-01_因子設定!$B$16))),-1E+030)</f>
        <v>46.0867552997076</v>
      </c>
      <c r="AF2608" s="55" t="n">
        <f aca="false">AD2608+ROW()*0.000000001</f>
        <v>-1.84571459310385</v>
      </c>
      <c r="AG2608" s="55" t="n">
        <f aca="false">AE2608+ROW()*0.000000001</f>
        <v>46.0867579077076</v>
      </c>
    </row>
    <row r="2609" customFormat="false" ht="15" hidden="false" customHeight="false" outlineLevel="0" collapsed="false">
      <c r="A2609" s="0" t="n">
        <v>3</v>
      </c>
      <c r="B2609" s="0" t="n">
        <v>5</v>
      </c>
      <c r="C2609" s="0" t="n">
        <v>1</v>
      </c>
      <c r="D2609" s="0" t="n">
        <v>3</v>
      </c>
      <c r="E2609" s="0" t="n">
        <f aca="false">-1+A2609*0.25</f>
        <v>-0.25</v>
      </c>
      <c r="F2609" s="0" t="n">
        <f aca="false">-1+B2609*0.25</f>
        <v>0.25</v>
      </c>
      <c r="G2609" s="0" t="n">
        <f aca="false">-1+C2609*0.25</f>
        <v>-0.75</v>
      </c>
      <c r="H2609" s="0" t="n">
        <f aca="false">-1+D2609*0.25</f>
        <v>-0.25</v>
      </c>
      <c r="I2609" s="0" t="n">
        <f aca="false">1</f>
        <v>1</v>
      </c>
      <c r="J2609" s="0" t="n">
        <f aca="false">E2609</f>
        <v>-0.25</v>
      </c>
      <c r="K2609" s="0" t="n">
        <f aca="false">F2609</f>
        <v>0.25</v>
      </c>
      <c r="L2609" s="0" t="n">
        <f aca="false">G2609</f>
        <v>-0.75</v>
      </c>
      <c r="M2609" s="0" t="n">
        <f aca="false">H2609</f>
        <v>-0.25</v>
      </c>
      <c r="N2609" s="0" t="n">
        <f aca="false">E2609*F2609</f>
        <v>-0.0625</v>
      </c>
      <c r="O2609" s="0" t="n">
        <f aca="false">E2609*G2609</f>
        <v>0.1875</v>
      </c>
      <c r="P2609" s="0" t="n">
        <f aca="false">E2609*H2609</f>
        <v>0.0625</v>
      </c>
      <c r="Q2609" s="0" t="n">
        <f aca="false">F2609*G2609</f>
        <v>-0.1875</v>
      </c>
      <c r="R2609" s="0" t="n">
        <f aca="false">F2609*H2609</f>
        <v>-0.0625</v>
      </c>
      <c r="S2609" s="0" t="n">
        <f aca="false">G2609*H2609</f>
        <v>0.1875</v>
      </c>
      <c r="T2609" s="0" t="n">
        <f aca="false">E2609*E2609</f>
        <v>0.0625</v>
      </c>
      <c r="U2609" s="0" t="n">
        <f aca="false">F2609*F2609</f>
        <v>0.0625</v>
      </c>
      <c r="V2609" s="0" t="n">
        <f aca="false">G2609*G2609</f>
        <v>0.5625</v>
      </c>
      <c r="W2609" s="0" t="n">
        <f aca="false">H2609*H2609</f>
        <v>0.0625</v>
      </c>
      <c r="X2609" s="0" t="n">
        <f aca="false">SUMPRODUCT(I2609:W2609,_XtX!$B$96:$P$96)</f>
        <v>46.1848547149122</v>
      </c>
      <c r="Y2609" s="0" t="n">
        <f aca="false">SUMPRODUCT(MMULT(I2609:W2609,_XtX!$B$78:$P$92),I2609:W2609)</f>
        <v>0.205926192434211</v>
      </c>
      <c r="Z2609" s="0" t="n">
        <f aca="false">04_回帰ANOVA!$K$19*04_回帰ANOVA!$K$14*SQRT(1+Y2609)</f>
        <v>1.43139256396246</v>
      </c>
      <c r="AA2609" s="0" t="n">
        <f aca="false">X2609-Z2609</f>
        <v>44.7534621509498</v>
      </c>
      <c r="AB2609" s="0" t="n">
        <f aca="false">X2609+Z2609</f>
        <v>47.6162472788747</v>
      </c>
      <c r="AC2609" s="54" t="b">
        <f aca="false">AND(E2609&gt;=01_因子設定!$L$5-0.000000001,E2609&lt;=01_因子設定!$M$5+0.000000001,F2609&gt;=01_因子設定!$L$6-0.000000001,F2609&lt;=01_因子設定!$M$6+0.000000001,G2609&gt;=01_因子設定!$L$7-0.000000001,G2609&lt;=01_因子設定!$M$7+0.000000001,H2609&gt;=01_因子設定!$L$8-0.000000001,H2609&lt;=01_因子設定!$M$8+0.000000001,IF(01_因子設定!$B$20="Box-Behnken",E2609^2+F2609^2+G2609^2+H2609^2&lt;=2+0.000000001,TRUE()))</f>
        <v>1</v>
      </c>
      <c r="AD2609" s="55" t="n">
        <f aca="false">IF(AC2609,IF(01_因子設定!$B$13="最大化",AA2609-01_因子設定!$B$14,IF(01_因子設定!$B$13="最小化",01_因子設定!$B$15-AB2609,MIN(AA2609-01_因子設定!$B$14,01_因子設定!$B$15-AB2609))),-1E+030)</f>
        <v>-1.74653784905023</v>
      </c>
      <c r="AE2609" s="55" t="n">
        <f aca="false">IF(AC2609,IF(01_因子設定!$B$13="最大化",X2609,IF(01_因子設定!$B$13="最小化",-X2609,-ABS(X2609-01_因子設定!$B$16))),-1E+030)</f>
        <v>46.1848547149122</v>
      </c>
      <c r="AF2609" s="55" t="n">
        <f aca="false">AD2609+ROW()*0.000000001</f>
        <v>-1.74653524005023</v>
      </c>
      <c r="AG2609" s="55" t="n">
        <f aca="false">AE2609+ROW()*0.000000001</f>
        <v>46.1848573239122</v>
      </c>
    </row>
    <row r="2610" customFormat="false" ht="15" hidden="false" customHeight="false" outlineLevel="0" collapsed="false">
      <c r="A2610" s="0" t="n">
        <v>3</v>
      </c>
      <c r="B2610" s="0" t="n">
        <v>5</v>
      </c>
      <c r="C2610" s="0" t="n">
        <v>1</v>
      </c>
      <c r="D2610" s="0" t="n">
        <v>4</v>
      </c>
      <c r="E2610" s="0" t="n">
        <f aca="false">-1+A2610*0.25</f>
        <v>-0.25</v>
      </c>
      <c r="F2610" s="0" t="n">
        <f aca="false">-1+B2610*0.25</f>
        <v>0.25</v>
      </c>
      <c r="G2610" s="0" t="n">
        <f aca="false">-1+C2610*0.25</f>
        <v>-0.75</v>
      </c>
      <c r="H2610" s="0" t="n">
        <f aca="false">-1+D2610*0.25</f>
        <v>0</v>
      </c>
      <c r="I2610" s="0" t="n">
        <f aca="false">1</f>
        <v>1</v>
      </c>
      <c r="J2610" s="0" t="n">
        <f aca="false">E2610</f>
        <v>-0.25</v>
      </c>
      <c r="K2610" s="0" t="n">
        <f aca="false">F2610</f>
        <v>0.25</v>
      </c>
      <c r="L2610" s="0" t="n">
        <f aca="false">G2610</f>
        <v>-0.75</v>
      </c>
      <c r="M2610" s="0" t="n">
        <f aca="false">H2610</f>
        <v>0</v>
      </c>
      <c r="N2610" s="0" t="n">
        <f aca="false">E2610*F2610</f>
        <v>-0.0625</v>
      </c>
      <c r="O2610" s="0" t="n">
        <f aca="false">E2610*G2610</f>
        <v>0.1875</v>
      </c>
      <c r="P2610" s="0" t="n">
        <f aca="false">E2610*H2610</f>
        <v>-0</v>
      </c>
      <c r="Q2610" s="0" t="n">
        <f aca="false">F2610*G2610</f>
        <v>-0.1875</v>
      </c>
      <c r="R2610" s="0" t="n">
        <f aca="false">F2610*H2610</f>
        <v>0</v>
      </c>
      <c r="S2610" s="0" t="n">
        <f aca="false">G2610*H2610</f>
        <v>-0</v>
      </c>
      <c r="T2610" s="0" t="n">
        <f aca="false">E2610*E2610</f>
        <v>0.0625</v>
      </c>
      <c r="U2610" s="0" t="n">
        <f aca="false">F2610*F2610</f>
        <v>0.0625</v>
      </c>
      <c r="V2610" s="0" t="n">
        <f aca="false">G2610*G2610</f>
        <v>0.5625</v>
      </c>
      <c r="W2610" s="0" t="n">
        <f aca="false">H2610*H2610</f>
        <v>0</v>
      </c>
      <c r="X2610" s="0" t="n">
        <f aca="false">SUMPRODUCT(I2610:W2610,_XtX!$B$96:$P$96)</f>
        <v>46.235147112573</v>
      </c>
      <c r="Y2610" s="0" t="n">
        <f aca="false">SUMPRODUCT(MMULT(I2610:W2610,_XtX!$B$78:$P$92),I2610:W2610)</f>
        <v>0.21135011193348</v>
      </c>
      <c r="Z2610" s="0" t="n">
        <f aca="false">04_回帰ANOVA!$K$19*04_回帰ANOVA!$K$14*SQRT(1+Y2610)</f>
        <v>1.43460795469709</v>
      </c>
      <c r="AA2610" s="0" t="n">
        <f aca="false">X2610-Z2610</f>
        <v>44.800539157876</v>
      </c>
      <c r="AB2610" s="0" t="n">
        <f aca="false">X2610+Z2610</f>
        <v>47.6697550672701</v>
      </c>
      <c r="AC2610" s="54" t="b">
        <f aca="false">AND(E2610&gt;=01_因子設定!$L$5-0.000000001,E2610&lt;=01_因子設定!$M$5+0.000000001,F2610&gt;=01_因子設定!$L$6-0.000000001,F2610&lt;=01_因子設定!$M$6+0.000000001,G2610&gt;=01_因子設定!$L$7-0.000000001,G2610&lt;=01_因子設定!$M$7+0.000000001,H2610&gt;=01_因子設定!$L$8-0.000000001,H2610&lt;=01_因子設定!$M$8+0.000000001,IF(01_因子設定!$B$20="Box-Behnken",E2610^2+F2610^2+G2610^2+H2610^2&lt;=2+0.000000001,TRUE()))</f>
        <v>1</v>
      </c>
      <c r="AD2610" s="55" t="n">
        <f aca="false">IF(AC2610,IF(01_因子設定!$B$13="最大化",AA2610-01_因子設定!$B$14,IF(01_因子設定!$B$13="最小化",01_因子設定!$B$15-AB2610,MIN(AA2610-01_因子設定!$B$14,01_因子設定!$B$15-AB2610))),-1E+030)</f>
        <v>-1.69946084212405</v>
      </c>
      <c r="AE2610" s="55" t="n">
        <f aca="false">IF(AC2610,IF(01_因子設定!$B$13="最大化",X2610,IF(01_因子設定!$B$13="最小化",-X2610,-ABS(X2610-01_因子設定!$B$16))),-1E+030)</f>
        <v>46.235147112573</v>
      </c>
      <c r="AF2610" s="55" t="n">
        <f aca="false">AD2610+ROW()*0.000000001</f>
        <v>-1.69945823212405</v>
      </c>
      <c r="AG2610" s="55" t="n">
        <f aca="false">AE2610+ROW()*0.000000001</f>
        <v>46.235149722573</v>
      </c>
    </row>
    <row r="2611" customFormat="false" ht="15" hidden="false" customHeight="false" outlineLevel="0" collapsed="false">
      <c r="A2611" s="0" t="n">
        <v>3</v>
      </c>
      <c r="B2611" s="0" t="n">
        <v>5</v>
      </c>
      <c r="C2611" s="0" t="n">
        <v>1</v>
      </c>
      <c r="D2611" s="0" t="n">
        <v>5</v>
      </c>
      <c r="E2611" s="0" t="n">
        <f aca="false">-1+A2611*0.25</f>
        <v>-0.25</v>
      </c>
      <c r="F2611" s="0" t="n">
        <f aca="false">-1+B2611*0.25</f>
        <v>0.25</v>
      </c>
      <c r="G2611" s="0" t="n">
        <f aca="false">-1+C2611*0.25</f>
        <v>-0.75</v>
      </c>
      <c r="H2611" s="0" t="n">
        <f aca="false">-1+D2611*0.25</f>
        <v>0.25</v>
      </c>
      <c r="I2611" s="0" t="n">
        <f aca="false">1</f>
        <v>1</v>
      </c>
      <c r="J2611" s="0" t="n">
        <f aca="false">E2611</f>
        <v>-0.25</v>
      </c>
      <c r="K2611" s="0" t="n">
        <f aca="false">F2611</f>
        <v>0.25</v>
      </c>
      <c r="L2611" s="0" t="n">
        <f aca="false">G2611</f>
        <v>-0.75</v>
      </c>
      <c r="M2611" s="0" t="n">
        <f aca="false">H2611</f>
        <v>0.25</v>
      </c>
      <c r="N2611" s="0" t="n">
        <f aca="false">E2611*F2611</f>
        <v>-0.0625</v>
      </c>
      <c r="O2611" s="0" t="n">
        <f aca="false">E2611*G2611</f>
        <v>0.1875</v>
      </c>
      <c r="P2611" s="0" t="n">
        <f aca="false">E2611*H2611</f>
        <v>-0.0625</v>
      </c>
      <c r="Q2611" s="0" t="n">
        <f aca="false">F2611*G2611</f>
        <v>-0.1875</v>
      </c>
      <c r="R2611" s="0" t="n">
        <f aca="false">F2611*H2611</f>
        <v>0.0625</v>
      </c>
      <c r="S2611" s="0" t="n">
        <f aca="false">G2611*H2611</f>
        <v>-0.1875</v>
      </c>
      <c r="T2611" s="0" t="n">
        <f aca="false">E2611*E2611</f>
        <v>0.0625</v>
      </c>
      <c r="U2611" s="0" t="n">
        <f aca="false">F2611*F2611</f>
        <v>0.0625</v>
      </c>
      <c r="V2611" s="0" t="n">
        <f aca="false">G2611*G2611</f>
        <v>0.5625</v>
      </c>
      <c r="W2611" s="0" t="n">
        <f aca="false">H2611*H2611</f>
        <v>0.0625</v>
      </c>
      <c r="X2611" s="0" t="n">
        <f aca="false">SUMPRODUCT(I2611:W2611,_XtX!$B$96:$P$96)</f>
        <v>46.23763249269</v>
      </c>
      <c r="Y2611" s="0" t="n">
        <f aca="false">SUMPRODUCT(MMULT(I2611:W2611,_XtX!$B$78:$P$92),I2611:W2611)</f>
        <v>0.205926192434211</v>
      </c>
      <c r="Z2611" s="0" t="n">
        <f aca="false">04_回帰ANOVA!$K$19*04_回帰ANOVA!$K$14*SQRT(1+Y2611)</f>
        <v>1.43139256396246</v>
      </c>
      <c r="AA2611" s="0" t="n">
        <f aca="false">X2611-Z2611</f>
        <v>44.8062399287275</v>
      </c>
      <c r="AB2611" s="0" t="n">
        <f aca="false">X2611+Z2611</f>
        <v>47.6690250566525</v>
      </c>
      <c r="AC2611" s="54" t="b">
        <f aca="false">AND(E2611&gt;=01_因子設定!$L$5-0.000000001,E2611&lt;=01_因子設定!$M$5+0.000000001,F2611&gt;=01_因子設定!$L$6-0.000000001,F2611&lt;=01_因子設定!$M$6+0.000000001,G2611&gt;=01_因子設定!$L$7-0.000000001,G2611&lt;=01_因子設定!$M$7+0.000000001,H2611&gt;=01_因子設定!$L$8-0.000000001,H2611&lt;=01_因子設定!$M$8+0.000000001,IF(01_因子設定!$B$20="Box-Behnken",E2611^2+F2611^2+G2611^2+H2611^2&lt;=2+0.000000001,TRUE()))</f>
        <v>1</v>
      </c>
      <c r="AD2611" s="55" t="n">
        <f aca="false">IF(AC2611,IF(01_因子設定!$B$13="最大化",AA2611-01_因子設定!$B$14,IF(01_因子設定!$B$13="最小化",01_因子設定!$B$15-AB2611,MIN(AA2611-01_因子設定!$B$14,01_因子設定!$B$15-AB2611))),-1E+030)</f>
        <v>-1.69376007127246</v>
      </c>
      <c r="AE2611" s="55" t="n">
        <f aca="false">IF(AC2611,IF(01_因子設定!$B$13="最大化",X2611,IF(01_因子設定!$B$13="最小化",-X2611,-ABS(X2611-01_因子設定!$B$16))),-1E+030)</f>
        <v>46.23763249269</v>
      </c>
      <c r="AF2611" s="55" t="n">
        <f aca="false">AD2611+ROW()*0.000000001</f>
        <v>-1.69375746027246</v>
      </c>
      <c r="AG2611" s="55" t="n">
        <f aca="false">AE2611+ROW()*0.000000001</f>
        <v>46.23763510369</v>
      </c>
    </row>
    <row r="2612" customFormat="false" ht="15" hidden="false" customHeight="false" outlineLevel="0" collapsed="false">
      <c r="A2612" s="0" t="n">
        <v>3</v>
      </c>
      <c r="B2612" s="0" t="n">
        <v>5</v>
      </c>
      <c r="C2612" s="0" t="n">
        <v>1</v>
      </c>
      <c r="D2612" s="0" t="n">
        <v>6</v>
      </c>
      <c r="E2612" s="0" t="n">
        <f aca="false">-1+A2612*0.25</f>
        <v>-0.25</v>
      </c>
      <c r="F2612" s="0" t="n">
        <f aca="false">-1+B2612*0.25</f>
        <v>0.25</v>
      </c>
      <c r="G2612" s="0" t="n">
        <f aca="false">-1+C2612*0.25</f>
        <v>-0.75</v>
      </c>
      <c r="H2612" s="0" t="n">
        <f aca="false">-1+D2612*0.25</f>
        <v>0.5</v>
      </c>
      <c r="I2612" s="0" t="n">
        <f aca="false">1</f>
        <v>1</v>
      </c>
      <c r="J2612" s="0" t="n">
        <f aca="false">E2612</f>
        <v>-0.25</v>
      </c>
      <c r="K2612" s="0" t="n">
        <f aca="false">F2612</f>
        <v>0.25</v>
      </c>
      <c r="L2612" s="0" t="n">
        <f aca="false">G2612</f>
        <v>-0.75</v>
      </c>
      <c r="M2612" s="0" t="n">
        <f aca="false">H2612</f>
        <v>0.5</v>
      </c>
      <c r="N2612" s="0" t="n">
        <f aca="false">E2612*F2612</f>
        <v>-0.0625</v>
      </c>
      <c r="O2612" s="0" t="n">
        <f aca="false">E2612*G2612</f>
        <v>0.1875</v>
      </c>
      <c r="P2612" s="0" t="n">
        <f aca="false">E2612*H2612</f>
        <v>-0.125</v>
      </c>
      <c r="Q2612" s="0" t="n">
        <f aca="false">F2612*G2612</f>
        <v>-0.1875</v>
      </c>
      <c r="R2612" s="0" t="n">
        <f aca="false">F2612*H2612</f>
        <v>0.125</v>
      </c>
      <c r="S2612" s="0" t="n">
        <f aca="false">G2612*H2612</f>
        <v>-0.375</v>
      </c>
      <c r="T2612" s="0" t="n">
        <f aca="false">E2612*E2612</f>
        <v>0.0625</v>
      </c>
      <c r="U2612" s="0" t="n">
        <f aca="false">F2612*F2612</f>
        <v>0.0625</v>
      </c>
      <c r="V2612" s="0" t="n">
        <f aca="false">G2612*G2612</f>
        <v>0.5625</v>
      </c>
      <c r="W2612" s="0" t="n">
        <f aca="false">H2612*H2612</f>
        <v>0.25</v>
      </c>
      <c r="X2612" s="0" t="n">
        <f aca="false">SUMPRODUCT(I2612:W2612,_XtX!$B$96:$P$96)</f>
        <v>46.1923108552631</v>
      </c>
      <c r="Y2612" s="0" t="n">
        <f aca="false">SUMPRODUCT(MMULT(I2612:W2612,_XtX!$B$78:$P$92),I2612:W2612)</f>
        <v>0.207746539199561</v>
      </c>
      <c r="Z2612" s="0" t="n">
        <f aca="false">04_回帰ANOVA!$K$19*04_回帰ANOVA!$K$14*SQRT(1+Y2612)</f>
        <v>1.43247250081141</v>
      </c>
      <c r="AA2612" s="0" t="n">
        <f aca="false">X2612-Z2612</f>
        <v>44.7598383544517</v>
      </c>
      <c r="AB2612" s="0" t="n">
        <f aca="false">X2612+Z2612</f>
        <v>47.6247833560745</v>
      </c>
      <c r="AC2612" s="54" t="b">
        <f aca="false">AND(E2612&gt;=01_因子設定!$L$5-0.000000001,E2612&lt;=01_因子設定!$M$5+0.000000001,F2612&gt;=01_因子設定!$L$6-0.000000001,F2612&lt;=01_因子設定!$M$6+0.000000001,G2612&gt;=01_因子設定!$L$7-0.000000001,G2612&lt;=01_因子設定!$M$7+0.000000001,H2612&gt;=01_因子設定!$L$8-0.000000001,H2612&lt;=01_因子設定!$M$8+0.000000001,IF(01_因子設定!$B$20="Box-Behnken",E2612^2+F2612^2+G2612^2+H2612^2&lt;=2+0.000000001,TRUE()))</f>
        <v>1</v>
      </c>
      <c r="AD2612" s="55" t="n">
        <f aca="false">IF(AC2612,IF(01_因子設定!$B$13="最大化",AA2612-01_因子設定!$B$14,IF(01_因子設定!$B$13="最小化",01_因子設定!$B$15-AB2612,MIN(AA2612-01_因子設定!$B$14,01_因子設定!$B$15-AB2612))),-1E+030)</f>
        <v>-1.7401616455483</v>
      </c>
      <c r="AE2612" s="55" t="n">
        <f aca="false">IF(AC2612,IF(01_因子設定!$B$13="最大化",X2612,IF(01_因子設定!$B$13="最小化",-X2612,-ABS(X2612-01_因子設定!$B$16))),-1E+030)</f>
        <v>46.1923108552631</v>
      </c>
      <c r="AF2612" s="55" t="n">
        <f aca="false">AD2612+ROW()*0.000000001</f>
        <v>-1.7401590335483</v>
      </c>
      <c r="AG2612" s="55" t="n">
        <f aca="false">AE2612+ROW()*0.000000001</f>
        <v>46.1923134672631</v>
      </c>
    </row>
    <row r="2613" customFormat="false" ht="15" hidden="false" customHeight="false" outlineLevel="0" collapsed="false">
      <c r="A2613" s="0" t="n">
        <v>3</v>
      </c>
      <c r="B2613" s="0" t="n">
        <v>5</v>
      </c>
      <c r="C2613" s="0" t="n">
        <v>1</v>
      </c>
      <c r="D2613" s="0" t="n">
        <v>7</v>
      </c>
      <c r="E2613" s="0" t="n">
        <f aca="false">-1+A2613*0.25</f>
        <v>-0.25</v>
      </c>
      <c r="F2613" s="0" t="n">
        <f aca="false">-1+B2613*0.25</f>
        <v>0.25</v>
      </c>
      <c r="G2613" s="0" t="n">
        <f aca="false">-1+C2613*0.25</f>
        <v>-0.75</v>
      </c>
      <c r="H2613" s="0" t="n">
        <f aca="false">-1+D2613*0.25</f>
        <v>0.75</v>
      </c>
      <c r="I2613" s="0" t="n">
        <f aca="false">1</f>
        <v>1</v>
      </c>
      <c r="J2613" s="0" t="n">
        <f aca="false">E2613</f>
        <v>-0.25</v>
      </c>
      <c r="K2613" s="0" t="n">
        <f aca="false">F2613</f>
        <v>0.25</v>
      </c>
      <c r="L2613" s="0" t="n">
        <f aca="false">G2613</f>
        <v>-0.75</v>
      </c>
      <c r="M2613" s="0" t="n">
        <f aca="false">H2613</f>
        <v>0.75</v>
      </c>
      <c r="N2613" s="0" t="n">
        <f aca="false">E2613*F2613</f>
        <v>-0.0625</v>
      </c>
      <c r="O2613" s="0" t="n">
        <f aca="false">E2613*G2613</f>
        <v>0.1875</v>
      </c>
      <c r="P2613" s="0" t="n">
        <f aca="false">E2613*H2613</f>
        <v>-0.1875</v>
      </c>
      <c r="Q2613" s="0" t="n">
        <f aca="false">F2613*G2613</f>
        <v>-0.1875</v>
      </c>
      <c r="R2613" s="0" t="n">
        <f aca="false">F2613*H2613</f>
        <v>0.1875</v>
      </c>
      <c r="S2613" s="0" t="n">
        <f aca="false">G2613*H2613</f>
        <v>-0.5625</v>
      </c>
      <c r="T2613" s="0" t="n">
        <f aca="false">E2613*E2613</f>
        <v>0.0625</v>
      </c>
      <c r="U2613" s="0" t="n">
        <f aca="false">F2613*F2613</f>
        <v>0.0625</v>
      </c>
      <c r="V2613" s="0" t="n">
        <f aca="false">G2613*G2613</f>
        <v>0.5625</v>
      </c>
      <c r="W2613" s="0" t="n">
        <f aca="false">H2613*H2613</f>
        <v>0.5625</v>
      </c>
      <c r="X2613" s="0" t="n">
        <f aca="false">SUMPRODUCT(I2613:W2613,_XtX!$B$96:$P$96)</f>
        <v>46.0991822002924</v>
      </c>
      <c r="Y2613" s="0" t="n">
        <f aca="false">SUMPRODUCT(MMULT(I2613:W2613,_XtX!$B$78:$P$92),I2613:W2613)</f>
        <v>0.271087468019006</v>
      </c>
      <c r="Z2613" s="0" t="n">
        <f aca="false">04_回帰ANOVA!$K$19*04_回帰ANOVA!$K$14*SQRT(1+Y2613)</f>
        <v>1.46955590155034</v>
      </c>
      <c r="AA2613" s="0" t="n">
        <f aca="false">X2613-Z2613</f>
        <v>44.629626298742</v>
      </c>
      <c r="AB2613" s="0" t="n">
        <f aca="false">X2613+Z2613</f>
        <v>47.5687381018427</v>
      </c>
      <c r="AC2613" s="54" t="b">
        <f aca="false">AND(E2613&gt;=01_因子設定!$L$5-0.000000001,E2613&lt;=01_因子設定!$M$5+0.000000001,F2613&gt;=01_因子設定!$L$6-0.000000001,F2613&lt;=01_因子設定!$M$6+0.000000001,G2613&gt;=01_因子設定!$L$7-0.000000001,G2613&lt;=01_因子設定!$M$7+0.000000001,H2613&gt;=01_因子設定!$L$8-0.000000001,H2613&lt;=01_因子設定!$M$8+0.000000001,IF(01_因子設定!$B$20="Box-Behnken",E2613^2+F2613^2+G2613^2+H2613^2&lt;=2+0.000000001,TRUE()))</f>
        <v>1</v>
      </c>
      <c r="AD2613" s="55" t="n">
        <f aca="false">IF(AC2613,IF(01_因子設定!$B$13="最大化",AA2613-01_因子設定!$B$14,IF(01_因子設定!$B$13="最小化",01_因子設定!$B$15-AB2613,MIN(AA2613-01_因子設定!$B$14,01_因子設定!$B$15-AB2613))),-1E+030)</f>
        <v>-1.87037370125798</v>
      </c>
      <c r="AE2613" s="55" t="n">
        <f aca="false">IF(AC2613,IF(01_因子設定!$B$13="最大化",X2613,IF(01_因子設定!$B$13="最小化",-X2613,-ABS(X2613-01_因子設定!$B$16))),-1E+030)</f>
        <v>46.0991822002924</v>
      </c>
      <c r="AF2613" s="55" t="n">
        <f aca="false">AD2613+ROW()*0.000000001</f>
        <v>-1.87037108825798</v>
      </c>
      <c r="AG2613" s="55" t="n">
        <f aca="false">AE2613+ROW()*0.000000001</f>
        <v>46.0991848132924</v>
      </c>
    </row>
    <row r="2614" customFormat="false" ht="15" hidden="false" customHeight="false" outlineLevel="0" collapsed="false">
      <c r="A2614" s="0" t="n">
        <v>3</v>
      </c>
      <c r="B2614" s="0" t="n">
        <v>5</v>
      </c>
      <c r="C2614" s="0" t="n">
        <v>1</v>
      </c>
      <c r="D2614" s="0" t="n">
        <v>8</v>
      </c>
      <c r="E2614" s="0" t="n">
        <f aca="false">-1+A2614*0.25</f>
        <v>-0.25</v>
      </c>
      <c r="F2614" s="0" t="n">
        <f aca="false">-1+B2614*0.25</f>
        <v>0.25</v>
      </c>
      <c r="G2614" s="0" t="n">
        <f aca="false">-1+C2614*0.25</f>
        <v>-0.75</v>
      </c>
      <c r="H2614" s="0" t="n">
        <f aca="false">-1+D2614*0.25</f>
        <v>1</v>
      </c>
      <c r="I2614" s="0" t="n">
        <f aca="false">1</f>
        <v>1</v>
      </c>
      <c r="J2614" s="0" t="n">
        <f aca="false">E2614</f>
        <v>-0.25</v>
      </c>
      <c r="K2614" s="0" t="n">
        <f aca="false">F2614</f>
        <v>0.25</v>
      </c>
      <c r="L2614" s="0" t="n">
        <f aca="false">G2614</f>
        <v>-0.75</v>
      </c>
      <c r="M2614" s="0" t="n">
        <f aca="false">H2614</f>
        <v>1</v>
      </c>
      <c r="N2614" s="0" t="n">
        <f aca="false">E2614*F2614</f>
        <v>-0.0625</v>
      </c>
      <c r="O2614" s="0" t="n">
        <f aca="false">E2614*G2614</f>
        <v>0.1875</v>
      </c>
      <c r="P2614" s="0" t="n">
        <f aca="false">E2614*H2614</f>
        <v>-0.25</v>
      </c>
      <c r="Q2614" s="0" t="n">
        <f aca="false">F2614*G2614</f>
        <v>-0.1875</v>
      </c>
      <c r="R2614" s="0" t="n">
        <f aca="false">F2614*H2614</f>
        <v>0.25</v>
      </c>
      <c r="S2614" s="0" t="n">
        <f aca="false">G2614*H2614</f>
        <v>-0.75</v>
      </c>
      <c r="T2614" s="0" t="n">
        <f aca="false">E2614*E2614</f>
        <v>0.0625</v>
      </c>
      <c r="U2614" s="0" t="n">
        <f aca="false">F2614*F2614</f>
        <v>0.0625</v>
      </c>
      <c r="V2614" s="0" t="n">
        <f aca="false">G2614*G2614</f>
        <v>0.5625</v>
      </c>
      <c r="W2614" s="0" t="n">
        <f aca="false">H2614*H2614</f>
        <v>1</v>
      </c>
      <c r="X2614" s="0" t="n">
        <f aca="false">SUMPRODUCT(I2614:W2614,_XtX!$B$96:$P$96)</f>
        <v>45.9582465277778</v>
      </c>
      <c r="Y2614" s="0" t="n">
        <f aca="false">SUMPRODUCT(MMULT(I2614:W2614,_XtX!$B$78:$P$92),I2614:W2614)</f>
        <v>0.486409505208334</v>
      </c>
      <c r="Z2614" s="0" t="n">
        <f aca="false">04_回帰ANOVA!$K$19*04_回帰ANOVA!$K$14*SQRT(1+Y2614)</f>
        <v>1.58916001665498</v>
      </c>
      <c r="AA2614" s="0" t="n">
        <f aca="false">X2614-Z2614</f>
        <v>44.3690865111228</v>
      </c>
      <c r="AB2614" s="0" t="n">
        <f aca="false">X2614+Z2614</f>
        <v>47.5474065444327</v>
      </c>
      <c r="AC2614" s="54" t="b">
        <f aca="false">AND(E2614&gt;=01_因子設定!$L$5-0.000000001,E2614&lt;=01_因子設定!$M$5+0.000000001,F2614&gt;=01_因子設定!$L$6-0.000000001,F2614&lt;=01_因子設定!$M$6+0.000000001,G2614&gt;=01_因子設定!$L$7-0.000000001,G2614&lt;=01_因子設定!$M$7+0.000000001,H2614&gt;=01_因子設定!$L$8-0.000000001,H2614&lt;=01_因子設定!$M$8+0.000000001,IF(01_因子設定!$B$20="Box-Behnken",E2614^2+F2614^2+G2614^2+H2614^2&lt;=2+0.000000001,TRUE()))</f>
        <v>1</v>
      </c>
      <c r="AD2614" s="55" t="n">
        <f aca="false">IF(AC2614,IF(01_因子設定!$B$13="最大化",AA2614-01_因子設定!$B$14,IF(01_因子設定!$B$13="最小化",01_因子設定!$B$15-AB2614,MIN(AA2614-01_因子設定!$B$14,01_因子設定!$B$15-AB2614))),-1E+030)</f>
        <v>-2.13091348887723</v>
      </c>
      <c r="AE2614" s="55" t="n">
        <f aca="false">IF(AC2614,IF(01_因子設定!$B$13="最大化",X2614,IF(01_因子設定!$B$13="最小化",-X2614,-ABS(X2614-01_因子設定!$B$16))),-1E+030)</f>
        <v>45.9582465277778</v>
      </c>
      <c r="AF2614" s="55" t="n">
        <f aca="false">AD2614+ROW()*0.000000001</f>
        <v>-2.13091087487723</v>
      </c>
      <c r="AG2614" s="55" t="n">
        <f aca="false">AE2614+ROW()*0.000000001</f>
        <v>45.9582491417778</v>
      </c>
    </row>
    <row r="2615" customFormat="false" ht="15" hidden="false" customHeight="false" outlineLevel="0" collapsed="false">
      <c r="A2615" s="0" t="n">
        <v>3</v>
      </c>
      <c r="B2615" s="0" t="n">
        <v>5</v>
      </c>
      <c r="C2615" s="0" t="n">
        <v>2</v>
      </c>
      <c r="D2615" s="0" t="n">
        <v>0</v>
      </c>
      <c r="E2615" s="0" t="n">
        <f aca="false">-1+A2615*0.25</f>
        <v>-0.25</v>
      </c>
      <c r="F2615" s="0" t="n">
        <f aca="false">-1+B2615*0.25</f>
        <v>0.25</v>
      </c>
      <c r="G2615" s="0" t="n">
        <f aca="false">-1+C2615*0.25</f>
        <v>-0.5</v>
      </c>
      <c r="H2615" s="0" t="n">
        <f aca="false">-1+D2615*0.25</f>
        <v>-1</v>
      </c>
      <c r="I2615" s="0" t="n">
        <f aca="false">1</f>
        <v>1</v>
      </c>
      <c r="J2615" s="0" t="n">
        <f aca="false">E2615</f>
        <v>-0.25</v>
      </c>
      <c r="K2615" s="0" t="n">
        <f aca="false">F2615</f>
        <v>0.25</v>
      </c>
      <c r="L2615" s="0" t="n">
        <f aca="false">G2615</f>
        <v>-0.5</v>
      </c>
      <c r="M2615" s="0" t="n">
        <f aca="false">H2615</f>
        <v>-1</v>
      </c>
      <c r="N2615" s="0" t="n">
        <f aca="false">E2615*F2615</f>
        <v>-0.0625</v>
      </c>
      <c r="O2615" s="0" t="n">
        <f aca="false">E2615*G2615</f>
        <v>0.125</v>
      </c>
      <c r="P2615" s="0" t="n">
        <f aca="false">E2615*H2615</f>
        <v>0.25</v>
      </c>
      <c r="Q2615" s="0" t="n">
        <f aca="false">F2615*G2615</f>
        <v>-0.125</v>
      </c>
      <c r="R2615" s="0" t="n">
        <f aca="false">F2615*H2615</f>
        <v>-0.25</v>
      </c>
      <c r="S2615" s="0" t="n">
        <f aca="false">G2615*H2615</f>
        <v>0.5</v>
      </c>
      <c r="T2615" s="0" t="n">
        <f aca="false">E2615*E2615</f>
        <v>0.0625</v>
      </c>
      <c r="U2615" s="0" t="n">
        <f aca="false">F2615*F2615</f>
        <v>0.0625</v>
      </c>
      <c r="V2615" s="0" t="n">
        <f aca="false">G2615*G2615</f>
        <v>0.25</v>
      </c>
      <c r="W2615" s="0" t="n">
        <f aca="false">H2615*H2615</f>
        <v>1</v>
      </c>
      <c r="X2615" s="0" t="n">
        <f aca="false">SUMPRODUCT(I2615:W2615,_XtX!$B$96:$P$96)</f>
        <v>46.1945175438596</v>
      </c>
      <c r="Y2615" s="0" t="n">
        <f aca="false">SUMPRODUCT(MMULT(I2615:W2615,_XtX!$B$78:$P$92),I2615:W2615)</f>
        <v>0.445705123812135</v>
      </c>
      <c r="Z2615" s="0" t="n">
        <f aca="false">04_回帰ANOVA!$K$19*04_回帰ANOVA!$K$14*SQRT(1+Y2615)</f>
        <v>1.56724990734749</v>
      </c>
      <c r="AA2615" s="0" t="n">
        <f aca="false">X2615-Z2615</f>
        <v>44.6272676365121</v>
      </c>
      <c r="AB2615" s="0" t="n">
        <f aca="false">X2615+Z2615</f>
        <v>47.7617674512071</v>
      </c>
      <c r="AC2615" s="54" t="b">
        <f aca="false">AND(E2615&gt;=01_因子設定!$L$5-0.000000001,E2615&lt;=01_因子設定!$M$5+0.000000001,F2615&gt;=01_因子設定!$L$6-0.000000001,F2615&lt;=01_因子設定!$M$6+0.000000001,G2615&gt;=01_因子設定!$L$7-0.000000001,G2615&lt;=01_因子設定!$M$7+0.000000001,H2615&gt;=01_因子設定!$L$8-0.000000001,H2615&lt;=01_因子設定!$M$8+0.000000001,IF(01_因子設定!$B$20="Box-Behnken",E2615^2+F2615^2+G2615^2+H2615^2&lt;=2+0.000000001,TRUE()))</f>
        <v>1</v>
      </c>
      <c r="AD2615" s="55" t="n">
        <f aca="false">IF(AC2615,IF(01_因子設定!$B$13="最大化",AA2615-01_因子設定!$B$14,IF(01_因子設定!$B$13="最小化",01_因子設定!$B$15-AB2615,MIN(AA2615-01_因子設定!$B$14,01_因子設定!$B$15-AB2615))),-1E+030)</f>
        <v>-1.87273236348786</v>
      </c>
      <c r="AE2615" s="55" t="n">
        <f aca="false">IF(AC2615,IF(01_因子設定!$B$13="最大化",X2615,IF(01_因子設定!$B$13="最小化",-X2615,-ABS(X2615-01_因子設定!$B$16))),-1E+030)</f>
        <v>46.1945175438596</v>
      </c>
      <c r="AF2615" s="55" t="n">
        <f aca="false">AD2615+ROW()*0.000000001</f>
        <v>-1.87272974848786</v>
      </c>
      <c r="AG2615" s="55" t="n">
        <f aca="false">AE2615+ROW()*0.000000001</f>
        <v>46.1945201588596</v>
      </c>
    </row>
    <row r="2616" customFormat="false" ht="15" hidden="false" customHeight="false" outlineLevel="0" collapsed="false">
      <c r="A2616" s="0" t="n">
        <v>3</v>
      </c>
      <c r="B2616" s="0" t="n">
        <v>5</v>
      </c>
      <c r="C2616" s="0" t="n">
        <v>2</v>
      </c>
      <c r="D2616" s="0" t="n">
        <v>1</v>
      </c>
      <c r="E2616" s="0" t="n">
        <f aca="false">-1+A2616*0.25</f>
        <v>-0.25</v>
      </c>
      <c r="F2616" s="0" t="n">
        <f aca="false">-1+B2616*0.25</f>
        <v>0.25</v>
      </c>
      <c r="G2616" s="0" t="n">
        <f aca="false">-1+C2616*0.25</f>
        <v>-0.5</v>
      </c>
      <c r="H2616" s="0" t="n">
        <f aca="false">-1+D2616*0.25</f>
        <v>-0.75</v>
      </c>
      <c r="I2616" s="0" t="n">
        <f aca="false">1</f>
        <v>1</v>
      </c>
      <c r="J2616" s="0" t="n">
        <f aca="false">E2616</f>
        <v>-0.25</v>
      </c>
      <c r="K2616" s="0" t="n">
        <f aca="false">F2616</f>
        <v>0.25</v>
      </c>
      <c r="L2616" s="0" t="n">
        <f aca="false">G2616</f>
        <v>-0.5</v>
      </c>
      <c r="M2616" s="0" t="n">
        <f aca="false">H2616</f>
        <v>-0.75</v>
      </c>
      <c r="N2616" s="0" t="n">
        <f aca="false">E2616*F2616</f>
        <v>-0.0625</v>
      </c>
      <c r="O2616" s="0" t="n">
        <f aca="false">E2616*G2616</f>
        <v>0.125</v>
      </c>
      <c r="P2616" s="0" t="n">
        <f aca="false">E2616*H2616</f>
        <v>0.1875</v>
      </c>
      <c r="Q2616" s="0" t="n">
        <f aca="false">F2616*G2616</f>
        <v>-0.125</v>
      </c>
      <c r="R2616" s="0" t="n">
        <f aca="false">F2616*H2616</f>
        <v>-0.1875</v>
      </c>
      <c r="S2616" s="0" t="n">
        <f aca="false">G2616*H2616</f>
        <v>0.375</v>
      </c>
      <c r="T2616" s="0" t="n">
        <f aca="false">E2616*E2616</f>
        <v>0.0625</v>
      </c>
      <c r="U2616" s="0" t="n">
        <f aca="false">F2616*F2616</f>
        <v>0.0625</v>
      </c>
      <c r="V2616" s="0" t="n">
        <f aca="false">G2616*G2616</f>
        <v>0.25</v>
      </c>
      <c r="W2616" s="0" t="n">
        <f aca="false">H2616*H2616</f>
        <v>0.5625</v>
      </c>
      <c r="X2616" s="0" t="n">
        <f aca="false">SUMPRODUCT(I2616:W2616,_XtX!$B$96:$P$96)</f>
        <v>46.406199744152</v>
      </c>
      <c r="Y2616" s="0" t="n">
        <f aca="false">SUMPRODUCT(MMULT(I2616:W2616,_XtX!$B$78:$P$92),I2616:W2616)</f>
        <v>0.207746539199561</v>
      </c>
      <c r="Z2616" s="0" t="n">
        <f aca="false">04_回帰ANOVA!$K$19*04_回帰ANOVA!$K$14*SQRT(1+Y2616)</f>
        <v>1.43247250081141</v>
      </c>
      <c r="AA2616" s="0" t="n">
        <f aca="false">X2616-Z2616</f>
        <v>44.9737272433406</v>
      </c>
      <c r="AB2616" s="0" t="n">
        <f aca="false">X2616+Z2616</f>
        <v>47.8386722449634</v>
      </c>
      <c r="AC2616" s="54" t="b">
        <f aca="false">AND(E2616&gt;=01_因子設定!$L$5-0.000000001,E2616&lt;=01_因子設定!$M$5+0.000000001,F2616&gt;=01_因子設定!$L$6-0.000000001,F2616&lt;=01_因子設定!$M$6+0.000000001,G2616&gt;=01_因子設定!$L$7-0.000000001,G2616&lt;=01_因子設定!$M$7+0.000000001,H2616&gt;=01_因子設定!$L$8-0.000000001,H2616&lt;=01_因子設定!$M$8+0.000000001,IF(01_因子設定!$B$20="Box-Behnken",E2616^2+F2616^2+G2616^2+H2616^2&lt;=2+0.000000001,TRUE()))</f>
        <v>1</v>
      </c>
      <c r="AD2616" s="55" t="n">
        <f aca="false">IF(AC2616,IF(01_因子設定!$B$13="最大化",AA2616-01_因子設定!$B$14,IF(01_因子設定!$B$13="最小化",01_因子設定!$B$15-AB2616,MIN(AA2616-01_因子設定!$B$14,01_因子設定!$B$15-AB2616))),-1E+030)</f>
        <v>-1.5262727566594</v>
      </c>
      <c r="AE2616" s="55" t="n">
        <f aca="false">IF(AC2616,IF(01_因子設定!$B$13="最大化",X2616,IF(01_因子設定!$B$13="最小化",-X2616,-ABS(X2616-01_因子設定!$B$16))),-1E+030)</f>
        <v>46.406199744152</v>
      </c>
      <c r="AF2616" s="55" t="n">
        <f aca="false">AD2616+ROW()*0.000000001</f>
        <v>-1.5262701406594</v>
      </c>
      <c r="AG2616" s="55" t="n">
        <f aca="false">AE2616+ROW()*0.000000001</f>
        <v>46.406202360152</v>
      </c>
    </row>
    <row r="2617" customFormat="false" ht="15" hidden="false" customHeight="false" outlineLevel="0" collapsed="false">
      <c r="A2617" s="0" t="n">
        <v>3</v>
      </c>
      <c r="B2617" s="0" t="n">
        <v>5</v>
      </c>
      <c r="C2617" s="0" t="n">
        <v>2</v>
      </c>
      <c r="D2617" s="0" t="n">
        <v>2</v>
      </c>
      <c r="E2617" s="0" t="n">
        <f aca="false">-1+A2617*0.25</f>
        <v>-0.25</v>
      </c>
      <c r="F2617" s="0" t="n">
        <f aca="false">-1+B2617*0.25</f>
        <v>0.25</v>
      </c>
      <c r="G2617" s="0" t="n">
        <f aca="false">-1+C2617*0.25</f>
        <v>-0.5</v>
      </c>
      <c r="H2617" s="0" t="n">
        <f aca="false">-1+D2617*0.25</f>
        <v>-0.5</v>
      </c>
      <c r="I2617" s="0" t="n">
        <f aca="false">1</f>
        <v>1</v>
      </c>
      <c r="J2617" s="0" t="n">
        <f aca="false">E2617</f>
        <v>-0.25</v>
      </c>
      <c r="K2617" s="0" t="n">
        <f aca="false">F2617</f>
        <v>0.25</v>
      </c>
      <c r="L2617" s="0" t="n">
        <f aca="false">G2617</f>
        <v>-0.5</v>
      </c>
      <c r="M2617" s="0" t="n">
        <f aca="false">H2617</f>
        <v>-0.5</v>
      </c>
      <c r="N2617" s="0" t="n">
        <f aca="false">E2617*F2617</f>
        <v>-0.0625</v>
      </c>
      <c r="O2617" s="0" t="n">
        <f aca="false">E2617*G2617</f>
        <v>0.125</v>
      </c>
      <c r="P2617" s="0" t="n">
        <f aca="false">E2617*H2617</f>
        <v>0.125</v>
      </c>
      <c r="Q2617" s="0" t="n">
        <f aca="false">F2617*G2617</f>
        <v>-0.125</v>
      </c>
      <c r="R2617" s="0" t="n">
        <f aca="false">F2617*H2617</f>
        <v>-0.125</v>
      </c>
      <c r="S2617" s="0" t="n">
        <f aca="false">G2617*H2617</f>
        <v>0.25</v>
      </c>
      <c r="T2617" s="0" t="n">
        <f aca="false">E2617*E2617</f>
        <v>0.0625</v>
      </c>
      <c r="U2617" s="0" t="n">
        <f aca="false">F2617*F2617</f>
        <v>0.0625</v>
      </c>
      <c r="V2617" s="0" t="n">
        <f aca="false">G2617*G2617</f>
        <v>0.25</v>
      </c>
      <c r="W2617" s="0" t="n">
        <f aca="false">H2617*H2617</f>
        <v>0.25</v>
      </c>
      <c r="X2617" s="0" t="n">
        <f aca="false">SUMPRODUCT(I2617:W2617,_XtX!$B$96:$P$96)</f>
        <v>46.5700749269005</v>
      </c>
      <c r="Y2617" s="0" t="n">
        <f aca="false">SUMPRODUCT(MMULT(I2617:W2617,_XtX!$B$78:$P$92),I2617:W2617)</f>
        <v>0.128236647934942</v>
      </c>
      <c r="Z2617" s="0" t="n">
        <f aca="false">04_回帰ANOVA!$K$19*04_回帰ANOVA!$K$14*SQRT(1+Y2617)</f>
        <v>1.38451764188989</v>
      </c>
      <c r="AA2617" s="0" t="n">
        <f aca="false">X2617-Z2617</f>
        <v>45.1855572850107</v>
      </c>
      <c r="AB2617" s="0" t="n">
        <f aca="false">X2617+Z2617</f>
        <v>47.9545925687904</v>
      </c>
      <c r="AC2617" s="54" t="b">
        <f aca="false">AND(E2617&gt;=01_因子設定!$L$5-0.000000001,E2617&lt;=01_因子設定!$M$5+0.000000001,F2617&gt;=01_因子設定!$L$6-0.000000001,F2617&lt;=01_因子設定!$M$6+0.000000001,G2617&gt;=01_因子設定!$L$7-0.000000001,G2617&lt;=01_因子設定!$M$7+0.000000001,H2617&gt;=01_因子設定!$L$8-0.000000001,H2617&lt;=01_因子設定!$M$8+0.000000001,IF(01_因子設定!$B$20="Box-Behnken",E2617^2+F2617^2+G2617^2+H2617^2&lt;=2+0.000000001,TRUE()))</f>
        <v>1</v>
      </c>
      <c r="AD2617" s="55" t="n">
        <f aca="false">IF(AC2617,IF(01_因子設定!$B$13="最大化",AA2617-01_因子設定!$B$14,IF(01_因子設定!$B$13="最小化",01_因子設定!$B$15-AB2617,MIN(AA2617-01_因子設定!$B$14,01_因子設定!$B$15-AB2617))),-1E+030)</f>
        <v>-1.31444271498935</v>
      </c>
      <c r="AE2617" s="55" t="n">
        <f aca="false">IF(AC2617,IF(01_因子設定!$B$13="最大化",X2617,IF(01_因子設定!$B$13="最小化",-X2617,-ABS(X2617-01_因子設定!$B$16))),-1E+030)</f>
        <v>46.5700749269005</v>
      </c>
      <c r="AF2617" s="55" t="n">
        <f aca="false">AD2617+ROW()*0.000000001</f>
        <v>-1.31444009798935</v>
      </c>
      <c r="AG2617" s="55" t="n">
        <f aca="false">AE2617+ROW()*0.000000001</f>
        <v>46.5700775439005</v>
      </c>
    </row>
    <row r="2618" customFormat="false" ht="15" hidden="false" customHeight="false" outlineLevel="0" collapsed="false">
      <c r="A2618" s="0" t="n">
        <v>3</v>
      </c>
      <c r="B2618" s="0" t="n">
        <v>5</v>
      </c>
      <c r="C2618" s="0" t="n">
        <v>2</v>
      </c>
      <c r="D2618" s="0" t="n">
        <v>3</v>
      </c>
      <c r="E2618" s="0" t="n">
        <f aca="false">-1+A2618*0.25</f>
        <v>-0.25</v>
      </c>
      <c r="F2618" s="0" t="n">
        <f aca="false">-1+B2618*0.25</f>
        <v>0.25</v>
      </c>
      <c r="G2618" s="0" t="n">
        <f aca="false">-1+C2618*0.25</f>
        <v>-0.5</v>
      </c>
      <c r="H2618" s="0" t="n">
        <f aca="false">-1+D2618*0.25</f>
        <v>-0.25</v>
      </c>
      <c r="I2618" s="0" t="n">
        <f aca="false">1</f>
        <v>1</v>
      </c>
      <c r="J2618" s="0" t="n">
        <f aca="false">E2618</f>
        <v>-0.25</v>
      </c>
      <c r="K2618" s="0" t="n">
        <f aca="false">F2618</f>
        <v>0.25</v>
      </c>
      <c r="L2618" s="0" t="n">
        <f aca="false">G2618</f>
        <v>-0.5</v>
      </c>
      <c r="M2618" s="0" t="n">
        <f aca="false">H2618</f>
        <v>-0.25</v>
      </c>
      <c r="N2618" s="0" t="n">
        <f aca="false">E2618*F2618</f>
        <v>-0.0625</v>
      </c>
      <c r="O2618" s="0" t="n">
        <f aca="false">E2618*G2618</f>
        <v>0.125</v>
      </c>
      <c r="P2618" s="0" t="n">
        <f aca="false">E2618*H2618</f>
        <v>0.0625</v>
      </c>
      <c r="Q2618" s="0" t="n">
        <f aca="false">F2618*G2618</f>
        <v>-0.125</v>
      </c>
      <c r="R2618" s="0" t="n">
        <f aca="false">F2618*H2618</f>
        <v>-0.0625</v>
      </c>
      <c r="S2618" s="0" t="n">
        <f aca="false">G2618*H2618</f>
        <v>0.125</v>
      </c>
      <c r="T2618" s="0" t="n">
        <f aca="false">E2618*E2618</f>
        <v>0.0625</v>
      </c>
      <c r="U2618" s="0" t="n">
        <f aca="false">F2618*F2618</f>
        <v>0.0625</v>
      </c>
      <c r="V2618" s="0" t="n">
        <f aca="false">G2618*G2618</f>
        <v>0.25</v>
      </c>
      <c r="W2618" s="0" t="n">
        <f aca="false">H2618*H2618</f>
        <v>0.0625</v>
      </c>
      <c r="X2618" s="0" t="n">
        <f aca="false">SUMPRODUCT(I2618:W2618,_XtX!$B$96:$P$96)</f>
        <v>46.6861430921052</v>
      </c>
      <c r="Y2618" s="0" t="n">
        <f aca="false">SUMPRODUCT(MMULT(I2618:W2618,_XtX!$B$78:$P$92),I2618:W2618)</f>
        <v>0.116714923702485</v>
      </c>
      <c r="Z2618" s="0" t="n">
        <f aca="false">04_回帰ANOVA!$K$19*04_回帰ANOVA!$K$14*SQRT(1+Y2618)</f>
        <v>1.37743004820023</v>
      </c>
      <c r="AA2618" s="0" t="n">
        <f aca="false">X2618-Z2618</f>
        <v>45.308713043905</v>
      </c>
      <c r="AB2618" s="0" t="n">
        <f aca="false">X2618+Z2618</f>
        <v>48.0635731403054</v>
      </c>
      <c r="AC2618" s="54" t="b">
        <f aca="false">AND(E2618&gt;=01_因子設定!$L$5-0.000000001,E2618&lt;=01_因子設定!$M$5+0.000000001,F2618&gt;=01_因子設定!$L$6-0.000000001,F2618&lt;=01_因子設定!$M$6+0.000000001,G2618&gt;=01_因子設定!$L$7-0.000000001,G2618&lt;=01_因子設定!$M$7+0.000000001,H2618&gt;=01_因子設定!$L$8-0.000000001,H2618&lt;=01_因子設定!$M$8+0.000000001,IF(01_因子設定!$B$20="Box-Behnken",E2618^2+F2618^2+G2618^2+H2618^2&lt;=2+0.000000001,TRUE()))</f>
        <v>1</v>
      </c>
      <c r="AD2618" s="55" t="n">
        <f aca="false">IF(AC2618,IF(01_因子設定!$B$13="最大化",AA2618-01_因子設定!$B$14,IF(01_因子設定!$B$13="最小化",01_因子設定!$B$15-AB2618,MIN(AA2618-01_因子設定!$B$14,01_因子設定!$B$15-AB2618))),-1E+030)</f>
        <v>-1.19128695609502</v>
      </c>
      <c r="AE2618" s="55" t="n">
        <f aca="false">IF(AC2618,IF(01_因子設定!$B$13="最大化",X2618,IF(01_因子設定!$B$13="最小化",-X2618,-ABS(X2618-01_因子設定!$B$16))),-1E+030)</f>
        <v>46.6861430921052</v>
      </c>
      <c r="AF2618" s="55" t="n">
        <f aca="false">AD2618+ROW()*0.000000001</f>
        <v>-1.19128433809502</v>
      </c>
      <c r="AG2618" s="55" t="n">
        <f aca="false">AE2618+ROW()*0.000000001</f>
        <v>46.6861457101052</v>
      </c>
    </row>
    <row r="2619" customFormat="false" ht="15" hidden="false" customHeight="false" outlineLevel="0" collapsed="false">
      <c r="A2619" s="0" t="n">
        <v>3</v>
      </c>
      <c r="B2619" s="0" t="n">
        <v>5</v>
      </c>
      <c r="C2619" s="0" t="n">
        <v>2</v>
      </c>
      <c r="D2619" s="0" t="n">
        <v>4</v>
      </c>
      <c r="E2619" s="0" t="n">
        <f aca="false">-1+A2619*0.25</f>
        <v>-0.25</v>
      </c>
      <c r="F2619" s="0" t="n">
        <f aca="false">-1+B2619*0.25</f>
        <v>0.25</v>
      </c>
      <c r="G2619" s="0" t="n">
        <f aca="false">-1+C2619*0.25</f>
        <v>-0.5</v>
      </c>
      <c r="H2619" s="0" t="n">
        <f aca="false">-1+D2619*0.25</f>
        <v>0</v>
      </c>
      <c r="I2619" s="0" t="n">
        <f aca="false">1</f>
        <v>1</v>
      </c>
      <c r="J2619" s="0" t="n">
        <f aca="false">E2619</f>
        <v>-0.25</v>
      </c>
      <c r="K2619" s="0" t="n">
        <f aca="false">F2619</f>
        <v>0.25</v>
      </c>
      <c r="L2619" s="0" t="n">
        <f aca="false">G2619</f>
        <v>-0.5</v>
      </c>
      <c r="M2619" s="0" t="n">
        <f aca="false">H2619</f>
        <v>0</v>
      </c>
      <c r="N2619" s="0" t="n">
        <f aca="false">E2619*F2619</f>
        <v>-0.0625</v>
      </c>
      <c r="O2619" s="0" t="n">
        <f aca="false">E2619*G2619</f>
        <v>0.125</v>
      </c>
      <c r="P2619" s="0" t="n">
        <f aca="false">E2619*H2619</f>
        <v>-0</v>
      </c>
      <c r="Q2619" s="0" t="n">
        <f aca="false">F2619*G2619</f>
        <v>-0.125</v>
      </c>
      <c r="R2619" s="0" t="n">
        <f aca="false">F2619*H2619</f>
        <v>0</v>
      </c>
      <c r="S2619" s="0" t="n">
        <f aca="false">G2619*H2619</f>
        <v>-0</v>
      </c>
      <c r="T2619" s="0" t="n">
        <f aca="false">E2619*E2619</f>
        <v>0.0625</v>
      </c>
      <c r="U2619" s="0" t="n">
        <f aca="false">F2619*F2619</f>
        <v>0.0625</v>
      </c>
      <c r="V2619" s="0" t="n">
        <f aca="false">G2619*G2619</f>
        <v>0.25</v>
      </c>
      <c r="W2619" s="0" t="n">
        <f aca="false">H2619*H2619</f>
        <v>0</v>
      </c>
      <c r="X2619" s="0" t="n">
        <f aca="false">SUMPRODUCT(I2619:W2619,_XtX!$B$96:$P$96)</f>
        <v>46.754404239766</v>
      </c>
      <c r="Y2619" s="0" t="n">
        <f aca="false">SUMPRODUCT(MMULT(I2619:W2619,_XtX!$B$78:$P$92),I2619:W2619)</f>
        <v>0.118905050712719</v>
      </c>
      <c r="Z2619" s="0" t="n">
        <f aca="false">04_回帰ANOVA!$K$19*04_回帰ANOVA!$K$14*SQRT(1+Y2619)</f>
        <v>1.37878011033769</v>
      </c>
      <c r="AA2619" s="0" t="n">
        <f aca="false">X2619-Z2619</f>
        <v>45.3756241294283</v>
      </c>
      <c r="AB2619" s="0" t="n">
        <f aca="false">X2619+Z2619</f>
        <v>48.1331843501037</v>
      </c>
      <c r="AC2619" s="54" t="b">
        <f aca="false">AND(E2619&gt;=01_因子設定!$L$5-0.000000001,E2619&lt;=01_因子設定!$M$5+0.000000001,F2619&gt;=01_因子設定!$L$6-0.000000001,F2619&lt;=01_因子設定!$M$6+0.000000001,G2619&gt;=01_因子設定!$L$7-0.000000001,G2619&lt;=01_因子設定!$M$7+0.000000001,H2619&gt;=01_因子設定!$L$8-0.000000001,H2619&lt;=01_因子設定!$M$8+0.000000001,IF(01_因子設定!$B$20="Box-Behnken",E2619^2+F2619^2+G2619^2+H2619^2&lt;=2+0.000000001,TRUE()))</f>
        <v>1</v>
      </c>
      <c r="AD2619" s="55" t="n">
        <f aca="false">IF(AC2619,IF(01_因子設定!$B$13="最大化",AA2619-01_因子設定!$B$14,IF(01_因子設定!$B$13="最小化",01_因子設定!$B$15-AB2619,MIN(AA2619-01_因子設定!$B$14,01_因子設定!$B$15-AB2619))),-1E+030)</f>
        <v>-1.12437587057166</v>
      </c>
      <c r="AE2619" s="55" t="n">
        <f aca="false">IF(AC2619,IF(01_因子設定!$B$13="最大化",X2619,IF(01_因子設定!$B$13="最小化",-X2619,-ABS(X2619-01_因子設定!$B$16))),-1E+030)</f>
        <v>46.754404239766</v>
      </c>
      <c r="AF2619" s="55" t="n">
        <f aca="false">AD2619+ROW()*0.000000001</f>
        <v>-1.12437325157166</v>
      </c>
      <c r="AG2619" s="55" t="n">
        <f aca="false">AE2619+ROW()*0.000000001</f>
        <v>46.754406858766</v>
      </c>
    </row>
    <row r="2620" customFormat="false" ht="15" hidden="false" customHeight="false" outlineLevel="0" collapsed="false">
      <c r="A2620" s="0" t="n">
        <v>3</v>
      </c>
      <c r="B2620" s="0" t="n">
        <v>5</v>
      </c>
      <c r="C2620" s="0" t="n">
        <v>2</v>
      </c>
      <c r="D2620" s="0" t="n">
        <v>5</v>
      </c>
      <c r="E2620" s="0" t="n">
        <f aca="false">-1+A2620*0.25</f>
        <v>-0.25</v>
      </c>
      <c r="F2620" s="0" t="n">
        <f aca="false">-1+B2620*0.25</f>
        <v>0.25</v>
      </c>
      <c r="G2620" s="0" t="n">
        <f aca="false">-1+C2620*0.25</f>
        <v>-0.5</v>
      </c>
      <c r="H2620" s="0" t="n">
        <f aca="false">-1+D2620*0.25</f>
        <v>0.25</v>
      </c>
      <c r="I2620" s="0" t="n">
        <f aca="false">1</f>
        <v>1</v>
      </c>
      <c r="J2620" s="0" t="n">
        <f aca="false">E2620</f>
        <v>-0.25</v>
      </c>
      <c r="K2620" s="0" t="n">
        <f aca="false">F2620</f>
        <v>0.25</v>
      </c>
      <c r="L2620" s="0" t="n">
        <f aca="false">G2620</f>
        <v>-0.5</v>
      </c>
      <c r="M2620" s="0" t="n">
        <f aca="false">H2620</f>
        <v>0.25</v>
      </c>
      <c r="N2620" s="0" t="n">
        <f aca="false">E2620*F2620</f>
        <v>-0.0625</v>
      </c>
      <c r="O2620" s="0" t="n">
        <f aca="false">E2620*G2620</f>
        <v>0.125</v>
      </c>
      <c r="P2620" s="0" t="n">
        <f aca="false">E2620*H2620</f>
        <v>-0.0625</v>
      </c>
      <c r="Q2620" s="0" t="n">
        <f aca="false">F2620*G2620</f>
        <v>-0.125</v>
      </c>
      <c r="R2620" s="0" t="n">
        <f aca="false">F2620*H2620</f>
        <v>0.0625</v>
      </c>
      <c r="S2620" s="0" t="n">
        <f aca="false">G2620*H2620</f>
        <v>-0.125</v>
      </c>
      <c r="T2620" s="0" t="n">
        <f aca="false">E2620*E2620</f>
        <v>0.0625</v>
      </c>
      <c r="U2620" s="0" t="n">
        <f aca="false">F2620*F2620</f>
        <v>0.0625</v>
      </c>
      <c r="V2620" s="0" t="n">
        <f aca="false">G2620*G2620</f>
        <v>0.25</v>
      </c>
      <c r="W2620" s="0" t="n">
        <f aca="false">H2620*H2620</f>
        <v>0.0625</v>
      </c>
      <c r="X2620" s="0" t="n">
        <f aca="false">SUMPRODUCT(I2620:W2620,_XtX!$B$96:$P$96)</f>
        <v>46.774858369883</v>
      </c>
      <c r="Y2620" s="0" t="n">
        <f aca="false">SUMPRODUCT(MMULT(I2620:W2620,_XtX!$B$78:$P$92),I2620:W2620)</f>
        <v>0.116714923702485</v>
      </c>
      <c r="Z2620" s="0" t="n">
        <f aca="false">04_回帰ANOVA!$K$19*04_回帰ANOVA!$K$14*SQRT(1+Y2620)</f>
        <v>1.37743004820023</v>
      </c>
      <c r="AA2620" s="0" t="n">
        <f aca="false">X2620-Z2620</f>
        <v>45.3974283216828</v>
      </c>
      <c r="AB2620" s="0" t="n">
        <f aca="false">X2620+Z2620</f>
        <v>48.1522884180832</v>
      </c>
      <c r="AC2620" s="54" t="b">
        <f aca="false">AND(E2620&gt;=01_因子設定!$L$5-0.000000001,E2620&lt;=01_因子設定!$M$5+0.000000001,F2620&gt;=01_因子設定!$L$6-0.000000001,F2620&lt;=01_因子設定!$M$6+0.000000001,G2620&gt;=01_因子設定!$L$7-0.000000001,G2620&lt;=01_因子設定!$M$7+0.000000001,H2620&gt;=01_因子設定!$L$8-0.000000001,H2620&lt;=01_因子設定!$M$8+0.000000001,IF(01_因子設定!$B$20="Box-Behnken",E2620^2+F2620^2+G2620^2+H2620^2&lt;=2+0.000000001,TRUE()))</f>
        <v>1</v>
      </c>
      <c r="AD2620" s="55" t="n">
        <f aca="false">IF(AC2620,IF(01_因子設定!$B$13="最大化",AA2620-01_因子設定!$B$14,IF(01_因子設定!$B$13="最小化",01_因子設定!$B$15-AB2620,MIN(AA2620-01_因子設定!$B$14,01_因子設定!$B$15-AB2620))),-1E+030)</f>
        <v>-1.10257167831724</v>
      </c>
      <c r="AE2620" s="55" t="n">
        <f aca="false">IF(AC2620,IF(01_因子設定!$B$13="最大化",X2620,IF(01_因子設定!$B$13="最小化",-X2620,-ABS(X2620-01_因子設定!$B$16))),-1E+030)</f>
        <v>46.774858369883</v>
      </c>
      <c r="AF2620" s="55" t="n">
        <f aca="false">AD2620+ROW()*0.000000001</f>
        <v>-1.10256905831724</v>
      </c>
      <c r="AG2620" s="55" t="n">
        <f aca="false">AE2620+ROW()*0.000000001</f>
        <v>46.774860989883</v>
      </c>
    </row>
    <row r="2621" customFormat="false" ht="15" hidden="false" customHeight="false" outlineLevel="0" collapsed="false">
      <c r="A2621" s="0" t="n">
        <v>3</v>
      </c>
      <c r="B2621" s="0" t="n">
        <v>5</v>
      </c>
      <c r="C2621" s="0" t="n">
        <v>2</v>
      </c>
      <c r="D2621" s="0" t="n">
        <v>6</v>
      </c>
      <c r="E2621" s="0" t="n">
        <f aca="false">-1+A2621*0.25</f>
        <v>-0.25</v>
      </c>
      <c r="F2621" s="0" t="n">
        <f aca="false">-1+B2621*0.25</f>
        <v>0.25</v>
      </c>
      <c r="G2621" s="0" t="n">
        <f aca="false">-1+C2621*0.25</f>
        <v>-0.5</v>
      </c>
      <c r="H2621" s="0" t="n">
        <f aca="false">-1+D2621*0.25</f>
        <v>0.5</v>
      </c>
      <c r="I2621" s="0" t="n">
        <f aca="false">1</f>
        <v>1</v>
      </c>
      <c r="J2621" s="0" t="n">
        <f aca="false">E2621</f>
        <v>-0.25</v>
      </c>
      <c r="K2621" s="0" t="n">
        <f aca="false">F2621</f>
        <v>0.25</v>
      </c>
      <c r="L2621" s="0" t="n">
        <f aca="false">G2621</f>
        <v>-0.5</v>
      </c>
      <c r="M2621" s="0" t="n">
        <f aca="false">H2621</f>
        <v>0.5</v>
      </c>
      <c r="N2621" s="0" t="n">
        <f aca="false">E2621*F2621</f>
        <v>-0.0625</v>
      </c>
      <c r="O2621" s="0" t="n">
        <f aca="false">E2621*G2621</f>
        <v>0.125</v>
      </c>
      <c r="P2621" s="0" t="n">
        <f aca="false">E2621*H2621</f>
        <v>-0.125</v>
      </c>
      <c r="Q2621" s="0" t="n">
        <f aca="false">F2621*G2621</f>
        <v>-0.125</v>
      </c>
      <c r="R2621" s="0" t="n">
        <f aca="false">F2621*H2621</f>
        <v>0.125</v>
      </c>
      <c r="S2621" s="0" t="n">
        <f aca="false">G2621*H2621</f>
        <v>-0.25</v>
      </c>
      <c r="T2621" s="0" t="n">
        <f aca="false">E2621*E2621</f>
        <v>0.0625</v>
      </c>
      <c r="U2621" s="0" t="n">
        <f aca="false">F2621*F2621</f>
        <v>0.0625</v>
      </c>
      <c r="V2621" s="0" t="n">
        <f aca="false">G2621*G2621</f>
        <v>0.25</v>
      </c>
      <c r="W2621" s="0" t="n">
        <f aca="false">H2621*H2621</f>
        <v>0.25</v>
      </c>
      <c r="X2621" s="0" t="n">
        <f aca="false">SUMPRODUCT(I2621:W2621,_XtX!$B$96:$P$96)</f>
        <v>46.7475054824561</v>
      </c>
      <c r="Y2621" s="0" t="n">
        <f aca="false">SUMPRODUCT(MMULT(I2621:W2621,_XtX!$B$78:$P$92),I2621:W2621)</f>
        <v>0.128236647934942</v>
      </c>
      <c r="Z2621" s="0" t="n">
        <f aca="false">04_回帰ANOVA!$K$19*04_回帰ANOVA!$K$14*SQRT(1+Y2621)</f>
        <v>1.38451764188989</v>
      </c>
      <c r="AA2621" s="0" t="n">
        <f aca="false">X2621-Z2621</f>
        <v>45.3629878405662</v>
      </c>
      <c r="AB2621" s="0" t="n">
        <f aca="false">X2621+Z2621</f>
        <v>48.132023124346</v>
      </c>
      <c r="AC2621" s="54" t="b">
        <f aca="false">AND(E2621&gt;=01_因子設定!$L$5-0.000000001,E2621&lt;=01_因子設定!$M$5+0.000000001,F2621&gt;=01_因子設定!$L$6-0.000000001,F2621&lt;=01_因子設定!$M$6+0.000000001,G2621&gt;=01_因子設定!$L$7-0.000000001,G2621&lt;=01_因子設定!$M$7+0.000000001,H2621&gt;=01_因子設定!$L$8-0.000000001,H2621&lt;=01_因子設定!$M$8+0.000000001,IF(01_因子設定!$B$20="Box-Behnken",E2621^2+F2621^2+G2621^2+H2621^2&lt;=2+0.000000001,TRUE()))</f>
        <v>1</v>
      </c>
      <c r="AD2621" s="55" t="n">
        <f aca="false">IF(AC2621,IF(01_因子設定!$B$13="最大化",AA2621-01_因子設定!$B$14,IF(01_因子設定!$B$13="最小化",01_因子設定!$B$15-AB2621,MIN(AA2621-01_因子設定!$B$14,01_因子設定!$B$15-AB2621))),-1E+030)</f>
        <v>-1.13701215943379</v>
      </c>
      <c r="AE2621" s="55" t="n">
        <f aca="false">IF(AC2621,IF(01_因子設定!$B$13="最大化",X2621,IF(01_因子設定!$B$13="最小化",-X2621,-ABS(X2621-01_因子設定!$B$16))),-1E+030)</f>
        <v>46.7475054824561</v>
      </c>
      <c r="AF2621" s="55" t="n">
        <f aca="false">AD2621+ROW()*0.000000001</f>
        <v>-1.13700953843379</v>
      </c>
      <c r="AG2621" s="55" t="n">
        <f aca="false">AE2621+ROW()*0.000000001</f>
        <v>46.7475081034561</v>
      </c>
    </row>
    <row r="2622" customFormat="false" ht="15" hidden="false" customHeight="false" outlineLevel="0" collapsed="false">
      <c r="A2622" s="0" t="n">
        <v>3</v>
      </c>
      <c r="B2622" s="0" t="n">
        <v>5</v>
      </c>
      <c r="C2622" s="0" t="n">
        <v>2</v>
      </c>
      <c r="D2622" s="0" t="n">
        <v>7</v>
      </c>
      <c r="E2622" s="0" t="n">
        <f aca="false">-1+A2622*0.25</f>
        <v>-0.25</v>
      </c>
      <c r="F2622" s="0" t="n">
        <f aca="false">-1+B2622*0.25</f>
        <v>0.25</v>
      </c>
      <c r="G2622" s="0" t="n">
        <f aca="false">-1+C2622*0.25</f>
        <v>-0.5</v>
      </c>
      <c r="H2622" s="0" t="n">
        <f aca="false">-1+D2622*0.25</f>
        <v>0.75</v>
      </c>
      <c r="I2622" s="0" t="n">
        <f aca="false">1</f>
        <v>1</v>
      </c>
      <c r="J2622" s="0" t="n">
        <f aca="false">E2622</f>
        <v>-0.25</v>
      </c>
      <c r="K2622" s="0" t="n">
        <f aca="false">F2622</f>
        <v>0.25</v>
      </c>
      <c r="L2622" s="0" t="n">
        <f aca="false">G2622</f>
        <v>-0.5</v>
      </c>
      <c r="M2622" s="0" t="n">
        <f aca="false">H2622</f>
        <v>0.75</v>
      </c>
      <c r="N2622" s="0" t="n">
        <f aca="false">E2622*F2622</f>
        <v>-0.0625</v>
      </c>
      <c r="O2622" s="0" t="n">
        <f aca="false">E2622*G2622</f>
        <v>0.125</v>
      </c>
      <c r="P2622" s="0" t="n">
        <f aca="false">E2622*H2622</f>
        <v>-0.1875</v>
      </c>
      <c r="Q2622" s="0" t="n">
        <f aca="false">F2622*G2622</f>
        <v>-0.125</v>
      </c>
      <c r="R2622" s="0" t="n">
        <f aca="false">F2622*H2622</f>
        <v>0.1875</v>
      </c>
      <c r="S2622" s="0" t="n">
        <f aca="false">G2622*H2622</f>
        <v>-0.375</v>
      </c>
      <c r="T2622" s="0" t="n">
        <f aca="false">E2622*E2622</f>
        <v>0.0625</v>
      </c>
      <c r="U2622" s="0" t="n">
        <f aca="false">F2622*F2622</f>
        <v>0.0625</v>
      </c>
      <c r="V2622" s="0" t="n">
        <f aca="false">G2622*G2622</f>
        <v>0.25</v>
      </c>
      <c r="W2622" s="0" t="n">
        <f aca="false">H2622*H2622</f>
        <v>0.5625</v>
      </c>
      <c r="X2622" s="0" t="n">
        <f aca="false">SUMPRODUCT(I2622:W2622,_XtX!$B$96:$P$96)</f>
        <v>46.6723455774853</v>
      </c>
      <c r="Y2622" s="0" t="n">
        <f aca="false">SUMPRODUCT(MMULT(I2622:W2622,_XtX!$B$78:$P$92),I2622:W2622)</f>
        <v>0.207746539199561</v>
      </c>
      <c r="Z2622" s="0" t="n">
        <f aca="false">04_回帰ANOVA!$K$19*04_回帰ANOVA!$K$14*SQRT(1+Y2622)</f>
        <v>1.43247250081141</v>
      </c>
      <c r="AA2622" s="0" t="n">
        <f aca="false">X2622-Z2622</f>
        <v>45.2398730766739</v>
      </c>
      <c r="AB2622" s="0" t="n">
        <f aca="false">X2622+Z2622</f>
        <v>48.1048180782967</v>
      </c>
      <c r="AC2622" s="54" t="b">
        <f aca="false">AND(E2622&gt;=01_因子設定!$L$5-0.000000001,E2622&lt;=01_因子設定!$M$5+0.000000001,F2622&gt;=01_因子設定!$L$6-0.000000001,F2622&lt;=01_因子設定!$M$6+0.000000001,G2622&gt;=01_因子設定!$L$7-0.000000001,G2622&lt;=01_因子設定!$M$7+0.000000001,H2622&gt;=01_因子設定!$L$8-0.000000001,H2622&lt;=01_因子設定!$M$8+0.000000001,IF(01_因子設定!$B$20="Box-Behnken",E2622^2+F2622^2+G2622^2+H2622^2&lt;=2+0.000000001,TRUE()))</f>
        <v>1</v>
      </c>
      <c r="AD2622" s="55" t="n">
        <f aca="false">IF(AC2622,IF(01_因子設定!$B$13="最大化",AA2622-01_因子設定!$B$14,IF(01_因子設定!$B$13="最小化",01_因子設定!$B$15-AB2622,MIN(AA2622-01_因子設定!$B$14,01_因子設定!$B$15-AB2622))),-1E+030)</f>
        <v>-1.26012692332607</v>
      </c>
      <c r="AE2622" s="55" t="n">
        <f aca="false">IF(AC2622,IF(01_因子設定!$B$13="最大化",X2622,IF(01_因子設定!$B$13="最小化",-X2622,-ABS(X2622-01_因子設定!$B$16))),-1E+030)</f>
        <v>46.6723455774853</v>
      </c>
      <c r="AF2622" s="55" t="n">
        <f aca="false">AD2622+ROW()*0.000000001</f>
        <v>-1.26012430132607</v>
      </c>
      <c r="AG2622" s="55" t="n">
        <f aca="false">AE2622+ROW()*0.000000001</f>
        <v>46.6723481994853</v>
      </c>
    </row>
    <row r="2623" customFormat="false" ht="15" hidden="false" customHeight="false" outlineLevel="0" collapsed="false">
      <c r="A2623" s="0" t="n">
        <v>3</v>
      </c>
      <c r="B2623" s="0" t="n">
        <v>5</v>
      </c>
      <c r="C2623" s="0" t="n">
        <v>2</v>
      </c>
      <c r="D2623" s="0" t="n">
        <v>8</v>
      </c>
      <c r="E2623" s="0" t="n">
        <f aca="false">-1+A2623*0.25</f>
        <v>-0.25</v>
      </c>
      <c r="F2623" s="0" t="n">
        <f aca="false">-1+B2623*0.25</f>
        <v>0.25</v>
      </c>
      <c r="G2623" s="0" t="n">
        <f aca="false">-1+C2623*0.25</f>
        <v>-0.5</v>
      </c>
      <c r="H2623" s="0" t="n">
        <f aca="false">-1+D2623*0.25</f>
        <v>1</v>
      </c>
      <c r="I2623" s="0" t="n">
        <f aca="false">1</f>
        <v>1</v>
      </c>
      <c r="J2623" s="0" t="n">
        <f aca="false">E2623</f>
        <v>-0.25</v>
      </c>
      <c r="K2623" s="0" t="n">
        <f aca="false">F2623</f>
        <v>0.25</v>
      </c>
      <c r="L2623" s="0" t="n">
        <f aca="false">G2623</f>
        <v>-0.5</v>
      </c>
      <c r="M2623" s="0" t="n">
        <f aca="false">H2623</f>
        <v>1</v>
      </c>
      <c r="N2623" s="0" t="n">
        <f aca="false">E2623*F2623</f>
        <v>-0.0625</v>
      </c>
      <c r="O2623" s="0" t="n">
        <f aca="false">E2623*G2623</f>
        <v>0.125</v>
      </c>
      <c r="P2623" s="0" t="n">
        <f aca="false">E2623*H2623</f>
        <v>-0.25</v>
      </c>
      <c r="Q2623" s="0" t="n">
        <f aca="false">F2623*G2623</f>
        <v>-0.125</v>
      </c>
      <c r="R2623" s="0" t="n">
        <f aca="false">F2623*H2623</f>
        <v>0.25</v>
      </c>
      <c r="S2623" s="0" t="n">
        <f aca="false">G2623*H2623</f>
        <v>-0.5</v>
      </c>
      <c r="T2623" s="0" t="n">
        <f aca="false">E2623*E2623</f>
        <v>0.0625</v>
      </c>
      <c r="U2623" s="0" t="n">
        <f aca="false">F2623*F2623</f>
        <v>0.0625</v>
      </c>
      <c r="V2623" s="0" t="n">
        <f aca="false">G2623*G2623</f>
        <v>0.25</v>
      </c>
      <c r="W2623" s="0" t="n">
        <f aca="false">H2623*H2623</f>
        <v>1</v>
      </c>
      <c r="X2623" s="0" t="n">
        <f aca="false">SUMPRODUCT(I2623:W2623,_XtX!$B$96:$P$96)</f>
        <v>46.5493786549707</v>
      </c>
      <c r="Y2623" s="0" t="n">
        <f aca="false">SUMPRODUCT(MMULT(I2623:W2623,_XtX!$B$78:$P$92),I2623:W2623)</f>
        <v>0.445705123812135</v>
      </c>
      <c r="Z2623" s="0" t="n">
        <f aca="false">04_回帰ANOVA!$K$19*04_回帰ANOVA!$K$14*SQRT(1+Y2623)</f>
        <v>1.56724990734749</v>
      </c>
      <c r="AA2623" s="0" t="n">
        <f aca="false">X2623-Z2623</f>
        <v>44.9821287476233</v>
      </c>
      <c r="AB2623" s="0" t="n">
        <f aca="false">X2623+Z2623</f>
        <v>48.1166285623182</v>
      </c>
      <c r="AC2623" s="54" t="b">
        <f aca="false">AND(E2623&gt;=01_因子設定!$L$5-0.000000001,E2623&lt;=01_因子設定!$M$5+0.000000001,F2623&gt;=01_因子設定!$L$6-0.000000001,F2623&lt;=01_因子設定!$M$6+0.000000001,G2623&gt;=01_因子設定!$L$7-0.000000001,G2623&lt;=01_因子設定!$M$7+0.000000001,H2623&gt;=01_因子設定!$L$8-0.000000001,H2623&lt;=01_因子設定!$M$8+0.000000001,IF(01_因子設定!$B$20="Box-Behnken",E2623^2+F2623^2+G2623^2+H2623^2&lt;=2+0.000000001,TRUE()))</f>
        <v>1</v>
      </c>
      <c r="AD2623" s="55" t="n">
        <f aca="false">IF(AC2623,IF(01_因子設定!$B$13="最大化",AA2623-01_因子設定!$B$14,IF(01_因子設定!$B$13="最小化",01_因子設定!$B$15-AB2623,MIN(AA2623-01_因子設定!$B$14,01_因子設定!$B$15-AB2623))),-1E+030)</f>
        <v>-1.51787125237675</v>
      </c>
      <c r="AE2623" s="55" t="n">
        <f aca="false">IF(AC2623,IF(01_因子設定!$B$13="最大化",X2623,IF(01_因子設定!$B$13="最小化",-X2623,-ABS(X2623-01_因子設定!$B$16))),-1E+030)</f>
        <v>46.5493786549707</v>
      </c>
      <c r="AF2623" s="55" t="n">
        <f aca="false">AD2623+ROW()*0.000000001</f>
        <v>-1.51786862937675</v>
      </c>
      <c r="AG2623" s="55" t="n">
        <f aca="false">AE2623+ROW()*0.000000001</f>
        <v>46.5493812779707</v>
      </c>
    </row>
    <row r="2624" customFormat="false" ht="15" hidden="false" customHeight="false" outlineLevel="0" collapsed="false">
      <c r="A2624" s="0" t="n">
        <v>3</v>
      </c>
      <c r="B2624" s="0" t="n">
        <v>5</v>
      </c>
      <c r="C2624" s="0" t="n">
        <v>3</v>
      </c>
      <c r="D2624" s="0" t="n">
        <v>0</v>
      </c>
      <c r="E2624" s="0" t="n">
        <f aca="false">-1+A2624*0.25</f>
        <v>-0.25</v>
      </c>
      <c r="F2624" s="0" t="n">
        <f aca="false">-1+B2624*0.25</f>
        <v>0.25</v>
      </c>
      <c r="G2624" s="0" t="n">
        <f aca="false">-1+C2624*0.25</f>
        <v>-0.25</v>
      </c>
      <c r="H2624" s="0" t="n">
        <f aca="false">-1+D2624*0.25</f>
        <v>-1</v>
      </c>
      <c r="I2624" s="0" t="n">
        <f aca="false">1</f>
        <v>1</v>
      </c>
      <c r="J2624" s="0" t="n">
        <f aca="false">E2624</f>
        <v>-0.25</v>
      </c>
      <c r="K2624" s="0" t="n">
        <f aca="false">F2624</f>
        <v>0.25</v>
      </c>
      <c r="L2624" s="0" t="n">
        <f aca="false">G2624</f>
        <v>-0.25</v>
      </c>
      <c r="M2624" s="0" t="n">
        <f aca="false">H2624</f>
        <v>-1</v>
      </c>
      <c r="N2624" s="0" t="n">
        <f aca="false">E2624*F2624</f>
        <v>-0.0625</v>
      </c>
      <c r="O2624" s="0" t="n">
        <f aca="false">E2624*G2624</f>
        <v>0.0625</v>
      </c>
      <c r="P2624" s="0" t="n">
        <f aca="false">E2624*H2624</f>
        <v>0.25</v>
      </c>
      <c r="Q2624" s="0" t="n">
        <f aca="false">F2624*G2624</f>
        <v>-0.0625</v>
      </c>
      <c r="R2624" s="0" t="n">
        <f aca="false">F2624*H2624</f>
        <v>-0.25</v>
      </c>
      <c r="S2624" s="0" t="n">
        <f aca="false">G2624*H2624</f>
        <v>0.25</v>
      </c>
      <c r="T2624" s="0" t="n">
        <f aca="false">E2624*E2624</f>
        <v>0.0625</v>
      </c>
      <c r="U2624" s="0" t="n">
        <f aca="false">F2624*F2624</f>
        <v>0.0625</v>
      </c>
      <c r="V2624" s="0" t="n">
        <f aca="false">G2624*G2624</f>
        <v>0.0625</v>
      </c>
      <c r="W2624" s="0" t="n">
        <f aca="false">H2624*H2624</f>
        <v>1</v>
      </c>
      <c r="X2624" s="0" t="n">
        <f aca="false">SUMPRODUCT(I2624:W2624,_XtX!$B$96:$P$96)</f>
        <v>46.5565926535088</v>
      </c>
      <c r="Y2624" s="0" t="n">
        <f aca="false">SUMPRODUCT(MMULT(I2624:W2624,_XtX!$B$78:$P$92),I2624:W2624)</f>
        <v>0.457466705500731</v>
      </c>
      <c r="Z2624" s="0" t="n">
        <f aca="false">04_回帰ANOVA!$K$19*04_回帰ANOVA!$K$14*SQRT(1+Y2624)</f>
        <v>1.57361220003999</v>
      </c>
      <c r="AA2624" s="0" t="n">
        <f aca="false">X2624-Z2624</f>
        <v>44.9829804534688</v>
      </c>
      <c r="AB2624" s="0" t="n">
        <f aca="false">X2624+Z2624</f>
        <v>48.1302048535488</v>
      </c>
      <c r="AC2624" s="54" t="b">
        <f aca="false">AND(E2624&gt;=01_因子設定!$L$5-0.000000001,E2624&lt;=01_因子設定!$M$5+0.000000001,F2624&gt;=01_因子設定!$L$6-0.000000001,F2624&lt;=01_因子設定!$M$6+0.000000001,G2624&gt;=01_因子設定!$L$7-0.000000001,G2624&lt;=01_因子設定!$M$7+0.000000001,H2624&gt;=01_因子設定!$L$8-0.000000001,H2624&lt;=01_因子設定!$M$8+0.000000001,IF(01_因子設定!$B$20="Box-Behnken",E2624^2+F2624^2+G2624^2+H2624^2&lt;=2+0.000000001,TRUE()))</f>
        <v>1</v>
      </c>
      <c r="AD2624" s="55" t="n">
        <f aca="false">IF(AC2624,IF(01_因子設定!$B$13="最大化",AA2624-01_因子設定!$B$14,IF(01_因子設定!$B$13="最小化",01_因子設定!$B$15-AB2624,MIN(AA2624-01_因子設定!$B$14,01_因子設定!$B$15-AB2624))),-1E+030)</f>
        <v>-1.51701954653124</v>
      </c>
      <c r="AE2624" s="55" t="n">
        <f aca="false">IF(AC2624,IF(01_因子設定!$B$13="最大化",X2624,IF(01_因子設定!$B$13="最小化",-X2624,-ABS(X2624-01_因子設定!$B$16))),-1E+030)</f>
        <v>46.5565926535088</v>
      </c>
      <c r="AF2624" s="55" t="n">
        <f aca="false">AD2624+ROW()*0.000000001</f>
        <v>-1.51701692253124</v>
      </c>
      <c r="AG2624" s="55" t="n">
        <f aca="false">AE2624+ROW()*0.000000001</f>
        <v>46.5565952775088</v>
      </c>
    </row>
    <row r="2625" customFormat="false" ht="15" hidden="false" customHeight="false" outlineLevel="0" collapsed="false">
      <c r="A2625" s="0" t="n">
        <v>3</v>
      </c>
      <c r="B2625" s="0" t="n">
        <v>5</v>
      </c>
      <c r="C2625" s="0" t="n">
        <v>3</v>
      </c>
      <c r="D2625" s="0" t="n">
        <v>1</v>
      </c>
      <c r="E2625" s="0" t="n">
        <f aca="false">-1+A2625*0.25</f>
        <v>-0.25</v>
      </c>
      <c r="F2625" s="0" t="n">
        <f aca="false">-1+B2625*0.25</f>
        <v>0.25</v>
      </c>
      <c r="G2625" s="0" t="n">
        <f aca="false">-1+C2625*0.25</f>
        <v>-0.25</v>
      </c>
      <c r="H2625" s="0" t="n">
        <f aca="false">-1+D2625*0.25</f>
        <v>-0.75</v>
      </c>
      <c r="I2625" s="0" t="n">
        <f aca="false">1</f>
        <v>1</v>
      </c>
      <c r="J2625" s="0" t="n">
        <f aca="false">E2625</f>
        <v>-0.25</v>
      </c>
      <c r="K2625" s="0" t="n">
        <f aca="false">F2625</f>
        <v>0.25</v>
      </c>
      <c r="L2625" s="0" t="n">
        <f aca="false">G2625</f>
        <v>-0.25</v>
      </c>
      <c r="M2625" s="0" t="n">
        <f aca="false">H2625</f>
        <v>-0.75</v>
      </c>
      <c r="N2625" s="0" t="n">
        <f aca="false">E2625*F2625</f>
        <v>-0.0625</v>
      </c>
      <c r="O2625" s="0" t="n">
        <f aca="false">E2625*G2625</f>
        <v>0.0625</v>
      </c>
      <c r="P2625" s="0" t="n">
        <f aca="false">E2625*H2625</f>
        <v>0.1875</v>
      </c>
      <c r="Q2625" s="0" t="n">
        <f aca="false">F2625*G2625</f>
        <v>-0.0625</v>
      </c>
      <c r="R2625" s="0" t="n">
        <f aca="false">F2625*H2625</f>
        <v>-0.1875</v>
      </c>
      <c r="S2625" s="0" t="n">
        <f aca="false">G2625*H2625</f>
        <v>0.1875</v>
      </c>
      <c r="T2625" s="0" t="n">
        <f aca="false">E2625*E2625</f>
        <v>0.0625</v>
      </c>
      <c r="U2625" s="0" t="n">
        <f aca="false">F2625*F2625</f>
        <v>0.0625</v>
      </c>
      <c r="V2625" s="0" t="n">
        <f aca="false">G2625*G2625</f>
        <v>0.0625</v>
      </c>
      <c r="W2625" s="0" t="n">
        <f aca="false">H2625*H2625</f>
        <v>0.5625</v>
      </c>
      <c r="X2625" s="0" t="n">
        <f aca="false">SUMPRODUCT(I2625:W2625,_XtX!$B$96:$P$96)</f>
        <v>46.7862436038011</v>
      </c>
      <c r="Y2625" s="0" t="n">
        <f aca="false">SUMPRODUCT(MMULT(I2625:W2625,_XtX!$B$78:$P$92),I2625:W2625)</f>
        <v>0.205926192434211</v>
      </c>
      <c r="Z2625" s="0" t="n">
        <f aca="false">04_回帰ANOVA!$K$19*04_回帰ANOVA!$K$14*SQRT(1+Y2625)</f>
        <v>1.43139256396246</v>
      </c>
      <c r="AA2625" s="0" t="n">
        <f aca="false">X2625-Z2625</f>
        <v>45.3548510398387</v>
      </c>
      <c r="AB2625" s="0" t="n">
        <f aca="false">X2625+Z2625</f>
        <v>48.2176361677636</v>
      </c>
      <c r="AC2625" s="54" t="b">
        <f aca="false">AND(E2625&gt;=01_因子設定!$L$5-0.000000001,E2625&lt;=01_因子設定!$M$5+0.000000001,F2625&gt;=01_因子設定!$L$6-0.000000001,F2625&lt;=01_因子設定!$M$6+0.000000001,G2625&gt;=01_因子設定!$L$7-0.000000001,G2625&lt;=01_因子設定!$M$7+0.000000001,H2625&gt;=01_因子設定!$L$8-0.000000001,H2625&lt;=01_因子設定!$M$8+0.000000001,IF(01_因子設定!$B$20="Box-Behnken",E2625^2+F2625^2+G2625^2+H2625^2&lt;=2+0.000000001,TRUE()))</f>
        <v>1</v>
      </c>
      <c r="AD2625" s="55" t="n">
        <f aca="false">IF(AC2625,IF(01_因子設定!$B$13="最大化",AA2625-01_因子設定!$B$14,IF(01_因子設定!$B$13="最小化",01_因子設定!$B$15-AB2625,MIN(AA2625-01_因子設定!$B$14,01_因子設定!$B$15-AB2625))),-1E+030)</f>
        <v>-1.14514896016133</v>
      </c>
      <c r="AE2625" s="55" t="n">
        <f aca="false">IF(AC2625,IF(01_因子設定!$B$13="最大化",X2625,IF(01_因子設定!$B$13="最小化",-X2625,-ABS(X2625-01_因子設定!$B$16))),-1E+030)</f>
        <v>46.7862436038011</v>
      </c>
      <c r="AF2625" s="55" t="n">
        <f aca="false">AD2625+ROW()*0.000000001</f>
        <v>-1.14514633516133</v>
      </c>
      <c r="AG2625" s="55" t="n">
        <f aca="false">AE2625+ROW()*0.000000001</f>
        <v>46.7862462288011</v>
      </c>
    </row>
    <row r="2626" customFormat="false" ht="15" hidden="false" customHeight="false" outlineLevel="0" collapsed="false">
      <c r="A2626" s="0" t="n">
        <v>3</v>
      </c>
      <c r="B2626" s="0" t="n">
        <v>5</v>
      </c>
      <c r="C2626" s="0" t="n">
        <v>3</v>
      </c>
      <c r="D2626" s="0" t="n">
        <v>2</v>
      </c>
      <c r="E2626" s="0" t="n">
        <f aca="false">-1+A2626*0.25</f>
        <v>-0.25</v>
      </c>
      <c r="F2626" s="0" t="n">
        <f aca="false">-1+B2626*0.25</f>
        <v>0.25</v>
      </c>
      <c r="G2626" s="0" t="n">
        <f aca="false">-1+C2626*0.25</f>
        <v>-0.25</v>
      </c>
      <c r="H2626" s="0" t="n">
        <f aca="false">-1+D2626*0.25</f>
        <v>-0.5</v>
      </c>
      <c r="I2626" s="0" t="n">
        <f aca="false">1</f>
        <v>1</v>
      </c>
      <c r="J2626" s="0" t="n">
        <f aca="false">E2626</f>
        <v>-0.25</v>
      </c>
      <c r="K2626" s="0" t="n">
        <f aca="false">F2626</f>
        <v>0.25</v>
      </c>
      <c r="L2626" s="0" t="n">
        <f aca="false">G2626</f>
        <v>-0.25</v>
      </c>
      <c r="M2626" s="0" t="n">
        <f aca="false">H2626</f>
        <v>-0.5</v>
      </c>
      <c r="N2626" s="0" t="n">
        <f aca="false">E2626*F2626</f>
        <v>-0.0625</v>
      </c>
      <c r="O2626" s="0" t="n">
        <f aca="false">E2626*G2626</f>
        <v>0.0625</v>
      </c>
      <c r="P2626" s="0" t="n">
        <f aca="false">E2626*H2626</f>
        <v>0.125</v>
      </c>
      <c r="Q2626" s="0" t="n">
        <f aca="false">F2626*G2626</f>
        <v>-0.0625</v>
      </c>
      <c r="R2626" s="0" t="n">
        <f aca="false">F2626*H2626</f>
        <v>-0.125</v>
      </c>
      <c r="S2626" s="0" t="n">
        <f aca="false">G2626*H2626</f>
        <v>0.125</v>
      </c>
      <c r="T2626" s="0" t="n">
        <f aca="false">E2626*E2626</f>
        <v>0.0625</v>
      </c>
      <c r="U2626" s="0" t="n">
        <f aca="false">F2626*F2626</f>
        <v>0.0625</v>
      </c>
      <c r="V2626" s="0" t="n">
        <f aca="false">G2626*G2626</f>
        <v>0.0625</v>
      </c>
      <c r="W2626" s="0" t="n">
        <f aca="false">H2626*H2626</f>
        <v>0.25</v>
      </c>
      <c r="X2626" s="0" t="n">
        <f aca="false">SUMPRODUCT(I2626:W2626,_XtX!$B$96:$P$96)</f>
        <v>46.9680875365497</v>
      </c>
      <c r="Y2626" s="0" t="n">
        <f aca="false">SUMPRODUCT(MMULT(I2626:W2626,_XtX!$B$78:$P$92),I2626:W2626)</f>
        <v>0.116714923702485</v>
      </c>
      <c r="Z2626" s="0" t="n">
        <f aca="false">04_回帰ANOVA!$K$19*04_回帰ANOVA!$K$14*SQRT(1+Y2626)</f>
        <v>1.37743004820023</v>
      </c>
      <c r="AA2626" s="0" t="n">
        <f aca="false">X2626-Z2626</f>
        <v>45.5906574883494</v>
      </c>
      <c r="AB2626" s="0" t="n">
        <f aca="false">X2626+Z2626</f>
        <v>48.3455175847499</v>
      </c>
      <c r="AC2626" s="54" t="b">
        <f aca="false">AND(E2626&gt;=01_因子設定!$L$5-0.000000001,E2626&lt;=01_因子設定!$M$5+0.000000001,F2626&gt;=01_因子設定!$L$6-0.000000001,F2626&lt;=01_因子設定!$M$6+0.000000001,G2626&gt;=01_因子設定!$L$7-0.000000001,G2626&lt;=01_因子設定!$M$7+0.000000001,H2626&gt;=01_因子設定!$L$8-0.000000001,H2626&lt;=01_因子設定!$M$8+0.000000001,IF(01_因子設定!$B$20="Box-Behnken",E2626^2+F2626^2+G2626^2+H2626^2&lt;=2+0.000000001,TRUE()))</f>
        <v>1</v>
      </c>
      <c r="AD2626" s="55" t="n">
        <f aca="false">IF(AC2626,IF(01_因子設定!$B$13="最大化",AA2626-01_因子設定!$B$14,IF(01_因子設定!$B$13="最小化",01_因子設定!$B$15-AB2626,MIN(AA2626-01_因子設定!$B$14,01_因子設定!$B$15-AB2626))),-1E+030)</f>
        <v>-0.909342511650564</v>
      </c>
      <c r="AE2626" s="55" t="n">
        <f aca="false">IF(AC2626,IF(01_因子設定!$B$13="最大化",X2626,IF(01_因子設定!$B$13="最小化",-X2626,-ABS(X2626-01_因子設定!$B$16))),-1E+030)</f>
        <v>46.9680875365497</v>
      </c>
      <c r="AF2626" s="55" t="n">
        <f aca="false">AD2626+ROW()*0.000000001</f>
        <v>-0.909339885650564</v>
      </c>
      <c r="AG2626" s="55" t="n">
        <f aca="false">AE2626+ROW()*0.000000001</f>
        <v>46.9680901625497</v>
      </c>
    </row>
    <row r="2627" customFormat="false" ht="15" hidden="false" customHeight="false" outlineLevel="0" collapsed="false">
      <c r="A2627" s="0" t="n">
        <v>3</v>
      </c>
      <c r="B2627" s="0" t="n">
        <v>5</v>
      </c>
      <c r="C2627" s="0" t="n">
        <v>3</v>
      </c>
      <c r="D2627" s="0" t="n">
        <v>3</v>
      </c>
      <c r="E2627" s="0" t="n">
        <f aca="false">-1+A2627*0.25</f>
        <v>-0.25</v>
      </c>
      <c r="F2627" s="0" t="n">
        <f aca="false">-1+B2627*0.25</f>
        <v>0.25</v>
      </c>
      <c r="G2627" s="0" t="n">
        <f aca="false">-1+C2627*0.25</f>
        <v>-0.25</v>
      </c>
      <c r="H2627" s="0" t="n">
        <f aca="false">-1+D2627*0.25</f>
        <v>-0.25</v>
      </c>
      <c r="I2627" s="0" t="n">
        <f aca="false">1</f>
        <v>1</v>
      </c>
      <c r="J2627" s="0" t="n">
        <f aca="false">E2627</f>
        <v>-0.25</v>
      </c>
      <c r="K2627" s="0" t="n">
        <f aca="false">F2627</f>
        <v>0.25</v>
      </c>
      <c r="L2627" s="0" t="n">
        <f aca="false">G2627</f>
        <v>-0.25</v>
      </c>
      <c r="M2627" s="0" t="n">
        <f aca="false">H2627</f>
        <v>-0.25</v>
      </c>
      <c r="N2627" s="0" t="n">
        <f aca="false">E2627*F2627</f>
        <v>-0.0625</v>
      </c>
      <c r="O2627" s="0" t="n">
        <f aca="false">E2627*G2627</f>
        <v>0.0625</v>
      </c>
      <c r="P2627" s="0" t="n">
        <f aca="false">E2627*H2627</f>
        <v>0.0625</v>
      </c>
      <c r="Q2627" s="0" t="n">
        <f aca="false">F2627*G2627</f>
        <v>-0.0625</v>
      </c>
      <c r="R2627" s="0" t="n">
        <f aca="false">F2627*H2627</f>
        <v>-0.0625</v>
      </c>
      <c r="S2627" s="0" t="n">
        <f aca="false">G2627*H2627</f>
        <v>0.0625</v>
      </c>
      <c r="T2627" s="0" t="n">
        <f aca="false">E2627*E2627</f>
        <v>0.0625</v>
      </c>
      <c r="U2627" s="0" t="n">
        <f aca="false">F2627*F2627</f>
        <v>0.0625</v>
      </c>
      <c r="V2627" s="0" t="n">
        <f aca="false">G2627*G2627</f>
        <v>0.0625</v>
      </c>
      <c r="W2627" s="0" t="n">
        <f aca="false">H2627*H2627</f>
        <v>0.0625</v>
      </c>
      <c r="X2627" s="0" t="n">
        <f aca="false">SUMPRODUCT(I2627:W2627,_XtX!$B$96:$P$96)</f>
        <v>47.1021244517543</v>
      </c>
      <c r="Y2627" s="0" t="n">
        <f aca="false">SUMPRODUCT(MMULT(I2627:W2627,_XtX!$B$78:$P$92),I2627:W2627)</f>
        <v>0.0993723729897661</v>
      </c>
      <c r="Z2627" s="0" t="n">
        <f aca="false">04_回帰ANOVA!$K$19*04_回帰ANOVA!$K$14*SQRT(1+Y2627)</f>
        <v>1.36669247195631</v>
      </c>
      <c r="AA2627" s="0" t="n">
        <f aca="false">X2627-Z2627</f>
        <v>45.735431979798</v>
      </c>
      <c r="AB2627" s="0" t="n">
        <f aca="false">X2627+Z2627</f>
        <v>48.4688169237106</v>
      </c>
      <c r="AC2627" s="54" t="b">
        <f aca="false">AND(E2627&gt;=01_因子設定!$L$5-0.000000001,E2627&lt;=01_因子設定!$M$5+0.000000001,F2627&gt;=01_因子設定!$L$6-0.000000001,F2627&lt;=01_因子設定!$M$6+0.000000001,G2627&gt;=01_因子設定!$L$7-0.000000001,G2627&lt;=01_因子設定!$M$7+0.000000001,H2627&gt;=01_因子設定!$L$8-0.000000001,H2627&lt;=01_因子設定!$M$8+0.000000001,IF(01_因子設定!$B$20="Box-Behnken",E2627^2+F2627^2+G2627^2+H2627^2&lt;=2+0.000000001,TRUE()))</f>
        <v>1</v>
      </c>
      <c r="AD2627" s="55" t="n">
        <f aca="false">IF(AC2627,IF(01_因子設定!$B$13="最大化",AA2627-01_因子設定!$B$14,IF(01_因子設定!$B$13="最小化",01_因子設定!$B$15-AB2627,MIN(AA2627-01_因子設定!$B$14,01_因子設定!$B$15-AB2627))),-1E+030)</f>
        <v>-0.764568020201985</v>
      </c>
      <c r="AE2627" s="55" t="n">
        <f aca="false">IF(AC2627,IF(01_因子設定!$B$13="最大化",X2627,IF(01_因子設定!$B$13="最小化",-X2627,-ABS(X2627-01_因子設定!$B$16))),-1E+030)</f>
        <v>47.1021244517543</v>
      </c>
      <c r="AF2627" s="55" t="n">
        <f aca="false">AD2627+ROW()*0.000000001</f>
        <v>-0.764565393201985</v>
      </c>
      <c r="AG2627" s="55" t="n">
        <f aca="false">AE2627+ROW()*0.000000001</f>
        <v>47.1021270787543</v>
      </c>
    </row>
    <row r="2628" customFormat="false" ht="15" hidden="false" customHeight="false" outlineLevel="0" collapsed="false">
      <c r="A2628" s="0" t="n">
        <v>3</v>
      </c>
      <c r="B2628" s="0" t="n">
        <v>5</v>
      </c>
      <c r="C2628" s="0" t="n">
        <v>3</v>
      </c>
      <c r="D2628" s="0" t="n">
        <v>4</v>
      </c>
      <c r="E2628" s="0" t="n">
        <f aca="false">-1+A2628*0.25</f>
        <v>-0.25</v>
      </c>
      <c r="F2628" s="0" t="n">
        <f aca="false">-1+B2628*0.25</f>
        <v>0.25</v>
      </c>
      <c r="G2628" s="0" t="n">
        <f aca="false">-1+C2628*0.25</f>
        <v>-0.25</v>
      </c>
      <c r="H2628" s="0" t="n">
        <f aca="false">-1+D2628*0.25</f>
        <v>0</v>
      </c>
      <c r="I2628" s="0" t="n">
        <f aca="false">1</f>
        <v>1</v>
      </c>
      <c r="J2628" s="0" t="n">
        <f aca="false">E2628</f>
        <v>-0.25</v>
      </c>
      <c r="K2628" s="0" t="n">
        <f aca="false">F2628</f>
        <v>0.25</v>
      </c>
      <c r="L2628" s="0" t="n">
        <f aca="false">G2628</f>
        <v>-0.25</v>
      </c>
      <c r="M2628" s="0" t="n">
        <f aca="false">H2628</f>
        <v>0</v>
      </c>
      <c r="N2628" s="0" t="n">
        <f aca="false">E2628*F2628</f>
        <v>-0.0625</v>
      </c>
      <c r="O2628" s="0" t="n">
        <f aca="false">E2628*G2628</f>
        <v>0.0625</v>
      </c>
      <c r="P2628" s="0" t="n">
        <f aca="false">E2628*H2628</f>
        <v>-0</v>
      </c>
      <c r="Q2628" s="0" t="n">
        <f aca="false">F2628*G2628</f>
        <v>-0.0625</v>
      </c>
      <c r="R2628" s="0" t="n">
        <f aca="false">F2628*H2628</f>
        <v>0</v>
      </c>
      <c r="S2628" s="0" t="n">
        <f aca="false">G2628*H2628</f>
        <v>-0</v>
      </c>
      <c r="T2628" s="0" t="n">
        <f aca="false">E2628*E2628</f>
        <v>0.0625</v>
      </c>
      <c r="U2628" s="0" t="n">
        <f aca="false">F2628*F2628</f>
        <v>0.0625</v>
      </c>
      <c r="V2628" s="0" t="n">
        <f aca="false">G2628*G2628</f>
        <v>0.0625</v>
      </c>
      <c r="W2628" s="0" t="n">
        <f aca="false">H2628*H2628</f>
        <v>0</v>
      </c>
      <c r="X2628" s="0" t="n">
        <f aca="false">SUMPRODUCT(I2628:W2628,_XtX!$B$96:$P$96)</f>
        <v>47.1883543494151</v>
      </c>
      <c r="Y2628" s="0" t="n">
        <f aca="false">SUMPRODUCT(MMULT(I2628:W2628,_XtX!$B$78:$P$92),I2628:W2628)</f>
        <v>0.099622224506579</v>
      </c>
      <c r="Z2628" s="0" t="n">
        <f aca="false">04_回帰ANOVA!$K$19*04_回帰ANOVA!$K$14*SQRT(1+Y2628)</f>
        <v>1.3668477654658</v>
      </c>
      <c r="AA2628" s="0" t="n">
        <f aca="false">X2628-Z2628</f>
        <v>45.8215065839493</v>
      </c>
      <c r="AB2628" s="0" t="n">
        <f aca="false">X2628+Z2628</f>
        <v>48.5552021148809</v>
      </c>
      <c r="AC2628" s="54" t="b">
        <f aca="false">AND(E2628&gt;=01_因子設定!$L$5-0.000000001,E2628&lt;=01_因子設定!$M$5+0.000000001,F2628&gt;=01_因子設定!$L$6-0.000000001,F2628&lt;=01_因子設定!$M$6+0.000000001,G2628&gt;=01_因子設定!$L$7-0.000000001,G2628&lt;=01_因子設定!$M$7+0.000000001,H2628&gt;=01_因子設定!$L$8-0.000000001,H2628&lt;=01_因子設定!$M$8+0.000000001,IF(01_因子設定!$B$20="Box-Behnken",E2628^2+F2628^2+G2628^2+H2628^2&lt;=2+0.000000001,TRUE()))</f>
        <v>1</v>
      </c>
      <c r="AD2628" s="55" t="n">
        <f aca="false">IF(AC2628,IF(01_因子設定!$B$13="最大化",AA2628-01_因子設定!$B$14,IF(01_因子設定!$B$13="最小化",01_因子設定!$B$15-AB2628,MIN(AA2628-01_因子設定!$B$14,01_因子設定!$B$15-AB2628))),-1E+030)</f>
        <v>-0.678493416050657</v>
      </c>
      <c r="AE2628" s="55" t="n">
        <f aca="false">IF(AC2628,IF(01_因子設定!$B$13="最大化",X2628,IF(01_因子設定!$B$13="最小化",-X2628,-ABS(X2628-01_因子設定!$B$16))),-1E+030)</f>
        <v>47.1883543494151</v>
      </c>
      <c r="AF2628" s="55" t="n">
        <f aca="false">AD2628+ROW()*0.000000001</f>
        <v>-0.678490788050657</v>
      </c>
      <c r="AG2628" s="55" t="n">
        <f aca="false">AE2628+ROW()*0.000000001</f>
        <v>47.1883569774151</v>
      </c>
    </row>
    <row r="2629" customFormat="false" ht="15" hidden="false" customHeight="false" outlineLevel="0" collapsed="false">
      <c r="A2629" s="0" t="n">
        <v>3</v>
      </c>
      <c r="B2629" s="0" t="n">
        <v>5</v>
      </c>
      <c r="C2629" s="0" t="n">
        <v>3</v>
      </c>
      <c r="D2629" s="0" t="n">
        <v>5</v>
      </c>
      <c r="E2629" s="0" t="n">
        <f aca="false">-1+A2629*0.25</f>
        <v>-0.25</v>
      </c>
      <c r="F2629" s="0" t="n">
        <f aca="false">-1+B2629*0.25</f>
        <v>0.25</v>
      </c>
      <c r="G2629" s="0" t="n">
        <f aca="false">-1+C2629*0.25</f>
        <v>-0.25</v>
      </c>
      <c r="H2629" s="0" t="n">
        <f aca="false">-1+D2629*0.25</f>
        <v>0.25</v>
      </c>
      <c r="I2629" s="0" t="n">
        <f aca="false">1</f>
        <v>1</v>
      </c>
      <c r="J2629" s="0" t="n">
        <f aca="false">E2629</f>
        <v>-0.25</v>
      </c>
      <c r="K2629" s="0" t="n">
        <f aca="false">F2629</f>
        <v>0.25</v>
      </c>
      <c r="L2629" s="0" t="n">
        <f aca="false">G2629</f>
        <v>-0.25</v>
      </c>
      <c r="M2629" s="0" t="n">
        <f aca="false">H2629</f>
        <v>0.25</v>
      </c>
      <c r="N2629" s="0" t="n">
        <f aca="false">E2629*F2629</f>
        <v>-0.0625</v>
      </c>
      <c r="O2629" s="0" t="n">
        <f aca="false">E2629*G2629</f>
        <v>0.0625</v>
      </c>
      <c r="P2629" s="0" t="n">
        <f aca="false">E2629*H2629</f>
        <v>-0.0625</v>
      </c>
      <c r="Q2629" s="0" t="n">
        <f aca="false">F2629*G2629</f>
        <v>-0.0625</v>
      </c>
      <c r="R2629" s="0" t="n">
        <f aca="false">F2629*H2629</f>
        <v>0.0625</v>
      </c>
      <c r="S2629" s="0" t="n">
        <f aca="false">G2629*H2629</f>
        <v>-0.0625</v>
      </c>
      <c r="T2629" s="0" t="n">
        <f aca="false">E2629*E2629</f>
        <v>0.0625</v>
      </c>
      <c r="U2629" s="0" t="n">
        <f aca="false">F2629*F2629</f>
        <v>0.0625</v>
      </c>
      <c r="V2629" s="0" t="n">
        <f aca="false">G2629*G2629</f>
        <v>0.0625</v>
      </c>
      <c r="W2629" s="0" t="n">
        <f aca="false">H2629*H2629</f>
        <v>0.0625</v>
      </c>
      <c r="X2629" s="0" t="n">
        <f aca="false">SUMPRODUCT(I2629:W2629,_XtX!$B$96:$P$96)</f>
        <v>47.2267772295321</v>
      </c>
      <c r="Y2629" s="0" t="n">
        <f aca="false">SUMPRODUCT(MMULT(I2629:W2629,_XtX!$B$78:$P$92),I2629:W2629)</f>
        <v>0.0993723729897661</v>
      </c>
      <c r="Z2629" s="0" t="n">
        <f aca="false">04_回帰ANOVA!$K$19*04_回帰ANOVA!$K$14*SQRT(1+Y2629)</f>
        <v>1.36669247195631</v>
      </c>
      <c r="AA2629" s="0" t="n">
        <f aca="false">X2629-Z2629</f>
        <v>45.8600847575758</v>
      </c>
      <c r="AB2629" s="0" t="n">
        <f aca="false">X2629+Z2629</f>
        <v>48.5934697014884</v>
      </c>
      <c r="AC2629" s="54" t="b">
        <f aca="false">AND(E2629&gt;=01_因子設定!$L$5-0.000000001,E2629&lt;=01_因子設定!$M$5+0.000000001,F2629&gt;=01_因子設定!$L$6-0.000000001,F2629&lt;=01_因子設定!$M$6+0.000000001,G2629&gt;=01_因子設定!$L$7-0.000000001,G2629&lt;=01_因子設定!$M$7+0.000000001,H2629&gt;=01_因子設定!$L$8-0.000000001,H2629&lt;=01_因子設定!$M$8+0.000000001,IF(01_因子設定!$B$20="Box-Behnken",E2629^2+F2629^2+G2629^2+H2629^2&lt;=2+0.000000001,TRUE()))</f>
        <v>1</v>
      </c>
      <c r="AD2629" s="55" t="n">
        <f aca="false">IF(AC2629,IF(01_因子設定!$B$13="最大化",AA2629-01_因子設定!$B$14,IF(01_因子設定!$B$13="最小化",01_因子設定!$B$15-AB2629,MIN(AA2629-01_因子設定!$B$14,01_因子設定!$B$15-AB2629))),-1E+030)</f>
        <v>-0.639915242424209</v>
      </c>
      <c r="AE2629" s="55" t="n">
        <f aca="false">IF(AC2629,IF(01_因子設定!$B$13="最大化",X2629,IF(01_因子設定!$B$13="最小化",-X2629,-ABS(X2629-01_因子設定!$B$16))),-1E+030)</f>
        <v>47.2267772295321</v>
      </c>
      <c r="AF2629" s="55" t="n">
        <f aca="false">AD2629+ROW()*0.000000001</f>
        <v>-0.639912613424209</v>
      </c>
      <c r="AG2629" s="55" t="n">
        <f aca="false">AE2629+ROW()*0.000000001</f>
        <v>47.2267798585321</v>
      </c>
    </row>
    <row r="2630" customFormat="false" ht="15" hidden="false" customHeight="false" outlineLevel="0" collapsed="false">
      <c r="A2630" s="0" t="n">
        <v>3</v>
      </c>
      <c r="B2630" s="0" t="n">
        <v>5</v>
      </c>
      <c r="C2630" s="0" t="n">
        <v>3</v>
      </c>
      <c r="D2630" s="0" t="n">
        <v>6</v>
      </c>
      <c r="E2630" s="0" t="n">
        <f aca="false">-1+A2630*0.25</f>
        <v>-0.25</v>
      </c>
      <c r="F2630" s="0" t="n">
        <f aca="false">-1+B2630*0.25</f>
        <v>0.25</v>
      </c>
      <c r="G2630" s="0" t="n">
        <f aca="false">-1+C2630*0.25</f>
        <v>-0.25</v>
      </c>
      <c r="H2630" s="0" t="n">
        <f aca="false">-1+D2630*0.25</f>
        <v>0.5</v>
      </c>
      <c r="I2630" s="0" t="n">
        <f aca="false">1</f>
        <v>1</v>
      </c>
      <c r="J2630" s="0" t="n">
        <f aca="false">E2630</f>
        <v>-0.25</v>
      </c>
      <c r="K2630" s="0" t="n">
        <f aca="false">F2630</f>
        <v>0.25</v>
      </c>
      <c r="L2630" s="0" t="n">
        <f aca="false">G2630</f>
        <v>-0.25</v>
      </c>
      <c r="M2630" s="0" t="n">
        <f aca="false">H2630</f>
        <v>0.5</v>
      </c>
      <c r="N2630" s="0" t="n">
        <f aca="false">E2630*F2630</f>
        <v>-0.0625</v>
      </c>
      <c r="O2630" s="0" t="n">
        <f aca="false">E2630*G2630</f>
        <v>0.0625</v>
      </c>
      <c r="P2630" s="0" t="n">
        <f aca="false">E2630*H2630</f>
        <v>-0.125</v>
      </c>
      <c r="Q2630" s="0" t="n">
        <f aca="false">F2630*G2630</f>
        <v>-0.0625</v>
      </c>
      <c r="R2630" s="0" t="n">
        <f aca="false">F2630*H2630</f>
        <v>0.125</v>
      </c>
      <c r="S2630" s="0" t="n">
        <f aca="false">G2630*H2630</f>
        <v>-0.125</v>
      </c>
      <c r="T2630" s="0" t="n">
        <f aca="false">E2630*E2630</f>
        <v>0.0625</v>
      </c>
      <c r="U2630" s="0" t="n">
        <f aca="false">F2630*F2630</f>
        <v>0.0625</v>
      </c>
      <c r="V2630" s="0" t="n">
        <f aca="false">G2630*G2630</f>
        <v>0.0625</v>
      </c>
      <c r="W2630" s="0" t="n">
        <f aca="false">H2630*H2630</f>
        <v>0.25</v>
      </c>
      <c r="X2630" s="0" t="n">
        <f aca="false">SUMPRODUCT(I2630:W2630,_XtX!$B$96:$P$96)</f>
        <v>47.2173930921052</v>
      </c>
      <c r="Y2630" s="0" t="n">
        <f aca="false">SUMPRODUCT(MMULT(I2630:W2630,_XtX!$B$78:$P$92),I2630:W2630)</f>
        <v>0.116714923702485</v>
      </c>
      <c r="Z2630" s="0" t="n">
        <f aca="false">04_回帰ANOVA!$K$19*04_回帰ANOVA!$K$14*SQRT(1+Y2630)</f>
        <v>1.37743004820023</v>
      </c>
      <c r="AA2630" s="0" t="n">
        <f aca="false">X2630-Z2630</f>
        <v>45.839963043905</v>
      </c>
      <c r="AB2630" s="0" t="n">
        <f aca="false">X2630+Z2630</f>
        <v>48.5948231403054</v>
      </c>
      <c r="AC2630" s="54" t="b">
        <f aca="false">AND(E2630&gt;=01_因子設定!$L$5-0.000000001,E2630&lt;=01_因子設定!$M$5+0.000000001,F2630&gt;=01_因子設定!$L$6-0.000000001,F2630&lt;=01_因子設定!$M$6+0.000000001,G2630&gt;=01_因子設定!$L$7-0.000000001,G2630&lt;=01_因子設定!$M$7+0.000000001,H2630&gt;=01_因子設定!$L$8-0.000000001,H2630&lt;=01_因子設定!$M$8+0.000000001,IF(01_因子設定!$B$20="Box-Behnken",E2630^2+F2630^2+G2630^2+H2630^2&lt;=2+0.000000001,TRUE()))</f>
        <v>1</v>
      </c>
      <c r="AD2630" s="55" t="n">
        <f aca="false">IF(AC2630,IF(01_因子設定!$B$13="最大化",AA2630-01_因子設定!$B$14,IF(01_因子設定!$B$13="最小化",01_因子設定!$B$15-AB2630,MIN(AA2630-01_因子設定!$B$14,01_因子設定!$B$15-AB2630))),-1E+030)</f>
        <v>-0.660036956095013</v>
      </c>
      <c r="AE2630" s="55" t="n">
        <f aca="false">IF(AC2630,IF(01_因子設定!$B$13="最大化",X2630,IF(01_因子設定!$B$13="最小化",-X2630,-ABS(X2630-01_因子設定!$B$16))),-1E+030)</f>
        <v>47.2173930921052</v>
      </c>
      <c r="AF2630" s="55" t="n">
        <f aca="false">AD2630+ROW()*0.000000001</f>
        <v>-0.660034326095013</v>
      </c>
      <c r="AG2630" s="55" t="n">
        <f aca="false">AE2630+ROW()*0.000000001</f>
        <v>47.2173957221052</v>
      </c>
    </row>
    <row r="2631" customFormat="false" ht="15" hidden="false" customHeight="false" outlineLevel="0" collapsed="false">
      <c r="A2631" s="0" t="n">
        <v>3</v>
      </c>
      <c r="B2631" s="0" t="n">
        <v>5</v>
      </c>
      <c r="C2631" s="0" t="n">
        <v>3</v>
      </c>
      <c r="D2631" s="0" t="n">
        <v>7</v>
      </c>
      <c r="E2631" s="0" t="n">
        <f aca="false">-1+A2631*0.25</f>
        <v>-0.25</v>
      </c>
      <c r="F2631" s="0" t="n">
        <f aca="false">-1+B2631*0.25</f>
        <v>0.25</v>
      </c>
      <c r="G2631" s="0" t="n">
        <f aca="false">-1+C2631*0.25</f>
        <v>-0.25</v>
      </c>
      <c r="H2631" s="0" t="n">
        <f aca="false">-1+D2631*0.25</f>
        <v>0.75</v>
      </c>
      <c r="I2631" s="0" t="n">
        <f aca="false">1</f>
        <v>1</v>
      </c>
      <c r="J2631" s="0" t="n">
        <f aca="false">E2631</f>
        <v>-0.25</v>
      </c>
      <c r="K2631" s="0" t="n">
        <f aca="false">F2631</f>
        <v>0.25</v>
      </c>
      <c r="L2631" s="0" t="n">
        <f aca="false">G2631</f>
        <v>-0.25</v>
      </c>
      <c r="M2631" s="0" t="n">
        <f aca="false">H2631</f>
        <v>0.75</v>
      </c>
      <c r="N2631" s="0" t="n">
        <f aca="false">E2631*F2631</f>
        <v>-0.0625</v>
      </c>
      <c r="O2631" s="0" t="n">
        <f aca="false">E2631*G2631</f>
        <v>0.0625</v>
      </c>
      <c r="P2631" s="0" t="n">
        <f aca="false">E2631*H2631</f>
        <v>-0.1875</v>
      </c>
      <c r="Q2631" s="0" t="n">
        <f aca="false">F2631*G2631</f>
        <v>-0.0625</v>
      </c>
      <c r="R2631" s="0" t="n">
        <f aca="false">F2631*H2631</f>
        <v>0.1875</v>
      </c>
      <c r="S2631" s="0" t="n">
        <f aca="false">G2631*H2631</f>
        <v>-0.1875</v>
      </c>
      <c r="T2631" s="0" t="n">
        <f aca="false">E2631*E2631</f>
        <v>0.0625</v>
      </c>
      <c r="U2631" s="0" t="n">
        <f aca="false">F2631*F2631</f>
        <v>0.0625</v>
      </c>
      <c r="V2631" s="0" t="n">
        <f aca="false">G2631*G2631</f>
        <v>0.0625</v>
      </c>
      <c r="W2631" s="0" t="n">
        <f aca="false">H2631*H2631</f>
        <v>0.5625</v>
      </c>
      <c r="X2631" s="0" t="n">
        <f aca="false">SUMPRODUCT(I2631:W2631,_XtX!$B$96:$P$96)</f>
        <v>47.1602019371345</v>
      </c>
      <c r="Y2631" s="0" t="n">
        <f aca="false">SUMPRODUCT(MMULT(I2631:W2631,_XtX!$B$78:$P$92),I2631:W2631)</f>
        <v>0.205926192434211</v>
      </c>
      <c r="Z2631" s="0" t="n">
        <f aca="false">04_回帰ANOVA!$K$19*04_回帰ANOVA!$K$14*SQRT(1+Y2631)</f>
        <v>1.43139256396246</v>
      </c>
      <c r="AA2631" s="0" t="n">
        <f aca="false">X2631-Z2631</f>
        <v>45.728809373172</v>
      </c>
      <c r="AB2631" s="0" t="n">
        <f aca="false">X2631+Z2631</f>
        <v>48.5915945010969</v>
      </c>
      <c r="AC2631" s="54" t="b">
        <f aca="false">AND(E2631&gt;=01_因子設定!$L$5-0.000000001,E2631&lt;=01_因子設定!$M$5+0.000000001,F2631&gt;=01_因子設定!$L$6-0.000000001,F2631&lt;=01_因子設定!$M$6+0.000000001,G2631&gt;=01_因子設定!$L$7-0.000000001,G2631&lt;=01_因子設定!$M$7+0.000000001,H2631&gt;=01_因子設定!$L$8-0.000000001,H2631&lt;=01_因子設定!$M$8+0.000000001,IF(01_因子設定!$B$20="Box-Behnken",E2631^2+F2631^2+G2631^2+H2631^2&lt;=2+0.000000001,TRUE()))</f>
        <v>1</v>
      </c>
      <c r="AD2631" s="55" t="n">
        <f aca="false">IF(AC2631,IF(01_因子設定!$B$13="最大化",AA2631-01_因子設定!$B$14,IF(01_因子設定!$B$13="最小化",01_因子設定!$B$15-AB2631,MIN(AA2631-01_因子設定!$B$14,01_因子設定!$B$15-AB2631))),-1E+030)</f>
        <v>-0.771190626828002</v>
      </c>
      <c r="AE2631" s="55" t="n">
        <f aca="false">IF(AC2631,IF(01_因子設定!$B$13="最大化",X2631,IF(01_因子設定!$B$13="最小化",-X2631,-ABS(X2631-01_因子設定!$B$16))),-1E+030)</f>
        <v>47.1602019371345</v>
      </c>
      <c r="AF2631" s="55" t="n">
        <f aca="false">AD2631+ROW()*0.000000001</f>
        <v>-0.771187995828002</v>
      </c>
      <c r="AG2631" s="55" t="n">
        <f aca="false">AE2631+ROW()*0.000000001</f>
        <v>47.1602045681345</v>
      </c>
    </row>
    <row r="2632" customFormat="false" ht="15" hidden="false" customHeight="false" outlineLevel="0" collapsed="false">
      <c r="A2632" s="0" t="n">
        <v>3</v>
      </c>
      <c r="B2632" s="0" t="n">
        <v>5</v>
      </c>
      <c r="C2632" s="0" t="n">
        <v>3</v>
      </c>
      <c r="D2632" s="0" t="n">
        <v>8</v>
      </c>
      <c r="E2632" s="0" t="n">
        <f aca="false">-1+A2632*0.25</f>
        <v>-0.25</v>
      </c>
      <c r="F2632" s="0" t="n">
        <f aca="false">-1+B2632*0.25</f>
        <v>0.25</v>
      </c>
      <c r="G2632" s="0" t="n">
        <f aca="false">-1+C2632*0.25</f>
        <v>-0.25</v>
      </c>
      <c r="H2632" s="0" t="n">
        <f aca="false">-1+D2632*0.25</f>
        <v>1</v>
      </c>
      <c r="I2632" s="0" t="n">
        <f aca="false">1</f>
        <v>1</v>
      </c>
      <c r="J2632" s="0" t="n">
        <f aca="false">E2632</f>
        <v>-0.25</v>
      </c>
      <c r="K2632" s="0" t="n">
        <f aca="false">F2632</f>
        <v>0.25</v>
      </c>
      <c r="L2632" s="0" t="n">
        <f aca="false">G2632</f>
        <v>-0.25</v>
      </c>
      <c r="M2632" s="0" t="n">
        <f aca="false">H2632</f>
        <v>1</v>
      </c>
      <c r="N2632" s="0" t="n">
        <f aca="false">E2632*F2632</f>
        <v>-0.0625</v>
      </c>
      <c r="O2632" s="0" t="n">
        <f aca="false">E2632*G2632</f>
        <v>0.0625</v>
      </c>
      <c r="P2632" s="0" t="n">
        <f aca="false">E2632*H2632</f>
        <v>-0.25</v>
      </c>
      <c r="Q2632" s="0" t="n">
        <f aca="false">F2632*G2632</f>
        <v>-0.0625</v>
      </c>
      <c r="R2632" s="0" t="n">
        <f aca="false">F2632*H2632</f>
        <v>0.25</v>
      </c>
      <c r="S2632" s="0" t="n">
        <f aca="false">G2632*H2632</f>
        <v>-0.25</v>
      </c>
      <c r="T2632" s="0" t="n">
        <f aca="false">E2632*E2632</f>
        <v>0.0625</v>
      </c>
      <c r="U2632" s="0" t="n">
        <f aca="false">F2632*F2632</f>
        <v>0.0625</v>
      </c>
      <c r="V2632" s="0" t="n">
        <f aca="false">G2632*G2632</f>
        <v>0.0625</v>
      </c>
      <c r="W2632" s="0" t="n">
        <f aca="false">H2632*H2632</f>
        <v>1</v>
      </c>
      <c r="X2632" s="0" t="n">
        <f aca="false">SUMPRODUCT(I2632:W2632,_XtX!$B$96:$P$96)</f>
        <v>47.0552037646199</v>
      </c>
      <c r="Y2632" s="0" t="n">
        <f aca="false">SUMPRODUCT(MMULT(I2632:W2632,_XtX!$B$78:$P$92),I2632:W2632)</f>
        <v>0.457466705500731</v>
      </c>
      <c r="Z2632" s="0" t="n">
        <f aca="false">04_回帰ANOVA!$K$19*04_回帰ANOVA!$K$14*SQRT(1+Y2632)</f>
        <v>1.57361220003999</v>
      </c>
      <c r="AA2632" s="0" t="n">
        <f aca="false">X2632-Z2632</f>
        <v>45.4815915645799</v>
      </c>
      <c r="AB2632" s="0" t="n">
        <f aca="false">X2632+Z2632</f>
        <v>48.6288159646599</v>
      </c>
      <c r="AC2632" s="54" t="b">
        <f aca="false">AND(E2632&gt;=01_因子設定!$L$5-0.000000001,E2632&lt;=01_因子設定!$M$5+0.000000001,F2632&gt;=01_因子設定!$L$6-0.000000001,F2632&lt;=01_因子設定!$M$6+0.000000001,G2632&gt;=01_因子設定!$L$7-0.000000001,G2632&lt;=01_因子設定!$M$7+0.000000001,H2632&gt;=01_因子設定!$L$8-0.000000001,H2632&lt;=01_因子設定!$M$8+0.000000001,IF(01_因子設定!$B$20="Box-Behnken",E2632^2+F2632^2+G2632^2+H2632^2&lt;=2+0.000000001,TRUE()))</f>
        <v>1</v>
      </c>
      <c r="AD2632" s="55" t="n">
        <f aca="false">IF(AC2632,IF(01_因子設定!$B$13="最大化",AA2632-01_因子設定!$B$14,IF(01_因子設定!$B$13="最小化",01_因子設定!$B$15-AB2632,MIN(AA2632-01_因子設定!$B$14,01_因子設定!$B$15-AB2632))),-1E+030)</f>
        <v>-1.01840843542013</v>
      </c>
      <c r="AE2632" s="55" t="n">
        <f aca="false">IF(AC2632,IF(01_因子設定!$B$13="最大化",X2632,IF(01_因子設定!$B$13="最小化",-X2632,-ABS(X2632-01_因子設定!$B$16))),-1E+030)</f>
        <v>47.0552037646199</v>
      </c>
      <c r="AF2632" s="55" t="n">
        <f aca="false">AD2632+ROW()*0.000000001</f>
        <v>-1.01840580342013</v>
      </c>
      <c r="AG2632" s="55" t="n">
        <f aca="false">AE2632+ROW()*0.000000001</f>
        <v>47.0552063966199</v>
      </c>
    </row>
    <row r="2633" customFormat="false" ht="15" hidden="false" customHeight="false" outlineLevel="0" collapsed="false">
      <c r="A2633" s="0" t="n">
        <v>3</v>
      </c>
      <c r="B2633" s="0" t="n">
        <v>5</v>
      </c>
      <c r="C2633" s="0" t="n">
        <v>4</v>
      </c>
      <c r="D2633" s="0" t="n">
        <v>0</v>
      </c>
      <c r="E2633" s="0" t="n">
        <f aca="false">-1+A2633*0.25</f>
        <v>-0.25</v>
      </c>
      <c r="F2633" s="0" t="n">
        <f aca="false">-1+B2633*0.25</f>
        <v>0.25</v>
      </c>
      <c r="G2633" s="0" t="n">
        <f aca="false">-1+C2633*0.25</f>
        <v>0</v>
      </c>
      <c r="H2633" s="0" t="n">
        <f aca="false">-1+D2633*0.25</f>
        <v>-1</v>
      </c>
      <c r="I2633" s="0" t="n">
        <f aca="false">1</f>
        <v>1</v>
      </c>
      <c r="J2633" s="0" t="n">
        <f aca="false">E2633</f>
        <v>-0.25</v>
      </c>
      <c r="K2633" s="0" t="n">
        <f aca="false">F2633</f>
        <v>0.25</v>
      </c>
      <c r="L2633" s="0" t="n">
        <f aca="false">G2633</f>
        <v>0</v>
      </c>
      <c r="M2633" s="0" t="n">
        <f aca="false">H2633</f>
        <v>-1</v>
      </c>
      <c r="N2633" s="0" t="n">
        <f aca="false">E2633*F2633</f>
        <v>-0.0625</v>
      </c>
      <c r="O2633" s="0" t="n">
        <f aca="false">E2633*G2633</f>
        <v>-0</v>
      </c>
      <c r="P2633" s="0" t="n">
        <f aca="false">E2633*H2633</f>
        <v>0.25</v>
      </c>
      <c r="Q2633" s="0" t="n">
        <f aca="false">F2633*G2633</f>
        <v>0</v>
      </c>
      <c r="R2633" s="0" t="n">
        <f aca="false">F2633*H2633</f>
        <v>-0.25</v>
      </c>
      <c r="S2633" s="0" t="n">
        <f aca="false">G2633*H2633</f>
        <v>-0</v>
      </c>
      <c r="T2633" s="0" t="n">
        <f aca="false">E2633*E2633</f>
        <v>0.0625</v>
      </c>
      <c r="U2633" s="0" t="n">
        <f aca="false">F2633*F2633</f>
        <v>0.0625</v>
      </c>
      <c r="V2633" s="0" t="n">
        <f aca="false">G2633*G2633</f>
        <v>0</v>
      </c>
      <c r="W2633" s="0" t="n">
        <f aca="false">H2633*H2633</f>
        <v>1</v>
      </c>
      <c r="X2633" s="0" t="n">
        <f aca="false">SUMPRODUCT(I2633:W2633,_XtX!$B$96:$P$96)</f>
        <v>46.833360745614</v>
      </c>
      <c r="Y2633" s="0" t="n">
        <f aca="false">SUMPRODUCT(MMULT(I2633:W2633,_XtX!$B$78:$P$92),I2633:W2633)</f>
        <v>0.467417934484649</v>
      </c>
      <c r="Z2633" s="0" t="n">
        <f aca="false">04_回帰ANOVA!$K$19*04_回帰ANOVA!$K$14*SQRT(1+Y2633)</f>
        <v>1.57897518244497</v>
      </c>
      <c r="AA2633" s="0" t="n">
        <f aca="false">X2633-Z2633</f>
        <v>45.254385563169</v>
      </c>
      <c r="AB2633" s="0" t="n">
        <f aca="false">X2633+Z2633</f>
        <v>48.412335928059</v>
      </c>
      <c r="AC2633" s="54" t="b">
        <f aca="false">AND(E2633&gt;=01_因子設定!$L$5-0.000000001,E2633&lt;=01_因子設定!$M$5+0.000000001,F2633&gt;=01_因子設定!$L$6-0.000000001,F2633&lt;=01_因子設定!$M$6+0.000000001,G2633&gt;=01_因子設定!$L$7-0.000000001,G2633&lt;=01_因子設定!$M$7+0.000000001,H2633&gt;=01_因子設定!$L$8-0.000000001,H2633&lt;=01_因子設定!$M$8+0.000000001,IF(01_因子設定!$B$20="Box-Behnken",E2633^2+F2633^2+G2633^2+H2633^2&lt;=2+0.000000001,TRUE()))</f>
        <v>1</v>
      </c>
      <c r="AD2633" s="55" t="n">
        <f aca="false">IF(AC2633,IF(01_因子設定!$B$13="最大化",AA2633-01_因子設定!$B$14,IF(01_因子設定!$B$13="最小化",01_因子設定!$B$15-AB2633,MIN(AA2633-01_因子設定!$B$14,01_因子設定!$B$15-AB2633))),-1E+030)</f>
        <v>-1.24561443683096</v>
      </c>
      <c r="AE2633" s="55" t="n">
        <f aca="false">IF(AC2633,IF(01_因子設定!$B$13="最大化",X2633,IF(01_因子設定!$B$13="最小化",-X2633,-ABS(X2633-01_因子設定!$B$16))),-1E+030)</f>
        <v>46.833360745614</v>
      </c>
      <c r="AF2633" s="55" t="n">
        <f aca="false">AD2633+ROW()*0.000000001</f>
        <v>-1.24561180383096</v>
      </c>
      <c r="AG2633" s="55" t="n">
        <f aca="false">AE2633+ROW()*0.000000001</f>
        <v>46.833363378614</v>
      </c>
    </row>
    <row r="2634" customFormat="false" ht="15" hidden="false" customHeight="false" outlineLevel="0" collapsed="false">
      <c r="A2634" s="0" t="n">
        <v>3</v>
      </c>
      <c r="B2634" s="0" t="n">
        <v>5</v>
      </c>
      <c r="C2634" s="0" t="n">
        <v>4</v>
      </c>
      <c r="D2634" s="0" t="n">
        <v>1</v>
      </c>
      <c r="E2634" s="0" t="n">
        <f aca="false">-1+A2634*0.25</f>
        <v>-0.25</v>
      </c>
      <c r="F2634" s="0" t="n">
        <f aca="false">-1+B2634*0.25</f>
        <v>0.25</v>
      </c>
      <c r="G2634" s="0" t="n">
        <f aca="false">-1+C2634*0.25</f>
        <v>0</v>
      </c>
      <c r="H2634" s="0" t="n">
        <f aca="false">-1+D2634*0.25</f>
        <v>-0.75</v>
      </c>
      <c r="I2634" s="0" t="n">
        <f aca="false">1</f>
        <v>1</v>
      </c>
      <c r="J2634" s="0" t="n">
        <f aca="false">E2634</f>
        <v>-0.25</v>
      </c>
      <c r="K2634" s="0" t="n">
        <f aca="false">F2634</f>
        <v>0.25</v>
      </c>
      <c r="L2634" s="0" t="n">
        <f aca="false">G2634</f>
        <v>0</v>
      </c>
      <c r="M2634" s="0" t="n">
        <f aca="false">H2634</f>
        <v>-0.75</v>
      </c>
      <c r="N2634" s="0" t="n">
        <f aca="false">E2634*F2634</f>
        <v>-0.0625</v>
      </c>
      <c r="O2634" s="0" t="n">
        <f aca="false">E2634*G2634</f>
        <v>-0</v>
      </c>
      <c r="P2634" s="0" t="n">
        <f aca="false">E2634*H2634</f>
        <v>0.1875</v>
      </c>
      <c r="Q2634" s="0" t="n">
        <f aca="false">F2634*G2634</f>
        <v>0</v>
      </c>
      <c r="R2634" s="0" t="n">
        <f aca="false">F2634*H2634</f>
        <v>-0.1875</v>
      </c>
      <c r="S2634" s="0" t="n">
        <f aca="false">G2634*H2634</f>
        <v>-0</v>
      </c>
      <c r="T2634" s="0" t="n">
        <f aca="false">E2634*E2634</f>
        <v>0.0625</v>
      </c>
      <c r="U2634" s="0" t="n">
        <f aca="false">F2634*F2634</f>
        <v>0.0625</v>
      </c>
      <c r="V2634" s="0" t="n">
        <f aca="false">G2634*G2634</f>
        <v>0</v>
      </c>
      <c r="W2634" s="0" t="n">
        <f aca="false">H2634*H2634</f>
        <v>0.5625</v>
      </c>
      <c r="X2634" s="0" t="n">
        <f aca="false">SUMPRODUCT(I2634:W2634,_XtX!$B$96:$P$96)</f>
        <v>47.0809804459064</v>
      </c>
      <c r="Y2634" s="0" t="n">
        <f aca="false">SUMPRODUCT(MMULT(I2634:W2634,_XtX!$B$78:$P$92),I2634:W2634)</f>
        <v>0.21135011193348</v>
      </c>
      <c r="Z2634" s="0" t="n">
        <f aca="false">04_回帰ANOVA!$K$19*04_回帰ANOVA!$K$14*SQRT(1+Y2634)</f>
        <v>1.43460795469709</v>
      </c>
      <c r="AA2634" s="0" t="n">
        <f aca="false">X2634-Z2634</f>
        <v>45.6463724912093</v>
      </c>
      <c r="AB2634" s="0" t="n">
        <f aca="false">X2634+Z2634</f>
        <v>48.5155884006035</v>
      </c>
      <c r="AC2634" s="54" t="b">
        <f aca="false">AND(E2634&gt;=01_因子設定!$L$5-0.000000001,E2634&lt;=01_因子設定!$M$5+0.000000001,F2634&gt;=01_因子設定!$L$6-0.000000001,F2634&lt;=01_因子設定!$M$6+0.000000001,G2634&gt;=01_因子設定!$L$7-0.000000001,G2634&lt;=01_因子設定!$M$7+0.000000001,H2634&gt;=01_因子設定!$L$8-0.000000001,H2634&lt;=01_因子設定!$M$8+0.000000001,IF(01_因子設定!$B$20="Box-Behnken",E2634^2+F2634^2+G2634^2+H2634^2&lt;=2+0.000000001,TRUE()))</f>
        <v>1</v>
      </c>
      <c r="AD2634" s="55" t="n">
        <f aca="false">IF(AC2634,IF(01_因子設定!$B$13="最大化",AA2634-01_因子設定!$B$14,IF(01_因子設定!$B$13="最小化",01_因子設定!$B$15-AB2634,MIN(AA2634-01_因子設定!$B$14,01_因子設定!$B$15-AB2634))),-1E+030)</f>
        <v>-0.853627508790694</v>
      </c>
      <c r="AE2634" s="55" t="n">
        <f aca="false">IF(AC2634,IF(01_因子設定!$B$13="最大化",X2634,IF(01_因子設定!$B$13="最小化",-X2634,-ABS(X2634-01_因子設定!$B$16))),-1E+030)</f>
        <v>47.0809804459064</v>
      </c>
      <c r="AF2634" s="55" t="n">
        <f aca="false">AD2634+ROW()*0.000000001</f>
        <v>-0.853624874790694</v>
      </c>
      <c r="AG2634" s="55" t="n">
        <f aca="false">AE2634+ROW()*0.000000001</f>
        <v>47.0809830799064</v>
      </c>
    </row>
    <row r="2635" customFormat="false" ht="15" hidden="false" customHeight="false" outlineLevel="0" collapsed="false">
      <c r="A2635" s="0" t="n">
        <v>3</v>
      </c>
      <c r="B2635" s="0" t="n">
        <v>5</v>
      </c>
      <c r="C2635" s="0" t="n">
        <v>4</v>
      </c>
      <c r="D2635" s="0" t="n">
        <v>2</v>
      </c>
      <c r="E2635" s="0" t="n">
        <f aca="false">-1+A2635*0.25</f>
        <v>-0.25</v>
      </c>
      <c r="F2635" s="0" t="n">
        <f aca="false">-1+B2635*0.25</f>
        <v>0.25</v>
      </c>
      <c r="G2635" s="0" t="n">
        <f aca="false">-1+C2635*0.25</f>
        <v>0</v>
      </c>
      <c r="H2635" s="0" t="n">
        <f aca="false">-1+D2635*0.25</f>
        <v>-0.5</v>
      </c>
      <c r="I2635" s="0" t="n">
        <f aca="false">1</f>
        <v>1</v>
      </c>
      <c r="J2635" s="0" t="n">
        <f aca="false">E2635</f>
        <v>-0.25</v>
      </c>
      <c r="K2635" s="0" t="n">
        <f aca="false">F2635</f>
        <v>0.25</v>
      </c>
      <c r="L2635" s="0" t="n">
        <f aca="false">G2635</f>
        <v>0</v>
      </c>
      <c r="M2635" s="0" t="n">
        <f aca="false">H2635</f>
        <v>-0.5</v>
      </c>
      <c r="N2635" s="0" t="n">
        <f aca="false">E2635*F2635</f>
        <v>-0.0625</v>
      </c>
      <c r="O2635" s="0" t="n">
        <f aca="false">E2635*G2635</f>
        <v>-0</v>
      </c>
      <c r="P2635" s="0" t="n">
        <f aca="false">E2635*H2635</f>
        <v>0.125</v>
      </c>
      <c r="Q2635" s="0" t="n">
        <f aca="false">F2635*G2635</f>
        <v>0</v>
      </c>
      <c r="R2635" s="0" t="n">
        <f aca="false">F2635*H2635</f>
        <v>-0.125</v>
      </c>
      <c r="S2635" s="0" t="n">
        <f aca="false">G2635*H2635</f>
        <v>-0</v>
      </c>
      <c r="T2635" s="0" t="n">
        <f aca="false">E2635*E2635</f>
        <v>0.0625</v>
      </c>
      <c r="U2635" s="0" t="n">
        <f aca="false">F2635*F2635</f>
        <v>0.0625</v>
      </c>
      <c r="V2635" s="0" t="n">
        <f aca="false">G2635*G2635</f>
        <v>0</v>
      </c>
      <c r="W2635" s="0" t="n">
        <f aca="false">H2635*H2635</f>
        <v>0.25</v>
      </c>
      <c r="X2635" s="0" t="n">
        <f aca="false">SUMPRODUCT(I2635:W2635,_XtX!$B$96:$P$96)</f>
        <v>47.2807931286549</v>
      </c>
      <c r="Y2635" s="0" t="n">
        <f aca="false">SUMPRODUCT(MMULT(I2635:W2635,_XtX!$B$78:$P$92),I2635:W2635)</f>
        <v>0.118905050712719</v>
      </c>
      <c r="Z2635" s="0" t="n">
        <f aca="false">04_回帰ANOVA!$K$19*04_回帰ANOVA!$K$14*SQRT(1+Y2635)</f>
        <v>1.37878011033769</v>
      </c>
      <c r="AA2635" s="0" t="n">
        <f aca="false">X2635-Z2635</f>
        <v>45.9020130183172</v>
      </c>
      <c r="AB2635" s="0" t="n">
        <f aca="false">X2635+Z2635</f>
        <v>48.6595732389926</v>
      </c>
      <c r="AC2635" s="54" t="b">
        <f aca="false">AND(E2635&gt;=01_因子設定!$L$5-0.000000001,E2635&lt;=01_因子設定!$M$5+0.000000001,F2635&gt;=01_因子設定!$L$6-0.000000001,F2635&lt;=01_因子設定!$M$6+0.000000001,G2635&gt;=01_因子設定!$L$7-0.000000001,G2635&lt;=01_因子設定!$M$7+0.000000001,H2635&gt;=01_因子設定!$L$8-0.000000001,H2635&lt;=01_因子設定!$M$8+0.000000001,IF(01_因子設定!$B$20="Box-Behnken",E2635^2+F2635^2+G2635^2+H2635^2&lt;=2+0.000000001,TRUE()))</f>
        <v>1</v>
      </c>
      <c r="AD2635" s="55" t="n">
        <f aca="false">IF(AC2635,IF(01_因子設定!$B$13="最大化",AA2635-01_因子設定!$B$14,IF(01_因子設定!$B$13="最小化",01_因子設定!$B$15-AB2635,MIN(AA2635-01_因子設定!$B$14,01_因子設定!$B$15-AB2635))),-1E+030)</f>
        <v>-0.597986981682766</v>
      </c>
      <c r="AE2635" s="55" t="n">
        <f aca="false">IF(AC2635,IF(01_因子設定!$B$13="最大化",X2635,IF(01_因子設定!$B$13="最小化",-X2635,-ABS(X2635-01_因子設定!$B$16))),-1E+030)</f>
        <v>47.2807931286549</v>
      </c>
      <c r="AF2635" s="55" t="n">
        <f aca="false">AD2635+ROW()*0.000000001</f>
        <v>-0.597984346682766</v>
      </c>
      <c r="AG2635" s="55" t="n">
        <f aca="false">AE2635+ROW()*0.000000001</f>
        <v>47.2807957636549</v>
      </c>
    </row>
    <row r="2636" customFormat="false" ht="15" hidden="false" customHeight="false" outlineLevel="0" collapsed="false">
      <c r="A2636" s="0" t="n">
        <v>3</v>
      </c>
      <c r="B2636" s="0" t="n">
        <v>5</v>
      </c>
      <c r="C2636" s="0" t="n">
        <v>4</v>
      </c>
      <c r="D2636" s="0" t="n">
        <v>3</v>
      </c>
      <c r="E2636" s="0" t="n">
        <f aca="false">-1+A2636*0.25</f>
        <v>-0.25</v>
      </c>
      <c r="F2636" s="0" t="n">
        <f aca="false">-1+B2636*0.25</f>
        <v>0.25</v>
      </c>
      <c r="G2636" s="0" t="n">
        <f aca="false">-1+C2636*0.25</f>
        <v>0</v>
      </c>
      <c r="H2636" s="0" t="n">
        <f aca="false">-1+D2636*0.25</f>
        <v>-0.25</v>
      </c>
      <c r="I2636" s="0" t="n">
        <f aca="false">1</f>
        <v>1</v>
      </c>
      <c r="J2636" s="0" t="n">
        <f aca="false">E2636</f>
        <v>-0.25</v>
      </c>
      <c r="K2636" s="0" t="n">
        <f aca="false">F2636</f>
        <v>0.25</v>
      </c>
      <c r="L2636" s="0" t="n">
        <f aca="false">G2636</f>
        <v>0</v>
      </c>
      <c r="M2636" s="0" t="n">
        <f aca="false">H2636</f>
        <v>-0.25</v>
      </c>
      <c r="N2636" s="0" t="n">
        <f aca="false">E2636*F2636</f>
        <v>-0.0625</v>
      </c>
      <c r="O2636" s="0" t="n">
        <f aca="false">E2636*G2636</f>
        <v>-0</v>
      </c>
      <c r="P2636" s="0" t="n">
        <f aca="false">E2636*H2636</f>
        <v>0.0625</v>
      </c>
      <c r="Q2636" s="0" t="n">
        <f aca="false">F2636*G2636</f>
        <v>0</v>
      </c>
      <c r="R2636" s="0" t="n">
        <f aca="false">F2636*H2636</f>
        <v>-0.0625</v>
      </c>
      <c r="S2636" s="0" t="n">
        <f aca="false">G2636*H2636</f>
        <v>-0</v>
      </c>
      <c r="T2636" s="0" t="n">
        <f aca="false">E2636*E2636</f>
        <v>0.0625</v>
      </c>
      <c r="U2636" s="0" t="n">
        <f aca="false">F2636*F2636</f>
        <v>0.0625</v>
      </c>
      <c r="V2636" s="0" t="n">
        <f aca="false">G2636*G2636</f>
        <v>0</v>
      </c>
      <c r="W2636" s="0" t="n">
        <f aca="false">H2636*H2636</f>
        <v>0.0625</v>
      </c>
      <c r="X2636" s="0" t="n">
        <f aca="false">SUMPRODUCT(I2636:W2636,_XtX!$B$96:$P$96)</f>
        <v>47.4327987938596</v>
      </c>
      <c r="Y2636" s="0" t="n">
        <f aca="false">SUMPRODUCT(MMULT(I2636:W2636,_XtX!$B$78:$P$92),I2636:W2636)</f>
        <v>0.099622224506579</v>
      </c>
      <c r="Z2636" s="0" t="n">
        <f aca="false">04_回帰ANOVA!$K$19*04_回帰ANOVA!$K$14*SQRT(1+Y2636)</f>
        <v>1.3668477654658</v>
      </c>
      <c r="AA2636" s="0" t="n">
        <f aca="false">X2636-Z2636</f>
        <v>46.0659510283938</v>
      </c>
      <c r="AB2636" s="0" t="n">
        <f aca="false">X2636+Z2636</f>
        <v>48.7996465593254</v>
      </c>
      <c r="AC2636" s="54" t="b">
        <f aca="false">AND(E2636&gt;=01_因子設定!$L$5-0.000000001,E2636&lt;=01_因子設定!$M$5+0.000000001,F2636&gt;=01_因子設定!$L$6-0.000000001,F2636&lt;=01_因子設定!$M$6+0.000000001,G2636&gt;=01_因子設定!$L$7-0.000000001,G2636&lt;=01_因子設定!$M$7+0.000000001,H2636&gt;=01_因子設定!$L$8-0.000000001,H2636&lt;=01_因子設定!$M$8+0.000000001,IF(01_因子設定!$B$20="Box-Behnken",E2636^2+F2636^2+G2636^2+H2636^2&lt;=2+0.000000001,TRUE()))</f>
        <v>1</v>
      </c>
      <c r="AD2636" s="55" t="n">
        <f aca="false">IF(AC2636,IF(01_因子設定!$B$13="最大化",AA2636-01_因子設定!$B$14,IF(01_因子設定!$B$13="最小化",01_因子設定!$B$15-AB2636,MIN(AA2636-01_因子設定!$B$14,01_因子設定!$B$15-AB2636))),-1E+030)</f>
        <v>-0.43404897160621</v>
      </c>
      <c r="AE2636" s="55" t="n">
        <f aca="false">IF(AC2636,IF(01_因子設定!$B$13="最大化",X2636,IF(01_因子設定!$B$13="最小化",-X2636,-ABS(X2636-01_因子設定!$B$16))),-1E+030)</f>
        <v>47.4327987938596</v>
      </c>
      <c r="AF2636" s="55" t="n">
        <f aca="false">AD2636+ROW()*0.000000001</f>
        <v>-0.43404633560621</v>
      </c>
      <c r="AG2636" s="55" t="n">
        <f aca="false">AE2636+ROW()*0.000000001</f>
        <v>47.4328014298596</v>
      </c>
    </row>
    <row r="2637" customFormat="false" ht="15" hidden="false" customHeight="false" outlineLevel="0" collapsed="false">
      <c r="A2637" s="0" t="n">
        <v>3</v>
      </c>
      <c r="B2637" s="0" t="n">
        <v>5</v>
      </c>
      <c r="C2637" s="0" t="n">
        <v>4</v>
      </c>
      <c r="D2637" s="0" t="n">
        <v>4</v>
      </c>
      <c r="E2637" s="0" t="n">
        <f aca="false">-1+A2637*0.25</f>
        <v>-0.25</v>
      </c>
      <c r="F2637" s="0" t="n">
        <f aca="false">-1+B2637*0.25</f>
        <v>0.25</v>
      </c>
      <c r="G2637" s="0" t="n">
        <f aca="false">-1+C2637*0.25</f>
        <v>0</v>
      </c>
      <c r="H2637" s="0" t="n">
        <f aca="false">-1+D2637*0.25</f>
        <v>0</v>
      </c>
      <c r="I2637" s="0" t="n">
        <f aca="false">1</f>
        <v>1</v>
      </c>
      <c r="J2637" s="0" t="n">
        <f aca="false">E2637</f>
        <v>-0.25</v>
      </c>
      <c r="K2637" s="0" t="n">
        <f aca="false">F2637</f>
        <v>0.25</v>
      </c>
      <c r="L2637" s="0" t="n">
        <f aca="false">G2637</f>
        <v>0</v>
      </c>
      <c r="M2637" s="0" t="n">
        <f aca="false">H2637</f>
        <v>0</v>
      </c>
      <c r="N2637" s="0" t="n">
        <f aca="false">E2637*F2637</f>
        <v>-0.0625</v>
      </c>
      <c r="O2637" s="0" t="n">
        <f aca="false">E2637*G2637</f>
        <v>-0</v>
      </c>
      <c r="P2637" s="0" t="n">
        <f aca="false">E2637*H2637</f>
        <v>-0</v>
      </c>
      <c r="Q2637" s="0" t="n">
        <f aca="false">F2637*G2637</f>
        <v>0</v>
      </c>
      <c r="R2637" s="0" t="n">
        <f aca="false">F2637*H2637</f>
        <v>0</v>
      </c>
      <c r="S2637" s="0" t="n">
        <f aca="false">G2637*H2637</f>
        <v>0</v>
      </c>
      <c r="T2637" s="0" t="n">
        <f aca="false">E2637*E2637</f>
        <v>0.0625</v>
      </c>
      <c r="U2637" s="0" t="n">
        <f aca="false">F2637*F2637</f>
        <v>0.0625</v>
      </c>
      <c r="V2637" s="0" t="n">
        <f aca="false">G2637*G2637</f>
        <v>0</v>
      </c>
      <c r="W2637" s="0" t="n">
        <f aca="false">H2637*H2637</f>
        <v>0</v>
      </c>
      <c r="X2637" s="0" t="n">
        <f aca="false">SUMPRODUCT(I2637:W2637,_XtX!$B$96:$P$96)</f>
        <v>47.5369974415204</v>
      </c>
      <c r="Y2637" s="0" t="n">
        <f aca="false">SUMPRODUCT(MMULT(I2637:W2637,_XtX!$B$78:$P$92),I2637:W2637)</f>
        <v>0.0992253175255848</v>
      </c>
      <c r="Z2637" s="0" t="n">
        <f aca="false">04_回帰ANOVA!$K$19*04_回帰ANOVA!$K$14*SQRT(1+Y2637)</f>
        <v>1.36660106238383</v>
      </c>
      <c r="AA2637" s="0" t="n">
        <f aca="false">X2637-Z2637</f>
        <v>46.1703963791366</v>
      </c>
      <c r="AB2637" s="0" t="n">
        <f aca="false">X2637+Z2637</f>
        <v>48.9035985039042</v>
      </c>
      <c r="AC2637" s="54" t="b">
        <f aca="false">AND(E2637&gt;=01_因子設定!$L$5-0.000000001,E2637&lt;=01_因子設定!$M$5+0.000000001,F2637&gt;=01_因子設定!$L$6-0.000000001,F2637&lt;=01_因子設定!$M$6+0.000000001,G2637&gt;=01_因子設定!$L$7-0.000000001,G2637&lt;=01_因子設定!$M$7+0.000000001,H2637&gt;=01_因子設定!$L$8-0.000000001,H2637&lt;=01_因子設定!$M$8+0.000000001,IF(01_因子設定!$B$20="Box-Behnken",E2637^2+F2637^2+G2637^2+H2637^2&lt;=2+0.000000001,TRUE()))</f>
        <v>1</v>
      </c>
      <c r="AD2637" s="55" t="n">
        <f aca="false">IF(AC2637,IF(01_因子設定!$B$13="最大化",AA2637-01_因子設定!$B$14,IF(01_因子設定!$B$13="最小化",01_因子設定!$B$15-AB2637,MIN(AA2637-01_因子設定!$B$14,01_因子設定!$B$15-AB2637))),-1E+030)</f>
        <v>-0.329603620863423</v>
      </c>
      <c r="AE2637" s="55" t="n">
        <f aca="false">IF(AC2637,IF(01_因子設定!$B$13="最大化",X2637,IF(01_因子設定!$B$13="最小化",-X2637,-ABS(X2637-01_因子設定!$B$16))),-1E+030)</f>
        <v>47.5369974415204</v>
      </c>
      <c r="AF2637" s="55" t="n">
        <f aca="false">AD2637+ROW()*0.000000001</f>
        <v>-0.329600983863423</v>
      </c>
      <c r="AG2637" s="55" t="n">
        <f aca="false">AE2637+ROW()*0.000000001</f>
        <v>47.5370000785204</v>
      </c>
    </row>
    <row r="2638" customFormat="false" ht="15" hidden="false" customHeight="false" outlineLevel="0" collapsed="false">
      <c r="A2638" s="0" t="n">
        <v>3</v>
      </c>
      <c r="B2638" s="0" t="n">
        <v>5</v>
      </c>
      <c r="C2638" s="0" t="n">
        <v>4</v>
      </c>
      <c r="D2638" s="0" t="n">
        <v>5</v>
      </c>
      <c r="E2638" s="0" t="n">
        <f aca="false">-1+A2638*0.25</f>
        <v>-0.25</v>
      </c>
      <c r="F2638" s="0" t="n">
        <f aca="false">-1+B2638*0.25</f>
        <v>0.25</v>
      </c>
      <c r="G2638" s="0" t="n">
        <f aca="false">-1+C2638*0.25</f>
        <v>0</v>
      </c>
      <c r="H2638" s="0" t="n">
        <f aca="false">-1+D2638*0.25</f>
        <v>0.25</v>
      </c>
      <c r="I2638" s="0" t="n">
        <f aca="false">1</f>
        <v>1</v>
      </c>
      <c r="J2638" s="0" t="n">
        <f aca="false">E2638</f>
        <v>-0.25</v>
      </c>
      <c r="K2638" s="0" t="n">
        <f aca="false">F2638</f>
        <v>0.25</v>
      </c>
      <c r="L2638" s="0" t="n">
        <f aca="false">G2638</f>
        <v>0</v>
      </c>
      <c r="M2638" s="0" t="n">
        <f aca="false">H2638</f>
        <v>0.25</v>
      </c>
      <c r="N2638" s="0" t="n">
        <f aca="false">E2638*F2638</f>
        <v>-0.0625</v>
      </c>
      <c r="O2638" s="0" t="n">
        <f aca="false">E2638*G2638</f>
        <v>-0</v>
      </c>
      <c r="P2638" s="0" t="n">
        <f aca="false">E2638*H2638</f>
        <v>-0.0625</v>
      </c>
      <c r="Q2638" s="0" t="n">
        <f aca="false">F2638*G2638</f>
        <v>0</v>
      </c>
      <c r="R2638" s="0" t="n">
        <f aca="false">F2638*H2638</f>
        <v>0.0625</v>
      </c>
      <c r="S2638" s="0" t="n">
        <f aca="false">G2638*H2638</f>
        <v>0</v>
      </c>
      <c r="T2638" s="0" t="n">
        <f aca="false">E2638*E2638</f>
        <v>0.0625</v>
      </c>
      <c r="U2638" s="0" t="n">
        <f aca="false">F2638*F2638</f>
        <v>0.0625</v>
      </c>
      <c r="V2638" s="0" t="n">
        <f aca="false">G2638*G2638</f>
        <v>0</v>
      </c>
      <c r="W2638" s="0" t="n">
        <f aca="false">H2638*H2638</f>
        <v>0.0625</v>
      </c>
      <c r="X2638" s="0" t="n">
        <f aca="false">SUMPRODUCT(I2638:W2638,_XtX!$B$96:$P$96)</f>
        <v>47.5933890716374</v>
      </c>
      <c r="Y2638" s="0" t="n">
        <f aca="false">SUMPRODUCT(MMULT(I2638:W2638,_XtX!$B$78:$P$92),I2638:W2638)</f>
        <v>0.099622224506579</v>
      </c>
      <c r="Z2638" s="0" t="n">
        <f aca="false">04_回帰ANOVA!$K$19*04_回帰ANOVA!$K$14*SQRT(1+Y2638)</f>
        <v>1.3668477654658</v>
      </c>
      <c r="AA2638" s="0" t="n">
        <f aca="false">X2638-Z2638</f>
        <v>46.2265413061716</v>
      </c>
      <c r="AB2638" s="0" t="n">
        <f aca="false">X2638+Z2638</f>
        <v>48.9602368371032</v>
      </c>
      <c r="AC2638" s="54" t="b">
        <f aca="false">AND(E2638&gt;=01_因子設定!$L$5-0.000000001,E2638&lt;=01_因子設定!$M$5+0.000000001,F2638&gt;=01_因子設定!$L$6-0.000000001,F2638&lt;=01_因子設定!$M$6+0.000000001,G2638&gt;=01_因子設定!$L$7-0.000000001,G2638&lt;=01_因子設定!$M$7+0.000000001,H2638&gt;=01_因子設定!$L$8-0.000000001,H2638&lt;=01_因子設定!$M$8+0.000000001,IF(01_因子設定!$B$20="Box-Behnken",E2638^2+F2638^2+G2638^2+H2638^2&lt;=2+0.000000001,TRUE()))</f>
        <v>1</v>
      </c>
      <c r="AD2638" s="55" t="n">
        <f aca="false">IF(AC2638,IF(01_因子設定!$B$13="最大化",AA2638-01_因子設定!$B$14,IF(01_因子設定!$B$13="最小化",01_因子設定!$B$15-AB2638,MIN(AA2638-01_因子設定!$B$14,01_因子設定!$B$15-AB2638))),-1E+030)</f>
        <v>-0.273458693828431</v>
      </c>
      <c r="AE2638" s="55" t="n">
        <f aca="false">IF(AC2638,IF(01_因子設定!$B$13="最大化",X2638,IF(01_因子設定!$B$13="最小化",-X2638,-ABS(X2638-01_因子設定!$B$16))),-1E+030)</f>
        <v>47.5933890716374</v>
      </c>
      <c r="AF2638" s="55" t="n">
        <f aca="false">AD2638+ROW()*0.000000001</f>
        <v>-0.273456055828431</v>
      </c>
      <c r="AG2638" s="55" t="n">
        <f aca="false">AE2638+ROW()*0.000000001</f>
        <v>47.5933917096374</v>
      </c>
    </row>
    <row r="2639" customFormat="false" ht="15" hidden="false" customHeight="false" outlineLevel="0" collapsed="false">
      <c r="A2639" s="0" t="n">
        <v>3</v>
      </c>
      <c r="B2639" s="0" t="n">
        <v>5</v>
      </c>
      <c r="C2639" s="0" t="n">
        <v>4</v>
      </c>
      <c r="D2639" s="0" t="n">
        <v>6</v>
      </c>
      <c r="E2639" s="0" t="n">
        <f aca="false">-1+A2639*0.25</f>
        <v>-0.25</v>
      </c>
      <c r="F2639" s="0" t="n">
        <f aca="false">-1+B2639*0.25</f>
        <v>0.25</v>
      </c>
      <c r="G2639" s="0" t="n">
        <f aca="false">-1+C2639*0.25</f>
        <v>0</v>
      </c>
      <c r="H2639" s="0" t="n">
        <f aca="false">-1+D2639*0.25</f>
        <v>0.5</v>
      </c>
      <c r="I2639" s="0" t="n">
        <f aca="false">1</f>
        <v>1</v>
      </c>
      <c r="J2639" s="0" t="n">
        <f aca="false">E2639</f>
        <v>-0.25</v>
      </c>
      <c r="K2639" s="0" t="n">
        <f aca="false">F2639</f>
        <v>0.25</v>
      </c>
      <c r="L2639" s="0" t="n">
        <f aca="false">G2639</f>
        <v>0</v>
      </c>
      <c r="M2639" s="0" t="n">
        <f aca="false">H2639</f>
        <v>0.5</v>
      </c>
      <c r="N2639" s="0" t="n">
        <f aca="false">E2639*F2639</f>
        <v>-0.0625</v>
      </c>
      <c r="O2639" s="0" t="n">
        <f aca="false">E2639*G2639</f>
        <v>-0</v>
      </c>
      <c r="P2639" s="0" t="n">
        <f aca="false">E2639*H2639</f>
        <v>-0.125</v>
      </c>
      <c r="Q2639" s="0" t="n">
        <f aca="false">F2639*G2639</f>
        <v>0</v>
      </c>
      <c r="R2639" s="0" t="n">
        <f aca="false">F2639*H2639</f>
        <v>0.125</v>
      </c>
      <c r="S2639" s="0" t="n">
        <f aca="false">G2639*H2639</f>
        <v>0</v>
      </c>
      <c r="T2639" s="0" t="n">
        <f aca="false">E2639*E2639</f>
        <v>0.0625</v>
      </c>
      <c r="U2639" s="0" t="n">
        <f aca="false">F2639*F2639</f>
        <v>0.0625</v>
      </c>
      <c r="V2639" s="0" t="n">
        <f aca="false">G2639*G2639</f>
        <v>0</v>
      </c>
      <c r="W2639" s="0" t="n">
        <f aca="false">H2639*H2639</f>
        <v>0.25</v>
      </c>
      <c r="X2639" s="0" t="n">
        <f aca="false">SUMPRODUCT(I2639:W2639,_XtX!$B$96:$P$96)</f>
        <v>47.6019736842105</v>
      </c>
      <c r="Y2639" s="0" t="n">
        <f aca="false">SUMPRODUCT(MMULT(I2639:W2639,_XtX!$B$78:$P$92),I2639:W2639)</f>
        <v>0.118905050712719</v>
      </c>
      <c r="Z2639" s="0" t="n">
        <f aca="false">04_回帰ANOVA!$K$19*04_回帰ANOVA!$K$14*SQRT(1+Y2639)</f>
        <v>1.37878011033769</v>
      </c>
      <c r="AA2639" s="0" t="n">
        <f aca="false">X2639-Z2639</f>
        <v>46.2231935738728</v>
      </c>
      <c r="AB2639" s="0" t="n">
        <f aca="false">X2639+Z2639</f>
        <v>48.9807537945482</v>
      </c>
      <c r="AC2639" s="54" t="b">
        <f aca="false">AND(E2639&gt;=01_因子設定!$L$5-0.000000001,E2639&lt;=01_因子設定!$M$5+0.000000001,F2639&gt;=01_因子設定!$L$6-0.000000001,F2639&lt;=01_因子設定!$M$6+0.000000001,G2639&gt;=01_因子設定!$L$7-0.000000001,G2639&lt;=01_因子設定!$M$7+0.000000001,H2639&gt;=01_因子設定!$L$8-0.000000001,H2639&lt;=01_因子設定!$M$8+0.000000001,IF(01_因子設定!$B$20="Box-Behnken",E2639^2+F2639^2+G2639^2+H2639^2&lt;=2+0.000000001,TRUE()))</f>
        <v>1</v>
      </c>
      <c r="AD2639" s="55" t="n">
        <f aca="false">IF(AC2639,IF(01_因子設定!$B$13="最大化",AA2639-01_因子設定!$B$14,IF(01_因子設定!$B$13="最小化",01_因子設定!$B$15-AB2639,MIN(AA2639-01_因子設定!$B$14,01_因子設定!$B$15-AB2639))),-1E+030)</f>
        <v>-0.276806426127209</v>
      </c>
      <c r="AE2639" s="55" t="n">
        <f aca="false">IF(AC2639,IF(01_因子設定!$B$13="最大化",X2639,IF(01_因子設定!$B$13="最小化",-X2639,-ABS(X2639-01_因子設定!$B$16))),-1E+030)</f>
        <v>47.6019736842105</v>
      </c>
      <c r="AF2639" s="55" t="n">
        <f aca="false">AD2639+ROW()*0.000000001</f>
        <v>-0.276803787127209</v>
      </c>
      <c r="AG2639" s="55" t="n">
        <f aca="false">AE2639+ROW()*0.000000001</f>
        <v>47.6019763232105</v>
      </c>
    </row>
    <row r="2640" customFormat="false" ht="15" hidden="false" customHeight="false" outlineLevel="0" collapsed="false">
      <c r="A2640" s="0" t="n">
        <v>3</v>
      </c>
      <c r="B2640" s="0" t="n">
        <v>5</v>
      </c>
      <c r="C2640" s="0" t="n">
        <v>4</v>
      </c>
      <c r="D2640" s="0" t="n">
        <v>7</v>
      </c>
      <c r="E2640" s="0" t="n">
        <f aca="false">-1+A2640*0.25</f>
        <v>-0.25</v>
      </c>
      <c r="F2640" s="0" t="n">
        <f aca="false">-1+B2640*0.25</f>
        <v>0.25</v>
      </c>
      <c r="G2640" s="0" t="n">
        <f aca="false">-1+C2640*0.25</f>
        <v>0</v>
      </c>
      <c r="H2640" s="0" t="n">
        <f aca="false">-1+D2640*0.25</f>
        <v>0.75</v>
      </c>
      <c r="I2640" s="0" t="n">
        <f aca="false">1</f>
        <v>1</v>
      </c>
      <c r="J2640" s="0" t="n">
        <f aca="false">E2640</f>
        <v>-0.25</v>
      </c>
      <c r="K2640" s="0" t="n">
        <f aca="false">F2640</f>
        <v>0.25</v>
      </c>
      <c r="L2640" s="0" t="n">
        <f aca="false">G2640</f>
        <v>0</v>
      </c>
      <c r="M2640" s="0" t="n">
        <f aca="false">H2640</f>
        <v>0.75</v>
      </c>
      <c r="N2640" s="0" t="n">
        <f aca="false">E2640*F2640</f>
        <v>-0.0625</v>
      </c>
      <c r="O2640" s="0" t="n">
        <f aca="false">E2640*G2640</f>
        <v>-0</v>
      </c>
      <c r="P2640" s="0" t="n">
        <f aca="false">E2640*H2640</f>
        <v>-0.1875</v>
      </c>
      <c r="Q2640" s="0" t="n">
        <f aca="false">F2640*G2640</f>
        <v>0</v>
      </c>
      <c r="R2640" s="0" t="n">
        <f aca="false">F2640*H2640</f>
        <v>0.1875</v>
      </c>
      <c r="S2640" s="0" t="n">
        <f aca="false">G2640*H2640</f>
        <v>0</v>
      </c>
      <c r="T2640" s="0" t="n">
        <f aca="false">E2640*E2640</f>
        <v>0.0625</v>
      </c>
      <c r="U2640" s="0" t="n">
        <f aca="false">F2640*F2640</f>
        <v>0.0625</v>
      </c>
      <c r="V2640" s="0" t="n">
        <f aca="false">G2640*G2640</f>
        <v>0</v>
      </c>
      <c r="W2640" s="0" t="n">
        <f aca="false">H2640*H2640</f>
        <v>0.5625</v>
      </c>
      <c r="X2640" s="0" t="n">
        <f aca="false">SUMPRODUCT(I2640:W2640,_XtX!$B$96:$P$96)</f>
        <v>47.5627512792397</v>
      </c>
      <c r="Y2640" s="0" t="n">
        <f aca="false">SUMPRODUCT(MMULT(I2640:W2640,_XtX!$B$78:$P$92),I2640:W2640)</f>
        <v>0.21135011193348</v>
      </c>
      <c r="Z2640" s="0" t="n">
        <f aca="false">04_回帰ANOVA!$K$19*04_回帰ANOVA!$K$14*SQRT(1+Y2640)</f>
        <v>1.43460795469709</v>
      </c>
      <c r="AA2640" s="0" t="n">
        <f aca="false">X2640-Z2640</f>
        <v>46.1281433245426</v>
      </c>
      <c r="AB2640" s="0" t="n">
        <f aca="false">X2640+Z2640</f>
        <v>48.9973592339368</v>
      </c>
      <c r="AC2640" s="54" t="b">
        <f aca="false">AND(E2640&gt;=01_因子設定!$L$5-0.000000001,E2640&lt;=01_因子設定!$M$5+0.000000001,F2640&gt;=01_因子設定!$L$6-0.000000001,F2640&lt;=01_因子設定!$M$6+0.000000001,G2640&gt;=01_因子設定!$L$7-0.000000001,G2640&lt;=01_因子設定!$M$7+0.000000001,H2640&gt;=01_因子設定!$L$8-0.000000001,H2640&lt;=01_因子設定!$M$8+0.000000001,IF(01_因子設定!$B$20="Box-Behnken",E2640^2+F2640^2+G2640^2+H2640^2&lt;=2+0.000000001,TRUE()))</f>
        <v>1</v>
      </c>
      <c r="AD2640" s="55" t="n">
        <f aca="false">IF(AC2640,IF(01_因子設定!$B$13="最大化",AA2640-01_因子設定!$B$14,IF(01_因子設定!$B$13="最小化",01_因子設定!$B$15-AB2640,MIN(AA2640-01_因子設定!$B$14,01_因子設定!$B$15-AB2640))),-1E+030)</f>
        <v>-0.371856675457359</v>
      </c>
      <c r="AE2640" s="55" t="n">
        <f aca="false">IF(AC2640,IF(01_因子設定!$B$13="最大化",X2640,IF(01_因子設定!$B$13="最小化",-X2640,-ABS(X2640-01_因子設定!$B$16))),-1E+030)</f>
        <v>47.5627512792397</v>
      </c>
      <c r="AF2640" s="55" t="n">
        <f aca="false">AD2640+ROW()*0.000000001</f>
        <v>-0.371854035457359</v>
      </c>
      <c r="AG2640" s="55" t="n">
        <f aca="false">AE2640+ROW()*0.000000001</f>
        <v>47.5627539192397</v>
      </c>
    </row>
    <row r="2641" customFormat="false" ht="15" hidden="false" customHeight="false" outlineLevel="0" collapsed="false">
      <c r="A2641" s="0" t="n">
        <v>3</v>
      </c>
      <c r="B2641" s="0" t="n">
        <v>5</v>
      </c>
      <c r="C2641" s="0" t="n">
        <v>4</v>
      </c>
      <c r="D2641" s="0" t="n">
        <v>8</v>
      </c>
      <c r="E2641" s="0" t="n">
        <f aca="false">-1+A2641*0.25</f>
        <v>-0.25</v>
      </c>
      <c r="F2641" s="0" t="n">
        <f aca="false">-1+B2641*0.25</f>
        <v>0.25</v>
      </c>
      <c r="G2641" s="0" t="n">
        <f aca="false">-1+C2641*0.25</f>
        <v>0</v>
      </c>
      <c r="H2641" s="0" t="n">
        <f aca="false">-1+D2641*0.25</f>
        <v>1</v>
      </c>
      <c r="I2641" s="0" t="n">
        <f aca="false">1</f>
        <v>1</v>
      </c>
      <c r="J2641" s="0" t="n">
        <f aca="false">E2641</f>
        <v>-0.25</v>
      </c>
      <c r="K2641" s="0" t="n">
        <f aca="false">F2641</f>
        <v>0.25</v>
      </c>
      <c r="L2641" s="0" t="n">
        <f aca="false">G2641</f>
        <v>0</v>
      </c>
      <c r="M2641" s="0" t="n">
        <f aca="false">H2641</f>
        <v>1</v>
      </c>
      <c r="N2641" s="0" t="n">
        <f aca="false">E2641*F2641</f>
        <v>-0.0625</v>
      </c>
      <c r="O2641" s="0" t="n">
        <f aca="false">E2641*G2641</f>
        <v>-0</v>
      </c>
      <c r="P2641" s="0" t="n">
        <f aca="false">E2641*H2641</f>
        <v>-0.25</v>
      </c>
      <c r="Q2641" s="0" t="n">
        <f aca="false">F2641*G2641</f>
        <v>0</v>
      </c>
      <c r="R2641" s="0" t="n">
        <f aca="false">F2641*H2641</f>
        <v>0.25</v>
      </c>
      <c r="S2641" s="0" t="n">
        <f aca="false">G2641*H2641</f>
        <v>0</v>
      </c>
      <c r="T2641" s="0" t="n">
        <f aca="false">E2641*E2641</f>
        <v>0.0625</v>
      </c>
      <c r="U2641" s="0" t="n">
        <f aca="false">F2641*F2641</f>
        <v>0.0625</v>
      </c>
      <c r="V2641" s="0" t="n">
        <f aca="false">G2641*G2641</f>
        <v>0</v>
      </c>
      <c r="W2641" s="0" t="n">
        <f aca="false">H2641*H2641</f>
        <v>1</v>
      </c>
      <c r="X2641" s="0" t="n">
        <f aca="false">SUMPRODUCT(I2641:W2641,_XtX!$B$96:$P$96)</f>
        <v>47.4757218567251</v>
      </c>
      <c r="Y2641" s="0" t="n">
        <f aca="false">SUMPRODUCT(MMULT(I2641:W2641,_XtX!$B$78:$P$92),I2641:W2641)</f>
        <v>0.467417934484649</v>
      </c>
      <c r="Z2641" s="0" t="n">
        <f aca="false">04_回帰ANOVA!$K$19*04_回帰ANOVA!$K$14*SQRT(1+Y2641)</f>
        <v>1.57897518244497</v>
      </c>
      <c r="AA2641" s="0" t="n">
        <f aca="false">X2641-Z2641</f>
        <v>45.8967466742802</v>
      </c>
      <c r="AB2641" s="0" t="n">
        <f aca="false">X2641+Z2641</f>
        <v>49.0546970391701</v>
      </c>
      <c r="AC2641" s="54" t="b">
        <f aca="false">AND(E2641&gt;=01_因子設定!$L$5-0.000000001,E2641&lt;=01_因子設定!$M$5+0.000000001,F2641&gt;=01_因子設定!$L$6-0.000000001,F2641&lt;=01_因子設定!$M$6+0.000000001,G2641&gt;=01_因子設定!$L$7-0.000000001,G2641&lt;=01_因子設定!$M$7+0.000000001,H2641&gt;=01_因子設定!$L$8-0.000000001,H2641&lt;=01_因子設定!$M$8+0.000000001,IF(01_因子設定!$B$20="Box-Behnken",E2641^2+F2641^2+G2641^2+H2641^2&lt;=2+0.000000001,TRUE()))</f>
        <v>1</v>
      </c>
      <c r="AD2641" s="55" t="n">
        <f aca="false">IF(AC2641,IF(01_因子設定!$B$13="最大化",AA2641-01_因子設定!$B$14,IF(01_因子設定!$B$13="最小化",01_因子設定!$B$15-AB2641,MIN(AA2641-01_因子設定!$B$14,01_因子設定!$B$15-AB2641))),-1E+030)</f>
        <v>-0.603253325719848</v>
      </c>
      <c r="AE2641" s="55" t="n">
        <f aca="false">IF(AC2641,IF(01_因子設定!$B$13="最大化",X2641,IF(01_因子設定!$B$13="最小化",-X2641,-ABS(X2641-01_因子設定!$B$16))),-1E+030)</f>
        <v>47.4757218567251</v>
      </c>
      <c r="AF2641" s="55" t="n">
        <f aca="false">AD2641+ROW()*0.000000001</f>
        <v>-0.603250684719848</v>
      </c>
      <c r="AG2641" s="55" t="n">
        <f aca="false">AE2641+ROW()*0.000000001</f>
        <v>47.4757244977251</v>
      </c>
    </row>
    <row r="2642" customFormat="false" ht="15" hidden="false" customHeight="false" outlineLevel="0" collapsed="false">
      <c r="A2642" s="0" t="n">
        <v>3</v>
      </c>
      <c r="B2642" s="0" t="n">
        <v>5</v>
      </c>
      <c r="C2642" s="0" t="n">
        <v>5</v>
      </c>
      <c r="D2642" s="0" t="n">
        <v>0</v>
      </c>
      <c r="E2642" s="0" t="n">
        <f aca="false">-1+A2642*0.25</f>
        <v>-0.25</v>
      </c>
      <c r="F2642" s="0" t="n">
        <f aca="false">-1+B2642*0.25</f>
        <v>0.25</v>
      </c>
      <c r="G2642" s="0" t="n">
        <f aca="false">-1+C2642*0.25</f>
        <v>0.25</v>
      </c>
      <c r="H2642" s="0" t="n">
        <f aca="false">-1+D2642*0.25</f>
        <v>-1</v>
      </c>
      <c r="I2642" s="0" t="n">
        <f aca="false">1</f>
        <v>1</v>
      </c>
      <c r="J2642" s="0" t="n">
        <f aca="false">E2642</f>
        <v>-0.25</v>
      </c>
      <c r="K2642" s="0" t="n">
        <f aca="false">F2642</f>
        <v>0.25</v>
      </c>
      <c r="L2642" s="0" t="n">
        <f aca="false">G2642</f>
        <v>0.25</v>
      </c>
      <c r="M2642" s="0" t="n">
        <f aca="false">H2642</f>
        <v>-1</v>
      </c>
      <c r="N2642" s="0" t="n">
        <f aca="false">E2642*F2642</f>
        <v>-0.0625</v>
      </c>
      <c r="O2642" s="0" t="n">
        <f aca="false">E2642*G2642</f>
        <v>-0.0625</v>
      </c>
      <c r="P2642" s="0" t="n">
        <f aca="false">E2642*H2642</f>
        <v>0.25</v>
      </c>
      <c r="Q2642" s="0" t="n">
        <f aca="false">F2642*G2642</f>
        <v>0.0625</v>
      </c>
      <c r="R2642" s="0" t="n">
        <f aca="false">F2642*H2642</f>
        <v>-0.25</v>
      </c>
      <c r="S2642" s="0" t="n">
        <f aca="false">G2642*H2642</f>
        <v>-0.25</v>
      </c>
      <c r="T2642" s="0" t="n">
        <f aca="false">E2642*E2642</f>
        <v>0.0625</v>
      </c>
      <c r="U2642" s="0" t="n">
        <f aca="false">F2642*F2642</f>
        <v>0.0625</v>
      </c>
      <c r="V2642" s="0" t="n">
        <f aca="false">G2642*G2642</f>
        <v>0.0625</v>
      </c>
      <c r="W2642" s="0" t="n">
        <f aca="false">H2642*H2642</f>
        <v>1</v>
      </c>
      <c r="X2642" s="0" t="n">
        <f aca="false">SUMPRODUCT(I2642:W2642,_XtX!$B$96:$P$96)</f>
        <v>47.0248218201754</v>
      </c>
      <c r="Y2642" s="0" t="n">
        <f aca="false">SUMPRODUCT(MMULT(I2642:W2642,_XtX!$B$78:$P$92),I2642:W2642)</f>
        <v>0.457466705500731</v>
      </c>
      <c r="Z2642" s="0" t="n">
        <f aca="false">04_回帰ANOVA!$K$19*04_回帰ANOVA!$K$14*SQRT(1+Y2642)</f>
        <v>1.57361220003999</v>
      </c>
      <c r="AA2642" s="0" t="n">
        <f aca="false">X2642-Z2642</f>
        <v>45.4512096201354</v>
      </c>
      <c r="AB2642" s="0" t="n">
        <f aca="false">X2642+Z2642</f>
        <v>48.5984340202154</v>
      </c>
      <c r="AC2642" s="54" t="b">
        <f aca="false">AND(E2642&gt;=01_因子設定!$L$5-0.000000001,E2642&lt;=01_因子設定!$M$5+0.000000001,F2642&gt;=01_因子設定!$L$6-0.000000001,F2642&lt;=01_因子設定!$M$6+0.000000001,G2642&gt;=01_因子設定!$L$7-0.000000001,G2642&lt;=01_因子設定!$M$7+0.000000001,H2642&gt;=01_因子設定!$L$8-0.000000001,H2642&lt;=01_因子設定!$M$8+0.000000001,IF(01_因子設定!$B$20="Box-Behnken",E2642^2+F2642^2+G2642^2+H2642^2&lt;=2+0.000000001,TRUE()))</f>
        <v>1</v>
      </c>
      <c r="AD2642" s="55" t="n">
        <f aca="false">IF(AC2642,IF(01_因子設定!$B$13="最大化",AA2642-01_因子設定!$B$14,IF(01_因子設定!$B$13="最小化",01_因子設定!$B$15-AB2642,MIN(AA2642-01_因子設定!$B$14,01_因子設定!$B$15-AB2642))),-1E+030)</f>
        <v>-1.04879037986458</v>
      </c>
      <c r="AE2642" s="55" t="n">
        <f aca="false">IF(AC2642,IF(01_因子設定!$B$13="最大化",X2642,IF(01_因子設定!$B$13="最小化",-X2642,-ABS(X2642-01_因子設定!$B$16))),-1E+030)</f>
        <v>47.0248218201754</v>
      </c>
      <c r="AF2642" s="55" t="n">
        <f aca="false">AD2642+ROW()*0.000000001</f>
        <v>-1.04878773786458</v>
      </c>
      <c r="AG2642" s="55" t="n">
        <f aca="false">AE2642+ROW()*0.000000001</f>
        <v>47.0248244621754</v>
      </c>
    </row>
    <row r="2643" customFormat="false" ht="15" hidden="false" customHeight="false" outlineLevel="0" collapsed="false">
      <c r="A2643" s="0" t="n">
        <v>3</v>
      </c>
      <c r="B2643" s="0" t="n">
        <v>5</v>
      </c>
      <c r="C2643" s="0" t="n">
        <v>5</v>
      </c>
      <c r="D2643" s="0" t="n">
        <v>1</v>
      </c>
      <c r="E2643" s="0" t="n">
        <f aca="false">-1+A2643*0.25</f>
        <v>-0.25</v>
      </c>
      <c r="F2643" s="0" t="n">
        <f aca="false">-1+B2643*0.25</f>
        <v>0.25</v>
      </c>
      <c r="G2643" s="0" t="n">
        <f aca="false">-1+C2643*0.25</f>
        <v>0.25</v>
      </c>
      <c r="H2643" s="0" t="n">
        <f aca="false">-1+D2643*0.25</f>
        <v>-0.75</v>
      </c>
      <c r="I2643" s="0" t="n">
        <f aca="false">1</f>
        <v>1</v>
      </c>
      <c r="J2643" s="0" t="n">
        <f aca="false">E2643</f>
        <v>-0.25</v>
      </c>
      <c r="K2643" s="0" t="n">
        <f aca="false">F2643</f>
        <v>0.25</v>
      </c>
      <c r="L2643" s="0" t="n">
        <f aca="false">G2643</f>
        <v>0.25</v>
      </c>
      <c r="M2643" s="0" t="n">
        <f aca="false">H2643</f>
        <v>-0.75</v>
      </c>
      <c r="N2643" s="0" t="n">
        <f aca="false">E2643*F2643</f>
        <v>-0.0625</v>
      </c>
      <c r="O2643" s="0" t="n">
        <f aca="false">E2643*G2643</f>
        <v>-0.0625</v>
      </c>
      <c r="P2643" s="0" t="n">
        <f aca="false">E2643*H2643</f>
        <v>0.1875</v>
      </c>
      <c r="Q2643" s="0" t="n">
        <f aca="false">F2643*G2643</f>
        <v>0.0625</v>
      </c>
      <c r="R2643" s="0" t="n">
        <f aca="false">F2643*H2643</f>
        <v>-0.1875</v>
      </c>
      <c r="S2643" s="0" t="n">
        <f aca="false">G2643*H2643</f>
        <v>-0.1875</v>
      </c>
      <c r="T2643" s="0" t="n">
        <f aca="false">E2643*E2643</f>
        <v>0.0625</v>
      </c>
      <c r="U2643" s="0" t="n">
        <f aca="false">F2643*F2643</f>
        <v>0.0625</v>
      </c>
      <c r="V2643" s="0" t="n">
        <f aca="false">G2643*G2643</f>
        <v>0.0625</v>
      </c>
      <c r="W2643" s="0" t="n">
        <f aca="false">H2643*H2643</f>
        <v>0.5625</v>
      </c>
      <c r="X2643" s="0" t="n">
        <f aca="false">SUMPRODUCT(I2643:W2643,_XtX!$B$96:$P$96)</f>
        <v>47.2904102704678</v>
      </c>
      <c r="Y2643" s="0" t="n">
        <f aca="false">SUMPRODUCT(MMULT(I2643:W2643,_XtX!$B$78:$P$92),I2643:W2643)</f>
        <v>0.205926192434211</v>
      </c>
      <c r="Z2643" s="0" t="n">
        <f aca="false">04_回帰ANOVA!$K$19*04_回帰ANOVA!$K$14*SQRT(1+Y2643)</f>
        <v>1.43139256396246</v>
      </c>
      <c r="AA2643" s="0" t="n">
        <f aca="false">X2643-Z2643</f>
        <v>45.8590177065053</v>
      </c>
      <c r="AB2643" s="0" t="n">
        <f aca="false">X2643+Z2643</f>
        <v>48.7218028344303</v>
      </c>
      <c r="AC2643" s="54" t="b">
        <f aca="false">AND(E2643&gt;=01_因子設定!$L$5-0.000000001,E2643&lt;=01_因子設定!$M$5+0.000000001,F2643&gt;=01_因子設定!$L$6-0.000000001,F2643&lt;=01_因子設定!$M$6+0.000000001,G2643&gt;=01_因子設定!$L$7-0.000000001,G2643&lt;=01_因子設定!$M$7+0.000000001,H2643&gt;=01_因子設定!$L$8-0.000000001,H2643&lt;=01_因子設定!$M$8+0.000000001,IF(01_因子設定!$B$20="Box-Behnken",E2643^2+F2643^2+G2643^2+H2643^2&lt;=2+0.000000001,TRUE()))</f>
        <v>1</v>
      </c>
      <c r="AD2643" s="55" t="n">
        <f aca="false">IF(AC2643,IF(01_因子設定!$B$13="最大化",AA2643-01_因子設定!$B$14,IF(01_因子設定!$B$13="最小化",01_因子設定!$B$15-AB2643,MIN(AA2643-01_因子設定!$B$14,01_因子設定!$B$15-AB2643))),-1E+030)</f>
        <v>-0.640982293494666</v>
      </c>
      <c r="AE2643" s="55" t="n">
        <f aca="false">IF(AC2643,IF(01_因子設定!$B$13="最大化",X2643,IF(01_因子設定!$B$13="最小化",-X2643,-ABS(X2643-01_因子設定!$B$16))),-1E+030)</f>
        <v>47.2904102704678</v>
      </c>
      <c r="AF2643" s="55" t="n">
        <f aca="false">AD2643+ROW()*0.000000001</f>
        <v>-0.640979650494666</v>
      </c>
      <c r="AG2643" s="55" t="n">
        <f aca="false">AE2643+ROW()*0.000000001</f>
        <v>47.2904129134678</v>
      </c>
    </row>
    <row r="2644" customFormat="false" ht="15" hidden="false" customHeight="false" outlineLevel="0" collapsed="false">
      <c r="A2644" s="0" t="n">
        <v>3</v>
      </c>
      <c r="B2644" s="0" t="n">
        <v>5</v>
      </c>
      <c r="C2644" s="0" t="n">
        <v>5</v>
      </c>
      <c r="D2644" s="0" t="n">
        <v>2</v>
      </c>
      <c r="E2644" s="0" t="n">
        <f aca="false">-1+A2644*0.25</f>
        <v>-0.25</v>
      </c>
      <c r="F2644" s="0" t="n">
        <f aca="false">-1+B2644*0.25</f>
        <v>0.25</v>
      </c>
      <c r="G2644" s="0" t="n">
        <f aca="false">-1+C2644*0.25</f>
        <v>0.25</v>
      </c>
      <c r="H2644" s="0" t="n">
        <f aca="false">-1+D2644*0.25</f>
        <v>-0.5</v>
      </c>
      <c r="I2644" s="0" t="n">
        <f aca="false">1</f>
        <v>1</v>
      </c>
      <c r="J2644" s="0" t="n">
        <f aca="false">E2644</f>
        <v>-0.25</v>
      </c>
      <c r="K2644" s="0" t="n">
        <f aca="false">F2644</f>
        <v>0.25</v>
      </c>
      <c r="L2644" s="0" t="n">
        <f aca="false">G2644</f>
        <v>0.25</v>
      </c>
      <c r="M2644" s="0" t="n">
        <f aca="false">H2644</f>
        <v>-0.5</v>
      </c>
      <c r="N2644" s="0" t="n">
        <f aca="false">E2644*F2644</f>
        <v>-0.0625</v>
      </c>
      <c r="O2644" s="0" t="n">
        <f aca="false">E2644*G2644</f>
        <v>-0.0625</v>
      </c>
      <c r="P2644" s="0" t="n">
        <f aca="false">E2644*H2644</f>
        <v>0.125</v>
      </c>
      <c r="Q2644" s="0" t="n">
        <f aca="false">F2644*G2644</f>
        <v>0.0625</v>
      </c>
      <c r="R2644" s="0" t="n">
        <f aca="false">F2644*H2644</f>
        <v>-0.125</v>
      </c>
      <c r="S2644" s="0" t="n">
        <f aca="false">G2644*H2644</f>
        <v>-0.125</v>
      </c>
      <c r="T2644" s="0" t="n">
        <f aca="false">E2644*E2644</f>
        <v>0.0625</v>
      </c>
      <c r="U2644" s="0" t="n">
        <f aca="false">F2644*F2644</f>
        <v>0.0625</v>
      </c>
      <c r="V2644" s="0" t="n">
        <f aca="false">G2644*G2644</f>
        <v>0.0625</v>
      </c>
      <c r="W2644" s="0" t="n">
        <f aca="false">H2644*H2644</f>
        <v>0.25</v>
      </c>
      <c r="X2644" s="0" t="n">
        <f aca="false">SUMPRODUCT(I2644:W2644,_XtX!$B$96:$P$96)</f>
        <v>47.5081917032163</v>
      </c>
      <c r="Y2644" s="0" t="n">
        <f aca="false">SUMPRODUCT(MMULT(I2644:W2644,_XtX!$B$78:$P$92),I2644:W2644)</f>
        <v>0.116714923702485</v>
      </c>
      <c r="Z2644" s="0" t="n">
        <f aca="false">04_回帰ANOVA!$K$19*04_回帰ANOVA!$K$14*SQRT(1+Y2644)</f>
        <v>1.37743004820023</v>
      </c>
      <c r="AA2644" s="0" t="n">
        <f aca="false">X2644-Z2644</f>
        <v>46.1307616550161</v>
      </c>
      <c r="AB2644" s="0" t="n">
        <f aca="false">X2644+Z2644</f>
        <v>48.8856217514166</v>
      </c>
      <c r="AC2644" s="54" t="b">
        <f aca="false">AND(E2644&gt;=01_因子設定!$L$5-0.000000001,E2644&lt;=01_因子設定!$M$5+0.000000001,F2644&gt;=01_因子設定!$L$6-0.000000001,F2644&lt;=01_因子設定!$M$6+0.000000001,G2644&gt;=01_因子設定!$L$7-0.000000001,G2644&lt;=01_因子設定!$M$7+0.000000001,H2644&gt;=01_因子設定!$L$8-0.000000001,H2644&lt;=01_因子設定!$M$8+0.000000001,IF(01_因子設定!$B$20="Box-Behnken",E2644^2+F2644^2+G2644^2+H2644^2&lt;=2+0.000000001,TRUE()))</f>
        <v>1</v>
      </c>
      <c r="AD2644" s="55" t="n">
        <f aca="false">IF(AC2644,IF(01_因子設定!$B$13="最大化",AA2644-01_因子設定!$B$14,IF(01_因子設定!$B$13="最小化",01_因子設定!$B$15-AB2644,MIN(AA2644-01_因子設定!$B$14,01_因子設定!$B$15-AB2644))),-1E+030)</f>
        <v>-0.369238344983899</v>
      </c>
      <c r="AE2644" s="55" t="n">
        <f aca="false">IF(AC2644,IF(01_因子設定!$B$13="最大化",X2644,IF(01_因子設定!$B$13="最小化",-X2644,-ABS(X2644-01_因子設定!$B$16))),-1E+030)</f>
        <v>47.5081917032163</v>
      </c>
      <c r="AF2644" s="55" t="n">
        <f aca="false">AD2644+ROW()*0.000000001</f>
        <v>-0.369235700983899</v>
      </c>
      <c r="AG2644" s="55" t="n">
        <f aca="false">AE2644+ROW()*0.000000001</f>
        <v>47.5081943472163</v>
      </c>
    </row>
    <row r="2645" customFormat="false" ht="15" hidden="false" customHeight="false" outlineLevel="0" collapsed="false">
      <c r="A2645" s="0" t="n">
        <v>3</v>
      </c>
      <c r="B2645" s="0" t="n">
        <v>5</v>
      </c>
      <c r="C2645" s="0" t="n">
        <v>5</v>
      </c>
      <c r="D2645" s="0" t="n">
        <v>3</v>
      </c>
      <c r="E2645" s="0" t="n">
        <f aca="false">-1+A2645*0.25</f>
        <v>-0.25</v>
      </c>
      <c r="F2645" s="0" t="n">
        <f aca="false">-1+B2645*0.25</f>
        <v>0.25</v>
      </c>
      <c r="G2645" s="0" t="n">
        <f aca="false">-1+C2645*0.25</f>
        <v>0.25</v>
      </c>
      <c r="H2645" s="0" t="n">
        <f aca="false">-1+D2645*0.25</f>
        <v>-0.25</v>
      </c>
      <c r="I2645" s="0" t="n">
        <f aca="false">1</f>
        <v>1</v>
      </c>
      <c r="J2645" s="0" t="n">
        <f aca="false">E2645</f>
        <v>-0.25</v>
      </c>
      <c r="K2645" s="0" t="n">
        <f aca="false">F2645</f>
        <v>0.25</v>
      </c>
      <c r="L2645" s="0" t="n">
        <f aca="false">G2645</f>
        <v>0.25</v>
      </c>
      <c r="M2645" s="0" t="n">
        <f aca="false">H2645</f>
        <v>-0.25</v>
      </c>
      <c r="N2645" s="0" t="n">
        <f aca="false">E2645*F2645</f>
        <v>-0.0625</v>
      </c>
      <c r="O2645" s="0" t="n">
        <f aca="false">E2645*G2645</f>
        <v>-0.0625</v>
      </c>
      <c r="P2645" s="0" t="n">
        <f aca="false">E2645*H2645</f>
        <v>0.0625</v>
      </c>
      <c r="Q2645" s="0" t="n">
        <f aca="false">F2645*G2645</f>
        <v>0.0625</v>
      </c>
      <c r="R2645" s="0" t="n">
        <f aca="false">F2645*H2645</f>
        <v>-0.0625</v>
      </c>
      <c r="S2645" s="0" t="n">
        <f aca="false">G2645*H2645</f>
        <v>-0.0625</v>
      </c>
      <c r="T2645" s="0" t="n">
        <f aca="false">E2645*E2645</f>
        <v>0.0625</v>
      </c>
      <c r="U2645" s="0" t="n">
        <f aca="false">F2645*F2645</f>
        <v>0.0625</v>
      </c>
      <c r="V2645" s="0" t="n">
        <f aca="false">G2645*G2645</f>
        <v>0.0625</v>
      </c>
      <c r="W2645" s="0" t="n">
        <f aca="false">H2645*H2645</f>
        <v>0.0625</v>
      </c>
      <c r="X2645" s="0" t="n">
        <f aca="false">SUMPRODUCT(I2645:W2645,_XtX!$B$96:$P$96)</f>
        <v>47.678166118421</v>
      </c>
      <c r="Y2645" s="0" t="n">
        <f aca="false">SUMPRODUCT(MMULT(I2645:W2645,_XtX!$B$78:$P$92),I2645:W2645)</f>
        <v>0.0993723729897661</v>
      </c>
      <c r="Z2645" s="0" t="n">
        <f aca="false">04_回帰ANOVA!$K$19*04_回帰ANOVA!$K$14*SQRT(1+Y2645)</f>
        <v>1.36669247195631</v>
      </c>
      <c r="AA2645" s="0" t="n">
        <f aca="false">X2645-Z2645</f>
        <v>46.3114736464647</v>
      </c>
      <c r="AB2645" s="0" t="n">
        <f aca="false">X2645+Z2645</f>
        <v>49.0448585903773</v>
      </c>
      <c r="AC2645" s="54" t="b">
        <f aca="false">AND(E2645&gt;=01_因子設定!$L$5-0.000000001,E2645&lt;=01_因子設定!$M$5+0.000000001,F2645&gt;=01_因子設定!$L$6-0.000000001,F2645&lt;=01_因子設定!$M$6+0.000000001,G2645&gt;=01_因子設定!$L$7-0.000000001,G2645&lt;=01_因子設定!$M$7+0.000000001,H2645&gt;=01_因子設定!$L$8-0.000000001,H2645&lt;=01_因子設定!$M$8+0.000000001,IF(01_因子設定!$B$20="Box-Behnken",E2645^2+F2645^2+G2645^2+H2645^2&lt;=2+0.000000001,TRUE()))</f>
        <v>1</v>
      </c>
      <c r="AD2645" s="55" t="n">
        <f aca="false">IF(AC2645,IF(01_因子設定!$B$13="最大化",AA2645-01_因子設定!$B$14,IF(01_因子設定!$B$13="最小化",01_因子設定!$B$15-AB2645,MIN(AA2645-01_因子設定!$B$14,01_因子設定!$B$15-AB2645))),-1E+030)</f>
        <v>-0.188526353535316</v>
      </c>
      <c r="AE2645" s="55" t="n">
        <f aca="false">IF(AC2645,IF(01_因子設定!$B$13="最大化",X2645,IF(01_因子設定!$B$13="最小化",-X2645,-ABS(X2645-01_因子設定!$B$16))),-1E+030)</f>
        <v>47.678166118421</v>
      </c>
      <c r="AF2645" s="55" t="n">
        <f aca="false">AD2645+ROW()*0.000000001</f>
        <v>-0.188523708535316</v>
      </c>
      <c r="AG2645" s="55" t="n">
        <f aca="false">AE2645+ROW()*0.000000001</f>
        <v>47.678168763421</v>
      </c>
    </row>
    <row r="2646" customFormat="false" ht="15" hidden="false" customHeight="false" outlineLevel="0" collapsed="false">
      <c r="A2646" s="0" t="n">
        <v>3</v>
      </c>
      <c r="B2646" s="0" t="n">
        <v>5</v>
      </c>
      <c r="C2646" s="0" t="n">
        <v>5</v>
      </c>
      <c r="D2646" s="0" t="n">
        <v>4</v>
      </c>
      <c r="E2646" s="0" t="n">
        <f aca="false">-1+A2646*0.25</f>
        <v>-0.25</v>
      </c>
      <c r="F2646" s="0" t="n">
        <f aca="false">-1+B2646*0.25</f>
        <v>0.25</v>
      </c>
      <c r="G2646" s="0" t="n">
        <f aca="false">-1+C2646*0.25</f>
        <v>0.25</v>
      </c>
      <c r="H2646" s="0" t="n">
        <f aca="false">-1+D2646*0.25</f>
        <v>0</v>
      </c>
      <c r="I2646" s="0" t="n">
        <f aca="false">1</f>
        <v>1</v>
      </c>
      <c r="J2646" s="0" t="n">
        <f aca="false">E2646</f>
        <v>-0.25</v>
      </c>
      <c r="K2646" s="0" t="n">
        <f aca="false">F2646</f>
        <v>0.25</v>
      </c>
      <c r="L2646" s="0" t="n">
        <f aca="false">G2646</f>
        <v>0.25</v>
      </c>
      <c r="M2646" s="0" t="n">
        <f aca="false">H2646</f>
        <v>0</v>
      </c>
      <c r="N2646" s="0" t="n">
        <f aca="false">E2646*F2646</f>
        <v>-0.0625</v>
      </c>
      <c r="O2646" s="0" t="n">
        <f aca="false">E2646*G2646</f>
        <v>-0.0625</v>
      </c>
      <c r="P2646" s="0" t="n">
        <f aca="false">E2646*H2646</f>
        <v>-0</v>
      </c>
      <c r="Q2646" s="0" t="n">
        <f aca="false">F2646*G2646</f>
        <v>0.0625</v>
      </c>
      <c r="R2646" s="0" t="n">
        <f aca="false">F2646*H2646</f>
        <v>0</v>
      </c>
      <c r="S2646" s="0" t="n">
        <f aca="false">G2646*H2646</f>
        <v>0</v>
      </c>
      <c r="T2646" s="0" t="n">
        <f aca="false">E2646*E2646</f>
        <v>0.0625</v>
      </c>
      <c r="U2646" s="0" t="n">
        <f aca="false">F2646*F2646</f>
        <v>0.0625</v>
      </c>
      <c r="V2646" s="0" t="n">
        <f aca="false">G2646*G2646</f>
        <v>0.0625</v>
      </c>
      <c r="W2646" s="0" t="n">
        <f aca="false">H2646*H2646</f>
        <v>0</v>
      </c>
      <c r="X2646" s="0" t="n">
        <f aca="false">SUMPRODUCT(I2646:W2646,_XtX!$B$96:$P$96)</f>
        <v>47.8003335160818</v>
      </c>
      <c r="Y2646" s="0" t="n">
        <f aca="false">SUMPRODUCT(MMULT(I2646:W2646,_XtX!$B$78:$P$92),I2646:W2646)</f>
        <v>0.099622224506579</v>
      </c>
      <c r="Z2646" s="0" t="n">
        <f aca="false">04_回帰ANOVA!$K$19*04_回帰ANOVA!$K$14*SQRT(1+Y2646)</f>
        <v>1.3668477654658</v>
      </c>
      <c r="AA2646" s="0" t="n">
        <f aca="false">X2646-Z2646</f>
        <v>46.433485750616</v>
      </c>
      <c r="AB2646" s="0" t="n">
        <f aca="false">X2646+Z2646</f>
        <v>49.1671812815476</v>
      </c>
      <c r="AC2646" s="54" t="b">
        <f aca="false">AND(E2646&gt;=01_因子設定!$L$5-0.000000001,E2646&lt;=01_因子設定!$M$5+0.000000001,F2646&gt;=01_因子設定!$L$6-0.000000001,F2646&lt;=01_因子設定!$M$6+0.000000001,G2646&gt;=01_因子設定!$L$7-0.000000001,G2646&lt;=01_因子設定!$M$7+0.000000001,H2646&gt;=01_因子設定!$L$8-0.000000001,H2646&lt;=01_因子設定!$M$8+0.000000001,IF(01_因子設定!$B$20="Box-Behnken",E2646^2+F2646^2+G2646^2+H2646^2&lt;=2+0.000000001,TRUE()))</f>
        <v>1</v>
      </c>
      <c r="AD2646" s="55" t="n">
        <f aca="false">IF(AC2646,IF(01_因子設定!$B$13="最大化",AA2646-01_因子設定!$B$14,IF(01_因子設定!$B$13="最小化",01_因子設定!$B$15-AB2646,MIN(AA2646-01_因子設定!$B$14,01_因子設定!$B$15-AB2646))),-1E+030)</f>
        <v>-0.0665142493839852</v>
      </c>
      <c r="AE2646" s="55" t="n">
        <f aca="false">IF(AC2646,IF(01_因子設定!$B$13="最大化",X2646,IF(01_因子設定!$B$13="最小化",-X2646,-ABS(X2646-01_因子設定!$B$16))),-1E+030)</f>
        <v>47.8003335160818</v>
      </c>
      <c r="AF2646" s="55" t="n">
        <f aca="false">AD2646+ROW()*0.000000001</f>
        <v>-0.0665116033839852</v>
      </c>
      <c r="AG2646" s="55" t="n">
        <f aca="false">AE2646+ROW()*0.000000001</f>
        <v>47.8003361620818</v>
      </c>
    </row>
    <row r="2647" customFormat="false" ht="15" hidden="false" customHeight="false" outlineLevel="0" collapsed="false">
      <c r="A2647" s="0" t="n">
        <v>3</v>
      </c>
      <c r="B2647" s="0" t="n">
        <v>5</v>
      </c>
      <c r="C2647" s="0" t="n">
        <v>5</v>
      </c>
      <c r="D2647" s="0" t="n">
        <v>5</v>
      </c>
      <c r="E2647" s="0" t="n">
        <f aca="false">-1+A2647*0.25</f>
        <v>-0.25</v>
      </c>
      <c r="F2647" s="0" t="n">
        <f aca="false">-1+B2647*0.25</f>
        <v>0.25</v>
      </c>
      <c r="G2647" s="0" t="n">
        <f aca="false">-1+C2647*0.25</f>
        <v>0.25</v>
      </c>
      <c r="H2647" s="0" t="n">
        <f aca="false">-1+D2647*0.25</f>
        <v>0.25</v>
      </c>
      <c r="I2647" s="0" t="n">
        <f aca="false">1</f>
        <v>1</v>
      </c>
      <c r="J2647" s="0" t="n">
        <f aca="false">E2647</f>
        <v>-0.25</v>
      </c>
      <c r="K2647" s="0" t="n">
        <f aca="false">F2647</f>
        <v>0.25</v>
      </c>
      <c r="L2647" s="0" t="n">
        <f aca="false">G2647</f>
        <v>0.25</v>
      </c>
      <c r="M2647" s="0" t="n">
        <f aca="false">H2647</f>
        <v>0.25</v>
      </c>
      <c r="N2647" s="0" t="n">
        <f aca="false">E2647*F2647</f>
        <v>-0.0625</v>
      </c>
      <c r="O2647" s="0" t="n">
        <f aca="false">E2647*G2647</f>
        <v>-0.0625</v>
      </c>
      <c r="P2647" s="0" t="n">
        <f aca="false">E2647*H2647</f>
        <v>-0.0625</v>
      </c>
      <c r="Q2647" s="0" t="n">
        <f aca="false">F2647*G2647</f>
        <v>0.0625</v>
      </c>
      <c r="R2647" s="0" t="n">
        <f aca="false">F2647*H2647</f>
        <v>0.0625</v>
      </c>
      <c r="S2647" s="0" t="n">
        <f aca="false">G2647*H2647</f>
        <v>0.0625</v>
      </c>
      <c r="T2647" s="0" t="n">
        <f aca="false">E2647*E2647</f>
        <v>0.0625</v>
      </c>
      <c r="U2647" s="0" t="n">
        <f aca="false">F2647*F2647</f>
        <v>0.0625</v>
      </c>
      <c r="V2647" s="0" t="n">
        <f aca="false">G2647*G2647</f>
        <v>0.0625</v>
      </c>
      <c r="W2647" s="0" t="n">
        <f aca="false">H2647*H2647</f>
        <v>0.0625</v>
      </c>
      <c r="X2647" s="0" t="n">
        <f aca="false">SUMPRODUCT(I2647:W2647,_XtX!$B$96:$P$96)</f>
        <v>47.8746938961988</v>
      </c>
      <c r="Y2647" s="0" t="n">
        <f aca="false">SUMPRODUCT(MMULT(I2647:W2647,_XtX!$B$78:$P$92),I2647:W2647)</f>
        <v>0.0993723729897661</v>
      </c>
      <c r="Z2647" s="0" t="n">
        <f aca="false">04_回帰ANOVA!$K$19*04_回帰ANOVA!$K$14*SQRT(1+Y2647)</f>
        <v>1.36669247195631</v>
      </c>
      <c r="AA2647" s="0" t="n">
        <f aca="false">X2647-Z2647</f>
        <v>46.5080014242425</v>
      </c>
      <c r="AB2647" s="0" t="n">
        <f aca="false">X2647+Z2647</f>
        <v>49.2413863681551</v>
      </c>
      <c r="AC2647" s="54" t="b">
        <f aca="false">AND(E2647&gt;=01_因子設定!$L$5-0.000000001,E2647&lt;=01_因子設定!$M$5+0.000000001,F2647&gt;=01_因子設定!$L$6-0.000000001,F2647&lt;=01_因子設定!$M$6+0.000000001,G2647&gt;=01_因子設定!$L$7-0.000000001,G2647&lt;=01_因子設定!$M$7+0.000000001,H2647&gt;=01_因子設定!$L$8-0.000000001,H2647&lt;=01_因子設定!$M$8+0.000000001,IF(01_因子設定!$B$20="Box-Behnken",E2647^2+F2647^2+G2647^2+H2647^2&lt;=2+0.000000001,TRUE()))</f>
        <v>1</v>
      </c>
      <c r="AD2647" s="55" t="n">
        <f aca="false">IF(AC2647,IF(01_因子設定!$B$13="最大化",AA2647-01_因子設定!$B$14,IF(01_因子設定!$B$13="最小化",01_因子設定!$B$15-AB2647,MIN(AA2647-01_因子設定!$B$14,01_因子設定!$B$15-AB2647))),-1E+030)</f>
        <v>0.0080014242424582</v>
      </c>
      <c r="AE2647" s="55" t="n">
        <f aca="false">IF(AC2647,IF(01_因子設定!$B$13="最大化",X2647,IF(01_因子設定!$B$13="最小化",-X2647,-ABS(X2647-01_因子設定!$B$16))),-1E+030)</f>
        <v>47.8746938961988</v>
      </c>
      <c r="AF2647" s="55" t="n">
        <f aca="false">AD2647+ROW()*0.000000001</f>
        <v>0.0080040712424582</v>
      </c>
      <c r="AG2647" s="55" t="n">
        <f aca="false">AE2647+ROW()*0.000000001</f>
        <v>47.8746965431988</v>
      </c>
    </row>
    <row r="2648" customFormat="false" ht="15" hidden="false" customHeight="false" outlineLevel="0" collapsed="false">
      <c r="A2648" s="0" t="n">
        <v>3</v>
      </c>
      <c r="B2648" s="0" t="n">
        <v>5</v>
      </c>
      <c r="C2648" s="0" t="n">
        <v>5</v>
      </c>
      <c r="D2648" s="0" t="n">
        <v>6</v>
      </c>
      <c r="E2648" s="0" t="n">
        <f aca="false">-1+A2648*0.25</f>
        <v>-0.25</v>
      </c>
      <c r="F2648" s="0" t="n">
        <f aca="false">-1+B2648*0.25</f>
        <v>0.25</v>
      </c>
      <c r="G2648" s="0" t="n">
        <f aca="false">-1+C2648*0.25</f>
        <v>0.25</v>
      </c>
      <c r="H2648" s="0" t="n">
        <f aca="false">-1+D2648*0.25</f>
        <v>0.5</v>
      </c>
      <c r="I2648" s="0" t="n">
        <f aca="false">1</f>
        <v>1</v>
      </c>
      <c r="J2648" s="0" t="n">
        <f aca="false">E2648</f>
        <v>-0.25</v>
      </c>
      <c r="K2648" s="0" t="n">
        <f aca="false">F2648</f>
        <v>0.25</v>
      </c>
      <c r="L2648" s="0" t="n">
        <f aca="false">G2648</f>
        <v>0.25</v>
      </c>
      <c r="M2648" s="0" t="n">
        <f aca="false">H2648</f>
        <v>0.5</v>
      </c>
      <c r="N2648" s="0" t="n">
        <f aca="false">E2648*F2648</f>
        <v>-0.0625</v>
      </c>
      <c r="O2648" s="0" t="n">
        <f aca="false">E2648*G2648</f>
        <v>-0.0625</v>
      </c>
      <c r="P2648" s="0" t="n">
        <f aca="false">E2648*H2648</f>
        <v>-0.125</v>
      </c>
      <c r="Q2648" s="0" t="n">
        <f aca="false">F2648*G2648</f>
        <v>0.0625</v>
      </c>
      <c r="R2648" s="0" t="n">
        <f aca="false">F2648*H2648</f>
        <v>0.125</v>
      </c>
      <c r="S2648" s="0" t="n">
        <f aca="false">G2648*H2648</f>
        <v>0.125</v>
      </c>
      <c r="T2648" s="0" t="n">
        <f aca="false">E2648*E2648</f>
        <v>0.0625</v>
      </c>
      <c r="U2648" s="0" t="n">
        <f aca="false">F2648*F2648</f>
        <v>0.0625</v>
      </c>
      <c r="V2648" s="0" t="n">
        <f aca="false">G2648*G2648</f>
        <v>0.0625</v>
      </c>
      <c r="W2648" s="0" t="n">
        <f aca="false">H2648*H2648</f>
        <v>0.25</v>
      </c>
      <c r="X2648" s="0" t="n">
        <f aca="false">SUMPRODUCT(I2648:W2648,_XtX!$B$96:$P$96)</f>
        <v>47.9012472587719</v>
      </c>
      <c r="Y2648" s="0" t="n">
        <f aca="false">SUMPRODUCT(MMULT(I2648:W2648,_XtX!$B$78:$P$92),I2648:W2648)</f>
        <v>0.116714923702485</v>
      </c>
      <c r="Z2648" s="0" t="n">
        <f aca="false">04_回帰ANOVA!$K$19*04_回帰ANOVA!$K$14*SQRT(1+Y2648)</f>
        <v>1.37743004820023</v>
      </c>
      <c r="AA2648" s="0" t="n">
        <f aca="false">X2648-Z2648</f>
        <v>46.5238172105717</v>
      </c>
      <c r="AB2648" s="0" t="n">
        <f aca="false">X2648+Z2648</f>
        <v>49.2786773069721</v>
      </c>
      <c r="AC2648" s="54" t="b">
        <f aca="false">AND(E2648&gt;=01_因子設定!$L$5-0.000000001,E2648&lt;=01_因子設定!$M$5+0.000000001,F2648&gt;=01_因子設定!$L$6-0.000000001,F2648&lt;=01_因子設定!$M$6+0.000000001,G2648&gt;=01_因子設定!$L$7-0.000000001,G2648&lt;=01_因子設定!$M$7+0.000000001,H2648&gt;=01_因子設定!$L$8-0.000000001,H2648&lt;=01_因子設定!$M$8+0.000000001,IF(01_因子設定!$B$20="Box-Behnken",E2648^2+F2648^2+G2648^2+H2648^2&lt;=2+0.000000001,TRUE()))</f>
        <v>1</v>
      </c>
      <c r="AD2648" s="55" t="n">
        <f aca="false">IF(AC2648,IF(01_因子設定!$B$13="最大化",AA2648-01_因子設定!$B$14,IF(01_因子設定!$B$13="最小化",01_因子設定!$B$15-AB2648,MIN(AA2648-01_因子設定!$B$14,01_因子設定!$B$15-AB2648))),-1E+030)</f>
        <v>0.0238172105716501</v>
      </c>
      <c r="AE2648" s="55" t="n">
        <f aca="false">IF(AC2648,IF(01_因子設定!$B$13="最大化",X2648,IF(01_因子設定!$B$13="最小化",-X2648,-ABS(X2648-01_因子設定!$B$16))),-1E+030)</f>
        <v>47.9012472587719</v>
      </c>
      <c r="AF2648" s="55" t="n">
        <f aca="false">AD2648+ROW()*0.000000001</f>
        <v>0.0238198585716501</v>
      </c>
      <c r="AG2648" s="55" t="n">
        <f aca="false">AE2648+ROW()*0.000000001</f>
        <v>47.9012499067719</v>
      </c>
    </row>
    <row r="2649" customFormat="false" ht="15" hidden="false" customHeight="false" outlineLevel="0" collapsed="false">
      <c r="A2649" s="0" t="n">
        <v>3</v>
      </c>
      <c r="B2649" s="0" t="n">
        <v>5</v>
      </c>
      <c r="C2649" s="0" t="n">
        <v>5</v>
      </c>
      <c r="D2649" s="0" t="n">
        <v>7</v>
      </c>
      <c r="E2649" s="0" t="n">
        <f aca="false">-1+A2649*0.25</f>
        <v>-0.25</v>
      </c>
      <c r="F2649" s="0" t="n">
        <f aca="false">-1+B2649*0.25</f>
        <v>0.25</v>
      </c>
      <c r="G2649" s="0" t="n">
        <f aca="false">-1+C2649*0.25</f>
        <v>0.25</v>
      </c>
      <c r="H2649" s="0" t="n">
        <f aca="false">-1+D2649*0.25</f>
        <v>0.75</v>
      </c>
      <c r="I2649" s="0" t="n">
        <f aca="false">1</f>
        <v>1</v>
      </c>
      <c r="J2649" s="0" t="n">
        <f aca="false">E2649</f>
        <v>-0.25</v>
      </c>
      <c r="K2649" s="0" t="n">
        <f aca="false">F2649</f>
        <v>0.25</v>
      </c>
      <c r="L2649" s="0" t="n">
        <f aca="false">G2649</f>
        <v>0.25</v>
      </c>
      <c r="M2649" s="0" t="n">
        <f aca="false">H2649</f>
        <v>0.75</v>
      </c>
      <c r="N2649" s="0" t="n">
        <f aca="false">E2649*F2649</f>
        <v>-0.0625</v>
      </c>
      <c r="O2649" s="0" t="n">
        <f aca="false">E2649*G2649</f>
        <v>-0.0625</v>
      </c>
      <c r="P2649" s="0" t="n">
        <f aca="false">E2649*H2649</f>
        <v>-0.1875</v>
      </c>
      <c r="Q2649" s="0" t="n">
        <f aca="false">F2649*G2649</f>
        <v>0.0625</v>
      </c>
      <c r="R2649" s="0" t="n">
        <f aca="false">F2649*H2649</f>
        <v>0.1875</v>
      </c>
      <c r="S2649" s="0" t="n">
        <f aca="false">G2649*H2649</f>
        <v>0.1875</v>
      </c>
      <c r="T2649" s="0" t="n">
        <f aca="false">E2649*E2649</f>
        <v>0.0625</v>
      </c>
      <c r="U2649" s="0" t="n">
        <f aca="false">F2649*F2649</f>
        <v>0.0625</v>
      </c>
      <c r="V2649" s="0" t="n">
        <f aca="false">G2649*G2649</f>
        <v>0.0625</v>
      </c>
      <c r="W2649" s="0" t="n">
        <f aca="false">H2649*H2649</f>
        <v>0.5625</v>
      </c>
      <c r="X2649" s="0" t="n">
        <f aca="false">SUMPRODUCT(I2649:W2649,_XtX!$B$96:$P$96)</f>
        <v>47.8799936038011</v>
      </c>
      <c r="Y2649" s="0" t="n">
        <f aca="false">SUMPRODUCT(MMULT(I2649:W2649,_XtX!$B$78:$P$92),I2649:W2649)</f>
        <v>0.205926192434211</v>
      </c>
      <c r="Z2649" s="0" t="n">
        <f aca="false">04_回帰ANOVA!$K$19*04_回帰ANOVA!$K$14*SQRT(1+Y2649)</f>
        <v>1.43139256396246</v>
      </c>
      <c r="AA2649" s="0" t="n">
        <f aca="false">X2649-Z2649</f>
        <v>46.4486010398387</v>
      </c>
      <c r="AB2649" s="0" t="n">
        <f aca="false">X2649+Z2649</f>
        <v>49.3113861677636</v>
      </c>
      <c r="AC2649" s="54" t="b">
        <f aca="false">AND(E2649&gt;=01_因子設定!$L$5-0.000000001,E2649&lt;=01_因子設定!$M$5+0.000000001,F2649&gt;=01_因子設定!$L$6-0.000000001,F2649&lt;=01_因子設定!$M$6+0.000000001,G2649&gt;=01_因子設定!$L$7-0.000000001,G2649&lt;=01_因子設定!$M$7+0.000000001,H2649&gt;=01_因子設定!$L$8-0.000000001,H2649&lt;=01_因子設定!$M$8+0.000000001,IF(01_因子設定!$B$20="Box-Behnken",E2649^2+F2649^2+G2649^2+H2649^2&lt;=2+0.000000001,TRUE()))</f>
        <v>1</v>
      </c>
      <c r="AD2649" s="55" t="n">
        <f aca="false">IF(AC2649,IF(01_因子設定!$B$13="最大化",AA2649-01_因子設定!$B$14,IF(01_因子設定!$B$13="最小化",01_因子設定!$B$15-AB2649,MIN(AA2649-01_因子設定!$B$14,01_因子設定!$B$15-AB2649))),-1E+030)</f>
        <v>-0.0513989601613289</v>
      </c>
      <c r="AE2649" s="55" t="n">
        <f aca="false">IF(AC2649,IF(01_因子設定!$B$13="最大化",X2649,IF(01_因子設定!$B$13="最小化",-X2649,-ABS(X2649-01_因子設定!$B$16))),-1E+030)</f>
        <v>47.8799936038011</v>
      </c>
      <c r="AF2649" s="55" t="n">
        <f aca="false">AD2649+ROW()*0.000000001</f>
        <v>-0.0513963111613289</v>
      </c>
      <c r="AG2649" s="55" t="n">
        <f aca="false">AE2649+ROW()*0.000000001</f>
        <v>47.8799962528011</v>
      </c>
    </row>
    <row r="2650" customFormat="false" ht="15" hidden="false" customHeight="false" outlineLevel="0" collapsed="false">
      <c r="A2650" s="0" t="n">
        <v>3</v>
      </c>
      <c r="B2650" s="0" t="n">
        <v>5</v>
      </c>
      <c r="C2650" s="0" t="n">
        <v>5</v>
      </c>
      <c r="D2650" s="0" t="n">
        <v>8</v>
      </c>
      <c r="E2650" s="0" t="n">
        <f aca="false">-1+A2650*0.25</f>
        <v>-0.25</v>
      </c>
      <c r="F2650" s="0" t="n">
        <f aca="false">-1+B2650*0.25</f>
        <v>0.25</v>
      </c>
      <c r="G2650" s="0" t="n">
        <f aca="false">-1+C2650*0.25</f>
        <v>0.25</v>
      </c>
      <c r="H2650" s="0" t="n">
        <f aca="false">-1+D2650*0.25</f>
        <v>1</v>
      </c>
      <c r="I2650" s="0" t="n">
        <f aca="false">1</f>
        <v>1</v>
      </c>
      <c r="J2650" s="0" t="n">
        <f aca="false">E2650</f>
        <v>-0.25</v>
      </c>
      <c r="K2650" s="0" t="n">
        <f aca="false">F2650</f>
        <v>0.25</v>
      </c>
      <c r="L2650" s="0" t="n">
        <f aca="false">G2650</f>
        <v>0.25</v>
      </c>
      <c r="M2650" s="0" t="n">
        <f aca="false">H2650</f>
        <v>1</v>
      </c>
      <c r="N2650" s="0" t="n">
        <f aca="false">E2650*F2650</f>
        <v>-0.0625</v>
      </c>
      <c r="O2650" s="0" t="n">
        <f aca="false">E2650*G2650</f>
        <v>-0.0625</v>
      </c>
      <c r="P2650" s="0" t="n">
        <f aca="false">E2650*H2650</f>
        <v>-0.25</v>
      </c>
      <c r="Q2650" s="0" t="n">
        <f aca="false">F2650*G2650</f>
        <v>0.0625</v>
      </c>
      <c r="R2650" s="0" t="n">
        <f aca="false">F2650*H2650</f>
        <v>0.25</v>
      </c>
      <c r="S2650" s="0" t="n">
        <f aca="false">G2650*H2650</f>
        <v>0.25</v>
      </c>
      <c r="T2650" s="0" t="n">
        <f aca="false">E2650*E2650</f>
        <v>0.0625</v>
      </c>
      <c r="U2650" s="0" t="n">
        <f aca="false">F2650*F2650</f>
        <v>0.0625</v>
      </c>
      <c r="V2650" s="0" t="n">
        <f aca="false">G2650*G2650</f>
        <v>0.0625</v>
      </c>
      <c r="W2650" s="0" t="n">
        <f aca="false">H2650*H2650</f>
        <v>1</v>
      </c>
      <c r="X2650" s="0" t="n">
        <f aca="false">SUMPRODUCT(I2650:W2650,_XtX!$B$96:$P$96)</f>
        <v>47.8109329312865</v>
      </c>
      <c r="Y2650" s="0" t="n">
        <f aca="false">SUMPRODUCT(MMULT(I2650:W2650,_XtX!$B$78:$P$92),I2650:W2650)</f>
        <v>0.457466705500731</v>
      </c>
      <c r="Z2650" s="0" t="n">
        <f aca="false">04_回帰ANOVA!$K$19*04_回帰ANOVA!$K$14*SQRT(1+Y2650)</f>
        <v>1.57361220003999</v>
      </c>
      <c r="AA2650" s="0" t="n">
        <f aca="false">X2650-Z2650</f>
        <v>46.2373207312465</v>
      </c>
      <c r="AB2650" s="0" t="n">
        <f aca="false">X2650+Z2650</f>
        <v>49.3845451313265</v>
      </c>
      <c r="AC2650" s="54" t="b">
        <f aca="false">AND(E2650&gt;=01_因子設定!$L$5-0.000000001,E2650&lt;=01_因子設定!$M$5+0.000000001,F2650&gt;=01_因子設定!$L$6-0.000000001,F2650&lt;=01_因子設定!$M$6+0.000000001,G2650&gt;=01_因子設定!$L$7-0.000000001,G2650&lt;=01_因子設定!$M$7+0.000000001,H2650&gt;=01_因子設定!$L$8-0.000000001,H2650&lt;=01_因子設定!$M$8+0.000000001,IF(01_因子設定!$B$20="Box-Behnken",E2650^2+F2650^2+G2650^2+H2650^2&lt;=2+0.000000001,TRUE()))</f>
        <v>1</v>
      </c>
      <c r="AD2650" s="55" t="n">
        <f aca="false">IF(AC2650,IF(01_因子設定!$B$13="最大化",AA2650-01_因子設定!$B$14,IF(01_因子設定!$B$13="最小化",01_因子設定!$B$15-AB2650,MIN(AA2650-01_因子設定!$B$14,01_因子設定!$B$15-AB2650))),-1E+030)</f>
        <v>-0.262679268753473</v>
      </c>
      <c r="AE2650" s="55" t="n">
        <f aca="false">IF(AC2650,IF(01_因子設定!$B$13="最大化",X2650,IF(01_因子設定!$B$13="最小化",-X2650,-ABS(X2650-01_因子設定!$B$16))),-1E+030)</f>
        <v>47.8109329312865</v>
      </c>
      <c r="AF2650" s="55" t="n">
        <f aca="false">AD2650+ROW()*0.000000001</f>
        <v>-0.262676618753473</v>
      </c>
      <c r="AG2650" s="55" t="n">
        <f aca="false">AE2650+ROW()*0.000000001</f>
        <v>47.8109355812865</v>
      </c>
    </row>
    <row r="2651" customFormat="false" ht="15" hidden="false" customHeight="false" outlineLevel="0" collapsed="false">
      <c r="A2651" s="0" t="n">
        <v>3</v>
      </c>
      <c r="B2651" s="0" t="n">
        <v>5</v>
      </c>
      <c r="C2651" s="0" t="n">
        <v>6</v>
      </c>
      <c r="D2651" s="0" t="n">
        <v>0</v>
      </c>
      <c r="E2651" s="0" t="n">
        <f aca="false">-1+A2651*0.25</f>
        <v>-0.25</v>
      </c>
      <c r="F2651" s="0" t="n">
        <f aca="false">-1+B2651*0.25</f>
        <v>0.25</v>
      </c>
      <c r="G2651" s="0" t="n">
        <f aca="false">-1+C2651*0.25</f>
        <v>0.5</v>
      </c>
      <c r="H2651" s="0" t="n">
        <f aca="false">-1+D2651*0.25</f>
        <v>-1</v>
      </c>
      <c r="I2651" s="0" t="n">
        <f aca="false">1</f>
        <v>1</v>
      </c>
      <c r="J2651" s="0" t="n">
        <f aca="false">E2651</f>
        <v>-0.25</v>
      </c>
      <c r="K2651" s="0" t="n">
        <f aca="false">F2651</f>
        <v>0.25</v>
      </c>
      <c r="L2651" s="0" t="n">
        <f aca="false">G2651</f>
        <v>0.5</v>
      </c>
      <c r="M2651" s="0" t="n">
        <f aca="false">H2651</f>
        <v>-1</v>
      </c>
      <c r="N2651" s="0" t="n">
        <f aca="false">E2651*F2651</f>
        <v>-0.0625</v>
      </c>
      <c r="O2651" s="0" t="n">
        <f aca="false">E2651*G2651</f>
        <v>-0.125</v>
      </c>
      <c r="P2651" s="0" t="n">
        <f aca="false">E2651*H2651</f>
        <v>0.25</v>
      </c>
      <c r="Q2651" s="0" t="n">
        <f aca="false">F2651*G2651</f>
        <v>0.125</v>
      </c>
      <c r="R2651" s="0" t="n">
        <f aca="false">F2651*H2651</f>
        <v>-0.25</v>
      </c>
      <c r="S2651" s="0" t="n">
        <f aca="false">G2651*H2651</f>
        <v>-0.5</v>
      </c>
      <c r="T2651" s="0" t="n">
        <f aca="false">E2651*E2651</f>
        <v>0.0625</v>
      </c>
      <c r="U2651" s="0" t="n">
        <f aca="false">F2651*F2651</f>
        <v>0.0625</v>
      </c>
      <c r="V2651" s="0" t="n">
        <f aca="false">G2651*G2651</f>
        <v>0.25</v>
      </c>
      <c r="W2651" s="0" t="n">
        <f aca="false">H2651*H2651</f>
        <v>1</v>
      </c>
      <c r="X2651" s="0" t="n">
        <f aca="false">SUMPRODUCT(I2651:W2651,_XtX!$B$96:$P$96)</f>
        <v>47.130975877193</v>
      </c>
      <c r="Y2651" s="0" t="n">
        <f aca="false">SUMPRODUCT(MMULT(I2651:W2651,_XtX!$B$78:$P$92),I2651:W2651)</f>
        <v>0.445705123812135</v>
      </c>
      <c r="Z2651" s="0" t="n">
        <f aca="false">04_回帰ANOVA!$K$19*04_回帰ANOVA!$K$14*SQRT(1+Y2651)</f>
        <v>1.56724990734749</v>
      </c>
      <c r="AA2651" s="0" t="n">
        <f aca="false">X2651-Z2651</f>
        <v>45.5637259698455</v>
      </c>
      <c r="AB2651" s="0" t="n">
        <f aca="false">X2651+Z2651</f>
        <v>48.6982257845405</v>
      </c>
      <c r="AC2651" s="54" t="b">
        <f aca="false">AND(E2651&gt;=01_因子設定!$L$5-0.000000001,E2651&lt;=01_因子設定!$M$5+0.000000001,F2651&gt;=01_因子設定!$L$6-0.000000001,F2651&lt;=01_因子設定!$M$6+0.000000001,G2651&gt;=01_因子設定!$L$7-0.000000001,G2651&lt;=01_因子設定!$M$7+0.000000001,H2651&gt;=01_因子設定!$L$8-0.000000001,H2651&lt;=01_因子設定!$M$8+0.000000001,IF(01_因子設定!$B$20="Box-Behnken",E2651^2+F2651^2+G2651^2+H2651^2&lt;=2+0.000000001,TRUE()))</f>
        <v>1</v>
      </c>
      <c r="AD2651" s="55" t="n">
        <f aca="false">IF(AC2651,IF(01_因子設定!$B$13="最大化",AA2651-01_因子設定!$B$14,IF(01_因子設定!$B$13="最小化",01_因子設定!$B$15-AB2651,MIN(AA2651-01_因子設定!$B$14,01_因子設定!$B$15-AB2651))),-1E+030)</f>
        <v>-0.936274030154529</v>
      </c>
      <c r="AE2651" s="55" t="n">
        <f aca="false">IF(AC2651,IF(01_因子設定!$B$13="最大化",X2651,IF(01_因子設定!$B$13="最小化",-X2651,-ABS(X2651-01_因子設定!$B$16))),-1E+030)</f>
        <v>47.130975877193</v>
      </c>
      <c r="AF2651" s="55" t="n">
        <f aca="false">AD2651+ROW()*0.000000001</f>
        <v>-0.936271379154529</v>
      </c>
      <c r="AG2651" s="55" t="n">
        <f aca="false">AE2651+ROW()*0.000000001</f>
        <v>47.130978528193</v>
      </c>
    </row>
    <row r="2652" customFormat="false" ht="15" hidden="false" customHeight="false" outlineLevel="0" collapsed="false">
      <c r="A2652" s="0" t="n">
        <v>3</v>
      </c>
      <c r="B2652" s="0" t="n">
        <v>5</v>
      </c>
      <c r="C2652" s="0" t="n">
        <v>6</v>
      </c>
      <c r="D2652" s="0" t="n">
        <v>1</v>
      </c>
      <c r="E2652" s="0" t="n">
        <f aca="false">-1+A2652*0.25</f>
        <v>-0.25</v>
      </c>
      <c r="F2652" s="0" t="n">
        <f aca="false">-1+B2652*0.25</f>
        <v>0.25</v>
      </c>
      <c r="G2652" s="0" t="n">
        <f aca="false">-1+C2652*0.25</f>
        <v>0.5</v>
      </c>
      <c r="H2652" s="0" t="n">
        <f aca="false">-1+D2652*0.25</f>
        <v>-0.75</v>
      </c>
      <c r="I2652" s="0" t="n">
        <f aca="false">1</f>
        <v>1</v>
      </c>
      <c r="J2652" s="0" t="n">
        <f aca="false">E2652</f>
        <v>-0.25</v>
      </c>
      <c r="K2652" s="0" t="n">
        <f aca="false">F2652</f>
        <v>0.25</v>
      </c>
      <c r="L2652" s="0" t="n">
        <f aca="false">G2652</f>
        <v>0.5</v>
      </c>
      <c r="M2652" s="0" t="n">
        <f aca="false">H2652</f>
        <v>-0.75</v>
      </c>
      <c r="N2652" s="0" t="n">
        <f aca="false">E2652*F2652</f>
        <v>-0.0625</v>
      </c>
      <c r="O2652" s="0" t="n">
        <f aca="false">E2652*G2652</f>
        <v>-0.125</v>
      </c>
      <c r="P2652" s="0" t="n">
        <f aca="false">E2652*H2652</f>
        <v>0.1875</v>
      </c>
      <c r="Q2652" s="0" t="n">
        <f aca="false">F2652*G2652</f>
        <v>0.125</v>
      </c>
      <c r="R2652" s="0" t="n">
        <f aca="false">F2652*H2652</f>
        <v>-0.1875</v>
      </c>
      <c r="S2652" s="0" t="n">
        <f aca="false">G2652*H2652</f>
        <v>-0.375</v>
      </c>
      <c r="T2652" s="0" t="n">
        <f aca="false">E2652*E2652</f>
        <v>0.0625</v>
      </c>
      <c r="U2652" s="0" t="n">
        <f aca="false">F2652*F2652</f>
        <v>0.0625</v>
      </c>
      <c r="V2652" s="0" t="n">
        <f aca="false">G2652*G2652</f>
        <v>0.25</v>
      </c>
      <c r="W2652" s="0" t="n">
        <f aca="false">H2652*H2652</f>
        <v>0.5625</v>
      </c>
      <c r="X2652" s="0" t="n">
        <f aca="false">SUMPRODUCT(I2652:W2652,_XtX!$B$96:$P$96)</f>
        <v>47.4145330774853</v>
      </c>
      <c r="Y2652" s="0" t="n">
        <f aca="false">SUMPRODUCT(MMULT(I2652:W2652,_XtX!$B$78:$P$92),I2652:W2652)</f>
        <v>0.207746539199561</v>
      </c>
      <c r="Z2652" s="0" t="n">
        <f aca="false">04_回帰ANOVA!$K$19*04_回帰ANOVA!$K$14*SQRT(1+Y2652)</f>
        <v>1.43247250081141</v>
      </c>
      <c r="AA2652" s="0" t="n">
        <f aca="false">X2652-Z2652</f>
        <v>45.9820605766739</v>
      </c>
      <c r="AB2652" s="0" t="n">
        <f aca="false">X2652+Z2652</f>
        <v>48.8470055782968</v>
      </c>
      <c r="AC2652" s="54" t="b">
        <f aca="false">AND(E2652&gt;=01_因子設定!$L$5-0.000000001,E2652&lt;=01_因子設定!$M$5+0.000000001,F2652&gt;=01_因子設定!$L$6-0.000000001,F2652&lt;=01_因子設定!$M$6+0.000000001,G2652&gt;=01_因子設定!$L$7-0.000000001,G2652&lt;=01_因子設定!$M$7+0.000000001,H2652&gt;=01_因子設定!$L$8-0.000000001,H2652&lt;=01_因子設定!$M$8+0.000000001,IF(01_因子設定!$B$20="Box-Behnken",E2652^2+F2652^2+G2652^2+H2652^2&lt;=2+0.000000001,TRUE()))</f>
        <v>1</v>
      </c>
      <c r="AD2652" s="55" t="n">
        <f aca="false">IF(AC2652,IF(01_因子設定!$B$13="最大化",AA2652-01_因子設定!$B$14,IF(01_因子設定!$B$13="最小化",01_因子設定!$B$15-AB2652,MIN(AA2652-01_因子設定!$B$14,01_因子設定!$B$15-AB2652))),-1E+030)</f>
        <v>-0.517939423326062</v>
      </c>
      <c r="AE2652" s="55" t="n">
        <f aca="false">IF(AC2652,IF(01_因子設定!$B$13="最大化",X2652,IF(01_因子設定!$B$13="最小化",-X2652,-ABS(X2652-01_因子設定!$B$16))),-1E+030)</f>
        <v>47.4145330774853</v>
      </c>
      <c r="AF2652" s="55" t="n">
        <f aca="false">AD2652+ROW()*0.000000001</f>
        <v>-0.517936771326062</v>
      </c>
      <c r="AG2652" s="55" t="n">
        <f aca="false">AE2652+ROW()*0.000000001</f>
        <v>47.4145357294853</v>
      </c>
    </row>
    <row r="2653" customFormat="false" ht="15" hidden="false" customHeight="false" outlineLevel="0" collapsed="false">
      <c r="A2653" s="0" t="n">
        <v>3</v>
      </c>
      <c r="B2653" s="0" t="n">
        <v>5</v>
      </c>
      <c r="C2653" s="0" t="n">
        <v>6</v>
      </c>
      <c r="D2653" s="0" t="n">
        <v>2</v>
      </c>
      <c r="E2653" s="0" t="n">
        <f aca="false">-1+A2653*0.25</f>
        <v>-0.25</v>
      </c>
      <c r="F2653" s="0" t="n">
        <f aca="false">-1+B2653*0.25</f>
        <v>0.25</v>
      </c>
      <c r="G2653" s="0" t="n">
        <f aca="false">-1+C2653*0.25</f>
        <v>0.5</v>
      </c>
      <c r="H2653" s="0" t="n">
        <f aca="false">-1+D2653*0.25</f>
        <v>-0.5</v>
      </c>
      <c r="I2653" s="0" t="n">
        <f aca="false">1</f>
        <v>1</v>
      </c>
      <c r="J2653" s="0" t="n">
        <f aca="false">E2653</f>
        <v>-0.25</v>
      </c>
      <c r="K2653" s="0" t="n">
        <f aca="false">F2653</f>
        <v>0.25</v>
      </c>
      <c r="L2653" s="0" t="n">
        <f aca="false">G2653</f>
        <v>0.5</v>
      </c>
      <c r="M2653" s="0" t="n">
        <f aca="false">H2653</f>
        <v>-0.5</v>
      </c>
      <c r="N2653" s="0" t="n">
        <f aca="false">E2653*F2653</f>
        <v>-0.0625</v>
      </c>
      <c r="O2653" s="0" t="n">
        <f aca="false">E2653*G2653</f>
        <v>-0.125</v>
      </c>
      <c r="P2653" s="0" t="n">
        <f aca="false">E2653*H2653</f>
        <v>0.125</v>
      </c>
      <c r="Q2653" s="0" t="n">
        <f aca="false">F2653*G2653</f>
        <v>0.125</v>
      </c>
      <c r="R2653" s="0" t="n">
        <f aca="false">F2653*H2653</f>
        <v>-0.125</v>
      </c>
      <c r="S2653" s="0" t="n">
        <f aca="false">G2653*H2653</f>
        <v>-0.25</v>
      </c>
      <c r="T2653" s="0" t="n">
        <f aca="false">E2653*E2653</f>
        <v>0.0625</v>
      </c>
      <c r="U2653" s="0" t="n">
        <f aca="false">F2653*F2653</f>
        <v>0.0625</v>
      </c>
      <c r="V2653" s="0" t="n">
        <f aca="false">G2653*G2653</f>
        <v>0.25</v>
      </c>
      <c r="W2653" s="0" t="n">
        <f aca="false">H2653*H2653</f>
        <v>0.25</v>
      </c>
      <c r="X2653" s="0" t="n">
        <f aca="false">SUMPRODUCT(I2653:W2653,_XtX!$B$96:$P$96)</f>
        <v>47.6502832602339</v>
      </c>
      <c r="Y2653" s="0" t="n">
        <f aca="false">SUMPRODUCT(MMULT(I2653:W2653,_XtX!$B$78:$P$92),I2653:W2653)</f>
        <v>0.128236647934942</v>
      </c>
      <c r="Z2653" s="0" t="n">
        <f aca="false">04_回帰ANOVA!$K$19*04_回帰ANOVA!$K$14*SQRT(1+Y2653)</f>
        <v>1.38451764188989</v>
      </c>
      <c r="AA2653" s="0" t="n">
        <f aca="false">X2653-Z2653</f>
        <v>46.265765618344</v>
      </c>
      <c r="AB2653" s="0" t="n">
        <f aca="false">X2653+Z2653</f>
        <v>49.0348009021238</v>
      </c>
      <c r="AC2653" s="54" t="b">
        <f aca="false">AND(E2653&gt;=01_因子設定!$L$5-0.000000001,E2653&lt;=01_因子設定!$M$5+0.000000001,F2653&gt;=01_因子設定!$L$6-0.000000001,F2653&lt;=01_因子設定!$M$6+0.000000001,G2653&gt;=01_因子設定!$L$7-0.000000001,G2653&lt;=01_因子設定!$M$7+0.000000001,H2653&gt;=01_因子設定!$L$8-0.000000001,H2653&lt;=01_因子設定!$M$8+0.000000001,IF(01_因子設定!$B$20="Box-Behnken",E2653^2+F2653^2+G2653^2+H2653^2&lt;=2+0.000000001,TRUE()))</f>
        <v>1</v>
      </c>
      <c r="AD2653" s="55" t="n">
        <f aca="false">IF(AC2653,IF(01_因子設定!$B$13="最大化",AA2653-01_因子設定!$B$14,IF(01_因子設定!$B$13="最小化",01_因子設定!$B$15-AB2653,MIN(AA2653-01_因子設定!$B$14,01_因子設定!$B$15-AB2653))),-1E+030)</f>
        <v>-0.234234381656016</v>
      </c>
      <c r="AE2653" s="55" t="n">
        <f aca="false">IF(AC2653,IF(01_因子設定!$B$13="最大化",X2653,IF(01_因子設定!$B$13="最小化",-X2653,-ABS(X2653-01_因子設定!$B$16))),-1E+030)</f>
        <v>47.6502832602339</v>
      </c>
      <c r="AF2653" s="55" t="n">
        <f aca="false">AD2653+ROW()*0.000000001</f>
        <v>-0.234231728656016</v>
      </c>
      <c r="AG2653" s="55" t="n">
        <f aca="false">AE2653+ROW()*0.000000001</f>
        <v>47.6502859132339</v>
      </c>
    </row>
    <row r="2654" customFormat="false" ht="15" hidden="false" customHeight="false" outlineLevel="0" collapsed="false">
      <c r="A2654" s="0" t="n">
        <v>3</v>
      </c>
      <c r="B2654" s="0" t="n">
        <v>5</v>
      </c>
      <c r="C2654" s="0" t="n">
        <v>6</v>
      </c>
      <c r="D2654" s="0" t="n">
        <v>3</v>
      </c>
      <c r="E2654" s="0" t="n">
        <f aca="false">-1+A2654*0.25</f>
        <v>-0.25</v>
      </c>
      <c r="F2654" s="0" t="n">
        <f aca="false">-1+B2654*0.25</f>
        <v>0.25</v>
      </c>
      <c r="G2654" s="0" t="n">
        <f aca="false">-1+C2654*0.25</f>
        <v>0.5</v>
      </c>
      <c r="H2654" s="0" t="n">
        <f aca="false">-1+D2654*0.25</f>
        <v>-0.25</v>
      </c>
      <c r="I2654" s="0" t="n">
        <f aca="false">1</f>
        <v>1</v>
      </c>
      <c r="J2654" s="0" t="n">
        <f aca="false">E2654</f>
        <v>-0.25</v>
      </c>
      <c r="K2654" s="0" t="n">
        <f aca="false">F2654</f>
        <v>0.25</v>
      </c>
      <c r="L2654" s="0" t="n">
        <f aca="false">G2654</f>
        <v>0.5</v>
      </c>
      <c r="M2654" s="0" t="n">
        <f aca="false">H2654</f>
        <v>-0.25</v>
      </c>
      <c r="N2654" s="0" t="n">
        <f aca="false">E2654*F2654</f>
        <v>-0.0625</v>
      </c>
      <c r="O2654" s="0" t="n">
        <f aca="false">E2654*G2654</f>
        <v>-0.125</v>
      </c>
      <c r="P2654" s="0" t="n">
        <f aca="false">E2654*H2654</f>
        <v>0.0625</v>
      </c>
      <c r="Q2654" s="0" t="n">
        <f aca="false">F2654*G2654</f>
        <v>0.125</v>
      </c>
      <c r="R2654" s="0" t="n">
        <f aca="false">F2654*H2654</f>
        <v>-0.0625</v>
      </c>
      <c r="S2654" s="0" t="n">
        <f aca="false">G2654*H2654</f>
        <v>-0.125</v>
      </c>
      <c r="T2654" s="0" t="n">
        <f aca="false">E2654*E2654</f>
        <v>0.0625</v>
      </c>
      <c r="U2654" s="0" t="n">
        <f aca="false">F2654*F2654</f>
        <v>0.0625</v>
      </c>
      <c r="V2654" s="0" t="n">
        <f aca="false">G2654*G2654</f>
        <v>0.25</v>
      </c>
      <c r="W2654" s="0" t="n">
        <f aca="false">H2654*H2654</f>
        <v>0.0625</v>
      </c>
      <c r="X2654" s="0" t="n">
        <f aca="false">SUMPRODUCT(I2654:W2654,_XtX!$B$96:$P$96)</f>
        <v>47.8382264254385</v>
      </c>
      <c r="Y2654" s="0" t="n">
        <f aca="false">SUMPRODUCT(MMULT(I2654:W2654,_XtX!$B$78:$P$92),I2654:W2654)</f>
        <v>0.116714923702485</v>
      </c>
      <c r="Z2654" s="0" t="n">
        <f aca="false">04_回帰ANOVA!$K$19*04_回帰ANOVA!$K$14*SQRT(1+Y2654)</f>
        <v>1.37743004820023</v>
      </c>
      <c r="AA2654" s="0" t="n">
        <f aca="false">X2654-Z2654</f>
        <v>46.4607963772383</v>
      </c>
      <c r="AB2654" s="0" t="n">
        <f aca="false">X2654+Z2654</f>
        <v>49.2156564736388</v>
      </c>
      <c r="AC2654" s="54" t="b">
        <f aca="false">AND(E2654&gt;=01_因子設定!$L$5-0.000000001,E2654&lt;=01_因子設定!$M$5+0.000000001,F2654&gt;=01_因子設定!$L$6-0.000000001,F2654&lt;=01_因子設定!$M$6+0.000000001,G2654&gt;=01_因子設定!$L$7-0.000000001,G2654&lt;=01_因子設定!$M$7+0.000000001,H2654&gt;=01_因子設定!$L$8-0.000000001,H2654&lt;=01_因子設定!$M$8+0.000000001,IF(01_因子設定!$B$20="Box-Behnken",E2654^2+F2654^2+G2654^2+H2654^2&lt;=2+0.000000001,TRUE()))</f>
        <v>1</v>
      </c>
      <c r="AD2654" s="55" t="n">
        <f aca="false">IF(AC2654,IF(01_因子設定!$B$13="最大化",AA2654-01_因子設定!$B$14,IF(01_因子設定!$B$13="最小化",01_因子設定!$B$15-AB2654,MIN(AA2654-01_因子設定!$B$14,01_因子設定!$B$15-AB2654))),-1E+030)</f>
        <v>-0.0392036227616828</v>
      </c>
      <c r="AE2654" s="55" t="n">
        <f aca="false">IF(AC2654,IF(01_因子設定!$B$13="最大化",X2654,IF(01_因子設定!$B$13="最小化",-X2654,-ABS(X2654-01_因子設定!$B$16))),-1E+030)</f>
        <v>47.8382264254385</v>
      </c>
      <c r="AF2654" s="55" t="n">
        <f aca="false">AD2654+ROW()*0.000000001</f>
        <v>-0.0392009687616828</v>
      </c>
      <c r="AG2654" s="55" t="n">
        <f aca="false">AE2654+ROW()*0.000000001</f>
        <v>47.8382290794385</v>
      </c>
    </row>
    <row r="2655" customFormat="false" ht="15" hidden="false" customHeight="false" outlineLevel="0" collapsed="false">
      <c r="A2655" s="0" t="n">
        <v>3</v>
      </c>
      <c r="B2655" s="0" t="n">
        <v>5</v>
      </c>
      <c r="C2655" s="0" t="n">
        <v>6</v>
      </c>
      <c r="D2655" s="0" t="n">
        <v>4</v>
      </c>
      <c r="E2655" s="0" t="n">
        <f aca="false">-1+A2655*0.25</f>
        <v>-0.25</v>
      </c>
      <c r="F2655" s="0" t="n">
        <f aca="false">-1+B2655*0.25</f>
        <v>0.25</v>
      </c>
      <c r="G2655" s="0" t="n">
        <f aca="false">-1+C2655*0.25</f>
        <v>0.5</v>
      </c>
      <c r="H2655" s="0" t="n">
        <f aca="false">-1+D2655*0.25</f>
        <v>0</v>
      </c>
      <c r="I2655" s="0" t="n">
        <f aca="false">1</f>
        <v>1</v>
      </c>
      <c r="J2655" s="0" t="n">
        <f aca="false">E2655</f>
        <v>-0.25</v>
      </c>
      <c r="K2655" s="0" t="n">
        <f aca="false">F2655</f>
        <v>0.25</v>
      </c>
      <c r="L2655" s="0" t="n">
        <f aca="false">G2655</f>
        <v>0.5</v>
      </c>
      <c r="M2655" s="0" t="n">
        <f aca="false">H2655</f>
        <v>0</v>
      </c>
      <c r="N2655" s="0" t="n">
        <f aca="false">E2655*F2655</f>
        <v>-0.0625</v>
      </c>
      <c r="O2655" s="0" t="n">
        <f aca="false">E2655*G2655</f>
        <v>-0.125</v>
      </c>
      <c r="P2655" s="0" t="n">
        <f aca="false">E2655*H2655</f>
        <v>-0</v>
      </c>
      <c r="Q2655" s="0" t="n">
        <f aca="false">F2655*G2655</f>
        <v>0.125</v>
      </c>
      <c r="R2655" s="0" t="n">
        <f aca="false">F2655*H2655</f>
        <v>0</v>
      </c>
      <c r="S2655" s="0" t="n">
        <f aca="false">G2655*H2655</f>
        <v>0</v>
      </c>
      <c r="T2655" s="0" t="n">
        <f aca="false">E2655*E2655</f>
        <v>0.0625</v>
      </c>
      <c r="U2655" s="0" t="n">
        <f aca="false">F2655*F2655</f>
        <v>0.0625</v>
      </c>
      <c r="V2655" s="0" t="n">
        <f aca="false">G2655*G2655</f>
        <v>0.25</v>
      </c>
      <c r="W2655" s="0" t="n">
        <f aca="false">H2655*H2655</f>
        <v>0</v>
      </c>
      <c r="X2655" s="0" t="n">
        <f aca="false">SUMPRODUCT(I2655:W2655,_XtX!$B$96:$P$96)</f>
        <v>47.9783625730994</v>
      </c>
      <c r="Y2655" s="0" t="n">
        <f aca="false">SUMPRODUCT(MMULT(I2655:W2655,_XtX!$B$78:$P$92),I2655:W2655)</f>
        <v>0.118905050712719</v>
      </c>
      <c r="Z2655" s="0" t="n">
        <f aca="false">04_回帰ANOVA!$K$19*04_回帰ANOVA!$K$14*SQRT(1+Y2655)</f>
        <v>1.37878011033769</v>
      </c>
      <c r="AA2655" s="0" t="n">
        <f aca="false">X2655-Z2655</f>
        <v>46.5995824627617</v>
      </c>
      <c r="AB2655" s="0" t="n">
        <f aca="false">X2655+Z2655</f>
        <v>49.357142683437</v>
      </c>
      <c r="AC2655" s="54" t="b">
        <f aca="false">AND(E2655&gt;=01_因子設定!$L$5-0.000000001,E2655&lt;=01_因子設定!$M$5+0.000000001,F2655&gt;=01_因子設定!$L$6-0.000000001,F2655&lt;=01_因子設定!$M$6+0.000000001,G2655&gt;=01_因子設定!$L$7-0.000000001,G2655&lt;=01_因子設定!$M$7+0.000000001,H2655&gt;=01_因子設定!$L$8-0.000000001,H2655&lt;=01_因子設定!$M$8+0.000000001,IF(01_因子設定!$B$20="Box-Behnken",E2655^2+F2655^2+G2655^2+H2655^2&lt;=2+0.000000001,TRUE()))</f>
        <v>1</v>
      </c>
      <c r="AD2655" s="55" t="n">
        <f aca="false">IF(AC2655,IF(01_因子設定!$B$13="最大化",AA2655-01_因子設定!$B$14,IF(01_因子設定!$B$13="最小化",01_因子設定!$B$15-AB2655,MIN(AA2655-01_因子設定!$B$14,01_因子設定!$B$15-AB2655))),-1E+030)</f>
        <v>0.0995824627616671</v>
      </c>
      <c r="AE2655" s="55" t="n">
        <f aca="false">IF(AC2655,IF(01_因子設定!$B$13="最大化",X2655,IF(01_因子設定!$B$13="最小化",-X2655,-ABS(X2655-01_因子設定!$B$16))),-1E+030)</f>
        <v>47.9783625730994</v>
      </c>
      <c r="AF2655" s="55" t="n">
        <f aca="false">AD2655+ROW()*0.000000001</f>
        <v>0.0995851177616671</v>
      </c>
      <c r="AG2655" s="55" t="n">
        <f aca="false">AE2655+ROW()*0.000000001</f>
        <v>47.9783652280994</v>
      </c>
    </row>
    <row r="2656" customFormat="false" ht="15" hidden="false" customHeight="false" outlineLevel="0" collapsed="false">
      <c r="A2656" s="0" t="n">
        <v>3</v>
      </c>
      <c r="B2656" s="0" t="n">
        <v>5</v>
      </c>
      <c r="C2656" s="0" t="n">
        <v>6</v>
      </c>
      <c r="D2656" s="0" t="n">
        <v>5</v>
      </c>
      <c r="E2656" s="0" t="n">
        <f aca="false">-1+A2656*0.25</f>
        <v>-0.25</v>
      </c>
      <c r="F2656" s="0" t="n">
        <f aca="false">-1+B2656*0.25</f>
        <v>0.25</v>
      </c>
      <c r="G2656" s="0" t="n">
        <f aca="false">-1+C2656*0.25</f>
        <v>0.5</v>
      </c>
      <c r="H2656" s="0" t="n">
        <f aca="false">-1+D2656*0.25</f>
        <v>0.25</v>
      </c>
      <c r="I2656" s="0" t="n">
        <f aca="false">1</f>
        <v>1</v>
      </c>
      <c r="J2656" s="0" t="n">
        <f aca="false">E2656</f>
        <v>-0.25</v>
      </c>
      <c r="K2656" s="0" t="n">
        <f aca="false">F2656</f>
        <v>0.25</v>
      </c>
      <c r="L2656" s="0" t="n">
        <f aca="false">G2656</f>
        <v>0.5</v>
      </c>
      <c r="M2656" s="0" t="n">
        <f aca="false">H2656</f>
        <v>0.25</v>
      </c>
      <c r="N2656" s="0" t="n">
        <f aca="false">E2656*F2656</f>
        <v>-0.0625</v>
      </c>
      <c r="O2656" s="0" t="n">
        <f aca="false">E2656*G2656</f>
        <v>-0.125</v>
      </c>
      <c r="P2656" s="0" t="n">
        <f aca="false">E2656*H2656</f>
        <v>-0.0625</v>
      </c>
      <c r="Q2656" s="0" t="n">
        <f aca="false">F2656*G2656</f>
        <v>0.125</v>
      </c>
      <c r="R2656" s="0" t="n">
        <f aca="false">F2656*H2656</f>
        <v>0.0625</v>
      </c>
      <c r="S2656" s="0" t="n">
        <f aca="false">G2656*H2656</f>
        <v>0.125</v>
      </c>
      <c r="T2656" s="0" t="n">
        <f aca="false">E2656*E2656</f>
        <v>0.0625</v>
      </c>
      <c r="U2656" s="0" t="n">
        <f aca="false">F2656*F2656</f>
        <v>0.0625</v>
      </c>
      <c r="V2656" s="0" t="n">
        <f aca="false">G2656*G2656</f>
        <v>0.25</v>
      </c>
      <c r="W2656" s="0" t="n">
        <f aca="false">H2656*H2656</f>
        <v>0.0625</v>
      </c>
      <c r="X2656" s="0" t="n">
        <f aca="false">SUMPRODUCT(I2656:W2656,_XtX!$B$96:$P$96)</f>
        <v>48.0706917032163</v>
      </c>
      <c r="Y2656" s="0" t="n">
        <f aca="false">SUMPRODUCT(MMULT(I2656:W2656,_XtX!$B$78:$P$92),I2656:W2656)</f>
        <v>0.116714923702485</v>
      </c>
      <c r="Z2656" s="0" t="n">
        <f aca="false">04_回帰ANOVA!$K$19*04_回帰ANOVA!$K$14*SQRT(1+Y2656)</f>
        <v>1.37743004820023</v>
      </c>
      <c r="AA2656" s="0" t="n">
        <f aca="false">X2656-Z2656</f>
        <v>46.6932616550161</v>
      </c>
      <c r="AB2656" s="0" t="n">
        <f aca="false">X2656+Z2656</f>
        <v>49.4481217514165</v>
      </c>
      <c r="AC2656" s="54" t="b">
        <f aca="false">AND(E2656&gt;=01_因子設定!$L$5-0.000000001,E2656&lt;=01_因子設定!$M$5+0.000000001,F2656&gt;=01_因子設定!$L$6-0.000000001,F2656&lt;=01_因子設定!$M$6+0.000000001,G2656&gt;=01_因子設定!$L$7-0.000000001,G2656&lt;=01_因子設定!$M$7+0.000000001,H2656&gt;=01_因子設定!$L$8-0.000000001,H2656&lt;=01_因子設定!$M$8+0.000000001,IF(01_因子設定!$B$20="Box-Behnken",E2656^2+F2656^2+G2656^2+H2656^2&lt;=2+0.000000001,TRUE()))</f>
        <v>1</v>
      </c>
      <c r="AD2656" s="55" t="n">
        <f aca="false">IF(AC2656,IF(01_因子設定!$B$13="最大化",AA2656-01_因子設定!$B$14,IF(01_因子設定!$B$13="最小化",01_因子設定!$B$15-AB2656,MIN(AA2656-01_因子設定!$B$14,01_因子設定!$B$15-AB2656))),-1E+030)</f>
        <v>0.193261655016094</v>
      </c>
      <c r="AE2656" s="55" t="n">
        <f aca="false">IF(AC2656,IF(01_因子設定!$B$13="最大化",X2656,IF(01_因子設定!$B$13="最小化",-X2656,-ABS(X2656-01_因子設定!$B$16))),-1E+030)</f>
        <v>48.0706917032163</v>
      </c>
      <c r="AF2656" s="55" t="n">
        <f aca="false">AD2656+ROW()*0.000000001</f>
        <v>0.193264311016094</v>
      </c>
      <c r="AG2656" s="55" t="n">
        <f aca="false">AE2656+ROW()*0.000000001</f>
        <v>48.0706943592163</v>
      </c>
    </row>
    <row r="2657" customFormat="false" ht="15" hidden="false" customHeight="false" outlineLevel="0" collapsed="false">
      <c r="A2657" s="0" t="n">
        <v>3</v>
      </c>
      <c r="B2657" s="0" t="n">
        <v>5</v>
      </c>
      <c r="C2657" s="0" t="n">
        <v>6</v>
      </c>
      <c r="D2657" s="0" t="n">
        <v>6</v>
      </c>
      <c r="E2657" s="0" t="n">
        <f aca="false">-1+A2657*0.25</f>
        <v>-0.25</v>
      </c>
      <c r="F2657" s="0" t="n">
        <f aca="false">-1+B2657*0.25</f>
        <v>0.25</v>
      </c>
      <c r="G2657" s="0" t="n">
        <f aca="false">-1+C2657*0.25</f>
        <v>0.5</v>
      </c>
      <c r="H2657" s="0" t="n">
        <f aca="false">-1+D2657*0.25</f>
        <v>0.5</v>
      </c>
      <c r="I2657" s="0" t="n">
        <f aca="false">1</f>
        <v>1</v>
      </c>
      <c r="J2657" s="0" t="n">
        <f aca="false">E2657</f>
        <v>-0.25</v>
      </c>
      <c r="K2657" s="0" t="n">
        <f aca="false">F2657</f>
        <v>0.25</v>
      </c>
      <c r="L2657" s="0" t="n">
        <f aca="false">G2657</f>
        <v>0.5</v>
      </c>
      <c r="M2657" s="0" t="n">
        <f aca="false">H2657</f>
        <v>0.5</v>
      </c>
      <c r="N2657" s="0" t="n">
        <f aca="false">E2657*F2657</f>
        <v>-0.0625</v>
      </c>
      <c r="O2657" s="0" t="n">
        <f aca="false">E2657*G2657</f>
        <v>-0.125</v>
      </c>
      <c r="P2657" s="0" t="n">
        <f aca="false">E2657*H2657</f>
        <v>-0.125</v>
      </c>
      <c r="Q2657" s="0" t="n">
        <f aca="false">F2657*G2657</f>
        <v>0.125</v>
      </c>
      <c r="R2657" s="0" t="n">
        <f aca="false">F2657*H2657</f>
        <v>0.125</v>
      </c>
      <c r="S2657" s="0" t="n">
        <f aca="false">G2657*H2657</f>
        <v>0.25</v>
      </c>
      <c r="T2657" s="0" t="n">
        <f aca="false">E2657*E2657</f>
        <v>0.0625</v>
      </c>
      <c r="U2657" s="0" t="n">
        <f aca="false">F2657*F2657</f>
        <v>0.0625</v>
      </c>
      <c r="V2657" s="0" t="n">
        <f aca="false">G2657*G2657</f>
        <v>0.25</v>
      </c>
      <c r="W2657" s="0" t="n">
        <f aca="false">H2657*H2657</f>
        <v>0.25</v>
      </c>
      <c r="X2657" s="0" t="n">
        <f aca="false">SUMPRODUCT(I2657:W2657,_XtX!$B$96:$P$96)</f>
        <v>48.1152138157894</v>
      </c>
      <c r="Y2657" s="0" t="n">
        <f aca="false">SUMPRODUCT(MMULT(I2657:W2657,_XtX!$B$78:$P$92),I2657:W2657)</f>
        <v>0.128236647934942</v>
      </c>
      <c r="Z2657" s="0" t="n">
        <f aca="false">04_回帰ANOVA!$K$19*04_回帰ANOVA!$K$14*SQRT(1+Y2657)</f>
        <v>1.38451764188989</v>
      </c>
      <c r="AA2657" s="0" t="n">
        <f aca="false">X2657-Z2657</f>
        <v>46.7306961738995</v>
      </c>
      <c r="AB2657" s="0" t="n">
        <f aca="false">X2657+Z2657</f>
        <v>49.4997314576793</v>
      </c>
      <c r="AC2657" s="54" t="b">
        <f aca="false">AND(E2657&gt;=01_因子設定!$L$5-0.000000001,E2657&lt;=01_因子設定!$M$5+0.000000001,F2657&gt;=01_因子設定!$L$6-0.000000001,F2657&lt;=01_因子設定!$M$6+0.000000001,G2657&gt;=01_因子設定!$L$7-0.000000001,G2657&lt;=01_因子設定!$M$7+0.000000001,H2657&gt;=01_因子設定!$L$8-0.000000001,H2657&lt;=01_因子設定!$M$8+0.000000001,IF(01_因子設定!$B$20="Box-Behnken",E2657^2+F2657^2+G2657^2+H2657^2&lt;=2+0.000000001,TRUE()))</f>
        <v>1</v>
      </c>
      <c r="AD2657" s="55" t="n">
        <f aca="false">IF(AC2657,IF(01_因子設定!$B$13="最大化",AA2657-01_因子設定!$B$14,IF(01_因子設定!$B$13="最小化",01_因子設定!$B$15-AB2657,MIN(AA2657-01_因子設定!$B$14,01_因子設定!$B$15-AB2657))),-1E+030)</f>
        <v>0.230696173899538</v>
      </c>
      <c r="AE2657" s="55" t="n">
        <f aca="false">IF(AC2657,IF(01_因子設定!$B$13="最大化",X2657,IF(01_因子設定!$B$13="最小化",-X2657,-ABS(X2657-01_因子設定!$B$16))),-1E+030)</f>
        <v>48.1152138157894</v>
      </c>
      <c r="AF2657" s="55" t="n">
        <f aca="false">AD2657+ROW()*0.000000001</f>
        <v>0.230698830899538</v>
      </c>
      <c r="AG2657" s="55" t="n">
        <f aca="false">AE2657+ROW()*0.000000001</f>
        <v>48.1152164727894</v>
      </c>
    </row>
    <row r="2658" customFormat="false" ht="15" hidden="false" customHeight="false" outlineLevel="0" collapsed="false">
      <c r="A2658" s="0" t="n">
        <v>3</v>
      </c>
      <c r="B2658" s="0" t="n">
        <v>5</v>
      </c>
      <c r="C2658" s="0" t="n">
        <v>6</v>
      </c>
      <c r="D2658" s="0" t="n">
        <v>7</v>
      </c>
      <c r="E2658" s="0" t="n">
        <f aca="false">-1+A2658*0.25</f>
        <v>-0.25</v>
      </c>
      <c r="F2658" s="0" t="n">
        <f aca="false">-1+B2658*0.25</f>
        <v>0.25</v>
      </c>
      <c r="G2658" s="0" t="n">
        <f aca="false">-1+C2658*0.25</f>
        <v>0.5</v>
      </c>
      <c r="H2658" s="0" t="n">
        <f aca="false">-1+D2658*0.25</f>
        <v>0.75</v>
      </c>
      <c r="I2658" s="0" t="n">
        <f aca="false">1</f>
        <v>1</v>
      </c>
      <c r="J2658" s="0" t="n">
        <f aca="false">E2658</f>
        <v>-0.25</v>
      </c>
      <c r="K2658" s="0" t="n">
        <f aca="false">F2658</f>
        <v>0.25</v>
      </c>
      <c r="L2658" s="0" t="n">
        <f aca="false">G2658</f>
        <v>0.5</v>
      </c>
      <c r="M2658" s="0" t="n">
        <f aca="false">H2658</f>
        <v>0.75</v>
      </c>
      <c r="N2658" s="0" t="n">
        <f aca="false">E2658*F2658</f>
        <v>-0.0625</v>
      </c>
      <c r="O2658" s="0" t="n">
        <f aca="false">E2658*G2658</f>
        <v>-0.125</v>
      </c>
      <c r="P2658" s="0" t="n">
        <f aca="false">E2658*H2658</f>
        <v>-0.1875</v>
      </c>
      <c r="Q2658" s="0" t="n">
        <f aca="false">F2658*G2658</f>
        <v>0.125</v>
      </c>
      <c r="R2658" s="0" t="n">
        <f aca="false">F2658*H2658</f>
        <v>0.1875</v>
      </c>
      <c r="S2658" s="0" t="n">
        <f aca="false">G2658*H2658</f>
        <v>0.375</v>
      </c>
      <c r="T2658" s="0" t="n">
        <f aca="false">E2658*E2658</f>
        <v>0.0625</v>
      </c>
      <c r="U2658" s="0" t="n">
        <f aca="false">F2658*F2658</f>
        <v>0.0625</v>
      </c>
      <c r="V2658" s="0" t="n">
        <f aca="false">G2658*G2658</f>
        <v>0.25</v>
      </c>
      <c r="W2658" s="0" t="n">
        <f aca="false">H2658*H2658</f>
        <v>0.5625</v>
      </c>
      <c r="X2658" s="0" t="n">
        <f aca="false">SUMPRODUCT(I2658:W2658,_XtX!$B$96:$P$96)</f>
        <v>48.1119289108187</v>
      </c>
      <c r="Y2658" s="0" t="n">
        <f aca="false">SUMPRODUCT(MMULT(I2658:W2658,_XtX!$B$78:$P$92),I2658:W2658)</f>
        <v>0.207746539199561</v>
      </c>
      <c r="Z2658" s="0" t="n">
        <f aca="false">04_回帰ANOVA!$K$19*04_回帰ANOVA!$K$14*SQRT(1+Y2658)</f>
        <v>1.43247250081141</v>
      </c>
      <c r="AA2658" s="0" t="n">
        <f aca="false">X2658-Z2658</f>
        <v>46.6794564100073</v>
      </c>
      <c r="AB2658" s="0" t="n">
        <f aca="false">X2658+Z2658</f>
        <v>49.5444014116301</v>
      </c>
      <c r="AC2658" s="54" t="b">
        <f aca="false">AND(E2658&gt;=01_因子設定!$L$5-0.000000001,E2658&lt;=01_因子設定!$M$5+0.000000001,F2658&gt;=01_因子設定!$L$6-0.000000001,F2658&lt;=01_因子設定!$M$6+0.000000001,G2658&gt;=01_因子設定!$L$7-0.000000001,G2658&lt;=01_因子設定!$M$7+0.000000001,H2658&gt;=01_因子設定!$L$8-0.000000001,H2658&lt;=01_因子設定!$M$8+0.000000001,IF(01_因子設定!$B$20="Box-Behnken",E2658^2+F2658^2+G2658^2+H2658^2&lt;=2+0.000000001,TRUE()))</f>
        <v>1</v>
      </c>
      <c r="AD2658" s="55" t="n">
        <f aca="false">IF(AC2658,IF(01_因子設定!$B$13="最大化",AA2658-01_因子設定!$B$14,IF(01_因子設定!$B$13="最小化",01_因子設定!$B$15-AB2658,MIN(AA2658-01_因子設定!$B$14,01_因子設定!$B$15-AB2658))),-1E+030)</f>
        <v>0.179456410007269</v>
      </c>
      <c r="AE2658" s="55" t="n">
        <f aca="false">IF(AC2658,IF(01_因子設定!$B$13="最大化",X2658,IF(01_因子設定!$B$13="最小化",-X2658,-ABS(X2658-01_因子設定!$B$16))),-1E+030)</f>
        <v>48.1119289108187</v>
      </c>
      <c r="AF2658" s="55" t="n">
        <f aca="false">AD2658+ROW()*0.000000001</f>
        <v>0.179459068007269</v>
      </c>
      <c r="AG2658" s="55" t="n">
        <f aca="false">AE2658+ROW()*0.000000001</f>
        <v>48.1119315688187</v>
      </c>
    </row>
    <row r="2659" customFormat="false" ht="15" hidden="false" customHeight="false" outlineLevel="0" collapsed="false">
      <c r="A2659" s="0" t="n">
        <v>3</v>
      </c>
      <c r="B2659" s="0" t="n">
        <v>5</v>
      </c>
      <c r="C2659" s="0" t="n">
        <v>6</v>
      </c>
      <c r="D2659" s="0" t="n">
        <v>8</v>
      </c>
      <c r="E2659" s="0" t="n">
        <f aca="false">-1+A2659*0.25</f>
        <v>-0.25</v>
      </c>
      <c r="F2659" s="0" t="n">
        <f aca="false">-1+B2659*0.25</f>
        <v>0.25</v>
      </c>
      <c r="G2659" s="0" t="n">
        <f aca="false">-1+C2659*0.25</f>
        <v>0.5</v>
      </c>
      <c r="H2659" s="0" t="n">
        <f aca="false">-1+D2659*0.25</f>
        <v>1</v>
      </c>
      <c r="I2659" s="0" t="n">
        <f aca="false">1</f>
        <v>1</v>
      </c>
      <c r="J2659" s="0" t="n">
        <f aca="false">E2659</f>
        <v>-0.25</v>
      </c>
      <c r="K2659" s="0" t="n">
        <f aca="false">F2659</f>
        <v>0.25</v>
      </c>
      <c r="L2659" s="0" t="n">
        <f aca="false">G2659</f>
        <v>0.5</v>
      </c>
      <c r="M2659" s="0" t="n">
        <f aca="false">H2659</f>
        <v>1</v>
      </c>
      <c r="N2659" s="0" t="n">
        <f aca="false">E2659*F2659</f>
        <v>-0.0625</v>
      </c>
      <c r="O2659" s="0" t="n">
        <f aca="false">E2659*G2659</f>
        <v>-0.125</v>
      </c>
      <c r="P2659" s="0" t="n">
        <f aca="false">E2659*H2659</f>
        <v>-0.25</v>
      </c>
      <c r="Q2659" s="0" t="n">
        <f aca="false">F2659*G2659</f>
        <v>0.125</v>
      </c>
      <c r="R2659" s="0" t="n">
        <f aca="false">F2659*H2659</f>
        <v>0.25</v>
      </c>
      <c r="S2659" s="0" t="n">
        <f aca="false">G2659*H2659</f>
        <v>0.5</v>
      </c>
      <c r="T2659" s="0" t="n">
        <f aca="false">E2659*E2659</f>
        <v>0.0625</v>
      </c>
      <c r="U2659" s="0" t="n">
        <f aca="false">F2659*F2659</f>
        <v>0.0625</v>
      </c>
      <c r="V2659" s="0" t="n">
        <f aca="false">G2659*G2659</f>
        <v>0.25</v>
      </c>
      <c r="W2659" s="0" t="n">
        <f aca="false">H2659*H2659</f>
        <v>1</v>
      </c>
      <c r="X2659" s="0" t="n">
        <f aca="false">SUMPRODUCT(I2659:W2659,_XtX!$B$96:$P$96)</f>
        <v>48.0608369883041</v>
      </c>
      <c r="Y2659" s="0" t="n">
        <f aca="false">SUMPRODUCT(MMULT(I2659:W2659,_XtX!$B$78:$P$92),I2659:W2659)</f>
        <v>0.445705123812135</v>
      </c>
      <c r="Z2659" s="0" t="n">
        <f aca="false">04_回帰ANOVA!$K$19*04_回帰ANOVA!$K$14*SQRT(1+Y2659)</f>
        <v>1.56724990734749</v>
      </c>
      <c r="AA2659" s="0" t="n">
        <f aca="false">X2659-Z2659</f>
        <v>46.4935870809566</v>
      </c>
      <c r="AB2659" s="0" t="n">
        <f aca="false">X2659+Z2659</f>
        <v>49.6280868956516</v>
      </c>
      <c r="AC2659" s="54" t="b">
        <f aca="false">AND(E2659&gt;=01_因子設定!$L$5-0.000000001,E2659&lt;=01_因子設定!$M$5+0.000000001,F2659&gt;=01_因子設定!$L$6-0.000000001,F2659&lt;=01_因子設定!$M$6+0.000000001,G2659&gt;=01_因子設定!$L$7-0.000000001,G2659&lt;=01_因子設定!$M$7+0.000000001,H2659&gt;=01_因子設定!$L$8-0.000000001,H2659&lt;=01_因子設定!$M$8+0.000000001,IF(01_因子設定!$B$20="Box-Behnken",E2659^2+F2659^2+G2659^2+H2659^2&lt;=2+0.000000001,TRUE()))</f>
        <v>1</v>
      </c>
      <c r="AD2659" s="55" t="n">
        <f aca="false">IF(AC2659,IF(01_因子設定!$B$13="最大化",AA2659-01_因子設定!$B$14,IF(01_因子設定!$B$13="最小化",01_因子設定!$B$15-AB2659,MIN(AA2659-01_因子設定!$B$14,01_因子設定!$B$15-AB2659))),-1E+030)</f>
        <v>-0.00641291904342012</v>
      </c>
      <c r="AE2659" s="55" t="n">
        <f aca="false">IF(AC2659,IF(01_因子設定!$B$13="最大化",X2659,IF(01_因子設定!$B$13="最小化",-X2659,-ABS(X2659-01_因子設定!$B$16))),-1E+030)</f>
        <v>48.0608369883041</v>
      </c>
      <c r="AF2659" s="55" t="n">
        <f aca="false">AD2659+ROW()*0.000000001</f>
        <v>-0.00641026004342012</v>
      </c>
      <c r="AG2659" s="55" t="n">
        <f aca="false">AE2659+ROW()*0.000000001</f>
        <v>48.0608396473041</v>
      </c>
    </row>
    <row r="2660" customFormat="false" ht="15" hidden="false" customHeight="false" outlineLevel="0" collapsed="false">
      <c r="A2660" s="0" t="n">
        <v>3</v>
      </c>
      <c r="B2660" s="0" t="n">
        <v>5</v>
      </c>
      <c r="C2660" s="0" t="n">
        <v>7</v>
      </c>
      <c r="D2660" s="0" t="n">
        <v>0</v>
      </c>
      <c r="E2660" s="0" t="n">
        <f aca="false">-1+A2660*0.25</f>
        <v>-0.25</v>
      </c>
      <c r="F2660" s="0" t="n">
        <f aca="false">-1+B2660*0.25</f>
        <v>0.25</v>
      </c>
      <c r="G2660" s="0" t="n">
        <f aca="false">-1+C2660*0.25</f>
        <v>0.75</v>
      </c>
      <c r="H2660" s="0" t="n">
        <f aca="false">-1+D2660*0.25</f>
        <v>-1</v>
      </c>
      <c r="I2660" s="0" t="n">
        <f aca="false">1</f>
        <v>1</v>
      </c>
      <c r="J2660" s="0" t="n">
        <f aca="false">E2660</f>
        <v>-0.25</v>
      </c>
      <c r="K2660" s="0" t="n">
        <f aca="false">F2660</f>
        <v>0.25</v>
      </c>
      <c r="L2660" s="0" t="n">
        <f aca="false">G2660</f>
        <v>0.75</v>
      </c>
      <c r="M2660" s="0" t="n">
        <f aca="false">H2660</f>
        <v>-1</v>
      </c>
      <c r="N2660" s="0" t="n">
        <f aca="false">E2660*F2660</f>
        <v>-0.0625</v>
      </c>
      <c r="O2660" s="0" t="n">
        <f aca="false">E2660*G2660</f>
        <v>-0.1875</v>
      </c>
      <c r="P2660" s="0" t="n">
        <f aca="false">E2660*H2660</f>
        <v>0.25</v>
      </c>
      <c r="Q2660" s="0" t="n">
        <f aca="false">F2660*G2660</f>
        <v>0.1875</v>
      </c>
      <c r="R2660" s="0" t="n">
        <f aca="false">F2660*H2660</f>
        <v>-0.25</v>
      </c>
      <c r="S2660" s="0" t="n">
        <f aca="false">G2660*H2660</f>
        <v>-0.75</v>
      </c>
      <c r="T2660" s="0" t="n">
        <f aca="false">E2660*E2660</f>
        <v>0.0625</v>
      </c>
      <c r="U2660" s="0" t="n">
        <f aca="false">F2660*F2660</f>
        <v>0.0625</v>
      </c>
      <c r="V2660" s="0" t="n">
        <f aca="false">G2660*G2660</f>
        <v>0.5625</v>
      </c>
      <c r="W2660" s="0" t="n">
        <f aca="false">H2660*H2660</f>
        <v>1</v>
      </c>
      <c r="X2660" s="0" t="n">
        <f aca="false">SUMPRODUCT(I2660:W2660,_XtX!$B$96:$P$96)</f>
        <v>47.1518229166666</v>
      </c>
      <c r="Y2660" s="0" t="n">
        <f aca="false">SUMPRODUCT(MMULT(I2660:W2660,_XtX!$B$78:$P$92),I2660:W2660)</f>
        <v>0.486409505208334</v>
      </c>
      <c r="Z2660" s="0" t="n">
        <f aca="false">04_回帰ANOVA!$K$19*04_回帰ANOVA!$K$14*SQRT(1+Y2660)</f>
        <v>1.58916001665498</v>
      </c>
      <c r="AA2660" s="0" t="n">
        <f aca="false">X2660-Z2660</f>
        <v>45.5626629000117</v>
      </c>
      <c r="AB2660" s="0" t="n">
        <f aca="false">X2660+Z2660</f>
        <v>48.7409829333216</v>
      </c>
      <c r="AC2660" s="54" t="b">
        <f aca="false">AND(E2660&gt;=01_因子設定!$L$5-0.000000001,E2660&lt;=01_因子設定!$M$5+0.000000001,F2660&gt;=01_因子設定!$L$6-0.000000001,F2660&lt;=01_因子設定!$M$6+0.000000001,G2660&gt;=01_因子設定!$L$7-0.000000001,G2660&lt;=01_因子設定!$M$7+0.000000001,H2660&gt;=01_因子設定!$L$8-0.000000001,H2660&lt;=01_因子設定!$M$8+0.000000001,IF(01_因子設定!$B$20="Box-Behnken",E2660^2+F2660^2+G2660^2+H2660^2&lt;=2+0.000000001,TRUE()))</f>
        <v>1</v>
      </c>
      <c r="AD2660" s="55" t="n">
        <f aca="false">IF(AC2660,IF(01_因子設定!$B$13="最大化",AA2660-01_因子設定!$B$14,IF(01_因子設定!$B$13="最小化",01_因子設定!$B$15-AB2660,MIN(AA2660-01_因子設定!$B$14,01_因子設定!$B$15-AB2660))),-1E+030)</f>
        <v>-0.937337099988334</v>
      </c>
      <c r="AE2660" s="55" t="n">
        <f aca="false">IF(AC2660,IF(01_因子設定!$B$13="最大化",X2660,IF(01_因子設定!$B$13="最小化",-X2660,-ABS(X2660-01_因子設定!$B$16))),-1E+030)</f>
        <v>47.1518229166666</v>
      </c>
      <c r="AF2660" s="55" t="n">
        <f aca="false">AD2660+ROW()*0.000000001</f>
        <v>-0.937334439988333</v>
      </c>
      <c r="AG2660" s="55" t="n">
        <f aca="false">AE2660+ROW()*0.000000001</f>
        <v>47.1518255766666</v>
      </c>
    </row>
    <row r="2661" customFormat="false" ht="15" hidden="false" customHeight="false" outlineLevel="0" collapsed="false">
      <c r="A2661" s="0" t="n">
        <v>3</v>
      </c>
      <c r="B2661" s="0" t="n">
        <v>5</v>
      </c>
      <c r="C2661" s="0" t="n">
        <v>7</v>
      </c>
      <c r="D2661" s="0" t="n">
        <v>1</v>
      </c>
      <c r="E2661" s="0" t="n">
        <f aca="false">-1+A2661*0.25</f>
        <v>-0.25</v>
      </c>
      <c r="F2661" s="0" t="n">
        <f aca="false">-1+B2661*0.25</f>
        <v>0.25</v>
      </c>
      <c r="G2661" s="0" t="n">
        <f aca="false">-1+C2661*0.25</f>
        <v>0.75</v>
      </c>
      <c r="H2661" s="0" t="n">
        <f aca="false">-1+D2661*0.25</f>
        <v>-0.75</v>
      </c>
      <c r="I2661" s="0" t="n">
        <f aca="false">1</f>
        <v>1</v>
      </c>
      <c r="J2661" s="0" t="n">
        <f aca="false">E2661</f>
        <v>-0.25</v>
      </c>
      <c r="K2661" s="0" t="n">
        <f aca="false">F2661</f>
        <v>0.25</v>
      </c>
      <c r="L2661" s="0" t="n">
        <f aca="false">G2661</f>
        <v>0.75</v>
      </c>
      <c r="M2661" s="0" t="n">
        <f aca="false">H2661</f>
        <v>-0.75</v>
      </c>
      <c r="N2661" s="0" t="n">
        <f aca="false">E2661*F2661</f>
        <v>-0.0625</v>
      </c>
      <c r="O2661" s="0" t="n">
        <f aca="false">E2661*G2661</f>
        <v>-0.1875</v>
      </c>
      <c r="P2661" s="0" t="n">
        <f aca="false">E2661*H2661</f>
        <v>0.1875</v>
      </c>
      <c r="Q2661" s="0" t="n">
        <f aca="false">F2661*G2661</f>
        <v>0.1875</v>
      </c>
      <c r="R2661" s="0" t="n">
        <f aca="false">F2661*H2661</f>
        <v>-0.1875</v>
      </c>
      <c r="S2661" s="0" t="n">
        <f aca="false">G2661*H2661</f>
        <v>-0.5625</v>
      </c>
      <c r="T2661" s="0" t="n">
        <f aca="false">E2661*E2661</f>
        <v>0.0625</v>
      </c>
      <c r="U2661" s="0" t="n">
        <f aca="false">F2661*F2661</f>
        <v>0.0625</v>
      </c>
      <c r="V2661" s="0" t="n">
        <f aca="false">G2661*G2661</f>
        <v>0.5625</v>
      </c>
      <c r="W2661" s="0" t="n">
        <f aca="false">H2661*H2661</f>
        <v>0.5625</v>
      </c>
      <c r="X2661" s="0" t="n">
        <f aca="false">SUMPRODUCT(I2661:W2661,_XtX!$B$96:$P$96)</f>
        <v>47.453348866959</v>
      </c>
      <c r="Y2661" s="0" t="n">
        <f aca="false">SUMPRODUCT(MMULT(I2661:W2661,_XtX!$B$78:$P$92),I2661:W2661)</f>
        <v>0.271087468019006</v>
      </c>
      <c r="Z2661" s="0" t="n">
        <f aca="false">04_回帰ANOVA!$K$19*04_回帰ANOVA!$K$14*SQRT(1+Y2661)</f>
        <v>1.46955590155034</v>
      </c>
      <c r="AA2661" s="0" t="n">
        <f aca="false">X2661-Z2661</f>
        <v>45.9837929654087</v>
      </c>
      <c r="AB2661" s="0" t="n">
        <f aca="false">X2661+Z2661</f>
        <v>48.9229047685094</v>
      </c>
      <c r="AC2661" s="54" t="b">
        <f aca="false">AND(E2661&gt;=01_因子設定!$L$5-0.000000001,E2661&lt;=01_因子設定!$M$5+0.000000001,F2661&gt;=01_因子設定!$L$6-0.000000001,F2661&lt;=01_因子設定!$M$6+0.000000001,G2661&gt;=01_因子設定!$L$7-0.000000001,G2661&lt;=01_因子設定!$M$7+0.000000001,H2661&gt;=01_因子設定!$L$8-0.000000001,H2661&lt;=01_因子設定!$M$8+0.000000001,IF(01_因子設定!$B$20="Box-Behnken",E2661^2+F2661^2+G2661^2+H2661^2&lt;=2+0.000000001,TRUE()))</f>
        <v>1</v>
      </c>
      <c r="AD2661" s="55" t="n">
        <f aca="false">IF(AC2661,IF(01_因子設定!$B$13="最大化",AA2661-01_因子設定!$B$14,IF(01_因子設定!$B$13="最小化",01_因子設定!$B$15-AB2661,MIN(AA2661-01_因子設定!$B$14,01_因子設定!$B$15-AB2661))),-1E+030)</f>
        <v>-0.516207034591318</v>
      </c>
      <c r="AE2661" s="55" t="n">
        <f aca="false">IF(AC2661,IF(01_因子設定!$B$13="最大化",X2661,IF(01_因子設定!$B$13="最小化",-X2661,-ABS(X2661-01_因子設定!$B$16))),-1E+030)</f>
        <v>47.453348866959</v>
      </c>
      <c r="AF2661" s="55" t="n">
        <f aca="false">AD2661+ROW()*0.000000001</f>
        <v>-0.516204373591318</v>
      </c>
      <c r="AG2661" s="55" t="n">
        <f aca="false">AE2661+ROW()*0.000000001</f>
        <v>47.453351527959</v>
      </c>
    </row>
    <row r="2662" customFormat="false" ht="15" hidden="false" customHeight="false" outlineLevel="0" collapsed="false">
      <c r="A2662" s="0" t="n">
        <v>3</v>
      </c>
      <c r="B2662" s="0" t="n">
        <v>5</v>
      </c>
      <c r="C2662" s="0" t="n">
        <v>7</v>
      </c>
      <c r="D2662" s="0" t="n">
        <v>2</v>
      </c>
      <c r="E2662" s="0" t="n">
        <f aca="false">-1+A2662*0.25</f>
        <v>-0.25</v>
      </c>
      <c r="F2662" s="0" t="n">
        <f aca="false">-1+B2662*0.25</f>
        <v>0.25</v>
      </c>
      <c r="G2662" s="0" t="n">
        <f aca="false">-1+C2662*0.25</f>
        <v>0.75</v>
      </c>
      <c r="H2662" s="0" t="n">
        <f aca="false">-1+D2662*0.25</f>
        <v>-0.5</v>
      </c>
      <c r="I2662" s="0" t="n">
        <f aca="false">1</f>
        <v>1</v>
      </c>
      <c r="J2662" s="0" t="n">
        <f aca="false">E2662</f>
        <v>-0.25</v>
      </c>
      <c r="K2662" s="0" t="n">
        <f aca="false">F2662</f>
        <v>0.25</v>
      </c>
      <c r="L2662" s="0" t="n">
        <f aca="false">G2662</f>
        <v>0.75</v>
      </c>
      <c r="M2662" s="0" t="n">
        <f aca="false">H2662</f>
        <v>-0.5</v>
      </c>
      <c r="N2662" s="0" t="n">
        <f aca="false">E2662*F2662</f>
        <v>-0.0625</v>
      </c>
      <c r="O2662" s="0" t="n">
        <f aca="false">E2662*G2662</f>
        <v>-0.1875</v>
      </c>
      <c r="P2662" s="0" t="n">
        <f aca="false">E2662*H2662</f>
        <v>0.125</v>
      </c>
      <c r="Q2662" s="0" t="n">
        <f aca="false">F2662*G2662</f>
        <v>0.1875</v>
      </c>
      <c r="R2662" s="0" t="n">
        <f aca="false">F2662*H2662</f>
        <v>-0.125</v>
      </c>
      <c r="S2662" s="0" t="n">
        <f aca="false">G2662*H2662</f>
        <v>-0.375</v>
      </c>
      <c r="T2662" s="0" t="n">
        <f aca="false">E2662*E2662</f>
        <v>0.0625</v>
      </c>
      <c r="U2662" s="0" t="n">
        <f aca="false">F2662*F2662</f>
        <v>0.0625</v>
      </c>
      <c r="V2662" s="0" t="n">
        <f aca="false">G2662*G2662</f>
        <v>0.5625</v>
      </c>
      <c r="W2662" s="0" t="n">
        <f aca="false">H2662*H2662</f>
        <v>0.25</v>
      </c>
      <c r="X2662" s="0" t="n">
        <f aca="false">SUMPRODUCT(I2662:W2662,_XtX!$B$96:$P$96)</f>
        <v>47.7070677997076</v>
      </c>
      <c r="Y2662" s="0" t="n">
        <f aca="false">SUMPRODUCT(MMULT(I2662:W2662,_XtX!$B$78:$P$92),I2662:W2662)</f>
        <v>0.207746539199561</v>
      </c>
      <c r="Z2662" s="0" t="n">
        <f aca="false">04_回帰ANOVA!$K$19*04_回帰ANOVA!$K$14*SQRT(1+Y2662)</f>
        <v>1.43247250081141</v>
      </c>
      <c r="AA2662" s="0" t="n">
        <f aca="false">X2662-Z2662</f>
        <v>46.2745952988961</v>
      </c>
      <c r="AB2662" s="0" t="n">
        <f aca="false">X2662+Z2662</f>
        <v>49.139540300519</v>
      </c>
      <c r="AC2662" s="54" t="b">
        <f aca="false">AND(E2662&gt;=01_因子設定!$L$5-0.000000001,E2662&lt;=01_因子設定!$M$5+0.000000001,F2662&gt;=01_因子設定!$L$6-0.000000001,F2662&lt;=01_因子設定!$M$6+0.000000001,G2662&gt;=01_因子設定!$L$7-0.000000001,G2662&lt;=01_因子設定!$M$7+0.000000001,H2662&gt;=01_因子設定!$L$8-0.000000001,H2662&lt;=01_因子設定!$M$8+0.000000001,IF(01_因子設定!$B$20="Box-Behnken",E2662^2+F2662^2+G2662^2+H2662^2&lt;=2+0.000000001,TRUE()))</f>
        <v>1</v>
      </c>
      <c r="AD2662" s="55" t="n">
        <f aca="false">IF(AC2662,IF(01_因子設定!$B$13="最大化",AA2662-01_因子設定!$B$14,IF(01_因子設定!$B$13="最小化",01_因子設定!$B$15-AB2662,MIN(AA2662-01_因子設定!$B$14,01_因子設定!$B$15-AB2662))),-1E+030)</f>
        <v>-0.225404701103855</v>
      </c>
      <c r="AE2662" s="55" t="n">
        <f aca="false">IF(AC2662,IF(01_因子設定!$B$13="最大化",X2662,IF(01_因子設定!$B$13="最小化",-X2662,-ABS(X2662-01_因子設定!$B$16))),-1E+030)</f>
        <v>47.7070677997076</v>
      </c>
      <c r="AF2662" s="55" t="n">
        <f aca="false">AD2662+ROW()*0.000000001</f>
        <v>-0.225402039103855</v>
      </c>
      <c r="AG2662" s="55" t="n">
        <f aca="false">AE2662+ROW()*0.000000001</f>
        <v>47.7070704617076</v>
      </c>
    </row>
    <row r="2663" customFormat="false" ht="15" hidden="false" customHeight="false" outlineLevel="0" collapsed="false">
      <c r="A2663" s="0" t="n">
        <v>3</v>
      </c>
      <c r="B2663" s="0" t="n">
        <v>5</v>
      </c>
      <c r="C2663" s="0" t="n">
        <v>7</v>
      </c>
      <c r="D2663" s="0" t="n">
        <v>3</v>
      </c>
      <c r="E2663" s="0" t="n">
        <f aca="false">-1+A2663*0.25</f>
        <v>-0.25</v>
      </c>
      <c r="F2663" s="0" t="n">
        <f aca="false">-1+B2663*0.25</f>
        <v>0.25</v>
      </c>
      <c r="G2663" s="0" t="n">
        <f aca="false">-1+C2663*0.25</f>
        <v>0.75</v>
      </c>
      <c r="H2663" s="0" t="n">
        <f aca="false">-1+D2663*0.25</f>
        <v>-0.25</v>
      </c>
      <c r="I2663" s="0" t="n">
        <f aca="false">1</f>
        <v>1</v>
      </c>
      <c r="J2663" s="0" t="n">
        <f aca="false">E2663</f>
        <v>-0.25</v>
      </c>
      <c r="K2663" s="0" t="n">
        <f aca="false">F2663</f>
        <v>0.25</v>
      </c>
      <c r="L2663" s="0" t="n">
        <f aca="false">G2663</f>
        <v>0.75</v>
      </c>
      <c r="M2663" s="0" t="n">
        <f aca="false">H2663</f>
        <v>-0.25</v>
      </c>
      <c r="N2663" s="0" t="n">
        <f aca="false">E2663*F2663</f>
        <v>-0.0625</v>
      </c>
      <c r="O2663" s="0" t="n">
        <f aca="false">E2663*G2663</f>
        <v>-0.1875</v>
      </c>
      <c r="P2663" s="0" t="n">
        <f aca="false">E2663*H2663</f>
        <v>0.0625</v>
      </c>
      <c r="Q2663" s="0" t="n">
        <f aca="false">F2663*G2663</f>
        <v>0.1875</v>
      </c>
      <c r="R2663" s="0" t="n">
        <f aca="false">F2663*H2663</f>
        <v>-0.0625</v>
      </c>
      <c r="S2663" s="0" t="n">
        <f aca="false">G2663*H2663</f>
        <v>-0.1875</v>
      </c>
      <c r="T2663" s="0" t="n">
        <f aca="false">E2663*E2663</f>
        <v>0.0625</v>
      </c>
      <c r="U2663" s="0" t="n">
        <f aca="false">F2663*F2663</f>
        <v>0.0625</v>
      </c>
      <c r="V2663" s="0" t="n">
        <f aca="false">G2663*G2663</f>
        <v>0.5625</v>
      </c>
      <c r="W2663" s="0" t="n">
        <f aca="false">H2663*H2663</f>
        <v>0.0625</v>
      </c>
      <c r="X2663" s="0" t="n">
        <f aca="false">SUMPRODUCT(I2663:W2663,_XtX!$B$96:$P$96)</f>
        <v>47.9129797149122</v>
      </c>
      <c r="Y2663" s="0" t="n">
        <f aca="false">SUMPRODUCT(MMULT(I2663:W2663,_XtX!$B$78:$P$92),I2663:W2663)</f>
        <v>0.205926192434211</v>
      </c>
      <c r="Z2663" s="0" t="n">
        <f aca="false">04_回帰ANOVA!$K$19*04_回帰ANOVA!$K$14*SQRT(1+Y2663)</f>
        <v>1.43139256396246</v>
      </c>
      <c r="AA2663" s="0" t="n">
        <f aca="false">X2663-Z2663</f>
        <v>46.4815871509498</v>
      </c>
      <c r="AB2663" s="0" t="n">
        <f aca="false">X2663+Z2663</f>
        <v>49.3443722788747</v>
      </c>
      <c r="AC2663" s="54" t="b">
        <f aca="false">AND(E2663&gt;=01_因子設定!$L$5-0.000000001,E2663&lt;=01_因子設定!$M$5+0.000000001,F2663&gt;=01_因子設定!$L$6-0.000000001,F2663&lt;=01_因子設定!$M$6+0.000000001,G2663&gt;=01_因子設定!$L$7-0.000000001,G2663&lt;=01_因子設定!$M$7+0.000000001,H2663&gt;=01_因子設定!$L$8-0.000000001,H2663&lt;=01_因子設定!$M$8+0.000000001,IF(01_因子設定!$B$20="Box-Behnken",E2663^2+F2663^2+G2663^2+H2663^2&lt;=2+0.000000001,TRUE()))</f>
        <v>1</v>
      </c>
      <c r="AD2663" s="55" t="n">
        <f aca="false">IF(AC2663,IF(01_因子設定!$B$13="最大化",AA2663-01_因子設定!$B$14,IF(01_因子設定!$B$13="最小化",01_因子設定!$B$15-AB2663,MIN(AA2663-01_因子設定!$B$14,01_因子設定!$B$15-AB2663))),-1E+030)</f>
        <v>-0.018412849050236</v>
      </c>
      <c r="AE2663" s="55" t="n">
        <f aca="false">IF(AC2663,IF(01_因子設定!$B$13="最大化",X2663,IF(01_因子設定!$B$13="最小化",-X2663,-ABS(X2663-01_因子設定!$B$16))),-1E+030)</f>
        <v>47.9129797149122</v>
      </c>
      <c r="AF2663" s="55" t="n">
        <f aca="false">AD2663+ROW()*0.000000001</f>
        <v>-0.018410186050236</v>
      </c>
      <c r="AG2663" s="55" t="n">
        <f aca="false">AE2663+ROW()*0.000000001</f>
        <v>47.9129823779122</v>
      </c>
    </row>
    <row r="2664" customFormat="false" ht="15" hidden="false" customHeight="false" outlineLevel="0" collapsed="false">
      <c r="A2664" s="0" t="n">
        <v>3</v>
      </c>
      <c r="B2664" s="0" t="n">
        <v>5</v>
      </c>
      <c r="C2664" s="0" t="n">
        <v>7</v>
      </c>
      <c r="D2664" s="0" t="n">
        <v>4</v>
      </c>
      <c r="E2664" s="0" t="n">
        <f aca="false">-1+A2664*0.25</f>
        <v>-0.25</v>
      </c>
      <c r="F2664" s="0" t="n">
        <f aca="false">-1+B2664*0.25</f>
        <v>0.25</v>
      </c>
      <c r="G2664" s="0" t="n">
        <f aca="false">-1+C2664*0.25</f>
        <v>0.75</v>
      </c>
      <c r="H2664" s="0" t="n">
        <f aca="false">-1+D2664*0.25</f>
        <v>0</v>
      </c>
      <c r="I2664" s="0" t="n">
        <f aca="false">1</f>
        <v>1</v>
      </c>
      <c r="J2664" s="0" t="n">
        <f aca="false">E2664</f>
        <v>-0.25</v>
      </c>
      <c r="K2664" s="0" t="n">
        <f aca="false">F2664</f>
        <v>0.25</v>
      </c>
      <c r="L2664" s="0" t="n">
        <f aca="false">G2664</f>
        <v>0.75</v>
      </c>
      <c r="M2664" s="0" t="n">
        <f aca="false">H2664</f>
        <v>0</v>
      </c>
      <c r="N2664" s="0" t="n">
        <f aca="false">E2664*F2664</f>
        <v>-0.0625</v>
      </c>
      <c r="O2664" s="0" t="n">
        <f aca="false">E2664*G2664</f>
        <v>-0.1875</v>
      </c>
      <c r="P2664" s="0" t="n">
        <f aca="false">E2664*H2664</f>
        <v>-0</v>
      </c>
      <c r="Q2664" s="0" t="n">
        <f aca="false">F2664*G2664</f>
        <v>0.1875</v>
      </c>
      <c r="R2664" s="0" t="n">
        <f aca="false">F2664*H2664</f>
        <v>0</v>
      </c>
      <c r="S2664" s="0" t="n">
        <f aca="false">G2664*H2664</f>
        <v>0</v>
      </c>
      <c r="T2664" s="0" t="n">
        <f aca="false">E2664*E2664</f>
        <v>0.0625</v>
      </c>
      <c r="U2664" s="0" t="n">
        <f aca="false">F2664*F2664</f>
        <v>0.0625</v>
      </c>
      <c r="V2664" s="0" t="n">
        <f aca="false">G2664*G2664</f>
        <v>0.5625</v>
      </c>
      <c r="W2664" s="0" t="n">
        <f aca="false">H2664*H2664</f>
        <v>0</v>
      </c>
      <c r="X2664" s="0" t="n">
        <f aca="false">SUMPRODUCT(I2664:W2664,_XtX!$B$96:$P$96)</f>
        <v>48.071084612573</v>
      </c>
      <c r="Y2664" s="0" t="n">
        <f aca="false">SUMPRODUCT(MMULT(I2664:W2664,_XtX!$B$78:$P$92),I2664:W2664)</f>
        <v>0.21135011193348</v>
      </c>
      <c r="Z2664" s="0" t="n">
        <f aca="false">04_回帰ANOVA!$K$19*04_回帰ANOVA!$K$14*SQRT(1+Y2664)</f>
        <v>1.43460795469709</v>
      </c>
      <c r="AA2664" s="0" t="n">
        <f aca="false">X2664-Z2664</f>
        <v>46.636476657876</v>
      </c>
      <c r="AB2664" s="0" t="n">
        <f aca="false">X2664+Z2664</f>
        <v>49.5056925672701</v>
      </c>
      <c r="AC2664" s="54" t="b">
        <f aca="false">AND(E2664&gt;=01_因子設定!$L$5-0.000000001,E2664&lt;=01_因子設定!$M$5+0.000000001,F2664&gt;=01_因子設定!$L$6-0.000000001,F2664&lt;=01_因子設定!$M$6+0.000000001,G2664&gt;=01_因子設定!$L$7-0.000000001,G2664&lt;=01_因子設定!$M$7+0.000000001,H2664&gt;=01_因子設定!$L$8-0.000000001,H2664&lt;=01_因子設定!$M$8+0.000000001,IF(01_因子設定!$B$20="Box-Behnken",E2664^2+F2664^2+G2664^2+H2664^2&lt;=2+0.000000001,TRUE()))</f>
        <v>1</v>
      </c>
      <c r="AD2664" s="55" t="n">
        <f aca="false">IF(AC2664,IF(01_因子設定!$B$13="最大化",AA2664-01_因子設定!$B$14,IF(01_因子設定!$B$13="最小化",01_因子設定!$B$15-AB2664,MIN(AA2664-01_因子設定!$B$14,01_因子設定!$B$15-AB2664))),-1E+030)</f>
        <v>0.136476657875953</v>
      </c>
      <c r="AE2664" s="55" t="n">
        <f aca="false">IF(AC2664,IF(01_因子設定!$B$13="最大化",X2664,IF(01_因子設定!$B$13="最小化",-X2664,-ABS(X2664-01_因子設定!$B$16))),-1E+030)</f>
        <v>48.071084612573</v>
      </c>
      <c r="AF2664" s="55" t="n">
        <f aca="false">AD2664+ROW()*0.000000001</f>
        <v>0.136479321875953</v>
      </c>
      <c r="AG2664" s="55" t="n">
        <f aca="false">AE2664+ROW()*0.000000001</f>
        <v>48.071087276573</v>
      </c>
    </row>
    <row r="2665" customFormat="false" ht="15" hidden="false" customHeight="false" outlineLevel="0" collapsed="false">
      <c r="A2665" s="0" t="n">
        <v>3</v>
      </c>
      <c r="B2665" s="0" t="n">
        <v>5</v>
      </c>
      <c r="C2665" s="0" t="n">
        <v>7</v>
      </c>
      <c r="D2665" s="0" t="n">
        <v>5</v>
      </c>
      <c r="E2665" s="0" t="n">
        <f aca="false">-1+A2665*0.25</f>
        <v>-0.25</v>
      </c>
      <c r="F2665" s="0" t="n">
        <f aca="false">-1+B2665*0.25</f>
        <v>0.25</v>
      </c>
      <c r="G2665" s="0" t="n">
        <f aca="false">-1+C2665*0.25</f>
        <v>0.75</v>
      </c>
      <c r="H2665" s="0" t="n">
        <f aca="false">-1+D2665*0.25</f>
        <v>0.25</v>
      </c>
      <c r="I2665" s="0" t="n">
        <f aca="false">1</f>
        <v>1</v>
      </c>
      <c r="J2665" s="0" t="n">
        <f aca="false">E2665</f>
        <v>-0.25</v>
      </c>
      <c r="K2665" s="0" t="n">
        <f aca="false">F2665</f>
        <v>0.25</v>
      </c>
      <c r="L2665" s="0" t="n">
        <f aca="false">G2665</f>
        <v>0.75</v>
      </c>
      <c r="M2665" s="0" t="n">
        <f aca="false">H2665</f>
        <v>0.25</v>
      </c>
      <c r="N2665" s="0" t="n">
        <f aca="false">E2665*F2665</f>
        <v>-0.0625</v>
      </c>
      <c r="O2665" s="0" t="n">
        <f aca="false">E2665*G2665</f>
        <v>-0.1875</v>
      </c>
      <c r="P2665" s="0" t="n">
        <f aca="false">E2665*H2665</f>
        <v>-0.0625</v>
      </c>
      <c r="Q2665" s="0" t="n">
        <f aca="false">F2665*G2665</f>
        <v>0.1875</v>
      </c>
      <c r="R2665" s="0" t="n">
        <f aca="false">F2665*H2665</f>
        <v>0.0625</v>
      </c>
      <c r="S2665" s="0" t="n">
        <f aca="false">G2665*H2665</f>
        <v>0.1875</v>
      </c>
      <c r="T2665" s="0" t="n">
        <f aca="false">E2665*E2665</f>
        <v>0.0625</v>
      </c>
      <c r="U2665" s="0" t="n">
        <f aca="false">F2665*F2665</f>
        <v>0.0625</v>
      </c>
      <c r="V2665" s="0" t="n">
        <f aca="false">G2665*G2665</f>
        <v>0.5625</v>
      </c>
      <c r="W2665" s="0" t="n">
        <f aca="false">H2665*H2665</f>
        <v>0.0625</v>
      </c>
      <c r="X2665" s="0" t="n">
        <f aca="false">SUMPRODUCT(I2665:W2665,_XtX!$B$96:$P$96)</f>
        <v>48.18138249269</v>
      </c>
      <c r="Y2665" s="0" t="n">
        <f aca="false">SUMPRODUCT(MMULT(I2665:W2665,_XtX!$B$78:$P$92),I2665:W2665)</f>
        <v>0.205926192434211</v>
      </c>
      <c r="Z2665" s="0" t="n">
        <f aca="false">04_回帰ANOVA!$K$19*04_回帰ANOVA!$K$14*SQRT(1+Y2665)</f>
        <v>1.43139256396246</v>
      </c>
      <c r="AA2665" s="0" t="n">
        <f aca="false">X2665-Z2665</f>
        <v>46.7499899287275</v>
      </c>
      <c r="AB2665" s="0" t="n">
        <f aca="false">X2665+Z2665</f>
        <v>49.6127750566525</v>
      </c>
      <c r="AC2665" s="54" t="b">
        <f aca="false">AND(E2665&gt;=01_因子設定!$L$5-0.000000001,E2665&lt;=01_因子設定!$M$5+0.000000001,F2665&gt;=01_因子設定!$L$6-0.000000001,F2665&lt;=01_因子設定!$M$6+0.000000001,G2665&gt;=01_因子設定!$L$7-0.000000001,G2665&lt;=01_因子設定!$M$7+0.000000001,H2665&gt;=01_因子設定!$L$8-0.000000001,H2665&lt;=01_因子設定!$M$8+0.000000001,IF(01_因子設定!$B$20="Box-Behnken",E2665^2+F2665^2+G2665^2+H2665^2&lt;=2+0.000000001,TRUE()))</f>
        <v>1</v>
      </c>
      <c r="AD2665" s="55" t="n">
        <f aca="false">IF(AC2665,IF(01_因子設定!$B$13="最大化",AA2665-01_因子設定!$B$14,IF(01_因子設定!$B$13="最小化",01_因子設定!$B$15-AB2665,MIN(AA2665-01_因子設定!$B$14,01_因子設定!$B$15-AB2665))),-1E+030)</f>
        <v>0.249989928727544</v>
      </c>
      <c r="AE2665" s="55" t="n">
        <f aca="false">IF(AC2665,IF(01_因子設定!$B$13="最大化",X2665,IF(01_因子設定!$B$13="最小化",-X2665,-ABS(X2665-01_因子設定!$B$16))),-1E+030)</f>
        <v>48.18138249269</v>
      </c>
      <c r="AF2665" s="55" t="n">
        <f aca="false">AD2665+ROW()*0.000000001</f>
        <v>0.249992593727544</v>
      </c>
      <c r="AG2665" s="55" t="n">
        <f aca="false">AE2665+ROW()*0.000000001</f>
        <v>48.18138515769</v>
      </c>
    </row>
    <row r="2666" customFormat="false" ht="15" hidden="false" customHeight="false" outlineLevel="0" collapsed="false">
      <c r="A2666" s="0" t="n">
        <v>3</v>
      </c>
      <c r="B2666" s="0" t="n">
        <v>5</v>
      </c>
      <c r="C2666" s="0" t="n">
        <v>7</v>
      </c>
      <c r="D2666" s="0" t="n">
        <v>6</v>
      </c>
      <c r="E2666" s="0" t="n">
        <f aca="false">-1+A2666*0.25</f>
        <v>-0.25</v>
      </c>
      <c r="F2666" s="0" t="n">
        <f aca="false">-1+B2666*0.25</f>
        <v>0.25</v>
      </c>
      <c r="G2666" s="0" t="n">
        <f aca="false">-1+C2666*0.25</f>
        <v>0.75</v>
      </c>
      <c r="H2666" s="0" t="n">
        <f aca="false">-1+D2666*0.25</f>
        <v>0.5</v>
      </c>
      <c r="I2666" s="0" t="n">
        <f aca="false">1</f>
        <v>1</v>
      </c>
      <c r="J2666" s="0" t="n">
        <f aca="false">E2666</f>
        <v>-0.25</v>
      </c>
      <c r="K2666" s="0" t="n">
        <f aca="false">F2666</f>
        <v>0.25</v>
      </c>
      <c r="L2666" s="0" t="n">
        <f aca="false">G2666</f>
        <v>0.75</v>
      </c>
      <c r="M2666" s="0" t="n">
        <f aca="false">H2666</f>
        <v>0.5</v>
      </c>
      <c r="N2666" s="0" t="n">
        <f aca="false">E2666*F2666</f>
        <v>-0.0625</v>
      </c>
      <c r="O2666" s="0" t="n">
        <f aca="false">E2666*G2666</f>
        <v>-0.1875</v>
      </c>
      <c r="P2666" s="0" t="n">
        <f aca="false">E2666*H2666</f>
        <v>-0.125</v>
      </c>
      <c r="Q2666" s="0" t="n">
        <f aca="false">F2666*G2666</f>
        <v>0.1875</v>
      </c>
      <c r="R2666" s="0" t="n">
        <f aca="false">F2666*H2666</f>
        <v>0.125</v>
      </c>
      <c r="S2666" s="0" t="n">
        <f aca="false">G2666*H2666</f>
        <v>0.375</v>
      </c>
      <c r="T2666" s="0" t="n">
        <f aca="false">E2666*E2666</f>
        <v>0.0625</v>
      </c>
      <c r="U2666" s="0" t="n">
        <f aca="false">F2666*F2666</f>
        <v>0.0625</v>
      </c>
      <c r="V2666" s="0" t="n">
        <f aca="false">G2666*G2666</f>
        <v>0.5625</v>
      </c>
      <c r="W2666" s="0" t="n">
        <f aca="false">H2666*H2666</f>
        <v>0.25</v>
      </c>
      <c r="X2666" s="0" t="n">
        <f aca="false">SUMPRODUCT(I2666:W2666,_XtX!$B$96:$P$96)</f>
        <v>48.2438733552631</v>
      </c>
      <c r="Y2666" s="0" t="n">
        <f aca="false">SUMPRODUCT(MMULT(I2666:W2666,_XtX!$B$78:$P$92),I2666:W2666)</f>
        <v>0.207746539199561</v>
      </c>
      <c r="Z2666" s="0" t="n">
        <f aca="false">04_回帰ANOVA!$K$19*04_回帰ANOVA!$K$14*SQRT(1+Y2666)</f>
        <v>1.43247250081141</v>
      </c>
      <c r="AA2666" s="0" t="n">
        <f aca="false">X2666-Z2666</f>
        <v>46.8114008544517</v>
      </c>
      <c r="AB2666" s="0" t="n">
        <f aca="false">X2666+Z2666</f>
        <v>49.6763458560745</v>
      </c>
      <c r="AC2666" s="54" t="b">
        <f aca="false">AND(E2666&gt;=01_因子設定!$L$5-0.000000001,E2666&lt;=01_因子設定!$M$5+0.000000001,F2666&gt;=01_因子設定!$L$6-0.000000001,F2666&lt;=01_因子設定!$M$6+0.000000001,G2666&gt;=01_因子設定!$L$7-0.000000001,G2666&lt;=01_因子設定!$M$7+0.000000001,H2666&gt;=01_因子設定!$L$8-0.000000001,H2666&lt;=01_因子設定!$M$8+0.000000001,IF(01_因子設定!$B$20="Box-Behnken",E2666^2+F2666^2+G2666^2+H2666^2&lt;=2+0.000000001,TRUE()))</f>
        <v>1</v>
      </c>
      <c r="AD2666" s="55" t="n">
        <f aca="false">IF(AC2666,IF(01_因子設定!$B$13="最大化",AA2666-01_因子設定!$B$14,IF(01_因子設定!$B$13="最小化",01_因子設定!$B$15-AB2666,MIN(AA2666-01_因子設定!$B$14,01_因子設定!$B$15-AB2666))),-1E+030)</f>
        <v>0.311400854451705</v>
      </c>
      <c r="AE2666" s="55" t="n">
        <f aca="false">IF(AC2666,IF(01_因子設定!$B$13="最大化",X2666,IF(01_因子設定!$B$13="最小化",-X2666,-ABS(X2666-01_因子設定!$B$16))),-1E+030)</f>
        <v>48.2438733552631</v>
      </c>
      <c r="AF2666" s="55" t="n">
        <f aca="false">AD2666+ROW()*0.000000001</f>
        <v>0.311403520451705</v>
      </c>
      <c r="AG2666" s="55" t="n">
        <f aca="false">AE2666+ROW()*0.000000001</f>
        <v>48.2438760212631</v>
      </c>
    </row>
    <row r="2667" customFormat="false" ht="15" hidden="false" customHeight="false" outlineLevel="0" collapsed="false">
      <c r="A2667" s="0" t="n">
        <v>3</v>
      </c>
      <c r="B2667" s="0" t="n">
        <v>5</v>
      </c>
      <c r="C2667" s="0" t="n">
        <v>7</v>
      </c>
      <c r="D2667" s="0" t="n">
        <v>7</v>
      </c>
      <c r="E2667" s="0" t="n">
        <f aca="false">-1+A2667*0.25</f>
        <v>-0.25</v>
      </c>
      <c r="F2667" s="0" t="n">
        <f aca="false">-1+B2667*0.25</f>
        <v>0.25</v>
      </c>
      <c r="G2667" s="0" t="n">
        <f aca="false">-1+C2667*0.25</f>
        <v>0.75</v>
      </c>
      <c r="H2667" s="0" t="n">
        <f aca="false">-1+D2667*0.25</f>
        <v>0.75</v>
      </c>
      <c r="I2667" s="0" t="n">
        <f aca="false">1</f>
        <v>1</v>
      </c>
      <c r="J2667" s="0" t="n">
        <f aca="false">E2667</f>
        <v>-0.25</v>
      </c>
      <c r="K2667" s="0" t="n">
        <f aca="false">F2667</f>
        <v>0.25</v>
      </c>
      <c r="L2667" s="0" t="n">
        <f aca="false">G2667</f>
        <v>0.75</v>
      </c>
      <c r="M2667" s="0" t="n">
        <f aca="false">H2667</f>
        <v>0.75</v>
      </c>
      <c r="N2667" s="0" t="n">
        <f aca="false">E2667*F2667</f>
        <v>-0.0625</v>
      </c>
      <c r="O2667" s="0" t="n">
        <f aca="false">E2667*G2667</f>
        <v>-0.1875</v>
      </c>
      <c r="P2667" s="0" t="n">
        <f aca="false">E2667*H2667</f>
        <v>-0.1875</v>
      </c>
      <c r="Q2667" s="0" t="n">
        <f aca="false">F2667*G2667</f>
        <v>0.1875</v>
      </c>
      <c r="R2667" s="0" t="n">
        <f aca="false">F2667*H2667</f>
        <v>0.1875</v>
      </c>
      <c r="S2667" s="0" t="n">
        <f aca="false">G2667*H2667</f>
        <v>0.5625</v>
      </c>
      <c r="T2667" s="0" t="n">
        <f aca="false">E2667*E2667</f>
        <v>0.0625</v>
      </c>
      <c r="U2667" s="0" t="n">
        <f aca="false">F2667*F2667</f>
        <v>0.0625</v>
      </c>
      <c r="V2667" s="0" t="n">
        <f aca="false">G2667*G2667</f>
        <v>0.5625</v>
      </c>
      <c r="W2667" s="0" t="n">
        <f aca="false">H2667*H2667</f>
        <v>0.5625</v>
      </c>
      <c r="X2667" s="0" t="n">
        <f aca="false">SUMPRODUCT(I2667:W2667,_XtX!$B$96:$P$96)</f>
        <v>48.2585572002924</v>
      </c>
      <c r="Y2667" s="0" t="n">
        <f aca="false">SUMPRODUCT(MMULT(I2667:W2667,_XtX!$B$78:$P$92),I2667:W2667)</f>
        <v>0.271087468019006</v>
      </c>
      <c r="Z2667" s="0" t="n">
        <f aca="false">04_回帰ANOVA!$K$19*04_回帰ANOVA!$K$14*SQRT(1+Y2667)</f>
        <v>1.46955590155034</v>
      </c>
      <c r="AA2667" s="0" t="n">
        <f aca="false">X2667-Z2667</f>
        <v>46.789001298742</v>
      </c>
      <c r="AB2667" s="0" t="n">
        <f aca="false">X2667+Z2667</f>
        <v>49.7281131018427</v>
      </c>
      <c r="AC2667" s="54" t="b">
        <f aca="false">AND(E2667&gt;=01_因子設定!$L$5-0.000000001,E2667&lt;=01_因子設定!$M$5+0.000000001,F2667&gt;=01_因子設定!$L$6-0.000000001,F2667&lt;=01_因子設定!$M$6+0.000000001,G2667&gt;=01_因子設定!$L$7-0.000000001,G2667&lt;=01_因子設定!$M$7+0.000000001,H2667&gt;=01_因子設定!$L$8-0.000000001,H2667&lt;=01_因子設定!$M$8+0.000000001,IF(01_因子設定!$B$20="Box-Behnken",E2667^2+F2667^2+G2667^2+H2667^2&lt;=2+0.000000001,TRUE()))</f>
        <v>1</v>
      </c>
      <c r="AD2667" s="55" t="n">
        <f aca="false">IF(AC2667,IF(01_因子設定!$B$13="最大化",AA2667-01_因子設定!$B$14,IF(01_因子設定!$B$13="最小化",01_因子設定!$B$15-AB2667,MIN(AA2667-01_因子設定!$B$14,01_因子設定!$B$15-AB2667))),-1E+030)</f>
        <v>0.289001298742015</v>
      </c>
      <c r="AE2667" s="55" t="n">
        <f aca="false">IF(AC2667,IF(01_因子設定!$B$13="最大化",X2667,IF(01_因子設定!$B$13="最小化",-X2667,-ABS(X2667-01_因子設定!$B$16))),-1E+030)</f>
        <v>48.2585572002924</v>
      </c>
      <c r="AF2667" s="55" t="n">
        <f aca="false">AD2667+ROW()*0.000000001</f>
        <v>0.289003965742015</v>
      </c>
      <c r="AG2667" s="55" t="n">
        <f aca="false">AE2667+ROW()*0.000000001</f>
        <v>48.2585598672924</v>
      </c>
    </row>
    <row r="2668" customFormat="false" ht="15" hidden="false" customHeight="false" outlineLevel="0" collapsed="false">
      <c r="A2668" s="0" t="n">
        <v>3</v>
      </c>
      <c r="B2668" s="0" t="n">
        <v>5</v>
      </c>
      <c r="C2668" s="0" t="n">
        <v>7</v>
      </c>
      <c r="D2668" s="0" t="n">
        <v>8</v>
      </c>
      <c r="E2668" s="0" t="n">
        <f aca="false">-1+A2668*0.25</f>
        <v>-0.25</v>
      </c>
      <c r="F2668" s="0" t="n">
        <f aca="false">-1+B2668*0.25</f>
        <v>0.25</v>
      </c>
      <c r="G2668" s="0" t="n">
        <f aca="false">-1+C2668*0.25</f>
        <v>0.75</v>
      </c>
      <c r="H2668" s="0" t="n">
        <f aca="false">-1+D2668*0.25</f>
        <v>1</v>
      </c>
      <c r="I2668" s="0" t="n">
        <f aca="false">1</f>
        <v>1</v>
      </c>
      <c r="J2668" s="0" t="n">
        <f aca="false">E2668</f>
        <v>-0.25</v>
      </c>
      <c r="K2668" s="0" t="n">
        <f aca="false">F2668</f>
        <v>0.25</v>
      </c>
      <c r="L2668" s="0" t="n">
        <f aca="false">G2668</f>
        <v>0.75</v>
      </c>
      <c r="M2668" s="0" t="n">
        <f aca="false">H2668</f>
        <v>1</v>
      </c>
      <c r="N2668" s="0" t="n">
        <f aca="false">E2668*F2668</f>
        <v>-0.0625</v>
      </c>
      <c r="O2668" s="0" t="n">
        <f aca="false">E2668*G2668</f>
        <v>-0.1875</v>
      </c>
      <c r="P2668" s="0" t="n">
        <f aca="false">E2668*H2668</f>
        <v>-0.25</v>
      </c>
      <c r="Q2668" s="0" t="n">
        <f aca="false">F2668*G2668</f>
        <v>0.1875</v>
      </c>
      <c r="R2668" s="0" t="n">
        <f aca="false">F2668*H2668</f>
        <v>0.25</v>
      </c>
      <c r="S2668" s="0" t="n">
        <f aca="false">G2668*H2668</f>
        <v>0.75</v>
      </c>
      <c r="T2668" s="0" t="n">
        <f aca="false">E2668*E2668</f>
        <v>0.0625</v>
      </c>
      <c r="U2668" s="0" t="n">
        <f aca="false">F2668*F2668</f>
        <v>0.0625</v>
      </c>
      <c r="V2668" s="0" t="n">
        <f aca="false">G2668*G2668</f>
        <v>0.5625</v>
      </c>
      <c r="W2668" s="0" t="n">
        <f aca="false">H2668*H2668</f>
        <v>1</v>
      </c>
      <c r="X2668" s="0" t="n">
        <f aca="false">SUMPRODUCT(I2668:W2668,_XtX!$B$96:$P$96)</f>
        <v>48.2254340277778</v>
      </c>
      <c r="Y2668" s="0" t="n">
        <f aca="false">SUMPRODUCT(MMULT(I2668:W2668,_XtX!$B$78:$P$92),I2668:W2668)</f>
        <v>0.486409505208334</v>
      </c>
      <c r="Z2668" s="0" t="n">
        <f aca="false">04_回帰ANOVA!$K$19*04_回帰ANOVA!$K$14*SQRT(1+Y2668)</f>
        <v>1.58916001665498</v>
      </c>
      <c r="AA2668" s="0" t="n">
        <f aca="false">X2668-Z2668</f>
        <v>46.6362740111228</v>
      </c>
      <c r="AB2668" s="0" t="n">
        <f aca="false">X2668+Z2668</f>
        <v>49.8145940444327</v>
      </c>
      <c r="AC2668" s="54" t="b">
        <f aca="false">AND(E2668&gt;=01_因子設定!$L$5-0.000000001,E2668&lt;=01_因子設定!$M$5+0.000000001,F2668&gt;=01_因子設定!$L$6-0.000000001,F2668&lt;=01_因子設定!$M$6+0.000000001,G2668&gt;=01_因子設定!$L$7-0.000000001,G2668&lt;=01_因子設定!$M$7+0.000000001,H2668&gt;=01_因子設定!$L$8-0.000000001,H2668&lt;=01_因子設定!$M$8+0.000000001,IF(01_因子設定!$B$20="Box-Behnken",E2668^2+F2668^2+G2668^2+H2668^2&lt;=2+0.000000001,TRUE()))</f>
        <v>1</v>
      </c>
      <c r="AD2668" s="55" t="n">
        <f aca="false">IF(AC2668,IF(01_因子設定!$B$13="最大化",AA2668-01_因子設定!$B$14,IF(01_因子設定!$B$13="最小化",01_因子設定!$B$15-AB2668,MIN(AA2668-01_因子設定!$B$14,01_因子設定!$B$15-AB2668))),-1E+030)</f>
        <v>0.136274011122779</v>
      </c>
      <c r="AE2668" s="55" t="n">
        <f aca="false">IF(AC2668,IF(01_因子設定!$B$13="最大化",X2668,IF(01_因子設定!$B$13="最小化",-X2668,-ABS(X2668-01_因子設定!$B$16))),-1E+030)</f>
        <v>48.2254340277778</v>
      </c>
      <c r="AF2668" s="55" t="n">
        <f aca="false">AD2668+ROW()*0.000000001</f>
        <v>0.136276679122779</v>
      </c>
      <c r="AG2668" s="55" t="n">
        <f aca="false">AE2668+ROW()*0.000000001</f>
        <v>48.2254366957778</v>
      </c>
    </row>
    <row r="2669" customFormat="false" ht="15" hidden="false" customHeight="false" outlineLevel="0" collapsed="false">
      <c r="A2669" s="0" t="n">
        <v>3</v>
      </c>
      <c r="B2669" s="0" t="n">
        <v>5</v>
      </c>
      <c r="C2669" s="0" t="n">
        <v>8</v>
      </c>
      <c r="D2669" s="0" t="n">
        <v>0</v>
      </c>
      <c r="E2669" s="0" t="n">
        <f aca="false">-1+A2669*0.25</f>
        <v>-0.25</v>
      </c>
      <c r="F2669" s="0" t="n">
        <f aca="false">-1+B2669*0.25</f>
        <v>0.25</v>
      </c>
      <c r="G2669" s="0" t="n">
        <f aca="false">-1+C2669*0.25</f>
        <v>1</v>
      </c>
      <c r="H2669" s="0" t="n">
        <f aca="false">-1+D2669*0.25</f>
        <v>-1</v>
      </c>
      <c r="I2669" s="0" t="n">
        <f aca="false">1</f>
        <v>1</v>
      </c>
      <c r="J2669" s="0" t="n">
        <f aca="false">E2669</f>
        <v>-0.25</v>
      </c>
      <c r="K2669" s="0" t="n">
        <f aca="false">F2669</f>
        <v>0.25</v>
      </c>
      <c r="L2669" s="0" t="n">
        <f aca="false">G2669</f>
        <v>1</v>
      </c>
      <c r="M2669" s="0" t="n">
        <f aca="false">H2669</f>
        <v>-1</v>
      </c>
      <c r="N2669" s="0" t="n">
        <f aca="false">E2669*F2669</f>
        <v>-0.0625</v>
      </c>
      <c r="O2669" s="0" t="n">
        <f aca="false">E2669*G2669</f>
        <v>-0.25</v>
      </c>
      <c r="P2669" s="0" t="n">
        <f aca="false">E2669*H2669</f>
        <v>0.25</v>
      </c>
      <c r="Q2669" s="0" t="n">
        <f aca="false">F2669*G2669</f>
        <v>0.25</v>
      </c>
      <c r="R2669" s="0" t="n">
        <f aca="false">F2669*H2669</f>
        <v>-0.25</v>
      </c>
      <c r="S2669" s="0" t="n">
        <f aca="false">G2669*H2669</f>
        <v>-1</v>
      </c>
      <c r="T2669" s="0" t="n">
        <f aca="false">E2669*E2669</f>
        <v>0.0625</v>
      </c>
      <c r="U2669" s="0" t="n">
        <f aca="false">F2669*F2669</f>
        <v>0.0625</v>
      </c>
      <c r="V2669" s="0" t="n">
        <f aca="false">G2669*G2669</f>
        <v>1</v>
      </c>
      <c r="W2669" s="0" t="n">
        <f aca="false">H2669*H2669</f>
        <v>1</v>
      </c>
      <c r="X2669" s="0" t="n">
        <f aca="false">SUMPRODUCT(I2669:W2669,_XtX!$B$96:$P$96)</f>
        <v>47.0873629385965</v>
      </c>
      <c r="Y2669" s="0" t="n">
        <f aca="false">SUMPRODUCT(MMULT(I2669:W2669,_XtX!$B$78:$P$92),I2669:W2669)</f>
        <v>0.670040376005117</v>
      </c>
      <c r="Z2669" s="0" t="n">
        <f aca="false">04_回帰ANOVA!$K$19*04_回帰ANOVA!$K$14*SQRT(1+Y2669)</f>
        <v>1.68446456039992</v>
      </c>
      <c r="AA2669" s="0" t="n">
        <f aca="false">X2669-Z2669</f>
        <v>45.4028983781966</v>
      </c>
      <c r="AB2669" s="0" t="n">
        <f aca="false">X2669+Z2669</f>
        <v>48.7718274989964</v>
      </c>
      <c r="AC2669" s="54" t="b">
        <f aca="false">AND(E2669&gt;=01_因子設定!$L$5-0.000000001,E2669&lt;=01_因子設定!$M$5+0.000000001,F2669&gt;=01_因子設定!$L$6-0.000000001,F2669&lt;=01_因子設定!$M$6+0.000000001,G2669&gt;=01_因子設定!$L$7-0.000000001,G2669&lt;=01_因子設定!$M$7+0.000000001,H2669&gt;=01_因子設定!$L$8-0.000000001,H2669&lt;=01_因子設定!$M$8+0.000000001,IF(01_因子設定!$B$20="Box-Behnken",E2669^2+F2669^2+G2669^2+H2669^2&lt;=2+0.000000001,TRUE()))</f>
        <v>1</v>
      </c>
      <c r="AD2669" s="55" t="n">
        <f aca="false">IF(AC2669,IF(01_因子設定!$B$13="最大化",AA2669-01_因子設定!$B$14,IF(01_因子設定!$B$13="最小化",01_因子設定!$B$15-AB2669,MIN(AA2669-01_因子設定!$B$14,01_因子設定!$B$15-AB2669))),-1E+030)</f>
        <v>-1.09710162180344</v>
      </c>
      <c r="AE2669" s="55" t="n">
        <f aca="false">IF(AC2669,IF(01_因子設定!$B$13="最大化",X2669,IF(01_因子設定!$B$13="最小化",-X2669,-ABS(X2669-01_因子設定!$B$16))),-1E+030)</f>
        <v>47.0873629385965</v>
      </c>
      <c r="AF2669" s="55" t="n">
        <f aca="false">AD2669+ROW()*0.000000001</f>
        <v>-1.09709895280344</v>
      </c>
      <c r="AG2669" s="55" t="n">
        <f aca="false">AE2669+ROW()*0.000000001</f>
        <v>47.0873656075965</v>
      </c>
    </row>
    <row r="2670" customFormat="false" ht="15" hidden="false" customHeight="false" outlineLevel="0" collapsed="false">
      <c r="A2670" s="0" t="n">
        <v>3</v>
      </c>
      <c r="B2670" s="0" t="n">
        <v>5</v>
      </c>
      <c r="C2670" s="0" t="n">
        <v>8</v>
      </c>
      <c r="D2670" s="0" t="n">
        <v>1</v>
      </c>
      <c r="E2670" s="0" t="n">
        <f aca="false">-1+A2670*0.25</f>
        <v>-0.25</v>
      </c>
      <c r="F2670" s="0" t="n">
        <f aca="false">-1+B2670*0.25</f>
        <v>0.25</v>
      </c>
      <c r="G2670" s="0" t="n">
        <f aca="false">-1+C2670*0.25</f>
        <v>1</v>
      </c>
      <c r="H2670" s="0" t="n">
        <f aca="false">-1+D2670*0.25</f>
        <v>-0.75</v>
      </c>
      <c r="I2670" s="0" t="n">
        <f aca="false">1</f>
        <v>1</v>
      </c>
      <c r="J2670" s="0" t="n">
        <f aca="false">E2670</f>
        <v>-0.25</v>
      </c>
      <c r="K2670" s="0" t="n">
        <f aca="false">F2670</f>
        <v>0.25</v>
      </c>
      <c r="L2670" s="0" t="n">
        <f aca="false">G2670</f>
        <v>1</v>
      </c>
      <c r="M2670" s="0" t="n">
        <f aca="false">H2670</f>
        <v>-0.75</v>
      </c>
      <c r="N2670" s="0" t="n">
        <f aca="false">E2670*F2670</f>
        <v>-0.0625</v>
      </c>
      <c r="O2670" s="0" t="n">
        <f aca="false">E2670*G2670</f>
        <v>-0.25</v>
      </c>
      <c r="P2670" s="0" t="n">
        <f aca="false">E2670*H2670</f>
        <v>0.1875</v>
      </c>
      <c r="Q2670" s="0" t="n">
        <f aca="false">F2670*G2670</f>
        <v>0.25</v>
      </c>
      <c r="R2670" s="0" t="n">
        <f aca="false">F2670*H2670</f>
        <v>-0.1875</v>
      </c>
      <c r="S2670" s="0" t="n">
        <f aca="false">G2670*H2670</f>
        <v>-0.75</v>
      </c>
      <c r="T2670" s="0" t="n">
        <f aca="false">E2670*E2670</f>
        <v>0.0625</v>
      </c>
      <c r="U2670" s="0" t="n">
        <f aca="false">F2670*F2670</f>
        <v>0.0625</v>
      </c>
      <c r="V2670" s="0" t="n">
        <f aca="false">G2670*G2670</f>
        <v>1</v>
      </c>
      <c r="W2670" s="0" t="n">
        <f aca="false">H2670*H2670</f>
        <v>0.5625</v>
      </c>
      <c r="X2670" s="0" t="n">
        <f aca="false">SUMPRODUCT(I2670:W2670,_XtX!$B$96:$P$96)</f>
        <v>47.4068576388889</v>
      </c>
      <c r="Y2670" s="0" t="n">
        <f aca="false">SUMPRODUCT(MMULT(I2670:W2670,_XtX!$B$78:$P$92),I2670:W2670)</f>
        <v>0.486409505208334</v>
      </c>
      <c r="Z2670" s="0" t="n">
        <f aca="false">04_回帰ANOVA!$K$19*04_回帰ANOVA!$K$14*SQRT(1+Y2670)</f>
        <v>1.58916001665498</v>
      </c>
      <c r="AA2670" s="0" t="n">
        <f aca="false">X2670-Z2670</f>
        <v>45.8176976222339</v>
      </c>
      <c r="AB2670" s="0" t="n">
        <f aca="false">X2670+Z2670</f>
        <v>48.9960176555438</v>
      </c>
      <c r="AC2670" s="54" t="b">
        <f aca="false">AND(E2670&gt;=01_因子設定!$L$5-0.000000001,E2670&lt;=01_因子設定!$M$5+0.000000001,F2670&gt;=01_因子設定!$L$6-0.000000001,F2670&lt;=01_因子設定!$M$6+0.000000001,G2670&gt;=01_因子設定!$L$7-0.000000001,G2670&lt;=01_因子設定!$M$7+0.000000001,H2670&gt;=01_因子設定!$L$8-0.000000001,H2670&lt;=01_因子設定!$M$8+0.000000001,IF(01_因子設定!$B$20="Box-Behnken",E2670^2+F2670^2+G2670^2+H2670^2&lt;=2+0.000000001,TRUE()))</f>
        <v>1</v>
      </c>
      <c r="AD2670" s="55" t="n">
        <f aca="false">IF(AC2670,IF(01_因子設定!$B$13="最大化",AA2670-01_因子設定!$B$14,IF(01_因子設定!$B$13="最小化",01_因子設定!$B$15-AB2670,MIN(AA2670-01_因子設定!$B$14,01_因子設定!$B$15-AB2670))),-1E+030)</f>
        <v>-0.682302377766121</v>
      </c>
      <c r="AE2670" s="55" t="n">
        <f aca="false">IF(AC2670,IF(01_因子設定!$B$13="最大化",X2670,IF(01_因子設定!$B$13="最小化",-X2670,-ABS(X2670-01_因子設定!$B$16))),-1E+030)</f>
        <v>47.4068576388889</v>
      </c>
      <c r="AF2670" s="55" t="n">
        <f aca="false">AD2670+ROW()*0.000000001</f>
        <v>-0.682299707766121</v>
      </c>
      <c r="AG2670" s="55" t="n">
        <f aca="false">AE2670+ROW()*0.000000001</f>
        <v>47.4068603088889</v>
      </c>
    </row>
    <row r="2671" customFormat="false" ht="15" hidden="false" customHeight="false" outlineLevel="0" collapsed="false">
      <c r="A2671" s="0" t="n">
        <v>3</v>
      </c>
      <c r="B2671" s="0" t="n">
        <v>5</v>
      </c>
      <c r="C2671" s="0" t="n">
        <v>8</v>
      </c>
      <c r="D2671" s="0" t="n">
        <v>2</v>
      </c>
      <c r="E2671" s="0" t="n">
        <f aca="false">-1+A2671*0.25</f>
        <v>-0.25</v>
      </c>
      <c r="F2671" s="0" t="n">
        <f aca="false">-1+B2671*0.25</f>
        <v>0.25</v>
      </c>
      <c r="G2671" s="0" t="n">
        <f aca="false">-1+C2671*0.25</f>
        <v>1</v>
      </c>
      <c r="H2671" s="0" t="n">
        <f aca="false">-1+D2671*0.25</f>
        <v>-0.5</v>
      </c>
      <c r="I2671" s="0" t="n">
        <f aca="false">1</f>
        <v>1</v>
      </c>
      <c r="J2671" s="0" t="n">
        <f aca="false">E2671</f>
        <v>-0.25</v>
      </c>
      <c r="K2671" s="0" t="n">
        <f aca="false">F2671</f>
        <v>0.25</v>
      </c>
      <c r="L2671" s="0" t="n">
        <f aca="false">G2671</f>
        <v>1</v>
      </c>
      <c r="M2671" s="0" t="n">
        <f aca="false">H2671</f>
        <v>-0.5</v>
      </c>
      <c r="N2671" s="0" t="n">
        <f aca="false">E2671*F2671</f>
        <v>-0.0625</v>
      </c>
      <c r="O2671" s="0" t="n">
        <f aca="false">E2671*G2671</f>
        <v>-0.25</v>
      </c>
      <c r="P2671" s="0" t="n">
        <f aca="false">E2671*H2671</f>
        <v>0.125</v>
      </c>
      <c r="Q2671" s="0" t="n">
        <f aca="false">F2671*G2671</f>
        <v>0.25</v>
      </c>
      <c r="R2671" s="0" t="n">
        <f aca="false">F2671*H2671</f>
        <v>-0.125</v>
      </c>
      <c r="S2671" s="0" t="n">
        <f aca="false">G2671*H2671</f>
        <v>-0.5</v>
      </c>
      <c r="T2671" s="0" t="n">
        <f aca="false">E2671*E2671</f>
        <v>0.0625</v>
      </c>
      <c r="U2671" s="0" t="n">
        <f aca="false">F2671*F2671</f>
        <v>0.0625</v>
      </c>
      <c r="V2671" s="0" t="n">
        <f aca="false">G2671*G2671</f>
        <v>1</v>
      </c>
      <c r="W2671" s="0" t="n">
        <f aca="false">H2671*H2671</f>
        <v>0.25</v>
      </c>
      <c r="X2671" s="0" t="n">
        <f aca="false">SUMPRODUCT(I2671:W2671,_XtX!$B$96:$P$96)</f>
        <v>47.6785453216374</v>
      </c>
      <c r="Y2671" s="0" t="n">
        <f aca="false">SUMPRODUCT(MMULT(I2671:W2671,_XtX!$B$78:$P$92),I2671:W2671)</f>
        <v>0.445705123812135</v>
      </c>
      <c r="Z2671" s="0" t="n">
        <f aca="false">04_回帰ANOVA!$K$19*04_回帰ANOVA!$K$14*SQRT(1+Y2671)</f>
        <v>1.56724990734749</v>
      </c>
      <c r="AA2671" s="0" t="n">
        <f aca="false">X2671-Z2671</f>
        <v>46.1112954142899</v>
      </c>
      <c r="AB2671" s="0" t="n">
        <f aca="false">X2671+Z2671</f>
        <v>49.2457952289849</v>
      </c>
      <c r="AC2671" s="54" t="b">
        <f aca="false">AND(E2671&gt;=01_因子設定!$L$5-0.000000001,E2671&lt;=01_因子設定!$M$5+0.000000001,F2671&gt;=01_因子設定!$L$6-0.000000001,F2671&lt;=01_因子設定!$M$6+0.000000001,G2671&gt;=01_因子設定!$L$7-0.000000001,G2671&lt;=01_因子設定!$M$7+0.000000001,H2671&gt;=01_因子設定!$L$8-0.000000001,H2671&lt;=01_因子設定!$M$8+0.000000001,IF(01_因子設定!$B$20="Box-Behnken",E2671^2+F2671^2+G2671^2+H2671^2&lt;=2+0.000000001,TRUE()))</f>
        <v>1</v>
      </c>
      <c r="AD2671" s="55" t="n">
        <f aca="false">IF(AC2671,IF(01_因子設定!$B$13="最大化",AA2671-01_因子設定!$B$14,IF(01_因子設定!$B$13="最小化",01_因子設定!$B$15-AB2671,MIN(AA2671-01_因子設定!$B$14,01_因子設定!$B$15-AB2671))),-1E+030)</f>
        <v>-0.388704585710109</v>
      </c>
      <c r="AE2671" s="55" t="n">
        <f aca="false">IF(AC2671,IF(01_因子設定!$B$13="最大化",X2671,IF(01_因子設定!$B$13="最小化",-X2671,-ABS(X2671-01_因子設定!$B$16))),-1E+030)</f>
        <v>47.6785453216374</v>
      </c>
      <c r="AF2671" s="55" t="n">
        <f aca="false">AD2671+ROW()*0.000000001</f>
        <v>-0.388701914710109</v>
      </c>
      <c r="AG2671" s="55" t="n">
        <f aca="false">AE2671+ROW()*0.000000001</f>
        <v>47.6785479926374</v>
      </c>
    </row>
    <row r="2672" customFormat="false" ht="15" hidden="false" customHeight="false" outlineLevel="0" collapsed="false">
      <c r="A2672" s="0" t="n">
        <v>3</v>
      </c>
      <c r="B2672" s="0" t="n">
        <v>5</v>
      </c>
      <c r="C2672" s="0" t="n">
        <v>8</v>
      </c>
      <c r="D2672" s="0" t="n">
        <v>3</v>
      </c>
      <c r="E2672" s="0" t="n">
        <f aca="false">-1+A2672*0.25</f>
        <v>-0.25</v>
      </c>
      <c r="F2672" s="0" t="n">
        <f aca="false">-1+B2672*0.25</f>
        <v>0.25</v>
      </c>
      <c r="G2672" s="0" t="n">
        <f aca="false">-1+C2672*0.25</f>
        <v>1</v>
      </c>
      <c r="H2672" s="0" t="n">
        <f aca="false">-1+D2672*0.25</f>
        <v>-0.25</v>
      </c>
      <c r="I2672" s="0" t="n">
        <f aca="false">1</f>
        <v>1</v>
      </c>
      <c r="J2672" s="0" t="n">
        <f aca="false">E2672</f>
        <v>-0.25</v>
      </c>
      <c r="K2672" s="0" t="n">
        <f aca="false">F2672</f>
        <v>0.25</v>
      </c>
      <c r="L2672" s="0" t="n">
        <f aca="false">G2672</f>
        <v>1</v>
      </c>
      <c r="M2672" s="0" t="n">
        <f aca="false">H2672</f>
        <v>-0.25</v>
      </c>
      <c r="N2672" s="0" t="n">
        <f aca="false">E2672*F2672</f>
        <v>-0.0625</v>
      </c>
      <c r="O2672" s="0" t="n">
        <f aca="false">E2672*G2672</f>
        <v>-0.25</v>
      </c>
      <c r="P2672" s="0" t="n">
        <f aca="false">E2672*H2672</f>
        <v>0.0625</v>
      </c>
      <c r="Q2672" s="0" t="n">
        <f aca="false">F2672*G2672</f>
        <v>0.25</v>
      </c>
      <c r="R2672" s="0" t="n">
        <f aca="false">F2672*H2672</f>
        <v>-0.0625</v>
      </c>
      <c r="S2672" s="0" t="n">
        <f aca="false">G2672*H2672</f>
        <v>-0.25</v>
      </c>
      <c r="T2672" s="0" t="n">
        <f aca="false">E2672*E2672</f>
        <v>0.0625</v>
      </c>
      <c r="U2672" s="0" t="n">
        <f aca="false">F2672*F2672</f>
        <v>0.0625</v>
      </c>
      <c r="V2672" s="0" t="n">
        <f aca="false">G2672*G2672</f>
        <v>1</v>
      </c>
      <c r="W2672" s="0" t="n">
        <f aca="false">H2672*H2672</f>
        <v>0.0625</v>
      </c>
      <c r="X2672" s="0" t="n">
        <f aca="false">SUMPRODUCT(I2672:W2672,_XtX!$B$96:$P$96)</f>
        <v>47.9024259868421</v>
      </c>
      <c r="Y2672" s="0" t="n">
        <f aca="false">SUMPRODUCT(MMULT(I2672:W2672,_XtX!$B$78:$P$92),I2672:W2672)</f>
        <v>0.457466705500731</v>
      </c>
      <c r="Z2672" s="0" t="n">
        <f aca="false">04_回帰ANOVA!$K$19*04_回帰ANOVA!$K$14*SQRT(1+Y2672)</f>
        <v>1.57361220003999</v>
      </c>
      <c r="AA2672" s="0" t="n">
        <f aca="false">X2672-Z2672</f>
        <v>46.3288137868021</v>
      </c>
      <c r="AB2672" s="0" t="n">
        <f aca="false">X2672+Z2672</f>
        <v>49.4760381868821</v>
      </c>
      <c r="AC2672" s="54" t="b">
        <f aca="false">AND(E2672&gt;=01_因子設定!$L$5-0.000000001,E2672&lt;=01_因子設定!$M$5+0.000000001,F2672&gt;=01_因子設定!$L$6-0.000000001,F2672&lt;=01_因子設定!$M$6+0.000000001,G2672&gt;=01_因子設定!$L$7-0.000000001,G2672&lt;=01_因子設定!$M$7+0.000000001,H2672&gt;=01_因子設定!$L$8-0.000000001,H2672&lt;=01_因子設定!$M$8+0.000000001,IF(01_因子設定!$B$20="Box-Behnken",E2672^2+F2672^2+G2672^2+H2672^2&lt;=2+0.000000001,TRUE()))</f>
        <v>1</v>
      </c>
      <c r="AD2672" s="55" t="n">
        <f aca="false">IF(AC2672,IF(01_因子設定!$B$13="最大化",AA2672-01_因子設定!$B$14,IF(01_因子設定!$B$13="最小化",01_因子設定!$B$15-AB2672,MIN(AA2672-01_因子設定!$B$14,01_因子設定!$B$15-AB2672))),-1E+030)</f>
        <v>-0.171186213197942</v>
      </c>
      <c r="AE2672" s="55" t="n">
        <f aca="false">IF(AC2672,IF(01_因子設定!$B$13="最大化",X2672,IF(01_因子設定!$B$13="最小化",-X2672,-ABS(X2672-01_因子設定!$B$16))),-1E+030)</f>
        <v>47.9024259868421</v>
      </c>
      <c r="AF2672" s="55" t="n">
        <f aca="false">AD2672+ROW()*0.000000001</f>
        <v>-0.171183541197942</v>
      </c>
      <c r="AG2672" s="55" t="n">
        <f aca="false">AE2672+ROW()*0.000000001</f>
        <v>47.9024286588421</v>
      </c>
    </row>
    <row r="2673" customFormat="false" ht="15" hidden="false" customHeight="false" outlineLevel="0" collapsed="false">
      <c r="A2673" s="0" t="n">
        <v>3</v>
      </c>
      <c r="B2673" s="0" t="n">
        <v>5</v>
      </c>
      <c r="C2673" s="0" t="n">
        <v>8</v>
      </c>
      <c r="D2673" s="0" t="n">
        <v>4</v>
      </c>
      <c r="E2673" s="0" t="n">
        <f aca="false">-1+A2673*0.25</f>
        <v>-0.25</v>
      </c>
      <c r="F2673" s="0" t="n">
        <f aca="false">-1+B2673*0.25</f>
        <v>0.25</v>
      </c>
      <c r="G2673" s="0" t="n">
        <f aca="false">-1+C2673*0.25</f>
        <v>1</v>
      </c>
      <c r="H2673" s="0" t="n">
        <f aca="false">-1+D2673*0.25</f>
        <v>0</v>
      </c>
      <c r="I2673" s="0" t="n">
        <f aca="false">1</f>
        <v>1</v>
      </c>
      <c r="J2673" s="0" t="n">
        <f aca="false">E2673</f>
        <v>-0.25</v>
      </c>
      <c r="K2673" s="0" t="n">
        <f aca="false">F2673</f>
        <v>0.25</v>
      </c>
      <c r="L2673" s="0" t="n">
        <f aca="false">G2673</f>
        <v>1</v>
      </c>
      <c r="M2673" s="0" t="n">
        <f aca="false">H2673</f>
        <v>0</v>
      </c>
      <c r="N2673" s="0" t="n">
        <f aca="false">E2673*F2673</f>
        <v>-0.0625</v>
      </c>
      <c r="O2673" s="0" t="n">
        <f aca="false">E2673*G2673</f>
        <v>-0.25</v>
      </c>
      <c r="P2673" s="0" t="n">
        <f aca="false">E2673*H2673</f>
        <v>-0</v>
      </c>
      <c r="Q2673" s="0" t="n">
        <f aca="false">F2673*G2673</f>
        <v>0.25</v>
      </c>
      <c r="R2673" s="0" t="n">
        <f aca="false">F2673*H2673</f>
        <v>0</v>
      </c>
      <c r="S2673" s="0" t="n">
        <f aca="false">G2673*H2673</f>
        <v>0</v>
      </c>
      <c r="T2673" s="0" t="n">
        <f aca="false">E2673*E2673</f>
        <v>0.0625</v>
      </c>
      <c r="U2673" s="0" t="n">
        <f aca="false">F2673*F2673</f>
        <v>0.0625</v>
      </c>
      <c r="V2673" s="0" t="n">
        <f aca="false">G2673*G2673</f>
        <v>1</v>
      </c>
      <c r="W2673" s="0" t="n">
        <f aca="false">H2673*H2673</f>
        <v>0</v>
      </c>
      <c r="X2673" s="0" t="n">
        <f aca="false">SUMPRODUCT(I2673:W2673,_XtX!$B$96:$P$96)</f>
        <v>48.0784996345029</v>
      </c>
      <c r="Y2673" s="0" t="n">
        <f aca="false">SUMPRODUCT(MMULT(I2673:W2673,_XtX!$B$78:$P$92),I2673:W2673)</f>
        <v>0.467417934484649</v>
      </c>
      <c r="Z2673" s="0" t="n">
        <f aca="false">04_回帰ANOVA!$K$19*04_回帰ANOVA!$K$14*SQRT(1+Y2673)</f>
        <v>1.57897518244497</v>
      </c>
      <c r="AA2673" s="0" t="n">
        <f aca="false">X2673-Z2673</f>
        <v>46.4995244520579</v>
      </c>
      <c r="AB2673" s="0" t="n">
        <f aca="false">X2673+Z2673</f>
        <v>49.6574748169478</v>
      </c>
      <c r="AC2673" s="54" t="b">
        <f aca="false">AND(E2673&gt;=01_因子設定!$L$5-0.000000001,E2673&lt;=01_因子設定!$M$5+0.000000001,F2673&gt;=01_因子設定!$L$6-0.000000001,F2673&lt;=01_因子設定!$M$6+0.000000001,G2673&gt;=01_因子設定!$L$7-0.000000001,G2673&lt;=01_因子設定!$M$7+0.000000001,H2673&gt;=01_因子設定!$L$8-0.000000001,H2673&lt;=01_因子設定!$M$8+0.000000001,IF(01_因子設定!$B$20="Box-Behnken",E2673^2+F2673^2+G2673^2+H2673^2&lt;=2+0.000000001,TRUE()))</f>
        <v>1</v>
      </c>
      <c r="AD2673" s="55" t="n">
        <f aca="false">IF(AC2673,IF(01_因子設定!$B$13="最大化",AA2673-01_因子設定!$B$14,IF(01_因子設定!$B$13="最小化",01_因子設定!$B$15-AB2673,MIN(AA2673-01_因子設定!$B$14,01_因子設定!$B$15-AB2673))),-1E+030)</f>
        <v>-0.000475547942102139</v>
      </c>
      <c r="AE2673" s="55" t="n">
        <f aca="false">IF(AC2673,IF(01_因子設定!$B$13="最大化",X2673,IF(01_因子設定!$B$13="最小化",-X2673,-ABS(X2673-01_因子設定!$B$16))),-1E+030)</f>
        <v>48.0784996345029</v>
      </c>
      <c r="AF2673" s="55" t="n">
        <f aca="false">AD2673+ROW()*0.000000001</f>
        <v>-0.000472874942102139</v>
      </c>
      <c r="AG2673" s="55" t="n">
        <f aca="false">AE2673+ROW()*0.000000001</f>
        <v>48.0785023075029</v>
      </c>
    </row>
    <row r="2674" customFormat="false" ht="15" hidden="false" customHeight="false" outlineLevel="0" collapsed="false">
      <c r="A2674" s="0" t="n">
        <v>3</v>
      </c>
      <c r="B2674" s="0" t="n">
        <v>5</v>
      </c>
      <c r="C2674" s="0" t="n">
        <v>8</v>
      </c>
      <c r="D2674" s="0" t="n">
        <v>5</v>
      </c>
      <c r="E2674" s="0" t="n">
        <f aca="false">-1+A2674*0.25</f>
        <v>-0.25</v>
      </c>
      <c r="F2674" s="0" t="n">
        <f aca="false">-1+B2674*0.25</f>
        <v>0.25</v>
      </c>
      <c r="G2674" s="0" t="n">
        <f aca="false">-1+C2674*0.25</f>
        <v>1</v>
      </c>
      <c r="H2674" s="0" t="n">
        <f aca="false">-1+D2674*0.25</f>
        <v>0.25</v>
      </c>
      <c r="I2674" s="0" t="n">
        <f aca="false">1</f>
        <v>1</v>
      </c>
      <c r="J2674" s="0" t="n">
        <f aca="false">E2674</f>
        <v>-0.25</v>
      </c>
      <c r="K2674" s="0" t="n">
        <f aca="false">F2674</f>
        <v>0.25</v>
      </c>
      <c r="L2674" s="0" t="n">
        <f aca="false">G2674</f>
        <v>1</v>
      </c>
      <c r="M2674" s="0" t="n">
        <f aca="false">H2674</f>
        <v>0.25</v>
      </c>
      <c r="N2674" s="0" t="n">
        <f aca="false">E2674*F2674</f>
        <v>-0.0625</v>
      </c>
      <c r="O2674" s="0" t="n">
        <f aca="false">E2674*G2674</f>
        <v>-0.25</v>
      </c>
      <c r="P2674" s="0" t="n">
        <f aca="false">E2674*H2674</f>
        <v>-0.0625</v>
      </c>
      <c r="Q2674" s="0" t="n">
        <f aca="false">F2674*G2674</f>
        <v>0.25</v>
      </c>
      <c r="R2674" s="0" t="n">
        <f aca="false">F2674*H2674</f>
        <v>0.0625</v>
      </c>
      <c r="S2674" s="0" t="n">
        <f aca="false">G2674*H2674</f>
        <v>0.25</v>
      </c>
      <c r="T2674" s="0" t="n">
        <f aca="false">E2674*E2674</f>
        <v>0.0625</v>
      </c>
      <c r="U2674" s="0" t="n">
        <f aca="false">F2674*F2674</f>
        <v>0.0625</v>
      </c>
      <c r="V2674" s="0" t="n">
        <f aca="false">G2674*G2674</f>
        <v>1</v>
      </c>
      <c r="W2674" s="0" t="n">
        <f aca="false">H2674*H2674</f>
        <v>0.0625</v>
      </c>
      <c r="X2674" s="0" t="n">
        <f aca="false">SUMPRODUCT(I2674:W2674,_XtX!$B$96:$P$96)</f>
        <v>48.2067662646198</v>
      </c>
      <c r="Y2674" s="0" t="n">
        <f aca="false">SUMPRODUCT(MMULT(I2674:W2674,_XtX!$B$78:$P$92),I2674:W2674)</f>
        <v>0.457466705500731</v>
      </c>
      <c r="Z2674" s="0" t="n">
        <f aca="false">04_回帰ANOVA!$K$19*04_回帰ANOVA!$K$14*SQRT(1+Y2674)</f>
        <v>1.57361220003999</v>
      </c>
      <c r="AA2674" s="0" t="n">
        <f aca="false">X2674-Z2674</f>
        <v>46.6331540645798</v>
      </c>
      <c r="AB2674" s="0" t="n">
        <f aca="false">X2674+Z2674</f>
        <v>49.7803784646598</v>
      </c>
      <c r="AC2674" s="54" t="b">
        <f aca="false">AND(E2674&gt;=01_因子設定!$L$5-0.000000001,E2674&lt;=01_因子設定!$M$5+0.000000001,F2674&gt;=01_因子設定!$L$6-0.000000001,F2674&lt;=01_因子設定!$M$6+0.000000001,G2674&gt;=01_因子設定!$L$7-0.000000001,G2674&lt;=01_因子設定!$M$7+0.000000001,H2674&gt;=01_因子設定!$L$8-0.000000001,H2674&lt;=01_因子設定!$M$8+0.000000001,IF(01_因子設定!$B$20="Box-Behnken",E2674^2+F2674^2+G2674^2+H2674^2&lt;=2+0.000000001,TRUE()))</f>
        <v>1</v>
      </c>
      <c r="AD2674" s="55" t="n">
        <f aca="false">IF(AC2674,IF(01_因子設定!$B$13="最大化",AA2674-01_因子設定!$B$14,IF(01_因子設定!$B$13="最小化",01_因子設定!$B$15-AB2674,MIN(AA2674-01_因子設定!$B$14,01_因子設定!$B$15-AB2674))),-1E+030)</f>
        <v>0.133154064579834</v>
      </c>
      <c r="AE2674" s="55" t="n">
        <f aca="false">IF(AC2674,IF(01_因子設定!$B$13="最大化",X2674,IF(01_因子設定!$B$13="最小化",-X2674,-ABS(X2674-01_因子設定!$B$16))),-1E+030)</f>
        <v>48.2067662646198</v>
      </c>
      <c r="AF2674" s="55" t="n">
        <f aca="false">AD2674+ROW()*0.000000001</f>
        <v>0.133156738579834</v>
      </c>
      <c r="AG2674" s="55" t="n">
        <f aca="false">AE2674+ROW()*0.000000001</f>
        <v>48.2067689386198</v>
      </c>
    </row>
    <row r="2675" customFormat="false" ht="15" hidden="false" customHeight="false" outlineLevel="0" collapsed="false">
      <c r="A2675" s="0" t="n">
        <v>3</v>
      </c>
      <c r="B2675" s="0" t="n">
        <v>5</v>
      </c>
      <c r="C2675" s="0" t="n">
        <v>8</v>
      </c>
      <c r="D2675" s="0" t="n">
        <v>6</v>
      </c>
      <c r="E2675" s="0" t="n">
        <f aca="false">-1+A2675*0.25</f>
        <v>-0.25</v>
      </c>
      <c r="F2675" s="0" t="n">
        <f aca="false">-1+B2675*0.25</f>
        <v>0.25</v>
      </c>
      <c r="G2675" s="0" t="n">
        <f aca="false">-1+C2675*0.25</f>
        <v>1</v>
      </c>
      <c r="H2675" s="0" t="n">
        <f aca="false">-1+D2675*0.25</f>
        <v>0.5</v>
      </c>
      <c r="I2675" s="0" t="n">
        <f aca="false">1</f>
        <v>1</v>
      </c>
      <c r="J2675" s="0" t="n">
        <f aca="false">E2675</f>
        <v>-0.25</v>
      </c>
      <c r="K2675" s="0" t="n">
        <f aca="false">F2675</f>
        <v>0.25</v>
      </c>
      <c r="L2675" s="0" t="n">
        <f aca="false">G2675</f>
        <v>1</v>
      </c>
      <c r="M2675" s="0" t="n">
        <f aca="false">H2675</f>
        <v>0.5</v>
      </c>
      <c r="N2675" s="0" t="n">
        <f aca="false">E2675*F2675</f>
        <v>-0.0625</v>
      </c>
      <c r="O2675" s="0" t="n">
        <f aca="false">E2675*G2675</f>
        <v>-0.25</v>
      </c>
      <c r="P2675" s="0" t="n">
        <f aca="false">E2675*H2675</f>
        <v>-0.125</v>
      </c>
      <c r="Q2675" s="0" t="n">
        <f aca="false">F2675*G2675</f>
        <v>0.25</v>
      </c>
      <c r="R2675" s="0" t="n">
        <f aca="false">F2675*H2675</f>
        <v>0.125</v>
      </c>
      <c r="S2675" s="0" t="n">
        <f aca="false">G2675*H2675</f>
        <v>0.5</v>
      </c>
      <c r="T2675" s="0" t="n">
        <f aca="false">E2675*E2675</f>
        <v>0.0625</v>
      </c>
      <c r="U2675" s="0" t="n">
        <f aca="false">F2675*F2675</f>
        <v>0.0625</v>
      </c>
      <c r="V2675" s="0" t="n">
        <f aca="false">G2675*G2675</f>
        <v>1</v>
      </c>
      <c r="W2675" s="0" t="n">
        <f aca="false">H2675*H2675</f>
        <v>0.25</v>
      </c>
      <c r="X2675" s="0" t="n">
        <f aca="false">SUMPRODUCT(I2675:W2675,_XtX!$B$96:$P$96)</f>
        <v>48.2872258771929</v>
      </c>
      <c r="Y2675" s="0" t="n">
        <f aca="false">SUMPRODUCT(MMULT(I2675:W2675,_XtX!$B$78:$P$92),I2675:W2675)</f>
        <v>0.445705123812135</v>
      </c>
      <c r="Z2675" s="0" t="n">
        <f aca="false">04_回帰ANOVA!$K$19*04_回帰ANOVA!$K$14*SQRT(1+Y2675)</f>
        <v>1.56724990734749</v>
      </c>
      <c r="AA2675" s="0" t="n">
        <f aca="false">X2675-Z2675</f>
        <v>46.7199759698455</v>
      </c>
      <c r="AB2675" s="0" t="n">
        <f aca="false">X2675+Z2675</f>
        <v>49.8544757845404</v>
      </c>
      <c r="AC2675" s="54" t="b">
        <f aca="false">AND(E2675&gt;=01_因子設定!$L$5-0.000000001,E2675&lt;=01_因子設定!$M$5+0.000000001,F2675&gt;=01_因子設定!$L$6-0.000000001,F2675&lt;=01_因子設定!$M$6+0.000000001,G2675&gt;=01_因子設定!$L$7-0.000000001,G2675&lt;=01_因子設定!$M$7+0.000000001,H2675&gt;=01_因子設定!$L$8-0.000000001,H2675&lt;=01_因子設定!$M$8+0.000000001,IF(01_因子設定!$B$20="Box-Behnken",E2675^2+F2675^2+G2675^2+H2675^2&lt;=2+0.000000001,TRUE()))</f>
        <v>1</v>
      </c>
      <c r="AD2675" s="55" t="n">
        <f aca="false">IF(AC2675,IF(01_因子設定!$B$13="最大化",AA2675-01_因子設定!$B$14,IF(01_因子設定!$B$13="最小化",01_因子設定!$B$15-AB2675,MIN(AA2675-01_因子設定!$B$14,01_因子設定!$B$15-AB2675))),-1E+030)</f>
        <v>0.21997596984545</v>
      </c>
      <c r="AE2675" s="55" t="n">
        <f aca="false">IF(AC2675,IF(01_因子設定!$B$13="最大化",X2675,IF(01_因子設定!$B$13="最小化",-X2675,-ABS(X2675-01_因子設定!$B$16))),-1E+030)</f>
        <v>48.2872258771929</v>
      </c>
      <c r="AF2675" s="55" t="n">
        <f aca="false">AD2675+ROW()*0.000000001</f>
        <v>0.21997864484545</v>
      </c>
      <c r="AG2675" s="55" t="n">
        <f aca="false">AE2675+ROW()*0.000000001</f>
        <v>48.2872285521929</v>
      </c>
    </row>
    <row r="2676" customFormat="false" ht="15" hidden="false" customHeight="false" outlineLevel="0" collapsed="false">
      <c r="A2676" s="0" t="n">
        <v>3</v>
      </c>
      <c r="B2676" s="0" t="n">
        <v>5</v>
      </c>
      <c r="C2676" s="0" t="n">
        <v>8</v>
      </c>
      <c r="D2676" s="0" t="n">
        <v>7</v>
      </c>
      <c r="E2676" s="0" t="n">
        <f aca="false">-1+A2676*0.25</f>
        <v>-0.25</v>
      </c>
      <c r="F2676" s="0" t="n">
        <f aca="false">-1+B2676*0.25</f>
        <v>0.25</v>
      </c>
      <c r="G2676" s="0" t="n">
        <f aca="false">-1+C2676*0.25</f>
        <v>1</v>
      </c>
      <c r="H2676" s="0" t="n">
        <f aca="false">-1+D2676*0.25</f>
        <v>0.75</v>
      </c>
      <c r="I2676" s="0" t="n">
        <f aca="false">1</f>
        <v>1</v>
      </c>
      <c r="J2676" s="0" t="n">
        <f aca="false">E2676</f>
        <v>-0.25</v>
      </c>
      <c r="K2676" s="0" t="n">
        <f aca="false">F2676</f>
        <v>0.25</v>
      </c>
      <c r="L2676" s="0" t="n">
        <f aca="false">G2676</f>
        <v>1</v>
      </c>
      <c r="M2676" s="0" t="n">
        <f aca="false">H2676</f>
        <v>0.75</v>
      </c>
      <c r="N2676" s="0" t="n">
        <f aca="false">E2676*F2676</f>
        <v>-0.0625</v>
      </c>
      <c r="O2676" s="0" t="n">
        <f aca="false">E2676*G2676</f>
        <v>-0.25</v>
      </c>
      <c r="P2676" s="0" t="n">
        <f aca="false">E2676*H2676</f>
        <v>-0.1875</v>
      </c>
      <c r="Q2676" s="0" t="n">
        <f aca="false">F2676*G2676</f>
        <v>0.25</v>
      </c>
      <c r="R2676" s="0" t="n">
        <f aca="false">F2676*H2676</f>
        <v>0.1875</v>
      </c>
      <c r="S2676" s="0" t="n">
        <f aca="false">G2676*H2676</f>
        <v>0.75</v>
      </c>
      <c r="T2676" s="0" t="n">
        <f aca="false">E2676*E2676</f>
        <v>0.0625</v>
      </c>
      <c r="U2676" s="0" t="n">
        <f aca="false">F2676*F2676</f>
        <v>0.0625</v>
      </c>
      <c r="V2676" s="0" t="n">
        <f aca="false">G2676*G2676</f>
        <v>1</v>
      </c>
      <c r="W2676" s="0" t="n">
        <f aca="false">H2676*H2676</f>
        <v>0.5625</v>
      </c>
      <c r="X2676" s="0" t="n">
        <f aca="false">SUMPRODUCT(I2676:W2676,_XtX!$B$96:$P$96)</f>
        <v>48.3198784722222</v>
      </c>
      <c r="Y2676" s="0" t="n">
        <f aca="false">SUMPRODUCT(MMULT(I2676:W2676,_XtX!$B$78:$P$92),I2676:W2676)</f>
        <v>0.486409505208334</v>
      </c>
      <c r="Z2676" s="0" t="n">
        <f aca="false">04_回帰ANOVA!$K$19*04_回帰ANOVA!$K$14*SQRT(1+Y2676)</f>
        <v>1.58916001665498</v>
      </c>
      <c r="AA2676" s="0" t="n">
        <f aca="false">X2676-Z2676</f>
        <v>46.7307184555672</v>
      </c>
      <c r="AB2676" s="0" t="n">
        <f aca="false">X2676+Z2676</f>
        <v>49.9090384888772</v>
      </c>
      <c r="AC2676" s="54" t="b">
        <f aca="false">AND(E2676&gt;=01_因子設定!$L$5-0.000000001,E2676&lt;=01_因子設定!$M$5+0.000000001,F2676&gt;=01_因子設定!$L$6-0.000000001,F2676&lt;=01_因子設定!$M$6+0.000000001,G2676&gt;=01_因子設定!$L$7-0.000000001,G2676&lt;=01_因子設定!$M$7+0.000000001,H2676&gt;=01_因子設定!$L$8-0.000000001,H2676&lt;=01_因子設定!$M$8+0.000000001,IF(01_因子設定!$B$20="Box-Behnken",E2676^2+F2676^2+G2676^2+H2676^2&lt;=2+0.000000001,TRUE()))</f>
        <v>1</v>
      </c>
      <c r="AD2676" s="55" t="n">
        <f aca="false">IF(AC2676,IF(01_因子設定!$B$13="最大化",AA2676-01_因子設定!$B$14,IF(01_因子設定!$B$13="最小化",01_因子設定!$B$15-AB2676,MIN(AA2676-01_因子設定!$B$14,01_因子設定!$B$15-AB2676))),-1E+030)</f>
        <v>0.230718455567207</v>
      </c>
      <c r="AE2676" s="55" t="n">
        <f aca="false">IF(AC2676,IF(01_因子設定!$B$13="最大化",X2676,IF(01_因子設定!$B$13="最小化",-X2676,-ABS(X2676-01_因子設定!$B$16))),-1E+030)</f>
        <v>48.3198784722222</v>
      </c>
      <c r="AF2676" s="55" t="n">
        <f aca="false">AD2676+ROW()*0.000000001</f>
        <v>0.230721131567207</v>
      </c>
      <c r="AG2676" s="55" t="n">
        <f aca="false">AE2676+ROW()*0.000000001</f>
        <v>48.3198811482222</v>
      </c>
    </row>
    <row r="2677" customFormat="false" ht="15" hidden="false" customHeight="false" outlineLevel="0" collapsed="false">
      <c r="A2677" s="0" t="n">
        <v>3</v>
      </c>
      <c r="B2677" s="0" t="n">
        <v>5</v>
      </c>
      <c r="C2677" s="0" t="n">
        <v>8</v>
      </c>
      <c r="D2677" s="0" t="n">
        <v>8</v>
      </c>
      <c r="E2677" s="0" t="n">
        <f aca="false">-1+A2677*0.25</f>
        <v>-0.25</v>
      </c>
      <c r="F2677" s="0" t="n">
        <f aca="false">-1+B2677*0.25</f>
        <v>0.25</v>
      </c>
      <c r="G2677" s="0" t="n">
        <f aca="false">-1+C2677*0.25</f>
        <v>1</v>
      </c>
      <c r="H2677" s="0" t="n">
        <f aca="false">-1+D2677*0.25</f>
        <v>1</v>
      </c>
      <c r="I2677" s="0" t="n">
        <f aca="false">1</f>
        <v>1</v>
      </c>
      <c r="J2677" s="0" t="n">
        <f aca="false">E2677</f>
        <v>-0.25</v>
      </c>
      <c r="K2677" s="0" t="n">
        <f aca="false">F2677</f>
        <v>0.25</v>
      </c>
      <c r="L2677" s="0" t="n">
        <f aca="false">G2677</f>
        <v>1</v>
      </c>
      <c r="M2677" s="0" t="n">
        <f aca="false">H2677</f>
        <v>1</v>
      </c>
      <c r="N2677" s="0" t="n">
        <f aca="false">E2677*F2677</f>
        <v>-0.0625</v>
      </c>
      <c r="O2677" s="0" t="n">
        <f aca="false">E2677*G2677</f>
        <v>-0.25</v>
      </c>
      <c r="P2677" s="0" t="n">
        <f aca="false">E2677*H2677</f>
        <v>-0.25</v>
      </c>
      <c r="Q2677" s="0" t="n">
        <f aca="false">F2677*G2677</f>
        <v>0.25</v>
      </c>
      <c r="R2677" s="0" t="n">
        <f aca="false">F2677*H2677</f>
        <v>0.25</v>
      </c>
      <c r="S2677" s="0" t="n">
        <f aca="false">G2677*H2677</f>
        <v>1</v>
      </c>
      <c r="T2677" s="0" t="n">
        <f aca="false">E2677*E2677</f>
        <v>0.0625</v>
      </c>
      <c r="U2677" s="0" t="n">
        <f aca="false">F2677*F2677</f>
        <v>0.0625</v>
      </c>
      <c r="V2677" s="0" t="n">
        <f aca="false">G2677*G2677</f>
        <v>1</v>
      </c>
      <c r="W2677" s="0" t="n">
        <f aca="false">H2677*H2677</f>
        <v>1</v>
      </c>
      <c r="X2677" s="0" t="n">
        <f aca="false">SUMPRODUCT(I2677:W2677,_XtX!$B$96:$P$96)</f>
        <v>48.3047240497076</v>
      </c>
      <c r="Y2677" s="0" t="n">
        <f aca="false">SUMPRODUCT(MMULT(I2677:W2677,_XtX!$B$78:$P$92),I2677:W2677)</f>
        <v>0.670040376005117</v>
      </c>
      <c r="Z2677" s="0" t="n">
        <f aca="false">04_回帰ANOVA!$K$19*04_回帰ANOVA!$K$14*SQRT(1+Y2677)</f>
        <v>1.68446456039992</v>
      </c>
      <c r="AA2677" s="0" t="n">
        <f aca="false">X2677-Z2677</f>
        <v>46.6202594893077</v>
      </c>
      <c r="AB2677" s="0" t="n">
        <f aca="false">X2677+Z2677</f>
        <v>49.9891886101075</v>
      </c>
      <c r="AC2677" s="54" t="b">
        <f aca="false">AND(E2677&gt;=01_因子設定!$L$5-0.000000001,E2677&lt;=01_因子設定!$M$5+0.000000001,F2677&gt;=01_因子設定!$L$6-0.000000001,F2677&lt;=01_因子設定!$M$6+0.000000001,G2677&gt;=01_因子設定!$L$7-0.000000001,G2677&lt;=01_因子設定!$M$7+0.000000001,H2677&gt;=01_因子設定!$L$8-0.000000001,H2677&lt;=01_因子設定!$M$8+0.000000001,IF(01_因子設定!$B$20="Box-Behnken",E2677^2+F2677^2+G2677^2+H2677^2&lt;=2+0.000000001,TRUE()))</f>
        <v>1</v>
      </c>
      <c r="AD2677" s="55" t="n">
        <f aca="false">IF(AC2677,IF(01_因子設定!$B$13="最大化",AA2677-01_因子設定!$B$14,IF(01_因子設定!$B$13="最小化",01_因子設定!$B$15-AB2677,MIN(AA2677-01_因子設定!$B$14,01_因子設定!$B$15-AB2677))),-1E+030)</f>
        <v>0.120259489307664</v>
      </c>
      <c r="AE2677" s="55" t="n">
        <f aca="false">IF(AC2677,IF(01_因子設定!$B$13="最大化",X2677,IF(01_因子設定!$B$13="最小化",-X2677,-ABS(X2677-01_因子設定!$B$16))),-1E+030)</f>
        <v>48.3047240497076</v>
      </c>
      <c r="AF2677" s="55" t="n">
        <f aca="false">AD2677+ROW()*0.000000001</f>
        <v>0.120262166307664</v>
      </c>
      <c r="AG2677" s="55" t="n">
        <f aca="false">AE2677+ROW()*0.000000001</f>
        <v>48.3047267267076</v>
      </c>
    </row>
    <row r="2678" customFormat="false" ht="15" hidden="false" customHeight="false" outlineLevel="0" collapsed="false">
      <c r="A2678" s="0" t="n">
        <v>3</v>
      </c>
      <c r="B2678" s="0" t="n">
        <v>6</v>
      </c>
      <c r="C2678" s="0" t="n">
        <v>0</v>
      </c>
      <c r="D2678" s="0" t="n">
        <v>0</v>
      </c>
      <c r="E2678" s="0" t="n">
        <f aca="false">-1+A2678*0.25</f>
        <v>-0.25</v>
      </c>
      <c r="F2678" s="0" t="n">
        <f aca="false">-1+B2678*0.25</f>
        <v>0.5</v>
      </c>
      <c r="G2678" s="0" t="n">
        <f aca="false">-1+C2678*0.25</f>
        <v>-1</v>
      </c>
      <c r="H2678" s="0" t="n">
        <f aca="false">-1+D2678*0.25</f>
        <v>-1</v>
      </c>
      <c r="I2678" s="0" t="n">
        <f aca="false">1</f>
        <v>1</v>
      </c>
      <c r="J2678" s="0" t="n">
        <f aca="false">E2678</f>
        <v>-0.25</v>
      </c>
      <c r="K2678" s="0" t="n">
        <f aca="false">F2678</f>
        <v>0.5</v>
      </c>
      <c r="L2678" s="0" t="n">
        <f aca="false">G2678</f>
        <v>-1</v>
      </c>
      <c r="M2678" s="0" t="n">
        <f aca="false">H2678</f>
        <v>-1</v>
      </c>
      <c r="N2678" s="0" t="n">
        <f aca="false">E2678*F2678</f>
        <v>-0.125</v>
      </c>
      <c r="O2678" s="0" t="n">
        <f aca="false">E2678*G2678</f>
        <v>0.25</v>
      </c>
      <c r="P2678" s="0" t="n">
        <f aca="false">E2678*H2678</f>
        <v>0.25</v>
      </c>
      <c r="Q2678" s="0" t="n">
        <f aca="false">F2678*G2678</f>
        <v>-0.5</v>
      </c>
      <c r="R2678" s="0" t="n">
        <f aca="false">F2678*H2678</f>
        <v>-0.5</v>
      </c>
      <c r="S2678" s="0" t="n">
        <f aca="false">G2678*H2678</f>
        <v>1</v>
      </c>
      <c r="T2678" s="0" t="n">
        <f aca="false">E2678*E2678</f>
        <v>0.0625</v>
      </c>
      <c r="U2678" s="0" t="n">
        <f aca="false">F2678*F2678</f>
        <v>0.25</v>
      </c>
      <c r="V2678" s="0" t="n">
        <f aca="false">G2678*G2678</f>
        <v>1</v>
      </c>
      <c r="W2678" s="0" t="n">
        <f aca="false">H2678*H2678</f>
        <v>1</v>
      </c>
      <c r="X2678" s="0" t="n">
        <f aca="false">SUMPRODUCT(I2678:W2678,_XtX!$B$96:$P$96)</f>
        <v>45.1585343567251</v>
      </c>
      <c r="Y2678" s="0" t="n">
        <f aca="false">SUMPRODUCT(MMULT(I2678:W2678,_XtX!$B$78:$P$92),I2678:W2678)</f>
        <v>0.629174661915205</v>
      </c>
      <c r="Z2678" s="0" t="n">
        <f aca="false">04_回帰ANOVA!$K$19*04_回帰ANOVA!$K$14*SQRT(1+Y2678)</f>
        <v>1.66372758058297</v>
      </c>
      <c r="AA2678" s="0" t="n">
        <f aca="false">X2678-Z2678</f>
        <v>43.4948067761422</v>
      </c>
      <c r="AB2678" s="0" t="n">
        <f aca="false">X2678+Z2678</f>
        <v>46.8222619373081</v>
      </c>
      <c r="AC2678" s="54" t="b">
        <f aca="false">AND(E2678&gt;=01_因子設定!$L$5-0.000000001,E2678&lt;=01_因子設定!$M$5+0.000000001,F2678&gt;=01_因子設定!$L$6-0.000000001,F2678&lt;=01_因子設定!$M$6+0.000000001,G2678&gt;=01_因子設定!$L$7-0.000000001,G2678&lt;=01_因子設定!$M$7+0.000000001,H2678&gt;=01_因子設定!$L$8-0.000000001,H2678&lt;=01_因子設定!$M$8+0.000000001,IF(01_因子設定!$B$20="Box-Behnken",E2678^2+F2678^2+G2678^2+H2678^2&lt;=2+0.000000001,TRUE()))</f>
        <v>1</v>
      </c>
      <c r="AD2678" s="55" t="n">
        <f aca="false">IF(AC2678,IF(01_因子設定!$B$13="最大化",AA2678-01_因子設定!$B$14,IF(01_因子設定!$B$13="最小化",01_因子設定!$B$15-AB2678,MIN(AA2678-01_因子設定!$B$14,01_因子設定!$B$15-AB2678))),-1E+030)</f>
        <v>-3.00519322385784</v>
      </c>
      <c r="AE2678" s="55" t="n">
        <f aca="false">IF(AC2678,IF(01_因子設定!$B$13="最大化",X2678,IF(01_因子設定!$B$13="最小化",-X2678,-ABS(X2678-01_因子設定!$B$16))),-1E+030)</f>
        <v>45.1585343567251</v>
      </c>
      <c r="AF2678" s="55" t="n">
        <f aca="false">AD2678+ROW()*0.000000001</f>
        <v>-3.00519054585784</v>
      </c>
      <c r="AG2678" s="55" t="n">
        <f aca="false">AE2678+ROW()*0.000000001</f>
        <v>45.1585370347251</v>
      </c>
    </row>
    <row r="2679" customFormat="false" ht="15" hidden="false" customHeight="false" outlineLevel="0" collapsed="false">
      <c r="A2679" s="0" t="n">
        <v>3</v>
      </c>
      <c r="B2679" s="0" t="n">
        <v>6</v>
      </c>
      <c r="C2679" s="0" t="n">
        <v>0</v>
      </c>
      <c r="D2679" s="0" t="n">
        <v>1</v>
      </c>
      <c r="E2679" s="0" t="n">
        <f aca="false">-1+A2679*0.25</f>
        <v>-0.25</v>
      </c>
      <c r="F2679" s="0" t="n">
        <f aca="false">-1+B2679*0.25</f>
        <v>0.5</v>
      </c>
      <c r="G2679" s="0" t="n">
        <f aca="false">-1+C2679*0.25</f>
        <v>-1</v>
      </c>
      <c r="H2679" s="0" t="n">
        <f aca="false">-1+D2679*0.25</f>
        <v>-0.75</v>
      </c>
      <c r="I2679" s="0" t="n">
        <f aca="false">1</f>
        <v>1</v>
      </c>
      <c r="J2679" s="0" t="n">
        <f aca="false">E2679</f>
        <v>-0.25</v>
      </c>
      <c r="K2679" s="0" t="n">
        <f aca="false">F2679</f>
        <v>0.5</v>
      </c>
      <c r="L2679" s="0" t="n">
        <f aca="false">G2679</f>
        <v>-1</v>
      </c>
      <c r="M2679" s="0" t="n">
        <f aca="false">H2679</f>
        <v>-0.75</v>
      </c>
      <c r="N2679" s="0" t="n">
        <f aca="false">E2679*F2679</f>
        <v>-0.125</v>
      </c>
      <c r="O2679" s="0" t="n">
        <f aca="false">E2679*G2679</f>
        <v>0.25</v>
      </c>
      <c r="P2679" s="0" t="n">
        <f aca="false">E2679*H2679</f>
        <v>0.1875</v>
      </c>
      <c r="Q2679" s="0" t="n">
        <f aca="false">F2679*G2679</f>
        <v>-0.5</v>
      </c>
      <c r="R2679" s="0" t="n">
        <f aca="false">F2679*H2679</f>
        <v>-0.375</v>
      </c>
      <c r="S2679" s="0" t="n">
        <f aca="false">G2679*H2679</f>
        <v>0.75</v>
      </c>
      <c r="T2679" s="0" t="n">
        <f aca="false">E2679*E2679</f>
        <v>0.0625</v>
      </c>
      <c r="U2679" s="0" t="n">
        <f aca="false">F2679*F2679</f>
        <v>0.25</v>
      </c>
      <c r="V2679" s="0" t="n">
        <f aca="false">G2679*G2679</f>
        <v>1</v>
      </c>
      <c r="W2679" s="0" t="n">
        <f aca="false">H2679*H2679</f>
        <v>0.5625</v>
      </c>
      <c r="X2679" s="0" t="n">
        <f aca="false">SUMPRODUCT(I2679:W2679,_XtX!$B$96:$P$96)</f>
        <v>45.3209978070175</v>
      </c>
      <c r="Y2679" s="0" t="n">
        <f aca="false">SUMPRODUCT(MMULT(I2679:W2679,_XtX!$B$78:$P$92),I2679:W2679)</f>
        <v>0.459125719572369</v>
      </c>
      <c r="Z2679" s="0" t="n">
        <f aca="false">04_回帰ANOVA!$K$19*04_回帰ANOVA!$K$14*SQRT(1+Y2679)</f>
        <v>1.57450755575573</v>
      </c>
      <c r="AA2679" s="0" t="n">
        <f aca="false">X2679-Z2679</f>
        <v>43.7464902512618</v>
      </c>
      <c r="AB2679" s="0" t="n">
        <f aca="false">X2679+Z2679</f>
        <v>46.8955053627732</v>
      </c>
      <c r="AC2679" s="54" t="b">
        <f aca="false">AND(E2679&gt;=01_因子設定!$L$5-0.000000001,E2679&lt;=01_因子設定!$M$5+0.000000001,F2679&gt;=01_因子設定!$L$6-0.000000001,F2679&lt;=01_因子設定!$M$6+0.000000001,G2679&gt;=01_因子設定!$L$7-0.000000001,G2679&lt;=01_因子設定!$M$7+0.000000001,H2679&gt;=01_因子設定!$L$8-0.000000001,H2679&lt;=01_因子設定!$M$8+0.000000001,IF(01_因子設定!$B$20="Box-Behnken",E2679^2+F2679^2+G2679^2+H2679^2&lt;=2+0.000000001,TRUE()))</f>
        <v>1</v>
      </c>
      <c r="AD2679" s="55" t="n">
        <f aca="false">IF(AC2679,IF(01_因子設定!$B$13="最大化",AA2679-01_因子設定!$B$14,IF(01_因子設定!$B$13="最小化",01_因子設定!$B$15-AB2679,MIN(AA2679-01_因子設定!$B$14,01_因子設定!$B$15-AB2679))),-1E+030)</f>
        <v>-2.75350974873822</v>
      </c>
      <c r="AE2679" s="55" t="n">
        <f aca="false">IF(AC2679,IF(01_因子設定!$B$13="最大化",X2679,IF(01_因子設定!$B$13="最小化",-X2679,-ABS(X2679-01_因子設定!$B$16))),-1E+030)</f>
        <v>45.3209978070175</v>
      </c>
      <c r="AF2679" s="55" t="n">
        <f aca="false">AD2679+ROW()*0.000000001</f>
        <v>-2.75350706973822</v>
      </c>
      <c r="AG2679" s="55" t="n">
        <f aca="false">AE2679+ROW()*0.000000001</f>
        <v>45.3210004860175</v>
      </c>
    </row>
    <row r="2680" customFormat="false" ht="15" hidden="false" customHeight="false" outlineLevel="0" collapsed="false">
      <c r="A2680" s="0" t="n">
        <v>3</v>
      </c>
      <c r="B2680" s="0" t="n">
        <v>6</v>
      </c>
      <c r="C2680" s="0" t="n">
        <v>0</v>
      </c>
      <c r="D2680" s="0" t="n">
        <v>2</v>
      </c>
      <c r="E2680" s="0" t="n">
        <f aca="false">-1+A2680*0.25</f>
        <v>-0.25</v>
      </c>
      <c r="F2680" s="0" t="n">
        <f aca="false">-1+B2680*0.25</f>
        <v>0.5</v>
      </c>
      <c r="G2680" s="0" t="n">
        <f aca="false">-1+C2680*0.25</f>
        <v>-1</v>
      </c>
      <c r="H2680" s="0" t="n">
        <f aca="false">-1+D2680*0.25</f>
        <v>-0.5</v>
      </c>
      <c r="I2680" s="0" t="n">
        <f aca="false">1</f>
        <v>1</v>
      </c>
      <c r="J2680" s="0" t="n">
        <f aca="false">E2680</f>
        <v>-0.25</v>
      </c>
      <c r="K2680" s="0" t="n">
        <f aca="false">F2680</f>
        <v>0.5</v>
      </c>
      <c r="L2680" s="0" t="n">
        <f aca="false">G2680</f>
        <v>-1</v>
      </c>
      <c r="M2680" s="0" t="n">
        <f aca="false">H2680</f>
        <v>-0.5</v>
      </c>
      <c r="N2680" s="0" t="n">
        <f aca="false">E2680*F2680</f>
        <v>-0.125</v>
      </c>
      <c r="O2680" s="0" t="n">
        <f aca="false">E2680*G2680</f>
        <v>0.25</v>
      </c>
      <c r="P2680" s="0" t="n">
        <f aca="false">E2680*H2680</f>
        <v>0.125</v>
      </c>
      <c r="Q2680" s="0" t="n">
        <f aca="false">F2680*G2680</f>
        <v>-0.5</v>
      </c>
      <c r="R2680" s="0" t="n">
        <f aca="false">F2680*H2680</f>
        <v>-0.25</v>
      </c>
      <c r="S2680" s="0" t="n">
        <f aca="false">G2680*H2680</f>
        <v>0.5</v>
      </c>
      <c r="T2680" s="0" t="n">
        <f aca="false">E2680*E2680</f>
        <v>0.0625</v>
      </c>
      <c r="U2680" s="0" t="n">
        <f aca="false">F2680*F2680</f>
        <v>0.25</v>
      </c>
      <c r="V2680" s="0" t="n">
        <f aca="false">G2680*G2680</f>
        <v>1</v>
      </c>
      <c r="W2680" s="0" t="n">
        <f aca="false">H2680*H2680</f>
        <v>0.25</v>
      </c>
      <c r="X2680" s="0" t="n">
        <f aca="false">SUMPRODUCT(I2680:W2680,_XtX!$B$96:$P$96)</f>
        <v>45.435654239766</v>
      </c>
      <c r="Y2680" s="0" t="n">
        <f aca="false">SUMPRODUCT(MMULT(I2680:W2680,_XtX!$B$78:$P$92),I2680:W2680)</f>
        <v>0.428122715643275</v>
      </c>
      <c r="Z2680" s="0" t="n">
        <f aca="false">04_回帰ANOVA!$K$19*04_回帰ANOVA!$K$14*SQRT(1+Y2680)</f>
        <v>1.55769044623229</v>
      </c>
      <c r="AA2680" s="0" t="n">
        <f aca="false">X2680-Z2680</f>
        <v>43.8779637935337</v>
      </c>
      <c r="AB2680" s="0" t="n">
        <f aca="false">X2680+Z2680</f>
        <v>46.9933446859983</v>
      </c>
      <c r="AC2680" s="54" t="b">
        <f aca="false">AND(E2680&gt;=01_因子設定!$L$5-0.000000001,E2680&lt;=01_因子設定!$M$5+0.000000001,F2680&gt;=01_因子設定!$L$6-0.000000001,F2680&lt;=01_因子設定!$M$6+0.000000001,G2680&gt;=01_因子設定!$L$7-0.000000001,G2680&lt;=01_因子設定!$M$7+0.000000001,H2680&gt;=01_因子設定!$L$8-0.000000001,H2680&lt;=01_因子設定!$M$8+0.000000001,IF(01_因子設定!$B$20="Box-Behnken",E2680^2+F2680^2+G2680^2+H2680^2&lt;=2+0.000000001,TRUE()))</f>
        <v>1</v>
      </c>
      <c r="AD2680" s="55" t="n">
        <f aca="false">IF(AC2680,IF(01_因子設定!$B$13="最大化",AA2680-01_因子設定!$B$14,IF(01_因子設定!$B$13="最小化",01_因子設定!$B$15-AB2680,MIN(AA2680-01_因子設定!$B$14,01_因子設定!$B$15-AB2680))),-1E+030)</f>
        <v>-2.62203620646626</v>
      </c>
      <c r="AE2680" s="55" t="n">
        <f aca="false">IF(AC2680,IF(01_因子設定!$B$13="最大化",X2680,IF(01_因子設定!$B$13="最小化",-X2680,-ABS(X2680-01_因子設定!$B$16))),-1E+030)</f>
        <v>45.435654239766</v>
      </c>
      <c r="AF2680" s="55" t="n">
        <f aca="false">AD2680+ROW()*0.000000001</f>
        <v>-2.62203352646626</v>
      </c>
      <c r="AG2680" s="55" t="n">
        <f aca="false">AE2680+ROW()*0.000000001</f>
        <v>45.435656919766</v>
      </c>
    </row>
    <row r="2681" customFormat="false" ht="15" hidden="false" customHeight="false" outlineLevel="0" collapsed="false">
      <c r="A2681" s="0" t="n">
        <v>3</v>
      </c>
      <c r="B2681" s="0" t="n">
        <v>6</v>
      </c>
      <c r="C2681" s="0" t="n">
        <v>0</v>
      </c>
      <c r="D2681" s="0" t="n">
        <v>3</v>
      </c>
      <c r="E2681" s="0" t="n">
        <f aca="false">-1+A2681*0.25</f>
        <v>-0.25</v>
      </c>
      <c r="F2681" s="0" t="n">
        <f aca="false">-1+B2681*0.25</f>
        <v>0.5</v>
      </c>
      <c r="G2681" s="0" t="n">
        <f aca="false">-1+C2681*0.25</f>
        <v>-1</v>
      </c>
      <c r="H2681" s="0" t="n">
        <f aca="false">-1+D2681*0.25</f>
        <v>-0.25</v>
      </c>
      <c r="I2681" s="0" t="n">
        <f aca="false">1</f>
        <v>1</v>
      </c>
      <c r="J2681" s="0" t="n">
        <f aca="false">E2681</f>
        <v>-0.25</v>
      </c>
      <c r="K2681" s="0" t="n">
        <f aca="false">F2681</f>
        <v>0.5</v>
      </c>
      <c r="L2681" s="0" t="n">
        <f aca="false">G2681</f>
        <v>-1</v>
      </c>
      <c r="M2681" s="0" t="n">
        <f aca="false">H2681</f>
        <v>-0.25</v>
      </c>
      <c r="N2681" s="0" t="n">
        <f aca="false">E2681*F2681</f>
        <v>-0.125</v>
      </c>
      <c r="O2681" s="0" t="n">
        <f aca="false">E2681*G2681</f>
        <v>0.25</v>
      </c>
      <c r="P2681" s="0" t="n">
        <f aca="false">E2681*H2681</f>
        <v>0.0625</v>
      </c>
      <c r="Q2681" s="0" t="n">
        <f aca="false">F2681*G2681</f>
        <v>-0.5</v>
      </c>
      <c r="R2681" s="0" t="n">
        <f aca="false">F2681*H2681</f>
        <v>-0.125</v>
      </c>
      <c r="S2681" s="0" t="n">
        <f aca="false">G2681*H2681</f>
        <v>0.25</v>
      </c>
      <c r="T2681" s="0" t="n">
        <f aca="false">E2681*E2681</f>
        <v>0.0625</v>
      </c>
      <c r="U2681" s="0" t="n">
        <f aca="false">F2681*F2681</f>
        <v>0.25</v>
      </c>
      <c r="V2681" s="0" t="n">
        <f aca="false">G2681*G2681</f>
        <v>1</v>
      </c>
      <c r="W2681" s="0" t="n">
        <f aca="false">H2681*H2681</f>
        <v>0.0625</v>
      </c>
      <c r="X2681" s="0" t="n">
        <f aca="false">SUMPRODUCT(I2681:W2681,_XtX!$B$96:$P$96)</f>
        <v>45.5025036549707</v>
      </c>
      <c r="Y2681" s="0" t="n">
        <f aca="false">SUMPRODUCT(MMULT(I2681:W2681,_XtX!$B$78:$P$92),I2681:W2681)</f>
        <v>0.445705123812135</v>
      </c>
      <c r="Z2681" s="0" t="n">
        <f aca="false">04_回帰ANOVA!$K$19*04_回帰ANOVA!$K$14*SQRT(1+Y2681)</f>
        <v>1.56724990734749</v>
      </c>
      <c r="AA2681" s="0" t="n">
        <f aca="false">X2681-Z2681</f>
        <v>43.9352537476232</v>
      </c>
      <c r="AB2681" s="0" t="n">
        <f aca="false">X2681+Z2681</f>
        <v>47.0697535623182</v>
      </c>
      <c r="AC2681" s="54" t="b">
        <f aca="false">AND(E2681&gt;=01_因子設定!$L$5-0.000000001,E2681&lt;=01_因子設定!$M$5+0.000000001,F2681&gt;=01_因子設定!$L$6-0.000000001,F2681&lt;=01_因子設定!$M$6+0.000000001,G2681&gt;=01_因子設定!$L$7-0.000000001,G2681&lt;=01_因子設定!$M$7+0.000000001,H2681&gt;=01_因子設定!$L$8-0.000000001,H2681&lt;=01_因子設定!$M$8+0.000000001,IF(01_因子設定!$B$20="Box-Behnken",E2681^2+F2681^2+G2681^2+H2681^2&lt;=2+0.000000001,TRUE()))</f>
        <v>1</v>
      </c>
      <c r="AD2681" s="55" t="n">
        <f aca="false">IF(AC2681,IF(01_因子設定!$B$13="最大化",AA2681-01_因子設定!$B$14,IF(01_因子設定!$B$13="最小化",01_因子設定!$B$15-AB2681,MIN(AA2681-01_因子設定!$B$14,01_因子設定!$B$15-AB2681))),-1E+030)</f>
        <v>-2.56474625237678</v>
      </c>
      <c r="AE2681" s="55" t="n">
        <f aca="false">IF(AC2681,IF(01_因子設定!$B$13="最大化",X2681,IF(01_因子設定!$B$13="最小化",-X2681,-ABS(X2681-01_因子設定!$B$16))),-1E+030)</f>
        <v>45.5025036549707</v>
      </c>
      <c r="AF2681" s="55" t="n">
        <f aca="false">AD2681+ROW()*0.000000001</f>
        <v>-2.56474357137678</v>
      </c>
      <c r="AG2681" s="55" t="n">
        <f aca="false">AE2681+ROW()*0.000000001</f>
        <v>45.5025063359707</v>
      </c>
    </row>
    <row r="2682" customFormat="false" ht="15" hidden="false" customHeight="false" outlineLevel="0" collapsed="false">
      <c r="A2682" s="0" t="n">
        <v>3</v>
      </c>
      <c r="B2682" s="0" t="n">
        <v>6</v>
      </c>
      <c r="C2682" s="0" t="n">
        <v>0</v>
      </c>
      <c r="D2682" s="0" t="n">
        <v>4</v>
      </c>
      <c r="E2682" s="0" t="n">
        <f aca="false">-1+A2682*0.25</f>
        <v>-0.25</v>
      </c>
      <c r="F2682" s="0" t="n">
        <f aca="false">-1+B2682*0.25</f>
        <v>0.5</v>
      </c>
      <c r="G2682" s="0" t="n">
        <f aca="false">-1+C2682*0.25</f>
        <v>-1</v>
      </c>
      <c r="H2682" s="0" t="n">
        <f aca="false">-1+D2682*0.25</f>
        <v>0</v>
      </c>
      <c r="I2682" s="0" t="n">
        <f aca="false">1</f>
        <v>1</v>
      </c>
      <c r="J2682" s="0" t="n">
        <f aca="false">E2682</f>
        <v>-0.25</v>
      </c>
      <c r="K2682" s="0" t="n">
        <f aca="false">F2682</f>
        <v>0.5</v>
      </c>
      <c r="L2682" s="0" t="n">
        <f aca="false">G2682</f>
        <v>-1</v>
      </c>
      <c r="M2682" s="0" t="n">
        <f aca="false">H2682</f>
        <v>0</v>
      </c>
      <c r="N2682" s="0" t="n">
        <f aca="false">E2682*F2682</f>
        <v>-0.125</v>
      </c>
      <c r="O2682" s="0" t="n">
        <f aca="false">E2682*G2682</f>
        <v>0.25</v>
      </c>
      <c r="P2682" s="0" t="n">
        <f aca="false">E2682*H2682</f>
        <v>-0</v>
      </c>
      <c r="Q2682" s="0" t="n">
        <f aca="false">F2682*G2682</f>
        <v>-0.5</v>
      </c>
      <c r="R2682" s="0" t="n">
        <f aca="false">F2682*H2682</f>
        <v>0</v>
      </c>
      <c r="S2682" s="0" t="n">
        <f aca="false">G2682*H2682</f>
        <v>-0</v>
      </c>
      <c r="T2682" s="0" t="n">
        <f aca="false">E2682*E2682</f>
        <v>0.0625</v>
      </c>
      <c r="U2682" s="0" t="n">
        <f aca="false">F2682*F2682</f>
        <v>0.25</v>
      </c>
      <c r="V2682" s="0" t="n">
        <f aca="false">G2682*G2682</f>
        <v>1</v>
      </c>
      <c r="W2682" s="0" t="n">
        <f aca="false">H2682*H2682</f>
        <v>0</v>
      </c>
      <c r="X2682" s="0" t="n">
        <f aca="false">SUMPRODUCT(I2682:W2682,_XtX!$B$96:$P$96)</f>
        <v>45.5215460526315</v>
      </c>
      <c r="Y2682" s="0" t="n">
        <f aca="false">SUMPRODUCT(MMULT(I2682:W2682,_XtX!$B$78:$P$92),I2682:W2682)</f>
        <v>0.457596628289474</v>
      </c>
      <c r="Z2682" s="0" t="n">
        <f aca="false">04_回帰ANOVA!$K$19*04_回帰ANOVA!$K$14*SQRT(1+Y2682)</f>
        <v>1.57368233664366</v>
      </c>
      <c r="AA2682" s="0" t="n">
        <f aca="false">X2682-Z2682</f>
        <v>43.9478637159879</v>
      </c>
      <c r="AB2682" s="0" t="n">
        <f aca="false">X2682+Z2682</f>
        <v>47.0952283892752</v>
      </c>
      <c r="AC2682" s="54" t="b">
        <f aca="false">AND(E2682&gt;=01_因子設定!$L$5-0.000000001,E2682&lt;=01_因子設定!$M$5+0.000000001,F2682&gt;=01_因子設定!$L$6-0.000000001,F2682&lt;=01_因子設定!$M$6+0.000000001,G2682&gt;=01_因子設定!$L$7-0.000000001,G2682&lt;=01_因子設定!$M$7+0.000000001,H2682&gt;=01_因子設定!$L$8-0.000000001,H2682&lt;=01_因子設定!$M$8+0.000000001,IF(01_因子設定!$B$20="Box-Behnken",E2682^2+F2682^2+G2682^2+H2682^2&lt;=2+0.000000001,TRUE()))</f>
        <v>1</v>
      </c>
      <c r="AD2682" s="55" t="n">
        <f aca="false">IF(AC2682,IF(01_因子設定!$B$13="最大化",AA2682-01_因子設定!$B$14,IF(01_因子設定!$B$13="最小化",01_因子設定!$B$15-AB2682,MIN(AA2682-01_因子設定!$B$14,01_因子設定!$B$15-AB2682))),-1E+030)</f>
        <v>-2.55213628401214</v>
      </c>
      <c r="AE2682" s="55" t="n">
        <f aca="false">IF(AC2682,IF(01_因子設定!$B$13="最大化",X2682,IF(01_因子設定!$B$13="最小化",-X2682,-ABS(X2682-01_因子設定!$B$16))),-1E+030)</f>
        <v>45.5215460526315</v>
      </c>
      <c r="AF2682" s="55" t="n">
        <f aca="false">AD2682+ROW()*0.000000001</f>
        <v>-2.55213360201214</v>
      </c>
      <c r="AG2682" s="55" t="n">
        <f aca="false">AE2682+ROW()*0.000000001</f>
        <v>45.5215487346315</v>
      </c>
    </row>
    <row r="2683" customFormat="false" ht="15" hidden="false" customHeight="false" outlineLevel="0" collapsed="false">
      <c r="A2683" s="0" t="n">
        <v>3</v>
      </c>
      <c r="B2683" s="0" t="n">
        <v>6</v>
      </c>
      <c r="C2683" s="0" t="n">
        <v>0</v>
      </c>
      <c r="D2683" s="0" t="n">
        <v>5</v>
      </c>
      <c r="E2683" s="0" t="n">
        <f aca="false">-1+A2683*0.25</f>
        <v>-0.25</v>
      </c>
      <c r="F2683" s="0" t="n">
        <f aca="false">-1+B2683*0.25</f>
        <v>0.5</v>
      </c>
      <c r="G2683" s="0" t="n">
        <f aca="false">-1+C2683*0.25</f>
        <v>-1</v>
      </c>
      <c r="H2683" s="0" t="n">
        <f aca="false">-1+D2683*0.25</f>
        <v>0.25</v>
      </c>
      <c r="I2683" s="0" t="n">
        <f aca="false">1</f>
        <v>1</v>
      </c>
      <c r="J2683" s="0" t="n">
        <f aca="false">E2683</f>
        <v>-0.25</v>
      </c>
      <c r="K2683" s="0" t="n">
        <f aca="false">F2683</f>
        <v>0.5</v>
      </c>
      <c r="L2683" s="0" t="n">
        <f aca="false">G2683</f>
        <v>-1</v>
      </c>
      <c r="M2683" s="0" t="n">
        <f aca="false">H2683</f>
        <v>0.25</v>
      </c>
      <c r="N2683" s="0" t="n">
        <f aca="false">E2683*F2683</f>
        <v>-0.125</v>
      </c>
      <c r="O2683" s="0" t="n">
        <f aca="false">E2683*G2683</f>
        <v>0.25</v>
      </c>
      <c r="P2683" s="0" t="n">
        <f aca="false">E2683*H2683</f>
        <v>-0.0625</v>
      </c>
      <c r="Q2683" s="0" t="n">
        <f aca="false">F2683*G2683</f>
        <v>-0.5</v>
      </c>
      <c r="R2683" s="0" t="n">
        <f aca="false">F2683*H2683</f>
        <v>0.125</v>
      </c>
      <c r="S2683" s="0" t="n">
        <f aca="false">G2683*H2683</f>
        <v>-0.25</v>
      </c>
      <c r="T2683" s="0" t="n">
        <f aca="false">E2683*E2683</f>
        <v>0.0625</v>
      </c>
      <c r="U2683" s="0" t="n">
        <f aca="false">F2683*F2683</f>
        <v>0.25</v>
      </c>
      <c r="V2683" s="0" t="n">
        <f aca="false">G2683*G2683</f>
        <v>1</v>
      </c>
      <c r="W2683" s="0" t="n">
        <f aca="false">H2683*H2683</f>
        <v>0.0625</v>
      </c>
      <c r="X2683" s="0" t="n">
        <f aca="false">SUMPRODUCT(I2683:W2683,_XtX!$B$96:$P$96)</f>
        <v>45.4927814327485</v>
      </c>
      <c r="Y2683" s="0" t="n">
        <f aca="false">SUMPRODUCT(MMULT(I2683:W2683,_XtX!$B$78:$P$92),I2683:W2683)</f>
        <v>0.445705123812135</v>
      </c>
      <c r="Z2683" s="0" t="n">
        <f aca="false">04_回帰ANOVA!$K$19*04_回帰ANOVA!$K$14*SQRT(1+Y2683)</f>
        <v>1.56724990734749</v>
      </c>
      <c r="AA2683" s="0" t="n">
        <f aca="false">X2683-Z2683</f>
        <v>43.925531525401</v>
      </c>
      <c r="AB2683" s="0" t="n">
        <f aca="false">X2683+Z2683</f>
        <v>47.060031340096</v>
      </c>
      <c r="AC2683" s="54" t="b">
        <f aca="false">AND(E2683&gt;=01_因子設定!$L$5-0.000000001,E2683&lt;=01_因子設定!$M$5+0.000000001,F2683&gt;=01_因子設定!$L$6-0.000000001,F2683&lt;=01_因子設定!$M$6+0.000000001,G2683&gt;=01_因子設定!$L$7-0.000000001,G2683&lt;=01_因子設定!$M$7+0.000000001,H2683&gt;=01_因子設定!$L$8-0.000000001,H2683&lt;=01_因子設定!$M$8+0.000000001,IF(01_因子設定!$B$20="Box-Behnken",E2683^2+F2683^2+G2683^2+H2683^2&lt;=2+0.000000001,TRUE()))</f>
        <v>1</v>
      </c>
      <c r="AD2683" s="55" t="n">
        <f aca="false">IF(AC2683,IF(01_因子設定!$B$13="最大化",AA2683-01_因子設定!$B$14,IF(01_因子設定!$B$13="最小化",01_因子設定!$B$15-AB2683,MIN(AA2683-01_因子設定!$B$14,01_因子設定!$B$15-AB2683))),-1E+030)</f>
        <v>-2.574468474599</v>
      </c>
      <c r="AE2683" s="55" t="n">
        <f aca="false">IF(AC2683,IF(01_因子設定!$B$13="最大化",X2683,IF(01_因子設定!$B$13="最小化",-X2683,-ABS(X2683-01_因子設定!$B$16))),-1E+030)</f>
        <v>45.4927814327485</v>
      </c>
      <c r="AF2683" s="55" t="n">
        <f aca="false">AD2683+ROW()*0.000000001</f>
        <v>-2.574465791599</v>
      </c>
      <c r="AG2683" s="55" t="n">
        <f aca="false">AE2683+ROW()*0.000000001</f>
        <v>45.4927841157485</v>
      </c>
    </row>
    <row r="2684" customFormat="false" ht="15" hidden="false" customHeight="false" outlineLevel="0" collapsed="false">
      <c r="A2684" s="0" t="n">
        <v>3</v>
      </c>
      <c r="B2684" s="0" t="n">
        <v>6</v>
      </c>
      <c r="C2684" s="0" t="n">
        <v>0</v>
      </c>
      <c r="D2684" s="0" t="n">
        <v>6</v>
      </c>
      <c r="E2684" s="0" t="n">
        <f aca="false">-1+A2684*0.25</f>
        <v>-0.25</v>
      </c>
      <c r="F2684" s="0" t="n">
        <f aca="false">-1+B2684*0.25</f>
        <v>0.5</v>
      </c>
      <c r="G2684" s="0" t="n">
        <f aca="false">-1+C2684*0.25</f>
        <v>-1</v>
      </c>
      <c r="H2684" s="0" t="n">
        <f aca="false">-1+D2684*0.25</f>
        <v>0.5</v>
      </c>
      <c r="I2684" s="0" t="n">
        <f aca="false">1</f>
        <v>1</v>
      </c>
      <c r="J2684" s="0" t="n">
        <f aca="false">E2684</f>
        <v>-0.25</v>
      </c>
      <c r="K2684" s="0" t="n">
        <f aca="false">F2684</f>
        <v>0.5</v>
      </c>
      <c r="L2684" s="0" t="n">
        <f aca="false">G2684</f>
        <v>-1</v>
      </c>
      <c r="M2684" s="0" t="n">
        <f aca="false">H2684</f>
        <v>0.5</v>
      </c>
      <c r="N2684" s="0" t="n">
        <f aca="false">E2684*F2684</f>
        <v>-0.125</v>
      </c>
      <c r="O2684" s="0" t="n">
        <f aca="false">E2684*G2684</f>
        <v>0.25</v>
      </c>
      <c r="P2684" s="0" t="n">
        <f aca="false">E2684*H2684</f>
        <v>-0.125</v>
      </c>
      <c r="Q2684" s="0" t="n">
        <f aca="false">F2684*G2684</f>
        <v>-0.5</v>
      </c>
      <c r="R2684" s="0" t="n">
        <f aca="false">F2684*H2684</f>
        <v>0.25</v>
      </c>
      <c r="S2684" s="0" t="n">
        <f aca="false">G2684*H2684</f>
        <v>-0.5</v>
      </c>
      <c r="T2684" s="0" t="n">
        <f aca="false">E2684*E2684</f>
        <v>0.0625</v>
      </c>
      <c r="U2684" s="0" t="n">
        <f aca="false">F2684*F2684</f>
        <v>0.25</v>
      </c>
      <c r="V2684" s="0" t="n">
        <f aca="false">G2684*G2684</f>
        <v>1</v>
      </c>
      <c r="W2684" s="0" t="n">
        <f aca="false">H2684*H2684</f>
        <v>0.25</v>
      </c>
      <c r="X2684" s="0" t="n">
        <f aca="false">SUMPRODUCT(I2684:W2684,_XtX!$B$96:$P$96)</f>
        <v>45.4162097953216</v>
      </c>
      <c r="Y2684" s="0" t="n">
        <f aca="false">SUMPRODUCT(MMULT(I2684:W2684,_XtX!$B$78:$P$92),I2684:W2684)</f>
        <v>0.428122715643275</v>
      </c>
      <c r="Z2684" s="0" t="n">
        <f aca="false">04_回帰ANOVA!$K$19*04_回帰ANOVA!$K$14*SQRT(1+Y2684)</f>
        <v>1.55769044623229</v>
      </c>
      <c r="AA2684" s="0" t="n">
        <f aca="false">X2684-Z2684</f>
        <v>43.8585193490893</v>
      </c>
      <c r="AB2684" s="0" t="n">
        <f aca="false">X2684+Z2684</f>
        <v>46.9739002415539</v>
      </c>
      <c r="AC2684" s="54" t="b">
        <f aca="false">AND(E2684&gt;=01_因子設定!$L$5-0.000000001,E2684&lt;=01_因子設定!$M$5+0.000000001,F2684&gt;=01_因子設定!$L$6-0.000000001,F2684&lt;=01_因子設定!$M$6+0.000000001,G2684&gt;=01_因子設定!$L$7-0.000000001,G2684&lt;=01_因子設定!$M$7+0.000000001,H2684&gt;=01_因子設定!$L$8-0.000000001,H2684&lt;=01_因子設定!$M$8+0.000000001,IF(01_因子設定!$B$20="Box-Behnken",E2684^2+F2684^2+G2684^2+H2684^2&lt;=2+0.000000001,TRUE()))</f>
        <v>1</v>
      </c>
      <c r="AD2684" s="55" t="n">
        <f aca="false">IF(AC2684,IF(01_因子設定!$B$13="最大化",AA2684-01_因子設定!$B$14,IF(01_因子設定!$B$13="最小化",01_因子設定!$B$15-AB2684,MIN(AA2684-01_因子設定!$B$14,01_因子設定!$B$15-AB2684))),-1E+030)</f>
        <v>-2.6414806509107</v>
      </c>
      <c r="AE2684" s="55" t="n">
        <f aca="false">IF(AC2684,IF(01_因子設定!$B$13="最大化",X2684,IF(01_因子設定!$B$13="最小化",-X2684,-ABS(X2684-01_因子設定!$B$16))),-1E+030)</f>
        <v>45.4162097953216</v>
      </c>
      <c r="AF2684" s="55" t="n">
        <f aca="false">AD2684+ROW()*0.000000001</f>
        <v>-2.6414779669107</v>
      </c>
      <c r="AG2684" s="55" t="n">
        <f aca="false">AE2684+ROW()*0.000000001</f>
        <v>45.4162124793216</v>
      </c>
    </row>
    <row r="2685" customFormat="false" ht="15" hidden="false" customHeight="false" outlineLevel="0" collapsed="false">
      <c r="A2685" s="0" t="n">
        <v>3</v>
      </c>
      <c r="B2685" s="0" t="n">
        <v>6</v>
      </c>
      <c r="C2685" s="0" t="n">
        <v>0</v>
      </c>
      <c r="D2685" s="0" t="n">
        <v>7</v>
      </c>
      <c r="E2685" s="0" t="n">
        <f aca="false">-1+A2685*0.25</f>
        <v>-0.25</v>
      </c>
      <c r="F2685" s="0" t="n">
        <f aca="false">-1+B2685*0.25</f>
        <v>0.5</v>
      </c>
      <c r="G2685" s="0" t="n">
        <f aca="false">-1+C2685*0.25</f>
        <v>-1</v>
      </c>
      <c r="H2685" s="0" t="n">
        <f aca="false">-1+D2685*0.25</f>
        <v>0.75</v>
      </c>
      <c r="I2685" s="0" t="n">
        <f aca="false">1</f>
        <v>1</v>
      </c>
      <c r="J2685" s="0" t="n">
        <f aca="false">E2685</f>
        <v>-0.25</v>
      </c>
      <c r="K2685" s="0" t="n">
        <f aca="false">F2685</f>
        <v>0.5</v>
      </c>
      <c r="L2685" s="0" t="n">
        <f aca="false">G2685</f>
        <v>-1</v>
      </c>
      <c r="M2685" s="0" t="n">
        <f aca="false">H2685</f>
        <v>0.75</v>
      </c>
      <c r="N2685" s="0" t="n">
        <f aca="false">E2685*F2685</f>
        <v>-0.125</v>
      </c>
      <c r="O2685" s="0" t="n">
        <f aca="false">E2685*G2685</f>
        <v>0.25</v>
      </c>
      <c r="P2685" s="0" t="n">
        <f aca="false">E2685*H2685</f>
        <v>-0.1875</v>
      </c>
      <c r="Q2685" s="0" t="n">
        <f aca="false">F2685*G2685</f>
        <v>-0.5</v>
      </c>
      <c r="R2685" s="0" t="n">
        <f aca="false">F2685*H2685</f>
        <v>0.375</v>
      </c>
      <c r="S2685" s="0" t="n">
        <f aca="false">G2685*H2685</f>
        <v>-0.75</v>
      </c>
      <c r="T2685" s="0" t="n">
        <f aca="false">E2685*E2685</f>
        <v>0.0625</v>
      </c>
      <c r="U2685" s="0" t="n">
        <f aca="false">F2685*F2685</f>
        <v>0.25</v>
      </c>
      <c r="V2685" s="0" t="n">
        <f aca="false">G2685*G2685</f>
        <v>1</v>
      </c>
      <c r="W2685" s="0" t="n">
        <f aca="false">H2685*H2685</f>
        <v>0.5625</v>
      </c>
      <c r="X2685" s="0" t="n">
        <f aca="false">SUMPRODUCT(I2685:W2685,_XtX!$B$96:$P$96)</f>
        <v>45.2918311403508</v>
      </c>
      <c r="Y2685" s="0" t="n">
        <f aca="false">SUMPRODUCT(MMULT(I2685:W2685,_XtX!$B$78:$P$92),I2685:W2685)</f>
        <v>0.459125719572369</v>
      </c>
      <c r="Z2685" s="0" t="n">
        <f aca="false">04_回帰ANOVA!$K$19*04_回帰ANOVA!$K$14*SQRT(1+Y2685)</f>
        <v>1.57450755575573</v>
      </c>
      <c r="AA2685" s="0" t="n">
        <f aca="false">X2685-Z2685</f>
        <v>43.7173235845951</v>
      </c>
      <c r="AB2685" s="0" t="n">
        <f aca="false">X2685+Z2685</f>
        <v>46.8663386961066</v>
      </c>
      <c r="AC2685" s="54" t="b">
        <f aca="false">AND(E2685&gt;=01_因子設定!$L$5-0.000000001,E2685&lt;=01_因子設定!$M$5+0.000000001,F2685&gt;=01_因子設定!$L$6-0.000000001,F2685&lt;=01_因子設定!$M$6+0.000000001,G2685&gt;=01_因子設定!$L$7-0.000000001,G2685&lt;=01_因子設定!$M$7+0.000000001,H2685&gt;=01_因子設定!$L$8-0.000000001,H2685&lt;=01_因子設定!$M$8+0.000000001,IF(01_因子設定!$B$20="Box-Behnken",E2685^2+F2685^2+G2685^2+H2685^2&lt;=2+0.000000001,TRUE()))</f>
        <v>1</v>
      </c>
      <c r="AD2685" s="55" t="n">
        <f aca="false">IF(AC2685,IF(01_因子設定!$B$13="最大化",AA2685-01_因子設定!$B$14,IF(01_因子設定!$B$13="最小化",01_因子設定!$B$15-AB2685,MIN(AA2685-01_因子設定!$B$14,01_因子設定!$B$15-AB2685))),-1E+030)</f>
        <v>-2.78267641540489</v>
      </c>
      <c r="AE2685" s="55" t="n">
        <f aca="false">IF(AC2685,IF(01_因子設定!$B$13="最大化",X2685,IF(01_因子設定!$B$13="最小化",-X2685,-ABS(X2685-01_因子設定!$B$16))),-1E+030)</f>
        <v>45.2918311403508</v>
      </c>
      <c r="AF2685" s="55" t="n">
        <f aca="false">AD2685+ROW()*0.000000001</f>
        <v>-2.78267373040489</v>
      </c>
      <c r="AG2685" s="55" t="n">
        <f aca="false">AE2685+ROW()*0.000000001</f>
        <v>45.2918338253508</v>
      </c>
    </row>
    <row r="2686" customFormat="false" ht="15" hidden="false" customHeight="false" outlineLevel="0" collapsed="false">
      <c r="A2686" s="0" t="n">
        <v>3</v>
      </c>
      <c r="B2686" s="0" t="n">
        <v>6</v>
      </c>
      <c r="C2686" s="0" t="n">
        <v>0</v>
      </c>
      <c r="D2686" s="0" t="n">
        <v>8</v>
      </c>
      <c r="E2686" s="0" t="n">
        <f aca="false">-1+A2686*0.25</f>
        <v>-0.25</v>
      </c>
      <c r="F2686" s="0" t="n">
        <f aca="false">-1+B2686*0.25</f>
        <v>0.5</v>
      </c>
      <c r="G2686" s="0" t="n">
        <f aca="false">-1+C2686*0.25</f>
        <v>-1</v>
      </c>
      <c r="H2686" s="0" t="n">
        <f aca="false">-1+D2686*0.25</f>
        <v>1</v>
      </c>
      <c r="I2686" s="0" t="n">
        <f aca="false">1</f>
        <v>1</v>
      </c>
      <c r="J2686" s="0" t="n">
        <f aca="false">E2686</f>
        <v>-0.25</v>
      </c>
      <c r="K2686" s="0" t="n">
        <f aca="false">F2686</f>
        <v>0.5</v>
      </c>
      <c r="L2686" s="0" t="n">
        <f aca="false">G2686</f>
        <v>-1</v>
      </c>
      <c r="M2686" s="0" t="n">
        <f aca="false">H2686</f>
        <v>1</v>
      </c>
      <c r="N2686" s="0" t="n">
        <f aca="false">E2686*F2686</f>
        <v>-0.125</v>
      </c>
      <c r="O2686" s="0" t="n">
        <f aca="false">E2686*G2686</f>
        <v>0.25</v>
      </c>
      <c r="P2686" s="0" t="n">
        <f aca="false">E2686*H2686</f>
        <v>-0.25</v>
      </c>
      <c r="Q2686" s="0" t="n">
        <f aca="false">F2686*G2686</f>
        <v>-0.5</v>
      </c>
      <c r="R2686" s="0" t="n">
        <f aca="false">F2686*H2686</f>
        <v>0.5</v>
      </c>
      <c r="S2686" s="0" t="n">
        <f aca="false">G2686*H2686</f>
        <v>-1</v>
      </c>
      <c r="T2686" s="0" t="n">
        <f aca="false">E2686*E2686</f>
        <v>0.0625</v>
      </c>
      <c r="U2686" s="0" t="n">
        <f aca="false">F2686*F2686</f>
        <v>0.25</v>
      </c>
      <c r="V2686" s="0" t="n">
        <f aca="false">G2686*G2686</f>
        <v>1</v>
      </c>
      <c r="W2686" s="0" t="n">
        <f aca="false">H2686*H2686</f>
        <v>1</v>
      </c>
      <c r="X2686" s="0" t="n">
        <f aca="false">SUMPRODUCT(I2686:W2686,_XtX!$B$96:$P$96)</f>
        <v>45.1196454678362</v>
      </c>
      <c r="Y2686" s="0" t="n">
        <f aca="false">SUMPRODUCT(MMULT(I2686:W2686,_XtX!$B$78:$P$92),I2686:W2686)</f>
        <v>0.629174661915205</v>
      </c>
      <c r="Z2686" s="0" t="n">
        <f aca="false">04_回帰ANOVA!$K$19*04_回帰ANOVA!$K$14*SQRT(1+Y2686)</f>
        <v>1.66372758058297</v>
      </c>
      <c r="AA2686" s="0" t="n">
        <f aca="false">X2686-Z2686</f>
        <v>43.4559178872533</v>
      </c>
      <c r="AB2686" s="0" t="n">
        <f aca="false">X2686+Z2686</f>
        <v>46.7833730484192</v>
      </c>
      <c r="AC2686" s="54" t="b">
        <f aca="false">AND(E2686&gt;=01_因子設定!$L$5-0.000000001,E2686&lt;=01_因子設定!$M$5+0.000000001,F2686&gt;=01_因子設定!$L$6-0.000000001,F2686&lt;=01_因子設定!$M$6+0.000000001,G2686&gt;=01_因子設定!$L$7-0.000000001,G2686&lt;=01_因子設定!$M$7+0.000000001,H2686&gt;=01_因子設定!$L$8-0.000000001,H2686&lt;=01_因子設定!$M$8+0.000000001,IF(01_因子設定!$B$20="Box-Behnken",E2686^2+F2686^2+G2686^2+H2686^2&lt;=2+0.000000001,TRUE()))</f>
        <v>1</v>
      </c>
      <c r="AD2686" s="55" t="n">
        <f aca="false">IF(AC2686,IF(01_因子設定!$B$13="最大化",AA2686-01_因子設定!$B$14,IF(01_因子設定!$B$13="最小化",01_因子設定!$B$15-AB2686,MIN(AA2686-01_因子設定!$B$14,01_因子設定!$B$15-AB2686))),-1E+030)</f>
        <v>-3.04408211274674</v>
      </c>
      <c r="AE2686" s="55" t="n">
        <f aca="false">IF(AC2686,IF(01_因子設定!$B$13="最大化",X2686,IF(01_因子設定!$B$13="最小化",-X2686,-ABS(X2686-01_因子設定!$B$16))),-1E+030)</f>
        <v>45.1196454678362</v>
      </c>
      <c r="AF2686" s="55" t="n">
        <f aca="false">AD2686+ROW()*0.000000001</f>
        <v>-3.04407942674674</v>
      </c>
      <c r="AG2686" s="55" t="n">
        <f aca="false">AE2686+ROW()*0.000000001</f>
        <v>45.1196481538362</v>
      </c>
    </row>
    <row r="2687" customFormat="false" ht="15" hidden="false" customHeight="false" outlineLevel="0" collapsed="false">
      <c r="A2687" s="0" t="n">
        <v>3</v>
      </c>
      <c r="B2687" s="0" t="n">
        <v>6</v>
      </c>
      <c r="C2687" s="0" t="n">
        <v>1</v>
      </c>
      <c r="D2687" s="0" t="n">
        <v>0</v>
      </c>
      <c r="E2687" s="0" t="n">
        <f aca="false">-1+A2687*0.25</f>
        <v>-0.25</v>
      </c>
      <c r="F2687" s="0" t="n">
        <f aca="false">-1+B2687*0.25</f>
        <v>0.5</v>
      </c>
      <c r="G2687" s="0" t="n">
        <f aca="false">-1+C2687*0.25</f>
        <v>-0.75</v>
      </c>
      <c r="H2687" s="0" t="n">
        <f aca="false">-1+D2687*0.25</f>
        <v>-1</v>
      </c>
      <c r="I2687" s="0" t="n">
        <f aca="false">1</f>
        <v>1</v>
      </c>
      <c r="J2687" s="0" t="n">
        <f aca="false">E2687</f>
        <v>-0.25</v>
      </c>
      <c r="K2687" s="0" t="n">
        <f aca="false">F2687</f>
        <v>0.5</v>
      </c>
      <c r="L2687" s="0" t="n">
        <f aca="false">G2687</f>
        <v>-0.75</v>
      </c>
      <c r="M2687" s="0" t="n">
        <f aca="false">H2687</f>
        <v>-1</v>
      </c>
      <c r="N2687" s="0" t="n">
        <f aca="false">E2687*F2687</f>
        <v>-0.125</v>
      </c>
      <c r="O2687" s="0" t="n">
        <f aca="false">E2687*G2687</f>
        <v>0.1875</v>
      </c>
      <c r="P2687" s="0" t="n">
        <f aca="false">E2687*H2687</f>
        <v>0.25</v>
      </c>
      <c r="Q2687" s="0" t="n">
        <f aca="false">F2687*G2687</f>
        <v>-0.375</v>
      </c>
      <c r="R2687" s="0" t="n">
        <f aca="false">F2687*H2687</f>
        <v>-0.5</v>
      </c>
      <c r="S2687" s="0" t="n">
        <f aca="false">G2687*H2687</f>
        <v>0.75</v>
      </c>
      <c r="T2687" s="0" t="n">
        <f aca="false">E2687*E2687</f>
        <v>0.0625</v>
      </c>
      <c r="U2687" s="0" t="n">
        <f aca="false">F2687*F2687</f>
        <v>0.25</v>
      </c>
      <c r="V2687" s="0" t="n">
        <f aca="false">G2687*G2687</f>
        <v>0.5625</v>
      </c>
      <c r="W2687" s="0" t="n">
        <f aca="false">H2687*H2687</f>
        <v>1</v>
      </c>
      <c r="X2687" s="0" t="n">
        <f aca="false">SUMPRODUCT(I2687:W2687,_XtX!$B$96:$P$96)</f>
        <v>45.710754751462</v>
      </c>
      <c r="Y2687" s="0" t="n">
        <f aca="false">SUMPRODUCT(MMULT(I2687:W2687,_XtX!$B$78:$P$92),I2687:W2687)</f>
        <v>0.459125719572369</v>
      </c>
      <c r="Z2687" s="0" t="n">
        <f aca="false">04_回帰ANOVA!$K$19*04_回帰ANOVA!$K$14*SQRT(1+Y2687)</f>
        <v>1.57450755575573</v>
      </c>
      <c r="AA2687" s="0" t="n">
        <f aca="false">X2687-Z2687</f>
        <v>44.1362471957062</v>
      </c>
      <c r="AB2687" s="0" t="n">
        <f aca="false">X2687+Z2687</f>
        <v>47.2852623072177</v>
      </c>
      <c r="AC2687" s="54" t="b">
        <f aca="false">AND(E2687&gt;=01_因子設定!$L$5-0.000000001,E2687&lt;=01_因子設定!$M$5+0.000000001,F2687&gt;=01_因子設定!$L$6-0.000000001,F2687&lt;=01_因子設定!$M$6+0.000000001,G2687&gt;=01_因子設定!$L$7-0.000000001,G2687&lt;=01_因子設定!$M$7+0.000000001,H2687&gt;=01_因子設定!$L$8-0.000000001,H2687&lt;=01_因子設定!$M$8+0.000000001,IF(01_因子設定!$B$20="Box-Behnken",E2687^2+F2687^2+G2687^2+H2687^2&lt;=2+0.000000001,TRUE()))</f>
        <v>1</v>
      </c>
      <c r="AD2687" s="55" t="n">
        <f aca="false">IF(AC2687,IF(01_因子設定!$B$13="最大化",AA2687-01_因子設定!$B$14,IF(01_因子設定!$B$13="最小化",01_因子設定!$B$15-AB2687,MIN(AA2687-01_因子設定!$B$14,01_因子設定!$B$15-AB2687))),-1E+030)</f>
        <v>-2.36375280429376</v>
      </c>
      <c r="AE2687" s="55" t="n">
        <f aca="false">IF(AC2687,IF(01_因子設定!$B$13="最大化",X2687,IF(01_因子設定!$B$13="最小化",-X2687,-ABS(X2687-01_因子設定!$B$16))),-1E+030)</f>
        <v>45.710754751462</v>
      </c>
      <c r="AF2687" s="55" t="n">
        <f aca="false">AD2687+ROW()*0.000000001</f>
        <v>-2.36375011729376</v>
      </c>
      <c r="AG2687" s="55" t="n">
        <f aca="false">AE2687+ROW()*0.000000001</f>
        <v>45.710757438462</v>
      </c>
    </row>
    <row r="2688" customFormat="false" ht="15" hidden="false" customHeight="false" outlineLevel="0" collapsed="false">
      <c r="A2688" s="0" t="n">
        <v>3</v>
      </c>
      <c r="B2688" s="0" t="n">
        <v>6</v>
      </c>
      <c r="C2688" s="0" t="n">
        <v>1</v>
      </c>
      <c r="D2688" s="0" t="n">
        <v>1</v>
      </c>
      <c r="E2688" s="0" t="n">
        <f aca="false">-1+A2688*0.25</f>
        <v>-0.25</v>
      </c>
      <c r="F2688" s="0" t="n">
        <f aca="false">-1+B2688*0.25</f>
        <v>0.5</v>
      </c>
      <c r="G2688" s="0" t="n">
        <f aca="false">-1+C2688*0.25</f>
        <v>-0.75</v>
      </c>
      <c r="H2688" s="0" t="n">
        <f aca="false">-1+D2688*0.25</f>
        <v>-0.75</v>
      </c>
      <c r="I2688" s="0" t="n">
        <f aca="false">1</f>
        <v>1</v>
      </c>
      <c r="J2688" s="0" t="n">
        <f aca="false">E2688</f>
        <v>-0.25</v>
      </c>
      <c r="K2688" s="0" t="n">
        <f aca="false">F2688</f>
        <v>0.5</v>
      </c>
      <c r="L2688" s="0" t="n">
        <f aca="false">G2688</f>
        <v>-0.75</v>
      </c>
      <c r="M2688" s="0" t="n">
        <f aca="false">H2688</f>
        <v>-0.75</v>
      </c>
      <c r="N2688" s="0" t="n">
        <f aca="false">E2688*F2688</f>
        <v>-0.125</v>
      </c>
      <c r="O2688" s="0" t="n">
        <f aca="false">E2688*G2688</f>
        <v>0.1875</v>
      </c>
      <c r="P2688" s="0" t="n">
        <f aca="false">E2688*H2688</f>
        <v>0.1875</v>
      </c>
      <c r="Q2688" s="0" t="n">
        <f aca="false">F2688*G2688</f>
        <v>-0.375</v>
      </c>
      <c r="R2688" s="0" t="n">
        <f aca="false">F2688*H2688</f>
        <v>-0.375</v>
      </c>
      <c r="S2688" s="0" t="n">
        <f aca="false">G2688*H2688</f>
        <v>0.5625</v>
      </c>
      <c r="T2688" s="0" t="n">
        <f aca="false">E2688*E2688</f>
        <v>0.0625</v>
      </c>
      <c r="U2688" s="0" t="n">
        <f aca="false">F2688*F2688</f>
        <v>0.25</v>
      </c>
      <c r="V2688" s="0" t="n">
        <f aca="false">G2688*G2688</f>
        <v>0.5625</v>
      </c>
      <c r="W2688" s="0" t="n">
        <f aca="false">H2688*H2688</f>
        <v>0.5625</v>
      </c>
      <c r="X2688" s="0" t="n">
        <f aca="false">SUMPRODUCT(I2688:W2688,_XtX!$B$96:$P$96)</f>
        <v>45.8911869517544</v>
      </c>
      <c r="Y2688" s="0" t="n">
        <f aca="false">SUMPRODUCT(MMULT(I2688:W2688,_XtX!$B$78:$P$92),I2688:W2688)</f>
        <v>0.257385610836988</v>
      </c>
      <c r="Z2688" s="0" t="n">
        <f aca="false">04_回帰ANOVA!$K$19*04_回帰ANOVA!$K$14*SQRT(1+Y2688)</f>
        <v>1.46161380324158</v>
      </c>
      <c r="AA2688" s="0" t="n">
        <f aca="false">X2688-Z2688</f>
        <v>44.4295731485128</v>
      </c>
      <c r="AB2688" s="0" t="n">
        <f aca="false">X2688+Z2688</f>
        <v>47.3528007549959</v>
      </c>
      <c r="AC2688" s="54" t="b">
        <f aca="false">AND(E2688&gt;=01_因子設定!$L$5-0.000000001,E2688&lt;=01_因子設定!$M$5+0.000000001,F2688&gt;=01_因子設定!$L$6-0.000000001,F2688&lt;=01_因子設定!$M$6+0.000000001,G2688&gt;=01_因子設定!$L$7-0.000000001,G2688&lt;=01_因子設定!$M$7+0.000000001,H2688&gt;=01_因子設定!$L$8-0.000000001,H2688&lt;=01_因子設定!$M$8+0.000000001,IF(01_因子設定!$B$20="Box-Behnken",E2688^2+F2688^2+G2688^2+H2688^2&lt;=2+0.000000001,TRUE()))</f>
        <v>1</v>
      </c>
      <c r="AD2688" s="55" t="n">
        <f aca="false">IF(AC2688,IF(01_因子設定!$B$13="最大化",AA2688-01_因子設定!$B$14,IF(01_因子設定!$B$13="最小化",01_因子設定!$B$15-AB2688,MIN(AA2688-01_因子設定!$B$14,01_因子設定!$B$15-AB2688))),-1E+030)</f>
        <v>-2.07042685148723</v>
      </c>
      <c r="AE2688" s="55" t="n">
        <f aca="false">IF(AC2688,IF(01_因子設定!$B$13="最大化",X2688,IF(01_因子設定!$B$13="最小化",-X2688,-ABS(X2688-01_因子設定!$B$16))),-1E+030)</f>
        <v>45.8911869517544</v>
      </c>
      <c r="AF2688" s="55" t="n">
        <f aca="false">AD2688+ROW()*0.000000001</f>
        <v>-2.07042416348723</v>
      </c>
      <c r="AG2688" s="55" t="n">
        <f aca="false">AE2688+ROW()*0.000000001</f>
        <v>45.8911896397544</v>
      </c>
    </row>
    <row r="2689" customFormat="false" ht="15" hidden="false" customHeight="false" outlineLevel="0" collapsed="false">
      <c r="A2689" s="0" t="n">
        <v>3</v>
      </c>
      <c r="B2689" s="0" t="n">
        <v>6</v>
      </c>
      <c r="C2689" s="0" t="n">
        <v>1</v>
      </c>
      <c r="D2689" s="0" t="n">
        <v>2</v>
      </c>
      <c r="E2689" s="0" t="n">
        <f aca="false">-1+A2689*0.25</f>
        <v>-0.25</v>
      </c>
      <c r="F2689" s="0" t="n">
        <f aca="false">-1+B2689*0.25</f>
        <v>0.5</v>
      </c>
      <c r="G2689" s="0" t="n">
        <f aca="false">-1+C2689*0.25</f>
        <v>-0.75</v>
      </c>
      <c r="H2689" s="0" t="n">
        <f aca="false">-1+D2689*0.25</f>
        <v>-0.5</v>
      </c>
      <c r="I2689" s="0" t="n">
        <f aca="false">1</f>
        <v>1</v>
      </c>
      <c r="J2689" s="0" t="n">
        <f aca="false">E2689</f>
        <v>-0.25</v>
      </c>
      <c r="K2689" s="0" t="n">
        <f aca="false">F2689</f>
        <v>0.5</v>
      </c>
      <c r="L2689" s="0" t="n">
        <f aca="false">G2689</f>
        <v>-0.75</v>
      </c>
      <c r="M2689" s="0" t="n">
        <f aca="false">H2689</f>
        <v>-0.5</v>
      </c>
      <c r="N2689" s="0" t="n">
        <f aca="false">E2689*F2689</f>
        <v>-0.125</v>
      </c>
      <c r="O2689" s="0" t="n">
        <f aca="false">E2689*G2689</f>
        <v>0.1875</v>
      </c>
      <c r="P2689" s="0" t="n">
        <f aca="false">E2689*H2689</f>
        <v>0.125</v>
      </c>
      <c r="Q2689" s="0" t="n">
        <f aca="false">F2689*G2689</f>
        <v>-0.375</v>
      </c>
      <c r="R2689" s="0" t="n">
        <f aca="false">F2689*H2689</f>
        <v>-0.25</v>
      </c>
      <c r="S2689" s="0" t="n">
        <f aca="false">G2689*H2689</f>
        <v>0.375</v>
      </c>
      <c r="T2689" s="0" t="n">
        <f aca="false">E2689*E2689</f>
        <v>0.0625</v>
      </c>
      <c r="U2689" s="0" t="n">
        <f aca="false">F2689*F2689</f>
        <v>0.25</v>
      </c>
      <c r="V2689" s="0" t="n">
        <f aca="false">G2689*G2689</f>
        <v>0.5625</v>
      </c>
      <c r="W2689" s="0" t="n">
        <f aca="false">H2689*H2689</f>
        <v>0.25</v>
      </c>
      <c r="X2689" s="0" t="n">
        <f aca="false">SUMPRODUCT(I2689:W2689,_XtX!$B$96:$P$96)</f>
        <v>46.0238121345029</v>
      </c>
      <c r="Y2689" s="0" t="n">
        <f aca="false">SUMPRODUCT(MMULT(I2689:W2689,_XtX!$B$78:$P$92),I2689:W2689)</f>
        <v>0.203746059484649</v>
      </c>
      <c r="Z2689" s="0" t="n">
        <f aca="false">04_回帰ANOVA!$K$19*04_回帰ANOVA!$K$14*SQRT(1+Y2689)</f>
        <v>1.43009810755465</v>
      </c>
      <c r="AA2689" s="0" t="n">
        <f aca="false">X2689-Z2689</f>
        <v>44.5937140269482</v>
      </c>
      <c r="AB2689" s="0" t="n">
        <f aca="false">X2689+Z2689</f>
        <v>47.4539102420575</v>
      </c>
      <c r="AC2689" s="54" t="b">
        <f aca="false">AND(E2689&gt;=01_因子設定!$L$5-0.000000001,E2689&lt;=01_因子設定!$M$5+0.000000001,F2689&gt;=01_因子設定!$L$6-0.000000001,F2689&lt;=01_因子設定!$M$6+0.000000001,G2689&gt;=01_因子設定!$L$7-0.000000001,G2689&lt;=01_因子設定!$M$7+0.000000001,H2689&gt;=01_因子設定!$L$8-0.000000001,H2689&lt;=01_因子設定!$M$8+0.000000001,IF(01_因子設定!$B$20="Box-Behnken",E2689^2+F2689^2+G2689^2+H2689^2&lt;=2+0.000000001,TRUE()))</f>
        <v>1</v>
      </c>
      <c r="AD2689" s="55" t="n">
        <f aca="false">IF(AC2689,IF(01_因子設定!$B$13="最大化",AA2689-01_因子設定!$B$14,IF(01_因子設定!$B$13="最小化",01_因子設定!$B$15-AB2689,MIN(AA2689-01_因子設定!$B$14,01_因子設定!$B$15-AB2689))),-1E+030)</f>
        <v>-1.90628597305177</v>
      </c>
      <c r="AE2689" s="55" t="n">
        <f aca="false">IF(AC2689,IF(01_因子設定!$B$13="最大化",X2689,IF(01_因子設定!$B$13="最小化",-X2689,-ABS(X2689-01_因子設定!$B$16))),-1E+030)</f>
        <v>46.0238121345029</v>
      </c>
      <c r="AF2689" s="55" t="n">
        <f aca="false">AD2689+ROW()*0.000000001</f>
        <v>-1.90628328405177</v>
      </c>
      <c r="AG2689" s="55" t="n">
        <f aca="false">AE2689+ROW()*0.000000001</f>
        <v>46.0238148235029</v>
      </c>
    </row>
    <row r="2690" customFormat="false" ht="15" hidden="false" customHeight="false" outlineLevel="0" collapsed="false">
      <c r="A2690" s="0" t="n">
        <v>3</v>
      </c>
      <c r="B2690" s="0" t="n">
        <v>6</v>
      </c>
      <c r="C2690" s="0" t="n">
        <v>1</v>
      </c>
      <c r="D2690" s="0" t="n">
        <v>3</v>
      </c>
      <c r="E2690" s="0" t="n">
        <f aca="false">-1+A2690*0.25</f>
        <v>-0.25</v>
      </c>
      <c r="F2690" s="0" t="n">
        <f aca="false">-1+B2690*0.25</f>
        <v>0.5</v>
      </c>
      <c r="G2690" s="0" t="n">
        <f aca="false">-1+C2690*0.25</f>
        <v>-0.75</v>
      </c>
      <c r="H2690" s="0" t="n">
        <f aca="false">-1+D2690*0.25</f>
        <v>-0.25</v>
      </c>
      <c r="I2690" s="0" t="n">
        <f aca="false">1</f>
        <v>1</v>
      </c>
      <c r="J2690" s="0" t="n">
        <f aca="false">E2690</f>
        <v>-0.25</v>
      </c>
      <c r="K2690" s="0" t="n">
        <f aca="false">F2690</f>
        <v>0.5</v>
      </c>
      <c r="L2690" s="0" t="n">
        <f aca="false">G2690</f>
        <v>-0.75</v>
      </c>
      <c r="M2690" s="0" t="n">
        <f aca="false">H2690</f>
        <v>-0.25</v>
      </c>
      <c r="N2690" s="0" t="n">
        <f aca="false">E2690*F2690</f>
        <v>-0.125</v>
      </c>
      <c r="O2690" s="0" t="n">
        <f aca="false">E2690*G2690</f>
        <v>0.1875</v>
      </c>
      <c r="P2690" s="0" t="n">
        <f aca="false">E2690*H2690</f>
        <v>0.0625</v>
      </c>
      <c r="Q2690" s="0" t="n">
        <f aca="false">F2690*G2690</f>
        <v>-0.375</v>
      </c>
      <c r="R2690" s="0" t="n">
        <f aca="false">F2690*H2690</f>
        <v>-0.125</v>
      </c>
      <c r="S2690" s="0" t="n">
        <f aca="false">G2690*H2690</f>
        <v>0.1875</v>
      </c>
      <c r="T2690" s="0" t="n">
        <f aca="false">E2690*E2690</f>
        <v>0.0625</v>
      </c>
      <c r="U2690" s="0" t="n">
        <f aca="false">F2690*F2690</f>
        <v>0.25</v>
      </c>
      <c r="V2690" s="0" t="n">
        <f aca="false">G2690*G2690</f>
        <v>0.5625</v>
      </c>
      <c r="W2690" s="0" t="n">
        <f aca="false">H2690*H2690</f>
        <v>0.0625</v>
      </c>
      <c r="X2690" s="0" t="n">
        <f aca="false">SUMPRODUCT(I2690:W2690,_XtX!$B$96:$P$96)</f>
        <v>46.1086302997076</v>
      </c>
      <c r="Y2690" s="0" t="n">
        <f aca="false">SUMPRODUCT(MMULT(I2690:W2690,_XtX!$B$78:$P$92),I2690:W2690)</f>
        <v>0.207746539199561</v>
      </c>
      <c r="Z2690" s="0" t="n">
        <f aca="false">04_回帰ANOVA!$K$19*04_回帰ANOVA!$K$14*SQRT(1+Y2690)</f>
        <v>1.43247250081141</v>
      </c>
      <c r="AA2690" s="0" t="n">
        <f aca="false">X2690-Z2690</f>
        <v>44.6761577988961</v>
      </c>
      <c r="AB2690" s="0" t="n">
        <f aca="false">X2690+Z2690</f>
        <v>47.541102800519</v>
      </c>
      <c r="AC2690" s="54" t="b">
        <f aca="false">AND(E2690&gt;=01_因子設定!$L$5-0.000000001,E2690&lt;=01_因子設定!$M$5+0.000000001,F2690&gt;=01_因子設定!$L$6-0.000000001,F2690&lt;=01_因子設定!$M$6+0.000000001,G2690&gt;=01_因子設定!$L$7-0.000000001,G2690&lt;=01_因子設定!$M$7+0.000000001,H2690&gt;=01_因子設定!$L$8-0.000000001,H2690&lt;=01_因子設定!$M$8+0.000000001,IF(01_因子設定!$B$20="Box-Behnken",E2690^2+F2690^2+G2690^2+H2690^2&lt;=2+0.000000001,TRUE()))</f>
        <v>1</v>
      </c>
      <c r="AD2690" s="55" t="n">
        <f aca="false">IF(AC2690,IF(01_因子設定!$B$13="最大化",AA2690-01_因子設定!$B$14,IF(01_因子設定!$B$13="最小化",01_因子設定!$B$15-AB2690,MIN(AA2690-01_因子設定!$B$14,01_因子設定!$B$15-AB2690))),-1E+030)</f>
        <v>-1.82384220110386</v>
      </c>
      <c r="AE2690" s="55" t="n">
        <f aca="false">IF(AC2690,IF(01_因子設定!$B$13="最大化",X2690,IF(01_因子設定!$B$13="最小化",-X2690,-ABS(X2690-01_因子設定!$B$16))),-1E+030)</f>
        <v>46.1086302997076</v>
      </c>
      <c r="AF2690" s="55" t="n">
        <f aca="false">AD2690+ROW()*0.000000001</f>
        <v>-1.82383951110386</v>
      </c>
      <c r="AG2690" s="55" t="n">
        <f aca="false">AE2690+ROW()*0.000000001</f>
        <v>46.1086329897076</v>
      </c>
    </row>
    <row r="2691" customFormat="false" ht="15" hidden="false" customHeight="false" outlineLevel="0" collapsed="false">
      <c r="A2691" s="0" t="n">
        <v>3</v>
      </c>
      <c r="B2691" s="0" t="n">
        <v>6</v>
      </c>
      <c r="C2691" s="0" t="n">
        <v>1</v>
      </c>
      <c r="D2691" s="0" t="n">
        <v>4</v>
      </c>
      <c r="E2691" s="0" t="n">
        <f aca="false">-1+A2691*0.25</f>
        <v>-0.25</v>
      </c>
      <c r="F2691" s="0" t="n">
        <f aca="false">-1+B2691*0.25</f>
        <v>0.5</v>
      </c>
      <c r="G2691" s="0" t="n">
        <f aca="false">-1+C2691*0.25</f>
        <v>-0.75</v>
      </c>
      <c r="H2691" s="0" t="n">
        <f aca="false">-1+D2691*0.25</f>
        <v>0</v>
      </c>
      <c r="I2691" s="0" t="n">
        <f aca="false">1</f>
        <v>1</v>
      </c>
      <c r="J2691" s="0" t="n">
        <f aca="false">E2691</f>
        <v>-0.25</v>
      </c>
      <c r="K2691" s="0" t="n">
        <f aca="false">F2691</f>
        <v>0.5</v>
      </c>
      <c r="L2691" s="0" t="n">
        <f aca="false">G2691</f>
        <v>-0.75</v>
      </c>
      <c r="M2691" s="0" t="n">
        <f aca="false">H2691</f>
        <v>0</v>
      </c>
      <c r="N2691" s="0" t="n">
        <f aca="false">E2691*F2691</f>
        <v>-0.125</v>
      </c>
      <c r="O2691" s="0" t="n">
        <f aca="false">E2691*G2691</f>
        <v>0.1875</v>
      </c>
      <c r="P2691" s="0" t="n">
        <f aca="false">E2691*H2691</f>
        <v>-0</v>
      </c>
      <c r="Q2691" s="0" t="n">
        <f aca="false">F2691*G2691</f>
        <v>-0.375</v>
      </c>
      <c r="R2691" s="0" t="n">
        <f aca="false">F2691*H2691</f>
        <v>0</v>
      </c>
      <c r="S2691" s="0" t="n">
        <f aca="false">G2691*H2691</f>
        <v>-0</v>
      </c>
      <c r="T2691" s="0" t="n">
        <f aca="false">E2691*E2691</f>
        <v>0.0625</v>
      </c>
      <c r="U2691" s="0" t="n">
        <f aca="false">F2691*F2691</f>
        <v>0.25</v>
      </c>
      <c r="V2691" s="0" t="n">
        <f aca="false">G2691*G2691</f>
        <v>0.5625</v>
      </c>
      <c r="W2691" s="0" t="n">
        <f aca="false">H2691*H2691</f>
        <v>0</v>
      </c>
      <c r="X2691" s="0" t="n">
        <f aca="false">SUMPRODUCT(I2691:W2691,_XtX!$B$96:$P$96)</f>
        <v>46.1456414473684</v>
      </c>
      <c r="Y2691" s="0" t="n">
        <f aca="false">SUMPRODUCT(MMULT(I2691:W2691,_XtX!$B$78:$P$92),I2691:W2691)</f>
        <v>0.215110734192252</v>
      </c>
      <c r="Z2691" s="0" t="n">
        <f aca="false">04_回帰ANOVA!$K$19*04_回帰ANOVA!$K$14*SQRT(1+Y2691)</f>
        <v>1.43683309086864</v>
      </c>
      <c r="AA2691" s="0" t="n">
        <f aca="false">X2691-Z2691</f>
        <v>44.7088083564997</v>
      </c>
      <c r="AB2691" s="0" t="n">
        <f aca="false">X2691+Z2691</f>
        <v>47.582474538237</v>
      </c>
      <c r="AC2691" s="54" t="b">
        <f aca="false">AND(E2691&gt;=01_因子設定!$L$5-0.000000001,E2691&lt;=01_因子設定!$M$5+0.000000001,F2691&gt;=01_因子設定!$L$6-0.000000001,F2691&lt;=01_因子設定!$M$6+0.000000001,G2691&gt;=01_因子設定!$L$7-0.000000001,G2691&lt;=01_因子設定!$M$7+0.000000001,H2691&gt;=01_因子設定!$L$8-0.000000001,H2691&lt;=01_因子設定!$M$8+0.000000001,IF(01_因子設定!$B$20="Box-Behnken",E2691^2+F2691^2+G2691^2+H2691^2&lt;=2+0.000000001,TRUE()))</f>
        <v>1</v>
      </c>
      <c r="AD2691" s="55" t="n">
        <f aca="false">IF(AC2691,IF(01_因子設定!$B$13="最大化",AA2691-01_因子設定!$B$14,IF(01_因子設定!$B$13="最小化",01_因子設定!$B$15-AB2691,MIN(AA2691-01_因子設定!$B$14,01_因子設定!$B$15-AB2691))),-1E+030)</f>
        <v>-1.79119164350028</v>
      </c>
      <c r="AE2691" s="55" t="n">
        <f aca="false">IF(AC2691,IF(01_因子設定!$B$13="最大化",X2691,IF(01_因子設定!$B$13="最小化",-X2691,-ABS(X2691-01_因子設定!$B$16))),-1E+030)</f>
        <v>46.1456414473684</v>
      </c>
      <c r="AF2691" s="55" t="n">
        <f aca="false">AD2691+ROW()*0.000000001</f>
        <v>-1.79118895250028</v>
      </c>
      <c r="AG2691" s="55" t="n">
        <f aca="false">AE2691+ROW()*0.000000001</f>
        <v>46.1456441383684</v>
      </c>
    </row>
    <row r="2692" customFormat="false" ht="15" hidden="false" customHeight="false" outlineLevel="0" collapsed="false">
      <c r="A2692" s="0" t="n">
        <v>3</v>
      </c>
      <c r="B2692" s="0" t="n">
        <v>6</v>
      </c>
      <c r="C2692" s="0" t="n">
        <v>1</v>
      </c>
      <c r="D2692" s="0" t="n">
        <v>5</v>
      </c>
      <c r="E2692" s="0" t="n">
        <f aca="false">-1+A2692*0.25</f>
        <v>-0.25</v>
      </c>
      <c r="F2692" s="0" t="n">
        <f aca="false">-1+B2692*0.25</f>
        <v>0.5</v>
      </c>
      <c r="G2692" s="0" t="n">
        <f aca="false">-1+C2692*0.25</f>
        <v>-0.75</v>
      </c>
      <c r="H2692" s="0" t="n">
        <f aca="false">-1+D2692*0.25</f>
        <v>0.25</v>
      </c>
      <c r="I2692" s="0" t="n">
        <f aca="false">1</f>
        <v>1</v>
      </c>
      <c r="J2692" s="0" t="n">
        <f aca="false">E2692</f>
        <v>-0.25</v>
      </c>
      <c r="K2692" s="0" t="n">
        <f aca="false">F2692</f>
        <v>0.5</v>
      </c>
      <c r="L2692" s="0" t="n">
        <f aca="false">G2692</f>
        <v>-0.75</v>
      </c>
      <c r="M2692" s="0" t="n">
        <f aca="false">H2692</f>
        <v>0.25</v>
      </c>
      <c r="N2692" s="0" t="n">
        <f aca="false">E2692*F2692</f>
        <v>-0.125</v>
      </c>
      <c r="O2692" s="0" t="n">
        <f aca="false">E2692*G2692</f>
        <v>0.1875</v>
      </c>
      <c r="P2692" s="0" t="n">
        <f aca="false">E2692*H2692</f>
        <v>-0.0625</v>
      </c>
      <c r="Q2692" s="0" t="n">
        <f aca="false">F2692*G2692</f>
        <v>-0.375</v>
      </c>
      <c r="R2692" s="0" t="n">
        <f aca="false">F2692*H2692</f>
        <v>0.125</v>
      </c>
      <c r="S2692" s="0" t="n">
        <f aca="false">G2692*H2692</f>
        <v>-0.1875</v>
      </c>
      <c r="T2692" s="0" t="n">
        <f aca="false">E2692*E2692</f>
        <v>0.0625</v>
      </c>
      <c r="U2692" s="0" t="n">
        <f aca="false">F2692*F2692</f>
        <v>0.25</v>
      </c>
      <c r="V2692" s="0" t="n">
        <f aca="false">G2692*G2692</f>
        <v>0.5625</v>
      </c>
      <c r="W2692" s="0" t="n">
        <f aca="false">H2692*H2692</f>
        <v>0.0625</v>
      </c>
      <c r="X2692" s="0" t="n">
        <f aca="false">SUMPRODUCT(I2692:W2692,_XtX!$B$96:$P$96)</f>
        <v>46.1348455774853</v>
      </c>
      <c r="Y2692" s="0" t="n">
        <f aca="false">SUMPRODUCT(MMULT(I2692:W2692,_XtX!$B$78:$P$92),I2692:W2692)</f>
        <v>0.207746539199561</v>
      </c>
      <c r="Z2692" s="0" t="n">
        <f aca="false">04_回帰ANOVA!$K$19*04_回帰ANOVA!$K$14*SQRT(1+Y2692)</f>
        <v>1.43247250081141</v>
      </c>
      <c r="AA2692" s="0" t="n">
        <f aca="false">X2692-Z2692</f>
        <v>44.7023730766739</v>
      </c>
      <c r="AB2692" s="0" t="n">
        <f aca="false">X2692+Z2692</f>
        <v>47.5673180782967</v>
      </c>
      <c r="AC2692" s="54" t="b">
        <f aca="false">AND(E2692&gt;=01_因子設定!$L$5-0.000000001,E2692&lt;=01_因子設定!$M$5+0.000000001,F2692&gt;=01_因子設定!$L$6-0.000000001,F2692&lt;=01_因子設定!$M$6+0.000000001,G2692&gt;=01_因子設定!$L$7-0.000000001,G2692&lt;=01_因子設定!$M$7+0.000000001,H2692&gt;=01_因子設定!$L$8-0.000000001,H2692&lt;=01_因子設定!$M$8+0.000000001,IF(01_因子設定!$B$20="Box-Behnken",E2692^2+F2692^2+G2692^2+H2692^2&lt;=2+0.000000001,TRUE()))</f>
        <v>1</v>
      </c>
      <c r="AD2692" s="55" t="n">
        <f aca="false">IF(AC2692,IF(01_因子設定!$B$13="最大化",AA2692-01_因子設定!$B$14,IF(01_因子設定!$B$13="最小化",01_因子設定!$B$15-AB2692,MIN(AA2692-01_因子設定!$B$14,01_因子設定!$B$15-AB2692))),-1E+030)</f>
        <v>-1.79762692332609</v>
      </c>
      <c r="AE2692" s="55" t="n">
        <f aca="false">IF(AC2692,IF(01_因子設定!$B$13="最大化",X2692,IF(01_因子設定!$B$13="最小化",-X2692,-ABS(X2692-01_因子設定!$B$16))),-1E+030)</f>
        <v>46.1348455774853</v>
      </c>
      <c r="AF2692" s="55" t="n">
        <f aca="false">AD2692+ROW()*0.000000001</f>
        <v>-1.79762423132609</v>
      </c>
      <c r="AG2692" s="55" t="n">
        <f aca="false">AE2692+ROW()*0.000000001</f>
        <v>46.1348482694853</v>
      </c>
    </row>
    <row r="2693" customFormat="false" ht="15" hidden="false" customHeight="false" outlineLevel="0" collapsed="false">
      <c r="A2693" s="0" t="n">
        <v>3</v>
      </c>
      <c r="B2693" s="0" t="n">
        <v>6</v>
      </c>
      <c r="C2693" s="0" t="n">
        <v>1</v>
      </c>
      <c r="D2693" s="0" t="n">
        <v>6</v>
      </c>
      <c r="E2693" s="0" t="n">
        <f aca="false">-1+A2693*0.25</f>
        <v>-0.25</v>
      </c>
      <c r="F2693" s="0" t="n">
        <f aca="false">-1+B2693*0.25</f>
        <v>0.5</v>
      </c>
      <c r="G2693" s="0" t="n">
        <f aca="false">-1+C2693*0.25</f>
        <v>-0.75</v>
      </c>
      <c r="H2693" s="0" t="n">
        <f aca="false">-1+D2693*0.25</f>
        <v>0.5</v>
      </c>
      <c r="I2693" s="0" t="n">
        <f aca="false">1</f>
        <v>1</v>
      </c>
      <c r="J2693" s="0" t="n">
        <f aca="false">E2693</f>
        <v>-0.25</v>
      </c>
      <c r="K2693" s="0" t="n">
        <f aca="false">F2693</f>
        <v>0.5</v>
      </c>
      <c r="L2693" s="0" t="n">
        <f aca="false">G2693</f>
        <v>-0.75</v>
      </c>
      <c r="M2693" s="0" t="n">
        <f aca="false">H2693</f>
        <v>0.5</v>
      </c>
      <c r="N2693" s="0" t="n">
        <f aca="false">E2693*F2693</f>
        <v>-0.125</v>
      </c>
      <c r="O2693" s="0" t="n">
        <f aca="false">E2693*G2693</f>
        <v>0.1875</v>
      </c>
      <c r="P2693" s="0" t="n">
        <f aca="false">E2693*H2693</f>
        <v>-0.125</v>
      </c>
      <c r="Q2693" s="0" t="n">
        <f aca="false">F2693*G2693</f>
        <v>-0.375</v>
      </c>
      <c r="R2693" s="0" t="n">
        <f aca="false">F2693*H2693</f>
        <v>0.25</v>
      </c>
      <c r="S2693" s="0" t="n">
        <f aca="false">G2693*H2693</f>
        <v>-0.375</v>
      </c>
      <c r="T2693" s="0" t="n">
        <f aca="false">E2693*E2693</f>
        <v>0.0625</v>
      </c>
      <c r="U2693" s="0" t="n">
        <f aca="false">F2693*F2693</f>
        <v>0.25</v>
      </c>
      <c r="V2693" s="0" t="n">
        <f aca="false">G2693*G2693</f>
        <v>0.5625</v>
      </c>
      <c r="W2693" s="0" t="n">
        <f aca="false">H2693*H2693</f>
        <v>0.25</v>
      </c>
      <c r="X2693" s="0" t="n">
        <f aca="false">SUMPRODUCT(I2693:W2693,_XtX!$B$96:$P$96)</f>
        <v>46.0762426900584</v>
      </c>
      <c r="Y2693" s="0" t="n">
        <f aca="false">SUMPRODUCT(MMULT(I2693:W2693,_XtX!$B$78:$P$92),I2693:W2693)</f>
        <v>0.203746059484649</v>
      </c>
      <c r="Z2693" s="0" t="n">
        <f aca="false">04_回帰ANOVA!$K$19*04_回帰ANOVA!$K$14*SQRT(1+Y2693)</f>
        <v>1.43009810755465</v>
      </c>
      <c r="AA2693" s="0" t="n">
        <f aca="false">X2693-Z2693</f>
        <v>44.6461445825038</v>
      </c>
      <c r="AB2693" s="0" t="n">
        <f aca="false">X2693+Z2693</f>
        <v>47.5063407976131</v>
      </c>
      <c r="AC2693" s="54" t="b">
        <f aca="false">AND(E2693&gt;=01_因子設定!$L$5-0.000000001,E2693&lt;=01_因子設定!$M$5+0.000000001,F2693&gt;=01_因子設定!$L$6-0.000000001,F2693&lt;=01_因子設定!$M$6+0.000000001,G2693&gt;=01_因子設定!$L$7-0.000000001,G2693&lt;=01_因子設定!$M$7+0.000000001,H2693&gt;=01_因子設定!$L$8-0.000000001,H2693&lt;=01_因子設定!$M$8+0.000000001,IF(01_因子設定!$B$20="Box-Behnken",E2693^2+F2693^2+G2693^2+H2693^2&lt;=2+0.000000001,TRUE()))</f>
        <v>1</v>
      </c>
      <c r="AD2693" s="55" t="n">
        <f aca="false">IF(AC2693,IF(01_因子設定!$B$13="最大化",AA2693-01_因子設定!$B$14,IF(01_因子設定!$B$13="最小化",01_因子設定!$B$15-AB2693,MIN(AA2693-01_因子設定!$B$14,01_因子設定!$B$15-AB2693))),-1E+030)</f>
        <v>-1.85385541749622</v>
      </c>
      <c r="AE2693" s="55" t="n">
        <f aca="false">IF(AC2693,IF(01_因子設定!$B$13="最大化",X2693,IF(01_因子設定!$B$13="最小化",-X2693,-ABS(X2693-01_因子設定!$B$16))),-1E+030)</f>
        <v>46.0762426900584</v>
      </c>
      <c r="AF2693" s="55" t="n">
        <f aca="false">AD2693+ROW()*0.000000001</f>
        <v>-1.85385272449622</v>
      </c>
      <c r="AG2693" s="55" t="n">
        <f aca="false">AE2693+ROW()*0.000000001</f>
        <v>46.0762453830584</v>
      </c>
    </row>
    <row r="2694" customFormat="false" ht="15" hidden="false" customHeight="false" outlineLevel="0" collapsed="false">
      <c r="A2694" s="0" t="n">
        <v>3</v>
      </c>
      <c r="B2694" s="0" t="n">
        <v>6</v>
      </c>
      <c r="C2694" s="0" t="n">
        <v>1</v>
      </c>
      <c r="D2694" s="0" t="n">
        <v>7</v>
      </c>
      <c r="E2694" s="0" t="n">
        <f aca="false">-1+A2694*0.25</f>
        <v>-0.25</v>
      </c>
      <c r="F2694" s="0" t="n">
        <f aca="false">-1+B2694*0.25</f>
        <v>0.5</v>
      </c>
      <c r="G2694" s="0" t="n">
        <f aca="false">-1+C2694*0.25</f>
        <v>-0.75</v>
      </c>
      <c r="H2694" s="0" t="n">
        <f aca="false">-1+D2694*0.25</f>
        <v>0.75</v>
      </c>
      <c r="I2694" s="0" t="n">
        <f aca="false">1</f>
        <v>1</v>
      </c>
      <c r="J2694" s="0" t="n">
        <f aca="false">E2694</f>
        <v>-0.25</v>
      </c>
      <c r="K2694" s="0" t="n">
        <f aca="false">F2694</f>
        <v>0.5</v>
      </c>
      <c r="L2694" s="0" t="n">
        <f aca="false">G2694</f>
        <v>-0.75</v>
      </c>
      <c r="M2694" s="0" t="n">
        <f aca="false">H2694</f>
        <v>0.75</v>
      </c>
      <c r="N2694" s="0" t="n">
        <f aca="false">E2694*F2694</f>
        <v>-0.125</v>
      </c>
      <c r="O2694" s="0" t="n">
        <f aca="false">E2694*G2694</f>
        <v>0.1875</v>
      </c>
      <c r="P2694" s="0" t="n">
        <f aca="false">E2694*H2694</f>
        <v>-0.1875</v>
      </c>
      <c r="Q2694" s="0" t="n">
        <f aca="false">F2694*G2694</f>
        <v>-0.375</v>
      </c>
      <c r="R2694" s="0" t="n">
        <f aca="false">F2694*H2694</f>
        <v>0.375</v>
      </c>
      <c r="S2694" s="0" t="n">
        <f aca="false">G2694*H2694</f>
        <v>-0.5625</v>
      </c>
      <c r="T2694" s="0" t="n">
        <f aca="false">E2694*E2694</f>
        <v>0.0625</v>
      </c>
      <c r="U2694" s="0" t="n">
        <f aca="false">F2694*F2694</f>
        <v>0.25</v>
      </c>
      <c r="V2694" s="0" t="n">
        <f aca="false">G2694*G2694</f>
        <v>0.5625</v>
      </c>
      <c r="W2694" s="0" t="n">
        <f aca="false">H2694*H2694</f>
        <v>0.5625</v>
      </c>
      <c r="X2694" s="0" t="n">
        <f aca="false">SUMPRODUCT(I2694:W2694,_XtX!$B$96:$P$96)</f>
        <v>45.9698327850877</v>
      </c>
      <c r="Y2694" s="0" t="n">
        <f aca="false">SUMPRODUCT(MMULT(I2694:W2694,_XtX!$B$78:$P$92),I2694:W2694)</f>
        <v>0.257385610836988</v>
      </c>
      <c r="Z2694" s="0" t="n">
        <f aca="false">04_回帰ANOVA!$K$19*04_回帰ANOVA!$K$14*SQRT(1+Y2694)</f>
        <v>1.46161380324158</v>
      </c>
      <c r="AA2694" s="0" t="n">
        <f aca="false">X2694-Z2694</f>
        <v>44.5082189818461</v>
      </c>
      <c r="AB2694" s="0" t="n">
        <f aca="false">X2694+Z2694</f>
        <v>47.4314465883293</v>
      </c>
      <c r="AC2694" s="54" t="b">
        <f aca="false">AND(E2694&gt;=01_因子設定!$L$5-0.000000001,E2694&lt;=01_因子設定!$M$5+0.000000001,F2694&gt;=01_因子設定!$L$6-0.000000001,F2694&lt;=01_因子設定!$M$6+0.000000001,G2694&gt;=01_因子設定!$L$7-0.000000001,G2694&lt;=01_因子設定!$M$7+0.000000001,H2694&gt;=01_因子設定!$L$8-0.000000001,H2694&lt;=01_因子設定!$M$8+0.000000001,IF(01_因子設定!$B$20="Box-Behnken",E2694^2+F2694^2+G2694^2+H2694^2&lt;=2+0.000000001,TRUE()))</f>
        <v>1</v>
      </c>
      <c r="AD2694" s="55" t="n">
        <f aca="false">IF(AC2694,IF(01_因子設定!$B$13="最大化",AA2694-01_因子設定!$B$14,IF(01_因子設定!$B$13="最小化",01_因子設定!$B$15-AB2694,MIN(AA2694-01_因子設定!$B$14,01_因子設定!$B$15-AB2694))),-1E+030)</f>
        <v>-1.9917810181539</v>
      </c>
      <c r="AE2694" s="55" t="n">
        <f aca="false">IF(AC2694,IF(01_因子設定!$B$13="最大化",X2694,IF(01_因子設定!$B$13="最小化",-X2694,-ABS(X2694-01_因子設定!$B$16))),-1E+030)</f>
        <v>45.9698327850877</v>
      </c>
      <c r="AF2694" s="55" t="n">
        <f aca="false">AD2694+ROW()*0.000000001</f>
        <v>-1.9917783241539</v>
      </c>
      <c r="AG2694" s="55" t="n">
        <f aca="false">AE2694+ROW()*0.000000001</f>
        <v>45.9698354790877</v>
      </c>
    </row>
    <row r="2695" customFormat="false" ht="15" hidden="false" customHeight="false" outlineLevel="0" collapsed="false">
      <c r="A2695" s="0" t="n">
        <v>3</v>
      </c>
      <c r="B2695" s="0" t="n">
        <v>6</v>
      </c>
      <c r="C2695" s="0" t="n">
        <v>1</v>
      </c>
      <c r="D2695" s="0" t="n">
        <v>8</v>
      </c>
      <c r="E2695" s="0" t="n">
        <f aca="false">-1+A2695*0.25</f>
        <v>-0.25</v>
      </c>
      <c r="F2695" s="0" t="n">
        <f aca="false">-1+B2695*0.25</f>
        <v>0.5</v>
      </c>
      <c r="G2695" s="0" t="n">
        <f aca="false">-1+C2695*0.25</f>
        <v>-0.75</v>
      </c>
      <c r="H2695" s="0" t="n">
        <f aca="false">-1+D2695*0.25</f>
        <v>1</v>
      </c>
      <c r="I2695" s="0" t="n">
        <f aca="false">1</f>
        <v>1</v>
      </c>
      <c r="J2695" s="0" t="n">
        <f aca="false">E2695</f>
        <v>-0.25</v>
      </c>
      <c r="K2695" s="0" t="n">
        <f aca="false">F2695</f>
        <v>0.5</v>
      </c>
      <c r="L2695" s="0" t="n">
        <f aca="false">G2695</f>
        <v>-0.75</v>
      </c>
      <c r="M2695" s="0" t="n">
        <f aca="false">H2695</f>
        <v>1</v>
      </c>
      <c r="N2695" s="0" t="n">
        <f aca="false">E2695*F2695</f>
        <v>-0.125</v>
      </c>
      <c r="O2695" s="0" t="n">
        <f aca="false">E2695*G2695</f>
        <v>0.1875</v>
      </c>
      <c r="P2695" s="0" t="n">
        <f aca="false">E2695*H2695</f>
        <v>-0.25</v>
      </c>
      <c r="Q2695" s="0" t="n">
        <f aca="false">F2695*G2695</f>
        <v>-0.375</v>
      </c>
      <c r="R2695" s="0" t="n">
        <f aca="false">F2695*H2695</f>
        <v>0.5</v>
      </c>
      <c r="S2695" s="0" t="n">
        <f aca="false">G2695*H2695</f>
        <v>-0.75</v>
      </c>
      <c r="T2695" s="0" t="n">
        <f aca="false">E2695*E2695</f>
        <v>0.0625</v>
      </c>
      <c r="U2695" s="0" t="n">
        <f aca="false">F2695*F2695</f>
        <v>0.25</v>
      </c>
      <c r="V2695" s="0" t="n">
        <f aca="false">G2695*G2695</f>
        <v>0.5625</v>
      </c>
      <c r="W2695" s="0" t="n">
        <f aca="false">H2695*H2695</f>
        <v>1</v>
      </c>
      <c r="X2695" s="0" t="n">
        <f aca="false">SUMPRODUCT(I2695:W2695,_XtX!$B$96:$P$96)</f>
        <v>45.8156158625731</v>
      </c>
      <c r="Y2695" s="0" t="n">
        <f aca="false">SUMPRODUCT(MMULT(I2695:W2695,_XtX!$B$78:$P$92),I2695:W2695)</f>
        <v>0.459125719572369</v>
      </c>
      <c r="Z2695" s="0" t="n">
        <f aca="false">04_回帰ANOVA!$K$19*04_回帰ANOVA!$K$14*SQRT(1+Y2695)</f>
        <v>1.57450755575573</v>
      </c>
      <c r="AA2695" s="0" t="n">
        <f aca="false">X2695-Z2695</f>
        <v>44.2411083068173</v>
      </c>
      <c r="AB2695" s="0" t="n">
        <f aca="false">X2695+Z2695</f>
        <v>47.3901234183288</v>
      </c>
      <c r="AC2695" s="54" t="b">
        <f aca="false">AND(E2695&gt;=01_因子設定!$L$5-0.000000001,E2695&lt;=01_因子設定!$M$5+0.000000001,F2695&gt;=01_因子設定!$L$6-0.000000001,F2695&lt;=01_因子設定!$M$6+0.000000001,G2695&gt;=01_因子設定!$L$7-0.000000001,G2695&lt;=01_因子設定!$M$7+0.000000001,H2695&gt;=01_因子設定!$L$8-0.000000001,H2695&lt;=01_因子設定!$M$8+0.000000001,IF(01_因子設定!$B$20="Box-Behnken",E2695^2+F2695^2+G2695^2+H2695^2&lt;=2+0.000000001,TRUE()))</f>
        <v>1</v>
      </c>
      <c r="AD2695" s="55" t="n">
        <f aca="false">IF(AC2695,IF(01_因子設定!$B$13="最大化",AA2695-01_因子設定!$B$14,IF(01_因子設定!$B$13="最小化",01_因子設定!$B$15-AB2695,MIN(AA2695-01_因子設定!$B$14,01_因子設定!$B$15-AB2695))),-1E+030)</f>
        <v>-2.25889169318265</v>
      </c>
      <c r="AE2695" s="55" t="n">
        <f aca="false">IF(AC2695,IF(01_因子設定!$B$13="最大化",X2695,IF(01_因子設定!$B$13="最小化",-X2695,-ABS(X2695-01_因子設定!$B$16))),-1E+030)</f>
        <v>45.8156158625731</v>
      </c>
      <c r="AF2695" s="55" t="n">
        <f aca="false">AD2695+ROW()*0.000000001</f>
        <v>-2.25888899818265</v>
      </c>
      <c r="AG2695" s="55" t="n">
        <f aca="false">AE2695+ROW()*0.000000001</f>
        <v>45.8156185575731</v>
      </c>
    </row>
    <row r="2696" customFormat="false" ht="15" hidden="false" customHeight="false" outlineLevel="0" collapsed="false">
      <c r="A2696" s="0" t="n">
        <v>3</v>
      </c>
      <c r="B2696" s="0" t="n">
        <v>6</v>
      </c>
      <c r="C2696" s="0" t="n">
        <v>2</v>
      </c>
      <c r="D2696" s="0" t="n">
        <v>0</v>
      </c>
      <c r="E2696" s="0" t="n">
        <f aca="false">-1+A2696*0.25</f>
        <v>-0.25</v>
      </c>
      <c r="F2696" s="0" t="n">
        <f aca="false">-1+B2696*0.25</f>
        <v>0.5</v>
      </c>
      <c r="G2696" s="0" t="n">
        <f aca="false">-1+C2696*0.25</f>
        <v>-0.5</v>
      </c>
      <c r="H2696" s="0" t="n">
        <f aca="false">-1+D2696*0.25</f>
        <v>-1</v>
      </c>
      <c r="I2696" s="0" t="n">
        <f aca="false">1</f>
        <v>1</v>
      </c>
      <c r="J2696" s="0" t="n">
        <f aca="false">E2696</f>
        <v>-0.25</v>
      </c>
      <c r="K2696" s="0" t="n">
        <f aca="false">F2696</f>
        <v>0.5</v>
      </c>
      <c r="L2696" s="0" t="n">
        <f aca="false">G2696</f>
        <v>-0.5</v>
      </c>
      <c r="M2696" s="0" t="n">
        <f aca="false">H2696</f>
        <v>-1</v>
      </c>
      <c r="N2696" s="0" t="n">
        <f aca="false">E2696*F2696</f>
        <v>-0.125</v>
      </c>
      <c r="O2696" s="0" t="n">
        <f aca="false">E2696*G2696</f>
        <v>0.125</v>
      </c>
      <c r="P2696" s="0" t="n">
        <f aca="false">E2696*H2696</f>
        <v>0.25</v>
      </c>
      <c r="Q2696" s="0" t="n">
        <f aca="false">F2696*G2696</f>
        <v>-0.25</v>
      </c>
      <c r="R2696" s="0" t="n">
        <f aca="false">F2696*H2696</f>
        <v>-0.5</v>
      </c>
      <c r="S2696" s="0" t="n">
        <f aca="false">G2696*H2696</f>
        <v>0.5</v>
      </c>
      <c r="T2696" s="0" t="n">
        <f aca="false">E2696*E2696</f>
        <v>0.0625</v>
      </c>
      <c r="U2696" s="0" t="n">
        <f aca="false">F2696*F2696</f>
        <v>0.25</v>
      </c>
      <c r="V2696" s="0" t="n">
        <f aca="false">G2696*G2696</f>
        <v>0.25</v>
      </c>
      <c r="W2696" s="0" t="n">
        <f aca="false">H2696*H2696</f>
        <v>1</v>
      </c>
      <c r="X2696" s="0" t="n">
        <f aca="false">SUMPRODUCT(I2696:W2696,_XtX!$B$96:$P$96)</f>
        <v>46.177668128655</v>
      </c>
      <c r="Y2696" s="0" t="n">
        <f aca="false">SUMPRODUCT(MMULT(I2696:W2696,_XtX!$B$78:$P$92),I2696:W2696)</f>
        <v>0.428122715643275</v>
      </c>
      <c r="Z2696" s="0" t="n">
        <f aca="false">04_回帰ANOVA!$K$19*04_回帰ANOVA!$K$14*SQRT(1+Y2696)</f>
        <v>1.55769044623229</v>
      </c>
      <c r="AA2696" s="0" t="n">
        <f aca="false">X2696-Z2696</f>
        <v>44.6199776824227</v>
      </c>
      <c r="AB2696" s="0" t="n">
        <f aca="false">X2696+Z2696</f>
        <v>47.7353585748872</v>
      </c>
      <c r="AC2696" s="54" t="b">
        <f aca="false">AND(E2696&gt;=01_因子設定!$L$5-0.000000001,E2696&lt;=01_因子設定!$M$5+0.000000001,F2696&gt;=01_因子設定!$L$6-0.000000001,F2696&lt;=01_因子設定!$M$6+0.000000001,G2696&gt;=01_因子設定!$L$7-0.000000001,G2696&lt;=01_因子設定!$M$7+0.000000001,H2696&gt;=01_因子設定!$L$8-0.000000001,H2696&lt;=01_因子設定!$M$8+0.000000001,IF(01_因子設定!$B$20="Box-Behnken",E2696^2+F2696^2+G2696^2+H2696^2&lt;=2+0.000000001,TRUE()))</f>
        <v>1</v>
      </c>
      <c r="AD2696" s="55" t="n">
        <f aca="false">IF(AC2696,IF(01_因子設定!$B$13="最大化",AA2696-01_因子設定!$B$14,IF(01_因子設定!$B$13="最小化",01_因子設定!$B$15-AB2696,MIN(AA2696-01_因子設定!$B$14,01_因子設定!$B$15-AB2696))),-1E+030)</f>
        <v>-1.88002231757734</v>
      </c>
      <c r="AE2696" s="55" t="n">
        <f aca="false">IF(AC2696,IF(01_因子設定!$B$13="最大化",X2696,IF(01_因子設定!$B$13="最小化",-X2696,-ABS(X2696-01_因子設定!$B$16))),-1E+030)</f>
        <v>46.177668128655</v>
      </c>
      <c r="AF2696" s="55" t="n">
        <f aca="false">AD2696+ROW()*0.000000001</f>
        <v>-1.88001962157734</v>
      </c>
      <c r="AG2696" s="55" t="n">
        <f aca="false">AE2696+ROW()*0.000000001</f>
        <v>46.177670824655</v>
      </c>
    </row>
    <row r="2697" customFormat="false" ht="15" hidden="false" customHeight="false" outlineLevel="0" collapsed="false">
      <c r="A2697" s="0" t="n">
        <v>3</v>
      </c>
      <c r="B2697" s="0" t="n">
        <v>6</v>
      </c>
      <c r="C2697" s="0" t="n">
        <v>2</v>
      </c>
      <c r="D2697" s="0" t="n">
        <v>1</v>
      </c>
      <c r="E2697" s="0" t="n">
        <f aca="false">-1+A2697*0.25</f>
        <v>-0.25</v>
      </c>
      <c r="F2697" s="0" t="n">
        <f aca="false">-1+B2697*0.25</f>
        <v>0.5</v>
      </c>
      <c r="G2697" s="0" t="n">
        <f aca="false">-1+C2697*0.25</f>
        <v>-0.5</v>
      </c>
      <c r="H2697" s="0" t="n">
        <f aca="false">-1+D2697*0.25</f>
        <v>-0.75</v>
      </c>
      <c r="I2697" s="0" t="n">
        <f aca="false">1</f>
        <v>1</v>
      </c>
      <c r="J2697" s="0" t="n">
        <f aca="false">E2697</f>
        <v>-0.25</v>
      </c>
      <c r="K2697" s="0" t="n">
        <f aca="false">F2697</f>
        <v>0.5</v>
      </c>
      <c r="L2697" s="0" t="n">
        <f aca="false">G2697</f>
        <v>-0.5</v>
      </c>
      <c r="M2697" s="0" t="n">
        <f aca="false">H2697</f>
        <v>-0.75</v>
      </c>
      <c r="N2697" s="0" t="n">
        <f aca="false">E2697*F2697</f>
        <v>-0.125</v>
      </c>
      <c r="O2697" s="0" t="n">
        <f aca="false">E2697*G2697</f>
        <v>0.125</v>
      </c>
      <c r="P2697" s="0" t="n">
        <f aca="false">E2697*H2697</f>
        <v>0.1875</v>
      </c>
      <c r="Q2697" s="0" t="n">
        <f aca="false">F2697*G2697</f>
        <v>-0.25</v>
      </c>
      <c r="R2697" s="0" t="n">
        <f aca="false">F2697*H2697</f>
        <v>-0.375</v>
      </c>
      <c r="S2697" s="0" t="n">
        <f aca="false">G2697*H2697</f>
        <v>0.375</v>
      </c>
      <c r="T2697" s="0" t="n">
        <f aca="false">E2697*E2697</f>
        <v>0.0625</v>
      </c>
      <c r="U2697" s="0" t="n">
        <f aca="false">F2697*F2697</f>
        <v>0.25</v>
      </c>
      <c r="V2697" s="0" t="n">
        <f aca="false">G2697*G2697</f>
        <v>0.25</v>
      </c>
      <c r="W2697" s="0" t="n">
        <f aca="false">H2697*H2697</f>
        <v>0.5625</v>
      </c>
      <c r="X2697" s="0" t="n">
        <f aca="false">SUMPRODUCT(I2697:W2697,_XtX!$B$96:$P$96)</f>
        <v>46.3760690789473</v>
      </c>
      <c r="Y2697" s="0" t="n">
        <f aca="false">SUMPRODUCT(MMULT(I2697:W2697,_XtX!$B$78:$P$92),I2697:W2697)</f>
        <v>0.203746059484649</v>
      </c>
      <c r="Z2697" s="0" t="n">
        <f aca="false">04_回帰ANOVA!$K$19*04_回帰ANOVA!$K$14*SQRT(1+Y2697)</f>
        <v>1.43009810755465</v>
      </c>
      <c r="AA2697" s="0" t="n">
        <f aca="false">X2697-Z2697</f>
        <v>44.9459709713927</v>
      </c>
      <c r="AB2697" s="0" t="n">
        <f aca="false">X2697+Z2697</f>
        <v>47.806167186502</v>
      </c>
      <c r="AC2697" s="54" t="b">
        <f aca="false">AND(E2697&gt;=01_因子設定!$L$5-0.000000001,E2697&lt;=01_因子設定!$M$5+0.000000001,F2697&gt;=01_因子設定!$L$6-0.000000001,F2697&lt;=01_因子設定!$M$6+0.000000001,G2697&gt;=01_因子設定!$L$7-0.000000001,G2697&lt;=01_因子設定!$M$7+0.000000001,H2697&gt;=01_因子設定!$L$8-0.000000001,H2697&lt;=01_因子設定!$M$8+0.000000001,IF(01_因子設定!$B$20="Box-Behnken",E2697^2+F2697^2+G2697^2+H2697^2&lt;=2+0.000000001,TRUE()))</f>
        <v>1</v>
      </c>
      <c r="AD2697" s="55" t="n">
        <f aca="false">IF(AC2697,IF(01_因子設定!$B$13="最大化",AA2697-01_因子設定!$B$14,IF(01_因子設定!$B$13="最小化",01_因子設定!$B$15-AB2697,MIN(AA2697-01_因子設定!$B$14,01_因子設定!$B$15-AB2697))),-1E+030)</f>
        <v>-1.55402902860732</v>
      </c>
      <c r="AE2697" s="55" t="n">
        <f aca="false">IF(AC2697,IF(01_因子設定!$B$13="最大化",X2697,IF(01_因子設定!$B$13="最小化",-X2697,-ABS(X2697-01_因子設定!$B$16))),-1E+030)</f>
        <v>46.3760690789473</v>
      </c>
      <c r="AF2697" s="55" t="n">
        <f aca="false">AD2697+ROW()*0.000000001</f>
        <v>-1.55402633160732</v>
      </c>
      <c r="AG2697" s="55" t="n">
        <f aca="false">AE2697+ROW()*0.000000001</f>
        <v>46.3760717759473</v>
      </c>
    </row>
    <row r="2698" customFormat="false" ht="15" hidden="false" customHeight="false" outlineLevel="0" collapsed="false">
      <c r="A2698" s="0" t="n">
        <v>3</v>
      </c>
      <c r="B2698" s="0" t="n">
        <v>6</v>
      </c>
      <c r="C2698" s="0" t="n">
        <v>2</v>
      </c>
      <c r="D2698" s="0" t="n">
        <v>2</v>
      </c>
      <c r="E2698" s="0" t="n">
        <f aca="false">-1+A2698*0.25</f>
        <v>-0.25</v>
      </c>
      <c r="F2698" s="0" t="n">
        <f aca="false">-1+B2698*0.25</f>
        <v>0.5</v>
      </c>
      <c r="G2698" s="0" t="n">
        <f aca="false">-1+C2698*0.25</f>
        <v>-0.5</v>
      </c>
      <c r="H2698" s="0" t="n">
        <f aca="false">-1+D2698*0.25</f>
        <v>-0.5</v>
      </c>
      <c r="I2698" s="0" t="n">
        <f aca="false">1</f>
        <v>1</v>
      </c>
      <c r="J2698" s="0" t="n">
        <f aca="false">E2698</f>
        <v>-0.25</v>
      </c>
      <c r="K2698" s="0" t="n">
        <f aca="false">F2698</f>
        <v>0.5</v>
      </c>
      <c r="L2698" s="0" t="n">
        <f aca="false">G2698</f>
        <v>-0.5</v>
      </c>
      <c r="M2698" s="0" t="n">
        <f aca="false">H2698</f>
        <v>-0.5</v>
      </c>
      <c r="N2698" s="0" t="n">
        <f aca="false">E2698*F2698</f>
        <v>-0.125</v>
      </c>
      <c r="O2698" s="0" t="n">
        <f aca="false">E2698*G2698</f>
        <v>0.125</v>
      </c>
      <c r="P2698" s="0" t="n">
        <f aca="false">E2698*H2698</f>
        <v>0.125</v>
      </c>
      <c r="Q2698" s="0" t="n">
        <f aca="false">F2698*G2698</f>
        <v>-0.25</v>
      </c>
      <c r="R2698" s="0" t="n">
        <f aca="false">F2698*H2698</f>
        <v>-0.25</v>
      </c>
      <c r="S2698" s="0" t="n">
        <f aca="false">G2698*H2698</f>
        <v>0.25</v>
      </c>
      <c r="T2698" s="0" t="n">
        <f aca="false">E2698*E2698</f>
        <v>0.0625</v>
      </c>
      <c r="U2698" s="0" t="n">
        <f aca="false">F2698*F2698</f>
        <v>0.25</v>
      </c>
      <c r="V2698" s="0" t="n">
        <f aca="false">G2698*G2698</f>
        <v>0.25</v>
      </c>
      <c r="W2698" s="0" t="n">
        <f aca="false">H2698*H2698</f>
        <v>0.25</v>
      </c>
      <c r="X2698" s="0" t="n">
        <f aca="false">SUMPRODUCT(I2698:W2698,_XtX!$B$96:$P$96)</f>
        <v>46.5266630116959</v>
      </c>
      <c r="Y2698" s="0" t="n">
        <f aca="false">SUMPRODUCT(MMULT(I2698:W2698,_XtX!$B$78:$P$92),I2698:W2698)</f>
        <v>0.133937545687135</v>
      </c>
      <c r="Z2698" s="0" t="n">
        <f aca="false">04_回帰ANOVA!$K$19*04_回帰ANOVA!$K$14*SQRT(1+Y2698)</f>
        <v>1.38801116780825</v>
      </c>
      <c r="AA2698" s="0" t="n">
        <f aca="false">X2698-Z2698</f>
        <v>45.1386518438876</v>
      </c>
      <c r="AB2698" s="0" t="n">
        <f aca="false">X2698+Z2698</f>
        <v>47.9146741795041</v>
      </c>
      <c r="AC2698" s="54" t="b">
        <f aca="false">AND(E2698&gt;=01_因子設定!$L$5-0.000000001,E2698&lt;=01_因子設定!$M$5+0.000000001,F2698&gt;=01_因子設定!$L$6-0.000000001,F2698&lt;=01_因子設定!$M$6+0.000000001,G2698&gt;=01_因子設定!$L$7-0.000000001,G2698&lt;=01_因子設定!$M$7+0.000000001,H2698&gt;=01_因子設定!$L$8-0.000000001,H2698&lt;=01_因子設定!$M$8+0.000000001,IF(01_因子設定!$B$20="Box-Behnken",E2698^2+F2698^2+G2698^2+H2698^2&lt;=2+0.000000001,TRUE()))</f>
        <v>1</v>
      </c>
      <c r="AD2698" s="55" t="n">
        <f aca="false">IF(AC2698,IF(01_因子設定!$B$13="最大化",AA2698-01_因子設定!$B$14,IF(01_因子設定!$B$13="最小化",01_因子設定!$B$15-AB2698,MIN(AA2698-01_因子設定!$B$14,01_因子設定!$B$15-AB2698))),-1E+030)</f>
        <v>-1.36134815611239</v>
      </c>
      <c r="AE2698" s="55" t="n">
        <f aca="false">IF(AC2698,IF(01_因子設定!$B$13="最大化",X2698,IF(01_因子設定!$B$13="最小化",-X2698,-ABS(X2698-01_因子設定!$B$16))),-1E+030)</f>
        <v>46.5266630116959</v>
      </c>
      <c r="AF2698" s="55" t="n">
        <f aca="false">AD2698+ROW()*0.000000001</f>
        <v>-1.36134545811239</v>
      </c>
      <c r="AG2698" s="55" t="n">
        <f aca="false">AE2698+ROW()*0.000000001</f>
        <v>46.5266657096959</v>
      </c>
    </row>
    <row r="2699" customFormat="false" ht="15" hidden="false" customHeight="false" outlineLevel="0" collapsed="false">
      <c r="A2699" s="0" t="n">
        <v>3</v>
      </c>
      <c r="B2699" s="0" t="n">
        <v>6</v>
      </c>
      <c r="C2699" s="0" t="n">
        <v>2</v>
      </c>
      <c r="D2699" s="0" t="n">
        <v>3</v>
      </c>
      <c r="E2699" s="0" t="n">
        <f aca="false">-1+A2699*0.25</f>
        <v>-0.25</v>
      </c>
      <c r="F2699" s="0" t="n">
        <f aca="false">-1+B2699*0.25</f>
        <v>0.5</v>
      </c>
      <c r="G2699" s="0" t="n">
        <f aca="false">-1+C2699*0.25</f>
        <v>-0.5</v>
      </c>
      <c r="H2699" s="0" t="n">
        <f aca="false">-1+D2699*0.25</f>
        <v>-0.25</v>
      </c>
      <c r="I2699" s="0" t="n">
        <f aca="false">1</f>
        <v>1</v>
      </c>
      <c r="J2699" s="0" t="n">
        <f aca="false">E2699</f>
        <v>-0.25</v>
      </c>
      <c r="K2699" s="0" t="n">
        <f aca="false">F2699</f>
        <v>0.5</v>
      </c>
      <c r="L2699" s="0" t="n">
        <f aca="false">G2699</f>
        <v>-0.5</v>
      </c>
      <c r="M2699" s="0" t="n">
        <f aca="false">H2699</f>
        <v>-0.25</v>
      </c>
      <c r="N2699" s="0" t="n">
        <f aca="false">E2699*F2699</f>
        <v>-0.125</v>
      </c>
      <c r="O2699" s="0" t="n">
        <f aca="false">E2699*G2699</f>
        <v>0.125</v>
      </c>
      <c r="P2699" s="0" t="n">
        <f aca="false">E2699*H2699</f>
        <v>0.0625</v>
      </c>
      <c r="Q2699" s="0" t="n">
        <f aca="false">F2699*G2699</f>
        <v>-0.25</v>
      </c>
      <c r="R2699" s="0" t="n">
        <f aca="false">F2699*H2699</f>
        <v>-0.125</v>
      </c>
      <c r="S2699" s="0" t="n">
        <f aca="false">G2699*H2699</f>
        <v>0.125</v>
      </c>
      <c r="T2699" s="0" t="n">
        <f aca="false">E2699*E2699</f>
        <v>0.0625</v>
      </c>
      <c r="U2699" s="0" t="n">
        <f aca="false">F2699*F2699</f>
        <v>0.25</v>
      </c>
      <c r="V2699" s="0" t="n">
        <f aca="false">G2699*G2699</f>
        <v>0.25</v>
      </c>
      <c r="W2699" s="0" t="n">
        <f aca="false">H2699*H2699</f>
        <v>0.0625</v>
      </c>
      <c r="X2699" s="0" t="n">
        <f aca="false">SUMPRODUCT(I2699:W2699,_XtX!$B$96:$P$96)</f>
        <v>46.6294499269005</v>
      </c>
      <c r="Y2699" s="0" t="n">
        <f aca="false">SUMPRODUCT(MMULT(I2699:W2699,_XtX!$B$78:$P$92),I2699:W2699)</f>
        <v>0.128236647934942</v>
      </c>
      <c r="Z2699" s="0" t="n">
        <f aca="false">04_回帰ANOVA!$K$19*04_回帰ANOVA!$K$14*SQRT(1+Y2699)</f>
        <v>1.38451764188989</v>
      </c>
      <c r="AA2699" s="0" t="n">
        <f aca="false">X2699-Z2699</f>
        <v>45.2449322850106</v>
      </c>
      <c r="AB2699" s="0" t="n">
        <f aca="false">X2699+Z2699</f>
        <v>48.0139675687904</v>
      </c>
      <c r="AC2699" s="54" t="b">
        <f aca="false">AND(E2699&gt;=01_因子設定!$L$5-0.000000001,E2699&lt;=01_因子設定!$M$5+0.000000001,F2699&gt;=01_因子設定!$L$6-0.000000001,F2699&lt;=01_因子設定!$M$6+0.000000001,G2699&gt;=01_因子設定!$L$7-0.000000001,G2699&lt;=01_因子設定!$M$7+0.000000001,H2699&gt;=01_因子設定!$L$8-0.000000001,H2699&lt;=01_因子設定!$M$8+0.000000001,IF(01_因子設定!$B$20="Box-Behnken",E2699^2+F2699^2+G2699^2+H2699^2&lt;=2+0.000000001,TRUE()))</f>
        <v>1</v>
      </c>
      <c r="AD2699" s="55" t="n">
        <f aca="false">IF(AC2699,IF(01_因子設定!$B$13="最大化",AA2699-01_因子設定!$B$14,IF(01_因子設定!$B$13="最小化",01_因子設定!$B$15-AB2699,MIN(AA2699-01_因子設定!$B$14,01_因子設定!$B$15-AB2699))),-1E+030)</f>
        <v>-1.25506771498936</v>
      </c>
      <c r="AE2699" s="55" t="n">
        <f aca="false">IF(AC2699,IF(01_因子設定!$B$13="最大化",X2699,IF(01_因子設定!$B$13="最小化",-X2699,-ABS(X2699-01_因子設定!$B$16))),-1E+030)</f>
        <v>46.6294499269005</v>
      </c>
      <c r="AF2699" s="55" t="n">
        <f aca="false">AD2699+ROW()*0.000000001</f>
        <v>-1.25506501598936</v>
      </c>
      <c r="AG2699" s="55" t="n">
        <f aca="false">AE2699+ROW()*0.000000001</f>
        <v>46.6294526259005</v>
      </c>
    </row>
    <row r="2700" customFormat="false" ht="15" hidden="false" customHeight="false" outlineLevel="0" collapsed="false">
      <c r="A2700" s="0" t="n">
        <v>3</v>
      </c>
      <c r="B2700" s="0" t="n">
        <v>6</v>
      </c>
      <c r="C2700" s="0" t="n">
        <v>2</v>
      </c>
      <c r="D2700" s="0" t="n">
        <v>4</v>
      </c>
      <c r="E2700" s="0" t="n">
        <f aca="false">-1+A2700*0.25</f>
        <v>-0.25</v>
      </c>
      <c r="F2700" s="0" t="n">
        <f aca="false">-1+B2700*0.25</f>
        <v>0.5</v>
      </c>
      <c r="G2700" s="0" t="n">
        <f aca="false">-1+C2700*0.25</f>
        <v>-0.5</v>
      </c>
      <c r="H2700" s="0" t="n">
        <f aca="false">-1+D2700*0.25</f>
        <v>0</v>
      </c>
      <c r="I2700" s="0" t="n">
        <f aca="false">1</f>
        <v>1</v>
      </c>
      <c r="J2700" s="0" t="n">
        <f aca="false">E2700</f>
        <v>-0.25</v>
      </c>
      <c r="K2700" s="0" t="n">
        <f aca="false">F2700</f>
        <v>0.5</v>
      </c>
      <c r="L2700" s="0" t="n">
        <f aca="false">G2700</f>
        <v>-0.5</v>
      </c>
      <c r="M2700" s="0" t="n">
        <f aca="false">H2700</f>
        <v>0</v>
      </c>
      <c r="N2700" s="0" t="n">
        <f aca="false">E2700*F2700</f>
        <v>-0.125</v>
      </c>
      <c r="O2700" s="0" t="n">
        <f aca="false">E2700*G2700</f>
        <v>0.125</v>
      </c>
      <c r="P2700" s="0" t="n">
        <f aca="false">E2700*H2700</f>
        <v>-0</v>
      </c>
      <c r="Q2700" s="0" t="n">
        <f aca="false">F2700*G2700</f>
        <v>-0.25</v>
      </c>
      <c r="R2700" s="0" t="n">
        <f aca="false">F2700*H2700</f>
        <v>0</v>
      </c>
      <c r="S2700" s="0" t="n">
        <f aca="false">G2700*H2700</f>
        <v>-0</v>
      </c>
      <c r="T2700" s="0" t="n">
        <f aca="false">E2700*E2700</f>
        <v>0.0625</v>
      </c>
      <c r="U2700" s="0" t="n">
        <f aca="false">F2700*F2700</f>
        <v>0.25</v>
      </c>
      <c r="V2700" s="0" t="n">
        <f aca="false">G2700*G2700</f>
        <v>0.25</v>
      </c>
      <c r="W2700" s="0" t="n">
        <f aca="false">H2700*H2700</f>
        <v>0</v>
      </c>
      <c r="X2700" s="0" t="n">
        <f aca="false">SUMPRODUCT(I2700:W2700,_XtX!$B$96:$P$96)</f>
        <v>46.6844298245613</v>
      </c>
      <c r="Y2700" s="0" t="n">
        <f aca="false">SUMPRODUCT(MMULT(I2700:W2700,_XtX!$B$78:$P$92),I2700:W2700)</f>
        <v>0.132367050438597</v>
      </c>
      <c r="Z2700" s="0" t="n">
        <f aca="false">04_回帰ANOVA!$K$19*04_回帰ANOVA!$K$14*SQRT(1+Y2700)</f>
        <v>1.38704964208329</v>
      </c>
      <c r="AA2700" s="0" t="n">
        <f aca="false">X2700-Z2700</f>
        <v>45.2973801824781</v>
      </c>
      <c r="AB2700" s="0" t="n">
        <f aca="false">X2700+Z2700</f>
        <v>48.0714794666446</v>
      </c>
      <c r="AC2700" s="54" t="b">
        <f aca="false">AND(E2700&gt;=01_因子設定!$L$5-0.000000001,E2700&lt;=01_因子設定!$M$5+0.000000001,F2700&gt;=01_因子設定!$L$6-0.000000001,F2700&lt;=01_因子設定!$M$6+0.000000001,G2700&gt;=01_因子設定!$L$7-0.000000001,G2700&lt;=01_因子設定!$M$7+0.000000001,H2700&gt;=01_因子設定!$L$8-0.000000001,H2700&lt;=01_因子設定!$M$8+0.000000001,IF(01_因子設定!$B$20="Box-Behnken",E2700^2+F2700^2+G2700^2+H2700^2&lt;=2+0.000000001,TRUE()))</f>
        <v>1</v>
      </c>
      <c r="AD2700" s="55" t="n">
        <f aca="false">IF(AC2700,IF(01_因子設定!$B$13="最大化",AA2700-01_因子設定!$B$14,IF(01_因子設定!$B$13="最小化",01_因子設定!$B$15-AB2700,MIN(AA2700-01_因子設定!$B$14,01_因子設定!$B$15-AB2700))),-1E+030)</f>
        <v>-1.20261981752195</v>
      </c>
      <c r="AE2700" s="55" t="n">
        <f aca="false">IF(AC2700,IF(01_因子設定!$B$13="最大化",X2700,IF(01_因子設定!$B$13="最小化",-X2700,-ABS(X2700-01_因子設定!$B$16))),-1E+030)</f>
        <v>46.6844298245613</v>
      </c>
      <c r="AF2700" s="55" t="n">
        <f aca="false">AD2700+ROW()*0.000000001</f>
        <v>-1.20261711752195</v>
      </c>
      <c r="AG2700" s="55" t="n">
        <f aca="false">AE2700+ROW()*0.000000001</f>
        <v>46.6844325245613</v>
      </c>
    </row>
    <row r="2701" customFormat="false" ht="15" hidden="false" customHeight="false" outlineLevel="0" collapsed="false">
      <c r="A2701" s="0" t="n">
        <v>3</v>
      </c>
      <c r="B2701" s="0" t="n">
        <v>6</v>
      </c>
      <c r="C2701" s="0" t="n">
        <v>2</v>
      </c>
      <c r="D2701" s="0" t="n">
        <v>5</v>
      </c>
      <c r="E2701" s="0" t="n">
        <f aca="false">-1+A2701*0.25</f>
        <v>-0.25</v>
      </c>
      <c r="F2701" s="0" t="n">
        <f aca="false">-1+B2701*0.25</f>
        <v>0.5</v>
      </c>
      <c r="G2701" s="0" t="n">
        <f aca="false">-1+C2701*0.25</f>
        <v>-0.5</v>
      </c>
      <c r="H2701" s="0" t="n">
        <f aca="false">-1+D2701*0.25</f>
        <v>0.25</v>
      </c>
      <c r="I2701" s="0" t="n">
        <f aca="false">1</f>
        <v>1</v>
      </c>
      <c r="J2701" s="0" t="n">
        <f aca="false">E2701</f>
        <v>-0.25</v>
      </c>
      <c r="K2701" s="0" t="n">
        <f aca="false">F2701</f>
        <v>0.5</v>
      </c>
      <c r="L2701" s="0" t="n">
        <f aca="false">G2701</f>
        <v>-0.5</v>
      </c>
      <c r="M2701" s="0" t="n">
        <f aca="false">H2701</f>
        <v>0.25</v>
      </c>
      <c r="N2701" s="0" t="n">
        <f aca="false">E2701*F2701</f>
        <v>-0.125</v>
      </c>
      <c r="O2701" s="0" t="n">
        <f aca="false">E2701*G2701</f>
        <v>0.125</v>
      </c>
      <c r="P2701" s="0" t="n">
        <f aca="false">E2701*H2701</f>
        <v>-0.0625</v>
      </c>
      <c r="Q2701" s="0" t="n">
        <f aca="false">F2701*G2701</f>
        <v>-0.25</v>
      </c>
      <c r="R2701" s="0" t="n">
        <f aca="false">F2701*H2701</f>
        <v>0.125</v>
      </c>
      <c r="S2701" s="0" t="n">
        <f aca="false">G2701*H2701</f>
        <v>-0.125</v>
      </c>
      <c r="T2701" s="0" t="n">
        <f aca="false">E2701*E2701</f>
        <v>0.0625</v>
      </c>
      <c r="U2701" s="0" t="n">
        <f aca="false">F2701*F2701</f>
        <v>0.25</v>
      </c>
      <c r="V2701" s="0" t="n">
        <f aca="false">G2701*G2701</f>
        <v>0.25</v>
      </c>
      <c r="W2701" s="0" t="n">
        <f aca="false">H2701*H2701</f>
        <v>0.0625</v>
      </c>
      <c r="X2701" s="0" t="n">
        <f aca="false">SUMPRODUCT(I2701:W2701,_XtX!$B$96:$P$96)</f>
        <v>46.6916027046783</v>
      </c>
      <c r="Y2701" s="0" t="n">
        <f aca="false">SUMPRODUCT(MMULT(I2701:W2701,_XtX!$B$78:$P$92),I2701:W2701)</f>
        <v>0.128236647934942</v>
      </c>
      <c r="Z2701" s="0" t="n">
        <f aca="false">04_回帰ANOVA!$K$19*04_回帰ANOVA!$K$14*SQRT(1+Y2701)</f>
        <v>1.38451764188989</v>
      </c>
      <c r="AA2701" s="0" t="n">
        <f aca="false">X2701-Z2701</f>
        <v>45.3070850627884</v>
      </c>
      <c r="AB2701" s="0" t="n">
        <f aca="false">X2701+Z2701</f>
        <v>48.0761203465682</v>
      </c>
      <c r="AC2701" s="54" t="b">
        <f aca="false">AND(E2701&gt;=01_因子設定!$L$5-0.000000001,E2701&lt;=01_因子設定!$M$5+0.000000001,F2701&gt;=01_因子設定!$L$6-0.000000001,F2701&lt;=01_因子設定!$M$6+0.000000001,G2701&gt;=01_因子設定!$L$7-0.000000001,G2701&lt;=01_因子設定!$M$7+0.000000001,H2701&gt;=01_因子設定!$L$8-0.000000001,H2701&lt;=01_因子設定!$M$8+0.000000001,IF(01_因子設定!$B$20="Box-Behnken",E2701^2+F2701^2+G2701^2+H2701^2&lt;=2+0.000000001,TRUE()))</f>
        <v>1</v>
      </c>
      <c r="AD2701" s="55" t="n">
        <f aca="false">IF(AC2701,IF(01_因子設定!$B$13="最大化",AA2701-01_因子設定!$B$14,IF(01_因子設定!$B$13="最小化",01_因子設定!$B$15-AB2701,MIN(AA2701-01_因子設定!$B$14,01_因子設定!$B$15-AB2701))),-1E+030)</f>
        <v>-1.19291493721158</v>
      </c>
      <c r="AE2701" s="55" t="n">
        <f aca="false">IF(AC2701,IF(01_因子設定!$B$13="最大化",X2701,IF(01_因子設定!$B$13="最小化",-X2701,-ABS(X2701-01_因子設定!$B$16))),-1E+030)</f>
        <v>46.6916027046783</v>
      </c>
      <c r="AF2701" s="55" t="n">
        <f aca="false">AD2701+ROW()*0.000000001</f>
        <v>-1.19291223621158</v>
      </c>
      <c r="AG2701" s="55" t="n">
        <f aca="false">AE2701+ROW()*0.000000001</f>
        <v>46.6916054056783</v>
      </c>
    </row>
    <row r="2702" customFormat="false" ht="15" hidden="false" customHeight="false" outlineLevel="0" collapsed="false">
      <c r="A2702" s="0" t="n">
        <v>3</v>
      </c>
      <c r="B2702" s="0" t="n">
        <v>6</v>
      </c>
      <c r="C2702" s="0" t="n">
        <v>2</v>
      </c>
      <c r="D2702" s="0" t="n">
        <v>6</v>
      </c>
      <c r="E2702" s="0" t="n">
        <f aca="false">-1+A2702*0.25</f>
        <v>-0.25</v>
      </c>
      <c r="F2702" s="0" t="n">
        <f aca="false">-1+B2702*0.25</f>
        <v>0.5</v>
      </c>
      <c r="G2702" s="0" t="n">
        <f aca="false">-1+C2702*0.25</f>
        <v>-0.5</v>
      </c>
      <c r="H2702" s="0" t="n">
        <f aca="false">-1+D2702*0.25</f>
        <v>0.5</v>
      </c>
      <c r="I2702" s="0" t="n">
        <f aca="false">1</f>
        <v>1</v>
      </c>
      <c r="J2702" s="0" t="n">
        <f aca="false">E2702</f>
        <v>-0.25</v>
      </c>
      <c r="K2702" s="0" t="n">
        <f aca="false">F2702</f>
        <v>0.5</v>
      </c>
      <c r="L2702" s="0" t="n">
        <f aca="false">G2702</f>
        <v>-0.5</v>
      </c>
      <c r="M2702" s="0" t="n">
        <f aca="false">H2702</f>
        <v>0.5</v>
      </c>
      <c r="N2702" s="0" t="n">
        <f aca="false">E2702*F2702</f>
        <v>-0.125</v>
      </c>
      <c r="O2702" s="0" t="n">
        <f aca="false">E2702*G2702</f>
        <v>0.125</v>
      </c>
      <c r="P2702" s="0" t="n">
        <f aca="false">E2702*H2702</f>
        <v>-0.125</v>
      </c>
      <c r="Q2702" s="0" t="n">
        <f aca="false">F2702*G2702</f>
        <v>-0.25</v>
      </c>
      <c r="R2702" s="0" t="n">
        <f aca="false">F2702*H2702</f>
        <v>0.25</v>
      </c>
      <c r="S2702" s="0" t="n">
        <f aca="false">G2702*H2702</f>
        <v>-0.25</v>
      </c>
      <c r="T2702" s="0" t="n">
        <f aca="false">E2702*E2702</f>
        <v>0.0625</v>
      </c>
      <c r="U2702" s="0" t="n">
        <f aca="false">F2702*F2702</f>
        <v>0.25</v>
      </c>
      <c r="V2702" s="0" t="n">
        <f aca="false">G2702*G2702</f>
        <v>0.25</v>
      </c>
      <c r="W2702" s="0" t="n">
        <f aca="false">H2702*H2702</f>
        <v>0.25</v>
      </c>
      <c r="X2702" s="0" t="n">
        <f aca="false">SUMPRODUCT(I2702:W2702,_XtX!$B$96:$P$96)</f>
        <v>46.6509685672514</v>
      </c>
      <c r="Y2702" s="0" t="n">
        <f aca="false">SUMPRODUCT(MMULT(I2702:W2702,_XtX!$B$78:$P$92),I2702:W2702)</f>
        <v>0.133937545687135</v>
      </c>
      <c r="Z2702" s="0" t="n">
        <f aca="false">04_回帰ANOVA!$K$19*04_回帰ANOVA!$K$14*SQRT(1+Y2702)</f>
        <v>1.38801116780825</v>
      </c>
      <c r="AA2702" s="0" t="n">
        <f aca="false">X2702-Z2702</f>
        <v>45.2629573994432</v>
      </c>
      <c r="AB2702" s="0" t="n">
        <f aca="false">X2702+Z2702</f>
        <v>48.0389797350597</v>
      </c>
      <c r="AC2702" s="54" t="b">
        <f aca="false">AND(E2702&gt;=01_因子設定!$L$5-0.000000001,E2702&lt;=01_因子設定!$M$5+0.000000001,F2702&gt;=01_因子設定!$L$6-0.000000001,F2702&lt;=01_因子設定!$M$6+0.000000001,G2702&gt;=01_因子設定!$L$7-0.000000001,G2702&lt;=01_因子設定!$M$7+0.000000001,H2702&gt;=01_因子設定!$L$8-0.000000001,H2702&lt;=01_因子設定!$M$8+0.000000001,IF(01_因子設定!$B$20="Box-Behnken",E2702^2+F2702^2+G2702^2+H2702^2&lt;=2+0.000000001,TRUE()))</f>
        <v>1</v>
      </c>
      <c r="AD2702" s="55" t="n">
        <f aca="false">IF(AC2702,IF(01_因子設定!$B$13="最大化",AA2702-01_因子設定!$B$14,IF(01_因子設定!$B$13="最小化",01_因子設定!$B$15-AB2702,MIN(AA2702-01_因子設定!$B$14,01_因子設定!$B$15-AB2702))),-1E+030)</f>
        <v>-1.23704260055684</v>
      </c>
      <c r="AE2702" s="55" t="n">
        <f aca="false">IF(AC2702,IF(01_因子設定!$B$13="最大化",X2702,IF(01_因子設定!$B$13="最小化",-X2702,-ABS(X2702-01_因子設定!$B$16))),-1E+030)</f>
        <v>46.6509685672514</v>
      </c>
      <c r="AF2702" s="55" t="n">
        <f aca="false">AD2702+ROW()*0.000000001</f>
        <v>-1.23703989855684</v>
      </c>
      <c r="AG2702" s="55" t="n">
        <f aca="false">AE2702+ROW()*0.000000001</f>
        <v>46.6509712692514</v>
      </c>
    </row>
    <row r="2703" customFormat="false" ht="15" hidden="false" customHeight="false" outlineLevel="0" collapsed="false">
      <c r="A2703" s="0" t="n">
        <v>3</v>
      </c>
      <c r="B2703" s="0" t="n">
        <v>6</v>
      </c>
      <c r="C2703" s="0" t="n">
        <v>2</v>
      </c>
      <c r="D2703" s="0" t="n">
        <v>7</v>
      </c>
      <c r="E2703" s="0" t="n">
        <f aca="false">-1+A2703*0.25</f>
        <v>-0.25</v>
      </c>
      <c r="F2703" s="0" t="n">
        <f aca="false">-1+B2703*0.25</f>
        <v>0.5</v>
      </c>
      <c r="G2703" s="0" t="n">
        <f aca="false">-1+C2703*0.25</f>
        <v>-0.5</v>
      </c>
      <c r="H2703" s="0" t="n">
        <f aca="false">-1+D2703*0.25</f>
        <v>0.75</v>
      </c>
      <c r="I2703" s="0" t="n">
        <f aca="false">1</f>
        <v>1</v>
      </c>
      <c r="J2703" s="0" t="n">
        <f aca="false">E2703</f>
        <v>-0.25</v>
      </c>
      <c r="K2703" s="0" t="n">
        <f aca="false">F2703</f>
        <v>0.5</v>
      </c>
      <c r="L2703" s="0" t="n">
        <f aca="false">G2703</f>
        <v>-0.5</v>
      </c>
      <c r="M2703" s="0" t="n">
        <f aca="false">H2703</f>
        <v>0.75</v>
      </c>
      <c r="N2703" s="0" t="n">
        <f aca="false">E2703*F2703</f>
        <v>-0.125</v>
      </c>
      <c r="O2703" s="0" t="n">
        <f aca="false">E2703*G2703</f>
        <v>0.125</v>
      </c>
      <c r="P2703" s="0" t="n">
        <f aca="false">E2703*H2703</f>
        <v>-0.1875</v>
      </c>
      <c r="Q2703" s="0" t="n">
        <f aca="false">F2703*G2703</f>
        <v>-0.25</v>
      </c>
      <c r="R2703" s="0" t="n">
        <f aca="false">F2703*H2703</f>
        <v>0.375</v>
      </c>
      <c r="S2703" s="0" t="n">
        <f aca="false">G2703*H2703</f>
        <v>-0.375</v>
      </c>
      <c r="T2703" s="0" t="n">
        <f aca="false">E2703*E2703</f>
        <v>0.0625</v>
      </c>
      <c r="U2703" s="0" t="n">
        <f aca="false">F2703*F2703</f>
        <v>0.25</v>
      </c>
      <c r="V2703" s="0" t="n">
        <f aca="false">G2703*G2703</f>
        <v>0.25</v>
      </c>
      <c r="W2703" s="0" t="n">
        <f aca="false">H2703*H2703</f>
        <v>0.5625</v>
      </c>
      <c r="X2703" s="0" t="n">
        <f aca="false">SUMPRODUCT(I2703:W2703,_XtX!$B$96:$P$96)</f>
        <v>46.5625274122807</v>
      </c>
      <c r="Y2703" s="0" t="n">
        <f aca="false">SUMPRODUCT(MMULT(I2703:W2703,_XtX!$B$78:$P$92),I2703:W2703)</f>
        <v>0.203746059484649</v>
      </c>
      <c r="Z2703" s="0" t="n">
        <f aca="false">04_回帰ANOVA!$K$19*04_回帰ANOVA!$K$14*SQRT(1+Y2703)</f>
        <v>1.43009810755465</v>
      </c>
      <c r="AA2703" s="0" t="n">
        <f aca="false">X2703-Z2703</f>
        <v>45.132429304726</v>
      </c>
      <c r="AB2703" s="0" t="n">
        <f aca="false">X2703+Z2703</f>
        <v>47.9926255198353</v>
      </c>
      <c r="AC2703" s="54" t="b">
        <f aca="false">AND(E2703&gt;=01_因子設定!$L$5-0.000000001,E2703&lt;=01_因子設定!$M$5+0.000000001,F2703&gt;=01_因子設定!$L$6-0.000000001,F2703&lt;=01_因子設定!$M$6+0.000000001,G2703&gt;=01_因子設定!$L$7-0.000000001,G2703&lt;=01_因子設定!$M$7+0.000000001,H2703&gt;=01_因子設定!$L$8-0.000000001,H2703&lt;=01_因子設定!$M$8+0.000000001,IF(01_因子設定!$B$20="Box-Behnken",E2703^2+F2703^2+G2703^2+H2703^2&lt;=2+0.000000001,TRUE()))</f>
        <v>1</v>
      </c>
      <c r="AD2703" s="55" t="n">
        <f aca="false">IF(AC2703,IF(01_因子設定!$B$13="最大化",AA2703-01_因子設定!$B$14,IF(01_因子設定!$B$13="最小化",01_因子設定!$B$15-AB2703,MIN(AA2703-01_因子設定!$B$14,01_因子設定!$B$15-AB2703))),-1E+030)</f>
        <v>-1.36757069527398</v>
      </c>
      <c r="AE2703" s="55" t="n">
        <f aca="false">IF(AC2703,IF(01_因子設定!$B$13="最大化",X2703,IF(01_因子設定!$B$13="最小化",-X2703,-ABS(X2703-01_因子設定!$B$16))),-1E+030)</f>
        <v>46.5625274122807</v>
      </c>
      <c r="AF2703" s="55" t="n">
        <f aca="false">AD2703+ROW()*0.000000001</f>
        <v>-1.36756799227398</v>
      </c>
      <c r="AG2703" s="55" t="n">
        <f aca="false">AE2703+ROW()*0.000000001</f>
        <v>46.5625301152807</v>
      </c>
    </row>
    <row r="2704" customFormat="false" ht="15" hidden="false" customHeight="false" outlineLevel="0" collapsed="false">
      <c r="A2704" s="0" t="n">
        <v>3</v>
      </c>
      <c r="B2704" s="0" t="n">
        <v>6</v>
      </c>
      <c r="C2704" s="0" t="n">
        <v>2</v>
      </c>
      <c r="D2704" s="0" t="n">
        <v>8</v>
      </c>
      <c r="E2704" s="0" t="n">
        <f aca="false">-1+A2704*0.25</f>
        <v>-0.25</v>
      </c>
      <c r="F2704" s="0" t="n">
        <f aca="false">-1+B2704*0.25</f>
        <v>0.5</v>
      </c>
      <c r="G2704" s="0" t="n">
        <f aca="false">-1+C2704*0.25</f>
        <v>-0.5</v>
      </c>
      <c r="H2704" s="0" t="n">
        <f aca="false">-1+D2704*0.25</f>
        <v>1</v>
      </c>
      <c r="I2704" s="0" t="n">
        <f aca="false">1</f>
        <v>1</v>
      </c>
      <c r="J2704" s="0" t="n">
        <f aca="false">E2704</f>
        <v>-0.25</v>
      </c>
      <c r="K2704" s="0" t="n">
        <f aca="false">F2704</f>
        <v>0.5</v>
      </c>
      <c r="L2704" s="0" t="n">
        <f aca="false">G2704</f>
        <v>-0.5</v>
      </c>
      <c r="M2704" s="0" t="n">
        <f aca="false">H2704</f>
        <v>1</v>
      </c>
      <c r="N2704" s="0" t="n">
        <f aca="false">E2704*F2704</f>
        <v>-0.125</v>
      </c>
      <c r="O2704" s="0" t="n">
        <f aca="false">E2704*G2704</f>
        <v>0.125</v>
      </c>
      <c r="P2704" s="0" t="n">
        <f aca="false">E2704*H2704</f>
        <v>-0.25</v>
      </c>
      <c r="Q2704" s="0" t="n">
        <f aca="false">F2704*G2704</f>
        <v>-0.25</v>
      </c>
      <c r="R2704" s="0" t="n">
        <f aca="false">F2704*H2704</f>
        <v>0.5</v>
      </c>
      <c r="S2704" s="0" t="n">
        <f aca="false">G2704*H2704</f>
        <v>-0.5</v>
      </c>
      <c r="T2704" s="0" t="n">
        <f aca="false">E2704*E2704</f>
        <v>0.0625</v>
      </c>
      <c r="U2704" s="0" t="n">
        <f aca="false">F2704*F2704</f>
        <v>0.25</v>
      </c>
      <c r="V2704" s="0" t="n">
        <f aca="false">G2704*G2704</f>
        <v>0.25</v>
      </c>
      <c r="W2704" s="0" t="n">
        <f aca="false">H2704*H2704</f>
        <v>1</v>
      </c>
      <c r="X2704" s="0" t="n">
        <f aca="false">SUMPRODUCT(I2704:W2704,_XtX!$B$96:$P$96)</f>
        <v>46.4262792397661</v>
      </c>
      <c r="Y2704" s="0" t="n">
        <f aca="false">SUMPRODUCT(MMULT(I2704:W2704,_XtX!$B$78:$P$92),I2704:W2704)</f>
        <v>0.428122715643275</v>
      </c>
      <c r="Z2704" s="0" t="n">
        <f aca="false">04_回帰ANOVA!$K$19*04_回帰ANOVA!$K$14*SQRT(1+Y2704)</f>
        <v>1.55769044623229</v>
      </c>
      <c r="AA2704" s="0" t="n">
        <f aca="false">X2704-Z2704</f>
        <v>44.8685887935338</v>
      </c>
      <c r="AB2704" s="0" t="n">
        <f aca="false">X2704+Z2704</f>
        <v>47.9839696859984</v>
      </c>
      <c r="AC2704" s="54" t="b">
        <f aca="false">AND(E2704&gt;=01_因子設定!$L$5-0.000000001,E2704&lt;=01_因子設定!$M$5+0.000000001,F2704&gt;=01_因子設定!$L$6-0.000000001,F2704&lt;=01_因子設定!$M$6+0.000000001,G2704&gt;=01_因子設定!$L$7-0.000000001,G2704&lt;=01_因子設定!$M$7+0.000000001,H2704&gt;=01_因子設定!$L$8-0.000000001,H2704&lt;=01_因子設定!$M$8+0.000000001,IF(01_因子設定!$B$20="Box-Behnken",E2704^2+F2704^2+G2704^2+H2704^2&lt;=2+0.000000001,TRUE()))</f>
        <v>1</v>
      </c>
      <c r="AD2704" s="55" t="n">
        <f aca="false">IF(AC2704,IF(01_因子設定!$B$13="最大化",AA2704-01_因子設定!$B$14,IF(01_因子設定!$B$13="最小化",01_因子設定!$B$15-AB2704,MIN(AA2704-01_因子設定!$B$14,01_因子設定!$B$15-AB2704))),-1E+030)</f>
        <v>-1.63141120646623</v>
      </c>
      <c r="AE2704" s="55" t="n">
        <f aca="false">IF(AC2704,IF(01_因子設定!$B$13="最大化",X2704,IF(01_因子設定!$B$13="最小化",-X2704,-ABS(X2704-01_因子設定!$B$16))),-1E+030)</f>
        <v>46.4262792397661</v>
      </c>
      <c r="AF2704" s="55" t="n">
        <f aca="false">AD2704+ROW()*0.000000001</f>
        <v>-1.63140850246623</v>
      </c>
      <c r="AG2704" s="55" t="n">
        <f aca="false">AE2704+ROW()*0.000000001</f>
        <v>46.4262819437661</v>
      </c>
    </row>
    <row r="2705" customFormat="false" ht="15" hidden="false" customHeight="false" outlineLevel="0" collapsed="false">
      <c r="A2705" s="0" t="n">
        <v>3</v>
      </c>
      <c r="B2705" s="0" t="n">
        <v>6</v>
      </c>
      <c r="C2705" s="0" t="n">
        <v>3</v>
      </c>
      <c r="D2705" s="0" t="n">
        <v>0</v>
      </c>
      <c r="E2705" s="0" t="n">
        <f aca="false">-1+A2705*0.25</f>
        <v>-0.25</v>
      </c>
      <c r="F2705" s="0" t="n">
        <f aca="false">-1+B2705*0.25</f>
        <v>0.5</v>
      </c>
      <c r="G2705" s="0" t="n">
        <f aca="false">-1+C2705*0.25</f>
        <v>-0.25</v>
      </c>
      <c r="H2705" s="0" t="n">
        <f aca="false">-1+D2705*0.25</f>
        <v>-1</v>
      </c>
      <c r="I2705" s="0" t="n">
        <f aca="false">1</f>
        <v>1</v>
      </c>
      <c r="J2705" s="0" t="n">
        <f aca="false">E2705</f>
        <v>-0.25</v>
      </c>
      <c r="K2705" s="0" t="n">
        <f aca="false">F2705</f>
        <v>0.5</v>
      </c>
      <c r="L2705" s="0" t="n">
        <f aca="false">G2705</f>
        <v>-0.25</v>
      </c>
      <c r="M2705" s="0" t="n">
        <f aca="false">H2705</f>
        <v>-1</v>
      </c>
      <c r="N2705" s="0" t="n">
        <f aca="false">E2705*F2705</f>
        <v>-0.125</v>
      </c>
      <c r="O2705" s="0" t="n">
        <f aca="false">E2705*G2705</f>
        <v>0.0625</v>
      </c>
      <c r="P2705" s="0" t="n">
        <f aca="false">E2705*H2705</f>
        <v>0.25</v>
      </c>
      <c r="Q2705" s="0" t="n">
        <f aca="false">F2705*G2705</f>
        <v>-0.125</v>
      </c>
      <c r="R2705" s="0" t="n">
        <f aca="false">F2705*H2705</f>
        <v>-0.5</v>
      </c>
      <c r="S2705" s="0" t="n">
        <f aca="false">G2705*H2705</f>
        <v>0.25</v>
      </c>
      <c r="T2705" s="0" t="n">
        <f aca="false">E2705*E2705</f>
        <v>0.0625</v>
      </c>
      <c r="U2705" s="0" t="n">
        <f aca="false">F2705*F2705</f>
        <v>0.25</v>
      </c>
      <c r="V2705" s="0" t="n">
        <f aca="false">G2705*G2705</f>
        <v>0.0625</v>
      </c>
      <c r="W2705" s="0" t="n">
        <f aca="false">H2705*H2705</f>
        <v>1</v>
      </c>
      <c r="X2705" s="0" t="n">
        <f aca="false">SUMPRODUCT(I2705:W2705,_XtX!$B$96:$P$96)</f>
        <v>46.5592744883041</v>
      </c>
      <c r="Y2705" s="0" t="n">
        <f aca="false">SUMPRODUCT(MMULT(I2705:W2705,_XtX!$B$78:$P$92),I2705:W2705)</f>
        <v>0.445705123812135</v>
      </c>
      <c r="Z2705" s="0" t="n">
        <f aca="false">04_回帰ANOVA!$K$19*04_回帰ANOVA!$K$14*SQRT(1+Y2705)</f>
        <v>1.56724990734749</v>
      </c>
      <c r="AA2705" s="0" t="n">
        <f aca="false">X2705-Z2705</f>
        <v>44.9920245809566</v>
      </c>
      <c r="AB2705" s="0" t="n">
        <f aca="false">X2705+Z2705</f>
        <v>48.1265243956516</v>
      </c>
      <c r="AC2705" s="54" t="b">
        <f aca="false">AND(E2705&gt;=01_因子設定!$L$5-0.000000001,E2705&lt;=01_因子設定!$M$5+0.000000001,F2705&gt;=01_因子設定!$L$6-0.000000001,F2705&lt;=01_因子設定!$M$6+0.000000001,G2705&gt;=01_因子設定!$L$7-0.000000001,G2705&lt;=01_因子設定!$M$7+0.000000001,H2705&gt;=01_因子設定!$L$8-0.000000001,H2705&lt;=01_因子設定!$M$8+0.000000001,IF(01_因子設定!$B$20="Box-Behnken",E2705^2+F2705^2+G2705^2+H2705^2&lt;=2+0.000000001,TRUE()))</f>
        <v>1</v>
      </c>
      <c r="AD2705" s="55" t="n">
        <f aca="false">IF(AC2705,IF(01_因子設定!$B$13="最大化",AA2705-01_因子設定!$B$14,IF(01_因子設定!$B$13="最小化",01_因子設定!$B$15-AB2705,MIN(AA2705-01_因子設定!$B$14,01_因子設定!$B$15-AB2705))),-1E+030)</f>
        <v>-1.50797541904342</v>
      </c>
      <c r="AE2705" s="55" t="n">
        <f aca="false">IF(AC2705,IF(01_因子設定!$B$13="最大化",X2705,IF(01_因子設定!$B$13="最小化",-X2705,-ABS(X2705-01_因子設定!$B$16))),-1E+030)</f>
        <v>46.5592744883041</v>
      </c>
      <c r="AF2705" s="55" t="n">
        <f aca="false">AD2705+ROW()*0.000000001</f>
        <v>-1.50797271404342</v>
      </c>
      <c r="AG2705" s="55" t="n">
        <f aca="false">AE2705+ROW()*0.000000001</f>
        <v>46.5592771933041</v>
      </c>
    </row>
    <row r="2706" customFormat="false" ht="15" hidden="false" customHeight="false" outlineLevel="0" collapsed="false">
      <c r="A2706" s="0" t="n">
        <v>3</v>
      </c>
      <c r="B2706" s="0" t="n">
        <v>6</v>
      </c>
      <c r="C2706" s="0" t="n">
        <v>3</v>
      </c>
      <c r="D2706" s="0" t="n">
        <v>1</v>
      </c>
      <c r="E2706" s="0" t="n">
        <f aca="false">-1+A2706*0.25</f>
        <v>-0.25</v>
      </c>
      <c r="F2706" s="0" t="n">
        <f aca="false">-1+B2706*0.25</f>
        <v>0.5</v>
      </c>
      <c r="G2706" s="0" t="n">
        <f aca="false">-1+C2706*0.25</f>
        <v>-0.25</v>
      </c>
      <c r="H2706" s="0" t="n">
        <f aca="false">-1+D2706*0.25</f>
        <v>-0.75</v>
      </c>
      <c r="I2706" s="0" t="n">
        <f aca="false">1</f>
        <v>1</v>
      </c>
      <c r="J2706" s="0" t="n">
        <f aca="false">E2706</f>
        <v>-0.25</v>
      </c>
      <c r="K2706" s="0" t="n">
        <f aca="false">F2706</f>
        <v>0.5</v>
      </c>
      <c r="L2706" s="0" t="n">
        <f aca="false">G2706</f>
        <v>-0.25</v>
      </c>
      <c r="M2706" s="0" t="n">
        <f aca="false">H2706</f>
        <v>-0.75</v>
      </c>
      <c r="N2706" s="0" t="n">
        <f aca="false">E2706*F2706</f>
        <v>-0.125</v>
      </c>
      <c r="O2706" s="0" t="n">
        <f aca="false">E2706*G2706</f>
        <v>0.0625</v>
      </c>
      <c r="P2706" s="0" t="n">
        <f aca="false">E2706*H2706</f>
        <v>0.1875</v>
      </c>
      <c r="Q2706" s="0" t="n">
        <f aca="false">F2706*G2706</f>
        <v>-0.125</v>
      </c>
      <c r="R2706" s="0" t="n">
        <f aca="false">F2706*H2706</f>
        <v>-0.375</v>
      </c>
      <c r="S2706" s="0" t="n">
        <f aca="false">G2706*H2706</f>
        <v>0.1875</v>
      </c>
      <c r="T2706" s="0" t="n">
        <f aca="false">E2706*E2706</f>
        <v>0.0625</v>
      </c>
      <c r="U2706" s="0" t="n">
        <f aca="false">F2706*F2706</f>
        <v>0.25</v>
      </c>
      <c r="V2706" s="0" t="n">
        <f aca="false">G2706*G2706</f>
        <v>0.0625</v>
      </c>
      <c r="W2706" s="0" t="n">
        <f aca="false">H2706*H2706</f>
        <v>0.5625</v>
      </c>
      <c r="X2706" s="0" t="n">
        <f aca="false">SUMPRODUCT(I2706:W2706,_XtX!$B$96:$P$96)</f>
        <v>46.7756441885965</v>
      </c>
      <c r="Y2706" s="0" t="n">
        <f aca="false">SUMPRODUCT(MMULT(I2706:W2706,_XtX!$B$78:$P$92),I2706:W2706)</f>
        <v>0.207746539199561</v>
      </c>
      <c r="Z2706" s="0" t="n">
        <f aca="false">04_回帰ANOVA!$K$19*04_回帰ANOVA!$K$14*SQRT(1+Y2706)</f>
        <v>1.43247250081141</v>
      </c>
      <c r="AA2706" s="0" t="n">
        <f aca="false">X2706-Z2706</f>
        <v>45.343171687785</v>
      </c>
      <c r="AB2706" s="0" t="n">
        <f aca="false">X2706+Z2706</f>
        <v>48.2081166894079</v>
      </c>
      <c r="AC2706" s="54" t="b">
        <f aca="false">AND(E2706&gt;=01_因子設定!$L$5-0.000000001,E2706&lt;=01_因子設定!$M$5+0.000000001,F2706&gt;=01_因子設定!$L$6-0.000000001,F2706&lt;=01_因子設定!$M$6+0.000000001,G2706&gt;=01_因子設定!$L$7-0.000000001,G2706&lt;=01_因子設定!$M$7+0.000000001,H2706&gt;=01_因子設定!$L$8-0.000000001,H2706&lt;=01_因子設定!$M$8+0.000000001,IF(01_因子設定!$B$20="Box-Behnken",E2706^2+F2706^2+G2706^2+H2706^2&lt;=2+0.000000001,TRUE()))</f>
        <v>1</v>
      </c>
      <c r="AD2706" s="55" t="n">
        <f aca="false">IF(AC2706,IF(01_因子設定!$B$13="最大化",AA2706-01_因子設定!$B$14,IF(01_因子設定!$B$13="最小化",01_因子設定!$B$15-AB2706,MIN(AA2706-01_因子設定!$B$14,01_因子設定!$B$15-AB2706))),-1E+030)</f>
        <v>-1.15682831221496</v>
      </c>
      <c r="AE2706" s="55" t="n">
        <f aca="false">IF(AC2706,IF(01_因子設定!$B$13="最大化",X2706,IF(01_因子設定!$B$13="最小化",-X2706,-ABS(X2706-01_因子設定!$B$16))),-1E+030)</f>
        <v>46.7756441885965</v>
      </c>
      <c r="AF2706" s="55" t="n">
        <f aca="false">AD2706+ROW()*0.000000001</f>
        <v>-1.15682560621496</v>
      </c>
      <c r="AG2706" s="55" t="n">
        <f aca="false">AE2706+ROW()*0.000000001</f>
        <v>46.7756468945965</v>
      </c>
    </row>
    <row r="2707" customFormat="false" ht="15" hidden="false" customHeight="false" outlineLevel="0" collapsed="false">
      <c r="A2707" s="0" t="n">
        <v>3</v>
      </c>
      <c r="B2707" s="0" t="n">
        <v>6</v>
      </c>
      <c r="C2707" s="0" t="n">
        <v>3</v>
      </c>
      <c r="D2707" s="0" t="n">
        <v>2</v>
      </c>
      <c r="E2707" s="0" t="n">
        <f aca="false">-1+A2707*0.25</f>
        <v>-0.25</v>
      </c>
      <c r="F2707" s="0" t="n">
        <f aca="false">-1+B2707*0.25</f>
        <v>0.5</v>
      </c>
      <c r="G2707" s="0" t="n">
        <f aca="false">-1+C2707*0.25</f>
        <v>-0.25</v>
      </c>
      <c r="H2707" s="0" t="n">
        <f aca="false">-1+D2707*0.25</f>
        <v>-0.5</v>
      </c>
      <c r="I2707" s="0" t="n">
        <f aca="false">1</f>
        <v>1</v>
      </c>
      <c r="J2707" s="0" t="n">
        <f aca="false">E2707</f>
        <v>-0.25</v>
      </c>
      <c r="K2707" s="0" t="n">
        <f aca="false">F2707</f>
        <v>0.5</v>
      </c>
      <c r="L2707" s="0" t="n">
        <f aca="false">G2707</f>
        <v>-0.25</v>
      </c>
      <c r="M2707" s="0" t="n">
        <f aca="false">H2707</f>
        <v>-0.5</v>
      </c>
      <c r="N2707" s="0" t="n">
        <f aca="false">E2707*F2707</f>
        <v>-0.125</v>
      </c>
      <c r="O2707" s="0" t="n">
        <f aca="false">E2707*G2707</f>
        <v>0.0625</v>
      </c>
      <c r="P2707" s="0" t="n">
        <f aca="false">E2707*H2707</f>
        <v>0.125</v>
      </c>
      <c r="Q2707" s="0" t="n">
        <f aca="false">F2707*G2707</f>
        <v>-0.125</v>
      </c>
      <c r="R2707" s="0" t="n">
        <f aca="false">F2707*H2707</f>
        <v>-0.25</v>
      </c>
      <c r="S2707" s="0" t="n">
        <f aca="false">G2707*H2707</f>
        <v>0.125</v>
      </c>
      <c r="T2707" s="0" t="n">
        <f aca="false">E2707*E2707</f>
        <v>0.0625</v>
      </c>
      <c r="U2707" s="0" t="n">
        <f aca="false">F2707*F2707</f>
        <v>0.25</v>
      </c>
      <c r="V2707" s="0" t="n">
        <f aca="false">G2707*G2707</f>
        <v>0.0625</v>
      </c>
      <c r="W2707" s="0" t="n">
        <f aca="false">H2707*H2707</f>
        <v>0.25</v>
      </c>
      <c r="X2707" s="0" t="n">
        <f aca="false">SUMPRODUCT(I2707:W2707,_XtX!$B$96:$P$96)</f>
        <v>46.944206871345</v>
      </c>
      <c r="Y2707" s="0" t="n">
        <f aca="false">SUMPRODUCT(MMULT(I2707:W2707,_XtX!$B$78:$P$92),I2707:W2707)</f>
        <v>0.128236647934942</v>
      </c>
      <c r="Z2707" s="0" t="n">
        <f aca="false">04_回帰ANOVA!$K$19*04_回帰ANOVA!$K$14*SQRT(1+Y2707)</f>
        <v>1.38451764188989</v>
      </c>
      <c r="AA2707" s="0" t="n">
        <f aca="false">X2707-Z2707</f>
        <v>45.5596892294551</v>
      </c>
      <c r="AB2707" s="0" t="n">
        <f aca="false">X2707+Z2707</f>
        <v>48.3287245132349</v>
      </c>
      <c r="AC2707" s="54" t="b">
        <f aca="false">AND(E2707&gt;=01_因子設定!$L$5-0.000000001,E2707&lt;=01_因子設定!$M$5+0.000000001,F2707&gt;=01_因子設定!$L$6-0.000000001,F2707&lt;=01_因子設定!$M$6+0.000000001,G2707&gt;=01_因子設定!$L$7-0.000000001,G2707&lt;=01_因子設定!$M$7+0.000000001,H2707&gt;=01_因子設定!$L$8-0.000000001,H2707&lt;=01_因子設定!$M$8+0.000000001,IF(01_因子設定!$B$20="Box-Behnken",E2707^2+F2707^2+G2707^2+H2707^2&lt;=2+0.000000001,TRUE()))</f>
        <v>1</v>
      </c>
      <c r="AD2707" s="55" t="n">
        <f aca="false">IF(AC2707,IF(01_因子設定!$B$13="最大化",AA2707-01_因子設定!$B$14,IF(01_因子設定!$B$13="最小化",01_因子設定!$B$15-AB2707,MIN(AA2707-01_因子設定!$B$14,01_因子設定!$B$15-AB2707))),-1E+030)</f>
        <v>-0.940310770544905</v>
      </c>
      <c r="AE2707" s="55" t="n">
        <f aca="false">IF(AC2707,IF(01_因子設定!$B$13="最大化",X2707,IF(01_因子設定!$B$13="最小化",-X2707,-ABS(X2707-01_因子設定!$B$16))),-1E+030)</f>
        <v>46.944206871345</v>
      </c>
      <c r="AF2707" s="55" t="n">
        <f aca="false">AD2707+ROW()*0.000000001</f>
        <v>-0.940308063544905</v>
      </c>
      <c r="AG2707" s="55" t="n">
        <f aca="false">AE2707+ROW()*0.000000001</f>
        <v>46.944209578345</v>
      </c>
    </row>
    <row r="2708" customFormat="false" ht="15" hidden="false" customHeight="false" outlineLevel="0" collapsed="false">
      <c r="A2708" s="0" t="n">
        <v>3</v>
      </c>
      <c r="B2708" s="0" t="n">
        <v>6</v>
      </c>
      <c r="C2708" s="0" t="n">
        <v>3</v>
      </c>
      <c r="D2708" s="0" t="n">
        <v>3</v>
      </c>
      <c r="E2708" s="0" t="n">
        <f aca="false">-1+A2708*0.25</f>
        <v>-0.25</v>
      </c>
      <c r="F2708" s="0" t="n">
        <f aca="false">-1+B2708*0.25</f>
        <v>0.5</v>
      </c>
      <c r="G2708" s="0" t="n">
        <f aca="false">-1+C2708*0.25</f>
        <v>-0.25</v>
      </c>
      <c r="H2708" s="0" t="n">
        <f aca="false">-1+D2708*0.25</f>
        <v>-0.25</v>
      </c>
      <c r="I2708" s="0" t="n">
        <f aca="false">1</f>
        <v>1</v>
      </c>
      <c r="J2708" s="0" t="n">
        <f aca="false">E2708</f>
        <v>-0.25</v>
      </c>
      <c r="K2708" s="0" t="n">
        <f aca="false">F2708</f>
        <v>0.5</v>
      </c>
      <c r="L2708" s="0" t="n">
        <f aca="false">G2708</f>
        <v>-0.25</v>
      </c>
      <c r="M2708" s="0" t="n">
        <f aca="false">H2708</f>
        <v>-0.25</v>
      </c>
      <c r="N2708" s="0" t="n">
        <f aca="false">E2708*F2708</f>
        <v>-0.125</v>
      </c>
      <c r="O2708" s="0" t="n">
        <f aca="false">E2708*G2708</f>
        <v>0.0625</v>
      </c>
      <c r="P2708" s="0" t="n">
        <f aca="false">E2708*H2708</f>
        <v>0.0625</v>
      </c>
      <c r="Q2708" s="0" t="n">
        <f aca="false">F2708*G2708</f>
        <v>-0.125</v>
      </c>
      <c r="R2708" s="0" t="n">
        <f aca="false">F2708*H2708</f>
        <v>-0.125</v>
      </c>
      <c r="S2708" s="0" t="n">
        <f aca="false">G2708*H2708</f>
        <v>0.0625</v>
      </c>
      <c r="T2708" s="0" t="n">
        <f aca="false">E2708*E2708</f>
        <v>0.0625</v>
      </c>
      <c r="U2708" s="0" t="n">
        <f aca="false">F2708*F2708</f>
        <v>0.25</v>
      </c>
      <c r="V2708" s="0" t="n">
        <f aca="false">G2708*G2708</f>
        <v>0.0625</v>
      </c>
      <c r="W2708" s="0" t="n">
        <f aca="false">H2708*H2708</f>
        <v>0.0625</v>
      </c>
      <c r="X2708" s="0" t="n">
        <f aca="false">SUMPRODUCT(I2708:W2708,_XtX!$B$96:$P$96)</f>
        <v>47.0649625365497</v>
      </c>
      <c r="Y2708" s="0" t="n">
        <f aca="false">SUMPRODUCT(MMULT(I2708:W2708,_XtX!$B$78:$P$92),I2708:W2708)</f>
        <v>0.116714923702485</v>
      </c>
      <c r="Z2708" s="0" t="n">
        <f aca="false">04_回帰ANOVA!$K$19*04_回帰ANOVA!$K$14*SQRT(1+Y2708)</f>
        <v>1.37743004820023</v>
      </c>
      <c r="AA2708" s="0" t="n">
        <f aca="false">X2708-Z2708</f>
        <v>45.6875324883494</v>
      </c>
      <c r="AB2708" s="0" t="n">
        <f aca="false">X2708+Z2708</f>
        <v>48.4423925847499</v>
      </c>
      <c r="AC2708" s="54" t="b">
        <f aca="false">AND(E2708&gt;=01_因子設定!$L$5-0.000000001,E2708&lt;=01_因子設定!$M$5+0.000000001,F2708&gt;=01_因子設定!$L$6-0.000000001,F2708&lt;=01_因子設定!$M$6+0.000000001,G2708&gt;=01_因子設定!$L$7-0.000000001,G2708&lt;=01_因子設定!$M$7+0.000000001,H2708&gt;=01_因子設定!$L$8-0.000000001,H2708&lt;=01_因子設定!$M$8+0.000000001,IF(01_因子設定!$B$20="Box-Behnken",E2708^2+F2708^2+G2708^2+H2708^2&lt;=2+0.000000001,TRUE()))</f>
        <v>1</v>
      </c>
      <c r="AD2708" s="55" t="n">
        <f aca="false">IF(AC2708,IF(01_因子設定!$B$13="最大化",AA2708-01_因子設定!$B$14,IF(01_因子設定!$B$13="最小化",01_因子設定!$B$15-AB2708,MIN(AA2708-01_因子設定!$B$14,01_因子設定!$B$15-AB2708))),-1E+030)</f>
        <v>-0.812467511650574</v>
      </c>
      <c r="AE2708" s="55" t="n">
        <f aca="false">IF(AC2708,IF(01_因子設定!$B$13="最大化",X2708,IF(01_因子設定!$B$13="最小化",-X2708,-ABS(X2708-01_因子設定!$B$16))),-1E+030)</f>
        <v>47.0649625365497</v>
      </c>
      <c r="AF2708" s="55" t="n">
        <f aca="false">AD2708+ROW()*0.000000001</f>
        <v>-0.812464803650574</v>
      </c>
      <c r="AG2708" s="55" t="n">
        <f aca="false">AE2708+ROW()*0.000000001</f>
        <v>47.0649652445497</v>
      </c>
    </row>
    <row r="2709" customFormat="false" ht="15" hidden="false" customHeight="false" outlineLevel="0" collapsed="false">
      <c r="A2709" s="0" t="n">
        <v>3</v>
      </c>
      <c r="B2709" s="0" t="n">
        <v>6</v>
      </c>
      <c r="C2709" s="0" t="n">
        <v>3</v>
      </c>
      <c r="D2709" s="0" t="n">
        <v>4</v>
      </c>
      <c r="E2709" s="0" t="n">
        <f aca="false">-1+A2709*0.25</f>
        <v>-0.25</v>
      </c>
      <c r="F2709" s="0" t="n">
        <f aca="false">-1+B2709*0.25</f>
        <v>0.5</v>
      </c>
      <c r="G2709" s="0" t="n">
        <f aca="false">-1+C2709*0.25</f>
        <v>-0.25</v>
      </c>
      <c r="H2709" s="0" t="n">
        <f aca="false">-1+D2709*0.25</f>
        <v>0</v>
      </c>
      <c r="I2709" s="0" t="n">
        <f aca="false">1</f>
        <v>1</v>
      </c>
      <c r="J2709" s="0" t="n">
        <f aca="false">E2709</f>
        <v>-0.25</v>
      </c>
      <c r="K2709" s="0" t="n">
        <f aca="false">F2709</f>
        <v>0.5</v>
      </c>
      <c r="L2709" s="0" t="n">
        <f aca="false">G2709</f>
        <v>-0.25</v>
      </c>
      <c r="M2709" s="0" t="n">
        <f aca="false">H2709</f>
        <v>0</v>
      </c>
      <c r="N2709" s="0" t="n">
        <f aca="false">E2709*F2709</f>
        <v>-0.125</v>
      </c>
      <c r="O2709" s="0" t="n">
        <f aca="false">E2709*G2709</f>
        <v>0.0625</v>
      </c>
      <c r="P2709" s="0" t="n">
        <f aca="false">E2709*H2709</f>
        <v>-0</v>
      </c>
      <c r="Q2709" s="0" t="n">
        <f aca="false">F2709*G2709</f>
        <v>-0.125</v>
      </c>
      <c r="R2709" s="0" t="n">
        <f aca="false">F2709*H2709</f>
        <v>0</v>
      </c>
      <c r="S2709" s="0" t="n">
        <f aca="false">G2709*H2709</f>
        <v>-0</v>
      </c>
      <c r="T2709" s="0" t="n">
        <f aca="false">E2709*E2709</f>
        <v>0.0625</v>
      </c>
      <c r="U2709" s="0" t="n">
        <f aca="false">F2709*F2709</f>
        <v>0.25</v>
      </c>
      <c r="V2709" s="0" t="n">
        <f aca="false">G2709*G2709</f>
        <v>0.0625</v>
      </c>
      <c r="W2709" s="0" t="n">
        <f aca="false">H2709*H2709</f>
        <v>0</v>
      </c>
      <c r="X2709" s="0" t="n">
        <f aca="false">SUMPRODUCT(I2709:W2709,_XtX!$B$96:$P$96)</f>
        <v>47.1379111842105</v>
      </c>
      <c r="Y2709" s="0" t="n">
        <f aca="false">SUMPRODUCT(MMULT(I2709:W2709,_XtX!$B$78:$P$92),I2709:W2709)</f>
        <v>0.118905050712719</v>
      </c>
      <c r="Z2709" s="0" t="n">
        <f aca="false">04_回帰ANOVA!$K$19*04_回帰ANOVA!$K$14*SQRT(1+Y2709)</f>
        <v>1.37878011033769</v>
      </c>
      <c r="AA2709" s="0" t="n">
        <f aca="false">X2709-Z2709</f>
        <v>45.7591310738728</v>
      </c>
      <c r="AB2709" s="0" t="n">
        <f aca="false">X2709+Z2709</f>
        <v>48.5166912945482</v>
      </c>
      <c r="AC2709" s="54" t="b">
        <f aca="false">AND(E2709&gt;=01_因子設定!$L$5-0.000000001,E2709&lt;=01_因子設定!$M$5+0.000000001,F2709&gt;=01_因子設定!$L$6-0.000000001,F2709&lt;=01_因子設定!$M$6+0.000000001,G2709&gt;=01_因子設定!$L$7-0.000000001,G2709&lt;=01_因子設定!$M$7+0.000000001,H2709&gt;=01_因子設定!$L$8-0.000000001,H2709&lt;=01_因子設定!$M$8+0.000000001,IF(01_因子設定!$B$20="Box-Behnken",E2709^2+F2709^2+G2709^2+H2709^2&lt;=2+0.000000001,TRUE()))</f>
        <v>1</v>
      </c>
      <c r="AD2709" s="55" t="n">
        <f aca="false">IF(AC2709,IF(01_因子設定!$B$13="最大化",AA2709-01_因子設定!$B$14,IF(01_因子設定!$B$13="最小化",01_因子設定!$B$15-AB2709,MIN(AA2709-01_因子設定!$B$14,01_因子設定!$B$15-AB2709))),-1E+030)</f>
        <v>-0.74086892612722</v>
      </c>
      <c r="AE2709" s="55" t="n">
        <f aca="false">IF(AC2709,IF(01_因子設定!$B$13="最大化",X2709,IF(01_因子設定!$B$13="最小化",-X2709,-ABS(X2709-01_因子設定!$B$16))),-1E+030)</f>
        <v>47.1379111842105</v>
      </c>
      <c r="AF2709" s="55" t="n">
        <f aca="false">AD2709+ROW()*0.000000001</f>
        <v>-0.74086621712722</v>
      </c>
      <c r="AG2709" s="55" t="n">
        <f aca="false">AE2709+ROW()*0.000000001</f>
        <v>47.1379138932105</v>
      </c>
    </row>
    <row r="2710" customFormat="false" ht="15" hidden="false" customHeight="false" outlineLevel="0" collapsed="false">
      <c r="A2710" s="0" t="n">
        <v>3</v>
      </c>
      <c r="B2710" s="0" t="n">
        <v>6</v>
      </c>
      <c r="C2710" s="0" t="n">
        <v>3</v>
      </c>
      <c r="D2710" s="0" t="n">
        <v>5</v>
      </c>
      <c r="E2710" s="0" t="n">
        <f aca="false">-1+A2710*0.25</f>
        <v>-0.25</v>
      </c>
      <c r="F2710" s="0" t="n">
        <f aca="false">-1+B2710*0.25</f>
        <v>0.5</v>
      </c>
      <c r="G2710" s="0" t="n">
        <f aca="false">-1+C2710*0.25</f>
        <v>-0.25</v>
      </c>
      <c r="H2710" s="0" t="n">
        <f aca="false">-1+D2710*0.25</f>
        <v>0.25</v>
      </c>
      <c r="I2710" s="0" t="n">
        <f aca="false">1</f>
        <v>1</v>
      </c>
      <c r="J2710" s="0" t="n">
        <f aca="false">E2710</f>
        <v>-0.25</v>
      </c>
      <c r="K2710" s="0" t="n">
        <f aca="false">F2710</f>
        <v>0.5</v>
      </c>
      <c r="L2710" s="0" t="n">
        <f aca="false">G2710</f>
        <v>-0.25</v>
      </c>
      <c r="M2710" s="0" t="n">
        <f aca="false">H2710</f>
        <v>0.25</v>
      </c>
      <c r="N2710" s="0" t="n">
        <f aca="false">E2710*F2710</f>
        <v>-0.125</v>
      </c>
      <c r="O2710" s="0" t="n">
        <f aca="false">E2710*G2710</f>
        <v>0.0625</v>
      </c>
      <c r="P2710" s="0" t="n">
        <f aca="false">E2710*H2710</f>
        <v>-0.0625</v>
      </c>
      <c r="Q2710" s="0" t="n">
        <f aca="false">F2710*G2710</f>
        <v>-0.125</v>
      </c>
      <c r="R2710" s="0" t="n">
        <f aca="false">F2710*H2710</f>
        <v>0.125</v>
      </c>
      <c r="S2710" s="0" t="n">
        <f aca="false">G2710*H2710</f>
        <v>-0.0625</v>
      </c>
      <c r="T2710" s="0" t="n">
        <f aca="false">E2710*E2710</f>
        <v>0.0625</v>
      </c>
      <c r="U2710" s="0" t="n">
        <f aca="false">F2710*F2710</f>
        <v>0.25</v>
      </c>
      <c r="V2710" s="0" t="n">
        <f aca="false">G2710*G2710</f>
        <v>0.0625</v>
      </c>
      <c r="W2710" s="0" t="n">
        <f aca="false">H2710*H2710</f>
        <v>0.0625</v>
      </c>
      <c r="X2710" s="0" t="n">
        <f aca="false">SUMPRODUCT(I2710:W2710,_XtX!$B$96:$P$96)</f>
        <v>47.1630528143274</v>
      </c>
      <c r="Y2710" s="0" t="n">
        <f aca="false">SUMPRODUCT(MMULT(I2710:W2710,_XtX!$B$78:$P$92),I2710:W2710)</f>
        <v>0.116714923702485</v>
      </c>
      <c r="Z2710" s="0" t="n">
        <f aca="false">04_回帰ANOVA!$K$19*04_回帰ANOVA!$K$14*SQRT(1+Y2710)</f>
        <v>1.37743004820023</v>
      </c>
      <c r="AA2710" s="0" t="n">
        <f aca="false">X2710-Z2710</f>
        <v>45.7856227661272</v>
      </c>
      <c r="AB2710" s="0" t="n">
        <f aca="false">X2710+Z2710</f>
        <v>48.5404828625277</v>
      </c>
      <c r="AC2710" s="54" t="b">
        <f aca="false">AND(E2710&gt;=01_因子設定!$L$5-0.000000001,E2710&lt;=01_因子設定!$M$5+0.000000001,F2710&gt;=01_因子設定!$L$6-0.000000001,F2710&lt;=01_因子設定!$M$6+0.000000001,G2710&gt;=01_因子設定!$L$7-0.000000001,G2710&lt;=01_因子設定!$M$7+0.000000001,H2710&gt;=01_因子設定!$L$8-0.000000001,H2710&lt;=01_因子設定!$M$8+0.000000001,IF(01_因子設定!$B$20="Box-Behnken",E2710^2+F2710^2+G2710^2+H2710^2&lt;=2+0.000000001,TRUE()))</f>
        <v>1</v>
      </c>
      <c r="AD2710" s="55" t="n">
        <f aca="false">IF(AC2710,IF(01_因子設定!$B$13="最大化",AA2710-01_因子設定!$B$14,IF(01_因子設定!$B$13="最小化",01_因子設定!$B$15-AB2710,MIN(AA2710-01_因子設定!$B$14,01_因子設定!$B$15-AB2710))),-1E+030)</f>
        <v>-0.714377233872796</v>
      </c>
      <c r="AE2710" s="55" t="n">
        <f aca="false">IF(AC2710,IF(01_因子設定!$B$13="最大化",X2710,IF(01_因子設定!$B$13="最小化",-X2710,-ABS(X2710-01_因子設定!$B$16))),-1E+030)</f>
        <v>47.1630528143274</v>
      </c>
      <c r="AF2710" s="55" t="n">
        <f aca="false">AD2710+ROW()*0.000000001</f>
        <v>-0.714374523872796</v>
      </c>
      <c r="AG2710" s="55" t="n">
        <f aca="false">AE2710+ROW()*0.000000001</f>
        <v>47.1630555243274</v>
      </c>
    </row>
    <row r="2711" customFormat="false" ht="15" hidden="false" customHeight="false" outlineLevel="0" collapsed="false">
      <c r="A2711" s="0" t="n">
        <v>3</v>
      </c>
      <c r="B2711" s="0" t="n">
        <v>6</v>
      </c>
      <c r="C2711" s="0" t="n">
        <v>3</v>
      </c>
      <c r="D2711" s="0" t="n">
        <v>6</v>
      </c>
      <c r="E2711" s="0" t="n">
        <f aca="false">-1+A2711*0.25</f>
        <v>-0.25</v>
      </c>
      <c r="F2711" s="0" t="n">
        <f aca="false">-1+B2711*0.25</f>
        <v>0.5</v>
      </c>
      <c r="G2711" s="0" t="n">
        <f aca="false">-1+C2711*0.25</f>
        <v>-0.25</v>
      </c>
      <c r="H2711" s="0" t="n">
        <f aca="false">-1+D2711*0.25</f>
        <v>0.5</v>
      </c>
      <c r="I2711" s="0" t="n">
        <f aca="false">1</f>
        <v>1</v>
      </c>
      <c r="J2711" s="0" t="n">
        <f aca="false">E2711</f>
        <v>-0.25</v>
      </c>
      <c r="K2711" s="0" t="n">
        <f aca="false">F2711</f>
        <v>0.5</v>
      </c>
      <c r="L2711" s="0" t="n">
        <f aca="false">G2711</f>
        <v>-0.25</v>
      </c>
      <c r="M2711" s="0" t="n">
        <f aca="false">H2711</f>
        <v>0.5</v>
      </c>
      <c r="N2711" s="0" t="n">
        <f aca="false">E2711*F2711</f>
        <v>-0.125</v>
      </c>
      <c r="O2711" s="0" t="n">
        <f aca="false">E2711*G2711</f>
        <v>0.0625</v>
      </c>
      <c r="P2711" s="0" t="n">
        <f aca="false">E2711*H2711</f>
        <v>-0.125</v>
      </c>
      <c r="Q2711" s="0" t="n">
        <f aca="false">F2711*G2711</f>
        <v>-0.125</v>
      </c>
      <c r="R2711" s="0" t="n">
        <f aca="false">F2711*H2711</f>
        <v>0.25</v>
      </c>
      <c r="S2711" s="0" t="n">
        <f aca="false">G2711*H2711</f>
        <v>-0.125</v>
      </c>
      <c r="T2711" s="0" t="n">
        <f aca="false">E2711*E2711</f>
        <v>0.0625</v>
      </c>
      <c r="U2711" s="0" t="n">
        <f aca="false">F2711*F2711</f>
        <v>0.25</v>
      </c>
      <c r="V2711" s="0" t="n">
        <f aca="false">G2711*G2711</f>
        <v>0.0625</v>
      </c>
      <c r="W2711" s="0" t="n">
        <f aca="false">H2711*H2711</f>
        <v>0.25</v>
      </c>
      <c r="X2711" s="0" t="n">
        <f aca="false">SUMPRODUCT(I2711:W2711,_XtX!$B$96:$P$96)</f>
        <v>47.1403874269005</v>
      </c>
      <c r="Y2711" s="0" t="n">
        <f aca="false">SUMPRODUCT(MMULT(I2711:W2711,_XtX!$B$78:$P$92),I2711:W2711)</f>
        <v>0.128236647934942</v>
      </c>
      <c r="Z2711" s="0" t="n">
        <f aca="false">04_回帰ANOVA!$K$19*04_回帰ANOVA!$K$14*SQRT(1+Y2711)</f>
        <v>1.38451764188989</v>
      </c>
      <c r="AA2711" s="0" t="n">
        <f aca="false">X2711-Z2711</f>
        <v>45.7558697850106</v>
      </c>
      <c r="AB2711" s="0" t="n">
        <f aca="false">X2711+Z2711</f>
        <v>48.5249050687904</v>
      </c>
      <c r="AC2711" s="54" t="b">
        <f aca="false">AND(E2711&gt;=01_因子設定!$L$5-0.000000001,E2711&lt;=01_因子設定!$M$5+0.000000001,F2711&gt;=01_因子設定!$L$6-0.000000001,F2711&lt;=01_因子設定!$M$6+0.000000001,G2711&gt;=01_因子設定!$L$7-0.000000001,G2711&lt;=01_因子設定!$M$7+0.000000001,H2711&gt;=01_因子設定!$L$8-0.000000001,H2711&lt;=01_因子設定!$M$8+0.000000001,IF(01_因子設定!$B$20="Box-Behnken",E2711^2+F2711^2+G2711^2+H2711^2&lt;=2+0.000000001,TRUE()))</f>
        <v>1</v>
      </c>
      <c r="AD2711" s="55" t="n">
        <f aca="false">IF(AC2711,IF(01_因子設定!$B$13="最大化",AA2711-01_因子設定!$B$14,IF(01_因子設定!$B$13="最小化",01_因子設定!$B$15-AB2711,MIN(AA2711-01_因子設定!$B$14,01_因子設定!$B$15-AB2711))),-1E+030)</f>
        <v>-0.744130214989355</v>
      </c>
      <c r="AE2711" s="55" t="n">
        <f aca="false">IF(AC2711,IF(01_因子設定!$B$13="最大化",X2711,IF(01_因子設定!$B$13="最小化",-X2711,-ABS(X2711-01_因子設定!$B$16))),-1E+030)</f>
        <v>47.1403874269005</v>
      </c>
      <c r="AF2711" s="55" t="n">
        <f aca="false">AD2711+ROW()*0.000000001</f>
        <v>-0.744127503989355</v>
      </c>
      <c r="AG2711" s="55" t="n">
        <f aca="false">AE2711+ROW()*0.000000001</f>
        <v>47.1403901379005</v>
      </c>
    </row>
    <row r="2712" customFormat="false" ht="15" hidden="false" customHeight="false" outlineLevel="0" collapsed="false">
      <c r="A2712" s="0" t="n">
        <v>3</v>
      </c>
      <c r="B2712" s="0" t="n">
        <v>6</v>
      </c>
      <c r="C2712" s="0" t="n">
        <v>3</v>
      </c>
      <c r="D2712" s="0" t="n">
        <v>7</v>
      </c>
      <c r="E2712" s="0" t="n">
        <f aca="false">-1+A2712*0.25</f>
        <v>-0.25</v>
      </c>
      <c r="F2712" s="0" t="n">
        <f aca="false">-1+B2712*0.25</f>
        <v>0.5</v>
      </c>
      <c r="G2712" s="0" t="n">
        <f aca="false">-1+C2712*0.25</f>
        <v>-0.25</v>
      </c>
      <c r="H2712" s="0" t="n">
        <f aca="false">-1+D2712*0.25</f>
        <v>0.75</v>
      </c>
      <c r="I2712" s="0" t="n">
        <f aca="false">1</f>
        <v>1</v>
      </c>
      <c r="J2712" s="0" t="n">
        <f aca="false">E2712</f>
        <v>-0.25</v>
      </c>
      <c r="K2712" s="0" t="n">
        <f aca="false">F2712</f>
        <v>0.5</v>
      </c>
      <c r="L2712" s="0" t="n">
        <f aca="false">G2712</f>
        <v>-0.25</v>
      </c>
      <c r="M2712" s="0" t="n">
        <f aca="false">H2712</f>
        <v>0.75</v>
      </c>
      <c r="N2712" s="0" t="n">
        <f aca="false">E2712*F2712</f>
        <v>-0.125</v>
      </c>
      <c r="O2712" s="0" t="n">
        <f aca="false">E2712*G2712</f>
        <v>0.0625</v>
      </c>
      <c r="P2712" s="0" t="n">
        <f aca="false">E2712*H2712</f>
        <v>-0.1875</v>
      </c>
      <c r="Q2712" s="0" t="n">
        <f aca="false">F2712*G2712</f>
        <v>-0.125</v>
      </c>
      <c r="R2712" s="0" t="n">
        <f aca="false">F2712*H2712</f>
        <v>0.375</v>
      </c>
      <c r="S2712" s="0" t="n">
        <f aca="false">G2712*H2712</f>
        <v>-0.1875</v>
      </c>
      <c r="T2712" s="0" t="n">
        <f aca="false">E2712*E2712</f>
        <v>0.0625</v>
      </c>
      <c r="U2712" s="0" t="n">
        <f aca="false">F2712*F2712</f>
        <v>0.25</v>
      </c>
      <c r="V2712" s="0" t="n">
        <f aca="false">G2712*G2712</f>
        <v>0.0625</v>
      </c>
      <c r="W2712" s="0" t="n">
        <f aca="false">H2712*H2712</f>
        <v>0.5625</v>
      </c>
      <c r="X2712" s="0" t="n">
        <f aca="false">SUMPRODUCT(I2712:W2712,_XtX!$B$96:$P$96)</f>
        <v>47.0699150219298</v>
      </c>
      <c r="Y2712" s="0" t="n">
        <f aca="false">SUMPRODUCT(MMULT(I2712:W2712,_XtX!$B$78:$P$92),I2712:W2712)</f>
        <v>0.207746539199561</v>
      </c>
      <c r="Z2712" s="0" t="n">
        <f aca="false">04_回帰ANOVA!$K$19*04_回帰ANOVA!$K$14*SQRT(1+Y2712)</f>
        <v>1.43247250081141</v>
      </c>
      <c r="AA2712" s="0" t="n">
        <f aca="false">X2712-Z2712</f>
        <v>45.6374425211184</v>
      </c>
      <c r="AB2712" s="0" t="n">
        <f aca="false">X2712+Z2712</f>
        <v>48.5023875227412</v>
      </c>
      <c r="AC2712" s="54" t="b">
        <f aca="false">AND(E2712&gt;=01_因子設定!$L$5-0.000000001,E2712&lt;=01_因子設定!$M$5+0.000000001,F2712&gt;=01_因子設定!$L$6-0.000000001,F2712&lt;=01_因子設定!$M$6+0.000000001,G2712&gt;=01_因子設定!$L$7-0.000000001,G2712&lt;=01_因子設定!$M$7+0.000000001,H2712&gt;=01_因子設定!$L$8-0.000000001,H2712&lt;=01_因子設定!$M$8+0.000000001,IF(01_因子設定!$B$20="Box-Behnken",E2712^2+F2712^2+G2712^2+H2712^2&lt;=2+0.000000001,TRUE()))</f>
        <v>1</v>
      </c>
      <c r="AD2712" s="55" t="n">
        <f aca="false">IF(AC2712,IF(01_因子設定!$B$13="最大化",AA2712-01_因子設定!$B$14,IF(01_因子設定!$B$13="最小化",01_因子設定!$B$15-AB2712,MIN(AA2712-01_因子設定!$B$14,01_因子設定!$B$15-AB2712))),-1E+030)</f>
        <v>-0.86255747888162</v>
      </c>
      <c r="AE2712" s="55" t="n">
        <f aca="false">IF(AC2712,IF(01_因子設定!$B$13="最大化",X2712,IF(01_因子設定!$B$13="最小化",-X2712,-ABS(X2712-01_因子設定!$B$16))),-1E+030)</f>
        <v>47.0699150219298</v>
      </c>
      <c r="AF2712" s="55" t="n">
        <f aca="false">AD2712+ROW()*0.000000001</f>
        <v>-0.86255476688162</v>
      </c>
      <c r="AG2712" s="55" t="n">
        <f aca="false">AE2712+ROW()*0.000000001</f>
        <v>47.0699177339298</v>
      </c>
    </row>
    <row r="2713" customFormat="false" ht="15" hidden="false" customHeight="false" outlineLevel="0" collapsed="false">
      <c r="A2713" s="0" t="n">
        <v>3</v>
      </c>
      <c r="B2713" s="0" t="n">
        <v>6</v>
      </c>
      <c r="C2713" s="0" t="n">
        <v>3</v>
      </c>
      <c r="D2713" s="0" t="n">
        <v>8</v>
      </c>
      <c r="E2713" s="0" t="n">
        <f aca="false">-1+A2713*0.25</f>
        <v>-0.25</v>
      </c>
      <c r="F2713" s="0" t="n">
        <f aca="false">-1+B2713*0.25</f>
        <v>0.5</v>
      </c>
      <c r="G2713" s="0" t="n">
        <f aca="false">-1+C2713*0.25</f>
        <v>-0.25</v>
      </c>
      <c r="H2713" s="0" t="n">
        <f aca="false">-1+D2713*0.25</f>
        <v>1</v>
      </c>
      <c r="I2713" s="0" t="n">
        <f aca="false">1</f>
        <v>1</v>
      </c>
      <c r="J2713" s="0" t="n">
        <f aca="false">E2713</f>
        <v>-0.25</v>
      </c>
      <c r="K2713" s="0" t="n">
        <f aca="false">F2713</f>
        <v>0.5</v>
      </c>
      <c r="L2713" s="0" t="n">
        <f aca="false">G2713</f>
        <v>-0.25</v>
      </c>
      <c r="M2713" s="0" t="n">
        <f aca="false">H2713</f>
        <v>1</v>
      </c>
      <c r="N2713" s="0" t="n">
        <f aca="false">E2713*F2713</f>
        <v>-0.125</v>
      </c>
      <c r="O2713" s="0" t="n">
        <f aca="false">E2713*G2713</f>
        <v>0.0625</v>
      </c>
      <c r="P2713" s="0" t="n">
        <f aca="false">E2713*H2713</f>
        <v>-0.25</v>
      </c>
      <c r="Q2713" s="0" t="n">
        <f aca="false">F2713*G2713</f>
        <v>-0.125</v>
      </c>
      <c r="R2713" s="0" t="n">
        <f aca="false">F2713*H2713</f>
        <v>0.5</v>
      </c>
      <c r="S2713" s="0" t="n">
        <f aca="false">G2713*H2713</f>
        <v>-0.25</v>
      </c>
      <c r="T2713" s="0" t="n">
        <f aca="false">E2713*E2713</f>
        <v>0.0625</v>
      </c>
      <c r="U2713" s="0" t="n">
        <f aca="false">F2713*F2713</f>
        <v>0.25</v>
      </c>
      <c r="V2713" s="0" t="n">
        <f aca="false">G2713*G2713</f>
        <v>0.0625</v>
      </c>
      <c r="W2713" s="0" t="n">
        <f aca="false">H2713*H2713</f>
        <v>1</v>
      </c>
      <c r="X2713" s="0" t="n">
        <f aca="false">SUMPRODUCT(I2713:W2713,_XtX!$B$96:$P$96)</f>
        <v>46.9516355994152</v>
      </c>
      <c r="Y2713" s="0" t="n">
        <f aca="false">SUMPRODUCT(MMULT(I2713:W2713,_XtX!$B$78:$P$92),I2713:W2713)</f>
        <v>0.445705123812135</v>
      </c>
      <c r="Z2713" s="0" t="n">
        <f aca="false">04_回帰ANOVA!$K$19*04_回帰ANOVA!$K$14*SQRT(1+Y2713)</f>
        <v>1.56724990734749</v>
      </c>
      <c r="AA2713" s="0" t="n">
        <f aca="false">X2713-Z2713</f>
        <v>45.3843856920677</v>
      </c>
      <c r="AB2713" s="0" t="n">
        <f aca="false">X2713+Z2713</f>
        <v>48.5188855067627</v>
      </c>
      <c r="AC2713" s="54" t="b">
        <f aca="false">AND(E2713&gt;=01_因子設定!$L$5-0.000000001,E2713&lt;=01_因子設定!$M$5+0.000000001,F2713&gt;=01_因子設定!$L$6-0.000000001,F2713&lt;=01_因子設定!$M$6+0.000000001,G2713&gt;=01_因子設定!$L$7-0.000000001,G2713&lt;=01_因子設定!$M$7+0.000000001,H2713&gt;=01_因子設定!$L$8-0.000000001,H2713&lt;=01_因子設定!$M$8+0.000000001,IF(01_因子設定!$B$20="Box-Behnken",E2713^2+F2713^2+G2713^2+H2713^2&lt;=2+0.000000001,TRUE()))</f>
        <v>1</v>
      </c>
      <c r="AD2713" s="55" t="n">
        <f aca="false">IF(AC2713,IF(01_因子設定!$B$13="最大化",AA2713-01_因子設定!$B$14,IF(01_因子設定!$B$13="最小化",01_因子設定!$B$15-AB2713,MIN(AA2713-01_因子設定!$B$14,01_因子設定!$B$15-AB2713))),-1E+030)</f>
        <v>-1.1156143079323</v>
      </c>
      <c r="AE2713" s="55" t="n">
        <f aca="false">IF(AC2713,IF(01_因子設定!$B$13="最大化",X2713,IF(01_因子設定!$B$13="最小化",-X2713,-ABS(X2713-01_因子設定!$B$16))),-1E+030)</f>
        <v>46.9516355994152</v>
      </c>
      <c r="AF2713" s="55" t="n">
        <f aca="false">AD2713+ROW()*0.000000001</f>
        <v>-1.1156115949323</v>
      </c>
      <c r="AG2713" s="55" t="n">
        <f aca="false">AE2713+ROW()*0.000000001</f>
        <v>46.9516383124152</v>
      </c>
    </row>
    <row r="2714" customFormat="false" ht="15" hidden="false" customHeight="false" outlineLevel="0" collapsed="false">
      <c r="A2714" s="0" t="n">
        <v>3</v>
      </c>
      <c r="B2714" s="0" t="n">
        <v>6</v>
      </c>
      <c r="C2714" s="0" t="n">
        <v>4</v>
      </c>
      <c r="D2714" s="0" t="n">
        <v>0</v>
      </c>
      <c r="E2714" s="0" t="n">
        <f aca="false">-1+A2714*0.25</f>
        <v>-0.25</v>
      </c>
      <c r="F2714" s="0" t="n">
        <f aca="false">-1+B2714*0.25</f>
        <v>0.5</v>
      </c>
      <c r="G2714" s="0" t="n">
        <f aca="false">-1+C2714*0.25</f>
        <v>0</v>
      </c>
      <c r="H2714" s="0" t="n">
        <f aca="false">-1+D2714*0.25</f>
        <v>-1</v>
      </c>
      <c r="I2714" s="0" t="n">
        <f aca="false">1</f>
        <v>1</v>
      </c>
      <c r="J2714" s="0" t="n">
        <f aca="false">E2714</f>
        <v>-0.25</v>
      </c>
      <c r="K2714" s="0" t="n">
        <f aca="false">F2714</f>
        <v>0.5</v>
      </c>
      <c r="L2714" s="0" t="n">
        <f aca="false">G2714</f>
        <v>0</v>
      </c>
      <c r="M2714" s="0" t="n">
        <f aca="false">H2714</f>
        <v>-1</v>
      </c>
      <c r="N2714" s="0" t="n">
        <f aca="false">E2714*F2714</f>
        <v>-0.125</v>
      </c>
      <c r="O2714" s="0" t="n">
        <f aca="false">E2714*G2714</f>
        <v>-0</v>
      </c>
      <c r="P2714" s="0" t="n">
        <f aca="false">E2714*H2714</f>
        <v>0.25</v>
      </c>
      <c r="Q2714" s="0" t="n">
        <f aca="false">F2714*G2714</f>
        <v>0</v>
      </c>
      <c r="R2714" s="0" t="n">
        <f aca="false">F2714*H2714</f>
        <v>-0.5</v>
      </c>
      <c r="S2714" s="0" t="n">
        <f aca="false">G2714*H2714</f>
        <v>-0</v>
      </c>
      <c r="T2714" s="0" t="n">
        <f aca="false">E2714*E2714</f>
        <v>0.0625</v>
      </c>
      <c r="U2714" s="0" t="n">
        <f aca="false">F2714*F2714</f>
        <v>0.25</v>
      </c>
      <c r="V2714" s="0" t="n">
        <f aca="false">G2714*G2714</f>
        <v>0</v>
      </c>
      <c r="W2714" s="0" t="n">
        <f aca="false">H2714*H2714</f>
        <v>1</v>
      </c>
      <c r="X2714" s="0" t="n">
        <f aca="false">SUMPRODUCT(I2714:W2714,_XtX!$B$96:$P$96)</f>
        <v>46.8555738304093</v>
      </c>
      <c r="Y2714" s="0" t="n">
        <f aca="false">SUMPRODUCT(MMULT(I2714:W2714,_XtX!$B$78:$P$92),I2714:W2714)</f>
        <v>0.457596628289474</v>
      </c>
      <c r="Z2714" s="0" t="n">
        <f aca="false">04_回帰ANOVA!$K$19*04_回帰ANOVA!$K$14*SQRT(1+Y2714)</f>
        <v>1.57368233664366</v>
      </c>
      <c r="AA2714" s="0" t="n">
        <f aca="false">X2714-Z2714</f>
        <v>45.2818914937657</v>
      </c>
      <c r="AB2714" s="0" t="n">
        <f aca="false">X2714+Z2714</f>
        <v>48.429256167053</v>
      </c>
      <c r="AC2714" s="54" t="b">
        <f aca="false">AND(E2714&gt;=01_因子設定!$L$5-0.000000001,E2714&lt;=01_因子設定!$M$5+0.000000001,F2714&gt;=01_因子設定!$L$6-0.000000001,F2714&lt;=01_因子設定!$M$6+0.000000001,G2714&gt;=01_因子設定!$L$7-0.000000001,G2714&lt;=01_因子設定!$M$7+0.000000001,H2714&gt;=01_因子設定!$L$8-0.000000001,H2714&lt;=01_因子設定!$M$8+0.000000001,IF(01_因子設定!$B$20="Box-Behnken",E2714^2+F2714^2+G2714^2+H2714^2&lt;=2+0.000000001,TRUE()))</f>
        <v>1</v>
      </c>
      <c r="AD2714" s="55" t="n">
        <f aca="false">IF(AC2714,IF(01_因子設定!$B$13="最大化",AA2714-01_因子設定!$B$14,IF(01_因子設定!$B$13="最小化",01_因子設定!$B$15-AB2714,MIN(AA2714-01_因子設定!$B$14,01_因子設定!$B$15-AB2714))),-1E+030)</f>
        <v>-1.21810850623432</v>
      </c>
      <c r="AE2714" s="55" t="n">
        <f aca="false">IF(AC2714,IF(01_因子設定!$B$13="最大化",X2714,IF(01_因子設定!$B$13="最小化",-X2714,-ABS(X2714-01_因子設定!$B$16))),-1E+030)</f>
        <v>46.8555738304093</v>
      </c>
      <c r="AF2714" s="55" t="n">
        <f aca="false">AD2714+ROW()*0.000000001</f>
        <v>-1.21810579223432</v>
      </c>
      <c r="AG2714" s="55" t="n">
        <f aca="false">AE2714+ROW()*0.000000001</f>
        <v>46.8555765444093</v>
      </c>
    </row>
    <row r="2715" customFormat="false" ht="15" hidden="false" customHeight="false" outlineLevel="0" collapsed="false">
      <c r="A2715" s="0" t="n">
        <v>3</v>
      </c>
      <c r="B2715" s="0" t="n">
        <v>6</v>
      </c>
      <c r="C2715" s="0" t="n">
        <v>4</v>
      </c>
      <c r="D2715" s="0" t="n">
        <v>1</v>
      </c>
      <c r="E2715" s="0" t="n">
        <f aca="false">-1+A2715*0.25</f>
        <v>-0.25</v>
      </c>
      <c r="F2715" s="0" t="n">
        <f aca="false">-1+B2715*0.25</f>
        <v>0.5</v>
      </c>
      <c r="G2715" s="0" t="n">
        <f aca="false">-1+C2715*0.25</f>
        <v>0</v>
      </c>
      <c r="H2715" s="0" t="n">
        <f aca="false">-1+D2715*0.25</f>
        <v>-0.75</v>
      </c>
      <c r="I2715" s="0" t="n">
        <f aca="false">1</f>
        <v>1</v>
      </c>
      <c r="J2715" s="0" t="n">
        <f aca="false">E2715</f>
        <v>-0.25</v>
      </c>
      <c r="K2715" s="0" t="n">
        <f aca="false">F2715</f>
        <v>0.5</v>
      </c>
      <c r="L2715" s="0" t="n">
        <f aca="false">G2715</f>
        <v>0</v>
      </c>
      <c r="M2715" s="0" t="n">
        <f aca="false">H2715</f>
        <v>-0.75</v>
      </c>
      <c r="N2715" s="0" t="n">
        <f aca="false">E2715*F2715</f>
        <v>-0.125</v>
      </c>
      <c r="O2715" s="0" t="n">
        <f aca="false">E2715*G2715</f>
        <v>-0</v>
      </c>
      <c r="P2715" s="0" t="n">
        <f aca="false">E2715*H2715</f>
        <v>0.1875</v>
      </c>
      <c r="Q2715" s="0" t="n">
        <f aca="false">F2715*G2715</f>
        <v>0</v>
      </c>
      <c r="R2715" s="0" t="n">
        <f aca="false">F2715*H2715</f>
        <v>-0.375</v>
      </c>
      <c r="S2715" s="0" t="n">
        <f aca="false">G2715*H2715</f>
        <v>-0</v>
      </c>
      <c r="T2715" s="0" t="n">
        <f aca="false">E2715*E2715</f>
        <v>0.0625</v>
      </c>
      <c r="U2715" s="0" t="n">
        <f aca="false">F2715*F2715</f>
        <v>0.25</v>
      </c>
      <c r="V2715" s="0" t="n">
        <f aca="false">G2715*G2715</f>
        <v>0</v>
      </c>
      <c r="W2715" s="0" t="n">
        <f aca="false">H2715*H2715</f>
        <v>0.5625</v>
      </c>
      <c r="X2715" s="0" t="n">
        <f aca="false">SUMPRODUCT(I2715:W2715,_XtX!$B$96:$P$96)</f>
        <v>47.0899122807017</v>
      </c>
      <c r="Y2715" s="0" t="n">
        <f aca="false">SUMPRODUCT(MMULT(I2715:W2715,_XtX!$B$78:$P$92),I2715:W2715)</f>
        <v>0.215110734192252</v>
      </c>
      <c r="Z2715" s="0" t="n">
        <f aca="false">04_回帰ANOVA!$K$19*04_回帰ANOVA!$K$14*SQRT(1+Y2715)</f>
        <v>1.43683309086864</v>
      </c>
      <c r="AA2715" s="0" t="n">
        <f aca="false">X2715-Z2715</f>
        <v>45.6530791898331</v>
      </c>
      <c r="AB2715" s="0" t="n">
        <f aca="false">X2715+Z2715</f>
        <v>48.5267453715704</v>
      </c>
      <c r="AC2715" s="54" t="b">
        <f aca="false">AND(E2715&gt;=01_因子設定!$L$5-0.000000001,E2715&lt;=01_因子設定!$M$5+0.000000001,F2715&gt;=01_因子設定!$L$6-0.000000001,F2715&lt;=01_因子設定!$M$6+0.000000001,G2715&gt;=01_因子設定!$L$7-0.000000001,G2715&lt;=01_因子設定!$M$7+0.000000001,H2715&gt;=01_因子設定!$L$8-0.000000001,H2715&lt;=01_因子設定!$M$8+0.000000001,IF(01_因子設定!$B$20="Box-Behnken",E2715^2+F2715^2+G2715^2+H2715^2&lt;=2+0.000000001,TRUE()))</f>
        <v>1</v>
      </c>
      <c r="AD2715" s="55" t="n">
        <f aca="false">IF(AC2715,IF(01_因子設定!$B$13="最大化",AA2715-01_因子設定!$B$14,IF(01_因子設定!$B$13="最小化",01_因子設定!$B$15-AB2715,MIN(AA2715-01_因子設定!$B$14,01_因子設定!$B$15-AB2715))),-1E+030)</f>
        <v>-0.846920810166928</v>
      </c>
      <c r="AE2715" s="55" t="n">
        <f aca="false">IF(AC2715,IF(01_因子設定!$B$13="最大化",X2715,IF(01_因子設定!$B$13="最小化",-X2715,-ABS(X2715-01_因子設定!$B$16))),-1E+030)</f>
        <v>47.0899122807017</v>
      </c>
      <c r="AF2715" s="55" t="n">
        <f aca="false">AD2715+ROW()*0.000000001</f>
        <v>-0.846918095166928</v>
      </c>
      <c r="AG2715" s="55" t="n">
        <f aca="false">AE2715+ROW()*0.000000001</f>
        <v>47.0899149957017</v>
      </c>
    </row>
    <row r="2716" customFormat="false" ht="15" hidden="false" customHeight="false" outlineLevel="0" collapsed="false">
      <c r="A2716" s="0" t="n">
        <v>3</v>
      </c>
      <c r="B2716" s="0" t="n">
        <v>6</v>
      </c>
      <c r="C2716" s="0" t="n">
        <v>4</v>
      </c>
      <c r="D2716" s="0" t="n">
        <v>2</v>
      </c>
      <c r="E2716" s="0" t="n">
        <f aca="false">-1+A2716*0.25</f>
        <v>-0.25</v>
      </c>
      <c r="F2716" s="0" t="n">
        <f aca="false">-1+B2716*0.25</f>
        <v>0.5</v>
      </c>
      <c r="G2716" s="0" t="n">
        <f aca="false">-1+C2716*0.25</f>
        <v>0</v>
      </c>
      <c r="H2716" s="0" t="n">
        <f aca="false">-1+D2716*0.25</f>
        <v>-0.5</v>
      </c>
      <c r="I2716" s="0" t="n">
        <f aca="false">1</f>
        <v>1</v>
      </c>
      <c r="J2716" s="0" t="n">
        <f aca="false">E2716</f>
        <v>-0.25</v>
      </c>
      <c r="K2716" s="0" t="n">
        <f aca="false">F2716</f>
        <v>0.5</v>
      </c>
      <c r="L2716" s="0" t="n">
        <f aca="false">G2716</f>
        <v>0</v>
      </c>
      <c r="M2716" s="0" t="n">
        <f aca="false">H2716</f>
        <v>-0.5</v>
      </c>
      <c r="N2716" s="0" t="n">
        <f aca="false">E2716*F2716</f>
        <v>-0.125</v>
      </c>
      <c r="O2716" s="0" t="n">
        <f aca="false">E2716*G2716</f>
        <v>-0</v>
      </c>
      <c r="P2716" s="0" t="n">
        <f aca="false">E2716*H2716</f>
        <v>0.125</v>
      </c>
      <c r="Q2716" s="0" t="n">
        <f aca="false">F2716*G2716</f>
        <v>0</v>
      </c>
      <c r="R2716" s="0" t="n">
        <f aca="false">F2716*H2716</f>
        <v>-0.25</v>
      </c>
      <c r="S2716" s="0" t="n">
        <f aca="false">G2716*H2716</f>
        <v>-0</v>
      </c>
      <c r="T2716" s="0" t="n">
        <f aca="false">E2716*E2716</f>
        <v>0.0625</v>
      </c>
      <c r="U2716" s="0" t="n">
        <f aca="false">F2716*F2716</f>
        <v>0.25</v>
      </c>
      <c r="V2716" s="0" t="n">
        <f aca="false">G2716*G2716</f>
        <v>0</v>
      </c>
      <c r="W2716" s="0" t="n">
        <f aca="false">H2716*H2716</f>
        <v>0.25</v>
      </c>
      <c r="X2716" s="0" t="n">
        <f aca="false">SUMPRODUCT(I2716:W2716,_XtX!$B$96:$P$96)</f>
        <v>47.2764437134502</v>
      </c>
      <c r="Y2716" s="0" t="n">
        <f aca="false">SUMPRODUCT(MMULT(I2716:W2716,_XtX!$B$78:$P$92),I2716:W2716)</f>
        <v>0.132367050438597</v>
      </c>
      <c r="Z2716" s="0" t="n">
        <f aca="false">04_回帰ANOVA!$K$19*04_回帰ANOVA!$K$14*SQRT(1+Y2716)</f>
        <v>1.38704964208329</v>
      </c>
      <c r="AA2716" s="0" t="n">
        <f aca="false">X2716-Z2716</f>
        <v>45.889394071367</v>
      </c>
      <c r="AB2716" s="0" t="n">
        <f aca="false">X2716+Z2716</f>
        <v>48.6634933555335</v>
      </c>
      <c r="AC2716" s="54" t="b">
        <f aca="false">AND(E2716&gt;=01_因子設定!$L$5-0.000000001,E2716&lt;=01_因子設定!$M$5+0.000000001,F2716&gt;=01_因子設定!$L$6-0.000000001,F2716&lt;=01_因子設定!$M$6+0.000000001,G2716&gt;=01_因子設定!$L$7-0.000000001,G2716&lt;=01_因子設定!$M$7+0.000000001,H2716&gt;=01_因子設定!$L$8-0.000000001,H2716&lt;=01_因子設定!$M$8+0.000000001,IF(01_因子設定!$B$20="Box-Behnken",E2716^2+F2716^2+G2716^2+H2716^2&lt;=2+0.000000001,TRUE()))</f>
        <v>1</v>
      </c>
      <c r="AD2716" s="55" t="n">
        <f aca="false">IF(AC2716,IF(01_因子設定!$B$13="最大化",AA2716-01_因子設定!$B$14,IF(01_因子設定!$B$13="最小化",01_因子設定!$B$15-AB2716,MIN(AA2716-01_因子設定!$B$14,01_因子設定!$B$15-AB2716))),-1E+030)</f>
        <v>-0.610605928633049</v>
      </c>
      <c r="AE2716" s="55" t="n">
        <f aca="false">IF(AC2716,IF(01_因子設定!$B$13="最大化",X2716,IF(01_因子設定!$B$13="最小化",-X2716,-ABS(X2716-01_因子設定!$B$16))),-1E+030)</f>
        <v>47.2764437134502</v>
      </c>
      <c r="AF2716" s="55" t="n">
        <f aca="false">AD2716+ROW()*0.000000001</f>
        <v>-0.610603212633049</v>
      </c>
      <c r="AG2716" s="55" t="n">
        <f aca="false">AE2716+ROW()*0.000000001</f>
        <v>47.2764464294502</v>
      </c>
    </row>
    <row r="2717" customFormat="false" ht="15" hidden="false" customHeight="false" outlineLevel="0" collapsed="false">
      <c r="A2717" s="0" t="n">
        <v>3</v>
      </c>
      <c r="B2717" s="0" t="n">
        <v>6</v>
      </c>
      <c r="C2717" s="0" t="n">
        <v>4</v>
      </c>
      <c r="D2717" s="0" t="n">
        <v>3</v>
      </c>
      <c r="E2717" s="0" t="n">
        <f aca="false">-1+A2717*0.25</f>
        <v>-0.25</v>
      </c>
      <c r="F2717" s="0" t="n">
        <f aca="false">-1+B2717*0.25</f>
        <v>0.5</v>
      </c>
      <c r="G2717" s="0" t="n">
        <f aca="false">-1+C2717*0.25</f>
        <v>0</v>
      </c>
      <c r="H2717" s="0" t="n">
        <f aca="false">-1+D2717*0.25</f>
        <v>-0.25</v>
      </c>
      <c r="I2717" s="0" t="n">
        <f aca="false">1</f>
        <v>1</v>
      </c>
      <c r="J2717" s="0" t="n">
        <f aca="false">E2717</f>
        <v>-0.25</v>
      </c>
      <c r="K2717" s="0" t="n">
        <f aca="false">F2717</f>
        <v>0.5</v>
      </c>
      <c r="L2717" s="0" t="n">
        <f aca="false">G2717</f>
        <v>0</v>
      </c>
      <c r="M2717" s="0" t="n">
        <f aca="false">H2717</f>
        <v>-0.25</v>
      </c>
      <c r="N2717" s="0" t="n">
        <f aca="false">E2717*F2717</f>
        <v>-0.125</v>
      </c>
      <c r="O2717" s="0" t="n">
        <f aca="false">E2717*G2717</f>
        <v>-0</v>
      </c>
      <c r="P2717" s="0" t="n">
        <f aca="false">E2717*H2717</f>
        <v>0.0625</v>
      </c>
      <c r="Q2717" s="0" t="n">
        <f aca="false">F2717*G2717</f>
        <v>0</v>
      </c>
      <c r="R2717" s="0" t="n">
        <f aca="false">F2717*H2717</f>
        <v>-0.125</v>
      </c>
      <c r="S2717" s="0" t="n">
        <f aca="false">G2717*H2717</f>
        <v>-0</v>
      </c>
      <c r="T2717" s="0" t="n">
        <f aca="false">E2717*E2717</f>
        <v>0.0625</v>
      </c>
      <c r="U2717" s="0" t="n">
        <f aca="false">F2717*F2717</f>
        <v>0.25</v>
      </c>
      <c r="V2717" s="0" t="n">
        <f aca="false">G2717*G2717</f>
        <v>0</v>
      </c>
      <c r="W2717" s="0" t="n">
        <f aca="false">H2717*H2717</f>
        <v>0.0625</v>
      </c>
      <c r="X2717" s="0" t="n">
        <f aca="false">SUMPRODUCT(I2717:W2717,_XtX!$B$96:$P$96)</f>
        <v>47.4151681286549</v>
      </c>
      <c r="Y2717" s="0" t="n">
        <f aca="false">SUMPRODUCT(MMULT(I2717:W2717,_XtX!$B$78:$P$92),I2717:W2717)</f>
        <v>0.118905050712719</v>
      </c>
      <c r="Z2717" s="0" t="n">
        <f aca="false">04_回帰ANOVA!$K$19*04_回帰ANOVA!$K$14*SQRT(1+Y2717)</f>
        <v>1.37878011033769</v>
      </c>
      <c r="AA2717" s="0" t="n">
        <f aca="false">X2717-Z2717</f>
        <v>46.0363880183172</v>
      </c>
      <c r="AB2717" s="0" t="n">
        <f aca="false">X2717+Z2717</f>
        <v>48.7939482389926</v>
      </c>
      <c r="AC2717" s="54" t="b">
        <f aca="false">AND(E2717&gt;=01_因子設定!$L$5-0.000000001,E2717&lt;=01_因子設定!$M$5+0.000000001,F2717&gt;=01_因子設定!$L$6-0.000000001,F2717&lt;=01_因子設定!$M$6+0.000000001,G2717&gt;=01_因子設定!$L$7-0.000000001,G2717&lt;=01_因子設定!$M$7+0.000000001,H2717&gt;=01_因子設定!$L$8-0.000000001,H2717&lt;=01_因子設定!$M$8+0.000000001,IF(01_因子設定!$B$20="Box-Behnken",E2717^2+F2717^2+G2717^2+H2717^2&lt;=2+0.000000001,TRUE()))</f>
        <v>1</v>
      </c>
      <c r="AD2717" s="55" t="n">
        <f aca="false">IF(AC2717,IF(01_因子設定!$B$13="最大化",AA2717-01_因子設定!$B$14,IF(01_因子設定!$B$13="最小化",01_因子設定!$B$15-AB2717,MIN(AA2717-01_因子設定!$B$14,01_因子設定!$B$15-AB2717))),-1E+030)</f>
        <v>-0.463611981682774</v>
      </c>
      <c r="AE2717" s="55" t="n">
        <f aca="false">IF(AC2717,IF(01_因子設定!$B$13="最大化",X2717,IF(01_因子設定!$B$13="最小化",-X2717,-ABS(X2717-01_因子設定!$B$16))),-1E+030)</f>
        <v>47.4151681286549</v>
      </c>
      <c r="AF2717" s="55" t="n">
        <f aca="false">AD2717+ROW()*0.000000001</f>
        <v>-0.463609264682774</v>
      </c>
      <c r="AG2717" s="55" t="n">
        <f aca="false">AE2717+ROW()*0.000000001</f>
        <v>47.4151708456549</v>
      </c>
    </row>
    <row r="2718" customFormat="false" ht="15" hidden="false" customHeight="false" outlineLevel="0" collapsed="false">
      <c r="A2718" s="0" t="n">
        <v>3</v>
      </c>
      <c r="B2718" s="0" t="n">
        <v>6</v>
      </c>
      <c r="C2718" s="0" t="n">
        <v>4</v>
      </c>
      <c r="D2718" s="0" t="n">
        <v>4</v>
      </c>
      <c r="E2718" s="0" t="n">
        <f aca="false">-1+A2718*0.25</f>
        <v>-0.25</v>
      </c>
      <c r="F2718" s="0" t="n">
        <f aca="false">-1+B2718*0.25</f>
        <v>0.5</v>
      </c>
      <c r="G2718" s="0" t="n">
        <f aca="false">-1+C2718*0.25</f>
        <v>0</v>
      </c>
      <c r="H2718" s="0" t="n">
        <f aca="false">-1+D2718*0.25</f>
        <v>0</v>
      </c>
      <c r="I2718" s="0" t="n">
        <f aca="false">1</f>
        <v>1</v>
      </c>
      <c r="J2718" s="0" t="n">
        <f aca="false">E2718</f>
        <v>-0.25</v>
      </c>
      <c r="K2718" s="0" t="n">
        <f aca="false">F2718</f>
        <v>0.5</v>
      </c>
      <c r="L2718" s="0" t="n">
        <f aca="false">G2718</f>
        <v>0</v>
      </c>
      <c r="M2718" s="0" t="n">
        <f aca="false">H2718</f>
        <v>0</v>
      </c>
      <c r="N2718" s="0" t="n">
        <f aca="false">E2718*F2718</f>
        <v>-0.125</v>
      </c>
      <c r="O2718" s="0" t="n">
        <f aca="false">E2718*G2718</f>
        <v>-0</v>
      </c>
      <c r="P2718" s="0" t="n">
        <f aca="false">E2718*H2718</f>
        <v>-0</v>
      </c>
      <c r="Q2718" s="0" t="n">
        <f aca="false">F2718*G2718</f>
        <v>0</v>
      </c>
      <c r="R2718" s="0" t="n">
        <f aca="false">F2718*H2718</f>
        <v>0</v>
      </c>
      <c r="S2718" s="0" t="n">
        <f aca="false">G2718*H2718</f>
        <v>0</v>
      </c>
      <c r="T2718" s="0" t="n">
        <f aca="false">E2718*E2718</f>
        <v>0.0625</v>
      </c>
      <c r="U2718" s="0" t="n">
        <f aca="false">F2718*F2718</f>
        <v>0.25</v>
      </c>
      <c r="V2718" s="0" t="n">
        <f aca="false">G2718*G2718</f>
        <v>0</v>
      </c>
      <c r="W2718" s="0" t="n">
        <f aca="false">H2718*H2718</f>
        <v>0</v>
      </c>
      <c r="X2718" s="0" t="n">
        <f aca="false">SUMPRODUCT(I2718:W2718,_XtX!$B$96:$P$96)</f>
        <v>47.5060855263157</v>
      </c>
      <c r="Y2718" s="0" t="n">
        <f aca="false">SUMPRODUCT(MMULT(I2718:W2718,_XtX!$B$78:$P$92),I2718:W2718)</f>
        <v>0.120448419225146</v>
      </c>
      <c r="Z2718" s="0" t="n">
        <f aca="false">04_回帰ANOVA!$K$19*04_回帰ANOVA!$K$14*SQRT(1+Y2718)</f>
        <v>1.37973069703246</v>
      </c>
      <c r="AA2718" s="0" t="n">
        <f aca="false">X2718-Z2718</f>
        <v>46.1263548292833</v>
      </c>
      <c r="AB2718" s="0" t="n">
        <f aca="false">X2718+Z2718</f>
        <v>48.8858162233482</v>
      </c>
      <c r="AC2718" s="54" t="b">
        <f aca="false">AND(E2718&gt;=01_因子設定!$L$5-0.000000001,E2718&lt;=01_因子設定!$M$5+0.000000001,F2718&gt;=01_因子設定!$L$6-0.000000001,F2718&lt;=01_因子設定!$M$6+0.000000001,G2718&gt;=01_因子設定!$L$7-0.000000001,G2718&lt;=01_因子設定!$M$7+0.000000001,H2718&gt;=01_因子設定!$L$8-0.000000001,H2718&lt;=01_因子設定!$M$8+0.000000001,IF(01_因子設定!$B$20="Box-Behnken",E2718^2+F2718^2+G2718^2+H2718^2&lt;=2+0.000000001,TRUE()))</f>
        <v>1</v>
      </c>
      <c r="AD2718" s="55" t="n">
        <f aca="false">IF(AC2718,IF(01_因子設定!$B$13="最大化",AA2718-01_因子設定!$B$14,IF(01_因子設定!$B$13="最小化",01_因子設定!$B$15-AB2718,MIN(AA2718-01_因子設定!$B$14,01_因子設定!$B$15-AB2718))),-1E+030)</f>
        <v>-0.373645170716735</v>
      </c>
      <c r="AE2718" s="55" t="n">
        <f aca="false">IF(AC2718,IF(01_因子設定!$B$13="最大化",X2718,IF(01_因子設定!$B$13="最小化",-X2718,-ABS(X2718-01_因子設定!$B$16))),-1E+030)</f>
        <v>47.5060855263157</v>
      </c>
      <c r="AF2718" s="55" t="n">
        <f aca="false">AD2718+ROW()*0.000000001</f>
        <v>-0.373642452716735</v>
      </c>
      <c r="AG2718" s="55" t="n">
        <f aca="false">AE2718+ROW()*0.000000001</f>
        <v>47.5060882443157</v>
      </c>
    </row>
    <row r="2719" customFormat="false" ht="15" hidden="false" customHeight="false" outlineLevel="0" collapsed="false">
      <c r="A2719" s="0" t="n">
        <v>3</v>
      </c>
      <c r="B2719" s="0" t="n">
        <v>6</v>
      </c>
      <c r="C2719" s="0" t="n">
        <v>4</v>
      </c>
      <c r="D2719" s="0" t="n">
        <v>5</v>
      </c>
      <c r="E2719" s="0" t="n">
        <f aca="false">-1+A2719*0.25</f>
        <v>-0.25</v>
      </c>
      <c r="F2719" s="0" t="n">
        <f aca="false">-1+B2719*0.25</f>
        <v>0.5</v>
      </c>
      <c r="G2719" s="0" t="n">
        <f aca="false">-1+C2719*0.25</f>
        <v>0</v>
      </c>
      <c r="H2719" s="0" t="n">
        <f aca="false">-1+D2719*0.25</f>
        <v>0.25</v>
      </c>
      <c r="I2719" s="0" t="n">
        <f aca="false">1</f>
        <v>1</v>
      </c>
      <c r="J2719" s="0" t="n">
        <f aca="false">E2719</f>
        <v>-0.25</v>
      </c>
      <c r="K2719" s="0" t="n">
        <f aca="false">F2719</f>
        <v>0.5</v>
      </c>
      <c r="L2719" s="0" t="n">
        <f aca="false">G2719</f>
        <v>0</v>
      </c>
      <c r="M2719" s="0" t="n">
        <f aca="false">H2719</f>
        <v>0.25</v>
      </c>
      <c r="N2719" s="0" t="n">
        <f aca="false">E2719*F2719</f>
        <v>-0.125</v>
      </c>
      <c r="O2719" s="0" t="n">
        <f aca="false">E2719*G2719</f>
        <v>-0</v>
      </c>
      <c r="P2719" s="0" t="n">
        <f aca="false">E2719*H2719</f>
        <v>-0.0625</v>
      </c>
      <c r="Q2719" s="0" t="n">
        <f aca="false">F2719*G2719</f>
        <v>0</v>
      </c>
      <c r="R2719" s="0" t="n">
        <f aca="false">F2719*H2719</f>
        <v>0.125</v>
      </c>
      <c r="S2719" s="0" t="n">
        <f aca="false">G2719*H2719</f>
        <v>0</v>
      </c>
      <c r="T2719" s="0" t="n">
        <f aca="false">E2719*E2719</f>
        <v>0.0625</v>
      </c>
      <c r="U2719" s="0" t="n">
        <f aca="false">F2719*F2719</f>
        <v>0.25</v>
      </c>
      <c r="V2719" s="0" t="n">
        <f aca="false">G2719*G2719</f>
        <v>0</v>
      </c>
      <c r="W2719" s="0" t="n">
        <f aca="false">H2719*H2719</f>
        <v>0.0625</v>
      </c>
      <c r="X2719" s="0" t="n">
        <f aca="false">SUMPRODUCT(I2719:W2719,_XtX!$B$96:$P$96)</f>
        <v>47.5491959064327</v>
      </c>
      <c r="Y2719" s="0" t="n">
        <f aca="false">SUMPRODUCT(MMULT(I2719:W2719,_XtX!$B$78:$P$92),I2719:W2719)</f>
        <v>0.118905050712719</v>
      </c>
      <c r="Z2719" s="0" t="n">
        <f aca="false">04_回帰ANOVA!$K$19*04_回帰ANOVA!$K$14*SQRT(1+Y2719)</f>
        <v>1.37878011033769</v>
      </c>
      <c r="AA2719" s="0" t="n">
        <f aca="false">X2719-Z2719</f>
        <v>46.170415796095</v>
      </c>
      <c r="AB2719" s="0" t="n">
        <f aca="false">X2719+Z2719</f>
        <v>48.9279760167704</v>
      </c>
      <c r="AC2719" s="54" t="b">
        <f aca="false">AND(E2719&gt;=01_因子設定!$L$5-0.000000001,E2719&lt;=01_因子設定!$M$5+0.000000001,F2719&gt;=01_因子設定!$L$6-0.000000001,F2719&lt;=01_因子設定!$M$6+0.000000001,G2719&gt;=01_因子設定!$L$7-0.000000001,G2719&lt;=01_因子設定!$M$7+0.000000001,H2719&gt;=01_因子設定!$L$8-0.000000001,H2719&lt;=01_因子設定!$M$8+0.000000001,IF(01_因子設定!$B$20="Box-Behnken",E2719^2+F2719^2+G2719^2+H2719^2&lt;=2+0.000000001,TRUE()))</f>
        <v>1</v>
      </c>
      <c r="AD2719" s="55" t="n">
        <f aca="false">IF(AC2719,IF(01_因子設定!$B$13="最大化",AA2719-01_因子設定!$B$14,IF(01_因子設定!$B$13="最小化",01_因子設定!$B$15-AB2719,MIN(AA2719-01_因子設定!$B$14,01_因子設定!$B$15-AB2719))),-1E+030)</f>
        <v>-0.329584203905</v>
      </c>
      <c r="AE2719" s="55" t="n">
        <f aca="false">IF(AC2719,IF(01_因子設定!$B$13="最大化",X2719,IF(01_因子設定!$B$13="最小化",-X2719,-ABS(X2719-01_因子設定!$B$16))),-1E+030)</f>
        <v>47.5491959064327</v>
      </c>
      <c r="AF2719" s="55" t="n">
        <f aca="false">AD2719+ROW()*0.000000001</f>
        <v>-0.329581484905</v>
      </c>
      <c r="AG2719" s="55" t="n">
        <f aca="false">AE2719+ROW()*0.000000001</f>
        <v>47.5491986254327</v>
      </c>
    </row>
    <row r="2720" customFormat="false" ht="15" hidden="false" customHeight="false" outlineLevel="0" collapsed="false">
      <c r="A2720" s="0" t="n">
        <v>3</v>
      </c>
      <c r="B2720" s="0" t="n">
        <v>6</v>
      </c>
      <c r="C2720" s="0" t="n">
        <v>4</v>
      </c>
      <c r="D2720" s="0" t="n">
        <v>6</v>
      </c>
      <c r="E2720" s="0" t="n">
        <f aca="false">-1+A2720*0.25</f>
        <v>-0.25</v>
      </c>
      <c r="F2720" s="0" t="n">
        <f aca="false">-1+B2720*0.25</f>
        <v>0.5</v>
      </c>
      <c r="G2720" s="0" t="n">
        <f aca="false">-1+C2720*0.25</f>
        <v>0</v>
      </c>
      <c r="H2720" s="0" t="n">
        <f aca="false">-1+D2720*0.25</f>
        <v>0.5</v>
      </c>
      <c r="I2720" s="0" t="n">
        <f aca="false">1</f>
        <v>1</v>
      </c>
      <c r="J2720" s="0" t="n">
        <f aca="false">E2720</f>
        <v>-0.25</v>
      </c>
      <c r="K2720" s="0" t="n">
        <f aca="false">F2720</f>
        <v>0.5</v>
      </c>
      <c r="L2720" s="0" t="n">
        <f aca="false">G2720</f>
        <v>0</v>
      </c>
      <c r="M2720" s="0" t="n">
        <f aca="false">H2720</f>
        <v>0.5</v>
      </c>
      <c r="N2720" s="0" t="n">
        <f aca="false">E2720*F2720</f>
        <v>-0.125</v>
      </c>
      <c r="O2720" s="0" t="n">
        <f aca="false">E2720*G2720</f>
        <v>-0</v>
      </c>
      <c r="P2720" s="0" t="n">
        <f aca="false">E2720*H2720</f>
        <v>-0.125</v>
      </c>
      <c r="Q2720" s="0" t="n">
        <f aca="false">F2720*G2720</f>
        <v>0</v>
      </c>
      <c r="R2720" s="0" t="n">
        <f aca="false">F2720*H2720</f>
        <v>0.25</v>
      </c>
      <c r="S2720" s="0" t="n">
        <f aca="false">G2720*H2720</f>
        <v>0</v>
      </c>
      <c r="T2720" s="0" t="n">
        <f aca="false">E2720*E2720</f>
        <v>0.0625</v>
      </c>
      <c r="U2720" s="0" t="n">
        <f aca="false">F2720*F2720</f>
        <v>0.25</v>
      </c>
      <c r="V2720" s="0" t="n">
        <f aca="false">G2720*G2720</f>
        <v>0</v>
      </c>
      <c r="W2720" s="0" t="n">
        <f aca="false">H2720*H2720</f>
        <v>0.25</v>
      </c>
      <c r="X2720" s="0" t="n">
        <f aca="false">SUMPRODUCT(I2720:W2720,_XtX!$B$96:$P$96)</f>
        <v>47.5444992690058</v>
      </c>
      <c r="Y2720" s="0" t="n">
        <f aca="false">SUMPRODUCT(MMULT(I2720:W2720,_XtX!$B$78:$P$92),I2720:W2720)</f>
        <v>0.132367050438597</v>
      </c>
      <c r="Z2720" s="0" t="n">
        <f aca="false">04_回帰ANOVA!$K$19*04_回帰ANOVA!$K$14*SQRT(1+Y2720)</f>
        <v>1.38704964208329</v>
      </c>
      <c r="AA2720" s="0" t="n">
        <f aca="false">X2720-Z2720</f>
        <v>46.1574496269225</v>
      </c>
      <c r="AB2720" s="0" t="n">
        <f aca="false">X2720+Z2720</f>
        <v>48.9315489110891</v>
      </c>
      <c r="AC2720" s="54" t="b">
        <f aca="false">AND(E2720&gt;=01_因子設定!$L$5-0.000000001,E2720&lt;=01_因子設定!$M$5+0.000000001,F2720&gt;=01_因子設定!$L$6-0.000000001,F2720&lt;=01_因子設定!$M$6+0.000000001,G2720&gt;=01_因子設定!$L$7-0.000000001,G2720&lt;=01_因子設定!$M$7+0.000000001,H2720&gt;=01_因子設定!$L$8-0.000000001,H2720&lt;=01_因子設定!$M$8+0.000000001,IF(01_因子設定!$B$20="Box-Behnken",E2720^2+F2720^2+G2720^2+H2720^2&lt;=2+0.000000001,TRUE()))</f>
        <v>1</v>
      </c>
      <c r="AD2720" s="55" t="n">
        <f aca="false">IF(AC2720,IF(01_因子設定!$B$13="最大化",AA2720-01_因子設定!$B$14,IF(01_因子設定!$B$13="最小化",01_因子設定!$B$15-AB2720,MIN(AA2720-01_因子設定!$B$14,01_因子設定!$B$15-AB2720))),-1E+030)</f>
        <v>-0.342550373077494</v>
      </c>
      <c r="AE2720" s="55" t="n">
        <f aca="false">IF(AC2720,IF(01_因子設定!$B$13="最大化",X2720,IF(01_因子設定!$B$13="最小化",-X2720,-ABS(X2720-01_因子設定!$B$16))),-1E+030)</f>
        <v>47.5444992690058</v>
      </c>
      <c r="AF2720" s="55" t="n">
        <f aca="false">AD2720+ROW()*0.000000001</f>
        <v>-0.342547653077493</v>
      </c>
      <c r="AG2720" s="55" t="n">
        <f aca="false">AE2720+ROW()*0.000000001</f>
        <v>47.5445019890058</v>
      </c>
    </row>
    <row r="2721" customFormat="false" ht="15" hidden="false" customHeight="false" outlineLevel="0" collapsed="false">
      <c r="A2721" s="0" t="n">
        <v>3</v>
      </c>
      <c r="B2721" s="0" t="n">
        <v>6</v>
      </c>
      <c r="C2721" s="0" t="n">
        <v>4</v>
      </c>
      <c r="D2721" s="0" t="n">
        <v>7</v>
      </c>
      <c r="E2721" s="0" t="n">
        <f aca="false">-1+A2721*0.25</f>
        <v>-0.25</v>
      </c>
      <c r="F2721" s="0" t="n">
        <f aca="false">-1+B2721*0.25</f>
        <v>0.5</v>
      </c>
      <c r="G2721" s="0" t="n">
        <f aca="false">-1+C2721*0.25</f>
        <v>0</v>
      </c>
      <c r="H2721" s="0" t="n">
        <f aca="false">-1+D2721*0.25</f>
        <v>0.75</v>
      </c>
      <c r="I2721" s="0" t="n">
        <f aca="false">1</f>
        <v>1</v>
      </c>
      <c r="J2721" s="0" t="n">
        <f aca="false">E2721</f>
        <v>-0.25</v>
      </c>
      <c r="K2721" s="0" t="n">
        <f aca="false">F2721</f>
        <v>0.5</v>
      </c>
      <c r="L2721" s="0" t="n">
        <f aca="false">G2721</f>
        <v>0</v>
      </c>
      <c r="M2721" s="0" t="n">
        <f aca="false">H2721</f>
        <v>0.75</v>
      </c>
      <c r="N2721" s="0" t="n">
        <f aca="false">E2721*F2721</f>
        <v>-0.125</v>
      </c>
      <c r="O2721" s="0" t="n">
        <f aca="false">E2721*G2721</f>
        <v>-0</v>
      </c>
      <c r="P2721" s="0" t="n">
        <f aca="false">E2721*H2721</f>
        <v>-0.1875</v>
      </c>
      <c r="Q2721" s="0" t="n">
        <f aca="false">F2721*G2721</f>
        <v>0</v>
      </c>
      <c r="R2721" s="0" t="n">
        <f aca="false">F2721*H2721</f>
        <v>0.375</v>
      </c>
      <c r="S2721" s="0" t="n">
        <f aca="false">G2721*H2721</f>
        <v>0</v>
      </c>
      <c r="T2721" s="0" t="n">
        <f aca="false">E2721*E2721</f>
        <v>0.0625</v>
      </c>
      <c r="U2721" s="0" t="n">
        <f aca="false">F2721*F2721</f>
        <v>0.25</v>
      </c>
      <c r="V2721" s="0" t="n">
        <f aca="false">G2721*G2721</f>
        <v>0</v>
      </c>
      <c r="W2721" s="0" t="n">
        <f aca="false">H2721*H2721</f>
        <v>0.5625</v>
      </c>
      <c r="X2721" s="0" t="n">
        <f aca="false">SUMPRODUCT(I2721:W2721,_XtX!$B$96:$P$96)</f>
        <v>47.4919956140351</v>
      </c>
      <c r="Y2721" s="0" t="n">
        <f aca="false">SUMPRODUCT(MMULT(I2721:W2721,_XtX!$B$78:$P$92),I2721:W2721)</f>
        <v>0.215110734192252</v>
      </c>
      <c r="Z2721" s="0" t="n">
        <f aca="false">04_回帰ANOVA!$K$19*04_回帰ANOVA!$K$14*SQRT(1+Y2721)</f>
        <v>1.43683309086864</v>
      </c>
      <c r="AA2721" s="0" t="n">
        <f aca="false">X2721-Z2721</f>
        <v>46.0551625231664</v>
      </c>
      <c r="AB2721" s="0" t="n">
        <f aca="false">X2721+Z2721</f>
        <v>48.9288287049037</v>
      </c>
      <c r="AC2721" s="54" t="b">
        <f aca="false">AND(E2721&gt;=01_因子設定!$L$5-0.000000001,E2721&lt;=01_因子設定!$M$5+0.000000001,F2721&gt;=01_因子設定!$L$6-0.000000001,F2721&lt;=01_因子設定!$M$6+0.000000001,G2721&gt;=01_因子設定!$L$7-0.000000001,G2721&lt;=01_因子設定!$M$7+0.000000001,H2721&gt;=01_因子設定!$L$8-0.000000001,H2721&lt;=01_因子設定!$M$8+0.000000001,IF(01_因子設定!$B$20="Box-Behnken",E2721^2+F2721^2+G2721^2+H2721^2&lt;=2+0.000000001,TRUE()))</f>
        <v>1</v>
      </c>
      <c r="AD2721" s="55" t="n">
        <f aca="false">IF(AC2721,IF(01_因子設定!$B$13="最大化",AA2721-01_因子設定!$B$14,IF(01_因子設定!$B$13="最小化",01_因子設定!$B$15-AB2721,MIN(AA2721-01_因子設定!$B$14,01_因子設定!$B$15-AB2721))),-1E+030)</f>
        <v>-0.444837476833598</v>
      </c>
      <c r="AE2721" s="55" t="n">
        <f aca="false">IF(AC2721,IF(01_因子設定!$B$13="最大化",X2721,IF(01_因子設定!$B$13="最小化",-X2721,-ABS(X2721-01_因子設定!$B$16))),-1E+030)</f>
        <v>47.4919956140351</v>
      </c>
      <c r="AF2721" s="55" t="n">
        <f aca="false">AD2721+ROW()*0.000000001</f>
        <v>-0.444834755833598</v>
      </c>
      <c r="AG2721" s="55" t="n">
        <f aca="false">AE2721+ROW()*0.000000001</f>
        <v>47.4919983350351</v>
      </c>
    </row>
    <row r="2722" customFormat="false" ht="15" hidden="false" customHeight="false" outlineLevel="0" collapsed="false">
      <c r="A2722" s="0" t="n">
        <v>3</v>
      </c>
      <c r="B2722" s="0" t="n">
        <v>6</v>
      </c>
      <c r="C2722" s="0" t="n">
        <v>4</v>
      </c>
      <c r="D2722" s="0" t="n">
        <v>8</v>
      </c>
      <c r="E2722" s="0" t="n">
        <f aca="false">-1+A2722*0.25</f>
        <v>-0.25</v>
      </c>
      <c r="F2722" s="0" t="n">
        <f aca="false">-1+B2722*0.25</f>
        <v>0.5</v>
      </c>
      <c r="G2722" s="0" t="n">
        <f aca="false">-1+C2722*0.25</f>
        <v>0</v>
      </c>
      <c r="H2722" s="0" t="n">
        <f aca="false">-1+D2722*0.25</f>
        <v>1</v>
      </c>
      <c r="I2722" s="0" t="n">
        <f aca="false">1</f>
        <v>1</v>
      </c>
      <c r="J2722" s="0" t="n">
        <f aca="false">E2722</f>
        <v>-0.25</v>
      </c>
      <c r="K2722" s="0" t="n">
        <f aca="false">F2722</f>
        <v>0.5</v>
      </c>
      <c r="L2722" s="0" t="n">
        <f aca="false">G2722</f>
        <v>0</v>
      </c>
      <c r="M2722" s="0" t="n">
        <f aca="false">H2722</f>
        <v>1</v>
      </c>
      <c r="N2722" s="0" t="n">
        <f aca="false">E2722*F2722</f>
        <v>-0.125</v>
      </c>
      <c r="O2722" s="0" t="n">
        <f aca="false">E2722*G2722</f>
        <v>-0</v>
      </c>
      <c r="P2722" s="0" t="n">
        <f aca="false">E2722*H2722</f>
        <v>-0.25</v>
      </c>
      <c r="Q2722" s="0" t="n">
        <f aca="false">F2722*G2722</f>
        <v>0</v>
      </c>
      <c r="R2722" s="0" t="n">
        <f aca="false">F2722*H2722</f>
        <v>0.5</v>
      </c>
      <c r="S2722" s="0" t="n">
        <f aca="false">G2722*H2722</f>
        <v>0</v>
      </c>
      <c r="T2722" s="0" t="n">
        <f aca="false">E2722*E2722</f>
        <v>0.0625</v>
      </c>
      <c r="U2722" s="0" t="n">
        <f aca="false">F2722*F2722</f>
        <v>0.25</v>
      </c>
      <c r="V2722" s="0" t="n">
        <f aca="false">G2722*G2722</f>
        <v>0</v>
      </c>
      <c r="W2722" s="0" t="n">
        <f aca="false">H2722*H2722</f>
        <v>1</v>
      </c>
      <c r="X2722" s="0" t="n">
        <f aca="false">SUMPRODUCT(I2722:W2722,_XtX!$B$96:$P$96)</f>
        <v>47.3916849415204</v>
      </c>
      <c r="Y2722" s="0" t="n">
        <f aca="false">SUMPRODUCT(MMULT(I2722:W2722,_XtX!$B$78:$P$92),I2722:W2722)</f>
        <v>0.457596628289474</v>
      </c>
      <c r="Z2722" s="0" t="n">
        <f aca="false">04_回帰ANOVA!$K$19*04_回帰ANOVA!$K$14*SQRT(1+Y2722)</f>
        <v>1.57368233664366</v>
      </c>
      <c r="AA2722" s="0" t="n">
        <f aca="false">X2722-Z2722</f>
        <v>45.8180026048768</v>
      </c>
      <c r="AB2722" s="0" t="n">
        <f aca="false">X2722+Z2722</f>
        <v>48.9653672781641</v>
      </c>
      <c r="AC2722" s="54" t="b">
        <f aca="false">AND(E2722&gt;=01_因子設定!$L$5-0.000000001,E2722&lt;=01_因子設定!$M$5+0.000000001,F2722&gt;=01_因子設定!$L$6-0.000000001,F2722&lt;=01_因子設定!$M$6+0.000000001,G2722&gt;=01_因子設定!$L$7-0.000000001,G2722&lt;=01_因子設定!$M$7+0.000000001,H2722&gt;=01_因子設定!$L$8-0.000000001,H2722&lt;=01_因子設定!$M$8+0.000000001,IF(01_因子設定!$B$20="Box-Behnken",E2722^2+F2722^2+G2722^2+H2722^2&lt;=2+0.000000001,TRUE()))</f>
        <v>1</v>
      </c>
      <c r="AD2722" s="55" t="n">
        <f aca="false">IF(AC2722,IF(01_因子設定!$B$13="最大化",AA2722-01_因子設定!$B$14,IF(01_因子設定!$B$13="最小化",01_因子設定!$B$15-AB2722,MIN(AA2722-01_因子設定!$B$14,01_因子設定!$B$15-AB2722))),-1E+030)</f>
        <v>-0.681997395123211</v>
      </c>
      <c r="AE2722" s="55" t="n">
        <f aca="false">IF(AC2722,IF(01_因子設定!$B$13="最大化",X2722,IF(01_因子設定!$B$13="最小化",-X2722,-ABS(X2722-01_因子設定!$B$16))),-1E+030)</f>
        <v>47.3916849415204</v>
      </c>
      <c r="AF2722" s="55" t="n">
        <f aca="false">AD2722+ROW()*0.000000001</f>
        <v>-0.681994673123212</v>
      </c>
      <c r="AG2722" s="55" t="n">
        <f aca="false">AE2722+ROW()*0.000000001</f>
        <v>47.3916876635204</v>
      </c>
    </row>
    <row r="2723" customFormat="false" ht="15" hidden="false" customHeight="false" outlineLevel="0" collapsed="false">
      <c r="A2723" s="0" t="n">
        <v>3</v>
      </c>
      <c r="B2723" s="0" t="n">
        <v>6</v>
      </c>
      <c r="C2723" s="0" t="n">
        <v>5</v>
      </c>
      <c r="D2723" s="0" t="n">
        <v>0</v>
      </c>
      <c r="E2723" s="0" t="n">
        <f aca="false">-1+A2723*0.25</f>
        <v>-0.25</v>
      </c>
      <c r="F2723" s="0" t="n">
        <f aca="false">-1+B2723*0.25</f>
        <v>0.5</v>
      </c>
      <c r="G2723" s="0" t="n">
        <f aca="false">-1+C2723*0.25</f>
        <v>0.25</v>
      </c>
      <c r="H2723" s="0" t="n">
        <f aca="false">-1+D2723*0.25</f>
        <v>-1</v>
      </c>
      <c r="I2723" s="0" t="n">
        <f aca="false">1</f>
        <v>1</v>
      </c>
      <c r="J2723" s="0" t="n">
        <f aca="false">E2723</f>
        <v>-0.25</v>
      </c>
      <c r="K2723" s="0" t="n">
        <f aca="false">F2723</f>
        <v>0.5</v>
      </c>
      <c r="L2723" s="0" t="n">
        <f aca="false">G2723</f>
        <v>0.25</v>
      </c>
      <c r="M2723" s="0" t="n">
        <f aca="false">H2723</f>
        <v>-1</v>
      </c>
      <c r="N2723" s="0" t="n">
        <f aca="false">E2723*F2723</f>
        <v>-0.125</v>
      </c>
      <c r="O2723" s="0" t="n">
        <f aca="false">E2723*G2723</f>
        <v>-0.0625</v>
      </c>
      <c r="P2723" s="0" t="n">
        <f aca="false">E2723*H2723</f>
        <v>0.25</v>
      </c>
      <c r="Q2723" s="0" t="n">
        <f aca="false">F2723*G2723</f>
        <v>0.125</v>
      </c>
      <c r="R2723" s="0" t="n">
        <f aca="false">F2723*H2723</f>
        <v>-0.5</v>
      </c>
      <c r="S2723" s="0" t="n">
        <f aca="false">G2723*H2723</f>
        <v>-0.25</v>
      </c>
      <c r="T2723" s="0" t="n">
        <f aca="false">E2723*E2723</f>
        <v>0.0625</v>
      </c>
      <c r="U2723" s="0" t="n">
        <f aca="false">F2723*F2723</f>
        <v>0.25</v>
      </c>
      <c r="V2723" s="0" t="n">
        <f aca="false">G2723*G2723</f>
        <v>0.0625</v>
      </c>
      <c r="W2723" s="0" t="n">
        <f aca="false">H2723*H2723</f>
        <v>1</v>
      </c>
      <c r="X2723" s="0" t="n">
        <f aca="false">SUMPRODUCT(I2723:W2723,_XtX!$B$96:$P$96)</f>
        <v>47.0665661549707</v>
      </c>
      <c r="Y2723" s="0" t="n">
        <f aca="false">SUMPRODUCT(MMULT(I2723:W2723,_XtX!$B$78:$P$92),I2723:W2723)</f>
        <v>0.445705123812135</v>
      </c>
      <c r="Z2723" s="0" t="n">
        <f aca="false">04_回帰ANOVA!$K$19*04_回帰ANOVA!$K$14*SQRT(1+Y2723)</f>
        <v>1.56724990734749</v>
      </c>
      <c r="AA2723" s="0" t="n">
        <f aca="false">X2723-Z2723</f>
        <v>45.4993162476233</v>
      </c>
      <c r="AB2723" s="0" t="n">
        <f aca="false">X2723+Z2723</f>
        <v>48.6338160623182</v>
      </c>
      <c r="AC2723" s="54" t="b">
        <f aca="false">AND(E2723&gt;=01_因子設定!$L$5-0.000000001,E2723&lt;=01_因子設定!$M$5+0.000000001,F2723&gt;=01_因子設定!$L$6-0.000000001,F2723&lt;=01_因子設定!$M$6+0.000000001,G2723&gt;=01_因子設定!$L$7-0.000000001,G2723&lt;=01_因子設定!$M$7+0.000000001,H2723&gt;=01_因子設定!$L$8-0.000000001,H2723&lt;=01_因子設定!$M$8+0.000000001,IF(01_因子設定!$B$20="Box-Behnken",E2723^2+F2723^2+G2723^2+H2723^2&lt;=2+0.000000001,TRUE()))</f>
        <v>1</v>
      </c>
      <c r="AD2723" s="55" t="n">
        <f aca="false">IF(AC2723,IF(01_因子設定!$B$13="最大化",AA2723-01_因子設定!$B$14,IF(01_因子設定!$B$13="最小化",01_因子設定!$B$15-AB2723,MIN(AA2723-01_因子設定!$B$14,01_因子設定!$B$15-AB2723))),-1E+030)</f>
        <v>-1.00068375237675</v>
      </c>
      <c r="AE2723" s="55" t="n">
        <f aca="false">IF(AC2723,IF(01_因子設定!$B$13="最大化",X2723,IF(01_因子設定!$B$13="最小化",-X2723,-ABS(X2723-01_因子設定!$B$16))),-1E+030)</f>
        <v>47.0665661549707</v>
      </c>
      <c r="AF2723" s="55" t="n">
        <f aca="false">AD2723+ROW()*0.000000001</f>
        <v>-1.00068102937675</v>
      </c>
      <c r="AG2723" s="55" t="n">
        <f aca="false">AE2723+ROW()*0.000000001</f>
        <v>47.0665688779707</v>
      </c>
    </row>
    <row r="2724" customFormat="false" ht="15" hidden="false" customHeight="false" outlineLevel="0" collapsed="false">
      <c r="A2724" s="0" t="n">
        <v>3</v>
      </c>
      <c r="B2724" s="0" t="n">
        <v>6</v>
      </c>
      <c r="C2724" s="0" t="n">
        <v>5</v>
      </c>
      <c r="D2724" s="0" t="n">
        <v>1</v>
      </c>
      <c r="E2724" s="0" t="n">
        <f aca="false">-1+A2724*0.25</f>
        <v>-0.25</v>
      </c>
      <c r="F2724" s="0" t="n">
        <f aca="false">-1+B2724*0.25</f>
        <v>0.5</v>
      </c>
      <c r="G2724" s="0" t="n">
        <f aca="false">-1+C2724*0.25</f>
        <v>0.25</v>
      </c>
      <c r="H2724" s="0" t="n">
        <f aca="false">-1+D2724*0.25</f>
        <v>-0.75</v>
      </c>
      <c r="I2724" s="0" t="n">
        <f aca="false">1</f>
        <v>1</v>
      </c>
      <c r="J2724" s="0" t="n">
        <f aca="false">E2724</f>
        <v>-0.25</v>
      </c>
      <c r="K2724" s="0" t="n">
        <f aca="false">F2724</f>
        <v>0.5</v>
      </c>
      <c r="L2724" s="0" t="n">
        <f aca="false">G2724</f>
        <v>0.25</v>
      </c>
      <c r="M2724" s="0" t="n">
        <f aca="false">H2724</f>
        <v>-0.75</v>
      </c>
      <c r="N2724" s="0" t="n">
        <f aca="false">E2724*F2724</f>
        <v>-0.125</v>
      </c>
      <c r="O2724" s="0" t="n">
        <f aca="false">E2724*G2724</f>
        <v>-0.0625</v>
      </c>
      <c r="P2724" s="0" t="n">
        <f aca="false">E2724*H2724</f>
        <v>0.1875</v>
      </c>
      <c r="Q2724" s="0" t="n">
        <f aca="false">F2724*G2724</f>
        <v>0.125</v>
      </c>
      <c r="R2724" s="0" t="n">
        <f aca="false">F2724*H2724</f>
        <v>-0.375</v>
      </c>
      <c r="S2724" s="0" t="n">
        <f aca="false">G2724*H2724</f>
        <v>-0.1875</v>
      </c>
      <c r="T2724" s="0" t="n">
        <f aca="false">E2724*E2724</f>
        <v>0.0625</v>
      </c>
      <c r="U2724" s="0" t="n">
        <f aca="false">F2724*F2724</f>
        <v>0.25</v>
      </c>
      <c r="V2724" s="0" t="n">
        <f aca="false">G2724*G2724</f>
        <v>0.0625</v>
      </c>
      <c r="W2724" s="0" t="n">
        <f aca="false">H2724*H2724</f>
        <v>0.5625</v>
      </c>
      <c r="X2724" s="0" t="n">
        <f aca="false">SUMPRODUCT(I2724:W2724,_XtX!$B$96:$P$96)</f>
        <v>47.3188733552631</v>
      </c>
      <c r="Y2724" s="0" t="n">
        <f aca="false">SUMPRODUCT(MMULT(I2724:W2724,_XtX!$B$78:$P$92),I2724:W2724)</f>
        <v>0.207746539199561</v>
      </c>
      <c r="Z2724" s="0" t="n">
        <f aca="false">04_回帰ANOVA!$K$19*04_回帰ANOVA!$K$14*SQRT(1+Y2724)</f>
        <v>1.43247250081141</v>
      </c>
      <c r="AA2724" s="0" t="n">
        <f aca="false">X2724-Z2724</f>
        <v>45.8864008544517</v>
      </c>
      <c r="AB2724" s="0" t="n">
        <f aca="false">X2724+Z2724</f>
        <v>48.7513458560745</v>
      </c>
      <c r="AC2724" s="54" t="b">
        <f aca="false">AND(E2724&gt;=01_因子設定!$L$5-0.000000001,E2724&lt;=01_因子設定!$M$5+0.000000001,F2724&gt;=01_因子設定!$L$6-0.000000001,F2724&lt;=01_因子設定!$M$6+0.000000001,G2724&gt;=01_因子設定!$L$7-0.000000001,G2724&lt;=01_因子設定!$M$7+0.000000001,H2724&gt;=01_因子設定!$L$8-0.000000001,H2724&lt;=01_因子設定!$M$8+0.000000001,IF(01_因子設定!$B$20="Box-Behnken",E2724^2+F2724^2+G2724^2+H2724^2&lt;=2+0.000000001,TRUE()))</f>
        <v>1</v>
      </c>
      <c r="AD2724" s="55" t="n">
        <f aca="false">IF(AC2724,IF(01_因子設定!$B$13="最大化",AA2724-01_因子設定!$B$14,IF(01_因子設定!$B$13="最小化",01_因子設定!$B$15-AB2724,MIN(AA2724-01_因子設定!$B$14,01_因子設定!$B$15-AB2724))),-1E+030)</f>
        <v>-0.613599145548285</v>
      </c>
      <c r="AE2724" s="55" t="n">
        <f aca="false">IF(AC2724,IF(01_因子設定!$B$13="最大化",X2724,IF(01_因子設定!$B$13="最小化",-X2724,-ABS(X2724-01_因子設定!$B$16))),-1E+030)</f>
        <v>47.3188733552631</v>
      </c>
      <c r="AF2724" s="55" t="n">
        <f aca="false">AD2724+ROW()*0.000000001</f>
        <v>-0.613596421548285</v>
      </c>
      <c r="AG2724" s="55" t="n">
        <f aca="false">AE2724+ROW()*0.000000001</f>
        <v>47.3188760792631</v>
      </c>
    </row>
    <row r="2725" customFormat="false" ht="15" hidden="false" customHeight="false" outlineLevel="0" collapsed="false">
      <c r="A2725" s="0" t="n">
        <v>3</v>
      </c>
      <c r="B2725" s="0" t="n">
        <v>6</v>
      </c>
      <c r="C2725" s="0" t="n">
        <v>5</v>
      </c>
      <c r="D2725" s="0" t="n">
        <v>2</v>
      </c>
      <c r="E2725" s="0" t="n">
        <f aca="false">-1+A2725*0.25</f>
        <v>-0.25</v>
      </c>
      <c r="F2725" s="0" t="n">
        <f aca="false">-1+B2725*0.25</f>
        <v>0.5</v>
      </c>
      <c r="G2725" s="0" t="n">
        <f aca="false">-1+C2725*0.25</f>
        <v>0.25</v>
      </c>
      <c r="H2725" s="0" t="n">
        <f aca="false">-1+D2725*0.25</f>
        <v>-0.5</v>
      </c>
      <c r="I2725" s="0" t="n">
        <f aca="false">1</f>
        <v>1</v>
      </c>
      <c r="J2725" s="0" t="n">
        <f aca="false">E2725</f>
        <v>-0.25</v>
      </c>
      <c r="K2725" s="0" t="n">
        <f aca="false">F2725</f>
        <v>0.5</v>
      </c>
      <c r="L2725" s="0" t="n">
        <f aca="false">G2725</f>
        <v>0.25</v>
      </c>
      <c r="M2725" s="0" t="n">
        <f aca="false">H2725</f>
        <v>-0.5</v>
      </c>
      <c r="N2725" s="0" t="n">
        <f aca="false">E2725*F2725</f>
        <v>-0.125</v>
      </c>
      <c r="O2725" s="0" t="n">
        <f aca="false">E2725*G2725</f>
        <v>-0.0625</v>
      </c>
      <c r="P2725" s="0" t="n">
        <f aca="false">E2725*H2725</f>
        <v>0.125</v>
      </c>
      <c r="Q2725" s="0" t="n">
        <f aca="false">F2725*G2725</f>
        <v>0.125</v>
      </c>
      <c r="R2725" s="0" t="n">
        <f aca="false">F2725*H2725</f>
        <v>-0.25</v>
      </c>
      <c r="S2725" s="0" t="n">
        <f aca="false">G2725*H2725</f>
        <v>-0.125</v>
      </c>
      <c r="T2725" s="0" t="n">
        <f aca="false">E2725*E2725</f>
        <v>0.0625</v>
      </c>
      <c r="U2725" s="0" t="n">
        <f aca="false">F2725*F2725</f>
        <v>0.25</v>
      </c>
      <c r="V2725" s="0" t="n">
        <f aca="false">G2725*G2725</f>
        <v>0.0625</v>
      </c>
      <c r="W2725" s="0" t="n">
        <f aca="false">H2725*H2725</f>
        <v>0.25</v>
      </c>
      <c r="X2725" s="0" t="n">
        <f aca="false">SUMPRODUCT(I2725:W2725,_XtX!$B$96:$P$96)</f>
        <v>47.5233735380117</v>
      </c>
      <c r="Y2725" s="0" t="n">
        <f aca="false">SUMPRODUCT(MMULT(I2725:W2725,_XtX!$B$78:$P$92),I2725:W2725)</f>
        <v>0.128236647934942</v>
      </c>
      <c r="Z2725" s="0" t="n">
        <f aca="false">04_回帰ANOVA!$K$19*04_回帰ANOVA!$K$14*SQRT(1+Y2725)</f>
        <v>1.38451764188989</v>
      </c>
      <c r="AA2725" s="0" t="n">
        <f aca="false">X2725-Z2725</f>
        <v>46.1388558961218</v>
      </c>
      <c r="AB2725" s="0" t="n">
        <f aca="false">X2725+Z2725</f>
        <v>48.9078911799015</v>
      </c>
      <c r="AC2725" s="54" t="b">
        <f aca="false">AND(E2725&gt;=01_因子設定!$L$5-0.000000001,E2725&lt;=01_因子設定!$M$5+0.000000001,F2725&gt;=01_因子設定!$L$6-0.000000001,F2725&lt;=01_因子設定!$M$6+0.000000001,G2725&gt;=01_因子設定!$L$7-0.000000001,G2725&lt;=01_因子設定!$M$7+0.000000001,H2725&gt;=01_因子設定!$L$8-0.000000001,H2725&lt;=01_因子設定!$M$8+0.000000001,IF(01_因子設定!$B$20="Box-Behnken",E2725^2+F2725^2+G2725^2+H2725^2&lt;=2+0.000000001,TRUE()))</f>
        <v>1</v>
      </c>
      <c r="AD2725" s="55" t="n">
        <f aca="false">IF(AC2725,IF(01_因子設定!$B$13="最大化",AA2725-01_因子設定!$B$14,IF(01_因子設定!$B$13="最小化",01_因子設定!$B$15-AB2725,MIN(AA2725-01_因子設定!$B$14,01_因子設定!$B$15-AB2725))),-1E+030)</f>
        <v>-0.361144103878239</v>
      </c>
      <c r="AE2725" s="55" t="n">
        <f aca="false">IF(AC2725,IF(01_因子設定!$B$13="最大化",X2725,IF(01_因子設定!$B$13="最小化",-X2725,-ABS(X2725-01_因子設定!$B$16))),-1E+030)</f>
        <v>47.5233735380117</v>
      </c>
      <c r="AF2725" s="55" t="n">
        <f aca="false">AD2725+ROW()*0.000000001</f>
        <v>-0.361141378878239</v>
      </c>
      <c r="AG2725" s="55" t="n">
        <f aca="false">AE2725+ROW()*0.000000001</f>
        <v>47.5233762630117</v>
      </c>
    </row>
    <row r="2726" customFormat="false" ht="15" hidden="false" customHeight="false" outlineLevel="0" collapsed="false">
      <c r="A2726" s="0" t="n">
        <v>3</v>
      </c>
      <c r="B2726" s="0" t="n">
        <v>6</v>
      </c>
      <c r="C2726" s="0" t="n">
        <v>5</v>
      </c>
      <c r="D2726" s="0" t="n">
        <v>3</v>
      </c>
      <c r="E2726" s="0" t="n">
        <f aca="false">-1+A2726*0.25</f>
        <v>-0.25</v>
      </c>
      <c r="F2726" s="0" t="n">
        <f aca="false">-1+B2726*0.25</f>
        <v>0.5</v>
      </c>
      <c r="G2726" s="0" t="n">
        <f aca="false">-1+C2726*0.25</f>
        <v>0.25</v>
      </c>
      <c r="H2726" s="0" t="n">
        <f aca="false">-1+D2726*0.25</f>
        <v>-0.25</v>
      </c>
      <c r="I2726" s="0" t="n">
        <f aca="false">1</f>
        <v>1</v>
      </c>
      <c r="J2726" s="0" t="n">
        <f aca="false">E2726</f>
        <v>-0.25</v>
      </c>
      <c r="K2726" s="0" t="n">
        <f aca="false">F2726</f>
        <v>0.5</v>
      </c>
      <c r="L2726" s="0" t="n">
        <f aca="false">G2726</f>
        <v>0.25</v>
      </c>
      <c r="M2726" s="0" t="n">
        <f aca="false">H2726</f>
        <v>-0.25</v>
      </c>
      <c r="N2726" s="0" t="n">
        <f aca="false">E2726*F2726</f>
        <v>-0.125</v>
      </c>
      <c r="O2726" s="0" t="n">
        <f aca="false">E2726*G2726</f>
        <v>-0.0625</v>
      </c>
      <c r="P2726" s="0" t="n">
        <f aca="false">E2726*H2726</f>
        <v>0.0625</v>
      </c>
      <c r="Q2726" s="0" t="n">
        <f aca="false">F2726*G2726</f>
        <v>0.125</v>
      </c>
      <c r="R2726" s="0" t="n">
        <f aca="false">F2726*H2726</f>
        <v>-0.125</v>
      </c>
      <c r="S2726" s="0" t="n">
        <f aca="false">G2726*H2726</f>
        <v>-0.0625</v>
      </c>
      <c r="T2726" s="0" t="n">
        <f aca="false">E2726*E2726</f>
        <v>0.0625</v>
      </c>
      <c r="U2726" s="0" t="n">
        <f aca="false">F2726*F2726</f>
        <v>0.25</v>
      </c>
      <c r="V2726" s="0" t="n">
        <f aca="false">G2726*G2726</f>
        <v>0.0625</v>
      </c>
      <c r="W2726" s="0" t="n">
        <f aca="false">H2726*H2726</f>
        <v>0.0625</v>
      </c>
      <c r="X2726" s="0" t="n">
        <f aca="false">SUMPRODUCT(I2726:W2726,_XtX!$B$96:$P$96)</f>
        <v>47.6800667032163</v>
      </c>
      <c r="Y2726" s="0" t="n">
        <f aca="false">SUMPRODUCT(MMULT(I2726:W2726,_XtX!$B$78:$P$92),I2726:W2726)</f>
        <v>0.116714923702485</v>
      </c>
      <c r="Z2726" s="0" t="n">
        <f aca="false">04_回帰ANOVA!$K$19*04_回帰ANOVA!$K$14*SQRT(1+Y2726)</f>
        <v>1.37743004820023</v>
      </c>
      <c r="AA2726" s="0" t="n">
        <f aca="false">X2726-Z2726</f>
        <v>46.3026366550161</v>
      </c>
      <c r="AB2726" s="0" t="n">
        <f aca="false">X2726+Z2726</f>
        <v>49.0574967514165</v>
      </c>
      <c r="AC2726" s="54" t="b">
        <f aca="false">AND(E2726&gt;=01_因子設定!$L$5-0.000000001,E2726&lt;=01_因子設定!$M$5+0.000000001,F2726&gt;=01_因子設定!$L$6-0.000000001,F2726&lt;=01_因子設定!$M$6+0.000000001,G2726&gt;=01_因子設定!$L$7-0.000000001,G2726&lt;=01_因子設定!$M$7+0.000000001,H2726&gt;=01_因子設定!$L$8-0.000000001,H2726&lt;=01_因子設定!$M$8+0.000000001,IF(01_因子設定!$B$20="Box-Behnken",E2726^2+F2726^2+G2726^2+H2726^2&lt;=2+0.000000001,TRUE()))</f>
        <v>1</v>
      </c>
      <c r="AD2726" s="55" t="n">
        <f aca="false">IF(AC2726,IF(01_因子設定!$B$13="最大化",AA2726-01_因子設定!$B$14,IF(01_因子設定!$B$13="最小化",01_因子設定!$B$15-AB2726,MIN(AA2726-01_因子設定!$B$14,01_因子設定!$B$15-AB2726))),-1E+030)</f>
        <v>-0.197363344983906</v>
      </c>
      <c r="AE2726" s="55" t="n">
        <f aca="false">IF(AC2726,IF(01_因子設定!$B$13="最大化",X2726,IF(01_因子設定!$B$13="最小化",-X2726,-ABS(X2726-01_因子設定!$B$16))),-1E+030)</f>
        <v>47.6800667032163</v>
      </c>
      <c r="AF2726" s="55" t="n">
        <f aca="false">AD2726+ROW()*0.000000001</f>
        <v>-0.197360618983906</v>
      </c>
      <c r="AG2726" s="55" t="n">
        <f aca="false">AE2726+ROW()*0.000000001</f>
        <v>47.6800694292163</v>
      </c>
    </row>
    <row r="2727" customFormat="false" ht="15" hidden="false" customHeight="false" outlineLevel="0" collapsed="false">
      <c r="A2727" s="0" t="n">
        <v>3</v>
      </c>
      <c r="B2727" s="0" t="n">
        <v>6</v>
      </c>
      <c r="C2727" s="0" t="n">
        <v>5</v>
      </c>
      <c r="D2727" s="0" t="n">
        <v>4</v>
      </c>
      <c r="E2727" s="0" t="n">
        <f aca="false">-1+A2727*0.25</f>
        <v>-0.25</v>
      </c>
      <c r="F2727" s="0" t="n">
        <f aca="false">-1+B2727*0.25</f>
        <v>0.5</v>
      </c>
      <c r="G2727" s="0" t="n">
        <f aca="false">-1+C2727*0.25</f>
        <v>0.25</v>
      </c>
      <c r="H2727" s="0" t="n">
        <f aca="false">-1+D2727*0.25</f>
        <v>0</v>
      </c>
      <c r="I2727" s="0" t="n">
        <f aca="false">1</f>
        <v>1</v>
      </c>
      <c r="J2727" s="0" t="n">
        <f aca="false">E2727</f>
        <v>-0.25</v>
      </c>
      <c r="K2727" s="0" t="n">
        <f aca="false">F2727</f>
        <v>0.5</v>
      </c>
      <c r="L2727" s="0" t="n">
        <f aca="false">G2727</f>
        <v>0.25</v>
      </c>
      <c r="M2727" s="0" t="n">
        <f aca="false">H2727</f>
        <v>0</v>
      </c>
      <c r="N2727" s="0" t="n">
        <f aca="false">E2727*F2727</f>
        <v>-0.125</v>
      </c>
      <c r="O2727" s="0" t="n">
        <f aca="false">E2727*G2727</f>
        <v>-0.0625</v>
      </c>
      <c r="P2727" s="0" t="n">
        <f aca="false">E2727*H2727</f>
        <v>-0</v>
      </c>
      <c r="Q2727" s="0" t="n">
        <f aca="false">F2727*G2727</f>
        <v>0.125</v>
      </c>
      <c r="R2727" s="0" t="n">
        <f aca="false">F2727*H2727</f>
        <v>0</v>
      </c>
      <c r="S2727" s="0" t="n">
        <f aca="false">G2727*H2727</f>
        <v>0</v>
      </c>
      <c r="T2727" s="0" t="n">
        <f aca="false">E2727*E2727</f>
        <v>0.0625</v>
      </c>
      <c r="U2727" s="0" t="n">
        <f aca="false">F2727*F2727</f>
        <v>0.25</v>
      </c>
      <c r="V2727" s="0" t="n">
        <f aca="false">G2727*G2727</f>
        <v>0.0625</v>
      </c>
      <c r="W2727" s="0" t="n">
        <f aca="false">H2727*H2727</f>
        <v>0</v>
      </c>
      <c r="X2727" s="0" t="n">
        <f aca="false">SUMPRODUCT(I2727:W2727,_XtX!$B$96:$P$96)</f>
        <v>47.7889528508771</v>
      </c>
      <c r="Y2727" s="0" t="n">
        <f aca="false">SUMPRODUCT(MMULT(I2727:W2727,_XtX!$B$78:$P$92),I2727:W2727)</f>
        <v>0.118905050712719</v>
      </c>
      <c r="Z2727" s="0" t="n">
        <f aca="false">04_回帰ANOVA!$K$19*04_回帰ANOVA!$K$14*SQRT(1+Y2727)</f>
        <v>1.37878011033769</v>
      </c>
      <c r="AA2727" s="0" t="n">
        <f aca="false">X2727-Z2727</f>
        <v>46.4101727405394</v>
      </c>
      <c r="AB2727" s="0" t="n">
        <f aca="false">X2727+Z2727</f>
        <v>49.1677329612148</v>
      </c>
      <c r="AC2727" s="54" t="b">
        <f aca="false">AND(E2727&gt;=01_因子設定!$L$5-0.000000001,E2727&lt;=01_因子設定!$M$5+0.000000001,F2727&gt;=01_因子設定!$L$6-0.000000001,F2727&lt;=01_因子設定!$M$6+0.000000001,G2727&gt;=01_因子設定!$L$7-0.000000001,G2727&lt;=01_因子設定!$M$7+0.000000001,H2727&gt;=01_因子設定!$L$8-0.000000001,H2727&lt;=01_因子設定!$M$8+0.000000001,IF(01_因子設定!$B$20="Box-Behnken",E2727^2+F2727^2+G2727^2+H2727^2&lt;=2+0.000000001,TRUE()))</f>
        <v>1</v>
      </c>
      <c r="AD2727" s="55" t="n">
        <f aca="false">IF(AC2727,IF(01_因子設定!$B$13="最大化",AA2727-01_因子設定!$B$14,IF(01_因子設定!$B$13="最小化",01_因子設定!$B$15-AB2727,MIN(AA2727-01_因子設定!$B$14,01_因子設定!$B$15-AB2727))),-1E+030)</f>
        <v>-0.0898272594605558</v>
      </c>
      <c r="AE2727" s="55" t="n">
        <f aca="false">IF(AC2727,IF(01_因子設定!$B$13="最大化",X2727,IF(01_因子設定!$B$13="最小化",-X2727,-ABS(X2727-01_因子設定!$B$16))),-1E+030)</f>
        <v>47.7889528508771</v>
      </c>
      <c r="AF2727" s="55" t="n">
        <f aca="false">AD2727+ROW()*0.000000001</f>
        <v>-0.0898245324605558</v>
      </c>
      <c r="AG2727" s="55" t="n">
        <f aca="false">AE2727+ROW()*0.000000001</f>
        <v>47.7889555778771</v>
      </c>
    </row>
    <row r="2728" customFormat="false" ht="15" hidden="false" customHeight="false" outlineLevel="0" collapsed="false">
      <c r="A2728" s="0" t="n">
        <v>3</v>
      </c>
      <c r="B2728" s="0" t="n">
        <v>6</v>
      </c>
      <c r="C2728" s="0" t="n">
        <v>5</v>
      </c>
      <c r="D2728" s="0" t="n">
        <v>5</v>
      </c>
      <c r="E2728" s="0" t="n">
        <f aca="false">-1+A2728*0.25</f>
        <v>-0.25</v>
      </c>
      <c r="F2728" s="0" t="n">
        <f aca="false">-1+B2728*0.25</f>
        <v>0.5</v>
      </c>
      <c r="G2728" s="0" t="n">
        <f aca="false">-1+C2728*0.25</f>
        <v>0.25</v>
      </c>
      <c r="H2728" s="0" t="n">
        <f aca="false">-1+D2728*0.25</f>
        <v>0.25</v>
      </c>
      <c r="I2728" s="0" t="n">
        <f aca="false">1</f>
        <v>1</v>
      </c>
      <c r="J2728" s="0" t="n">
        <f aca="false">E2728</f>
        <v>-0.25</v>
      </c>
      <c r="K2728" s="0" t="n">
        <f aca="false">F2728</f>
        <v>0.5</v>
      </c>
      <c r="L2728" s="0" t="n">
        <f aca="false">G2728</f>
        <v>0.25</v>
      </c>
      <c r="M2728" s="0" t="n">
        <f aca="false">H2728</f>
        <v>0.25</v>
      </c>
      <c r="N2728" s="0" t="n">
        <f aca="false">E2728*F2728</f>
        <v>-0.125</v>
      </c>
      <c r="O2728" s="0" t="n">
        <f aca="false">E2728*G2728</f>
        <v>-0.0625</v>
      </c>
      <c r="P2728" s="0" t="n">
        <f aca="false">E2728*H2728</f>
        <v>-0.0625</v>
      </c>
      <c r="Q2728" s="0" t="n">
        <f aca="false">F2728*G2728</f>
        <v>0.125</v>
      </c>
      <c r="R2728" s="0" t="n">
        <f aca="false">F2728*H2728</f>
        <v>0.125</v>
      </c>
      <c r="S2728" s="0" t="n">
        <f aca="false">G2728*H2728</f>
        <v>0.0625</v>
      </c>
      <c r="T2728" s="0" t="n">
        <f aca="false">E2728*E2728</f>
        <v>0.0625</v>
      </c>
      <c r="U2728" s="0" t="n">
        <f aca="false">F2728*F2728</f>
        <v>0.25</v>
      </c>
      <c r="V2728" s="0" t="n">
        <f aca="false">G2728*G2728</f>
        <v>0.0625</v>
      </c>
      <c r="W2728" s="0" t="n">
        <f aca="false">H2728*H2728</f>
        <v>0.0625</v>
      </c>
      <c r="X2728" s="0" t="n">
        <f aca="false">SUMPRODUCT(I2728:W2728,_XtX!$B$96:$P$96)</f>
        <v>47.8500319809941</v>
      </c>
      <c r="Y2728" s="0" t="n">
        <f aca="false">SUMPRODUCT(MMULT(I2728:W2728,_XtX!$B$78:$P$92),I2728:W2728)</f>
        <v>0.116714923702485</v>
      </c>
      <c r="Z2728" s="0" t="n">
        <f aca="false">04_回帰ANOVA!$K$19*04_回帰ANOVA!$K$14*SQRT(1+Y2728)</f>
        <v>1.37743004820023</v>
      </c>
      <c r="AA2728" s="0" t="n">
        <f aca="false">X2728-Z2728</f>
        <v>46.4726019327939</v>
      </c>
      <c r="AB2728" s="0" t="n">
        <f aca="false">X2728+Z2728</f>
        <v>49.2274620291943</v>
      </c>
      <c r="AC2728" s="54" t="b">
        <f aca="false">AND(E2728&gt;=01_因子設定!$L$5-0.000000001,E2728&lt;=01_因子設定!$M$5+0.000000001,F2728&gt;=01_因子設定!$L$6-0.000000001,F2728&lt;=01_因子設定!$M$6+0.000000001,G2728&gt;=01_因子設定!$L$7-0.000000001,G2728&lt;=01_因子設定!$M$7+0.000000001,H2728&gt;=01_因子設定!$L$8-0.000000001,H2728&lt;=01_因子設定!$M$8+0.000000001,IF(01_因子設定!$B$20="Box-Behnken",E2728^2+F2728^2+G2728^2+H2728^2&lt;=2+0.000000001,TRUE()))</f>
        <v>1</v>
      </c>
      <c r="AD2728" s="55" t="n">
        <f aca="false">IF(AC2728,IF(01_因子設定!$B$13="最大化",AA2728-01_因子設定!$B$14,IF(01_因子設定!$B$13="最小化",01_因子設定!$B$15-AB2728,MIN(AA2728-01_因子設定!$B$14,01_因子設定!$B$15-AB2728))),-1E+030)</f>
        <v>-0.0273980672061285</v>
      </c>
      <c r="AE2728" s="55" t="n">
        <f aca="false">IF(AC2728,IF(01_因子設定!$B$13="最大化",X2728,IF(01_因子設定!$B$13="最小化",-X2728,-ABS(X2728-01_因子設定!$B$16))),-1E+030)</f>
        <v>47.8500319809941</v>
      </c>
      <c r="AF2728" s="55" t="n">
        <f aca="false">AD2728+ROW()*0.000000001</f>
        <v>-0.0273953392061285</v>
      </c>
      <c r="AG2728" s="55" t="n">
        <f aca="false">AE2728+ROW()*0.000000001</f>
        <v>47.8500347089941</v>
      </c>
    </row>
    <row r="2729" customFormat="false" ht="15" hidden="false" customHeight="false" outlineLevel="0" collapsed="false">
      <c r="A2729" s="0" t="n">
        <v>3</v>
      </c>
      <c r="B2729" s="0" t="n">
        <v>6</v>
      </c>
      <c r="C2729" s="0" t="n">
        <v>5</v>
      </c>
      <c r="D2729" s="0" t="n">
        <v>6</v>
      </c>
      <c r="E2729" s="0" t="n">
        <f aca="false">-1+A2729*0.25</f>
        <v>-0.25</v>
      </c>
      <c r="F2729" s="0" t="n">
        <f aca="false">-1+B2729*0.25</f>
        <v>0.5</v>
      </c>
      <c r="G2729" s="0" t="n">
        <f aca="false">-1+C2729*0.25</f>
        <v>0.25</v>
      </c>
      <c r="H2729" s="0" t="n">
        <f aca="false">-1+D2729*0.25</f>
        <v>0.5</v>
      </c>
      <c r="I2729" s="0" t="n">
        <f aca="false">1</f>
        <v>1</v>
      </c>
      <c r="J2729" s="0" t="n">
        <f aca="false">E2729</f>
        <v>-0.25</v>
      </c>
      <c r="K2729" s="0" t="n">
        <f aca="false">F2729</f>
        <v>0.5</v>
      </c>
      <c r="L2729" s="0" t="n">
        <f aca="false">G2729</f>
        <v>0.25</v>
      </c>
      <c r="M2729" s="0" t="n">
        <f aca="false">H2729</f>
        <v>0.5</v>
      </c>
      <c r="N2729" s="0" t="n">
        <f aca="false">E2729*F2729</f>
        <v>-0.125</v>
      </c>
      <c r="O2729" s="0" t="n">
        <f aca="false">E2729*G2729</f>
        <v>-0.0625</v>
      </c>
      <c r="P2729" s="0" t="n">
        <f aca="false">E2729*H2729</f>
        <v>-0.125</v>
      </c>
      <c r="Q2729" s="0" t="n">
        <f aca="false">F2729*G2729</f>
        <v>0.125</v>
      </c>
      <c r="R2729" s="0" t="n">
        <f aca="false">F2729*H2729</f>
        <v>0.25</v>
      </c>
      <c r="S2729" s="0" t="n">
        <f aca="false">G2729*H2729</f>
        <v>0.125</v>
      </c>
      <c r="T2729" s="0" t="n">
        <f aca="false">E2729*E2729</f>
        <v>0.0625</v>
      </c>
      <c r="U2729" s="0" t="n">
        <f aca="false">F2729*F2729</f>
        <v>0.25</v>
      </c>
      <c r="V2729" s="0" t="n">
        <f aca="false">G2729*G2729</f>
        <v>0.0625</v>
      </c>
      <c r="W2729" s="0" t="n">
        <f aca="false">H2729*H2729</f>
        <v>0.25</v>
      </c>
      <c r="X2729" s="0" t="n">
        <f aca="false">SUMPRODUCT(I2729:W2729,_XtX!$B$96:$P$96)</f>
        <v>47.8633040935672</v>
      </c>
      <c r="Y2729" s="0" t="n">
        <f aca="false">SUMPRODUCT(MMULT(I2729:W2729,_XtX!$B$78:$P$92),I2729:W2729)</f>
        <v>0.128236647934942</v>
      </c>
      <c r="Z2729" s="0" t="n">
        <f aca="false">04_回帰ANOVA!$K$19*04_回帰ANOVA!$K$14*SQRT(1+Y2729)</f>
        <v>1.38451764188989</v>
      </c>
      <c r="AA2729" s="0" t="n">
        <f aca="false">X2729-Z2729</f>
        <v>46.4787864516773</v>
      </c>
      <c r="AB2729" s="0" t="n">
        <f aca="false">X2729+Z2729</f>
        <v>49.2478217354571</v>
      </c>
      <c r="AC2729" s="54" t="b">
        <f aca="false">AND(E2729&gt;=01_因子設定!$L$5-0.000000001,E2729&lt;=01_因子設定!$M$5+0.000000001,F2729&gt;=01_因子設定!$L$6-0.000000001,F2729&lt;=01_因子設定!$M$6+0.000000001,G2729&gt;=01_因子設定!$L$7-0.000000001,G2729&lt;=01_因子設定!$M$7+0.000000001,H2729&gt;=01_因子設定!$L$8-0.000000001,H2729&lt;=01_因子設定!$M$8+0.000000001,IF(01_因子設定!$B$20="Box-Behnken",E2729^2+F2729^2+G2729^2+H2729^2&lt;=2+0.000000001,TRUE()))</f>
        <v>1</v>
      </c>
      <c r="AD2729" s="55" t="n">
        <f aca="false">IF(AC2729,IF(01_因子設定!$B$13="最大化",AA2729-01_因子設定!$B$14,IF(01_因子設定!$B$13="最小化",01_因子設定!$B$15-AB2729,MIN(AA2729-01_因子設定!$B$14,01_因子設定!$B$15-AB2729))),-1E+030)</f>
        <v>-0.0212135483226845</v>
      </c>
      <c r="AE2729" s="55" t="n">
        <f aca="false">IF(AC2729,IF(01_因子設定!$B$13="最大化",X2729,IF(01_因子設定!$B$13="最小化",-X2729,-ABS(X2729-01_因子設定!$B$16))),-1E+030)</f>
        <v>47.8633040935672</v>
      </c>
      <c r="AF2729" s="55" t="n">
        <f aca="false">AD2729+ROW()*0.000000001</f>
        <v>-0.0212108193226845</v>
      </c>
      <c r="AG2729" s="55" t="n">
        <f aca="false">AE2729+ROW()*0.000000001</f>
        <v>47.8633068225672</v>
      </c>
    </row>
    <row r="2730" customFormat="false" ht="15" hidden="false" customHeight="false" outlineLevel="0" collapsed="false">
      <c r="A2730" s="0" t="n">
        <v>3</v>
      </c>
      <c r="B2730" s="0" t="n">
        <v>6</v>
      </c>
      <c r="C2730" s="0" t="n">
        <v>5</v>
      </c>
      <c r="D2730" s="0" t="n">
        <v>7</v>
      </c>
      <c r="E2730" s="0" t="n">
        <f aca="false">-1+A2730*0.25</f>
        <v>-0.25</v>
      </c>
      <c r="F2730" s="0" t="n">
        <f aca="false">-1+B2730*0.25</f>
        <v>0.5</v>
      </c>
      <c r="G2730" s="0" t="n">
        <f aca="false">-1+C2730*0.25</f>
        <v>0.25</v>
      </c>
      <c r="H2730" s="0" t="n">
        <f aca="false">-1+D2730*0.25</f>
        <v>0.75</v>
      </c>
      <c r="I2730" s="0" t="n">
        <f aca="false">1</f>
        <v>1</v>
      </c>
      <c r="J2730" s="0" t="n">
        <f aca="false">E2730</f>
        <v>-0.25</v>
      </c>
      <c r="K2730" s="0" t="n">
        <f aca="false">F2730</f>
        <v>0.5</v>
      </c>
      <c r="L2730" s="0" t="n">
        <f aca="false">G2730</f>
        <v>0.25</v>
      </c>
      <c r="M2730" s="0" t="n">
        <f aca="false">H2730</f>
        <v>0.75</v>
      </c>
      <c r="N2730" s="0" t="n">
        <f aca="false">E2730*F2730</f>
        <v>-0.125</v>
      </c>
      <c r="O2730" s="0" t="n">
        <f aca="false">E2730*G2730</f>
        <v>-0.0625</v>
      </c>
      <c r="P2730" s="0" t="n">
        <f aca="false">E2730*H2730</f>
        <v>-0.1875</v>
      </c>
      <c r="Q2730" s="0" t="n">
        <f aca="false">F2730*G2730</f>
        <v>0.125</v>
      </c>
      <c r="R2730" s="0" t="n">
        <f aca="false">F2730*H2730</f>
        <v>0.375</v>
      </c>
      <c r="S2730" s="0" t="n">
        <f aca="false">G2730*H2730</f>
        <v>0.1875</v>
      </c>
      <c r="T2730" s="0" t="n">
        <f aca="false">E2730*E2730</f>
        <v>0.0625</v>
      </c>
      <c r="U2730" s="0" t="n">
        <f aca="false">F2730*F2730</f>
        <v>0.25</v>
      </c>
      <c r="V2730" s="0" t="n">
        <f aca="false">G2730*G2730</f>
        <v>0.0625</v>
      </c>
      <c r="W2730" s="0" t="n">
        <f aca="false">H2730*H2730</f>
        <v>0.5625</v>
      </c>
      <c r="X2730" s="0" t="n">
        <f aca="false">SUMPRODUCT(I2730:W2730,_XtX!$B$96:$P$96)</f>
        <v>47.8287691885965</v>
      </c>
      <c r="Y2730" s="0" t="n">
        <f aca="false">SUMPRODUCT(MMULT(I2730:W2730,_XtX!$B$78:$P$92),I2730:W2730)</f>
        <v>0.207746539199561</v>
      </c>
      <c r="Z2730" s="0" t="n">
        <f aca="false">04_回帰ANOVA!$K$19*04_回帰ANOVA!$K$14*SQRT(1+Y2730)</f>
        <v>1.43247250081141</v>
      </c>
      <c r="AA2730" s="0" t="n">
        <f aca="false">X2730-Z2730</f>
        <v>46.396296687785</v>
      </c>
      <c r="AB2730" s="0" t="n">
        <f aca="false">X2730+Z2730</f>
        <v>49.2612416894079</v>
      </c>
      <c r="AC2730" s="54" t="b">
        <f aca="false">AND(E2730&gt;=01_因子設定!$L$5-0.000000001,E2730&lt;=01_因子設定!$M$5+0.000000001,F2730&gt;=01_因子設定!$L$6-0.000000001,F2730&lt;=01_因子設定!$M$6+0.000000001,G2730&gt;=01_因子設定!$L$7-0.000000001,G2730&lt;=01_因子設定!$M$7+0.000000001,H2730&gt;=01_因子設定!$L$8-0.000000001,H2730&lt;=01_因子設定!$M$8+0.000000001,IF(01_因子設定!$B$20="Box-Behnken",E2730^2+F2730^2+G2730^2+H2730^2&lt;=2+0.000000001,TRUE()))</f>
        <v>1</v>
      </c>
      <c r="AD2730" s="55" t="n">
        <f aca="false">IF(AC2730,IF(01_因子設定!$B$13="最大化",AA2730-01_因子設定!$B$14,IF(01_因子設定!$B$13="最小化",01_因子設定!$B$15-AB2730,MIN(AA2730-01_因子設定!$B$14,01_因子設定!$B$15-AB2730))),-1E+030)</f>
        <v>-0.103703312214954</v>
      </c>
      <c r="AE2730" s="55" t="n">
        <f aca="false">IF(AC2730,IF(01_因子設定!$B$13="最大化",X2730,IF(01_因子設定!$B$13="最小化",-X2730,-ABS(X2730-01_因子設定!$B$16))),-1E+030)</f>
        <v>47.8287691885965</v>
      </c>
      <c r="AF2730" s="55" t="n">
        <f aca="false">AD2730+ROW()*0.000000001</f>
        <v>-0.103700582214954</v>
      </c>
      <c r="AG2730" s="55" t="n">
        <f aca="false">AE2730+ROW()*0.000000001</f>
        <v>47.8287719185965</v>
      </c>
    </row>
    <row r="2731" customFormat="false" ht="15" hidden="false" customHeight="false" outlineLevel="0" collapsed="false">
      <c r="A2731" s="0" t="n">
        <v>3</v>
      </c>
      <c r="B2731" s="0" t="n">
        <v>6</v>
      </c>
      <c r="C2731" s="0" t="n">
        <v>5</v>
      </c>
      <c r="D2731" s="0" t="n">
        <v>8</v>
      </c>
      <c r="E2731" s="0" t="n">
        <f aca="false">-1+A2731*0.25</f>
        <v>-0.25</v>
      </c>
      <c r="F2731" s="0" t="n">
        <f aca="false">-1+B2731*0.25</f>
        <v>0.5</v>
      </c>
      <c r="G2731" s="0" t="n">
        <f aca="false">-1+C2731*0.25</f>
        <v>0.25</v>
      </c>
      <c r="H2731" s="0" t="n">
        <f aca="false">-1+D2731*0.25</f>
        <v>1</v>
      </c>
      <c r="I2731" s="0" t="n">
        <f aca="false">1</f>
        <v>1</v>
      </c>
      <c r="J2731" s="0" t="n">
        <f aca="false">E2731</f>
        <v>-0.25</v>
      </c>
      <c r="K2731" s="0" t="n">
        <f aca="false">F2731</f>
        <v>0.5</v>
      </c>
      <c r="L2731" s="0" t="n">
        <f aca="false">G2731</f>
        <v>0.25</v>
      </c>
      <c r="M2731" s="0" t="n">
        <f aca="false">H2731</f>
        <v>1</v>
      </c>
      <c r="N2731" s="0" t="n">
        <f aca="false">E2731*F2731</f>
        <v>-0.125</v>
      </c>
      <c r="O2731" s="0" t="n">
        <f aca="false">E2731*G2731</f>
        <v>-0.0625</v>
      </c>
      <c r="P2731" s="0" t="n">
        <f aca="false">E2731*H2731</f>
        <v>-0.25</v>
      </c>
      <c r="Q2731" s="0" t="n">
        <f aca="false">F2731*G2731</f>
        <v>0.125</v>
      </c>
      <c r="R2731" s="0" t="n">
        <f aca="false">F2731*H2731</f>
        <v>0.5</v>
      </c>
      <c r="S2731" s="0" t="n">
        <f aca="false">G2731*H2731</f>
        <v>0.25</v>
      </c>
      <c r="T2731" s="0" t="n">
        <f aca="false">E2731*E2731</f>
        <v>0.0625</v>
      </c>
      <c r="U2731" s="0" t="n">
        <f aca="false">F2731*F2731</f>
        <v>0.25</v>
      </c>
      <c r="V2731" s="0" t="n">
        <f aca="false">G2731*G2731</f>
        <v>0.0625</v>
      </c>
      <c r="W2731" s="0" t="n">
        <f aca="false">H2731*H2731</f>
        <v>1</v>
      </c>
      <c r="X2731" s="0" t="n">
        <f aca="false">SUMPRODUCT(I2731:W2731,_XtX!$B$96:$P$96)</f>
        <v>47.7464272660818</v>
      </c>
      <c r="Y2731" s="0" t="n">
        <f aca="false">SUMPRODUCT(MMULT(I2731:W2731,_XtX!$B$78:$P$92),I2731:W2731)</f>
        <v>0.445705123812135</v>
      </c>
      <c r="Z2731" s="0" t="n">
        <f aca="false">04_回帰ANOVA!$K$19*04_回帰ANOVA!$K$14*SQRT(1+Y2731)</f>
        <v>1.56724990734749</v>
      </c>
      <c r="AA2731" s="0" t="n">
        <f aca="false">X2731-Z2731</f>
        <v>46.1791773587344</v>
      </c>
      <c r="AB2731" s="0" t="n">
        <f aca="false">X2731+Z2731</f>
        <v>49.3136771734293</v>
      </c>
      <c r="AC2731" s="54" t="b">
        <f aca="false">AND(E2731&gt;=01_因子設定!$L$5-0.000000001,E2731&lt;=01_因子設定!$M$5+0.000000001,F2731&gt;=01_因子設定!$L$6-0.000000001,F2731&lt;=01_因子設定!$M$6+0.000000001,G2731&gt;=01_因子設定!$L$7-0.000000001,G2731&lt;=01_因子設定!$M$7+0.000000001,H2731&gt;=01_因子設定!$L$8-0.000000001,H2731&lt;=01_因子設定!$M$8+0.000000001,IF(01_因子設定!$B$20="Box-Behnken",E2731^2+F2731^2+G2731^2+H2731^2&lt;=2+0.000000001,TRUE()))</f>
        <v>1</v>
      </c>
      <c r="AD2731" s="55" t="n">
        <f aca="false">IF(AC2731,IF(01_因子設定!$B$13="最大化",AA2731-01_因子設定!$B$14,IF(01_因子設定!$B$13="最小化",01_因子設定!$B$15-AB2731,MIN(AA2731-01_因子設定!$B$14,01_因子設定!$B$15-AB2731))),-1E+030)</f>
        <v>-0.320822641265643</v>
      </c>
      <c r="AE2731" s="55" t="n">
        <f aca="false">IF(AC2731,IF(01_因子設定!$B$13="最大化",X2731,IF(01_因子設定!$B$13="最小化",-X2731,-ABS(X2731-01_因子設定!$B$16))),-1E+030)</f>
        <v>47.7464272660818</v>
      </c>
      <c r="AF2731" s="55" t="n">
        <f aca="false">AD2731+ROW()*0.000000001</f>
        <v>-0.320819910265643</v>
      </c>
      <c r="AG2731" s="55" t="n">
        <f aca="false">AE2731+ROW()*0.000000001</f>
        <v>47.7464299970819</v>
      </c>
    </row>
    <row r="2732" customFormat="false" ht="15" hidden="false" customHeight="false" outlineLevel="0" collapsed="false">
      <c r="A2732" s="0" t="n">
        <v>3</v>
      </c>
      <c r="B2732" s="0" t="n">
        <v>6</v>
      </c>
      <c r="C2732" s="0" t="n">
        <v>6</v>
      </c>
      <c r="D2732" s="0" t="n">
        <v>0</v>
      </c>
      <c r="E2732" s="0" t="n">
        <f aca="false">-1+A2732*0.25</f>
        <v>-0.25</v>
      </c>
      <c r="F2732" s="0" t="n">
        <f aca="false">-1+B2732*0.25</f>
        <v>0.5</v>
      </c>
      <c r="G2732" s="0" t="n">
        <f aca="false">-1+C2732*0.25</f>
        <v>0.5</v>
      </c>
      <c r="H2732" s="0" t="n">
        <f aca="false">-1+D2732*0.25</f>
        <v>-1</v>
      </c>
      <c r="I2732" s="0" t="n">
        <f aca="false">1</f>
        <v>1</v>
      </c>
      <c r="J2732" s="0" t="n">
        <f aca="false">E2732</f>
        <v>-0.25</v>
      </c>
      <c r="K2732" s="0" t="n">
        <f aca="false">F2732</f>
        <v>0.5</v>
      </c>
      <c r="L2732" s="0" t="n">
        <f aca="false">G2732</f>
        <v>0.5</v>
      </c>
      <c r="M2732" s="0" t="n">
        <f aca="false">H2732</f>
        <v>-1</v>
      </c>
      <c r="N2732" s="0" t="n">
        <f aca="false">E2732*F2732</f>
        <v>-0.125</v>
      </c>
      <c r="O2732" s="0" t="n">
        <f aca="false">E2732*G2732</f>
        <v>-0.125</v>
      </c>
      <c r="P2732" s="0" t="n">
        <f aca="false">E2732*H2732</f>
        <v>0.25</v>
      </c>
      <c r="Q2732" s="0" t="n">
        <f aca="false">F2732*G2732</f>
        <v>0.25</v>
      </c>
      <c r="R2732" s="0" t="n">
        <f aca="false">F2732*H2732</f>
        <v>-0.5</v>
      </c>
      <c r="S2732" s="0" t="n">
        <f aca="false">G2732*H2732</f>
        <v>-0.5</v>
      </c>
      <c r="T2732" s="0" t="n">
        <f aca="false">E2732*E2732</f>
        <v>0.0625</v>
      </c>
      <c r="U2732" s="0" t="n">
        <f aca="false">F2732*F2732</f>
        <v>0.25</v>
      </c>
      <c r="V2732" s="0" t="n">
        <f aca="false">G2732*G2732</f>
        <v>0.25</v>
      </c>
      <c r="W2732" s="0" t="n">
        <f aca="false">H2732*H2732</f>
        <v>1</v>
      </c>
      <c r="X2732" s="0" t="n">
        <f aca="false">SUMPRODUCT(I2732:W2732,_XtX!$B$96:$P$96)</f>
        <v>47.1922514619883</v>
      </c>
      <c r="Y2732" s="0" t="n">
        <f aca="false">SUMPRODUCT(MMULT(I2732:W2732,_XtX!$B$78:$P$92),I2732:W2732)</f>
        <v>0.428122715643275</v>
      </c>
      <c r="Z2732" s="0" t="n">
        <f aca="false">04_回帰ANOVA!$K$19*04_回帰ANOVA!$K$14*SQRT(1+Y2732)</f>
        <v>1.55769044623229</v>
      </c>
      <c r="AA2732" s="0" t="n">
        <f aca="false">X2732-Z2732</f>
        <v>45.634561015756</v>
      </c>
      <c r="AB2732" s="0" t="n">
        <f aca="false">X2732+Z2732</f>
        <v>48.7499419082206</v>
      </c>
      <c r="AC2732" s="54" t="b">
        <f aca="false">AND(E2732&gt;=01_因子設定!$L$5-0.000000001,E2732&lt;=01_因子設定!$M$5+0.000000001,F2732&gt;=01_因子設定!$L$6-0.000000001,F2732&lt;=01_因子設定!$M$6+0.000000001,G2732&gt;=01_因子設定!$L$7-0.000000001,G2732&lt;=01_因子設定!$M$7+0.000000001,H2732&gt;=01_因子設定!$L$8-0.000000001,H2732&lt;=01_因子設定!$M$8+0.000000001,IF(01_因子設定!$B$20="Box-Behnken",E2732^2+F2732^2+G2732^2+H2732^2&lt;=2+0.000000001,TRUE()))</f>
        <v>1</v>
      </c>
      <c r="AD2732" s="55" t="n">
        <f aca="false">IF(AC2732,IF(01_因子設定!$B$13="最大化",AA2732-01_因子設定!$B$14,IF(01_因子設定!$B$13="最小化",01_因子設定!$B$15-AB2732,MIN(AA2732-01_因子設定!$B$14,01_因子設定!$B$15-AB2732))),-1E+030)</f>
        <v>-0.865438984244008</v>
      </c>
      <c r="AE2732" s="55" t="n">
        <f aca="false">IF(AC2732,IF(01_因子設定!$B$13="最大化",X2732,IF(01_因子設定!$B$13="最小化",-X2732,-ABS(X2732-01_因子設定!$B$16))),-1E+030)</f>
        <v>47.1922514619883</v>
      </c>
      <c r="AF2732" s="55" t="n">
        <f aca="false">AD2732+ROW()*0.000000001</f>
        <v>-0.865436252244008</v>
      </c>
      <c r="AG2732" s="55" t="n">
        <f aca="false">AE2732+ROW()*0.000000001</f>
        <v>47.1922541939883</v>
      </c>
    </row>
    <row r="2733" customFormat="false" ht="15" hidden="false" customHeight="false" outlineLevel="0" collapsed="false">
      <c r="A2733" s="0" t="n">
        <v>3</v>
      </c>
      <c r="B2733" s="0" t="n">
        <v>6</v>
      </c>
      <c r="C2733" s="0" t="n">
        <v>6</v>
      </c>
      <c r="D2733" s="0" t="n">
        <v>1</v>
      </c>
      <c r="E2733" s="0" t="n">
        <f aca="false">-1+A2733*0.25</f>
        <v>-0.25</v>
      </c>
      <c r="F2733" s="0" t="n">
        <f aca="false">-1+B2733*0.25</f>
        <v>0.5</v>
      </c>
      <c r="G2733" s="0" t="n">
        <f aca="false">-1+C2733*0.25</f>
        <v>0.5</v>
      </c>
      <c r="H2733" s="0" t="n">
        <f aca="false">-1+D2733*0.25</f>
        <v>-0.75</v>
      </c>
      <c r="I2733" s="0" t="n">
        <f aca="false">1</f>
        <v>1</v>
      </c>
      <c r="J2733" s="0" t="n">
        <f aca="false">E2733</f>
        <v>-0.25</v>
      </c>
      <c r="K2733" s="0" t="n">
        <f aca="false">F2733</f>
        <v>0.5</v>
      </c>
      <c r="L2733" s="0" t="n">
        <f aca="false">G2733</f>
        <v>0.5</v>
      </c>
      <c r="M2733" s="0" t="n">
        <f aca="false">H2733</f>
        <v>-0.75</v>
      </c>
      <c r="N2733" s="0" t="n">
        <f aca="false">E2733*F2733</f>
        <v>-0.125</v>
      </c>
      <c r="O2733" s="0" t="n">
        <f aca="false">E2733*G2733</f>
        <v>-0.125</v>
      </c>
      <c r="P2733" s="0" t="n">
        <f aca="false">E2733*H2733</f>
        <v>0.1875</v>
      </c>
      <c r="Q2733" s="0" t="n">
        <f aca="false">F2733*G2733</f>
        <v>0.25</v>
      </c>
      <c r="R2733" s="0" t="n">
        <f aca="false">F2733*H2733</f>
        <v>-0.375</v>
      </c>
      <c r="S2733" s="0" t="n">
        <f aca="false">G2733*H2733</f>
        <v>-0.375</v>
      </c>
      <c r="T2733" s="0" t="n">
        <f aca="false">E2733*E2733</f>
        <v>0.0625</v>
      </c>
      <c r="U2733" s="0" t="n">
        <f aca="false">F2733*F2733</f>
        <v>0.25</v>
      </c>
      <c r="V2733" s="0" t="n">
        <f aca="false">G2733*G2733</f>
        <v>0.25</v>
      </c>
      <c r="W2733" s="0" t="n">
        <f aca="false">H2733*H2733</f>
        <v>0.5625</v>
      </c>
      <c r="X2733" s="0" t="n">
        <f aca="false">SUMPRODUCT(I2733:W2733,_XtX!$B$96:$P$96)</f>
        <v>47.4625274122807</v>
      </c>
      <c r="Y2733" s="0" t="n">
        <f aca="false">SUMPRODUCT(MMULT(I2733:W2733,_XtX!$B$78:$P$92),I2733:W2733)</f>
        <v>0.203746059484649</v>
      </c>
      <c r="Z2733" s="0" t="n">
        <f aca="false">04_回帰ANOVA!$K$19*04_回帰ANOVA!$K$14*SQRT(1+Y2733)</f>
        <v>1.43009810755465</v>
      </c>
      <c r="AA2733" s="0" t="n">
        <f aca="false">X2733-Z2733</f>
        <v>46.032429304726</v>
      </c>
      <c r="AB2733" s="0" t="n">
        <f aca="false">X2733+Z2733</f>
        <v>48.8926255198353</v>
      </c>
      <c r="AC2733" s="54" t="b">
        <f aca="false">AND(E2733&gt;=01_因子設定!$L$5-0.000000001,E2733&lt;=01_因子設定!$M$5+0.000000001,F2733&gt;=01_因子設定!$L$6-0.000000001,F2733&lt;=01_因子設定!$M$6+0.000000001,G2733&gt;=01_因子設定!$L$7-0.000000001,G2733&lt;=01_因子設定!$M$7+0.000000001,H2733&gt;=01_因子設定!$L$8-0.000000001,H2733&lt;=01_因子設定!$M$8+0.000000001,IF(01_因子設定!$B$20="Box-Behnken",E2733^2+F2733^2+G2733^2+H2733^2&lt;=2+0.000000001,TRUE()))</f>
        <v>1</v>
      </c>
      <c r="AD2733" s="55" t="n">
        <f aca="false">IF(AC2733,IF(01_因子設定!$B$13="最大化",AA2733-01_因子設定!$B$14,IF(01_因子設定!$B$13="最小化",01_因子設定!$B$15-AB2733,MIN(AA2733-01_因子設定!$B$14,01_因子設定!$B$15-AB2733))),-1E+030)</f>
        <v>-0.467570695273984</v>
      </c>
      <c r="AE2733" s="55" t="n">
        <f aca="false">IF(AC2733,IF(01_因子設定!$B$13="最大化",X2733,IF(01_因子設定!$B$13="最小化",-X2733,-ABS(X2733-01_因子設定!$B$16))),-1E+030)</f>
        <v>47.4625274122807</v>
      </c>
      <c r="AF2733" s="55" t="n">
        <f aca="false">AD2733+ROW()*0.000000001</f>
        <v>-0.467567962273984</v>
      </c>
      <c r="AG2733" s="55" t="n">
        <f aca="false">AE2733+ROW()*0.000000001</f>
        <v>47.4625301452807</v>
      </c>
    </row>
    <row r="2734" customFormat="false" ht="15" hidden="false" customHeight="false" outlineLevel="0" collapsed="false">
      <c r="A2734" s="0" t="n">
        <v>3</v>
      </c>
      <c r="B2734" s="0" t="n">
        <v>6</v>
      </c>
      <c r="C2734" s="0" t="n">
        <v>6</v>
      </c>
      <c r="D2734" s="0" t="n">
        <v>2</v>
      </c>
      <c r="E2734" s="0" t="n">
        <f aca="false">-1+A2734*0.25</f>
        <v>-0.25</v>
      </c>
      <c r="F2734" s="0" t="n">
        <f aca="false">-1+B2734*0.25</f>
        <v>0.5</v>
      </c>
      <c r="G2734" s="0" t="n">
        <f aca="false">-1+C2734*0.25</f>
        <v>0.5</v>
      </c>
      <c r="H2734" s="0" t="n">
        <f aca="false">-1+D2734*0.25</f>
        <v>-0.5</v>
      </c>
      <c r="I2734" s="0" t="n">
        <f aca="false">1</f>
        <v>1</v>
      </c>
      <c r="J2734" s="0" t="n">
        <f aca="false">E2734</f>
        <v>-0.25</v>
      </c>
      <c r="K2734" s="0" t="n">
        <f aca="false">F2734</f>
        <v>0.5</v>
      </c>
      <c r="L2734" s="0" t="n">
        <f aca="false">G2734</f>
        <v>0.5</v>
      </c>
      <c r="M2734" s="0" t="n">
        <f aca="false">H2734</f>
        <v>-0.5</v>
      </c>
      <c r="N2734" s="0" t="n">
        <f aca="false">E2734*F2734</f>
        <v>-0.125</v>
      </c>
      <c r="O2734" s="0" t="n">
        <f aca="false">E2734*G2734</f>
        <v>-0.125</v>
      </c>
      <c r="P2734" s="0" t="n">
        <f aca="false">E2734*H2734</f>
        <v>0.125</v>
      </c>
      <c r="Q2734" s="0" t="n">
        <f aca="false">F2734*G2734</f>
        <v>0.25</v>
      </c>
      <c r="R2734" s="0" t="n">
        <f aca="false">F2734*H2734</f>
        <v>-0.25</v>
      </c>
      <c r="S2734" s="0" t="n">
        <f aca="false">G2734*H2734</f>
        <v>-0.25</v>
      </c>
      <c r="T2734" s="0" t="n">
        <f aca="false">E2734*E2734</f>
        <v>0.0625</v>
      </c>
      <c r="U2734" s="0" t="n">
        <f aca="false">F2734*F2734</f>
        <v>0.25</v>
      </c>
      <c r="V2734" s="0" t="n">
        <f aca="false">G2734*G2734</f>
        <v>0.25</v>
      </c>
      <c r="W2734" s="0" t="n">
        <f aca="false">H2734*H2734</f>
        <v>0.25</v>
      </c>
      <c r="X2734" s="0" t="n">
        <f aca="false">SUMPRODUCT(I2734:W2734,_XtX!$B$96:$P$96)</f>
        <v>47.6849963450292</v>
      </c>
      <c r="Y2734" s="0" t="n">
        <f aca="false">SUMPRODUCT(MMULT(I2734:W2734,_XtX!$B$78:$P$92),I2734:W2734)</f>
        <v>0.133937545687135</v>
      </c>
      <c r="Z2734" s="0" t="n">
        <f aca="false">04_回帰ANOVA!$K$19*04_回帰ANOVA!$K$14*SQRT(1+Y2734)</f>
        <v>1.38801116780825</v>
      </c>
      <c r="AA2734" s="0" t="n">
        <f aca="false">X2734-Z2734</f>
        <v>46.2969851772209</v>
      </c>
      <c r="AB2734" s="0" t="n">
        <f aca="false">X2734+Z2734</f>
        <v>49.0730075128374</v>
      </c>
      <c r="AC2734" s="54" t="b">
        <f aca="false">AND(E2734&gt;=01_因子設定!$L$5-0.000000001,E2734&lt;=01_因子設定!$M$5+0.000000001,F2734&gt;=01_因子設定!$L$6-0.000000001,F2734&lt;=01_因子設定!$M$6+0.000000001,G2734&gt;=01_因子設定!$L$7-0.000000001,G2734&lt;=01_因子設定!$M$7+0.000000001,H2734&gt;=01_因子設定!$L$8-0.000000001,H2734&lt;=01_因子設定!$M$8+0.000000001,IF(01_因子設定!$B$20="Box-Behnken",E2734^2+F2734^2+G2734^2+H2734^2&lt;=2+0.000000001,TRUE()))</f>
        <v>1</v>
      </c>
      <c r="AD2734" s="55" t="n">
        <f aca="false">IF(AC2734,IF(01_因子設定!$B$13="最大化",AA2734-01_因子設定!$B$14,IF(01_因子設定!$B$13="最小化",01_因子設定!$B$15-AB2734,MIN(AA2734-01_因子設定!$B$14,01_因子設定!$B$15-AB2734))),-1E+030)</f>
        <v>-0.20301482277906</v>
      </c>
      <c r="AE2734" s="55" t="n">
        <f aca="false">IF(AC2734,IF(01_因子設定!$B$13="最大化",X2734,IF(01_因子設定!$B$13="最小化",-X2734,-ABS(X2734-01_因子設定!$B$16))),-1E+030)</f>
        <v>47.6849963450292</v>
      </c>
      <c r="AF2734" s="55" t="n">
        <f aca="false">AD2734+ROW()*0.000000001</f>
        <v>-0.20301208877906</v>
      </c>
      <c r="AG2734" s="55" t="n">
        <f aca="false">AE2734+ROW()*0.000000001</f>
        <v>47.6849990790292</v>
      </c>
    </row>
    <row r="2735" customFormat="false" ht="15" hidden="false" customHeight="false" outlineLevel="0" collapsed="false">
      <c r="A2735" s="0" t="n">
        <v>3</v>
      </c>
      <c r="B2735" s="0" t="n">
        <v>6</v>
      </c>
      <c r="C2735" s="0" t="n">
        <v>6</v>
      </c>
      <c r="D2735" s="0" t="n">
        <v>3</v>
      </c>
      <c r="E2735" s="0" t="n">
        <f aca="false">-1+A2735*0.25</f>
        <v>-0.25</v>
      </c>
      <c r="F2735" s="0" t="n">
        <f aca="false">-1+B2735*0.25</f>
        <v>0.5</v>
      </c>
      <c r="G2735" s="0" t="n">
        <f aca="false">-1+C2735*0.25</f>
        <v>0.5</v>
      </c>
      <c r="H2735" s="0" t="n">
        <f aca="false">-1+D2735*0.25</f>
        <v>-0.25</v>
      </c>
      <c r="I2735" s="0" t="n">
        <f aca="false">1</f>
        <v>1</v>
      </c>
      <c r="J2735" s="0" t="n">
        <f aca="false">E2735</f>
        <v>-0.25</v>
      </c>
      <c r="K2735" s="0" t="n">
        <f aca="false">F2735</f>
        <v>0.5</v>
      </c>
      <c r="L2735" s="0" t="n">
        <f aca="false">G2735</f>
        <v>0.5</v>
      </c>
      <c r="M2735" s="0" t="n">
        <f aca="false">H2735</f>
        <v>-0.25</v>
      </c>
      <c r="N2735" s="0" t="n">
        <f aca="false">E2735*F2735</f>
        <v>-0.125</v>
      </c>
      <c r="O2735" s="0" t="n">
        <f aca="false">E2735*G2735</f>
        <v>-0.125</v>
      </c>
      <c r="P2735" s="0" t="n">
        <f aca="false">E2735*H2735</f>
        <v>0.0625</v>
      </c>
      <c r="Q2735" s="0" t="n">
        <f aca="false">F2735*G2735</f>
        <v>0.25</v>
      </c>
      <c r="R2735" s="0" t="n">
        <f aca="false">F2735*H2735</f>
        <v>-0.125</v>
      </c>
      <c r="S2735" s="0" t="n">
        <f aca="false">G2735*H2735</f>
        <v>-0.125</v>
      </c>
      <c r="T2735" s="0" t="n">
        <f aca="false">E2735*E2735</f>
        <v>0.0625</v>
      </c>
      <c r="U2735" s="0" t="n">
        <f aca="false">F2735*F2735</f>
        <v>0.25</v>
      </c>
      <c r="V2735" s="0" t="n">
        <f aca="false">G2735*G2735</f>
        <v>0.25</v>
      </c>
      <c r="W2735" s="0" t="n">
        <f aca="false">H2735*H2735</f>
        <v>0.0625</v>
      </c>
      <c r="X2735" s="0" t="n">
        <f aca="false">SUMPRODUCT(I2735:W2735,_XtX!$B$96:$P$96)</f>
        <v>47.8596582602339</v>
      </c>
      <c r="Y2735" s="0" t="n">
        <f aca="false">SUMPRODUCT(MMULT(I2735:W2735,_XtX!$B$78:$P$92),I2735:W2735)</f>
        <v>0.128236647934942</v>
      </c>
      <c r="Z2735" s="0" t="n">
        <f aca="false">04_回帰ANOVA!$K$19*04_回帰ANOVA!$K$14*SQRT(1+Y2735)</f>
        <v>1.38451764188989</v>
      </c>
      <c r="AA2735" s="0" t="n">
        <f aca="false">X2735-Z2735</f>
        <v>46.475140618344</v>
      </c>
      <c r="AB2735" s="0" t="n">
        <f aca="false">X2735+Z2735</f>
        <v>49.2441759021238</v>
      </c>
      <c r="AC2735" s="54" t="b">
        <f aca="false">AND(E2735&gt;=01_因子設定!$L$5-0.000000001,E2735&lt;=01_因子設定!$M$5+0.000000001,F2735&gt;=01_因子設定!$L$6-0.000000001,F2735&lt;=01_因子設定!$M$6+0.000000001,G2735&gt;=01_因子設定!$L$7-0.000000001,G2735&lt;=01_因子設定!$M$7+0.000000001,H2735&gt;=01_因子設定!$L$8-0.000000001,H2735&lt;=01_因子設定!$M$8+0.000000001,IF(01_因子設定!$B$20="Box-Behnken",E2735^2+F2735^2+G2735^2+H2735^2&lt;=2+0.000000001,TRUE()))</f>
        <v>1</v>
      </c>
      <c r="AD2735" s="55" t="n">
        <f aca="false">IF(AC2735,IF(01_因子設定!$B$13="最大化",AA2735-01_因子設定!$B$14,IF(01_因子設定!$B$13="最小化",01_因子設定!$B$15-AB2735,MIN(AA2735-01_因子設定!$B$14,01_因子設定!$B$15-AB2735))),-1E+030)</f>
        <v>-0.0248593816560216</v>
      </c>
      <c r="AE2735" s="55" t="n">
        <f aca="false">IF(AC2735,IF(01_因子設定!$B$13="最大化",X2735,IF(01_因子設定!$B$13="最小化",-X2735,-ABS(X2735-01_因子設定!$B$16))),-1E+030)</f>
        <v>47.8596582602339</v>
      </c>
      <c r="AF2735" s="55" t="n">
        <f aca="false">AD2735+ROW()*0.000000001</f>
        <v>-0.0248566466560216</v>
      </c>
      <c r="AG2735" s="55" t="n">
        <f aca="false">AE2735+ROW()*0.000000001</f>
        <v>47.8596609952339</v>
      </c>
    </row>
    <row r="2736" customFormat="false" ht="15" hidden="false" customHeight="false" outlineLevel="0" collapsed="false">
      <c r="A2736" s="0" t="n">
        <v>3</v>
      </c>
      <c r="B2736" s="0" t="n">
        <v>6</v>
      </c>
      <c r="C2736" s="0" t="n">
        <v>6</v>
      </c>
      <c r="D2736" s="0" t="n">
        <v>4</v>
      </c>
      <c r="E2736" s="0" t="n">
        <f aca="false">-1+A2736*0.25</f>
        <v>-0.25</v>
      </c>
      <c r="F2736" s="0" t="n">
        <f aca="false">-1+B2736*0.25</f>
        <v>0.5</v>
      </c>
      <c r="G2736" s="0" t="n">
        <f aca="false">-1+C2736*0.25</f>
        <v>0.5</v>
      </c>
      <c r="H2736" s="0" t="n">
        <f aca="false">-1+D2736*0.25</f>
        <v>0</v>
      </c>
      <c r="I2736" s="0" t="n">
        <f aca="false">1</f>
        <v>1</v>
      </c>
      <c r="J2736" s="0" t="n">
        <f aca="false">E2736</f>
        <v>-0.25</v>
      </c>
      <c r="K2736" s="0" t="n">
        <f aca="false">F2736</f>
        <v>0.5</v>
      </c>
      <c r="L2736" s="0" t="n">
        <f aca="false">G2736</f>
        <v>0.5</v>
      </c>
      <c r="M2736" s="0" t="n">
        <f aca="false">H2736</f>
        <v>0</v>
      </c>
      <c r="N2736" s="0" t="n">
        <f aca="false">E2736*F2736</f>
        <v>-0.125</v>
      </c>
      <c r="O2736" s="0" t="n">
        <f aca="false">E2736*G2736</f>
        <v>-0.125</v>
      </c>
      <c r="P2736" s="0" t="n">
        <f aca="false">E2736*H2736</f>
        <v>-0</v>
      </c>
      <c r="Q2736" s="0" t="n">
        <f aca="false">F2736*G2736</f>
        <v>0.25</v>
      </c>
      <c r="R2736" s="0" t="n">
        <f aca="false">F2736*H2736</f>
        <v>0</v>
      </c>
      <c r="S2736" s="0" t="n">
        <f aca="false">G2736*H2736</f>
        <v>0</v>
      </c>
      <c r="T2736" s="0" t="n">
        <f aca="false">E2736*E2736</f>
        <v>0.0625</v>
      </c>
      <c r="U2736" s="0" t="n">
        <f aca="false">F2736*F2736</f>
        <v>0.25</v>
      </c>
      <c r="V2736" s="0" t="n">
        <f aca="false">G2736*G2736</f>
        <v>0.25</v>
      </c>
      <c r="W2736" s="0" t="n">
        <f aca="false">H2736*H2736</f>
        <v>0</v>
      </c>
      <c r="X2736" s="0" t="n">
        <f aca="false">SUMPRODUCT(I2736:W2736,_XtX!$B$96:$P$96)</f>
        <v>47.9865131578947</v>
      </c>
      <c r="Y2736" s="0" t="n">
        <f aca="false">SUMPRODUCT(MMULT(I2736:W2736,_XtX!$B$78:$P$92),I2736:W2736)</f>
        <v>0.132367050438597</v>
      </c>
      <c r="Z2736" s="0" t="n">
        <f aca="false">04_回帰ANOVA!$K$19*04_回帰ANOVA!$K$14*SQRT(1+Y2736)</f>
        <v>1.38704964208329</v>
      </c>
      <c r="AA2736" s="0" t="n">
        <f aca="false">X2736-Z2736</f>
        <v>46.5994635158114</v>
      </c>
      <c r="AB2736" s="0" t="n">
        <f aca="false">X2736+Z2736</f>
        <v>49.373562799978</v>
      </c>
      <c r="AC2736" s="54" t="b">
        <f aca="false">AND(E2736&gt;=01_因子設定!$L$5-0.000000001,E2736&lt;=01_因子設定!$M$5+0.000000001,F2736&gt;=01_因子設定!$L$6-0.000000001,F2736&lt;=01_因子設定!$M$6+0.000000001,G2736&gt;=01_因子設定!$L$7-0.000000001,G2736&lt;=01_因子設定!$M$7+0.000000001,H2736&gt;=01_因子設定!$L$8-0.000000001,H2736&lt;=01_因子設定!$M$8+0.000000001,IF(01_因子設定!$B$20="Box-Behnken",E2736^2+F2736^2+G2736^2+H2736^2&lt;=2+0.000000001,TRUE()))</f>
        <v>1</v>
      </c>
      <c r="AD2736" s="55" t="n">
        <f aca="false">IF(AC2736,IF(01_因子設定!$B$13="最大化",AA2736-01_因子設定!$B$14,IF(01_因子設定!$B$13="最小化",01_因子設定!$B$15-AB2736,MIN(AA2736-01_因子設定!$B$14,01_因子設定!$B$15-AB2736))),-1E+030)</f>
        <v>0.0994635158113866</v>
      </c>
      <c r="AE2736" s="55" t="n">
        <f aca="false">IF(AC2736,IF(01_因子設定!$B$13="最大化",X2736,IF(01_因子設定!$B$13="最小化",-X2736,-ABS(X2736-01_因子設定!$B$16))),-1E+030)</f>
        <v>47.9865131578947</v>
      </c>
      <c r="AF2736" s="55" t="n">
        <f aca="false">AD2736+ROW()*0.000000001</f>
        <v>0.0994662518113866</v>
      </c>
      <c r="AG2736" s="55" t="n">
        <f aca="false">AE2736+ROW()*0.000000001</f>
        <v>47.9865158938947</v>
      </c>
    </row>
    <row r="2737" customFormat="false" ht="15" hidden="false" customHeight="false" outlineLevel="0" collapsed="false">
      <c r="A2737" s="0" t="n">
        <v>3</v>
      </c>
      <c r="B2737" s="0" t="n">
        <v>6</v>
      </c>
      <c r="C2737" s="0" t="n">
        <v>6</v>
      </c>
      <c r="D2737" s="0" t="n">
        <v>5</v>
      </c>
      <c r="E2737" s="0" t="n">
        <f aca="false">-1+A2737*0.25</f>
        <v>-0.25</v>
      </c>
      <c r="F2737" s="0" t="n">
        <f aca="false">-1+B2737*0.25</f>
        <v>0.5</v>
      </c>
      <c r="G2737" s="0" t="n">
        <f aca="false">-1+C2737*0.25</f>
        <v>0.5</v>
      </c>
      <c r="H2737" s="0" t="n">
        <f aca="false">-1+D2737*0.25</f>
        <v>0.25</v>
      </c>
      <c r="I2737" s="0" t="n">
        <f aca="false">1</f>
        <v>1</v>
      </c>
      <c r="J2737" s="0" t="n">
        <f aca="false">E2737</f>
        <v>-0.25</v>
      </c>
      <c r="K2737" s="0" t="n">
        <f aca="false">F2737</f>
        <v>0.5</v>
      </c>
      <c r="L2737" s="0" t="n">
        <f aca="false">G2737</f>
        <v>0.5</v>
      </c>
      <c r="M2737" s="0" t="n">
        <f aca="false">H2737</f>
        <v>0.25</v>
      </c>
      <c r="N2737" s="0" t="n">
        <f aca="false">E2737*F2737</f>
        <v>-0.125</v>
      </c>
      <c r="O2737" s="0" t="n">
        <f aca="false">E2737*G2737</f>
        <v>-0.125</v>
      </c>
      <c r="P2737" s="0" t="n">
        <f aca="false">E2737*H2737</f>
        <v>-0.0625</v>
      </c>
      <c r="Q2737" s="0" t="n">
        <f aca="false">F2737*G2737</f>
        <v>0.25</v>
      </c>
      <c r="R2737" s="0" t="n">
        <f aca="false">F2737*H2737</f>
        <v>0.125</v>
      </c>
      <c r="S2737" s="0" t="n">
        <f aca="false">G2737*H2737</f>
        <v>0.125</v>
      </c>
      <c r="T2737" s="0" t="n">
        <f aca="false">E2737*E2737</f>
        <v>0.0625</v>
      </c>
      <c r="U2737" s="0" t="n">
        <f aca="false">F2737*F2737</f>
        <v>0.25</v>
      </c>
      <c r="V2737" s="0" t="n">
        <f aca="false">G2737*G2737</f>
        <v>0.25</v>
      </c>
      <c r="W2737" s="0" t="n">
        <f aca="false">H2737*H2737</f>
        <v>0.0625</v>
      </c>
      <c r="X2737" s="0" t="n">
        <f aca="false">SUMPRODUCT(I2737:W2737,_XtX!$B$96:$P$96)</f>
        <v>48.0655610380116</v>
      </c>
      <c r="Y2737" s="0" t="n">
        <f aca="false">SUMPRODUCT(MMULT(I2737:W2737,_XtX!$B$78:$P$92),I2737:W2737)</f>
        <v>0.128236647934942</v>
      </c>
      <c r="Z2737" s="0" t="n">
        <f aca="false">04_回帰ANOVA!$K$19*04_回帰ANOVA!$K$14*SQRT(1+Y2737)</f>
        <v>1.38451764188989</v>
      </c>
      <c r="AA2737" s="0" t="n">
        <f aca="false">X2737-Z2737</f>
        <v>46.6810433961218</v>
      </c>
      <c r="AB2737" s="0" t="n">
        <f aca="false">X2737+Z2737</f>
        <v>49.4500786799015</v>
      </c>
      <c r="AC2737" s="54" t="b">
        <f aca="false">AND(E2737&gt;=01_因子設定!$L$5-0.000000001,E2737&lt;=01_因子設定!$M$5+0.000000001,F2737&gt;=01_因子設定!$L$6-0.000000001,F2737&lt;=01_因子設定!$M$6+0.000000001,G2737&gt;=01_因子設定!$L$7-0.000000001,G2737&lt;=01_因子設定!$M$7+0.000000001,H2737&gt;=01_因子設定!$L$8-0.000000001,H2737&lt;=01_因子設定!$M$8+0.000000001,IF(01_因子設定!$B$20="Box-Behnken",E2737^2+F2737^2+G2737^2+H2737^2&lt;=2+0.000000001,TRUE()))</f>
        <v>1</v>
      </c>
      <c r="AD2737" s="55" t="n">
        <f aca="false">IF(AC2737,IF(01_因子設定!$B$13="最大化",AA2737-01_因子設定!$B$14,IF(01_因子設定!$B$13="最小化",01_因子設定!$B$15-AB2737,MIN(AA2737-01_因子設定!$B$14,01_因子設定!$B$15-AB2737))),-1E+030)</f>
        <v>0.181043396121751</v>
      </c>
      <c r="AE2737" s="55" t="n">
        <f aca="false">IF(AC2737,IF(01_因子設定!$B$13="最大化",X2737,IF(01_因子設定!$B$13="最小化",-X2737,-ABS(X2737-01_因子設定!$B$16))),-1E+030)</f>
        <v>48.0655610380116</v>
      </c>
      <c r="AF2737" s="55" t="n">
        <f aca="false">AD2737+ROW()*0.000000001</f>
        <v>0.181046133121751</v>
      </c>
      <c r="AG2737" s="55" t="n">
        <f aca="false">AE2737+ROW()*0.000000001</f>
        <v>48.0655637750116</v>
      </c>
    </row>
    <row r="2738" customFormat="false" ht="15" hidden="false" customHeight="false" outlineLevel="0" collapsed="false">
      <c r="A2738" s="0" t="n">
        <v>3</v>
      </c>
      <c r="B2738" s="0" t="n">
        <v>6</v>
      </c>
      <c r="C2738" s="0" t="n">
        <v>6</v>
      </c>
      <c r="D2738" s="0" t="n">
        <v>6</v>
      </c>
      <c r="E2738" s="0" t="n">
        <f aca="false">-1+A2738*0.25</f>
        <v>-0.25</v>
      </c>
      <c r="F2738" s="0" t="n">
        <f aca="false">-1+B2738*0.25</f>
        <v>0.5</v>
      </c>
      <c r="G2738" s="0" t="n">
        <f aca="false">-1+C2738*0.25</f>
        <v>0.5</v>
      </c>
      <c r="H2738" s="0" t="n">
        <f aca="false">-1+D2738*0.25</f>
        <v>0.5</v>
      </c>
      <c r="I2738" s="0" t="n">
        <f aca="false">1</f>
        <v>1</v>
      </c>
      <c r="J2738" s="0" t="n">
        <f aca="false">E2738</f>
        <v>-0.25</v>
      </c>
      <c r="K2738" s="0" t="n">
        <f aca="false">F2738</f>
        <v>0.5</v>
      </c>
      <c r="L2738" s="0" t="n">
        <f aca="false">G2738</f>
        <v>0.5</v>
      </c>
      <c r="M2738" s="0" t="n">
        <f aca="false">H2738</f>
        <v>0.5</v>
      </c>
      <c r="N2738" s="0" t="n">
        <f aca="false">E2738*F2738</f>
        <v>-0.125</v>
      </c>
      <c r="O2738" s="0" t="n">
        <f aca="false">E2738*G2738</f>
        <v>-0.125</v>
      </c>
      <c r="P2738" s="0" t="n">
        <f aca="false">E2738*H2738</f>
        <v>-0.125</v>
      </c>
      <c r="Q2738" s="0" t="n">
        <f aca="false">F2738*G2738</f>
        <v>0.25</v>
      </c>
      <c r="R2738" s="0" t="n">
        <f aca="false">F2738*H2738</f>
        <v>0.25</v>
      </c>
      <c r="S2738" s="0" t="n">
        <f aca="false">G2738*H2738</f>
        <v>0.25</v>
      </c>
      <c r="T2738" s="0" t="n">
        <f aca="false">E2738*E2738</f>
        <v>0.0625</v>
      </c>
      <c r="U2738" s="0" t="n">
        <f aca="false">F2738*F2738</f>
        <v>0.25</v>
      </c>
      <c r="V2738" s="0" t="n">
        <f aca="false">G2738*G2738</f>
        <v>0.25</v>
      </c>
      <c r="W2738" s="0" t="n">
        <f aca="false">H2738*H2738</f>
        <v>0.25</v>
      </c>
      <c r="X2738" s="0" t="n">
        <f aca="false">SUMPRODUCT(I2738:W2738,_XtX!$B$96:$P$96)</f>
        <v>48.0968019005847</v>
      </c>
      <c r="Y2738" s="0" t="n">
        <f aca="false">SUMPRODUCT(MMULT(I2738:W2738,_XtX!$B$78:$P$92),I2738:W2738)</f>
        <v>0.133937545687135</v>
      </c>
      <c r="Z2738" s="0" t="n">
        <f aca="false">04_回帰ANOVA!$K$19*04_回帰ANOVA!$K$14*SQRT(1+Y2738)</f>
        <v>1.38801116780825</v>
      </c>
      <c r="AA2738" s="0" t="n">
        <f aca="false">X2738-Z2738</f>
        <v>46.7087907327765</v>
      </c>
      <c r="AB2738" s="0" t="n">
        <f aca="false">X2738+Z2738</f>
        <v>49.484813068393</v>
      </c>
      <c r="AC2738" s="54" t="b">
        <f aca="false">AND(E2738&gt;=01_因子設定!$L$5-0.000000001,E2738&lt;=01_因子設定!$M$5+0.000000001,F2738&gt;=01_因子設定!$L$6-0.000000001,F2738&lt;=01_因子設定!$M$6+0.000000001,G2738&gt;=01_因子設定!$L$7-0.000000001,G2738&lt;=01_因子設定!$M$7+0.000000001,H2738&gt;=01_因子設定!$L$8-0.000000001,H2738&lt;=01_因子設定!$M$8+0.000000001,IF(01_因子設定!$B$20="Box-Behnken",E2738^2+F2738^2+G2738^2+H2738^2&lt;=2+0.000000001,TRUE()))</f>
        <v>1</v>
      </c>
      <c r="AD2738" s="55" t="n">
        <f aca="false">IF(AC2738,IF(01_因子設定!$B$13="最大化",AA2738-01_因子設定!$B$14,IF(01_因子設定!$B$13="最小化",01_因子設定!$B$15-AB2738,MIN(AA2738-01_因子設定!$B$14,01_因子設定!$B$15-AB2738))),-1E+030)</f>
        <v>0.208790732776492</v>
      </c>
      <c r="AE2738" s="55" t="n">
        <f aca="false">IF(AC2738,IF(01_因子設定!$B$13="最大化",X2738,IF(01_因子設定!$B$13="最小化",-X2738,-ABS(X2738-01_因子設定!$B$16))),-1E+030)</f>
        <v>48.0968019005847</v>
      </c>
      <c r="AF2738" s="55" t="n">
        <f aca="false">AD2738+ROW()*0.000000001</f>
        <v>0.208793470776492</v>
      </c>
      <c r="AG2738" s="55" t="n">
        <f aca="false">AE2738+ROW()*0.000000001</f>
        <v>48.0968046385847</v>
      </c>
    </row>
    <row r="2739" customFormat="false" ht="15" hidden="false" customHeight="false" outlineLevel="0" collapsed="false">
      <c r="A2739" s="0" t="n">
        <v>3</v>
      </c>
      <c r="B2739" s="0" t="n">
        <v>6</v>
      </c>
      <c r="C2739" s="0" t="n">
        <v>6</v>
      </c>
      <c r="D2739" s="0" t="n">
        <v>7</v>
      </c>
      <c r="E2739" s="0" t="n">
        <f aca="false">-1+A2739*0.25</f>
        <v>-0.25</v>
      </c>
      <c r="F2739" s="0" t="n">
        <f aca="false">-1+B2739*0.25</f>
        <v>0.5</v>
      </c>
      <c r="G2739" s="0" t="n">
        <f aca="false">-1+C2739*0.25</f>
        <v>0.5</v>
      </c>
      <c r="H2739" s="0" t="n">
        <f aca="false">-1+D2739*0.25</f>
        <v>0.75</v>
      </c>
      <c r="I2739" s="0" t="n">
        <f aca="false">1</f>
        <v>1</v>
      </c>
      <c r="J2739" s="0" t="n">
        <f aca="false">E2739</f>
        <v>-0.25</v>
      </c>
      <c r="K2739" s="0" t="n">
        <f aca="false">F2739</f>
        <v>0.5</v>
      </c>
      <c r="L2739" s="0" t="n">
        <f aca="false">G2739</f>
        <v>0.5</v>
      </c>
      <c r="M2739" s="0" t="n">
        <f aca="false">H2739</f>
        <v>0.75</v>
      </c>
      <c r="N2739" s="0" t="n">
        <f aca="false">E2739*F2739</f>
        <v>-0.125</v>
      </c>
      <c r="O2739" s="0" t="n">
        <f aca="false">E2739*G2739</f>
        <v>-0.125</v>
      </c>
      <c r="P2739" s="0" t="n">
        <f aca="false">E2739*H2739</f>
        <v>-0.1875</v>
      </c>
      <c r="Q2739" s="0" t="n">
        <f aca="false">F2739*G2739</f>
        <v>0.25</v>
      </c>
      <c r="R2739" s="0" t="n">
        <f aca="false">F2739*H2739</f>
        <v>0.375</v>
      </c>
      <c r="S2739" s="0" t="n">
        <f aca="false">G2739*H2739</f>
        <v>0.375</v>
      </c>
      <c r="T2739" s="0" t="n">
        <f aca="false">E2739*E2739</f>
        <v>0.0625</v>
      </c>
      <c r="U2739" s="0" t="n">
        <f aca="false">F2739*F2739</f>
        <v>0.25</v>
      </c>
      <c r="V2739" s="0" t="n">
        <f aca="false">G2739*G2739</f>
        <v>0.25</v>
      </c>
      <c r="W2739" s="0" t="n">
        <f aca="false">H2739*H2739</f>
        <v>0.5625</v>
      </c>
      <c r="X2739" s="0" t="n">
        <f aca="false">SUMPRODUCT(I2739:W2739,_XtX!$B$96:$P$96)</f>
        <v>48.080235745614</v>
      </c>
      <c r="Y2739" s="0" t="n">
        <f aca="false">SUMPRODUCT(MMULT(I2739:W2739,_XtX!$B$78:$P$92),I2739:W2739)</f>
        <v>0.203746059484649</v>
      </c>
      <c r="Z2739" s="0" t="n">
        <f aca="false">04_回帰ANOVA!$K$19*04_回帰ANOVA!$K$14*SQRT(1+Y2739)</f>
        <v>1.43009810755465</v>
      </c>
      <c r="AA2739" s="0" t="n">
        <f aca="false">X2739-Z2739</f>
        <v>46.6501376380594</v>
      </c>
      <c r="AB2739" s="0" t="n">
        <f aca="false">X2739+Z2739</f>
        <v>49.5103338531686</v>
      </c>
      <c r="AC2739" s="54" t="b">
        <f aca="false">AND(E2739&gt;=01_因子設定!$L$5-0.000000001,E2739&lt;=01_因子設定!$M$5+0.000000001,F2739&gt;=01_因子設定!$L$6-0.000000001,F2739&lt;=01_因子設定!$M$6+0.000000001,G2739&gt;=01_因子設定!$L$7-0.000000001,G2739&lt;=01_因子設定!$M$7+0.000000001,H2739&gt;=01_因子設定!$L$8-0.000000001,H2739&lt;=01_因子設定!$M$8+0.000000001,IF(01_因子設定!$B$20="Box-Behnken",E2739^2+F2739^2+G2739^2+H2739^2&lt;=2+0.000000001,TRUE()))</f>
        <v>1</v>
      </c>
      <c r="AD2739" s="55" t="n">
        <f aca="false">IF(AC2739,IF(01_因子設定!$B$13="最大化",AA2739-01_因子設定!$B$14,IF(01_因子設定!$B$13="最小化",01_因子設定!$B$15-AB2739,MIN(AA2739-01_因子設定!$B$14,01_因子設定!$B$15-AB2739))),-1E+030)</f>
        <v>0.150137638059348</v>
      </c>
      <c r="AE2739" s="55" t="n">
        <f aca="false">IF(AC2739,IF(01_因子設定!$B$13="最大化",X2739,IF(01_因子設定!$B$13="最小化",-X2739,-ABS(X2739-01_因子設定!$B$16))),-1E+030)</f>
        <v>48.080235745614</v>
      </c>
      <c r="AF2739" s="55" t="n">
        <f aca="false">AD2739+ROW()*0.000000001</f>
        <v>0.150140377059348</v>
      </c>
      <c r="AG2739" s="55" t="n">
        <f aca="false">AE2739+ROW()*0.000000001</f>
        <v>48.080238484614</v>
      </c>
    </row>
    <row r="2740" customFormat="false" ht="15" hidden="false" customHeight="false" outlineLevel="0" collapsed="false">
      <c r="A2740" s="0" t="n">
        <v>3</v>
      </c>
      <c r="B2740" s="0" t="n">
        <v>6</v>
      </c>
      <c r="C2740" s="0" t="n">
        <v>6</v>
      </c>
      <c r="D2740" s="0" t="n">
        <v>8</v>
      </c>
      <c r="E2740" s="0" t="n">
        <f aca="false">-1+A2740*0.25</f>
        <v>-0.25</v>
      </c>
      <c r="F2740" s="0" t="n">
        <f aca="false">-1+B2740*0.25</f>
        <v>0.5</v>
      </c>
      <c r="G2740" s="0" t="n">
        <f aca="false">-1+C2740*0.25</f>
        <v>0.5</v>
      </c>
      <c r="H2740" s="0" t="n">
        <f aca="false">-1+D2740*0.25</f>
        <v>1</v>
      </c>
      <c r="I2740" s="0" t="n">
        <f aca="false">1</f>
        <v>1</v>
      </c>
      <c r="J2740" s="0" t="n">
        <f aca="false">E2740</f>
        <v>-0.25</v>
      </c>
      <c r="K2740" s="0" t="n">
        <f aca="false">F2740</f>
        <v>0.5</v>
      </c>
      <c r="L2740" s="0" t="n">
        <f aca="false">G2740</f>
        <v>0.5</v>
      </c>
      <c r="M2740" s="0" t="n">
        <f aca="false">H2740</f>
        <v>1</v>
      </c>
      <c r="N2740" s="0" t="n">
        <f aca="false">E2740*F2740</f>
        <v>-0.125</v>
      </c>
      <c r="O2740" s="0" t="n">
        <f aca="false">E2740*G2740</f>
        <v>-0.125</v>
      </c>
      <c r="P2740" s="0" t="n">
        <f aca="false">E2740*H2740</f>
        <v>-0.25</v>
      </c>
      <c r="Q2740" s="0" t="n">
        <f aca="false">F2740*G2740</f>
        <v>0.25</v>
      </c>
      <c r="R2740" s="0" t="n">
        <f aca="false">F2740*H2740</f>
        <v>0.5</v>
      </c>
      <c r="S2740" s="0" t="n">
        <f aca="false">G2740*H2740</f>
        <v>0.5</v>
      </c>
      <c r="T2740" s="0" t="n">
        <f aca="false">E2740*E2740</f>
        <v>0.0625</v>
      </c>
      <c r="U2740" s="0" t="n">
        <f aca="false">F2740*F2740</f>
        <v>0.25</v>
      </c>
      <c r="V2740" s="0" t="n">
        <f aca="false">G2740*G2740</f>
        <v>0.25</v>
      </c>
      <c r="W2740" s="0" t="n">
        <f aca="false">H2740*H2740</f>
        <v>1</v>
      </c>
      <c r="X2740" s="0" t="n">
        <f aca="false">SUMPRODUCT(I2740:W2740,_XtX!$B$96:$P$96)</f>
        <v>48.0158625730994</v>
      </c>
      <c r="Y2740" s="0" t="n">
        <f aca="false">SUMPRODUCT(MMULT(I2740:W2740,_XtX!$B$78:$P$92),I2740:W2740)</f>
        <v>0.428122715643275</v>
      </c>
      <c r="Z2740" s="0" t="n">
        <f aca="false">04_回帰ANOVA!$K$19*04_回帰ANOVA!$K$14*SQRT(1+Y2740)</f>
        <v>1.55769044623229</v>
      </c>
      <c r="AA2740" s="0" t="n">
        <f aca="false">X2740-Z2740</f>
        <v>46.4581721268671</v>
      </c>
      <c r="AB2740" s="0" t="n">
        <f aca="false">X2740+Z2740</f>
        <v>49.5735530193317</v>
      </c>
      <c r="AC2740" s="54" t="b">
        <f aca="false">AND(E2740&gt;=01_因子設定!$L$5-0.000000001,E2740&lt;=01_因子設定!$M$5+0.000000001,F2740&gt;=01_因子設定!$L$6-0.000000001,F2740&lt;=01_因子設定!$M$6+0.000000001,G2740&gt;=01_因子設定!$L$7-0.000000001,G2740&lt;=01_因子設定!$M$7+0.000000001,H2740&gt;=01_因子設定!$L$8-0.000000001,H2740&lt;=01_因子設定!$M$8+0.000000001,IF(01_因子設定!$B$20="Box-Behnken",E2740^2+F2740^2+G2740^2+H2740^2&lt;=2+0.000000001,TRUE()))</f>
        <v>1</v>
      </c>
      <c r="AD2740" s="55" t="n">
        <f aca="false">IF(AC2740,IF(01_因子設定!$B$13="最大化",AA2740-01_因子設定!$B$14,IF(01_因子設定!$B$13="最小化",01_因子設定!$B$15-AB2740,MIN(AA2740-01_因子設定!$B$14,01_因子設定!$B$15-AB2740))),-1E+030)</f>
        <v>-0.0418278731329025</v>
      </c>
      <c r="AE2740" s="55" t="n">
        <f aca="false">IF(AC2740,IF(01_因子設定!$B$13="最大化",X2740,IF(01_因子設定!$B$13="最小化",-X2740,-ABS(X2740-01_因子設定!$B$16))),-1E+030)</f>
        <v>48.0158625730994</v>
      </c>
      <c r="AF2740" s="55" t="n">
        <f aca="false">AD2740+ROW()*0.000000001</f>
        <v>-0.0418251331329025</v>
      </c>
      <c r="AG2740" s="55" t="n">
        <f aca="false">AE2740+ROW()*0.000000001</f>
        <v>48.0158653130994</v>
      </c>
    </row>
    <row r="2741" customFormat="false" ht="15" hidden="false" customHeight="false" outlineLevel="0" collapsed="false">
      <c r="A2741" s="0" t="n">
        <v>3</v>
      </c>
      <c r="B2741" s="0" t="n">
        <v>6</v>
      </c>
      <c r="C2741" s="0" t="n">
        <v>7</v>
      </c>
      <c r="D2741" s="0" t="n">
        <v>0</v>
      </c>
      <c r="E2741" s="0" t="n">
        <f aca="false">-1+A2741*0.25</f>
        <v>-0.25</v>
      </c>
      <c r="F2741" s="0" t="n">
        <f aca="false">-1+B2741*0.25</f>
        <v>0.5</v>
      </c>
      <c r="G2741" s="0" t="n">
        <f aca="false">-1+C2741*0.25</f>
        <v>0.75</v>
      </c>
      <c r="H2741" s="0" t="n">
        <f aca="false">-1+D2741*0.25</f>
        <v>-1</v>
      </c>
      <c r="I2741" s="0" t="n">
        <f aca="false">1</f>
        <v>1</v>
      </c>
      <c r="J2741" s="0" t="n">
        <f aca="false">E2741</f>
        <v>-0.25</v>
      </c>
      <c r="K2741" s="0" t="n">
        <f aca="false">F2741</f>
        <v>0.5</v>
      </c>
      <c r="L2741" s="0" t="n">
        <f aca="false">G2741</f>
        <v>0.75</v>
      </c>
      <c r="M2741" s="0" t="n">
        <f aca="false">H2741</f>
        <v>-1</v>
      </c>
      <c r="N2741" s="0" t="n">
        <f aca="false">E2741*F2741</f>
        <v>-0.125</v>
      </c>
      <c r="O2741" s="0" t="n">
        <f aca="false">E2741*G2741</f>
        <v>-0.1875</v>
      </c>
      <c r="P2741" s="0" t="n">
        <f aca="false">E2741*H2741</f>
        <v>0.25</v>
      </c>
      <c r="Q2741" s="0" t="n">
        <f aca="false">F2741*G2741</f>
        <v>0.375</v>
      </c>
      <c r="R2741" s="0" t="n">
        <f aca="false">F2741*H2741</f>
        <v>-0.5</v>
      </c>
      <c r="S2741" s="0" t="n">
        <f aca="false">G2741*H2741</f>
        <v>-0.75</v>
      </c>
      <c r="T2741" s="0" t="n">
        <f aca="false">E2741*E2741</f>
        <v>0.0625</v>
      </c>
      <c r="U2741" s="0" t="n">
        <f aca="false">F2741*F2741</f>
        <v>0.25</v>
      </c>
      <c r="V2741" s="0" t="n">
        <f aca="false">G2741*G2741</f>
        <v>0.5625</v>
      </c>
      <c r="W2741" s="0" t="n">
        <f aca="false">H2741*H2741</f>
        <v>1</v>
      </c>
      <c r="X2741" s="0" t="n">
        <f aca="false">SUMPRODUCT(I2741:W2741,_XtX!$B$96:$P$96)</f>
        <v>47.232629751462</v>
      </c>
      <c r="Y2741" s="0" t="n">
        <f aca="false">SUMPRODUCT(MMULT(I2741:W2741,_XtX!$B$78:$P$92),I2741:W2741)</f>
        <v>0.459125719572369</v>
      </c>
      <c r="Z2741" s="0" t="n">
        <f aca="false">04_回帰ANOVA!$K$19*04_回帰ANOVA!$K$14*SQRT(1+Y2741)</f>
        <v>1.57450755575573</v>
      </c>
      <c r="AA2741" s="0" t="n">
        <f aca="false">X2741-Z2741</f>
        <v>45.6581221957062</v>
      </c>
      <c r="AB2741" s="0" t="n">
        <f aca="false">X2741+Z2741</f>
        <v>48.8071373072177</v>
      </c>
      <c r="AC2741" s="54" t="b">
        <f aca="false">AND(E2741&gt;=01_因子設定!$L$5-0.000000001,E2741&lt;=01_因子設定!$M$5+0.000000001,F2741&gt;=01_因子設定!$L$6-0.000000001,F2741&lt;=01_因子設定!$M$6+0.000000001,G2741&gt;=01_因子設定!$L$7-0.000000001,G2741&lt;=01_因子設定!$M$7+0.000000001,H2741&gt;=01_因子設定!$L$8-0.000000001,H2741&lt;=01_因子設定!$M$8+0.000000001,IF(01_因子設定!$B$20="Box-Behnken",E2741^2+F2741^2+G2741^2+H2741^2&lt;=2+0.000000001,TRUE()))</f>
        <v>1</v>
      </c>
      <c r="AD2741" s="55" t="n">
        <f aca="false">IF(AC2741,IF(01_因子設定!$B$13="最大化",AA2741-01_因子設定!$B$14,IF(01_因子設定!$B$13="最小化",01_因子設定!$B$15-AB2741,MIN(AA2741-01_因子設定!$B$14,01_因子設定!$B$15-AB2741))),-1E+030)</f>
        <v>-0.841877804293759</v>
      </c>
      <c r="AE2741" s="55" t="n">
        <f aca="false">IF(AC2741,IF(01_因子設定!$B$13="最大化",X2741,IF(01_因子設定!$B$13="最小化",-X2741,-ABS(X2741-01_因子設定!$B$16))),-1E+030)</f>
        <v>47.232629751462</v>
      </c>
      <c r="AF2741" s="55" t="n">
        <f aca="false">AD2741+ROW()*0.000000001</f>
        <v>-0.841875063293759</v>
      </c>
      <c r="AG2741" s="55" t="n">
        <f aca="false">AE2741+ROW()*0.000000001</f>
        <v>47.232632492462</v>
      </c>
    </row>
    <row r="2742" customFormat="false" ht="15" hidden="false" customHeight="false" outlineLevel="0" collapsed="false">
      <c r="A2742" s="0" t="n">
        <v>3</v>
      </c>
      <c r="B2742" s="0" t="n">
        <v>6</v>
      </c>
      <c r="C2742" s="0" t="n">
        <v>7</v>
      </c>
      <c r="D2742" s="0" t="n">
        <v>1</v>
      </c>
      <c r="E2742" s="0" t="n">
        <f aca="false">-1+A2742*0.25</f>
        <v>-0.25</v>
      </c>
      <c r="F2742" s="0" t="n">
        <f aca="false">-1+B2742*0.25</f>
        <v>0.5</v>
      </c>
      <c r="G2742" s="0" t="n">
        <f aca="false">-1+C2742*0.25</f>
        <v>0.75</v>
      </c>
      <c r="H2742" s="0" t="n">
        <f aca="false">-1+D2742*0.25</f>
        <v>-0.75</v>
      </c>
      <c r="I2742" s="0" t="n">
        <f aca="false">1</f>
        <v>1</v>
      </c>
      <c r="J2742" s="0" t="n">
        <f aca="false">E2742</f>
        <v>-0.25</v>
      </c>
      <c r="K2742" s="0" t="n">
        <f aca="false">F2742</f>
        <v>0.5</v>
      </c>
      <c r="L2742" s="0" t="n">
        <f aca="false">G2742</f>
        <v>0.75</v>
      </c>
      <c r="M2742" s="0" t="n">
        <f aca="false">H2742</f>
        <v>-0.75</v>
      </c>
      <c r="N2742" s="0" t="n">
        <f aca="false">E2742*F2742</f>
        <v>-0.125</v>
      </c>
      <c r="O2742" s="0" t="n">
        <f aca="false">E2742*G2742</f>
        <v>-0.1875</v>
      </c>
      <c r="P2742" s="0" t="n">
        <f aca="false">E2742*H2742</f>
        <v>0.1875</v>
      </c>
      <c r="Q2742" s="0" t="n">
        <f aca="false">F2742*G2742</f>
        <v>0.375</v>
      </c>
      <c r="R2742" s="0" t="n">
        <f aca="false">F2742*H2742</f>
        <v>-0.375</v>
      </c>
      <c r="S2742" s="0" t="n">
        <f aca="false">G2742*H2742</f>
        <v>-0.5625</v>
      </c>
      <c r="T2742" s="0" t="n">
        <f aca="false">E2742*E2742</f>
        <v>0.0625</v>
      </c>
      <c r="U2742" s="0" t="n">
        <f aca="false">F2742*F2742</f>
        <v>0.25</v>
      </c>
      <c r="V2742" s="0" t="n">
        <f aca="false">G2742*G2742</f>
        <v>0.5625</v>
      </c>
      <c r="W2742" s="0" t="n">
        <f aca="false">H2742*H2742</f>
        <v>0.5625</v>
      </c>
      <c r="X2742" s="0" t="n">
        <f aca="false">SUMPRODUCT(I2742:W2742,_XtX!$B$96:$P$96)</f>
        <v>47.5208744517544</v>
      </c>
      <c r="Y2742" s="0" t="n">
        <f aca="false">SUMPRODUCT(MMULT(I2742:W2742,_XtX!$B$78:$P$92),I2742:W2742)</f>
        <v>0.257385610836988</v>
      </c>
      <c r="Z2742" s="0" t="n">
        <f aca="false">04_回帰ANOVA!$K$19*04_回帰ANOVA!$K$14*SQRT(1+Y2742)</f>
        <v>1.46161380324158</v>
      </c>
      <c r="AA2742" s="0" t="n">
        <f aca="false">X2742-Z2742</f>
        <v>46.0592606485128</v>
      </c>
      <c r="AB2742" s="0" t="n">
        <f aca="false">X2742+Z2742</f>
        <v>48.9824882549959</v>
      </c>
      <c r="AC2742" s="54" t="b">
        <f aca="false">AND(E2742&gt;=01_因子設定!$L$5-0.000000001,E2742&lt;=01_因子設定!$M$5+0.000000001,F2742&gt;=01_因子設定!$L$6-0.000000001,F2742&lt;=01_因子設定!$M$6+0.000000001,G2742&gt;=01_因子設定!$L$7-0.000000001,G2742&lt;=01_因子設定!$M$7+0.000000001,H2742&gt;=01_因子設定!$L$8-0.000000001,H2742&lt;=01_因子設定!$M$8+0.000000001,IF(01_因子設定!$B$20="Box-Behnken",E2742^2+F2742^2+G2742^2+H2742^2&lt;=2+0.000000001,TRUE()))</f>
        <v>1</v>
      </c>
      <c r="AD2742" s="55" t="n">
        <f aca="false">IF(AC2742,IF(01_因子設定!$B$13="最大化",AA2742-01_因子設定!$B$14,IF(01_因子設定!$B$13="最小化",01_因子設定!$B$15-AB2742,MIN(AA2742-01_因子設定!$B$14,01_因子設定!$B$15-AB2742))),-1E+030)</f>
        <v>-0.440739351487231</v>
      </c>
      <c r="AE2742" s="55" t="n">
        <f aca="false">IF(AC2742,IF(01_因子設定!$B$13="最大化",X2742,IF(01_因子設定!$B$13="最小化",-X2742,-ABS(X2742-01_因子設定!$B$16))),-1E+030)</f>
        <v>47.5208744517544</v>
      </c>
      <c r="AF2742" s="55" t="n">
        <f aca="false">AD2742+ROW()*0.000000001</f>
        <v>-0.440736609487231</v>
      </c>
      <c r="AG2742" s="55" t="n">
        <f aca="false">AE2742+ROW()*0.000000001</f>
        <v>47.5208771937544</v>
      </c>
    </row>
    <row r="2743" customFormat="false" ht="15" hidden="false" customHeight="false" outlineLevel="0" collapsed="false">
      <c r="A2743" s="0" t="n">
        <v>3</v>
      </c>
      <c r="B2743" s="0" t="n">
        <v>6</v>
      </c>
      <c r="C2743" s="0" t="n">
        <v>7</v>
      </c>
      <c r="D2743" s="0" t="n">
        <v>2</v>
      </c>
      <c r="E2743" s="0" t="n">
        <f aca="false">-1+A2743*0.25</f>
        <v>-0.25</v>
      </c>
      <c r="F2743" s="0" t="n">
        <f aca="false">-1+B2743*0.25</f>
        <v>0.5</v>
      </c>
      <c r="G2743" s="0" t="n">
        <f aca="false">-1+C2743*0.25</f>
        <v>0.75</v>
      </c>
      <c r="H2743" s="0" t="n">
        <f aca="false">-1+D2743*0.25</f>
        <v>-0.5</v>
      </c>
      <c r="I2743" s="0" t="n">
        <f aca="false">1</f>
        <v>1</v>
      </c>
      <c r="J2743" s="0" t="n">
        <f aca="false">E2743</f>
        <v>-0.25</v>
      </c>
      <c r="K2743" s="0" t="n">
        <f aca="false">F2743</f>
        <v>0.5</v>
      </c>
      <c r="L2743" s="0" t="n">
        <f aca="false">G2743</f>
        <v>0.75</v>
      </c>
      <c r="M2743" s="0" t="n">
        <f aca="false">H2743</f>
        <v>-0.5</v>
      </c>
      <c r="N2743" s="0" t="n">
        <f aca="false">E2743*F2743</f>
        <v>-0.125</v>
      </c>
      <c r="O2743" s="0" t="n">
        <f aca="false">E2743*G2743</f>
        <v>-0.1875</v>
      </c>
      <c r="P2743" s="0" t="n">
        <f aca="false">E2743*H2743</f>
        <v>0.125</v>
      </c>
      <c r="Q2743" s="0" t="n">
        <f aca="false">F2743*G2743</f>
        <v>0.375</v>
      </c>
      <c r="R2743" s="0" t="n">
        <f aca="false">F2743*H2743</f>
        <v>-0.25</v>
      </c>
      <c r="S2743" s="0" t="n">
        <f aca="false">G2743*H2743</f>
        <v>-0.375</v>
      </c>
      <c r="T2743" s="0" t="n">
        <f aca="false">E2743*E2743</f>
        <v>0.0625</v>
      </c>
      <c r="U2743" s="0" t="n">
        <f aca="false">F2743*F2743</f>
        <v>0.25</v>
      </c>
      <c r="V2743" s="0" t="n">
        <f aca="false">G2743*G2743</f>
        <v>0.5625</v>
      </c>
      <c r="W2743" s="0" t="n">
        <f aca="false">H2743*H2743</f>
        <v>0.25</v>
      </c>
      <c r="X2743" s="0" t="n">
        <f aca="false">SUMPRODUCT(I2743:W2743,_XtX!$B$96:$P$96)</f>
        <v>47.7613121345029</v>
      </c>
      <c r="Y2743" s="0" t="n">
        <f aca="false">SUMPRODUCT(MMULT(I2743:W2743,_XtX!$B$78:$P$92),I2743:W2743)</f>
        <v>0.203746059484649</v>
      </c>
      <c r="Z2743" s="0" t="n">
        <f aca="false">04_回帰ANOVA!$K$19*04_回帰ANOVA!$K$14*SQRT(1+Y2743)</f>
        <v>1.43009810755465</v>
      </c>
      <c r="AA2743" s="0" t="n">
        <f aca="false">X2743-Z2743</f>
        <v>46.3312140269482</v>
      </c>
      <c r="AB2743" s="0" t="n">
        <f aca="false">X2743+Z2743</f>
        <v>49.1914102420575</v>
      </c>
      <c r="AC2743" s="54" t="b">
        <f aca="false">AND(E2743&gt;=01_因子設定!$L$5-0.000000001,E2743&lt;=01_因子設定!$M$5+0.000000001,F2743&gt;=01_因子設定!$L$6-0.000000001,F2743&lt;=01_因子設定!$M$6+0.000000001,G2743&gt;=01_因子設定!$L$7-0.000000001,G2743&lt;=01_因子設定!$M$7+0.000000001,H2743&gt;=01_因子設定!$L$8-0.000000001,H2743&lt;=01_因子設定!$M$8+0.000000001,IF(01_因子設定!$B$20="Box-Behnken",E2743^2+F2743^2+G2743^2+H2743^2&lt;=2+0.000000001,TRUE()))</f>
        <v>1</v>
      </c>
      <c r="AD2743" s="55" t="n">
        <f aca="false">IF(AC2743,IF(01_因子設定!$B$13="最大化",AA2743-01_因子設定!$B$14,IF(01_因子設定!$B$13="最小化",01_因子設定!$B$15-AB2743,MIN(AA2743-01_因子設定!$B$14,01_因子設定!$B$15-AB2743))),-1E+030)</f>
        <v>-0.168785973051776</v>
      </c>
      <c r="AE2743" s="55" t="n">
        <f aca="false">IF(AC2743,IF(01_因子設定!$B$13="最大化",X2743,IF(01_因子設定!$B$13="最小化",-X2743,-ABS(X2743-01_因子設定!$B$16))),-1E+030)</f>
        <v>47.7613121345029</v>
      </c>
      <c r="AF2743" s="55" t="n">
        <f aca="false">AD2743+ROW()*0.000000001</f>
        <v>-0.168783230051776</v>
      </c>
      <c r="AG2743" s="55" t="n">
        <f aca="false">AE2743+ROW()*0.000000001</f>
        <v>47.7613148775029</v>
      </c>
    </row>
    <row r="2744" customFormat="false" ht="15" hidden="false" customHeight="false" outlineLevel="0" collapsed="false">
      <c r="A2744" s="0" t="n">
        <v>3</v>
      </c>
      <c r="B2744" s="0" t="n">
        <v>6</v>
      </c>
      <c r="C2744" s="0" t="n">
        <v>7</v>
      </c>
      <c r="D2744" s="0" t="n">
        <v>3</v>
      </c>
      <c r="E2744" s="0" t="n">
        <f aca="false">-1+A2744*0.25</f>
        <v>-0.25</v>
      </c>
      <c r="F2744" s="0" t="n">
        <f aca="false">-1+B2744*0.25</f>
        <v>0.5</v>
      </c>
      <c r="G2744" s="0" t="n">
        <f aca="false">-1+C2744*0.25</f>
        <v>0.75</v>
      </c>
      <c r="H2744" s="0" t="n">
        <f aca="false">-1+D2744*0.25</f>
        <v>-0.25</v>
      </c>
      <c r="I2744" s="0" t="n">
        <f aca="false">1</f>
        <v>1</v>
      </c>
      <c r="J2744" s="0" t="n">
        <f aca="false">E2744</f>
        <v>-0.25</v>
      </c>
      <c r="K2744" s="0" t="n">
        <f aca="false">F2744</f>
        <v>0.5</v>
      </c>
      <c r="L2744" s="0" t="n">
        <f aca="false">G2744</f>
        <v>0.75</v>
      </c>
      <c r="M2744" s="0" t="n">
        <f aca="false">H2744</f>
        <v>-0.25</v>
      </c>
      <c r="N2744" s="0" t="n">
        <f aca="false">E2744*F2744</f>
        <v>-0.125</v>
      </c>
      <c r="O2744" s="0" t="n">
        <f aca="false">E2744*G2744</f>
        <v>-0.1875</v>
      </c>
      <c r="P2744" s="0" t="n">
        <f aca="false">E2744*H2744</f>
        <v>0.0625</v>
      </c>
      <c r="Q2744" s="0" t="n">
        <f aca="false">F2744*G2744</f>
        <v>0.375</v>
      </c>
      <c r="R2744" s="0" t="n">
        <f aca="false">F2744*H2744</f>
        <v>-0.125</v>
      </c>
      <c r="S2744" s="0" t="n">
        <f aca="false">G2744*H2744</f>
        <v>-0.1875</v>
      </c>
      <c r="T2744" s="0" t="n">
        <f aca="false">E2744*E2744</f>
        <v>0.0625</v>
      </c>
      <c r="U2744" s="0" t="n">
        <f aca="false">F2744*F2744</f>
        <v>0.25</v>
      </c>
      <c r="V2744" s="0" t="n">
        <f aca="false">G2744*G2744</f>
        <v>0.5625</v>
      </c>
      <c r="W2744" s="0" t="n">
        <f aca="false">H2744*H2744</f>
        <v>0.0625</v>
      </c>
      <c r="X2744" s="0" t="n">
        <f aca="false">SUMPRODUCT(I2744:W2744,_XtX!$B$96:$P$96)</f>
        <v>47.9539427997076</v>
      </c>
      <c r="Y2744" s="0" t="n">
        <f aca="false">SUMPRODUCT(MMULT(I2744:W2744,_XtX!$B$78:$P$92),I2744:W2744)</f>
        <v>0.207746539199561</v>
      </c>
      <c r="Z2744" s="0" t="n">
        <f aca="false">04_回帰ANOVA!$K$19*04_回帰ANOVA!$K$14*SQRT(1+Y2744)</f>
        <v>1.43247250081141</v>
      </c>
      <c r="AA2744" s="0" t="n">
        <f aca="false">X2744-Z2744</f>
        <v>46.5214702988961</v>
      </c>
      <c r="AB2744" s="0" t="n">
        <f aca="false">X2744+Z2744</f>
        <v>49.386415300519</v>
      </c>
      <c r="AC2744" s="54" t="b">
        <f aca="false">AND(E2744&gt;=01_因子設定!$L$5-0.000000001,E2744&lt;=01_因子設定!$M$5+0.000000001,F2744&gt;=01_因子設定!$L$6-0.000000001,F2744&lt;=01_因子設定!$M$6+0.000000001,G2744&gt;=01_因子設定!$L$7-0.000000001,G2744&lt;=01_因子設定!$M$7+0.000000001,H2744&gt;=01_因子設定!$L$8-0.000000001,H2744&lt;=01_因子設定!$M$8+0.000000001,IF(01_因子設定!$B$20="Box-Behnken",E2744^2+F2744^2+G2744^2+H2744^2&lt;=2+0.000000001,TRUE()))</f>
        <v>1</v>
      </c>
      <c r="AD2744" s="55" t="n">
        <f aca="false">IF(AC2744,IF(01_因子設定!$B$13="最大化",AA2744-01_因子設定!$B$14,IF(01_因子設定!$B$13="最小化",01_因子設定!$B$15-AB2744,MIN(AA2744-01_因子設定!$B$14,01_因子設定!$B$15-AB2744))),-1E+030)</f>
        <v>0.0214702988961406</v>
      </c>
      <c r="AE2744" s="55" t="n">
        <f aca="false">IF(AC2744,IF(01_因子設定!$B$13="最大化",X2744,IF(01_因子設定!$B$13="最小化",-X2744,-ABS(X2744-01_因子設定!$B$16))),-1E+030)</f>
        <v>47.9539427997076</v>
      </c>
      <c r="AF2744" s="55" t="n">
        <f aca="false">AD2744+ROW()*0.000000001</f>
        <v>0.0214730428961406</v>
      </c>
      <c r="AG2744" s="55" t="n">
        <f aca="false">AE2744+ROW()*0.000000001</f>
        <v>47.9539455437076</v>
      </c>
    </row>
    <row r="2745" customFormat="false" ht="15" hidden="false" customHeight="false" outlineLevel="0" collapsed="false">
      <c r="A2745" s="0" t="n">
        <v>3</v>
      </c>
      <c r="B2745" s="0" t="n">
        <v>6</v>
      </c>
      <c r="C2745" s="0" t="n">
        <v>7</v>
      </c>
      <c r="D2745" s="0" t="n">
        <v>4</v>
      </c>
      <c r="E2745" s="0" t="n">
        <f aca="false">-1+A2745*0.25</f>
        <v>-0.25</v>
      </c>
      <c r="F2745" s="0" t="n">
        <f aca="false">-1+B2745*0.25</f>
        <v>0.5</v>
      </c>
      <c r="G2745" s="0" t="n">
        <f aca="false">-1+C2745*0.25</f>
        <v>0.75</v>
      </c>
      <c r="H2745" s="0" t="n">
        <f aca="false">-1+D2745*0.25</f>
        <v>0</v>
      </c>
      <c r="I2745" s="0" t="n">
        <f aca="false">1</f>
        <v>1</v>
      </c>
      <c r="J2745" s="0" t="n">
        <f aca="false">E2745</f>
        <v>-0.25</v>
      </c>
      <c r="K2745" s="0" t="n">
        <f aca="false">F2745</f>
        <v>0.5</v>
      </c>
      <c r="L2745" s="0" t="n">
        <f aca="false">G2745</f>
        <v>0.75</v>
      </c>
      <c r="M2745" s="0" t="n">
        <f aca="false">H2745</f>
        <v>0</v>
      </c>
      <c r="N2745" s="0" t="n">
        <f aca="false">E2745*F2745</f>
        <v>-0.125</v>
      </c>
      <c r="O2745" s="0" t="n">
        <f aca="false">E2745*G2745</f>
        <v>-0.1875</v>
      </c>
      <c r="P2745" s="0" t="n">
        <f aca="false">E2745*H2745</f>
        <v>-0</v>
      </c>
      <c r="Q2745" s="0" t="n">
        <f aca="false">F2745*G2745</f>
        <v>0.375</v>
      </c>
      <c r="R2745" s="0" t="n">
        <f aca="false">F2745*H2745</f>
        <v>0</v>
      </c>
      <c r="S2745" s="0" t="n">
        <f aca="false">G2745*H2745</f>
        <v>0</v>
      </c>
      <c r="T2745" s="0" t="n">
        <f aca="false">E2745*E2745</f>
        <v>0.0625</v>
      </c>
      <c r="U2745" s="0" t="n">
        <f aca="false">F2745*F2745</f>
        <v>0.25</v>
      </c>
      <c r="V2745" s="0" t="n">
        <f aca="false">G2745*G2745</f>
        <v>0.5625</v>
      </c>
      <c r="W2745" s="0" t="n">
        <f aca="false">H2745*H2745</f>
        <v>0</v>
      </c>
      <c r="X2745" s="0" t="n">
        <f aca="false">SUMPRODUCT(I2745:W2745,_XtX!$B$96:$P$96)</f>
        <v>48.0987664473684</v>
      </c>
      <c r="Y2745" s="0" t="n">
        <f aca="false">SUMPRODUCT(MMULT(I2745:W2745,_XtX!$B$78:$P$92),I2745:W2745)</f>
        <v>0.215110734192252</v>
      </c>
      <c r="Z2745" s="0" t="n">
        <f aca="false">04_回帰ANOVA!$K$19*04_回帰ANOVA!$K$14*SQRT(1+Y2745)</f>
        <v>1.43683309086864</v>
      </c>
      <c r="AA2745" s="0" t="n">
        <f aca="false">X2745-Z2745</f>
        <v>46.6619333564997</v>
      </c>
      <c r="AB2745" s="0" t="n">
        <f aca="false">X2745+Z2745</f>
        <v>49.535599538237</v>
      </c>
      <c r="AC2745" s="54" t="b">
        <f aca="false">AND(E2745&gt;=01_因子設定!$L$5-0.000000001,E2745&lt;=01_因子設定!$M$5+0.000000001,F2745&gt;=01_因子設定!$L$6-0.000000001,F2745&lt;=01_因子設定!$M$6+0.000000001,G2745&gt;=01_因子設定!$L$7-0.000000001,G2745&lt;=01_因子設定!$M$7+0.000000001,H2745&gt;=01_因子設定!$L$8-0.000000001,H2745&lt;=01_因子設定!$M$8+0.000000001,IF(01_因子設定!$B$20="Box-Behnken",E2745^2+F2745^2+G2745^2+H2745^2&lt;=2+0.000000001,TRUE()))</f>
        <v>1</v>
      </c>
      <c r="AD2745" s="55" t="n">
        <f aca="false">IF(AC2745,IF(01_因子設定!$B$13="最大化",AA2745-01_因子設定!$B$14,IF(01_因子設定!$B$13="最小化",01_因子設定!$B$15-AB2745,MIN(AA2745-01_因子設定!$B$14,01_因子設定!$B$15-AB2745))),-1E+030)</f>
        <v>0.161933356499716</v>
      </c>
      <c r="AE2745" s="55" t="n">
        <f aca="false">IF(AC2745,IF(01_因子設定!$B$13="最大化",X2745,IF(01_因子設定!$B$13="最小化",-X2745,-ABS(X2745-01_因子設定!$B$16))),-1E+030)</f>
        <v>48.0987664473684</v>
      </c>
      <c r="AF2745" s="55" t="n">
        <f aca="false">AD2745+ROW()*0.000000001</f>
        <v>0.161936101499716</v>
      </c>
      <c r="AG2745" s="55" t="n">
        <f aca="false">AE2745+ROW()*0.000000001</f>
        <v>48.0987691923684</v>
      </c>
    </row>
    <row r="2746" customFormat="false" ht="15" hidden="false" customHeight="false" outlineLevel="0" collapsed="false">
      <c r="A2746" s="0" t="n">
        <v>3</v>
      </c>
      <c r="B2746" s="0" t="n">
        <v>6</v>
      </c>
      <c r="C2746" s="0" t="n">
        <v>7</v>
      </c>
      <c r="D2746" s="0" t="n">
        <v>5</v>
      </c>
      <c r="E2746" s="0" t="n">
        <f aca="false">-1+A2746*0.25</f>
        <v>-0.25</v>
      </c>
      <c r="F2746" s="0" t="n">
        <f aca="false">-1+B2746*0.25</f>
        <v>0.5</v>
      </c>
      <c r="G2746" s="0" t="n">
        <f aca="false">-1+C2746*0.25</f>
        <v>0.75</v>
      </c>
      <c r="H2746" s="0" t="n">
        <f aca="false">-1+D2746*0.25</f>
        <v>0.25</v>
      </c>
      <c r="I2746" s="0" t="n">
        <f aca="false">1</f>
        <v>1</v>
      </c>
      <c r="J2746" s="0" t="n">
        <f aca="false">E2746</f>
        <v>-0.25</v>
      </c>
      <c r="K2746" s="0" t="n">
        <f aca="false">F2746</f>
        <v>0.5</v>
      </c>
      <c r="L2746" s="0" t="n">
        <f aca="false">G2746</f>
        <v>0.75</v>
      </c>
      <c r="M2746" s="0" t="n">
        <f aca="false">H2746</f>
        <v>0.25</v>
      </c>
      <c r="N2746" s="0" t="n">
        <f aca="false">E2746*F2746</f>
        <v>-0.125</v>
      </c>
      <c r="O2746" s="0" t="n">
        <f aca="false">E2746*G2746</f>
        <v>-0.1875</v>
      </c>
      <c r="P2746" s="0" t="n">
        <f aca="false">E2746*H2746</f>
        <v>-0.0625</v>
      </c>
      <c r="Q2746" s="0" t="n">
        <f aca="false">F2746*G2746</f>
        <v>0.375</v>
      </c>
      <c r="R2746" s="0" t="n">
        <f aca="false">F2746*H2746</f>
        <v>0.125</v>
      </c>
      <c r="S2746" s="0" t="n">
        <f aca="false">G2746*H2746</f>
        <v>0.1875</v>
      </c>
      <c r="T2746" s="0" t="n">
        <f aca="false">E2746*E2746</f>
        <v>0.0625</v>
      </c>
      <c r="U2746" s="0" t="n">
        <f aca="false">F2746*F2746</f>
        <v>0.25</v>
      </c>
      <c r="V2746" s="0" t="n">
        <f aca="false">G2746*G2746</f>
        <v>0.5625</v>
      </c>
      <c r="W2746" s="0" t="n">
        <f aca="false">H2746*H2746</f>
        <v>0.0625</v>
      </c>
      <c r="X2746" s="0" t="n">
        <f aca="false">SUMPRODUCT(I2746:W2746,_XtX!$B$96:$P$96)</f>
        <v>48.1957830774853</v>
      </c>
      <c r="Y2746" s="0" t="n">
        <f aca="false">SUMPRODUCT(MMULT(I2746:W2746,_XtX!$B$78:$P$92),I2746:W2746)</f>
        <v>0.207746539199561</v>
      </c>
      <c r="Z2746" s="0" t="n">
        <f aca="false">04_回帰ANOVA!$K$19*04_回帰ANOVA!$K$14*SQRT(1+Y2746)</f>
        <v>1.43247250081141</v>
      </c>
      <c r="AA2746" s="0" t="n">
        <f aca="false">X2746-Z2746</f>
        <v>46.7633105766739</v>
      </c>
      <c r="AB2746" s="0" t="n">
        <f aca="false">X2746+Z2746</f>
        <v>49.6282555782967</v>
      </c>
      <c r="AC2746" s="54" t="b">
        <f aca="false">AND(E2746&gt;=01_因子設定!$L$5-0.000000001,E2746&lt;=01_因子設定!$M$5+0.000000001,F2746&gt;=01_因子設定!$L$6-0.000000001,F2746&lt;=01_因子設定!$M$6+0.000000001,G2746&gt;=01_因子設定!$L$7-0.000000001,G2746&lt;=01_因子設定!$M$7+0.000000001,H2746&gt;=01_因子設定!$L$8-0.000000001,H2746&lt;=01_因子設定!$M$8+0.000000001,IF(01_因子設定!$B$20="Box-Behnken",E2746^2+F2746^2+G2746^2+H2746^2&lt;=2+0.000000001,TRUE()))</f>
        <v>1</v>
      </c>
      <c r="AD2746" s="55" t="n">
        <f aca="false">IF(AC2746,IF(01_因子設定!$B$13="最大化",AA2746-01_因子設定!$B$14,IF(01_因子設定!$B$13="最小化",01_因子設定!$B$15-AB2746,MIN(AA2746-01_因子設定!$B$14,01_因子設定!$B$15-AB2746))),-1E+030)</f>
        <v>0.263310576673916</v>
      </c>
      <c r="AE2746" s="55" t="n">
        <f aca="false">IF(AC2746,IF(01_因子設定!$B$13="最大化",X2746,IF(01_因子設定!$B$13="最小化",-X2746,-ABS(X2746-01_因子設定!$B$16))),-1E+030)</f>
        <v>48.1957830774853</v>
      </c>
      <c r="AF2746" s="55" t="n">
        <f aca="false">AD2746+ROW()*0.000000001</f>
        <v>0.263313322673916</v>
      </c>
      <c r="AG2746" s="55" t="n">
        <f aca="false">AE2746+ROW()*0.000000001</f>
        <v>48.1957858234853</v>
      </c>
    </row>
    <row r="2747" customFormat="false" ht="15" hidden="false" customHeight="false" outlineLevel="0" collapsed="false">
      <c r="A2747" s="0" t="n">
        <v>3</v>
      </c>
      <c r="B2747" s="0" t="n">
        <v>6</v>
      </c>
      <c r="C2747" s="0" t="n">
        <v>7</v>
      </c>
      <c r="D2747" s="0" t="n">
        <v>6</v>
      </c>
      <c r="E2747" s="0" t="n">
        <f aca="false">-1+A2747*0.25</f>
        <v>-0.25</v>
      </c>
      <c r="F2747" s="0" t="n">
        <f aca="false">-1+B2747*0.25</f>
        <v>0.5</v>
      </c>
      <c r="G2747" s="0" t="n">
        <f aca="false">-1+C2747*0.25</f>
        <v>0.75</v>
      </c>
      <c r="H2747" s="0" t="n">
        <f aca="false">-1+D2747*0.25</f>
        <v>0.5</v>
      </c>
      <c r="I2747" s="0" t="n">
        <f aca="false">1</f>
        <v>1</v>
      </c>
      <c r="J2747" s="0" t="n">
        <f aca="false">E2747</f>
        <v>-0.25</v>
      </c>
      <c r="K2747" s="0" t="n">
        <f aca="false">F2747</f>
        <v>0.5</v>
      </c>
      <c r="L2747" s="0" t="n">
        <f aca="false">G2747</f>
        <v>0.75</v>
      </c>
      <c r="M2747" s="0" t="n">
        <f aca="false">H2747</f>
        <v>0.5</v>
      </c>
      <c r="N2747" s="0" t="n">
        <f aca="false">E2747*F2747</f>
        <v>-0.125</v>
      </c>
      <c r="O2747" s="0" t="n">
        <f aca="false">E2747*G2747</f>
        <v>-0.1875</v>
      </c>
      <c r="P2747" s="0" t="n">
        <f aca="false">E2747*H2747</f>
        <v>-0.125</v>
      </c>
      <c r="Q2747" s="0" t="n">
        <f aca="false">F2747*G2747</f>
        <v>0.375</v>
      </c>
      <c r="R2747" s="0" t="n">
        <f aca="false">F2747*H2747</f>
        <v>0.25</v>
      </c>
      <c r="S2747" s="0" t="n">
        <f aca="false">G2747*H2747</f>
        <v>0.375</v>
      </c>
      <c r="T2747" s="0" t="n">
        <f aca="false">E2747*E2747</f>
        <v>0.0625</v>
      </c>
      <c r="U2747" s="0" t="n">
        <f aca="false">F2747*F2747</f>
        <v>0.25</v>
      </c>
      <c r="V2747" s="0" t="n">
        <f aca="false">G2747*G2747</f>
        <v>0.5625</v>
      </c>
      <c r="W2747" s="0" t="n">
        <f aca="false">H2747*H2747</f>
        <v>0.25</v>
      </c>
      <c r="X2747" s="0" t="n">
        <f aca="false">SUMPRODUCT(I2747:W2747,_XtX!$B$96:$P$96)</f>
        <v>48.2449926900584</v>
      </c>
      <c r="Y2747" s="0" t="n">
        <f aca="false">SUMPRODUCT(MMULT(I2747:W2747,_XtX!$B$78:$P$92),I2747:W2747)</f>
        <v>0.203746059484649</v>
      </c>
      <c r="Z2747" s="0" t="n">
        <f aca="false">04_回帰ANOVA!$K$19*04_回帰ANOVA!$K$14*SQRT(1+Y2747)</f>
        <v>1.43009810755465</v>
      </c>
      <c r="AA2747" s="0" t="n">
        <f aca="false">X2747-Z2747</f>
        <v>46.8148945825038</v>
      </c>
      <c r="AB2747" s="0" t="n">
        <f aca="false">X2747+Z2747</f>
        <v>49.6750907976131</v>
      </c>
      <c r="AC2747" s="54" t="b">
        <f aca="false">AND(E2747&gt;=01_因子設定!$L$5-0.000000001,E2747&lt;=01_因子設定!$M$5+0.000000001,F2747&gt;=01_因子設定!$L$6-0.000000001,F2747&lt;=01_因子設定!$M$6+0.000000001,G2747&gt;=01_因子設定!$L$7-0.000000001,G2747&lt;=01_因子設定!$M$7+0.000000001,H2747&gt;=01_因子設定!$L$8-0.000000001,H2747&lt;=01_因子設定!$M$8+0.000000001,IF(01_因子設定!$B$20="Box-Behnken",E2747^2+F2747^2+G2747^2+H2747^2&lt;=2+0.000000001,TRUE()))</f>
        <v>1</v>
      </c>
      <c r="AD2747" s="55" t="n">
        <f aca="false">IF(AC2747,IF(01_因子設定!$B$13="最大化",AA2747-01_因子設定!$B$14,IF(01_因子設定!$B$13="最小化",01_因子設定!$B$15-AB2747,MIN(AA2747-01_因子設定!$B$14,01_因子設定!$B$15-AB2747))),-1E+030)</f>
        <v>0.314894582503783</v>
      </c>
      <c r="AE2747" s="55" t="n">
        <f aca="false">IF(AC2747,IF(01_因子設定!$B$13="最大化",X2747,IF(01_因子設定!$B$13="最小化",-X2747,-ABS(X2747-01_因子設定!$B$16))),-1E+030)</f>
        <v>48.2449926900584</v>
      </c>
      <c r="AF2747" s="55" t="n">
        <f aca="false">AD2747+ROW()*0.000000001</f>
        <v>0.314897329503783</v>
      </c>
      <c r="AG2747" s="55" t="n">
        <f aca="false">AE2747+ROW()*0.000000001</f>
        <v>48.2449954370584</v>
      </c>
    </row>
    <row r="2748" customFormat="false" ht="15" hidden="false" customHeight="false" outlineLevel="0" collapsed="false">
      <c r="A2748" s="0" t="n">
        <v>3</v>
      </c>
      <c r="B2748" s="0" t="n">
        <v>6</v>
      </c>
      <c r="C2748" s="0" t="n">
        <v>7</v>
      </c>
      <c r="D2748" s="0" t="n">
        <v>7</v>
      </c>
      <c r="E2748" s="0" t="n">
        <f aca="false">-1+A2748*0.25</f>
        <v>-0.25</v>
      </c>
      <c r="F2748" s="0" t="n">
        <f aca="false">-1+B2748*0.25</f>
        <v>0.5</v>
      </c>
      <c r="G2748" s="0" t="n">
        <f aca="false">-1+C2748*0.25</f>
        <v>0.75</v>
      </c>
      <c r="H2748" s="0" t="n">
        <f aca="false">-1+D2748*0.25</f>
        <v>0.75</v>
      </c>
      <c r="I2748" s="0" t="n">
        <f aca="false">1</f>
        <v>1</v>
      </c>
      <c r="J2748" s="0" t="n">
        <f aca="false">E2748</f>
        <v>-0.25</v>
      </c>
      <c r="K2748" s="0" t="n">
        <f aca="false">F2748</f>
        <v>0.5</v>
      </c>
      <c r="L2748" s="0" t="n">
        <f aca="false">G2748</f>
        <v>0.75</v>
      </c>
      <c r="M2748" s="0" t="n">
        <f aca="false">H2748</f>
        <v>0.75</v>
      </c>
      <c r="N2748" s="0" t="n">
        <f aca="false">E2748*F2748</f>
        <v>-0.125</v>
      </c>
      <c r="O2748" s="0" t="n">
        <f aca="false">E2748*G2748</f>
        <v>-0.1875</v>
      </c>
      <c r="P2748" s="0" t="n">
        <f aca="false">E2748*H2748</f>
        <v>-0.1875</v>
      </c>
      <c r="Q2748" s="0" t="n">
        <f aca="false">F2748*G2748</f>
        <v>0.375</v>
      </c>
      <c r="R2748" s="0" t="n">
        <f aca="false">F2748*H2748</f>
        <v>0.375</v>
      </c>
      <c r="S2748" s="0" t="n">
        <f aca="false">G2748*H2748</f>
        <v>0.5625</v>
      </c>
      <c r="T2748" s="0" t="n">
        <f aca="false">E2748*E2748</f>
        <v>0.0625</v>
      </c>
      <c r="U2748" s="0" t="n">
        <f aca="false">F2748*F2748</f>
        <v>0.25</v>
      </c>
      <c r="V2748" s="0" t="n">
        <f aca="false">G2748*G2748</f>
        <v>0.5625</v>
      </c>
      <c r="W2748" s="0" t="n">
        <f aca="false">H2748*H2748</f>
        <v>0.5625</v>
      </c>
      <c r="X2748" s="0" t="n">
        <f aca="false">SUMPRODUCT(I2748:W2748,_XtX!$B$96:$P$96)</f>
        <v>48.2463952850877</v>
      </c>
      <c r="Y2748" s="0" t="n">
        <f aca="false">SUMPRODUCT(MMULT(I2748:W2748,_XtX!$B$78:$P$92),I2748:W2748)</f>
        <v>0.257385610836988</v>
      </c>
      <c r="Z2748" s="0" t="n">
        <f aca="false">04_回帰ANOVA!$K$19*04_回帰ANOVA!$K$14*SQRT(1+Y2748)</f>
        <v>1.46161380324158</v>
      </c>
      <c r="AA2748" s="0" t="n">
        <f aca="false">X2748-Z2748</f>
        <v>46.7847814818461</v>
      </c>
      <c r="AB2748" s="0" t="n">
        <f aca="false">X2748+Z2748</f>
        <v>49.7080090883293</v>
      </c>
      <c r="AC2748" s="54" t="b">
        <f aca="false">AND(E2748&gt;=01_因子設定!$L$5-0.000000001,E2748&lt;=01_因子設定!$M$5+0.000000001,F2748&gt;=01_因子設定!$L$6-0.000000001,F2748&lt;=01_因子設定!$M$6+0.000000001,G2748&gt;=01_因子設定!$L$7-0.000000001,G2748&lt;=01_因子設定!$M$7+0.000000001,H2748&gt;=01_因子設定!$L$8-0.000000001,H2748&lt;=01_因子設定!$M$8+0.000000001,IF(01_因子設定!$B$20="Box-Behnken",E2748^2+F2748^2+G2748^2+H2748^2&lt;=2+0.000000001,TRUE()))</f>
        <v>1</v>
      </c>
      <c r="AD2748" s="55" t="n">
        <f aca="false">IF(AC2748,IF(01_因子設定!$B$13="最大化",AA2748-01_因子設定!$B$14,IF(01_因子設定!$B$13="最小化",01_因子設定!$B$15-AB2748,MIN(AA2748-01_因子設定!$B$14,01_因子設定!$B$15-AB2748))),-1E+030)</f>
        <v>0.284781481846096</v>
      </c>
      <c r="AE2748" s="55" t="n">
        <f aca="false">IF(AC2748,IF(01_因子設定!$B$13="最大化",X2748,IF(01_因子設定!$B$13="最小化",-X2748,-ABS(X2748-01_因子設定!$B$16))),-1E+030)</f>
        <v>48.2463952850877</v>
      </c>
      <c r="AF2748" s="55" t="n">
        <f aca="false">AD2748+ROW()*0.000000001</f>
        <v>0.284784229846096</v>
      </c>
      <c r="AG2748" s="55" t="n">
        <f aca="false">AE2748+ROW()*0.000000001</f>
        <v>48.2463980330877</v>
      </c>
    </row>
    <row r="2749" customFormat="false" ht="15" hidden="false" customHeight="false" outlineLevel="0" collapsed="false">
      <c r="A2749" s="0" t="n">
        <v>3</v>
      </c>
      <c r="B2749" s="0" t="n">
        <v>6</v>
      </c>
      <c r="C2749" s="0" t="n">
        <v>7</v>
      </c>
      <c r="D2749" s="0" t="n">
        <v>8</v>
      </c>
      <c r="E2749" s="0" t="n">
        <f aca="false">-1+A2749*0.25</f>
        <v>-0.25</v>
      </c>
      <c r="F2749" s="0" t="n">
        <f aca="false">-1+B2749*0.25</f>
        <v>0.5</v>
      </c>
      <c r="G2749" s="0" t="n">
        <f aca="false">-1+C2749*0.25</f>
        <v>0.75</v>
      </c>
      <c r="H2749" s="0" t="n">
        <f aca="false">-1+D2749*0.25</f>
        <v>1</v>
      </c>
      <c r="I2749" s="0" t="n">
        <f aca="false">1</f>
        <v>1</v>
      </c>
      <c r="J2749" s="0" t="n">
        <f aca="false">E2749</f>
        <v>-0.25</v>
      </c>
      <c r="K2749" s="0" t="n">
        <f aca="false">F2749</f>
        <v>0.5</v>
      </c>
      <c r="L2749" s="0" t="n">
        <f aca="false">G2749</f>
        <v>0.75</v>
      </c>
      <c r="M2749" s="0" t="n">
        <f aca="false">H2749</f>
        <v>1</v>
      </c>
      <c r="N2749" s="0" t="n">
        <f aca="false">E2749*F2749</f>
        <v>-0.125</v>
      </c>
      <c r="O2749" s="0" t="n">
        <f aca="false">E2749*G2749</f>
        <v>-0.1875</v>
      </c>
      <c r="P2749" s="0" t="n">
        <f aca="false">E2749*H2749</f>
        <v>-0.25</v>
      </c>
      <c r="Q2749" s="0" t="n">
        <f aca="false">F2749*G2749</f>
        <v>0.375</v>
      </c>
      <c r="R2749" s="0" t="n">
        <f aca="false">F2749*H2749</f>
        <v>0.5</v>
      </c>
      <c r="S2749" s="0" t="n">
        <f aca="false">G2749*H2749</f>
        <v>0.75</v>
      </c>
      <c r="T2749" s="0" t="n">
        <f aca="false">E2749*E2749</f>
        <v>0.0625</v>
      </c>
      <c r="U2749" s="0" t="n">
        <f aca="false">F2749*F2749</f>
        <v>0.25</v>
      </c>
      <c r="V2749" s="0" t="n">
        <f aca="false">G2749*G2749</f>
        <v>0.5625</v>
      </c>
      <c r="W2749" s="0" t="n">
        <f aca="false">H2749*H2749</f>
        <v>1</v>
      </c>
      <c r="X2749" s="0" t="n">
        <f aca="false">SUMPRODUCT(I2749:W2749,_XtX!$B$96:$P$96)</f>
        <v>48.1999908625731</v>
      </c>
      <c r="Y2749" s="0" t="n">
        <f aca="false">SUMPRODUCT(MMULT(I2749:W2749,_XtX!$B$78:$P$92),I2749:W2749)</f>
        <v>0.459125719572369</v>
      </c>
      <c r="Z2749" s="0" t="n">
        <f aca="false">04_回帰ANOVA!$K$19*04_回帰ANOVA!$K$14*SQRT(1+Y2749)</f>
        <v>1.57450755575573</v>
      </c>
      <c r="AA2749" s="0" t="n">
        <f aca="false">X2749-Z2749</f>
        <v>46.6254833068173</v>
      </c>
      <c r="AB2749" s="0" t="n">
        <f aca="false">X2749+Z2749</f>
        <v>49.7744984183288</v>
      </c>
      <c r="AC2749" s="54" t="b">
        <f aca="false">AND(E2749&gt;=01_因子設定!$L$5-0.000000001,E2749&lt;=01_因子設定!$M$5+0.000000001,F2749&gt;=01_因子設定!$L$6-0.000000001,F2749&lt;=01_因子設定!$M$6+0.000000001,G2749&gt;=01_因子設定!$L$7-0.000000001,G2749&lt;=01_因子設定!$M$7+0.000000001,H2749&gt;=01_因子設定!$L$8-0.000000001,H2749&lt;=01_因子設定!$M$8+0.000000001,IF(01_因子設定!$B$20="Box-Behnken",E2749^2+F2749^2+G2749^2+H2749^2&lt;=2+0.000000001,TRUE()))</f>
        <v>1</v>
      </c>
      <c r="AD2749" s="55" t="n">
        <f aca="false">IF(AC2749,IF(01_因子設定!$B$13="最大化",AA2749-01_因子設定!$B$14,IF(01_因子設定!$B$13="最小化",01_因子設定!$B$15-AB2749,MIN(AA2749-01_因子設定!$B$14,01_因子設定!$B$15-AB2749))),-1E+030)</f>
        <v>0.125483306817344</v>
      </c>
      <c r="AE2749" s="55" t="n">
        <f aca="false">IF(AC2749,IF(01_因子設定!$B$13="最大化",X2749,IF(01_因子設定!$B$13="最小化",-X2749,-ABS(X2749-01_因子設定!$B$16))),-1E+030)</f>
        <v>48.1999908625731</v>
      </c>
      <c r="AF2749" s="55" t="n">
        <f aca="false">AD2749+ROW()*0.000000001</f>
        <v>0.125486055817344</v>
      </c>
      <c r="AG2749" s="55" t="n">
        <f aca="false">AE2749+ROW()*0.000000001</f>
        <v>48.1999936115731</v>
      </c>
    </row>
    <row r="2750" customFormat="false" ht="15" hidden="false" customHeight="false" outlineLevel="0" collapsed="false">
      <c r="A2750" s="0" t="n">
        <v>3</v>
      </c>
      <c r="B2750" s="0" t="n">
        <v>6</v>
      </c>
      <c r="C2750" s="0" t="n">
        <v>8</v>
      </c>
      <c r="D2750" s="0" t="n">
        <v>0</v>
      </c>
      <c r="E2750" s="0" t="n">
        <f aca="false">-1+A2750*0.25</f>
        <v>-0.25</v>
      </c>
      <c r="F2750" s="0" t="n">
        <f aca="false">-1+B2750*0.25</f>
        <v>0.5</v>
      </c>
      <c r="G2750" s="0" t="n">
        <f aca="false">-1+C2750*0.25</f>
        <v>1</v>
      </c>
      <c r="H2750" s="0" t="n">
        <f aca="false">-1+D2750*0.25</f>
        <v>-1</v>
      </c>
      <c r="I2750" s="0" t="n">
        <f aca="false">1</f>
        <v>1</v>
      </c>
      <c r="J2750" s="0" t="n">
        <f aca="false">E2750</f>
        <v>-0.25</v>
      </c>
      <c r="K2750" s="0" t="n">
        <f aca="false">F2750</f>
        <v>0.5</v>
      </c>
      <c r="L2750" s="0" t="n">
        <f aca="false">G2750</f>
        <v>1</v>
      </c>
      <c r="M2750" s="0" t="n">
        <f aca="false">H2750</f>
        <v>-1</v>
      </c>
      <c r="N2750" s="0" t="n">
        <f aca="false">E2750*F2750</f>
        <v>-0.125</v>
      </c>
      <c r="O2750" s="0" t="n">
        <f aca="false">E2750*G2750</f>
        <v>-0.25</v>
      </c>
      <c r="P2750" s="0" t="n">
        <f aca="false">E2750*H2750</f>
        <v>0.25</v>
      </c>
      <c r="Q2750" s="0" t="n">
        <f aca="false">F2750*G2750</f>
        <v>0.5</v>
      </c>
      <c r="R2750" s="0" t="n">
        <f aca="false">F2750*H2750</f>
        <v>-0.5</v>
      </c>
      <c r="S2750" s="0" t="n">
        <f aca="false">G2750*H2750</f>
        <v>-1</v>
      </c>
      <c r="T2750" s="0" t="n">
        <f aca="false">E2750*E2750</f>
        <v>0.0625</v>
      </c>
      <c r="U2750" s="0" t="n">
        <f aca="false">F2750*F2750</f>
        <v>0.25</v>
      </c>
      <c r="V2750" s="0" t="n">
        <f aca="false">G2750*G2750</f>
        <v>1</v>
      </c>
      <c r="W2750" s="0" t="n">
        <f aca="false">H2750*H2750</f>
        <v>1</v>
      </c>
      <c r="X2750" s="0" t="n">
        <f aca="false">SUMPRODUCT(I2750:W2750,_XtX!$B$96:$P$96)</f>
        <v>47.1877010233918</v>
      </c>
      <c r="Y2750" s="0" t="n">
        <f aca="false">SUMPRODUCT(MMULT(I2750:W2750,_XtX!$B$78:$P$92),I2750:W2750)</f>
        <v>0.629174661915205</v>
      </c>
      <c r="Z2750" s="0" t="n">
        <f aca="false">04_回帰ANOVA!$K$19*04_回帰ANOVA!$K$14*SQRT(1+Y2750)</f>
        <v>1.66372758058297</v>
      </c>
      <c r="AA2750" s="0" t="n">
        <f aca="false">X2750-Z2750</f>
        <v>45.5239734428088</v>
      </c>
      <c r="AB2750" s="0" t="n">
        <f aca="false">X2750+Z2750</f>
        <v>48.8514286039748</v>
      </c>
      <c r="AC2750" s="54" t="b">
        <f aca="false">AND(E2750&gt;=01_因子設定!$L$5-0.000000001,E2750&lt;=01_因子設定!$M$5+0.000000001,F2750&gt;=01_因子設定!$L$6-0.000000001,F2750&lt;=01_因子設定!$M$6+0.000000001,G2750&gt;=01_因子設定!$L$7-0.000000001,G2750&lt;=01_因子設定!$M$7+0.000000001,H2750&gt;=01_因子設定!$L$8-0.000000001,H2750&lt;=01_因子設定!$M$8+0.000000001,IF(01_因子設定!$B$20="Box-Behnken",E2750^2+F2750^2+G2750^2+H2750^2&lt;=2+0.000000001,TRUE()))</f>
        <v>1</v>
      </c>
      <c r="AD2750" s="55" t="n">
        <f aca="false">IF(AC2750,IF(01_因子設定!$B$13="最大化",AA2750-01_因子設定!$B$14,IF(01_因子設定!$B$13="最小化",01_因子設定!$B$15-AB2750,MIN(AA2750-01_因子設定!$B$14,01_因子設定!$B$15-AB2750))),-1E+030)</f>
        <v>-0.976026557191176</v>
      </c>
      <c r="AE2750" s="55" t="n">
        <f aca="false">IF(AC2750,IF(01_因子設定!$B$13="最大化",X2750,IF(01_因子設定!$B$13="最小化",-X2750,-ABS(X2750-01_因子設定!$B$16))),-1E+030)</f>
        <v>47.1877010233918</v>
      </c>
      <c r="AF2750" s="55" t="n">
        <f aca="false">AD2750+ROW()*0.000000001</f>
        <v>-0.976023807191176</v>
      </c>
      <c r="AG2750" s="55" t="n">
        <f aca="false">AE2750+ROW()*0.000000001</f>
        <v>47.1877037733918</v>
      </c>
    </row>
    <row r="2751" customFormat="false" ht="15" hidden="false" customHeight="false" outlineLevel="0" collapsed="false">
      <c r="A2751" s="0" t="n">
        <v>3</v>
      </c>
      <c r="B2751" s="0" t="n">
        <v>6</v>
      </c>
      <c r="C2751" s="0" t="n">
        <v>8</v>
      </c>
      <c r="D2751" s="0" t="n">
        <v>1</v>
      </c>
      <c r="E2751" s="0" t="n">
        <f aca="false">-1+A2751*0.25</f>
        <v>-0.25</v>
      </c>
      <c r="F2751" s="0" t="n">
        <f aca="false">-1+B2751*0.25</f>
        <v>0.5</v>
      </c>
      <c r="G2751" s="0" t="n">
        <f aca="false">-1+C2751*0.25</f>
        <v>1</v>
      </c>
      <c r="H2751" s="0" t="n">
        <f aca="false">-1+D2751*0.25</f>
        <v>-0.75</v>
      </c>
      <c r="I2751" s="0" t="n">
        <f aca="false">1</f>
        <v>1</v>
      </c>
      <c r="J2751" s="0" t="n">
        <f aca="false">E2751</f>
        <v>-0.25</v>
      </c>
      <c r="K2751" s="0" t="n">
        <f aca="false">F2751</f>
        <v>0.5</v>
      </c>
      <c r="L2751" s="0" t="n">
        <f aca="false">G2751</f>
        <v>1</v>
      </c>
      <c r="M2751" s="0" t="n">
        <f aca="false">H2751</f>
        <v>-0.75</v>
      </c>
      <c r="N2751" s="0" t="n">
        <f aca="false">E2751*F2751</f>
        <v>-0.125</v>
      </c>
      <c r="O2751" s="0" t="n">
        <f aca="false">E2751*G2751</f>
        <v>-0.25</v>
      </c>
      <c r="P2751" s="0" t="n">
        <f aca="false">E2751*H2751</f>
        <v>0.1875</v>
      </c>
      <c r="Q2751" s="0" t="n">
        <f aca="false">F2751*G2751</f>
        <v>0.5</v>
      </c>
      <c r="R2751" s="0" t="n">
        <f aca="false">F2751*H2751</f>
        <v>-0.375</v>
      </c>
      <c r="S2751" s="0" t="n">
        <f aca="false">G2751*H2751</f>
        <v>-0.75</v>
      </c>
      <c r="T2751" s="0" t="n">
        <f aca="false">E2751*E2751</f>
        <v>0.0625</v>
      </c>
      <c r="U2751" s="0" t="n">
        <f aca="false">F2751*F2751</f>
        <v>0.25</v>
      </c>
      <c r="V2751" s="0" t="n">
        <f aca="false">G2751*G2751</f>
        <v>1</v>
      </c>
      <c r="W2751" s="0" t="n">
        <f aca="false">H2751*H2751</f>
        <v>0.5625</v>
      </c>
      <c r="X2751" s="0" t="n">
        <f aca="false">SUMPRODUCT(I2751:W2751,_XtX!$B$96:$P$96)</f>
        <v>47.4939144736842</v>
      </c>
      <c r="Y2751" s="0" t="n">
        <f aca="false">SUMPRODUCT(MMULT(I2751:W2751,_XtX!$B$78:$P$92),I2751:W2751)</f>
        <v>0.459125719572369</v>
      </c>
      <c r="Z2751" s="0" t="n">
        <f aca="false">04_回帰ANOVA!$K$19*04_回帰ANOVA!$K$14*SQRT(1+Y2751)</f>
        <v>1.57450755575573</v>
      </c>
      <c r="AA2751" s="0" t="n">
        <f aca="false">X2751-Z2751</f>
        <v>45.9194069179285</v>
      </c>
      <c r="AB2751" s="0" t="n">
        <f aca="false">X2751+Z2751</f>
        <v>49.0684220294399</v>
      </c>
      <c r="AC2751" s="54" t="b">
        <f aca="false">AND(E2751&gt;=01_因子設定!$L$5-0.000000001,E2751&lt;=01_因子設定!$M$5+0.000000001,F2751&gt;=01_因子設定!$L$6-0.000000001,F2751&lt;=01_因子設定!$M$6+0.000000001,G2751&gt;=01_因子設定!$L$7-0.000000001,G2751&lt;=01_因子設定!$M$7+0.000000001,H2751&gt;=01_因子設定!$L$8-0.000000001,H2751&lt;=01_因子設定!$M$8+0.000000001,IF(01_因子設定!$B$20="Box-Behnken",E2751^2+F2751^2+G2751^2+H2751^2&lt;=2+0.000000001,TRUE()))</f>
        <v>1</v>
      </c>
      <c r="AD2751" s="55" t="n">
        <f aca="false">IF(AC2751,IF(01_因子設定!$B$13="最大化",AA2751-01_因子設定!$B$14,IF(01_因子設定!$B$13="最小化",01_因子設定!$B$15-AB2751,MIN(AA2751-01_因子設定!$B$14,01_因子設定!$B$15-AB2751))),-1E+030)</f>
        <v>-0.580593082071552</v>
      </c>
      <c r="AE2751" s="55" t="n">
        <f aca="false">IF(AC2751,IF(01_因子設定!$B$13="最大化",X2751,IF(01_因子設定!$B$13="最小化",-X2751,-ABS(X2751-01_因子設定!$B$16))),-1E+030)</f>
        <v>47.4939144736842</v>
      </c>
      <c r="AF2751" s="55" t="n">
        <f aca="false">AD2751+ROW()*0.000000001</f>
        <v>-0.580590331071552</v>
      </c>
      <c r="AG2751" s="55" t="n">
        <f aca="false">AE2751+ROW()*0.000000001</f>
        <v>47.4939172246842</v>
      </c>
    </row>
    <row r="2752" customFormat="false" ht="15" hidden="false" customHeight="false" outlineLevel="0" collapsed="false">
      <c r="A2752" s="0" t="n">
        <v>3</v>
      </c>
      <c r="B2752" s="0" t="n">
        <v>6</v>
      </c>
      <c r="C2752" s="0" t="n">
        <v>8</v>
      </c>
      <c r="D2752" s="0" t="n">
        <v>2</v>
      </c>
      <c r="E2752" s="0" t="n">
        <f aca="false">-1+A2752*0.25</f>
        <v>-0.25</v>
      </c>
      <c r="F2752" s="0" t="n">
        <f aca="false">-1+B2752*0.25</f>
        <v>0.5</v>
      </c>
      <c r="G2752" s="0" t="n">
        <f aca="false">-1+C2752*0.25</f>
        <v>1</v>
      </c>
      <c r="H2752" s="0" t="n">
        <f aca="false">-1+D2752*0.25</f>
        <v>-0.5</v>
      </c>
      <c r="I2752" s="0" t="n">
        <f aca="false">1</f>
        <v>1</v>
      </c>
      <c r="J2752" s="0" t="n">
        <f aca="false">E2752</f>
        <v>-0.25</v>
      </c>
      <c r="K2752" s="0" t="n">
        <f aca="false">F2752</f>
        <v>0.5</v>
      </c>
      <c r="L2752" s="0" t="n">
        <f aca="false">G2752</f>
        <v>1</v>
      </c>
      <c r="M2752" s="0" t="n">
        <f aca="false">H2752</f>
        <v>-0.5</v>
      </c>
      <c r="N2752" s="0" t="n">
        <f aca="false">E2752*F2752</f>
        <v>-0.125</v>
      </c>
      <c r="O2752" s="0" t="n">
        <f aca="false">E2752*G2752</f>
        <v>-0.25</v>
      </c>
      <c r="P2752" s="0" t="n">
        <f aca="false">E2752*H2752</f>
        <v>0.125</v>
      </c>
      <c r="Q2752" s="0" t="n">
        <f aca="false">F2752*G2752</f>
        <v>0.5</v>
      </c>
      <c r="R2752" s="0" t="n">
        <f aca="false">F2752*H2752</f>
        <v>-0.25</v>
      </c>
      <c r="S2752" s="0" t="n">
        <f aca="false">G2752*H2752</f>
        <v>-0.5</v>
      </c>
      <c r="T2752" s="0" t="n">
        <f aca="false">E2752*E2752</f>
        <v>0.0625</v>
      </c>
      <c r="U2752" s="0" t="n">
        <f aca="false">F2752*F2752</f>
        <v>0.25</v>
      </c>
      <c r="V2752" s="0" t="n">
        <f aca="false">G2752*G2752</f>
        <v>1</v>
      </c>
      <c r="W2752" s="0" t="n">
        <f aca="false">H2752*H2752</f>
        <v>0.25</v>
      </c>
      <c r="X2752" s="0" t="n">
        <f aca="false">SUMPRODUCT(I2752:W2752,_XtX!$B$96:$P$96)</f>
        <v>47.7523209064327</v>
      </c>
      <c r="Y2752" s="0" t="n">
        <f aca="false">SUMPRODUCT(MMULT(I2752:W2752,_XtX!$B$78:$P$92),I2752:W2752)</f>
        <v>0.428122715643275</v>
      </c>
      <c r="Z2752" s="0" t="n">
        <f aca="false">04_回帰ANOVA!$K$19*04_回帰ANOVA!$K$14*SQRT(1+Y2752)</f>
        <v>1.55769044623229</v>
      </c>
      <c r="AA2752" s="0" t="n">
        <f aca="false">X2752-Z2752</f>
        <v>46.1946304602004</v>
      </c>
      <c r="AB2752" s="0" t="n">
        <f aca="false">X2752+Z2752</f>
        <v>49.310011352665</v>
      </c>
      <c r="AC2752" s="54" t="b">
        <f aca="false">AND(E2752&gt;=01_因子設定!$L$5-0.000000001,E2752&lt;=01_因子設定!$M$5+0.000000001,F2752&gt;=01_因子設定!$L$6-0.000000001,F2752&lt;=01_因子設定!$M$6+0.000000001,G2752&gt;=01_因子設定!$L$7-0.000000001,G2752&lt;=01_因子設定!$M$7+0.000000001,H2752&gt;=01_因子設定!$L$8-0.000000001,H2752&lt;=01_因子設定!$M$8+0.000000001,IF(01_因子設定!$B$20="Box-Behnken",E2752^2+F2752^2+G2752^2+H2752^2&lt;=2+0.000000001,TRUE()))</f>
        <v>1</v>
      </c>
      <c r="AD2752" s="55" t="n">
        <f aca="false">IF(AC2752,IF(01_因子設定!$B$13="最大化",AA2752-01_因子設定!$B$14,IF(01_因子設定!$B$13="最小化",01_因子設定!$B$15-AB2752,MIN(AA2752-01_因子設定!$B$14,01_因子設定!$B$15-AB2752))),-1E+030)</f>
        <v>-0.305369539799592</v>
      </c>
      <c r="AE2752" s="55" t="n">
        <f aca="false">IF(AC2752,IF(01_因子設定!$B$13="最大化",X2752,IF(01_因子設定!$B$13="最小化",-X2752,-ABS(X2752-01_因子設定!$B$16))),-1E+030)</f>
        <v>47.7523209064327</v>
      </c>
      <c r="AF2752" s="55" t="n">
        <f aca="false">AD2752+ROW()*0.000000001</f>
        <v>-0.305366787799592</v>
      </c>
      <c r="AG2752" s="55" t="n">
        <f aca="false">AE2752+ROW()*0.000000001</f>
        <v>47.7523236584327</v>
      </c>
    </row>
    <row r="2753" customFormat="false" ht="15" hidden="false" customHeight="false" outlineLevel="0" collapsed="false">
      <c r="A2753" s="0" t="n">
        <v>3</v>
      </c>
      <c r="B2753" s="0" t="n">
        <v>6</v>
      </c>
      <c r="C2753" s="0" t="n">
        <v>8</v>
      </c>
      <c r="D2753" s="0" t="n">
        <v>3</v>
      </c>
      <c r="E2753" s="0" t="n">
        <f aca="false">-1+A2753*0.25</f>
        <v>-0.25</v>
      </c>
      <c r="F2753" s="0" t="n">
        <f aca="false">-1+B2753*0.25</f>
        <v>0.5</v>
      </c>
      <c r="G2753" s="0" t="n">
        <f aca="false">-1+C2753*0.25</f>
        <v>1</v>
      </c>
      <c r="H2753" s="0" t="n">
        <f aca="false">-1+D2753*0.25</f>
        <v>-0.25</v>
      </c>
      <c r="I2753" s="0" t="n">
        <f aca="false">1</f>
        <v>1</v>
      </c>
      <c r="J2753" s="0" t="n">
        <f aca="false">E2753</f>
        <v>-0.25</v>
      </c>
      <c r="K2753" s="0" t="n">
        <f aca="false">F2753</f>
        <v>0.5</v>
      </c>
      <c r="L2753" s="0" t="n">
        <f aca="false">G2753</f>
        <v>1</v>
      </c>
      <c r="M2753" s="0" t="n">
        <f aca="false">H2753</f>
        <v>-0.25</v>
      </c>
      <c r="N2753" s="0" t="n">
        <f aca="false">E2753*F2753</f>
        <v>-0.125</v>
      </c>
      <c r="O2753" s="0" t="n">
        <f aca="false">E2753*G2753</f>
        <v>-0.25</v>
      </c>
      <c r="P2753" s="0" t="n">
        <f aca="false">E2753*H2753</f>
        <v>0.0625</v>
      </c>
      <c r="Q2753" s="0" t="n">
        <f aca="false">F2753*G2753</f>
        <v>0.5</v>
      </c>
      <c r="R2753" s="0" t="n">
        <f aca="false">F2753*H2753</f>
        <v>-0.125</v>
      </c>
      <c r="S2753" s="0" t="n">
        <f aca="false">G2753*H2753</f>
        <v>-0.25</v>
      </c>
      <c r="T2753" s="0" t="n">
        <f aca="false">E2753*E2753</f>
        <v>0.0625</v>
      </c>
      <c r="U2753" s="0" t="n">
        <f aca="false">F2753*F2753</f>
        <v>0.25</v>
      </c>
      <c r="V2753" s="0" t="n">
        <f aca="false">G2753*G2753</f>
        <v>1</v>
      </c>
      <c r="W2753" s="0" t="n">
        <f aca="false">H2753*H2753</f>
        <v>0.0625</v>
      </c>
      <c r="X2753" s="0" t="n">
        <f aca="false">SUMPRODUCT(I2753:W2753,_XtX!$B$96:$P$96)</f>
        <v>47.9629203216374</v>
      </c>
      <c r="Y2753" s="0" t="n">
        <f aca="false">SUMPRODUCT(MMULT(I2753:W2753,_XtX!$B$78:$P$92),I2753:W2753)</f>
        <v>0.445705123812135</v>
      </c>
      <c r="Z2753" s="0" t="n">
        <f aca="false">04_回帰ANOVA!$K$19*04_回帰ANOVA!$K$14*SQRT(1+Y2753)</f>
        <v>1.56724990734749</v>
      </c>
      <c r="AA2753" s="0" t="n">
        <f aca="false">X2753-Z2753</f>
        <v>46.3956704142899</v>
      </c>
      <c r="AB2753" s="0" t="n">
        <f aca="false">X2753+Z2753</f>
        <v>49.5301702289849</v>
      </c>
      <c r="AC2753" s="54" t="b">
        <f aca="false">AND(E2753&gt;=01_因子設定!$L$5-0.000000001,E2753&lt;=01_因子設定!$M$5+0.000000001,F2753&gt;=01_因子設定!$L$6-0.000000001,F2753&lt;=01_因子設定!$M$6+0.000000001,G2753&gt;=01_因子設定!$L$7-0.000000001,G2753&lt;=01_因子設定!$M$7+0.000000001,H2753&gt;=01_因子設定!$L$8-0.000000001,H2753&lt;=01_因子設定!$M$8+0.000000001,IF(01_因子設定!$B$20="Box-Behnken",E2753^2+F2753^2+G2753^2+H2753^2&lt;=2+0.000000001,TRUE()))</f>
        <v>1</v>
      </c>
      <c r="AD2753" s="55" t="n">
        <f aca="false">IF(AC2753,IF(01_因子設定!$B$13="最大化",AA2753-01_因子設定!$B$14,IF(01_因子設定!$B$13="最小化",01_因子設定!$B$15-AB2753,MIN(AA2753-01_因子設定!$B$14,01_因子設定!$B$15-AB2753))),-1E+030)</f>
        <v>-0.104329585710111</v>
      </c>
      <c r="AE2753" s="55" t="n">
        <f aca="false">IF(AC2753,IF(01_因子設定!$B$13="最大化",X2753,IF(01_因子設定!$B$13="最小化",-X2753,-ABS(X2753-01_因子設定!$B$16))),-1E+030)</f>
        <v>47.9629203216374</v>
      </c>
      <c r="AF2753" s="55" t="n">
        <f aca="false">AD2753+ROW()*0.000000001</f>
        <v>-0.104326832710111</v>
      </c>
      <c r="AG2753" s="55" t="n">
        <f aca="false">AE2753+ROW()*0.000000001</f>
        <v>47.9629230746374</v>
      </c>
    </row>
    <row r="2754" customFormat="false" ht="15" hidden="false" customHeight="false" outlineLevel="0" collapsed="false">
      <c r="A2754" s="0" t="n">
        <v>3</v>
      </c>
      <c r="B2754" s="0" t="n">
        <v>6</v>
      </c>
      <c r="C2754" s="0" t="n">
        <v>8</v>
      </c>
      <c r="D2754" s="0" t="n">
        <v>4</v>
      </c>
      <c r="E2754" s="0" t="n">
        <f aca="false">-1+A2754*0.25</f>
        <v>-0.25</v>
      </c>
      <c r="F2754" s="0" t="n">
        <f aca="false">-1+B2754*0.25</f>
        <v>0.5</v>
      </c>
      <c r="G2754" s="0" t="n">
        <f aca="false">-1+C2754*0.25</f>
        <v>1</v>
      </c>
      <c r="H2754" s="0" t="n">
        <f aca="false">-1+D2754*0.25</f>
        <v>0</v>
      </c>
      <c r="I2754" s="0" t="n">
        <f aca="false">1</f>
        <v>1</v>
      </c>
      <c r="J2754" s="0" t="n">
        <f aca="false">E2754</f>
        <v>-0.25</v>
      </c>
      <c r="K2754" s="0" t="n">
        <f aca="false">F2754</f>
        <v>0.5</v>
      </c>
      <c r="L2754" s="0" t="n">
        <f aca="false">G2754</f>
        <v>1</v>
      </c>
      <c r="M2754" s="0" t="n">
        <f aca="false">H2754</f>
        <v>0</v>
      </c>
      <c r="N2754" s="0" t="n">
        <f aca="false">E2754*F2754</f>
        <v>-0.125</v>
      </c>
      <c r="O2754" s="0" t="n">
        <f aca="false">E2754*G2754</f>
        <v>-0.25</v>
      </c>
      <c r="P2754" s="0" t="n">
        <f aca="false">E2754*H2754</f>
        <v>-0</v>
      </c>
      <c r="Q2754" s="0" t="n">
        <f aca="false">F2754*G2754</f>
        <v>0.5</v>
      </c>
      <c r="R2754" s="0" t="n">
        <f aca="false">F2754*H2754</f>
        <v>0</v>
      </c>
      <c r="S2754" s="0" t="n">
        <f aca="false">G2754*H2754</f>
        <v>0</v>
      </c>
      <c r="T2754" s="0" t="n">
        <f aca="false">E2754*E2754</f>
        <v>0.0625</v>
      </c>
      <c r="U2754" s="0" t="n">
        <f aca="false">F2754*F2754</f>
        <v>0.25</v>
      </c>
      <c r="V2754" s="0" t="n">
        <f aca="false">G2754*G2754</f>
        <v>1</v>
      </c>
      <c r="W2754" s="0" t="n">
        <f aca="false">H2754*H2754</f>
        <v>0</v>
      </c>
      <c r="X2754" s="0" t="n">
        <f aca="false">SUMPRODUCT(I2754:W2754,_XtX!$B$96:$P$96)</f>
        <v>48.1257127192982</v>
      </c>
      <c r="Y2754" s="0" t="n">
        <f aca="false">SUMPRODUCT(MMULT(I2754:W2754,_XtX!$B$78:$P$92),I2754:W2754)</f>
        <v>0.457596628289474</v>
      </c>
      <c r="Z2754" s="0" t="n">
        <f aca="false">04_回帰ANOVA!$K$19*04_回帰ANOVA!$K$14*SQRT(1+Y2754)</f>
        <v>1.57368233664366</v>
      </c>
      <c r="AA2754" s="0" t="n">
        <f aca="false">X2754-Z2754</f>
        <v>46.5520303826545</v>
      </c>
      <c r="AB2754" s="0" t="n">
        <f aca="false">X2754+Z2754</f>
        <v>49.6993950559419</v>
      </c>
      <c r="AC2754" s="54" t="b">
        <f aca="false">AND(E2754&gt;=01_因子設定!$L$5-0.000000001,E2754&lt;=01_因子設定!$M$5+0.000000001,F2754&gt;=01_因子設定!$L$6-0.000000001,F2754&lt;=01_因子設定!$M$6+0.000000001,G2754&gt;=01_因子設定!$L$7-0.000000001,G2754&lt;=01_因子設定!$M$7+0.000000001,H2754&gt;=01_因子設定!$L$8-0.000000001,H2754&lt;=01_因子設定!$M$8+0.000000001,IF(01_因子設定!$B$20="Box-Behnken",E2754^2+F2754^2+G2754^2+H2754^2&lt;=2+0.000000001,TRUE()))</f>
        <v>1</v>
      </c>
      <c r="AD2754" s="55" t="n">
        <f aca="false">IF(AC2754,IF(01_因子設定!$B$13="最大化",AA2754-01_因子設定!$B$14,IF(01_因子設定!$B$13="最小化",01_因子設定!$B$15-AB2754,MIN(AA2754-01_因子設定!$B$14,01_因子設定!$B$15-AB2754))),-1E+030)</f>
        <v>0.0520303826545359</v>
      </c>
      <c r="AE2754" s="55" t="n">
        <f aca="false">IF(AC2754,IF(01_因子設定!$B$13="最大化",X2754,IF(01_因子設定!$B$13="最小化",-X2754,-ABS(X2754-01_因子設定!$B$16))),-1E+030)</f>
        <v>48.1257127192982</v>
      </c>
      <c r="AF2754" s="55" t="n">
        <f aca="false">AD2754+ROW()*0.000000001</f>
        <v>0.0520331366545359</v>
      </c>
      <c r="AG2754" s="55" t="n">
        <f aca="false">AE2754+ROW()*0.000000001</f>
        <v>48.1257154732982</v>
      </c>
    </row>
    <row r="2755" customFormat="false" ht="15" hidden="false" customHeight="false" outlineLevel="0" collapsed="false">
      <c r="A2755" s="0" t="n">
        <v>3</v>
      </c>
      <c r="B2755" s="0" t="n">
        <v>6</v>
      </c>
      <c r="C2755" s="0" t="n">
        <v>8</v>
      </c>
      <c r="D2755" s="0" t="n">
        <v>5</v>
      </c>
      <c r="E2755" s="0" t="n">
        <f aca="false">-1+A2755*0.25</f>
        <v>-0.25</v>
      </c>
      <c r="F2755" s="0" t="n">
        <f aca="false">-1+B2755*0.25</f>
        <v>0.5</v>
      </c>
      <c r="G2755" s="0" t="n">
        <f aca="false">-1+C2755*0.25</f>
        <v>1</v>
      </c>
      <c r="H2755" s="0" t="n">
        <f aca="false">-1+D2755*0.25</f>
        <v>0.25</v>
      </c>
      <c r="I2755" s="0" t="n">
        <f aca="false">1</f>
        <v>1</v>
      </c>
      <c r="J2755" s="0" t="n">
        <f aca="false">E2755</f>
        <v>-0.25</v>
      </c>
      <c r="K2755" s="0" t="n">
        <f aca="false">F2755</f>
        <v>0.5</v>
      </c>
      <c r="L2755" s="0" t="n">
        <f aca="false">G2755</f>
        <v>1</v>
      </c>
      <c r="M2755" s="0" t="n">
        <f aca="false">H2755</f>
        <v>0.25</v>
      </c>
      <c r="N2755" s="0" t="n">
        <f aca="false">E2755*F2755</f>
        <v>-0.125</v>
      </c>
      <c r="O2755" s="0" t="n">
        <f aca="false">E2755*G2755</f>
        <v>-0.25</v>
      </c>
      <c r="P2755" s="0" t="n">
        <f aca="false">E2755*H2755</f>
        <v>-0.0625</v>
      </c>
      <c r="Q2755" s="0" t="n">
        <f aca="false">F2755*G2755</f>
        <v>0.5</v>
      </c>
      <c r="R2755" s="0" t="n">
        <f aca="false">F2755*H2755</f>
        <v>0.125</v>
      </c>
      <c r="S2755" s="0" t="n">
        <f aca="false">G2755*H2755</f>
        <v>0.25</v>
      </c>
      <c r="T2755" s="0" t="n">
        <f aca="false">E2755*E2755</f>
        <v>0.0625</v>
      </c>
      <c r="U2755" s="0" t="n">
        <f aca="false">F2755*F2755</f>
        <v>0.25</v>
      </c>
      <c r="V2755" s="0" t="n">
        <f aca="false">G2755*G2755</f>
        <v>1</v>
      </c>
      <c r="W2755" s="0" t="n">
        <f aca="false">H2755*H2755</f>
        <v>0.0625</v>
      </c>
      <c r="X2755" s="0" t="n">
        <f aca="false">SUMPRODUCT(I2755:W2755,_XtX!$B$96:$P$96)</f>
        <v>48.2406980994152</v>
      </c>
      <c r="Y2755" s="0" t="n">
        <f aca="false">SUMPRODUCT(MMULT(I2755:W2755,_XtX!$B$78:$P$92),I2755:W2755)</f>
        <v>0.445705123812135</v>
      </c>
      <c r="Z2755" s="0" t="n">
        <f aca="false">04_回帰ANOVA!$K$19*04_回帰ANOVA!$K$14*SQRT(1+Y2755)</f>
        <v>1.56724990734749</v>
      </c>
      <c r="AA2755" s="0" t="n">
        <f aca="false">X2755-Z2755</f>
        <v>46.6734481920677</v>
      </c>
      <c r="AB2755" s="0" t="n">
        <f aca="false">X2755+Z2755</f>
        <v>49.8079480067626</v>
      </c>
      <c r="AC2755" s="54" t="b">
        <f aca="false">AND(E2755&gt;=01_因子設定!$L$5-0.000000001,E2755&lt;=01_因子設定!$M$5+0.000000001,F2755&gt;=01_因子設定!$L$6-0.000000001,F2755&lt;=01_因子設定!$M$6+0.000000001,G2755&gt;=01_因子設定!$L$7-0.000000001,G2755&lt;=01_因子設定!$M$7+0.000000001,H2755&gt;=01_因子設定!$L$8-0.000000001,H2755&lt;=01_因子設定!$M$8+0.000000001,IF(01_因子設定!$B$20="Box-Behnken",E2755^2+F2755^2+G2755^2+H2755^2&lt;=2+0.000000001,TRUE()))</f>
        <v>1</v>
      </c>
      <c r="AD2755" s="55" t="n">
        <f aca="false">IF(AC2755,IF(01_因子設定!$B$13="最大化",AA2755-01_因子設定!$B$14,IF(01_因子設定!$B$13="最小化",01_因子設定!$B$15-AB2755,MIN(AA2755-01_因子設定!$B$14,01_因子設定!$B$15-AB2755))),-1E+030)</f>
        <v>0.17344819206766</v>
      </c>
      <c r="AE2755" s="55" t="n">
        <f aca="false">IF(AC2755,IF(01_因子設定!$B$13="最大化",X2755,IF(01_因子設定!$B$13="最小化",-X2755,-ABS(X2755-01_因子設定!$B$16))),-1E+030)</f>
        <v>48.2406980994152</v>
      </c>
      <c r="AF2755" s="55" t="n">
        <f aca="false">AD2755+ROW()*0.000000001</f>
        <v>0.17345094706766</v>
      </c>
      <c r="AG2755" s="55" t="n">
        <f aca="false">AE2755+ROW()*0.000000001</f>
        <v>48.2407008544151</v>
      </c>
    </row>
    <row r="2756" customFormat="false" ht="15" hidden="false" customHeight="false" outlineLevel="0" collapsed="false">
      <c r="A2756" s="0" t="n">
        <v>3</v>
      </c>
      <c r="B2756" s="0" t="n">
        <v>6</v>
      </c>
      <c r="C2756" s="0" t="n">
        <v>8</v>
      </c>
      <c r="D2756" s="0" t="n">
        <v>6</v>
      </c>
      <c r="E2756" s="0" t="n">
        <f aca="false">-1+A2756*0.25</f>
        <v>-0.25</v>
      </c>
      <c r="F2756" s="0" t="n">
        <f aca="false">-1+B2756*0.25</f>
        <v>0.5</v>
      </c>
      <c r="G2756" s="0" t="n">
        <f aca="false">-1+C2756*0.25</f>
        <v>1</v>
      </c>
      <c r="H2756" s="0" t="n">
        <f aca="false">-1+D2756*0.25</f>
        <v>0.5</v>
      </c>
      <c r="I2756" s="0" t="n">
        <f aca="false">1</f>
        <v>1</v>
      </c>
      <c r="J2756" s="0" t="n">
        <f aca="false">E2756</f>
        <v>-0.25</v>
      </c>
      <c r="K2756" s="0" t="n">
        <f aca="false">F2756</f>
        <v>0.5</v>
      </c>
      <c r="L2756" s="0" t="n">
        <f aca="false">G2756</f>
        <v>1</v>
      </c>
      <c r="M2756" s="0" t="n">
        <f aca="false">H2756</f>
        <v>0.5</v>
      </c>
      <c r="N2756" s="0" t="n">
        <f aca="false">E2756*F2756</f>
        <v>-0.125</v>
      </c>
      <c r="O2756" s="0" t="n">
        <f aca="false">E2756*G2756</f>
        <v>-0.25</v>
      </c>
      <c r="P2756" s="0" t="n">
        <f aca="false">E2756*H2756</f>
        <v>-0.125</v>
      </c>
      <c r="Q2756" s="0" t="n">
        <f aca="false">F2756*G2756</f>
        <v>0.5</v>
      </c>
      <c r="R2756" s="0" t="n">
        <f aca="false">F2756*H2756</f>
        <v>0.25</v>
      </c>
      <c r="S2756" s="0" t="n">
        <f aca="false">G2756*H2756</f>
        <v>0.5</v>
      </c>
      <c r="T2756" s="0" t="n">
        <f aca="false">E2756*E2756</f>
        <v>0.0625</v>
      </c>
      <c r="U2756" s="0" t="n">
        <f aca="false">F2756*F2756</f>
        <v>0.25</v>
      </c>
      <c r="V2756" s="0" t="n">
        <f aca="false">G2756*G2756</f>
        <v>1</v>
      </c>
      <c r="W2756" s="0" t="n">
        <f aca="false">H2756*H2756</f>
        <v>0.25</v>
      </c>
      <c r="X2756" s="0" t="n">
        <f aca="false">SUMPRODUCT(I2756:W2756,_XtX!$B$96:$P$96)</f>
        <v>48.3078764619883</v>
      </c>
      <c r="Y2756" s="0" t="n">
        <f aca="false">SUMPRODUCT(MMULT(I2756:W2756,_XtX!$B$78:$P$92),I2756:W2756)</f>
        <v>0.428122715643275</v>
      </c>
      <c r="Z2756" s="0" t="n">
        <f aca="false">04_回帰ANOVA!$K$19*04_回帰ANOVA!$K$14*SQRT(1+Y2756)</f>
        <v>1.55769044623229</v>
      </c>
      <c r="AA2756" s="0" t="n">
        <f aca="false">X2756-Z2756</f>
        <v>46.750186015756</v>
      </c>
      <c r="AB2756" s="0" t="n">
        <f aca="false">X2756+Z2756</f>
        <v>49.8655669082206</v>
      </c>
      <c r="AC2756" s="54" t="b">
        <f aca="false">AND(E2756&gt;=01_因子設定!$L$5-0.000000001,E2756&lt;=01_因子設定!$M$5+0.000000001,F2756&gt;=01_因子設定!$L$6-0.000000001,F2756&lt;=01_因子設定!$M$6+0.000000001,G2756&gt;=01_因子設定!$L$7-0.000000001,G2756&lt;=01_因子設定!$M$7+0.000000001,H2756&gt;=01_因子設定!$L$8-0.000000001,H2756&lt;=01_因子設定!$M$8+0.000000001,IF(01_因子設定!$B$20="Box-Behnken",E2756^2+F2756^2+G2756^2+H2756^2&lt;=2+0.000000001,TRUE()))</f>
        <v>1</v>
      </c>
      <c r="AD2756" s="55" t="n">
        <f aca="false">IF(AC2756,IF(01_因子設定!$B$13="最大化",AA2756-01_因子設定!$B$14,IF(01_因子設定!$B$13="最小化",01_因子設定!$B$15-AB2756,MIN(AA2756-01_因子設定!$B$14,01_因子設定!$B$15-AB2756))),-1E+030)</f>
        <v>0.250186015755965</v>
      </c>
      <c r="AE2756" s="55" t="n">
        <f aca="false">IF(AC2756,IF(01_因子設定!$B$13="最大化",X2756,IF(01_因子設定!$B$13="最小化",-X2756,-ABS(X2756-01_因子設定!$B$16))),-1E+030)</f>
        <v>48.3078764619883</v>
      </c>
      <c r="AF2756" s="55" t="n">
        <f aca="false">AD2756+ROW()*0.000000001</f>
        <v>0.250188771755965</v>
      </c>
      <c r="AG2756" s="55" t="n">
        <f aca="false">AE2756+ROW()*0.000000001</f>
        <v>48.3078792179883</v>
      </c>
    </row>
    <row r="2757" customFormat="false" ht="15" hidden="false" customHeight="false" outlineLevel="0" collapsed="false">
      <c r="A2757" s="0" t="n">
        <v>3</v>
      </c>
      <c r="B2757" s="0" t="n">
        <v>6</v>
      </c>
      <c r="C2757" s="0" t="n">
        <v>8</v>
      </c>
      <c r="D2757" s="0" t="n">
        <v>7</v>
      </c>
      <c r="E2757" s="0" t="n">
        <f aca="false">-1+A2757*0.25</f>
        <v>-0.25</v>
      </c>
      <c r="F2757" s="0" t="n">
        <f aca="false">-1+B2757*0.25</f>
        <v>0.5</v>
      </c>
      <c r="G2757" s="0" t="n">
        <f aca="false">-1+C2757*0.25</f>
        <v>1</v>
      </c>
      <c r="H2757" s="0" t="n">
        <f aca="false">-1+D2757*0.25</f>
        <v>0.75</v>
      </c>
      <c r="I2757" s="0" t="n">
        <f aca="false">1</f>
        <v>1</v>
      </c>
      <c r="J2757" s="0" t="n">
        <f aca="false">E2757</f>
        <v>-0.25</v>
      </c>
      <c r="K2757" s="0" t="n">
        <f aca="false">F2757</f>
        <v>0.5</v>
      </c>
      <c r="L2757" s="0" t="n">
        <f aca="false">G2757</f>
        <v>1</v>
      </c>
      <c r="M2757" s="0" t="n">
        <f aca="false">H2757</f>
        <v>0.75</v>
      </c>
      <c r="N2757" s="0" t="n">
        <f aca="false">E2757*F2757</f>
        <v>-0.125</v>
      </c>
      <c r="O2757" s="0" t="n">
        <f aca="false">E2757*G2757</f>
        <v>-0.25</v>
      </c>
      <c r="P2757" s="0" t="n">
        <f aca="false">E2757*H2757</f>
        <v>-0.1875</v>
      </c>
      <c r="Q2757" s="0" t="n">
        <f aca="false">F2757*G2757</f>
        <v>0.5</v>
      </c>
      <c r="R2757" s="0" t="n">
        <f aca="false">F2757*H2757</f>
        <v>0.375</v>
      </c>
      <c r="S2757" s="0" t="n">
        <f aca="false">G2757*H2757</f>
        <v>0.75</v>
      </c>
      <c r="T2757" s="0" t="n">
        <f aca="false">E2757*E2757</f>
        <v>0.0625</v>
      </c>
      <c r="U2757" s="0" t="n">
        <f aca="false">F2757*F2757</f>
        <v>0.25</v>
      </c>
      <c r="V2757" s="0" t="n">
        <f aca="false">G2757*G2757</f>
        <v>1</v>
      </c>
      <c r="W2757" s="0" t="n">
        <f aca="false">H2757*H2757</f>
        <v>0.5625</v>
      </c>
      <c r="X2757" s="0" t="n">
        <f aca="false">SUMPRODUCT(I2757:W2757,_XtX!$B$96:$P$96)</f>
        <v>48.3272478070175</v>
      </c>
      <c r="Y2757" s="0" t="n">
        <f aca="false">SUMPRODUCT(MMULT(I2757:W2757,_XtX!$B$78:$P$92),I2757:W2757)</f>
        <v>0.459125719572369</v>
      </c>
      <c r="Z2757" s="0" t="n">
        <f aca="false">04_回帰ANOVA!$K$19*04_回帰ANOVA!$K$14*SQRT(1+Y2757)</f>
        <v>1.57450755575573</v>
      </c>
      <c r="AA2757" s="0" t="n">
        <f aca="false">X2757-Z2757</f>
        <v>46.7527402512618</v>
      </c>
      <c r="AB2757" s="0" t="n">
        <f aca="false">X2757+Z2757</f>
        <v>49.9017553627732</v>
      </c>
      <c r="AC2757" s="54" t="b">
        <f aca="false">AND(E2757&gt;=01_因子設定!$L$5-0.000000001,E2757&lt;=01_因子設定!$M$5+0.000000001,F2757&gt;=01_因子設定!$L$6-0.000000001,F2757&lt;=01_因子設定!$M$6+0.000000001,G2757&gt;=01_因子設定!$L$7-0.000000001,G2757&lt;=01_因子設定!$M$7+0.000000001,H2757&gt;=01_因子設定!$L$8-0.000000001,H2757&lt;=01_因子設定!$M$8+0.000000001,IF(01_因子設定!$B$20="Box-Behnken",E2757^2+F2757^2+G2757^2+H2757^2&lt;=2+0.000000001,TRUE()))</f>
        <v>1</v>
      </c>
      <c r="AD2757" s="55" t="n">
        <f aca="false">IF(AC2757,IF(01_因子設定!$B$13="最大化",AA2757-01_因子設定!$B$14,IF(01_因子設定!$B$13="最小化",01_因子設定!$B$15-AB2757,MIN(AA2757-01_因子設定!$B$14,01_因子設定!$B$15-AB2757))),-1E+030)</f>
        <v>0.252740251261777</v>
      </c>
      <c r="AE2757" s="55" t="n">
        <f aca="false">IF(AC2757,IF(01_因子設定!$B$13="最大化",X2757,IF(01_因子設定!$B$13="最小化",-X2757,-ABS(X2757-01_因子設定!$B$16))),-1E+030)</f>
        <v>48.3272478070175</v>
      </c>
      <c r="AF2757" s="55" t="n">
        <f aca="false">AD2757+ROW()*0.000000001</f>
        <v>0.252743008261777</v>
      </c>
      <c r="AG2757" s="55" t="n">
        <f aca="false">AE2757+ROW()*0.000000001</f>
        <v>48.3272505640175</v>
      </c>
    </row>
    <row r="2758" customFormat="false" ht="15" hidden="false" customHeight="false" outlineLevel="0" collapsed="false">
      <c r="A2758" s="0" t="n">
        <v>3</v>
      </c>
      <c r="B2758" s="0" t="n">
        <v>6</v>
      </c>
      <c r="C2758" s="0" t="n">
        <v>8</v>
      </c>
      <c r="D2758" s="0" t="n">
        <v>8</v>
      </c>
      <c r="E2758" s="0" t="n">
        <f aca="false">-1+A2758*0.25</f>
        <v>-0.25</v>
      </c>
      <c r="F2758" s="0" t="n">
        <f aca="false">-1+B2758*0.25</f>
        <v>0.5</v>
      </c>
      <c r="G2758" s="0" t="n">
        <f aca="false">-1+C2758*0.25</f>
        <v>1</v>
      </c>
      <c r="H2758" s="0" t="n">
        <f aca="false">-1+D2758*0.25</f>
        <v>1</v>
      </c>
      <c r="I2758" s="0" t="n">
        <f aca="false">1</f>
        <v>1</v>
      </c>
      <c r="J2758" s="0" t="n">
        <f aca="false">E2758</f>
        <v>-0.25</v>
      </c>
      <c r="K2758" s="0" t="n">
        <f aca="false">F2758</f>
        <v>0.5</v>
      </c>
      <c r="L2758" s="0" t="n">
        <f aca="false">G2758</f>
        <v>1</v>
      </c>
      <c r="M2758" s="0" t="n">
        <f aca="false">H2758</f>
        <v>1</v>
      </c>
      <c r="N2758" s="0" t="n">
        <f aca="false">E2758*F2758</f>
        <v>-0.125</v>
      </c>
      <c r="O2758" s="0" t="n">
        <f aca="false">E2758*G2758</f>
        <v>-0.25</v>
      </c>
      <c r="P2758" s="0" t="n">
        <f aca="false">E2758*H2758</f>
        <v>-0.25</v>
      </c>
      <c r="Q2758" s="0" t="n">
        <f aca="false">F2758*G2758</f>
        <v>0.5</v>
      </c>
      <c r="R2758" s="0" t="n">
        <f aca="false">F2758*H2758</f>
        <v>0.5</v>
      </c>
      <c r="S2758" s="0" t="n">
        <f aca="false">G2758*H2758</f>
        <v>1</v>
      </c>
      <c r="T2758" s="0" t="n">
        <f aca="false">E2758*E2758</f>
        <v>0.0625</v>
      </c>
      <c r="U2758" s="0" t="n">
        <f aca="false">F2758*F2758</f>
        <v>0.25</v>
      </c>
      <c r="V2758" s="0" t="n">
        <f aca="false">G2758*G2758</f>
        <v>1</v>
      </c>
      <c r="W2758" s="0" t="n">
        <f aca="false">H2758*H2758</f>
        <v>1</v>
      </c>
      <c r="X2758" s="0" t="n">
        <f aca="false">SUMPRODUCT(I2758:W2758,_XtX!$B$96:$P$96)</f>
        <v>48.2988121345029</v>
      </c>
      <c r="Y2758" s="0" t="n">
        <f aca="false">SUMPRODUCT(MMULT(I2758:W2758,_XtX!$B$78:$P$92),I2758:W2758)</f>
        <v>0.629174661915205</v>
      </c>
      <c r="Z2758" s="0" t="n">
        <f aca="false">04_回帰ANOVA!$K$19*04_回帰ANOVA!$K$14*SQRT(1+Y2758)</f>
        <v>1.66372758058297</v>
      </c>
      <c r="AA2758" s="0" t="n">
        <f aca="false">X2758-Z2758</f>
        <v>46.6350845539199</v>
      </c>
      <c r="AB2758" s="0" t="n">
        <f aca="false">X2758+Z2758</f>
        <v>49.9625397150859</v>
      </c>
      <c r="AC2758" s="54" t="b">
        <f aca="false">AND(E2758&gt;=01_因子設定!$L$5-0.000000001,E2758&lt;=01_因子設定!$M$5+0.000000001,F2758&gt;=01_因子設定!$L$6-0.000000001,F2758&lt;=01_因子設定!$M$6+0.000000001,G2758&gt;=01_因子設定!$L$7-0.000000001,G2758&lt;=01_因子設定!$M$7+0.000000001,H2758&gt;=01_因子設定!$L$8-0.000000001,H2758&lt;=01_因子設定!$M$8+0.000000001,IF(01_因子設定!$B$20="Box-Behnken",E2758^2+F2758^2+G2758^2+H2758^2&lt;=2+0.000000001,TRUE()))</f>
        <v>1</v>
      </c>
      <c r="AD2758" s="55" t="n">
        <f aca="false">IF(AC2758,IF(01_因子設定!$B$13="最大化",AA2758-01_因子設定!$B$14,IF(01_因子設定!$B$13="最小化",01_因子設定!$B$15-AB2758,MIN(AA2758-01_因子設定!$B$14,01_因子設定!$B$15-AB2758))),-1E+030)</f>
        <v>0.135084553919931</v>
      </c>
      <c r="AE2758" s="55" t="n">
        <f aca="false">IF(AC2758,IF(01_因子設定!$B$13="最大化",X2758,IF(01_因子設定!$B$13="最小化",-X2758,-ABS(X2758-01_因子設定!$B$16))),-1E+030)</f>
        <v>48.2988121345029</v>
      </c>
      <c r="AF2758" s="55" t="n">
        <f aca="false">AD2758+ROW()*0.000000001</f>
        <v>0.135087311919931</v>
      </c>
      <c r="AG2758" s="55" t="n">
        <f aca="false">AE2758+ROW()*0.000000001</f>
        <v>48.2988148925029</v>
      </c>
    </row>
    <row r="2759" customFormat="false" ht="15" hidden="false" customHeight="false" outlineLevel="0" collapsed="false">
      <c r="A2759" s="0" t="n">
        <v>3</v>
      </c>
      <c r="B2759" s="0" t="n">
        <v>7</v>
      </c>
      <c r="C2759" s="0" t="n">
        <v>0</v>
      </c>
      <c r="D2759" s="0" t="n">
        <v>0</v>
      </c>
      <c r="E2759" s="0" t="n">
        <f aca="false">-1+A2759*0.25</f>
        <v>-0.25</v>
      </c>
      <c r="F2759" s="0" t="n">
        <f aca="false">-1+B2759*0.25</f>
        <v>0.75</v>
      </c>
      <c r="G2759" s="0" t="n">
        <f aca="false">-1+C2759*0.25</f>
        <v>-1</v>
      </c>
      <c r="H2759" s="0" t="n">
        <f aca="false">-1+D2759*0.25</f>
        <v>-1</v>
      </c>
      <c r="I2759" s="0" t="n">
        <f aca="false">1</f>
        <v>1</v>
      </c>
      <c r="J2759" s="0" t="n">
        <f aca="false">E2759</f>
        <v>-0.25</v>
      </c>
      <c r="K2759" s="0" t="n">
        <f aca="false">F2759</f>
        <v>0.75</v>
      </c>
      <c r="L2759" s="0" t="n">
        <f aca="false">G2759</f>
        <v>-1</v>
      </c>
      <c r="M2759" s="0" t="n">
        <f aca="false">H2759</f>
        <v>-1</v>
      </c>
      <c r="N2759" s="0" t="n">
        <f aca="false">E2759*F2759</f>
        <v>-0.1875</v>
      </c>
      <c r="O2759" s="0" t="n">
        <f aca="false">E2759*G2759</f>
        <v>0.25</v>
      </c>
      <c r="P2759" s="0" t="n">
        <f aca="false">E2759*H2759</f>
        <v>0.25</v>
      </c>
      <c r="Q2759" s="0" t="n">
        <f aca="false">F2759*G2759</f>
        <v>-0.75</v>
      </c>
      <c r="R2759" s="0" t="n">
        <f aca="false">F2759*H2759</f>
        <v>-0.75</v>
      </c>
      <c r="S2759" s="0" t="n">
        <f aca="false">G2759*H2759</f>
        <v>1</v>
      </c>
      <c r="T2759" s="0" t="n">
        <f aca="false">E2759*E2759</f>
        <v>0.0625</v>
      </c>
      <c r="U2759" s="0" t="n">
        <f aca="false">F2759*F2759</f>
        <v>0.5625</v>
      </c>
      <c r="V2759" s="0" t="n">
        <f aca="false">G2759*G2759</f>
        <v>1</v>
      </c>
      <c r="W2759" s="0" t="n">
        <f aca="false">H2759*H2759</f>
        <v>1</v>
      </c>
      <c r="X2759" s="0" t="n">
        <f aca="false">SUMPRODUCT(I2759:W2759,_XtX!$B$96:$P$96)</f>
        <v>44.7798154239766</v>
      </c>
      <c r="Y2759" s="0" t="n">
        <f aca="false">SUMPRODUCT(MMULT(I2759:W2759,_XtX!$B$78:$P$92),I2759:W2759)</f>
        <v>0.621372155975877</v>
      </c>
      <c r="Z2759" s="0" t="n">
        <f aca="false">04_回帰ANOVA!$K$19*04_回帰ANOVA!$K$14*SQRT(1+Y2759)</f>
        <v>1.65973880499872</v>
      </c>
      <c r="AA2759" s="0" t="n">
        <f aca="false">X2759-Z2759</f>
        <v>43.1200766189779</v>
      </c>
      <c r="AB2759" s="0" t="n">
        <f aca="false">X2759+Z2759</f>
        <v>46.4395542289753</v>
      </c>
      <c r="AC2759" s="54" t="b">
        <f aca="false">AND(E2759&gt;=01_因子設定!$L$5-0.000000001,E2759&lt;=01_因子設定!$M$5+0.000000001,F2759&gt;=01_因子設定!$L$6-0.000000001,F2759&lt;=01_因子設定!$M$6+0.000000001,G2759&gt;=01_因子設定!$L$7-0.000000001,G2759&lt;=01_因子設定!$M$7+0.000000001,H2759&gt;=01_因子設定!$L$8-0.000000001,H2759&lt;=01_因子設定!$M$8+0.000000001,IF(01_因子設定!$B$20="Box-Behnken",E2759^2+F2759^2+G2759^2+H2759^2&lt;=2+0.000000001,TRUE()))</f>
        <v>1</v>
      </c>
      <c r="AD2759" s="55" t="n">
        <f aca="false">IF(AC2759,IF(01_因子設定!$B$13="最大化",AA2759-01_因子設定!$B$14,IF(01_因子設定!$B$13="最小化",01_因子設定!$B$15-AB2759,MIN(AA2759-01_因子設定!$B$14,01_因子設定!$B$15-AB2759))),-1E+030)</f>
        <v>-3.37992338102213</v>
      </c>
      <c r="AE2759" s="55" t="n">
        <f aca="false">IF(AC2759,IF(01_因子設定!$B$13="最大化",X2759,IF(01_因子設定!$B$13="最小化",-X2759,-ABS(X2759-01_因子設定!$B$16))),-1E+030)</f>
        <v>44.7798154239766</v>
      </c>
      <c r="AF2759" s="55" t="n">
        <f aca="false">AD2759+ROW()*0.000000001</f>
        <v>-3.37992062202213</v>
      </c>
      <c r="AG2759" s="55" t="n">
        <f aca="false">AE2759+ROW()*0.000000001</f>
        <v>44.7798181829766</v>
      </c>
    </row>
    <row r="2760" customFormat="false" ht="15" hidden="false" customHeight="false" outlineLevel="0" collapsed="false">
      <c r="A2760" s="0" t="n">
        <v>3</v>
      </c>
      <c r="B2760" s="0" t="n">
        <v>7</v>
      </c>
      <c r="C2760" s="0" t="n">
        <v>0</v>
      </c>
      <c r="D2760" s="0" t="n">
        <v>1</v>
      </c>
      <c r="E2760" s="0" t="n">
        <f aca="false">-1+A2760*0.25</f>
        <v>-0.25</v>
      </c>
      <c r="F2760" s="0" t="n">
        <f aca="false">-1+B2760*0.25</f>
        <v>0.75</v>
      </c>
      <c r="G2760" s="0" t="n">
        <f aca="false">-1+C2760*0.25</f>
        <v>-1</v>
      </c>
      <c r="H2760" s="0" t="n">
        <f aca="false">-1+D2760*0.25</f>
        <v>-0.75</v>
      </c>
      <c r="I2760" s="0" t="n">
        <f aca="false">1</f>
        <v>1</v>
      </c>
      <c r="J2760" s="0" t="n">
        <f aca="false">E2760</f>
        <v>-0.25</v>
      </c>
      <c r="K2760" s="0" t="n">
        <f aca="false">F2760</f>
        <v>0.75</v>
      </c>
      <c r="L2760" s="0" t="n">
        <f aca="false">G2760</f>
        <v>-1</v>
      </c>
      <c r="M2760" s="0" t="n">
        <f aca="false">H2760</f>
        <v>-0.75</v>
      </c>
      <c r="N2760" s="0" t="n">
        <f aca="false">E2760*F2760</f>
        <v>-0.1875</v>
      </c>
      <c r="O2760" s="0" t="n">
        <f aca="false">E2760*G2760</f>
        <v>0.25</v>
      </c>
      <c r="P2760" s="0" t="n">
        <f aca="false">E2760*H2760</f>
        <v>0.1875</v>
      </c>
      <c r="Q2760" s="0" t="n">
        <f aca="false">F2760*G2760</f>
        <v>-0.75</v>
      </c>
      <c r="R2760" s="0" t="n">
        <f aca="false">F2760*H2760</f>
        <v>-0.5625</v>
      </c>
      <c r="S2760" s="0" t="n">
        <f aca="false">G2760*H2760</f>
        <v>0.75</v>
      </c>
      <c r="T2760" s="0" t="n">
        <f aca="false">E2760*E2760</f>
        <v>0.0625</v>
      </c>
      <c r="U2760" s="0" t="n">
        <f aca="false">F2760*F2760</f>
        <v>0.5625</v>
      </c>
      <c r="V2760" s="0" t="n">
        <f aca="false">G2760*G2760</f>
        <v>1</v>
      </c>
      <c r="W2760" s="0" t="n">
        <f aca="false">H2760*H2760</f>
        <v>0.5625</v>
      </c>
      <c r="X2760" s="0" t="n">
        <f aca="false">SUMPRODUCT(I2760:W2760,_XtX!$B$96:$P$96)</f>
        <v>44.928997624269</v>
      </c>
      <c r="Y2760" s="0" t="n">
        <f aca="false">SUMPRODUCT(MMULT(I2760:W2760,_XtX!$B$78:$P$92),I2760:W2760)</f>
        <v>0.473959761056287</v>
      </c>
      <c r="Z2760" s="0" t="n">
        <f aca="false">04_回帰ANOVA!$K$19*04_回帰ANOVA!$K$14*SQRT(1+Y2760)</f>
        <v>1.58249084588329</v>
      </c>
      <c r="AA2760" s="0" t="n">
        <f aca="false">X2760-Z2760</f>
        <v>43.3465067783857</v>
      </c>
      <c r="AB2760" s="0" t="n">
        <f aca="false">X2760+Z2760</f>
        <v>46.5114884701523</v>
      </c>
      <c r="AC2760" s="54" t="b">
        <f aca="false">AND(E2760&gt;=01_因子設定!$L$5-0.000000001,E2760&lt;=01_因子設定!$M$5+0.000000001,F2760&gt;=01_因子設定!$L$6-0.000000001,F2760&lt;=01_因子設定!$M$6+0.000000001,G2760&gt;=01_因子設定!$L$7-0.000000001,G2760&lt;=01_因子設定!$M$7+0.000000001,H2760&gt;=01_因子設定!$L$8-0.000000001,H2760&lt;=01_因子設定!$M$8+0.000000001,IF(01_因子設定!$B$20="Box-Behnken",E2760^2+F2760^2+G2760^2+H2760^2&lt;=2+0.000000001,TRUE()))</f>
        <v>1</v>
      </c>
      <c r="AD2760" s="55" t="n">
        <f aca="false">IF(AC2760,IF(01_因子設定!$B$13="最大化",AA2760-01_因子設定!$B$14,IF(01_因子設定!$B$13="最小化",01_因子設定!$B$15-AB2760,MIN(AA2760-01_因子設定!$B$14,01_因子設定!$B$15-AB2760))),-1E+030)</f>
        <v>-3.15349322161431</v>
      </c>
      <c r="AE2760" s="55" t="n">
        <f aca="false">IF(AC2760,IF(01_因子設定!$B$13="最大化",X2760,IF(01_因子設定!$B$13="最小化",-X2760,-ABS(X2760-01_因子設定!$B$16))),-1E+030)</f>
        <v>44.928997624269</v>
      </c>
      <c r="AF2760" s="55" t="n">
        <f aca="false">AD2760+ROW()*0.000000001</f>
        <v>-3.15349046161431</v>
      </c>
      <c r="AG2760" s="55" t="n">
        <f aca="false">AE2760+ROW()*0.000000001</f>
        <v>44.929000384269</v>
      </c>
    </row>
    <row r="2761" customFormat="false" ht="15" hidden="false" customHeight="false" outlineLevel="0" collapsed="false">
      <c r="A2761" s="0" t="n">
        <v>3</v>
      </c>
      <c r="B2761" s="0" t="n">
        <v>7</v>
      </c>
      <c r="C2761" s="0" t="n">
        <v>0</v>
      </c>
      <c r="D2761" s="0" t="n">
        <v>2</v>
      </c>
      <c r="E2761" s="0" t="n">
        <f aca="false">-1+A2761*0.25</f>
        <v>-0.25</v>
      </c>
      <c r="F2761" s="0" t="n">
        <f aca="false">-1+B2761*0.25</f>
        <v>0.75</v>
      </c>
      <c r="G2761" s="0" t="n">
        <f aca="false">-1+C2761*0.25</f>
        <v>-1</v>
      </c>
      <c r="H2761" s="0" t="n">
        <f aca="false">-1+D2761*0.25</f>
        <v>-0.5</v>
      </c>
      <c r="I2761" s="0" t="n">
        <f aca="false">1</f>
        <v>1</v>
      </c>
      <c r="J2761" s="0" t="n">
        <f aca="false">E2761</f>
        <v>-0.25</v>
      </c>
      <c r="K2761" s="0" t="n">
        <f aca="false">F2761</f>
        <v>0.75</v>
      </c>
      <c r="L2761" s="0" t="n">
        <f aca="false">G2761</f>
        <v>-1</v>
      </c>
      <c r="M2761" s="0" t="n">
        <f aca="false">H2761</f>
        <v>-0.5</v>
      </c>
      <c r="N2761" s="0" t="n">
        <f aca="false">E2761*F2761</f>
        <v>-0.1875</v>
      </c>
      <c r="O2761" s="0" t="n">
        <f aca="false">E2761*G2761</f>
        <v>0.25</v>
      </c>
      <c r="P2761" s="0" t="n">
        <f aca="false">E2761*H2761</f>
        <v>0.125</v>
      </c>
      <c r="Q2761" s="0" t="n">
        <f aca="false">F2761*G2761</f>
        <v>-0.75</v>
      </c>
      <c r="R2761" s="0" t="n">
        <f aca="false">F2761*H2761</f>
        <v>-0.375</v>
      </c>
      <c r="S2761" s="0" t="n">
        <f aca="false">G2761*H2761</f>
        <v>0.5</v>
      </c>
      <c r="T2761" s="0" t="n">
        <f aca="false">E2761*E2761</f>
        <v>0.0625</v>
      </c>
      <c r="U2761" s="0" t="n">
        <f aca="false">F2761*F2761</f>
        <v>0.5625</v>
      </c>
      <c r="V2761" s="0" t="n">
        <f aca="false">G2761*G2761</f>
        <v>1</v>
      </c>
      <c r="W2761" s="0" t="n">
        <f aca="false">H2761*H2761</f>
        <v>0.25</v>
      </c>
      <c r="X2761" s="0" t="n">
        <f aca="false">SUMPRODUCT(I2761:W2761,_XtX!$B$96:$P$96)</f>
        <v>45.0303728070175</v>
      </c>
      <c r="Y2761" s="0" t="n">
        <f aca="false">SUMPRODUCT(MMULT(I2761:W2761,_XtX!$B$78:$P$92),I2761:W2761)</f>
        <v>0.459125719572369</v>
      </c>
      <c r="Z2761" s="0" t="n">
        <f aca="false">04_回帰ANOVA!$K$19*04_回帰ANOVA!$K$14*SQRT(1+Y2761)</f>
        <v>1.57450755575573</v>
      </c>
      <c r="AA2761" s="0" t="n">
        <f aca="false">X2761-Z2761</f>
        <v>43.4558652512618</v>
      </c>
      <c r="AB2761" s="0" t="n">
        <f aca="false">X2761+Z2761</f>
        <v>46.6048803627732</v>
      </c>
      <c r="AC2761" s="54" t="b">
        <f aca="false">AND(E2761&gt;=01_因子設定!$L$5-0.000000001,E2761&lt;=01_因子設定!$M$5+0.000000001,F2761&gt;=01_因子設定!$L$6-0.000000001,F2761&lt;=01_因子設定!$M$6+0.000000001,G2761&gt;=01_因子設定!$L$7-0.000000001,G2761&lt;=01_因子設定!$M$7+0.000000001,H2761&gt;=01_因子設定!$L$8-0.000000001,H2761&lt;=01_因子設定!$M$8+0.000000001,IF(01_因子設定!$B$20="Box-Behnken",E2761^2+F2761^2+G2761^2+H2761^2&lt;=2+0.000000001,TRUE()))</f>
        <v>1</v>
      </c>
      <c r="AD2761" s="55" t="n">
        <f aca="false">IF(AC2761,IF(01_因子設定!$B$13="最大化",AA2761-01_因子設定!$B$14,IF(01_因子設定!$B$13="最小化",01_因子設定!$B$15-AB2761,MIN(AA2761-01_因子設定!$B$14,01_因子設定!$B$15-AB2761))),-1E+030)</f>
        <v>-3.04413474873823</v>
      </c>
      <c r="AE2761" s="55" t="n">
        <f aca="false">IF(AC2761,IF(01_因子設定!$B$13="最大化",X2761,IF(01_因子設定!$B$13="最小化",-X2761,-ABS(X2761-01_因子設定!$B$16))),-1E+030)</f>
        <v>45.0303728070175</v>
      </c>
      <c r="AF2761" s="55" t="n">
        <f aca="false">AD2761+ROW()*0.000000001</f>
        <v>-3.04413198773823</v>
      </c>
      <c r="AG2761" s="55" t="n">
        <f aca="false">AE2761+ROW()*0.000000001</f>
        <v>45.0303755680175</v>
      </c>
    </row>
    <row r="2762" customFormat="false" ht="15" hidden="false" customHeight="false" outlineLevel="0" collapsed="false">
      <c r="A2762" s="0" t="n">
        <v>3</v>
      </c>
      <c r="B2762" s="0" t="n">
        <v>7</v>
      </c>
      <c r="C2762" s="0" t="n">
        <v>0</v>
      </c>
      <c r="D2762" s="0" t="n">
        <v>3</v>
      </c>
      <c r="E2762" s="0" t="n">
        <f aca="false">-1+A2762*0.25</f>
        <v>-0.25</v>
      </c>
      <c r="F2762" s="0" t="n">
        <f aca="false">-1+B2762*0.25</f>
        <v>0.75</v>
      </c>
      <c r="G2762" s="0" t="n">
        <f aca="false">-1+C2762*0.25</f>
        <v>-1</v>
      </c>
      <c r="H2762" s="0" t="n">
        <f aca="false">-1+D2762*0.25</f>
        <v>-0.25</v>
      </c>
      <c r="I2762" s="0" t="n">
        <f aca="false">1</f>
        <v>1</v>
      </c>
      <c r="J2762" s="0" t="n">
        <f aca="false">E2762</f>
        <v>-0.25</v>
      </c>
      <c r="K2762" s="0" t="n">
        <f aca="false">F2762</f>
        <v>0.75</v>
      </c>
      <c r="L2762" s="0" t="n">
        <f aca="false">G2762</f>
        <v>-1</v>
      </c>
      <c r="M2762" s="0" t="n">
        <f aca="false">H2762</f>
        <v>-0.25</v>
      </c>
      <c r="N2762" s="0" t="n">
        <f aca="false">E2762*F2762</f>
        <v>-0.1875</v>
      </c>
      <c r="O2762" s="0" t="n">
        <f aca="false">E2762*G2762</f>
        <v>0.25</v>
      </c>
      <c r="P2762" s="0" t="n">
        <f aca="false">E2762*H2762</f>
        <v>0.0625</v>
      </c>
      <c r="Q2762" s="0" t="n">
        <f aca="false">F2762*G2762</f>
        <v>-0.75</v>
      </c>
      <c r="R2762" s="0" t="n">
        <f aca="false">F2762*H2762</f>
        <v>-0.1875</v>
      </c>
      <c r="S2762" s="0" t="n">
        <f aca="false">G2762*H2762</f>
        <v>0.25</v>
      </c>
      <c r="T2762" s="0" t="n">
        <f aca="false">E2762*E2762</f>
        <v>0.0625</v>
      </c>
      <c r="U2762" s="0" t="n">
        <f aca="false">F2762*F2762</f>
        <v>0.5625</v>
      </c>
      <c r="V2762" s="0" t="n">
        <f aca="false">G2762*G2762</f>
        <v>1</v>
      </c>
      <c r="W2762" s="0" t="n">
        <f aca="false">H2762*H2762</f>
        <v>0.0625</v>
      </c>
      <c r="X2762" s="0" t="n">
        <f aca="false">SUMPRODUCT(I2762:W2762,_XtX!$B$96:$P$96)</f>
        <v>45.0839409722222</v>
      </c>
      <c r="Y2762" s="0" t="n">
        <f aca="false">SUMPRODUCT(MMULT(I2762:W2762,_XtX!$B$78:$P$92),I2762:W2762)</f>
        <v>0.486409505208334</v>
      </c>
      <c r="Z2762" s="0" t="n">
        <f aca="false">04_回帰ANOVA!$K$19*04_回帰ANOVA!$K$14*SQRT(1+Y2762)</f>
        <v>1.58916001665498</v>
      </c>
      <c r="AA2762" s="0" t="n">
        <f aca="false">X2762-Z2762</f>
        <v>43.4947809555672</v>
      </c>
      <c r="AB2762" s="0" t="n">
        <f aca="false">X2762+Z2762</f>
        <v>46.6731009888771</v>
      </c>
      <c r="AC2762" s="54" t="b">
        <f aca="false">AND(E2762&gt;=01_因子設定!$L$5-0.000000001,E2762&lt;=01_因子設定!$M$5+0.000000001,F2762&gt;=01_因子設定!$L$6-0.000000001,F2762&lt;=01_因子設定!$M$6+0.000000001,G2762&gt;=01_因子設定!$L$7-0.000000001,G2762&lt;=01_因子設定!$M$7+0.000000001,H2762&gt;=01_因子設定!$L$8-0.000000001,H2762&lt;=01_因子設定!$M$8+0.000000001,IF(01_因子設定!$B$20="Box-Behnken",E2762^2+F2762^2+G2762^2+H2762^2&lt;=2+0.000000001,TRUE()))</f>
        <v>1</v>
      </c>
      <c r="AD2762" s="55" t="n">
        <f aca="false">IF(AC2762,IF(01_因子設定!$B$13="最大化",AA2762-01_因子設定!$B$14,IF(01_因子設定!$B$13="最小化",01_因子設定!$B$15-AB2762,MIN(AA2762-01_因子設定!$B$14,01_因子設定!$B$15-AB2762))),-1E+030)</f>
        <v>-3.00521904443281</v>
      </c>
      <c r="AE2762" s="55" t="n">
        <f aca="false">IF(AC2762,IF(01_因子設定!$B$13="最大化",X2762,IF(01_因子設定!$B$13="最小化",-X2762,-ABS(X2762-01_因子設定!$B$16))),-1E+030)</f>
        <v>45.0839409722222</v>
      </c>
      <c r="AF2762" s="55" t="n">
        <f aca="false">AD2762+ROW()*0.000000001</f>
        <v>-3.00521628243281</v>
      </c>
      <c r="AG2762" s="55" t="n">
        <f aca="false">AE2762+ROW()*0.000000001</f>
        <v>45.0839437342222</v>
      </c>
    </row>
    <row r="2763" customFormat="false" ht="15" hidden="false" customHeight="false" outlineLevel="0" collapsed="false">
      <c r="A2763" s="0" t="n">
        <v>3</v>
      </c>
      <c r="B2763" s="0" t="n">
        <v>7</v>
      </c>
      <c r="C2763" s="0" t="n">
        <v>0</v>
      </c>
      <c r="D2763" s="0" t="n">
        <v>4</v>
      </c>
      <c r="E2763" s="0" t="n">
        <f aca="false">-1+A2763*0.25</f>
        <v>-0.25</v>
      </c>
      <c r="F2763" s="0" t="n">
        <f aca="false">-1+B2763*0.25</f>
        <v>0.75</v>
      </c>
      <c r="G2763" s="0" t="n">
        <f aca="false">-1+C2763*0.25</f>
        <v>-1</v>
      </c>
      <c r="H2763" s="0" t="n">
        <f aca="false">-1+D2763*0.25</f>
        <v>0</v>
      </c>
      <c r="I2763" s="0" t="n">
        <f aca="false">1</f>
        <v>1</v>
      </c>
      <c r="J2763" s="0" t="n">
        <f aca="false">E2763</f>
        <v>-0.25</v>
      </c>
      <c r="K2763" s="0" t="n">
        <f aca="false">F2763</f>
        <v>0.75</v>
      </c>
      <c r="L2763" s="0" t="n">
        <f aca="false">G2763</f>
        <v>-1</v>
      </c>
      <c r="M2763" s="0" t="n">
        <f aca="false">H2763</f>
        <v>0</v>
      </c>
      <c r="N2763" s="0" t="n">
        <f aca="false">E2763*F2763</f>
        <v>-0.1875</v>
      </c>
      <c r="O2763" s="0" t="n">
        <f aca="false">E2763*G2763</f>
        <v>0.25</v>
      </c>
      <c r="P2763" s="0" t="n">
        <f aca="false">E2763*H2763</f>
        <v>-0</v>
      </c>
      <c r="Q2763" s="0" t="n">
        <f aca="false">F2763*G2763</f>
        <v>-0.75</v>
      </c>
      <c r="R2763" s="0" t="n">
        <f aca="false">F2763*H2763</f>
        <v>0</v>
      </c>
      <c r="S2763" s="0" t="n">
        <f aca="false">G2763*H2763</f>
        <v>-0</v>
      </c>
      <c r="T2763" s="0" t="n">
        <f aca="false">E2763*E2763</f>
        <v>0.0625</v>
      </c>
      <c r="U2763" s="0" t="n">
        <f aca="false">F2763*F2763</f>
        <v>0.5625</v>
      </c>
      <c r="V2763" s="0" t="n">
        <f aca="false">G2763*G2763</f>
        <v>1</v>
      </c>
      <c r="W2763" s="0" t="n">
        <f aca="false">H2763*H2763</f>
        <v>0</v>
      </c>
      <c r="X2763" s="0" t="n">
        <f aca="false">SUMPRODUCT(I2763:W2763,_XtX!$B$96:$P$96)</f>
        <v>45.089702119883</v>
      </c>
      <c r="Y2763" s="0" t="n">
        <f aca="false">SUMPRODUCT(MMULT(I2763:W2763,_XtX!$B$78:$P$92),I2763:W2763)</f>
        <v>0.501534802174708</v>
      </c>
      <c r="Z2763" s="0" t="n">
        <f aca="false">04_回帰ANOVA!$K$19*04_回帰ANOVA!$K$14*SQRT(1+Y2763)</f>
        <v>1.59722498091333</v>
      </c>
      <c r="AA2763" s="0" t="n">
        <f aca="false">X2763-Z2763</f>
        <v>43.4924771389697</v>
      </c>
      <c r="AB2763" s="0" t="n">
        <f aca="false">X2763+Z2763</f>
        <v>46.6869271007963</v>
      </c>
      <c r="AC2763" s="54" t="b">
        <f aca="false">AND(E2763&gt;=01_因子設定!$L$5-0.000000001,E2763&lt;=01_因子設定!$M$5+0.000000001,F2763&gt;=01_因子設定!$L$6-0.000000001,F2763&lt;=01_因子設定!$M$6+0.000000001,G2763&gt;=01_因子設定!$L$7-0.000000001,G2763&lt;=01_因子設定!$M$7+0.000000001,H2763&gt;=01_因子設定!$L$8-0.000000001,H2763&lt;=01_因子設定!$M$8+0.000000001,IF(01_因子設定!$B$20="Box-Behnken",E2763^2+F2763^2+G2763^2+H2763^2&lt;=2+0.000000001,TRUE()))</f>
        <v>1</v>
      </c>
      <c r="AD2763" s="55" t="n">
        <f aca="false">IF(AC2763,IF(01_因子設定!$B$13="最大化",AA2763-01_因子設定!$B$14,IF(01_因子設定!$B$13="最小化",01_因子設定!$B$15-AB2763,MIN(AA2763-01_因子設定!$B$14,01_因子設定!$B$15-AB2763))),-1E+030)</f>
        <v>-3.00752286103035</v>
      </c>
      <c r="AE2763" s="55" t="n">
        <f aca="false">IF(AC2763,IF(01_因子設定!$B$13="最大化",X2763,IF(01_因子設定!$B$13="最小化",-X2763,-ABS(X2763-01_因子設定!$B$16))),-1E+030)</f>
        <v>45.089702119883</v>
      </c>
      <c r="AF2763" s="55" t="n">
        <f aca="false">AD2763+ROW()*0.000000001</f>
        <v>-3.00752009803035</v>
      </c>
      <c r="AG2763" s="55" t="n">
        <f aca="false">AE2763+ROW()*0.000000001</f>
        <v>45.089704882883</v>
      </c>
    </row>
    <row r="2764" customFormat="false" ht="15" hidden="false" customHeight="false" outlineLevel="0" collapsed="false">
      <c r="A2764" s="0" t="n">
        <v>3</v>
      </c>
      <c r="B2764" s="0" t="n">
        <v>7</v>
      </c>
      <c r="C2764" s="0" t="n">
        <v>0</v>
      </c>
      <c r="D2764" s="0" t="n">
        <v>5</v>
      </c>
      <c r="E2764" s="0" t="n">
        <f aca="false">-1+A2764*0.25</f>
        <v>-0.25</v>
      </c>
      <c r="F2764" s="0" t="n">
        <f aca="false">-1+B2764*0.25</f>
        <v>0.75</v>
      </c>
      <c r="G2764" s="0" t="n">
        <f aca="false">-1+C2764*0.25</f>
        <v>-1</v>
      </c>
      <c r="H2764" s="0" t="n">
        <f aca="false">-1+D2764*0.25</f>
        <v>0.25</v>
      </c>
      <c r="I2764" s="0" t="n">
        <f aca="false">1</f>
        <v>1</v>
      </c>
      <c r="J2764" s="0" t="n">
        <f aca="false">E2764</f>
        <v>-0.25</v>
      </c>
      <c r="K2764" s="0" t="n">
        <f aca="false">F2764</f>
        <v>0.75</v>
      </c>
      <c r="L2764" s="0" t="n">
        <f aca="false">G2764</f>
        <v>-1</v>
      </c>
      <c r="M2764" s="0" t="n">
        <f aca="false">H2764</f>
        <v>0.25</v>
      </c>
      <c r="N2764" s="0" t="n">
        <f aca="false">E2764*F2764</f>
        <v>-0.1875</v>
      </c>
      <c r="O2764" s="0" t="n">
        <f aca="false">E2764*G2764</f>
        <v>0.25</v>
      </c>
      <c r="P2764" s="0" t="n">
        <f aca="false">E2764*H2764</f>
        <v>-0.0625</v>
      </c>
      <c r="Q2764" s="0" t="n">
        <f aca="false">F2764*G2764</f>
        <v>-0.75</v>
      </c>
      <c r="R2764" s="0" t="n">
        <f aca="false">F2764*H2764</f>
        <v>0.1875</v>
      </c>
      <c r="S2764" s="0" t="n">
        <f aca="false">G2764*H2764</f>
        <v>-0.25</v>
      </c>
      <c r="T2764" s="0" t="n">
        <f aca="false">E2764*E2764</f>
        <v>0.0625</v>
      </c>
      <c r="U2764" s="0" t="n">
        <f aca="false">F2764*F2764</f>
        <v>0.5625</v>
      </c>
      <c r="V2764" s="0" t="n">
        <f aca="false">G2764*G2764</f>
        <v>1</v>
      </c>
      <c r="W2764" s="0" t="n">
        <f aca="false">H2764*H2764</f>
        <v>0.0625</v>
      </c>
      <c r="X2764" s="0" t="n">
        <f aca="false">SUMPRODUCT(I2764:W2764,_XtX!$B$96:$P$96)</f>
        <v>45.0476562499999</v>
      </c>
      <c r="Y2764" s="0" t="n">
        <f aca="false">SUMPRODUCT(MMULT(I2764:W2764,_XtX!$B$78:$P$92),I2764:W2764)</f>
        <v>0.486409505208334</v>
      </c>
      <c r="Z2764" s="0" t="n">
        <f aca="false">04_回帰ANOVA!$K$19*04_回帰ANOVA!$K$14*SQRT(1+Y2764)</f>
        <v>1.58916001665498</v>
      </c>
      <c r="AA2764" s="0" t="n">
        <f aca="false">X2764-Z2764</f>
        <v>43.458496233345</v>
      </c>
      <c r="AB2764" s="0" t="n">
        <f aca="false">X2764+Z2764</f>
        <v>46.6368162666549</v>
      </c>
      <c r="AC2764" s="54" t="b">
        <f aca="false">AND(E2764&gt;=01_因子設定!$L$5-0.000000001,E2764&lt;=01_因子設定!$M$5+0.000000001,F2764&gt;=01_因子設定!$L$6-0.000000001,F2764&lt;=01_因子設定!$M$6+0.000000001,G2764&gt;=01_因子設定!$L$7-0.000000001,G2764&lt;=01_因子設定!$M$7+0.000000001,H2764&gt;=01_因子設定!$L$8-0.000000001,H2764&lt;=01_因子設定!$M$8+0.000000001,IF(01_因子設定!$B$20="Box-Behnken",E2764^2+F2764^2+G2764^2+H2764^2&lt;=2+0.000000001,TRUE()))</f>
        <v>1</v>
      </c>
      <c r="AD2764" s="55" t="n">
        <f aca="false">IF(AC2764,IF(01_因子設定!$B$13="最大化",AA2764-01_因子設定!$B$14,IF(01_因子設定!$B$13="最小化",01_因子設定!$B$15-AB2764,MIN(AA2764-01_因子設定!$B$14,01_因子設定!$B$15-AB2764))),-1E+030)</f>
        <v>-3.04150376665503</v>
      </c>
      <c r="AE2764" s="55" t="n">
        <f aca="false">IF(AC2764,IF(01_因子設定!$B$13="最大化",X2764,IF(01_因子設定!$B$13="最小化",-X2764,-ABS(X2764-01_因子設定!$B$16))),-1E+030)</f>
        <v>45.0476562499999</v>
      </c>
      <c r="AF2764" s="55" t="n">
        <f aca="false">AD2764+ROW()*0.000000001</f>
        <v>-3.04150100265503</v>
      </c>
      <c r="AG2764" s="55" t="n">
        <f aca="false">AE2764+ROW()*0.000000001</f>
        <v>45.047659014</v>
      </c>
    </row>
    <row r="2765" customFormat="false" ht="15" hidden="false" customHeight="false" outlineLevel="0" collapsed="false">
      <c r="A2765" s="0" t="n">
        <v>3</v>
      </c>
      <c r="B2765" s="0" t="n">
        <v>7</v>
      </c>
      <c r="C2765" s="0" t="n">
        <v>0</v>
      </c>
      <c r="D2765" s="0" t="n">
        <v>6</v>
      </c>
      <c r="E2765" s="0" t="n">
        <f aca="false">-1+A2765*0.25</f>
        <v>-0.25</v>
      </c>
      <c r="F2765" s="0" t="n">
        <f aca="false">-1+B2765*0.25</f>
        <v>0.75</v>
      </c>
      <c r="G2765" s="0" t="n">
        <f aca="false">-1+C2765*0.25</f>
        <v>-1</v>
      </c>
      <c r="H2765" s="0" t="n">
        <f aca="false">-1+D2765*0.25</f>
        <v>0.5</v>
      </c>
      <c r="I2765" s="0" t="n">
        <f aca="false">1</f>
        <v>1</v>
      </c>
      <c r="J2765" s="0" t="n">
        <f aca="false">E2765</f>
        <v>-0.25</v>
      </c>
      <c r="K2765" s="0" t="n">
        <f aca="false">F2765</f>
        <v>0.75</v>
      </c>
      <c r="L2765" s="0" t="n">
        <f aca="false">G2765</f>
        <v>-1</v>
      </c>
      <c r="M2765" s="0" t="n">
        <f aca="false">H2765</f>
        <v>0.5</v>
      </c>
      <c r="N2765" s="0" t="n">
        <f aca="false">E2765*F2765</f>
        <v>-0.1875</v>
      </c>
      <c r="O2765" s="0" t="n">
        <f aca="false">E2765*G2765</f>
        <v>0.25</v>
      </c>
      <c r="P2765" s="0" t="n">
        <f aca="false">E2765*H2765</f>
        <v>-0.125</v>
      </c>
      <c r="Q2765" s="0" t="n">
        <f aca="false">F2765*G2765</f>
        <v>-0.75</v>
      </c>
      <c r="R2765" s="0" t="n">
        <f aca="false">F2765*H2765</f>
        <v>0.375</v>
      </c>
      <c r="S2765" s="0" t="n">
        <f aca="false">G2765*H2765</f>
        <v>-0.5</v>
      </c>
      <c r="T2765" s="0" t="n">
        <f aca="false">E2765*E2765</f>
        <v>0.0625</v>
      </c>
      <c r="U2765" s="0" t="n">
        <f aca="false">F2765*F2765</f>
        <v>0.5625</v>
      </c>
      <c r="V2765" s="0" t="n">
        <f aca="false">G2765*G2765</f>
        <v>1</v>
      </c>
      <c r="W2765" s="0" t="n">
        <f aca="false">H2765*H2765</f>
        <v>0.25</v>
      </c>
      <c r="X2765" s="0" t="n">
        <f aca="false">SUMPRODUCT(I2765:W2765,_XtX!$B$96:$P$96)</f>
        <v>44.9578033625731</v>
      </c>
      <c r="Y2765" s="0" t="n">
        <f aca="false">SUMPRODUCT(MMULT(I2765:W2765,_XtX!$B$78:$P$92),I2765:W2765)</f>
        <v>0.459125719572369</v>
      </c>
      <c r="Z2765" s="0" t="n">
        <f aca="false">04_回帰ANOVA!$K$19*04_回帰ANOVA!$K$14*SQRT(1+Y2765)</f>
        <v>1.57450755575573</v>
      </c>
      <c r="AA2765" s="0" t="n">
        <f aca="false">X2765-Z2765</f>
        <v>43.3832958068173</v>
      </c>
      <c r="AB2765" s="0" t="n">
        <f aca="false">X2765+Z2765</f>
        <v>46.5323109183288</v>
      </c>
      <c r="AC2765" s="54" t="b">
        <f aca="false">AND(E2765&gt;=01_因子設定!$L$5-0.000000001,E2765&lt;=01_因子設定!$M$5+0.000000001,F2765&gt;=01_因子設定!$L$6-0.000000001,F2765&lt;=01_因子設定!$M$6+0.000000001,G2765&gt;=01_因子設定!$L$7-0.000000001,G2765&lt;=01_因子設定!$M$7+0.000000001,H2765&gt;=01_因子設定!$L$8-0.000000001,H2765&lt;=01_因子設定!$M$8+0.000000001,IF(01_因子設定!$B$20="Box-Behnken",E2765^2+F2765^2+G2765^2+H2765^2&lt;=2+0.000000001,TRUE()))</f>
        <v>1</v>
      </c>
      <c r="AD2765" s="55" t="n">
        <f aca="false">IF(AC2765,IF(01_因子設定!$B$13="最大化",AA2765-01_因子設定!$B$14,IF(01_因子設定!$B$13="最小化",01_因子設定!$B$15-AB2765,MIN(AA2765-01_因子設定!$B$14,01_因子設定!$B$15-AB2765))),-1E+030)</f>
        <v>-3.11670419318268</v>
      </c>
      <c r="AE2765" s="55" t="n">
        <f aca="false">IF(AC2765,IF(01_因子設定!$B$13="最大化",X2765,IF(01_因子設定!$B$13="最小化",-X2765,-ABS(X2765-01_因子設定!$B$16))),-1E+030)</f>
        <v>44.9578033625731</v>
      </c>
      <c r="AF2765" s="55" t="n">
        <f aca="false">AD2765+ROW()*0.000000001</f>
        <v>-3.11670142818268</v>
      </c>
      <c r="AG2765" s="55" t="n">
        <f aca="false">AE2765+ROW()*0.000000001</f>
        <v>44.9578061275731</v>
      </c>
    </row>
    <row r="2766" customFormat="false" ht="15" hidden="false" customHeight="false" outlineLevel="0" collapsed="false">
      <c r="A2766" s="0" t="n">
        <v>3</v>
      </c>
      <c r="B2766" s="0" t="n">
        <v>7</v>
      </c>
      <c r="C2766" s="0" t="n">
        <v>0</v>
      </c>
      <c r="D2766" s="0" t="n">
        <v>7</v>
      </c>
      <c r="E2766" s="0" t="n">
        <f aca="false">-1+A2766*0.25</f>
        <v>-0.25</v>
      </c>
      <c r="F2766" s="0" t="n">
        <f aca="false">-1+B2766*0.25</f>
        <v>0.75</v>
      </c>
      <c r="G2766" s="0" t="n">
        <f aca="false">-1+C2766*0.25</f>
        <v>-1</v>
      </c>
      <c r="H2766" s="0" t="n">
        <f aca="false">-1+D2766*0.25</f>
        <v>0.75</v>
      </c>
      <c r="I2766" s="0" t="n">
        <f aca="false">1</f>
        <v>1</v>
      </c>
      <c r="J2766" s="0" t="n">
        <f aca="false">E2766</f>
        <v>-0.25</v>
      </c>
      <c r="K2766" s="0" t="n">
        <f aca="false">F2766</f>
        <v>0.75</v>
      </c>
      <c r="L2766" s="0" t="n">
        <f aca="false">G2766</f>
        <v>-1</v>
      </c>
      <c r="M2766" s="0" t="n">
        <f aca="false">H2766</f>
        <v>0.75</v>
      </c>
      <c r="N2766" s="0" t="n">
        <f aca="false">E2766*F2766</f>
        <v>-0.1875</v>
      </c>
      <c r="O2766" s="0" t="n">
        <f aca="false">E2766*G2766</f>
        <v>0.25</v>
      </c>
      <c r="P2766" s="0" t="n">
        <f aca="false">E2766*H2766</f>
        <v>-0.1875</v>
      </c>
      <c r="Q2766" s="0" t="n">
        <f aca="false">F2766*G2766</f>
        <v>-0.75</v>
      </c>
      <c r="R2766" s="0" t="n">
        <f aca="false">F2766*H2766</f>
        <v>0.5625</v>
      </c>
      <c r="S2766" s="0" t="n">
        <f aca="false">G2766*H2766</f>
        <v>-0.75</v>
      </c>
      <c r="T2766" s="0" t="n">
        <f aca="false">E2766*E2766</f>
        <v>0.0625</v>
      </c>
      <c r="U2766" s="0" t="n">
        <f aca="false">F2766*F2766</f>
        <v>0.5625</v>
      </c>
      <c r="V2766" s="0" t="n">
        <f aca="false">G2766*G2766</f>
        <v>1</v>
      </c>
      <c r="W2766" s="0" t="n">
        <f aca="false">H2766*H2766</f>
        <v>0.5625</v>
      </c>
      <c r="X2766" s="0" t="n">
        <f aca="false">SUMPRODUCT(I2766:W2766,_XtX!$B$96:$P$96)</f>
        <v>44.8201434576023</v>
      </c>
      <c r="Y2766" s="0" t="n">
        <f aca="false">SUMPRODUCT(MMULT(I2766:W2766,_XtX!$B$78:$P$92),I2766:W2766)</f>
        <v>0.473959761056287</v>
      </c>
      <c r="Z2766" s="0" t="n">
        <f aca="false">04_回帰ANOVA!$K$19*04_回帰ANOVA!$K$14*SQRT(1+Y2766)</f>
        <v>1.58249084588329</v>
      </c>
      <c r="AA2766" s="0" t="n">
        <f aca="false">X2766-Z2766</f>
        <v>43.237652611719</v>
      </c>
      <c r="AB2766" s="0" t="n">
        <f aca="false">X2766+Z2766</f>
        <v>46.4026343034856</v>
      </c>
      <c r="AC2766" s="54" t="b">
        <f aca="false">AND(E2766&gt;=01_因子設定!$L$5-0.000000001,E2766&lt;=01_因子設定!$M$5+0.000000001,F2766&gt;=01_因子設定!$L$6-0.000000001,F2766&lt;=01_因子設定!$M$6+0.000000001,G2766&gt;=01_因子設定!$L$7-0.000000001,G2766&lt;=01_因子設定!$M$7+0.000000001,H2766&gt;=01_因子設定!$L$8-0.000000001,H2766&lt;=01_因子設定!$M$8+0.000000001,IF(01_因子設定!$B$20="Box-Behnken",E2766^2+F2766^2+G2766^2+H2766^2&lt;=2+0.000000001,TRUE()))</f>
        <v>1</v>
      </c>
      <c r="AD2766" s="55" t="n">
        <f aca="false">IF(AC2766,IF(01_因子設定!$B$13="最大化",AA2766-01_因子設定!$B$14,IF(01_因子設定!$B$13="最小化",01_因子設定!$B$15-AB2766,MIN(AA2766-01_因子設定!$B$14,01_因子設定!$B$15-AB2766))),-1E+030)</f>
        <v>-3.26234738828098</v>
      </c>
      <c r="AE2766" s="55" t="n">
        <f aca="false">IF(AC2766,IF(01_因子設定!$B$13="最大化",X2766,IF(01_因子設定!$B$13="最小化",-X2766,-ABS(X2766-01_因子設定!$B$16))),-1E+030)</f>
        <v>44.8201434576023</v>
      </c>
      <c r="AF2766" s="55" t="n">
        <f aca="false">AD2766+ROW()*0.000000001</f>
        <v>-3.26234462228098</v>
      </c>
      <c r="AG2766" s="55" t="n">
        <f aca="false">AE2766+ROW()*0.000000001</f>
        <v>44.8201462236023</v>
      </c>
    </row>
    <row r="2767" customFormat="false" ht="15" hidden="false" customHeight="false" outlineLevel="0" collapsed="false">
      <c r="A2767" s="0" t="n">
        <v>3</v>
      </c>
      <c r="B2767" s="0" t="n">
        <v>7</v>
      </c>
      <c r="C2767" s="0" t="n">
        <v>0</v>
      </c>
      <c r="D2767" s="0" t="n">
        <v>8</v>
      </c>
      <c r="E2767" s="0" t="n">
        <f aca="false">-1+A2767*0.25</f>
        <v>-0.25</v>
      </c>
      <c r="F2767" s="0" t="n">
        <f aca="false">-1+B2767*0.25</f>
        <v>0.75</v>
      </c>
      <c r="G2767" s="0" t="n">
        <f aca="false">-1+C2767*0.25</f>
        <v>-1</v>
      </c>
      <c r="H2767" s="0" t="n">
        <f aca="false">-1+D2767*0.25</f>
        <v>1</v>
      </c>
      <c r="I2767" s="0" t="n">
        <f aca="false">1</f>
        <v>1</v>
      </c>
      <c r="J2767" s="0" t="n">
        <f aca="false">E2767</f>
        <v>-0.25</v>
      </c>
      <c r="K2767" s="0" t="n">
        <f aca="false">F2767</f>
        <v>0.75</v>
      </c>
      <c r="L2767" s="0" t="n">
        <f aca="false">G2767</f>
        <v>-1</v>
      </c>
      <c r="M2767" s="0" t="n">
        <f aca="false">H2767</f>
        <v>1</v>
      </c>
      <c r="N2767" s="0" t="n">
        <f aca="false">E2767*F2767</f>
        <v>-0.1875</v>
      </c>
      <c r="O2767" s="0" t="n">
        <f aca="false">E2767*G2767</f>
        <v>0.25</v>
      </c>
      <c r="P2767" s="0" t="n">
        <f aca="false">E2767*H2767</f>
        <v>-0.25</v>
      </c>
      <c r="Q2767" s="0" t="n">
        <f aca="false">F2767*G2767</f>
        <v>-0.75</v>
      </c>
      <c r="R2767" s="0" t="n">
        <f aca="false">F2767*H2767</f>
        <v>0.75</v>
      </c>
      <c r="S2767" s="0" t="n">
        <f aca="false">G2767*H2767</f>
        <v>-1</v>
      </c>
      <c r="T2767" s="0" t="n">
        <f aca="false">E2767*E2767</f>
        <v>0.0625</v>
      </c>
      <c r="U2767" s="0" t="n">
        <f aca="false">F2767*F2767</f>
        <v>0.5625</v>
      </c>
      <c r="V2767" s="0" t="n">
        <f aca="false">G2767*G2767</f>
        <v>1</v>
      </c>
      <c r="W2767" s="0" t="n">
        <f aca="false">H2767*H2767</f>
        <v>1</v>
      </c>
      <c r="X2767" s="0" t="n">
        <f aca="false">SUMPRODUCT(I2767:W2767,_XtX!$B$96:$P$96)</f>
        <v>44.6346765350877</v>
      </c>
      <c r="Y2767" s="0" t="n">
        <f aca="false">SUMPRODUCT(MMULT(I2767:W2767,_XtX!$B$78:$P$92),I2767:W2767)</f>
        <v>0.621372155975877</v>
      </c>
      <c r="Z2767" s="0" t="n">
        <f aca="false">04_回帰ANOVA!$K$19*04_回帰ANOVA!$K$14*SQRT(1+Y2767)</f>
        <v>1.65973880499872</v>
      </c>
      <c r="AA2767" s="0" t="n">
        <f aca="false">X2767-Z2767</f>
        <v>42.974937730089</v>
      </c>
      <c r="AB2767" s="0" t="n">
        <f aca="false">X2767+Z2767</f>
        <v>46.2944153400864</v>
      </c>
      <c r="AC2767" s="54" t="b">
        <f aca="false">AND(E2767&gt;=01_因子設定!$L$5-0.000000001,E2767&lt;=01_因子設定!$M$5+0.000000001,F2767&gt;=01_因子設定!$L$6-0.000000001,F2767&lt;=01_因子設定!$M$6+0.000000001,G2767&gt;=01_因子設定!$L$7-0.000000001,G2767&lt;=01_因子設定!$M$7+0.000000001,H2767&gt;=01_因子設定!$L$8-0.000000001,H2767&lt;=01_因子設定!$M$8+0.000000001,IF(01_因子設定!$B$20="Box-Behnken",E2767^2+F2767^2+G2767^2+H2767^2&lt;=2+0.000000001,TRUE()))</f>
        <v>1</v>
      </c>
      <c r="AD2767" s="55" t="n">
        <f aca="false">IF(AC2767,IF(01_因子設定!$B$13="最大化",AA2767-01_因子設定!$B$14,IF(01_因子設定!$B$13="最小化",01_因子設定!$B$15-AB2767,MIN(AA2767-01_因子設定!$B$14,01_因子設定!$B$15-AB2767))),-1E+030)</f>
        <v>-3.52506226991102</v>
      </c>
      <c r="AE2767" s="55" t="n">
        <f aca="false">IF(AC2767,IF(01_因子設定!$B$13="最大化",X2767,IF(01_因子設定!$B$13="最小化",-X2767,-ABS(X2767-01_因子設定!$B$16))),-1E+030)</f>
        <v>44.6346765350877</v>
      </c>
      <c r="AF2767" s="55" t="n">
        <f aca="false">AD2767+ROW()*0.000000001</f>
        <v>-3.52505950291102</v>
      </c>
      <c r="AG2767" s="55" t="n">
        <f aca="false">AE2767+ROW()*0.000000001</f>
        <v>44.6346793020877</v>
      </c>
    </row>
    <row r="2768" customFormat="false" ht="15" hidden="false" customHeight="false" outlineLevel="0" collapsed="false">
      <c r="A2768" s="0" t="n">
        <v>3</v>
      </c>
      <c r="B2768" s="0" t="n">
        <v>7</v>
      </c>
      <c r="C2768" s="0" t="n">
        <v>1</v>
      </c>
      <c r="D2768" s="0" t="n">
        <v>0</v>
      </c>
      <c r="E2768" s="0" t="n">
        <f aca="false">-1+A2768*0.25</f>
        <v>-0.25</v>
      </c>
      <c r="F2768" s="0" t="n">
        <f aca="false">-1+B2768*0.25</f>
        <v>0.75</v>
      </c>
      <c r="G2768" s="0" t="n">
        <f aca="false">-1+C2768*0.25</f>
        <v>-0.75</v>
      </c>
      <c r="H2768" s="0" t="n">
        <f aca="false">-1+D2768*0.25</f>
        <v>-1</v>
      </c>
      <c r="I2768" s="0" t="n">
        <f aca="false">1</f>
        <v>1</v>
      </c>
      <c r="J2768" s="0" t="n">
        <f aca="false">E2768</f>
        <v>-0.25</v>
      </c>
      <c r="K2768" s="0" t="n">
        <f aca="false">F2768</f>
        <v>0.75</v>
      </c>
      <c r="L2768" s="0" t="n">
        <f aca="false">G2768</f>
        <v>-0.75</v>
      </c>
      <c r="M2768" s="0" t="n">
        <f aca="false">H2768</f>
        <v>-1</v>
      </c>
      <c r="N2768" s="0" t="n">
        <f aca="false">E2768*F2768</f>
        <v>-0.1875</v>
      </c>
      <c r="O2768" s="0" t="n">
        <f aca="false">E2768*G2768</f>
        <v>0.1875</v>
      </c>
      <c r="P2768" s="0" t="n">
        <f aca="false">E2768*H2768</f>
        <v>0.25</v>
      </c>
      <c r="Q2768" s="0" t="n">
        <f aca="false">F2768*G2768</f>
        <v>-0.5625</v>
      </c>
      <c r="R2768" s="0" t="n">
        <f aca="false">F2768*H2768</f>
        <v>-0.75</v>
      </c>
      <c r="S2768" s="0" t="n">
        <f aca="false">G2768*H2768</f>
        <v>0.75</v>
      </c>
      <c r="T2768" s="0" t="n">
        <f aca="false">E2768*E2768</f>
        <v>0.0625</v>
      </c>
      <c r="U2768" s="0" t="n">
        <f aca="false">F2768*F2768</f>
        <v>0.5625</v>
      </c>
      <c r="V2768" s="0" t="n">
        <f aca="false">G2768*G2768</f>
        <v>0.5625</v>
      </c>
      <c r="W2768" s="0" t="n">
        <f aca="false">H2768*H2768</f>
        <v>1</v>
      </c>
      <c r="X2768" s="0" t="n">
        <f aca="false">SUMPRODUCT(I2768:W2768,_XtX!$B$96:$P$96)</f>
        <v>45.3515670687134</v>
      </c>
      <c r="Y2768" s="0" t="n">
        <f aca="false">SUMPRODUCT(MMULT(I2768:W2768,_XtX!$B$78:$P$92),I2768:W2768)</f>
        <v>0.473959761056287</v>
      </c>
      <c r="Z2768" s="0" t="n">
        <f aca="false">04_回帰ANOVA!$K$19*04_回帰ANOVA!$K$14*SQRT(1+Y2768)</f>
        <v>1.58249084588329</v>
      </c>
      <c r="AA2768" s="0" t="n">
        <f aca="false">X2768-Z2768</f>
        <v>43.7690762228301</v>
      </c>
      <c r="AB2768" s="0" t="n">
        <f aca="false">X2768+Z2768</f>
        <v>46.9340579145967</v>
      </c>
      <c r="AC2768" s="54" t="b">
        <f aca="false">AND(E2768&gt;=01_因子設定!$L$5-0.000000001,E2768&lt;=01_因子設定!$M$5+0.000000001,F2768&gt;=01_因子設定!$L$6-0.000000001,F2768&lt;=01_因子設定!$M$6+0.000000001,G2768&gt;=01_因子設定!$L$7-0.000000001,G2768&lt;=01_因子設定!$M$7+0.000000001,H2768&gt;=01_因子設定!$L$8-0.000000001,H2768&lt;=01_因子設定!$M$8+0.000000001,IF(01_因子設定!$B$20="Box-Behnken",E2768^2+F2768^2+G2768^2+H2768^2&lt;=2+0.000000001,TRUE()))</f>
        <v>1</v>
      </c>
      <c r="AD2768" s="55" t="n">
        <f aca="false">IF(AC2768,IF(01_因子設定!$B$13="最大化",AA2768-01_因子設定!$B$14,IF(01_因子設定!$B$13="最小化",01_因子設定!$B$15-AB2768,MIN(AA2768-01_因子設定!$B$14,01_因子設定!$B$15-AB2768))),-1E+030)</f>
        <v>-2.73092377716986</v>
      </c>
      <c r="AE2768" s="55" t="n">
        <f aca="false">IF(AC2768,IF(01_因子設定!$B$13="最大化",X2768,IF(01_因子設定!$B$13="最小化",-X2768,-ABS(X2768-01_因子設定!$B$16))),-1E+030)</f>
        <v>45.3515670687134</v>
      </c>
      <c r="AF2768" s="55" t="n">
        <f aca="false">AD2768+ROW()*0.000000001</f>
        <v>-2.73092100916986</v>
      </c>
      <c r="AG2768" s="55" t="n">
        <f aca="false">AE2768+ROW()*0.000000001</f>
        <v>45.3515698367134</v>
      </c>
    </row>
    <row r="2769" customFormat="false" ht="15" hidden="false" customHeight="false" outlineLevel="0" collapsed="false">
      <c r="A2769" s="0" t="n">
        <v>3</v>
      </c>
      <c r="B2769" s="0" t="n">
        <v>7</v>
      </c>
      <c r="C2769" s="0" t="n">
        <v>1</v>
      </c>
      <c r="D2769" s="0" t="n">
        <v>1</v>
      </c>
      <c r="E2769" s="0" t="n">
        <f aca="false">-1+A2769*0.25</f>
        <v>-0.25</v>
      </c>
      <c r="F2769" s="0" t="n">
        <f aca="false">-1+B2769*0.25</f>
        <v>0.75</v>
      </c>
      <c r="G2769" s="0" t="n">
        <f aca="false">-1+C2769*0.25</f>
        <v>-0.75</v>
      </c>
      <c r="H2769" s="0" t="n">
        <f aca="false">-1+D2769*0.25</f>
        <v>-0.75</v>
      </c>
      <c r="I2769" s="0" t="n">
        <f aca="false">1</f>
        <v>1</v>
      </c>
      <c r="J2769" s="0" t="n">
        <f aca="false">E2769</f>
        <v>-0.25</v>
      </c>
      <c r="K2769" s="0" t="n">
        <f aca="false">F2769</f>
        <v>0.75</v>
      </c>
      <c r="L2769" s="0" t="n">
        <f aca="false">G2769</f>
        <v>-0.75</v>
      </c>
      <c r="M2769" s="0" t="n">
        <f aca="false">H2769</f>
        <v>-0.75</v>
      </c>
      <c r="N2769" s="0" t="n">
        <f aca="false">E2769*F2769</f>
        <v>-0.1875</v>
      </c>
      <c r="O2769" s="0" t="n">
        <f aca="false">E2769*G2769</f>
        <v>0.1875</v>
      </c>
      <c r="P2769" s="0" t="n">
        <f aca="false">E2769*H2769</f>
        <v>0.1875</v>
      </c>
      <c r="Q2769" s="0" t="n">
        <f aca="false">F2769*G2769</f>
        <v>-0.5625</v>
      </c>
      <c r="R2769" s="0" t="n">
        <f aca="false">F2769*H2769</f>
        <v>-0.5625</v>
      </c>
      <c r="S2769" s="0" t="n">
        <f aca="false">G2769*H2769</f>
        <v>0.5625</v>
      </c>
      <c r="T2769" s="0" t="n">
        <f aca="false">E2769*E2769</f>
        <v>0.0625</v>
      </c>
      <c r="U2769" s="0" t="n">
        <f aca="false">F2769*F2769</f>
        <v>0.5625</v>
      </c>
      <c r="V2769" s="0" t="n">
        <f aca="false">G2769*G2769</f>
        <v>0.5625</v>
      </c>
      <c r="W2769" s="0" t="n">
        <f aca="false">H2769*H2769</f>
        <v>0.5625</v>
      </c>
      <c r="X2769" s="0" t="n">
        <f aca="false">SUMPRODUCT(I2769:W2769,_XtX!$B$96:$P$96)</f>
        <v>45.5187180190058</v>
      </c>
      <c r="Y2769" s="0" t="n">
        <f aca="false">SUMPRODUCT(MMULT(I2769:W2769,_XtX!$B$78:$P$92),I2769:W2769)</f>
        <v>0.294856199744152</v>
      </c>
      <c r="Z2769" s="0" t="n">
        <f aca="false">04_回帰ANOVA!$K$19*04_回帰ANOVA!$K$14*SQRT(1+Y2769)</f>
        <v>1.48323226089013</v>
      </c>
      <c r="AA2769" s="0" t="n">
        <f aca="false">X2769-Z2769</f>
        <v>44.0354857581157</v>
      </c>
      <c r="AB2769" s="0" t="n">
        <f aca="false">X2769+Z2769</f>
        <v>47.0019502798959</v>
      </c>
      <c r="AC2769" s="54" t="b">
        <f aca="false">AND(E2769&gt;=01_因子設定!$L$5-0.000000001,E2769&lt;=01_因子設定!$M$5+0.000000001,F2769&gt;=01_因子設定!$L$6-0.000000001,F2769&lt;=01_因子設定!$M$6+0.000000001,G2769&gt;=01_因子設定!$L$7-0.000000001,G2769&lt;=01_因子設定!$M$7+0.000000001,H2769&gt;=01_因子設定!$L$8-0.000000001,H2769&lt;=01_因子設定!$M$8+0.000000001,IF(01_因子設定!$B$20="Box-Behnken",E2769^2+F2769^2+G2769^2+H2769^2&lt;=2+0.000000001,TRUE()))</f>
        <v>1</v>
      </c>
      <c r="AD2769" s="55" t="n">
        <f aca="false">IF(AC2769,IF(01_因子設定!$B$13="最大化",AA2769-01_因子設定!$B$14,IF(01_因子設定!$B$13="最小化",01_因子設定!$B$15-AB2769,MIN(AA2769-01_因子設定!$B$14,01_因子設定!$B$15-AB2769))),-1E+030)</f>
        <v>-2.46451424188432</v>
      </c>
      <c r="AE2769" s="55" t="n">
        <f aca="false">IF(AC2769,IF(01_因子設定!$B$13="最大化",X2769,IF(01_因子設定!$B$13="最小化",-X2769,-ABS(X2769-01_因子設定!$B$16))),-1E+030)</f>
        <v>45.5187180190058</v>
      </c>
      <c r="AF2769" s="55" t="n">
        <f aca="false">AD2769+ROW()*0.000000001</f>
        <v>-2.46451147288432</v>
      </c>
      <c r="AG2769" s="55" t="n">
        <f aca="false">AE2769+ROW()*0.000000001</f>
        <v>45.5187207880058</v>
      </c>
    </row>
    <row r="2770" customFormat="false" ht="15" hidden="false" customHeight="false" outlineLevel="0" collapsed="false">
      <c r="A2770" s="0" t="n">
        <v>3</v>
      </c>
      <c r="B2770" s="0" t="n">
        <v>7</v>
      </c>
      <c r="C2770" s="0" t="n">
        <v>1</v>
      </c>
      <c r="D2770" s="0" t="n">
        <v>2</v>
      </c>
      <c r="E2770" s="0" t="n">
        <f aca="false">-1+A2770*0.25</f>
        <v>-0.25</v>
      </c>
      <c r="F2770" s="0" t="n">
        <f aca="false">-1+B2770*0.25</f>
        <v>0.75</v>
      </c>
      <c r="G2770" s="0" t="n">
        <f aca="false">-1+C2770*0.25</f>
        <v>-0.75</v>
      </c>
      <c r="H2770" s="0" t="n">
        <f aca="false">-1+D2770*0.25</f>
        <v>-0.5</v>
      </c>
      <c r="I2770" s="0" t="n">
        <f aca="false">1</f>
        <v>1</v>
      </c>
      <c r="J2770" s="0" t="n">
        <f aca="false">E2770</f>
        <v>-0.25</v>
      </c>
      <c r="K2770" s="0" t="n">
        <f aca="false">F2770</f>
        <v>0.75</v>
      </c>
      <c r="L2770" s="0" t="n">
        <f aca="false">G2770</f>
        <v>-0.75</v>
      </c>
      <c r="M2770" s="0" t="n">
        <f aca="false">H2770</f>
        <v>-0.5</v>
      </c>
      <c r="N2770" s="0" t="n">
        <f aca="false">E2770*F2770</f>
        <v>-0.1875</v>
      </c>
      <c r="O2770" s="0" t="n">
        <f aca="false">E2770*G2770</f>
        <v>0.1875</v>
      </c>
      <c r="P2770" s="0" t="n">
        <f aca="false">E2770*H2770</f>
        <v>0.125</v>
      </c>
      <c r="Q2770" s="0" t="n">
        <f aca="false">F2770*G2770</f>
        <v>-0.5625</v>
      </c>
      <c r="R2770" s="0" t="n">
        <f aca="false">F2770*H2770</f>
        <v>-0.375</v>
      </c>
      <c r="S2770" s="0" t="n">
        <f aca="false">G2770*H2770</f>
        <v>0.375</v>
      </c>
      <c r="T2770" s="0" t="n">
        <f aca="false">E2770*E2770</f>
        <v>0.0625</v>
      </c>
      <c r="U2770" s="0" t="n">
        <f aca="false">F2770*F2770</f>
        <v>0.5625</v>
      </c>
      <c r="V2770" s="0" t="n">
        <f aca="false">G2770*G2770</f>
        <v>0.5625</v>
      </c>
      <c r="W2770" s="0" t="n">
        <f aca="false">H2770*H2770</f>
        <v>0.25</v>
      </c>
      <c r="X2770" s="0" t="n">
        <f aca="false">SUMPRODUCT(I2770:W2770,_XtX!$B$96:$P$96)</f>
        <v>45.6380619517543</v>
      </c>
      <c r="Y2770" s="0" t="n">
        <f aca="false">SUMPRODUCT(MMULT(I2770:W2770,_XtX!$B$78:$P$92),I2770:W2770)</f>
        <v>0.257385610836988</v>
      </c>
      <c r="Z2770" s="0" t="n">
        <f aca="false">04_回帰ANOVA!$K$19*04_回帰ANOVA!$K$14*SQRT(1+Y2770)</f>
        <v>1.46161380324158</v>
      </c>
      <c r="AA2770" s="0" t="n">
        <f aca="false">X2770-Z2770</f>
        <v>44.1764481485128</v>
      </c>
      <c r="AB2770" s="0" t="n">
        <f aca="false">X2770+Z2770</f>
        <v>47.0996757549959</v>
      </c>
      <c r="AC2770" s="54" t="b">
        <f aca="false">AND(E2770&gt;=01_因子設定!$L$5-0.000000001,E2770&lt;=01_因子設定!$M$5+0.000000001,F2770&gt;=01_因子設定!$L$6-0.000000001,F2770&lt;=01_因子設定!$M$6+0.000000001,G2770&gt;=01_因子設定!$L$7-0.000000001,G2770&lt;=01_因子設定!$M$7+0.000000001,H2770&gt;=01_因子設定!$L$8-0.000000001,H2770&lt;=01_因子設定!$M$8+0.000000001,IF(01_因子設定!$B$20="Box-Behnken",E2770^2+F2770^2+G2770^2+H2770^2&lt;=2+0.000000001,TRUE()))</f>
        <v>1</v>
      </c>
      <c r="AD2770" s="55" t="n">
        <f aca="false">IF(AC2770,IF(01_因子設定!$B$13="最大化",AA2770-01_因子設定!$B$14,IF(01_因子設定!$B$13="最小化",01_因子設定!$B$15-AB2770,MIN(AA2770-01_因子設定!$B$14,01_因子設定!$B$15-AB2770))),-1E+030)</f>
        <v>-2.32355185148725</v>
      </c>
      <c r="AE2770" s="55" t="n">
        <f aca="false">IF(AC2770,IF(01_因子設定!$B$13="最大化",X2770,IF(01_因子設定!$B$13="最小化",-X2770,-ABS(X2770-01_因子設定!$B$16))),-1E+030)</f>
        <v>45.6380619517543</v>
      </c>
      <c r="AF2770" s="55" t="n">
        <f aca="false">AD2770+ROW()*0.000000001</f>
        <v>-2.32354908148725</v>
      </c>
      <c r="AG2770" s="55" t="n">
        <f aca="false">AE2770+ROW()*0.000000001</f>
        <v>45.6380647217543</v>
      </c>
    </row>
    <row r="2771" customFormat="false" ht="15" hidden="false" customHeight="false" outlineLevel="0" collapsed="false">
      <c r="A2771" s="0" t="n">
        <v>3</v>
      </c>
      <c r="B2771" s="0" t="n">
        <v>7</v>
      </c>
      <c r="C2771" s="0" t="n">
        <v>1</v>
      </c>
      <c r="D2771" s="0" t="n">
        <v>3</v>
      </c>
      <c r="E2771" s="0" t="n">
        <f aca="false">-1+A2771*0.25</f>
        <v>-0.25</v>
      </c>
      <c r="F2771" s="0" t="n">
        <f aca="false">-1+B2771*0.25</f>
        <v>0.75</v>
      </c>
      <c r="G2771" s="0" t="n">
        <f aca="false">-1+C2771*0.25</f>
        <v>-0.75</v>
      </c>
      <c r="H2771" s="0" t="n">
        <f aca="false">-1+D2771*0.25</f>
        <v>-0.25</v>
      </c>
      <c r="I2771" s="0" t="n">
        <f aca="false">1</f>
        <v>1</v>
      </c>
      <c r="J2771" s="0" t="n">
        <f aca="false">E2771</f>
        <v>-0.25</v>
      </c>
      <c r="K2771" s="0" t="n">
        <f aca="false">F2771</f>
        <v>0.75</v>
      </c>
      <c r="L2771" s="0" t="n">
        <f aca="false">G2771</f>
        <v>-0.75</v>
      </c>
      <c r="M2771" s="0" t="n">
        <f aca="false">H2771</f>
        <v>-0.25</v>
      </c>
      <c r="N2771" s="0" t="n">
        <f aca="false">E2771*F2771</f>
        <v>-0.1875</v>
      </c>
      <c r="O2771" s="0" t="n">
        <f aca="false">E2771*G2771</f>
        <v>0.1875</v>
      </c>
      <c r="P2771" s="0" t="n">
        <f aca="false">E2771*H2771</f>
        <v>0.0625</v>
      </c>
      <c r="Q2771" s="0" t="n">
        <f aca="false">F2771*G2771</f>
        <v>-0.5625</v>
      </c>
      <c r="R2771" s="0" t="n">
        <f aca="false">F2771*H2771</f>
        <v>-0.1875</v>
      </c>
      <c r="S2771" s="0" t="n">
        <f aca="false">G2771*H2771</f>
        <v>0.1875</v>
      </c>
      <c r="T2771" s="0" t="n">
        <f aca="false">E2771*E2771</f>
        <v>0.0625</v>
      </c>
      <c r="U2771" s="0" t="n">
        <f aca="false">F2771*F2771</f>
        <v>0.5625</v>
      </c>
      <c r="V2771" s="0" t="n">
        <f aca="false">G2771*G2771</f>
        <v>0.5625</v>
      </c>
      <c r="W2771" s="0" t="n">
        <f aca="false">H2771*H2771</f>
        <v>0.0625</v>
      </c>
      <c r="X2771" s="0" t="n">
        <f aca="false">SUMPRODUCT(I2771:W2771,_XtX!$B$96:$P$96)</f>
        <v>45.709598866959</v>
      </c>
      <c r="Y2771" s="0" t="n">
        <f aca="false">SUMPRODUCT(MMULT(I2771:W2771,_XtX!$B$78:$P$92),I2771:W2771)</f>
        <v>0.271087468019006</v>
      </c>
      <c r="Z2771" s="0" t="n">
        <f aca="false">04_回帰ANOVA!$K$19*04_回帰ANOVA!$K$14*SQRT(1+Y2771)</f>
        <v>1.46955590155034</v>
      </c>
      <c r="AA2771" s="0" t="n">
        <f aca="false">X2771-Z2771</f>
        <v>44.2400429654087</v>
      </c>
      <c r="AB2771" s="0" t="n">
        <f aca="false">X2771+Z2771</f>
        <v>47.1791547685094</v>
      </c>
      <c r="AC2771" s="54" t="b">
        <f aca="false">AND(E2771&gt;=01_因子設定!$L$5-0.000000001,E2771&lt;=01_因子設定!$M$5+0.000000001,F2771&gt;=01_因子設定!$L$6-0.000000001,F2771&lt;=01_因子設定!$M$6+0.000000001,G2771&gt;=01_因子設定!$L$7-0.000000001,G2771&lt;=01_因子設定!$M$7+0.000000001,H2771&gt;=01_因子設定!$L$8-0.000000001,H2771&lt;=01_因子設定!$M$8+0.000000001,IF(01_因子設定!$B$20="Box-Behnken",E2771^2+F2771^2+G2771^2+H2771^2&lt;=2+0.000000001,TRUE()))</f>
        <v>1</v>
      </c>
      <c r="AD2771" s="55" t="n">
        <f aca="false">IF(AC2771,IF(01_因子設定!$B$13="最大化",AA2771-01_因子設定!$B$14,IF(01_因子設定!$B$13="最小化",01_因子設定!$B$15-AB2771,MIN(AA2771-01_因子設定!$B$14,01_因子設定!$B$15-AB2771))),-1E+030)</f>
        <v>-2.25995703459134</v>
      </c>
      <c r="AE2771" s="55" t="n">
        <f aca="false">IF(AC2771,IF(01_因子設定!$B$13="最大化",X2771,IF(01_因子設定!$B$13="最小化",-X2771,-ABS(X2771-01_因子設定!$B$16))),-1E+030)</f>
        <v>45.709598866959</v>
      </c>
      <c r="AF2771" s="55" t="n">
        <f aca="false">AD2771+ROW()*0.000000001</f>
        <v>-2.25995426359134</v>
      </c>
      <c r="AG2771" s="55" t="n">
        <f aca="false">AE2771+ROW()*0.000000001</f>
        <v>45.709601637959</v>
      </c>
    </row>
    <row r="2772" customFormat="false" ht="15" hidden="false" customHeight="false" outlineLevel="0" collapsed="false">
      <c r="A2772" s="0" t="n">
        <v>3</v>
      </c>
      <c r="B2772" s="0" t="n">
        <v>7</v>
      </c>
      <c r="C2772" s="0" t="n">
        <v>1</v>
      </c>
      <c r="D2772" s="0" t="n">
        <v>4</v>
      </c>
      <c r="E2772" s="0" t="n">
        <f aca="false">-1+A2772*0.25</f>
        <v>-0.25</v>
      </c>
      <c r="F2772" s="0" t="n">
        <f aca="false">-1+B2772*0.25</f>
        <v>0.75</v>
      </c>
      <c r="G2772" s="0" t="n">
        <f aca="false">-1+C2772*0.25</f>
        <v>-0.75</v>
      </c>
      <c r="H2772" s="0" t="n">
        <f aca="false">-1+D2772*0.25</f>
        <v>0</v>
      </c>
      <c r="I2772" s="0" t="n">
        <f aca="false">1</f>
        <v>1</v>
      </c>
      <c r="J2772" s="0" t="n">
        <f aca="false">E2772</f>
        <v>-0.25</v>
      </c>
      <c r="K2772" s="0" t="n">
        <f aca="false">F2772</f>
        <v>0.75</v>
      </c>
      <c r="L2772" s="0" t="n">
        <f aca="false">G2772</f>
        <v>-0.75</v>
      </c>
      <c r="M2772" s="0" t="n">
        <f aca="false">H2772</f>
        <v>0</v>
      </c>
      <c r="N2772" s="0" t="n">
        <f aca="false">E2772*F2772</f>
        <v>-0.1875</v>
      </c>
      <c r="O2772" s="0" t="n">
        <f aca="false">E2772*G2772</f>
        <v>0.1875</v>
      </c>
      <c r="P2772" s="0" t="n">
        <f aca="false">E2772*H2772</f>
        <v>-0</v>
      </c>
      <c r="Q2772" s="0" t="n">
        <f aca="false">F2772*G2772</f>
        <v>-0.5625</v>
      </c>
      <c r="R2772" s="0" t="n">
        <f aca="false">F2772*H2772</f>
        <v>0</v>
      </c>
      <c r="S2772" s="0" t="n">
        <f aca="false">G2772*H2772</f>
        <v>-0</v>
      </c>
      <c r="T2772" s="0" t="n">
        <f aca="false">E2772*E2772</f>
        <v>0.0625</v>
      </c>
      <c r="U2772" s="0" t="n">
        <f aca="false">F2772*F2772</f>
        <v>0.5625</v>
      </c>
      <c r="V2772" s="0" t="n">
        <f aca="false">G2772*G2772</f>
        <v>0.5625</v>
      </c>
      <c r="W2772" s="0" t="n">
        <f aca="false">H2772*H2772</f>
        <v>0</v>
      </c>
      <c r="X2772" s="0" t="n">
        <f aca="false">SUMPRODUCT(I2772:W2772,_XtX!$B$96:$P$96)</f>
        <v>45.7333287646198</v>
      </c>
      <c r="Y2772" s="0" t="n">
        <f aca="false">SUMPRODUCT(MMULT(I2772:W2772,_XtX!$B$78:$P$92),I2772:W2772)</f>
        <v>0.281685455500731</v>
      </c>
      <c r="Z2772" s="0" t="n">
        <f aca="false">04_回帰ANOVA!$K$19*04_回帰ANOVA!$K$14*SQRT(1+Y2772)</f>
        <v>1.47566956658694</v>
      </c>
      <c r="AA2772" s="0" t="n">
        <f aca="false">X2772-Z2772</f>
        <v>44.2576591980329</v>
      </c>
      <c r="AB2772" s="0" t="n">
        <f aca="false">X2772+Z2772</f>
        <v>47.2089983312068</v>
      </c>
      <c r="AC2772" s="54" t="b">
        <f aca="false">AND(E2772&gt;=01_因子設定!$L$5-0.000000001,E2772&lt;=01_因子設定!$M$5+0.000000001,F2772&gt;=01_因子設定!$L$6-0.000000001,F2772&lt;=01_因子設定!$M$6+0.000000001,G2772&gt;=01_因子設定!$L$7-0.000000001,G2772&lt;=01_因子設定!$M$7+0.000000001,H2772&gt;=01_因子設定!$L$8-0.000000001,H2772&lt;=01_因子設定!$M$8+0.000000001,IF(01_因子設定!$B$20="Box-Behnken",E2772^2+F2772^2+G2772^2+H2772^2&lt;=2+0.000000001,TRUE()))</f>
        <v>1</v>
      </c>
      <c r="AD2772" s="55" t="n">
        <f aca="false">IF(AC2772,IF(01_因子設定!$B$13="最大化",AA2772-01_因子設定!$B$14,IF(01_因子設定!$B$13="最小化",01_因子設定!$B$15-AB2772,MIN(AA2772-01_因子設定!$B$14,01_因子設定!$B$15-AB2772))),-1E+030)</f>
        <v>-2.24234080196711</v>
      </c>
      <c r="AE2772" s="55" t="n">
        <f aca="false">IF(AC2772,IF(01_因子設定!$B$13="最大化",X2772,IF(01_因子設定!$B$13="最小化",-X2772,-ABS(X2772-01_因子設定!$B$16))),-1E+030)</f>
        <v>45.7333287646198</v>
      </c>
      <c r="AF2772" s="55" t="n">
        <f aca="false">AD2772+ROW()*0.000000001</f>
        <v>-2.24233802996711</v>
      </c>
      <c r="AG2772" s="55" t="n">
        <f aca="false">AE2772+ROW()*0.000000001</f>
        <v>45.7333315366198</v>
      </c>
    </row>
    <row r="2773" customFormat="false" ht="15" hidden="false" customHeight="false" outlineLevel="0" collapsed="false">
      <c r="A2773" s="0" t="n">
        <v>3</v>
      </c>
      <c r="B2773" s="0" t="n">
        <v>7</v>
      </c>
      <c r="C2773" s="0" t="n">
        <v>1</v>
      </c>
      <c r="D2773" s="0" t="n">
        <v>5</v>
      </c>
      <c r="E2773" s="0" t="n">
        <f aca="false">-1+A2773*0.25</f>
        <v>-0.25</v>
      </c>
      <c r="F2773" s="0" t="n">
        <f aca="false">-1+B2773*0.25</f>
        <v>0.75</v>
      </c>
      <c r="G2773" s="0" t="n">
        <f aca="false">-1+C2773*0.25</f>
        <v>-0.75</v>
      </c>
      <c r="H2773" s="0" t="n">
        <f aca="false">-1+D2773*0.25</f>
        <v>0.25</v>
      </c>
      <c r="I2773" s="0" t="n">
        <f aca="false">1</f>
        <v>1</v>
      </c>
      <c r="J2773" s="0" t="n">
        <f aca="false">E2773</f>
        <v>-0.25</v>
      </c>
      <c r="K2773" s="0" t="n">
        <f aca="false">F2773</f>
        <v>0.75</v>
      </c>
      <c r="L2773" s="0" t="n">
        <f aca="false">G2773</f>
        <v>-0.75</v>
      </c>
      <c r="M2773" s="0" t="n">
        <f aca="false">H2773</f>
        <v>0.25</v>
      </c>
      <c r="N2773" s="0" t="n">
        <f aca="false">E2773*F2773</f>
        <v>-0.1875</v>
      </c>
      <c r="O2773" s="0" t="n">
        <f aca="false">E2773*G2773</f>
        <v>0.1875</v>
      </c>
      <c r="P2773" s="0" t="n">
        <f aca="false">E2773*H2773</f>
        <v>-0.0625</v>
      </c>
      <c r="Q2773" s="0" t="n">
        <f aca="false">F2773*G2773</f>
        <v>-0.5625</v>
      </c>
      <c r="R2773" s="0" t="n">
        <f aca="false">F2773*H2773</f>
        <v>0.1875</v>
      </c>
      <c r="S2773" s="0" t="n">
        <f aca="false">G2773*H2773</f>
        <v>-0.1875</v>
      </c>
      <c r="T2773" s="0" t="n">
        <f aca="false">E2773*E2773</f>
        <v>0.0625</v>
      </c>
      <c r="U2773" s="0" t="n">
        <f aca="false">F2773*F2773</f>
        <v>0.5625</v>
      </c>
      <c r="V2773" s="0" t="n">
        <f aca="false">G2773*G2773</f>
        <v>0.5625</v>
      </c>
      <c r="W2773" s="0" t="n">
        <f aca="false">H2773*H2773</f>
        <v>0.0625</v>
      </c>
      <c r="X2773" s="0" t="n">
        <f aca="false">SUMPRODUCT(I2773:W2773,_XtX!$B$96:$P$96)</f>
        <v>45.7092516447368</v>
      </c>
      <c r="Y2773" s="0" t="n">
        <f aca="false">SUMPRODUCT(MMULT(I2773:W2773,_XtX!$B$78:$P$92),I2773:W2773)</f>
        <v>0.271087468019006</v>
      </c>
      <c r="Z2773" s="0" t="n">
        <f aca="false">04_回帰ANOVA!$K$19*04_回帰ANOVA!$K$14*SQRT(1+Y2773)</f>
        <v>1.46955590155034</v>
      </c>
      <c r="AA2773" s="0" t="n">
        <f aca="false">X2773-Z2773</f>
        <v>44.2396957431864</v>
      </c>
      <c r="AB2773" s="0" t="n">
        <f aca="false">X2773+Z2773</f>
        <v>47.1788075462871</v>
      </c>
      <c r="AC2773" s="54" t="b">
        <f aca="false">AND(E2773&gt;=01_因子設定!$L$5-0.000000001,E2773&lt;=01_因子設定!$M$5+0.000000001,F2773&gt;=01_因子設定!$L$6-0.000000001,F2773&lt;=01_因子設定!$M$6+0.000000001,G2773&gt;=01_因子設定!$L$7-0.000000001,G2773&lt;=01_因子設定!$M$7+0.000000001,H2773&gt;=01_因子設定!$L$8-0.000000001,H2773&lt;=01_因子設定!$M$8+0.000000001,IF(01_因子設定!$B$20="Box-Behnken",E2773^2+F2773^2+G2773^2+H2773^2&lt;=2+0.000000001,TRUE()))</f>
        <v>1</v>
      </c>
      <c r="AD2773" s="55" t="n">
        <f aca="false">IF(AC2773,IF(01_因子設定!$B$13="最大化",AA2773-01_因子設定!$B$14,IF(01_因子設定!$B$13="最小化",01_因子設定!$B$15-AB2773,MIN(AA2773-01_因子設定!$B$14,01_因子設定!$B$15-AB2773))),-1E+030)</f>
        <v>-2.26030425681356</v>
      </c>
      <c r="AE2773" s="55" t="n">
        <f aca="false">IF(AC2773,IF(01_因子設定!$B$13="最大化",X2773,IF(01_因子設定!$B$13="最小化",-X2773,-ABS(X2773-01_因子設定!$B$16))),-1E+030)</f>
        <v>45.7092516447368</v>
      </c>
      <c r="AF2773" s="55" t="n">
        <f aca="false">AD2773+ROW()*0.000000001</f>
        <v>-2.26030148381356</v>
      </c>
      <c r="AG2773" s="55" t="n">
        <f aca="false">AE2773+ROW()*0.000000001</f>
        <v>45.7092544177368</v>
      </c>
    </row>
    <row r="2774" customFormat="false" ht="15" hidden="false" customHeight="false" outlineLevel="0" collapsed="false">
      <c r="A2774" s="0" t="n">
        <v>3</v>
      </c>
      <c r="B2774" s="0" t="n">
        <v>7</v>
      </c>
      <c r="C2774" s="0" t="n">
        <v>1</v>
      </c>
      <c r="D2774" s="0" t="n">
        <v>6</v>
      </c>
      <c r="E2774" s="0" t="n">
        <f aca="false">-1+A2774*0.25</f>
        <v>-0.25</v>
      </c>
      <c r="F2774" s="0" t="n">
        <f aca="false">-1+B2774*0.25</f>
        <v>0.75</v>
      </c>
      <c r="G2774" s="0" t="n">
        <f aca="false">-1+C2774*0.25</f>
        <v>-0.75</v>
      </c>
      <c r="H2774" s="0" t="n">
        <f aca="false">-1+D2774*0.25</f>
        <v>0.5</v>
      </c>
      <c r="I2774" s="0" t="n">
        <f aca="false">1</f>
        <v>1</v>
      </c>
      <c r="J2774" s="0" t="n">
        <f aca="false">E2774</f>
        <v>-0.25</v>
      </c>
      <c r="K2774" s="0" t="n">
        <f aca="false">F2774</f>
        <v>0.75</v>
      </c>
      <c r="L2774" s="0" t="n">
        <f aca="false">G2774</f>
        <v>-0.75</v>
      </c>
      <c r="M2774" s="0" t="n">
        <f aca="false">H2774</f>
        <v>0.5</v>
      </c>
      <c r="N2774" s="0" t="n">
        <f aca="false">E2774*F2774</f>
        <v>-0.1875</v>
      </c>
      <c r="O2774" s="0" t="n">
        <f aca="false">E2774*G2774</f>
        <v>0.1875</v>
      </c>
      <c r="P2774" s="0" t="n">
        <f aca="false">E2774*H2774</f>
        <v>-0.125</v>
      </c>
      <c r="Q2774" s="0" t="n">
        <f aca="false">F2774*G2774</f>
        <v>-0.5625</v>
      </c>
      <c r="R2774" s="0" t="n">
        <f aca="false">F2774*H2774</f>
        <v>0.375</v>
      </c>
      <c r="S2774" s="0" t="n">
        <f aca="false">G2774*H2774</f>
        <v>-0.375</v>
      </c>
      <c r="T2774" s="0" t="n">
        <f aca="false">E2774*E2774</f>
        <v>0.0625</v>
      </c>
      <c r="U2774" s="0" t="n">
        <f aca="false">F2774*F2774</f>
        <v>0.5625</v>
      </c>
      <c r="V2774" s="0" t="n">
        <f aca="false">G2774*G2774</f>
        <v>0.5625</v>
      </c>
      <c r="W2774" s="0" t="n">
        <f aca="false">H2774*H2774</f>
        <v>0.25</v>
      </c>
      <c r="X2774" s="0" t="n">
        <f aca="false">SUMPRODUCT(I2774:W2774,_XtX!$B$96:$P$96)</f>
        <v>45.6373675073099</v>
      </c>
      <c r="Y2774" s="0" t="n">
        <f aca="false">SUMPRODUCT(MMULT(I2774:W2774,_XtX!$B$78:$P$92),I2774:W2774)</f>
        <v>0.257385610836988</v>
      </c>
      <c r="Z2774" s="0" t="n">
        <f aca="false">04_回帰ANOVA!$K$19*04_回帰ANOVA!$K$14*SQRT(1+Y2774)</f>
        <v>1.46161380324158</v>
      </c>
      <c r="AA2774" s="0" t="n">
        <f aca="false">X2774-Z2774</f>
        <v>44.1757537040683</v>
      </c>
      <c r="AB2774" s="0" t="n">
        <f aca="false">X2774+Z2774</f>
        <v>47.0989813105515</v>
      </c>
      <c r="AC2774" s="54" t="b">
        <f aca="false">AND(E2774&gt;=01_因子設定!$L$5-0.000000001,E2774&lt;=01_因子設定!$M$5+0.000000001,F2774&gt;=01_因子設定!$L$6-0.000000001,F2774&lt;=01_因子設定!$M$6+0.000000001,G2774&gt;=01_因子設定!$L$7-0.000000001,G2774&lt;=01_因子設定!$M$7+0.000000001,H2774&gt;=01_因子設定!$L$8-0.000000001,H2774&lt;=01_因子設定!$M$8+0.000000001,IF(01_因子設定!$B$20="Box-Behnken",E2774^2+F2774^2+G2774^2+H2774^2&lt;=2+0.000000001,TRUE()))</f>
        <v>1</v>
      </c>
      <c r="AD2774" s="55" t="n">
        <f aca="false">IF(AC2774,IF(01_因子設定!$B$13="最大化",AA2774-01_因子設定!$B$14,IF(01_因子設定!$B$13="最小化",01_因子設定!$B$15-AB2774,MIN(AA2774-01_因子設定!$B$14,01_因子設定!$B$15-AB2774))),-1E+030)</f>
        <v>-2.32424629593169</v>
      </c>
      <c r="AE2774" s="55" t="n">
        <f aca="false">IF(AC2774,IF(01_因子設定!$B$13="最大化",X2774,IF(01_因子設定!$B$13="最小化",-X2774,-ABS(X2774-01_因子設定!$B$16))),-1E+030)</f>
        <v>45.6373675073099</v>
      </c>
      <c r="AF2774" s="55" t="n">
        <f aca="false">AD2774+ROW()*0.000000001</f>
        <v>-2.32424352193169</v>
      </c>
      <c r="AG2774" s="55" t="n">
        <f aca="false">AE2774+ROW()*0.000000001</f>
        <v>45.6373702813099</v>
      </c>
    </row>
    <row r="2775" customFormat="false" ht="15" hidden="false" customHeight="false" outlineLevel="0" collapsed="false">
      <c r="A2775" s="0" t="n">
        <v>3</v>
      </c>
      <c r="B2775" s="0" t="n">
        <v>7</v>
      </c>
      <c r="C2775" s="0" t="n">
        <v>1</v>
      </c>
      <c r="D2775" s="0" t="n">
        <v>7</v>
      </c>
      <c r="E2775" s="0" t="n">
        <f aca="false">-1+A2775*0.25</f>
        <v>-0.25</v>
      </c>
      <c r="F2775" s="0" t="n">
        <f aca="false">-1+B2775*0.25</f>
        <v>0.75</v>
      </c>
      <c r="G2775" s="0" t="n">
        <f aca="false">-1+C2775*0.25</f>
        <v>-0.75</v>
      </c>
      <c r="H2775" s="0" t="n">
        <f aca="false">-1+D2775*0.25</f>
        <v>0.75</v>
      </c>
      <c r="I2775" s="0" t="n">
        <f aca="false">1</f>
        <v>1</v>
      </c>
      <c r="J2775" s="0" t="n">
        <f aca="false">E2775</f>
        <v>-0.25</v>
      </c>
      <c r="K2775" s="0" t="n">
        <f aca="false">F2775</f>
        <v>0.75</v>
      </c>
      <c r="L2775" s="0" t="n">
        <f aca="false">G2775</f>
        <v>-0.75</v>
      </c>
      <c r="M2775" s="0" t="n">
        <f aca="false">H2775</f>
        <v>0.75</v>
      </c>
      <c r="N2775" s="0" t="n">
        <f aca="false">E2775*F2775</f>
        <v>-0.1875</v>
      </c>
      <c r="O2775" s="0" t="n">
        <f aca="false">E2775*G2775</f>
        <v>0.1875</v>
      </c>
      <c r="P2775" s="0" t="n">
        <f aca="false">E2775*H2775</f>
        <v>-0.1875</v>
      </c>
      <c r="Q2775" s="0" t="n">
        <f aca="false">F2775*G2775</f>
        <v>-0.5625</v>
      </c>
      <c r="R2775" s="0" t="n">
        <f aca="false">F2775*H2775</f>
        <v>0.5625</v>
      </c>
      <c r="S2775" s="0" t="n">
        <f aca="false">G2775*H2775</f>
        <v>-0.5625</v>
      </c>
      <c r="T2775" s="0" t="n">
        <f aca="false">E2775*E2775</f>
        <v>0.0625</v>
      </c>
      <c r="U2775" s="0" t="n">
        <f aca="false">F2775*F2775</f>
        <v>0.5625</v>
      </c>
      <c r="V2775" s="0" t="n">
        <f aca="false">G2775*G2775</f>
        <v>0.5625</v>
      </c>
      <c r="W2775" s="0" t="n">
        <f aca="false">H2775*H2775</f>
        <v>0.5625</v>
      </c>
      <c r="X2775" s="0" t="n">
        <f aca="false">SUMPRODUCT(I2775:W2775,_XtX!$B$96:$P$96)</f>
        <v>45.5176763523391</v>
      </c>
      <c r="Y2775" s="0" t="n">
        <f aca="false">SUMPRODUCT(MMULT(I2775:W2775,_XtX!$B$78:$P$92),I2775:W2775)</f>
        <v>0.294856199744152</v>
      </c>
      <c r="Z2775" s="0" t="n">
        <f aca="false">04_回帰ANOVA!$K$19*04_回帰ANOVA!$K$14*SQRT(1+Y2775)</f>
        <v>1.48323226089013</v>
      </c>
      <c r="AA2775" s="0" t="n">
        <f aca="false">X2775-Z2775</f>
        <v>44.034444091449</v>
      </c>
      <c r="AB2775" s="0" t="n">
        <f aca="false">X2775+Z2775</f>
        <v>47.0009086132293</v>
      </c>
      <c r="AC2775" s="54" t="b">
        <f aca="false">AND(E2775&gt;=01_因子設定!$L$5-0.000000001,E2775&lt;=01_因子設定!$M$5+0.000000001,F2775&gt;=01_因子設定!$L$6-0.000000001,F2775&lt;=01_因子設定!$M$6+0.000000001,G2775&gt;=01_因子設定!$L$7-0.000000001,G2775&lt;=01_因子設定!$M$7+0.000000001,H2775&gt;=01_因子設定!$L$8-0.000000001,H2775&lt;=01_因子設定!$M$8+0.000000001,IF(01_因子設定!$B$20="Box-Behnken",E2775^2+F2775^2+G2775^2+H2775^2&lt;=2+0.000000001,TRUE()))</f>
        <v>1</v>
      </c>
      <c r="AD2775" s="55" t="n">
        <f aca="false">IF(AC2775,IF(01_因子設定!$B$13="最大化",AA2775-01_因子設定!$B$14,IF(01_因子設定!$B$13="最小化",01_因子設定!$B$15-AB2775,MIN(AA2775-01_因子設定!$B$14,01_因子設定!$B$15-AB2775))),-1E+030)</f>
        <v>-2.46555590855099</v>
      </c>
      <c r="AE2775" s="55" t="n">
        <f aca="false">IF(AC2775,IF(01_因子設定!$B$13="最大化",X2775,IF(01_因子設定!$B$13="最小化",-X2775,-ABS(X2775-01_因子設定!$B$16))),-1E+030)</f>
        <v>45.5176763523391</v>
      </c>
      <c r="AF2775" s="55" t="n">
        <f aca="false">AD2775+ROW()*0.000000001</f>
        <v>-2.46555313355099</v>
      </c>
      <c r="AG2775" s="55" t="n">
        <f aca="false">AE2775+ROW()*0.000000001</f>
        <v>45.5176791273391</v>
      </c>
    </row>
    <row r="2776" customFormat="false" ht="15" hidden="false" customHeight="false" outlineLevel="0" collapsed="false">
      <c r="A2776" s="0" t="n">
        <v>3</v>
      </c>
      <c r="B2776" s="0" t="n">
        <v>7</v>
      </c>
      <c r="C2776" s="0" t="n">
        <v>1</v>
      </c>
      <c r="D2776" s="0" t="n">
        <v>8</v>
      </c>
      <c r="E2776" s="0" t="n">
        <f aca="false">-1+A2776*0.25</f>
        <v>-0.25</v>
      </c>
      <c r="F2776" s="0" t="n">
        <f aca="false">-1+B2776*0.25</f>
        <v>0.75</v>
      </c>
      <c r="G2776" s="0" t="n">
        <f aca="false">-1+C2776*0.25</f>
        <v>-0.75</v>
      </c>
      <c r="H2776" s="0" t="n">
        <f aca="false">-1+D2776*0.25</f>
        <v>1</v>
      </c>
      <c r="I2776" s="0" t="n">
        <f aca="false">1</f>
        <v>1</v>
      </c>
      <c r="J2776" s="0" t="n">
        <f aca="false">E2776</f>
        <v>-0.25</v>
      </c>
      <c r="K2776" s="0" t="n">
        <f aca="false">F2776</f>
        <v>0.75</v>
      </c>
      <c r="L2776" s="0" t="n">
        <f aca="false">G2776</f>
        <v>-0.75</v>
      </c>
      <c r="M2776" s="0" t="n">
        <f aca="false">H2776</f>
        <v>1</v>
      </c>
      <c r="N2776" s="0" t="n">
        <f aca="false">E2776*F2776</f>
        <v>-0.1875</v>
      </c>
      <c r="O2776" s="0" t="n">
        <f aca="false">E2776*G2776</f>
        <v>0.1875</v>
      </c>
      <c r="P2776" s="0" t="n">
        <f aca="false">E2776*H2776</f>
        <v>-0.25</v>
      </c>
      <c r="Q2776" s="0" t="n">
        <f aca="false">F2776*G2776</f>
        <v>-0.5625</v>
      </c>
      <c r="R2776" s="0" t="n">
        <f aca="false">F2776*H2776</f>
        <v>0.75</v>
      </c>
      <c r="S2776" s="0" t="n">
        <f aca="false">G2776*H2776</f>
        <v>-0.75</v>
      </c>
      <c r="T2776" s="0" t="n">
        <f aca="false">E2776*E2776</f>
        <v>0.0625</v>
      </c>
      <c r="U2776" s="0" t="n">
        <f aca="false">F2776*F2776</f>
        <v>0.5625</v>
      </c>
      <c r="V2776" s="0" t="n">
        <f aca="false">G2776*G2776</f>
        <v>0.5625</v>
      </c>
      <c r="W2776" s="0" t="n">
        <f aca="false">H2776*H2776</f>
        <v>1</v>
      </c>
      <c r="X2776" s="0" t="n">
        <f aca="false">SUMPRODUCT(I2776:W2776,_XtX!$B$96:$P$96)</f>
        <v>45.3501781798245</v>
      </c>
      <c r="Y2776" s="0" t="n">
        <f aca="false">SUMPRODUCT(MMULT(I2776:W2776,_XtX!$B$78:$P$92),I2776:W2776)</f>
        <v>0.473959761056287</v>
      </c>
      <c r="Z2776" s="0" t="n">
        <f aca="false">04_回帰ANOVA!$K$19*04_回帰ANOVA!$K$14*SQRT(1+Y2776)</f>
        <v>1.58249084588329</v>
      </c>
      <c r="AA2776" s="0" t="n">
        <f aca="false">X2776-Z2776</f>
        <v>43.7676873339413</v>
      </c>
      <c r="AB2776" s="0" t="n">
        <f aca="false">X2776+Z2776</f>
        <v>46.9326690257078</v>
      </c>
      <c r="AC2776" s="54" t="b">
        <f aca="false">AND(E2776&gt;=01_因子設定!$L$5-0.000000001,E2776&lt;=01_因子設定!$M$5+0.000000001,F2776&gt;=01_因子設定!$L$6-0.000000001,F2776&lt;=01_因子設定!$M$6+0.000000001,G2776&gt;=01_因子設定!$L$7-0.000000001,G2776&lt;=01_因子設定!$M$7+0.000000001,H2776&gt;=01_因子設定!$L$8-0.000000001,H2776&lt;=01_因子設定!$M$8+0.000000001,IF(01_因子設定!$B$20="Box-Behnken",E2776^2+F2776^2+G2776^2+H2776^2&lt;=2+0.000000001,TRUE()))</f>
        <v>1</v>
      </c>
      <c r="AD2776" s="55" t="n">
        <f aca="false">IF(AC2776,IF(01_因子設定!$B$13="最大化",AA2776-01_因子設定!$B$14,IF(01_因子設定!$B$13="最小化",01_因子設定!$B$15-AB2776,MIN(AA2776-01_因子設定!$B$14,01_因子設定!$B$15-AB2776))),-1E+030)</f>
        <v>-2.73231266605875</v>
      </c>
      <c r="AE2776" s="55" t="n">
        <f aca="false">IF(AC2776,IF(01_因子設定!$B$13="最大化",X2776,IF(01_因子設定!$B$13="最小化",-X2776,-ABS(X2776-01_因子設定!$B$16))),-1E+030)</f>
        <v>45.3501781798245</v>
      </c>
      <c r="AF2776" s="55" t="n">
        <f aca="false">AD2776+ROW()*0.000000001</f>
        <v>-2.73230989005875</v>
      </c>
      <c r="AG2776" s="55" t="n">
        <f aca="false">AE2776+ROW()*0.000000001</f>
        <v>45.3501809558245</v>
      </c>
    </row>
    <row r="2777" customFormat="false" ht="15" hidden="false" customHeight="false" outlineLevel="0" collapsed="false">
      <c r="A2777" s="0" t="n">
        <v>3</v>
      </c>
      <c r="B2777" s="0" t="n">
        <v>7</v>
      </c>
      <c r="C2777" s="0" t="n">
        <v>2</v>
      </c>
      <c r="D2777" s="0" t="n">
        <v>0</v>
      </c>
      <c r="E2777" s="0" t="n">
        <f aca="false">-1+A2777*0.25</f>
        <v>-0.25</v>
      </c>
      <c r="F2777" s="0" t="n">
        <f aca="false">-1+B2777*0.25</f>
        <v>0.75</v>
      </c>
      <c r="G2777" s="0" t="n">
        <f aca="false">-1+C2777*0.25</f>
        <v>-0.5</v>
      </c>
      <c r="H2777" s="0" t="n">
        <f aca="false">-1+D2777*0.25</f>
        <v>-1</v>
      </c>
      <c r="I2777" s="0" t="n">
        <f aca="false">1</f>
        <v>1</v>
      </c>
      <c r="J2777" s="0" t="n">
        <f aca="false">E2777</f>
        <v>-0.25</v>
      </c>
      <c r="K2777" s="0" t="n">
        <f aca="false">F2777</f>
        <v>0.75</v>
      </c>
      <c r="L2777" s="0" t="n">
        <f aca="false">G2777</f>
        <v>-0.5</v>
      </c>
      <c r="M2777" s="0" t="n">
        <f aca="false">H2777</f>
        <v>-1</v>
      </c>
      <c r="N2777" s="0" t="n">
        <f aca="false">E2777*F2777</f>
        <v>-0.1875</v>
      </c>
      <c r="O2777" s="0" t="n">
        <f aca="false">E2777*G2777</f>
        <v>0.125</v>
      </c>
      <c r="P2777" s="0" t="n">
        <f aca="false">E2777*H2777</f>
        <v>0.25</v>
      </c>
      <c r="Q2777" s="0" t="n">
        <f aca="false">F2777*G2777</f>
        <v>-0.375</v>
      </c>
      <c r="R2777" s="0" t="n">
        <f aca="false">F2777*H2777</f>
        <v>-0.75</v>
      </c>
      <c r="S2777" s="0" t="n">
        <f aca="false">G2777*H2777</f>
        <v>0.5</v>
      </c>
      <c r="T2777" s="0" t="n">
        <f aca="false">E2777*E2777</f>
        <v>0.0625</v>
      </c>
      <c r="U2777" s="0" t="n">
        <f aca="false">F2777*F2777</f>
        <v>0.5625</v>
      </c>
      <c r="V2777" s="0" t="n">
        <f aca="false">G2777*G2777</f>
        <v>0.25</v>
      </c>
      <c r="W2777" s="0" t="n">
        <f aca="false">H2777*H2777</f>
        <v>1</v>
      </c>
      <c r="X2777" s="0" t="n">
        <f aca="false">SUMPRODUCT(I2777:W2777,_XtX!$B$96:$P$96)</f>
        <v>45.8380116959064</v>
      </c>
      <c r="Y2777" s="0" t="n">
        <f aca="false">SUMPRODUCT(MMULT(I2777:W2777,_XtX!$B$78:$P$92),I2777:W2777)</f>
        <v>0.459125719572369</v>
      </c>
      <c r="Z2777" s="0" t="n">
        <f aca="false">04_回帰ANOVA!$K$19*04_回帰ANOVA!$K$14*SQRT(1+Y2777)</f>
        <v>1.57450755575573</v>
      </c>
      <c r="AA2777" s="0" t="n">
        <f aca="false">X2777-Z2777</f>
        <v>44.2635041401507</v>
      </c>
      <c r="AB2777" s="0" t="n">
        <f aca="false">X2777+Z2777</f>
        <v>47.4125192516621</v>
      </c>
      <c r="AC2777" s="54" t="b">
        <f aca="false">AND(E2777&gt;=01_因子設定!$L$5-0.000000001,E2777&lt;=01_因子設定!$M$5+0.000000001,F2777&gt;=01_因子設定!$L$6-0.000000001,F2777&lt;=01_因子設定!$M$6+0.000000001,G2777&gt;=01_因子設定!$L$7-0.000000001,G2777&lt;=01_因子設定!$M$7+0.000000001,H2777&gt;=01_因子設定!$L$8-0.000000001,H2777&lt;=01_因子設定!$M$8+0.000000001,IF(01_因子設定!$B$20="Box-Behnken",E2777^2+F2777^2+G2777^2+H2777^2&lt;=2+0.000000001,TRUE()))</f>
        <v>1</v>
      </c>
      <c r="AD2777" s="55" t="n">
        <f aca="false">IF(AC2777,IF(01_因子設定!$B$13="最大化",AA2777-01_因子設定!$B$14,IF(01_因子設定!$B$13="最小化",01_因子設定!$B$15-AB2777,MIN(AA2777-01_因子設定!$B$14,01_因子設定!$B$15-AB2777))),-1E+030)</f>
        <v>-2.23649585984932</v>
      </c>
      <c r="AE2777" s="55" t="n">
        <f aca="false">IF(AC2777,IF(01_因子設定!$B$13="最大化",X2777,IF(01_因子設定!$B$13="最小化",-X2777,-ABS(X2777-01_因子設定!$B$16))),-1E+030)</f>
        <v>45.8380116959064</v>
      </c>
      <c r="AF2777" s="55" t="n">
        <f aca="false">AD2777+ROW()*0.000000001</f>
        <v>-2.23649308284932</v>
      </c>
      <c r="AG2777" s="55" t="n">
        <f aca="false">AE2777+ROW()*0.000000001</f>
        <v>45.8380144729064</v>
      </c>
    </row>
    <row r="2778" customFormat="false" ht="15" hidden="false" customHeight="false" outlineLevel="0" collapsed="false">
      <c r="A2778" s="0" t="n">
        <v>3</v>
      </c>
      <c r="B2778" s="0" t="n">
        <v>7</v>
      </c>
      <c r="C2778" s="0" t="n">
        <v>2</v>
      </c>
      <c r="D2778" s="0" t="n">
        <v>1</v>
      </c>
      <c r="E2778" s="0" t="n">
        <f aca="false">-1+A2778*0.25</f>
        <v>-0.25</v>
      </c>
      <c r="F2778" s="0" t="n">
        <f aca="false">-1+B2778*0.25</f>
        <v>0.75</v>
      </c>
      <c r="G2778" s="0" t="n">
        <f aca="false">-1+C2778*0.25</f>
        <v>-0.5</v>
      </c>
      <c r="H2778" s="0" t="n">
        <f aca="false">-1+D2778*0.25</f>
        <v>-0.75</v>
      </c>
      <c r="I2778" s="0" t="n">
        <f aca="false">1</f>
        <v>1</v>
      </c>
      <c r="J2778" s="0" t="n">
        <f aca="false">E2778</f>
        <v>-0.25</v>
      </c>
      <c r="K2778" s="0" t="n">
        <f aca="false">F2778</f>
        <v>0.75</v>
      </c>
      <c r="L2778" s="0" t="n">
        <f aca="false">G2778</f>
        <v>-0.5</v>
      </c>
      <c r="M2778" s="0" t="n">
        <f aca="false">H2778</f>
        <v>-0.75</v>
      </c>
      <c r="N2778" s="0" t="n">
        <f aca="false">E2778*F2778</f>
        <v>-0.1875</v>
      </c>
      <c r="O2778" s="0" t="n">
        <f aca="false">E2778*G2778</f>
        <v>0.125</v>
      </c>
      <c r="P2778" s="0" t="n">
        <f aca="false">E2778*H2778</f>
        <v>0.1875</v>
      </c>
      <c r="Q2778" s="0" t="n">
        <f aca="false">F2778*G2778</f>
        <v>-0.375</v>
      </c>
      <c r="R2778" s="0" t="n">
        <f aca="false">F2778*H2778</f>
        <v>-0.5625</v>
      </c>
      <c r="S2778" s="0" t="n">
        <f aca="false">G2778*H2778</f>
        <v>0.375</v>
      </c>
      <c r="T2778" s="0" t="n">
        <f aca="false">E2778*E2778</f>
        <v>0.0625</v>
      </c>
      <c r="U2778" s="0" t="n">
        <f aca="false">F2778*F2778</f>
        <v>0.5625</v>
      </c>
      <c r="V2778" s="0" t="n">
        <f aca="false">G2778*G2778</f>
        <v>0.25</v>
      </c>
      <c r="W2778" s="0" t="n">
        <f aca="false">H2778*H2778</f>
        <v>0.5625</v>
      </c>
      <c r="X2778" s="0" t="n">
        <f aca="false">SUMPRODUCT(I2778:W2778,_XtX!$B$96:$P$96)</f>
        <v>46.0231313961988</v>
      </c>
      <c r="Y2778" s="0" t="n">
        <f aca="false">SUMPRODUCT(MMULT(I2778:W2778,_XtX!$B$78:$P$92),I2778:W2778)</f>
        <v>0.257385610836988</v>
      </c>
      <c r="Z2778" s="0" t="n">
        <f aca="false">04_回帰ANOVA!$K$19*04_回帰ANOVA!$K$14*SQRT(1+Y2778)</f>
        <v>1.46161380324158</v>
      </c>
      <c r="AA2778" s="0" t="n">
        <f aca="false">X2778-Z2778</f>
        <v>44.5615175929572</v>
      </c>
      <c r="AB2778" s="0" t="n">
        <f aca="false">X2778+Z2778</f>
        <v>47.4847451994404</v>
      </c>
      <c r="AC2778" s="54" t="b">
        <f aca="false">AND(E2778&gt;=01_因子設定!$L$5-0.000000001,E2778&lt;=01_因子設定!$M$5+0.000000001,F2778&gt;=01_因子設定!$L$6-0.000000001,F2778&lt;=01_因子設定!$M$6+0.000000001,G2778&gt;=01_因子設定!$L$7-0.000000001,G2778&lt;=01_因子設定!$M$7+0.000000001,H2778&gt;=01_因子設定!$L$8-0.000000001,H2778&lt;=01_因子設定!$M$8+0.000000001,IF(01_因子設定!$B$20="Box-Behnken",E2778^2+F2778^2+G2778^2+H2778^2&lt;=2+0.000000001,TRUE()))</f>
        <v>1</v>
      </c>
      <c r="AD2778" s="55" t="n">
        <f aca="false">IF(AC2778,IF(01_因子設定!$B$13="最大化",AA2778-01_因子設定!$B$14,IF(01_因子設定!$B$13="最小化",01_因子設定!$B$15-AB2778,MIN(AA2778-01_因子設定!$B$14,01_因子設定!$B$15-AB2778))),-1E+030)</f>
        <v>-1.93848240704279</v>
      </c>
      <c r="AE2778" s="55" t="n">
        <f aca="false">IF(AC2778,IF(01_因子設定!$B$13="最大化",X2778,IF(01_因子設定!$B$13="最小化",-X2778,-ABS(X2778-01_因子設定!$B$16))),-1E+030)</f>
        <v>46.0231313961988</v>
      </c>
      <c r="AF2778" s="55" t="n">
        <f aca="false">AD2778+ROW()*0.000000001</f>
        <v>-1.93847962904279</v>
      </c>
      <c r="AG2778" s="55" t="n">
        <f aca="false">AE2778+ROW()*0.000000001</f>
        <v>46.0231341741988</v>
      </c>
    </row>
    <row r="2779" customFormat="false" ht="15" hidden="false" customHeight="false" outlineLevel="0" collapsed="false">
      <c r="A2779" s="0" t="n">
        <v>3</v>
      </c>
      <c r="B2779" s="0" t="n">
        <v>7</v>
      </c>
      <c r="C2779" s="0" t="n">
        <v>2</v>
      </c>
      <c r="D2779" s="0" t="n">
        <v>2</v>
      </c>
      <c r="E2779" s="0" t="n">
        <f aca="false">-1+A2779*0.25</f>
        <v>-0.25</v>
      </c>
      <c r="F2779" s="0" t="n">
        <f aca="false">-1+B2779*0.25</f>
        <v>0.75</v>
      </c>
      <c r="G2779" s="0" t="n">
        <f aca="false">-1+C2779*0.25</f>
        <v>-0.5</v>
      </c>
      <c r="H2779" s="0" t="n">
        <f aca="false">-1+D2779*0.25</f>
        <v>-0.5</v>
      </c>
      <c r="I2779" s="0" t="n">
        <f aca="false">1</f>
        <v>1</v>
      </c>
      <c r="J2779" s="0" t="n">
        <f aca="false">E2779</f>
        <v>-0.25</v>
      </c>
      <c r="K2779" s="0" t="n">
        <f aca="false">F2779</f>
        <v>0.75</v>
      </c>
      <c r="L2779" s="0" t="n">
        <f aca="false">G2779</f>
        <v>-0.5</v>
      </c>
      <c r="M2779" s="0" t="n">
        <f aca="false">H2779</f>
        <v>-0.5</v>
      </c>
      <c r="N2779" s="0" t="n">
        <f aca="false">E2779*F2779</f>
        <v>-0.1875</v>
      </c>
      <c r="O2779" s="0" t="n">
        <f aca="false">E2779*G2779</f>
        <v>0.125</v>
      </c>
      <c r="P2779" s="0" t="n">
        <f aca="false">E2779*H2779</f>
        <v>0.125</v>
      </c>
      <c r="Q2779" s="0" t="n">
        <f aca="false">F2779*G2779</f>
        <v>-0.375</v>
      </c>
      <c r="R2779" s="0" t="n">
        <f aca="false">F2779*H2779</f>
        <v>-0.375</v>
      </c>
      <c r="S2779" s="0" t="n">
        <f aca="false">G2779*H2779</f>
        <v>0.25</v>
      </c>
      <c r="T2779" s="0" t="n">
        <f aca="false">E2779*E2779</f>
        <v>0.0625</v>
      </c>
      <c r="U2779" s="0" t="n">
        <f aca="false">F2779*F2779</f>
        <v>0.5625</v>
      </c>
      <c r="V2779" s="0" t="n">
        <f aca="false">G2779*G2779</f>
        <v>0.25</v>
      </c>
      <c r="W2779" s="0" t="n">
        <f aca="false">H2779*H2779</f>
        <v>0.25</v>
      </c>
      <c r="X2779" s="0" t="n">
        <f aca="false">SUMPRODUCT(I2779:W2779,_XtX!$B$96:$P$96)</f>
        <v>46.1604440789473</v>
      </c>
      <c r="Y2779" s="0" t="n">
        <f aca="false">SUMPRODUCT(MMULT(I2779:W2779,_XtX!$B$78:$P$92),I2779:W2779)</f>
        <v>0.203746059484649</v>
      </c>
      <c r="Z2779" s="0" t="n">
        <f aca="false">04_回帰ANOVA!$K$19*04_回帰ANOVA!$K$14*SQRT(1+Y2779)</f>
        <v>1.43009810755465</v>
      </c>
      <c r="AA2779" s="0" t="n">
        <f aca="false">X2779-Z2779</f>
        <v>44.7303459713927</v>
      </c>
      <c r="AB2779" s="0" t="n">
        <f aca="false">X2779+Z2779</f>
        <v>47.590542186502</v>
      </c>
      <c r="AC2779" s="54" t="b">
        <f aca="false">AND(E2779&gt;=01_因子設定!$L$5-0.000000001,E2779&lt;=01_因子設定!$M$5+0.000000001,F2779&gt;=01_因子設定!$L$6-0.000000001,F2779&lt;=01_因子設定!$M$6+0.000000001,G2779&gt;=01_因子設定!$L$7-0.000000001,G2779&lt;=01_因子設定!$M$7+0.000000001,H2779&gt;=01_因子設定!$L$8-0.000000001,H2779&lt;=01_因子設定!$M$8+0.000000001,IF(01_因子設定!$B$20="Box-Behnken",E2779^2+F2779^2+G2779^2+H2779^2&lt;=2+0.000000001,TRUE()))</f>
        <v>1</v>
      </c>
      <c r="AD2779" s="55" t="n">
        <f aca="false">IF(AC2779,IF(01_因子設定!$B$13="最大化",AA2779-01_因子設定!$B$14,IF(01_因子設定!$B$13="最小化",01_因子設定!$B$15-AB2779,MIN(AA2779-01_因子設定!$B$14,01_因子設定!$B$15-AB2779))),-1E+030)</f>
        <v>-1.76965402860733</v>
      </c>
      <c r="AE2779" s="55" t="n">
        <f aca="false">IF(AC2779,IF(01_因子設定!$B$13="最大化",X2779,IF(01_因子設定!$B$13="最小化",-X2779,-ABS(X2779-01_因子設定!$B$16))),-1E+030)</f>
        <v>46.1604440789473</v>
      </c>
      <c r="AF2779" s="55" t="n">
        <f aca="false">AD2779+ROW()*0.000000001</f>
        <v>-1.76965124960733</v>
      </c>
      <c r="AG2779" s="55" t="n">
        <f aca="false">AE2779+ROW()*0.000000001</f>
        <v>46.1604468579473</v>
      </c>
    </row>
    <row r="2780" customFormat="false" ht="15" hidden="false" customHeight="false" outlineLevel="0" collapsed="false">
      <c r="A2780" s="0" t="n">
        <v>3</v>
      </c>
      <c r="B2780" s="0" t="n">
        <v>7</v>
      </c>
      <c r="C2780" s="0" t="n">
        <v>2</v>
      </c>
      <c r="D2780" s="0" t="n">
        <v>3</v>
      </c>
      <c r="E2780" s="0" t="n">
        <f aca="false">-1+A2780*0.25</f>
        <v>-0.25</v>
      </c>
      <c r="F2780" s="0" t="n">
        <f aca="false">-1+B2780*0.25</f>
        <v>0.75</v>
      </c>
      <c r="G2780" s="0" t="n">
        <f aca="false">-1+C2780*0.25</f>
        <v>-0.5</v>
      </c>
      <c r="H2780" s="0" t="n">
        <f aca="false">-1+D2780*0.25</f>
        <v>-0.25</v>
      </c>
      <c r="I2780" s="0" t="n">
        <f aca="false">1</f>
        <v>1</v>
      </c>
      <c r="J2780" s="0" t="n">
        <f aca="false">E2780</f>
        <v>-0.25</v>
      </c>
      <c r="K2780" s="0" t="n">
        <f aca="false">F2780</f>
        <v>0.75</v>
      </c>
      <c r="L2780" s="0" t="n">
        <f aca="false">G2780</f>
        <v>-0.5</v>
      </c>
      <c r="M2780" s="0" t="n">
        <f aca="false">H2780</f>
        <v>-0.25</v>
      </c>
      <c r="N2780" s="0" t="n">
        <f aca="false">E2780*F2780</f>
        <v>-0.1875</v>
      </c>
      <c r="O2780" s="0" t="n">
        <f aca="false">E2780*G2780</f>
        <v>0.125</v>
      </c>
      <c r="P2780" s="0" t="n">
        <f aca="false">E2780*H2780</f>
        <v>0.0625</v>
      </c>
      <c r="Q2780" s="0" t="n">
        <f aca="false">F2780*G2780</f>
        <v>-0.375</v>
      </c>
      <c r="R2780" s="0" t="n">
        <f aca="false">F2780*H2780</f>
        <v>-0.1875</v>
      </c>
      <c r="S2780" s="0" t="n">
        <f aca="false">G2780*H2780</f>
        <v>0.125</v>
      </c>
      <c r="T2780" s="0" t="n">
        <f aca="false">E2780*E2780</f>
        <v>0.0625</v>
      </c>
      <c r="U2780" s="0" t="n">
        <f aca="false">F2780*F2780</f>
        <v>0.5625</v>
      </c>
      <c r="V2780" s="0" t="n">
        <f aca="false">G2780*G2780</f>
        <v>0.25</v>
      </c>
      <c r="W2780" s="0" t="n">
        <f aca="false">H2780*H2780</f>
        <v>0.0625</v>
      </c>
      <c r="X2780" s="0" t="n">
        <f aca="false">SUMPRODUCT(I2780:W2780,_XtX!$B$96:$P$96)</f>
        <v>46.249949744152</v>
      </c>
      <c r="Y2780" s="0" t="n">
        <f aca="false">SUMPRODUCT(MMULT(I2780:W2780,_XtX!$B$78:$P$92),I2780:W2780)</f>
        <v>0.207746539199561</v>
      </c>
      <c r="Z2780" s="0" t="n">
        <f aca="false">04_回帰ANOVA!$K$19*04_回帰ANOVA!$K$14*SQRT(1+Y2780)</f>
        <v>1.43247250081141</v>
      </c>
      <c r="AA2780" s="0" t="n">
        <f aca="false">X2780-Z2780</f>
        <v>44.8174772433406</v>
      </c>
      <c r="AB2780" s="0" t="n">
        <f aca="false">X2780+Z2780</f>
        <v>47.6824222449634</v>
      </c>
      <c r="AC2780" s="54" t="b">
        <f aca="false">AND(E2780&gt;=01_因子設定!$L$5-0.000000001,E2780&lt;=01_因子設定!$M$5+0.000000001,F2780&gt;=01_因子設定!$L$6-0.000000001,F2780&lt;=01_因子設定!$M$6+0.000000001,G2780&gt;=01_因子設定!$L$7-0.000000001,G2780&lt;=01_因子設定!$M$7+0.000000001,H2780&gt;=01_因子設定!$L$8-0.000000001,H2780&lt;=01_因子設定!$M$8+0.000000001,IF(01_因子設定!$B$20="Box-Behnken",E2780^2+F2780^2+G2780^2+H2780^2&lt;=2+0.000000001,TRUE()))</f>
        <v>1</v>
      </c>
      <c r="AD2780" s="55" t="n">
        <f aca="false">IF(AC2780,IF(01_因子設定!$B$13="最大化",AA2780-01_因子設定!$B$14,IF(01_因子設定!$B$13="最小化",01_因子設定!$B$15-AB2780,MIN(AA2780-01_因子設定!$B$14,01_因子設定!$B$15-AB2780))),-1E+030)</f>
        <v>-1.68252275665942</v>
      </c>
      <c r="AE2780" s="55" t="n">
        <f aca="false">IF(AC2780,IF(01_因子設定!$B$13="最大化",X2780,IF(01_因子設定!$B$13="最小化",-X2780,-ABS(X2780-01_因子設定!$B$16))),-1E+030)</f>
        <v>46.249949744152</v>
      </c>
      <c r="AF2780" s="55" t="n">
        <f aca="false">AD2780+ROW()*0.000000001</f>
        <v>-1.68251997665942</v>
      </c>
      <c r="AG2780" s="55" t="n">
        <f aca="false">AE2780+ROW()*0.000000001</f>
        <v>46.249952524152</v>
      </c>
    </row>
    <row r="2781" customFormat="false" ht="15" hidden="false" customHeight="false" outlineLevel="0" collapsed="false">
      <c r="A2781" s="0" t="n">
        <v>3</v>
      </c>
      <c r="B2781" s="0" t="n">
        <v>7</v>
      </c>
      <c r="C2781" s="0" t="n">
        <v>2</v>
      </c>
      <c r="D2781" s="0" t="n">
        <v>4</v>
      </c>
      <c r="E2781" s="0" t="n">
        <f aca="false">-1+A2781*0.25</f>
        <v>-0.25</v>
      </c>
      <c r="F2781" s="0" t="n">
        <f aca="false">-1+B2781*0.25</f>
        <v>0.75</v>
      </c>
      <c r="G2781" s="0" t="n">
        <f aca="false">-1+C2781*0.25</f>
        <v>-0.5</v>
      </c>
      <c r="H2781" s="0" t="n">
        <f aca="false">-1+D2781*0.25</f>
        <v>0</v>
      </c>
      <c r="I2781" s="0" t="n">
        <f aca="false">1</f>
        <v>1</v>
      </c>
      <c r="J2781" s="0" t="n">
        <f aca="false">E2781</f>
        <v>-0.25</v>
      </c>
      <c r="K2781" s="0" t="n">
        <f aca="false">F2781</f>
        <v>0.75</v>
      </c>
      <c r="L2781" s="0" t="n">
        <f aca="false">G2781</f>
        <v>-0.5</v>
      </c>
      <c r="M2781" s="0" t="n">
        <f aca="false">H2781</f>
        <v>0</v>
      </c>
      <c r="N2781" s="0" t="n">
        <f aca="false">E2781*F2781</f>
        <v>-0.1875</v>
      </c>
      <c r="O2781" s="0" t="n">
        <f aca="false">E2781*G2781</f>
        <v>0.125</v>
      </c>
      <c r="P2781" s="0" t="n">
        <f aca="false">E2781*H2781</f>
        <v>-0</v>
      </c>
      <c r="Q2781" s="0" t="n">
        <f aca="false">F2781*G2781</f>
        <v>-0.375</v>
      </c>
      <c r="R2781" s="0" t="n">
        <f aca="false">F2781*H2781</f>
        <v>0</v>
      </c>
      <c r="S2781" s="0" t="n">
        <f aca="false">G2781*H2781</f>
        <v>-0</v>
      </c>
      <c r="T2781" s="0" t="n">
        <f aca="false">E2781*E2781</f>
        <v>0.0625</v>
      </c>
      <c r="U2781" s="0" t="n">
        <f aca="false">F2781*F2781</f>
        <v>0.5625</v>
      </c>
      <c r="V2781" s="0" t="n">
        <f aca="false">G2781*G2781</f>
        <v>0.25</v>
      </c>
      <c r="W2781" s="0" t="n">
        <f aca="false">H2781*H2781</f>
        <v>0</v>
      </c>
      <c r="X2781" s="0" t="n">
        <f aca="false">SUMPRODUCT(I2781:W2781,_XtX!$B$96:$P$96)</f>
        <v>46.2916483918128</v>
      </c>
      <c r="Y2781" s="0" t="n">
        <f aca="false">SUMPRODUCT(MMULT(I2781:W2781,_XtX!$B$78:$P$92),I2781:W2781)</f>
        <v>0.215110734192252</v>
      </c>
      <c r="Z2781" s="0" t="n">
        <f aca="false">04_回帰ANOVA!$K$19*04_回帰ANOVA!$K$14*SQRT(1+Y2781)</f>
        <v>1.43683309086864</v>
      </c>
      <c r="AA2781" s="0" t="n">
        <f aca="false">X2781-Z2781</f>
        <v>44.8548153009442</v>
      </c>
      <c r="AB2781" s="0" t="n">
        <f aca="false">X2781+Z2781</f>
        <v>47.7284814826815</v>
      </c>
      <c r="AC2781" s="54" t="b">
        <f aca="false">AND(E2781&gt;=01_因子設定!$L$5-0.000000001,E2781&lt;=01_因子設定!$M$5+0.000000001,F2781&gt;=01_因子設定!$L$6-0.000000001,F2781&lt;=01_因子設定!$M$6+0.000000001,G2781&gt;=01_因子設定!$L$7-0.000000001,G2781&lt;=01_因子設定!$M$7+0.000000001,H2781&gt;=01_因子設定!$L$8-0.000000001,H2781&lt;=01_因子設定!$M$8+0.000000001,IF(01_因子設定!$B$20="Box-Behnken",E2781^2+F2781^2+G2781^2+H2781^2&lt;=2+0.000000001,TRUE()))</f>
        <v>1</v>
      </c>
      <c r="AD2781" s="55" t="n">
        <f aca="false">IF(AC2781,IF(01_因子設定!$B$13="最大化",AA2781-01_因子設定!$B$14,IF(01_因子設定!$B$13="最小化",01_因子設定!$B$15-AB2781,MIN(AA2781-01_因子設定!$B$14,01_因子設定!$B$15-AB2781))),-1E+030)</f>
        <v>-1.64518469905584</v>
      </c>
      <c r="AE2781" s="55" t="n">
        <f aca="false">IF(AC2781,IF(01_因子設定!$B$13="最大化",X2781,IF(01_因子設定!$B$13="最小化",-X2781,-ABS(X2781-01_因子設定!$B$16))),-1E+030)</f>
        <v>46.2916483918128</v>
      </c>
      <c r="AF2781" s="55" t="n">
        <f aca="false">AD2781+ROW()*0.000000001</f>
        <v>-1.64518191805584</v>
      </c>
      <c r="AG2781" s="55" t="n">
        <f aca="false">AE2781+ROW()*0.000000001</f>
        <v>46.2916511728128</v>
      </c>
    </row>
    <row r="2782" customFormat="false" ht="15" hidden="false" customHeight="false" outlineLevel="0" collapsed="false">
      <c r="A2782" s="0" t="n">
        <v>3</v>
      </c>
      <c r="B2782" s="0" t="n">
        <v>7</v>
      </c>
      <c r="C2782" s="0" t="n">
        <v>2</v>
      </c>
      <c r="D2782" s="0" t="n">
        <v>5</v>
      </c>
      <c r="E2782" s="0" t="n">
        <f aca="false">-1+A2782*0.25</f>
        <v>-0.25</v>
      </c>
      <c r="F2782" s="0" t="n">
        <f aca="false">-1+B2782*0.25</f>
        <v>0.75</v>
      </c>
      <c r="G2782" s="0" t="n">
        <f aca="false">-1+C2782*0.25</f>
        <v>-0.5</v>
      </c>
      <c r="H2782" s="0" t="n">
        <f aca="false">-1+D2782*0.25</f>
        <v>0.25</v>
      </c>
      <c r="I2782" s="0" t="n">
        <f aca="false">1</f>
        <v>1</v>
      </c>
      <c r="J2782" s="0" t="n">
        <f aca="false">E2782</f>
        <v>-0.25</v>
      </c>
      <c r="K2782" s="0" t="n">
        <f aca="false">F2782</f>
        <v>0.75</v>
      </c>
      <c r="L2782" s="0" t="n">
        <f aca="false">G2782</f>
        <v>-0.5</v>
      </c>
      <c r="M2782" s="0" t="n">
        <f aca="false">H2782</f>
        <v>0.25</v>
      </c>
      <c r="N2782" s="0" t="n">
        <f aca="false">E2782*F2782</f>
        <v>-0.1875</v>
      </c>
      <c r="O2782" s="0" t="n">
        <f aca="false">E2782*G2782</f>
        <v>0.125</v>
      </c>
      <c r="P2782" s="0" t="n">
        <f aca="false">E2782*H2782</f>
        <v>-0.0625</v>
      </c>
      <c r="Q2782" s="0" t="n">
        <f aca="false">F2782*G2782</f>
        <v>-0.375</v>
      </c>
      <c r="R2782" s="0" t="n">
        <f aca="false">F2782*H2782</f>
        <v>0.1875</v>
      </c>
      <c r="S2782" s="0" t="n">
        <f aca="false">G2782*H2782</f>
        <v>-0.125</v>
      </c>
      <c r="T2782" s="0" t="n">
        <f aca="false">E2782*E2782</f>
        <v>0.0625</v>
      </c>
      <c r="U2782" s="0" t="n">
        <f aca="false">F2782*F2782</f>
        <v>0.5625</v>
      </c>
      <c r="V2782" s="0" t="n">
        <f aca="false">G2782*G2782</f>
        <v>0.25</v>
      </c>
      <c r="W2782" s="0" t="n">
        <f aca="false">H2782*H2782</f>
        <v>0.0625</v>
      </c>
      <c r="X2782" s="0" t="n">
        <f aca="false">SUMPRODUCT(I2782:W2782,_XtX!$B$96:$P$96)</f>
        <v>46.2855400219298</v>
      </c>
      <c r="Y2782" s="0" t="n">
        <f aca="false">SUMPRODUCT(MMULT(I2782:W2782,_XtX!$B$78:$P$92),I2782:W2782)</f>
        <v>0.207746539199561</v>
      </c>
      <c r="Z2782" s="0" t="n">
        <f aca="false">04_回帰ANOVA!$K$19*04_回帰ANOVA!$K$14*SQRT(1+Y2782)</f>
        <v>1.43247250081141</v>
      </c>
      <c r="AA2782" s="0" t="n">
        <f aca="false">X2782-Z2782</f>
        <v>44.8530675211184</v>
      </c>
      <c r="AB2782" s="0" t="n">
        <f aca="false">X2782+Z2782</f>
        <v>47.7180125227412</v>
      </c>
      <c r="AC2782" s="54" t="b">
        <f aca="false">AND(E2782&gt;=01_因子設定!$L$5-0.000000001,E2782&lt;=01_因子設定!$M$5+0.000000001,F2782&gt;=01_因子設定!$L$6-0.000000001,F2782&lt;=01_因子設定!$M$6+0.000000001,G2782&gt;=01_因子設定!$L$7-0.000000001,G2782&lt;=01_因子設定!$M$7+0.000000001,H2782&gt;=01_因子設定!$L$8-0.000000001,H2782&lt;=01_因子設定!$M$8+0.000000001,IF(01_因子設定!$B$20="Box-Behnken",E2782^2+F2782^2+G2782^2+H2782^2&lt;=2+0.000000001,TRUE()))</f>
        <v>1</v>
      </c>
      <c r="AD2782" s="55" t="n">
        <f aca="false">IF(AC2782,IF(01_因子設定!$B$13="最大化",AA2782-01_因子設定!$B$14,IF(01_因子設定!$B$13="最小化",01_因子設定!$B$15-AB2782,MIN(AA2782-01_因子設定!$B$14,01_因子設定!$B$15-AB2782))),-1E+030)</f>
        <v>-1.64693247888164</v>
      </c>
      <c r="AE2782" s="55" t="n">
        <f aca="false">IF(AC2782,IF(01_因子設定!$B$13="最大化",X2782,IF(01_因子設定!$B$13="最小化",-X2782,-ABS(X2782-01_因子設定!$B$16))),-1E+030)</f>
        <v>46.2855400219298</v>
      </c>
      <c r="AF2782" s="55" t="n">
        <f aca="false">AD2782+ROW()*0.000000001</f>
        <v>-1.64692969688164</v>
      </c>
      <c r="AG2782" s="55" t="n">
        <f aca="false">AE2782+ROW()*0.000000001</f>
        <v>46.2855428039298</v>
      </c>
    </row>
    <row r="2783" customFormat="false" ht="15" hidden="false" customHeight="false" outlineLevel="0" collapsed="false">
      <c r="A2783" s="0" t="n">
        <v>3</v>
      </c>
      <c r="B2783" s="0" t="n">
        <v>7</v>
      </c>
      <c r="C2783" s="0" t="n">
        <v>2</v>
      </c>
      <c r="D2783" s="0" t="n">
        <v>6</v>
      </c>
      <c r="E2783" s="0" t="n">
        <f aca="false">-1+A2783*0.25</f>
        <v>-0.25</v>
      </c>
      <c r="F2783" s="0" t="n">
        <f aca="false">-1+B2783*0.25</f>
        <v>0.75</v>
      </c>
      <c r="G2783" s="0" t="n">
        <f aca="false">-1+C2783*0.25</f>
        <v>-0.5</v>
      </c>
      <c r="H2783" s="0" t="n">
        <f aca="false">-1+D2783*0.25</f>
        <v>0.5</v>
      </c>
      <c r="I2783" s="0" t="n">
        <f aca="false">1</f>
        <v>1</v>
      </c>
      <c r="J2783" s="0" t="n">
        <f aca="false">E2783</f>
        <v>-0.25</v>
      </c>
      <c r="K2783" s="0" t="n">
        <f aca="false">F2783</f>
        <v>0.75</v>
      </c>
      <c r="L2783" s="0" t="n">
        <f aca="false">G2783</f>
        <v>-0.5</v>
      </c>
      <c r="M2783" s="0" t="n">
        <f aca="false">H2783</f>
        <v>0.5</v>
      </c>
      <c r="N2783" s="0" t="n">
        <f aca="false">E2783*F2783</f>
        <v>-0.1875</v>
      </c>
      <c r="O2783" s="0" t="n">
        <f aca="false">E2783*G2783</f>
        <v>0.125</v>
      </c>
      <c r="P2783" s="0" t="n">
        <f aca="false">E2783*H2783</f>
        <v>-0.125</v>
      </c>
      <c r="Q2783" s="0" t="n">
        <f aca="false">F2783*G2783</f>
        <v>-0.375</v>
      </c>
      <c r="R2783" s="0" t="n">
        <f aca="false">F2783*H2783</f>
        <v>0.375</v>
      </c>
      <c r="S2783" s="0" t="n">
        <f aca="false">G2783*H2783</f>
        <v>-0.25</v>
      </c>
      <c r="T2783" s="0" t="n">
        <f aca="false">E2783*E2783</f>
        <v>0.0625</v>
      </c>
      <c r="U2783" s="0" t="n">
        <f aca="false">F2783*F2783</f>
        <v>0.5625</v>
      </c>
      <c r="V2783" s="0" t="n">
        <f aca="false">G2783*G2783</f>
        <v>0.25</v>
      </c>
      <c r="W2783" s="0" t="n">
        <f aca="false">H2783*H2783</f>
        <v>0.25</v>
      </c>
      <c r="X2783" s="0" t="n">
        <f aca="false">SUMPRODUCT(I2783:W2783,_XtX!$B$96:$P$96)</f>
        <v>46.2316246345029</v>
      </c>
      <c r="Y2783" s="0" t="n">
        <f aca="false">SUMPRODUCT(MMULT(I2783:W2783,_XtX!$B$78:$P$92),I2783:W2783)</f>
        <v>0.203746059484649</v>
      </c>
      <c r="Z2783" s="0" t="n">
        <f aca="false">04_回帰ANOVA!$K$19*04_回帰ANOVA!$K$14*SQRT(1+Y2783)</f>
        <v>1.43009810755465</v>
      </c>
      <c r="AA2783" s="0" t="n">
        <f aca="false">X2783-Z2783</f>
        <v>44.8015265269482</v>
      </c>
      <c r="AB2783" s="0" t="n">
        <f aca="false">X2783+Z2783</f>
        <v>47.6617227420575</v>
      </c>
      <c r="AC2783" s="54" t="b">
        <f aca="false">AND(E2783&gt;=01_因子設定!$L$5-0.000000001,E2783&lt;=01_因子設定!$M$5+0.000000001,F2783&gt;=01_因子設定!$L$6-0.000000001,F2783&lt;=01_因子設定!$M$6+0.000000001,G2783&gt;=01_因子設定!$L$7-0.000000001,G2783&lt;=01_因子設定!$M$7+0.000000001,H2783&gt;=01_因子設定!$L$8-0.000000001,H2783&lt;=01_因子設定!$M$8+0.000000001,IF(01_因子設定!$B$20="Box-Behnken",E2783^2+F2783^2+G2783^2+H2783^2&lt;=2+0.000000001,TRUE()))</f>
        <v>1</v>
      </c>
      <c r="AD2783" s="55" t="n">
        <f aca="false">IF(AC2783,IF(01_因子設定!$B$13="最大化",AA2783-01_因子設定!$B$14,IF(01_因子設定!$B$13="最小化",01_因子設定!$B$15-AB2783,MIN(AA2783-01_因子設定!$B$14,01_因子設定!$B$15-AB2783))),-1E+030)</f>
        <v>-1.69847347305178</v>
      </c>
      <c r="AE2783" s="55" t="n">
        <f aca="false">IF(AC2783,IF(01_因子設定!$B$13="最大化",X2783,IF(01_因子設定!$B$13="最小化",-X2783,-ABS(X2783-01_因子設定!$B$16))),-1E+030)</f>
        <v>46.2316246345029</v>
      </c>
      <c r="AF2783" s="55" t="n">
        <f aca="false">AD2783+ROW()*0.000000001</f>
        <v>-1.69847069005178</v>
      </c>
      <c r="AG2783" s="55" t="n">
        <f aca="false">AE2783+ROW()*0.000000001</f>
        <v>46.2316274175029</v>
      </c>
    </row>
    <row r="2784" customFormat="false" ht="15" hidden="false" customHeight="false" outlineLevel="0" collapsed="false">
      <c r="A2784" s="0" t="n">
        <v>3</v>
      </c>
      <c r="B2784" s="0" t="n">
        <v>7</v>
      </c>
      <c r="C2784" s="0" t="n">
        <v>2</v>
      </c>
      <c r="D2784" s="0" t="n">
        <v>7</v>
      </c>
      <c r="E2784" s="0" t="n">
        <f aca="false">-1+A2784*0.25</f>
        <v>-0.25</v>
      </c>
      <c r="F2784" s="0" t="n">
        <f aca="false">-1+B2784*0.25</f>
        <v>0.75</v>
      </c>
      <c r="G2784" s="0" t="n">
        <f aca="false">-1+C2784*0.25</f>
        <v>-0.5</v>
      </c>
      <c r="H2784" s="0" t="n">
        <f aca="false">-1+D2784*0.25</f>
        <v>0.75</v>
      </c>
      <c r="I2784" s="0" t="n">
        <f aca="false">1</f>
        <v>1</v>
      </c>
      <c r="J2784" s="0" t="n">
        <f aca="false">E2784</f>
        <v>-0.25</v>
      </c>
      <c r="K2784" s="0" t="n">
        <f aca="false">F2784</f>
        <v>0.75</v>
      </c>
      <c r="L2784" s="0" t="n">
        <f aca="false">G2784</f>
        <v>-0.5</v>
      </c>
      <c r="M2784" s="0" t="n">
        <f aca="false">H2784</f>
        <v>0.75</v>
      </c>
      <c r="N2784" s="0" t="n">
        <f aca="false">E2784*F2784</f>
        <v>-0.1875</v>
      </c>
      <c r="O2784" s="0" t="n">
        <f aca="false">E2784*G2784</f>
        <v>0.125</v>
      </c>
      <c r="P2784" s="0" t="n">
        <f aca="false">E2784*H2784</f>
        <v>-0.1875</v>
      </c>
      <c r="Q2784" s="0" t="n">
        <f aca="false">F2784*G2784</f>
        <v>-0.375</v>
      </c>
      <c r="R2784" s="0" t="n">
        <f aca="false">F2784*H2784</f>
        <v>0.5625</v>
      </c>
      <c r="S2784" s="0" t="n">
        <f aca="false">G2784*H2784</f>
        <v>-0.375</v>
      </c>
      <c r="T2784" s="0" t="n">
        <f aca="false">E2784*E2784</f>
        <v>0.0625</v>
      </c>
      <c r="U2784" s="0" t="n">
        <f aca="false">F2784*F2784</f>
        <v>0.5625</v>
      </c>
      <c r="V2784" s="0" t="n">
        <f aca="false">G2784*G2784</f>
        <v>0.25</v>
      </c>
      <c r="W2784" s="0" t="n">
        <f aca="false">H2784*H2784</f>
        <v>0.5625</v>
      </c>
      <c r="X2784" s="0" t="n">
        <f aca="false">SUMPRODUCT(I2784:W2784,_XtX!$B$96:$P$96)</f>
        <v>46.1299022295321</v>
      </c>
      <c r="Y2784" s="0" t="n">
        <f aca="false">SUMPRODUCT(MMULT(I2784:W2784,_XtX!$B$78:$P$92),I2784:W2784)</f>
        <v>0.257385610836988</v>
      </c>
      <c r="Z2784" s="0" t="n">
        <f aca="false">04_回帰ANOVA!$K$19*04_回帰ANOVA!$K$14*SQRT(1+Y2784)</f>
        <v>1.46161380324158</v>
      </c>
      <c r="AA2784" s="0" t="n">
        <f aca="false">X2784-Z2784</f>
        <v>44.6682884262905</v>
      </c>
      <c r="AB2784" s="0" t="n">
        <f aca="false">X2784+Z2784</f>
        <v>47.5915160327737</v>
      </c>
      <c r="AC2784" s="54" t="b">
        <f aca="false">AND(E2784&gt;=01_因子設定!$L$5-0.000000001,E2784&lt;=01_因子設定!$M$5+0.000000001,F2784&gt;=01_因子設定!$L$6-0.000000001,F2784&lt;=01_因子設定!$M$6+0.000000001,G2784&gt;=01_因子設定!$L$7-0.000000001,G2784&lt;=01_因子設定!$M$7+0.000000001,H2784&gt;=01_因子設定!$L$8-0.000000001,H2784&lt;=01_因子設定!$M$8+0.000000001,IF(01_因子設定!$B$20="Box-Behnken",E2784^2+F2784^2+G2784^2+H2784^2&lt;=2+0.000000001,TRUE()))</f>
        <v>1</v>
      </c>
      <c r="AD2784" s="55" t="n">
        <f aca="false">IF(AC2784,IF(01_因子設定!$B$13="最大化",AA2784-01_因子設定!$B$14,IF(01_因子設定!$B$13="最小化",01_因子設定!$B$15-AB2784,MIN(AA2784-01_因子設定!$B$14,01_因子設定!$B$15-AB2784))),-1E+030)</f>
        <v>-1.83171157370946</v>
      </c>
      <c r="AE2784" s="55" t="n">
        <f aca="false">IF(AC2784,IF(01_因子設定!$B$13="最大化",X2784,IF(01_因子設定!$B$13="最小化",-X2784,-ABS(X2784-01_因子設定!$B$16))),-1E+030)</f>
        <v>46.1299022295321</v>
      </c>
      <c r="AF2784" s="55" t="n">
        <f aca="false">AD2784+ROW()*0.000000001</f>
        <v>-1.83170878970946</v>
      </c>
      <c r="AG2784" s="55" t="n">
        <f aca="false">AE2784+ROW()*0.000000001</f>
        <v>46.1299050135321</v>
      </c>
    </row>
    <row r="2785" customFormat="false" ht="15" hidden="false" customHeight="false" outlineLevel="0" collapsed="false">
      <c r="A2785" s="0" t="n">
        <v>3</v>
      </c>
      <c r="B2785" s="0" t="n">
        <v>7</v>
      </c>
      <c r="C2785" s="0" t="n">
        <v>2</v>
      </c>
      <c r="D2785" s="0" t="n">
        <v>8</v>
      </c>
      <c r="E2785" s="0" t="n">
        <f aca="false">-1+A2785*0.25</f>
        <v>-0.25</v>
      </c>
      <c r="F2785" s="0" t="n">
        <f aca="false">-1+B2785*0.25</f>
        <v>0.75</v>
      </c>
      <c r="G2785" s="0" t="n">
        <f aca="false">-1+C2785*0.25</f>
        <v>-0.5</v>
      </c>
      <c r="H2785" s="0" t="n">
        <f aca="false">-1+D2785*0.25</f>
        <v>1</v>
      </c>
      <c r="I2785" s="0" t="n">
        <f aca="false">1</f>
        <v>1</v>
      </c>
      <c r="J2785" s="0" t="n">
        <f aca="false">E2785</f>
        <v>-0.25</v>
      </c>
      <c r="K2785" s="0" t="n">
        <f aca="false">F2785</f>
        <v>0.75</v>
      </c>
      <c r="L2785" s="0" t="n">
        <f aca="false">G2785</f>
        <v>-0.5</v>
      </c>
      <c r="M2785" s="0" t="n">
        <f aca="false">H2785</f>
        <v>1</v>
      </c>
      <c r="N2785" s="0" t="n">
        <f aca="false">E2785*F2785</f>
        <v>-0.1875</v>
      </c>
      <c r="O2785" s="0" t="n">
        <f aca="false">E2785*G2785</f>
        <v>0.125</v>
      </c>
      <c r="P2785" s="0" t="n">
        <f aca="false">E2785*H2785</f>
        <v>-0.25</v>
      </c>
      <c r="Q2785" s="0" t="n">
        <f aca="false">F2785*G2785</f>
        <v>-0.375</v>
      </c>
      <c r="R2785" s="0" t="n">
        <f aca="false">F2785*H2785</f>
        <v>0.75</v>
      </c>
      <c r="S2785" s="0" t="n">
        <f aca="false">G2785*H2785</f>
        <v>-0.5</v>
      </c>
      <c r="T2785" s="0" t="n">
        <f aca="false">E2785*E2785</f>
        <v>0.0625</v>
      </c>
      <c r="U2785" s="0" t="n">
        <f aca="false">F2785*F2785</f>
        <v>0.5625</v>
      </c>
      <c r="V2785" s="0" t="n">
        <f aca="false">G2785*G2785</f>
        <v>0.25</v>
      </c>
      <c r="W2785" s="0" t="n">
        <f aca="false">H2785*H2785</f>
        <v>1</v>
      </c>
      <c r="X2785" s="0" t="n">
        <f aca="false">SUMPRODUCT(I2785:W2785,_XtX!$B$96:$P$96)</f>
        <v>45.9803728070175</v>
      </c>
      <c r="Y2785" s="0" t="n">
        <f aca="false">SUMPRODUCT(MMULT(I2785:W2785,_XtX!$B$78:$P$92),I2785:W2785)</f>
        <v>0.459125719572369</v>
      </c>
      <c r="Z2785" s="0" t="n">
        <f aca="false">04_回帰ANOVA!$K$19*04_回帰ANOVA!$K$14*SQRT(1+Y2785)</f>
        <v>1.57450755575573</v>
      </c>
      <c r="AA2785" s="0" t="n">
        <f aca="false">X2785-Z2785</f>
        <v>44.4058652512618</v>
      </c>
      <c r="AB2785" s="0" t="n">
        <f aca="false">X2785+Z2785</f>
        <v>47.5548803627733</v>
      </c>
      <c r="AC2785" s="54" t="b">
        <f aca="false">AND(E2785&gt;=01_因子設定!$L$5-0.000000001,E2785&lt;=01_因子設定!$M$5+0.000000001,F2785&gt;=01_因子設定!$L$6-0.000000001,F2785&lt;=01_因子設定!$M$6+0.000000001,G2785&gt;=01_因子設定!$L$7-0.000000001,G2785&lt;=01_因子設定!$M$7+0.000000001,H2785&gt;=01_因子設定!$L$8-0.000000001,H2785&lt;=01_因子設定!$M$8+0.000000001,IF(01_因子設定!$B$20="Box-Behnken",E2785^2+F2785^2+G2785^2+H2785^2&lt;=2+0.000000001,TRUE()))</f>
        <v>1</v>
      </c>
      <c r="AD2785" s="55" t="n">
        <f aca="false">IF(AC2785,IF(01_因子設定!$B$13="最大化",AA2785-01_因子設定!$B$14,IF(01_因子設定!$B$13="最小化",01_因子設定!$B$15-AB2785,MIN(AA2785-01_因子設定!$B$14,01_因子設定!$B$15-AB2785))),-1E+030)</f>
        <v>-2.09413474873821</v>
      </c>
      <c r="AE2785" s="55" t="n">
        <f aca="false">IF(AC2785,IF(01_因子設定!$B$13="最大化",X2785,IF(01_因子設定!$B$13="最小化",-X2785,-ABS(X2785-01_因子設定!$B$16))),-1E+030)</f>
        <v>45.9803728070175</v>
      </c>
      <c r="AF2785" s="55" t="n">
        <f aca="false">AD2785+ROW()*0.000000001</f>
        <v>-2.09413196373821</v>
      </c>
      <c r="AG2785" s="55" t="n">
        <f aca="false">AE2785+ROW()*0.000000001</f>
        <v>45.9803755920175</v>
      </c>
    </row>
    <row r="2786" customFormat="false" ht="15" hidden="false" customHeight="false" outlineLevel="0" collapsed="false">
      <c r="A2786" s="0" t="n">
        <v>3</v>
      </c>
      <c r="B2786" s="0" t="n">
        <v>7</v>
      </c>
      <c r="C2786" s="0" t="n">
        <v>3</v>
      </c>
      <c r="D2786" s="0" t="n">
        <v>0</v>
      </c>
      <c r="E2786" s="0" t="n">
        <f aca="false">-1+A2786*0.25</f>
        <v>-0.25</v>
      </c>
      <c r="F2786" s="0" t="n">
        <f aca="false">-1+B2786*0.25</f>
        <v>0.75</v>
      </c>
      <c r="G2786" s="0" t="n">
        <f aca="false">-1+C2786*0.25</f>
        <v>-0.25</v>
      </c>
      <c r="H2786" s="0" t="n">
        <f aca="false">-1+D2786*0.25</f>
        <v>-1</v>
      </c>
      <c r="I2786" s="0" t="n">
        <f aca="false">1</f>
        <v>1</v>
      </c>
      <c r="J2786" s="0" t="n">
        <f aca="false">E2786</f>
        <v>-0.25</v>
      </c>
      <c r="K2786" s="0" t="n">
        <f aca="false">F2786</f>
        <v>0.75</v>
      </c>
      <c r="L2786" s="0" t="n">
        <f aca="false">G2786</f>
        <v>-0.25</v>
      </c>
      <c r="M2786" s="0" t="n">
        <f aca="false">H2786</f>
        <v>-1</v>
      </c>
      <c r="N2786" s="0" t="n">
        <f aca="false">E2786*F2786</f>
        <v>-0.1875</v>
      </c>
      <c r="O2786" s="0" t="n">
        <f aca="false">E2786*G2786</f>
        <v>0.0625</v>
      </c>
      <c r="P2786" s="0" t="n">
        <f aca="false">E2786*H2786</f>
        <v>0.25</v>
      </c>
      <c r="Q2786" s="0" t="n">
        <f aca="false">F2786*G2786</f>
        <v>-0.1875</v>
      </c>
      <c r="R2786" s="0" t="n">
        <f aca="false">F2786*H2786</f>
        <v>-0.75</v>
      </c>
      <c r="S2786" s="0" t="n">
        <f aca="false">G2786*H2786</f>
        <v>0.25</v>
      </c>
      <c r="T2786" s="0" t="n">
        <f aca="false">E2786*E2786</f>
        <v>0.0625</v>
      </c>
      <c r="U2786" s="0" t="n">
        <f aca="false">F2786*F2786</f>
        <v>0.5625</v>
      </c>
      <c r="V2786" s="0" t="n">
        <f aca="false">G2786*G2786</f>
        <v>0.0625</v>
      </c>
      <c r="W2786" s="0" t="n">
        <f aca="false">H2786*H2786</f>
        <v>1</v>
      </c>
      <c r="X2786" s="0" t="n">
        <f aca="false">SUMPRODUCT(I2786:W2786,_XtX!$B$96:$P$96)</f>
        <v>46.2391493055555</v>
      </c>
      <c r="Y2786" s="0" t="n">
        <f aca="false">SUMPRODUCT(MMULT(I2786:W2786,_XtX!$B$78:$P$92),I2786:W2786)</f>
        <v>0.486409505208333</v>
      </c>
      <c r="Z2786" s="0" t="n">
        <f aca="false">04_回帰ANOVA!$K$19*04_回帰ANOVA!$K$14*SQRT(1+Y2786)</f>
        <v>1.58916001665498</v>
      </c>
      <c r="AA2786" s="0" t="n">
        <f aca="false">X2786-Z2786</f>
        <v>44.6499892889006</v>
      </c>
      <c r="AB2786" s="0" t="n">
        <f aca="false">X2786+Z2786</f>
        <v>47.8283093222105</v>
      </c>
      <c r="AC2786" s="54" t="b">
        <f aca="false">AND(E2786&gt;=01_因子設定!$L$5-0.000000001,E2786&lt;=01_因子設定!$M$5+0.000000001,F2786&gt;=01_因子設定!$L$6-0.000000001,F2786&lt;=01_因子設定!$M$6+0.000000001,G2786&gt;=01_因子設定!$L$7-0.000000001,G2786&lt;=01_因子設定!$M$7+0.000000001,H2786&gt;=01_因子設定!$L$8-0.000000001,H2786&lt;=01_因子設定!$M$8+0.000000001,IF(01_因子設定!$B$20="Box-Behnken",E2786^2+F2786^2+G2786^2+H2786^2&lt;=2+0.000000001,TRUE()))</f>
        <v>1</v>
      </c>
      <c r="AD2786" s="55" t="n">
        <f aca="false">IF(AC2786,IF(01_因子設定!$B$13="最大化",AA2786-01_因子設定!$B$14,IF(01_因子設定!$B$13="最小化",01_因子設定!$B$15-AB2786,MIN(AA2786-01_因子設定!$B$14,01_因子設定!$B$15-AB2786))),-1E+030)</f>
        <v>-1.85001071109944</v>
      </c>
      <c r="AE2786" s="55" t="n">
        <f aca="false">IF(AC2786,IF(01_因子設定!$B$13="最大化",X2786,IF(01_因子設定!$B$13="最小化",-X2786,-ABS(X2786-01_因子設定!$B$16))),-1E+030)</f>
        <v>46.2391493055555</v>
      </c>
      <c r="AF2786" s="55" t="n">
        <f aca="false">AD2786+ROW()*0.000000001</f>
        <v>-1.85000792509944</v>
      </c>
      <c r="AG2786" s="55" t="n">
        <f aca="false">AE2786+ROW()*0.000000001</f>
        <v>46.2391520915555</v>
      </c>
    </row>
    <row r="2787" customFormat="false" ht="15" hidden="false" customHeight="false" outlineLevel="0" collapsed="false">
      <c r="A2787" s="0" t="n">
        <v>3</v>
      </c>
      <c r="B2787" s="0" t="n">
        <v>7</v>
      </c>
      <c r="C2787" s="0" t="n">
        <v>3</v>
      </c>
      <c r="D2787" s="0" t="n">
        <v>1</v>
      </c>
      <c r="E2787" s="0" t="n">
        <f aca="false">-1+A2787*0.25</f>
        <v>-0.25</v>
      </c>
      <c r="F2787" s="0" t="n">
        <f aca="false">-1+B2787*0.25</f>
        <v>0.75</v>
      </c>
      <c r="G2787" s="0" t="n">
        <f aca="false">-1+C2787*0.25</f>
        <v>-0.25</v>
      </c>
      <c r="H2787" s="0" t="n">
        <f aca="false">-1+D2787*0.25</f>
        <v>-0.75</v>
      </c>
      <c r="I2787" s="0" t="n">
        <f aca="false">1</f>
        <v>1</v>
      </c>
      <c r="J2787" s="0" t="n">
        <f aca="false">E2787</f>
        <v>-0.25</v>
      </c>
      <c r="K2787" s="0" t="n">
        <f aca="false">F2787</f>
        <v>0.75</v>
      </c>
      <c r="L2787" s="0" t="n">
        <f aca="false">G2787</f>
        <v>-0.25</v>
      </c>
      <c r="M2787" s="0" t="n">
        <f aca="false">H2787</f>
        <v>-0.75</v>
      </c>
      <c r="N2787" s="0" t="n">
        <f aca="false">E2787*F2787</f>
        <v>-0.1875</v>
      </c>
      <c r="O2787" s="0" t="n">
        <f aca="false">E2787*G2787</f>
        <v>0.0625</v>
      </c>
      <c r="P2787" s="0" t="n">
        <f aca="false">E2787*H2787</f>
        <v>0.1875</v>
      </c>
      <c r="Q2787" s="0" t="n">
        <f aca="false">F2787*G2787</f>
        <v>-0.1875</v>
      </c>
      <c r="R2787" s="0" t="n">
        <f aca="false">F2787*H2787</f>
        <v>-0.5625</v>
      </c>
      <c r="S2787" s="0" t="n">
        <f aca="false">G2787*H2787</f>
        <v>0.1875</v>
      </c>
      <c r="T2787" s="0" t="n">
        <f aca="false">E2787*E2787</f>
        <v>0.0625</v>
      </c>
      <c r="U2787" s="0" t="n">
        <f aca="false">F2787*F2787</f>
        <v>0.5625</v>
      </c>
      <c r="V2787" s="0" t="n">
        <f aca="false">G2787*G2787</f>
        <v>0.0625</v>
      </c>
      <c r="W2787" s="0" t="n">
        <f aca="false">H2787*H2787</f>
        <v>0.5625</v>
      </c>
      <c r="X2787" s="0" t="n">
        <f aca="false">SUMPRODUCT(I2787:W2787,_XtX!$B$96:$P$96)</f>
        <v>46.4422377558479</v>
      </c>
      <c r="Y2787" s="0" t="n">
        <f aca="false">SUMPRODUCT(MMULT(I2787:W2787,_XtX!$B$78:$P$92),I2787:W2787)</f>
        <v>0.271087468019006</v>
      </c>
      <c r="Z2787" s="0" t="n">
        <f aca="false">04_回帰ANOVA!$K$19*04_回帰ANOVA!$K$14*SQRT(1+Y2787)</f>
        <v>1.46955590155034</v>
      </c>
      <c r="AA2787" s="0" t="n">
        <f aca="false">X2787-Z2787</f>
        <v>44.9726818542976</v>
      </c>
      <c r="AB2787" s="0" t="n">
        <f aca="false">X2787+Z2787</f>
        <v>47.9117936573983</v>
      </c>
      <c r="AC2787" s="54" t="b">
        <f aca="false">AND(E2787&gt;=01_因子設定!$L$5-0.000000001,E2787&lt;=01_因子設定!$M$5+0.000000001,F2787&gt;=01_因子設定!$L$6-0.000000001,F2787&lt;=01_因子設定!$M$6+0.000000001,G2787&gt;=01_因子設定!$L$7-0.000000001,G2787&lt;=01_因子設定!$M$7+0.000000001,H2787&gt;=01_因子設定!$L$8-0.000000001,H2787&lt;=01_因子設定!$M$8+0.000000001,IF(01_因子設定!$B$20="Box-Behnken",E2787^2+F2787^2+G2787^2+H2787^2&lt;=2+0.000000001,TRUE()))</f>
        <v>1</v>
      </c>
      <c r="AD2787" s="55" t="n">
        <f aca="false">IF(AC2787,IF(01_因子設定!$B$13="最大化",AA2787-01_因子設定!$B$14,IF(01_因子設定!$B$13="最小化",01_因子設定!$B$15-AB2787,MIN(AA2787-01_因子設定!$B$14,01_因子設定!$B$15-AB2787))),-1E+030)</f>
        <v>-1.52731814570243</v>
      </c>
      <c r="AE2787" s="55" t="n">
        <f aca="false">IF(AC2787,IF(01_因子設定!$B$13="最大化",X2787,IF(01_因子設定!$B$13="最小化",-X2787,-ABS(X2787-01_因子設定!$B$16))),-1E+030)</f>
        <v>46.4422377558479</v>
      </c>
      <c r="AF2787" s="55" t="n">
        <f aca="false">AD2787+ROW()*0.000000001</f>
        <v>-1.52731535870243</v>
      </c>
      <c r="AG2787" s="55" t="n">
        <f aca="false">AE2787+ROW()*0.000000001</f>
        <v>46.4422405428479</v>
      </c>
    </row>
    <row r="2788" customFormat="false" ht="15" hidden="false" customHeight="false" outlineLevel="0" collapsed="false">
      <c r="A2788" s="0" t="n">
        <v>3</v>
      </c>
      <c r="B2788" s="0" t="n">
        <v>7</v>
      </c>
      <c r="C2788" s="0" t="n">
        <v>3</v>
      </c>
      <c r="D2788" s="0" t="n">
        <v>2</v>
      </c>
      <c r="E2788" s="0" t="n">
        <f aca="false">-1+A2788*0.25</f>
        <v>-0.25</v>
      </c>
      <c r="F2788" s="0" t="n">
        <f aca="false">-1+B2788*0.25</f>
        <v>0.75</v>
      </c>
      <c r="G2788" s="0" t="n">
        <f aca="false">-1+C2788*0.25</f>
        <v>-0.25</v>
      </c>
      <c r="H2788" s="0" t="n">
        <f aca="false">-1+D2788*0.25</f>
        <v>-0.5</v>
      </c>
      <c r="I2788" s="0" t="n">
        <f aca="false">1</f>
        <v>1</v>
      </c>
      <c r="J2788" s="0" t="n">
        <f aca="false">E2788</f>
        <v>-0.25</v>
      </c>
      <c r="K2788" s="0" t="n">
        <f aca="false">F2788</f>
        <v>0.75</v>
      </c>
      <c r="L2788" s="0" t="n">
        <f aca="false">G2788</f>
        <v>-0.25</v>
      </c>
      <c r="M2788" s="0" t="n">
        <f aca="false">H2788</f>
        <v>-0.5</v>
      </c>
      <c r="N2788" s="0" t="n">
        <f aca="false">E2788*F2788</f>
        <v>-0.1875</v>
      </c>
      <c r="O2788" s="0" t="n">
        <f aca="false">E2788*G2788</f>
        <v>0.0625</v>
      </c>
      <c r="P2788" s="0" t="n">
        <f aca="false">E2788*H2788</f>
        <v>0.125</v>
      </c>
      <c r="Q2788" s="0" t="n">
        <f aca="false">F2788*G2788</f>
        <v>-0.1875</v>
      </c>
      <c r="R2788" s="0" t="n">
        <f aca="false">F2788*H2788</f>
        <v>-0.375</v>
      </c>
      <c r="S2788" s="0" t="n">
        <f aca="false">G2788*H2788</f>
        <v>0.125</v>
      </c>
      <c r="T2788" s="0" t="n">
        <f aca="false">E2788*E2788</f>
        <v>0.0625</v>
      </c>
      <c r="U2788" s="0" t="n">
        <f aca="false">F2788*F2788</f>
        <v>0.5625</v>
      </c>
      <c r="V2788" s="0" t="n">
        <f aca="false">G2788*G2788</f>
        <v>0.0625</v>
      </c>
      <c r="W2788" s="0" t="n">
        <f aca="false">H2788*H2788</f>
        <v>0.25</v>
      </c>
      <c r="X2788" s="0" t="n">
        <f aca="false">SUMPRODUCT(I2788:W2788,_XtX!$B$96:$P$96)</f>
        <v>46.5975191885964</v>
      </c>
      <c r="Y2788" s="0" t="n">
        <f aca="false">SUMPRODUCT(MMULT(I2788:W2788,_XtX!$B$78:$P$92),I2788:W2788)</f>
        <v>0.207746539199561</v>
      </c>
      <c r="Z2788" s="0" t="n">
        <f aca="false">04_回帰ANOVA!$K$19*04_回帰ANOVA!$K$14*SQRT(1+Y2788)</f>
        <v>1.43247250081141</v>
      </c>
      <c r="AA2788" s="0" t="n">
        <f aca="false">X2788-Z2788</f>
        <v>45.165046687785</v>
      </c>
      <c r="AB2788" s="0" t="n">
        <f aca="false">X2788+Z2788</f>
        <v>48.0299916894079</v>
      </c>
      <c r="AC2788" s="54" t="b">
        <f aca="false">AND(E2788&gt;=01_因子設定!$L$5-0.000000001,E2788&lt;=01_因子設定!$M$5+0.000000001,F2788&gt;=01_因子設定!$L$6-0.000000001,F2788&lt;=01_因子設定!$M$6+0.000000001,G2788&gt;=01_因子設定!$L$7-0.000000001,G2788&lt;=01_因子設定!$M$7+0.000000001,H2788&gt;=01_因子設定!$L$8-0.000000001,H2788&lt;=01_因子設定!$M$8+0.000000001,IF(01_因子設定!$B$20="Box-Behnken",E2788^2+F2788^2+G2788^2+H2788^2&lt;=2+0.000000001,TRUE()))</f>
        <v>1</v>
      </c>
      <c r="AD2788" s="55" t="n">
        <f aca="false">IF(AC2788,IF(01_因子設定!$B$13="最大化",AA2788-01_因子設定!$B$14,IF(01_因子設定!$B$13="最小化",01_因子設定!$B$15-AB2788,MIN(AA2788-01_因子設定!$B$14,01_因子設定!$B$15-AB2788))),-1E+030)</f>
        <v>-1.33495331221496</v>
      </c>
      <c r="AE2788" s="55" t="n">
        <f aca="false">IF(AC2788,IF(01_因子設定!$B$13="最大化",X2788,IF(01_因子設定!$B$13="最小化",-X2788,-ABS(X2788-01_因子設定!$B$16))),-1E+030)</f>
        <v>46.5975191885964</v>
      </c>
      <c r="AF2788" s="55" t="n">
        <f aca="false">AD2788+ROW()*0.000000001</f>
        <v>-1.33495052421496</v>
      </c>
      <c r="AG2788" s="55" t="n">
        <f aca="false">AE2788+ROW()*0.000000001</f>
        <v>46.5975219765965</v>
      </c>
    </row>
    <row r="2789" customFormat="false" ht="15" hidden="false" customHeight="false" outlineLevel="0" collapsed="false">
      <c r="A2789" s="0" t="n">
        <v>3</v>
      </c>
      <c r="B2789" s="0" t="n">
        <v>7</v>
      </c>
      <c r="C2789" s="0" t="n">
        <v>3</v>
      </c>
      <c r="D2789" s="0" t="n">
        <v>3</v>
      </c>
      <c r="E2789" s="0" t="n">
        <f aca="false">-1+A2789*0.25</f>
        <v>-0.25</v>
      </c>
      <c r="F2789" s="0" t="n">
        <f aca="false">-1+B2789*0.25</f>
        <v>0.75</v>
      </c>
      <c r="G2789" s="0" t="n">
        <f aca="false">-1+C2789*0.25</f>
        <v>-0.25</v>
      </c>
      <c r="H2789" s="0" t="n">
        <f aca="false">-1+D2789*0.25</f>
        <v>-0.25</v>
      </c>
      <c r="I2789" s="0" t="n">
        <f aca="false">1</f>
        <v>1</v>
      </c>
      <c r="J2789" s="0" t="n">
        <f aca="false">E2789</f>
        <v>-0.25</v>
      </c>
      <c r="K2789" s="0" t="n">
        <f aca="false">F2789</f>
        <v>0.75</v>
      </c>
      <c r="L2789" s="0" t="n">
        <f aca="false">G2789</f>
        <v>-0.25</v>
      </c>
      <c r="M2789" s="0" t="n">
        <f aca="false">H2789</f>
        <v>-0.25</v>
      </c>
      <c r="N2789" s="0" t="n">
        <f aca="false">E2789*F2789</f>
        <v>-0.1875</v>
      </c>
      <c r="O2789" s="0" t="n">
        <f aca="false">E2789*G2789</f>
        <v>0.0625</v>
      </c>
      <c r="P2789" s="0" t="n">
        <f aca="false">E2789*H2789</f>
        <v>0.0625</v>
      </c>
      <c r="Q2789" s="0" t="n">
        <f aca="false">F2789*G2789</f>
        <v>-0.1875</v>
      </c>
      <c r="R2789" s="0" t="n">
        <f aca="false">F2789*H2789</f>
        <v>-0.1875</v>
      </c>
      <c r="S2789" s="0" t="n">
        <f aca="false">G2789*H2789</f>
        <v>0.0625</v>
      </c>
      <c r="T2789" s="0" t="n">
        <f aca="false">E2789*E2789</f>
        <v>0.0625</v>
      </c>
      <c r="U2789" s="0" t="n">
        <f aca="false">F2789*F2789</f>
        <v>0.5625</v>
      </c>
      <c r="V2789" s="0" t="n">
        <f aca="false">G2789*G2789</f>
        <v>0.0625</v>
      </c>
      <c r="W2789" s="0" t="n">
        <f aca="false">H2789*H2789</f>
        <v>0.0625</v>
      </c>
      <c r="X2789" s="0" t="n">
        <f aca="false">SUMPRODUCT(I2789:W2789,_XtX!$B$96:$P$96)</f>
        <v>46.7049936038011</v>
      </c>
      <c r="Y2789" s="0" t="n">
        <f aca="false">SUMPRODUCT(MMULT(I2789:W2789,_XtX!$B$78:$P$92),I2789:W2789)</f>
        <v>0.205926192434211</v>
      </c>
      <c r="Z2789" s="0" t="n">
        <f aca="false">04_回帰ANOVA!$K$19*04_回帰ANOVA!$K$14*SQRT(1+Y2789)</f>
        <v>1.43139256396246</v>
      </c>
      <c r="AA2789" s="0" t="n">
        <f aca="false">X2789-Z2789</f>
        <v>45.2736010398387</v>
      </c>
      <c r="AB2789" s="0" t="n">
        <f aca="false">X2789+Z2789</f>
        <v>48.1363861677636</v>
      </c>
      <c r="AC2789" s="54" t="b">
        <f aca="false">AND(E2789&gt;=01_因子設定!$L$5-0.000000001,E2789&lt;=01_因子設定!$M$5+0.000000001,F2789&gt;=01_因子設定!$L$6-0.000000001,F2789&lt;=01_因子設定!$M$6+0.000000001,G2789&gt;=01_因子設定!$L$7-0.000000001,G2789&lt;=01_因子設定!$M$7+0.000000001,H2789&gt;=01_因子設定!$L$8-0.000000001,H2789&lt;=01_因子設定!$M$8+0.000000001,IF(01_因子設定!$B$20="Box-Behnken",E2789^2+F2789^2+G2789^2+H2789^2&lt;=2+0.000000001,TRUE()))</f>
        <v>1</v>
      </c>
      <c r="AD2789" s="55" t="n">
        <f aca="false">IF(AC2789,IF(01_因子設定!$B$13="最大化",AA2789-01_因子設定!$B$14,IF(01_因子設定!$B$13="最小化",01_因子設定!$B$15-AB2789,MIN(AA2789-01_因子設定!$B$14,01_因子設定!$B$15-AB2789))),-1E+030)</f>
        <v>-1.22639896016135</v>
      </c>
      <c r="AE2789" s="55" t="n">
        <f aca="false">IF(AC2789,IF(01_因子設定!$B$13="最大化",X2789,IF(01_因子設定!$B$13="最小化",-X2789,-ABS(X2789-01_因子設定!$B$16))),-1E+030)</f>
        <v>46.7049936038011</v>
      </c>
      <c r="AF2789" s="55" t="n">
        <f aca="false">AD2789+ROW()*0.000000001</f>
        <v>-1.22639617116135</v>
      </c>
      <c r="AG2789" s="55" t="n">
        <f aca="false">AE2789+ROW()*0.000000001</f>
        <v>46.7049963928011</v>
      </c>
    </row>
    <row r="2790" customFormat="false" ht="15" hidden="false" customHeight="false" outlineLevel="0" collapsed="false">
      <c r="A2790" s="0" t="n">
        <v>3</v>
      </c>
      <c r="B2790" s="0" t="n">
        <v>7</v>
      </c>
      <c r="C2790" s="0" t="n">
        <v>3</v>
      </c>
      <c r="D2790" s="0" t="n">
        <v>4</v>
      </c>
      <c r="E2790" s="0" t="n">
        <f aca="false">-1+A2790*0.25</f>
        <v>-0.25</v>
      </c>
      <c r="F2790" s="0" t="n">
        <f aca="false">-1+B2790*0.25</f>
        <v>0.75</v>
      </c>
      <c r="G2790" s="0" t="n">
        <f aca="false">-1+C2790*0.25</f>
        <v>-0.25</v>
      </c>
      <c r="H2790" s="0" t="n">
        <f aca="false">-1+D2790*0.25</f>
        <v>0</v>
      </c>
      <c r="I2790" s="0" t="n">
        <f aca="false">1</f>
        <v>1</v>
      </c>
      <c r="J2790" s="0" t="n">
        <f aca="false">E2790</f>
        <v>-0.25</v>
      </c>
      <c r="K2790" s="0" t="n">
        <f aca="false">F2790</f>
        <v>0.75</v>
      </c>
      <c r="L2790" s="0" t="n">
        <f aca="false">G2790</f>
        <v>-0.25</v>
      </c>
      <c r="M2790" s="0" t="n">
        <f aca="false">H2790</f>
        <v>0</v>
      </c>
      <c r="N2790" s="0" t="n">
        <f aca="false">E2790*F2790</f>
        <v>-0.1875</v>
      </c>
      <c r="O2790" s="0" t="n">
        <f aca="false">E2790*G2790</f>
        <v>0.0625</v>
      </c>
      <c r="P2790" s="0" t="n">
        <f aca="false">E2790*H2790</f>
        <v>-0</v>
      </c>
      <c r="Q2790" s="0" t="n">
        <f aca="false">F2790*G2790</f>
        <v>-0.1875</v>
      </c>
      <c r="R2790" s="0" t="n">
        <f aca="false">F2790*H2790</f>
        <v>0</v>
      </c>
      <c r="S2790" s="0" t="n">
        <f aca="false">G2790*H2790</f>
        <v>-0</v>
      </c>
      <c r="T2790" s="0" t="n">
        <f aca="false">E2790*E2790</f>
        <v>0.0625</v>
      </c>
      <c r="U2790" s="0" t="n">
        <f aca="false">F2790*F2790</f>
        <v>0.5625</v>
      </c>
      <c r="V2790" s="0" t="n">
        <f aca="false">G2790*G2790</f>
        <v>0.0625</v>
      </c>
      <c r="W2790" s="0" t="n">
        <f aca="false">H2790*H2790</f>
        <v>0</v>
      </c>
      <c r="X2790" s="0" t="n">
        <f aca="false">SUMPRODUCT(I2790:W2790,_XtX!$B$96:$P$96)</f>
        <v>46.7646610014619</v>
      </c>
      <c r="Y2790" s="0" t="n">
        <f aca="false">SUMPRODUCT(MMULT(I2790:W2790,_XtX!$B$78:$P$92),I2790:W2790)</f>
        <v>0.21135011193348</v>
      </c>
      <c r="Z2790" s="0" t="n">
        <f aca="false">04_回帰ANOVA!$K$19*04_回帰ANOVA!$K$14*SQRT(1+Y2790)</f>
        <v>1.43460795469709</v>
      </c>
      <c r="AA2790" s="0" t="n">
        <f aca="false">X2790-Z2790</f>
        <v>45.3300530467648</v>
      </c>
      <c r="AB2790" s="0" t="n">
        <f aca="false">X2790+Z2790</f>
        <v>48.199268956159</v>
      </c>
      <c r="AC2790" s="54" t="b">
        <f aca="false">AND(E2790&gt;=01_因子設定!$L$5-0.000000001,E2790&lt;=01_因子設定!$M$5+0.000000001,F2790&gt;=01_因子設定!$L$6-0.000000001,F2790&lt;=01_因子設定!$M$6+0.000000001,G2790&gt;=01_因子設定!$L$7-0.000000001,G2790&lt;=01_因子設定!$M$7+0.000000001,H2790&gt;=01_因子設定!$L$8-0.000000001,H2790&lt;=01_因子設定!$M$8+0.000000001,IF(01_因子設定!$B$20="Box-Behnken",E2790^2+F2790^2+G2790^2+H2790^2&lt;=2+0.000000001,TRUE()))</f>
        <v>1</v>
      </c>
      <c r="AD2790" s="55" t="n">
        <f aca="false">IF(AC2790,IF(01_因子設定!$B$13="最大化",AA2790-01_因子設定!$B$14,IF(01_因子設定!$B$13="最小化",01_因子設定!$B$15-AB2790,MIN(AA2790-01_因子設定!$B$14,01_因子設定!$B$15-AB2790))),-1E+030)</f>
        <v>-1.16994695323516</v>
      </c>
      <c r="AE2790" s="55" t="n">
        <f aca="false">IF(AC2790,IF(01_因子設定!$B$13="最大化",X2790,IF(01_因子設定!$B$13="最小化",-X2790,-ABS(X2790-01_因子設定!$B$16))),-1E+030)</f>
        <v>46.7646610014619</v>
      </c>
      <c r="AF2790" s="55" t="n">
        <f aca="false">AD2790+ROW()*0.000000001</f>
        <v>-1.16994416323516</v>
      </c>
      <c r="AG2790" s="55" t="n">
        <f aca="false">AE2790+ROW()*0.000000001</f>
        <v>46.7646637914619</v>
      </c>
    </row>
    <row r="2791" customFormat="false" ht="15" hidden="false" customHeight="false" outlineLevel="0" collapsed="false">
      <c r="A2791" s="0" t="n">
        <v>3</v>
      </c>
      <c r="B2791" s="0" t="n">
        <v>7</v>
      </c>
      <c r="C2791" s="0" t="n">
        <v>3</v>
      </c>
      <c r="D2791" s="0" t="n">
        <v>5</v>
      </c>
      <c r="E2791" s="0" t="n">
        <f aca="false">-1+A2791*0.25</f>
        <v>-0.25</v>
      </c>
      <c r="F2791" s="0" t="n">
        <f aca="false">-1+B2791*0.25</f>
        <v>0.75</v>
      </c>
      <c r="G2791" s="0" t="n">
        <f aca="false">-1+C2791*0.25</f>
        <v>-0.25</v>
      </c>
      <c r="H2791" s="0" t="n">
        <f aca="false">-1+D2791*0.25</f>
        <v>0.25</v>
      </c>
      <c r="I2791" s="0" t="n">
        <f aca="false">1</f>
        <v>1</v>
      </c>
      <c r="J2791" s="0" t="n">
        <f aca="false">E2791</f>
        <v>-0.25</v>
      </c>
      <c r="K2791" s="0" t="n">
        <f aca="false">F2791</f>
        <v>0.75</v>
      </c>
      <c r="L2791" s="0" t="n">
        <f aca="false">G2791</f>
        <v>-0.25</v>
      </c>
      <c r="M2791" s="0" t="n">
        <f aca="false">H2791</f>
        <v>0.25</v>
      </c>
      <c r="N2791" s="0" t="n">
        <f aca="false">E2791*F2791</f>
        <v>-0.1875</v>
      </c>
      <c r="O2791" s="0" t="n">
        <f aca="false">E2791*G2791</f>
        <v>0.0625</v>
      </c>
      <c r="P2791" s="0" t="n">
        <f aca="false">E2791*H2791</f>
        <v>-0.0625</v>
      </c>
      <c r="Q2791" s="0" t="n">
        <f aca="false">F2791*G2791</f>
        <v>-0.1875</v>
      </c>
      <c r="R2791" s="0" t="n">
        <f aca="false">F2791*H2791</f>
        <v>0.1875</v>
      </c>
      <c r="S2791" s="0" t="n">
        <f aca="false">G2791*H2791</f>
        <v>-0.0625</v>
      </c>
      <c r="T2791" s="0" t="n">
        <f aca="false">E2791*E2791</f>
        <v>0.0625</v>
      </c>
      <c r="U2791" s="0" t="n">
        <f aca="false">F2791*F2791</f>
        <v>0.5625</v>
      </c>
      <c r="V2791" s="0" t="n">
        <f aca="false">G2791*G2791</f>
        <v>0.0625</v>
      </c>
      <c r="W2791" s="0" t="n">
        <f aca="false">H2791*H2791</f>
        <v>0.0625</v>
      </c>
      <c r="X2791" s="0" t="n">
        <f aca="false">SUMPRODUCT(I2791:W2791,_XtX!$B$96:$P$96)</f>
        <v>46.7765213815789</v>
      </c>
      <c r="Y2791" s="0" t="n">
        <f aca="false">SUMPRODUCT(MMULT(I2791:W2791,_XtX!$B$78:$P$92),I2791:W2791)</f>
        <v>0.205926192434211</v>
      </c>
      <c r="Z2791" s="0" t="n">
        <f aca="false">04_回帰ANOVA!$K$19*04_回帰ANOVA!$K$14*SQRT(1+Y2791)</f>
        <v>1.43139256396246</v>
      </c>
      <c r="AA2791" s="0" t="n">
        <f aca="false">X2791-Z2791</f>
        <v>45.3451288176164</v>
      </c>
      <c r="AB2791" s="0" t="n">
        <f aca="false">X2791+Z2791</f>
        <v>48.2079139455414</v>
      </c>
      <c r="AC2791" s="54" t="b">
        <f aca="false">AND(E2791&gt;=01_因子設定!$L$5-0.000000001,E2791&lt;=01_因子設定!$M$5+0.000000001,F2791&gt;=01_因子設定!$L$6-0.000000001,F2791&lt;=01_因子設定!$M$6+0.000000001,G2791&gt;=01_因子設定!$L$7-0.000000001,G2791&lt;=01_因子設定!$M$7+0.000000001,H2791&gt;=01_因子設定!$L$8-0.000000001,H2791&lt;=01_因子設定!$M$8+0.000000001,IF(01_因子設定!$B$20="Box-Behnken",E2791^2+F2791^2+G2791^2+H2791^2&lt;=2+0.000000001,TRUE()))</f>
        <v>1</v>
      </c>
      <c r="AD2791" s="55" t="n">
        <f aca="false">IF(AC2791,IF(01_因子設定!$B$13="最大化",AA2791-01_因子設定!$B$14,IF(01_因子設定!$B$13="最小化",01_因子設定!$B$15-AB2791,MIN(AA2791-01_因子設定!$B$14,01_因子設定!$B$15-AB2791))),-1E+030)</f>
        <v>-1.15487118238357</v>
      </c>
      <c r="AE2791" s="55" t="n">
        <f aca="false">IF(AC2791,IF(01_因子設定!$B$13="最大化",X2791,IF(01_因子設定!$B$13="最小化",-X2791,-ABS(X2791-01_因子設定!$B$16))),-1E+030)</f>
        <v>46.7765213815789</v>
      </c>
      <c r="AF2791" s="55" t="n">
        <f aca="false">AD2791+ROW()*0.000000001</f>
        <v>-1.15486839138357</v>
      </c>
      <c r="AG2791" s="55" t="n">
        <f aca="false">AE2791+ROW()*0.000000001</f>
        <v>46.7765241725789</v>
      </c>
    </row>
    <row r="2792" customFormat="false" ht="15" hidden="false" customHeight="false" outlineLevel="0" collapsed="false">
      <c r="A2792" s="0" t="n">
        <v>3</v>
      </c>
      <c r="B2792" s="0" t="n">
        <v>7</v>
      </c>
      <c r="C2792" s="0" t="n">
        <v>3</v>
      </c>
      <c r="D2792" s="0" t="n">
        <v>6</v>
      </c>
      <c r="E2792" s="0" t="n">
        <f aca="false">-1+A2792*0.25</f>
        <v>-0.25</v>
      </c>
      <c r="F2792" s="0" t="n">
        <f aca="false">-1+B2792*0.25</f>
        <v>0.75</v>
      </c>
      <c r="G2792" s="0" t="n">
        <f aca="false">-1+C2792*0.25</f>
        <v>-0.25</v>
      </c>
      <c r="H2792" s="0" t="n">
        <f aca="false">-1+D2792*0.25</f>
        <v>0.5</v>
      </c>
      <c r="I2792" s="0" t="n">
        <f aca="false">1</f>
        <v>1</v>
      </c>
      <c r="J2792" s="0" t="n">
        <f aca="false">E2792</f>
        <v>-0.25</v>
      </c>
      <c r="K2792" s="0" t="n">
        <f aca="false">F2792</f>
        <v>0.75</v>
      </c>
      <c r="L2792" s="0" t="n">
        <f aca="false">G2792</f>
        <v>-0.25</v>
      </c>
      <c r="M2792" s="0" t="n">
        <f aca="false">H2792</f>
        <v>0.5</v>
      </c>
      <c r="N2792" s="0" t="n">
        <f aca="false">E2792*F2792</f>
        <v>-0.1875</v>
      </c>
      <c r="O2792" s="0" t="n">
        <f aca="false">E2792*G2792</f>
        <v>0.0625</v>
      </c>
      <c r="P2792" s="0" t="n">
        <f aca="false">E2792*H2792</f>
        <v>-0.125</v>
      </c>
      <c r="Q2792" s="0" t="n">
        <f aca="false">F2792*G2792</f>
        <v>-0.1875</v>
      </c>
      <c r="R2792" s="0" t="n">
        <f aca="false">F2792*H2792</f>
        <v>0.375</v>
      </c>
      <c r="S2792" s="0" t="n">
        <f aca="false">G2792*H2792</f>
        <v>-0.125</v>
      </c>
      <c r="T2792" s="0" t="n">
        <f aca="false">E2792*E2792</f>
        <v>0.0625</v>
      </c>
      <c r="U2792" s="0" t="n">
        <f aca="false">F2792*F2792</f>
        <v>0.5625</v>
      </c>
      <c r="V2792" s="0" t="n">
        <f aca="false">G2792*G2792</f>
        <v>0.0625</v>
      </c>
      <c r="W2792" s="0" t="n">
        <f aca="false">H2792*H2792</f>
        <v>0.25</v>
      </c>
      <c r="X2792" s="0" t="n">
        <f aca="false">SUMPRODUCT(I2792:W2792,_XtX!$B$96:$P$96)</f>
        <v>46.740574744152</v>
      </c>
      <c r="Y2792" s="0" t="n">
        <f aca="false">SUMPRODUCT(MMULT(I2792:W2792,_XtX!$B$78:$P$92),I2792:W2792)</f>
        <v>0.207746539199561</v>
      </c>
      <c r="Z2792" s="0" t="n">
        <f aca="false">04_回帰ANOVA!$K$19*04_回帰ANOVA!$K$14*SQRT(1+Y2792)</f>
        <v>1.43247250081141</v>
      </c>
      <c r="AA2792" s="0" t="n">
        <f aca="false">X2792-Z2792</f>
        <v>45.3081022433406</v>
      </c>
      <c r="AB2792" s="0" t="n">
        <f aca="false">X2792+Z2792</f>
        <v>48.1730472449634</v>
      </c>
      <c r="AC2792" s="54" t="b">
        <f aca="false">AND(E2792&gt;=01_因子設定!$L$5-0.000000001,E2792&lt;=01_因子設定!$M$5+0.000000001,F2792&gt;=01_因子設定!$L$6-0.000000001,F2792&lt;=01_因子設定!$M$6+0.000000001,G2792&gt;=01_因子設定!$L$7-0.000000001,G2792&lt;=01_因子設定!$M$7+0.000000001,H2792&gt;=01_因子設定!$L$8-0.000000001,H2792&lt;=01_因子設定!$M$8+0.000000001,IF(01_因子設定!$B$20="Box-Behnken",E2792^2+F2792^2+G2792^2+H2792^2&lt;=2+0.000000001,TRUE()))</f>
        <v>1</v>
      </c>
      <c r="AD2792" s="55" t="n">
        <f aca="false">IF(AC2792,IF(01_因子設定!$B$13="最大化",AA2792-01_因子設定!$B$14,IF(01_因子設定!$B$13="最小化",01_因子設定!$B$15-AB2792,MIN(AA2792-01_因子設定!$B$14,01_因子設定!$B$15-AB2792))),-1E+030)</f>
        <v>-1.19189775665942</v>
      </c>
      <c r="AE2792" s="55" t="n">
        <f aca="false">IF(AC2792,IF(01_因子設定!$B$13="最大化",X2792,IF(01_因子設定!$B$13="最小化",-X2792,-ABS(X2792-01_因子設定!$B$16))),-1E+030)</f>
        <v>46.740574744152</v>
      </c>
      <c r="AF2792" s="55" t="n">
        <f aca="false">AD2792+ROW()*0.000000001</f>
        <v>-1.19189496465942</v>
      </c>
      <c r="AG2792" s="55" t="n">
        <f aca="false">AE2792+ROW()*0.000000001</f>
        <v>46.740577536152</v>
      </c>
    </row>
    <row r="2793" customFormat="false" ht="15" hidden="false" customHeight="false" outlineLevel="0" collapsed="false">
      <c r="A2793" s="0" t="n">
        <v>3</v>
      </c>
      <c r="B2793" s="0" t="n">
        <v>7</v>
      </c>
      <c r="C2793" s="0" t="n">
        <v>3</v>
      </c>
      <c r="D2793" s="0" t="n">
        <v>7</v>
      </c>
      <c r="E2793" s="0" t="n">
        <f aca="false">-1+A2793*0.25</f>
        <v>-0.25</v>
      </c>
      <c r="F2793" s="0" t="n">
        <f aca="false">-1+B2793*0.25</f>
        <v>0.75</v>
      </c>
      <c r="G2793" s="0" t="n">
        <f aca="false">-1+C2793*0.25</f>
        <v>-0.25</v>
      </c>
      <c r="H2793" s="0" t="n">
        <f aca="false">-1+D2793*0.25</f>
        <v>0.75</v>
      </c>
      <c r="I2793" s="0" t="n">
        <f aca="false">1</f>
        <v>1</v>
      </c>
      <c r="J2793" s="0" t="n">
        <f aca="false">E2793</f>
        <v>-0.25</v>
      </c>
      <c r="K2793" s="0" t="n">
        <f aca="false">F2793</f>
        <v>0.75</v>
      </c>
      <c r="L2793" s="0" t="n">
        <f aca="false">G2793</f>
        <v>-0.25</v>
      </c>
      <c r="M2793" s="0" t="n">
        <f aca="false">H2793</f>
        <v>0.75</v>
      </c>
      <c r="N2793" s="0" t="n">
        <f aca="false">E2793*F2793</f>
        <v>-0.1875</v>
      </c>
      <c r="O2793" s="0" t="n">
        <f aca="false">E2793*G2793</f>
        <v>0.0625</v>
      </c>
      <c r="P2793" s="0" t="n">
        <f aca="false">E2793*H2793</f>
        <v>-0.1875</v>
      </c>
      <c r="Q2793" s="0" t="n">
        <f aca="false">F2793*G2793</f>
        <v>-0.1875</v>
      </c>
      <c r="R2793" s="0" t="n">
        <f aca="false">F2793*H2793</f>
        <v>0.5625</v>
      </c>
      <c r="S2793" s="0" t="n">
        <f aca="false">G2793*H2793</f>
        <v>-0.1875</v>
      </c>
      <c r="T2793" s="0" t="n">
        <f aca="false">E2793*E2793</f>
        <v>0.0625</v>
      </c>
      <c r="U2793" s="0" t="n">
        <f aca="false">F2793*F2793</f>
        <v>0.5625</v>
      </c>
      <c r="V2793" s="0" t="n">
        <f aca="false">G2793*G2793</f>
        <v>0.0625</v>
      </c>
      <c r="W2793" s="0" t="n">
        <f aca="false">H2793*H2793</f>
        <v>0.5625</v>
      </c>
      <c r="X2793" s="0" t="n">
        <f aca="false">SUMPRODUCT(I2793:W2793,_XtX!$B$96:$P$96)</f>
        <v>46.6568210891812</v>
      </c>
      <c r="Y2793" s="0" t="n">
        <f aca="false">SUMPRODUCT(MMULT(I2793:W2793,_XtX!$B$78:$P$92),I2793:W2793)</f>
        <v>0.271087468019006</v>
      </c>
      <c r="Z2793" s="0" t="n">
        <f aca="false">04_回帰ANOVA!$K$19*04_回帰ANOVA!$K$14*SQRT(1+Y2793)</f>
        <v>1.46955590155034</v>
      </c>
      <c r="AA2793" s="0" t="n">
        <f aca="false">X2793-Z2793</f>
        <v>45.1872651876309</v>
      </c>
      <c r="AB2793" s="0" t="n">
        <f aca="false">X2793+Z2793</f>
        <v>48.1263769907316</v>
      </c>
      <c r="AC2793" s="54" t="b">
        <f aca="false">AND(E2793&gt;=01_因子設定!$L$5-0.000000001,E2793&lt;=01_因子設定!$M$5+0.000000001,F2793&gt;=01_因子設定!$L$6-0.000000001,F2793&lt;=01_因子設定!$M$6+0.000000001,G2793&gt;=01_因子設定!$L$7-0.000000001,G2793&lt;=01_因子設定!$M$7+0.000000001,H2793&gt;=01_因子設定!$L$8-0.000000001,H2793&lt;=01_因子設定!$M$8+0.000000001,IF(01_因子設定!$B$20="Box-Behnken",E2793^2+F2793^2+G2793^2+H2793^2&lt;=2+0.000000001,TRUE()))</f>
        <v>1</v>
      </c>
      <c r="AD2793" s="55" t="n">
        <f aca="false">IF(AC2793,IF(01_因子設定!$B$13="最大化",AA2793-01_因子設定!$B$14,IF(01_因子設定!$B$13="最小化",01_因子設定!$B$15-AB2793,MIN(AA2793-01_因子設定!$B$14,01_因子設定!$B$15-AB2793))),-1E+030)</f>
        <v>-1.3127348123691</v>
      </c>
      <c r="AE2793" s="55" t="n">
        <f aca="false">IF(AC2793,IF(01_因子設定!$B$13="最大化",X2793,IF(01_因子設定!$B$13="最小化",-X2793,-ABS(X2793-01_因子設定!$B$16))),-1E+030)</f>
        <v>46.6568210891812</v>
      </c>
      <c r="AF2793" s="55" t="n">
        <f aca="false">AD2793+ROW()*0.000000001</f>
        <v>-1.3127320193691</v>
      </c>
      <c r="AG2793" s="55" t="n">
        <f aca="false">AE2793+ROW()*0.000000001</f>
        <v>46.6568238821812</v>
      </c>
    </row>
    <row r="2794" customFormat="false" ht="15" hidden="false" customHeight="false" outlineLevel="0" collapsed="false">
      <c r="A2794" s="0" t="n">
        <v>3</v>
      </c>
      <c r="B2794" s="0" t="n">
        <v>7</v>
      </c>
      <c r="C2794" s="0" t="n">
        <v>3</v>
      </c>
      <c r="D2794" s="0" t="n">
        <v>8</v>
      </c>
      <c r="E2794" s="0" t="n">
        <f aca="false">-1+A2794*0.25</f>
        <v>-0.25</v>
      </c>
      <c r="F2794" s="0" t="n">
        <f aca="false">-1+B2794*0.25</f>
        <v>0.75</v>
      </c>
      <c r="G2794" s="0" t="n">
        <f aca="false">-1+C2794*0.25</f>
        <v>-0.25</v>
      </c>
      <c r="H2794" s="0" t="n">
        <f aca="false">-1+D2794*0.25</f>
        <v>1</v>
      </c>
      <c r="I2794" s="0" t="n">
        <f aca="false">1</f>
        <v>1</v>
      </c>
      <c r="J2794" s="0" t="n">
        <f aca="false">E2794</f>
        <v>-0.25</v>
      </c>
      <c r="K2794" s="0" t="n">
        <f aca="false">F2794</f>
        <v>0.75</v>
      </c>
      <c r="L2794" s="0" t="n">
        <f aca="false">G2794</f>
        <v>-0.25</v>
      </c>
      <c r="M2794" s="0" t="n">
        <f aca="false">H2794</f>
        <v>1</v>
      </c>
      <c r="N2794" s="0" t="n">
        <f aca="false">E2794*F2794</f>
        <v>-0.1875</v>
      </c>
      <c r="O2794" s="0" t="n">
        <f aca="false">E2794*G2794</f>
        <v>0.0625</v>
      </c>
      <c r="P2794" s="0" t="n">
        <f aca="false">E2794*H2794</f>
        <v>-0.25</v>
      </c>
      <c r="Q2794" s="0" t="n">
        <f aca="false">F2794*G2794</f>
        <v>-0.1875</v>
      </c>
      <c r="R2794" s="0" t="n">
        <f aca="false">F2794*H2794</f>
        <v>0.75</v>
      </c>
      <c r="S2794" s="0" t="n">
        <f aca="false">G2794*H2794</f>
        <v>-0.25</v>
      </c>
      <c r="T2794" s="0" t="n">
        <f aca="false">E2794*E2794</f>
        <v>0.0625</v>
      </c>
      <c r="U2794" s="0" t="n">
        <f aca="false">F2794*F2794</f>
        <v>0.5625</v>
      </c>
      <c r="V2794" s="0" t="n">
        <f aca="false">G2794*G2794</f>
        <v>0.0625</v>
      </c>
      <c r="W2794" s="0" t="n">
        <f aca="false">H2794*H2794</f>
        <v>1</v>
      </c>
      <c r="X2794" s="0" t="n">
        <f aca="false">SUMPRODUCT(I2794:W2794,_XtX!$B$96:$P$96)</f>
        <v>46.5252604166666</v>
      </c>
      <c r="Y2794" s="0" t="n">
        <f aca="false">SUMPRODUCT(MMULT(I2794:W2794,_XtX!$B$78:$P$92),I2794:W2794)</f>
        <v>0.486409505208333</v>
      </c>
      <c r="Z2794" s="0" t="n">
        <f aca="false">04_回帰ANOVA!$K$19*04_回帰ANOVA!$K$14*SQRT(1+Y2794)</f>
        <v>1.58916001665498</v>
      </c>
      <c r="AA2794" s="0" t="n">
        <f aca="false">X2794-Z2794</f>
        <v>44.9361004000117</v>
      </c>
      <c r="AB2794" s="0" t="n">
        <f aca="false">X2794+Z2794</f>
        <v>48.1144204333216</v>
      </c>
      <c r="AC2794" s="54" t="b">
        <f aca="false">AND(E2794&gt;=01_因子設定!$L$5-0.000000001,E2794&lt;=01_因子設定!$M$5+0.000000001,F2794&gt;=01_因子設定!$L$6-0.000000001,F2794&lt;=01_因子設定!$M$6+0.000000001,G2794&gt;=01_因子設定!$L$7-0.000000001,G2794&lt;=01_因子設定!$M$7+0.000000001,H2794&gt;=01_因子設定!$L$8-0.000000001,H2794&lt;=01_因子設定!$M$8+0.000000001,IF(01_因子設定!$B$20="Box-Behnken",E2794^2+F2794^2+G2794^2+H2794^2&lt;=2+0.000000001,TRUE()))</f>
        <v>1</v>
      </c>
      <c r="AD2794" s="55" t="n">
        <f aca="false">IF(AC2794,IF(01_因子設定!$B$13="最大化",AA2794-01_因子設定!$B$14,IF(01_因子設定!$B$13="最小化",01_因子設定!$B$15-AB2794,MIN(AA2794-01_因子設定!$B$14,01_因子設定!$B$15-AB2794))),-1E+030)</f>
        <v>-1.56389959998834</v>
      </c>
      <c r="AE2794" s="55" t="n">
        <f aca="false">IF(AC2794,IF(01_因子設定!$B$13="最大化",X2794,IF(01_因子設定!$B$13="最小化",-X2794,-ABS(X2794-01_因子設定!$B$16))),-1E+030)</f>
        <v>46.5252604166666</v>
      </c>
      <c r="AF2794" s="55" t="n">
        <f aca="false">AD2794+ROW()*0.000000001</f>
        <v>-1.56389680598834</v>
      </c>
      <c r="AG2794" s="55" t="n">
        <f aca="false">AE2794+ROW()*0.000000001</f>
        <v>46.5252632106666</v>
      </c>
    </row>
    <row r="2795" customFormat="false" ht="15" hidden="false" customHeight="false" outlineLevel="0" collapsed="false">
      <c r="A2795" s="0" t="n">
        <v>3</v>
      </c>
      <c r="B2795" s="0" t="n">
        <v>7</v>
      </c>
      <c r="C2795" s="0" t="n">
        <v>4</v>
      </c>
      <c r="D2795" s="0" t="n">
        <v>0</v>
      </c>
      <c r="E2795" s="0" t="n">
        <f aca="false">-1+A2795*0.25</f>
        <v>-0.25</v>
      </c>
      <c r="F2795" s="0" t="n">
        <f aca="false">-1+B2795*0.25</f>
        <v>0.75</v>
      </c>
      <c r="G2795" s="0" t="n">
        <f aca="false">-1+C2795*0.25</f>
        <v>0</v>
      </c>
      <c r="H2795" s="0" t="n">
        <f aca="false">-1+D2795*0.25</f>
        <v>-1</v>
      </c>
      <c r="I2795" s="0" t="n">
        <f aca="false">1</f>
        <v>1</v>
      </c>
      <c r="J2795" s="0" t="n">
        <f aca="false">E2795</f>
        <v>-0.25</v>
      </c>
      <c r="K2795" s="0" t="n">
        <f aca="false">F2795</f>
        <v>0.75</v>
      </c>
      <c r="L2795" s="0" t="n">
        <f aca="false">G2795</f>
        <v>0</v>
      </c>
      <c r="M2795" s="0" t="n">
        <f aca="false">H2795</f>
        <v>-1</v>
      </c>
      <c r="N2795" s="0" t="n">
        <f aca="false">E2795*F2795</f>
        <v>-0.1875</v>
      </c>
      <c r="O2795" s="0" t="n">
        <f aca="false">E2795*G2795</f>
        <v>-0</v>
      </c>
      <c r="P2795" s="0" t="n">
        <f aca="false">E2795*H2795</f>
        <v>0.25</v>
      </c>
      <c r="Q2795" s="0" t="n">
        <f aca="false">F2795*G2795</f>
        <v>0</v>
      </c>
      <c r="R2795" s="0" t="n">
        <f aca="false">F2795*H2795</f>
        <v>-0.75</v>
      </c>
      <c r="S2795" s="0" t="n">
        <f aca="false">G2795*H2795</f>
        <v>-0</v>
      </c>
      <c r="T2795" s="0" t="n">
        <f aca="false">E2795*E2795</f>
        <v>0.0625</v>
      </c>
      <c r="U2795" s="0" t="n">
        <f aca="false">F2795*F2795</f>
        <v>0.5625</v>
      </c>
      <c r="V2795" s="0" t="n">
        <f aca="false">G2795*G2795</f>
        <v>0</v>
      </c>
      <c r="W2795" s="0" t="n">
        <f aca="false">H2795*H2795</f>
        <v>1</v>
      </c>
      <c r="X2795" s="0" t="n">
        <f aca="false">SUMPRODUCT(I2795:W2795,_XtX!$B$96:$P$96)</f>
        <v>46.5549798976608</v>
      </c>
      <c r="Y2795" s="0" t="n">
        <f aca="false">SUMPRODUCT(MMULT(I2795:W2795,_XtX!$B$78:$P$92),I2795:W2795)</f>
        <v>0.501534802174708</v>
      </c>
      <c r="Z2795" s="0" t="n">
        <f aca="false">04_回帰ANOVA!$K$19*04_回帰ANOVA!$K$14*SQRT(1+Y2795)</f>
        <v>1.59722498091333</v>
      </c>
      <c r="AA2795" s="0" t="n">
        <f aca="false">X2795-Z2795</f>
        <v>44.9577549167475</v>
      </c>
      <c r="AB2795" s="0" t="n">
        <f aca="false">X2795+Z2795</f>
        <v>48.1522048785741</v>
      </c>
      <c r="AC2795" s="54" t="b">
        <f aca="false">AND(E2795&gt;=01_因子設定!$L$5-0.000000001,E2795&lt;=01_因子設定!$M$5+0.000000001,F2795&gt;=01_因子設定!$L$6-0.000000001,F2795&lt;=01_因子設定!$M$6+0.000000001,G2795&gt;=01_因子設定!$L$7-0.000000001,G2795&lt;=01_因子設定!$M$7+0.000000001,H2795&gt;=01_因子設定!$L$8-0.000000001,H2795&lt;=01_因子設定!$M$8+0.000000001,IF(01_因子設定!$B$20="Box-Behnken",E2795^2+F2795^2+G2795^2+H2795^2&lt;=2+0.000000001,TRUE()))</f>
        <v>1</v>
      </c>
      <c r="AD2795" s="55" t="n">
        <f aca="false">IF(AC2795,IF(01_因子設定!$B$13="最大化",AA2795-01_因子設定!$B$14,IF(01_因子設定!$B$13="最小化",01_因子設定!$B$15-AB2795,MIN(AA2795-01_因子設定!$B$14,01_因子設定!$B$15-AB2795))),-1E+030)</f>
        <v>-1.54224508325254</v>
      </c>
      <c r="AE2795" s="55" t="n">
        <f aca="false">IF(AC2795,IF(01_因子設定!$B$13="最大化",X2795,IF(01_因子設定!$B$13="最小化",-X2795,-ABS(X2795-01_因子設定!$B$16))),-1E+030)</f>
        <v>46.5549798976608</v>
      </c>
      <c r="AF2795" s="55" t="n">
        <f aca="false">AD2795+ROW()*0.000000001</f>
        <v>-1.54224228825254</v>
      </c>
      <c r="AG2795" s="55" t="n">
        <f aca="false">AE2795+ROW()*0.000000001</f>
        <v>46.5549826926608</v>
      </c>
    </row>
    <row r="2796" customFormat="false" ht="15" hidden="false" customHeight="false" outlineLevel="0" collapsed="false">
      <c r="A2796" s="0" t="n">
        <v>3</v>
      </c>
      <c r="B2796" s="0" t="n">
        <v>7</v>
      </c>
      <c r="C2796" s="0" t="n">
        <v>4</v>
      </c>
      <c r="D2796" s="0" t="n">
        <v>1</v>
      </c>
      <c r="E2796" s="0" t="n">
        <f aca="false">-1+A2796*0.25</f>
        <v>-0.25</v>
      </c>
      <c r="F2796" s="0" t="n">
        <f aca="false">-1+B2796*0.25</f>
        <v>0.75</v>
      </c>
      <c r="G2796" s="0" t="n">
        <f aca="false">-1+C2796*0.25</f>
        <v>0</v>
      </c>
      <c r="H2796" s="0" t="n">
        <f aca="false">-1+D2796*0.25</f>
        <v>-0.75</v>
      </c>
      <c r="I2796" s="0" t="n">
        <f aca="false">1</f>
        <v>1</v>
      </c>
      <c r="J2796" s="0" t="n">
        <f aca="false">E2796</f>
        <v>-0.25</v>
      </c>
      <c r="K2796" s="0" t="n">
        <f aca="false">F2796</f>
        <v>0.75</v>
      </c>
      <c r="L2796" s="0" t="n">
        <f aca="false">G2796</f>
        <v>0</v>
      </c>
      <c r="M2796" s="0" t="n">
        <f aca="false">H2796</f>
        <v>-0.75</v>
      </c>
      <c r="N2796" s="0" t="n">
        <f aca="false">E2796*F2796</f>
        <v>-0.1875</v>
      </c>
      <c r="O2796" s="0" t="n">
        <f aca="false">E2796*G2796</f>
        <v>-0</v>
      </c>
      <c r="P2796" s="0" t="n">
        <f aca="false">E2796*H2796</f>
        <v>0.1875</v>
      </c>
      <c r="Q2796" s="0" t="n">
        <f aca="false">F2796*G2796</f>
        <v>0</v>
      </c>
      <c r="R2796" s="0" t="n">
        <f aca="false">F2796*H2796</f>
        <v>-0.5625</v>
      </c>
      <c r="S2796" s="0" t="n">
        <f aca="false">G2796*H2796</f>
        <v>-0</v>
      </c>
      <c r="T2796" s="0" t="n">
        <f aca="false">E2796*E2796</f>
        <v>0.0625</v>
      </c>
      <c r="U2796" s="0" t="n">
        <f aca="false">F2796*F2796</f>
        <v>0.5625</v>
      </c>
      <c r="V2796" s="0" t="n">
        <f aca="false">G2796*G2796</f>
        <v>0</v>
      </c>
      <c r="W2796" s="0" t="n">
        <f aca="false">H2796*H2796</f>
        <v>0.5625</v>
      </c>
      <c r="X2796" s="0" t="n">
        <f aca="false">SUMPRODUCT(I2796:W2796,_XtX!$B$96:$P$96)</f>
        <v>46.7760370979532</v>
      </c>
      <c r="Y2796" s="0" t="n">
        <f aca="false">SUMPRODUCT(MMULT(I2796:W2796,_XtX!$B$78:$P$92),I2796:W2796)</f>
        <v>0.281685455500731</v>
      </c>
      <c r="Z2796" s="0" t="n">
        <f aca="false">04_回帰ANOVA!$K$19*04_回帰ANOVA!$K$14*SQRT(1+Y2796)</f>
        <v>1.47566956658694</v>
      </c>
      <c r="AA2796" s="0" t="n">
        <f aca="false">X2796-Z2796</f>
        <v>45.3003675313662</v>
      </c>
      <c r="AB2796" s="0" t="n">
        <f aca="false">X2796+Z2796</f>
        <v>48.2517066645401</v>
      </c>
      <c r="AC2796" s="54" t="b">
        <f aca="false">AND(E2796&gt;=01_因子設定!$L$5-0.000000001,E2796&lt;=01_因子設定!$M$5+0.000000001,F2796&gt;=01_因子設定!$L$6-0.000000001,F2796&lt;=01_因子設定!$M$6+0.000000001,G2796&gt;=01_因子設定!$L$7-0.000000001,G2796&lt;=01_因子設定!$M$7+0.000000001,H2796&gt;=01_因子設定!$L$8-0.000000001,H2796&lt;=01_因子設定!$M$8+0.000000001,IF(01_因子設定!$B$20="Box-Behnken",E2796^2+F2796^2+G2796^2+H2796^2&lt;=2+0.000000001,TRUE()))</f>
        <v>1</v>
      </c>
      <c r="AD2796" s="55" t="n">
        <f aca="false">IF(AC2796,IF(01_因子設定!$B$13="最大化",AA2796-01_因子設定!$B$14,IF(01_因子設定!$B$13="最小化",01_因子設定!$B$15-AB2796,MIN(AA2796-01_因子設定!$B$14,01_因子設定!$B$15-AB2796))),-1E+030)</f>
        <v>-1.19963246863376</v>
      </c>
      <c r="AE2796" s="55" t="n">
        <f aca="false">IF(AC2796,IF(01_因子設定!$B$13="最大化",X2796,IF(01_因子設定!$B$13="最小化",-X2796,-ABS(X2796-01_因子設定!$B$16))),-1E+030)</f>
        <v>46.7760370979532</v>
      </c>
      <c r="AF2796" s="55" t="n">
        <f aca="false">AD2796+ROW()*0.000000001</f>
        <v>-1.19962967263376</v>
      </c>
      <c r="AG2796" s="55" t="n">
        <f aca="false">AE2796+ROW()*0.000000001</f>
        <v>46.7760398939532</v>
      </c>
    </row>
    <row r="2797" customFormat="false" ht="15" hidden="false" customHeight="false" outlineLevel="0" collapsed="false">
      <c r="A2797" s="0" t="n">
        <v>3</v>
      </c>
      <c r="B2797" s="0" t="n">
        <v>7</v>
      </c>
      <c r="C2797" s="0" t="n">
        <v>4</v>
      </c>
      <c r="D2797" s="0" t="n">
        <v>2</v>
      </c>
      <c r="E2797" s="0" t="n">
        <f aca="false">-1+A2797*0.25</f>
        <v>-0.25</v>
      </c>
      <c r="F2797" s="0" t="n">
        <f aca="false">-1+B2797*0.25</f>
        <v>0.75</v>
      </c>
      <c r="G2797" s="0" t="n">
        <f aca="false">-1+C2797*0.25</f>
        <v>0</v>
      </c>
      <c r="H2797" s="0" t="n">
        <f aca="false">-1+D2797*0.25</f>
        <v>-0.5</v>
      </c>
      <c r="I2797" s="0" t="n">
        <f aca="false">1</f>
        <v>1</v>
      </c>
      <c r="J2797" s="0" t="n">
        <f aca="false">E2797</f>
        <v>-0.25</v>
      </c>
      <c r="K2797" s="0" t="n">
        <f aca="false">F2797</f>
        <v>0.75</v>
      </c>
      <c r="L2797" s="0" t="n">
        <f aca="false">G2797</f>
        <v>0</v>
      </c>
      <c r="M2797" s="0" t="n">
        <f aca="false">H2797</f>
        <v>-0.5</v>
      </c>
      <c r="N2797" s="0" t="n">
        <f aca="false">E2797*F2797</f>
        <v>-0.1875</v>
      </c>
      <c r="O2797" s="0" t="n">
        <f aca="false">E2797*G2797</f>
        <v>-0</v>
      </c>
      <c r="P2797" s="0" t="n">
        <f aca="false">E2797*H2797</f>
        <v>0.125</v>
      </c>
      <c r="Q2797" s="0" t="n">
        <f aca="false">F2797*G2797</f>
        <v>0</v>
      </c>
      <c r="R2797" s="0" t="n">
        <f aca="false">F2797*H2797</f>
        <v>-0.375</v>
      </c>
      <c r="S2797" s="0" t="n">
        <f aca="false">G2797*H2797</f>
        <v>-0</v>
      </c>
      <c r="T2797" s="0" t="n">
        <f aca="false">E2797*E2797</f>
        <v>0.0625</v>
      </c>
      <c r="U2797" s="0" t="n">
        <f aca="false">F2797*F2797</f>
        <v>0.5625</v>
      </c>
      <c r="V2797" s="0" t="n">
        <f aca="false">G2797*G2797</f>
        <v>0</v>
      </c>
      <c r="W2797" s="0" t="n">
        <f aca="false">H2797*H2797</f>
        <v>0.25</v>
      </c>
      <c r="X2797" s="0" t="n">
        <f aca="false">SUMPRODUCT(I2797:W2797,_XtX!$B$96:$P$96)</f>
        <v>46.9492872807017</v>
      </c>
      <c r="Y2797" s="0" t="n">
        <f aca="false">SUMPRODUCT(MMULT(I2797:W2797,_XtX!$B$78:$P$92),I2797:W2797)</f>
        <v>0.215110734192252</v>
      </c>
      <c r="Z2797" s="0" t="n">
        <f aca="false">04_回帰ANOVA!$K$19*04_回帰ANOVA!$K$14*SQRT(1+Y2797)</f>
        <v>1.43683309086864</v>
      </c>
      <c r="AA2797" s="0" t="n">
        <f aca="false">X2797-Z2797</f>
        <v>45.5124541898331</v>
      </c>
      <c r="AB2797" s="0" t="n">
        <f aca="false">X2797+Z2797</f>
        <v>48.3861203715704</v>
      </c>
      <c r="AC2797" s="54" t="b">
        <f aca="false">AND(E2797&gt;=01_因子設定!$L$5-0.000000001,E2797&lt;=01_因子設定!$M$5+0.000000001,F2797&gt;=01_因子設定!$L$6-0.000000001,F2797&lt;=01_因子設定!$M$6+0.000000001,G2797&gt;=01_因子設定!$L$7-0.000000001,G2797&lt;=01_因子設定!$M$7+0.000000001,H2797&gt;=01_因子設定!$L$8-0.000000001,H2797&lt;=01_因子設定!$M$8+0.000000001,IF(01_因子設定!$B$20="Box-Behnken",E2797^2+F2797^2+G2797^2+H2797^2&lt;=2+0.000000001,TRUE()))</f>
        <v>1</v>
      </c>
      <c r="AD2797" s="55" t="n">
        <f aca="false">IF(AC2797,IF(01_因子設定!$B$13="最大化",AA2797-01_因子設定!$B$14,IF(01_因子設定!$B$13="最小化",01_因子設定!$B$15-AB2797,MIN(AA2797-01_因子設定!$B$14,01_因子設定!$B$15-AB2797))),-1E+030)</f>
        <v>-0.987545810166942</v>
      </c>
      <c r="AE2797" s="55" t="n">
        <f aca="false">IF(AC2797,IF(01_因子設定!$B$13="最大化",X2797,IF(01_因子設定!$B$13="最小化",-X2797,-ABS(X2797-01_因子設定!$B$16))),-1E+030)</f>
        <v>46.9492872807017</v>
      </c>
      <c r="AF2797" s="55" t="n">
        <f aca="false">AD2797+ROW()*0.000000001</f>
        <v>-0.987543013166942</v>
      </c>
      <c r="AG2797" s="55" t="n">
        <f aca="false">AE2797+ROW()*0.000000001</f>
        <v>46.9492900777017</v>
      </c>
    </row>
    <row r="2798" customFormat="false" ht="15" hidden="false" customHeight="false" outlineLevel="0" collapsed="false">
      <c r="A2798" s="0" t="n">
        <v>3</v>
      </c>
      <c r="B2798" s="0" t="n">
        <v>7</v>
      </c>
      <c r="C2798" s="0" t="n">
        <v>4</v>
      </c>
      <c r="D2798" s="0" t="n">
        <v>3</v>
      </c>
      <c r="E2798" s="0" t="n">
        <f aca="false">-1+A2798*0.25</f>
        <v>-0.25</v>
      </c>
      <c r="F2798" s="0" t="n">
        <f aca="false">-1+B2798*0.25</f>
        <v>0.75</v>
      </c>
      <c r="G2798" s="0" t="n">
        <f aca="false">-1+C2798*0.25</f>
        <v>0</v>
      </c>
      <c r="H2798" s="0" t="n">
        <f aca="false">-1+D2798*0.25</f>
        <v>-0.25</v>
      </c>
      <c r="I2798" s="0" t="n">
        <f aca="false">1</f>
        <v>1</v>
      </c>
      <c r="J2798" s="0" t="n">
        <f aca="false">E2798</f>
        <v>-0.25</v>
      </c>
      <c r="K2798" s="0" t="n">
        <f aca="false">F2798</f>
        <v>0.75</v>
      </c>
      <c r="L2798" s="0" t="n">
        <f aca="false">G2798</f>
        <v>0</v>
      </c>
      <c r="M2798" s="0" t="n">
        <f aca="false">H2798</f>
        <v>-0.25</v>
      </c>
      <c r="N2798" s="0" t="n">
        <f aca="false">E2798*F2798</f>
        <v>-0.1875</v>
      </c>
      <c r="O2798" s="0" t="n">
        <f aca="false">E2798*G2798</f>
        <v>-0</v>
      </c>
      <c r="P2798" s="0" t="n">
        <f aca="false">E2798*H2798</f>
        <v>0.0625</v>
      </c>
      <c r="Q2798" s="0" t="n">
        <f aca="false">F2798*G2798</f>
        <v>0</v>
      </c>
      <c r="R2798" s="0" t="n">
        <f aca="false">F2798*H2798</f>
        <v>-0.1875</v>
      </c>
      <c r="S2798" s="0" t="n">
        <f aca="false">G2798*H2798</f>
        <v>-0</v>
      </c>
      <c r="T2798" s="0" t="n">
        <f aca="false">E2798*E2798</f>
        <v>0.0625</v>
      </c>
      <c r="U2798" s="0" t="n">
        <f aca="false">F2798*F2798</f>
        <v>0.5625</v>
      </c>
      <c r="V2798" s="0" t="n">
        <f aca="false">G2798*G2798</f>
        <v>0</v>
      </c>
      <c r="W2798" s="0" t="n">
        <f aca="false">H2798*H2798</f>
        <v>0.0625</v>
      </c>
      <c r="X2798" s="0" t="n">
        <f aca="false">SUMPRODUCT(I2798:W2798,_XtX!$B$96:$P$96)</f>
        <v>47.0747304459064</v>
      </c>
      <c r="Y2798" s="0" t="n">
        <f aca="false">SUMPRODUCT(MMULT(I2798:W2798,_XtX!$B$78:$P$92),I2798:W2798)</f>
        <v>0.21135011193348</v>
      </c>
      <c r="Z2798" s="0" t="n">
        <f aca="false">04_回帰ANOVA!$K$19*04_回帰ANOVA!$K$14*SQRT(1+Y2798)</f>
        <v>1.43460795469709</v>
      </c>
      <c r="AA2798" s="0" t="n">
        <f aca="false">X2798-Z2798</f>
        <v>45.6401224912093</v>
      </c>
      <c r="AB2798" s="0" t="n">
        <f aca="false">X2798+Z2798</f>
        <v>48.5093384006035</v>
      </c>
      <c r="AC2798" s="54" t="b">
        <f aca="false">AND(E2798&gt;=01_因子設定!$L$5-0.000000001,E2798&lt;=01_因子設定!$M$5+0.000000001,F2798&gt;=01_因子設定!$L$6-0.000000001,F2798&lt;=01_因子設定!$M$6+0.000000001,G2798&gt;=01_因子設定!$L$7-0.000000001,G2798&lt;=01_因子設定!$M$7+0.000000001,H2798&gt;=01_因子設定!$L$8-0.000000001,H2798&lt;=01_因子設定!$M$8+0.000000001,IF(01_因子設定!$B$20="Box-Behnken",E2798^2+F2798^2+G2798^2+H2798^2&lt;=2+0.000000001,TRUE()))</f>
        <v>1</v>
      </c>
      <c r="AD2798" s="55" t="n">
        <f aca="false">IF(AC2798,IF(01_因子設定!$B$13="最大化",AA2798-01_因子設定!$B$14,IF(01_因子設定!$B$13="最小化",01_因子設定!$B$15-AB2798,MIN(AA2798-01_因子設定!$B$14,01_因子設定!$B$15-AB2798))),-1E+030)</f>
        <v>-0.85987750879071</v>
      </c>
      <c r="AE2798" s="55" t="n">
        <f aca="false">IF(AC2798,IF(01_因子設定!$B$13="最大化",X2798,IF(01_因子設定!$B$13="最小化",-X2798,-ABS(X2798-01_因子設定!$B$16))),-1E+030)</f>
        <v>47.0747304459064</v>
      </c>
      <c r="AF2798" s="55" t="n">
        <f aca="false">AD2798+ROW()*0.000000001</f>
        <v>-0.85987471079071</v>
      </c>
      <c r="AG2798" s="55" t="n">
        <f aca="false">AE2798+ROW()*0.000000001</f>
        <v>47.0747332439064</v>
      </c>
    </row>
    <row r="2799" customFormat="false" ht="15" hidden="false" customHeight="false" outlineLevel="0" collapsed="false">
      <c r="A2799" s="0" t="n">
        <v>3</v>
      </c>
      <c r="B2799" s="0" t="n">
        <v>7</v>
      </c>
      <c r="C2799" s="0" t="n">
        <v>4</v>
      </c>
      <c r="D2799" s="0" t="n">
        <v>4</v>
      </c>
      <c r="E2799" s="0" t="n">
        <f aca="false">-1+A2799*0.25</f>
        <v>-0.25</v>
      </c>
      <c r="F2799" s="0" t="n">
        <f aca="false">-1+B2799*0.25</f>
        <v>0.75</v>
      </c>
      <c r="G2799" s="0" t="n">
        <f aca="false">-1+C2799*0.25</f>
        <v>0</v>
      </c>
      <c r="H2799" s="0" t="n">
        <f aca="false">-1+D2799*0.25</f>
        <v>0</v>
      </c>
      <c r="I2799" s="0" t="n">
        <f aca="false">1</f>
        <v>1</v>
      </c>
      <c r="J2799" s="0" t="n">
        <f aca="false">E2799</f>
        <v>-0.25</v>
      </c>
      <c r="K2799" s="0" t="n">
        <f aca="false">F2799</f>
        <v>0.75</v>
      </c>
      <c r="L2799" s="0" t="n">
        <f aca="false">G2799</f>
        <v>0</v>
      </c>
      <c r="M2799" s="0" t="n">
        <f aca="false">H2799</f>
        <v>0</v>
      </c>
      <c r="N2799" s="0" t="n">
        <f aca="false">E2799*F2799</f>
        <v>-0.1875</v>
      </c>
      <c r="O2799" s="0" t="n">
        <f aca="false">E2799*G2799</f>
        <v>-0</v>
      </c>
      <c r="P2799" s="0" t="n">
        <f aca="false">E2799*H2799</f>
        <v>-0</v>
      </c>
      <c r="Q2799" s="0" t="n">
        <f aca="false">F2799*G2799</f>
        <v>0</v>
      </c>
      <c r="R2799" s="0" t="n">
        <f aca="false">F2799*H2799</f>
        <v>0</v>
      </c>
      <c r="S2799" s="0" t="n">
        <f aca="false">G2799*H2799</f>
        <v>0</v>
      </c>
      <c r="T2799" s="0" t="n">
        <f aca="false">E2799*E2799</f>
        <v>0.0625</v>
      </c>
      <c r="U2799" s="0" t="n">
        <f aca="false">F2799*F2799</f>
        <v>0.5625</v>
      </c>
      <c r="V2799" s="0" t="n">
        <f aca="false">G2799*G2799</f>
        <v>0</v>
      </c>
      <c r="W2799" s="0" t="n">
        <f aca="false">H2799*H2799</f>
        <v>0</v>
      </c>
      <c r="X2799" s="0" t="n">
        <f aca="false">SUMPRODUCT(I2799:W2799,_XtX!$B$96:$P$96)</f>
        <v>47.1523665935672</v>
      </c>
      <c r="Y2799" s="0" t="n">
        <f aca="false">SUMPRODUCT(MMULT(I2799:W2799,_XtX!$B$78:$P$92),I2799:W2799)</f>
        <v>0.216127272934942</v>
      </c>
      <c r="Z2799" s="0" t="n">
        <f aca="false">04_回帰ANOVA!$K$19*04_回帰ANOVA!$K$14*SQRT(1+Y2799)</f>
        <v>1.43743397896608</v>
      </c>
      <c r="AA2799" s="0" t="n">
        <f aca="false">X2799-Z2799</f>
        <v>45.7149326146011</v>
      </c>
      <c r="AB2799" s="0" t="n">
        <f aca="false">X2799+Z2799</f>
        <v>48.5898005725333</v>
      </c>
      <c r="AC2799" s="54" t="b">
        <f aca="false">AND(E2799&gt;=01_因子設定!$L$5-0.000000001,E2799&lt;=01_因子設定!$M$5+0.000000001,F2799&gt;=01_因子設定!$L$6-0.000000001,F2799&lt;=01_因子設定!$M$6+0.000000001,G2799&gt;=01_因子設定!$L$7-0.000000001,G2799&lt;=01_因子設定!$M$7+0.000000001,H2799&gt;=01_因子設定!$L$8-0.000000001,H2799&lt;=01_因子設定!$M$8+0.000000001,IF(01_因子設定!$B$20="Box-Behnken",E2799^2+F2799^2+G2799^2+H2799^2&lt;=2+0.000000001,TRUE()))</f>
        <v>1</v>
      </c>
      <c r="AD2799" s="55" t="n">
        <f aca="false">IF(AC2799,IF(01_因子設定!$B$13="最大化",AA2799-01_因子設定!$B$14,IF(01_因子設定!$B$13="最小化",01_因子設定!$B$15-AB2799,MIN(AA2799-01_因子設定!$B$14,01_因子設定!$B$15-AB2799))),-1E+030)</f>
        <v>-0.785067385398889</v>
      </c>
      <c r="AE2799" s="55" t="n">
        <f aca="false">IF(AC2799,IF(01_因子設定!$B$13="最大化",X2799,IF(01_因子設定!$B$13="最小化",-X2799,-ABS(X2799-01_因子設定!$B$16))),-1E+030)</f>
        <v>47.1523665935672</v>
      </c>
      <c r="AF2799" s="55" t="n">
        <f aca="false">AD2799+ROW()*0.000000001</f>
        <v>-0.785064586398889</v>
      </c>
      <c r="AG2799" s="55" t="n">
        <f aca="false">AE2799+ROW()*0.000000001</f>
        <v>47.1523693925672</v>
      </c>
    </row>
    <row r="2800" customFormat="false" ht="15" hidden="false" customHeight="false" outlineLevel="0" collapsed="false">
      <c r="A2800" s="0" t="n">
        <v>3</v>
      </c>
      <c r="B2800" s="0" t="n">
        <v>7</v>
      </c>
      <c r="C2800" s="0" t="n">
        <v>4</v>
      </c>
      <c r="D2800" s="0" t="n">
        <v>5</v>
      </c>
      <c r="E2800" s="0" t="n">
        <f aca="false">-1+A2800*0.25</f>
        <v>-0.25</v>
      </c>
      <c r="F2800" s="0" t="n">
        <f aca="false">-1+B2800*0.25</f>
        <v>0.75</v>
      </c>
      <c r="G2800" s="0" t="n">
        <f aca="false">-1+C2800*0.25</f>
        <v>0</v>
      </c>
      <c r="H2800" s="0" t="n">
        <f aca="false">-1+D2800*0.25</f>
        <v>0.25</v>
      </c>
      <c r="I2800" s="0" t="n">
        <f aca="false">1</f>
        <v>1</v>
      </c>
      <c r="J2800" s="0" t="n">
        <f aca="false">E2800</f>
        <v>-0.25</v>
      </c>
      <c r="K2800" s="0" t="n">
        <f aca="false">F2800</f>
        <v>0.75</v>
      </c>
      <c r="L2800" s="0" t="n">
        <f aca="false">G2800</f>
        <v>0</v>
      </c>
      <c r="M2800" s="0" t="n">
        <f aca="false">H2800</f>
        <v>0.25</v>
      </c>
      <c r="N2800" s="0" t="n">
        <f aca="false">E2800*F2800</f>
        <v>-0.1875</v>
      </c>
      <c r="O2800" s="0" t="n">
        <f aca="false">E2800*G2800</f>
        <v>-0</v>
      </c>
      <c r="P2800" s="0" t="n">
        <f aca="false">E2800*H2800</f>
        <v>-0.0625</v>
      </c>
      <c r="Q2800" s="0" t="n">
        <f aca="false">F2800*G2800</f>
        <v>0</v>
      </c>
      <c r="R2800" s="0" t="n">
        <f aca="false">F2800*H2800</f>
        <v>0.1875</v>
      </c>
      <c r="S2800" s="0" t="n">
        <f aca="false">G2800*H2800</f>
        <v>0</v>
      </c>
      <c r="T2800" s="0" t="n">
        <f aca="false">E2800*E2800</f>
        <v>0.0625</v>
      </c>
      <c r="U2800" s="0" t="n">
        <f aca="false">F2800*F2800</f>
        <v>0.5625</v>
      </c>
      <c r="V2800" s="0" t="n">
        <f aca="false">G2800*G2800</f>
        <v>0</v>
      </c>
      <c r="W2800" s="0" t="n">
        <f aca="false">H2800*H2800</f>
        <v>0.0625</v>
      </c>
      <c r="X2800" s="0" t="n">
        <f aca="false">SUMPRODUCT(I2800:W2800,_XtX!$B$96:$P$96)</f>
        <v>47.1821957236842</v>
      </c>
      <c r="Y2800" s="0" t="n">
        <f aca="false">SUMPRODUCT(MMULT(I2800:W2800,_XtX!$B$78:$P$92),I2800:W2800)</f>
        <v>0.21135011193348</v>
      </c>
      <c r="Z2800" s="0" t="n">
        <f aca="false">04_回帰ANOVA!$K$19*04_回帰ANOVA!$K$14*SQRT(1+Y2800)</f>
        <v>1.43460795469709</v>
      </c>
      <c r="AA2800" s="0" t="n">
        <f aca="false">X2800-Z2800</f>
        <v>45.7475877689871</v>
      </c>
      <c r="AB2800" s="0" t="n">
        <f aca="false">X2800+Z2800</f>
        <v>48.6168036783812</v>
      </c>
      <c r="AC2800" s="54" t="b">
        <f aca="false">AND(E2800&gt;=01_因子設定!$L$5-0.000000001,E2800&lt;=01_因子設定!$M$5+0.000000001,F2800&gt;=01_因子設定!$L$6-0.000000001,F2800&lt;=01_因子設定!$M$6+0.000000001,G2800&gt;=01_因子設定!$L$7-0.000000001,G2800&lt;=01_因子設定!$M$7+0.000000001,H2800&gt;=01_因子設定!$L$8-0.000000001,H2800&lt;=01_因子設定!$M$8+0.000000001,IF(01_因子設定!$B$20="Box-Behnken",E2800^2+F2800^2+G2800^2+H2800^2&lt;=2+0.000000001,TRUE()))</f>
        <v>1</v>
      </c>
      <c r="AD2800" s="55" t="n">
        <f aca="false">IF(AC2800,IF(01_因子設定!$B$13="最大化",AA2800-01_因子設定!$B$14,IF(01_因子設定!$B$13="最小化",01_因子設定!$B$15-AB2800,MIN(AA2800-01_因子設定!$B$14,01_因子設定!$B$15-AB2800))),-1E+030)</f>
        <v>-0.752412231012933</v>
      </c>
      <c r="AE2800" s="55" t="n">
        <f aca="false">IF(AC2800,IF(01_因子設定!$B$13="最大化",X2800,IF(01_因子設定!$B$13="最小化",-X2800,-ABS(X2800-01_因子設定!$B$16))),-1E+030)</f>
        <v>47.1821957236842</v>
      </c>
      <c r="AF2800" s="55" t="n">
        <f aca="false">AD2800+ROW()*0.000000001</f>
        <v>-0.752409431012933</v>
      </c>
      <c r="AG2800" s="55" t="n">
        <f aca="false">AE2800+ROW()*0.000000001</f>
        <v>47.1821985236842</v>
      </c>
    </row>
    <row r="2801" customFormat="false" ht="15" hidden="false" customHeight="false" outlineLevel="0" collapsed="false">
      <c r="A2801" s="0" t="n">
        <v>3</v>
      </c>
      <c r="B2801" s="0" t="n">
        <v>7</v>
      </c>
      <c r="C2801" s="0" t="n">
        <v>4</v>
      </c>
      <c r="D2801" s="0" t="n">
        <v>6</v>
      </c>
      <c r="E2801" s="0" t="n">
        <f aca="false">-1+A2801*0.25</f>
        <v>-0.25</v>
      </c>
      <c r="F2801" s="0" t="n">
        <f aca="false">-1+B2801*0.25</f>
        <v>0.75</v>
      </c>
      <c r="G2801" s="0" t="n">
        <f aca="false">-1+C2801*0.25</f>
        <v>0</v>
      </c>
      <c r="H2801" s="0" t="n">
        <f aca="false">-1+D2801*0.25</f>
        <v>0.5</v>
      </c>
      <c r="I2801" s="0" t="n">
        <f aca="false">1</f>
        <v>1</v>
      </c>
      <c r="J2801" s="0" t="n">
        <f aca="false">E2801</f>
        <v>-0.25</v>
      </c>
      <c r="K2801" s="0" t="n">
        <f aca="false">F2801</f>
        <v>0.75</v>
      </c>
      <c r="L2801" s="0" t="n">
        <f aca="false">G2801</f>
        <v>0</v>
      </c>
      <c r="M2801" s="0" t="n">
        <f aca="false">H2801</f>
        <v>0.5</v>
      </c>
      <c r="N2801" s="0" t="n">
        <f aca="false">E2801*F2801</f>
        <v>-0.1875</v>
      </c>
      <c r="O2801" s="0" t="n">
        <f aca="false">E2801*G2801</f>
        <v>-0</v>
      </c>
      <c r="P2801" s="0" t="n">
        <f aca="false">E2801*H2801</f>
        <v>-0.125</v>
      </c>
      <c r="Q2801" s="0" t="n">
        <f aca="false">F2801*G2801</f>
        <v>0</v>
      </c>
      <c r="R2801" s="0" t="n">
        <f aca="false">F2801*H2801</f>
        <v>0.375</v>
      </c>
      <c r="S2801" s="0" t="n">
        <f aca="false">G2801*H2801</f>
        <v>0</v>
      </c>
      <c r="T2801" s="0" t="n">
        <f aca="false">E2801*E2801</f>
        <v>0.0625</v>
      </c>
      <c r="U2801" s="0" t="n">
        <f aca="false">F2801*F2801</f>
        <v>0.5625</v>
      </c>
      <c r="V2801" s="0" t="n">
        <f aca="false">G2801*G2801</f>
        <v>0</v>
      </c>
      <c r="W2801" s="0" t="n">
        <f aca="false">H2801*H2801</f>
        <v>0.25</v>
      </c>
      <c r="X2801" s="0" t="n">
        <f aca="false">SUMPRODUCT(I2801:W2801,_XtX!$B$96:$P$96)</f>
        <v>47.1642178362573</v>
      </c>
      <c r="Y2801" s="0" t="n">
        <f aca="false">SUMPRODUCT(MMULT(I2801:W2801,_XtX!$B$78:$P$92),I2801:W2801)</f>
        <v>0.215110734192252</v>
      </c>
      <c r="Z2801" s="0" t="n">
        <f aca="false">04_回帰ANOVA!$K$19*04_回帰ANOVA!$K$14*SQRT(1+Y2801)</f>
        <v>1.43683309086864</v>
      </c>
      <c r="AA2801" s="0" t="n">
        <f aca="false">X2801-Z2801</f>
        <v>45.7273847453886</v>
      </c>
      <c r="AB2801" s="0" t="n">
        <f aca="false">X2801+Z2801</f>
        <v>48.6010509271259</v>
      </c>
      <c r="AC2801" s="54" t="b">
        <f aca="false">AND(E2801&gt;=01_因子設定!$L$5-0.000000001,E2801&lt;=01_因子設定!$M$5+0.000000001,F2801&gt;=01_因子設定!$L$6-0.000000001,F2801&lt;=01_因子設定!$M$6+0.000000001,G2801&gt;=01_因子設定!$L$7-0.000000001,G2801&lt;=01_因子設定!$M$7+0.000000001,H2801&gt;=01_因子設定!$L$8-0.000000001,H2801&lt;=01_因子設定!$M$8+0.000000001,IF(01_因子設定!$B$20="Box-Behnken",E2801^2+F2801^2+G2801^2+H2801^2&lt;=2+0.000000001,TRUE()))</f>
        <v>1</v>
      </c>
      <c r="AD2801" s="55" t="n">
        <f aca="false">IF(AC2801,IF(01_因子設定!$B$13="最大化",AA2801-01_因子設定!$B$14,IF(01_因子設定!$B$13="最小化",01_因子設定!$B$15-AB2801,MIN(AA2801-01_因子設定!$B$14,01_因子設定!$B$15-AB2801))),-1E+030)</f>
        <v>-0.772615254611388</v>
      </c>
      <c r="AE2801" s="55" t="n">
        <f aca="false">IF(AC2801,IF(01_因子設定!$B$13="最大化",X2801,IF(01_因子設定!$B$13="最小化",-X2801,-ABS(X2801-01_因子設定!$B$16))),-1E+030)</f>
        <v>47.1642178362573</v>
      </c>
      <c r="AF2801" s="55" t="n">
        <f aca="false">AD2801+ROW()*0.000000001</f>
        <v>-0.772612453611388</v>
      </c>
      <c r="AG2801" s="55" t="n">
        <f aca="false">AE2801+ROW()*0.000000001</f>
        <v>47.1642206372573</v>
      </c>
    </row>
    <row r="2802" customFormat="false" ht="15" hidden="false" customHeight="false" outlineLevel="0" collapsed="false">
      <c r="A2802" s="0" t="n">
        <v>3</v>
      </c>
      <c r="B2802" s="0" t="n">
        <v>7</v>
      </c>
      <c r="C2802" s="0" t="n">
        <v>4</v>
      </c>
      <c r="D2802" s="0" t="n">
        <v>7</v>
      </c>
      <c r="E2802" s="0" t="n">
        <f aca="false">-1+A2802*0.25</f>
        <v>-0.25</v>
      </c>
      <c r="F2802" s="0" t="n">
        <f aca="false">-1+B2802*0.25</f>
        <v>0.75</v>
      </c>
      <c r="G2802" s="0" t="n">
        <f aca="false">-1+C2802*0.25</f>
        <v>0</v>
      </c>
      <c r="H2802" s="0" t="n">
        <f aca="false">-1+D2802*0.25</f>
        <v>0.75</v>
      </c>
      <c r="I2802" s="0" t="n">
        <f aca="false">1</f>
        <v>1</v>
      </c>
      <c r="J2802" s="0" t="n">
        <f aca="false">E2802</f>
        <v>-0.25</v>
      </c>
      <c r="K2802" s="0" t="n">
        <f aca="false">F2802</f>
        <v>0.75</v>
      </c>
      <c r="L2802" s="0" t="n">
        <f aca="false">G2802</f>
        <v>0</v>
      </c>
      <c r="M2802" s="0" t="n">
        <f aca="false">H2802</f>
        <v>0.75</v>
      </c>
      <c r="N2802" s="0" t="n">
        <f aca="false">E2802*F2802</f>
        <v>-0.1875</v>
      </c>
      <c r="O2802" s="0" t="n">
        <f aca="false">E2802*G2802</f>
        <v>-0</v>
      </c>
      <c r="P2802" s="0" t="n">
        <f aca="false">E2802*H2802</f>
        <v>-0.1875</v>
      </c>
      <c r="Q2802" s="0" t="n">
        <f aca="false">F2802*G2802</f>
        <v>0</v>
      </c>
      <c r="R2802" s="0" t="n">
        <f aca="false">F2802*H2802</f>
        <v>0.5625</v>
      </c>
      <c r="S2802" s="0" t="n">
        <f aca="false">G2802*H2802</f>
        <v>0</v>
      </c>
      <c r="T2802" s="0" t="n">
        <f aca="false">E2802*E2802</f>
        <v>0.0625</v>
      </c>
      <c r="U2802" s="0" t="n">
        <f aca="false">F2802*F2802</f>
        <v>0.5625</v>
      </c>
      <c r="V2802" s="0" t="n">
        <f aca="false">G2802*G2802</f>
        <v>0</v>
      </c>
      <c r="W2802" s="0" t="n">
        <f aca="false">H2802*H2802</f>
        <v>0.5625</v>
      </c>
      <c r="X2802" s="0" t="n">
        <f aca="false">SUMPRODUCT(I2802:W2802,_XtX!$B$96:$P$96)</f>
        <v>47.0984329312865</v>
      </c>
      <c r="Y2802" s="0" t="n">
        <f aca="false">SUMPRODUCT(MMULT(I2802:W2802,_XtX!$B$78:$P$92),I2802:W2802)</f>
        <v>0.281685455500731</v>
      </c>
      <c r="Z2802" s="0" t="n">
        <f aca="false">04_回帰ANOVA!$K$19*04_回帰ANOVA!$K$14*SQRT(1+Y2802)</f>
        <v>1.47566956658694</v>
      </c>
      <c r="AA2802" s="0" t="n">
        <f aca="false">X2802-Z2802</f>
        <v>45.6227633646996</v>
      </c>
      <c r="AB2802" s="0" t="n">
        <f aca="false">X2802+Z2802</f>
        <v>48.5741024978735</v>
      </c>
      <c r="AC2802" s="54" t="b">
        <f aca="false">AND(E2802&gt;=01_因子設定!$L$5-0.000000001,E2802&lt;=01_因子設定!$M$5+0.000000001,F2802&gt;=01_因子設定!$L$6-0.000000001,F2802&lt;=01_因子設定!$M$6+0.000000001,G2802&gt;=01_因子設定!$L$7-0.000000001,G2802&lt;=01_因子設定!$M$7+0.000000001,H2802&gt;=01_因子設定!$L$8-0.000000001,H2802&lt;=01_因子設定!$M$8+0.000000001,IF(01_因子設定!$B$20="Box-Behnken",E2802^2+F2802^2+G2802^2+H2802^2&lt;=2+0.000000001,TRUE()))</f>
        <v>1</v>
      </c>
      <c r="AD2802" s="55" t="n">
        <f aca="false">IF(AC2802,IF(01_因子設定!$B$13="最大化",AA2802-01_因子設定!$B$14,IF(01_因子設定!$B$13="最小化",01_因子設定!$B$15-AB2802,MIN(AA2802-01_因子設定!$B$14,01_因子設定!$B$15-AB2802))),-1E+030)</f>
        <v>-0.877236635300427</v>
      </c>
      <c r="AE2802" s="55" t="n">
        <f aca="false">IF(AC2802,IF(01_因子設定!$B$13="最大化",X2802,IF(01_因子設定!$B$13="最小化",-X2802,-ABS(X2802-01_因子設定!$B$16))),-1E+030)</f>
        <v>47.0984329312865</v>
      </c>
      <c r="AF2802" s="55" t="n">
        <f aca="false">AD2802+ROW()*0.000000001</f>
        <v>-0.877233833300427</v>
      </c>
      <c r="AG2802" s="55" t="n">
        <f aca="false">AE2802+ROW()*0.000000001</f>
        <v>47.0984357332865</v>
      </c>
    </row>
    <row r="2803" customFormat="false" ht="15" hidden="false" customHeight="false" outlineLevel="0" collapsed="false">
      <c r="A2803" s="0" t="n">
        <v>3</v>
      </c>
      <c r="B2803" s="0" t="n">
        <v>7</v>
      </c>
      <c r="C2803" s="0" t="n">
        <v>4</v>
      </c>
      <c r="D2803" s="0" t="n">
        <v>8</v>
      </c>
      <c r="E2803" s="0" t="n">
        <f aca="false">-1+A2803*0.25</f>
        <v>-0.25</v>
      </c>
      <c r="F2803" s="0" t="n">
        <f aca="false">-1+B2803*0.25</f>
        <v>0.75</v>
      </c>
      <c r="G2803" s="0" t="n">
        <f aca="false">-1+C2803*0.25</f>
        <v>0</v>
      </c>
      <c r="H2803" s="0" t="n">
        <f aca="false">-1+D2803*0.25</f>
        <v>1</v>
      </c>
      <c r="I2803" s="0" t="n">
        <f aca="false">1</f>
        <v>1</v>
      </c>
      <c r="J2803" s="0" t="n">
        <f aca="false">E2803</f>
        <v>-0.25</v>
      </c>
      <c r="K2803" s="0" t="n">
        <f aca="false">F2803</f>
        <v>0.75</v>
      </c>
      <c r="L2803" s="0" t="n">
        <f aca="false">G2803</f>
        <v>0</v>
      </c>
      <c r="M2803" s="0" t="n">
        <f aca="false">H2803</f>
        <v>1</v>
      </c>
      <c r="N2803" s="0" t="n">
        <f aca="false">E2803*F2803</f>
        <v>-0.1875</v>
      </c>
      <c r="O2803" s="0" t="n">
        <f aca="false">E2803*G2803</f>
        <v>-0</v>
      </c>
      <c r="P2803" s="0" t="n">
        <f aca="false">E2803*H2803</f>
        <v>-0.25</v>
      </c>
      <c r="Q2803" s="0" t="n">
        <f aca="false">F2803*G2803</f>
        <v>0</v>
      </c>
      <c r="R2803" s="0" t="n">
        <f aca="false">F2803*H2803</f>
        <v>0.75</v>
      </c>
      <c r="S2803" s="0" t="n">
        <f aca="false">G2803*H2803</f>
        <v>0</v>
      </c>
      <c r="T2803" s="0" t="n">
        <f aca="false">E2803*E2803</f>
        <v>0.0625</v>
      </c>
      <c r="U2803" s="0" t="n">
        <f aca="false">F2803*F2803</f>
        <v>0.5625</v>
      </c>
      <c r="V2803" s="0" t="n">
        <f aca="false">G2803*G2803</f>
        <v>0</v>
      </c>
      <c r="W2803" s="0" t="n">
        <f aca="false">H2803*H2803</f>
        <v>1</v>
      </c>
      <c r="X2803" s="0" t="n">
        <f aca="false">SUMPRODUCT(I2803:W2803,_XtX!$B$96:$P$96)</f>
        <v>46.9848410087719</v>
      </c>
      <c r="Y2803" s="0" t="n">
        <f aca="false">SUMPRODUCT(MMULT(I2803:W2803,_XtX!$B$78:$P$92),I2803:W2803)</f>
        <v>0.501534802174708</v>
      </c>
      <c r="Z2803" s="0" t="n">
        <f aca="false">04_回帰ANOVA!$K$19*04_回帰ANOVA!$K$14*SQRT(1+Y2803)</f>
        <v>1.59722498091333</v>
      </c>
      <c r="AA2803" s="0" t="n">
        <f aca="false">X2803-Z2803</f>
        <v>45.3876160278586</v>
      </c>
      <c r="AB2803" s="0" t="n">
        <f aca="false">X2803+Z2803</f>
        <v>48.5820659896852</v>
      </c>
      <c r="AC2803" s="54" t="b">
        <f aca="false">AND(E2803&gt;=01_因子設定!$L$5-0.000000001,E2803&lt;=01_因子設定!$M$5+0.000000001,F2803&gt;=01_因子設定!$L$6-0.000000001,F2803&lt;=01_因子設定!$M$6+0.000000001,G2803&gt;=01_因子設定!$L$7-0.000000001,G2803&lt;=01_因子設定!$M$7+0.000000001,H2803&gt;=01_因子設定!$L$8-0.000000001,H2803&lt;=01_因子設定!$M$8+0.000000001,IF(01_因子設定!$B$20="Box-Behnken",E2803^2+F2803^2+G2803^2+H2803^2&lt;=2+0.000000001,TRUE()))</f>
        <v>1</v>
      </c>
      <c r="AD2803" s="55" t="n">
        <f aca="false">IF(AC2803,IF(01_因子設定!$B$13="最大化",AA2803-01_因子設定!$B$14,IF(01_因子設定!$B$13="最小化",01_因子設定!$B$15-AB2803,MIN(AA2803-01_因子設定!$B$14,01_因子設定!$B$15-AB2803))),-1E+030)</f>
        <v>-1.11238397214143</v>
      </c>
      <c r="AE2803" s="55" t="n">
        <f aca="false">IF(AC2803,IF(01_因子設定!$B$13="最大化",X2803,IF(01_因子設定!$B$13="最小化",-X2803,-ABS(X2803-01_因子設定!$B$16))),-1E+030)</f>
        <v>46.9848410087719</v>
      </c>
      <c r="AF2803" s="55" t="n">
        <f aca="false">AD2803+ROW()*0.000000001</f>
        <v>-1.11238116914143</v>
      </c>
      <c r="AG2803" s="55" t="n">
        <f aca="false">AE2803+ROW()*0.000000001</f>
        <v>46.9848438117719</v>
      </c>
    </row>
    <row r="2804" customFormat="false" ht="15" hidden="false" customHeight="false" outlineLevel="0" collapsed="false">
      <c r="A2804" s="0" t="n">
        <v>3</v>
      </c>
      <c r="B2804" s="0" t="n">
        <v>7</v>
      </c>
      <c r="C2804" s="0" t="n">
        <v>5</v>
      </c>
      <c r="D2804" s="0" t="n">
        <v>0</v>
      </c>
      <c r="E2804" s="0" t="n">
        <f aca="false">-1+A2804*0.25</f>
        <v>-0.25</v>
      </c>
      <c r="F2804" s="0" t="n">
        <f aca="false">-1+B2804*0.25</f>
        <v>0.75</v>
      </c>
      <c r="G2804" s="0" t="n">
        <f aca="false">-1+C2804*0.25</f>
        <v>0.25</v>
      </c>
      <c r="H2804" s="0" t="n">
        <f aca="false">-1+D2804*0.25</f>
        <v>-1</v>
      </c>
      <c r="I2804" s="0" t="n">
        <f aca="false">1</f>
        <v>1</v>
      </c>
      <c r="J2804" s="0" t="n">
        <f aca="false">E2804</f>
        <v>-0.25</v>
      </c>
      <c r="K2804" s="0" t="n">
        <f aca="false">F2804</f>
        <v>0.75</v>
      </c>
      <c r="L2804" s="0" t="n">
        <f aca="false">G2804</f>
        <v>0.25</v>
      </c>
      <c r="M2804" s="0" t="n">
        <f aca="false">H2804</f>
        <v>-1</v>
      </c>
      <c r="N2804" s="0" t="n">
        <f aca="false">E2804*F2804</f>
        <v>-0.1875</v>
      </c>
      <c r="O2804" s="0" t="n">
        <f aca="false">E2804*G2804</f>
        <v>-0.0625</v>
      </c>
      <c r="P2804" s="0" t="n">
        <f aca="false">E2804*H2804</f>
        <v>0.25</v>
      </c>
      <c r="Q2804" s="0" t="n">
        <f aca="false">F2804*G2804</f>
        <v>0.1875</v>
      </c>
      <c r="R2804" s="0" t="n">
        <f aca="false">F2804*H2804</f>
        <v>-0.75</v>
      </c>
      <c r="S2804" s="0" t="n">
        <f aca="false">G2804*H2804</f>
        <v>-0.25</v>
      </c>
      <c r="T2804" s="0" t="n">
        <f aca="false">E2804*E2804</f>
        <v>0.0625</v>
      </c>
      <c r="U2804" s="0" t="n">
        <f aca="false">F2804*F2804</f>
        <v>0.5625</v>
      </c>
      <c r="V2804" s="0" t="n">
        <f aca="false">G2804*G2804</f>
        <v>0.0625</v>
      </c>
      <c r="W2804" s="0" t="n">
        <f aca="false">H2804*H2804</f>
        <v>1</v>
      </c>
      <c r="X2804" s="0" t="n">
        <f aca="false">SUMPRODUCT(I2804:W2804,_XtX!$B$96:$P$96)</f>
        <v>46.7855034722222</v>
      </c>
      <c r="Y2804" s="0" t="n">
        <f aca="false">SUMPRODUCT(MMULT(I2804:W2804,_XtX!$B$78:$P$92),I2804:W2804)</f>
        <v>0.486409505208333</v>
      </c>
      <c r="Z2804" s="0" t="n">
        <f aca="false">04_回帰ANOVA!$K$19*04_回帰ANOVA!$K$14*SQRT(1+Y2804)</f>
        <v>1.58916001665498</v>
      </c>
      <c r="AA2804" s="0" t="n">
        <f aca="false">X2804-Z2804</f>
        <v>45.1963434555672</v>
      </c>
      <c r="AB2804" s="0" t="n">
        <f aca="false">X2804+Z2804</f>
        <v>48.3746634888772</v>
      </c>
      <c r="AC2804" s="54" t="b">
        <f aca="false">AND(E2804&gt;=01_因子設定!$L$5-0.000000001,E2804&lt;=01_因子設定!$M$5+0.000000001,F2804&gt;=01_因子設定!$L$6-0.000000001,F2804&lt;=01_因子設定!$M$6+0.000000001,G2804&gt;=01_因子設定!$L$7-0.000000001,G2804&lt;=01_因子設定!$M$7+0.000000001,H2804&gt;=01_因子設定!$L$8-0.000000001,H2804&lt;=01_因子設定!$M$8+0.000000001,IF(01_因子設定!$B$20="Box-Behnken",E2804^2+F2804^2+G2804^2+H2804^2&lt;=2+0.000000001,TRUE()))</f>
        <v>1</v>
      </c>
      <c r="AD2804" s="55" t="n">
        <f aca="false">IF(AC2804,IF(01_因子設定!$B$13="最大化",AA2804-01_因子設定!$B$14,IF(01_因子設定!$B$13="最小化",01_因子設定!$B$15-AB2804,MIN(AA2804-01_因子設定!$B$14,01_因子設定!$B$15-AB2804))),-1E+030)</f>
        <v>-1.30365654443278</v>
      </c>
      <c r="AE2804" s="55" t="n">
        <f aca="false">IF(AC2804,IF(01_因子設定!$B$13="最大化",X2804,IF(01_因子設定!$B$13="最小化",-X2804,-ABS(X2804-01_因子設定!$B$16))),-1E+030)</f>
        <v>46.7855034722222</v>
      </c>
      <c r="AF2804" s="55" t="n">
        <f aca="false">AD2804+ROW()*0.000000001</f>
        <v>-1.30365374043278</v>
      </c>
      <c r="AG2804" s="55" t="n">
        <f aca="false">AE2804+ROW()*0.000000001</f>
        <v>46.7855062762222</v>
      </c>
    </row>
    <row r="2805" customFormat="false" ht="15" hidden="false" customHeight="false" outlineLevel="0" collapsed="false">
      <c r="A2805" s="0" t="n">
        <v>3</v>
      </c>
      <c r="B2805" s="0" t="n">
        <v>7</v>
      </c>
      <c r="C2805" s="0" t="n">
        <v>5</v>
      </c>
      <c r="D2805" s="0" t="n">
        <v>1</v>
      </c>
      <c r="E2805" s="0" t="n">
        <f aca="false">-1+A2805*0.25</f>
        <v>-0.25</v>
      </c>
      <c r="F2805" s="0" t="n">
        <f aca="false">-1+B2805*0.25</f>
        <v>0.75</v>
      </c>
      <c r="G2805" s="0" t="n">
        <f aca="false">-1+C2805*0.25</f>
        <v>0.25</v>
      </c>
      <c r="H2805" s="0" t="n">
        <f aca="false">-1+D2805*0.25</f>
        <v>-0.75</v>
      </c>
      <c r="I2805" s="0" t="n">
        <f aca="false">1</f>
        <v>1</v>
      </c>
      <c r="J2805" s="0" t="n">
        <f aca="false">E2805</f>
        <v>-0.25</v>
      </c>
      <c r="K2805" s="0" t="n">
        <f aca="false">F2805</f>
        <v>0.75</v>
      </c>
      <c r="L2805" s="0" t="n">
        <f aca="false">G2805</f>
        <v>0.25</v>
      </c>
      <c r="M2805" s="0" t="n">
        <f aca="false">H2805</f>
        <v>-0.75</v>
      </c>
      <c r="N2805" s="0" t="n">
        <f aca="false">E2805*F2805</f>
        <v>-0.1875</v>
      </c>
      <c r="O2805" s="0" t="n">
        <f aca="false">E2805*G2805</f>
        <v>-0.0625</v>
      </c>
      <c r="P2805" s="0" t="n">
        <f aca="false">E2805*H2805</f>
        <v>0.1875</v>
      </c>
      <c r="Q2805" s="0" t="n">
        <f aca="false">F2805*G2805</f>
        <v>0.1875</v>
      </c>
      <c r="R2805" s="0" t="n">
        <f aca="false">F2805*H2805</f>
        <v>-0.5625</v>
      </c>
      <c r="S2805" s="0" t="n">
        <f aca="false">G2805*H2805</f>
        <v>-0.1875</v>
      </c>
      <c r="T2805" s="0" t="n">
        <f aca="false">E2805*E2805</f>
        <v>0.0625</v>
      </c>
      <c r="U2805" s="0" t="n">
        <f aca="false">F2805*F2805</f>
        <v>0.5625</v>
      </c>
      <c r="V2805" s="0" t="n">
        <f aca="false">G2805*G2805</f>
        <v>0.0625</v>
      </c>
      <c r="W2805" s="0" t="n">
        <f aca="false">H2805*H2805</f>
        <v>0.5625</v>
      </c>
      <c r="X2805" s="0" t="n">
        <f aca="false">SUMPRODUCT(I2805:W2805,_XtX!$B$96:$P$96)</f>
        <v>47.0245294225146</v>
      </c>
      <c r="Y2805" s="0" t="n">
        <f aca="false">SUMPRODUCT(MMULT(I2805:W2805,_XtX!$B$78:$P$92),I2805:W2805)</f>
        <v>0.271087468019006</v>
      </c>
      <c r="Z2805" s="0" t="n">
        <f aca="false">04_回帰ANOVA!$K$19*04_回帰ANOVA!$K$14*SQRT(1+Y2805)</f>
        <v>1.46955590155034</v>
      </c>
      <c r="AA2805" s="0" t="n">
        <f aca="false">X2805-Z2805</f>
        <v>45.5549735209642</v>
      </c>
      <c r="AB2805" s="0" t="n">
        <f aca="false">X2805+Z2805</f>
        <v>48.4940853240649</v>
      </c>
      <c r="AC2805" s="54" t="b">
        <f aca="false">AND(E2805&gt;=01_因子設定!$L$5-0.000000001,E2805&lt;=01_因子設定!$M$5+0.000000001,F2805&gt;=01_因子設定!$L$6-0.000000001,F2805&lt;=01_因子設定!$M$6+0.000000001,G2805&gt;=01_因子設定!$L$7-0.000000001,G2805&lt;=01_因子設定!$M$7+0.000000001,H2805&gt;=01_因子設定!$L$8-0.000000001,H2805&lt;=01_因子設定!$M$8+0.000000001,IF(01_因子設定!$B$20="Box-Behnken",E2805^2+F2805^2+G2805^2+H2805^2&lt;=2+0.000000001,TRUE()))</f>
        <v>1</v>
      </c>
      <c r="AD2805" s="55" t="n">
        <f aca="false">IF(AC2805,IF(01_因子設定!$B$13="最大化",AA2805-01_因子設定!$B$14,IF(01_因子設定!$B$13="最小化",01_因子設定!$B$15-AB2805,MIN(AA2805-01_因子設定!$B$14,01_因子設定!$B$15-AB2805))),-1E+030)</f>
        <v>-0.945026479035761</v>
      </c>
      <c r="AE2805" s="55" t="n">
        <f aca="false">IF(AC2805,IF(01_因子設定!$B$13="最大化",X2805,IF(01_因子設定!$B$13="最小化",-X2805,-ABS(X2805-01_因子設定!$B$16))),-1E+030)</f>
        <v>47.0245294225146</v>
      </c>
      <c r="AF2805" s="55" t="n">
        <f aca="false">AD2805+ROW()*0.000000001</f>
        <v>-0.945023674035761</v>
      </c>
      <c r="AG2805" s="55" t="n">
        <f aca="false">AE2805+ROW()*0.000000001</f>
        <v>47.0245322275146</v>
      </c>
    </row>
    <row r="2806" customFormat="false" ht="15" hidden="false" customHeight="false" outlineLevel="0" collapsed="false">
      <c r="A2806" s="0" t="n">
        <v>3</v>
      </c>
      <c r="B2806" s="0" t="n">
        <v>7</v>
      </c>
      <c r="C2806" s="0" t="n">
        <v>5</v>
      </c>
      <c r="D2806" s="0" t="n">
        <v>2</v>
      </c>
      <c r="E2806" s="0" t="n">
        <f aca="false">-1+A2806*0.25</f>
        <v>-0.25</v>
      </c>
      <c r="F2806" s="0" t="n">
        <f aca="false">-1+B2806*0.25</f>
        <v>0.75</v>
      </c>
      <c r="G2806" s="0" t="n">
        <f aca="false">-1+C2806*0.25</f>
        <v>0.25</v>
      </c>
      <c r="H2806" s="0" t="n">
        <f aca="false">-1+D2806*0.25</f>
        <v>-0.5</v>
      </c>
      <c r="I2806" s="0" t="n">
        <f aca="false">1</f>
        <v>1</v>
      </c>
      <c r="J2806" s="0" t="n">
        <f aca="false">E2806</f>
        <v>-0.25</v>
      </c>
      <c r="K2806" s="0" t="n">
        <f aca="false">F2806</f>
        <v>0.75</v>
      </c>
      <c r="L2806" s="0" t="n">
        <f aca="false">G2806</f>
        <v>0.25</v>
      </c>
      <c r="M2806" s="0" t="n">
        <f aca="false">H2806</f>
        <v>-0.5</v>
      </c>
      <c r="N2806" s="0" t="n">
        <f aca="false">E2806*F2806</f>
        <v>-0.1875</v>
      </c>
      <c r="O2806" s="0" t="n">
        <f aca="false">E2806*G2806</f>
        <v>-0.0625</v>
      </c>
      <c r="P2806" s="0" t="n">
        <f aca="false">E2806*H2806</f>
        <v>0.125</v>
      </c>
      <c r="Q2806" s="0" t="n">
        <f aca="false">F2806*G2806</f>
        <v>0.1875</v>
      </c>
      <c r="R2806" s="0" t="n">
        <f aca="false">F2806*H2806</f>
        <v>-0.375</v>
      </c>
      <c r="S2806" s="0" t="n">
        <f aca="false">G2806*H2806</f>
        <v>-0.125</v>
      </c>
      <c r="T2806" s="0" t="n">
        <f aca="false">E2806*E2806</f>
        <v>0.0625</v>
      </c>
      <c r="U2806" s="0" t="n">
        <f aca="false">F2806*F2806</f>
        <v>0.5625</v>
      </c>
      <c r="V2806" s="0" t="n">
        <f aca="false">G2806*G2806</f>
        <v>0.0625</v>
      </c>
      <c r="W2806" s="0" t="n">
        <f aca="false">H2806*H2806</f>
        <v>0.25</v>
      </c>
      <c r="X2806" s="0" t="n">
        <f aca="false">SUMPRODUCT(I2806:W2806,_XtX!$B$96:$P$96)</f>
        <v>47.2157483552631</v>
      </c>
      <c r="Y2806" s="0" t="n">
        <f aca="false">SUMPRODUCT(MMULT(I2806:W2806,_XtX!$B$78:$P$92),I2806:W2806)</f>
        <v>0.207746539199561</v>
      </c>
      <c r="Z2806" s="0" t="n">
        <f aca="false">04_回帰ANOVA!$K$19*04_回帰ANOVA!$K$14*SQRT(1+Y2806)</f>
        <v>1.43247250081141</v>
      </c>
      <c r="AA2806" s="0" t="n">
        <f aca="false">X2806-Z2806</f>
        <v>45.7832758544517</v>
      </c>
      <c r="AB2806" s="0" t="n">
        <f aca="false">X2806+Z2806</f>
        <v>48.6482208560745</v>
      </c>
      <c r="AC2806" s="54" t="b">
        <f aca="false">AND(E2806&gt;=01_因子設定!$L$5-0.000000001,E2806&lt;=01_因子設定!$M$5+0.000000001,F2806&gt;=01_因子設定!$L$6-0.000000001,F2806&lt;=01_因子設定!$M$6+0.000000001,G2806&gt;=01_因子設定!$L$7-0.000000001,G2806&lt;=01_因子設定!$M$7+0.000000001,H2806&gt;=01_因子設定!$L$8-0.000000001,H2806&lt;=01_因子設定!$M$8+0.000000001,IF(01_因子設定!$B$20="Box-Behnken",E2806^2+F2806^2+G2806^2+H2806^2&lt;=2+0.000000001,TRUE()))</f>
        <v>1</v>
      </c>
      <c r="AD2806" s="55" t="n">
        <f aca="false">IF(AC2806,IF(01_因子設定!$B$13="最大化",AA2806-01_因子設定!$B$14,IF(01_因子設定!$B$13="最小化",01_因子設定!$B$15-AB2806,MIN(AA2806-01_因子設定!$B$14,01_因子設定!$B$15-AB2806))),-1E+030)</f>
        <v>-0.716724145548298</v>
      </c>
      <c r="AE2806" s="55" t="n">
        <f aca="false">IF(AC2806,IF(01_因子設定!$B$13="最大化",X2806,IF(01_因子設定!$B$13="最小化",-X2806,-ABS(X2806-01_因子設定!$B$16))),-1E+030)</f>
        <v>47.2157483552631</v>
      </c>
      <c r="AF2806" s="55" t="n">
        <f aca="false">AD2806+ROW()*0.000000001</f>
        <v>-0.716721339548298</v>
      </c>
      <c r="AG2806" s="55" t="n">
        <f aca="false">AE2806+ROW()*0.000000001</f>
        <v>47.2157511612631</v>
      </c>
    </row>
    <row r="2807" customFormat="false" ht="15" hidden="false" customHeight="false" outlineLevel="0" collapsed="false">
      <c r="A2807" s="0" t="n">
        <v>3</v>
      </c>
      <c r="B2807" s="0" t="n">
        <v>7</v>
      </c>
      <c r="C2807" s="0" t="n">
        <v>5</v>
      </c>
      <c r="D2807" s="0" t="n">
        <v>3</v>
      </c>
      <c r="E2807" s="0" t="n">
        <f aca="false">-1+A2807*0.25</f>
        <v>-0.25</v>
      </c>
      <c r="F2807" s="0" t="n">
        <f aca="false">-1+B2807*0.25</f>
        <v>0.75</v>
      </c>
      <c r="G2807" s="0" t="n">
        <f aca="false">-1+C2807*0.25</f>
        <v>0.25</v>
      </c>
      <c r="H2807" s="0" t="n">
        <f aca="false">-1+D2807*0.25</f>
        <v>-0.25</v>
      </c>
      <c r="I2807" s="0" t="n">
        <f aca="false">1</f>
        <v>1</v>
      </c>
      <c r="J2807" s="0" t="n">
        <f aca="false">E2807</f>
        <v>-0.25</v>
      </c>
      <c r="K2807" s="0" t="n">
        <f aca="false">F2807</f>
        <v>0.75</v>
      </c>
      <c r="L2807" s="0" t="n">
        <f aca="false">G2807</f>
        <v>0.25</v>
      </c>
      <c r="M2807" s="0" t="n">
        <f aca="false">H2807</f>
        <v>-0.25</v>
      </c>
      <c r="N2807" s="0" t="n">
        <f aca="false">E2807*F2807</f>
        <v>-0.1875</v>
      </c>
      <c r="O2807" s="0" t="n">
        <f aca="false">E2807*G2807</f>
        <v>-0.0625</v>
      </c>
      <c r="P2807" s="0" t="n">
        <f aca="false">E2807*H2807</f>
        <v>0.0625</v>
      </c>
      <c r="Q2807" s="0" t="n">
        <f aca="false">F2807*G2807</f>
        <v>0.1875</v>
      </c>
      <c r="R2807" s="0" t="n">
        <f aca="false">F2807*H2807</f>
        <v>-0.1875</v>
      </c>
      <c r="S2807" s="0" t="n">
        <f aca="false">G2807*H2807</f>
        <v>-0.0625</v>
      </c>
      <c r="T2807" s="0" t="n">
        <f aca="false">E2807*E2807</f>
        <v>0.0625</v>
      </c>
      <c r="U2807" s="0" t="n">
        <f aca="false">F2807*F2807</f>
        <v>0.5625</v>
      </c>
      <c r="V2807" s="0" t="n">
        <f aca="false">G2807*G2807</f>
        <v>0.0625</v>
      </c>
      <c r="W2807" s="0" t="n">
        <f aca="false">H2807*H2807</f>
        <v>0.0625</v>
      </c>
      <c r="X2807" s="0" t="n">
        <f aca="false">SUMPRODUCT(I2807:W2807,_XtX!$B$96:$P$96)</f>
        <v>47.3591602704678</v>
      </c>
      <c r="Y2807" s="0" t="n">
        <f aca="false">SUMPRODUCT(MMULT(I2807:W2807,_XtX!$B$78:$P$92),I2807:W2807)</f>
        <v>0.205926192434211</v>
      </c>
      <c r="Z2807" s="0" t="n">
        <f aca="false">04_回帰ANOVA!$K$19*04_回帰ANOVA!$K$14*SQRT(1+Y2807)</f>
        <v>1.43139256396246</v>
      </c>
      <c r="AA2807" s="0" t="n">
        <f aca="false">X2807-Z2807</f>
        <v>45.9277677065053</v>
      </c>
      <c r="AB2807" s="0" t="n">
        <f aca="false">X2807+Z2807</f>
        <v>48.7905528344302</v>
      </c>
      <c r="AC2807" s="54" t="b">
        <f aca="false">AND(E2807&gt;=01_因子設定!$L$5-0.000000001,E2807&lt;=01_因子設定!$M$5+0.000000001,F2807&gt;=01_因子設定!$L$6-0.000000001,F2807&lt;=01_因子設定!$M$6+0.000000001,G2807&gt;=01_因子設定!$L$7-0.000000001,G2807&lt;=01_因子設定!$M$7+0.000000001,H2807&gt;=01_因子設定!$L$8-0.000000001,H2807&lt;=01_因子設定!$M$8+0.000000001,IF(01_因子設定!$B$20="Box-Behnken",E2807^2+F2807^2+G2807^2+H2807^2&lt;=2+0.000000001,TRUE()))</f>
        <v>1</v>
      </c>
      <c r="AD2807" s="55" t="n">
        <f aca="false">IF(AC2807,IF(01_因子設定!$B$13="最大化",AA2807-01_因子設定!$B$14,IF(01_因子設定!$B$13="最小化",01_因子設定!$B$15-AB2807,MIN(AA2807-01_因子設定!$B$14,01_因子設定!$B$15-AB2807))),-1E+030)</f>
        <v>-0.572232293494686</v>
      </c>
      <c r="AE2807" s="55" t="n">
        <f aca="false">IF(AC2807,IF(01_因子設定!$B$13="最大化",X2807,IF(01_因子設定!$B$13="最小化",-X2807,-ABS(X2807-01_因子設定!$B$16))),-1E+030)</f>
        <v>47.3591602704678</v>
      </c>
      <c r="AF2807" s="55" t="n">
        <f aca="false">AD2807+ROW()*0.000000001</f>
        <v>-0.572229486494686</v>
      </c>
      <c r="AG2807" s="55" t="n">
        <f aca="false">AE2807+ROW()*0.000000001</f>
        <v>47.3591630774678</v>
      </c>
    </row>
    <row r="2808" customFormat="false" ht="15" hidden="false" customHeight="false" outlineLevel="0" collapsed="false">
      <c r="A2808" s="0" t="n">
        <v>3</v>
      </c>
      <c r="B2808" s="0" t="n">
        <v>7</v>
      </c>
      <c r="C2808" s="0" t="n">
        <v>5</v>
      </c>
      <c r="D2808" s="0" t="n">
        <v>4</v>
      </c>
      <c r="E2808" s="0" t="n">
        <f aca="false">-1+A2808*0.25</f>
        <v>-0.25</v>
      </c>
      <c r="F2808" s="0" t="n">
        <f aca="false">-1+B2808*0.25</f>
        <v>0.75</v>
      </c>
      <c r="G2808" s="0" t="n">
        <f aca="false">-1+C2808*0.25</f>
        <v>0.25</v>
      </c>
      <c r="H2808" s="0" t="n">
        <f aca="false">-1+D2808*0.25</f>
        <v>0</v>
      </c>
      <c r="I2808" s="0" t="n">
        <f aca="false">1</f>
        <v>1</v>
      </c>
      <c r="J2808" s="0" t="n">
        <f aca="false">E2808</f>
        <v>-0.25</v>
      </c>
      <c r="K2808" s="0" t="n">
        <f aca="false">F2808</f>
        <v>0.75</v>
      </c>
      <c r="L2808" s="0" t="n">
        <f aca="false">G2808</f>
        <v>0.25</v>
      </c>
      <c r="M2808" s="0" t="n">
        <f aca="false">H2808</f>
        <v>0</v>
      </c>
      <c r="N2808" s="0" t="n">
        <f aca="false">E2808*F2808</f>
        <v>-0.1875</v>
      </c>
      <c r="O2808" s="0" t="n">
        <f aca="false">E2808*G2808</f>
        <v>-0.0625</v>
      </c>
      <c r="P2808" s="0" t="n">
        <f aca="false">E2808*H2808</f>
        <v>-0</v>
      </c>
      <c r="Q2808" s="0" t="n">
        <f aca="false">F2808*G2808</f>
        <v>0.1875</v>
      </c>
      <c r="R2808" s="0" t="n">
        <f aca="false">F2808*H2808</f>
        <v>0</v>
      </c>
      <c r="S2808" s="0" t="n">
        <f aca="false">G2808*H2808</f>
        <v>0</v>
      </c>
      <c r="T2808" s="0" t="n">
        <f aca="false">E2808*E2808</f>
        <v>0.0625</v>
      </c>
      <c r="U2808" s="0" t="n">
        <f aca="false">F2808*F2808</f>
        <v>0.5625</v>
      </c>
      <c r="V2808" s="0" t="n">
        <f aca="false">G2808*G2808</f>
        <v>0.0625</v>
      </c>
      <c r="W2808" s="0" t="n">
        <f aca="false">H2808*H2808</f>
        <v>0</v>
      </c>
      <c r="X2808" s="0" t="n">
        <f aca="false">SUMPRODUCT(I2808:W2808,_XtX!$B$96:$P$96)</f>
        <v>47.4547651681286</v>
      </c>
      <c r="Y2808" s="0" t="n">
        <f aca="false">SUMPRODUCT(MMULT(I2808:W2808,_XtX!$B$78:$P$92),I2808:W2808)</f>
        <v>0.21135011193348</v>
      </c>
      <c r="Z2808" s="0" t="n">
        <f aca="false">04_回帰ANOVA!$K$19*04_回帰ANOVA!$K$14*SQRT(1+Y2808)</f>
        <v>1.43460795469709</v>
      </c>
      <c r="AA2808" s="0" t="n">
        <f aca="false">X2808-Z2808</f>
        <v>46.0201572134315</v>
      </c>
      <c r="AB2808" s="0" t="n">
        <f aca="false">X2808+Z2808</f>
        <v>48.8893731228257</v>
      </c>
      <c r="AC2808" s="54" t="b">
        <f aca="false">AND(E2808&gt;=01_因子設定!$L$5-0.000000001,E2808&lt;=01_因子設定!$M$5+0.000000001,F2808&gt;=01_因子設定!$L$6-0.000000001,F2808&lt;=01_因子設定!$M$6+0.000000001,G2808&gt;=01_因子設定!$L$7-0.000000001,G2808&lt;=01_因子設定!$M$7+0.000000001,H2808&gt;=01_因子設定!$L$8-0.000000001,H2808&lt;=01_因子設定!$M$8+0.000000001,IF(01_因子設定!$B$20="Box-Behnken",E2808^2+F2808^2+G2808^2+H2808^2&lt;=2+0.000000001,TRUE()))</f>
        <v>1</v>
      </c>
      <c r="AD2808" s="55" t="n">
        <f aca="false">IF(AC2808,IF(01_因子設定!$B$13="最大化",AA2808-01_因子設定!$B$14,IF(01_因子設定!$B$13="最小化",01_因子設定!$B$15-AB2808,MIN(AA2808-01_因子設定!$B$14,01_因子設定!$B$15-AB2808))),-1E+030)</f>
        <v>-0.47984278656849</v>
      </c>
      <c r="AE2808" s="55" t="n">
        <f aca="false">IF(AC2808,IF(01_因子設定!$B$13="最大化",X2808,IF(01_因子設定!$B$13="最小化",-X2808,-ABS(X2808-01_因子設定!$B$16))),-1E+030)</f>
        <v>47.4547651681286</v>
      </c>
      <c r="AF2808" s="55" t="n">
        <f aca="false">AD2808+ROW()*0.000000001</f>
        <v>-0.47983997856849</v>
      </c>
      <c r="AG2808" s="55" t="n">
        <f aca="false">AE2808+ROW()*0.000000001</f>
        <v>47.4547679761286</v>
      </c>
    </row>
    <row r="2809" customFormat="false" ht="15" hidden="false" customHeight="false" outlineLevel="0" collapsed="false">
      <c r="A2809" s="0" t="n">
        <v>3</v>
      </c>
      <c r="B2809" s="0" t="n">
        <v>7</v>
      </c>
      <c r="C2809" s="0" t="n">
        <v>5</v>
      </c>
      <c r="D2809" s="0" t="n">
        <v>5</v>
      </c>
      <c r="E2809" s="0" t="n">
        <f aca="false">-1+A2809*0.25</f>
        <v>-0.25</v>
      </c>
      <c r="F2809" s="0" t="n">
        <f aca="false">-1+B2809*0.25</f>
        <v>0.75</v>
      </c>
      <c r="G2809" s="0" t="n">
        <f aca="false">-1+C2809*0.25</f>
        <v>0.25</v>
      </c>
      <c r="H2809" s="0" t="n">
        <f aca="false">-1+D2809*0.25</f>
        <v>0.25</v>
      </c>
      <c r="I2809" s="0" t="n">
        <f aca="false">1</f>
        <v>1</v>
      </c>
      <c r="J2809" s="0" t="n">
        <f aca="false">E2809</f>
        <v>-0.25</v>
      </c>
      <c r="K2809" s="0" t="n">
        <f aca="false">F2809</f>
        <v>0.75</v>
      </c>
      <c r="L2809" s="0" t="n">
        <f aca="false">G2809</f>
        <v>0.25</v>
      </c>
      <c r="M2809" s="0" t="n">
        <f aca="false">H2809</f>
        <v>0.25</v>
      </c>
      <c r="N2809" s="0" t="n">
        <f aca="false">E2809*F2809</f>
        <v>-0.1875</v>
      </c>
      <c r="O2809" s="0" t="n">
        <f aca="false">E2809*G2809</f>
        <v>-0.0625</v>
      </c>
      <c r="P2809" s="0" t="n">
        <f aca="false">E2809*H2809</f>
        <v>-0.0625</v>
      </c>
      <c r="Q2809" s="0" t="n">
        <f aca="false">F2809*G2809</f>
        <v>0.1875</v>
      </c>
      <c r="R2809" s="0" t="n">
        <f aca="false">F2809*H2809</f>
        <v>0.1875</v>
      </c>
      <c r="S2809" s="0" t="n">
        <f aca="false">G2809*H2809</f>
        <v>0.0625</v>
      </c>
      <c r="T2809" s="0" t="n">
        <f aca="false">E2809*E2809</f>
        <v>0.0625</v>
      </c>
      <c r="U2809" s="0" t="n">
        <f aca="false">F2809*F2809</f>
        <v>0.5625</v>
      </c>
      <c r="V2809" s="0" t="n">
        <f aca="false">G2809*G2809</f>
        <v>0.0625</v>
      </c>
      <c r="W2809" s="0" t="n">
        <f aca="false">H2809*H2809</f>
        <v>0.0625</v>
      </c>
      <c r="X2809" s="0" t="n">
        <f aca="false">SUMPRODUCT(I2809:W2809,_XtX!$B$96:$P$96)</f>
        <v>47.5025630482456</v>
      </c>
      <c r="Y2809" s="0" t="n">
        <f aca="false">SUMPRODUCT(MMULT(I2809:W2809,_XtX!$B$78:$P$92),I2809:W2809)</f>
        <v>0.205926192434211</v>
      </c>
      <c r="Z2809" s="0" t="n">
        <f aca="false">04_回帰ANOVA!$K$19*04_回帰ANOVA!$K$14*SQRT(1+Y2809)</f>
        <v>1.43139256396246</v>
      </c>
      <c r="AA2809" s="0" t="n">
        <f aca="false">X2809-Z2809</f>
        <v>46.0711704842831</v>
      </c>
      <c r="AB2809" s="0" t="n">
        <f aca="false">X2809+Z2809</f>
        <v>48.933955612208</v>
      </c>
      <c r="AC2809" s="54" t="b">
        <f aca="false">AND(E2809&gt;=01_因子設定!$L$5-0.000000001,E2809&lt;=01_因子設定!$M$5+0.000000001,F2809&gt;=01_因子設定!$L$6-0.000000001,F2809&lt;=01_因子設定!$M$6+0.000000001,G2809&gt;=01_因子設定!$L$7-0.000000001,G2809&lt;=01_因子設定!$M$7+0.000000001,H2809&gt;=01_因子設定!$L$8-0.000000001,H2809&lt;=01_因子設定!$M$8+0.000000001,IF(01_因子設定!$B$20="Box-Behnken",E2809^2+F2809^2+G2809^2+H2809^2&lt;=2+0.000000001,TRUE()))</f>
        <v>1</v>
      </c>
      <c r="AD2809" s="55" t="n">
        <f aca="false">IF(AC2809,IF(01_因子設定!$B$13="最大化",AA2809-01_因子設定!$B$14,IF(01_因子設定!$B$13="最小化",01_因子設定!$B$15-AB2809,MIN(AA2809-01_因子設定!$B$14,01_因子設定!$B$15-AB2809))),-1E+030)</f>
        <v>-0.428829515716906</v>
      </c>
      <c r="AE2809" s="55" t="n">
        <f aca="false">IF(AC2809,IF(01_因子設定!$B$13="最大化",X2809,IF(01_因子設定!$B$13="最小化",-X2809,-ABS(X2809-01_因子設定!$B$16))),-1E+030)</f>
        <v>47.5025630482456</v>
      </c>
      <c r="AF2809" s="55" t="n">
        <f aca="false">AD2809+ROW()*0.000000001</f>
        <v>-0.428826706716906</v>
      </c>
      <c r="AG2809" s="55" t="n">
        <f aca="false">AE2809+ROW()*0.000000001</f>
        <v>47.5025658572456</v>
      </c>
    </row>
    <row r="2810" customFormat="false" ht="15" hidden="false" customHeight="false" outlineLevel="0" collapsed="false">
      <c r="A2810" s="0" t="n">
        <v>3</v>
      </c>
      <c r="B2810" s="0" t="n">
        <v>7</v>
      </c>
      <c r="C2810" s="0" t="n">
        <v>5</v>
      </c>
      <c r="D2810" s="0" t="n">
        <v>6</v>
      </c>
      <c r="E2810" s="0" t="n">
        <f aca="false">-1+A2810*0.25</f>
        <v>-0.25</v>
      </c>
      <c r="F2810" s="0" t="n">
        <f aca="false">-1+B2810*0.25</f>
        <v>0.75</v>
      </c>
      <c r="G2810" s="0" t="n">
        <f aca="false">-1+C2810*0.25</f>
        <v>0.25</v>
      </c>
      <c r="H2810" s="0" t="n">
        <f aca="false">-1+D2810*0.25</f>
        <v>0.5</v>
      </c>
      <c r="I2810" s="0" t="n">
        <f aca="false">1</f>
        <v>1</v>
      </c>
      <c r="J2810" s="0" t="n">
        <f aca="false">E2810</f>
        <v>-0.25</v>
      </c>
      <c r="K2810" s="0" t="n">
        <f aca="false">F2810</f>
        <v>0.75</v>
      </c>
      <c r="L2810" s="0" t="n">
        <f aca="false">G2810</f>
        <v>0.25</v>
      </c>
      <c r="M2810" s="0" t="n">
        <f aca="false">H2810</f>
        <v>0.5</v>
      </c>
      <c r="N2810" s="0" t="n">
        <f aca="false">E2810*F2810</f>
        <v>-0.1875</v>
      </c>
      <c r="O2810" s="0" t="n">
        <f aca="false">E2810*G2810</f>
        <v>-0.0625</v>
      </c>
      <c r="P2810" s="0" t="n">
        <f aca="false">E2810*H2810</f>
        <v>-0.125</v>
      </c>
      <c r="Q2810" s="0" t="n">
        <f aca="false">F2810*G2810</f>
        <v>0.1875</v>
      </c>
      <c r="R2810" s="0" t="n">
        <f aca="false">F2810*H2810</f>
        <v>0.375</v>
      </c>
      <c r="S2810" s="0" t="n">
        <f aca="false">G2810*H2810</f>
        <v>0.125</v>
      </c>
      <c r="T2810" s="0" t="n">
        <f aca="false">E2810*E2810</f>
        <v>0.0625</v>
      </c>
      <c r="U2810" s="0" t="n">
        <f aca="false">F2810*F2810</f>
        <v>0.5625</v>
      </c>
      <c r="V2810" s="0" t="n">
        <f aca="false">G2810*G2810</f>
        <v>0.0625</v>
      </c>
      <c r="W2810" s="0" t="n">
        <f aca="false">H2810*H2810</f>
        <v>0.25</v>
      </c>
      <c r="X2810" s="0" t="n">
        <f aca="false">SUMPRODUCT(I2810:W2810,_XtX!$B$96:$P$96)</f>
        <v>47.5025539108187</v>
      </c>
      <c r="Y2810" s="0" t="n">
        <f aca="false">SUMPRODUCT(MMULT(I2810:W2810,_XtX!$B$78:$P$92),I2810:W2810)</f>
        <v>0.207746539199561</v>
      </c>
      <c r="Z2810" s="0" t="n">
        <f aca="false">04_回帰ANOVA!$K$19*04_回帰ANOVA!$K$14*SQRT(1+Y2810)</f>
        <v>1.43247250081141</v>
      </c>
      <c r="AA2810" s="0" t="n">
        <f aca="false">X2810-Z2810</f>
        <v>46.0700814100073</v>
      </c>
      <c r="AB2810" s="0" t="n">
        <f aca="false">X2810+Z2810</f>
        <v>48.9350264116301</v>
      </c>
      <c r="AC2810" s="54" t="b">
        <f aca="false">AND(E2810&gt;=01_因子設定!$L$5-0.000000001,E2810&lt;=01_因子設定!$M$5+0.000000001,F2810&gt;=01_因子設定!$L$6-0.000000001,F2810&lt;=01_因子設定!$M$6+0.000000001,G2810&gt;=01_因子設定!$L$7-0.000000001,G2810&lt;=01_因子設定!$M$7+0.000000001,H2810&gt;=01_因子設定!$L$8-0.000000001,H2810&lt;=01_因子設定!$M$8+0.000000001,IF(01_因子設定!$B$20="Box-Behnken",E2810^2+F2810^2+G2810^2+H2810^2&lt;=2+0.000000001,TRUE()))</f>
        <v>1</v>
      </c>
      <c r="AD2810" s="55" t="n">
        <f aca="false">IF(AC2810,IF(01_因子設定!$B$13="最大化",AA2810-01_因子設定!$B$14,IF(01_因子設定!$B$13="最小化",01_因子設定!$B$15-AB2810,MIN(AA2810-01_因子設定!$B$14,01_因子設定!$B$15-AB2810))),-1E+030)</f>
        <v>-0.429918589992745</v>
      </c>
      <c r="AE2810" s="55" t="n">
        <f aca="false">IF(AC2810,IF(01_因子設定!$B$13="最大化",X2810,IF(01_因子設定!$B$13="最小化",-X2810,-ABS(X2810-01_因子設定!$B$16))),-1E+030)</f>
        <v>47.5025539108187</v>
      </c>
      <c r="AF2810" s="55" t="n">
        <f aca="false">AD2810+ROW()*0.000000001</f>
        <v>-0.429915779992745</v>
      </c>
      <c r="AG2810" s="55" t="n">
        <f aca="false">AE2810+ROW()*0.000000001</f>
        <v>47.5025567208187</v>
      </c>
    </row>
    <row r="2811" customFormat="false" ht="15" hidden="false" customHeight="false" outlineLevel="0" collapsed="false">
      <c r="A2811" s="0" t="n">
        <v>3</v>
      </c>
      <c r="B2811" s="0" t="n">
        <v>7</v>
      </c>
      <c r="C2811" s="0" t="n">
        <v>5</v>
      </c>
      <c r="D2811" s="0" t="n">
        <v>7</v>
      </c>
      <c r="E2811" s="0" t="n">
        <f aca="false">-1+A2811*0.25</f>
        <v>-0.25</v>
      </c>
      <c r="F2811" s="0" t="n">
        <f aca="false">-1+B2811*0.25</f>
        <v>0.75</v>
      </c>
      <c r="G2811" s="0" t="n">
        <f aca="false">-1+C2811*0.25</f>
        <v>0.25</v>
      </c>
      <c r="H2811" s="0" t="n">
        <f aca="false">-1+D2811*0.25</f>
        <v>0.75</v>
      </c>
      <c r="I2811" s="0" t="n">
        <f aca="false">1</f>
        <v>1</v>
      </c>
      <c r="J2811" s="0" t="n">
        <f aca="false">E2811</f>
        <v>-0.25</v>
      </c>
      <c r="K2811" s="0" t="n">
        <f aca="false">F2811</f>
        <v>0.75</v>
      </c>
      <c r="L2811" s="0" t="n">
        <f aca="false">G2811</f>
        <v>0.25</v>
      </c>
      <c r="M2811" s="0" t="n">
        <f aca="false">H2811</f>
        <v>0.75</v>
      </c>
      <c r="N2811" s="0" t="n">
        <f aca="false">E2811*F2811</f>
        <v>-0.1875</v>
      </c>
      <c r="O2811" s="0" t="n">
        <f aca="false">E2811*G2811</f>
        <v>-0.0625</v>
      </c>
      <c r="P2811" s="0" t="n">
        <f aca="false">E2811*H2811</f>
        <v>-0.1875</v>
      </c>
      <c r="Q2811" s="0" t="n">
        <f aca="false">F2811*G2811</f>
        <v>0.1875</v>
      </c>
      <c r="R2811" s="0" t="n">
        <f aca="false">F2811*H2811</f>
        <v>0.5625</v>
      </c>
      <c r="S2811" s="0" t="n">
        <f aca="false">G2811*H2811</f>
        <v>0.1875</v>
      </c>
      <c r="T2811" s="0" t="n">
        <f aca="false">E2811*E2811</f>
        <v>0.0625</v>
      </c>
      <c r="U2811" s="0" t="n">
        <f aca="false">F2811*F2811</f>
        <v>0.5625</v>
      </c>
      <c r="V2811" s="0" t="n">
        <f aca="false">G2811*G2811</f>
        <v>0.0625</v>
      </c>
      <c r="W2811" s="0" t="n">
        <f aca="false">H2811*H2811</f>
        <v>0.5625</v>
      </c>
      <c r="X2811" s="0" t="n">
        <f aca="false">SUMPRODUCT(I2811:W2811,_XtX!$B$96:$P$96)</f>
        <v>47.4547377558479</v>
      </c>
      <c r="Y2811" s="0" t="n">
        <f aca="false">SUMPRODUCT(MMULT(I2811:W2811,_XtX!$B$78:$P$92),I2811:W2811)</f>
        <v>0.271087468019006</v>
      </c>
      <c r="Z2811" s="0" t="n">
        <f aca="false">04_回帰ANOVA!$K$19*04_回帰ANOVA!$K$14*SQRT(1+Y2811)</f>
        <v>1.46955590155034</v>
      </c>
      <c r="AA2811" s="0" t="n">
        <f aca="false">X2811-Z2811</f>
        <v>45.9851818542976</v>
      </c>
      <c r="AB2811" s="0" t="n">
        <f aca="false">X2811+Z2811</f>
        <v>48.9242936573983</v>
      </c>
      <c r="AC2811" s="54" t="b">
        <f aca="false">AND(E2811&gt;=01_因子設定!$L$5-0.000000001,E2811&lt;=01_因子設定!$M$5+0.000000001,F2811&gt;=01_因子設定!$L$6-0.000000001,F2811&lt;=01_因子設定!$M$6+0.000000001,G2811&gt;=01_因子設定!$L$7-0.000000001,G2811&lt;=01_因子設定!$M$7+0.000000001,H2811&gt;=01_因子設定!$L$8-0.000000001,H2811&lt;=01_因子設定!$M$8+0.000000001,IF(01_因子設定!$B$20="Box-Behnken",E2811^2+F2811^2+G2811^2+H2811^2&lt;=2+0.000000001,TRUE()))</f>
        <v>1</v>
      </c>
      <c r="AD2811" s="55" t="n">
        <f aca="false">IF(AC2811,IF(01_因子設定!$B$13="最大化",AA2811-01_因子設定!$B$14,IF(01_因子設定!$B$13="最小化",01_因子設定!$B$15-AB2811,MIN(AA2811-01_因子設定!$B$14,01_因子設定!$B$15-AB2811))),-1E+030)</f>
        <v>-0.514818145702428</v>
      </c>
      <c r="AE2811" s="55" t="n">
        <f aca="false">IF(AC2811,IF(01_因子設定!$B$13="最大化",X2811,IF(01_因子設定!$B$13="最小化",-X2811,-ABS(X2811-01_因子設定!$B$16))),-1E+030)</f>
        <v>47.4547377558479</v>
      </c>
      <c r="AF2811" s="55" t="n">
        <f aca="false">AD2811+ROW()*0.000000001</f>
        <v>-0.514815334702428</v>
      </c>
      <c r="AG2811" s="55" t="n">
        <f aca="false">AE2811+ROW()*0.000000001</f>
        <v>47.4547405668479</v>
      </c>
    </row>
    <row r="2812" customFormat="false" ht="15" hidden="false" customHeight="false" outlineLevel="0" collapsed="false">
      <c r="A2812" s="0" t="n">
        <v>3</v>
      </c>
      <c r="B2812" s="0" t="n">
        <v>7</v>
      </c>
      <c r="C2812" s="0" t="n">
        <v>5</v>
      </c>
      <c r="D2812" s="0" t="n">
        <v>8</v>
      </c>
      <c r="E2812" s="0" t="n">
        <f aca="false">-1+A2812*0.25</f>
        <v>-0.25</v>
      </c>
      <c r="F2812" s="0" t="n">
        <f aca="false">-1+B2812*0.25</f>
        <v>0.75</v>
      </c>
      <c r="G2812" s="0" t="n">
        <f aca="false">-1+C2812*0.25</f>
        <v>0.25</v>
      </c>
      <c r="H2812" s="0" t="n">
        <f aca="false">-1+D2812*0.25</f>
        <v>1</v>
      </c>
      <c r="I2812" s="0" t="n">
        <f aca="false">1</f>
        <v>1</v>
      </c>
      <c r="J2812" s="0" t="n">
        <f aca="false">E2812</f>
        <v>-0.25</v>
      </c>
      <c r="K2812" s="0" t="n">
        <f aca="false">F2812</f>
        <v>0.75</v>
      </c>
      <c r="L2812" s="0" t="n">
        <f aca="false">G2812</f>
        <v>0.25</v>
      </c>
      <c r="M2812" s="0" t="n">
        <f aca="false">H2812</f>
        <v>1</v>
      </c>
      <c r="N2812" s="0" t="n">
        <f aca="false">E2812*F2812</f>
        <v>-0.1875</v>
      </c>
      <c r="O2812" s="0" t="n">
        <f aca="false">E2812*G2812</f>
        <v>-0.0625</v>
      </c>
      <c r="P2812" s="0" t="n">
        <f aca="false">E2812*H2812</f>
        <v>-0.25</v>
      </c>
      <c r="Q2812" s="0" t="n">
        <f aca="false">F2812*G2812</f>
        <v>0.1875</v>
      </c>
      <c r="R2812" s="0" t="n">
        <f aca="false">F2812*H2812</f>
        <v>0.75</v>
      </c>
      <c r="S2812" s="0" t="n">
        <f aca="false">G2812*H2812</f>
        <v>0.25</v>
      </c>
      <c r="T2812" s="0" t="n">
        <f aca="false">E2812*E2812</f>
        <v>0.0625</v>
      </c>
      <c r="U2812" s="0" t="n">
        <f aca="false">F2812*F2812</f>
        <v>0.5625</v>
      </c>
      <c r="V2812" s="0" t="n">
        <f aca="false">G2812*G2812</f>
        <v>0.0625</v>
      </c>
      <c r="W2812" s="0" t="n">
        <f aca="false">H2812*H2812</f>
        <v>1</v>
      </c>
      <c r="X2812" s="0" t="n">
        <f aca="false">SUMPRODUCT(I2812:W2812,_XtX!$B$96:$P$96)</f>
        <v>47.3591145833333</v>
      </c>
      <c r="Y2812" s="0" t="n">
        <f aca="false">SUMPRODUCT(MMULT(I2812:W2812,_XtX!$B$78:$P$92),I2812:W2812)</f>
        <v>0.486409505208333</v>
      </c>
      <c r="Z2812" s="0" t="n">
        <f aca="false">04_回帰ANOVA!$K$19*04_回帰ANOVA!$K$14*SQRT(1+Y2812)</f>
        <v>1.58916001665498</v>
      </c>
      <c r="AA2812" s="0" t="n">
        <f aca="false">X2812-Z2812</f>
        <v>45.7699545666783</v>
      </c>
      <c r="AB2812" s="0" t="n">
        <f aca="false">X2812+Z2812</f>
        <v>48.9482745999883</v>
      </c>
      <c r="AC2812" s="54" t="b">
        <f aca="false">AND(E2812&gt;=01_因子設定!$L$5-0.000000001,E2812&lt;=01_因子設定!$M$5+0.000000001,F2812&gt;=01_因子設定!$L$6-0.000000001,F2812&lt;=01_因子設定!$M$6+0.000000001,G2812&gt;=01_因子設定!$L$7-0.000000001,G2812&lt;=01_因子設定!$M$7+0.000000001,H2812&gt;=01_因子設定!$L$8-0.000000001,H2812&lt;=01_因子設定!$M$8+0.000000001,IF(01_因子設定!$B$20="Box-Behnken",E2812^2+F2812^2+G2812^2+H2812^2&lt;=2+0.000000001,TRUE()))</f>
        <v>1</v>
      </c>
      <c r="AD2812" s="55" t="n">
        <f aca="false">IF(AC2812,IF(01_因子設定!$B$13="最大化",AA2812-01_因子設定!$B$14,IF(01_因子設定!$B$13="最小化",01_因子設定!$B$15-AB2812,MIN(AA2812-01_因子設定!$B$14,01_因子設定!$B$15-AB2812))),-1E+030)</f>
        <v>-0.730045433321671</v>
      </c>
      <c r="AE2812" s="55" t="n">
        <f aca="false">IF(AC2812,IF(01_因子設定!$B$13="最大化",X2812,IF(01_因子設定!$B$13="最小化",-X2812,-ABS(X2812-01_因子設定!$B$16))),-1E+030)</f>
        <v>47.3591145833333</v>
      </c>
      <c r="AF2812" s="55" t="n">
        <f aca="false">AD2812+ROW()*0.000000001</f>
        <v>-0.730042621321671</v>
      </c>
      <c r="AG2812" s="55" t="n">
        <f aca="false">AE2812+ROW()*0.000000001</f>
        <v>47.3591173953333</v>
      </c>
    </row>
    <row r="2813" customFormat="false" ht="15" hidden="false" customHeight="false" outlineLevel="0" collapsed="false">
      <c r="A2813" s="0" t="n">
        <v>3</v>
      </c>
      <c r="B2813" s="0" t="n">
        <v>7</v>
      </c>
      <c r="C2813" s="0" t="n">
        <v>6</v>
      </c>
      <c r="D2813" s="0" t="n">
        <v>0</v>
      </c>
      <c r="E2813" s="0" t="n">
        <f aca="false">-1+A2813*0.25</f>
        <v>-0.25</v>
      </c>
      <c r="F2813" s="0" t="n">
        <f aca="false">-1+B2813*0.25</f>
        <v>0.75</v>
      </c>
      <c r="G2813" s="0" t="n">
        <f aca="false">-1+C2813*0.25</f>
        <v>0.5</v>
      </c>
      <c r="H2813" s="0" t="n">
        <f aca="false">-1+D2813*0.25</f>
        <v>-1</v>
      </c>
      <c r="I2813" s="0" t="n">
        <f aca="false">1</f>
        <v>1</v>
      </c>
      <c r="J2813" s="0" t="n">
        <f aca="false">E2813</f>
        <v>-0.25</v>
      </c>
      <c r="K2813" s="0" t="n">
        <f aca="false">F2813</f>
        <v>0.75</v>
      </c>
      <c r="L2813" s="0" t="n">
        <f aca="false">G2813</f>
        <v>0.5</v>
      </c>
      <c r="M2813" s="0" t="n">
        <f aca="false">H2813</f>
        <v>-1</v>
      </c>
      <c r="N2813" s="0" t="n">
        <f aca="false">E2813*F2813</f>
        <v>-0.1875</v>
      </c>
      <c r="O2813" s="0" t="n">
        <f aca="false">E2813*G2813</f>
        <v>-0.125</v>
      </c>
      <c r="P2813" s="0" t="n">
        <f aca="false">E2813*H2813</f>
        <v>0.25</v>
      </c>
      <c r="Q2813" s="0" t="n">
        <f aca="false">F2813*G2813</f>
        <v>0.375</v>
      </c>
      <c r="R2813" s="0" t="n">
        <f aca="false">F2813*H2813</f>
        <v>-0.75</v>
      </c>
      <c r="S2813" s="0" t="n">
        <f aca="false">G2813*H2813</f>
        <v>-0.5</v>
      </c>
      <c r="T2813" s="0" t="n">
        <f aca="false">E2813*E2813</f>
        <v>0.0625</v>
      </c>
      <c r="U2813" s="0" t="n">
        <f aca="false">F2813*F2813</f>
        <v>0.5625</v>
      </c>
      <c r="V2813" s="0" t="n">
        <f aca="false">G2813*G2813</f>
        <v>0.25</v>
      </c>
      <c r="W2813" s="0" t="n">
        <f aca="false">H2813*H2813</f>
        <v>1</v>
      </c>
      <c r="X2813" s="0" t="n">
        <f aca="false">SUMPRODUCT(I2813:W2813,_XtX!$B$96:$P$96)</f>
        <v>46.9307200292397</v>
      </c>
      <c r="Y2813" s="0" t="n">
        <f aca="false">SUMPRODUCT(MMULT(I2813:W2813,_XtX!$B$78:$P$92),I2813:W2813)</f>
        <v>0.459125719572369</v>
      </c>
      <c r="Z2813" s="0" t="n">
        <f aca="false">04_回帰ANOVA!$K$19*04_回帰ANOVA!$K$14*SQRT(1+Y2813)</f>
        <v>1.57450755575573</v>
      </c>
      <c r="AA2813" s="0" t="n">
        <f aca="false">X2813-Z2813</f>
        <v>45.356212473484</v>
      </c>
      <c r="AB2813" s="0" t="n">
        <f aca="false">X2813+Z2813</f>
        <v>48.5052275849955</v>
      </c>
      <c r="AC2813" s="54" t="b">
        <f aca="false">AND(E2813&gt;=01_因子設定!$L$5-0.000000001,E2813&lt;=01_因子設定!$M$5+0.000000001,F2813&gt;=01_因子設定!$L$6-0.000000001,F2813&lt;=01_因子設定!$M$6+0.000000001,G2813&gt;=01_因子設定!$L$7-0.000000001,G2813&lt;=01_因子設定!$M$7+0.000000001,H2813&gt;=01_因子設定!$L$8-0.000000001,H2813&lt;=01_因子設定!$M$8+0.000000001,IF(01_因子設定!$B$20="Box-Behnken",E2813^2+F2813^2+G2813^2+H2813^2&lt;=2+0.000000001,TRUE()))</f>
        <v>1</v>
      </c>
      <c r="AD2813" s="55" t="n">
        <f aca="false">IF(AC2813,IF(01_因子設定!$B$13="最大化",AA2813-01_因子設定!$B$14,IF(01_因子設定!$B$13="最小化",01_因子設定!$B$15-AB2813,MIN(AA2813-01_因子設定!$B$14,01_因子設定!$B$15-AB2813))),-1E+030)</f>
        <v>-1.14378752651599</v>
      </c>
      <c r="AE2813" s="55" t="n">
        <f aca="false">IF(AC2813,IF(01_因子設定!$B$13="最大化",X2813,IF(01_因子設定!$B$13="最小化",-X2813,-ABS(X2813-01_因子設定!$B$16))),-1E+030)</f>
        <v>46.9307200292397</v>
      </c>
      <c r="AF2813" s="55" t="n">
        <f aca="false">AD2813+ROW()*0.000000001</f>
        <v>-1.14378471351599</v>
      </c>
      <c r="AG2813" s="55" t="n">
        <f aca="false">AE2813+ROW()*0.000000001</f>
        <v>46.9307228422397</v>
      </c>
    </row>
    <row r="2814" customFormat="false" ht="15" hidden="false" customHeight="false" outlineLevel="0" collapsed="false">
      <c r="A2814" s="0" t="n">
        <v>3</v>
      </c>
      <c r="B2814" s="0" t="n">
        <v>7</v>
      </c>
      <c r="C2814" s="0" t="n">
        <v>6</v>
      </c>
      <c r="D2814" s="0" t="n">
        <v>1</v>
      </c>
      <c r="E2814" s="0" t="n">
        <f aca="false">-1+A2814*0.25</f>
        <v>-0.25</v>
      </c>
      <c r="F2814" s="0" t="n">
        <f aca="false">-1+B2814*0.25</f>
        <v>0.75</v>
      </c>
      <c r="G2814" s="0" t="n">
        <f aca="false">-1+C2814*0.25</f>
        <v>0.5</v>
      </c>
      <c r="H2814" s="0" t="n">
        <f aca="false">-1+D2814*0.25</f>
        <v>-0.75</v>
      </c>
      <c r="I2814" s="0" t="n">
        <f aca="false">1</f>
        <v>1</v>
      </c>
      <c r="J2814" s="0" t="n">
        <f aca="false">E2814</f>
        <v>-0.25</v>
      </c>
      <c r="K2814" s="0" t="n">
        <f aca="false">F2814</f>
        <v>0.75</v>
      </c>
      <c r="L2814" s="0" t="n">
        <f aca="false">G2814</f>
        <v>0.5</v>
      </c>
      <c r="M2814" s="0" t="n">
        <f aca="false">H2814</f>
        <v>-0.75</v>
      </c>
      <c r="N2814" s="0" t="n">
        <f aca="false">E2814*F2814</f>
        <v>-0.1875</v>
      </c>
      <c r="O2814" s="0" t="n">
        <f aca="false">E2814*G2814</f>
        <v>-0.125</v>
      </c>
      <c r="P2814" s="0" t="n">
        <f aca="false">E2814*H2814</f>
        <v>0.1875</v>
      </c>
      <c r="Q2814" s="0" t="n">
        <f aca="false">F2814*G2814</f>
        <v>0.375</v>
      </c>
      <c r="R2814" s="0" t="n">
        <f aca="false">F2814*H2814</f>
        <v>-0.5625</v>
      </c>
      <c r="S2814" s="0" t="n">
        <f aca="false">G2814*H2814</f>
        <v>-0.375</v>
      </c>
      <c r="T2814" s="0" t="n">
        <f aca="false">E2814*E2814</f>
        <v>0.0625</v>
      </c>
      <c r="U2814" s="0" t="n">
        <f aca="false">F2814*F2814</f>
        <v>0.5625</v>
      </c>
      <c r="V2814" s="0" t="n">
        <f aca="false">G2814*G2814</f>
        <v>0.25</v>
      </c>
      <c r="W2814" s="0" t="n">
        <f aca="false">H2814*H2814</f>
        <v>0.5625</v>
      </c>
      <c r="X2814" s="0" t="n">
        <f aca="false">SUMPRODUCT(I2814:W2814,_XtX!$B$96:$P$96)</f>
        <v>47.1877147295321</v>
      </c>
      <c r="Y2814" s="0" t="n">
        <f aca="false">SUMPRODUCT(MMULT(I2814:W2814,_XtX!$B$78:$P$92),I2814:W2814)</f>
        <v>0.257385610836988</v>
      </c>
      <c r="Z2814" s="0" t="n">
        <f aca="false">04_回帰ANOVA!$K$19*04_回帰ANOVA!$K$14*SQRT(1+Y2814)</f>
        <v>1.46161380324158</v>
      </c>
      <c r="AA2814" s="0" t="n">
        <f aca="false">X2814-Z2814</f>
        <v>45.7261009262905</v>
      </c>
      <c r="AB2814" s="0" t="n">
        <f aca="false">X2814+Z2814</f>
        <v>48.6493285327737</v>
      </c>
      <c r="AC2814" s="54" t="b">
        <f aca="false">AND(E2814&gt;=01_因子設定!$L$5-0.000000001,E2814&lt;=01_因子設定!$M$5+0.000000001,F2814&gt;=01_因子設定!$L$6-0.000000001,F2814&lt;=01_因子設定!$M$6+0.000000001,G2814&gt;=01_因子設定!$L$7-0.000000001,G2814&lt;=01_因子設定!$M$7+0.000000001,H2814&gt;=01_因子設定!$L$8-0.000000001,H2814&lt;=01_因子設定!$M$8+0.000000001,IF(01_因子設定!$B$20="Box-Behnken",E2814^2+F2814^2+G2814^2+H2814^2&lt;=2+0.000000001,TRUE()))</f>
        <v>1</v>
      </c>
      <c r="AD2814" s="55" t="n">
        <f aca="false">IF(AC2814,IF(01_因子設定!$B$13="最大化",AA2814-01_因子設定!$B$14,IF(01_因子設定!$B$13="最小化",01_因子設定!$B$15-AB2814,MIN(AA2814-01_因子設定!$B$14,01_因子設定!$B$15-AB2814))),-1E+030)</f>
        <v>-0.773899073709458</v>
      </c>
      <c r="AE2814" s="55" t="n">
        <f aca="false">IF(AC2814,IF(01_因子設定!$B$13="最大化",X2814,IF(01_因子設定!$B$13="最小化",-X2814,-ABS(X2814-01_因子設定!$B$16))),-1E+030)</f>
        <v>47.1877147295321</v>
      </c>
      <c r="AF2814" s="55" t="n">
        <f aca="false">AD2814+ROW()*0.000000001</f>
        <v>-0.773896259709458</v>
      </c>
      <c r="AG2814" s="55" t="n">
        <f aca="false">AE2814+ROW()*0.000000001</f>
        <v>47.1877175435321</v>
      </c>
    </row>
    <row r="2815" customFormat="false" ht="15" hidden="false" customHeight="false" outlineLevel="0" collapsed="false">
      <c r="A2815" s="0" t="n">
        <v>3</v>
      </c>
      <c r="B2815" s="0" t="n">
        <v>7</v>
      </c>
      <c r="C2815" s="0" t="n">
        <v>6</v>
      </c>
      <c r="D2815" s="0" t="n">
        <v>2</v>
      </c>
      <c r="E2815" s="0" t="n">
        <f aca="false">-1+A2815*0.25</f>
        <v>-0.25</v>
      </c>
      <c r="F2815" s="0" t="n">
        <f aca="false">-1+B2815*0.25</f>
        <v>0.75</v>
      </c>
      <c r="G2815" s="0" t="n">
        <f aca="false">-1+C2815*0.25</f>
        <v>0.5</v>
      </c>
      <c r="H2815" s="0" t="n">
        <f aca="false">-1+D2815*0.25</f>
        <v>-0.5</v>
      </c>
      <c r="I2815" s="0" t="n">
        <f aca="false">1</f>
        <v>1</v>
      </c>
      <c r="J2815" s="0" t="n">
        <f aca="false">E2815</f>
        <v>-0.25</v>
      </c>
      <c r="K2815" s="0" t="n">
        <f aca="false">F2815</f>
        <v>0.75</v>
      </c>
      <c r="L2815" s="0" t="n">
        <f aca="false">G2815</f>
        <v>0.5</v>
      </c>
      <c r="M2815" s="0" t="n">
        <f aca="false">H2815</f>
        <v>-0.5</v>
      </c>
      <c r="N2815" s="0" t="n">
        <f aca="false">E2815*F2815</f>
        <v>-0.1875</v>
      </c>
      <c r="O2815" s="0" t="n">
        <f aca="false">E2815*G2815</f>
        <v>-0.125</v>
      </c>
      <c r="P2815" s="0" t="n">
        <f aca="false">E2815*H2815</f>
        <v>0.125</v>
      </c>
      <c r="Q2815" s="0" t="n">
        <f aca="false">F2815*G2815</f>
        <v>0.375</v>
      </c>
      <c r="R2815" s="0" t="n">
        <f aca="false">F2815*H2815</f>
        <v>-0.375</v>
      </c>
      <c r="S2815" s="0" t="n">
        <f aca="false">G2815*H2815</f>
        <v>-0.25</v>
      </c>
      <c r="T2815" s="0" t="n">
        <f aca="false">E2815*E2815</f>
        <v>0.0625</v>
      </c>
      <c r="U2815" s="0" t="n">
        <f aca="false">F2815*F2815</f>
        <v>0.5625</v>
      </c>
      <c r="V2815" s="0" t="n">
        <f aca="false">G2815*G2815</f>
        <v>0.25</v>
      </c>
      <c r="W2815" s="0" t="n">
        <f aca="false">H2815*H2815</f>
        <v>0.25</v>
      </c>
      <c r="X2815" s="0" t="n">
        <f aca="false">SUMPRODUCT(I2815:W2815,_XtX!$B$96:$P$96)</f>
        <v>47.3969024122807</v>
      </c>
      <c r="Y2815" s="0" t="n">
        <f aca="false">SUMPRODUCT(MMULT(I2815:W2815,_XtX!$B$78:$P$92),I2815:W2815)</f>
        <v>0.203746059484649</v>
      </c>
      <c r="Z2815" s="0" t="n">
        <f aca="false">04_回帰ANOVA!$K$19*04_回帰ANOVA!$K$14*SQRT(1+Y2815)</f>
        <v>1.43009810755465</v>
      </c>
      <c r="AA2815" s="0" t="n">
        <f aca="false">X2815-Z2815</f>
        <v>45.966804304726</v>
      </c>
      <c r="AB2815" s="0" t="n">
        <f aca="false">X2815+Z2815</f>
        <v>48.8270005198353</v>
      </c>
      <c r="AC2815" s="54" t="b">
        <f aca="false">AND(E2815&gt;=01_因子設定!$L$5-0.000000001,E2815&lt;=01_因子設定!$M$5+0.000000001,F2815&gt;=01_因子設定!$L$6-0.000000001,F2815&lt;=01_因子設定!$M$6+0.000000001,G2815&gt;=01_因子設定!$L$7-0.000000001,G2815&lt;=01_因子設定!$M$7+0.000000001,H2815&gt;=01_因子設定!$L$8-0.000000001,H2815&lt;=01_因子設定!$M$8+0.000000001,IF(01_因子設定!$B$20="Box-Behnken",E2815^2+F2815^2+G2815^2+H2815^2&lt;=2+0.000000001,TRUE()))</f>
        <v>1</v>
      </c>
      <c r="AD2815" s="55" t="n">
        <f aca="false">IF(AC2815,IF(01_因子設定!$B$13="最大化",AA2815-01_因子設定!$B$14,IF(01_因子設定!$B$13="最小化",01_因子設定!$B$15-AB2815,MIN(AA2815-01_因子設定!$B$14,01_因子設定!$B$15-AB2815))),-1E+030)</f>
        <v>-0.533195695273996</v>
      </c>
      <c r="AE2815" s="55" t="n">
        <f aca="false">IF(AC2815,IF(01_因子設定!$B$13="最大化",X2815,IF(01_因子設定!$B$13="最小化",-X2815,-ABS(X2815-01_因子設定!$B$16))),-1E+030)</f>
        <v>47.3969024122807</v>
      </c>
      <c r="AF2815" s="55" t="n">
        <f aca="false">AD2815+ROW()*0.000000001</f>
        <v>-0.533192880273996</v>
      </c>
      <c r="AG2815" s="55" t="n">
        <f aca="false">AE2815+ROW()*0.000000001</f>
        <v>47.3969052272807</v>
      </c>
    </row>
    <row r="2816" customFormat="false" ht="15" hidden="false" customHeight="false" outlineLevel="0" collapsed="false">
      <c r="A2816" s="0" t="n">
        <v>3</v>
      </c>
      <c r="B2816" s="0" t="n">
        <v>7</v>
      </c>
      <c r="C2816" s="0" t="n">
        <v>6</v>
      </c>
      <c r="D2816" s="0" t="n">
        <v>3</v>
      </c>
      <c r="E2816" s="0" t="n">
        <f aca="false">-1+A2816*0.25</f>
        <v>-0.25</v>
      </c>
      <c r="F2816" s="0" t="n">
        <f aca="false">-1+B2816*0.25</f>
        <v>0.75</v>
      </c>
      <c r="G2816" s="0" t="n">
        <f aca="false">-1+C2816*0.25</f>
        <v>0.5</v>
      </c>
      <c r="H2816" s="0" t="n">
        <f aca="false">-1+D2816*0.25</f>
        <v>-0.25</v>
      </c>
      <c r="I2816" s="0" t="n">
        <f aca="false">1</f>
        <v>1</v>
      </c>
      <c r="J2816" s="0" t="n">
        <f aca="false">E2816</f>
        <v>-0.25</v>
      </c>
      <c r="K2816" s="0" t="n">
        <f aca="false">F2816</f>
        <v>0.75</v>
      </c>
      <c r="L2816" s="0" t="n">
        <f aca="false">G2816</f>
        <v>0.5</v>
      </c>
      <c r="M2816" s="0" t="n">
        <f aca="false">H2816</f>
        <v>-0.25</v>
      </c>
      <c r="N2816" s="0" t="n">
        <f aca="false">E2816*F2816</f>
        <v>-0.1875</v>
      </c>
      <c r="O2816" s="0" t="n">
        <f aca="false">E2816*G2816</f>
        <v>-0.125</v>
      </c>
      <c r="P2816" s="0" t="n">
        <f aca="false">E2816*H2816</f>
        <v>0.0625</v>
      </c>
      <c r="Q2816" s="0" t="n">
        <f aca="false">F2816*G2816</f>
        <v>0.375</v>
      </c>
      <c r="R2816" s="0" t="n">
        <f aca="false">F2816*H2816</f>
        <v>-0.1875</v>
      </c>
      <c r="S2816" s="0" t="n">
        <f aca="false">G2816*H2816</f>
        <v>-0.125</v>
      </c>
      <c r="T2816" s="0" t="n">
        <f aca="false">E2816*E2816</f>
        <v>0.0625</v>
      </c>
      <c r="U2816" s="0" t="n">
        <f aca="false">F2816*F2816</f>
        <v>0.5625</v>
      </c>
      <c r="V2816" s="0" t="n">
        <f aca="false">G2816*G2816</f>
        <v>0.25</v>
      </c>
      <c r="W2816" s="0" t="n">
        <f aca="false">H2816*H2816</f>
        <v>0.0625</v>
      </c>
      <c r="X2816" s="0" t="n">
        <f aca="false">SUMPRODUCT(I2816:W2816,_XtX!$B$96:$P$96)</f>
        <v>47.5582830774853</v>
      </c>
      <c r="Y2816" s="0" t="n">
        <f aca="false">SUMPRODUCT(MMULT(I2816:W2816,_XtX!$B$78:$P$92),I2816:W2816)</f>
        <v>0.207746539199561</v>
      </c>
      <c r="Z2816" s="0" t="n">
        <f aca="false">04_回帰ANOVA!$K$19*04_回帰ANOVA!$K$14*SQRT(1+Y2816)</f>
        <v>1.43247250081141</v>
      </c>
      <c r="AA2816" s="0" t="n">
        <f aca="false">X2816-Z2816</f>
        <v>46.1258105766739</v>
      </c>
      <c r="AB2816" s="0" t="n">
        <f aca="false">X2816+Z2816</f>
        <v>48.9907555782967</v>
      </c>
      <c r="AC2816" s="54" t="b">
        <f aca="false">AND(E2816&gt;=01_因子設定!$L$5-0.000000001,E2816&lt;=01_因子設定!$M$5+0.000000001,F2816&gt;=01_因子設定!$L$6-0.000000001,F2816&lt;=01_因子設定!$M$6+0.000000001,G2816&gt;=01_因子設定!$L$7-0.000000001,G2816&lt;=01_因子設定!$M$7+0.000000001,H2816&gt;=01_因子設定!$L$8-0.000000001,H2816&lt;=01_因子設定!$M$8+0.000000001,IF(01_因子設定!$B$20="Box-Behnken",E2816^2+F2816^2+G2816^2+H2816^2&lt;=2+0.000000001,TRUE()))</f>
        <v>1</v>
      </c>
      <c r="AD2816" s="55" t="n">
        <f aca="false">IF(AC2816,IF(01_因子設定!$B$13="最大化",AA2816-01_因子設定!$B$14,IF(01_因子設定!$B$13="最小化",01_因子設定!$B$15-AB2816,MIN(AA2816-01_因子設定!$B$14,01_因子設定!$B$15-AB2816))),-1E+030)</f>
        <v>-0.374189423326087</v>
      </c>
      <c r="AE2816" s="55" t="n">
        <f aca="false">IF(AC2816,IF(01_因子設定!$B$13="最大化",X2816,IF(01_因子設定!$B$13="最小化",-X2816,-ABS(X2816-01_因子設定!$B$16))),-1E+030)</f>
        <v>47.5582830774853</v>
      </c>
      <c r="AF2816" s="55" t="n">
        <f aca="false">AD2816+ROW()*0.000000001</f>
        <v>-0.374186607326087</v>
      </c>
      <c r="AG2816" s="55" t="n">
        <f aca="false">AE2816+ROW()*0.000000001</f>
        <v>47.5582858934853</v>
      </c>
    </row>
    <row r="2817" customFormat="false" ht="15" hidden="false" customHeight="false" outlineLevel="0" collapsed="false">
      <c r="A2817" s="0" t="n">
        <v>3</v>
      </c>
      <c r="B2817" s="0" t="n">
        <v>7</v>
      </c>
      <c r="C2817" s="0" t="n">
        <v>6</v>
      </c>
      <c r="D2817" s="0" t="n">
        <v>4</v>
      </c>
      <c r="E2817" s="0" t="n">
        <f aca="false">-1+A2817*0.25</f>
        <v>-0.25</v>
      </c>
      <c r="F2817" s="0" t="n">
        <f aca="false">-1+B2817*0.25</f>
        <v>0.75</v>
      </c>
      <c r="G2817" s="0" t="n">
        <f aca="false">-1+C2817*0.25</f>
        <v>0.5</v>
      </c>
      <c r="H2817" s="0" t="n">
        <f aca="false">-1+D2817*0.25</f>
        <v>0</v>
      </c>
      <c r="I2817" s="0" t="n">
        <f aca="false">1</f>
        <v>1</v>
      </c>
      <c r="J2817" s="0" t="n">
        <f aca="false">E2817</f>
        <v>-0.25</v>
      </c>
      <c r="K2817" s="0" t="n">
        <f aca="false">F2817</f>
        <v>0.75</v>
      </c>
      <c r="L2817" s="0" t="n">
        <f aca="false">G2817</f>
        <v>0.5</v>
      </c>
      <c r="M2817" s="0" t="n">
        <f aca="false">H2817</f>
        <v>0</v>
      </c>
      <c r="N2817" s="0" t="n">
        <f aca="false">E2817*F2817</f>
        <v>-0.1875</v>
      </c>
      <c r="O2817" s="0" t="n">
        <f aca="false">E2817*G2817</f>
        <v>-0.125</v>
      </c>
      <c r="P2817" s="0" t="n">
        <f aca="false">E2817*H2817</f>
        <v>-0</v>
      </c>
      <c r="Q2817" s="0" t="n">
        <f aca="false">F2817*G2817</f>
        <v>0.375</v>
      </c>
      <c r="R2817" s="0" t="n">
        <f aca="false">F2817*H2817</f>
        <v>0</v>
      </c>
      <c r="S2817" s="0" t="n">
        <f aca="false">G2817*H2817</f>
        <v>0</v>
      </c>
      <c r="T2817" s="0" t="n">
        <f aca="false">E2817*E2817</f>
        <v>0.0625</v>
      </c>
      <c r="U2817" s="0" t="n">
        <f aca="false">F2817*F2817</f>
        <v>0.5625</v>
      </c>
      <c r="V2817" s="0" t="n">
        <f aca="false">G2817*G2817</f>
        <v>0.25</v>
      </c>
      <c r="W2817" s="0" t="n">
        <f aca="false">H2817*H2817</f>
        <v>0</v>
      </c>
      <c r="X2817" s="0" t="n">
        <f aca="false">SUMPRODUCT(I2817:W2817,_XtX!$B$96:$P$96)</f>
        <v>47.6718567251461</v>
      </c>
      <c r="Y2817" s="0" t="n">
        <f aca="false">SUMPRODUCT(MMULT(I2817:W2817,_XtX!$B$78:$P$92),I2817:W2817)</f>
        <v>0.215110734192252</v>
      </c>
      <c r="Z2817" s="0" t="n">
        <f aca="false">04_回帰ANOVA!$K$19*04_回帰ANOVA!$K$14*SQRT(1+Y2817)</f>
        <v>1.43683309086864</v>
      </c>
      <c r="AA2817" s="0" t="n">
        <f aca="false">X2817-Z2817</f>
        <v>46.2350236342775</v>
      </c>
      <c r="AB2817" s="0" t="n">
        <f aca="false">X2817+Z2817</f>
        <v>49.1086898160148</v>
      </c>
      <c r="AC2817" s="54" t="b">
        <f aca="false">AND(E2817&gt;=01_因子設定!$L$5-0.000000001,E2817&lt;=01_因子設定!$M$5+0.000000001,F2817&gt;=01_因子設定!$L$6-0.000000001,F2817&lt;=01_因子設定!$M$6+0.000000001,G2817&gt;=01_因子設定!$L$7-0.000000001,G2817&lt;=01_因子設定!$M$7+0.000000001,H2817&gt;=01_因子設定!$L$8-0.000000001,H2817&lt;=01_因子設定!$M$8+0.000000001,IF(01_因子設定!$B$20="Box-Behnken",E2817^2+F2817^2+G2817^2+H2817^2&lt;=2+0.000000001,TRUE()))</f>
        <v>1</v>
      </c>
      <c r="AD2817" s="55" t="n">
        <f aca="false">IF(AC2817,IF(01_因子設定!$B$13="最大化",AA2817-01_因子設定!$B$14,IF(01_因子設定!$B$13="最小化",01_因子設定!$B$15-AB2817,MIN(AA2817-01_因子設定!$B$14,01_因子設定!$B$15-AB2817))),-1E+030)</f>
        <v>-0.264976365722504</v>
      </c>
      <c r="AE2817" s="55" t="n">
        <f aca="false">IF(AC2817,IF(01_因子設定!$B$13="最大化",X2817,IF(01_因子設定!$B$13="最小化",-X2817,-ABS(X2817-01_因子設定!$B$16))),-1E+030)</f>
        <v>47.6718567251461</v>
      </c>
      <c r="AF2817" s="55" t="n">
        <f aca="false">AD2817+ROW()*0.000000001</f>
        <v>-0.264973548722504</v>
      </c>
      <c r="AG2817" s="55" t="n">
        <f aca="false">AE2817+ROW()*0.000000001</f>
        <v>47.6718595421461</v>
      </c>
    </row>
    <row r="2818" customFormat="false" ht="15" hidden="false" customHeight="false" outlineLevel="0" collapsed="false">
      <c r="A2818" s="0" t="n">
        <v>3</v>
      </c>
      <c r="B2818" s="0" t="n">
        <v>7</v>
      </c>
      <c r="C2818" s="0" t="n">
        <v>6</v>
      </c>
      <c r="D2818" s="0" t="n">
        <v>5</v>
      </c>
      <c r="E2818" s="0" t="n">
        <f aca="false">-1+A2818*0.25</f>
        <v>-0.25</v>
      </c>
      <c r="F2818" s="0" t="n">
        <f aca="false">-1+B2818*0.25</f>
        <v>0.75</v>
      </c>
      <c r="G2818" s="0" t="n">
        <f aca="false">-1+C2818*0.25</f>
        <v>0.5</v>
      </c>
      <c r="H2818" s="0" t="n">
        <f aca="false">-1+D2818*0.25</f>
        <v>0.25</v>
      </c>
      <c r="I2818" s="0" t="n">
        <f aca="false">1</f>
        <v>1</v>
      </c>
      <c r="J2818" s="0" t="n">
        <f aca="false">E2818</f>
        <v>-0.25</v>
      </c>
      <c r="K2818" s="0" t="n">
        <f aca="false">F2818</f>
        <v>0.75</v>
      </c>
      <c r="L2818" s="0" t="n">
        <f aca="false">G2818</f>
        <v>0.5</v>
      </c>
      <c r="M2818" s="0" t="n">
        <f aca="false">H2818</f>
        <v>0.25</v>
      </c>
      <c r="N2818" s="0" t="n">
        <f aca="false">E2818*F2818</f>
        <v>-0.1875</v>
      </c>
      <c r="O2818" s="0" t="n">
        <f aca="false">E2818*G2818</f>
        <v>-0.125</v>
      </c>
      <c r="P2818" s="0" t="n">
        <f aca="false">E2818*H2818</f>
        <v>-0.0625</v>
      </c>
      <c r="Q2818" s="0" t="n">
        <f aca="false">F2818*G2818</f>
        <v>0.375</v>
      </c>
      <c r="R2818" s="0" t="n">
        <f aca="false">F2818*H2818</f>
        <v>0.1875</v>
      </c>
      <c r="S2818" s="0" t="n">
        <f aca="false">G2818*H2818</f>
        <v>0.125</v>
      </c>
      <c r="T2818" s="0" t="n">
        <f aca="false">E2818*E2818</f>
        <v>0.0625</v>
      </c>
      <c r="U2818" s="0" t="n">
        <f aca="false">F2818*F2818</f>
        <v>0.5625</v>
      </c>
      <c r="V2818" s="0" t="n">
        <f aca="false">G2818*G2818</f>
        <v>0.25</v>
      </c>
      <c r="W2818" s="0" t="n">
        <f aca="false">H2818*H2818</f>
        <v>0.0625</v>
      </c>
      <c r="X2818" s="0" t="n">
        <f aca="false">SUMPRODUCT(I2818:W2818,_XtX!$B$96:$P$96)</f>
        <v>47.7376233552631</v>
      </c>
      <c r="Y2818" s="0" t="n">
        <f aca="false">SUMPRODUCT(MMULT(I2818:W2818,_XtX!$B$78:$P$92),I2818:W2818)</f>
        <v>0.207746539199561</v>
      </c>
      <c r="Z2818" s="0" t="n">
        <f aca="false">04_回帰ANOVA!$K$19*04_回帰ANOVA!$K$14*SQRT(1+Y2818)</f>
        <v>1.43247250081141</v>
      </c>
      <c r="AA2818" s="0" t="n">
        <f aca="false">X2818-Z2818</f>
        <v>46.3051508544517</v>
      </c>
      <c r="AB2818" s="0" t="n">
        <f aca="false">X2818+Z2818</f>
        <v>49.1700958560745</v>
      </c>
      <c r="AC2818" s="54" t="b">
        <f aca="false">AND(E2818&gt;=01_因子設定!$L$5-0.000000001,E2818&lt;=01_因子設定!$M$5+0.000000001,F2818&gt;=01_因子設定!$L$6-0.000000001,F2818&lt;=01_因子設定!$M$6+0.000000001,G2818&gt;=01_因子設定!$L$7-0.000000001,G2818&lt;=01_因子設定!$M$7+0.000000001,H2818&gt;=01_因子設定!$L$8-0.000000001,H2818&lt;=01_因子設定!$M$8+0.000000001,IF(01_因子設定!$B$20="Box-Behnken",E2818^2+F2818^2+G2818^2+H2818^2&lt;=2+0.000000001,TRUE()))</f>
        <v>1</v>
      </c>
      <c r="AD2818" s="55" t="n">
        <f aca="false">IF(AC2818,IF(01_因子設定!$B$13="最大化",AA2818-01_因子設定!$B$14,IF(01_因子設定!$B$13="最小化",01_因子設定!$B$15-AB2818,MIN(AA2818-01_因子設定!$B$14,01_因子設定!$B$15-AB2818))),-1E+030)</f>
        <v>-0.194849145548311</v>
      </c>
      <c r="AE2818" s="55" t="n">
        <f aca="false">IF(AC2818,IF(01_因子設定!$B$13="最大化",X2818,IF(01_因子設定!$B$13="最小化",-X2818,-ABS(X2818-01_因子設定!$B$16))),-1E+030)</f>
        <v>47.7376233552631</v>
      </c>
      <c r="AF2818" s="55" t="n">
        <f aca="false">AD2818+ROW()*0.000000001</f>
        <v>-0.194846327548311</v>
      </c>
      <c r="AG2818" s="55" t="n">
        <f aca="false">AE2818+ROW()*0.000000001</f>
        <v>47.7376261732631</v>
      </c>
    </row>
    <row r="2819" customFormat="false" ht="15" hidden="false" customHeight="false" outlineLevel="0" collapsed="false">
      <c r="A2819" s="0" t="n">
        <v>3</v>
      </c>
      <c r="B2819" s="0" t="n">
        <v>7</v>
      </c>
      <c r="C2819" s="0" t="n">
        <v>6</v>
      </c>
      <c r="D2819" s="0" t="n">
        <v>6</v>
      </c>
      <c r="E2819" s="0" t="n">
        <f aca="false">-1+A2819*0.25</f>
        <v>-0.25</v>
      </c>
      <c r="F2819" s="0" t="n">
        <f aca="false">-1+B2819*0.25</f>
        <v>0.75</v>
      </c>
      <c r="G2819" s="0" t="n">
        <f aca="false">-1+C2819*0.25</f>
        <v>0.5</v>
      </c>
      <c r="H2819" s="0" t="n">
        <f aca="false">-1+D2819*0.25</f>
        <v>0.5</v>
      </c>
      <c r="I2819" s="0" t="n">
        <f aca="false">1</f>
        <v>1</v>
      </c>
      <c r="J2819" s="0" t="n">
        <f aca="false">E2819</f>
        <v>-0.25</v>
      </c>
      <c r="K2819" s="0" t="n">
        <f aca="false">F2819</f>
        <v>0.75</v>
      </c>
      <c r="L2819" s="0" t="n">
        <f aca="false">G2819</f>
        <v>0.5</v>
      </c>
      <c r="M2819" s="0" t="n">
        <f aca="false">H2819</f>
        <v>0.5</v>
      </c>
      <c r="N2819" s="0" t="n">
        <f aca="false">E2819*F2819</f>
        <v>-0.1875</v>
      </c>
      <c r="O2819" s="0" t="n">
        <f aca="false">E2819*G2819</f>
        <v>-0.125</v>
      </c>
      <c r="P2819" s="0" t="n">
        <f aca="false">E2819*H2819</f>
        <v>-0.125</v>
      </c>
      <c r="Q2819" s="0" t="n">
        <f aca="false">F2819*G2819</f>
        <v>0.375</v>
      </c>
      <c r="R2819" s="0" t="n">
        <f aca="false">F2819*H2819</f>
        <v>0.375</v>
      </c>
      <c r="S2819" s="0" t="n">
        <f aca="false">G2819*H2819</f>
        <v>0.25</v>
      </c>
      <c r="T2819" s="0" t="n">
        <f aca="false">E2819*E2819</f>
        <v>0.0625</v>
      </c>
      <c r="U2819" s="0" t="n">
        <f aca="false">F2819*F2819</f>
        <v>0.5625</v>
      </c>
      <c r="V2819" s="0" t="n">
        <f aca="false">G2819*G2819</f>
        <v>0.25</v>
      </c>
      <c r="W2819" s="0" t="n">
        <f aca="false">H2819*H2819</f>
        <v>0.25</v>
      </c>
      <c r="X2819" s="0" t="n">
        <f aca="false">SUMPRODUCT(I2819:W2819,_XtX!$B$96:$P$96)</f>
        <v>47.7555829678362</v>
      </c>
      <c r="Y2819" s="0" t="n">
        <f aca="false">SUMPRODUCT(MMULT(I2819:W2819,_XtX!$B$78:$P$92),I2819:W2819)</f>
        <v>0.203746059484649</v>
      </c>
      <c r="Z2819" s="0" t="n">
        <f aca="false">04_回帰ANOVA!$K$19*04_回帰ANOVA!$K$14*SQRT(1+Y2819)</f>
        <v>1.43009810755465</v>
      </c>
      <c r="AA2819" s="0" t="n">
        <f aca="false">X2819-Z2819</f>
        <v>46.3254848602816</v>
      </c>
      <c r="AB2819" s="0" t="n">
        <f aca="false">X2819+Z2819</f>
        <v>49.1856810753909</v>
      </c>
      <c r="AC2819" s="54" t="b">
        <f aca="false">AND(E2819&gt;=01_因子設定!$L$5-0.000000001,E2819&lt;=01_因子設定!$M$5+0.000000001,F2819&gt;=01_因子設定!$L$6-0.000000001,F2819&lt;=01_因子設定!$M$6+0.000000001,G2819&gt;=01_因子設定!$L$7-0.000000001,G2819&lt;=01_因子設定!$M$7+0.000000001,H2819&gt;=01_因子設定!$L$8-0.000000001,H2819&lt;=01_因子設定!$M$8+0.000000001,IF(01_因子設定!$B$20="Box-Behnken",E2819^2+F2819^2+G2819^2+H2819^2&lt;=2+0.000000001,TRUE()))</f>
        <v>1</v>
      </c>
      <c r="AD2819" s="55" t="n">
        <f aca="false">IF(AC2819,IF(01_因子設定!$B$13="最大化",AA2819-01_因子設定!$B$14,IF(01_因子設定!$B$13="最小化",01_因子設定!$B$15-AB2819,MIN(AA2819-01_因子設定!$B$14,01_因子設定!$B$15-AB2819))),-1E+030)</f>
        <v>-0.174515139718444</v>
      </c>
      <c r="AE2819" s="55" t="n">
        <f aca="false">IF(AC2819,IF(01_因子設定!$B$13="最大化",X2819,IF(01_因子設定!$B$13="最小化",-X2819,-ABS(X2819-01_因子設定!$B$16))),-1E+030)</f>
        <v>47.7555829678362</v>
      </c>
      <c r="AF2819" s="55" t="n">
        <f aca="false">AD2819+ROW()*0.000000001</f>
        <v>-0.174512320718444</v>
      </c>
      <c r="AG2819" s="55" t="n">
        <f aca="false">AE2819+ROW()*0.000000001</f>
        <v>47.7555857868362</v>
      </c>
    </row>
    <row r="2820" customFormat="false" ht="15" hidden="false" customHeight="false" outlineLevel="0" collapsed="false">
      <c r="A2820" s="0" t="n">
        <v>3</v>
      </c>
      <c r="B2820" s="0" t="n">
        <v>7</v>
      </c>
      <c r="C2820" s="0" t="n">
        <v>6</v>
      </c>
      <c r="D2820" s="0" t="n">
        <v>7</v>
      </c>
      <c r="E2820" s="0" t="n">
        <f aca="false">-1+A2820*0.25</f>
        <v>-0.25</v>
      </c>
      <c r="F2820" s="0" t="n">
        <f aca="false">-1+B2820*0.25</f>
        <v>0.75</v>
      </c>
      <c r="G2820" s="0" t="n">
        <f aca="false">-1+C2820*0.25</f>
        <v>0.5</v>
      </c>
      <c r="H2820" s="0" t="n">
        <f aca="false">-1+D2820*0.25</f>
        <v>0.75</v>
      </c>
      <c r="I2820" s="0" t="n">
        <f aca="false">1</f>
        <v>1</v>
      </c>
      <c r="J2820" s="0" t="n">
        <f aca="false">E2820</f>
        <v>-0.25</v>
      </c>
      <c r="K2820" s="0" t="n">
        <f aca="false">F2820</f>
        <v>0.75</v>
      </c>
      <c r="L2820" s="0" t="n">
        <f aca="false">G2820</f>
        <v>0.5</v>
      </c>
      <c r="M2820" s="0" t="n">
        <f aca="false">H2820</f>
        <v>0.75</v>
      </c>
      <c r="N2820" s="0" t="n">
        <f aca="false">E2820*F2820</f>
        <v>-0.1875</v>
      </c>
      <c r="O2820" s="0" t="n">
        <f aca="false">E2820*G2820</f>
        <v>-0.125</v>
      </c>
      <c r="P2820" s="0" t="n">
        <f aca="false">E2820*H2820</f>
        <v>-0.1875</v>
      </c>
      <c r="Q2820" s="0" t="n">
        <f aca="false">F2820*G2820</f>
        <v>0.375</v>
      </c>
      <c r="R2820" s="0" t="n">
        <f aca="false">F2820*H2820</f>
        <v>0.5625</v>
      </c>
      <c r="S2820" s="0" t="n">
        <f aca="false">G2820*H2820</f>
        <v>0.375</v>
      </c>
      <c r="T2820" s="0" t="n">
        <f aca="false">E2820*E2820</f>
        <v>0.0625</v>
      </c>
      <c r="U2820" s="0" t="n">
        <f aca="false">F2820*F2820</f>
        <v>0.5625</v>
      </c>
      <c r="V2820" s="0" t="n">
        <f aca="false">G2820*G2820</f>
        <v>0.25</v>
      </c>
      <c r="W2820" s="0" t="n">
        <f aca="false">H2820*H2820</f>
        <v>0.5625</v>
      </c>
      <c r="X2820" s="0" t="n">
        <f aca="false">SUMPRODUCT(I2820:W2820,_XtX!$B$96:$P$96)</f>
        <v>47.7257355628655</v>
      </c>
      <c r="Y2820" s="0" t="n">
        <f aca="false">SUMPRODUCT(MMULT(I2820:W2820,_XtX!$B$78:$P$92),I2820:W2820)</f>
        <v>0.257385610836988</v>
      </c>
      <c r="Z2820" s="0" t="n">
        <f aca="false">04_回帰ANOVA!$K$19*04_回帰ANOVA!$K$14*SQRT(1+Y2820)</f>
        <v>1.46161380324158</v>
      </c>
      <c r="AA2820" s="0" t="n">
        <f aca="false">X2820-Z2820</f>
        <v>46.2641217596239</v>
      </c>
      <c r="AB2820" s="0" t="n">
        <f aca="false">X2820+Z2820</f>
        <v>49.187349366107</v>
      </c>
      <c r="AC2820" s="54" t="b">
        <f aca="false">AND(E2820&gt;=01_因子設定!$L$5-0.000000001,E2820&lt;=01_因子設定!$M$5+0.000000001,F2820&gt;=01_因子設定!$L$6-0.000000001,F2820&lt;=01_因子設定!$M$6+0.000000001,G2820&gt;=01_因子設定!$L$7-0.000000001,G2820&lt;=01_因子設定!$M$7+0.000000001,H2820&gt;=01_因子設定!$L$8-0.000000001,H2820&lt;=01_因子設定!$M$8+0.000000001,IF(01_因子設定!$B$20="Box-Behnken",E2820^2+F2820^2+G2820^2+H2820^2&lt;=2+0.000000001,TRUE()))</f>
        <v>1</v>
      </c>
      <c r="AD2820" s="55" t="n">
        <f aca="false">IF(AC2820,IF(01_因子設定!$B$13="最大化",AA2820-01_因子設定!$B$14,IF(01_因子設定!$B$13="最小化",01_因子設定!$B$15-AB2820,MIN(AA2820-01_因子設定!$B$14,01_因子設定!$B$15-AB2820))),-1E+030)</f>
        <v>-0.235878240376124</v>
      </c>
      <c r="AE2820" s="55" t="n">
        <f aca="false">IF(AC2820,IF(01_因子設定!$B$13="最大化",X2820,IF(01_因子設定!$B$13="最小化",-X2820,-ABS(X2820-01_因子設定!$B$16))),-1E+030)</f>
        <v>47.7257355628655</v>
      </c>
      <c r="AF2820" s="55" t="n">
        <f aca="false">AD2820+ROW()*0.000000001</f>
        <v>-0.235875420376124</v>
      </c>
      <c r="AG2820" s="55" t="n">
        <f aca="false">AE2820+ROW()*0.000000001</f>
        <v>47.7257383828655</v>
      </c>
    </row>
    <row r="2821" customFormat="false" ht="15" hidden="false" customHeight="false" outlineLevel="0" collapsed="false">
      <c r="A2821" s="0" t="n">
        <v>3</v>
      </c>
      <c r="B2821" s="0" t="n">
        <v>7</v>
      </c>
      <c r="C2821" s="0" t="n">
        <v>6</v>
      </c>
      <c r="D2821" s="0" t="n">
        <v>8</v>
      </c>
      <c r="E2821" s="0" t="n">
        <f aca="false">-1+A2821*0.25</f>
        <v>-0.25</v>
      </c>
      <c r="F2821" s="0" t="n">
        <f aca="false">-1+B2821*0.25</f>
        <v>0.75</v>
      </c>
      <c r="G2821" s="0" t="n">
        <f aca="false">-1+C2821*0.25</f>
        <v>0.5</v>
      </c>
      <c r="H2821" s="0" t="n">
        <f aca="false">-1+D2821*0.25</f>
        <v>1</v>
      </c>
      <c r="I2821" s="0" t="n">
        <f aca="false">1</f>
        <v>1</v>
      </c>
      <c r="J2821" s="0" t="n">
        <f aca="false">E2821</f>
        <v>-0.25</v>
      </c>
      <c r="K2821" s="0" t="n">
        <f aca="false">F2821</f>
        <v>0.75</v>
      </c>
      <c r="L2821" s="0" t="n">
        <f aca="false">G2821</f>
        <v>0.5</v>
      </c>
      <c r="M2821" s="0" t="n">
        <f aca="false">H2821</f>
        <v>1</v>
      </c>
      <c r="N2821" s="0" t="n">
        <f aca="false">E2821*F2821</f>
        <v>-0.1875</v>
      </c>
      <c r="O2821" s="0" t="n">
        <f aca="false">E2821*G2821</f>
        <v>-0.125</v>
      </c>
      <c r="P2821" s="0" t="n">
        <f aca="false">E2821*H2821</f>
        <v>-0.25</v>
      </c>
      <c r="Q2821" s="0" t="n">
        <f aca="false">F2821*G2821</f>
        <v>0.375</v>
      </c>
      <c r="R2821" s="0" t="n">
        <f aca="false">F2821*H2821</f>
        <v>0.75</v>
      </c>
      <c r="S2821" s="0" t="n">
        <f aca="false">G2821*H2821</f>
        <v>0.5</v>
      </c>
      <c r="T2821" s="0" t="n">
        <f aca="false">E2821*E2821</f>
        <v>0.0625</v>
      </c>
      <c r="U2821" s="0" t="n">
        <f aca="false">F2821*F2821</f>
        <v>0.5625</v>
      </c>
      <c r="V2821" s="0" t="n">
        <f aca="false">G2821*G2821</f>
        <v>0.25</v>
      </c>
      <c r="W2821" s="0" t="n">
        <f aca="false">H2821*H2821</f>
        <v>1</v>
      </c>
      <c r="X2821" s="0" t="n">
        <f aca="false">SUMPRODUCT(I2821:W2821,_XtX!$B$96:$P$96)</f>
        <v>47.6480811403509</v>
      </c>
      <c r="Y2821" s="0" t="n">
        <f aca="false">SUMPRODUCT(MMULT(I2821:W2821,_XtX!$B$78:$P$92),I2821:W2821)</f>
        <v>0.459125719572369</v>
      </c>
      <c r="Z2821" s="0" t="n">
        <f aca="false">04_回帰ANOVA!$K$19*04_回帰ANOVA!$K$14*SQRT(1+Y2821)</f>
        <v>1.57450755575573</v>
      </c>
      <c r="AA2821" s="0" t="n">
        <f aca="false">X2821-Z2821</f>
        <v>46.0735735845951</v>
      </c>
      <c r="AB2821" s="0" t="n">
        <f aca="false">X2821+Z2821</f>
        <v>49.2225886961066</v>
      </c>
      <c r="AC2821" s="54" t="b">
        <f aca="false">AND(E2821&gt;=01_因子設定!$L$5-0.000000001,E2821&lt;=01_因子設定!$M$5+0.000000001,F2821&gt;=01_因子設定!$L$6-0.000000001,F2821&lt;=01_因子設定!$M$6+0.000000001,G2821&gt;=01_因子設定!$L$7-0.000000001,G2821&lt;=01_因子設定!$M$7+0.000000001,H2821&gt;=01_因子設定!$L$8-0.000000001,H2821&lt;=01_因子設定!$M$8+0.000000001,IF(01_因子設定!$B$20="Box-Behnken",E2821^2+F2821^2+G2821^2+H2821^2&lt;=2+0.000000001,TRUE()))</f>
        <v>1</v>
      </c>
      <c r="AD2821" s="55" t="n">
        <f aca="false">IF(AC2821,IF(01_因子設定!$B$13="最大化",AA2821-01_因子設定!$B$14,IF(01_因子設定!$B$13="最小化",01_因子設定!$B$15-AB2821,MIN(AA2821-01_因子設定!$B$14,01_因子設定!$B$15-AB2821))),-1E+030)</f>
        <v>-0.426426415404876</v>
      </c>
      <c r="AE2821" s="55" t="n">
        <f aca="false">IF(AC2821,IF(01_因子設定!$B$13="最大化",X2821,IF(01_因子設定!$B$13="最小化",-X2821,-ABS(X2821-01_因子設定!$B$16))),-1E+030)</f>
        <v>47.6480811403509</v>
      </c>
      <c r="AF2821" s="55" t="n">
        <f aca="false">AD2821+ROW()*0.000000001</f>
        <v>-0.426423594404876</v>
      </c>
      <c r="AG2821" s="55" t="n">
        <f aca="false">AE2821+ROW()*0.000000001</f>
        <v>47.6480839613509</v>
      </c>
    </row>
    <row r="2822" customFormat="false" ht="15" hidden="false" customHeight="false" outlineLevel="0" collapsed="false">
      <c r="A2822" s="0" t="n">
        <v>3</v>
      </c>
      <c r="B2822" s="0" t="n">
        <v>7</v>
      </c>
      <c r="C2822" s="0" t="n">
        <v>7</v>
      </c>
      <c r="D2822" s="0" t="n">
        <v>0</v>
      </c>
      <c r="E2822" s="0" t="n">
        <f aca="false">-1+A2822*0.25</f>
        <v>-0.25</v>
      </c>
      <c r="F2822" s="0" t="n">
        <f aca="false">-1+B2822*0.25</f>
        <v>0.75</v>
      </c>
      <c r="G2822" s="0" t="n">
        <f aca="false">-1+C2822*0.25</f>
        <v>0.75</v>
      </c>
      <c r="H2822" s="0" t="n">
        <f aca="false">-1+D2822*0.25</f>
        <v>-1</v>
      </c>
      <c r="I2822" s="0" t="n">
        <f aca="false">1</f>
        <v>1</v>
      </c>
      <c r="J2822" s="0" t="n">
        <f aca="false">E2822</f>
        <v>-0.25</v>
      </c>
      <c r="K2822" s="0" t="n">
        <f aca="false">F2822</f>
        <v>0.75</v>
      </c>
      <c r="L2822" s="0" t="n">
        <f aca="false">G2822</f>
        <v>0.75</v>
      </c>
      <c r="M2822" s="0" t="n">
        <f aca="false">H2822</f>
        <v>-1</v>
      </c>
      <c r="N2822" s="0" t="n">
        <f aca="false">E2822*F2822</f>
        <v>-0.1875</v>
      </c>
      <c r="O2822" s="0" t="n">
        <f aca="false">E2822*G2822</f>
        <v>-0.1875</v>
      </c>
      <c r="P2822" s="0" t="n">
        <f aca="false">E2822*H2822</f>
        <v>0.25</v>
      </c>
      <c r="Q2822" s="0" t="n">
        <f aca="false">F2822*G2822</f>
        <v>0.5625</v>
      </c>
      <c r="R2822" s="0" t="n">
        <f aca="false">F2822*H2822</f>
        <v>-0.75</v>
      </c>
      <c r="S2822" s="0" t="n">
        <f aca="false">G2822*H2822</f>
        <v>-0.75</v>
      </c>
      <c r="T2822" s="0" t="n">
        <f aca="false">E2822*E2822</f>
        <v>0.0625</v>
      </c>
      <c r="U2822" s="0" t="n">
        <f aca="false">F2822*F2822</f>
        <v>0.5625</v>
      </c>
      <c r="V2822" s="0" t="n">
        <f aca="false">G2822*G2822</f>
        <v>0.5625</v>
      </c>
      <c r="W2822" s="0" t="n">
        <f aca="false">H2822*H2822</f>
        <v>1</v>
      </c>
      <c r="X2822" s="0" t="n">
        <f aca="false">SUMPRODUCT(I2822:W2822,_XtX!$B$96:$P$96)</f>
        <v>46.9906295687134</v>
      </c>
      <c r="Y2822" s="0" t="n">
        <f aca="false">SUMPRODUCT(MMULT(I2822:W2822,_XtX!$B$78:$P$92),I2822:W2822)</f>
        <v>0.473959761056287</v>
      </c>
      <c r="Z2822" s="0" t="n">
        <f aca="false">04_回帰ANOVA!$K$19*04_回帰ANOVA!$K$14*SQRT(1+Y2822)</f>
        <v>1.58249084588329</v>
      </c>
      <c r="AA2822" s="0" t="n">
        <f aca="false">X2822-Z2822</f>
        <v>45.4081387228301</v>
      </c>
      <c r="AB2822" s="0" t="n">
        <f aca="false">X2822+Z2822</f>
        <v>48.5731204145967</v>
      </c>
      <c r="AC2822" s="54" t="b">
        <f aca="false">AND(E2822&gt;=01_因子設定!$L$5-0.000000001,E2822&lt;=01_因子設定!$M$5+0.000000001,F2822&gt;=01_因子設定!$L$6-0.000000001,F2822&lt;=01_因子設定!$M$6+0.000000001,G2822&gt;=01_因子設定!$L$7-0.000000001,G2822&lt;=01_因子設定!$M$7+0.000000001,H2822&gt;=01_因子設定!$L$8-0.000000001,H2822&lt;=01_因子設定!$M$8+0.000000001,IF(01_因子設定!$B$20="Box-Behnken",E2822^2+F2822^2+G2822^2+H2822^2&lt;=2+0.000000001,TRUE()))</f>
        <v>1</v>
      </c>
      <c r="AD2822" s="55" t="n">
        <f aca="false">IF(AC2822,IF(01_因子設定!$B$13="最大化",AA2822-01_因子設定!$B$14,IF(01_因子設定!$B$13="最小化",01_因子設定!$B$15-AB2822,MIN(AA2822-01_因子設定!$B$14,01_因子設定!$B$15-AB2822))),-1E+030)</f>
        <v>-1.09186127716985</v>
      </c>
      <c r="AE2822" s="55" t="n">
        <f aca="false">IF(AC2822,IF(01_因子設定!$B$13="最大化",X2822,IF(01_因子設定!$B$13="最小化",-X2822,-ABS(X2822-01_因子設定!$B$16))),-1E+030)</f>
        <v>46.9906295687134</v>
      </c>
      <c r="AF2822" s="55" t="n">
        <f aca="false">AD2822+ROW()*0.000000001</f>
        <v>-1.09185845516986</v>
      </c>
      <c r="AG2822" s="55" t="n">
        <f aca="false">AE2822+ROW()*0.000000001</f>
        <v>46.9906323907134</v>
      </c>
    </row>
    <row r="2823" customFormat="false" ht="15" hidden="false" customHeight="false" outlineLevel="0" collapsed="false">
      <c r="A2823" s="0" t="n">
        <v>3</v>
      </c>
      <c r="B2823" s="0" t="n">
        <v>7</v>
      </c>
      <c r="C2823" s="0" t="n">
        <v>7</v>
      </c>
      <c r="D2823" s="0" t="n">
        <v>1</v>
      </c>
      <c r="E2823" s="0" t="n">
        <f aca="false">-1+A2823*0.25</f>
        <v>-0.25</v>
      </c>
      <c r="F2823" s="0" t="n">
        <f aca="false">-1+B2823*0.25</f>
        <v>0.75</v>
      </c>
      <c r="G2823" s="0" t="n">
        <f aca="false">-1+C2823*0.25</f>
        <v>0.75</v>
      </c>
      <c r="H2823" s="0" t="n">
        <f aca="false">-1+D2823*0.25</f>
        <v>-0.75</v>
      </c>
      <c r="I2823" s="0" t="n">
        <f aca="false">1</f>
        <v>1</v>
      </c>
      <c r="J2823" s="0" t="n">
        <f aca="false">E2823</f>
        <v>-0.25</v>
      </c>
      <c r="K2823" s="0" t="n">
        <f aca="false">F2823</f>
        <v>0.75</v>
      </c>
      <c r="L2823" s="0" t="n">
        <f aca="false">G2823</f>
        <v>0.75</v>
      </c>
      <c r="M2823" s="0" t="n">
        <f aca="false">H2823</f>
        <v>-0.75</v>
      </c>
      <c r="N2823" s="0" t="n">
        <f aca="false">E2823*F2823</f>
        <v>-0.1875</v>
      </c>
      <c r="O2823" s="0" t="n">
        <f aca="false">E2823*G2823</f>
        <v>-0.1875</v>
      </c>
      <c r="P2823" s="0" t="n">
        <f aca="false">E2823*H2823</f>
        <v>0.1875</v>
      </c>
      <c r="Q2823" s="0" t="n">
        <f aca="false">F2823*G2823</f>
        <v>0.5625</v>
      </c>
      <c r="R2823" s="0" t="n">
        <f aca="false">F2823*H2823</f>
        <v>-0.5625</v>
      </c>
      <c r="S2823" s="0" t="n">
        <f aca="false">G2823*H2823</f>
        <v>-0.5625</v>
      </c>
      <c r="T2823" s="0" t="n">
        <f aca="false">E2823*E2823</f>
        <v>0.0625</v>
      </c>
      <c r="U2823" s="0" t="n">
        <f aca="false">F2823*F2823</f>
        <v>0.5625</v>
      </c>
      <c r="V2823" s="0" t="n">
        <f aca="false">G2823*G2823</f>
        <v>0.5625</v>
      </c>
      <c r="W2823" s="0" t="n">
        <f aca="false">H2823*H2823</f>
        <v>0.5625</v>
      </c>
      <c r="X2823" s="0" t="n">
        <f aca="false">SUMPRODUCT(I2823:W2823,_XtX!$B$96:$P$96)</f>
        <v>47.2655930190058</v>
      </c>
      <c r="Y2823" s="0" t="n">
        <f aca="false">SUMPRODUCT(MMULT(I2823:W2823,_XtX!$B$78:$P$92),I2823:W2823)</f>
        <v>0.294856199744152</v>
      </c>
      <c r="Z2823" s="0" t="n">
        <f aca="false">04_回帰ANOVA!$K$19*04_回帰ANOVA!$K$14*SQRT(1+Y2823)</f>
        <v>1.48323226089013</v>
      </c>
      <c r="AA2823" s="0" t="n">
        <f aca="false">X2823-Z2823</f>
        <v>45.7823607581157</v>
      </c>
      <c r="AB2823" s="0" t="n">
        <f aca="false">X2823+Z2823</f>
        <v>48.748825279896</v>
      </c>
      <c r="AC2823" s="54" t="b">
        <f aca="false">AND(E2823&gt;=01_因子設定!$L$5-0.000000001,E2823&lt;=01_因子設定!$M$5+0.000000001,F2823&gt;=01_因子設定!$L$6-0.000000001,F2823&lt;=01_因子設定!$M$6+0.000000001,G2823&gt;=01_因子設定!$L$7-0.000000001,G2823&lt;=01_因子設定!$M$7+0.000000001,H2823&gt;=01_因子設定!$L$8-0.000000001,H2823&lt;=01_因子設定!$M$8+0.000000001,IF(01_因子設定!$B$20="Box-Behnken",E2823^2+F2823^2+G2823^2+H2823^2&lt;=2+0.000000001,TRUE()))</f>
        <v>1</v>
      </c>
      <c r="AD2823" s="55" t="n">
        <f aca="false">IF(AC2823,IF(01_因子設定!$B$13="最大化",AA2823-01_因子設定!$B$14,IF(01_因子設定!$B$13="最小化",01_因子設定!$B$15-AB2823,MIN(AA2823-01_因子設定!$B$14,01_因子設定!$B$15-AB2823))),-1E+030)</f>
        <v>-0.717639241884321</v>
      </c>
      <c r="AE2823" s="55" t="n">
        <f aca="false">IF(AC2823,IF(01_因子設定!$B$13="最大化",X2823,IF(01_因子設定!$B$13="最小化",-X2823,-ABS(X2823-01_因子設定!$B$16))),-1E+030)</f>
        <v>47.2655930190058</v>
      </c>
      <c r="AF2823" s="55" t="n">
        <f aca="false">AD2823+ROW()*0.000000001</f>
        <v>-0.717636418884321</v>
      </c>
      <c r="AG2823" s="55" t="n">
        <f aca="false">AE2823+ROW()*0.000000001</f>
        <v>47.2655958420058</v>
      </c>
    </row>
    <row r="2824" customFormat="false" ht="15" hidden="false" customHeight="false" outlineLevel="0" collapsed="false">
      <c r="A2824" s="0" t="n">
        <v>3</v>
      </c>
      <c r="B2824" s="0" t="n">
        <v>7</v>
      </c>
      <c r="C2824" s="0" t="n">
        <v>7</v>
      </c>
      <c r="D2824" s="0" t="n">
        <v>2</v>
      </c>
      <c r="E2824" s="0" t="n">
        <f aca="false">-1+A2824*0.25</f>
        <v>-0.25</v>
      </c>
      <c r="F2824" s="0" t="n">
        <f aca="false">-1+B2824*0.25</f>
        <v>0.75</v>
      </c>
      <c r="G2824" s="0" t="n">
        <f aca="false">-1+C2824*0.25</f>
        <v>0.75</v>
      </c>
      <c r="H2824" s="0" t="n">
        <f aca="false">-1+D2824*0.25</f>
        <v>-0.5</v>
      </c>
      <c r="I2824" s="0" t="n">
        <f aca="false">1</f>
        <v>1</v>
      </c>
      <c r="J2824" s="0" t="n">
        <f aca="false">E2824</f>
        <v>-0.25</v>
      </c>
      <c r="K2824" s="0" t="n">
        <f aca="false">F2824</f>
        <v>0.75</v>
      </c>
      <c r="L2824" s="0" t="n">
        <f aca="false">G2824</f>
        <v>0.75</v>
      </c>
      <c r="M2824" s="0" t="n">
        <f aca="false">H2824</f>
        <v>-0.5</v>
      </c>
      <c r="N2824" s="0" t="n">
        <f aca="false">E2824*F2824</f>
        <v>-0.1875</v>
      </c>
      <c r="O2824" s="0" t="n">
        <f aca="false">E2824*G2824</f>
        <v>-0.1875</v>
      </c>
      <c r="P2824" s="0" t="n">
        <f aca="false">E2824*H2824</f>
        <v>0.125</v>
      </c>
      <c r="Q2824" s="0" t="n">
        <f aca="false">F2824*G2824</f>
        <v>0.5625</v>
      </c>
      <c r="R2824" s="0" t="n">
        <f aca="false">F2824*H2824</f>
        <v>-0.375</v>
      </c>
      <c r="S2824" s="0" t="n">
        <f aca="false">G2824*H2824</f>
        <v>-0.375</v>
      </c>
      <c r="T2824" s="0" t="n">
        <f aca="false">E2824*E2824</f>
        <v>0.0625</v>
      </c>
      <c r="U2824" s="0" t="n">
        <f aca="false">F2824*F2824</f>
        <v>0.5625</v>
      </c>
      <c r="V2824" s="0" t="n">
        <f aca="false">G2824*G2824</f>
        <v>0.5625</v>
      </c>
      <c r="W2824" s="0" t="n">
        <f aca="false">H2824*H2824</f>
        <v>0.25</v>
      </c>
      <c r="X2824" s="0" t="n">
        <f aca="false">SUMPRODUCT(I2824:W2824,_XtX!$B$96:$P$96)</f>
        <v>47.4927494517543</v>
      </c>
      <c r="Y2824" s="0" t="n">
        <f aca="false">SUMPRODUCT(MMULT(I2824:W2824,_XtX!$B$78:$P$92),I2824:W2824)</f>
        <v>0.257385610836988</v>
      </c>
      <c r="Z2824" s="0" t="n">
        <f aca="false">04_回帰ANOVA!$K$19*04_回帰ANOVA!$K$14*SQRT(1+Y2824)</f>
        <v>1.46161380324158</v>
      </c>
      <c r="AA2824" s="0" t="n">
        <f aca="false">X2824-Z2824</f>
        <v>46.0311356485128</v>
      </c>
      <c r="AB2824" s="0" t="n">
        <f aca="false">X2824+Z2824</f>
        <v>48.9543632549959</v>
      </c>
      <c r="AC2824" s="54" t="b">
        <f aca="false">AND(E2824&gt;=01_因子設定!$L$5-0.000000001,E2824&lt;=01_因子設定!$M$5+0.000000001,F2824&gt;=01_因子設定!$L$6-0.000000001,F2824&lt;=01_因子設定!$M$6+0.000000001,G2824&gt;=01_因子設定!$L$7-0.000000001,G2824&lt;=01_因子設定!$M$7+0.000000001,H2824&gt;=01_因子設定!$L$8-0.000000001,H2824&lt;=01_因子設定!$M$8+0.000000001,IF(01_因子設定!$B$20="Box-Behnken",E2824^2+F2824^2+G2824^2+H2824^2&lt;=2+0.000000001,TRUE()))</f>
        <v>1</v>
      </c>
      <c r="AD2824" s="55" t="n">
        <f aca="false">IF(AC2824,IF(01_因子設定!$B$13="最大化",AA2824-01_因子設定!$B$14,IF(01_因子設定!$B$13="最小化",01_因子設定!$B$15-AB2824,MIN(AA2824-01_因子設定!$B$14,01_因子設定!$B$15-AB2824))),-1E+030)</f>
        <v>-0.468864351487248</v>
      </c>
      <c r="AE2824" s="55" t="n">
        <f aca="false">IF(AC2824,IF(01_因子設定!$B$13="最大化",X2824,IF(01_因子設定!$B$13="最小化",-X2824,-ABS(X2824-01_因子設定!$B$16))),-1E+030)</f>
        <v>47.4927494517543</v>
      </c>
      <c r="AF2824" s="55" t="n">
        <f aca="false">AD2824+ROW()*0.000000001</f>
        <v>-0.468861527487248</v>
      </c>
      <c r="AG2824" s="55" t="n">
        <f aca="false">AE2824+ROW()*0.000000001</f>
        <v>47.4927522757543</v>
      </c>
    </row>
    <row r="2825" customFormat="false" ht="15" hidden="false" customHeight="false" outlineLevel="0" collapsed="false">
      <c r="A2825" s="0" t="n">
        <v>3</v>
      </c>
      <c r="B2825" s="0" t="n">
        <v>7</v>
      </c>
      <c r="C2825" s="0" t="n">
        <v>7</v>
      </c>
      <c r="D2825" s="0" t="n">
        <v>3</v>
      </c>
      <c r="E2825" s="0" t="n">
        <f aca="false">-1+A2825*0.25</f>
        <v>-0.25</v>
      </c>
      <c r="F2825" s="0" t="n">
        <f aca="false">-1+B2825*0.25</f>
        <v>0.75</v>
      </c>
      <c r="G2825" s="0" t="n">
        <f aca="false">-1+C2825*0.25</f>
        <v>0.75</v>
      </c>
      <c r="H2825" s="0" t="n">
        <f aca="false">-1+D2825*0.25</f>
        <v>-0.25</v>
      </c>
      <c r="I2825" s="0" t="n">
        <f aca="false">1</f>
        <v>1</v>
      </c>
      <c r="J2825" s="0" t="n">
        <f aca="false">E2825</f>
        <v>-0.25</v>
      </c>
      <c r="K2825" s="0" t="n">
        <f aca="false">F2825</f>
        <v>0.75</v>
      </c>
      <c r="L2825" s="0" t="n">
        <f aca="false">G2825</f>
        <v>0.75</v>
      </c>
      <c r="M2825" s="0" t="n">
        <f aca="false">H2825</f>
        <v>-0.25</v>
      </c>
      <c r="N2825" s="0" t="n">
        <f aca="false">E2825*F2825</f>
        <v>-0.1875</v>
      </c>
      <c r="O2825" s="0" t="n">
        <f aca="false">E2825*G2825</f>
        <v>-0.1875</v>
      </c>
      <c r="P2825" s="0" t="n">
        <f aca="false">E2825*H2825</f>
        <v>0.0625</v>
      </c>
      <c r="Q2825" s="0" t="n">
        <f aca="false">F2825*G2825</f>
        <v>0.5625</v>
      </c>
      <c r="R2825" s="0" t="n">
        <f aca="false">F2825*H2825</f>
        <v>-0.1875</v>
      </c>
      <c r="S2825" s="0" t="n">
        <f aca="false">G2825*H2825</f>
        <v>-0.1875</v>
      </c>
      <c r="T2825" s="0" t="n">
        <f aca="false">E2825*E2825</f>
        <v>0.0625</v>
      </c>
      <c r="U2825" s="0" t="n">
        <f aca="false">F2825*F2825</f>
        <v>0.5625</v>
      </c>
      <c r="V2825" s="0" t="n">
        <f aca="false">G2825*G2825</f>
        <v>0.5625</v>
      </c>
      <c r="W2825" s="0" t="n">
        <f aca="false">H2825*H2825</f>
        <v>0.0625</v>
      </c>
      <c r="X2825" s="0" t="n">
        <f aca="false">SUMPRODUCT(I2825:W2825,_XtX!$B$96:$P$96)</f>
        <v>47.672098866959</v>
      </c>
      <c r="Y2825" s="0" t="n">
        <f aca="false">SUMPRODUCT(MMULT(I2825:W2825,_XtX!$B$78:$P$92),I2825:W2825)</f>
        <v>0.271087468019006</v>
      </c>
      <c r="Z2825" s="0" t="n">
        <f aca="false">04_回帰ANOVA!$K$19*04_回帰ANOVA!$K$14*SQRT(1+Y2825)</f>
        <v>1.46955590155034</v>
      </c>
      <c r="AA2825" s="0" t="n">
        <f aca="false">X2825-Z2825</f>
        <v>46.2025429654087</v>
      </c>
      <c r="AB2825" s="0" t="n">
        <f aca="false">X2825+Z2825</f>
        <v>49.1416547685094</v>
      </c>
      <c r="AC2825" s="54" t="b">
        <f aca="false">AND(E2825&gt;=01_因子設定!$L$5-0.000000001,E2825&lt;=01_因子設定!$M$5+0.000000001,F2825&gt;=01_因子設定!$L$6-0.000000001,F2825&lt;=01_因子設定!$M$6+0.000000001,G2825&gt;=01_因子設定!$L$7-0.000000001,G2825&lt;=01_因子設定!$M$7+0.000000001,H2825&gt;=01_因子設定!$L$8-0.000000001,H2825&lt;=01_因子設定!$M$8+0.000000001,IF(01_因子設定!$B$20="Box-Behnken",E2825^2+F2825^2+G2825^2+H2825^2&lt;=2+0.000000001,TRUE()))</f>
        <v>1</v>
      </c>
      <c r="AD2825" s="55" t="n">
        <f aca="false">IF(AC2825,IF(01_因子設定!$B$13="最大化",AA2825-01_因子設定!$B$14,IF(01_因子設定!$B$13="最小化",01_因子設定!$B$15-AB2825,MIN(AA2825-01_因子設定!$B$14,01_因子設定!$B$15-AB2825))),-1E+030)</f>
        <v>-0.297457034591332</v>
      </c>
      <c r="AE2825" s="55" t="n">
        <f aca="false">IF(AC2825,IF(01_因子設定!$B$13="最大化",X2825,IF(01_因子設定!$B$13="最小化",-X2825,-ABS(X2825-01_因子設定!$B$16))),-1E+030)</f>
        <v>47.672098866959</v>
      </c>
      <c r="AF2825" s="55" t="n">
        <f aca="false">AD2825+ROW()*0.000000001</f>
        <v>-0.297454209591332</v>
      </c>
      <c r="AG2825" s="55" t="n">
        <f aca="false">AE2825+ROW()*0.000000001</f>
        <v>47.672101691959</v>
      </c>
    </row>
    <row r="2826" customFormat="false" ht="15" hidden="false" customHeight="false" outlineLevel="0" collapsed="false">
      <c r="A2826" s="0" t="n">
        <v>3</v>
      </c>
      <c r="B2826" s="0" t="n">
        <v>7</v>
      </c>
      <c r="C2826" s="0" t="n">
        <v>7</v>
      </c>
      <c r="D2826" s="0" t="n">
        <v>4</v>
      </c>
      <c r="E2826" s="0" t="n">
        <f aca="false">-1+A2826*0.25</f>
        <v>-0.25</v>
      </c>
      <c r="F2826" s="0" t="n">
        <f aca="false">-1+B2826*0.25</f>
        <v>0.75</v>
      </c>
      <c r="G2826" s="0" t="n">
        <f aca="false">-1+C2826*0.25</f>
        <v>0.75</v>
      </c>
      <c r="H2826" s="0" t="n">
        <f aca="false">-1+D2826*0.25</f>
        <v>0</v>
      </c>
      <c r="I2826" s="0" t="n">
        <f aca="false">1</f>
        <v>1</v>
      </c>
      <c r="J2826" s="0" t="n">
        <f aca="false">E2826</f>
        <v>-0.25</v>
      </c>
      <c r="K2826" s="0" t="n">
        <f aca="false">F2826</f>
        <v>0.75</v>
      </c>
      <c r="L2826" s="0" t="n">
        <f aca="false">G2826</f>
        <v>0.75</v>
      </c>
      <c r="M2826" s="0" t="n">
        <f aca="false">H2826</f>
        <v>0</v>
      </c>
      <c r="N2826" s="0" t="n">
        <f aca="false">E2826*F2826</f>
        <v>-0.1875</v>
      </c>
      <c r="O2826" s="0" t="n">
        <f aca="false">E2826*G2826</f>
        <v>-0.1875</v>
      </c>
      <c r="P2826" s="0" t="n">
        <f aca="false">E2826*H2826</f>
        <v>-0</v>
      </c>
      <c r="Q2826" s="0" t="n">
        <f aca="false">F2826*G2826</f>
        <v>0.5625</v>
      </c>
      <c r="R2826" s="0" t="n">
        <f aca="false">F2826*H2826</f>
        <v>0</v>
      </c>
      <c r="S2826" s="0" t="n">
        <f aca="false">G2826*H2826</f>
        <v>0</v>
      </c>
      <c r="T2826" s="0" t="n">
        <f aca="false">E2826*E2826</f>
        <v>0.0625</v>
      </c>
      <c r="U2826" s="0" t="n">
        <f aca="false">F2826*F2826</f>
        <v>0.5625</v>
      </c>
      <c r="V2826" s="0" t="n">
        <f aca="false">G2826*G2826</f>
        <v>0.5625</v>
      </c>
      <c r="W2826" s="0" t="n">
        <f aca="false">H2826*H2826</f>
        <v>0</v>
      </c>
      <c r="X2826" s="0" t="n">
        <f aca="false">SUMPRODUCT(I2826:W2826,_XtX!$B$96:$P$96)</f>
        <v>47.8036412646198</v>
      </c>
      <c r="Y2826" s="0" t="n">
        <f aca="false">SUMPRODUCT(MMULT(I2826:W2826,_XtX!$B$78:$P$92),I2826:W2826)</f>
        <v>0.281685455500731</v>
      </c>
      <c r="Z2826" s="0" t="n">
        <f aca="false">04_回帰ANOVA!$K$19*04_回帰ANOVA!$K$14*SQRT(1+Y2826)</f>
        <v>1.47566956658694</v>
      </c>
      <c r="AA2826" s="0" t="n">
        <f aca="false">X2826-Z2826</f>
        <v>46.3279716980329</v>
      </c>
      <c r="AB2826" s="0" t="n">
        <f aca="false">X2826+Z2826</f>
        <v>49.2793108312068</v>
      </c>
      <c r="AC2826" s="54" t="b">
        <f aca="false">AND(E2826&gt;=01_因子設定!$L$5-0.000000001,E2826&lt;=01_因子設定!$M$5+0.000000001,F2826&gt;=01_因子設定!$L$6-0.000000001,F2826&lt;=01_因子設定!$M$6+0.000000001,G2826&gt;=01_因子設定!$L$7-0.000000001,G2826&lt;=01_因子設定!$M$7+0.000000001,H2826&gt;=01_因子設定!$L$8-0.000000001,H2826&lt;=01_因子設定!$M$8+0.000000001,IF(01_因子設定!$B$20="Box-Behnken",E2826^2+F2826^2+G2826^2+H2826^2&lt;=2+0.000000001,TRUE()))</f>
        <v>1</v>
      </c>
      <c r="AD2826" s="55" t="n">
        <f aca="false">IF(AC2826,IF(01_因子設定!$B$13="最大化",AA2826-01_因子設定!$B$14,IF(01_因子設定!$B$13="最小化",01_因子設定!$B$15-AB2826,MIN(AA2826-01_因子設定!$B$14,01_因子設定!$B$15-AB2826))),-1E+030)</f>
        <v>-0.17202830196711</v>
      </c>
      <c r="AE2826" s="55" t="n">
        <f aca="false">IF(AC2826,IF(01_因子設定!$B$13="最大化",X2826,IF(01_因子設定!$B$13="最小化",-X2826,-ABS(X2826-01_因子設定!$B$16))),-1E+030)</f>
        <v>47.8036412646198</v>
      </c>
      <c r="AF2826" s="55" t="n">
        <f aca="false">AD2826+ROW()*0.000000001</f>
        <v>-0.17202547596711</v>
      </c>
      <c r="AG2826" s="55" t="n">
        <f aca="false">AE2826+ROW()*0.000000001</f>
        <v>47.8036440906198</v>
      </c>
    </row>
    <row r="2827" customFormat="false" ht="15" hidden="false" customHeight="false" outlineLevel="0" collapsed="false">
      <c r="A2827" s="0" t="n">
        <v>3</v>
      </c>
      <c r="B2827" s="0" t="n">
        <v>7</v>
      </c>
      <c r="C2827" s="0" t="n">
        <v>7</v>
      </c>
      <c r="D2827" s="0" t="n">
        <v>5</v>
      </c>
      <c r="E2827" s="0" t="n">
        <f aca="false">-1+A2827*0.25</f>
        <v>-0.25</v>
      </c>
      <c r="F2827" s="0" t="n">
        <f aca="false">-1+B2827*0.25</f>
        <v>0.75</v>
      </c>
      <c r="G2827" s="0" t="n">
        <f aca="false">-1+C2827*0.25</f>
        <v>0.75</v>
      </c>
      <c r="H2827" s="0" t="n">
        <f aca="false">-1+D2827*0.25</f>
        <v>0.25</v>
      </c>
      <c r="I2827" s="0" t="n">
        <f aca="false">1</f>
        <v>1</v>
      </c>
      <c r="J2827" s="0" t="n">
        <f aca="false">E2827</f>
        <v>-0.25</v>
      </c>
      <c r="K2827" s="0" t="n">
        <f aca="false">F2827</f>
        <v>0.75</v>
      </c>
      <c r="L2827" s="0" t="n">
        <f aca="false">G2827</f>
        <v>0.75</v>
      </c>
      <c r="M2827" s="0" t="n">
        <f aca="false">H2827</f>
        <v>0.25</v>
      </c>
      <c r="N2827" s="0" t="n">
        <f aca="false">E2827*F2827</f>
        <v>-0.1875</v>
      </c>
      <c r="O2827" s="0" t="n">
        <f aca="false">E2827*G2827</f>
        <v>-0.1875</v>
      </c>
      <c r="P2827" s="0" t="n">
        <f aca="false">E2827*H2827</f>
        <v>-0.0625</v>
      </c>
      <c r="Q2827" s="0" t="n">
        <f aca="false">F2827*G2827</f>
        <v>0.5625</v>
      </c>
      <c r="R2827" s="0" t="n">
        <f aca="false">F2827*H2827</f>
        <v>0.1875</v>
      </c>
      <c r="S2827" s="0" t="n">
        <f aca="false">G2827*H2827</f>
        <v>0.1875</v>
      </c>
      <c r="T2827" s="0" t="n">
        <f aca="false">E2827*E2827</f>
        <v>0.0625</v>
      </c>
      <c r="U2827" s="0" t="n">
        <f aca="false">F2827*F2827</f>
        <v>0.5625</v>
      </c>
      <c r="V2827" s="0" t="n">
        <f aca="false">G2827*G2827</f>
        <v>0.5625</v>
      </c>
      <c r="W2827" s="0" t="n">
        <f aca="false">H2827*H2827</f>
        <v>0.0625</v>
      </c>
      <c r="X2827" s="0" t="n">
        <f aca="false">SUMPRODUCT(I2827:W2827,_XtX!$B$96:$P$96)</f>
        <v>47.8873766447368</v>
      </c>
      <c r="Y2827" s="0" t="n">
        <f aca="false">SUMPRODUCT(MMULT(I2827:W2827,_XtX!$B$78:$P$92),I2827:W2827)</f>
        <v>0.271087468019006</v>
      </c>
      <c r="Z2827" s="0" t="n">
        <f aca="false">04_回帰ANOVA!$K$19*04_回帰ANOVA!$K$14*SQRT(1+Y2827)</f>
        <v>1.46955590155034</v>
      </c>
      <c r="AA2827" s="0" t="n">
        <f aca="false">X2827-Z2827</f>
        <v>46.4178207431864</v>
      </c>
      <c r="AB2827" s="0" t="n">
        <f aca="false">X2827+Z2827</f>
        <v>49.3569325462871</v>
      </c>
      <c r="AC2827" s="54" t="b">
        <f aca="false">AND(E2827&gt;=01_因子設定!$L$5-0.000000001,E2827&lt;=01_因子設定!$M$5+0.000000001,F2827&gt;=01_因子設定!$L$6-0.000000001,F2827&lt;=01_因子設定!$M$6+0.000000001,G2827&gt;=01_因子設定!$L$7-0.000000001,G2827&lt;=01_因子設定!$M$7+0.000000001,H2827&gt;=01_因子設定!$L$8-0.000000001,H2827&lt;=01_因子設定!$M$8+0.000000001,IF(01_因子設定!$B$20="Box-Behnken",E2827^2+F2827^2+G2827^2+H2827^2&lt;=2+0.000000001,TRUE()))</f>
        <v>1</v>
      </c>
      <c r="AD2827" s="55" t="n">
        <f aca="false">IF(AC2827,IF(01_因子設定!$B$13="最大化",AA2827-01_因子設定!$B$14,IF(01_因子設定!$B$13="最小化",01_因子設定!$B$15-AB2827,MIN(AA2827-01_因子設定!$B$14,01_因子設定!$B$15-AB2827))),-1E+030)</f>
        <v>-0.0821792568135606</v>
      </c>
      <c r="AE2827" s="55" t="n">
        <f aca="false">IF(AC2827,IF(01_因子設定!$B$13="最大化",X2827,IF(01_因子設定!$B$13="最小化",-X2827,-ABS(X2827-01_因子設定!$B$16))),-1E+030)</f>
        <v>47.8873766447368</v>
      </c>
      <c r="AF2827" s="55" t="n">
        <f aca="false">AD2827+ROW()*0.000000001</f>
        <v>-0.0821764298135606</v>
      </c>
      <c r="AG2827" s="55" t="n">
        <f aca="false">AE2827+ROW()*0.000000001</f>
        <v>47.8873794717368</v>
      </c>
    </row>
    <row r="2828" customFormat="false" ht="15" hidden="false" customHeight="false" outlineLevel="0" collapsed="false">
      <c r="A2828" s="0" t="n">
        <v>3</v>
      </c>
      <c r="B2828" s="0" t="n">
        <v>7</v>
      </c>
      <c r="C2828" s="0" t="n">
        <v>7</v>
      </c>
      <c r="D2828" s="0" t="n">
        <v>6</v>
      </c>
      <c r="E2828" s="0" t="n">
        <f aca="false">-1+A2828*0.25</f>
        <v>-0.25</v>
      </c>
      <c r="F2828" s="0" t="n">
        <f aca="false">-1+B2828*0.25</f>
        <v>0.75</v>
      </c>
      <c r="G2828" s="0" t="n">
        <f aca="false">-1+C2828*0.25</f>
        <v>0.75</v>
      </c>
      <c r="H2828" s="0" t="n">
        <f aca="false">-1+D2828*0.25</f>
        <v>0.5</v>
      </c>
      <c r="I2828" s="0" t="n">
        <f aca="false">1</f>
        <v>1</v>
      </c>
      <c r="J2828" s="0" t="n">
        <f aca="false">E2828</f>
        <v>-0.25</v>
      </c>
      <c r="K2828" s="0" t="n">
        <f aca="false">F2828</f>
        <v>0.75</v>
      </c>
      <c r="L2828" s="0" t="n">
        <f aca="false">G2828</f>
        <v>0.75</v>
      </c>
      <c r="M2828" s="0" t="n">
        <f aca="false">H2828</f>
        <v>0.5</v>
      </c>
      <c r="N2828" s="0" t="n">
        <f aca="false">E2828*F2828</f>
        <v>-0.1875</v>
      </c>
      <c r="O2828" s="0" t="n">
        <f aca="false">E2828*G2828</f>
        <v>-0.1875</v>
      </c>
      <c r="P2828" s="0" t="n">
        <f aca="false">E2828*H2828</f>
        <v>-0.125</v>
      </c>
      <c r="Q2828" s="0" t="n">
        <f aca="false">F2828*G2828</f>
        <v>0.5625</v>
      </c>
      <c r="R2828" s="0" t="n">
        <f aca="false">F2828*H2828</f>
        <v>0.375</v>
      </c>
      <c r="S2828" s="0" t="n">
        <f aca="false">G2828*H2828</f>
        <v>0.375</v>
      </c>
      <c r="T2828" s="0" t="n">
        <f aca="false">E2828*E2828</f>
        <v>0.0625</v>
      </c>
      <c r="U2828" s="0" t="n">
        <f aca="false">F2828*F2828</f>
        <v>0.5625</v>
      </c>
      <c r="V2828" s="0" t="n">
        <f aca="false">G2828*G2828</f>
        <v>0.5625</v>
      </c>
      <c r="W2828" s="0" t="n">
        <f aca="false">H2828*H2828</f>
        <v>0.25</v>
      </c>
      <c r="X2828" s="0" t="n">
        <f aca="false">SUMPRODUCT(I2828:W2828,_XtX!$B$96:$P$96)</f>
        <v>47.9233050073099</v>
      </c>
      <c r="Y2828" s="0" t="n">
        <f aca="false">SUMPRODUCT(MMULT(I2828:W2828,_XtX!$B$78:$P$92),I2828:W2828)</f>
        <v>0.257385610836988</v>
      </c>
      <c r="Z2828" s="0" t="n">
        <f aca="false">04_回帰ANOVA!$K$19*04_回帰ANOVA!$K$14*SQRT(1+Y2828)</f>
        <v>1.46161380324158</v>
      </c>
      <c r="AA2828" s="0" t="n">
        <f aca="false">X2828-Z2828</f>
        <v>46.4616912040683</v>
      </c>
      <c r="AB2828" s="0" t="n">
        <f aca="false">X2828+Z2828</f>
        <v>49.3849188105515</v>
      </c>
      <c r="AC2828" s="54" t="b">
        <f aca="false">AND(E2828&gt;=01_因子設定!$L$5-0.000000001,E2828&lt;=01_因子設定!$M$5+0.000000001,F2828&gt;=01_因子設定!$L$6-0.000000001,F2828&lt;=01_因子設定!$M$6+0.000000001,G2828&gt;=01_因子設定!$L$7-0.000000001,G2828&lt;=01_因子設定!$M$7+0.000000001,H2828&gt;=01_因子設定!$L$8-0.000000001,H2828&lt;=01_因子設定!$M$8+0.000000001,IF(01_因子設定!$B$20="Box-Behnken",E2828^2+F2828^2+G2828^2+H2828^2&lt;=2+0.000000001,TRUE()))</f>
        <v>1</v>
      </c>
      <c r="AD2828" s="55" t="n">
        <f aca="false">IF(AC2828,IF(01_因子設定!$B$13="最大化",AA2828-01_因子設定!$B$14,IF(01_因子設定!$B$13="最小化",01_因子設定!$B$15-AB2828,MIN(AA2828-01_因子設定!$B$14,01_因子設定!$B$15-AB2828))),-1E+030)</f>
        <v>-0.038308795931691</v>
      </c>
      <c r="AE2828" s="55" t="n">
        <f aca="false">IF(AC2828,IF(01_因子設定!$B$13="最大化",X2828,IF(01_因子設定!$B$13="最小化",-X2828,-ABS(X2828-01_因子設定!$B$16))),-1E+030)</f>
        <v>47.9233050073099</v>
      </c>
      <c r="AF2828" s="55" t="n">
        <f aca="false">AD2828+ROW()*0.000000001</f>
        <v>-0.038305967931691</v>
      </c>
      <c r="AG2828" s="55" t="n">
        <f aca="false">AE2828+ROW()*0.000000001</f>
        <v>47.9233078353099</v>
      </c>
    </row>
    <row r="2829" customFormat="false" ht="15" hidden="false" customHeight="false" outlineLevel="0" collapsed="false">
      <c r="A2829" s="0" t="n">
        <v>3</v>
      </c>
      <c r="B2829" s="0" t="n">
        <v>7</v>
      </c>
      <c r="C2829" s="0" t="n">
        <v>7</v>
      </c>
      <c r="D2829" s="0" t="n">
        <v>7</v>
      </c>
      <c r="E2829" s="0" t="n">
        <f aca="false">-1+A2829*0.25</f>
        <v>-0.25</v>
      </c>
      <c r="F2829" s="0" t="n">
        <f aca="false">-1+B2829*0.25</f>
        <v>0.75</v>
      </c>
      <c r="G2829" s="0" t="n">
        <f aca="false">-1+C2829*0.25</f>
        <v>0.75</v>
      </c>
      <c r="H2829" s="0" t="n">
        <f aca="false">-1+D2829*0.25</f>
        <v>0.75</v>
      </c>
      <c r="I2829" s="0" t="n">
        <f aca="false">1</f>
        <v>1</v>
      </c>
      <c r="J2829" s="0" t="n">
        <f aca="false">E2829</f>
        <v>-0.25</v>
      </c>
      <c r="K2829" s="0" t="n">
        <f aca="false">F2829</f>
        <v>0.75</v>
      </c>
      <c r="L2829" s="0" t="n">
        <f aca="false">G2829</f>
        <v>0.75</v>
      </c>
      <c r="M2829" s="0" t="n">
        <f aca="false">H2829</f>
        <v>0.75</v>
      </c>
      <c r="N2829" s="0" t="n">
        <f aca="false">E2829*F2829</f>
        <v>-0.1875</v>
      </c>
      <c r="O2829" s="0" t="n">
        <f aca="false">E2829*G2829</f>
        <v>-0.1875</v>
      </c>
      <c r="P2829" s="0" t="n">
        <f aca="false">E2829*H2829</f>
        <v>-0.1875</v>
      </c>
      <c r="Q2829" s="0" t="n">
        <f aca="false">F2829*G2829</f>
        <v>0.5625</v>
      </c>
      <c r="R2829" s="0" t="n">
        <f aca="false">F2829*H2829</f>
        <v>0.5625</v>
      </c>
      <c r="S2829" s="0" t="n">
        <f aca="false">G2829*H2829</f>
        <v>0.5625</v>
      </c>
      <c r="T2829" s="0" t="n">
        <f aca="false">E2829*E2829</f>
        <v>0.0625</v>
      </c>
      <c r="U2829" s="0" t="n">
        <f aca="false">F2829*F2829</f>
        <v>0.5625</v>
      </c>
      <c r="V2829" s="0" t="n">
        <f aca="false">G2829*G2829</f>
        <v>0.5625</v>
      </c>
      <c r="W2829" s="0" t="n">
        <f aca="false">H2829*H2829</f>
        <v>0.5625</v>
      </c>
      <c r="X2829" s="0" t="n">
        <f aca="false">SUMPRODUCT(I2829:W2829,_XtX!$B$96:$P$96)</f>
        <v>47.9114263523391</v>
      </c>
      <c r="Y2829" s="0" t="n">
        <f aca="false">SUMPRODUCT(MMULT(I2829:W2829,_XtX!$B$78:$P$92),I2829:W2829)</f>
        <v>0.294856199744152</v>
      </c>
      <c r="Z2829" s="0" t="n">
        <f aca="false">04_回帰ANOVA!$K$19*04_回帰ANOVA!$K$14*SQRT(1+Y2829)</f>
        <v>1.48323226089013</v>
      </c>
      <c r="AA2829" s="0" t="n">
        <f aca="false">X2829-Z2829</f>
        <v>46.428194091449</v>
      </c>
      <c r="AB2829" s="0" t="n">
        <f aca="false">X2829+Z2829</f>
        <v>49.3946586132293</v>
      </c>
      <c r="AC2829" s="54" t="b">
        <f aca="false">AND(E2829&gt;=01_因子設定!$L$5-0.000000001,E2829&lt;=01_因子設定!$M$5+0.000000001,F2829&gt;=01_因子設定!$L$6-0.000000001,F2829&lt;=01_因子設定!$M$6+0.000000001,G2829&gt;=01_因子設定!$L$7-0.000000001,G2829&lt;=01_因子設定!$M$7+0.000000001,H2829&gt;=01_因子設定!$L$8-0.000000001,H2829&lt;=01_因子設定!$M$8+0.000000001,IF(01_因子設定!$B$20="Box-Behnken",E2829^2+F2829^2+G2829^2+H2829^2&lt;=2+0.000000001,TRUE()))</f>
        <v>1</v>
      </c>
      <c r="AD2829" s="55" t="n">
        <f aca="false">IF(AC2829,IF(01_因子設定!$B$13="最大化",AA2829-01_因子設定!$B$14,IF(01_因子設定!$B$13="最小化",01_因子設定!$B$15-AB2829,MIN(AA2829-01_因子設定!$B$14,01_因子設定!$B$15-AB2829))),-1E+030)</f>
        <v>-0.0718059085509921</v>
      </c>
      <c r="AE2829" s="55" t="n">
        <f aca="false">IF(AC2829,IF(01_因子設定!$B$13="最大化",X2829,IF(01_因子設定!$B$13="最小化",-X2829,-ABS(X2829-01_因子設定!$B$16))),-1E+030)</f>
        <v>47.9114263523391</v>
      </c>
      <c r="AF2829" s="55" t="n">
        <f aca="false">AD2829+ROW()*0.000000001</f>
        <v>-0.0718030795509921</v>
      </c>
      <c r="AG2829" s="55" t="n">
        <f aca="false">AE2829+ROW()*0.000000001</f>
        <v>47.9114291813391</v>
      </c>
    </row>
    <row r="2830" customFormat="false" ht="15" hidden="false" customHeight="false" outlineLevel="0" collapsed="false">
      <c r="A2830" s="0" t="n">
        <v>3</v>
      </c>
      <c r="B2830" s="0" t="n">
        <v>7</v>
      </c>
      <c r="C2830" s="0" t="n">
        <v>7</v>
      </c>
      <c r="D2830" s="0" t="n">
        <v>8</v>
      </c>
      <c r="E2830" s="0" t="n">
        <f aca="false">-1+A2830*0.25</f>
        <v>-0.25</v>
      </c>
      <c r="F2830" s="0" t="n">
        <f aca="false">-1+B2830*0.25</f>
        <v>0.75</v>
      </c>
      <c r="G2830" s="0" t="n">
        <f aca="false">-1+C2830*0.25</f>
        <v>0.75</v>
      </c>
      <c r="H2830" s="0" t="n">
        <f aca="false">-1+D2830*0.25</f>
        <v>1</v>
      </c>
      <c r="I2830" s="0" t="n">
        <f aca="false">1</f>
        <v>1</v>
      </c>
      <c r="J2830" s="0" t="n">
        <f aca="false">E2830</f>
        <v>-0.25</v>
      </c>
      <c r="K2830" s="0" t="n">
        <f aca="false">F2830</f>
        <v>0.75</v>
      </c>
      <c r="L2830" s="0" t="n">
        <f aca="false">G2830</f>
        <v>0.75</v>
      </c>
      <c r="M2830" s="0" t="n">
        <f aca="false">H2830</f>
        <v>1</v>
      </c>
      <c r="N2830" s="0" t="n">
        <f aca="false">E2830*F2830</f>
        <v>-0.1875</v>
      </c>
      <c r="O2830" s="0" t="n">
        <f aca="false">E2830*G2830</f>
        <v>-0.1875</v>
      </c>
      <c r="P2830" s="0" t="n">
        <f aca="false">E2830*H2830</f>
        <v>-0.25</v>
      </c>
      <c r="Q2830" s="0" t="n">
        <f aca="false">F2830*G2830</f>
        <v>0.5625</v>
      </c>
      <c r="R2830" s="0" t="n">
        <f aca="false">F2830*H2830</f>
        <v>0.75</v>
      </c>
      <c r="S2830" s="0" t="n">
        <f aca="false">G2830*H2830</f>
        <v>0.75</v>
      </c>
      <c r="T2830" s="0" t="n">
        <f aca="false">E2830*E2830</f>
        <v>0.0625</v>
      </c>
      <c r="U2830" s="0" t="n">
        <f aca="false">F2830*F2830</f>
        <v>0.5625</v>
      </c>
      <c r="V2830" s="0" t="n">
        <f aca="false">G2830*G2830</f>
        <v>0.5625</v>
      </c>
      <c r="W2830" s="0" t="n">
        <f aca="false">H2830*H2830</f>
        <v>1</v>
      </c>
      <c r="X2830" s="0" t="n">
        <f aca="false">SUMPRODUCT(I2830:W2830,_XtX!$B$96:$P$96)</f>
        <v>47.8517406798245</v>
      </c>
      <c r="Y2830" s="0" t="n">
        <f aca="false">SUMPRODUCT(MMULT(I2830:W2830,_XtX!$B$78:$P$92),I2830:W2830)</f>
        <v>0.473959761056287</v>
      </c>
      <c r="Z2830" s="0" t="n">
        <f aca="false">04_回帰ANOVA!$K$19*04_回帰ANOVA!$K$14*SQRT(1+Y2830)</f>
        <v>1.58249084588329</v>
      </c>
      <c r="AA2830" s="0" t="n">
        <f aca="false">X2830-Z2830</f>
        <v>46.2692498339413</v>
      </c>
      <c r="AB2830" s="0" t="n">
        <f aca="false">X2830+Z2830</f>
        <v>49.4342315257078</v>
      </c>
      <c r="AC2830" s="54" t="b">
        <f aca="false">AND(E2830&gt;=01_因子設定!$L$5-0.000000001,E2830&lt;=01_因子設定!$M$5+0.000000001,F2830&gt;=01_因子設定!$L$6-0.000000001,F2830&lt;=01_因子設定!$M$6+0.000000001,G2830&gt;=01_因子設定!$L$7-0.000000001,G2830&lt;=01_因子設定!$M$7+0.000000001,H2830&gt;=01_因子設定!$L$8-0.000000001,H2830&lt;=01_因子設定!$M$8+0.000000001,IF(01_因子設定!$B$20="Box-Behnken",E2830^2+F2830^2+G2830^2+H2830^2&lt;=2+0.000000001,TRUE()))</f>
        <v>1</v>
      </c>
      <c r="AD2830" s="55" t="n">
        <f aca="false">IF(AC2830,IF(01_因子設定!$B$13="最大化",AA2830-01_因子設定!$B$14,IF(01_因子設定!$B$13="最小化",01_因子設定!$B$15-AB2830,MIN(AA2830-01_因子設定!$B$14,01_因子設定!$B$15-AB2830))),-1E+030)</f>
        <v>-0.230750166058748</v>
      </c>
      <c r="AE2830" s="55" t="n">
        <f aca="false">IF(AC2830,IF(01_因子設定!$B$13="最大化",X2830,IF(01_因子設定!$B$13="最小化",-X2830,-ABS(X2830-01_因子設定!$B$16))),-1E+030)</f>
        <v>47.8517406798245</v>
      </c>
      <c r="AF2830" s="55" t="n">
        <f aca="false">AD2830+ROW()*0.000000001</f>
        <v>-0.230747336058748</v>
      </c>
      <c r="AG2830" s="55" t="n">
        <f aca="false">AE2830+ROW()*0.000000001</f>
        <v>47.8517435098245</v>
      </c>
    </row>
    <row r="2831" customFormat="false" ht="15" hidden="false" customHeight="false" outlineLevel="0" collapsed="false">
      <c r="A2831" s="0" t="n">
        <v>3</v>
      </c>
      <c r="B2831" s="0" t="n">
        <v>7</v>
      </c>
      <c r="C2831" s="0" t="n">
        <v>8</v>
      </c>
      <c r="D2831" s="0" t="n">
        <v>0</v>
      </c>
      <c r="E2831" s="0" t="n">
        <f aca="false">-1+A2831*0.25</f>
        <v>-0.25</v>
      </c>
      <c r="F2831" s="0" t="n">
        <f aca="false">-1+B2831*0.25</f>
        <v>0.75</v>
      </c>
      <c r="G2831" s="0" t="n">
        <f aca="false">-1+C2831*0.25</f>
        <v>1</v>
      </c>
      <c r="H2831" s="0" t="n">
        <f aca="false">-1+D2831*0.25</f>
        <v>-1</v>
      </c>
      <c r="I2831" s="0" t="n">
        <f aca="false">1</f>
        <v>1</v>
      </c>
      <c r="J2831" s="0" t="n">
        <f aca="false">E2831</f>
        <v>-0.25</v>
      </c>
      <c r="K2831" s="0" t="n">
        <f aca="false">F2831</f>
        <v>0.75</v>
      </c>
      <c r="L2831" s="0" t="n">
        <f aca="false">G2831</f>
        <v>1</v>
      </c>
      <c r="M2831" s="0" t="n">
        <f aca="false">H2831</f>
        <v>-1</v>
      </c>
      <c r="N2831" s="0" t="n">
        <f aca="false">E2831*F2831</f>
        <v>-0.1875</v>
      </c>
      <c r="O2831" s="0" t="n">
        <f aca="false">E2831*G2831</f>
        <v>-0.25</v>
      </c>
      <c r="P2831" s="0" t="n">
        <f aca="false">E2831*H2831</f>
        <v>0.25</v>
      </c>
      <c r="Q2831" s="0" t="n">
        <f aca="false">F2831*G2831</f>
        <v>0.75</v>
      </c>
      <c r="R2831" s="0" t="n">
        <f aca="false">F2831*H2831</f>
        <v>-0.75</v>
      </c>
      <c r="S2831" s="0" t="n">
        <f aca="false">G2831*H2831</f>
        <v>-1</v>
      </c>
      <c r="T2831" s="0" t="n">
        <f aca="false">E2831*E2831</f>
        <v>0.0625</v>
      </c>
      <c r="U2831" s="0" t="n">
        <f aca="false">F2831*F2831</f>
        <v>0.5625</v>
      </c>
      <c r="V2831" s="0" t="n">
        <f aca="false">G2831*G2831</f>
        <v>1</v>
      </c>
      <c r="W2831" s="0" t="n">
        <f aca="false">H2831*H2831</f>
        <v>1</v>
      </c>
      <c r="X2831" s="0" t="n">
        <f aca="false">SUMPRODUCT(I2831:W2831,_XtX!$B$96:$P$96)</f>
        <v>46.9652320906433</v>
      </c>
      <c r="Y2831" s="0" t="n">
        <f aca="false">SUMPRODUCT(MMULT(I2831:W2831,_XtX!$B$78:$P$92),I2831:W2831)</f>
        <v>0.621372155975877</v>
      </c>
      <c r="Z2831" s="0" t="n">
        <f aca="false">04_回帰ANOVA!$K$19*04_回帰ANOVA!$K$14*SQRT(1+Y2831)</f>
        <v>1.65973880499872</v>
      </c>
      <c r="AA2831" s="0" t="n">
        <f aca="false">X2831-Z2831</f>
        <v>45.3054932856445</v>
      </c>
      <c r="AB2831" s="0" t="n">
        <f aca="false">X2831+Z2831</f>
        <v>48.624970895642</v>
      </c>
      <c r="AC2831" s="54" t="b">
        <f aca="false">AND(E2831&gt;=01_因子設定!$L$5-0.000000001,E2831&lt;=01_因子設定!$M$5+0.000000001,F2831&gt;=01_因子設定!$L$6-0.000000001,F2831&lt;=01_因子設定!$M$6+0.000000001,G2831&gt;=01_因子設定!$L$7-0.000000001,G2831&lt;=01_因子設定!$M$7+0.000000001,H2831&gt;=01_因子設定!$L$8-0.000000001,H2831&lt;=01_因子設定!$M$8+0.000000001,IF(01_因子設定!$B$20="Box-Behnken",E2831^2+F2831^2+G2831^2+H2831^2&lt;=2+0.000000001,TRUE()))</f>
        <v>1</v>
      </c>
      <c r="AD2831" s="55" t="n">
        <f aca="false">IF(AC2831,IF(01_因子設定!$B$13="最大化",AA2831-01_因子設定!$B$14,IF(01_因子設定!$B$13="最小化",01_因子設定!$B$15-AB2831,MIN(AA2831-01_因子設定!$B$14,01_因子設定!$B$15-AB2831))),-1E+030)</f>
        <v>-1.19450671435546</v>
      </c>
      <c r="AE2831" s="55" t="n">
        <f aca="false">IF(AC2831,IF(01_因子設定!$B$13="最大化",X2831,IF(01_因子設定!$B$13="最小化",-X2831,-ABS(X2831-01_因子設定!$B$16))),-1E+030)</f>
        <v>46.9652320906433</v>
      </c>
      <c r="AF2831" s="55" t="n">
        <f aca="false">AD2831+ROW()*0.000000001</f>
        <v>-1.19450388335546</v>
      </c>
      <c r="AG2831" s="55" t="n">
        <f aca="false">AE2831+ROW()*0.000000001</f>
        <v>46.9652349216433</v>
      </c>
    </row>
    <row r="2832" customFormat="false" ht="15" hidden="false" customHeight="false" outlineLevel="0" collapsed="false">
      <c r="A2832" s="0" t="n">
        <v>3</v>
      </c>
      <c r="B2832" s="0" t="n">
        <v>7</v>
      </c>
      <c r="C2832" s="0" t="n">
        <v>8</v>
      </c>
      <c r="D2832" s="0" t="n">
        <v>1</v>
      </c>
      <c r="E2832" s="0" t="n">
        <f aca="false">-1+A2832*0.25</f>
        <v>-0.25</v>
      </c>
      <c r="F2832" s="0" t="n">
        <f aca="false">-1+B2832*0.25</f>
        <v>0.75</v>
      </c>
      <c r="G2832" s="0" t="n">
        <f aca="false">-1+C2832*0.25</f>
        <v>1</v>
      </c>
      <c r="H2832" s="0" t="n">
        <f aca="false">-1+D2832*0.25</f>
        <v>-0.75</v>
      </c>
      <c r="I2832" s="0" t="n">
        <f aca="false">1</f>
        <v>1</v>
      </c>
      <c r="J2832" s="0" t="n">
        <f aca="false">E2832</f>
        <v>-0.25</v>
      </c>
      <c r="K2832" s="0" t="n">
        <f aca="false">F2832</f>
        <v>0.75</v>
      </c>
      <c r="L2832" s="0" t="n">
        <f aca="false">G2832</f>
        <v>1</v>
      </c>
      <c r="M2832" s="0" t="n">
        <f aca="false">H2832</f>
        <v>-0.75</v>
      </c>
      <c r="N2832" s="0" t="n">
        <f aca="false">E2832*F2832</f>
        <v>-0.1875</v>
      </c>
      <c r="O2832" s="0" t="n">
        <f aca="false">E2832*G2832</f>
        <v>-0.25</v>
      </c>
      <c r="P2832" s="0" t="n">
        <f aca="false">E2832*H2832</f>
        <v>0.1875</v>
      </c>
      <c r="Q2832" s="0" t="n">
        <f aca="false">F2832*G2832</f>
        <v>0.75</v>
      </c>
      <c r="R2832" s="0" t="n">
        <f aca="false">F2832*H2832</f>
        <v>-0.5625</v>
      </c>
      <c r="S2832" s="0" t="n">
        <f aca="false">G2832*H2832</f>
        <v>-0.75</v>
      </c>
      <c r="T2832" s="0" t="n">
        <f aca="false">E2832*E2832</f>
        <v>0.0625</v>
      </c>
      <c r="U2832" s="0" t="n">
        <f aca="false">F2832*F2832</f>
        <v>0.5625</v>
      </c>
      <c r="V2832" s="0" t="n">
        <f aca="false">G2832*G2832</f>
        <v>1</v>
      </c>
      <c r="W2832" s="0" t="n">
        <f aca="false">H2832*H2832</f>
        <v>0.5625</v>
      </c>
      <c r="X2832" s="0" t="n">
        <f aca="false">SUMPRODUCT(I2832:W2832,_XtX!$B$96:$P$96)</f>
        <v>47.2581642909356</v>
      </c>
      <c r="Y2832" s="0" t="n">
        <f aca="false">SUMPRODUCT(MMULT(I2832:W2832,_XtX!$B$78:$P$92),I2832:W2832)</f>
        <v>0.473959761056287</v>
      </c>
      <c r="Z2832" s="0" t="n">
        <f aca="false">04_回帰ANOVA!$K$19*04_回帰ANOVA!$K$14*SQRT(1+Y2832)</f>
        <v>1.58249084588329</v>
      </c>
      <c r="AA2832" s="0" t="n">
        <f aca="false">X2832-Z2832</f>
        <v>45.6756734450524</v>
      </c>
      <c r="AB2832" s="0" t="n">
        <f aca="false">X2832+Z2832</f>
        <v>48.8406551368189</v>
      </c>
      <c r="AC2832" s="54" t="b">
        <f aca="false">AND(E2832&gt;=01_因子設定!$L$5-0.000000001,E2832&lt;=01_因子設定!$M$5+0.000000001,F2832&gt;=01_因子設定!$L$6-0.000000001,F2832&lt;=01_因子設定!$M$6+0.000000001,G2832&gt;=01_因子設定!$L$7-0.000000001,G2832&lt;=01_因子設定!$M$7+0.000000001,H2832&gt;=01_因子設定!$L$8-0.000000001,H2832&lt;=01_因子設定!$M$8+0.000000001,IF(01_因子設定!$B$20="Box-Behnken",E2832^2+F2832^2+G2832^2+H2832^2&lt;=2+0.000000001,TRUE()))</f>
        <v>1</v>
      </c>
      <c r="AD2832" s="55" t="n">
        <f aca="false">IF(AC2832,IF(01_因子設定!$B$13="最大化",AA2832-01_因子設定!$B$14,IF(01_因子設定!$B$13="最小化",01_因子設定!$B$15-AB2832,MIN(AA2832-01_因子設定!$B$14,01_因子設定!$B$15-AB2832))),-1E+030)</f>
        <v>-0.824326554947646</v>
      </c>
      <c r="AE2832" s="55" t="n">
        <f aca="false">IF(AC2832,IF(01_因子設定!$B$13="最大化",X2832,IF(01_因子設定!$B$13="最小化",-X2832,-ABS(X2832-01_因子設定!$B$16))),-1E+030)</f>
        <v>47.2581642909356</v>
      </c>
      <c r="AF2832" s="55" t="n">
        <f aca="false">AD2832+ROW()*0.000000001</f>
        <v>-0.824323722947646</v>
      </c>
      <c r="AG2832" s="55" t="n">
        <f aca="false">AE2832+ROW()*0.000000001</f>
        <v>47.2581671229356</v>
      </c>
    </row>
    <row r="2833" customFormat="false" ht="15" hidden="false" customHeight="false" outlineLevel="0" collapsed="false">
      <c r="A2833" s="0" t="n">
        <v>3</v>
      </c>
      <c r="B2833" s="0" t="n">
        <v>7</v>
      </c>
      <c r="C2833" s="0" t="n">
        <v>8</v>
      </c>
      <c r="D2833" s="0" t="n">
        <v>2</v>
      </c>
      <c r="E2833" s="0" t="n">
        <f aca="false">-1+A2833*0.25</f>
        <v>-0.25</v>
      </c>
      <c r="F2833" s="0" t="n">
        <f aca="false">-1+B2833*0.25</f>
        <v>0.75</v>
      </c>
      <c r="G2833" s="0" t="n">
        <f aca="false">-1+C2833*0.25</f>
        <v>1</v>
      </c>
      <c r="H2833" s="0" t="n">
        <f aca="false">-1+D2833*0.25</f>
        <v>-0.5</v>
      </c>
      <c r="I2833" s="0" t="n">
        <f aca="false">1</f>
        <v>1</v>
      </c>
      <c r="J2833" s="0" t="n">
        <f aca="false">E2833</f>
        <v>-0.25</v>
      </c>
      <c r="K2833" s="0" t="n">
        <f aca="false">F2833</f>
        <v>0.75</v>
      </c>
      <c r="L2833" s="0" t="n">
        <f aca="false">G2833</f>
        <v>1</v>
      </c>
      <c r="M2833" s="0" t="n">
        <f aca="false">H2833</f>
        <v>-0.5</v>
      </c>
      <c r="N2833" s="0" t="n">
        <f aca="false">E2833*F2833</f>
        <v>-0.1875</v>
      </c>
      <c r="O2833" s="0" t="n">
        <f aca="false">E2833*G2833</f>
        <v>-0.25</v>
      </c>
      <c r="P2833" s="0" t="n">
        <f aca="false">E2833*H2833</f>
        <v>0.125</v>
      </c>
      <c r="Q2833" s="0" t="n">
        <f aca="false">F2833*G2833</f>
        <v>0.75</v>
      </c>
      <c r="R2833" s="0" t="n">
        <f aca="false">F2833*H2833</f>
        <v>-0.375</v>
      </c>
      <c r="S2833" s="0" t="n">
        <f aca="false">G2833*H2833</f>
        <v>-0.5</v>
      </c>
      <c r="T2833" s="0" t="n">
        <f aca="false">E2833*E2833</f>
        <v>0.0625</v>
      </c>
      <c r="U2833" s="0" t="n">
        <f aca="false">F2833*F2833</f>
        <v>0.5625</v>
      </c>
      <c r="V2833" s="0" t="n">
        <f aca="false">G2833*G2833</f>
        <v>1</v>
      </c>
      <c r="W2833" s="0" t="n">
        <f aca="false">H2833*H2833</f>
        <v>0.25</v>
      </c>
      <c r="X2833" s="0" t="n">
        <f aca="false">SUMPRODUCT(I2833:W2833,_XtX!$B$96:$P$96)</f>
        <v>47.5032894736842</v>
      </c>
      <c r="Y2833" s="0" t="n">
        <f aca="false">SUMPRODUCT(MMULT(I2833:W2833,_XtX!$B$78:$P$92),I2833:W2833)</f>
        <v>0.459125719572369</v>
      </c>
      <c r="Z2833" s="0" t="n">
        <f aca="false">04_回帰ANOVA!$K$19*04_回帰ANOVA!$K$14*SQRT(1+Y2833)</f>
        <v>1.57450755575573</v>
      </c>
      <c r="AA2833" s="0" t="n">
        <f aca="false">X2833-Z2833</f>
        <v>45.9287819179284</v>
      </c>
      <c r="AB2833" s="0" t="n">
        <f aca="false">X2833+Z2833</f>
        <v>49.0777970294399</v>
      </c>
      <c r="AC2833" s="54" t="b">
        <f aca="false">AND(E2833&gt;=01_因子設定!$L$5-0.000000001,E2833&lt;=01_因子設定!$M$5+0.000000001,F2833&gt;=01_因子設定!$L$6-0.000000001,F2833&lt;=01_因子設定!$M$6+0.000000001,G2833&gt;=01_因子設定!$L$7-0.000000001,G2833&lt;=01_因子設定!$M$7+0.000000001,H2833&gt;=01_因子設定!$L$8-0.000000001,H2833&lt;=01_因子設定!$M$8+0.000000001,IF(01_因子設定!$B$20="Box-Behnken",E2833^2+F2833^2+G2833^2+H2833^2&lt;=2+0.000000001,TRUE()))</f>
        <v>1</v>
      </c>
      <c r="AD2833" s="55" t="n">
        <f aca="false">IF(AC2833,IF(01_因子設定!$B$13="最大化",AA2833-01_因子設定!$B$14,IF(01_因子設定!$B$13="最小化",01_因子設定!$B$15-AB2833,MIN(AA2833-01_因子設定!$B$14,01_因子設定!$B$15-AB2833))),-1E+030)</f>
        <v>-0.571218082071567</v>
      </c>
      <c r="AE2833" s="55" t="n">
        <f aca="false">IF(AC2833,IF(01_因子設定!$B$13="最大化",X2833,IF(01_因子設定!$B$13="最小化",-X2833,-ABS(X2833-01_因子設定!$B$16))),-1E+030)</f>
        <v>47.5032894736842</v>
      </c>
      <c r="AF2833" s="55" t="n">
        <f aca="false">AD2833+ROW()*0.000000001</f>
        <v>-0.571215249071567</v>
      </c>
      <c r="AG2833" s="55" t="n">
        <f aca="false">AE2833+ROW()*0.000000001</f>
        <v>47.5032923066842</v>
      </c>
    </row>
    <row r="2834" customFormat="false" ht="15" hidden="false" customHeight="false" outlineLevel="0" collapsed="false">
      <c r="A2834" s="0" t="n">
        <v>3</v>
      </c>
      <c r="B2834" s="0" t="n">
        <v>7</v>
      </c>
      <c r="C2834" s="0" t="n">
        <v>8</v>
      </c>
      <c r="D2834" s="0" t="n">
        <v>3</v>
      </c>
      <c r="E2834" s="0" t="n">
        <f aca="false">-1+A2834*0.25</f>
        <v>-0.25</v>
      </c>
      <c r="F2834" s="0" t="n">
        <f aca="false">-1+B2834*0.25</f>
        <v>0.75</v>
      </c>
      <c r="G2834" s="0" t="n">
        <f aca="false">-1+C2834*0.25</f>
        <v>1</v>
      </c>
      <c r="H2834" s="0" t="n">
        <f aca="false">-1+D2834*0.25</f>
        <v>-0.25</v>
      </c>
      <c r="I2834" s="0" t="n">
        <f aca="false">1</f>
        <v>1</v>
      </c>
      <c r="J2834" s="0" t="n">
        <f aca="false">E2834</f>
        <v>-0.25</v>
      </c>
      <c r="K2834" s="0" t="n">
        <f aca="false">F2834</f>
        <v>0.75</v>
      </c>
      <c r="L2834" s="0" t="n">
        <f aca="false">G2834</f>
        <v>1</v>
      </c>
      <c r="M2834" s="0" t="n">
        <f aca="false">H2834</f>
        <v>-0.25</v>
      </c>
      <c r="N2834" s="0" t="n">
        <f aca="false">E2834*F2834</f>
        <v>-0.1875</v>
      </c>
      <c r="O2834" s="0" t="n">
        <f aca="false">E2834*G2834</f>
        <v>-0.25</v>
      </c>
      <c r="P2834" s="0" t="n">
        <f aca="false">E2834*H2834</f>
        <v>0.0625</v>
      </c>
      <c r="Q2834" s="0" t="n">
        <f aca="false">F2834*G2834</f>
        <v>0.75</v>
      </c>
      <c r="R2834" s="0" t="n">
        <f aca="false">F2834*H2834</f>
        <v>-0.1875</v>
      </c>
      <c r="S2834" s="0" t="n">
        <f aca="false">G2834*H2834</f>
        <v>-0.25</v>
      </c>
      <c r="T2834" s="0" t="n">
        <f aca="false">E2834*E2834</f>
        <v>0.0625</v>
      </c>
      <c r="U2834" s="0" t="n">
        <f aca="false">F2834*F2834</f>
        <v>0.5625</v>
      </c>
      <c r="V2834" s="0" t="n">
        <f aca="false">G2834*G2834</f>
        <v>1</v>
      </c>
      <c r="W2834" s="0" t="n">
        <f aca="false">H2834*H2834</f>
        <v>0.0625</v>
      </c>
      <c r="X2834" s="0" t="n">
        <f aca="false">SUMPRODUCT(I2834:W2834,_XtX!$B$96:$P$96)</f>
        <v>47.7006076388888</v>
      </c>
      <c r="Y2834" s="0" t="n">
        <f aca="false">SUMPRODUCT(MMULT(I2834:W2834,_XtX!$B$78:$P$92),I2834:W2834)</f>
        <v>0.486409505208334</v>
      </c>
      <c r="Z2834" s="0" t="n">
        <f aca="false">04_回帰ANOVA!$K$19*04_回帰ANOVA!$K$14*SQRT(1+Y2834)</f>
        <v>1.58916001665498</v>
      </c>
      <c r="AA2834" s="0" t="n">
        <f aca="false">X2834-Z2834</f>
        <v>46.1114476222339</v>
      </c>
      <c r="AB2834" s="0" t="n">
        <f aca="false">X2834+Z2834</f>
        <v>49.2897676555438</v>
      </c>
      <c r="AC2834" s="54" t="b">
        <f aca="false">AND(E2834&gt;=01_因子設定!$L$5-0.000000001,E2834&lt;=01_因子設定!$M$5+0.000000001,F2834&gt;=01_因子設定!$L$6-0.000000001,F2834&lt;=01_因子設定!$M$6+0.000000001,G2834&gt;=01_因子設定!$L$7-0.000000001,G2834&lt;=01_因子設定!$M$7+0.000000001,H2834&gt;=01_因子設定!$L$8-0.000000001,H2834&lt;=01_因子設定!$M$8+0.000000001,IF(01_因子設定!$B$20="Box-Behnken",E2834^2+F2834^2+G2834^2+H2834^2&lt;=2+0.000000001,TRUE()))</f>
        <v>1</v>
      </c>
      <c r="AD2834" s="55" t="n">
        <f aca="false">IF(AC2834,IF(01_因子設定!$B$13="最大化",AA2834-01_因子設定!$B$14,IF(01_因子設定!$B$13="最小化",01_因子設定!$B$15-AB2834,MIN(AA2834-01_因子設定!$B$14,01_因子設定!$B$15-AB2834))),-1E+030)</f>
        <v>-0.388552377766146</v>
      </c>
      <c r="AE2834" s="55" t="n">
        <f aca="false">IF(AC2834,IF(01_因子設定!$B$13="最大化",X2834,IF(01_因子設定!$B$13="最小化",-X2834,-ABS(X2834-01_因子設定!$B$16))),-1E+030)</f>
        <v>47.7006076388888</v>
      </c>
      <c r="AF2834" s="55" t="n">
        <f aca="false">AD2834+ROW()*0.000000001</f>
        <v>-0.388549543766146</v>
      </c>
      <c r="AG2834" s="55" t="n">
        <f aca="false">AE2834+ROW()*0.000000001</f>
        <v>47.7006104728888</v>
      </c>
    </row>
    <row r="2835" customFormat="false" ht="15" hidden="false" customHeight="false" outlineLevel="0" collapsed="false">
      <c r="A2835" s="0" t="n">
        <v>3</v>
      </c>
      <c r="B2835" s="0" t="n">
        <v>7</v>
      </c>
      <c r="C2835" s="0" t="n">
        <v>8</v>
      </c>
      <c r="D2835" s="0" t="n">
        <v>4</v>
      </c>
      <c r="E2835" s="0" t="n">
        <f aca="false">-1+A2835*0.25</f>
        <v>-0.25</v>
      </c>
      <c r="F2835" s="0" t="n">
        <f aca="false">-1+B2835*0.25</f>
        <v>0.75</v>
      </c>
      <c r="G2835" s="0" t="n">
        <f aca="false">-1+C2835*0.25</f>
        <v>1</v>
      </c>
      <c r="H2835" s="0" t="n">
        <f aca="false">-1+D2835*0.25</f>
        <v>0</v>
      </c>
      <c r="I2835" s="0" t="n">
        <f aca="false">1</f>
        <v>1</v>
      </c>
      <c r="J2835" s="0" t="n">
        <f aca="false">E2835</f>
        <v>-0.25</v>
      </c>
      <c r="K2835" s="0" t="n">
        <f aca="false">F2835</f>
        <v>0.75</v>
      </c>
      <c r="L2835" s="0" t="n">
        <f aca="false">G2835</f>
        <v>1</v>
      </c>
      <c r="M2835" s="0" t="n">
        <f aca="false">H2835</f>
        <v>0</v>
      </c>
      <c r="N2835" s="0" t="n">
        <f aca="false">E2835*F2835</f>
        <v>-0.1875</v>
      </c>
      <c r="O2835" s="0" t="n">
        <f aca="false">E2835*G2835</f>
        <v>-0.25</v>
      </c>
      <c r="P2835" s="0" t="n">
        <f aca="false">E2835*H2835</f>
        <v>-0</v>
      </c>
      <c r="Q2835" s="0" t="n">
        <f aca="false">F2835*G2835</f>
        <v>0.75</v>
      </c>
      <c r="R2835" s="0" t="n">
        <f aca="false">F2835*H2835</f>
        <v>0</v>
      </c>
      <c r="S2835" s="0" t="n">
        <f aca="false">G2835*H2835</f>
        <v>0</v>
      </c>
      <c r="T2835" s="0" t="n">
        <f aca="false">E2835*E2835</f>
        <v>0.0625</v>
      </c>
      <c r="U2835" s="0" t="n">
        <f aca="false">F2835*F2835</f>
        <v>0.5625</v>
      </c>
      <c r="V2835" s="0" t="n">
        <f aca="false">G2835*G2835</f>
        <v>1</v>
      </c>
      <c r="W2835" s="0" t="n">
        <f aca="false">H2835*H2835</f>
        <v>0</v>
      </c>
      <c r="X2835" s="0" t="n">
        <f aca="false">SUMPRODUCT(I2835:W2835,_XtX!$B$96:$P$96)</f>
        <v>47.8501187865497</v>
      </c>
      <c r="Y2835" s="0" t="n">
        <f aca="false">SUMPRODUCT(MMULT(I2835:W2835,_XtX!$B$78:$P$92),I2835:W2835)</f>
        <v>0.501534802174708</v>
      </c>
      <c r="Z2835" s="0" t="n">
        <f aca="false">04_回帰ANOVA!$K$19*04_回帰ANOVA!$K$14*SQRT(1+Y2835)</f>
        <v>1.59722498091333</v>
      </c>
      <c r="AA2835" s="0" t="n">
        <f aca="false">X2835-Z2835</f>
        <v>46.2528938056363</v>
      </c>
      <c r="AB2835" s="0" t="n">
        <f aca="false">X2835+Z2835</f>
        <v>49.447343767463</v>
      </c>
      <c r="AC2835" s="54" t="b">
        <f aca="false">AND(E2835&gt;=01_因子設定!$L$5-0.000000001,E2835&lt;=01_因子設定!$M$5+0.000000001,F2835&gt;=01_因子設定!$L$6-0.000000001,F2835&lt;=01_因子設定!$M$6+0.000000001,G2835&gt;=01_因子設定!$L$7-0.000000001,G2835&lt;=01_因子設定!$M$7+0.000000001,H2835&gt;=01_因子設定!$L$8-0.000000001,H2835&lt;=01_因子設定!$M$8+0.000000001,IF(01_因子設定!$B$20="Box-Behnken",E2835^2+F2835^2+G2835^2+H2835^2&lt;=2+0.000000001,TRUE()))</f>
        <v>1</v>
      </c>
      <c r="AD2835" s="55" t="n">
        <f aca="false">IF(AC2835,IF(01_因子設定!$B$13="最大化",AA2835-01_因子設定!$B$14,IF(01_因子設定!$B$13="最小化",01_因子設定!$B$15-AB2835,MIN(AA2835-01_因子設定!$B$14,01_因子設定!$B$15-AB2835))),-1E+030)</f>
        <v>-0.247106194363681</v>
      </c>
      <c r="AE2835" s="55" t="n">
        <f aca="false">IF(AC2835,IF(01_因子設定!$B$13="最大化",X2835,IF(01_因子設定!$B$13="最小化",-X2835,-ABS(X2835-01_因子設定!$B$16))),-1E+030)</f>
        <v>47.8501187865497</v>
      </c>
      <c r="AF2835" s="55" t="n">
        <f aca="false">AD2835+ROW()*0.000000001</f>
        <v>-0.247103359363681</v>
      </c>
      <c r="AG2835" s="55" t="n">
        <f aca="false">AE2835+ROW()*0.000000001</f>
        <v>47.8501216215497</v>
      </c>
    </row>
    <row r="2836" customFormat="false" ht="15" hidden="false" customHeight="false" outlineLevel="0" collapsed="false">
      <c r="A2836" s="0" t="n">
        <v>3</v>
      </c>
      <c r="B2836" s="0" t="n">
        <v>7</v>
      </c>
      <c r="C2836" s="0" t="n">
        <v>8</v>
      </c>
      <c r="D2836" s="0" t="n">
        <v>5</v>
      </c>
      <c r="E2836" s="0" t="n">
        <f aca="false">-1+A2836*0.25</f>
        <v>-0.25</v>
      </c>
      <c r="F2836" s="0" t="n">
        <f aca="false">-1+B2836*0.25</f>
        <v>0.75</v>
      </c>
      <c r="G2836" s="0" t="n">
        <f aca="false">-1+C2836*0.25</f>
        <v>1</v>
      </c>
      <c r="H2836" s="0" t="n">
        <f aca="false">-1+D2836*0.25</f>
        <v>0.25</v>
      </c>
      <c r="I2836" s="0" t="n">
        <f aca="false">1</f>
        <v>1</v>
      </c>
      <c r="J2836" s="0" t="n">
        <f aca="false">E2836</f>
        <v>-0.25</v>
      </c>
      <c r="K2836" s="0" t="n">
        <f aca="false">F2836</f>
        <v>0.75</v>
      </c>
      <c r="L2836" s="0" t="n">
        <f aca="false">G2836</f>
        <v>1</v>
      </c>
      <c r="M2836" s="0" t="n">
        <f aca="false">H2836</f>
        <v>0.25</v>
      </c>
      <c r="N2836" s="0" t="n">
        <f aca="false">E2836*F2836</f>
        <v>-0.1875</v>
      </c>
      <c r="O2836" s="0" t="n">
        <f aca="false">E2836*G2836</f>
        <v>-0.25</v>
      </c>
      <c r="P2836" s="0" t="n">
        <f aca="false">E2836*H2836</f>
        <v>-0.0625</v>
      </c>
      <c r="Q2836" s="0" t="n">
        <f aca="false">F2836*G2836</f>
        <v>0.75</v>
      </c>
      <c r="R2836" s="0" t="n">
        <f aca="false">F2836*H2836</f>
        <v>0.1875</v>
      </c>
      <c r="S2836" s="0" t="n">
        <f aca="false">G2836*H2836</f>
        <v>0.25</v>
      </c>
      <c r="T2836" s="0" t="n">
        <f aca="false">E2836*E2836</f>
        <v>0.0625</v>
      </c>
      <c r="U2836" s="0" t="n">
        <f aca="false">F2836*F2836</f>
        <v>0.5625</v>
      </c>
      <c r="V2836" s="0" t="n">
        <f aca="false">G2836*G2836</f>
        <v>1</v>
      </c>
      <c r="W2836" s="0" t="n">
        <f aca="false">H2836*H2836</f>
        <v>0.0625</v>
      </c>
      <c r="X2836" s="0" t="n">
        <f aca="false">SUMPRODUCT(I2836:W2836,_XtX!$B$96:$P$96)</f>
        <v>47.9518229166666</v>
      </c>
      <c r="Y2836" s="0" t="n">
        <f aca="false">SUMPRODUCT(MMULT(I2836:W2836,_XtX!$B$78:$P$92),I2836:W2836)</f>
        <v>0.486409505208334</v>
      </c>
      <c r="Z2836" s="0" t="n">
        <f aca="false">04_回帰ANOVA!$K$19*04_回帰ANOVA!$K$14*SQRT(1+Y2836)</f>
        <v>1.58916001665498</v>
      </c>
      <c r="AA2836" s="0" t="n">
        <f aca="false">X2836-Z2836</f>
        <v>46.3626629000116</v>
      </c>
      <c r="AB2836" s="0" t="n">
        <f aca="false">X2836+Z2836</f>
        <v>49.5409829333216</v>
      </c>
      <c r="AC2836" s="54" t="b">
        <f aca="false">AND(E2836&gt;=01_因子設定!$L$5-0.000000001,E2836&lt;=01_因子設定!$M$5+0.000000001,F2836&gt;=01_因子設定!$L$6-0.000000001,F2836&lt;=01_因子設定!$M$6+0.000000001,G2836&gt;=01_因子設定!$L$7-0.000000001,G2836&lt;=01_因子設定!$M$7+0.000000001,H2836&gt;=01_因子設定!$L$8-0.000000001,H2836&lt;=01_因子設定!$M$8+0.000000001,IF(01_因子設定!$B$20="Box-Behnken",E2836^2+F2836^2+G2836^2+H2836^2&lt;=2+0.000000001,TRUE()))</f>
        <v>1</v>
      </c>
      <c r="AD2836" s="55" t="n">
        <f aca="false">IF(AC2836,IF(01_因子設定!$B$13="最大化",AA2836-01_因子設定!$B$14,IF(01_因子設定!$B$13="最小化",01_因子設定!$B$15-AB2836,MIN(AA2836-01_因子設定!$B$14,01_因子設定!$B$15-AB2836))),-1E+030)</f>
        <v>-0.137337099988365</v>
      </c>
      <c r="AE2836" s="55" t="n">
        <f aca="false">IF(AC2836,IF(01_因子設定!$B$13="最大化",X2836,IF(01_因子設定!$B$13="最小化",-X2836,-ABS(X2836-01_因子設定!$B$16))),-1E+030)</f>
        <v>47.9518229166666</v>
      </c>
      <c r="AF2836" s="55" t="n">
        <f aca="false">AD2836+ROW()*0.000000001</f>
        <v>-0.137334263988365</v>
      </c>
      <c r="AG2836" s="55" t="n">
        <f aca="false">AE2836+ROW()*0.000000001</f>
        <v>47.9518257526666</v>
      </c>
    </row>
    <row r="2837" customFormat="false" ht="15" hidden="false" customHeight="false" outlineLevel="0" collapsed="false">
      <c r="A2837" s="0" t="n">
        <v>3</v>
      </c>
      <c r="B2837" s="0" t="n">
        <v>7</v>
      </c>
      <c r="C2837" s="0" t="n">
        <v>8</v>
      </c>
      <c r="D2837" s="0" t="n">
        <v>6</v>
      </c>
      <c r="E2837" s="0" t="n">
        <f aca="false">-1+A2837*0.25</f>
        <v>-0.25</v>
      </c>
      <c r="F2837" s="0" t="n">
        <f aca="false">-1+B2837*0.25</f>
        <v>0.75</v>
      </c>
      <c r="G2837" s="0" t="n">
        <f aca="false">-1+C2837*0.25</f>
        <v>1</v>
      </c>
      <c r="H2837" s="0" t="n">
        <f aca="false">-1+D2837*0.25</f>
        <v>0.5</v>
      </c>
      <c r="I2837" s="0" t="n">
        <f aca="false">1</f>
        <v>1</v>
      </c>
      <c r="J2837" s="0" t="n">
        <f aca="false">E2837</f>
        <v>-0.25</v>
      </c>
      <c r="K2837" s="0" t="n">
        <f aca="false">F2837</f>
        <v>0.75</v>
      </c>
      <c r="L2837" s="0" t="n">
        <f aca="false">G2837</f>
        <v>1</v>
      </c>
      <c r="M2837" s="0" t="n">
        <f aca="false">H2837</f>
        <v>0.5</v>
      </c>
      <c r="N2837" s="0" t="n">
        <f aca="false">E2837*F2837</f>
        <v>-0.1875</v>
      </c>
      <c r="O2837" s="0" t="n">
        <f aca="false">E2837*G2837</f>
        <v>-0.25</v>
      </c>
      <c r="P2837" s="0" t="n">
        <f aca="false">E2837*H2837</f>
        <v>-0.125</v>
      </c>
      <c r="Q2837" s="0" t="n">
        <f aca="false">F2837*G2837</f>
        <v>0.75</v>
      </c>
      <c r="R2837" s="0" t="n">
        <f aca="false">F2837*H2837</f>
        <v>0.375</v>
      </c>
      <c r="S2837" s="0" t="n">
        <f aca="false">G2837*H2837</f>
        <v>0.5</v>
      </c>
      <c r="T2837" s="0" t="n">
        <f aca="false">E2837*E2837</f>
        <v>0.0625</v>
      </c>
      <c r="U2837" s="0" t="n">
        <f aca="false">F2837*F2837</f>
        <v>0.5625</v>
      </c>
      <c r="V2837" s="0" t="n">
        <f aca="false">G2837*G2837</f>
        <v>1</v>
      </c>
      <c r="W2837" s="0" t="n">
        <f aca="false">H2837*H2837</f>
        <v>0.25</v>
      </c>
      <c r="X2837" s="0" t="n">
        <f aca="false">SUMPRODUCT(I2837:W2837,_XtX!$B$96:$P$96)</f>
        <v>48.0057200292397</v>
      </c>
      <c r="Y2837" s="0" t="n">
        <f aca="false">SUMPRODUCT(MMULT(I2837:W2837,_XtX!$B$78:$P$92),I2837:W2837)</f>
        <v>0.459125719572369</v>
      </c>
      <c r="Z2837" s="0" t="n">
        <f aca="false">04_回帰ANOVA!$K$19*04_回帰ANOVA!$K$14*SQRT(1+Y2837)</f>
        <v>1.57450755575573</v>
      </c>
      <c r="AA2837" s="0" t="n">
        <f aca="false">X2837-Z2837</f>
        <v>46.431212473484</v>
      </c>
      <c r="AB2837" s="0" t="n">
        <f aca="false">X2837+Z2837</f>
        <v>49.5802275849955</v>
      </c>
      <c r="AC2837" s="54" t="b">
        <f aca="false">AND(E2837&gt;=01_因子設定!$L$5-0.000000001,E2837&lt;=01_因子設定!$M$5+0.000000001,F2837&gt;=01_因子設定!$L$6-0.000000001,F2837&lt;=01_因子設定!$M$6+0.000000001,G2837&gt;=01_因子設定!$L$7-0.000000001,G2837&lt;=01_因子設定!$M$7+0.000000001,H2837&gt;=01_因子設定!$L$8-0.000000001,H2837&lt;=01_因子設定!$M$8+0.000000001,IF(01_因子設定!$B$20="Box-Behnken",E2837^2+F2837^2+G2837^2+H2837^2&lt;=2+0.000000001,TRUE()))</f>
        <v>1</v>
      </c>
      <c r="AD2837" s="55" t="n">
        <f aca="false">IF(AC2837,IF(01_因子設定!$B$13="最大化",AA2837-01_因子設定!$B$14,IF(01_因子設定!$B$13="最小化",01_因子設定!$B$15-AB2837,MIN(AA2837-01_因子設定!$B$14,01_因子設定!$B$15-AB2837))),-1E+030)</f>
        <v>-0.0687875265160116</v>
      </c>
      <c r="AE2837" s="55" t="n">
        <f aca="false">IF(AC2837,IF(01_因子設定!$B$13="最大化",X2837,IF(01_因子設定!$B$13="最小化",-X2837,-ABS(X2837-01_因子設定!$B$16))),-1E+030)</f>
        <v>48.0057200292397</v>
      </c>
      <c r="AF2837" s="55" t="n">
        <f aca="false">AD2837+ROW()*0.000000001</f>
        <v>-0.0687846895160116</v>
      </c>
      <c r="AG2837" s="55" t="n">
        <f aca="false">AE2837+ROW()*0.000000001</f>
        <v>48.0057228662397</v>
      </c>
    </row>
    <row r="2838" customFormat="false" ht="15" hidden="false" customHeight="false" outlineLevel="0" collapsed="false">
      <c r="A2838" s="0" t="n">
        <v>3</v>
      </c>
      <c r="B2838" s="0" t="n">
        <v>7</v>
      </c>
      <c r="C2838" s="0" t="n">
        <v>8</v>
      </c>
      <c r="D2838" s="0" t="n">
        <v>7</v>
      </c>
      <c r="E2838" s="0" t="n">
        <f aca="false">-1+A2838*0.25</f>
        <v>-0.25</v>
      </c>
      <c r="F2838" s="0" t="n">
        <f aca="false">-1+B2838*0.25</f>
        <v>0.75</v>
      </c>
      <c r="G2838" s="0" t="n">
        <f aca="false">-1+C2838*0.25</f>
        <v>1</v>
      </c>
      <c r="H2838" s="0" t="n">
        <f aca="false">-1+D2838*0.25</f>
        <v>0.75</v>
      </c>
      <c r="I2838" s="0" t="n">
        <f aca="false">1</f>
        <v>1</v>
      </c>
      <c r="J2838" s="0" t="n">
        <f aca="false">E2838</f>
        <v>-0.25</v>
      </c>
      <c r="K2838" s="0" t="n">
        <f aca="false">F2838</f>
        <v>0.75</v>
      </c>
      <c r="L2838" s="0" t="n">
        <f aca="false">G2838</f>
        <v>1</v>
      </c>
      <c r="M2838" s="0" t="n">
        <f aca="false">H2838</f>
        <v>0.75</v>
      </c>
      <c r="N2838" s="0" t="n">
        <f aca="false">E2838*F2838</f>
        <v>-0.1875</v>
      </c>
      <c r="O2838" s="0" t="n">
        <f aca="false">E2838*G2838</f>
        <v>-0.25</v>
      </c>
      <c r="P2838" s="0" t="n">
        <f aca="false">E2838*H2838</f>
        <v>-0.1875</v>
      </c>
      <c r="Q2838" s="0" t="n">
        <f aca="false">F2838*G2838</f>
        <v>0.75</v>
      </c>
      <c r="R2838" s="0" t="n">
        <f aca="false">F2838*H2838</f>
        <v>0.5625</v>
      </c>
      <c r="S2838" s="0" t="n">
        <f aca="false">G2838*H2838</f>
        <v>0.75</v>
      </c>
      <c r="T2838" s="0" t="n">
        <f aca="false">E2838*E2838</f>
        <v>0.0625</v>
      </c>
      <c r="U2838" s="0" t="n">
        <f aca="false">F2838*F2838</f>
        <v>0.5625</v>
      </c>
      <c r="V2838" s="0" t="n">
        <f aca="false">G2838*G2838</f>
        <v>1</v>
      </c>
      <c r="W2838" s="0" t="n">
        <f aca="false">H2838*H2838</f>
        <v>0.5625</v>
      </c>
      <c r="X2838" s="0" t="n">
        <f aca="false">SUMPRODUCT(I2838:W2838,_XtX!$B$96:$P$96)</f>
        <v>48.011810124269</v>
      </c>
      <c r="Y2838" s="0" t="n">
        <f aca="false">SUMPRODUCT(MMULT(I2838:W2838,_XtX!$B$78:$P$92),I2838:W2838)</f>
        <v>0.473959761056287</v>
      </c>
      <c r="Z2838" s="0" t="n">
        <f aca="false">04_回帰ANOVA!$K$19*04_回帰ANOVA!$K$14*SQRT(1+Y2838)</f>
        <v>1.58249084588329</v>
      </c>
      <c r="AA2838" s="0" t="n">
        <f aca="false">X2838-Z2838</f>
        <v>46.4293192783857</v>
      </c>
      <c r="AB2838" s="0" t="n">
        <f aca="false">X2838+Z2838</f>
        <v>49.5943009701523</v>
      </c>
      <c r="AC2838" s="54" t="b">
        <f aca="false">AND(E2838&gt;=01_因子設定!$L$5-0.000000001,E2838&lt;=01_因子設定!$M$5+0.000000001,F2838&gt;=01_因子設定!$L$6-0.000000001,F2838&lt;=01_因子設定!$M$6+0.000000001,G2838&gt;=01_因子設定!$L$7-0.000000001,G2838&lt;=01_因子設定!$M$7+0.000000001,H2838&gt;=01_因子設定!$L$8-0.000000001,H2838&lt;=01_因子設定!$M$8+0.000000001,IF(01_因子設定!$B$20="Box-Behnken",E2838^2+F2838^2+G2838^2+H2838^2&lt;=2+0.000000001,TRUE()))</f>
        <v>1</v>
      </c>
      <c r="AD2838" s="55" t="n">
        <f aca="false">IF(AC2838,IF(01_因子設定!$B$13="最大化",AA2838-01_因子設定!$B$14,IF(01_因子設定!$B$13="最小化",01_因子設定!$B$15-AB2838,MIN(AA2838-01_因子設定!$B$14,01_因子設定!$B$15-AB2838))),-1E+030)</f>
        <v>-0.0706807216143162</v>
      </c>
      <c r="AE2838" s="55" t="n">
        <f aca="false">IF(AC2838,IF(01_因子設定!$B$13="最大化",X2838,IF(01_因子設定!$B$13="最小化",-X2838,-ABS(X2838-01_因子設定!$B$16))),-1E+030)</f>
        <v>48.011810124269</v>
      </c>
      <c r="AF2838" s="55" t="n">
        <f aca="false">AD2838+ROW()*0.000000001</f>
        <v>-0.0706778836143162</v>
      </c>
      <c r="AG2838" s="55" t="n">
        <f aca="false">AE2838+ROW()*0.000000001</f>
        <v>48.011812962269</v>
      </c>
    </row>
    <row r="2839" customFormat="false" ht="15" hidden="false" customHeight="false" outlineLevel="0" collapsed="false">
      <c r="A2839" s="0" t="n">
        <v>3</v>
      </c>
      <c r="B2839" s="0" t="n">
        <v>7</v>
      </c>
      <c r="C2839" s="0" t="n">
        <v>8</v>
      </c>
      <c r="D2839" s="0" t="n">
        <v>8</v>
      </c>
      <c r="E2839" s="0" t="n">
        <f aca="false">-1+A2839*0.25</f>
        <v>-0.25</v>
      </c>
      <c r="F2839" s="0" t="n">
        <f aca="false">-1+B2839*0.25</f>
        <v>0.75</v>
      </c>
      <c r="G2839" s="0" t="n">
        <f aca="false">-1+C2839*0.25</f>
        <v>1</v>
      </c>
      <c r="H2839" s="0" t="n">
        <f aca="false">-1+D2839*0.25</f>
        <v>1</v>
      </c>
      <c r="I2839" s="0" t="n">
        <f aca="false">1</f>
        <v>1</v>
      </c>
      <c r="J2839" s="0" t="n">
        <f aca="false">E2839</f>
        <v>-0.25</v>
      </c>
      <c r="K2839" s="0" t="n">
        <f aca="false">F2839</f>
        <v>0.75</v>
      </c>
      <c r="L2839" s="0" t="n">
        <f aca="false">G2839</f>
        <v>1</v>
      </c>
      <c r="M2839" s="0" t="n">
        <f aca="false">H2839</f>
        <v>1</v>
      </c>
      <c r="N2839" s="0" t="n">
        <f aca="false">E2839*F2839</f>
        <v>-0.1875</v>
      </c>
      <c r="O2839" s="0" t="n">
        <f aca="false">E2839*G2839</f>
        <v>-0.25</v>
      </c>
      <c r="P2839" s="0" t="n">
        <f aca="false">E2839*H2839</f>
        <v>-0.25</v>
      </c>
      <c r="Q2839" s="0" t="n">
        <f aca="false">F2839*G2839</f>
        <v>0.75</v>
      </c>
      <c r="R2839" s="0" t="n">
        <f aca="false">F2839*H2839</f>
        <v>0.75</v>
      </c>
      <c r="S2839" s="0" t="n">
        <f aca="false">G2839*H2839</f>
        <v>1</v>
      </c>
      <c r="T2839" s="0" t="n">
        <f aca="false">E2839*E2839</f>
        <v>0.0625</v>
      </c>
      <c r="U2839" s="0" t="n">
        <f aca="false">F2839*F2839</f>
        <v>0.5625</v>
      </c>
      <c r="V2839" s="0" t="n">
        <f aca="false">G2839*G2839</f>
        <v>1</v>
      </c>
      <c r="W2839" s="0" t="n">
        <f aca="false">H2839*H2839</f>
        <v>1</v>
      </c>
      <c r="X2839" s="0" t="n">
        <f aca="false">SUMPRODUCT(I2839:W2839,_XtX!$B$96:$P$96)</f>
        <v>47.9700932017544</v>
      </c>
      <c r="Y2839" s="0" t="n">
        <f aca="false">SUMPRODUCT(MMULT(I2839:W2839,_XtX!$B$78:$P$92),I2839:W2839)</f>
        <v>0.621372155975877</v>
      </c>
      <c r="Z2839" s="0" t="n">
        <f aca="false">04_回帰ANOVA!$K$19*04_回帰ANOVA!$K$14*SQRT(1+Y2839)</f>
        <v>1.65973880499872</v>
      </c>
      <c r="AA2839" s="0" t="n">
        <f aca="false">X2839-Z2839</f>
        <v>46.3103543967557</v>
      </c>
      <c r="AB2839" s="0" t="n">
        <f aca="false">X2839+Z2839</f>
        <v>49.6298320067531</v>
      </c>
      <c r="AC2839" s="54" t="b">
        <f aca="false">AND(E2839&gt;=01_因子設定!$L$5-0.000000001,E2839&lt;=01_因子設定!$M$5+0.000000001,F2839&gt;=01_因子設定!$L$6-0.000000001,F2839&lt;=01_因子設定!$M$6+0.000000001,G2839&gt;=01_因子設定!$L$7-0.000000001,G2839&lt;=01_因子設定!$M$7+0.000000001,H2839&gt;=01_因子設定!$L$8-0.000000001,H2839&lt;=01_因子設定!$M$8+0.000000001,IF(01_因子設定!$B$20="Box-Behnken",E2839^2+F2839^2+G2839^2+H2839^2&lt;=2+0.000000001,TRUE()))</f>
        <v>1</v>
      </c>
      <c r="AD2839" s="55" t="n">
        <f aca="false">IF(AC2839,IF(01_因子設定!$B$13="最大化",AA2839-01_因子設定!$B$14,IF(01_因子設定!$B$13="最小化",01_因子設定!$B$15-AB2839,MIN(AA2839-01_因子設定!$B$14,01_因子設定!$B$15-AB2839))),-1E+030)</f>
        <v>-0.189645603244351</v>
      </c>
      <c r="AE2839" s="55" t="n">
        <f aca="false">IF(AC2839,IF(01_因子設定!$B$13="最大化",X2839,IF(01_因子設定!$B$13="最小化",-X2839,-ABS(X2839-01_因子設定!$B$16))),-1E+030)</f>
        <v>47.9700932017544</v>
      </c>
      <c r="AF2839" s="55" t="n">
        <f aca="false">AD2839+ROW()*0.000000001</f>
        <v>-0.189642764244351</v>
      </c>
      <c r="AG2839" s="55" t="n">
        <f aca="false">AE2839+ROW()*0.000000001</f>
        <v>47.9700960407544</v>
      </c>
    </row>
    <row r="2840" customFormat="false" ht="15" hidden="false" customHeight="false" outlineLevel="0" collapsed="false">
      <c r="A2840" s="0" t="n">
        <v>3</v>
      </c>
      <c r="B2840" s="0" t="n">
        <v>8</v>
      </c>
      <c r="C2840" s="0" t="n">
        <v>0</v>
      </c>
      <c r="D2840" s="0" t="n">
        <v>0</v>
      </c>
      <c r="E2840" s="0" t="n">
        <f aca="false">-1+A2840*0.25</f>
        <v>-0.25</v>
      </c>
      <c r="F2840" s="0" t="n">
        <f aca="false">-1+B2840*0.25</f>
        <v>1</v>
      </c>
      <c r="G2840" s="0" t="n">
        <f aca="false">-1+C2840*0.25</f>
        <v>-1</v>
      </c>
      <c r="H2840" s="0" t="n">
        <f aca="false">-1+D2840*0.25</f>
        <v>-1</v>
      </c>
      <c r="I2840" s="0" t="n">
        <f aca="false">1</f>
        <v>1</v>
      </c>
      <c r="J2840" s="0" t="n">
        <f aca="false">E2840</f>
        <v>-0.25</v>
      </c>
      <c r="K2840" s="0" t="n">
        <f aca="false">F2840</f>
        <v>1</v>
      </c>
      <c r="L2840" s="0" t="n">
        <f aca="false">G2840</f>
        <v>-1</v>
      </c>
      <c r="M2840" s="0" t="n">
        <f aca="false">H2840</f>
        <v>-1</v>
      </c>
      <c r="N2840" s="0" t="n">
        <f aca="false">E2840*F2840</f>
        <v>-0.25</v>
      </c>
      <c r="O2840" s="0" t="n">
        <f aca="false">E2840*G2840</f>
        <v>0.25</v>
      </c>
      <c r="P2840" s="0" t="n">
        <f aca="false">E2840*H2840</f>
        <v>0.25</v>
      </c>
      <c r="Q2840" s="0" t="n">
        <f aca="false">F2840*G2840</f>
        <v>-1</v>
      </c>
      <c r="R2840" s="0" t="n">
        <f aca="false">F2840*H2840</f>
        <v>-1</v>
      </c>
      <c r="S2840" s="0" t="n">
        <f aca="false">G2840*H2840</f>
        <v>1</v>
      </c>
      <c r="T2840" s="0" t="n">
        <f aca="false">E2840*E2840</f>
        <v>0.0625</v>
      </c>
      <c r="U2840" s="0" t="n">
        <f aca="false">F2840*F2840</f>
        <v>1</v>
      </c>
      <c r="V2840" s="0" t="n">
        <f aca="false">G2840*G2840</f>
        <v>1</v>
      </c>
      <c r="W2840" s="0" t="n">
        <f aca="false">H2840*H2840</f>
        <v>1</v>
      </c>
      <c r="X2840" s="0" t="n">
        <f aca="false">SUMPRODUCT(I2840:W2840,_XtX!$B$96:$P$96)</f>
        <v>44.0782894736842</v>
      </c>
      <c r="Y2840" s="0" t="n">
        <f aca="false">SUMPRODUCT(MMULT(I2840:W2840,_XtX!$B$78:$P$92),I2840:W2840)</f>
        <v>0.737093384502924</v>
      </c>
      <c r="Z2840" s="0" t="n">
        <f aca="false">04_回帰ANOVA!$K$19*04_回帰ANOVA!$K$14*SQRT(1+Y2840)</f>
        <v>1.71794784853551</v>
      </c>
      <c r="AA2840" s="0" t="n">
        <f aca="false">X2840-Z2840</f>
        <v>42.3603416251487</v>
      </c>
      <c r="AB2840" s="0" t="n">
        <f aca="false">X2840+Z2840</f>
        <v>45.7962373222197</v>
      </c>
      <c r="AC2840" s="54" t="b">
        <f aca="false">AND(E2840&gt;=01_因子設定!$L$5-0.000000001,E2840&lt;=01_因子設定!$M$5+0.000000001,F2840&gt;=01_因子設定!$L$6-0.000000001,F2840&lt;=01_因子設定!$M$6+0.000000001,G2840&gt;=01_因子設定!$L$7-0.000000001,G2840&lt;=01_因子設定!$M$7+0.000000001,H2840&gt;=01_因子設定!$L$8-0.000000001,H2840&lt;=01_因子設定!$M$8+0.000000001,IF(01_因子設定!$B$20="Box-Behnken",E2840^2+F2840^2+G2840^2+H2840^2&lt;=2+0.000000001,TRUE()))</f>
        <v>1</v>
      </c>
      <c r="AD2840" s="55" t="n">
        <f aca="false">IF(AC2840,IF(01_因子設定!$B$13="最大化",AA2840-01_因子設定!$B$14,IF(01_因子設定!$B$13="最小化",01_因子設定!$B$15-AB2840,MIN(AA2840-01_因子設定!$B$14,01_因子設定!$B$15-AB2840))),-1E+030)</f>
        <v>-4.13965837485131</v>
      </c>
      <c r="AE2840" s="55" t="n">
        <f aca="false">IF(AC2840,IF(01_因子設定!$B$13="最大化",X2840,IF(01_因子設定!$B$13="最小化",-X2840,-ABS(X2840-01_因子設定!$B$16))),-1E+030)</f>
        <v>44.0782894736842</v>
      </c>
      <c r="AF2840" s="55" t="n">
        <f aca="false">AD2840+ROW()*0.000000001</f>
        <v>-4.13965553485131</v>
      </c>
      <c r="AG2840" s="55" t="n">
        <f aca="false">AE2840+ROW()*0.000000001</f>
        <v>44.0782923136842</v>
      </c>
    </row>
    <row r="2841" customFormat="false" ht="15" hidden="false" customHeight="false" outlineLevel="0" collapsed="false">
      <c r="A2841" s="0" t="n">
        <v>3</v>
      </c>
      <c r="B2841" s="0" t="n">
        <v>8</v>
      </c>
      <c r="C2841" s="0" t="n">
        <v>0</v>
      </c>
      <c r="D2841" s="0" t="n">
        <v>1</v>
      </c>
      <c r="E2841" s="0" t="n">
        <f aca="false">-1+A2841*0.25</f>
        <v>-0.25</v>
      </c>
      <c r="F2841" s="0" t="n">
        <f aca="false">-1+B2841*0.25</f>
        <v>1</v>
      </c>
      <c r="G2841" s="0" t="n">
        <f aca="false">-1+C2841*0.25</f>
        <v>-1</v>
      </c>
      <c r="H2841" s="0" t="n">
        <f aca="false">-1+D2841*0.25</f>
        <v>-0.75</v>
      </c>
      <c r="I2841" s="0" t="n">
        <f aca="false">1</f>
        <v>1</v>
      </c>
      <c r="J2841" s="0" t="n">
        <f aca="false">E2841</f>
        <v>-0.25</v>
      </c>
      <c r="K2841" s="0" t="n">
        <f aca="false">F2841</f>
        <v>1</v>
      </c>
      <c r="L2841" s="0" t="n">
        <f aca="false">G2841</f>
        <v>-1</v>
      </c>
      <c r="M2841" s="0" t="n">
        <f aca="false">H2841</f>
        <v>-0.75</v>
      </c>
      <c r="N2841" s="0" t="n">
        <f aca="false">E2841*F2841</f>
        <v>-0.25</v>
      </c>
      <c r="O2841" s="0" t="n">
        <f aca="false">E2841*G2841</f>
        <v>0.25</v>
      </c>
      <c r="P2841" s="0" t="n">
        <f aca="false">E2841*H2841</f>
        <v>0.1875</v>
      </c>
      <c r="Q2841" s="0" t="n">
        <f aca="false">F2841*G2841</f>
        <v>-1</v>
      </c>
      <c r="R2841" s="0" t="n">
        <f aca="false">F2841*H2841</f>
        <v>-0.75</v>
      </c>
      <c r="S2841" s="0" t="n">
        <f aca="false">G2841*H2841</f>
        <v>0.75</v>
      </c>
      <c r="T2841" s="0" t="n">
        <f aca="false">E2841*E2841</f>
        <v>0.0625</v>
      </c>
      <c r="U2841" s="0" t="n">
        <f aca="false">F2841*F2841</f>
        <v>1</v>
      </c>
      <c r="V2841" s="0" t="n">
        <f aca="false">G2841*G2841</f>
        <v>1</v>
      </c>
      <c r="W2841" s="0" t="n">
        <f aca="false">H2841*H2841</f>
        <v>0.5625</v>
      </c>
      <c r="X2841" s="0" t="n">
        <f aca="false">SUMPRODUCT(I2841:W2841,_XtX!$B$96:$P$96)</f>
        <v>44.2141904239766</v>
      </c>
      <c r="Y2841" s="0" t="n">
        <f aca="false">SUMPRODUCT(MMULT(I2841:W2841,_XtX!$B$78:$P$92),I2841:W2841)</f>
        <v>0.621372155975877</v>
      </c>
      <c r="Z2841" s="0" t="n">
        <f aca="false">04_回帰ANOVA!$K$19*04_回帰ANOVA!$K$14*SQRT(1+Y2841)</f>
        <v>1.65973880499872</v>
      </c>
      <c r="AA2841" s="0" t="n">
        <f aca="false">X2841-Z2841</f>
        <v>42.5544516189779</v>
      </c>
      <c r="AB2841" s="0" t="n">
        <f aca="false">X2841+Z2841</f>
        <v>45.8739292289753</v>
      </c>
      <c r="AC2841" s="54" t="b">
        <f aca="false">AND(E2841&gt;=01_因子設定!$L$5-0.000000001,E2841&lt;=01_因子設定!$M$5+0.000000001,F2841&gt;=01_因子設定!$L$6-0.000000001,F2841&lt;=01_因子設定!$M$6+0.000000001,G2841&gt;=01_因子設定!$L$7-0.000000001,G2841&lt;=01_因子設定!$M$7+0.000000001,H2841&gt;=01_因子設定!$L$8-0.000000001,H2841&lt;=01_因子設定!$M$8+0.000000001,IF(01_因子設定!$B$20="Box-Behnken",E2841^2+F2841^2+G2841^2+H2841^2&lt;=2+0.000000001,TRUE()))</f>
        <v>1</v>
      </c>
      <c r="AD2841" s="55" t="n">
        <f aca="false">IF(AC2841,IF(01_因子設定!$B$13="最大化",AA2841-01_因子設定!$B$14,IF(01_因子設定!$B$13="最小化",01_因子設定!$B$15-AB2841,MIN(AA2841-01_因子設定!$B$14,01_因子設定!$B$15-AB2841))),-1E+030)</f>
        <v>-3.94554838102214</v>
      </c>
      <c r="AE2841" s="55" t="n">
        <f aca="false">IF(AC2841,IF(01_因子設定!$B$13="最大化",X2841,IF(01_因子設定!$B$13="最小化",-X2841,-ABS(X2841-01_因子設定!$B$16))),-1E+030)</f>
        <v>44.2141904239766</v>
      </c>
      <c r="AF2841" s="55" t="n">
        <f aca="false">AD2841+ROW()*0.000000001</f>
        <v>-3.94554554002214</v>
      </c>
      <c r="AG2841" s="55" t="n">
        <f aca="false">AE2841+ROW()*0.000000001</f>
        <v>44.2141932649766</v>
      </c>
    </row>
    <row r="2842" customFormat="false" ht="15" hidden="false" customHeight="false" outlineLevel="0" collapsed="false">
      <c r="A2842" s="0" t="n">
        <v>3</v>
      </c>
      <c r="B2842" s="0" t="n">
        <v>8</v>
      </c>
      <c r="C2842" s="0" t="n">
        <v>0</v>
      </c>
      <c r="D2842" s="0" t="n">
        <v>2</v>
      </c>
      <c r="E2842" s="0" t="n">
        <f aca="false">-1+A2842*0.25</f>
        <v>-0.25</v>
      </c>
      <c r="F2842" s="0" t="n">
        <f aca="false">-1+B2842*0.25</f>
        <v>1</v>
      </c>
      <c r="G2842" s="0" t="n">
        <f aca="false">-1+C2842*0.25</f>
        <v>-1</v>
      </c>
      <c r="H2842" s="0" t="n">
        <f aca="false">-1+D2842*0.25</f>
        <v>-0.5</v>
      </c>
      <c r="I2842" s="0" t="n">
        <f aca="false">1</f>
        <v>1</v>
      </c>
      <c r="J2842" s="0" t="n">
        <f aca="false">E2842</f>
        <v>-0.25</v>
      </c>
      <c r="K2842" s="0" t="n">
        <f aca="false">F2842</f>
        <v>1</v>
      </c>
      <c r="L2842" s="0" t="n">
        <f aca="false">G2842</f>
        <v>-1</v>
      </c>
      <c r="M2842" s="0" t="n">
        <f aca="false">H2842</f>
        <v>-0.5</v>
      </c>
      <c r="N2842" s="0" t="n">
        <f aca="false">E2842*F2842</f>
        <v>-0.25</v>
      </c>
      <c r="O2842" s="0" t="n">
        <f aca="false">E2842*G2842</f>
        <v>0.25</v>
      </c>
      <c r="P2842" s="0" t="n">
        <f aca="false">E2842*H2842</f>
        <v>0.125</v>
      </c>
      <c r="Q2842" s="0" t="n">
        <f aca="false">F2842*G2842</f>
        <v>-1</v>
      </c>
      <c r="R2842" s="0" t="n">
        <f aca="false">F2842*H2842</f>
        <v>-0.5</v>
      </c>
      <c r="S2842" s="0" t="n">
        <f aca="false">G2842*H2842</f>
        <v>0.5</v>
      </c>
      <c r="T2842" s="0" t="n">
        <f aca="false">E2842*E2842</f>
        <v>0.0625</v>
      </c>
      <c r="U2842" s="0" t="n">
        <f aca="false">F2842*F2842</f>
        <v>1</v>
      </c>
      <c r="V2842" s="0" t="n">
        <f aca="false">G2842*G2842</f>
        <v>1</v>
      </c>
      <c r="W2842" s="0" t="n">
        <f aca="false">H2842*H2842</f>
        <v>0.25</v>
      </c>
      <c r="X2842" s="0" t="n">
        <f aca="false">SUMPRODUCT(I2842:W2842,_XtX!$B$96:$P$96)</f>
        <v>44.3022843567251</v>
      </c>
      <c r="Y2842" s="0" t="n">
        <f aca="false">SUMPRODUCT(MMULT(I2842:W2842,_XtX!$B$78:$P$92),I2842:W2842)</f>
        <v>0.629174661915205</v>
      </c>
      <c r="Z2842" s="0" t="n">
        <f aca="false">04_回帰ANOVA!$K$19*04_回帰ANOVA!$K$14*SQRT(1+Y2842)</f>
        <v>1.66372758058297</v>
      </c>
      <c r="AA2842" s="0" t="n">
        <f aca="false">X2842-Z2842</f>
        <v>42.6385567761421</v>
      </c>
      <c r="AB2842" s="0" t="n">
        <f aca="false">X2842+Z2842</f>
        <v>45.9660119373081</v>
      </c>
      <c r="AC2842" s="54" t="b">
        <f aca="false">AND(E2842&gt;=01_因子設定!$L$5-0.000000001,E2842&lt;=01_因子設定!$M$5+0.000000001,F2842&gt;=01_因子設定!$L$6-0.000000001,F2842&lt;=01_因子設定!$M$6+0.000000001,G2842&gt;=01_因子設定!$L$7-0.000000001,G2842&lt;=01_因子設定!$M$7+0.000000001,H2842&gt;=01_因子設定!$L$8-0.000000001,H2842&lt;=01_因子設定!$M$8+0.000000001,IF(01_因子設定!$B$20="Box-Behnken",E2842^2+F2842^2+G2842^2+H2842^2&lt;=2+0.000000001,TRUE()))</f>
        <v>1</v>
      </c>
      <c r="AD2842" s="55" t="n">
        <f aca="false">IF(AC2842,IF(01_因子設定!$B$13="最大化",AA2842-01_因子設定!$B$14,IF(01_因子設定!$B$13="最小化",01_因子設定!$B$15-AB2842,MIN(AA2842-01_因子設定!$B$14,01_因子設定!$B$15-AB2842))),-1E+030)</f>
        <v>-3.86144322385788</v>
      </c>
      <c r="AE2842" s="55" t="n">
        <f aca="false">IF(AC2842,IF(01_因子設定!$B$13="最大化",X2842,IF(01_因子設定!$B$13="最小化",-X2842,-ABS(X2842-01_因子設定!$B$16))),-1E+030)</f>
        <v>44.3022843567251</v>
      </c>
      <c r="AF2842" s="55" t="n">
        <f aca="false">AD2842+ROW()*0.000000001</f>
        <v>-3.86144038185788</v>
      </c>
      <c r="AG2842" s="55" t="n">
        <f aca="false">AE2842+ROW()*0.000000001</f>
        <v>44.3022871987251</v>
      </c>
    </row>
    <row r="2843" customFormat="false" ht="15" hidden="false" customHeight="false" outlineLevel="0" collapsed="false">
      <c r="A2843" s="0" t="n">
        <v>3</v>
      </c>
      <c r="B2843" s="0" t="n">
        <v>8</v>
      </c>
      <c r="C2843" s="0" t="n">
        <v>0</v>
      </c>
      <c r="D2843" s="0" t="n">
        <v>3</v>
      </c>
      <c r="E2843" s="0" t="n">
        <f aca="false">-1+A2843*0.25</f>
        <v>-0.25</v>
      </c>
      <c r="F2843" s="0" t="n">
        <f aca="false">-1+B2843*0.25</f>
        <v>1</v>
      </c>
      <c r="G2843" s="0" t="n">
        <f aca="false">-1+C2843*0.25</f>
        <v>-1</v>
      </c>
      <c r="H2843" s="0" t="n">
        <f aca="false">-1+D2843*0.25</f>
        <v>-0.25</v>
      </c>
      <c r="I2843" s="0" t="n">
        <f aca="false">1</f>
        <v>1</v>
      </c>
      <c r="J2843" s="0" t="n">
        <f aca="false">E2843</f>
        <v>-0.25</v>
      </c>
      <c r="K2843" s="0" t="n">
        <f aca="false">F2843</f>
        <v>1</v>
      </c>
      <c r="L2843" s="0" t="n">
        <f aca="false">G2843</f>
        <v>-1</v>
      </c>
      <c r="M2843" s="0" t="n">
        <f aca="false">H2843</f>
        <v>-0.25</v>
      </c>
      <c r="N2843" s="0" t="n">
        <f aca="false">E2843*F2843</f>
        <v>-0.25</v>
      </c>
      <c r="O2843" s="0" t="n">
        <f aca="false">E2843*G2843</f>
        <v>0.25</v>
      </c>
      <c r="P2843" s="0" t="n">
        <f aca="false">E2843*H2843</f>
        <v>0.0625</v>
      </c>
      <c r="Q2843" s="0" t="n">
        <f aca="false">F2843*G2843</f>
        <v>-1</v>
      </c>
      <c r="R2843" s="0" t="n">
        <f aca="false">F2843*H2843</f>
        <v>-0.25</v>
      </c>
      <c r="S2843" s="0" t="n">
        <f aca="false">G2843*H2843</f>
        <v>0.25</v>
      </c>
      <c r="T2843" s="0" t="n">
        <f aca="false">E2843*E2843</f>
        <v>0.0625</v>
      </c>
      <c r="U2843" s="0" t="n">
        <f aca="false">F2843*F2843</f>
        <v>1</v>
      </c>
      <c r="V2843" s="0" t="n">
        <f aca="false">G2843*G2843</f>
        <v>1</v>
      </c>
      <c r="W2843" s="0" t="n">
        <f aca="false">H2843*H2843</f>
        <v>0.0625</v>
      </c>
      <c r="X2843" s="0" t="n">
        <f aca="false">SUMPRODUCT(I2843:W2843,_XtX!$B$96:$P$96)</f>
        <v>44.3425712719298</v>
      </c>
      <c r="Y2843" s="0" t="n">
        <f aca="false">SUMPRODUCT(MMULT(I2843:W2843,_XtX!$B$78:$P$92),I2843:W2843)</f>
        <v>0.670040376005117</v>
      </c>
      <c r="Z2843" s="0" t="n">
        <f aca="false">04_回帰ANOVA!$K$19*04_回帰ANOVA!$K$14*SQRT(1+Y2843)</f>
        <v>1.68446456039992</v>
      </c>
      <c r="AA2843" s="0" t="n">
        <f aca="false">X2843-Z2843</f>
        <v>42.6581067115299</v>
      </c>
      <c r="AB2843" s="0" t="n">
        <f aca="false">X2843+Z2843</f>
        <v>46.0270358323297</v>
      </c>
      <c r="AC2843" s="54" t="b">
        <f aca="false">AND(E2843&gt;=01_因子設定!$L$5-0.000000001,E2843&lt;=01_因子設定!$M$5+0.000000001,F2843&gt;=01_因子設定!$L$6-0.000000001,F2843&lt;=01_因子設定!$M$6+0.000000001,G2843&gt;=01_因子設定!$L$7-0.000000001,G2843&lt;=01_因子設定!$M$7+0.000000001,H2843&gt;=01_因子設定!$L$8-0.000000001,H2843&lt;=01_因子設定!$M$8+0.000000001,IF(01_因子設定!$B$20="Box-Behnken",E2843^2+F2843^2+G2843^2+H2843^2&lt;=2+0.000000001,TRUE()))</f>
        <v>1</v>
      </c>
      <c r="AD2843" s="55" t="n">
        <f aca="false">IF(AC2843,IF(01_因子設定!$B$13="最大化",AA2843-01_因子設定!$B$14,IF(01_因子設定!$B$13="最小化",01_因子設定!$B$15-AB2843,MIN(AA2843-01_因子設定!$B$14,01_因子設定!$B$15-AB2843))),-1E+030)</f>
        <v>-3.84189328847015</v>
      </c>
      <c r="AE2843" s="55" t="n">
        <f aca="false">IF(AC2843,IF(01_因子設定!$B$13="最大化",X2843,IF(01_因子設定!$B$13="最小化",-X2843,-ABS(X2843-01_因子設定!$B$16))),-1E+030)</f>
        <v>44.3425712719298</v>
      </c>
      <c r="AF2843" s="55" t="n">
        <f aca="false">AD2843+ROW()*0.000000001</f>
        <v>-3.84189044547015</v>
      </c>
      <c r="AG2843" s="55" t="n">
        <f aca="false">AE2843+ROW()*0.000000001</f>
        <v>44.3425741149298</v>
      </c>
    </row>
    <row r="2844" customFormat="false" ht="15" hidden="false" customHeight="false" outlineLevel="0" collapsed="false">
      <c r="A2844" s="0" t="n">
        <v>3</v>
      </c>
      <c r="B2844" s="0" t="n">
        <v>8</v>
      </c>
      <c r="C2844" s="0" t="n">
        <v>0</v>
      </c>
      <c r="D2844" s="0" t="n">
        <v>4</v>
      </c>
      <c r="E2844" s="0" t="n">
        <f aca="false">-1+A2844*0.25</f>
        <v>-0.25</v>
      </c>
      <c r="F2844" s="0" t="n">
        <f aca="false">-1+B2844*0.25</f>
        <v>1</v>
      </c>
      <c r="G2844" s="0" t="n">
        <f aca="false">-1+C2844*0.25</f>
        <v>-1</v>
      </c>
      <c r="H2844" s="0" t="n">
        <f aca="false">-1+D2844*0.25</f>
        <v>0</v>
      </c>
      <c r="I2844" s="0" t="n">
        <f aca="false">1</f>
        <v>1</v>
      </c>
      <c r="J2844" s="0" t="n">
        <f aca="false">E2844</f>
        <v>-0.25</v>
      </c>
      <c r="K2844" s="0" t="n">
        <f aca="false">F2844</f>
        <v>1</v>
      </c>
      <c r="L2844" s="0" t="n">
        <f aca="false">G2844</f>
        <v>-1</v>
      </c>
      <c r="M2844" s="0" t="n">
        <f aca="false">H2844</f>
        <v>0</v>
      </c>
      <c r="N2844" s="0" t="n">
        <f aca="false">E2844*F2844</f>
        <v>-0.25</v>
      </c>
      <c r="O2844" s="0" t="n">
        <f aca="false">E2844*G2844</f>
        <v>0.25</v>
      </c>
      <c r="P2844" s="0" t="n">
        <f aca="false">E2844*H2844</f>
        <v>-0</v>
      </c>
      <c r="Q2844" s="0" t="n">
        <f aca="false">F2844*G2844</f>
        <v>-1</v>
      </c>
      <c r="R2844" s="0" t="n">
        <f aca="false">F2844*H2844</f>
        <v>0</v>
      </c>
      <c r="S2844" s="0" t="n">
        <f aca="false">G2844*H2844</f>
        <v>-0</v>
      </c>
      <c r="T2844" s="0" t="n">
        <f aca="false">E2844*E2844</f>
        <v>0.0625</v>
      </c>
      <c r="U2844" s="0" t="n">
        <f aca="false">F2844*F2844</f>
        <v>1</v>
      </c>
      <c r="V2844" s="0" t="n">
        <f aca="false">G2844*G2844</f>
        <v>1</v>
      </c>
      <c r="W2844" s="0" t="n">
        <f aca="false">H2844*H2844</f>
        <v>0</v>
      </c>
      <c r="X2844" s="0" t="n">
        <f aca="false">SUMPRODUCT(I2844:W2844,_XtX!$B$96:$P$96)</f>
        <v>44.3350511695906</v>
      </c>
      <c r="Y2844" s="0" t="n">
        <f aca="false">SUMPRODUCT(MMULT(I2844:W2844,_XtX!$B$78:$P$92),I2844:W2844)</f>
        <v>0.689692982456141</v>
      </c>
      <c r="Z2844" s="0" t="n">
        <f aca="false">04_回帰ANOVA!$K$19*04_回帰ANOVA!$K$14*SQRT(1+Y2844)</f>
        <v>1.69434674594998</v>
      </c>
      <c r="AA2844" s="0" t="n">
        <f aca="false">X2844-Z2844</f>
        <v>42.6407044236406</v>
      </c>
      <c r="AB2844" s="0" t="n">
        <f aca="false">X2844+Z2844</f>
        <v>46.0293979155406</v>
      </c>
      <c r="AC2844" s="54" t="b">
        <f aca="false">AND(E2844&gt;=01_因子設定!$L$5-0.000000001,E2844&lt;=01_因子設定!$M$5+0.000000001,F2844&gt;=01_因子設定!$L$6-0.000000001,F2844&lt;=01_因子設定!$M$6+0.000000001,G2844&gt;=01_因子設定!$L$7-0.000000001,G2844&lt;=01_因子設定!$M$7+0.000000001,H2844&gt;=01_因子設定!$L$8-0.000000001,H2844&lt;=01_因子設定!$M$8+0.000000001,IF(01_因子設定!$B$20="Box-Behnken",E2844^2+F2844^2+G2844^2+H2844^2&lt;=2+0.000000001,TRUE()))</f>
        <v>1</v>
      </c>
      <c r="AD2844" s="55" t="n">
        <f aca="false">IF(AC2844,IF(01_因子設定!$B$13="最大化",AA2844-01_因子設定!$B$14,IF(01_因子設定!$B$13="最小化",01_因子設定!$B$15-AB2844,MIN(AA2844-01_因子設定!$B$14,01_因子設定!$B$15-AB2844))),-1E+030)</f>
        <v>-3.8592955763594</v>
      </c>
      <c r="AE2844" s="55" t="n">
        <f aca="false">IF(AC2844,IF(01_因子設定!$B$13="最大化",X2844,IF(01_因子設定!$B$13="最小化",-X2844,-ABS(X2844-01_因子設定!$B$16))),-1E+030)</f>
        <v>44.3350511695906</v>
      </c>
      <c r="AF2844" s="55" t="n">
        <f aca="false">AD2844+ROW()*0.000000001</f>
        <v>-3.8592927323594</v>
      </c>
      <c r="AG2844" s="55" t="n">
        <f aca="false">AE2844+ROW()*0.000000001</f>
        <v>44.3350540135906</v>
      </c>
    </row>
    <row r="2845" customFormat="false" ht="15" hidden="false" customHeight="false" outlineLevel="0" collapsed="false">
      <c r="A2845" s="0" t="n">
        <v>3</v>
      </c>
      <c r="B2845" s="0" t="n">
        <v>8</v>
      </c>
      <c r="C2845" s="0" t="n">
        <v>0</v>
      </c>
      <c r="D2845" s="0" t="n">
        <v>5</v>
      </c>
      <c r="E2845" s="0" t="n">
        <f aca="false">-1+A2845*0.25</f>
        <v>-0.25</v>
      </c>
      <c r="F2845" s="0" t="n">
        <f aca="false">-1+B2845*0.25</f>
        <v>1</v>
      </c>
      <c r="G2845" s="0" t="n">
        <f aca="false">-1+C2845*0.25</f>
        <v>-1</v>
      </c>
      <c r="H2845" s="0" t="n">
        <f aca="false">-1+D2845*0.25</f>
        <v>0.25</v>
      </c>
      <c r="I2845" s="0" t="n">
        <f aca="false">1</f>
        <v>1</v>
      </c>
      <c r="J2845" s="0" t="n">
        <f aca="false">E2845</f>
        <v>-0.25</v>
      </c>
      <c r="K2845" s="0" t="n">
        <f aca="false">F2845</f>
        <v>1</v>
      </c>
      <c r="L2845" s="0" t="n">
        <f aca="false">G2845</f>
        <v>-1</v>
      </c>
      <c r="M2845" s="0" t="n">
        <f aca="false">H2845</f>
        <v>0.25</v>
      </c>
      <c r="N2845" s="0" t="n">
        <f aca="false">E2845*F2845</f>
        <v>-0.25</v>
      </c>
      <c r="O2845" s="0" t="n">
        <f aca="false">E2845*G2845</f>
        <v>0.25</v>
      </c>
      <c r="P2845" s="0" t="n">
        <f aca="false">E2845*H2845</f>
        <v>-0.0625</v>
      </c>
      <c r="Q2845" s="0" t="n">
        <f aca="false">F2845*G2845</f>
        <v>-1</v>
      </c>
      <c r="R2845" s="0" t="n">
        <f aca="false">F2845*H2845</f>
        <v>0.25</v>
      </c>
      <c r="S2845" s="0" t="n">
        <f aca="false">G2845*H2845</f>
        <v>-0.25</v>
      </c>
      <c r="T2845" s="0" t="n">
        <f aca="false">E2845*E2845</f>
        <v>0.0625</v>
      </c>
      <c r="U2845" s="0" t="n">
        <f aca="false">F2845*F2845</f>
        <v>1</v>
      </c>
      <c r="V2845" s="0" t="n">
        <f aca="false">G2845*G2845</f>
        <v>1</v>
      </c>
      <c r="W2845" s="0" t="n">
        <f aca="false">H2845*H2845</f>
        <v>0.0625</v>
      </c>
      <c r="X2845" s="0" t="n">
        <f aca="false">SUMPRODUCT(I2845:W2845,_XtX!$B$96:$P$96)</f>
        <v>44.2797240497075</v>
      </c>
      <c r="Y2845" s="0" t="n">
        <f aca="false">SUMPRODUCT(MMULT(I2845:W2845,_XtX!$B$78:$P$92),I2845:W2845)</f>
        <v>0.670040376005117</v>
      </c>
      <c r="Z2845" s="0" t="n">
        <f aca="false">04_回帰ANOVA!$K$19*04_回帰ANOVA!$K$14*SQRT(1+Y2845)</f>
        <v>1.68446456039992</v>
      </c>
      <c r="AA2845" s="0" t="n">
        <f aca="false">X2845-Z2845</f>
        <v>42.5952594893076</v>
      </c>
      <c r="AB2845" s="0" t="n">
        <f aca="false">X2845+Z2845</f>
        <v>45.9641886101075</v>
      </c>
      <c r="AC2845" s="54" t="b">
        <f aca="false">AND(E2845&gt;=01_因子設定!$L$5-0.000000001,E2845&lt;=01_因子設定!$M$5+0.000000001,F2845&gt;=01_因子設定!$L$6-0.000000001,F2845&lt;=01_因子設定!$M$6+0.000000001,G2845&gt;=01_因子設定!$L$7-0.000000001,G2845&lt;=01_因子設定!$M$7+0.000000001,H2845&gt;=01_因子設定!$L$8-0.000000001,H2845&lt;=01_因子設定!$M$8+0.000000001,IF(01_因子設定!$B$20="Box-Behnken",E2845^2+F2845^2+G2845^2+H2845^2&lt;=2+0.000000001,TRUE()))</f>
        <v>1</v>
      </c>
      <c r="AD2845" s="55" t="n">
        <f aca="false">IF(AC2845,IF(01_因子設定!$B$13="最大化",AA2845-01_因子設定!$B$14,IF(01_因子設定!$B$13="最小化",01_因子設定!$B$15-AB2845,MIN(AA2845-01_因子設定!$B$14,01_因子設定!$B$15-AB2845))),-1E+030)</f>
        <v>-3.90474051069237</v>
      </c>
      <c r="AE2845" s="55" t="n">
        <f aca="false">IF(AC2845,IF(01_因子設定!$B$13="最大化",X2845,IF(01_因子設定!$B$13="最小化",-X2845,-ABS(X2845-01_因子設定!$B$16))),-1E+030)</f>
        <v>44.2797240497075</v>
      </c>
      <c r="AF2845" s="55" t="n">
        <f aca="false">AD2845+ROW()*0.000000001</f>
        <v>-3.90473766569237</v>
      </c>
      <c r="AG2845" s="55" t="n">
        <f aca="false">AE2845+ROW()*0.000000001</f>
        <v>44.2797268947075</v>
      </c>
    </row>
    <row r="2846" customFormat="false" ht="15" hidden="false" customHeight="false" outlineLevel="0" collapsed="false">
      <c r="A2846" s="0" t="n">
        <v>3</v>
      </c>
      <c r="B2846" s="0" t="n">
        <v>8</v>
      </c>
      <c r="C2846" s="0" t="n">
        <v>0</v>
      </c>
      <c r="D2846" s="0" t="n">
        <v>6</v>
      </c>
      <c r="E2846" s="0" t="n">
        <f aca="false">-1+A2846*0.25</f>
        <v>-0.25</v>
      </c>
      <c r="F2846" s="0" t="n">
        <f aca="false">-1+B2846*0.25</f>
        <v>1</v>
      </c>
      <c r="G2846" s="0" t="n">
        <f aca="false">-1+C2846*0.25</f>
        <v>-1</v>
      </c>
      <c r="H2846" s="0" t="n">
        <f aca="false">-1+D2846*0.25</f>
        <v>0.5</v>
      </c>
      <c r="I2846" s="0" t="n">
        <f aca="false">1</f>
        <v>1</v>
      </c>
      <c r="J2846" s="0" t="n">
        <f aca="false">E2846</f>
        <v>-0.25</v>
      </c>
      <c r="K2846" s="0" t="n">
        <f aca="false">F2846</f>
        <v>1</v>
      </c>
      <c r="L2846" s="0" t="n">
        <f aca="false">G2846</f>
        <v>-1</v>
      </c>
      <c r="M2846" s="0" t="n">
        <f aca="false">H2846</f>
        <v>0.5</v>
      </c>
      <c r="N2846" s="0" t="n">
        <f aca="false">E2846*F2846</f>
        <v>-0.25</v>
      </c>
      <c r="O2846" s="0" t="n">
        <f aca="false">E2846*G2846</f>
        <v>0.25</v>
      </c>
      <c r="P2846" s="0" t="n">
        <f aca="false">E2846*H2846</f>
        <v>-0.125</v>
      </c>
      <c r="Q2846" s="0" t="n">
        <f aca="false">F2846*G2846</f>
        <v>-1</v>
      </c>
      <c r="R2846" s="0" t="n">
        <f aca="false">F2846*H2846</f>
        <v>0.5</v>
      </c>
      <c r="S2846" s="0" t="n">
        <f aca="false">G2846*H2846</f>
        <v>-0.5</v>
      </c>
      <c r="T2846" s="0" t="n">
        <f aca="false">E2846*E2846</f>
        <v>0.0625</v>
      </c>
      <c r="U2846" s="0" t="n">
        <f aca="false">F2846*F2846</f>
        <v>1</v>
      </c>
      <c r="V2846" s="0" t="n">
        <f aca="false">G2846*G2846</f>
        <v>1</v>
      </c>
      <c r="W2846" s="0" t="n">
        <f aca="false">H2846*H2846</f>
        <v>0.25</v>
      </c>
      <c r="X2846" s="0" t="n">
        <f aca="false">SUMPRODUCT(I2846:W2846,_XtX!$B$96:$P$96)</f>
        <v>44.1765899122807</v>
      </c>
      <c r="Y2846" s="0" t="n">
        <f aca="false">SUMPRODUCT(MMULT(I2846:W2846,_XtX!$B$78:$P$92),I2846:W2846)</f>
        <v>0.629174661915205</v>
      </c>
      <c r="Z2846" s="0" t="n">
        <f aca="false">04_回帰ANOVA!$K$19*04_回帰ANOVA!$K$14*SQRT(1+Y2846)</f>
        <v>1.66372758058297</v>
      </c>
      <c r="AA2846" s="0" t="n">
        <f aca="false">X2846-Z2846</f>
        <v>42.5128623316977</v>
      </c>
      <c r="AB2846" s="0" t="n">
        <f aca="false">X2846+Z2846</f>
        <v>45.8403174928636</v>
      </c>
      <c r="AC2846" s="54" t="b">
        <f aca="false">AND(E2846&gt;=01_因子設定!$L$5-0.000000001,E2846&lt;=01_因子設定!$M$5+0.000000001,F2846&gt;=01_因子設定!$L$6-0.000000001,F2846&lt;=01_因子設定!$M$6+0.000000001,G2846&gt;=01_因子設定!$L$7-0.000000001,G2846&lt;=01_因子設定!$M$7+0.000000001,H2846&gt;=01_因子設定!$L$8-0.000000001,H2846&lt;=01_因子設定!$M$8+0.000000001,IF(01_因子設定!$B$20="Box-Behnken",E2846^2+F2846^2+G2846^2+H2846^2&lt;=2+0.000000001,TRUE()))</f>
        <v>1</v>
      </c>
      <c r="AD2846" s="55" t="n">
        <f aca="false">IF(AC2846,IF(01_因子設定!$B$13="最大化",AA2846-01_因子設定!$B$14,IF(01_因子設定!$B$13="最小化",01_因子設定!$B$15-AB2846,MIN(AA2846-01_因子設定!$B$14,01_因子設定!$B$15-AB2846))),-1E+030)</f>
        <v>-3.98713766830232</v>
      </c>
      <c r="AE2846" s="55" t="n">
        <f aca="false">IF(AC2846,IF(01_因子設定!$B$13="最大化",X2846,IF(01_因子設定!$B$13="最小化",-X2846,-ABS(X2846-01_因子設定!$B$16))),-1E+030)</f>
        <v>44.1765899122807</v>
      </c>
      <c r="AF2846" s="55" t="n">
        <f aca="false">AD2846+ROW()*0.000000001</f>
        <v>-3.98713482230232</v>
      </c>
      <c r="AG2846" s="55" t="n">
        <f aca="false">AE2846+ROW()*0.000000001</f>
        <v>44.1765927582807</v>
      </c>
    </row>
    <row r="2847" customFormat="false" ht="15" hidden="false" customHeight="false" outlineLevel="0" collapsed="false">
      <c r="A2847" s="0" t="n">
        <v>3</v>
      </c>
      <c r="B2847" s="0" t="n">
        <v>8</v>
      </c>
      <c r="C2847" s="0" t="n">
        <v>0</v>
      </c>
      <c r="D2847" s="0" t="n">
        <v>7</v>
      </c>
      <c r="E2847" s="0" t="n">
        <f aca="false">-1+A2847*0.25</f>
        <v>-0.25</v>
      </c>
      <c r="F2847" s="0" t="n">
        <f aca="false">-1+B2847*0.25</f>
        <v>1</v>
      </c>
      <c r="G2847" s="0" t="n">
        <f aca="false">-1+C2847*0.25</f>
        <v>-1</v>
      </c>
      <c r="H2847" s="0" t="n">
        <f aca="false">-1+D2847*0.25</f>
        <v>0.75</v>
      </c>
      <c r="I2847" s="0" t="n">
        <f aca="false">1</f>
        <v>1</v>
      </c>
      <c r="J2847" s="0" t="n">
        <f aca="false">E2847</f>
        <v>-0.25</v>
      </c>
      <c r="K2847" s="0" t="n">
        <f aca="false">F2847</f>
        <v>1</v>
      </c>
      <c r="L2847" s="0" t="n">
        <f aca="false">G2847</f>
        <v>-1</v>
      </c>
      <c r="M2847" s="0" t="n">
        <f aca="false">H2847</f>
        <v>0.75</v>
      </c>
      <c r="N2847" s="0" t="n">
        <f aca="false">E2847*F2847</f>
        <v>-0.25</v>
      </c>
      <c r="O2847" s="0" t="n">
        <f aca="false">E2847*G2847</f>
        <v>0.25</v>
      </c>
      <c r="P2847" s="0" t="n">
        <f aca="false">E2847*H2847</f>
        <v>-0.1875</v>
      </c>
      <c r="Q2847" s="0" t="n">
        <f aca="false">F2847*G2847</f>
        <v>-1</v>
      </c>
      <c r="R2847" s="0" t="n">
        <f aca="false">F2847*H2847</f>
        <v>0.75</v>
      </c>
      <c r="S2847" s="0" t="n">
        <f aca="false">G2847*H2847</f>
        <v>-0.75</v>
      </c>
      <c r="T2847" s="0" t="n">
        <f aca="false">E2847*E2847</f>
        <v>0.0625</v>
      </c>
      <c r="U2847" s="0" t="n">
        <f aca="false">F2847*F2847</f>
        <v>1</v>
      </c>
      <c r="V2847" s="0" t="n">
        <f aca="false">G2847*G2847</f>
        <v>1</v>
      </c>
      <c r="W2847" s="0" t="n">
        <f aca="false">H2847*H2847</f>
        <v>0.5625</v>
      </c>
      <c r="X2847" s="0" t="n">
        <f aca="false">SUMPRODUCT(I2847:W2847,_XtX!$B$96:$P$96)</f>
        <v>44.0256487573099</v>
      </c>
      <c r="Y2847" s="0" t="n">
        <f aca="false">SUMPRODUCT(MMULT(I2847:W2847,_XtX!$B$78:$P$92),I2847:W2847)</f>
        <v>0.621372155975877</v>
      </c>
      <c r="Z2847" s="0" t="n">
        <f aca="false">04_回帰ANOVA!$K$19*04_回帰ANOVA!$K$14*SQRT(1+Y2847)</f>
        <v>1.65973880499872</v>
      </c>
      <c r="AA2847" s="0" t="n">
        <f aca="false">X2847-Z2847</f>
        <v>42.3659099523112</v>
      </c>
      <c r="AB2847" s="0" t="n">
        <f aca="false">X2847+Z2847</f>
        <v>45.6853875623086</v>
      </c>
      <c r="AC2847" s="54" t="b">
        <f aca="false">AND(E2847&gt;=01_因子設定!$L$5-0.000000001,E2847&lt;=01_因子設定!$M$5+0.000000001,F2847&gt;=01_因子設定!$L$6-0.000000001,F2847&lt;=01_因子設定!$M$6+0.000000001,G2847&gt;=01_因子設定!$L$7-0.000000001,G2847&lt;=01_因子設定!$M$7+0.000000001,H2847&gt;=01_因子設定!$L$8-0.000000001,H2847&lt;=01_因子設定!$M$8+0.000000001,IF(01_因子設定!$B$20="Box-Behnken",E2847^2+F2847^2+G2847^2+H2847^2&lt;=2+0.000000001,TRUE()))</f>
        <v>1</v>
      </c>
      <c r="AD2847" s="55" t="n">
        <f aca="false">IF(AC2847,IF(01_因子設定!$B$13="最大化",AA2847-01_因子設定!$B$14,IF(01_因子設定!$B$13="最小化",01_因子設定!$B$15-AB2847,MIN(AA2847-01_因子設定!$B$14,01_因子設定!$B$15-AB2847))),-1E+030)</f>
        <v>-4.13409004768882</v>
      </c>
      <c r="AE2847" s="55" t="n">
        <f aca="false">IF(AC2847,IF(01_因子設定!$B$13="最大化",X2847,IF(01_因子設定!$B$13="最小化",-X2847,-ABS(X2847-01_因子設定!$B$16))),-1E+030)</f>
        <v>44.0256487573099</v>
      </c>
      <c r="AF2847" s="55" t="n">
        <f aca="false">AD2847+ROW()*0.000000001</f>
        <v>-4.13408720068882</v>
      </c>
      <c r="AG2847" s="55" t="n">
        <f aca="false">AE2847+ROW()*0.000000001</f>
        <v>44.0256516043099</v>
      </c>
    </row>
    <row r="2848" customFormat="false" ht="15" hidden="false" customHeight="false" outlineLevel="0" collapsed="false">
      <c r="A2848" s="0" t="n">
        <v>3</v>
      </c>
      <c r="B2848" s="0" t="n">
        <v>8</v>
      </c>
      <c r="C2848" s="0" t="n">
        <v>0</v>
      </c>
      <c r="D2848" s="0" t="n">
        <v>8</v>
      </c>
      <c r="E2848" s="0" t="n">
        <f aca="false">-1+A2848*0.25</f>
        <v>-0.25</v>
      </c>
      <c r="F2848" s="0" t="n">
        <f aca="false">-1+B2848*0.25</f>
        <v>1</v>
      </c>
      <c r="G2848" s="0" t="n">
        <f aca="false">-1+C2848*0.25</f>
        <v>-1</v>
      </c>
      <c r="H2848" s="0" t="n">
        <f aca="false">-1+D2848*0.25</f>
        <v>1</v>
      </c>
      <c r="I2848" s="0" t="n">
        <f aca="false">1</f>
        <v>1</v>
      </c>
      <c r="J2848" s="0" t="n">
        <f aca="false">E2848</f>
        <v>-0.25</v>
      </c>
      <c r="K2848" s="0" t="n">
        <f aca="false">F2848</f>
        <v>1</v>
      </c>
      <c r="L2848" s="0" t="n">
        <f aca="false">G2848</f>
        <v>-1</v>
      </c>
      <c r="M2848" s="0" t="n">
        <f aca="false">H2848</f>
        <v>1</v>
      </c>
      <c r="N2848" s="0" t="n">
        <f aca="false">E2848*F2848</f>
        <v>-0.25</v>
      </c>
      <c r="O2848" s="0" t="n">
        <f aca="false">E2848*G2848</f>
        <v>0.25</v>
      </c>
      <c r="P2848" s="0" t="n">
        <f aca="false">E2848*H2848</f>
        <v>-0.25</v>
      </c>
      <c r="Q2848" s="0" t="n">
        <f aca="false">F2848*G2848</f>
        <v>-1</v>
      </c>
      <c r="R2848" s="0" t="n">
        <f aca="false">F2848*H2848</f>
        <v>1</v>
      </c>
      <c r="S2848" s="0" t="n">
        <f aca="false">G2848*H2848</f>
        <v>-1</v>
      </c>
      <c r="T2848" s="0" t="n">
        <f aca="false">E2848*E2848</f>
        <v>0.0625</v>
      </c>
      <c r="U2848" s="0" t="n">
        <f aca="false">F2848*F2848</f>
        <v>1</v>
      </c>
      <c r="V2848" s="0" t="n">
        <f aca="false">G2848*G2848</f>
        <v>1</v>
      </c>
      <c r="W2848" s="0" t="n">
        <f aca="false">H2848*H2848</f>
        <v>1</v>
      </c>
      <c r="X2848" s="0" t="n">
        <f aca="false">SUMPRODUCT(I2848:W2848,_XtX!$B$96:$P$96)</f>
        <v>43.8269005847953</v>
      </c>
      <c r="Y2848" s="0" t="n">
        <f aca="false">SUMPRODUCT(MMULT(I2848:W2848,_XtX!$B$78:$P$92),I2848:W2848)</f>
        <v>0.737093384502924</v>
      </c>
      <c r="Z2848" s="0" t="n">
        <f aca="false">04_回帰ANOVA!$K$19*04_回帰ANOVA!$K$14*SQRT(1+Y2848)</f>
        <v>1.71794784853551</v>
      </c>
      <c r="AA2848" s="0" t="n">
        <f aca="false">X2848-Z2848</f>
        <v>42.1089527362598</v>
      </c>
      <c r="AB2848" s="0" t="n">
        <f aca="false">X2848+Z2848</f>
        <v>45.5448484333308</v>
      </c>
      <c r="AC2848" s="54" t="b">
        <f aca="false">AND(E2848&gt;=01_因子設定!$L$5-0.000000001,E2848&lt;=01_因子設定!$M$5+0.000000001,F2848&gt;=01_因子設定!$L$6-0.000000001,F2848&lt;=01_因子設定!$M$6+0.000000001,G2848&gt;=01_因子設定!$L$7-0.000000001,G2848&lt;=01_因子設定!$M$7+0.000000001,H2848&gt;=01_因子設定!$L$8-0.000000001,H2848&lt;=01_因子設定!$M$8+0.000000001,IF(01_因子設定!$B$20="Box-Behnken",E2848^2+F2848^2+G2848^2+H2848^2&lt;=2+0.000000001,TRUE()))</f>
        <v>1</v>
      </c>
      <c r="AD2848" s="55" t="n">
        <f aca="false">IF(AC2848,IF(01_因子設定!$B$13="最大化",AA2848-01_因子設定!$B$14,IF(01_因子設定!$B$13="最小化",01_因子設定!$B$15-AB2848,MIN(AA2848-01_因子設定!$B$14,01_因子設定!$B$15-AB2848))),-1E+030)</f>
        <v>-4.3910472637402</v>
      </c>
      <c r="AE2848" s="55" t="n">
        <f aca="false">IF(AC2848,IF(01_因子設定!$B$13="最大化",X2848,IF(01_因子設定!$B$13="最小化",-X2848,-ABS(X2848-01_因子設定!$B$16))),-1E+030)</f>
        <v>43.8269005847953</v>
      </c>
      <c r="AF2848" s="55" t="n">
        <f aca="false">AD2848+ROW()*0.000000001</f>
        <v>-4.3910444157402</v>
      </c>
      <c r="AG2848" s="55" t="n">
        <f aca="false">AE2848+ROW()*0.000000001</f>
        <v>43.8269034327953</v>
      </c>
    </row>
    <row r="2849" customFormat="false" ht="15" hidden="false" customHeight="false" outlineLevel="0" collapsed="false">
      <c r="A2849" s="0" t="n">
        <v>3</v>
      </c>
      <c r="B2849" s="0" t="n">
        <v>8</v>
      </c>
      <c r="C2849" s="0" t="n">
        <v>1</v>
      </c>
      <c r="D2849" s="0" t="n">
        <v>0</v>
      </c>
      <c r="E2849" s="0" t="n">
        <f aca="false">-1+A2849*0.25</f>
        <v>-0.25</v>
      </c>
      <c r="F2849" s="0" t="n">
        <f aca="false">-1+B2849*0.25</f>
        <v>1</v>
      </c>
      <c r="G2849" s="0" t="n">
        <f aca="false">-1+C2849*0.25</f>
        <v>-0.75</v>
      </c>
      <c r="H2849" s="0" t="n">
        <f aca="false">-1+D2849*0.25</f>
        <v>-1</v>
      </c>
      <c r="I2849" s="0" t="n">
        <f aca="false">1</f>
        <v>1</v>
      </c>
      <c r="J2849" s="0" t="n">
        <f aca="false">E2849</f>
        <v>-0.25</v>
      </c>
      <c r="K2849" s="0" t="n">
        <f aca="false">F2849</f>
        <v>1</v>
      </c>
      <c r="L2849" s="0" t="n">
        <f aca="false">G2849</f>
        <v>-0.75</v>
      </c>
      <c r="M2849" s="0" t="n">
        <f aca="false">H2849</f>
        <v>-1</v>
      </c>
      <c r="N2849" s="0" t="n">
        <f aca="false">E2849*F2849</f>
        <v>-0.25</v>
      </c>
      <c r="O2849" s="0" t="n">
        <f aca="false">E2849*G2849</f>
        <v>0.1875</v>
      </c>
      <c r="P2849" s="0" t="n">
        <f aca="false">E2849*H2849</f>
        <v>0.25</v>
      </c>
      <c r="Q2849" s="0" t="n">
        <f aca="false">F2849*G2849</f>
        <v>-0.75</v>
      </c>
      <c r="R2849" s="0" t="n">
        <f aca="false">F2849*H2849</f>
        <v>-1</v>
      </c>
      <c r="S2849" s="0" t="n">
        <f aca="false">G2849*H2849</f>
        <v>0.75</v>
      </c>
      <c r="T2849" s="0" t="n">
        <f aca="false">E2849*E2849</f>
        <v>0.0625</v>
      </c>
      <c r="U2849" s="0" t="n">
        <f aca="false">F2849*F2849</f>
        <v>1</v>
      </c>
      <c r="V2849" s="0" t="n">
        <f aca="false">G2849*G2849</f>
        <v>0.5625</v>
      </c>
      <c r="W2849" s="0" t="n">
        <f aca="false">H2849*H2849</f>
        <v>1</v>
      </c>
      <c r="X2849" s="0" t="n">
        <f aca="false">SUMPRODUCT(I2849:W2849,_XtX!$B$96:$P$96)</f>
        <v>44.669572368421</v>
      </c>
      <c r="Y2849" s="0" t="n">
        <f aca="false">SUMPRODUCT(MMULT(I2849:W2849,_XtX!$B$78:$P$92),I2849:W2849)</f>
        <v>0.621372155975877</v>
      </c>
      <c r="Z2849" s="0" t="n">
        <f aca="false">04_回帰ANOVA!$K$19*04_回帰ANOVA!$K$14*SQRT(1+Y2849)</f>
        <v>1.65973880499872</v>
      </c>
      <c r="AA2849" s="0" t="n">
        <f aca="false">X2849-Z2849</f>
        <v>43.0098335634223</v>
      </c>
      <c r="AB2849" s="0" t="n">
        <f aca="false">X2849+Z2849</f>
        <v>46.3293111734198</v>
      </c>
      <c r="AC2849" s="54" t="b">
        <f aca="false">AND(E2849&gt;=01_因子設定!$L$5-0.000000001,E2849&lt;=01_因子設定!$M$5+0.000000001,F2849&gt;=01_因子設定!$L$6-0.000000001,F2849&lt;=01_因子設定!$M$6+0.000000001,G2849&gt;=01_因子設定!$L$7-0.000000001,G2849&lt;=01_因子設定!$M$7+0.000000001,H2849&gt;=01_因子設定!$L$8-0.000000001,H2849&lt;=01_因子設定!$M$8+0.000000001,IF(01_因子設定!$B$20="Box-Behnken",E2849^2+F2849^2+G2849^2+H2849^2&lt;=2+0.000000001,TRUE()))</f>
        <v>1</v>
      </c>
      <c r="AD2849" s="55" t="n">
        <f aca="false">IF(AC2849,IF(01_因子設定!$B$13="最大化",AA2849-01_因子設定!$B$14,IF(01_因子設定!$B$13="最小化",01_因子設定!$B$15-AB2849,MIN(AA2849-01_因子設定!$B$14,01_因子設定!$B$15-AB2849))),-1E+030)</f>
        <v>-3.49016643657769</v>
      </c>
      <c r="AE2849" s="55" t="n">
        <f aca="false">IF(AC2849,IF(01_因子設定!$B$13="最大化",X2849,IF(01_因子設定!$B$13="最小化",-X2849,-ABS(X2849-01_因子設定!$B$16))),-1E+030)</f>
        <v>44.669572368421</v>
      </c>
      <c r="AF2849" s="55" t="n">
        <f aca="false">AD2849+ROW()*0.000000001</f>
        <v>-3.49016358757769</v>
      </c>
      <c r="AG2849" s="55" t="n">
        <f aca="false">AE2849+ROW()*0.000000001</f>
        <v>44.669575217421</v>
      </c>
    </row>
    <row r="2850" customFormat="false" ht="15" hidden="false" customHeight="false" outlineLevel="0" collapsed="false">
      <c r="A2850" s="0" t="n">
        <v>3</v>
      </c>
      <c r="B2850" s="0" t="n">
        <v>8</v>
      </c>
      <c r="C2850" s="0" t="n">
        <v>1</v>
      </c>
      <c r="D2850" s="0" t="n">
        <v>1</v>
      </c>
      <c r="E2850" s="0" t="n">
        <f aca="false">-1+A2850*0.25</f>
        <v>-0.25</v>
      </c>
      <c r="F2850" s="0" t="n">
        <f aca="false">-1+B2850*0.25</f>
        <v>1</v>
      </c>
      <c r="G2850" s="0" t="n">
        <f aca="false">-1+C2850*0.25</f>
        <v>-0.75</v>
      </c>
      <c r="H2850" s="0" t="n">
        <f aca="false">-1+D2850*0.25</f>
        <v>-0.75</v>
      </c>
      <c r="I2850" s="0" t="n">
        <f aca="false">1</f>
        <v>1</v>
      </c>
      <c r="J2850" s="0" t="n">
        <f aca="false">E2850</f>
        <v>-0.25</v>
      </c>
      <c r="K2850" s="0" t="n">
        <f aca="false">F2850</f>
        <v>1</v>
      </c>
      <c r="L2850" s="0" t="n">
        <f aca="false">G2850</f>
        <v>-0.75</v>
      </c>
      <c r="M2850" s="0" t="n">
        <f aca="false">H2850</f>
        <v>-0.75</v>
      </c>
      <c r="N2850" s="0" t="n">
        <f aca="false">E2850*F2850</f>
        <v>-0.25</v>
      </c>
      <c r="O2850" s="0" t="n">
        <f aca="false">E2850*G2850</f>
        <v>0.1875</v>
      </c>
      <c r="P2850" s="0" t="n">
        <f aca="false">E2850*H2850</f>
        <v>0.1875</v>
      </c>
      <c r="Q2850" s="0" t="n">
        <f aca="false">F2850*G2850</f>
        <v>-0.75</v>
      </c>
      <c r="R2850" s="0" t="n">
        <f aca="false">F2850*H2850</f>
        <v>-0.75</v>
      </c>
      <c r="S2850" s="0" t="n">
        <f aca="false">G2850*H2850</f>
        <v>0.5625</v>
      </c>
      <c r="T2850" s="0" t="n">
        <f aca="false">E2850*E2850</f>
        <v>0.0625</v>
      </c>
      <c r="U2850" s="0" t="n">
        <f aca="false">F2850*F2850</f>
        <v>1</v>
      </c>
      <c r="V2850" s="0" t="n">
        <f aca="false">G2850*G2850</f>
        <v>0.5625</v>
      </c>
      <c r="W2850" s="0" t="n">
        <f aca="false">H2850*H2850</f>
        <v>0.5625</v>
      </c>
      <c r="X2850" s="0" t="n">
        <f aca="false">SUMPRODUCT(I2850:W2850,_XtX!$B$96:$P$96)</f>
        <v>44.8234420687134</v>
      </c>
      <c r="Y2850" s="0" t="n">
        <f aca="false">SUMPRODUCT(MMULT(I2850:W2850,_XtX!$B$78:$P$92),I2850:W2850)</f>
        <v>0.473959761056287</v>
      </c>
      <c r="Z2850" s="0" t="n">
        <f aca="false">04_回帰ANOVA!$K$19*04_回帰ANOVA!$K$14*SQRT(1+Y2850)</f>
        <v>1.58249084588329</v>
      </c>
      <c r="AA2850" s="0" t="n">
        <f aca="false">X2850-Z2850</f>
        <v>43.2409512228301</v>
      </c>
      <c r="AB2850" s="0" t="n">
        <f aca="false">X2850+Z2850</f>
        <v>46.4059329145967</v>
      </c>
      <c r="AC2850" s="54" t="b">
        <f aca="false">AND(E2850&gt;=01_因子設定!$L$5-0.000000001,E2850&lt;=01_因子設定!$M$5+0.000000001,F2850&gt;=01_因子設定!$L$6-0.000000001,F2850&lt;=01_因子設定!$M$6+0.000000001,G2850&gt;=01_因子設定!$L$7-0.000000001,G2850&lt;=01_因子設定!$M$7+0.000000001,H2850&gt;=01_因子設定!$L$8-0.000000001,H2850&lt;=01_因子設定!$M$8+0.000000001,IF(01_因子設定!$B$20="Box-Behnken",E2850^2+F2850^2+G2850^2+H2850^2&lt;=2+0.000000001,TRUE()))</f>
        <v>1</v>
      </c>
      <c r="AD2850" s="55" t="n">
        <f aca="false">IF(AC2850,IF(01_因子設定!$B$13="最大化",AA2850-01_因子設定!$B$14,IF(01_因子設定!$B$13="最小化",01_因子設定!$B$15-AB2850,MIN(AA2850-01_因子設定!$B$14,01_因子設定!$B$15-AB2850))),-1E+030)</f>
        <v>-3.25904877716987</v>
      </c>
      <c r="AE2850" s="55" t="n">
        <f aca="false">IF(AC2850,IF(01_因子設定!$B$13="最大化",X2850,IF(01_因子設定!$B$13="最小化",-X2850,-ABS(X2850-01_因子設定!$B$16))),-1E+030)</f>
        <v>44.8234420687134</v>
      </c>
      <c r="AF2850" s="55" t="n">
        <f aca="false">AD2850+ROW()*0.000000001</f>
        <v>-3.25904592716987</v>
      </c>
      <c r="AG2850" s="55" t="n">
        <f aca="false">AE2850+ROW()*0.000000001</f>
        <v>44.8234449187134</v>
      </c>
    </row>
    <row r="2851" customFormat="false" ht="15" hidden="false" customHeight="false" outlineLevel="0" collapsed="false">
      <c r="A2851" s="0" t="n">
        <v>3</v>
      </c>
      <c r="B2851" s="0" t="n">
        <v>8</v>
      </c>
      <c r="C2851" s="0" t="n">
        <v>1</v>
      </c>
      <c r="D2851" s="0" t="n">
        <v>2</v>
      </c>
      <c r="E2851" s="0" t="n">
        <f aca="false">-1+A2851*0.25</f>
        <v>-0.25</v>
      </c>
      <c r="F2851" s="0" t="n">
        <f aca="false">-1+B2851*0.25</f>
        <v>1</v>
      </c>
      <c r="G2851" s="0" t="n">
        <f aca="false">-1+C2851*0.25</f>
        <v>-0.75</v>
      </c>
      <c r="H2851" s="0" t="n">
        <f aca="false">-1+D2851*0.25</f>
        <v>-0.5</v>
      </c>
      <c r="I2851" s="0" t="n">
        <f aca="false">1</f>
        <v>1</v>
      </c>
      <c r="J2851" s="0" t="n">
        <f aca="false">E2851</f>
        <v>-0.25</v>
      </c>
      <c r="K2851" s="0" t="n">
        <f aca="false">F2851</f>
        <v>1</v>
      </c>
      <c r="L2851" s="0" t="n">
        <f aca="false">G2851</f>
        <v>-0.75</v>
      </c>
      <c r="M2851" s="0" t="n">
        <f aca="false">H2851</f>
        <v>-0.5</v>
      </c>
      <c r="N2851" s="0" t="n">
        <f aca="false">E2851*F2851</f>
        <v>-0.25</v>
      </c>
      <c r="O2851" s="0" t="n">
        <f aca="false">E2851*G2851</f>
        <v>0.1875</v>
      </c>
      <c r="P2851" s="0" t="n">
        <f aca="false">E2851*H2851</f>
        <v>0.125</v>
      </c>
      <c r="Q2851" s="0" t="n">
        <f aca="false">F2851*G2851</f>
        <v>-0.75</v>
      </c>
      <c r="R2851" s="0" t="n">
        <f aca="false">F2851*H2851</f>
        <v>-0.5</v>
      </c>
      <c r="S2851" s="0" t="n">
        <f aca="false">G2851*H2851</f>
        <v>0.375</v>
      </c>
      <c r="T2851" s="0" t="n">
        <f aca="false">E2851*E2851</f>
        <v>0.0625</v>
      </c>
      <c r="U2851" s="0" t="n">
        <f aca="false">F2851*F2851</f>
        <v>1</v>
      </c>
      <c r="V2851" s="0" t="n">
        <f aca="false">G2851*G2851</f>
        <v>0.5625</v>
      </c>
      <c r="W2851" s="0" t="n">
        <f aca="false">H2851*H2851</f>
        <v>0.25</v>
      </c>
      <c r="X2851" s="0" t="n">
        <f aca="false">SUMPRODUCT(I2851:W2851,_XtX!$B$96:$P$96)</f>
        <v>44.9295047514619</v>
      </c>
      <c r="Y2851" s="0" t="n">
        <f aca="false">SUMPRODUCT(MMULT(I2851:W2851,_XtX!$B$78:$P$92),I2851:W2851)</f>
        <v>0.459125719572369</v>
      </c>
      <c r="Z2851" s="0" t="n">
        <f aca="false">04_回帰ANOVA!$K$19*04_回帰ANOVA!$K$14*SQRT(1+Y2851)</f>
        <v>1.57450755575573</v>
      </c>
      <c r="AA2851" s="0" t="n">
        <f aca="false">X2851-Z2851</f>
        <v>43.3549971957062</v>
      </c>
      <c r="AB2851" s="0" t="n">
        <f aca="false">X2851+Z2851</f>
        <v>46.5040123072177</v>
      </c>
      <c r="AC2851" s="54" t="b">
        <f aca="false">AND(E2851&gt;=01_因子設定!$L$5-0.000000001,E2851&lt;=01_因子設定!$M$5+0.000000001,F2851&gt;=01_因子設定!$L$6-0.000000001,F2851&lt;=01_因子設定!$M$6+0.000000001,G2851&gt;=01_因子設定!$L$7-0.000000001,G2851&lt;=01_因子設定!$M$7+0.000000001,H2851&gt;=01_因子設定!$L$8-0.000000001,H2851&lt;=01_因子設定!$M$8+0.000000001,IF(01_因子設定!$B$20="Box-Behnken",E2851^2+F2851^2+G2851^2+H2851^2&lt;=2+0.000000001,TRUE()))</f>
        <v>1</v>
      </c>
      <c r="AD2851" s="55" t="n">
        <f aca="false">IF(AC2851,IF(01_因子設定!$B$13="最大化",AA2851-01_因子設定!$B$14,IF(01_因子設定!$B$13="最小化",01_因子設定!$B$15-AB2851,MIN(AA2851-01_因子設定!$B$14,01_因子設定!$B$15-AB2851))),-1E+030)</f>
        <v>-3.14500280429379</v>
      </c>
      <c r="AE2851" s="55" t="n">
        <f aca="false">IF(AC2851,IF(01_因子設定!$B$13="最大化",X2851,IF(01_因子設定!$B$13="最小化",-X2851,-ABS(X2851-01_因子設定!$B$16))),-1E+030)</f>
        <v>44.9295047514619</v>
      </c>
      <c r="AF2851" s="55" t="n">
        <f aca="false">AD2851+ROW()*0.000000001</f>
        <v>-3.14499995329379</v>
      </c>
      <c r="AG2851" s="55" t="n">
        <f aca="false">AE2851+ROW()*0.000000001</f>
        <v>44.9295076024619</v>
      </c>
    </row>
    <row r="2852" customFormat="false" ht="15" hidden="false" customHeight="false" outlineLevel="0" collapsed="false">
      <c r="A2852" s="0" t="n">
        <v>3</v>
      </c>
      <c r="B2852" s="0" t="n">
        <v>8</v>
      </c>
      <c r="C2852" s="0" t="n">
        <v>1</v>
      </c>
      <c r="D2852" s="0" t="n">
        <v>3</v>
      </c>
      <c r="E2852" s="0" t="n">
        <f aca="false">-1+A2852*0.25</f>
        <v>-0.25</v>
      </c>
      <c r="F2852" s="0" t="n">
        <f aca="false">-1+B2852*0.25</f>
        <v>1</v>
      </c>
      <c r="G2852" s="0" t="n">
        <f aca="false">-1+C2852*0.25</f>
        <v>-0.75</v>
      </c>
      <c r="H2852" s="0" t="n">
        <f aca="false">-1+D2852*0.25</f>
        <v>-0.25</v>
      </c>
      <c r="I2852" s="0" t="n">
        <f aca="false">1</f>
        <v>1</v>
      </c>
      <c r="J2852" s="0" t="n">
        <f aca="false">E2852</f>
        <v>-0.25</v>
      </c>
      <c r="K2852" s="0" t="n">
        <f aca="false">F2852</f>
        <v>1</v>
      </c>
      <c r="L2852" s="0" t="n">
        <f aca="false">G2852</f>
        <v>-0.75</v>
      </c>
      <c r="M2852" s="0" t="n">
        <f aca="false">H2852</f>
        <v>-0.25</v>
      </c>
      <c r="N2852" s="0" t="n">
        <f aca="false">E2852*F2852</f>
        <v>-0.25</v>
      </c>
      <c r="O2852" s="0" t="n">
        <f aca="false">E2852*G2852</f>
        <v>0.1875</v>
      </c>
      <c r="P2852" s="0" t="n">
        <f aca="false">E2852*H2852</f>
        <v>0.0625</v>
      </c>
      <c r="Q2852" s="0" t="n">
        <f aca="false">F2852*G2852</f>
        <v>-0.75</v>
      </c>
      <c r="R2852" s="0" t="n">
        <f aca="false">F2852*H2852</f>
        <v>-0.25</v>
      </c>
      <c r="S2852" s="0" t="n">
        <f aca="false">G2852*H2852</f>
        <v>0.1875</v>
      </c>
      <c r="T2852" s="0" t="n">
        <f aca="false">E2852*E2852</f>
        <v>0.0625</v>
      </c>
      <c r="U2852" s="0" t="n">
        <f aca="false">F2852*F2852</f>
        <v>1</v>
      </c>
      <c r="V2852" s="0" t="n">
        <f aca="false">G2852*G2852</f>
        <v>0.5625</v>
      </c>
      <c r="W2852" s="0" t="n">
        <f aca="false">H2852*H2852</f>
        <v>0.0625</v>
      </c>
      <c r="X2852" s="0" t="n">
        <f aca="false">SUMPRODUCT(I2852:W2852,_XtX!$B$96:$P$96)</f>
        <v>44.9877604166666</v>
      </c>
      <c r="Y2852" s="0" t="n">
        <f aca="false">SUMPRODUCT(MMULT(I2852:W2852,_XtX!$B$78:$P$92),I2852:W2852)</f>
        <v>0.486409505208334</v>
      </c>
      <c r="Z2852" s="0" t="n">
        <f aca="false">04_回帰ANOVA!$K$19*04_回帰ANOVA!$K$14*SQRT(1+Y2852)</f>
        <v>1.58916001665498</v>
      </c>
      <c r="AA2852" s="0" t="n">
        <f aca="false">X2852-Z2852</f>
        <v>43.3986004000116</v>
      </c>
      <c r="AB2852" s="0" t="n">
        <f aca="false">X2852+Z2852</f>
        <v>46.5769204333216</v>
      </c>
      <c r="AC2852" s="54" t="b">
        <f aca="false">AND(E2852&gt;=01_因子設定!$L$5-0.000000001,E2852&lt;=01_因子設定!$M$5+0.000000001,F2852&gt;=01_因子設定!$L$6-0.000000001,F2852&lt;=01_因子設定!$M$6+0.000000001,G2852&gt;=01_因子設定!$L$7-0.000000001,G2852&lt;=01_因子設定!$M$7+0.000000001,H2852&gt;=01_因子設定!$L$8-0.000000001,H2852&lt;=01_因子設定!$M$8+0.000000001,IF(01_因子設定!$B$20="Box-Behnken",E2852^2+F2852^2+G2852^2+H2852^2&lt;=2+0.000000001,TRUE()))</f>
        <v>1</v>
      </c>
      <c r="AD2852" s="55" t="n">
        <f aca="false">IF(AC2852,IF(01_因子設定!$B$13="最大化",AA2852-01_因子設定!$B$14,IF(01_因子設定!$B$13="最小化",01_因子設定!$B$15-AB2852,MIN(AA2852-01_因子設定!$B$14,01_因子設定!$B$15-AB2852))),-1E+030)</f>
        <v>-3.10139959998837</v>
      </c>
      <c r="AE2852" s="55" t="n">
        <f aca="false">IF(AC2852,IF(01_因子設定!$B$13="最大化",X2852,IF(01_因子設定!$B$13="最小化",-X2852,-ABS(X2852-01_因子設定!$B$16))),-1E+030)</f>
        <v>44.9877604166666</v>
      </c>
      <c r="AF2852" s="55" t="n">
        <f aca="false">AD2852+ROW()*0.000000001</f>
        <v>-3.10139674798837</v>
      </c>
      <c r="AG2852" s="55" t="n">
        <f aca="false">AE2852+ROW()*0.000000001</f>
        <v>44.9877632686666</v>
      </c>
    </row>
    <row r="2853" customFormat="false" ht="15" hidden="false" customHeight="false" outlineLevel="0" collapsed="false">
      <c r="A2853" s="0" t="n">
        <v>3</v>
      </c>
      <c r="B2853" s="0" t="n">
        <v>8</v>
      </c>
      <c r="C2853" s="0" t="n">
        <v>1</v>
      </c>
      <c r="D2853" s="0" t="n">
        <v>4</v>
      </c>
      <c r="E2853" s="0" t="n">
        <f aca="false">-1+A2853*0.25</f>
        <v>-0.25</v>
      </c>
      <c r="F2853" s="0" t="n">
        <f aca="false">-1+B2853*0.25</f>
        <v>1</v>
      </c>
      <c r="G2853" s="0" t="n">
        <f aca="false">-1+C2853*0.25</f>
        <v>-0.75</v>
      </c>
      <c r="H2853" s="0" t="n">
        <f aca="false">-1+D2853*0.25</f>
        <v>0</v>
      </c>
      <c r="I2853" s="0" t="n">
        <f aca="false">1</f>
        <v>1</v>
      </c>
      <c r="J2853" s="0" t="n">
        <f aca="false">E2853</f>
        <v>-0.25</v>
      </c>
      <c r="K2853" s="0" t="n">
        <f aca="false">F2853</f>
        <v>1</v>
      </c>
      <c r="L2853" s="0" t="n">
        <f aca="false">G2853</f>
        <v>-0.75</v>
      </c>
      <c r="M2853" s="0" t="n">
        <f aca="false">H2853</f>
        <v>0</v>
      </c>
      <c r="N2853" s="0" t="n">
        <f aca="false">E2853*F2853</f>
        <v>-0.25</v>
      </c>
      <c r="O2853" s="0" t="n">
        <f aca="false">E2853*G2853</f>
        <v>0.1875</v>
      </c>
      <c r="P2853" s="0" t="n">
        <f aca="false">E2853*H2853</f>
        <v>-0</v>
      </c>
      <c r="Q2853" s="0" t="n">
        <f aca="false">F2853*G2853</f>
        <v>-0.75</v>
      </c>
      <c r="R2853" s="0" t="n">
        <f aca="false">F2853*H2853</f>
        <v>0</v>
      </c>
      <c r="S2853" s="0" t="n">
        <f aca="false">G2853*H2853</f>
        <v>-0</v>
      </c>
      <c r="T2853" s="0" t="n">
        <f aca="false">E2853*E2853</f>
        <v>0.0625</v>
      </c>
      <c r="U2853" s="0" t="n">
        <f aca="false">F2853*F2853</f>
        <v>1</v>
      </c>
      <c r="V2853" s="0" t="n">
        <f aca="false">G2853*G2853</f>
        <v>0.5625</v>
      </c>
      <c r="W2853" s="0" t="n">
        <f aca="false">H2853*H2853</f>
        <v>0</v>
      </c>
      <c r="X2853" s="0" t="n">
        <f aca="false">SUMPRODUCT(I2853:W2853,_XtX!$B$96:$P$96)</f>
        <v>44.9982090643274</v>
      </c>
      <c r="Y2853" s="0" t="n">
        <f aca="false">SUMPRODUCT(MMULT(I2853:W2853,_XtX!$B$78:$P$92),I2853:W2853)</f>
        <v>0.501534802174708</v>
      </c>
      <c r="Z2853" s="0" t="n">
        <f aca="false">04_回帰ANOVA!$K$19*04_回帰ANOVA!$K$14*SQRT(1+Y2853)</f>
        <v>1.59722498091333</v>
      </c>
      <c r="AA2853" s="0" t="n">
        <f aca="false">X2853-Z2853</f>
        <v>43.4009840834141</v>
      </c>
      <c r="AB2853" s="0" t="n">
        <f aca="false">X2853+Z2853</f>
        <v>46.5954340452408</v>
      </c>
      <c r="AC2853" s="54" t="b">
        <f aca="false">AND(E2853&gt;=01_因子設定!$L$5-0.000000001,E2853&lt;=01_因子設定!$M$5+0.000000001,F2853&gt;=01_因子設定!$L$6-0.000000001,F2853&lt;=01_因子設定!$M$6+0.000000001,G2853&gt;=01_因子設定!$L$7-0.000000001,G2853&lt;=01_因子設定!$M$7+0.000000001,H2853&gt;=01_因子設定!$L$8-0.000000001,H2853&lt;=01_因子設定!$M$8+0.000000001,IF(01_因子設定!$B$20="Box-Behnken",E2853^2+F2853^2+G2853^2+H2853^2&lt;=2+0.000000001,TRUE()))</f>
        <v>1</v>
      </c>
      <c r="AD2853" s="55" t="n">
        <f aca="false">IF(AC2853,IF(01_因子設定!$B$13="最大化",AA2853-01_因子設定!$B$14,IF(01_因子設定!$B$13="最小化",01_因子設定!$B$15-AB2853,MIN(AA2853-01_因子設定!$B$14,01_因子設定!$B$15-AB2853))),-1E+030)</f>
        <v>-3.09901591658591</v>
      </c>
      <c r="AE2853" s="55" t="n">
        <f aca="false">IF(AC2853,IF(01_因子設定!$B$13="最大化",X2853,IF(01_因子設定!$B$13="最小化",-X2853,-ABS(X2853-01_因子設定!$B$16))),-1E+030)</f>
        <v>44.9982090643274</v>
      </c>
      <c r="AF2853" s="55" t="n">
        <f aca="false">AD2853+ROW()*0.000000001</f>
        <v>-3.09901306358591</v>
      </c>
      <c r="AG2853" s="55" t="n">
        <f aca="false">AE2853+ROW()*0.000000001</f>
        <v>44.9982119173274</v>
      </c>
    </row>
    <row r="2854" customFormat="false" ht="15" hidden="false" customHeight="false" outlineLevel="0" collapsed="false">
      <c r="A2854" s="0" t="n">
        <v>3</v>
      </c>
      <c r="B2854" s="0" t="n">
        <v>8</v>
      </c>
      <c r="C2854" s="0" t="n">
        <v>1</v>
      </c>
      <c r="D2854" s="0" t="n">
        <v>5</v>
      </c>
      <c r="E2854" s="0" t="n">
        <f aca="false">-1+A2854*0.25</f>
        <v>-0.25</v>
      </c>
      <c r="F2854" s="0" t="n">
        <f aca="false">-1+B2854*0.25</f>
        <v>1</v>
      </c>
      <c r="G2854" s="0" t="n">
        <f aca="false">-1+C2854*0.25</f>
        <v>-0.75</v>
      </c>
      <c r="H2854" s="0" t="n">
        <f aca="false">-1+D2854*0.25</f>
        <v>0.25</v>
      </c>
      <c r="I2854" s="0" t="n">
        <f aca="false">1</f>
        <v>1</v>
      </c>
      <c r="J2854" s="0" t="n">
        <f aca="false">E2854</f>
        <v>-0.25</v>
      </c>
      <c r="K2854" s="0" t="n">
        <f aca="false">F2854</f>
        <v>1</v>
      </c>
      <c r="L2854" s="0" t="n">
        <f aca="false">G2854</f>
        <v>-0.75</v>
      </c>
      <c r="M2854" s="0" t="n">
        <f aca="false">H2854</f>
        <v>0.25</v>
      </c>
      <c r="N2854" s="0" t="n">
        <f aca="false">E2854*F2854</f>
        <v>-0.25</v>
      </c>
      <c r="O2854" s="0" t="n">
        <f aca="false">E2854*G2854</f>
        <v>0.1875</v>
      </c>
      <c r="P2854" s="0" t="n">
        <f aca="false">E2854*H2854</f>
        <v>-0.0625</v>
      </c>
      <c r="Q2854" s="0" t="n">
        <f aca="false">F2854*G2854</f>
        <v>-0.75</v>
      </c>
      <c r="R2854" s="0" t="n">
        <f aca="false">F2854*H2854</f>
        <v>0.25</v>
      </c>
      <c r="S2854" s="0" t="n">
        <f aca="false">G2854*H2854</f>
        <v>-0.1875</v>
      </c>
      <c r="T2854" s="0" t="n">
        <f aca="false">E2854*E2854</f>
        <v>0.0625</v>
      </c>
      <c r="U2854" s="0" t="n">
        <f aca="false">F2854*F2854</f>
        <v>1</v>
      </c>
      <c r="V2854" s="0" t="n">
        <f aca="false">G2854*G2854</f>
        <v>0.5625</v>
      </c>
      <c r="W2854" s="0" t="n">
        <f aca="false">H2854*H2854</f>
        <v>0.0625</v>
      </c>
      <c r="X2854" s="0" t="n">
        <f aca="false">SUMPRODUCT(I2854:W2854,_XtX!$B$96:$P$96)</f>
        <v>44.9608506944444</v>
      </c>
      <c r="Y2854" s="0" t="n">
        <f aca="false">SUMPRODUCT(MMULT(I2854:W2854,_XtX!$B$78:$P$92),I2854:W2854)</f>
        <v>0.486409505208334</v>
      </c>
      <c r="Z2854" s="0" t="n">
        <f aca="false">04_回帰ANOVA!$K$19*04_回帰ANOVA!$K$14*SQRT(1+Y2854)</f>
        <v>1.58916001665498</v>
      </c>
      <c r="AA2854" s="0" t="n">
        <f aca="false">X2854-Z2854</f>
        <v>43.3716906777894</v>
      </c>
      <c r="AB2854" s="0" t="n">
        <f aca="false">X2854+Z2854</f>
        <v>46.5500107110994</v>
      </c>
      <c r="AC2854" s="54" t="b">
        <f aca="false">AND(E2854&gt;=01_因子設定!$L$5-0.000000001,E2854&lt;=01_因子設定!$M$5+0.000000001,F2854&gt;=01_因子設定!$L$6-0.000000001,F2854&lt;=01_因子設定!$M$6+0.000000001,G2854&gt;=01_因子設定!$L$7-0.000000001,G2854&lt;=01_因子設定!$M$7+0.000000001,H2854&gt;=01_因子設定!$L$8-0.000000001,H2854&lt;=01_因子設定!$M$8+0.000000001,IF(01_因子設定!$B$20="Box-Behnken",E2854^2+F2854^2+G2854^2+H2854^2&lt;=2+0.000000001,TRUE()))</f>
        <v>1</v>
      </c>
      <c r="AD2854" s="55" t="n">
        <f aca="false">IF(AC2854,IF(01_因子設定!$B$13="最大化",AA2854-01_因子設定!$B$14,IF(01_因子設定!$B$13="最小化",01_因子設定!$B$15-AB2854,MIN(AA2854-01_因子設定!$B$14,01_因子設定!$B$15-AB2854))),-1E+030)</f>
        <v>-3.12830932221059</v>
      </c>
      <c r="AE2854" s="55" t="n">
        <f aca="false">IF(AC2854,IF(01_因子設定!$B$13="最大化",X2854,IF(01_因子設定!$B$13="最小化",-X2854,-ABS(X2854-01_因子設定!$B$16))),-1E+030)</f>
        <v>44.9608506944444</v>
      </c>
      <c r="AF2854" s="55" t="n">
        <f aca="false">AD2854+ROW()*0.000000001</f>
        <v>-3.12830646821059</v>
      </c>
      <c r="AG2854" s="55" t="n">
        <f aca="false">AE2854+ROW()*0.000000001</f>
        <v>44.9608535484444</v>
      </c>
    </row>
    <row r="2855" customFormat="false" ht="15" hidden="false" customHeight="false" outlineLevel="0" collapsed="false">
      <c r="A2855" s="0" t="n">
        <v>3</v>
      </c>
      <c r="B2855" s="0" t="n">
        <v>8</v>
      </c>
      <c r="C2855" s="0" t="n">
        <v>1</v>
      </c>
      <c r="D2855" s="0" t="n">
        <v>6</v>
      </c>
      <c r="E2855" s="0" t="n">
        <f aca="false">-1+A2855*0.25</f>
        <v>-0.25</v>
      </c>
      <c r="F2855" s="0" t="n">
        <f aca="false">-1+B2855*0.25</f>
        <v>1</v>
      </c>
      <c r="G2855" s="0" t="n">
        <f aca="false">-1+C2855*0.25</f>
        <v>-0.75</v>
      </c>
      <c r="H2855" s="0" t="n">
        <f aca="false">-1+D2855*0.25</f>
        <v>0.5</v>
      </c>
      <c r="I2855" s="0" t="n">
        <f aca="false">1</f>
        <v>1</v>
      </c>
      <c r="J2855" s="0" t="n">
        <f aca="false">E2855</f>
        <v>-0.25</v>
      </c>
      <c r="K2855" s="0" t="n">
        <f aca="false">F2855</f>
        <v>1</v>
      </c>
      <c r="L2855" s="0" t="n">
        <f aca="false">G2855</f>
        <v>-0.75</v>
      </c>
      <c r="M2855" s="0" t="n">
        <f aca="false">H2855</f>
        <v>0.5</v>
      </c>
      <c r="N2855" s="0" t="n">
        <f aca="false">E2855*F2855</f>
        <v>-0.25</v>
      </c>
      <c r="O2855" s="0" t="n">
        <f aca="false">E2855*G2855</f>
        <v>0.1875</v>
      </c>
      <c r="P2855" s="0" t="n">
        <f aca="false">E2855*H2855</f>
        <v>-0.125</v>
      </c>
      <c r="Q2855" s="0" t="n">
        <f aca="false">F2855*G2855</f>
        <v>-0.75</v>
      </c>
      <c r="R2855" s="0" t="n">
        <f aca="false">F2855*H2855</f>
        <v>0.5</v>
      </c>
      <c r="S2855" s="0" t="n">
        <f aca="false">G2855*H2855</f>
        <v>-0.375</v>
      </c>
      <c r="T2855" s="0" t="n">
        <f aca="false">E2855*E2855</f>
        <v>0.0625</v>
      </c>
      <c r="U2855" s="0" t="n">
        <f aca="false">F2855*F2855</f>
        <v>1</v>
      </c>
      <c r="V2855" s="0" t="n">
        <f aca="false">G2855*G2855</f>
        <v>0.5625</v>
      </c>
      <c r="W2855" s="0" t="n">
        <f aca="false">H2855*H2855</f>
        <v>0.25</v>
      </c>
      <c r="X2855" s="0" t="n">
        <f aca="false">SUMPRODUCT(I2855:W2855,_XtX!$B$96:$P$96)</f>
        <v>44.8756853070175</v>
      </c>
      <c r="Y2855" s="0" t="n">
        <f aca="false">SUMPRODUCT(MMULT(I2855:W2855,_XtX!$B$78:$P$92),I2855:W2855)</f>
        <v>0.459125719572369</v>
      </c>
      <c r="Z2855" s="0" t="n">
        <f aca="false">04_回帰ANOVA!$K$19*04_回帰ANOVA!$K$14*SQRT(1+Y2855)</f>
        <v>1.57450755575573</v>
      </c>
      <c r="AA2855" s="0" t="n">
        <f aca="false">X2855-Z2855</f>
        <v>43.3011777512618</v>
      </c>
      <c r="AB2855" s="0" t="n">
        <f aca="false">X2855+Z2855</f>
        <v>46.4501928627732</v>
      </c>
      <c r="AC2855" s="54" t="b">
        <f aca="false">AND(E2855&gt;=01_因子設定!$L$5-0.000000001,E2855&lt;=01_因子設定!$M$5+0.000000001,F2855&gt;=01_因子設定!$L$6-0.000000001,F2855&lt;=01_因子設定!$M$6+0.000000001,G2855&gt;=01_因子設定!$L$7-0.000000001,G2855&lt;=01_因子設定!$M$7+0.000000001,H2855&gt;=01_因子設定!$L$8-0.000000001,H2855&lt;=01_因子設定!$M$8+0.000000001,IF(01_因子設定!$B$20="Box-Behnken",E2855^2+F2855^2+G2855^2+H2855^2&lt;=2+0.000000001,TRUE()))</f>
        <v>1</v>
      </c>
      <c r="AD2855" s="55" t="n">
        <f aca="false">IF(AC2855,IF(01_因子設定!$B$13="最大化",AA2855-01_因子設定!$B$14,IF(01_因子設定!$B$13="最小化",01_因子設定!$B$15-AB2855,MIN(AA2855-01_因子設定!$B$14,01_因子設定!$B$15-AB2855))),-1E+030)</f>
        <v>-3.19882224873824</v>
      </c>
      <c r="AE2855" s="55" t="n">
        <f aca="false">IF(AC2855,IF(01_因子設定!$B$13="最大化",X2855,IF(01_因子設定!$B$13="最小化",-X2855,-ABS(X2855-01_因子設定!$B$16))),-1E+030)</f>
        <v>44.8756853070175</v>
      </c>
      <c r="AF2855" s="55" t="n">
        <f aca="false">AD2855+ROW()*0.000000001</f>
        <v>-3.19881939373824</v>
      </c>
      <c r="AG2855" s="55" t="n">
        <f aca="false">AE2855+ROW()*0.000000001</f>
        <v>44.8756881620175</v>
      </c>
    </row>
    <row r="2856" customFormat="false" ht="15" hidden="false" customHeight="false" outlineLevel="0" collapsed="false">
      <c r="A2856" s="0" t="n">
        <v>3</v>
      </c>
      <c r="B2856" s="0" t="n">
        <v>8</v>
      </c>
      <c r="C2856" s="0" t="n">
        <v>1</v>
      </c>
      <c r="D2856" s="0" t="n">
        <v>7</v>
      </c>
      <c r="E2856" s="0" t="n">
        <f aca="false">-1+A2856*0.25</f>
        <v>-0.25</v>
      </c>
      <c r="F2856" s="0" t="n">
        <f aca="false">-1+B2856*0.25</f>
        <v>1</v>
      </c>
      <c r="G2856" s="0" t="n">
        <f aca="false">-1+C2856*0.25</f>
        <v>-0.75</v>
      </c>
      <c r="H2856" s="0" t="n">
        <f aca="false">-1+D2856*0.25</f>
        <v>0.75</v>
      </c>
      <c r="I2856" s="0" t="n">
        <f aca="false">1</f>
        <v>1</v>
      </c>
      <c r="J2856" s="0" t="n">
        <f aca="false">E2856</f>
        <v>-0.25</v>
      </c>
      <c r="K2856" s="0" t="n">
        <f aca="false">F2856</f>
        <v>1</v>
      </c>
      <c r="L2856" s="0" t="n">
        <f aca="false">G2856</f>
        <v>-0.75</v>
      </c>
      <c r="M2856" s="0" t="n">
        <f aca="false">H2856</f>
        <v>0.75</v>
      </c>
      <c r="N2856" s="0" t="n">
        <f aca="false">E2856*F2856</f>
        <v>-0.25</v>
      </c>
      <c r="O2856" s="0" t="n">
        <f aca="false">E2856*G2856</f>
        <v>0.1875</v>
      </c>
      <c r="P2856" s="0" t="n">
        <f aca="false">E2856*H2856</f>
        <v>-0.1875</v>
      </c>
      <c r="Q2856" s="0" t="n">
        <f aca="false">F2856*G2856</f>
        <v>-0.75</v>
      </c>
      <c r="R2856" s="0" t="n">
        <f aca="false">F2856*H2856</f>
        <v>0.75</v>
      </c>
      <c r="S2856" s="0" t="n">
        <f aca="false">G2856*H2856</f>
        <v>-0.5625</v>
      </c>
      <c r="T2856" s="0" t="n">
        <f aca="false">E2856*E2856</f>
        <v>0.0625</v>
      </c>
      <c r="U2856" s="0" t="n">
        <f aca="false">F2856*F2856</f>
        <v>1</v>
      </c>
      <c r="V2856" s="0" t="n">
        <f aca="false">G2856*G2856</f>
        <v>0.5625</v>
      </c>
      <c r="W2856" s="0" t="n">
        <f aca="false">H2856*H2856</f>
        <v>0.5625</v>
      </c>
      <c r="X2856" s="0" t="n">
        <f aca="false">SUMPRODUCT(I2856:W2856,_XtX!$B$96:$P$96)</f>
        <v>44.7427129020468</v>
      </c>
      <c r="Y2856" s="0" t="n">
        <f aca="false">SUMPRODUCT(MMULT(I2856:W2856,_XtX!$B$78:$P$92),I2856:W2856)</f>
        <v>0.473959761056287</v>
      </c>
      <c r="Z2856" s="0" t="n">
        <f aca="false">04_回帰ANOVA!$K$19*04_回帰ANOVA!$K$14*SQRT(1+Y2856)</f>
        <v>1.58249084588329</v>
      </c>
      <c r="AA2856" s="0" t="n">
        <f aca="false">X2856-Z2856</f>
        <v>43.1602220561635</v>
      </c>
      <c r="AB2856" s="0" t="n">
        <f aca="false">X2856+Z2856</f>
        <v>46.32520374793</v>
      </c>
      <c r="AC2856" s="54" t="b">
        <f aca="false">AND(E2856&gt;=01_因子設定!$L$5-0.000000001,E2856&lt;=01_因子設定!$M$5+0.000000001,F2856&gt;=01_因子設定!$L$6-0.000000001,F2856&lt;=01_因子設定!$M$6+0.000000001,G2856&gt;=01_因子設定!$L$7-0.000000001,G2856&lt;=01_因子設定!$M$7+0.000000001,H2856&gt;=01_因子設定!$L$8-0.000000001,H2856&lt;=01_因子設定!$M$8+0.000000001,IF(01_因子設定!$B$20="Box-Behnken",E2856^2+F2856^2+G2856^2+H2856^2&lt;=2+0.000000001,TRUE()))</f>
        <v>1</v>
      </c>
      <c r="AD2856" s="55" t="n">
        <f aca="false">IF(AC2856,IF(01_因子設定!$B$13="最大化",AA2856-01_因子設定!$B$14,IF(01_因子設定!$B$13="最小化",01_因子設定!$B$15-AB2856,MIN(AA2856-01_因子設定!$B$14,01_因子設定!$B$15-AB2856))),-1E+030)</f>
        <v>-3.33977794383654</v>
      </c>
      <c r="AE2856" s="55" t="n">
        <f aca="false">IF(AC2856,IF(01_因子設定!$B$13="最大化",X2856,IF(01_因子設定!$B$13="最小化",-X2856,-ABS(X2856-01_因子設定!$B$16))),-1E+030)</f>
        <v>44.7427129020468</v>
      </c>
      <c r="AF2856" s="55" t="n">
        <f aca="false">AD2856+ROW()*0.000000001</f>
        <v>-3.33977508783654</v>
      </c>
      <c r="AG2856" s="55" t="n">
        <f aca="false">AE2856+ROW()*0.000000001</f>
        <v>44.7427157580468</v>
      </c>
    </row>
    <row r="2857" customFormat="false" ht="15" hidden="false" customHeight="false" outlineLevel="0" collapsed="false">
      <c r="A2857" s="0" t="n">
        <v>3</v>
      </c>
      <c r="B2857" s="0" t="n">
        <v>8</v>
      </c>
      <c r="C2857" s="0" t="n">
        <v>1</v>
      </c>
      <c r="D2857" s="0" t="n">
        <v>8</v>
      </c>
      <c r="E2857" s="0" t="n">
        <f aca="false">-1+A2857*0.25</f>
        <v>-0.25</v>
      </c>
      <c r="F2857" s="0" t="n">
        <f aca="false">-1+B2857*0.25</f>
        <v>1</v>
      </c>
      <c r="G2857" s="0" t="n">
        <f aca="false">-1+C2857*0.25</f>
        <v>-0.75</v>
      </c>
      <c r="H2857" s="0" t="n">
        <f aca="false">-1+D2857*0.25</f>
        <v>1</v>
      </c>
      <c r="I2857" s="0" t="n">
        <f aca="false">1</f>
        <v>1</v>
      </c>
      <c r="J2857" s="0" t="n">
        <f aca="false">E2857</f>
        <v>-0.25</v>
      </c>
      <c r="K2857" s="0" t="n">
        <f aca="false">F2857</f>
        <v>1</v>
      </c>
      <c r="L2857" s="0" t="n">
        <f aca="false">G2857</f>
        <v>-0.75</v>
      </c>
      <c r="M2857" s="0" t="n">
        <f aca="false">H2857</f>
        <v>1</v>
      </c>
      <c r="N2857" s="0" t="n">
        <f aca="false">E2857*F2857</f>
        <v>-0.25</v>
      </c>
      <c r="O2857" s="0" t="n">
        <f aca="false">E2857*G2857</f>
        <v>0.1875</v>
      </c>
      <c r="P2857" s="0" t="n">
        <f aca="false">E2857*H2857</f>
        <v>-0.25</v>
      </c>
      <c r="Q2857" s="0" t="n">
        <f aca="false">F2857*G2857</f>
        <v>-0.75</v>
      </c>
      <c r="R2857" s="0" t="n">
        <f aca="false">F2857*H2857</f>
        <v>1</v>
      </c>
      <c r="S2857" s="0" t="n">
        <f aca="false">G2857*H2857</f>
        <v>-0.75</v>
      </c>
      <c r="T2857" s="0" t="n">
        <f aca="false">E2857*E2857</f>
        <v>0.0625</v>
      </c>
      <c r="U2857" s="0" t="n">
        <f aca="false">F2857*F2857</f>
        <v>1</v>
      </c>
      <c r="V2857" s="0" t="n">
        <f aca="false">G2857*G2857</f>
        <v>0.5625</v>
      </c>
      <c r="W2857" s="0" t="n">
        <f aca="false">H2857*H2857</f>
        <v>1</v>
      </c>
      <c r="X2857" s="0" t="n">
        <f aca="false">SUMPRODUCT(I2857:W2857,_XtX!$B$96:$P$96)</f>
        <v>44.5619334795321</v>
      </c>
      <c r="Y2857" s="0" t="n">
        <f aca="false">SUMPRODUCT(MMULT(I2857:W2857,_XtX!$B$78:$P$92),I2857:W2857)</f>
        <v>0.621372155975877</v>
      </c>
      <c r="Z2857" s="0" t="n">
        <f aca="false">04_回帰ANOVA!$K$19*04_回帰ANOVA!$K$14*SQRT(1+Y2857)</f>
        <v>1.65973880499872</v>
      </c>
      <c r="AA2857" s="0" t="n">
        <f aca="false">X2857-Z2857</f>
        <v>42.9021946745334</v>
      </c>
      <c r="AB2857" s="0" t="n">
        <f aca="false">X2857+Z2857</f>
        <v>46.2216722845309</v>
      </c>
      <c r="AC2857" s="54" t="b">
        <f aca="false">AND(E2857&gt;=01_因子設定!$L$5-0.000000001,E2857&lt;=01_因子設定!$M$5+0.000000001,F2857&gt;=01_因子設定!$L$6-0.000000001,F2857&lt;=01_因子設定!$M$6+0.000000001,G2857&gt;=01_因子設定!$L$7-0.000000001,G2857&lt;=01_因子設定!$M$7+0.000000001,H2857&gt;=01_因子設定!$L$8-0.000000001,H2857&lt;=01_因子設定!$M$8+0.000000001,IF(01_因子設定!$B$20="Box-Behnken",E2857^2+F2857^2+G2857^2+H2857^2&lt;=2+0.000000001,TRUE()))</f>
        <v>1</v>
      </c>
      <c r="AD2857" s="55" t="n">
        <f aca="false">IF(AC2857,IF(01_因子設定!$B$13="最大化",AA2857-01_因子設定!$B$14,IF(01_因子設定!$B$13="最小化",01_因子設定!$B$15-AB2857,MIN(AA2857-01_因子設定!$B$14,01_因子設定!$B$15-AB2857))),-1E+030)</f>
        <v>-3.59780532546657</v>
      </c>
      <c r="AE2857" s="55" t="n">
        <f aca="false">IF(AC2857,IF(01_因子設定!$B$13="最大化",X2857,IF(01_因子設定!$B$13="最小化",-X2857,-ABS(X2857-01_因子設定!$B$16))),-1E+030)</f>
        <v>44.5619334795321</v>
      </c>
      <c r="AF2857" s="55" t="n">
        <f aca="false">AD2857+ROW()*0.000000001</f>
        <v>-3.59780246846657</v>
      </c>
      <c r="AG2857" s="55" t="n">
        <f aca="false">AE2857+ROW()*0.000000001</f>
        <v>44.5619363365321</v>
      </c>
    </row>
    <row r="2858" customFormat="false" ht="15" hidden="false" customHeight="false" outlineLevel="0" collapsed="false">
      <c r="A2858" s="0" t="n">
        <v>3</v>
      </c>
      <c r="B2858" s="0" t="n">
        <v>8</v>
      </c>
      <c r="C2858" s="0" t="n">
        <v>2</v>
      </c>
      <c r="D2858" s="0" t="n">
        <v>0</v>
      </c>
      <c r="E2858" s="0" t="n">
        <f aca="false">-1+A2858*0.25</f>
        <v>-0.25</v>
      </c>
      <c r="F2858" s="0" t="n">
        <f aca="false">-1+B2858*0.25</f>
        <v>1</v>
      </c>
      <c r="G2858" s="0" t="n">
        <f aca="false">-1+C2858*0.25</f>
        <v>-0.5</v>
      </c>
      <c r="H2858" s="0" t="n">
        <f aca="false">-1+D2858*0.25</f>
        <v>-1</v>
      </c>
      <c r="I2858" s="0" t="n">
        <f aca="false">1</f>
        <v>1</v>
      </c>
      <c r="J2858" s="0" t="n">
        <f aca="false">E2858</f>
        <v>-0.25</v>
      </c>
      <c r="K2858" s="0" t="n">
        <f aca="false">F2858</f>
        <v>1</v>
      </c>
      <c r="L2858" s="0" t="n">
        <f aca="false">G2858</f>
        <v>-0.5</v>
      </c>
      <c r="M2858" s="0" t="n">
        <f aca="false">H2858</f>
        <v>-1</v>
      </c>
      <c r="N2858" s="0" t="n">
        <f aca="false">E2858*F2858</f>
        <v>-0.25</v>
      </c>
      <c r="O2858" s="0" t="n">
        <f aca="false">E2858*G2858</f>
        <v>0.125</v>
      </c>
      <c r="P2858" s="0" t="n">
        <f aca="false">E2858*H2858</f>
        <v>0.25</v>
      </c>
      <c r="Q2858" s="0" t="n">
        <f aca="false">F2858*G2858</f>
        <v>-0.5</v>
      </c>
      <c r="R2858" s="0" t="n">
        <f aca="false">F2858*H2858</f>
        <v>-1</v>
      </c>
      <c r="S2858" s="0" t="n">
        <f aca="false">G2858*H2858</f>
        <v>0.5</v>
      </c>
      <c r="T2858" s="0" t="n">
        <f aca="false">E2858*E2858</f>
        <v>0.0625</v>
      </c>
      <c r="U2858" s="0" t="n">
        <f aca="false">F2858*F2858</f>
        <v>1</v>
      </c>
      <c r="V2858" s="0" t="n">
        <f aca="false">G2858*G2858</f>
        <v>0.25</v>
      </c>
      <c r="W2858" s="0" t="n">
        <f aca="false">H2858*H2858</f>
        <v>1</v>
      </c>
      <c r="X2858" s="0" t="n">
        <f aca="false">SUMPRODUCT(I2858:W2858,_XtX!$B$96:$P$96)</f>
        <v>45.175548245614</v>
      </c>
      <c r="Y2858" s="0" t="n">
        <f aca="false">SUMPRODUCT(MMULT(I2858:W2858,_XtX!$B$78:$P$92),I2858:W2858)</f>
        <v>0.629174661915205</v>
      </c>
      <c r="Z2858" s="0" t="n">
        <f aca="false">04_回帰ANOVA!$K$19*04_回帰ANOVA!$K$14*SQRT(1+Y2858)</f>
        <v>1.66372758058297</v>
      </c>
      <c r="AA2858" s="0" t="n">
        <f aca="false">X2858-Z2858</f>
        <v>43.511820665031</v>
      </c>
      <c r="AB2858" s="0" t="n">
        <f aca="false">X2858+Z2858</f>
        <v>46.839275826197</v>
      </c>
      <c r="AC2858" s="54" t="b">
        <f aca="false">AND(E2858&gt;=01_因子設定!$L$5-0.000000001,E2858&lt;=01_因子設定!$M$5+0.000000001,F2858&gt;=01_因子設定!$L$6-0.000000001,F2858&lt;=01_因子設定!$M$6+0.000000001,G2858&gt;=01_因子設定!$L$7-0.000000001,G2858&lt;=01_因子設定!$M$7+0.000000001,H2858&gt;=01_因子設定!$L$8-0.000000001,H2858&lt;=01_因子設定!$M$8+0.000000001,IF(01_因子設定!$B$20="Box-Behnken",E2858^2+F2858^2+G2858^2+H2858^2&lt;=2+0.000000001,TRUE()))</f>
        <v>1</v>
      </c>
      <c r="AD2858" s="55" t="n">
        <f aca="false">IF(AC2858,IF(01_因子設定!$B$13="最大化",AA2858-01_因子設定!$B$14,IF(01_因子設定!$B$13="最小化",01_因子設定!$B$15-AB2858,MIN(AA2858-01_因子設定!$B$14,01_因子設定!$B$15-AB2858))),-1E+030)</f>
        <v>-2.98817933496896</v>
      </c>
      <c r="AE2858" s="55" t="n">
        <f aca="false">IF(AC2858,IF(01_因子設定!$B$13="最大化",X2858,IF(01_因子設定!$B$13="最小化",-X2858,-ABS(X2858-01_因子設定!$B$16))),-1E+030)</f>
        <v>45.175548245614</v>
      </c>
      <c r="AF2858" s="55" t="n">
        <f aca="false">AD2858+ROW()*0.000000001</f>
        <v>-2.98817647696896</v>
      </c>
      <c r="AG2858" s="55" t="n">
        <f aca="false">AE2858+ROW()*0.000000001</f>
        <v>45.175551103614</v>
      </c>
    </row>
    <row r="2859" customFormat="false" ht="15" hidden="false" customHeight="false" outlineLevel="0" collapsed="false">
      <c r="A2859" s="0" t="n">
        <v>3</v>
      </c>
      <c r="B2859" s="0" t="n">
        <v>8</v>
      </c>
      <c r="C2859" s="0" t="n">
        <v>2</v>
      </c>
      <c r="D2859" s="0" t="n">
        <v>1</v>
      </c>
      <c r="E2859" s="0" t="n">
        <f aca="false">-1+A2859*0.25</f>
        <v>-0.25</v>
      </c>
      <c r="F2859" s="0" t="n">
        <f aca="false">-1+B2859*0.25</f>
        <v>1</v>
      </c>
      <c r="G2859" s="0" t="n">
        <f aca="false">-1+C2859*0.25</f>
        <v>-0.5</v>
      </c>
      <c r="H2859" s="0" t="n">
        <f aca="false">-1+D2859*0.25</f>
        <v>-0.75</v>
      </c>
      <c r="I2859" s="0" t="n">
        <f aca="false">1</f>
        <v>1</v>
      </c>
      <c r="J2859" s="0" t="n">
        <f aca="false">E2859</f>
        <v>-0.25</v>
      </c>
      <c r="K2859" s="0" t="n">
        <f aca="false">F2859</f>
        <v>1</v>
      </c>
      <c r="L2859" s="0" t="n">
        <f aca="false">G2859</f>
        <v>-0.5</v>
      </c>
      <c r="M2859" s="0" t="n">
        <f aca="false">H2859</f>
        <v>-0.75</v>
      </c>
      <c r="N2859" s="0" t="n">
        <f aca="false">E2859*F2859</f>
        <v>-0.25</v>
      </c>
      <c r="O2859" s="0" t="n">
        <f aca="false">E2859*G2859</f>
        <v>0.125</v>
      </c>
      <c r="P2859" s="0" t="n">
        <f aca="false">E2859*H2859</f>
        <v>0.1875</v>
      </c>
      <c r="Q2859" s="0" t="n">
        <f aca="false">F2859*G2859</f>
        <v>-0.5</v>
      </c>
      <c r="R2859" s="0" t="n">
        <f aca="false">F2859*H2859</f>
        <v>-0.75</v>
      </c>
      <c r="S2859" s="0" t="n">
        <f aca="false">G2859*H2859</f>
        <v>0.375</v>
      </c>
      <c r="T2859" s="0" t="n">
        <f aca="false">E2859*E2859</f>
        <v>0.0625</v>
      </c>
      <c r="U2859" s="0" t="n">
        <f aca="false">F2859*F2859</f>
        <v>1</v>
      </c>
      <c r="V2859" s="0" t="n">
        <f aca="false">G2859*G2859</f>
        <v>0.25</v>
      </c>
      <c r="W2859" s="0" t="n">
        <f aca="false">H2859*H2859</f>
        <v>0.5625</v>
      </c>
      <c r="X2859" s="0" t="n">
        <f aca="false">SUMPRODUCT(I2859:W2859,_XtX!$B$96:$P$96)</f>
        <v>45.3473866959064</v>
      </c>
      <c r="Y2859" s="0" t="n">
        <f aca="false">SUMPRODUCT(MMULT(I2859:W2859,_XtX!$B$78:$P$92),I2859:W2859)</f>
        <v>0.459125719572369</v>
      </c>
      <c r="Z2859" s="0" t="n">
        <f aca="false">04_回帰ANOVA!$K$19*04_回帰ANOVA!$K$14*SQRT(1+Y2859)</f>
        <v>1.57450755575573</v>
      </c>
      <c r="AA2859" s="0" t="n">
        <f aca="false">X2859-Z2859</f>
        <v>43.7728791401507</v>
      </c>
      <c r="AB2859" s="0" t="n">
        <f aca="false">X2859+Z2859</f>
        <v>46.9218942516621</v>
      </c>
      <c r="AC2859" s="54" t="b">
        <f aca="false">AND(E2859&gt;=01_因子設定!$L$5-0.000000001,E2859&lt;=01_因子設定!$M$5+0.000000001,F2859&gt;=01_因子設定!$L$6-0.000000001,F2859&lt;=01_因子設定!$M$6+0.000000001,G2859&gt;=01_因子設定!$L$7-0.000000001,G2859&lt;=01_因子設定!$M$7+0.000000001,H2859&gt;=01_因子設定!$L$8-0.000000001,H2859&lt;=01_因子設定!$M$8+0.000000001,IF(01_因子設定!$B$20="Box-Behnken",E2859^2+F2859^2+G2859^2+H2859^2&lt;=2+0.000000001,TRUE()))</f>
        <v>1</v>
      </c>
      <c r="AD2859" s="55" t="n">
        <f aca="false">IF(AC2859,IF(01_因子設定!$B$13="最大化",AA2859-01_因子設定!$B$14,IF(01_因子設定!$B$13="最小化",01_因子設定!$B$15-AB2859,MIN(AA2859-01_因子設定!$B$14,01_因子設定!$B$15-AB2859))),-1E+030)</f>
        <v>-2.72712085984934</v>
      </c>
      <c r="AE2859" s="55" t="n">
        <f aca="false">IF(AC2859,IF(01_因子設定!$B$13="最大化",X2859,IF(01_因子設定!$B$13="最小化",-X2859,-ABS(X2859-01_因子設定!$B$16))),-1E+030)</f>
        <v>45.3473866959064</v>
      </c>
      <c r="AF2859" s="55" t="n">
        <f aca="false">AD2859+ROW()*0.000000001</f>
        <v>-2.72711800084934</v>
      </c>
      <c r="AG2859" s="55" t="n">
        <f aca="false">AE2859+ROW()*0.000000001</f>
        <v>45.3473895549064</v>
      </c>
    </row>
    <row r="2860" customFormat="false" ht="15" hidden="false" customHeight="false" outlineLevel="0" collapsed="false">
      <c r="A2860" s="0" t="n">
        <v>3</v>
      </c>
      <c r="B2860" s="0" t="n">
        <v>8</v>
      </c>
      <c r="C2860" s="0" t="n">
        <v>2</v>
      </c>
      <c r="D2860" s="0" t="n">
        <v>2</v>
      </c>
      <c r="E2860" s="0" t="n">
        <f aca="false">-1+A2860*0.25</f>
        <v>-0.25</v>
      </c>
      <c r="F2860" s="0" t="n">
        <f aca="false">-1+B2860*0.25</f>
        <v>1</v>
      </c>
      <c r="G2860" s="0" t="n">
        <f aca="false">-1+C2860*0.25</f>
        <v>-0.5</v>
      </c>
      <c r="H2860" s="0" t="n">
        <f aca="false">-1+D2860*0.25</f>
        <v>-0.5</v>
      </c>
      <c r="I2860" s="0" t="n">
        <f aca="false">1</f>
        <v>1</v>
      </c>
      <c r="J2860" s="0" t="n">
        <f aca="false">E2860</f>
        <v>-0.25</v>
      </c>
      <c r="K2860" s="0" t="n">
        <f aca="false">F2860</f>
        <v>1</v>
      </c>
      <c r="L2860" s="0" t="n">
        <f aca="false">G2860</f>
        <v>-0.5</v>
      </c>
      <c r="M2860" s="0" t="n">
        <f aca="false">H2860</f>
        <v>-0.5</v>
      </c>
      <c r="N2860" s="0" t="n">
        <f aca="false">E2860*F2860</f>
        <v>-0.25</v>
      </c>
      <c r="O2860" s="0" t="n">
        <f aca="false">E2860*G2860</f>
        <v>0.125</v>
      </c>
      <c r="P2860" s="0" t="n">
        <f aca="false">E2860*H2860</f>
        <v>0.125</v>
      </c>
      <c r="Q2860" s="0" t="n">
        <f aca="false">F2860*G2860</f>
        <v>-0.5</v>
      </c>
      <c r="R2860" s="0" t="n">
        <f aca="false">F2860*H2860</f>
        <v>-0.5</v>
      </c>
      <c r="S2860" s="0" t="n">
        <f aca="false">G2860*H2860</f>
        <v>0.25</v>
      </c>
      <c r="T2860" s="0" t="n">
        <f aca="false">E2860*E2860</f>
        <v>0.0625</v>
      </c>
      <c r="U2860" s="0" t="n">
        <f aca="false">F2860*F2860</f>
        <v>1</v>
      </c>
      <c r="V2860" s="0" t="n">
        <f aca="false">G2860*G2860</f>
        <v>0.25</v>
      </c>
      <c r="W2860" s="0" t="n">
        <f aca="false">H2860*H2860</f>
        <v>0.25</v>
      </c>
      <c r="X2860" s="0" t="n">
        <f aca="false">SUMPRODUCT(I2860:W2860,_XtX!$B$96:$P$96)</f>
        <v>45.4714181286549</v>
      </c>
      <c r="Y2860" s="0" t="n">
        <f aca="false">SUMPRODUCT(MMULT(I2860:W2860,_XtX!$B$78:$P$92),I2860:W2860)</f>
        <v>0.428122715643275</v>
      </c>
      <c r="Z2860" s="0" t="n">
        <f aca="false">04_回帰ANOVA!$K$19*04_回帰ANOVA!$K$14*SQRT(1+Y2860)</f>
        <v>1.55769044623229</v>
      </c>
      <c r="AA2860" s="0" t="n">
        <f aca="false">X2860-Z2860</f>
        <v>43.9137276824226</v>
      </c>
      <c r="AB2860" s="0" t="n">
        <f aca="false">X2860+Z2860</f>
        <v>47.0291085748872</v>
      </c>
      <c r="AC2860" s="54" t="b">
        <f aca="false">AND(E2860&gt;=01_因子設定!$L$5-0.000000001,E2860&lt;=01_因子設定!$M$5+0.000000001,F2860&gt;=01_因子設定!$L$6-0.000000001,F2860&lt;=01_因子設定!$M$6+0.000000001,G2860&gt;=01_因子設定!$L$7-0.000000001,G2860&lt;=01_因子設定!$M$7+0.000000001,H2860&gt;=01_因子設定!$L$8-0.000000001,H2860&lt;=01_因子設定!$M$8+0.000000001,IF(01_因子設定!$B$20="Box-Behnken",E2860^2+F2860^2+G2860^2+H2860^2&lt;=2+0.000000001,TRUE()))</f>
        <v>1</v>
      </c>
      <c r="AD2860" s="55" t="n">
        <f aca="false">IF(AC2860,IF(01_因子設定!$B$13="最大化",AA2860-01_因子設定!$B$14,IF(01_因子設定!$B$13="最小化",01_因子設定!$B$15-AB2860,MIN(AA2860-01_因子設定!$B$14,01_因子設定!$B$15-AB2860))),-1E+030)</f>
        <v>-2.58627231757738</v>
      </c>
      <c r="AE2860" s="55" t="n">
        <f aca="false">IF(AC2860,IF(01_因子設定!$B$13="最大化",X2860,IF(01_因子設定!$B$13="最小化",-X2860,-ABS(X2860-01_因子設定!$B$16))),-1E+030)</f>
        <v>45.4714181286549</v>
      </c>
      <c r="AF2860" s="55" t="n">
        <f aca="false">AD2860+ROW()*0.000000001</f>
        <v>-2.58626945757738</v>
      </c>
      <c r="AG2860" s="55" t="n">
        <f aca="false">AE2860+ROW()*0.000000001</f>
        <v>45.4714209886549</v>
      </c>
    </row>
    <row r="2861" customFormat="false" ht="15" hidden="false" customHeight="false" outlineLevel="0" collapsed="false">
      <c r="A2861" s="0" t="n">
        <v>3</v>
      </c>
      <c r="B2861" s="0" t="n">
        <v>8</v>
      </c>
      <c r="C2861" s="0" t="n">
        <v>2</v>
      </c>
      <c r="D2861" s="0" t="n">
        <v>3</v>
      </c>
      <c r="E2861" s="0" t="n">
        <f aca="false">-1+A2861*0.25</f>
        <v>-0.25</v>
      </c>
      <c r="F2861" s="0" t="n">
        <f aca="false">-1+B2861*0.25</f>
        <v>1</v>
      </c>
      <c r="G2861" s="0" t="n">
        <f aca="false">-1+C2861*0.25</f>
        <v>-0.5</v>
      </c>
      <c r="H2861" s="0" t="n">
        <f aca="false">-1+D2861*0.25</f>
        <v>-0.25</v>
      </c>
      <c r="I2861" s="0" t="n">
        <f aca="false">1</f>
        <v>1</v>
      </c>
      <c r="J2861" s="0" t="n">
        <f aca="false">E2861</f>
        <v>-0.25</v>
      </c>
      <c r="K2861" s="0" t="n">
        <f aca="false">F2861</f>
        <v>1</v>
      </c>
      <c r="L2861" s="0" t="n">
        <f aca="false">G2861</f>
        <v>-0.5</v>
      </c>
      <c r="M2861" s="0" t="n">
        <f aca="false">H2861</f>
        <v>-0.25</v>
      </c>
      <c r="N2861" s="0" t="n">
        <f aca="false">E2861*F2861</f>
        <v>-0.25</v>
      </c>
      <c r="O2861" s="0" t="n">
        <f aca="false">E2861*G2861</f>
        <v>0.125</v>
      </c>
      <c r="P2861" s="0" t="n">
        <f aca="false">E2861*H2861</f>
        <v>0.0625</v>
      </c>
      <c r="Q2861" s="0" t="n">
        <f aca="false">F2861*G2861</f>
        <v>-0.5</v>
      </c>
      <c r="R2861" s="0" t="n">
        <f aca="false">F2861*H2861</f>
        <v>-0.25</v>
      </c>
      <c r="S2861" s="0" t="n">
        <f aca="false">G2861*H2861</f>
        <v>0.125</v>
      </c>
      <c r="T2861" s="0" t="n">
        <f aca="false">E2861*E2861</f>
        <v>0.0625</v>
      </c>
      <c r="U2861" s="0" t="n">
        <f aca="false">F2861*F2861</f>
        <v>1</v>
      </c>
      <c r="V2861" s="0" t="n">
        <f aca="false">G2861*G2861</f>
        <v>0.25</v>
      </c>
      <c r="W2861" s="0" t="n">
        <f aca="false">H2861*H2861</f>
        <v>0.0625</v>
      </c>
      <c r="X2861" s="0" t="n">
        <f aca="false">SUMPRODUCT(I2861:W2861,_XtX!$B$96:$P$96)</f>
        <v>45.5476425438596</v>
      </c>
      <c r="Y2861" s="0" t="n">
        <f aca="false">SUMPRODUCT(MMULT(I2861:W2861,_XtX!$B$78:$P$92),I2861:W2861)</f>
        <v>0.445705123812135</v>
      </c>
      <c r="Z2861" s="0" t="n">
        <f aca="false">04_回帰ANOVA!$K$19*04_回帰ANOVA!$K$14*SQRT(1+Y2861)</f>
        <v>1.56724990734749</v>
      </c>
      <c r="AA2861" s="0" t="n">
        <f aca="false">X2861-Z2861</f>
        <v>43.9803926365121</v>
      </c>
      <c r="AB2861" s="0" t="n">
        <f aca="false">X2861+Z2861</f>
        <v>47.1148924512071</v>
      </c>
      <c r="AC2861" s="54" t="b">
        <f aca="false">AND(E2861&gt;=01_因子設定!$L$5-0.000000001,E2861&lt;=01_因子設定!$M$5+0.000000001,F2861&gt;=01_因子設定!$L$6-0.000000001,F2861&lt;=01_因子設定!$M$6+0.000000001,G2861&gt;=01_因子設定!$L$7-0.000000001,G2861&lt;=01_因子設定!$M$7+0.000000001,H2861&gt;=01_因子設定!$L$8-0.000000001,H2861&lt;=01_因子設定!$M$8+0.000000001,IF(01_因子設定!$B$20="Box-Behnken",E2861^2+F2861^2+G2861^2+H2861^2&lt;=2+0.000000001,TRUE()))</f>
        <v>1</v>
      </c>
      <c r="AD2861" s="55" t="n">
        <f aca="false">IF(AC2861,IF(01_因子設定!$B$13="最大化",AA2861-01_因子設定!$B$14,IF(01_因子設定!$B$13="最小化",01_因子設定!$B$15-AB2861,MIN(AA2861-01_因子設定!$B$14,01_因子設定!$B$15-AB2861))),-1E+030)</f>
        <v>-2.5196073634879</v>
      </c>
      <c r="AE2861" s="55" t="n">
        <f aca="false">IF(AC2861,IF(01_因子設定!$B$13="最大化",X2861,IF(01_因子設定!$B$13="最小化",-X2861,-ABS(X2861-01_因子設定!$B$16))),-1E+030)</f>
        <v>45.5476425438596</v>
      </c>
      <c r="AF2861" s="55" t="n">
        <f aca="false">AD2861+ROW()*0.000000001</f>
        <v>-2.5196045024879</v>
      </c>
      <c r="AG2861" s="55" t="n">
        <f aca="false">AE2861+ROW()*0.000000001</f>
        <v>45.5476454048596</v>
      </c>
    </row>
    <row r="2862" customFormat="false" ht="15" hidden="false" customHeight="false" outlineLevel="0" collapsed="false">
      <c r="A2862" s="0" t="n">
        <v>3</v>
      </c>
      <c r="B2862" s="0" t="n">
        <v>8</v>
      </c>
      <c r="C2862" s="0" t="n">
        <v>2</v>
      </c>
      <c r="D2862" s="0" t="n">
        <v>4</v>
      </c>
      <c r="E2862" s="0" t="n">
        <f aca="false">-1+A2862*0.25</f>
        <v>-0.25</v>
      </c>
      <c r="F2862" s="0" t="n">
        <f aca="false">-1+B2862*0.25</f>
        <v>1</v>
      </c>
      <c r="G2862" s="0" t="n">
        <f aca="false">-1+C2862*0.25</f>
        <v>-0.5</v>
      </c>
      <c r="H2862" s="0" t="n">
        <f aca="false">-1+D2862*0.25</f>
        <v>0</v>
      </c>
      <c r="I2862" s="0" t="n">
        <f aca="false">1</f>
        <v>1</v>
      </c>
      <c r="J2862" s="0" t="n">
        <f aca="false">E2862</f>
        <v>-0.25</v>
      </c>
      <c r="K2862" s="0" t="n">
        <f aca="false">F2862</f>
        <v>1</v>
      </c>
      <c r="L2862" s="0" t="n">
        <f aca="false">G2862</f>
        <v>-0.5</v>
      </c>
      <c r="M2862" s="0" t="n">
        <f aca="false">H2862</f>
        <v>0</v>
      </c>
      <c r="N2862" s="0" t="n">
        <f aca="false">E2862*F2862</f>
        <v>-0.25</v>
      </c>
      <c r="O2862" s="0" t="n">
        <f aca="false">E2862*G2862</f>
        <v>0.125</v>
      </c>
      <c r="P2862" s="0" t="n">
        <f aca="false">E2862*H2862</f>
        <v>-0</v>
      </c>
      <c r="Q2862" s="0" t="n">
        <f aca="false">F2862*G2862</f>
        <v>-0.5</v>
      </c>
      <c r="R2862" s="0" t="n">
        <f aca="false">F2862*H2862</f>
        <v>0</v>
      </c>
      <c r="S2862" s="0" t="n">
        <f aca="false">G2862*H2862</f>
        <v>-0</v>
      </c>
      <c r="T2862" s="0" t="n">
        <f aca="false">E2862*E2862</f>
        <v>0.0625</v>
      </c>
      <c r="U2862" s="0" t="n">
        <f aca="false">F2862*F2862</f>
        <v>1</v>
      </c>
      <c r="V2862" s="0" t="n">
        <f aca="false">G2862*G2862</f>
        <v>0.25</v>
      </c>
      <c r="W2862" s="0" t="n">
        <f aca="false">H2862*H2862</f>
        <v>0</v>
      </c>
      <c r="X2862" s="0" t="n">
        <f aca="false">SUMPRODUCT(I2862:W2862,_XtX!$B$96:$P$96)</f>
        <v>45.5760599415204</v>
      </c>
      <c r="Y2862" s="0" t="n">
        <f aca="false">SUMPRODUCT(MMULT(I2862:W2862,_XtX!$B$78:$P$92),I2862:W2862)</f>
        <v>0.457596628289474</v>
      </c>
      <c r="Z2862" s="0" t="n">
        <f aca="false">04_回帰ANOVA!$K$19*04_回帰ANOVA!$K$14*SQRT(1+Y2862)</f>
        <v>1.57368233664366</v>
      </c>
      <c r="AA2862" s="0" t="n">
        <f aca="false">X2862-Z2862</f>
        <v>44.0023776048768</v>
      </c>
      <c r="AB2862" s="0" t="n">
        <f aca="false">X2862+Z2862</f>
        <v>47.1497422781641</v>
      </c>
      <c r="AC2862" s="54" t="b">
        <f aca="false">AND(E2862&gt;=01_因子設定!$L$5-0.000000001,E2862&lt;=01_因子設定!$M$5+0.000000001,F2862&gt;=01_因子設定!$L$6-0.000000001,F2862&lt;=01_因子設定!$M$6+0.000000001,G2862&gt;=01_因子設定!$L$7-0.000000001,G2862&lt;=01_因子設定!$M$7+0.000000001,H2862&gt;=01_因子設定!$L$8-0.000000001,H2862&lt;=01_因子設定!$M$8+0.000000001,IF(01_因子設定!$B$20="Box-Behnken",E2862^2+F2862^2+G2862^2+H2862^2&lt;=2+0.000000001,TRUE()))</f>
        <v>1</v>
      </c>
      <c r="AD2862" s="55" t="n">
        <f aca="false">IF(AC2862,IF(01_因子設定!$B$13="最大化",AA2862-01_因子設定!$B$14,IF(01_因子設定!$B$13="最小化",01_因子設定!$B$15-AB2862,MIN(AA2862-01_因子設定!$B$14,01_因子設定!$B$15-AB2862))),-1E+030)</f>
        <v>-2.49762239512325</v>
      </c>
      <c r="AE2862" s="55" t="n">
        <f aca="false">IF(AC2862,IF(01_因子設定!$B$13="最大化",X2862,IF(01_因子設定!$B$13="最小化",-X2862,-ABS(X2862-01_因子設定!$B$16))),-1E+030)</f>
        <v>45.5760599415204</v>
      </c>
      <c r="AF2862" s="55" t="n">
        <f aca="false">AD2862+ROW()*0.000000001</f>
        <v>-2.49761953312325</v>
      </c>
      <c r="AG2862" s="55" t="n">
        <f aca="false">AE2862+ROW()*0.000000001</f>
        <v>45.5760628035204</v>
      </c>
    </row>
    <row r="2863" customFormat="false" ht="15" hidden="false" customHeight="false" outlineLevel="0" collapsed="false">
      <c r="A2863" s="0" t="n">
        <v>3</v>
      </c>
      <c r="B2863" s="0" t="n">
        <v>8</v>
      </c>
      <c r="C2863" s="0" t="n">
        <v>2</v>
      </c>
      <c r="D2863" s="0" t="n">
        <v>5</v>
      </c>
      <c r="E2863" s="0" t="n">
        <f aca="false">-1+A2863*0.25</f>
        <v>-0.25</v>
      </c>
      <c r="F2863" s="0" t="n">
        <f aca="false">-1+B2863*0.25</f>
        <v>1</v>
      </c>
      <c r="G2863" s="0" t="n">
        <f aca="false">-1+C2863*0.25</f>
        <v>-0.5</v>
      </c>
      <c r="H2863" s="0" t="n">
        <f aca="false">-1+D2863*0.25</f>
        <v>0.25</v>
      </c>
      <c r="I2863" s="0" t="n">
        <f aca="false">1</f>
        <v>1</v>
      </c>
      <c r="J2863" s="0" t="n">
        <f aca="false">E2863</f>
        <v>-0.25</v>
      </c>
      <c r="K2863" s="0" t="n">
        <f aca="false">F2863</f>
        <v>1</v>
      </c>
      <c r="L2863" s="0" t="n">
        <f aca="false">G2863</f>
        <v>-0.5</v>
      </c>
      <c r="M2863" s="0" t="n">
        <f aca="false">H2863</f>
        <v>0.25</v>
      </c>
      <c r="N2863" s="0" t="n">
        <f aca="false">E2863*F2863</f>
        <v>-0.25</v>
      </c>
      <c r="O2863" s="0" t="n">
        <f aca="false">E2863*G2863</f>
        <v>0.125</v>
      </c>
      <c r="P2863" s="0" t="n">
        <f aca="false">E2863*H2863</f>
        <v>-0.0625</v>
      </c>
      <c r="Q2863" s="0" t="n">
        <f aca="false">F2863*G2863</f>
        <v>-0.5</v>
      </c>
      <c r="R2863" s="0" t="n">
        <f aca="false">F2863*H2863</f>
        <v>0.25</v>
      </c>
      <c r="S2863" s="0" t="n">
        <f aca="false">G2863*H2863</f>
        <v>-0.125</v>
      </c>
      <c r="T2863" s="0" t="n">
        <f aca="false">E2863*E2863</f>
        <v>0.0625</v>
      </c>
      <c r="U2863" s="0" t="n">
        <f aca="false">F2863*F2863</f>
        <v>1</v>
      </c>
      <c r="V2863" s="0" t="n">
        <f aca="false">G2863*G2863</f>
        <v>0.25</v>
      </c>
      <c r="W2863" s="0" t="n">
        <f aca="false">H2863*H2863</f>
        <v>0.0625</v>
      </c>
      <c r="X2863" s="0" t="n">
        <f aca="false">SUMPRODUCT(I2863:W2863,_XtX!$B$96:$P$96)</f>
        <v>45.5566703216374</v>
      </c>
      <c r="Y2863" s="0" t="n">
        <f aca="false">SUMPRODUCT(MMULT(I2863:W2863,_XtX!$B$78:$P$92),I2863:W2863)</f>
        <v>0.445705123812135</v>
      </c>
      <c r="Z2863" s="0" t="n">
        <f aca="false">04_回帰ANOVA!$K$19*04_回帰ANOVA!$K$14*SQRT(1+Y2863)</f>
        <v>1.56724990734749</v>
      </c>
      <c r="AA2863" s="0" t="n">
        <f aca="false">X2863-Z2863</f>
        <v>43.9894204142899</v>
      </c>
      <c r="AB2863" s="0" t="n">
        <f aca="false">X2863+Z2863</f>
        <v>47.1239202289849</v>
      </c>
      <c r="AC2863" s="54" t="b">
        <f aca="false">AND(E2863&gt;=01_因子設定!$L$5-0.000000001,E2863&lt;=01_因子設定!$M$5+0.000000001,F2863&gt;=01_因子設定!$L$6-0.000000001,F2863&lt;=01_因子設定!$M$6+0.000000001,G2863&gt;=01_因子設定!$L$7-0.000000001,G2863&lt;=01_因子設定!$M$7+0.000000001,H2863&gt;=01_因子設定!$L$8-0.000000001,H2863&lt;=01_因子設定!$M$8+0.000000001,IF(01_因子設定!$B$20="Box-Behnken",E2863^2+F2863^2+G2863^2+H2863^2&lt;=2+0.000000001,TRUE()))</f>
        <v>1</v>
      </c>
      <c r="AD2863" s="55" t="n">
        <f aca="false">IF(AC2863,IF(01_因子設定!$B$13="最大化",AA2863-01_因子設定!$B$14,IF(01_因子設定!$B$13="最小化",01_因子設定!$B$15-AB2863,MIN(AA2863-01_因子設定!$B$14,01_因子設定!$B$15-AB2863))),-1E+030)</f>
        <v>-2.51057958571012</v>
      </c>
      <c r="AE2863" s="55" t="n">
        <f aca="false">IF(AC2863,IF(01_因子設定!$B$13="最大化",X2863,IF(01_因子設定!$B$13="最小化",-X2863,-ABS(X2863-01_因子設定!$B$16))),-1E+030)</f>
        <v>45.5566703216374</v>
      </c>
      <c r="AF2863" s="55" t="n">
        <f aca="false">AD2863+ROW()*0.000000001</f>
        <v>-2.51057672271012</v>
      </c>
      <c r="AG2863" s="55" t="n">
        <f aca="false">AE2863+ROW()*0.000000001</f>
        <v>45.5566731846374</v>
      </c>
    </row>
    <row r="2864" customFormat="false" ht="15" hidden="false" customHeight="false" outlineLevel="0" collapsed="false">
      <c r="A2864" s="0" t="n">
        <v>3</v>
      </c>
      <c r="B2864" s="0" t="n">
        <v>8</v>
      </c>
      <c r="C2864" s="0" t="n">
        <v>2</v>
      </c>
      <c r="D2864" s="0" t="n">
        <v>6</v>
      </c>
      <c r="E2864" s="0" t="n">
        <f aca="false">-1+A2864*0.25</f>
        <v>-0.25</v>
      </c>
      <c r="F2864" s="0" t="n">
        <f aca="false">-1+B2864*0.25</f>
        <v>1</v>
      </c>
      <c r="G2864" s="0" t="n">
        <f aca="false">-1+C2864*0.25</f>
        <v>-0.5</v>
      </c>
      <c r="H2864" s="0" t="n">
        <f aca="false">-1+D2864*0.25</f>
        <v>0.5</v>
      </c>
      <c r="I2864" s="0" t="n">
        <f aca="false">1</f>
        <v>1</v>
      </c>
      <c r="J2864" s="0" t="n">
        <f aca="false">E2864</f>
        <v>-0.25</v>
      </c>
      <c r="K2864" s="0" t="n">
        <f aca="false">F2864</f>
        <v>1</v>
      </c>
      <c r="L2864" s="0" t="n">
        <f aca="false">G2864</f>
        <v>-0.5</v>
      </c>
      <c r="M2864" s="0" t="n">
        <f aca="false">H2864</f>
        <v>0.5</v>
      </c>
      <c r="N2864" s="0" t="n">
        <f aca="false">E2864*F2864</f>
        <v>-0.25</v>
      </c>
      <c r="O2864" s="0" t="n">
        <f aca="false">E2864*G2864</f>
        <v>0.125</v>
      </c>
      <c r="P2864" s="0" t="n">
        <f aca="false">E2864*H2864</f>
        <v>-0.125</v>
      </c>
      <c r="Q2864" s="0" t="n">
        <f aca="false">F2864*G2864</f>
        <v>-0.5</v>
      </c>
      <c r="R2864" s="0" t="n">
        <f aca="false">F2864*H2864</f>
        <v>0.5</v>
      </c>
      <c r="S2864" s="0" t="n">
        <f aca="false">G2864*H2864</f>
        <v>-0.25</v>
      </c>
      <c r="T2864" s="0" t="n">
        <f aca="false">E2864*E2864</f>
        <v>0.0625</v>
      </c>
      <c r="U2864" s="0" t="n">
        <f aca="false">F2864*F2864</f>
        <v>1</v>
      </c>
      <c r="V2864" s="0" t="n">
        <f aca="false">G2864*G2864</f>
        <v>0.25</v>
      </c>
      <c r="W2864" s="0" t="n">
        <f aca="false">H2864*H2864</f>
        <v>0.25</v>
      </c>
      <c r="X2864" s="0" t="n">
        <f aca="false">SUMPRODUCT(I2864:W2864,_XtX!$B$96:$P$96)</f>
        <v>45.4894736842105</v>
      </c>
      <c r="Y2864" s="0" t="n">
        <f aca="false">SUMPRODUCT(MMULT(I2864:W2864,_XtX!$B$78:$P$92),I2864:W2864)</f>
        <v>0.428122715643275</v>
      </c>
      <c r="Z2864" s="0" t="n">
        <f aca="false">04_回帰ANOVA!$K$19*04_回帰ANOVA!$K$14*SQRT(1+Y2864)</f>
        <v>1.55769044623229</v>
      </c>
      <c r="AA2864" s="0" t="n">
        <f aca="false">X2864-Z2864</f>
        <v>43.9317832379782</v>
      </c>
      <c r="AB2864" s="0" t="n">
        <f aca="false">X2864+Z2864</f>
        <v>47.0471641304428</v>
      </c>
      <c r="AC2864" s="54" t="b">
        <f aca="false">AND(E2864&gt;=01_因子設定!$L$5-0.000000001,E2864&lt;=01_因子設定!$M$5+0.000000001,F2864&gt;=01_因子設定!$L$6-0.000000001,F2864&lt;=01_因子設定!$M$6+0.000000001,G2864&gt;=01_因子設定!$L$7-0.000000001,G2864&lt;=01_因子設定!$M$7+0.000000001,H2864&gt;=01_因子設定!$L$8-0.000000001,H2864&lt;=01_因子設定!$M$8+0.000000001,IF(01_因子設定!$B$20="Box-Behnken",E2864^2+F2864^2+G2864^2+H2864^2&lt;=2+0.000000001,TRUE()))</f>
        <v>1</v>
      </c>
      <c r="AD2864" s="55" t="n">
        <f aca="false">IF(AC2864,IF(01_因子設定!$B$13="最大化",AA2864-01_因子設定!$B$14,IF(01_因子設定!$B$13="最小化",01_因子設定!$B$15-AB2864,MIN(AA2864-01_因子設定!$B$14,01_因子設定!$B$15-AB2864))),-1E+030)</f>
        <v>-2.56821676202182</v>
      </c>
      <c r="AE2864" s="55" t="n">
        <f aca="false">IF(AC2864,IF(01_因子設定!$B$13="最大化",X2864,IF(01_因子設定!$B$13="最小化",-X2864,-ABS(X2864-01_因子設定!$B$16))),-1E+030)</f>
        <v>45.4894736842105</v>
      </c>
      <c r="AF2864" s="55" t="n">
        <f aca="false">AD2864+ROW()*0.000000001</f>
        <v>-2.56821389802182</v>
      </c>
      <c r="AG2864" s="55" t="n">
        <f aca="false">AE2864+ROW()*0.000000001</f>
        <v>45.4894765482105</v>
      </c>
    </row>
    <row r="2865" customFormat="false" ht="15" hidden="false" customHeight="false" outlineLevel="0" collapsed="false">
      <c r="A2865" s="0" t="n">
        <v>3</v>
      </c>
      <c r="B2865" s="0" t="n">
        <v>8</v>
      </c>
      <c r="C2865" s="0" t="n">
        <v>2</v>
      </c>
      <c r="D2865" s="0" t="n">
        <v>7</v>
      </c>
      <c r="E2865" s="0" t="n">
        <f aca="false">-1+A2865*0.25</f>
        <v>-0.25</v>
      </c>
      <c r="F2865" s="0" t="n">
        <f aca="false">-1+B2865*0.25</f>
        <v>1</v>
      </c>
      <c r="G2865" s="0" t="n">
        <f aca="false">-1+C2865*0.25</f>
        <v>-0.5</v>
      </c>
      <c r="H2865" s="0" t="n">
        <f aca="false">-1+D2865*0.25</f>
        <v>0.75</v>
      </c>
      <c r="I2865" s="0" t="n">
        <f aca="false">1</f>
        <v>1</v>
      </c>
      <c r="J2865" s="0" t="n">
        <f aca="false">E2865</f>
        <v>-0.25</v>
      </c>
      <c r="K2865" s="0" t="n">
        <f aca="false">F2865</f>
        <v>1</v>
      </c>
      <c r="L2865" s="0" t="n">
        <f aca="false">G2865</f>
        <v>-0.5</v>
      </c>
      <c r="M2865" s="0" t="n">
        <f aca="false">H2865</f>
        <v>0.75</v>
      </c>
      <c r="N2865" s="0" t="n">
        <f aca="false">E2865*F2865</f>
        <v>-0.25</v>
      </c>
      <c r="O2865" s="0" t="n">
        <f aca="false">E2865*G2865</f>
        <v>0.125</v>
      </c>
      <c r="P2865" s="0" t="n">
        <f aca="false">E2865*H2865</f>
        <v>-0.1875</v>
      </c>
      <c r="Q2865" s="0" t="n">
        <f aca="false">F2865*G2865</f>
        <v>-0.5</v>
      </c>
      <c r="R2865" s="0" t="n">
        <f aca="false">F2865*H2865</f>
        <v>0.75</v>
      </c>
      <c r="S2865" s="0" t="n">
        <f aca="false">G2865*H2865</f>
        <v>-0.375</v>
      </c>
      <c r="T2865" s="0" t="n">
        <f aca="false">E2865*E2865</f>
        <v>0.0625</v>
      </c>
      <c r="U2865" s="0" t="n">
        <f aca="false">F2865*F2865</f>
        <v>1</v>
      </c>
      <c r="V2865" s="0" t="n">
        <f aca="false">G2865*G2865</f>
        <v>0.25</v>
      </c>
      <c r="W2865" s="0" t="n">
        <f aca="false">H2865*H2865</f>
        <v>0.5625</v>
      </c>
      <c r="X2865" s="0" t="n">
        <f aca="false">SUMPRODUCT(I2865:W2865,_XtX!$B$96:$P$96)</f>
        <v>45.3744700292397</v>
      </c>
      <c r="Y2865" s="0" t="n">
        <f aca="false">SUMPRODUCT(MMULT(I2865:W2865,_XtX!$B$78:$P$92),I2865:W2865)</f>
        <v>0.459125719572369</v>
      </c>
      <c r="Z2865" s="0" t="n">
        <f aca="false">04_回帰ANOVA!$K$19*04_回帰ANOVA!$K$14*SQRT(1+Y2865)</f>
        <v>1.57450755575573</v>
      </c>
      <c r="AA2865" s="0" t="n">
        <f aca="false">X2865-Z2865</f>
        <v>43.799962473484</v>
      </c>
      <c r="AB2865" s="0" t="n">
        <f aca="false">X2865+Z2865</f>
        <v>46.9489775849955</v>
      </c>
      <c r="AC2865" s="54" t="b">
        <f aca="false">AND(E2865&gt;=01_因子設定!$L$5-0.000000001,E2865&lt;=01_因子設定!$M$5+0.000000001,F2865&gt;=01_因子設定!$L$6-0.000000001,F2865&lt;=01_因子設定!$M$6+0.000000001,G2865&gt;=01_因子設定!$L$7-0.000000001,G2865&lt;=01_因子設定!$M$7+0.000000001,H2865&gt;=01_因子設定!$L$8-0.000000001,H2865&lt;=01_因子設定!$M$8+0.000000001,IF(01_因子設定!$B$20="Box-Behnken",E2865^2+F2865^2+G2865^2+H2865^2&lt;=2+0.000000001,TRUE()))</f>
        <v>1</v>
      </c>
      <c r="AD2865" s="55" t="n">
        <f aca="false">IF(AC2865,IF(01_因子設定!$B$13="最大化",AA2865-01_因子設定!$B$14,IF(01_因子設定!$B$13="最小化",01_因子設定!$B$15-AB2865,MIN(AA2865-01_因子設定!$B$14,01_因子設定!$B$15-AB2865))),-1E+030)</f>
        <v>-2.70003752651601</v>
      </c>
      <c r="AE2865" s="55" t="n">
        <f aca="false">IF(AC2865,IF(01_因子設定!$B$13="最大化",X2865,IF(01_因子設定!$B$13="最小化",-X2865,-ABS(X2865-01_因子設定!$B$16))),-1E+030)</f>
        <v>45.3744700292397</v>
      </c>
      <c r="AF2865" s="55" t="n">
        <f aca="false">AD2865+ROW()*0.000000001</f>
        <v>-2.70003466151601</v>
      </c>
      <c r="AG2865" s="55" t="n">
        <f aca="false">AE2865+ROW()*0.000000001</f>
        <v>45.3744728942397</v>
      </c>
    </row>
    <row r="2866" customFormat="false" ht="15" hidden="false" customHeight="false" outlineLevel="0" collapsed="false">
      <c r="A2866" s="0" t="n">
        <v>3</v>
      </c>
      <c r="B2866" s="0" t="n">
        <v>8</v>
      </c>
      <c r="C2866" s="0" t="n">
        <v>2</v>
      </c>
      <c r="D2866" s="0" t="n">
        <v>8</v>
      </c>
      <c r="E2866" s="0" t="n">
        <f aca="false">-1+A2866*0.25</f>
        <v>-0.25</v>
      </c>
      <c r="F2866" s="0" t="n">
        <f aca="false">-1+B2866*0.25</f>
        <v>1</v>
      </c>
      <c r="G2866" s="0" t="n">
        <f aca="false">-1+C2866*0.25</f>
        <v>-0.5</v>
      </c>
      <c r="H2866" s="0" t="n">
        <f aca="false">-1+D2866*0.25</f>
        <v>1</v>
      </c>
      <c r="I2866" s="0" t="n">
        <f aca="false">1</f>
        <v>1</v>
      </c>
      <c r="J2866" s="0" t="n">
        <f aca="false">E2866</f>
        <v>-0.25</v>
      </c>
      <c r="K2866" s="0" t="n">
        <f aca="false">F2866</f>
        <v>1</v>
      </c>
      <c r="L2866" s="0" t="n">
        <f aca="false">G2866</f>
        <v>-0.5</v>
      </c>
      <c r="M2866" s="0" t="n">
        <f aca="false">H2866</f>
        <v>1</v>
      </c>
      <c r="N2866" s="0" t="n">
        <f aca="false">E2866*F2866</f>
        <v>-0.25</v>
      </c>
      <c r="O2866" s="0" t="n">
        <f aca="false">E2866*G2866</f>
        <v>0.125</v>
      </c>
      <c r="P2866" s="0" t="n">
        <f aca="false">E2866*H2866</f>
        <v>-0.25</v>
      </c>
      <c r="Q2866" s="0" t="n">
        <f aca="false">F2866*G2866</f>
        <v>-0.5</v>
      </c>
      <c r="R2866" s="0" t="n">
        <f aca="false">F2866*H2866</f>
        <v>1</v>
      </c>
      <c r="S2866" s="0" t="n">
        <f aca="false">G2866*H2866</f>
        <v>-0.5</v>
      </c>
      <c r="T2866" s="0" t="n">
        <f aca="false">E2866*E2866</f>
        <v>0.0625</v>
      </c>
      <c r="U2866" s="0" t="n">
        <f aca="false">F2866*F2866</f>
        <v>1</v>
      </c>
      <c r="V2866" s="0" t="n">
        <f aca="false">G2866*G2866</f>
        <v>0.25</v>
      </c>
      <c r="W2866" s="0" t="n">
        <f aca="false">H2866*H2866</f>
        <v>1</v>
      </c>
      <c r="X2866" s="0" t="n">
        <f aca="false">SUMPRODUCT(I2866:W2866,_XtX!$B$96:$P$96)</f>
        <v>45.2116593567251</v>
      </c>
      <c r="Y2866" s="0" t="n">
        <f aca="false">SUMPRODUCT(MMULT(I2866:W2866,_XtX!$B$78:$P$92),I2866:W2866)</f>
        <v>0.629174661915205</v>
      </c>
      <c r="Z2866" s="0" t="n">
        <f aca="false">04_回帰ANOVA!$K$19*04_回帰ANOVA!$K$14*SQRT(1+Y2866)</f>
        <v>1.66372758058297</v>
      </c>
      <c r="AA2866" s="0" t="n">
        <f aca="false">X2866-Z2866</f>
        <v>43.5479317761422</v>
      </c>
      <c r="AB2866" s="0" t="n">
        <f aca="false">X2866+Z2866</f>
        <v>46.8753869373081</v>
      </c>
      <c r="AC2866" s="54" t="b">
        <f aca="false">AND(E2866&gt;=01_因子設定!$L$5-0.000000001,E2866&lt;=01_因子設定!$M$5+0.000000001,F2866&gt;=01_因子設定!$L$6-0.000000001,F2866&lt;=01_因子設定!$M$6+0.000000001,G2866&gt;=01_因子設定!$L$7-0.000000001,G2866&lt;=01_因子設定!$M$7+0.000000001,H2866&gt;=01_因子設定!$L$8-0.000000001,H2866&lt;=01_因子設定!$M$8+0.000000001,IF(01_因子設定!$B$20="Box-Behnken",E2866^2+F2866^2+G2866^2+H2866^2&lt;=2+0.000000001,TRUE()))</f>
        <v>1</v>
      </c>
      <c r="AD2866" s="55" t="n">
        <f aca="false">IF(AC2866,IF(01_因子設定!$B$13="最大化",AA2866-01_因子設定!$B$14,IF(01_因子設定!$B$13="最小化",01_因子設定!$B$15-AB2866,MIN(AA2866-01_因子設定!$B$14,01_因子設定!$B$15-AB2866))),-1E+030)</f>
        <v>-2.95206822385785</v>
      </c>
      <c r="AE2866" s="55" t="n">
        <f aca="false">IF(AC2866,IF(01_因子設定!$B$13="最大化",X2866,IF(01_因子設定!$B$13="最小化",-X2866,-ABS(X2866-01_因子設定!$B$16))),-1E+030)</f>
        <v>45.2116593567251</v>
      </c>
      <c r="AF2866" s="55" t="n">
        <f aca="false">AD2866+ROW()*0.000000001</f>
        <v>-2.95206535785785</v>
      </c>
      <c r="AG2866" s="55" t="n">
        <f aca="false">AE2866+ROW()*0.000000001</f>
        <v>45.2116622227251</v>
      </c>
    </row>
    <row r="2867" customFormat="false" ht="15" hidden="false" customHeight="false" outlineLevel="0" collapsed="false">
      <c r="A2867" s="0" t="n">
        <v>3</v>
      </c>
      <c r="B2867" s="0" t="n">
        <v>8</v>
      </c>
      <c r="C2867" s="0" t="n">
        <v>3</v>
      </c>
      <c r="D2867" s="0" t="n">
        <v>0</v>
      </c>
      <c r="E2867" s="0" t="n">
        <f aca="false">-1+A2867*0.25</f>
        <v>-0.25</v>
      </c>
      <c r="F2867" s="0" t="n">
        <f aca="false">-1+B2867*0.25</f>
        <v>1</v>
      </c>
      <c r="G2867" s="0" t="n">
        <f aca="false">-1+C2867*0.25</f>
        <v>-0.25</v>
      </c>
      <c r="H2867" s="0" t="n">
        <f aca="false">-1+D2867*0.25</f>
        <v>-1</v>
      </c>
      <c r="I2867" s="0" t="n">
        <f aca="false">1</f>
        <v>1</v>
      </c>
      <c r="J2867" s="0" t="n">
        <f aca="false">E2867</f>
        <v>-0.25</v>
      </c>
      <c r="K2867" s="0" t="n">
        <f aca="false">F2867</f>
        <v>1</v>
      </c>
      <c r="L2867" s="0" t="n">
        <f aca="false">G2867</f>
        <v>-0.25</v>
      </c>
      <c r="M2867" s="0" t="n">
        <f aca="false">H2867</f>
        <v>-1</v>
      </c>
      <c r="N2867" s="0" t="n">
        <f aca="false">E2867*F2867</f>
        <v>-0.25</v>
      </c>
      <c r="O2867" s="0" t="n">
        <f aca="false">E2867*G2867</f>
        <v>0.0625</v>
      </c>
      <c r="P2867" s="0" t="n">
        <f aca="false">E2867*H2867</f>
        <v>0.25</v>
      </c>
      <c r="Q2867" s="0" t="n">
        <f aca="false">F2867*G2867</f>
        <v>-0.25</v>
      </c>
      <c r="R2867" s="0" t="n">
        <f aca="false">F2867*H2867</f>
        <v>-1</v>
      </c>
      <c r="S2867" s="0" t="n">
        <f aca="false">G2867*H2867</f>
        <v>0.25</v>
      </c>
      <c r="T2867" s="0" t="n">
        <f aca="false">E2867*E2867</f>
        <v>0.0625</v>
      </c>
      <c r="U2867" s="0" t="n">
        <f aca="false">F2867*F2867</f>
        <v>1</v>
      </c>
      <c r="V2867" s="0" t="n">
        <f aca="false">G2867*G2867</f>
        <v>0.0625</v>
      </c>
      <c r="W2867" s="0" t="n">
        <f aca="false">H2867*H2867</f>
        <v>1</v>
      </c>
      <c r="X2867" s="0" t="n">
        <f aca="false">SUMPRODUCT(I2867:W2867,_XtX!$B$96:$P$96)</f>
        <v>45.5962171052631</v>
      </c>
      <c r="Y2867" s="0" t="n">
        <f aca="false">SUMPRODUCT(MMULT(I2867:W2867,_XtX!$B$78:$P$92),I2867:W2867)</f>
        <v>0.670040376005117</v>
      </c>
      <c r="Z2867" s="0" t="n">
        <f aca="false">04_回帰ANOVA!$K$19*04_回帰ANOVA!$K$14*SQRT(1+Y2867)</f>
        <v>1.68446456039992</v>
      </c>
      <c r="AA2867" s="0" t="n">
        <f aca="false">X2867-Z2867</f>
        <v>43.9117525448632</v>
      </c>
      <c r="AB2867" s="0" t="n">
        <f aca="false">X2867+Z2867</f>
        <v>47.2806816656631</v>
      </c>
      <c r="AC2867" s="54" t="b">
        <f aca="false">AND(E2867&gt;=01_因子設定!$L$5-0.000000001,E2867&lt;=01_因子設定!$M$5+0.000000001,F2867&gt;=01_因子設定!$L$6-0.000000001,F2867&lt;=01_因子設定!$M$6+0.000000001,G2867&gt;=01_因子設定!$L$7-0.000000001,G2867&lt;=01_因子設定!$M$7+0.000000001,H2867&gt;=01_因子設定!$L$8-0.000000001,H2867&lt;=01_因子設定!$M$8+0.000000001,IF(01_因子設定!$B$20="Box-Behnken",E2867^2+F2867^2+G2867^2+H2867^2&lt;=2+0.000000001,TRUE()))</f>
        <v>1</v>
      </c>
      <c r="AD2867" s="55" t="n">
        <f aca="false">IF(AC2867,IF(01_因子設定!$B$13="最大化",AA2867-01_因子設定!$B$14,IF(01_因子設定!$B$13="最小化",01_因子設定!$B$15-AB2867,MIN(AA2867-01_因子設定!$B$14,01_因子設定!$B$15-AB2867))),-1E+030)</f>
        <v>-2.58824745513678</v>
      </c>
      <c r="AE2867" s="55" t="n">
        <f aca="false">IF(AC2867,IF(01_因子設定!$B$13="最大化",X2867,IF(01_因子設定!$B$13="最小化",-X2867,-ABS(X2867-01_因子設定!$B$16))),-1E+030)</f>
        <v>45.5962171052631</v>
      </c>
      <c r="AF2867" s="55" t="n">
        <f aca="false">AD2867+ROW()*0.000000001</f>
        <v>-2.58824458813678</v>
      </c>
      <c r="AG2867" s="55" t="n">
        <f aca="false">AE2867+ROW()*0.000000001</f>
        <v>45.5962199722631</v>
      </c>
    </row>
    <row r="2868" customFormat="false" ht="15" hidden="false" customHeight="false" outlineLevel="0" collapsed="false">
      <c r="A2868" s="0" t="n">
        <v>3</v>
      </c>
      <c r="B2868" s="0" t="n">
        <v>8</v>
      </c>
      <c r="C2868" s="0" t="n">
        <v>3</v>
      </c>
      <c r="D2868" s="0" t="n">
        <v>1</v>
      </c>
      <c r="E2868" s="0" t="n">
        <f aca="false">-1+A2868*0.25</f>
        <v>-0.25</v>
      </c>
      <c r="F2868" s="0" t="n">
        <f aca="false">-1+B2868*0.25</f>
        <v>1</v>
      </c>
      <c r="G2868" s="0" t="n">
        <f aca="false">-1+C2868*0.25</f>
        <v>-0.25</v>
      </c>
      <c r="H2868" s="0" t="n">
        <f aca="false">-1+D2868*0.25</f>
        <v>-0.75</v>
      </c>
      <c r="I2868" s="0" t="n">
        <f aca="false">1</f>
        <v>1</v>
      </c>
      <c r="J2868" s="0" t="n">
        <f aca="false">E2868</f>
        <v>-0.25</v>
      </c>
      <c r="K2868" s="0" t="n">
        <f aca="false">F2868</f>
        <v>1</v>
      </c>
      <c r="L2868" s="0" t="n">
        <f aca="false">G2868</f>
        <v>-0.25</v>
      </c>
      <c r="M2868" s="0" t="n">
        <f aca="false">H2868</f>
        <v>-0.75</v>
      </c>
      <c r="N2868" s="0" t="n">
        <f aca="false">E2868*F2868</f>
        <v>-0.25</v>
      </c>
      <c r="O2868" s="0" t="n">
        <f aca="false">E2868*G2868</f>
        <v>0.0625</v>
      </c>
      <c r="P2868" s="0" t="n">
        <f aca="false">E2868*H2868</f>
        <v>0.1875</v>
      </c>
      <c r="Q2868" s="0" t="n">
        <f aca="false">F2868*G2868</f>
        <v>-0.25</v>
      </c>
      <c r="R2868" s="0" t="n">
        <f aca="false">F2868*H2868</f>
        <v>-0.75</v>
      </c>
      <c r="S2868" s="0" t="n">
        <f aca="false">G2868*H2868</f>
        <v>0.1875</v>
      </c>
      <c r="T2868" s="0" t="n">
        <f aca="false">E2868*E2868</f>
        <v>0.0625</v>
      </c>
      <c r="U2868" s="0" t="n">
        <f aca="false">F2868*F2868</f>
        <v>1</v>
      </c>
      <c r="V2868" s="0" t="n">
        <f aca="false">G2868*G2868</f>
        <v>0.0625</v>
      </c>
      <c r="W2868" s="0" t="n">
        <f aca="false">H2868*H2868</f>
        <v>0.5625</v>
      </c>
      <c r="X2868" s="0" t="n">
        <f aca="false">SUMPRODUCT(I2868:W2868,_XtX!$B$96:$P$96)</f>
        <v>45.7860243055555</v>
      </c>
      <c r="Y2868" s="0" t="n">
        <f aca="false">SUMPRODUCT(MMULT(I2868:W2868,_XtX!$B$78:$P$92),I2868:W2868)</f>
        <v>0.486409505208334</v>
      </c>
      <c r="Z2868" s="0" t="n">
        <f aca="false">04_回帰ANOVA!$K$19*04_回帰ANOVA!$K$14*SQRT(1+Y2868)</f>
        <v>1.58916001665498</v>
      </c>
      <c r="AA2868" s="0" t="n">
        <f aca="false">X2868-Z2868</f>
        <v>44.1968642889005</v>
      </c>
      <c r="AB2868" s="0" t="n">
        <f aca="false">X2868+Z2868</f>
        <v>47.3751843222105</v>
      </c>
      <c r="AC2868" s="54" t="b">
        <f aca="false">AND(E2868&gt;=01_因子設定!$L$5-0.000000001,E2868&lt;=01_因子設定!$M$5+0.000000001,F2868&gt;=01_因子設定!$L$6-0.000000001,F2868&lt;=01_因子設定!$M$6+0.000000001,G2868&gt;=01_因子設定!$L$7-0.000000001,G2868&lt;=01_因子設定!$M$7+0.000000001,H2868&gt;=01_因子設定!$L$8-0.000000001,H2868&lt;=01_因子設定!$M$8+0.000000001,IF(01_因子設定!$B$20="Box-Behnken",E2868^2+F2868^2+G2868^2+H2868^2&lt;=2+0.000000001,TRUE()))</f>
        <v>1</v>
      </c>
      <c r="AD2868" s="55" t="n">
        <f aca="false">IF(AC2868,IF(01_因子設定!$B$13="最大化",AA2868-01_因子設定!$B$14,IF(01_因子設定!$B$13="最小化",01_因子設定!$B$15-AB2868,MIN(AA2868-01_因子設定!$B$14,01_因子設定!$B$15-AB2868))),-1E+030)</f>
        <v>-2.30313571109947</v>
      </c>
      <c r="AE2868" s="55" t="n">
        <f aca="false">IF(AC2868,IF(01_因子設定!$B$13="最大化",X2868,IF(01_因子設定!$B$13="最小化",-X2868,-ABS(X2868-01_因子設定!$B$16))),-1E+030)</f>
        <v>45.7860243055555</v>
      </c>
      <c r="AF2868" s="55" t="n">
        <f aca="false">AD2868+ROW()*0.000000001</f>
        <v>-2.30313284309946</v>
      </c>
      <c r="AG2868" s="55" t="n">
        <f aca="false">AE2868+ROW()*0.000000001</f>
        <v>45.7860271735555</v>
      </c>
    </row>
    <row r="2869" customFormat="false" ht="15" hidden="false" customHeight="false" outlineLevel="0" collapsed="false">
      <c r="A2869" s="0" t="n">
        <v>3</v>
      </c>
      <c r="B2869" s="0" t="n">
        <v>8</v>
      </c>
      <c r="C2869" s="0" t="n">
        <v>3</v>
      </c>
      <c r="D2869" s="0" t="n">
        <v>2</v>
      </c>
      <c r="E2869" s="0" t="n">
        <f aca="false">-1+A2869*0.25</f>
        <v>-0.25</v>
      </c>
      <c r="F2869" s="0" t="n">
        <f aca="false">-1+B2869*0.25</f>
        <v>1</v>
      </c>
      <c r="G2869" s="0" t="n">
        <f aca="false">-1+C2869*0.25</f>
        <v>-0.25</v>
      </c>
      <c r="H2869" s="0" t="n">
        <f aca="false">-1+D2869*0.25</f>
        <v>-0.5</v>
      </c>
      <c r="I2869" s="0" t="n">
        <f aca="false">1</f>
        <v>1</v>
      </c>
      <c r="J2869" s="0" t="n">
        <f aca="false">E2869</f>
        <v>-0.25</v>
      </c>
      <c r="K2869" s="0" t="n">
        <f aca="false">F2869</f>
        <v>1</v>
      </c>
      <c r="L2869" s="0" t="n">
        <f aca="false">G2869</f>
        <v>-0.25</v>
      </c>
      <c r="M2869" s="0" t="n">
        <f aca="false">H2869</f>
        <v>-0.5</v>
      </c>
      <c r="N2869" s="0" t="n">
        <f aca="false">E2869*F2869</f>
        <v>-0.25</v>
      </c>
      <c r="O2869" s="0" t="n">
        <f aca="false">E2869*G2869</f>
        <v>0.0625</v>
      </c>
      <c r="P2869" s="0" t="n">
        <f aca="false">E2869*H2869</f>
        <v>0.125</v>
      </c>
      <c r="Q2869" s="0" t="n">
        <f aca="false">F2869*G2869</f>
        <v>-0.25</v>
      </c>
      <c r="R2869" s="0" t="n">
        <f aca="false">F2869*H2869</f>
        <v>-0.5</v>
      </c>
      <c r="S2869" s="0" t="n">
        <f aca="false">G2869*H2869</f>
        <v>0.125</v>
      </c>
      <c r="T2869" s="0" t="n">
        <f aca="false">E2869*E2869</f>
        <v>0.0625</v>
      </c>
      <c r="U2869" s="0" t="n">
        <f aca="false">F2869*F2869</f>
        <v>1</v>
      </c>
      <c r="V2869" s="0" t="n">
        <f aca="false">G2869*G2869</f>
        <v>0.0625</v>
      </c>
      <c r="W2869" s="0" t="n">
        <f aca="false">H2869*H2869</f>
        <v>0.25</v>
      </c>
      <c r="X2869" s="0" t="n">
        <f aca="false">SUMPRODUCT(I2869:W2869,_XtX!$B$96:$P$96)</f>
        <v>45.928024488304</v>
      </c>
      <c r="Y2869" s="0" t="n">
        <f aca="false">SUMPRODUCT(MMULT(I2869:W2869,_XtX!$B$78:$P$92),I2869:W2869)</f>
        <v>0.445705123812135</v>
      </c>
      <c r="Z2869" s="0" t="n">
        <f aca="false">04_回帰ANOVA!$K$19*04_回帰ANOVA!$K$14*SQRT(1+Y2869)</f>
        <v>1.56724990734749</v>
      </c>
      <c r="AA2869" s="0" t="n">
        <f aca="false">X2869-Z2869</f>
        <v>44.3607745809566</v>
      </c>
      <c r="AB2869" s="0" t="n">
        <f aca="false">X2869+Z2869</f>
        <v>47.4952743956515</v>
      </c>
      <c r="AC2869" s="54" t="b">
        <f aca="false">AND(E2869&gt;=01_因子設定!$L$5-0.000000001,E2869&lt;=01_因子設定!$M$5+0.000000001,F2869&gt;=01_因子設定!$L$6-0.000000001,F2869&lt;=01_因子設定!$M$6+0.000000001,G2869&gt;=01_因子設定!$L$7-0.000000001,G2869&lt;=01_因子設定!$M$7+0.000000001,H2869&gt;=01_因子設定!$L$8-0.000000001,H2869&lt;=01_因子設定!$M$8+0.000000001,IF(01_因子設定!$B$20="Box-Behnken",E2869^2+F2869^2+G2869^2+H2869^2&lt;=2+0.000000001,TRUE()))</f>
        <v>1</v>
      </c>
      <c r="AD2869" s="55" t="n">
        <f aca="false">IF(AC2869,IF(01_因子設定!$B$13="最大化",AA2869-01_因子設定!$B$14,IF(01_因子設定!$B$13="最小化",01_因子設定!$B$15-AB2869,MIN(AA2869-01_因子設定!$B$14,01_因子設定!$B$15-AB2869))),-1E+030)</f>
        <v>-2.13922541904345</v>
      </c>
      <c r="AE2869" s="55" t="n">
        <f aca="false">IF(AC2869,IF(01_因子設定!$B$13="最大化",X2869,IF(01_因子設定!$B$13="最小化",-X2869,-ABS(X2869-01_因子設定!$B$16))),-1E+030)</f>
        <v>45.928024488304</v>
      </c>
      <c r="AF2869" s="55" t="n">
        <f aca="false">AD2869+ROW()*0.000000001</f>
        <v>-2.13922255004345</v>
      </c>
      <c r="AG2869" s="55" t="n">
        <f aca="false">AE2869+ROW()*0.000000001</f>
        <v>45.928027357304</v>
      </c>
    </row>
    <row r="2870" customFormat="false" ht="15" hidden="false" customHeight="false" outlineLevel="0" collapsed="false">
      <c r="A2870" s="0" t="n">
        <v>3</v>
      </c>
      <c r="B2870" s="0" t="n">
        <v>8</v>
      </c>
      <c r="C2870" s="0" t="n">
        <v>3</v>
      </c>
      <c r="D2870" s="0" t="n">
        <v>3</v>
      </c>
      <c r="E2870" s="0" t="n">
        <f aca="false">-1+A2870*0.25</f>
        <v>-0.25</v>
      </c>
      <c r="F2870" s="0" t="n">
        <f aca="false">-1+B2870*0.25</f>
        <v>1</v>
      </c>
      <c r="G2870" s="0" t="n">
        <f aca="false">-1+C2870*0.25</f>
        <v>-0.25</v>
      </c>
      <c r="H2870" s="0" t="n">
        <f aca="false">-1+D2870*0.25</f>
        <v>-0.25</v>
      </c>
      <c r="I2870" s="0" t="n">
        <f aca="false">1</f>
        <v>1</v>
      </c>
      <c r="J2870" s="0" t="n">
        <f aca="false">E2870</f>
        <v>-0.25</v>
      </c>
      <c r="K2870" s="0" t="n">
        <f aca="false">F2870</f>
        <v>1</v>
      </c>
      <c r="L2870" s="0" t="n">
        <f aca="false">G2870</f>
        <v>-0.25</v>
      </c>
      <c r="M2870" s="0" t="n">
        <f aca="false">H2870</f>
        <v>-0.25</v>
      </c>
      <c r="N2870" s="0" t="n">
        <f aca="false">E2870*F2870</f>
        <v>-0.25</v>
      </c>
      <c r="O2870" s="0" t="n">
        <f aca="false">E2870*G2870</f>
        <v>0.0625</v>
      </c>
      <c r="P2870" s="0" t="n">
        <f aca="false">E2870*H2870</f>
        <v>0.0625</v>
      </c>
      <c r="Q2870" s="0" t="n">
        <f aca="false">F2870*G2870</f>
        <v>-0.25</v>
      </c>
      <c r="R2870" s="0" t="n">
        <f aca="false">F2870*H2870</f>
        <v>-0.25</v>
      </c>
      <c r="S2870" s="0" t="n">
        <f aca="false">G2870*H2870</f>
        <v>0.0625</v>
      </c>
      <c r="T2870" s="0" t="n">
        <f aca="false">E2870*E2870</f>
        <v>0.0625</v>
      </c>
      <c r="U2870" s="0" t="n">
        <f aca="false">F2870*F2870</f>
        <v>1</v>
      </c>
      <c r="V2870" s="0" t="n">
        <f aca="false">G2870*G2870</f>
        <v>0.0625</v>
      </c>
      <c r="W2870" s="0" t="n">
        <f aca="false">H2870*H2870</f>
        <v>0.0625</v>
      </c>
      <c r="X2870" s="0" t="n">
        <f aca="false">SUMPRODUCT(I2870:W2870,_XtX!$B$96:$P$96)</f>
        <v>46.0222176535087</v>
      </c>
      <c r="Y2870" s="0" t="n">
        <f aca="false">SUMPRODUCT(MMULT(I2870:W2870,_XtX!$B$78:$P$92),I2870:W2870)</f>
        <v>0.457466705500731</v>
      </c>
      <c r="Z2870" s="0" t="n">
        <f aca="false">04_回帰ANOVA!$K$19*04_回帰ANOVA!$K$14*SQRT(1+Y2870)</f>
        <v>1.57361220003999</v>
      </c>
      <c r="AA2870" s="0" t="n">
        <f aca="false">X2870-Z2870</f>
        <v>44.4486054534687</v>
      </c>
      <c r="AB2870" s="0" t="n">
        <f aca="false">X2870+Z2870</f>
        <v>47.5958298535487</v>
      </c>
      <c r="AC2870" s="54" t="b">
        <f aca="false">AND(E2870&gt;=01_因子設定!$L$5-0.000000001,E2870&lt;=01_因子設定!$M$5+0.000000001,F2870&gt;=01_因子設定!$L$6-0.000000001,F2870&lt;=01_因子設定!$M$6+0.000000001,G2870&gt;=01_因子設定!$L$7-0.000000001,G2870&lt;=01_因子設定!$M$7+0.000000001,H2870&gt;=01_因子設定!$L$8-0.000000001,H2870&lt;=01_因子設定!$M$8+0.000000001,IF(01_因子設定!$B$20="Box-Behnken",E2870^2+F2870^2+G2870^2+H2870^2&lt;=2+0.000000001,TRUE()))</f>
        <v>1</v>
      </c>
      <c r="AD2870" s="55" t="n">
        <f aca="false">IF(AC2870,IF(01_因子設定!$B$13="最大化",AA2870-01_因子設定!$B$14,IF(01_因子設定!$B$13="最小化",01_因子設定!$B$15-AB2870,MIN(AA2870-01_因子設定!$B$14,01_因子設定!$B$15-AB2870))),-1E+030)</f>
        <v>-2.05139454653128</v>
      </c>
      <c r="AE2870" s="55" t="n">
        <f aca="false">IF(AC2870,IF(01_因子設定!$B$13="最大化",X2870,IF(01_因子設定!$B$13="最小化",-X2870,-ABS(X2870-01_因子設定!$B$16))),-1E+030)</f>
        <v>46.0222176535087</v>
      </c>
      <c r="AF2870" s="55" t="n">
        <f aca="false">AD2870+ROW()*0.000000001</f>
        <v>-2.05139167653128</v>
      </c>
      <c r="AG2870" s="55" t="n">
        <f aca="false">AE2870+ROW()*0.000000001</f>
        <v>46.0222205235087</v>
      </c>
    </row>
    <row r="2871" customFormat="false" ht="15" hidden="false" customHeight="false" outlineLevel="0" collapsed="false">
      <c r="A2871" s="0" t="n">
        <v>3</v>
      </c>
      <c r="B2871" s="0" t="n">
        <v>8</v>
      </c>
      <c r="C2871" s="0" t="n">
        <v>3</v>
      </c>
      <c r="D2871" s="0" t="n">
        <v>4</v>
      </c>
      <c r="E2871" s="0" t="n">
        <f aca="false">-1+A2871*0.25</f>
        <v>-0.25</v>
      </c>
      <c r="F2871" s="0" t="n">
        <f aca="false">-1+B2871*0.25</f>
        <v>1</v>
      </c>
      <c r="G2871" s="0" t="n">
        <f aca="false">-1+C2871*0.25</f>
        <v>-0.25</v>
      </c>
      <c r="H2871" s="0" t="n">
        <f aca="false">-1+D2871*0.25</f>
        <v>0</v>
      </c>
      <c r="I2871" s="0" t="n">
        <f aca="false">1</f>
        <v>1</v>
      </c>
      <c r="J2871" s="0" t="n">
        <f aca="false">E2871</f>
        <v>-0.25</v>
      </c>
      <c r="K2871" s="0" t="n">
        <f aca="false">F2871</f>
        <v>1</v>
      </c>
      <c r="L2871" s="0" t="n">
        <f aca="false">G2871</f>
        <v>-0.25</v>
      </c>
      <c r="M2871" s="0" t="n">
        <f aca="false">H2871</f>
        <v>0</v>
      </c>
      <c r="N2871" s="0" t="n">
        <f aca="false">E2871*F2871</f>
        <v>-0.25</v>
      </c>
      <c r="O2871" s="0" t="n">
        <f aca="false">E2871*G2871</f>
        <v>0.0625</v>
      </c>
      <c r="P2871" s="0" t="n">
        <f aca="false">E2871*H2871</f>
        <v>-0</v>
      </c>
      <c r="Q2871" s="0" t="n">
        <f aca="false">F2871*G2871</f>
        <v>-0.25</v>
      </c>
      <c r="R2871" s="0" t="n">
        <f aca="false">F2871*H2871</f>
        <v>0</v>
      </c>
      <c r="S2871" s="0" t="n">
        <f aca="false">G2871*H2871</f>
        <v>-0</v>
      </c>
      <c r="T2871" s="0" t="n">
        <f aca="false">E2871*E2871</f>
        <v>0.0625</v>
      </c>
      <c r="U2871" s="0" t="n">
        <f aca="false">F2871*F2871</f>
        <v>1</v>
      </c>
      <c r="V2871" s="0" t="n">
        <f aca="false">G2871*G2871</f>
        <v>0.0625</v>
      </c>
      <c r="W2871" s="0" t="n">
        <f aca="false">H2871*H2871</f>
        <v>0</v>
      </c>
      <c r="X2871" s="0" t="n">
        <f aca="false">SUMPRODUCT(I2871:W2871,_XtX!$B$96:$P$96)</f>
        <v>46.0686038011695</v>
      </c>
      <c r="Y2871" s="0" t="n">
        <f aca="false">SUMPRODUCT(MMULT(I2871:W2871,_XtX!$B$78:$P$92),I2871:W2871)</f>
        <v>0.467417934484649</v>
      </c>
      <c r="Z2871" s="0" t="n">
        <f aca="false">04_回帰ANOVA!$K$19*04_回帰ANOVA!$K$14*SQRT(1+Y2871)</f>
        <v>1.57897518244497</v>
      </c>
      <c r="AA2871" s="0" t="n">
        <f aca="false">X2871-Z2871</f>
        <v>44.4896286187246</v>
      </c>
      <c r="AB2871" s="0" t="n">
        <f aca="false">X2871+Z2871</f>
        <v>47.6475789836145</v>
      </c>
      <c r="AC2871" s="54" t="b">
        <f aca="false">AND(E2871&gt;=01_因子設定!$L$5-0.000000001,E2871&lt;=01_因子設定!$M$5+0.000000001,F2871&gt;=01_因子設定!$L$6-0.000000001,F2871&lt;=01_因子設定!$M$6+0.000000001,G2871&gt;=01_因子設定!$L$7-0.000000001,G2871&lt;=01_因子設定!$M$7+0.000000001,H2871&gt;=01_因子設定!$L$8-0.000000001,H2871&lt;=01_因子設定!$M$8+0.000000001,IF(01_因子設定!$B$20="Box-Behnken",E2871^2+F2871^2+G2871^2+H2871^2&lt;=2+0.000000001,TRUE()))</f>
        <v>1</v>
      </c>
      <c r="AD2871" s="55" t="n">
        <f aca="false">IF(AC2871,IF(01_因子設定!$B$13="最大化",AA2871-01_因子設定!$B$14,IF(01_因子設定!$B$13="最小化",01_因子設定!$B$15-AB2871,MIN(AA2871-01_因子設定!$B$14,01_因子設定!$B$15-AB2871))),-1E+030)</f>
        <v>-2.01037138127544</v>
      </c>
      <c r="AE2871" s="55" t="n">
        <f aca="false">IF(AC2871,IF(01_因子設定!$B$13="最大化",X2871,IF(01_因子設定!$B$13="最小化",-X2871,-ABS(X2871-01_因子設定!$B$16))),-1E+030)</f>
        <v>46.0686038011695</v>
      </c>
      <c r="AF2871" s="55" t="n">
        <f aca="false">AD2871+ROW()*0.000000001</f>
        <v>-2.01036851027544</v>
      </c>
      <c r="AG2871" s="55" t="n">
        <f aca="false">AE2871+ROW()*0.000000001</f>
        <v>46.0686066721695</v>
      </c>
    </row>
    <row r="2872" customFormat="false" ht="15" hidden="false" customHeight="false" outlineLevel="0" collapsed="false">
      <c r="A2872" s="0" t="n">
        <v>3</v>
      </c>
      <c r="B2872" s="0" t="n">
        <v>8</v>
      </c>
      <c r="C2872" s="0" t="n">
        <v>3</v>
      </c>
      <c r="D2872" s="0" t="n">
        <v>5</v>
      </c>
      <c r="E2872" s="0" t="n">
        <f aca="false">-1+A2872*0.25</f>
        <v>-0.25</v>
      </c>
      <c r="F2872" s="0" t="n">
        <f aca="false">-1+B2872*0.25</f>
        <v>1</v>
      </c>
      <c r="G2872" s="0" t="n">
        <f aca="false">-1+C2872*0.25</f>
        <v>-0.25</v>
      </c>
      <c r="H2872" s="0" t="n">
        <f aca="false">-1+D2872*0.25</f>
        <v>0.25</v>
      </c>
      <c r="I2872" s="0" t="n">
        <f aca="false">1</f>
        <v>1</v>
      </c>
      <c r="J2872" s="0" t="n">
        <f aca="false">E2872</f>
        <v>-0.25</v>
      </c>
      <c r="K2872" s="0" t="n">
        <f aca="false">F2872</f>
        <v>1</v>
      </c>
      <c r="L2872" s="0" t="n">
        <f aca="false">G2872</f>
        <v>-0.25</v>
      </c>
      <c r="M2872" s="0" t="n">
        <f aca="false">H2872</f>
        <v>0.25</v>
      </c>
      <c r="N2872" s="0" t="n">
        <f aca="false">E2872*F2872</f>
        <v>-0.25</v>
      </c>
      <c r="O2872" s="0" t="n">
        <f aca="false">E2872*G2872</f>
        <v>0.0625</v>
      </c>
      <c r="P2872" s="0" t="n">
        <f aca="false">E2872*H2872</f>
        <v>-0.0625</v>
      </c>
      <c r="Q2872" s="0" t="n">
        <f aca="false">F2872*G2872</f>
        <v>-0.25</v>
      </c>
      <c r="R2872" s="0" t="n">
        <f aca="false">F2872*H2872</f>
        <v>0.25</v>
      </c>
      <c r="S2872" s="0" t="n">
        <f aca="false">G2872*H2872</f>
        <v>-0.0625</v>
      </c>
      <c r="T2872" s="0" t="n">
        <f aca="false">E2872*E2872</f>
        <v>0.0625</v>
      </c>
      <c r="U2872" s="0" t="n">
        <f aca="false">F2872*F2872</f>
        <v>1</v>
      </c>
      <c r="V2872" s="0" t="n">
        <f aca="false">G2872*G2872</f>
        <v>0.0625</v>
      </c>
      <c r="W2872" s="0" t="n">
        <f aca="false">H2872*H2872</f>
        <v>0.0625</v>
      </c>
      <c r="X2872" s="0" t="n">
        <f aca="false">SUMPRODUCT(I2872:W2872,_XtX!$B$96:$P$96)</f>
        <v>46.0671829312865</v>
      </c>
      <c r="Y2872" s="0" t="n">
        <f aca="false">SUMPRODUCT(MMULT(I2872:W2872,_XtX!$B$78:$P$92),I2872:W2872)</f>
        <v>0.457466705500731</v>
      </c>
      <c r="Z2872" s="0" t="n">
        <f aca="false">04_回帰ANOVA!$K$19*04_回帰ANOVA!$K$14*SQRT(1+Y2872)</f>
        <v>1.57361220003999</v>
      </c>
      <c r="AA2872" s="0" t="n">
        <f aca="false">X2872-Z2872</f>
        <v>44.4935707312465</v>
      </c>
      <c r="AB2872" s="0" t="n">
        <f aca="false">X2872+Z2872</f>
        <v>47.6407951313265</v>
      </c>
      <c r="AC2872" s="54" t="b">
        <f aca="false">AND(E2872&gt;=01_因子設定!$L$5-0.000000001,E2872&lt;=01_因子設定!$M$5+0.000000001,F2872&gt;=01_因子設定!$L$6-0.000000001,F2872&lt;=01_因子設定!$M$6+0.000000001,G2872&gt;=01_因子設定!$L$7-0.000000001,G2872&lt;=01_因子設定!$M$7+0.000000001,H2872&gt;=01_因子設定!$L$8-0.000000001,H2872&lt;=01_因子設定!$M$8+0.000000001,IF(01_因子設定!$B$20="Box-Behnken",E2872^2+F2872^2+G2872^2+H2872^2&lt;=2+0.000000001,TRUE()))</f>
        <v>1</v>
      </c>
      <c r="AD2872" s="55" t="n">
        <f aca="false">IF(AC2872,IF(01_因子設定!$B$13="最大化",AA2872-01_因子設定!$B$14,IF(01_因子設定!$B$13="最小化",01_因子設定!$B$15-AB2872,MIN(AA2872-01_因子設定!$B$14,01_因子設定!$B$15-AB2872))),-1E+030)</f>
        <v>-2.00642926875351</v>
      </c>
      <c r="AE2872" s="55" t="n">
        <f aca="false">IF(AC2872,IF(01_因子設定!$B$13="最大化",X2872,IF(01_因子設定!$B$13="最小化",-X2872,-ABS(X2872-01_因子設定!$B$16))),-1E+030)</f>
        <v>46.0671829312865</v>
      </c>
      <c r="AF2872" s="55" t="n">
        <f aca="false">AD2872+ROW()*0.000000001</f>
        <v>-2.00642639675351</v>
      </c>
      <c r="AG2872" s="55" t="n">
        <f aca="false">AE2872+ROW()*0.000000001</f>
        <v>46.0671858032865</v>
      </c>
    </row>
    <row r="2873" customFormat="false" ht="15" hidden="false" customHeight="false" outlineLevel="0" collapsed="false">
      <c r="A2873" s="0" t="n">
        <v>3</v>
      </c>
      <c r="B2873" s="0" t="n">
        <v>8</v>
      </c>
      <c r="C2873" s="0" t="n">
        <v>3</v>
      </c>
      <c r="D2873" s="0" t="n">
        <v>6</v>
      </c>
      <c r="E2873" s="0" t="n">
        <f aca="false">-1+A2873*0.25</f>
        <v>-0.25</v>
      </c>
      <c r="F2873" s="0" t="n">
        <f aca="false">-1+B2873*0.25</f>
        <v>1</v>
      </c>
      <c r="G2873" s="0" t="n">
        <f aca="false">-1+C2873*0.25</f>
        <v>-0.25</v>
      </c>
      <c r="H2873" s="0" t="n">
        <f aca="false">-1+D2873*0.25</f>
        <v>0.5</v>
      </c>
      <c r="I2873" s="0" t="n">
        <f aca="false">1</f>
        <v>1</v>
      </c>
      <c r="J2873" s="0" t="n">
        <f aca="false">E2873</f>
        <v>-0.25</v>
      </c>
      <c r="K2873" s="0" t="n">
        <f aca="false">F2873</f>
        <v>1</v>
      </c>
      <c r="L2873" s="0" t="n">
        <f aca="false">G2873</f>
        <v>-0.25</v>
      </c>
      <c r="M2873" s="0" t="n">
        <f aca="false">H2873</f>
        <v>0.5</v>
      </c>
      <c r="N2873" s="0" t="n">
        <f aca="false">E2873*F2873</f>
        <v>-0.25</v>
      </c>
      <c r="O2873" s="0" t="n">
        <f aca="false">E2873*G2873</f>
        <v>0.0625</v>
      </c>
      <c r="P2873" s="0" t="n">
        <f aca="false">E2873*H2873</f>
        <v>-0.125</v>
      </c>
      <c r="Q2873" s="0" t="n">
        <f aca="false">F2873*G2873</f>
        <v>-0.25</v>
      </c>
      <c r="R2873" s="0" t="n">
        <f aca="false">F2873*H2873</f>
        <v>0.5</v>
      </c>
      <c r="S2873" s="0" t="n">
        <f aca="false">G2873*H2873</f>
        <v>-0.125</v>
      </c>
      <c r="T2873" s="0" t="n">
        <f aca="false">E2873*E2873</f>
        <v>0.0625</v>
      </c>
      <c r="U2873" s="0" t="n">
        <f aca="false">F2873*F2873</f>
        <v>1</v>
      </c>
      <c r="V2873" s="0" t="n">
        <f aca="false">G2873*G2873</f>
        <v>0.0625</v>
      </c>
      <c r="W2873" s="0" t="n">
        <f aca="false">H2873*H2873</f>
        <v>0.25</v>
      </c>
      <c r="X2873" s="0" t="n">
        <f aca="false">SUMPRODUCT(I2873:W2873,_XtX!$B$96:$P$96)</f>
        <v>46.0179550438596</v>
      </c>
      <c r="Y2873" s="0" t="n">
        <f aca="false">SUMPRODUCT(MMULT(I2873:W2873,_XtX!$B$78:$P$92),I2873:W2873)</f>
        <v>0.445705123812135</v>
      </c>
      <c r="Z2873" s="0" t="n">
        <f aca="false">04_回帰ANOVA!$K$19*04_回帰ANOVA!$K$14*SQRT(1+Y2873)</f>
        <v>1.56724990734749</v>
      </c>
      <c r="AA2873" s="0" t="n">
        <f aca="false">X2873-Z2873</f>
        <v>44.4507051365121</v>
      </c>
      <c r="AB2873" s="0" t="n">
        <f aca="false">X2873+Z2873</f>
        <v>47.5852049512071</v>
      </c>
      <c r="AC2873" s="54" t="b">
        <f aca="false">AND(E2873&gt;=01_因子設定!$L$5-0.000000001,E2873&lt;=01_因子設定!$M$5+0.000000001,F2873&gt;=01_因子設定!$L$6-0.000000001,F2873&lt;=01_因子設定!$M$6+0.000000001,G2873&gt;=01_因子設定!$L$7-0.000000001,G2873&lt;=01_因子設定!$M$7+0.000000001,H2873&gt;=01_因子設定!$L$8-0.000000001,H2873&lt;=01_因子設定!$M$8+0.000000001,IF(01_因子設定!$B$20="Box-Behnken",E2873^2+F2873^2+G2873^2+H2873^2&lt;=2+0.000000001,TRUE()))</f>
        <v>1</v>
      </c>
      <c r="AD2873" s="55" t="n">
        <f aca="false">IF(AC2873,IF(01_因子設定!$B$13="最大化",AA2873-01_因子設定!$B$14,IF(01_因子設定!$B$13="最小化",01_因子設定!$B$15-AB2873,MIN(AA2873-01_因子設定!$B$14,01_因子設定!$B$15-AB2873))),-1E+030)</f>
        <v>-2.04929486348789</v>
      </c>
      <c r="AE2873" s="55" t="n">
        <f aca="false">IF(AC2873,IF(01_因子設定!$B$13="最大化",X2873,IF(01_因子設定!$B$13="最小化",-X2873,-ABS(X2873-01_因子設定!$B$16))),-1E+030)</f>
        <v>46.0179550438596</v>
      </c>
      <c r="AF2873" s="55" t="n">
        <f aca="false">AD2873+ROW()*0.000000001</f>
        <v>-2.04929199048789</v>
      </c>
      <c r="AG2873" s="55" t="n">
        <f aca="false">AE2873+ROW()*0.000000001</f>
        <v>46.0179579168596</v>
      </c>
    </row>
    <row r="2874" customFormat="false" ht="15" hidden="false" customHeight="false" outlineLevel="0" collapsed="false">
      <c r="A2874" s="0" t="n">
        <v>3</v>
      </c>
      <c r="B2874" s="0" t="n">
        <v>8</v>
      </c>
      <c r="C2874" s="0" t="n">
        <v>3</v>
      </c>
      <c r="D2874" s="0" t="n">
        <v>7</v>
      </c>
      <c r="E2874" s="0" t="n">
        <f aca="false">-1+A2874*0.25</f>
        <v>-0.25</v>
      </c>
      <c r="F2874" s="0" t="n">
        <f aca="false">-1+B2874*0.25</f>
        <v>1</v>
      </c>
      <c r="G2874" s="0" t="n">
        <f aca="false">-1+C2874*0.25</f>
        <v>-0.25</v>
      </c>
      <c r="H2874" s="0" t="n">
        <f aca="false">-1+D2874*0.25</f>
        <v>0.75</v>
      </c>
      <c r="I2874" s="0" t="n">
        <f aca="false">1</f>
        <v>1</v>
      </c>
      <c r="J2874" s="0" t="n">
        <f aca="false">E2874</f>
        <v>-0.25</v>
      </c>
      <c r="K2874" s="0" t="n">
        <f aca="false">F2874</f>
        <v>1</v>
      </c>
      <c r="L2874" s="0" t="n">
        <f aca="false">G2874</f>
        <v>-0.25</v>
      </c>
      <c r="M2874" s="0" t="n">
        <f aca="false">H2874</f>
        <v>0.75</v>
      </c>
      <c r="N2874" s="0" t="n">
        <f aca="false">E2874*F2874</f>
        <v>-0.25</v>
      </c>
      <c r="O2874" s="0" t="n">
        <f aca="false">E2874*G2874</f>
        <v>0.0625</v>
      </c>
      <c r="P2874" s="0" t="n">
        <f aca="false">E2874*H2874</f>
        <v>-0.1875</v>
      </c>
      <c r="Q2874" s="0" t="n">
        <f aca="false">F2874*G2874</f>
        <v>-0.25</v>
      </c>
      <c r="R2874" s="0" t="n">
        <f aca="false">F2874*H2874</f>
        <v>0.75</v>
      </c>
      <c r="S2874" s="0" t="n">
        <f aca="false">G2874*H2874</f>
        <v>-0.1875</v>
      </c>
      <c r="T2874" s="0" t="n">
        <f aca="false">E2874*E2874</f>
        <v>0.0625</v>
      </c>
      <c r="U2874" s="0" t="n">
        <f aca="false">F2874*F2874</f>
        <v>1</v>
      </c>
      <c r="V2874" s="0" t="n">
        <f aca="false">G2874*G2874</f>
        <v>0.0625</v>
      </c>
      <c r="W2874" s="0" t="n">
        <f aca="false">H2874*H2874</f>
        <v>0.5625</v>
      </c>
      <c r="X2874" s="0" t="n">
        <f aca="false">SUMPRODUCT(I2874:W2874,_XtX!$B$96:$P$96)</f>
        <v>45.9209201388888</v>
      </c>
      <c r="Y2874" s="0" t="n">
        <f aca="false">SUMPRODUCT(MMULT(I2874:W2874,_XtX!$B$78:$P$92),I2874:W2874)</f>
        <v>0.486409505208334</v>
      </c>
      <c r="Z2874" s="0" t="n">
        <f aca="false">04_回帰ANOVA!$K$19*04_回帰ANOVA!$K$14*SQRT(1+Y2874)</f>
        <v>1.58916001665498</v>
      </c>
      <c r="AA2874" s="0" t="n">
        <f aca="false">X2874-Z2874</f>
        <v>44.3317601222339</v>
      </c>
      <c r="AB2874" s="0" t="n">
        <f aca="false">X2874+Z2874</f>
        <v>47.5100801555438</v>
      </c>
      <c r="AC2874" s="54" t="b">
        <f aca="false">AND(E2874&gt;=01_因子設定!$L$5-0.000000001,E2874&lt;=01_因子設定!$M$5+0.000000001,F2874&gt;=01_因子設定!$L$6-0.000000001,F2874&lt;=01_因子設定!$M$6+0.000000001,G2874&gt;=01_因子設定!$L$7-0.000000001,G2874&lt;=01_因子設定!$M$7+0.000000001,H2874&gt;=01_因子設定!$L$8-0.000000001,H2874&lt;=01_因子設定!$M$8+0.000000001,IF(01_因子設定!$B$20="Box-Behnken",E2874^2+F2874^2+G2874^2+H2874^2&lt;=2+0.000000001,TRUE()))</f>
        <v>1</v>
      </c>
      <c r="AD2874" s="55" t="n">
        <f aca="false">IF(AC2874,IF(01_因子設定!$B$13="最大化",AA2874-01_因子設定!$B$14,IF(01_因子設定!$B$13="最小化",01_因子設定!$B$15-AB2874,MIN(AA2874-01_因子設定!$B$14,01_因子設定!$B$15-AB2874))),-1E+030)</f>
        <v>-2.16823987776613</v>
      </c>
      <c r="AE2874" s="55" t="n">
        <f aca="false">IF(AC2874,IF(01_因子設定!$B$13="最大化",X2874,IF(01_因子設定!$B$13="最小化",-X2874,-ABS(X2874-01_因子設定!$B$16))),-1E+030)</f>
        <v>45.9209201388888</v>
      </c>
      <c r="AF2874" s="55" t="n">
        <f aca="false">AD2874+ROW()*0.000000001</f>
        <v>-2.16823700376613</v>
      </c>
      <c r="AG2874" s="55" t="n">
        <f aca="false">AE2874+ROW()*0.000000001</f>
        <v>45.9209230128889</v>
      </c>
    </row>
    <row r="2875" customFormat="false" ht="15" hidden="false" customHeight="false" outlineLevel="0" collapsed="false">
      <c r="A2875" s="0" t="n">
        <v>3</v>
      </c>
      <c r="B2875" s="0" t="n">
        <v>8</v>
      </c>
      <c r="C2875" s="0" t="n">
        <v>3</v>
      </c>
      <c r="D2875" s="0" t="n">
        <v>8</v>
      </c>
      <c r="E2875" s="0" t="n">
        <f aca="false">-1+A2875*0.25</f>
        <v>-0.25</v>
      </c>
      <c r="F2875" s="0" t="n">
        <f aca="false">-1+B2875*0.25</f>
        <v>1</v>
      </c>
      <c r="G2875" s="0" t="n">
        <f aca="false">-1+C2875*0.25</f>
        <v>-0.25</v>
      </c>
      <c r="H2875" s="0" t="n">
        <f aca="false">-1+D2875*0.25</f>
        <v>1</v>
      </c>
      <c r="I2875" s="0" t="n">
        <f aca="false">1</f>
        <v>1</v>
      </c>
      <c r="J2875" s="0" t="n">
        <f aca="false">E2875</f>
        <v>-0.25</v>
      </c>
      <c r="K2875" s="0" t="n">
        <f aca="false">F2875</f>
        <v>1</v>
      </c>
      <c r="L2875" s="0" t="n">
        <f aca="false">G2875</f>
        <v>-0.25</v>
      </c>
      <c r="M2875" s="0" t="n">
        <f aca="false">H2875</f>
        <v>1</v>
      </c>
      <c r="N2875" s="0" t="n">
        <f aca="false">E2875*F2875</f>
        <v>-0.25</v>
      </c>
      <c r="O2875" s="0" t="n">
        <f aca="false">E2875*G2875</f>
        <v>0.0625</v>
      </c>
      <c r="P2875" s="0" t="n">
        <f aca="false">E2875*H2875</f>
        <v>-0.25</v>
      </c>
      <c r="Q2875" s="0" t="n">
        <f aca="false">F2875*G2875</f>
        <v>-0.25</v>
      </c>
      <c r="R2875" s="0" t="n">
        <f aca="false">F2875*H2875</f>
        <v>1</v>
      </c>
      <c r="S2875" s="0" t="n">
        <f aca="false">G2875*H2875</f>
        <v>-0.25</v>
      </c>
      <c r="T2875" s="0" t="n">
        <f aca="false">E2875*E2875</f>
        <v>0.0625</v>
      </c>
      <c r="U2875" s="0" t="n">
        <f aca="false">F2875*F2875</f>
        <v>1</v>
      </c>
      <c r="V2875" s="0" t="n">
        <f aca="false">G2875*G2875</f>
        <v>0.0625</v>
      </c>
      <c r="W2875" s="0" t="n">
        <f aca="false">H2875*H2875</f>
        <v>1</v>
      </c>
      <c r="X2875" s="0" t="n">
        <f aca="false">SUMPRODUCT(I2875:W2875,_XtX!$B$96:$P$96)</f>
        <v>45.7760782163742</v>
      </c>
      <c r="Y2875" s="0" t="n">
        <f aca="false">SUMPRODUCT(MMULT(I2875:W2875,_XtX!$B$78:$P$92),I2875:W2875)</f>
        <v>0.670040376005117</v>
      </c>
      <c r="Z2875" s="0" t="n">
        <f aca="false">04_回帰ANOVA!$K$19*04_回帰ANOVA!$K$14*SQRT(1+Y2875)</f>
        <v>1.68446456039992</v>
      </c>
      <c r="AA2875" s="0" t="n">
        <f aca="false">X2875-Z2875</f>
        <v>44.0916136559743</v>
      </c>
      <c r="AB2875" s="0" t="n">
        <f aca="false">X2875+Z2875</f>
        <v>47.4605427767742</v>
      </c>
      <c r="AC2875" s="54" t="b">
        <f aca="false">AND(E2875&gt;=01_因子設定!$L$5-0.000000001,E2875&lt;=01_因子設定!$M$5+0.000000001,F2875&gt;=01_因子設定!$L$6-0.000000001,F2875&lt;=01_因子設定!$M$6+0.000000001,G2875&gt;=01_因子設定!$L$7-0.000000001,G2875&lt;=01_因子設定!$M$7+0.000000001,H2875&gt;=01_因子設定!$L$8-0.000000001,H2875&lt;=01_因子設定!$M$8+0.000000001,IF(01_因子設定!$B$20="Box-Behnken",E2875^2+F2875^2+G2875^2+H2875^2&lt;=2+0.000000001,TRUE()))</f>
        <v>1</v>
      </c>
      <c r="AD2875" s="55" t="n">
        <f aca="false">IF(AC2875,IF(01_因子設定!$B$13="最大化",AA2875-01_因子設定!$B$14,IF(01_因子設定!$B$13="最小化",01_因子設定!$B$15-AB2875,MIN(AA2875-01_因子設定!$B$14,01_因子設定!$B$15-AB2875))),-1E+030)</f>
        <v>-2.40838634402567</v>
      </c>
      <c r="AE2875" s="55" t="n">
        <f aca="false">IF(AC2875,IF(01_因子設定!$B$13="最大化",X2875,IF(01_因子設定!$B$13="最小化",-X2875,-ABS(X2875-01_因子設定!$B$16))),-1E+030)</f>
        <v>45.7760782163742</v>
      </c>
      <c r="AF2875" s="55" t="n">
        <f aca="false">AD2875+ROW()*0.000000001</f>
        <v>-2.40838346902567</v>
      </c>
      <c r="AG2875" s="55" t="n">
        <f aca="false">AE2875+ROW()*0.000000001</f>
        <v>45.7760810913742</v>
      </c>
    </row>
    <row r="2876" customFormat="false" ht="15" hidden="false" customHeight="false" outlineLevel="0" collapsed="false">
      <c r="A2876" s="0" t="n">
        <v>3</v>
      </c>
      <c r="B2876" s="0" t="n">
        <v>8</v>
      </c>
      <c r="C2876" s="0" t="n">
        <v>4</v>
      </c>
      <c r="D2876" s="0" t="n">
        <v>0</v>
      </c>
      <c r="E2876" s="0" t="n">
        <f aca="false">-1+A2876*0.25</f>
        <v>-0.25</v>
      </c>
      <c r="F2876" s="0" t="n">
        <f aca="false">-1+B2876*0.25</f>
        <v>1</v>
      </c>
      <c r="G2876" s="0" t="n">
        <f aca="false">-1+C2876*0.25</f>
        <v>0</v>
      </c>
      <c r="H2876" s="0" t="n">
        <f aca="false">-1+D2876*0.25</f>
        <v>-1</v>
      </c>
      <c r="I2876" s="0" t="n">
        <f aca="false">1</f>
        <v>1</v>
      </c>
      <c r="J2876" s="0" t="n">
        <f aca="false">E2876</f>
        <v>-0.25</v>
      </c>
      <c r="K2876" s="0" t="n">
        <f aca="false">F2876</f>
        <v>1</v>
      </c>
      <c r="L2876" s="0" t="n">
        <f aca="false">G2876</f>
        <v>0</v>
      </c>
      <c r="M2876" s="0" t="n">
        <f aca="false">H2876</f>
        <v>-1</v>
      </c>
      <c r="N2876" s="0" t="n">
        <f aca="false">E2876*F2876</f>
        <v>-0.25</v>
      </c>
      <c r="O2876" s="0" t="n">
        <f aca="false">E2876*G2876</f>
        <v>-0</v>
      </c>
      <c r="P2876" s="0" t="n">
        <f aca="false">E2876*H2876</f>
        <v>0.25</v>
      </c>
      <c r="Q2876" s="0" t="n">
        <f aca="false">F2876*G2876</f>
        <v>0</v>
      </c>
      <c r="R2876" s="0" t="n">
        <f aca="false">F2876*H2876</f>
        <v>-1</v>
      </c>
      <c r="S2876" s="0" t="n">
        <f aca="false">G2876*H2876</f>
        <v>-0</v>
      </c>
      <c r="T2876" s="0" t="n">
        <f aca="false">E2876*E2876</f>
        <v>0.0625</v>
      </c>
      <c r="U2876" s="0" t="n">
        <f aca="false">F2876*F2876</f>
        <v>1</v>
      </c>
      <c r="V2876" s="0" t="n">
        <f aca="false">G2876*G2876</f>
        <v>0</v>
      </c>
      <c r="W2876" s="0" t="n">
        <f aca="false">H2876*H2876</f>
        <v>1</v>
      </c>
      <c r="X2876" s="0" t="n">
        <f aca="false">SUMPRODUCT(I2876:W2876,_XtX!$B$96:$P$96)</f>
        <v>45.9315789473684</v>
      </c>
      <c r="Y2876" s="0" t="n">
        <f aca="false">SUMPRODUCT(MMULT(I2876:W2876,_XtX!$B$78:$P$92),I2876:W2876)</f>
        <v>0.689692982456141</v>
      </c>
      <c r="Z2876" s="0" t="n">
        <f aca="false">04_回帰ANOVA!$K$19*04_回帰ANOVA!$K$14*SQRT(1+Y2876)</f>
        <v>1.69434674594998</v>
      </c>
      <c r="AA2876" s="0" t="n">
        <f aca="false">X2876-Z2876</f>
        <v>44.2372322014184</v>
      </c>
      <c r="AB2876" s="0" t="n">
        <f aca="false">X2876+Z2876</f>
        <v>47.6259256933184</v>
      </c>
      <c r="AC2876" s="54" t="b">
        <f aca="false">AND(E2876&gt;=01_因子設定!$L$5-0.000000001,E2876&lt;=01_因子設定!$M$5+0.000000001,F2876&gt;=01_因子設定!$L$6-0.000000001,F2876&lt;=01_因子設定!$M$6+0.000000001,G2876&gt;=01_因子設定!$L$7-0.000000001,G2876&lt;=01_因子設定!$M$7+0.000000001,H2876&gt;=01_因子設定!$L$8-0.000000001,H2876&lt;=01_因子設定!$M$8+0.000000001,IF(01_因子設定!$B$20="Box-Behnken",E2876^2+F2876^2+G2876^2+H2876^2&lt;=2+0.000000001,TRUE()))</f>
        <v>1</v>
      </c>
      <c r="AD2876" s="55" t="n">
        <f aca="false">IF(AC2876,IF(01_因子設定!$B$13="最大化",AA2876-01_因子設定!$B$14,IF(01_因子設定!$B$13="最小化",01_因子設定!$B$15-AB2876,MIN(AA2876-01_因子設定!$B$14,01_因子設定!$B$15-AB2876))),-1E+030)</f>
        <v>-2.26276779858159</v>
      </c>
      <c r="AE2876" s="55" t="n">
        <f aca="false">IF(AC2876,IF(01_因子設定!$B$13="最大化",X2876,IF(01_因子設定!$B$13="最小化",-X2876,-ABS(X2876-01_因子設定!$B$16))),-1E+030)</f>
        <v>45.9315789473684</v>
      </c>
      <c r="AF2876" s="55" t="n">
        <f aca="false">AD2876+ROW()*0.000000001</f>
        <v>-2.26276492258159</v>
      </c>
      <c r="AG2876" s="55" t="n">
        <f aca="false">AE2876+ROW()*0.000000001</f>
        <v>45.9315818233684</v>
      </c>
    </row>
    <row r="2877" customFormat="false" ht="15" hidden="false" customHeight="false" outlineLevel="0" collapsed="false">
      <c r="A2877" s="0" t="n">
        <v>3</v>
      </c>
      <c r="B2877" s="0" t="n">
        <v>8</v>
      </c>
      <c r="C2877" s="0" t="n">
        <v>4</v>
      </c>
      <c r="D2877" s="0" t="n">
        <v>1</v>
      </c>
      <c r="E2877" s="0" t="n">
        <f aca="false">-1+A2877*0.25</f>
        <v>-0.25</v>
      </c>
      <c r="F2877" s="0" t="n">
        <f aca="false">-1+B2877*0.25</f>
        <v>1</v>
      </c>
      <c r="G2877" s="0" t="n">
        <f aca="false">-1+C2877*0.25</f>
        <v>0</v>
      </c>
      <c r="H2877" s="0" t="n">
        <f aca="false">-1+D2877*0.25</f>
        <v>-0.75</v>
      </c>
      <c r="I2877" s="0" t="n">
        <f aca="false">1</f>
        <v>1</v>
      </c>
      <c r="J2877" s="0" t="n">
        <f aca="false">E2877</f>
        <v>-0.25</v>
      </c>
      <c r="K2877" s="0" t="n">
        <f aca="false">F2877</f>
        <v>1</v>
      </c>
      <c r="L2877" s="0" t="n">
        <f aca="false">G2877</f>
        <v>0</v>
      </c>
      <c r="M2877" s="0" t="n">
        <f aca="false">H2877</f>
        <v>-0.75</v>
      </c>
      <c r="N2877" s="0" t="n">
        <f aca="false">E2877*F2877</f>
        <v>-0.25</v>
      </c>
      <c r="O2877" s="0" t="n">
        <f aca="false">E2877*G2877</f>
        <v>-0</v>
      </c>
      <c r="P2877" s="0" t="n">
        <f aca="false">E2877*H2877</f>
        <v>0.1875</v>
      </c>
      <c r="Q2877" s="0" t="n">
        <f aca="false">F2877*G2877</f>
        <v>0</v>
      </c>
      <c r="R2877" s="0" t="n">
        <f aca="false">F2877*H2877</f>
        <v>-0.75</v>
      </c>
      <c r="S2877" s="0" t="n">
        <f aca="false">G2877*H2877</f>
        <v>-0</v>
      </c>
      <c r="T2877" s="0" t="n">
        <f aca="false">E2877*E2877</f>
        <v>0.0625</v>
      </c>
      <c r="U2877" s="0" t="n">
        <f aca="false">F2877*F2877</f>
        <v>1</v>
      </c>
      <c r="V2877" s="0" t="n">
        <f aca="false">G2877*G2877</f>
        <v>0</v>
      </c>
      <c r="W2877" s="0" t="n">
        <f aca="false">H2877*H2877</f>
        <v>0.5625</v>
      </c>
      <c r="X2877" s="0" t="n">
        <f aca="false">SUMPRODUCT(I2877:W2877,_XtX!$B$96:$P$96)</f>
        <v>46.1393548976608</v>
      </c>
      <c r="Y2877" s="0" t="n">
        <f aca="false">SUMPRODUCT(MMULT(I2877:W2877,_XtX!$B$78:$P$92),I2877:W2877)</f>
        <v>0.501534802174708</v>
      </c>
      <c r="Z2877" s="0" t="n">
        <f aca="false">04_回帰ANOVA!$K$19*04_回帰ANOVA!$K$14*SQRT(1+Y2877)</f>
        <v>1.59722498091333</v>
      </c>
      <c r="AA2877" s="0" t="n">
        <f aca="false">X2877-Z2877</f>
        <v>44.5421299167475</v>
      </c>
      <c r="AB2877" s="0" t="n">
        <f aca="false">X2877+Z2877</f>
        <v>47.7365798785741</v>
      </c>
      <c r="AC2877" s="54" t="b">
        <f aca="false">AND(E2877&gt;=01_因子設定!$L$5-0.000000001,E2877&lt;=01_因子設定!$M$5+0.000000001,F2877&gt;=01_因子設定!$L$6-0.000000001,F2877&lt;=01_因子設定!$M$6+0.000000001,G2877&gt;=01_因子設定!$L$7-0.000000001,G2877&lt;=01_因子設定!$M$7+0.000000001,H2877&gt;=01_因子設定!$L$8-0.000000001,H2877&lt;=01_因子設定!$M$8+0.000000001,IF(01_因子設定!$B$20="Box-Behnken",E2877^2+F2877^2+G2877^2+H2877^2&lt;=2+0.000000001,TRUE()))</f>
        <v>1</v>
      </c>
      <c r="AD2877" s="55" t="n">
        <f aca="false">IF(AC2877,IF(01_因子設定!$B$13="最大化",AA2877-01_因子設定!$B$14,IF(01_因子設定!$B$13="最小化",01_因子設定!$B$15-AB2877,MIN(AA2877-01_因子設定!$B$14,01_因子設定!$B$15-AB2877))),-1E+030)</f>
        <v>-1.95787008325255</v>
      </c>
      <c r="AE2877" s="55" t="n">
        <f aca="false">IF(AC2877,IF(01_因子設定!$B$13="最大化",X2877,IF(01_因子設定!$B$13="最小化",-X2877,-ABS(X2877-01_因子設定!$B$16))),-1E+030)</f>
        <v>46.1393548976608</v>
      </c>
      <c r="AF2877" s="55" t="n">
        <f aca="false">AD2877+ROW()*0.000000001</f>
        <v>-1.95786720625255</v>
      </c>
      <c r="AG2877" s="55" t="n">
        <f aca="false">AE2877+ROW()*0.000000001</f>
        <v>46.1393577746608</v>
      </c>
    </row>
    <row r="2878" customFormat="false" ht="15" hidden="false" customHeight="false" outlineLevel="0" collapsed="false">
      <c r="A2878" s="0" t="n">
        <v>3</v>
      </c>
      <c r="B2878" s="0" t="n">
        <v>8</v>
      </c>
      <c r="C2878" s="0" t="n">
        <v>4</v>
      </c>
      <c r="D2878" s="0" t="n">
        <v>2</v>
      </c>
      <c r="E2878" s="0" t="n">
        <f aca="false">-1+A2878*0.25</f>
        <v>-0.25</v>
      </c>
      <c r="F2878" s="0" t="n">
        <f aca="false">-1+B2878*0.25</f>
        <v>1</v>
      </c>
      <c r="G2878" s="0" t="n">
        <f aca="false">-1+C2878*0.25</f>
        <v>0</v>
      </c>
      <c r="H2878" s="0" t="n">
        <f aca="false">-1+D2878*0.25</f>
        <v>-0.5</v>
      </c>
      <c r="I2878" s="0" t="n">
        <f aca="false">1</f>
        <v>1</v>
      </c>
      <c r="J2878" s="0" t="n">
        <f aca="false">E2878</f>
        <v>-0.25</v>
      </c>
      <c r="K2878" s="0" t="n">
        <f aca="false">F2878</f>
        <v>1</v>
      </c>
      <c r="L2878" s="0" t="n">
        <f aca="false">G2878</f>
        <v>0</v>
      </c>
      <c r="M2878" s="0" t="n">
        <f aca="false">H2878</f>
        <v>-0.5</v>
      </c>
      <c r="N2878" s="0" t="n">
        <f aca="false">E2878*F2878</f>
        <v>-0.25</v>
      </c>
      <c r="O2878" s="0" t="n">
        <f aca="false">E2878*G2878</f>
        <v>-0</v>
      </c>
      <c r="P2878" s="0" t="n">
        <f aca="false">E2878*H2878</f>
        <v>0.125</v>
      </c>
      <c r="Q2878" s="0" t="n">
        <f aca="false">F2878*G2878</f>
        <v>0</v>
      </c>
      <c r="R2878" s="0" t="n">
        <f aca="false">F2878*H2878</f>
        <v>-0.5</v>
      </c>
      <c r="S2878" s="0" t="n">
        <f aca="false">G2878*H2878</f>
        <v>-0</v>
      </c>
      <c r="T2878" s="0" t="n">
        <f aca="false">E2878*E2878</f>
        <v>0.0625</v>
      </c>
      <c r="U2878" s="0" t="n">
        <f aca="false">F2878*F2878</f>
        <v>1</v>
      </c>
      <c r="V2878" s="0" t="n">
        <f aca="false">G2878*G2878</f>
        <v>0</v>
      </c>
      <c r="W2878" s="0" t="n">
        <f aca="false">H2878*H2878</f>
        <v>0.25</v>
      </c>
      <c r="X2878" s="0" t="n">
        <f aca="false">SUMPRODUCT(I2878:W2878,_XtX!$B$96:$P$96)</f>
        <v>46.2993238304093</v>
      </c>
      <c r="Y2878" s="0" t="n">
        <f aca="false">SUMPRODUCT(MMULT(I2878:W2878,_XtX!$B$78:$P$92),I2878:W2878)</f>
        <v>0.457596628289474</v>
      </c>
      <c r="Z2878" s="0" t="n">
        <f aca="false">04_回帰ANOVA!$K$19*04_回帰ANOVA!$K$14*SQRT(1+Y2878)</f>
        <v>1.57368233664366</v>
      </c>
      <c r="AA2878" s="0" t="n">
        <f aca="false">X2878-Z2878</f>
        <v>44.7256414937657</v>
      </c>
      <c r="AB2878" s="0" t="n">
        <f aca="false">X2878+Z2878</f>
        <v>47.873006167053</v>
      </c>
      <c r="AC2878" s="54" t="b">
        <f aca="false">AND(E2878&gt;=01_因子設定!$L$5-0.000000001,E2878&lt;=01_因子設定!$M$5+0.000000001,F2878&gt;=01_因子設定!$L$6-0.000000001,F2878&lt;=01_因子設定!$M$6+0.000000001,G2878&gt;=01_因子設定!$L$7-0.000000001,G2878&lt;=01_因子設定!$M$7+0.000000001,H2878&gt;=01_因子設定!$L$8-0.000000001,H2878&lt;=01_因子設定!$M$8+0.000000001,IF(01_因子設定!$B$20="Box-Behnken",E2878^2+F2878^2+G2878^2+H2878^2&lt;=2+0.000000001,TRUE()))</f>
        <v>1</v>
      </c>
      <c r="AD2878" s="55" t="n">
        <f aca="false">IF(AC2878,IF(01_因子設定!$B$13="最大化",AA2878-01_因子設定!$B$14,IF(01_因子設定!$B$13="最小化",01_因子設定!$B$15-AB2878,MIN(AA2878-01_因子設定!$B$14,01_因子設定!$B$15-AB2878))),-1E+030)</f>
        <v>-1.77435850623435</v>
      </c>
      <c r="AE2878" s="55" t="n">
        <f aca="false">IF(AC2878,IF(01_因子設定!$B$13="最大化",X2878,IF(01_因子設定!$B$13="最小化",-X2878,-ABS(X2878-01_因子設定!$B$16))),-1E+030)</f>
        <v>46.2993238304093</v>
      </c>
      <c r="AF2878" s="55" t="n">
        <f aca="false">AD2878+ROW()*0.000000001</f>
        <v>-1.77435562823435</v>
      </c>
      <c r="AG2878" s="55" t="n">
        <f aca="false">AE2878+ROW()*0.000000001</f>
        <v>46.2993267084093</v>
      </c>
    </row>
    <row r="2879" customFormat="false" ht="15" hidden="false" customHeight="false" outlineLevel="0" collapsed="false">
      <c r="A2879" s="0" t="n">
        <v>3</v>
      </c>
      <c r="B2879" s="0" t="n">
        <v>8</v>
      </c>
      <c r="C2879" s="0" t="n">
        <v>4</v>
      </c>
      <c r="D2879" s="0" t="n">
        <v>3</v>
      </c>
      <c r="E2879" s="0" t="n">
        <f aca="false">-1+A2879*0.25</f>
        <v>-0.25</v>
      </c>
      <c r="F2879" s="0" t="n">
        <f aca="false">-1+B2879*0.25</f>
        <v>1</v>
      </c>
      <c r="G2879" s="0" t="n">
        <f aca="false">-1+C2879*0.25</f>
        <v>0</v>
      </c>
      <c r="H2879" s="0" t="n">
        <f aca="false">-1+D2879*0.25</f>
        <v>-0.25</v>
      </c>
      <c r="I2879" s="0" t="n">
        <f aca="false">1</f>
        <v>1</v>
      </c>
      <c r="J2879" s="0" t="n">
        <f aca="false">E2879</f>
        <v>-0.25</v>
      </c>
      <c r="K2879" s="0" t="n">
        <f aca="false">F2879</f>
        <v>1</v>
      </c>
      <c r="L2879" s="0" t="n">
        <f aca="false">G2879</f>
        <v>0</v>
      </c>
      <c r="M2879" s="0" t="n">
        <f aca="false">H2879</f>
        <v>-0.25</v>
      </c>
      <c r="N2879" s="0" t="n">
        <f aca="false">E2879*F2879</f>
        <v>-0.25</v>
      </c>
      <c r="O2879" s="0" t="n">
        <f aca="false">E2879*G2879</f>
        <v>-0</v>
      </c>
      <c r="P2879" s="0" t="n">
        <f aca="false">E2879*H2879</f>
        <v>0.0625</v>
      </c>
      <c r="Q2879" s="0" t="n">
        <f aca="false">F2879*G2879</f>
        <v>0</v>
      </c>
      <c r="R2879" s="0" t="n">
        <f aca="false">F2879*H2879</f>
        <v>-0.25</v>
      </c>
      <c r="S2879" s="0" t="n">
        <f aca="false">G2879*H2879</f>
        <v>-0</v>
      </c>
      <c r="T2879" s="0" t="n">
        <f aca="false">E2879*E2879</f>
        <v>0.0625</v>
      </c>
      <c r="U2879" s="0" t="n">
        <f aca="false">F2879*F2879</f>
        <v>1</v>
      </c>
      <c r="V2879" s="0" t="n">
        <f aca="false">G2879*G2879</f>
        <v>0</v>
      </c>
      <c r="W2879" s="0" t="n">
        <f aca="false">H2879*H2879</f>
        <v>0.0625</v>
      </c>
      <c r="X2879" s="0" t="n">
        <f aca="false">SUMPRODUCT(I2879:W2879,_XtX!$B$96:$P$96)</f>
        <v>46.411485745614</v>
      </c>
      <c r="Y2879" s="0" t="n">
        <f aca="false">SUMPRODUCT(MMULT(I2879:W2879,_XtX!$B$78:$P$92),I2879:W2879)</f>
        <v>0.467417934484649</v>
      </c>
      <c r="Z2879" s="0" t="n">
        <f aca="false">04_回帰ANOVA!$K$19*04_回帰ANOVA!$K$14*SQRT(1+Y2879)</f>
        <v>1.57897518244497</v>
      </c>
      <c r="AA2879" s="0" t="n">
        <f aca="false">X2879-Z2879</f>
        <v>44.832510563169</v>
      </c>
      <c r="AB2879" s="0" t="n">
        <f aca="false">X2879+Z2879</f>
        <v>47.9904609280589</v>
      </c>
      <c r="AC2879" s="54" t="b">
        <f aca="false">AND(E2879&gt;=01_因子設定!$L$5-0.000000001,E2879&lt;=01_因子設定!$M$5+0.000000001,F2879&gt;=01_因子設定!$L$6-0.000000001,F2879&lt;=01_因子設定!$M$6+0.000000001,G2879&gt;=01_因子設定!$L$7-0.000000001,G2879&lt;=01_因子設定!$M$7+0.000000001,H2879&gt;=01_因子設定!$L$8-0.000000001,H2879&lt;=01_因子設定!$M$8+0.000000001,IF(01_因子設定!$B$20="Box-Behnken",E2879^2+F2879^2+G2879^2+H2879^2&lt;=2+0.000000001,TRUE()))</f>
        <v>1</v>
      </c>
      <c r="AD2879" s="55" t="n">
        <f aca="false">IF(AC2879,IF(01_因子設定!$B$13="最大化",AA2879-01_因子設定!$B$14,IF(01_因子設定!$B$13="最小化",01_因子設定!$B$15-AB2879,MIN(AA2879-01_因子設定!$B$14,01_因子設定!$B$15-AB2879))),-1E+030)</f>
        <v>-1.667489436831</v>
      </c>
      <c r="AE2879" s="55" t="n">
        <f aca="false">IF(AC2879,IF(01_因子設定!$B$13="最大化",X2879,IF(01_因子設定!$B$13="最小化",-X2879,-ABS(X2879-01_因子設定!$B$16))),-1E+030)</f>
        <v>46.411485745614</v>
      </c>
      <c r="AF2879" s="55" t="n">
        <f aca="false">AD2879+ROW()*0.000000001</f>
        <v>-1.667486557831</v>
      </c>
      <c r="AG2879" s="55" t="n">
        <f aca="false">AE2879+ROW()*0.000000001</f>
        <v>46.411488624614</v>
      </c>
    </row>
    <row r="2880" customFormat="false" ht="15" hidden="false" customHeight="false" outlineLevel="0" collapsed="false">
      <c r="A2880" s="0" t="n">
        <v>3</v>
      </c>
      <c r="B2880" s="0" t="n">
        <v>8</v>
      </c>
      <c r="C2880" s="0" t="n">
        <v>4</v>
      </c>
      <c r="D2880" s="0" t="n">
        <v>4</v>
      </c>
      <c r="E2880" s="0" t="n">
        <f aca="false">-1+A2880*0.25</f>
        <v>-0.25</v>
      </c>
      <c r="F2880" s="0" t="n">
        <f aca="false">-1+B2880*0.25</f>
        <v>1</v>
      </c>
      <c r="G2880" s="0" t="n">
        <f aca="false">-1+C2880*0.25</f>
        <v>0</v>
      </c>
      <c r="H2880" s="0" t="n">
        <f aca="false">-1+D2880*0.25</f>
        <v>0</v>
      </c>
      <c r="I2880" s="0" t="n">
        <f aca="false">1</f>
        <v>1</v>
      </c>
      <c r="J2880" s="0" t="n">
        <f aca="false">E2880</f>
        <v>-0.25</v>
      </c>
      <c r="K2880" s="0" t="n">
        <f aca="false">F2880</f>
        <v>1</v>
      </c>
      <c r="L2880" s="0" t="n">
        <f aca="false">G2880</f>
        <v>0</v>
      </c>
      <c r="M2880" s="0" t="n">
        <f aca="false">H2880</f>
        <v>0</v>
      </c>
      <c r="N2880" s="0" t="n">
        <f aca="false">E2880*F2880</f>
        <v>-0.25</v>
      </c>
      <c r="O2880" s="0" t="n">
        <f aca="false">E2880*G2880</f>
        <v>-0</v>
      </c>
      <c r="P2880" s="0" t="n">
        <f aca="false">E2880*H2880</f>
        <v>-0</v>
      </c>
      <c r="Q2880" s="0" t="n">
        <f aca="false">F2880*G2880</f>
        <v>0</v>
      </c>
      <c r="R2880" s="0" t="n">
        <f aca="false">F2880*H2880</f>
        <v>0</v>
      </c>
      <c r="S2880" s="0" t="n">
        <f aca="false">G2880*H2880</f>
        <v>0</v>
      </c>
      <c r="T2880" s="0" t="n">
        <f aca="false">E2880*E2880</f>
        <v>0.0625</v>
      </c>
      <c r="U2880" s="0" t="n">
        <f aca="false">F2880*F2880</f>
        <v>1</v>
      </c>
      <c r="V2880" s="0" t="n">
        <f aca="false">G2880*G2880</f>
        <v>0</v>
      </c>
      <c r="W2880" s="0" t="n">
        <f aca="false">H2880*H2880</f>
        <v>0</v>
      </c>
      <c r="X2880" s="0" t="n">
        <f aca="false">SUMPRODUCT(I2880:W2880,_XtX!$B$96:$P$96)</f>
        <v>46.4758406432748</v>
      </c>
      <c r="Y2880" s="0" t="n">
        <f aca="false">SUMPRODUCT(MMULT(I2880:W2880,_XtX!$B$78:$P$92),I2880:W2880)</f>
        <v>0.47672240497076</v>
      </c>
      <c r="Z2880" s="0" t="n">
        <f aca="false">04_回帰ANOVA!$K$19*04_回帰ANOVA!$K$14*SQRT(1+Y2880)</f>
        <v>1.58397318352695</v>
      </c>
      <c r="AA2880" s="0" t="n">
        <f aca="false">X2880-Z2880</f>
        <v>44.8918674597479</v>
      </c>
      <c r="AB2880" s="0" t="n">
        <f aca="false">X2880+Z2880</f>
        <v>48.0598138268017</v>
      </c>
      <c r="AC2880" s="54" t="b">
        <f aca="false">AND(E2880&gt;=01_因子設定!$L$5-0.000000001,E2880&lt;=01_因子設定!$M$5+0.000000001,F2880&gt;=01_因子設定!$L$6-0.000000001,F2880&lt;=01_因子設定!$M$6+0.000000001,G2880&gt;=01_因子設定!$L$7-0.000000001,G2880&lt;=01_因子設定!$M$7+0.000000001,H2880&gt;=01_因子設定!$L$8-0.000000001,H2880&lt;=01_因子設定!$M$8+0.000000001,IF(01_因子設定!$B$20="Box-Behnken",E2880^2+F2880^2+G2880^2+H2880^2&lt;=2+0.000000001,TRUE()))</f>
        <v>1</v>
      </c>
      <c r="AD2880" s="55" t="n">
        <f aca="false">IF(AC2880,IF(01_因子設定!$B$13="最大化",AA2880-01_因子設定!$B$14,IF(01_因子設定!$B$13="最小化",01_因子設定!$B$15-AB2880,MIN(AA2880-01_因子設定!$B$14,01_因子設定!$B$15-AB2880))),-1E+030)</f>
        <v>-1.60813254025215</v>
      </c>
      <c r="AE2880" s="55" t="n">
        <f aca="false">IF(AC2880,IF(01_因子設定!$B$13="最大化",X2880,IF(01_因子設定!$B$13="最小化",-X2880,-ABS(X2880-01_因子設定!$B$16))),-1E+030)</f>
        <v>46.4758406432748</v>
      </c>
      <c r="AF2880" s="55" t="n">
        <f aca="false">AD2880+ROW()*0.000000001</f>
        <v>-1.60812966025215</v>
      </c>
      <c r="AG2880" s="55" t="n">
        <f aca="false">AE2880+ROW()*0.000000001</f>
        <v>46.4758435232748</v>
      </c>
    </row>
    <row r="2881" customFormat="false" ht="15" hidden="false" customHeight="false" outlineLevel="0" collapsed="false">
      <c r="A2881" s="0" t="n">
        <v>3</v>
      </c>
      <c r="B2881" s="0" t="n">
        <v>8</v>
      </c>
      <c r="C2881" s="0" t="n">
        <v>4</v>
      </c>
      <c r="D2881" s="0" t="n">
        <v>5</v>
      </c>
      <c r="E2881" s="0" t="n">
        <f aca="false">-1+A2881*0.25</f>
        <v>-0.25</v>
      </c>
      <c r="F2881" s="0" t="n">
        <f aca="false">-1+B2881*0.25</f>
        <v>1</v>
      </c>
      <c r="G2881" s="0" t="n">
        <f aca="false">-1+C2881*0.25</f>
        <v>0</v>
      </c>
      <c r="H2881" s="0" t="n">
        <f aca="false">-1+D2881*0.25</f>
        <v>0.25</v>
      </c>
      <c r="I2881" s="0" t="n">
        <f aca="false">1</f>
        <v>1</v>
      </c>
      <c r="J2881" s="0" t="n">
        <f aca="false">E2881</f>
        <v>-0.25</v>
      </c>
      <c r="K2881" s="0" t="n">
        <f aca="false">F2881</f>
        <v>1</v>
      </c>
      <c r="L2881" s="0" t="n">
        <f aca="false">G2881</f>
        <v>0</v>
      </c>
      <c r="M2881" s="0" t="n">
        <f aca="false">H2881</f>
        <v>0.25</v>
      </c>
      <c r="N2881" s="0" t="n">
        <f aca="false">E2881*F2881</f>
        <v>-0.25</v>
      </c>
      <c r="O2881" s="0" t="n">
        <f aca="false">E2881*G2881</f>
        <v>-0</v>
      </c>
      <c r="P2881" s="0" t="n">
        <f aca="false">E2881*H2881</f>
        <v>-0.0625</v>
      </c>
      <c r="Q2881" s="0" t="n">
        <f aca="false">F2881*G2881</f>
        <v>0</v>
      </c>
      <c r="R2881" s="0" t="n">
        <f aca="false">F2881*H2881</f>
        <v>0.25</v>
      </c>
      <c r="S2881" s="0" t="n">
        <f aca="false">G2881*H2881</f>
        <v>0</v>
      </c>
      <c r="T2881" s="0" t="n">
        <f aca="false">E2881*E2881</f>
        <v>0.0625</v>
      </c>
      <c r="U2881" s="0" t="n">
        <f aca="false">F2881*F2881</f>
        <v>1</v>
      </c>
      <c r="V2881" s="0" t="n">
        <f aca="false">G2881*G2881</f>
        <v>0</v>
      </c>
      <c r="W2881" s="0" t="n">
        <f aca="false">H2881*H2881</f>
        <v>0.0625</v>
      </c>
      <c r="X2881" s="0" t="n">
        <f aca="false">SUMPRODUCT(I2881:W2881,_XtX!$B$96:$P$96)</f>
        <v>46.4923885233918</v>
      </c>
      <c r="Y2881" s="0" t="n">
        <f aca="false">SUMPRODUCT(MMULT(I2881:W2881,_XtX!$B$78:$P$92),I2881:W2881)</f>
        <v>0.467417934484649</v>
      </c>
      <c r="Z2881" s="0" t="n">
        <f aca="false">04_回帰ANOVA!$K$19*04_回帰ANOVA!$K$14*SQRT(1+Y2881)</f>
        <v>1.57897518244497</v>
      </c>
      <c r="AA2881" s="0" t="n">
        <f aca="false">X2881-Z2881</f>
        <v>44.9134133409468</v>
      </c>
      <c r="AB2881" s="0" t="n">
        <f aca="false">X2881+Z2881</f>
        <v>48.0713637058367</v>
      </c>
      <c r="AC2881" s="54" t="b">
        <f aca="false">AND(E2881&gt;=01_因子設定!$L$5-0.000000001,E2881&lt;=01_因子設定!$M$5+0.000000001,F2881&gt;=01_因子設定!$L$6-0.000000001,F2881&lt;=01_因子設定!$M$6+0.000000001,G2881&gt;=01_因子設定!$L$7-0.000000001,G2881&lt;=01_因子設定!$M$7+0.000000001,H2881&gt;=01_因子設定!$L$8-0.000000001,H2881&lt;=01_因子設定!$M$8+0.000000001,IF(01_因子設定!$B$20="Box-Behnken",E2881^2+F2881^2+G2881^2+H2881^2&lt;=2+0.000000001,TRUE()))</f>
        <v>1</v>
      </c>
      <c r="AD2881" s="55" t="n">
        <f aca="false">IF(AC2881,IF(01_因子設定!$B$13="最大化",AA2881-01_因子設定!$B$14,IF(01_因子設定!$B$13="最小化",01_因子設定!$B$15-AB2881,MIN(AA2881-01_因子設定!$B$14,01_因子設定!$B$15-AB2881))),-1E+030)</f>
        <v>-1.58658665905322</v>
      </c>
      <c r="AE2881" s="55" t="n">
        <f aca="false">IF(AC2881,IF(01_因子設定!$B$13="最大化",X2881,IF(01_因子設定!$B$13="最小化",-X2881,-ABS(X2881-01_因子設定!$B$16))),-1E+030)</f>
        <v>46.4923885233918</v>
      </c>
      <c r="AF2881" s="55" t="n">
        <f aca="false">AD2881+ROW()*0.000000001</f>
        <v>-1.58658377805322</v>
      </c>
      <c r="AG2881" s="55" t="n">
        <f aca="false">AE2881+ROW()*0.000000001</f>
        <v>46.4923914043918</v>
      </c>
    </row>
    <row r="2882" customFormat="false" ht="15" hidden="false" customHeight="false" outlineLevel="0" collapsed="false">
      <c r="A2882" s="0" t="n">
        <v>3</v>
      </c>
      <c r="B2882" s="0" t="n">
        <v>8</v>
      </c>
      <c r="C2882" s="0" t="n">
        <v>4</v>
      </c>
      <c r="D2882" s="0" t="n">
        <v>6</v>
      </c>
      <c r="E2882" s="0" t="n">
        <f aca="false">-1+A2882*0.25</f>
        <v>-0.25</v>
      </c>
      <c r="F2882" s="0" t="n">
        <f aca="false">-1+B2882*0.25</f>
        <v>1</v>
      </c>
      <c r="G2882" s="0" t="n">
        <f aca="false">-1+C2882*0.25</f>
        <v>0</v>
      </c>
      <c r="H2882" s="0" t="n">
        <f aca="false">-1+D2882*0.25</f>
        <v>0.5</v>
      </c>
      <c r="I2882" s="0" t="n">
        <f aca="false">1</f>
        <v>1</v>
      </c>
      <c r="J2882" s="0" t="n">
        <f aca="false">E2882</f>
        <v>-0.25</v>
      </c>
      <c r="K2882" s="0" t="n">
        <f aca="false">F2882</f>
        <v>1</v>
      </c>
      <c r="L2882" s="0" t="n">
        <f aca="false">G2882</f>
        <v>0</v>
      </c>
      <c r="M2882" s="0" t="n">
        <f aca="false">H2882</f>
        <v>0.5</v>
      </c>
      <c r="N2882" s="0" t="n">
        <f aca="false">E2882*F2882</f>
        <v>-0.25</v>
      </c>
      <c r="O2882" s="0" t="n">
        <f aca="false">E2882*G2882</f>
        <v>-0</v>
      </c>
      <c r="P2882" s="0" t="n">
        <f aca="false">E2882*H2882</f>
        <v>-0.125</v>
      </c>
      <c r="Q2882" s="0" t="n">
        <f aca="false">F2882*G2882</f>
        <v>0</v>
      </c>
      <c r="R2882" s="0" t="n">
        <f aca="false">F2882*H2882</f>
        <v>0.5</v>
      </c>
      <c r="S2882" s="0" t="n">
        <f aca="false">G2882*H2882</f>
        <v>0</v>
      </c>
      <c r="T2882" s="0" t="n">
        <f aca="false">E2882*E2882</f>
        <v>0.0625</v>
      </c>
      <c r="U2882" s="0" t="n">
        <f aca="false">F2882*F2882</f>
        <v>1</v>
      </c>
      <c r="V2882" s="0" t="n">
        <f aca="false">G2882*G2882</f>
        <v>0</v>
      </c>
      <c r="W2882" s="0" t="n">
        <f aca="false">H2882*H2882</f>
        <v>0.25</v>
      </c>
      <c r="X2882" s="0" t="n">
        <f aca="false">SUMPRODUCT(I2882:W2882,_XtX!$B$96:$P$96)</f>
        <v>46.4611293859649</v>
      </c>
      <c r="Y2882" s="0" t="n">
        <f aca="false">SUMPRODUCT(MMULT(I2882:W2882,_XtX!$B$78:$P$92),I2882:W2882)</f>
        <v>0.457596628289474</v>
      </c>
      <c r="Z2882" s="0" t="n">
        <f aca="false">04_回帰ANOVA!$K$19*04_回帰ANOVA!$K$14*SQRT(1+Y2882)</f>
        <v>1.57368233664366</v>
      </c>
      <c r="AA2882" s="0" t="n">
        <f aca="false">X2882-Z2882</f>
        <v>44.8874470493212</v>
      </c>
      <c r="AB2882" s="0" t="n">
        <f aca="false">X2882+Z2882</f>
        <v>48.0348117226085</v>
      </c>
      <c r="AC2882" s="54" t="b">
        <f aca="false">AND(E2882&gt;=01_因子設定!$L$5-0.000000001,E2882&lt;=01_因子設定!$M$5+0.000000001,F2882&gt;=01_因子設定!$L$6-0.000000001,F2882&lt;=01_因子設定!$M$6+0.000000001,G2882&gt;=01_因子設定!$L$7-0.000000001,G2882&lt;=01_因子設定!$M$7+0.000000001,H2882&gt;=01_因子設定!$L$8-0.000000001,H2882&lt;=01_因子設定!$M$8+0.000000001,IF(01_因子設定!$B$20="Box-Behnken",E2882^2+F2882^2+G2882^2+H2882^2&lt;=2+0.000000001,TRUE()))</f>
        <v>1</v>
      </c>
      <c r="AD2882" s="55" t="n">
        <f aca="false">IF(AC2882,IF(01_因子設定!$B$13="最大化",AA2882-01_因子設定!$B$14,IF(01_因子設定!$B$13="最小化",01_因子設定!$B$15-AB2882,MIN(AA2882-01_因子設定!$B$14,01_因子設定!$B$15-AB2882))),-1E+030)</f>
        <v>-1.6125529506788</v>
      </c>
      <c r="AE2882" s="55" t="n">
        <f aca="false">IF(AC2882,IF(01_因子設定!$B$13="最大化",X2882,IF(01_因子設定!$B$13="最小化",-X2882,-ABS(X2882-01_因子設定!$B$16))),-1E+030)</f>
        <v>46.4611293859649</v>
      </c>
      <c r="AF2882" s="55" t="n">
        <f aca="false">AD2882+ROW()*0.000000001</f>
        <v>-1.6125500686788</v>
      </c>
      <c r="AG2882" s="55" t="n">
        <f aca="false">AE2882+ROW()*0.000000001</f>
        <v>46.4611322679649</v>
      </c>
    </row>
    <row r="2883" customFormat="false" ht="15" hidden="false" customHeight="false" outlineLevel="0" collapsed="false">
      <c r="A2883" s="0" t="n">
        <v>3</v>
      </c>
      <c r="B2883" s="0" t="n">
        <v>8</v>
      </c>
      <c r="C2883" s="0" t="n">
        <v>4</v>
      </c>
      <c r="D2883" s="0" t="n">
        <v>7</v>
      </c>
      <c r="E2883" s="0" t="n">
        <f aca="false">-1+A2883*0.25</f>
        <v>-0.25</v>
      </c>
      <c r="F2883" s="0" t="n">
        <f aca="false">-1+B2883*0.25</f>
        <v>1</v>
      </c>
      <c r="G2883" s="0" t="n">
        <f aca="false">-1+C2883*0.25</f>
        <v>0</v>
      </c>
      <c r="H2883" s="0" t="n">
        <f aca="false">-1+D2883*0.25</f>
        <v>0.75</v>
      </c>
      <c r="I2883" s="0" t="n">
        <f aca="false">1</f>
        <v>1</v>
      </c>
      <c r="J2883" s="0" t="n">
        <f aca="false">E2883</f>
        <v>-0.25</v>
      </c>
      <c r="K2883" s="0" t="n">
        <f aca="false">F2883</f>
        <v>1</v>
      </c>
      <c r="L2883" s="0" t="n">
        <f aca="false">G2883</f>
        <v>0</v>
      </c>
      <c r="M2883" s="0" t="n">
        <f aca="false">H2883</f>
        <v>0.75</v>
      </c>
      <c r="N2883" s="0" t="n">
        <f aca="false">E2883*F2883</f>
        <v>-0.25</v>
      </c>
      <c r="O2883" s="0" t="n">
        <f aca="false">E2883*G2883</f>
        <v>-0</v>
      </c>
      <c r="P2883" s="0" t="n">
        <f aca="false">E2883*H2883</f>
        <v>-0.1875</v>
      </c>
      <c r="Q2883" s="0" t="n">
        <f aca="false">F2883*G2883</f>
        <v>0</v>
      </c>
      <c r="R2883" s="0" t="n">
        <f aca="false">F2883*H2883</f>
        <v>0.75</v>
      </c>
      <c r="S2883" s="0" t="n">
        <f aca="false">G2883*H2883</f>
        <v>0</v>
      </c>
      <c r="T2883" s="0" t="n">
        <f aca="false">E2883*E2883</f>
        <v>0.0625</v>
      </c>
      <c r="U2883" s="0" t="n">
        <f aca="false">F2883*F2883</f>
        <v>1</v>
      </c>
      <c r="V2883" s="0" t="n">
        <f aca="false">G2883*G2883</f>
        <v>0</v>
      </c>
      <c r="W2883" s="0" t="n">
        <f aca="false">H2883*H2883</f>
        <v>0.5625</v>
      </c>
      <c r="X2883" s="0" t="n">
        <f aca="false">SUMPRODUCT(I2883:W2883,_XtX!$B$96:$P$96)</f>
        <v>46.3820632309941</v>
      </c>
      <c r="Y2883" s="0" t="n">
        <f aca="false">SUMPRODUCT(MMULT(I2883:W2883,_XtX!$B$78:$P$92),I2883:W2883)</f>
        <v>0.501534802174708</v>
      </c>
      <c r="Z2883" s="0" t="n">
        <f aca="false">04_回帰ANOVA!$K$19*04_回帰ANOVA!$K$14*SQRT(1+Y2883)</f>
        <v>1.59722498091333</v>
      </c>
      <c r="AA2883" s="0" t="n">
        <f aca="false">X2883-Z2883</f>
        <v>44.7848382500808</v>
      </c>
      <c r="AB2883" s="0" t="n">
        <f aca="false">X2883+Z2883</f>
        <v>47.9792882119074</v>
      </c>
      <c r="AC2883" s="54" t="b">
        <f aca="false">AND(E2883&gt;=01_因子設定!$L$5-0.000000001,E2883&lt;=01_因子設定!$M$5+0.000000001,F2883&gt;=01_因子設定!$L$6-0.000000001,F2883&lt;=01_因子設定!$M$6+0.000000001,G2883&gt;=01_因子設定!$L$7-0.000000001,G2883&lt;=01_因子設定!$M$7+0.000000001,H2883&gt;=01_因子設定!$L$8-0.000000001,H2883&lt;=01_因子設定!$M$8+0.000000001,IF(01_因子設定!$B$20="Box-Behnken",E2883^2+F2883^2+G2883^2+H2883^2&lt;=2+0.000000001,TRUE()))</f>
        <v>1</v>
      </c>
      <c r="AD2883" s="55" t="n">
        <f aca="false">IF(AC2883,IF(01_因子設定!$B$13="最大化",AA2883-01_因子設定!$B$14,IF(01_因子設定!$B$13="最小化",01_因子設定!$B$15-AB2883,MIN(AA2883-01_因子設定!$B$14,01_因子設定!$B$15-AB2883))),-1E+030)</f>
        <v>-1.71516174991922</v>
      </c>
      <c r="AE2883" s="55" t="n">
        <f aca="false">IF(AC2883,IF(01_因子設定!$B$13="最大化",X2883,IF(01_因子設定!$B$13="最小化",-X2883,-ABS(X2883-01_因子設定!$B$16))),-1E+030)</f>
        <v>46.3820632309941</v>
      </c>
      <c r="AF2883" s="55" t="n">
        <f aca="false">AD2883+ROW()*0.000000001</f>
        <v>-1.71515886691922</v>
      </c>
      <c r="AG2883" s="55" t="n">
        <f aca="false">AE2883+ROW()*0.000000001</f>
        <v>46.3820661139941</v>
      </c>
    </row>
    <row r="2884" customFormat="false" ht="15" hidden="false" customHeight="false" outlineLevel="0" collapsed="false">
      <c r="A2884" s="0" t="n">
        <v>3</v>
      </c>
      <c r="B2884" s="0" t="n">
        <v>8</v>
      </c>
      <c r="C2884" s="0" t="n">
        <v>4</v>
      </c>
      <c r="D2884" s="0" t="n">
        <v>8</v>
      </c>
      <c r="E2884" s="0" t="n">
        <f aca="false">-1+A2884*0.25</f>
        <v>-0.25</v>
      </c>
      <c r="F2884" s="0" t="n">
        <f aca="false">-1+B2884*0.25</f>
        <v>1</v>
      </c>
      <c r="G2884" s="0" t="n">
        <f aca="false">-1+C2884*0.25</f>
        <v>0</v>
      </c>
      <c r="H2884" s="0" t="n">
        <f aca="false">-1+D2884*0.25</f>
        <v>1</v>
      </c>
      <c r="I2884" s="0" t="n">
        <f aca="false">1</f>
        <v>1</v>
      </c>
      <c r="J2884" s="0" t="n">
        <f aca="false">E2884</f>
        <v>-0.25</v>
      </c>
      <c r="K2884" s="0" t="n">
        <f aca="false">F2884</f>
        <v>1</v>
      </c>
      <c r="L2884" s="0" t="n">
        <f aca="false">G2884</f>
        <v>0</v>
      </c>
      <c r="M2884" s="0" t="n">
        <f aca="false">H2884</f>
        <v>1</v>
      </c>
      <c r="N2884" s="0" t="n">
        <f aca="false">E2884*F2884</f>
        <v>-0.25</v>
      </c>
      <c r="O2884" s="0" t="n">
        <f aca="false">E2884*G2884</f>
        <v>-0</v>
      </c>
      <c r="P2884" s="0" t="n">
        <f aca="false">E2884*H2884</f>
        <v>-0.25</v>
      </c>
      <c r="Q2884" s="0" t="n">
        <f aca="false">F2884*G2884</f>
        <v>0</v>
      </c>
      <c r="R2884" s="0" t="n">
        <f aca="false">F2884*H2884</f>
        <v>1</v>
      </c>
      <c r="S2884" s="0" t="n">
        <f aca="false">G2884*H2884</f>
        <v>0</v>
      </c>
      <c r="T2884" s="0" t="n">
        <f aca="false">E2884*E2884</f>
        <v>0.0625</v>
      </c>
      <c r="U2884" s="0" t="n">
        <f aca="false">F2884*F2884</f>
        <v>1</v>
      </c>
      <c r="V2884" s="0" t="n">
        <f aca="false">G2884*G2884</f>
        <v>0</v>
      </c>
      <c r="W2884" s="0" t="n">
        <f aca="false">H2884*H2884</f>
        <v>1</v>
      </c>
      <c r="X2884" s="0" t="n">
        <f aca="false">SUMPRODUCT(I2884:W2884,_XtX!$B$96:$P$96)</f>
        <v>46.2551900584795</v>
      </c>
      <c r="Y2884" s="0" t="n">
        <f aca="false">SUMPRODUCT(MMULT(I2884:W2884,_XtX!$B$78:$P$92),I2884:W2884)</f>
        <v>0.689692982456141</v>
      </c>
      <c r="Z2884" s="0" t="n">
        <f aca="false">04_回帰ANOVA!$K$19*04_回帰ANOVA!$K$14*SQRT(1+Y2884)</f>
        <v>1.69434674594998</v>
      </c>
      <c r="AA2884" s="0" t="n">
        <f aca="false">X2884-Z2884</f>
        <v>44.5608433125295</v>
      </c>
      <c r="AB2884" s="0" t="n">
        <f aca="false">X2884+Z2884</f>
        <v>47.9495368044295</v>
      </c>
      <c r="AC2884" s="54" t="b">
        <f aca="false">AND(E2884&gt;=01_因子設定!$L$5-0.000000001,E2884&lt;=01_因子設定!$M$5+0.000000001,F2884&gt;=01_因子設定!$L$6-0.000000001,F2884&lt;=01_因子設定!$M$6+0.000000001,G2884&gt;=01_因子設定!$L$7-0.000000001,G2884&lt;=01_因子設定!$M$7+0.000000001,H2884&gt;=01_因子設定!$L$8-0.000000001,H2884&lt;=01_因子設定!$M$8+0.000000001,IF(01_因子設定!$B$20="Box-Behnken",E2884^2+F2884^2+G2884^2+H2884^2&lt;=2+0.000000001,TRUE()))</f>
        <v>1</v>
      </c>
      <c r="AD2884" s="55" t="n">
        <f aca="false">IF(AC2884,IF(01_因子設定!$B$13="最大化",AA2884-01_因子設定!$B$14,IF(01_因子設定!$B$13="最小化",01_因子設定!$B$15-AB2884,MIN(AA2884-01_因子設定!$B$14,01_因子設定!$B$15-AB2884))),-1E+030)</f>
        <v>-1.93915668747048</v>
      </c>
      <c r="AE2884" s="55" t="n">
        <f aca="false">IF(AC2884,IF(01_因子設定!$B$13="最大化",X2884,IF(01_因子設定!$B$13="最小化",-X2884,-ABS(X2884-01_因子設定!$B$16))),-1E+030)</f>
        <v>46.2551900584795</v>
      </c>
      <c r="AF2884" s="55" t="n">
        <f aca="false">AD2884+ROW()*0.000000001</f>
        <v>-1.93915380347048</v>
      </c>
      <c r="AG2884" s="55" t="n">
        <f aca="false">AE2884+ROW()*0.000000001</f>
        <v>46.2551929424795</v>
      </c>
    </row>
    <row r="2885" customFormat="false" ht="15" hidden="false" customHeight="false" outlineLevel="0" collapsed="false">
      <c r="A2885" s="0" t="n">
        <v>3</v>
      </c>
      <c r="B2885" s="0" t="n">
        <v>8</v>
      </c>
      <c r="C2885" s="0" t="n">
        <v>5</v>
      </c>
      <c r="D2885" s="0" t="n">
        <v>0</v>
      </c>
      <c r="E2885" s="0" t="n">
        <f aca="false">-1+A2885*0.25</f>
        <v>-0.25</v>
      </c>
      <c r="F2885" s="0" t="n">
        <f aca="false">-1+B2885*0.25</f>
        <v>1</v>
      </c>
      <c r="G2885" s="0" t="n">
        <f aca="false">-1+C2885*0.25</f>
        <v>0.25</v>
      </c>
      <c r="H2885" s="0" t="n">
        <f aca="false">-1+D2885*0.25</f>
        <v>-1</v>
      </c>
      <c r="I2885" s="0" t="n">
        <f aca="false">1</f>
        <v>1</v>
      </c>
      <c r="J2885" s="0" t="n">
        <f aca="false">E2885</f>
        <v>-0.25</v>
      </c>
      <c r="K2885" s="0" t="n">
        <f aca="false">F2885</f>
        <v>1</v>
      </c>
      <c r="L2885" s="0" t="n">
        <f aca="false">G2885</f>
        <v>0.25</v>
      </c>
      <c r="M2885" s="0" t="n">
        <f aca="false">H2885</f>
        <v>-1</v>
      </c>
      <c r="N2885" s="0" t="n">
        <f aca="false">E2885*F2885</f>
        <v>-0.25</v>
      </c>
      <c r="O2885" s="0" t="n">
        <f aca="false">E2885*G2885</f>
        <v>-0.0625</v>
      </c>
      <c r="P2885" s="0" t="n">
        <f aca="false">E2885*H2885</f>
        <v>0.25</v>
      </c>
      <c r="Q2885" s="0" t="n">
        <f aca="false">F2885*G2885</f>
        <v>0.25</v>
      </c>
      <c r="R2885" s="0" t="n">
        <f aca="false">F2885*H2885</f>
        <v>-1</v>
      </c>
      <c r="S2885" s="0" t="n">
        <f aca="false">G2885*H2885</f>
        <v>-0.25</v>
      </c>
      <c r="T2885" s="0" t="n">
        <f aca="false">E2885*E2885</f>
        <v>0.0625</v>
      </c>
      <c r="U2885" s="0" t="n">
        <f aca="false">F2885*F2885</f>
        <v>1</v>
      </c>
      <c r="V2885" s="0" t="n">
        <f aca="false">G2885*G2885</f>
        <v>0.0625</v>
      </c>
      <c r="W2885" s="0" t="n">
        <f aca="false">H2885*H2885</f>
        <v>1</v>
      </c>
      <c r="X2885" s="0" t="n">
        <f aca="false">SUMPRODUCT(I2885:W2885,_XtX!$B$96:$P$96)</f>
        <v>46.1816337719298</v>
      </c>
      <c r="Y2885" s="0" t="n">
        <f aca="false">SUMPRODUCT(MMULT(I2885:W2885,_XtX!$B$78:$P$92),I2885:W2885)</f>
        <v>0.670040376005117</v>
      </c>
      <c r="Z2885" s="0" t="n">
        <f aca="false">04_回帰ANOVA!$K$19*04_回帰ANOVA!$K$14*SQRT(1+Y2885)</f>
        <v>1.68446456039992</v>
      </c>
      <c r="AA2885" s="0" t="n">
        <f aca="false">X2885-Z2885</f>
        <v>44.4971692115299</v>
      </c>
      <c r="AB2885" s="0" t="n">
        <f aca="false">X2885+Z2885</f>
        <v>47.8660983323297</v>
      </c>
      <c r="AC2885" s="54" t="b">
        <f aca="false">AND(E2885&gt;=01_因子設定!$L$5-0.000000001,E2885&lt;=01_因子設定!$M$5+0.000000001,F2885&gt;=01_因子設定!$L$6-0.000000001,F2885&lt;=01_因子設定!$M$6+0.000000001,G2885&gt;=01_因子設定!$L$7-0.000000001,G2885&lt;=01_因子設定!$M$7+0.000000001,H2885&gt;=01_因子設定!$L$8-0.000000001,H2885&lt;=01_因子設定!$M$8+0.000000001,IF(01_因子設定!$B$20="Box-Behnken",E2885^2+F2885^2+G2885^2+H2885^2&lt;=2+0.000000001,TRUE()))</f>
        <v>1</v>
      </c>
      <c r="AD2885" s="55" t="n">
        <f aca="false">IF(AC2885,IF(01_因子設定!$B$13="最大化",AA2885-01_因子設定!$B$14,IF(01_因子設定!$B$13="最小化",01_因子設定!$B$15-AB2885,MIN(AA2885-01_因子設定!$B$14,01_因子設定!$B$15-AB2885))),-1E+030)</f>
        <v>-2.00283078847011</v>
      </c>
      <c r="AE2885" s="55" t="n">
        <f aca="false">IF(AC2885,IF(01_因子設定!$B$13="最大化",X2885,IF(01_因子設定!$B$13="最小化",-X2885,-ABS(X2885-01_因子設定!$B$16))),-1E+030)</f>
        <v>46.1816337719298</v>
      </c>
      <c r="AF2885" s="55" t="n">
        <f aca="false">AD2885+ROW()*0.000000001</f>
        <v>-2.00282790347011</v>
      </c>
      <c r="AG2885" s="55" t="n">
        <f aca="false">AE2885+ROW()*0.000000001</f>
        <v>46.1816366569298</v>
      </c>
    </row>
    <row r="2886" customFormat="false" ht="15" hidden="false" customHeight="false" outlineLevel="0" collapsed="false">
      <c r="A2886" s="0" t="n">
        <v>3</v>
      </c>
      <c r="B2886" s="0" t="n">
        <v>8</v>
      </c>
      <c r="C2886" s="0" t="n">
        <v>5</v>
      </c>
      <c r="D2886" s="0" t="n">
        <v>1</v>
      </c>
      <c r="E2886" s="0" t="n">
        <f aca="false">-1+A2886*0.25</f>
        <v>-0.25</v>
      </c>
      <c r="F2886" s="0" t="n">
        <f aca="false">-1+B2886*0.25</f>
        <v>1</v>
      </c>
      <c r="G2886" s="0" t="n">
        <f aca="false">-1+C2886*0.25</f>
        <v>0.25</v>
      </c>
      <c r="H2886" s="0" t="n">
        <f aca="false">-1+D2886*0.25</f>
        <v>-0.75</v>
      </c>
      <c r="I2886" s="0" t="n">
        <f aca="false">1</f>
        <v>1</v>
      </c>
      <c r="J2886" s="0" t="n">
        <f aca="false">E2886</f>
        <v>-0.25</v>
      </c>
      <c r="K2886" s="0" t="n">
        <f aca="false">F2886</f>
        <v>1</v>
      </c>
      <c r="L2886" s="0" t="n">
        <f aca="false">G2886</f>
        <v>0.25</v>
      </c>
      <c r="M2886" s="0" t="n">
        <f aca="false">H2886</f>
        <v>-0.75</v>
      </c>
      <c r="N2886" s="0" t="n">
        <f aca="false">E2886*F2886</f>
        <v>-0.25</v>
      </c>
      <c r="O2886" s="0" t="n">
        <f aca="false">E2886*G2886</f>
        <v>-0.0625</v>
      </c>
      <c r="P2886" s="0" t="n">
        <f aca="false">E2886*H2886</f>
        <v>0.1875</v>
      </c>
      <c r="Q2886" s="0" t="n">
        <f aca="false">F2886*G2886</f>
        <v>0.25</v>
      </c>
      <c r="R2886" s="0" t="n">
        <f aca="false">F2886*H2886</f>
        <v>-0.75</v>
      </c>
      <c r="S2886" s="0" t="n">
        <f aca="false">G2886*H2886</f>
        <v>-0.1875</v>
      </c>
      <c r="T2886" s="0" t="n">
        <f aca="false">E2886*E2886</f>
        <v>0.0625</v>
      </c>
      <c r="U2886" s="0" t="n">
        <f aca="false">F2886*F2886</f>
        <v>1</v>
      </c>
      <c r="V2886" s="0" t="n">
        <f aca="false">G2886*G2886</f>
        <v>0.0625</v>
      </c>
      <c r="W2886" s="0" t="n">
        <f aca="false">H2886*H2886</f>
        <v>0.5625</v>
      </c>
      <c r="X2886" s="0" t="n">
        <f aca="false">SUMPRODUCT(I2886:W2886,_XtX!$B$96:$P$96)</f>
        <v>46.4073784722222</v>
      </c>
      <c r="Y2886" s="0" t="n">
        <f aca="false">SUMPRODUCT(MMULT(I2886:W2886,_XtX!$B$78:$P$92),I2886:W2886)</f>
        <v>0.486409505208334</v>
      </c>
      <c r="Z2886" s="0" t="n">
        <f aca="false">04_回帰ANOVA!$K$19*04_回帰ANOVA!$K$14*SQRT(1+Y2886)</f>
        <v>1.58916001665498</v>
      </c>
      <c r="AA2886" s="0" t="n">
        <f aca="false">X2886-Z2886</f>
        <v>44.8182184555672</v>
      </c>
      <c r="AB2886" s="0" t="n">
        <f aca="false">X2886+Z2886</f>
        <v>47.9965384888772</v>
      </c>
      <c r="AC2886" s="54" t="b">
        <f aca="false">AND(E2886&gt;=01_因子設定!$L$5-0.000000001,E2886&lt;=01_因子設定!$M$5+0.000000001,F2886&gt;=01_因子設定!$L$6-0.000000001,F2886&lt;=01_因子設定!$M$6+0.000000001,G2886&gt;=01_因子設定!$L$7-0.000000001,G2886&lt;=01_因子設定!$M$7+0.000000001,H2886&gt;=01_因子設定!$L$8-0.000000001,H2886&lt;=01_因子設定!$M$8+0.000000001,IF(01_因子設定!$B$20="Box-Behnken",E2886^2+F2886^2+G2886^2+H2886^2&lt;=2+0.000000001,TRUE()))</f>
        <v>1</v>
      </c>
      <c r="AD2886" s="55" t="n">
        <f aca="false">IF(AC2886,IF(01_因子設定!$B$13="最大化",AA2886-01_因子設定!$B$14,IF(01_因子設定!$B$13="最小化",01_因子設定!$B$15-AB2886,MIN(AA2886-01_因子設定!$B$14,01_因子設定!$B$15-AB2886))),-1E+030)</f>
        <v>-1.68178154443279</v>
      </c>
      <c r="AE2886" s="55" t="n">
        <f aca="false">IF(AC2886,IF(01_因子設定!$B$13="最大化",X2886,IF(01_因子設定!$B$13="最小化",-X2886,-ABS(X2886-01_因子設定!$B$16))),-1E+030)</f>
        <v>46.4073784722222</v>
      </c>
      <c r="AF2886" s="55" t="n">
        <f aca="false">AD2886+ROW()*0.000000001</f>
        <v>-1.68177865843279</v>
      </c>
      <c r="AG2886" s="55" t="n">
        <f aca="false">AE2886+ROW()*0.000000001</f>
        <v>46.4073813582222</v>
      </c>
    </row>
    <row r="2887" customFormat="false" ht="15" hidden="false" customHeight="false" outlineLevel="0" collapsed="false">
      <c r="A2887" s="0" t="n">
        <v>3</v>
      </c>
      <c r="B2887" s="0" t="n">
        <v>8</v>
      </c>
      <c r="C2887" s="0" t="n">
        <v>5</v>
      </c>
      <c r="D2887" s="0" t="n">
        <v>2</v>
      </c>
      <c r="E2887" s="0" t="n">
        <f aca="false">-1+A2887*0.25</f>
        <v>-0.25</v>
      </c>
      <c r="F2887" s="0" t="n">
        <f aca="false">-1+B2887*0.25</f>
        <v>1</v>
      </c>
      <c r="G2887" s="0" t="n">
        <f aca="false">-1+C2887*0.25</f>
        <v>0.25</v>
      </c>
      <c r="H2887" s="0" t="n">
        <f aca="false">-1+D2887*0.25</f>
        <v>-0.5</v>
      </c>
      <c r="I2887" s="0" t="n">
        <f aca="false">1</f>
        <v>1</v>
      </c>
      <c r="J2887" s="0" t="n">
        <f aca="false">E2887</f>
        <v>-0.25</v>
      </c>
      <c r="K2887" s="0" t="n">
        <f aca="false">F2887</f>
        <v>1</v>
      </c>
      <c r="L2887" s="0" t="n">
        <f aca="false">G2887</f>
        <v>0.25</v>
      </c>
      <c r="M2887" s="0" t="n">
        <f aca="false">H2887</f>
        <v>-0.5</v>
      </c>
      <c r="N2887" s="0" t="n">
        <f aca="false">E2887*F2887</f>
        <v>-0.25</v>
      </c>
      <c r="O2887" s="0" t="n">
        <f aca="false">E2887*G2887</f>
        <v>-0.0625</v>
      </c>
      <c r="P2887" s="0" t="n">
        <f aca="false">E2887*H2887</f>
        <v>0.125</v>
      </c>
      <c r="Q2887" s="0" t="n">
        <f aca="false">F2887*G2887</f>
        <v>0.25</v>
      </c>
      <c r="R2887" s="0" t="n">
        <f aca="false">F2887*H2887</f>
        <v>-0.5</v>
      </c>
      <c r="S2887" s="0" t="n">
        <f aca="false">G2887*H2887</f>
        <v>-0.125</v>
      </c>
      <c r="T2887" s="0" t="n">
        <f aca="false">E2887*E2887</f>
        <v>0.0625</v>
      </c>
      <c r="U2887" s="0" t="n">
        <f aca="false">F2887*F2887</f>
        <v>1</v>
      </c>
      <c r="V2887" s="0" t="n">
        <f aca="false">G2887*G2887</f>
        <v>0.0625</v>
      </c>
      <c r="W2887" s="0" t="n">
        <f aca="false">H2887*H2887</f>
        <v>0.25</v>
      </c>
      <c r="X2887" s="0" t="n">
        <f aca="false">SUMPRODUCT(I2887:W2887,_XtX!$B$96:$P$96)</f>
        <v>46.5853161549707</v>
      </c>
      <c r="Y2887" s="0" t="n">
        <f aca="false">SUMPRODUCT(MMULT(I2887:W2887,_XtX!$B$78:$P$92),I2887:W2887)</f>
        <v>0.445705123812135</v>
      </c>
      <c r="Z2887" s="0" t="n">
        <f aca="false">04_回帰ANOVA!$K$19*04_回帰ANOVA!$K$14*SQRT(1+Y2887)</f>
        <v>1.56724990734749</v>
      </c>
      <c r="AA2887" s="0" t="n">
        <f aca="false">X2887-Z2887</f>
        <v>45.0180662476232</v>
      </c>
      <c r="AB2887" s="0" t="n">
        <f aca="false">X2887+Z2887</f>
        <v>48.1525660623182</v>
      </c>
      <c r="AC2887" s="54" t="b">
        <f aca="false">AND(E2887&gt;=01_因子設定!$L$5-0.000000001,E2887&lt;=01_因子設定!$M$5+0.000000001,F2887&gt;=01_因子設定!$L$6-0.000000001,F2887&lt;=01_因子設定!$M$6+0.000000001,G2887&gt;=01_因子設定!$L$7-0.000000001,G2887&lt;=01_因子設定!$M$7+0.000000001,H2887&gt;=01_因子設定!$L$8-0.000000001,H2887&lt;=01_因子設定!$M$8+0.000000001,IF(01_因子設定!$B$20="Box-Behnken",E2887^2+F2887^2+G2887^2+H2887^2&lt;=2+0.000000001,TRUE()))</f>
        <v>1</v>
      </c>
      <c r="AD2887" s="55" t="n">
        <f aca="false">IF(AC2887,IF(01_因子設定!$B$13="最大化",AA2887-01_因子設定!$B$14,IF(01_因子設定!$B$13="最小化",01_因子設定!$B$15-AB2887,MIN(AA2887-01_因子設定!$B$14,01_因子設定!$B$15-AB2887))),-1E+030)</f>
        <v>-1.48193375237678</v>
      </c>
      <c r="AE2887" s="55" t="n">
        <f aca="false">IF(AC2887,IF(01_因子設定!$B$13="最大化",X2887,IF(01_因子設定!$B$13="最小化",-X2887,-ABS(X2887-01_因子設定!$B$16))),-1E+030)</f>
        <v>46.5853161549707</v>
      </c>
      <c r="AF2887" s="55" t="n">
        <f aca="false">AD2887+ROW()*0.000000001</f>
        <v>-1.48193086537678</v>
      </c>
      <c r="AG2887" s="55" t="n">
        <f aca="false">AE2887+ROW()*0.000000001</f>
        <v>46.5853190419707</v>
      </c>
    </row>
    <row r="2888" customFormat="false" ht="15" hidden="false" customHeight="false" outlineLevel="0" collapsed="false">
      <c r="A2888" s="0" t="n">
        <v>3</v>
      </c>
      <c r="B2888" s="0" t="n">
        <v>8</v>
      </c>
      <c r="C2888" s="0" t="n">
        <v>5</v>
      </c>
      <c r="D2888" s="0" t="n">
        <v>3</v>
      </c>
      <c r="E2888" s="0" t="n">
        <f aca="false">-1+A2888*0.25</f>
        <v>-0.25</v>
      </c>
      <c r="F2888" s="0" t="n">
        <f aca="false">-1+B2888*0.25</f>
        <v>1</v>
      </c>
      <c r="G2888" s="0" t="n">
        <f aca="false">-1+C2888*0.25</f>
        <v>0.25</v>
      </c>
      <c r="H2888" s="0" t="n">
        <f aca="false">-1+D2888*0.25</f>
        <v>-0.25</v>
      </c>
      <c r="I2888" s="0" t="n">
        <f aca="false">1</f>
        <v>1</v>
      </c>
      <c r="J2888" s="0" t="n">
        <f aca="false">E2888</f>
        <v>-0.25</v>
      </c>
      <c r="K2888" s="0" t="n">
        <f aca="false">F2888</f>
        <v>1</v>
      </c>
      <c r="L2888" s="0" t="n">
        <f aca="false">G2888</f>
        <v>0.25</v>
      </c>
      <c r="M2888" s="0" t="n">
        <f aca="false">H2888</f>
        <v>-0.25</v>
      </c>
      <c r="N2888" s="0" t="n">
        <f aca="false">E2888*F2888</f>
        <v>-0.25</v>
      </c>
      <c r="O2888" s="0" t="n">
        <f aca="false">E2888*G2888</f>
        <v>-0.0625</v>
      </c>
      <c r="P2888" s="0" t="n">
        <f aca="false">E2888*H2888</f>
        <v>0.0625</v>
      </c>
      <c r="Q2888" s="0" t="n">
        <f aca="false">F2888*G2888</f>
        <v>0.25</v>
      </c>
      <c r="R2888" s="0" t="n">
        <f aca="false">F2888*H2888</f>
        <v>-0.25</v>
      </c>
      <c r="S2888" s="0" t="n">
        <f aca="false">G2888*H2888</f>
        <v>-0.0625</v>
      </c>
      <c r="T2888" s="0" t="n">
        <f aca="false">E2888*E2888</f>
        <v>0.0625</v>
      </c>
      <c r="U2888" s="0" t="n">
        <f aca="false">F2888*F2888</f>
        <v>1</v>
      </c>
      <c r="V2888" s="0" t="n">
        <f aca="false">G2888*G2888</f>
        <v>0.0625</v>
      </c>
      <c r="W2888" s="0" t="n">
        <f aca="false">H2888*H2888</f>
        <v>0.0625</v>
      </c>
      <c r="X2888" s="0" t="n">
        <f aca="false">SUMPRODUCT(I2888:W2888,_XtX!$B$96:$P$96)</f>
        <v>46.7154468201754</v>
      </c>
      <c r="Y2888" s="0" t="n">
        <f aca="false">SUMPRODUCT(MMULT(I2888:W2888,_XtX!$B$78:$P$92),I2888:W2888)</f>
        <v>0.457466705500731</v>
      </c>
      <c r="Z2888" s="0" t="n">
        <f aca="false">04_回帰ANOVA!$K$19*04_回帰ANOVA!$K$14*SQRT(1+Y2888)</f>
        <v>1.57361220003999</v>
      </c>
      <c r="AA2888" s="0" t="n">
        <f aca="false">X2888-Z2888</f>
        <v>45.1418346201354</v>
      </c>
      <c r="AB2888" s="0" t="n">
        <f aca="false">X2888+Z2888</f>
        <v>48.2890590202154</v>
      </c>
      <c r="AC2888" s="54" t="b">
        <f aca="false">AND(E2888&gt;=01_因子設定!$L$5-0.000000001,E2888&lt;=01_因子設定!$M$5+0.000000001,F2888&gt;=01_因子設定!$L$6-0.000000001,F2888&lt;=01_因子設定!$M$6+0.000000001,G2888&gt;=01_因子設定!$L$7-0.000000001,G2888&lt;=01_因子設定!$M$7+0.000000001,H2888&gt;=01_因子設定!$L$8-0.000000001,H2888&lt;=01_因子設定!$M$8+0.000000001,IF(01_因子設定!$B$20="Box-Behnken",E2888^2+F2888^2+G2888^2+H2888^2&lt;=2+0.000000001,TRUE()))</f>
        <v>1</v>
      </c>
      <c r="AD2888" s="55" t="n">
        <f aca="false">IF(AC2888,IF(01_因子設定!$B$13="最大化",AA2888-01_因子設定!$B$14,IF(01_因子設定!$B$13="最小化",01_因子設定!$B$15-AB2888,MIN(AA2888-01_因子設定!$B$14,01_因子設定!$B$15-AB2888))),-1E+030)</f>
        <v>-1.35816537986462</v>
      </c>
      <c r="AE2888" s="55" t="n">
        <f aca="false">IF(AC2888,IF(01_因子設定!$B$13="最大化",X2888,IF(01_因子設定!$B$13="最小化",-X2888,-ABS(X2888-01_因子設定!$B$16))),-1E+030)</f>
        <v>46.7154468201754</v>
      </c>
      <c r="AF2888" s="55" t="n">
        <f aca="false">AD2888+ROW()*0.000000001</f>
        <v>-1.35816249186462</v>
      </c>
      <c r="AG2888" s="55" t="n">
        <f aca="false">AE2888+ROW()*0.000000001</f>
        <v>46.7154497081754</v>
      </c>
    </row>
    <row r="2889" customFormat="false" ht="15" hidden="false" customHeight="false" outlineLevel="0" collapsed="false">
      <c r="A2889" s="0" t="n">
        <v>3</v>
      </c>
      <c r="B2889" s="0" t="n">
        <v>8</v>
      </c>
      <c r="C2889" s="0" t="n">
        <v>5</v>
      </c>
      <c r="D2889" s="0" t="n">
        <v>4</v>
      </c>
      <c r="E2889" s="0" t="n">
        <f aca="false">-1+A2889*0.25</f>
        <v>-0.25</v>
      </c>
      <c r="F2889" s="0" t="n">
        <f aca="false">-1+B2889*0.25</f>
        <v>1</v>
      </c>
      <c r="G2889" s="0" t="n">
        <f aca="false">-1+C2889*0.25</f>
        <v>0.25</v>
      </c>
      <c r="H2889" s="0" t="n">
        <f aca="false">-1+D2889*0.25</f>
        <v>0</v>
      </c>
      <c r="I2889" s="0" t="n">
        <f aca="false">1</f>
        <v>1</v>
      </c>
      <c r="J2889" s="0" t="n">
        <f aca="false">E2889</f>
        <v>-0.25</v>
      </c>
      <c r="K2889" s="0" t="n">
        <f aca="false">F2889</f>
        <v>1</v>
      </c>
      <c r="L2889" s="0" t="n">
        <f aca="false">G2889</f>
        <v>0.25</v>
      </c>
      <c r="M2889" s="0" t="n">
        <f aca="false">H2889</f>
        <v>0</v>
      </c>
      <c r="N2889" s="0" t="n">
        <f aca="false">E2889*F2889</f>
        <v>-0.25</v>
      </c>
      <c r="O2889" s="0" t="n">
        <f aca="false">E2889*G2889</f>
        <v>-0.0625</v>
      </c>
      <c r="P2889" s="0" t="n">
        <f aca="false">E2889*H2889</f>
        <v>-0</v>
      </c>
      <c r="Q2889" s="0" t="n">
        <f aca="false">F2889*G2889</f>
        <v>0.25</v>
      </c>
      <c r="R2889" s="0" t="n">
        <f aca="false">F2889*H2889</f>
        <v>0</v>
      </c>
      <c r="S2889" s="0" t="n">
        <f aca="false">G2889*H2889</f>
        <v>0</v>
      </c>
      <c r="T2889" s="0" t="n">
        <f aca="false">E2889*E2889</f>
        <v>0.0625</v>
      </c>
      <c r="U2889" s="0" t="n">
        <f aca="false">F2889*F2889</f>
        <v>1</v>
      </c>
      <c r="V2889" s="0" t="n">
        <f aca="false">G2889*G2889</f>
        <v>0.0625</v>
      </c>
      <c r="W2889" s="0" t="n">
        <f aca="false">H2889*H2889</f>
        <v>0</v>
      </c>
      <c r="X2889" s="0" t="n">
        <f aca="false">SUMPRODUCT(I2889:W2889,_XtX!$B$96:$P$96)</f>
        <v>46.7977704678362</v>
      </c>
      <c r="Y2889" s="0" t="n">
        <f aca="false">SUMPRODUCT(MMULT(I2889:W2889,_XtX!$B$78:$P$92),I2889:W2889)</f>
        <v>0.467417934484649</v>
      </c>
      <c r="Z2889" s="0" t="n">
        <f aca="false">04_回帰ANOVA!$K$19*04_回帰ANOVA!$K$14*SQRT(1+Y2889)</f>
        <v>1.57897518244497</v>
      </c>
      <c r="AA2889" s="0" t="n">
        <f aca="false">X2889-Z2889</f>
        <v>45.2187952853912</v>
      </c>
      <c r="AB2889" s="0" t="n">
        <f aca="false">X2889+Z2889</f>
        <v>48.3767456502812</v>
      </c>
      <c r="AC2889" s="54" t="b">
        <f aca="false">AND(E2889&gt;=01_因子設定!$L$5-0.000000001,E2889&lt;=01_因子設定!$M$5+0.000000001,F2889&gt;=01_因子設定!$L$6-0.000000001,F2889&lt;=01_因子設定!$M$6+0.000000001,G2889&gt;=01_因子設定!$L$7-0.000000001,G2889&lt;=01_因子設定!$M$7+0.000000001,H2889&gt;=01_因子設定!$L$8-0.000000001,H2889&lt;=01_因子設定!$M$8+0.000000001,IF(01_因子設定!$B$20="Box-Behnken",E2889^2+F2889^2+G2889^2+H2889^2&lt;=2+0.000000001,TRUE()))</f>
        <v>1</v>
      </c>
      <c r="AD2889" s="55" t="n">
        <f aca="false">IF(AC2889,IF(01_因子設定!$B$13="最大化",AA2889-01_因子設定!$B$14,IF(01_因子設定!$B$13="最小化",01_因子設定!$B$15-AB2889,MIN(AA2889-01_因子設定!$B$14,01_因子設定!$B$15-AB2889))),-1E+030)</f>
        <v>-1.28120471460878</v>
      </c>
      <c r="AE2889" s="55" t="n">
        <f aca="false">IF(AC2889,IF(01_因子設定!$B$13="最大化",X2889,IF(01_因子設定!$B$13="最小化",-X2889,-ABS(X2889-01_因子設定!$B$16))),-1E+030)</f>
        <v>46.7977704678362</v>
      </c>
      <c r="AF2889" s="55" t="n">
        <f aca="false">AD2889+ROW()*0.000000001</f>
        <v>-1.28120182560878</v>
      </c>
      <c r="AG2889" s="55" t="n">
        <f aca="false">AE2889+ROW()*0.000000001</f>
        <v>46.7977733568362</v>
      </c>
    </row>
    <row r="2890" customFormat="false" ht="15" hidden="false" customHeight="false" outlineLevel="0" collapsed="false">
      <c r="A2890" s="0" t="n">
        <v>3</v>
      </c>
      <c r="B2890" s="0" t="n">
        <v>8</v>
      </c>
      <c r="C2890" s="0" t="n">
        <v>5</v>
      </c>
      <c r="D2890" s="0" t="n">
        <v>5</v>
      </c>
      <c r="E2890" s="0" t="n">
        <f aca="false">-1+A2890*0.25</f>
        <v>-0.25</v>
      </c>
      <c r="F2890" s="0" t="n">
        <f aca="false">-1+B2890*0.25</f>
        <v>1</v>
      </c>
      <c r="G2890" s="0" t="n">
        <f aca="false">-1+C2890*0.25</f>
        <v>0.25</v>
      </c>
      <c r="H2890" s="0" t="n">
        <f aca="false">-1+D2890*0.25</f>
        <v>0.25</v>
      </c>
      <c r="I2890" s="0" t="n">
        <f aca="false">1</f>
        <v>1</v>
      </c>
      <c r="J2890" s="0" t="n">
        <f aca="false">E2890</f>
        <v>-0.25</v>
      </c>
      <c r="K2890" s="0" t="n">
        <f aca="false">F2890</f>
        <v>1</v>
      </c>
      <c r="L2890" s="0" t="n">
        <f aca="false">G2890</f>
        <v>0.25</v>
      </c>
      <c r="M2890" s="0" t="n">
        <f aca="false">H2890</f>
        <v>0.25</v>
      </c>
      <c r="N2890" s="0" t="n">
        <f aca="false">E2890*F2890</f>
        <v>-0.25</v>
      </c>
      <c r="O2890" s="0" t="n">
        <f aca="false">E2890*G2890</f>
        <v>-0.0625</v>
      </c>
      <c r="P2890" s="0" t="n">
        <f aca="false">E2890*H2890</f>
        <v>-0.0625</v>
      </c>
      <c r="Q2890" s="0" t="n">
        <f aca="false">F2890*G2890</f>
        <v>0.25</v>
      </c>
      <c r="R2890" s="0" t="n">
        <f aca="false">F2890*H2890</f>
        <v>0.25</v>
      </c>
      <c r="S2890" s="0" t="n">
        <f aca="false">G2890*H2890</f>
        <v>0.0625</v>
      </c>
      <c r="T2890" s="0" t="n">
        <f aca="false">E2890*E2890</f>
        <v>0.0625</v>
      </c>
      <c r="U2890" s="0" t="n">
        <f aca="false">F2890*F2890</f>
        <v>1</v>
      </c>
      <c r="V2890" s="0" t="n">
        <f aca="false">G2890*G2890</f>
        <v>0.0625</v>
      </c>
      <c r="W2890" s="0" t="n">
        <f aca="false">H2890*H2890</f>
        <v>0.0625</v>
      </c>
      <c r="X2890" s="0" t="n">
        <f aca="false">SUMPRODUCT(I2890:W2890,_XtX!$B$96:$P$96)</f>
        <v>46.8322870979532</v>
      </c>
      <c r="Y2890" s="0" t="n">
        <f aca="false">SUMPRODUCT(MMULT(I2890:W2890,_XtX!$B$78:$P$92),I2890:W2890)</f>
        <v>0.457466705500731</v>
      </c>
      <c r="Z2890" s="0" t="n">
        <f aca="false">04_回帰ANOVA!$K$19*04_回帰ANOVA!$K$14*SQRT(1+Y2890)</f>
        <v>1.57361220003999</v>
      </c>
      <c r="AA2890" s="0" t="n">
        <f aca="false">X2890-Z2890</f>
        <v>45.2586748979132</v>
      </c>
      <c r="AB2890" s="0" t="n">
        <f aca="false">X2890+Z2890</f>
        <v>48.4058992979932</v>
      </c>
      <c r="AC2890" s="54" t="b">
        <f aca="false">AND(E2890&gt;=01_因子設定!$L$5-0.000000001,E2890&lt;=01_因子設定!$M$5+0.000000001,F2890&gt;=01_因子設定!$L$6-0.000000001,F2890&lt;=01_因子設定!$M$6+0.000000001,G2890&gt;=01_因子設定!$L$7-0.000000001,G2890&lt;=01_因子設定!$M$7+0.000000001,H2890&gt;=01_因子設定!$L$8-0.000000001,H2890&lt;=01_因子設定!$M$8+0.000000001,IF(01_因子設定!$B$20="Box-Behnken",E2890^2+F2890^2+G2890^2+H2890^2&lt;=2+0.000000001,TRUE()))</f>
        <v>1</v>
      </c>
      <c r="AD2890" s="55" t="n">
        <f aca="false">IF(AC2890,IF(01_因子設定!$B$13="最大化",AA2890-01_因子設定!$B$14,IF(01_因子設定!$B$13="最小化",01_因子設定!$B$15-AB2890,MIN(AA2890-01_因子設定!$B$14,01_因子設定!$B$15-AB2890))),-1E+030)</f>
        <v>-1.24132510208684</v>
      </c>
      <c r="AE2890" s="55" t="n">
        <f aca="false">IF(AC2890,IF(01_因子設定!$B$13="最大化",X2890,IF(01_因子設定!$B$13="最小化",-X2890,-ABS(X2890-01_因子設定!$B$16))),-1E+030)</f>
        <v>46.8322870979532</v>
      </c>
      <c r="AF2890" s="55" t="n">
        <f aca="false">AD2890+ROW()*0.000000001</f>
        <v>-1.24132221208684</v>
      </c>
      <c r="AG2890" s="55" t="n">
        <f aca="false">AE2890+ROW()*0.000000001</f>
        <v>46.8322899879532</v>
      </c>
    </row>
    <row r="2891" customFormat="false" ht="15" hidden="false" customHeight="false" outlineLevel="0" collapsed="false">
      <c r="A2891" s="0" t="n">
        <v>3</v>
      </c>
      <c r="B2891" s="0" t="n">
        <v>8</v>
      </c>
      <c r="C2891" s="0" t="n">
        <v>5</v>
      </c>
      <c r="D2891" s="0" t="n">
        <v>6</v>
      </c>
      <c r="E2891" s="0" t="n">
        <f aca="false">-1+A2891*0.25</f>
        <v>-0.25</v>
      </c>
      <c r="F2891" s="0" t="n">
        <f aca="false">-1+B2891*0.25</f>
        <v>1</v>
      </c>
      <c r="G2891" s="0" t="n">
        <f aca="false">-1+C2891*0.25</f>
        <v>0.25</v>
      </c>
      <c r="H2891" s="0" t="n">
        <f aca="false">-1+D2891*0.25</f>
        <v>0.5</v>
      </c>
      <c r="I2891" s="0" t="n">
        <f aca="false">1</f>
        <v>1</v>
      </c>
      <c r="J2891" s="0" t="n">
        <f aca="false">E2891</f>
        <v>-0.25</v>
      </c>
      <c r="K2891" s="0" t="n">
        <f aca="false">F2891</f>
        <v>1</v>
      </c>
      <c r="L2891" s="0" t="n">
        <f aca="false">G2891</f>
        <v>0.25</v>
      </c>
      <c r="M2891" s="0" t="n">
        <f aca="false">H2891</f>
        <v>0.5</v>
      </c>
      <c r="N2891" s="0" t="n">
        <f aca="false">E2891*F2891</f>
        <v>-0.25</v>
      </c>
      <c r="O2891" s="0" t="n">
        <f aca="false">E2891*G2891</f>
        <v>-0.0625</v>
      </c>
      <c r="P2891" s="0" t="n">
        <f aca="false">E2891*H2891</f>
        <v>-0.125</v>
      </c>
      <c r="Q2891" s="0" t="n">
        <f aca="false">F2891*G2891</f>
        <v>0.25</v>
      </c>
      <c r="R2891" s="0" t="n">
        <f aca="false">F2891*H2891</f>
        <v>0.5</v>
      </c>
      <c r="S2891" s="0" t="n">
        <f aca="false">G2891*H2891</f>
        <v>0.125</v>
      </c>
      <c r="T2891" s="0" t="n">
        <f aca="false">E2891*E2891</f>
        <v>0.0625</v>
      </c>
      <c r="U2891" s="0" t="n">
        <f aca="false">F2891*F2891</f>
        <v>1</v>
      </c>
      <c r="V2891" s="0" t="n">
        <f aca="false">G2891*G2891</f>
        <v>0.0625</v>
      </c>
      <c r="W2891" s="0" t="n">
        <f aca="false">H2891*H2891</f>
        <v>0.25</v>
      </c>
      <c r="X2891" s="0" t="n">
        <f aca="false">SUMPRODUCT(I2891:W2891,_XtX!$B$96:$P$96)</f>
        <v>46.8189967105263</v>
      </c>
      <c r="Y2891" s="0" t="n">
        <f aca="false">SUMPRODUCT(MMULT(I2891:W2891,_XtX!$B$78:$P$92),I2891:W2891)</f>
        <v>0.445705123812135</v>
      </c>
      <c r="Z2891" s="0" t="n">
        <f aca="false">04_回帰ANOVA!$K$19*04_回帰ANOVA!$K$14*SQRT(1+Y2891)</f>
        <v>1.56724990734749</v>
      </c>
      <c r="AA2891" s="0" t="n">
        <f aca="false">X2891-Z2891</f>
        <v>45.2517468031788</v>
      </c>
      <c r="AB2891" s="0" t="n">
        <f aca="false">X2891+Z2891</f>
        <v>48.3862466178738</v>
      </c>
      <c r="AC2891" s="54" t="b">
        <f aca="false">AND(E2891&gt;=01_因子設定!$L$5-0.000000001,E2891&lt;=01_因子設定!$M$5+0.000000001,F2891&gt;=01_因子設定!$L$6-0.000000001,F2891&lt;=01_因子設定!$M$6+0.000000001,G2891&gt;=01_因子設定!$L$7-0.000000001,G2891&lt;=01_因子設定!$M$7+0.000000001,H2891&gt;=01_因子設定!$L$8-0.000000001,H2891&lt;=01_因子設定!$M$8+0.000000001,IF(01_因子設定!$B$20="Box-Behnken",E2891^2+F2891^2+G2891^2+H2891^2&lt;=2+0.000000001,TRUE()))</f>
        <v>1</v>
      </c>
      <c r="AD2891" s="55" t="n">
        <f aca="false">IF(AC2891,IF(01_因子設定!$B$13="最大化",AA2891-01_因子設定!$B$14,IF(01_因子設定!$B$13="最小化",01_因子設定!$B$15-AB2891,MIN(AA2891-01_因子設定!$B$14,01_因子設定!$B$15-AB2891))),-1E+030)</f>
        <v>-1.24825319682122</v>
      </c>
      <c r="AE2891" s="55" t="n">
        <f aca="false">IF(AC2891,IF(01_因子設定!$B$13="最大化",X2891,IF(01_因子設定!$B$13="最小化",-X2891,-ABS(X2891-01_因子設定!$B$16))),-1E+030)</f>
        <v>46.8189967105263</v>
      </c>
      <c r="AF2891" s="55" t="n">
        <f aca="false">AD2891+ROW()*0.000000001</f>
        <v>-1.24825030582122</v>
      </c>
      <c r="AG2891" s="55" t="n">
        <f aca="false">AE2891+ROW()*0.000000001</f>
        <v>46.8189996015263</v>
      </c>
    </row>
    <row r="2892" customFormat="false" ht="15" hidden="false" customHeight="false" outlineLevel="0" collapsed="false">
      <c r="A2892" s="0" t="n">
        <v>3</v>
      </c>
      <c r="B2892" s="0" t="n">
        <v>8</v>
      </c>
      <c r="C2892" s="0" t="n">
        <v>5</v>
      </c>
      <c r="D2892" s="0" t="n">
        <v>7</v>
      </c>
      <c r="E2892" s="0" t="n">
        <f aca="false">-1+A2892*0.25</f>
        <v>-0.25</v>
      </c>
      <c r="F2892" s="0" t="n">
        <f aca="false">-1+B2892*0.25</f>
        <v>1</v>
      </c>
      <c r="G2892" s="0" t="n">
        <f aca="false">-1+C2892*0.25</f>
        <v>0.25</v>
      </c>
      <c r="H2892" s="0" t="n">
        <f aca="false">-1+D2892*0.25</f>
        <v>0.75</v>
      </c>
      <c r="I2892" s="0" t="n">
        <f aca="false">1</f>
        <v>1</v>
      </c>
      <c r="J2892" s="0" t="n">
        <f aca="false">E2892</f>
        <v>-0.25</v>
      </c>
      <c r="K2892" s="0" t="n">
        <f aca="false">F2892</f>
        <v>1</v>
      </c>
      <c r="L2892" s="0" t="n">
        <f aca="false">G2892</f>
        <v>0.25</v>
      </c>
      <c r="M2892" s="0" t="n">
        <f aca="false">H2892</f>
        <v>0.75</v>
      </c>
      <c r="N2892" s="0" t="n">
        <f aca="false">E2892*F2892</f>
        <v>-0.25</v>
      </c>
      <c r="O2892" s="0" t="n">
        <f aca="false">E2892*G2892</f>
        <v>-0.0625</v>
      </c>
      <c r="P2892" s="0" t="n">
        <f aca="false">E2892*H2892</f>
        <v>-0.1875</v>
      </c>
      <c r="Q2892" s="0" t="n">
        <f aca="false">F2892*G2892</f>
        <v>0.25</v>
      </c>
      <c r="R2892" s="0" t="n">
        <f aca="false">F2892*H2892</f>
        <v>0.75</v>
      </c>
      <c r="S2892" s="0" t="n">
        <f aca="false">G2892*H2892</f>
        <v>0.1875</v>
      </c>
      <c r="T2892" s="0" t="n">
        <f aca="false">E2892*E2892</f>
        <v>0.0625</v>
      </c>
      <c r="U2892" s="0" t="n">
        <f aca="false">F2892*F2892</f>
        <v>1</v>
      </c>
      <c r="V2892" s="0" t="n">
        <f aca="false">G2892*G2892</f>
        <v>0.0625</v>
      </c>
      <c r="W2892" s="0" t="n">
        <f aca="false">H2892*H2892</f>
        <v>0.5625</v>
      </c>
      <c r="X2892" s="0" t="n">
        <f aca="false">SUMPRODUCT(I2892:W2892,_XtX!$B$96:$P$96)</f>
        <v>46.7578993055555</v>
      </c>
      <c r="Y2892" s="0" t="n">
        <f aca="false">SUMPRODUCT(MMULT(I2892:W2892,_XtX!$B$78:$P$92),I2892:W2892)</f>
        <v>0.486409505208334</v>
      </c>
      <c r="Z2892" s="0" t="n">
        <f aca="false">04_回帰ANOVA!$K$19*04_回帰ANOVA!$K$14*SQRT(1+Y2892)</f>
        <v>1.58916001665498</v>
      </c>
      <c r="AA2892" s="0" t="n">
        <f aca="false">X2892-Z2892</f>
        <v>45.1687392889005</v>
      </c>
      <c r="AB2892" s="0" t="n">
        <f aca="false">X2892+Z2892</f>
        <v>48.3470593222105</v>
      </c>
      <c r="AC2892" s="54" t="b">
        <f aca="false">AND(E2892&gt;=01_因子設定!$L$5-0.000000001,E2892&lt;=01_因子設定!$M$5+0.000000001,F2892&gt;=01_因子設定!$L$6-0.000000001,F2892&lt;=01_因子設定!$M$6+0.000000001,G2892&gt;=01_因子設定!$L$7-0.000000001,G2892&lt;=01_因子設定!$M$7+0.000000001,H2892&gt;=01_因子設定!$L$8-0.000000001,H2892&lt;=01_因子設定!$M$8+0.000000001,IF(01_因子設定!$B$20="Box-Behnken",E2892^2+F2892^2+G2892^2+H2892^2&lt;=2+0.000000001,TRUE()))</f>
        <v>1</v>
      </c>
      <c r="AD2892" s="55" t="n">
        <f aca="false">IF(AC2892,IF(01_因子設定!$B$13="最大化",AA2892-01_因子設定!$B$14,IF(01_因子設定!$B$13="最小化",01_因子設定!$B$15-AB2892,MIN(AA2892-01_因子設定!$B$14,01_因子設定!$B$15-AB2892))),-1E+030)</f>
        <v>-1.33126071109947</v>
      </c>
      <c r="AE2892" s="55" t="n">
        <f aca="false">IF(AC2892,IF(01_因子設定!$B$13="最大化",X2892,IF(01_因子設定!$B$13="最小化",-X2892,-ABS(X2892-01_因子設定!$B$16))),-1E+030)</f>
        <v>46.7578993055555</v>
      </c>
      <c r="AF2892" s="55" t="n">
        <f aca="false">AD2892+ROW()*0.000000001</f>
        <v>-1.33125781909947</v>
      </c>
      <c r="AG2892" s="55" t="n">
        <f aca="false">AE2892+ROW()*0.000000001</f>
        <v>46.7579021975555</v>
      </c>
    </row>
    <row r="2893" customFormat="false" ht="15" hidden="false" customHeight="false" outlineLevel="0" collapsed="false">
      <c r="A2893" s="0" t="n">
        <v>3</v>
      </c>
      <c r="B2893" s="0" t="n">
        <v>8</v>
      </c>
      <c r="C2893" s="0" t="n">
        <v>5</v>
      </c>
      <c r="D2893" s="0" t="n">
        <v>8</v>
      </c>
      <c r="E2893" s="0" t="n">
        <f aca="false">-1+A2893*0.25</f>
        <v>-0.25</v>
      </c>
      <c r="F2893" s="0" t="n">
        <f aca="false">-1+B2893*0.25</f>
        <v>1</v>
      </c>
      <c r="G2893" s="0" t="n">
        <f aca="false">-1+C2893*0.25</f>
        <v>0.25</v>
      </c>
      <c r="H2893" s="0" t="n">
        <f aca="false">-1+D2893*0.25</f>
        <v>1</v>
      </c>
      <c r="I2893" s="0" t="n">
        <f aca="false">1</f>
        <v>1</v>
      </c>
      <c r="J2893" s="0" t="n">
        <f aca="false">E2893</f>
        <v>-0.25</v>
      </c>
      <c r="K2893" s="0" t="n">
        <f aca="false">F2893</f>
        <v>1</v>
      </c>
      <c r="L2893" s="0" t="n">
        <f aca="false">G2893</f>
        <v>0.25</v>
      </c>
      <c r="M2893" s="0" t="n">
        <f aca="false">H2893</f>
        <v>1</v>
      </c>
      <c r="N2893" s="0" t="n">
        <f aca="false">E2893*F2893</f>
        <v>-0.25</v>
      </c>
      <c r="O2893" s="0" t="n">
        <f aca="false">E2893*G2893</f>
        <v>-0.0625</v>
      </c>
      <c r="P2893" s="0" t="n">
        <f aca="false">E2893*H2893</f>
        <v>-0.25</v>
      </c>
      <c r="Q2893" s="0" t="n">
        <f aca="false">F2893*G2893</f>
        <v>0.25</v>
      </c>
      <c r="R2893" s="0" t="n">
        <f aca="false">F2893*H2893</f>
        <v>1</v>
      </c>
      <c r="S2893" s="0" t="n">
        <f aca="false">G2893*H2893</f>
        <v>0.25</v>
      </c>
      <c r="T2893" s="0" t="n">
        <f aca="false">E2893*E2893</f>
        <v>0.0625</v>
      </c>
      <c r="U2893" s="0" t="n">
        <f aca="false">F2893*F2893</f>
        <v>1</v>
      </c>
      <c r="V2893" s="0" t="n">
        <f aca="false">G2893*G2893</f>
        <v>0.0625</v>
      </c>
      <c r="W2893" s="0" t="n">
        <f aca="false">H2893*H2893</f>
        <v>1</v>
      </c>
      <c r="X2893" s="0" t="n">
        <f aca="false">SUMPRODUCT(I2893:W2893,_XtX!$B$96:$P$96)</f>
        <v>46.6489948830409</v>
      </c>
      <c r="Y2893" s="0" t="n">
        <f aca="false">SUMPRODUCT(MMULT(I2893:W2893,_XtX!$B$78:$P$92),I2893:W2893)</f>
        <v>0.670040376005117</v>
      </c>
      <c r="Z2893" s="0" t="n">
        <f aca="false">04_回帰ANOVA!$K$19*04_回帰ANOVA!$K$14*SQRT(1+Y2893)</f>
        <v>1.68446456039992</v>
      </c>
      <c r="AA2893" s="0" t="n">
        <f aca="false">X2893-Z2893</f>
        <v>44.964530322641</v>
      </c>
      <c r="AB2893" s="0" t="n">
        <f aca="false">X2893+Z2893</f>
        <v>48.3334594434408</v>
      </c>
      <c r="AC2893" s="54" t="b">
        <f aca="false">AND(E2893&gt;=01_因子設定!$L$5-0.000000001,E2893&lt;=01_因子設定!$M$5+0.000000001,F2893&gt;=01_因子設定!$L$6-0.000000001,F2893&lt;=01_因子設定!$M$6+0.000000001,G2893&gt;=01_因子設定!$L$7-0.000000001,G2893&lt;=01_因子設定!$M$7+0.000000001,H2893&gt;=01_因子設定!$L$8-0.000000001,H2893&lt;=01_因子設定!$M$8+0.000000001,IF(01_因子設定!$B$20="Box-Behnken",E2893^2+F2893^2+G2893^2+H2893^2&lt;=2+0.000000001,TRUE()))</f>
        <v>1</v>
      </c>
      <c r="AD2893" s="55" t="n">
        <f aca="false">IF(AC2893,IF(01_因子設定!$B$13="最大化",AA2893-01_因子設定!$B$14,IF(01_因子設定!$B$13="最小化",01_因子設定!$B$15-AB2893,MIN(AA2893-01_因子設定!$B$14,01_因子設定!$B$15-AB2893))),-1E+030)</f>
        <v>-1.535469677359</v>
      </c>
      <c r="AE2893" s="55" t="n">
        <f aca="false">IF(AC2893,IF(01_因子設定!$B$13="最大化",X2893,IF(01_因子設定!$B$13="最小化",-X2893,-ABS(X2893-01_因子設定!$B$16))),-1E+030)</f>
        <v>46.6489948830409</v>
      </c>
      <c r="AF2893" s="55" t="n">
        <f aca="false">AD2893+ROW()*0.000000001</f>
        <v>-1.535466784359</v>
      </c>
      <c r="AG2893" s="55" t="n">
        <f aca="false">AE2893+ROW()*0.000000001</f>
        <v>46.6489977760409</v>
      </c>
    </row>
    <row r="2894" customFormat="false" ht="15" hidden="false" customHeight="false" outlineLevel="0" collapsed="false">
      <c r="A2894" s="0" t="n">
        <v>3</v>
      </c>
      <c r="B2894" s="0" t="n">
        <v>8</v>
      </c>
      <c r="C2894" s="0" t="n">
        <v>6</v>
      </c>
      <c r="D2894" s="0" t="n">
        <v>0</v>
      </c>
      <c r="E2894" s="0" t="n">
        <f aca="false">-1+A2894*0.25</f>
        <v>-0.25</v>
      </c>
      <c r="F2894" s="0" t="n">
        <f aca="false">-1+B2894*0.25</f>
        <v>1</v>
      </c>
      <c r="G2894" s="0" t="n">
        <f aca="false">-1+C2894*0.25</f>
        <v>0.5</v>
      </c>
      <c r="H2894" s="0" t="n">
        <f aca="false">-1+D2894*0.25</f>
        <v>-1</v>
      </c>
      <c r="I2894" s="0" t="n">
        <f aca="false">1</f>
        <v>1</v>
      </c>
      <c r="J2894" s="0" t="n">
        <f aca="false">E2894</f>
        <v>-0.25</v>
      </c>
      <c r="K2894" s="0" t="n">
        <f aca="false">F2894</f>
        <v>1</v>
      </c>
      <c r="L2894" s="0" t="n">
        <f aca="false">G2894</f>
        <v>0.5</v>
      </c>
      <c r="M2894" s="0" t="n">
        <f aca="false">H2894</f>
        <v>-1</v>
      </c>
      <c r="N2894" s="0" t="n">
        <f aca="false">E2894*F2894</f>
        <v>-0.25</v>
      </c>
      <c r="O2894" s="0" t="n">
        <f aca="false">E2894*G2894</f>
        <v>-0.125</v>
      </c>
      <c r="P2894" s="0" t="n">
        <f aca="false">E2894*H2894</f>
        <v>0.25</v>
      </c>
      <c r="Q2894" s="0" t="n">
        <f aca="false">F2894*G2894</f>
        <v>0.5</v>
      </c>
      <c r="R2894" s="0" t="n">
        <f aca="false">F2894*H2894</f>
        <v>-1</v>
      </c>
      <c r="S2894" s="0" t="n">
        <f aca="false">G2894*H2894</f>
        <v>-0.5</v>
      </c>
      <c r="T2894" s="0" t="n">
        <f aca="false">E2894*E2894</f>
        <v>0.0625</v>
      </c>
      <c r="U2894" s="0" t="n">
        <f aca="false">F2894*F2894</f>
        <v>1</v>
      </c>
      <c r="V2894" s="0" t="n">
        <f aca="false">G2894*G2894</f>
        <v>0.25</v>
      </c>
      <c r="W2894" s="0" t="n">
        <f aca="false">H2894*H2894</f>
        <v>1</v>
      </c>
      <c r="X2894" s="0" t="n">
        <f aca="false">SUMPRODUCT(I2894:W2894,_XtX!$B$96:$P$96)</f>
        <v>46.3463815789473</v>
      </c>
      <c r="Y2894" s="0" t="n">
        <f aca="false">SUMPRODUCT(MMULT(I2894:W2894,_XtX!$B$78:$P$92),I2894:W2894)</f>
        <v>0.629174661915205</v>
      </c>
      <c r="Z2894" s="0" t="n">
        <f aca="false">04_回帰ANOVA!$K$19*04_回帰ANOVA!$K$14*SQRT(1+Y2894)</f>
        <v>1.66372758058297</v>
      </c>
      <c r="AA2894" s="0" t="n">
        <f aca="false">X2894-Z2894</f>
        <v>44.6826539983644</v>
      </c>
      <c r="AB2894" s="0" t="n">
        <f aca="false">X2894+Z2894</f>
        <v>48.0101091595303</v>
      </c>
      <c r="AC2894" s="54" t="b">
        <f aca="false">AND(E2894&gt;=01_因子設定!$L$5-0.000000001,E2894&lt;=01_因子設定!$M$5+0.000000001,F2894&gt;=01_因子設定!$L$6-0.000000001,F2894&lt;=01_因子設定!$M$6+0.000000001,G2894&gt;=01_因子設定!$L$7-0.000000001,G2894&lt;=01_因子設定!$M$7+0.000000001,H2894&gt;=01_因子設定!$L$8-0.000000001,H2894&lt;=01_因子設定!$M$8+0.000000001,IF(01_因子設定!$B$20="Box-Behnken",E2894^2+F2894^2+G2894^2+H2894^2&lt;=2+0.000000001,TRUE()))</f>
        <v>1</v>
      </c>
      <c r="AD2894" s="55" t="n">
        <f aca="false">IF(AC2894,IF(01_因子設定!$B$13="最大化",AA2894-01_因子設定!$B$14,IF(01_因子設定!$B$13="最小化",01_因子設定!$B$15-AB2894,MIN(AA2894-01_因子設定!$B$14,01_因子設定!$B$15-AB2894))),-1E+030)</f>
        <v>-1.81734600163563</v>
      </c>
      <c r="AE2894" s="55" t="n">
        <f aca="false">IF(AC2894,IF(01_因子設定!$B$13="最大化",X2894,IF(01_因子設定!$B$13="最小化",-X2894,-ABS(X2894-01_因子設定!$B$16))),-1E+030)</f>
        <v>46.3463815789473</v>
      </c>
      <c r="AF2894" s="55" t="n">
        <f aca="false">AD2894+ROW()*0.000000001</f>
        <v>-1.81734310763563</v>
      </c>
      <c r="AG2894" s="55" t="n">
        <f aca="false">AE2894+ROW()*0.000000001</f>
        <v>46.3463844729473</v>
      </c>
    </row>
    <row r="2895" customFormat="false" ht="15" hidden="false" customHeight="false" outlineLevel="0" collapsed="false">
      <c r="A2895" s="0" t="n">
        <v>3</v>
      </c>
      <c r="B2895" s="0" t="n">
        <v>8</v>
      </c>
      <c r="C2895" s="0" t="n">
        <v>6</v>
      </c>
      <c r="D2895" s="0" t="n">
        <v>1</v>
      </c>
      <c r="E2895" s="0" t="n">
        <f aca="false">-1+A2895*0.25</f>
        <v>-0.25</v>
      </c>
      <c r="F2895" s="0" t="n">
        <f aca="false">-1+B2895*0.25</f>
        <v>1</v>
      </c>
      <c r="G2895" s="0" t="n">
        <f aca="false">-1+C2895*0.25</f>
        <v>0.5</v>
      </c>
      <c r="H2895" s="0" t="n">
        <f aca="false">-1+D2895*0.25</f>
        <v>-0.75</v>
      </c>
      <c r="I2895" s="0" t="n">
        <f aca="false">1</f>
        <v>1</v>
      </c>
      <c r="J2895" s="0" t="n">
        <f aca="false">E2895</f>
        <v>-0.25</v>
      </c>
      <c r="K2895" s="0" t="n">
        <f aca="false">F2895</f>
        <v>1</v>
      </c>
      <c r="L2895" s="0" t="n">
        <f aca="false">G2895</f>
        <v>0.5</v>
      </c>
      <c r="M2895" s="0" t="n">
        <f aca="false">H2895</f>
        <v>-0.75</v>
      </c>
      <c r="N2895" s="0" t="n">
        <f aca="false">E2895*F2895</f>
        <v>-0.25</v>
      </c>
      <c r="O2895" s="0" t="n">
        <f aca="false">E2895*G2895</f>
        <v>-0.125</v>
      </c>
      <c r="P2895" s="0" t="n">
        <f aca="false">E2895*H2895</f>
        <v>0.1875</v>
      </c>
      <c r="Q2895" s="0" t="n">
        <f aca="false">F2895*G2895</f>
        <v>0.5</v>
      </c>
      <c r="R2895" s="0" t="n">
        <f aca="false">F2895*H2895</f>
        <v>-0.75</v>
      </c>
      <c r="S2895" s="0" t="n">
        <f aca="false">G2895*H2895</f>
        <v>-0.375</v>
      </c>
      <c r="T2895" s="0" t="n">
        <f aca="false">E2895*E2895</f>
        <v>0.0625</v>
      </c>
      <c r="U2895" s="0" t="n">
        <f aca="false">F2895*F2895</f>
        <v>1</v>
      </c>
      <c r="V2895" s="0" t="n">
        <f aca="false">G2895*G2895</f>
        <v>0.25</v>
      </c>
      <c r="W2895" s="0" t="n">
        <f aca="false">H2895*H2895</f>
        <v>0.5625</v>
      </c>
      <c r="X2895" s="0" t="n">
        <f aca="false">SUMPRODUCT(I2895:W2895,_XtX!$B$96:$P$96)</f>
        <v>46.5900950292397</v>
      </c>
      <c r="Y2895" s="0" t="n">
        <f aca="false">SUMPRODUCT(MMULT(I2895:W2895,_XtX!$B$78:$P$92),I2895:W2895)</f>
        <v>0.459125719572369</v>
      </c>
      <c r="Z2895" s="0" t="n">
        <f aca="false">04_回帰ANOVA!$K$19*04_回帰ANOVA!$K$14*SQRT(1+Y2895)</f>
        <v>1.57450755575573</v>
      </c>
      <c r="AA2895" s="0" t="n">
        <f aca="false">X2895-Z2895</f>
        <v>45.015587473484</v>
      </c>
      <c r="AB2895" s="0" t="n">
        <f aca="false">X2895+Z2895</f>
        <v>48.1646025849955</v>
      </c>
      <c r="AC2895" s="54" t="b">
        <f aca="false">AND(E2895&gt;=01_因子設定!$L$5-0.000000001,E2895&lt;=01_因子設定!$M$5+0.000000001,F2895&gt;=01_因子設定!$L$6-0.000000001,F2895&lt;=01_因子設定!$M$6+0.000000001,G2895&gt;=01_因子設定!$L$7-0.000000001,G2895&lt;=01_因子設定!$M$7+0.000000001,H2895&gt;=01_因子設定!$L$8-0.000000001,H2895&lt;=01_因子設定!$M$8+0.000000001,IF(01_因子設定!$B$20="Box-Behnken",E2895^2+F2895^2+G2895^2+H2895^2&lt;=2+0.000000001,TRUE()))</f>
        <v>1</v>
      </c>
      <c r="AD2895" s="55" t="n">
        <f aca="false">IF(AC2895,IF(01_因子設定!$B$13="最大化",AA2895-01_因子設定!$B$14,IF(01_因子設定!$B$13="最小化",01_因子設定!$B$15-AB2895,MIN(AA2895-01_因子設定!$B$14,01_因子設定!$B$15-AB2895))),-1E+030)</f>
        <v>-1.484412526516</v>
      </c>
      <c r="AE2895" s="55" t="n">
        <f aca="false">IF(AC2895,IF(01_因子設定!$B$13="最大化",X2895,IF(01_因子設定!$B$13="最小化",-X2895,-ABS(X2895-01_因子設定!$B$16))),-1E+030)</f>
        <v>46.5900950292397</v>
      </c>
      <c r="AF2895" s="55" t="n">
        <f aca="false">AD2895+ROW()*0.000000001</f>
        <v>-1.484409631516</v>
      </c>
      <c r="AG2895" s="55" t="n">
        <f aca="false">AE2895+ROW()*0.000000001</f>
        <v>46.5900979242397</v>
      </c>
    </row>
    <row r="2896" customFormat="false" ht="15" hidden="false" customHeight="false" outlineLevel="0" collapsed="false">
      <c r="A2896" s="0" t="n">
        <v>3</v>
      </c>
      <c r="B2896" s="0" t="n">
        <v>8</v>
      </c>
      <c r="C2896" s="0" t="n">
        <v>6</v>
      </c>
      <c r="D2896" s="0" t="n">
        <v>2</v>
      </c>
      <c r="E2896" s="0" t="n">
        <f aca="false">-1+A2896*0.25</f>
        <v>-0.25</v>
      </c>
      <c r="F2896" s="0" t="n">
        <f aca="false">-1+B2896*0.25</f>
        <v>1</v>
      </c>
      <c r="G2896" s="0" t="n">
        <f aca="false">-1+C2896*0.25</f>
        <v>0.5</v>
      </c>
      <c r="H2896" s="0" t="n">
        <f aca="false">-1+D2896*0.25</f>
        <v>-0.5</v>
      </c>
      <c r="I2896" s="0" t="n">
        <f aca="false">1</f>
        <v>1</v>
      </c>
      <c r="J2896" s="0" t="n">
        <f aca="false">E2896</f>
        <v>-0.25</v>
      </c>
      <c r="K2896" s="0" t="n">
        <f aca="false">F2896</f>
        <v>1</v>
      </c>
      <c r="L2896" s="0" t="n">
        <f aca="false">G2896</f>
        <v>0.5</v>
      </c>
      <c r="M2896" s="0" t="n">
        <f aca="false">H2896</f>
        <v>-0.5</v>
      </c>
      <c r="N2896" s="0" t="n">
        <f aca="false">E2896*F2896</f>
        <v>-0.25</v>
      </c>
      <c r="O2896" s="0" t="n">
        <f aca="false">E2896*G2896</f>
        <v>-0.125</v>
      </c>
      <c r="P2896" s="0" t="n">
        <f aca="false">E2896*H2896</f>
        <v>0.125</v>
      </c>
      <c r="Q2896" s="0" t="n">
        <f aca="false">F2896*G2896</f>
        <v>0.5</v>
      </c>
      <c r="R2896" s="0" t="n">
        <f aca="false">F2896*H2896</f>
        <v>-0.5</v>
      </c>
      <c r="S2896" s="0" t="n">
        <f aca="false">G2896*H2896</f>
        <v>-0.25</v>
      </c>
      <c r="T2896" s="0" t="n">
        <f aca="false">E2896*E2896</f>
        <v>0.0625</v>
      </c>
      <c r="U2896" s="0" t="n">
        <f aca="false">F2896*F2896</f>
        <v>1</v>
      </c>
      <c r="V2896" s="0" t="n">
        <f aca="false">G2896*G2896</f>
        <v>0.25</v>
      </c>
      <c r="W2896" s="0" t="n">
        <f aca="false">H2896*H2896</f>
        <v>0.25</v>
      </c>
      <c r="X2896" s="0" t="n">
        <f aca="false">SUMPRODUCT(I2896:W2896,_XtX!$B$96:$P$96)</f>
        <v>46.7860014619883</v>
      </c>
      <c r="Y2896" s="0" t="n">
        <f aca="false">SUMPRODUCT(MMULT(I2896:W2896,_XtX!$B$78:$P$92),I2896:W2896)</f>
        <v>0.428122715643275</v>
      </c>
      <c r="Z2896" s="0" t="n">
        <f aca="false">04_回帰ANOVA!$K$19*04_回帰ANOVA!$K$14*SQRT(1+Y2896)</f>
        <v>1.55769044623229</v>
      </c>
      <c r="AA2896" s="0" t="n">
        <f aca="false">X2896-Z2896</f>
        <v>45.228311015756</v>
      </c>
      <c r="AB2896" s="0" t="n">
        <f aca="false">X2896+Z2896</f>
        <v>48.3436919082206</v>
      </c>
      <c r="AC2896" s="54" t="b">
        <f aca="false">AND(E2896&gt;=01_因子設定!$L$5-0.000000001,E2896&lt;=01_因子設定!$M$5+0.000000001,F2896&gt;=01_因子設定!$L$6-0.000000001,F2896&lt;=01_因子設定!$M$6+0.000000001,G2896&gt;=01_因子設定!$L$7-0.000000001,G2896&lt;=01_因子設定!$M$7+0.000000001,H2896&gt;=01_因子設定!$L$8-0.000000001,H2896&lt;=01_因子設定!$M$8+0.000000001,IF(01_因子設定!$B$20="Box-Behnken",E2896^2+F2896^2+G2896^2+H2896^2&lt;=2+0.000000001,TRUE()))</f>
        <v>1</v>
      </c>
      <c r="AD2896" s="55" t="n">
        <f aca="false">IF(AC2896,IF(01_因子設定!$B$13="最大化",AA2896-01_因子設定!$B$14,IF(01_因子設定!$B$13="最小化",01_因子設定!$B$15-AB2896,MIN(AA2896-01_因子設定!$B$14,01_因子設定!$B$15-AB2896))),-1E+030)</f>
        <v>-1.27168898424404</v>
      </c>
      <c r="AE2896" s="55" t="n">
        <f aca="false">IF(AC2896,IF(01_因子設定!$B$13="最大化",X2896,IF(01_因子設定!$B$13="最小化",-X2896,-ABS(X2896-01_因子設定!$B$16))),-1E+030)</f>
        <v>46.7860014619883</v>
      </c>
      <c r="AF2896" s="55" t="n">
        <f aca="false">AD2896+ROW()*0.000000001</f>
        <v>-1.27168608824404</v>
      </c>
      <c r="AG2896" s="55" t="n">
        <f aca="false">AE2896+ROW()*0.000000001</f>
        <v>46.7860043579883</v>
      </c>
    </row>
    <row r="2897" customFormat="false" ht="15" hidden="false" customHeight="false" outlineLevel="0" collapsed="false">
      <c r="A2897" s="0" t="n">
        <v>3</v>
      </c>
      <c r="B2897" s="0" t="n">
        <v>8</v>
      </c>
      <c r="C2897" s="0" t="n">
        <v>6</v>
      </c>
      <c r="D2897" s="0" t="n">
        <v>3</v>
      </c>
      <c r="E2897" s="0" t="n">
        <f aca="false">-1+A2897*0.25</f>
        <v>-0.25</v>
      </c>
      <c r="F2897" s="0" t="n">
        <f aca="false">-1+B2897*0.25</f>
        <v>1</v>
      </c>
      <c r="G2897" s="0" t="n">
        <f aca="false">-1+C2897*0.25</f>
        <v>0.5</v>
      </c>
      <c r="H2897" s="0" t="n">
        <f aca="false">-1+D2897*0.25</f>
        <v>-0.25</v>
      </c>
      <c r="I2897" s="0" t="n">
        <f aca="false">1</f>
        <v>1</v>
      </c>
      <c r="J2897" s="0" t="n">
        <f aca="false">E2897</f>
        <v>-0.25</v>
      </c>
      <c r="K2897" s="0" t="n">
        <f aca="false">F2897</f>
        <v>1</v>
      </c>
      <c r="L2897" s="0" t="n">
        <f aca="false">G2897</f>
        <v>0.5</v>
      </c>
      <c r="M2897" s="0" t="n">
        <f aca="false">H2897</f>
        <v>-0.25</v>
      </c>
      <c r="N2897" s="0" t="n">
        <f aca="false">E2897*F2897</f>
        <v>-0.25</v>
      </c>
      <c r="O2897" s="0" t="n">
        <f aca="false">E2897*G2897</f>
        <v>-0.125</v>
      </c>
      <c r="P2897" s="0" t="n">
        <f aca="false">E2897*H2897</f>
        <v>0.0625</v>
      </c>
      <c r="Q2897" s="0" t="n">
        <f aca="false">F2897*G2897</f>
        <v>0.5</v>
      </c>
      <c r="R2897" s="0" t="n">
        <f aca="false">F2897*H2897</f>
        <v>-0.25</v>
      </c>
      <c r="S2897" s="0" t="n">
        <f aca="false">G2897*H2897</f>
        <v>-0.125</v>
      </c>
      <c r="T2897" s="0" t="n">
        <f aca="false">E2897*E2897</f>
        <v>0.0625</v>
      </c>
      <c r="U2897" s="0" t="n">
        <f aca="false">F2897*F2897</f>
        <v>1</v>
      </c>
      <c r="V2897" s="0" t="n">
        <f aca="false">G2897*G2897</f>
        <v>0.25</v>
      </c>
      <c r="W2897" s="0" t="n">
        <f aca="false">H2897*H2897</f>
        <v>0.0625</v>
      </c>
      <c r="X2897" s="0" t="n">
        <f aca="false">SUMPRODUCT(I2897:W2897,_XtX!$B$96:$P$96)</f>
        <v>46.9341008771929</v>
      </c>
      <c r="Y2897" s="0" t="n">
        <f aca="false">SUMPRODUCT(MMULT(I2897:W2897,_XtX!$B$78:$P$92),I2897:W2897)</f>
        <v>0.445705123812135</v>
      </c>
      <c r="Z2897" s="0" t="n">
        <f aca="false">04_回帰ANOVA!$K$19*04_回帰ANOVA!$K$14*SQRT(1+Y2897)</f>
        <v>1.56724990734749</v>
      </c>
      <c r="AA2897" s="0" t="n">
        <f aca="false">X2897-Z2897</f>
        <v>45.3668509698454</v>
      </c>
      <c r="AB2897" s="0" t="n">
        <f aca="false">X2897+Z2897</f>
        <v>48.5013507845404</v>
      </c>
      <c r="AC2897" s="54" t="b">
        <f aca="false">AND(E2897&gt;=01_因子設定!$L$5-0.000000001,E2897&lt;=01_因子設定!$M$5+0.000000001,F2897&gt;=01_因子設定!$L$6-0.000000001,F2897&lt;=01_因子設定!$M$6+0.000000001,G2897&gt;=01_因子設定!$L$7-0.000000001,G2897&lt;=01_因子設定!$M$7+0.000000001,H2897&gt;=01_因子設定!$L$8-0.000000001,H2897&lt;=01_因子設定!$M$8+0.000000001,IF(01_因子設定!$B$20="Box-Behnken",E2897^2+F2897^2+G2897^2+H2897^2&lt;=2+0.000000001,TRUE()))</f>
        <v>1</v>
      </c>
      <c r="AD2897" s="55" t="n">
        <f aca="false">IF(AC2897,IF(01_因子設定!$B$13="最大化",AA2897-01_因子設定!$B$14,IF(01_因子設定!$B$13="最小化",01_因子設定!$B$15-AB2897,MIN(AA2897-01_因子設定!$B$14,01_因子設定!$B$15-AB2897))),-1E+030)</f>
        <v>-1.13314903015456</v>
      </c>
      <c r="AE2897" s="55" t="n">
        <f aca="false">IF(AC2897,IF(01_因子設定!$B$13="最大化",X2897,IF(01_因子設定!$B$13="最小化",-X2897,-ABS(X2897-01_因子設定!$B$16))),-1E+030)</f>
        <v>46.9341008771929</v>
      </c>
      <c r="AF2897" s="55" t="n">
        <f aca="false">AD2897+ROW()*0.000000001</f>
        <v>-1.13314613315456</v>
      </c>
      <c r="AG2897" s="55" t="n">
        <f aca="false">AE2897+ROW()*0.000000001</f>
        <v>46.9341037741929</v>
      </c>
    </row>
    <row r="2898" customFormat="false" ht="15" hidden="false" customHeight="false" outlineLevel="0" collapsed="false">
      <c r="A2898" s="0" t="n">
        <v>3</v>
      </c>
      <c r="B2898" s="0" t="n">
        <v>8</v>
      </c>
      <c r="C2898" s="0" t="n">
        <v>6</v>
      </c>
      <c r="D2898" s="0" t="n">
        <v>4</v>
      </c>
      <c r="E2898" s="0" t="n">
        <f aca="false">-1+A2898*0.25</f>
        <v>-0.25</v>
      </c>
      <c r="F2898" s="0" t="n">
        <f aca="false">-1+B2898*0.25</f>
        <v>1</v>
      </c>
      <c r="G2898" s="0" t="n">
        <f aca="false">-1+C2898*0.25</f>
        <v>0.5</v>
      </c>
      <c r="H2898" s="0" t="n">
        <f aca="false">-1+D2898*0.25</f>
        <v>0</v>
      </c>
      <c r="I2898" s="0" t="n">
        <f aca="false">1</f>
        <v>1</v>
      </c>
      <c r="J2898" s="0" t="n">
        <f aca="false">E2898</f>
        <v>-0.25</v>
      </c>
      <c r="K2898" s="0" t="n">
        <f aca="false">F2898</f>
        <v>1</v>
      </c>
      <c r="L2898" s="0" t="n">
        <f aca="false">G2898</f>
        <v>0.5</v>
      </c>
      <c r="M2898" s="0" t="n">
        <f aca="false">H2898</f>
        <v>0</v>
      </c>
      <c r="N2898" s="0" t="n">
        <f aca="false">E2898*F2898</f>
        <v>-0.25</v>
      </c>
      <c r="O2898" s="0" t="n">
        <f aca="false">E2898*G2898</f>
        <v>-0.125</v>
      </c>
      <c r="P2898" s="0" t="n">
        <f aca="false">E2898*H2898</f>
        <v>-0</v>
      </c>
      <c r="Q2898" s="0" t="n">
        <f aca="false">F2898*G2898</f>
        <v>0.5</v>
      </c>
      <c r="R2898" s="0" t="n">
        <f aca="false">F2898*H2898</f>
        <v>0</v>
      </c>
      <c r="S2898" s="0" t="n">
        <f aca="false">G2898*H2898</f>
        <v>0</v>
      </c>
      <c r="T2898" s="0" t="n">
        <f aca="false">E2898*E2898</f>
        <v>0.0625</v>
      </c>
      <c r="U2898" s="0" t="n">
        <f aca="false">F2898*F2898</f>
        <v>1</v>
      </c>
      <c r="V2898" s="0" t="n">
        <f aca="false">G2898*G2898</f>
        <v>0.25</v>
      </c>
      <c r="W2898" s="0" t="n">
        <f aca="false">H2898*H2898</f>
        <v>0</v>
      </c>
      <c r="X2898" s="0" t="n">
        <f aca="false">SUMPRODUCT(I2898:W2898,_XtX!$B$96:$P$96)</f>
        <v>47.0343932748537</v>
      </c>
      <c r="Y2898" s="0" t="n">
        <f aca="false">SUMPRODUCT(MMULT(I2898:W2898,_XtX!$B$78:$P$92),I2898:W2898)</f>
        <v>0.457596628289474</v>
      </c>
      <c r="Z2898" s="0" t="n">
        <f aca="false">04_回帰ANOVA!$K$19*04_回帰ANOVA!$K$14*SQRT(1+Y2898)</f>
        <v>1.57368233664366</v>
      </c>
      <c r="AA2898" s="0" t="n">
        <f aca="false">X2898-Z2898</f>
        <v>45.4607109382101</v>
      </c>
      <c r="AB2898" s="0" t="n">
        <f aca="false">X2898+Z2898</f>
        <v>48.6080756114974</v>
      </c>
      <c r="AC2898" s="54" t="b">
        <f aca="false">AND(E2898&gt;=01_因子設定!$L$5-0.000000001,E2898&lt;=01_因子設定!$M$5+0.000000001,F2898&gt;=01_因子設定!$L$6-0.000000001,F2898&lt;=01_因子設定!$M$6+0.000000001,G2898&gt;=01_因子設定!$L$7-0.000000001,G2898&lt;=01_因子設定!$M$7+0.000000001,H2898&gt;=01_因子設定!$L$8-0.000000001,H2898&lt;=01_因子設定!$M$8+0.000000001,IF(01_因子設定!$B$20="Box-Behnken",E2898^2+F2898^2+G2898^2+H2898^2&lt;=2+0.000000001,TRUE()))</f>
        <v>1</v>
      </c>
      <c r="AD2898" s="55" t="n">
        <f aca="false">IF(AC2898,IF(01_因子設定!$B$13="最大化",AA2898-01_因子設定!$B$14,IF(01_因子設定!$B$13="最小化",01_因子設定!$B$15-AB2898,MIN(AA2898-01_因子設定!$B$14,01_因子設定!$B$15-AB2898))),-1E+030)</f>
        <v>-1.03928906178992</v>
      </c>
      <c r="AE2898" s="55" t="n">
        <f aca="false">IF(AC2898,IF(01_因子設定!$B$13="最大化",X2898,IF(01_因子設定!$B$13="最小化",-X2898,-ABS(X2898-01_因子設定!$B$16))),-1E+030)</f>
        <v>47.0343932748537</v>
      </c>
      <c r="AF2898" s="55" t="n">
        <f aca="false">AD2898+ROW()*0.000000001</f>
        <v>-1.03928616378992</v>
      </c>
      <c r="AG2898" s="55" t="n">
        <f aca="false">AE2898+ROW()*0.000000001</f>
        <v>47.0343961728537</v>
      </c>
    </row>
    <row r="2899" customFormat="false" ht="15" hidden="false" customHeight="false" outlineLevel="0" collapsed="false">
      <c r="A2899" s="0" t="n">
        <v>3</v>
      </c>
      <c r="B2899" s="0" t="n">
        <v>8</v>
      </c>
      <c r="C2899" s="0" t="n">
        <v>6</v>
      </c>
      <c r="D2899" s="0" t="n">
        <v>5</v>
      </c>
      <c r="E2899" s="0" t="n">
        <f aca="false">-1+A2899*0.25</f>
        <v>-0.25</v>
      </c>
      <c r="F2899" s="0" t="n">
        <f aca="false">-1+B2899*0.25</f>
        <v>1</v>
      </c>
      <c r="G2899" s="0" t="n">
        <f aca="false">-1+C2899*0.25</f>
        <v>0.5</v>
      </c>
      <c r="H2899" s="0" t="n">
        <f aca="false">-1+D2899*0.25</f>
        <v>0.25</v>
      </c>
      <c r="I2899" s="0" t="n">
        <f aca="false">1</f>
        <v>1</v>
      </c>
      <c r="J2899" s="0" t="n">
        <f aca="false">E2899</f>
        <v>-0.25</v>
      </c>
      <c r="K2899" s="0" t="n">
        <f aca="false">F2899</f>
        <v>1</v>
      </c>
      <c r="L2899" s="0" t="n">
        <f aca="false">G2899</f>
        <v>0.5</v>
      </c>
      <c r="M2899" s="0" t="n">
        <f aca="false">H2899</f>
        <v>0.25</v>
      </c>
      <c r="N2899" s="0" t="n">
        <f aca="false">E2899*F2899</f>
        <v>-0.25</v>
      </c>
      <c r="O2899" s="0" t="n">
        <f aca="false">E2899*G2899</f>
        <v>-0.125</v>
      </c>
      <c r="P2899" s="0" t="n">
        <f aca="false">E2899*H2899</f>
        <v>-0.0625</v>
      </c>
      <c r="Q2899" s="0" t="n">
        <f aca="false">F2899*G2899</f>
        <v>0.5</v>
      </c>
      <c r="R2899" s="0" t="n">
        <f aca="false">F2899*H2899</f>
        <v>0.25</v>
      </c>
      <c r="S2899" s="0" t="n">
        <f aca="false">G2899*H2899</f>
        <v>0.125</v>
      </c>
      <c r="T2899" s="0" t="n">
        <f aca="false">E2899*E2899</f>
        <v>0.0625</v>
      </c>
      <c r="U2899" s="0" t="n">
        <f aca="false">F2899*F2899</f>
        <v>1</v>
      </c>
      <c r="V2899" s="0" t="n">
        <f aca="false">G2899*G2899</f>
        <v>0.25</v>
      </c>
      <c r="W2899" s="0" t="n">
        <f aca="false">H2899*H2899</f>
        <v>0.0625</v>
      </c>
      <c r="X2899" s="0" t="n">
        <f aca="false">SUMPRODUCT(I2899:W2899,_XtX!$B$96:$P$96)</f>
        <v>47.0868786549707</v>
      </c>
      <c r="Y2899" s="0" t="n">
        <f aca="false">SUMPRODUCT(MMULT(I2899:W2899,_XtX!$B$78:$P$92),I2899:W2899)</f>
        <v>0.445705123812135</v>
      </c>
      <c r="Z2899" s="0" t="n">
        <f aca="false">04_回帰ANOVA!$K$19*04_回帰ANOVA!$K$14*SQRT(1+Y2899)</f>
        <v>1.56724990734749</v>
      </c>
      <c r="AA2899" s="0" t="n">
        <f aca="false">X2899-Z2899</f>
        <v>45.5196287476232</v>
      </c>
      <c r="AB2899" s="0" t="n">
        <f aca="false">X2899+Z2899</f>
        <v>48.6541285623182</v>
      </c>
      <c r="AC2899" s="54" t="b">
        <f aca="false">AND(E2899&gt;=01_因子設定!$L$5-0.000000001,E2899&lt;=01_因子設定!$M$5+0.000000001,F2899&gt;=01_因子設定!$L$6-0.000000001,F2899&lt;=01_因子設定!$M$6+0.000000001,G2899&gt;=01_因子設定!$L$7-0.000000001,G2899&lt;=01_因子設定!$M$7+0.000000001,H2899&gt;=01_因子設定!$L$8-0.000000001,H2899&lt;=01_因子設定!$M$8+0.000000001,IF(01_因子設定!$B$20="Box-Behnken",E2899^2+F2899^2+G2899^2+H2899^2&lt;=2+0.000000001,TRUE()))</f>
        <v>1</v>
      </c>
      <c r="AD2899" s="55" t="n">
        <f aca="false">IF(AC2899,IF(01_因子設定!$B$13="最大化",AA2899-01_因子設定!$B$14,IF(01_因子設定!$B$13="最小化",01_因子設定!$B$15-AB2899,MIN(AA2899-01_因子設定!$B$14,01_因子設定!$B$15-AB2899))),-1E+030)</f>
        <v>-0.980371252376784</v>
      </c>
      <c r="AE2899" s="55" t="n">
        <f aca="false">IF(AC2899,IF(01_因子設定!$B$13="最大化",X2899,IF(01_因子設定!$B$13="最小化",-X2899,-ABS(X2899-01_因子設定!$B$16))),-1E+030)</f>
        <v>47.0868786549707</v>
      </c>
      <c r="AF2899" s="55" t="n">
        <f aca="false">AD2899+ROW()*0.000000001</f>
        <v>-0.980368353376784</v>
      </c>
      <c r="AG2899" s="55" t="n">
        <f aca="false">AE2899+ROW()*0.000000001</f>
        <v>47.0868815539707</v>
      </c>
    </row>
    <row r="2900" customFormat="false" ht="15" hidden="false" customHeight="false" outlineLevel="0" collapsed="false">
      <c r="A2900" s="0" t="n">
        <v>3</v>
      </c>
      <c r="B2900" s="0" t="n">
        <v>8</v>
      </c>
      <c r="C2900" s="0" t="n">
        <v>6</v>
      </c>
      <c r="D2900" s="0" t="n">
        <v>6</v>
      </c>
      <c r="E2900" s="0" t="n">
        <f aca="false">-1+A2900*0.25</f>
        <v>-0.25</v>
      </c>
      <c r="F2900" s="0" t="n">
        <f aca="false">-1+B2900*0.25</f>
        <v>1</v>
      </c>
      <c r="G2900" s="0" t="n">
        <f aca="false">-1+C2900*0.25</f>
        <v>0.5</v>
      </c>
      <c r="H2900" s="0" t="n">
        <f aca="false">-1+D2900*0.25</f>
        <v>0.5</v>
      </c>
      <c r="I2900" s="0" t="n">
        <f aca="false">1</f>
        <v>1</v>
      </c>
      <c r="J2900" s="0" t="n">
        <f aca="false">E2900</f>
        <v>-0.25</v>
      </c>
      <c r="K2900" s="0" t="n">
        <f aca="false">F2900</f>
        <v>1</v>
      </c>
      <c r="L2900" s="0" t="n">
        <f aca="false">G2900</f>
        <v>0.5</v>
      </c>
      <c r="M2900" s="0" t="n">
        <f aca="false">H2900</f>
        <v>0.5</v>
      </c>
      <c r="N2900" s="0" t="n">
        <f aca="false">E2900*F2900</f>
        <v>-0.25</v>
      </c>
      <c r="O2900" s="0" t="n">
        <f aca="false">E2900*G2900</f>
        <v>-0.125</v>
      </c>
      <c r="P2900" s="0" t="n">
        <f aca="false">E2900*H2900</f>
        <v>-0.125</v>
      </c>
      <c r="Q2900" s="0" t="n">
        <f aca="false">F2900*G2900</f>
        <v>0.5</v>
      </c>
      <c r="R2900" s="0" t="n">
        <f aca="false">F2900*H2900</f>
        <v>0.5</v>
      </c>
      <c r="S2900" s="0" t="n">
        <f aca="false">G2900*H2900</f>
        <v>0.25</v>
      </c>
      <c r="T2900" s="0" t="n">
        <f aca="false">E2900*E2900</f>
        <v>0.0625</v>
      </c>
      <c r="U2900" s="0" t="n">
        <f aca="false">F2900*F2900</f>
        <v>1</v>
      </c>
      <c r="V2900" s="0" t="n">
        <f aca="false">G2900*G2900</f>
        <v>0.25</v>
      </c>
      <c r="W2900" s="0" t="n">
        <f aca="false">H2900*H2900</f>
        <v>0.25</v>
      </c>
      <c r="X2900" s="0" t="n">
        <f aca="false">SUMPRODUCT(I2900:W2900,_XtX!$B$96:$P$96)</f>
        <v>47.0915570175438</v>
      </c>
      <c r="Y2900" s="0" t="n">
        <f aca="false">SUMPRODUCT(MMULT(I2900:W2900,_XtX!$B$78:$P$92),I2900:W2900)</f>
        <v>0.428122715643275</v>
      </c>
      <c r="Z2900" s="0" t="n">
        <f aca="false">04_回帰ANOVA!$K$19*04_回帰ANOVA!$K$14*SQRT(1+Y2900)</f>
        <v>1.55769044623229</v>
      </c>
      <c r="AA2900" s="0" t="n">
        <f aca="false">X2900-Z2900</f>
        <v>45.5338665713115</v>
      </c>
      <c r="AB2900" s="0" t="n">
        <f aca="false">X2900+Z2900</f>
        <v>48.6492474637761</v>
      </c>
      <c r="AC2900" s="54" t="b">
        <f aca="false">AND(E2900&gt;=01_因子設定!$L$5-0.000000001,E2900&lt;=01_因子設定!$M$5+0.000000001,F2900&gt;=01_因子設定!$L$6-0.000000001,F2900&lt;=01_因子設定!$M$6+0.000000001,G2900&gt;=01_因子設定!$L$7-0.000000001,G2900&lt;=01_因子設定!$M$7+0.000000001,H2900&gt;=01_因子設定!$L$8-0.000000001,H2900&lt;=01_因子設定!$M$8+0.000000001,IF(01_因子設定!$B$20="Box-Behnken",E2900^2+F2900^2+G2900^2+H2900^2&lt;=2+0.000000001,TRUE()))</f>
        <v>1</v>
      </c>
      <c r="AD2900" s="55" t="n">
        <f aca="false">IF(AC2900,IF(01_因子設定!$B$13="最大化",AA2900-01_因子設定!$B$14,IF(01_因子設定!$B$13="最小化",01_因子設定!$B$15-AB2900,MIN(AA2900-01_因子設定!$B$14,01_因子設定!$B$15-AB2900))),-1E+030)</f>
        <v>-0.966133428688487</v>
      </c>
      <c r="AE2900" s="55" t="n">
        <f aca="false">IF(AC2900,IF(01_因子設定!$B$13="最大化",X2900,IF(01_因子設定!$B$13="最小化",-X2900,-ABS(X2900-01_因子設定!$B$16))),-1E+030)</f>
        <v>47.0915570175438</v>
      </c>
      <c r="AF2900" s="55" t="n">
        <f aca="false">AD2900+ROW()*0.000000001</f>
        <v>-0.966130528688487</v>
      </c>
      <c r="AG2900" s="55" t="n">
        <f aca="false">AE2900+ROW()*0.000000001</f>
        <v>47.0915599175438</v>
      </c>
    </row>
    <row r="2901" customFormat="false" ht="15" hidden="false" customHeight="false" outlineLevel="0" collapsed="false">
      <c r="A2901" s="0" t="n">
        <v>3</v>
      </c>
      <c r="B2901" s="0" t="n">
        <v>8</v>
      </c>
      <c r="C2901" s="0" t="n">
        <v>6</v>
      </c>
      <c r="D2901" s="0" t="n">
        <v>7</v>
      </c>
      <c r="E2901" s="0" t="n">
        <f aca="false">-1+A2901*0.25</f>
        <v>-0.25</v>
      </c>
      <c r="F2901" s="0" t="n">
        <f aca="false">-1+B2901*0.25</f>
        <v>1</v>
      </c>
      <c r="G2901" s="0" t="n">
        <f aca="false">-1+C2901*0.25</f>
        <v>0.5</v>
      </c>
      <c r="H2901" s="0" t="n">
        <f aca="false">-1+D2901*0.25</f>
        <v>0.75</v>
      </c>
      <c r="I2901" s="0" t="n">
        <f aca="false">1</f>
        <v>1</v>
      </c>
      <c r="J2901" s="0" t="n">
        <f aca="false">E2901</f>
        <v>-0.25</v>
      </c>
      <c r="K2901" s="0" t="n">
        <f aca="false">F2901</f>
        <v>1</v>
      </c>
      <c r="L2901" s="0" t="n">
        <f aca="false">G2901</f>
        <v>0.5</v>
      </c>
      <c r="M2901" s="0" t="n">
        <f aca="false">H2901</f>
        <v>0.75</v>
      </c>
      <c r="N2901" s="0" t="n">
        <f aca="false">E2901*F2901</f>
        <v>-0.25</v>
      </c>
      <c r="O2901" s="0" t="n">
        <f aca="false">E2901*G2901</f>
        <v>-0.125</v>
      </c>
      <c r="P2901" s="0" t="n">
        <f aca="false">E2901*H2901</f>
        <v>-0.1875</v>
      </c>
      <c r="Q2901" s="0" t="n">
        <f aca="false">F2901*G2901</f>
        <v>0.5</v>
      </c>
      <c r="R2901" s="0" t="n">
        <f aca="false">F2901*H2901</f>
        <v>0.75</v>
      </c>
      <c r="S2901" s="0" t="n">
        <f aca="false">G2901*H2901</f>
        <v>0.375</v>
      </c>
      <c r="T2901" s="0" t="n">
        <f aca="false">E2901*E2901</f>
        <v>0.0625</v>
      </c>
      <c r="U2901" s="0" t="n">
        <f aca="false">F2901*F2901</f>
        <v>1</v>
      </c>
      <c r="V2901" s="0" t="n">
        <f aca="false">G2901*G2901</f>
        <v>0.25</v>
      </c>
      <c r="W2901" s="0" t="n">
        <f aca="false">H2901*H2901</f>
        <v>0.5625</v>
      </c>
      <c r="X2901" s="0" t="n">
        <f aca="false">SUMPRODUCT(I2901:W2901,_XtX!$B$96:$P$96)</f>
        <v>47.0484283625731</v>
      </c>
      <c r="Y2901" s="0" t="n">
        <f aca="false">SUMPRODUCT(MMULT(I2901:W2901,_XtX!$B$78:$P$92),I2901:W2901)</f>
        <v>0.459125719572369</v>
      </c>
      <c r="Z2901" s="0" t="n">
        <f aca="false">04_回帰ANOVA!$K$19*04_回帰ANOVA!$K$14*SQRT(1+Y2901)</f>
        <v>1.57450755575573</v>
      </c>
      <c r="AA2901" s="0" t="n">
        <f aca="false">X2901-Z2901</f>
        <v>45.4739208068173</v>
      </c>
      <c r="AB2901" s="0" t="n">
        <f aca="false">X2901+Z2901</f>
        <v>48.6229359183288</v>
      </c>
      <c r="AC2901" s="54" t="b">
        <f aca="false">AND(E2901&gt;=01_因子設定!$L$5-0.000000001,E2901&lt;=01_因子設定!$M$5+0.000000001,F2901&gt;=01_因子設定!$L$6-0.000000001,F2901&lt;=01_因子設定!$M$6+0.000000001,G2901&gt;=01_因子設定!$L$7-0.000000001,G2901&lt;=01_因子設定!$M$7+0.000000001,H2901&gt;=01_因子設定!$L$8-0.000000001,H2901&lt;=01_因子設定!$M$8+0.000000001,IF(01_因子設定!$B$20="Box-Behnken",E2901^2+F2901^2+G2901^2+H2901^2&lt;=2+0.000000001,TRUE()))</f>
        <v>1</v>
      </c>
      <c r="AD2901" s="55" t="n">
        <f aca="false">IF(AC2901,IF(01_因子設定!$B$13="最大化",AA2901-01_因子設定!$B$14,IF(01_因子設定!$B$13="最小化",01_因子設定!$B$15-AB2901,MIN(AA2901-01_因子設定!$B$14,01_因子設定!$B$15-AB2901))),-1E+030)</f>
        <v>-1.02607919318267</v>
      </c>
      <c r="AE2901" s="55" t="n">
        <f aca="false">IF(AC2901,IF(01_因子設定!$B$13="最大化",X2901,IF(01_因子設定!$B$13="最小化",-X2901,-ABS(X2901-01_因子設定!$B$16))),-1E+030)</f>
        <v>47.0484283625731</v>
      </c>
      <c r="AF2901" s="55" t="n">
        <f aca="false">AD2901+ROW()*0.000000001</f>
        <v>-1.02607629218267</v>
      </c>
      <c r="AG2901" s="55" t="n">
        <f aca="false">AE2901+ROW()*0.000000001</f>
        <v>47.0484312635731</v>
      </c>
    </row>
    <row r="2902" customFormat="false" ht="15" hidden="false" customHeight="false" outlineLevel="0" collapsed="false">
      <c r="A2902" s="0" t="n">
        <v>3</v>
      </c>
      <c r="B2902" s="0" t="n">
        <v>8</v>
      </c>
      <c r="C2902" s="0" t="n">
        <v>6</v>
      </c>
      <c r="D2902" s="0" t="n">
        <v>8</v>
      </c>
      <c r="E2902" s="0" t="n">
        <f aca="false">-1+A2902*0.25</f>
        <v>-0.25</v>
      </c>
      <c r="F2902" s="0" t="n">
        <f aca="false">-1+B2902*0.25</f>
        <v>1</v>
      </c>
      <c r="G2902" s="0" t="n">
        <f aca="false">-1+C2902*0.25</f>
        <v>0.5</v>
      </c>
      <c r="H2902" s="0" t="n">
        <f aca="false">-1+D2902*0.25</f>
        <v>1</v>
      </c>
      <c r="I2902" s="0" t="n">
        <f aca="false">1</f>
        <v>1</v>
      </c>
      <c r="J2902" s="0" t="n">
        <f aca="false">E2902</f>
        <v>-0.25</v>
      </c>
      <c r="K2902" s="0" t="n">
        <f aca="false">F2902</f>
        <v>1</v>
      </c>
      <c r="L2902" s="0" t="n">
        <f aca="false">G2902</f>
        <v>0.5</v>
      </c>
      <c r="M2902" s="0" t="n">
        <f aca="false">H2902</f>
        <v>1</v>
      </c>
      <c r="N2902" s="0" t="n">
        <f aca="false">E2902*F2902</f>
        <v>-0.25</v>
      </c>
      <c r="O2902" s="0" t="n">
        <f aca="false">E2902*G2902</f>
        <v>-0.125</v>
      </c>
      <c r="P2902" s="0" t="n">
        <f aca="false">E2902*H2902</f>
        <v>-0.25</v>
      </c>
      <c r="Q2902" s="0" t="n">
        <f aca="false">F2902*G2902</f>
        <v>0.5</v>
      </c>
      <c r="R2902" s="0" t="n">
        <f aca="false">F2902*H2902</f>
        <v>1</v>
      </c>
      <c r="S2902" s="0" t="n">
        <f aca="false">G2902*H2902</f>
        <v>0.5</v>
      </c>
      <c r="T2902" s="0" t="n">
        <f aca="false">E2902*E2902</f>
        <v>0.0625</v>
      </c>
      <c r="U2902" s="0" t="n">
        <f aca="false">F2902*F2902</f>
        <v>1</v>
      </c>
      <c r="V2902" s="0" t="n">
        <f aca="false">G2902*G2902</f>
        <v>0.25</v>
      </c>
      <c r="W2902" s="0" t="n">
        <f aca="false">H2902*H2902</f>
        <v>1</v>
      </c>
      <c r="X2902" s="0" t="n">
        <f aca="false">SUMPRODUCT(I2902:W2902,_XtX!$B$96:$P$96)</f>
        <v>46.9574926900585</v>
      </c>
      <c r="Y2902" s="0" t="n">
        <f aca="false">SUMPRODUCT(MMULT(I2902:W2902,_XtX!$B$78:$P$92),I2902:W2902)</f>
        <v>0.629174661915205</v>
      </c>
      <c r="Z2902" s="0" t="n">
        <f aca="false">04_回帰ANOVA!$K$19*04_回帰ANOVA!$K$14*SQRT(1+Y2902)</f>
        <v>1.66372758058297</v>
      </c>
      <c r="AA2902" s="0" t="n">
        <f aca="false">X2902-Z2902</f>
        <v>45.2937651094755</v>
      </c>
      <c r="AB2902" s="0" t="n">
        <f aca="false">X2902+Z2902</f>
        <v>48.6212202706414</v>
      </c>
      <c r="AC2902" s="54" t="b">
        <f aca="false">AND(E2902&gt;=01_因子設定!$L$5-0.000000001,E2902&lt;=01_因子設定!$M$5+0.000000001,F2902&gt;=01_因子設定!$L$6-0.000000001,F2902&lt;=01_因子設定!$M$6+0.000000001,G2902&gt;=01_因子設定!$L$7-0.000000001,G2902&lt;=01_因子設定!$M$7+0.000000001,H2902&gt;=01_因子設定!$L$8-0.000000001,H2902&lt;=01_因子設定!$M$8+0.000000001,IF(01_因子設定!$B$20="Box-Behnken",E2902^2+F2902^2+G2902^2+H2902^2&lt;=2+0.000000001,TRUE()))</f>
        <v>1</v>
      </c>
      <c r="AD2902" s="55" t="n">
        <f aca="false">IF(AC2902,IF(01_因子設定!$B$13="最大化",AA2902-01_因子設定!$B$14,IF(01_因子設定!$B$13="最小化",01_因子設定!$B$15-AB2902,MIN(AA2902-01_因子設定!$B$14,01_因子設定!$B$15-AB2902))),-1E+030)</f>
        <v>-1.20623489052451</v>
      </c>
      <c r="AE2902" s="55" t="n">
        <f aca="false">IF(AC2902,IF(01_因子設定!$B$13="最大化",X2902,IF(01_因子設定!$B$13="最小化",-X2902,-ABS(X2902-01_因子設定!$B$16))),-1E+030)</f>
        <v>46.9574926900585</v>
      </c>
      <c r="AF2902" s="55" t="n">
        <f aca="false">AD2902+ROW()*0.000000001</f>
        <v>-1.20623198852451</v>
      </c>
      <c r="AG2902" s="55" t="n">
        <f aca="false">AE2902+ROW()*0.000000001</f>
        <v>46.9574955920585</v>
      </c>
    </row>
    <row r="2903" customFormat="false" ht="15" hidden="false" customHeight="false" outlineLevel="0" collapsed="false">
      <c r="A2903" s="0" t="n">
        <v>3</v>
      </c>
      <c r="B2903" s="0" t="n">
        <v>8</v>
      </c>
      <c r="C2903" s="0" t="n">
        <v>7</v>
      </c>
      <c r="D2903" s="0" t="n">
        <v>0</v>
      </c>
      <c r="E2903" s="0" t="n">
        <f aca="false">-1+A2903*0.25</f>
        <v>-0.25</v>
      </c>
      <c r="F2903" s="0" t="n">
        <f aca="false">-1+B2903*0.25</f>
        <v>1</v>
      </c>
      <c r="G2903" s="0" t="n">
        <f aca="false">-1+C2903*0.25</f>
        <v>0.75</v>
      </c>
      <c r="H2903" s="0" t="n">
        <f aca="false">-1+D2903*0.25</f>
        <v>-1</v>
      </c>
      <c r="I2903" s="0" t="n">
        <f aca="false">1</f>
        <v>1</v>
      </c>
      <c r="J2903" s="0" t="n">
        <f aca="false">E2903</f>
        <v>-0.25</v>
      </c>
      <c r="K2903" s="0" t="n">
        <f aca="false">F2903</f>
        <v>1</v>
      </c>
      <c r="L2903" s="0" t="n">
        <f aca="false">G2903</f>
        <v>0.75</v>
      </c>
      <c r="M2903" s="0" t="n">
        <f aca="false">H2903</f>
        <v>-1</v>
      </c>
      <c r="N2903" s="0" t="n">
        <f aca="false">E2903*F2903</f>
        <v>-0.25</v>
      </c>
      <c r="O2903" s="0" t="n">
        <f aca="false">E2903*G2903</f>
        <v>-0.1875</v>
      </c>
      <c r="P2903" s="0" t="n">
        <f aca="false">E2903*H2903</f>
        <v>0.25</v>
      </c>
      <c r="Q2903" s="0" t="n">
        <f aca="false">F2903*G2903</f>
        <v>0.75</v>
      </c>
      <c r="R2903" s="0" t="n">
        <f aca="false">F2903*H2903</f>
        <v>-1</v>
      </c>
      <c r="S2903" s="0" t="n">
        <f aca="false">G2903*H2903</f>
        <v>-0.75</v>
      </c>
      <c r="T2903" s="0" t="n">
        <f aca="false">E2903*E2903</f>
        <v>0.0625</v>
      </c>
      <c r="U2903" s="0" t="n">
        <f aca="false">F2903*F2903</f>
        <v>1</v>
      </c>
      <c r="V2903" s="0" t="n">
        <f aca="false">G2903*G2903</f>
        <v>0.5625</v>
      </c>
      <c r="W2903" s="0" t="n">
        <f aca="false">H2903*H2903</f>
        <v>1</v>
      </c>
      <c r="X2903" s="0" t="n">
        <f aca="false">SUMPRODUCT(I2903:W2903,_XtX!$B$96:$P$96)</f>
        <v>46.425822368421</v>
      </c>
      <c r="Y2903" s="0" t="n">
        <f aca="false">SUMPRODUCT(MMULT(I2903:W2903,_XtX!$B$78:$P$92),I2903:W2903)</f>
        <v>0.621372155975877</v>
      </c>
      <c r="Z2903" s="0" t="n">
        <f aca="false">04_回帰ANOVA!$K$19*04_回帰ANOVA!$K$14*SQRT(1+Y2903)</f>
        <v>1.65973880499872</v>
      </c>
      <c r="AA2903" s="0" t="n">
        <f aca="false">X2903-Z2903</f>
        <v>44.7660835634223</v>
      </c>
      <c r="AB2903" s="0" t="n">
        <f aca="false">X2903+Z2903</f>
        <v>48.0855611734198</v>
      </c>
      <c r="AC2903" s="54" t="b">
        <f aca="false">AND(E2903&gt;=01_因子設定!$L$5-0.000000001,E2903&lt;=01_因子設定!$M$5+0.000000001,F2903&gt;=01_因子設定!$L$6-0.000000001,F2903&lt;=01_因子設定!$M$6+0.000000001,G2903&gt;=01_因子設定!$L$7-0.000000001,G2903&lt;=01_因子設定!$M$7+0.000000001,H2903&gt;=01_因子設定!$L$8-0.000000001,H2903&lt;=01_因子設定!$M$8+0.000000001,IF(01_因子設定!$B$20="Box-Behnken",E2903^2+F2903^2+G2903^2+H2903^2&lt;=2+0.000000001,TRUE()))</f>
        <v>1</v>
      </c>
      <c r="AD2903" s="55" t="n">
        <f aca="false">IF(AC2903,IF(01_因子設定!$B$13="最大化",AA2903-01_因子設定!$B$14,IF(01_因子設定!$B$13="最小化",01_因子設定!$B$15-AB2903,MIN(AA2903-01_因子設定!$B$14,01_因子設定!$B$15-AB2903))),-1E+030)</f>
        <v>-1.73391643657769</v>
      </c>
      <c r="AE2903" s="55" t="n">
        <f aca="false">IF(AC2903,IF(01_因子設定!$B$13="最大化",X2903,IF(01_因子設定!$B$13="最小化",-X2903,-ABS(X2903-01_因子設定!$B$16))),-1E+030)</f>
        <v>46.425822368421</v>
      </c>
      <c r="AF2903" s="55" t="n">
        <f aca="false">AD2903+ROW()*0.000000001</f>
        <v>-1.73391353357769</v>
      </c>
      <c r="AG2903" s="55" t="n">
        <f aca="false">AE2903+ROW()*0.000000001</f>
        <v>46.425825271421</v>
      </c>
    </row>
    <row r="2904" customFormat="false" ht="15" hidden="false" customHeight="false" outlineLevel="0" collapsed="false">
      <c r="A2904" s="0" t="n">
        <v>3</v>
      </c>
      <c r="B2904" s="0" t="n">
        <v>8</v>
      </c>
      <c r="C2904" s="0" t="n">
        <v>7</v>
      </c>
      <c r="D2904" s="0" t="n">
        <v>1</v>
      </c>
      <c r="E2904" s="0" t="n">
        <f aca="false">-1+A2904*0.25</f>
        <v>-0.25</v>
      </c>
      <c r="F2904" s="0" t="n">
        <f aca="false">-1+B2904*0.25</f>
        <v>1</v>
      </c>
      <c r="G2904" s="0" t="n">
        <f aca="false">-1+C2904*0.25</f>
        <v>0.75</v>
      </c>
      <c r="H2904" s="0" t="n">
        <f aca="false">-1+D2904*0.25</f>
        <v>-0.75</v>
      </c>
      <c r="I2904" s="0" t="n">
        <f aca="false">1</f>
        <v>1</v>
      </c>
      <c r="J2904" s="0" t="n">
        <f aca="false">E2904</f>
        <v>-0.25</v>
      </c>
      <c r="K2904" s="0" t="n">
        <f aca="false">F2904</f>
        <v>1</v>
      </c>
      <c r="L2904" s="0" t="n">
        <f aca="false">G2904</f>
        <v>0.75</v>
      </c>
      <c r="M2904" s="0" t="n">
        <f aca="false">H2904</f>
        <v>-0.75</v>
      </c>
      <c r="N2904" s="0" t="n">
        <f aca="false">E2904*F2904</f>
        <v>-0.25</v>
      </c>
      <c r="O2904" s="0" t="n">
        <f aca="false">E2904*G2904</f>
        <v>-0.1875</v>
      </c>
      <c r="P2904" s="0" t="n">
        <f aca="false">E2904*H2904</f>
        <v>0.1875</v>
      </c>
      <c r="Q2904" s="0" t="n">
        <f aca="false">F2904*G2904</f>
        <v>0.75</v>
      </c>
      <c r="R2904" s="0" t="n">
        <f aca="false">F2904*H2904</f>
        <v>-0.75</v>
      </c>
      <c r="S2904" s="0" t="n">
        <f aca="false">G2904*H2904</f>
        <v>-0.5625</v>
      </c>
      <c r="T2904" s="0" t="n">
        <f aca="false">E2904*E2904</f>
        <v>0.0625</v>
      </c>
      <c r="U2904" s="0" t="n">
        <f aca="false">F2904*F2904</f>
        <v>1</v>
      </c>
      <c r="V2904" s="0" t="n">
        <f aca="false">G2904*G2904</f>
        <v>0.5625</v>
      </c>
      <c r="W2904" s="0" t="n">
        <f aca="false">H2904*H2904</f>
        <v>0.5625</v>
      </c>
      <c r="X2904" s="0" t="n">
        <f aca="false">SUMPRODUCT(I2904:W2904,_XtX!$B$96:$P$96)</f>
        <v>46.6875045687134</v>
      </c>
      <c r="Y2904" s="0" t="n">
        <f aca="false">SUMPRODUCT(MMULT(I2904:W2904,_XtX!$B$78:$P$92),I2904:W2904)</f>
        <v>0.473959761056287</v>
      </c>
      <c r="Z2904" s="0" t="n">
        <f aca="false">04_回帰ANOVA!$K$19*04_回帰ANOVA!$K$14*SQRT(1+Y2904)</f>
        <v>1.58249084588329</v>
      </c>
      <c r="AA2904" s="0" t="n">
        <f aca="false">X2904-Z2904</f>
        <v>45.1050137228301</v>
      </c>
      <c r="AB2904" s="0" t="n">
        <f aca="false">X2904+Z2904</f>
        <v>48.2699954145967</v>
      </c>
      <c r="AC2904" s="54" t="b">
        <f aca="false">AND(E2904&gt;=01_因子設定!$L$5-0.000000001,E2904&lt;=01_因子設定!$M$5+0.000000001,F2904&gt;=01_因子設定!$L$6-0.000000001,F2904&lt;=01_因子設定!$M$6+0.000000001,G2904&gt;=01_因子設定!$L$7-0.000000001,G2904&lt;=01_因子設定!$M$7+0.000000001,H2904&gt;=01_因子設定!$L$8-0.000000001,H2904&lt;=01_因子設定!$M$8+0.000000001,IF(01_因子設定!$B$20="Box-Behnken",E2904^2+F2904^2+G2904^2+H2904^2&lt;=2+0.000000001,TRUE()))</f>
        <v>1</v>
      </c>
      <c r="AD2904" s="55" t="n">
        <f aca="false">IF(AC2904,IF(01_因子設定!$B$13="最大化",AA2904-01_因子設定!$B$14,IF(01_因子設定!$B$13="最小化",01_因子設定!$B$15-AB2904,MIN(AA2904-01_因子設定!$B$14,01_因子設定!$B$15-AB2904))),-1E+030)</f>
        <v>-1.39498627716987</v>
      </c>
      <c r="AE2904" s="55" t="n">
        <f aca="false">IF(AC2904,IF(01_因子設定!$B$13="最大化",X2904,IF(01_因子設定!$B$13="最小化",-X2904,-ABS(X2904-01_因子設定!$B$16))),-1E+030)</f>
        <v>46.6875045687134</v>
      </c>
      <c r="AF2904" s="55" t="n">
        <f aca="false">AD2904+ROW()*0.000000001</f>
        <v>-1.39498337316987</v>
      </c>
      <c r="AG2904" s="55" t="n">
        <f aca="false">AE2904+ROW()*0.000000001</f>
        <v>46.6875074727134</v>
      </c>
    </row>
    <row r="2905" customFormat="false" ht="15" hidden="false" customHeight="false" outlineLevel="0" collapsed="false">
      <c r="A2905" s="0" t="n">
        <v>3</v>
      </c>
      <c r="B2905" s="0" t="n">
        <v>8</v>
      </c>
      <c r="C2905" s="0" t="n">
        <v>7</v>
      </c>
      <c r="D2905" s="0" t="n">
        <v>2</v>
      </c>
      <c r="E2905" s="0" t="n">
        <f aca="false">-1+A2905*0.25</f>
        <v>-0.25</v>
      </c>
      <c r="F2905" s="0" t="n">
        <f aca="false">-1+B2905*0.25</f>
        <v>1</v>
      </c>
      <c r="G2905" s="0" t="n">
        <f aca="false">-1+C2905*0.25</f>
        <v>0.75</v>
      </c>
      <c r="H2905" s="0" t="n">
        <f aca="false">-1+D2905*0.25</f>
        <v>-0.5</v>
      </c>
      <c r="I2905" s="0" t="n">
        <f aca="false">1</f>
        <v>1</v>
      </c>
      <c r="J2905" s="0" t="n">
        <f aca="false">E2905</f>
        <v>-0.25</v>
      </c>
      <c r="K2905" s="0" t="n">
        <f aca="false">F2905</f>
        <v>1</v>
      </c>
      <c r="L2905" s="0" t="n">
        <f aca="false">G2905</f>
        <v>0.75</v>
      </c>
      <c r="M2905" s="0" t="n">
        <f aca="false">H2905</f>
        <v>-0.5</v>
      </c>
      <c r="N2905" s="0" t="n">
        <f aca="false">E2905*F2905</f>
        <v>-0.25</v>
      </c>
      <c r="O2905" s="0" t="n">
        <f aca="false">E2905*G2905</f>
        <v>-0.1875</v>
      </c>
      <c r="P2905" s="0" t="n">
        <f aca="false">E2905*H2905</f>
        <v>0.125</v>
      </c>
      <c r="Q2905" s="0" t="n">
        <f aca="false">F2905*G2905</f>
        <v>0.75</v>
      </c>
      <c r="R2905" s="0" t="n">
        <f aca="false">F2905*H2905</f>
        <v>-0.5</v>
      </c>
      <c r="S2905" s="0" t="n">
        <f aca="false">G2905*H2905</f>
        <v>-0.375</v>
      </c>
      <c r="T2905" s="0" t="n">
        <f aca="false">E2905*E2905</f>
        <v>0.0625</v>
      </c>
      <c r="U2905" s="0" t="n">
        <f aca="false">F2905*F2905</f>
        <v>1</v>
      </c>
      <c r="V2905" s="0" t="n">
        <f aca="false">G2905*G2905</f>
        <v>0.5625</v>
      </c>
      <c r="W2905" s="0" t="n">
        <f aca="false">H2905*H2905</f>
        <v>0.25</v>
      </c>
      <c r="X2905" s="0" t="n">
        <f aca="false">SUMPRODUCT(I2905:W2905,_XtX!$B$96:$P$96)</f>
        <v>46.9013797514619</v>
      </c>
      <c r="Y2905" s="0" t="n">
        <f aca="false">SUMPRODUCT(MMULT(I2905:W2905,_XtX!$B$78:$P$92),I2905:W2905)</f>
        <v>0.459125719572369</v>
      </c>
      <c r="Z2905" s="0" t="n">
        <f aca="false">04_回帰ANOVA!$K$19*04_回帰ANOVA!$K$14*SQRT(1+Y2905)</f>
        <v>1.57450755575573</v>
      </c>
      <c r="AA2905" s="0" t="n">
        <f aca="false">X2905-Z2905</f>
        <v>45.3268721957062</v>
      </c>
      <c r="AB2905" s="0" t="n">
        <f aca="false">X2905+Z2905</f>
        <v>48.4758873072177</v>
      </c>
      <c r="AC2905" s="54" t="b">
        <f aca="false">AND(E2905&gt;=01_因子設定!$L$5-0.000000001,E2905&lt;=01_因子設定!$M$5+0.000000001,F2905&gt;=01_因子設定!$L$6-0.000000001,F2905&lt;=01_因子設定!$M$6+0.000000001,G2905&gt;=01_因子設定!$L$7-0.000000001,G2905&lt;=01_因子設定!$M$7+0.000000001,H2905&gt;=01_因子設定!$L$8-0.000000001,H2905&lt;=01_因子設定!$M$8+0.000000001,IF(01_因子設定!$B$20="Box-Behnken",E2905^2+F2905^2+G2905^2+H2905^2&lt;=2+0.000000001,TRUE()))</f>
        <v>1</v>
      </c>
      <c r="AD2905" s="55" t="n">
        <f aca="false">IF(AC2905,IF(01_因子設定!$B$13="最大化",AA2905-01_因子設定!$B$14,IF(01_因子設定!$B$13="最小化",01_因子設定!$B$15-AB2905,MIN(AA2905-01_因子設定!$B$14,01_因子設定!$B$15-AB2905))),-1E+030)</f>
        <v>-1.17312780429379</v>
      </c>
      <c r="AE2905" s="55" t="n">
        <f aca="false">IF(AC2905,IF(01_因子設定!$B$13="最大化",X2905,IF(01_因子設定!$B$13="最小化",-X2905,-ABS(X2905-01_因子設定!$B$16))),-1E+030)</f>
        <v>46.9013797514619</v>
      </c>
      <c r="AF2905" s="55" t="n">
        <f aca="false">AD2905+ROW()*0.000000001</f>
        <v>-1.17312489929379</v>
      </c>
      <c r="AG2905" s="55" t="n">
        <f aca="false">AE2905+ROW()*0.000000001</f>
        <v>46.9013826564619</v>
      </c>
    </row>
    <row r="2906" customFormat="false" ht="15" hidden="false" customHeight="false" outlineLevel="0" collapsed="false">
      <c r="A2906" s="0" t="n">
        <v>3</v>
      </c>
      <c r="B2906" s="0" t="n">
        <v>8</v>
      </c>
      <c r="C2906" s="0" t="n">
        <v>7</v>
      </c>
      <c r="D2906" s="0" t="n">
        <v>3</v>
      </c>
      <c r="E2906" s="0" t="n">
        <f aca="false">-1+A2906*0.25</f>
        <v>-0.25</v>
      </c>
      <c r="F2906" s="0" t="n">
        <f aca="false">-1+B2906*0.25</f>
        <v>1</v>
      </c>
      <c r="G2906" s="0" t="n">
        <f aca="false">-1+C2906*0.25</f>
        <v>0.75</v>
      </c>
      <c r="H2906" s="0" t="n">
        <f aca="false">-1+D2906*0.25</f>
        <v>-0.25</v>
      </c>
      <c r="I2906" s="0" t="n">
        <f aca="false">1</f>
        <v>1</v>
      </c>
      <c r="J2906" s="0" t="n">
        <f aca="false">E2906</f>
        <v>-0.25</v>
      </c>
      <c r="K2906" s="0" t="n">
        <f aca="false">F2906</f>
        <v>1</v>
      </c>
      <c r="L2906" s="0" t="n">
        <f aca="false">G2906</f>
        <v>0.75</v>
      </c>
      <c r="M2906" s="0" t="n">
        <f aca="false">H2906</f>
        <v>-0.25</v>
      </c>
      <c r="N2906" s="0" t="n">
        <f aca="false">E2906*F2906</f>
        <v>-0.25</v>
      </c>
      <c r="O2906" s="0" t="n">
        <f aca="false">E2906*G2906</f>
        <v>-0.1875</v>
      </c>
      <c r="P2906" s="0" t="n">
        <f aca="false">E2906*H2906</f>
        <v>0.0625</v>
      </c>
      <c r="Q2906" s="0" t="n">
        <f aca="false">F2906*G2906</f>
        <v>0.75</v>
      </c>
      <c r="R2906" s="0" t="n">
        <f aca="false">F2906*H2906</f>
        <v>-0.25</v>
      </c>
      <c r="S2906" s="0" t="n">
        <f aca="false">G2906*H2906</f>
        <v>-0.1875</v>
      </c>
      <c r="T2906" s="0" t="n">
        <f aca="false">E2906*E2906</f>
        <v>0.0625</v>
      </c>
      <c r="U2906" s="0" t="n">
        <f aca="false">F2906*F2906</f>
        <v>1</v>
      </c>
      <c r="V2906" s="0" t="n">
        <f aca="false">G2906*G2906</f>
        <v>0.5625</v>
      </c>
      <c r="W2906" s="0" t="n">
        <f aca="false">H2906*H2906</f>
        <v>0.0625</v>
      </c>
      <c r="X2906" s="0" t="n">
        <f aca="false">SUMPRODUCT(I2906:W2906,_XtX!$B$96:$P$96)</f>
        <v>47.0674479166666</v>
      </c>
      <c r="Y2906" s="0" t="n">
        <f aca="false">SUMPRODUCT(MMULT(I2906:W2906,_XtX!$B$78:$P$92),I2906:W2906)</f>
        <v>0.486409505208334</v>
      </c>
      <c r="Z2906" s="0" t="n">
        <f aca="false">04_回帰ANOVA!$K$19*04_回帰ANOVA!$K$14*SQRT(1+Y2906)</f>
        <v>1.58916001665498</v>
      </c>
      <c r="AA2906" s="0" t="n">
        <f aca="false">X2906-Z2906</f>
        <v>45.4782879000116</v>
      </c>
      <c r="AB2906" s="0" t="n">
        <f aca="false">X2906+Z2906</f>
        <v>48.6566079333216</v>
      </c>
      <c r="AC2906" s="54" t="b">
        <f aca="false">AND(E2906&gt;=01_因子設定!$L$5-0.000000001,E2906&lt;=01_因子設定!$M$5+0.000000001,F2906&gt;=01_因子設定!$L$6-0.000000001,F2906&lt;=01_因子設定!$M$6+0.000000001,G2906&gt;=01_因子設定!$L$7-0.000000001,G2906&lt;=01_因子設定!$M$7+0.000000001,H2906&gt;=01_因子設定!$L$8-0.000000001,H2906&lt;=01_因子設定!$M$8+0.000000001,IF(01_因子設定!$B$20="Box-Behnken",E2906^2+F2906^2+G2906^2+H2906^2&lt;=2+0.000000001,TRUE()))</f>
        <v>1</v>
      </c>
      <c r="AD2906" s="55" t="n">
        <f aca="false">IF(AC2906,IF(01_因子設定!$B$13="最大化",AA2906-01_因子設定!$B$14,IF(01_因子設定!$B$13="最小化",01_因子設定!$B$15-AB2906,MIN(AA2906-01_因子設定!$B$14,01_因子設定!$B$15-AB2906))),-1E+030)</f>
        <v>-1.02171209998837</v>
      </c>
      <c r="AE2906" s="55" t="n">
        <f aca="false">IF(AC2906,IF(01_因子設定!$B$13="最大化",X2906,IF(01_因子設定!$B$13="最小化",-X2906,-ABS(X2906-01_因子設定!$B$16))),-1E+030)</f>
        <v>47.0674479166666</v>
      </c>
      <c r="AF2906" s="55" t="n">
        <f aca="false">AD2906+ROW()*0.000000001</f>
        <v>-1.02170919398837</v>
      </c>
      <c r="AG2906" s="55" t="n">
        <f aca="false">AE2906+ROW()*0.000000001</f>
        <v>47.0674508226666</v>
      </c>
    </row>
    <row r="2907" customFormat="false" ht="15" hidden="false" customHeight="false" outlineLevel="0" collapsed="false">
      <c r="A2907" s="0" t="n">
        <v>3</v>
      </c>
      <c r="B2907" s="0" t="n">
        <v>8</v>
      </c>
      <c r="C2907" s="0" t="n">
        <v>7</v>
      </c>
      <c r="D2907" s="0" t="n">
        <v>4</v>
      </c>
      <c r="E2907" s="0" t="n">
        <f aca="false">-1+A2907*0.25</f>
        <v>-0.25</v>
      </c>
      <c r="F2907" s="0" t="n">
        <f aca="false">-1+B2907*0.25</f>
        <v>1</v>
      </c>
      <c r="G2907" s="0" t="n">
        <f aca="false">-1+C2907*0.25</f>
        <v>0.75</v>
      </c>
      <c r="H2907" s="0" t="n">
        <f aca="false">-1+D2907*0.25</f>
        <v>0</v>
      </c>
      <c r="I2907" s="0" t="n">
        <f aca="false">1</f>
        <v>1</v>
      </c>
      <c r="J2907" s="0" t="n">
        <f aca="false">E2907</f>
        <v>-0.25</v>
      </c>
      <c r="K2907" s="0" t="n">
        <f aca="false">F2907</f>
        <v>1</v>
      </c>
      <c r="L2907" s="0" t="n">
        <f aca="false">G2907</f>
        <v>0.75</v>
      </c>
      <c r="M2907" s="0" t="n">
        <f aca="false">H2907</f>
        <v>0</v>
      </c>
      <c r="N2907" s="0" t="n">
        <f aca="false">E2907*F2907</f>
        <v>-0.25</v>
      </c>
      <c r="O2907" s="0" t="n">
        <f aca="false">E2907*G2907</f>
        <v>-0.1875</v>
      </c>
      <c r="P2907" s="0" t="n">
        <f aca="false">E2907*H2907</f>
        <v>-0</v>
      </c>
      <c r="Q2907" s="0" t="n">
        <f aca="false">F2907*G2907</f>
        <v>0.75</v>
      </c>
      <c r="R2907" s="0" t="n">
        <f aca="false">F2907*H2907</f>
        <v>0</v>
      </c>
      <c r="S2907" s="0" t="n">
        <f aca="false">G2907*H2907</f>
        <v>0</v>
      </c>
      <c r="T2907" s="0" t="n">
        <f aca="false">E2907*E2907</f>
        <v>0.0625</v>
      </c>
      <c r="U2907" s="0" t="n">
        <f aca="false">F2907*F2907</f>
        <v>1</v>
      </c>
      <c r="V2907" s="0" t="n">
        <f aca="false">G2907*G2907</f>
        <v>0.5625</v>
      </c>
      <c r="W2907" s="0" t="n">
        <f aca="false">H2907*H2907</f>
        <v>0</v>
      </c>
      <c r="X2907" s="0" t="n">
        <f aca="false">SUMPRODUCT(I2907:W2907,_XtX!$B$96:$P$96)</f>
        <v>47.1857090643274</v>
      </c>
      <c r="Y2907" s="0" t="n">
        <f aca="false">SUMPRODUCT(MMULT(I2907:W2907,_XtX!$B$78:$P$92),I2907:W2907)</f>
        <v>0.501534802174708</v>
      </c>
      <c r="Z2907" s="0" t="n">
        <f aca="false">04_回帰ANOVA!$K$19*04_回帰ANOVA!$K$14*SQRT(1+Y2907)</f>
        <v>1.59722498091333</v>
      </c>
      <c r="AA2907" s="0" t="n">
        <f aca="false">X2907-Z2907</f>
        <v>45.5884840834141</v>
      </c>
      <c r="AB2907" s="0" t="n">
        <f aca="false">X2907+Z2907</f>
        <v>48.7829340452408</v>
      </c>
      <c r="AC2907" s="54" t="b">
        <f aca="false">AND(E2907&gt;=01_因子設定!$L$5-0.000000001,E2907&lt;=01_因子設定!$M$5+0.000000001,F2907&gt;=01_因子設定!$L$6-0.000000001,F2907&lt;=01_因子設定!$M$6+0.000000001,G2907&gt;=01_因子設定!$L$7-0.000000001,G2907&lt;=01_因子設定!$M$7+0.000000001,H2907&gt;=01_因子設定!$L$8-0.000000001,H2907&lt;=01_因子設定!$M$8+0.000000001,IF(01_因子設定!$B$20="Box-Behnken",E2907^2+F2907^2+G2907^2+H2907^2&lt;=2+0.000000001,TRUE()))</f>
        <v>1</v>
      </c>
      <c r="AD2907" s="55" t="n">
        <f aca="false">IF(AC2907,IF(01_因子設定!$B$13="最大化",AA2907-01_因子設定!$B$14,IF(01_因子設定!$B$13="最小化",01_因子設定!$B$15-AB2907,MIN(AA2907-01_因子設定!$B$14,01_因子設定!$B$15-AB2907))),-1E+030)</f>
        <v>-0.911515916585906</v>
      </c>
      <c r="AE2907" s="55" t="n">
        <f aca="false">IF(AC2907,IF(01_因子設定!$B$13="最大化",X2907,IF(01_因子設定!$B$13="最小化",-X2907,-ABS(X2907-01_因子設定!$B$16))),-1E+030)</f>
        <v>47.1857090643274</v>
      </c>
      <c r="AF2907" s="55" t="n">
        <f aca="false">AD2907+ROW()*0.000000001</f>
        <v>-0.911513009585905</v>
      </c>
      <c r="AG2907" s="55" t="n">
        <f aca="false">AE2907+ROW()*0.000000001</f>
        <v>47.1857119713274</v>
      </c>
    </row>
    <row r="2908" customFormat="false" ht="15" hidden="false" customHeight="false" outlineLevel="0" collapsed="false">
      <c r="A2908" s="0" t="n">
        <v>3</v>
      </c>
      <c r="B2908" s="0" t="n">
        <v>8</v>
      </c>
      <c r="C2908" s="0" t="n">
        <v>7</v>
      </c>
      <c r="D2908" s="0" t="n">
        <v>5</v>
      </c>
      <c r="E2908" s="0" t="n">
        <f aca="false">-1+A2908*0.25</f>
        <v>-0.25</v>
      </c>
      <c r="F2908" s="0" t="n">
        <f aca="false">-1+B2908*0.25</f>
        <v>1</v>
      </c>
      <c r="G2908" s="0" t="n">
        <f aca="false">-1+C2908*0.25</f>
        <v>0.75</v>
      </c>
      <c r="H2908" s="0" t="n">
        <f aca="false">-1+D2908*0.25</f>
        <v>0.25</v>
      </c>
      <c r="I2908" s="0" t="n">
        <f aca="false">1</f>
        <v>1</v>
      </c>
      <c r="J2908" s="0" t="n">
        <f aca="false">E2908</f>
        <v>-0.25</v>
      </c>
      <c r="K2908" s="0" t="n">
        <f aca="false">F2908</f>
        <v>1</v>
      </c>
      <c r="L2908" s="0" t="n">
        <f aca="false">G2908</f>
        <v>0.75</v>
      </c>
      <c r="M2908" s="0" t="n">
        <f aca="false">H2908</f>
        <v>0.25</v>
      </c>
      <c r="N2908" s="0" t="n">
        <f aca="false">E2908*F2908</f>
        <v>-0.25</v>
      </c>
      <c r="O2908" s="0" t="n">
        <f aca="false">E2908*G2908</f>
        <v>-0.1875</v>
      </c>
      <c r="P2908" s="0" t="n">
        <f aca="false">E2908*H2908</f>
        <v>-0.0625</v>
      </c>
      <c r="Q2908" s="0" t="n">
        <f aca="false">F2908*G2908</f>
        <v>0.75</v>
      </c>
      <c r="R2908" s="0" t="n">
        <f aca="false">F2908*H2908</f>
        <v>0.25</v>
      </c>
      <c r="S2908" s="0" t="n">
        <f aca="false">G2908*H2908</f>
        <v>0.1875</v>
      </c>
      <c r="T2908" s="0" t="n">
        <f aca="false">E2908*E2908</f>
        <v>0.0625</v>
      </c>
      <c r="U2908" s="0" t="n">
        <f aca="false">F2908*F2908</f>
        <v>1</v>
      </c>
      <c r="V2908" s="0" t="n">
        <f aca="false">G2908*G2908</f>
        <v>0.5625</v>
      </c>
      <c r="W2908" s="0" t="n">
        <f aca="false">H2908*H2908</f>
        <v>0.0625</v>
      </c>
      <c r="X2908" s="0" t="n">
        <f aca="false">SUMPRODUCT(I2908:W2908,_XtX!$B$96:$P$96)</f>
        <v>47.2561631944444</v>
      </c>
      <c r="Y2908" s="0" t="n">
        <f aca="false">SUMPRODUCT(MMULT(I2908:W2908,_XtX!$B$78:$P$92),I2908:W2908)</f>
        <v>0.486409505208334</v>
      </c>
      <c r="Z2908" s="0" t="n">
        <f aca="false">04_回帰ANOVA!$K$19*04_回帰ANOVA!$K$14*SQRT(1+Y2908)</f>
        <v>1.58916001665498</v>
      </c>
      <c r="AA2908" s="0" t="n">
        <f aca="false">X2908-Z2908</f>
        <v>45.6670031777894</v>
      </c>
      <c r="AB2908" s="0" t="n">
        <f aca="false">X2908+Z2908</f>
        <v>48.8453232110994</v>
      </c>
      <c r="AC2908" s="54" t="b">
        <f aca="false">AND(E2908&gt;=01_因子設定!$L$5-0.000000001,E2908&lt;=01_因子設定!$M$5+0.000000001,F2908&gt;=01_因子設定!$L$6-0.000000001,F2908&lt;=01_因子設定!$M$6+0.000000001,G2908&gt;=01_因子設定!$L$7-0.000000001,G2908&lt;=01_因子設定!$M$7+0.000000001,H2908&gt;=01_因子設定!$L$8-0.000000001,H2908&lt;=01_因子設定!$M$8+0.000000001,IF(01_因子設定!$B$20="Box-Behnken",E2908^2+F2908^2+G2908^2+H2908^2&lt;=2+0.000000001,TRUE()))</f>
        <v>1</v>
      </c>
      <c r="AD2908" s="55" t="n">
        <f aca="false">IF(AC2908,IF(01_因子設定!$B$13="最大化",AA2908-01_因子設定!$B$14,IF(01_因子設定!$B$13="最小化",01_因子設定!$B$15-AB2908,MIN(AA2908-01_因子設定!$B$14,01_因子設定!$B$15-AB2908))),-1E+030)</f>
        <v>-0.832996822210589</v>
      </c>
      <c r="AE2908" s="55" t="n">
        <f aca="false">IF(AC2908,IF(01_因子設定!$B$13="最大化",X2908,IF(01_因子設定!$B$13="最小化",-X2908,-ABS(X2908-01_因子設定!$B$16))),-1E+030)</f>
        <v>47.2561631944444</v>
      </c>
      <c r="AF2908" s="55" t="n">
        <f aca="false">AD2908+ROW()*0.000000001</f>
        <v>-0.832993914210589</v>
      </c>
      <c r="AG2908" s="55" t="n">
        <f aca="false">AE2908+ROW()*0.000000001</f>
        <v>47.2561661024444</v>
      </c>
    </row>
    <row r="2909" customFormat="false" ht="15" hidden="false" customHeight="false" outlineLevel="0" collapsed="false">
      <c r="A2909" s="0" t="n">
        <v>3</v>
      </c>
      <c r="B2909" s="0" t="n">
        <v>8</v>
      </c>
      <c r="C2909" s="0" t="n">
        <v>7</v>
      </c>
      <c r="D2909" s="0" t="n">
        <v>6</v>
      </c>
      <c r="E2909" s="0" t="n">
        <f aca="false">-1+A2909*0.25</f>
        <v>-0.25</v>
      </c>
      <c r="F2909" s="0" t="n">
        <f aca="false">-1+B2909*0.25</f>
        <v>1</v>
      </c>
      <c r="G2909" s="0" t="n">
        <f aca="false">-1+C2909*0.25</f>
        <v>0.75</v>
      </c>
      <c r="H2909" s="0" t="n">
        <f aca="false">-1+D2909*0.25</f>
        <v>0.5</v>
      </c>
      <c r="I2909" s="0" t="n">
        <f aca="false">1</f>
        <v>1</v>
      </c>
      <c r="J2909" s="0" t="n">
        <f aca="false">E2909</f>
        <v>-0.25</v>
      </c>
      <c r="K2909" s="0" t="n">
        <f aca="false">F2909</f>
        <v>1</v>
      </c>
      <c r="L2909" s="0" t="n">
        <f aca="false">G2909</f>
        <v>0.75</v>
      </c>
      <c r="M2909" s="0" t="n">
        <f aca="false">H2909</f>
        <v>0.5</v>
      </c>
      <c r="N2909" s="0" t="n">
        <f aca="false">E2909*F2909</f>
        <v>-0.25</v>
      </c>
      <c r="O2909" s="0" t="n">
        <f aca="false">E2909*G2909</f>
        <v>-0.1875</v>
      </c>
      <c r="P2909" s="0" t="n">
        <f aca="false">E2909*H2909</f>
        <v>-0.125</v>
      </c>
      <c r="Q2909" s="0" t="n">
        <f aca="false">F2909*G2909</f>
        <v>0.75</v>
      </c>
      <c r="R2909" s="0" t="n">
        <f aca="false">F2909*H2909</f>
        <v>0.5</v>
      </c>
      <c r="S2909" s="0" t="n">
        <f aca="false">G2909*H2909</f>
        <v>0.375</v>
      </c>
      <c r="T2909" s="0" t="n">
        <f aca="false">E2909*E2909</f>
        <v>0.0625</v>
      </c>
      <c r="U2909" s="0" t="n">
        <f aca="false">F2909*F2909</f>
        <v>1</v>
      </c>
      <c r="V2909" s="0" t="n">
        <f aca="false">G2909*G2909</f>
        <v>0.5625</v>
      </c>
      <c r="W2909" s="0" t="n">
        <f aca="false">H2909*H2909</f>
        <v>0.25</v>
      </c>
      <c r="X2909" s="0" t="n">
        <f aca="false">SUMPRODUCT(I2909:W2909,_XtX!$B$96:$P$96)</f>
        <v>47.2788103070175</v>
      </c>
      <c r="Y2909" s="0" t="n">
        <f aca="false">SUMPRODUCT(MMULT(I2909:W2909,_XtX!$B$78:$P$92),I2909:W2909)</f>
        <v>0.459125719572369</v>
      </c>
      <c r="Z2909" s="0" t="n">
        <f aca="false">04_回帰ANOVA!$K$19*04_回帰ANOVA!$K$14*SQRT(1+Y2909)</f>
        <v>1.57450755575573</v>
      </c>
      <c r="AA2909" s="0" t="n">
        <f aca="false">X2909-Z2909</f>
        <v>45.7043027512618</v>
      </c>
      <c r="AB2909" s="0" t="n">
        <f aca="false">X2909+Z2909</f>
        <v>48.8533178627732</v>
      </c>
      <c r="AC2909" s="54" t="b">
        <f aca="false">AND(E2909&gt;=01_因子設定!$L$5-0.000000001,E2909&lt;=01_因子設定!$M$5+0.000000001,F2909&gt;=01_因子設定!$L$6-0.000000001,F2909&lt;=01_因子設定!$M$6+0.000000001,G2909&gt;=01_因子設定!$L$7-0.000000001,G2909&lt;=01_因子設定!$M$7+0.000000001,H2909&gt;=01_因子設定!$L$8-0.000000001,H2909&lt;=01_因子設定!$M$8+0.000000001,IF(01_因子設定!$B$20="Box-Behnken",E2909^2+F2909^2+G2909^2+H2909^2&lt;=2+0.000000001,TRUE()))</f>
        <v>1</v>
      </c>
      <c r="AD2909" s="55" t="n">
        <f aca="false">IF(AC2909,IF(01_因子設定!$B$13="最大化",AA2909-01_因子設定!$B$14,IF(01_因子設定!$B$13="最小化",01_因子設定!$B$15-AB2909,MIN(AA2909-01_因子設定!$B$14,01_因子設定!$B$15-AB2909))),-1E+030)</f>
        <v>-0.795697248738236</v>
      </c>
      <c r="AE2909" s="55" t="n">
        <f aca="false">IF(AC2909,IF(01_因子設定!$B$13="最大化",X2909,IF(01_因子設定!$B$13="最小化",-X2909,-ABS(X2909-01_因子設定!$B$16))),-1E+030)</f>
        <v>47.2788103070175</v>
      </c>
      <c r="AF2909" s="55" t="n">
        <f aca="false">AD2909+ROW()*0.000000001</f>
        <v>-0.795694339738236</v>
      </c>
      <c r="AG2909" s="55" t="n">
        <f aca="false">AE2909+ROW()*0.000000001</f>
        <v>47.2788132160175</v>
      </c>
    </row>
    <row r="2910" customFormat="false" ht="15" hidden="false" customHeight="false" outlineLevel="0" collapsed="false">
      <c r="A2910" s="0" t="n">
        <v>3</v>
      </c>
      <c r="B2910" s="0" t="n">
        <v>8</v>
      </c>
      <c r="C2910" s="0" t="n">
        <v>7</v>
      </c>
      <c r="D2910" s="0" t="n">
        <v>7</v>
      </c>
      <c r="E2910" s="0" t="n">
        <f aca="false">-1+A2910*0.25</f>
        <v>-0.25</v>
      </c>
      <c r="F2910" s="0" t="n">
        <f aca="false">-1+B2910*0.25</f>
        <v>1</v>
      </c>
      <c r="G2910" s="0" t="n">
        <f aca="false">-1+C2910*0.25</f>
        <v>0.75</v>
      </c>
      <c r="H2910" s="0" t="n">
        <f aca="false">-1+D2910*0.25</f>
        <v>0.75</v>
      </c>
      <c r="I2910" s="0" t="n">
        <f aca="false">1</f>
        <v>1</v>
      </c>
      <c r="J2910" s="0" t="n">
        <f aca="false">E2910</f>
        <v>-0.25</v>
      </c>
      <c r="K2910" s="0" t="n">
        <f aca="false">F2910</f>
        <v>1</v>
      </c>
      <c r="L2910" s="0" t="n">
        <f aca="false">G2910</f>
        <v>0.75</v>
      </c>
      <c r="M2910" s="0" t="n">
        <f aca="false">H2910</f>
        <v>0.75</v>
      </c>
      <c r="N2910" s="0" t="n">
        <f aca="false">E2910*F2910</f>
        <v>-0.25</v>
      </c>
      <c r="O2910" s="0" t="n">
        <f aca="false">E2910*G2910</f>
        <v>-0.1875</v>
      </c>
      <c r="P2910" s="0" t="n">
        <f aca="false">E2910*H2910</f>
        <v>-0.1875</v>
      </c>
      <c r="Q2910" s="0" t="n">
        <f aca="false">F2910*G2910</f>
        <v>0.75</v>
      </c>
      <c r="R2910" s="0" t="n">
        <f aca="false">F2910*H2910</f>
        <v>0.75</v>
      </c>
      <c r="S2910" s="0" t="n">
        <f aca="false">G2910*H2910</f>
        <v>0.5625</v>
      </c>
      <c r="T2910" s="0" t="n">
        <f aca="false">E2910*E2910</f>
        <v>0.0625</v>
      </c>
      <c r="U2910" s="0" t="n">
        <f aca="false">F2910*F2910</f>
        <v>1</v>
      </c>
      <c r="V2910" s="0" t="n">
        <f aca="false">G2910*G2910</f>
        <v>0.5625</v>
      </c>
      <c r="W2910" s="0" t="n">
        <f aca="false">H2910*H2910</f>
        <v>0.5625</v>
      </c>
      <c r="X2910" s="0" t="n">
        <f aca="false">SUMPRODUCT(I2910:W2910,_XtX!$B$96:$P$96)</f>
        <v>47.2536504020467</v>
      </c>
      <c r="Y2910" s="0" t="n">
        <f aca="false">SUMPRODUCT(MMULT(I2910:W2910,_XtX!$B$78:$P$92),I2910:W2910)</f>
        <v>0.473959761056287</v>
      </c>
      <c r="Z2910" s="0" t="n">
        <f aca="false">04_回帰ANOVA!$K$19*04_回帰ANOVA!$K$14*SQRT(1+Y2910)</f>
        <v>1.58249084588329</v>
      </c>
      <c r="AA2910" s="0" t="n">
        <f aca="false">X2910-Z2910</f>
        <v>45.6711595561635</v>
      </c>
      <c r="AB2910" s="0" t="n">
        <f aca="false">X2910+Z2910</f>
        <v>48.83614124793</v>
      </c>
      <c r="AC2910" s="54" t="b">
        <f aca="false">AND(E2910&gt;=01_因子設定!$L$5-0.000000001,E2910&lt;=01_因子設定!$M$5+0.000000001,F2910&gt;=01_因子設定!$L$6-0.000000001,F2910&lt;=01_因子設定!$M$6+0.000000001,G2910&gt;=01_因子設定!$L$7-0.000000001,G2910&lt;=01_因子設定!$M$7+0.000000001,H2910&gt;=01_因子設定!$L$8-0.000000001,H2910&lt;=01_因子設定!$M$8+0.000000001,IF(01_因子設定!$B$20="Box-Behnken",E2910^2+F2910^2+G2910^2+H2910^2&lt;=2+0.000000001,TRUE()))</f>
        <v>1</v>
      </c>
      <c r="AD2910" s="55" t="n">
        <f aca="false">IF(AC2910,IF(01_因子設定!$B$13="最大化",AA2910-01_因子設定!$B$14,IF(01_因子設定!$B$13="最小化",01_因子設定!$B$15-AB2910,MIN(AA2910-01_因子設定!$B$14,01_因子設定!$B$15-AB2910))),-1E+030)</f>
        <v>-0.82884044383654</v>
      </c>
      <c r="AE2910" s="55" t="n">
        <f aca="false">IF(AC2910,IF(01_因子設定!$B$13="最大化",X2910,IF(01_因子設定!$B$13="最小化",-X2910,-ABS(X2910-01_因子設定!$B$16))),-1E+030)</f>
        <v>47.2536504020467</v>
      </c>
      <c r="AF2910" s="55" t="n">
        <f aca="false">AD2910+ROW()*0.000000001</f>
        <v>-0.828837533836541</v>
      </c>
      <c r="AG2910" s="55" t="n">
        <f aca="false">AE2910+ROW()*0.000000001</f>
        <v>47.2536533120467</v>
      </c>
    </row>
    <row r="2911" customFormat="false" ht="15" hidden="false" customHeight="false" outlineLevel="0" collapsed="false">
      <c r="A2911" s="0" t="n">
        <v>3</v>
      </c>
      <c r="B2911" s="0" t="n">
        <v>8</v>
      </c>
      <c r="C2911" s="0" t="n">
        <v>7</v>
      </c>
      <c r="D2911" s="0" t="n">
        <v>8</v>
      </c>
      <c r="E2911" s="0" t="n">
        <f aca="false">-1+A2911*0.25</f>
        <v>-0.25</v>
      </c>
      <c r="F2911" s="0" t="n">
        <f aca="false">-1+B2911*0.25</f>
        <v>1</v>
      </c>
      <c r="G2911" s="0" t="n">
        <f aca="false">-1+C2911*0.25</f>
        <v>0.75</v>
      </c>
      <c r="H2911" s="0" t="n">
        <f aca="false">-1+D2911*0.25</f>
        <v>1</v>
      </c>
      <c r="I2911" s="0" t="n">
        <f aca="false">1</f>
        <v>1</v>
      </c>
      <c r="J2911" s="0" t="n">
        <f aca="false">E2911</f>
        <v>-0.25</v>
      </c>
      <c r="K2911" s="0" t="n">
        <f aca="false">F2911</f>
        <v>1</v>
      </c>
      <c r="L2911" s="0" t="n">
        <f aca="false">G2911</f>
        <v>0.75</v>
      </c>
      <c r="M2911" s="0" t="n">
        <f aca="false">H2911</f>
        <v>1</v>
      </c>
      <c r="N2911" s="0" t="n">
        <f aca="false">E2911*F2911</f>
        <v>-0.25</v>
      </c>
      <c r="O2911" s="0" t="n">
        <f aca="false">E2911*G2911</f>
        <v>-0.1875</v>
      </c>
      <c r="P2911" s="0" t="n">
        <f aca="false">E2911*H2911</f>
        <v>-0.25</v>
      </c>
      <c r="Q2911" s="0" t="n">
        <f aca="false">F2911*G2911</f>
        <v>0.75</v>
      </c>
      <c r="R2911" s="0" t="n">
        <f aca="false">F2911*H2911</f>
        <v>1</v>
      </c>
      <c r="S2911" s="0" t="n">
        <f aca="false">G2911*H2911</f>
        <v>0.75</v>
      </c>
      <c r="T2911" s="0" t="n">
        <f aca="false">E2911*E2911</f>
        <v>0.0625</v>
      </c>
      <c r="U2911" s="0" t="n">
        <f aca="false">F2911*F2911</f>
        <v>1</v>
      </c>
      <c r="V2911" s="0" t="n">
        <f aca="false">G2911*G2911</f>
        <v>0.5625</v>
      </c>
      <c r="W2911" s="0" t="n">
        <f aca="false">H2911*H2911</f>
        <v>1</v>
      </c>
      <c r="X2911" s="0" t="n">
        <f aca="false">SUMPRODUCT(I2911:W2911,_XtX!$B$96:$P$96)</f>
        <v>47.1806834795321</v>
      </c>
      <c r="Y2911" s="0" t="n">
        <f aca="false">SUMPRODUCT(MMULT(I2911:W2911,_XtX!$B$78:$P$92),I2911:W2911)</f>
        <v>0.621372155975877</v>
      </c>
      <c r="Z2911" s="0" t="n">
        <f aca="false">04_回帰ANOVA!$K$19*04_回帰ANOVA!$K$14*SQRT(1+Y2911)</f>
        <v>1.65973880499872</v>
      </c>
      <c r="AA2911" s="0" t="n">
        <f aca="false">X2911-Z2911</f>
        <v>45.5209446745334</v>
      </c>
      <c r="AB2911" s="0" t="n">
        <f aca="false">X2911+Z2911</f>
        <v>48.8404222845309</v>
      </c>
      <c r="AC2911" s="54" t="b">
        <f aca="false">AND(E2911&gt;=01_因子設定!$L$5-0.000000001,E2911&lt;=01_因子設定!$M$5+0.000000001,F2911&gt;=01_因子設定!$L$6-0.000000001,F2911&lt;=01_因子設定!$M$6+0.000000001,G2911&gt;=01_因子設定!$L$7-0.000000001,G2911&lt;=01_因子設定!$M$7+0.000000001,H2911&gt;=01_因子設定!$L$8-0.000000001,H2911&lt;=01_因子設定!$M$8+0.000000001,IF(01_因子設定!$B$20="Box-Behnken",E2911^2+F2911^2+G2911^2+H2911^2&lt;=2+0.000000001,TRUE()))</f>
        <v>1</v>
      </c>
      <c r="AD2911" s="55" t="n">
        <f aca="false">IF(AC2911,IF(01_因子設定!$B$13="最大化",AA2911-01_因子設定!$B$14,IF(01_因子設定!$B$13="最小化",01_因子設定!$B$15-AB2911,MIN(AA2911-01_因子設定!$B$14,01_因子設定!$B$15-AB2911))),-1E+030)</f>
        <v>-0.979055325466575</v>
      </c>
      <c r="AE2911" s="55" t="n">
        <f aca="false">IF(AC2911,IF(01_因子設定!$B$13="最大化",X2911,IF(01_因子設定!$B$13="最小化",-X2911,-ABS(X2911-01_因子設定!$B$16))),-1E+030)</f>
        <v>47.1806834795321</v>
      </c>
      <c r="AF2911" s="55" t="n">
        <f aca="false">AD2911+ROW()*0.000000001</f>
        <v>-0.979052414466575</v>
      </c>
      <c r="AG2911" s="55" t="n">
        <f aca="false">AE2911+ROW()*0.000000001</f>
        <v>47.1806863905321</v>
      </c>
    </row>
    <row r="2912" customFormat="false" ht="15" hidden="false" customHeight="false" outlineLevel="0" collapsed="false">
      <c r="A2912" s="0" t="n">
        <v>3</v>
      </c>
      <c r="B2912" s="0" t="n">
        <v>8</v>
      </c>
      <c r="C2912" s="0" t="n">
        <v>8</v>
      </c>
      <c r="D2912" s="0" t="n">
        <v>0</v>
      </c>
      <c r="E2912" s="0" t="n">
        <f aca="false">-1+A2912*0.25</f>
        <v>-0.25</v>
      </c>
      <c r="F2912" s="0" t="n">
        <f aca="false">-1+B2912*0.25</f>
        <v>1</v>
      </c>
      <c r="G2912" s="0" t="n">
        <f aca="false">-1+C2912*0.25</f>
        <v>1</v>
      </c>
      <c r="H2912" s="0" t="n">
        <f aca="false">-1+D2912*0.25</f>
        <v>-1</v>
      </c>
      <c r="I2912" s="0" t="n">
        <f aca="false">1</f>
        <v>1</v>
      </c>
      <c r="J2912" s="0" t="n">
        <f aca="false">E2912</f>
        <v>-0.25</v>
      </c>
      <c r="K2912" s="0" t="n">
        <f aca="false">F2912</f>
        <v>1</v>
      </c>
      <c r="L2912" s="0" t="n">
        <f aca="false">G2912</f>
        <v>1</v>
      </c>
      <c r="M2912" s="0" t="n">
        <f aca="false">H2912</f>
        <v>-1</v>
      </c>
      <c r="N2912" s="0" t="n">
        <f aca="false">E2912*F2912</f>
        <v>-0.25</v>
      </c>
      <c r="O2912" s="0" t="n">
        <f aca="false">E2912*G2912</f>
        <v>-0.25</v>
      </c>
      <c r="P2912" s="0" t="n">
        <f aca="false">E2912*H2912</f>
        <v>0.25</v>
      </c>
      <c r="Q2912" s="0" t="n">
        <f aca="false">F2912*G2912</f>
        <v>1</v>
      </c>
      <c r="R2912" s="0" t="n">
        <f aca="false">F2912*H2912</f>
        <v>-1</v>
      </c>
      <c r="S2912" s="0" t="n">
        <f aca="false">G2912*H2912</f>
        <v>-1</v>
      </c>
      <c r="T2912" s="0" t="n">
        <f aca="false">E2912*E2912</f>
        <v>0.0625</v>
      </c>
      <c r="U2912" s="0" t="n">
        <f aca="false">F2912*F2912</f>
        <v>1</v>
      </c>
      <c r="V2912" s="0" t="n">
        <f aca="false">G2912*G2912</f>
        <v>1</v>
      </c>
      <c r="W2912" s="0" t="n">
        <f aca="false">H2912*H2912</f>
        <v>1</v>
      </c>
      <c r="X2912" s="0" t="n">
        <f aca="false">SUMPRODUCT(I2912:W2912,_XtX!$B$96:$P$96)</f>
        <v>46.4199561403509</v>
      </c>
      <c r="Y2912" s="0" t="n">
        <f aca="false">SUMPRODUCT(MMULT(I2912:W2912,_XtX!$B$78:$P$92),I2912:W2912)</f>
        <v>0.737093384502924</v>
      </c>
      <c r="Z2912" s="0" t="n">
        <f aca="false">04_回帰ANOVA!$K$19*04_回帰ANOVA!$K$14*SQRT(1+Y2912)</f>
        <v>1.71794784853551</v>
      </c>
      <c r="AA2912" s="0" t="n">
        <f aca="false">X2912-Z2912</f>
        <v>44.7020082918154</v>
      </c>
      <c r="AB2912" s="0" t="n">
        <f aca="false">X2912+Z2912</f>
        <v>48.1379039888864</v>
      </c>
      <c r="AC2912" s="54" t="b">
        <f aca="false">AND(E2912&gt;=01_因子設定!$L$5-0.000000001,E2912&lt;=01_因子設定!$M$5+0.000000001,F2912&gt;=01_因子設定!$L$6-0.000000001,F2912&lt;=01_因子設定!$M$6+0.000000001,G2912&gt;=01_因子設定!$L$7-0.000000001,G2912&lt;=01_因子設定!$M$7+0.000000001,H2912&gt;=01_因子設定!$L$8-0.000000001,H2912&lt;=01_因子設定!$M$8+0.000000001,IF(01_因子設定!$B$20="Box-Behnken",E2912^2+F2912^2+G2912^2+H2912^2&lt;=2+0.000000001,TRUE()))</f>
        <v>1</v>
      </c>
      <c r="AD2912" s="55" t="n">
        <f aca="false">IF(AC2912,IF(01_因子設定!$B$13="最大化",AA2912-01_因子設定!$B$14,IF(01_因子設定!$B$13="最小化",01_因子設定!$B$15-AB2912,MIN(AA2912-01_因子設定!$B$14,01_因子設定!$B$15-AB2912))),-1E+030)</f>
        <v>-1.79799170818464</v>
      </c>
      <c r="AE2912" s="55" t="n">
        <f aca="false">IF(AC2912,IF(01_因子設定!$B$13="最大化",X2912,IF(01_因子設定!$B$13="最小化",-X2912,-ABS(X2912-01_因子設定!$B$16))),-1E+030)</f>
        <v>46.4199561403509</v>
      </c>
      <c r="AF2912" s="55" t="n">
        <f aca="false">AD2912+ROW()*0.000000001</f>
        <v>-1.79798879618464</v>
      </c>
      <c r="AG2912" s="55" t="n">
        <f aca="false">AE2912+ROW()*0.000000001</f>
        <v>46.4199590523509</v>
      </c>
    </row>
    <row r="2913" customFormat="false" ht="15" hidden="false" customHeight="false" outlineLevel="0" collapsed="false">
      <c r="A2913" s="0" t="n">
        <v>3</v>
      </c>
      <c r="B2913" s="0" t="n">
        <v>8</v>
      </c>
      <c r="C2913" s="0" t="n">
        <v>8</v>
      </c>
      <c r="D2913" s="0" t="n">
        <v>1</v>
      </c>
      <c r="E2913" s="0" t="n">
        <f aca="false">-1+A2913*0.25</f>
        <v>-0.25</v>
      </c>
      <c r="F2913" s="0" t="n">
        <f aca="false">-1+B2913*0.25</f>
        <v>1</v>
      </c>
      <c r="G2913" s="0" t="n">
        <f aca="false">-1+C2913*0.25</f>
        <v>1</v>
      </c>
      <c r="H2913" s="0" t="n">
        <f aca="false">-1+D2913*0.25</f>
        <v>-0.75</v>
      </c>
      <c r="I2913" s="0" t="n">
        <f aca="false">1</f>
        <v>1</v>
      </c>
      <c r="J2913" s="0" t="n">
        <f aca="false">E2913</f>
        <v>-0.25</v>
      </c>
      <c r="K2913" s="0" t="n">
        <f aca="false">F2913</f>
        <v>1</v>
      </c>
      <c r="L2913" s="0" t="n">
        <f aca="false">G2913</f>
        <v>1</v>
      </c>
      <c r="M2913" s="0" t="n">
        <f aca="false">H2913</f>
        <v>-0.75</v>
      </c>
      <c r="N2913" s="0" t="n">
        <f aca="false">E2913*F2913</f>
        <v>-0.25</v>
      </c>
      <c r="O2913" s="0" t="n">
        <f aca="false">E2913*G2913</f>
        <v>-0.25</v>
      </c>
      <c r="P2913" s="0" t="n">
        <f aca="false">E2913*H2913</f>
        <v>0.1875</v>
      </c>
      <c r="Q2913" s="0" t="n">
        <f aca="false">F2913*G2913</f>
        <v>1</v>
      </c>
      <c r="R2913" s="0" t="n">
        <f aca="false">F2913*H2913</f>
        <v>-0.75</v>
      </c>
      <c r="S2913" s="0" t="n">
        <f aca="false">G2913*H2913</f>
        <v>-0.75</v>
      </c>
      <c r="T2913" s="0" t="n">
        <f aca="false">E2913*E2913</f>
        <v>0.0625</v>
      </c>
      <c r="U2913" s="0" t="n">
        <f aca="false">F2913*F2913</f>
        <v>1</v>
      </c>
      <c r="V2913" s="0" t="n">
        <f aca="false">G2913*G2913</f>
        <v>1</v>
      </c>
      <c r="W2913" s="0" t="n">
        <f aca="false">H2913*H2913</f>
        <v>0.5625</v>
      </c>
      <c r="X2913" s="0" t="n">
        <f aca="false">SUMPRODUCT(I2913:W2913,_XtX!$B$96:$P$96)</f>
        <v>46.6996070906432</v>
      </c>
      <c r="Y2913" s="0" t="n">
        <f aca="false">SUMPRODUCT(MMULT(I2913:W2913,_XtX!$B$78:$P$92),I2913:W2913)</f>
        <v>0.621372155975877</v>
      </c>
      <c r="Z2913" s="0" t="n">
        <f aca="false">04_回帰ANOVA!$K$19*04_回帰ANOVA!$K$14*SQRT(1+Y2913)</f>
        <v>1.65973880499872</v>
      </c>
      <c r="AA2913" s="0" t="n">
        <f aca="false">X2913-Z2913</f>
        <v>45.0398682856445</v>
      </c>
      <c r="AB2913" s="0" t="n">
        <f aca="false">X2913+Z2913</f>
        <v>48.359345895642</v>
      </c>
      <c r="AC2913" s="54" t="b">
        <f aca="false">AND(E2913&gt;=01_因子設定!$L$5-0.000000001,E2913&lt;=01_因子設定!$M$5+0.000000001,F2913&gt;=01_因子設定!$L$6-0.000000001,F2913&lt;=01_因子設定!$M$6+0.000000001,G2913&gt;=01_因子設定!$L$7-0.000000001,G2913&lt;=01_因子設定!$M$7+0.000000001,H2913&gt;=01_因子設定!$L$8-0.000000001,H2913&lt;=01_因子設定!$M$8+0.000000001,IF(01_因子設定!$B$20="Box-Behnken",E2913^2+F2913^2+G2913^2+H2913^2&lt;=2+0.000000001,TRUE()))</f>
        <v>1</v>
      </c>
      <c r="AD2913" s="55" t="n">
        <f aca="false">IF(AC2913,IF(01_因子設定!$B$13="最大化",AA2913-01_因子設定!$B$14,IF(01_因子設定!$B$13="最小化",01_因子設定!$B$15-AB2913,MIN(AA2913-01_因子設定!$B$14,01_因子設定!$B$15-AB2913))),-1E+030)</f>
        <v>-1.46013171435548</v>
      </c>
      <c r="AE2913" s="55" t="n">
        <f aca="false">IF(AC2913,IF(01_因子設定!$B$13="最大化",X2913,IF(01_因子設定!$B$13="最小化",-X2913,-ABS(X2913-01_因子設定!$B$16))),-1E+030)</f>
        <v>46.6996070906432</v>
      </c>
      <c r="AF2913" s="55" t="n">
        <f aca="false">AD2913+ROW()*0.000000001</f>
        <v>-1.46012880135548</v>
      </c>
      <c r="AG2913" s="55" t="n">
        <f aca="false">AE2913+ROW()*0.000000001</f>
        <v>46.6996100036432</v>
      </c>
    </row>
    <row r="2914" customFormat="false" ht="15" hidden="false" customHeight="false" outlineLevel="0" collapsed="false">
      <c r="A2914" s="0" t="n">
        <v>3</v>
      </c>
      <c r="B2914" s="0" t="n">
        <v>8</v>
      </c>
      <c r="C2914" s="0" t="n">
        <v>8</v>
      </c>
      <c r="D2914" s="0" t="n">
        <v>2</v>
      </c>
      <c r="E2914" s="0" t="n">
        <f aca="false">-1+A2914*0.25</f>
        <v>-0.25</v>
      </c>
      <c r="F2914" s="0" t="n">
        <f aca="false">-1+B2914*0.25</f>
        <v>1</v>
      </c>
      <c r="G2914" s="0" t="n">
        <f aca="false">-1+C2914*0.25</f>
        <v>1</v>
      </c>
      <c r="H2914" s="0" t="n">
        <f aca="false">-1+D2914*0.25</f>
        <v>-0.5</v>
      </c>
      <c r="I2914" s="0" t="n">
        <f aca="false">1</f>
        <v>1</v>
      </c>
      <c r="J2914" s="0" t="n">
        <f aca="false">E2914</f>
        <v>-0.25</v>
      </c>
      <c r="K2914" s="0" t="n">
        <f aca="false">F2914</f>
        <v>1</v>
      </c>
      <c r="L2914" s="0" t="n">
        <f aca="false">G2914</f>
        <v>1</v>
      </c>
      <c r="M2914" s="0" t="n">
        <f aca="false">H2914</f>
        <v>-0.5</v>
      </c>
      <c r="N2914" s="0" t="n">
        <f aca="false">E2914*F2914</f>
        <v>-0.25</v>
      </c>
      <c r="O2914" s="0" t="n">
        <f aca="false">E2914*G2914</f>
        <v>-0.25</v>
      </c>
      <c r="P2914" s="0" t="n">
        <f aca="false">E2914*H2914</f>
        <v>0.125</v>
      </c>
      <c r="Q2914" s="0" t="n">
        <f aca="false">F2914*G2914</f>
        <v>1</v>
      </c>
      <c r="R2914" s="0" t="n">
        <f aca="false">F2914*H2914</f>
        <v>-0.5</v>
      </c>
      <c r="S2914" s="0" t="n">
        <f aca="false">G2914*H2914</f>
        <v>-0.5</v>
      </c>
      <c r="T2914" s="0" t="n">
        <f aca="false">E2914*E2914</f>
        <v>0.0625</v>
      </c>
      <c r="U2914" s="0" t="n">
        <f aca="false">F2914*F2914</f>
        <v>1</v>
      </c>
      <c r="V2914" s="0" t="n">
        <f aca="false">G2914*G2914</f>
        <v>1</v>
      </c>
      <c r="W2914" s="0" t="n">
        <f aca="false">H2914*H2914</f>
        <v>0.25</v>
      </c>
      <c r="X2914" s="0" t="n">
        <f aca="false">SUMPRODUCT(I2914:W2914,_XtX!$B$96:$P$96)</f>
        <v>46.9314510233918</v>
      </c>
      <c r="Y2914" s="0" t="n">
        <f aca="false">SUMPRODUCT(MMULT(I2914:W2914,_XtX!$B$78:$P$92),I2914:W2914)</f>
        <v>0.629174661915205</v>
      </c>
      <c r="Z2914" s="0" t="n">
        <f aca="false">04_回帰ANOVA!$K$19*04_回帰ANOVA!$K$14*SQRT(1+Y2914)</f>
        <v>1.66372758058297</v>
      </c>
      <c r="AA2914" s="0" t="n">
        <f aca="false">X2914-Z2914</f>
        <v>45.2677234428088</v>
      </c>
      <c r="AB2914" s="0" t="n">
        <f aca="false">X2914+Z2914</f>
        <v>48.5951786039747</v>
      </c>
      <c r="AC2914" s="54" t="b">
        <f aca="false">AND(E2914&gt;=01_因子設定!$L$5-0.000000001,E2914&lt;=01_因子設定!$M$5+0.000000001,F2914&gt;=01_因子設定!$L$6-0.000000001,F2914&lt;=01_因子設定!$M$6+0.000000001,G2914&gt;=01_因子設定!$L$7-0.000000001,G2914&lt;=01_因子設定!$M$7+0.000000001,H2914&gt;=01_因子設定!$L$8-0.000000001,H2914&lt;=01_因子設定!$M$8+0.000000001,IF(01_因子設定!$B$20="Box-Behnken",E2914^2+F2914^2+G2914^2+H2914^2&lt;=2+0.000000001,TRUE()))</f>
        <v>1</v>
      </c>
      <c r="AD2914" s="55" t="n">
        <f aca="false">IF(AC2914,IF(01_因子設定!$B$13="最大化",AA2914-01_因子設定!$B$14,IF(01_因子設定!$B$13="最小化",01_因子設定!$B$15-AB2914,MIN(AA2914-01_因子設定!$B$14,01_因子設定!$B$15-AB2914))),-1E+030)</f>
        <v>-1.23227655719121</v>
      </c>
      <c r="AE2914" s="55" t="n">
        <f aca="false">IF(AC2914,IF(01_因子設定!$B$13="最大化",X2914,IF(01_因子設定!$B$13="最小化",-X2914,-ABS(X2914-01_因子設定!$B$16))),-1E+030)</f>
        <v>46.9314510233918</v>
      </c>
      <c r="AF2914" s="55" t="n">
        <f aca="false">AD2914+ROW()*0.000000001</f>
        <v>-1.23227364319121</v>
      </c>
      <c r="AG2914" s="55" t="n">
        <f aca="false">AE2914+ROW()*0.000000001</f>
        <v>46.9314539373918</v>
      </c>
    </row>
    <row r="2915" customFormat="false" ht="15" hidden="false" customHeight="false" outlineLevel="0" collapsed="false">
      <c r="A2915" s="0" t="n">
        <v>3</v>
      </c>
      <c r="B2915" s="0" t="n">
        <v>8</v>
      </c>
      <c r="C2915" s="0" t="n">
        <v>8</v>
      </c>
      <c r="D2915" s="0" t="n">
        <v>3</v>
      </c>
      <c r="E2915" s="0" t="n">
        <f aca="false">-1+A2915*0.25</f>
        <v>-0.25</v>
      </c>
      <c r="F2915" s="0" t="n">
        <f aca="false">-1+B2915*0.25</f>
        <v>1</v>
      </c>
      <c r="G2915" s="0" t="n">
        <f aca="false">-1+C2915*0.25</f>
        <v>1</v>
      </c>
      <c r="H2915" s="0" t="n">
        <f aca="false">-1+D2915*0.25</f>
        <v>-0.25</v>
      </c>
      <c r="I2915" s="0" t="n">
        <f aca="false">1</f>
        <v>1</v>
      </c>
      <c r="J2915" s="0" t="n">
        <f aca="false">E2915</f>
        <v>-0.25</v>
      </c>
      <c r="K2915" s="0" t="n">
        <f aca="false">F2915</f>
        <v>1</v>
      </c>
      <c r="L2915" s="0" t="n">
        <f aca="false">G2915</f>
        <v>1</v>
      </c>
      <c r="M2915" s="0" t="n">
        <f aca="false">H2915</f>
        <v>-0.25</v>
      </c>
      <c r="N2915" s="0" t="n">
        <f aca="false">E2915*F2915</f>
        <v>-0.25</v>
      </c>
      <c r="O2915" s="0" t="n">
        <f aca="false">E2915*G2915</f>
        <v>-0.25</v>
      </c>
      <c r="P2915" s="0" t="n">
        <f aca="false">E2915*H2915</f>
        <v>0.0625</v>
      </c>
      <c r="Q2915" s="0" t="n">
        <f aca="false">F2915*G2915</f>
        <v>1</v>
      </c>
      <c r="R2915" s="0" t="n">
        <f aca="false">F2915*H2915</f>
        <v>-0.25</v>
      </c>
      <c r="S2915" s="0" t="n">
        <f aca="false">G2915*H2915</f>
        <v>-0.25</v>
      </c>
      <c r="T2915" s="0" t="n">
        <f aca="false">E2915*E2915</f>
        <v>0.0625</v>
      </c>
      <c r="U2915" s="0" t="n">
        <f aca="false">F2915*F2915</f>
        <v>1</v>
      </c>
      <c r="V2915" s="0" t="n">
        <f aca="false">G2915*G2915</f>
        <v>1</v>
      </c>
      <c r="W2915" s="0" t="n">
        <f aca="false">H2915*H2915</f>
        <v>0.0625</v>
      </c>
      <c r="X2915" s="0" t="n">
        <f aca="false">SUMPRODUCT(I2915:W2915,_XtX!$B$96:$P$96)</f>
        <v>47.1154879385964</v>
      </c>
      <c r="Y2915" s="0" t="n">
        <f aca="false">SUMPRODUCT(MMULT(I2915:W2915,_XtX!$B$78:$P$92),I2915:W2915)</f>
        <v>0.670040376005117</v>
      </c>
      <c r="Z2915" s="0" t="n">
        <f aca="false">04_回帰ANOVA!$K$19*04_回帰ANOVA!$K$14*SQRT(1+Y2915)</f>
        <v>1.68446456039992</v>
      </c>
      <c r="AA2915" s="0" t="n">
        <f aca="false">X2915-Z2915</f>
        <v>45.4310233781965</v>
      </c>
      <c r="AB2915" s="0" t="n">
        <f aca="false">X2915+Z2915</f>
        <v>48.7999524989964</v>
      </c>
      <c r="AC2915" s="54" t="b">
        <f aca="false">AND(E2915&gt;=01_因子設定!$L$5-0.000000001,E2915&lt;=01_因子設定!$M$5+0.000000001,F2915&gt;=01_因子設定!$L$6-0.000000001,F2915&lt;=01_因子設定!$M$6+0.000000001,G2915&gt;=01_因子設定!$L$7-0.000000001,G2915&lt;=01_因子設定!$M$7+0.000000001,H2915&gt;=01_因子設定!$L$8-0.000000001,H2915&lt;=01_因子設定!$M$8+0.000000001,IF(01_因子設定!$B$20="Box-Behnken",E2915^2+F2915^2+G2915^2+H2915^2&lt;=2+0.000000001,TRUE()))</f>
        <v>1</v>
      </c>
      <c r="AD2915" s="55" t="n">
        <f aca="false">IF(AC2915,IF(01_因子設定!$B$13="最大化",AA2915-01_因子設定!$B$14,IF(01_因子設定!$B$13="最小化",01_因子設定!$B$15-AB2915,MIN(AA2915-01_因子設定!$B$14,01_因子設定!$B$15-AB2915))),-1E+030)</f>
        <v>-1.06897662180348</v>
      </c>
      <c r="AE2915" s="55" t="n">
        <f aca="false">IF(AC2915,IF(01_因子設定!$B$13="最大化",X2915,IF(01_因子設定!$B$13="最小化",-X2915,-ABS(X2915-01_因子設定!$B$16))),-1E+030)</f>
        <v>47.1154879385964</v>
      </c>
      <c r="AF2915" s="55" t="n">
        <f aca="false">AD2915+ROW()*0.000000001</f>
        <v>-1.06897370680348</v>
      </c>
      <c r="AG2915" s="55" t="n">
        <f aca="false">AE2915+ROW()*0.000000001</f>
        <v>47.1154908535964</v>
      </c>
    </row>
    <row r="2916" customFormat="false" ht="15" hidden="false" customHeight="false" outlineLevel="0" collapsed="false">
      <c r="A2916" s="0" t="n">
        <v>3</v>
      </c>
      <c r="B2916" s="0" t="n">
        <v>8</v>
      </c>
      <c r="C2916" s="0" t="n">
        <v>8</v>
      </c>
      <c r="D2916" s="0" t="n">
        <v>4</v>
      </c>
      <c r="E2916" s="0" t="n">
        <f aca="false">-1+A2916*0.25</f>
        <v>-0.25</v>
      </c>
      <c r="F2916" s="0" t="n">
        <f aca="false">-1+B2916*0.25</f>
        <v>1</v>
      </c>
      <c r="G2916" s="0" t="n">
        <f aca="false">-1+C2916*0.25</f>
        <v>1</v>
      </c>
      <c r="H2916" s="0" t="n">
        <f aca="false">-1+D2916*0.25</f>
        <v>0</v>
      </c>
      <c r="I2916" s="0" t="n">
        <f aca="false">1</f>
        <v>1</v>
      </c>
      <c r="J2916" s="0" t="n">
        <f aca="false">E2916</f>
        <v>-0.25</v>
      </c>
      <c r="K2916" s="0" t="n">
        <f aca="false">F2916</f>
        <v>1</v>
      </c>
      <c r="L2916" s="0" t="n">
        <f aca="false">G2916</f>
        <v>1</v>
      </c>
      <c r="M2916" s="0" t="n">
        <f aca="false">H2916</f>
        <v>0</v>
      </c>
      <c r="N2916" s="0" t="n">
        <f aca="false">E2916*F2916</f>
        <v>-0.25</v>
      </c>
      <c r="O2916" s="0" t="n">
        <f aca="false">E2916*G2916</f>
        <v>-0.25</v>
      </c>
      <c r="P2916" s="0" t="n">
        <f aca="false">E2916*H2916</f>
        <v>-0</v>
      </c>
      <c r="Q2916" s="0" t="n">
        <f aca="false">F2916*G2916</f>
        <v>1</v>
      </c>
      <c r="R2916" s="0" t="n">
        <f aca="false">F2916*H2916</f>
        <v>0</v>
      </c>
      <c r="S2916" s="0" t="n">
        <f aca="false">G2916*H2916</f>
        <v>0</v>
      </c>
      <c r="T2916" s="0" t="n">
        <f aca="false">E2916*E2916</f>
        <v>0.0625</v>
      </c>
      <c r="U2916" s="0" t="n">
        <f aca="false">F2916*F2916</f>
        <v>1</v>
      </c>
      <c r="V2916" s="0" t="n">
        <f aca="false">G2916*G2916</f>
        <v>1</v>
      </c>
      <c r="W2916" s="0" t="n">
        <f aca="false">H2916*H2916</f>
        <v>0</v>
      </c>
      <c r="X2916" s="0" t="n">
        <f aca="false">SUMPRODUCT(I2916:W2916,_XtX!$B$96:$P$96)</f>
        <v>47.2517178362573</v>
      </c>
      <c r="Y2916" s="0" t="n">
        <f aca="false">SUMPRODUCT(MMULT(I2916:W2916,_XtX!$B$78:$P$92),I2916:W2916)</f>
        <v>0.689692982456141</v>
      </c>
      <c r="Z2916" s="0" t="n">
        <f aca="false">04_回帰ANOVA!$K$19*04_回帰ANOVA!$K$14*SQRT(1+Y2916)</f>
        <v>1.69434674594998</v>
      </c>
      <c r="AA2916" s="0" t="n">
        <f aca="false">X2916-Z2916</f>
        <v>45.5573710903073</v>
      </c>
      <c r="AB2916" s="0" t="n">
        <f aca="false">X2916+Z2916</f>
        <v>48.9460645822072</v>
      </c>
      <c r="AC2916" s="54" t="b">
        <f aca="false">AND(E2916&gt;=01_因子設定!$L$5-0.000000001,E2916&lt;=01_因子設定!$M$5+0.000000001,F2916&gt;=01_因子設定!$L$6-0.000000001,F2916&lt;=01_因子設定!$M$6+0.000000001,G2916&gt;=01_因子設定!$L$7-0.000000001,G2916&lt;=01_因子設定!$M$7+0.000000001,H2916&gt;=01_因子設定!$L$8-0.000000001,H2916&lt;=01_因子設定!$M$8+0.000000001,IF(01_因子設定!$B$20="Box-Behnken",E2916^2+F2916^2+G2916^2+H2916^2&lt;=2+0.000000001,TRUE()))</f>
        <v>1</v>
      </c>
      <c r="AD2916" s="55" t="n">
        <f aca="false">IF(AC2916,IF(01_因子設定!$B$13="最大化",AA2916-01_因子設定!$B$14,IF(01_因子設定!$B$13="最小化",01_因子設定!$B$15-AB2916,MIN(AA2916-01_因子設定!$B$14,01_因子設定!$B$15-AB2916))),-1E+030)</f>
        <v>-0.942628909692729</v>
      </c>
      <c r="AE2916" s="55" t="n">
        <f aca="false">IF(AC2916,IF(01_因子設定!$B$13="最大化",X2916,IF(01_因子設定!$B$13="最小化",-X2916,-ABS(X2916-01_因子設定!$B$16))),-1E+030)</f>
        <v>47.2517178362573</v>
      </c>
      <c r="AF2916" s="55" t="n">
        <f aca="false">AD2916+ROW()*0.000000001</f>
        <v>-0.942625993692729</v>
      </c>
      <c r="AG2916" s="55" t="n">
        <f aca="false">AE2916+ROW()*0.000000001</f>
        <v>47.2517207522573</v>
      </c>
    </row>
    <row r="2917" customFormat="false" ht="15" hidden="false" customHeight="false" outlineLevel="0" collapsed="false">
      <c r="A2917" s="0" t="n">
        <v>3</v>
      </c>
      <c r="B2917" s="0" t="n">
        <v>8</v>
      </c>
      <c r="C2917" s="0" t="n">
        <v>8</v>
      </c>
      <c r="D2917" s="0" t="n">
        <v>5</v>
      </c>
      <c r="E2917" s="0" t="n">
        <f aca="false">-1+A2917*0.25</f>
        <v>-0.25</v>
      </c>
      <c r="F2917" s="0" t="n">
        <f aca="false">-1+B2917*0.25</f>
        <v>1</v>
      </c>
      <c r="G2917" s="0" t="n">
        <f aca="false">-1+C2917*0.25</f>
        <v>1</v>
      </c>
      <c r="H2917" s="0" t="n">
        <f aca="false">-1+D2917*0.25</f>
        <v>0.25</v>
      </c>
      <c r="I2917" s="0" t="n">
        <f aca="false">1</f>
        <v>1</v>
      </c>
      <c r="J2917" s="0" t="n">
        <f aca="false">E2917</f>
        <v>-0.25</v>
      </c>
      <c r="K2917" s="0" t="n">
        <f aca="false">F2917</f>
        <v>1</v>
      </c>
      <c r="L2917" s="0" t="n">
        <f aca="false">G2917</f>
        <v>1</v>
      </c>
      <c r="M2917" s="0" t="n">
        <f aca="false">H2917</f>
        <v>0.25</v>
      </c>
      <c r="N2917" s="0" t="n">
        <f aca="false">E2917*F2917</f>
        <v>-0.25</v>
      </c>
      <c r="O2917" s="0" t="n">
        <f aca="false">E2917*G2917</f>
        <v>-0.25</v>
      </c>
      <c r="P2917" s="0" t="n">
        <f aca="false">E2917*H2917</f>
        <v>-0.0625</v>
      </c>
      <c r="Q2917" s="0" t="n">
        <f aca="false">F2917*G2917</f>
        <v>1</v>
      </c>
      <c r="R2917" s="0" t="n">
        <f aca="false">F2917*H2917</f>
        <v>0.25</v>
      </c>
      <c r="S2917" s="0" t="n">
        <f aca="false">G2917*H2917</f>
        <v>0.25</v>
      </c>
      <c r="T2917" s="0" t="n">
        <f aca="false">E2917*E2917</f>
        <v>0.0625</v>
      </c>
      <c r="U2917" s="0" t="n">
        <f aca="false">F2917*F2917</f>
        <v>1</v>
      </c>
      <c r="V2917" s="0" t="n">
        <f aca="false">G2917*G2917</f>
        <v>1</v>
      </c>
      <c r="W2917" s="0" t="n">
        <f aca="false">H2917*H2917</f>
        <v>0.0625</v>
      </c>
      <c r="X2917" s="0" t="n">
        <f aca="false">SUMPRODUCT(I2917:W2917,_XtX!$B$96:$P$96)</f>
        <v>47.3401407163742</v>
      </c>
      <c r="Y2917" s="0" t="n">
        <f aca="false">SUMPRODUCT(MMULT(I2917:W2917,_XtX!$B$78:$P$92),I2917:W2917)</f>
        <v>0.670040376005117</v>
      </c>
      <c r="Z2917" s="0" t="n">
        <f aca="false">04_回帰ANOVA!$K$19*04_回帰ANOVA!$K$14*SQRT(1+Y2917)</f>
        <v>1.68446456039992</v>
      </c>
      <c r="AA2917" s="0" t="n">
        <f aca="false">X2917-Z2917</f>
        <v>45.6556761559743</v>
      </c>
      <c r="AB2917" s="0" t="n">
        <f aca="false">X2917+Z2917</f>
        <v>49.0246052767741</v>
      </c>
      <c r="AC2917" s="54" t="b">
        <f aca="false">AND(E2917&gt;=01_因子設定!$L$5-0.000000001,E2917&lt;=01_因子設定!$M$5+0.000000001,F2917&gt;=01_因子設定!$L$6-0.000000001,F2917&lt;=01_因子設定!$M$6+0.000000001,G2917&gt;=01_因子設定!$L$7-0.000000001,G2917&lt;=01_因子設定!$M$7+0.000000001,H2917&gt;=01_因子設定!$L$8-0.000000001,H2917&lt;=01_因子設定!$M$8+0.000000001,IF(01_因子設定!$B$20="Box-Behnken",E2917^2+F2917^2+G2917^2+H2917^2&lt;=2+0.000000001,TRUE()))</f>
        <v>1</v>
      </c>
      <c r="AD2917" s="55" t="n">
        <f aca="false">IF(AC2917,IF(01_因子設定!$B$13="最大化",AA2917-01_因子設定!$B$14,IF(01_因子設定!$B$13="最小化",01_因子設定!$B$15-AB2917,MIN(AA2917-01_因子設定!$B$14,01_因子設定!$B$15-AB2917))),-1E+030)</f>
        <v>-0.844323844025702</v>
      </c>
      <c r="AE2917" s="55" t="n">
        <f aca="false">IF(AC2917,IF(01_因子設定!$B$13="最大化",X2917,IF(01_因子設定!$B$13="最小化",-X2917,-ABS(X2917-01_因子設定!$B$16))),-1E+030)</f>
        <v>47.3401407163742</v>
      </c>
      <c r="AF2917" s="55" t="n">
        <f aca="false">AD2917+ROW()*0.000000001</f>
        <v>-0.844320927025702</v>
      </c>
      <c r="AG2917" s="55" t="n">
        <f aca="false">AE2917+ROW()*0.000000001</f>
        <v>47.3401436333742</v>
      </c>
    </row>
    <row r="2918" customFormat="false" ht="15" hidden="false" customHeight="false" outlineLevel="0" collapsed="false">
      <c r="A2918" s="0" t="n">
        <v>3</v>
      </c>
      <c r="B2918" s="0" t="n">
        <v>8</v>
      </c>
      <c r="C2918" s="0" t="n">
        <v>8</v>
      </c>
      <c r="D2918" s="0" t="n">
        <v>6</v>
      </c>
      <c r="E2918" s="0" t="n">
        <f aca="false">-1+A2918*0.25</f>
        <v>-0.25</v>
      </c>
      <c r="F2918" s="0" t="n">
        <f aca="false">-1+B2918*0.25</f>
        <v>1</v>
      </c>
      <c r="G2918" s="0" t="n">
        <f aca="false">-1+C2918*0.25</f>
        <v>1</v>
      </c>
      <c r="H2918" s="0" t="n">
        <f aca="false">-1+D2918*0.25</f>
        <v>0.5</v>
      </c>
      <c r="I2918" s="0" t="n">
        <f aca="false">1</f>
        <v>1</v>
      </c>
      <c r="J2918" s="0" t="n">
        <f aca="false">E2918</f>
        <v>-0.25</v>
      </c>
      <c r="K2918" s="0" t="n">
        <f aca="false">F2918</f>
        <v>1</v>
      </c>
      <c r="L2918" s="0" t="n">
        <f aca="false">G2918</f>
        <v>1</v>
      </c>
      <c r="M2918" s="0" t="n">
        <f aca="false">H2918</f>
        <v>0.5</v>
      </c>
      <c r="N2918" s="0" t="n">
        <f aca="false">E2918*F2918</f>
        <v>-0.25</v>
      </c>
      <c r="O2918" s="0" t="n">
        <f aca="false">E2918*G2918</f>
        <v>-0.25</v>
      </c>
      <c r="P2918" s="0" t="n">
        <f aca="false">E2918*H2918</f>
        <v>-0.125</v>
      </c>
      <c r="Q2918" s="0" t="n">
        <f aca="false">F2918*G2918</f>
        <v>1</v>
      </c>
      <c r="R2918" s="0" t="n">
        <f aca="false">F2918*H2918</f>
        <v>0.5</v>
      </c>
      <c r="S2918" s="0" t="n">
        <f aca="false">G2918*H2918</f>
        <v>0.5</v>
      </c>
      <c r="T2918" s="0" t="n">
        <f aca="false">E2918*E2918</f>
        <v>0.0625</v>
      </c>
      <c r="U2918" s="0" t="n">
        <f aca="false">F2918*F2918</f>
        <v>1</v>
      </c>
      <c r="V2918" s="0" t="n">
        <f aca="false">G2918*G2918</f>
        <v>1</v>
      </c>
      <c r="W2918" s="0" t="n">
        <f aca="false">H2918*H2918</f>
        <v>0.25</v>
      </c>
      <c r="X2918" s="0" t="n">
        <f aca="false">SUMPRODUCT(I2918:W2918,_XtX!$B$96:$P$96)</f>
        <v>47.3807565789473</v>
      </c>
      <c r="Y2918" s="0" t="n">
        <f aca="false">SUMPRODUCT(MMULT(I2918:W2918,_XtX!$B$78:$P$92),I2918:W2918)</f>
        <v>0.629174661915205</v>
      </c>
      <c r="Z2918" s="0" t="n">
        <f aca="false">04_回帰ANOVA!$K$19*04_回帰ANOVA!$K$14*SQRT(1+Y2918)</f>
        <v>1.66372758058297</v>
      </c>
      <c r="AA2918" s="0" t="n">
        <f aca="false">X2918-Z2918</f>
        <v>45.7170289983644</v>
      </c>
      <c r="AB2918" s="0" t="n">
        <f aca="false">X2918+Z2918</f>
        <v>49.0444841595303</v>
      </c>
      <c r="AC2918" s="54" t="b">
        <f aca="false">AND(E2918&gt;=01_因子設定!$L$5-0.000000001,E2918&lt;=01_因子設定!$M$5+0.000000001,F2918&gt;=01_因子設定!$L$6-0.000000001,F2918&lt;=01_因子設定!$M$6+0.000000001,G2918&gt;=01_因子設定!$L$7-0.000000001,G2918&lt;=01_因子設定!$M$7+0.000000001,H2918&gt;=01_因子設定!$L$8-0.000000001,H2918&lt;=01_因子設定!$M$8+0.000000001,IF(01_因子設定!$B$20="Box-Behnken",E2918^2+F2918^2+G2918^2+H2918^2&lt;=2+0.000000001,TRUE()))</f>
        <v>1</v>
      </c>
      <c r="AD2918" s="55" t="n">
        <f aca="false">IF(AC2918,IF(01_因子設定!$B$13="最大化",AA2918-01_因子設定!$B$14,IF(01_因子設定!$B$13="最小化",01_因子設定!$B$15-AB2918,MIN(AA2918-01_因子設定!$B$14,01_因子設定!$B$15-AB2918))),-1E+030)</f>
        <v>-0.782971001635652</v>
      </c>
      <c r="AE2918" s="55" t="n">
        <f aca="false">IF(AC2918,IF(01_因子設定!$B$13="最大化",X2918,IF(01_因子設定!$B$13="最小化",-X2918,-ABS(X2918-01_因子設定!$B$16))),-1E+030)</f>
        <v>47.3807565789473</v>
      </c>
      <c r="AF2918" s="55" t="n">
        <f aca="false">AD2918+ROW()*0.000000001</f>
        <v>-0.782968083635652</v>
      </c>
      <c r="AG2918" s="55" t="n">
        <f aca="false">AE2918+ROW()*0.000000001</f>
        <v>47.3807594969473</v>
      </c>
    </row>
    <row r="2919" customFormat="false" ht="15" hidden="false" customHeight="false" outlineLevel="0" collapsed="false">
      <c r="A2919" s="0" t="n">
        <v>3</v>
      </c>
      <c r="B2919" s="0" t="n">
        <v>8</v>
      </c>
      <c r="C2919" s="0" t="n">
        <v>8</v>
      </c>
      <c r="D2919" s="0" t="n">
        <v>7</v>
      </c>
      <c r="E2919" s="0" t="n">
        <f aca="false">-1+A2919*0.25</f>
        <v>-0.25</v>
      </c>
      <c r="F2919" s="0" t="n">
        <f aca="false">-1+B2919*0.25</f>
        <v>1</v>
      </c>
      <c r="G2919" s="0" t="n">
        <f aca="false">-1+C2919*0.25</f>
        <v>1</v>
      </c>
      <c r="H2919" s="0" t="n">
        <f aca="false">-1+D2919*0.25</f>
        <v>0.75</v>
      </c>
      <c r="I2919" s="0" t="n">
        <f aca="false">1</f>
        <v>1</v>
      </c>
      <c r="J2919" s="0" t="n">
        <f aca="false">E2919</f>
        <v>-0.25</v>
      </c>
      <c r="K2919" s="0" t="n">
        <f aca="false">F2919</f>
        <v>1</v>
      </c>
      <c r="L2919" s="0" t="n">
        <f aca="false">G2919</f>
        <v>1</v>
      </c>
      <c r="M2919" s="0" t="n">
        <f aca="false">H2919</f>
        <v>0.75</v>
      </c>
      <c r="N2919" s="0" t="n">
        <f aca="false">E2919*F2919</f>
        <v>-0.25</v>
      </c>
      <c r="O2919" s="0" t="n">
        <f aca="false">E2919*G2919</f>
        <v>-0.25</v>
      </c>
      <c r="P2919" s="0" t="n">
        <f aca="false">E2919*H2919</f>
        <v>-0.1875</v>
      </c>
      <c r="Q2919" s="0" t="n">
        <f aca="false">F2919*G2919</f>
        <v>1</v>
      </c>
      <c r="R2919" s="0" t="n">
        <f aca="false">F2919*H2919</f>
        <v>0.75</v>
      </c>
      <c r="S2919" s="0" t="n">
        <f aca="false">G2919*H2919</f>
        <v>0.75</v>
      </c>
      <c r="T2919" s="0" t="n">
        <f aca="false">E2919*E2919</f>
        <v>0.0625</v>
      </c>
      <c r="U2919" s="0" t="n">
        <f aca="false">F2919*F2919</f>
        <v>1</v>
      </c>
      <c r="V2919" s="0" t="n">
        <f aca="false">G2919*G2919</f>
        <v>1</v>
      </c>
      <c r="W2919" s="0" t="n">
        <f aca="false">H2919*H2919</f>
        <v>0.5625</v>
      </c>
      <c r="X2919" s="0" t="n">
        <f aca="false">SUMPRODUCT(I2919:W2919,_XtX!$B$96:$P$96)</f>
        <v>47.3735654239766</v>
      </c>
      <c r="Y2919" s="0" t="n">
        <f aca="false">SUMPRODUCT(MMULT(I2919:W2919,_XtX!$B$78:$P$92),I2919:W2919)</f>
        <v>0.621372155975877</v>
      </c>
      <c r="Z2919" s="0" t="n">
        <f aca="false">04_回帰ANOVA!$K$19*04_回帰ANOVA!$K$14*SQRT(1+Y2919)</f>
        <v>1.65973880499872</v>
      </c>
      <c r="AA2919" s="0" t="n">
        <f aca="false">X2919-Z2919</f>
        <v>45.7138266189779</v>
      </c>
      <c r="AB2919" s="0" t="n">
        <f aca="false">X2919+Z2919</f>
        <v>49.0333042289753</v>
      </c>
      <c r="AC2919" s="54" t="b">
        <f aca="false">AND(E2919&gt;=01_因子設定!$L$5-0.000000001,E2919&lt;=01_因子設定!$M$5+0.000000001,F2919&gt;=01_因子設定!$L$6-0.000000001,F2919&lt;=01_因子設定!$M$6+0.000000001,G2919&gt;=01_因子設定!$L$7-0.000000001,G2919&lt;=01_因子設定!$M$7+0.000000001,H2919&gt;=01_因子設定!$L$8-0.000000001,H2919&lt;=01_因子設定!$M$8+0.000000001,IF(01_因子設定!$B$20="Box-Behnken",E2919^2+F2919^2+G2919^2+H2919^2&lt;=2+0.000000001,TRUE()))</f>
        <v>1</v>
      </c>
      <c r="AD2919" s="55" t="n">
        <f aca="false">IF(AC2919,IF(01_因子設定!$B$13="最大化",AA2919-01_因子設定!$B$14,IF(01_因子設定!$B$13="最小化",01_因子設定!$B$15-AB2919,MIN(AA2919-01_因子設定!$B$14,01_因子設定!$B$15-AB2919))),-1E+030)</f>
        <v>-0.786173381022145</v>
      </c>
      <c r="AE2919" s="55" t="n">
        <f aca="false">IF(AC2919,IF(01_因子設定!$B$13="最大化",X2919,IF(01_因子設定!$B$13="最小化",-X2919,-ABS(X2919-01_因子設定!$B$16))),-1E+030)</f>
        <v>47.3735654239766</v>
      </c>
      <c r="AF2919" s="55" t="n">
        <f aca="false">AD2919+ROW()*0.000000001</f>
        <v>-0.786170462022145</v>
      </c>
      <c r="AG2919" s="55" t="n">
        <f aca="false">AE2919+ROW()*0.000000001</f>
        <v>47.3735683429766</v>
      </c>
    </row>
    <row r="2920" customFormat="false" ht="15" hidden="false" customHeight="false" outlineLevel="0" collapsed="false">
      <c r="A2920" s="0" t="n">
        <v>3</v>
      </c>
      <c r="B2920" s="0" t="n">
        <v>8</v>
      </c>
      <c r="C2920" s="0" t="n">
        <v>8</v>
      </c>
      <c r="D2920" s="0" t="n">
        <v>8</v>
      </c>
      <c r="E2920" s="0" t="n">
        <f aca="false">-1+A2920*0.25</f>
        <v>-0.25</v>
      </c>
      <c r="F2920" s="0" t="n">
        <f aca="false">-1+B2920*0.25</f>
        <v>1</v>
      </c>
      <c r="G2920" s="0" t="n">
        <f aca="false">-1+C2920*0.25</f>
        <v>1</v>
      </c>
      <c r="H2920" s="0" t="n">
        <f aca="false">-1+D2920*0.25</f>
        <v>1</v>
      </c>
      <c r="I2920" s="0" t="n">
        <f aca="false">1</f>
        <v>1</v>
      </c>
      <c r="J2920" s="0" t="n">
        <f aca="false">E2920</f>
        <v>-0.25</v>
      </c>
      <c r="K2920" s="0" t="n">
        <f aca="false">F2920</f>
        <v>1</v>
      </c>
      <c r="L2920" s="0" t="n">
        <f aca="false">G2920</f>
        <v>1</v>
      </c>
      <c r="M2920" s="0" t="n">
        <f aca="false">H2920</f>
        <v>1</v>
      </c>
      <c r="N2920" s="0" t="n">
        <f aca="false">E2920*F2920</f>
        <v>-0.25</v>
      </c>
      <c r="O2920" s="0" t="n">
        <f aca="false">E2920*G2920</f>
        <v>-0.25</v>
      </c>
      <c r="P2920" s="0" t="n">
        <f aca="false">E2920*H2920</f>
        <v>-0.25</v>
      </c>
      <c r="Q2920" s="0" t="n">
        <f aca="false">F2920*G2920</f>
        <v>1</v>
      </c>
      <c r="R2920" s="0" t="n">
        <f aca="false">F2920*H2920</f>
        <v>1</v>
      </c>
      <c r="S2920" s="0" t="n">
        <f aca="false">G2920*H2920</f>
        <v>1</v>
      </c>
      <c r="T2920" s="0" t="n">
        <f aca="false">E2920*E2920</f>
        <v>0.0625</v>
      </c>
      <c r="U2920" s="0" t="n">
        <f aca="false">F2920*F2920</f>
        <v>1</v>
      </c>
      <c r="V2920" s="0" t="n">
        <f aca="false">G2920*G2920</f>
        <v>1</v>
      </c>
      <c r="W2920" s="0" t="n">
        <f aca="false">H2920*H2920</f>
        <v>1</v>
      </c>
      <c r="X2920" s="0" t="n">
        <f aca="false">SUMPRODUCT(I2920:W2920,_XtX!$B$96:$P$96)</f>
        <v>47.318567251462</v>
      </c>
      <c r="Y2920" s="0" t="n">
        <f aca="false">SUMPRODUCT(MMULT(I2920:W2920,_XtX!$B$78:$P$92),I2920:W2920)</f>
        <v>0.737093384502924</v>
      </c>
      <c r="Z2920" s="0" t="n">
        <f aca="false">04_回帰ANOVA!$K$19*04_回帰ANOVA!$K$14*SQRT(1+Y2920)</f>
        <v>1.71794784853551</v>
      </c>
      <c r="AA2920" s="0" t="n">
        <f aca="false">X2920-Z2920</f>
        <v>45.6006194029265</v>
      </c>
      <c r="AB2920" s="0" t="n">
        <f aca="false">X2920+Z2920</f>
        <v>49.0365150999975</v>
      </c>
      <c r="AC2920" s="54" t="b">
        <f aca="false">AND(E2920&gt;=01_因子設定!$L$5-0.000000001,E2920&lt;=01_因子設定!$M$5+0.000000001,F2920&gt;=01_因子設定!$L$6-0.000000001,F2920&lt;=01_因子設定!$M$6+0.000000001,G2920&gt;=01_因子設定!$L$7-0.000000001,G2920&lt;=01_因子設定!$M$7+0.000000001,H2920&gt;=01_因子設定!$L$8-0.000000001,H2920&lt;=01_因子設定!$M$8+0.000000001,IF(01_因子設定!$B$20="Box-Behnken",E2920^2+F2920^2+G2920^2+H2920^2&lt;=2+0.000000001,TRUE()))</f>
        <v>1</v>
      </c>
      <c r="AD2920" s="55" t="n">
        <f aca="false">IF(AC2920,IF(01_因子設定!$B$13="最大化",AA2920-01_因子設定!$B$14,IF(01_因子設定!$B$13="最小化",01_因子設定!$B$15-AB2920,MIN(AA2920-01_因子設定!$B$14,01_因子設定!$B$15-AB2920))),-1E+030)</f>
        <v>-0.899380597073531</v>
      </c>
      <c r="AE2920" s="55" t="n">
        <f aca="false">IF(AC2920,IF(01_因子設定!$B$13="最大化",X2920,IF(01_因子設定!$B$13="最小化",-X2920,-ABS(X2920-01_因子設定!$B$16))),-1E+030)</f>
        <v>47.318567251462</v>
      </c>
      <c r="AF2920" s="55" t="n">
        <f aca="false">AD2920+ROW()*0.000000001</f>
        <v>-0.899377677073531</v>
      </c>
      <c r="AG2920" s="55" t="n">
        <f aca="false">AE2920+ROW()*0.000000001</f>
        <v>47.318570171462</v>
      </c>
    </row>
    <row r="2921" customFormat="false" ht="15" hidden="false" customHeight="false" outlineLevel="0" collapsed="false">
      <c r="A2921" s="0" t="n">
        <v>4</v>
      </c>
      <c r="B2921" s="0" t="n">
        <v>0</v>
      </c>
      <c r="C2921" s="0" t="n">
        <v>0</v>
      </c>
      <c r="D2921" s="0" t="n">
        <v>0</v>
      </c>
      <c r="E2921" s="0" t="n">
        <f aca="false">-1+A2921*0.25</f>
        <v>0</v>
      </c>
      <c r="F2921" s="0" t="n">
        <f aca="false">-1+B2921*0.25</f>
        <v>-1</v>
      </c>
      <c r="G2921" s="0" t="n">
        <f aca="false">-1+C2921*0.25</f>
        <v>-1</v>
      </c>
      <c r="H2921" s="0" t="n">
        <f aca="false">-1+D2921*0.25</f>
        <v>-1</v>
      </c>
      <c r="I2921" s="0" t="n">
        <f aca="false">1</f>
        <v>1</v>
      </c>
      <c r="J2921" s="0" t="n">
        <f aca="false">E2921</f>
        <v>0</v>
      </c>
      <c r="K2921" s="0" t="n">
        <f aca="false">F2921</f>
        <v>-1</v>
      </c>
      <c r="L2921" s="0" t="n">
        <f aca="false">G2921</f>
        <v>-1</v>
      </c>
      <c r="M2921" s="0" t="n">
        <f aca="false">H2921</f>
        <v>-1</v>
      </c>
      <c r="N2921" s="0" t="n">
        <f aca="false">E2921*F2921</f>
        <v>-0</v>
      </c>
      <c r="O2921" s="0" t="n">
        <f aca="false">E2921*G2921</f>
        <v>-0</v>
      </c>
      <c r="P2921" s="0" t="n">
        <f aca="false">E2921*H2921</f>
        <v>-0</v>
      </c>
      <c r="Q2921" s="0" t="n">
        <f aca="false">F2921*G2921</f>
        <v>1</v>
      </c>
      <c r="R2921" s="0" t="n">
        <f aca="false">F2921*H2921</f>
        <v>1</v>
      </c>
      <c r="S2921" s="0" t="n">
        <f aca="false">G2921*H2921</f>
        <v>1</v>
      </c>
      <c r="T2921" s="0" t="n">
        <f aca="false">E2921*E2921</f>
        <v>0</v>
      </c>
      <c r="U2921" s="0" t="n">
        <f aca="false">F2921*F2921</f>
        <v>1</v>
      </c>
      <c r="V2921" s="0" t="n">
        <f aca="false">G2921*G2921</f>
        <v>1</v>
      </c>
      <c r="W2921" s="0" t="n">
        <f aca="false">H2921*H2921</f>
        <v>1</v>
      </c>
      <c r="X2921" s="0" t="n">
        <f aca="false">SUMPRODUCT(I2921:W2921,_XtX!$B$96:$P$96)</f>
        <v>41.1646929824561</v>
      </c>
      <c r="Y2921" s="0" t="n">
        <f aca="false">SUMPRODUCT(MMULT(I2921:W2921,_XtX!$B$78:$P$92),I2921:W2921)</f>
        <v>0.766447368421053</v>
      </c>
      <c r="Z2921" s="0" t="n">
        <f aca="false">04_回帰ANOVA!$K$19*04_回帰ANOVA!$K$14*SQRT(1+Y2921)</f>
        <v>1.7324022685743</v>
      </c>
      <c r="AA2921" s="0" t="n">
        <f aca="false">X2921-Z2921</f>
        <v>39.4322907138818</v>
      </c>
      <c r="AB2921" s="0" t="n">
        <f aca="false">X2921+Z2921</f>
        <v>42.8970952510304</v>
      </c>
      <c r="AC2921" s="54" t="b">
        <f aca="false">AND(E2921&gt;=01_因子設定!$L$5-0.000000001,E2921&lt;=01_因子設定!$M$5+0.000000001,F2921&gt;=01_因子設定!$L$6-0.000000001,F2921&lt;=01_因子設定!$M$6+0.000000001,G2921&gt;=01_因子設定!$L$7-0.000000001,G2921&lt;=01_因子設定!$M$7+0.000000001,H2921&gt;=01_因子設定!$L$8-0.000000001,H2921&lt;=01_因子設定!$M$8+0.000000001,IF(01_因子設定!$B$20="Box-Behnken",E2921^2+F2921^2+G2921^2+H2921^2&lt;=2+0.000000001,TRUE()))</f>
        <v>1</v>
      </c>
      <c r="AD2921" s="55" t="n">
        <f aca="false">IF(AC2921,IF(01_因子設定!$B$13="最大化",AA2921-01_因子設定!$B$14,IF(01_因子設定!$B$13="最小化",01_因子設定!$B$15-AB2921,MIN(AA2921-01_因子設定!$B$14,01_因子設定!$B$15-AB2921))),-1E+030)</f>
        <v>-7.06770928611819</v>
      </c>
      <c r="AE2921" s="55" t="n">
        <f aca="false">IF(AC2921,IF(01_因子設定!$B$13="最大化",X2921,IF(01_因子設定!$B$13="最小化",-X2921,-ABS(X2921-01_因子設定!$B$16))),-1E+030)</f>
        <v>41.1646929824561</v>
      </c>
      <c r="AF2921" s="55" t="n">
        <f aca="false">AD2921+ROW()*0.000000001</f>
        <v>-7.06770636511819</v>
      </c>
      <c r="AG2921" s="55" t="n">
        <f aca="false">AE2921+ROW()*0.000000001</f>
        <v>41.1646959034561</v>
      </c>
    </row>
    <row r="2922" customFormat="false" ht="15" hidden="false" customHeight="false" outlineLevel="0" collapsed="false">
      <c r="A2922" s="0" t="n">
        <v>4</v>
      </c>
      <c r="B2922" s="0" t="n">
        <v>0</v>
      </c>
      <c r="C2922" s="0" t="n">
        <v>0</v>
      </c>
      <c r="D2922" s="0" t="n">
        <v>1</v>
      </c>
      <c r="E2922" s="0" t="n">
        <f aca="false">-1+A2922*0.25</f>
        <v>0</v>
      </c>
      <c r="F2922" s="0" t="n">
        <f aca="false">-1+B2922*0.25</f>
        <v>-1</v>
      </c>
      <c r="G2922" s="0" t="n">
        <f aca="false">-1+C2922*0.25</f>
        <v>-1</v>
      </c>
      <c r="H2922" s="0" t="n">
        <f aca="false">-1+D2922*0.25</f>
        <v>-0.75</v>
      </c>
      <c r="I2922" s="0" t="n">
        <f aca="false">1</f>
        <v>1</v>
      </c>
      <c r="J2922" s="0" t="n">
        <f aca="false">E2922</f>
        <v>0</v>
      </c>
      <c r="K2922" s="0" t="n">
        <f aca="false">F2922</f>
        <v>-1</v>
      </c>
      <c r="L2922" s="0" t="n">
        <f aca="false">G2922</f>
        <v>-1</v>
      </c>
      <c r="M2922" s="0" t="n">
        <f aca="false">H2922</f>
        <v>-0.75</v>
      </c>
      <c r="N2922" s="0" t="n">
        <f aca="false">E2922*F2922</f>
        <v>-0</v>
      </c>
      <c r="O2922" s="0" t="n">
        <f aca="false">E2922*G2922</f>
        <v>-0</v>
      </c>
      <c r="P2922" s="0" t="n">
        <f aca="false">E2922*H2922</f>
        <v>-0</v>
      </c>
      <c r="Q2922" s="0" t="n">
        <f aca="false">F2922*G2922</f>
        <v>1</v>
      </c>
      <c r="R2922" s="0" t="n">
        <f aca="false">F2922*H2922</f>
        <v>0.75</v>
      </c>
      <c r="S2922" s="0" t="n">
        <f aca="false">G2922*H2922</f>
        <v>0.75</v>
      </c>
      <c r="T2922" s="0" t="n">
        <f aca="false">E2922*E2922</f>
        <v>0</v>
      </c>
      <c r="U2922" s="0" t="n">
        <f aca="false">F2922*F2922</f>
        <v>1</v>
      </c>
      <c r="V2922" s="0" t="n">
        <f aca="false">G2922*G2922</f>
        <v>1</v>
      </c>
      <c r="W2922" s="0" t="n">
        <f aca="false">H2922*H2922</f>
        <v>0.5625</v>
      </c>
      <c r="X2922" s="0" t="n">
        <f aca="false">SUMPRODUCT(I2922:W2922,_XtX!$B$96:$P$96)</f>
        <v>41.4146564327485</v>
      </c>
      <c r="Y2922" s="0" t="n">
        <f aca="false">SUMPRODUCT(MMULT(I2922:W2922,_XtX!$B$78:$P$92),I2922:W2922)</f>
        <v>0.646198830409357</v>
      </c>
      <c r="Z2922" s="0" t="n">
        <f aca="false">04_回帰ANOVA!$K$19*04_回帰ANOVA!$K$14*SQRT(1+Y2922)</f>
        <v>1.67239760569756</v>
      </c>
      <c r="AA2922" s="0" t="n">
        <f aca="false">X2922-Z2922</f>
        <v>39.7422588270509</v>
      </c>
      <c r="AB2922" s="0" t="n">
        <f aca="false">X2922+Z2922</f>
        <v>43.0870540384461</v>
      </c>
      <c r="AC2922" s="54" t="b">
        <f aca="false">AND(E2922&gt;=01_因子設定!$L$5-0.000000001,E2922&lt;=01_因子設定!$M$5+0.000000001,F2922&gt;=01_因子設定!$L$6-0.000000001,F2922&lt;=01_因子設定!$M$6+0.000000001,G2922&gt;=01_因子設定!$L$7-0.000000001,G2922&lt;=01_因子設定!$M$7+0.000000001,H2922&gt;=01_因子設定!$L$8-0.000000001,H2922&lt;=01_因子設定!$M$8+0.000000001,IF(01_因子設定!$B$20="Box-Behnken",E2922^2+F2922^2+G2922^2+H2922^2&lt;=2+0.000000001,TRUE()))</f>
        <v>1</v>
      </c>
      <c r="AD2922" s="55" t="n">
        <f aca="false">IF(AC2922,IF(01_因子設定!$B$13="最大化",AA2922-01_因子設定!$B$14,IF(01_因子設定!$B$13="最小化",01_因子設定!$B$15-AB2922,MIN(AA2922-01_因子設定!$B$14,01_因子設定!$B$15-AB2922))),-1E+030)</f>
        <v>-6.75774117294906</v>
      </c>
      <c r="AE2922" s="55" t="n">
        <f aca="false">IF(AC2922,IF(01_因子設定!$B$13="最大化",X2922,IF(01_因子設定!$B$13="最小化",-X2922,-ABS(X2922-01_因子設定!$B$16))),-1E+030)</f>
        <v>41.4146564327485</v>
      </c>
      <c r="AF2922" s="55" t="n">
        <f aca="false">AD2922+ROW()*0.000000001</f>
        <v>-6.75773825094906</v>
      </c>
      <c r="AG2922" s="55" t="n">
        <f aca="false">AE2922+ROW()*0.000000001</f>
        <v>41.4146593547485</v>
      </c>
    </row>
    <row r="2923" customFormat="false" ht="15" hidden="false" customHeight="false" outlineLevel="0" collapsed="false">
      <c r="A2923" s="0" t="n">
        <v>4</v>
      </c>
      <c r="B2923" s="0" t="n">
        <v>0</v>
      </c>
      <c r="C2923" s="0" t="n">
        <v>0</v>
      </c>
      <c r="D2923" s="0" t="n">
        <v>2</v>
      </c>
      <c r="E2923" s="0" t="n">
        <f aca="false">-1+A2923*0.25</f>
        <v>0</v>
      </c>
      <c r="F2923" s="0" t="n">
        <f aca="false">-1+B2923*0.25</f>
        <v>-1</v>
      </c>
      <c r="G2923" s="0" t="n">
        <f aca="false">-1+C2923*0.25</f>
        <v>-1</v>
      </c>
      <c r="H2923" s="0" t="n">
        <f aca="false">-1+D2923*0.25</f>
        <v>-0.5</v>
      </c>
      <c r="I2923" s="0" t="n">
        <f aca="false">1</f>
        <v>1</v>
      </c>
      <c r="J2923" s="0" t="n">
        <f aca="false">E2923</f>
        <v>0</v>
      </c>
      <c r="K2923" s="0" t="n">
        <f aca="false">F2923</f>
        <v>-1</v>
      </c>
      <c r="L2923" s="0" t="n">
        <f aca="false">G2923</f>
        <v>-1</v>
      </c>
      <c r="M2923" s="0" t="n">
        <f aca="false">H2923</f>
        <v>-0.5</v>
      </c>
      <c r="N2923" s="0" t="n">
        <f aca="false">E2923*F2923</f>
        <v>-0</v>
      </c>
      <c r="O2923" s="0" t="n">
        <f aca="false">E2923*G2923</f>
        <v>-0</v>
      </c>
      <c r="P2923" s="0" t="n">
        <f aca="false">E2923*H2923</f>
        <v>-0</v>
      </c>
      <c r="Q2923" s="0" t="n">
        <f aca="false">F2923*G2923</f>
        <v>1</v>
      </c>
      <c r="R2923" s="0" t="n">
        <f aca="false">F2923*H2923</f>
        <v>0.5</v>
      </c>
      <c r="S2923" s="0" t="n">
        <f aca="false">G2923*H2923</f>
        <v>0.5</v>
      </c>
      <c r="T2923" s="0" t="n">
        <f aca="false">E2923*E2923</f>
        <v>0</v>
      </c>
      <c r="U2923" s="0" t="n">
        <f aca="false">F2923*F2923</f>
        <v>1</v>
      </c>
      <c r="V2923" s="0" t="n">
        <f aca="false">G2923*G2923</f>
        <v>1</v>
      </c>
      <c r="W2923" s="0" t="n">
        <f aca="false">H2923*H2923</f>
        <v>0.25</v>
      </c>
      <c r="X2923" s="0" t="n">
        <f aca="false">SUMPRODUCT(I2923:W2923,_XtX!$B$96:$P$96)</f>
        <v>41.616812865497</v>
      </c>
      <c r="Y2923" s="0" t="n">
        <f aca="false">SUMPRODUCT(MMULT(I2923:W2923,_XtX!$B$78:$P$92),I2923:W2923)</f>
        <v>0.650767543859649</v>
      </c>
      <c r="Z2923" s="0" t="n">
        <f aca="false">04_回帰ANOVA!$K$19*04_回帰ANOVA!$K$14*SQRT(1+Y2923)</f>
        <v>1.67471670935165</v>
      </c>
      <c r="AA2923" s="0" t="n">
        <f aca="false">X2923-Z2923</f>
        <v>39.9420961561454</v>
      </c>
      <c r="AB2923" s="0" t="n">
        <f aca="false">X2923+Z2923</f>
        <v>43.2915295748487</v>
      </c>
      <c r="AC2923" s="54" t="b">
        <f aca="false">AND(E2923&gt;=01_因子設定!$L$5-0.000000001,E2923&lt;=01_因子設定!$M$5+0.000000001,F2923&gt;=01_因子設定!$L$6-0.000000001,F2923&lt;=01_因子設定!$M$6+0.000000001,G2923&gt;=01_因子設定!$L$7-0.000000001,G2923&lt;=01_因子設定!$M$7+0.000000001,H2923&gt;=01_因子設定!$L$8-0.000000001,H2923&lt;=01_因子設定!$M$8+0.000000001,IF(01_因子設定!$B$20="Box-Behnken",E2923^2+F2923^2+G2923^2+H2923^2&lt;=2+0.000000001,TRUE()))</f>
        <v>1</v>
      </c>
      <c r="AD2923" s="55" t="n">
        <f aca="false">IF(AC2923,IF(01_因子設定!$B$13="最大化",AA2923-01_因子設定!$B$14,IF(01_因子設定!$B$13="最小化",01_因子設定!$B$15-AB2923,MIN(AA2923-01_因子設定!$B$14,01_因子設定!$B$15-AB2923))),-1E+030)</f>
        <v>-6.55790384385463</v>
      </c>
      <c r="AE2923" s="55" t="n">
        <f aca="false">IF(AC2923,IF(01_因子設定!$B$13="最大化",X2923,IF(01_因子設定!$B$13="最小化",-X2923,-ABS(X2923-01_因子設定!$B$16))),-1E+030)</f>
        <v>41.616812865497</v>
      </c>
      <c r="AF2923" s="55" t="n">
        <f aca="false">AD2923+ROW()*0.000000001</f>
        <v>-6.55790092085463</v>
      </c>
      <c r="AG2923" s="55" t="n">
        <f aca="false">AE2923+ROW()*0.000000001</f>
        <v>41.616815788497</v>
      </c>
    </row>
    <row r="2924" customFormat="false" ht="15" hidden="false" customHeight="false" outlineLevel="0" collapsed="false">
      <c r="A2924" s="0" t="n">
        <v>4</v>
      </c>
      <c r="B2924" s="0" t="n">
        <v>0</v>
      </c>
      <c r="C2924" s="0" t="n">
        <v>0</v>
      </c>
      <c r="D2924" s="0" t="n">
        <v>3</v>
      </c>
      <c r="E2924" s="0" t="n">
        <f aca="false">-1+A2924*0.25</f>
        <v>0</v>
      </c>
      <c r="F2924" s="0" t="n">
        <f aca="false">-1+B2924*0.25</f>
        <v>-1</v>
      </c>
      <c r="G2924" s="0" t="n">
        <f aca="false">-1+C2924*0.25</f>
        <v>-1</v>
      </c>
      <c r="H2924" s="0" t="n">
        <f aca="false">-1+D2924*0.25</f>
        <v>-0.25</v>
      </c>
      <c r="I2924" s="0" t="n">
        <f aca="false">1</f>
        <v>1</v>
      </c>
      <c r="J2924" s="0" t="n">
        <f aca="false">E2924</f>
        <v>0</v>
      </c>
      <c r="K2924" s="0" t="n">
        <f aca="false">F2924</f>
        <v>-1</v>
      </c>
      <c r="L2924" s="0" t="n">
        <f aca="false">G2924</f>
        <v>-1</v>
      </c>
      <c r="M2924" s="0" t="n">
        <f aca="false">H2924</f>
        <v>-0.25</v>
      </c>
      <c r="N2924" s="0" t="n">
        <f aca="false">E2924*F2924</f>
        <v>-0</v>
      </c>
      <c r="O2924" s="0" t="n">
        <f aca="false">E2924*G2924</f>
        <v>-0</v>
      </c>
      <c r="P2924" s="0" t="n">
        <f aca="false">E2924*H2924</f>
        <v>-0</v>
      </c>
      <c r="Q2924" s="0" t="n">
        <f aca="false">F2924*G2924</f>
        <v>1</v>
      </c>
      <c r="R2924" s="0" t="n">
        <f aca="false">F2924*H2924</f>
        <v>0.25</v>
      </c>
      <c r="S2924" s="0" t="n">
        <f aca="false">G2924*H2924</f>
        <v>0.25</v>
      </c>
      <c r="T2924" s="0" t="n">
        <f aca="false">E2924*E2924</f>
        <v>0</v>
      </c>
      <c r="U2924" s="0" t="n">
        <f aca="false">F2924*F2924</f>
        <v>1</v>
      </c>
      <c r="V2924" s="0" t="n">
        <f aca="false">G2924*G2924</f>
        <v>1</v>
      </c>
      <c r="W2924" s="0" t="n">
        <f aca="false">H2924*H2924</f>
        <v>0.0625</v>
      </c>
      <c r="X2924" s="0" t="n">
        <f aca="false">SUMPRODUCT(I2924:W2924,_XtX!$B$96:$P$96)</f>
        <v>41.7711622807017</v>
      </c>
      <c r="Y2924" s="0" t="n">
        <f aca="false">SUMPRODUCT(MMULT(I2924:W2924,_XtX!$B$78:$P$92),I2924:W2924)</f>
        <v>0.689692982456141</v>
      </c>
      <c r="Z2924" s="0" t="n">
        <f aca="false">04_回帰ANOVA!$K$19*04_回帰ANOVA!$K$14*SQRT(1+Y2924)</f>
        <v>1.69434674594998</v>
      </c>
      <c r="AA2924" s="0" t="n">
        <f aca="false">X2924-Z2924</f>
        <v>40.0768155347517</v>
      </c>
      <c r="AB2924" s="0" t="n">
        <f aca="false">X2924+Z2924</f>
        <v>43.4655090266517</v>
      </c>
      <c r="AC2924" s="54" t="b">
        <f aca="false">AND(E2924&gt;=01_因子設定!$L$5-0.000000001,E2924&lt;=01_因子設定!$M$5+0.000000001,F2924&gt;=01_因子設定!$L$6-0.000000001,F2924&lt;=01_因子設定!$M$6+0.000000001,G2924&gt;=01_因子設定!$L$7-0.000000001,G2924&lt;=01_因子設定!$M$7+0.000000001,H2924&gt;=01_因子設定!$L$8-0.000000001,H2924&lt;=01_因子設定!$M$8+0.000000001,IF(01_因子設定!$B$20="Box-Behnken",E2924^2+F2924^2+G2924^2+H2924^2&lt;=2+0.000000001,TRUE()))</f>
        <v>1</v>
      </c>
      <c r="AD2924" s="55" t="n">
        <f aca="false">IF(AC2924,IF(01_因子設定!$B$13="最大化",AA2924-01_因子設定!$B$14,IF(01_因子設定!$B$13="最小化",01_因子設定!$B$15-AB2924,MIN(AA2924-01_因子設定!$B$14,01_因子設定!$B$15-AB2924))),-1E+030)</f>
        <v>-6.42318446524829</v>
      </c>
      <c r="AE2924" s="55" t="n">
        <f aca="false">IF(AC2924,IF(01_因子設定!$B$13="最大化",X2924,IF(01_因子設定!$B$13="最小化",-X2924,-ABS(X2924-01_因子設定!$B$16))),-1E+030)</f>
        <v>41.7711622807017</v>
      </c>
      <c r="AF2924" s="55" t="n">
        <f aca="false">AD2924+ROW()*0.000000001</f>
        <v>-6.42318154124829</v>
      </c>
      <c r="AG2924" s="55" t="n">
        <f aca="false">AE2924+ROW()*0.000000001</f>
        <v>41.7711652047017</v>
      </c>
    </row>
    <row r="2925" customFormat="false" ht="15" hidden="false" customHeight="false" outlineLevel="0" collapsed="false">
      <c r="A2925" s="0" t="n">
        <v>4</v>
      </c>
      <c r="B2925" s="0" t="n">
        <v>0</v>
      </c>
      <c r="C2925" s="0" t="n">
        <v>0</v>
      </c>
      <c r="D2925" s="0" t="n">
        <v>4</v>
      </c>
      <c r="E2925" s="0" t="n">
        <f aca="false">-1+A2925*0.25</f>
        <v>0</v>
      </c>
      <c r="F2925" s="0" t="n">
        <f aca="false">-1+B2925*0.25</f>
        <v>-1</v>
      </c>
      <c r="G2925" s="0" t="n">
        <f aca="false">-1+C2925*0.25</f>
        <v>-1</v>
      </c>
      <c r="H2925" s="0" t="n">
        <f aca="false">-1+D2925*0.25</f>
        <v>0</v>
      </c>
      <c r="I2925" s="0" t="n">
        <f aca="false">1</f>
        <v>1</v>
      </c>
      <c r="J2925" s="0" t="n">
        <f aca="false">E2925</f>
        <v>0</v>
      </c>
      <c r="K2925" s="0" t="n">
        <f aca="false">F2925</f>
        <v>-1</v>
      </c>
      <c r="L2925" s="0" t="n">
        <f aca="false">G2925</f>
        <v>-1</v>
      </c>
      <c r="M2925" s="0" t="n">
        <f aca="false">H2925</f>
        <v>0</v>
      </c>
      <c r="N2925" s="0" t="n">
        <f aca="false">E2925*F2925</f>
        <v>-0</v>
      </c>
      <c r="O2925" s="0" t="n">
        <f aca="false">E2925*G2925</f>
        <v>-0</v>
      </c>
      <c r="P2925" s="0" t="n">
        <f aca="false">E2925*H2925</f>
        <v>0</v>
      </c>
      <c r="Q2925" s="0" t="n">
        <f aca="false">F2925*G2925</f>
        <v>1</v>
      </c>
      <c r="R2925" s="0" t="n">
        <f aca="false">F2925*H2925</f>
        <v>-0</v>
      </c>
      <c r="S2925" s="0" t="n">
        <f aca="false">G2925*H2925</f>
        <v>-0</v>
      </c>
      <c r="T2925" s="0" t="n">
        <f aca="false">E2925*E2925</f>
        <v>0</v>
      </c>
      <c r="U2925" s="0" t="n">
        <f aca="false">F2925*F2925</f>
        <v>1</v>
      </c>
      <c r="V2925" s="0" t="n">
        <f aca="false">G2925*G2925</f>
        <v>1</v>
      </c>
      <c r="W2925" s="0" t="n">
        <f aca="false">H2925*H2925</f>
        <v>0</v>
      </c>
      <c r="X2925" s="0" t="n">
        <f aca="false">SUMPRODUCT(I2925:W2925,_XtX!$B$96:$P$96)</f>
        <v>41.8777046783625</v>
      </c>
      <c r="Y2925" s="0" t="n">
        <f aca="false">SUMPRODUCT(MMULT(I2925:W2925,_XtX!$B$78:$P$92),I2925:W2925)</f>
        <v>0.708698830409357</v>
      </c>
      <c r="Z2925" s="0" t="n">
        <f aca="false">04_回帰ANOVA!$K$19*04_回帰ANOVA!$K$14*SQRT(1+Y2925)</f>
        <v>1.70384919651719</v>
      </c>
      <c r="AA2925" s="0" t="n">
        <f aca="false">X2925-Z2925</f>
        <v>40.1738554818453</v>
      </c>
      <c r="AB2925" s="0" t="n">
        <f aca="false">X2925+Z2925</f>
        <v>43.5815538748797</v>
      </c>
      <c r="AC2925" s="54" t="b">
        <f aca="false">AND(E2925&gt;=01_因子設定!$L$5-0.000000001,E2925&lt;=01_因子設定!$M$5+0.000000001,F2925&gt;=01_因子設定!$L$6-0.000000001,F2925&lt;=01_因子設定!$M$6+0.000000001,G2925&gt;=01_因子設定!$L$7-0.000000001,G2925&lt;=01_因子設定!$M$7+0.000000001,H2925&gt;=01_因子設定!$L$8-0.000000001,H2925&lt;=01_因子設定!$M$8+0.000000001,IF(01_因子設定!$B$20="Box-Behnken",E2925^2+F2925^2+G2925^2+H2925^2&lt;=2+0.000000001,TRUE()))</f>
        <v>1</v>
      </c>
      <c r="AD2925" s="55" t="n">
        <f aca="false">IF(AC2925,IF(01_因子設定!$B$13="最大化",AA2925-01_因子設定!$B$14,IF(01_因子設定!$B$13="最小化",01_因子設定!$B$15-AB2925,MIN(AA2925-01_因子設定!$B$14,01_因子設定!$B$15-AB2925))),-1E+030)</f>
        <v>-6.32614451815468</v>
      </c>
      <c r="AE2925" s="55" t="n">
        <f aca="false">IF(AC2925,IF(01_因子設定!$B$13="最大化",X2925,IF(01_因子設定!$B$13="最小化",-X2925,-ABS(X2925-01_因子設定!$B$16))),-1E+030)</f>
        <v>41.8777046783625</v>
      </c>
      <c r="AF2925" s="55" t="n">
        <f aca="false">AD2925+ROW()*0.000000001</f>
        <v>-6.32614159315468</v>
      </c>
      <c r="AG2925" s="55" t="n">
        <f aca="false">AE2925+ROW()*0.000000001</f>
        <v>41.8777076033625</v>
      </c>
    </row>
    <row r="2926" customFormat="false" ht="15" hidden="false" customHeight="false" outlineLevel="0" collapsed="false">
      <c r="A2926" s="0" t="n">
        <v>4</v>
      </c>
      <c r="B2926" s="0" t="n">
        <v>0</v>
      </c>
      <c r="C2926" s="0" t="n">
        <v>0</v>
      </c>
      <c r="D2926" s="0" t="n">
        <v>5</v>
      </c>
      <c r="E2926" s="0" t="n">
        <f aca="false">-1+A2926*0.25</f>
        <v>0</v>
      </c>
      <c r="F2926" s="0" t="n">
        <f aca="false">-1+B2926*0.25</f>
        <v>-1</v>
      </c>
      <c r="G2926" s="0" t="n">
        <f aca="false">-1+C2926*0.25</f>
        <v>-1</v>
      </c>
      <c r="H2926" s="0" t="n">
        <f aca="false">-1+D2926*0.25</f>
        <v>0.25</v>
      </c>
      <c r="I2926" s="0" t="n">
        <f aca="false">1</f>
        <v>1</v>
      </c>
      <c r="J2926" s="0" t="n">
        <f aca="false">E2926</f>
        <v>0</v>
      </c>
      <c r="K2926" s="0" t="n">
        <f aca="false">F2926</f>
        <v>-1</v>
      </c>
      <c r="L2926" s="0" t="n">
        <f aca="false">G2926</f>
        <v>-1</v>
      </c>
      <c r="M2926" s="0" t="n">
        <f aca="false">H2926</f>
        <v>0.25</v>
      </c>
      <c r="N2926" s="0" t="n">
        <f aca="false">E2926*F2926</f>
        <v>-0</v>
      </c>
      <c r="O2926" s="0" t="n">
        <f aca="false">E2926*G2926</f>
        <v>-0</v>
      </c>
      <c r="P2926" s="0" t="n">
        <f aca="false">E2926*H2926</f>
        <v>0</v>
      </c>
      <c r="Q2926" s="0" t="n">
        <f aca="false">F2926*G2926</f>
        <v>1</v>
      </c>
      <c r="R2926" s="0" t="n">
        <f aca="false">F2926*H2926</f>
        <v>-0.25</v>
      </c>
      <c r="S2926" s="0" t="n">
        <f aca="false">G2926*H2926</f>
        <v>-0.25</v>
      </c>
      <c r="T2926" s="0" t="n">
        <f aca="false">E2926*E2926</f>
        <v>0</v>
      </c>
      <c r="U2926" s="0" t="n">
        <f aca="false">F2926*F2926</f>
        <v>1</v>
      </c>
      <c r="V2926" s="0" t="n">
        <f aca="false">G2926*G2926</f>
        <v>1</v>
      </c>
      <c r="W2926" s="0" t="n">
        <f aca="false">H2926*H2926</f>
        <v>0.0625</v>
      </c>
      <c r="X2926" s="0" t="n">
        <f aca="false">SUMPRODUCT(I2926:W2926,_XtX!$B$96:$P$96)</f>
        <v>41.9364400584795</v>
      </c>
      <c r="Y2926" s="0" t="n">
        <f aca="false">SUMPRODUCT(MMULT(I2926:W2926,_XtX!$B$78:$P$92),I2926:W2926)</f>
        <v>0.689692982456141</v>
      </c>
      <c r="Z2926" s="0" t="n">
        <f aca="false">04_回帰ANOVA!$K$19*04_回帰ANOVA!$K$14*SQRT(1+Y2926)</f>
        <v>1.69434674594998</v>
      </c>
      <c r="AA2926" s="0" t="n">
        <f aca="false">X2926-Z2926</f>
        <v>40.2420933125295</v>
      </c>
      <c r="AB2926" s="0" t="n">
        <f aca="false">X2926+Z2926</f>
        <v>43.6307868044295</v>
      </c>
      <c r="AC2926" s="54" t="b">
        <f aca="false">AND(E2926&gt;=01_因子設定!$L$5-0.000000001,E2926&lt;=01_因子設定!$M$5+0.000000001,F2926&gt;=01_因子設定!$L$6-0.000000001,F2926&lt;=01_因子設定!$M$6+0.000000001,G2926&gt;=01_因子設定!$L$7-0.000000001,G2926&lt;=01_因子設定!$M$7+0.000000001,H2926&gt;=01_因子設定!$L$8-0.000000001,H2926&lt;=01_因子設定!$M$8+0.000000001,IF(01_因子設定!$B$20="Box-Behnken",E2926^2+F2926^2+G2926^2+H2926^2&lt;=2+0.000000001,TRUE()))</f>
        <v>1</v>
      </c>
      <c r="AD2926" s="55" t="n">
        <f aca="false">IF(AC2926,IF(01_因子設定!$B$13="最大化",AA2926-01_因子設定!$B$14,IF(01_因子設定!$B$13="最小化",01_因子設定!$B$15-AB2926,MIN(AA2926-01_因子設定!$B$14,01_因子設定!$B$15-AB2926))),-1E+030)</f>
        <v>-6.25790668747052</v>
      </c>
      <c r="AE2926" s="55" t="n">
        <f aca="false">IF(AC2926,IF(01_因子設定!$B$13="最大化",X2926,IF(01_因子設定!$B$13="最小化",-X2926,-ABS(X2926-01_因子設定!$B$16))),-1E+030)</f>
        <v>41.9364400584795</v>
      </c>
      <c r="AF2926" s="55" t="n">
        <f aca="false">AD2926+ROW()*0.000000001</f>
        <v>-6.25790376147052</v>
      </c>
      <c r="AG2926" s="55" t="n">
        <f aca="false">AE2926+ROW()*0.000000001</f>
        <v>41.9364429844795</v>
      </c>
    </row>
    <row r="2927" customFormat="false" ht="15" hidden="false" customHeight="false" outlineLevel="0" collapsed="false">
      <c r="A2927" s="0" t="n">
        <v>4</v>
      </c>
      <c r="B2927" s="0" t="n">
        <v>0</v>
      </c>
      <c r="C2927" s="0" t="n">
        <v>0</v>
      </c>
      <c r="D2927" s="0" t="n">
        <v>6</v>
      </c>
      <c r="E2927" s="0" t="n">
        <f aca="false">-1+A2927*0.25</f>
        <v>0</v>
      </c>
      <c r="F2927" s="0" t="n">
        <f aca="false">-1+B2927*0.25</f>
        <v>-1</v>
      </c>
      <c r="G2927" s="0" t="n">
        <f aca="false">-1+C2927*0.25</f>
        <v>-1</v>
      </c>
      <c r="H2927" s="0" t="n">
        <f aca="false">-1+D2927*0.25</f>
        <v>0.5</v>
      </c>
      <c r="I2927" s="0" t="n">
        <f aca="false">1</f>
        <v>1</v>
      </c>
      <c r="J2927" s="0" t="n">
        <f aca="false">E2927</f>
        <v>0</v>
      </c>
      <c r="K2927" s="0" t="n">
        <f aca="false">F2927</f>
        <v>-1</v>
      </c>
      <c r="L2927" s="0" t="n">
        <f aca="false">G2927</f>
        <v>-1</v>
      </c>
      <c r="M2927" s="0" t="n">
        <f aca="false">H2927</f>
        <v>0.5</v>
      </c>
      <c r="N2927" s="0" t="n">
        <f aca="false">E2927*F2927</f>
        <v>-0</v>
      </c>
      <c r="O2927" s="0" t="n">
        <f aca="false">E2927*G2927</f>
        <v>-0</v>
      </c>
      <c r="P2927" s="0" t="n">
        <f aca="false">E2927*H2927</f>
        <v>0</v>
      </c>
      <c r="Q2927" s="0" t="n">
        <f aca="false">F2927*G2927</f>
        <v>1</v>
      </c>
      <c r="R2927" s="0" t="n">
        <f aca="false">F2927*H2927</f>
        <v>-0.5</v>
      </c>
      <c r="S2927" s="0" t="n">
        <f aca="false">G2927*H2927</f>
        <v>-0.5</v>
      </c>
      <c r="T2927" s="0" t="n">
        <f aca="false">E2927*E2927</f>
        <v>0</v>
      </c>
      <c r="U2927" s="0" t="n">
        <f aca="false">F2927*F2927</f>
        <v>1</v>
      </c>
      <c r="V2927" s="0" t="n">
        <f aca="false">G2927*G2927</f>
        <v>1</v>
      </c>
      <c r="W2927" s="0" t="n">
        <f aca="false">H2927*H2927</f>
        <v>0.25</v>
      </c>
      <c r="X2927" s="0" t="n">
        <f aca="false">SUMPRODUCT(I2927:W2927,_XtX!$B$96:$P$96)</f>
        <v>41.9473684210526</v>
      </c>
      <c r="Y2927" s="0" t="n">
        <f aca="false">SUMPRODUCT(MMULT(I2927:W2927,_XtX!$B$78:$P$92),I2927:W2927)</f>
        <v>0.650767543859649</v>
      </c>
      <c r="Z2927" s="0" t="n">
        <f aca="false">04_回帰ANOVA!$K$19*04_回帰ANOVA!$K$14*SQRT(1+Y2927)</f>
        <v>1.67471670935165</v>
      </c>
      <c r="AA2927" s="0" t="n">
        <f aca="false">X2927-Z2927</f>
        <v>40.2726517117009</v>
      </c>
      <c r="AB2927" s="0" t="n">
        <f aca="false">X2927+Z2927</f>
        <v>43.6220851304042</v>
      </c>
      <c r="AC2927" s="54" t="b">
        <f aca="false">AND(E2927&gt;=01_因子設定!$L$5-0.000000001,E2927&lt;=01_因子設定!$M$5+0.000000001,F2927&gt;=01_因子設定!$L$6-0.000000001,F2927&lt;=01_因子設定!$M$6+0.000000001,G2927&gt;=01_因子設定!$L$7-0.000000001,G2927&lt;=01_因子設定!$M$7+0.000000001,H2927&gt;=01_因子設定!$L$8-0.000000001,H2927&lt;=01_因子設定!$M$8+0.000000001,IF(01_因子設定!$B$20="Box-Behnken",E2927^2+F2927^2+G2927^2+H2927^2&lt;=2+0.000000001,TRUE()))</f>
        <v>1</v>
      </c>
      <c r="AD2927" s="55" t="n">
        <f aca="false">IF(AC2927,IF(01_因子設定!$B$13="最大化",AA2927-01_因子設定!$B$14,IF(01_因子設定!$B$13="最小化",01_因子設定!$B$15-AB2927,MIN(AA2927-01_因子設定!$B$14,01_因子設定!$B$15-AB2927))),-1E+030)</f>
        <v>-6.22734828829907</v>
      </c>
      <c r="AE2927" s="55" t="n">
        <f aca="false">IF(AC2927,IF(01_因子設定!$B$13="最大化",X2927,IF(01_因子設定!$B$13="最小化",-X2927,-ABS(X2927-01_因子設定!$B$16))),-1E+030)</f>
        <v>41.9473684210526</v>
      </c>
      <c r="AF2927" s="55" t="n">
        <f aca="false">AD2927+ROW()*0.000000001</f>
        <v>-6.22734536129907</v>
      </c>
      <c r="AG2927" s="55" t="n">
        <f aca="false">AE2927+ROW()*0.000000001</f>
        <v>41.9473713480526</v>
      </c>
    </row>
    <row r="2928" customFormat="false" ht="15" hidden="false" customHeight="false" outlineLevel="0" collapsed="false">
      <c r="A2928" s="0" t="n">
        <v>4</v>
      </c>
      <c r="B2928" s="0" t="n">
        <v>0</v>
      </c>
      <c r="C2928" s="0" t="n">
        <v>0</v>
      </c>
      <c r="D2928" s="0" t="n">
        <v>7</v>
      </c>
      <c r="E2928" s="0" t="n">
        <f aca="false">-1+A2928*0.25</f>
        <v>0</v>
      </c>
      <c r="F2928" s="0" t="n">
        <f aca="false">-1+B2928*0.25</f>
        <v>-1</v>
      </c>
      <c r="G2928" s="0" t="n">
        <f aca="false">-1+C2928*0.25</f>
        <v>-1</v>
      </c>
      <c r="H2928" s="0" t="n">
        <f aca="false">-1+D2928*0.25</f>
        <v>0.75</v>
      </c>
      <c r="I2928" s="0" t="n">
        <f aca="false">1</f>
        <v>1</v>
      </c>
      <c r="J2928" s="0" t="n">
        <f aca="false">E2928</f>
        <v>0</v>
      </c>
      <c r="K2928" s="0" t="n">
        <f aca="false">F2928</f>
        <v>-1</v>
      </c>
      <c r="L2928" s="0" t="n">
        <f aca="false">G2928</f>
        <v>-1</v>
      </c>
      <c r="M2928" s="0" t="n">
        <f aca="false">H2928</f>
        <v>0.75</v>
      </c>
      <c r="N2928" s="0" t="n">
        <f aca="false">E2928*F2928</f>
        <v>-0</v>
      </c>
      <c r="O2928" s="0" t="n">
        <f aca="false">E2928*G2928</f>
        <v>-0</v>
      </c>
      <c r="P2928" s="0" t="n">
        <f aca="false">E2928*H2928</f>
        <v>0</v>
      </c>
      <c r="Q2928" s="0" t="n">
        <f aca="false">F2928*G2928</f>
        <v>1</v>
      </c>
      <c r="R2928" s="0" t="n">
        <f aca="false">F2928*H2928</f>
        <v>-0.75</v>
      </c>
      <c r="S2928" s="0" t="n">
        <f aca="false">G2928*H2928</f>
        <v>-0.75</v>
      </c>
      <c r="T2928" s="0" t="n">
        <f aca="false">E2928*E2928</f>
        <v>0</v>
      </c>
      <c r="U2928" s="0" t="n">
        <f aca="false">F2928*F2928</f>
        <v>1</v>
      </c>
      <c r="V2928" s="0" t="n">
        <f aca="false">G2928*G2928</f>
        <v>1</v>
      </c>
      <c r="W2928" s="0" t="n">
        <f aca="false">H2928*H2928</f>
        <v>0.5625</v>
      </c>
      <c r="X2928" s="0" t="n">
        <f aca="false">SUMPRODUCT(I2928:W2928,_XtX!$B$96:$P$96)</f>
        <v>41.9104897660818</v>
      </c>
      <c r="Y2928" s="0" t="n">
        <f aca="false">SUMPRODUCT(MMULT(I2928:W2928,_XtX!$B$78:$P$92),I2928:W2928)</f>
        <v>0.646198830409357</v>
      </c>
      <c r="Z2928" s="0" t="n">
        <f aca="false">04_回帰ANOVA!$K$19*04_回帰ANOVA!$K$14*SQRT(1+Y2928)</f>
        <v>1.67239760569756</v>
      </c>
      <c r="AA2928" s="0" t="n">
        <f aca="false">X2928-Z2928</f>
        <v>40.2380921603843</v>
      </c>
      <c r="AB2928" s="0" t="n">
        <f aca="false">X2928+Z2928</f>
        <v>43.5828873717794</v>
      </c>
      <c r="AC2928" s="54" t="b">
        <f aca="false">AND(E2928&gt;=01_因子設定!$L$5-0.000000001,E2928&lt;=01_因子設定!$M$5+0.000000001,F2928&gt;=01_因子設定!$L$6-0.000000001,F2928&lt;=01_因子設定!$M$6+0.000000001,G2928&gt;=01_因子設定!$L$7-0.000000001,G2928&lt;=01_因子設定!$M$7+0.000000001,H2928&gt;=01_因子設定!$L$8-0.000000001,H2928&lt;=01_因子設定!$M$8+0.000000001,IF(01_因子設定!$B$20="Box-Behnken",E2928^2+F2928^2+G2928^2+H2928^2&lt;=2+0.000000001,TRUE()))</f>
        <v>1</v>
      </c>
      <c r="AD2928" s="55" t="n">
        <f aca="false">IF(AC2928,IF(01_因子設定!$B$13="最大化",AA2928-01_因子設定!$B$14,IF(01_因子設定!$B$13="最小化",01_因子設定!$B$15-AB2928,MIN(AA2928-01_因子設定!$B$14,01_因子設定!$B$15-AB2928))),-1E+030)</f>
        <v>-6.26190783961572</v>
      </c>
      <c r="AE2928" s="55" t="n">
        <f aca="false">IF(AC2928,IF(01_因子設定!$B$13="最大化",X2928,IF(01_因子設定!$B$13="最小化",-X2928,-ABS(X2928-01_因子設定!$B$16))),-1E+030)</f>
        <v>41.9104897660818</v>
      </c>
      <c r="AF2928" s="55" t="n">
        <f aca="false">AD2928+ROW()*0.000000001</f>
        <v>-6.26190491161572</v>
      </c>
      <c r="AG2928" s="55" t="n">
        <f aca="false">AE2928+ROW()*0.000000001</f>
        <v>41.9104926940818</v>
      </c>
    </row>
    <row r="2929" customFormat="false" ht="15" hidden="false" customHeight="false" outlineLevel="0" collapsed="false">
      <c r="A2929" s="0" t="n">
        <v>4</v>
      </c>
      <c r="B2929" s="0" t="n">
        <v>0</v>
      </c>
      <c r="C2929" s="0" t="n">
        <v>0</v>
      </c>
      <c r="D2929" s="0" t="n">
        <v>8</v>
      </c>
      <c r="E2929" s="0" t="n">
        <f aca="false">-1+A2929*0.25</f>
        <v>0</v>
      </c>
      <c r="F2929" s="0" t="n">
        <f aca="false">-1+B2929*0.25</f>
        <v>-1</v>
      </c>
      <c r="G2929" s="0" t="n">
        <f aca="false">-1+C2929*0.25</f>
        <v>-1</v>
      </c>
      <c r="H2929" s="0" t="n">
        <f aca="false">-1+D2929*0.25</f>
        <v>1</v>
      </c>
      <c r="I2929" s="0" t="n">
        <f aca="false">1</f>
        <v>1</v>
      </c>
      <c r="J2929" s="0" t="n">
        <f aca="false">E2929</f>
        <v>0</v>
      </c>
      <c r="K2929" s="0" t="n">
        <f aca="false">F2929</f>
        <v>-1</v>
      </c>
      <c r="L2929" s="0" t="n">
        <f aca="false">G2929</f>
        <v>-1</v>
      </c>
      <c r="M2929" s="0" t="n">
        <f aca="false">H2929</f>
        <v>1</v>
      </c>
      <c r="N2929" s="0" t="n">
        <f aca="false">E2929*F2929</f>
        <v>-0</v>
      </c>
      <c r="O2929" s="0" t="n">
        <f aca="false">E2929*G2929</f>
        <v>-0</v>
      </c>
      <c r="P2929" s="0" t="n">
        <f aca="false">E2929*H2929</f>
        <v>0</v>
      </c>
      <c r="Q2929" s="0" t="n">
        <f aca="false">F2929*G2929</f>
        <v>1</v>
      </c>
      <c r="R2929" s="0" t="n">
        <f aca="false">F2929*H2929</f>
        <v>-1</v>
      </c>
      <c r="S2929" s="0" t="n">
        <f aca="false">G2929*H2929</f>
        <v>-1</v>
      </c>
      <c r="T2929" s="0" t="n">
        <f aca="false">E2929*E2929</f>
        <v>0</v>
      </c>
      <c r="U2929" s="0" t="n">
        <f aca="false">F2929*F2929</f>
        <v>1</v>
      </c>
      <c r="V2929" s="0" t="n">
        <f aca="false">G2929*G2929</f>
        <v>1</v>
      </c>
      <c r="W2929" s="0" t="n">
        <f aca="false">H2929*H2929</f>
        <v>1</v>
      </c>
      <c r="X2929" s="0" t="n">
        <f aca="false">SUMPRODUCT(I2929:W2929,_XtX!$B$96:$P$96)</f>
        <v>41.8258040935672</v>
      </c>
      <c r="Y2929" s="0" t="n">
        <f aca="false">SUMPRODUCT(MMULT(I2929:W2929,_XtX!$B$78:$P$92),I2929:W2929)</f>
        <v>0.766447368421053</v>
      </c>
      <c r="Z2929" s="0" t="n">
        <f aca="false">04_回帰ANOVA!$K$19*04_回帰ANOVA!$K$14*SQRT(1+Y2929)</f>
        <v>1.7324022685743</v>
      </c>
      <c r="AA2929" s="0" t="n">
        <f aca="false">X2929-Z2929</f>
        <v>40.0934018249929</v>
      </c>
      <c r="AB2929" s="0" t="n">
        <f aca="false">X2929+Z2929</f>
        <v>43.5582063621415</v>
      </c>
      <c r="AC2929" s="54" t="b">
        <f aca="false">AND(E2929&gt;=01_因子設定!$L$5-0.000000001,E2929&lt;=01_因子設定!$M$5+0.000000001,F2929&gt;=01_因子設定!$L$6-0.000000001,F2929&lt;=01_因子設定!$M$6+0.000000001,G2929&gt;=01_因子設定!$L$7-0.000000001,G2929&lt;=01_因子設定!$M$7+0.000000001,H2929&gt;=01_因子設定!$L$8-0.000000001,H2929&lt;=01_因子設定!$M$8+0.000000001,IF(01_因子設定!$B$20="Box-Behnken",E2929^2+F2929^2+G2929^2+H2929^2&lt;=2+0.000000001,TRUE()))</f>
        <v>1</v>
      </c>
      <c r="AD2929" s="55" t="n">
        <f aca="false">IF(AC2929,IF(01_因子設定!$B$13="最大化",AA2929-01_因子設定!$B$14,IF(01_因子設定!$B$13="最小化",01_因子設定!$B$15-AB2929,MIN(AA2929-01_因子設定!$B$14,01_因子設定!$B$15-AB2929))),-1E+030)</f>
        <v>-6.40659817500708</v>
      </c>
      <c r="AE2929" s="55" t="n">
        <f aca="false">IF(AC2929,IF(01_因子設定!$B$13="最大化",X2929,IF(01_因子設定!$B$13="最小化",-X2929,-ABS(X2929-01_因子設定!$B$16))),-1E+030)</f>
        <v>41.8258040935672</v>
      </c>
      <c r="AF2929" s="55" t="n">
        <f aca="false">AD2929+ROW()*0.000000001</f>
        <v>-6.40659524600708</v>
      </c>
      <c r="AG2929" s="55" t="n">
        <f aca="false">AE2929+ROW()*0.000000001</f>
        <v>41.8258070225672</v>
      </c>
    </row>
    <row r="2930" customFormat="false" ht="15" hidden="false" customHeight="false" outlineLevel="0" collapsed="false">
      <c r="A2930" s="0" t="n">
        <v>4</v>
      </c>
      <c r="B2930" s="0" t="n">
        <v>0</v>
      </c>
      <c r="C2930" s="0" t="n">
        <v>1</v>
      </c>
      <c r="D2930" s="0" t="n">
        <v>0</v>
      </c>
      <c r="E2930" s="0" t="n">
        <f aca="false">-1+A2930*0.25</f>
        <v>0</v>
      </c>
      <c r="F2930" s="0" t="n">
        <f aca="false">-1+B2930*0.25</f>
        <v>-1</v>
      </c>
      <c r="G2930" s="0" t="n">
        <f aca="false">-1+C2930*0.25</f>
        <v>-0.75</v>
      </c>
      <c r="H2930" s="0" t="n">
        <f aca="false">-1+D2930*0.25</f>
        <v>-1</v>
      </c>
      <c r="I2930" s="0" t="n">
        <f aca="false">1</f>
        <v>1</v>
      </c>
      <c r="J2930" s="0" t="n">
        <f aca="false">E2930</f>
        <v>0</v>
      </c>
      <c r="K2930" s="0" t="n">
        <f aca="false">F2930</f>
        <v>-1</v>
      </c>
      <c r="L2930" s="0" t="n">
        <f aca="false">G2930</f>
        <v>-0.75</v>
      </c>
      <c r="M2930" s="0" t="n">
        <f aca="false">H2930</f>
        <v>-1</v>
      </c>
      <c r="N2930" s="0" t="n">
        <f aca="false">E2930*F2930</f>
        <v>-0</v>
      </c>
      <c r="O2930" s="0" t="n">
        <f aca="false">E2930*G2930</f>
        <v>-0</v>
      </c>
      <c r="P2930" s="0" t="n">
        <f aca="false">E2930*H2930</f>
        <v>-0</v>
      </c>
      <c r="Q2930" s="0" t="n">
        <f aca="false">F2930*G2930</f>
        <v>0.75</v>
      </c>
      <c r="R2930" s="0" t="n">
        <f aca="false">F2930*H2930</f>
        <v>1</v>
      </c>
      <c r="S2930" s="0" t="n">
        <f aca="false">G2930*H2930</f>
        <v>0.75</v>
      </c>
      <c r="T2930" s="0" t="n">
        <f aca="false">E2930*E2930</f>
        <v>0</v>
      </c>
      <c r="U2930" s="0" t="n">
        <f aca="false">F2930*F2930</f>
        <v>1</v>
      </c>
      <c r="V2930" s="0" t="n">
        <f aca="false">G2930*G2930</f>
        <v>0.5625</v>
      </c>
      <c r="W2930" s="0" t="n">
        <f aca="false">H2930*H2930</f>
        <v>1</v>
      </c>
      <c r="X2930" s="0" t="n">
        <f aca="false">SUMPRODUCT(I2930:W2930,_XtX!$B$96:$P$96)</f>
        <v>41.559100877193</v>
      </c>
      <c r="Y2930" s="0" t="n">
        <f aca="false">SUMPRODUCT(MMULT(I2930:W2930,_XtX!$B$78:$P$92),I2930:W2930)</f>
        <v>0.646198830409357</v>
      </c>
      <c r="Z2930" s="0" t="n">
        <f aca="false">04_回帰ANOVA!$K$19*04_回帰ANOVA!$K$14*SQRT(1+Y2930)</f>
        <v>1.67239760569756</v>
      </c>
      <c r="AA2930" s="0" t="n">
        <f aca="false">X2930-Z2930</f>
        <v>39.8867032714954</v>
      </c>
      <c r="AB2930" s="0" t="n">
        <f aca="false">X2930+Z2930</f>
        <v>43.2314984828905</v>
      </c>
      <c r="AC2930" s="54" t="b">
        <f aca="false">AND(E2930&gt;=01_因子設定!$L$5-0.000000001,E2930&lt;=01_因子設定!$M$5+0.000000001,F2930&gt;=01_因子設定!$L$6-0.000000001,F2930&lt;=01_因子設定!$M$6+0.000000001,G2930&gt;=01_因子設定!$L$7-0.000000001,G2930&lt;=01_因子設定!$M$7+0.000000001,H2930&gt;=01_因子設定!$L$8-0.000000001,H2930&lt;=01_因子設定!$M$8+0.000000001,IF(01_因子設定!$B$20="Box-Behnken",E2930^2+F2930^2+G2930^2+H2930^2&lt;=2+0.000000001,TRUE()))</f>
        <v>1</v>
      </c>
      <c r="AD2930" s="55" t="n">
        <f aca="false">IF(AC2930,IF(01_因子設定!$B$13="最大化",AA2930-01_因子設定!$B$14,IF(01_因子設定!$B$13="最小化",01_因子設定!$B$15-AB2930,MIN(AA2930-01_因子設定!$B$14,01_因子設定!$B$15-AB2930))),-1E+030)</f>
        <v>-6.6132967285046</v>
      </c>
      <c r="AE2930" s="55" t="n">
        <f aca="false">IF(AC2930,IF(01_因子設定!$B$13="最大化",X2930,IF(01_因子設定!$B$13="最小化",-X2930,-ABS(X2930-01_因子設定!$B$16))),-1E+030)</f>
        <v>41.559100877193</v>
      </c>
      <c r="AF2930" s="55" t="n">
        <f aca="false">AD2930+ROW()*0.000000001</f>
        <v>-6.6132937985046</v>
      </c>
      <c r="AG2930" s="55" t="n">
        <f aca="false">AE2930+ROW()*0.000000001</f>
        <v>41.559103807193</v>
      </c>
    </row>
    <row r="2931" customFormat="false" ht="15" hidden="false" customHeight="false" outlineLevel="0" collapsed="false">
      <c r="A2931" s="0" t="n">
        <v>4</v>
      </c>
      <c r="B2931" s="0" t="n">
        <v>0</v>
      </c>
      <c r="C2931" s="0" t="n">
        <v>1</v>
      </c>
      <c r="D2931" s="0" t="n">
        <v>1</v>
      </c>
      <c r="E2931" s="0" t="n">
        <f aca="false">-1+A2931*0.25</f>
        <v>0</v>
      </c>
      <c r="F2931" s="0" t="n">
        <f aca="false">-1+B2931*0.25</f>
        <v>-1</v>
      </c>
      <c r="G2931" s="0" t="n">
        <f aca="false">-1+C2931*0.25</f>
        <v>-0.75</v>
      </c>
      <c r="H2931" s="0" t="n">
        <f aca="false">-1+D2931*0.25</f>
        <v>-0.75</v>
      </c>
      <c r="I2931" s="0" t="n">
        <f aca="false">1</f>
        <v>1</v>
      </c>
      <c r="J2931" s="0" t="n">
        <f aca="false">E2931</f>
        <v>0</v>
      </c>
      <c r="K2931" s="0" t="n">
        <f aca="false">F2931</f>
        <v>-1</v>
      </c>
      <c r="L2931" s="0" t="n">
        <f aca="false">G2931</f>
        <v>-0.75</v>
      </c>
      <c r="M2931" s="0" t="n">
        <f aca="false">H2931</f>
        <v>-0.75</v>
      </c>
      <c r="N2931" s="0" t="n">
        <f aca="false">E2931*F2931</f>
        <v>-0</v>
      </c>
      <c r="O2931" s="0" t="n">
        <f aca="false">E2931*G2931</f>
        <v>-0</v>
      </c>
      <c r="P2931" s="0" t="n">
        <f aca="false">E2931*H2931</f>
        <v>-0</v>
      </c>
      <c r="Q2931" s="0" t="n">
        <f aca="false">F2931*G2931</f>
        <v>0.75</v>
      </c>
      <c r="R2931" s="0" t="n">
        <f aca="false">F2931*H2931</f>
        <v>0.75</v>
      </c>
      <c r="S2931" s="0" t="n">
        <f aca="false">G2931*H2931</f>
        <v>0.5625</v>
      </c>
      <c r="T2931" s="0" t="n">
        <f aca="false">E2931*E2931</f>
        <v>0</v>
      </c>
      <c r="U2931" s="0" t="n">
        <f aca="false">F2931*F2931</f>
        <v>1</v>
      </c>
      <c r="V2931" s="0" t="n">
        <f aca="false">G2931*G2931</f>
        <v>0.5625</v>
      </c>
      <c r="W2931" s="0" t="n">
        <f aca="false">H2931*H2931</f>
        <v>0.5625</v>
      </c>
      <c r="X2931" s="0" t="n">
        <f aca="false">SUMPRODUCT(I2931:W2931,_XtX!$B$96:$P$96)</f>
        <v>41.8270330774853</v>
      </c>
      <c r="Y2931" s="0" t="n">
        <f aca="false">SUMPRODUCT(MMULT(I2931:W2931,_XtX!$B$78:$P$92),I2931:W2931)</f>
        <v>0.494259126005117</v>
      </c>
      <c r="Z2931" s="0" t="n">
        <f aca="false">04_回帰ANOVA!$K$19*04_回帰ANOVA!$K$14*SQRT(1+Y2931)</f>
        <v>1.59335061078203</v>
      </c>
      <c r="AA2931" s="0" t="n">
        <f aca="false">X2931-Z2931</f>
        <v>40.2336824667033</v>
      </c>
      <c r="AB2931" s="0" t="n">
        <f aca="false">X2931+Z2931</f>
        <v>43.4203836882674</v>
      </c>
      <c r="AC2931" s="54" t="b">
        <f aca="false">AND(E2931&gt;=01_因子設定!$L$5-0.000000001,E2931&lt;=01_因子設定!$M$5+0.000000001,F2931&gt;=01_因子設定!$L$6-0.000000001,F2931&lt;=01_因子設定!$M$6+0.000000001,G2931&gt;=01_因子設定!$L$7-0.000000001,G2931&lt;=01_因子設定!$M$7+0.000000001,H2931&gt;=01_因子設定!$L$8-0.000000001,H2931&lt;=01_因子設定!$M$8+0.000000001,IF(01_因子設定!$B$20="Box-Behnken",E2931^2+F2931^2+G2931^2+H2931^2&lt;=2+0.000000001,TRUE()))</f>
        <v>1</v>
      </c>
      <c r="AD2931" s="55" t="n">
        <f aca="false">IF(AC2931,IF(01_因子設定!$B$13="最大化",AA2931-01_因子設定!$B$14,IF(01_因子設定!$B$13="最小化",01_因子設定!$B$15-AB2931,MIN(AA2931-01_因子設定!$B$14,01_因子設定!$B$15-AB2931))),-1E+030)</f>
        <v>-6.26631753329669</v>
      </c>
      <c r="AE2931" s="55" t="n">
        <f aca="false">IF(AC2931,IF(01_因子設定!$B$13="最大化",X2931,IF(01_因子設定!$B$13="最小化",-X2931,-ABS(X2931-01_因子設定!$B$16))),-1E+030)</f>
        <v>41.8270330774853</v>
      </c>
      <c r="AF2931" s="55" t="n">
        <f aca="false">AD2931+ROW()*0.000000001</f>
        <v>-6.26631460229669</v>
      </c>
      <c r="AG2931" s="55" t="n">
        <f aca="false">AE2931+ROW()*0.000000001</f>
        <v>41.8270360084853</v>
      </c>
    </row>
    <row r="2932" customFormat="false" ht="15" hidden="false" customHeight="false" outlineLevel="0" collapsed="false">
      <c r="A2932" s="0" t="n">
        <v>4</v>
      </c>
      <c r="B2932" s="0" t="n">
        <v>0</v>
      </c>
      <c r="C2932" s="0" t="n">
        <v>1</v>
      </c>
      <c r="D2932" s="0" t="n">
        <v>2</v>
      </c>
      <c r="E2932" s="0" t="n">
        <f aca="false">-1+A2932*0.25</f>
        <v>0</v>
      </c>
      <c r="F2932" s="0" t="n">
        <f aca="false">-1+B2932*0.25</f>
        <v>-1</v>
      </c>
      <c r="G2932" s="0" t="n">
        <f aca="false">-1+C2932*0.25</f>
        <v>-0.75</v>
      </c>
      <c r="H2932" s="0" t="n">
        <f aca="false">-1+D2932*0.25</f>
        <v>-0.5</v>
      </c>
      <c r="I2932" s="0" t="n">
        <f aca="false">1</f>
        <v>1</v>
      </c>
      <c r="J2932" s="0" t="n">
        <f aca="false">E2932</f>
        <v>0</v>
      </c>
      <c r="K2932" s="0" t="n">
        <f aca="false">F2932</f>
        <v>-1</v>
      </c>
      <c r="L2932" s="0" t="n">
        <f aca="false">G2932</f>
        <v>-0.75</v>
      </c>
      <c r="M2932" s="0" t="n">
        <f aca="false">H2932</f>
        <v>-0.5</v>
      </c>
      <c r="N2932" s="0" t="n">
        <f aca="false">E2932*F2932</f>
        <v>-0</v>
      </c>
      <c r="O2932" s="0" t="n">
        <f aca="false">E2932*G2932</f>
        <v>-0</v>
      </c>
      <c r="P2932" s="0" t="n">
        <f aca="false">E2932*H2932</f>
        <v>-0</v>
      </c>
      <c r="Q2932" s="0" t="n">
        <f aca="false">F2932*G2932</f>
        <v>0.75</v>
      </c>
      <c r="R2932" s="0" t="n">
        <f aca="false">F2932*H2932</f>
        <v>0.5</v>
      </c>
      <c r="S2932" s="0" t="n">
        <f aca="false">G2932*H2932</f>
        <v>0.375</v>
      </c>
      <c r="T2932" s="0" t="n">
        <f aca="false">E2932*E2932</f>
        <v>0</v>
      </c>
      <c r="U2932" s="0" t="n">
        <f aca="false">F2932*F2932</f>
        <v>1</v>
      </c>
      <c r="V2932" s="0" t="n">
        <f aca="false">G2932*G2932</f>
        <v>0.5625</v>
      </c>
      <c r="W2932" s="0" t="n">
        <f aca="false">H2932*H2932</f>
        <v>0.25</v>
      </c>
      <c r="X2932" s="0" t="n">
        <f aca="false">SUMPRODUCT(I2932:W2932,_XtX!$B$96:$P$96)</f>
        <v>42.0471582602339</v>
      </c>
      <c r="Y2932" s="0" t="n">
        <f aca="false">SUMPRODUCT(MMULT(I2932:W2932,_XtX!$B$78:$P$92),I2932:W2932)</f>
        <v>0.476191292032164</v>
      </c>
      <c r="Z2932" s="0" t="n">
        <f aca="false">04_回帰ANOVA!$K$19*04_回帰ANOVA!$K$14*SQRT(1+Y2932)</f>
        <v>1.58368831471718</v>
      </c>
      <c r="AA2932" s="0" t="n">
        <f aca="false">X2932-Z2932</f>
        <v>40.4634699455167</v>
      </c>
      <c r="AB2932" s="0" t="n">
        <f aca="false">X2932+Z2932</f>
        <v>43.630846574951</v>
      </c>
      <c r="AC2932" s="54" t="b">
        <f aca="false">AND(E2932&gt;=01_因子設定!$L$5-0.000000001,E2932&lt;=01_因子設定!$M$5+0.000000001,F2932&gt;=01_因子設定!$L$6-0.000000001,F2932&lt;=01_因子設定!$M$6+0.000000001,G2932&gt;=01_因子設定!$L$7-0.000000001,G2932&lt;=01_因子設定!$M$7+0.000000001,H2932&gt;=01_因子設定!$L$8-0.000000001,H2932&lt;=01_因子設定!$M$8+0.000000001,IF(01_因子設定!$B$20="Box-Behnken",E2932^2+F2932^2+G2932^2+H2932^2&lt;=2+0.000000001,TRUE()))</f>
        <v>1</v>
      </c>
      <c r="AD2932" s="55" t="n">
        <f aca="false">IF(AC2932,IF(01_因子設定!$B$13="最大化",AA2932-01_因子設定!$B$14,IF(01_因子設定!$B$13="最小化",01_因子設定!$B$15-AB2932,MIN(AA2932-01_因子設定!$B$14,01_因子設定!$B$15-AB2932))),-1E+030)</f>
        <v>-6.03653005448332</v>
      </c>
      <c r="AE2932" s="55" t="n">
        <f aca="false">IF(AC2932,IF(01_因子設定!$B$13="最大化",X2932,IF(01_因子設定!$B$13="最小化",-X2932,-ABS(X2932-01_因子設定!$B$16))),-1E+030)</f>
        <v>42.0471582602339</v>
      </c>
      <c r="AF2932" s="55" t="n">
        <f aca="false">AD2932+ROW()*0.000000001</f>
        <v>-6.03652712248332</v>
      </c>
      <c r="AG2932" s="55" t="n">
        <f aca="false">AE2932+ROW()*0.000000001</f>
        <v>42.0471611922339</v>
      </c>
    </row>
    <row r="2933" customFormat="false" ht="15" hidden="false" customHeight="false" outlineLevel="0" collapsed="false">
      <c r="A2933" s="0" t="n">
        <v>4</v>
      </c>
      <c r="B2933" s="0" t="n">
        <v>0</v>
      </c>
      <c r="C2933" s="0" t="n">
        <v>1</v>
      </c>
      <c r="D2933" s="0" t="n">
        <v>3</v>
      </c>
      <c r="E2933" s="0" t="n">
        <f aca="false">-1+A2933*0.25</f>
        <v>0</v>
      </c>
      <c r="F2933" s="0" t="n">
        <f aca="false">-1+B2933*0.25</f>
        <v>-1</v>
      </c>
      <c r="G2933" s="0" t="n">
        <f aca="false">-1+C2933*0.25</f>
        <v>-0.75</v>
      </c>
      <c r="H2933" s="0" t="n">
        <f aca="false">-1+D2933*0.25</f>
        <v>-0.25</v>
      </c>
      <c r="I2933" s="0" t="n">
        <f aca="false">1</f>
        <v>1</v>
      </c>
      <c r="J2933" s="0" t="n">
        <f aca="false">E2933</f>
        <v>0</v>
      </c>
      <c r="K2933" s="0" t="n">
        <f aca="false">F2933</f>
        <v>-1</v>
      </c>
      <c r="L2933" s="0" t="n">
        <f aca="false">G2933</f>
        <v>-0.75</v>
      </c>
      <c r="M2933" s="0" t="n">
        <f aca="false">H2933</f>
        <v>-0.25</v>
      </c>
      <c r="N2933" s="0" t="n">
        <f aca="false">E2933*F2933</f>
        <v>-0</v>
      </c>
      <c r="O2933" s="0" t="n">
        <f aca="false">E2933*G2933</f>
        <v>-0</v>
      </c>
      <c r="P2933" s="0" t="n">
        <f aca="false">E2933*H2933</f>
        <v>-0</v>
      </c>
      <c r="Q2933" s="0" t="n">
        <f aca="false">F2933*G2933</f>
        <v>0.75</v>
      </c>
      <c r="R2933" s="0" t="n">
        <f aca="false">F2933*H2933</f>
        <v>0.25</v>
      </c>
      <c r="S2933" s="0" t="n">
        <f aca="false">G2933*H2933</f>
        <v>0.1875</v>
      </c>
      <c r="T2933" s="0" t="n">
        <f aca="false">E2933*E2933</f>
        <v>0</v>
      </c>
      <c r="U2933" s="0" t="n">
        <f aca="false">F2933*F2933</f>
        <v>1</v>
      </c>
      <c r="V2933" s="0" t="n">
        <f aca="false">G2933*G2933</f>
        <v>0.5625</v>
      </c>
      <c r="W2933" s="0" t="n">
        <f aca="false">H2933*H2933</f>
        <v>0.0625</v>
      </c>
      <c r="X2933" s="0" t="n">
        <f aca="false">SUMPRODUCT(I2933:W2933,_XtX!$B$96:$P$96)</f>
        <v>42.2194764254385</v>
      </c>
      <c r="Y2933" s="0" t="n">
        <f aca="false">SUMPRODUCT(MMULT(I2933:W2933,_XtX!$B$78:$P$92),I2933:W2933)</f>
        <v>0.501534802174708</v>
      </c>
      <c r="Z2933" s="0" t="n">
        <f aca="false">04_回帰ANOVA!$K$19*04_回帰ANOVA!$K$14*SQRT(1+Y2933)</f>
        <v>1.59722498091333</v>
      </c>
      <c r="AA2933" s="0" t="n">
        <f aca="false">X2933-Z2933</f>
        <v>40.6222514445252</v>
      </c>
      <c r="AB2933" s="0" t="n">
        <f aca="false">X2933+Z2933</f>
        <v>43.8167014063519</v>
      </c>
      <c r="AC2933" s="54" t="b">
        <f aca="false">AND(E2933&gt;=01_因子設定!$L$5-0.000000001,E2933&lt;=01_因子設定!$M$5+0.000000001,F2933&gt;=01_因子設定!$L$6-0.000000001,F2933&lt;=01_因子設定!$M$6+0.000000001,G2933&gt;=01_因子設定!$L$7-0.000000001,G2933&lt;=01_因子設定!$M$7+0.000000001,H2933&gt;=01_因子設定!$L$8-0.000000001,H2933&lt;=01_因子設定!$M$8+0.000000001,IF(01_因子設定!$B$20="Box-Behnken",E2933^2+F2933^2+G2933^2+H2933^2&lt;=2+0.000000001,TRUE()))</f>
        <v>1</v>
      </c>
      <c r="AD2933" s="55" t="n">
        <f aca="false">IF(AC2933,IF(01_因子設定!$B$13="最大化",AA2933-01_因子設定!$B$14,IF(01_因子設定!$B$13="最小化",01_因子設定!$B$15-AB2933,MIN(AA2933-01_因子設定!$B$14,01_因子設定!$B$15-AB2933))),-1E+030)</f>
        <v>-5.8777485554748</v>
      </c>
      <c r="AE2933" s="55" t="n">
        <f aca="false">IF(AC2933,IF(01_因子設定!$B$13="最大化",X2933,IF(01_因子設定!$B$13="最小化",-X2933,-ABS(X2933-01_因子設定!$B$16))),-1E+030)</f>
        <v>42.2194764254385</v>
      </c>
      <c r="AF2933" s="55" t="n">
        <f aca="false">AD2933+ROW()*0.000000001</f>
        <v>-5.8777456224748</v>
      </c>
      <c r="AG2933" s="55" t="n">
        <f aca="false">AE2933+ROW()*0.000000001</f>
        <v>42.2194793584385</v>
      </c>
    </row>
    <row r="2934" customFormat="false" ht="15" hidden="false" customHeight="false" outlineLevel="0" collapsed="false">
      <c r="A2934" s="0" t="n">
        <v>4</v>
      </c>
      <c r="B2934" s="0" t="n">
        <v>0</v>
      </c>
      <c r="C2934" s="0" t="n">
        <v>1</v>
      </c>
      <c r="D2934" s="0" t="n">
        <v>4</v>
      </c>
      <c r="E2934" s="0" t="n">
        <f aca="false">-1+A2934*0.25</f>
        <v>0</v>
      </c>
      <c r="F2934" s="0" t="n">
        <f aca="false">-1+B2934*0.25</f>
        <v>-1</v>
      </c>
      <c r="G2934" s="0" t="n">
        <f aca="false">-1+C2934*0.25</f>
        <v>-0.75</v>
      </c>
      <c r="H2934" s="0" t="n">
        <f aca="false">-1+D2934*0.25</f>
        <v>0</v>
      </c>
      <c r="I2934" s="0" t="n">
        <f aca="false">1</f>
        <v>1</v>
      </c>
      <c r="J2934" s="0" t="n">
        <f aca="false">E2934</f>
        <v>0</v>
      </c>
      <c r="K2934" s="0" t="n">
        <f aca="false">F2934</f>
        <v>-1</v>
      </c>
      <c r="L2934" s="0" t="n">
        <f aca="false">G2934</f>
        <v>-0.75</v>
      </c>
      <c r="M2934" s="0" t="n">
        <f aca="false">H2934</f>
        <v>0</v>
      </c>
      <c r="N2934" s="0" t="n">
        <f aca="false">E2934*F2934</f>
        <v>-0</v>
      </c>
      <c r="O2934" s="0" t="n">
        <f aca="false">E2934*G2934</f>
        <v>-0</v>
      </c>
      <c r="P2934" s="0" t="n">
        <f aca="false">E2934*H2934</f>
        <v>0</v>
      </c>
      <c r="Q2934" s="0" t="n">
        <f aca="false">F2934*G2934</f>
        <v>0.75</v>
      </c>
      <c r="R2934" s="0" t="n">
        <f aca="false">F2934*H2934</f>
        <v>-0</v>
      </c>
      <c r="S2934" s="0" t="n">
        <f aca="false">G2934*H2934</f>
        <v>-0</v>
      </c>
      <c r="T2934" s="0" t="n">
        <f aca="false">E2934*E2934</f>
        <v>0</v>
      </c>
      <c r="U2934" s="0" t="n">
        <f aca="false">F2934*F2934</f>
        <v>1</v>
      </c>
      <c r="V2934" s="0" t="n">
        <f aca="false">G2934*G2934</f>
        <v>0.5625</v>
      </c>
      <c r="W2934" s="0" t="n">
        <f aca="false">H2934*H2934</f>
        <v>0</v>
      </c>
      <c r="X2934" s="0" t="n">
        <f aca="false">SUMPRODUCT(I2934:W2934,_XtX!$B$96:$P$96)</f>
        <v>42.3439875730994</v>
      </c>
      <c r="Y2934" s="0" t="n">
        <f aca="false">SUMPRODUCT(MMULT(I2934:W2934,_XtX!$B$78:$P$92),I2934:W2934)</f>
        <v>0.516013340643275</v>
      </c>
      <c r="Z2934" s="0" t="n">
        <f aca="false">04_回帰ANOVA!$K$19*04_回帰ANOVA!$K$14*SQRT(1+Y2934)</f>
        <v>1.60490712175667</v>
      </c>
      <c r="AA2934" s="0" t="n">
        <f aca="false">X2934-Z2934</f>
        <v>40.7390804513427</v>
      </c>
      <c r="AB2934" s="0" t="n">
        <f aca="false">X2934+Z2934</f>
        <v>43.948894694856</v>
      </c>
      <c r="AC2934" s="54" t="b">
        <f aca="false">AND(E2934&gt;=01_因子設定!$L$5-0.000000001,E2934&lt;=01_因子設定!$M$5+0.000000001,F2934&gt;=01_因子設定!$L$6-0.000000001,F2934&lt;=01_因子設定!$M$6+0.000000001,G2934&gt;=01_因子設定!$L$7-0.000000001,G2934&lt;=01_因子設定!$M$7+0.000000001,H2934&gt;=01_因子設定!$L$8-0.000000001,H2934&lt;=01_因子設定!$M$8+0.000000001,IF(01_因子設定!$B$20="Box-Behnken",E2934^2+F2934^2+G2934^2+H2934^2&lt;=2+0.000000001,TRUE()))</f>
        <v>1</v>
      </c>
      <c r="AD2934" s="55" t="n">
        <f aca="false">IF(AC2934,IF(01_因子設定!$B$13="最大化",AA2934-01_因子設定!$B$14,IF(01_因子設定!$B$13="最小化",01_因子設定!$B$15-AB2934,MIN(AA2934-01_因子設定!$B$14,01_因子設定!$B$15-AB2934))),-1E+030)</f>
        <v>-5.76091954865732</v>
      </c>
      <c r="AE2934" s="55" t="n">
        <f aca="false">IF(AC2934,IF(01_因子設定!$B$13="最大化",X2934,IF(01_因子設定!$B$13="最小化",-X2934,-ABS(X2934-01_因子設定!$B$16))),-1E+030)</f>
        <v>42.3439875730994</v>
      </c>
      <c r="AF2934" s="55" t="n">
        <f aca="false">AD2934+ROW()*0.000000001</f>
        <v>-5.76091661465732</v>
      </c>
      <c r="AG2934" s="55" t="n">
        <f aca="false">AE2934+ROW()*0.000000001</f>
        <v>42.3439905070994</v>
      </c>
    </row>
    <row r="2935" customFormat="false" ht="15" hidden="false" customHeight="false" outlineLevel="0" collapsed="false">
      <c r="A2935" s="0" t="n">
        <v>4</v>
      </c>
      <c r="B2935" s="0" t="n">
        <v>0</v>
      </c>
      <c r="C2935" s="0" t="n">
        <v>1</v>
      </c>
      <c r="D2935" s="0" t="n">
        <v>5</v>
      </c>
      <c r="E2935" s="0" t="n">
        <f aca="false">-1+A2935*0.25</f>
        <v>0</v>
      </c>
      <c r="F2935" s="0" t="n">
        <f aca="false">-1+B2935*0.25</f>
        <v>-1</v>
      </c>
      <c r="G2935" s="0" t="n">
        <f aca="false">-1+C2935*0.25</f>
        <v>-0.75</v>
      </c>
      <c r="H2935" s="0" t="n">
        <f aca="false">-1+D2935*0.25</f>
        <v>0.25</v>
      </c>
      <c r="I2935" s="0" t="n">
        <f aca="false">1</f>
        <v>1</v>
      </c>
      <c r="J2935" s="0" t="n">
        <f aca="false">E2935</f>
        <v>0</v>
      </c>
      <c r="K2935" s="0" t="n">
        <f aca="false">F2935</f>
        <v>-1</v>
      </c>
      <c r="L2935" s="0" t="n">
        <f aca="false">G2935</f>
        <v>-0.75</v>
      </c>
      <c r="M2935" s="0" t="n">
        <f aca="false">H2935</f>
        <v>0.25</v>
      </c>
      <c r="N2935" s="0" t="n">
        <f aca="false">E2935*F2935</f>
        <v>-0</v>
      </c>
      <c r="O2935" s="0" t="n">
        <f aca="false">E2935*G2935</f>
        <v>-0</v>
      </c>
      <c r="P2935" s="0" t="n">
        <f aca="false">E2935*H2935</f>
        <v>0</v>
      </c>
      <c r="Q2935" s="0" t="n">
        <f aca="false">F2935*G2935</f>
        <v>0.75</v>
      </c>
      <c r="R2935" s="0" t="n">
        <f aca="false">F2935*H2935</f>
        <v>-0.25</v>
      </c>
      <c r="S2935" s="0" t="n">
        <f aca="false">G2935*H2935</f>
        <v>-0.1875</v>
      </c>
      <c r="T2935" s="0" t="n">
        <f aca="false">E2935*E2935</f>
        <v>0</v>
      </c>
      <c r="U2935" s="0" t="n">
        <f aca="false">F2935*F2935</f>
        <v>1</v>
      </c>
      <c r="V2935" s="0" t="n">
        <f aca="false">G2935*G2935</f>
        <v>0.5625</v>
      </c>
      <c r="W2935" s="0" t="n">
        <f aca="false">H2935*H2935</f>
        <v>0.0625</v>
      </c>
      <c r="X2935" s="0" t="n">
        <f aca="false">SUMPRODUCT(I2935:W2935,_XtX!$B$96:$P$96)</f>
        <v>42.4206917032163</v>
      </c>
      <c r="Y2935" s="0" t="n">
        <f aca="false">SUMPRODUCT(MMULT(I2935:W2935,_XtX!$B$78:$P$92),I2935:W2935)</f>
        <v>0.501534802174708</v>
      </c>
      <c r="Z2935" s="0" t="n">
        <f aca="false">04_回帰ANOVA!$K$19*04_回帰ANOVA!$K$14*SQRT(1+Y2935)</f>
        <v>1.59722498091333</v>
      </c>
      <c r="AA2935" s="0" t="n">
        <f aca="false">X2935-Z2935</f>
        <v>40.823466722303</v>
      </c>
      <c r="AB2935" s="0" t="n">
        <f aca="false">X2935+Z2935</f>
        <v>44.0179166841296</v>
      </c>
      <c r="AC2935" s="54" t="b">
        <f aca="false">AND(E2935&gt;=01_因子設定!$L$5-0.000000001,E2935&lt;=01_因子設定!$M$5+0.000000001,F2935&gt;=01_因子設定!$L$6-0.000000001,F2935&lt;=01_因子設定!$M$6+0.000000001,G2935&gt;=01_因子設定!$L$7-0.000000001,G2935&lt;=01_因子設定!$M$7+0.000000001,H2935&gt;=01_因子設定!$L$8-0.000000001,H2935&lt;=01_因子設定!$M$8+0.000000001,IF(01_因子設定!$B$20="Box-Behnken",E2935^2+F2935^2+G2935^2+H2935^2&lt;=2+0.000000001,TRUE()))</f>
        <v>1</v>
      </c>
      <c r="AD2935" s="55" t="n">
        <f aca="false">IF(AC2935,IF(01_因子設定!$B$13="最大化",AA2935-01_因子設定!$B$14,IF(01_因子設定!$B$13="最小化",01_因子設定!$B$15-AB2935,MIN(AA2935-01_因子設定!$B$14,01_因子設定!$B$15-AB2935))),-1E+030)</f>
        <v>-5.67653327769702</v>
      </c>
      <c r="AE2935" s="55" t="n">
        <f aca="false">IF(AC2935,IF(01_因子設定!$B$13="最大化",X2935,IF(01_因子設定!$B$13="最小化",-X2935,-ABS(X2935-01_因子設定!$B$16))),-1E+030)</f>
        <v>42.4206917032163</v>
      </c>
      <c r="AF2935" s="55" t="n">
        <f aca="false">AD2935+ROW()*0.000000001</f>
        <v>-5.67653034269702</v>
      </c>
      <c r="AG2935" s="55" t="n">
        <f aca="false">AE2935+ROW()*0.000000001</f>
        <v>42.4206946382163</v>
      </c>
    </row>
    <row r="2936" customFormat="false" ht="15" hidden="false" customHeight="false" outlineLevel="0" collapsed="false">
      <c r="A2936" s="0" t="n">
        <v>4</v>
      </c>
      <c r="B2936" s="0" t="n">
        <v>0</v>
      </c>
      <c r="C2936" s="0" t="n">
        <v>1</v>
      </c>
      <c r="D2936" s="0" t="n">
        <v>6</v>
      </c>
      <c r="E2936" s="0" t="n">
        <f aca="false">-1+A2936*0.25</f>
        <v>0</v>
      </c>
      <c r="F2936" s="0" t="n">
        <f aca="false">-1+B2936*0.25</f>
        <v>-1</v>
      </c>
      <c r="G2936" s="0" t="n">
        <f aca="false">-1+C2936*0.25</f>
        <v>-0.75</v>
      </c>
      <c r="H2936" s="0" t="n">
        <f aca="false">-1+D2936*0.25</f>
        <v>0.5</v>
      </c>
      <c r="I2936" s="0" t="n">
        <f aca="false">1</f>
        <v>1</v>
      </c>
      <c r="J2936" s="0" t="n">
        <f aca="false">E2936</f>
        <v>0</v>
      </c>
      <c r="K2936" s="0" t="n">
        <f aca="false">F2936</f>
        <v>-1</v>
      </c>
      <c r="L2936" s="0" t="n">
        <f aca="false">G2936</f>
        <v>-0.75</v>
      </c>
      <c r="M2936" s="0" t="n">
        <f aca="false">H2936</f>
        <v>0.5</v>
      </c>
      <c r="N2936" s="0" t="n">
        <f aca="false">E2936*F2936</f>
        <v>-0</v>
      </c>
      <c r="O2936" s="0" t="n">
        <f aca="false">E2936*G2936</f>
        <v>-0</v>
      </c>
      <c r="P2936" s="0" t="n">
        <f aca="false">E2936*H2936</f>
        <v>0</v>
      </c>
      <c r="Q2936" s="0" t="n">
        <f aca="false">F2936*G2936</f>
        <v>0.75</v>
      </c>
      <c r="R2936" s="0" t="n">
        <f aca="false">F2936*H2936</f>
        <v>-0.5</v>
      </c>
      <c r="S2936" s="0" t="n">
        <f aca="false">G2936*H2936</f>
        <v>-0.375</v>
      </c>
      <c r="T2936" s="0" t="n">
        <f aca="false">E2936*E2936</f>
        <v>0</v>
      </c>
      <c r="U2936" s="0" t="n">
        <f aca="false">F2936*F2936</f>
        <v>1</v>
      </c>
      <c r="V2936" s="0" t="n">
        <f aca="false">G2936*G2936</f>
        <v>0.5625</v>
      </c>
      <c r="W2936" s="0" t="n">
        <f aca="false">H2936*H2936</f>
        <v>0.25</v>
      </c>
      <c r="X2936" s="0" t="n">
        <f aca="false">SUMPRODUCT(I2936:W2936,_XtX!$B$96:$P$96)</f>
        <v>42.4495888157894</v>
      </c>
      <c r="Y2936" s="0" t="n">
        <f aca="false">SUMPRODUCT(MMULT(I2936:W2936,_XtX!$B$78:$P$92),I2936:W2936)</f>
        <v>0.476191292032164</v>
      </c>
      <c r="Z2936" s="0" t="n">
        <f aca="false">04_回帰ANOVA!$K$19*04_回帰ANOVA!$K$14*SQRT(1+Y2936)</f>
        <v>1.58368831471718</v>
      </c>
      <c r="AA2936" s="0" t="n">
        <f aca="false">X2936-Z2936</f>
        <v>40.8659005010722</v>
      </c>
      <c r="AB2936" s="0" t="n">
        <f aca="false">X2936+Z2936</f>
        <v>44.0332771305066</v>
      </c>
      <c r="AC2936" s="54" t="b">
        <f aca="false">AND(E2936&gt;=01_因子設定!$L$5-0.000000001,E2936&lt;=01_因子設定!$M$5+0.000000001,F2936&gt;=01_因子設定!$L$6-0.000000001,F2936&lt;=01_因子設定!$M$6+0.000000001,G2936&gt;=01_因子設定!$L$7-0.000000001,G2936&lt;=01_因子設定!$M$7+0.000000001,H2936&gt;=01_因子設定!$L$8-0.000000001,H2936&lt;=01_因子設定!$M$8+0.000000001,IF(01_因子設定!$B$20="Box-Behnken",E2936^2+F2936^2+G2936^2+H2936^2&lt;=2+0.000000001,TRUE()))</f>
        <v>1</v>
      </c>
      <c r="AD2936" s="55" t="n">
        <f aca="false">IF(AC2936,IF(01_因子設定!$B$13="最大化",AA2936-01_因子設定!$B$14,IF(01_因子設定!$B$13="最小化",01_因子設定!$B$15-AB2936,MIN(AA2936-01_因子設定!$B$14,01_因子設定!$B$15-AB2936))),-1E+030)</f>
        <v>-5.63409949892776</v>
      </c>
      <c r="AE2936" s="55" t="n">
        <f aca="false">IF(AC2936,IF(01_因子設定!$B$13="最大化",X2936,IF(01_因子設定!$B$13="最小化",-X2936,-ABS(X2936-01_因子設定!$B$16))),-1E+030)</f>
        <v>42.4495888157894</v>
      </c>
      <c r="AF2936" s="55" t="n">
        <f aca="false">AD2936+ROW()*0.000000001</f>
        <v>-5.63409656292776</v>
      </c>
      <c r="AG2936" s="55" t="n">
        <f aca="false">AE2936+ROW()*0.000000001</f>
        <v>42.4495917517894</v>
      </c>
    </row>
    <row r="2937" customFormat="false" ht="15" hidden="false" customHeight="false" outlineLevel="0" collapsed="false">
      <c r="A2937" s="0" t="n">
        <v>4</v>
      </c>
      <c r="B2937" s="0" t="n">
        <v>0</v>
      </c>
      <c r="C2937" s="0" t="n">
        <v>1</v>
      </c>
      <c r="D2937" s="0" t="n">
        <v>7</v>
      </c>
      <c r="E2937" s="0" t="n">
        <f aca="false">-1+A2937*0.25</f>
        <v>0</v>
      </c>
      <c r="F2937" s="0" t="n">
        <f aca="false">-1+B2937*0.25</f>
        <v>-1</v>
      </c>
      <c r="G2937" s="0" t="n">
        <f aca="false">-1+C2937*0.25</f>
        <v>-0.75</v>
      </c>
      <c r="H2937" s="0" t="n">
        <f aca="false">-1+D2937*0.25</f>
        <v>0.75</v>
      </c>
      <c r="I2937" s="0" t="n">
        <f aca="false">1</f>
        <v>1</v>
      </c>
      <c r="J2937" s="0" t="n">
        <f aca="false">E2937</f>
        <v>0</v>
      </c>
      <c r="K2937" s="0" t="n">
        <f aca="false">F2937</f>
        <v>-1</v>
      </c>
      <c r="L2937" s="0" t="n">
        <f aca="false">G2937</f>
        <v>-0.75</v>
      </c>
      <c r="M2937" s="0" t="n">
        <f aca="false">H2937</f>
        <v>0.75</v>
      </c>
      <c r="N2937" s="0" t="n">
        <f aca="false">E2937*F2937</f>
        <v>-0</v>
      </c>
      <c r="O2937" s="0" t="n">
        <f aca="false">E2937*G2937</f>
        <v>-0</v>
      </c>
      <c r="P2937" s="0" t="n">
        <f aca="false">E2937*H2937</f>
        <v>0</v>
      </c>
      <c r="Q2937" s="0" t="n">
        <f aca="false">F2937*G2937</f>
        <v>0.75</v>
      </c>
      <c r="R2937" s="0" t="n">
        <f aca="false">F2937*H2937</f>
        <v>-0.75</v>
      </c>
      <c r="S2937" s="0" t="n">
        <f aca="false">G2937*H2937</f>
        <v>-0.5625</v>
      </c>
      <c r="T2937" s="0" t="n">
        <f aca="false">E2937*E2937</f>
        <v>0</v>
      </c>
      <c r="U2937" s="0" t="n">
        <f aca="false">F2937*F2937</f>
        <v>1</v>
      </c>
      <c r="V2937" s="0" t="n">
        <f aca="false">G2937*G2937</f>
        <v>0.5625</v>
      </c>
      <c r="W2937" s="0" t="n">
        <f aca="false">H2937*H2937</f>
        <v>0.5625</v>
      </c>
      <c r="X2937" s="0" t="n">
        <f aca="false">SUMPRODUCT(I2937:W2937,_XtX!$B$96:$P$96)</f>
        <v>42.4306789108187</v>
      </c>
      <c r="Y2937" s="0" t="n">
        <f aca="false">SUMPRODUCT(MMULT(I2937:W2937,_XtX!$B$78:$P$92),I2937:W2937)</f>
        <v>0.494259126005117</v>
      </c>
      <c r="Z2937" s="0" t="n">
        <f aca="false">04_回帰ANOVA!$K$19*04_回帰ANOVA!$K$14*SQRT(1+Y2937)</f>
        <v>1.59335061078203</v>
      </c>
      <c r="AA2937" s="0" t="n">
        <f aca="false">X2937-Z2937</f>
        <v>40.8373283000366</v>
      </c>
      <c r="AB2937" s="0" t="n">
        <f aca="false">X2937+Z2937</f>
        <v>44.0240295216007</v>
      </c>
      <c r="AC2937" s="54" t="b">
        <f aca="false">AND(E2937&gt;=01_因子設定!$L$5-0.000000001,E2937&lt;=01_因子設定!$M$5+0.000000001,F2937&gt;=01_因子設定!$L$6-0.000000001,F2937&lt;=01_因子設定!$M$6+0.000000001,G2937&gt;=01_因子設定!$L$7-0.000000001,G2937&lt;=01_因子設定!$M$7+0.000000001,H2937&gt;=01_因子設定!$L$8-0.000000001,H2937&lt;=01_因子設定!$M$8+0.000000001,IF(01_因子設定!$B$20="Box-Behnken",E2937^2+F2937^2+G2937^2+H2937^2&lt;=2+0.000000001,TRUE()))</f>
        <v>1</v>
      </c>
      <c r="AD2937" s="55" t="n">
        <f aca="false">IF(AC2937,IF(01_因子設定!$B$13="最大化",AA2937-01_因子設定!$B$14,IF(01_因子設定!$B$13="最小化",01_因子設定!$B$15-AB2937,MIN(AA2937-01_因子設定!$B$14,01_因子設定!$B$15-AB2937))),-1E+030)</f>
        <v>-5.66267169996335</v>
      </c>
      <c r="AE2937" s="55" t="n">
        <f aca="false">IF(AC2937,IF(01_因子設定!$B$13="最大化",X2937,IF(01_因子設定!$B$13="最小化",-X2937,-ABS(X2937-01_因子設定!$B$16))),-1E+030)</f>
        <v>42.4306789108187</v>
      </c>
      <c r="AF2937" s="55" t="n">
        <f aca="false">AD2937+ROW()*0.000000001</f>
        <v>-5.66266876296336</v>
      </c>
      <c r="AG2937" s="55" t="n">
        <f aca="false">AE2937+ROW()*0.000000001</f>
        <v>42.4306818478187</v>
      </c>
    </row>
    <row r="2938" customFormat="false" ht="15" hidden="false" customHeight="false" outlineLevel="0" collapsed="false">
      <c r="A2938" s="0" t="n">
        <v>4</v>
      </c>
      <c r="B2938" s="0" t="n">
        <v>0</v>
      </c>
      <c r="C2938" s="0" t="n">
        <v>1</v>
      </c>
      <c r="D2938" s="0" t="n">
        <v>8</v>
      </c>
      <c r="E2938" s="0" t="n">
        <f aca="false">-1+A2938*0.25</f>
        <v>0</v>
      </c>
      <c r="F2938" s="0" t="n">
        <f aca="false">-1+B2938*0.25</f>
        <v>-1</v>
      </c>
      <c r="G2938" s="0" t="n">
        <f aca="false">-1+C2938*0.25</f>
        <v>-0.75</v>
      </c>
      <c r="H2938" s="0" t="n">
        <f aca="false">-1+D2938*0.25</f>
        <v>1</v>
      </c>
      <c r="I2938" s="0" t="n">
        <f aca="false">1</f>
        <v>1</v>
      </c>
      <c r="J2938" s="0" t="n">
        <f aca="false">E2938</f>
        <v>0</v>
      </c>
      <c r="K2938" s="0" t="n">
        <f aca="false">F2938</f>
        <v>-1</v>
      </c>
      <c r="L2938" s="0" t="n">
        <f aca="false">G2938</f>
        <v>-0.75</v>
      </c>
      <c r="M2938" s="0" t="n">
        <f aca="false">H2938</f>
        <v>1</v>
      </c>
      <c r="N2938" s="0" t="n">
        <f aca="false">E2938*F2938</f>
        <v>-0</v>
      </c>
      <c r="O2938" s="0" t="n">
        <f aca="false">E2938*G2938</f>
        <v>-0</v>
      </c>
      <c r="P2938" s="0" t="n">
        <f aca="false">E2938*H2938</f>
        <v>0</v>
      </c>
      <c r="Q2938" s="0" t="n">
        <f aca="false">F2938*G2938</f>
        <v>0.75</v>
      </c>
      <c r="R2938" s="0" t="n">
        <f aca="false">F2938*H2938</f>
        <v>-1</v>
      </c>
      <c r="S2938" s="0" t="n">
        <f aca="false">G2938*H2938</f>
        <v>-0.75</v>
      </c>
      <c r="T2938" s="0" t="n">
        <f aca="false">E2938*E2938</f>
        <v>0</v>
      </c>
      <c r="U2938" s="0" t="n">
        <f aca="false">F2938*F2938</f>
        <v>1</v>
      </c>
      <c r="V2938" s="0" t="n">
        <f aca="false">G2938*G2938</f>
        <v>0.5625</v>
      </c>
      <c r="W2938" s="0" t="n">
        <f aca="false">H2938*H2938</f>
        <v>1</v>
      </c>
      <c r="X2938" s="0" t="n">
        <f aca="false">SUMPRODUCT(I2938:W2938,_XtX!$B$96:$P$96)</f>
        <v>42.3639619883041</v>
      </c>
      <c r="Y2938" s="0" t="n">
        <f aca="false">SUMPRODUCT(MMULT(I2938:W2938,_XtX!$B$78:$P$92),I2938:W2938)</f>
        <v>0.646198830409357</v>
      </c>
      <c r="Z2938" s="0" t="n">
        <f aca="false">04_回帰ANOVA!$K$19*04_回帰ANOVA!$K$14*SQRT(1+Y2938)</f>
        <v>1.67239760569756</v>
      </c>
      <c r="AA2938" s="0" t="n">
        <f aca="false">X2938-Z2938</f>
        <v>40.6915643826065</v>
      </c>
      <c r="AB2938" s="0" t="n">
        <f aca="false">X2938+Z2938</f>
        <v>44.0363595940016</v>
      </c>
      <c r="AC2938" s="54" t="b">
        <f aca="false">AND(E2938&gt;=01_因子設定!$L$5-0.000000001,E2938&lt;=01_因子設定!$M$5+0.000000001,F2938&gt;=01_因子設定!$L$6-0.000000001,F2938&lt;=01_因子設定!$M$6+0.000000001,G2938&gt;=01_因子設定!$L$7-0.000000001,G2938&lt;=01_因子設定!$M$7+0.000000001,H2938&gt;=01_因子設定!$L$8-0.000000001,H2938&lt;=01_因子設定!$M$8+0.000000001,IF(01_因子設定!$B$20="Box-Behnken",E2938^2+F2938^2+G2938^2+H2938^2&lt;=2+0.000000001,TRUE()))</f>
        <v>1</v>
      </c>
      <c r="AD2938" s="55" t="n">
        <f aca="false">IF(AC2938,IF(01_因子設定!$B$13="最大化",AA2938-01_因子設定!$B$14,IF(01_因子設定!$B$13="最小化",01_因子設定!$B$15-AB2938,MIN(AA2938-01_因子設定!$B$14,01_因子設定!$B$15-AB2938))),-1E+030)</f>
        <v>-5.80843561739349</v>
      </c>
      <c r="AE2938" s="55" t="n">
        <f aca="false">IF(AC2938,IF(01_因子設定!$B$13="最大化",X2938,IF(01_因子設定!$B$13="最小化",-X2938,-ABS(X2938-01_因子設定!$B$16))),-1E+030)</f>
        <v>42.3639619883041</v>
      </c>
      <c r="AF2938" s="55" t="n">
        <f aca="false">AD2938+ROW()*0.000000001</f>
        <v>-5.80843267939349</v>
      </c>
      <c r="AG2938" s="55" t="n">
        <f aca="false">AE2938+ROW()*0.000000001</f>
        <v>42.3639649263041</v>
      </c>
    </row>
    <row r="2939" customFormat="false" ht="15" hidden="false" customHeight="false" outlineLevel="0" collapsed="false">
      <c r="A2939" s="0" t="n">
        <v>4</v>
      </c>
      <c r="B2939" s="0" t="n">
        <v>0</v>
      </c>
      <c r="C2939" s="0" t="n">
        <v>2</v>
      </c>
      <c r="D2939" s="0" t="n">
        <v>0</v>
      </c>
      <c r="E2939" s="0" t="n">
        <f aca="false">-1+A2939*0.25</f>
        <v>0</v>
      </c>
      <c r="F2939" s="0" t="n">
        <f aca="false">-1+B2939*0.25</f>
        <v>-1</v>
      </c>
      <c r="G2939" s="0" t="n">
        <f aca="false">-1+C2939*0.25</f>
        <v>-0.5</v>
      </c>
      <c r="H2939" s="0" t="n">
        <f aca="false">-1+D2939*0.25</f>
        <v>-1</v>
      </c>
      <c r="I2939" s="0" t="n">
        <f aca="false">1</f>
        <v>1</v>
      </c>
      <c r="J2939" s="0" t="n">
        <f aca="false">E2939</f>
        <v>0</v>
      </c>
      <c r="K2939" s="0" t="n">
        <f aca="false">F2939</f>
        <v>-1</v>
      </c>
      <c r="L2939" s="0" t="n">
        <f aca="false">G2939</f>
        <v>-0.5</v>
      </c>
      <c r="M2939" s="0" t="n">
        <f aca="false">H2939</f>
        <v>-1</v>
      </c>
      <c r="N2939" s="0" t="n">
        <f aca="false">E2939*F2939</f>
        <v>-0</v>
      </c>
      <c r="O2939" s="0" t="n">
        <f aca="false">E2939*G2939</f>
        <v>-0</v>
      </c>
      <c r="P2939" s="0" t="n">
        <f aca="false">E2939*H2939</f>
        <v>-0</v>
      </c>
      <c r="Q2939" s="0" t="n">
        <f aca="false">F2939*G2939</f>
        <v>0.5</v>
      </c>
      <c r="R2939" s="0" t="n">
        <f aca="false">F2939*H2939</f>
        <v>1</v>
      </c>
      <c r="S2939" s="0" t="n">
        <f aca="false">G2939*H2939</f>
        <v>0.5</v>
      </c>
      <c r="T2939" s="0" t="n">
        <f aca="false">E2939*E2939</f>
        <v>0</v>
      </c>
      <c r="U2939" s="0" t="n">
        <f aca="false">F2939*F2939</f>
        <v>1</v>
      </c>
      <c r="V2939" s="0" t="n">
        <f aca="false">G2939*G2939</f>
        <v>0.25</v>
      </c>
      <c r="W2939" s="0" t="n">
        <f aca="false">H2939*H2939</f>
        <v>1</v>
      </c>
      <c r="X2939" s="0" t="n">
        <f aca="false">SUMPRODUCT(I2939:W2939,_XtX!$B$96:$P$96)</f>
        <v>41.8682017543859</v>
      </c>
      <c r="Y2939" s="0" t="n">
        <f aca="false">SUMPRODUCT(MMULT(I2939:W2939,_XtX!$B$78:$P$92),I2939:W2939)</f>
        <v>0.650767543859649</v>
      </c>
      <c r="Z2939" s="0" t="n">
        <f aca="false">04_回帰ANOVA!$K$19*04_回帰ANOVA!$K$14*SQRT(1+Y2939)</f>
        <v>1.67471670935165</v>
      </c>
      <c r="AA2939" s="0" t="n">
        <f aca="false">X2939-Z2939</f>
        <v>40.1934850450343</v>
      </c>
      <c r="AB2939" s="0" t="n">
        <f aca="false">X2939+Z2939</f>
        <v>43.5429184637376</v>
      </c>
      <c r="AC2939" s="54" t="b">
        <f aca="false">AND(E2939&gt;=01_因子設定!$L$5-0.000000001,E2939&lt;=01_因子設定!$M$5+0.000000001,F2939&gt;=01_因子設定!$L$6-0.000000001,F2939&lt;=01_因子設定!$M$6+0.000000001,G2939&gt;=01_因子設定!$L$7-0.000000001,G2939&lt;=01_因子設定!$M$7+0.000000001,H2939&gt;=01_因子設定!$L$8-0.000000001,H2939&lt;=01_因子設定!$M$8+0.000000001,IF(01_因子設定!$B$20="Box-Behnken",E2939^2+F2939^2+G2939^2+H2939^2&lt;=2+0.000000001,TRUE()))</f>
        <v>1</v>
      </c>
      <c r="AD2939" s="55" t="n">
        <f aca="false">IF(AC2939,IF(01_因子設定!$B$13="最大化",AA2939-01_因子設定!$B$14,IF(01_因子設定!$B$13="最小化",01_因子設定!$B$15-AB2939,MIN(AA2939-01_因子設定!$B$14,01_因子設定!$B$15-AB2939))),-1E+030)</f>
        <v>-6.30651495496571</v>
      </c>
      <c r="AE2939" s="55" t="n">
        <f aca="false">IF(AC2939,IF(01_因子設定!$B$13="最大化",X2939,IF(01_因子設定!$B$13="最小化",-X2939,-ABS(X2939-01_因子設定!$B$16))),-1E+030)</f>
        <v>41.8682017543859</v>
      </c>
      <c r="AF2939" s="55" t="n">
        <f aca="false">AD2939+ROW()*0.000000001</f>
        <v>-6.30651201596571</v>
      </c>
      <c r="AG2939" s="55" t="n">
        <f aca="false">AE2939+ROW()*0.000000001</f>
        <v>41.8682046933859</v>
      </c>
    </row>
    <row r="2940" customFormat="false" ht="15" hidden="false" customHeight="false" outlineLevel="0" collapsed="false">
      <c r="A2940" s="0" t="n">
        <v>4</v>
      </c>
      <c r="B2940" s="0" t="n">
        <v>0</v>
      </c>
      <c r="C2940" s="0" t="n">
        <v>2</v>
      </c>
      <c r="D2940" s="0" t="n">
        <v>1</v>
      </c>
      <c r="E2940" s="0" t="n">
        <f aca="false">-1+A2940*0.25</f>
        <v>0</v>
      </c>
      <c r="F2940" s="0" t="n">
        <f aca="false">-1+B2940*0.25</f>
        <v>-1</v>
      </c>
      <c r="G2940" s="0" t="n">
        <f aca="false">-1+C2940*0.25</f>
        <v>-0.5</v>
      </c>
      <c r="H2940" s="0" t="n">
        <f aca="false">-1+D2940*0.25</f>
        <v>-0.75</v>
      </c>
      <c r="I2940" s="0" t="n">
        <f aca="false">1</f>
        <v>1</v>
      </c>
      <c r="J2940" s="0" t="n">
        <f aca="false">E2940</f>
        <v>0</v>
      </c>
      <c r="K2940" s="0" t="n">
        <f aca="false">F2940</f>
        <v>-1</v>
      </c>
      <c r="L2940" s="0" t="n">
        <f aca="false">G2940</f>
        <v>-0.5</v>
      </c>
      <c r="M2940" s="0" t="n">
        <f aca="false">H2940</f>
        <v>-0.75</v>
      </c>
      <c r="N2940" s="0" t="n">
        <f aca="false">E2940*F2940</f>
        <v>-0</v>
      </c>
      <c r="O2940" s="0" t="n">
        <f aca="false">E2940*G2940</f>
        <v>-0</v>
      </c>
      <c r="P2940" s="0" t="n">
        <f aca="false">E2940*H2940</f>
        <v>-0</v>
      </c>
      <c r="Q2940" s="0" t="n">
        <f aca="false">F2940*G2940</f>
        <v>0.5</v>
      </c>
      <c r="R2940" s="0" t="n">
        <f aca="false">F2940*H2940</f>
        <v>0.75</v>
      </c>
      <c r="S2940" s="0" t="n">
        <f aca="false">G2940*H2940</f>
        <v>0.375</v>
      </c>
      <c r="T2940" s="0" t="n">
        <f aca="false">E2940*E2940</f>
        <v>0</v>
      </c>
      <c r="U2940" s="0" t="n">
        <f aca="false">F2940*F2940</f>
        <v>1</v>
      </c>
      <c r="V2940" s="0" t="n">
        <f aca="false">G2940*G2940</f>
        <v>0.25</v>
      </c>
      <c r="W2940" s="0" t="n">
        <f aca="false">H2940*H2940</f>
        <v>0.5625</v>
      </c>
      <c r="X2940" s="0" t="n">
        <f aca="false">SUMPRODUCT(I2940:W2940,_XtX!$B$96:$P$96)</f>
        <v>42.1541027046783</v>
      </c>
      <c r="Y2940" s="0" t="n">
        <f aca="false">SUMPRODUCT(MMULT(I2940:W2940,_XtX!$B$78:$P$92),I2940:W2940)</f>
        <v>0.476191292032164</v>
      </c>
      <c r="Z2940" s="0" t="n">
        <f aca="false">04_回帰ANOVA!$K$19*04_回帰ANOVA!$K$14*SQRT(1+Y2940)</f>
        <v>1.58368831471718</v>
      </c>
      <c r="AA2940" s="0" t="n">
        <f aca="false">X2940-Z2940</f>
        <v>40.5704143899611</v>
      </c>
      <c r="AB2940" s="0" t="n">
        <f aca="false">X2940+Z2940</f>
        <v>43.7377910193955</v>
      </c>
      <c r="AC2940" s="54" t="b">
        <f aca="false">AND(E2940&gt;=01_因子設定!$L$5-0.000000001,E2940&lt;=01_因子設定!$M$5+0.000000001,F2940&gt;=01_因子設定!$L$6-0.000000001,F2940&lt;=01_因子設定!$M$6+0.000000001,G2940&gt;=01_因子設定!$L$7-0.000000001,G2940&lt;=01_因子設定!$M$7+0.000000001,H2940&gt;=01_因子設定!$L$8-0.000000001,H2940&lt;=01_因子設定!$M$8+0.000000001,IF(01_因子設定!$B$20="Box-Behnken",E2940^2+F2940^2+G2940^2+H2940^2&lt;=2+0.000000001,TRUE()))</f>
        <v>1</v>
      </c>
      <c r="AD2940" s="55" t="n">
        <f aca="false">IF(AC2940,IF(01_因子設定!$B$13="最大化",AA2940-01_因子設定!$B$14,IF(01_因子設定!$B$13="最小化",01_因子設定!$B$15-AB2940,MIN(AA2940-01_因子設定!$B$14,01_因子設定!$B$15-AB2940))),-1E+030)</f>
        <v>-5.92958561003886</v>
      </c>
      <c r="AE2940" s="55" t="n">
        <f aca="false">IF(AC2940,IF(01_因子設定!$B$13="最大化",X2940,IF(01_因子設定!$B$13="最小化",-X2940,-ABS(X2940-01_因子設定!$B$16))),-1E+030)</f>
        <v>42.1541027046783</v>
      </c>
      <c r="AF2940" s="55" t="n">
        <f aca="false">AD2940+ROW()*0.000000001</f>
        <v>-5.92958267003886</v>
      </c>
      <c r="AG2940" s="55" t="n">
        <f aca="false">AE2940+ROW()*0.000000001</f>
        <v>42.1541056446783</v>
      </c>
    </row>
    <row r="2941" customFormat="false" ht="15" hidden="false" customHeight="false" outlineLevel="0" collapsed="false">
      <c r="A2941" s="0" t="n">
        <v>4</v>
      </c>
      <c r="B2941" s="0" t="n">
        <v>0</v>
      </c>
      <c r="C2941" s="0" t="n">
        <v>2</v>
      </c>
      <c r="D2941" s="0" t="n">
        <v>2</v>
      </c>
      <c r="E2941" s="0" t="n">
        <f aca="false">-1+A2941*0.25</f>
        <v>0</v>
      </c>
      <c r="F2941" s="0" t="n">
        <f aca="false">-1+B2941*0.25</f>
        <v>-1</v>
      </c>
      <c r="G2941" s="0" t="n">
        <f aca="false">-1+C2941*0.25</f>
        <v>-0.5</v>
      </c>
      <c r="H2941" s="0" t="n">
        <f aca="false">-1+D2941*0.25</f>
        <v>-0.5</v>
      </c>
      <c r="I2941" s="0" t="n">
        <f aca="false">1</f>
        <v>1</v>
      </c>
      <c r="J2941" s="0" t="n">
        <f aca="false">E2941</f>
        <v>0</v>
      </c>
      <c r="K2941" s="0" t="n">
        <f aca="false">F2941</f>
        <v>-1</v>
      </c>
      <c r="L2941" s="0" t="n">
        <f aca="false">G2941</f>
        <v>-0.5</v>
      </c>
      <c r="M2941" s="0" t="n">
        <f aca="false">H2941</f>
        <v>-0.5</v>
      </c>
      <c r="N2941" s="0" t="n">
        <f aca="false">E2941*F2941</f>
        <v>-0</v>
      </c>
      <c r="O2941" s="0" t="n">
        <f aca="false">E2941*G2941</f>
        <v>-0</v>
      </c>
      <c r="P2941" s="0" t="n">
        <f aca="false">E2941*H2941</f>
        <v>-0</v>
      </c>
      <c r="Q2941" s="0" t="n">
        <f aca="false">F2941*G2941</f>
        <v>0.5</v>
      </c>
      <c r="R2941" s="0" t="n">
        <f aca="false">F2941*H2941</f>
        <v>0.5</v>
      </c>
      <c r="S2941" s="0" t="n">
        <f aca="false">G2941*H2941</f>
        <v>0.25</v>
      </c>
      <c r="T2941" s="0" t="n">
        <f aca="false">E2941*E2941</f>
        <v>0</v>
      </c>
      <c r="U2941" s="0" t="n">
        <f aca="false">F2941*F2941</f>
        <v>1</v>
      </c>
      <c r="V2941" s="0" t="n">
        <f aca="false">G2941*G2941</f>
        <v>0.25</v>
      </c>
      <c r="W2941" s="0" t="n">
        <f aca="false">H2941*H2941</f>
        <v>0.25</v>
      </c>
      <c r="X2941" s="0" t="n">
        <f aca="false">SUMPRODUCT(I2941:W2941,_XtX!$B$96:$P$96)</f>
        <v>42.3921966374268</v>
      </c>
      <c r="Y2941" s="0" t="n">
        <f aca="false">SUMPRODUCT(MMULT(I2941:W2941,_XtX!$B$78:$P$92),I2941:W2941)</f>
        <v>0.441954495614035</v>
      </c>
      <c r="Z2941" s="0" t="n">
        <f aca="false">04_回帰ANOVA!$K$19*04_回帰ANOVA!$K$14*SQRT(1+Y2941)</f>
        <v>1.56521560968066</v>
      </c>
      <c r="AA2941" s="0" t="n">
        <f aca="false">X2941-Z2941</f>
        <v>40.8269810277462</v>
      </c>
      <c r="AB2941" s="0" t="n">
        <f aca="false">X2941+Z2941</f>
        <v>43.9574122471075</v>
      </c>
      <c r="AC2941" s="54" t="b">
        <f aca="false">AND(E2941&gt;=01_因子設定!$L$5-0.000000001,E2941&lt;=01_因子設定!$M$5+0.000000001,F2941&gt;=01_因子設定!$L$6-0.000000001,F2941&lt;=01_因子設定!$M$6+0.000000001,G2941&gt;=01_因子設定!$L$7-0.000000001,G2941&lt;=01_因子設定!$M$7+0.000000001,H2941&gt;=01_因子設定!$L$8-0.000000001,H2941&lt;=01_因子設定!$M$8+0.000000001,IF(01_因子設定!$B$20="Box-Behnken",E2941^2+F2941^2+G2941^2+H2941^2&lt;=2+0.000000001,TRUE()))</f>
        <v>1</v>
      </c>
      <c r="AD2941" s="55" t="n">
        <f aca="false">IF(AC2941,IF(01_因子設定!$B$13="最大化",AA2941-01_因子設定!$B$14,IF(01_因子設定!$B$13="最小化",01_因子設定!$B$15-AB2941,MIN(AA2941-01_因子設定!$B$14,01_因子設定!$B$15-AB2941))),-1E+030)</f>
        <v>-5.67301897225382</v>
      </c>
      <c r="AE2941" s="55" t="n">
        <f aca="false">IF(AC2941,IF(01_因子設定!$B$13="最大化",X2941,IF(01_因子設定!$B$13="最小化",-X2941,-ABS(X2941-01_因子設定!$B$16))),-1E+030)</f>
        <v>42.3921966374268</v>
      </c>
      <c r="AF2941" s="55" t="n">
        <f aca="false">AD2941+ROW()*0.000000001</f>
        <v>-5.67301603125382</v>
      </c>
      <c r="AG2941" s="55" t="n">
        <f aca="false">AE2941+ROW()*0.000000001</f>
        <v>42.3921995784268</v>
      </c>
    </row>
    <row r="2942" customFormat="false" ht="15" hidden="false" customHeight="false" outlineLevel="0" collapsed="false">
      <c r="A2942" s="0" t="n">
        <v>4</v>
      </c>
      <c r="B2942" s="0" t="n">
        <v>0</v>
      </c>
      <c r="C2942" s="0" t="n">
        <v>2</v>
      </c>
      <c r="D2942" s="0" t="n">
        <v>3</v>
      </c>
      <c r="E2942" s="0" t="n">
        <f aca="false">-1+A2942*0.25</f>
        <v>0</v>
      </c>
      <c r="F2942" s="0" t="n">
        <f aca="false">-1+B2942*0.25</f>
        <v>-1</v>
      </c>
      <c r="G2942" s="0" t="n">
        <f aca="false">-1+C2942*0.25</f>
        <v>-0.5</v>
      </c>
      <c r="H2942" s="0" t="n">
        <f aca="false">-1+D2942*0.25</f>
        <v>-0.25</v>
      </c>
      <c r="I2942" s="0" t="n">
        <f aca="false">1</f>
        <v>1</v>
      </c>
      <c r="J2942" s="0" t="n">
        <f aca="false">E2942</f>
        <v>0</v>
      </c>
      <c r="K2942" s="0" t="n">
        <f aca="false">F2942</f>
        <v>-1</v>
      </c>
      <c r="L2942" s="0" t="n">
        <f aca="false">G2942</f>
        <v>-0.5</v>
      </c>
      <c r="M2942" s="0" t="n">
        <f aca="false">H2942</f>
        <v>-0.25</v>
      </c>
      <c r="N2942" s="0" t="n">
        <f aca="false">E2942*F2942</f>
        <v>-0</v>
      </c>
      <c r="O2942" s="0" t="n">
        <f aca="false">E2942*G2942</f>
        <v>-0</v>
      </c>
      <c r="P2942" s="0" t="n">
        <f aca="false">E2942*H2942</f>
        <v>-0</v>
      </c>
      <c r="Q2942" s="0" t="n">
        <f aca="false">F2942*G2942</f>
        <v>0.5</v>
      </c>
      <c r="R2942" s="0" t="n">
        <f aca="false">F2942*H2942</f>
        <v>0.25</v>
      </c>
      <c r="S2942" s="0" t="n">
        <f aca="false">G2942*H2942</f>
        <v>0.125</v>
      </c>
      <c r="T2942" s="0" t="n">
        <f aca="false">E2942*E2942</f>
        <v>0</v>
      </c>
      <c r="U2942" s="0" t="n">
        <f aca="false">F2942*F2942</f>
        <v>1</v>
      </c>
      <c r="V2942" s="0" t="n">
        <f aca="false">G2942*G2942</f>
        <v>0.25</v>
      </c>
      <c r="W2942" s="0" t="n">
        <f aca="false">H2942*H2942</f>
        <v>0.0625</v>
      </c>
      <c r="X2942" s="0" t="n">
        <f aca="false">SUMPRODUCT(I2942:W2942,_XtX!$B$96:$P$96)</f>
        <v>42.5824835526315</v>
      </c>
      <c r="Y2942" s="0" t="n">
        <f aca="false">SUMPRODUCT(MMULT(I2942:W2942,_XtX!$B$78:$P$92),I2942:W2942)</f>
        <v>0.457596628289474</v>
      </c>
      <c r="Z2942" s="0" t="n">
        <f aca="false">04_回帰ANOVA!$K$19*04_回帰ANOVA!$K$14*SQRT(1+Y2942)</f>
        <v>1.57368233664366</v>
      </c>
      <c r="AA2942" s="0" t="n">
        <f aca="false">X2942-Z2942</f>
        <v>41.0088012159879</v>
      </c>
      <c r="AB2942" s="0" t="n">
        <f aca="false">X2942+Z2942</f>
        <v>44.1561658892752</v>
      </c>
      <c r="AC2942" s="54" t="b">
        <f aca="false">AND(E2942&gt;=01_因子設定!$L$5-0.000000001,E2942&lt;=01_因子設定!$M$5+0.000000001,F2942&gt;=01_因子設定!$L$6-0.000000001,F2942&lt;=01_因子設定!$M$6+0.000000001,G2942&gt;=01_因子設定!$L$7-0.000000001,G2942&lt;=01_因子設定!$M$7+0.000000001,H2942&gt;=01_因子設定!$L$8-0.000000001,H2942&lt;=01_因子設定!$M$8+0.000000001,IF(01_因子設定!$B$20="Box-Behnken",E2942^2+F2942^2+G2942^2+H2942^2&lt;=2+0.000000001,TRUE()))</f>
        <v>1</v>
      </c>
      <c r="AD2942" s="55" t="n">
        <f aca="false">IF(AC2942,IF(01_因子設定!$B$13="最大化",AA2942-01_因子設定!$B$14,IF(01_因子設定!$B$13="最小化",01_因子設定!$B$15-AB2942,MIN(AA2942-01_因子設定!$B$14,01_因子設定!$B$15-AB2942))),-1E+030)</f>
        <v>-5.49119878401214</v>
      </c>
      <c r="AE2942" s="55" t="n">
        <f aca="false">IF(AC2942,IF(01_因子設定!$B$13="最大化",X2942,IF(01_因子設定!$B$13="最小化",-X2942,-ABS(X2942-01_因子設定!$B$16))),-1E+030)</f>
        <v>42.5824835526315</v>
      </c>
      <c r="AF2942" s="55" t="n">
        <f aca="false">AD2942+ROW()*0.000000001</f>
        <v>-5.49119584201214</v>
      </c>
      <c r="AG2942" s="55" t="n">
        <f aca="false">AE2942+ROW()*0.000000001</f>
        <v>42.5824864946315</v>
      </c>
    </row>
    <row r="2943" customFormat="false" ht="15" hidden="false" customHeight="false" outlineLevel="0" collapsed="false">
      <c r="A2943" s="0" t="n">
        <v>4</v>
      </c>
      <c r="B2943" s="0" t="n">
        <v>0</v>
      </c>
      <c r="C2943" s="0" t="n">
        <v>2</v>
      </c>
      <c r="D2943" s="0" t="n">
        <v>4</v>
      </c>
      <c r="E2943" s="0" t="n">
        <f aca="false">-1+A2943*0.25</f>
        <v>0</v>
      </c>
      <c r="F2943" s="0" t="n">
        <f aca="false">-1+B2943*0.25</f>
        <v>-1</v>
      </c>
      <c r="G2943" s="0" t="n">
        <f aca="false">-1+C2943*0.25</f>
        <v>-0.5</v>
      </c>
      <c r="H2943" s="0" t="n">
        <f aca="false">-1+D2943*0.25</f>
        <v>0</v>
      </c>
      <c r="I2943" s="0" t="n">
        <f aca="false">1</f>
        <v>1</v>
      </c>
      <c r="J2943" s="0" t="n">
        <f aca="false">E2943</f>
        <v>0</v>
      </c>
      <c r="K2943" s="0" t="n">
        <f aca="false">F2943</f>
        <v>-1</v>
      </c>
      <c r="L2943" s="0" t="n">
        <f aca="false">G2943</f>
        <v>-0.5</v>
      </c>
      <c r="M2943" s="0" t="n">
        <f aca="false">H2943</f>
        <v>0</v>
      </c>
      <c r="N2943" s="0" t="n">
        <f aca="false">E2943*F2943</f>
        <v>-0</v>
      </c>
      <c r="O2943" s="0" t="n">
        <f aca="false">E2943*G2943</f>
        <v>-0</v>
      </c>
      <c r="P2943" s="0" t="n">
        <f aca="false">E2943*H2943</f>
        <v>0</v>
      </c>
      <c r="Q2943" s="0" t="n">
        <f aca="false">F2943*G2943</f>
        <v>0.5</v>
      </c>
      <c r="R2943" s="0" t="n">
        <f aca="false">F2943*H2943</f>
        <v>-0</v>
      </c>
      <c r="S2943" s="0" t="n">
        <f aca="false">G2943*H2943</f>
        <v>-0</v>
      </c>
      <c r="T2943" s="0" t="n">
        <f aca="false">E2943*E2943</f>
        <v>0</v>
      </c>
      <c r="U2943" s="0" t="n">
        <f aca="false">F2943*F2943</f>
        <v>1</v>
      </c>
      <c r="V2943" s="0" t="n">
        <f aca="false">G2943*G2943</f>
        <v>0.25</v>
      </c>
      <c r="W2943" s="0" t="n">
        <f aca="false">H2943*H2943</f>
        <v>0</v>
      </c>
      <c r="X2943" s="0" t="n">
        <f aca="false">SUMPRODUCT(I2943:W2943,_XtX!$B$96:$P$96)</f>
        <v>42.7249634502923</v>
      </c>
      <c r="Y2943" s="0" t="n">
        <f aca="false">SUMPRODUCT(MMULT(I2943:W2943,_XtX!$B$78:$P$92),I2943:W2943)</f>
        <v>0.468841374269006</v>
      </c>
      <c r="Z2943" s="0" t="n">
        <f aca="false">04_回帰ANOVA!$K$19*04_回帰ANOVA!$K$14*SQRT(1+Y2943)</f>
        <v>1.57974082366087</v>
      </c>
      <c r="AA2943" s="0" t="n">
        <f aca="false">X2943-Z2943</f>
        <v>41.1452226266315</v>
      </c>
      <c r="AB2943" s="0" t="n">
        <f aca="false">X2943+Z2943</f>
        <v>44.3047042739532</v>
      </c>
      <c r="AC2943" s="54" t="b">
        <f aca="false">AND(E2943&gt;=01_因子設定!$L$5-0.000000001,E2943&lt;=01_因子設定!$M$5+0.000000001,F2943&gt;=01_因子設定!$L$6-0.000000001,F2943&lt;=01_因子設定!$M$6+0.000000001,G2943&gt;=01_因子設定!$L$7-0.000000001,G2943&lt;=01_因子設定!$M$7+0.000000001,H2943&gt;=01_因子設定!$L$8-0.000000001,H2943&lt;=01_因子設定!$M$8+0.000000001,IF(01_因子設定!$B$20="Box-Behnken",E2943^2+F2943^2+G2943^2+H2943^2&lt;=2+0.000000001,TRUE()))</f>
        <v>1</v>
      </c>
      <c r="AD2943" s="55" t="n">
        <f aca="false">IF(AC2943,IF(01_因子設定!$B$13="最大化",AA2943-01_因子設定!$B$14,IF(01_因子設定!$B$13="最小化",01_因子設定!$B$15-AB2943,MIN(AA2943-01_因子設定!$B$14,01_因子設定!$B$15-AB2943))),-1E+030)</f>
        <v>-5.35477737336855</v>
      </c>
      <c r="AE2943" s="55" t="n">
        <f aca="false">IF(AC2943,IF(01_因子設定!$B$13="最大化",X2943,IF(01_因子設定!$B$13="最小化",-X2943,-ABS(X2943-01_因子設定!$B$16))),-1E+030)</f>
        <v>42.7249634502923</v>
      </c>
      <c r="AF2943" s="55" t="n">
        <f aca="false">AD2943+ROW()*0.000000001</f>
        <v>-5.35477443036855</v>
      </c>
      <c r="AG2943" s="55" t="n">
        <f aca="false">AE2943+ROW()*0.000000001</f>
        <v>42.7249663932923</v>
      </c>
    </row>
    <row r="2944" customFormat="false" ht="15" hidden="false" customHeight="false" outlineLevel="0" collapsed="false">
      <c r="A2944" s="0" t="n">
        <v>4</v>
      </c>
      <c r="B2944" s="0" t="n">
        <v>0</v>
      </c>
      <c r="C2944" s="0" t="n">
        <v>2</v>
      </c>
      <c r="D2944" s="0" t="n">
        <v>5</v>
      </c>
      <c r="E2944" s="0" t="n">
        <f aca="false">-1+A2944*0.25</f>
        <v>0</v>
      </c>
      <c r="F2944" s="0" t="n">
        <f aca="false">-1+B2944*0.25</f>
        <v>-1</v>
      </c>
      <c r="G2944" s="0" t="n">
        <f aca="false">-1+C2944*0.25</f>
        <v>-0.5</v>
      </c>
      <c r="H2944" s="0" t="n">
        <f aca="false">-1+D2944*0.25</f>
        <v>0.25</v>
      </c>
      <c r="I2944" s="0" t="n">
        <f aca="false">1</f>
        <v>1</v>
      </c>
      <c r="J2944" s="0" t="n">
        <f aca="false">E2944</f>
        <v>0</v>
      </c>
      <c r="K2944" s="0" t="n">
        <f aca="false">F2944</f>
        <v>-1</v>
      </c>
      <c r="L2944" s="0" t="n">
        <f aca="false">G2944</f>
        <v>-0.5</v>
      </c>
      <c r="M2944" s="0" t="n">
        <f aca="false">H2944</f>
        <v>0.25</v>
      </c>
      <c r="N2944" s="0" t="n">
        <f aca="false">E2944*F2944</f>
        <v>-0</v>
      </c>
      <c r="O2944" s="0" t="n">
        <f aca="false">E2944*G2944</f>
        <v>-0</v>
      </c>
      <c r="P2944" s="0" t="n">
        <f aca="false">E2944*H2944</f>
        <v>0</v>
      </c>
      <c r="Q2944" s="0" t="n">
        <f aca="false">F2944*G2944</f>
        <v>0.5</v>
      </c>
      <c r="R2944" s="0" t="n">
        <f aca="false">F2944*H2944</f>
        <v>-0.25</v>
      </c>
      <c r="S2944" s="0" t="n">
        <f aca="false">G2944*H2944</f>
        <v>-0.125</v>
      </c>
      <c r="T2944" s="0" t="n">
        <f aca="false">E2944*E2944</f>
        <v>0</v>
      </c>
      <c r="U2944" s="0" t="n">
        <f aca="false">F2944*F2944</f>
        <v>1</v>
      </c>
      <c r="V2944" s="0" t="n">
        <f aca="false">G2944*G2944</f>
        <v>0.25</v>
      </c>
      <c r="W2944" s="0" t="n">
        <f aca="false">H2944*H2944</f>
        <v>0.0625</v>
      </c>
      <c r="X2944" s="0" t="n">
        <f aca="false">SUMPRODUCT(I2944:W2944,_XtX!$B$96:$P$96)</f>
        <v>42.8196363304093</v>
      </c>
      <c r="Y2944" s="0" t="n">
        <f aca="false">SUMPRODUCT(MMULT(I2944:W2944,_XtX!$B$78:$P$92),I2944:W2944)</f>
        <v>0.457596628289474</v>
      </c>
      <c r="Z2944" s="0" t="n">
        <f aca="false">04_回帰ANOVA!$K$19*04_回帰ANOVA!$K$14*SQRT(1+Y2944)</f>
        <v>1.57368233664366</v>
      </c>
      <c r="AA2944" s="0" t="n">
        <f aca="false">X2944-Z2944</f>
        <v>41.2459539937656</v>
      </c>
      <c r="AB2944" s="0" t="n">
        <f aca="false">X2944+Z2944</f>
        <v>44.393318667053</v>
      </c>
      <c r="AC2944" s="54" t="b">
        <f aca="false">AND(E2944&gt;=01_因子設定!$L$5-0.000000001,E2944&lt;=01_因子設定!$M$5+0.000000001,F2944&gt;=01_因子設定!$L$6-0.000000001,F2944&lt;=01_因子設定!$M$6+0.000000001,G2944&gt;=01_因子設定!$L$7-0.000000001,G2944&lt;=01_因子設定!$M$7+0.000000001,H2944&gt;=01_因子設定!$L$8-0.000000001,H2944&lt;=01_因子設定!$M$8+0.000000001,IF(01_因子設定!$B$20="Box-Behnken",E2944^2+F2944^2+G2944^2+H2944^2&lt;=2+0.000000001,TRUE()))</f>
        <v>1</v>
      </c>
      <c r="AD2944" s="55" t="n">
        <f aca="false">IF(AC2944,IF(01_因子設定!$B$13="最大化",AA2944-01_因子設定!$B$14,IF(01_因子設定!$B$13="最小化",01_因子設定!$B$15-AB2944,MIN(AA2944-01_因子設定!$B$14,01_因子設定!$B$15-AB2944))),-1E+030)</f>
        <v>-5.25404600623436</v>
      </c>
      <c r="AE2944" s="55" t="n">
        <f aca="false">IF(AC2944,IF(01_因子設定!$B$13="最大化",X2944,IF(01_因子設定!$B$13="最小化",-X2944,-ABS(X2944-01_因子設定!$B$16))),-1E+030)</f>
        <v>42.8196363304093</v>
      </c>
      <c r="AF2944" s="55" t="n">
        <f aca="false">AD2944+ROW()*0.000000001</f>
        <v>-5.25404306223436</v>
      </c>
      <c r="AG2944" s="55" t="n">
        <f aca="false">AE2944+ROW()*0.000000001</f>
        <v>42.8196392744093</v>
      </c>
    </row>
    <row r="2945" customFormat="false" ht="15" hidden="false" customHeight="false" outlineLevel="0" collapsed="false">
      <c r="A2945" s="0" t="n">
        <v>4</v>
      </c>
      <c r="B2945" s="0" t="n">
        <v>0</v>
      </c>
      <c r="C2945" s="0" t="n">
        <v>2</v>
      </c>
      <c r="D2945" s="0" t="n">
        <v>6</v>
      </c>
      <c r="E2945" s="0" t="n">
        <f aca="false">-1+A2945*0.25</f>
        <v>0</v>
      </c>
      <c r="F2945" s="0" t="n">
        <f aca="false">-1+B2945*0.25</f>
        <v>-1</v>
      </c>
      <c r="G2945" s="0" t="n">
        <f aca="false">-1+C2945*0.25</f>
        <v>-0.5</v>
      </c>
      <c r="H2945" s="0" t="n">
        <f aca="false">-1+D2945*0.25</f>
        <v>0.5</v>
      </c>
      <c r="I2945" s="0" t="n">
        <f aca="false">1</f>
        <v>1</v>
      </c>
      <c r="J2945" s="0" t="n">
        <f aca="false">E2945</f>
        <v>0</v>
      </c>
      <c r="K2945" s="0" t="n">
        <f aca="false">F2945</f>
        <v>-1</v>
      </c>
      <c r="L2945" s="0" t="n">
        <f aca="false">G2945</f>
        <v>-0.5</v>
      </c>
      <c r="M2945" s="0" t="n">
        <f aca="false">H2945</f>
        <v>0.5</v>
      </c>
      <c r="N2945" s="0" t="n">
        <f aca="false">E2945*F2945</f>
        <v>-0</v>
      </c>
      <c r="O2945" s="0" t="n">
        <f aca="false">E2945*G2945</f>
        <v>-0</v>
      </c>
      <c r="P2945" s="0" t="n">
        <f aca="false">E2945*H2945</f>
        <v>0</v>
      </c>
      <c r="Q2945" s="0" t="n">
        <f aca="false">F2945*G2945</f>
        <v>0.5</v>
      </c>
      <c r="R2945" s="0" t="n">
        <f aca="false">F2945*H2945</f>
        <v>-0.5</v>
      </c>
      <c r="S2945" s="0" t="n">
        <f aca="false">G2945*H2945</f>
        <v>-0.25</v>
      </c>
      <c r="T2945" s="0" t="n">
        <f aca="false">E2945*E2945</f>
        <v>0</v>
      </c>
      <c r="U2945" s="0" t="n">
        <f aca="false">F2945*F2945</f>
        <v>1</v>
      </c>
      <c r="V2945" s="0" t="n">
        <f aca="false">G2945*G2945</f>
        <v>0.25</v>
      </c>
      <c r="W2945" s="0" t="n">
        <f aca="false">H2945*H2945</f>
        <v>0.25</v>
      </c>
      <c r="X2945" s="0" t="n">
        <f aca="false">SUMPRODUCT(I2945:W2945,_XtX!$B$96:$P$96)</f>
        <v>42.8665021929824</v>
      </c>
      <c r="Y2945" s="0" t="n">
        <f aca="false">SUMPRODUCT(MMULT(I2945:W2945,_XtX!$B$78:$P$92),I2945:W2945)</f>
        <v>0.441954495614035</v>
      </c>
      <c r="Z2945" s="0" t="n">
        <f aca="false">04_回帰ANOVA!$K$19*04_回帰ANOVA!$K$14*SQRT(1+Y2945)</f>
        <v>1.56521560968066</v>
      </c>
      <c r="AA2945" s="0" t="n">
        <f aca="false">X2945-Z2945</f>
        <v>41.3012865833017</v>
      </c>
      <c r="AB2945" s="0" t="n">
        <f aca="false">X2945+Z2945</f>
        <v>44.4317178026631</v>
      </c>
      <c r="AC2945" s="54" t="b">
        <f aca="false">AND(E2945&gt;=01_因子設定!$L$5-0.000000001,E2945&lt;=01_因子設定!$M$5+0.000000001,F2945&gt;=01_因子設定!$L$6-0.000000001,F2945&lt;=01_因子設定!$M$6+0.000000001,G2945&gt;=01_因子設定!$L$7-0.000000001,G2945&lt;=01_因子設定!$M$7+0.000000001,H2945&gt;=01_因子設定!$L$8-0.000000001,H2945&lt;=01_因子設定!$M$8+0.000000001,IF(01_因子設定!$B$20="Box-Behnken",E2945^2+F2945^2+G2945^2+H2945^2&lt;=2+0.000000001,TRUE()))</f>
        <v>1</v>
      </c>
      <c r="AD2945" s="55" t="n">
        <f aca="false">IF(AC2945,IF(01_因子設定!$B$13="最大化",AA2945-01_因子設定!$B$14,IF(01_因子設定!$B$13="最小化",01_因子設定!$B$15-AB2945,MIN(AA2945-01_因子設定!$B$14,01_因子設定!$B$15-AB2945))),-1E+030)</f>
        <v>-5.19871341669826</v>
      </c>
      <c r="AE2945" s="55" t="n">
        <f aca="false">IF(AC2945,IF(01_因子設定!$B$13="最大化",X2945,IF(01_因子設定!$B$13="最小化",-X2945,-ABS(X2945-01_因子設定!$B$16))),-1E+030)</f>
        <v>42.8665021929824</v>
      </c>
      <c r="AF2945" s="55" t="n">
        <f aca="false">AD2945+ROW()*0.000000001</f>
        <v>-5.19871047169826</v>
      </c>
      <c r="AG2945" s="55" t="n">
        <f aca="false">AE2945+ROW()*0.000000001</f>
        <v>42.8665051379824</v>
      </c>
    </row>
    <row r="2946" customFormat="false" ht="15" hidden="false" customHeight="false" outlineLevel="0" collapsed="false">
      <c r="A2946" s="0" t="n">
        <v>4</v>
      </c>
      <c r="B2946" s="0" t="n">
        <v>0</v>
      </c>
      <c r="C2946" s="0" t="n">
        <v>2</v>
      </c>
      <c r="D2946" s="0" t="n">
        <v>7</v>
      </c>
      <c r="E2946" s="0" t="n">
        <f aca="false">-1+A2946*0.25</f>
        <v>0</v>
      </c>
      <c r="F2946" s="0" t="n">
        <f aca="false">-1+B2946*0.25</f>
        <v>-1</v>
      </c>
      <c r="G2946" s="0" t="n">
        <f aca="false">-1+C2946*0.25</f>
        <v>-0.5</v>
      </c>
      <c r="H2946" s="0" t="n">
        <f aca="false">-1+D2946*0.25</f>
        <v>0.75</v>
      </c>
      <c r="I2946" s="0" t="n">
        <f aca="false">1</f>
        <v>1</v>
      </c>
      <c r="J2946" s="0" t="n">
        <f aca="false">E2946</f>
        <v>0</v>
      </c>
      <c r="K2946" s="0" t="n">
        <f aca="false">F2946</f>
        <v>-1</v>
      </c>
      <c r="L2946" s="0" t="n">
        <f aca="false">G2946</f>
        <v>-0.5</v>
      </c>
      <c r="M2946" s="0" t="n">
        <f aca="false">H2946</f>
        <v>0.75</v>
      </c>
      <c r="N2946" s="0" t="n">
        <f aca="false">E2946*F2946</f>
        <v>-0</v>
      </c>
      <c r="O2946" s="0" t="n">
        <f aca="false">E2946*G2946</f>
        <v>-0</v>
      </c>
      <c r="P2946" s="0" t="n">
        <f aca="false">E2946*H2946</f>
        <v>0</v>
      </c>
      <c r="Q2946" s="0" t="n">
        <f aca="false">F2946*G2946</f>
        <v>0.5</v>
      </c>
      <c r="R2946" s="0" t="n">
        <f aca="false">F2946*H2946</f>
        <v>-0.75</v>
      </c>
      <c r="S2946" s="0" t="n">
        <f aca="false">G2946*H2946</f>
        <v>-0.375</v>
      </c>
      <c r="T2946" s="0" t="n">
        <f aca="false">E2946*E2946</f>
        <v>0</v>
      </c>
      <c r="U2946" s="0" t="n">
        <f aca="false">F2946*F2946</f>
        <v>1</v>
      </c>
      <c r="V2946" s="0" t="n">
        <f aca="false">G2946*G2946</f>
        <v>0.25</v>
      </c>
      <c r="W2946" s="0" t="n">
        <f aca="false">H2946*H2946</f>
        <v>0.5625</v>
      </c>
      <c r="X2946" s="0" t="n">
        <f aca="false">SUMPRODUCT(I2946:W2946,_XtX!$B$96:$P$96)</f>
        <v>42.8655610380117</v>
      </c>
      <c r="Y2946" s="0" t="n">
        <f aca="false">SUMPRODUCT(MMULT(I2946:W2946,_XtX!$B$78:$P$92),I2946:W2946)</f>
        <v>0.476191292032164</v>
      </c>
      <c r="Z2946" s="0" t="n">
        <f aca="false">04_回帰ANOVA!$K$19*04_回帰ANOVA!$K$14*SQRT(1+Y2946)</f>
        <v>1.58368831471718</v>
      </c>
      <c r="AA2946" s="0" t="n">
        <f aca="false">X2946-Z2946</f>
        <v>41.2818727232945</v>
      </c>
      <c r="AB2946" s="0" t="n">
        <f aca="false">X2946+Z2946</f>
        <v>44.4492493527288</v>
      </c>
      <c r="AC2946" s="54" t="b">
        <f aca="false">AND(E2946&gt;=01_因子設定!$L$5-0.000000001,E2946&lt;=01_因子設定!$M$5+0.000000001,F2946&gt;=01_因子設定!$L$6-0.000000001,F2946&lt;=01_因子設定!$M$6+0.000000001,G2946&gt;=01_因子設定!$L$7-0.000000001,G2946&lt;=01_因子設定!$M$7+0.000000001,H2946&gt;=01_因子設定!$L$8-0.000000001,H2946&lt;=01_因子設定!$M$8+0.000000001,IF(01_因子設定!$B$20="Box-Behnken",E2946^2+F2946^2+G2946^2+H2946^2&lt;=2+0.000000001,TRUE()))</f>
        <v>1</v>
      </c>
      <c r="AD2946" s="55" t="n">
        <f aca="false">IF(AC2946,IF(01_因子設定!$B$13="最大化",AA2946-01_因子設定!$B$14,IF(01_因子設定!$B$13="最小化",01_因子設定!$B$15-AB2946,MIN(AA2946-01_因子設定!$B$14,01_因子設定!$B$15-AB2946))),-1E+030)</f>
        <v>-5.21812727670553</v>
      </c>
      <c r="AE2946" s="55" t="n">
        <f aca="false">IF(AC2946,IF(01_因子設定!$B$13="最大化",X2946,IF(01_因子設定!$B$13="最小化",-X2946,-ABS(X2946-01_因子設定!$B$16))),-1E+030)</f>
        <v>42.8655610380117</v>
      </c>
      <c r="AF2946" s="55" t="n">
        <f aca="false">AD2946+ROW()*0.000000001</f>
        <v>-5.21812433070553</v>
      </c>
      <c r="AG2946" s="55" t="n">
        <f aca="false">AE2946+ROW()*0.000000001</f>
        <v>42.8655639840117</v>
      </c>
    </row>
    <row r="2947" customFormat="false" ht="15" hidden="false" customHeight="false" outlineLevel="0" collapsed="false">
      <c r="A2947" s="0" t="n">
        <v>4</v>
      </c>
      <c r="B2947" s="0" t="n">
        <v>0</v>
      </c>
      <c r="C2947" s="0" t="n">
        <v>2</v>
      </c>
      <c r="D2947" s="0" t="n">
        <v>8</v>
      </c>
      <c r="E2947" s="0" t="n">
        <f aca="false">-1+A2947*0.25</f>
        <v>0</v>
      </c>
      <c r="F2947" s="0" t="n">
        <f aca="false">-1+B2947*0.25</f>
        <v>-1</v>
      </c>
      <c r="G2947" s="0" t="n">
        <f aca="false">-1+C2947*0.25</f>
        <v>-0.5</v>
      </c>
      <c r="H2947" s="0" t="n">
        <f aca="false">-1+D2947*0.25</f>
        <v>1</v>
      </c>
      <c r="I2947" s="0" t="n">
        <f aca="false">1</f>
        <v>1</v>
      </c>
      <c r="J2947" s="0" t="n">
        <f aca="false">E2947</f>
        <v>0</v>
      </c>
      <c r="K2947" s="0" t="n">
        <f aca="false">F2947</f>
        <v>-1</v>
      </c>
      <c r="L2947" s="0" t="n">
        <f aca="false">G2947</f>
        <v>-0.5</v>
      </c>
      <c r="M2947" s="0" t="n">
        <f aca="false">H2947</f>
        <v>1</v>
      </c>
      <c r="N2947" s="0" t="n">
        <f aca="false">E2947*F2947</f>
        <v>-0</v>
      </c>
      <c r="O2947" s="0" t="n">
        <f aca="false">E2947*G2947</f>
        <v>-0</v>
      </c>
      <c r="P2947" s="0" t="n">
        <f aca="false">E2947*H2947</f>
        <v>0</v>
      </c>
      <c r="Q2947" s="0" t="n">
        <f aca="false">F2947*G2947</f>
        <v>0.5</v>
      </c>
      <c r="R2947" s="0" t="n">
        <f aca="false">F2947*H2947</f>
        <v>-1</v>
      </c>
      <c r="S2947" s="0" t="n">
        <f aca="false">G2947*H2947</f>
        <v>-0.5</v>
      </c>
      <c r="T2947" s="0" t="n">
        <f aca="false">E2947*E2947</f>
        <v>0</v>
      </c>
      <c r="U2947" s="0" t="n">
        <f aca="false">F2947*F2947</f>
        <v>1</v>
      </c>
      <c r="V2947" s="0" t="n">
        <f aca="false">G2947*G2947</f>
        <v>0.25</v>
      </c>
      <c r="W2947" s="0" t="n">
        <f aca="false">H2947*H2947</f>
        <v>1</v>
      </c>
      <c r="X2947" s="0" t="n">
        <f aca="false">SUMPRODUCT(I2947:W2947,_XtX!$B$96:$P$96)</f>
        <v>42.8168128654971</v>
      </c>
      <c r="Y2947" s="0" t="n">
        <f aca="false">SUMPRODUCT(MMULT(I2947:W2947,_XtX!$B$78:$P$92),I2947:W2947)</f>
        <v>0.650767543859649</v>
      </c>
      <c r="Z2947" s="0" t="n">
        <f aca="false">04_回帰ANOVA!$K$19*04_回帰ANOVA!$K$14*SQRT(1+Y2947)</f>
        <v>1.67471670935165</v>
      </c>
      <c r="AA2947" s="0" t="n">
        <f aca="false">X2947-Z2947</f>
        <v>41.1420961561454</v>
      </c>
      <c r="AB2947" s="0" t="n">
        <f aca="false">X2947+Z2947</f>
        <v>44.4915295748487</v>
      </c>
      <c r="AC2947" s="54" t="b">
        <f aca="false">AND(E2947&gt;=01_因子設定!$L$5-0.000000001,E2947&lt;=01_因子設定!$M$5+0.000000001,F2947&gt;=01_因子設定!$L$6-0.000000001,F2947&lt;=01_因子設定!$M$6+0.000000001,G2947&gt;=01_因子設定!$L$7-0.000000001,G2947&lt;=01_因子設定!$M$7+0.000000001,H2947&gt;=01_因子設定!$L$8-0.000000001,H2947&lt;=01_因子設定!$M$8+0.000000001,IF(01_因子設定!$B$20="Box-Behnken",E2947^2+F2947^2+G2947^2+H2947^2&lt;=2+0.000000001,TRUE()))</f>
        <v>1</v>
      </c>
      <c r="AD2947" s="55" t="n">
        <f aca="false">IF(AC2947,IF(01_因子設定!$B$13="最大化",AA2947-01_因子設定!$B$14,IF(01_因子設定!$B$13="最小化",01_因子設定!$B$15-AB2947,MIN(AA2947-01_因子設定!$B$14,01_因子設定!$B$15-AB2947))),-1E+030)</f>
        <v>-5.3579038438546</v>
      </c>
      <c r="AE2947" s="55" t="n">
        <f aca="false">IF(AC2947,IF(01_因子設定!$B$13="最大化",X2947,IF(01_因子設定!$B$13="最小化",-X2947,-ABS(X2947-01_因子設定!$B$16))),-1E+030)</f>
        <v>42.8168128654971</v>
      </c>
      <c r="AF2947" s="55" t="n">
        <f aca="false">AD2947+ROW()*0.000000001</f>
        <v>-5.3579008968546</v>
      </c>
      <c r="AG2947" s="55" t="n">
        <f aca="false">AE2947+ROW()*0.000000001</f>
        <v>42.8168158124971</v>
      </c>
    </row>
    <row r="2948" customFormat="false" ht="15" hidden="false" customHeight="false" outlineLevel="0" collapsed="false">
      <c r="A2948" s="0" t="n">
        <v>4</v>
      </c>
      <c r="B2948" s="0" t="n">
        <v>0</v>
      </c>
      <c r="C2948" s="0" t="n">
        <v>3</v>
      </c>
      <c r="D2948" s="0" t="n">
        <v>0</v>
      </c>
      <c r="E2948" s="0" t="n">
        <f aca="false">-1+A2948*0.25</f>
        <v>0</v>
      </c>
      <c r="F2948" s="0" t="n">
        <f aca="false">-1+B2948*0.25</f>
        <v>-1</v>
      </c>
      <c r="G2948" s="0" t="n">
        <f aca="false">-1+C2948*0.25</f>
        <v>-0.25</v>
      </c>
      <c r="H2948" s="0" t="n">
        <f aca="false">-1+D2948*0.25</f>
        <v>-1</v>
      </c>
      <c r="I2948" s="0" t="n">
        <f aca="false">1</f>
        <v>1</v>
      </c>
      <c r="J2948" s="0" t="n">
        <f aca="false">E2948</f>
        <v>0</v>
      </c>
      <c r="K2948" s="0" t="n">
        <f aca="false">F2948</f>
        <v>-1</v>
      </c>
      <c r="L2948" s="0" t="n">
        <f aca="false">G2948</f>
        <v>-0.25</v>
      </c>
      <c r="M2948" s="0" t="n">
        <f aca="false">H2948</f>
        <v>-1</v>
      </c>
      <c r="N2948" s="0" t="n">
        <f aca="false">E2948*F2948</f>
        <v>-0</v>
      </c>
      <c r="O2948" s="0" t="n">
        <f aca="false">E2948*G2948</f>
        <v>-0</v>
      </c>
      <c r="P2948" s="0" t="n">
        <f aca="false">E2948*H2948</f>
        <v>-0</v>
      </c>
      <c r="Q2948" s="0" t="n">
        <f aca="false">F2948*G2948</f>
        <v>0.25</v>
      </c>
      <c r="R2948" s="0" t="n">
        <f aca="false">F2948*H2948</f>
        <v>1</v>
      </c>
      <c r="S2948" s="0" t="n">
        <f aca="false">G2948*H2948</f>
        <v>0.25</v>
      </c>
      <c r="T2948" s="0" t="n">
        <f aca="false">E2948*E2948</f>
        <v>0</v>
      </c>
      <c r="U2948" s="0" t="n">
        <f aca="false">F2948*F2948</f>
        <v>1</v>
      </c>
      <c r="V2948" s="0" t="n">
        <f aca="false">G2948*G2948</f>
        <v>0.0625</v>
      </c>
      <c r="W2948" s="0" t="n">
        <f aca="false">H2948*H2948</f>
        <v>1</v>
      </c>
      <c r="X2948" s="0" t="n">
        <f aca="false">SUMPRODUCT(I2948:W2948,_XtX!$B$96:$P$96)</f>
        <v>42.0919956140351</v>
      </c>
      <c r="Y2948" s="0" t="n">
        <f aca="false">SUMPRODUCT(MMULT(I2948:W2948,_XtX!$B$78:$P$92),I2948:W2948)</f>
        <v>0.689692982456141</v>
      </c>
      <c r="Z2948" s="0" t="n">
        <f aca="false">04_回帰ANOVA!$K$19*04_回帰ANOVA!$K$14*SQRT(1+Y2948)</f>
        <v>1.69434674594998</v>
      </c>
      <c r="AA2948" s="0" t="n">
        <f aca="false">X2948-Z2948</f>
        <v>40.3976488680851</v>
      </c>
      <c r="AB2948" s="0" t="n">
        <f aca="false">X2948+Z2948</f>
        <v>43.786342359985</v>
      </c>
      <c r="AC2948" s="54" t="b">
        <f aca="false">AND(E2948&gt;=01_因子設定!$L$5-0.000000001,E2948&lt;=01_因子設定!$M$5+0.000000001,F2948&gt;=01_因子設定!$L$6-0.000000001,F2948&lt;=01_因子設定!$M$6+0.000000001,G2948&gt;=01_因子設定!$L$7-0.000000001,G2948&lt;=01_因子設定!$M$7+0.000000001,H2948&gt;=01_因子設定!$L$8-0.000000001,H2948&lt;=01_因子設定!$M$8+0.000000001,IF(01_因子設定!$B$20="Box-Behnken",E2948^2+F2948^2+G2948^2+H2948^2&lt;=2+0.000000001,TRUE()))</f>
        <v>1</v>
      </c>
      <c r="AD2948" s="55" t="n">
        <f aca="false">IF(AC2948,IF(01_因子設定!$B$13="最大化",AA2948-01_因子設定!$B$14,IF(01_因子設定!$B$13="最小化",01_因子設定!$B$15-AB2948,MIN(AA2948-01_因子設定!$B$14,01_因子設定!$B$15-AB2948))),-1E+030)</f>
        <v>-6.10235113191493</v>
      </c>
      <c r="AE2948" s="55" t="n">
        <f aca="false">IF(AC2948,IF(01_因子設定!$B$13="最大化",X2948,IF(01_因子設定!$B$13="最小化",-X2948,-ABS(X2948-01_因子設定!$B$16))),-1E+030)</f>
        <v>42.0919956140351</v>
      </c>
      <c r="AF2948" s="55" t="n">
        <f aca="false">AD2948+ROW()*0.000000001</f>
        <v>-6.10234818391493</v>
      </c>
      <c r="AG2948" s="55" t="n">
        <f aca="false">AE2948+ROW()*0.000000001</f>
        <v>42.0919985620351</v>
      </c>
    </row>
    <row r="2949" customFormat="false" ht="15" hidden="false" customHeight="false" outlineLevel="0" collapsed="false">
      <c r="A2949" s="0" t="n">
        <v>4</v>
      </c>
      <c r="B2949" s="0" t="n">
        <v>0</v>
      </c>
      <c r="C2949" s="0" t="n">
        <v>3</v>
      </c>
      <c r="D2949" s="0" t="n">
        <v>1</v>
      </c>
      <c r="E2949" s="0" t="n">
        <f aca="false">-1+A2949*0.25</f>
        <v>0</v>
      </c>
      <c r="F2949" s="0" t="n">
        <f aca="false">-1+B2949*0.25</f>
        <v>-1</v>
      </c>
      <c r="G2949" s="0" t="n">
        <f aca="false">-1+C2949*0.25</f>
        <v>-0.25</v>
      </c>
      <c r="H2949" s="0" t="n">
        <f aca="false">-1+D2949*0.25</f>
        <v>-0.75</v>
      </c>
      <c r="I2949" s="0" t="n">
        <f aca="false">1</f>
        <v>1</v>
      </c>
      <c r="J2949" s="0" t="n">
        <f aca="false">E2949</f>
        <v>0</v>
      </c>
      <c r="K2949" s="0" t="n">
        <f aca="false">F2949</f>
        <v>-1</v>
      </c>
      <c r="L2949" s="0" t="n">
        <f aca="false">G2949</f>
        <v>-0.25</v>
      </c>
      <c r="M2949" s="0" t="n">
        <f aca="false">H2949</f>
        <v>-0.75</v>
      </c>
      <c r="N2949" s="0" t="n">
        <f aca="false">E2949*F2949</f>
        <v>-0</v>
      </c>
      <c r="O2949" s="0" t="n">
        <f aca="false">E2949*G2949</f>
        <v>-0</v>
      </c>
      <c r="P2949" s="0" t="n">
        <f aca="false">E2949*H2949</f>
        <v>-0</v>
      </c>
      <c r="Q2949" s="0" t="n">
        <f aca="false">F2949*G2949</f>
        <v>0.25</v>
      </c>
      <c r="R2949" s="0" t="n">
        <f aca="false">F2949*H2949</f>
        <v>0.75</v>
      </c>
      <c r="S2949" s="0" t="n">
        <f aca="false">G2949*H2949</f>
        <v>0.1875</v>
      </c>
      <c r="T2949" s="0" t="n">
        <f aca="false">E2949*E2949</f>
        <v>0</v>
      </c>
      <c r="U2949" s="0" t="n">
        <f aca="false">F2949*F2949</f>
        <v>1</v>
      </c>
      <c r="V2949" s="0" t="n">
        <f aca="false">G2949*G2949</f>
        <v>0.0625</v>
      </c>
      <c r="W2949" s="0" t="n">
        <f aca="false">H2949*H2949</f>
        <v>0.5625</v>
      </c>
      <c r="X2949" s="0" t="n">
        <f aca="false">SUMPRODUCT(I2949:W2949,_XtX!$B$96:$P$96)</f>
        <v>42.3958653143274</v>
      </c>
      <c r="Y2949" s="0" t="n">
        <f aca="false">SUMPRODUCT(MMULT(I2949:W2949,_XtX!$B$78:$P$92),I2949:W2949)</f>
        <v>0.501534802174708</v>
      </c>
      <c r="Z2949" s="0" t="n">
        <f aca="false">04_回帰ANOVA!$K$19*04_回帰ANOVA!$K$14*SQRT(1+Y2949)</f>
        <v>1.59722498091333</v>
      </c>
      <c r="AA2949" s="0" t="n">
        <f aca="false">X2949-Z2949</f>
        <v>40.7986403334141</v>
      </c>
      <c r="AB2949" s="0" t="n">
        <f aca="false">X2949+Z2949</f>
        <v>43.9930902952408</v>
      </c>
      <c r="AC2949" s="54" t="b">
        <f aca="false">AND(E2949&gt;=01_因子設定!$L$5-0.000000001,E2949&lt;=01_因子設定!$M$5+0.000000001,F2949&gt;=01_因子設定!$L$6-0.000000001,F2949&lt;=01_因子設定!$M$6+0.000000001,G2949&gt;=01_因子設定!$L$7-0.000000001,G2949&lt;=01_因子設定!$M$7+0.000000001,H2949&gt;=01_因子設定!$L$8-0.000000001,H2949&lt;=01_因子設定!$M$8+0.000000001,IF(01_因子設定!$B$20="Box-Behnken",E2949^2+F2949^2+G2949^2+H2949^2&lt;=2+0.000000001,TRUE()))</f>
        <v>1</v>
      </c>
      <c r="AD2949" s="55" t="n">
        <f aca="false">IF(AC2949,IF(01_因子設定!$B$13="最大化",AA2949-01_因子設定!$B$14,IF(01_因子設定!$B$13="最小化",01_因子設定!$B$15-AB2949,MIN(AA2949-01_因子設定!$B$14,01_因子設定!$B$15-AB2949))),-1E+030)</f>
        <v>-5.70135966658589</v>
      </c>
      <c r="AE2949" s="55" t="n">
        <f aca="false">IF(AC2949,IF(01_因子設定!$B$13="最大化",X2949,IF(01_因子設定!$B$13="最小化",-X2949,-ABS(X2949-01_因子設定!$B$16))),-1E+030)</f>
        <v>42.3958653143274</v>
      </c>
      <c r="AF2949" s="55" t="n">
        <f aca="false">AD2949+ROW()*0.000000001</f>
        <v>-5.70135671758589</v>
      </c>
      <c r="AG2949" s="55" t="n">
        <f aca="false">AE2949+ROW()*0.000000001</f>
        <v>42.3958682633274</v>
      </c>
    </row>
    <row r="2950" customFormat="false" ht="15" hidden="false" customHeight="false" outlineLevel="0" collapsed="false">
      <c r="A2950" s="0" t="n">
        <v>4</v>
      </c>
      <c r="B2950" s="0" t="n">
        <v>0</v>
      </c>
      <c r="C2950" s="0" t="n">
        <v>3</v>
      </c>
      <c r="D2950" s="0" t="n">
        <v>2</v>
      </c>
      <c r="E2950" s="0" t="n">
        <f aca="false">-1+A2950*0.25</f>
        <v>0</v>
      </c>
      <c r="F2950" s="0" t="n">
        <f aca="false">-1+B2950*0.25</f>
        <v>-1</v>
      </c>
      <c r="G2950" s="0" t="n">
        <f aca="false">-1+C2950*0.25</f>
        <v>-0.25</v>
      </c>
      <c r="H2950" s="0" t="n">
        <f aca="false">-1+D2950*0.25</f>
        <v>-0.5</v>
      </c>
      <c r="I2950" s="0" t="n">
        <f aca="false">1</f>
        <v>1</v>
      </c>
      <c r="J2950" s="0" t="n">
        <f aca="false">E2950</f>
        <v>0</v>
      </c>
      <c r="K2950" s="0" t="n">
        <f aca="false">F2950</f>
        <v>-1</v>
      </c>
      <c r="L2950" s="0" t="n">
        <f aca="false">G2950</f>
        <v>-0.25</v>
      </c>
      <c r="M2950" s="0" t="n">
        <f aca="false">H2950</f>
        <v>-0.5</v>
      </c>
      <c r="N2950" s="0" t="n">
        <f aca="false">E2950*F2950</f>
        <v>-0</v>
      </c>
      <c r="O2950" s="0" t="n">
        <f aca="false">E2950*G2950</f>
        <v>-0</v>
      </c>
      <c r="P2950" s="0" t="n">
        <f aca="false">E2950*H2950</f>
        <v>-0</v>
      </c>
      <c r="Q2950" s="0" t="n">
        <f aca="false">F2950*G2950</f>
        <v>0.25</v>
      </c>
      <c r="R2950" s="0" t="n">
        <f aca="false">F2950*H2950</f>
        <v>0.5</v>
      </c>
      <c r="S2950" s="0" t="n">
        <f aca="false">G2950*H2950</f>
        <v>0.125</v>
      </c>
      <c r="T2950" s="0" t="n">
        <f aca="false">E2950*E2950</f>
        <v>0</v>
      </c>
      <c r="U2950" s="0" t="n">
        <f aca="false">F2950*F2950</f>
        <v>1</v>
      </c>
      <c r="V2950" s="0" t="n">
        <f aca="false">G2950*G2950</f>
        <v>0.0625</v>
      </c>
      <c r="W2950" s="0" t="n">
        <f aca="false">H2950*H2950</f>
        <v>0.25</v>
      </c>
      <c r="X2950" s="0" t="n">
        <f aca="false">SUMPRODUCT(I2950:W2950,_XtX!$B$96:$P$96)</f>
        <v>42.651927997076</v>
      </c>
      <c r="Y2950" s="0" t="n">
        <f aca="false">SUMPRODUCT(MMULT(I2950:W2950,_XtX!$B$78:$P$92),I2950:W2950)</f>
        <v>0.457596628289474</v>
      </c>
      <c r="Z2950" s="0" t="n">
        <f aca="false">04_回帰ANOVA!$K$19*04_回帰ANOVA!$K$14*SQRT(1+Y2950)</f>
        <v>1.57368233664366</v>
      </c>
      <c r="AA2950" s="0" t="n">
        <f aca="false">X2950-Z2950</f>
        <v>41.0782456604323</v>
      </c>
      <c r="AB2950" s="0" t="n">
        <f aca="false">X2950+Z2950</f>
        <v>44.2256103337196</v>
      </c>
      <c r="AC2950" s="54" t="b">
        <f aca="false">AND(E2950&gt;=01_因子設定!$L$5-0.000000001,E2950&lt;=01_因子設定!$M$5+0.000000001,F2950&gt;=01_因子設定!$L$6-0.000000001,F2950&lt;=01_因子設定!$M$6+0.000000001,G2950&gt;=01_因子設定!$L$7-0.000000001,G2950&lt;=01_因子設定!$M$7+0.000000001,H2950&gt;=01_因子設定!$L$8-0.000000001,H2950&lt;=01_因子設定!$M$8+0.000000001,IF(01_因子設定!$B$20="Box-Behnken",E2950^2+F2950^2+G2950^2+H2950^2&lt;=2+0.000000001,TRUE()))</f>
        <v>1</v>
      </c>
      <c r="AD2950" s="55" t="n">
        <f aca="false">IF(AC2950,IF(01_因子設定!$B$13="最大化",AA2950-01_因子設定!$B$14,IF(01_因子設定!$B$13="最小化",01_因子設定!$B$15-AB2950,MIN(AA2950-01_因子設定!$B$14,01_因子設定!$B$15-AB2950))),-1E+030)</f>
        <v>-5.42175433956769</v>
      </c>
      <c r="AE2950" s="55" t="n">
        <f aca="false">IF(AC2950,IF(01_因子設定!$B$13="最大化",X2950,IF(01_因子設定!$B$13="最小化",-X2950,-ABS(X2950-01_因子設定!$B$16))),-1E+030)</f>
        <v>42.651927997076</v>
      </c>
      <c r="AF2950" s="55" t="n">
        <f aca="false">AD2950+ROW()*0.000000001</f>
        <v>-5.42175138956769</v>
      </c>
      <c r="AG2950" s="55" t="n">
        <f aca="false">AE2950+ROW()*0.000000001</f>
        <v>42.651930947076</v>
      </c>
    </row>
    <row r="2951" customFormat="false" ht="15" hidden="false" customHeight="false" outlineLevel="0" collapsed="false">
      <c r="A2951" s="0" t="n">
        <v>4</v>
      </c>
      <c r="B2951" s="0" t="n">
        <v>0</v>
      </c>
      <c r="C2951" s="0" t="n">
        <v>3</v>
      </c>
      <c r="D2951" s="0" t="n">
        <v>3</v>
      </c>
      <c r="E2951" s="0" t="n">
        <f aca="false">-1+A2951*0.25</f>
        <v>0</v>
      </c>
      <c r="F2951" s="0" t="n">
        <f aca="false">-1+B2951*0.25</f>
        <v>-1</v>
      </c>
      <c r="G2951" s="0" t="n">
        <f aca="false">-1+C2951*0.25</f>
        <v>-0.25</v>
      </c>
      <c r="H2951" s="0" t="n">
        <f aca="false">-1+D2951*0.25</f>
        <v>-0.25</v>
      </c>
      <c r="I2951" s="0" t="n">
        <f aca="false">1</f>
        <v>1</v>
      </c>
      <c r="J2951" s="0" t="n">
        <f aca="false">E2951</f>
        <v>0</v>
      </c>
      <c r="K2951" s="0" t="n">
        <f aca="false">F2951</f>
        <v>-1</v>
      </c>
      <c r="L2951" s="0" t="n">
        <f aca="false">G2951</f>
        <v>-0.25</v>
      </c>
      <c r="M2951" s="0" t="n">
        <f aca="false">H2951</f>
        <v>-0.25</v>
      </c>
      <c r="N2951" s="0" t="n">
        <f aca="false">E2951*F2951</f>
        <v>-0</v>
      </c>
      <c r="O2951" s="0" t="n">
        <f aca="false">E2951*G2951</f>
        <v>-0</v>
      </c>
      <c r="P2951" s="0" t="n">
        <f aca="false">E2951*H2951</f>
        <v>-0</v>
      </c>
      <c r="Q2951" s="0" t="n">
        <f aca="false">F2951*G2951</f>
        <v>0.25</v>
      </c>
      <c r="R2951" s="0" t="n">
        <f aca="false">F2951*H2951</f>
        <v>0.25</v>
      </c>
      <c r="S2951" s="0" t="n">
        <f aca="false">G2951*H2951</f>
        <v>0.0625</v>
      </c>
      <c r="T2951" s="0" t="n">
        <f aca="false">E2951*E2951</f>
        <v>0</v>
      </c>
      <c r="U2951" s="0" t="n">
        <f aca="false">F2951*F2951</f>
        <v>1</v>
      </c>
      <c r="V2951" s="0" t="n">
        <f aca="false">G2951*G2951</f>
        <v>0.0625</v>
      </c>
      <c r="W2951" s="0" t="n">
        <f aca="false">H2951*H2951</f>
        <v>0.0625</v>
      </c>
      <c r="X2951" s="0" t="n">
        <f aca="false">SUMPRODUCT(I2951:W2951,_XtX!$B$96:$P$96)</f>
        <v>42.8601836622806</v>
      </c>
      <c r="Y2951" s="0" t="n">
        <f aca="false">SUMPRODUCT(MMULT(I2951:W2951,_XtX!$B$78:$P$92),I2951:W2951)</f>
        <v>0.467417934484649</v>
      </c>
      <c r="Z2951" s="0" t="n">
        <f aca="false">04_回帰ANOVA!$K$19*04_回帰ANOVA!$K$14*SQRT(1+Y2951)</f>
        <v>1.57897518244497</v>
      </c>
      <c r="AA2951" s="0" t="n">
        <f aca="false">X2951-Z2951</f>
        <v>41.2812084798357</v>
      </c>
      <c r="AB2951" s="0" t="n">
        <f aca="false">X2951+Z2951</f>
        <v>44.4391588447256</v>
      </c>
      <c r="AC2951" s="54" t="b">
        <f aca="false">AND(E2951&gt;=01_因子設定!$L$5-0.000000001,E2951&lt;=01_因子設定!$M$5+0.000000001,F2951&gt;=01_因子設定!$L$6-0.000000001,F2951&lt;=01_因子設定!$M$6+0.000000001,G2951&gt;=01_因子設定!$L$7-0.000000001,G2951&lt;=01_因子設定!$M$7+0.000000001,H2951&gt;=01_因子設定!$L$8-0.000000001,H2951&lt;=01_因子設定!$M$8+0.000000001,IF(01_因子設定!$B$20="Box-Behnken",E2951^2+F2951^2+G2951^2+H2951^2&lt;=2+0.000000001,TRUE()))</f>
        <v>1</v>
      </c>
      <c r="AD2951" s="55" t="n">
        <f aca="false">IF(AC2951,IF(01_因子設定!$B$13="最大化",AA2951-01_因子設定!$B$14,IF(01_因子設定!$B$13="最小化",01_因子設定!$B$15-AB2951,MIN(AA2951-01_因子設定!$B$14,01_因子設定!$B$15-AB2951))),-1E+030)</f>
        <v>-5.21879152016433</v>
      </c>
      <c r="AE2951" s="55" t="n">
        <f aca="false">IF(AC2951,IF(01_因子設定!$B$13="最大化",X2951,IF(01_因子設定!$B$13="最小化",-X2951,-ABS(X2951-01_因子設定!$B$16))),-1E+030)</f>
        <v>42.8601836622806</v>
      </c>
      <c r="AF2951" s="55" t="n">
        <f aca="false">AD2951+ROW()*0.000000001</f>
        <v>-5.21878856916433</v>
      </c>
      <c r="AG2951" s="55" t="n">
        <f aca="false">AE2951+ROW()*0.000000001</f>
        <v>42.8601866132806</v>
      </c>
    </row>
    <row r="2952" customFormat="false" ht="15" hidden="false" customHeight="false" outlineLevel="0" collapsed="false">
      <c r="A2952" s="0" t="n">
        <v>4</v>
      </c>
      <c r="B2952" s="0" t="n">
        <v>0</v>
      </c>
      <c r="C2952" s="0" t="n">
        <v>3</v>
      </c>
      <c r="D2952" s="0" t="n">
        <v>4</v>
      </c>
      <c r="E2952" s="0" t="n">
        <f aca="false">-1+A2952*0.25</f>
        <v>0</v>
      </c>
      <c r="F2952" s="0" t="n">
        <f aca="false">-1+B2952*0.25</f>
        <v>-1</v>
      </c>
      <c r="G2952" s="0" t="n">
        <f aca="false">-1+C2952*0.25</f>
        <v>-0.25</v>
      </c>
      <c r="H2952" s="0" t="n">
        <f aca="false">-1+D2952*0.25</f>
        <v>0</v>
      </c>
      <c r="I2952" s="0" t="n">
        <f aca="false">1</f>
        <v>1</v>
      </c>
      <c r="J2952" s="0" t="n">
        <f aca="false">E2952</f>
        <v>0</v>
      </c>
      <c r="K2952" s="0" t="n">
        <f aca="false">F2952</f>
        <v>-1</v>
      </c>
      <c r="L2952" s="0" t="n">
        <f aca="false">G2952</f>
        <v>-0.25</v>
      </c>
      <c r="M2952" s="0" t="n">
        <f aca="false">H2952</f>
        <v>0</v>
      </c>
      <c r="N2952" s="0" t="n">
        <f aca="false">E2952*F2952</f>
        <v>-0</v>
      </c>
      <c r="O2952" s="0" t="n">
        <f aca="false">E2952*G2952</f>
        <v>-0</v>
      </c>
      <c r="P2952" s="0" t="n">
        <f aca="false">E2952*H2952</f>
        <v>0</v>
      </c>
      <c r="Q2952" s="0" t="n">
        <f aca="false">F2952*G2952</f>
        <v>0.25</v>
      </c>
      <c r="R2952" s="0" t="n">
        <f aca="false">F2952*H2952</f>
        <v>-0</v>
      </c>
      <c r="S2952" s="0" t="n">
        <f aca="false">G2952*H2952</f>
        <v>-0</v>
      </c>
      <c r="T2952" s="0" t="n">
        <f aca="false">E2952*E2952</f>
        <v>0</v>
      </c>
      <c r="U2952" s="0" t="n">
        <f aca="false">F2952*F2952</f>
        <v>1</v>
      </c>
      <c r="V2952" s="0" t="n">
        <f aca="false">G2952*G2952</f>
        <v>0.0625</v>
      </c>
      <c r="W2952" s="0" t="n">
        <f aca="false">H2952*H2952</f>
        <v>0</v>
      </c>
      <c r="X2952" s="0" t="n">
        <f aca="false">SUMPRODUCT(I2952:W2952,_XtX!$B$96:$P$96)</f>
        <v>43.0206323099415</v>
      </c>
      <c r="Y2952" s="0" t="n">
        <f aca="false">SUMPRODUCT(MMULT(I2952:W2952,_XtX!$B$78:$P$92),I2952:W2952)</f>
        <v>0.47672240497076</v>
      </c>
      <c r="Z2952" s="0" t="n">
        <f aca="false">04_回帰ANOVA!$K$19*04_回帰ANOVA!$K$14*SQRT(1+Y2952)</f>
        <v>1.58397318352695</v>
      </c>
      <c r="AA2952" s="0" t="n">
        <f aca="false">X2952-Z2952</f>
        <v>41.4366591264145</v>
      </c>
      <c r="AB2952" s="0" t="n">
        <f aca="false">X2952+Z2952</f>
        <v>44.6046054934684</v>
      </c>
      <c r="AC2952" s="54" t="b">
        <f aca="false">AND(E2952&gt;=01_因子設定!$L$5-0.000000001,E2952&lt;=01_因子設定!$M$5+0.000000001,F2952&gt;=01_因子設定!$L$6-0.000000001,F2952&lt;=01_因子設定!$M$6+0.000000001,G2952&gt;=01_因子設定!$L$7-0.000000001,G2952&lt;=01_因子設定!$M$7+0.000000001,H2952&gt;=01_因子設定!$L$8-0.000000001,H2952&lt;=01_因子設定!$M$8+0.000000001,IF(01_因子設定!$B$20="Box-Behnken",E2952^2+F2952^2+G2952^2+H2952^2&lt;=2+0.000000001,TRUE()))</f>
        <v>1</v>
      </c>
      <c r="AD2952" s="55" t="n">
        <f aca="false">IF(AC2952,IF(01_因子設定!$B$13="最大化",AA2952-01_因子設定!$B$14,IF(01_因子設定!$B$13="最小化",01_因子設定!$B$15-AB2952,MIN(AA2952-01_因子設定!$B$14,01_因子設定!$B$15-AB2952))),-1E+030)</f>
        <v>-5.06334087358549</v>
      </c>
      <c r="AE2952" s="55" t="n">
        <f aca="false">IF(AC2952,IF(01_因子設定!$B$13="最大化",X2952,IF(01_因子設定!$B$13="最小化",-X2952,-ABS(X2952-01_因子設定!$B$16))),-1E+030)</f>
        <v>43.0206323099415</v>
      </c>
      <c r="AF2952" s="55" t="n">
        <f aca="false">AD2952+ROW()*0.000000001</f>
        <v>-5.06333792158549</v>
      </c>
      <c r="AG2952" s="55" t="n">
        <f aca="false">AE2952+ROW()*0.000000001</f>
        <v>43.0206352619415</v>
      </c>
    </row>
    <row r="2953" customFormat="false" ht="15" hidden="false" customHeight="false" outlineLevel="0" collapsed="false">
      <c r="A2953" s="0" t="n">
        <v>4</v>
      </c>
      <c r="B2953" s="0" t="n">
        <v>0</v>
      </c>
      <c r="C2953" s="0" t="n">
        <v>3</v>
      </c>
      <c r="D2953" s="0" t="n">
        <v>5</v>
      </c>
      <c r="E2953" s="0" t="n">
        <f aca="false">-1+A2953*0.25</f>
        <v>0</v>
      </c>
      <c r="F2953" s="0" t="n">
        <f aca="false">-1+B2953*0.25</f>
        <v>-1</v>
      </c>
      <c r="G2953" s="0" t="n">
        <f aca="false">-1+C2953*0.25</f>
        <v>-0.25</v>
      </c>
      <c r="H2953" s="0" t="n">
        <f aca="false">-1+D2953*0.25</f>
        <v>0.25</v>
      </c>
      <c r="I2953" s="0" t="n">
        <f aca="false">1</f>
        <v>1</v>
      </c>
      <c r="J2953" s="0" t="n">
        <f aca="false">E2953</f>
        <v>0</v>
      </c>
      <c r="K2953" s="0" t="n">
        <f aca="false">F2953</f>
        <v>-1</v>
      </c>
      <c r="L2953" s="0" t="n">
        <f aca="false">G2953</f>
        <v>-0.25</v>
      </c>
      <c r="M2953" s="0" t="n">
        <f aca="false">H2953</f>
        <v>0.25</v>
      </c>
      <c r="N2953" s="0" t="n">
        <f aca="false">E2953*F2953</f>
        <v>-0</v>
      </c>
      <c r="O2953" s="0" t="n">
        <f aca="false">E2953*G2953</f>
        <v>-0</v>
      </c>
      <c r="P2953" s="0" t="n">
        <f aca="false">E2953*H2953</f>
        <v>0</v>
      </c>
      <c r="Q2953" s="0" t="n">
        <f aca="false">F2953*G2953</f>
        <v>0.25</v>
      </c>
      <c r="R2953" s="0" t="n">
        <f aca="false">F2953*H2953</f>
        <v>-0.25</v>
      </c>
      <c r="S2953" s="0" t="n">
        <f aca="false">G2953*H2953</f>
        <v>-0.0625</v>
      </c>
      <c r="T2953" s="0" t="n">
        <f aca="false">E2953*E2953</f>
        <v>0</v>
      </c>
      <c r="U2953" s="0" t="n">
        <f aca="false">F2953*F2953</f>
        <v>1</v>
      </c>
      <c r="V2953" s="0" t="n">
        <f aca="false">G2953*G2953</f>
        <v>0.0625</v>
      </c>
      <c r="W2953" s="0" t="n">
        <f aca="false">H2953*H2953</f>
        <v>0.0625</v>
      </c>
      <c r="X2953" s="0" t="n">
        <f aca="false">SUMPRODUCT(I2953:W2953,_XtX!$B$96:$P$96)</f>
        <v>43.1332739400584</v>
      </c>
      <c r="Y2953" s="0" t="n">
        <f aca="false">SUMPRODUCT(MMULT(I2953:W2953,_XtX!$B$78:$P$92),I2953:W2953)</f>
        <v>0.467417934484649</v>
      </c>
      <c r="Z2953" s="0" t="n">
        <f aca="false">04_回帰ANOVA!$K$19*04_回帰ANOVA!$K$14*SQRT(1+Y2953)</f>
        <v>1.57897518244497</v>
      </c>
      <c r="AA2953" s="0" t="n">
        <f aca="false">X2953-Z2953</f>
        <v>41.5542987576134</v>
      </c>
      <c r="AB2953" s="0" t="n">
        <f aca="false">X2953+Z2953</f>
        <v>44.7122491225034</v>
      </c>
      <c r="AC2953" s="54" t="b">
        <f aca="false">AND(E2953&gt;=01_因子設定!$L$5-0.000000001,E2953&lt;=01_因子設定!$M$5+0.000000001,F2953&gt;=01_因子設定!$L$6-0.000000001,F2953&lt;=01_因子設定!$M$6+0.000000001,G2953&gt;=01_因子設定!$L$7-0.000000001,G2953&lt;=01_因子設定!$M$7+0.000000001,H2953&gt;=01_因子設定!$L$8-0.000000001,H2953&lt;=01_因子設定!$M$8+0.000000001,IF(01_因子設定!$B$20="Box-Behnken",E2953^2+F2953^2+G2953^2+H2953^2&lt;=2+0.000000001,TRUE()))</f>
        <v>1</v>
      </c>
      <c r="AD2953" s="55" t="n">
        <f aca="false">IF(AC2953,IF(01_因子設定!$B$13="最大化",AA2953-01_因子設定!$B$14,IF(01_因子設定!$B$13="最小化",01_因子設定!$B$15-AB2953,MIN(AA2953-01_因子設定!$B$14,01_因子設定!$B$15-AB2953))),-1E+030)</f>
        <v>-4.94570124238656</v>
      </c>
      <c r="AE2953" s="55" t="n">
        <f aca="false">IF(AC2953,IF(01_因子設定!$B$13="最大化",X2953,IF(01_因子設定!$B$13="最小化",-X2953,-ABS(X2953-01_因子設定!$B$16))),-1E+030)</f>
        <v>43.1332739400584</v>
      </c>
      <c r="AF2953" s="55" t="n">
        <f aca="false">AD2953+ROW()*0.000000001</f>
        <v>-4.94569828938656</v>
      </c>
      <c r="AG2953" s="55" t="n">
        <f aca="false">AE2953+ROW()*0.000000001</f>
        <v>43.1332768930584</v>
      </c>
    </row>
    <row r="2954" customFormat="false" ht="15" hidden="false" customHeight="false" outlineLevel="0" collapsed="false">
      <c r="A2954" s="0" t="n">
        <v>4</v>
      </c>
      <c r="B2954" s="0" t="n">
        <v>0</v>
      </c>
      <c r="C2954" s="0" t="n">
        <v>3</v>
      </c>
      <c r="D2954" s="0" t="n">
        <v>6</v>
      </c>
      <c r="E2954" s="0" t="n">
        <f aca="false">-1+A2954*0.25</f>
        <v>0</v>
      </c>
      <c r="F2954" s="0" t="n">
        <f aca="false">-1+B2954*0.25</f>
        <v>-1</v>
      </c>
      <c r="G2954" s="0" t="n">
        <f aca="false">-1+C2954*0.25</f>
        <v>-0.25</v>
      </c>
      <c r="H2954" s="0" t="n">
        <f aca="false">-1+D2954*0.25</f>
        <v>0.5</v>
      </c>
      <c r="I2954" s="0" t="n">
        <f aca="false">1</f>
        <v>1</v>
      </c>
      <c r="J2954" s="0" t="n">
        <f aca="false">E2954</f>
        <v>0</v>
      </c>
      <c r="K2954" s="0" t="n">
        <f aca="false">F2954</f>
        <v>-1</v>
      </c>
      <c r="L2954" s="0" t="n">
        <f aca="false">G2954</f>
        <v>-0.25</v>
      </c>
      <c r="M2954" s="0" t="n">
        <f aca="false">H2954</f>
        <v>0.5</v>
      </c>
      <c r="N2954" s="0" t="n">
        <f aca="false">E2954*F2954</f>
        <v>-0</v>
      </c>
      <c r="O2954" s="0" t="n">
        <f aca="false">E2954*G2954</f>
        <v>-0</v>
      </c>
      <c r="P2954" s="0" t="n">
        <f aca="false">E2954*H2954</f>
        <v>0</v>
      </c>
      <c r="Q2954" s="0" t="n">
        <f aca="false">F2954*G2954</f>
        <v>0.25</v>
      </c>
      <c r="R2954" s="0" t="n">
        <f aca="false">F2954*H2954</f>
        <v>-0.5</v>
      </c>
      <c r="S2954" s="0" t="n">
        <f aca="false">G2954*H2954</f>
        <v>-0.125</v>
      </c>
      <c r="T2954" s="0" t="n">
        <f aca="false">E2954*E2954</f>
        <v>0</v>
      </c>
      <c r="U2954" s="0" t="n">
        <f aca="false">F2954*F2954</f>
        <v>1</v>
      </c>
      <c r="V2954" s="0" t="n">
        <f aca="false">G2954*G2954</f>
        <v>0.0625</v>
      </c>
      <c r="W2954" s="0" t="n">
        <f aca="false">H2954*H2954</f>
        <v>0.25</v>
      </c>
      <c r="X2954" s="0" t="n">
        <f aca="false">SUMPRODUCT(I2954:W2954,_XtX!$B$96:$P$96)</f>
        <v>43.1981085526315</v>
      </c>
      <c r="Y2954" s="0" t="n">
        <f aca="false">SUMPRODUCT(MMULT(I2954:W2954,_XtX!$B$78:$P$92),I2954:W2954)</f>
        <v>0.457596628289474</v>
      </c>
      <c r="Z2954" s="0" t="n">
        <f aca="false">04_回帰ANOVA!$K$19*04_回帰ANOVA!$K$14*SQRT(1+Y2954)</f>
        <v>1.57368233664366</v>
      </c>
      <c r="AA2954" s="0" t="n">
        <f aca="false">X2954-Z2954</f>
        <v>41.6244262159879</v>
      </c>
      <c r="AB2954" s="0" t="n">
        <f aca="false">X2954+Z2954</f>
        <v>44.7717908892752</v>
      </c>
      <c r="AC2954" s="54" t="b">
        <f aca="false">AND(E2954&gt;=01_因子設定!$L$5-0.000000001,E2954&lt;=01_因子設定!$M$5+0.000000001,F2954&gt;=01_因子設定!$L$6-0.000000001,F2954&lt;=01_因子設定!$M$6+0.000000001,G2954&gt;=01_因子設定!$L$7-0.000000001,G2954&lt;=01_因子設定!$M$7+0.000000001,H2954&gt;=01_因子設定!$L$8-0.000000001,H2954&lt;=01_因子設定!$M$8+0.000000001,IF(01_因子設定!$B$20="Box-Behnken",E2954^2+F2954^2+G2954^2+H2954^2&lt;=2+0.000000001,TRUE()))</f>
        <v>1</v>
      </c>
      <c r="AD2954" s="55" t="n">
        <f aca="false">IF(AC2954,IF(01_因子設定!$B$13="最大化",AA2954-01_因子設定!$B$14,IF(01_因子設定!$B$13="最小化",01_因子設定!$B$15-AB2954,MIN(AA2954-01_因子設定!$B$14,01_因子設定!$B$15-AB2954))),-1E+030)</f>
        <v>-4.87557378401213</v>
      </c>
      <c r="AE2954" s="55" t="n">
        <f aca="false">IF(AC2954,IF(01_因子設定!$B$13="最大化",X2954,IF(01_因子設定!$B$13="最小化",-X2954,-ABS(X2954-01_因子設定!$B$16))),-1E+030)</f>
        <v>43.1981085526315</v>
      </c>
      <c r="AF2954" s="55" t="n">
        <f aca="false">AD2954+ROW()*0.000000001</f>
        <v>-4.87557083001213</v>
      </c>
      <c r="AG2954" s="55" t="n">
        <f aca="false">AE2954+ROW()*0.000000001</f>
        <v>43.1981115066315</v>
      </c>
    </row>
    <row r="2955" customFormat="false" ht="15" hidden="false" customHeight="false" outlineLevel="0" collapsed="false">
      <c r="A2955" s="0" t="n">
        <v>4</v>
      </c>
      <c r="B2955" s="0" t="n">
        <v>0</v>
      </c>
      <c r="C2955" s="0" t="n">
        <v>3</v>
      </c>
      <c r="D2955" s="0" t="n">
        <v>7</v>
      </c>
      <c r="E2955" s="0" t="n">
        <f aca="false">-1+A2955*0.25</f>
        <v>0</v>
      </c>
      <c r="F2955" s="0" t="n">
        <f aca="false">-1+B2955*0.25</f>
        <v>-1</v>
      </c>
      <c r="G2955" s="0" t="n">
        <f aca="false">-1+C2955*0.25</f>
        <v>-0.25</v>
      </c>
      <c r="H2955" s="0" t="n">
        <f aca="false">-1+D2955*0.25</f>
        <v>0.75</v>
      </c>
      <c r="I2955" s="0" t="n">
        <f aca="false">1</f>
        <v>1</v>
      </c>
      <c r="J2955" s="0" t="n">
        <f aca="false">E2955</f>
        <v>0</v>
      </c>
      <c r="K2955" s="0" t="n">
        <f aca="false">F2955</f>
        <v>-1</v>
      </c>
      <c r="L2955" s="0" t="n">
        <f aca="false">G2955</f>
        <v>-0.25</v>
      </c>
      <c r="M2955" s="0" t="n">
        <f aca="false">H2955</f>
        <v>0.75</v>
      </c>
      <c r="N2955" s="0" t="n">
        <f aca="false">E2955*F2955</f>
        <v>-0</v>
      </c>
      <c r="O2955" s="0" t="n">
        <f aca="false">E2955*G2955</f>
        <v>-0</v>
      </c>
      <c r="P2955" s="0" t="n">
        <f aca="false">E2955*H2955</f>
        <v>0</v>
      </c>
      <c r="Q2955" s="0" t="n">
        <f aca="false">F2955*G2955</f>
        <v>0.25</v>
      </c>
      <c r="R2955" s="0" t="n">
        <f aca="false">F2955*H2955</f>
        <v>-0.75</v>
      </c>
      <c r="S2955" s="0" t="n">
        <f aca="false">G2955*H2955</f>
        <v>-0.1875</v>
      </c>
      <c r="T2955" s="0" t="n">
        <f aca="false">E2955*E2955</f>
        <v>0</v>
      </c>
      <c r="U2955" s="0" t="n">
        <f aca="false">F2955*F2955</f>
        <v>1</v>
      </c>
      <c r="V2955" s="0" t="n">
        <f aca="false">G2955*G2955</f>
        <v>0.0625</v>
      </c>
      <c r="W2955" s="0" t="n">
        <f aca="false">H2955*H2955</f>
        <v>0.5625</v>
      </c>
      <c r="X2955" s="0" t="n">
        <f aca="false">SUMPRODUCT(I2955:W2955,_XtX!$B$96:$P$96)</f>
        <v>43.2151361476608</v>
      </c>
      <c r="Y2955" s="0" t="n">
        <f aca="false">SUMPRODUCT(MMULT(I2955:W2955,_XtX!$B$78:$P$92),I2955:W2955)</f>
        <v>0.501534802174708</v>
      </c>
      <c r="Z2955" s="0" t="n">
        <f aca="false">04_回帰ANOVA!$K$19*04_回帰ANOVA!$K$14*SQRT(1+Y2955)</f>
        <v>1.59722498091333</v>
      </c>
      <c r="AA2955" s="0" t="n">
        <f aca="false">X2955-Z2955</f>
        <v>41.6179111667474</v>
      </c>
      <c r="AB2955" s="0" t="n">
        <f aca="false">X2955+Z2955</f>
        <v>44.8123611285741</v>
      </c>
      <c r="AC2955" s="54" t="b">
        <f aca="false">AND(E2955&gt;=01_因子設定!$L$5-0.000000001,E2955&lt;=01_因子設定!$M$5+0.000000001,F2955&gt;=01_因子設定!$L$6-0.000000001,F2955&lt;=01_因子設定!$M$6+0.000000001,G2955&gt;=01_因子設定!$L$7-0.000000001,G2955&lt;=01_因子設定!$M$7+0.000000001,H2955&gt;=01_因子設定!$L$8-0.000000001,H2955&lt;=01_因子設定!$M$8+0.000000001,IF(01_因子設定!$B$20="Box-Behnken",E2955^2+F2955^2+G2955^2+H2955^2&lt;=2+0.000000001,TRUE()))</f>
        <v>1</v>
      </c>
      <c r="AD2955" s="55" t="n">
        <f aca="false">IF(AC2955,IF(01_因子設定!$B$13="最大化",AA2955-01_因子設定!$B$14,IF(01_因子設定!$B$13="最小化",01_因子設定!$B$15-AB2955,MIN(AA2955-01_因子設定!$B$14,01_因子設定!$B$15-AB2955))),-1E+030)</f>
        <v>-4.88208883325256</v>
      </c>
      <c r="AE2955" s="55" t="n">
        <f aca="false">IF(AC2955,IF(01_因子設定!$B$13="最大化",X2955,IF(01_因子設定!$B$13="最小化",-X2955,-ABS(X2955-01_因子設定!$B$16))),-1E+030)</f>
        <v>43.2151361476608</v>
      </c>
      <c r="AF2955" s="55" t="n">
        <f aca="false">AD2955+ROW()*0.000000001</f>
        <v>-4.88208587825256</v>
      </c>
      <c r="AG2955" s="55" t="n">
        <f aca="false">AE2955+ROW()*0.000000001</f>
        <v>43.2151391026608</v>
      </c>
    </row>
    <row r="2956" customFormat="false" ht="15" hidden="false" customHeight="false" outlineLevel="0" collapsed="false">
      <c r="A2956" s="0" t="n">
        <v>4</v>
      </c>
      <c r="B2956" s="0" t="n">
        <v>0</v>
      </c>
      <c r="C2956" s="0" t="n">
        <v>3</v>
      </c>
      <c r="D2956" s="0" t="n">
        <v>8</v>
      </c>
      <c r="E2956" s="0" t="n">
        <f aca="false">-1+A2956*0.25</f>
        <v>0</v>
      </c>
      <c r="F2956" s="0" t="n">
        <f aca="false">-1+B2956*0.25</f>
        <v>-1</v>
      </c>
      <c r="G2956" s="0" t="n">
        <f aca="false">-1+C2956*0.25</f>
        <v>-0.25</v>
      </c>
      <c r="H2956" s="0" t="n">
        <f aca="false">-1+D2956*0.25</f>
        <v>1</v>
      </c>
      <c r="I2956" s="0" t="n">
        <f aca="false">1</f>
        <v>1</v>
      </c>
      <c r="J2956" s="0" t="n">
        <f aca="false">E2956</f>
        <v>0</v>
      </c>
      <c r="K2956" s="0" t="n">
        <f aca="false">F2956</f>
        <v>-1</v>
      </c>
      <c r="L2956" s="0" t="n">
        <f aca="false">G2956</f>
        <v>-0.25</v>
      </c>
      <c r="M2956" s="0" t="n">
        <f aca="false">H2956</f>
        <v>1</v>
      </c>
      <c r="N2956" s="0" t="n">
        <f aca="false">E2956*F2956</f>
        <v>-0</v>
      </c>
      <c r="O2956" s="0" t="n">
        <f aca="false">E2956*G2956</f>
        <v>-0</v>
      </c>
      <c r="P2956" s="0" t="n">
        <f aca="false">E2956*H2956</f>
        <v>0</v>
      </c>
      <c r="Q2956" s="0" t="n">
        <f aca="false">F2956*G2956</f>
        <v>0.25</v>
      </c>
      <c r="R2956" s="0" t="n">
        <f aca="false">F2956*H2956</f>
        <v>-1</v>
      </c>
      <c r="S2956" s="0" t="n">
        <f aca="false">G2956*H2956</f>
        <v>-0.25</v>
      </c>
      <c r="T2956" s="0" t="n">
        <f aca="false">E2956*E2956</f>
        <v>0</v>
      </c>
      <c r="U2956" s="0" t="n">
        <f aca="false">F2956*F2956</f>
        <v>1</v>
      </c>
      <c r="V2956" s="0" t="n">
        <f aca="false">G2956*G2956</f>
        <v>0.0625</v>
      </c>
      <c r="W2956" s="0" t="n">
        <f aca="false">H2956*H2956</f>
        <v>1</v>
      </c>
      <c r="X2956" s="0" t="n">
        <f aca="false">SUMPRODUCT(I2956:W2956,_XtX!$B$96:$P$96)</f>
        <v>43.1843567251462</v>
      </c>
      <c r="Y2956" s="0" t="n">
        <f aca="false">SUMPRODUCT(MMULT(I2956:W2956,_XtX!$B$78:$P$92),I2956:W2956)</f>
        <v>0.689692982456141</v>
      </c>
      <c r="Z2956" s="0" t="n">
        <f aca="false">04_回帰ANOVA!$K$19*04_回帰ANOVA!$K$14*SQRT(1+Y2956)</f>
        <v>1.69434674594998</v>
      </c>
      <c r="AA2956" s="0" t="n">
        <f aca="false">X2956-Z2956</f>
        <v>41.4900099791962</v>
      </c>
      <c r="AB2956" s="0" t="n">
        <f aca="false">X2956+Z2956</f>
        <v>44.8787034710962</v>
      </c>
      <c r="AC2956" s="54" t="b">
        <f aca="false">AND(E2956&gt;=01_因子設定!$L$5-0.000000001,E2956&lt;=01_因子設定!$M$5+0.000000001,F2956&gt;=01_因子設定!$L$6-0.000000001,F2956&lt;=01_因子設定!$M$6+0.000000001,G2956&gt;=01_因子設定!$L$7-0.000000001,G2956&lt;=01_因子設定!$M$7+0.000000001,H2956&gt;=01_因子設定!$L$8-0.000000001,H2956&lt;=01_因子設定!$M$8+0.000000001,IF(01_因子設定!$B$20="Box-Behnken",E2956^2+F2956^2+G2956^2+H2956^2&lt;=2+0.000000001,TRUE()))</f>
        <v>1</v>
      </c>
      <c r="AD2956" s="55" t="n">
        <f aca="false">IF(AC2956,IF(01_因子設定!$B$13="最大化",AA2956-01_因子設定!$B$14,IF(01_因子設定!$B$13="最小化",01_因子設定!$B$15-AB2956,MIN(AA2956-01_因子設定!$B$14,01_因子設定!$B$15-AB2956))),-1E+030)</f>
        <v>-5.00999002080382</v>
      </c>
      <c r="AE2956" s="55" t="n">
        <f aca="false">IF(AC2956,IF(01_因子設定!$B$13="最大化",X2956,IF(01_因子設定!$B$13="最小化",-X2956,-ABS(X2956-01_因子設定!$B$16))),-1E+030)</f>
        <v>43.1843567251462</v>
      </c>
      <c r="AF2956" s="55" t="n">
        <f aca="false">AD2956+ROW()*0.000000001</f>
        <v>-5.00998706480382</v>
      </c>
      <c r="AG2956" s="55" t="n">
        <f aca="false">AE2956+ROW()*0.000000001</f>
        <v>43.1843596811462</v>
      </c>
    </row>
    <row r="2957" customFormat="false" ht="15" hidden="false" customHeight="false" outlineLevel="0" collapsed="false">
      <c r="A2957" s="0" t="n">
        <v>4</v>
      </c>
      <c r="B2957" s="0" t="n">
        <v>0</v>
      </c>
      <c r="C2957" s="0" t="n">
        <v>4</v>
      </c>
      <c r="D2957" s="0" t="n">
        <v>0</v>
      </c>
      <c r="E2957" s="0" t="n">
        <f aca="false">-1+A2957*0.25</f>
        <v>0</v>
      </c>
      <c r="F2957" s="0" t="n">
        <f aca="false">-1+B2957*0.25</f>
        <v>-1</v>
      </c>
      <c r="G2957" s="0" t="n">
        <f aca="false">-1+C2957*0.25</f>
        <v>0</v>
      </c>
      <c r="H2957" s="0" t="n">
        <f aca="false">-1+D2957*0.25</f>
        <v>-1</v>
      </c>
      <c r="I2957" s="0" t="n">
        <f aca="false">1</f>
        <v>1</v>
      </c>
      <c r="J2957" s="0" t="n">
        <f aca="false">E2957</f>
        <v>0</v>
      </c>
      <c r="K2957" s="0" t="n">
        <f aca="false">F2957</f>
        <v>-1</v>
      </c>
      <c r="L2957" s="0" t="n">
        <f aca="false">G2957</f>
        <v>0</v>
      </c>
      <c r="M2957" s="0" t="n">
        <f aca="false">H2957</f>
        <v>-1</v>
      </c>
      <c r="N2957" s="0" t="n">
        <f aca="false">E2957*F2957</f>
        <v>-0</v>
      </c>
      <c r="O2957" s="0" t="n">
        <f aca="false">E2957*G2957</f>
        <v>0</v>
      </c>
      <c r="P2957" s="0" t="n">
        <f aca="false">E2957*H2957</f>
        <v>-0</v>
      </c>
      <c r="Q2957" s="0" t="n">
        <f aca="false">F2957*G2957</f>
        <v>-0</v>
      </c>
      <c r="R2957" s="0" t="n">
        <f aca="false">F2957*H2957</f>
        <v>1</v>
      </c>
      <c r="S2957" s="0" t="n">
        <f aca="false">G2957*H2957</f>
        <v>-0</v>
      </c>
      <c r="T2957" s="0" t="n">
        <f aca="false">E2957*E2957</f>
        <v>0</v>
      </c>
      <c r="U2957" s="0" t="n">
        <f aca="false">F2957*F2957</f>
        <v>1</v>
      </c>
      <c r="V2957" s="0" t="n">
        <f aca="false">G2957*G2957</f>
        <v>0</v>
      </c>
      <c r="W2957" s="0" t="n">
        <f aca="false">H2957*H2957</f>
        <v>1</v>
      </c>
      <c r="X2957" s="0" t="n">
        <f aca="false">SUMPRODUCT(I2957:W2957,_XtX!$B$96:$P$96)</f>
        <v>42.2304824561403</v>
      </c>
      <c r="Y2957" s="0" t="n">
        <f aca="false">SUMPRODUCT(MMULT(I2957:W2957,_XtX!$B$78:$P$92),I2957:W2957)</f>
        <v>0.708698830409357</v>
      </c>
      <c r="Z2957" s="0" t="n">
        <f aca="false">04_回帰ANOVA!$K$19*04_回帰ANOVA!$K$14*SQRT(1+Y2957)</f>
        <v>1.70384919651719</v>
      </c>
      <c r="AA2957" s="0" t="n">
        <f aca="false">X2957-Z2957</f>
        <v>40.5266332596231</v>
      </c>
      <c r="AB2957" s="0" t="n">
        <f aca="false">X2957+Z2957</f>
        <v>43.9343316526575</v>
      </c>
      <c r="AC2957" s="54" t="b">
        <f aca="false">AND(E2957&gt;=01_因子設定!$L$5-0.000000001,E2957&lt;=01_因子設定!$M$5+0.000000001,F2957&gt;=01_因子設定!$L$6-0.000000001,F2957&lt;=01_因子設定!$M$6+0.000000001,G2957&gt;=01_因子設定!$L$7-0.000000001,G2957&lt;=01_因子設定!$M$7+0.000000001,H2957&gt;=01_因子設定!$L$8-0.000000001,H2957&lt;=01_因子設定!$M$8+0.000000001,IF(01_因子設定!$B$20="Box-Behnken",E2957^2+F2957^2+G2957^2+H2957^2&lt;=2+0.000000001,TRUE()))</f>
        <v>1</v>
      </c>
      <c r="AD2957" s="55" t="n">
        <f aca="false">IF(AC2957,IF(01_因子設定!$B$13="最大化",AA2957-01_因子設定!$B$14,IF(01_因子設定!$B$13="最小化",01_因子設定!$B$15-AB2957,MIN(AA2957-01_因子設定!$B$14,01_因子設定!$B$15-AB2957))),-1E+030)</f>
        <v>-5.97336674037687</v>
      </c>
      <c r="AE2957" s="55" t="n">
        <f aca="false">IF(AC2957,IF(01_因子設定!$B$13="最大化",X2957,IF(01_因子設定!$B$13="最小化",-X2957,-ABS(X2957-01_因子設定!$B$16))),-1E+030)</f>
        <v>42.2304824561403</v>
      </c>
      <c r="AF2957" s="55" t="n">
        <f aca="false">AD2957+ROW()*0.000000001</f>
        <v>-5.97336378337687</v>
      </c>
      <c r="AG2957" s="55" t="n">
        <f aca="false">AE2957+ROW()*0.000000001</f>
        <v>42.2304854131403</v>
      </c>
    </row>
    <row r="2958" customFormat="false" ht="15" hidden="false" customHeight="false" outlineLevel="0" collapsed="false">
      <c r="A2958" s="0" t="n">
        <v>4</v>
      </c>
      <c r="B2958" s="0" t="n">
        <v>0</v>
      </c>
      <c r="C2958" s="0" t="n">
        <v>4</v>
      </c>
      <c r="D2958" s="0" t="n">
        <v>1</v>
      </c>
      <c r="E2958" s="0" t="n">
        <f aca="false">-1+A2958*0.25</f>
        <v>0</v>
      </c>
      <c r="F2958" s="0" t="n">
        <f aca="false">-1+B2958*0.25</f>
        <v>-1</v>
      </c>
      <c r="G2958" s="0" t="n">
        <f aca="false">-1+C2958*0.25</f>
        <v>0</v>
      </c>
      <c r="H2958" s="0" t="n">
        <f aca="false">-1+D2958*0.25</f>
        <v>-0.75</v>
      </c>
      <c r="I2958" s="0" t="n">
        <f aca="false">1</f>
        <v>1</v>
      </c>
      <c r="J2958" s="0" t="n">
        <f aca="false">E2958</f>
        <v>0</v>
      </c>
      <c r="K2958" s="0" t="n">
        <f aca="false">F2958</f>
        <v>-1</v>
      </c>
      <c r="L2958" s="0" t="n">
        <f aca="false">G2958</f>
        <v>0</v>
      </c>
      <c r="M2958" s="0" t="n">
        <f aca="false">H2958</f>
        <v>-0.75</v>
      </c>
      <c r="N2958" s="0" t="n">
        <f aca="false">E2958*F2958</f>
        <v>-0</v>
      </c>
      <c r="O2958" s="0" t="n">
        <f aca="false">E2958*G2958</f>
        <v>0</v>
      </c>
      <c r="P2958" s="0" t="n">
        <f aca="false">E2958*H2958</f>
        <v>-0</v>
      </c>
      <c r="Q2958" s="0" t="n">
        <f aca="false">F2958*G2958</f>
        <v>-0</v>
      </c>
      <c r="R2958" s="0" t="n">
        <f aca="false">F2958*H2958</f>
        <v>0.75</v>
      </c>
      <c r="S2958" s="0" t="n">
        <f aca="false">G2958*H2958</f>
        <v>-0</v>
      </c>
      <c r="T2958" s="0" t="n">
        <f aca="false">E2958*E2958</f>
        <v>0</v>
      </c>
      <c r="U2958" s="0" t="n">
        <f aca="false">F2958*F2958</f>
        <v>1</v>
      </c>
      <c r="V2958" s="0" t="n">
        <f aca="false">G2958*G2958</f>
        <v>0</v>
      </c>
      <c r="W2958" s="0" t="n">
        <f aca="false">H2958*H2958</f>
        <v>0.5625</v>
      </c>
      <c r="X2958" s="0" t="n">
        <f aca="false">SUMPRODUCT(I2958:W2958,_XtX!$B$96:$P$96)</f>
        <v>42.5523209064327</v>
      </c>
      <c r="Y2958" s="0" t="n">
        <f aca="false">SUMPRODUCT(MMULT(I2958:W2958,_XtX!$B$78:$P$92),I2958:W2958)</f>
        <v>0.516013340643275</v>
      </c>
      <c r="Z2958" s="0" t="n">
        <f aca="false">04_回帰ANOVA!$K$19*04_回帰ANOVA!$K$14*SQRT(1+Y2958)</f>
        <v>1.60490712175667</v>
      </c>
      <c r="AA2958" s="0" t="n">
        <f aca="false">X2958-Z2958</f>
        <v>40.947413784676</v>
      </c>
      <c r="AB2958" s="0" t="n">
        <f aca="false">X2958+Z2958</f>
        <v>44.1572280281894</v>
      </c>
      <c r="AC2958" s="54" t="b">
        <f aca="false">AND(E2958&gt;=01_因子設定!$L$5-0.000000001,E2958&lt;=01_因子設定!$M$5+0.000000001,F2958&gt;=01_因子設定!$L$6-0.000000001,F2958&lt;=01_因子設定!$M$6+0.000000001,G2958&gt;=01_因子設定!$L$7-0.000000001,G2958&lt;=01_因子設定!$M$7+0.000000001,H2958&gt;=01_因子設定!$L$8-0.000000001,H2958&lt;=01_因子設定!$M$8+0.000000001,IF(01_因子設定!$B$20="Box-Behnken",E2958^2+F2958^2+G2958^2+H2958^2&lt;=2+0.000000001,TRUE()))</f>
        <v>1</v>
      </c>
      <c r="AD2958" s="55" t="n">
        <f aca="false">IF(AC2958,IF(01_因子設定!$B$13="最大化",AA2958-01_因子設定!$B$14,IF(01_因子設定!$B$13="最小化",01_因子設定!$B$15-AB2958,MIN(AA2958-01_因子設定!$B$14,01_因子設定!$B$15-AB2958))),-1E+030)</f>
        <v>-5.55258621532396</v>
      </c>
      <c r="AE2958" s="55" t="n">
        <f aca="false">IF(AC2958,IF(01_因子設定!$B$13="最大化",X2958,IF(01_因子設定!$B$13="最小化",-X2958,-ABS(X2958-01_因子設定!$B$16))),-1E+030)</f>
        <v>42.5523209064327</v>
      </c>
      <c r="AF2958" s="55" t="n">
        <f aca="false">AD2958+ROW()*0.000000001</f>
        <v>-5.55258325732396</v>
      </c>
      <c r="AG2958" s="55" t="n">
        <f aca="false">AE2958+ROW()*0.000000001</f>
        <v>42.5523238644327</v>
      </c>
    </row>
    <row r="2959" customFormat="false" ht="15" hidden="false" customHeight="false" outlineLevel="0" collapsed="false">
      <c r="A2959" s="0" t="n">
        <v>4</v>
      </c>
      <c r="B2959" s="0" t="n">
        <v>0</v>
      </c>
      <c r="C2959" s="0" t="n">
        <v>4</v>
      </c>
      <c r="D2959" s="0" t="n">
        <v>2</v>
      </c>
      <c r="E2959" s="0" t="n">
        <f aca="false">-1+A2959*0.25</f>
        <v>0</v>
      </c>
      <c r="F2959" s="0" t="n">
        <f aca="false">-1+B2959*0.25</f>
        <v>-1</v>
      </c>
      <c r="G2959" s="0" t="n">
        <f aca="false">-1+C2959*0.25</f>
        <v>0</v>
      </c>
      <c r="H2959" s="0" t="n">
        <f aca="false">-1+D2959*0.25</f>
        <v>-0.5</v>
      </c>
      <c r="I2959" s="0" t="n">
        <f aca="false">1</f>
        <v>1</v>
      </c>
      <c r="J2959" s="0" t="n">
        <f aca="false">E2959</f>
        <v>0</v>
      </c>
      <c r="K2959" s="0" t="n">
        <f aca="false">F2959</f>
        <v>-1</v>
      </c>
      <c r="L2959" s="0" t="n">
        <f aca="false">G2959</f>
        <v>0</v>
      </c>
      <c r="M2959" s="0" t="n">
        <f aca="false">H2959</f>
        <v>-0.5</v>
      </c>
      <c r="N2959" s="0" t="n">
        <f aca="false">E2959*F2959</f>
        <v>-0</v>
      </c>
      <c r="O2959" s="0" t="n">
        <f aca="false">E2959*G2959</f>
        <v>0</v>
      </c>
      <c r="P2959" s="0" t="n">
        <f aca="false">E2959*H2959</f>
        <v>-0</v>
      </c>
      <c r="Q2959" s="0" t="n">
        <f aca="false">F2959*G2959</f>
        <v>-0</v>
      </c>
      <c r="R2959" s="0" t="n">
        <f aca="false">F2959*H2959</f>
        <v>0.5</v>
      </c>
      <c r="S2959" s="0" t="n">
        <f aca="false">G2959*H2959</f>
        <v>-0</v>
      </c>
      <c r="T2959" s="0" t="n">
        <f aca="false">E2959*E2959</f>
        <v>0</v>
      </c>
      <c r="U2959" s="0" t="n">
        <f aca="false">F2959*F2959</f>
        <v>1</v>
      </c>
      <c r="V2959" s="0" t="n">
        <f aca="false">G2959*G2959</f>
        <v>0</v>
      </c>
      <c r="W2959" s="0" t="n">
        <f aca="false">H2959*H2959</f>
        <v>0.25</v>
      </c>
      <c r="X2959" s="0" t="n">
        <f aca="false">SUMPRODUCT(I2959:W2959,_XtX!$B$96:$P$96)</f>
        <v>42.8263523391812</v>
      </c>
      <c r="Y2959" s="0" t="n">
        <f aca="false">SUMPRODUCT(MMULT(I2959:W2959,_XtX!$B$78:$P$92),I2959:W2959)</f>
        <v>0.468841374269006</v>
      </c>
      <c r="Z2959" s="0" t="n">
        <f aca="false">04_回帰ANOVA!$K$19*04_回帰ANOVA!$K$14*SQRT(1+Y2959)</f>
        <v>1.57974082366087</v>
      </c>
      <c r="AA2959" s="0" t="n">
        <f aca="false">X2959-Z2959</f>
        <v>41.2466115155204</v>
      </c>
      <c r="AB2959" s="0" t="n">
        <f aca="false">X2959+Z2959</f>
        <v>44.4060931628421</v>
      </c>
      <c r="AC2959" s="54" t="b">
        <f aca="false">AND(E2959&gt;=01_因子設定!$L$5-0.000000001,E2959&lt;=01_因子設定!$M$5+0.000000001,F2959&gt;=01_因子設定!$L$6-0.000000001,F2959&lt;=01_因子設定!$M$6+0.000000001,G2959&gt;=01_因子設定!$L$7-0.000000001,G2959&lt;=01_因子設定!$M$7+0.000000001,H2959&gt;=01_因子設定!$L$8-0.000000001,H2959&lt;=01_因子設定!$M$8+0.000000001,IF(01_因子設定!$B$20="Box-Behnken",E2959^2+F2959^2+G2959^2+H2959^2&lt;=2+0.000000001,TRUE()))</f>
        <v>1</v>
      </c>
      <c r="AD2959" s="55" t="n">
        <f aca="false">IF(AC2959,IF(01_因子設定!$B$13="最大化",AA2959-01_因子設定!$B$14,IF(01_因子設定!$B$13="最小化",01_因子設定!$B$15-AB2959,MIN(AA2959-01_因子設定!$B$14,01_因子設定!$B$15-AB2959))),-1E+030)</f>
        <v>-5.25338848447965</v>
      </c>
      <c r="AE2959" s="55" t="n">
        <f aca="false">IF(AC2959,IF(01_因子設定!$B$13="最大化",X2959,IF(01_因子設定!$B$13="最小化",-X2959,-ABS(X2959-01_因子設定!$B$16))),-1E+030)</f>
        <v>42.8263523391812</v>
      </c>
      <c r="AF2959" s="55" t="n">
        <f aca="false">AD2959+ROW()*0.000000001</f>
        <v>-5.25338552547965</v>
      </c>
      <c r="AG2959" s="55" t="n">
        <f aca="false">AE2959+ROW()*0.000000001</f>
        <v>42.8263552981812</v>
      </c>
    </row>
    <row r="2960" customFormat="false" ht="15" hidden="false" customHeight="false" outlineLevel="0" collapsed="false">
      <c r="A2960" s="0" t="n">
        <v>4</v>
      </c>
      <c r="B2960" s="0" t="n">
        <v>0</v>
      </c>
      <c r="C2960" s="0" t="n">
        <v>4</v>
      </c>
      <c r="D2960" s="0" t="n">
        <v>3</v>
      </c>
      <c r="E2960" s="0" t="n">
        <f aca="false">-1+A2960*0.25</f>
        <v>0</v>
      </c>
      <c r="F2960" s="0" t="n">
        <f aca="false">-1+B2960*0.25</f>
        <v>-1</v>
      </c>
      <c r="G2960" s="0" t="n">
        <f aca="false">-1+C2960*0.25</f>
        <v>0</v>
      </c>
      <c r="H2960" s="0" t="n">
        <f aca="false">-1+D2960*0.25</f>
        <v>-0.25</v>
      </c>
      <c r="I2960" s="0" t="n">
        <f aca="false">1</f>
        <v>1</v>
      </c>
      <c r="J2960" s="0" t="n">
        <f aca="false">E2960</f>
        <v>0</v>
      </c>
      <c r="K2960" s="0" t="n">
        <f aca="false">F2960</f>
        <v>-1</v>
      </c>
      <c r="L2960" s="0" t="n">
        <f aca="false">G2960</f>
        <v>0</v>
      </c>
      <c r="M2960" s="0" t="n">
        <f aca="false">H2960</f>
        <v>-0.25</v>
      </c>
      <c r="N2960" s="0" t="n">
        <f aca="false">E2960*F2960</f>
        <v>-0</v>
      </c>
      <c r="O2960" s="0" t="n">
        <f aca="false">E2960*G2960</f>
        <v>0</v>
      </c>
      <c r="P2960" s="0" t="n">
        <f aca="false">E2960*H2960</f>
        <v>-0</v>
      </c>
      <c r="Q2960" s="0" t="n">
        <f aca="false">F2960*G2960</f>
        <v>-0</v>
      </c>
      <c r="R2960" s="0" t="n">
        <f aca="false">F2960*H2960</f>
        <v>0.25</v>
      </c>
      <c r="S2960" s="0" t="n">
        <f aca="false">G2960*H2960</f>
        <v>-0</v>
      </c>
      <c r="T2960" s="0" t="n">
        <f aca="false">E2960*E2960</f>
        <v>0</v>
      </c>
      <c r="U2960" s="0" t="n">
        <f aca="false">F2960*F2960</f>
        <v>1</v>
      </c>
      <c r="V2960" s="0" t="n">
        <f aca="false">G2960*G2960</f>
        <v>0</v>
      </c>
      <c r="W2960" s="0" t="n">
        <f aca="false">H2960*H2960</f>
        <v>0.0625</v>
      </c>
      <c r="X2960" s="0" t="n">
        <f aca="false">SUMPRODUCT(I2960:W2960,_XtX!$B$96:$P$96)</f>
        <v>43.0525767543859</v>
      </c>
      <c r="Y2960" s="0" t="n">
        <f aca="false">SUMPRODUCT(MMULT(I2960:W2960,_XtX!$B$78:$P$92),I2960:W2960)</f>
        <v>0.47672240497076</v>
      </c>
      <c r="Z2960" s="0" t="n">
        <f aca="false">04_回帰ANOVA!$K$19*04_回帰ANOVA!$K$14*SQRT(1+Y2960)</f>
        <v>1.58397318352695</v>
      </c>
      <c r="AA2960" s="0" t="n">
        <f aca="false">X2960-Z2960</f>
        <v>41.468603570859</v>
      </c>
      <c r="AB2960" s="0" t="n">
        <f aca="false">X2960+Z2960</f>
        <v>44.6365499379129</v>
      </c>
      <c r="AC2960" s="54" t="b">
        <f aca="false">AND(E2960&gt;=01_因子設定!$L$5-0.000000001,E2960&lt;=01_因子設定!$M$5+0.000000001,F2960&gt;=01_因子設定!$L$6-0.000000001,F2960&lt;=01_因子設定!$M$6+0.000000001,G2960&gt;=01_因子設定!$L$7-0.000000001,G2960&lt;=01_因子設定!$M$7+0.000000001,H2960&gt;=01_因子設定!$L$8-0.000000001,H2960&lt;=01_因子設定!$M$8+0.000000001,IF(01_因子設定!$B$20="Box-Behnken",E2960^2+F2960^2+G2960^2+H2960^2&lt;=2+0.000000001,TRUE()))</f>
        <v>1</v>
      </c>
      <c r="AD2960" s="55" t="n">
        <f aca="false">IF(AC2960,IF(01_因子設定!$B$13="最大化",AA2960-01_因子設定!$B$14,IF(01_因子設定!$B$13="最小化",01_因子設定!$B$15-AB2960,MIN(AA2960-01_因子設定!$B$14,01_因子設定!$B$15-AB2960))),-1E+030)</f>
        <v>-5.03139642914104</v>
      </c>
      <c r="AE2960" s="55" t="n">
        <f aca="false">IF(AC2960,IF(01_因子設定!$B$13="最大化",X2960,IF(01_因子設定!$B$13="最小化",-X2960,-ABS(X2960-01_因子設定!$B$16))),-1E+030)</f>
        <v>43.0525767543859</v>
      </c>
      <c r="AF2960" s="55" t="n">
        <f aca="false">AD2960+ROW()*0.000000001</f>
        <v>-5.03139346914104</v>
      </c>
      <c r="AG2960" s="55" t="n">
        <f aca="false">AE2960+ROW()*0.000000001</f>
        <v>43.0525797143859</v>
      </c>
    </row>
    <row r="2961" customFormat="false" ht="15" hidden="false" customHeight="false" outlineLevel="0" collapsed="false">
      <c r="A2961" s="0" t="n">
        <v>4</v>
      </c>
      <c r="B2961" s="0" t="n">
        <v>0</v>
      </c>
      <c r="C2961" s="0" t="n">
        <v>4</v>
      </c>
      <c r="D2961" s="0" t="n">
        <v>4</v>
      </c>
      <c r="E2961" s="0" t="n">
        <f aca="false">-1+A2961*0.25</f>
        <v>0</v>
      </c>
      <c r="F2961" s="0" t="n">
        <f aca="false">-1+B2961*0.25</f>
        <v>-1</v>
      </c>
      <c r="G2961" s="0" t="n">
        <f aca="false">-1+C2961*0.25</f>
        <v>0</v>
      </c>
      <c r="H2961" s="0" t="n">
        <f aca="false">-1+D2961*0.25</f>
        <v>0</v>
      </c>
      <c r="I2961" s="0" t="n">
        <f aca="false">1</f>
        <v>1</v>
      </c>
      <c r="J2961" s="0" t="n">
        <f aca="false">E2961</f>
        <v>0</v>
      </c>
      <c r="K2961" s="0" t="n">
        <f aca="false">F2961</f>
        <v>-1</v>
      </c>
      <c r="L2961" s="0" t="n">
        <f aca="false">G2961</f>
        <v>0</v>
      </c>
      <c r="M2961" s="0" t="n">
        <f aca="false">H2961</f>
        <v>0</v>
      </c>
      <c r="N2961" s="0" t="n">
        <f aca="false">E2961*F2961</f>
        <v>-0</v>
      </c>
      <c r="O2961" s="0" t="n">
        <f aca="false">E2961*G2961</f>
        <v>0</v>
      </c>
      <c r="P2961" s="0" t="n">
        <f aca="false">E2961*H2961</f>
        <v>0</v>
      </c>
      <c r="Q2961" s="0" t="n">
        <f aca="false">F2961*G2961</f>
        <v>-0</v>
      </c>
      <c r="R2961" s="0" t="n">
        <f aca="false">F2961*H2961</f>
        <v>-0</v>
      </c>
      <c r="S2961" s="0" t="n">
        <f aca="false">G2961*H2961</f>
        <v>0</v>
      </c>
      <c r="T2961" s="0" t="n">
        <f aca="false">E2961*E2961</f>
        <v>0</v>
      </c>
      <c r="U2961" s="0" t="n">
        <f aca="false">F2961*F2961</f>
        <v>1</v>
      </c>
      <c r="V2961" s="0" t="n">
        <f aca="false">G2961*G2961</f>
        <v>0</v>
      </c>
      <c r="W2961" s="0" t="n">
        <f aca="false">H2961*H2961</f>
        <v>0</v>
      </c>
      <c r="X2961" s="0" t="n">
        <f aca="false">SUMPRODUCT(I2961:W2961,_XtX!$B$96:$P$96)</f>
        <v>43.2309941520467</v>
      </c>
      <c r="Y2961" s="0" t="n">
        <f aca="false">SUMPRODUCT(MMULT(I2961:W2961,_XtX!$B$78:$P$92),I2961:W2961)</f>
        <v>0.485380116959065</v>
      </c>
      <c r="Z2961" s="0" t="n">
        <f aca="false">04_回帰ANOVA!$K$19*04_回帰ANOVA!$K$14*SQRT(1+Y2961)</f>
        <v>1.58860964814545</v>
      </c>
      <c r="AA2961" s="0" t="n">
        <f aca="false">X2961-Z2961</f>
        <v>41.6423845039013</v>
      </c>
      <c r="AB2961" s="0" t="n">
        <f aca="false">X2961+Z2961</f>
        <v>44.8196038001922</v>
      </c>
      <c r="AC2961" s="54" t="b">
        <f aca="false">AND(E2961&gt;=01_因子設定!$L$5-0.000000001,E2961&lt;=01_因子設定!$M$5+0.000000001,F2961&gt;=01_因子設定!$L$6-0.000000001,F2961&lt;=01_因子設定!$M$6+0.000000001,G2961&gt;=01_因子設定!$L$7-0.000000001,G2961&lt;=01_因子設定!$M$7+0.000000001,H2961&gt;=01_因子設定!$L$8-0.000000001,H2961&lt;=01_因子設定!$M$8+0.000000001,IF(01_因子設定!$B$20="Box-Behnken",E2961^2+F2961^2+G2961^2+H2961^2&lt;=2+0.000000001,TRUE()))</f>
        <v>1</v>
      </c>
      <c r="AD2961" s="55" t="n">
        <f aca="false">IF(AC2961,IF(01_因子設定!$B$13="最大化",AA2961-01_因子設定!$B$14,IF(01_因子設定!$B$13="最小化",01_因子設定!$B$15-AB2961,MIN(AA2961-01_因子設定!$B$14,01_因子設定!$B$15-AB2961))),-1E+030)</f>
        <v>-4.85761549609873</v>
      </c>
      <c r="AE2961" s="55" t="n">
        <f aca="false">IF(AC2961,IF(01_因子設定!$B$13="最大化",X2961,IF(01_因子設定!$B$13="最小化",-X2961,-ABS(X2961-01_因子設定!$B$16))),-1E+030)</f>
        <v>43.2309941520467</v>
      </c>
      <c r="AF2961" s="55" t="n">
        <f aca="false">AD2961+ROW()*0.000000001</f>
        <v>-4.85761253509873</v>
      </c>
      <c r="AG2961" s="55" t="n">
        <f aca="false">AE2961+ROW()*0.000000001</f>
        <v>43.2309971130467</v>
      </c>
    </row>
    <row r="2962" customFormat="false" ht="15" hidden="false" customHeight="false" outlineLevel="0" collapsed="false">
      <c r="A2962" s="0" t="n">
        <v>4</v>
      </c>
      <c r="B2962" s="0" t="n">
        <v>0</v>
      </c>
      <c r="C2962" s="0" t="n">
        <v>4</v>
      </c>
      <c r="D2962" s="0" t="n">
        <v>5</v>
      </c>
      <c r="E2962" s="0" t="n">
        <f aca="false">-1+A2962*0.25</f>
        <v>0</v>
      </c>
      <c r="F2962" s="0" t="n">
        <f aca="false">-1+B2962*0.25</f>
        <v>-1</v>
      </c>
      <c r="G2962" s="0" t="n">
        <f aca="false">-1+C2962*0.25</f>
        <v>0</v>
      </c>
      <c r="H2962" s="0" t="n">
        <f aca="false">-1+D2962*0.25</f>
        <v>0.25</v>
      </c>
      <c r="I2962" s="0" t="n">
        <f aca="false">1</f>
        <v>1</v>
      </c>
      <c r="J2962" s="0" t="n">
        <f aca="false">E2962</f>
        <v>0</v>
      </c>
      <c r="K2962" s="0" t="n">
        <f aca="false">F2962</f>
        <v>-1</v>
      </c>
      <c r="L2962" s="0" t="n">
        <f aca="false">G2962</f>
        <v>0</v>
      </c>
      <c r="M2962" s="0" t="n">
        <f aca="false">H2962</f>
        <v>0.25</v>
      </c>
      <c r="N2962" s="0" t="n">
        <f aca="false">E2962*F2962</f>
        <v>-0</v>
      </c>
      <c r="O2962" s="0" t="n">
        <f aca="false">E2962*G2962</f>
        <v>0</v>
      </c>
      <c r="P2962" s="0" t="n">
        <f aca="false">E2962*H2962</f>
        <v>0</v>
      </c>
      <c r="Q2962" s="0" t="n">
        <f aca="false">F2962*G2962</f>
        <v>-0</v>
      </c>
      <c r="R2962" s="0" t="n">
        <f aca="false">F2962*H2962</f>
        <v>-0.25</v>
      </c>
      <c r="S2962" s="0" t="n">
        <f aca="false">G2962*H2962</f>
        <v>0</v>
      </c>
      <c r="T2962" s="0" t="n">
        <f aca="false">E2962*E2962</f>
        <v>0</v>
      </c>
      <c r="U2962" s="0" t="n">
        <f aca="false">F2962*F2962</f>
        <v>1</v>
      </c>
      <c r="V2962" s="0" t="n">
        <f aca="false">G2962*G2962</f>
        <v>0</v>
      </c>
      <c r="W2962" s="0" t="n">
        <f aca="false">H2962*H2962</f>
        <v>0.0625</v>
      </c>
      <c r="X2962" s="0" t="n">
        <f aca="false">SUMPRODUCT(I2962:W2962,_XtX!$B$96:$P$96)</f>
        <v>43.3616045321637</v>
      </c>
      <c r="Y2962" s="0" t="n">
        <f aca="false">SUMPRODUCT(MMULT(I2962:W2962,_XtX!$B$78:$P$92),I2962:W2962)</f>
        <v>0.47672240497076</v>
      </c>
      <c r="Z2962" s="0" t="n">
        <f aca="false">04_回帰ANOVA!$K$19*04_回帰ANOVA!$K$14*SQRT(1+Y2962)</f>
        <v>1.58397318352695</v>
      </c>
      <c r="AA2962" s="0" t="n">
        <f aca="false">X2962-Z2962</f>
        <v>41.7776313486367</v>
      </c>
      <c r="AB2962" s="0" t="n">
        <f aca="false">X2962+Z2962</f>
        <v>44.9455777156906</v>
      </c>
      <c r="AC2962" s="54" t="b">
        <f aca="false">AND(E2962&gt;=01_因子設定!$L$5-0.000000001,E2962&lt;=01_因子設定!$M$5+0.000000001,F2962&gt;=01_因子設定!$L$6-0.000000001,F2962&lt;=01_因子設定!$M$6+0.000000001,G2962&gt;=01_因子設定!$L$7-0.000000001,G2962&lt;=01_因子設定!$M$7+0.000000001,H2962&gt;=01_因子設定!$L$8-0.000000001,H2962&lt;=01_因子設定!$M$8+0.000000001,IF(01_因子設定!$B$20="Box-Behnken",E2962^2+F2962^2+G2962^2+H2962^2&lt;=2+0.000000001,TRUE()))</f>
        <v>1</v>
      </c>
      <c r="AD2962" s="55" t="n">
        <f aca="false">IF(AC2962,IF(01_因子設定!$B$13="最大化",AA2962-01_因子設定!$B$14,IF(01_因子設定!$B$13="最小化",01_因子設定!$B$15-AB2962,MIN(AA2962-01_因子設定!$B$14,01_因子設定!$B$15-AB2962))),-1E+030)</f>
        <v>-4.72236865136327</v>
      </c>
      <c r="AE2962" s="55" t="n">
        <f aca="false">IF(AC2962,IF(01_因子設定!$B$13="最大化",X2962,IF(01_因子設定!$B$13="最小化",-X2962,-ABS(X2962-01_因子設定!$B$16))),-1E+030)</f>
        <v>43.3616045321637</v>
      </c>
      <c r="AF2962" s="55" t="n">
        <f aca="false">AD2962+ROW()*0.000000001</f>
        <v>-4.72236568936327</v>
      </c>
      <c r="AG2962" s="55" t="n">
        <f aca="false">AE2962+ROW()*0.000000001</f>
        <v>43.3616074941637</v>
      </c>
    </row>
    <row r="2963" customFormat="false" ht="15" hidden="false" customHeight="false" outlineLevel="0" collapsed="false">
      <c r="A2963" s="0" t="n">
        <v>4</v>
      </c>
      <c r="B2963" s="0" t="n">
        <v>0</v>
      </c>
      <c r="C2963" s="0" t="n">
        <v>4</v>
      </c>
      <c r="D2963" s="0" t="n">
        <v>6</v>
      </c>
      <c r="E2963" s="0" t="n">
        <f aca="false">-1+A2963*0.25</f>
        <v>0</v>
      </c>
      <c r="F2963" s="0" t="n">
        <f aca="false">-1+B2963*0.25</f>
        <v>-1</v>
      </c>
      <c r="G2963" s="0" t="n">
        <f aca="false">-1+C2963*0.25</f>
        <v>0</v>
      </c>
      <c r="H2963" s="0" t="n">
        <f aca="false">-1+D2963*0.25</f>
        <v>0.5</v>
      </c>
      <c r="I2963" s="0" t="n">
        <f aca="false">1</f>
        <v>1</v>
      </c>
      <c r="J2963" s="0" t="n">
        <f aca="false">E2963</f>
        <v>0</v>
      </c>
      <c r="K2963" s="0" t="n">
        <f aca="false">F2963</f>
        <v>-1</v>
      </c>
      <c r="L2963" s="0" t="n">
        <f aca="false">G2963</f>
        <v>0</v>
      </c>
      <c r="M2963" s="0" t="n">
        <f aca="false">H2963</f>
        <v>0.5</v>
      </c>
      <c r="N2963" s="0" t="n">
        <f aca="false">E2963*F2963</f>
        <v>-0</v>
      </c>
      <c r="O2963" s="0" t="n">
        <f aca="false">E2963*G2963</f>
        <v>0</v>
      </c>
      <c r="P2963" s="0" t="n">
        <f aca="false">E2963*H2963</f>
        <v>0</v>
      </c>
      <c r="Q2963" s="0" t="n">
        <f aca="false">F2963*G2963</f>
        <v>-0</v>
      </c>
      <c r="R2963" s="0" t="n">
        <f aca="false">F2963*H2963</f>
        <v>-0.5</v>
      </c>
      <c r="S2963" s="0" t="n">
        <f aca="false">G2963*H2963</f>
        <v>0</v>
      </c>
      <c r="T2963" s="0" t="n">
        <f aca="false">E2963*E2963</f>
        <v>0</v>
      </c>
      <c r="U2963" s="0" t="n">
        <f aca="false">F2963*F2963</f>
        <v>1</v>
      </c>
      <c r="V2963" s="0" t="n">
        <f aca="false">G2963*G2963</f>
        <v>0</v>
      </c>
      <c r="W2963" s="0" t="n">
        <f aca="false">H2963*H2963</f>
        <v>0.25</v>
      </c>
      <c r="X2963" s="0" t="n">
        <f aca="false">SUMPRODUCT(I2963:W2963,_XtX!$B$96:$P$96)</f>
        <v>43.4444078947368</v>
      </c>
      <c r="Y2963" s="0" t="n">
        <f aca="false">SUMPRODUCT(MMULT(I2963:W2963,_XtX!$B$78:$P$92),I2963:W2963)</f>
        <v>0.468841374269006</v>
      </c>
      <c r="Z2963" s="0" t="n">
        <f aca="false">04_回帰ANOVA!$K$19*04_回帰ANOVA!$K$14*SQRT(1+Y2963)</f>
        <v>1.57974082366087</v>
      </c>
      <c r="AA2963" s="0" t="n">
        <f aca="false">X2963-Z2963</f>
        <v>41.8646670710759</v>
      </c>
      <c r="AB2963" s="0" t="n">
        <f aca="false">X2963+Z2963</f>
        <v>45.0241487183977</v>
      </c>
      <c r="AC2963" s="54" t="b">
        <f aca="false">AND(E2963&gt;=01_因子設定!$L$5-0.000000001,E2963&lt;=01_因子設定!$M$5+0.000000001,F2963&gt;=01_因子設定!$L$6-0.000000001,F2963&lt;=01_因子設定!$M$6+0.000000001,G2963&gt;=01_因子設定!$L$7-0.000000001,G2963&lt;=01_因子設定!$M$7+0.000000001,H2963&gt;=01_因子設定!$L$8-0.000000001,H2963&lt;=01_因子設定!$M$8+0.000000001,IF(01_因子設定!$B$20="Box-Behnken",E2963^2+F2963^2+G2963^2+H2963^2&lt;=2+0.000000001,TRUE()))</f>
        <v>1</v>
      </c>
      <c r="AD2963" s="55" t="n">
        <f aca="false">IF(AC2963,IF(01_因子設定!$B$13="最大化",AA2963-01_因子設定!$B$14,IF(01_因子設定!$B$13="最小化",01_因子設定!$B$15-AB2963,MIN(AA2963-01_因子設定!$B$14,01_因子設定!$B$15-AB2963))),-1E+030)</f>
        <v>-4.63533292892409</v>
      </c>
      <c r="AE2963" s="55" t="n">
        <f aca="false">IF(AC2963,IF(01_因子設定!$B$13="最大化",X2963,IF(01_因子設定!$B$13="最小化",-X2963,-ABS(X2963-01_因子設定!$B$16))),-1E+030)</f>
        <v>43.4444078947368</v>
      </c>
      <c r="AF2963" s="55" t="n">
        <f aca="false">AD2963+ROW()*0.000000001</f>
        <v>-4.63532996592409</v>
      </c>
      <c r="AG2963" s="55" t="n">
        <f aca="false">AE2963+ROW()*0.000000001</f>
        <v>43.4444108577368</v>
      </c>
    </row>
    <row r="2964" customFormat="false" ht="15" hidden="false" customHeight="false" outlineLevel="0" collapsed="false">
      <c r="A2964" s="0" t="n">
        <v>4</v>
      </c>
      <c r="B2964" s="0" t="n">
        <v>0</v>
      </c>
      <c r="C2964" s="0" t="n">
        <v>4</v>
      </c>
      <c r="D2964" s="0" t="n">
        <v>7</v>
      </c>
      <c r="E2964" s="0" t="n">
        <f aca="false">-1+A2964*0.25</f>
        <v>0</v>
      </c>
      <c r="F2964" s="0" t="n">
        <f aca="false">-1+B2964*0.25</f>
        <v>-1</v>
      </c>
      <c r="G2964" s="0" t="n">
        <f aca="false">-1+C2964*0.25</f>
        <v>0</v>
      </c>
      <c r="H2964" s="0" t="n">
        <f aca="false">-1+D2964*0.25</f>
        <v>0.75</v>
      </c>
      <c r="I2964" s="0" t="n">
        <f aca="false">1</f>
        <v>1</v>
      </c>
      <c r="J2964" s="0" t="n">
        <f aca="false">E2964</f>
        <v>0</v>
      </c>
      <c r="K2964" s="0" t="n">
        <f aca="false">F2964</f>
        <v>-1</v>
      </c>
      <c r="L2964" s="0" t="n">
        <f aca="false">G2964</f>
        <v>0</v>
      </c>
      <c r="M2964" s="0" t="n">
        <f aca="false">H2964</f>
        <v>0.75</v>
      </c>
      <c r="N2964" s="0" t="n">
        <f aca="false">E2964*F2964</f>
        <v>-0</v>
      </c>
      <c r="O2964" s="0" t="n">
        <f aca="false">E2964*G2964</f>
        <v>0</v>
      </c>
      <c r="P2964" s="0" t="n">
        <f aca="false">E2964*H2964</f>
        <v>0</v>
      </c>
      <c r="Q2964" s="0" t="n">
        <f aca="false">F2964*G2964</f>
        <v>-0</v>
      </c>
      <c r="R2964" s="0" t="n">
        <f aca="false">F2964*H2964</f>
        <v>-0.75</v>
      </c>
      <c r="S2964" s="0" t="n">
        <f aca="false">G2964*H2964</f>
        <v>0</v>
      </c>
      <c r="T2964" s="0" t="n">
        <f aca="false">E2964*E2964</f>
        <v>0</v>
      </c>
      <c r="U2964" s="0" t="n">
        <f aca="false">F2964*F2964</f>
        <v>1</v>
      </c>
      <c r="V2964" s="0" t="n">
        <f aca="false">G2964*G2964</f>
        <v>0</v>
      </c>
      <c r="W2964" s="0" t="n">
        <f aca="false">H2964*H2964</f>
        <v>0.5625</v>
      </c>
      <c r="X2964" s="0" t="n">
        <f aca="false">SUMPRODUCT(I2964:W2964,_XtX!$B$96:$P$96)</f>
        <v>43.479404239766</v>
      </c>
      <c r="Y2964" s="0" t="n">
        <f aca="false">SUMPRODUCT(MMULT(I2964:W2964,_XtX!$B$78:$P$92),I2964:W2964)</f>
        <v>0.516013340643275</v>
      </c>
      <c r="Z2964" s="0" t="n">
        <f aca="false">04_回帰ANOVA!$K$19*04_回帰ANOVA!$K$14*SQRT(1+Y2964)</f>
        <v>1.60490712175667</v>
      </c>
      <c r="AA2964" s="0" t="n">
        <f aca="false">X2964-Z2964</f>
        <v>41.8744971180094</v>
      </c>
      <c r="AB2964" s="0" t="n">
        <f aca="false">X2964+Z2964</f>
        <v>45.0843113615227</v>
      </c>
      <c r="AC2964" s="54" t="b">
        <f aca="false">AND(E2964&gt;=01_因子設定!$L$5-0.000000001,E2964&lt;=01_因子設定!$M$5+0.000000001,F2964&gt;=01_因子設定!$L$6-0.000000001,F2964&lt;=01_因子設定!$M$6+0.000000001,G2964&gt;=01_因子設定!$L$7-0.000000001,G2964&lt;=01_因子設定!$M$7+0.000000001,H2964&gt;=01_因子設定!$L$8-0.000000001,H2964&lt;=01_因子設定!$M$8+0.000000001,IF(01_因子設定!$B$20="Box-Behnken",E2964^2+F2964^2+G2964^2+H2964^2&lt;=2+0.000000001,TRUE()))</f>
        <v>1</v>
      </c>
      <c r="AD2964" s="55" t="n">
        <f aca="false">IF(AC2964,IF(01_因子設定!$B$13="最大化",AA2964-01_因子設定!$B$14,IF(01_因子設定!$B$13="最小化",01_因子設定!$B$15-AB2964,MIN(AA2964-01_因子設定!$B$14,01_因子設定!$B$15-AB2964))),-1E+030)</f>
        <v>-4.62550288199063</v>
      </c>
      <c r="AE2964" s="55" t="n">
        <f aca="false">IF(AC2964,IF(01_因子設定!$B$13="最大化",X2964,IF(01_因子設定!$B$13="最小化",-X2964,-ABS(X2964-01_因子設定!$B$16))),-1E+030)</f>
        <v>43.479404239766</v>
      </c>
      <c r="AF2964" s="55" t="n">
        <f aca="false">AD2964+ROW()*0.000000001</f>
        <v>-4.62549991799063</v>
      </c>
      <c r="AG2964" s="55" t="n">
        <f aca="false">AE2964+ROW()*0.000000001</f>
        <v>43.479407203766</v>
      </c>
    </row>
    <row r="2965" customFormat="false" ht="15" hidden="false" customHeight="false" outlineLevel="0" collapsed="false">
      <c r="A2965" s="0" t="n">
        <v>4</v>
      </c>
      <c r="B2965" s="0" t="n">
        <v>0</v>
      </c>
      <c r="C2965" s="0" t="n">
        <v>4</v>
      </c>
      <c r="D2965" s="0" t="n">
        <v>8</v>
      </c>
      <c r="E2965" s="0" t="n">
        <f aca="false">-1+A2965*0.25</f>
        <v>0</v>
      </c>
      <c r="F2965" s="0" t="n">
        <f aca="false">-1+B2965*0.25</f>
        <v>-1</v>
      </c>
      <c r="G2965" s="0" t="n">
        <f aca="false">-1+C2965*0.25</f>
        <v>0</v>
      </c>
      <c r="H2965" s="0" t="n">
        <f aca="false">-1+D2965*0.25</f>
        <v>1</v>
      </c>
      <c r="I2965" s="0" t="n">
        <f aca="false">1</f>
        <v>1</v>
      </c>
      <c r="J2965" s="0" t="n">
        <f aca="false">E2965</f>
        <v>0</v>
      </c>
      <c r="K2965" s="0" t="n">
        <f aca="false">F2965</f>
        <v>-1</v>
      </c>
      <c r="L2965" s="0" t="n">
        <f aca="false">G2965</f>
        <v>0</v>
      </c>
      <c r="M2965" s="0" t="n">
        <f aca="false">H2965</f>
        <v>1</v>
      </c>
      <c r="N2965" s="0" t="n">
        <f aca="false">E2965*F2965</f>
        <v>-0</v>
      </c>
      <c r="O2965" s="0" t="n">
        <f aca="false">E2965*G2965</f>
        <v>0</v>
      </c>
      <c r="P2965" s="0" t="n">
        <f aca="false">E2965*H2965</f>
        <v>0</v>
      </c>
      <c r="Q2965" s="0" t="n">
        <f aca="false">F2965*G2965</f>
        <v>-0</v>
      </c>
      <c r="R2965" s="0" t="n">
        <f aca="false">F2965*H2965</f>
        <v>-1</v>
      </c>
      <c r="S2965" s="0" t="n">
        <f aca="false">G2965*H2965</f>
        <v>0</v>
      </c>
      <c r="T2965" s="0" t="n">
        <f aca="false">E2965*E2965</f>
        <v>0</v>
      </c>
      <c r="U2965" s="0" t="n">
        <f aca="false">F2965*F2965</f>
        <v>1</v>
      </c>
      <c r="V2965" s="0" t="n">
        <f aca="false">G2965*G2965</f>
        <v>0</v>
      </c>
      <c r="W2965" s="0" t="n">
        <f aca="false">H2965*H2965</f>
        <v>1</v>
      </c>
      <c r="X2965" s="0" t="n">
        <f aca="false">SUMPRODUCT(I2965:W2965,_XtX!$B$96:$P$96)</f>
        <v>43.4665935672514</v>
      </c>
      <c r="Y2965" s="0" t="n">
        <f aca="false">SUMPRODUCT(MMULT(I2965:W2965,_XtX!$B$78:$P$92),I2965:W2965)</f>
        <v>0.708698830409357</v>
      </c>
      <c r="Z2965" s="0" t="n">
        <f aca="false">04_回帰ANOVA!$K$19*04_回帰ANOVA!$K$14*SQRT(1+Y2965)</f>
        <v>1.70384919651719</v>
      </c>
      <c r="AA2965" s="0" t="n">
        <f aca="false">X2965-Z2965</f>
        <v>41.7627443707342</v>
      </c>
      <c r="AB2965" s="0" t="n">
        <f aca="false">X2965+Z2965</f>
        <v>45.1704427637686</v>
      </c>
      <c r="AC2965" s="54" t="b">
        <f aca="false">AND(E2965&gt;=01_因子設定!$L$5-0.000000001,E2965&lt;=01_因子設定!$M$5+0.000000001,F2965&gt;=01_因子設定!$L$6-0.000000001,F2965&lt;=01_因子設定!$M$6+0.000000001,G2965&gt;=01_因子設定!$L$7-0.000000001,G2965&lt;=01_因子設定!$M$7+0.000000001,H2965&gt;=01_因子設定!$L$8-0.000000001,H2965&lt;=01_因子設定!$M$8+0.000000001,IF(01_因子設定!$B$20="Box-Behnken",E2965^2+F2965^2+G2965^2+H2965^2&lt;=2+0.000000001,TRUE()))</f>
        <v>1</v>
      </c>
      <c r="AD2965" s="55" t="n">
        <f aca="false">IF(AC2965,IF(01_因子設定!$B$13="最大化",AA2965-01_因子設定!$B$14,IF(01_因子設定!$B$13="最小化",01_因子設定!$B$15-AB2965,MIN(AA2965-01_因子設定!$B$14,01_因子設定!$B$15-AB2965))),-1E+030)</f>
        <v>-4.73725562926576</v>
      </c>
      <c r="AE2965" s="55" t="n">
        <f aca="false">IF(AC2965,IF(01_因子設定!$B$13="最大化",X2965,IF(01_因子設定!$B$13="最小化",-X2965,-ABS(X2965-01_因子設定!$B$16))),-1E+030)</f>
        <v>43.4665935672514</v>
      </c>
      <c r="AF2965" s="55" t="n">
        <f aca="false">AD2965+ROW()*0.000000001</f>
        <v>-4.73725266426576</v>
      </c>
      <c r="AG2965" s="55" t="n">
        <f aca="false">AE2965+ROW()*0.000000001</f>
        <v>43.4665965322514</v>
      </c>
    </row>
    <row r="2966" customFormat="false" ht="15" hidden="false" customHeight="false" outlineLevel="0" collapsed="false">
      <c r="A2966" s="0" t="n">
        <v>4</v>
      </c>
      <c r="B2966" s="0" t="n">
        <v>0</v>
      </c>
      <c r="C2966" s="0" t="n">
        <v>5</v>
      </c>
      <c r="D2966" s="0" t="n">
        <v>0</v>
      </c>
      <c r="E2966" s="0" t="n">
        <f aca="false">-1+A2966*0.25</f>
        <v>0</v>
      </c>
      <c r="F2966" s="0" t="n">
        <f aca="false">-1+B2966*0.25</f>
        <v>-1</v>
      </c>
      <c r="G2966" s="0" t="n">
        <f aca="false">-1+C2966*0.25</f>
        <v>0.25</v>
      </c>
      <c r="H2966" s="0" t="n">
        <f aca="false">-1+D2966*0.25</f>
        <v>-1</v>
      </c>
      <c r="I2966" s="0" t="n">
        <f aca="false">1</f>
        <v>1</v>
      </c>
      <c r="J2966" s="0" t="n">
        <f aca="false">E2966</f>
        <v>0</v>
      </c>
      <c r="K2966" s="0" t="n">
        <f aca="false">F2966</f>
        <v>-1</v>
      </c>
      <c r="L2966" s="0" t="n">
        <f aca="false">G2966</f>
        <v>0.25</v>
      </c>
      <c r="M2966" s="0" t="n">
        <f aca="false">H2966</f>
        <v>-1</v>
      </c>
      <c r="N2966" s="0" t="n">
        <f aca="false">E2966*F2966</f>
        <v>-0</v>
      </c>
      <c r="O2966" s="0" t="n">
        <f aca="false">E2966*G2966</f>
        <v>0</v>
      </c>
      <c r="P2966" s="0" t="n">
        <f aca="false">E2966*H2966</f>
        <v>-0</v>
      </c>
      <c r="Q2966" s="0" t="n">
        <f aca="false">F2966*G2966</f>
        <v>-0.25</v>
      </c>
      <c r="R2966" s="0" t="n">
        <f aca="false">F2966*H2966</f>
        <v>1</v>
      </c>
      <c r="S2966" s="0" t="n">
        <f aca="false">G2966*H2966</f>
        <v>-0.25</v>
      </c>
      <c r="T2966" s="0" t="n">
        <f aca="false">E2966*E2966</f>
        <v>0</v>
      </c>
      <c r="U2966" s="0" t="n">
        <f aca="false">F2966*F2966</f>
        <v>1</v>
      </c>
      <c r="V2966" s="0" t="n">
        <f aca="false">G2966*G2966</f>
        <v>0.0625</v>
      </c>
      <c r="W2966" s="0" t="n">
        <f aca="false">H2966*H2966</f>
        <v>1</v>
      </c>
      <c r="X2966" s="0" t="n">
        <f aca="false">SUMPRODUCT(I2966:W2966,_XtX!$B$96:$P$96)</f>
        <v>42.2836622807017</v>
      </c>
      <c r="Y2966" s="0" t="n">
        <f aca="false">SUMPRODUCT(MMULT(I2966:W2966,_XtX!$B$78:$P$92),I2966:W2966)</f>
        <v>0.689692982456141</v>
      </c>
      <c r="Z2966" s="0" t="n">
        <f aca="false">04_回帰ANOVA!$K$19*04_回帰ANOVA!$K$14*SQRT(1+Y2966)</f>
        <v>1.69434674594998</v>
      </c>
      <c r="AA2966" s="0" t="n">
        <f aca="false">X2966-Z2966</f>
        <v>40.5893155347517</v>
      </c>
      <c r="AB2966" s="0" t="n">
        <f aca="false">X2966+Z2966</f>
        <v>43.9780090266517</v>
      </c>
      <c r="AC2966" s="54" t="b">
        <f aca="false">AND(E2966&gt;=01_因子設定!$L$5-0.000000001,E2966&lt;=01_因子設定!$M$5+0.000000001,F2966&gt;=01_因子設定!$L$6-0.000000001,F2966&lt;=01_因子設定!$M$6+0.000000001,G2966&gt;=01_因子設定!$L$7-0.000000001,G2966&lt;=01_因子設定!$M$7+0.000000001,H2966&gt;=01_因子設定!$L$8-0.000000001,H2966&lt;=01_因子設定!$M$8+0.000000001,IF(01_因子設定!$B$20="Box-Behnken",E2966^2+F2966^2+G2966^2+H2966^2&lt;=2+0.000000001,TRUE()))</f>
        <v>1</v>
      </c>
      <c r="AD2966" s="55" t="n">
        <f aca="false">IF(AC2966,IF(01_因子設定!$B$13="最大化",AA2966-01_因子設定!$B$14,IF(01_因子設定!$B$13="最小化",01_因子設定!$B$15-AB2966,MIN(AA2966-01_因子設定!$B$14,01_因子設定!$B$15-AB2966))),-1E+030)</f>
        <v>-5.91068446524826</v>
      </c>
      <c r="AE2966" s="55" t="n">
        <f aca="false">IF(AC2966,IF(01_因子設定!$B$13="最大化",X2966,IF(01_因子設定!$B$13="最小化",-X2966,-ABS(X2966-01_因子設定!$B$16))),-1E+030)</f>
        <v>42.2836622807017</v>
      </c>
      <c r="AF2966" s="55" t="n">
        <f aca="false">AD2966+ROW()*0.000000001</f>
        <v>-5.91068149924826</v>
      </c>
      <c r="AG2966" s="55" t="n">
        <f aca="false">AE2966+ROW()*0.000000001</f>
        <v>42.2836652467017</v>
      </c>
    </row>
    <row r="2967" customFormat="false" ht="15" hidden="false" customHeight="false" outlineLevel="0" collapsed="false">
      <c r="A2967" s="0" t="n">
        <v>4</v>
      </c>
      <c r="B2967" s="0" t="n">
        <v>0</v>
      </c>
      <c r="C2967" s="0" t="n">
        <v>5</v>
      </c>
      <c r="D2967" s="0" t="n">
        <v>1</v>
      </c>
      <c r="E2967" s="0" t="n">
        <f aca="false">-1+A2967*0.25</f>
        <v>0</v>
      </c>
      <c r="F2967" s="0" t="n">
        <f aca="false">-1+B2967*0.25</f>
        <v>-1</v>
      </c>
      <c r="G2967" s="0" t="n">
        <f aca="false">-1+C2967*0.25</f>
        <v>0.25</v>
      </c>
      <c r="H2967" s="0" t="n">
        <f aca="false">-1+D2967*0.25</f>
        <v>-0.75</v>
      </c>
      <c r="I2967" s="0" t="n">
        <f aca="false">1</f>
        <v>1</v>
      </c>
      <c r="J2967" s="0" t="n">
        <f aca="false">E2967</f>
        <v>0</v>
      </c>
      <c r="K2967" s="0" t="n">
        <f aca="false">F2967</f>
        <v>-1</v>
      </c>
      <c r="L2967" s="0" t="n">
        <f aca="false">G2967</f>
        <v>0.25</v>
      </c>
      <c r="M2967" s="0" t="n">
        <f aca="false">H2967</f>
        <v>-0.75</v>
      </c>
      <c r="N2967" s="0" t="n">
        <f aca="false">E2967*F2967</f>
        <v>-0</v>
      </c>
      <c r="O2967" s="0" t="n">
        <f aca="false">E2967*G2967</f>
        <v>0</v>
      </c>
      <c r="P2967" s="0" t="n">
        <f aca="false">E2967*H2967</f>
        <v>-0</v>
      </c>
      <c r="Q2967" s="0" t="n">
        <f aca="false">F2967*G2967</f>
        <v>-0.25</v>
      </c>
      <c r="R2967" s="0" t="n">
        <f aca="false">F2967*H2967</f>
        <v>0.75</v>
      </c>
      <c r="S2967" s="0" t="n">
        <f aca="false">G2967*H2967</f>
        <v>-0.1875</v>
      </c>
      <c r="T2967" s="0" t="n">
        <f aca="false">E2967*E2967</f>
        <v>0</v>
      </c>
      <c r="U2967" s="0" t="n">
        <f aca="false">F2967*F2967</f>
        <v>1</v>
      </c>
      <c r="V2967" s="0" t="n">
        <f aca="false">G2967*G2967</f>
        <v>0.0625</v>
      </c>
      <c r="W2967" s="0" t="n">
        <f aca="false">H2967*H2967</f>
        <v>0.5625</v>
      </c>
      <c r="X2967" s="0" t="n">
        <f aca="false">SUMPRODUCT(I2967:W2967,_XtX!$B$96:$P$96)</f>
        <v>42.6234694809941</v>
      </c>
      <c r="Y2967" s="0" t="n">
        <f aca="false">SUMPRODUCT(MMULT(I2967:W2967,_XtX!$B$78:$P$92),I2967:W2967)</f>
        <v>0.501534802174708</v>
      </c>
      <c r="Z2967" s="0" t="n">
        <f aca="false">04_回帰ANOVA!$K$19*04_回帰ANOVA!$K$14*SQRT(1+Y2967)</f>
        <v>1.59722498091333</v>
      </c>
      <c r="AA2967" s="0" t="n">
        <f aca="false">X2967-Z2967</f>
        <v>41.0262445000808</v>
      </c>
      <c r="AB2967" s="0" t="n">
        <f aca="false">X2967+Z2967</f>
        <v>44.2206944619074</v>
      </c>
      <c r="AC2967" s="54" t="b">
        <f aca="false">AND(E2967&gt;=01_因子設定!$L$5-0.000000001,E2967&lt;=01_因子設定!$M$5+0.000000001,F2967&gt;=01_因子設定!$L$6-0.000000001,F2967&lt;=01_因子設定!$M$6+0.000000001,G2967&gt;=01_因子設定!$L$7-0.000000001,G2967&lt;=01_因子設定!$M$7+0.000000001,H2967&gt;=01_因子設定!$L$8-0.000000001,H2967&lt;=01_因子設定!$M$8+0.000000001,IF(01_因子設定!$B$20="Box-Behnken",E2967^2+F2967^2+G2967^2+H2967^2&lt;=2+0.000000001,TRUE()))</f>
        <v>1</v>
      </c>
      <c r="AD2967" s="55" t="n">
        <f aca="false">IF(AC2967,IF(01_因子設定!$B$13="最大化",AA2967-01_因子設定!$B$14,IF(01_因子設定!$B$13="最小化",01_因子設定!$B$15-AB2967,MIN(AA2967-01_因子設定!$B$14,01_因子設定!$B$15-AB2967))),-1E+030)</f>
        <v>-5.47375549991923</v>
      </c>
      <c r="AE2967" s="55" t="n">
        <f aca="false">IF(AC2967,IF(01_因子設定!$B$13="最大化",X2967,IF(01_因子設定!$B$13="最小化",-X2967,-ABS(X2967-01_因子設定!$B$16))),-1E+030)</f>
        <v>42.6234694809941</v>
      </c>
      <c r="AF2967" s="55" t="n">
        <f aca="false">AD2967+ROW()*0.000000001</f>
        <v>-5.47375253291923</v>
      </c>
      <c r="AG2967" s="55" t="n">
        <f aca="false">AE2967+ROW()*0.000000001</f>
        <v>42.6234724479941</v>
      </c>
    </row>
    <row r="2968" customFormat="false" ht="15" hidden="false" customHeight="false" outlineLevel="0" collapsed="false">
      <c r="A2968" s="0" t="n">
        <v>4</v>
      </c>
      <c r="B2968" s="0" t="n">
        <v>0</v>
      </c>
      <c r="C2968" s="0" t="n">
        <v>5</v>
      </c>
      <c r="D2968" s="0" t="n">
        <v>2</v>
      </c>
      <c r="E2968" s="0" t="n">
        <f aca="false">-1+A2968*0.25</f>
        <v>0</v>
      </c>
      <c r="F2968" s="0" t="n">
        <f aca="false">-1+B2968*0.25</f>
        <v>-1</v>
      </c>
      <c r="G2968" s="0" t="n">
        <f aca="false">-1+C2968*0.25</f>
        <v>0.25</v>
      </c>
      <c r="H2968" s="0" t="n">
        <f aca="false">-1+D2968*0.25</f>
        <v>-0.5</v>
      </c>
      <c r="I2968" s="0" t="n">
        <f aca="false">1</f>
        <v>1</v>
      </c>
      <c r="J2968" s="0" t="n">
        <f aca="false">E2968</f>
        <v>0</v>
      </c>
      <c r="K2968" s="0" t="n">
        <f aca="false">F2968</f>
        <v>-1</v>
      </c>
      <c r="L2968" s="0" t="n">
        <f aca="false">G2968</f>
        <v>0.25</v>
      </c>
      <c r="M2968" s="0" t="n">
        <f aca="false">H2968</f>
        <v>-0.5</v>
      </c>
      <c r="N2968" s="0" t="n">
        <f aca="false">E2968*F2968</f>
        <v>-0</v>
      </c>
      <c r="O2968" s="0" t="n">
        <f aca="false">E2968*G2968</f>
        <v>0</v>
      </c>
      <c r="P2968" s="0" t="n">
        <f aca="false">E2968*H2968</f>
        <v>-0</v>
      </c>
      <c r="Q2968" s="0" t="n">
        <f aca="false">F2968*G2968</f>
        <v>-0.25</v>
      </c>
      <c r="R2968" s="0" t="n">
        <f aca="false">F2968*H2968</f>
        <v>0.5</v>
      </c>
      <c r="S2968" s="0" t="n">
        <f aca="false">G2968*H2968</f>
        <v>-0.125</v>
      </c>
      <c r="T2968" s="0" t="n">
        <f aca="false">E2968*E2968</f>
        <v>0</v>
      </c>
      <c r="U2968" s="0" t="n">
        <f aca="false">F2968*F2968</f>
        <v>1</v>
      </c>
      <c r="V2968" s="0" t="n">
        <f aca="false">G2968*G2968</f>
        <v>0.0625</v>
      </c>
      <c r="W2968" s="0" t="n">
        <f aca="false">H2968*H2968</f>
        <v>0.25</v>
      </c>
      <c r="X2968" s="0" t="n">
        <f aca="false">SUMPRODUCT(I2968:W2968,_XtX!$B$96:$P$96)</f>
        <v>42.9154696637426</v>
      </c>
      <c r="Y2968" s="0" t="n">
        <f aca="false">SUMPRODUCT(MMULT(I2968:W2968,_XtX!$B$78:$P$92),I2968:W2968)</f>
        <v>0.457596628289474</v>
      </c>
      <c r="Z2968" s="0" t="n">
        <f aca="false">04_回帰ANOVA!$K$19*04_回帰ANOVA!$K$14*SQRT(1+Y2968)</f>
        <v>1.57368233664366</v>
      </c>
      <c r="AA2968" s="0" t="n">
        <f aca="false">X2968-Z2968</f>
        <v>41.341787327099</v>
      </c>
      <c r="AB2968" s="0" t="n">
        <f aca="false">X2968+Z2968</f>
        <v>44.4891520003863</v>
      </c>
      <c r="AC2968" s="54" t="b">
        <f aca="false">AND(E2968&gt;=01_因子設定!$L$5-0.000000001,E2968&lt;=01_因子設定!$M$5+0.000000001,F2968&gt;=01_因子設定!$L$6-0.000000001,F2968&lt;=01_因子設定!$M$6+0.000000001,G2968&gt;=01_因子設定!$L$7-0.000000001,G2968&lt;=01_因子設定!$M$7+0.000000001,H2968&gt;=01_因子設定!$L$8-0.000000001,H2968&lt;=01_因子設定!$M$8+0.000000001,IF(01_因子設定!$B$20="Box-Behnken",E2968^2+F2968^2+G2968^2+H2968^2&lt;=2+0.000000001,TRUE()))</f>
        <v>1</v>
      </c>
      <c r="AD2968" s="55" t="n">
        <f aca="false">IF(AC2968,IF(01_因子設定!$B$13="最大化",AA2968-01_因子設定!$B$14,IF(01_因子設定!$B$13="最小化",01_因子設定!$B$15-AB2968,MIN(AA2968-01_因子設定!$B$14,01_因子設定!$B$15-AB2968))),-1E+030)</f>
        <v>-5.15821267290102</v>
      </c>
      <c r="AE2968" s="55" t="n">
        <f aca="false">IF(AC2968,IF(01_因子設定!$B$13="最大化",X2968,IF(01_因子設定!$B$13="最小化",-X2968,-ABS(X2968-01_因子設定!$B$16))),-1E+030)</f>
        <v>42.9154696637426</v>
      </c>
      <c r="AF2968" s="55" t="n">
        <f aca="false">AD2968+ROW()*0.000000001</f>
        <v>-5.15820970490102</v>
      </c>
      <c r="AG2968" s="55" t="n">
        <f aca="false">AE2968+ROW()*0.000000001</f>
        <v>42.9154726317426</v>
      </c>
    </row>
    <row r="2969" customFormat="false" ht="15" hidden="false" customHeight="false" outlineLevel="0" collapsed="false">
      <c r="A2969" s="0" t="n">
        <v>4</v>
      </c>
      <c r="B2969" s="0" t="n">
        <v>0</v>
      </c>
      <c r="C2969" s="0" t="n">
        <v>5</v>
      </c>
      <c r="D2969" s="0" t="n">
        <v>3</v>
      </c>
      <c r="E2969" s="0" t="n">
        <f aca="false">-1+A2969*0.25</f>
        <v>0</v>
      </c>
      <c r="F2969" s="0" t="n">
        <f aca="false">-1+B2969*0.25</f>
        <v>-1</v>
      </c>
      <c r="G2969" s="0" t="n">
        <f aca="false">-1+C2969*0.25</f>
        <v>0.25</v>
      </c>
      <c r="H2969" s="0" t="n">
        <f aca="false">-1+D2969*0.25</f>
        <v>-0.25</v>
      </c>
      <c r="I2969" s="0" t="n">
        <f aca="false">1</f>
        <v>1</v>
      </c>
      <c r="J2969" s="0" t="n">
        <f aca="false">E2969</f>
        <v>0</v>
      </c>
      <c r="K2969" s="0" t="n">
        <f aca="false">F2969</f>
        <v>-1</v>
      </c>
      <c r="L2969" s="0" t="n">
        <f aca="false">G2969</f>
        <v>0.25</v>
      </c>
      <c r="M2969" s="0" t="n">
        <f aca="false">H2969</f>
        <v>-0.25</v>
      </c>
      <c r="N2969" s="0" t="n">
        <f aca="false">E2969*F2969</f>
        <v>-0</v>
      </c>
      <c r="O2969" s="0" t="n">
        <f aca="false">E2969*G2969</f>
        <v>0</v>
      </c>
      <c r="P2969" s="0" t="n">
        <f aca="false">E2969*H2969</f>
        <v>-0</v>
      </c>
      <c r="Q2969" s="0" t="n">
        <f aca="false">F2969*G2969</f>
        <v>-0.25</v>
      </c>
      <c r="R2969" s="0" t="n">
        <f aca="false">F2969*H2969</f>
        <v>0.25</v>
      </c>
      <c r="S2969" s="0" t="n">
        <f aca="false">G2969*H2969</f>
        <v>-0.0625</v>
      </c>
      <c r="T2969" s="0" t="n">
        <f aca="false">E2969*E2969</f>
        <v>0</v>
      </c>
      <c r="U2969" s="0" t="n">
        <f aca="false">F2969*F2969</f>
        <v>1</v>
      </c>
      <c r="V2969" s="0" t="n">
        <f aca="false">G2969*G2969</f>
        <v>0.0625</v>
      </c>
      <c r="W2969" s="0" t="n">
        <f aca="false">H2969*H2969</f>
        <v>0.0625</v>
      </c>
      <c r="X2969" s="0" t="n">
        <f aca="false">SUMPRODUCT(I2969:W2969,_XtX!$B$96:$P$96)</f>
        <v>43.1596628289473</v>
      </c>
      <c r="Y2969" s="0" t="n">
        <f aca="false">SUMPRODUCT(MMULT(I2969:W2969,_XtX!$B$78:$P$92),I2969:W2969)</f>
        <v>0.467417934484649</v>
      </c>
      <c r="Z2969" s="0" t="n">
        <f aca="false">04_回帰ANOVA!$K$19*04_回帰ANOVA!$K$14*SQRT(1+Y2969)</f>
        <v>1.57897518244497</v>
      </c>
      <c r="AA2969" s="0" t="n">
        <f aca="false">X2969-Z2969</f>
        <v>41.5806876465023</v>
      </c>
      <c r="AB2969" s="0" t="n">
        <f aca="false">X2969+Z2969</f>
        <v>44.7386380113923</v>
      </c>
      <c r="AC2969" s="54" t="b">
        <f aca="false">AND(E2969&gt;=01_因子設定!$L$5-0.000000001,E2969&lt;=01_因子設定!$M$5+0.000000001,F2969&gt;=01_因子設定!$L$6-0.000000001,F2969&lt;=01_因子設定!$M$6+0.000000001,G2969&gt;=01_因子設定!$L$7-0.000000001,G2969&lt;=01_因子設定!$M$7+0.000000001,H2969&gt;=01_因子設定!$L$8-0.000000001,H2969&lt;=01_因子設定!$M$8+0.000000001,IF(01_因子設定!$B$20="Box-Behnken",E2969^2+F2969^2+G2969^2+H2969^2&lt;=2+0.000000001,TRUE()))</f>
        <v>1</v>
      </c>
      <c r="AD2969" s="55" t="n">
        <f aca="false">IF(AC2969,IF(01_因子設定!$B$13="最大化",AA2969-01_因子設定!$B$14,IF(01_因子設定!$B$13="最小化",01_因子設定!$B$15-AB2969,MIN(AA2969-01_因子設定!$B$14,01_因子設定!$B$15-AB2969))),-1E+030)</f>
        <v>-4.91931235349767</v>
      </c>
      <c r="AE2969" s="55" t="n">
        <f aca="false">IF(AC2969,IF(01_因子設定!$B$13="最大化",X2969,IF(01_因子設定!$B$13="最小化",-X2969,-ABS(X2969-01_因子設定!$B$16))),-1E+030)</f>
        <v>43.1596628289473</v>
      </c>
      <c r="AF2969" s="55" t="n">
        <f aca="false">AD2969+ROW()*0.000000001</f>
        <v>-4.91930938449767</v>
      </c>
      <c r="AG2969" s="55" t="n">
        <f aca="false">AE2969+ROW()*0.000000001</f>
        <v>43.1596657979473</v>
      </c>
    </row>
    <row r="2970" customFormat="false" ht="15" hidden="false" customHeight="false" outlineLevel="0" collapsed="false">
      <c r="A2970" s="0" t="n">
        <v>4</v>
      </c>
      <c r="B2970" s="0" t="n">
        <v>0</v>
      </c>
      <c r="C2970" s="0" t="n">
        <v>5</v>
      </c>
      <c r="D2970" s="0" t="n">
        <v>4</v>
      </c>
      <c r="E2970" s="0" t="n">
        <f aca="false">-1+A2970*0.25</f>
        <v>0</v>
      </c>
      <c r="F2970" s="0" t="n">
        <f aca="false">-1+B2970*0.25</f>
        <v>-1</v>
      </c>
      <c r="G2970" s="0" t="n">
        <f aca="false">-1+C2970*0.25</f>
        <v>0.25</v>
      </c>
      <c r="H2970" s="0" t="n">
        <f aca="false">-1+D2970*0.25</f>
        <v>0</v>
      </c>
      <c r="I2970" s="0" t="n">
        <f aca="false">1</f>
        <v>1</v>
      </c>
      <c r="J2970" s="0" t="n">
        <f aca="false">E2970</f>
        <v>0</v>
      </c>
      <c r="K2970" s="0" t="n">
        <f aca="false">F2970</f>
        <v>-1</v>
      </c>
      <c r="L2970" s="0" t="n">
        <f aca="false">G2970</f>
        <v>0.25</v>
      </c>
      <c r="M2970" s="0" t="n">
        <f aca="false">H2970</f>
        <v>0</v>
      </c>
      <c r="N2970" s="0" t="n">
        <f aca="false">E2970*F2970</f>
        <v>-0</v>
      </c>
      <c r="O2970" s="0" t="n">
        <f aca="false">E2970*G2970</f>
        <v>0</v>
      </c>
      <c r="P2970" s="0" t="n">
        <f aca="false">E2970*H2970</f>
        <v>0</v>
      </c>
      <c r="Q2970" s="0" t="n">
        <f aca="false">F2970*G2970</f>
        <v>-0.25</v>
      </c>
      <c r="R2970" s="0" t="n">
        <f aca="false">F2970*H2970</f>
        <v>-0</v>
      </c>
      <c r="S2970" s="0" t="n">
        <f aca="false">G2970*H2970</f>
        <v>0</v>
      </c>
      <c r="T2970" s="0" t="n">
        <f aca="false">E2970*E2970</f>
        <v>0</v>
      </c>
      <c r="U2970" s="0" t="n">
        <f aca="false">F2970*F2970</f>
        <v>1</v>
      </c>
      <c r="V2970" s="0" t="n">
        <f aca="false">G2970*G2970</f>
        <v>0.0625</v>
      </c>
      <c r="W2970" s="0" t="n">
        <f aca="false">H2970*H2970</f>
        <v>0</v>
      </c>
      <c r="X2970" s="0" t="n">
        <f aca="false">SUMPRODUCT(I2970:W2970,_XtX!$B$96:$P$96)</f>
        <v>43.3560489766081</v>
      </c>
      <c r="Y2970" s="0" t="n">
        <f aca="false">SUMPRODUCT(MMULT(I2970:W2970,_XtX!$B$78:$P$92),I2970:W2970)</f>
        <v>0.47672240497076</v>
      </c>
      <c r="Z2970" s="0" t="n">
        <f aca="false">04_回帰ANOVA!$K$19*04_回帰ANOVA!$K$14*SQRT(1+Y2970)</f>
        <v>1.58397318352695</v>
      </c>
      <c r="AA2970" s="0" t="n">
        <f aca="false">X2970-Z2970</f>
        <v>41.7720757930812</v>
      </c>
      <c r="AB2970" s="0" t="n">
        <f aca="false">X2970+Z2970</f>
        <v>44.9400221601351</v>
      </c>
      <c r="AC2970" s="54" t="b">
        <f aca="false">AND(E2970&gt;=01_因子設定!$L$5-0.000000001,E2970&lt;=01_因子設定!$M$5+0.000000001,F2970&gt;=01_因子設定!$L$6-0.000000001,F2970&lt;=01_因子設定!$M$6+0.000000001,G2970&gt;=01_因子設定!$L$7-0.000000001,G2970&lt;=01_因子設定!$M$7+0.000000001,H2970&gt;=01_因子設定!$L$8-0.000000001,H2970&lt;=01_因子設定!$M$8+0.000000001,IF(01_因子設定!$B$20="Box-Behnken",E2970^2+F2970^2+G2970^2+H2970^2&lt;=2+0.000000001,TRUE()))</f>
        <v>1</v>
      </c>
      <c r="AD2970" s="55" t="n">
        <f aca="false">IF(AC2970,IF(01_因子設定!$B$13="最大化",AA2970-01_因子設定!$B$14,IF(01_因子設定!$B$13="最小化",01_因子設定!$B$15-AB2970,MIN(AA2970-01_因子設定!$B$14,01_因子設定!$B$15-AB2970))),-1E+030)</f>
        <v>-4.72792420691882</v>
      </c>
      <c r="AE2970" s="55" t="n">
        <f aca="false">IF(AC2970,IF(01_因子設定!$B$13="最大化",X2970,IF(01_因子設定!$B$13="最小化",-X2970,-ABS(X2970-01_因子設定!$B$16))),-1E+030)</f>
        <v>43.3560489766081</v>
      </c>
      <c r="AF2970" s="55" t="n">
        <f aca="false">AD2970+ROW()*0.000000001</f>
        <v>-4.72792123691882</v>
      </c>
      <c r="AG2970" s="55" t="n">
        <f aca="false">AE2970+ROW()*0.000000001</f>
        <v>43.3560519466081</v>
      </c>
    </row>
    <row r="2971" customFormat="false" ht="15" hidden="false" customHeight="false" outlineLevel="0" collapsed="false">
      <c r="A2971" s="0" t="n">
        <v>4</v>
      </c>
      <c r="B2971" s="0" t="n">
        <v>0</v>
      </c>
      <c r="C2971" s="0" t="n">
        <v>5</v>
      </c>
      <c r="D2971" s="0" t="n">
        <v>5</v>
      </c>
      <c r="E2971" s="0" t="n">
        <f aca="false">-1+A2971*0.25</f>
        <v>0</v>
      </c>
      <c r="F2971" s="0" t="n">
        <f aca="false">-1+B2971*0.25</f>
        <v>-1</v>
      </c>
      <c r="G2971" s="0" t="n">
        <f aca="false">-1+C2971*0.25</f>
        <v>0.25</v>
      </c>
      <c r="H2971" s="0" t="n">
        <f aca="false">-1+D2971*0.25</f>
        <v>0.25</v>
      </c>
      <c r="I2971" s="0" t="n">
        <f aca="false">1</f>
        <v>1</v>
      </c>
      <c r="J2971" s="0" t="n">
        <f aca="false">E2971</f>
        <v>0</v>
      </c>
      <c r="K2971" s="0" t="n">
        <f aca="false">F2971</f>
        <v>-1</v>
      </c>
      <c r="L2971" s="0" t="n">
        <f aca="false">G2971</f>
        <v>0.25</v>
      </c>
      <c r="M2971" s="0" t="n">
        <f aca="false">H2971</f>
        <v>0.25</v>
      </c>
      <c r="N2971" s="0" t="n">
        <f aca="false">E2971*F2971</f>
        <v>-0</v>
      </c>
      <c r="O2971" s="0" t="n">
        <f aca="false">E2971*G2971</f>
        <v>0</v>
      </c>
      <c r="P2971" s="0" t="n">
        <f aca="false">E2971*H2971</f>
        <v>0</v>
      </c>
      <c r="Q2971" s="0" t="n">
        <f aca="false">F2971*G2971</f>
        <v>-0.25</v>
      </c>
      <c r="R2971" s="0" t="n">
        <f aca="false">F2971*H2971</f>
        <v>-0.25</v>
      </c>
      <c r="S2971" s="0" t="n">
        <f aca="false">G2971*H2971</f>
        <v>0.0625</v>
      </c>
      <c r="T2971" s="0" t="n">
        <f aca="false">E2971*E2971</f>
        <v>0</v>
      </c>
      <c r="U2971" s="0" t="n">
        <f aca="false">F2971*F2971</f>
        <v>1</v>
      </c>
      <c r="V2971" s="0" t="n">
        <f aca="false">G2971*G2971</f>
        <v>0.0625</v>
      </c>
      <c r="W2971" s="0" t="n">
        <f aca="false">H2971*H2971</f>
        <v>0.0625</v>
      </c>
      <c r="X2971" s="0" t="n">
        <f aca="false">SUMPRODUCT(I2971:W2971,_XtX!$B$96:$P$96)</f>
        <v>43.5046281067251</v>
      </c>
      <c r="Y2971" s="0" t="n">
        <f aca="false">SUMPRODUCT(MMULT(I2971:W2971,_XtX!$B$78:$P$92),I2971:W2971)</f>
        <v>0.467417934484649</v>
      </c>
      <c r="Z2971" s="0" t="n">
        <f aca="false">04_回帰ANOVA!$K$19*04_回帰ANOVA!$K$14*SQRT(1+Y2971)</f>
        <v>1.57897518244497</v>
      </c>
      <c r="AA2971" s="0" t="n">
        <f aca="false">X2971-Z2971</f>
        <v>41.9256529242801</v>
      </c>
      <c r="AB2971" s="0" t="n">
        <f aca="false">X2971+Z2971</f>
        <v>45.0836032891701</v>
      </c>
      <c r="AC2971" s="54" t="b">
        <f aca="false">AND(E2971&gt;=01_因子設定!$L$5-0.000000001,E2971&lt;=01_因子設定!$M$5+0.000000001,F2971&gt;=01_因子設定!$L$6-0.000000001,F2971&lt;=01_因子設定!$M$6+0.000000001,G2971&gt;=01_因子設定!$L$7-0.000000001,G2971&lt;=01_因子設定!$M$7+0.000000001,H2971&gt;=01_因子設定!$L$8-0.000000001,H2971&lt;=01_因子設定!$M$8+0.000000001,IF(01_因子設定!$B$20="Box-Behnken",E2971^2+F2971^2+G2971^2+H2971^2&lt;=2+0.000000001,TRUE()))</f>
        <v>1</v>
      </c>
      <c r="AD2971" s="55" t="n">
        <f aca="false">IF(AC2971,IF(01_因子設定!$B$13="最大化",AA2971-01_因子設定!$B$14,IF(01_因子設定!$B$13="最小化",01_因子設定!$B$15-AB2971,MIN(AA2971-01_因子設定!$B$14,01_因子設定!$B$15-AB2971))),-1E+030)</f>
        <v>-4.57434707571989</v>
      </c>
      <c r="AE2971" s="55" t="n">
        <f aca="false">IF(AC2971,IF(01_因子設定!$B$13="最大化",X2971,IF(01_因子設定!$B$13="最小化",-X2971,-ABS(X2971-01_因子設定!$B$16))),-1E+030)</f>
        <v>43.5046281067251</v>
      </c>
      <c r="AF2971" s="55" t="n">
        <f aca="false">AD2971+ROW()*0.000000001</f>
        <v>-4.57434410471989</v>
      </c>
      <c r="AG2971" s="55" t="n">
        <f aca="false">AE2971+ROW()*0.000000001</f>
        <v>43.5046310777251</v>
      </c>
    </row>
    <row r="2972" customFormat="false" ht="15" hidden="false" customHeight="false" outlineLevel="0" collapsed="false">
      <c r="A2972" s="0" t="n">
        <v>4</v>
      </c>
      <c r="B2972" s="0" t="n">
        <v>0</v>
      </c>
      <c r="C2972" s="0" t="n">
        <v>5</v>
      </c>
      <c r="D2972" s="0" t="n">
        <v>6</v>
      </c>
      <c r="E2972" s="0" t="n">
        <f aca="false">-1+A2972*0.25</f>
        <v>0</v>
      </c>
      <c r="F2972" s="0" t="n">
        <f aca="false">-1+B2972*0.25</f>
        <v>-1</v>
      </c>
      <c r="G2972" s="0" t="n">
        <f aca="false">-1+C2972*0.25</f>
        <v>0.25</v>
      </c>
      <c r="H2972" s="0" t="n">
        <f aca="false">-1+D2972*0.25</f>
        <v>0.5</v>
      </c>
      <c r="I2972" s="0" t="n">
        <f aca="false">1</f>
        <v>1</v>
      </c>
      <c r="J2972" s="0" t="n">
        <f aca="false">E2972</f>
        <v>0</v>
      </c>
      <c r="K2972" s="0" t="n">
        <f aca="false">F2972</f>
        <v>-1</v>
      </c>
      <c r="L2972" s="0" t="n">
        <f aca="false">G2972</f>
        <v>0.25</v>
      </c>
      <c r="M2972" s="0" t="n">
        <f aca="false">H2972</f>
        <v>0.5</v>
      </c>
      <c r="N2972" s="0" t="n">
        <f aca="false">E2972*F2972</f>
        <v>-0</v>
      </c>
      <c r="O2972" s="0" t="n">
        <f aca="false">E2972*G2972</f>
        <v>0</v>
      </c>
      <c r="P2972" s="0" t="n">
        <f aca="false">E2972*H2972</f>
        <v>0</v>
      </c>
      <c r="Q2972" s="0" t="n">
        <f aca="false">F2972*G2972</f>
        <v>-0.25</v>
      </c>
      <c r="R2972" s="0" t="n">
        <f aca="false">F2972*H2972</f>
        <v>-0.5</v>
      </c>
      <c r="S2972" s="0" t="n">
        <f aca="false">G2972*H2972</f>
        <v>0.125</v>
      </c>
      <c r="T2972" s="0" t="n">
        <f aca="false">E2972*E2972</f>
        <v>0</v>
      </c>
      <c r="U2972" s="0" t="n">
        <f aca="false">F2972*F2972</f>
        <v>1</v>
      </c>
      <c r="V2972" s="0" t="n">
        <f aca="false">G2972*G2972</f>
        <v>0.0625</v>
      </c>
      <c r="W2972" s="0" t="n">
        <f aca="false">H2972*H2972</f>
        <v>0.25</v>
      </c>
      <c r="X2972" s="0" t="n">
        <f aca="false">SUMPRODUCT(I2972:W2972,_XtX!$B$96:$P$96)</f>
        <v>43.6054002192982</v>
      </c>
      <c r="Y2972" s="0" t="n">
        <f aca="false">SUMPRODUCT(MMULT(I2972:W2972,_XtX!$B$78:$P$92),I2972:W2972)</f>
        <v>0.457596628289474</v>
      </c>
      <c r="Z2972" s="0" t="n">
        <f aca="false">04_回帰ANOVA!$K$19*04_回帰ANOVA!$K$14*SQRT(1+Y2972)</f>
        <v>1.57368233664366</v>
      </c>
      <c r="AA2972" s="0" t="n">
        <f aca="false">X2972-Z2972</f>
        <v>42.0317178826545</v>
      </c>
      <c r="AB2972" s="0" t="n">
        <f aca="false">X2972+Z2972</f>
        <v>45.1790825559419</v>
      </c>
      <c r="AC2972" s="54" t="b">
        <f aca="false">AND(E2972&gt;=01_因子設定!$L$5-0.000000001,E2972&lt;=01_因子設定!$M$5+0.000000001,F2972&gt;=01_因子設定!$L$6-0.000000001,F2972&lt;=01_因子設定!$M$6+0.000000001,G2972&gt;=01_因子設定!$L$7-0.000000001,G2972&lt;=01_因子設定!$M$7+0.000000001,H2972&gt;=01_因子設定!$L$8-0.000000001,H2972&lt;=01_因子設定!$M$8+0.000000001,IF(01_因子設定!$B$20="Box-Behnken",E2972^2+F2972^2+G2972^2+H2972^2&lt;=2+0.000000001,TRUE()))</f>
        <v>1</v>
      </c>
      <c r="AD2972" s="55" t="n">
        <f aca="false">IF(AC2972,IF(01_因子設定!$B$13="最大化",AA2972-01_因子設定!$B$14,IF(01_因子設定!$B$13="最小化",01_因子設定!$B$15-AB2972,MIN(AA2972-01_因子設定!$B$14,01_因子設定!$B$15-AB2972))),-1E+030)</f>
        <v>-4.46828211734547</v>
      </c>
      <c r="AE2972" s="55" t="n">
        <f aca="false">IF(AC2972,IF(01_因子設定!$B$13="最大化",X2972,IF(01_因子設定!$B$13="最小化",-X2972,-ABS(X2972-01_因子設定!$B$16))),-1E+030)</f>
        <v>43.6054002192982</v>
      </c>
      <c r="AF2972" s="55" t="n">
        <f aca="false">AD2972+ROW()*0.000000001</f>
        <v>-4.46827914534547</v>
      </c>
      <c r="AG2972" s="55" t="n">
        <f aca="false">AE2972+ROW()*0.000000001</f>
        <v>43.6054031912982</v>
      </c>
    </row>
    <row r="2973" customFormat="false" ht="15" hidden="false" customHeight="false" outlineLevel="0" collapsed="false">
      <c r="A2973" s="0" t="n">
        <v>4</v>
      </c>
      <c r="B2973" s="0" t="n">
        <v>0</v>
      </c>
      <c r="C2973" s="0" t="n">
        <v>5</v>
      </c>
      <c r="D2973" s="0" t="n">
        <v>7</v>
      </c>
      <c r="E2973" s="0" t="n">
        <f aca="false">-1+A2973*0.25</f>
        <v>0</v>
      </c>
      <c r="F2973" s="0" t="n">
        <f aca="false">-1+B2973*0.25</f>
        <v>-1</v>
      </c>
      <c r="G2973" s="0" t="n">
        <f aca="false">-1+C2973*0.25</f>
        <v>0.25</v>
      </c>
      <c r="H2973" s="0" t="n">
        <f aca="false">-1+D2973*0.25</f>
        <v>0.75</v>
      </c>
      <c r="I2973" s="0" t="n">
        <f aca="false">1</f>
        <v>1</v>
      </c>
      <c r="J2973" s="0" t="n">
        <f aca="false">E2973</f>
        <v>0</v>
      </c>
      <c r="K2973" s="0" t="n">
        <f aca="false">F2973</f>
        <v>-1</v>
      </c>
      <c r="L2973" s="0" t="n">
        <f aca="false">G2973</f>
        <v>0.25</v>
      </c>
      <c r="M2973" s="0" t="n">
        <f aca="false">H2973</f>
        <v>0.75</v>
      </c>
      <c r="N2973" s="0" t="n">
        <f aca="false">E2973*F2973</f>
        <v>-0</v>
      </c>
      <c r="O2973" s="0" t="n">
        <f aca="false">E2973*G2973</f>
        <v>0</v>
      </c>
      <c r="P2973" s="0" t="n">
        <f aca="false">E2973*H2973</f>
        <v>0</v>
      </c>
      <c r="Q2973" s="0" t="n">
        <f aca="false">F2973*G2973</f>
        <v>-0.25</v>
      </c>
      <c r="R2973" s="0" t="n">
        <f aca="false">F2973*H2973</f>
        <v>-0.75</v>
      </c>
      <c r="S2973" s="0" t="n">
        <f aca="false">G2973*H2973</f>
        <v>0.1875</v>
      </c>
      <c r="T2973" s="0" t="n">
        <f aca="false">E2973*E2973</f>
        <v>0</v>
      </c>
      <c r="U2973" s="0" t="n">
        <f aca="false">F2973*F2973</f>
        <v>1</v>
      </c>
      <c r="V2973" s="0" t="n">
        <f aca="false">G2973*G2973</f>
        <v>0.0625</v>
      </c>
      <c r="W2973" s="0" t="n">
        <f aca="false">H2973*H2973</f>
        <v>0.5625</v>
      </c>
      <c r="X2973" s="0" t="n">
        <f aca="false">SUMPRODUCT(I2973:W2973,_XtX!$B$96:$P$96)</f>
        <v>43.6583653143274</v>
      </c>
      <c r="Y2973" s="0" t="n">
        <f aca="false">SUMPRODUCT(MMULT(I2973:W2973,_XtX!$B$78:$P$92),I2973:W2973)</f>
        <v>0.501534802174708</v>
      </c>
      <c r="Z2973" s="0" t="n">
        <f aca="false">04_回帰ANOVA!$K$19*04_回帰ANOVA!$K$14*SQRT(1+Y2973)</f>
        <v>1.59722498091333</v>
      </c>
      <c r="AA2973" s="0" t="n">
        <f aca="false">X2973-Z2973</f>
        <v>42.0611403334141</v>
      </c>
      <c r="AB2973" s="0" t="n">
        <f aca="false">X2973+Z2973</f>
        <v>45.2555902952408</v>
      </c>
      <c r="AC2973" s="54" t="b">
        <f aca="false">AND(E2973&gt;=01_因子設定!$L$5-0.000000001,E2973&lt;=01_因子設定!$M$5+0.000000001,F2973&gt;=01_因子設定!$L$6-0.000000001,F2973&lt;=01_因子設定!$M$6+0.000000001,G2973&gt;=01_因子設定!$L$7-0.000000001,G2973&lt;=01_因子設定!$M$7+0.000000001,H2973&gt;=01_因子設定!$L$8-0.000000001,H2973&lt;=01_因子設定!$M$8+0.000000001,IF(01_因子設定!$B$20="Box-Behnken",E2973^2+F2973^2+G2973^2+H2973^2&lt;=2+0.000000001,TRUE()))</f>
        <v>1</v>
      </c>
      <c r="AD2973" s="55" t="n">
        <f aca="false">IF(AC2973,IF(01_因子設定!$B$13="最大化",AA2973-01_因子設定!$B$14,IF(01_因子設定!$B$13="最小化",01_因子設定!$B$15-AB2973,MIN(AA2973-01_因子設定!$B$14,01_因子設定!$B$15-AB2973))),-1E+030)</f>
        <v>-4.43885966658589</v>
      </c>
      <c r="AE2973" s="55" t="n">
        <f aca="false">IF(AC2973,IF(01_因子設定!$B$13="最大化",X2973,IF(01_因子設定!$B$13="最小化",-X2973,-ABS(X2973-01_因子設定!$B$16))),-1E+030)</f>
        <v>43.6583653143274</v>
      </c>
      <c r="AF2973" s="55" t="n">
        <f aca="false">AD2973+ROW()*0.000000001</f>
        <v>-4.43885669358589</v>
      </c>
      <c r="AG2973" s="55" t="n">
        <f aca="false">AE2973+ROW()*0.000000001</f>
        <v>43.6583682873274</v>
      </c>
    </row>
    <row r="2974" customFormat="false" ht="15" hidden="false" customHeight="false" outlineLevel="0" collapsed="false">
      <c r="A2974" s="0" t="n">
        <v>4</v>
      </c>
      <c r="B2974" s="0" t="n">
        <v>0</v>
      </c>
      <c r="C2974" s="0" t="n">
        <v>5</v>
      </c>
      <c r="D2974" s="0" t="n">
        <v>8</v>
      </c>
      <c r="E2974" s="0" t="n">
        <f aca="false">-1+A2974*0.25</f>
        <v>0</v>
      </c>
      <c r="F2974" s="0" t="n">
        <f aca="false">-1+B2974*0.25</f>
        <v>-1</v>
      </c>
      <c r="G2974" s="0" t="n">
        <f aca="false">-1+C2974*0.25</f>
        <v>0.25</v>
      </c>
      <c r="H2974" s="0" t="n">
        <f aca="false">-1+D2974*0.25</f>
        <v>1</v>
      </c>
      <c r="I2974" s="0" t="n">
        <f aca="false">1</f>
        <v>1</v>
      </c>
      <c r="J2974" s="0" t="n">
        <f aca="false">E2974</f>
        <v>0</v>
      </c>
      <c r="K2974" s="0" t="n">
        <f aca="false">F2974</f>
        <v>-1</v>
      </c>
      <c r="L2974" s="0" t="n">
        <f aca="false">G2974</f>
        <v>0.25</v>
      </c>
      <c r="M2974" s="0" t="n">
        <f aca="false">H2974</f>
        <v>1</v>
      </c>
      <c r="N2974" s="0" t="n">
        <f aca="false">E2974*F2974</f>
        <v>-0</v>
      </c>
      <c r="O2974" s="0" t="n">
        <f aca="false">E2974*G2974</f>
        <v>0</v>
      </c>
      <c r="P2974" s="0" t="n">
        <f aca="false">E2974*H2974</f>
        <v>0</v>
      </c>
      <c r="Q2974" s="0" t="n">
        <f aca="false">F2974*G2974</f>
        <v>-0.25</v>
      </c>
      <c r="R2974" s="0" t="n">
        <f aca="false">F2974*H2974</f>
        <v>-1</v>
      </c>
      <c r="S2974" s="0" t="n">
        <f aca="false">G2974*H2974</f>
        <v>0.25</v>
      </c>
      <c r="T2974" s="0" t="n">
        <f aca="false">E2974*E2974</f>
        <v>0</v>
      </c>
      <c r="U2974" s="0" t="n">
        <f aca="false">F2974*F2974</f>
        <v>1</v>
      </c>
      <c r="V2974" s="0" t="n">
        <f aca="false">G2974*G2974</f>
        <v>0.0625</v>
      </c>
      <c r="W2974" s="0" t="n">
        <f aca="false">H2974*H2974</f>
        <v>1</v>
      </c>
      <c r="X2974" s="0" t="n">
        <f aca="false">SUMPRODUCT(I2974:W2974,_XtX!$B$96:$P$96)</f>
        <v>43.6635233918128</v>
      </c>
      <c r="Y2974" s="0" t="n">
        <f aca="false">SUMPRODUCT(MMULT(I2974:W2974,_XtX!$B$78:$P$92),I2974:W2974)</f>
        <v>0.689692982456141</v>
      </c>
      <c r="Z2974" s="0" t="n">
        <f aca="false">04_回帰ANOVA!$K$19*04_回帰ANOVA!$K$14*SQRT(1+Y2974)</f>
        <v>1.69434674594998</v>
      </c>
      <c r="AA2974" s="0" t="n">
        <f aca="false">X2974-Z2974</f>
        <v>41.9691766458629</v>
      </c>
      <c r="AB2974" s="0" t="n">
        <f aca="false">X2974+Z2974</f>
        <v>45.3578701377628</v>
      </c>
      <c r="AC2974" s="54" t="b">
        <f aca="false">AND(E2974&gt;=01_因子設定!$L$5-0.000000001,E2974&lt;=01_因子設定!$M$5+0.000000001,F2974&gt;=01_因子設定!$L$6-0.000000001,F2974&lt;=01_因子設定!$M$6+0.000000001,G2974&gt;=01_因子設定!$L$7-0.000000001,G2974&lt;=01_因子設定!$M$7+0.000000001,H2974&gt;=01_因子設定!$L$8-0.000000001,H2974&lt;=01_因子設定!$M$8+0.000000001,IF(01_因子設定!$B$20="Box-Behnken",E2974^2+F2974^2+G2974^2+H2974^2&lt;=2+0.000000001,TRUE()))</f>
        <v>1</v>
      </c>
      <c r="AD2974" s="55" t="n">
        <f aca="false">IF(AC2974,IF(01_因子設定!$B$13="最大化",AA2974-01_因子設定!$B$14,IF(01_因子設定!$B$13="最小化",01_因子設定!$B$15-AB2974,MIN(AA2974-01_因子設定!$B$14,01_因子設定!$B$15-AB2974))),-1E+030)</f>
        <v>-4.53082335413715</v>
      </c>
      <c r="AE2974" s="55" t="n">
        <f aca="false">IF(AC2974,IF(01_因子設定!$B$13="最大化",X2974,IF(01_因子設定!$B$13="最小化",-X2974,-ABS(X2974-01_因子設定!$B$16))),-1E+030)</f>
        <v>43.6635233918128</v>
      </c>
      <c r="AF2974" s="55" t="n">
        <f aca="false">AD2974+ROW()*0.000000001</f>
        <v>-4.53082038013715</v>
      </c>
      <c r="AG2974" s="55" t="n">
        <f aca="false">AE2974+ROW()*0.000000001</f>
        <v>43.6635263658128</v>
      </c>
    </row>
    <row r="2975" customFormat="false" ht="15" hidden="false" customHeight="false" outlineLevel="0" collapsed="false">
      <c r="A2975" s="0" t="n">
        <v>4</v>
      </c>
      <c r="B2975" s="0" t="n">
        <v>0</v>
      </c>
      <c r="C2975" s="0" t="n">
        <v>6</v>
      </c>
      <c r="D2975" s="0" t="n">
        <v>0</v>
      </c>
      <c r="E2975" s="0" t="n">
        <f aca="false">-1+A2975*0.25</f>
        <v>0</v>
      </c>
      <c r="F2975" s="0" t="n">
        <f aca="false">-1+B2975*0.25</f>
        <v>-1</v>
      </c>
      <c r="G2975" s="0" t="n">
        <f aca="false">-1+C2975*0.25</f>
        <v>0.5</v>
      </c>
      <c r="H2975" s="0" t="n">
        <f aca="false">-1+D2975*0.25</f>
        <v>-1</v>
      </c>
      <c r="I2975" s="0" t="n">
        <f aca="false">1</f>
        <v>1</v>
      </c>
      <c r="J2975" s="0" t="n">
        <f aca="false">E2975</f>
        <v>0</v>
      </c>
      <c r="K2975" s="0" t="n">
        <f aca="false">F2975</f>
        <v>-1</v>
      </c>
      <c r="L2975" s="0" t="n">
        <f aca="false">G2975</f>
        <v>0.5</v>
      </c>
      <c r="M2975" s="0" t="n">
        <f aca="false">H2975</f>
        <v>-1</v>
      </c>
      <c r="N2975" s="0" t="n">
        <f aca="false">E2975*F2975</f>
        <v>-0</v>
      </c>
      <c r="O2975" s="0" t="n">
        <f aca="false">E2975*G2975</f>
        <v>0</v>
      </c>
      <c r="P2975" s="0" t="n">
        <f aca="false">E2975*H2975</f>
        <v>-0</v>
      </c>
      <c r="Q2975" s="0" t="n">
        <f aca="false">F2975*G2975</f>
        <v>-0.5</v>
      </c>
      <c r="R2975" s="0" t="n">
        <f aca="false">F2975*H2975</f>
        <v>1</v>
      </c>
      <c r="S2975" s="0" t="n">
        <f aca="false">G2975*H2975</f>
        <v>-0.5</v>
      </c>
      <c r="T2975" s="0" t="n">
        <f aca="false">E2975*E2975</f>
        <v>0</v>
      </c>
      <c r="U2975" s="0" t="n">
        <f aca="false">F2975*F2975</f>
        <v>1</v>
      </c>
      <c r="V2975" s="0" t="n">
        <f aca="false">G2975*G2975</f>
        <v>0.25</v>
      </c>
      <c r="W2975" s="0" t="n">
        <f aca="false">H2975*H2975</f>
        <v>1</v>
      </c>
      <c r="X2975" s="0" t="n">
        <f aca="false">SUMPRODUCT(I2975:W2975,_XtX!$B$96:$P$96)</f>
        <v>42.2515350877193</v>
      </c>
      <c r="Y2975" s="0" t="n">
        <f aca="false">SUMPRODUCT(MMULT(I2975:W2975,_XtX!$B$78:$P$92),I2975:W2975)</f>
        <v>0.650767543859649</v>
      </c>
      <c r="Z2975" s="0" t="n">
        <f aca="false">04_回帰ANOVA!$K$19*04_回帰ANOVA!$K$14*SQRT(1+Y2975)</f>
        <v>1.67471670935165</v>
      </c>
      <c r="AA2975" s="0" t="n">
        <f aca="false">X2975-Z2975</f>
        <v>40.5768183783676</v>
      </c>
      <c r="AB2975" s="0" t="n">
        <f aca="false">X2975+Z2975</f>
        <v>43.9262517970709</v>
      </c>
      <c r="AC2975" s="54" t="b">
        <f aca="false">AND(E2975&gt;=01_因子設定!$L$5-0.000000001,E2975&lt;=01_因子設定!$M$5+0.000000001,F2975&gt;=01_因子設定!$L$6-0.000000001,F2975&lt;=01_因子設定!$M$6+0.000000001,G2975&gt;=01_因子設定!$L$7-0.000000001,G2975&lt;=01_因子設定!$M$7+0.000000001,H2975&gt;=01_因子設定!$L$8-0.000000001,H2975&lt;=01_因子設定!$M$8+0.000000001,IF(01_因子設定!$B$20="Box-Behnken",E2975^2+F2975^2+G2975^2+H2975^2&lt;=2+0.000000001,TRUE()))</f>
        <v>1</v>
      </c>
      <c r="AD2975" s="55" t="n">
        <f aca="false">IF(AC2975,IF(01_因子設定!$B$13="最大化",AA2975-01_因子設定!$B$14,IF(01_因子設定!$B$13="最小化",01_因子設定!$B$15-AB2975,MIN(AA2975-01_因子設定!$B$14,01_因子設定!$B$15-AB2975))),-1E+030)</f>
        <v>-5.92318162163238</v>
      </c>
      <c r="AE2975" s="55" t="n">
        <f aca="false">IF(AC2975,IF(01_因子設定!$B$13="最大化",X2975,IF(01_因子設定!$B$13="最小化",-X2975,-ABS(X2975-01_因子設定!$B$16))),-1E+030)</f>
        <v>42.2515350877193</v>
      </c>
      <c r="AF2975" s="55" t="n">
        <f aca="false">AD2975+ROW()*0.000000001</f>
        <v>-5.92317864663238</v>
      </c>
      <c r="AG2975" s="55" t="n">
        <f aca="false">AE2975+ROW()*0.000000001</f>
        <v>42.2515380627193</v>
      </c>
    </row>
    <row r="2976" customFormat="false" ht="15" hidden="false" customHeight="false" outlineLevel="0" collapsed="false">
      <c r="A2976" s="0" t="n">
        <v>4</v>
      </c>
      <c r="B2976" s="0" t="n">
        <v>0</v>
      </c>
      <c r="C2976" s="0" t="n">
        <v>6</v>
      </c>
      <c r="D2976" s="0" t="n">
        <v>1</v>
      </c>
      <c r="E2976" s="0" t="n">
        <f aca="false">-1+A2976*0.25</f>
        <v>0</v>
      </c>
      <c r="F2976" s="0" t="n">
        <f aca="false">-1+B2976*0.25</f>
        <v>-1</v>
      </c>
      <c r="G2976" s="0" t="n">
        <f aca="false">-1+C2976*0.25</f>
        <v>0.5</v>
      </c>
      <c r="H2976" s="0" t="n">
        <f aca="false">-1+D2976*0.25</f>
        <v>-0.75</v>
      </c>
      <c r="I2976" s="0" t="n">
        <f aca="false">1</f>
        <v>1</v>
      </c>
      <c r="J2976" s="0" t="n">
        <f aca="false">E2976</f>
        <v>0</v>
      </c>
      <c r="K2976" s="0" t="n">
        <f aca="false">F2976</f>
        <v>-1</v>
      </c>
      <c r="L2976" s="0" t="n">
        <f aca="false">G2976</f>
        <v>0.5</v>
      </c>
      <c r="M2976" s="0" t="n">
        <f aca="false">H2976</f>
        <v>-0.75</v>
      </c>
      <c r="N2976" s="0" t="n">
        <f aca="false">E2976*F2976</f>
        <v>-0</v>
      </c>
      <c r="O2976" s="0" t="n">
        <f aca="false">E2976*G2976</f>
        <v>0</v>
      </c>
      <c r="P2976" s="0" t="n">
        <f aca="false">E2976*H2976</f>
        <v>-0</v>
      </c>
      <c r="Q2976" s="0" t="n">
        <f aca="false">F2976*G2976</f>
        <v>-0.5</v>
      </c>
      <c r="R2976" s="0" t="n">
        <f aca="false">F2976*H2976</f>
        <v>0.75</v>
      </c>
      <c r="S2976" s="0" t="n">
        <f aca="false">G2976*H2976</f>
        <v>-0.375</v>
      </c>
      <c r="T2976" s="0" t="n">
        <f aca="false">E2976*E2976</f>
        <v>0</v>
      </c>
      <c r="U2976" s="0" t="n">
        <f aca="false">F2976*F2976</f>
        <v>1</v>
      </c>
      <c r="V2976" s="0" t="n">
        <f aca="false">G2976*G2976</f>
        <v>0.25</v>
      </c>
      <c r="W2976" s="0" t="n">
        <f aca="false">H2976*H2976</f>
        <v>0.5625</v>
      </c>
      <c r="X2976" s="0" t="n">
        <f aca="false">SUMPRODUCT(I2976:W2976,_XtX!$B$96:$P$96)</f>
        <v>42.6093110380117</v>
      </c>
      <c r="Y2976" s="0" t="n">
        <f aca="false">SUMPRODUCT(MMULT(I2976:W2976,_XtX!$B$78:$P$92),I2976:W2976)</f>
        <v>0.476191292032164</v>
      </c>
      <c r="Z2976" s="0" t="n">
        <f aca="false">04_回帰ANOVA!$K$19*04_回帰ANOVA!$K$14*SQRT(1+Y2976)</f>
        <v>1.58368831471718</v>
      </c>
      <c r="AA2976" s="0" t="n">
        <f aca="false">X2976-Z2976</f>
        <v>41.0256227232945</v>
      </c>
      <c r="AB2976" s="0" t="n">
        <f aca="false">X2976+Z2976</f>
        <v>44.1929993527288</v>
      </c>
      <c r="AC2976" s="54" t="b">
        <f aca="false">AND(E2976&gt;=01_因子設定!$L$5-0.000000001,E2976&lt;=01_因子設定!$M$5+0.000000001,F2976&gt;=01_因子設定!$L$6-0.000000001,F2976&lt;=01_因子設定!$M$6+0.000000001,G2976&gt;=01_因子設定!$L$7-0.000000001,G2976&lt;=01_因子設定!$M$7+0.000000001,H2976&gt;=01_因子設定!$L$8-0.000000001,H2976&lt;=01_因子設定!$M$8+0.000000001,IF(01_因子設定!$B$20="Box-Behnken",E2976^2+F2976^2+G2976^2+H2976^2&lt;=2+0.000000001,TRUE()))</f>
        <v>1</v>
      </c>
      <c r="AD2976" s="55" t="n">
        <f aca="false">IF(AC2976,IF(01_因子設定!$B$13="最大化",AA2976-01_因子設定!$B$14,IF(01_因子設定!$B$13="最小化",01_因子設定!$B$15-AB2976,MIN(AA2976-01_因子設定!$B$14,01_因子設定!$B$15-AB2976))),-1E+030)</f>
        <v>-5.47437727670553</v>
      </c>
      <c r="AE2976" s="55" t="n">
        <f aca="false">IF(AC2976,IF(01_因子設定!$B$13="最大化",X2976,IF(01_因子設定!$B$13="最小化",-X2976,-ABS(X2976-01_因子設定!$B$16))),-1E+030)</f>
        <v>42.6093110380117</v>
      </c>
      <c r="AF2976" s="55" t="n">
        <f aca="false">AD2976+ROW()*0.000000001</f>
        <v>-5.47437430070552</v>
      </c>
      <c r="AG2976" s="55" t="n">
        <f aca="false">AE2976+ROW()*0.000000001</f>
        <v>42.6093140140117</v>
      </c>
    </row>
    <row r="2977" customFormat="false" ht="15" hidden="false" customHeight="false" outlineLevel="0" collapsed="false">
      <c r="A2977" s="0" t="n">
        <v>4</v>
      </c>
      <c r="B2977" s="0" t="n">
        <v>0</v>
      </c>
      <c r="C2977" s="0" t="n">
        <v>6</v>
      </c>
      <c r="D2977" s="0" t="n">
        <v>2</v>
      </c>
      <c r="E2977" s="0" t="n">
        <f aca="false">-1+A2977*0.25</f>
        <v>0</v>
      </c>
      <c r="F2977" s="0" t="n">
        <f aca="false">-1+B2977*0.25</f>
        <v>-1</v>
      </c>
      <c r="G2977" s="0" t="n">
        <f aca="false">-1+C2977*0.25</f>
        <v>0.5</v>
      </c>
      <c r="H2977" s="0" t="n">
        <f aca="false">-1+D2977*0.25</f>
        <v>-0.5</v>
      </c>
      <c r="I2977" s="0" t="n">
        <f aca="false">1</f>
        <v>1</v>
      </c>
      <c r="J2977" s="0" t="n">
        <f aca="false">E2977</f>
        <v>0</v>
      </c>
      <c r="K2977" s="0" t="n">
        <f aca="false">F2977</f>
        <v>-1</v>
      </c>
      <c r="L2977" s="0" t="n">
        <f aca="false">G2977</f>
        <v>0.5</v>
      </c>
      <c r="M2977" s="0" t="n">
        <f aca="false">H2977</f>
        <v>-0.5</v>
      </c>
      <c r="N2977" s="0" t="n">
        <f aca="false">E2977*F2977</f>
        <v>-0</v>
      </c>
      <c r="O2977" s="0" t="n">
        <f aca="false">E2977*G2977</f>
        <v>0</v>
      </c>
      <c r="P2977" s="0" t="n">
        <f aca="false">E2977*H2977</f>
        <v>-0</v>
      </c>
      <c r="Q2977" s="0" t="n">
        <f aca="false">F2977*G2977</f>
        <v>-0.5</v>
      </c>
      <c r="R2977" s="0" t="n">
        <f aca="false">F2977*H2977</f>
        <v>0.5</v>
      </c>
      <c r="S2977" s="0" t="n">
        <f aca="false">G2977*H2977</f>
        <v>-0.25</v>
      </c>
      <c r="T2977" s="0" t="n">
        <f aca="false">E2977*E2977</f>
        <v>0</v>
      </c>
      <c r="U2977" s="0" t="n">
        <f aca="false">F2977*F2977</f>
        <v>1</v>
      </c>
      <c r="V2977" s="0" t="n">
        <f aca="false">G2977*G2977</f>
        <v>0.25</v>
      </c>
      <c r="W2977" s="0" t="n">
        <f aca="false">H2977*H2977</f>
        <v>0.25</v>
      </c>
      <c r="X2977" s="0" t="n">
        <f aca="false">SUMPRODUCT(I2977:W2977,_XtX!$B$96:$P$96)</f>
        <v>42.9192799707602</v>
      </c>
      <c r="Y2977" s="0" t="n">
        <f aca="false">SUMPRODUCT(MMULT(I2977:W2977,_XtX!$B$78:$P$92),I2977:W2977)</f>
        <v>0.441954495614035</v>
      </c>
      <c r="Z2977" s="0" t="n">
        <f aca="false">04_回帰ANOVA!$K$19*04_回帰ANOVA!$K$14*SQRT(1+Y2977)</f>
        <v>1.56521560968066</v>
      </c>
      <c r="AA2977" s="0" t="n">
        <f aca="false">X2977-Z2977</f>
        <v>41.3540643610795</v>
      </c>
      <c r="AB2977" s="0" t="n">
        <f aca="false">X2977+Z2977</f>
        <v>44.4844955804408</v>
      </c>
      <c r="AC2977" s="54" t="b">
        <f aca="false">AND(E2977&gt;=01_因子設定!$L$5-0.000000001,E2977&lt;=01_因子設定!$M$5+0.000000001,F2977&gt;=01_因子設定!$L$6-0.000000001,F2977&lt;=01_因子設定!$M$6+0.000000001,G2977&gt;=01_因子設定!$L$7-0.000000001,G2977&lt;=01_因子設定!$M$7+0.000000001,H2977&gt;=01_因子設定!$L$8-0.000000001,H2977&lt;=01_因子設定!$M$8+0.000000001,IF(01_因子設定!$B$20="Box-Behnken",E2977^2+F2977^2+G2977^2+H2977^2&lt;=2+0.000000001,TRUE()))</f>
        <v>1</v>
      </c>
      <c r="AD2977" s="55" t="n">
        <f aca="false">IF(AC2977,IF(01_因子設定!$B$13="最大化",AA2977-01_因子設定!$B$14,IF(01_因子設定!$B$13="最小化",01_因子設定!$B$15-AB2977,MIN(AA2977-01_因子設定!$B$14,01_因子設定!$B$15-AB2977))),-1E+030)</f>
        <v>-5.14593563892048</v>
      </c>
      <c r="AE2977" s="55" t="n">
        <f aca="false">IF(AC2977,IF(01_因子設定!$B$13="最大化",X2977,IF(01_因子設定!$B$13="最小化",-X2977,-ABS(X2977-01_因子設定!$B$16))),-1E+030)</f>
        <v>42.9192799707602</v>
      </c>
      <c r="AF2977" s="55" t="n">
        <f aca="false">AD2977+ROW()*0.000000001</f>
        <v>-5.14593266192048</v>
      </c>
      <c r="AG2977" s="55" t="n">
        <f aca="false">AE2977+ROW()*0.000000001</f>
        <v>42.9192829477602</v>
      </c>
    </row>
    <row r="2978" customFormat="false" ht="15" hidden="false" customHeight="false" outlineLevel="0" collapsed="false">
      <c r="A2978" s="0" t="n">
        <v>4</v>
      </c>
      <c r="B2978" s="0" t="n">
        <v>0</v>
      </c>
      <c r="C2978" s="0" t="n">
        <v>6</v>
      </c>
      <c r="D2978" s="0" t="n">
        <v>3</v>
      </c>
      <c r="E2978" s="0" t="n">
        <f aca="false">-1+A2978*0.25</f>
        <v>0</v>
      </c>
      <c r="F2978" s="0" t="n">
        <f aca="false">-1+B2978*0.25</f>
        <v>-1</v>
      </c>
      <c r="G2978" s="0" t="n">
        <f aca="false">-1+C2978*0.25</f>
        <v>0.5</v>
      </c>
      <c r="H2978" s="0" t="n">
        <f aca="false">-1+D2978*0.25</f>
        <v>-0.25</v>
      </c>
      <c r="I2978" s="0" t="n">
        <f aca="false">1</f>
        <v>1</v>
      </c>
      <c r="J2978" s="0" t="n">
        <f aca="false">E2978</f>
        <v>0</v>
      </c>
      <c r="K2978" s="0" t="n">
        <f aca="false">F2978</f>
        <v>-1</v>
      </c>
      <c r="L2978" s="0" t="n">
        <f aca="false">G2978</f>
        <v>0.5</v>
      </c>
      <c r="M2978" s="0" t="n">
        <f aca="false">H2978</f>
        <v>-0.25</v>
      </c>
      <c r="N2978" s="0" t="n">
        <f aca="false">E2978*F2978</f>
        <v>-0</v>
      </c>
      <c r="O2978" s="0" t="n">
        <f aca="false">E2978*G2978</f>
        <v>0</v>
      </c>
      <c r="P2978" s="0" t="n">
        <f aca="false">E2978*H2978</f>
        <v>-0</v>
      </c>
      <c r="Q2978" s="0" t="n">
        <f aca="false">F2978*G2978</f>
        <v>-0.5</v>
      </c>
      <c r="R2978" s="0" t="n">
        <f aca="false">F2978*H2978</f>
        <v>0.25</v>
      </c>
      <c r="S2978" s="0" t="n">
        <f aca="false">G2978*H2978</f>
        <v>-0.125</v>
      </c>
      <c r="T2978" s="0" t="n">
        <f aca="false">E2978*E2978</f>
        <v>0</v>
      </c>
      <c r="U2978" s="0" t="n">
        <f aca="false">F2978*F2978</f>
        <v>1</v>
      </c>
      <c r="V2978" s="0" t="n">
        <f aca="false">G2978*G2978</f>
        <v>0.25</v>
      </c>
      <c r="W2978" s="0" t="n">
        <f aca="false">H2978*H2978</f>
        <v>0.0625</v>
      </c>
      <c r="X2978" s="0" t="n">
        <f aca="false">SUMPRODUCT(I2978:W2978,_XtX!$B$96:$P$96)</f>
        <v>43.1814418859649</v>
      </c>
      <c r="Y2978" s="0" t="n">
        <f aca="false">SUMPRODUCT(MMULT(I2978:W2978,_XtX!$B$78:$P$92),I2978:W2978)</f>
        <v>0.457596628289474</v>
      </c>
      <c r="Z2978" s="0" t="n">
        <f aca="false">04_回帰ANOVA!$K$19*04_回帰ANOVA!$K$14*SQRT(1+Y2978)</f>
        <v>1.57368233664366</v>
      </c>
      <c r="AA2978" s="0" t="n">
        <f aca="false">X2978-Z2978</f>
        <v>41.6077595493212</v>
      </c>
      <c r="AB2978" s="0" t="n">
        <f aca="false">X2978+Z2978</f>
        <v>44.7551242226085</v>
      </c>
      <c r="AC2978" s="54" t="b">
        <f aca="false">AND(E2978&gt;=01_因子設定!$L$5-0.000000001,E2978&lt;=01_因子設定!$M$5+0.000000001,F2978&gt;=01_因子設定!$L$6-0.000000001,F2978&lt;=01_因子設定!$M$6+0.000000001,G2978&gt;=01_因子設定!$L$7-0.000000001,G2978&lt;=01_因子設定!$M$7+0.000000001,H2978&gt;=01_因子設定!$L$8-0.000000001,H2978&lt;=01_因子設定!$M$8+0.000000001,IF(01_因子設定!$B$20="Box-Behnken",E2978^2+F2978^2+G2978^2+H2978^2&lt;=2+0.000000001,TRUE()))</f>
        <v>1</v>
      </c>
      <c r="AD2978" s="55" t="n">
        <f aca="false">IF(AC2978,IF(01_因子設定!$B$13="最大化",AA2978-01_因子設定!$B$14,IF(01_因子設定!$B$13="最小化",01_因子設定!$B$15-AB2978,MIN(AA2978-01_因子設定!$B$14,01_因子設定!$B$15-AB2978))),-1E+030)</f>
        <v>-4.89224045067881</v>
      </c>
      <c r="AE2978" s="55" t="n">
        <f aca="false">IF(AC2978,IF(01_因子設定!$B$13="最大化",X2978,IF(01_因子設定!$B$13="最小化",-X2978,-ABS(X2978-01_因子設定!$B$16))),-1E+030)</f>
        <v>43.1814418859649</v>
      </c>
      <c r="AF2978" s="55" t="n">
        <f aca="false">AD2978+ROW()*0.000000001</f>
        <v>-4.89223747267881</v>
      </c>
      <c r="AG2978" s="55" t="n">
        <f aca="false">AE2978+ROW()*0.000000001</f>
        <v>43.1814448639649</v>
      </c>
    </row>
    <row r="2979" customFormat="false" ht="15" hidden="false" customHeight="false" outlineLevel="0" collapsed="false">
      <c r="A2979" s="0" t="n">
        <v>4</v>
      </c>
      <c r="B2979" s="0" t="n">
        <v>0</v>
      </c>
      <c r="C2979" s="0" t="n">
        <v>6</v>
      </c>
      <c r="D2979" s="0" t="n">
        <v>4</v>
      </c>
      <c r="E2979" s="0" t="n">
        <f aca="false">-1+A2979*0.25</f>
        <v>0</v>
      </c>
      <c r="F2979" s="0" t="n">
        <f aca="false">-1+B2979*0.25</f>
        <v>-1</v>
      </c>
      <c r="G2979" s="0" t="n">
        <f aca="false">-1+C2979*0.25</f>
        <v>0.5</v>
      </c>
      <c r="H2979" s="0" t="n">
        <f aca="false">-1+D2979*0.25</f>
        <v>0</v>
      </c>
      <c r="I2979" s="0" t="n">
        <f aca="false">1</f>
        <v>1</v>
      </c>
      <c r="J2979" s="0" t="n">
        <f aca="false">E2979</f>
        <v>0</v>
      </c>
      <c r="K2979" s="0" t="n">
        <f aca="false">F2979</f>
        <v>-1</v>
      </c>
      <c r="L2979" s="0" t="n">
        <f aca="false">G2979</f>
        <v>0.5</v>
      </c>
      <c r="M2979" s="0" t="n">
        <f aca="false">H2979</f>
        <v>0</v>
      </c>
      <c r="N2979" s="0" t="n">
        <f aca="false">E2979*F2979</f>
        <v>-0</v>
      </c>
      <c r="O2979" s="0" t="n">
        <f aca="false">E2979*G2979</f>
        <v>0</v>
      </c>
      <c r="P2979" s="0" t="n">
        <f aca="false">E2979*H2979</f>
        <v>0</v>
      </c>
      <c r="Q2979" s="0" t="n">
        <f aca="false">F2979*G2979</f>
        <v>-0.5</v>
      </c>
      <c r="R2979" s="0" t="n">
        <f aca="false">F2979*H2979</f>
        <v>-0</v>
      </c>
      <c r="S2979" s="0" t="n">
        <f aca="false">G2979*H2979</f>
        <v>0</v>
      </c>
      <c r="T2979" s="0" t="n">
        <f aca="false">E2979*E2979</f>
        <v>0</v>
      </c>
      <c r="U2979" s="0" t="n">
        <f aca="false">F2979*F2979</f>
        <v>1</v>
      </c>
      <c r="V2979" s="0" t="n">
        <f aca="false">G2979*G2979</f>
        <v>0.25</v>
      </c>
      <c r="W2979" s="0" t="n">
        <f aca="false">H2979*H2979</f>
        <v>0</v>
      </c>
      <c r="X2979" s="0" t="n">
        <f aca="false">SUMPRODUCT(I2979:W2979,_XtX!$B$96:$P$96)</f>
        <v>43.3957967836257</v>
      </c>
      <c r="Y2979" s="0" t="n">
        <f aca="false">SUMPRODUCT(MMULT(I2979:W2979,_XtX!$B$78:$P$92),I2979:W2979)</f>
        <v>0.468841374269006</v>
      </c>
      <c r="Z2979" s="0" t="n">
        <f aca="false">04_回帰ANOVA!$K$19*04_回帰ANOVA!$K$14*SQRT(1+Y2979)</f>
        <v>1.57974082366087</v>
      </c>
      <c r="AA2979" s="0" t="n">
        <f aca="false">X2979-Z2979</f>
        <v>41.8160559599648</v>
      </c>
      <c r="AB2979" s="0" t="n">
        <f aca="false">X2979+Z2979</f>
        <v>44.9755376072865</v>
      </c>
      <c r="AC2979" s="54" t="b">
        <f aca="false">AND(E2979&gt;=01_因子設定!$L$5-0.000000001,E2979&lt;=01_因子設定!$M$5+0.000000001,F2979&gt;=01_因子設定!$L$6-0.000000001,F2979&lt;=01_因子設定!$M$6+0.000000001,G2979&gt;=01_因子設定!$L$7-0.000000001,G2979&lt;=01_因子設定!$M$7+0.000000001,H2979&gt;=01_因子設定!$L$8-0.000000001,H2979&lt;=01_因子設定!$M$8+0.000000001,IF(01_因子設定!$B$20="Box-Behnken",E2979^2+F2979^2+G2979^2+H2979^2&lt;=2+0.000000001,TRUE()))</f>
        <v>1</v>
      </c>
      <c r="AD2979" s="55" t="n">
        <f aca="false">IF(AC2979,IF(01_因子設定!$B$13="最大化",AA2979-01_因子設定!$B$14,IF(01_因子設定!$B$13="最小化",01_因子設定!$B$15-AB2979,MIN(AA2979-01_因子設定!$B$14,01_因子設定!$B$15-AB2979))),-1E+030)</f>
        <v>-4.68394404003522</v>
      </c>
      <c r="AE2979" s="55" t="n">
        <f aca="false">IF(AC2979,IF(01_因子設定!$B$13="最大化",X2979,IF(01_因子設定!$B$13="最小化",-X2979,-ABS(X2979-01_因子設定!$B$16))),-1E+030)</f>
        <v>43.3957967836257</v>
      </c>
      <c r="AF2979" s="55" t="n">
        <f aca="false">AD2979+ROW()*0.000000001</f>
        <v>-4.68394106103522</v>
      </c>
      <c r="AG2979" s="55" t="n">
        <f aca="false">AE2979+ROW()*0.000000001</f>
        <v>43.3957997626257</v>
      </c>
    </row>
    <row r="2980" customFormat="false" ht="15" hidden="false" customHeight="false" outlineLevel="0" collapsed="false">
      <c r="A2980" s="0" t="n">
        <v>4</v>
      </c>
      <c r="B2980" s="0" t="n">
        <v>0</v>
      </c>
      <c r="C2980" s="0" t="n">
        <v>6</v>
      </c>
      <c r="D2980" s="0" t="n">
        <v>5</v>
      </c>
      <c r="E2980" s="0" t="n">
        <f aca="false">-1+A2980*0.25</f>
        <v>0</v>
      </c>
      <c r="F2980" s="0" t="n">
        <f aca="false">-1+B2980*0.25</f>
        <v>-1</v>
      </c>
      <c r="G2980" s="0" t="n">
        <f aca="false">-1+C2980*0.25</f>
        <v>0.5</v>
      </c>
      <c r="H2980" s="0" t="n">
        <f aca="false">-1+D2980*0.25</f>
        <v>0.25</v>
      </c>
      <c r="I2980" s="0" t="n">
        <f aca="false">1</f>
        <v>1</v>
      </c>
      <c r="J2980" s="0" t="n">
        <f aca="false">E2980</f>
        <v>0</v>
      </c>
      <c r="K2980" s="0" t="n">
        <f aca="false">F2980</f>
        <v>-1</v>
      </c>
      <c r="L2980" s="0" t="n">
        <f aca="false">G2980</f>
        <v>0.5</v>
      </c>
      <c r="M2980" s="0" t="n">
        <f aca="false">H2980</f>
        <v>0.25</v>
      </c>
      <c r="N2980" s="0" t="n">
        <f aca="false">E2980*F2980</f>
        <v>-0</v>
      </c>
      <c r="O2980" s="0" t="n">
        <f aca="false">E2980*G2980</f>
        <v>0</v>
      </c>
      <c r="P2980" s="0" t="n">
        <f aca="false">E2980*H2980</f>
        <v>0</v>
      </c>
      <c r="Q2980" s="0" t="n">
        <f aca="false">F2980*G2980</f>
        <v>-0.5</v>
      </c>
      <c r="R2980" s="0" t="n">
        <f aca="false">F2980*H2980</f>
        <v>-0.25</v>
      </c>
      <c r="S2980" s="0" t="n">
        <f aca="false">G2980*H2980</f>
        <v>0.125</v>
      </c>
      <c r="T2980" s="0" t="n">
        <f aca="false">E2980*E2980</f>
        <v>0</v>
      </c>
      <c r="U2980" s="0" t="n">
        <f aca="false">F2980*F2980</f>
        <v>1</v>
      </c>
      <c r="V2980" s="0" t="n">
        <f aca="false">G2980*G2980</f>
        <v>0.25</v>
      </c>
      <c r="W2980" s="0" t="n">
        <f aca="false">H2980*H2980</f>
        <v>0.0625</v>
      </c>
      <c r="X2980" s="0" t="n">
        <f aca="false">SUMPRODUCT(I2980:W2980,_XtX!$B$96:$P$96)</f>
        <v>43.5623446637426</v>
      </c>
      <c r="Y2980" s="0" t="n">
        <f aca="false">SUMPRODUCT(MMULT(I2980:W2980,_XtX!$B$78:$P$92),I2980:W2980)</f>
        <v>0.457596628289474</v>
      </c>
      <c r="Z2980" s="0" t="n">
        <f aca="false">04_回帰ANOVA!$K$19*04_回帰ANOVA!$K$14*SQRT(1+Y2980)</f>
        <v>1.57368233664366</v>
      </c>
      <c r="AA2980" s="0" t="n">
        <f aca="false">X2980-Z2980</f>
        <v>41.988662327099</v>
      </c>
      <c r="AB2980" s="0" t="n">
        <f aca="false">X2980+Z2980</f>
        <v>45.1360270003863</v>
      </c>
      <c r="AC2980" s="54" t="b">
        <f aca="false">AND(E2980&gt;=01_因子設定!$L$5-0.000000001,E2980&lt;=01_因子設定!$M$5+0.000000001,F2980&gt;=01_因子設定!$L$6-0.000000001,F2980&lt;=01_因子設定!$M$6+0.000000001,G2980&gt;=01_因子設定!$L$7-0.000000001,G2980&lt;=01_因子設定!$M$7+0.000000001,H2980&gt;=01_因子設定!$L$8-0.000000001,H2980&lt;=01_因子設定!$M$8+0.000000001,IF(01_因子設定!$B$20="Box-Behnken",E2980^2+F2980^2+G2980^2+H2980^2&lt;=2+0.000000001,TRUE()))</f>
        <v>1</v>
      </c>
      <c r="AD2980" s="55" t="n">
        <f aca="false">IF(AC2980,IF(01_因子設定!$B$13="最大化",AA2980-01_因子設定!$B$14,IF(01_因子設定!$B$13="最小化",01_因子設定!$B$15-AB2980,MIN(AA2980-01_因子設定!$B$14,01_因子設定!$B$15-AB2980))),-1E+030)</f>
        <v>-4.51133767290103</v>
      </c>
      <c r="AE2980" s="55" t="n">
        <f aca="false">IF(AC2980,IF(01_因子設定!$B$13="最大化",X2980,IF(01_因子設定!$B$13="最小化",-X2980,-ABS(X2980-01_因子設定!$B$16))),-1E+030)</f>
        <v>43.5623446637426</v>
      </c>
      <c r="AF2980" s="55" t="n">
        <f aca="false">AD2980+ROW()*0.000000001</f>
        <v>-4.51133469290103</v>
      </c>
      <c r="AG2980" s="55" t="n">
        <f aca="false">AE2980+ROW()*0.000000001</f>
        <v>43.5623476437426</v>
      </c>
    </row>
    <row r="2981" customFormat="false" ht="15" hidden="false" customHeight="false" outlineLevel="0" collapsed="false">
      <c r="A2981" s="0" t="n">
        <v>4</v>
      </c>
      <c r="B2981" s="0" t="n">
        <v>0</v>
      </c>
      <c r="C2981" s="0" t="n">
        <v>6</v>
      </c>
      <c r="D2981" s="0" t="n">
        <v>6</v>
      </c>
      <c r="E2981" s="0" t="n">
        <f aca="false">-1+A2981*0.25</f>
        <v>0</v>
      </c>
      <c r="F2981" s="0" t="n">
        <f aca="false">-1+B2981*0.25</f>
        <v>-1</v>
      </c>
      <c r="G2981" s="0" t="n">
        <f aca="false">-1+C2981*0.25</f>
        <v>0.5</v>
      </c>
      <c r="H2981" s="0" t="n">
        <f aca="false">-1+D2981*0.25</f>
        <v>0.5</v>
      </c>
      <c r="I2981" s="0" t="n">
        <f aca="false">1</f>
        <v>1</v>
      </c>
      <c r="J2981" s="0" t="n">
        <f aca="false">E2981</f>
        <v>0</v>
      </c>
      <c r="K2981" s="0" t="n">
        <f aca="false">F2981</f>
        <v>-1</v>
      </c>
      <c r="L2981" s="0" t="n">
        <f aca="false">G2981</f>
        <v>0.5</v>
      </c>
      <c r="M2981" s="0" t="n">
        <f aca="false">H2981</f>
        <v>0.5</v>
      </c>
      <c r="N2981" s="0" t="n">
        <f aca="false">E2981*F2981</f>
        <v>-0</v>
      </c>
      <c r="O2981" s="0" t="n">
        <f aca="false">E2981*G2981</f>
        <v>0</v>
      </c>
      <c r="P2981" s="0" t="n">
        <f aca="false">E2981*H2981</f>
        <v>0</v>
      </c>
      <c r="Q2981" s="0" t="n">
        <f aca="false">F2981*G2981</f>
        <v>-0.5</v>
      </c>
      <c r="R2981" s="0" t="n">
        <f aca="false">F2981*H2981</f>
        <v>-0.5</v>
      </c>
      <c r="S2981" s="0" t="n">
        <f aca="false">G2981*H2981</f>
        <v>0.25</v>
      </c>
      <c r="T2981" s="0" t="n">
        <f aca="false">E2981*E2981</f>
        <v>0</v>
      </c>
      <c r="U2981" s="0" t="n">
        <f aca="false">F2981*F2981</f>
        <v>1</v>
      </c>
      <c r="V2981" s="0" t="n">
        <f aca="false">G2981*G2981</f>
        <v>0.25</v>
      </c>
      <c r="W2981" s="0" t="n">
        <f aca="false">H2981*H2981</f>
        <v>0.25</v>
      </c>
      <c r="X2981" s="0" t="n">
        <f aca="false">SUMPRODUCT(I2981:W2981,_XtX!$B$96:$P$96)</f>
        <v>43.6810855263157</v>
      </c>
      <c r="Y2981" s="0" t="n">
        <f aca="false">SUMPRODUCT(MMULT(I2981:W2981,_XtX!$B$78:$P$92),I2981:W2981)</f>
        <v>0.441954495614035</v>
      </c>
      <c r="Z2981" s="0" t="n">
        <f aca="false">04_回帰ANOVA!$K$19*04_回帰ANOVA!$K$14*SQRT(1+Y2981)</f>
        <v>1.56521560968066</v>
      </c>
      <c r="AA2981" s="0" t="n">
        <f aca="false">X2981-Z2981</f>
        <v>42.1158699166351</v>
      </c>
      <c r="AB2981" s="0" t="n">
        <f aca="false">X2981+Z2981</f>
        <v>45.2463011359964</v>
      </c>
      <c r="AC2981" s="54" t="b">
        <f aca="false">AND(E2981&gt;=01_因子設定!$L$5-0.000000001,E2981&lt;=01_因子設定!$M$5+0.000000001,F2981&gt;=01_因子設定!$L$6-0.000000001,F2981&lt;=01_因子設定!$M$6+0.000000001,G2981&gt;=01_因子設定!$L$7-0.000000001,G2981&lt;=01_因子設定!$M$7+0.000000001,H2981&gt;=01_因子設定!$L$8-0.000000001,H2981&lt;=01_因子設定!$M$8+0.000000001,IF(01_因子設定!$B$20="Box-Behnken",E2981^2+F2981^2+G2981^2+H2981^2&lt;=2+0.000000001,TRUE()))</f>
        <v>1</v>
      </c>
      <c r="AD2981" s="55" t="n">
        <f aca="false">IF(AC2981,IF(01_因子設定!$B$13="最大化",AA2981-01_因子設定!$B$14,IF(01_因子設定!$B$13="最小化",01_因子設定!$B$15-AB2981,MIN(AA2981-01_因子設定!$B$14,01_因子設定!$B$15-AB2981))),-1E+030)</f>
        <v>-4.38413008336493</v>
      </c>
      <c r="AE2981" s="55" t="n">
        <f aca="false">IF(AC2981,IF(01_因子設定!$B$13="最大化",X2981,IF(01_因子設定!$B$13="最小化",-X2981,-ABS(X2981-01_因子設定!$B$16))),-1E+030)</f>
        <v>43.6810855263157</v>
      </c>
      <c r="AF2981" s="55" t="n">
        <f aca="false">AD2981+ROW()*0.000000001</f>
        <v>-4.38412710236493</v>
      </c>
      <c r="AG2981" s="55" t="n">
        <f aca="false">AE2981+ROW()*0.000000001</f>
        <v>43.6810885073157</v>
      </c>
    </row>
    <row r="2982" customFormat="false" ht="15" hidden="false" customHeight="false" outlineLevel="0" collapsed="false">
      <c r="A2982" s="0" t="n">
        <v>4</v>
      </c>
      <c r="B2982" s="0" t="n">
        <v>0</v>
      </c>
      <c r="C2982" s="0" t="n">
        <v>6</v>
      </c>
      <c r="D2982" s="0" t="n">
        <v>7</v>
      </c>
      <c r="E2982" s="0" t="n">
        <f aca="false">-1+A2982*0.25</f>
        <v>0</v>
      </c>
      <c r="F2982" s="0" t="n">
        <f aca="false">-1+B2982*0.25</f>
        <v>-1</v>
      </c>
      <c r="G2982" s="0" t="n">
        <f aca="false">-1+C2982*0.25</f>
        <v>0.5</v>
      </c>
      <c r="H2982" s="0" t="n">
        <f aca="false">-1+D2982*0.25</f>
        <v>0.75</v>
      </c>
      <c r="I2982" s="0" t="n">
        <f aca="false">1</f>
        <v>1</v>
      </c>
      <c r="J2982" s="0" t="n">
        <f aca="false">E2982</f>
        <v>0</v>
      </c>
      <c r="K2982" s="0" t="n">
        <f aca="false">F2982</f>
        <v>-1</v>
      </c>
      <c r="L2982" s="0" t="n">
        <f aca="false">G2982</f>
        <v>0.5</v>
      </c>
      <c r="M2982" s="0" t="n">
        <f aca="false">H2982</f>
        <v>0.75</v>
      </c>
      <c r="N2982" s="0" t="n">
        <f aca="false">E2982*F2982</f>
        <v>-0</v>
      </c>
      <c r="O2982" s="0" t="n">
        <f aca="false">E2982*G2982</f>
        <v>0</v>
      </c>
      <c r="P2982" s="0" t="n">
        <f aca="false">E2982*H2982</f>
        <v>0</v>
      </c>
      <c r="Q2982" s="0" t="n">
        <f aca="false">F2982*G2982</f>
        <v>-0.5</v>
      </c>
      <c r="R2982" s="0" t="n">
        <f aca="false">F2982*H2982</f>
        <v>-0.75</v>
      </c>
      <c r="S2982" s="0" t="n">
        <f aca="false">G2982*H2982</f>
        <v>0.375</v>
      </c>
      <c r="T2982" s="0" t="n">
        <f aca="false">E2982*E2982</f>
        <v>0</v>
      </c>
      <c r="U2982" s="0" t="n">
        <f aca="false">F2982*F2982</f>
        <v>1</v>
      </c>
      <c r="V2982" s="0" t="n">
        <f aca="false">G2982*G2982</f>
        <v>0.25</v>
      </c>
      <c r="W2982" s="0" t="n">
        <f aca="false">H2982*H2982</f>
        <v>0.5625</v>
      </c>
      <c r="X2982" s="0" t="n">
        <f aca="false">SUMPRODUCT(I2982:W2982,_XtX!$B$96:$P$96)</f>
        <v>43.752019371345</v>
      </c>
      <c r="Y2982" s="0" t="n">
        <f aca="false">SUMPRODUCT(MMULT(I2982:W2982,_XtX!$B$78:$P$92),I2982:W2982)</f>
        <v>0.476191292032164</v>
      </c>
      <c r="Z2982" s="0" t="n">
        <f aca="false">04_回帰ANOVA!$K$19*04_回帰ANOVA!$K$14*SQRT(1+Y2982)</f>
        <v>1.58368831471718</v>
      </c>
      <c r="AA2982" s="0" t="n">
        <f aca="false">X2982-Z2982</f>
        <v>42.1683310566278</v>
      </c>
      <c r="AB2982" s="0" t="n">
        <f aca="false">X2982+Z2982</f>
        <v>45.3357076860622</v>
      </c>
      <c r="AC2982" s="54" t="b">
        <f aca="false">AND(E2982&gt;=01_因子設定!$L$5-0.000000001,E2982&lt;=01_因子設定!$M$5+0.000000001,F2982&gt;=01_因子設定!$L$6-0.000000001,F2982&lt;=01_因子設定!$M$6+0.000000001,G2982&gt;=01_因子設定!$L$7-0.000000001,G2982&lt;=01_因子設定!$M$7+0.000000001,H2982&gt;=01_因子設定!$L$8-0.000000001,H2982&lt;=01_因子設定!$M$8+0.000000001,IF(01_因子設定!$B$20="Box-Behnken",E2982^2+F2982^2+G2982^2+H2982^2&lt;=2+0.000000001,TRUE()))</f>
        <v>1</v>
      </c>
      <c r="AD2982" s="55" t="n">
        <f aca="false">IF(AC2982,IF(01_因子設定!$B$13="最大化",AA2982-01_因子設定!$B$14,IF(01_因子設定!$B$13="最小化",01_因子設定!$B$15-AB2982,MIN(AA2982-01_因子設定!$B$14,01_因子設定!$B$15-AB2982))),-1E+030)</f>
        <v>-4.33166894337219</v>
      </c>
      <c r="AE2982" s="55" t="n">
        <f aca="false">IF(AC2982,IF(01_因子設定!$B$13="最大化",X2982,IF(01_因子設定!$B$13="最小化",-X2982,-ABS(X2982-01_因子設定!$B$16))),-1E+030)</f>
        <v>43.752019371345</v>
      </c>
      <c r="AF2982" s="55" t="n">
        <f aca="false">AD2982+ROW()*0.000000001</f>
        <v>-4.33166596137219</v>
      </c>
      <c r="AG2982" s="55" t="n">
        <f aca="false">AE2982+ROW()*0.000000001</f>
        <v>43.752022353345</v>
      </c>
    </row>
    <row r="2983" customFormat="false" ht="15" hidden="false" customHeight="false" outlineLevel="0" collapsed="false">
      <c r="A2983" s="0" t="n">
        <v>4</v>
      </c>
      <c r="B2983" s="0" t="n">
        <v>0</v>
      </c>
      <c r="C2983" s="0" t="n">
        <v>6</v>
      </c>
      <c r="D2983" s="0" t="n">
        <v>8</v>
      </c>
      <c r="E2983" s="0" t="n">
        <f aca="false">-1+A2983*0.25</f>
        <v>0</v>
      </c>
      <c r="F2983" s="0" t="n">
        <f aca="false">-1+B2983*0.25</f>
        <v>-1</v>
      </c>
      <c r="G2983" s="0" t="n">
        <f aca="false">-1+C2983*0.25</f>
        <v>0.5</v>
      </c>
      <c r="H2983" s="0" t="n">
        <f aca="false">-1+D2983*0.25</f>
        <v>1</v>
      </c>
      <c r="I2983" s="0" t="n">
        <f aca="false">1</f>
        <v>1</v>
      </c>
      <c r="J2983" s="0" t="n">
        <f aca="false">E2983</f>
        <v>0</v>
      </c>
      <c r="K2983" s="0" t="n">
        <f aca="false">F2983</f>
        <v>-1</v>
      </c>
      <c r="L2983" s="0" t="n">
        <f aca="false">G2983</f>
        <v>0.5</v>
      </c>
      <c r="M2983" s="0" t="n">
        <f aca="false">H2983</f>
        <v>1</v>
      </c>
      <c r="N2983" s="0" t="n">
        <f aca="false">E2983*F2983</f>
        <v>-0</v>
      </c>
      <c r="O2983" s="0" t="n">
        <f aca="false">E2983*G2983</f>
        <v>0</v>
      </c>
      <c r="P2983" s="0" t="n">
        <f aca="false">E2983*H2983</f>
        <v>0</v>
      </c>
      <c r="Q2983" s="0" t="n">
        <f aca="false">F2983*G2983</f>
        <v>-0.5</v>
      </c>
      <c r="R2983" s="0" t="n">
        <f aca="false">F2983*H2983</f>
        <v>-1</v>
      </c>
      <c r="S2983" s="0" t="n">
        <f aca="false">G2983*H2983</f>
        <v>0.5</v>
      </c>
      <c r="T2983" s="0" t="n">
        <f aca="false">E2983*E2983</f>
        <v>0</v>
      </c>
      <c r="U2983" s="0" t="n">
        <f aca="false">F2983*F2983</f>
        <v>1</v>
      </c>
      <c r="V2983" s="0" t="n">
        <f aca="false">G2983*G2983</f>
        <v>0.25</v>
      </c>
      <c r="W2983" s="0" t="n">
        <f aca="false">H2983*H2983</f>
        <v>1</v>
      </c>
      <c r="X2983" s="0" t="n">
        <f aca="false">SUMPRODUCT(I2983:W2983,_XtX!$B$96:$P$96)</f>
        <v>43.7751461988304</v>
      </c>
      <c r="Y2983" s="0" t="n">
        <f aca="false">SUMPRODUCT(MMULT(I2983:W2983,_XtX!$B$78:$P$92),I2983:W2983)</f>
        <v>0.650767543859649</v>
      </c>
      <c r="Z2983" s="0" t="n">
        <f aca="false">04_回帰ANOVA!$K$19*04_回帰ANOVA!$K$14*SQRT(1+Y2983)</f>
        <v>1.67471670935165</v>
      </c>
      <c r="AA2983" s="0" t="n">
        <f aca="false">X2983-Z2983</f>
        <v>42.1004294894787</v>
      </c>
      <c r="AB2983" s="0" t="n">
        <f aca="false">X2983+Z2983</f>
        <v>45.449862908182</v>
      </c>
      <c r="AC2983" s="54" t="b">
        <f aca="false">AND(E2983&gt;=01_因子設定!$L$5-0.000000001,E2983&lt;=01_因子設定!$M$5+0.000000001,F2983&gt;=01_因子設定!$L$6-0.000000001,F2983&lt;=01_因子設定!$M$6+0.000000001,G2983&gt;=01_因子設定!$L$7-0.000000001,G2983&lt;=01_因子設定!$M$7+0.000000001,H2983&gt;=01_因子設定!$L$8-0.000000001,H2983&lt;=01_因子設定!$M$8+0.000000001,IF(01_因子設定!$B$20="Box-Behnken",E2983^2+F2983^2+G2983^2+H2983^2&lt;=2+0.000000001,TRUE()))</f>
        <v>1</v>
      </c>
      <c r="AD2983" s="55" t="n">
        <f aca="false">IF(AC2983,IF(01_因子設定!$B$13="最大化",AA2983-01_因子設定!$B$14,IF(01_因子設定!$B$13="最小化",01_因子設定!$B$15-AB2983,MIN(AA2983-01_因子設定!$B$14,01_因子設定!$B$15-AB2983))),-1E+030)</f>
        <v>-4.39957051052127</v>
      </c>
      <c r="AE2983" s="55" t="n">
        <f aca="false">IF(AC2983,IF(01_因子設定!$B$13="最大化",X2983,IF(01_因子設定!$B$13="最小化",-X2983,-ABS(X2983-01_因子設定!$B$16))),-1E+030)</f>
        <v>43.7751461988304</v>
      </c>
      <c r="AF2983" s="55" t="n">
        <f aca="false">AD2983+ROW()*0.000000001</f>
        <v>-4.39956752752127</v>
      </c>
      <c r="AG2983" s="55" t="n">
        <f aca="false">AE2983+ROW()*0.000000001</f>
        <v>43.7751491818304</v>
      </c>
    </row>
    <row r="2984" customFormat="false" ht="15" hidden="false" customHeight="false" outlineLevel="0" collapsed="false">
      <c r="A2984" s="0" t="n">
        <v>4</v>
      </c>
      <c r="B2984" s="0" t="n">
        <v>0</v>
      </c>
      <c r="C2984" s="0" t="n">
        <v>7</v>
      </c>
      <c r="D2984" s="0" t="n">
        <v>0</v>
      </c>
      <c r="E2984" s="0" t="n">
        <f aca="false">-1+A2984*0.25</f>
        <v>0</v>
      </c>
      <c r="F2984" s="0" t="n">
        <f aca="false">-1+B2984*0.25</f>
        <v>-1</v>
      </c>
      <c r="G2984" s="0" t="n">
        <f aca="false">-1+C2984*0.25</f>
        <v>0.75</v>
      </c>
      <c r="H2984" s="0" t="n">
        <f aca="false">-1+D2984*0.25</f>
        <v>-1</v>
      </c>
      <c r="I2984" s="0" t="n">
        <f aca="false">1</f>
        <v>1</v>
      </c>
      <c r="J2984" s="0" t="n">
        <f aca="false">E2984</f>
        <v>0</v>
      </c>
      <c r="K2984" s="0" t="n">
        <f aca="false">F2984</f>
        <v>-1</v>
      </c>
      <c r="L2984" s="0" t="n">
        <f aca="false">G2984</f>
        <v>0.75</v>
      </c>
      <c r="M2984" s="0" t="n">
        <f aca="false">H2984</f>
        <v>-1</v>
      </c>
      <c r="N2984" s="0" t="n">
        <f aca="false">E2984*F2984</f>
        <v>-0</v>
      </c>
      <c r="O2984" s="0" t="n">
        <f aca="false">E2984*G2984</f>
        <v>0</v>
      </c>
      <c r="P2984" s="0" t="n">
        <f aca="false">E2984*H2984</f>
        <v>-0</v>
      </c>
      <c r="Q2984" s="0" t="n">
        <f aca="false">F2984*G2984</f>
        <v>-0.75</v>
      </c>
      <c r="R2984" s="0" t="n">
        <f aca="false">F2984*H2984</f>
        <v>1</v>
      </c>
      <c r="S2984" s="0" t="n">
        <f aca="false">G2984*H2984</f>
        <v>-0.75</v>
      </c>
      <c r="T2984" s="0" t="n">
        <f aca="false">E2984*E2984</f>
        <v>0</v>
      </c>
      <c r="U2984" s="0" t="n">
        <f aca="false">F2984*F2984</f>
        <v>1</v>
      </c>
      <c r="V2984" s="0" t="n">
        <f aca="false">G2984*G2984</f>
        <v>0.5625</v>
      </c>
      <c r="W2984" s="0" t="n">
        <f aca="false">H2984*H2984</f>
        <v>1</v>
      </c>
      <c r="X2984" s="0" t="n">
        <f aca="false">SUMPRODUCT(I2984:W2984,_XtX!$B$96:$P$96)</f>
        <v>42.134100877193</v>
      </c>
      <c r="Y2984" s="0" t="n">
        <f aca="false">SUMPRODUCT(MMULT(I2984:W2984,_XtX!$B$78:$P$92),I2984:W2984)</f>
        <v>0.646198830409357</v>
      </c>
      <c r="Z2984" s="0" t="n">
        <f aca="false">04_回帰ANOVA!$K$19*04_回帰ANOVA!$K$14*SQRT(1+Y2984)</f>
        <v>1.67239760569756</v>
      </c>
      <c r="AA2984" s="0" t="n">
        <f aca="false">X2984-Z2984</f>
        <v>40.4617032714954</v>
      </c>
      <c r="AB2984" s="0" t="n">
        <f aca="false">X2984+Z2984</f>
        <v>43.8064984828905</v>
      </c>
      <c r="AC2984" s="54" t="b">
        <f aca="false">AND(E2984&gt;=01_因子設定!$L$5-0.000000001,E2984&lt;=01_因子設定!$M$5+0.000000001,F2984&gt;=01_因子設定!$L$6-0.000000001,F2984&lt;=01_因子設定!$M$6+0.000000001,G2984&gt;=01_因子設定!$L$7-0.000000001,G2984&lt;=01_因子設定!$M$7+0.000000001,H2984&gt;=01_因子設定!$L$8-0.000000001,H2984&lt;=01_因子設定!$M$8+0.000000001,IF(01_因子設定!$B$20="Box-Behnken",E2984^2+F2984^2+G2984^2+H2984^2&lt;=2+0.000000001,TRUE()))</f>
        <v>1</v>
      </c>
      <c r="AD2984" s="55" t="n">
        <f aca="false">IF(AC2984,IF(01_因子設定!$B$13="最大化",AA2984-01_因子設定!$B$14,IF(01_因子設定!$B$13="最小化",01_因子設定!$B$15-AB2984,MIN(AA2984-01_因子設定!$B$14,01_因子設定!$B$15-AB2984))),-1E+030)</f>
        <v>-6.0382967285046</v>
      </c>
      <c r="AE2984" s="55" t="n">
        <f aca="false">IF(AC2984,IF(01_因子設定!$B$13="最大化",X2984,IF(01_因子設定!$B$13="最小化",-X2984,-ABS(X2984-01_因子設定!$B$16))),-1E+030)</f>
        <v>42.134100877193</v>
      </c>
      <c r="AF2984" s="55" t="n">
        <f aca="false">AD2984+ROW()*0.000000001</f>
        <v>-6.0382937445046</v>
      </c>
      <c r="AG2984" s="55" t="n">
        <f aca="false">AE2984+ROW()*0.000000001</f>
        <v>42.134103861193</v>
      </c>
    </row>
    <row r="2985" customFormat="false" ht="15" hidden="false" customHeight="false" outlineLevel="0" collapsed="false">
      <c r="A2985" s="0" t="n">
        <v>4</v>
      </c>
      <c r="B2985" s="0" t="n">
        <v>0</v>
      </c>
      <c r="C2985" s="0" t="n">
        <v>7</v>
      </c>
      <c r="D2985" s="0" t="n">
        <v>1</v>
      </c>
      <c r="E2985" s="0" t="n">
        <f aca="false">-1+A2985*0.25</f>
        <v>0</v>
      </c>
      <c r="F2985" s="0" t="n">
        <f aca="false">-1+B2985*0.25</f>
        <v>-1</v>
      </c>
      <c r="G2985" s="0" t="n">
        <f aca="false">-1+C2985*0.25</f>
        <v>0.75</v>
      </c>
      <c r="H2985" s="0" t="n">
        <f aca="false">-1+D2985*0.25</f>
        <v>-0.75</v>
      </c>
      <c r="I2985" s="0" t="n">
        <f aca="false">1</f>
        <v>1</v>
      </c>
      <c r="J2985" s="0" t="n">
        <f aca="false">E2985</f>
        <v>0</v>
      </c>
      <c r="K2985" s="0" t="n">
        <f aca="false">F2985</f>
        <v>-1</v>
      </c>
      <c r="L2985" s="0" t="n">
        <f aca="false">G2985</f>
        <v>0.75</v>
      </c>
      <c r="M2985" s="0" t="n">
        <f aca="false">H2985</f>
        <v>-0.75</v>
      </c>
      <c r="N2985" s="0" t="n">
        <f aca="false">E2985*F2985</f>
        <v>-0</v>
      </c>
      <c r="O2985" s="0" t="n">
        <f aca="false">E2985*G2985</f>
        <v>0</v>
      </c>
      <c r="P2985" s="0" t="n">
        <f aca="false">E2985*H2985</f>
        <v>-0</v>
      </c>
      <c r="Q2985" s="0" t="n">
        <f aca="false">F2985*G2985</f>
        <v>-0.75</v>
      </c>
      <c r="R2985" s="0" t="n">
        <f aca="false">F2985*H2985</f>
        <v>0.75</v>
      </c>
      <c r="S2985" s="0" t="n">
        <f aca="false">G2985*H2985</f>
        <v>-0.5625</v>
      </c>
      <c r="T2985" s="0" t="n">
        <f aca="false">E2985*E2985</f>
        <v>0</v>
      </c>
      <c r="U2985" s="0" t="n">
        <f aca="false">F2985*F2985</f>
        <v>1</v>
      </c>
      <c r="V2985" s="0" t="n">
        <f aca="false">G2985*G2985</f>
        <v>0.5625</v>
      </c>
      <c r="W2985" s="0" t="n">
        <f aca="false">H2985*H2985</f>
        <v>0.5625</v>
      </c>
      <c r="X2985" s="0" t="n">
        <f aca="false">SUMPRODUCT(I2985:W2985,_XtX!$B$96:$P$96)</f>
        <v>42.5098455774853</v>
      </c>
      <c r="Y2985" s="0" t="n">
        <f aca="false">SUMPRODUCT(MMULT(I2985:W2985,_XtX!$B$78:$P$92),I2985:W2985)</f>
        <v>0.494259126005117</v>
      </c>
      <c r="Z2985" s="0" t="n">
        <f aca="false">04_回帰ANOVA!$K$19*04_回帰ANOVA!$K$14*SQRT(1+Y2985)</f>
        <v>1.59335061078203</v>
      </c>
      <c r="AA2985" s="0" t="n">
        <f aca="false">X2985-Z2985</f>
        <v>40.9164949667033</v>
      </c>
      <c r="AB2985" s="0" t="n">
        <f aca="false">X2985+Z2985</f>
        <v>44.1031961882674</v>
      </c>
      <c r="AC2985" s="54" t="b">
        <f aca="false">AND(E2985&gt;=01_因子設定!$L$5-0.000000001,E2985&lt;=01_因子設定!$M$5+0.000000001,F2985&gt;=01_因子設定!$L$6-0.000000001,F2985&lt;=01_因子設定!$M$6+0.000000001,G2985&gt;=01_因子設定!$L$7-0.000000001,G2985&lt;=01_因子設定!$M$7+0.000000001,H2985&gt;=01_因子設定!$L$8-0.000000001,H2985&lt;=01_因子設定!$M$8+0.000000001,IF(01_因子設定!$B$20="Box-Behnken",E2985^2+F2985^2+G2985^2+H2985^2&lt;=2+0.000000001,TRUE()))</f>
        <v>1</v>
      </c>
      <c r="AD2985" s="55" t="n">
        <f aca="false">IF(AC2985,IF(01_因子設定!$B$13="最大化",AA2985-01_因子設定!$B$14,IF(01_因子設定!$B$13="最小化",01_因子設定!$B$15-AB2985,MIN(AA2985-01_因子設定!$B$14,01_因子設定!$B$15-AB2985))),-1E+030)</f>
        <v>-5.58350503329669</v>
      </c>
      <c r="AE2985" s="55" t="n">
        <f aca="false">IF(AC2985,IF(01_因子設定!$B$13="最大化",X2985,IF(01_因子設定!$B$13="最小化",-X2985,-ABS(X2985-01_因子設定!$B$16))),-1E+030)</f>
        <v>42.5098455774853</v>
      </c>
      <c r="AF2985" s="55" t="n">
        <f aca="false">AD2985+ROW()*0.000000001</f>
        <v>-5.58350204829669</v>
      </c>
      <c r="AG2985" s="55" t="n">
        <f aca="false">AE2985+ROW()*0.000000001</f>
        <v>42.5098485624853</v>
      </c>
    </row>
    <row r="2986" customFormat="false" ht="15" hidden="false" customHeight="false" outlineLevel="0" collapsed="false">
      <c r="A2986" s="0" t="n">
        <v>4</v>
      </c>
      <c r="B2986" s="0" t="n">
        <v>0</v>
      </c>
      <c r="C2986" s="0" t="n">
        <v>7</v>
      </c>
      <c r="D2986" s="0" t="n">
        <v>2</v>
      </c>
      <c r="E2986" s="0" t="n">
        <f aca="false">-1+A2986*0.25</f>
        <v>0</v>
      </c>
      <c r="F2986" s="0" t="n">
        <f aca="false">-1+B2986*0.25</f>
        <v>-1</v>
      </c>
      <c r="G2986" s="0" t="n">
        <f aca="false">-1+C2986*0.25</f>
        <v>0.75</v>
      </c>
      <c r="H2986" s="0" t="n">
        <f aca="false">-1+D2986*0.25</f>
        <v>-0.5</v>
      </c>
      <c r="I2986" s="0" t="n">
        <f aca="false">1</f>
        <v>1</v>
      </c>
      <c r="J2986" s="0" t="n">
        <f aca="false">E2986</f>
        <v>0</v>
      </c>
      <c r="K2986" s="0" t="n">
        <f aca="false">F2986</f>
        <v>-1</v>
      </c>
      <c r="L2986" s="0" t="n">
        <f aca="false">G2986</f>
        <v>0.75</v>
      </c>
      <c r="M2986" s="0" t="n">
        <f aca="false">H2986</f>
        <v>-0.5</v>
      </c>
      <c r="N2986" s="0" t="n">
        <f aca="false">E2986*F2986</f>
        <v>-0</v>
      </c>
      <c r="O2986" s="0" t="n">
        <f aca="false">E2986*G2986</f>
        <v>0</v>
      </c>
      <c r="P2986" s="0" t="n">
        <f aca="false">E2986*H2986</f>
        <v>-0</v>
      </c>
      <c r="Q2986" s="0" t="n">
        <f aca="false">F2986*G2986</f>
        <v>-0.75</v>
      </c>
      <c r="R2986" s="0" t="n">
        <f aca="false">F2986*H2986</f>
        <v>0.5</v>
      </c>
      <c r="S2986" s="0" t="n">
        <f aca="false">G2986*H2986</f>
        <v>-0.375</v>
      </c>
      <c r="T2986" s="0" t="n">
        <f aca="false">E2986*E2986</f>
        <v>0</v>
      </c>
      <c r="U2986" s="0" t="n">
        <f aca="false">F2986*F2986</f>
        <v>1</v>
      </c>
      <c r="V2986" s="0" t="n">
        <f aca="false">G2986*G2986</f>
        <v>0.5625</v>
      </c>
      <c r="W2986" s="0" t="n">
        <f aca="false">H2986*H2986</f>
        <v>0.25</v>
      </c>
      <c r="X2986" s="0" t="n">
        <f aca="false">SUMPRODUCT(I2986:W2986,_XtX!$B$96:$P$96)</f>
        <v>42.8377832602339</v>
      </c>
      <c r="Y2986" s="0" t="n">
        <f aca="false">SUMPRODUCT(MMULT(I2986:W2986,_XtX!$B$78:$P$92),I2986:W2986)</f>
        <v>0.476191292032164</v>
      </c>
      <c r="Z2986" s="0" t="n">
        <f aca="false">04_回帰ANOVA!$K$19*04_回帰ANOVA!$K$14*SQRT(1+Y2986)</f>
        <v>1.58368831471718</v>
      </c>
      <c r="AA2986" s="0" t="n">
        <f aca="false">X2986-Z2986</f>
        <v>41.2540949455167</v>
      </c>
      <c r="AB2986" s="0" t="n">
        <f aca="false">X2986+Z2986</f>
        <v>44.421471574951</v>
      </c>
      <c r="AC2986" s="54" t="b">
        <f aca="false">AND(E2986&gt;=01_因子設定!$L$5-0.000000001,E2986&lt;=01_因子設定!$M$5+0.000000001,F2986&gt;=01_因子設定!$L$6-0.000000001,F2986&lt;=01_因子設定!$M$6+0.000000001,G2986&gt;=01_因子設定!$L$7-0.000000001,G2986&lt;=01_因子設定!$M$7+0.000000001,H2986&gt;=01_因子設定!$L$8-0.000000001,H2986&lt;=01_因子設定!$M$8+0.000000001,IF(01_因子設定!$B$20="Box-Behnken",E2986^2+F2986^2+G2986^2+H2986^2&lt;=2+0.000000001,TRUE()))</f>
        <v>1</v>
      </c>
      <c r="AD2986" s="55" t="n">
        <f aca="false">IF(AC2986,IF(01_因子設定!$B$13="最大化",AA2986-01_因子設定!$B$14,IF(01_因子設定!$B$13="最小化",01_因子設定!$B$15-AB2986,MIN(AA2986-01_因子設定!$B$14,01_因子設定!$B$15-AB2986))),-1E+030)</f>
        <v>-5.24590505448332</v>
      </c>
      <c r="AE2986" s="55" t="n">
        <f aca="false">IF(AC2986,IF(01_因子設定!$B$13="最大化",X2986,IF(01_因子設定!$B$13="最小化",-X2986,-ABS(X2986-01_因子設定!$B$16))),-1E+030)</f>
        <v>42.8377832602339</v>
      </c>
      <c r="AF2986" s="55" t="n">
        <f aca="false">AD2986+ROW()*0.000000001</f>
        <v>-5.24590206848332</v>
      </c>
      <c r="AG2986" s="55" t="n">
        <f aca="false">AE2986+ROW()*0.000000001</f>
        <v>42.8377862462339</v>
      </c>
    </row>
    <row r="2987" customFormat="false" ht="15" hidden="false" customHeight="false" outlineLevel="0" collapsed="false">
      <c r="A2987" s="0" t="n">
        <v>4</v>
      </c>
      <c r="B2987" s="0" t="n">
        <v>0</v>
      </c>
      <c r="C2987" s="0" t="n">
        <v>7</v>
      </c>
      <c r="D2987" s="0" t="n">
        <v>3</v>
      </c>
      <c r="E2987" s="0" t="n">
        <f aca="false">-1+A2987*0.25</f>
        <v>0</v>
      </c>
      <c r="F2987" s="0" t="n">
        <f aca="false">-1+B2987*0.25</f>
        <v>-1</v>
      </c>
      <c r="G2987" s="0" t="n">
        <f aca="false">-1+C2987*0.25</f>
        <v>0.75</v>
      </c>
      <c r="H2987" s="0" t="n">
        <f aca="false">-1+D2987*0.25</f>
        <v>-0.25</v>
      </c>
      <c r="I2987" s="0" t="n">
        <f aca="false">1</f>
        <v>1</v>
      </c>
      <c r="J2987" s="0" t="n">
        <f aca="false">E2987</f>
        <v>0</v>
      </c>
      <c r="K2987" s="0" t="n">
        <f aca="false">F2987</f>
        <v>-1</v>
      </c>
      <c r="L2987" s="0" t="n">
        <f aca="false">G2987</f>
        <v>0.75</v>
      </c>
      <c r="M2987" s="0" t="n">
        <f aca="false">H2987</f>
        <v>-0.25</v>
      </c>
      <c r="N2987" s="0" t="n">
        <f aca="false">E2987*F2987</f>
        <v>-0</v>
      </c>
      <c r="O2987" s="0" t="n">
        <f aca="false">E2987*G2987</f>
        <v>0</v>
      </c>
      <c r="P2987" s="0" t="n">
        <f aca="false">E2987*H2987</f>
        <v>-0</v>
      </c>
      <c r="Q2987" s="0" t="n">
        <f aca="false">F2987*G2987</f>
        <v>-0.75</v>
      </c>
      <c r="R2987" s="0" t="n">
        <f aca="false">F2987*H2987</f>
        <v>0.25</v>
      </c>
      <c r="S2987" s="0" t="n">
        <f aca="false">G2987*H2987</f>
        <v>-0.1875</v>
      </c>
      <c r="T2987" s="0" t="n">
        <f aca="false">E2987*E2987</f>
        <v>0</v>
      </c>
      <c r="U2987" s="0" t="n">
        <f aca="false">F2987*F2987</f>
        <v>1</v>
      </c>
      <c r="V2987" s="0" t="n">
        <f aca="false">G2987*G2987</f>
        <v>0.5625</v>
      </c>
      <c r="W2987" s="0" t="n">
        <f aca="false">H2987*H2987</f>
        <v>0.0625</v>
      </c>
      <c r="X2987" s="0" t="n">
        <f aca="false">SUMPRODUCT(I2987:W2987,_XtX!$B$96:$P$96)</f>
        <v>43.1179139254385</v>
      </c>
      <c r="Y2987" s="0" t="n">
        <f aca="false">SUMPRODUCT(MMULT(I2987:W2987,_XtX!$B$78:$P$92),I2987:W2987)</f>
        <v>0.501534802174708</v>
      </c>
      <c r="Z2987" s="0" t="n">
        <f aca="false">04_回帰ANOVA!$K$19*04_回帰ANOVA!$K$14*SQRT(1+Y2987)</f>
        <v>1.59722498091333</v>
      </c>
      <c r="AA2987" s="0" t="n">
        <f aca="false">X2987-Z2987</f>
        <v>41.5206889445252</v>
      </c>
      <c r="AB2987" s="0" t="n">
        <f aca="false">X2987+Z2987</f>
        <v>44.7151389063519</v>
      </c>
      <c r="AC2987" s="54" t="b">
        <f aca="false">AND(E2987&gt;=01_因子設定!$L$5-0.000000001,E2987&lt;=01_因子設定!$M$5+0.000000001,F2987&gt;=01_因子設定!$L$6-0.000000001,F2987&lt;=01_因子設定!$M$6+0.000000001,G2987&gt;=01_因子設定!$L$7-0.000000001,G2987&lt;=01_因子設定!$M$7+0.000000001,H2987&gt;=01_因子設定!$L$8-0.000000001,H2987&lt;=01_因子設定!$M$8+0.000000001,IF(01_因子設定!$B$20="Box-Behnken",E2987^2+F2987^2+G2987^2+H2987^2&lt;=2+0.000000001,TRUE()))</f>
        <v>1</v>
      </c>
      <c r="AD2987" s="55" t="n">
        <f aca="false">IF(AC2987,IF(01_因子設定!$B$13="最大化",AA2987-01_因子設定!$B$14,IF(01_因子設定!$B$13="最小化",01_因子設定!$B$15-AB2987,MIN(AA2987-01_因子設定!$B$14,01_因子設定!$B$15-AB2987))),-1E+030)</f>
        <v>-4.9793110554748</v>
      </c>
      <c r="AE2987" s="55" t="n">
        <f aca="false">IF(AC2987,IF(01_因子設定!$B$13="最大化",X2987,IF(01_因子設定!$B$13="最小化",-X2987,-ABS(X2987-01_因子設定!$B$16))),-1E+030)</f>
        <v>43.1179139254385</v>
      </c>
      <c r="AF2987" s="55" t="n">
        <f aca="false">AD2987+ROW()*0.000000001</f>
        <v>-4.9793080684748</v>
      </c>
      <c r="AG2987" s="55" t="n">
        <f aca="false">AE2987+ROW()*0.000000001</f>
        <v>43.1179169124385</v>
      </c>
    </row>
    <row r="2988" customFormat="false" ht="15" hidden="false" customHeight="false" outlineLevel="0" collapsed="false">
      <c r="A2988" s="0" t="n">
        <v>4</v>
      </c>
      <c r="B2988" s="0" t="n">
        <v>0</v>
      </c>
      <c r="C2988" s="0" t="n">
        <v>7</v>
      </c>
      <c r="D2988" s="0" t="n">
        <v>4</v>
      </c>
      <c r="E2988" s="0" t="n">
        <f aca="false">-1+A2988*0.25</f>
        <v>0</v>
      </c>
      <c r="F2988" s="0" t="n">
        <f aca="false">-1+B2988*0.25</f>
        <v>-1</v>
      </c>
      <c r="G2988" s="0" t="n">
        <f aca="false">-1+C2988*0.25</f>
        <v>0.75</v>
      </c>
      <c r="H2988" s="0" t="n">
        <f aca="false">-1+D2988*0.25</f>
        <v>0</v>
      </c>
      <c r="I2988" s="0" t="n">
        <f aca="false">1</f>
        <v>1</v>
      </c>
      <c r="J2988" s="0" t="n">
        <f aca="false">E2988</f>
        <v>0</v>
      </c>
      <c r="K2988" s="0" t="n">
        <f aca="false">F2988</f>
        <v>-1</v>
      </c>
      <c r="L2988" s="0" t="n">
        <f aca="false">G2988</f>
        <v>0.75</v>
      </c>
      <c r="M2988" s="0" t="n">
        <f aca="false">H2988</f>
        <v>0</v>
      </c>
      <c r="N2988" s="0" t="n">
        <f aca="false">E2988*F2988</f>
        <v>-0</v>
      </c>
      <c r="O2988" s="0" t="n">
        <f aca="false">E2988*G2988</f>
        <v>0</v>
      </c>
      <c r="P2988" s="0" t="n">
        <f aca="false">E2988*H2988</f>
        <v>0</v>
      </c>
      <c r="Q2988" s="0" t="n">
        <f aca="false">F2988*G2988</f>
        <v>-0.75</v>
      </c>
      <c r="R2988" s="0" t="n">
        <f aca="false">F2988*H2988</f>
        <v>-0</v>
      </c>
      <c r="S2988" s="0" t="n">
        <f aca="false">G2988*H2988</f>
        <v>0</v>
      </c>
      <c r="T2988" s="0" t="n">
        <f aca="false">E2988*E2988</f>
        <v>0</v>
      </c>
      <c r="U2988" s="0" t="n">
        <f aca="false">F2988*F2988</f>
        <v>1</v>
      </c>
      <c r="V2988" s="0" t="n">
        <f aca="false">G2988*G2988</f>
        <v>0.5625</v>
      </c>
      <c r="W2988" s="0" t="n">
        <f aca="false">H2988*H2988</f>
        <v>0</v>
      </c>
      <c r="X2988" s="0" t="n">
        <f aca="false">SUMPRODUCT(I2988:W2988,_XtX!$B$96:$P$96)</f>
        <v>43.3502375730994</v>
      </c>
      <c r="Y2988" s="0" t="n">
        <f aca="false">SUMPRODUCT(MMULT(I2988:W2988,_XtX!$B$78:$P$92),I2988:W2988)</f>
        <v>0.516013340643275</v>
      </c>
      <c r="Z2988" s="0" t="n">
        <f aca="false">04_回帰ANOVA!$K$19*04_回帰ANOVA!$K$14*SQRT(1+Y2988)</f>
        <v>1.60490712175667</v>
      </c>
      <c r="AA2988" s="0" t="n">
        <f aca="false">X2988-Z2988</f>
        <v>41.7453304513427</v>
      </c>
      <c r="AB2988" s="0" t="n">
        <f aca="false">X2988+Z2988</f>
        <v>44.955144694856</v>
      </c>
      <c r="AC2988" s="54" t="b">
        <f aca="false">AND(E2988&gt;=01_因子設定!$L$5-0.000000001,E2988&lt;=01_因子設定!$M$5+0.000000001,F2988&gt;=01_因子設定!$L$6-0.000000001,F2988&lt;=01_因子設定!$M$6+0.000000001,G2988&gt;=01_因子設定!$L$7-0.000000001,G2988&lt;=01_因子設定!$M$7+0.000000001,H2988&gt;=01_因子設定!$L$8-0.000000001,H2988&lt;=01_因子設定!$M$8+0.000000001,IF(01_因子設定!$B$20="Box-Behnken",E2988^2+F2988^2+G2988^2+H2988^2&lt;=2+0.000000001,TRUE()))</f>
        <v>1</v>
      </c>
      <c r="AD2988" s="55" t="n">
        <f aca="false">IF(AC2988,IF(01_因子設定!$B$13="最大化",AA2988-01_因子設定!$B$14,IF(01_因子設定!$B$13="最小化",01_因子設定!$B$15-AB2988,MIN(AA2988-01_因子設定!$B$14,01_因子設定!$B$15-AB2988))),-1E+030)</f>
        <v>-4.75466954865732</v>
      </c>
      <c r="AE2988" s="55" t="n">
        <f aca="false">IF(AC2988,IF(01_因子設定!$B$13="最大化",X2988,IF(01_因子設定!$B$13="最小化",-X2988,-ABS(X2988-01_因子設定!$B$16))),-1E+030)</f>
        <v>43.3502375730994</v>
      </c>
      <c r="AF2988" s="55" t="n">
        <f aca="false">AD2988+ROW()*0.000000001</f>
        <v>-4.75466656065732</v>
      </c>
      <c r="AG2988" s="55" t="n">
        <f aca="false">AE2988+ROW()*0.000000001</f>
        <v>43.3502405610994</v>
      </c>
    </row>
    <row r="2989" customFormat="false" ht="15" hidden="false" customHeight="false" outlineLevel="0" collapsed="false">
      <c r="A2989" s="0" t="n">
        <v>4</v>
      </c>
      <c r="B2989" s="0" t="n">
        <v>0</v>
      </c>
      <c r="C2989" s="0" t="n">
        <v>7</v>
      </c>
      <c r="D2989" s="0" t="n">
        <v>5</v>
      </c>
      <c r="E2989" s="0" t="n">
        <f aca="false">-1+A2989*0.25</f>
        <v>0</v>
      </c>
      <c r="F2989" s="0" t="n">
        <f aca="false">-1+B2989*0.25</f>
        <v>-1</v>
      </c>
      <c r="G2989" s="0" t="n">
        <f aca="false">-1+C2989*0.25</f>
        <v>0.75</v>
      </c>
      <c r="H2989" s="0" t="n">
        <f aca="false">-1+D2989*0.25</f>
        <v>0.25</v>
      </c>
      <c r="I2989" s="0" t="n">
        <f aca="false">1</f>
        <v>1</v>
      </c>
      <c r="J2989" s="0" t="n">
        <f aca="false">E2989</f>
        <v>0</v>
      </c>
      <c r="K2989" s="0" t="n">
        <f aca="false">F2989</f>
        <v>-1</v>
      </c>
      <c r="L2989" s="0" t="n">
        <f aca="false">G2989</f>
        <v>0.75</v>
      </c>
      <c r="M2989" s="0" t="n">
        <f aca="false">H2989</f>
        <v>0.25</v>
      </c>
      <c r="N2989" s="0" t="n">
        <f aca="false">E2989*F2989</f>
        <v>-0</v>
      </c>
      <c r="O2989" s="0" t="n">
        <f aca="false">E2989*G2989</f>
        <v>0</v>
      </c>
      <c r="P2989" s="0" t="n">
        <f aca="false">E2989*H2989</f>
        <v>0</v>
      </c>
      <c r="Q2989" s="0" t="n">
        <f aca="false">F2989*G2989</f>
        <v>-0.75</v>
      </c>
      <c r="R2989" s="0" t="n">
        <f aca="false">F2989*H2989</f>
        <v>-0.25</v>
      </c>
      <c r="S2989" s="0" t="n">
        <f aca="false">G2989*H2989</f>
        <v>0.1875</v>
      </c>
      <c r="T2989" s="0" t="n">
        <f aca="false">E2989*E2989</f>
        <v>0</v>
      </c>
      <c r="U2989" s="0" t="n">
        <f aca="false">F2989*F2989</f>
        <v>1</v>
      </c>
      <c r="V2989" s="0" t="n">
        <f aca="false">G2989*G2989</f>
        <v>0.5625</v>
      </c>
      <c r="W2989" s="0" t="n">
        <f aca="false">H2989*H2989</f>
        <v>0.0625</v>
      </c>
      <c r="X2989" s="0" t="n">
        <f aca="false">SUMPRODUCT(I2989:W2989,_XtX!$B$96:$P$96)</f>
        <v>43.5347542032163</v>
      </c>
      <c r="Y2989" s="0" t="n">
        <f aca="false">SUMPRODUCT(MMULT(I2989:W2989,_XtX!$B$78:$P$92),I2989:W2989)</f>
        <v>0.501534802174708</v>
      </c>
      <c r="Z2989" s="0" t="n">
        <f aca="false">04_回帰ANOVA!$K$19*04_回帰ANOVA!$K$14*SQRT(1+Y2989)</f>
        <v>1.59722498091333</v>
      </c>
      <c r="AA2989" s="0" t="n">
        <f aca="false">X2989-Z2989</f>
        <v>41.937529222303</v>
      </c>
      <c r="AB2989" s="0" t="n">
        <f aca="false">X2989+Z2989</f>
        <v>45.1319791841296</v>
      </c>
      <c r="AC2989" s="54" t="b">
        <f aca="false">AND(E2989&gt;=01_因子設定!$L$5-0.000000001,E2989&lt;=01_因子設定!$M$5+0.000000001,F2989&gt;=01_因子設定!$L$6-0.000000001,F2989&lt;=01_因子設定!$M$6+0.000000001,G2989&gt;=01_因子設定!$L$7-0.000000001,G2989&lt;=01_因子設定!$M$7+0.000000001,H2989&gt;=01_因子設定!$L$8-0.000000001,H2989&lt;=01_因子設定!$M$8+0.000000001,IF(01_因子設定!$B$20="Box-Behnken",E2989^2+F2989^2+G2989^2+H2989^2&lt;=2+0.000000001,TRUE()))</f>
        <v>1</v>
      </c>
      <c r="AD2989" s="55" t="n">
        <f aca="false">IF(AC2989,IF(01_因子設定!$B$13="最大化",AA2989-01_因子設定!$B$14,IF(01_因子設定!$B$13="最小化",01_因子設定!$B$15-AB2989,MIN(AA2989-01_因子設定!$B$14,01_因子設定!$B$15-AB2989))),-1E+030)</f>
        <v>-4.56247077769702</v>
      </c>
      <c r="AE2989" s="55" t="n">
        <f aca="false">IF(AC2989,IF(01_因子設定!$B$13="最大化",X2989,IF(01_因子設定!$B$13="最小化",-X2989,-ABS(X2989-01_因子設定!$B$16))),-1E+030)</f>
        <v>43.5347542032163</v>
      </c>
      <c r="AF2989" s="55" t="n">
        <f aca="false">AD2989+ROW()*0.000000001</f>
        <v>-4.56246778869702</v>
      </c>
      <c r="AG2989" s="55" t="n">
        <f aca="false">AE2989+ROW()*0.000000001</f>
        <v>43.5347571922163</v>
      </c>
    </row>
    <row r="2990" customFormat="false" ht="15" hidden="false" customHeight="false" outlineLevel="0" collapsed="false">
      <c r="A2990" s="0" t="n">
        <v>4</v>
      </c>
      <c r="B2990" s="0" t="n">
        <v>0</v>
      </c>
      <c r="C2990" s="0" t="n">
        <v>7</v>
      </c>
      <c r="D2990" s="0" t="n">
        <v>6</v>
      </c>
      <c r="E2990" s="0" t="n">
        <f aca="false">-1+A2990*0.25</f>
        <v>0</v>
      </c>
      <c r="F2990" s="0" t="n">
        <f aca="false">-1+B2990*0.25</f>
        <v>-1</v>
      </c>
      <c r="G2990" s="0" t="n">
        <f aca="false">-1+C2990*0.25</f>
        <v>0.75</v>
      </c>
      <c r="H2990" s="0" t="n">
        <f aca="false">-1+D2990*0.25</f>
        <v>0.5</v>
      </c>
      <c r="I2990" s="0" t="n">
        <f aca="false">1</f>
        <v>1</v>
      </c>
      <c r="J2990" s="0" t="n">
        <f aca="false">E2990</f>
        <v>0</v>
      </c>
      <c r="K2990" s="0" t="n">
        <f aca="false">F2990</f>
        <v>-1</v>
      </c>
      <c r="L2990" s="0" t="n">
        <f aca="false">G2990</f>
        <v>0.75</v>
      </c>
      <c r="M2990" s="0" t="n">
        <f aca="false">H2990</f>
        <v>0.5</v>
      </c>
      <c r="N2990" s="0" t="n">
        <f aca="false">E2990*F2990</f>
        <v>-0</v>
      </c>
      <c r="O2990" s="0" t="n">
        <f aca="false">E2990*G2990</f>
        <v>0</v>
      </c>
      <c r="P2990" s="0" t="n">
        <f aca="false">E2990*H2990</f>
        <v>0</v>
      </c>
      <c r="Q2990" s="0" t="n">
        <f aca="false">F2990*G2990</f>
        <v>-0.75</v>
      </c>
      <c r="R2990" s="0" t="n">
        <f aca="false">F2990*H2990</f>
        <v>-0.5</v>
      </c>
      <c r="S2990" s="0" t="n">
        <f aca="false">G2990*H2990</f>
        <v>0.375</v>
      </c>
      <c r="T2990" s="0" t="n">
        <f aca="false">E2990*E2990</f>
        <v>0</v>
      </c>
      <c r="U2990" s="0" t="n">
        <f aca="false">F2990*F2990</f>
        <v>1</v>
      </c>
      <c r="V2990" s="0" t="n">
        <f aca="false">G2990*G2990</f>
        <v>0.5625</v>
      </c>
      <c r="W2990" s="0" t="n">
        <f aca="false">H2990*H2990</f>
        <v>0.25</v>
      </c>
      <c r="X2990" s="0" t="n">
        <f aca="false">SUMPRODUCT(I2990:W2990,_XtX!$B$96:$P$96)</f>
        <v>43.6714638157894</v>
      </c>
      <c r="Y2990" s="0" t="n">
        <f aca="false">SUMPRODUCT(MMULT(I2990:W2990,_XtX!$B$78:$P$92),I2990:W2990)</f>
        <v>0.476191292032164</v>
      </c>
      <c r="Z2990" s="0" t="n">
        <f aca="false">04_回帰ANOVA!$K$19*04_回帰ANOVA!$K$14*SQRT(1+Y2990)</f>
        <v>1.58368831471718</v>
      </c>
      <c r="AA2990" s="0" t="n">
        <f aca="false">X2990-Z2990</f>
        <v>42.0877755010722</v>
      </c>
      <c r="AB2990" s="0" t="n">
        <f aca="false">X2990+Z2990</f>
        <v>45.2551521305066</v>
      </c>
      <c r="AC2990" s="54" t="b">
        <f aca="false">AND(E2990&gt;=01_因子設定!$L$5-0.000000001,E2990&lt;=01_因子設定!$M$5+0.000000001,F2990&gt;=01_因子設定!$L$6-0.000000001,F2990&lt;=01_因子設定!$M$6+0.000000001,G2990&gt;=01_因子設定!$L$7-0.000000001,G2990&lt;=01_因子設定!$M$7+0.000000001,H2990&gt;=01_因子設定!$L$8-0.000000001,H2990&lt;=01_因子設定!$M$8+0.000000001,IF(01_因子設定!$B$20="Box-Behnken",E2990^2+F2990^2+G2990^2+H2990^2&lt;=2+0.000000001,TRUE()))</f>
        <v>1</v>
      </c>
      <c r="AD2990" s="55" t="n">
        <f aca="false">IF(AC2990,IF(01_因子設定!$B$13="最大化",AA2990-01_因子設定!$B$14,IF(01_因子設定!$B$13="最小化",01_因子設定!$B$15-AB2990,MIN(AA2990-01_因子設定!$B$14,01_因子設定!$B$15-AB2990))),-1E+030)</f>
        <v>-4.41222449892776</v>
      </c>
      <c r="AE2990" s="55" t="n">
        <f aca="false">IF(AC2990,IF(01_因子設定!$B$13="最大化",X2990,IF(01_因子設定!$B$13="最小化",-X2990,-ABS(X2990-01_因子設定!$B$16))),-1E+030)</f>
        <v>43.6714638157894</v>
      </c>
      <c r="AF2990" s="55" t="n">
        <f aca="false">AD2990+ROW()*0.000000001</f>
        <v>-4.41222150892776</v>
      </c>
      <c r="AG2990" s="55" t="n">
        <f aca="false">AE2990+ROW()*0.000000001</f>
        <v>43.6714668057894</v>
      </c>
    </row>
    <row r="2991" customFormat="false" ht="15" hidden="false" customHeight="false" outlineLevel="0" collapsed="false">
      <c r="A2991" s="0" t="n">
        <v>4</v>
      </c>
      <c r="B2991" s="0" t="n">
        <v>0</v>
      </c>
      <c r="C2991" s="0" t="n">
        <v>7</v>
      </c>
      <c r="D2991" s="0" t="n">
        <v>7</v>
      </c>
      <c r="E2991" s="0" t="n">
        <f aca="false">-1+A2991*0.25</f>
        <v>0</v>
      </c>
      <c r="F2991" s="0" t="n">
        <f aca="false">-1+B2991*0.25</f>
        <v>-1</v>
      </c>
      <c r="G2991" s="0" t="n">
        <f aca="false">-1+C2991*0.25</f>
        <v>0.75</v>
      </c>
      <c r="H2991" s="0" t="n">
        <f aca="false">-1+D2991*0.25</f>
        <v>0.75</v>
      </c>
      <c r="I2991" s="0" t="n">
        <f aca="false">1</f>
        <v>1</v>
      </c>
      <c r="J2991" s="0" t="n">
        <f aca="false">E2991</f>
        <v>0</v>
      </c>
      <c r="K2991" s="0" t="n">
        <f aca="false">F2991</f>
        <v>-1</v>
      </c>
      <c r="L2991" s="0" t="n">
        <f aca="false">G2991</f>
        <v>0.75</v>
      </c>
      <c r="M2991" s="0" t="n">
        <f aca="false">H2991</f>
        <v>0.75</v>
      </c>
      <c r="N2991" s="0" t="n">
        <f aca="false">E2991*F2991</f>
        <v>-0</v>
      </c>
      <c r="O2991" s="0" t="n">
        <f aca="false">E2991*G2991</f>
        <v>0</v>
      </c>
      <c r="P2991" s="0" t="n">
        <f aca="false">E2991*H2991</f>
        <v>0</v>
      </c>
      <c r="Q2991" s="0" t="n">
        <f aca="false">F2991*G2991</f>
        <v>-0.75</v>
      </c>
      <c r="R2991" s="0" t="n">
        <f aca="false">F2991*H2991</f>
        <v>-0.75</v>
      </c>
      <c r="S2991" s="0" t="n">
        <f aca="false">G2991*H2991</f>
        <v>0.5625</v>
      </c>
      <c r="T2991" s="0" t="n">
        <f aca="false">E2991*E2991</f>
        <v>0</v>
      </c>
      <c r="U2991" s="0" t="n">
        <f aca="false">F2991*F2991</f>
        <v>1</v>
      </c>
      <c r="V2991" s="0" t="n">
        <f aca="false">G2991*G2991</f>
        <v>0.5625</v>
      </c>
      <c r="W2991" s="0" t="n">
        <f aca="false">H2991*H2991</f>
        <v>0.5625</v>
      </c>
      <c r="X2991" s="0" t="n">
        <f aca="false">SUMPRODUCT(I2991:W2991,_XtX!$B$96:$P$96)</f>
        <v>43.7603664108187</v>
      </c>
      <c r="Y2991" s="0" t="n">
        <f aca="false">SUMPRODUCT(MMULT(I2991:W2991,_XtX!$B$78:$P$92),I2991:W2991)</f>
        <v>0.494259126005117</v>
      </c>
      <c r="Z2991" s="0" t="n">
        <f aca="false">04_回帰ANOVA!$K$19*04_回帰ANOVA!$K$14*SQRT(1+Y2991)</f>
        <v>1.59335061078203</v>
      </c>
      <c r="AA2991" s="0" t="n">
        <f aca="false">X2991-Z2991</f>
        <v>42.1670158000366</v>
      </c>
      <c r="AB2991" s="0" t="n">
        <f aca="false">X2991+Z2991</f>
        <v>45.3537170216007</v>
      </c>
      <c r="AC2991" s="54" t="b">
        <f aca="false">AND(E2991&gt;=01_因子設定!$L$5-0.000000001,E2991&lt;=01_因子設定!$M$5+0.000000001,F2991&gt;=01_因子設定!$L$6-0.000000001,F2991&lt;=01_因子設定!$M$6+0.000000001,G2991&gt;=01_因子設定!$L$7-0.000000001,G2991&lt;=01_因子設定!$M$7+0.000000001,H2991&gt;=01_因子設定!$L$8-0.000000001,H2991&lt;=01_因子設定!$M$8+0.000000001,IF(01_因子設定!$B$20="Box-Behnken",E2991^2+F2991^2+G2991^2+H2991^2&lt;=2+0.000000001,TRUE()))</f>
        <v>1</v>
      </c>
      <c r="AD2991" s="55" t="n">
        <f aca="false">IF(AC2991,IF(01_因子設定!$B$13="最大化",AA2991-01_因子設定!$B$14,IF(01_因子設定!$B$13="最小化",01_因子設定!$B$15-AB2991,MIN(AA2991-01_因子設定!$B$14,01_因子設定!$B$15-AB2991))),-1E+030)</f>
        <v>-4.33298419996336</v>
      </c>
      <c r="AE2991" s="55" t="n">
        <f aca="false">IF(AC2991,IF(01_因子設定!$B$13="最大化",X2991,IF(01_因子設定!$B$13="最小化",-X2991,-ABS(X2991-01_因子設定!$B$16))),-1E+030)</f>
        <v>43.7603664108187</v>
      </c>
      <c r="AF2991" s="55" t="n">
        <f aca="false">AD2991+ROW()*0.000000001</f>
        <v>-4.33298120896336</v>
      </c>
      <c r="AG2991" s="55" t="n">
        <f aca="false">AE2991+ROW()*0.000000001</f>
        <v>43.7603694018187</v>
      </c>
    </row>
    <row r="2992" customFormat="false" ht="15" hidden="false" customHeight="false" outlineLevel="0" collapsed="false">
      <c r="A2992" s="0" t="n">
        <v>4</v>
      </c>
      <c r="B2992" s="0" t="n">
        <v>0</v>
      </c>
      <c r="C2992" s="0" t="n">
        <v>7</v>
      </c>
      <c r="D2992" s="0" t="n">
        <v>8</v>
      </c>
      <c r="E2992" s="0" t="n">
        <f aca="false">-1+A2992*0.25</f>
        <v>0</v>
      </c>
      <c r="F2992" s="0" t="n">
        <f aca="false">-1+B2992*0.25</f>
        <v>-1</v>
      </c>
      <c r="G2992" s="0" t="n">
        <f aca="false">-1+C2992*0.25</f>
        <v>0.75</v>
      </c>
      <c r="H2992" s="0" t="n">
        <f aca="false">-1+D2992*0.25</f>
        <v>1</v>
      </c>
      <c r="I2992" s="0" t="n">
        <f aca="false">1</f>
        <v>1</v>
      </c>
      <c r="J2992" s="0" t="n">
        <f aca="false">E2992</f>
        <v>0</v>
      </c>
      <c r="K2992" s="0" t="n">
        <f aca="false">F2992</f>
        <v>-1</v>
      </c>
      <c r="L2992" s="0" t="n">
        <f aca="false">G2992</f>
        <v>0.75</v>
      </c>
      <c r="M2992" s="0" t="n">
        <f aca="false">H2992</f>
        <v>1</v>
      </c>
      <c r="N2992" s="0" t="n">
        <f aca="false">E2992*F2992</f>
        <v>-0</v>
      </c>
      <c r="O2992" s="0" t="n">
        <f aca="false">E2992*G2992</f>
        <v>0</v>
      </c>
      <c r="P2992" s="0" t="n">
        <f aca="false">E2992*H2992</f>
        <v>0</v>
      </c>
      <c r="Q2992" s="0" t="n">
        <f aca="false">F2992*G2992</f>
        <v>-0.75</v>
      </c>
      <c r="R2992" s="0" t="n">
        <f aca="false">F2992*H2992</f>
        <v>-1</v>
      </c>
      <c r="S2992" s="0" t="n">
        <f aca="false">G2992*H2992</f>
        <v>0.75</v>
      </c>
      <c r="T2992" s="0" t="n">
        <f aca="false">E2992*E2992</f>
        <v>0</v>
      </c>
      <c r="U2992" s="0" t="n">
        <f aca="false">F2992*F2992</f>
        <v>1</v>
      </c>
      <c r="V2992" s="0" t="n">
        <f aca="false">G2992*G2992</f>
        <v>0.5625</v>
      </c>
      <c r="W2992" s="0" t="n">
        <f aca="false">H2992*H2992</f>
        <v>1</v>
      </c>
      <c r="X2992" s="0" t="n">
        <f aca="false">SUMPRODUCT(I2992:W2992,_XtX!$B$96:$P$96)</f>
        <v>43.8014619883041</v>
      </c>
      <c r="Y2992" s="0" t="n">
        <f aca="false">SUMPRODUCT(MMULT(I2992:W2992,_XtX!$B$78:$P$92),I2992:W2992)</f>
        <v>0.646198830409357</v>
      </c>
      <c r="Z2992" s="0" t="n">
        <f aca="false">04_回帰ANOVA!$K$19*04_回帰ANOVA!$K$14*SQRT(1+Y2992)</f>
        <v>1.67239760569756</v>
      </c>
      <c r="AA2992" s="0" t="n">
        <f aca="false">X2992-Z2992</f>
        <v>42.1290643826065</v>
      </c>
      <c r="AB2992" s="0" t="n">
        <f aca="false">X2992+Z2992</f>
        <v>45.4738595940016</v>
      </c>
      <c r="AC2992" s="54" t="b">
        <f aca="false">AND(E2992&gt;=01_因子設定!$L$5-0.000000001,E2992&lt;=01_因子設定!$M$5+0.000000001,F2992&gt;=01_因子設定!$L$6-0.000000001,F2992&lt;=01_因子設定!$M$6+0.000000001,G2992&gt;=01_因子設定!$L$7-0.000000001,G2992&lt;=01_因子設定!$M$7+0.000000001,H2992&gt;=01_因子設定!$L$8-0.000000001,H2992&lt;=01_因子設定!$M$8+0.000000001,IF(01_因子設定!$B$20="Box-Behnken",E2992^2+F2992^2+G2992^2+H2992^2&lt;=2+0.000000001,TRUE()))</f>
        <v>1</v>
      </c>
      <c r="AD2992" s="55" t="n">
        <f aca="false">IF(AC2992,IF(01_因子設定!$B$13="最大化",AA2992-01_因子設定!$B$14,IF(01_因子設定!$B$13="最小化",01_因子設定!$B$15-AB2992,MIN(AA2992-01_因子設定!$B$14,01_因子設定!$B$15-AB2992))),-1E+030)</f>
        <v>-4.37093561739349</v>
      </c>
      <c r="AE2992" s="55" t="n">
        <f aca="false">IF(AC2992,IF(01_因子設定!$B$13="最大化",X2992,IF(01_因子設定!$B$13="最小化",-X2992,-ABS(X2992-01_因子設定!$B$16))),-1E+030)</f>
        <v>43.8014619883041</v>
      </c>
      <c r="AF2992" s="55" t="n">
        <f aca="false">AD2992+ROW()*0.000000001</f>
        <v>-4.37093262539349</v>
      </c>
      <c r="AG2992" s="55" t="n">
        <f aca="false">AE2992+ROW()*0.000000001</f>
        <v>43.8014649803041</v>
      </c>
    </row>
    <row r="2993" customFormat="false" ht="15" hidden="false" customHeight="false" outlineLevel="0" collapsed="false">
      <c r="A2993" s="0" t="n">
        <v>4</v>
      </c>
      <c r="B2993" s="0" t="n">
        <v>0</v>
      </c>
      <c r="C2993" s="0" t="n">
        <v>8</v>
      </c>
      <c r="D2993" s="0" t="n">
        <v>0</v>
      </c>
      <c r="E2993" s="0" t="n">
        <f aca="false">-1+A2993*0.25</f>
        <v>0</v>
      </c>
      <c r="F2993" s="0" t="n">
        <f aca="false">-1+B2993*0.25</f>
        <v>-1</v>
      </c>
      <c r="G2993" s="0" t="n">
        <f aca="false">-1+C2993*0.25</f>
        <v>1</v>
      </c>
      <c r="H2993" s="0" t="n">
        <f aca="false">-1+D2993*0.25</f>
        <v>-1</v>
      </c>
      <c r="I2993" s="0" t="n">
        <f aca="false">1</f>
        <v>1</v>
      </c>
      <c r="J2993" s="0" t="n">
        <f aca="false">E2993</f>
        <v>0</v>
      </c>
      <c r="K2993" s="0" t="n">
        <f aca="false">F2993</f>
        <v>-1</v>
      </c>
      <c r="L2993" s="0" t="n">
        <f aca="false">G2993</f>
        <v>1</v>
      </c>
      <c r="M2993" s="0" t="n">
        <f aca="false">H2993</f>
        <v>-1</v>
      </c>
      <c r="N2993" s="0" t="n">
        <f aca="false">E2993*F2993</f>
        <v>-0</v>
      </c>
      <c r="O2993" s="0" t="n">
        <f aca="false">E2993*G2993</f>
        <v>0</v>
      </c>
      <c r="P2993" s="0" t="n">
        <f aca="false">E2993*H2993</f>
        <v>-0</v>
      </c>
      <c r="Q2993" s="0" t="n">
        <f aca="false">F2993*G2993</f>
        <v>-1</v>
      </c>
      <c r="R2993" s="0" t="n">
        <f aca="false">F2993*H2993</f>
        <v>1</v>
      </c>
      <c r="S2993" s="0" t="n">
        <f aca="false">G2993*H2993</f>
        <v>-1</v>
      </c>
      <c r="T2993" s="0" t="n">
        <f aca="false">E2993*E2993</f>
        <v>0</v>
      </c>
      <c r="U2993" s="0" t="n">
        <f aca="false">F2993*F2993</f>
        <v>1</v>
      </c>
      <c r="V2993" s="0" t="n">
        <f aca="false">G2993*G2993</f>
        <v>1</v>
      </c>
      <c r="W2993" s="0" t="n">
        <f aca="false">H2993*H2993</f>
        <v>1</v>
      </c>
      <c r="X2993" s="0" t="n">
        <f aca="false">SUMPRODUCT(I2993:W2993,_XtX!$B$96:$P$96)</f>
        <v>41.9313596491228</v>
      </c>
      <c r="Y2993" s="0" t="n">
        <f aca="false">SUMPRODUCT(MMULT(I2993:W2993,_XtX!$B$78:$P$92),I2993:W2993)</f>
        <v>0.766447368421053</v>
      </c>
      <c r="Z2993" s="0" t="n">
        <f aca="false">04_回帰ANOVA!$K$19*04_回帰ANOVA!$K$14*SQRT(1+Y2993)</f>
        <v>1.7324022685743</v>
      </c>
      <c r="AA2993" s="0" t="n">
        <f aca="false">X2993-Z2993</f>
        <v>40.1989573805485</v>
      </c>
      <c r="AB2993" s="0" t="n">
        <f aca="false">X2993+Z2993</f>
        <v>43.6637619176971</v>
      </c>
      <c r="AC2993" s="54" t="b">
        <f aca="false">AND(E2993&gt;=01_因子設定!$L$5-0.000000001,E2993&lt;=01_因子設定!$M$5+0.000000001,F2993&gt;=01_因子設定!$L$6-0.000000001,F2993&lt;=01_因子設定!$M$6+0.000000001,G2993&gt;=01_因子設定!$L$7-0.000000001,G2993&lt;=01_因子設定!$M$7+0.000000001,H2993&gt;=01_因子設定!$L$8-0.000000001,H2993&lt;=01_因子設定!$M$8+0.000000001,IF(01_因子設定!$B$20="Box-Behnken",E2993^2+F2993^2+G2993^2+H2993^2&lt;=2+0.000000001,TRUE()))</f>
        <v>1</v>
      </c>
      <c r="AD2993" s="55" t="n">
        <f aca="false">IF(AC2993,IF(01_因子設定!$B$13="最大化",AA2993-01_因子設定!$B$14,IF(01_因子設定!$B$13="最小化",01_因子設定!$B$15-AB2993,MIN(AA2993-01_因子設定!$B$14,01_因子設定!$B$15-AB2993))),-1E+030)</f>
        <v>-6.30104261945152</v>
      </c>
      <c r="AE2993" s="55" t="n">
        <f aca="false">IF(AC2993,IF(01_因子設定!$B$13="最大化",X2993,IF(01_因子設定!$B$13="最小化",-X2993,-ABS(X2993-01_因子設定!$B$16))),-1E+030)</f>
        <v>41.9313596491228</v>
      </c>
      <c r="AF2993" s="55" t="n">
        <f aca="false">AD2993+ROW()*0.000000001</f>
        <v>-6.30103962645152</v>
      </c>
      <c r="AG2993" s="55" t="n">
        <f aca="false">AE2993+ROW()*0.000000001</f>
        <v>41.9313626421228</v>
      </c>
    </row>
    <row r="2994" customFormat="false" ht="15" hidden="false" customHeight="false" outlineLevel="0" collapsed="false">
      <c r="A2994" s="0" t="n">
        <v>4</v>
      </c>
      <c r="B2994" s="0" t="n">
        <v>0</v>
      </c>
      <c r="C2994" s="0" t="n">
        <v>8</v>
      </c>
      <c r="D2994" s="0" t="n">
        <v>1</v>
      </c>
      <c r="E2994" s="0" t="n">
        <f aca="false">-1+A2994*0.25</f>
        <v>0</v>
      </c>
      <c r="F2994" s="0" t="n">
        <f aca="false">-1+B2994*0.25</f>
        <v>-1</v>
      </c>
      <c r="G2994" s="0" t="n">
        <f aca="false">-1+C2994*0.25</f>
        <v>1</v>
      </c>
      <c r="H2994" s="0" t="n">
        <f aca="false">-1+D2994*0.25</f>
        <v>-0.75</v>
      </c>
      <c r="I2994" s="0" t="n">
        <f aca="false">1</f>
        <v>1</v>
      </c>
      <c r="J2994" s="0" t="n">
        <f aca="false">E2994</f>
        <v>0</v>
      </c>
      <c r="K2994" s="0" t="n">
        <f aca="false">F2994</f>
        <v>-1</v>
      </c>
      <c r="L2994" s="0" t="n">
        <f aca="false">G2994</f>
        <v>1</v>
      </c>
      <c r="M2994" s="0" t="n">
        <f aca="false">H2994</f>
        <v>-0.75</v>
      </c>
      <c r="N2994" s="0" t="n">
        <f aca="false">E2994*F2994</f>
        <v>-0</v>
      </c>
      <c r="O2994" s="0" t="n">
        <f aca="false">E2994*G2994</f>
        <v>0</v>
      </c>
      <c r="P2994" s="0" t="n">
        <f aca="false">E2994*H2994</f>
        <v>-0</v>
      </c>
      <c r="Q2994" s="0" t="n">
        <f aca="false">F2994*G2994</f>
        <v>-1</v>
      </c>
      <c r="R2994" s="0" t="n">
        <f aca="false">F2994*H2994</f>
        <v>0.75</v>
      </c>
      <c r="S2994" s="0" t="n">
        <f aca="false">G2994*H2994</f>
        <v>-0.75</v>
      </c>
      <c r="T2994" s="0" t="n">
        <f aca="false">E2994*E2994</f>
        <v>0</v>
      </c>
      <c r="U2994" s="0" t="n">
        <f aca="false">F2994*F2994</f>
        <v>1</v>
      </c>
      <c r="V2994" s="0" t="n">
        <f aca="false">G2994*G2994</f>
        <v>1</v>
      </c>
      <c r="W2994" s="0" t="n">
        <f aca="false">H2994*H2994</f>
        <v>0.5625</v>
      </c>
      <c r="X2994" s="0" t="n">
        <f aca="false">SUMPRODUCT(I2994:W2994,_XtX!$B$96:$P$96)</f>
        <v>42.3250730994152</v>
      </c>
      <c r="Y2994" s="0" t="n">
        <f aca="false">SUMPRODUCT(MMULT(I2994:W2994,_XtX!$B$78:$P$92),I2994:W2994)</f>
        <v>0.646198830409357</v>
      </c>
      <c r="Z2994" s="0" t="n">
        <f aca="false">04_回帰ANOVA!$K$19*04_回帰ANOVA!$K$14*SQRT(1+Y2994)</f>
        <v>1.67239760569756</v>
      </c>
      <c r="AA2994" s="0" t="n">
        <f aca="false">X2994-Z2994</f>
        <v>40.6526754937176</v>
      </c>
      <c r="AB2994" s="0" t="n">
        <f aca="false">X2994+Z2994</f>
        <v>43.9974707051127</v>
      </c>
      <c r="AC2994" s="54" t="b">
        <f aca="false">AND(E2994&gt;=01_因子設定!$L$5-0.000000001,E2994&lt;=01_因子設定!$M$5+0.000000001,F2994&gt;=01_因子設定!$L$6-0.000000001,F2994&lt;=01_因子設定!$M$6+0.000000001,G2994&gt;=01_因子設定!$L$7-0.000000001,G2994&lt;=01_因子設定!$M$7+0.000000001,H2994&gt;=01_因子設定!$L$8-0.000000001,H2994&lt;=01_因子設定!$M$8+0.000000001,IF(01_因子設定!$B$20="Box-Behnken",E2994^2+F2994^2+G2994^2+H2994^2&lt;=2+0.000000001,TRUE()))</f>
        <v>1</v>
      </c>
      <c r="AD2994" s="55" t="n">
        <f aca="false">IF(AC2994,IF(01_因子設定!$B$13="最大化",AA2994-01_因子設定!$B$14,IF(01_因子設定!$B$13="最小化",01_因子設定!$B$15-AB2994,MIN(AA2994-01_因子設定!$B$14,01_因子設定!$B$15-AB2994))),-1E+030)</f>
        <v>-5.84732450628239</v>
      </c>
      <c r="AE2994" s="55" t="n">
        <f aca="false">IF(AC2994,IF(01_因子設定!$B$13="最大化",X2994,IF(01_因子設定!$B$13="最小化",-X2994,-ABS(X2994-01_因子設定!$B$16))),-1E+030)</f>
        <v>42.3250730994152</v>
      </c>
      <c r="AF2994" s="55" t="n">
        <f aca="false">AD2994+ROW()*0.000000001</f>
        <v>-5.84732151228239</v>
      </c>
      <c r="AG2994" s="55" t="n">
        <f aca="false">AE2994+ROW()*0.000000001</f>
        <v>42.3250760934152</v>
      </c>
    </row>
    <row r="2995" customFormat="false" ht="15" hidden="false" customHeight="false" outlineLevel="0" collapsed="false">
      <c r="A2995" s="0" t="n">
        <v>4</v>
      </c>
      <c r="B2995" s="0" t="n">
        <v>0</v>
      </c>
      <c r="C2995" s="0" t="n">
        <v>8</v>
      </c>
      <c r="D2995" s="0" t="n">
        <v>2</v>
      </c>
      <c r="E2995" s="0" t="n">
        <f aca="false">-1+A2995*0.25</f>
        <v>0</v>
      </c>
      <c r="F2995" s="0" t="n">
        <f aca="false">-1+B2995*0.25</f>
        <v>-1</v>
      </c>
      <c r="G2995" s="0" t="n">
        <f aca="false">-1+C2995*0.25</f>
        <v>1</v>
      </c>
      <c r="H2995" s="0" t="n">
        <f aca="false">-1+D2995*0.25</f>
        <v>-0.5</v>
      </c>
      <c r="I2995" s="0" t="n">
        <f aca="false">1</f>
        <v>1</v>
      </c>
      <c r="J2995" s="0" t="n">
        <f aca="false">E2995</f>
        <v>0</v>
      </c>
      <c r="K2995" s="0" t="n">
        <f aca="false">F2995</f>
        <v>-1</v>
      </c>
      <c r="L2995" s="0" t="n">
        <f aca="false">G2995</f>
        <v>1</v>
      </c>
      <c r="M2995" s="0" t="n">
        <f aca="false">H2995</f>
        <v>-0.5</v>
      </c>
      <c r="N2995" s="0" t="n">
        <f aca="false">E2995*F2995</f>
        <v>-0</v>
      </c>
      <c r="O2995" s="0" t="n">
        <f aca="false">E2995*G2995</f>
        <v>0</v>
      </c>
      <c r="P2995" s="0" t="n">
        <f aca="false">E2995*H2995</f>
        <v>-0</v>
      </c>
      <c r="Q2995" s="0" t="n">
        <f aca="false">F2995*G2995</f>
        <v>-1</v>
      </c>
      <c r="R2995" s="0" t="n">
        <f aca="false">F2995*H2995</f>
        <v>0.5</v>
      </c>
      <c r="S2995" s="0" t="n">
        <f aca="false">G2995*H2995</f>
        <v>-0.5</v>
      </c>
      <c r="T2995" s="0" t="n">
        <f aca="false">E2995*E2995</f>
        <v>0</v>
      </c>
      <c r="U2995" s="0" t="n">
        <f aca="false">F2995*F2995</f>
        <v>1</v>
      </c>
      <c r="V2995" s="0" t="n">
        <f aca="false">G2995*G2995</f>
        <v>1</v>
      </c>
      <c r="W2995" s="0" t="n">
        <f aca="false">H2995*H2995</f>
        <v>0.25</v>
      </c>
      <c r="X2995" s="0" t="n">
        <f aca="false">SUMPRODUCT(I2995:W2995,_XtX!$B$96:$P$96)</f>
        <v>42.6709795321637</v>
      </c>
      <c r="Y2995" s="0" t="n">
        <f aca="false">SUMPRODUCT(MMULT(I2995:W2995,_XtX!$B$78:$P$92),I2995:W2995)</f>
        <v>0.650767543859649</v>
      </c>
      <c r="Z2995" s="0" t="n">
        <f aca="false">04_回帰ANOVA!$K$19*04_回帰ANOVA!$K$14*SQRT(1+Y2995)</f>
        <v>1.67471670935165</v>
      </c>
      <c r="AA2995" s="0" t="n">
        <f aca="false">X2995-Z2995</f>
        <v>40.996262822812</v>
      </c>
      <c r="AB2995" s="0" t="n">
        <f aca="false">X2995+Z2995</f>
        <v>44.3456962415153</v>
      </c>
      <c r="AC2995" s="54" t="b">
        <f aca="false">AND(E2995&gt;=01_因子設定!$L$5-0.000000001,E2995&lt;=01_因子設定!$M$5+0.000000001,F2995&gt;=01_因子設定!$L$6-0.000000001,F2995&lt;=01_因子設定!$M$6+0.000000001,G2995&gt;=01_因子設定!$L$7-0.000000001,G2995&lt;=01_因子設定!$M$7+0.000000001,H2995&gt;=01_因子設定!$L$8-0.000000001,H2995&lt;=01_因子設定!$M$8+0.000000001,IF(01_因子設定!$B$20="Box-Behnken",E2995^2+F2995^2+G2995^2+H2995^2&lt;=2+0.000000001,TRUE()))</f>
        <v>1</v>
      </c>
      <c r="AD2995" s="55" t="n">
        <f aca="false">IF(AC2995,IF(01_因子設定!$B$13="最大化",AA2995-01_因子設定!$B$14,IF(01_因子設定!$B$13="最小化",01_因子設定!$B$15-AB2995,MIN(AA2995-01_因子設定!$B$14,01_因子設定!$B$15-AB2995))),-1E+030)</f>
        <v>-5.50373717718796</v>
      </c>
      <c r="AE2995" s="55" t="n">
        <f aca="false">IF(AC2995,IF(01_因子設定!$B$13="最大化",X2995,IF(01_因子設定!$B$13="最小化",-X2995,-ABS(X2995-01_因子設定!$B$16))),-1E+030)</f>
        <v>42.6709795321637</v>
      </c>
      <c r="AF2995" s="55" t="n">
        <f aca="false">AD2995+ROW()*0.000000001</f>
        <v>-5.50373418218796</v>
      </c>
      <c r="AG2995" s="55" t="n">
        <f aca="false">AE2995+ROW()*0.000000001</f>
        <v>42.6709825271637</v>
      </c>
    </row>
    <row r="2996" customFormat="false" ht="15" hidden="false" customHeight="false" outlineLevel="0" collapsed="false">
      <c r="A2996" s="0" t="n">
        <v>4</v>
      </c>
      <c r="B2996" s="0" t="n">
        <v>0</v>
      </c>
      <c r="C2996" s="0" t="n">
        <v>8</v>
      </c>
      <c r="D2996" s="0" t="n">
        <v>3</v>
      </c>
      <c r="E2996" s="0" t="n">
        <f aca="false">-1+A2996*0.25</f>
        <v>0</v>
      </c>
      <c r="F2996" s="0" t="n">
        <f aca="false">-1+B2996*0.25</f>
        <v>-1</v>
      </c>
      <c r="G2996" s="0" t="n">
        <f aca="false">-1+C2996*0.25</f>
        <v>1</v>
      </c>
      <c r="H2996" s="0" t="n">
        <f aca="false">-1+D2996*0.25</f>
        <v>-0.25</v>
      </c>
      <c r="I2996" s="0" t="n">
        <f aca="false">1</f>
        <v>1</v>
      </c>
      <c r="J2996" s="0" t="n">
        <f aca="false">E2996</f>
        <v>0</v>
      </c>
      <c r="K2996" s="0" t="n">
        <f aca="false">F2996</f>
        <v>-1</v>
      </c>
      <c r="L2996" s="0" t="n">
        <f aca="false">G2996</f>
        <v>1</v>
      </c>
      <c r="M2996" s="0" t="n">
        <f aca="false">H2996</f>
        <v>-0.25</v>
      </c>
      <c r="N2996" s="0" t="n">
        <f aca="false">E2996*F2996</f>
        <v>-0</v>
      </c>
      <c r="O2996" s="0" t="n">
        <f aca="false">E2996*G2996</f>
        <v>0</v>
      </c>
      <c r="P2996" s="0" t="n">
        <f aca="false">E2996*H2996</f>
        <v>-0</v>
      </c>
      <c r="Q2996" s="0" t="n">
        <f aca="false">F2996*G2996</f>
        <v>-1</v>
      </c>
      <c r="R2996" s="0" t="n">
        <f aca="false">F2996*H2996</f>
        <v>0.25</v>
      </c>
      <c r="S2996" s="0" t="n">
        <f aca="false">G2996*H2996</f>
        <v>-0.25</v>
      </c>
      <c r="T2996" s="0" t="n">
        <f aca="false">E2996*E2996</f>
        <v>0</v>
      </c>
      <c r="U2996" s="0" t="n">
        <f aca="false">F2996*F2996</f>
        <v>1</v>
      </c>
      <c r="V2996" s="0" t="n">
        <f aca="false">G2996*G2996</f>
        <v>1</v>
      </c>
      <c r="W2996" s="0" t="n">
        <f aca="false">H2996*H2996</f>
        <v>0.0625</v>
      </c>
      <c r="X2996" s="0" t="n">
        <f aca="false">SUMPRODUCT(I2996:W2996,_XtX!$B$96:$P$96)</f>
        <v>42.9690789473684</v>
      </c>
      <c r="Y2996" s="0" t="n">
        <f aca="false">SUMPRODUCT(MMULT(I2996:W2996,_XtX!$B$78:$P$92),I2996:W2996)</f>
        <v>0.689692982456141</v>
      </c>
      <c r="Z2996" s="0" t="n">
        <f aca="false">04_回帰ANOVA!$K$19*04_回帰ANOVA!$K$14*SQRT(1+Y2996)</f>
        <v>1.69434674594998</v>
      </c>
      <c r="AA2996" s="0" t="n">
        <f aca="false">X2996-Z2996</f>
        <v>41.2747322014184</v>
      </c>
      <c r="AB2996" s="0" t="n">
        <f aca="false">X2996+Z2996</f>
        <v>44.6634256933183</v>
      </c>
      <c r="AC2996" s="54" t="b">
        <f aca="false">AND(E2996&gt;=01_因子設定!$L$5-0.000000001,E2996&lt;=01_因子設定!$M$5+0.000000001,F2996&gt;=01_因子設定!$L$6-0.000000001,F2996&lt;=01_因子設定!$M$6+0.000000001,G2996&gt;=01_因子設定!$L$7-0.000000001,G2996&lt;=01_因子設定!$M$7+0.000000001,H2996&gt;=01_因子設定!$L$8-0.000000001,H2996&lt;=01_因子設定!$M$8+0.000000001,IF(01_因子設定!$B$20="Box-Behnken",E2996^2+F2996^2+G2996^2+H2996^2&lt;=2+0.000000001,TRUE()))</f>
        <v>1</v>
      </c>
      <c r="AD2996" s="55" t="n">
        <f aca="false">IF(AC2996,IF(01_因子設定!$B$13="最大化",AA2996-01_因子設定!$B$14,IF(01_因子設定!$B$13="最小化",01_因子設定!$B$15-AB2996,MIN(AA2996-01_因子設定!$B$14,01_因子設定!$B$15-AB2996))),-1E+030)</f>
        <v>-5.22526779858163</v>
      </c>
      <c r="AE2996" s="55" t="n">
        <f aca="false">IF(AC2996,IF(01_因子設定!$B$13="最大化",X2996,IF(01_因子設定!$B$13="最小化",-X2996,-ABS(X2996-01_因子設定!$B$16))),-1E+030)</f>
        <v>42.9690789473684</v>
      </c>
      <c r="AF2996" s="55" t="n">
        <f aca="false">AD2996+ROW()*0.000000001</f>
        <v>-5.22526480258163</v>
      </c>
      <c r="AG2996" s="55" t="n">
        <f aca="false">AE2996+ROW()*0.000000001</f>
        <v>42.9690819433684</v>
      </c>
    </row>
    <row r="2997" customFormat="false" ht="15" hidden="false" customHeight="false" outlineLevel="0" collapsed="false">
      <c r="A2997" s="0" t="n">
        <v>4</v>
      </c>
      <c r="B2997" s="0" t="n">
        <v>0</v>
      </c>
      <c r="C2997" s="0" t="n">
        <v>8</v>
      </c>
      <c r="D2997" s="0" t="n">
        <v>4</v>
      </c>
      <c r="E2997" s="0" t="n">
        <f aca="false">-1+A2997*0.25</f>
        <v>0</v>
      </c>
      <c r="F2997" s="0" t="n">
        <f aca="false">-1+B2997*0.25</f>
        <v>-1</v>
      </c>
      <c r="G2997" s="0" t="n">
        <f aca="false">-1+C2997*0.25</f>
        <v>1</v>
      </c>
      <c r="H2997" s="0" t="n">
        <f aca="false">-1+D2997*0.25</f>
        <v>0</v>
      </c>
      <c r="I2997" s="0" t="n">
        <f aca="false">1</f>
        <v>1</v>
      </c>
      <c r="J2997" s="0" t="n">
        <f aca="false">E2997</f>
        <v>0</v>
      </c>
      <c r="K2997" s="0" t="n">
        <f aca="false">F2997</f>
        <v>-1</v>
      </c>
      <c r="L2997" s="0" t="n">
        <f aca="false">G2997</f>
        <v>1</v>
      </c>
      <c r="M2997" s="0" t="n">
        <f aca="false">H2997</f>
        <v>0</v>
      </c>
      <c r="N2997" s="0" t="n">
        <f aca="false">E2997*F2997</f>
        <v>-0</v>
      </c>
      <c r="O2997" s="0" t="n">
        <f aca="false">E2997*G2997</f>
        <v>0</v>
      </c>
      <c r="P2997" s="0" t="n">
        <f aca="false">E2997*H2997</f>
        <v>0</v>
      </c>
      <c r="Q2997" s="0" t="n">
        <f aca="false">F2997*G2997</f>
        <v>-1</v>
      </c>
      <c r="R2997" s="0" t="n">
        <f aca="false">F2997*H2997</f>
        <v>-0</v>
      </c>
      <c r="S2997" s="0" t="n">
        <f aca="false">G2997*H2997</f>
        <v>0</v>
      </c>
      <c r="T2997" s="0" t="n">
        <f aca="false">E2997*E2997</f>
        <v>0</v>
      </c>
      <c r="U2997" s="0" t="n">
        <f aca="false">F2997*F2997</f>
        <v>1</v>
      </c>
      <c r="V2997" s="0" t="n">
        <f aca="false">G2997*G2997</f>
        <v>1</v>
      </c>
      <c r="W2997" s="0" t="n">
        <f aca="false">H2997*H2997</f>
        <v>0</v>
      </c>
      <c r="X2997" s="0" t="n">
        <f aca="false">SUMPRODUCT(I2997:W2997,_XtX!$B$96:$P$96)</f>
        <v>43.2193713450292</v>
      </c>
      <c r="Y2997" s="0" t="n">
        <f aca="false">SUMPRODUCT(MMULT(I2997:W2997,_XtX!$B$78:$P$92),I2997:W2997)</f>
        <v>0.708698830409357</v>
      </c>
      <c r="Z2997" s="0" t="n">
        <f aca="false">04_回帰ANOVA!$K$19*04_回帰ANOVA!$K$14*SQRT(1+Y2997)</f>
        <v>1.70384919651719</v>
      </c>
      <c r="AA2997" s="0" t="n">
        <f aca="false">X2997-Z2997</f>
        <v>41.515522148512</v>
      </c>
      <c r="AB2997" s="0" t="n">
        <f aca="false">X2997+Z2997</f>
        <v>44.9232205415464</v>
      </c>
      <c r="AC2997" s="54" t="b">
        <f aca="false">AND(E2997&gt;=01_因子設定!$L$5-0.000000001,E2997&lt;=01_因子設定!$M$5+0.000000001,F2997&gt;=01_因子設定!$L$6-0.000000001,F2997&lt;=01_因子設定!$M$6+0.000000001,G2997&gt;=01_因子設定!$L$7-0.000000001,G2997&lt;=01_因子設定!$M$7+0.000000001,H2997&gt;=01_因子設定!$L$8-0.000000001,H2997&lt;=01_因子設定!$M$8+0.000000001,IF(01_因子設定!$B$20="Box-Behnken",E2997^2+F2997^2+G2997^2+H2997^2&lt;=2+0.000000001,TRUE()))</f>
        <v>1</v>
      </c>
      <c r="AD2997" s="55" t="n">
        <f aca="false">IF(AC2997,IF(01_因子設定!$B$13="最大化",AA2997-01_因子設定!$B$14,IF(01_因子設定!$B$13="最小化",01_因子設定!$B$15-AB2997,MIN(AA2997-01_因子設定!$B$14,01_因子設定!$B$15-AB2997))),-1E+030)</f>
        <v>-4.98447785148802</v>
      </c>
      <c r="AE2997" s="55" t="n">
        <f aca="false">IF(AC2997,IF(01_因子設定!$B$13="最大化",X2997,IF(01_因子設定!$B$13="最小化",-X2997,-ABS(X2997-01_因子設定!$B$16))),-1E+030)</f>
        <v>43.2193713450292</v>
      </c>
      <c r="AF2997" s="55" t="n">
        <f aca="false">AD2997+ROW()*0.000000001</f>
        <v>-4.98447485448802</v>
      </c>
      <c r="AG2997" s="55" t="n">
        <f aca="false">AE2997+ROW()*0.000000001</f>
        <v>43.2193743420292</v>
      </c>
    </row>
    <row r="2998" customFormat="false" ht="15" hidden="false" customHeight="false" outlineLevel="0" collapsed="false">
      <c r="A2998" s="0" t="n">
        <v>4</v>
      </c>
      <c r="B2998" s="0" t="n">
        <v>0</v>
      </c>
      <c r="C2998" s="0" t="n">
        <v>8</v>
      </c>
      <c r="D2998" s="0" t="n">
        <v>5</v>
      </c>
      <c r="E2998" s="0" t="n">
        <f aca="false">-1+A2998*0.25</f>
        <v>0</v>
      </c>
      <c r="F2998" s="0" t="n">
        <f aca="false">-1+B2998*0.25</f>
        <v>-1</v>
      </c>
      <c r="G2998" s="0" t="n">
        <f aca="false">-1+C2998*0.25</f>
        <v>1</v>
      </c>
      <c r="H2998" s="0" t="n">
        <f aca="false">-1+D2998*0.25</f>
        <v>0.25</v>
      </c>
      <c r="I2998" s="0" t="n">
        <f aca="false">1</f>
        <v>1</v>
      </c>
      <c r="J2998" s="0" t="n">
        <f aca="false">E2998</f>
        <v>0</v>
      </c>
      <c r="K2998" s="0" t="n">
        <f aca="false">F2998</f>
        <v>-1</v>
      </c>
      <c r="L2998" s="0" t="n">
        <f aca="false">G2998</f>
        <v>1</v>
      </c>
      <c r="M2998" s="0" t="n">
        <f aca="false">H2998</f>
        <v>0.25</v>
      </c>
      <c r="N2998" s="0" t="n">
        <f aca="false">E2998*F2998</f>
        <v>-0</v>
      </c>
      <c r="O2998" s="0" t="n">
        <f aca="false">E2998*G2998</f>
        <v>0</v>
      </c>
      <c r="P2998" s="0" t="n">
        <f aca="false">E2998*H2998</f>
        <v>0</v>
      </c>
      <c r="Q2998" s="0" t="n">
        <f aca="false">F2998*G2998</f>
        <v>-1</v>
      </c>
      <c r="R2998" s="0" t="n">
        <f aca="false">F2998*H2998</f>
        <v>-0.25</v>
      </c>
      <c r="S2998" s="0" t="n">
        <f aca="false">G2998*H2998</f>
        <v>0.25</v>
      </c>
      <c r="T2998" s="0" t="n">
        <f aca="false">E2998*E2998</f>
        <v>0</v>
      </c>
      <c r="U2998" s="0" t="n">
        <f aca="false">F2998*F2998</f>
        <v>1</v>
      </c>
      <c r="V2998" s="0" t="n">
        <f aca="false">G2998*G2998</f>
        <v>1</v>
      </c>
      <c r="W2998" s="0" t="n">
        <f aca="false">H2998*H2998</f>
        <v>0.0625</v>
      </c>
      <c r="X2998" s="0" t="n">
        <f aca="false">SUMPRODUCT(I2998:W2998,_XtX!$B$96:$P$96)</f>
        <v>43.4218567251461</v>
      </c>
      <c r="Y2998" s="0" t="n">
        <f aca="false">SUMPRODUCT(MMULT(I2998:W2998,_XtX!$B$78:$P$92),I2998:W2998)</f>
        <v>0.689692982456141</v>
      </c>
      <c r="Z2998" s="0" t="n">
        <f aca="false">04_回帰ANOVA!$K$19*04_回帰ANOVA!$K$14*SQRT(1+Y2998)</f>
        <v>1.69434674594998</v>
      </c>
      <c r="AA2998" s="0" t="n">
        <f aca="false">X2998-Z2998</f>
        <v>41.7275099791962</v>
      </c>
      <c r="AB2998" s="0" t="n">
        <f aca="false">X2998+Z2998</f>
        <v>45.1162034710961</v>
      </c>
      <c r="AC2998" s="54" t="b">
        <f aca="false">AND(E2998&gt;=01_因子設定!$L$5-0.000000001,E2998&lt;=01_因子設定!$M$5+0.000000001,F2998&gt;=01_因子設定!$L$6-0.000000001,F2998&lt;=01_因子設定!$M$6+0.000000001,G2998&gt;=01_因子設定!$L$7-0.000000001,G2998&lt;=01_因子設定!$M$7+0.000000001,H2998&gt;=01_因子設定!$L$8-0.000000001,H2998&lt;=01_因子設定!$M$8+0.000000001,IF(01_因子設定!$B$20="Box-Behnken",E2998^2+F2998^2+G2998^2+H2998^2&lt;=2+0.000000001,TRUE()))</f>
        <v>1</v>
      </c>
      <c r="AD2998" s="55" t="n">
        <f aca="false">IF(AC2998,IF(01_因子設定!$B$13="最大化",AA2998-01_因子設定!$B$14,IF(01_因子設定!$B$13="最小化",01_因子設定!$B$15-AB2998,MIN(AA2998-01_因子設定!$B$14,01_因子設定!$B$15-AB2998))),-1E+030)</f>
        <v>-4.77249002080385</v>
      </c>
      <c r="AE2998" s="55" t="n">
        <f aca="false">IF(AC2998,IF(01_因子設定!$B$13="最大化",X2998,IF(01_因子設定!$B$13="最小化",-X2998,-ABS(X2998-01_因子設定!$B$16))),-1E+030)</f>
        <v>43.4218567251461</v>
      </c>
      <c r="AF2998" s="55" t="n">
        <f aca="false">AD2998+ROW()*0.000000001</f>
        <v>-4.77248702280385</v>
      </c>
      <c r="AG2998" s="55" t="n">
        <f aca="false">AE2998+ROW()*0.000000001</f>
        <v>43.4218597231461</v>
      </c>
    </row>
    <row r="2999" customFormat="false" ht="15" hidden="false" customHeight="false" outlineLevel="0" collapsed="false">
      <c r="A2999" s="0" t="n">
        <v>4</v>
      </c>
      <c r="B2999" s="0" t="n">
        <v>0</v>
      </c>
      <c r="C2999" s="0" t="n">
        <v>8</v>
      </c>
      <c r="D2999" s="0" t="n">
        <v>6</v>
      </c>
      <c r="E2999" s="0" t="n">
        <f aca="false">-1+A2999*0.25</f>
        <v>0</v>
      </c>
      <c r="F2999" s="0" t="n">
        <f aca="false">-1+B2999*0.25</f>
        <v>-1</v>
      </c>
      <c r="G2999" s="0" t="n">
        <f aca="false">-1+C2999*0.25</f>
        <v>1</v>
      </c>
      <c r="H2999" s="0" t="n">
        <f aca="false">-1+D2999*0.25</f>
        <v>0.5</v>
      </c>
      <c r="I2999" s="0" t="n">
        <f aca="false">1</f>
        <v>1</v>
      </c>
      <c r="J2999" s="0" t="n">
        <f aca="false">E2999</f>
        <v>0</v>
      </c>
      <c r="K2999" s="0" t="n">
        <f aca="false">F2999</f>
        <v>-1</v>
      </c>
      <c r="L2999" s="0" t="n">
        <f aca="false">G2999</f>
        <v>1</v>
      </c>
      <c r="M2999" s="0" t="n">
        <f aca="false">H2999</f>
        <v>0.5</v>
      </c>
      <c r="N2999" s="0" t="n">
        <f aca="false">E2999*F2999</f>
        <v>-0</v>
      </c>
      <c r="O2999" s="0" t="n">
        <f aca="false">E2999*G2999</f>
        <v>0</v>
      </c>
      <c r="P2999" s="0" t="n">
        <f aca="false">E2999*H2999</f>
        <v>0</v>
      </c>
      <c r="Q2999" s="0" t="n">
        <f aca="false">F2999*G2999</f>
        <v>-1</v>
      </c>
      <c r="R2999" s="0" t="n">
        <f aca="false">F2999*H2999</f>
        <v>-0.5</v>
      </c>
      <c r="S2999" s="0" t="n">
        <f aca="false">G2999*H2999</f>
        <v>0.5</v>
      </c>
      <c r="T2999" s="0" t="n">
        <f aca="false">E2999*E2999</f>
        <v>0</v>
      </c>
      <c r="U2999" s="0" t="n">
        <f aca="false">F2999*F2999</f>
        <v>1</v>
      </c>
      <c r="V2999" s="0" t="n">
        <f aca="false">G2999*G2999</f>
        <v>1</v>
      </c>
      <c r="W2999" s="0" t="n">
        <f aca="false">H2999*H2999</f>
        <v>0.25</v>
      </c>
      <c r="X2999" s="0" t="n">
        <f aca="false">SUMPRODUCT(I2999:W2999,_XtX!$B$96:$P$96)</f>
        <v>43.5765350877192</v>
      </c>
      <c r="Y2999" s="0" t="n">
        <f aca="false">SUMPRODUCT(MMULT(I2999:W2999,_XtX!$B$78:$P$92),I2999:W2999)</f>
        <v>0.650767543859649</v>
      </c>
      <c r="Z2999" s="0" t="n">
        <f aca="false">04_回帰ANOVA!$K$19*04_回帰ANOVA!$K$14*SQRT(1+Y2999)</f>
        <v>1.67471670935165</v>
      </c>
      <c r="AA2999" s="0" t="n">
        <f aca="false">X2999-Z2999</f>
        <v>41.9018183783676</v>
      </c>
      <c r="AB2999" s="0" t="n">
        <f aca="false">X2999+Z2999</f>
        <v>45.2512517970709</v>
      </c>
      <c r="AC2999" s="54" t="b">
        <f aca="false">AND(E2999&gt;=01_因子設定!$L$5-0.000000001,E2999&lt;=01_因子設定!$M$5+0.000000001,F2999&gt;=01_因子設定!$L$6-0.000000001,F2999&lt;=01_因子設定!$M$6+0.000000001,G2999&gt;=01_因子設定!$L$7-0.000000001,G2999&lt;=01_因子設定!$M$7+0.000000001,H2999&gt;=01_因子設定!$L$8-0.000000001,H2999&lt;=01_因子設定!$M$8+0.000000001,IF(01_因子設定!$B$20="Box-Behnken",E2999^2+F2999^2+G2999^2+H2999^2&lt;=2+0.000000001,TRUE()))</f>
        <v>1</v>
      </c>
      <c r="AD2999" s="55" t="n">
        <f aca="false">IF(AC2999,IF(01_因子設定!$B$13="最大化",AA2999-01_因子設定!$B$14,IF(01_因子設定!$B$13="最小化",01_因子設定!$B$15-AB2999,MIN(AA2999-01_因子設定!$B$14,01_因子設定!$B$15-AB2999))),-1E+030)</f>
        <v>-4.59818162163241</v>
      </c>
      <c r="AE2999" s="55" t="n">
        <f aca="false">IF(AC2999,IF(01_因子設定!$B$13="最大化",X2999,IF(01_因子設定!$B$13="最小化",-X2999,-ABS(X2999-01_因子設定!$B$16))),-1E+030)</f>
        <v>43.5765350877192</v>
      </c>
      <c r="AF2999" s="55" t="n">
        <f aca="false">AD2999+ROW()*0.000000001</f>
        <v>-4.59817862263241</v>
      </c>
      <c r="AG2999" s="55" t="n">
        <f aca="false">AE2999+ROW()*0.000000001</f>
        <v>43.5765380867192</v>
      </c>
    </row>
    <row r="3000" customFormat="false" ht="15" hidden="false" customHeight="false" outlineLevel="0" collapsed="false">
      <c r="A3000" s="0" t="n">
        <v>4</v>
      </c>
      <c r="B3000" s="0" t="n">
        <v>0</v>
      </c>
      <c r="C3000" s="0" t="n">
        <v>8</v>
      </c>
      <c r="D3000" s="0" t="n">
        <v>7</v>
      </c>
      <c r="E3000" s="0" t="n">
        <f aca="false">-1+A3000*0.25</f>
        <v>0</v>
      </c>
      <c r="F3000" s="0" t="n">
        <f aca="false">-1+B3000*0.25</f>
        <v>-1</v>
      </c>
      <c r="G3000" s="0" t="n">
        <f aca="false">-1+C3000*0.25</f>
        <v>1</v>
      </c>
      <c r="H3000" s="0" t="n">
        <f aca="false">-1+D3000*0.25</f>
        <v>0.75</v>
      </c>
      <c r="I3000" s="0" t="n">
        <f aca="false">1</f>
        <v>1</v>
      </c>
      <c r="J3000" s="0" t="n">
        <f aca="false">E3000</f>
        <v>0</v>
      </c>
      <c r="K3000" s="0" t="n">
        <f aca="false">F3000</f>
        <v>-1</v>
      </c>
      <c r="L3000" s="0" t="n">
        <f aca="false">G3000</f>
        <v>1</v>
      </c>
      <c r="M3000" s="0" t="n">
        <f aca="false">H3000</f>
        <v>0.75</v>
      </c>
      <c r="N3000" s="0" t="n">
        <f aca="false">E3000*F3000</f>
        <v>-0</v>
      </c>
      <c r="O3000" s="0" t="n">
        <f aca="false">E3000*G3000</f>
        <v>0</v>
      </c>
      <c r="P3000" s="0" t="n">
        <f aca="false">E3000*H3000</f>
        <v>0</v>
      </c>
      <c r="Q3000" s="0" t="n">
        <f aca="false">F3000*G3000</f>
        <v>-1</v>
      </c>
      <c r="R3000" s="0" t="n">
        <f aca="false">F3000*H3000</f>
        <v>-0.75</v>
      </c>
      <c r="S3000" s="0" t="n">
        <f aca="false">G3000*H3000</f>
        <v>0.75</v>
      </c>
      <c r="T3000" s="0" t="n">
        <f aca="false">E3000*E3000</f>
        <v>0</v>
      </c>
      <c r="U3000" s="0" t="n">
        <f aca="false">F3000*F3000</f>
        <v>1</v>
      </c>
      <c r="V3000" s="0" t="n">
        <f aca="false">G3000*G3000</f>
        <v>1</v>
      </c>
      <c r="W3000" s="0" t="n">
        <f aca="false">H3000*H3000</f>
        <v>0.5625</v>
      </c>
      <c r="X3000" s="0" t="n">
        <f aca="false">SUMPRODUCT(I3000:W3000,_XtX!$B$96:$P$96)</f>
        <v>43.6834064327485</v>
      </c>
      <c r="Y3000" s="0" t="n">
        <f aca="false">SUMPRODUCT(MMULT(I3000:W3000,_XtX!$B$78:$P$92),I3000:W3000)</f>
        <v>0.646198830409357</v>
      </c>
      <c r="Z3000" s="0" t="n">
        <f aca="false">04_回帰ANOVA!$K$19*04_回帰ANOVA!$K$14*SQRT(1+Y3000)</f>
        <v>1.67239760569756</v>
      </c>
      <c r="AA3000" s="0" t="n">
        <f aca="false">X3000-Z3000</f>
        <v>42.0110088270509</v>
      </c>
      <c r="AB3000" s="0" t="n">
        <f aca="false">X3000+Z3000</f>
        <v>45.3558040384461</v>
      </c>
      <c r="AC3000" s="54" t="b">
        <f aca="false">AND(E3000&gt;=01_因子設定!$L$5-0.000000001,E3000&lt;=01_因子設定!$M$5+0.000000001,F3000&gt;=01_因子設定!$L$6-0.000000001,F3000&lt;=01_因子設定!$M$6+0.000000001,G3000&gt;=01_因子設定!$L$7-0.000000001,G3000&lt;=01_因子設定!$M$7+0.000000001,H3000&gt;=01_因子設定!$L$8-0.000000001,H3000&lt;=01_因子設定!$M$8+0.000000001,IF(01_因子設定!$B$20="Box-Behnken",E3000^2+F3000^2+G3000^2+H3000^2&lt;=2+0.000000001,TRUE()))</f>
        <v>1</v>
      </c>
      <c r="AD3000" s="55" t="n">
        <f aca="false">IF(AC3000,IF(01_因子設定!$B$13="最大化",AA3000-01_因子設定!$B$14,IF(01_因子設定!$B$13="最小化",01_因子設定!$B$15-AB3000,MIN(AA3000-01_因子設定!$B$14,01_因子設定!$B$15-AB3000))),-1E+030)</f>
        <v>-4.48899117294906</v>
      </c>
      <c r="AE3000" s="55" t="n">
        <f aca="false">IF(AC3000,IF(01_因子設定!$B$13="最大化",X3000,IF(01_因子設定!$B$13="最小化",-X3000,-ABS(X3000-01_因子設定!$B$16))),-1E+030)</f>
        <v>43.6834064327485</v>
      </c>
      <c r="AF3000" s="55" t="n">
        <f aca="false">AD3000+ROW()*0.000000001</f>
        <v>-4.48898817294906</v>
      </c>
      <c r="AG3000" s="55" t="n">
        <f aca="false">AE3000+ROW()*0.000000001</f>
        <v>43.6834094327485</v>
      </c>
    </row>
    <row r="3001" customFormat="false" ht="15" hidden="false" customHeight="false" outlineLevel="0" collapsed="false">
      <c r="A3001" s="0" t="n">
        <v>4</v>
      </c>
      <c r="B3001" s="0" t="n">
        <v>0</v>
      </c>
      <c r="C3001" s="0" t="n">
        <v>8</v>
      </c>
      <c r="D3001" s="0" t="n">
        <v>8</v>
      </c>
      <c r="E3001" s="0" t="n">
        <f aca="false">-1+A3001*0.25</f>
        <v>0</v>
      </c>
      <c r="F3001" s="0" t="n">
        <f aca="false">-1+B3001*0.25</f>
        <v>-1</v>
      </c>
      <c r="G3001" s="0" t="n">
        <f aca="false">-1+C3001*0.25</f>
        <v>1</v>
      </c>
      <c r="H3001" s="0" t="n">
        <f aca="false">-1+D3001*0.25</f>
        <v>1</v>
      </c>
      <c r="I3001" s="0" t="n">
        <f aca="false">1</f>
        <v>1</v>
      </c>
      <c r="J3001" s="0" t="n">
        <f aca="false">E3001</f>
        <v>0</v>
      </c>
      <c r="K3001" s="0" t="n">
        <f aca="false">F3001</f>
        <v>-1</v>
      </c>
      <c r="L3001" s="0" t="n">
        <f aca="false">G3001</f>
        <v>1</v>
      </c>
      <c r="M3001" s="0" t="n">
        <f aca="false">H3001</f>
        <v>1</v>
      </c>
      <c r="N3001" s="0" t="n">
        <f aca="false">E3001*F3001</f>
        <v>-0</v>
      </c>
      <c r="O3001" s="0" t="n">
        <f aca="false">E3001*G3001</f>
        <v>0</v>
      </c>
      <c r="P3001" s="0" t="n">
        <f aca="false">E3001*H3001</f>
        <v>0</v>
      </c>
      <c r="Q3001" s="0" t="n">
        <f aca="false">F3001*G3001</f>
        <v>-1</v>
      </c>
      <c r="R3001" s="0" t="n">
        <f aca="false">F3001*H3001</f>
        <v>-1</v>
      </c>
      <c r="S3001" s="0" t="n">
        <f aca="false">G3001*H3001</f>
        <v>1</v>
      </c>
      <c r="T3001" s="0" t="n">
        <f aca="false">E3001*E3001</f>
        <v>0</v>
      </c>
      <c r="U3001" s="0" t="n">
        <f aca="false">F3001*F3001</f>
        <v>1</v>
      </c>
      <c r="V3001" s="0" t="n">
        <f aca="false">G3001*G3001</f>
        <v>1</v>
      </c>
      <c r="W3001" s="0" t="n">
        <f aca="false">H3001*H3001</f>
        <v>1</v>
      </c>
      <c r="X3001" s="0" t="n">
        <f aca="false">SUMPRODUCT(I3001:W3001,_XtX!$B$96:$P$96)</f>
        <v>43.7424707602339</v>
      </c>
      <c r="Y3001" s="0" t="n">
        <f aca="false">SUMPRODUCT(MMULT(I3001:W3001,_XtX!$B$78:$P$92),I3001:W3001)</f>
        <v>0.766447368421053</v>
      </c>
      <c r="Z3001" s="0" t="n">
        <f aca="false">04_回帰ANOVA!$K$19*04_回帰ANOVA!$K$14*SQRT(1+Y3001)</f>
        <v>1.7324022685743</v>
      </c>
      <c r="AA3001" s="0" t="n">
        <f aca="false">X3001-Z3001</f>
        <v>42.0100684916596</v>
      </c>
      <c r="AB3001" s="0" t="n">
        <f aca="false">X3001+Z3001</f>
        <v>45.4748730288082</v>
      </c>
      <c r="AC3001" s="54" t="b">
        <f aca="false">AND(E3001&gt;=01_因子設定!$L$5-0.000000001,E3001&lt;=01_因子設定!$M$5+0.000000001,F3001&gt;=01_因子設定!$L$6-0.000000001,F3001&lt;=01_因子設定!$M$6+0.000000001,G3001&gt;=01_因子設定!$L$7-0.000000001,G3001&lt;=01_因子設定!$M$7+0.000000001,H3001&gt;=01_因子設定!$L$8-0.000000001,H3001&lt;=01_因子設定!$M$8+0.000000001,IF(01_因子設定!$B$20="Box-Behnken",E3001^2+F3001^2+G3001^2+H3001^2&lt;=2+0.000000001,TRUE()))</f>
        <v>1</v>
      </c>
      <c r="AD3001" s="55" t="n">
        <f aca="false">IF(AC3001,IF(01_因子設定!$B$13="最大化",AA3001-01_因子設定!$B$14,IF(01_因子設定!$B$13="最小化",01_因子設定!$B$15-AB3001,MIN(AA3001-01_因子設定!$B$14,01_因子設定!$B$15-AB3001))),-1E+030)</f>
        <v>-4.48993150834041</v>
      </c>
      <c r="AE3001" s="55" t="n">
        <f aca="false">IF(AC3001,IF(01_因子設定!$B$13="最大化",X3001,IF(01_因子設定!$B$13="最小化",-X3001,-ABS(X3001-01_因子設定!$B$16))),-1E+030)</f>
        <v>43.7424707602339</v>
      </c>
      <c r="AF3001" s="55" t="n">
        <f aca="false">AD3001+ROW()*0.000000001</f>
        <v>-4.48992850734041</v>
      </c>
      <c r="AG3001" s="55" t="n">
        <f aca="false">AE3001+ROW()*0.000000001</f>
        <v>43.7424737612339</v>
      </c>
    </row>
    <row r="3002" customFormat="false" ht="15" hidden="false" customHeight="false" outlineLevel="0" collapsed="false">
      <c r="A3002" s="0" t="n">
        <v>4</v>
      </c>
      <c r="B3002" s="0" t="n">
        <v>1</v>
      </c>
      <c r="C3002" s="0" t="n">
        <v>0</v>
      </c>
      <c r="D3002" s="0" t="n">
        <v>0</v>
      </c>
      <c r="E3002" s="0" t="n">
        <f aca="false">-1+A3002*0.25</f>
        <v>0</v>
      </c>
      <c r="F3002" s="0" t="n">
        <f aca="false">-1+B3002*0.25</f>
        <v>-0.75</v>
      </c>
      <c r="G3002" s="0" t="n">
        <f aca="false">-1+C3002*0.25</f>
        <v>-1</v>
      </c>
      <c r="H3002" s="0" t="n">
        <f aca="false">-1+D3002*0.25</f>
        <v>-1</v>
      </c>
      <c r="I3002" s="0" t="n">
        <f aca="false">1</f>
        <v>1</v>
      </c>
      <c r="J3002" s="0" t="n">
        <f aca="false">E3002</f>
        <v>0</v>
      </c>
      <c r="K3002" s="0" t="n">
        <f aca="false">F3002</f>
        <v>-0.75</v>
      </c>
      <c r="L3002" s="0" t="n">
        <f aca="false">G3002</f>
        <v>-1</v>
      </c>
      <c r="M3002" s="0" t="n">
        <f aca="false">H3002</f>
        <v>-1</v>
      </c>
      <c r="N3002" s="0" t="n">
        <f aca="false">E3002*F3002</f>
        <v>-0</v>
      </c>
      <c r="O3002" s="0" t="n">
        <f aca="false">E3002*G3002</f>
        <v>-0</v>
      </c>
      <c r="P3002" s="0" t="n">
        <f aca="false">E3002*H3002</f>
        <v>-0</v>
      </c>
      <c r="Q3002" s="0" t="n">
        <f aca="false">F3002*G3002</f>
        <v>0.75</v>
      </c>
      <c r="R3002" s="0" t="n">
        <f aca="false">F3002*H3002</f>
        <v>0.75</v>
      </c>
      <c r="S3002" s="0" t="n">
        <f aca="false">G3002*H3002</f>
        <v>1</v>
      </c>
      <c r="T3002" s="0" t="n">
        <f aca="false">E3002*E3002</f>
        <v>0</v>
      </c>
      <c r="U3002" s="0" t="n">
        <f aca="false">F3002*F3002</f>
        <v>0.5625</v>
      </c>
      <c r="V3002" s="0" t="n">
        <f aca="false">G3002*G3002</f>
        <v>1</v>
      </c>
      <c r="W3002" s="0" t="n">
        <f aca="false">H3002*H3002</f>
        <v>1</v>
      </c>
      <c r="X3002" s="0" t="n">
        <f aca="false">SUMPRODUCT(I3002:W3002,_XtX!$B$96:$P$96)</f>
        <v>42.7931286549707</v>
      </c>
      <c r="Y3002" s="0" t="n">
        <f aca="false">SUMPRODUCT(MMULT(I3002:W3002,_XtX!$B$78:$P$92),I3002:W3002)</f>
        <v>0.646198830409357</v>
      </c>
      <c r="Z3002" s="0" t="n">
        <f aca="false">04_回帰ANOVA!$K$19*04_回帰ANOVA!$K$14*SQRT(1+Y3002)</f>
        <v>1.67239760569756</v>
      </c>
      <c r="AA3002" s="0" t="n">
        <f aca="false">X3002-Z3002</f>
        <v>41.1207310492732</v>
      </c>
      <c r="AB3002" s="0" t="n">
        <f aca="false">X3002+Z3002</f>
        <v>44.4655262606683</v>
      </c>
      <c r="AC3002" s="54" t="b">
        <f aca="false">AND(E3002&gt;=01_因子設定!$L$5-0.000000001,E3002&lt;=01_因子設定!$M$5+0.000000001,F3002&gt;=01_因子設定!$L$6-0.000000001,F3002&lt;=01_因子設定!$M$6+0.000000001,G3002&gt;=01_因子設定!$L$7-0.000000001,G3002&lt;=01_因子設定!$M$7+0.000000001,H3002&gt;=01_因子設定!$L$8-0.000000001,H3002&lt;=01_因子設定!$M$8+0.000000001,IF(01_因子設定!$B$20="Box-Behnken",E3002^2+F3002^2+G3002^2+H3002^2&lt;=2+0.000000001,TRUE()))</f>
        <v>1</v>
      </c>
      <c r="AD3002" s="55" t="n">
        <f aca="false">IF(AC3002,IF(01_因子設定!$B$13="最大化",AA3002-01_因子設定!$B$14,IF(01_因子設定!$B$13="最小化",01_因子設定!$B$15-AB3002,MIN(AA3002-01_因子設定!$B$14,01_因子設定!$B$15-AB3002))),-1E+030)</f>
        <v>-5.37926895072682</v>
      </c>
      <c r="AE3002" s="55" t="n">
        <f aca="false">IF(AC3002,IF(01_因子設定!$B$13="最大化",X3002,IF(01_因子設定!$B$13="最小化",-X3002,-ABS(X3002-01_因子設定!$B$16))),-1E+030)</f>
        <v>42.7931286549707</v>
      </c>
      <c r="AF3002" s="55" t="n">
        <f aca="false">AD3002+ROW()*0.000000001</f>
        <v>-5.37926594872682</v>
      </c>
      <c r="AG3002" s="55" t="n">
        <f aca="false">AE3002+ROW()*0.000000001</f>
        <v>42.7931316569707</v>
      </c>
    </row>
    <row r="3003" customFormat="false" ht="15" hidden="false" customHeight="false" outlineLevel="0" collapsed="false">
      <c r="A3003" s="0" t="n">
        <v>4</v>
      </c>
      <c r="B3003" s="0" t="n">
        <v>1</v>
      </c>
      <c r="C3003" s="0" t="n">
        <v>0</v>
      </c>
      <c r="D3003" s="0" t="n">
        <v>1</v>
      </c>
      <c r="E3003" s="0" t="n">
        <f aca="false">-1+A3003*0.25</f>
        <v>0</v>
      </c>
      <c r="F3003" s="0" t="n">
        <f aca="false">-1+B3003*0.25</f>
        <v>-0.75</v>
      </c>
      <c r="G3003" s="0" t="n">
        <f aca="false">-1+C3003*0.25</f>
        <v>-1</v>
      </c>
      <c r="H3003" s="0" t="n">
        <f aca="false">-1+D3003*0.25</f>
        <v>-0.75</v>
      </c>
      <c r="I3003" s="0" t="n">
        <f aca="false">1</f>
        <v>1</v>
      </c>
      <c r="J3003" s="0" t="n">
        <f aca="false">E3003</f>
        <v>0</v>
      </c>
      <c r="K3003" s="0" t="n">
        <f aca="false">F3003</f>
        <v>-0.75</v>
      </c>
      <c r="L3003" s="0" t="n">
        <f aca="false">G3003</f>
        <v>-1</v>
      </c>
      <c r="M3003" s="0" t="n">
        <f aca="false">H3003</f>
        <v>-0.75</v>
      </c>
      <c r="N3003" s="0" t="n">
        <f aca="false">E3003*F3003</f>
        <v>-0</v>
      </c>
      <c r="O3003" s="0" t="n">
        <f aca="false">E3003*G3003</f>
        <v>-0</v>
      </c>
      <c r="P3003" s="0" t="n">
        <f aca="false">E3003*H3003</f>
        <v>-0</v>
      </c>
      <c r="Q3003" s="0" t="n">
        <f aca="false">F3003*G3003</f>
        <v>0.75</v>
      </c>
      <c r="R3003" s="0" t="n">
        <f aca="false">F3003*H3003</f>
        <v>0.5625</v>
      </c>
      <c r="S3003" s="0" t="n">
        <f aca="false">G3003*H3003</f>
        <v>0.75</v>
      </c>
      <c r="T3003" s="0" t="n">
        <f aca="false">E3003*E3003</f>
        <v>0</v>
      </c>
      <c r="U3003" s="0" t="n">
        <f aca="false">F3003*F3003</f>
        <v>0.5625</v>
      </c>
      <c r="V3003" s="0" t="n">
        <f aca="false">G3003*G3003</f>
        <v>1</v>
      </c>
      <c r="W3003" s="0" t="n">
        <f aca="false">H3003*H3003</f>
        <v>0.5625</v>
      </c>
      <c r="X3003" s="0" t="n">
        <f aca="false">SUMPRODUCT(I3003:W3003,_XtX!$B$96:$P$96)</f>
        <v>43.0298108552631</v>
      </c>
      <c r="Y3003" s="0" t="n">
        <f aca="false">SUMPRODUCT(MMULT(I3003:W3003,_XtX!$B$78:$P$92),I3003:W3003)</f>
        <v>0.494259126005117</v>
      </c>
      <c r="Z3003" s="0" t="n">
        <f aca="false">04_回帰ANOVA!$K$19*04_回帰ANOVA!$K$14*SQRT(1+Y3003)</f>
        <v>1.59335061078203</v>
      </c>
      <c r="AA3003" s="0" t="n">
        <f aca="false">X3003-Z3003</f>
        <v>41.4364602444811</v>
      </c>
      <c r="AB3003" s="0" t="n">
        <f aca="false">X3003+Z3003</f>
        <v>44.6231614660451</v>
      </c>
      <c r="AC3003" s="54" t="b">
        <f aca="false">AND(E3003&gt;=01_因子設定!$L$5-0.000000001,E3003&lt;=01_因子設定!$M$5+0.000000001,F3003&gt;=01_因子設定!$L$6-0.000000001,F3003&lt;=01_因子設定!$M$6+0.000000001,G3003&gt;=01_因子設定!$L$7-0.000000001,G3003&lt;=01_因子設定!$M$7+0.000000001,H3003&gt;=01_因子設定!$L$8-0.000000001,H3003&lt;=01_因子設定!$M$8+0.000000001,IF(01_因子設定!$B$20="Box-Behnken",E3003^2+F3003^2+G3003^2+H3003^2&lt;=2+0.000000001,TRUE()))</f>
        <v>1</v>
      </c>
      <c r="AD3003" s="55" t="n">
        <f aca="false">IF(AC3003,IF(01_因子設定!$B$13="最大化",AA3003-01_因子設定!$B$14,IF(01_因子設定!$B$13="最小化",01_因子設定!$B$15-AB3003,MIN(AA3003-01_因子設定!$B$14,01_因子設定!$B$15-AB3003))),-1E+030)</f>
        <v>-5.06353975551891</v>
      </c>
      <c r="AE3003" s="55" t="n">
        <f aca="false">IF(AC3003,IF(01_因子設定!$B$13="最大化",X3003,IF(01_因子設定!$B$13="最小化",-X3003,-ABS(X3003-01_因子設定!$B$16))),-1E+030)</f>
        <v>43.0298108552631</v>
      </c>
      <c r="AF3003" s="55" t="n">
        <f aca="false">AD3003+ROW()*0.000000001</f>
        <v>-5.06353675251891</v>
      </c>
      <c r="AG3003" s="55" t="n">
        <f aca="false">AE3003+ROW()*0.000000001</f>
        <v>43.0298138582631</v>
      </c>
    </row>
    <row r="3004" customFormat="false" ht="15" hidden="false" customHeight="false" outlineLevel="0" collapsed="false">
      <c r="A3004" s="0" t="n">
        <v>4</v>
      </c>
      <c r="B3004" s="0" t="n">
        <v>1</v>
      </c>
      <c r="C3004" s="0" t="n">
        <v>0</v>
      </c>
      <c r="D3004" s="0" t="n">
        <v>2</v>
      </c>
      <c r="E3004" s="0" t="n">
        <f aca="false">-1+A3004*0.25</f>
        <v>0</v>
      </c>
      <c r="F3004" s="0" t="n">
        <f aca="false">-1+B3004*0.25</f>
        <v>-0.75</v>
      </c>
      <c r="G3004" s="0" t="n">
        <f aca="false">-1+C3004*0.25</f>
        <v>-1</v>
      </c>
      <c r="H3004" s="0" t="n">
        <f aca="false">-1+D3004*0.25</f>
        <v>-0.5</v>
      </c>
      <c r="I3004" s="0" t="n">
        <f aca="false">1</f>
        <v>1</v>
      </c>
      <c r="J3004" s="0" t="n">
        <f aca="false">E3004</f>
        <v>0</v>
      </c>
      <c r="K3004" s="0" t="n">
        <f aca="false">F3004</f>
        <v>-0.75</v>
      </c>
      <c r="L3004" s="0" t="n">
        <f aca="false">G3004</f>
        <v>-1</v>
      </c>
      <c r="M3004" s="0" t="n">
        <f aca="false">H3004</f>
        <v>-0.5</v>
      </c>
      <c r="N3004" s="0" t="n">
        <f aca="false">E3004*F3004</f>
        <v>-0</v>
      </c>
      <c r="O3004" s="0" t="n">
        <f aca="false">E3004*G3004</f>
        <v>-0</v>
      </c>
      <c r="P3004" s="0" t="n">
        <f aca="false">E3004*H3004</f>
        <v>-0</v>
      </c>
      <c r="Q3004" s="0" t="n">
        <f aca="false">F3004*G3004</f>
        <v>0.75</v>
      </c>
      <c r="R3004" s="0" t="n">
        <f aca="false">F3004*H3004</f>
        <v>0.375</v>
      </c>
      <c r="S3004" s="0" t="n">
        <f aca="false">G3004*H3004</f>
        <v>0.5</v>
      </c>
      <c r="T3004" s="0" t="n">
        <f aca="false">E3004*E3004</f>
        <v>0</v>
      </c>
      <c r="U3004" s="0" t="n">
        <f aca="false">F3004*F3004</f>
        <v>0.5625</v>
      </c>
      <c r="V3004" s="0" t="n">
        <f aca="false">G3004*G3004</f>
        <v>1</v>
      </c>
      <c r="W3004" s="0" t="n">
        <f aca="false">H3004*H3004</f>
        <v>0.25</v>
      </c>
      <c r="X3004" s="0" t="n">
        <f aca="false">SUMPRODUCT(I3004:W3004,_XtX!$B$96:$P$96)</f>
        <v>43.2186860380116</v>
      </c>
      <c r="Y3004" s="0" t="n">
        <f aca="false">SUMPRODUCT(MMULT(I3004:W3004,_XtX!$B$78:$P$92),I3004:W3004)</f>
        <v>0.476191292032164</v>
      </c>
      <c r="Z3004" s="0" t="n">
        <f aca="false">04_回帰ANOVA!$K$19*04_回帰ANOVA!$K$14*SQRT(1+Y3004)</f>
        <v>1.58368831471718</v>
      </c>
      <c r="AA3004" s="0" t="n">
        <f aca="false">X3004-Z3004</f>
        <v>41.6349977232945</v>
      </c>
      <c r="AB3004" s="0" t="n">
        <f aca="false">X3004+Z3004</f>
        <v>44.8023743527288</v>
      </c>
      <c r="AC3004" s="54" t="b">
        <f aca="false">AND(E3004&gt;=01_因子設定!$L$5-0.000000001,E3004&lt;=01_因子設定!$M$5+0.000000001,F3004&gt;=01_因子設定!$L$6-0.000000001,F3004&lt;=01_因子設定!$M$6+0.000000001,G3004&gt;=01_因子設定!$L$7-0.000000001,G3004&lt;=01_因子設定!$M$7+0.000000001,H3004&gt;=01_因子設定!$L$8-0.000000001,H3004&lt;=01_因子設定!$M$8+0.000000001,IF(01_因子設定!$B$20="Box-Behnken",E3004^2+F3004^2+G3004^2+H3004^2&lt;=2+0.000000001,TRUE()))</f>
        <v>1</v>
      </c>
      <c r="AD3004" s="55" t="n">
        <f aca="false">IF(AC3004,IF(01_因子設定!$B$13="最大化",AA3004-01_因子設定!$B$14,IF(01_因子設定!$B$13="最小化",01_因子設定!$B$15-AB3004,MIN(AA3004-01_因子設定!$B$14,01_因子設定!$B$15-AB3004))),-1E+030)</f>
        <v>-4.86500227670554</v>
      </c>
      <c r="AE3004" s="55" t="n">
        <f aca="false">IF(AC3004,IF(01_因子設定!$B$13="最大化",X3004,IF(01_因子設定!$B$13="最小化",-X3004,-ABS(X3004-01_因子設定!$B$16))),-1E+030)</f>
        <v>43.2186860380116</v>
      </c>
      <c r="AF3004" s="55" t="n">
        <f aca="false">AD3004+ROW()*0.000000001</f>
        <v>-4.86499927270554</v>
      </c>
      <c r="AG3004" s="55" t="n">
        <f aca="false">AE3004+ROW()*0.000000001</f>
        <v>43.2186890420116</v>
      </c>
    </row>
    <row r="3005" customFormat="false" ht="15" hidden="false" customHeight="false" outlineLevel="0" collapsed="false">
      <c r="A3005" s="0" t="n">
        <v>4</v>
      </c>
      <c r="B3005" s="0" t="n">
        <v>1</v>
      </c>
      <c r="C3005" s="0" t="n">
        <v>0</v>
      </c>
      <c r="D3005" s="0" t="n">
        <v>3</v>
      </c>
      <c r="E3005" s="0" t="n">
        <f aca="false">-1+A3005*0.25</f>
        <v>0</v>
      </c>
      <c r="F3005" s="0" t="n">
        <f aca="false">-1+B3005*0.25</f>
        <v>-0.75</v>
      </c>
      <c r="G3005" s="0" t="n">
        <f aca="false">-1+C3005*0.25</f>
        <v>-1</v>
      </c>
      <c r="H3005" s="0" t="n">
        <f aca="false">-1+D3005*0.25</f>
        <v>-0.25</v>
      </c>
      <c r="I3005" s="0" t="n">
        <f aca="false">1</f>
        <v>1</v>
      </c>
      <c r="J3005" s="0" t="n">
        <f aca="false">E3005</f>
        <v>0</v>
      </c>
      <c r="K3005" s="0" t="n">
        <f aca="false">F3005</f>
        <v>-0.75</v>
      </c>
      <c r="L3005" s="0" t="n">
        <f aca="false">G3005</f>
        <v>-1</v>
      </c>
      <c r="M3005" s="0" t="n">
        <f aca="false">H3005</f>
        <v>-0.25</v>
      </c>
      <c r="N3005" s="0" t="n">
        <f aca="false">E3005*F3005</f>
        <v>-0</v>
      </c>
      <c r="O3005" s="0" t="n">
        <f aca="false">E3005*G3005</f>
        <v>-0</v>
      </c>
      <c r="P3005" s="0" t="n">
        <f aca="false">E3005*H3005</f>
        <v>-0</v>
      </c>
      <c r="Q3005" s="0" t="n">
        <f aca="false">F3005*G3005</f>
        <v>0.75</v>
      </c>
      <c r="R3005" s="0" t="n">
        <f aca="false">F3005*H3005</f>
        <v>0.1875</v>
      </c>
      <c r="S3005" s="0" t="n">
        <f aca="false">G3005*H3005</f>
        <v>0.25</v>
      </c>
      <c r="T3005" s="0" t="n">
        <f aca="false">E3005*E3005</f>
        <v>0</v>
      </c>
      <c r="U3005" s="0" t="n">
        <f aca="false">F3005*F3005</f>
        <v>0.5625</v>
      </c>
      <c r="V3005" s="0" t="n">
        <f aca="false">G3005*G3005</f>
        <v>1</v>
      </c>
      <c r="W3005" s="0" t="n">
        <f aca="false">H3005*H3005</f>
        <v>0.0625</v>
      </c>
      <c r="X3005" s="0" t="n">
        <f aca="false">SUMPRODUCT(I3005:W3005,_XtX!$B$96:$P$96)</f>
        <v>43.3597542032163</v>
      </c>
      <c r="Y3005" s="0" t="n">
        <f aca="false">SUMPRODUCT(MMULT(I3005:W3005,_XtX!$B$78:$P$92),I3005:W3005)</f>
        <v>0.501534802174708</v>
      </c>
      <c r="Z3005" s="0" t="n">
        <f aca="false">04_回帰ANOVA!$K$19*04_回帰ANOVA!$K$14*SQRT(1+Y3005)</f>
        <v>1.59722498091333</v>
      </c>
      <c r="AA3005" s="0" t="n">
        <f aca="false">X3005-Z3005</f>
        <v>41.762529222303</v>
      </c>
      <c r="AB3005" s="0" t="n">
        <f aca="false">X3005+Z3005</f>
        <v>44.9569791841296</v>
      </c>
      <c r="AC3005" s="54" t="b">
        <f aca="false">AND(E3005&gt;=01_因子設定!$L$5-0.000000001,E3005&lt;=01_因子設定!$M$5+0.000000001,F3005&gt;=01_因子設定!$L$6-0.000000001,F3005&lt;=01_因子設定!$M$6+0.000000001,G3005&gt;=01_因子設定!$L$7-0.000000001,G3005&lt;=01_因子設定!$M$7+0.000000001,H3005&gt;=01_因子設定!$L$8-0.000000001,H3005&lt;=01_因子設定!$M$8+0.000000001,IF(01_因子設定!$B$20="Box-Behnken",E3005^2+F3005^2+G3005^2+H3005^2&lt;=2+0.000000001,TRUE()))</f>
        <v>1</v>
      </c>
      <c r="AD3005" s="55" t="n">
        <f aca="false">IF(AC3005,IF(01_因子設定!$B$13="最大化",AA3005-01_因子設定!$B$14,IF(01_因子設定!$B$13="最小化",01_因子設定!$B$15-AB3005,MIN(AA3005-01_因子設定!$B$14,01_因子設定!$B$15-AB3005))),-1E+030)</f>
        <v>-4.73747077769702</v>
      </c>
      <c r="AE3005" s="55" t="n">
        <f aca="false">IF(AC3005,IF(01_因子設定!$B$13="最大化",X3005,IF(01_因子設定!$B$13="最小化",-X3005,-ABS(X3005-01_因子設定!$B$16))),-1E+030)</f>
        <v>43.3597542032163</v>
      </c>
      <c r="AF3005" s="55" t="n">
        <f aca="false">AD3005+ROW()*0.000000001</f>
        <v>-4.73746777269702</v>
      </c>
      <c r="AG3005" s="55" t="n">
        <f aca="false">AE3005+ROW()*0.000000001</f>
        <v>43.3597572082163</v>
      </c>
    </row>
    <row r="3006" customFormat="false" ht="15" hidden="false" customHeight="false" outlineLevel="0" collapsed="false">
      <c r="A3006" s="0" t="n">
        <v>4</v>
      </c>
      <c r="B3006" s="0" t="n">
        <v>1</v>
      </c>
      <c r="C3006" s="0" t="n">
        <v>0</v>
      </c>
      <c r="D3006" s="0" t="n">
        <v>4</v>
      </c>
      <c r="E3006" s="0" t="n">
        <f aca="false">-1+A3006*0.25</f>
        <v>0</v>
      </c>
      <c r="F3006" s="0" t="n">
        <f aca="false">-1+B3006*0.25</f>
        <v>-0.75</v>
      </c>
      <c r="G3006" s="0" t="n">
        <f aca="false">-1+C3006*0.25</f>
        <v>-1</v>
      </c>
      <c r="H3006" s="0" t="n">
        <f aca="false">-1+D3006*0.25</f>
        <v>0</v>
      </c>
      <c r="I3006" s="0" t="n">
        <f aca="false">1</f>
        <v>1</v>
      </c>
      <c r="J3006" s="0" t="n">
        <f aca="false">E3006</f>
        <v>0</v>
      </c>
      <c r="K3006" s="0" t="n">
        <f aca="false">F3006</f>
        <v>-0.75</v>
      </c>
      <c r="L3006" s="0" t="n">
        <f aca="false">G3006</f>
        <v>-1</v>
      </c>
      <c r="M3006" s="0" t="n">
        <f aca="false">H3006</f>
        <v>0</v>
      </c>
      <c r="N3006" s="0" t="n">
        <f aca="false">E3006*F3006</f>
        <v>-0</v>
      </c>
      <c r="O3006" s="0" t="n">
        <f aca="false">E3006*G3006</f>
        <v>-0</v>
      </c>
      <c r="P3006" s="0" t="n">
        <f aca="false">E3006*H3006</f>
        <v>0</v>
      </c>
      <c r="Q3006" s="0" t="n">
        <f aca="false">F3006*G3006</f>
        <v>0.75</v>
      </c>
      <c r="R3006" s="0" t="n">
        <f aca="false">F3006*H3006</f>
        <v>-0</v>
      </c>
      <c r="S3006" s="0" t="n">
        <f aca="false">G3006*H3006</f>
        <v>-0</v>
      </c>
      <c r="T3006" s="0" t="n">
        <f aca="false">E3006*E3006</f>
        <v>0</v>
      </c>
      <c r="U3006" s="0" t="n">
        <f aca="false">F3006*F3006</f>
        <v>0.5625</v>
      </c>
      <c r="V3006" s="0" t="n">
        <f aca="false">G3006*G3006</f>
        <v>1</v>
      </c>
      <c r="W3006" s="0" t="n">
        <f aca="false">H3006*H3006</f>
        <v>0</v>
      </c>
      <c r="X3006" s="0" t="n">
        <f aca="false">SUMPRODUCT(I3006:W3006,_XtX!$B$96:$P$96)</f>
        <v>43.4530153508771</v>
      </c>
      <c r="Y3006" s="0" t="n">
        <f aca="false">SUMPRODUCT(MMULT(I3006:W3006,_XtX!$B$78:$P$92),I3006:W3006)</f>
        <v>0.516013340643275</v>
      </c>
      <c r="Z3006" s="0" t="n">
        <f aca="false">04_回帰ANOVA!$K$19*04_回帰ANOVA!$K$14*SQRT(1+Y3006)</f>
        <v>1.60490712175667</v>
      </c>
      <c r="AA3006" s="0" t="n">
        <f aca="false">X3006-Z3006</f>
        <v>41.8481082291205</v>
      </c>
      <c r="AB3006" s="0" t="n">
        <f aca="false">X3006+Z3006</f>
        <v>45.0579224726338</v>
      </c>
      <c r="AC3006" s="54" t="b">
        <f aca="false">AND(E3006&gt;=01_因子設定!$L$5-0.000000001,E3006&lt;=01_因子設定!$M$5+0.000000001,F3006&gt;=01_因子設定!$L$6-0.000000001,F3006&lt;=01_因子設定!$M$6+0.000000001,G3006&gt;=01_因子設定!$L$7-0.000000001,G3006&lt;=01_因子設定!$M$7+0.000000001,H3006&gt;=01_因子設定!$L$8-0.000000001,H3006&lt;=01_因子設定!$M$8+0.000000001,IF(01_因子設定!$B$20="Box-Behnken",E3006^2+F3006^2+G3006^2+H3006^2&lt;=2+0.000000001,TRUE()))</f>
        <v>1</v>
      </c>
      <c r="AD3006" s="55" t="n">
        <f aca="false">IF(AC3006,IF(01_因子設定!$B$13="最大化",AA3006-01_因子設定!$B$14,IF(01_因子設定!$B$13="最小化",01_因子設定!$B$15-AB3006,MIN(AA3006-01_因子設定!$B$14,01_因子設定!$B$15-AB3006))),-1E+030)</f>
        <v>-4.65189177087954</v>
      </c>
      <c r="AE3006" s="55" t="n">
        <f aca="false">IF(AC3006,IF(01_因子設定!$B$13="最大化",X3006,IF(01_因子設定!$B$13="最小化",-X3006,-ABS(X3006-01_因子設定!$B$16))),-1E+030)</f>
        <v>43.4530153508771</v>
      </c>
      <c r="AF3006" s="55" t="n">
        <f aca="false">AD3006+ROW()*0.000000001</f>
        <v>-4.65188876487954</v>
      </c>
      <c r="AG3006" s="55" t="n">
        <f aca="false">AE3006+ROW()*0.000000001</f>
        <v>43.4530183568771</v>
      </c>
    </row>
    <row r="3007" customFormat="false" ht="15" hidden="false" customHeight="false" outlineLevel="0" collapsed="false">
      <c r="A3007" s="0" t="n">
        <v>4</v>
      </c>
      <c r="B3007" s="0" t="n">
        <v>1</v>
      </c>
      <c r="C3007" s="0" t="n">
        <v>0</v>
      </c>
      <c r="D3007" s="0" t="n">
        <v>5</v>
      </c>
      <c r="E3007" s="0" t="n">
        <f aca="false">-1+A3007*0.25</f>
        <v>0</v>
      </c>
      <c r="F3007" s="0" t="n">
        <f aca="false">-1+B3007*0.25</f>
        <v>-0.75</v>
      </c>
      <c r="G3007" s="0" t="n">
        <f aca="false">-1+C3007*0.25</f>
        <v>-1</v>
      </c>
      <c r="H3007" s="0" t="n">
        <f aca="false">-1+D3007*0.25</f>
        <v>0.25</v>
      </c>
      <c r="I3007" s="0" t="n">
        <f aca="false">1</f>
        <v>1</v>
      </c>
      <c r="J3007" s="0" t="n">
        <f aca="false">E3007</f>
        <v>0</v>
      </c>
      <c r="K3007" s="0" t="n">
        <f aca="false">F3007</f>
        <v>-0.75</v>
      </c>
      <c r="L3007" s="0" t="n">
        <f aca="false">G3007</f>
        <v>-1</v>
      </c>
      <c r="M3007" s="0" t="n">
        <f aca="false">H3007</f>
        <v>0.25</v>
      </c>
      <c r="N3007" s="0" t="n">
        <f aca="false">E3007*F3007</f>
        <v>-0</v>
      </c>
      <c r="O3007" s="0" t="n">
        <f aca="false">E3007*G3007</f>
        <v>-0</v>
      </c>
      <c r="P3007" s="0" t="n">
        <f aca="false">E3007*H3007</f>
        <v>0</v>
      </c>
      <c r="Q3007" s="0" t="n">
        <f aca="false">F3007*G3007</f>
        <v>0.75</v>
      </c>
      <c r="R3007" s="0" t="n">
        <f aca="false">F3007*H3007</f>
        <v>-0.1875</v>
      </c>
      <c r="S3007" s="0" t="n">
        <f aca="false">G3007*H3007</f>
        <v>-0.25</v>
      </c>
      <c r="T3007" s="0" t="n">
        <f aca="false">E3007*E3007</f>
        <v>0</v>
      </c>
      <c r="U3007" s="0" t="n">
        <f aca="false">F3007*F3007</f>
        <v>0.5625</v>
      </c>
      <c r="V3007" s="0" t="n">
        <f aca="false">G3007*G3007</f>
        <v>1</v>
      </c>
      <c r="W3007" s="0" t="n">
        <f aca="false">H3007*H3007</f>
        <v>0.0625</v>
      </c>
      <c r="X3007" s="0" t="n">
        <f aca="false">SUMPRODUCT(I3007:W3007,_XtX!$B$96:$P$96)</f>
        <v>43.4984694809941</v>
      </c>
      <c r="Y3007" s="0" t="n">
        <f aca="false">SUMPRODUCT(MMULT(I3007:W3007,_XtX!$B$78:$P$92),I3007:W3007)</f>
        <v>0.501534802174708</v>
      </c>
      <c r="Z3007" s="0" t="n">
        <f aca="false">04_回帰ANOVA!$K$19*04_回帰ANOVA!$K$14*SQRT(1+Y3007)</f>
        <v>1.59722498091333</v>
      </c>
      <c r="AA3007" s="0" t="n">
        <f aca="false">X3007-Z3007</f>
        <v>41.9012445000808</v>
      </c>
      <c r="AB3007" s="0" t="n">
        <f aca="false">X3007+Z3007</f>
        <v>45.0956944619074</v>
      </c>
      <c r="AC3007" s="54" t="b">
        <f aca="false">AND(E3007&gt;=01_因子設定!$L$5-0.000000001,E3007&lt;=01_因子設定!$M$5+0.000000001,F3007&gt;=01_因子設定!$L$6-0.000000001,F3007&lt;=01_因子設定!$M$6+0.000000001,G3007&gt;=01_因子設定!$L$7-0.000000001,G3007&lt;=01_因子設定!$M$7+0.000000001,H3007&gt;=01_因子設定!$L$8-0.000000001,H3007&lt;=01_因子設定!$M$8+0.000000001,IF(01_因子設定!$B$20="Box-Behnken",E3007^2+F3007^2+G3007^2+H3007^2&lt;=2+0.000000001,TRUE()))</f>
        <v>1</v>
      </c>
      <c r="AD3007" s="55" t="n">
        <f aca="false">IF(AC3007,IF(01_因子設定!$B$13="最大化",AA3007-01_因子設定!$B$14,IF(01_因子設定!$B$13="最小化",01_因子設定!$B$15-AB3007,MIN(AA3007-01_因子設定!$B$14,01_因子設定!$B$15-AB3007))),-1E+030)</f>
        <v>-4.59875549991924</v>
      </c>
      <c r="AE3007" s="55" t="n">
        <f aca="false">IF(AC3007,IF(01_因子設定!$B$13="最大化",X3007,IF(01_因子設定!$B$13="最小化",-X3007,-ABS(X3007-01_因子設定!$B$16))),-1E+030)</f>
        <v>43.4984694809941</v>
      </c>
      <c r="AF3007" s="55" t="n">
        <f aca="false">AD3007+ROW()*0.000000001</f>
        <v>-4.59875249291924</v>
      </c>
      <c r="AG3007" s="55" t="n">
        <f aca="false">AE3007+ROW()*0.000000001</f>
        <v>43.4984724879941</v>
      </c>
    </row>
    <row r="3008" customFormat="false" ht="15" hidden="false" customHeight="false" outlineLevel="0" collapsed="false">
      <c r="A3008" s="0" t="n">
        <v>4</v>
      </c>
      <c r="B3008" s="0" t="n">
        <v>1</v>
      </c>
      <c r="C3008" s="0" t="n">
        <v>0</v>
      </c>
      <c r="D3008" s="0" t="n">
        <v>6</v>
      </c>
      <c r="E3008" s="0" t="n">
        <f aca="false">-1+A3008*0.25</f>
        <v>0</v>
      </c>
      <c r="F3008" s="0" t="n">
        <f aca="false">-1+B3008*0.25</f>
        <v>-0.75</v>
      </c>
      <c r="G3008" s="0" t="n">
        <f aca="false">-1+C3008*0.25</f>
        <v>-1</v>
      </c>
      <c r="H3008" s="0" t="n">
        <f aca="false">-1+D3008*0.25</f>
        <v>0.5</v>
      </c>
      <c r="I3008" s="0" t="n">
        <f aca="false">1</f>
        <v>1</v>
      </c>
      <c r="J3008" s="0" t="n">
        <f aca="false">E3008</f>
        <v>0</v>
      </c>
      <c r="K3008" s="0" t="n">
        <f aca="false">F3008</f>
        <v>-0.75</v>
      </c>
      <c r="L3008" s="0" t="n">
        <f aca="false">G3008</f>
        <v>-1</v>
      </c>
      <c r="M3008" s="0" t="n">
        <f aca="false">H3008</f>
        <v>0.5</v>
      </c>
      <c r="N3008" s="0" t="n">
        <f aca="false">E3008*F3008</f>
        <v>-0</v>
      </c>
      <c r="O3008" s="0" t="n">
        <f aca="false">E3008*G3008</f>
        <v>-0</v>
      </c>
      <c r="P3008" s="0" t="n">
        <f aca="false">E3008*H3008</f>
        <v>0</v>
      </c>
      <c r="Q3008" s="0" t="n">
        <f aca="false">F3008*G3008</f>
        <v>0.75</v>
      </c>
      <c r="R3008" s="0" t="n">
        <f aca="false">F3008*H3008</f>
        <v>-0.375</v>
      </c>
      <c r="S3008" s="0" t="n">
        <f aca="false">G3008*H3008</f>
        <v>-0.5</v>
      </c>
      <c r="T3008" s="0" t="n">
        <f aca="false">E3008*E3008</f>
        <v>0</v>
      </c>
      <c r="U3008" s="0" t="n">
        <f aca="false">F3008*F3008</f>
        <v>0.5625</v>
      </c>
      <c r="V3008" s="0" t="n">
        <f aca="false">G3008*G3008</f>
        <v>1</v>
      </c>
      <c r="W3008" s="0" t="n">
        <f aca="false">H3008*H3008</f>
        <v>0.25</v>
      </c>
      <c r="X3008" s="0" t="n">
        <f aca="false">SUMPRODUCT(I3008:W3008,_XtX!$B$96:$P$96)</f>
        <v>43.4961165935672</v>
      </c>
      <c r="Y3008" s="0" t="n">
        <f aca="false">SUMPRODUCT(MMULT(I3008:W3008,_XtX!$B$78:$P$92),I3008:W3008)</f>
        <v>0.476191292032164</v>
      </c>
      <c r="Z3008" s="0" t="n">
        <f aca="false">04_回帰ANOVA!$K$19*04_回帰ANOVA!$K$14*SQRT(1+Y3008)</f>
        <v>1.58368831471718</v>
      </c>
      <c r="AA3008" s="0" t="n">
        <f aca="false">X3008-Z3008</f>
        <v>41.91242827885</v>
      </c>
      <c r="AB3008" s="0" t="n">
        <f aca="false">X3008+Z3008</f>
        <v>45.0798049082844</v>
      </c>
      <c r="AC3008" s="54" t="b">
        <f aca="false">AND(E3008&gt;=01_因子設定!$L$5-0.000000001,E3008&lt;=01_因子設定!$M$5+0.000000001,F3008&gt;=01_因子設定!$L$6-0.000000001,F3008&lt;=01_因子設定!$M$6+0.000000001,G3008&gt;=01_因子設定!$L$7-0.000000001,G3008&lt;=01_因子設定!$M$7+0.000000001,H3008&gt;=01_因子設定!$L$8-0.000000001,H3008&lt;=01_因子設定!$M$8+0.000000001,IF(01_因子設定!$B$20="Box-Behnken",E3008^2+F3008^2+G3008^2+H3008^2&lt;=2+0.000000001,TRUE()))</f>
        <v>1</v>
      </c>
      <c r="AD3008" s="55" t="n">
        <f aca="false">IF(AC3008,IF(01_因子設定!$B$13="最大化",AA3008-01_因子設定!$B$14,IF(01_因子設定!$B$13="最小化",01_因子設定!$B$15-AB3008,MIN(AA3008-01_因子設定!$B$14,01_因子設定!$B$15-AB3008))),-1E+030)</f>
        <v>-4.58757172114998</v>
      </c>
      <c r="AE3008" s="55" t="n">
        <f aca="false">IF(AC3008,IF(01_因子設定!$B$13="最大化",X3008,IF(01_因子設定!$B$13="最小化",-X3008,-ABS(X3008-01_因子設定!$B$16))),-1E+030)</f>
        <v>43.4961165935672</v>
      </c>
      <c r="AF3008" s="55" t="n">
        <f aca="false">AD3008+ROW()*0.000000001</f>
        <v>-4.58756871314998</v>
      </c>
      <c r="AG3008" s="55" t="n">
        <f aca="false">AE3008+ROW()*0.000000001</f>
        <v>43.4961196015672</v>
      </c>
    </row>
    <row r="3009" customFormat="false" ht="15" hidden="false" customHeight="false" outlineLevel="0" collapsed="false">
      <c r="A3009" s="0" t="n">
        <v>4</v>
      </c>
      <c r="B3009" s="0" t="n">
        <v>1</v>
      </c>
      <c r="C3009" s="0" t="n">
        <v>0</v>
      </c>
      <c r="D3009" s="0" t="n">
        <v>7</v>
      </c>
      <c r="E3009" s="0" t="n">
        <f aca="false">-1+A3009*0.25</f>
        <v>0</v>
      </c>
      <c r="F3009" s="0" t="n">
        <f aca="false">-1+B3009*0.25</f>
        <v>-0.75</v>
      </c>
      <c r="G3009" s="0" t="n">
        <f aca="false">-1+C3009*0.25</f>
        <v>-1</v>
      </c>
      <c r="H3009" s="0" t="n">
        <f aca="false">-1+D3009*0.25</f>
        <v>0.75</v>
      </c>
      <c r="I3009" s="0" t="n">
        <f aca="false">1</f>
        <v>1</v>
      </c>
      <c r="J3009" s="0" t="n">
        <f aca="false">E3009</f>
        <v>0</v>
      </c>
      <c r="K3009" s="0" t="n">
        <f aca="false">F3009</f>
        <v>-0.75</v>
      </c>
      <c r="L3009" s="0" t="n">
        <f aca="false">G3009</f>
        <v>-1</v>
      </c>
      <c r="M3009" s="0" t="n">
        <f aca="false">H3009</f>
        <v>0.75</v>
      </c>
      <c r="N3009" s="0" t="n">
        <f aca="false">E3009*F3009</f>
        <v>-0</v>
      </c>
      <c r="O3009" s="0" t="n">
        <f aca="false">E3009*G3009</f>
        <v>-0</v>
      </c>
      <c r="P3009" s="0" t="n">
        <f aca="false">E3009*H3009</f>
        <v>0</v>
      </c>
      <c r="Q3009" s="0" t="n">
        <f aca="false">F3009*G3009</f>
        <v>0.75</v>
      </c>
      <c r="R3009" s="0" t="n">
        <f aca="false">F3009*H3009</f>
        <v>-0.5625</v>
      </c>
      <c r="S3009" s="0" t="n">
        <f aca="false">G3009*H3009</f>
        <v>-0.75</v>
      </c>
      <c r="T3009" s="0" t="n">
        <f aca="false">E3009*E3009</f>
        <v>0</v>
      </c>
      <c r="U3009" s="0" t="n">
        <f aca="false">F3009*F3009</f>
        <v>0.5625</v>
      </c>
      <c r="V3009" s="0" t="n">
        <f aca="false">G3009*G3009</f>
        <v>1</v>
      </c>
      <c r="W3009" s="0" t="n">
        <f aca="false">H3009*H3009</f>
        <v>0.5625</v>
      </c>
      <c r="X3009" s="0" t="n">
        <f aca="false">SUMPRODUCT(I3009:W3009,_XtX!$B$96:$P$96)</f>
        <v>43.4459566885964</v>
      </c>
      <c r="Y3009" s="0" t="n">
        <f aca="false">SUMPRODUCT(MMULT(I3009:W3009,_XtX!$B$78:$P$92),I3009:W3009)</f>
        <v>0.494259126005117</v>
      </c>
      <c r="Z3009" s="0" t="n">
        <f aca="false">04_回帰ANOVA!$K$19*04_回帰ANOVA!$K$14*SQRT(1+Y3009)</f>
        <v>1.59335061078203</v>
      </c>
      <c r="AA3009" s="0" t="n">
        <f aca="false">X3009-Z3009</f>
        <v>41.8526060778144</v>
      </c>
      <c r="AB3009" s="0" t="n">
        <f aca="false">X3009+Z3009</f>
        <v>45.0393072993785</v>
      </c>
      <c r="AC3009" s="54" t="b">
        <f aca="false">AND(E3009&gt;=01_因子設定!$L$5-0.000000001,E3009&lt;=01_因子設定!$M$5+0.000000001,F3009&gt;=01_因子設定!$L$6-0.000000001,F3009&lt;=01_因子設定!$M$6+0.000000001,G3009&gt;=01_因子設定!$L$7-0.000000001,G3009&lt;=01_因子設定!$M$7+0.000000001,H3009&gt;=01_因子設定!$L$8-0.000000001,H3009&lt;=01_因子設定!$M$8+0.000000001,IF(01_因子設定!$B$20="Box-Behnken",E3009^2+F3009^2+G3009^2+H3009^2&lt;=2+0.000000001,TRUE()))</f>
        <v>1</v>
      </c>
      <c r="AD3009" s="55" t="n">
        <f aca="false">IF(AC3009,IF(01_因子設定!$B$13="最大化",AA3009-01_因子設定!$B$14,IF(01_因子設定!$B$13="最小化",01_因子設定!$B$15-AB3009,MIN(AA3009-01_因子設定!$B$14,01_因子設定!$B$15-AB3009))),-1E+030)</f>
        <v>-4.64739392218558</v>
      </c>
      <c r="AE3009" s="55" t="n">
        <f aca="false">IF(AC3009,IF(01_因子設定!$B$13="最大化",X3009,IF(01_因子設定!$B$13="最小化",-X3009,-ABS(X3009-01_因子設定!$B$16))),-1E+030)</f>
        <v>43.4459566885964</v>
      </c>
      <c r="AF3009" s="55" t="n">
        <f aca="false">AD3009+ROW()*0.000000001</f>
        <v>-4.64739091318558</v>
      </c>
      <c r="AG3009" s="55" t="n">
        <f aca="false">AE3009+ROW()*0.000000001</f>
        <v>43.4459596975964</v>
      </c>
    </row>
    <row r="3010" customFormat="false" ht="15" hidden="false" customHeight="false" outlineLevel="0" collapsed="false">
      <c r="A3010" s="0" t="n">
        <v>4</v>
      </c>
      <c r="B3010" s="0" t="n">
        <v>1</v>
      </c>
      <c r="C3010" s="0" t="n">
        <v>0</v>
      </c>
      <c r="D3010" s="0" t="n">
        <v>8</v>
      </c>
      <c r="E3010" s="0" t="n">
        <f aca="false">-1+A3010*0.25</f>
        <v>0</v>
      </c>
      <c r="F3010" s="0" t="n">
        <f aca="false">-1+B3010*0.25</f>
        <v>-0.75</v>
      </c>
      <c r="G3010" s="0" t="n">
        <f aca="false">-1+C3010*0.25</f>
        <v>-1</v>
      </c>
      <c r="H3010" s="0" t="n">
        <f aca="false">-1+D3010*0.25</f>
        <v>1</v>
      </c>
      <c r="I3010" s="0" t="n">
        <f aca="false">1</f>
        <v>1</v>
      </c>
      <c r="J3010" s="0" t="n">
        <f aca="false">E3010</f>
        <v>0</v>
      </c>
      <c r="K3010" s="0" t="n">
        <f aca="false">F3010</f>
        <v>-0.75</v>
      </c>
      <c r="L3010" s="0" t="n">
        <f aca="false">G3010</f>
        <v>-1</v>
      </c>
      <c r="M3010" s="0" t="n">
        <f aca="false">H3010</f>
        <v>1</v>
      </c>
      <c r="N3010" s="0" t="n">
        <f aca="false">E3010*F3010</f>
        <v>-0</v>
      </c>
      <c r="O3010" s="0" t="n">
        <f aca="false">E3010*G3010</f>
        <v>-0</v>
      </c>
      <c r="P3010" s="0" t="n">
        <f aca="false">E3010*H3010</f>
        <v>0</v>
      </c>
      <c r="Q3010" s="0" t="n">
        <f aca="false">F3010*G3010</f>
        <v>0.75</v>
      </c>
      <c r="R3010" s="0" t="n">
        <f aca="false">F3010*H3010</f>
        <v>-0.75</v>
      </c>
      <c r="S3010" s="0" t="n">
        <f aca="false">G3010*H3010</f>
        <v>-1</v>
      </c>
      <c r="T3010" s="0" t="n">
        <f aca="false">E3010*E3010</f>
        <v>0</v>
      </c>
      <c r="U3010" s="0" t="n">
        <f aca="false">F3010*F3010</f>
        <v>0.5625</v>
      </c>
      <c r="V3010" s="0" t="n">
        <f aca="false">G3010*G3010</f>
        <v>1</v>
      </c>
      <c r="W3010" s="0" t="n">
        <f aca="false">H3010*H3010</f>
        <v>1</v>
      </c>
      <c r="X3010" s="0" t="n">
        <f aca="false">SUMPRODUCT(I3010:W3010,_XtX!$B$96:$P$96)</f>
        <v>43.3479897660818</v>
      </c>
      <c r="Y3010" s="0" t="n">
        <f aca="false">SUMPRODUCT(MMULT(I3010:W3010,_XtX!$B$78:$P$92),I3010:W3010)</f>
        <v>0.646198830409357</v>
      </c>
      <c r="Z3010" s="0" t="n">
        <f aca="false">04_回帰ANOVA!$K$19*04_回帰ANOVA!$K$14*SQRT(1+Y3010)</f>
        <v>1.67239760569756</v>
      </c>
      <c r="AA3010" s="0" t="n">
        <f aca="false">X3010-Z3010</f>
        <v>41.6755921603843</v>
      </c>
      <c r="AB3010" s="0" t="n">
        <f aca="false">X3010+Z3010</f>
        <v>45.0203873717794</v>
      </c>
      <c r="AC3010" s="54" t="b">
        <f aca="false">AND(E3010&gt;=01_因子設定!$L$5-0.000000001,E3010&lt;=01_因子設定!$M$5+0.000000001,F3010&gt;=01_因子設定!$L$6-0.000000001,F3010&lt;=01_因子設定!$M$6+0.000000001,G3010&gt;=01_因子設定!$L$7-0.000000001,G3010&lt;=01_因子設定!$M$7+0.000000001,H3010&gt;=01_因子設定!$L$8-0.000000001,H3010&lt;=01_因子設定!$M$8+0.000000001,IF(01_因子設定!$B$20="Box-Behnken",E3010^2+F3010^2+G3010^2+H3010^2&lt;=2+0.000000001,TRUE()))</f>
        <v>1</v>
      </c>
      <c r="AD3010" s="55" t="n">
        <f aca="false">IF(AC3010,IF(01_因子設定!$B$13="最大化",AA3010-01_因子設定!$B$14,IF(01_因子設定!$B$13="最小化",01_因子設定!$B$15-AB3010,MIN(AA3010-01_因子設定!$B$14,01_因子設定!$B$15-AB3010))),-1E+030)</f>
        <v>-4.82440783961571</v>
      </c>
      <c r="AE3010" s="55" t="n">
        <f aca="false">IF(AC3010,IF(01_因子設定!$B$13="最大化",X3010,IF(01_因子設定!$B$13="最小化",-X3010,-ABS(X3010-01_因子設定!$B$16))),-1E+030)</f>
        <v>43.3479897660818</v>
      </c>
      <c r="AF3010" s="55" t="n">
        <f aca="false">AD3010+ROW()*0.000000001</f>
        <v>-4.82440482961571</v>
      </c>
      <c r="AG3010" s="55" t="n">
        <f aca="false">AE3010+ROW()*0.000000001</f>
        <v>43.3479927760818</v>
      </c>
    </row>
    <row r="3011" customFormat="false" ht="15" hidden="false" customHeight="false" outlineLevel="0" collapsed="false">
      <c r="A3011" s="0" t="n">
        <v>4</v>
      </c>
      <c r="B3011" s="0" t="n">
        <v>1</v>
      </c>
      <c r="C3011" s="0" t="n">
        <v>1</v>
      </c>
      <c r="D3011" s="0" t="n">
        <v>0</v>
      </c>
      <c r="E3011" s="0" t="n">
        <f aca="false">-1+A3011*0.25</f>
        <v>0</v>
      </c>
      <c r="F3011" s="0" t="n">
        <f aca="false">-1+B3011*0.25</f>
        <v>-0.75</v>
      </c>
      <c r="G3011" s="0" t="n">
        <f aca="false">-1+C3011*0.25</f>
        <v>-0.75</v>
      </c>
      <c r="H3011" s="0" t="n">
        <f aca="false">-1+D3011*0.25</f>
        <v>-1</v>
      </c>
      <c r="I3011" s="0" t="n">
        <f aca="false">1</f>
        <v>1</v>
      </c>
      <c r="J3011" s="0" t="n">
        <f aca="false">E3011</f>
        <v>0</v>
      </c>
      <c r="K3011" s="0" t="n">
        <f aca="false">F3011</f>
        <v>-0.75</v>
      </c>
      <c r="L3011" s="0" t="n">
        <f aca="false">G3011</f>
        <v>-0.75</v>
      </c>
      <c r="M3011" s="0" t="n">
        <f aca="false">H3011</f>
        <v>-1</v>
      </c>
      <c r="N3011" s="0" t="n">
        <f aca="false">E3011*F3011</f>
        <v>-0</v>
      </c>
      <c r="O3011" s="0" t="n">
        <f aca="false">E3011*G3011</f>
        <v>-0</v>
      </c>
      <c r="P3011" s="0" t="n">
        <f aca="false">E3011*H3011</f>
        <v>-0</v>
      </c>
      <c r="Q3011" s="0" t="n">
        <f aca="false">F3011*G3011</f>
        <v>0.5625</v>
      </c>
      <c r="R3011" s="0" t="n">
        <f aca="false">F3011*H3011</f>
        <v>0.75</v>
      </c>
      <c r="S3011" s="0" t="n">
        <f aca="false">G3011*H3011</f>
        <v>0.75</v>
      </c>
      <c r="T3011" s="0" t="n">
        <f aca="false">E3011*E3011</f>
        <v>0</v>
      </c>
      <c r="U3011" s="0" t="n">
        <f aca="false">F3011*F3011</f>
        <v>0.5625</v>
      </c>
      <c r="V3011" s="0" t="n">
        <f aca="false">G3011*G3011</f>
        <v>0.5625</v>
      </c>
      <c r="W3011" s="0" t="n">
        <f aca="false">H3011*H3011</f>
        <v>1</v>
      </c>
      <c r="X3011" s="0" t="n">
        <f aca="false">SUMPRODUCT(I3011:W3011,_XtX!$B$96:$P$96)</f>
        <v>43.2070677997076</v>
      </c>
      <c r="Y3011" s="0" t="n">
        <f aca="false">SUMPRODUCT(MMULT(I3011:W3011,_XtX!$B$78:$P$92),I3011:W3011)</f>
        <v>0.494259126005117</v>
      </c>
      <c r="Z3011" s="0" t="n">
        <f aca="false">04_回帰ANOVA!$K$19*04_回帰ANOVA!$K$14*SQRT(1+Y3011)</f>
        <v>1.59335061078203</v>
      </c>
      <c r="AA3011" s="0" t="n">
        <f aca="false">X3011-Z3011</f>
        <v>41.6137171889256</v>
      </c>
      <c r="AB3011" s="0" t="n">
        <f aca="false">X3011+Z3011</f>
        <v>44.8004184104896</v>
      </c>
      <c r="AC3011" s="54" t="b">
        <f aca="false">AND(E3011&gt;=01_因子設定!$L$5-0.000000001,E3011&lt;=01_因子設定!$M$5+0.000000001,F3011&gt;=01_因子設定!$L$6-0.000000001,F3011&lt;=01_因子設定!$M$6+0.000000001,G3011&gt;=01_因子設定!$L$7-0.000000001,G3011&lt;=01_因子設定!$M$7+0.000000001,H3011&gt;=01_因子設定!$L$8-0.000000001,H3011&lt;=01_因子設定!$M$8+0.000000001,IF(01_因子設定!$B$20="Box-Behnken",E3011^2+F3011^2+G3011^2+H3011^2&lt;=2+0.000000001,TRUE()))</f>
        <v>1</v>
      </c>
      <c r="AD3011" s="55" t="n">
        <f aca="false">IF(AC3011,IF(01_因子設定!$B$13="最大化",AA3011-01_因子設定!$B$14,IF(01_因子設定!$B$13="最小化",01_因子設定!$B$15-AB3011,MIN(AA3011-01_因子設定!$B$14,01_因子設定!$B$15-AB3011))),-1E+030)</f>
        <v>-4.88628281107445</v>
      </c>
      <c r="AE3011" s="55" t="n">
        <f aca="false">IF(AC3011,IF(01_因子設定!$B$13="最大化",X3011,IF(01_因子設定!$B$13="最小化",-X3011,-ABS(X3011-01_因子設定!$B$16))),-1E+030)</f>
        <v>43.2070677997076</v>
      </c>
      <c r="AF3011" s="55" t="n">
        <f aca="false">AD3011+ROW()*0.000000001</f>
        <v>-4.88627980007445</v>
      </c>
      <c r="AG3011" s="55" t="n">
        <f aca="false">AE3011+ROW()*0.000000001</f>
        <v>43.2070708107076</v>
      </c>
    </row>
    <row r="3012" customFormat="false" ht="15" hidden="false" customHeight="false" outlineLevel="0" collapsed="false">
      <c r="A3012" s="0" t="n">
        <v>4</v>
      </c>
      <c r="B3012" s="0" t="n">
        <v>1</v>
      </c>
      <c r="C3012" s="0" t="n">
        <v>1</v>
      </c>
      <c r="D3012" s="0" t="n">
        <v>1</v>
      </c>
      <c r="E3012" s="0" t="n">
        <f aca="false">-1+A3012*0.25</f>
        <v>0</v>
      </c>
      <c r="F3012" s="0" t="n">
        <f aca="false">-1+B3012*0.25</f>
        <v>-0.75</v>
      </c>
      <c r="G3012" s="0" t="n">
        <f aca="false">-1+C3012*0.25</f>
        <v>-0.75</v>
      </c>
      <c r="H3012" s="0" t="n">
        <f aca="false">-1+D3012*0.25</f>
        <v>-0.75</v>
      </c>
      <c r="I3012" s="0" t="n">
        <f aca="false">1</f>
        <v>1</v>
      </c>
      <c r="J3012" s="0" t="n">
        <f aca="false">E3012</f>
        <v>0</v>
      </c>
      <c r="K3012" s="0" t="n">
        <f aca="false">F3012</f>
        <v>-0.75</v>
      </c>
      <c r="L3012" s="0" t="n">
        <f aca="false">G3012</f>
        <v>-0.75</v>
      </c>
      <c r="M3012" s="0" t="n">
        <f aca="false">H3012</f>
        <v>-0.75</v>
      </c>
      <c r="N3012" s="0" t="n">
        <f aca="false">E3012*F3012</f>
        <v>-0</v>
      </c>
      <c r="O3012" s="0" t="n">
        <f aca="false">E3012*G3012</f>
        <v>-0</v>
      </c>
      <c r="P3012" s="0" t="n">
        <f aca="false">E3012*H3012</f>
        <v>-0</v>
      </c>
      <c r="Q3012" s="0" t="n">
        <f aca="false">F3012*G3012</f>
        <v>0.5625</v>
      </c>
      <c r="R3012" s="0" t="n">
        <f aca="false">F3012*H3012</f>
        <v>0.5625</v>
      </c>
      <c r="S3012" s="0" t="n">
        <f aca="false">G3012*H3012</f>
        <v>0.5625</v>
      </c>
      <c r="T3012" s="0" t="n">
        <f aca="false">E3012*E3012</f>
        <v>0</v>
      </c>
      <c r="U3012" s="0" t="n">
        <f aca="false">F3012*F3012</f>
        <v>0.5625</v>
      </c>
      <c r="V3012" s="0" t="n">
        <f aca="false">G3012*G3012</f>
        <v>0.5625</v>
      </c>
      <c r="W3012" s="0" t="n">
        <f aca="false">H3012*H3012</f>
        <v>0.5625</v>
      </c>
      <c r="X3012" s="0" t="n">
        <f aca="false">SUMPRODUCT(I3012:W3012,_XtX!$B$96:$P$96)</f>
        <v>43.46171875</v>
      </c>
      <c r="Y3012" s="0" t="n">
        <f aca="false">SUMPRODUCT(MMULT(I3012:W3012,_XtX!$B$78:$P$92),I3012:W3012)</f>
        <v>0.310628255208333</v>
      </c>
      <c r="Z3012" s="0" t="n">
        <f aca="false">04_回帰ANOVA!$K$19*04_回帰ANOVA!$K$14*SQRT(1+Y3012)</f>
        <v>1.49223820892344</v>
      </c>
      <c r="AA3012" s="0" t="n">
        <f aca="false">X3012-Z3012</f>
        <v>41.9694805410765</v>
      </c>
      <c r="AB3012" s="0" t="n">
        <f aca="false">X3012+Z3012</f>
        <v>44.9539569589234</v>
      </c>
      <c r="AC3012" s="54" t="b">
        <f aca="false">AND(E3012&gt;=01_因子設定!$L$5-0.000000001,E3012&lt;=01_因子設定!$M$5+0.000000001,F3012&gt;=01_因子設定!$L$6-0.000000001,F3012&lt;=01_因子設定!$M$6+0.000000001,G3012&gt;=01_因子設定!$L$7-0.000000001,G3012&lt;=01_因子設定!$M$7+0.000000001,H3012&gt;=01_因子設定!$L$8-0.000000001,H3012&lt;=01_因子設定!$M$8+0.000000001,IF(01_因子設定!$B$20="Box-Behnken",E3012^2+F3012^2+G3012^2+H3012^2&lt;=2+0.000000001,TRUE()))</f>
        <v>1</v>
      </c>
      <c r="AD3012" s="55" t="n">
        <f aca="false">IF(AC3012,IF(01_因子設定!$B$13="最大化",AA3012-01_因子設定!$B$14,IF(01_因子設定!$B$13="最小化",01_因子設定!$B$15-AB3012,MIN(AA3012-01_因子設定!$B$14,01_因子設定!$B$15-AB3012))),-1E+030)</f>
        <v>-4.53051945892348</v>
      </c>
      <c r="AE3012" s="55" t="n">
        <f aca="false">IF(AC3012,IF(01_因子設定!$B$13="最大化",X3012,IF(01_因子設定!$B$13="最小化",-X3012,-ABS(X3012-01_因子設定!$B$16))),-1E+030)</f>
        <v>43.46171875</v>
      </c>
      <c r="AF3012" s="55" t="n">
        <f aca="false">AD3012+ROW()*0.000000001</f>
        <v>-4.53051644692348</v>
      </c>
      <c r="AG3012" s="55" t="n">
        <f aca="false">AE3012+ROW()*0.000000001</f>
        <v>43.461721762</v>
      </c>
    </row>
    <row r="3013" customFormat="false" ht="15" hidden="false" customHeight="false" outlineLevel="0" collapsed="false">
      <c r="A3013" s="0" t="n">
        <v>4</v>
      </c>
      <c r="B3013" s="0" t="n">
        <v>1</v>
      </c>
      <c r="C3013" s="0" t="n">
        <v>1</v>
      </c>
      <c r="D3013" s="0" t="n">
        <v>2</v>
      </c>
      <c r="E3013" s="0" t="n">
        <f aca="false">-1+A3013*0.25</f>
        <v>0</v>
      </c>
      <c r="F3013" s="0" t="n">
        <f aca="false">-1+B3013*0.25</f>
        <v>-0.75</v>
      </c>
      <c r="G3013" s="0" t="n">
        <f aca="false">-1+C3013*0.25</f>
        <v>-0.75</v>
      </c>
      <c r="H3013" s="0" t="n">
        <f aca="false">-1+D3013*0.25</f>
        <v>-0.5</v>
      </c>
      <c r="I3013" s="0" t="n">
        <f aca="false">1</f>
        <v>1</v>
      </c>
      <c r="J3013" s="0" t="n">
        <f aca="false">E3013</f>
        <v>0</v>
      </c>
      <c r="K3013" s="0" t="n">
        <f aca="false">F3013</f>
        <v>-0.75</v>
      </c>
      <c r="L3013" s="0" t="n">
        <f aca="false">G3013</f>
        <v>-0.75</v>
      </c>
      <c r="M3013" s="0" t="n">
        <f aca="false">H3013</f>
        <v>-0.5</v>
      </c>
      <c r="N3013" s="0" t="n">
        <f aca="false">E3013*F3013</f>
        <v>-0</v>
      </c>
      <c r="O3013" s="0" t="n">
        <f aca="false">E3013*G3013</f>
        <v>-0</v>
      </c>
      <c r="P3013" s="0" t="n">
        <f aca="false">E3013*H3013</f>
        <v>-0</v>
      </c>
      <c r="Q3013" s="0" t="n">
        <f aca="false">F3013*G3013</f>
        <v>0.5625</v>
      </c>
      <c r="R3013" s="0" t="n">
        <f aca="false">F3013*H3013</f>
        <v>0.375</v>
      </c>
      <c r="S3013" s="0" t="n">
        <f aca="false">G3013*H3013</f>
        <v>0.375</v>
      </c>
      <c r="T3013" s="0" t="n">
        <f aca="false">E3013*E3013</f>
        <v>0</v>
      </c>
      <c r="U3013" s="0" t="n">
        <f aca="false">F3013*F3013</f>
        <v>0.5625</v>
      </c>
      <c r="V3013" s="0" t="n">
        <f aca="false">G3013*G3013</f>
        <v>0.5625</v>
      </c>
      <c r="W3013" s="0" t="n">
        <f aca="false">H3013*H3013</f>
        <v>0.25</v>
      </c>
      <c r="X3013" s="0" t="n">
        <f aca="false">SUMPRODUCT(I3013:W3013,_XtX!$B$96:$P$96)</f>
        <v>43.6685626827485</v>
      </c>
      <c r="Y3013" s="0" t="n">
        <f aca="false">SUMPRODUCT(MMULT(I3013:W3013,_XtX!$B$78:$P$92),I3013:W3013)</f>
        <v>0.269923873812135</v>
      </c>
      <c r="Z3013" s="0" t="n">
        <f aca="false">04_回帰ANOVA!$K$19*04_回帰ANOVA!$K$14*SQRT(1+Y3013)</f>
        <v>1.46888310825501</v>
      </c>
      <c r="AA3013" s="0" t="n">
        <f aca="false">X3013-Z3013</f>
        <v>42.1996795744935</v>
      </c>
      <c r="AB3013" s="0" t="n">
        <f aca="false">X3013+Z3013</f>
        <v>45.1374457910035</v>
      </c>
      <c r="AC3013" s="54" t="b">
        <f aca="false">AND(E3013&gt;=01_因子設定!$L$5-0.000000001,E3013&lt;=01_因子設定!$M$5+0.000000001,F3013&gt;=01_因子設定!$L$6-0.000000001,F3013&lt;=01_因子設定!$M$6+0.000000001,G3013&gt;=01_因子設定!$L$7-0.000000001,G3013&lt;=01_因子設定!$M$7+0.000000001,H3013&gt;=01_因子設定!$L$8-0.000000001,H3013&lt;=01_因子設定!$M$8+0.000000001,IF(01_因子設定!$B$20="Box-Behnken",E3013^2+F3013^2+G3013^2+H3013^2&lt;=2+0.000000001,TRUE()))</f>
        <v>1</v>
      </c>
      <c r="AD3013" s="55" t="n">
        <f aca="false">IF(AC3013,IF(01_因子設定!$B$13="最大化",AA3013-01_因子設定!$B$14,IF(01_因子設定!$B$13="最小化",01_因子設定!$B$15-AB3013,MIN(AA3013-01_因子設定!$B$14,01_因子設定!$B$15-AB3013))),-1E+030)</f>
        <v>-4.30032042550652</v>
      </c>
      <c r="AE3013" s="55" t="n">
        <f aca="false">IF(AC3013,IF(01_因子設定!$B$13="最大化",X3013,IF(01_因子設定!$B$13="最小化",-X3013,-ABS(X3013-01_因子設定!$B$16))),-1E+030)</f>
        <v>43.6685626827485</v>
      </c>
      <c r="AF3013" s="55" t="n">
        <f aca="false">AD3013+ROW()*0.000000001</f>
        <v>-4.30031741250652</v>
      </c>
      <c r="AG3013" s="55" t="n">
        <f aca="false">AE3013+ROW()*0.000000001</f>
        <v>43.6685656957485</v>
      </c>
    </row>
    <row r="3014" customFormat="false" ht="15" hidden="false" customHeight="false" outlineLevel="0" collapsed="false">
      <c r="A3014" s="0" t="n">
        <v>4</v>
      </c>
      <c r="B3014" s="0" t="n">
        <v>1</v>
      </c>
      <c r="C3014" s="0" t="n">
        <v>1</v>
      </c>
      <c r="D3014" s="0" t="n">
        <v>3</v>
      </c>
      <c r="E3014" s="0" t="n">
        <f aca="false">-1+A3014*0.25</f>
        <v>0</v>
      </c>
      <c r="F3014" s="0" t="n">
        <f aca="false">-1+B3014*0.25</f>
        <v>-0.75</v>
      </c>
      <c r="G3014" s="0" t="n">
        <f aca="false">-1+C3014*0.25</f>
        <v>-0.75</v>
      </c>
      <c r="H3014" s="0" t="n">
        <f aca="false">-1+D3014*0.25</f>
        <v>-0.25</v>
      </c>
      <c r="I3014" s="0" t="n">
        <f aca="false">1</f>
        <v>1</v>
      </c>
      <c r="J3014" s="0" t="n">
        <f aca="false">E3014</f>
        <v>0</v>
      </c>
      <c r="K3014" s="0" t="n">
        <f aca="false">F3014</f>
        <v>-0.75</v>
      </c>
      <c r="L3014" s="0" t="n">
        <f aca="false">G3014</f>
        <v>-0.75</v>
      </c>
      <c r="M3014" s="0" t="n">
        <f aca="false">H3014</f>
        <v>-0.25</v>
      </c>
      <c r="N3014" s="0" t="n">
        <f aca="false">E3014*F3014</f>
        <v>-0</v>
      </c>
      <c r="O3014" s="0" t="n">
        <f aca="false">E3014*G3014</f>
        <v>-0</v>
      </c>
      <c r="P3014" s="0" t="n">
        <f aca="false">E3014*H3014</f>
        <v>-0</v>
      </c>
      <c r="Q3014" s="0" t="n">
        <f aca="false">F3014*G3014</f>
        <v>0.5625</v>
      </c>
      <c r="R3014" s="0" t="n">
        <f aca="false">F3014*H3014</f>
        <v>0.1875</v>
      </c>
      <c r="S3014" s="0" t="n">
        <f aca="false">G3014*H3014</f>
        <v>0.1875</v>
      </c>
      <c r="T3014" s="0" t="n">
        <f aca="false">E3014*E3014</f>
        <v>0</v>
      </c>
      <c r="U3014" s="0" t="n">
        <f aca="false">F3014*F3014</f>
        <v>0.5625</v>
      </c>
      <c r="V3014" s="0" t="n">
        <f aca="false">G3014*G3014</f>
        <v>0.5625</v>
      </c>
      <c r="W3014" s="0" t="n">
        <f aca="false">H3014*H3014</f>
        <v>0.0625</v>
      </c>
      <c r="X3014" s="0" t="n">
        <f aca="false">SUMPRODUCT(I3014:W3014,_XtX!$B$96:$P$96)</f>
        <v>43.8275995979532</v>
      </c>
      <c r="Y3014" s="0" t="n">
        <f aca="false">SUMPRODUCT(MMULT(I3014:W3014,_XtX!$B$78:$P$92),I3014:W3014)</f>
        <v>0.281685455500731</v>
      </c>
      <c r="Z3014" s="0" t="n">
        <f aca="false">04_回帰ANOVA!$K$19*04_回帰ANOVA!$K$14*SQRT(1+Y3014)</f>
        <v>1.47566956658694</v>
      </c>
      <c r="AA3014" s="0" t="n">
        <f aca="false">X3014-Z3014</f>
        <v>42.3519300313662</v>
      </c>
      <c r="AB3014" s="0" t="n">
        <f aca="false">X3014+Z3014</f>
        <v>45.3032691645401</v>
      </c>
      <c r="AC3014" s="54" t="b">
        <f aca="false">AND(E3014&gt;=01_因子設定!$L$5-0.000000001,E3014&lt;=01_因子設定!$M$5+0.000000001,F3014&gt;=01_因子設定!$L$6-0.000000001,F3014&lt;=01_因子設定!$M$6+0.000000001,G3014&gt;=01_因子設定!$L$7-0.000000001,G3014&lt;=01_因子設定!$M$7+0.000000001,H3014&gt;=01_因子設定!$L$8-0.000000001,H3014&lt;=01_因子設定!$M$8+0.000000001,IF(01_因子設定!$B$20="Box-Behnken",E3014^2+F3014^2+G3014^2+H3014^2&lt;=2+0.000000001,TRUE()))</f>
        <v>1</v>
      </c>
      <c r="AD3014" s="55" t="n">
        <f aca="false">IF(AC3014,IF(01_因子設定!$B$13="最大化",AA3014-01_因子設定!$B$14,IF(01_因子設定!$B$13="最小化",01_因子設定!$B$15-AB3014,MIN(AA3014-01_因子設定!$B$14,01_因子設定!$B$15-AB3014))),-1E+030)</f>
        <v>-4.14806996863378</v>
      </c>
      <c r="AE3014" s="55" t="n">
        <f aca="false">IF(AC3014,IF(01_因子設定!$B$13="最大化",X3014,IF(01_因子設定!$B$13="最小化",-X3014,-ABS(X3014-01_因子設定!$B$16))),-1E+030)</f>
        <v>43.8275995979532</v>
      </c>
      <c r="AF3014" s="55" t="n">
        <f aca="false">AD3014+ROW()*0.000000001</f>
        <v>-4.14806695463378</v>
      </c>
      <c r="AG3014" s="55" t="n">
        <f aca="false">AE3014+ROW()*0.000000001</f>
        <v>43.8276026119532</v>
      </c>
    </row>
    <row r="3015" customFormat="false" ht="15" hidden="false" customHeight="false" outlineLevel="0" collapsed="false">
      <c r="A3015" s="0" t="n">
        <v>4</v>
      </c>
      <c r="B3015" s="0" t="n">
        <v>1</v>
      </c>
      <c r="C3015" s="0" t="n">
        <v>1</v>
      </c>
      <c r="D3015" s="0" t="n">
        <v>4</v>
      </c>
      <c r="E3015" s="0" t="n">
        <f aca="false">-1+A3015*0.25</f>
        <v>0</v>
      </c>
      <c r="F3015" s="0" t="n">
        <f aca="false">-1+B3015*0.25</f>
        <v>-0.75</v>
      </c>
      <c r="G3015" s="0" t="n">
        <f aca="false">-1+C3015*0.25</f>
        <v>-0.75</v>
      </c>
      <c r="H3015" s="0" t="n">
        <f aca="false">-1+D3015*0.25</f>
        <v>0</v>
      </c>
      <c r="I3015" s="0" t="n">
        <f aca="false">1</f>
        <v>1</v>
      </c>
      <c r="J3015" s="0" t="n">
        <f aca="false">E3015</f>
        <v>0</v>
      </c>
      <c r="K3015" s="0" t="n">
        <f aca="false">F3015</f>
        <v>-0.75</v>
      </c>
      <c r="L3015" s="0" t="n">
        <f aca="false">G3015</f>
        <v>-0.75</v>
      </c>
      <c r="M3015" s="0" t="n">
        <f aca="false">H3015</f>
        <v>0</v>
      </c>
      <c r="N3015" s="0" t="n">
        <f aca="false">E3015*F3015</f>
        <v>-0</v>
      </c>
      <c r="O3015" s="0" t="n">
        <f aca="false">E3015*G3015</f>
        <v>-0</v>
      </c>
      <c r="P3015" s="0" t="n">
        <f aca="false">E3015*H3015</f>
        <v>0</v>
      </c>
      <c r="Q3015" s="0" t="n">
        <f aca="false">F3015*G3015</f>
        <v>0.5625</v>
      </c>
      <c r="R3015" s="0" t="n">
        <f aca="false">F3015*H3015</f>
        <v>-0</v>
      </c>
      <c r="S3015" s="0" t="n">
        <f aca="false">G3015*H3015</f>
        <v>-0</v>
      </c>
      <c r="T3015" s="0" t="n">
        <f aca="false">E3015*E3015</f>
        <v>0</v>
      </c>
      <c r="U3015" s="0" t="n">
        <f aca="false">F3015*F3015</f>
        <v>0.5625</v>
      </c>
      <c r="V3015" s="0" t="n">
        <f aca="false">G3015*G3015</f>
        <v>0.5625</v>
      </c>
      <c r="W3015" s="0" t="n">
        <f aca="false">H3015*H3015</f>
        <v>0</v>
      </c>
      <c r="X3015" s="0" t="n">
        <f aca="false">SUMPRODUCT(I3015:W3015,_XtX!$B$96:$P$96)</f>
        <v>43.938829495614</v>
      </c>
      <c r="Y3015" s="0" t="n">
        <f aca="false">SUMPRODUCT(MMULT(I3015:W3015,_XtX!$B$78:$P$92),I3015:W3015)</f>
        <v>0.291636684484649</v>
      </c>
      <c r="Z3015" s="0" t="n">
        <f aca="false">04_回帰ANOVA!$K$19*04_回帰ANOVA!$K$14*SQRT(1+Y3015)</f>
        <v>1.48138716762813</v>
      </c>
      <c r="AA3015" s="0" t="n">
        <f aca="false">X3015-Z3015</f>
        <v>42.4574423279858</v>
      </c>
      <c r="AB3015" s="0" t="n">
        <f aca="false">X3015+Z3015</f>
        <v>45.4202166632421</v>
      </c>
      <c r="AC3015" s="54" t="b">
        <f aca="false">AND(E3015&gt;=01_因子設定!$L$5-0.000000001,E3015&lt;=01_因子設定!$M$5+0.000000001,F3015&gt;=01_因子設定!$L$6-0.000000001,F3015&lt;=01_因子設定!$M$6+0.000000001,G3015&gt;=01_因子設定!$L$7-0.000000001,G3015&lt;=01_因子設定!$M$7+0.000000001,H3015&gt;=01_因子設定!$L$8-0.000000001,H3015&lt;=01_因子設定!$M$8+0.000000001,IF(01_因子設定!$B$20="Box-Behnken",E3015^2+F3015^2+G3015^2+H3015^2&lt;=2+0.000000001,TRUE()))</f>
        <v>1</v>
      </c>
      <c r="AD3015" s="55" t="n">
        <f aca="false">IF(AC3015,IF(01_因子設定!$B$13="最大化",AA3015-01_因子設定!$B$14,IF(01_因子設定!$B$13="最小化",01_因子設定!$B$15-AB3015,MIN(AA3015-01_因子設定!$B$14,01_因子設定!$B$15-AB3015))),-1E+030)</f>
        <v>-4.04255767201416</v>
      </c>
      <c r="AE3015" s="55" t="n">
        <f aca="false">IF(AC3015,IF(01_因子設定!$B$13="最大化",X3015,IF(01_因子設定!$B$13="最小化",-X3015,-ABS(X3015-01_因子設定!$B$16))),-1E+030)</f>
        <v>43.938829495614</v>
      </c>
      <c r="AF3015" s="55" t="n">
        <f aca="false">AD3015+ROW()*0.000000001</f>
        <v>-4.04255465701416</v>
      </c>
      <c r="AG3015" s="55" t="n">
        <f aca="false">AE3015+ROW()*0.000000001</f>
        <v>43.938832510614</v>
      </c>
    </row>
    <row r="3016" customFormat="false" ht="15" hidden="false" customHeight="false" outlineLevel="0" collapsed="false">
      <c r="A3016" s="0" t="n">
        <v>4</v>
      </c>
      <c r="B3016" s="0" t="n">
        <v>1</v>
      </c>
      <c r="C3016" s="0" t="n">
        <v>1</v>
      </c>
      <c r="D3016" s="0" t="n">
        <v>5</v>
      </c>
      <c r="E3016" s="0" t="n">
        <f aca="false">-1+A3016*0.25</f>
        <v>0</v>
      </c>
      <c r="F3016" s="0" t="n">
        <f aca="false">-1+B3016*0.25</f>
        <v>-0.75</v>
      </c>
      <c r="G3016" s="0" t="n">
        <f aca="false">-1+C3016*0.25</f>
        <v>-0.75</v>
      </c>
      <c r="H3016" s="0" t="n">
        <f aca="false">-1+D3016*0.25</f>
        <v>0.25</v>
      </c>
      <c r="I3016" s="0" t="n">
        <f aca="false">1</f>
        <v>1</v>
      </c>
      <c r="J3016" s="0" t="n">
        <f aca="false">E3016</f>
        <v>0</v>
      </c>
      <c r="K3016" s="0" t="n">
        <f aca="false">F3016</f>
        <v>-0.75</v>
      </c>
      <c r="L3016" s="0" t="n">
        <f aca="false">G3016</f>
        <v>-0.75</v>
      </c>
      <c r="M3016" s="0" t="n">
        <f aca="false">H3016</f>
        <v>0.25</v>
      </c>
      <c r="N3016" s="0" t="n">
        <f aca="false">E3016*F3016</f>
        <v>-0</v>
      </c>
      <c r="O3016" s="0" t="n">
        <f aca="false">E3016*G3016</f>
        <v>-0</v>
      </c>
      <c r="P3016" s="0" t="n">
        <f aca="false">E3016*H3016</f>
        <v>0</v>
      </c>
      <c r="Q3016" s="0" t="n">
        <f aca="false">F3016*G3016</f>
        <v>0.5625</v>
      </c>
      <c r="R3016" s="0" t="n">
        <f aca="false">F3016*H3016</f>
        <v>-0.1875</v>
      </c>
      <c r="S3016" s="0" t="n">
        <f aca="false">G3016*H3016</f>
        <v>-0.1875</v>
      </c>
      <c r="T3016" s="0" t="n">
        <f aca="false">E3016*E3016</f>
        <v>0</v>
      </c>
      <c r="U3016" s="0" t="n">
        <f aca="false">F3016*F3016</f>
        <v>0.5625</v>
      </c>
      <c r="V3016" s="0" t="n">
        <f aca="false">G3016*G3016</f>
        <v>0.5625</v>
      </c>
      <c r="W3016" s="0" t="n">
        <f aca="false">H3016*H3016</f>
        <v>0.0625</v>
      </c>
      <c r="X3016" s="0" t="n">
        <f aca="false">SUMPRODUCT(I3016:W3016,_XtX!$B$96:$P$96)</f>
        <v>44.0022523757309</v>
      </c>
      <c r="Y3016" s="0" t="n">
        <f aca="false">SUMPRODUCT(MMULT(I3016:W3016,_XtX!$B$78:$P$92),I3016:W3016)</f>
        <v>0.281685455500731</v>
      </c>
      <c r="Z3016" s="0" t="n">
        <f aca="false">04_回帰ANOVA!$K$19*04_回帰ANOVA!$K$14*SQRT(1+Y3016)</f>
        <v>1.47566956658694</v>
      </c>
      <c r="AA3016" s="0" t="n">
        <f aca="false">X3016-Z3016</f>
        <v>42.526582809144</v>
      </c>
      <c r="AB3016" s="0" t="n">
        <f aca="false">X3016+Z3016</f>
        <v>45.4779219423179</v>
      </c>
      <c r="AC3016" s="54" t="b">
        <f aca="false">AND(E3016&gt;=01_因子設定!$L$5-0.000000001,E3016&lt;=01_因子設定!$M$5+0.000000001,F3016&gt;=01_因子設定!$L$6-0.000000001,F3016&lt;=01_因子設定!$M$6+0.000000001,G3016&gt;=01_因子設定!$L$7-0.000000001,G3016&lt;=01_因子設定!$M$7+0.000000001,H3016&gt;=01_因子設定!$L$8-0.000000001,H3016&lt;=01_因子設定!$M$8+0.000000001,IF(01_因子設定!$B$20="Box-Behnken",E3016^2+F3016^2+G3016^2+H3016^2&lt;=2+0.000000001,TRUE()))</f>
        <v>1</v>
      </c>
      <c r="AD3016" s="55" t="n">
        <f aca="false">IF(AC3016,IF(01_因子設定!$B$13="最大化",AA3016-01_因子設定!$B$14,IF(01_因子設定!$B$13="最小化",01_因子設定!$B$15-AB3016,MIN(AA3016-01_因子設定!$B$14,01_因子設定!$B$15-AB3016))),-1E+030)</f>
        <v>-3.973417190856</v>
      </c>
      <c r="AE3016" s="55" t="n">
        <f aca="false">IF(AC3016,IF(01_因子設定!$B$13="最大化",X3016,IF(01_因子設定!$B$13="最小化",-X3016,-ABS(X3016-01_因子設定!$B$16))),-1E+030)</f>
        <v>44.0022523757309</v>
      </c>
      <c r="AF3016" s="55" t="n">
        <f aca="false">AD3016+ROW()*0.000000001</f>
        <v>-3.973414174856</v>
      </c>
      <c r="AG3016" s="55" t="n">
        <f aca="false">AE3016+ROW()*0.000000001</f>
        <v>44.0022553917309</v>
      </c>
    </row>
    <row r="3017" customFormat="false" ht="15" hidden="false" customHeight="false" outlineLevel="0" collapsed="false">
      <c r="A3017" s="0" t="n">
        <v>4</v>
      </c>
      <c r="B3017" s="0" t="n">
        <v>1</v>
      </c>
      <c r="C3017" s="0" t="n">
        <v>1</v>
      </c>
      <c r="D3017" s="0" t="n">
        <v>6</v>
      </c>
      <c r="E3017" s="0" t="n">
        <f aca="false">-1+A3017*0.25</f>
        <v>0</v>
      </c>
      <c r="F3017" s="0" t="n">
        <f aca="false">-1+B3017*0.25</f>
        <v>-0.75</v>
      </c>
      <c r="G3017" s="0" t="n">
        <f aca="false">-1+C3017*0.25</f>
        <v>-0.75</v>
      </c>
      <c r="H3017" s="0" t="n">
        <f aca="false">-1+D3017*0.25</f>
        <v>0.5</v>
      </c>
      <c r="I3017" s="0" t="n">
        <f aca="false">1</f>
        <v>1</v>
      </c>
      <c r="J3017" s="0" t="n">
        <f aca="false">E3017</f>
        <v>0</v>
      </c>
      <c r="K3017" s="0" t="n">
        <f aca="false">F3017</f>
        <v>-0.75</v>
      </c>
      <c r="L3017" s="0" t="n">
        <f aca="false">G3017</f>
        <v>-0.75</v>
      </c>
      <c r="M3017" s="0" t="n">
        <f aca="false">H3017</f>
        <v>0.5</v>
      </c>
      <c r="N3017" s="0" t="n">
        <f aca="false">E3017*F3017</f>
        <v>-0</v>
      </c>
      <c r="O3017" s="0" t="n">
        <f aca="false">E3017*G3017</f>
        <v>-0</v>
      </c>
      <c r="P3017" s="0" t="n">
        <f aca="false">E3017*H3017</f>
        <v>0</v>
      </c>
      <c r="Q3017" s="0" t="n">
        <f aca="false">F3017*G3017</f>
        <v>0.5625</v>
      </c>
      <c r="R3017" s="0" t="n">
        <f aca="false">F3017*H3017</f>
        <v>-0.375</v>
      </c>
      <c r="S3017" s="0" t="n">
        <f aca="false">G3017*H3017</f>
        <v>-0.375</v>
      </c>
      <c r="T3017" s="0" t="n">
        <f aca="false">E3017*E3017</f>
        <v>0</v>
      </c>
      <c r="U3017" s="0" t="n">
        <f aca="false">F3017*F3017</f>
        <v>0.5625</v>
      </c>
      <c r="V3017" s="0" t="n">
        <f aca="false">G3017*G3017</f>
        <v>0.5625</v>
      </c>
      <c r="W3017" s="0" t="n">
        <f aca="false">H3017*H3017</f>
        <v>0.25</v>
      </c>
      <c r="X3017" s="0" t="n">
        <f aca="false">SUMPRODUCT(I3017:W3017,_XtX!$B$96:$P$96)</f>
        <v>44.017868238304</v>
      </c>
      <c r="Y3017" s="0" t="n">
        <f aca="false">SUMPRODUCT(MMULT(I3017:W3017,_XtX!$B$78:$P$92),I3017:W3017)</f>
        <v>0.269923873812135</v>
      </c>
      <c r="Z3017" s="0" t="n">
        <f aca="false">04_回帰ANOVA!$K$19*04_回帰ANOVA!$K$14*SQRT(1+Y3017)</f>
        <v>1.46888310825501</v>
      </c>
      <c r="AA3017" s="0" t="n">
        <f aca="false">X3017-Z3017</f>
        <v>42.548985130049</v>
      </c>
      <c r="AB3017" s="0" t="n">
        <f aca="false">X3017+Z3017</f>
        <v>45.486751346559</v>
      </c>
      <c r="AC3017" s="54" t="b">
        <f aca="false">AND(E3017&gt;=01_因子設定!$L$5-0.000000001,E3017&lt;=01_因子設定!$M$5+0.000000001,F3017&gt;=01_因子設定!$L$6-0.000000001,F3017&lt;=01_因子設定!$M$6+0.000000001,G3017&gt;=01_因子設定!$L$7-0.000000001,G3017&lt;=01_因子設定!$M$7+0.000000001,H3017&gt;=01_因子設定!$L$8-0.000000001,H3017&lt;=01_因子設定!$M$8+0.000000001,IF(01_因子設定!$B$20="Box-Behnken",E3017^2+F3017^2+G3017^2+H3017^2&lt;=2+0.000000001,TRUE()))</f>
        <v>1</v>
      </c>
      <c r="AD3017" s="55" t="n">
        <f aca="false">IF(AC3017,IF(01_因子設定!$B$13="最大化",AA3017-01_因子設定!$B$14,IF(01_因子設定!$B$13="最小化",01_因子設定!$B$15-AB3017,MIN(AA3017-01_因子設定!$B$14,01_因子設定!$B$15-AB3017))),-1E+030)</f>
        <v>-3.95101486995097</v>
      </c>
      <c r="AE3017" s="55" t="n">
        <f aca="false">IF(AC3017,IF(01_因子設定!$B$13="最大化",X3017,IF(01_因子設定!$B$13="最小化",-X3017,-ABS(X3017-01_因子設定!$B$16))),-1E+030)</f>
        <v>44.017868238304</v>
      </c>
      <c r="AF3017" s="55" t="n">
        <f aca="false">AD3017+ROW()*0.000000001</f>
        <v>-3.95101185295097</v>
      </c>
      <c r="AG3017" s="55" t="n">
        <f aca="false">AE3017+ROW()*0.000000001</f>
        <v>44.017871255304</v>
      </c>
    </row>
    <row r="3018" customFormat="false" ht="15" hidden="false" customHeight="false" outlineLevel="0" collapsed="false">
      <c r="A3018" s="0" t="n">
        <v>4</v>
      </c>
      <c r="B3018" s="0" t="n">
        <v>1</v>
      </c>
      <c r="C3018" s="0" t="n">
        <v>1</v>
      </c>
      <c r="D3018" s="0" t="n">
        <v>7</v>
      </c>
      <c r="E3018" s="0" t="n">
        <f aca="false">-1+A3018*0.25</f>
        <v>0</v>
      </c>
      <c r="F3018" s="0" t="n">
        <f aca="false">-1+B3018*0.25</f>
        <v>-0.75</v>
      </c>
      <c r="G3018" s="0" t="n">
        <f aca="false">-1+C3018*0.25</f>
        <v>-0.75</v>
      </c>
      <c r="H3018" s="0" t="n">
        <f aca="false">-1+D3018*0.25</f>
        <v>0.75</v>
      </c>
      <c r="I3018" s="0" t="n">
        <f aca="false">1</f>
        <v>1</v>
      </c>
      <c r="J3018" s="0" t="n">
        <f aca="false">E3018</f>
        <v>0</v>
      </c>
      <c r="K3018" s="0" t="n">
        <f aca="false">F3018</f>
        <v>-0.75</v>
      </c>
      <c r="L3018" s="0" t="n">
        <f aca="false">G3018</f>
        <v>-0.75</v>
      </c>
      <c r="M3018" s="0" t="n">
        <f aca="false">H3018</f>
        <v>0.75</v>
      </c>
      <c r="N3018" s="0" t="n">
        <f aca="false">E3018*F3018</f>
        <v>-0</v>
      </c>
      <c r="O3018" s="0" t="n">
        <f aca="false">E3018*G3018</f>
        <v>-0</v>
      </c>
      <c r="P3018" s="0" t="n">
        <f aca="false">E3018*H3018</f>
        <v>0</v>
      </c>
      <c r="Q3018" s="0" t="n">
        <f aca="false">F3018*G3018</f>
        <v>0.5625</v>
      </c>
      <c r="R3018" s="0" t="n">
        <f aca="false">F3018*H3018</f>
        <v>-0.5625</v>
      </c>
      <c r="S3018" s="0" t="n">
        <f aca="false">G3018*H3018</f>
        <v>-0.5625</v>
      </c>
      <c r="T3018" s="0" t="n">
        <f aca="false">E3018*E3018</f>
        <v>0</v>
      </c>
      <c r="U3018" s="0" t="n">
        <f aca="false">F3018*F3018</f>
        <v>0.5625</v>
      </c>
      <c r="V3018" s="0" t="n">
        <f aca="false">G3018*G3018</f>
        <v>0.5625</v>
      </c>
      <c r="W3018" s="0" t="n">
        <f aca="false">H3018*H3018</f>
        <v>0.5625</v>
      </c>
      <c r="X3018" s="0" t="n">
        <f aca="false">SUMPRODUCT(I3018:W3018,_XtX!$B$96:$P$96)</f>
        <v>43.9856770833333</v>
      </c>
      <c r="Y3018" s="0" t="n">
        <f aca="false">SUMPRODUCT(MMULT(I3018:W3018,_XtX!$B$78:$P$92),I3018:W3018)</f>
        <v>0.310628255208333</v>
      </c>
      <c r="Z3018" s="0" t="n">
        <f aca="false">04_回帰ANOVA!$K$19*04_回帰ANOVA!$K$14*SQRT(1+Y3018)</f>
        <v>1.49223820892344</v>
      </c>
      <c r="AA3018" s="0" t="n">
        <f aca="false">X3018-Z3018</f>
        <v>42.4934388744099</v>
      </c>
      <c r="AB3018" s="0" t="n">
        <f aca="false">X3018+Z3018</f>
        <v>45.4779152922567</v>
      </c>
      <c r="AC3018" s="54" t="b">
        <f aca="false">AND(E3018&gt;=01_因子設定!$L$5-0.000000001,E3018&lt;=01_因子設定!$M$5+0.000000001,F3018&gt;=01_因子設定!$L$6-0.000000001,F3018&lt;=01_因子設定!$M$6+0.000000001,G3018&gt;=01_因子設定!$L$7-0.000000001,G3018&lt;=01_因子設定!$M$7+0.000000001,H3018&gt;=01_因子設定!$L$8-0.000000001,H3018&lt;=01_因子設定!$M$8+0.000000001,IF(01_因子設定!$B$20="Box-Behnken",E3018^2+F3018^2+G3018^2+H3018^2&lt;=2+0.000000001,TRUE()))</f>
        <v>1</v>
      </c>
      <c r="AD3018" s="55" t="n">
        <f aca="false">IF(AC3018,IF(01_因子設定!$B$13="最大化",AA3018-01_因子設定!$B$14,IF(01_因子設定!$B$13="最小化",01_因子設定!$B$15-AB3018,MIN(AA3018-01_因子設定!$B$14,01_因子設定!$B$15-AB3018))),-1E+030)</f>
        <v>-4.00656112559015</v>
      </c>
      <c r="AE3018" s="55" t="n">
        <f aca="false">IF(AC3018,IF(01_因子設定!$B$13="最大化",X3018,IF(01_因子設定!$B$13="最小化",-X3018,-ABS(X3018-01_因子設定!$B$16))),-1E+030)</f>
        <v>43.9856770833333</v>
      </c>
      <c r="AF3018" s="55" t="n">
        <f aca="false">AD3018+ROW()*0.000000001</f>
        <v>-4.00655810759015</v>
      </c>
      <c r="AG3018" s="55" t="n">
        <f aca="false">AE3018+ROW()*0.000000001</f>
        <v>43.9856801013333</v>
      </c>
    </row>
    <row r="3019" customFormat="false" ht="15" hidden="false" customHeight="false" outlineLevel="0" collapsed="false">
      <c r="A3019" s="0" t="n">
        <v>4</v>
      </c>
      <c r="B3019" s="0" t="n">
        <v>1</v>
      </c>
      <c r="C3019" s="0" t="n">
        <v>1</v>
      </c>
      <c r="D3019" s="0" t="n">
        <v>8</v>
      </c>
      <c r="E3019" s="0" t="n">
        <f aca="false">-1+A3019*0.25</f>
        <v>0</v>
      </c>
      <c r="F3019" s="0" t="n">
        <f aca="false">-1+B3019*0.25</f>
        <v>-0.75</v>
      </c>
      <c r="G3019" s="0" t="n">
        <f aca="false">-1+C3019*0.25</f>
        <v>-0.75</v>
      </c>
      <c r="H3019" s="0" t="n">
        <f aca="false">-1+D3019*0.25</f>
        <v>1</v>
      </c>
      <c r="I3019" s="0" t="n">
        <f aca="false">1</f>
        <v>1</v>
      </c>
      <c r="J3019" s="0" t="n">
        <f aca="false">E3019</f>
        <v>0</v>
      </c>
      <c r="K3019" s="0" t="n">
        <f aca="false">F3019</f>
        <v>-0.75</v>
      </c>
      <c r="L3019" s="0" t="n">
        <f aca="false">G3019</f>
        <v>-0.75</v>
      </c>
      <c r="M3019" s="0" t="n">
        <f aca="false">H3019</f>
        <v>1</v>
      </c>
      <c r="N3019" s="0" t="n">
        <f aca="false">E3019*F3019</f>
        <v>-0</v>
      </c>
      <c r="O3019" s="0" t="n">
        <f aca="false">E3019*G3019</f>
        <v>-0</v>
      </c>
      <c r="P3019" s="0" t="n">
        <f aca="false">E3019*H3019</f>
        <v>0</v>
      </c>
      <c r="Q3019" s="0" t="n">
        <f aca="false">F3019*G3019</f>
        <v>0.5625</v>
      </c>
      <c r="R3019" s="0" t="n">
        <f aca="false">F3019*H3019</f>
        <v>-0.75</v>
      </c>
      <c r="S3019" s="0" t="n">
        <f aca="false">G3019*H3019</f>
        <v>-0.75</v>
      </c>
      <c r="T3019" s="0" t="n">
        <f aca="false">E3019*E3019</f>
        <v>0</v>
      </c>
      <c r="U3019" s="0" t="n">
        <f aca="false">F3019*F3019</f>
        <v>0.5625</v>
      </c>
      <c r="V3019" s="0" t="n">
        <f aca="false">G3019*G3019</f>
        <v>0.5625</v>
      </c>
      <c r="W3019" s="0" t="n">
        <f aca="false">H3019*H3019</f>
        <v>1</v>
      </c>
      <c r="X3019" s="0" t="n">
        <f aca="false">SUMPRODUCT(I3019:W3019,_XtX!$B$96:$P$96)</f>
        <v>43.9056789108187</v>
      </c>
      <c r="Y3019" s="0" t="n">
        <f aca="false">SUMPRODUCT(MMULT(I3019:W3019,_XtX!$B$78:$P$92),I3019:W3019)</f>
        <v>0.494259126005117</v>
      </c>
      <c r="Z3019" s="0" t="n">
        <f aca="false">04_回帰ANOVA!$K$19*04_回帰ANOVA!$K$14*SQRT(1+Y3019)</f>
        <v>1.59335061078203</v>
      </c>
      <c r="AA3019" s="0" t="n">
        <f aca="false">X3019-Z3019</f>
        <v>42.3123283000367</v>
      </c>
      <c r="AB3019" s="0" t="n">
        <f aca="false">X3019+Z3019</f>
        <v>45.4990295216007</v>
      </c>
      <c r="AC3019" s="54" t="b">
        <f aca="false">AND(E3019&gt;=01_因子設定!$L$5-0.000000001,E3019&lt;=01_因子設定!$M$5+0.000000001,F3019&gt;=01_因子設定!$L$6-0.000000001,F3019&lt;=01_因子設定!$M$6+0.000000001,G3019&gt;=01_因子設定!$L$7-0.000000001,G3019&lt;=01_因子設定!$M$7+0.000000001,H3019&gt;=01_因子設定!$L$8-0.000000001,H3019&lt;=01_因子設定!$M$8+0.000000001,IF(01_因子設定!$B$20="Box-Behnken",E3019^2+F3019^2+G3019^2+H3019^2&lt;=2+0.000000001,TRUE()))</f>
        <v>1</v>
      </c>
      <c r="AD3019" s="55" t="n">
        <f aca="false">IF(AC3019,IF(01_因子設定!$B$13="最大化",AA3019-01_因子設定!$B$14,IF(01_因子設定!$B$13="最小化",01_因子設定!$B$15-AB3019,MIN(AA3019-01_因子設定!$B$14,01_因子設定!$B$15-AB3019))),-1E+030)</f>
        <v>-4.18767169996334</v>
      </c>
      <c r="AE3019" s="55" t="n">
        <f aca="false">IF(AC3019,IF(01_因子設定!$B$13="最大化",X3019,IF(01_因子設定!$B$13="最小化",-X3019,-ABS(X3019-01_因子設定!$B$16))),-1E+030)</f>
        <v>43.9056789108187</v>
      </c>
      <c r="AF3019" s="55" t="n">
        <f aca="false">AD3019+ROW()*0.000000001</f>
        <v>-4.18766868096334</v>
      </c>
      <c r="AG3019" s="55" t="n">
        <f aca="false">AE3019+ROW()*0.000000001</f>
        <v>43.9056819298187</v>
      </c>
    </row>
    <row r="3020" customFormat="false" ht="15" hidden="false" customHeight="false" outlineLevel="0" collapsed="false">
      <c r="A3020" s="0" t="n">
        <v>4</v>
      </c>
      <c r="B3020" s="0" t="n">
        <v>1</v>
      </c>
      <c r="C3020" s="0" t="n">
        <v>2</v>
      </c>
      <c r="D3020" s="0" t="n">
        <v>0</v>
      </c>
      <c r="E3020" s="0" t="n">
        <f aca="false">-1+A3020*0.25</f>
        <v>0</v>
      </c>
      <c r="F3020" s="0" t="n">
        <f aca="false">-1+B3020*0.25</f>
        <v>-0.75</v>
      </c>
      <c r="G3020" s="0" t="n">
        <f aca="false">-1+C3020*0.25</f>
        <v>-0.5</v>
      </c>
      <c r="H3020" s="0" t="n">
        <f aca="false">-1+D3020*0.25</f>
        <v>-1</v>
      </c>
      <c r="I3020" s="0" t="n">
        <f aca="false">1</f>
        <v>1</v>
      </c>
      <c r="J3020" s="0" t="n">
        <f aca="false">E3020</f>
        <v>0</v>
      </c>
      <c r="K3020" s="0" t="n">
        <f aca="false">F3020</f>
        <v>-0.75</v>
      </c>
      <c r="L3020" s="0" t="n">
        <f aca="false">G3020</f>
        <v>-0.5</v>
      </c>
      <c r="M3020" s="0" t="n">
        <f aca="false">H3020</f>
        <v>-1</v>
      </c>
      <c r="N3020" s="0" t="n">
        <f aca="false">E3020*F3020</f>
        <v>-0</v>
      </c>
      <c r="O3020" s="0" t="n">
        <f aca="false">E3020*G3020</f>
        <v>-0</v>
      </c>
      <c r="P3020" s="0" t="n">
        <f aca="false">E3020*H3020</f>
        <v>-0</v>
      </c>
      <c r="Q3020" s="0" t="n">
        <f aca="false">F3020*G3020</f>
        <v>0.375</v>
      </c>
      <c r="R3020" s="0" t="n">
        <f aca="false">F3020*H3020</f>
        <v>0.75</v>
      </c>
      <c r="S3020" s="0" t="n">
        <f aca="false">G3020*H3020</f>
        <v>0.5</v>
      </c>
      <c r="T3020" s="0" t="n">
        <f aca="false">E3020*E3020</f>
        <v>0</v>
      </c>
      <c r="U3020" s="0" t="n">
        <f aca="false">F3020*F3020</f>
        <v>0.5625</v>
      </c>
      <c r="V3020" s="0" t="n">
        <f aca="false">G3020*G3020</f>
        <v>0.25</v>
      </c>
      <c r="W3020" s="0" t="n">
        <f aca="false">H3020*H3020</f>
        <v>1</v>
      </c>
      <c r="X3020" s="0" t="n">
        <f aca="false">SUMPRODUCT(I3020:W3020,_XtX!$B$96:$P$96)</f>
        <v>43.5356999269006</v>
      </c>
      <c r="Y3020" s="0" t="n">
        <f aca="false">SUMPRODUCT(MMULT(I3020:W3020,_XtX!$B$78:$P$92),I3020:W3020)</f>
        <v>0.476191292032164</v>
      </c>
      <c r="Z3020" s="0" t="n">
        <f aca="false">04_回帰ANOVA!$K$19*04_回帰ANOVA!$K$14*SQRT(1+Y3020)</f>
        <v>1.58368831471718</v>
      </c>
      <c r="AA3020" s="0" t="n">
        <f aca="false">X3020-Z3020</f>
        <v>41.9520116121834</v>
      </c>
      <c r="AB3020" s="0" t="n">
        <f aca="false">X3020+Z3020</f>
        <v>45.1193882416177</v>
      </c>
      <c r="AC3020" s="54" t="b">
        <f aca="false">AND(E3020&gt;=01_因子設定!$L$5-0.000000001,E3020&lt;=01_因子設定!$M$5+0.000000001,F3020&gt;=01_因子設定!$L$6-0.000000001,F3020&lt;=01_因子設定!$M$6+0.000000001,G3020&gt;=01_因子設定!$L$7-0.000000001,G3020&lt;=01_因子設定!$M$7+0.000000001,H3020&gt;=01_因子設定!$L$8-0.000000001,H3020&lt;=01_因子設定!$M$8+0.000000001,IF(01_因子設定!$B$20="Box-Behnken",E3020^2+F3020^2+G3020^2+H3020^2&lt;=2+0.000000001,TRUE()))</f>
        <v>1</v>
      </c>
      <c r="AD3020" s="55" t="n">
        <f aca="false">IF(AC3020,IF(01_因子設定!$B$13="最大化",AA3020-01_因子設定!$B$14,IF(01_因子設定!$B$13="最小化",01_因子設定!$B$15-AB3020,MIN(AA3020-01_因子設定!$B$14,01_因子設定!$B$15-AB3020))),-1E+030)</f>
        <v>-4.54798838781662</v>
      </c>
      <c r="AE3020" s="55" t="n">
        <f aca="false">IF(AC3020,IF(01_因子設定!$B$13="最大化",X3020,IF(01_因子設定!$B$13="最小化",-X3020,-ABS(X3020-01_因子設定!$B$16))),-1E+030)</f>
        <v>43.5356999269006</v>
      </c>
      <c r="AF3020" s="55" t="n">
        <f aca="false">AD3020+ROW()*0.000000001</f>
        <v>-4.54798536781662</v>
      </c>
      <c r="AG3020" s="55" t="n">
        <f aca="false">AE3020+ROW()*0.000000001</f>
        <v>43.5357029469006</v>
      </c>
    </row>
    <row r="3021" customFormat="false" ht="15" hidden="false" customHeight="false" outlineLevel="0" collapsed="false">
      <c r="A3021" s="0" t="n">
        <v>4</v>
      </c>
      <c r="B3021" s="0" t="n">
        <v>1</v>
      </c>
      <c r="C3021" s="0" t="n">
        <v>2</v>
      </c>
      <c r="D3021" s="0" t="n">
        <v>1</v>
      </c>
      <c r="E3021" s="0" t="n">
        <f aca="false">-1+A3021*0.25</f>
        <v>0</v>
      </c>
      <c r="F3021" s="0" t="n">
        <f aca="false">-1+B3021*0.25</f>
        <v>-0.75</v>
      </c>
      <c r="G3021" s="0" t="n">
        <f aca="false">-1+C3021*0.25</f>
        <v>-0.5</v>
      </c>
      <c r="H3021" s="0" t="n">
        <f aca="false">-1+D3021*0.25</f>
        <v>-0.75</v>
      </c>
      <c r="I3021" s="0" t="n">
        <f aca="false">1</f>
        <v>1</v>
      </c>
      <c r="J3021" s="0" t="n">
        <f aca="false">E3021</f>
        <v>0</v>
      </c>
      <c r="K3021" s="0" t="n">
        <f aca="false">F3021</f>
        <v>-0.75</v>
      </c>
      <c r="L3021" s="0" t="n">
        <f aca="false">G3021</f>
        <v>-0.5</v>
      </c>
      <c r="M3021" s="0" t="n">
        <f aca="false">H3021</f>
        <v>-0.75</v>
      </c>
      <c r="N3021" s="0" t="n">
        <f aca="false">E3021*F3021</f>
        <v>-0</v>
      </c>
      <c r="O3021" s="0" t="n">
        <f aca="false">E3021*G3021</f>
        <v>-0</v>
      </c>
      <c r="P3021" s="0" t="n">
        <f aca="false">E3021*H3021</f>
        <v>-0</v>
      </c>
      <c r="Q3021" s="0" t="n">
        <f aca="false">F3021*G3021</f>
        <v>0.375</v>
      </c>
      <c r="R3021" s="0" t="n">
        <f aca="false">F3021*H3021</f>
        <v>0.5625</v>
      </c>
      <c r="S3021" s="0" t="n">
        <f aca="false">G3021*H3021</f>
        <v>0.375</v>
      </c>
      <c r="T3021" s="0" t="n">
        <f aca="false">E3021*E3021</f>
        <v>0</v>
      </c>
      <c r="U3021" s="0" t="n">
        <f aca="false">F3021*F3021</f>
        <v>0.5625</v>
      </c>
      <c r="V3021" s="0" t="n">
        <f aca="false">G3021*G3021</f>
        <v>0.25</v>
      </c>
      <c r="W3021" s="0" t="n">
        <f aca="false">H3021*H3021</f>
        <v>0.5625</v>
      </c>
      <c r="X3021" s="0" t="n">
        <f aca="false">SUMPRODUCT(I3021:W3021,_XtX!$B$96:$P$96)</f>
        <v>43.8083196271929</v>
      </c>
      <c r="Y3021" s="0" t="n">
        <f aca="false">SUMPRODUCT(MMULT(I3021:W3021,_XtX!$B$78:$P$92),I3021:W3021)</f>
        <v>0.269923873812135</v>
      </c>
      <c r="Z3021" s="0" t="n">
        <f aca="false">04_回帰ANOVA!$K$19*04_回帰ANOVA!$K$14*SQRT(1+Y3021)</f>
        <v>1.46888310825501</v>
      </c>
      <c r="AA3021" s="0" t="n">
        <f aca="false">X3021-Z3021</f>
        <v>42.3394365189379</v>
      </c>
      <c r="AB3021" s="0" t="n">
        <f aca="false">X3021+Z3021</f>
        <v>45.2772027354479</v>
      </c>
      <c r="AC3021" s="54" t="b">
        <f aca="false">AND(E3021&gt;=01_因子設定!$L$5-0.000000001,E3021&lt;=01_因子設定!$M$5+0.000000001,F3021&gt;=01_因子設定!$L$6-0.000000001,F3021&lt;=01_因子設定!$M$6+0.000000001,G3021&gt;=01_因子設定!$L$7-0.000000001,G3021&lt;=01_因子設定!$M$7+0.000000001,H3021&gt;=01_因子設定!$L$8-0.000000001,H3021&lt;=01_因子設定!$M$8+0.000000001,IF(01_因子設定!$B$20="Box-Behnken",E3021^2+F3021^2+G3021^2+H3021^2&lt;=2+0.000000001,TRUE()))</f>
        <v>1</v>
      </c>
      <c r="AD3021" s="55" t="n">
        <f aca="false">IF(AC3021,IF(01_因子設定!$B$13="最大化",AA3021-01_因子設定!$B$14,IF(01_因子設定!$B$13="最小化",01_因子設定!$B$15-AB3021,MIN(AA3021-01_因子設定!$B$14,01_因子設定!$B$15-AB3021))),-1E+030)</f>
        <v>-4.16056348106207</v>
      </c>
      <c r="AE3021" s="55" t="n">
        <f aca="false">IF(AC3021,IF(01_因子設定!$B$13="最大化",X3021,IF(01_因子設定!$B$13="最小化",-X3021,-ABS(X3021-01_因子設定!$B$16))),-1E+030)</f>
        <v>43.8083196271929</v>
      </c>
      <c r="AF3021" s="55" t="n">
        <f aca="false">AD3021+ROW()*0.000000001</f>
        <v>-4.16056046006207</v>
      </c>
      <c r="AG3021" s="55" t="n">
        <f aca="false">AE3021+ROW()*0.000000001</f>
        <v>43.8083226481929</v>
      </c>
    </row>
    <row r="3022" customFormat="false" ht="15" hidden="false" customHeight="false" outlineLevel="0" collapsed="false">
      <c r="A3022" s="0" t="n">
        <v>4</v>
      </c>
      <c r="B3022" s="0" t="n">
        <v>1</v>
      </c>
      <c r="C3022" s="0" t="n">
        <v>2</v>
      </c>
      <c r="D3022" s="0" t="n">
        <v>2</v>
      </c>
      <c r="E3022" s="0" t="n">
        <f aca="false">-1+A3022*0.25</f>
        <v>0</v>
      </c>
      <c r="F3022" s="0" t="n">
        <f aca="false">-1+B3022*0.25</f>
        <v>-0.75</v>
      </c>
      <c r="G3022" s="0" t="n">
        <f aca="false">-1+C3022*0.25</f>
        <v>-0.5</v>
      </c>
      <c r="H3022" s="0" t="n">
        <f aca="false">-1+D3022*0.25</f>
        <v>-0.5</v>
      </c>
      <c r="I3022" s="0" t="n">
        <f aca="false">1</f>
        <v>1</v>
      </c>
      <c r="J3022" s="0" t="n">
        <f aca="false">E3022</f>
        <v>0</v>
      </c>
      <c r="K3022" s="0" t="n">
        <f aca="false">F3022</f>
        <v>-0.75</v>
      </c>
      <c r="L3022" s="0" t="n">
        <f aca="false">G3022</f>
        <v>-0.5</v>
      </c>
      <c r="M3022" s="0" t="n">
        <f aca="false">H3022</f>
        <v>-0.5</v>
      </c>
      <c r="N3022" s="0" t="n">
        <f aca="false">E3022*F3022</f>
        <v>-0</v>
      </c>
      <c r="O3022" s="0" t="n">
        <f aca="false">E3022*G3022</f>
        <v>-0</v>
      </c>
      <c r="P3022" s="0" t="n">
        <f aca="false">E3022*H3022</f>
        <v>-0</v>
      </c>
      <c r="Q3022" s="0" t="n">
        <f aca="false">F3022*G3022</f>
        <v>0.375</v>
      </c>
      <c r="R3022" s="0" t="n">
        <f aca="false">F3022*H3022</f>
        <v>0.375</v>
      </c>
      <c r="S3022" s="0" t="n">
        <f aca="false">G3022*H3022</f>
        <v>0.25</v>
      </c>
      <c r="T3022" s="0" t="n">
        <f aca="false">E3022*E3022</f>
        <v>0</v>
      </c>
      <c r="U3022" s="0" t="n">
        <f aca="false">F3022*F3022</f>
        <v>0.5625</v>
      </c>
      <c r="V3022" s="0" t="n">
        <f aca="false">G3022*G3022</f>
        <v>0.25</v>
      </c>
      <c r="W3022" s="0" t="n">
        <f aca="false">H3022*H3022</f>
        <v>0.25</v>
      </c>
      <c r="X3022" s="0" t="n">
        <f aca="false">SUMPRODUCT(I3022:W3022,_XtX!$B$96:$P$96)</f>
        <v>44.0331323099415</v>
      </c>
      <c r="Y3022" s="0" t="n">
        <f aca="false">SUMPRODUCT(MMULT(I3022:W3022,_XtX!$B$78:$P$92),I3022:W3022)</f>
        <v>0.21305052997076</v>
      </c>
      <c r="Z3022" s="0" t="n">
        <f aca="false">04_回帰ANOVA!$K$19*04_回帰ANOVA!$K$14*SQRT(1+Y3022)</f>
        <v>1.43561450835061</v>
      </c>
      <c r="AA3022" s="0" t="n">
        <f aca="false">X3022-Z3022</f>
        <v>42.5975178015909</v>
      </c>
      <c r="AB3022" s="0" t="n">
        <f aca="false">X3022+Z3022</f>
        <v>45.4687468182921</v>
      </c>
      <c r="AC3022" s="54" t="b">
        <f aca="false">AND(E3022&gt;=01_因子設定!$L$5-0.000000001,E3022&lt;=01_因子設定!$M$5+0.000000001,F3022&gt;=01_因子設定!$L$6-0.000000001,F3022&lt;=01_因子設定!$M$6+0.000000001,G3022&gt;=01_因子設定!$L$7-0.000000001,G3022&lt;=01_因子設定!$M$7+0.000000001,H3022&gt;=01_因子設定!$L$8-0.000000001,H3022&lt;=01_因子設定!$M$8+0.000000001,IF(01_因子設定!$B$20="Box-Behnken",E3022^2+F3022^2+G3022^2+H3022^2&lt;=2+0.000000001,TRUE()))</f>
        <v>1</v>
      </c>
      <c r="AD3022" s="55" t="n">
        <f aca="false">IF(AC3022,IF(01_因子設定!$B$13="最大化",AA3022-01_因子設定!$B$14,IF(01_因子設定!$B$13="最小化",01_因子設定!$B$15-AB3022,MIN(AA3022-01_因子設定!$B$14,01_因子設定!$B$15-AB3022))),-1E+030)</f>
        <v>-3.90248219840914</v>
      </c>
      <c r="AE3022" s="55" t="n">
        <f aca="false">IF(AC3022,IF(01_因子設定!$B$13="最大化",X3022,IF(01_因子設定!$B$13="最小化",-X3022,-ABS(X3022-01_因子設定!$B$16))),-1E+030)</f>
        <v>44.0331323099415</v>
      </c>
      <c r="AF3022" s="55" t="n">
        <f aca="false">AD3022+ROW()*0.000000001</f>
        <v>-3.90247917640914</v>
      </c>
      <c r="AG3022" s="55" t="n">
        <f aca="false">AE3022+ROW()*0.000000001</f>
        <v>44.0331353319415</v>
      </c>
    </row>
    <row r="3023" customFormat="false" ht="15" hidden="false" customHeight="false" outlineLevel="0" collapsed="false">
      <c r="A3023" s="0" t="n">
        <v>4</v>
      </c>
      <c r="B3023" s="0" t="n">
        <v>1</v>
      </c>
      <c r="C3023" s="0" t="n">
        <v>2</v>
      </c>
      <c r="D3023" s="0" t="n">
        <v>3</v>
      </c>
      <c r="E3023" s="0" t="n">
        <f aca="false">-1+A3023*0.25</f>
        <v>0</v>
      </c>
      <c r="F3023" s="0" t="n">
        <f aca="false">-1+B3023*0.25</f>
        <v>-0.75</v>
      </c>
      <c r="G3023" s="0" t="n">
        <f aca="false">-1+C3023*0.25</f>
        <v>-0.5</v>
      </c>
      <c r="H3023" s="0" t="n">
        <f aca="false">-1+D3023*0.25</f>
        <v>-0.25</v>
      </c>
      <c r="I3023" s="0" t="n">
        <f aca="false">1</f>
        <v>1</v>
      </c>
      <c r="J3023" s="0" t="n">
        <f aca="false">E3023</f>
        <v>0</v>
      </c>
      <c r="K3023" s="0" t="n">
        <f aca="false">F3023</f>
        <v>-0.75</v>
      </c>
      <c r="L3023" s="0" t="n">
        <f aca="false">G3023</f>
        <v>-0.5</v>
      </c>
      <c r="M3023" s="0" t="n">
        <f aca="false">H3023</f>
        <v>-0.25</v>
      </c>
      <c r="N3023" s="0" t="n">
        <f aca="false">E3023*F3023</f>
        <v>-0</v>
      </c>
      <c r="O3023" s="0" t="n">
        <f aca="false">E3023*G3023</f>
        <v>-0</v>
      </c>
      <c r="P3023" s="0" t="n">
        <f aca="false">E3023*H3023</f>
        <v>-0</v>
      </c>
      <c r="Q3023" s="0" t="n">
        <f aca="false">F3023*G3023</f>
        <v>0.375</v>
      </c>
      <c r="R3023" s="0" t="n">
        <f aca="false">F3023*H3023</f>
        <v>0.1875</v>
      </c>
      <c r="S3023" s="0" t="n">
        <f aca="false">G3023*H3023</f>
        <v>0.125</v>
      </c>
      <c r="T3023" s="0" t="n">
        <f aca="false">E3023*E3023</f>
        <v>0</v>
      </c>
      <c r="U3023" s="0" t="n">
        <f aca="false">F3023*F3023</f>
        <v>0.5625</v>
      </c>
      <c r="V3023" s="0" t="n">
        <f aca="false">G3023*G3023</f>
        <v>0.25</v>
      </c>
      <c r="W3023" s="0" t="n">
        <f aca="false">H3023*H3023</f>
        <v>0.0625</v>
      </c>
      <c r="X3023" s="0" t="n">
        <f aca="false">SUMPRODUCT(I3023:W3023,_XtX!$B$96:$P$96)</f>
        <v>44.2101379751461</v>
      </c>
      <c r="Y3023" s="0" t="n">
        <f aca="false">SUMPRODUCT(MMULT(I3023:W3023,_XtX!$B$78:$P$92),I3023:W3023)</f>
        <v>0.215110734192252</v>
      </c>
      <c r="Z3023" s="0" t="n">
        <f aca="false">04_回帰ANOVA!$K$19*04_回帰ANOVA!$K$14*SQRT(1+Y3023)</f>
        <v>1.43683309086864</v>
      </c>
      <c r="AA3023" s="0" t="n">
        <f aca="false">X3023-Z3023</f>
        <v>42.7733048842775</v>
      </c>
      <c r="AB3023" s="0" t="n">
        <f aca="false">X3023+Z3023</f>
        <v>45.6469710660148</v>
      </c>
      <c r="AC3023" s="54" t="b">
        <f aca="false">AND(E3023&gt;=01_因子設定!$L$5-0.000000001,E3023&lt;=01_因子設定!$M$5+0.000000001,F3023&gt;=01_因子設定!$L$6-0.000000001,F3023&lt;=01_因子設定!$M$6+0.000000001,G3023&gt;=01_因子設定!$L$7-0.000000001,G3023&lt;=01_因子設定!$M$7+0.000000001,H3023&gt;=01_因子設定!$L$8-0.000000001,H3023&lt;=01_因子設定!$M$8+0.000000001,IF(01_因子設定!$B$20="Box-Behnken",E3023^2+F3023^2+G3023^2+H3023^2&lt;=2+0.000000001,TRUE()))</f>
        <v>1</v>
      </c>
      <c r="AD3023" s="55" t="n">
        <f aca="false">IF(AC3023,IF(01_因子設定!$B$13="最大化",AA3023-01_因子設定!$B$14,IF(01_因子設定!$B$13="最小化",01_因子設定!$B$15-AB3023,MIN(AA3023-01_因子設定!$B$14,01_因子設定!$B$15-AB3023))),-1E+030)</f>
        <v>-3.72669511572251</v>
      </c>
      <c r="AE3023" s="55" t="n">
        <f aca="false">IF(AC3023,IF(01_因子設定!$B$13="最大化",X3023,IF(01_因子設定!$B$13="最小化",-X3023,-ABS(X3023-01_因子設定!$B$16))),-1E+030)</f>
        <v>44.2101379751461</v>
      </c>
      <c r="AF3023" s="55" t="n">
        <f aca="false">AD3023+ROW()*0.000000001</f>
        <v>-3.72669209272251</v>
      </c>
      <c r="AG3023" s="55" t="n">
        <f aca="false">AE3023+ROW()*0.000000001</f>
        <v>44.2101409981461</v>
      </c>
    </row>
    <row r="3024" customFormat="false" ht="15" hidden="false" customHeight="false" outlineLevel="0" collapsed="false">
      <c r="A3024" s="0" t="n">
        <v>4</v>
      </c>
      <c r="B3024" s="0" t="n">
        <v>1</v>
      </c>
      <c r="C3024" s="0" t="n">
        <v>2</v>
      </c>
      <c r="D3024" s="0" t="n">
        <v>4</v>
      </c>
      <c r="E3024" s="0" t="n">
        <f aca="false">-1+A3024*0.25</f>
        <v>0</v>
      </c>
      <c r="F3024" s="0" t="n">
        <f aca="false">-1+B3024*0.25</f>
        <v>-0.75</v>
      </c>
      <c r="G3024" s="0" t="n">
        <f aca="false">-1+C3024*0.25</f>
        <v>-0.5</v>
      </c>
      <c r="H3024" s="0" t="n">
        <f aca="false">-1+D3024*0.25</f>
        <v>0</v>
      </c>
      <c r="I3024" s="0" t="n">
        <f aca="false">1</f>
        <v>1</v>
      </c>
      <c r="J3024" s="0" t="n">
        <f aca="false">E3024</f>
        <v>0</v>
      </c>
      <c r="K3024" s="0" t="n">
        <f aca="false">F3024</f>
        <v>-0.75</v>
      </c>
      <c r="L3024" s="0" t="n">
        <f aca="false">G3024</f>
        <v>-0.5</v>
      </c>
      <c r="M3024" s="0" t="n">
        <f aca="false">H3024</f>
        <v>0</v>
      </c>
      <c r="N3024" s="0" t="n">
        <f aca="false">E3024*F3024</f>
        <v>-0</v>
      </c>
      <c r="O3024" s="0" t="n">
        <f aca="false">E3024*G3024</f>
        <v>-0</v>
      </c>
      <c r="P3024" s="0" t="n">
        <f aca="false">E3024*H3024</f>
        <v>0</v>
      </c>
      <c r="Q3024" s="0" t="n">
        <f aca="false">F3024*G3024</f>
        <v>0.375</v>
      </c>
      <c r="R3024" s="0" t="n">
        <f aca="false">F3024*H3024</f>
        <v>-0</v>
      </c>
      <c r="S3024" s="0" t="n">
        <f aca="false">G3024*H3024</f>
        <v>-0</v>
      </c>
      <c r="T3024" s="0" t="n">
        <f aca="false">E3024*E3024</f>
        <v>0</v>
      </c>
      <c r="U3024" s="0" t="n">
        <f aca="false">F3024*F3024</f>
        <v>0.5625</v>
      </c>
      <c r="V3024" s="0" t="n">
        <f aca="false">G3024*G3024</f>
        <v>0.25</v>
      </c>
      <c r="W3024" s="0" t="n">
        <f aca="false">H3024*H3024</f>
        <v>0</v>
      </c>
      <c r="X3024" s="0" t="n">
        <f aca="false">SUMPRODUCT(I3024:W3024,_XtX!$B$96:$P$96)</f>
        <v>44.339336622807</v>
      </c>
      <c r="Y3024" s="0" t="n">
        <f aca="false">SUMPRODUCT(MMULT(I3024:W3024,_XtX!$B$78:$P$92),I3024:W3024)</f>
        <v>0.221828170687135</v>
      </c>
      <c r="Z3024" s="0" t="n">
        <f aca="false">04_回帰ANOVA!$K$19*04_回帰ANOVA!$K$14*SQRT(1+Y3024)</f>
        <v>1.44079920361664</v>
      </c>
      <c r="AA3024" s="0" t="n">
        <f aca="false">X3024-Z3024</f>
        <v>42.8985374191903</v>
      </c>
      <c r="AB3024" s="0" t="n">
        <f aca="false">X3024+Z3024</f>
        <v>45.7801358264236</v>
      </c>
      <c r="AC3024" s="54" t="b">
        <f aca="false">AND(E3024&gt;=01_因子設定!$L$5-0.000000001,E3024&lt;=01_因子設定!$M$5+0.000000001,F3024&gt;=01_因子設定!$L$6-0.000000001,F3024&lt;=01_因子設定!$M$6+0.000000001,G3024&gt;=01_因子設定!$L$7-0.000000001,G3024&lt;=01_因子設定!$M$7+0.000000001,H3024&gt;=01_因子設定!$L$8-0.000000001,H3024&lt;=01_因子設定!$M$8+0.000000001,IF(01_因子設定!$B$20="Box-Behnken",E3024^2+F3024^2+G3024^2+H3024^2&lt;=2+0.000000001,TRUE()))</f>
        <v>1</v>
      </c>
      <c r="AD3024" s="55" t="n">
        <f aca="false">IF(AC3024,IF(01_因子設定!$B$13="最大化",AA3024-01_因子設定!$B$14,IF(01_因子設定!$B$13="最小化",01_因子設定!$B$15-AB3024,MIN(AA3024-01_因子設定!$B$14,01_因子設定!$B$15-AB3024))),-1E+030)</f>
        <v>-3.60146258080969</v>
      </c>
      <c r="AE3024" s="55" t="n">
        <f aca="false">IF(AC3024,IF(01_因子設定!$B$13="最大化",X3024,IF(01_因子設定!$B$13="最小化",-X3024,-ABS(X3024-01_因子設定!$B$16))),-1E+030)</f>
        <v>44.339336622807</v>
      </c>
      <c r="AF3024" s="55" t="n">
        <f aca="false">AD3024+ROW()*0.000000001</f>
        <v>-3.60145955680969</v>
      </c>
      <c r="AG3024" s="55" t="n">
        <f aca="false">AE3024+ROW()*0.000000001</f>
        <v>44.339339646807</v>
      </c>
    </row>
    <row r="3025" customFormat="false" ht="15" hidden="false" customHeight="false" outlineLevel="0" collapsed="false">
      <c r="A3025" s="0" t="n">
        <v>4</v>
      </c>
      <c r="B3025" s="0" t="n">
        <v>1</v>
      </c>
      <c r="C3025" s="0" t="n">
        <v>2</v>
      </c>
      <c r="D3025" s="0" t="n">
        <v>5</v>
      </c>
      <c r="E3025" s="0" t="n">
        <f aca="false">-1+A3025*0.25</f>
        <v>0</v>
      </c>
      <c r="F3025" s="0" t="n">
        <f aca="false">-1+B3025*0.25</f>
        <v>-0.75</v>
      </c>
      <c r="G3025" s="0" t="n">
        <f aca="false">-1+C3025*0.25</f>
        <v>-0.5</v>
      </c>
      <c r="H3025" s="0" t="n">
        <f aca="false">-1+D3025*0.25</f>
        <v>0.25</v>
      </c>
      <c r="I3025" s="0" t="n">
        <f aca="false">1</f>
        <v>1</v>
      </c>
      <c r="J3025" s="0" t="n">
        <f aca="false">E3025</f>
        <v>0</v>
      </c>
      <c r="K3025" s="0" t="n">
        <f aca="false">F3025</f>
        <v>-0.75</v>
      </c>
      <c r="L3025" s="0" t="n">
        <f aca="false">G3025</f>
        <v>-0.5</v>
      </c>
      <c r="M3025" s="0" t="n">
        <f aca="false">H3025</f>
        <v>0.25</v>
      </c>
      <c r="N3025" s="0" t="n">
        <f aca="false">E3025*F3025</f>
        <v>-0</v>
      </c>
      <c r="O3025" s="0" t="n">
        <f aca="false">E3025*G3025</f>
        <v>-0</v>
      </c>
      <c r="P3025" s="0" t="n">
        <f aca="false">E3025*H3025</f>
        <v>0</v>
      </c>
      <c r="Q3025" s="0" t="n">
        <f aca="false">F3025*G3025</f>
        <v>0.375</v>
      </c>
      <c r="R3025" s="0" t="n">
        <f aca="false">F3025*H3025</f>
        <v>-0.1875</v>
      </c>
      <c r="S3025" s="0" t="n">
        <f aca="false">G3025*H3025</f>
        <v>-0.125</v>
      </c>
      <c r="T3025" s="0" t="n">
        <f aca="false">E3025*E3025</f>
        <v>0</v>
      </c>
      <c r="U3025" s="0" t="n">
        <f aca="false">F3025*F3025</f>
        <v>0.5625</v>
      </c>
      <c r="V3025" s="0" t="n">
        <f aca="false">G3025*G3025</f>
        <v>0.25</v>
      </c>
      <c r="W3025" s="0" t="n">
        <f aca="false">H3025*H3025</f>
        <v>0.0625</v>
      </c>
      <c r="X3025" s="0" t="n">
        <f aca="false">SUMPRODUCT(I3025:W3025,_XtX!$B$96:$P$96)</f>
        <v>44.4207282529239</v>
      </c>
      <c r="Y3025" s="0" t="n">
        <f aca="false">SUMPRODUCT(MMULT(I3025:W3025,_XtX!$B$78:$P$92),I3025:W3025)</f>
        <v>0.215110734192252</v>
      </c>
      <c r="Z3025" s="0" t="n">
        <f aca="false">04_回帰ANOVA!$K$19*04_回帰ANOVA!$K$14*SQRT(1+Y3025)</f>
        <v>1.43683309086864</v>
      </c>
      <c r="AA3025" s="0" t="n">
        <f aca="false">X3025-Z3025</f>
        <v>42.9838951620553</v>
      </c>
      <c r="AB3025" s="0" t="n">
        <f aca="false">X3025+Z3025</f>
        <v>45.8575613437926</v>
      </c>
      <c r="AC3025" s="54" t="b">
        <f aca="false">AND(E3025&gt;=01_因子設定!$L$5-0.000000001,E3025&lt;=01_因子設定!$M$5+0.000000001,F3025&gt;=01_因子設定!$L$6-0.000000001,F3025&lt;=01_因子設定!$M$6+0.000000001,G3025&gt;=01_因子設定!$L$7-0.000000001,G3025&lt;=01_因子設定!$M$7+0.000000001,H3025&gt;=01_因子設定!$L$8-0.000000001,H3025&lt;=01_因子設定!$M$8+0.000000001,IF(01_因子設定!$B$20="Box-Behnken",E3025^2+F3025^2+G3025^2+H3025^2&lt;=2+0.000000001,TRUE()))</f>
        <v>1</v>
      </c>
      <c r="AD3025" s="55" t="n">
        <f aca="false">IF(AC3025,IF(01_因子設定!$B$13="最大化",AA3025-01_因子設定!$B$14,IF(01_因子設定!$B$13="最小化",01_因子設定!$B$15-AB3025,MIN(AA3025-01_因子設定!$B$14,01_因子設定!$B$15-AB3025))),-1E+030)</f>
        <v>-3.51610483794473</v>
      </c>
      <c r="AE3025" s="55" t="n">
        <f aca="false">IF(AC3025,IF(01_因子設定!$B$13="最大化",X3025,IF(01_因子設定!$B$13="最小化",-X3025,-ABS(X3025-01_因子設定!$B$16))),-1E+030)</f>
        <v>44.4207282529239</v>
      </c>
      <c r="AF3025" s="55" t="n">
        <f aca="false">AD3025+ROW()*0.000000001</f>
        <v>-3.51610181294473</v>
      </c>
      <c r="AG3025" s="55" t="n">
        <f aca="false">AE3025+ROW()*0.000000001</f>
        <v>44.4207312779239</v>
      </c>
    </row>
    <row r="3026" customFormat="false" ht="15" hidden="false" customHeight="false" outlineLevel="0" collapsed="false">
      <c r="A3026" s="0" t="n">
        <v>4</v>
      </c>
      <c r="B3026" s="0" t="n">
        <v>1</v>
      </c>
      <c r="C3026" s="0" t="n">
        <v>2</v>
      </c>
      <c r="D3026" s="0" t="n">
        <v>6</v>
      </c>
      <c r="E3026" s="0" t="n">
        <f aca="false">-1+A3026*0.25</f>
        <v>0</v>
      </c>
      <c r="F3026" s="0" t="n">
        <f aca="false">-1+B3026*0.25</f>
        <v>-0.75</v>
      </c>
      <c r="G3026" s="0" t="n">
        <f aca="false">-1+C3026*0.25</f>
        <v>-0.5</v>
      </c>
      <c r="H3026" s="0" t="n">
        <f aca="false">-1+D3026*0.25</f>
        <v>0.5</v>
      </c>
      <c r="I3026" s="0" t="n">
        <f aca="false">1</f>
        <v>1</v>
      </c>
      <c r="J3026" s="0" t="n">
        <f aca="false">E3026</f>
        <v>0</v>
      </c>
      <c r="K3026" s="0" t="n">
        <f aca="false">F3026</f>
        <v>-0.75</v>
      </c>
      <c r="L3026" s="0" t="n">
        <f aca="false">G3026</f>
        <v>-0.5</v>
      </c>
      <c r="M3026" s="0" t="n">
        <f aca="false">H3026</f>
        <v>0.5</v>
      </c>
      <c r="N3026" s="0" t="n">
        <f aca="false">E3026*F3026</f>
        <v>-0</v>
      </c>
      <c r="O3026" s="0" t="n">
        <f aca="false">E3026*G3026</f>
        <v>-0</v>
      </c>
      <c r="P3026" s="0" t="n">
        <f aca="false">E3026*H3026</f>
        <v>0</v>
      </c>
      <c r="Q3026" s="0" t="n">
        <f aca="false">F3026*G3026</f>
        <v>0.375</v>
      </c>
      <c r="R3026" s="0" t="n">
        <f aca="false">F3026*H3026</f>
        <v>-0.375</v>
      </c>
      <c r="S3026" s="0" t="n">
        <f aca="false">G3026*H3026</f>
        <v>-0.25</v>
      </c>
      <c r="T3026" s="0" t="n">
        <f aca="false">E3026*E3026</f>
        <v>0</v>
      </c>
      <c r="U3026" s="0" t="n">
        <f aca="false">F3026*F3026</f>
        <v>0.5625</v>
      </c>
      <c r="V3026" s="0" t="n">
        <f aca="false">G3026*G3026</f>
        <v>0.25</v>
      </c>
      <c r="W3026" s="0" t="n">
        <f aca="false">H3026*H3026</f>
        <v>0.25</v>
      </c>
      <c r="X3026" s="0" t="n">
        <f aca="false">SUMPRODUCT(I3026:W3026,_XtX!$B$96:$P$96)</f>
        <v>44.454312865497</v>
      </c>
      <c r="Y3026" s="0" t="n">
        <f aca="false">SUMPRODUCT(MMULT(I3026:W3026,_XtX!$B$78:$P$92),I3026:W3026)</f>
        <v>0.21305052997076</v>
      </c>
      <c r="Z3026" s="0" t="n">
        <f aca="false">04_回帰ANOVA!$K$19*04_回帰ANOVA!$K$14*SQRT(1+Y3026)</f>
        <v>1.43561450835061</v>
      </c>
      <c r="AA3026" s="0" t="n">
        <f aca="false">X3026-Z3026</f>
        <v>43.0186983571464</v>
      </c>
      <c r="AB3026" s="0" t="n">
        <f aca="false">X3026+Z3026</f>
        <v>45.8899273738476</v>
      </c>
      <c r="AC3026" s="54" t="b">
        <f aca="false">AND(E3026&gt;=01_因子設定!$L$5-0.000000001,E3026&lt;=01_因子設定!$M$5+0.000000001,F3026&gt;=01_因子設定!$L$6-0.000000001,F3026&lt;=01_因子設定!$M$6+0.000000001,G3026&gt;=01_因子設定!$L$7-0.000000001,G3026&lt;=01_因子設定!$M$7+0.000000001,H3026&gt;=01_因子設定!$L$8-0.000000001,H3026&lt;=01_因子設定!$M$8+0.000000001,IF(01_因子設定!$B$20="Box-Behnken",E3026^2+F3026^2+G3026^2+H3026^2&lt;=2+0.000000001,TRUE()))</f>
        <v>1</v>
      </c>
      <c r="AD3026" s="55" t="n">
        <f aca="false">IF(AC3026,IF(01_因子設定!$B$13="最大化",AA3026-01_因子設定!$B$14,IF(01_因子設定!$B$13="最小化",01_因子設定!$B$15-AB3026,MIN(AA3026-01_因子設定!$B$14,01_因子設定!$B$15-AB3026))),-1E+030)</f>
        <v>-3.48130164285359</v>
      </c>
      <c r="AE3026" s="55" t="n">
        <f aca="false">IF(AC3026,IF(01_因子設定!$B$13="最大化",X3026,IF(01_因子設定!$B$13="最小化",-X3026,-ABS(X3026-01_因子設定!$B$16))),-1E+030)</f>
        <v>44.454312865497</v>
      </c>
      <c r="AF3026" s="55" t="n">
        <f aca="false">AD3026+ROW()*0.000000001</f>
        <v>-3.48129861685359</v>
      </c>
      <c r="AG3026" s="55" t="n">
        <f aca="false">AE3026+ROW()*0.000000001</f>
        <v>44.454315891497</v>
      </c>
    </row>
    <row r="3027" customFormat="false" ht="15" hidden="false" customHeight="false" outlineLevel="0" collapsed="false">
      <c r="A3027" s="0" t="n">
        <v>4</v>
      </c>
      <c r="B3027" s="0" t="n">
        <v>1</v>
      </c>
      <c r="C3027" s="0" t="n">
        <v>2</v>
      </c>
      <c r="D3027" s="0" t="n">
        <v>7</v>
      </c>
      <c r="E3027" s="0" t="n">
        <f aca="false">-1+A3027*0.25</f>
        <v>0</v>
      </c>
      <c r="F3027" s="0" t="n">
        <f aca="false">-1+B3027*0.25</f>
        <v>-0.75</v>
      </c>
      <c r="G3027" s="0" t="n">
        <f aca="false">-1+C3027*0.25</f>
        <v>-0.5</v>
      </c>
      <c r="H3027" s="0" t="n">
        <f aca="false">-1+D3027*0.25</f>
        <v>0.75</v>
      </c>
      <c r="I3027" s="0" t="n">
        <f aca="false">1</f>
        <v>1</v>
      </c>
      <c r="J3027" s="0" t="n">
        <f aca="false">E3027</f>
        <v>0</v>
      </c>
      <c r="K3027" s="0" t="n">
        <f aca="false">F3027</f>
        <v>-0.75</v>
      </c>
      <c r="L3027" s="0" t="n">
        <f aca="false">G3027</f>
        <v>-0.5</v>
      </c>
      <c r="M3027" s="0" t="n">
        <f aca="false">H3027</f>
        <v>0.75</v>
      </c>
      <c r="N3027" s="0" t="n">
        <f aca="false">E3027*F3027</f>
        <v>-0</v>
      </c>
      <c r="O3027" s="0" t="n">
        <f aca="false">E3027*G3027</f>
        <v>-0</v>
      </c>
      <c r="P3027" s="0" t="n">
        <f aca="false">E3027*H3027</f>
        <v>0</v>
      </c>
      <c r="Q3027" s="0" t="n">
        <f aca="false">F3027*G3027</f>
        <v>0.375</v>
      </c>
      <c r="R3027" s="0" t="n">
        <f aca="false">F3027*H3027</f>
        <v>-0.5625</v>
      </c>
      <c r="S3027" s="0" t="n">
        <f aca="false">G3027*H3027</f>
        <v>-0.375</v>
      </c>
      <c r="T3027" s="0" t="n">
        <f aca="false">E3027*E3027</f>
        <v>0</v>
      </c>
      <c r="U3027" s="0" t="n">
        <f aca="false">F3027*F3027</f>
        <v>0.5625</v>
      </c>
      <c r="V3027" s="0" t="n">
        <f aca="false">G3027*G3027</f>
        <v>0.25</v>
      </c>
      <c r="W3027" s="0" t="n">
        <f aca="false">H3027*H3027</f>
        <v>0.5625</v>
      </c>
      <c r="X3027" s="0" t="n">
        <f aca="false">SUMPRODUCT(I3027:W3027,_XtX!$B$96:$P$96)</f>
        <v>44.4400904605263</v>
      </c>
      <c r="Y3027" s="0" t="n">
        <f aca="false">SUMPRODUCT(MMULT(I3027:W3027,_XtX!$B$78:$P$92),I3027:W3027)</f>
        <v>0.269923873812135</v>
      </c>
      <c r="Z3027" s="0" t="n">
        <f aca="false">04_回帰ANOVA!$K$19*04_回帰ANOVA!$K$14*SQRT(1+Y3027)</f>
        <v>1.46888310825501</v>
      </c>
      <c r="AA3027" s="0" t="n">
        <f aca="false">X3027-Z3027</f>
        <v>42.9712073522713</v>
      </c>
      <c r="AB3027" s="0" t="n">
        <f aca="false">X3027+Z3027</f>
        <v>45.9089735687813</v>
      </c>
      <c r="AC3027" s="54" t="b">
        <f aca="false">AND(E3027&gt;=01_因子設定!$L$5-0.000000001,E3027&lt;=01_因子設定!$M$5+0.000000001,F3027&gt;=01_因子設定!$L$6-0.000000001,F3027&lt;=01_因子設定!$M$6+0.000000001,G3027&gt;=01_因子設定!$L$7-0.000000001,G3027&lt;=01_因子設定!$M$7+0.000000001,H3027&gt;=01_因子設定!$L$8-0.000000001,H3027&lt;=01_因子設定!$M$8+0.000000001,IF(01_因子設定!$B$20="Box-Behnken",E3027^2+F3027^2+G3027^2+H3027^2&lt;=2+0.000000001,TRUE()))</f>
        <v>1</v>
      </c>
      <c r="AD3027" s="55" t="n">
        <f aca="false">IF(AC3027,IF(01_因子設定!$B$13="最大化",AA3027-01_因子設定!$B$14,IF(01_因子設定!$B$13="最小化",01_因子設定!$B$15-AB3027,MIN(AA3027-01_因子設定!$B$14,01_因子設定!$B$15-AB3027))),-1E+030)</f>
        <v>-3.52879264772874</v>
      </c>
      <c r="AE3027" s="55" t="n">
        <f aca="false">IF(AC3027,IF(01_因子設定!$B$13="最大化",X3027,IF(01_因子設定!$B$13="最小化",-X3027,-ABS(X3027-01_因子設定!$B$16))),-1E+030)</f>
        <v>44.4400904605263</v>
      </c>
      <c r="AF3027" s="55" t="n">
        <f aca="false">AD3027+ROW()*0.000000001</f>
        <v>-3.52878962072874</v>
      </c>
      <c r="AG3027" s="55" t="n">
        <f aca="false">AE3027+ROW()*0.000000001</f>
        <v>44.4400934875263</v>
      </c>
    </row>
    <row r="3028" customFormat="false" ht="15" hidden="false" customHeight="false" outlineLevel="0" collapsed="false">
      <c r="A3028" s="0" t="n">
        <v>4</v>
      </c>
      <c r="B3028" s="0" t="n">
        <v>1</v>
      </c>
      <c r="C3028" s="0" t="n">
        <v>2</v>
      </c>
      <c r="D3028" s="0" t="n">
        <v>8</v>
      </c>
      <c r="E3028" s="0" t="n">
        <f aca="false">-1+A3028*0.25</f>
        <v>0</v>
      </c>
      <c r="F3028" s="0" t="n">
        <f aca="false">-1+B3028*0.25</f>
        <v>-0.75</v>
      </c>
      <c r="G3028" s="0" t="n">
        <f aca="false">-1+C3028*0.25</f>
        <v>-0.5</v>
      </c>
      <c r="H3028" s="0" t="n">
        <f aca="false">-1+D3028*0.25</f>
        <v>1</v>
      </c>
      <c r="I3028" s="0" t="n">
        <f aca="false">1</f>
        <v>1</v>
      </c>
      <c r="J3028" s="0" t="n">
        <f aca="false">E3028</f>
        <v>0</v>
      </c>
      <c r="K3028" s="0" t="n">
        <f aca="false">F3028</f>
        <v>-0.75</v>
      </c>
      <c r="L3028" s="0" t="n">
        <f aca="false">G3028</f>
        <v>-0.5</v>
      </c>
      <c r="M3028" s="0" t="n">
        <f aca="false">H3028</f>
        <v>1</v>
      </c>
      <c r="N3028" s="0" t="n">
        <f aca="false">E3028*F3028</f>
        <v>-0</v>
      </c>
      <c r="O3028" s="0" t="n">
        <f aca="false">E3028*G3028</f>
        <v>-0</v>
      </c>
      <c r="P3028" s="0" t="n">
        <f aca="false">E3028*H3028</f>
        <v>0</v>
      </c>
      <c r="Q3028" s="0" t="n">
        <f aca="false">F3028*G3028</f>
        <v>0.375</v>
      </c>
      <c r="R3028" s="0" t="n">
        <f aca="false">F3028*H3028</f>
        <v>-0.75</v>
      </c>
      <c r="S3028" s="0" t="n">
        <f aca="false">G3028*H3028</f>
        <v>-0.5</v>
      </c>
      <c r="T3028" s="0" t="n">
        <f aca="false">E3028*E3028</f>
        <v>0</v>
      </c>
      <c r="U3028" s="0" t="n">
        <f aca="false">F3028*F3028</f>
        <v>0.5625</v>
      </c>
      <c r="V3028" s="0" t="n">
        <f aca="false">G3028*G3028</f>
        <v>0.25</v>
      </c>
      <c r="W3028" s="0" t="n">
        <f aca="false">H3028*H3028</f>
        <v>1</v>
      </c>
      <c r="X3028" s="0" t="n">
        <f aca="false">SUMPRODUCT(I3028:W3028,_XtX!$B$96:$P$96)</f>
        <v>44.3780610380117</v>
      </c>
      <c r="Y3028" s="0" t="n">
        <f aca="false">SUMPRODUCT(MMULT(I3028:W3028,_XtX!$B$78:$P$92),I3028:W3028)</f>
        <v>0.476191292032164</v>
      </c>
      <c r="Z3028" s="0" t="n">
        <f aca="false">04_回帰ANOVA!$K$19*04_回帰ANOVA!$K$14*SQRT(1+Y3028)</f>
        <v>1.58368831471718</v>
      </c>
      <c r="AA3028" s="0" t="n">
        <f aca="false">X3028-Z3028</f>
        <v>42.7943727232945</v>
      </c>
      <c r="AB3028" s="0" t="n">
        <f aca="false">X3028+Z3028</f>
        <v>45.9617493527288</v>
      </c>
      <c r="AC3028" s="54" t="b">
        <f aca="false">AND(E3028&gt;=01_因子設定!$L$5-0.000000001,E3028&lt;=01_因子設定!$M$5+0.000000001,F3028&gt;=01_因子設定!$L$6-0.000000001,F3028&lt;=01_因子設定!$M$6+0.000000001,G3028&gt;=01_因子設定!$L$7-0.000000001,G3028&lt;=01_因子設定!$M$7+0.000000001,H3028&gt;=01_因子設定!$L$8-0.000000001,H3028&lt;=01_因子設定!$M$8+0.000000001,IF(01_因子設定!$B$20="Box-Behnken",E3028^2+F3028^2+G3028^2+H3028^2&lt;=2+0.000000001,TRUE()))</f>
        <v>1</v>
      </c>
      <c r="AD3028" s="55" t="n">
        <f aca="false">IF(AC3028,IF(01_因子設定!$B$13="最大化",AA3028-01_因子設定!$B$14,IF(01_因子設定!$B$13="最小化",01_因子設定!$B$15-AB3028,MIN(AA3028-01_因子設定!$B$14,01_因子設定!$B$15-AB3028))),-1E+030)</f>
        <v>-3.70562727670551</v>
      </c>
      <c r="AE3028" s="55" t="n">
        <f aca="false">IF(AC3028,IF(01_因子設定!$B$13="最大化",X3028,IF(01_因子設定!$B$13="最小化",-X3028,-ABS(X3028-01_因子設定!$B$16))),-1E+030)</f>
        <v>44.3780610380117</v>
      </c>
      <c r="AF3028" s="55" t="n">
        <f aca="false">AD3028+ROW()*0.000000001</f>
        <v>-3.70562424870551</v>
      </c>
      <c r="AG3028" s="55" t="n">
        <f aca="false">AE3028+ROW()*0.000000001</f>
        <v>44.3780640660117</v>
      </c>
    </row>
    <row r="3029" customFormat="false" ht="15" hidden="false" customHeight="false" outlineLevel="0" collapsed="false">
      <c r="A3029" s="0" t="n">
        <v>4</v>
      </c>
      <c r="B3029" s="0" t="n">
        <v>1</v>
      </c>
      <c r="C3029" s="0" t="n">
        <v>3</v>
      </c>
      <c r="D3029" s="0" t="n">
        <v>0</v>
      </c>
      <c r="E3029" s="0" t="n">
        <f aca="false">-1+A3029*0.25</f>
        <v>0</v>
      </c>
      <c r="F3029" s="0" t="n">
        <f aca="false">-1+B3029*0.25</f>
        <v>-0.75</v>
      </c>
      <c r="G3029" s="0" t="n">
        <f aca="false">-1+C3029*0.25</f>
        <v>-0.25</v>
      </c>
      <c r="H3029" s="0" t="n">
        <f aca="false">-1+D3029*0.25</f>
        <v>-1</v>
      </c>
      <c r="I3029" s="0" t="n">
        <f aca="false">1</f>
        <v>1</v>
      </c>
      <c r="J3029" s="0" t="n">
        <f aca="false">E3029</f>
        <v>0</v>
      </c>
      <c r="K3029" s="0" t="n">
        <f aca="false">F3029</f>
        <v>-0.75</v>
      </c>
      <c r="L3029" s="0" t="n">
        <f aca="false">G3029</f>
        <v>-0.25</v>
      </c>
      <c r="M3029" s="0" t="n">
        <f aca="false">H3029</f>
        <v>-1</v>
      </c>
      <c r="N3029" s="0" t="n">
        <f aca="false">E3029*F3029</f>
        <v>-0</v>
      </c>
      <c r="O3029" s="0" t="n">
        <f aca="false">E3029*G3029</f>
        <v>-0</v>
      </c>
      <c r="P3029" s="0" t="n">
        <f aca="false">E3029*H3029</f>
        <v>-0</v>
      </c>
      <c r="Q3029" s="0" t="n">
        <f aca="false">F3029*G3029</f>
        <v>0.1875</v>
      </c>
      <c r="R3029" s="0" t="n">
        <f aca="false">F3029*H3029</f>
        <v>0.75</v>
      </c>
      <c r="S3029" s="0" t="n">
        <f aca="false">G3029*H3029</f>
        <v>0.25</v>
      </c>
      <c r="T3029" s="0" t="n">
        <f aca="false">E3029*E3029</f>
        <v>0</v>
      </c>
      <c r="U3029" s="0" t="n">
        <f aca="false">F3029*F3029</f>
        <v>0.5625</v>
      </c>
      <c r="V3029" s="0" t="n">
        <f aca="false">G3029*G3029</f>
        <v>0.0625</v>
      </c>
      <c r="W3029" s="0" t="n">
        <f aca="false">H3029*H3029</f>
        <v>1</v>
      </c>
      <c r="X3029" s="0" t="n">
        <f aca="false">SUMPRODUCT(I3029:W3029,_XtX!$B$96:$P$96)</f>
        <v>43.7790250365497</v>
      </c>
      <c r="Y3029" s="0" t="n">
        <f aca="false">SUMPRODUCT(MMULT(I3029:W3029,_XtX!$B$78:$P$92),I3029:W3029)</f>
        <v>0.501534802174708</v>
      </c>
      <c r="Z3029" s="0" t="n">
        <f aca="false">04_回帰ANOVA!$K$19*04_回帰ANOVA!$K$14*SQRT(1+Y3029)</f>
        <v>1.59722498091333</v>
      </c>
      <c r="AA3029" s="0" t="n">
        <f aca="false">X3029-Z3029</f>
        <v>42.1818000556363</v>
      </c>
      <c r="AB3029" s="0" t="n">
        <f aca="false">X3029+Z3029</f>
        <v>45.376250017463</v>
      </c>
      <c r="AC3029" s="54" t="b">
        <f aca="false">AND(E3029&gt;=01_因子設定!$L$5-0.000000001,E3029&lt;=01_因子設定!$M$5+0.000000001,F3029&gt;=01_因子設定!$L$6-0.000000001,F3029&lt;=01_因子設定!$M$6+0.000000001,G3029&gt;=01_因子設定!$L$7-0.000000001,G3029&lt;=01_因子設定!$M$7+0.000000001,H3029&gt;=01_因子設定!$L$8-0.000000001,H3029&lt;=01_因子設定!$M$8+0.000000001,IF(01_因子設定!$B$20="Box-Behnken",E3029^2+F3029^2+G3029^2+H3029^2&lt;=2+0.000000001,TRUE()))</f>
        <v>1</v>
      </c>
      <c r="AD3029" s="55" t="n">
        <f aca="false">IF(AC3029,IF(01_因子設定!$B$13="最大化",AA3029-01_因子設定!$B$14,IF(01_因子設定!$B$13="最小化",01_因子設定!$B$15-AB3029,MIN(AA3029-01_因子設定!$B$14,01_因子設定!$B$15-AB3029))),-1E+030)</f>
        <v>-4.31819994436366</v>
      </c>
      <c r="AE3029" s="55" t="n">
        <f aca="false">IF(AC3029,IF(01_因子設定!$B$13="最大化",X3029,IF(01_因子設定!$B$13="最小化",-X3029,-ABS(X3029-01_因子設定!$B$16))),-1E+030)</f>
        <v>43.7790250365497</v>
      </c>
      <c r="AF3029" s="55" t="n">
        <f aca="false">AD3029+ROW()*0.000000001</f>
        <v>-4.31819691536366</v>
      </c>
      <c r="AG3029" s="55" t="n">
        <f aca="false">AE3029+ROW()*0.000000001</f>
        <v>43.7790280655497</v>
      </c>
    </row>
    <row r="3030" customFormat="false" ht="15" hidden="false" customHeight="false" outlineLevel="0" collapsed="false">
      <c r="A3030" s="0" t="n">
        <v>4</v>
      </c>
      <c r="B3030" s="0" t="n">
        <v>1</v>
      </c>
      <c r="C3030" s="0" t="n">
        <v>3</v>
      </c>
      <c r="D3030" s="0" t="n">
        <v>1</v>
      </c>
      <c r="E3030" s="0" t="n">
        <f aca="false">-1+A3030*0.25</f>
        <v>0</v>
      </c>
      <c r="F3030" s="0" t="n">
        <f aca="false">-1+B3030*0.25</f>
        <v>-0.75</v>
      </c>
      <c r="G3030" s="0" t="n">
        <f aca="false">-1+C3030*0.25</f>
        <v>-0.25</v>
      </c>
      <c r="H3030" s="0" t="n">
        <f aca="false">-1+D3030*0.25</f>
        <v>-0.75</v>
      </c>
      <c r="I3030" s="0" t="n">
        <f aca="false">1</f>
        <v>1</v>
      </c>
      <c r="J3030" s="0" t="n">
        <f aca="false">E3030</f>
        <v>0</v>
      </c>
      <c r="K3030" s="0" t="n">
        <f aca="false">F3030</f>
        <v>-0.75</v>
      </c>
      <c r="L3030" s="0" t="n">
        <f aca="false">G3030</f>
        <v>-0.25</v>
      </c>
      <c r="M3030" s="0" t="n">
        <f aca="false">H3030</f>
        <v>-0.75</v>
      </c>
      <c r="N3030" s="0" t="n">
        <f aca="false">E3030*F3030</f>
        <v>-0</v>
      </c>
      <c r="O3030" s="0" t="n">
        <f aca="false">E3030*G3030</f>
        <v>-0</v>
      </c>
      <c r="P3030" s="0" t="n">
        <f aca="false">E3030*H3030</f>
        <v>-0</v>
      </c>
      <c r="Q3030" s="0" t="n">
        <f aca="false">F3030*G3030</f>
        <v>0.1875</v>
      </c>
      <c r="R3030" s="0" t="n">
        <f aca="false">F3030*H3030</f>
        <v>0.5625</v>
      </c>
      <c r="S3030" s="0" t="n">
        <f aca="false">G3030*H3030</f>
        <v>0.1875</v>
      </c>
      <c r="T3030" s="0" t="n">
        <f aca="false">E3030*E3030</f>
        <v>0</v>
      </c>
      <c r="U3030" s="0" t="n">
        <f aca="false">F3030*F3030</f>
        <v>0.5625</v>
      </c>
      <c r="V3030" s="0" t="n">
        <f aca="false">G3030*G3030</f>
        <v>0.0625</v>
      </c>
      <c r="W3030" s="0" t="n">
        <f aca="false">H3030*H3030</f>
        <v>0.5625</v>
      </c>
      <c r="X3030" s="0" t="n">
        <f aca="false">SUMPRODUCT(I3030:W3030,_XtX!$B$96:$P$96)</f>
        <v>44.0696134868421</v>
      </c>
      <c r="Y3030" s="0" t="n">
        <f aca="false">SUMPRODUCT(MMULT(I3030:W3030,_XtX!$B$78:$P$92),I3030:W3030)</f>
        <v>0.281685455500731</v>
      </c>
      <c r="Z3030" s="0" t="n">
        <f aca="false">04_回帰ANOVA!$K$19*04_回帰ANOVA!$K$14*SQRT(1+Y3030)</f>
        <v>1.47566956658694</v>
      </c>
      <c r="AA3030" s="0" t="n">
        <f aca="false">X3030-Z3030</f>
        <v>42.5939439202551</v>
      </c>
      <c r="AB3030" s="0" t="n">
        <f aca="false">X3030+Z3030</f>
        <v>45.545283053429</v>
      </c>
      <c r="AC3030" s="54" t="b">
        <f aca="false">AND(E3030&gt;=01_因子設定!$L$5-0.000000001,E3030&lt;=01_因子設定!$M$5+0.000000001,F3030&gt;=01_因子設定!$L$6-0.000000001,F3030&lt;=01_因子設定!$M$6+0.000000001,G3030&gt;=01_因子設定!$L$7-0.000000001,G3030&lt;=01_因子設定!$M$7+0.000000001,H3030&gt;=01_因子設定!$L$8-0.000000001,H3030&lt;=01_因子設定!$M$8+0.000000001,IF(01_因子設定!$B$20="Box-Behnken",E3030^2+F3030^2+G3030^2+H3030^2&lt;=2+0.000000001,TRUE()))</f>
        <v>1</v>
      </c>
      <c r="AD3030" s="55" t="n">
        <f aca="false">IF(AC3030,IF(01_因子設定!$B$13="最大化",AA3030-01_因子設定!$B$14,IF(01_因子設定!$B$13="最小化",01_因子設定!$B$15-AB3030,MIN(AA3030-01_因子設定!$B$14,01_因子設定!$B$15-AB3030))),-1E+030)</f>
        <v>-3.90605607974488</v>
      </c>
      <c r="AE3030" s="55" t="n">
        <f aca="false">IF(AC3030,IF(01_因子設定!$B$13="最大化",X3030,IF(01_因子設定!$B$13="最小化",-X3030,-ABS(X3030-01_因子設定!$B$16))),-1E+030)</f>
        <v>44.0696134868421</v>
      </c>
      <c r="AF3030" s="55" t="n">
        <f aca="false">AD3030+ROW()*0.000000001</f>
        <v>-3.90605304974488</v>
      </c>
      <c r="AG3030" s="55" t="n">
        <f aca="false">AE3030+ROW()*0.000000001</f>
        <v>44.0696165168421</v>
      </c>
    </row>
    <row r="3031" customFormat="false" ht="15" hidden="false" customHeight="false" outlineLevel="0" collapsed="false">
      <c r="A3031" s="0" t="n">
        <v>4</v>
      </c>
      <c r="B3031" s="0" t="n">
        <v>1</v>
      </c>
      <c r="C3031" s="0" t="n">
        <v>3</v>
      </c>
      <c r="D3031" s="0" t="n">
        <v>2</v>
      </c>
      <c r="E3031" s="0" t="n">
        <f aca="false">-1+A3031*0.25</f>
        <v>0</v>
      </c>
      <c r="F3031" s="0" t="n">
        <f aca="false">-1+B3031*0.25</f>
        <v>-0.75</v>
      </c>
      <c r="G3031" s="0" t="n">
        <f aca="false">-1+C3031*0.25</f>
        <v>-0.25</v>
      </c>
      <c r="H3031" s="0" t="n">
        <f aca="false">-1+D3031*0.25</f>
        <v>-0.5</v>
      </c>
      <c r="I3031" s="0" t="n">
        <f aca="false">1</f>
        <v>1</v>
      </c>
      <c r="J3031" s="0" t="n">
        <f aca="false">E3031</f>
        <v>0</v>
      </c>
      <c r="K3031" s="0" t="n">
        <f aca="false">F3031</f>
        <v>-0.75</v>
      </c>
      <c r="L3031" s="0" t="n">
        <f aca="false">G3031</f>
        <v>-0.25</v>
      </c>
      <c r="M3031" s="0" t="n">
        <f aca="false">H3031</f>
        <v>-0.5</v>
      </c>
      <c r="N3031" s="0" t="n">
        <f aca="false">E3031*F3031</f>
        <v>-0</v>
      </c>
      <c r="O3031" s="0" t="n">
        <f aca="false">E3031*G3031</f>
        <v>-0</v>
      </c>
      <c r="P3031" s="0" t="n">
        <f aca="false">E3031*H3031</f>
        <v>-0</v>
      </c>
      <c r="Q3031" s="0" t="n">
        <f aca="false">F3031*G3031</f>
        <v>0.1875</v>
      </c>
      <c r="R3031" s="0" t="n">
        <f aca="false">F3031*H3031</f>
        <v>0.375</v>
      </c>
      <c r="S3031" s="0" t="n">
        <f aca="false">G3031*H3031</f>
        <v>0.125</v>
      </c>
      <c r="T3031" s="0" t="n">
        <f aca="false">E3031*E3031</f>
        <v>0</v>
      </c>
      <c r="U3031" s="0" t="n">
        <f aca="false">F3031*F3031</f>
        <v>0.5625</v>
      </c>
      <c r="V3031" s="0" t="n">
        <f aca="false">G3031*G3031</f>
        <v>0.0625</v>
      </c>
      <c r="W3031" s="0" t="n">
        <f aca="false">H3031*H3031</f>
        <v>0.25</v>
      </c>
      <c r="X3031" s="0" t="n">
        <f aca="false">SUMPRODUCT(I3031:W3031,_XtX!$B$96:$P$96)</f>
        <v>44.3123949195906</v>
      </c>
      <c r="Y3031" s="0" t="n">
        <f aca="false">SUMPRODUCT(MMULT(I3031:W3031,_XtX!$B$78:$P$92),I3031:W3031)</f>
        <v>0.215110734192252</v>
      </c>
      <c r="Z3031" s="0" t="n">
        <f aca="false">04_回帰ANOVA!$K$19*04_回帰ANOVA!$K$14*SQRT(1+Y3031)</f>
        <v>1.43683309086864</v>
      </c>
      <c r="AA3031" s="0" t="n">
        <f aca="false">X3031-Z3031</f>
        <v>42.8755618287219</v>
      </c>
      <c r="AB3031" s="0" t="n">
        <f aca="false">X3031+Z3031</f>
        <v>45.7492280104592</v>
      </c>
      <c r="AC3031" s="54" t="b">
        <f aca="false">AND(E3031&gt;=01_因子設定!$L$5-0.000000001,E3031&lt;=01_因子設定!$M$5+0.000000001,F3031&gt;=01_因子設定!$L$6-0.000000001,F3031&lt;=01_因子設定!$M$6+0.000000001,G3031&gt;=01_因子設定!$L$7-0.000000001,G3031&lt;=01_因子設定!$M$7+0.000000001,H3031&gt;=01_因子設定!$L$8-0.000000001,H3031&lt;=01_因子設定!$M$8+0.000000001,IF(01_因子設定!$B$20="Box-Behnken",E3031^2+F3031^2+G3031^2+H3031^2&lt;=2+0.000000001,TRUE()))</f>
        <v>1</v>
      </c>
      <c r="AD3031" s="55" t="n">
        <f aca="false">IF(AC3031,IF(01_因子設定!$B$13="最大化",AA3031-01_因子設定!$B$14,IF(01_因子設定!$B$13="最小化",01_因子設定!$B$15-AB3031,MIN(AA3031-01_因子設定!$B$14,01_因子設定!$B$15-AB3031))),-1E+030)</f>
        <v>-3.62443817127806</v>
      </c>
      <c r="AE3031" s="55" t="n">
        <f aca="false">IF(AC3031,IF(01_因子設定!$B$13="最大化",X3031,IF(01_因子設定!$B$13="最小化",-X3031,-ABS(X3031-01_因子設定!$B$16))),-1E+030)</f>
        <v>44.3123949195906</v>
      </c>
      <c r="AF3031" s="55" t="n">
        <f aca="false">AD3031+ROW()*0.000000001</f>
        <v>-3.62443514027806</v>
      </c>
      <c r="AG3031" s="55" t="n">
        <f aca="false">AE3031+ROW()*0.000000001</f>
        <v>44.3123979505906</v>
      </c>
    </row>
    <row r="3032" customFormat="false" ht="15" hidden="false" customHeight="false" outlineLevel="0" collapsed="false">
      <c r="A3032" s="0" t="n">
        <v>4</v>
      </c>
      <c r="B3032" s="0" t="n">
        <v>1</v>
      </c>
      <c r="C3032" s="0" t="n">
        <v>3</v>
      </c>
      <c r="D3032" s="0" t="n">
        <v>3</v>
      </c>
      <c r="E3032" s="0" t="n">
        <f aca="false">-1+A3032*0.25</f>
        <v>0</v>
      </c>
      <c r="F3032" s="0" t="n">
        <f aca="false">-1+B3032*0.25</f>
        <v>-0.75</v>
      </c>
      <c r="G3032" s="0" t="n">
        <f aca="false">-1+C3032*0.25</f>
        <v>-0.25</v>
      </c>
      <c r="H3032" s="0" t="n">
        <f aca="false">-1+D3032*0.25</f>
        <v>-0.25</v>
      </c>
      <c r="I3032" s="0" t="n">
        <f aca="false">1</f>
        <v>1</v>
      </c>
      <c r="J3032" s="0" t="n">
        <f aca="false">E3032</f>
        <v>0</v>
      </c>
      <c r="K3032" s="0" t="n">
        <f aca="false">F3032</f>
        <v>-0.75</v>
      </c>
      <c r="L3032" s="0" t="n">
        <f aca="false">G3032</f>
        <v>-0.25</v>
      </c>
      <c r="M3032" s="0" t="n">
        <f aca="false">H3032</f>
        <v>-0.25</v>
      </c>
      <c r="N3032" s="0" t="n">
        <f aca="false">E3032*F3032</f>
        <v>-0</v>
      </c>
      <c r="O3032" s="0" t="n">
        <f aca="false">E3032*G3032</f>
        <v>-0</v>
      </c>
      <c r="P3032" s="0" t="n">
        <f aca="false">E3032*H3032</f>
        <v>-0</v>
      </c>
      <c r="Q3032" s="0" t="n">
        <f aca="false">F3032*G3032</f>
        <v>0.1875</v>
      </c>
      <c r="R3032" s="0" t="n">
        <f aca="false">F3032*H3032</f>
        <v>0.1875</v>
      </c>
      <c r="S3032" s="0" t="n">
        <f aca="false">G3032*H3032</f>
        <v>0.0625</v>
      </c>
      <c r="T3032" s="0" t="n">
        <f aca="false">E3032*E3032</f>
        <v>0</v>
      </c>
      <c r="U3032" s="0" t="n">
        <f aca="false">F3032*F3032</f>
        <v>0.5625</v>
      </c>
      <c r="V3032" s="0" t="n">
        <f aca="false">G3032*G3032</f>
        <v>0.0625</v>
      </c>
      <c r="W3032" s="0" t="n">
        <f aca="false">H3032*H3032</f>
        <v>0.0625</v>
      </c>
      <c r="X3032" s="0" t="n">
        <f aca="false">SUMPRODUCT(I3032:W3032,_XtX!$B$96:$P$96)</f>
        <v>44.5073693347953</v>
      </c>
      <c r="Y3032" s="0" t="n">
        <f aca="false">SUMPRODUCT(MMULT(I3032:W3032,_XtX!$B$78:$P$92),I3032:W3032)</f>
        <v>0.21135011193348</v>
      </c>
      <c r="Z3032" s="0" t="n">
        <f aca="false">04_回帰ANOVA!$K$19*04_回帰ANOVA!$K$14*SQRT(1+Y3032)</f>
        <v>1.43460795469709</v>
      </c>
      <c r="AA3032" s="0" t="n">
        <f aca="false">X3032-Z3032</f>
        <v>43.0727613800982</v>
      </c>
      <c r="AB3032" s="0" t="n">
        <f aca="false">X3032+Z3032</f>
        <v>45.9419772894923</v>
      </c>
      <c r="AC3032" s="54" t="b">
        <f aca="false">AND(E3032&gt;=01_因子設定!$L$5-0.000000001,E3032&lt;=01_因子設定!$M$5+0.000000001,F3032&gt;=01_因子設定!$L$6-0.000000001,F3032&lt;=01_因子設定!$M$6+0.000000001,G3032&gt;=01_因子設定!$L$7-0.000000001,G3032&lt;=01_因子設定!$M$7+0.000000001,H3032&gt;=01_因子設定!$L$8-0.000000001,H3032&lt;=01_因子設定!$M$8+0.000000001,IF(01_因子設定!$B$20="Box-Behnken",E3032^2+F3032^2+G3032^2+H3032^2&lt;=2+0.000000001,TRUE()))</f>
        <v>1</v>
      </c>
      <c r="AD3032" s="55" t="n">
        <f aca="false">IF(AC3032,IF(01_因子設定!$B$13="最大化",AA3032-01_因子設定!$B$14,IF(01_因子設定!$B$13="最小化",01_因子設定!$B$15-AB3032,MIN(AA3032-01_因子設定!$B$14,01_因子設定!$B$15-AB3032))),-1E+030)</f>
        <v>-3.42723861990183</v>
      </c>
      <c r="AE3032" s="55" t="n">
        <f aca="false">IF(AC3032,IF(01_因子設定!$B$13="最大化",X3032,IF(01_因子設定!$B$13="最小化",-X3032,-ABS(X3032-01_因子設定!$B$16))),-1E+030)</f>
        <v>44.5073693347953</v>
      </c>
      <c r="AF3032" s="55" t="n">
        <f aca="false">AD3032+ROW()*0.000000001</f>
        <v>-3.42723558790183</v>
      </c>
      <c r="AG3032" s="55" t="n">
        <f aca="false">AE3032+ROW()*0.000000001</f>
        <v>44.5073723667953</v>
      </c>
    </row>
    <row r="3033" customFormat="false" ht="15" hidden="false" customHeight="false" outlineLevel="0" collapsed="false">
      <c r="A3033" s="0" t="n">
        <v>4</v>
      </c>
      <c r="B3033" s="0" t="n">
        <v>1</v>
      </c>
      <c r="C3033" s="0" t="n">
        <v>3</v>
      </c>
      <c r="D3033" s="0" t="n">
        <v>4</v>
      </c>
      <c r="E3033" s="0" t="n">
        <f aca="false">-1+A3033*0.25</f>
        <v>0</v>
      </c>
      <c r="F3033" s="0" t="n">
        <f aca="false">-1+B3033*0.25</f>
        <v>-0.75</v>
      </c>
      <c r="G3033" s="0" t="n">
        <f aca="false">-1+C3033*0.25</f>
        <v>-0.25</v>
      </c>
      <c r="H3033" s="0" t="n">
        <f aca="false">-1+D3033*0.25</f>
        <v>0</v>
      </c>
      <c r="I3033" s="0" t="n">
        <f aca="false">1</f>
        <v>1</v>
      </c>
      <c r="J3033" s="0" t="n">
        <f aca="false">E3033</f>
        <v>0</v>
      </c>
      <c r="K3033" s="0" t="n">
        <f aca="false">F3033</f>
        <v>-0.75</v>
      </c>
      <c r="L3033" s="0" t="n">
        <f aca="false">G3033</f>
        <v>-0.25</v>
      </c>
      <c r="M3033" s="0" t="n">
        <f aca="false">H3033</f>
        <v>0</v>
      </c>
      <c r="N3033" s="0" t="n">
        <f aca="false">E3033*F3033</f>
        <v>-0</v>
      </c>
      <c r="O3033" s="0" t="n">
        <f aca="false">E3033*G3033</f>
        <v>-0</v>
      </c>
      <c r="P3033" s="0" t="n">
        <f aca="false">E3033*H3033</f>
        <v>0</v>
      </c>
      <c r="Q3033" s="0" t="n">
        <f aca="false">F3033*G3033</f>
        <v>0.1875</v>
      </c>
      <c r="R3033" s="0" t="n">
        <f aca="false">F3033*H3033</f>
        <v>-0</v>
      </c>
      <c r="S3033" s="0" t="n">
        <f aca="false">G3033*H3033</f>
        <v>-0</v>
      </c>
      <c r="T3033" s="0" t="n">
        <f aca="false">E3033*E3033</f>
        <v>0</v>
      </c>
      <c r="U3033" s="0" t="n">
        <f aca="false">F3033*F3033</f>
        <v>0.5625</v>
      </c>
      <c r="V3033" s="0" t="n">
        <f aca="false">G3033*G3033</f>
        <v>0.0625</v>
      </c>
      <c r="W3033" s="0" t="n">
        <f aca="false">H3033*H3033</f>
        <v>0</v>
      </c>
      <c r="X3033" s="0" t="n">
        <f aca="false">SUMPRODUCT(I3033:W3033,_XtX!$B$96:$P$96)</f>
        <v>44.6545367324561</v>
      </c>
      <c r="Y3033" s="0" t="n">
        <f aca="false">SUMPRODUCT(MMULT(I3033:W3033,_XtX!$B$78:$P$92),I3033:W3033)</f>
        <v>0.216127272934942</v>
      </c>
      <c r="Z3033" s="0" t="n">
        <f aca="false">04_回帰ANOVA!$K$19*04_回帰ANOVA!$K$14*SQRT(1+Y3033)</f>
        <v>1.43743397896608</v>
      </c>
      <c r="AA3033" s="0" t="n">
        <f aca="false">X3033-Z3033</f>
        <v>43.21710275349</v>
      </c>
      <c r="AB3033" s="0" t="n">
        <f aca="false">X3033+Z3033</f>
        <v>46.0919707114222</v>
      </c>
      <c r="AC3033" s="54" t="b">
        <f aca="false">AND(E3033&gt;=01_因子設定!$L$5-0.000000001,E3033&lt;=01_因子設定!$M$5+0.000000001,F3033&gt;=01_因子設定!$L$6-0.000000001,F3033&lt;=01_因子設定!$M$6+0.000000001,G3033&gt;=01_因子設定!$L$7-0.000000001,G3033&lt;=01_因子設定!$M$7+0.000000001,H3033&gt;=01_因子設定!$L$8-0.000000001,H3033&lt;=01_因子設定!$M$8+0.000000001,IF(01_因子設定!$B$20="Box-Behnken",E3033^2+F3033^2+G3033^2+H3033^2&lt;=2+0.000000001,TRUE()))</f>
        <v>1</v>
      </c>
      <c r="AD3033" s="55" t="n">
        <f aca="false">IF(AC3033,IF(01_因子設定!$B$13="最大化",AA3033-01_因子設定!$B$14,IF(01_因子設定!$B$13="最小化",01_因子設定!$B$15-AB3033,MIN(AA3033-01_因子設定!$B$14,01_因子設定!$B$15-AB3033))),-1E+030)</f>
        <v>-3.28289724651</v>
      </c>
      <c r="AE3033" s="55" t="n">
        <f aca="false">IF(AC3033,IF(01_因子設定!$B$13="最大化",X3033,IF(01_因子設定!$B$13="最小化",-X3033,-ABS(X3033-01_因子設定!$B$16))),-1E+030)</f>
        <v>44.6545367324561</v>
      </c>
      <c r="AF3033" s="55" t="n">
        <f aca="false">AD3033+ROW()*0.000000001</f>
        <v>-3.28289421351</v>
      </c>
      <c r="AG3033" s="55" t="n">
        <f aca="false">AE3033+ROW()*0.000000001</f>
        <v>44.6545397654561</v>
      </c>
    </row>
    <row r="3034" customFormat="false" ht="15" hidden="false" customHeight="false" outlineLevel="0" collapsed="false">
      <c r="A3034" s="0" t="n">
        <v>4</v>
      </c>
      <c r="B3034" s="0" t="n">
        <v>1</v>
      </c>
      <c r="C3034" s="0" t="n">
        <v>3</v>
      </c>
      <c r="D3034" s="0" t="n">
        <v>5</v>
      </c>
      <c r="E3034" s="0" t="n">
        <f aca="false">-1+A3034*0.25</f>
        <v>0</v>
      </c>
      <c r="F3034" s="0" t="n">
        <f aca="false">-1+B3034*0.25</f>
        <v>-0.75</v>
      </c>
      <c r="G3034" s="0" t="n">
        <f aca="false">-1+C3034*0.25</f>
        <v>-0.25</v>
      </c>
      <c r="H3034" s="0" t="n">
        <f aca="false">-1+D3034*0.25</f>
        <v>0.25</v>
      </c>
      <c r="I3034" s="0" t="n">
        <f aca="false">1</f>
        <v>1</v>
      </c>
      <c r="J3034" s="0" t="n">
        <f aca="false">E3034</f>
        <v>0</v>
      </c>
      <c r="K3034" s="0" t="n">
        <f aca="false">F3034</f>
        <v>-0.75</v>
      </c>
      <c r="L3034" s="0" t="n">
        <f aca="false">G3034</f>
        <v>-0.25</v>
      </c>
      <c r="M3034" s="0" t="n">
        <f aca="false">H3034</f>
        <v>0.25</v>
      </c>
      <c r="N3034" s="0" t="n">
        <f aca="false">E3034*F3034</f>
        <v>-0</v>
      </c>
      <c r="O3034" s="0" t="n">
        <f aca="false">E3034*G3034</f>
        <v>-0</v>
      </c>
      <c r="P3034" s="0" t="n">
        <f aca="false">E3034*H3034</f>
        <v>0</v>
      </c>
      <c r="Q3034" s="0" t="n">
        <f aca="false">F3034*G3034</f>
        <v>0.1875</v>
      </c>
      <c r="R3034" s="0" t="n">
        <f aca="false">F3034*H3034</f>
        <v>-0.1875</v>
      </c>
      <c r="S3034" s="0" t="n">
        <f aca="false">G3034*H3034</f>
        <v>-0.0625</v>
      </c>
      <c r="T3034" s="0" t="n">
        <f aca="false">E3034*E3034</f>
        <v>0</v>
      </c>
      <c r="U3034" s="0" t="n">
        <f aca="false">F3034*F3034</f>
        <v>0.5625</v>
      </c>
      <c r="V3034" s="0" t="n">
        <f aca="false">G3034*G3034</f>
        <v>0.0625</v>
      </c>
      <c r="W3034" s="0" t="n">
        <f aca="false">H3034*H3034</f>
        <v>0.0625</v>
      </c>
      <c r="X3034" s="0" t="n">
        <f aca="false">SUMPRODUCT(I3034:W3034,_XtX!$B$96:$P$96)</f>
        <v>44.753897112573</v>
      </c>
      <c r="Y3034" s="0" t="n">
        <f aca="false">SUMPRODUCT(MMULT(I3034:W3034,_XtX!$B$78:$P$92),I3034:W3034)</f>
        <v>0.21135011193348</v>
      </c>
      <c r="Z3034" s="0" t="n">
        <f aca="false">04_回帰ANOVA!$K$19*04_回帰ANOVA!$K$14*SQRT(1+Y3034)</f>
        <v>1.43460795469709</v>
      </c>
      <c r="AA3034" s="0" t="n">
        <f aca="false">X3034-Z3034</f>
        <v>43.319289157876</v>
      </c>
      <c r="AB3034" s="0" t="n">
        <f aca="false">X3034+Z3034</f>
        <v>46.1885050672701</v>
      </c>
      <c r="AC3034" s="54" t="b">
        <f aca="false">AND(E3034&gt;=01_因子設定!$L$5-0.000000001,E3034&lt;=01_因子設定!$M$5+0.000000001,F3034&gt;=01_因子設定!$L$6-0.000000001,F3034&lt;=01_因子設定!$M$6+0.000000001,G3034&gt;=01_因子設定!$L$7-0.000000001,G3034&lt;=01_因子設定!$M$7+0.000000001,H3034&gt;=01_因子設定!$L$8-0.000000001,H3034&lt;=01_因子設定!$M$8+0.000000001,IF(01_因子設定!$B$20="Box-Behnken",E3034^2+F3034^2+G3034^2+H3034^2&lt;=2+0.000000001,TRUE()))</f>
        <v>1</v>
      </c>
      <c r="AD3034" s="55" t="n">
        <f aca="false">IF(AC3034,IF(01_因子設定!$B$13="最大化",AA3034-01_因子設定!$B$14,IF(01_因子設定!$B$13="最小化",01_因子設定!$B$15-AB3034,MIN(AA3034-01_因子設定!$B$14,01_因子設定!$B$15-AB3034))),-1E+030)</f>
        <v>-3.18071084212405</v>
      </c>
      <c r="AE3034" s="55" t="n">
        <f aca="false">IF(AC3034,IF(01_因子設定!$B$13="最大化",X3034,IF(01_因子設定!$B$13="最小化",-X3034,-ABS(X3034-01_因子設定!$B$16))),-1E+030)</f>
        <v>44.753897112573</v>
      </c>
      <c r="AF3034" s="55" t="n">
        <f aca="false">AD3034+ROW()*0.000000001</f>
        <v>-3.18070780812405</v>
      </c>
      <c r="AG3034" s="55" t="n">
        <f aca="false">AE3034+ROW()*0.000000001</f>
        <v>44.753900146573</v>
      </c>
    </row>
    <row r="3035" customFormat="false" ht="15" hidden="false" customHeight="false" outlineLevel="0" collapsed="false">
      <c r="A3035" s="0" t="n">
        <v>4</v>
      </c>
      <c r="B3035" s="0" t="n">
        <v>1</v>
      </c>
      <c r="C3035" s="0" t="n">
        <v>3</v>
      </c>
      <c r="D3035" s="0" t="n">
        <v>6</v>
      </c>
      <c r="E3035" s="0" t="n">
        <f aca="false">-1+A3035*0.25</f>
        <v>0</v>
      </c>
      <c r="F3035" s="0" t="n">
        <f aca="false">-1+B3035*0.25</f>
        <v>-0.75</v>
      </c>
      <c r="G3035" s="0" t="n">
        <f aca="false">-1+C3035*0.25</f>
        <v>-0.25</v>
      </c>
      <c r="H3035" s="0" t="n">
        <f aca="false">-1+D3035*0.25</f>
        <v>0.5</v>
      </c>
      <c r="I3035" s="0" t="n">
        <f aca="false">1</f>
        <v>1</v>
      </c>
      <c r="J3035" s="0" t="n">
        <f aca="false">E3035</f>
        <v>0</v>
      </c>
      <c r="K3035" s="0" t="n">
        <f aca="false">F3035</f>
        <v>-0.75</v>
      </c>
      <c r="L3035" s="0" t="n">
        <f aca="false">G3035</f>
        <v>-0.25</v>
      </c>
      <c r="M3035" s="0" t="n">
        <f aca="false">H3035</f>
        <v>0.5</v>
      </c>
      <c r="N3035" s="0" t="n">
        <f aca="false">E3035*F3035</f>
        <v>-0</v>
      </c>
      <c r="O3035" s="0" t="n">
        <f aca="false">E3035*G3035</f>
        <v>-0</v>
      </c>
      <c r="P3035" s="0" t="n">
        <f aca="false">E3035*H3035</f>
        <v>0</v>
      </c>
      <c r="Q3035" s="0" t="n">
        <f aca="false">F3035*G3035</f>
        <v>0.1875</v>
      </c>
      <c r="R3035" s="0" t="n">
        <f aca="false">F3035*H3035</f>
        <v>-0.375</v>
      </c>
      <c r="S3035" s="0" t="n">
        <f aca="false">G3035*H3035</f>
        <v>-0.125</v>
      </c>
      <c r="T3035" s="0" t="n">
        <f aca="false">E3035*E3035</f>
        <v>0</v>
      </c>
      <c r="U3035" s="0" t="n">
        <f aca="false">F3035*F3035</f>
        <v>0.5625</v>
      </c>
      <c r="V3035" s="0" t="n">
        <f aca="false">G3035*G3035</f>
        <v>0.0625</v>
      </c>
      <c r="W3035" s="0" t="n">
        <f aca="false">H3035*H3035</f>
        <v>0.25</v>
      </c>
      <c r="X3035" s="0" t="n">
        <f aca="false">SUMPRODUCT(I3035:W3035,_XtX!$B$96:$P$96)</f>
        <v>44.8054504751461</v>
      </c>
      <c r="Y3035" s="0" t="n">
        <f aca="false">SUMPRODUCT(MMULT(I3035:W3035,_XtX!$B$78:$P$92),I3035:W3035)</f>
        <v>0.215110734192252</v>
      </c>
      <c r="Z3035" s="0" t="n">
        <f aca="false">04_回帰ANOVA!$K$19*04_回帰ANOVA!$K$14*SQRT(1+Y3035)</f>
        <v>1.43683309086864</v>
      </c>
      <c r="AA3035" s="0" t="n">
        <f aca="false">X3035-Z3035</f>
        <v>43.3686173842775</v>
      </c>
      <c r="AB3035" s="0" t="n">
        <f aca="false">X3035+Z3035</f>
        <v>46.2422835660148</v>
      </c>
      <c r="AC3035" s="54" t="b">
        <f aca="false">AND(E3035&gt;=01_因子設定!$L$5-0.000000001,E3035&lt;=01_因子設定!$M$5+0.000000001,F3035&gt;=01_因子設定!$L$6-0.000000001,F3035&lt;=01_因子設定!$M$6+0.000000001,G3035&gt;=01_因子設定!$L$7-0.000000001,G3035&lt;=01_因子設定!$M$7+0.000000001,H3035&gt;=01_因子設定!$L$8-0.000000001,H3035&lt;=01_因子設定!$M$8+0.000000001,IF(01_因子設定!$B$20="Box-Behnken",E3035^2+F3035^2+G3035^2+H3035^2&lt;=2+0.000000001,TRUE()))</f>
        <v>1</v>
      </c>
      <c r="AD3035" s="55" t="n">
        <f aca="false">IF(AC3035,IF(01_因子設定!$B$13="最大化",AA3035-01_因子設定!$B$14,IF(01_因子設定!$B$13="最小化",01_因子設定!$B$15-AB3035,MIN(AA3035-01_因子設定!$B$14,01_因子設定!$B$15-AB3035))),-1E+030)</f>
        <v>-3.13138261572251</v>
      </c>
      <c r="AE3035" s="55" t="n">
        <f aca="false">IF(AC3035,IF(01_因子設定!$B$13="最大化",X3035,IF(01_因子設定!$B$13="最小化",-X3035,-ABS(X3035-01_因子設定!$B$16))),-1E+030)</f>
        <v>44.8054504751461</v>
      </c>
      <c r="AF3035" s="55" t="n">
        <f aca="false">AD3035+ROW()*0.000000001</f>
        <v>-3.13137958072251</v>
      </c>
      <c r="AG3035" s="55" t="n">
        <f aca="false">AE3035+ROW()*0.000000001</f>
        <v>44.8054535101461</v>
      </c>
    </row>
    <row r="3036" customFormat="false" ht="15" hidden="false" customHeight="false" outlineLevel="0" collapsed="false">
      <c r="A3036" s="0" t="n">
        <v>4</v>
      </c>
      <c r="B3036" s="0" t="n">
        <v>1</v>
      </c>
      <c r="C3036" s="0" t="n">
        <v>3</v>
      </c>
      <c r="D3036" s="0" t="n">
        <v>7</v>
      </c>
      <c r="E3036" s="0" t="n">
        <f aca="false">-1+A3036*0.25</f>
        <v>0</v>
      </c>
      <c r="F3036" s="0" t="n">
        <f aca="false">-1+B3036*0.25</f>
        <v>-0.75</v>
      </c>
      <c r="G3036" s="0" t="n">
        <f aca="false">-1+C3036*0.25</f>
        <v>-0.25</v>
      </c>
      <c r="H3036" s="0" t="n">
        <f aca="false">-1+D3036*0.25</f>
        <v>0.75</v>
      </c>
      <c r="I3036" s="0" t="n">
        <f aca="false">1</f>
        <v>1</v>
      </c>
      <c r="J3036" s="0" t="n">
        <f aca="false">E3036</f>
        <v>0</v>
      </c>
      <c r="K3036" s="0" t="n">
        <f aca="false">F3036</f>
        <v>-0.75</v>
      </c>
      <c r="L3036" s="0" t="n">
        <f aca="false">G3036</f>
        <v>-0.25</v>
      </c>
      <c r="M3036" s="0" t="n">
        <f aca="false">H3036</f>
        <v>0.75</v>
      </c>
      <c r="N3036" s="0" t="n">
        <f aca="false">E3036*F3036</f>
        <v>-0</v>
      </c>
      <c r="O3036" s="0" t="n">
        <f aca="false">E3036*G3036</f>
        <v>-0</v>
      </c>
      <c r="P3036" s="0" t="n">
        <f aca="false">E3036*H3036</f>
        <v>0</v>
      </c>
      <c r="Q3036" s="0" t="n">
        <f aca="false">F3036*G3036</f>
        <v>0.1875</v>
      </c>
      <c r="R3036" s="0" t="n">
        <f aca="false">F3036*H3036</f>
        <v>-0.5625</v>
      </c>
      <c r="S3036" s="0" t="n">
        <f aca="false">G3036*H3036</f>
        <v>-0.1875</v>
      </c>
      <c r="T3036" s="0" t="n">
        <f aca="false">E3036*E3036</f>
        <v>0</v>
      </c>
      <c r="U3036" s="0" t="n">
        <f aca="false">F3036*F3036</f>
        <v>0.5625</v>
      </c>
      <c r="V3036" s="0" t="n">
        <f aca="false">G3036*G3036</f>
        <v>0.0625</v>
      </c>
      <c r="W3036" s="0" t="n">
        <f aca="false">H3036*H3036</f>
        <v>0.5625</v>
      </c>
      <c r="X3036" s="0" t="n">
        <f aca="false">SUMPRODUCT(I3036:W3036,_XtX!$B$96:$P$96)</f>
        <v>44.8091968201754</v>
      </c>
      <c r="Y3036" s="0" t="n">
        <f aca="false">SUMPRODUCT(MMULT(I3036:W3036,_XtX!$B$78:$P$92),I3036:W3036)</f>
        <v>0.281685455500731</v>
      </c>
      <c r="Z3036" s="0" t="n">
        <f aca="false">04_回帰ANOVA!$K$19*04_回帰ANOVA!$K$14*SQRT(1+Y3036)</f>
        <v>1.47566956658694</v>
      </c>
      <c r="AA3036" s="0" t="n">
        <f aca="false">X3036-Z3036</f>
        <v>43.3335272535885</v>
      </c>
      <c r="AB3036" s="0" t="n">
        <f aca="false">X3036+Z3036</f>
        <v>46.2848663867623</v>
      </c>
      <c r="AC3036" s="54" t="b">
        <f aca="false">AND(E3036&gt;=01_因子設定!$L$5-0.000000001,E3036&lt;=01_因子設定!$M$5+0.000000001,F3036&gt;=01_因子設定!$L$6-0.000000001,F3036&lt;=01_因子設定!$M$6+0.000000001,G3036&gt;=01_因子設定!$L$7-0.000000001,G3036&lt;=01_因子設定!$M$7+0.000000001,H3036&gt;=01_因子設定!$L$8-0.000000001,H3036&lt;=01_因子設定!$M$8+0.000000001,IF(01_因子設定!$B$20="Box-Behnken",E3036^2+F3036^2+G3036^2+H3036^2&lt;=2+0.000000001,TRUE()))</f>
        <v>1</v>
      </c>
      <c r="AD3036" s="55" t="n">
        <f aca="false">IF(AC3036,IF(01_因子設定!$B$13="最大化",AA3036-01_因子設定!$B$14,IF(01_因子設定!$B$13="最小化",01_因子設定!$B$15-AB3036,MIN(AA3036-01_因子設定!$B$14,01_因子設定!$B$15-AB3036))),-1E+030)</f>
        <v>-3.16647274641154</v>
      </c>
      <c r="AE3036" s="55" t="n">
        <f aca="false">IF(AC3036,IF(01_因子設定!$B$13="最大化",X3036,IF(01_因子設定!$B$13="最小化",-X3036,-ABS(X3036-01_因子設定!$B$16))),-1E+030)</f>
        <v>44.8091968201754</v>
      </c>
      <c r="AF3036" s="55" t="n">
        <f aca="false">AD3036+ROW()*0.000000001</f>
        <v>-3.16646971041154</v>
      </c>
      <c r="AG3036" s="55" t="n">
        <f aca="false">AE3036+ROW()*0.000000001</f>
        <v>44.8091998561754</v>
      </c>
    </row>
    <row r="3037" customFormat="false" ht="15" hidden="false" customHeight="false" outlineLevel="0" collapsed="false">
      <c r="A3037" s="0" t="n">
        <v>4</v>
      </c>
      <c r="B3037" s="0" t="n">
        <v>1</v>
      </c>
      <c r="C3037" s="0" t="n">
        <v>3</v>
      </c>
      <c r="D3037" s="0" t="n">
        <v>8</v>
      </c>
      <c r="E3037" s="0" t="n">
        <f aca="false">-1+A3037*0.25</f>
        <v>0</v>
      </c>
      <c r="F3037" s="0" t="n">
        <f aca="false">-1+B3037*0.25</f>
        <v>-0.75</v>
      </c>
      <c r="G3037" s="0" t="n">
        <f aca="false">-1+C3037*0.25</f>
        <v>-0.25</v>
      </c>
      <c r="H3037" s="0" t="n">
        <f aca="false">-1+D3037*0.25</f>
        <v>1</v>
      </c>
      <c r="I3037" s="0" t="n">
        <f aca="false">1</f>
        <v>1</v>
      </c>
      <c r="J3037" s="0" t="n">
        <f aca="false">E3037</f>
        <v>0</v>
      </c>
      <c r="K3037" s="0" t="n">
        <f aca="false">F3037</f>
        <v>-0.75</v>
      </c>
      <c r="L3037" s="0" t="n">
        <f aca="false">G3037</f>
        <v>-0.25</v>
      </c>
      <c r="M3037" s="0" t="n">
        <f aca="false">H3037</f>
        <v>1</v>
      </c>
      <c r="N3037" s="0" t="n">
        <f aca="false">E3037*F3037</f>
        <v>-0</v>
      </c>
      <c r="O3037" s="0" t="n">
        <f aca="false">E3037*G3037</f>
        <v>-0</v>
      </c>
      <c r="P3037" s="0" t="n">
        <f aca="false">E3037*H3037</f>
        <v>0</v>
      </c>
      <c r="Q3037" s="0" t="n">
        <f aca="false">F3037*G3037</f>
        <v>0.1875</v>
      </c>
      <c r="R3037" s="0" t="n">
        <f aca="false">F3037*H3037</f>
        <v>-0.75</v>
      </c>
      <c r="S3037" s="0" t="n">
        <f aca="false">G3037*H3037</f>
        <v>-0.25</v>
      </c>
      <c r="T3037" s="0" t="n">
        <f aca="false">E3037*E3037</f>
        <v>0</v>
      </c>
      <c r="U3037" s="0" t="n">
        <f aca="false">F3037*F3037</f>
        <v>0.5625</v>
      </c>
      <c r="V3037" s="0" t="n">
        <f aca="false">G3037*G3037</f>
        <v>0.0625</v>
      </c>
      <c r="W3037" s="0" t="n">
        <f aca="false">H3037*H3037</f>
        <v>1</v>
      </c>
      <c r="X3037" s="0" t="n">
        <f aca="false">SUMPRODUCT(I3037:W3037,_XtX!$B$96:$P$96)</f>
        <v>44.7651361476608</v>
      </c>
      <c r="Y3037" s="0" t="n">
        <f aca="false">SUMPRODUCT(MMULT(I3037:W3037,_XtX!$B$78:$P$92),I3037:W3037)</f>
        <v>0.501534802174708</v>
      </c>
      <c r="Z3037" s="0" t="n">
        <f aca="false">04_回帰ANOVA!$K$19*04_回帰ANOVA!$K$14*SQRT(1+Y3037)</f>
        <v>1.59722498091333</v>
      </c>
      <c r="AA3037" s="0" t="n">
        <f aca="false">X3037-Z3037</f>
        <v>43.1679111667475</v>
      </c>
      <c r="AB3037" s="0" t="n">
        <f aca="false">X3037+Z3037</f>
        <v>46.3623611285741</v>
      </c>
      <c r="AC3037" s="54" t="b">
        <f aca="false">AND(E3037&gt;=01_因子設定!$L$5-0.000000001,E3037&lt;=01_因子設定!$M$5+0.000000001,F3037&gt;=01_因子設定!$L$6-0.000000001,F3037&lt;=01_因子設定!$M$6+0.000000001,G3037&gt;=01_因子設定!$L$7-0.000000001,G3037&lt;=01_因子設定!$M$7+0.000000001,H3037&gt;=01_因子設定!$L$8-0.000000001,H3037&lt;=01_因子設定!$M$8+0.000000001,IF(01_因子設定!$B$20="Box-Behnken",E3037^2+F3037^2+G3037^2+H3037^2&lt;=2+0.000000001,TRUE()))</f>
        <v>1</v>
      </c>
      <c r="AD3037" s="55" t="n">
        <f aca="false">IF(AC3037,IF(01_因子設定!$B$13="最大化",AA3037-01_因子設定!$B$14,IF(01_因子設定!$B$13="最小化",01_因子設定!$B$15-AB3037,MIN(AA3037-01_因子設定!$B$14,01_因子設定!$B$15-AB3037))),-1E+030)</f>
        <v>-3.33208883325254</v>
      </c>
      <c r="AE3037" s="55" t="n">
        <f aca="false">IF(AC3037,IF(01_因子設定!$B$13="最大化",X3037,IF(01_因子設定!$B$13="最小化",-X3037,-ABS(X3037-01_因子設定!$B$16))),-1E+030)</f>
        <v>44.7651361476608</v>
      </c>
      <c r="AF3037" s="55" t="n">
        <f aca="false">AD3037+ROW()*0.000000001</f>
        <v>-3.33208579625254</v>
      </c>
      <c r="AG3037" s="55" t="n">
        <f aca="false">AE3037+ROW()*0.000000001</f>
        <v>44.7651391846608</v>
      </c>
    </row>
    <row r="3038" customFormat="false" ht="15" hidden="false" customHeight="false" outlineLevel="0" collapsed="false">
      <c r="A3038" s="0" t="n">
        <v>4</v>
      </c>
      <c r="B3038" s="0" t="n">
        <v>1</v>
      </c>
      <c r="C3038" s="0" t="n">
        <v>4</v>
      </c>
      <c r="D3038" s="0" t="n">
        <v>0</v>
      </c>
      <c r="E3038" s="0" t="n">
        <f aca="false">-1+A3038*0.25</f>
        <v>0</v>
      </c>
      <c r="F3038" s="0" t="n">
        <f aca="false">-1+B3038*0.25</f>
        <v>-0.75</v>
      </c>
      <c r="G3038" s="0" t="n">
        <f aca="false">-1+C3038*0.25</f>
        <v>0</v>
      </c>
      <c r="H3038" s="0" t="n">
        <f aca="false">-1+D3038*0.25</f>
        <v>-1</v>
      </c>
      <c r="I3038" s="0" t="n">
        <f aca="false">1</f>
        <v>1</v>
      </c>
      <c r="J3038" s="0" t="n">
        <f aca="false">E3038</f>
        <v>0</v>
      </c>
      <c r="K3038" s="0" t="n">
        <f aca="false">F3038</f>
        <v>-0.75</v>
      </c>
      <c r="L3038" s="0" t="n">
        <f aca="false">G3038</f>
        <v>0</v>
      </c>
      <c r="M3038" s="0" t="n">
        <f aca="false">H3038</f>
        <v>-1</v>
      </c>
      <c r="N3038" s="0" t="n">
        <f aca="false">E3038*F3038</f>
        <v>-0</v>
      </c>
      <c r="O3038" s="0" t="n">
        <f aca="false">E3038*G3038</f>
        <v>0</v>
      </c>
      <c r="P3038" s="0" t="n">
        <f aca="false">E3038*H3038</f>
        <v>-0</v>
      </c>
      <c r="Q3038" s="0" t="n">
        <f aca="false">F3038*G3038</f>
        <v>-0</v>
      </c>
      <c r="R3038" s="0" t="n">
        <f aca="false">F3038*H3038</f>
        <v>0.75</v>
      </c>
      <c r="S3038" s="0" t="n">
        <f aca="false">G3038*H3038</f>
        <v>-0</v>
      </c>
      <c r="T3038" s="0" t="n">
        <f aca="false">E3038*E3038</f>
        <v>0</v>
      </c>
      <c r="U3038" s="0" t="n">
        <f aca="false">F3038*F3038</f>
        <v>0.5625</v>
      </c>
      <c r="V3038" s="0" t="n">
        <f aca="false">G3038*G3038</f>
        <v>0</v>
      </c>
      <c r="W3038" s="0" t="n">
        <f aca="false">H3038*H3038</f>
        <v>1</v>
      </c>
      <c r="X3038" s="0" t="n">
        <f aca="false">SUMPRODUCT(I3038:W3038,_XtX!$B$96:$P$96)</f>
        <v>43.9370431286549</v>
      </c>
      <c r="Y3038" s="0" t="n">
        <f aca="false">SUMPRODUCT(MMULT(I3038:W3038,_XtX!$B$78:$P$92),I3038:W3038)</f>
        <v>0.516013340643275</v>
      </c>
      <c r="Z3038" s="0" t="n">
        <f aca="false">04_回帰ANOVA!$K$19*04_回帰ANOVA!$K$14*SQRT(1+Y3038)</f>
        <v>1.60490712175667</v>
      </c>
      <c r="AA3038" s="0" t="n">
        <f aca="false">X3038-Z3038</f>
        <v>42.3321360068983</v>
      </c>
      <c r="AB3038" s="0" t="n">
        <f aca="false">X3038+Z3038</f>
        <v>45.5419502504116</v>
      </c>
      <c r="AC3038" s="54" t="b">
        <f aca="false">AND(E3038&gt;=01_因子設定!$L$5-0.000000001,E3038&lt;=01_因子設定!$M$5+0.000000001,F3038&gt;=01_因子設定!$L$6-0.000000001,F3038&lt;=01_因子設定!$M$6+0.000000001,G3038&gt;=01_因子設定!$L$7-0.000000001,G3038&lt;=01_因子設定!$M$7+0.000000001,H3038&gt;=01_因子設定!$L$8-0.000000001,H3038&lt;=01_因子設定!$M$8+0.000000001,IF(01_因子設定!$B$20="Box-Behnken",E3038^2+F3038^2+G3038^2+H3038^2&lt;=2+0.000000001,TRUE()))</f>
        <v>1</v>
      </c>
      <c r="AD3038" s="55" t="n">
        <f aca="false">IF(AC3038,IF(01_因子設定!$B$13="最大化",AA3038-01_因子設定!$B$14,IF(01_因子設定!$B$13="最小化",01_因子設定!$B$15-AB3038,MIN(AA3038-01_因子設定!$B$14,01_因子設定!$B$15-AB3038))),-1E+030)</f>
        <v>-4.16786399310173</v>
      </c>
      <c r="AE3038" s="55" t="n">
        <f aca="false">IF(AC3038,IF(01_因子設定!$B$13="最大化",X3038,IF(01_因子設定!$B$13="最小化",-X3038,-ABS(X3038-01_因子設定!$B$16))),-1E+030)</f>
        <v>43.9370431286549</v>
      </c>
      <c r="AF3038" s="55" t="n">
        <f aca="false">AD3038+ROW()*0.000000001</f>
        <v>-4.16786095510173</v>
      </c>
      <c r="AG3038" s="55" t="n">
        <f aca="false">AE3038+ROW()*0.000000001</f>
        <v>43.9370461666549</v>
      </c>
    </row>
    <row r="3039" customFormat="false" ht="15" hidden="false" customHeight="false" outlineLevel="0" collapsed="false">
      <c r="A3039" s="0" t="n">
        <v>4</v>
      </c>
      <c r="B3039" s="0" t="n">
        <v>1</v>
      </c>
      <c r="C3039" s="0" t="n">
        <v>4</v>
      </c>
      <c r="D3039" s="0" t="n">
        <v>1</v>
      </c>
      <c r="E3039" s="0" t="n">
        <f aca="false">-1+A3039*0.25</f>
        <v>0</v>
      </c>
      <c r="F3039" s="0" t="n">
        <f aca="false">-1+B3039*0.25</f>
        <v>-0.75</v>
      </c>
      <c r="G3039" s="0" t="n">
        <f aca="false">-1+C3039*0.25</f>
        <v>0</v>
      </c>
      <c r="H3039" s="0" t="n">
        <f aca="false">-1+D3039*0.25</f>
        <v>-0.75</v>
      </c>
      <c r="I3039" s="0" t="n">
        <f aca="false">1</f>
        <v>1</v>
      </c>
      <c r="J3039" s="0" t="n">
        <f aca="false">E3039</f>
        <v>0</v>
      </c>
      <c r="K3039" s="0" t="n">
        <f aca="false">F3039</f>
        <v>-0.75</v>
      </c>
      <c r="L3039" s="0" t="n">
        <f aca="false">G3039</f>
        <v>0</v>
      </c>
      <c r="M3039" s="0" t="n">
        <f aca="false">H3039</f>
        <v>-0.75</v>
      </c>
      <c r="N3039" s="0" t="n">
        <f aca="false">E3039*F3039</f>
        <v>-0</v>
      </c>
      <c r="O3039" s="0" t="n">
        <f aca="false">E3039*G3039</f>
        <v>0</v>
      </c>
      <c r="P3039" s="0" t="n">
        <f aca="false">E3039*H3039</f>
        <v>-0</v>
      </c>
      <c r="Q3039" s="0" t="n">
        <f aca="false">F3039*G3039</f>
        <v>-0</v>
      </c>
      <c r="R3039" s="0" t="n">
        <f aca="false">F3039*H3039</f>
        <v>0.5625</v>
      </c>
      <c r="S3039" s="0" t="n">
        <f aca="false">G3039*H3039</f>
        <v>-0</v>
      </c>
      <c r="T3039" s="0" t="n">
        <f aca="false">E3039*E3039</f>
        <v>0</v>
      </c>
      <c r="U3039" s="0" t="n">
        <f aca="false">F3039*F3039</f>
        <v>0.5625</v>
      </c>
      <c r="V3039" s="0" t="n">
        <f aca="false">G3039*G3039</f>
        <v>0</v>
      </c>
      <c r="W3039" s="0" t="n">
        <f aca="false">H3039*H3039</f>
        <v>0.5625</v>
      </c>
      <c r="X3039" s="0" t="n">
        <f aca="false">SUMPRODUCT(I3039:W3039,_XtX!$B$96:$P$96)</f>
        <v>44.2456003289473</v>
      </c>
      <c r="Y3039" s="0" t="n">
        <f aca="false">SUMPRODUCT(MMULT(I3039:W3039,_XtX!$B$78:$P$92),I3039:W3039)</f>
        <v>0.291636684484649</v>
      </c>
      <c r="Z3039" s="0" t="n">
        <f aca="false">04_回帰ANOVA!$K$19*04_回帰ANOVA!$K$14*SQRT(1+Y3039)</f>
        <v>1.48138716762813</v>
      </c>
      <c r="AA3039" s="0" t="n">
        <f aca="false">X3039-Z3039</f>
        <v>42.7642131613192</v>
      </c>
      <c r="AB3039" s="0" t="n">
        <f aca="false">X3039+Z3039</f>
        <v>45.7269874965755</v>
      </c>
      <c r="AC3039" s="54" t="b">
        <f aca="false">AND(E3039&gt;=01_因子設定!$L$5-0.000000001,E3039&lt;=01_因子設定!$M$5+0.000000001,F3039&gt;=01_因子設定!$L$6-0.000000001,F3039&lt;=01_因子設定!$M$6+0.000000001,G3039&gt;=01_因子設定!$L$7-0.000000001,G3039&lt;=01_因子設定!$M$7+0.000000001,H3039&gt;=01_因子設定!$L$8-0.000000001,H3039&lt;=01_因子設定!$M$8+0.000000001,IF(01_因子設定!$B$20="Box-Behnken",E3039^2+F3039^2+G3039^2+H3039^2&lt;=2+0.000000001,TRUE()))</f>
        <v>1</v>
      </c>
      <c r="AD3039" s="55" t="n">
        <f aca="false">IF(AC3039,IF(01_因子設定!$B$13="最大化",AA3039-01_因子設定!$B$14,IF(01_因子設定!$B$13="最小化",01_因子設定!$B$15-AB3039,MIN(AA3039-01_因子設定!$B$14,01_因子設定!$B$15-AB3039))),-1E+030)</f>
        <v>-3.7357868386808</v>
      </c>
      <c r="AE3039" s="55" t="n">
        <f aca="false">IF(AC3039,IF(01_因子設定!$B$13="最大化",X3039,IF(01_因子設定!$B$13="最小化",-X3039,-ABS(X3039-01_因子設定!$B$16))),-1E+030)</f>
        <v>44.2456003289473</v>
      </c>
      <c r="AF3039" s="55" t="n">
        <f aca="false">AD3039+ROW()*0.000000001</f>
        <v>-3.7357837996808</v>
      </c>
      <c r="AG3039" s="55" t="n">
        <f aca="false">AE3039+ROW()*0.000000001</f>
        <v>44.2456033679473</v>
      </c>
    </row>
    <row r="3040" customFormat="false" ht="15" hidden="false" customHeight="false" outlineLevel="0" collapsed="false">
      <c r="A3040" s="0" t="n">
        <v>4</v>
      </c>
      <c r="B3040" s="0" t="n">
        <v>1</v>
      </c>
      <c r="C3040" s="0" t="n">
        <v>4</v>
      </c>
      <c r="D3040" s="0" t="n">
        <v>2</v>
      </c>
      <c r="E3040" s="0" t="n">
        <f aca="false">-1+A3040*0.25</f>
        <v>0</v>
      </c>
      <c r="F3040" s="0" t="n">
        <f aca="false">-1+B3040*0.25</f>
        <v>-0.75</v>
      </c>
      <c r="G3040" s="0" t="n">
        <f aca="false">-1+C3040*0.25</f>
        <v>0</v>
      </c>
      <c r="H3040" s="0" t="n">
        <f aca="false">-1+D3040*0.25</f>
        <v>-0.5</v>
      </c>
      <c r="I3040" s="0" t="n">
        <f aca="false">1</f>
        <v>1</v>
      </c>
      <c r="J3040" s="0" t="n">
        <f aca="false">E3040</f>
        <v>0</v>
      </c>
      <c r="K3040" s="0" t="n">
        <f aca="false">F3040</f>
        <v>-0.75</v>
      </c>
      <c r="L3040" s="0" t="n">
        <f aca="false">G3040</f>
        <v>0</v>
      </c>
      <c r="M3040" s="0" t="n">
        <f aca="false">H3040</f>
        <v>-0.5</v>
      </c>
      <c r="N3040" s="0" t="n">
        <f aca="false">E3040*F3040</f>
        <v>-0</v>
      </c>
      <c r="O3040" s="0" t="n">
        <f aca="false">E3040*G3040</f>
        <v>0</v>
      </c>
      <c r="P3040" s="0" t="n">
        <f aca="false">E3040*H3040</f>
        <v>-0</v>
      </c>
      <c r="Q3040" s="0" t="n">
        <f aca="false">F3040*G3040</f>
        <v>-0</v>
      </c>
      <c r="R3040" s="0" t="n">
        <f aca="false">F3040*H3040</f>
        <v>0.375</v>
      </c>
      <c r="S3040" s="0" t="n">
        <f aca="false">G3040*H3040</f>
        <v>-0</v>
      </c>
      <c r="T3040" s="0" t="n">
        <f aca="false">E3040*E3040</f>
        <v>0</v>
      </c>
      <c r="U3040" s="0" t="n">
        <f aca="false">F3040*F3040</f>
        <v>0.5625</v>
      </c>
      <c r="V3040" s="0" t="n">
        <f aca="false">G3040*G3040</f>
        <v>0</v>
      </c>
      <c r="W3040" s="0" t="n">
        <f aca="false">H3040*H3040</f>
        <v>0.25</v>
      </c>
      <c r="X3040" s="0" t="n">
        <f aca="false">SUMPRODUCT(I3040:W3040,_XtX!$B$96:$P$96)</f>
        <v>44.5063505116959</v>
      </c>
      <c r="Y3040" s="0" t="n">
        <f aca="false">SUMPRODUCT(MMULT(I3040:W3040,_XtX!$B$78:$P$92),I3040:W3040)</f>
        <v>0.221828170687135</v>
      </c>
      <c r="Z3040" s="0" t="n">
        <f aca="false">04_回帰ANOVA!$K$19*04_回帰ANOVA!$K$14*SQRT(1+Y3040)</f>
        <v>1.44079920361664</v>
      </c>
      <c r="AA3040" s="0" t="n">
        <f aca="false">X3040-Z3040</f>
        <v>43.0655513080792</v>
      </c>
      <c r="AB3040" s="0" t="n">
        <f aca="false">X3040+Z3040</f>
        <v>45.9471497153125</v>
      </c>
      <c r="AC3040" s="54" t="b">
        <f aca="false">AND(E3040&gt;=01_因子設定!$L$5-0.000000001,E3040&lt;=01_因子設定!$M$5+0.000000001,F3040&gt;=01_因子設定!$L$6-0.000000001,F3040&lt;=01_因子設定!$M$6+0.000000001,G3040&gt;=01_因子設定!$L$7-0.000000001,G3040&lt;=01_因子設定!$M$7+0.000000001,H3040&gt;=01_因子設定!$L$8-0.000000001,H3040&lt;=01_因子設定!$M$8+0.000000001,IF(01_因子設定!$B$20="Box-Behnken",E3040^2+F3040^2+G3040^2+H3040^2&lt;=2+0.000000001,TRUE()))</f>
        <v>1</v>
      </c>
      <c r="AD3040" s="55" t="n">
        <f aca="false">IF(AC3040,IF(01_因子設定!$B$13="最大化",AA3040-01_因子設定!$B$14,IF(01_因子設定!$B$13="最小化",01_因子設定!$B$15-AB3040,MIN(AA3040-01_因子設定!$B$14,01_因子設定!$B$15-AB3040))),-1E+030)</f>
        <v>-3.43444869192079</v>
      </c>
      <c r="AE3040" s="55" t="n">
        <f aca="false">IF(AC3040,IF(01_因子設定!$B$13="最大化",X3040,IF(01_因子設定!$B$13="最小化",-X3040,-ABS(X3040-01_因子設定!$B$16))),-1E+030)</f>
        <v>44.5063505116959</v>
      </c>
      <c r="AF3040" s="55" t="n">
        <f aca="false">AD3040+ROW()*0.000000001</f>
        <v>-3.43444565192079</v>
      </c>
      <c r="AG3040" s="55" t="n">
        <f aca="false">AE3040+ROW()*0.000000001</f>
        <v>44.5063535516959</v>
      </c>
    </row>
    <row r="3041" customFormat="false" ht="15" hidden="false" customHeight="false" outlineLevel="0" collapsed="false">
      <c r="A3041" s="0" t="n">
        <v>4</v>
      </c>
      <c r="B3041" s="0" t="n">
        <v>1</v>
      </c>
      <c r="C3041" s="0" t="n">
        <v>4</v>
      </c>
      <c r="D3041" s="0" t="n">
        <v>3</v>
      </c>
      <c r="E3041" s="0" t="n">
        <f aca="false">-1+A3041*0.25</f>
        <v>0</v>
      </c>
      <c r="F3041" s="0" t="n">
        <f aca="false">-1+B3041*0.25</f>
        <v>-0.75</v>
      </c>
      <c r="G3041" s="0" t="n">
        <f aca="false">-1+C3041*0.25</f>
        <v>0</v>
      </c>
      <c r="H3041" s="0" t="n">
        <f aca="false">-1+D3041*0.25</f>
        <v>-0.25</v>
      </c>
      <c r="I3041" s="0" t="n">
        <f aca="false">1</f>
        <v>1</v>
      </c>
      <c r="J3041" s="0" t="n">
        <f aca="false">E3041</f>
        <v>0</v>
      </c>
      <c r="K3041" s="0" t="n">
        <f aca="false">F3041</f>
        <v>-0.75</v>
      </c>
      <c r="L3041" s="0" t="n">
        <f aca="false">G3041</f>
        <v>0</v>
      </c>
      <c r="M3041" s="0" t="n">
        <f aca="false">H3041</f>
        <v>-0.25</v>
      </c>
      <c r="N3041" s="0" t="n">
        <f aca="false">E3041*F3041</f>
        <v>-0</v>
      </c>
      <c r="O3041" s="0" t="n">
        <f aca="false">E3041*G3041</f>
        <v>0</v>
      </c>
      <c r="P3041" s="0" t="n">
        <f aca="false">E3041*H3041</f>
        <v>-0</v>
      </c>
      <c r="Q3041" s="0" t="n">
        <f aca="false">F3041*G3041</f>
        <v>-0</v>
      </c>
      <c r="R3041" s="0" t="n">
        <f aca="false">F3041*H3041</f>
        <v>0.1875</v>
      </c>
      <c r="S3041" s="0" t="n">
        <f aca="false">G3041*H3041</f>
        <v>-0</v>
      </c>
      <c r="T3041" s="0" t="n">
        <f aca="false">E3041*E3041</f>
        <v>0</v>
      </c>
      <c r="U3041" s="0" t="n">
        <f aca="false">F3041*F3041</f>
        <v>0.5625</v>
      </c>
      <c r="V3041" s="0" t="n">
        <f aca="false">G3041*G3041</f>
        <v>0</v>
      </c>
      <c r="W3041" s="0" t="n">
        <f aca="false">H3041*H3041</f>
        <v>0.0625</v>
      </c>
      <c r="X3041" s="0" t="n">
        <f aca="false">SUMPRODUCT(I3041:W3041,_XtX!$B$96:$P$96)</f>
        <v>44.7192936769005</v>
      </c>
      <c r="Y3041" s="0" t="n">
        <f aca="false">SUMPRODUCT(MMULT(I3041:W3041,_XtX!$B$78:$P$92),I3041:W3041)</f>
        <v>0.216127272934942</v>
      </c>
      <c r="Z3041" s="0" t="n">
        <f aca="false">04_回帰ANOVA!$K$19*04_回帰ANOVA!$K$14*SQRT(1+Y3041)</f>
        <v>1.43743397896608</v>
      </c>
      <c r="AA3041" s="0" t="n">
        <f aca="false">X3041-Z3041</f>
        <v>43.2818596979344</v>
      </c>
      <c r="AB3041" s="0" t="n">
        <f aca="false">X3041+Z3041</f>
        <v>46.1567276558666</v>
      </c>
      <c r="AC3041" s="54" t="b">
        <f aca="false">AND(E3041&gt;=01_因子設定!$L$5-0.000000001,E3041&lt;=01_因子設定!$M$5+0.000000001,F3041&gt;=01_因子設定!$L$6-0.000000001,F3041&lt;=01_因子設定!$M$6+0.000000001,G3041&gt;=01_因子設定!$L$7-0.000000001,G3041&lt;=01_因子設定!$M$7+0.000000001,H3041&gt;=01_因子設定!$L$8-0.000000001,H3041&lt;=01_因子設定!$M$8+0.000000001,IF(01_因子設定!$B$20="Box-Behnken",E3041^2+F3041^2+G3041^2+H3041^2&lt;=2+0.000000001,TRUE()))</f>
        <v>1</v>
      </c>
      <c r="AD3041" s="55" t="n">
        <f aca="false">IF(AC3041,IF(01_因子設定!$B$13="最大化",AA3041-01_因子設定!$B$14,IF(01_因子設定!$B$13="最小化",01_因子設定!$B$15-AB3041,MIN(AA3041-01_因子設定!$B$14,01_因子設定!$B$15-AB3041))),-1E+030)</f>
        <v>-3.21814030206556</v>
      </c>
      <c r="AE3041" s="55" t="n">
        <f aca="false">IF(AC3041,IF(01_因子設定!$B$13="最大化",X3041,IF(01_因子設定!$B$13="最小化",-X3041,-ABS(X3041-01_因子設定!$B$16))),-1E+030)</f>
        <v>44.7192936769005</v>
      </c>
      <c r="AF3041" s="55" t="n">
        <f aca="false">AD3041+ROW()*0.000000001</f>
        <v>-3.21813726106556</v>
      </c>
      <c r="AG3041" s="55" t="n">
        <f aca="false">AE3041+ROW()*0.000000001</f>
        <v>44.7192967179005</v>
      </c>
    </row>
    <row r="3042" customFormat="false" ht="15" hidden="false" customHeight="false" outlineLevel="0" collapsed="false">
      <c r="A3042" s="0" t="n">
        <v>4</v>
      </c>
      <c r="B3042" s="0" t="n">
        <v>1</v>
      </c>
      <c r="C3042" s="0" t="n">
        <v>4</v>
      </c>
      <c r="D3042" s="0" t="n">
        <v>4</v>
      </c>
      <c r="E3042" s="0" t="n">
        <f aca="false">-1+A3042*0.25</f>
        <v>0</v>
      </c>
      <c r="F3042" s="0" t="n">
        <f aca="false">-1+B3042*0.25</f>
        <v>-0.75</v>
      </c>
      <c r="G3042" s="0" t="n">
        <f aca="false">-1+C3042*0.25</f>
        <v>0</v>
      </c>
      <c r="H3042" s="0" t="n">
        <f aca="false">-1+D3042*0.25</f>
        <v>0</v>
      </c>
      <c r="I3042" s="0" t="n">
        <f aca="false">1</f>
        <v>1</v>
      </c>
      <c r="J3042" s="0" t="n">
        <f aca="false">E3042</f>
        <v>0</v>
      </c>
      <c r="K3042" s="0" t="n">
        <f aca="false">F3042</f>
        <v>-0.75</v>
      </c>
      <c r="L3042" s="0" t="n">
        <f aca="false">G3042</f>
        <v>0</v>
      </c>
      <c r="M3042" s="0" t="n">
        <f aca="false">H3042</f>
        <v>0</v>
      </c>
      <c r="N3042" s="0" t="n">
        <f aca="false">E3042*F3042</f>
        <v>-0</v>
      </c>
      <c r="O3042" s="0" t="n">
        <f aca="false">E3042*G3042</f>
        <v>0</v>
      </c>
      <c r="P3042" s="0" t="n">
        <f aca="false">E3042*H3042</f>
        <v>0</v>
      </c>
      <c r="Q3042" s="0" t="n">
        <f aca="false">F3042*G3042</f>
        <v>-0</v>
      </c>
      <c r="R3042" s="0" t="n">
        <f aca="false">F3042*H3042</f>
        <v>-0</v>
      </c>
      <c r="S3042" s="0" t="n">
        <f aca="false">G3042*H3042</f>
        <v>0</v>
      </c>
      <c r="T3042" s="0" t="n">
        <f aca="false">E3042*E3042</f>
        <v>0</v>
      </c>
      <c r="U3042" s="0" t="n">
        <f aca="false">F3042*F3042</f>
        <v>0.5625</v>
      </c>
      <c r="V3042" s="0" t="n">
        <f aca="false">G3042*G3042</f>
        <v>0</v>
      </c>
      <c r="W3042" s="0" t="n">
        <f aca="false">H3042*H3042</f>
        <v>0</v>
      </c>
      <c r="X3042" s="0" t="n">
        <f aca="false">SUMPRODUCT(I3042:W3042,_XtX!$B$96:$P$96)</f>
        <v>44.8844298245613</v>
      </c>
      <c r="Y3042" s="0" t="n">
        <f aca="false">SUMPRODUCT(MMULT(I3042:W3042,_XtX!$B$78:$P$92),I3042:W3042)</f>
        <v>0.220257675438597</v>
      </c>
      <c r="Z3042" s="0" t="n">
        <f aca="false">04_回帰ANOVA!$K$19*04_回帰ANOVA!$K$14*SQRT(1+Y3042)</f>
        <v>1.43987292938832</v>
      </c>
      <c r="AA3042" s="0" t="n">
        <f aca="false">X3042-Z3042</f>
        <v>43.444556895173</v>
      </c>
      <c r="AB3042" s="0" t="n">
        <f aca="false">X3042+Z3042</f>
        <v>46.3243027539497</v>
      </c>
      <c r="AC3042" s="54" t="b">
        <f aca="false">AND(E3042&gt;=01_因子設定!$L$5-0.000000001,E3042&lt;=01_因子設定!$M$5+0.000000001,F3042&gt;=01_因子設定!$L$6-0.000000001,F3042&lt;=01_因子設定!$M$6+0.000000001,G3042&gt;=01_因子設定!$L$7-0.000000001,G3042&lt;=01_因子設定!$M$7+0.000000001,H3042&gt;=01_因子設定!$L$8-0.000000001,H3042&lt;=01_因子設定!$M$8+0.000000001,IF(01_因子設定!$B$20="Box-Behnken",E3042^2+F3042^2+G3042^2+H3042^2&lt;=2+0.000000001,TRUE()))</f>
        <v>1</v>
      </c>
      <c r="AD3042" s="55" t="n">
        <f aca="false">IF(AC3042,IF(01_因子設定!$B$13="最大化",AA3042-01_因子設定!$B$14,IF(01_因子設定!$B$13="最小化",01_因子設定!$B$15-AB3042,MIN(AA3042-01_因子設定!$B$14,01_因子設定!$B$15-AB3042))),-1E+030)</f>
        <v>-3.05544310482698</v>
      </c>
      <c r="AE3042" s="55" t="n">
        <f aca="false">IF(AC3042,IF(01_因子設定!$B$13="最大化",X3042,IF(01_因子設定!$B$13="最小化",-X3042,-ABS(X3042-01_因子設定!$B$16))),-1E+030)</f>
        <v>44.8844298245613</v>
      </c>
      <c r="AF3042" s="55" t="n">
        <f aca="false">AD3042+ROW()*0.000000001</f>
        <v>-3.05544006282698</v>
      </c>
      <c r="AG3042" s="55" t="n">
        <f aca="false">AE3042+ROW()*0.000000001</f>
        <v>44.8844328665613</v>
      </c>
    </row>
    <row r="3043" customFormat="false" ht="15" hidden="false" customHeight="false" outlineLevel="0" collapsed="false">
      <c r="A3043" s="0" t="n">
        <v>4</v>
      </c>
      <c r="B3043" s="0" t="n">
        <v>1</v>
      </c>
      <c r="C3043" s="0" t="n">
        <v>4</v>
      </c>
      <c r="D3043" s="0" t="n">
        <v>5</v>
      </c>
      <c r="E3043" s="0" t="n">
        <f aca="false">-1+A3043*0.25</f>
        <v>0</v>
      </c>
      <c r="F3043" s="0" t="n">
        <f aca="false">-1+B3043*0.25</f>
        <v>-0.75</v>
      </c>
      <c r="G3043" s="0" t="n">
        <f aca="false">-1+C3043*0.25</f>
        <v>0</v>
      </c>
      <c r="H3043" s="0" t="n">
        <f aca="false">-1+D3043*0.25</f>
        <v>0.25</v>
      </c>
      <c r="I3043" s="0" t="n">
        <f aca="false">1</f>
        <v>1</v>
      </c>
      <c r="J3043" s="0" t="n">
        <f aca="false">E3043</f>
        <v>0</v>
      </c>
      <c r="K3043" s="0" t="n">
        <f aca="false">F3043</f>
        <v>-0.75</v>
      </c>
      <c r="L3043" s="0" t="n">
        <f aca="false">G3043</f>
        <v>0</v>
      </c>
      <c r="M3043" s="0" t="n">
        <f aca="false">H3043</f>
        <v>0.25</v>
      </c>
      <c r="N3043" s="0" t="n">
        <f aca="false">E3043*F3043</f>
        <v>-0</v>
      </c>
      <c r="O3043" s="0" t="n">
        <f aca="false">E3043*G3043</f>
        <v>0</v>
      </c>
      <c r="P3043" s="0" t="n">
        <f aca="false">E3043*H3043</f>
        <v>0</v>
      </c>
      <c r="Q3043" s="0" t="n">
        <f aca="false">F3043*G3043</f>
        <v>-0</v>
      </c>
      <c r="R3043" s="0" t="n">
        <f aca="false">F3043*H3043</f>
        <v>-0.1875</v>
      </c>
      <c r="S3043" s="0" t="n">
        <f aca="false">G3043*H3043</f>
        <v>0</v>
      </c>
      <c r="T3043" s="0" t="n">
        <f aca="false">E3043*E3043</f>
        <v>0</v>
      </c>
      <c r="U3043" s="0" t="n">
        <f aca="false">F3043*F3043</f>
        <v>0.5625</v>
      </c>
      <c r="V3043" s="0" t="n">
        <f aca="false">G3043*G3043</f>
        <v>0</v>
      </c>
      <c r="W3043" s="0" t="n">
        <f aca="false">H3043*H3043</f>
        <v>0.0625</v>
      </c>
      <c r="X3043" s="0" t="n">
        <f aca="false">SUMPRODUCT(I3043:W3043,_XtX!$B$96:$P$96)</f>
        <v>45.0017589546783</v>
      </c>
      <c r="Y3043" s="0" t="n">
        <f aca="false">SUMPRODUCT(MMULT(I3043:W3043,_XtX!$B$78:$P$92),I3043:W3043)</f>
        <v>0.216127272934942</v>
      </c>
      <c r="Z3043" s="0" t="n">
        <f aca="false">04_回帰ANOVA!$K$19*04_回帰ANOVA!$K$14*SQRT(1+Y3043)</f>
        <v>1.43743397896608</v>
      </c>
      <c r="AA3043" s="0" t="n">
        <f aca="false">X3043-Z3043</f>
        <v>43.5643249757122</v>
      </c>
      <c r="AB3043" s="0" t="n">
        <f aca="false">X3043+Z3043</f>
        <v>46.4391929336444</v>
      </c>
      <c r="AC3043" s="54" t="b">
        <f aca="false">AND(E3043&gt;=01_因子設定!$L$5-0.000000001,E3043&lt;=01_因子設定!$M$5+0.000000001,F3043&gt;=01_因子設定!$L$6-0.000000001,F3043&lt;=01_因子設定!$M$6+0.000000001,G3043&gt;=01_因子設定!$L$7-0.000000001,G3043&lt;=01_因子設定!$M$7+0.000000001,H3043&gt;=01_因子設定!$L$8-0.000000001,H3043&lt;=01_因子設定!$M$8+0.000000001,IF(01_因子設定!$B$20="Box-Behnken",E3043^2+F3043^2+G3043^2+H3043^2&lt;=2+0.000000001,TRUE()))</f>
        <v>1</v>
      </c>
      <c r="AD3043" s="55" t="n">
        <f aca="false">IF(AC3043,IF(01_因子設定!$B$13="最大化",AA3043-01_因子設定!$B$14,IF(01_因子設定!$B$13="最小化",01_因子設定!$B$15-AB3043,MIN(AA3043-01_因子設定!$B$14,01_因子設定!$B$15-AB3043))),-1E+030)</f>
        <v>-2.93567502428778</v>
      </c>
      <c r="AE3043" s="55" t="n">
        <f aca="false">IF(AC3043,IF(01_因子設定!$B$13="最大化",X3043,IF(01_因子設定!$B$13="最小化",-X3043,-ABS(X3043-01_因子設定!$B$16))),-1E+030)</f>
        <v>45.0017589546783</v>
      </c>
      <c r="AF3043" s="55" t="n">
        <f aca="false">AD3043+ROW()*0.000000001</f>
        <v>-2.93567198128778</v>
      </c>
      <c r="AG3043" s="55" t="n">
        <f aca="false">AE3043+ROW()*0.000000001</f>
        <v>45.0017619976783</v>
      </c>
    </row>
    <row r="3044" customFormat="false" ht="15" hidden="false" customHeight="false" outlineLevel="0" collapsed="false">
      <c r="A3044" s="0" t="n">
        <v>4</v>
      </c>
      <c r="B3044" s="0" t="n">
        <v>1</v>
      </c>
      <c r="C3044" s="0" t="n">
        <v>4</v>
      </c>
      <c r="D3044" s="0" t="n">
        <v>6</v>
      </c>
      <c r="E3044" s="0" t="n">
        <f aca="false">-1+A3044*0.25</f>
        <v>0</v>
      </c>
      <c r="F3044" s="0" t="n">
        <f aca="false">-1+B3044*0.25</f>
        <v>-0.75</v>
      </c>
      <c r="G3044" s="0" t="n">
        <f aca="false">-1+C3044*0.25</f>
        <v>0</v>
      </c>
      <c r="H3044" s="0" t="n">
        <f aca="false">-1+D3044*0.25</f>
        <v>0.5</v>
      </c>
      <c r="I3044" s="0" t="n">
        <f aca="false">1</f>
        <v>1</v>
      </c>
      <c r="J3044" s="0" t="n">
        <f aca="false">E3044</f>
        <v>0</v>
      </c>
      <c r="K3044" s="0" t="n">
        <f aca="false">F3044</f>
        <v>-0.75</v>
      </c>
      <c r="L3044" s="0" t="n">
        <f aca="false">G3044</f>
        <v>0</v>
      </c>
      <c r="M3044" s="0" t="n">
        <f aca="false">H3044</f>
        <v>0.5</v>
      </c>
      <c r="N3044" s="0" t="n">
        <f aca="false">E3044*F3044</f>
        <v>-0</v>
      </c>
      <c r="O3044" s="0" t="n">
        <f aca="false">E3044*G3044</f>
        <v>0</v>
      </c>
      <c r="P3044" s="0" t="n">
        <f aca="false">E3044*H3044</f>
        <v>0</v>
      </c>
      <c r="Q3044" s="0" t="n">
        <f aca="false">F3044*G3044</f>
        <v>-0</v>
      </c>
      <c r="R3044" s="0" t="n">
        <f aca="false">F3044*H3044</f>
        <v>-0.375</v>
      </c>
      <c r="S3044" s="0" t="n">
        <f aca="false">G3044*H3044</f>
        <v>0</v>
      </c>
      <c r="T3044" s="0" t="n">
        <f aca="false">E3044*E3044</f>
        <v>0</v>
      </c>
      <c r="U3044" s="0" t="n">
        <f aca="false">F3044*F3044</f>
        <v>0.5625</v>
      </c>
      <c r="V3044" s="0" t="n">
        <f aca="false">G3044*G3044</f>
        <v>0</v>
      </c>
      <c r="W3044" s="0" t="n">
        <f aca="false">H3044*H3044</f>
        <v>0.25</v>
      </c>
      <c r="X3044" s="0" t="n">
        <f aca="false">SUMPRODUCT(I3044:W3044,_XtX!$B$96:$P$96)</f>
        <v>45.0712810672514</v>
      </c>
      <c r="Y3044" s="0" t="n">
        <f aca="false">SUMPRODUCT(MMULT(I3044:W3044,_XtX!$B$78:$P$92),I3044:W3044)</f>
        <v>0.221828170687135</v>
      </c>
      <c r="Z3044" s="0" t="n">
        <f aca="false">04_回帰ANOVA!$K$19*04_回帰ANOVA!$K$14*SQRT(1+Y3044)</f>
        <v>1.44079920361664</v>
      </c>
      <c r="AA3044" s="0" t="n">
        <f aca="false">X3044-Z3044</f>
        <v>43.6304818636348</v>
      </c>
      <c r="AB3044" s="0" t="n">
        <f aca="false">X3044+Z3044</f>
        <v>46.5120802708681</v>
      </c>
      <c r="AC3044" s="54" t="b">
        <f aca="false">AND(E3044&gt;=01_因子設定!$L$5-0.000000001,E3044&lt;=01_因子設定!$M$5+0.000000001,F3044&gt;=01_因子設定!$L$6-0.000000001,F3044&lt;=01_因子設定!$M$6+0.000000001,G3044&gt;=01_因子設定!$L$7-0.000000001,G3044&lt;=01_因子設定!$M$7+0.000000001,H3044&gt;=01_因子設定!$L$8-0.000000001,H3044&lt;=01_因子設定!$M$8+0.000000001,IF(01_因子設定!$B$20="Box-Behnken",E3044^2+F3044^2+G3044^2+H3044^2&lt;=2+0.000000001,TRUE()))</f>
        <v>1</v>
      </c>
      <c r="AD3044" s="55" t="n">
        <f aca="false">IF(AC3044,IF(01_因子設定!$B$13="最大化",AA3044-01_因子設定!$B$14,IF(01_因子設定!$B$13="最小化",01_因子設定!$B$15-AB3044,MIN(AA3044-01_因子設定!$B$14,01_因子設定!$B$15-AB3044))),-1E+030)</f>
        <v>-2.86951813636524</v>
      </c>
      <c r="AE3044" s="55" t="n">
        <f aca="false">IF(AC3044,IF(01_因子設定!$B$13="最大化",X3044,IF(01_因子設定!$B$13="最小化",-X3044,-ABS(X3044-01_因子設定!$B$16))),-1E+030)</f>
        <v>45.0712810672514</v>
      </c>
      <c r="AF3044" s="55" t="n">
        <f aca="false">AD3044+ROW()*0.000000001</f>
        <v>-2.86951509236524</v>
      </c>
      <c r="AG3044" s="55" t="n">
        <f aca="false">AE3044+ROW()*0.000000001</f>
        <v>45.0712841112514</v>
      </c>
    </row>
    <row r="3045" customFormat="false" ht="15" hidden="false" customHeight="false" outlineLevel="0" collapsed="false">
      <c r="A3045" s="0" t="n">
        <v>4</v>
      </c>
      <c r="B3045" s="0" t="n">
        <v>1</v>
      </c>
      <c r="C3045" s="0" t="n">
        <v>4</v>
      </c>
      <c r="D3045" s="0" t="n">
        <v>7</v>
      </c>
      <c r="E3045" s="0" t="n">
        <f aca="false">-1+A3045*0.25</f>
        <v>0</v>
      </c>
      <c r="F3045" s="0" t="n">
        <f aca="false">-1+B3045*0.25</f>
        <v>-0.75</v>
      </c>
      <c r="G3045" s="0" t="n">
        <f aca="false">-1+C3045*0.25</f>
        <v>0</v>
      </c>
      <c r="H3045" s="0" t="n">
        <f aca="false">-1+D3045*0.25</f>
        <v>0.75</v>
      </c>
      <c r="I3045" s="0" t="n">
        <f aca="false">1</f>
        <v>1</v>
      </c>
      <c r="J3045" s="0" t="n">
        <f aca="false">E3045</f>
        <v>0</v>
      </c>
      <c r="K3045" s="0" t="n">
        <f aca="false">F3045</f>
        <v>-0.75</v>
      </c>
      <c r="L3045" s="0" t="n">
        <f aca="false">G3045</f>
        <v>0</v>
      </c>
      <c r="M3045" s="0" t="n">
        <f aca="false">H3045</f>
        <v>0.75</v>
      </c>
      <c r="N3045" s="0" t="n">
        <f aca="false">E3045*F3045</f>
        <v>-0</v>
      </c>
      <c r="O3045" s="0" t="n">
        <f aca="false">E3045*G3045</f>
        <v>0</v>
      </c>
      <c r="P3045" s="0" t="n">
        <f aca="false">E3045*H3045</f>
        <v>0</v>
      </c>
      <c r="Q3045" s="0" t="n">
        <f aca="false">F3045*G3045</f>
        <v>-0</v>
      </c>
      <c r="R3045" s="0" t="n">
        <f aca="false">F3045*H3045</f>
        <v>-0.5625</v>
      </c>
      <c r="S3045" s="0" t="n">
        <f aca="false">G3045*H3045</f>
        <v>0</v>
      </c>
      <c r="T3045" s="0" t="n">
        <f aca="false">E3045*E3045</f>
        <v>0</v>
      </c>
      <c r="U3045" s="0" t="n">
        <f aca="false">F3045*F3045</f>
        <v>0.5625</v>
      </c>
      <c r="V3045" s="0" t="n">
        <f aca="false">G3045*G3045</f>
        <v>0</v>
      </c>
      <c r="W3045" s="0" t="n">
        <f aca="false">H3045*H3045</f>
        <v>0.5625</v>
      </c>
      <c r="X3045" s="0" t="n">
        <f aca="false">SUMPRODUCT(I3045:W3045,_XtX!$B$96:$P$96)</f>
        <v>45.0929961622807</v>
      </c>
      <c r="Y3045" s="0" t="n">
        <f aca="false">SUMPRODUCT(MMULT(I3045:W3045,_XtX!$B$78:$P$92),I3045:W3045)</f>
        <v>0.291636684484649</v>
      </c>
      <c r="Z3045" s="0" t="n">
        <f aca="false">04_回帰ANOVA!$K$19*04_回帰ANOVA!$K$14*SQRT(1+Y3045)</f>
        <v>1.48138716762813</v>
      </c>
      <c r="AA3045" s="0" t="n">
        <f aca="false">X3045-Z3045</f>
        <v>43.6116089946525</v>
      </c>
      <c r="AB3045" s="0" t="n">
        <f aca="false">X3045+Z3045</f>
        <v>46.5743833299088</v>
      </c>
      <c r="AC3045" s="54" t="b">
        <f aca="false">AND(E3045&gt;=01_因子設定!$L$5-0.000000001,E3045&lt;=01_因子設定!$M$5+0.000000001,F3045&gt;=01_因子設定!$L$6-0.000000001,F3045&lt;=01_因子設定!$M$6+0.000000001,G3045&gt;=01_因子設定!$L$7-0.000000001,G3045&lt;=01_因子設定!$M$7+0.000000001,H3045&gt;=01_因子設定!$L$8-0.000000001,H3045&lt;=01_因子設定!$M$8+0.000000001,IF(01_因子設定!$B$20="Box-Behnken",E3045^2+F3045^2+G3045^2+H3045^2&lt;=2+0.000000001,TRUE()))</f>
        <v>1</v>
      </c>
      <c r="AD3045" s="55" t="n">
        <f aca="false">IF(AC3045,IF(01_因子設定!$B$13="最大化",AA3045-01_因子設定!$B$14,IF(01_因子設定!$B$13="最小化",01_因子設定!$B$15-AB3045,MIN(AA3045-01_因子設定!$B$14,01_因子設定!$B$15-AB3045))),-1E+030)</f>
        <v>-2.88839100534747</v>
      </c>
      <c r="AE3045" s="55" t="n">
        <f aca="false">IF(AC3045,IF(01_因子設定!$B$13="最大化",X3045,IF(01_因子設定!$B$13="最小化",-X3045,-ABS(X3045-01_因子設定!$B$16))),-1E+030)</f>
        <v>45.0929961622807</v>
      </c>
      <c r="AF3045" s="55" t="n">
        <f aca="false">AD3045+ROW()*0.000000001</f>
        <v>-2.88838796034747</v>
      </c>
      <c r="AG3045" s="55" t="n">
        <f aca="false">AE3045+ROW()*0.000000001</f>
        <v>45.0929992072807</v>
      </c>
    </row>
    <row r="3046" customFormat="false" ht="15" hidden="false" customHeight="false" outlineLevel="0" collapsed="false">
      <c r="A3046" s="0" t="n">
        <v>4</v>
      </c>
      <c r="B3046" s="0" t="n">
        <v>1</v>
      </c>
      <c r="C3046" s="0" t="n">
        <v>4</v>
      </c>
      <c r="D3046" s="0" t="n">
        <v>8</v>
      </c>
      <c r="E3046" s="0" t="n">
        <f aca="false">-1+A3046*0.25</f>
        <v>0</v>
      </c>
      <c r="F3046" s="0" t="n">
        <f aca="false">-1+B3046*0.25</f>
        <v>-0.75</v>
      </c>
      <c r="G3046" s="0" t="n">
        <f aca="false">-1+C3046*0.25</f>
        <v>0</v>
      </c>
      <c r="H3046" s="0" t="n">
        <f aca="false">-1+D3046*0.25</f>
        <v>1</v>
      </c>
      <c r="I3046" s="0" t="n">
        <f aca="false">1</f>
        <v>1</v>
      </c>
      <c r="J3046" s="0" t="n">
        <f aca="false">E3046</f>
        <v>0</v>
      </c>
      <c r="K3046" s="0" t="n">
        <f aca="false">F3046</f>
        <v>-0.75</v>
      </c>
      <c r="L3046" s="0" t="n">
        <f aca="false">G3046</f>
        <v>0</v>
      </c>
      <c r="M3046" s="0" t="n">
        <f aca="false">H3046</f>
        <v>1</v>
      </c>
      <c r="N3046" s="0" t="n">
        <f aca="false">E3046*F3046</f>
        <v>-0</v>
      </c>
      <c r="O3046" s="0" t="n">
        <f aca="false">E3046*G3046</f>
        <v>0</v>
      </c>
      <c r="P3046" s="0" t="n">
        <f aca="false">E3046*H3046</f>
        <v>0</v>
      </c>
      <c r="Q3046" s="0" t="n">
        <f aca="false">F3046*G3046</f>
        <v>-0</v>
      </c>
      <c r="R3046" s="0" t="n">
        <f aca="false">F3046*H3046</f>
        <v>-0.75</v>
      </c>
      <c r="S3046" s="0" t="n">
        <f aca="false">G3046*H3046</f>
        <v>0</v>
      </c>
      <c r="T3046" s="0" t="n">
        <f aca="false">E3046*E3046</f>
        <v>0</v>
      </c>
      <c r="U3046" s="0" t="n">
        <f aca="false">F3046*F3046</f>
        <v>0.5625</v>
      </c>
      <c r="V3046" s="0" t="n">
        <f aca="false">G3046*G3046</f>
        <v>0</v>
      </c>
      <c r="W3046" s="0" t="n">
        <f aca="false">H3046*H3046</f>
        <v>1</v>
      </c>
      <c r="X3046" s="0" t="n">
        <f aca="false">SUMPRODUCT(I3046:W3046,_XtX!$B$96:$P$96)</f>
        <v>45.0669042397661</v>
      </c>
      <c r="Y3046" s="0" t="n">
        <f aca="false">SUMPRODUCT(MMULT(I3046:W3046,_XtX!$B$78:$P$92),I3046:W3046)</f>
        <v>0.516013340643275</v>
      </c>
      <c r="Z3046" s="0" t="n">
        <f aca="false">04_回帰ANOVA!$K$19*04_回帰ANOVA!$K$14*SQRT(1+Y3046)</f>
        <v>1.60490712175667</v>
      </c>
      <c r="AA3046" s="0" t="n">
        <f aca="false">X3046-Z3046</f>
        <v>43.4619971180094</v>
      </c>
      <c r="AB3046" s="0" t="n">
        <f aca="false">X3046+Z3046</f>
        <v>46.6718113615227</v>
      </c>
      <c r="AC3046" s="54" t="b">
        <f aca="false">AND(E3046&gt;=01_因子設定!$L$5-0.000000001,E3046&lt;=01_因子設定!$M$5+0.000000001,F3046&gt;=01_因子設定!$L$6-0.000000001,F3046&lt;=01_因子設定!$M$6+0.000000001,G3046&gt;=01_因子設定!$L$7-0.000000001,G3046&lt;=01_因子設定!$M$7+0.000000001,H3046&gt;=01_因子設定!$L$8-0.000000001,H3046&lt;=01_因子設定!$M$8+0.000000001,IF(01_因子設定!$B$20="Box-Behnken",E3046^2+F3046^2+G3046^2+H3046^2&lt;=2+0.000000001,TRUE()))</f>
        <v>1</v>
      </c>
      <c r="AD3046" s="55" t="n">
        <f aca="false">IF(AC3046,IF(01_因子設定!$B$13="最大化",AA3046-01_因子設定!$B$14,IF(01_因子設定!$B$13="最小化",01_因子設定!$B$15-AB3046,MIN(AA3046-01_因子設定!$B$14,01_因子設定!$B$15-AB3046))),-1E+030)</f>
        <v>-3.03800288199061</v>
      </c>
      <c r="AE3046" s="55" t="n">
        <f aca="false">IF(AC3046,IF(01_因子設定!$B$13="最大化",X3046,IF(01_因子設定!$B$13="最小化",-X3046,-ABS(X3046-01_因子設定!$B$16))),-1E+030)</f>
        <v>45.0669042397661</v>
      </c>
      <c r="AF3046" s="55" t="n">
        <f aca="false">AD3046+ROW()*0.000000001</f>
        <v>-3.03799983599061</v>
      </c>
      <c r="AG3046" s="55" t="n">
        <f aca="false">AE3046+ROW()*0.000000001</f>
        <v>45.0669072857661</v>
      </c>
    </row>
    <row r="3047" customFormat="false" ht="15" hidden="false" customHeight="false" outlineLevel="0" collapsed="false">
      <c r="A3047" s="0" t="n">
        <v>4</v>
      </c>
      <c r="B3047" s="0" t="n">
        <v>1</v>
      </c>
      <c r="C3047" s="0" t="n">
        <v>5</v>
      </c>
      <c r="D3047" s="0" t="n">
        <v>0</v>
      </c>
      <c r="E3047" s="0" t="n">
        <f aca="false">-1+A3047*0.25</f>
        <v>0</v>
      </c>
      <c r="F3047" s="0" t="n">
        <f aca="false">-1+B3047*0.25</f>
        <v>-0.75</v>
      </c>
      <c r="G3047" s="0" t="n">
        <f aca="false">-1+C3047*0.25</f>
        <v>0.25</v>
      </c>
      <c r="H3047" s="0" t="n">
        <f aca="false">-1+D3047*0.25</f>
        <v>-1</v>
      </c>
      <c r="I3047" s="0" t="n">
        <f aca="false">1</f>
        <v>1</v>
      </c>
      <c r="J3047" s="0" t="n">
        <f aca="false">E3047</f>
        <v>0</v>
      </c>
      <c r="K3047" s="0" t="n">
        <f aca="false">F3047</f>
        <v>-0.75</v>
      </c>
      <c r="L3047" s="0" t="n">
        <f aca="false">G3047</f>
        <v>0.25</v>
      </c>
      <c r="M3047" s="0" t="n">
        <f aca="false">H3047</f>
        <v>-1</v>
      </c>
      <c r="N3047" s="0" t="n">
        <f aca="false">E3047*F3047</f>
        <v>-0</v>
      </c>
      <c r="O3047" s="0" t="n">
        <f aca="false">E3047*G3047</f>
        <v>0</v>
      </c>
      <c r="P3047" s="0" t="n">
        <f aca="false">E3047*H3047</f>
        <v>-0</v>
      </c>
      <c r="Q3047" s="0" t="n">
        <f aca="false">F3047*G3047</f>
        <v>-0.1875</v>
      </c>
      <c r="R3047" s="0" t="n">
        <f aca="false">F3047*H3047</f>
        <v>0.75</v>
      </c>
      <c r="S3047" s="0" t="n">
        <f aca="false">G3047*H3047</f>
        <v>-0.25</v>
      </c>
      <c r="T3047" s="0" t="n">
        <f aca="false">E3047*E3047</f>
        <v>0</v>
      </c>
      <c r="U3047" s="0" t="n">
        <f aca="false">F3047*F3047</f>
        <v>0.5625</v>
      </c>
      <c r="V3047" s="0" t="n">
        <f aca="false">G3047*G3047</f>
        <v>0.0625</v>
      </c>
      <c r="W3047" s="0" t="n">
        <f aca="false">H3047*H3047</f>
        <v>1</v>
      </c>
      <c r="X3047" s="0" t="n">
        <f aca="false">SUMPRODUCT(I3047:W3047,_XtX!$B$96:$P$96)</f>
        <v>44.0097542032163</v>
      </c>
      <c r="Y3047" s="0" t="n">
        <f aca="false">SUMPRODUCT(MMULT(I3047:W3047,_XtX!$B$78:$P$92),I3047:W3047)</f>
        <v>0.501534802174708</v>
      </c>
      <c r="Z3047" s="0" t="n">
        <f aca="false">04_回帰ANOVA!$K$19*04_回帰ANOVA!$K$14*SQRT(1+Y3047)</f>
        <v>1.59722498091333</v>
      </c>
      <c r="AA3047" s="0" t="n">
        <f aca="false">X3047-Z3047</f>
        <v>42.412529222303</v>
      </c>
      <c r="AB3047" s="0" t="n">
        <f aca="false">X3047+Z3047</f>
        <v>45.6069791841297</v>
      </c>
      <c r="AC3047" s="54" t="b">
        <f aca="false">AND(E3047&gt;=01_因子設定!$L$5-0.000000001,E3047&lt;=01_因子設定!$M$5+0.000000001,F3047&gt;=01_因子設定!$L$6-0.000000001,F3047&lt;=01_因子設定!$M$6+0.000000001,G3047&gt;=01_因子設定!$L$7-0.000000001,G3047&lt;=01_因子設定!$M$7+0.000000001,H3047&gt;=01_因子設定!$L$8-0.000000001,H3047&lt;=01_因子設定!$M$8+0.000000001,IF(01_因子設定!$B$20="Box-Behnken",E3047^2+F3047^2+G3047^2+H3047^2&lt;=2+0.000000001,TRUE()))</f>
        <v>1</v>
      </c>
      <c r="AD3047" s="55" t="n">
        <f aca="false">IF(AC3047,IF(01_因子設定!$B$13="最大化",AA3047-01_因子設定!$B$14,IF(01_因子設定!$B$13="最小化",01_因子設定!$B$15-AB3047,MIN(AA3047-01_因子設定!$B$14,01_因子設定!$B$15-AB3047))),-1E+030)</f>
        <v>-4.08747077769699</v>
      </c>
      <c r="AE3047" s="55" t="n">
        <f aca="false">IF(AC3047,IF(01_因子設定!$B$13="最大化",X3047,IF(01_因子設定!$B$13="最小化",-X3047,-ABS(X3047-01_因子設定!$B$16))),-1E+030)</f>
        <v>44.0097542032163</v>
      </c>
      <c r="AF3047" s="55" t="n">
        <f aca="false">AD3047+ROW()*0.000000001</f>
        <v>-4.08746773069699</v>
      </c>
      <c r="AG3047" s="55" t="n">
        <f aca="false">AE3047+ROW()*0.000000001</f>
        <v>44.0097572502163</v>
      </c>
    </row>
    <row r="3048" customFormat="false" ht="15" hidden="false" customHeight="false" outlineLevel="0" collapsed="false">
      <c r="A3048" s="0" t="n">
        <v>4</v>
      </c>
      <c r="B3048" s="0" t="n">
        <v>1</v>
      </c>
      <c r="C3048" s="0" t="n">
        <v>5</v>
      </c>
      <c r="D3048" s="0" t="n">
        <v>1</v>
      </c>
      <c r="E3048" s="0" t="n">
        <f aca="false">-1+A3048*0.25</f>
        <v>0</v>
      </c>
      <c r="F3048" s="0" t="n">
        <f aca="false">-1+B3048*0.25</f>
        <v>-0.75</v>
      </c>
      <c r="G3048" s="0" t="n">
        <f aca="false">-1+C3048*0.25</f>
        <v>0.25</v>
      </c>
      <c r="H3048" s="0" t="n">
        <f aca="false">-1+D3048*0.25</f>
        <v>-0.75</v>
      </c>
      <c r="I3048" s="0" t="n">
        <f aca="false">1</f>
        <v>1</v>
      </c>
      <c r="J3048" s="0" t="n">
        <f aca="false">E3048</f>
        <v>0</v>
      </c>
      <c r="K3048" s="0" t="n">
        <f aca="false">F3048</f>
        <v>-0.75</v>
      </c>
      <c r="L3048" s="0" t="n">
        <f aca="false">G3048</f>
        <v>0.25</v>
      </c>
      <c r="M3048" s="0" t="n">
        <f aca="false">H3048</f>
        <v>-0.75</v>
      </c>
      <c r="N3048" s="0" t="n">
        <f aca="false">E3048*F3048</f>
        <v>-0</v>
      </c>
      <c r="O3048" s="0" t="n">
        <f aca="false">E3048*G3048</f>
        <v>0</v>
      </c>
      <c r="P3048" s="0" t="n">
        <f aca="false">E3048*H3048</f>
        <v>-0</v>
      </c>
      <c r="Q3048" s="0" t="n">
        <f aca="false">F3048*G3048</f>
        <v>-0.1875</v>
      </c>
      <c r="R3048" s="0" t="n">
        <f aca="false">F3048*H3048</f>
        <v>0.5625</v>
      </c>
      <c r="S3048" s="0" t="n">
        <f aca="false">G3048*H3048</f>
        <v>-0.1875</v>
      </c>
      <c r="T3048" s="0" t="n">
        <f aca="false">E3048*E3048</f>
        <v>0</v>
      </c>
      <c r="U3048" s="0" t="n">
        <f aca="false">F3048*F3048</f>
        <v>0.5625</v>
      </c>
      <c r="V3048" s="0" t="n">
        <f aca="false">G3048*G3048</f>
        <v>0.0625</v>
      </c>
      <c r="W3048" s="0" t="n">
        <f aca="false">H3048*H3048</f>
        <v>0.5625</v>
      </c>
      <c r="X3048" s="0" t="n">
        <f aca="false">SUMPRODUCT(I3048:W3048,_XtX!$B$96:$P$96)</f>
        <v>44.3362801535087</v>
      </c>
      <c r="Y3048" s="0" t="n">
        <f aca="false">SUMPRODUCT(MMULT(I3048:W3048,_XtX!$B$78:$P$92),I3048:W3048)</f>
        <v>0.281685455500731</v>
      </c>
      <c r="Z3048" s="0" t="n">
        <f aca="false">04_回帰ANOVA!$K$19*04_回帰ANOVA!$K$14*SQRT(1+Y3048)</f>
        <v>1.47566956658694</v>
      </c>
      <c r="AA3048" s="0" t="n">
        <f aca="false">X3048-Z3048</f>
        <v>42.8606105869218</v>
      </c>
      <c r="AB3048" s="0" t="n">
        <f aca="false">X3048+Z3048</f>
        <v>45.8119497200957</v>
      </c>
      <c r="AC3048" s="54" t="b">
        <f aca="false">AND(E3048&gt;=01_因子設定!$L$5-0.000000001,E3048&lt;=01_因子設定!$M$5+0.000000001,F3048&gt;=01_因子設定!$L$6-0.000000001,F3048&lt;=01_因子設定!$M$6+0.000000001,G3048&gt;=01_因子設定!$L$7-0.000000001,G3048&lt;=01_因子設定!$M$7+0.000000001,H3048&gt;=01_因子設定!$L$8-0.000000001,H3048&lt;=01_因子設定!$M$8+0.000000001,IF(01_因子設定!$B$20="Box-Behnken",E3048^2+F3048^2+G3048^2+H3048^2&lt;=2+0.000000001,TRUE()))</f>
        <v>1</v>
      </c>
      <c r="AD3048" s="55" t="n">
        <f aca="false">IF(AC3048,IF(01_因子設定!$B$13="最大化",AA3048-01_因子設定!$B$14,IF(01_因子設定!$B$13="最小化",01_因子設定!$B$15-AB3048,MIN(AA3048-01_因子設定!$B$14,01_因子設定!$B$15-AB3048))),-1E+030)</f>
        <v>-3.63938941307821</v>
      </c>
      <c r="AE3048" s="55" t="n">
        <f aca="false">IF(AC3048,IF(01_因子設定!$B$13="最大化",X3048,IF(01_因子設定!$B$13="最小化",-X3048,-ABS(X3048-01_因子設定!$B$16))),-1E+030)</f>
        <v>44.3362801535087</v>
      </c>
      <c r="AF3048" s="55" t="n">
        <f aca="false">AD3048+ROW()*0.000000001</f>
        <v>-3.63938636507821</v>
      </c>
      <c r="AG3048" s="55" t="n">
        <f aca="false">AE3048+ROW()*0.000000001</f>
        <v>44.3362832015087</v>
      </c>
    </row>
    <row r="3049" customFormat="false" ht="15" hidden="false" customHeight="false" outlineLevel="0" collapsed="false">
      <c r="A3049" s="0" t="n">
        <v>4</v>
      </c>
      <c r="B3049" s="0" t="n">
        <v>1</v>
      </c>
      <c r="C3049" s="0" t="n">
        <v>5</v>
      </c>
      <c r="D3049" s="0" t="n">
        <v>2</v>
      </c>
      <c r="E3049" s="0" t="n">
        <f aca="false">-1+A3049*0.25</f>
        <v>0</v>
      </c>
      <c r="F3049" s="0" t="n">
        <f aca="false">-1+B3049*0.25</f>
        <v>-0.75</v>
      </c>
      <c r="G3049" s="0" t="n">
        <f aca="false">-1+C3049*0.25</f>
        <v>0.25</v>
      </c>
      <c r="H3049" s="0" t="n">
        <f aca="false">-1+D3049*0.25</f>
        <v>-0.5</v>
      </c>
      <c r="I3049" s="0" t="n">
        <f aca="false">1</f>
        <v>1</v>
      </c>
      <c r="J3049" s="0" t="n">
        <f aca="false">E3049</f>
        <v>0</v>
      </c>
      <c r="K3049" s="0" t="n">
        <f aca="false">F3049</f>
        <v>-0.75</v>
      </c>
      <c r="L3049" s="0" t="n">
        <f aca="false">G3049</f>
        <v>0.25</v>
      </c>
      <c r="M3049" s="0" t="n">
        <f aca="false">H3049</f>
        <v>-0.5</v>
      </c>
      <c r="N3049" s="0" t="n">
        <f aca="false">E3049*F3049</f>
        <v>-0</v>
      </c>
      <c r="O3049" s="0" t="n">
        <f aca="false">E3049*G3049</f>
        <v>0</v>
      </c>
      <c r="P3049" s="0" t="n">
        <f aca="false">E3049*H3049</f>
        <v>-0</v>
      </c>
      <c r="Q3049" s="0" t="n">
        <f aca="false">F3049*G3049</f>
        <v>-0.1875</v>
      </c>
      <c r="R3049" s="0" t="n">
        <f aca="false">F3049*H3049</f>
        <v>0.375</v>
      </c>
      <c r="S3049" s="0" t="n">
        <f aca="false">G3049*H3049</f>
        <v>-0.125</v>
      </c>
      <c r="T3049" s="0" t="n">
        <f aca="false">E3049*E3049</f>
        <v>0</v>
      </c>
      <c r="U3049" s="0" t="n">
        <f aca="false">F3049*F3049</f>
        <v>0.5625</v>
      </c>
      <c r="V3049" s="0" t="n">
        <f aca="false">G3049*G3049</f>
        <v>0.0625</v>
      </c>
      <c r="W3049" s="0" t="n">
        <f aca="false">H3049*H3049</f>
        <v>0.25</v>
      </c>
      <c r="X3049" s="0" t="n">
        <f aca="false">SUMPRODUCT(I3049:W3049,_XtX!$B$96:$P$96)</f>
        <v>44.6149990862573</v>
      </c>
      <c r="Y3049" s="0" t="n">
        <f aca="false">SUMPRODUCT(MMULT(I3049:W3049,_XtX!$B$78:$P$92),I3049:W3049)</f>
        <v>0.215110734192252</v>
      </c>
      <c r="Z3049" s="0" t="n">
        <f aca="false">04_回帰ANOVA!$K$19*04_回帰ANOVA!$K$14*SQRT(1+Y3049)</f>
        <v>1.43683309086864</v>
      </c>
      <c r="AA3049" s="0" t="n">
        <f aca="false">X3049-Z3049</f>
        <v>43.1781659953886</v>
      </c>
      <c r="AB3049" s="0" t="n">
        <f aca="false">X3049+Z3049</f>
        <v>46.0518321771259</v>
      </c>
      <c r="AC3049" s="54" t="b">
        <f aca="false">AND(E3049&gt;=01_因子設定!$L$5-0.000000001,E3049&lt;=01_因子設定!$M$5+0.000000001,F3049&gt;=01_因子設定!$L$6-0.000000001,F3049&lt;=01_因子設定!$M$6+0.000000001,G3049&gt;=01_因子設定!$L$7-0.000000001,G3049&lt;=01_因子設定!$M$7+0.000000001,H3049&gt;=01_因子設定!$L$8-0.000000001,H3049&lt;=01_因子設定!$M$8+0.000000001,IF(01_因子設定!$B$20="Box-Behnken",E3049^2+F3049^2+G3049^2+H3049^2&lt;=2+0.000000001,TRUE()))</f>
        <v>1</v>
      </c>
      <c r="AD3049" s="55" t="n">
        <f aca="false">IF(AC3049,IF(01_因子設定!$B$13="最大化",AA3049-01_因子設定!$B$14,IF(01_因子設定!$B$13="最小化",01_因子設定!$B$15-AB3049,MIN(AA3049-01_因子設定!$B$14,01_因子設定!$B$15-AB3049))),-1E+030)</f>
        <v>-3.32183400461139</v>
      </c>
      <c r="AE3049" s="55" t="n">
        <f aca="false">IF(AC3049,IF(01_因子設定!$B$13="最大化",X3049,IF(01_因子設定!$B$13="最小化",-X3049,-ABS(X3049-01_因子設定!$B$16))),-1E+030)</f>
        <v>44.6149990862573</v>
      </c>
      <c r="AF3049" s="55" t="n">
        <f aca="false">AD3049+ROW()*0.000000001</f>
        <v>-3.32183095561139</v>
      </c>
      <c r="AG3049" s="55" t="n">
        <f aca="false">AE3049+ROW()*0.000000001</f>
        <v>44.6150021352573</v>
      </c>
    </row>
    <row r="3050" customFormat="false" ht="15" hidden="false" customHeight="false" outlineLevel="0" collapsed="false">
      <c r="A3050" s="0" t="n">
        <v>4</v>
      </c>
      <c r="B3050" s="0" t="n">
        <v>1</v>
      </c>
      <c r="C3050" s="0" t="n">
        <v>5</v>
      </c>
      <c r="D3050" s="0" t="n">
        <v>3</v>
      </c>
      <c r="E3050" s="0" t="n">
        <f aca="false">-1+A3050*0.25</f>
        <v>0</v>
      </c>
      <c r="F3050" s="0" t="n">
        <f aca="false">-1+B3050*0.25</f>
        <v>-0.75</v>
      </c>
      <c r="G3050" s="0" t="n">
        <f aca="false">-1+C3050*0.25</f>
        <v>0.25</v>
      </c>
      <c r="H3050" s="0" t="n">
        <f aca="false">-1+D3050*0.25</f>
        <v>-0.25</v>
      </c>
      <c r="I3050" s="0" t="n">
        <f aca="false">1</f>
        <v>1</v>
      </c>
      <c r="J3050" s="0" t="n">
        <f aca="false">E3050</f>
        <v>0</v>
      </c>
      <c r="K3050" s="0" t="n">
        <f aca="false">F3050</f>
        <v>-0.75</v>
      </c>
      <c r="L3050" s="0" t="n">
        <f aca="false">G3050</f>
        <v>0.25</v>
      </c>
      <c r="M3050" s="0" t="n">
        <f aca="false">H3050</f>
        <v>-0.25</v>
      </c>
      <c r="N3050" s="0" t="n">
        <f aca="false">E3050*F3050</f>
        <v>-0</v>
      </c>
      <c r="O3050" s="0" t="n">
        <f aca="false">E3050*G3050</f>
        <v>0</v>
      </c>
      <c r="P3050" s="0" t="n">
        <f aca="false">E3050*H3050</f>
        <v>-0</v>
      </c>
      <c r="Q3050" s="0" t="n">
        <f aca="false">F3050*G3050</f>
        <v>-0.1875</v>
      </c>
      <c r="R3050" s="0" t="n">
        <f aca="false">F3050*H3050</f>
        <v>0.1875</v>
      </c>
      <c r="S3050" s="0" t="n">
        <f aca="false">G3050*H3050</f>
        <v>-0.0625</v>
      </c>
      <c r="T3050" s="0" t="n">
        <f aca="false">E3050*E3050</f>
        <v>0</v>
      </c>
      <c r="U3050" s="0" t="n">
        <f aca="false">F3050*F3050</f>
        <v>0.5625</v>
      </c>
      <c r="V3050" s="0" t="n">
        <f aca="false">G3050*G3050</f>
        <v>0.0625</v>
      </c>
      <c r="W3050" s="0" t="n">
        <f aca="false">H3050*H3050</f>
        <v>0.0625</v>
      </c>
      <c r="X3050" s="0" t="n">
        <f aca="false">SUMPRODUCT(I3050:W3050,_XtX!$B$96:$P$96)</f>
        <v>44.8459110014619</v>
      </c>
      <c r="Y3050" s="0" t="n">
        <f aca="false">SUMPRODUCT(MMULT(I3050:W3050,_XtX!$B$78:$P$92),I3050:W3050)</f>
        <v>0.21135011193348</v>
      </c>
      <c r="Z3050" s="0" t="n">
        <f aca="false">04_回帰ANOVA!$K$19*04_回帰ANOVA!$K$14*SQRT(1+Y3050)</f>
        <v>1.43460795469709</v>
      </c>
      <c r="AA3050" s="0" t="n">
        <f aca="false">X3050-Z3050</f>
        <v>43.4113030467648</v>
      </c>
      <c r="AB3050" s="0" t="n">
        <f aca="false">X3050+Z3050</f>
        <v>46.280518956159</v>
      </c>
      <c r="AC3050" s="54" t="b">
        <f aca="false">AND(E3050&gt;=01_因子設定!$L$5-0.000000001,E3050&lt;=01_因子設定!$M$5+0.000000001,F3050&gt;=01_因子設定!$L$6-0.000000001,F3050&lt;=01_因子設定!$M$6+0.000000001,G3050&gt;=01_因子設定!$L$7-0.000000001,G3050&lt;=01_因子設定!$M$7+0.000000001,H3050&gt;=01_因子設定!$L$8-0.000000001,H3050&lt;=01_因子設定!$M$8+0.000000001,IF(01_因子設定!$B$20="Box-Behnken",E3050^2+F3050^2+G3050^2+H3050^2&lt;=2+0.000000001,TRUE()))</f>
        <v>1</v>
      </c>
      <c r="AD3050" s="55" t="n">
        <f aca="false">IF(AC3050,IF(01_因子設定!$B$13="最大化",AA3050-01_因子設定!$B$14,IF(01_因子設定!$B$13="最小化",01_因子設定!$B$15-AB3050,MIN(AA3050-01_因子設定!$B$14,01_因子設定!$B$15-AB3050))),-1E+030)</f>
        <v>-3.08869695323516</v>
      </c>
      <c r="AE3050" s="55" t="n">
        <f aca="false">IF(AC3050,IF(01_因子設定!$B$13="最大化",X3050,IF(01_因子設定!$B$13="最小化",-X3050,-ABS(X3050-01_因子設定!$B$16))),-1E+030)</f>
        <v>44.8459110014619</v>
      </c>
      <c r="AF3050" s="55" t="n">
        <f aca="false">AD3050+ROW()*0.000000001</f>
        <v>-3.08869390323516</v>
      </c>
      <c r="AG3050" s="55" t="n">
        <f aca="false">AE3050+ROW()*0.000000001</f>
        <v>44.8459140514619</v>
      </c>
    </row>
    <row r="3051" customFormat="false" ht="15" hidden="false" customHeight="false" outlineLevel="0" collapsed="false">
      <c r="A3051" s="0" t="n">
        <v>4</v>
      </c>
      <c r="B3051" s="0" t="n">
        <v>1</v>
      </c>
      <c r="C3051" s="0" t="n">
        <v>5</v>
      </c>
      <c r="D3051" s="0" t="n">
        <v>4</v>
      </c>
      <c r="E3051" s="0" t="n">
        <f aca="false">-1+A3051*0.25</f>
        <v>0</v>
      </c>
      <c r="F3051" s="0" t="n">
        <f aca="false">-1+B3051*0.25</f>
        <v>-0.75</v>
      </c>
      <c r="G3051" s="0" t="n">
        <f aca="false">-1+C3051*0.25</f>
        <v>0.25</v>
      </c>
      <c r="H3051" s="0" t="n">
        <f aca="false">-1+D3051*0.25</f>
        <v>0</v>
      </c>
      <c r="I3051" s="0" t="n">
        <f aca="false">1</f>
        <v>1</v>
      </c>
      <c r="J3051" s="0" t="n">
        <f aca="false">E3051</f>
        <v>0</v>
      </c>
      <c r="K3051" s="0" t="n">
        <f aca="false">F3051</f>
        <v>-0.75</v>
      </c>
      <c r="L3051" s="0" t="n">
        <f aca="false">G3051</f>
        <v>0.25</v>
      </c>
      <c r="M3051" s="0" t="n">
        <f aca="false">H3051</f>
        <v>0</v>
      </c>
      <c r="N3051" s="0" t="n">
        <f aca="false">E3051*F3051</f>
        <v>-0</v>
      </c>
      <c r="O3051" s="0" t="n">
        <f aca="false">E3051*G3051</f>
        <v>0</v>
      </c>
      <c r="P3051" s="0" t="n">
        <f aca="false">E3051*H3051</f>
        <v>0</v>
      </c>
      <c r="Q3051" s="0" t="n">
        <f aca="false">F3051*G3051</f>
        <v>-0.1875</v>
      </c>
      <c r="R3051" s="0" t="n">
        <f aca="false">F3051*H3051</f>
        <v>-0</v>
      </c>
      <c r="S3051" s="0" t="n">
        <f aca="false">G3051*H3051</f>
        <v>0</v>
      </c>
      <c r="T3051" s="0" t="n">
        <f aca="false">E3051*E3051</f>
        <v>0</v>
      </c>
      <c r="U3051" s="0" t="n">
        <f aca="false">F3051*F3051</f>
        <v>0.5625</v>
      </c>
      <c r="V3051" s="0" t="n">
        <f aca="false">G3051*G3051</f>
        <v>0.0625</v>
      </c>
      <c r="W3051" s="0" t="n">
        <f aca="false">H3051*H3051</f>
        <v>0</v>
      </c>
      <c r="X3051" s="0" t="n">
        <f aca="false">SUMPRODUCT(I3051:W3051,_XtX!$B$96:$P$96)</f>
        <v>45.0290158991227</v>
      </c>
      <c r="Y3051" s="0" t="n">
        <f aca="false">SUMPRODUCT(MMULT(I3051:W3051,_XtX!$B$78:$P$92),I3051:W3051)</f>
        <v>0.216127272934942</v>
      </c>
      <c r="Z3051" s="0" t="n">
        <f aca="false">04_回帰ANOVA!$K$19*04_回帰ANOVA!$K$14*SQRT(1+Y3051)</f>
        <v>1.43743397896608</v>
      </c>
      <c r="AA3051" s="0" t="n">
        <f aca="false">X3051-Z3051</f>
        <v>43.5915819201567</v>
      </c>
      <c r="AB3051" s="0" t="n">
        <f aca="false">X3051+Z3051</f>
        <v>46.4664498780888</v>
      </c>
      <c r="AC3051" s="54" t="b">
        <f aca="false">AND(E3051&gt;=01_因子設定!$L$5-0.000000001,E3051&lt;=01_因子設定!$M$5+0.000000001,F3051&gt;=01_因子設定!$L$6-0.000000001,F3051&lt;=01_因子設定!$M$6+0.000000001,G3051&gt;=01_因子設定!$L$7-0.000000001,G3051&lt;=01_因子設定!$M$7+0.000000001,H3051&gt;=01_因子設定!$L$8-0.000000001,H3051&lt;=01_因子設定!$M$8+0.000000001,IF(01_因子設定!$B$20="Box-Behnken",E3051^2+F3051^2+G3051^2+H3051^2&lt;=2+0.000000001,TRUE()))</f>
        <v>1</v>
      </c>
      <c r="AD3051" s="55" t="n">
        <f aca="false">IF(AC3051,IF(01_因子設定!$B$13="最大化",AA3051-01_因子設定!$B$14,IF(01_因子設定!$B$13="最小化",01_因子設定!$B$15-AB3051,MIN(AA3051-01_因子設定!$B$14,01_因子設定!$B$15-AB3051))),-1E+030)</f>
        <v>-2.90841807984334</v>
      </c>
      <c r="AE3051" s="55" t="n">
        <f aca="false">IF(AC3051,IF(01_因子設定!$B$13="最大化",X3051,IF(01_因子設定!$B$13="最小化",-X3051,-ABS(X3051-01_因子設定!$B$16))),-1E+030)</f>
        <v>45.0290158991227</v>
      </c>
      <c r="AF3051" s="55" t="n">
        <f aca="false">AD3051+ROW()*0.000000001</f>
        <v>-2.90841502884334</v>
      </c>
      <c r="AG3051" s="55" t="n">
        <f aca="false">AE3051+ROW()*0.000000001</f>
        <v>45.0290189501227</v>
      </c>
    </row>
    <row r="3052" customFormat="false" ht="15" hidden="false" customHeight="false" outlineLevel="0" collapsed="false">
      <c r="A3052" s="0" t="n">
        <v>4</v>
      </c>
      <c r="B3052" s="0" t="n">
        <v>1</v>
      </c>
      <c r="C3052" s="0" t="n">
        <v>5</v>
      </c>
      <c r="D3052" s="0" t="n">
        <v>5</v>
      </c>
      <c r="E3052" s="0" t="n">
        <f aca="false">-1+A3052*0.25</f>
        <v>0</v>
      </c>
      <c r="F3052" s="0" t="n">
        <f aca="false">-1+B3052*0.25</f>
        <v>-0.75</v>
      </c>
      <c r="G3052" s="0" t="n">
        <f aca="false">-1+C3052*0.25</f>
        <v>0.25</v>
      </c>
      <c r="H3052" s="0" t="n">
        <f aca="false">-1+D3052*0.25</f>
        <v>0.25</v>
      </c>
      <c r="I3052" s="0" t="n">
        <f aca="false">1</f>
        <v>1</v>
      </c>
      <c r="J3052" s="0" t="n">
        <f aca="false">E3052</f>
        <v>0</v>
      </c>
      <c r="K3052" s="0" t="n">
        <f aca="false">F3052</f>
        <v>-0.75</v>
      </c>
      <c r="L3052" s="0" t="n">
        <f aca="false">G3052</f>
        <v>0.25</v>
      </c>
      <c r="M3052" s="0" t="n">
        <f aca="false">H3052</f>
        <v>0.25</v>
      </c>
      <c r="N3052" s="0" t="n">
        <f aca="false">E3052*F3052</f>
        <v>-0</v>
      </c>
      <c r="O3052" s="0" t="n">
        <f aca="false">E3052*G3052</f>
        <v>0</v>
      </c>
      <c r="P3052" s="0" t="n">
        <f aca="false">E3052*H3052</f>
        <v>0</v>
      </c>
      <c r="Q3052" s="0" t="n">
        <f aca="false">F3052*G3052</f>
        <v>-0.1875</v>
      </c>
      <c r="R3052" s="0" t="n">
        <f aca="false">F3052*H3052</f>
        <v>-0.1875</v>
      </c>
      <c r="S3052" s="0" t="n">
        <f aca="false">G3052*H3052</f>
        <v>0.0625</v>
      </c>
      <c r="T3052" s="0" t="n">
        <f aca="false">E3052*E3052</f>
        <v>0</v>
      </c>
      <c r="U3052" s="0" t="n">
        <f aca="false">F3052*F3052</f>
        <v>0.5625</v>
      </c>
      <c r="V3052" s="0" t="n">
        <f aca="false">G3052*G3052</f>
        <v>0.0625</v>
      </c>
      <c r="W3052" s="0" t="n">
        <f aca="false">H3052*H3052</f>
        <v>0.0625</v>
      </c>
      <c r="X3052" s="0" t="n">
        <f aca="false">SUMPRODUCT(I3052:W3052,_XtX!$B$96:$P$96)</f>
        <v>45.1643137792397</v>
      </c>
      <c r="Y3052" s="0" t="n">
        <f aca="false">SUMPRODUCT(MMULT(I3052:W3052,_XtX!$B$78:$P$92),I3052:W3052)</f>
        <v>0.21135011193348</v>
      </c>
      <c r="Z3052" s="0" t="n">
        <f aca="false">04_回帰ANOVA!$K$19*04_回帰ANOVA!$K$14*SQRT(1+Y3052)</f>
        <v>1.43460795469709</v>
      </c>
      <c r="AA3052" s="0" t="n">
        <f aca="false">X3052-Z3052</f>
        <v>43.7297058245426</v>
      </c>
      <c r="AB3052" s="0" t="n">
        <f aca="false">X3052+Z3052</f>
        <v>46.5989217339368</v>
      </c>
      <c r="AC3052" s="54" t="b">
        <f aca="false">AND(E3052&gt;=01_因子設定!$L$5-0.000000001,E3052&lt;=01_因子設定!$M$5+0.000000001,F3052&gt;=01_因子設定!$L$6-0.000000001,F3052&lt;=01_因子設定!$M$6+0.000000001,G3052&gt;=01_因子設定!$L$7-0.000000001,G3052&lt;=01_因子設定!$M$7+0.000000001,H3052&gt;=01_因子設定!$L$8-0.000000001,H3052&lt;=01_因子設定!$M$8+0.000000001,IF(01_因子設定!$B$20="Box-Behnken",E3052^2+F3052^2+G3052^2+H3052^2&lt;=2+0.000000001,TRUE()))</f>
        <v>1</v>
      </c>
      <c r="AD3052" s="55" t="n">
        <f aca="false">IF(AC3052,IF(01_因子設定!$B$13="最大化",AA3052-01_因子設定!$B$14,IF(01_因子設定!$B$13="最小化",01_因子設定!$B$15-AB3052,MIN(AA3052-01_因子設定!$B$14,01_因子設定!$B$15-AB3052))),-1E+030)</f>
        <v>-2.77029417545739</v>
      </c>
      <c r="AE3052" s="55" t="n">
        <f aca="false">IF(AC3052,IF(01_因子設定!$B$13="最大化",X3052,IF(01_因子設定!$B$13="最小化",-X3052,-ABS(X3052-01_因子設定!$B$16))),-1E+030)</f>
        <v>45.1643137792397</v>
      </c>
      <c r="AF3052" s="55" t="n">
        <f aca="false">AD3052+ROW()*0.000000001</f>
        <v>-2.77029112345739</v>
      </c>
      <c r="AG3052" s="55" t="n">
        <f aca="false">AE3052+ROW()*0.000000001</f>
        <v>45.1643168312397</v>
      </c>
    </row>
    <row r="3053" customFormat="false" ht="15" hidden="false" customHeight="false" outlineLevel="0" collapsed="false">
      <c r="A3053" s="0" t="n">
        <v>4</v>
      </c>
      <c r="B3053" s="0" t="n">
        <v>1</v>
      </c>
      <c r="C3053" s="0" t="n">
        <v>5</v>
      </c>
      <c r="D3053" s="0" t="n">
        <v>6</v>
      </c>
      <c r="E3053" s="0" t="n">
        <f aca="false">-1+A3053*0.25</f>
        <v>0</v>
      </c>
      <c r="F3053" s="0" t="n">
        <f aca="false">-1+B3053*0.25</f>
        <v>-0.75</v>
      </c>
      <c r="G3053" s="0" t="n">
        <f aca="false">-1+C3053*0.25</f>
        <v>0.25</v>
      </c>
      <c r="H3053" s="0" t="n">
        <f aca="false">-1+D3053*0.25</f>
        <v>0.5</v>
      </c>
      <c r="I3053" s="0" t="n">
        <f aca="false">1</f>
        <v>1</v>
      </c>
      <c r="J3053" s="0" t="n">
        <f aca="false">E3053</f>
        <v>0</v>
      </c>
      <c r="K3053" s="0" t="n">
        <f aca="false">F3053</f>
        <v>-0.75</v>
      </c>
      <c r="L3053" s="0" t="n">
        <f aca="false">G3053</f>
        <v>0.25</v>
      </c>
      <c r="M3053" s="0" t="n">
        <f aca="false">H3053</f>
        <v>0.5</v>
      </c>
      <c r="N3053" s="0" t="n">
        <f aca="false">E3053*F3053</f>
        <v>-0</v>
      </c>
      <c r="O3053" s="0" t="n">
        <f aca="false">E3053*G3053</f>
        <v>0</v>
      </c>
      <c r="P3053" s="0" t="n">
        <f aca="false">E3053*H3053</f>
        <v>0</v>
      </c>
      <c r="Q3053" s="0" t="n">
        <f aca="false">F3053*G3053</f>
        <v>-0.1875</v>
      </c>
      <c r="R3053" s="0" t="n">
        <f aca="false">F3053*H3053</f>
        <v>-0.375</v>
      </c>
      <c r="S3053" s="0" t="n">
        <f aca="false">G3053*H3053</f>
        <v>0.125</v>
      </c>
      <c r="T3053" s="0" t="n">
        <f aca="false">E3053*E3053</f>
        <v>0</v>
      </c>
      <c r="U3053" s="0" t="n">
        <f aca="false">F3053*F3053</f>
        <v>0.5625</v>
      </c>
      <c r="V3053" s="0" t="n">
        <f aca="false">G3053*G3053</f>
        <v>0.0625</v>
      </c>
      <c r="W3053" s="0" t="n">
        <f aca="false">H3053*H3053</f>
        <v>0.25</v>
      </c>
      <c r="X3053" s="0" t="n">
        <f aca="false">SUMPRODUCT(I3053:W3053,_XtX!$B$96:$P$96)</f>
        <v>45.2518046418128</v>
      </c>
      <c r="Y3053" s="0" t="n">
        <f aca="false">SUMPRODUCT(MMULT(I3053:W3053,_XtX!$B$78:$P$92),I3053:W3053)</f>
        <v>0.215110734192252</v>
      </c>
      <c r="Z3053" s="0" t="n">
        <f aca="false">04_回帰ANOVA!$K$19*04_回帰ANOVA!$K$14*SQRT(1+Y3053)</f>
        <v>1.43683309086864</v>
      </c>
      <c r="AA3053" s="0" t="n">
        <f aca="false">X3053-Z3053</f>
        <v>43.8149715509442</v>
      </c>
      <c r="AB3053" s="0" t="n">
        <f aca="false">X3053+Z3053</f>
        <v>46.6886377326815</v>
      </c>
      <c r="AC3053" s="54" t="b">
        <f aca="false">AND(E3053&gt;=01_因子設定!$L$5-0.000000001,E3053&lt;=01_因子設定!$M$5+0.000000001,F3053&gt;=01_因子設定!$L$6-0.000000001,F3053&lt;=01_因子設定!$M$6+0.000000001,G3053&gt;=01_因子設定!$L$7-0.000000001,G3053&lt;=01_因子設定!$M$7+0.000000001,H3053&gt;=01_因子設定!$L$8-0.000000001,H3053&lt;=01_因子設定!$M$8+0.000000001,IF(01_因子設定!$B$20="Box-Behnken",E3053^2+F3053^2+G3053^2+H3053^2&lt;=2+0.000000001,TRUE()))</f>
        <v>1</v>
      </c>
      <c r="AD3053" s="55" t="n">
        <f aca="false">IF(AC3053,IF(01_因子設定!$B$13="最大化",AA3053-01_因子設定!$B$14,IF(01_因子設定!$B$13="最小化",01_因子設定!$B$15-AB3053,MIN(AA3053-01_因子設定!$B$14,01_因子設定!$B$15-AB3053))),-1E+030)</f>
        <v>-2.68502844905584</v>
      </c>
      <c r="AE3053" s="55" t="n">
        <f aca="false">IF(AC3053,IF(01_因子設定!$B$13="最大化",X3053,IF(01_因子設定!$B$13="最小化",-X3053,-ABS(X3053-01_因子設定!$B$16))),-1E+030)</f>
        <v>45.2518046418128</v>
      </c>
      <c r="AF3053" s="55" t="n">
        <f aca="false">AD3053+ROW()*0.000000001</f>
        <v>-2.68502539605584</v>
      </c>
      <c r="AG3053" s="55" t="n">
        <f aca="false">AE3053+ROW()*0.000000001</f>
        <v>45.2518076948128</v>
      </c>
    </row>
    <row r="3054" customFormat="false" ht="15" hidden="false" customHeight="false" outlineLevel="0" collapsed="false">
      <c r="A3054" s="0" t="n">
        <v>4</v>
      </c>
      <c r="B3054" s="0" t="n">
        <v>1</v>
      </c>
      <c r="C3054" s="0" t="n">
        <v>5</v>
      </c>
      <c r="D3054" s="0" t="n">
        <v>7</v>
      </c>
      <c r="E3054" s="0" t="n">
        <f aca="false">-1+A3054*0.25</f>
        <v>0</v>
      </c>
      <c r="F3054" s="0" t="n">
        <f aca="false">-1+B3054*0.25</f>
        <v>-0.75</v>
      </c>
      <c r="G3054" s="0" t="n">
        <f aca="false">-1+C3054*0.25</f>
        <v>0.25</v>
      </c>
      <c r="H3054" s="0" t="n">
        <f aca="false">-1+D3054*0.25</f>
        <v>0.75</v>
      </c>
      <c r="I3054" s="0" t="n">
        <f aca="false">1</f>
        <v>1</v>
      </c>
      <c r="J3054" s="0" t="n">
        <f aca="false">E3054</f>
        <v>0</v>
      </c>
      <c r="K3054" s="0" t="n">
        <f aca="false">F3054</f>
        <v>-0.75</v>
      </c>
      <c r="L3054" s="0" t="n">
        <f aca="false">G3054</f>
        <v>0.25</v>
      </c>
      <c r="M3054" s="0" t="n">
        <f aca="false">H3054</f>
        <v>0.75</v>
      </c>
      <c r="N3054" s="0" t="n">
        <f aca="false">E3054*F3054</f>
        <v>-0</v>
      </c>
      <c r="O3054" s="0" t="n">
        <f aca="false">E3054*G3054</f>
        <v>0</v>
      </c>
      <c r="P3054" s="0" t="n">
        <f aca="false">E3054*H3054</f>
        <v>0</v>
      </c>
      <c r="Q3054" s="0" t="n">
        <f aca="false">F3054*G3054</f>
        <v>-0.1875</v>
      </c>
      <c r="R3054" s="0" t="n">
        <f aca="false">F3054*H3054</f>
        <v>-0.5625</v>
      </c>
      <c r="S3054" s="0" t="n">
        <f aca="false">G3054*H3054</f>
        <v>0.1875</v>
      </c>
      <c r="T3054" s="0" t="n">
        <f aca="false">E3054*E3054</f>
        <v>0</v>
      </c>
      <c r="U3054" s="0" t="n">
        <f aca="false">F3054*F3054</f>
        <v>0.5625</v>
      </c>
      <c r="V3054" s="0" t="n">
        <f aca="false">G3054*G3054</f>
        <v>0.0625</v>
      </c>
      <c r="W3054" s="0" t="n">
        <f aca="false">H3054*H3054</f>
        <v>0.5625</v>
      </c>
      <c r="X3054" s="0" t="n">
        <f aca="false">SUMPRODUCT(I3054:W3054,_XtX!$B$96:$P$96)</f>
        <v>45.2914884868421</v>
      </c>
      <c r="Y3054" s="0" t="n">
        <f aca="false">SUMPRODUCT(MMULT(I3054:W3054,_XtX!$B$78:$P$92),I3054:W3054)</f>
        <v>0.281685455500731</v>
      </c>
      <c r="Z3054" s="0" t="n">
        <f aca="false">04_回帰ANOVA!$K$19*04_回帰ANOVA!$K$14*SQRT(1+Y3054)</f>
        <v>1.47566956658694</v>
      </c>
      <c r="AA3054" s="0" t="n">
        <f aca="false">X3054-Z3054</f>
        <v>43.8158189202551</v>
      </c>
      <c r="AB3054" s="0" t="n">
        <f aca="false">X3054+Z3054</f>
        <v>46.767158053429</v>
      </c>
      <c r="AC3054" s="54" t="b">
        <f aca="false">AND(E3054&gt;=01_因子設定!$L$5-0.000000001,E3054&lt;=01_因子設定!$M$5+0.000000001,F3054&gt;=01_因子設定!$L$6-0.000000001,F3054&lt;=01_因子設定!$M$6+0.000000001,G3054&gt;=01_因子設定!$L$7-0.000000001,G3054&lt;=01_因子設定!$M$7+0.000000001,H3054&gt;=01_因子設定!$L$8-0.000000001,H3054&lt;=01_因子設定!$M$8+0.000000001,IF(01_因子設定!$B$20="Box-Behnken",E3054^2+F3054^2+G3054^2+H3054^2&lt;=2+0.000000001,TRUE()))</f>
        <v>1</v>
      </c>
      <c r="AD3054" s="55" t="n">
        <f aca="false">IF(AC3054,IF(01_因子設定!$B$13="最大化",AA3054-01_因子設定!$B$14,IF(01_因子設定!$B$13="最小化",01_因子設定!$B$15-AB3054,MIN(AA3054-01_因子設定!$B$14,01_因子設定!$B$15-AB3054))),-1E+030)</f>
        <v>-2.68418107974488</v>
      </c>
      <c r="AE3054" s="55" t="n">
        <f aca="false">IF(AC3054,IF(01_因子設定!$B$13="最大化",X3054,IF(01_因子設定!$B$13="最小化",-X3054,-ABS(X3054-01_因子設定!$B$16))),-1E+030)</f>
        <v>45.2914884868421</v>
      </c>
      <c r="AF3054" s="55" t="n">
        <f aca="false">AD3054+ROW()*0.000000001</f>
        <v>-2.68417802574488</v>
      </c>
      <c r="AG3054" s="55" t="n">
        <f aca="false">AE3054+ROW()*0.000000001</f>
        <v>45.2914915408421</v>
      </c>
    </row>
    <row r="3055" customFormat="false" ht="15" hidden="false" customHeight="false" outlineLevel="0" collapsed="false">
      <c r="A3055" s="0" t="n">
        <v>4</v>
      </c>
      <c r="B3055" s="0" t="n">
        <v>1</v>
      </c>
      <c r="C3055" s="0" t="n">
        <v>5</v>
      </c>
      <c r="D3055" s="0" t="n">
        <v>8</v>
      </c>
      <c r="E3055" s="0" t="n">
        <f aca="false">-1+A3055*0.25</f>
        <v>0</v>
      </c>
      <c r="F3055" s="0" t="n">
        <f aca="false">-1+B3055*0.25</f>
        <v>-0.75</v>
      </c>
      <c r="G3055" s="0" t="n">
        <f aca="false">-1+C3055*0.25</f>
        <v>0.25</v>
      </c>
      <c r="H3055" s="0" t="n">
        <f aca="false">-1+D3055*0.25</f>
        <v>1</v>
      </c>
      <c r="I3055" s="0" t="n">
        <f aca="false">1</f>
        <v>1</v>
      </c>
      <c r="J3055" s="0" t="n">
        <f aca="false">E3055</f>
        <v>0</v>
      </c>
      <c r="K3055" s="0" t="n">
        <f aca="false">F3055</f>
        <v>-0.75</v>
      </c>
      <c r="L3055" s="0" t="n">
        <f aca="false">G3055</f>
        <v>0.25</v>
      </c>
      <c r="M3055" s="0" t="n">
        <f aca="false">H3055</f>
        <v>1</v>
      </c>
      <c r="N3055" s="0" t="n">
        <f aca="false">E3055*F3055</f>
        <v>-0</v>
      </c>
      <c r="O3055" s="0" t="n">
        <f aca="false">E3055*G3055</f>
        <v>0</v>
      </c>
      <c r="P3055" s="0" t="n">
        <f aca="false">E3055*H3055</f>
        <v>0</v>
      </c>
      <c r="Q3055" s="0" t="n">
        <f aca="false">F3055*G3055</f>
        <v>-0.1875</v>
      </c>
      <c r="R3055" s="0" t="n">
        <f aca="false">F3055*H3055</f>
        <v>-0.75</v>
      </c>
      <c r="S3055" s="0" t="n">
        <f aca="false">G3055*H3055</f>
        <v>0.25</v>
      </c>
      <c r="T3055" s="0" t="n">
        <f aca="false">E3055*E3055</f>
        <v>0</v>
      </c>
      <c r="U3055" s="0" t="n">
        <f aca="false">F3055*F3055</f>
        <v>0.5625</v>
      </c>
      <c r="V3055" s="0" t="n">
        <f aca="false">G3055*G3055</f>
        <v>0.0625</v>
      </c>
      <c r="W3055" s="0" t="n">
        <f aca="false">H3055*H3055</f>
        <v>1</v>
      </c>
      <c r="X3055" s="0" t="n">
        <f aca="false">SUMPRODUCT(I3055:W3055,_XtX!$B$96:$P$96)</f>
        <v>45.2833653143275</v>
      </c>
      <c r="Y3055" s="0" t="n">
        <f aca="false">SUMPRODUCT(MMULT(I3055:W3055,_XtX!$B$78:$P$92),I3055:W3055)</f>
        <v>0.501534802174708</v>
      </c>
      <c r="Z3055" s="0" t="n">
        <f aca="false">04_回帰ANOVA!$K$19*04_回帰ANOVA!$K$14*SQRT(1+Y3055)</f>
        <v>1.59722498091333</v>
      </c>
      <c r="AA3055" s="0" t="n">
        <f aca="false">X3055-Z3055</f>
        <v>43.6861403334141</v>
      </c>
      <c r="AB3055" s="0" t="n">
        <f aca="false">X3055+Z3055</f>
        <v>46.8805902952408</v>
      </c>
      <c r="AC3055" s="54" t="b">
        <f aca="false">AND(E3055&gt;=01_因子設定!$L$5-0.000000001,E3055&lt;=01_因子設定!$M$5+0.000000001,F3055&gt;=01_因子設定!$L$6-0.000000001,F3055&lt;=01_因子設定!$M$6+0.000000001,G3055&gt;=01_因子設定!$L$7-0.000000001,G3055&lt;=01_因子設定!$M$7+0.000000001,H3055&gt;=01_因子設定!$L$8-0.000000001,H3055&lt;=01_因子設定!$M$8+0.000000001,IF(01_因子設定!$B$20="Box-Behnken",E3055^2+F3055^2+G3055^2+H3055^2&lt;=2+0.000000001,TRUE()))</f>
        <v>1</v>
      </c>
      <c r="AD3055" s="55" t="n">
        <f aca="false">IF(AC3055,IF(01_因子設定!$B$13="最大化",AA3055-01_因子設定!$B$14,IF(01_因子設定!$B$13="最小化",01_因子設定!$B$15-AB3055,MIN(AA3055-01_因子設定!$B$14,01_因子設定!$B$15-AB3055))),-1E+030)</f>
        <v>-2.81385966658588</v>
      </c>
      <c r="AE3055" s="55" t="n">
        <f aca="false">IF(AC3055,IF(01_因子設定!$B$13="最大化",X3055,IF(01_因子設定!$B$13="最小化",-X3055,-ABS(X3055-01_因子設定!$B$16))),-1E+030)</f>
        <v>45.2833653143275</v>
      </c>
      <c r="AF3055" s="55" t="n">
        <f aca="false">AD3055+ROW()*0.000000001</f>
        <v>-2.81385661158588</v>
      </c>
      <c r="AG3055" s="55" t="n">
        <f aca="false">AE3055+ROW()*0.000000001</f>
        <v>45.2833683693275</v>
      </c>
    </row>
    <row r="3056" customFormat="false" ht="15" hidden="false" customHeight="false" outlineLevel="0" collapsed="false">
      <c r="A3056" s="0" t="n">
        <v>4</v>
      </c>
      <c r="B3056" s="0" t="n">
        <v>1</v>
      </c>
      <c r="C3056" s="0" t="n">
        <v>6</v>
      </c>
      <c r="D3056" s="0" t="n">
        <v>0</v>
      </c>
      <c r="E3056" s="0" t="n">
        <f aca="false">-1+A3056*0.25</f>
        <v>0</v>
      </c>
      <c r="F3056" s="0" t="n">
        <f aca="false">-1+B3056*0.25</f>
        <v>-0.75</v>
      </c>
      <c r="G3056" s="0" t="n">
        <f aca="false">-1+C3056*0.25</f>
        <v>0.5</v>
      </c>
      <c r="H3056" s="0" t="n">
        <f aca="false">-1+D3056*0.25</f>
        <v>-1</v>
      </c>
      <c r="I3056" s="0" t="n">
        <f aca="false">1</f>
        <v>1</v>
      </c>
      <c r="J3056" s="0" t="n">
        <f aca="false">E3056</f>
        <v>0</v>
      </c>
      <c r="K3056" s="0" t="n">
        <f aca="false">F3056</f>
        <v>-0.75</v>
      </c>
      <c r="L3056" s="0" t="n">
        <f aca="false">G3056</f>
        <v>0.5</v>
      </c>
      <c r="M3056" s="0" t="n">
        <f aca="false">H3056</f>
        <v>-1</v>
      </c>
      <c r="N3056" s="0" t="n">
        <f aca="false">E3056*F3056</f>
        <v>-0</v>
      </c>
      <c r="O3056" s="0" t="n">
        <f aca="false">E3056*G3056</f>
        <v>0</v>
      </c>
      <c r="P3056" s="0" t="n">
        <f aca="false">E3056*H3056</f>
        <v>-0</v>
      </c>
      <c r="Q3056" s="0" t="n">
        <f aca="false">F3056*G3056</f>
        <v>-0.375</v>
      </c>
      <c r="R3056" s="0" t="n">
        <f aca="false">F3056*H3056</f>
        <v>0.75</v>
      </c>
      <c r="S3056" s="0" t="n">
        <f aca="false">G3056*H3056</f>
        <v>-0.5</v>
      </c>
      <c r="T3056" s="0" t="n">
        <f aca="false">E3056*E3056</f>
        <v>0</v>
      </c>
      <c r="U3056" s="0" t="n">
        <f aca="false">F3056*F3056</f>
        <v>0.5625</v>
      </c>
      <c r="V3056" s="0" t="n">
        <f aca="false">G3056*G3056</f>
        <v>0.25</v>
      </c>
      <c r="W3056" s="0" t="n">
        <f aca="false">H3056*H3056</f>
        <v>1</v>
      </c>
      <c r="X3056" s="0" t="n">
        <f aca="false">SUMPRODUCT(I3056:W3056,_XtX!$B$96:$P$96)</f>
        <v>43.9971582602339</v>
      </c>
      <c r="Y3056" s="0" t="n">
        <f aca="false">SUMPRODUCT(MMULT(I3056:W3056,_XtX!$B$78:$P$92),I3056:W3056)</f>
        <v>0.476191292032164</v>
      </c>
      <c r="Z3056" s="0" t="n">
        <f aca="false">04_回帰ANOVA!$K$19*04_回帰ANOVA!$K$14*SQRT(1+Y3056)</f>
        <v>1.58368831471718</v>
      </c>
      <c r="AA3056" s="0" t="n">
        <f aca="false">X3056-Z3056</f>
        <v>42.4134699455167</v>
      </c>
      <c r="AB3056" s="0" t="n">
        <f aca="false">X3056+Z3056</f>
        <v>45.5808465749511</v>
      </c>
      <c r="AC3056" s="54" t="b">
        <f aca="false">AND(E3056&gt;=01_因子設定!$L$5-0.000000001,E3056&lt;=01_因子設定!$M$5+0.000000001,F3056&gt;=01_因子設定!$L$6-0.000000001,F3056&lt;=01_因子設定!$M$6+0.000000001,G3056&gt;=01_因子設定!$L$7-0.000000001,G3056&lt;=01_因子設定!$M$7+0.000000001,H3056&gt;=01_因子設定!$L$8-0.000000001,H3056&lt;=01_因子設定!$M$8+0.000000001,IF(01_因子設定!$B$20="Box-Behnken",E3056^2+F3056^2+G3056^2+H3056^2&lt;=2+0.000000001,TRUE()))</f>
        <v>1</v>
      </c>
      <c r="AD3056" s="55" t="n">
        <f aca="false">IF(AC3056,IF(01_因子設定!$B$13="最大化",AA3056-01_因子設定!$B$14,IF(01_因子設定!$B$13="最小化",01_因子設定!$B$15-AB3056,MIN(AA3056-01_因子設定!$B$14,01_因子設定!$B$15-AB3056))),-1E+030)</f>
        <v>-4.08653005448329</v>
      </c>
      <c r="AE3056" s="55" t="n">
        <f aca="false">IF(AC3056,IF(01_因子設定!$B$13="最大化",X3056,IF(01_因子設定!$B$13="最小化",-X3056,-ABS(X3056-01_因子設定!$B$16))),-1E+030)</f>
        <v>43.9971582602339</v>
      </c>
      <c r="AF3056" s="55" t="n">
        <f aca="false">AD3056+ROW()*0.000000001</f>
        <v>-4.08652699848329</v>
      </c>
      <c r="AG3056" s="55" t="n">
        <f aca="false">AE3056+ROW()*0.000000001</f>
        <v>43.9971613162339</v>
      </c>
    </row>
    <row r="3057" customFormat="false" ht="15" hidden="false" customHeight="false" outlineLevel="0" collapsed="false">
      <c r="A3057" s="0" t="n">
        <v>4</v>
      </c>
      <c r="B3057" s="0" t="n">
        <v>1</v>
      </c>
      <c r="C3057" s="0" t="n">
        <v>6</v>
      </c>
      <c r="D3057" s="0" t="n">
        <v>1</v>
      </c>
      <c r="E3057" s="0" t="n">
        <f aca="false">-1+A3057*0.25</f>
        <v>0</v>
      </c>
      <c r="F3057" s="0" t="n">
        <f aca="false">-1+B3057*0.25</f>
        <v>-0.75</v>
      </c>
      <c r="G3057" s="0" t="n">
        <f aca="false">-1+C3057*0.25</f>
        <v>0.5</v>
      </c>
      <c r="H3057" s="0" t="n">
        <f aca="false">-1+D3057*0.25</f>
        <v>-0.75</v>
      </c>
      <c r="I3057" s="0" t="n">
        <f aca="false">1</f>
        <v>1</v>
      </c>
      <c r="J3057" s="0" t="n">
        <f aca="false">E3057</f>
        <v>0</v>
      </c>
      <c r="K3057" s="0" t="n">
        <f aca="false">F3057</f>
        <v>-0.75</v>
      </c>
      <c r="L3057" s="0" t="n">
        <f aca="false">G3057</f>
        <v>0.5</v>
      </c>
      <c r="M3057" s="0" t="n">
        <f aca="false">H3057</f>
        <v>-0.75</v>
      </c>
      <c r="N3057" s="0" t="n">
        <f aca="false">E3057*F3057</f>
        <v>-0</v>
      </c>
      <c r="O3057" s="0" t="n">
        <f aca="false">E3057*G3057</f>
        <v>0</v>
      </c>
      <c r="P3057" s="0" t="n">
        <f aca="false">E3057*H3057</f>
        <v>-0</v>
      </c>
      <c r="Q3057" s="0" t="n">
        <f aca="false">F3057*G3057</f>
        <v>-0.375</v>
      </c>
      <c r="R3057" s="0" t="n">
        <f aca="false">F3057*H3057</f>
        <v>0.5625</v>
      </c>
      <c r="S3057" s="0" t="n">
        <f aca="false">G3057*H3057</f>
        <v>-0.375</v>
      </c>
      <c r="T3057" s="0" t="n">
        <f aca="false">E3057*E3057</f>
        <v>0</v>
      </c>
      <c r="U3057" s="0" t="n">
        <f aca="false">F3057*F3057</f>
        <v>0.5625</v>
      </c>
      <c r="V3057" s="0" t="n">
        <f aca="false">G3057*G3057</f>
        <v>0.25</v>
      </c>
      <c r="W3057" s="0" t="n">
        <f aca="false">H3057*H3057</f>
        <v>0.5625</v>
      </c>
      <c r="X3057" s="0" t="n">
        <f aca="false">SUMPRODUCT(I3057:W3057,_XtX!$B$96:$P$96)</f>
        <v>44.3416529605263</v>
      </c>
      <c r="Y3057" s="0" t="n">
        <f aca="false">SUMPRODUCT(MMULT(I3057:W3057,_XtX!$B$78:$P$92),I3057:W3057)</f>
        <v>0.269923873812135</v>
      </c>
      <c r="Z3057" s="0" t="n">
        <f aca="false">04_回帰ANOVA!$K$19*04_回帰ANOVA!$K$14*SQRT(1+Y3057)</f>
        <v>1.46888310825501</v>
      </c>
      <c r="AA3057" s="0" t="n">
        <f aca="false">X3057-Z3057</f>
        <v>42.8727698522713</v>
      </c>
      <c r="AB3057" s="0" t="n">
        <f aca="false">X3057+Z3057</f>
        <v>45.8105360687813</v>
      </c>
      <c r="AC3057" s="54" t="b">
        <f aca="false">AND(E3057&gt;=01_因子設定!$L$5-0.000000001,E3057&lt;=01_因子設定!$M$5+0.000000001,F3057&gt;=01_因子設定!$L$6-0.000000001,F3057&lt;=01_因子設定!$M$6+0.000000001,G3057&gt;=01_因子設定!$L$7-0.000000001,G3057&lt;=01_因子設定!$M$7+0.000000001,H3057&gt;=01_因子設定!$L$8-0.000000001,H3057&lt;=01_因子設定!$M$8+0.000000001,IF(01_因子設定!$B$20="Box-Behnken",E3057^2+F3057^2+G3057^2+H3057^2&lt;=2+0.000000001,TRUE()))</f>
        <v>1</v>
      </c>
      <c r="AD3057" s="55" t="n">
        <f aca="false">IF(AC3057,IF(01_因子設定!$B$13="最大化",AA3057-01_因子設定!$B$14,IF(01_因子設定!$B$13="最小化",01_因子設定!$B$15-AB3057,MIN(AA3057-01_因子設定!$B$14,01_因子設定!$B$15-AB3057))),-1E+030)</f>
        <v>-3.62723014772873</v>
      </c>
      <c r="AE3057" s="55" t="n">
        <f aca="false">IF(AC3057,IF(01_因子設定!$B$13="最大化",X3057,IF(01_因子設定!$B$13="最小化",-X3057,-ABS(X3057-01_因子設定!$B$16))),-1E+030)</f>
        <v>44.3416529605263</v>
      </c>
      <c r="AF3057" s="55" t="n">
        <f aca="false">AD3057+ROW()*0.000000001</f>
        <v>-3.62722709072873</v>
      </c>
      <c r="AG3057" s="55" t="n">
        <f aca="false">AE3057+ROW()*0.000000001</f>
        <v>44.3416560175263</v>
      </c>
    </row>
    <row r="3058" customFormat="false" ht="15" hidden="false" customHeight="false" outlineLevel="0" collapsed="false">
      <c r="A3058" s="0" t="n">
        <v>4</v>
      </c>
      <c r="B3058" s="0" t="n">
        <v>1</v>
      </c>
      <c r="C3058" s="0" t="n">
        <v>6</v>
      </c>
      <c r="D3058" s="0" t="n">
        <v>2</v>
      </c>
      <c r="E3058" s="0" t="n">
        <f aca="false">-1+A3058*0.25</f>
        <v>0</v>
      </c>
      <c r="F3058" s="0" t="n">
        <f aca="false">-1+B3058*0.25</f>
        <v>-0.75</v>
      </c>
      <c r="G3058" s="0" t="n">
        <f aca="false">-1+C3058*0.25</f>
        <v>0.5</v>
      </c>
      <c r="H3058" s="0" t="n">
        <f aca="false">-1+D3058*0.25</f>
        <v>-0.5</v>
      </c>
      <c r="I3058" s="0" t="n">
        <f aca="false">1</f>
        <v>1</v>
      </c>
      <c r="J3058" s="0" t="n">
        <f aca="false">E3058</f>
        <v>0</v>
      </c>
      <c r="K3058" s="0" t="n">
        <f aca="false">F3058</f>
        <v>-0.75</v>
      </c>
      <c r="L3058" s="0" t="n">
        <f aca="false">G3058</f>
        <v>0.5</v>
      </c>
      <c r="M3058" s="0" t="n">
        <f aca="false">H3058</f>
        <v>-0.5</v>
      </c>
      <c r="N3058" s="0" t="n">
        <f aca="false">E3058*F3058</f>
        <v>-0</v>
      </c>
      <c r="O3058" s="0" t="n">
        <f aca="false">E3058*G3058</f>
        <v>0</v>
      </c>
      <c r="P3058" s="0" t="n">
        <f aca="false">E3058*H3058</f>
        <v>-0</v>
      </c>
      <c r="Q3058" s="0" t="n">
        <f aca="false">F3058*G3058</f>
        <v>-0.375</v>
      </c>
      <c r="R3058" s="0" t="n">
        <f aca="false">F3058*H3058</f>
        <v>0.375</v>
      </c>
      <c r="S3058" s="0" t="n">
        <f aca="false">G3058*H3058</f>
        <v>-0.25</v>
      </c>
      <c r="T3058" s="0" t="n">
        <f aca="false">E3058*E3058</f>
        <v>0</v>
      </c>
      <c r="U3058" s="0" t="n">
        <f aca="false">F3058*F3058</f>
        <v>0.5625</v>
      </c>
      <c r="V3058" s="0" t="n">
        <f aca="false">G3058*G3058</f>
        <v>0.25</v>
      </c>
      <c r="W3058" s="0" t="n">
        <f aca="false">H3058*H3058</f>
        <v>0.25</v>
      </c>
      <c r="X3058" s="0" t="n">
        <f aca="false">SUMPRODUCT(I3058:W3058,_XtX!$B$96:$P$96)</f>
        <v>44.6383406432748</v>
      </c>
      <c r="Y3058" s="0" t="n">
        <f aca="false">SUMPRODUCT(MMULT(I3058:W3058,_XtX!$B$78:$P$92),I3058:W3058)</f>
        <v>0.21305052997076</v>
      </c>
      <c r="Z3058" s="0" t="n">
        <f aca="false">04_回帰ANOVA!$K$19*04_回帰ANOVA!$K$14*SQRT(1+Y3058)</f>
        <v>1.43561450835061</v>
      </c>
      <c r="AA3058" s="0" t="n">
        <f aca="false">X3058-Z3058</f>
        <v>43.2027261349242</v>
      </c>
      <c r="AB3058" s="0" t="n">
        <f aca="false">X3058+Z3058</f>
        <v>46.0739551516254</v>
      </c>
      <c r="AC3058" s="54" t="b">
        <f aca="false">AND(E3058&gt;=01_因子設定!$L$5-0.000000001,E3058&lt;=01_因子設定!$M$5+0.000000001,F3058&gt;=01_因子設定!$L$6-0.000000001,F3058&lt;=01_因子設定!$M$6+0.000000001,G3058&gt;=01_因子設定!$L$7-0.000000001,G3058&lt;=01_因子設定!$M$7+0.000000001,H3058&gt;=01_因子設定!$L$8-0.000000001,H3058&lt;=01_因子設定!$M$8+0.000000001,IF(01_因子設定!$B$20="Box-Behnken",E3058^2+F3058^2+G3058^2+H3058^2&lt;=2+0.000000001,TRUE()))</f>
        <v>1</v>
      </c>
      <c r="AD3058" s="55" t="n">
        <f aca="false">IF(AC3058,IF(01_因子設定!$B$13="最大化",AA3058-01_因子設定!$B$14,IF(01_因子設定!$B$13="最小化",01_因子設定!$B$15-AB3058,MIN(AA3058-01_因子設定!$B$14,01_因子設定!$B$15-AB3058))),-1E+030)</f>
        <v>-3.29727386507581</v>
      </c>
      <c r="AE3058" s="55" t="n">
        <f aca="false">IF(AC3058,IF(01_因子設定!$B$13="最大化",X3058,IF(01_因子設定!$B$13="最小化",-X3058,-ABS(X3058-01_因子設定!$B$16))),-1E+030)</f>
        <v>44.6383406432748</v>
      </c>
      <c r="AF3058" s="55" t="n">
        <f aca="false">AD3058+ROW()*0.000000001</f>
        <v>-3.29727080707581</v>
      </c>
      <c r="AG3058" s="55" t="n">
        <f aca="false">AE3058+ROW()*0.000000001</f>
        <v>44.6383437012748</v>
      </c>
    </row>
    <row r="3059" customFormat="false" ht="15" hidden="false" customHeight="false" outlineLevel="0" collapsed="false">
      <c r="A3059" s="0" t="n">
        <v>4</v>
      </c>
      <c r="B3059" s="0" t="n">
        <v>1</v>
      </c>
      <c r="C3059" s="0" t="n">
        <v>6</v>
      </c>
      <c r="D3059" s="0" t="n">
        <v>3</v>
      </c>
      <c r="E3059" s="0" t="n">
        <f aca="false">-1+A3059*0.25</f>
        <v>0</v>
      </c>
      <c r="F3059" s="0" t="n">
        <f aca="false">-1+B3059*0.25</f>
        <v>-0.75</v>
      </c>
      <c r="G3059" s="0" t="n">
        <f aca="false">-1+C3059*0.25</f>
        <v>0.5</v>
      </c>
      <c r="H3059" s="0" t="n">
        <f aca="false">-1+D3059*0.25</f>
        <v>-0.25</v>
      </c>
      <c r="I3059" s="0" t="n">
        <f aca="false">1</f>
        <v>1</v>
      </c>
      <c r="J3059" s="0" t="n">
        <f aca="false">E3059</f>
        <v>0</v>
      </c>
      <c r="K3059" s="0" t="n">
        <f aca="false">F3059</f>
        <v>-0.75</v>
      </c>
      <c r="L3059" s="0" t="n">
        <f aca="false">G3059</f>
        <v>0.5</v>
      </c>
      <c r="M3059" s="0" t="n">
        <f aca="false">H3059</f>
        <v>-0.25</v>
      </c>
      <c r="N3059" s="0" t="n">
        <f aca="false">E3059*F3059</f>
        <v>-0</v>
      </c>
      <c r="O3059" s="0" t="n">
        <f aca="false">E3059*G3059</f>
        <v>0</v>
      </c>
      <c r="P3059" s="0" t="n">
        <f aca="false">E3059*H3059</f>
        <v>-0</v>
      </c>
      <c r="Q3059" s="0" t="n">
        <f aca="false">F3059*G3059</f>
        <v>-0.375</v>
      </c>
      <c r="R3059" s="0" t="n">
        <f aca="false">F3059*H3059</f>
        <v>0.1875</v>
      </c>
      <c r="S3059" s="0" t="n">
        <f aca="false">G3059*H3059</f>
        <v>-0.125</v>
      </c>
      <c r="T3059" s="0" t="n">
        <f aca="false">E3059*E3059</f>
        <v>0</v>
      </c>
      <c r="U3059" s="0" t="n">
        <f aca="false">F3059*F3059</f>
        <v>0.5625</v>
      </c>
      <c r="V3059" s="0" t="n">
        <f aca="false">G3059*G3059</f>
        <v>0.25</v>
      </c>
      <c r="W3059" s="0" t="n">
        <f aca="false">H3059*H3059</f>
        <v>0.0625</v>
      </c>
      <c r="X3059" s="0" t="n">
        <f aca="false">SUMPRODUCT(I3059:W3059,_XtX!$B$96:$P$96)</f>
        <v>44.8872213084795</v>
      </c>
      <c r="Y3059" s="0" t="n">
        <f aca="false">SUMPRODUCT(MMULT(I3059:W3059,_XtX!$B$78:$P$92),I3059:W3059)</f>
        <v>0.215110734192252</v>
      </c>
      <c r="Z3059" s="0" t="n">
        <f aca="false">04_回帰ANOVA!$K$19*04_回帰ANOVA!$K$14*SQRT(1+Y3059)</f>
        <v>1.43683309086864</v>
      </c>
      <c r="AA3059" s="0" t="n">
        <f aca="false">X3059-Z3059</f>
        <v>43.4503882176108</v>
      </c>
      <c r="AB3059" s="0" t="n">
        <f aca="false">X3059+Z3059</f>
        <v>46.3240543993481</v>
      </c>
      <c r="AC3059" s="54" t="b">
        <f aca="false">AND(E3059&gt;=01_因子設定!$L$5-0.000000001,E3059&lt;=01_因子設定!$M$5+0.000000001,F3059&gt;=01_因子設定!$L$6-0.000000001,F3059&lt;=01_因子設定!$M$6+0.000000001,G3059&gt;=01_因子設定!$L$7-0.000000001,G3059&lt;=01_因子設定!$M$7+0.000000001,H3059&gt;=01_因子設定!$L$8-0.000000001,H3059&lt;=01_因子設定!$M$8+0.000000001,IF(01_因子設定!$B$20="Box-Behnken",E3059^2+F3059^2+G3059^2+H3059^2&lt;=2+0.000000001,TRUE()))</f>
        <v>1</v>
      </c>
      <c r="AD3059" s="55" t="n">
        <f aca="false">IF(AC3059,IF(01_因子設定!$B$13="最大化",AA3059-01_因子設定!$B$14,IF(01_因子設定!$B$13="最小化",01_因子設定!$B$15-AB3059,MIN(AA3059-01_因子設定!$B$14,01_因子設定!$B$15-AB3059))),-1E+030)</f>
        <v>-3.04961178238918</v>
      </c>
      <c r="AE3059" s="55" t="n">
        <f aca="false">IF(AC3059,IF(01_因子設定!$B$13="最大化",X3059,IF(01_因子設定!$B$13="最小化",-X3059,-ABS(X3059-01_因子設定!$B$16))),-1E+030)</f>
        <v>44.8872213084795</v>
      </c>
      <c r="AF3059" s="55" t="n">
        <f aca="false">AD3059+ROW()*0.000000001</f>
        <v>-3.04960872338918</v>
      </c>
      <c r="AG3059" s="55" t="n">
        <f aca="false">AE3059+ROW()*0.000000001</f>
        <v>44.8872243674795</v>
      </c>
    </row>
    <row r="3060" customFormat="false" ht="15" hidden="false" customHeight="false" outlineLevel="0" collapsed="false">
      <c r="A3060" s="0" t="n">
        <v>4</v>
      </c>
      <c r="B3060" s="0" t="n">
        <v>1</v>
      </c>
      <c r="C3060" s="0" t="n">
        <v>6</v>
      </c>
      <c r="D3060" s="0" t="n">
        <v>4</v>
      </c>
      <c r="E3060" s="0" t="n">
        <f aca="false">-1+A3060*0.25</f>
        <v>0</v>
      </c>
      <c r="F3060" s="0" t="n">
        <f aca="false">-1+B3060*0.25</f>
        <v>-0.75</v>
      </c>
      <c r="G3060" s="0" t="n">
        <f aca="false">-1+C3060*0.25</f>
        <v>0.5</v>
      </c>
      <c r="H3060" s="0" t="n">
        <f aca="false">-1+D3060*0.25</f>
        <v>0</v>
      </c>
      <c r="I3060" s="0" t="n">
        <f aca="false">1</f>
        <v>1</v>
      </c>
      <c r="J3060" s="0" t="n">
        <f aca="false">E3060</f>
        <v>0</v>
      </c>
      <c r="K3060" s="0" t="n">
        <f aca="false">F3060</f>
        <v>-0.75</v>
      </c>
      <c r="L3060" s="0" t="n">
        <f aca="false">G3060</f>
        <v>0.5</v>
      </c>
      <c r="M3060" s="0" t="n">
        <f aca="false">H3060</f>
        <v>0</v>
      </c>
      <c r="N3060" s="0" t="n">
        <f aca="false">E3060*F3060</f>
        <v>-0</v>
      </c>
      <c r="O3060" s="0" t="n">
        <f aca="false">E3060*G3060</f>
        <v>0</v>
      </c>
      <c r="P3060" s="0" t="n">
        <f aca="false">E3060*H3060</f>
        <v>0</v>
      </c>
      <c r="Q3060" s="0" t="n">
        <f aca="false">F3060*G3060</f>
        <v>-0.375</v>
      </c>
      <c r="R3060" s="0" t="n">
        <f aca="false">F3060*H3060</f>
        <v>-0</v>
      </c>
      <c r="S3060" s="0" t="n">
        <f aca="false">G3060*H3060</f>
        <v>0</v>
      </c>
      <c r="T3060" s="0" t="n">
        <f aca="false">E3060*E3060</f>
        <v>0</v>
      </c>
      <c r="U3060" s="0" t="n">
        <f aca="false">F3060*F3060</f>
        <v>0.5625</v>
      </c>
      <c r="V3060" s="0" t="n">
        <f aca="false">G3060*G3060</f>
        <v>0.25</v>
      </c>
      <c r="W3060" s="0" t="n">
        <f aca="false">H3060*H3060</f>
        <v>0</v>
      </c>
      <c r="X3060" s="0" t="n">
        <f aca="false">SUMPRODUCT(I3060:W3060,_XtX!$B$96:$P$96)</f>
        <v>45.0882949561403</v>
      </c>
      <c r="Y3060" s="0" t="n">
        <f aca="false">SUMPRODUCT(MMULT(I3060:W3060,_XtX!$B$78:$P$92),I3060:W3060)</f>
        <v>0.221828170687135</v>
      </c>
      <c r="Z3060" s="0" t="n">
        <f aca="false">04_回帰ANOVA!$K$19*04_回帰ANOVA!$K$14*SQRT(1+Y3060)</f>
        <v>1.44079920361664</v>
      </c>
      <c r="AA3060" s="0" t="n">
        <f aca="false">X3060-Z3060</f>
        <v>43.6474957525236</v>
      </c>
      <c r="AB3060" s="0" t="n">
        <f aca="false">X3060+Z3060</f>
        <v>46.5290941597569</v>
      </c>
      <c r="AC3060" s="54" t="b">
        <f aca="false">AND(E3060&gt;=01_因子設定!$L$5-0.000000001,E3060&lt;=01_因子設定!$M$5+0.000000001,F3060&gt;=01_因子設定!$L$6-0.000000001,F3060&lt;=01_因子設定!$M$6+0.000000001,G3060&gt;=01_因子設定!$L$7-0.000000001,G3060&lt;=01_因子設定!$M$7+0.000000001,H3060&gt;=01_因子設定!$L$8-0.000000001,H3060&lt;=01_因子設定!$M$8+0.000000001,IF(01_因子設定!$B$20="Box-Behnken",E3060^2+F3060^2+G3060^2+H3060^2&lt;=2+0.000000001,TRUE()))</f>
        <v>1</v>
      </c>
      <c r="AD3060" s="55" t="n">
        <f aca="false">IF(AC3060,IF(01_因子設定!$B$13="最大化",AA3060-01_因子設定!$B$14,IF(01_因子設定!$B$13="最小化",01_因子設定!$B$15-AB3060,MIN(AA3060-01_因子設定!$B$14,01_因子設定!$B$15-AB3060))),-1E+030)</f>
        <v>-2.85250424747635</v>
      </c>
      <c r="AE3060" s="55" t="n">
        <f aca="false">IF(AC3060,IF(01_因子設定!$B$13="最大化",X3060,IF(01_因子設定!$B$13="最小化",-X3060,-ABS(X3060-01_因子設定!$B$16))),-1E+030)</f>
        <v>45.0882949561403</v>
      </c>
      <c r="AF3060" s="55" t="n">
        <f aca="false">AD3060+ROW()*0.000000001</f>
        <v>-2.85250118747635</v>
      </c>
      <c r="AG3060" s="55" t="n">
        <f aca="false">AE3060+ROW()*0.000000001</f>
        <v>45.0882980161403</v>
      </c>
    </row>
    <row r="3061" customFormat="false" ht="15" hidden="false" customHeight="false" outlineLevel="0" collapsed="false">
      <c r="A3061" s="0" t="n">
        <v>4</v>
      </c>
      <c r="B3061" s="0" t="n">
        <v>1</v>
      </c>
      <c r="C3061" s="0" t="n">
        <v>6</v>
      </c>
      <c r="D3061" s="0" t="n">
        <v>5</v>
      </c>
      <c r="E3061" s="0" t="n">
        <f aca="false">-1+A3061*0.25</f>
        <v>0</v>
      </c>
      <c r="F3061" s="0" t="n">
        <f aca="false">-1+B3061*0.25</f>
        <v>-0.75</v>
      </c>
      <c r="G3061" s="0" t="n">
        <f aca="false">-1+C3061*0.25</f>
        <v>0.5</v>
      </c>
      <c r="H3061" s="0" t="n">
        <f aca="false">-1+D3061*0.25</f>
        <v>0.25</v>
      </c>
      <c r="I3061" s="0" t="n">
        <f aca="false">1</f>
        <v>1</v>
      </c>
      <c r="J3061" s="0" t="n">
        <f aca="false">E3061</f>
        <v>0</v>
      </c>
      <c r="K3061" s="0" t="n">
        <f aca="false">F3061</f>
        <v>-0.75</v>
      </c>
      <c r="L3061" s="0" t="n">
        <f aca="false">G3061</f>
        <v>0.5</v>
      </c>
      <c r="M3061" s="0" t="n">
        <f aca="false">H3061</f>
        <v>0.25</v>
      </c>
      <c r="N3061" s="0" t="n">
        <f aca="false">E3061*F3061</f>
        <v>-0</v>
      </c>
      <c r="O3061" s="0" t="n">
        <f aca="false">E3061*G3061</f>
        <v>0</v>
      </c>
      <c r="P3061" s="0" t="n">
        <f aca="false">E3061*H3061</f>
        <v>0</v>
      </c>
      <c r="Q3061" s="0" t="n">
        <f aca="false">F3061*G3061</f>
        <v>-0.375</v>
      </c>
      <c r="R3061" s="0" t="n">
        <f aca="false">F3061*H3061</f>
        <v>-0.1875</v>
      </c>
      <c r="S3061" s="0" t="n">
        <f aca="false">G3061*H3061</f>
        <v>0.125</v>
      </c>
      <c r="T3061" s="0" t="n">
        <f aca="false">E3061*E3061</f>
        <v>0</v>
      </c>
      <c r="U3061" s="0" t="n">
        <f aca="false">F3061*F3061</f>
        <v>0.5625</v>
      </c>
      <c r="V3061" s="0" t="n">
        <f aca="false">G3061*G3061</f>
        <v>0.25</v>
      </c>
      <c r="W3061" s="0" t="n">
        <f aca="false">H3061*H3061</f>
        <v>0.0625</v>
      </c>
      <c r="X3061" s="0" t="n">
        <f aca="false">SUMPRODUCT(I3061:W3061,_XtX!$B$96:$P$96)</f>
        <v>45.2415615862573</v>
      </c>
      <c r="Y3061" s="0" t="n">
        <f aca="false">SUMPRODUCT(MMULT(I3061:W3061,_XtX!$B$78:$P$92),I3061:W3061)</f>
        <v>0.215110734192252</v>
      </c>
      <c r="Z3061" s="0" t="n">
        <f aca="false">04_回帰ANOVA!$K$19*04_回帰ANOVA!$K$14*SQRT(1+Y3061)</f>
        <v>1.43683309086864</v>
      </c>
      <c r="AA3061" s="0" t="n">
        <f aca="false">X3061-Z3061</f>
        <v>43.8047284953886</v>
      </c>
      <c r="AB3061" s="0" t="n">
        <f aca="false">X3061+Z3061</f>
        <v>46.6783946771259</v>
      </c>
      <c r="AC3061" s="54" t="b">
        <f aca="false">AND(E3061&gt;=01_因子設定!$L$5-0.000000001,E3061&lt;=01_因子設定!$M$5+0.000000001,F3061&gt;=01_因子設定!$L$6-0.000000001,F3061&lt;=01_因子設定!$M$6+0.000000001,G3061&gt;=01_因子設定!$L$7-0.000000001,G3061&lt;=01_因子設定!$M$7+0.000000001,H3061&gt;=01_因子設定!$L$8-0.000000001,H3061&lt;=01_因子設定!$M$8+0.000000001,IF(01_因子設定!$B$20="Box-Behnken",E3061^2+F3061^2+G3061^2+H3061^2&lt;=2+0.000000001,TRUE()))</f>
        <v>1</v>
      </c>
      <c r="AD3061" s="55" t="n">
        <f aca="false">IF(AC3061,IF(01_因子設定!$B$13="最大化",AA3061-01_因子設定!$B$14,IF(01_因子設定!$B$13="最小化",01_因子設定!$B$15-AB3061,MIN(AA3061-01_因子設定!$B$14,01_因子設定!$B$15-AB3061))),-1E+030)</f>
        <v>-2.6952715046114</v>
      </c>
      <c r="AE3061" s="55" t="n">
        <f aca="false">IF(AC3061,IF(01_因子設定!$B$13="最大化",X3061,IF(01_因子設定!$B$13="最小化",-X3061,-ABS(X3061-01_因子設定!$B$16))),-1E+030)</f>
        <v>45.2415615862573</v>
      </c>
      <c r="AF3061" s="55" t="n">
        <f aca="false">AD3061+ROW()*0.000000001</f>
        <v>-2.6952684436114</v>
      </c>
      <c r="AG3061" s="55" t="n">
        <f aca="false">AE3061+ROW()*0.000000001</f>
        <v>45.2415646472573</v>
      </c>
    </row>
    <row r="3062" customFormat="false" ht="15" hidden="false" customHeight="false" outlineLevel="0" collapsed="false">
      <c r="A3062" s="0" t="n">
        <v>4</v>
      </c>
      <c r="B3062" s="0" t="n">
        <v>1</v>
      </c>
      <c r="C3062" s="0" t="n">
        <v>6</v>
      </c>
      <c r="D3062" s="0" t="n">
        <v>6</v>
      </c>
      <c r="E3062" s="0" t="n">
        <f aca="false">-1+A3062*0.25</f>
        <v>0</v>
      </c>
      <c r="F3062" s="0" t="n">
        <f aca="false">-1+B3062*0.25</f>
        <v>-0.75</v>
      </c>
      <c r="G3062" s="0" t="n">
        <f aca="false">-1+C3062*0.25</f>
        <v>0.5</v>
      </c>
      <c r="H3062" s="0" t="n">
        <f aca="false">-1+D3062*0.25</f>
        <v>0.5</v>
      </c>
      <c r="I3062" s="0" t="n">
        <f aca="false">1</f>
        <v>1</v>
      </c>
      <c r="J3062" s="0" t="n">
        <f aca="false">E3062</f>
        <v>0</v>
      </c>
      <c r="K3062" s="0" t="n">
        <f aca="false">F3062</f>
        <v>-0.75</v>
      </c>
      <c r="L3062" s="0" t="n">
        <f aca="false">G3062</f>
        <v>0.5</v>
      </c>
      <c r="M3062" s="0" t="n">
        <f aca="false">H3062</f>
        <v>0.5</v>
      </c>
      <c r="N3062" s="0" t="n">
        <f aca="false">E3062*F3062</f>
        <v>-0</v>
      </c>
      <c r="O3062" s="0" t="n">
        <f aca="false">E3062*G3062</f>
        <v>0</v>
      </c>
      <c r="P3062" s="0" t="n">
        <f aca="false">E3062*H3062</f>
        <v>0</v>
      </c>
      <c r="Q3062" s="0" t="n">
        <f aca="false">F3062*G3062</f>
        <v>-0.375</v>
      </c>
      <c r="R3062" s="0" t="n">
        <f aca="false">F3062*H3062</f>
        <v>-0.375</v>
      </c>
      <c r="S3062" s="0" t="n">
        <f aca="false">G3062*H3062</f>
        <v>0.25</v>
      </c>
      <c r="T3062" s="0" t="n">
        <f aca="false">E3062*E3062</f>
        <v>0</v>
      </c>
      <c r="U3062" s="0" t="n">
        <f aca="false">F3062*F3062</f>
        <v>0.5625</v>
      </c>
      <c r="V3062" s="0" t="n">
        <f aca="false">G3062*G3062</f>
        <v>0.25</v>
      </c>
      <c r="W3062" s="0" t="n">
        <f aca="false">H3062*H3062</f>
        <v>0.25</v>
      </c>
      <c r="X3062" s="0" t="n">
        <f aca="false">SUMPRODUCT(I3062:W3062,_XtX!$B$96:$P$96)</f>
        <v>45.3470211988304</v>
      </c>
      <c r="Y3062" s="0" t="n">
        <f aca="false">SUMPRODUCT(MMULT(I3062:W3062,_XtX!$B$78:$P$92),I3062:W3062)</f>
        <v>0.21305052997076</v>
      </c>
      <c r="Z3062" s="0" t="n">
        <f aca="false">04_回帰ANOVA!$K$19*04_回帰ANOVA!$K$14*SQRT(1+Y3062)</f>
        <v>1.43561450835061</v>
      </c>
      <c r="AA3062" s="0" t="n">
        <f aca="false">X3062-Z3062</f>
        <v>43.9114066904798</v>
      </c>
      <c r="AB3062" s="0" t="n">
        <f aca="false">X3062+Z3062</f>
        <v>46.782635707181</v>
      </c>
      <c r="AC3062" s="54" t="b">
        <f aca="false">AND(E3062&gt;=01_因子設定!$L$5-0.000000001,E3062&lt;=01_因子設定!$M$5+0.000000001,F3062&gt;=01_因子設定!$L$6-0.000000001,F3062&lt;=01_因子設定!$M$6+0.000000001,G3062&gt;=01_因子設定!$L$7-0.000000001,G3062&lt;=01_因子設定!$M$7+0.000000001,H3062&gt;=01_因子設定!$L$8-0.000000001,H3062&lt;=01_因子設定!$M$8+0.000000001,IF(01_因子設定!$B$20="Box-Behnken",E3062^2+F3062^2+G3062^2+H3062^2&lt;=2+0.000000001,TRUE()))</f>
        <v>1</v>
      </c>
      <c r="AD3062" s="55" t="n">
        <f aca="false">IF(AC3062,IF(01_因子設定!$B$13="最大化",AA3062-01_因子設定!$B$14,IF(01_因子設定!$B$13="最小化",01_因子設定!$B$15-AB3062,MIN(AA3062-01_因子設定!$B$14,01_因子設定!$B$15-AB3062))),-1E+030)</f>
        <v>-2.58859330952025</v>
      </c>
      <c r="AE3062" s="55" t="n">
        <f aca="false">IF(AC3062,IF(01_因子設定!$B$13="最大化",X3062,IF(01_因子設定!$B$13="最小化",-X3062,-ABS(X3062-01_因子設定!$B$16))),-1E+030)</f>
        <v>45.3470211988304</v>
      </c>
      <c r="AF3062" s="55" t="n">
        <f aca="false">AD3062+ROW()*0.000000001</f>
        <v>-2.58859024752025</v>
      </c>
      <c r="AG3062" s="55" t="n">
        <f aca="false">AE3062+ROW()*0.000000001</f>
        <v>45.3470242608304</v>
      </c>
    </row>
    <row r="3063" customFormat="false" ht="15" hidden="false" customHeight="false" outlineLevel="0" collapsed="false">
      <c r="A3063" s="0" t="n">
        <v>4</v>
      </c>
      <c r="B3063" s="0" t="n">
        <v>1</v>
      </c>
      <c r="C3063" s="0" t="n">
        <v>6</v>
      </c>
      <c r="D3063" s="0" t="n">
        <v>7</v>
      </c>
      <c r="E3063" s="0" t="n">
        <f aca="false">-1+A3063*0.25</f>
        <v>0</v>
      </c>
      <c r="F3063" s="0" t="n">
        <f aca="false">-1+B3063*0.25</f>
        <v>-0.75</v>
      </c>
      <c r="G3063" s="0" t="n">
        <f aca="false">-1+C3063*0.25</f>
        <v>0.5</v>
      </c>
      <c r="H3063" s="0" t="n">
        <f aca="false">-1+D3063*0.25</f>
        <v>0.75</v>
      </c>
      <c r="I3063" s="0" t="n">
        <f aca="false">1</f>
        <v>1</v>
      </c>
      <c r="J3063" s="0" t="n">
        <f aca="false">E3063</f>
        <v>0</v>
      </c>
      <c r="K3063" s="0" t="n">
        <f aca="false">F3063</f>
        <v>-0.75</v>
      </c>
      <c r="L3063" s="0" t="n">
        <f aca="false">G3063</f>
        <v>0.5</v>
      </c>
      <c r="M3063" s="0" t="n">
        <f aca="false">H3063</f>
        <v>0.75</v>
      </c>
      <c r="N3063" s="0" t="n">
        <f aca="false">E3063*F3063</f>
        <v>-0</v>
      </c>
      <c r="O3063" s="0" t="n">
        <f aca="false">E3063*G3063</f>
        <v>0</v>
      </c>
      <c r="P3063" s="0" t="n">
        <f aca="false">E3063*H3063</f>
        <v>0</v>
      </c>
      <c r="Q3063" s="0" t="n">
        <f aca="false">F3063*G3063</f>
        <v>-0.375</v>
      </c>
      <c r="R3063" s="0" t="n">
        <f aca="false">F3063*H3063</f>
        <v>-0.5625</v>
      </c>
      <c r="S3063" s="0" t="n">
        <f aca="false">G3063*H3063</f>
        <v>0.375</v>
      </c>
      <c r="T3063" s="0" t="n">
        <f aca="false">E3063*E3063</f>
        <v>0</v>
      </c>
      <c r="U3063" s="0" t="n">
        <f aca="false">F3063*F3063</f>
        <v>0.5625</v>
      </c>
      <c r="V3063" s="0" t="n">
        <f aca="false">G3063*G3063</f>
        <v>0.25</v>
      </c>
      <c r="W3063" s="0" t="n">
        <f aca="false">H3063*H3063</f>
        <v>0.5625</v>
      </c>
      <c r="X3063" s="0" t="n">
        <f aca="false">SUMPRODUCT(I3063:W3063,_XtX!$B$96:$P$96)</f>
        <v>45.4046737938596</v>
      </c>
      <c r="Y3063" s="0" t="n">
        <f aca="false">SUMPRODUCT(MMULT(I3063:W3063,_XtX!$B$78:$P$92),I3063:W3063)</f>
        <v>0.269923873812135</v>
      </c>
      <c r="Z3063" s="0" t="n">
        <f aca="false">04_回帰ANOVA!$K$19*04_回帰ANOVA!$K$14*SQRT(1+Y3063)</f>
        <v>1.46888310825501</v>
      </c>
      <c r="AA3063" s="0" t="n">
        <f aca="false">X3063-Z3063</f>
        <v>43.9357906856046</v>
      </c>
      <c r="AB3063" s="0" t="n">
        <f aca="false">X3063+Z3063</f>
        <v>46.8735569021146</v>
      </c>
      <c r="AC3063" s="54" t="b">
        <f aca="false">AND(E3063&gt;=01_因子設定!$L$5-0.000000001,E3063&lt;=01_因子設定!$M$5+0.000000001,F3063&gt;=01_因子設定!$L$6-0.000000001,F3063&lt;=01_因子設定!$M$6+0.000000001,G3063&gt;=01_因子設定!$L$7-0.000000001,G3063&lt;=01_因子設定!$M$7+0.000000001,H3063&gt;=01_因子設定!$L$8-0.000000001,H3063&lt;=01_因子設定!$M$8+0.000000001,IF(01_因子設定!$B$20="Box-Behnken",E3063^2+F3063^2+G3063^2+H3063^2&lt;=2+0.000000001,TRUE()))</f>
        <v>1</v>
      </c>
      <c r="AD3063" s="55" t="n">
        <f aca="false">IF(AC3063,IF(01_因子設定!$B$13="最大化",AA3063-01_因子設定!$B$14,IF(01_因子設定!$B$13="最小化",01_因子設定!$B$15-AB3063,MIN(AA3063-01_因子設定!$B$14,01_因子設定!$B$15-AB3063))),-1E+030)</f>
        <v>-2.56420931439541</v>
      </c>
      <c r="AE3063" s="55" t="n">
        <f aca="false">IF(AC3063,IF(01_因子設定!$B$13="最大化",X3063,IF(01_因子設定!$B$13="最小化",-X3063,-ABS(X3063-01_因子設定!$B$16))),-1E+030)</f>
        <v>45.4046737938596</v>
      </c>
      <c r="AF3063" s="55" t="n">
        <f aca="false">AD3063+ROW()*0.000000001</f>
        <v>-2.56420625139541</v>
      </c>
      <c r="AG3063" s="55" t="n">
        <f aca="false">AE3063+ROW()*0.000000001</f>
        <v>45.4046768568596</v>
      </c>
    </row>
    <row r="3064" customFormat="false" ht="15" hidden="false" customHeight="false" outlineLevel="0" collapsed="false">
      <c r="A3064" s="0" t="n">
        <v>4</v>
      </c>
      <c r="B3064" s="0" t="n">
        <v>1</v>
      </c>
      <c r="C3064" s="0" t="n">
        <v>6</v>
      </c>
      <c r="D3064" s="0" t="n">
        <v>8</v>
      </c>
      <c r="E3064" s="0" t="n">
        <f aca="false">-1+A3064*0.25</f>
        <v>0</v>
      </c>
      <c r="F3064" s="0" t="n">
        <f aca="false">-1+B3064*0.25</f>
        <v>-0.75</v>
      </c>
      <c r="G3064" s="0" t="n">
        <f aca="false">-1+C3064*0.25</f>
        <v>0.5</v>
      </c>
      <c r="H3064" s="0" t="n">
        <f aca="false">-1+D3064*0.25</f>
        <v>1</v>
      </c>
      <c r="I3064" s="0" t="n">
        <f aca="false">1</f>
        <v>1</v>
      </c>
      <c r="J3064" s="0" t="n">
        <f aca="false">E3064</f>
        <v>0</v>
      </c>
      <c r="K3064" s="0" t="n">
        <f aca="false">F3064</f>
        <v>-0.75</v>
      </c>
      <c r="L3064" s="0" t="n">
        <f aca="false">G3064</f>
        <v>0.5</v>
      </c>
      <c r="M3064" s="0" t="n">
        <f aca="false">H3064</f>
        <v>1</v>
      </c>
      <c r="N3064" s="0" t="n">
        <f aca="false">E3064*F3064</f>
        <v>-0</v>
      </c>
      <c r="O3064" s="0" t="n">
        <f aca="false">E3064*G3064</f>
        <v>0</v>
      </c>
      <c r="P3064" s="0" t="n">
        <f aca="false">E3064*H3064</f>
        <v>0</v>
      </c>
      <c r="Q3064" s="0" t="n">
        <f aca="false">F3064*G3064</f>
        <v>-0.375</v>
      </c>
      <c r="R3064" s="0" t="n">
        <f aca="false">F3064*H3064</f>
        <v>-0.75</v>
      </c>
      <c r="S3064" s="0" t="n">
        <f aca="false">G3064*H3064</f>
        <v>0.5</v>
      </c>
      <c r="T3064" s="0" t="n">
        <f aca="false">E3064*E3064</f>
        <v>0</v>
      </c>
      <c r="U3064" s="0" t="n">
        <f aca="false">F3064*F3064</f>
        <v>0.5625</v>
      </c>
      <c r="V3064" s="0" t="n">
        <f aca="false">G3064*G3064</f>
        <v>0.25</v>
      </c>
      <c r="W3064" s="0" t="n">
        <f aca="false">H3064*H3064</f>
        <v>1</v>
      </c>
      <c r="X3064" s="0" t="n">
        <f aca="false">SUMPRODUCT(I3064:W3064,_XtX!$B$96:$P$96)</f>
        <v>45.414519371345</v>
      </c>
      <c r="Y3064" s="0" t="n">
        <f aca="false">SUMPRODUCT(MMULT(I3064:W3064,_XtX!$B$78:$P$92),I3064:W3064)</f>
        <v>0.476191292032164</v>
      </c>
      <c r="Z3064" s="0" t="n">
        <f aca="false">04_回帰ANOVA!$K$19*04_回帰ANOVA!$K$14*SQRT(1+Y3064)</f>
        <v>1.58368831471718</v>
      </c>
      <c r="AA3064" s="0" t="n">
        <f aca="false">X3064-Z3064</f>
        <v>43.8308310566278</v>
      </c>
      <c r="AB3064" s="0" t="n">
        <f aca="false">X3064+Z3064</f>
        <v>46.9982076860622</v>
      </c>
      <c r="AC3064" s="54" t="b">
        <f aca="false">AND(E3064&gt;=01_因子設定!$L$5-0.000000001,E3064&lt;=01_因子設定!$M$5+0.000000001,F3064&gt;=01_因子設定!$L$6-0.000000001,F3064&lt;=01_因子設定!$M$6+0.000000001,G3064&gt;=01_因子設定!$L$7-0.000000001,G3064&lt;=01_因子設定!$M$7+0.000000001,H3064&gt;=01_因子設定!$L$8-0.000000001,H3064&lt;=01_因子設定!$M$8+0.000000001,IF(01_因子設定!$B$20="Box-Behnken",E3064^2+F3064^2+G3064^2+H3064^2&lt;=2+0.000000001,TRUE()))</f>
        <v>1</v>
      </c>
      <c r="AD3064" s="55" t="n">
        <f aca="false">IF(AC3064,IF(01_因子設定!$B$13="最大化",AA3064-01_因子設定!$B$14,IF(01_因子設定!$B$13="最小化",01_因子設定!$B$15-AB3064,MIN(AA3064-01_因子設定!$B$14,01_因子設定!$B$15-AB3064))),-1E+030)</f>
        <v>-2.66916894337218</v>
      </c>
      <c r="AE3064" s="55" t="n">
        <f aca="false">IF(AC3064,IF(01_因子設定!$B$13="最大化",X3064,IF(01_因子設定!$B$13="最小化",-X3064,-ABS(X3064-01_因子設定!$B$16))),-1E+030)</f>
        <v>45.414519371345</v>
      </c>
      <c r="AF3064" s="55" t="n">
        <f aca="false">AD3064+ROW()*0.000000001</f>
        <v>-2.66916587937218</v>
      </c>
      <c r="AG3064" s="55" t="n">
        <f aca="false">AE3064+ROW()*0.000000001</f>
        <v>45.414522435345</v>
      </c>
    </row>
    <row r="3065" customFormat="false" ht="15" hidden="false" customHeight="false" outlineLevel="0" collapsed="false">
      <c r="A3065" s="0" t="n">
        <v>4</v>
      </c>
      <c r="B3065" s="0" t="n">
        <v>1</v>
      </c>
      <c r="C3065" s="0" t="n">
        <v>7</v>
      </c>
      <c r="D3065" s="0" t="n">
        <v>0</v>
      </c>
      <c r="E3065" s="0" t="n">
        <f aca="false">-1+A3065*0.25</f>
        <v>0</v>
      </c>
      <c r="F3065" s="0" t="n">
        <f aca="false">-1+B3065*0.25</f>
        <v>-0.75</v>
      </c>
      <c r="G3065" s="0" t="n">
        <f aca="false">-1+C3065*0.25</f>
        <v>0.75</v>
      </c>
      <c r="H3065" s="0" t="n">
        <f aca="false">-1+D3065*0.25</f>
        <v>-1</v>
      </c>
      <c r="I3065" s="0" t="n">
        <f aca="false">1</f>
        <v>1</v>
      </c>
      <c r="J3065" s="0" t="n">
        <f aca="false">E3065</f>
        <v>0</v>
      </c>
      <c r="K3065" s="0" t="n">
        <f aca="false">F3065</f>
        <v>-0.75</v>
      </c>
      <c r="L3065" s="0" t="n">
        <f aca="false">G3065</f>
        <v>0.75</v>
      </c>
      <c r="M3065" s="0" t="n">
        <f aca="false">H3065</f>
        <v>-1</v>
      </c>
      <c r="N3065" s="0" t="n">
        <f aca="false">E3065*F3065</f>
        <v>-0</v>
      </c>
      <c r="O3065" s="0" t="n">
        <f aca="false">E3065*G3065</f>
        <v>0</v>
      </c>
      <c r="P3065" s="0" t="n">
        <f aca="false">E3065*H3065</f>
        <v>-0</v>
      </c>
      <c r="Q3065" s="0" t="n">
        <f aca="false">F3065*G3065</f>
        <v>-0.5625</v>
      </c>
      <c r="R3065" s="0" t="n">
        <f aca="false">F3065*H3065</f>
        <v>0.75</v>
      </c>
      <c r="S3065" s="0" t="n">
        <f aca="false">G3065*H3065</f>
        <v>-0.75</v>
      </c>
      <c r="T3065" s="0" t="n">
        <f aca="false">E3065*E3065</f>
        <v>0</v>
      </c>
      <c r="U3065" s="0" t="n">
        <f aca="false">F3065*F3065</f>
        <v>0.5625</v>
      </c>
      <c r="V3065" s="0" t="n">
        <f aca="false">G3065*G3065</f>
        <v>0.5625</v>
      </c>
      <c r="W3065" s="0" t="n">
        <f aca="false">H3065*H3065</f>
        <v>1</v>
      </c>
      <c r="X3065" s="0" t="n">
        <f aca="false">SUMPRODUCT(I3065:W3065,_XtX!$B$96:$P$96)</f>
        <v>43.8992552997076</v>
      </c>
      <c r="Y3065" s="0" t="n">
        <f aca="false">SUMPRODUCT(MMULT(I3065:W3065,_XtX!$B$78:$P$92),I3065:W3065)</f>
        <v>0.494259126005117</v>
      </c>
      <c r="Z3065" s="0" t="n">
        <f aca="false">04_回帰ANOVA!$K$19*04_回帰ANOVA!$K$14*SQRT(1+Y3065)</f>
        <v>1.59335061078203</v>
      </c>
      <c r="AA3065" s="0" t="n">
        <f aca="false">X3065-Z3065</f>
        <v>42.3059046889256</v>
      </c>
      <c r="AB3065" s="0" t="n">
        <f aca="false">X3065+Z3065</f>
        <v>45.4926059104896</v>
      </c>
      <c r="AC3065" s="54" t="b">
        <f aca="false">AND(E3065&gt;=01_因子設定!$L$5-0.000000001,E3065&lt;=01_因子設定!$M$5+0.000000001,F3065&gt;=01_因子設定!$L$6-0.000000001,F3065&lt;=01_因子設定!$M$6+0.000000001,G3065&gt;=01_因子設定!$L$7-0.000000001,G3065&lt;=01_因子設定!$M$7+0.000000001,H3065&gt;=01_因子設定!$L$8-0.000000001,H3065&lt;=01_因子設定!$M$8+0.000000001,IF(01_因子設定!$B$20="Box-Behnken",E3065^2+F3065^2+G3065^2+H3065^2&lt;=2+0.000000001,TRUE()))</f>
        <v>1</v>
      </c>
      <c r="AD3065" s="55" t="n">
        <f aca="false">IF(AC3065,IF(01_因子設定!$B$13="最大化",AA3065-01_因子設定!$B$14,IF(01_因子設定!$B$13="最小化",01_因子設定!$B$15-AB3065,MIN(AA3065-01_因子設定!$B$14,01_因子設定!$B$15-AB3065))),-1E+030)</f>
        <v>-4.19409531107445</v>
      </c>
      <c r="AE3065" s="55" t="n">
        <f aca="false">IF(AC3065,IF(01_因子設定!$B$13="最大化",X3065,IF(01_因子設定!$B$13="最小化",-X3065,-ABS(X3065-01_因子設定!$B$16))),-1E+030)</f>
        <v>43.8992552997076</v>
      </c>
      <c r="AF3065" s="55" t="n">
        <f aca="false">AD3065+ROW()*0.000000001</f>
        <v>-4.19409224607445</v>
      </c>
      <c r="AG3065" s="55" t="n">
        <f aca="false">AE3065+ROW()*0.000000001</f>
        <v>43.8992583647076</v>
      </c>
    </row>
    <row r="3066" customFormat="false" ht="15" hidden="false" customHeight="false" outlineLevel="0" collapsed="false">
      <c r="A3066" s="0" t="n">
        <v>4</v>
      </c>
      <c r="B3066" s="0" t="n">
        <v>1</v>
      </c>
      <c r="C3066" s="0" t="n">
        <v>7</v>
      </c>
      <c r="D3066" s="0" t="n">
        <v>1</v>
      </c>
      <c r="E3066" s="0" t="n">
        <f aca="false">-1+A3066*0.25</f>
        <v>0</v>
      </c>
      <c r="F3066" s="0" t="n">
        <f aca="false">-1+B3066*0.25</f>
        <v>-0.75</v>
      </c>
      <c r="G3066" s="0" t="n">
        <f aca="false">-1+C3066*0.25</f>
        <v>0.75</v>
      </c>
      <c r="H3066" s="0" t="n">
        <f aca="false">-1+D3066*0.25</f>
        <v>-0.75</v>
      </c>
      <c r="I3066" s="0" t="n">
        <f aca="false">1</f>
        <v>1</v>
      </c>
      <c r="J3066" s="0" t="n">
        <f aca="false">E3066</f>
        <v>0</v>
      </c>
      <c r="K3066" s="0" t="n">
        <f aca="false">F3066</f>
        <v>-0.75</v>
      </c>
      <c r="L3066" s="0" t="n">
        <f aca="false">G3066</f>
        <v>0.75</v>
      </c>
      <c r="M3066" s="0" t="n">
        <f aca="false">H3066</f>
        <v>-0.75</v>
      </c>
      <c r="N3066" s="0" t="n">
        <f aca="false">E3066*F3066</f>
        <v>-0</v>
      </c>
      <c r="O3066" s="0" t="n">
        <f aca="false">E3066*G3066</f>
        <v>0</v>
      </c>
      <c r="P3066" s="0" t="n">
        <f aca="false">E3066*H3066</f>
        <v>-0</v>
      </c>
      <c r="Q3066" s="0" t="n">
        <f aca="false">F3066*G3066</f>
        <v>-0.5625</v>
      </c>
      <c r="R3066" s="0" t="n">
        <f aca="false">F3066*H3066</f>
        <v>0.5625</v>
      </c>
      <c r="S3066" s="0" t="n">
        <f aca="false">G3066*H3066</f>
        <v>-0.5625</v>
      </c>
      <c r="T3066" s="0" t="n">
        <f aca="false">E3066*E3066</f>
        <v>0</v>
      </c>
      <c r="U3066" s="0" t="n">
        <f aca="false">F3066*F3066</f>
        <v>0.5625</v>
      </c>
      <c r="V3066" s="0" t="n">
        <f aca="false">G3066*G3066</f>
        <v>0.5625</v>
      </c>
      <c r="W3066" s="0" t="n">
        <f aca="false">H3066*H3066</f>
        <v>0.5625</v>
      </c>
      <c r="X3066" s="0" t="n">
        <f aca="false">SUMPRODUCT(I3066:W3066,_XtX!$B$96:$P$96)</f>
        <v>44.26171875</v>
      </c>
      <c r="Y3066" s="0" t="n">
        <f aca="false">SUMPRODUCT(MMULT(I3066:W3066,_XtX!$B$78:$P$92),I3066:W3066)</f>
        <v>0.310628255208333</v>
      </c>
      <c r="Z3066" s="0" t="n">
        <f aca="false">04_回帰ANOVA!$K$19*04_回帰ANOVA!$K$14*SQRT(1+Y3066)</f>
        <v>1.49223820892344</v>
      </c>
      <c r="AA3066" s="0" t="n">
        <f aca="false">X3066-Z3066</f>
        <v>42.7694805410765</v>
      </c>
      <c r="AB3066" s="0" t="n">
        <f aca="false">X3066+Z3066</f>
        <v>45.7539569589234</v>
      </c>
      <c r="AC3066" s="54" t="b">
        <f aca="false">AND(E3066&gt;=01_因子設定!$L$5-0.000000001,E3066&lt;=01_因子設定!$M$5+0.000000001,F3066&gt;=01_因子設定!$L$6-0.000000001,F3066&lt;=01_因子設定!$M$6+0.000000001,G3066&gt;=01_因子設定!$L$7-0.000000001,G3066&lt;=01_因子設定!$M$7+0.000000001,H3066&gt;=01_因子設定!$L$8-0.000000001,H3066&lt;=01_因子設定!$M$8+0.000000001,IF(01_因子設定!$B$20="Box-Behnken",E3066^2+F3066^2+G3066^2+H3066^2&lt;=2+0.000000001,TRUE()))</f>
        <v>1</v>
      </c>
      <c r="AD3066" s="55" t="n">
        <f aca="false">IF(AC3066,IF(01_因子設定!$B$13="最大化",AA3066-01_因子設定!$B$14,IF(01_因子設定!$B$13="最小化",01_因子設定!$B$15-AB3066,MIN(AA3066-01_因子設定!$B$14,01_因子設定!$B$15-AB3066))),-1E+030)</f>
        <v>-3.73051945892348</v>
      </c>
      <c r="AE3066" s="55" t="n">
        <f aca="false">IF(AC3066,IF(01_因子設定!$B$13="最大化",X3066,IF(01_因子設定!$B$13="最小化",-X3066,-ABS(X3066-01_因子設定!$B$16))),-1E+030)</f>
        <v>44.26171875</v>
      </c>
      <c r="AF3066" s="55" t="n">
        <f aca="false">AD3066+ROW()*0.000000001</f>
        <v>-3.73051639292348</v>
      </c>
      <c r="AG3066" s="55" t="n">
        <f aca="false">AE3066+ROW()*0.000000001</f>
        <v>44.261721816</v>
      </c>
    </row>
    <row r="3067" customFormat="false" ht="15" hidden="false" customHeight="false" outlineLevel="0" collapsed="false">
      <c r="A3067" s="0" t="n">
        <v>4</v>
      </c>
      <c r="B3067" s="0" t="n">
        <v>1</v>
      </c>
      <c r="C3067" s="0" t="n">
        <v>7</v>
      </c>
      <c r="D3067" s="0" t="n">
        <v>2</v>
      </c>
      <c r="E3067" s="0" t="n">
        <f aca="false">-1+A3067*0.25</f>
        <v>0</v>
      </c>
      <c r="F3067" s="0" t="n">
        <f aca="false">-1+B3067*0.25</f>
        <v>-0.75</v>
      </c>
      <c r="G3067" s="0" t="n">
        <f aca="false">-1+C3067*0.25</f>
        <v>0.75</v>
      </c>
      <c r="H3067" s="0" t="n">
        <f aca="false">-1+D3067*0.25</f>
        <v>-0.5</v>
      </c>
      <c r="I3067" s="0" t="n">
        <f aca="false">1</f>
        <v>1</v>
      </c>
      <c r="J3067" s="0" t="n">
        <f aca="false">E3067</f>
        <v>0</v>
      </c>
      <c r="K3067" s="0" t="n">
        <f aca="false">F3067</f>
        <v>-0.75</v>
      </c>
      <c r="L3067" s="0" t="n">
        <f aca="false">G3067</f>
        <v>0.75</v>
      </c>
      <c r="M3067" s="0" t="n">
        <f aca="false">H3067</f>
        <v>-0.5</v>
      </c>
      <c r="N3067" s="0" t="n">
        <f aca="false">E3067*F3067</f>
        <v>-0</v>
      </c>
      <c r="O3067" s="0" t="n">
        <f aca="false">E3067*G3067</f>
        <v>0</v>
      </c>
      <c r="P3067" s="0" t="n">
        <f aca="false">E3067*H3067</f>
        <v>-0</v>
      </c>
      <c r="Q3067" s="0" t="n">
        <f aca="false">F3067*G3067</f>
        <v>-0.5625</v>
      </c>
      <c r="R3067" s="0" t="n">
        <f aca="false">F3067*H3067</f>
        <v>0.375</v>
      </c>
      <c r="S3067" s="0" t="n">
        <f aca="false">G3067*H3067</f>
        <v>-0.375</v>
      </c>
      <c r="T3067" s="0" t="n">
        <f aca="false">E3067*E3067</f>
        <v>0</v>
      </c>
      <c r="U3067" s="0" t="n">
        <f aca="false">F3067*F3067</f>
        <v>0.5625</v>
      </c>
      <c r="V3067" s="0" t="n">
        <f aca="false">G3067*G3067</f>
        <v>0.5625</v>
      </c>
      <c r="W3067" s="0" t="n">
        <f aca="false">H3067*H3067</f>
        <v>0.25</v>
      </c>
      <c r="X3067" s="0" t="n">
        <f aca="false">SUMPRODUCT(I3067:W3067,_XtX!$B$96:$P$96)</f>
        <v>44.5763751827485</v>
      </c>
      <c r="Y3067" s="0" t="n">
        <f aca="false">SUMPRODUCT(MMULT(I3067:W3067,_XtX!$B$78:$P$92),I3067:W3067)</f>
        <v>0.269923873812135</v>
      </c>
      <c r="Z3067" s="0" t="n">
        <f aca="false">04_回帰ANOVA!$K$19*04_回帰ANOVA!$K$14*SQRT(1+Y3067)</f>
        <v>1.46888310825501</v>
      </c>
      <c r="AA3067" s="0" t="n">
        <f aca="false">X3067-Z3067</f>
        <v>43.1074920744935</v>
      </c>
      <c r="AB3067" s="0" t="n">
        <f aca="false">X3067+Z3067</f>
        <v>46.0452582910035</v>
      </c>
      <c r="AC3067" s="54" t="b">
        <f aca="false">AND(E3067&gt;=01_因子設定!$L$5-0.000000001,E3067&lt;=01_因子設定!$M$5+0.000000001,F3067&gt;=01_因子設定!$L$6-0.000000001,F3067&lt;=01_因子設定!$M$6+0.000000001,G3067&gt;=01_因子設定!$L$7-0.000000001,G3067&lt;=01_因子設定!$M$7+0.000000001,H3067&gt;=01_因子設定!$L$8-0.000000001,H3067&lt;=01_因子設定!$M$8+0.000000001,IF(01_因子設定!$B$20="Box-Behnken",E3067^2+F3067^2+G3067^2+H3067^2&lt;=2+0.000000001,TRUE()))</f>
        <v>1</v>
      </c>
      <c r="AD3067" s="55" t="n">
        <f aca="false">IF(AC3067,IF(01_因子設定!$B$13="最大化",AA3067-01_因子設定!$B$14,IF(01_因子設定!$B$13="最小化",01_因子設定!$B$15-AB3067,MIN(AA3067-01_因子設定!$B$14,01_因子設定!$B$15-AB3067))),-1E+030)</f>
        <v>-3.39250792550652</v>
      </c>
      <c r="AE3067" s="55" t="n">
        <f aca="false">IF(AC3067,IF(01_因子設定!$B$13="最大化",X3067,IF(01_因子設定!$B$13="最小化",-X3067,-ABS(X3067-01_因子設定!$B$16))),-1E+030)</f>
        <v>44.5763751827485</v>
      </c>
      <c r="AF3067" s="55" t="n">
        <f aca="false">AD3067+ROW()*0.000000001</f>
        <v>-3.39250485850652</v>
      </c>
      <c r="AG3067" s="55" t="n">
        <f aca="false">AE3067+ROW()*0.000000001</f>
        <v>44.5763782497485</v>
      </c>
    </row>
    <row r="3068" customFormat="false" ht="15" hidden="false" customHeight="false" outlineLevel="0" collapsed="false">
      <c r="A3068" s="0" t="n">
        <v>4</v>
      </c>
      <c r="B3068" s="0" t="n">
        <v>1</v>
      </c>
      <c r="C3068" s="0" t="n">
        <v>7</v>
      </c>
      <c r="D3068" s="0" t="n">
        <v>3</v>
      </c>
      <c r="E3068" s="0" t="n">
        <f aca="false">-1+A3068*0.25</f>
        <v>0</v>
      </c>
      <c r="F3068" s="0" t="n">
        <f aca="false">-1+B3068*0.25</f>
        <v>-0.75</v>
      </c>
      <c r="G3068" s="0" t="n">
        <f aca="false">-1+C3068*0.25</f>
        <v>0.75</v>
      </c>
      <c r="H3068" s="0" t="n">
        <f aca="false">-1+D3068*0.25</f>
        <v>-0.25</v>
      </c>
      <c r="I3068" s="0" t="n">
        <f aca="false">1</f>
        <v>1</v>
      </c>
      <c r="J3068" s="0" t="n">
        <f aca="false">E3068</f>
        <v>0</v>
      </c>
      <c r="K3068" s="0" t="n">
        <f aca="false">F3068</f>
        <v>-0.75</v>
      </c>
      <c r="L3068" s="0" t="n">
        <f aca="false">G3068</f>
        <v>0.75</v>
      </c>
      <c r="M3068" s="0" t="n">
        <f aca="false">H3068</f>
        <v>-0.25</v>
      </c>
      <c r="N3068" s="0" t="n">
        <f aca="false">E3068*F3068</f>
        <v>-0</v>
      </c>
      <c r="O3068" s="0" t="n">
        <f aca="false">E3068*G3068</f>
        <v>0</v>
      </c>
      <c r="P3068" s="0" t="n">
        <f aca="false">E3068*H3068</f>
        <v>-0</v>
      </c>
      <c r="Q3068" s="0" t="n">
        <f aca="false">F3068*G3068</f>
        <v>-0.5625</v>
      </c>
      <c r="R3068" s="0" t="n">
        <f aca="false">F3068*H3068</f>
        <v>0.1875</v>
      </c>
      <c r="S3068" s="0" t="n">
        <f aca="false">G3068*H3068</f>
        <v>-0.1875</v>
      </c>
      <c r="T3068" s="0" t="n">
        <f aca="false">E3068*E3068</f>
        <v>0</v>
      </c>
      <c r="U3068" s="0" t="n">
        <f aca="false">F3068*F3068</f>
        <v>0.5625</v>
      </c>
      <c r="V3068" s="0" t="n">
        <f aca="false">G3068*G3068</f>
        <v>0.5625</v>
      </c>
      <c r="W3068" s="0" t="n">
        <f aca="false">H3068*H3068</f>
        <v>0.0625</v>
      </c>
      <c r="X3068" s="0" t="n">
        <f aca="false">SUMPRODUCT(I3068:W3068,_XtX!$B$96:$P$96)</f>
        <v>44.8432245979532</v>
      </c>
      <c r="Y3068" s="0" t="n">
        <f aca="false">SUMPRODUCT(MMULT(I3068:W3068,_XtX!$B$78:$P$92),I3068:W3068)</f>
        <v>0.281685455500731</v>
      </c>
      <c r="Z3068" s="0" t="n">
        <f aca="false">04_回帰ANOVA!$K$19*04_回帰ANOVA!$K$14*SQRT(1+Y3068)</f>
        <v>1.47566956658694</v>
      </c>
      <c r="AA3068" s="0" t="n">
        <f aca="false">X3068-Z3068</f>
        <v>43.3675550313662</v>
      </c>
      <c r="AB3068" s="0" t="n">
        <f aca="false">X3068+Z3068</f>
        <v>46.3188941645401</v>
      </c>
      <c r="AC3068" s="54" t="b">
        <f aca="false">AND(E3068&gt;=01_因子設定!$L$5-0.000000001,E3068&lt;=01_因子設定!$M$5+0.000000001,F3068&gt;=01_因子設定!$L$6-0.000000001,F3068&lt;=01_因子設定!$M$6+0.000000001,G3068&gt;=01_因子設定!$L$7-0.000000001,G3068&lt;=01_因子設定!$M$7+0.000000001,H3068&gt;=01_因子設定!$L$8-0.000000001,H3068&lt;=01_因子設定!$M$8+0.000000001,IF(01_因子設定!$B$20="Box-Behnken",E3068^2+F3068^2+G3068^2+H3068^2&lt;=2+0.000000001,TRUE()))</f>
        <v>1</v>
      </c>
      <c r="AD3068" s="55" t="n">
        <f aca="false">IF(AC3068,IF(01_因子設定!$B$13="最大化",AA3068-01_因子設定!$B$14,IF(01_因子設定!$B$13="最小化",01_因子設定!$B$15-AB3068,MIN(AA3068-01_因子設定!$B$14,01_因子設定!$B$15-AB3068))),-1E+030)</f>
        <v>-3.13244496863378</v>
      </c>
      <c r="AE3068" s="55" t="n">
        <f aca="false">IF(AC3068,IF(01_因子設定!$B$13="最大化",X3068,IF(01_因子設定!$B$13="最小化",-X3068,-ABS(X3068-01_因子設定!$B$16))),-1E+030)</f>
        <v>44.8432245979532</v>
      </c>
      <c r="AF3068" s="55" t="n">
        <f aca="false">AD3068+ROW()*0.000000001</f>
        <v>-3.13244190063378</v>
      </c>
      <c r="AG3068" s="55" t="n">
        <f aca="false">AE3068+ROW()*0.000000001</f>
        <v>44.8432276659532</v>
      </c>
    </row>
    <row r="3069" customFormat="false" ht="15" hidden="false" customHeight="false" outlineLevel="0" collapsed="false">
      <c r="A3069" s="0" t="n">
        <v>4</v>
      </c>
      <c r="B3069" s="0" t="n">
        <v>1</v>
      </c>
      <c r="C3069" s="0" t="n">
        <v>7</v>
      </c>
      <c r="D3069" s="0" t="n">
        <v>4</v>
      </c>
      <c r="E3069" s="0" t="n">
        <f aca="false">-1+A3069*0.25</f>
        <v>0</v>
      </c>
      <c r="F3069" s="0" t="n">
        <f aca="false">-1+B3069*0.25</f>
        <v>-0.75</v>
      </c>
      <c r="G3069" s="0" t="n">
        <f aca="false">-1+C3069*0.25</f>
        <v>0.75</v>
      </c>
      <c r="H3069" s="0" t="n">
        <f aca="false">-1+D3069*0.25</f>
        <v>0</v>
      </c>
      <c r="I3069" s="0" t="n">
        <f aca="false">1</f>
        <v>1</v>
      </c>
      <c r="J3069" s="0" t="n">
        <f aca="false">E3069</f>
        <v>0</v>
      </c>
      <c r="K3069" s="0" t="n">
        <f aca="false">F3069</f>
        <v>-0.75</v>
      </c>
      <c r="L3069" s="0" t="n">
        <f aca="false">G3069</f>
        <v>0.75</v>
      </c>
      <c r="M3069" s="0" t="n">
        <f aca="false">H3069</f>
        <v>0</v>
      </c>
      <c r="N3069" s="0" t="n">
        <f aca="false">E3069*F3069</f>
        <v>-0</v>
      </c>
      <c r="O3069" s="0" t="n">
        <f aca="false">E3069*G3069</f>
        <v>0</v>
      </c>
      <c r="P3069" s="0" t="n">
        <f aca="false">E3069*H3069</f>
        <v>0</v>
      </c>
      <c r="Q3069" s="0" t="n">
        <f aca="false">F3069*G3069</f>
        <v>-0.5625</v>
      </c>
      <c r="R3069" s="0" t="n">
        <f aca="false">F3069*H3069</f>
        <v>-0</v>
      </c>
      <c r="S3069" s="0" t="n">
        <f aca="false">G3069*H3069</f>
        <v>0</v>
      </c>
      <c r="T3069" s="0" t="n">
        <f aca="false">E3069*E3069</f>
        <v>0</v>
      </c>
      <c r="U3069" s="0" t="n">
        <f aca="false">F3069*F3069</f>
        <v>0.5625</v>
      </c>
      <c r="V3069" s="0" t="n">
        <f aca="false">G3069*G3069</f>
        <v>0.5625</v>
      </c>
      <c r="W3069" s="0" t="n">
        <f aca="false">H3069*H3069</f>
        <v>0</v>
      </c>
      <c r="X3069" s="0" t="n">
        <f aca="false">SUMPRODUCT(I3069:W3069,_XtX!$B$96:$P$96)</f>
        <v>45.062266995614</v>
      </c>
      <c r="Y3069" s="0" t="n">
        <f aca="false">SUMPRODUCT(MMULT(I3069:W3069,_XtX!$B$78:$P$92),I3069:W3069)</f>
        <v>0.291636684484649</v>
      </c>
      <c r="Z3069" s="0" t="n">
        <f aca="false">04_回帰ANOVA!$K$19*04_回帰ANOVA!$K$14*SQRT(1+Y3069)</f>
        <v>1.48138716762813</v>
      </c>
      <c r="AA3069" s="0" t="n">
        <f aca="false">X3069-Z3069</f>
        <v>43.5808798279858</v>
      </c>
      <c r="AB3069" s="0" t="n">
        <f aca="false">X3069+Z3069</f>
        <v>46.5436541632421</v>
      </c>
      <c r="AC3069" s="54" t="b">
        <f aca="false">AND(E3069&gt;=01_因子設定!$L$5-0.000000001,E3069&lt;=01_因子設定!$M$5+0.000000001,F3069&gt;=01_因子設定!$L$6-0.000000001,F3069&lt;=01_因子設定!$M$6+0.000000001,G3069&gt;=01_因子設定!$L$7-0.000000001,G3069&lt;=01_因子設定!$M$7+0.000000001,H3069&gt;=01_因子設定!$L$8-0.000000001,H3069&lt;=01_因子設定!$M$8+0.000000001,IF(01_因子設定!$B$20="Box-Behnken",E3069^2+F3069^2+G3069^2+H3069^2&lt;=2+0.000000001,TRUE()))</f>
        <v>1</v>
      </c>
      <c r="AD3069" s="55" t="n">
        <f aca="false">IF(AC3069,IF(01_因子設定!$B$13="最大化",AA3069-01_因子設定!$B$14,IF(01_因子設定!$B$13="最小化",01_因子設定!$B$15-AB3069,MIN(AA3069-01_因子設定!$B$14,01_因子設定!$B$15-AB3069))),-1E+030)</f>
        <v>-2.91912017201416</v>
      </c>
      <c r="AE3069" s="55" t="n">
        <f aca="false">IF(AC3069,IF(01_因子設定!$B$13="最大化",X3069,IF(01_因子設定!$B$13="最小化",-X3069,-ABS(X3069-01_因子設定!$B$16))),-1E+030)</f>
        <v>45.062266995614</v>
      </c>
      <c r="AF3069" s="55" t="n">
        <f aca="false">AD3069+ROW()*0.000000001</f>
        <v>-2.91911710301416</v>
      </c>
      <c r="AG3069" s="55" t="n">
        <f aca="false">AE3069+ROW()*0.000000001</f>
        <v>45.062270064614</v>
      </c>
    </row>
    <row r="3070" customFormat="false" ht="15" hidden="false" customHeight="false" outlineLevel="0" collapsed="false">
      <c r="A3070" s="0" t="n">
        <v>4</v>
      </c>
      <c r="B3070" s="0" t="n">
        <v>1</v>
      </c>
      <c r="C3070" s="0" t="n">
        <v>7</v>
      </c>
      <c r="D3070" s="0" t="n">
        <v>5</v>
      </c>
      <c r="E3070" s="0" t="n">
        <f aca="false">-1+A3070*0.25</f>
        <v>0</v>
      </c>
      <c r="F3070" s="0" t="n">
        <f aca="false">-1+B3070*0.25</f>
        <v>-0.75</v>
      </c>
      <c r="G3070" s="0" t="n">
        <f aca="false">-1+C3070*0.25</f>
        <v>0.75</v>
      </c>
      <c r="H3070" s="0" t="n">
        <f aca="false">-1+D3070*0.25</f>
        <v>0.25</v>
      </c>
      <c r="I3070" s="0" t="n">
        <f aca="false">1</f>
        <v>1</v>
      </c>
      <c r="J3070" s="0" t="n">
        <f aca="false">E3070</f>
        <v>0</v>
      </c>
      <c r="K3070" s="0" t="n">
        <f aca="false">F3070</f>
        <v>-0.75</v>
      </c>
      <c r="L3070" s="0" t="n">
        <f aca="false">G3070</f>
        <v>0.75</v>
      </c>
      <c r="M3070" s="0" t="n">
        <f aca="false">H3070</f>
        <v>0.25</v>
      </c>
      <c r="N3070" s="0" t="n">
        <f aca="false">E3070*F3070</f>
        <v>-0</v>
      </c>
      <c r="O3070" s="0" t="n">
        <f aca="false">E3070*G3070</f>
        <v>0</v>
      </c>
      <c r="P3070" s="0" t="n">
        <f aca="false">E3070*H3070</f>
        <v>0</v>
      </c>
      <c r="Q3070" s="0" t="n">
        <f aca="false">F3070*G3070</f>
        <v>-0.5625</v>
      </c>
      <c r="R3070" s="0" t="n">
        <f aca="false">F3070*H3070</f>
        <v>-0.1875</v>
      </c>
      <c r="S3070" s="0" t="n">
        <f aca="false">G3070*H3070</f>
        <v>0.1875</v>
      </c>
      <c r="T3070" s="0" t="n">
        <f aca="false">E3070*E3070</f>
        <v>0</v>
      </c>
      <c r="U3070" s="0" t="n">
        <f aca="false">F3070*F3070</f>
        <v>0.5625</v>
      </c>
      <c r="V3070" s="0" t="n">
        <f aca="false">G3070*G3070</f>
        <v>0.5625</v>
      </c>
      <c r="W3070" s="0" t="n">
        <f aca="false">H3070*H3070</f>
        <v>0.0625</v>
      </c>
      <c r="X3070" s="0" t="n">
        <f aca="false">SUMPRODUCT(I3070:W3070,_XtX!$B$96:$P$96)</f>
        <v>45.2335023757309</v>
      </c>
      <c r="Y3070" s="0" t="n">
        <f aca="false">SUMPRODUCT(MMULT(I3070:W3070,_XtX!$B$78:$P$92),I3070:W3070)</f>
        <v>0.281685455500731</v>
      </c>
      <c r="Z3070" s="0" t="n">
        <f aca="false">04_回帰ANOVA!$K$19*04_回帰ANOVA!$K$14*SQRT(1+Y3070)</f>
        <v>1.47566956658694</v>
      </c>
      <c r="AA3070" s="0" t="n">
        <f aca="false">X3070-Z3070</f>
        <v>43.757832809144</v>
      </c>
      <c r="AB3070" s="0" t="n">
        <f aca="false">X3070+Z3070</f>
        <v>46.7091719423179</v>
      </c>
      <c r="AC3070" s="54" t="b">
        <f aca="false">AND(E3070&gt;=01_因子設定!$L$5-0.000000001,E3070&lt;=01_因子設定!$M$5+0.000000001,F3070&gt;=01_因子設定!$L$6-0.000000001,F3070&lt;=01_因子設定!$M$6+0.000000001,G3070&gt;=01_因子設定!$L$7-0.000000001,G3070&lt;=01_因子設定!$M$7+0.000000001,H3070&gt;=01_因子設定!$L$8-0.000000001,H3070&lt;=01_因子設定!$M$8+0.000000001,IF(01_因子設定!$B$20="Box-Behnken",E3070^2+F3070^2+G3070^2+H3070^2&lt;=2+0.000000001,TRUE()))</f>
        <v>1</v>
      </c>
      <c r="AD3070" s="55" t="n">
        <f aca="false">IF(AC3070,IF(01_因子設定!$B$13="最大化",AA3070-01_因子設定!$B$14,IF(01_因子設定!$B$13="最小化",01_因子設定!$B$15-AB3070,MIN(AA3070-01_因子設定!$B$14,01_因子設定!$B$15-AB3070))),-1E+030)</f>
        <v>-2.74216719085601</v>
      </c>
      <c r="AE3070" s="55" t="n">
        <f aca="false">IF(AC3070,IF(01_因子設定!$B$13="最大化",X3070,IF(01_因子設定!$B$13="最小化",-X3070,-ABS(X3070-01_因子設定!$B$16))),-1E+030)</f>
        <v>45.2335023757309</v>
      </c>
      <c r="AF3070" s="55" t="n">
        <f aca="false">AD3070+ROW()*0.000000001</f>
        <v>-2.74216412085601</v>
      </c>
      <c r="AG3070" s="55" t="n">
        <f aca="false">AE3070+ROW()*0.000000001</f>
        <v>45.2335054457309</v>
      </c>
    </row>
    <row r="3071" customFormat="false" ht="15" hidden="false" customHeight="false" outlineLevel="0" collapsed="false">
      <c r="A3071" s="0" t="n">
        <v>4</v>
      </c>
      <c r="B3071" s="0" t="n">
        <v>1</v>
      </c>
      <c r="C3071" s="0" t="n">
        <v>7</v>
      </c>
      <c r="D3071" s="0" t="n">
        <v>6</v>
      </c>
      <c r="E3071" s="0" t="n">
        <f aca="false">-1+A3071*0.25</f>
        <v>0</v>
      </c>
      <c r="F3071" s="0" t="n">
        <f aca="false">-1+B3071*0.25</f>
        <v>-0.75</v>
      </c>
      <c r="G3071" s="0" t="n">
        <f aca="false">-1+C3071*0.25</f>
        <v>0.75</v>
      </c>
      <c r="H3071" s="0" t="n">
        <f aca="false">-1+D3071*0.25</f>
        <v>0.5</v>
      </c>
      <c r="I3071" s="0" t="n">
        <f aca="false">1</f>
        <v>1</v>
      </c>
      <c r="J3071" s="0" t="n">
        <f aca="false">E3071</f>
        <v>0</v>
      </c>
      <c r="K3071" s="0" t="n">
        <f aca="false">F3071</f>
        <v>-0.75</v>
      </c>
      <c r="L3071" s="0" t="n">
        <f aca="false">G3071</f>
        <v>0.75</v>
      </c>
      <c r="M3071" s="0" t="n">
        <f aca="false">H3071</f>
        <v>0.5</v>
      </c>
      <c r="N3071" s="0" t="n">
        <f aca="false">E3071*F3071</f>
        <v>-0</v>
      </c>
      <c r="O3071" s="0" t="n">
        <f aca="false">E3071*G3071</f>
        <v>0</v>
      </c>
      <c r="P3071" s="0" t="n">
        <f aca="false">E3071*H3071</f>
        <v>0</v>
      </c>
      <c r="Q3071" s="0" t="n">
        <f aca="false">F3071*G3071</f>
        <v>-0.5625</v>
      </c>
      <c r="R3071" s="0" t="n">
        <f aca="false">F3071*H3071</f>
        <v>-0.375</v>
      </c>
      <c r="S3071" s="0" t="n">
        <f aca="false">G3071*H3071</f>
        <v>0.375</v>
      </c>
      <c r="T3071" s="0" t="n">
        <f aca="false">E3071*E3071</f>
        <v>0</v>
      </c>
      <c r="U3071" s="0" t="n">
        <f aca="false">F3071*F3071</f>
        <v>0.5625</v>
      </c>
      <c r="V3071" s="0" t="n">
        <f aca="false">G3071*G3071</f>
        <v>0.5625</v>
      </c>
      <c r="W3071" s="0" t="n">
        <f aca="false">H3071*H3071</f>
        <v>0.25</v>
      </c>
      <c r="X3071" s="0" t="n">
        <f aca="false">SUMPRODUCT(I3071:W3071,_XtX!$B$96:$P$96)</f>
        <v>45.356930738304</v>
      </c>
      <c r="Y3071" s="0" t="n">
        <f aca="false">SUMPRODUCT(MMULT(I3071:W3071,_XtX!$B$78:$P$92),I3071:W3071)</f>
        <v>0.269923873812135</v>
      </c>
      <c r="Z3071" s="0" t="n">
        <f aca="false">04_回帰ANOVA!$K$19*04_回帰ANOVA!$K$14*SQRT(1+Y3071)</f>
        <v>1.46888310825501</v>
      </c>
      <c r="AA3071" s="0" t="n">
        <f aca="false">X3071-Z3071</f>
        <v>43.888047630049</v>
      </c>
      <c r="AB3071" s="0" t="n">
        <f aca="false">X3071+Z3071</f>
        <v>46.825813846559</v>
      </c>
      <c r="AC3071" s="54" t="b">
        <f aca="false">AND(E3071&gt;=01_因子設定!$L$5-0.000000001,E3071&lt;=01_因子設定!$M$5+0.000000001,F3071&gt;=01_因子設定!$L$6-0.000000001,F3071&lt;=01_因子設定!$M$6+0.000000001,G3071&gt;=01_因子設定!$L$7-0.000000001,G3071&lt;=01_因子設定!$M$7+0.000000001,H3071&gt;=01_因子設定!$L$8-0.000000001,H3071&lt;=01_因子設定!$M$8+0.000000001,IF(01_因子設定!$B$20="Box-Behnken",E3071^2+F3071^2+G3071^2+H3071^2&lt;=2+0.000000001,TRUE()))</f>
        <v>1</v>
      </c>
      <c r="AD3071" s="55" t="n">
        <f aca="false">IF(AC3071,IF(01_因子設定!$B$13="最大化",AA3071-01_因子設定!$B$14,IF(01_因子設定!$B$13="最小化",01_因子設定!$B$15-AB3071,MIN(AA3071-01_因子設定!$B$14,01_因子設定!$B$15-AB3071))),-1E+030)</f>
        <v>-2.61195236995097</v>
      </c>
      <c r="AE3071" s="55" t="n">
        <f aca="false">IF(AC3071,IF(01_因子設定!$B$13="最大化",X3071,IF(01_因子設定!$B$13="最小化",-X3071,-ABS(X3071-01_因子設定!$B$16))),-1E+030)</f>
        <v>45.356930738304</v>
      </c>
      <c r="AF3071" s="55" t="n">
        <f aca="false">AD3071+ROW()*0.000000001</f>
        <v>-2.61194929895097</v>
      </c>
      <c r="AG3071" s="55" t="n">
        <f aca="false">AE3071+ROW()*0.000000001</f>
        <v>45.356933809304</v>
      </c>
    </row>
    <row r="3072" customFormat="false" ht="15" hidden="false" customHeight="false" outlineLevel="0" collapsed="false">
      <c r="A3072" s="0" t="n">
        <v>4</v>
      </c>
      <c r="B3072" s="0" t="n">
        <v>1</v>
      </c>
      <c r="C3072" s="0" t="n">
        <v>7</v>
      </c>
      <c r="D3072" s="0" t="n">
        <v>7</v>
      </c>
      <c r="E3072" s="0" t="n">
        <f aca="false">-1+A3072*0.25</f>
        <v>0</v>
      </c>
      <c r="F3072" s="0" t="n">
        <f aca="false">-1+B3072*0.25</f>
        <v>-0.75</v>
      </c>
      <c r="G3072" s="0" t="n">
        <f aca="false">-1+C3072*0.25</f>
        <v>0.75</v>
      </c>
      <c r="H3072" s="0" t="n">
        <f aca="false">-1+D3072*0.25</f>
        <v>0.75</v>
      </c>
      <c r="I3072" s="0" t="n">
        <f aca="false">1</f>
        <v>1</v>
      </c>
      <c r="J3072" s="0" t="n">
        <f aca="false">E3072</f>
        <v>0</v>
      </c>
      <c r="K3072" s="0" t="n">
        <f aca="false">F3072</f>
        <v>-0.75</v>
      </c>
      <c r="L3072" s="0" t="n">
        <f aca="false">G3072</f>
        <v>0.75</v>
      </c>
      <c r="M3072" s="0" t="n">
        <f aca="false">H3072</f>
        <v>0.75</v>
      </c>
      <c r="N3072" s="0" t="n">
        <f aca="false">E3072*F3072</f>
        <v>-0</v>
      </c>
      <c r="O3072" s="0" t="n">
        <f aca="false">E3072*G3072</f>
        <v>0</v>
      </c>
      <c r="P3072" s="0" t="n">
        <f aca="false">E3072*H3072</f>
        <v>0</v>
      </c>
      <c r="Q3072" s="0" t="n">
        <f aca="false">F3072*G3072</f>
        <v>-0.5625</v>
      </c>
      <c r="R3072" s="0" t="n">
        <f aca="false">F3072*H3072</f>
        <v>-0.5625</v>
      </c>
      <c r="S3072" s="0" t="n">
        <f aca="false">G3072*H3072</f>
        <v>0.5625</v>
      </c>
      <c r="T3072" s="0" t="n">
        <f aca="false">E3072*E3072</f>
        <v>0</v>
      </c>
      <c r="U3072" s="0" t="n">
        <f aca="false">F3072*F3072</f>
        <v>0.5625</v>
      </c>
      <c r="V3072" s="0" t="n">
        <f aca="false">G3072*G3072</f>
        <v>0.5625</v>
      </c>
      <c r="W3072" s="0" t="n">
        <f aca="false">H3072*H3072</f>
        <v>0.5625</v>
      </c>
      <c r="X3072" s="0" t="n">
        <f aca="false">SUMPRODUCT(I3072:W3072,_XtX!$B$96:$P$96)</f>
        <v>45.4325520833333</v>
      </c>
      <c r="Y3072" s="0" t="n">
        <f aca="false">SUMPRODUCT(MMULT(I3072:W3072,_XtX!$B$78:$P$92),I3072:W3072)</f>
        <v>0.310628255208333</v>
      </c>
      <c r="Z3072" s="0" t="n">
        <f aca="false">04_回帰ANOVA!$K$19*04_回帰ANOVA!$K$14*SQRT(1+Y3072)</f>
        <v>1.49223820892344</v>
      </c>
      <c r="AA3072" s="0" t="n">
        <f aca="false">X3072-Z3072</f>
        <v>43.9403138744099</v>
      </c>
      <c r="AB3072" s="0" t="n">
        <f aca="false">X3072+Z3072</f>
        <v>46.9247902922567</v>
      </c>
      <c r="AC3072" s="54" t="b">
        <f aca="false">AND(E3072&gt;=01_因子設定!$L$5-0.000000001,E3072&lt;=01_因子設定!$M$5+0.000000001,F3072&gt;=01_因子設定!$L$6-0.000000001,F3072&lt;=01_因子設定!$M$6+0.000000001,G3072&gt;=01_因子設定!$L$7-0.000000001,G3072&lt;=01_因子設定!$M$7+0.000000001,H3072&gt;=01_因子設定!$L$8-0.000000001,H3072&lt;=01_因子設定!$M$8+0.000000001,IF(01_因子設定!$B$20="Box-Behnken",E3072^2+F3072^2+G3072^2+H3072^2&lt;=2+0.000000001,TRUE()))</f>
        <v>1</v>
      </c>
      <c r="AD3072" s="55" t="n">
        <f aca="false">IF(AC3072,IF(01_因子設定!$B$13="最大化",AA3072-01_因子設定!$B$14,IF(01_因子設定!$B$13="最小化",01_因子設定!$B$15-AB3072,MIN(AA3072-01_因子設定!$B$14,01_因子設定!$B$15-AB3072))),-1E+030)</f>
        <v>-2.55968612559015</v>
      </c>
      <c r="AE3072" s="55" t="n">
        <f aca="false">IF(AC3072,IF(01_因子設定!$B$13="最大化",X3072,IF(01_因子設定!$B$13="最小化",-X3072,-ABS(X3072-01_因子設定!$B$16))),-1E+030)</f>
        <v>45.4325520833333</v>
      </c>
      <c r="AF3072" s="55" t="n">
        <f aca="false">AD3072+ROW()*0.000000001</f>
        <v>-2.55968305359015</v>
      </c>
      <c r="AG3072" s="55" t="n">
        <f aca="false">AE3072+ROW()*0.000000001</f>
        <v>45.4325551553333</v>
      </c>
    </row>
    <row r="3073" customFormat="false" ht="15" hidden="false" customHeight="false" outlineLevel="0" collapsed="false">
      <c r="A3073" s="0" t="n">
        <v>4</v>
      </c>
      <c r="B3073" s="0" t="n">
        <v>1</v>
      </c>
      <c r="C3073" s="0" t="n">
        <v>7</v>
      </c>
      <c r="D3073" s="0" t="n">
        <v>8</v>
      </c>
      <c r="E3073" s="0" t="n">
        <f aca="false">-1+A3073*0.25</f>
        <v>0</v>
      </c>
      <c r="F3073" s="0" t="n">
        <f aca="false">-1+B3073*0.25</f>
        <v>-0.75</v>
      </c>
      <c r="G3073" s="0" t="n">
        <f aca="false">-1+C3073*0.25</f>
        <v>0.75</v>
      </c>
      <c r="H3073" s="0" t="n">
        <f aca="false">-1+D3073*0.25</f>
        <v>1</v>
      </c>
      <c r="I3073" s="0" t="n">
        <f aca="false">1</f>
        <v>1</v>
      </c>
      <c r="J3073" s="0" t="n">
        <f aca="false">E3073</f>
        <v>0</v>
      </c>
      <c r="K3073" s="0" t="n">
        <f aca="false">F3073</f>
        <v>-0.75</v>
      </c>
      <c r="L3073" s="0" t="n">
        <f aca="false">G3073</f>
        <v>0.75</v>
      </c>
      <c r="M3073" s="0" t="n">
        <f aca="false">H3073</f>
        <v>1</v>
      </c>
      <c r="N3073" s="0" t="n">
        <f aca="false">E3073*F3073</f>
        <v>-0</v>
      </c>
      <c r="O3073" s="0" t="n">
        <f aca="false">E3073*G3073</f>
        <v>0</v>
      </c>
      <c r="P3073" s="0" t="n">
        <f aca="false">E3073*H3073</f>
        <v>0</v>
      </c>
      <c r="Q3073" s="0" t="n">
        <f aca="false">F3073*G3073</f>
        <v>-0.5625</v>
      </c>
      <c r="R3073" s="0" t="n">
        <f aca="false">F3073*H3073</f>
        <v>-0.75</v>
      </c>
      <c r="S3073" s="0" t="n">
        <f aca="false">G3073*H3073</f>
        <v>0.75</v>
      </c>
      <c r="T3073" s="0" t="n">
        <f aca="false">E3073*E3073</f>
        <v>0</v>
      </c>
      <c r="U3073" s="0" t="n">
        <f aca="false">F3073*F3073</f>
        <v>0.5625</v>
      </c>
      <c r="V3073" s="0" t="n">
        <f aca="false">G3073*G3073</f>
        <v>0.5625</v>
      </c>
      <c r="W3073" s="0" t="n">
        <f aca="false">H3073*H3073</f>
        <v>1</v>
      </c>
      <c r="X3073" s="0" t="n">
        <f aca="false">SUMPRODUCT(I3073:W3073,_XtX!$B$96:$P$96)</f>
        <v>45.4603664108187</v>
      </c>
      <c r="Y3073" s="0" t="n">
        <f aca="false">SUMPRODUCT(MMULT(I3073:W3073,_XtX!$B$78:$P$92),I3073:W3073)</f>
        <v>0.494259126005117</v>
      </c>
      <c r="Z3073" s="0" t="n">
        <f aca="false">04_回帰ANOVA!$K$19*04_回帰ANOVA!$K$14*SQRT(1+Y3073)</f>
        <v>1.59335061078203</v>
      </c>
      <c r="AA3073" s="0" t="n">
        <f aca="false">X3073-Z3073</f>
        <v>43.8670158000367</v>
      </c>
      <c r="AB3073" s="0" t="n">
        <f aca="false">X3073+Z3073</f>
        <v>47.0537170216007</v>
      </c>
      <c r="AC3073" s="54" t="b">
        <f aca="false">AND(E3073&gt;=01_因子設定!$L$5-0.000000001,E3073&lt;=01_因子設定!$M$5+0.000000001,F3073&gt;=01_因子設定!$L$6-0.000000001,F3073&lt;=01_因子設定!$M$6+0.000000001,G3073&gt;=01_因子設定!$L$7-0.000000001,G3073&lt;=01_因子設定!$M$7+0.000000001,H3073&gt;=01_因子設定!$L$8-0.000000001,H3073&lt;=01_因子設定!$M$8+0.000000001,IF(01_因子設定!$B$20="Box-Behnken",E3073^2+F3073^2+G3073^2+H3073^2&lt;=2+0.000000001,TRUE()))</f>
        <v>1</v>
      </c>
      <c r="AD3073" s="55" t="n">
        <f aca="false">IF(AC3073,IF(01_因子設定!$B$13="最大化",AA3073-01_因子設定!$B$14,IF(01_因子設定!$B$13="最小化",01_因子設定!$B$15-AB3073,MIN(AA3073-01_因子設定!$B$14,01_因子設定!$B$15-AB3073))),-1E+030)</f>
        <v>-2.63298419996334</v>
      </c>
      <c r="AE3073" s="55" t="n">
        <f aca="false">IF(AC3073,IF(01_因子設定!$B$13="最大化",X3073,IF(01_因子設定!$B$13="最小化",-X3073,-ABS(X3073-01_因子設定!$B$16))),-1E+030)</f>
        <v>45.4603664108187</v>
      </c>
      <c r="AF3073" s="55" t="n">
        <f aca="false">AD3073+ROW()*0.000000001</f>
        <v>-2.63298112696334</v>
      </c>
      <c r="AG3073" s="55" t="n">
        <f aca="false">AE3073+ROW()*0.000000001</f>
        <v>45.4603694838187</v>
      </c>
    </row>
    <row r="3074" customFormat="false" ht="15" hidden="false" customHeight="false" outlineLevel="0" collapsed="false">
      <c r="A3074" s="0" t="n">
        <v>4</v>
      </c>
      <c r="B3074" s="0" t="n">
        <v>1</v>
      </c>
      <c r="C3074" s="0" t="n">
        <v>8</v>
      </c>
      <c r="D3074" s="0" t="n">
        <v>0</v>
      </c>
      <c r="E3074" s="0" t="n">
        <f aca="false">-1+A3074*0.25</f>
        <v>0</v>
      </c>
      <c r="F3074" s="0" t="n">
        <f aca="false">-1+B3074*0.25</f>
        <v>-0.75</v>
      </c>
      <c r="G3074" s="0" t="n">
        <f aca="false">-1+C3074*0.25</f>
        <v>1</v>
      </c>
      <c r="H3074" s="0" t="n">
        <f aca="false">-1+D3074*0.25</f>
        <v>-1</v>
      </c>
      <c r="I3074" s="0" t="n">
        <f aca="false">1</f>
        <v>1</v>
      </c>
      <c r="J3074" s="0" t="n">
        <f aca="false">E3074</f>
        <v>0</v>
      </c>
      <c r="K3074" s="0" t="n">
        <f aca="false">F3074</f>
        <v>-0.75</v>
      </c>
      <c r="L3074" s="0" t="n">
        <f aca="false">G3074</f>
        <v>1</v>
      </c>
      <c r="M3074" s="0" t="n">
        <f aca="false">H3074</f>
        <v>-1</v>
      </c>
      <c r="N3074" s="0" t="n">
        <f aca="false">E3074*F3074</f>
        <v>-0</v>
      </c>
      <c r="O3074" s="0" t="n">
        <f aca="false">E3074*G3074</f>
        <v>0</v>
      </c>
      <c r="P3074" s="0" t="n">
        <f aca="false">E3074*H3074</f>
        <v>-0</v>
      </c>
      <c r="Q3074" s="0" t="n">
        <f aca="false">F3074*G3074</f>
        <v>-0.75</v>
      </c>
      <c r="R3074" s="0" t="n">
        <f aca="false">F3074*H3074</f>
        <v>0.75</v>
      </c>
      <c r="S3074" s="0" t="n">
        <f aca="false">G3074*H3074</f>
        <v>-1</v>
      </c>
      <c r="T3074" s="0" t="n">
        <f aca="false">E3074*E3074</f>
        <v>0</v>
      </c>
      <c r="U3074" s="0" t="n">
        <f aca="false">F3074*F3074</f>
        <v>0.5625</v>
      </c>
      <c r="V3074" s="0" t="n">
        <f aca="false">G3074*G3074</f>
        <v>1</v>
      </c>
      <c r="W3074" s="0" t="n">
        <f aca="false">H3074*H3074</f>
        <v>1</v>
      </c>
      <c r="X3074" s="0" t="n">
        <f aca="false">SUMPRODUCT(I3074:W3074,_XtX!$B$96:$P$96)</f>
        <v>43.7160453216374</v>
      </c>
      <c r="Y3074" s="0" t="n">
        <f aca="false">SUMPRODUCT(MMULT(I3074:W3074,_XtX!$B$78:$P$92),I3074:W3074)</f>
        <v>0.646198830409357</v>
      </c>
      <c r="Z3074" s="0" t="n">
        <f aca="false">04_回帰ANOVA!$K$19*04_回帰ANOVA!$K$14*SQRT(1+Y3074)</f>
        <v>1.67239760569756</v>
      </c>
      <c r="AA3074" s="0" t="n">
        <f aca="false">X3074-Z3074</f>
        <v>42.0436477159399</v>
      </c>
      <c r="AB3074" s="0" t="n">
        <f aca="false">X3074+Z3074</f>
        <v>45.388442927335</v>
      </c>
      <c r="AC3074" s="54" t="b">
        <f aca="false">AND(E3074&gt;=01_因子設定!$L$5-0.000000001,E3074&lt;=01_因子設定!$M$5+0.000000001,F3074&gt;=01_因子設定!$L$6-0.000000001,F3074&lt;=01_因子設定!$M$6+0.000000001,G3074&gt;=01_因子設定!$L$7-0.000000001,G3074&lt;=01_因子設定!$M$7+0.000000001,H3074&gt;=01_因子設定!$L$8-0.000000001,H3074&lt;=01_因子設定!$M$8+0.000000001,IF(01_因子設定!$B$20="Box-Behnken",E3074^2+F3074^2+G3074^2+H3074^2&lt;=2+0.000000001,TRUE()))</f>
        <v>1</v>
      </c>
      <c r="AD3074" s="55" t="n">
        <f aca="false">IF(AC3074,IF(01_因子設定!$B$13="最大化",AA3074-01_因子設定!$B$14,IF(01_因子設定!$B$13="最小化",01_因子設定!$B$15-AB3074,MIN(AA3074-01_因子設定!$B$14,01_因子設定!$B$15-AB3074))),-1E+030)</f>
        <v>-4.45635228406015</v>
      </c>
      <c r="AE3074" s="55" t="n">
        <f aca="false">IF(AC3074,IF(01_因子設定!$B$13="最大化",X3074,IF(01_因子設定!$B$13="最小化",-X3074,-ABS(X3074-01_因子設定!$B$16))),-1E+030)</f>
        <v>43.7160453216374</v>
      </c>
      <c r="AF3074" s="55" t="n">
        <f aca="false">AD3074+ROW()*0.000000001</f>
        <v>-4.45634921006015</v>
      </c>
      <c r="AG3074" s="55" t="n">
        <f aca="false">AE3074+ROW()*0.000000001</f>
        <v>43.7160483956374</v>
      </c>
    </row>
    <row r="3075" customFormat="false" ht="15" hidden="false" customHeight="false" outlineLevel="0" collapsed="false">
      <c r="A3075" s="0" t="n">
        <v>4</v>
      </c>
      <c r="B3075" s="0" t="n">
        <v>1</v>
      </c>
      <c r="C3075" s="0" t="n">
        <v>8</v>
      </c>
      <c r="D3075" s="0" t="n">
        <v>1</v>
      </c>
      <c r="E3075" s="0" t="n">
        <f aca="false">-1+A3075*0.25</f>
        <v>0</v>
      </c>
      <c r="F3075" s="0" t="n">
        <f aca="false">-1+B3075*0.25</f>
        <v>-0.75</v>
      </c>
      <c r="G3075" s="0" t="n">
        <f aca="false">-1+C3075*0.25</f>
        <v>1</v>
      </c>
      <c r="H3075" s="0" t="n">
        <f aca="false">-1+D3075*0.25</f>
        <v>-0.75</v>
      </c>
      <c r="I3075" s="0" t="n">
        <f aca="false">1</f>
        <v>1</v>
      </c>
      <c r="J3075" s="0" t="n">
        <f aca="false">E3075</f>
        <v>0</v>
      </c>
      <c r="K3075" s="0" t="n">
        <f aca="false">F3075</f>
        <v>-0.75</v>
      </c>
      <c r="L3075" s="0" t="n">
        <f aca="false">G3075</f>
        <v>1</v>
      </c>
      <c r="M3075" s="0" t="n">
        <f aca="false">H3075</f>
        <v>-0.75</v>
      </c>
      <c r="N3075" s="0" t="n">
        <f aca="false">E3075*F3075</f>
        <v>-0</v>
      </c>
      <c r="O3075" s="0" t="n">
        <f aca="false">E3075*G3075</f>
        <v>0</v>
      </c>
      <c r="P3075" s="0" t="n">
        <f aca="false">E3075*H3075</f>
        <v>-0</v>
      </c>
      <c r="Q3075" s="0" t="n">
        <f aca="false">F3075*G3075</f>
        <v>-0.75</v>
      </c>
      <c r="R3075" s="0" t="n">
        <f aca="false">F3075*H3075</f>
        <v>0.5625</v>
      </c>
      <c r="S3075" s="0" t="n">
        <f aca="false">G3075*H3075</f>
        <v>-0.75</v>
      </c>
      <c r="T3075" s="0" t="n">
        <f aca="false">E3075*E3075</f>
        <v>0</v>
      </c>
      <c r="U3075" s="0" t="n">
        <f aca="false">F3075*F3075</f>
        <v>0.5625</v>
      </c>
      <c r="V3075" s="0" t="n">
        <f aca="false">G3075*G3075</f>
        <v>1</v>
      </c>
      <c r="W3075" s="0" t="n">
        <f aca="false">H3075*H3075</f>
        <v>0.5625</v>
      </c>
      <c r="X3075" s="0" t="n">
        <f aca="false">SUMPRODUCT(I3075:W3075,_XtX!$B$96:$P$96)</f>
        <v>44.0964775219298</v>
      </c>
      <c r="Y3075" s="0" t="n">
        <f aca="false">SUMPRODUCT(MMULT(I3075:W3075,_XtX!$B$78:$P$92),I3075:W3075)</f>
        <v>0.494259126005117</v>
      </c>
      <c r="Z3075" s="0" t="n">
        <f aca="false">04_回帰ANOVA!$K$19*04_回帰ANOVA!$K$14*SQRT(1+Y3075)</f>
        <v>1.59335061078203</v>
      </c>
      <c r="AA3075" s="0" t="n">
        <f aca="false">X3075-Z3075</f>
        <v>42.5031269111478</v>
      </c>
      <c r="AB3075" s="0" t="n">
        <f aca="false">X3075+Z3075</f>
        <v>45.6898281327118</v>
      </c>
      <c r="AC3075" s="54" t="b">
        <f aca="false">AND(E3075&gt;=01_因子設定!$L$5-0.000000001,E3075&lt;=01_因子設定!$M$5+0.000000001,F3075&gt;=01_因子設定!$L$6-0.000000001,F3075&lt;=01_因子設定!$M$6+0.000000001,G3075&gt;=01_因子設定!$L$7-0.000000001,G3075&lt;=01_因子設定!$M$7+0.000000001,H3075&gt;=01_因子設定!$L$8-0.000000001,H3075&lt;=01_因子設定!$M$8+0.000000001,IF(01_因子設定!$B$20="Box-Behnken",E3075^2+F3075^2+G3075^2+H3075^2&lt;=2+0.000000001,TRUE()))</f>
        <v>1</v>
      </c>
      <c r="AD3075" s="55" t="n">
        <f aca="false">IF(AC3075,IF(01_因子設定!$B$13="最大化",AA3075-01_因子設定!$B$14,IF(01_因子設定!$B$13="最小化",01_因子設定!$B$15-AB3075,MIN(AA3075-01_因子設定!$B$14,01_因子設定!$B$15-AB3075))),-1E+030)</f>
        <v>-3.99687308885224</v>
      </c>
      <c r="AE3075" s="55" t="n">
        <f aca="false">IF(AC3075,IF(01_因子設定!$B$13="最大化",X3075,IF(01_因子設定!$B$13="最小化",-X3075,-ABS(X3075-01_因子設定!$B$16))),-1E+030)</f>
        <v>44.0964775219298</v>
      </c>
      <c r="AF3075" s="55" t="n">
        <f aca="false">AD3075+ROW()*0.000000001</f>
        <v>-3.99687001385224</v>
      </c>
      <c r="AG3075" s="55" t="n">
        <f aca="false">AE3075+ROW()*0.000000001</f>
        <v>44.0964805969298</v>
      </c>
    </row>
    <row r="3076" customFormat="false" ht="15" hidden="false" customHeight="false" outlineLevel="0" collapsed="false">
      <c r="A3076" s="0" t="n">
        <v>4</v>
      </c>
      <c r="B3076" s="0" t="n">
        <v>1</v>
      </c>
      <c r="C3076" s="0" t="n">
        <v>8</v>
      </c>
      <c r="D3076" s="0" t="n">
        <v>2</v>
      </c>
      <c r="E3076" s="0" t="n">
        <f aca="false">-1+A3076*0.25</f>
        <v>0</v>
      </c>
      <c r="F3076" s="0" t="n">
        <f aca="false">-1+B3076*0.25</f>
        <v>-0.75</v>
      </c>
      <c r="G3076" s="0" t="n">
        <f aca="false">-1+C3076*0.25</f>
        <v>1</v>
      </c>
      <c r="H3076" s="0" t="n">
        <f aca="false">-1+D3076*0.25</f>
        <v>-0.5</v>
      </c>
      <c r="I3076" s="0" t="n">
        <f aca="false">1</f>
        <v>1</v>
      </c>
      <c r="J3076" s="0" t="n">
        <f aca="false">E3076</f>
        <v>0</v>
      </c>
      <c r="K3076" s="0" t="n">
        <f aca="false">F3076</f>
        <v>-0.75</v>
      </c>
      <c r="L3076" s="0" t="n">
        <f aca="false">G3076</f>
        <v>1</v>
      </c>
      <c r="M3076" s="0" t="n">
        <f aca="false">H3076</f>
        <v>-0.5</v>
      </c>
      <c r="N3076" s="0" t="n">
        <f aca="false">E3076*F3076</f>
        <v>-0</v>
      </c>
      <c r="O3076" s="0" t="n">
        <f aca="false">E3076*G3076</f>
        <v>0</v>
      </c>
      <c r="P3076" s="0" t="n">
        <f aca="false">E3076*H3076</f>
        <v>-0</v>
      </c>
      <c r="Q3076" s="0" t="n">
        <f aca="false">F3076*G3076</f>
        <v>-0.75</v>
      </c>
      <c r="R3076" s="0" t="n">
        <f aca="false">F3076*H3076</f>
        <v>0.375</v>
      </c>
      <c r="S3076" s="0" t="n">
        <f aca="false">G3076*H3076</f>
        <v>-0.5</v>
      </c>
      <c r="T3076" s="0" t="n">
        <f aca="false">E3076*E3076</f>
        <v>0</v>
      </c>
      <c r="U3076" s="0" t="n">
        <f aca="false">F3076*F3076</f>
        <v>0.5625</v>
      </c>
      <c r="V3076" s="0" t="n">
        <f aca="false">G3076*G3076</f>
        <v>1</v>
      </c>
      <c r="W3076" s="0" t="n">
        <f aca="false">H3076*H3076</f>
        <v>0.25</v>
      </c>
      <c r="X3076" s="0" t="n">
        <f aca="false">SUMPRODUCT(I3076:W3076,_XtX!$B$96:$P$96)</f>
        <v>44.4291027046783</v>
      </c>
      <c r="Y3076" s="0" t="n">
        <f aca="false">SUMPRODUCT(MMULT(I3076:W3076,_XtX!$B$78:$P$92),I3076:W3076)</f>
        <v>0.476191292032164</v>
      </c>
      <c r="Z3076" s="0" t="n">
        <f aca="false">04_回帰ANOVA!$K$19*04_回帰ANOVA!$K$14*SQRT(1+Y3076)</f>
        <v>1.58368831471718</v>
      </c>
      <c r="AA3076" s="0" t="n">
        <f aca="false">X3076-Z3076</f>
        <v>42.8454143899611</v>
      </c>
      <c r="AB3076" s="0" t="n">
        <f aca="false">X3076+Z3076</f>
        <v>46.0127910193955</v>
      </c>
      <c r="AC3076" s="54" t="b">
        <f aca="false">AND(E3076&gt;=01_因子設定!$L$5-0.000000001,E3076&lt;=01_因子設定!$M$5+0.000000001,F3076&gt;=01_因子設定!$L$6-0.000000001,F3076&lt;=01_因子設定!$M$6+0.000000001,G3076&gt;=01_因子設定!$L$7-0.000000001,G3076&lt;=01_因子設定!$M$7+0.000000001,H3076&gt;=01_因子設定!$L$8-0.000000001,H3076&lt;=01_因子設定!$M$8+0.000000001,IF(01_因子設定!$B$20="Box-Behnken",E3076^2+F3076^2+G3076^2+H3076^2&lt;=2+0.000000001,TRUE()))</f>
        <v>1</v>
      </c>
      <c r="AD3076" s="55" t="n">
        <f aca="false">IF(AC3076,IF(01_因子設定!$B$13="最大化",AA3076-01_因子設定!$B$14,IF(01_因子設定!$B$13="最小化",01_因子設定!$B$15-AB3076,MIN(AA3076-01_因子設定!$B$14,01_因子設定!$B$15-AB3076))),-1E+030)</f>
        <v>-3.65458561003887</v>
      </c>
      <c r="AE3076" s="55" t="n">
        <f aca="false">IF(AC3076,IF(01_因子設定!$B$13="最大化",X3076,IF(01_因子設定!$B$13="最小化",-X3076,-ABS(X3076-01_因子設定!$B$16))),-1E+030)</f>
        <v>44.4291027046783</v>
      </c>
      <c r="AF3076" s="55" t="n">
        <f aca="false">AD3076+ROW()*0.000000001</f>
        <v>-3.65458253403887</v>
      </c>
      <c r="AG3076" s="55" t="n">
        <f aca="false">AE3076+ROW()*0.000000001</f>
        <v>44.4291057806783</v>
      </c>
    </row>
    <row r="3077" customFormat="false" ht="15" hidden="false" customHeight="false" outlineLevel="0" collapsed="false">
      <c r="A3077" s="0" t="n">
        <v>4</v>
      </c>
      <c r="B3077" s="0" t="n">
        <v>1</v>
      </c>
      <c r="C3077" s="0" t="n">
        <v>8</v>
      </c>
      <c r="D3077" s="0" t="n">
        <v>3</v>
      </c>
      <c r="E3077" s="0" t="n">
        <f aca="false">-1+A3077*0.25</f>
        <v>0</v>
      </c>
      <c r="F3077" s="0" t="n">
        <f aca="false">-1+B3077*0.25</f>
        <v>-0.75</v>
      </c>
      <c r="G3077" s="0" t="n">
        <f aca="false">-1+C3077*0.25</f>
        <v>1</v>
      </c>
      <c r="H3077" s="0" t="n">
        <f aca="false">-1+D3077*0.25</f>
        <v>-0.25</v>
      </c>
      <c r="I3077" s="0" t="n">
        <f aca="false">1</f>
        <v>1</v>
      </c>
      <c r="J3077" s="0" t="n">
        <f aca="false">E3077</f>
        <v>0</v>
      </c>
      <c r="K3077" s="0" t="n">
        <f aca="false">F3077</f>
        <v>-0.75</v>
      </c>
      <c r="L3077" s="0" t="n">
        <f aca="false">G3077</f>
        <v>1</v>
      </c>
      <c r="M3077" s="0" t="n">
        <f aca="false">H3077</f>
        <v>-0.25</v>
      </c>
      <c r="N3077" s="0" t="n">
        <f aca="false">E3077*F3077</f>
        <v>-0</v>
      </c>
      <c r="O3077" s="0" t="n">
        <f aca="false">E3077*G3077</f>
        <v>0</v>
      </c>
      <c r="P3077" s="0" t="n">
        <f aca="false">E3077*H3077</f>
        <v>-0</v>
      </c>
      <c r="Q3077" s="0" t="n">
        <f aca="false">F3077*G3077</f>
        <v>-0.75</v>
      </c>
      <c r="R3077" s="0" t="n">
        <f aca="false">F3077*H3077</f>
        <v>0.1875</v>
      </c>
      <c r="S3077" s="0" t="n">
        <f aca="false">G3077*H3077</f>
        <v>-0.25</v>
      </c>
      <c r="T3077" s="0" t="n">
        <f aca="false">E3077*E3077</f>
        <v>0</v>
      </c>
      <c r="U3077" s="0" t="n">
        <f aca="false">F3077*F3077</f>
        <v>0.5625</v>
      </c>
      <c r="V3077" s="0" t="n">
        <f aca="false">G3077*G3077</f>
        <v>1</v>
      </c>
      <c r="W3077" s="0" t="n">
        <f aca="false">H3077*H3077</f>
        <v>0.0625</v>
      </c>
      <c r="X3077" s="0" t="n">
        <f aca="false">SUMPRODUCT(I3077:W3077,_XtX!$B$96:$P$96)</f>
        <v>44.713920869883</v>
      </c>
      <c r="Y3077" s="0" t="n">
        <f aca="false">SUMPRODUCT(MMULT(I3077:W3077,_XtX!$B$78:$P$92),I3077:W3077)</f>
        <v>0.501534802174708</v>
      </c>
      <c r="Z3077" s="0" t="n">
        <f aca="false">04_回帰ANOVA!$K$19*04_回帰ANOVA!$K$14*SQRT(1+Y3077)</f>
        <v>1.59722498091333</v>
      </c>
      <c r="AA3077" s="0" t="n">
        <f aca="false">X3077-Z3077</f>
        <v>43.1166958889697</v>
      </c>
      <c r="AB3077" s="0" t="n">
        <f aca="false">X3077+Z3077</f>
        <v>46.3111458507963</v>
      </c>
      <c r="AC3077" s="54" t="b">
        <f aca="false">AND(E3077&gt;=01_因子設定!$L$5-0.000000001,E3077&lt;=01_因子設定!$M$5+0.000000001,F3077&gt;=01_因子設定!$L$6-0.000000001,F3077&lt;=01_因子設定!$M$6+0.000000001,G3077&gt;=01_因子設定!$L$7-0.000000001,G3077&lt;=01_因子設定!$M$7+0.000000001,H3077&gt;=01_因子設定!$L$8-0.000000001,H3077&lt;=01_因子設定!$M$8+0.000000001,IF(01_因子設定!$B$20="Box-Behnken",E3077^2+F3077^2+G3077^2+H3077^2&lt;=2+0.000000001,TRUE()))</f>
        <v>1</v>
      </c>
      <c r="AD3077" s="55" t="n">
        <f aca="false">IF(AC3077,IF(01_因子設定!$B$13="最大化",AA3077-01_因子設定!$B$14,IF(01_因子設定!$B$13="最小化",01_因子設定!$B$15-AB3077,MIN(AA3077-01_因子設定!$B$14,01_因子設定!$B$15-AB3077))),-1E+030)</f>
        <v>-3.38330411103035</v>
      </c>
      <c r="AE3077" s="55" t="n">
        <f aca="false">IF(AC3077,IF(01_因子設定!$B$13="最大化",X3077,IF(01_因子設定!$B$13="最小化",-X3077,-ABS(X3077-01_因子設定!$B$16))),-1E+030)</f>
        <v>44.713920869883</v>
      </c>
      <c r="AF3077" s="55" t="n">
        <f aca="false">AD3077+ROW()*0.000000001</f>
        <v>-3.38330103403035</v>
      </c>
      <c r="AG3077" s="55" t="n">
        <f aca="false">AE3077+ROW()*0.000000001</f>
        <v>44.713923946883</v>
      </c>
    </row>
    <row r="3078" customFormat="false" ht="15" hidden="false" customHeight="false" outlineLevel="0" collapsed="false">
      <c r="A3078" s="0" t="n">
        <v>4</v>
      </c>
      <c r="B3078" s="0" t="n">
        <v>1</v>
      </c>
      <c r="C3078" s="0" t="n">
        <v>8</v>
      </c>
      <c r="D3078" s="0" t="n">
        <v>4</v>
      </c>
      <c r="E3078" s="0" t="n">
        <f aca="false">-1+A3078*0.25</f>
        <v>0</v>
      </c>
      <c r="F3078" s="0" t="n">
        <f aca="false">-1+B3078*0.25</f>
        <v>-0.75</v>
      </c>
      <c r="G3078" s="0" t="n">
        <f aca="false">-1+C3078*0.25</f>
        <v>1</v>
      </c>
      <c r="H3078" s="0" t="n">
        <f aca="false">-1+D3078*0.25</f>
        <v>0</v>
      </c>
      <c r="I3078" s="0" t="n">
        <f aca="false">1</f>
        <v>1</v>
      </c>
      <c r="J3078" s="0" t="n">
        <f aca="false">E3078</f>
        <v>0</v>
      </c>
      <c r="K3078" s="0" t="n">
        <f aca="false">F3078</f>
        <v>-0.75</v>
      </c>
      <c r="L3078" s="0" t="n">
        <f aca="false">G3078</f>
        <v>1</v>
      </c>
      <c r="M3078" s="0" t="n">
        <f aca="false">H3078</f>
        <v>0</v>
      </c>
      <c r="N3078" s="0" t="n">
        <f aca="false">E3078*F3078</f>
        <v>-0</v>
      </c>
      <c r="O3078" s="0" t="n">
        <f aca="false">E3078*G3078</f>
        <v>0</v>
      </c>
      <c r="P3078" s="0" t="n">
        <f aca="false">E3078*H3078</f>
        <v>0</v>
      </c>
      <c r="Q3078" s="0" t="n">
        <f aca="false">F3078*G3078</f>
        <v>-0.75</v>
      </c>
      <c r="R3078" s="0" t="n">
        <f aca="false">F3078*H3078</f>
        <v>-0</v>
      </c>
      <c r="S3078" s="0" t="n">
        <f aca="false">G3078*H3078</f>
        <v>0</v>
      </c>
      <c r="T3078" s="0" t="n">
        <f aca="false">E3078*E3078</f>
        <v>0</v>
      </c>
      <c r="U3078" s="0" t="n">
        <f aca="false">F3078*F3078</f>
        <v>0.5625</v>
      </c>
      <c r="V3078" s="0" t="n">
        <f aca="false">G3078*G3078</f>
        <v>1</v>
      </c>
      <c r="W3078" s="0" t="n">
        <f aca="false">H3078*H3078</f>
        <v>0</v>
      </c>
      <c r="X3078" s="0" t="n">
        <f aca="false">SUMPRODUCT(I3078:W3078,_XtX!$B$96:$P$96)</f>
        <v>44.9509320175438</v>
      </c>
      <c r="Y3078" s="0" t="n">
        <f aca="false">SUMPRODUCT(MMULT(I3078:W3078,_XtX!$B$78:$P$92),I3078:W3078)</f>
        <v>0.516013340643275</v>
      </c>
      <c r="Z3078" s="0" t="n">
        <f aca="false">04_回帰ANOVA!$K$19*04_回帰ANOVA!$K$14*SQRT(1+Y3078)</f>
        <v>1.60490712175667</v>
      </c>
      <c r="AA3078" s="0" t="n">
        <f aca="false">X3078-Z3078</f>
        <v>43.3460248957871</v>
      </c>
      <c r="AB3078" s="0" t="n">
        <f aca="false">X3078+Z3078</f>
        <v>46.5558391393005</v>
      </c>
      <c r="AC3078" s="54" t="b">
        <f aca="false">AND(E3078&gt;=01_因子設定!$L$5-0.000000001,E3078&lt;=01_因子設定!$M$5+0.000000001,F3078&gt;=01_因子設定!$L$6-0.000000001,F3078&lt;=01_因子設定!$M$6+0.000000001,G3078&gt;=01_因子設定!$L$7-0.000000001,G3078&lt;=01_因子設定!$M$7+0.000000001,H3078&gt;=01_因子設定!$L$8-0.000000001,H3078&lt;=01_因子設定!$M$8+0.000000001,IF(01_因子設定!$B$20="Box-Behnken",E3078^2+F3078^2+G3078^2+H3078^2&lt;=2+0.000000001,TRUE()))</f>
        <v>1</v>
      </c>
      <c r="AD3078" s="55" t="n">
        <f aca="false">IF(AC3078,IF(01_因子設定!$B$13="最大化",AA3078-01_因子設定!$B$14,IF(01_因子設定!$B$13="最小化",01_因子設定!$B$15-AB3078,MIN(AA3078-01_因子設定!$B$14,01_因子設定!$B$15-AB3078))),-1E+030)</f>
        <v>-3.15397510421287</v>
      </c>
      <c r="AE3078" s="55" t="n">
        <f aca="false">IF(AC3078,IF(01_因子設定!$B$13="最大化",X3078,IF(01_因子設定!$B$13="最小化",-X3078,-ABS(X3078-01_因子設定!$B$16))),-1E+030)</f>
        <v>44.9509320175438</v>
      </c>
      <c r="AF3078" s="55" t="n">
        <f aca="false">AD3078+ROW()*0.000000001</f>
        <v>-3.15397202621287</v>
      </c>
      <c r="AG3078" s="55" t="n">
        <f aca="false">AE3078+ROW()*0.000000001</f>
        <v>44.9509350955438</v>
      </c>
    </row>
    <row r="3079" customFormat="false" ht="15" hidden="false" customHeight="false" outlineLevel="0" collapsed="false">
      <c r="A3079" s="0" t="n">
        <v>4</v>
      </c>
      <c r="B3079" s="0" t="n">
        <v>1</v>
      </c>
      <c r="C3079" s="0" t="n">
        <v>8</v>
      </c>
      <c r="D3079" s="0" t="n">
        <v>5</v>
      </c>
      <c r="E3079" s="0" t="n">
        <f aca="false">-1+A3079*0.25</f>
        <v>0</v>
      </c>
      <c r="F3079" s="0" t="n">
        <f aca="false">-1+B3079*0.25</f>
        <v>-0.75</v>
      </c>
      <c r="G3079" s="0" t="n">
        <f aca="false">-1+C3079*0.25</f>
        <v>1</v>
      </c>
      <c r="H3079" s="0" t="n">
        <f aca="false">-1+D3079*0.25</f>
        <v>0.25</v>
      </c>
      <c r="I3079" s="0" t="n">
        <f aca="false">1</f>
        <v>1</v>
      </c>
      <c r="J3079" s="0" t="n">
        <f aca="false">E3079</f>
        <v>0</v>
      </c>
      <c r="K3079" s="0" t="n">
        <f aca="false">F3079</f>
        <v>-0.75</v>
      </c>
      <c r="L3079" s="0" t="n">
        <f aca="false">G3079</f>
        <v>1</v>
      </c>
      <c r="M3079" s="0" t="n">
        <f aca="false">H3079</f>
        <v>0.25</v>
      </c>
      <c r="N3079" s="0" t="n">
        <f aca="false">E3079*F3079</f>
        <v>-0</v>
      </c>
      <c r="O3079" s="0" t="n">
        <f aca="false">E3079*G3079</f>
        <v>0</v>
      </c>
      <c r="P3079" s="0" t="n">
        <f aca="false">E3079*H3079</f>
        <v>0</v>
      </c>
      <c r="Q3079" s="0" t="n">
        <f aca="false">F3079*G3079</f>
        <v>-0.75</v>
      </c>
      <c r="R3079" s="0" t="n">
        <f aca="false">F3079*H3079</f>
        <v>-0.1875</v>
      </c>
      <c r="S3079" s="0" t="n">
        <f aca="false">G3079*H3079</f>
        <v>0.25</v>
      </c>
      <c r="T3079" s="0" t="n">
        <f aca="false">E3079*E3079</f>
        <v>0</v>
      </c>
      <c r="U3079" s="0" t="n">
        <f aca="false">F3079*F3079</f>
        <v>0.5625</v>
      </c>
      <c r="V3079" s="0" t="n">
        <f aca="false">G3079*G3079</f>
        <v>1</v>
      </c>
      <c r="W3079" s="0" t="n">
        <f aca="false">H3079*H3079</f>
        <v>0.0625</v>
      </c>
      <c r="X3079" s="0" t="n">
        <f aca="false">SUMPRODUCT(I3079:W3079,_XtX!$B$96:$P$96)</f>
        <v>45.1401361476608</v>
      </c>
      <c r="Y3079" s="0" t="n">
        <f aca="false">SUMPRODUCT(MMULT(I3079:W3079,_XtX!$B$78:$P$92),I3079:W3079)</f>
        <v>0.501534802174708</v>
      </c>
      <c r="Z3079" s="0" t="n">
        <f aca="false">04_回帰ANOVA!$K$19*04_回帰ANOVA!$K$14*SQRT(1+Y3079)</f>
        <v>1.59722498091333</v>
      </c>
      <c r="AA3079" s="0" t="n">
        <f aca="false">X3079-Z3079</f>
        <v>43.5429111667474</v>
      </c>
      <c r="AB3079" s="0" t="n">
        <f aca="false">X3079+Z3079</f>
        <v>46.7373611285741</v>
      </c>
      <c r="AC3079" s="54" t="b">
        <f aca="false">AND(E3079&gt;=01_因子設定!$L$5-0.000000001,E3079&lt;=01_因子設定!$M$5+0.000000001,F3079&gt;=01_因子設定!$L$6-0.000000001,F3079&lt;=01_因子設定!$M$6+0.000000001,G3079&gt;=01_因子設定!$L$7-0.000000001,G3079&lt;=01_因子設定!$M$7+0.000000001,H3079&gt;=01_因子設定!$L$8-0.000000001,H3079&lt;=01_因子設定!$M$8+0.000000001,IF(01_因子設定!$B$20="Box-Behnken",E3079^2+F3079^2+G3079^2+H3079^2&lt;=2+0.000000001,TRUE()))</f>
        <v>1</v>
      </c>
      <c r="AD3079" s="55" t="n">
        <f aca="false">IF(AC3079,IF(01_因子設定!$B$13="最大化",AA3079-01_因子設定!$B$14,IF(01_因子設定!$B$13="最小化",01_因子設定!$B$15-AB3079,MIN(AA3079-01_因子設定!$B$14,01_因子設定!$B$15-AB3079))),-1E+030)</f>
        <v>-2.95708883325257</v>
      </c>
      <c r="AE3079" s="55" t="n">
        <f aca="false">IF(AC3079,IF(01_因子設定!$B$13="最大化",X3079,IF(01_因子設定!$B$13="最小化",-X3079,-ABS(X3079-01_因子設定!$B$16))),-1E+030)</f>
        <v>45.1401361476608</v>
      </c>
      <c r="AF3079" s="55" t="n">
        <f aca="false">AD3079+ROW()*0.000000001</f>
        <v>-2.95708575425257</v>
      </c>
      <c r="AG3079" s="55" t="n">
        <f aca="false">AE3079+ROW()*0.000000001</f>
        <v>45.1401392266608</v>
      </c>
    </row>
    <row r="3080" customFormat="false" ht="15" hidden="false" customHeight="false" outlineLevel="0" collapsed="false">
      <c r="A3080" s="0" t="n">
        <v>4</v>
      </c>
      <c r="B3080" s="0" t="n">
        <v>1</v>
      </c>
      <c r="C3080" s="0" t="n">
        <v>8</v>
      </c>
      <c r="D3080" s="0" t="n">
        <v>6</v>
      </c>
      <c r="E3080" s="0" t="n">
        <f aca="false">-1+A3080*0.25</f>
        <v>0</v>
      </c>
      <c r="F3080" s="0" t="n">
        <f aca="false">-1+B3080*0.25</f>
        <v>-0.75</v>
      </c>
      <c r="G3080" s="0" t="n">
        <f aca="false">-1+C3080*0.25</f>
        <v>1</v>
      </c>
      <c r="H3080" s="0" t="n">
        <f aca="false">-1+D3080*0.25</f>
        <v>0.5</v>
      </c>
      <c r="I3080" s="0" t="n">
        <f aca="false">1</f>
        <v>1</v>
      </c>
      <c r="J3080" s="0" t="n">
        <f aca="false">E3080</f>
        <v>0</v>
      </c>
      <c r="K3080" s="0" t="n">
        <f aca="false">F3080</f>
        <v>-0.75</v>
      </c>
      <c r="L3080" s="0" t="n">
        <f aca="false">G3080</f>
        <v>1</v>
      </c>
      <c r="M3080" s="0" t="n">
        <f aca="false">H3080</f>
        <v>0.5</v>
      </c>
      <c r="N3080" s="0" t="n">
        <f aca="false">E3080*F3080</f>
        <v>-0</v>
      </c>
      <c r="O3080" s="0" t="n">
        <f aca="false">E3080*G3080</f>
        <v>0</v>
      </c>
      <c r="P3080" s="0" t="n">
        <f aca="false">E3080*H3080</f>
        <v>0</v>
      </c>
      <c r="Q3080" s="0" t="n">
        <f aca="false">F3080*G3080</f>
        <v>-0.75</v>
      </c>
      <c r="R3080" s="0" t="n">
        <f aca="false">F3080*H3080</f>
        <v>-0.375</v>
      </c>
      <c r="S3080" s="0" t="n">
        <f aca="false">G3080*H3080</f>
        <v>0.5</v>
      </c>
      <c r="T3080" s="0" t="n">
        <f aca="false">E3080*E3080</f>
        <v>0</v>
      </c>
      <c r="U3080" s="0" t="n">
        <f aca="false">F3080*F3080</f>
        <v>0.5625</v>
      </c>
      <c r="V3080" s="0" t="n">
        <f aca="false">G3080*G3080</f>
        <v>1</v>
      </c>
      <c r="W3080" s="0" t="n">
        <f aca="false">H3080*H3080</f>
        <v>0.25</v>
      </c>
      <c r="X3080" s="0" t="n">
        <f aca="false">SUMPRODUCT(I3080:W3080,_XtX!$B$96:$P$96)</f>
        <v>45.2815332602339</v>
      </c>
      <c r="Y3080" s="0" t="n">
        <f aca="false">SUMPRODUCT(MMULT(I3080:W3080,_XtX!$B$78:$P$92),I3080:W3080)</f>
        <v>0.476191292032164</v>
      </c>
      <c r="Z3080" s="0" t="n">
        <f aca="false">04_回帰ANOVA!$K$19*04_回帰ANOVA!$K$14*SQRT(1+Y3080)</f>
        <v>1.58368831471718</v>
      </c>
      <c r="AA3080" s="0" t="n">
        <f aca="false">X3080-Z3080</f>
        <v>43.6978449455167</v>
      </c>
      <c r="AB3080" s="0" t="n">
        <f aca="false">X3080+Z3080</f>
        <v>46.865221574951</v>
      </c>
      <c r="AC3080" s="54" t="b">
        <f aca="false">AND(E3080&gt;=01_因子設定!$L$5-0.000000001,E3080&lt;=01_因子設定!$M$5+0.000000001,F3080&gt;=01_因子設定!$L$6-0.000000001,F3080&lt;=01_因子設定!$M$6+0.000000001,G3080&gt;=01_因子設定!$L$7-0.000000001,G3080&lt;=01_因子設定!$M$7+0.000000001,H3080&gt;=01_因子設定!$L$8-0.000000001,H3080&lt;=01_因子設定!$M$8+0.000000001,IF(01_因子設定!$B$20="Box-Behnken",E3080^2+F3080^2+G3080^2+H3080^2&lt;=2+0.000000001,TRUE()))</f>
        <v>1</v>
      </c>
      <c r="AD3080" s="55" t="n">
        <f aca="false">IF(AC3080,IF(01_因子設定!$B$13="最大化",AA3080-01_因子設定!$B$14,IF(01_因子設定!$B$13="最小化",01_因子設定!$B$15-AB3080,MIN(AA3080-01_因子設定!$B$14,01_因子設定!$B$15-AB3080))),-1E+030)</f>
        <v>-2.80215505448331</v>
      </c>
      <c r="AE3080" s="55" t="n">
        <f aca="false">IF(AC3080,IF(01_因子設定!$B$13="最大化",X3080,IF(01_因子設定!$B$13="最小化",-X3080,-ABS(X3080-01_因子設定!$B$16))),-1E+030)</f>
        <v>45.2815332602339</v>
      </c>
      <c r="AF3080" s="55" t="n">
        <f aca="false">AD3080+ROW()*0.000000001</f>
        <v>-2.80215197448331</v>
      </c>
      <c r="AG3080" s="55" t="n">
        <f aca="false">AE3080+ROW()*0.000000001</f>
        <v>45.2815363402339</v>
      </c>
    </row>
    <row r="3081" customFormat="false" ht="15" hidden="false" customHeight="false" outlineLevel="0" collapsed="false">
      <c r="A3081" s="0" t="n">
        <v>4</v>
      </c>
      <c r="B3081" s="0" t="n">
        <v>1</v>
      </c>
      <c r="C3081" s="0" t="n">
        <v>8</v>
      </c>
      <c r="D3081" s="0" t="n">
        <v>7</v>
      </c>
      <c r="E3081" s="0" t="n">
        <f aca="false">-1+A3081*0.25</f>
        <v>0</v>
      </c>
      <c r="F3081" s="0" t="n">
        <f aca="false">-1+B3081*0.25</f>
        <v>-0.75</v>
      </c>
      <c r="G3081" s="0" t="n">
        <f aca="false">-1+C3081*0.25</f>
        <v>1</v>
      </c>
      <c r="H3081" s="0" t="n">
        <f aca="false">-1+D3081*0.25</f>
        <v>0.75</v>
      </c>
      <c r="I3081" s="0" t="n">
        <f aca="false">1</f>
        <v>1</v>
      </c>
      <c r="J3081" s="0" t="n">
        <f aca="false">E3081</f>
        <v>0</v>
      </c>
      <c r="K3081" s="0" t="n">
        <f aca="false">F3081</f>
        <v>-0.75</v>
      </c>
      <c r="L3081" s="0" t="n">
        <f aca="false">G3081</f>
        <v>1</v>
      </c>
      <c r="M3081" s="0" t="n">
        <f aca="false">H3081</f>
        <v>0.75</v>
      </c>
      <c r="N3081" s="0" t="n">
        <f aca="false">E3081*F3081</f>
        <v>-0</v>
      </c>
      <c r="O3081" s="0" t="n">
        <f aca="false">E3081*G3081</f>
        <v>0</v>
      </c>
      <c r="P3081" s="0" t="n">
        <f aca="false">E3081*H3081</f>
        <v>0</v>
      </c>
      <c r="Q3081" s="0" t="n">
        <f aca="false">F3081*G3081</f>
        <v>-0.75</v>
      </c>
      <c r="R3081" s="0" t="n">
        <f aca="false">F3081*H3081</f>
        <v>-0.5625</v>
      </c>
      <c r="S3081" s="0" t="n">
        <f aca="false">G3081*H3081</f>
        <v>0.75</v>
      </c>
      <c r="T3081" s="0" t="n">
        <f aca="false">E3081*E3081</f>
        <v>0</v>
      </c>
      <c r="U3081" s="0" t="n">
        <f aca="false">F3081*F3081</f>
        <v>0.5625</v>
      </c>
      <c r="V3081" s="0" t="n">
        <f aca="false">G3081*G3081</f>
        <v>1</v>
      </c>
      <c r="W3081" s="0" t="n">
        <f aca="false">H3081*H3081</f>
        <v>0.5625</v>
      </c>
      <c r="X3081" s="0" t="n">
        <f aca="false">SUMPRODUCT(I3081:W3081,_XtX!$B$96:$P$96)</f>
        <v>45.3751233552631</v>
      </c>
      <c r="Y3081" s="0" t="n">
        <f aca="false">SUMPRODUCT(MMULT(I3081:W3081,_XtX!$B$78:$P$92),I3081:W3081)</f>
        <v>0.494259126005117</v>
      </c>
      <c r="Z3081" s="0" t="n">
        <f aca="false">04_回帰ANOVA!$K$19*04_回帰ANOVA!$K$14*SQRT(1+Y3081)</f>
        <v>1.59335061078203</v>
      </c>
      <c r="AA3081" s="0" t="n">
        <f aca="false">X3081-Z3081</f>
        <v>43.7817727444811</v>
      </c>
      <c r="AB3081" s="0" t="n">
        <f aca="false">X3081+Z3081</f>
        <v>46.9684739660451</v>
      </c>
      <c r="AC3081" s="54" t="b">
        <f aca="false">AND(E3081&gt;=01_因子設定!$L$5-0.000000001,E3081&lt;=01_因子設定!$M$5+0.000000001,F3081&gt;=01_因子設定!$L$6-0.000000001,F3081&lt;=01_因子設定!$M$6+0.000000001,G3081&gt;=01_因子設定!$L$7-0.000000001,G3081&lt;=01_因子設定!$M$7+0.000000001,H3081&gt;=01_因子設定!$L$8-0.000000001,H3081&lt;=01_因子設定!$M$8+0.000000001,IF(01_因子設定!$B$20="Box-Behnken",E3081^2+F3081^2+G3081^2+H3081^2&lt;=2+0.000000001,TRUE()))</f>
        <v>1</v>
      </c>
      <c r="AD3081" s="55" t="n">
        <f aca="false">IF(AC3081,IF(01_因子設定!$B$13="最大化",AA3081-01_因子設定!$B$14,IF(01_因子設定!$B$13="最小化",01_因子設定!$B$15-AB3081,MIN(AA3081-01_因子設定!$B$14,01_因子設定!$B$15-AB3081))),-1E+030)</f>
        <v>-2.71822725551891</v>
      </c>
      <c r="AE3081" s="55" t="n">
        <f aca="false">IF(AC3081,IF(01_因子設定!$B$13="最大化",X3081,IF(01_因子設定!$B$13="最小化",-X3081,-ABS(X3081-01_因子設定!$B$16))),-1E+030)</f>
        <v>45.3751233552631</v>
      </c>
      <c r="AF3081" s="55" t="n">
        <f aca="false">AD3081+ROW()*0.000000001</f>
        <v>-2.71822417451891</v>
      </c>
      <c r="AG3081" s="55" t="n">
        <f aca="false">AE3081+ROW()*0.000000001</f>
        <v>45.3751264362631</v>
      </c>
    </row>
    <row r="3082" customFormat="false" ht="15" hidden="false" customHeight="false" outlineLevel="0" collapsed="false">
      <c r="A3082" s="0" t="n">
        <v>4</v>
      </c>
      <c r="B3082" s="0" t="n">
        <v>1</v>
      </c>
      <c r="C3082" s="0" t="n">
        <v>8</v>
      </c>
      <c r="D3082" s="0" t="n">
        <v>8</v>
      </c>
      <c r="E3082" s="0" t="n">
        <f aca="false">-1+A3082*0.25</f>
        <v>0</v>
      </c>
      <c r="F3082" s="0" t="n">
        <f aca="false">-1+B3082*0.25</f>
        <v>-0.75</v>
      </c>
      <c r="G3082" s="0" t="n">
        <f aca="false">-1+C3082*0.25</f>
        <v>1</v>
      </c>
      <c r="H3082" s="0" t="n">
        <f aca="false">-1+D3082*0.25</f>
        <v>1</v>
      </c>
      <c r="I3082" s="0" t="n">
        <f aca="false">1</f>
        <v>1</v>
      </c>
      <c r="J3082" s="0" t="n">
        <f aca="false">E3082</f>
        <v>0</v>
      </c>
      <c r="K3082" s="0" t="n">
        <f aca="false">F3082</f>
        <v>-0.75</v>
      </c>
      <c r="L3082" s="0" t="n">
        <f aca="false">G3082</f>
        <v>1</v>
      </c>
      <c r="M3082" s="0" t="n">
        <f aca="false">H3082</f>
        <v>1</v>
      </c>
      <c r="N3082" s="0" t="n">
        <f aca="false">E3082*F3082</f>
        <v>-0</v>
      </c>
      <c r="O3082" s="0" t="n">
        <f aca="false">E3082*G3082</f>
        <v>0</v>
      </c>
      <c r="P3082" s="0" t="n">
        <f aca="false">E3082*H3082</f>
        <v>0</v>
      </c>
      <c r="Q3082" s="0" t="n">
        <f aca="false">F3082*G3082</f>
        <v>-0.75</v>
      </c>
      <c r="R3082" s="0" t="n">
        <f aca="false">F3082*H3082</f>
        <v>-0.75</v>
      </c>
      <c r="S3082" s="0" t="n">
        <f aca="false">G3082*H3082</f>
        <v>1</v>
      </c>
      <c r="T3082" s="0" t="n">
        <f aca="false">E3082*E3082</f>
        <v>0</v>
      </c>
      <c r="U3082" s="0" t="n">
        <f aca="false">F3082*F3082</f>
        <v>0.5625</v>
      </c>
      <c r="V3082" s="0" t="n">
        <f aca="false">G3082*G3082</f>
        <v>1</v>
      </c>
      <c r="W3082" s="0" t="n">
        <f aca="false">H3082*H3082</f>
        <v>1</v>
      </c>
      <c r="X3082" s="0" t="n">
        <f aca="false">SUMPRODUCT(I3082:W3082,_XtX!$B$96:$P$96)</f>
        <v>45.4209064327485</v>
      </c>
      <c r="Y3082" s="0" t="n">
        <f aca="false">SUMPRODUCT(MMULT(I3082:W3082,_XtX!$B$78:$P$92),I3082:W3082)</f>
        <v>0.646198830409357</v>
      </c>
      <c r="Z3082" s="0" t="n">
        <f aca="false">04_回帰ANOVA!$K$19*04_回帰ANOVA!$K$14*SQRT(1+Y3082)</f>
        <v>1.67239760569756</v>
      </c>
      <c r="AA3082" s="0" t="n">
        <f aca="false">X3082-Z3082</f>
        <v>43.748508827051</v>
      </c>
      <c r="AB3082" s="0" t="n">
        <f aca="false">X3082+Z3082</f>
        <v>47.0933040384461</v>
      </c>
      <c r="AC3082" s="54" t="b">
        <f aca="false">AND(E3082&gt;=01_因子設定!$L$5-0.000000001,E3082&lt;=01_因子設定!$M$5+0.000000001,F3082&gt;=01_因子設定!$L$6-0.000000001,F3082&lt;=01_因子設定!$M$6+0.000000001,G3082&gt;=01_因子設定!$L$7-0.000000001,G3082&lt;=01_因子設定!$M$7+0.000000001,H3082&gt;=01_因子設定!$L$8-0.000000001,H3082&lt;=01_因子設定!$M$8+0.000000001,IF(01_因子設定!$B$20="Box-Behnken",E3082^2+F3082^2+G3082^2+H3082^2&lt;=2+0.000000001,TRUE()))</f>
        <v>1</v>
      </c>
      <c r="AD3082" s="55" t="n">
        <f aca="false">IF(AC3082,IF(01_因子設定!$B$13="最大化",AA3082-01_因子設定!$B$14,IF(01_因子設定!$B$13="最小化",01_因子設定!$B$15-AB3082,MIN(AA3082-01_因子設定!$B$14,01_因子設定!$B$15-AB3082))),-1E+030)</f>
        <v>-2.75149117294905</v>
      </c>
      <c r="AE3082" s="55" t="n">
        <f aca="false">IF(AC3082,IF(01_因子設定!$B$13="最大化",X3082,IF(01_因子設定!$B$13="最小化",-X3082,-ABS(X3082-01_因子設定!$B$16))),-1E+030)</f>
        <v>45.4209064327485</v>
      </c>
      <c r="AF3082" s="55" t="n">
        <f aca="false">AD3082+ROW()*0.000000001</f>
        <v>-2.75148809094905</v>
      </c>
      <c r="AG3082" s="55" t="n">
        <f aca="false">AE3082+ROW()*0.000000001</f>
        <v>45.4209095147485</v>
      </c>
    </row>
    <row r="3083" customFormat="false" ht="15" hidden="false" customHeight="false" outlineLevel="0" collapsed="false">
      <c r="A3083" s="0" t="n">
        <v>4</v>
      </c>
      <c r="B3083" s="0" t="n">
        <v>2</v>
      </c>
      <c r="C3083" s="0" t="n">
        <v>0</v>
      </c>
      <c r="D3083" s="0" t="n">
        <v>0</v>
      </c>
      <c r="E3083" s="0" t="n">
        <f aca="false">-1+A3083*0.25</f>
        <v>0</v>
      </c>
      <c r="F3083" s="0" t="n">
        <f aca="false">-1+B3083*0.25</f>
        <v>-0.5</v>
      </c>
      <c r="G3083" s="0" t="n">
        <f aca="false">-1+C3083*0.25</f>
        <v>-1</v>
      </c>
      <c r="H3083" s="0" t="n">
        <f aca="false">-1+D3083*0.25</f>
        <v>-1</v>
      </c>
      <c r="I3083" s="0" t="n">
        <f aca="false">1</f>
        <v>1</v>
      </c>
      <c r="J3083" s="0" t="n">
        <f aca="false">E3083</f>
        <v>0</v>
      </c>
      <c r="K3083" s="0" t="n">
        <f aca="false">F3083</f>
        <v>-0.5</v>
      </c>
      <c r="L3083" s="0" t="n">
        <f aca="false">G3083</f>
        <v>-1</v>
      </c>
      <c r="M3083" s="0" t="n">
        <f aca="false">H3083</f>
        <v>-1</v>
      </c>
      <c r="N3083" s="0" t="n">
        <f aca="false">E3083*F3083</f>
        <v>-0</v>
      </c>
      <c r="O3083" s="0" t="n">
        <f aca="false">E3083*G3083</f>
        <v>-0</v>
      </c>
      <c r="P3083" s="0" t="n">
        <f aca="false">E3083*H3083</f>
        <v>-0</v>
      </c>
      <c r="Q3083" s="0" t="n">
        <f aca="false">F3083*G3083</f>
        <v>0.5</v>
      </c>
      <c r="R3083" s="0" t="n">
        <f aca="false">F3083*H3083</f>
        <v>0.5</v>
      </c>
      <c r="S3083" s="0" t="n">
        <f aca="false">G3083*H3083</f>
        <v>1</v>
      </c>
      <c r="T3083" s="0" t="n">
        <f aca="false">E3083*E3083</f>
        <v>0</v>
      </c>
      <c r="U3083" s="0" t="n">
        <f aca="false">F3083*F3083</f>
        <v>0.25</v>
      </c>
      <c r="V3083" s="0" t="n">
        <f aca="false">G3083*G3083</f>
        <v>1</v>
      </c>
      <c r="W3083" s="0" t="n">
        <f aca="false">H3083*H3083</f>
        <v>1</v>
      </c>
      <c r="X3083" s="0" t="n">
        <f aca="false">SUMPRODUCT(I3083:W3083,_XtX!$B$96:$P$96)</f>
        <v>44.0987573099415</v>
      </c>
      <c r="Y3083" s="0" t="n">
        <f aca="false">SUMPRODUCT(MMULT(I3083:W3083,_XtX!$B$78:$P$92),I3083:W3083)</f>
        <v>0.650767543859649</v>
      </c>
      <c r="Z3083" s="0" t="n">
        <f aca="false">04_回帰ANOVA!$K$19*04_回帰ANOVA!$K$14*SQRT(1+Y3083)</f>
        <v>1.67471670935165</v>
      </c>
      <c r="AA3083" s="0" t="n">
        <f aca="false">X3083-Z3083</f>
        <v>42.4240406005899</v>
      </c>
      <c r="AB3083" s="0" t="n">
        <f aca="false">X3083+Z3083</f>
        <v>45.7734740192932</v>
      </c>
      <c r="AC3083" s="54" t="b">
        <f aca="false">AND(E3083&gt;=01_因子設定!$L$5-0.000000001,E3083&lt;=01_因子設定!$M$5+0.000000001,F3083&gt;=01_因子設定!$L$6-0.000000001,F3083&lt;=01_因子設定!$M$6+0.000000001,G3083&gt;=01_因子設定!$L$7-0.000000001,G3083&lt;=01_因子設定!$M$7+0.000000001,H3083&gt;=01_因子設定!$L$8-0.000000001,H3083&lt;=01_因子設定!$M$8+0.000000001,IF(01_因子設定!$B$20="Box-Behnken",E3083^2+F3083^2+G3083^2+H3083^2&lt;=2+0.000000001,TRUE()))</f>
        <v>1</v>
      </c>
      <c r="AD3083" s="55" t="n">
        <f aca="false">IF(AC3083,IF(01_因子設定!$B$13="最大化",AA3083-01_因子設定!$B$14,IF(01_因子設定!$B$13="最小化",01_因子設定!$B$15-AB3083,MIN(AA3083-01_因子設定!$B$14,01_因子設定!$B$15-AB3083))),-1E+030)</f>
        <v>-4.07595939941015</v>
      </c>
      <c r="AE3083" s="55" t="n">
        <f aca="false">IF(AC3083,IF(01_因子設定!$B$13="最大化",X3083,IF(01_因子設定!$B$13="最小化",-X3083,-ABS(X3083-01_因子設定!$B$16))),-1E+030)</f>
        <v>44.0987573099415</v>
      </c>
      <c r="AF3083" s="55" t="n">
        <f aca="false">AD3083+ROW()*0.000000001</f>
        <v>-4.07595631641015</v>
      </c>
      <c r="AG3083" s="55" t="n">
        <f aca="false">AE3083+ROW()*0.000000001</f>
        <v>44.0987603929415</v>
      </c>
    </row>
    <row r="3084" customFormat="false" ht="15" hidden="false" customHeight="false" outlineLevel="0" collapsed="false">
      <c r="A3084" s="0" t="n">
        <v>4</v>
      </c>
      <c r="B3084" s="0" t="n">
        <v>2</v>
      </c>
      <c r="C3084" s="0" t="n">
        <v>0</v>
      </c>
      <c r="D3084" s="0" t="n">
        <v>1</v>
      </c>
      <c r="E3084" s="0" t="n">
        <f aca="false">-1+A3084*0.25</f>
        <v>0</v>
      </c>
      <c r="F3084" s="0" t="n">
        <f aca="false">-1+B3084*0.25</f>
        <v>-0.5</v>
      </c>
      <c r="G3084" s="0" t="n">
        <f aca="false">-1+C3084*0.25</f>
        <v>-1</v>
      </c>
      <c r="H3084" s="0" t="n">
        <f aca="false">-1+D3084*0.25</f>
        <v>-0.75</v>
      </c>
      <c r="I3084" s="0" t="n">
        <f aca="false">1</f>
        <v>1</v>
      </c>
      <c r="J3084" s="0" t="n">
        <f aca="false">E3084</f>
        <v>0</v>
      </c>
      <c r="K3084" s="0" t="n">
        <f aca="false">F3084</f>
        <v>-0.5</v>
      </c>
      <c r="L3084" s="0" t="n">
        <f aca="false">G3084</f>
        <v>-1</v>
      </c>
      <c r="M3084" s="0" t="n">
        <f aca="false">H3084</f>
        <v>-0.75</v>
      </c>
      <c r="N3084" s="0" t="n">
        <f aca="false">E3084*F3084</f>
        <v>-0</v>
      </c>
      <c r="O3084" s="0" t="n">
        <f aca="false">E3084*G3084</f>
        <v>-0</v>
      </c>
      <c r="P3084" s="0" t="n">
        <f aca="false">E3084*H3084</f>
        <v>-0</v>
      </c>
      <c r="Q3084" s="0" t="n">
        <f aca="false">F3084*G3084</f>
        <v>0.5</v>
      </c>
      <c r="R3084" s="0" t="n">
        <f aca="false">F3084*H3084</f>
        <v>0.375</v>
      </c>
      <c r="S3084" s="0" t="n">
        <f aca="false">G3084*H3084</f>
        <v>0.75</v>
      </c>
      <c r="T3084" s="0" t="n">
        <f aca="false">E3084*E3084</f>
        <v>0</v>
      </c>
      <c r="U3084" s="0" t="n">
        <f aca="false">F3084*F3084</f>
        <v>0.25</v>
      </c>
      <c r="V3084" s="0" t="n">
        <f aca="false">G3084*G3084</f>
        <v>1</v>
      </c>
      <c r="W3084" s="0" t="n">
        <f aca="false">H3084*H3084</f>
        <v>0.5625</v>
      </c>
      <c r="X3084" s="0" t="n">
        <f aca="false">SUMPRODUCT(I3084:W3084,_XtX!$B$96:$P$96)</f>
        <v>44.3221582602339</v>
      </c>
      <c r="Y3084" s="0" t="n">
        <f aca="false">SUMPRODUCT(MMULT(I3084:W3084,_XtX!$B$78:$P$92),I3084:W3084)</f>
        <v>0.476191292032164</v>
      </c>
      <c r="Z3084" s="0" t="n">
        <f aca="false">04_回帰ANOVA!$K$19*04_回帰ANOVA!$K$14*SQRT(1+Y3084)</f>
        <v>1.58368831471718</v>
      </c>
      <c r="AA3084" s="0" t="n">
        <f aca="false">X3084-Z3084</f>
        <v>42.7384699455167</v>
      </c>
      <c r="AB3084" s="0" t="n">
        <f aca="false">X3084+Z3084</f>
        <v>45.9058465749511</v>
      </c>
      <c r="AC3084" s="54" t="b">
        <f aca="false">AND(E3084&gt;=01_因子設定!$L$5-0.000000001,E3084&lt;=01_因子設定!$M$5+0.000000001,F3084&gt;=01_因子設定!$L$6-0.000000001,F3084&lt;=01_因子設定!$M$6+0.000000001,G3084&gt;=01_因子設定!$L$7-0.000000001,G3084&lt;=01_因子設定!$M$7+0.000000001,H3084&gt;=01_因子設定!$L$8-0.000000001,H3084&lt;=01_因子設定!$M$8+0.000000001,IF(01_因子設定!$B$20="Box-Behnken",E3084^2+F3084^2+G3084^2+H3084^2&lt;=2+0.000000001,TRUE()))</f>
        <v>1</v>
      </c>
      <c r="AD3084" s="55" t="n">
        <f aca="false">IF(AC3084,IF(01_因子設定!$B$13="最大化",AA3084-01_因子設定!$B$14,IF(01_因子設定!$B$13="最小化",01_因子設定!$B$15-AB3084,MIN(AA3084-01_因子設定!$B$14,01_因子設定!$B$15-AB3084))),-1E+030)</f>
        <v>-3.7615300544833</v>
      </c>
      <c r="AE3084" s="55" t="n">
        <f aca="false">IF(AC3084,IF(01_因子設定!$B$13="最大化",X3084,IF(01_因子設定!$B$13="最小化",-X3084,-ABS(X3084-01_因子設定!$B$16))),-1E+030)</f>
        <v>44.3221582602339</v>
      </c>
      <c r="AF3084" s="55" t="n">
        <f aca="false">AD3084+ROW()*0.000000001</f>
        <v>-3.7615269704833</v>
      </c>
      <c r="AG3084" s="55" t="n">
        <f aca="false">AE3084+ROW()*0.000000001</f>
        <v>44.3221613442339</v>
      </c>
    </row>
    <row r="3085" customFormat="false" ht="15" hidden="false" customHeight="false" outlineLevel="0" collapsed="false">
      <c r="A3085" s="0" t="n">
        <v>4</v>
      </c>
      <c r="B3085" s="0" t="n">
        <v>2</v>
      </c>
      <c r="C3085" s="0" t="n">
        <v>0</v>
      </c>
      <c r="D3085" s="0" t="n">
        <v>2</v>
      </c>
      <c r="E3085" s="0" t="n">
        <f aca="false">-1+A3085*0.25</f>
        <v>0</v>
      </c>
      <c r="F3085" s="0" t="n">
        <f aca="false">-1+B3085*0.25</f>
        <v>-0.5</v>
      </c>
      <c r="G3085" s="0" t="n">
        <f aca="false">-1+C3085*0.25</f>
        <v>-1</v>
      </c>
      <c r="H3085" s="0" t="n">
        <f aca="false">-1+D3085*0.25</f>
        <v>-0.5</v>
      </c>
      <c r="I3085" s="0" t="n">
        <f aca="false">1</f>
        <v>1</v>
      </c>
      <c r="J3085" s="0" t="n">
        <f aca="false">E3085</f>
        <v>0</v>
      </c>
      <c r="K3085" s="0" t="n">
        <f aca="false">F3085</f>
        <v>-0.5</v>
      </c>
      <c r="L3085" s="0" t="n">
        <f aca="false">G3085</f>
        <v>-1</v>
      </c>
      <c r="M3085" s="0" t="n">
        <f aca="false">H3085</f>
        <v>-0.5</v>
      </c>
      <c r="N3085" s="0" t="n">
        <f aca="false">E3085*F3085</f>
        <v>-0</v>
      </c>
      <c r="O3085" s="0" t="n">
        <f aca="false">E3085*G3085</f>
        <v>-0</v>
      </c>
      <c r="P3085" s="0" t="n">
        <f aca="false">E3085*H3085</f>
        <v>-0</v>
      </c>
      <c r="Q3085" s="0" t="n">
        <f aca="false">F3085*G3085</f>
        <v>0.5</v>
      </c>
      <c r="R3085" s="0" t="n">
        <f aca="false">F3085*H3085</f>
        <v>0.25</v>
      </c>
      <c r="S3085" s="0" t="n">
        <f aca="false">G3085*H3085</f>
        <v>0.5</v>
      </c>
      <c r="T3085" s="0" t="n">
        <f aca="false">E3085*E3085</f>
        <v>0</v>
      </c>
      <c r="U3085" s="0" t="n">
        <f aca="false">F3085*F3085</f>
        <v>0.25</v>
      </c>
      <c r="V3085" s="0" t="n">
        <f aca="false">G3085*G3085</f>
        <v>1</v>
      </c>
      <c r="W3085" s="0" t="n">
        <f aca="false">H3085*H3085</f>
        <v>0.25</v>
      </c>
      <c r="X3085" s="0" t="n">
        <f aca="false">SUMPRODUCT(I3085:W3085,_XtX!$B$96:$P$96)</f>
        <v>44.4977521929824</v>
      </c>
      <c r="Y3085" s="0" t="n">
        <f aca="false">SUMPRODUCT(MMULT(I3085:W3085,_XtX!$B$78:$P$92),I3085:W3085)</f>
        <v>0.441954495614035</v>
      </c>
      <c r="Z3085" s="0" t="n">
        <f aca="false">04_回帰ANOVA!$K$19*04_回帰ANOVA!$K$14*SQRT(1+Y3085)</f>
        <v>1.56521560968066</v>
      </c>
      <c r="AA3085" s="0" t="n">
        <f aca="false">X3085-Z3085</f>
        <v>42.9325365833017</v>
      </c>
      <c r="AB3085" s="0" t="n">
        <f aca="false">X3085+Z3085</f>
        <v>46.0629678026631</v>
      </c>
      <c r="AC3085" s="54" t="b">
        <f aca="false">AND(E3085&gt;=01_因子設定!$L$5-0.000000001,E3085&lt;=01_因子設定!$M$5+0.000000001,F3085&gt;=01_因子設定!$L$6-0.000000001,F3085&lt;=01_因子設定!$M$6+0.000000001,G3085&gt;=01_因子設定!$L$7-0.000000001,G3085&lt;=01_因子設定!$M$7+0.000000001,H3085&gt;=01_因子設定!$L$8-0.000000001,H3085&lt;=01_因子設定!$M$8+0.000000001,IF(01_因子設定!$B$20="Box-Behnken",E3085^2+F3085^2+G3085^2+H3085^2&lt;=2+0.000000001,TRUE()))</f>
        <v>1</v>
      </c>
      <c r="AD3085" s="55" t="n">
        <f aca="false">IF(AC3085,IF(01_因子設定!$B$13="最大化",AA3085-01_因子設定!$B$14,IF(01_因子設定!$B$13="最小化",01_因子設定!$B$15-AB3085,MIN(AA3085-01_因子設定!$B$14,01_因子設定!$B$15-AB3085))),-1E+030)</f>
        <v>-3.56746341669826</v>
      </c>
      <c r="AE3085" s="55" t="n">
        <f aca="false">IF(AC3085,IF(01_因子設定!$B$13="最大化",X3085,IF(01_因子設定!$B$13="最小化",-X3085,-ABS(X3085-01_因子設定!$B$16))),-1E+030)</f>
        <v>44.4977521929824</v>
      </c>
      <c r="AF3085" s="55" t="n">
        <f aca="false">AD3085+ROW()*0.000000001</f>
        <v>-3.56746033169826</v>
      </c>
      <c r="AG3085" s="55" t="n">
        <f aca="false">AE3085+ROW()*0.000000001</f>
        <v>44.4977552779824</v>
      </c>
    </row>
    <row r="3086" customFormat="false" ht="15" hidden="false" customHeight="false" outlineLevel="0" collapsed="false">
      <c r="A3086" s="0" t="n">
        <v>4</v>
      </c>
      <c r="B3086" s="0" t="n">
        <v>2</v>
      </c>
      <c r="C3086" s="0" t="n">
        <v>0</v>
      </c>
      <c r="D3086" s="0" t="n">
        <v>3</v>
      </c>
      <c r="E3086" s="0" t="n">
        <f aca="false">-1+A3086*0.25</f>
        <v>0</v>
      </c>
      <c r="F3086" s="0" t="n">
        <f aca="false">-1+B3086*0.25</f>
        <v>-0.5</v>
      </c>
      <c r="G3086" s="0" t="n">
        <f aca="false">-1+C3086*0.25</f>
        <v>-1</v>
      </c>
      <c r="H3086" s="0" t="n">
        <f aca="false">-1+D3086*0.25</f>
        <v>-0.25</v>
      </c>
      <c r="I3086" s="0" t="n">
        <f aca="false">1</f>
        <v>1</v>
      </c>
      <c r="J3086" s="0" t="n">
        <f aca="false">E3086</f>
        <v>0</v>
      </c>
      <c r="K3086" s="0" t="n">
        <f aca="false">F3086</f>
        <v>-0.5</v>
      </c>
      <c r="L3086" s="0" t="n">
        <f aca="false">G3086</f>
        <v>-1</v>
      </c>
      <c r="M3086" s="0" t="n">
        <f aca="false">H3086</f>
        <v>-0.25</v>
      </c>
      <c r="N3086" s="0" t="n">
        <f aca="false">E3086*F3086</f>
        <v>-0</v>
      </c>
      <c r="O3086" s="0" t="n">
        <f aca="false">E3086*G3086</f>
        <v>-0</v>
      </c>
      <c r="P3086" s="0" t="n">
        <f aca="false">E3086*H3086</f>
        <v>-0</v>
      </c>
      <c r="Q3086" s="0" t="n">
        <f aca="false">F3086*G3086</f>
        <v>0.5</v>
      </c>
      <c r="R3086" s="0" t="n">
        <f aca="false">F3086*H3086</f>
        <v>0.125</v>
      </c>
      <c r="S3086" s="0" t="n">
        <f aca="false">G3086*H3086</f>
        <v>0.25</v>
      </c>
      <c r="T3086" s="0" t="n">
        <f aca="false">E3086*E3086</f>
        <v>0</v>
      </c>
      <c r="U3086" s="0" t="n">
        <f aca="false">F3086*F3086</f>
        <v>0.25</v>
      </c>
      <c r="V3086" s="0" t="n">
        <f aca="false">G3086*G3086</f>
        <v>1</v>
      </c>
      <c r="W3086" s="0" t="n">
        <f aca="false">H3086*H3086</f>
        <v>0.0625</v>
      </c>
      <c r="X3086" s="0" t="n">
        <f aca="false">SUMPRODUCT(I3086:W3086,_XtX!$B$96:$P$96)</f>
        <v>44.6255391081871</v>
      </c>
      <c r="Y3086" s="0" t="n">
        <f aca="false">SUMPRODUCT(MMULT(I3086:W3086,_XtX!$B$78:$P$92),I3086:W3086)</f>
        <v>0.457596628289474</v>
      </c>
      <c r="Z3086" s="0" t="n">
        <f aca="false">04_回帰ANOVA!$K$19*04_回帰ANOVA!$K$14*SQRT(1+Y3086)</f>
        <v>1.57368233664366</v>
      </c>
      <c r="AA3086" s="0" t="n">
        <f aca="false">X3086-Z3086</f>
        <v>43.0518567715434</v>
      </c>
      <c r="AB3086" s="0" t="n">
        <f aca="false">X3086+Z3086</f>
        <v>46.1992214448307</v>
      </c>
      <c r="AC3086" s="54" t="b">
        <f aca="false">AND(E3086&gt;=01_因子設定!$L$5-0.000000001,E3086&lt;=01_因子設定!$M$5+0.000000001,F3086&gt;=01_因子設定!$L$6-0.000000001,F3086&lt;=01_因子設定!$M$6+0.000000001,G3086&gt;=01_因子設定!$L$7-0.000000001,G3086&lt;=01_因子設定!$M$7+0.000000001,H3086&gt;=01_因子設定!$L$8-0.000000001,H3086&lt;=01_因子設定!$M$8+0.000000001,IF(01_因子設定!$B$20="Box-Behnken",E3086^2+F3086^2+G3086^2+H3086^2&lt;=2+0.000000001,TRUE()))</f>
        <v>1</v>
      </c>
      <c r="AD3086" s="55" t="n">
        <f aca="false">IF(AC3086,IF(01_因子設定!$B$13="最大化",AA3086-01_因子設定!$B$14,IF(01_因子設定!$B$13="最小化",01_因子設定!$B$15-AB3086,MIN(AA3086-01_因子設定!$B$14,01_因子設定!$B$15-AB3086))),-1E+030)</f>
        <v>-3.44814322845658</v>
      </c>
      <c r="AE3086" s="55" t="n">
        <f aca="false">IF(AC3086,IF(01_因子設定!$B$13="最大化",X3086,IF(01_因子設定!$B$13="最小化",-X3086,-ABS(X3086-01_因子設定!$B$16))),-1E+030)</f>
        <v>44.6255391081871</v>
      </c>
      <c r="AF3086" s="55" t="n">
        <f aca="false">AD3086+ROW()*0.000000001</f>
        <v>-3.44814014245658</v>
      </c>
      <c r="AG3086" s="55" t="n">
        <f aca="false">AE3086+ROW()*0.000000001</f>
        <v>44.6255421941871</v>
      </c>
    </row>
    <row r="3087" customFormat="false" ht="15" hidden="false" customHeight="false" outlineLevel="0" collapsed="false">
      <c r="A3087" s="0" t="n">
        <v>4</v>
      </c>
      <c r="B3087" s="0" t="n">
        <v>2</v>
      </c>
      <c r="C3087" s="0" t="n">
        <v>0</v>
      </c>
      <c r="D3087" s="0" t="n">
        <v>4</v>
      </c>
      <c r="E3087" s="0" t="n">
        <f aca="false">-1+A3087*0.25</f>
        <v>0</v>
      </c>
      <c r="F3087" s="0" t="n">
        <f aca="false">-1+B3087*0.25</f>
        <v>-0.5</v>
      </c>
      <c r="G3087" s="0" t="n">
        <f aca="false">-1+C3087*0.25</f>
        <v>-1</v>
      </c>
      <c r="H3087" s="0" t="n">
        <f aca="false">-1+D3087*0.25</f>
        <v>0</v>
      </c>
      <c r="I3087" s="0" t="n">
        <f aca="false">1</f>
        <v>1</v>
      </c>
      <c r="J3087" s="0" t="n">
        <f aca="false">E3087</f>
        <v>0</v>
      </c>
      <c r="K3087" s="0" t="n">
        <f aca="false">F3087</f>
        <v>-0.5</v>
      </c>
      <c r="L3087" s="0" t="n">
        <f aca="false">G3087</f>
        <v>-1</v>
      </c>
      <c r="M3087" s="0" t="n">
        <f aca="false">H3087</f>
        <v>0</v>
      </c>
      <c r="N3087" s="0" t="n">
        <f aca="false">E3087*F3087</f>
        <v>-0</v>
      </c>
      <c r="O3087" s="0" t="n">
        <f aca="false">E3087*G3087</f>
        <v>-0</v>
      </c>
      <c r="P3087" s="0" t="n">
        <f aca="false">E3087*H3087</f>
        <v>0</v>
      </c>
      <c r="Q3087" s="0" t="n">
        <f aca="false">F3087*G3087</f>
        <v>0.5</v>
      </c>
      <c r="R3087" s="0" t="n">
        <f aca="false">F3087*H3087</f>
        <v>-0</v>
      </c>
      <c r="S3087" s="0" t="n">
        <f aca="false">G3087*H3087</f>
        <v>-0</v>
      </c>
      <c r="T3087" s="0" t="n">
        <f aca="false">E3087*E3087</f>
        <v>0</v>
      </c>
      <c r="U3087" s="0" t="n">
        <f aca="false">F3087*F3087</f>
        <v>0.25</v>
      </c>
      <c r="V3087" s="0" t="n">
        <f aca="false">G3087*G3087</f>
        <v>1</v>
      </c>
      <c r="W3087" s="0" t="n">
        <f aca="false">H3087*H3087</f>
        <v>0</v>
      </c>
      <c r="X3087" s="0" t="n">
        <f aca="false">SUMPRODUCT(I3087:W3087,_XtX!$B$96:$P$96)</f>
        <v>44.7055190058479</v>
      </c>
      <c r="Y3087" s="0" t="n">
        <f aca="false">SUMPRODUCT(MMULT(I3087:W3087,_XtX!$B$78:$P$92),I3087:W3087)</f>
        <v>0.468841374269006</v>
      </c>
      <c r="Z3087" s="0" t="n">
        <f aca="false">04_回帰ANOVA!$K$19*04_回帰ANOVA!$K$14*SQRT(1+Y3087)</f>
        <v>1.57974082366087</v>
      </c>
      <c r="AA3087" s="0" t="n">
        <f aca="false">X3087-Z3087</f>
        <v>43.125778182187</v>
      </c>
      <c r="AB3087" s="0" t="n">
        <f aca="false">X3087+Z3087</f>
        <v>46.2852598295088</v>
      </c>
      <c r="AC3087" s="54" t="b">
        <f aca="false">AND(E3087&gt;=01_因子設定!$L$5-0.000000001,E3087&lt;=01_因子設定!$M$5+0.000000001,F3087&gt;=01_因子設定!$L$6-0.000000001,F3087&lt;=01_因子設定!$M$6+0.000000001,G3087&gt;=01_因子設定!$L$7-0.000000001,G3087&lt;=01_因子設定!$M$7+0.000000001,H3087&gt;=01_因子設定!$L$8-0.000000001,H3087&lt;=01_因子設定!$M$8+0.000000001,IF(01_因子設定!$B$20="Box-Behnken",E3087^2+F3087^2+G3087^2+H3087^2&lt;=2+0.000000001,TRUE()))</f>
        <v>1</v>
      </c>
      <c r="AD3087" s="55" t="n">
        <f aca="false">IF(AC3087,IF(01_因子設定!$B$13="最大化",AA3087-01_因子設定!$B$14,IF(01_因子設定!$B$13="最小化",01_因子設定!$B$15-AB3087,MIN(AA3087-01_因子設定!$B$14,01_因子設定!$B$15-AB3087))),-1E+030)</f>
        <v>-3.37422181781299</v>
      </c>
      <c r="AE3087" s="55" t="n">
        <f aca="false">IF(AC3087,IF(01_因子設定!$B$13="最大化",X3087,IF(01_因子設定!$B$13="最小化",-X3087,-ABS(X3087-01_因子設定!$B$16))),-1E+030)</f>
        <v>44.7055190058479</v>
      </c>
      <c r="AF3087" s="55" t="n">
        <f aca="false">AD3087+ROW()*0.000000001</f>
        <v>-3.37421873081299</v>
      </c>
      <c r="AG3087" s="55" t="n">
        <f aca="false">AE3087+ROW()*0.000000001</f>
        <v>44.7055220928479</v>
      </c>
    </row>
    <row r="3088" customFormat="false" ht="15" hidden="false" customHeight="false" outlineLevel="0" collapsed="false">
      <c r="A3088" s="0" t="n">
        <v>4</v>
      </c>
      <c r="B3088" s="0" t="n">
        <v>2</v>
      </c>
      <c r="C3088" s="0" t="n">
        <v>0</v>
      </c>
      <c r="D3088" s="0" t="n">
        <v>5</v>
      </c>
      <c r="E3088" s="0" t="n">
        <f aca="false">-1+A3088*0.25</f>
        <v>0</v>
      </c>
      <c r="F3088" s="0" t="n">
        <f aca="false">-1+B3088*0.25</f>
        <v>-0.5</v>
      </c>
      <c r="G3088" s="0" t="n">
        <f aca="false">-1+C3088*0.25</f>
        <v>-1</v>
      </c>
      <c r="H3088" s="0" t="n">
        <f aca="false">-1+D3088*0.25</f>
        <v>0.25</v>
      </c>
      <c r="I3088" s="0" t="n">
        <f aca="false">1</f>
        <v>1</v>
      </c>
      <c r="J3088" s="0" t="n">
        <f aca="false">E3088</f>
        <v>0</v>
      </c>
      <c r="K3088" s="0" t="n">
        <f aca="false">F3088</f>
        <v>-0.5</v>
      </c>
      <c r="L3088" s="0" t="n">
        <f aca="false">G3088</f>
        <v>-1</v>
      </c>
      <c r="M3088" s="0" t="n">
        <f aca="false">H3088</f>
        <v>0.25</v>
      </c>
      <c r="N3088" s="0" t="n">
        <f aca="false">E3088*F3088</f>
        <v>-0</v>
      </c>
      <c r="O3088" s="0" t="n">
        <f aca="false">E3088*G3088</f>
        <v>-0</v>
      </c>
      <c r="P3088" s="0" t="n">
        <f aca="false">E3088*H3088</f>
        <v>0</v>
      </c>
      <c r="Q3088" s="0" t="n">
        <f aca="false">F3088*G3088</f>
        <v>0.5</v>
      </c>
      <c r="R3088" s="0" t="n">
        <f aca="false">F3088*H3088</f>
        <v>-0.125</v>
      </c>
      <c r="S3088" s="0" t="n">
        <f aca="false">G3088*H3088</f>
        <v>-0.25</v>
      </c>
      <c r="T3088" s="0" t="n">
        <f aca="false">E3088*E3088</f>
        <v>0</v>
      </c>
      <c r="U3088" s="0" t="n">
        <f aca="false">F3088*F3088</f>
        <v>0.25</v>
      </c>
      <c r="V3088" s="0" t="n">
        <f aca="false">G3088*G3088</f>
        <v>1</v>
      </c>
      <c r="W3088" s="0" t="n">
        <f aca="false">H3088*H3088</f>
        <v>0.0625</v>
      </c>
      <c r="X3088" s="0" t="n">
        <f aca="false">SUMPRODUCT(I3088:W3088,_XtX!$B$96:$P$96)</f>
        <v>44.7376918859649</v>
      </c>
      <c r="Y3088" s="0" t="n">
        <f aca="false">SUMPRODUCT(MMULT(I3088:W3088,_XtX!$B$78:$P$92),I3088:W3088)</f>
        <v>0.457596628289474</v>
      </c>
      <c r="Z3088" s="0" t="n">
        <f aca="false">04_回帰ANOVA!$K$19*04_回帰ANOVA!$K$14*SQRT(1+Y3088)</f>
        <v>1.57368233664366</v>
      </c>
      <c r="AA3088" s="0" t="n">
        <f aca="false">X3088-Z3088</f>
        <v>43.1640095493212</v>
      </c>
      <c r="AB3088" s="0" t="n">
        <f aca="false">X3088+Z3088</f>
        <v>46.3113742226085</v>
      </c>
      <c r="AC3088" s="54" t="b">
        <f aca="false">AND(E3088&gt;=01_因子設定!$L$5-0.000000001,E3088&lt;=01_因子設定!$M$5+0.000000001,F3088&gt;=01_因子設定!$L$6-0.000000001,F3088&lt;=01_因子設定!$M$6+0.000000001,G3088&gt;=01_因子設定!$L$7-0.000000001,G3088&lt;=01_因子設定!$M$7+0.000000001,H3088&gt;=01_因子設定!$L$8-0.000000001,H3088&lt;=01_因子設定!$M$8+0.000000001,IF(01_因子設定!$B$20="Box-Behnken",E3088^2+F3088^2+G3088^2+H3088^2&lt;=2+0.000000001,TRUE()))</f>
        <v>1</v>
      </c>
      <c r="AD3088" s="55" t="n">
        <f aca="false">IF(AC3088,IF(01_因子設定!$B$13="最大化",AA3088-01_因子設定!$B$14,IF(01_因子設定!$B$13="最小化",01_因子設定!$B$15-AB3088,MIN(AA3088-01_因子設定!$B$14,01_因子設定!$B$15-AB3088))),-1E+030)</f>
        <v>-3.33599045067881</v>
      </c>
      <c r="AE3088" s="55" t="n">
        <f aca="false">IF(AC3088,IF(01_因子設定!$B$13="最大化",X3088,IF(01_因子設定!$B$13="最小化",-X3088,-ABS(X3088-01_因子設定!$B$16))),-1E+030)</f>
        <v>44.7376918859649</v>
      </c>
      <c r="AF3088" s="55" t="n">
        <f aca="false">AD3088+ROW()*0.000000001</f>
        <v>-3.33598736267881</v>
      </c>
      <c r="AG3088" s="55" t="n">
        <f aca="false">AE3088+ROW()*0.000000001</f>
        <v>44.7376949739649</v>
      </c>
    </row>
    <row r="3089" customFormat="false" ht="15" hidden="false" customHeight="false" outlineLevel="0" collapsed="false">
      <c r="A3089" s="0" t="n">
        <v>4</v>
      </c>
      <c r="B3089" s="0" t="n">
        <v>2</v>
      </c>
      <c r="C3089" s="0" t="n">
        <v>0</v>
      </c>
      <c r="D3089" s="0" t="n">
        <v>6</v>
      </c>
      <c r="E3089" s="0" t="n">
        <f aca="false">-1+A3089*0.25</f>
        <v>0</v>
      </c>
      <c r="F3089" s="0" t="n">
        <f aca="false">-1+B3089*0.25</f>
        <v>-0.5</v>
      </c>
      <c r="G3089" s="0" t="n">
        <f aca="false">-1+C3089*0.25</f>
        <v>-1</v>
      </c>
      <c r="H3089" s="0" t="n">
        <f aca="false">-1+D3089*0.25</f>
        <v>0.5</v>
      </c>
      <c r="I3089" s="0" t="n">
        <f aca="false">1</f>
        <v>1</v>
      </c>
      <c r="J3089" s="0" t="n">
        <f aca="false">E3089</f>
        <v>0</v>
      </c>
      <c r="K3089" s="0" t="n">
        <f aca="false">F3089</f>
        <v>-0.5</v>
      </c>
      <c r="L3089" s="0" t="n">
        <f aca="false">G3089</f>
        <v>-1</v>
      </c>
      <c r="M3089" s="0" t="n">
        <f aca="false">H3089</f>
        <v>0.5</v>
      </c>
      <c r="N3089" s="0" t="n">
        <f aca="false">E3089*F3089</f>
        <v>-0</v>
      </c>
      <c r="O3089" s="0" t="n">
        <f aca="false">E3089*G3089</f>
        <v>-0</v>
      </c>
      <c r="P3089" s="0" t="n">
        <f aca="false">E3089*H3089</f>
        <v>0</v>
      </c>
      <c r="Q3089" s="0" t="n">
        <f aca="false">F3089*G3089</f>
        <v>0.5</v>
      </c>
      <c r="R3089" s="0" t="n">
        <f aca="false">F3089*H3089</f>
        <v>-0.25</v>
      </c>
      <c r="S3089" s="0" t="n">
        <f aca="false">G3089*H3089</f>
        <v>-0.5</v>
      </c>
      <c r="T3089" s="0" t="n">
        <f aca="false">E3089*E3089</f>
        <v>0</v>
      </c>
      <c r="U3089" s="0" t="n">
        <f aca="false">F3089*F3089</f>
        <v>0.25</v>
      </c>
      <c r="V3089" s="0" t="n">
        <f aca="false">G3089*G3089</f>
        <v>1</v>
      </c>
      <c r="W3089" s="0" t="n">
        <f aca="false">H3089*H3089</f>
        <v>0.25</v>
      </c>
      <c r="X3089" s="0" t="n">
        <f aca="false">SUMPRODUCT(I3089:W3089,_XtX!$B$96:$P$96)</f>
        <v>44.722057748538</v>
      </c>
      <c r="Y3089" s="0" t="n">
        <f aca="false">SUMPRODUCT(MMULT(I3089:W3089,_XtX!$B$78:$P$92),I3089:W3089)</f>
        <v>0.441954495614035</v>
      </c>
      <c r="Z3089" s="0" t="n">
        <f aca="false">04_回帰ANOVA!$K$19*04_回帰ANOVA!$K$14*SQRT(1+Y3089)</f>
        <v>1.56521560968066</v>
      </c>
      <c r="AA3089" s="0" t="n">
        <f aca="false">X3089-Z3089</f>
        <v>43.1568421388573</v>
      </c>
      <c r="AB3089" s="0" t="n">
        <f aca="false">X3089+Z3089</f>
        <v>46.2872733582186</v>
      </c>
      <c r="AC3089" s="54" t="b">
        <f aca="false">AND(E3089&gt;=01_因子設定!$L$5-0.000000001,E3089&lt;=01_因子設定!$M$5+0.000000001,F3089&gt;=01_因子設定!$L$6-0.000000001,F3089&lt;=01_因子設定!$M$6+0.000000001,G3089&gt;=01_因子設定!$L$7-0.000000001,G3089&lt;=01_因子設定!$M$7+0.000000001,H3089&gt;=01_因子設定!$L$8-0.000000001,H3089&lt;=01_因子設定!$M$8+0.000000001,IF(01_因子設定!$B$20="Box-Behnken",E3089^2+F3089^2+G3089^2+H3089^2&lt;=2+0.000000001,TRUE()))</f>
        <v>1</v>
      </c>
      <c r="AD3089" s="55" t="n">
        <f aca="false">IF(AC3089,IF(01_因子設定!$B$13="最大化",AA3089-01_因子設定!$B$14,IF(01_因子設定!$B$13="最小化",01_因子設定!$B$15-AB3089,MIN(AA3089-01_因子設定!$B$14,01_因子設定!$B$15-AB3089))),-1E+030)</f>
        <v>-3.34315786114271</v>
      </c>
      <c r="AE3089" s="55" t="n">
        <f aca="false">IF(AC3089,IF(01_因子設定!$B$13="最大化",X3089,IF(01_因子設定!$B$13="最小化",-X3089,-ABS(X3089-01_因子設定!$B$16))),-1E+030)</f>
        <v>44.722057748538</v>
      </c>
      <c r="AF3089" s="55" t="n">
        <f aca="false">AD3089+ROW()*0.000000001</f>
        <v>-3.34315477214271</v>
      </c>
      <c r="AG3089" s="55" t="n">
        <f aca="false">AE3089+ROW()*0.000000001</f>
        <v>44.722060837538</v>
      </c>
    </row>
    <row r="3090" customFormat="false" ht="15" hidden="false" customHeight="false" outlineLevel="0" collapsed="false">
      <c r="A3090" s="0" t="n">
        <v>4</v>
      </c>
      <c r="B3090" s="0" t="n">
        <v>2</v>
      </c>
      <c r="C3090" s="0" t="n">
        <v>0</v>
      </c>
      <c r="D3090" s="0" t="n">
        <v>7</v>
      </c>
      <c r="E3090" s="0" t="n">
        <f aca="false">-1+A3090*0.25</f>
        <v>0</v>
      </c>
      <c r="F3090" s="0" t="n">
        <f aca="false">-1+B3090*0.25</f>
        <v>-0.5</v>
      </c>
      <c r="G3090" s="0" t="n">
        <f aca="false">-1+C3090*0.25</f>
        <v>-1</v>
      </c>
      <c r="H3090" s="0" t="n">
        <f aca="false">-1+D3090*0.25</f>
        <v>0.75</v>
      </c>
      <c r="I3090" s="0" t="n">
        <f aca="false">1</f>
        <v>1</v>
      </c>
      <c r="J3090" s="0" t="n">
        <f aca="false">E3090</f>
        <v>0</v>
      </c>
      <c r="K3090" s="0" t="n">
        <f aca="false">F3090</f>
        <v>-0.5</v>
      </c>
      <c r="L3090" s="0" t="n">
        <f aca="false">G3090</f>
        <v>-1</v>
      </c>
      <c r="M3090" s="0" t="n">
        <f aca="false">H3090</f>
        <v>0.75</v>
      </c>
      <c r="N3090" s="0" t="n">
        <f aca="false">E3090*F3090</f>
        <v>-0</v>
      </c>
      <c r="O3090" s="0" t="n">
        <f aca="false">E3090*G3090</f>
        <v>-0</v>
      </c>
      <c r="P3090" s="0" t="n">
        <f aca="false">E3090*H3090</f>
        <v>0</v>
      </c>
      <c r="Q3090" s="0" t="n">
        <f aca="false">F3090*G3090</f>
        <v>0.5</v>
      </c>
      <c r="R3090" s="0" t="n">
        <f aca="false">F3090*H3090</f>
        <v>-0.375</v>
      </c>
      <c r="S3090" s="0" t="n">
        <f aca="false">G3090*H3090</f>
        <v>-0.75</v>
      </c>
      <c r="T3090" s="0" t="n">
        <f aca="false">E3090*E3090</f>
        <v>0</v>
      </c>
      <c r="U3090" s="0" t="n">
        <f aca="false">F3090*F3090</f>
        <v>0.25</v>
      </c>
      <c r="V3090" s="0" t="n">
        <f aca="false">G3090*G3090</f>
        <v>1</v>
      </c>
      <c r="W3090" s="0" t="n">
        <f aca="false">H3090*H3090</f>
        <v>0.5625</v>
      </c>
      <c r="X3090" s="0" t="n">
        <f aca="false">SUMPRODUCT(I3090:W3090,_XtX!$B$96:$P$96)</f>
        <v>44.6586165935672</v>
      </c>
      <c r="Y3090" s="0" t="n">
        <f aca="false">SUMPRODUCT(MMULT(I3090:W3090,_XtX!$B$78:$P$92),I3090:W3090)</f>
        <v>0.476191292032164</v>
      </c>
      <c r="Z3090" s="0" t="n">
        <f aca="false">04_回帰ANOVA!$K$19*04_回帰ANOVA!$K$14*SQRT(1+Y3090)</f>
        <v>1.58368831471718</v>
      </c>
      <c r="AA3090" s="0" t="n">
        <f aca="false">X3090-Z3090</f>
        <v>43.07492827885</v>
      </c>
      <c r="AB3090" s="0" t="n">
        <f aca="false">X3090+Z3090</f>
        <v>46.2423049082844</v>
      </c>
      <c r="AC3090" s="54" t="b">
        <f aca="false">AND(E3090&gt;=01_因子設定!$L$5-0.000000001,E3090&lt;=01_因子設定!$M$5+0.000000001,F3090&gt;=01_因子設定!$L$6-0.000000001,F3090&lt;=01_因子設定!$M$6+0.000000001,G3090&gt;=01_因子設定!$L$7-0.000000001,G3090&lt;=01_因子設定!$M$7+0.000000001,H3090&gt;=01_因子設定!$L$8-0.000000001,H3090&lt;=01_因子設定!$M$8+0.000000001,IF(01_因子設定!$B$20="Box-Behnken",E3090^2+F3090^2+G3090^2+H3090^2&lt;=2+0.000000001,TRUE()))</f>
        <v>1</v>
      </c>
      <c r="AD3090" s="55" t="n">
        <f aca="false">IF(AC3090,IF(01_因子設定!$B$13="最大化",AA3090-01_因子設定!$B$14,IF(01_因子設定!$B$13="最小化",01_因子設定!$B$15-AB3090,MIN(AA3090-01_因子設定!$B$14,01_因子設定!$B$15-AB3090))),-1E+030)</f>
        <v>-3.42507172114997</v>
      </c>
      <c r="AE3090" s="55" t="n">
        <f aca="false">IF(AC3090,IF(01_因子設定!$B$13="最大化",X3090,IF(01_因子設定!$B$13="最小化",-X3090,-ABS(X3090-01_因子設定!$B$16))),-1E+030)</f>
        <v>44.6586165935672</v>
      </c>
      <c r="AF3090" s="55" t="n">
        <f aca="false">AD3090+ROW()*0.000000001</f>
        <v>-3.42506863114997</v>
      </c>
      <c r="AG3090" s="55" t="n">
        <f aca="false">AE3090+ROW()*0.000000001</f>
        <v>44.6586196835672</v>
      </c>
    </row>
    <row r="3091" customFormat="false" ht="15" hidden="false" customHeight="false" outlineLevel="0" collapsed="false">
      <c r="A3091" s="0" t="n">
        <v>4</v>
      </c>
      <c r="B3091" s="0" t="n">
        <v>2</v>
      </c>
      <c r="C3091" s="0" t="n">
        <v>0</v>
      </c>
      <c r="D3091" s="0" t="n">
        <v>8</v>
      </c>
      <c r="E3091" s="0" t="n">
        <f aca="false">-1+A3091*0.25</f>
        <v>0</v>
      </c>
      <c r="F3091" s="0" t="n">
        <f aca="false">-1+B3091*0.25</f>
        <v>-0.5</v>
      </c>
      <c r="G3091" s="0" t="n">
        <f aca="false">-1+C3091*0.25</f>
        <v>-1</v>
      </c>
      <c r="H3091" s="0" t="n">
        <f aca="false">-1+D3091*0.25</f>
        <v>1</v>
      </c>
      <c r="I3091" s="0" t="n">
        <f aca="false">1</f>
        <v>1</v>
      </c>
      <c r="J3091" s="0" t="n">
        <f aca="false">E3091</f>
        <v>0</v>
      </c>
      <c r="K3091" s="0" t="n">
        <f aca="false">F3091</f>
        <v>-0.5</v>
      </c>
      <c r="L3091" s="0" t="n">
        <f aca="false">G3091</f>
        <v>-1</v>
      </c>
      <c r="M3091" s="0" t="n">
        <f aca="false">H3091</f>
        <v>1</v>
      </c>
      <c r="N3091" s="0" t="n">
        <f aca="false">E3091*F3091</f>
        <v>-0</v>
      </c>
      <c r="O3091" s="0" t="n">
        <f aca="false">E3091*G3091</f>
        <v>-0</v>
      </c>
      <c r="P3091" s="0" t="n">
        <f aca="false">E3091*H3091</f>
        <v>0</v>
      </c>
      <c r="Q3091" s="0" t="n">
        <f aca="false">F3091*G3091</f>
        <v>0.5</v>
      </c>
      <c r="R3091" s="0" t="n">
        <f aca="false">F3091*H3091</f>
        <v>-0.5</v>
      </c>
      <c r="S3091" s="0" t="n">
        <f aca="false">G3091*H3091</f>
        <v>-1</v>
      </c>
      <c r="T3091" s="0" t="n">
        <f aca="false">E3091*E3091</f>
        <v>0</v>
      </c>
      <c r="U3091" s="0" t="n">
        <f aca="false">F3091*F3091</f>
        <v>0.25</v>
      </c>
      <c r="V3091" s="0" t="n">
        <f aca="false">G3091*G3091</f>
        <v>1</v>
      </c>
      <c r="W3091" s="0" t="n">
        <f aca="false">H3091*H3091</f>
        <v>1</v>
      </c>
      <c r="X3091" s="0" t="n">
        <f aca="false">SUMPRODUCT(I3091:W3091,_XtX!$B$96:$P$96)</f>
        <v>44.5473684210526</v>
      </c>
      <c r="Y3091" s="0" t="n">
        <f aca="false">SUMPRODUCT(MMULT(I3091:W3091,_XtX!$B$78:$P$92),I3091:W3091)</f>
        <v>0.650767543859649</v>
      </c>
      <c r="Z3091" s="0" t="n">
        <f aca="false">04_回帰ANOVA!$K$19*04_回帰ANOVA!$K$14*SQRT(1+Y3091)</f>
        <v>1.67471670935165</v>
      </c>
      <c r="AA3091" s="0" t="n">
        <f aca="false">X3091-Z3091</f>
        <v>42.872651711701</v>
      </c>
      <c r="AB3091" s="0" t="n">
        <f aca="false">X3091+Z3091</f>
        <v>46.2220851304043</v>
      </c>
      <c r="AC3091" s="54" t="b">
        <f aca="false">AND(E3091&gt;=01_因子設定!$L$5-0.000000001,E3091&lt;=01_因子設定!$M$5+0.000000001,F3091&gt;=01_因子設定!$L$6-0.000000001,F3091&lt;=01_因子設定!$M$6+0.000000001,G3091&gt;=01_因子設定!$L$7-0.000000001,G3091&lt;=01_因子設定!$M$7+0.000000001,H3091&gt;=01_因子設定!$L$8-0.000000001,H3091&lt;=01_因子設定!$M$8+0.000000001,IF(01_因子設定!$B$20="Box-Behnken",E3091^2+F3091^2+G3091^2+H3091^2&lt;=2+0.000000001,TRUE()))</f>
        <v>1</v>
      </c>
      <c r="AD3091" s="55" t="n">
        <f aca="false">IF(AC3091,IF(01_因子設定!$B$13="最大化",AA3091-01_因子設定!$B$14,IF(01_因子設定!$B$13="最小化",01_因子設定!$B$15-AB3091,MIN(AA3091-01_因子設定!$B$14,01_因子設定!$B$15-AB3091))),-1E+030)</f>
        <v>-3.62734828829905</v>
      </c>
      <c r="AE3091" s="55" t="n">
        <f aca="false">IF(AC3091,IF(01_因子設定!$B$13="最大化",X3091,IF(01_因子設定!$B$13="最小化",-X3091,-ABS(X3091-01_因子設定!$B$16))),-1E+030)</f>
        <v>44.5473684210526</v>
      </c>
      <c r="AF3091" s="55" t="n">
        <f aca="false">AD3091+ROW()*0.000000001</f>
        <v>-3.62734519729905</v>
      </c>
      <c r="AG3091" s="55" t="n">
        <f aca="false">AE3091+ROW()*0.000000001</f>
        <v>44.5473715120526</v>
      </c>
    </row>
    <row r="3092" customFormat="false" ht="15" hidden="false" customHeight="false" outlineLevel="0" collapsed="false">
      <c r="A3092" s="0" t="n">
        <v>4</v>
      </c>
      <c r="B3092" s="0" t="n">
        <v>2</v>
      </c>
      <c r="C3092" s="0" t="n">
        <v>1</v>
      </c>
      <c r="D3092" s="0" t="n">
        <v>0</v>
      </c>
      <c r="E3092" s="0" t="n">
        <f aca="false">-1+A3092*0.25</f>
        <v>0</v>
      </c>
      <c r="F3092" s="0" t="n">
        <f aca="false">-1+B3092*0.25</f>
        <v>-0.5</v>
      </c>
      <c r="G3092" s="0" t="n">
        <f aca="false">-1+C3092*0.25</f>
        <v>-0.75</v>
      </c>
      <c r="H3092" s="0" t="n">
        <f aca="false">-1+D3092*0.25</f>
        <v>-1</v>
      </c>
      <c r="I3092" s="0" t="n">
        <f aca="false">1</f>
        <v>1</v>
      </c>
      <c r="J3092" s="0" t="n">
        <f aca="false">E3092</f>
        <v>0</v>
      </c>
      <c r="K3092" s="0" t="n">
        <f aca="false">F3092</f>
        <v>-0.5</v>
      </c>
      <c r="L3092" s="0" t="n">
        <f aca="false">G3092</f>
        <v>-0.75</v>
      </c>
      <c r="M3092" s="0" t="n">
        <f aca="false">H3092</f>
        <v>-1</v>
      </c>
      <c r="N3092" s="0" t="n">
        <f aca="false">E3092*F3092</f>
        <v>-0</v>
      </c>
      <c r="O3092" s="0" t="n">
        <f aca="false">E3092*G3092</f>
        <v>-0</v>
      </c>
      <c r="P3092" s="0" t="n">
        <f aca="false">E3092*H3092</f>
        <v>-0</v>
      </c>
      <c r="Q3092" s="0" t="n">
        <f aca="false">F3092*G3092</f>
        <v>0.375</v>
      </c>
      <c r="R3092" s="0" t="n">
        <f aca="false">F3092*H3092</f>
        <v>0.5</v>
      </c>
      <c r="S3092" s="0" t="n">
        <f aca="false">G3092*H3092</f>
        <v>0.75</v>
      </c>
      <c r="T3092" s="0" t="n">
        <f aca="false">E3092*E3092</f>
        <v>0</v>
      </c>
      <c r="U3092" s="0" t="n">
        <f aca="false">F3092*F3092</f>
        <v>0.25</v>
      </c>
      <c r="V3092" s="0" t="n">
        <f aca="false">G3092*G3092</f>
        <v>0.5625</v>
      </c>
      <c r="W3092" s="0" t="n">
        <f aca="false">H3092*H3092</f>
        <v>1</v>
      </c>
      <c r="X3092" s="0" t="n">
        <f aca="false">SUMPRODUCT(I3092:W3092,_XtX!$B$96:$P$96)</f>
        <v>44.5322277046783</v>
      </c>
      <c r="Y3092" s="0" t="n">
        <f aca="false">SUMPRODUCT(MMULT(I3092:W3092,_XtX!$B$78:$P$92),I3092:W3092)</f>
        <v>0.476191292032164</v>
      </c>
      <c r="Z3092" s="0" t="n">
        <f aca="false">04_回帰ANOVA!$K$19*04_回帰ANOVA!$K$14*SQRT(1+Y3092)</f>
        <v>1.58368831471718</v>
      </c>
      <c r="AA3092" s="0" t="n">
        <f aca="false">X3092-Z3092</f>
        <v>42.9485393899612</v>
      </c>
      <c r="AB3092" s="0" t="n">
        <f aca="false">X3092+Z3092</f>
        <v>46.1159160193955</v>
      </c>
      <c r="AC3092" s="54" t="b">
        <f aca="false">AND(E3092&gt;=01_因子設定!$L$5-0.000000001,E3092&lt;=01_因子設定!$M$5+0.000000001,F3092&gt;=01_因子設定!$L$6-0.000000001,F3092&lt;=01_因子設定!$M$6+0.000000001,G3092&gt;=01_因子設定!$L$7-0.000000001,G3092&lt;=01_因子設定!$M$7+0.000000001,H3092&gt;=01_因子設定!$L$8-0.000000001,H3092&lt;=01_因子設定!$M$8+0.000000001,IF(01_因子設定!$B$20="Box-Behnken",E3092^2+F3092^2+G3092^2+H3092^2&lt;=2+0.000000001,TRUE()))</f>
        <v>1</v>
      </c>
      <c r="AD3092" s="55" t="n">
        <f aca="false">IF(AC3092,IF(01_因子設定!$B$13="最大化",AA3092-01_因子設定!$B$14,IF(01_因子設定!$B$13="最小化",01_因子設定!$B$15-AB3092,MIN(AA3092-01_因子設定!$B$14,01_因子設定!$B$15-AB3092))),-1E+030)</f>
        <v>-3.55146061003885</v>
      </c>
      <c r="AE3092" s="55" t="n">
        <f aca="false">IF(AC3092,IF(01_因子設定!$B$13="最大化",X3092,IF(01_因子設定!$B$13="最小化",-X3092,-ABS(X3092-01_因子設定!$B$16))),-1E+030)</f>
        <v>44.5322277046783</v>
      </c>
      <c r="AF3092" s="55" t="n">
        <f aca="false">AD3092+ROW()*0.000000001</f>
        <v>-3.55145751803885</v>
      </c>
      <c r="AG3092" s="55" t="n">
        <f aca="false">AE3092+ROW()*0.000000001</f>
        <v>44.5322307966783</v>
      </c>
    </row>
    <row r="3093" customFormat="false" ht="15" hidden="false" customHeight="false" outlineLevel="0" collapsed="false">
      <c r="A3093" s="0" t="n">
        <v>4</v>
      </c>
      <c r="B3093" s="0" t="n">
        <v>2</v>
      </c>
      <c r="C3093" s="0" t="n">
        <v>1</v>
      </c>
      <c r="D3093" s="0" t="n">
        <v>1</v>
      </c>
      <c r="E3093" s="0" t="n">
        <f aca="false">-1+A3093*0.25</f>
        <v>0</v>
      </c>
      <c r="F3093" s="0" t="n">
        <f aca="false">-1+B3093*0.25</f>
        <v>-0.5</v>
      </c>
      <c r="G3093" s="0" t="n">
        <f aca="false">-1+C3093*0.25</f>
        <v>-0.75</v>
      </c>
      <c r="H3093" s="0" t="n">
        <f aca="false">-1+D3093*0.25</f>
        <v>-0.75</v>
      </c>
      <c r="I3093" s="0" t="n">
        <f aca="false">1</f>
        <v>1</v>
      </c>
      <c r="J3093" s="0" t="n">
        <f aca="false">E3093</f>
        <v>0</v>
      </c>
      <c r="K3093" s="0" t="n">
        <f aca="false">F3093</f>
        <v>-0.5</v>
      </c>
      <c r="L3093" s="0" t="n">
        <f aca="false">G3093</f>
        <v>-0.75</v>
      </c>
      <c r="M3093" s="0" t="n">
        <f aca="false">H3093</f>
        <v>-0.75</v>
      </c>
      <c r="N3093" s="0" t="n">
        <f aca="false">E3093*F3093</f>
        <v>-0</v>
      </c>
      <c r="O3093" s="0" t="n">
        <f aca="false">E3093*G3093</f>
        <v>-0</v>
      </c>
      <c r="P3093" s="0" t="n">
        <f aca="false">E3093*H3093</f>
        <v>-0</v>
      </c>
      <c r="Q3093" s="0" t="n">
        <f aca="false">F3093*G3093</f>
        <v>0.375</v>
      </c>
      <c r="R3093" s="0" t="n">
        <f aca="false">F3093*H3093</f>
        <v>0.375</v>
      </c>
      <c r="S3093" s="0" t="n">
        <f aca="false">G3093*H3093</f>
        <v>0.5625</v>
      </c>
      <c r="T3093" s="0" t="n">
        <f aca="false">E3093*E3093</f>
        <v>0</v>
      </c>
      <c r="U3093" s="0" t="n">
        <f aca="false">F3093*F3093</f>
        <v>0.25</v>
      </c>
      <c r="V3093" s="0" t="n">
        <f aca="false">G3093*G3093</f>
        <v>0.5625</v>
      </c>
      <c r="W3093" s="0" t="n">
        <f aca="false">H3093*H3093</f>
        <v>0.5625</v>
      </c>
      <c r="X3093" s="0" t="n">
        <f aca="false">SUMPRODUCT(I3093:W3093,_XtX!$B$96:$P$96)</f>
        <v>44.7735974049707</v>
      </c>
      <c r="Y3093" s="0" t="n">
        <f aca="false">SUMPRODUCT(MMULT(I3093:W3093,_XtX!$B$78:$P$92),I3093:W3093)</f>
        <v>0.269923873812135</v>
      </c>
      <c r="Z3093" s="0" t="n">
        <f aca="false">04_回帰ANOVA!$K$19*04_回帰ANOVA!$K$14*SQRT(1+Y3093)</f>
        <v>1.46888310825501</v>
      </c>
      <c r="AA3093" s="0" t="n">
        <f aca="false">X3093-Z3093</f>
        <v>43.3047142967157</v>
      </c>
      <c r="AB3093" s="0" t="n">
        <f aca="false">X3093+Z3093</f>
        <v>46.2424805132257</v>
      </c>
      <c r="AC3093" s="54" t="b">
        <f aca="false">AND(E3093&gt;=01_因子設定!$L$5-0.000000001,E3093&lt;=01_因子設定!$M$5+0.000000001,F3093&gt;=01_因子設定!$L$6-0.000000001,F3093&lt;=01_因子設定!$M$6+0.000000001,G3093&gt;=01_因子設定!$L$7-0.000000001,G3093&lt;=01_因子設定!$M$7+0.000000001,H3093&gt;=01_因子設定!$L$8-0.000000001,H3093&lt;=01_因子設定!$M$8+0.000000001,IF(01_因子設定!$B$20="Box-Behnken",E3093^2+F3093^2+G3093^2+H3093^2&lt;=2+0.000000001,TRUE()))</f>
        <v>1</v>
      </c>
      <c r="AD3093" s="55" t="n">
        <f aca="false">IF(AC3093,IF(01_因子設定!$B$13="最大化",AA3093-01_因子設定!$B$14,IF(01_因子設定!$B$13="最小化",01_因子設定!$B$15-AB3093,MIN(AA3093-01_因子設定!$B$14,01_因子設定!$B$15-AB3093))),-1E+030)</f>
        <v>-3.19528570328429</v>
      </c>
      <c r="AE3093" s="55" t="n">
        <f aca="false">IF(AC3093,IF(01_因子設定!$B$13="最大化",X3093,IF(01_因子設定!$B$13="最小化",-X3093,-ABS(X3093-01_因子設定!$B$16))),-1E+030)</f>
        <v>44.7735974049707</v>
      </c>
      <c r="AF3093" s="55" t="n">
        <f aca="false">AD3093+ROW()*0.000000001</f>
        <v>-3.19528261028429</v>
      </c>
      <c r="AG3093" s="55" t="n">
        <f aca="false">AE3093+ROW()*0.000000001</f>
        <v>44.7736004979707</v>
      </c>
    </row>
    <row r="3094" customFormat="false" ht="15" hidden="false" customHeight="false" outlineLevel="0" collapsed="false">
      <c r="A3094" s="0" t="n">
        <v>4</v>
      </c>
      <c r="B3094" s="0" t="n">
        <v>2</v>
      </c>
      <c r="C3094" s="0" t="n">
        <v>1</v>
      </c>
      <c r="D3094" s="0" t="n">
        <v>2</v>
      </c>
      <c r="E3094" s="0" t="n">
        <f aca="false">-1+A3094*0.25</f>
        <v>0</v>
      </c>
      <c r="F3094" s="0" t="n">
        <f aca="false">-1+B3094*0.25</f>
        <v>-0.5</v>
      </c>
      <c r="G3094" s="0" t="n">
        <f aca="false">-1+C3094*0.25</f>
        <v>-0.75</v>
      </c>
      <c r="H3094" s="0" t="n">
        <f aca="false">-1+D3094*0.25</f>
        <v>-0.5</v>
      </c>
      <c r="I3094" s="0" t="n">
        <f aca="false">1</f>
        <v>1</v>
      </c>
      <c r="J3094" s="0" t="n">
        <f aca="false">E3094</f>
        <v>0</v>
      </c>
      <c r="K3094" s="0" t="n">
        <f aca="false">F3094</f>
        <v>-0.5</v>
      </c>
      <c r="L3094" s="0" t="n">
        <f aca="false">G3094</f>
        <v>-0.75</v>
      </c>
      <c r="M3094" s="0" t="n">
        <f aca="false">H3094</f>
        <v>-0.5</v>
      </c>
      <c r="N3094" s="0" t="n">
        <f aca="false">E3094*F3094</f>
        <v>-0</v>
      </c>
      <c r="O3094" s="0" t="n">
        <f aca="false">E3094*G3094</f>
        <v>-0</v>
      </c>
      <c r="P3094" s="0" t="n">
        <f aca="false">E3094*H3094</f>
        <v>-0</v>
      </c>
      <c r="Q3094" s="0" t="n">
        <f aca="false">F3094*G3094</f>
        <v>0.375</v>
      </c>
      <c r="R3094" s="0" t="n">
        <f aca="false">F3094*H3094</f>
        <v>0.25</v>
      </c>
      <c r="S3094" s="0" t="n">
        <f aca="false">G3094*H3094</f>
        <v>0.375</v>
      </c>
      <c r="T3094" s="0" t="n">
        <f aca="false">E3094*E3094</f>
        <v>0</v>
      </c>
      <c r="U3094" s="0" t="n">
        <f aca="false">F3094*F3094</f>
        <v>0.25</v>
      </c>
      <c r="V3094" s="0" t="n">
        <f aca="false">G3094*G3094</f>
        <v>0.5625</v>
      </c>
      <c r="W3094" s="0" t="n">
        <f aca="false">H3094*H3094</f>
        <v>0.25</v>
      </c>
      <c r="X3094" s="0" t="n">
        <f aca="false">SUMPRODUCT(I3094:W3094,_XtX!$B$96:$P$96)</f>
        <v>44.9671600877192</v>
      </c>
      <c r="Y3094" s="0" t="n">
        <f aca="false">SUMPRODUCT(MMULT(I3094:W3094,_XtX!$B$78:$P$92),I3094:W3094)</f>
        <v>0.21305052997076</v>
      </c>
      <c r="Z3094" s="0" t="n">
        <f aca="false">04_回帰ANOVA!$K$19*04_回帰ANOVA!$K$14*SQRT(1+Y3094)</f>
        <v>1.43561450835061</v>
      </c>
      <c r="AA3094" s="0" t="n">
        <f aca="false">X3094-Z3094</f>
        <v>43.5315455793686</v>
      </c>
      <c r="AB3094" s="0" t="n">
        <f aca="false">X3094+Z3094</f>
        <v>46.4027745960699</v>
      </c>
      <c r="AC3094" s="54" t="b">
        <f aca="false">AND(E3094&gt;=01_因子設定!$L$5-0.000000001,E3094&lt;=01_因子設定!$M$5+0.000000001,F3094&gt;=01_因子設定!$L$6-0.000000001,F3094&lt;=01_因子設定!$M$6+0.000000001,G3094&gt;=01_因子設定!$L$7-0.000000001,G3094&lt;=01_因子設定!$M$7+0.000000001,H3094&gt;=01_因子設定!$L$8-0.000000001,H3094&lt;=01_因子設定!$M$8+0.000000001,IF(01_因子設定!$B$20="Box-Behnken",E3094^2+F3094^2+G3094^2+H3094^2&lt;=2+0.000000001,TRUE()))</f>
        <v>1</v>
      </c>
      <c r="AD3094" s="55" t="n">
        <f aca="false">IF(AC3094,IF(01_因子設定!$B$13="最大化",AA3094-01_因子設定!$B$14,IF(01_因子設定!$B$13="最小化",01_因子設定!$B$15-AB3094,MIN(AA3094-01_因子設定!$B$14,01_因子設定!$B$15-AB3094))),-1E+030)</f>
        <v>-2.96845442063136</v>
      </c>
      <c r="AE3094" s="55" t="n">
        <f aca="false">IF(AC3094,IF(01_因子設定!$B$13="最大化",X3094,IF(01_因子設定!$B$13="最小化",-X3094,-ABS(X3094-01_因子設定!$B$16))),-1E+030)</f>
        <v>44.9671600877192</v>
      </c>
      <c r="AF3094" s="55" t="n">
        <f aca="false">AD3094+ROW()*0.000000001</f>
        <v>-2.96845132663136</v>
      </c>
      <c r="AG3094" s="55" t="n">
        <f aca="false">AE3094+ROW()*0.000000001</f>
        <v>44.9671631817192</v>
      </c>
    </row>
    <row r="3095" customFormat="false" ht="15" hidden="false" customHeight="false" outlineLevel="0" collapsed="false">
      <c r="A3095" s="0" t="n">
        <v>4</v>
      </c>
      <c r="B3095" s="0" t="n">
        <v>2</v>
      </c>
      <c r="C3095" s="0" t="n">
        <v>1</v>
      </c>
      <c r="D3095" s="0" t="n">
        <v>3</v>
      </c>
      <c r="E3095" s="0" t="n">
        <f aca="false">-1+A3095*0.25</f>
        <v>0</v>
      </c>
      <c r="F3095" s="0" t="n">
        <f aca="false">-1+B3095*0.25</f>
        <v>-0.5</v>
      </c>
      <c r="G3095" s="0" t="n">
        <f aca="false">-1+C3095*0.25</f>
        <v>-0.75</v>
      </c>
      <c r="H3095" s="0" t="n">
        <f aca="false">-1+D3095*0.25</f>
        <v>-0.25</v>
      </c>
      <c r="I3095" s="0" t="n">
        <f aca="false">1</f>
        <v>1</v>
      </c>
      <c r="J3095" s="0" t="n">
        <f aca="false">E3095</f>
        <v>0</v>
      </c>
      <c r="K3095" s="0" t="n">
        <f aca="false">F3095</f>
        <v>-0.5</v>
      </c>
      <c r="L3095" s="0" t="n">
        <f aca="false">G3095</f>
        <v>-0.75</v>
      </c>
      <c r="M3095" s="0" t="n">
        <f aca="false">H3095</f>
        <v>-0.25</v>
      </c>
      <c r="N3095" s="0" t="n">
        <f aca="false">E3095*F3095</f>
        <v>-0</v>
      </c>
      <c r="O3095" s="0" t="n">
        <f aca="false">E3095*G3095</f>
        <v>-0</v>
      </c>
      <c r="P3095" s="0" t="n">
        <f aca="false">E3095*H3095</f>
        <v>-0</v>
      </c>
      <c r="Q3095" s="0" t="n">
        <f aca="false">F3095*G3095</f>
        <v>0.375</v>
      </c>
      <c r="R3095" s="0" t="n">
        <f aca="false">F3095*H3095</f>
        <v>0.125</v>
      </c>
      <c r="S3095" s="0" t="n">
        <f aca="false">G3095*H3095</f>
        <v>0.1875</v>
      </c>
      <c r="T3095" s="0" t="n">
        <f aca="false">E3095*E3095</f>
        <v>0</v>
      </c>
      <c r="U3095" s="0" t="n">
        <f aca="false">F3095*F3095</f>
        <v>0.25</v>
      </c>
      <c r="V3095" s="0" t="n">
        <f aca="false">G3095*G3095</f>
        <v>0.5625</v>
      </c>
      <c r="W3095" s="0" t="n">
        <f aca="false">H3095*H3095</f>
        <v>0.0625</v>
      </c>
      <c r="X3095" s="0" t="n">
        <f aca="false">SUMPRODUCT(I3095:W3095,_XtX!$B$96:$P$96)</f>
        <v>45.1129157529239</v>
      </c>
      <c r="Y3095" s="0" t="n">
        <f aca="false">SUMPRODUCT(MMULT(I3095:W3095,_XtX!$B$78:$P$92),I3095:W3095)</f>
        <v>0.215110734192252</v>
      </c>
      <c r="Z3095" s="0" t="n">
        <f aca="false">04_回帰ANOVA!$K$19*04_回帰ANOVA!$K$14*SQRT(1+Y3095)</f>
        <v>1.43683309086864</v>
      </c>
      <c r="AA3095" s="0" t="n">
        <f aca="false">X3095-Z3095</f>
        <v>43.6760826620553</v>
      </c>
      <c r="AB3095" s="0" t="n">
        <f aca="false">X3095+Z3095</f>
        <v>46.5497488437926</v>
      </c>
      <c r="AC3095" s="54" t="b">
        <f aca="false">AND(E3095&gt;=01_因子設定!$L$5-0.000000001,E3095&lt;=01_因子設定!$M$5+0.000000001,F3095&gt;=01_因子設定!$L$6-0.000000001,F3095&lt;=01_因子設定!$M$6+0.000000001,G3095&gt;=01_因子設定!$L$7-0.000000001,G3095&lt;=01_因子設定!$M$7+0.000000001,H3095&gt;=01_因子設定!$L$8-0.000000001,H3095&lt;=01_因子設定!$M$8+0.000000001,IF(01_因子設定!$B$20="Box-Behnken",E3095^2+F3095^2+G3095^2+H3095^2&lt;=2+0.000000001,TRUE()))</f>
        <v>1</v>
      </c>
      <c r="AD3095" s="55" t="n">
        <f aca="false">IF(AC3095,IF(01_因子設定!$B$13="最大化",AA3095-01_因子設定!$B$14,IF(01_因子設定!$B$13="最小化",01_因子設定!$B$15-AB3095,MIN(AA3095-01_因子設定!$B$14,01_因子設定!$B$15-AB3095))),-1E+030)</f>
        <v>-2.82391733794473</v>
      </c>
      <c r="AE3095" s="55" t="n">
        <f aca="false">IF(AC3095,IF(01_因子設定!$B$13="最大化",X3095,IF(01_因子設定!$B$13="最小化",-X3095,-ABS(X3095-01_因子設定!$B$16))),-1E+030)</f>
        <v>45.1129157529239</v>
      </c>
      <c r="AF3095" s="55" t="n">
        <f aca="false">AD3095+ROW()*0.000000001</f>
        <v>-2.82391424294473</v>
      </c>
      <c r="AG3095" s="55" t="n">
        <f aca="false">AE3095+ROW()*0.000000001</f>
        <v>45.1129188479239</v>
      </c>
    </row>
    <row r="3096" customFormat="false" ht="15" hidden="false" customHeight="false" outlineLevel="0" collapsed="false">
      <c r="A3096" s="0" t="n">
        <v>4</v>
      </c>
      <c r="B3096" s="0" t="n">
        <v>2</v>
      </c>
      <c r="C3096" s="0" t="n">
        <v>1</v>
      </c>
      <c r="D3096" s="0" t="n">
        <v>4</v>
      </c>
      <c r="E3096" s="0" t="n">
        <f aca="false">-1+A3096*0.25</f>
        <v>0</v>
      </c>
      <c r="F3096" s="0" t="n">
        <f aca="false">-1+B3096*0.25</f>
        <v>-0.5</v>
      </c>
      <c r="G3096" s="0" t="n">
        <f aca="false">-1+C3096*0.25</f>
        <v>-0.75</v>
      </c>
      <c r="H3096" s="0" t="n">
        <f aca="false">-1+D3096*0.25</f>
        <v>0</v>
      </c>
      <c r="I3096" s="0" t="n">
        <f aca="false">1</f>
        <v>1</v>
      </c>
      <c r="J3096" s="0" t="n">
        <f aca="false">E3096</f>
        <v>0</v>
      </c>
      <c r="K3096" s="0" t="n">
        <f aca="false">F3096</f>
        <v>-0.5</v>
      </c>
      <c r="L3096" s="0" t="n">
        <f aca="false">G3096</f>
        <v>-0.75</v>
      </c>
      <c r="M3096" s="0" t="n">
        <f aca="false">H3096</f>
        <v>0</v>
      </c>
      <c r="N3096" s="0" t="n">
        <f aca="false">E3096*F3096</f>
        <v>-0</v>
      </c>
      <c r="O3096" s="0" t="n">
        <f aca="false">E3096*G3096</f>
        <v>-0</v>
      </c>
      <c r="P3096" s="0" t="n">
        <f aca="false">E3096*H3096</f>
        <v>0</v>
      </c>
      <c r="Q3096" s="0" t="n">
        <f aca="false">F3096*G3096</f>
        <v>0.375</v>
      </c>
      <c r="R3096" s="0" t="n">
        <f aca="false">F3096*H3096</f>
        <v>-0</v>
      </c>
      <c r="S3096" s="0" t="n">
        <f aca="false">G3096*H3096</f>
        <v>-0</v>
      </c>
      <c r="T3096" s="0" t="n">
        <f aca="false">E3096*E3096</f>
        <v>0</v>
      </c>
      <c r="U3096" s="0" t="n">
        <f aca="false">F3096*F3096</f>
        <v>0.25</v>
      </c>
      <c r="V3096" s="0" t="n">
        <f aca="false">G3096*G3096</f>
        <v>0.5625</v>
      </c>
      <c r="W3096" s="0" t="n">
        <f aca="false">H3096*H3096</f>
        <v>0</v>
      </c>
      <c r="X3096" s="0" t="n">
        <f aca="false">SUMPRODUCT(I3096:W3096,_XtX!$B$96:$P$96)</f>
        <v>45.2108644005847</v>
      </c>
      <c r="Y3096" s="0" t="n">
        <f aca="false">SUMPRODUCT(MMULT(I3096:W3096,_XtX!$B$78:$P$92),I3096:W3096)</f>
        <v>0.221828170687135</v>
      </c>
      <c r="Z3096" s="0" t="n">
        <f aca="false">04_回帰ANOVA!$K$19*04_回帰ANOVA!$K$14*SQRT(1+Y3096)</f>
        <v>1.44079920361664</v>
      </c>
      <c r="AA3096" s="0" t="n">
        <f aca="false">X3096-Z3096</f>
        <v>43.7700651969681</v>
      </c>
      <c r="AB3096" s="0" t="n">
        <f aca="false">X3096+Z3096</f>
        <v>46.6516636042014</v>
      </c>
      <c r="AC3096" s="54" t="b">
        <f aca="false">AND(E3096&gt;=01_因子設定!$L$5-0.000000001,E3096&lt;=01_因子設定!$M$5+0.000000001,F3096&gt;=01_因子設定!$L$6-0.000000001,F3096&lt;=01_因子設定!$M$6+0.000000001,G3096&gt;=01_因子設定!$L$7-0.000000001,G3096&lt;=01_因子設定!$M$7+0.000000001,H3096&gt;=01_因子設定!$L$8-0.000000001,H3096&lt;=01_因子設定!$M$8+0.000000001,IF(01_因子設定!$B$20="Box-Behnken",E3096^2+F3096^2+G3096^2+H3096^2&lt;=2+0.000000001,TRUE()))</f>
        <v>1</v>
      </c>
      <c r="AD3096" s="55" t="n">
        <f aca="false">IF(AC3096,IF(01_因子設定!$B$13="最大化",AA3096-01_因子設定!$B$14,IF(01_因子設定!$B$13="最小化",01_因子設定!$B$15-AB3096,MIN(AA3096-01_因子設定!$B$14,01_因子設定!$B$15-AB3096))),-1E+030)</f>
        <v>-2.72993480303191</v>
      </c>
      <c r="AE3096" s="55" t="n">
        <f aca="false">IF(AC3096,IF(01_因子設定!$B$13="最大化",X3096,IF(01_因子設定!$B$13="最小化",-X3096,-ABS(X3096-01_因子設定!$B$16))),-1E+030)</f>
        <v>45.2108644005847</v>
      </c>
      <c r="AF3096" s="55" t="n">
        <f aca="false">AD3096+ROW()*0.000000001</f>
        <v>-2.72993170703191</v>
      </c>
      <c r="AG3096" s="55" t="n">
        <f aca="false">AE3096+ROW()*0.000000001</f>
        <v>45.2108674965847</v>
      </c>
    </row>
    <row r="3097" customFormat="false" ht="15" hidden="false" customHeight="false" outlineLevel="0" collapsed="false">
      <c r="A3097" s="0" t="n">
        <v>4</v>
      </c>
      <c r="B3097" s="0" t="n">
        <v>2</v>
      </c>
      <c r="C3097" s="0" t="n">
        <v>1</v>
      </c>
      <c r="D3097" s="0" t="n">
        <v>5</v>
      </c>
      <c r="E3097" s="0" t="n">
        <f aca="false">-1+A3097*0.25</f>
        <v>0</v>
      </c>
      <c r="F3097" s="0" t="n">
        <f aca="false">-1+B3097*0.25</f>
        <v>-0.5</v>
      </c>
      <c r="G3097" s="0" t="n">
        <f aca="false">-1+C3097*0.25</f>
        <v>-0.75</v>
      </c>
      <c r="H3097" s="0" t="n">
        <f aca="false">-1+D3097*0.25</f>
        <v>0.25</v>
      </c>
      <c r="I3097" s="0" t="n">
        <f aca="false">1</f>
        <v>1</v>
      </c>
      <c r="J3097" s="0" t="n">
        <f aca="false">E3097</f>
        <v>0</v>
      </c>
      <c r="K3097" s="0" t="n">
        <f aca="false">F3097</f>
        <v>-0.5</v>
      </c>
      <c r="L3097" s="0" t="n">
        <f aca="false">G3097</f>
        <v>-0.75</v>
      </c>
      <c r="M3097" s="0" t="n">
        <f aca="false">H3097</f>
        <v>0.25</v>
      </c>
      <c r="N3097" s="0" t="n">
        <f aca="false">E3097*F3097</f>
        <v>-0</v>
      </c>
      <c r="O3097" s="0" t="n">
        <f aca="false">E3097*G3097</f>
        <v>-0</v>
      </c>
      <c r="P3097" s="0" t="n">
        <f aca="false">E3097*H3097</f>
        <v>0</v>
      </c>
      <c r="Q3097" s="0" t="n">
        <f aca="false">F3097*G3097</f>
        <v>0.375</v>
      </c>
      <c r="R3097" s="0" t="n">
        <f aca="false">F3097*H3097</f>
        <v>-0.125</v>
      </c>
      <c r="S3097" s="0" t="n">
        <f aca="false">G3097*H3097</f>
        <v>-0.1875</v>
      </c>
      <c r="T3097" s="0" t="n">
        <f aca="false">E3097*E3097</f>
        <v>0</v>
      </c>
      <c r="U3097" s="0" t="n">
        <f aca="false">F3097*F3097</f>
        <v>0.25</v>
      </c>
      <c r="V3097" s="0" t="n">
        <f aca="false">G3097*G3097</f>
        <v>0.5625</v>
      </c>
      <c r="W3097" s="0" t="n">
        <f aca="false">H3097*H3097</f>
        <v>0.0625</v>
      </c>
      <c r="X3097" s="0" t="n">
        <f aca="false">SUMPRODUCT(I3097:W3097,_XtX!$B$96:$P$96)</f>
        <v>45.2610060307017</v>
      </c>
      <c r="Y3097" s="0" t="n">
        <f aca="false">SUMPRODUCT(MMULT(I3097:W3097,_XtX!$B$78:$P$92),I3097:W3097)</f>
        <v>0.215110734192252</v>
      </c>
      <c r="Z3097" s="0" t="n">
        <f aca="false">04_回帰ANOVA!$K$19*04_回帰ANOVA!$K$14*SQRT(1+Y3097)</f>
        <v>1.43683309086864</v>
      </c>
      <c r="AA3097" s="0" t="n">
        <f aca="false">X3097-Z3097</f>
        <v>43.8241729398331</v>
      </c>
      <c r="AB3097" s="0" t="n">
        <f aca="false">X3097+Z3097</f>
        <v>46.6978391215703</v>
      </c>
      <c r="AC3097" s="54" t="b">
        <f aca="false">AND(E3097&gt;=01_因子設定!$L$5-0.000000001,E3097&lt;=01_因子設定!$M$5+0.000000001,F3097&gt;=01_因子設定!$L$6-0.000000001,F3097&lt;=01_因子設定!$M$6+0.000000001,G3097&gt;=01_因子設定!$L$7-0.000000001,G3097&lt;=01_因子設定!$M$7+0.000000001,H3097&gt;=01_因子設定!$L$8-0.000000001,H3097&lt;=01_因子設定!$M$8+0.000000001,IF(01_因子設定!$B$20="Box-Behnken",E3097^2+F3097^2+G3097^2+H3097^2&lt;=2+0.000000001,TRUE()))</f>
        <v>1</v>
      </c>
      <c r="AD3097" s="55" t="n">
        <f aca="false">IF(AC3097,IF(01_因子設定!$B$13="最大化",AA3097-01_因子設定!$B$14,IF(01_因子設定!$B$13="最小化",01_因子設定!$B$15-AB3097,MIN(AA3097-01_因子設定!$B$14,01_因子設定!$B$15-AB3097))),-1E+030)</f>
        <v>-2.67582706016695</v>
      </c>
      <c r="AE3097" s="55" t="n">
        <f aca="false">IF(AC3097,IF(01_因子設定!$B$13="最大化",X3097,IF(01_因子設定!$B$13="最小化",-X3097,-ABS(X3097-01_因子設定!$B$16))),-1E+030)</f>
        <v>45.2610060307017</v>
      </c>
      <c r="AF3097" s="55" t="n">
        <f aca="false">AD3097+ROW()*0.000000001</f>
        <v>-2.67582396316695</v>
      </c>
      <c r="AG3097" s="55" t="n">
        <f aca="false">AE3097+ROW()*0.000000001</f>
        <v>45.2610091277017</v>
      </c>
    </row>
    <row r="3098" customFormat="false" ht="15" hidden="false" customHeight="false" outlineLevel="0" collapsed="false">
      <c r="A3098" s="0" t="n">
        <v>4</v>
      </c>
      <c r="B3098" s="0" t="n">
        <v>2</v>
      </c>
      <c r="C3098" s="0" t="n">
        <v>1</v>
      </c>
      <c r="D3098" s="0" t="n">
        <v>6</v>
      </c>
      <c r="E3098" s="0" t="n">
        <f aca="false">-1+A3098*0.25</f>
        <v>0</v>
      </c>
      <c r="F3098" s="0" t="n">
        <f aca="false">-1+B3098*0.25</f>
        <v>-0.5</v>
      </c>
      <c r="G3098" s="0" t="n">
        <f aca="false">-1+C3098*0.25</f>
        <v>-0.75</v>
      </c>
      <c r="H3098" s="0" t="n">
        <f aca="false">-1+D3098*0.25</f>
        <v>0.5</v>
      </c>
      <c r="I3098" s="0" t="n">
        <f aca="false">1</f>
        <v>1</v>
      </c>
      <c r="J3098" s="0" t="n">
        <f aca="false">E3098</f>
        <v>0</v>
      </c>
      <c r="K3098" s="0" t="n">
        <f aca="false">F3098</f>
        <v>-0.5</v>
      </c>
      <c r="L3098" s="0" t="n">
        <f aca="false">G3098</f>
        <v>-0.75</v>
      </c>
      <c r="M3098" s="0" t="n">
        <f aca="false">H3098</f>
        <v>0.5</v>
      </c>
      <c r="N3098" s="0" t="n">
        <f aca="false">E3098*F3098</f>
        <v>-0</v>
      </c>
      <c r="O3098" s="0" t="n">
        <f aca="false">E3098*G3098</f>
        <v>-0</v>
      </c>
      <c r="P3098" s="0" t="n">
        <f aca="false">E3098*H3098</f>
        <v>0</v>
      </c>
      <c r="Q3098" s="0" t="n">
        <f aca="false">F3098*G3098</f>
        <v>0.375</v>
      </c>
      <c r="R3098" s="0" t="n">
        <f aca="false">F3098*H3098</f>
        <v>-0.25</v>
      </c>
      <c r="S3098" s="0" t="n">
        <f aca="false">G3098*H3098</f>
        <v>-0.375</v>
      </c>
      <c r="T3098" s="0" t="n">
        <f aca="false">E3098*E3098</f>
        <v>0</v>
      </c>
      <c r="U3098" s="0" t="n">
        <f aca="false">F3098*F3098</f>
        <v>0.25</v>
      </c>
      <c r="V3098" s="0" t="n">
        <f aca="false">G3098*G3098</f>
        <v>0.5625</v>
      </c>
      <c r="W3098" s="0" t="n">
        <f aca="false">H3098*H3098</f>
        <v>0.25</v>
      </c>
      <c r="X3098" s="0" t="n">
        <f aca="false">SUMPRODUCT(I3098:W3098,_XtX!$B$96:$P$96)</f>
        <v>45.2633406432748</v>
      </c>
      <c r="Y3098" s="0" t="n">
        <f aca="false">SUMPRODUCT(MMULT(I3098:W3098,_XtX!$B$78:$P$92),I3098:W3098)</f>
        <v>0.21305052997076</v>
      </c>
      <c r="Z3098" s="0" t="n">
        <f aca="false">04_回帰ANOVA!$K$19*04_回帰ANOVA!$K$14*SQRT(1+Y3098)</f>
        <v>1.43561450835061</v>
      </c>
      <c r="AA3098" s="0" t="n">
        <f aca="false">X3098-Z3098</f>
        <v>43.8277261349242</v>
      </c>
      <c r="AB3098" s="0" t="n">
        <f aca="false">X3098+Z3098</f>
        <v>46.6989551516254</v>
      </c>
      <c r="AC3098" s="54" t="b">
        <f aca="false">AND(E3098&gt;=01_因子設定!$L$5-0.000000001,E3098&lt;=01_因子設定!$M$5+0.000000001,F3098&gt;=01_因子設定!$L$6-0.000000001,F3098&lt;=01_因子設定!$M$6+0.000000001,G3098&gt;=01_因子設定!$L$7-0.000000001,G3098&lt;=01_因子設定!$M$7+0.000000001,H3098&gt;=01_因子設定!$L$8-0.000000001,H3098&lt;=01_因子設定!$M$8+0.000000001,IF(01_因子設定!$B$20="Box-Behnken",E3098^2+F3098^2+G3098^2+H3098^2&lt;=2+0.000000001,TRUE()))</f>
        <v>1</v>
      </c>
      <c r="AD3098" s="55" t="n">
        <f aca="false">IF(AC3098,IF(01_因子設定!$B$13="最大化",AA3098-01_因子設定!$B$14,IF(01_因子設定!$B$13="最小化",01_因子設定!$B$15-AB3098,MIN(AA3098-01_因子設定!$B$14,01_因子設定!$B$15-AB3098))),-1E+030)</f>
        <v>-2.6722738650758</v>
      </c>
      <c r="AE3098" s="55" t="n">
        <f aca="false">IF(AC3098,IF(01_因子設定!$B$13="最大化",X3098,IF(01_因子設定!$B$13="最小化",-X3098,-ABS(X3098-01_因子設定!$B$16))),-1E+030)</f>
        <v>45.2633406432748</v>
      </c>
      <c r="AF3098" s="55" t="n">
        <f aca="false">AD3098+ROW()*0.000000001</f>
        <v>-2.6722707670758</v>
      </c>
      <c r="AG3098" s="55" t="n">
        <f aca="false">AE3098+ROW()*0.000000001</f>
        <v>45.2633437412748</v>
      </c>
    </row>
    <row r="3099" customFormat="false" ht="15" hidden="false" customHeight="false" outlineLevel="0" collapsed="false">
      <c r="A3099" s="0" t="n">
        <v>4</v>
      </c>
      <c r="B3099" s="0" t="n">
        <v>2</v>
      </c>
      <c r="C3099" s="0" t="n">
        <v>1</v>
      </c>
      <c r="D3099" s="0" t="n">
        <v>7</v>
      </c>
      <c r="E3099" s="0" t="n">
        <f aca="false">-1+A3099*0.25</f>
        <v>0</v>
      </c>
      <c r="F3099" s="0" t="n">
        <f aca="false">-1+B3099*0.25</f>
        <v>-0.5</v>
      </c>
      <c r="G3099" s="0" t="n">
        <f aca="false">-1+C3099*0.25</f>
        <v>-0.75</v>
      </c>
      <c r="H3099" s="0" t="n">
        <f aca="false">-1+D3099*0.25</f>
        <v>0.75</v>
      </c>
      <c r="I3099" s="0" t="n">
        <f aca="false">1</f>
        <v>1</v>
      </c>
      <c r="J3099" s="0" t="n">
        <f aca="false">E3099</f>
        <v>0</v>
      </c>
      <c r="K3099" s="0" t="n">
        <f aca="false">F3099</f>
        <v>-0.5</v>
      </c>
      <c r="L3099" s="0" t="n">
        <f aca="false">G3099</f>
        <v>-0.75</v>
      </c>
      <c r="M3099" s="0" t="n">
        <f aca="false">H3099</f>
        <v>0.75</v>
      </c>
      <c r="N3099" s="0" t="n">
        <f aca="false">E3099*F3099</f>
        <v>-0</v>
      </c>
      <c r="O3099" s="0" t="n">
        <f aca="false">E3099*G3099</f>
        <v>-0</v>
      </c>
      <c r="P3099" s="0" t="n">
        <f aca="false">E3099*H3099</f>
        <v>0</v>
      </c>
      <c r="Q3099" s="0" t="n">
        <f aca="false">F3099*G3099</f>
        <v>0.375</v>
      </c>
      <c r="R3099" s="0" t="n">
        <f aca="false">F3099*H3099</f>
        <v>-0.375</v>
      </c>
      <c r="S3099" s="0" t="n">
        <f aca="false">G3099*H3099</f>
        <v>-0.5625</v>
      </c>
      <c r="T3099" s="0" t="n">
        <f aca="false">E3099*E3099</f>
        <v>0</v>
      </c>
      <c r="U3099" s="0" t="n">
        <f aca="false">F3099*F3099</f>
        <v>0.25</v>
      </c>
      <c r="V3099" s="0" t="n">
        <f aca="false">G3099*G3099</f>
        <v>0.5625</v>
      </c>
      <c r="W3099" s="0" t="n">
        <f aca="false">H3099*H3099</f>
        <v>0.5625</v>
      </c>
      <c r="X3099" s="0" t="n">
        <f aca="false">SUMPRODUCT(I3099:W3099,_XtX!$B$96:$P$96)</f>
        <v>45.2178682383041</v>
      </c>
      <c r="Y3099" s="0" t="n">
        <f aca="false">SUMPRODUCT(MMULT(I3099:W3099,_XtX!$B$78:$P$92),I3099:W3099)</f>
        <v>0.269923873812135</v>
      </c>
      <c r="Z3099" s="0" t="n">
        <f aca="false">04_回帰ANOVA!$K$19*04_回帰ANOVA!$K$14*SQRT(1+Y3099)</f>
        <v>1.46888310825501</v>
      </c>
      <c r="AA3099" s="0" t="n">
        <f aca="false">X3099-Z3099</f>
        <v>43.748985130049</v>
      </c>
      <c r="AB3099" s="0" t="n">
        <f aca="false">X3099+Z3099</f>
        <v>46.6867513465591</v>
      </c>
      <c r="AC3099" s="54" t="b">
        <f aca="false">AND(E3099&gt;=01_因子設定!$L$5-0.000000001,E3099&lt;=01_因子設定!$M$5+0.000000001,F3099&gt;=01_因子設定!$L$6-0.000000001,F3099&lt;=01_因子設定!$M$6+0.000000001,G3099&gt;=01_因子設定!$L$7-0.000000001,G3099&lt;=01_因子設定!$M$7+0.000000001,H3099&gt;=01_因子設定!$L$8-0.000000001,H3099&lt;=01_因子設定!$M$8+0.000000001,IF(01_因子設定!$B$20="Box-Behnken",E3099^2+F3099^2+G3099^2+H3099^2&lt;=2+0.000000001,TRUE()))</f>
        <v>1</v>
      </c>
      <c r="AD3099" s="55" t="n">
        <f aca="false">IF(AC3099,IF(01_因子設定!$B$13="最大化",AA3099-01_因子設定!$B$14,IF(01_因子設定!$B$13="最小化",01_因子設定!$B$15-AB3099,MIN(AA3099-01_因子設定!$B$14,01_因子設定!$B$15-AB3099))),-1E+030)</f>
        <v>-2.75101486995096</v>
      </c>
      <c r="AE3099" s="55" t="n">
        <f aca="false">IF(AC3099,IF(01_因子設定!$B$13="最大化",X3099,IF(01_因子設定!$B$13="最小化",-X3099,-ABS(X3099-01_因子設定!$B$16))),-1E+030)</f>
        <v>45.2178682383041</v>
      </c>
      <c r="AF3099" s="55" t="n">
        <f aca="false">AD3099+ROW()*0.000000001</f>
        <v>-2.75101177095096</v>
      </c>
      <c r="AG3099" s="55" t="n">
        <f aca="false">AE3099+ROW()*0.000000001</f>
        <v>45.2178713373041</v>
      </c>
    </row>
    <row r="3100" customFormat="false" ht="15" hidden="false" customHeight="false" outlineLevel="0" collapsed="false">
      <c r="A3100" s="0" t="n">
        <v>4</v>
      </c>
      <c r="B3100" s="0" t="n">
        <v>2</v>
      </c>
      <c r="C3100" s="0" t="n">
        <v>1</v>
      </c>
      <c r="D3100" s="0" t="n">
        <v>8</v>
      </c>
      <c r="E3100" s="0" t="n">
        <f aca="false">-1+A3100*0.25</f>
        <v>0</v>
      </c>
      <c r="F3100" s="0" t="n">
        <f aca="false">-1+B3100*0.25</f>
        <v>-0.5</v>
      </c>
      <c r="G3100" s="0" t="n">
        <f aca="false">-1+C3100*0.25</f>
        <v>-0.75</v>
      </c>
      <c r="H3100" s="0" t="n">
        <f aca="false">-1+D3100*0.25</f>
        <v>1</v>
      </c>
      <c r="I3100" s="0" t="n">
        <f aca="false">1</f>
        <v>1</v>
      </c>
      <c r="J3100" s="0" t="n">
        <f aca="false">E3100</f>
        <v>0</v>
      </c>
      <c r="K3100" s="0" t="n">
        <f aca="false">F3100</f>
        <v>-0.5</v>
      </c>
      <c r="L3100" s="0" t="n">
        <f aca="false">G3100</f>
        <v>-0.75</v>
      </c>
      <c r="M3100" s="0" t="n">
        <f aca="false">H3100</f>
        <v>1</v>
      </c>
      <c r="N3100" s="0" t="n">
        <f aca="false">E3100*F3100</f>
        <v>-0</v>
      </c>
      <c r="O3100" s="0" t="n">
        <f aca="false">E3100*G3100</f>
        <v>-0</v>
      </c>
      <c r="P3100" s="0" t="n">
        <f aca="false">E3100*H3100</f>
        <v>0</v>
      </c>
      <c r="Q3100" s="0" t="n">
        <f aca="false">F3100*G3100</f>
        <v>0.375</v>
      </c>
      <c r="R3100" s="0" t="n">
        <f aca="false">F3100*H3100</f>
        <v>-0.5</v>
      </c>
      <c r="S3100" s="0" t="n">
        <f aca="false">G3100*H3100</f>
        <v>-0.75</v>
      </c>
      <c r="T3100" s="0" t="n">
        <f aca="false">E3100*E3100</f>
        <v>0</v>
      </c>
      <c r="U3100" s="0" t="n">
        <f aca="false">F3100*F3100</f>
        <v>0.25</v>
      </c>
      <c r="V3100" s="0" t="n">
        <f aca="false">G3100*G3100</f>
        <v>0.5625</v>
      </c>
      <c r="W3100" s="0" t="n">
        <f aca="false">H3100*H3100</f>
        <v>1</v>
      </c>
      <c r="X3100" s="0" t="n">
        <f aca="false">SUMPRODUCT(I3100:W3100,_XtX!$B$96:$P$96)</f>
        <v>45.1245888157894</v>
      </c>
      <c r="Y3100" s="0" t="n">
        <f aca="false">SUMPRODUCT(MMULT(I3100:W3100,_XtX!$B$78:$P$92),I3100:W3100)</f>
        <v>0.476191292032164</v>
      </c>
      <c r="Z3100" s="0" t="n">
        <f aca="false">04_回帰ANOVA!$K$19*04_回帰ANOVA!$K$14*SQRT(1+Y3100)</f>
        <v>1.58368831471718</v>
      </c>
      <c r="AA3100" s="0" t="n">
        <f aca="false">X3100-Z3100</f>
        <v>43.5409005010723</v>
      </c>
      <c r="AB3100" s="0" t="n">
        <f aca="false">X3100+Z3100</f>
        <v>46.7082771305066</v>
      </c>
      <c r="AC3100" s="54" t="b">
        <f aca="false">AND(E3100&gt;=01_因子設定!$L$5-0.000000001,E3100&lt;=01_因子設定!$M$5+0.000000001,F3100&gt;=01_因子設定!$L$6-0.000000001,F3100&lt;=01_因子設定!$M$6+0.000000001,G3100&gt;=01_因子設定!$L$7-0.000000001,G3100&lt;=01_因子設定!$M$7+0.000000001,H3100&gt;=01_因子設定!$L$8-0.000000001,H3100&lt;=01_因子設定!$M$8+0.000000001,IF(01_因子設定!$B$20="Box-Behnken",E3100^2+F3100^2+G3100^2+H3100^2&lt;=2+0.000000001,TRUE()))</f>
        <v>1</v>
      </c>
      <c r="AD3100" s="55" t="n">
        <f aca="false">IF(AC3100,IF(01_因子設定!$B$13="最大化",AA3100-01_因子設定!$B$14,IF(01_因子設定!$B$13="最小化",01_因子設定!$B$15-AB3100,MIN(AA3100-01_因子設定!$B$14,01_因子設定!$B$15-AB3100))),-1E+030)</f>
        <v>-2.95909949892774</v>
      </c>
      <c r="AE3100" s="55" t="n">
        <f aca="false">IF(AC3100,IF(01_因子設定!$B$13="最大化",X3100,IF(01_因子設定!$B$13="最小化",-X3100,-ABS(X3100-01_因子設定!$B$16))),-1E+030)</f>
        <v>45.1245888157894</v>
      </c>
      <c r="AF3100" s="55" t="n">
        <f aca="false">AD3100+ROW()*0.000000001</f>
        <v>-2.95909639892774</v>
      </c>
      <c r="AG3100" s="55" t="n">
        <f aca="false">AE3100+ROW()*0.000000001</f>
        <v>45.1245919157894</v>
      </c>
    </row>
    <row r="3101" customFormat="false" ht="15" hidden="false" customHeight="false" outlineLevel="0" collapsed="false">
      <c r="A3101" s="0" t="n">
        <v>4</v>
      </c>
      <c r="B3101" s="0" t="n">
        <v>2</v>
      </c>
      <c r="C3101" s="0" t="n">
        <v>2</v>
      </c>
      <c r="D3101" s="0" t="n">
        <v>0</v>
      </c>
      <c r="E3101" s="0" t="n">
        <f aca="false">-1+A3101*0.25</f>
        <v>0</v>
      </c>
      <c r="F3101" s="0" t="n">
        <f aca="false">-1+B3101*0.25</f>
        <v>-0.5</v>
      </c>
      <c r="G3101" s="0" t="n">
        <f aca="false">-1+C3101*0.25</f>
        <v>-0.5</v>
      </c>
      <c r="H3101" s="0" t="n">
        <f aca="false">-1+D3101*0.25</f>
        <v>-1</v>
      </c>
      <c r="I3101" s="0" t="n">
        <f aca="false">1</f>
        <v>1</v>
      </c>
      <c r="J3101" s="0" t="n">
        <f aca="false">E3101</f>
        <v>0</v>
      </c>
      <c r="K3101" s="0" t="n">
        <f aca="false">F3101</f>
        <v>-0.5</v>
      </c>
      <c r="L3101" s="0" t="n">
        <f aca="false">G3101</f>
        <v>-0.5</v>
      </c>
      <c r="M3101" s="0" t="n">
        <f aca="false">H3101</f>
        <v>-1</v>
      </c>
      <c r="N3101" s="0" t="n">
        <f aca="false">E3101*F3101</f>
        <v>-0</v>
      </c>
      <c r="O3101" s="0" t="n">
        <f aca="false">E3101*G3101</f>
        <v>-0</v>
      </c>
      <c r="P3101" s="0" t="n">
        <f aca="false">E3101*H3101</f>
        <v>-0</v>
      </c>
      <c r="Q3101" s="0" t="n">
        <f aca="false">F3101*G3101</f>
        <v>0.25</v>
      </c>
      <c r="R3101" s="0" t="n">
        <f aca="false">F3101*H3101</f>
        <v>0.5</v>
      </c>
      <c r="S3101" s="0" t="n">
        <f aca="false">G3101*H3101</f>
        <v>0.5</v>
      </c>
      <c r="T3101" s="0" t="n">
        <f aca="false">E3101*E3101</f>
        <v>0</v>
      </c>
      <c r="U3101" s="0" t="n">
        <f aca="false">F3101*F3101</f>
        <v>0.25</v>
      </c>
      <c r="V3101" s="0" t="n">
        <f aca="false">G3101*G3101</f>
        <v>0.25</v>
      </c>
      <c r="W3101" s="0" t="n">
        <f aca="false">H3101*H3101</f>
        <v>1</v>
      </c>
      <c r="X3101" s="0" t="n">
        <f aca="false">SUMPRODUCT(I3101:W3101,_XtX!$B$96:$P$96)</f>
        <v>44.8803910818713</v>
      </c>
      <c r="Y3101" s="0" t="n">
        <f aca="false">SUMPRODUCT(MMULT(I3101:W3101,_XtX!$B$78:$P$92),I3101:W3101)</f>
        <v>0.441954495614035</v>
      </c>
      <c r="Z3101" s="0" t="n">
        <f aca="false">04_回帰ANOVA!$K$19*04_回帰ANOVA!$K$14*SQRT(1+Y3101)</f>
        <v>1.56521560968066</v>
      </c>
      <c r="AA3101" s="0" t="n">
        <f aca="false">X3101-Z3101</f>
        <v>43.3151754721907</v>
      </c>
      <c r="AB3101" s="0" t="n">
        <f aca="false">X3101+Z3101</f>
        <v>46.445606691552</v>
      </c>
      <c r="AC3101" s="54" t="b">
        <f aca="false">AND(E3101&gt;=01_因子設定!$L$5-0.000000001,E3101&lt;=01_因子設定!$M$5+0.000000001,F3101&gt;=01_因子設定!$L$6-0.000000001,F3101&lt;=01_因子設定!$M$6+0.000000001,G3101&gt;=01_因子設定!$L$7-0.000000001,G3101&lt;=01_因子設定!$M$7+0.000000001,H3101&gt;=01_因子設定!$L$8-0.000000001,H3101&lt;=01_因子設定!$M$8+0.000000001,IF(01_因子設定!$B$20="Box-Behnken",E3101^2+F3101^2+G3101^2+H3101^2&lt;=2+0.000000001,TRUE()))</f>
        <v>1</v>
      </c>
      <c r="AD3101" s="55" t="n">
        <f aca="false">IF(AC3101,IF(01_因子設定!$B$13="最大化",AA3101-01_因子設定!$B$14,IF(01_因子設定!$B$13="最小化",01_因子設定!$B$15-AB3101,MIN(AA3101-01_因子設定!$B$14,01_因子設定!$B$15-AB3101))),-1E+030)</f>
        <v>-3.18482452780935</v>
      </c>
      <c r="AE3101" s="55" t="n">
        <f aca="false">IF(AC3101,IF(01_因子設定!$B$13="最大化",X3101,IF(01_因子設定!$B$13="最小化",-X3101,-ABS(X3101-01_因子設定!$B$16))),-1E+030)</f>
        <v>44.8803910818713</v>
      </c>
      <c r="AF3101" s="55" t="n">
        <f aca="false">AD3101+ROW()*0.000000001</f>
        <v>-3.18482142680935</v>
      </c>
      <c r="AG3101" s="55" t="n">
        <f aca="false">AE3101+ROW()*0.000000001</f>
        <v>44.8803941828713</v>
      </c>
    </row>
    <row r="3102" customFormat="false" ht="15" hidden="false" customHeight="false" outlineLevel="0" collapsed="false">
      <c r="A3102" s="0" t="n">
        <v>4</v>
      </c>
      <c r="B3102" s="0" t="n">
        <v>2</v>
      </c>
      <c r="C3102" s="0" t="n">
        <v>2</v>
      </c>
      <c r="D3102" s="0" t="n">
        <v>1</v>
      </c>
      <c r="E3102" s="0" t="n">
        <f aca="false">-1+A3102*0.25</f>
        <v>0</v>
      </c>
      <c r="F3102" s="0" t="n">
        <f aca="false">-1+B3102*0.25</f>
        <v>-0.5</v>
      </c>
      <c r="G3102" s="0" t="n">
        <f aca="false">-1+C3102*0.25</f>
        <v>-0.5</v>
      </c>
      <c r="H3102" s="0" t="n">
        <f aca="false">-1+D3102*0.25</f>
        <v>-0.75</v>
      </c>
      <c r="I3102" s="0" t="n">
        <f aca="false">1</f>
        <v>1</v>
      </c>
      <c r="J3102" s="0" t="n">
        <f aca="false">E3102</f>
        <v>0</v>
      </c>
      <c r="K3102" s="0" t="n">
        <f aca="false">F3102</f>
        <v>-0.5</v>
      </c>
      <c r="L3102" s="0" t="n">
        <f aca="false">G3102</f>
        <v>-0.5</v>
      </c>
      <c r="M3102" s="0" t="n">
        <f aca="false">H3102</f>
        <v>-0.75</v>
      </c>
      <c r="N3102" s="0" t="n">
        <f aca="false">E3102*F3102</f>
        <v>-0</v>
      </c>
      <c r="O3102" s="0" t="n">
        <f aca="false">E3102*G3102</f>
        <v>-0</v>
      </c>
      <c r="P3102" s="0" t="n">
        <f aca="false">E3102*H3102</f>
        <v>-0</v>
      </c>
      <c r="Q3102" s="0" t="n">
        <f aca="false">F3102*G3102</f>
        <v>0.25</v>
      </c>
      <c r="R3102" s="0" t="n">
        <f aca="false">F3102*H3102</f>
        <v>0.375</v>
      </c>
      <c r="S3102" s="0" t="n">
        <f aca="false">G3102*H3102</f>
        <v>0.375</v>
      </c>
      <c r="T3102" s="0" t="n">
        <f aca="false">E3102*E3102</f>
        <v>0</v>
      </c>
      <c r="U3102" s="0" t="n">
        <f aca="false">F3102*F3102</f>
        <v>0.25</v>
      </c>
      <c r="V3102" s="0" t="n">
        <f aca="false">G3102*G3102</f>
        <v>0.25</v>
      </c>
      <c r="W3102" s="0" t="n">
        <f aca="false">H3102*H3102</f>
        <v>0.5625</v>
      </c>
      <c r="X3102" s="0" t="n">
        <f aca="false">SUMPRODUCT(I3102:W3102,_XtX!$B$96:$P$96)</f>
        <v>45.1397295321637</v>
      </c>
      <c r="Y3102" s="0" t="n">
        <f aca="false">SUMPRODUCT(MMULT(I3102:W3102,_XtX!$B$78:$P$92),I3102:W3102)</f>
        <v>0.21305052997076</v>
      </c>
      <c r="Z3102" s="0" t="n">
        <f aca="false">04_回帰ANOVA!$K$19*04_回帰ANOVA!$K$14*SQRT(1+Y3102)</f>
        <v>1.43561450835061</v>
      </c>
      <c r="AA3102" s="0" t="n">
        <f aca="false">X3102-Z3102</f>
        <v>43.7041150238131</v>
      </c>
      <c r="AB3102" s="0" t="n">
        <f aca="false">X3102+Z3102</f>
        <v>46.5753440405143</v>
      </c>
      <c r="AC3102" s="54" t="b">
        <f aca="false">AND(E3102&gt;=01_因子設定!$L$5-0.000000001,E3102&lt;=01_因子設定!$M$5+0.000000001,F3102&gt;=01_因子設定!$L$6-0.000000001,F3102&lt;=01_因子設定!$M$6+0.000000001,G3102&gt;=01_因子設定!$L$7-0.000000001,G3102&lt;=01_因子設定!$M$7+0.000000001,H3102&gt;=01_因子設定!$L$8-0.000000001,H3102&lt;=01_因子設定!$M$8+0.000000001,IF(01_因子設定!$B$20="Box-Behnken",E3102^2+F3102^2+G3102^2+H3102^2&lt;=2+0.000000001,TRUE()))</f>
        <v>1</v>
      </c>
      <c r="AD3102" s="55" t="n">
        <f aca="false">IF(AC3102,IF(01_因子設定!$B$13="最大化",AA3102-01_因子設定!$B$14,IF(01_因子設定!$B$13="最小化",01_因子設定!$B$15-AB3102,MIN(AA3102-01_因子設定!$B$14,01_因子設定!$B$15-AB3102))),-1E+030)</f>
        <v>-2.7958849761869</v>
      </c>
      <c r="AE3102" s="55" t="n">
        <f aca="false">IF(AC3102,IF(01_因子設定!$B$13="最大化",X3102,IF(01_因子設定!$B$13="最小化",-X3102,-ABS(X3102-01_因子設定!$B$16))),-1E+030)</f>
        <v>45.1397295321637</v>
      </c>
      <c r="AF3102" s="55" t="n">
        <f aca="false">AD3102+ROW()*0.000000001</f>
        <v>-2.7958818741869</v>
      </c>
      <c r="AG3102" s="55" t="n">
        <f aca="false">AE3102+ROW()*0.000000001</f>
        <v>45.1397326341637</v>
      </c>
    </row>
    <row r="3103" customFormat="false" ht="15" hidden="false" customHeight="false" outlineLevel="0" collapsed="false">
      <c r="A3103" s="0" t="n">
        <v>4</v>
      </c>
      <c r="B3103" s="0" t="n">
        <v>2</v>
      </c>
      <c r="C3103" s="0" t="n">
        <v>2</v>
      </c>
      <c r="D3103" s="0" t="n">
        <v>2</v>
      </c>
      <c r="E3103" s="0" t="n">
        <f aca="false">-1+A3103*0.25</f>
        <v>0</v>
      </c>
      <c r="F3103" s="0" t="n">
        <f aca="false">-1+B3103*0.25</f>
        <v>-0.5</v>
      </c>
      <c r="G3103" s="0" t="n">
        <f aca="false">-1+C3103*0.25</f>
        <v>-0.5</v>
      </c>
      <c r="H3103" s="0" t="n">
        <f aca="false">-1+D3103*0.25</f>
        <v>-0.5</v>
      </c>
      <c r="I3103" s="0" t="n">
        <f aca="false">1</f>
        <v>1</v>
      </c>
      <c r="J3103" s="0" t="n">
        <f aca="false">E3103</f>
        <v>0</v>
      </c>
      <c r="K3103" s="0" t="n">
        <f aca="false">F3103</f>
        <v>-0.5</v>
      </c>
      <c r="L3103" s="0" t="n">
        <f aca="false">G3103</f>
        <v>-0.5</v>
      </c>
      <c r="M3103" s="0" t="n">
        <f aca="false">H3103</f>
        <v>-0.5</v>
      </c>
      <c r="N3103" s="0" t="n">
        <f aca="false">E3103*F3103</f>
        <v>-0</v>
      </c>
      <c r="O3103" s="0" t="n">
        <f aca="false">E3103*G3103</f>
        <v>-0</v>
      </c>
      <c r="P3103" s="0" t="n">
        <f aca="false">E3103*H3103</f>
        <v>-0</v>
      </c>
      <c r="Q3103" s="0" t="n">
        <f aca="false">F3103*G3103</f>
        <v>0.25</v>
      </c>
      <c r="R3103" s="0" t="n">
        <f aca="false">F3103*H3103</f>
        <v>0.25</v>
      </c>
      <c r="S3103" s="0" t="n">
        <f aca="false">G3103*H3103</f>
        <v>0.25</v>
      </c>
      <c r="T3103" s="0" t="n">
        <f aca="false">E3103*E3103</f>
        <v>0</v>
      </c>
      <c r="U3103" s="0" t="n">
        <f aca="false">F3103*F3103</f>
        <v>0.25</v>
      </c>
      <c r="V3103" s="0" t="n">
        <f aca="false">G3103*G3103</f>
        <v>0.25</v>
      </c>
      <c r="W3103" s="0" t="n">
        <f aca="false">H3103*H3103</f>
        <v>0.25</v>
      </c>
      <c r="X3103" s="0" t="n">
        <f aca="false">SUMPRODUCT(I3103:W3103,_XtX!$B$96:$P$96)</f>
        <v>45.3512609649122</v>
      </c>
      <c r="Y3103" s="0" t="n">
        <f aca="false">SUMPRODUCT(MMULT(I3103:W3103,_XtX!$B$78:$P$92),I3103:W3103)</f>
        <v>0.140008223684211</v>
      </c>
      <c r="Z3103" s="0" t="n">
        <f aca="false">04_回帰ANOVA!$K$19*04_回帰ANOVA!$K$14*SQRT(1+Y3103)</f>
        <v>1.39172165492264</v>
      </c>
      <c r="AA3103" s="0" t="n">
        <f aca="false">X3103-Z3103</f>
        <v>43.9595393099896</v>
      </c>
      <c r="AB3103" s="0" t="n">
        <f aca="false">X3103+Z3103</f>
        <v>46.7429826198349</v>
      </c>
      <c r="AC3103" s="54" t="b">
        <f aca="false">AND(E3103&gt;=01_因子設定!$L$5-0.000000001,E3103&lt;=01_因子設定!$M$5+0.000000001,F3103&gt;=01_因子設定!$L$6-0.000000001,F3103&lt;=01_因子設定!$M$6+0.000000001,G3103&gt;=01_因子設定!$L$7-0.000000001,G3103&lt;=01_因子設定!$M$7+0.000000001,H3103&gt;=01_因子設定!$L$8-0.000000001,H3103&lt;=01_因子設定!$M$8+0.000000001,IF(01_因子設定!$B$20="Box-Behnken",E3103^2+F3103^2+G3103^2+H3103^2&lt;=2+0.000000001,TRUE()))</f>
        <v>1</v>
      </c>
      <c r="AD3103" s="55" t="n">
        <f aca="false">IF(AC3103,IF(01_因子設定!$B$13="最大化",AA3103-01_因子設定!$B$14,IF(01_因子設定!$B$13="最小化",01_因子設定!$B$15-AB3103,MIN(AA3103-01_因子設定!$B$14,01_因子設定!$B$15-AB3103))),-1E+030)</f>
        <v>-2.54046069001041</v>
      </c>
      <c r="AE3103" s="55" t="n">
        <f aca="false">IF(AC3103,IF(01_因子設定!$B$13="最大化",X3103,IF(01_因子設定!$B$13="最小化",-X3103,-ABS(X3103-01_因子設定!$B$16))),-1E+030)</f>
        <v>45.3512609649122</v>
      </c>
      <c r="AF3103" s="55" t="n">
        <f aca="false">AD3103+ROW()*0.000000001</f>
        <v>-2.54045758701041</v>
      </c>
      <c r="AG3103" s="55" t="n">
        <f aca="false">AE3103+ROW()*0.000000001</f>
        <v>45.3512640679122</v>
      </c>
    </row>
    <row r="3104" customFormat="false" ht="15" hidden="false" customHeight="false" outlineLevel="0" collapsed="false">
      <c r="A3104" s="0" t="n">
        <v>4</v>
      </c>
      <c r="B3104" s="0" t="n">
        <v>2</v>
      </c>
      <c r="C3104" s="0" t="n">
        <v>2</v>
      </c>
      <c r="D3104" s="0" t="n">
        <v>3</v>
      </c>
      <c r="E3104" s="0" t="n">
        <f aca="false">-1+A3104*0.25</f>
        <v>0</v>
      </c>
      <c r="F3104" s="0" t="n">
        <f aca="false">-1+B3104*0.25</f>
        <v>-0.5</v>
      </c>
      <c r="G3104" s="0" t="n">
        <f aca="false">-1+C3104*0.25</f>
        <v>-0.5</v>
      </c>
      <c r="H3104" s="0" t="n">
        <f aca="false">-1+D3104*0.25</f>
        <v>-0.25</v>
      </c>
      <c r="I3104" s="0" t="n">
        <f aca="false">1</f>
        <v>1</v>
      </c>
      <c r="J3104" s="0" t="n">
        <f aca="false">E3104</f>
        <v>0</v>
      </c>
      <c r="K3104" s="0" t="n">
        <f aca="false">F3104</f>
        <v>-0.5</v>
      </c>
      <c r="L3104" s="0" t="n">
        <f aca="false">G3104</f>
        <v>-0.5</v>
      </c>
      <c r="M3104" s="0" t="n">
        <f aca="false">H3104</f>
        <v>-0.25</v>
      </c>
      <c r="N3104" s="0" t="n">
        <f aca="false">E3104*F3104</f>
        <v>-0</v>
      </c>
      <c r="O3104" s="0" t="n">
        <f aca="false">E3104*G3104</f>
        <v>-0</v>
      </c>
      <c r="P3104" s="0" t="n">
        <f aca="false">E3104*H3104</f>
        <v>-0</v>
      </c>
      <c r="Q3104" s="0" t="n">
        <f aca="false">F3104*G3104</f>
        <v>0.25</v>
      </c>
      <c r="R3104" s="0" t="n">
        <f aca="false">F3104*H3104</f>
        <v>0.125</v>
      </c>
      <c r="S3104" s="0" t="n">
        <f aca="false">G3104*H3104</f>
        <v>0.125</v>
      </c>
      <c r="T3104" s="0" t="n">
        <f aca="false">E3104*E3104</f>
        <v>0</v>
      </c>
      <c r="U3104" s="0" t="n">
        <f aca="false">F3104*F3104</f>
        <v>0.25</v>
      </c>
      <c r="V3104" s="0" t="n">
        <f aca="false">G3104*G3104</f>
        <v>0.25</v>
      </c>
      <c r="W3104" s="0" t="n">
        <f aca="false">H3104*H3104</f>
        <v>0.0625</v>
      </c>
      <c r="X3104" s="0" t="n">
        <f aca="false">SUMPRODUCT(I3104:W3104,_XtX!$B$96:$P$96)</f>
        <v>45.5149853801169</v>
      </c>
      <c r="Y3104" s="0" t="n">
        <f aca="false">SUMPRODUCT(MMULT(I3104:W3104,_XtX!$B$78:$P$92),I3104:W3104)</f>
        <v>0.132367050438597</v>
      </c>
      <c r="Z3104" s="0" t="n">
        <f aca="false">04_回帰ANOVA!$K$19*04_回帰ANOVA!$K$14*SQRT(1+Y3104)</f>
        <v>1.38704964208329</v>
      </c>
      <c r="AA3104" s="0" t="n">
        <f aca="false">X3104-Z3104</f>
        <v>44.1279357380336</v>
      </c>
      <c r="AB3104" s="0" t="n">
        <f aca="false">X3104+Z3104</f>
        <v>46.9020350222002</v>
      </c>
      <c r="AC3104" s="54" t="b">
        <f aca="false">AND(E3104&gt;=01_因子設定!$L$5-0.000000001,E3104&lt;=01_因子設定!$M$5+0.000000001,F3104&gt;=01_因子設定!$L$6-0.000000001,F3104&lt;=01_因子設定!$M$6+0.000000001,G3104&gt;=01_因子設定!$L$7-0.000000001,G3104&lt;=01_因子設定!$M$7+0.000000001,H3104&gt;=01_因子設定!$L$8-0.000000001,H3104&lt;=01_因子設定!$M$8+0.000000001,IF(01_因子設定!$B$20="Box-Behnken",E3104^2+F3104^2+G3104^2+H3104^2&lt;=2+0.000000001,TRUE()))</f>
        <v>1</v>
      </c>
      <c r="AD3104" s="55" t="n">
        <f aca="false">IF(AC3104,IF(01_因子設定!$B$13="最大化",AA3104-01_因子設定!$B$14,IF(01_因子設定!$B$13="最小化",01_因子設定!$B$15-AB3104,MIN(AA3104-01_因子設定!$B$14,01_因子設定!$B$15-AB3104))),-1E+030)</f>
        <v>-2.37206426196639</v>
      </c>
      <c r="AE3104" s="55" t="n">
        <f aca="false">IF(AC3104,IF(01_因子設定!$B$13="最大化",X3104,IF(01_因子設定!$B$13="最小化",-X3104,-ABS(X3104-01_因子設定!$B$16))),-1E+030)</f>
        <v>45.5149853801169</v>
      </c>
      <c r="AF3104" s="55" t="n">
        <f aca="false">AD3104+ROW()*0.000000001</f>
        <v>-2.37206115796639</v>
      </c>
      <c r="AG3104" s="55" t="n">
        <f aca="false">AE3104+ROW()*0.000000001</f>
        <v>45.5149884841169</v>
      </c>
    </row>
    <row r="3105" customFormat="false" ht="15" hidden="false" customHeight="false" outlineLevel="0" collapsed="false">
      <c r="A3105" s="0" t="n">
        <v>4</v>
      </c>
      <c r="B3105" s="0" t="n">
        <v>2</v>
      </c>
      <c r="C3105" s="0" t="n">
        <v>2</v>
      </c>
      <c r="D3105" s="0" t="n">
        <v>4</v>
      </c>
      <c r="E3105" s="0" t="n">
        <f aca="false">-1+A3105*0.25</f>
        <v>0</v>
      </c>
      <c r="F3105" s="0" t="n">
        <f aca="false">-1+B3105*0.25</f>
        <v>-0.5</v>
      </c>
      <c r="G3105" s="0" t="n">
        <f aca="false">-1+C3105*0.25</f>
        <v>-0.5</v>
      </c>
      <c r="H3105" s="0" t="n">
        <f aca="false">-1+D3105*0.25</f>
        <v>0</v>
      </c>
      <c r="I3105" s="0" t="n">
        <f aca="false">1</f>
        <v>1</v>
      </c>
      <c r="J3105" s="0" t="n">
        <f aca="false">E3105</f>
        <v>0</v>
      </c>
      <c r="K3105" s="0" t="n">
        <f aca="false">F3105</f>
        <v>-0.5</v>
      </c>
      <c r="L3105" s="0" t="n">
        <f aca="false">G3105</f>
        <v>-0.5</v>
      </c>
      <c r="M3105" s="0" t="n">
        <f aca="false">H3105</f>
        <v>0</v>
      </c>
      <c r="N3105" s="0" t="n">
        <f aca="false">E3105*F3105</f>
        <v>-0</v>
      </c>
      <c r="O3105" s="0" t="n">
        <f aca="false">E3105*G3105</f>
        <v>-0</v>
      </c>
      <c r="P3105" s="0" t="n">
        <f aca="false">E3105*H3105</f>
        <v>0</v>
      </c>
      <c r="Q3105" s="0" t="n">
        <f aca="false">F3105*G3105</f>
        <v>0.25</v>
      </c>
      <c r="R3105" s="0" t="n">
        <f aca="false">F3105*H3105</f>
        <v>-0</v>
      </c>
      <c r="S3105" s="0" t="n">
        <f aca="false">G3105*H3105</f>
        <v>-0</v>
      </c>
      <c r="T3105" s="0" t="n">
        <f aca="false">E3105*E3105</f>
        <v>0</v>
      </c>
      <c r="U3105" s="0" t="n">
        <f aca="false">F3105*F3105</f>
        <v>0.25</v>
      </c>
      <c r="V3105" s="0" t="n">
        <f aca="false">G3105*G3105</f>
        <v>0.25</v>
      </c>
      <c r="W3105" s="0" t="n">
        <f aca="false">H3105*H3105</f>
        <v>0</v>
      </c>
      <c r="X3105" s="0" t="n">
        <f aca="false">SUMPRODUCT(I3105:W3105,_XtX!$B$96:$P$96)</f>
        <v>45.6309027777777</v>
      </c>
      <c r="Y3105" s="0" t="n">
        <f aca="false">SUMPRODUCT(MMULT(I3105:W3105,_XtX!$B$78:$P$92),I3105:W3105)</f>
        <v>0.135850694444444</v>
      </c>
      <c r="Z3105" s="0" t="n">
        <f aca="false">04_回帰ANOVA!$K$19*04_回帰ANOVA!$K$14*SQRT(1+Y3105)</f>
        <v>1.38918158179389</v>
      </c>
      <c r="AA3105" s="0" t="n">
        <f aca="false">X3105-Z3105</f>
        <v>44.2417211959838</v>
      </c>
      <c r="AB3105" s="0" t="n">
        <f aca="false">X3105+Z3105</f>
        <v>47.0200843595716</v>
      </c>
      <c r="AC3105" s="54" t="b">
        <f aca="false">AND(E3105&gt;=01_因子設定!$L$5-0.000000001,E3105&lt;=01_因子設定!$M$5+0.000000001,F3105&gt;=01_因子設定!$L$6-0.000000001,F3105&lt;=01_因子設定!$M$6+0.000000001,G3105&gt;=01_因子設定!$L$7-0.000000001,G3105&lt;=01_因子設定!$M$7+0.000000001,H3105&gt;=01_因子設定!$L$8-0.000000001,H3105&lt;=01_因子設定!$M$8+0.000000001,IF(01_因子設定!$B$20="Box-Behnken",E3105^2+F3105^2+G3105^2+H3105^2&lt;=2+0.000000001,TRUE()))</f>
        <v>1</v>
      </c>
      <c r="AD3105" s="55" t="n">
        <f aca="false">IF(AC3105,IF(01_因子設定!$B$13="最大化",AA3105-01_因子設定!$B$14,IF(01_因子設定!$B$13="最小化",01_因子設定!$B$15-AB3105,MIN(AA3105-01_因子設定!$B$14,01_因子設定!$B$15-AB3105))),-1E+030)</f>
        <v>-2.25827880401618</v>
      </c>
      <c r="AE3105" s="55" t="n">
        <f aca="false">IF(AC3105,IF(01_因子設定!$B$13="最大化",X3105,IF(01_因子設定!$B$13="最小化",-X3105,-ABS(X3105-01_因子設定!$B$16))),-1E+030)</f>
        <v>45.6309027777777</v>
      </c>
      <c r="AF3105" s="55" t="n">
        <f aca="false">AD3105+ROW()*0.000000001</f>
        <v>-2.25827569901618</v>
      </c>
      <c r="AG3105" s="55" t="n">
        <f aca="false">AE3105+ROW()*0.000000001</f>
        <v>45.6309058827777</v>
      </c>
    </row>
    <row r="3106" customFormat="false" ht="15" hidden="false" customHeight="false" outlineLevel="0" collapsed="false">
      <c r="A3106" s="0" t="n">
        <v>4</v>
      </c>
      <c r="B3106" s="0" t="n">
        <v>2</v>
      </c>
      <c r="C3106" s="0" t="n">
        <v>2</v>
      </c>
      <c r="D3106" s="0" t="n">
        <v>5</v>
      </c>
      <c r="E3106" s="0" t="n">
        <f aca="false">-1+A3106*0.25</f>
        <v>0</v>
      </c>
      <c r="F3106" s="0" t="n">
        <f aca="false">-1+B3106*0.25</f>
        <v>-0.5</v>
      </c>
      <c r="G3106" s="0" t="n">
        <f aca="false">-1+C3106*0.25</f>
        <v>-0.5</v>
      </c>
      <c r="H3106" s="0" t="n">
        <f aca="false">-1+D3106*0.25</f>
        <v>0.25</v>
      </c>
      <c r="I3106" s="0" t="n">
        <f aca="false">1</f>
        <v>1</v>
      </c>
      <c r="J3106" s="0" t="n">
        <f aca="false">E3106</f>
        <v>0</v>
      </c>
      <c r="K3106" s="0" t="n">
        <f aca="false">F3106</f>
        <v>-0.5</v>
      </c>
      <c r="L3106" s="0" t="n">
        <f aca="false">G3106</f>
        <v>-0.5</v>
      </c>
      <c r="M3106" s="0" t="n">
        <f aca="false">H3106</f>
        <v>0.25</v>
      </c>
      <c r="N3106" s="0" t="n">
        <f aca="false">E3106*F3106</f>
        <v>-0</v>
      </c>
      <c r="O3106" s="0" t="n">
        <f aca="false">E3106*G3106</f>
        <v>-0</v>
      </c>
      <c r="P3106" s="0" t="n">
        <f aca="false">E3106*H3106</f>
        <v>0</v>
      </c>
      <c r="Q3106" s="0" t="n">
        <f aca="false">F3106*G3106</f>
        <v>0.25</v>
      </c>
      <c r="R3106" s="0" t="n">
        <f aca="false">F3106*H3106</f>
        <v>-0.125</v>
      </c>
      <c r="S3106" s="0" t="n">
        <f aca="false">G3106*H3106</f>
        <v>-0.125</v>
      </c>
      <c r="T3106" s="0" t="n">
        <f aca="false">E3106*E3106</f>
        <v>0</v>
      </c>
      <c r="U3106" s="0" t="n">
        <f aca="false">F3106*F3106</f>
        <v>0.25</v>
      </c>
      <c r="V3106" s="0" t="n">
        <f aca="false">G3106*G3106</f>
        <v>0.25</v>
      </c>
      <c r="W3106" s="0" t="n">
        <f aca="false">H3106*H3106</f>
        <v>0.0625</v>
      </c>
      <c r="X3106" s="0" t="n">
        <f aca="false">SUMPRODUCT(I3106:W3106,_XtX!$B$96:$P$96)</f>
        <v>45.6990131578947</v>
      </c>
      <c r="Y3106" s="0" t="n">
        <f aca="false">SUMPRODUCT(MMULT(I3106:W3106,_XtX!$B$78:$P$92),I3106:W3106)</f>
        <v>0.132367050438597</v>
      </c>
      <c r="Z3106" s="0" t="n">
        <f aca="false">04_回帰ANOVA!$K$19*04_回帰ANOVA!$K$14*SQRT(1+Y3106)</f>
        <v>1.38704964208329</v>
      </c>
      <c r="AA3106" s="0" t="n">
        <f aca="false">X3106-Z3106</f>
        <v>44.3119635158114</v>
      </c>
      <c r="AB3106" s="0" t="n">
        <f aca="false">X3106+Z3106</f>
        <v>47.086062799978</v>
      </c>
      <c r="AC3106" s="54" t="b">
        <f aca="false">AND(E3106&gt;=01_因子設定!$L$5-0.000000001,E3106&lt;=01_因子設定!$M$5+0.000000001,F3106&gt;=01_因子設定!$L$6-0.000000001,F3106&lt;=01_因子設定!$M$6+0.000000001,G3106&gt;=01_因子設定!$L$7-0.000000001,G3106&lt;=01_因子設定!$M$7+0.000000001,H3106&gt;=01_因子設定!$L$8-0.000000001,H3106&lt;=01_因子設定!$M$8+0.000000001,IF(01_因子設定!$B$20="Box-Behnken",E3106^2+F3106^2+G3106^2+H3106^2&lt;=2+0.000000001,TRUE()))</f>
        <v>1</v>
      </c>
      <c r="AD3106" s="55" t="n">
        <f aca="false">IF(AC3106,IF(01_因子設定!$B$13="最大化",AA3106-01_因子設定!$B$14,IF(01_因子設定!$B$13="最小化",01_因子設定!$B$15-AB3106,MIN(AA3106-01_因子設定!$B$14,01_因子設定!$B$15-AB3106))),-1E+030)</f>
        <v>-2.18803648418862</v>
      </c>
      <c r="AE3106" s="55" t="n">
        <f aca="false">IF(AC3106,IF(01_因子設定!$B$13="最大化",X3106,IF(01_因子設定!$B$13="最小化",-X3106,-ABS(X3106-01_因子設定!$B$16))),-1E+030)</f>
        <v>45.6990131578947</v>
      </c>
      <c r="AF3106" s="55" t="n">
        <f aca="false">AD3106+ROW()*0.000000001</f>
        <v>-2.18803337818862</v>
      </c>
      <c r="AG3106" s="55" t="n">
        <f aca="false">AE3106+ROW()*0.000000001</f>
        <v>45.6990162638947</v>
      </c>
    </row>
    <row r="3107" customFormat="false" ht="15" hidden="false" customHeight="false" outlineLevel="0" collapsed="false">
      <c r="A3107" s="0" t="n">
        <v>4</v>
      </c>
      <c r="B3107" s="0" t="n">
        <v>2</v>
      </c>
      <c r="C3107" s="0" t="n">
        <v>2</v>
      </c>
      <c r="D3107" s="0" t="n">
        <v>6</v>
      </c>
      <c r="E3107" s="0" t="n">
        <f aca="false">-1+A3107*0.25</f>
        <v>0</v>
      </c>
      <c r="F3107" s="0" t="n">
        <f aca="false">-1+B3107*0.25</f>
        <v>-0.5</v>
      </c>
      <c r="G3107" s="0" t="n">
        <f aca="false">-1+C3107*0.25</f>
        <v>-0.5</v>
      </c>
      <c r="H3107" s="0" t="n">
        <f aca="false">-1+D3107*0.25</f>
        <v>0.5</v>
      </c>
      <c r="I3107" s="0" t="n">
        <f aca="false">1</f>
        <v>1</v>
      </c>
      <c r="J3107" s="0" t="n">
        <f aca="false">E3107</f>
        <v>0</v>
      </c>
      <c r="K3107" s="0" t="n">
        <f aca="false">F3107</f>
        <v>-0.5</v>
      </c>
      <c r="L3107" s="0" t="n">
        <f aca="false">G3107</f>
        <v>-0.5</v>
      </c>
      <c r="M3107" s="0" t="n">
        <f aca="false">H3107</f>
        <v>0.5</v>
      </c>
      <c r="N3107" s="0" t="n">
        <f aca="false">E3107*F3107</f>
        <v>-0</v>
      </c>
      <c r="O3107" s="0" t="n">
        <f aca="false">E3107*G3107</f>
        <v>-0</v>
      </c>
      <c r="P3107" s="0" t="n">
        <f aca="false">E3107*H3107</f>
        <v>0</v>
      </c>
      <c r="Q3107" s="0" t="n">
        <f aca="false">F3107*G3107</f>
        <v>0.25</v>
      </c>
      <c r="R3107" s="0" t="n">
        <f aca="false">F3107*H3107</f>
        <v>-0.25</v>
      </c>
      <c r="S3107" s="0" t="n">
        <f aca="false">G3107*H3107</f>
        <v>-0.25</v>
      </c>
      <c r="T3107" s="0" t="n">
        <f aca="false">E3107*E3107</f>
        <v>0</v>
      </c>
      <c r="U3107" s="0" t="n">
        <f aca="false">F3107*F3107</f>
        <v>0.25</v>
      </c>
      <c r="V3107" s="0" t="n">
        <f aca="false">G3107*G3107</f>
        <v>0.25</v>
      </c>
      <c r="W3107" s="0" t="n">
        <f aca="false">H3107*H3107</f>
        <v>0.25</v>
      </c>
      <c r="X3107" s="0" t="n">
        <f aca="false">SUMPRODUCT(I3107:W3107,_XtX!$B$96:$P$96)</f>
        <v>45.7193165204678</v>
      </c>
      <c r="Y3107" s="0" t="n">
        <f aca="false">SUMPRODUCT(MMULT(I3107:W3107,_XtX!$B$78:$P$92),I3107:W3107)</f>
        <v>0.140008223684211</v>
      </c>
      <c r="Z3107" s="0" t="n">
        <f aca="false">04_回帰ANOVA!$K$19*04_回帰ANOVA!$K$14*SQRT(1+Y3107)</f>
        <v>1.39172165492264</v>
      </c>
      <c r="AA3107" s="0" t="n">
        <f aca="false">X3107-Z3107</f>
        <v>44.3275948655451</v>
      </c>
      <c r="AB3107" s="0" t="n">
        <f aca="false">X3107+Z3107</f>
        <v>47.1110381753904</v>
      </c>
      <c r="AC3107" s="54" t="b">
        <f aca="false">AND(E3107&gt;=01_因子設定!$L$5-0.000000001,E3107&lt;=01_因子設定!$M$5+0.000000001,F3107&gt;=01_因子設定!$L$6-0.000000001,F3107&lt;=01_因子設定!$M$6+0.000000001,G3107&gt;=01_因子設定!$L$7-0.000000001,G3107&lt;=01_因子設定!$M$7+0.000000001,H3107&gt;=01_因子設定!$L$8-0.000000001,H3107&lt;=01_因子設定!$M$8+0.000000001,IF(01_因子設定!$B$20="Box-Behnken",E3107^2+F3107^2+G3107^2+H3107^2&lt;=2+0.000000001,TRUE()))</f>
        <v>1</v>
      </c>
      <c r="AD3107" s="55" t="n">
        <f aca="false">IF(AC3107,IF(01_因子設定!$B$13="最大化",AA3107-01_因子設定!$B$14,IF(01_因子設定!$B$13="最小化",01_因子設定!$B$15-AB3107,MIN(AA3107-01_因子設定!$B$14,01_因子設定!$B$15-AB3107))),-1E+030)</f>
        <v>-2.17240513445486</v>
      </c>
      <c r="AE3107" s="55" t="n">
        <f aca="false">IF(AC3107,IF(01_因子設定!$B$13="最大化",X3107,IF(01_因子設定!$B$13="最小化",-X3107,-ABS(X3107-01_因子設定!$B$16))),-1E+030)</f>
        <v>45.7193165204678</v>
      </c>
      <c r="AF3107" s="55" t="n">
        <f aca="false">AD3107+ROW()*0.000000001</f>
        <v>-2.17240202745486</v>
      </c>
      <c r="AG3107" s="55" t="n">
        <f aca="false">AE3107+ROW()*0.000000001</f>
        <v>45.7193196274678</v>
      </c>
    </row>
    <row r="3108" customFormat="false" ht="15" hidden="false" customHeight="false" outlineLevel="0" collapsed="false">
      <c r="A3108" s="0" t="n">
        <v>4</v>
      </c>
      <c r="B3108" s="0" t="n">
        <v>2</v>
      </c>
      <c r="C3108" s="0" t="n">
        <v>2</v>
      </c>
      <c r="D3108" s="0" t="n">
        <v>7</v>
      </c>
      <c r="E3108" s="0" t="n">
        <f aca="false">-1+A3108*0.25</f>
        <v>0</v>
      </c>
      <c r="F3108" s="0" t="n">
        <f aca="false">-1+B3108*0.25</f>
        <v>-0.5</v>
      </c>
      <c r="G3108" s="0" t="n">
        <f aca="false">-1+C3108*0.25</f>
        <v>-0.5</v>
      </c>
      <c r="H3108" s="0" t="n">
        <f aca="false">-1+D3108*0.25</f>
        <v>0.75</v>
      </c>
      <c r="I3108" s="0" t="n">
        <f aca="false">1</f>
        <v>1</v>
      </c>
      <c r="J3108" s="0" t="n">
        <f aca="false">E3108</f>
        <v>0</v>
      </c>
      <c r="K3108" s="0" t="n">
        <f aca="false">F3108</f>
        <v>-0.5</v>
      </c>
      <c r="L3108" s="0" t="n">
        <f aca="false">G3108</f>
        <v>-0.5</v>
      </c>
      <c r="M3108" s="0" t="n">
        <f aca="false">H3108</f>
        <v>0.75</v>
      </c>
      <c r="N3108" s="0" t="n">
        <f aca="false">E3108*F3108</f>
        <v>-0</v>
      </c>
      <c r="O3108" s="0" t="n">
        <f aca="false">E3108*G3108</f>
        <v>-0</v>
      </c>
      <c r="P3108" s="0" t="n">
        <f aca="false">E3108*H3108</f>
        <v>0</v>
      </c>
      <c r="Q3108" s="0" t="n">
        <f aca="false">F3108*G3108</f>
        <v>0.25</v>
      </c>
      <c r="R3108" s="0" t="n">
        <f aca="false">F3108*H3108</f>
        <v>-0.375</v>
      </c>
      <c r="S3108" s="0" t="n">
        <f aca="false">G3108*H3108</f>
        <v>-0.375</v>
      </c>
      <c r="T3108" s="0" t="n">
        <f aca="false">E3108*E3108</f>
        <v>0</v>
      </c>
      <c r="U3108" s="0" t="n">
        <f aca="false">F3108*F3108</f>
        <v>0.25</v>
      </c>
      <c r="V3108" s="0" t="n">
        <f aca="false">G3108*G3108</f>
        <v>0.25</v>
      </c>
      <c r="W3108" s="0" t="n">
        <f aca="false">H3108*H3108</f>
        <v>0.5625</v>
      </c>
      <c r="X3108" s="0" t="n">
        <f aca="false">SUMPRODUCT(I3108:W3108,_XtX!$B$96:$P$96)</f>
        <v>45.691812865497</v>
      </c>
      <c r="Y3108" s="0" t="n">
        <f aca="false">SUMPRODUCT(MMULT(I3108:W3108,_XtX!$B$78:$P$92),I3108:W3108)</f>
        <v>0.21305052997076</v>
      </c>
      <c r="Z3108" s="0" t="n">
        <f aca="false">04_回帰ANOVA!$K$19*04_回帰ANOVA!$K$14*SQRT(1+Y3108)</f>
        <v>1.43561450835061</v>
      </c>
      <c r="AA3108" s="0" t="n">
        <f aca="false">X3108-Z3108</f>
        <v>44.2561983571464</v>
      </c>
      <c r="AB3108" s="0" t="n">
        <f aca="false">X3108+Z3108</f>
        <v>47.1274273738476</v>
      </c>
      <c r="AC3108" s="54" t="b">
        <f aca="false">AND(E3108&gt;=01_因子設定!$L$5-0.000000001,E3108&lt;=01_因子設定!$M$5+0.000000001,F3108&gt;=01_因子設定!$L$6-0.000000001,F3108&lt;=01_因子設定!$M$6+0.000000001,G3108&gt;=01_因子設定!$L$7-0.000000001,G3108&lt;=01_因子設定!$M$7+0.000000001,H3108&gt;=01_因子設定!$L$8-0.000000001,H3108&lt;=01_因子設定!$M$8+0.000000001,IF(01_因子設定!$B$20="Box-Behnken",E3108^2+F3108^2+G3108^2+H3108^2&lt;=2+0.000000001,TRUE()))</f>
        <v>1</v>
      </c>
      <c r="AD3108" s="55" t="n">
        <f aca="false">IF(AC3108,IF(01_因子設定!$B$13="最大化",AA3108-01_因子設定!$B$14,IF(01_因子設定!$B$13="最小化",01_因子設定!$B$15-AB3108,MIN(AA3108-01_因子設定!$B$14,01_因子設定!$B$15-AB3108))),-1E+030)</f>
        <v>-2.24380164285358</v>
      </c>
      <c r="AE3108" s="55" t="n">
        <f aca="false">IF(AC3108,IF(01_因子設定!$B$13="最大化",X3108,IF(01_因子設定!$B$13="最小化",-X3108,-ABS(X3108-01_因子設定!$B$16))),-1E+030)</f>
        <v>45.691812865497</v>
      </c>
      <c r="AF3108" s="55" t="n">
        <f aca="false">AD3108+ROW()*0.000000001</f>
        <v>-2.24379853485358</v>
      </c>
      <c r="AG3108" s="55" t="n">
        <f aca="false">AE3108+ROW()*0.000000001</f>
        <v>45.691815973497</v>
      </c>
    </row>
    <row r="3109" customFormat="false" ht="15" hidden="false" customHeight="false" outlineLevel="0" collapsed="false">
      <c r="A3109" s="0" t="n">
        <v>4</v>
      </c>
      <c r="B3109" s="0" t="n">
        <v>2</v>
      </c>
      <c r="C3109" s="0" t="n">
        <v>2</v>
      </c>
      <c r="D3109" s="0" t="n">
        <v>8</v>
      </c>
      <c r="E3109" s="0" t="n">
        <f aca="false">-1+A3109*0.25</f>
        <v>0</v>
      </c>
      <c r="F3109" s="0" t="n">
        <f aca="false">-1+B3109*0.25</f>
        <v>-0.5</v>
      </c>
      <c r="G3109" s="0" t="n">
        <f aca="false">-1+C3109*0.25</f>
        <v>-0.5</v>
      </c>
      <c r="H3109" s="0" t="n">
        <f aca="false">-1+D3109*0.25</f>
        <v>1</v>
      </c>
      <c r="I3109" s="0" t="n">
        <f aca="false">1</f>
        <v>1</v>
      </c>
      <c r="J3109" s="0" t="n">
        <f aca="false">E3109</f>
        <v>0</v>
      </c>
      <c r="K3109" s="0" t="n">
        <f aca="false">F3109</f>
        <v>-0.5</v>
      </c>
      <c r="L3109" s="0" t="n">
        <f aca="false">G3109</f>
        <v>-0.5</v>
      </c>
      <c r="M3109" s="0" t="n">
        <f aca="false">H3109</f>
        <v>1</v>
      </c>
      <c r="N3109" s="0" t="n">
        <f aca="false">E3109*F3109</f>
        <v>-0</v>
      </c>
      <c r="O3109" s="0" t="n">
        <f aca="false">E3109*G3109</f>
        <v>-0</v>
      </c>
      <c r="P3109" s="0" t="n">
        <f aca="false">E3109*H3109</f>
        <v>0</v>
      </c>
      <c r="Q3109" s="0" t="n">
        <f aca="false">F3109*G3109</f>
        <v>0.25</v>
      </c>
      <c r="R3109" s="0" t="n">
        <f aca="false">F3109*H3109</f>
        <v>-0.5</v>
      </c>
      <c r="S3109" s="0" t="n">
        <f aca="false">G3109*H3109</f>
        <v>-0.5</v>
      </c>
      <c r="T3109" s="0" t="n">
        <f aca="false">E3109*E3109</f>
        <v>0</v>
      </c>
      <c r="U3109" s="0" t="n">
        <f aca="false">F3109*F3109</f>
        <v>0.25</v>
      </c>
      <c r="V3109" s="0" t="n">
        <f aca="false">G3109*G3109</f>
        <v>0.25</v>
      </c>
      <c r="W3109" s="0" t="n">
        <f aca="false">H3109*H3109</f>
        <v>1</v>
      </c>
      <c r="X3109" s="0" t="n">
        <f aca="false">SUMPRODUCT(I3109:W3109,_XtX!$B$96:$P$96)</f>
        <v>45.6165021929824</v>
      </c>
      <c r="Y3109" s="0" t="n">
        <f aca="false">SUMPRODUCT(MMULT(I3109:W3109,_XtX!$B$78:$P$92),I3109:W3109)</f>
        <v>0.441954495614035</v>
      </c>
      <c r="Z3109" s="0" t="n">
        <f aca="false">04_回帰ANOVA!$K$19*04_回帰ANOVA!$K$14*SQRT(1+Y3109)</f>
        <v>1.56521560968066</v>
      </c>
      <c r="AA3109" s="0" t="n">
        <f aca="false">X3109-Z3109</f>
        <v>44.0512865833018</v>
      </c>
      <c r="AB3109" s="0" t="n">
        <f aca="false">X3109+Z3109</f>
        <v>47.1817178026631</v>
      </c>
      <c r="AC3109" s="54" t="b">
        <f aca="false">AND(E3109&gt;=01_因子設定!$L$5-0.000000001,E3109&lt;=01_因子設定!$M$5+0.000000001,F3109&gt;=01_因子設定!$L$6-0.000000001,F3109&lt;=01_因子設定!$M$6+0.000000001,G3109&gt;=01_因子設定!$L$7-0.000000001,G3109&lt;=01_因子設定!$M$7+0.000000001,H3109&gt;=01_因子設定!$L$8-0.000000001,H3109&lt;=01_因子設定!$M$8+0.000000001,IF(01_因子設定!$B$20="Box-Behnken",E3109^2+F3109^2+G3109^2+H3109^2&lt;=2+0.000000001,TRUE()))</f>
        <v>1</v>
      </c>
      <c r="AD3109" s="55" t="n">
        <f aca="false">IF(AC3109,IF(01_因子設定!$B$13="最大化",AA3109-01_因子設定!$B$14,IF(01_因子設定!$B$13="最小化",01_因子設定!$B$15-AB3109,MIN(AA3109-01_因子設定!$B$14,01_因子設定!$B$15-AB3109))),-1E+030)</f>
        <v>-2.44871341669823</v>
      </c>
      <c r="AE3109" s="55" t="n">
        <f aca="false">IF(AC3109,IF(01_因子設定!$B$13="最大化",X3109,IF(01_因子設定!$B$13="最小化",-X3109,-ABS(X3109-01_因子設定!$B$16))),-1E+030)</f>
        <v>45.6165021929824</v>
      </c>
      <c r="AF3109" s="55" t="n">
        <f aca="false">AD3109+ROW()*0.000000001</f>
        <v>-2.44871030769823</v>
      </c>
      <c r="AG3109" s="55" t="n">
        <f aca="false">AE3109+ROW()*0.000000001</f>
        <v>45.6165053019824</v>
      </c>
    </row>
    <row r="3110" customFormat="false" ht="15" hidden="false" customHeight="false" outlineLevel="0" collapsed="false">
      <c r="A3110" s="0" t="n">
        <v>4</v>
      </c>
      <c r="B3110" s="0" t="n">
        <v>2</v>
      </c>
      <c r="C3110" s="0" t="n">
        <v>3</v>
      </c>
      <c r="D3110" s="0" t="n">
        <v>0</v>
      </c>
      <c r="E3110" s="0" t="n">
        <f aca="false">-1+A3110*0.25</f>
        <v>0</v>
      </c>
      <c r="F3110" s="0" t="n">
        <f aca="false">-1+B3110*0.25</f>
        <v>-0.5</v>
      </c>
      <c r="G3110" s="0" t="n">
        <f aca="false">-1+C3110*0.25</f>
        <v>-0.25</v>
      </c>
      <c r="H3110" s="0" t="n">
        <f aca="false">-1+D3110*0.25</f>
        <v>-1</v>
      </c>
      <c r="I3110" s="0" t="n">
        <f aca="false">1</f>
        <v>1</v>
      </c>
      <c r="J3110" s="0" t="n">
        <f aca="false">E3110</f>
        <v>0</v>
      </c>
      <c r="K3110" s="0" t="n">
        <f aca="false">F3110</f>
        <v>-0.5</v>
      </c>
      <c r="L3110" s="0" t="n">
        <f aca="false">G3110</f>
        <v>-0.25</v>
      </c>
      <c r="M3110" s="0" t="n">
        <f aca="false">H3110</f>
        <v>-1</v>
      </c>
      <c r="N3110" s="0" t="n">
        <f aca="false">E3110*F3110</f>
        <v>-0</v>
      </c>
      <c r="O3110" s="0" t="n">
        <f aca="false">E3110*G3110</f>
        <v>-0</v>
      </c>
      <c r="P3110" s="0" t="n">
        <f aca="false">E3110*H3110</f>
        <v>-0</v>
      </c>
      <c r="Q3110" s="0" t="n">
        <f aca="false">F3110*G3110</f>
        <v>0.125</v>
      </c>
      <c r="R3110" s="0" t="n">
        <f aca="false">F3110*H3110</f>
        <v>0.5</v>
      </c>
      <c r="S3110" s="0" t="n">
        <f aca="false">G3110*H3110</f>
        <v>0.25</v>
      </c>
      <c r="T3110" s="0" t="n">
        <f aca="false">E3110*E3110</f>
        <v>0</v>
      </c>
      <c r="U3110" s="0" t="n">
        <f aca="false">F3110*F3110</f>
        <v>0.25</v>
      </c>
      <c r="V3110" s="0" t="n">
        <f aca="false">G3110*G3110</f>
        <v>0.0625</v>
      </c>
      <c r="W3110" s="0" t="n">
        <f aca="false">H3110*H3110</f>
        <v>1</v>
      </c>
      <c r="X3110" s="0" t="n">
        <f aca="false">SUMPRODUCT(I3110:W3110,_XtX!$B$96:$P$96)</f>
        <v>45.1432474415204</v>
      </c>
      <c r="Y3110" s="0" t="n">
        <f aca="false">SUMPRODUCT(MMULT(I3110:W3110,_XtX!$B$78:$P$92),I3110:W3110)</f>
        <v>0.457596628289474</v>
      </c>
      <c r="Z3110" s="0" t="n">
        <f aca="false">04_回帰ANOVA!$K$19*04_回帰ANOVA!$K$14*SQRT(1+Y3110)</f>
        <v>1.57368233664366</v>
      </c>
      <c r="AA3110" s="0" t="n">
        <f aca="false">X3110-Z3110</f>
        <v>43.5695651048768</v>
      </c>
      <c r="AB3110" s="0" t="n">
        <f aca="false">X3110+Z3110</f>
        <v>46.7169297781641</v>
      </c>
      <c r="AC3110" s="54" t="b">
        <f aca="false">AND(E3110&gt;=01_因子設定!$L$5-0.000000001,E3110&lt;=01_因子設定!$M$5+0.000000001,F3110&gt;=01_因子設定!$L$6-0.000000001,F3110&lt;=01_因子設定!$M$6+0.000000001,G3110&gt;=01_因子設定!$L$7-0.000000001,G3110&lt;=01_因子設定!$M$7+0.000000001,H3110&gt;=01_因子設定!$L$8-0.000000001,H3110&lt;=01_因子設定!$M$8+0.000000001,IF(01_因子設定!$B$20="Box-Behnken",E3110^2+F3110^2+G3110^2+H3110^2&lt;=2+0.000000001,TRUE()))</f>
        <v>1</v>
      </c>
      <c r="AD3110" s="55" t="n">
        <f aca="false">IF(AC3110,IF(01_因子設定!$B$13="最大化",AA3110-01_因子設定!$B$14,IF(01_因子設定!$B$13="最小化",01_因子設定!$B$15-AB3110,MIN(AA3110-01_因子設定!$B$14,01_因子設定!$B$15-AB3110))),-1E+030)</f>
        <v>-2.93043489512322</v>
      </c>
      <c r="AE3110" s="55" t="n">
        <f aca="false">IF(AC3110,IF(01_因子設定!$B$13="最大化",X3110,IF(01_因子設定!$B$13="最小化",-X3110,-ABS(X3110-01_因子設定!$B$16))),-1E+030)</f>
        <v>45.1432474415204</v>
      </c>
      <c r="AF3110" s="55" t="n">
        <f aca="false">AD3110+ROW()*0.000000001</f>
        <v>-2.93043178512322</v>
      </c>
      <c r="AG3110" s="55" t="n">
        <f aca="false">AE3110+ROW()*0.000000001</f>
        <v>45.1432505515204</v>
      </c>
    </row>
    <row r="3111" customFormat="false" ht="15" hidden="false" customHeight="false" outlineLevel="0" collapsed="false">
      <c r="A3111" s="0" t="n">
        <v>4</v>
      </c>
      <c r="B3111" s="0" t="n">
        <v>2</v>
      </c>
      <c r="C3111" s="0" t="n">
        <v>3</v>
      </c>
      <c r="D3111" s="0" t="n">
        <v>1</v>
      </c>
      <c r="E3111" s="0" t="n">
        <f aca="false">-1+A3111*0.25</f>
        <v>0</v>
      </c>
      <c r="F3111" s="0" t="n">
        <f aca="false">-1+B3111*0.25</f>
        <v>-0.5</v>
      </c>
      <c r="G3111" s="0" t="n">
        <f aca="false">-1+C3111*0.25</f>
        <v>-0.25</v>
      </c>
      <c r="H3111" s="0" t="n">
        <f aca="false">-1+D3111*0.25</f>
        <v>-0.75</v>
      </c>
      <c r="I3111" s="0" t="n">
        <f aca="false">1</f>
        <v>1</v>
      </c>
      <c r="J3111" s="0" t="n">
        <f aca="false">E3111</f>
        <v>0</v>
      </c>
      <c r="K3111" s="0" t="n">
        <f aca="false">F3111</f>
        <v>-0.5</v>
      </c>
      <c r="L3111" s="0" t="n">
        <f aca="false">G3111</f>
        <v>-0.25</v>
      </c>
      <c r="M3111" s="0" t="n">
        <f aca="false">H3111</f>
        <v>-0.75</v>
      </c>
      <c r="N3111" s="0" t="n">
        <f aca="false">E3111*F3111</f>
        <v>-0</v>
      </c>
      <c r="O3111" s="0" t="n">
        <f aca="false">E3111*G3111</f>
        <v>-0</v>
      </c>
      <c r="P3111" s="0" t="n">
        <f aca="false">E3111*H3111</f>
        <v>-0</v>
      </c>
      <c r="Q3111" s="0" t="n">
        <f aca="false">F3111*G3111</f>
        <v>0.125</v>
      </c>
      <c r="R3111" s="0" t="n">
        <f aca="false">F3111*H3111</f>
        <v>0.375</v>
      </c>
      <c r="S3111" s="0" t="n">
        <f aca="false">G3111*H3111</f>
        <v>0.1875</v>
      </c>
      <c r="T3111" s="0" t="n">
        <f aca="false">E3111*E3111</f>
        <v>0</v>
      </c>
      <c r="U3111" s="0" t="n">
        <f aca="false">F3111*F3111</f>
        <v>0.25</v>
      </c>
      <c r="V3111" s="0" t="n">
        <f aca="false">G3111*G3111</f>
        <v>0.0625</v>
      </c>
      <c r="W3111" s="0" t="n">
        <f aca="false">H3111*H3111</f>
        <v>0.5625</v>
      </c>
      <c r="X3111" s="0" t="n">
        <f aca="false">SUMPRODUCT(I3111:W3111,_XtX!$B$96:$P$96)</f>
        <v>45.4205546418128</v>
      </c>
      <c r="Y3111" s="0" t="n">
        <f aca="false">SUMPRODUCT(MMULT(I3111:W3111,_XtX!$B$78:$P$92),I3111:W3111)</f>
        <v>0.215110734192252</v>
      </c>
      <c r="Z3111" s="0" t="n">
        <f aca="false">04_回帰ANOVA!$K$19*04_回帰ANOVA!$K$14*SQRT(1+Y3111)</f>
        <v>1.43683309086864</v>
      </c>
      <c r="AA3111" s="0" t="n">
        <f aca="false">X3111-Z3111</f>
        <v>43.9837215509442</v>
      </c>
      <c r="AB3111" s="0" t="n">
        <f aca="false">X3111+Z3111</f>
        <v>46.8573877326815</v>
      </c>
      <c r="AC3111" s="54" t="b">
        <f aca="false">AND(E3111&gt;=01_因子設定!$L$5-0.000000001,E3111&lt;=01_因子設定!$M$5+0.000000001,F3111&gt;=01_因子設定!$L$6-0.000000001,F3111&lt;=01_因子設定!$M$6+0.000000001,G3111&gt;=01_因子設定!$L$7-0.000000001,G3111&lt;=01_因子設定!$M$7+0.000000001,H3111&gt;=01_因子設定!$L$8-0.000000001,H3111&lt;=01_因子設定!$M$8+0.000000001,IF(01_因子設定!$B$20="Box-Behnken",E3111^2+F3111^2+G3111^2+H3111^2&lt;=2+0.000000001,TRUE()))</f>
        <v>1</v>
      </c>
      <c r="AD3111" s="55" t="n">
        <f aca="false">IF(AC3111,IF(01_因子設定!$B$13="最大化",AA3111-01_因子設定!$B$14,IF(01_因子設定!$B$13="最小化",01_因子設定!$B$15-AB3111,MIN(AA3111-01_因子設定!$B$14,01_因子設定!$B$15-AB3111))),-1E+030)</f>
        <v>-2.51627844905583</v>
      </c>
      <c r="AE3111" s="55" t="n">
        <f aca="false">IF(AC3111,IF(01_因子設定!$B$13="最大化",X3111,IF(01_因子設定!$B$13="最小化",-X3111,-ABS(X3111-01_因子設定!$B$16))),-1E+030)</f>
        <v>45.4205546418128</v>
      </c>
      <c r="AF3111" s="55" t="n">
        <f aca="false">AD3111+ROW()*0.000000001</f>
        <v>-2.51627533805583</v>
      </c>
      <c r="AG3111" s="55" t="n">
        <f aca="false">AE3111+ROW()*0.000000001</f>
        <v>45.4205577528128</v>
      </c>
    </row>
    <row r="3112" customFormat="false" ht="15" hidden="false" customHeight="false" outlineLevel="0" collapsed="false">
      <c r="A3112" s="0" t="n">
        <v>4</v>
      </c>
      <c r="B3112" s="0" t="n">
        <v>2</v>
      </c>
      <c r="C3112" s="0" t="n">
        <v>3</v>
      </c>
      <c r="D3112" s="0" t="n">
        <v>2</v>
      </c>
      <c r="E3112" s="0" t="n">
        <f aca="false">-1+A3112*0.25</f>
        <v>0</v>
      </c>
      <c r="F3112" s="0" t="n">
        <f aca="false">-1+B3112*0.25</f>
        <v>-0.5</v>
      </c>
      <c r="G3112" s="0" t="n">
        <f aca="false">-1+C3112*0.25</f>
        <v>-0.25</v>
      </c>
      <c r="H3112" s="0" t="n">
        <f aca="false">-1+D3112*0.25</f>
        <v>-0.5</v>
      </c>
      <c r="I3112" s="0" t="n">
        <f aca="false">1</f>
        <v>1</v>
      </c>
      <c r="J3112" s="0" t="n">
        <f aca="false">E3112</f>
        <v>0</v>
      </c>
      <c r="K3112" s="0" t="n">
        <f aca="false">F3112</f>
        <v>-0.5</v>
      </c>
      <c r="L3112" s="0" t="n">
        <f aca="false">G3112</f>
        <v>-0.25</v>
      </c>
      <c r="M3112" s="0" t="n">
        <f aca="false">H3112</f>
        <v>-0.5</v>
      </c>
      <c r="N3112" s="0" t="n">
        <f aca="false">E3112*F3112</f>
        <v>-0</v>
      </c>
      <c r="O3112" s="0" t="n">
        <f aca="false">E3112*G3112</f>
        <v>-0</v>
      </c>
      <c r="P3112" s="0" t="n">
        <f aca="false">E3112*H3112</f>
        <v>-0</v>
      </c>
      <c r="Q3112" s="0" t="n">
        <f aca="false">F3112*G3112</f>
        <v>0.125</v>
      </c>
      <c r="R3112" s="0" t="n">
        <f aca="false">F3112*H3112</f>
        <v>0.25</v>
      </c>
      <c r="S3112" s="0" t="n">
        <f aca="false">G3112*H3112</f>
        <v>0.125</v>
      </c>
      <c r="T3112" s="0" t="n">
        <f aca="false">E3112*E3112</f>
        <v>0</v>
      </c>
      <c r="U3112" s="0" t="n">
        <f aca="false">F3112*F3112</f>
        <v>0.25</v>
      </c>
      <c r="V3112" s="0" t="n">
        <f aca="false">G3112*G3112</f>
        <v>0.0625</v>
      </c>
      <c r="W3112" s="0" t="n">
        <f aca="false">H3112*H3112</f>
        <v>0.25</v>
      </c>
      <c r="X3112" s="0" t="n">
        <f aca="false">SUMPRODUCT(I3112:W3112,_XtX!$B$96:$P$96)</f>
        <v>45.6500548245613</v>
      </c>
      <c r="Y3112" s="0" t="n">
        <f aca="false">SUMPRODUCT(MMULT(I3112:W3112,_XtX!$B$78:$P$92),I3112:W3112)</f>
        <v>0.132367050438597</v>
      </c>
      <c r="Z3112" s="0" t="n">
        <f aca="false">04_回帰ANOVA!$K$19*04_回帰ANOVA!$K$14*SQRT(1+Y3112)</f>
        <v>1.38704964208329</v>
      </c>
      <c r="AA3112" s="0" t="n">
        <f aca="false">X3112-Z3112</f>
        <v>44.2630051824781</v>
      </c>
      <c r="AB3112" s="0" t="n">
        <f aca="false">X3112+Z3112</f>
        <v>47.0371044666446</v>
      </c>
      <c r="AC3112" s="54" t="b">
        <f aca="false">AND(E3112&gt;=01_因子設定!$L$5-0.000000001,E3112&lt;=01_因子設定!$M$5+0.000000001,F3112&gt;=01_因子設定!$L$6-0.000000001,F3112&lt;=01_因子設定!$M$6+0.000000001,G3112&gt;=01_因子設定!$L$7-0.000000001,G3112&lt;=01_因子設定!$M$7+0.000000001,H3112&gt;=01_因子設定!$L$8-0.000000001,H3112&lt;=01_因子設定!$M$8+0.000000001,IF(01_因子設定!$B$20="Box-Behnken",E3112^2+F3112^2+G3112^2+H3112^2&lt;=2+0.000000001,TRUE()))</f>
        <v>1</v>
      </c>
      <c r="AD3112" s="55" t="n">
        <f aca="false">IF(AC3112,IF(01_因子設定!$B$13="最大化",AA3112-01_因子設定!$B$14,IF(01_因子設定!$B$13="最小化",01_因子設定!$B$15-AB3112,MIN(AA3112-01_因子設定!$B$14,01_因子設定!$B$15-AB3112))),-1E+030)</f>
        <v>-2.23699481752195</v>
      </c>
      <c r="AE3112" s="55" t="n">
        <f aca="false">IF(AC3112,IF(01_因子設定!$B$13="最大化",X3112,IF(01_因子設定!$B$13="最小化",-X3112,-ABS(X3112-01_因子設定!$B$16))),-1E+030)</f>
        <v>45.6500548245613</v>
      </c>
      <c r="AF3112" s="55" t="n">
        <f aca="false">AD3112+ROW()*0.000000001</f>
        <v>-2.23699170552195</v>
      </c>
      <c r="AG3112" s="55" t="n">
        <f aca="false">AE3112+ROW()*0.000000001</f>
        <v>45.6500579365613</v>
      </c>
    </row>
    <row r="3113" customFormat="false" ht="15" hidden="false" customHeight="false" outlineLevel="0" collapsed="false">
      <c r="A3113" s="0" t="n">
        <v>4</v>
      </c>
      <c r="B3113" s="0" t="n">
        <v>2</v>
      </c>
      <c r="C3113" s="0" t="n">
        <v>3</v>
      </c>
      <c r="D3113" s="0" t="n">
        <v>3</v>
      </c>
      <c r="E3113" s="0" t="n">
        <f aca="false">-1+A3113*0.25</f>
        <v>0</v>
      </c>
      <c r="F3113" s="0" t="n">
        <f aca="false">-1+B3113*0.25</f>
        <v>-0.5</v>
      </c>
      <c r="G3113" s="0" t="n">
        <f aca="false">-1+C3113*0.25</f>
        <v>-0.25</v>
      </c>
      <c r="H3113" s="0" t="n">
        <f aca="false">-1+D3113*0.25</f>
        <v>-0.25</v>
      </c>
      <c r="I3113" s="0" t="n">
        <f aca="false">1</f>
        <v>1</v>
      </c>
      <c r="J3113" s="0" t="n">
        <f aca="false">E3113</f>
        <v>0</v>
      </c>
      <c r="K3113" s="0" t="n">
        <f aca="false">F3113</f>
        <v>-0.5</v>
      </c>
      <c r="L3113" s="0" t="n">
        <f aca="false">G3113</f>
        <v>-0.25</v>
      </c>
      <c r="M3113" s="0" t="n">
        <f aca="false">H3113</f>
        <v>-0.25</v>
      </c>
      <c r="N3113" s="0" t="n">
        <f aca="false">E3113*F3113</f>
        <v>-0</v>
      </c>
      <c r="O3113" s="0" t="n">
        <f aca="false">E3113*G3113</f>
        <v>-0</v>
      </c>
      <c r="P3113" s="0" t="n">
        <f aca="false">E3113*H3113</f>
        <v>-0</v>
      </c>
      <c r="Q3113" s="0" t="n">
        <f aca="false">F3113*G3113</f>
        <v>0.125</v>
      </c>
      <c r="R3113" s="0" t="n">
        <f aca="false">F3113*H3113</f>
        <v>0.125</v>
      </c>
      <c r="S3113" s="0" t="n">
        <f aca="false">G3113*H3113</f>
        <v>0.0625</v>
      </c>
      <c r="T3113" s="0" t="n">
        <f aca="false">E3113*E3113</f>
        <v>0</v>
      </c>
      <c r="U3113" s="0" t="n">
        <f aca="false">F3113*F3113</f>
        <v>0.25</v>
      </c>
      <c r="V3113" s="0" t="n">
        <f aca="false">G3113*G3113</f>
        <v>0.0625</v>
      </c>
      <c r="W3113" s="0" t="n">
        <f aca="false">H3113*H3113</f>
        <v>0.0625</v>
      </c>
      <c r="X3113" s="0" t="n">
        <f aca="false">SUMPRODUCT(I3113:W3113,_XtX!$B$96:$P$96)</f>
        <v>45.831747989766</v>
      </c>
      <c r="Y3113" s="0" t="n">
        <f aca="false">SUMPRODUCT(MMULT(I3113:W3113,_XtX!$B$78:$P$92),I3113:W3113)</f>
        <v>0.118905050712719</v>
      </c>
      <c r="Z3113" s="0" t="n">
        <f aca="false">04_回帰ANOVA!$K$19*04_回帰ANOVA!$K$14*SQRT(1+Y3113)</f>
        <v>1.37878011033769</v>
      </c>
      <c r="AA3113" s="0" t="n">
        <f aca="false">X3113-Z3113</f>
        <v>44.4529678794283</v>
      </c>
      <c r="AB3113" s="0" t="n">
        <f aca="false">X3113+Z3113</f>
        <v>47.2105281001037</v>
      </c>
      <c r="AC3113" s="54" t="b">
        <f aca="false">AND(E3113&gt;=01_因子設定!$L$5-0.000000001,E3113&lt;=01_因子設定!$M$5+0.000000001,F3113&gt;=01_因子設定!$L$6-0.000000001,F3113&lt;=01_因子設定!$M$6+0.000000001,G3113&gt;=01_因子設定!$L$7-0.000000001,G3113&lt;=01_因子設定!$M$7+0.000000001,H3113&gt;=01_因子設定!$L$8-0.000000001,H3113&lt;=01_因子設定!$M$8+0.000000001,IF(01_因子設定!$B$20="Box-Behnken",E3113^2+F3113^2+G3113^2+H3113^2&lt;=2+0.000000001,TRUE()))</f>
        <v>1</v>
      </c>
      <c r="AD3113" s="55" t="n">
        <f aca="false">IF(AC3113,IF(01_因子設定!$B$13="最大化",AA3113-01_因子設定!$B$14,IF(01_因子設定!$B$13="最小化",01_因子設定!$B$15-AB3113,MIN(AA3113-01_因子設定!$B$14,01_因子設定!$B$15-AB3113))),-1E+030)</f>
        <v>-2.04703212057167</v>
      </c>
      <c r="AE3113" s="55" t="n">
        <f aca="false">IF(AC3113,IF(01_因子設定!$B$13="最大化",X3113,IF(01_因子設定!$B$13="最小化",-X3113,-ABS(X3113-01_因子設定!$B$16))),-1E+030)</f>
        <v>45.831747989766</v>
      </c>
      <c r="AF3113" s="55" t="n">
        <f aca="false">AD3113+ROW()*0.000000001</f>
        <v>-2.04702900757167</v>
      </c>
      <c r="AG3113" s="55" t="n">
        <f aca="false">AE3113+ROW()*0.000000001</f>
        <v>45.831751102766</v>
      </c>
    </row>
    <row r="3114" customFormat="false" ht="15" hidden="false" customHeight="false" outlineLevel="0" collapsed="false">
      <c r="A3114" s="0" t="n">
        <v>4</v>
      </c>
      <c r="B3114" s="0" t="n">
        <v>2</v>
      </c>
      <c r="C3114" s="0" t="n">
        <v>3</v>
      </c>
      <c r="D3114" s="0" t="n">
        <v>4</v>
      </c>
      <c r="E3114" s="0" t="n">
        <f aca="false">-1+A3114*0.25</f>
        <v>0</v>
      </c>
      <c r="F3114" s="0" t="n">
        <f aca="false">-1+B3114*0.25</f>
        <v>-0.5</v>
      </c>
      <c r="G3114" s="0" t="n">
        <f aca="false">-1+C3114*0.25</f>
        <v>-0.25</v>
      </c>
      <c r="H3114" s="0" t="n">
        <f aca="false">-1+D3114*0.25</f>
        <v>0</v>
      </c>
      <c r="I3114" s="0" t="n">
        <f aca="false">1</f>
        <v>1</v>
      </c>
      <c r="J3114" s="0" t="n">
        <f aca="false">E3114</f>
        <v>0</v>
      </c>
      <c r="K3114" s="0" t="n">
        <f aca="false">F3114</f>
        <v>-0.5</v>
      </c>
      <c r="L3114" s="0" t="n">
        <f aca="false">G3114</f>
        <v>-0.25</v>
      </c>
      <c r="M3114" s="0" t="n">
        <f aca="false">H3114</f>
        <v>0</v>
      </c>
      <c r="N3114" s="0" t="n">
        <f aca="false">E3114*F3114</f>
        <v>-0</v>
      </c>
      <c r="O3114" s="0" t="n">
        <f aca="false">E3114*G3114</f>
        <v>-0</v>
      </c>
      <c r="P3114" s="0" t="n">
        <f aca="false">E3114*H3114</f>
        <v>0</v>
      </c>
      <c r="Q3114" s="0" t="n">
        <f aca="false">F3114*G3114</f>
        <v>0.125</v>
      </c>
      <c r="R3114" s="0" t="n">
        <f aca="false">F3114*H3114</f>
        <v>-0</v>
      </c>
      <c r="S3114" s="0" t="n">
        <f aca="false">G3114*H3114</f>
        <v>-0</v>
      </c>
      <c r="T3114" s="0" t="n">
        <f aca="false">E3114*E3114</f>
        <v>0</v>
      </c>
      <c r="U3114" s="0" t="n">
        <f aca="false">F3114*F3114</f>
        <v>0.25</v>
      </c>
      <c r="V3114" s="0" t="n">
        <f aca="false">G3114*G3114</f>
        <v>0.0625</v>
      </c>
      <c r="W3114" s="0" t="n">
        <f aca="false">H3114*H3114</f>
        <v>0</v>
      </c>
      <c r="X3114" s="0" t="n">
        <f aca="false">SUMPRODUCT(I3114:W3114,_XtX!$B$96:$P$96)</f>
        <v>45.9656341374268</v>
      </c>
      <c r="Y3114" s="0" t="n">
        <f aca="false">SUMPRODUCT(MMULT(I3114:W3114,_XtX!$B$78:$P$92),I3114:W3114)</f>
        <v>0.120448419225146</v>
      </c>
      <c r="Z3114" s="0" t="n">
        <f aca="false">04_回帰ANOVA!$K$19*04_回帰ANOVA!$K$14*SQRT(1+Y3114)</f>
        <v>1.37973069703246</v>
      </c>
      <c r="AA3114" s="0" t="n">
        <f aca="false">X3114-Z3114</f>
        <v>44.5859034403944</v>
      </c>
      <c r="AB3114" s="0" t="n">
        <f aca="false">X3114+Z3114</f>
        <v>47.3453648344593</v>
      </c>
      <c r="AC3114" s="54" t="b">
        <f aca="false">AND(E3114&gt;=01_因子設定!$L$5-0.000000001,E3114&lt;=01_因子設定!$M$5+0.000000001,F3114&gt;=01_因子設定!$L$6-0.000000001,F3114&lt;=01_因子設定!$M$6+0.000000001,G3114&gt;=01_因子設定!$L$7-0.000000001,G3114&lt;=01_因子設定!$M$7+0.000000001,H3114&gt;=01_因子設定!$L$8-0.000000001,H3114&lt;=01_因子設定!$M$8+0.000000001,IF(01_因子設定!$B$20="Box-Behnken",E3114^2+F3114^2+G3114^2+H3114^2&lt;=2+0.000000001,TRUE()))</f>
        <v>1</v>
      </c>
      <c r="AD3114" s="55" t="n">
        <f aca="false">IF(AC3114,IF(01_因子設定!$B$13="最大化",AA3114-01_因子設定!$B$14,IF(01_因子設定!$B$13="最小化",01_因子設定!$B$15-AB3114,MIN(AA3114-01_因子設定!$B$14,01_因子設定!$B$15-AB3114))),-1E+030)</f>
        <v>-1.91409655960563</v>
      </c>
      <c r="AE3114" s="55" t="n">
        <f aca="false">IF(AC3114,IF(01_因子設定!$B$13="最大化",X3114,IF(01_因子設定!$B$13="最小化",-X3114,-ABS(X3114-01_因子設定!$B$16))),-1E+030)</f>
        <v>45.9656341374268</v>
      </c>
      <c r="AF3114" s="55" t="n">
        <f aca="false">AD3114+ROW()*0.000000001</f>
        <v>-1.91409344560563</v>
      </c>
      <c r="AG3114" s="55" t="n">
        <f aca="false">AE3114+ROW()*0.000000001</f>
        <v>45.9656372514268</v>
      </c>
    </row>
    <row r="3115" customFormat="false" ht="15" hidden="false" customHeight="false" outlineLevel="0" collapsed="false">
      <c r="A3115" s="0" t="n">
        <v>4</v>
      </c>
      <c r="B3115" s="0" t="n">
        <v>2</v>
      </c>
      <c r="C3115" s="0" t="n">
        <v>3</v>
      </c>
      <c r="D3115" s="0" t="n">
        <v>5</v>
      </c>
      <c r="E3115" s="0" t="n">
        <f aca="false">-1+A3115*0.25</f>
        <v>0</v>
      </c>
      <c r="F3115" s="0" t="n">
        <f aca="false">-1+B3115*0.25</f>
        <v>-0.5</v>
      </c>
      <c r="G3115" s="0" t="n">
        <f aca="false">-1+C3115*0.25</f>
        <v>-0.25</v>
      </c>
      <c r="H3115" s="0" t="n">
        <f aca="false">-1+D3115*0.25</f>
        <v>0.25</v>
      </c>
      <c r="I3115" s="0" t="n">
        <f aca="false">1</f>
        <v>1</v>
      </c>
      <c r="J3115" s="0" t="n">
        <f aca="false">E3115</f>
        <v>0</v>
      </c>
      <c r="K3115" s="0" t="n">
        <f aca="false">F3115</f>
        <v>-0.5</v>
      </c>
      <c r="L3115" s="0" t="n">
        <f aca="false">G3115</f>
        <v>-0.25</v>
      </c>
      <c r="M3115" s="0" t="n">
        <f aca="false">H3115</f>
        <v>0.25</v>
      </c>
      <c r="N3115" s="0" t="n">
        <f aca="false">E3115*F3115</f>
        <v>-0</v>
      </c>
      <c r="O3115" s="0" t="n">
        <f aca="false">E3115*G3115</f>
        <v>-0</v>
      </c>
      <c r="P3115" s="0" t="n">
        <f aca="false">E3115*H3115</f>
        <v>0</v>
      </c>
      <c r="Q3115" s="0" t="n">
        <f aca="false">F3115*G3115</f>
        <v>0.125</v>
      </c>
      <c r="R3115" s="0" t="n">
        <f aca="false">F3115*H3115</f>
        <v>-0.125</v>
      </c>
      <c r="S3115" s="0" t="n">
        <f aca="false">G3115*H3115</f>
        <v>-0.0625</v>
      </c>
      <c r="T3115" s="0" t="n">
        <f aca="false">E3115*E3115</f>
        <v>0</v>
      </c>
      <c r="U3115" s="0" t="n">
        <f aca="false">F3115*F3115</f>
        <v>0.25</v>
      </c>
      <c r="V3115" s="0" t="n">
        <f aca="false">G3115*G3115</f>
        <v>0.0625</v>
      </c>
      <c r="W3115" s="0" t="n">
        <f aca="false">H3115*H3115</f>
        <v>0.0625</v>
      </c>
      <c r="X3115" s="0" t="n">
        <f aca="false">SUMPRODUCT(I3115:W3115,_XtX!$B$96:$P$96)</f>
        <v>46.0517132675438</v>
      </c>
      <c r="Y3115" s="0" t="n">
        <f aca="false">SUMPRODUCT(MMULT(I3115:W3115,_XtX!$B$78:$P$92),I3115:W3115)</f>
        <v>0.118905050712719</v>
      </c>
      <c r="Z3115" s="0" t="n">
        <f aca="false">04_回帰ANOVA!$K$19*04_回帰ANOVA!$K$14*SQRT(1+Y3115)</f>
        <v>1.37878011033769</v>
      </c>
      <c r="AA3115" s="0" t="n">
        <f aca="false">X3115-Z3115</f>
        <v>44.6729331572061</v>
      </c>
      <c r="AB3115" s="0" t="n">
        <f aca="false">X3115+Z3115</f>
        <v>47.4304933778815</v>
      </c>
      <c r="AC3115" s="54" t="b">
        <f aca="false">AND(E3115&gt;=01_因子設定!$L$5-0.000000001,E3115&lt;=01_因子設定!$M$5+0.000000001,F3115&gt;=01_因子設定!$L$6-0.000000001,F3115&lt;=01_因子設定!$M$6+0.000000001,G3115&gt;=01_因子設定!$L$7-0.000000001,G3115&lt;=01_因子設定!$M$7+0.000000001,H3115&gt;=01_因子設定!$L$8-0.000000001,H3115&lt;=01_因子設定!$M$8+0.000000001,IF(01_因子設定!$B$20="Box-Behnken",E3115^2+F3115^2+G3115^2+H3115^2&lt;=2+0.000000001,TRUE()))</f>
        <v>1</v>
      </c>
      <c r="AD3115" s="55" t="n">
        <f aca="false">IF(AC3115,IF(01_因子設定!$B$13="最大化",AA3115-01_因子設定!$B$14,IF(01_因子設定!$B$13="最小化",01_因子設定!$B$15-AB3115,MIN(AA3115-01_因子設定!$B$14,01_因子設定!$B$15-AB3115))),-1E+030)</f>
        <v>-1.82706684279389</v>
      </c>
      <c r="AE3115" s="55" t="n">
        <f aca="false">IF(AC3115,IF(01_因子設定!$B$13="最大化",X3115,IF(01_因子設定!$B$13="最小化",-X3115,-ABS(X3115-01_因子設定!$B$16))),-1E+030)</f>
        <v>46.0517132675438</v>
      </c>
      <c r="AF3115" s="55" t="n">
        <f aca="false">AD3115+ROW()*0.000000001</f>
        <v>-1.82706372779389</v>
      </c>
      <c r="AG3115" s="55" t="n">
        <f aca="false">AE3115+ROW()*0.000000001</f>
        <v>46.0517163825438</v>
      </c>
    </row>
    <row r="3116" customFormat="false" ht="15" hidden="false" customHeight="false" outlineLevel="0" collapsed="false">
      <c r="A3116" s="0" t="n">
        <v>4</v>
      </c>
      <c r="B3116" s="0" t="n">
        <v>2</v>
      </c>
      <c r="C3116" s="0" t="n">
        <v>3</v>
      </c>
      <c r="D3116" s="0" t="n">
        <v>6</v>
      </c>
      <c r="E3116" s="0" t="n">
        <f aca="false">-1+A3116*0.25</f>
        <v>0</v>
      </c>
      <c r="F3116" s="0" t="n">
        <f aca="false">-1+B3116*0.25</f>
        <v>-0.5</v>
      </c>
      <c r="G3116" s="0" t="n">
        <f aca="false">-1+C3116*0.25</f>
        <v>-0.25</v>
      </c>
      <c r="H3116" s="0" t="n">
        <f aca="false">-1+D3116*0.25</f>
        <v>0.5</v>
      </c>
      <c r="I3116" s="0" t="n">
        <f aca="false">1</f>
        <v>1</v>
      </c>
      <c r="J3116" s="0" t="n">
        <f aca="false">E3116</f>
        <v>0</v>
      </c>
      <c r="K3116" s="0" t="n">
        <f aca="false">F3116</f>
        <v>-0.5</v>
      </c>
      <c r="L3116" s="0" t="n">
        <f aca="false">G3116</f>
        <v>-0.25</v>
      </c>
      <c r="M3116" s="0" t="n">
        <f aca="false">H3116</f>
        <v>0.5</v>
      </c>
      <c r="N3116" s="0" t="n">
        <f aca="false">E3116*F3116</f>
        <v>-0</v>
      </c>
      <c r="O3116" s="0" t="n">
        <f aca="false">E3116*G3116</f>
        <v>-0</v>
      </c>
      <c r="P3116" s="0" t="n">
        <f aca="false">E3116*H3116</f>
        <v>0</v>
      </c>
      <c r="Q3116" s="0" t="n">
        <f aca="false">F3116*G3116</f>
        <v>0.125</v>
      </c>
      <c r="R3116" s="0" t="n">
        <f aca="false">F3116*H3116</f>
        <v>-0.25</v>
      </c>
      <c r="S3116" s="0" t="n">
        <f aca="false">G3116*H3116</f>
        <v>-0.125</v>
      </c>
      <c r="T3116" s="0" t="n">
        <f aca="false">E3116*E3116</f>
        <v>0</v>
      </c>
      <c r="U3116" s="0" t="n">
        <f aca="false">F3116*F3116</f>
        <v>0.25</v>
      </c>
      <c r="V3116" s="0" t="n">
        <f aca="false">G3116*G3116</f>
        <v>0.0625</v>
      </c>
      <c r="W3116" s="0" t="n">
        <f aca="false">H3116*H3116</f>
        <v>0.25</v>
      </c>
      <c r="X3116" s="0" t="n">
        <f aca="false">SUMPRODUCT(I3116:W3116,_XtX!$B$96:$P$96)</f>
        <v>46.0899853801169</v>
      </c>
      <c r="Y3116" s="0" t="n">
        <f aca="false">SUMPRODUCT(MMULT(I3116:W3116,_XtX!$B$78:$P$92),I3116:W3116)</f>
        <v>0.132367050438597</v>
      </c>
      <c r="Z3116" s="0" t="n">
        <f aca="false">04_回帰ANOVA!$K$19*04_回帰ANOVA!$K$14*SQRT(1+Y3116)</f>
        <v>1.38704964208329</v>
      </c>
      <c r="AA3116" s="0" t="n">
        <f aca="false">X3116-Z3116</f>
        <v>44.7029357380336</v>
      </c>
      <c r="AB3116" s="0" t="n">
        <f aca="false">X3116+Z3116</f>
        <v>47.4770350222002</v>
      </c>
      <c r="AC3116" s="54" t="b">
        <f aca="false">AND(E3116&gt;=01_因子設定!$L$5-0.000000001,E3116&lt;=01_因子設定!$M$5+0.000000001,F3116&gt;=01_因子設定!$L$6-0.000000001,F3116&lt;=01_因子設定!$M$6+0.000000001,G3116&gt;=01_因子設定!$L$7-0.000000001,G3116&lt;=01_因子設定!$M$7+0.000000001,H3116&gt;=01_因子設定!$L$8-0.000000001,H3116&lt;=01_因子設定!$M$8+0.000000001,IF(01_因子設定!$B$20="Box-Behnken",E3116^2+F3116^2+G3116^2+H3116^2&lt;=2+0.000000001,TRUE()))</f>
        <v>1</v>
      </c>
      <c r="AD3116" s="55" t="n">
        <f aca="false">IF(AC3116,IF(01_因子設定!$B$13="最大化",AA3116-01_因子設定!$B$14,IF(01_因子設定!$B$13="最小化",01_因子設定!$B$15-AB3116,MIN(AA3116-01_因子設定!$B$14,01_因子設定!$B$15-AB3116))),-1E+030)</f>
        <v>-1.79706426196639</v>
      </c>
      <c r="AE3116" s="55" t="n">
        <f aca="false">IF(AC3116,IF(01_因子設定!$B$13="最大化",X3116,IF(01_因子設定!$B$13="最小化",-X3116,-ABS(X3116-01_因子設定!$B$16))),-1E+030)</f>
        <v>46.0899853801169</v>
      </c>
      <c r="AF3116" s="55" t="n">
        <f aca="false">AD3116+ROW()*0.000000001</f>
        <v>-1.79706114596639</v>
      </c>
      <c r="AG3116" s="55" t="n">
        <f aca="false">AE3116+ROW()*0.000000001</f>
        <v>46.0899884961169</v>
      </c>
    </row>
    <row r="3117" customFormat="false" ht="15" hidden="false" customHeight="false" outlineLevel="0" collapsed="false">
      <c r="A3117" s="0" t="n">
        <v>4</v>
      </c>
      <c r="B3117" s="0" t="n">
        <v>2</v>
      </c>
      <c r="C3117" s="0" t="n">
        <v>3</v>
      </c>
      <c r="D3117" s="0" t="n">
        <v>7</v>
      </c>
      <c r="E3117" s="0" t="n">
        <f aca="false">-1+A3117*0.25</f>
        <v>0</v>
      </c>
      <c r="F3117" s="0" t="n">
        <f aca="false">-1+B3117*0.25</f>
        <v>-0.5</v>
      </c>
      <c r="G3117" s="0" t="n">
        <f aca="false">-1+C3117*0.25</f>
        <v>-0.25</v>
      </c>
      <c r="H3117" s="0" t="n">
        <f aca="false">-1+D3117*0.25</f>
        <v>0.75</v>
      </c>
      <c r="I3117" s="0" t="n">
        <f aca="false">1</f>
        <v>1</v>
      </c>
      <c r="J3117" s="0" t="n">
        <f aca="false">E3117</f>
        <v>0</v>
      </c>
      <c r="K3117" s="0" t="n">
        <f aca="false">F3117</f>
        <v>-0.5</v>
      </c>
      <c r="L3117" s="0" t="n">
        <f aca="false">G3117</f>
        <v>-0.25</v>
      </c>
      <c r="M3117" s="0" t="n">
        <f aca="false">H3117</f>
        <v>0.75</v>
      </c>
      <c r="N3117" s="0" t="n">
        <f aca="false">E3117*F3117</f>
        <v>-0</v>
      </c>
      <c r="O3117" s="0" t="n">
        <f aca="false">E3117*G3117</f>
        <v>-0</v>
      </c>
      <c r="P3117" s="0" t="n">
        <f aca="false">E3117*H3117</f>
        <v>0</v>
      </c>
      <c r="Q3117" s="0" t="n">
        <f aca="false">F3117*G3117</f>
        <v>0.125</v>
      </c>
      <c r="R3117" s="0" t="n">
        <f aca="false">F3117*H3117</f>
        <v>-0.375</v>
      </c>
      <c r="S3117" s="0" t="n">
        <f aca="false">G3117*H3117</f>
        <v>-0.1875</v>
      </c>
      <c r="T3117" s="0" t="n">
        <f aca="false">E3117*E3117</f>
        <v>0</v>
      </c>
      <c r="U3117" s="0" t="n">
        <f aca="false">F3117*F3117</f>
        <v>0.25</v>
      </c>
      <c r="V3117" s="0" t="n">
        <f aca="false">G3117*G3117</f>
        <v>0.0625</v>
      </c>
      <c r="W3117" s="0" t="n">
        <f aca="false">H3117*H3117</f>
        <v>0.5625</v>
      </c>
      <c r="X3117" s="0" t="n">
        <f aca="false">SUMPRODUCT(I3117:W3117,_XtX!$B$96:$P$96)</f>
        <v>46.0804504751462</v>
      </c>
      <c r="Y3117" s="0" t="n">
        <f aca="false">SUMPRODUCT(MMULT(I3117:W3117,_XtX!$B$78:$P$92),I3117:W3117)</f>
        <v>0.215110734192252</v>
      </c>
      <c r="Z3117" s="0" t="n">
        <f aca="false">04_回帰ANOVA!$K$19*04_回帰ANOVA!$K$14*SQRT(1+Y3117)</f>
        <v>1.43683309086864</v>
      </c>
      <c r="AA3117" s="0" t="n">
        <f aca="false">X3117-Z3117</f>
        <v>44.6436173842775</v>
      </c>
      <c r="AB3117" s="0" t="n">
        <f aca="false">X3117+Z3117</f>
        <v>47.5172835660148</v>
      </c>
      <c r="AC3117" s="54" t="b">
        <f aca="false">AND(E3117&gt;=01_因子設定!$L$5-0.000000001,E3117&lt;=01_因子設定!$M$5+0.000000001,F3117&gt;=01_因子設定!$L$6-0.000000001,F3117&lt;=01_因子設定!$M$6+0.000000001,G3117&gt;=01_因子設定!$L$7-0.000000001,G3117&lt;=01_因子設定!$M$7+0.000000001,H3117&gt;=01_因子設定!$L$8-0.000000001,H3117&lt;=01_因子設定!$M$8+0.000000001,IF(01_因子設定!$B$20="Box-Behnken",E3117^2+F3117^2+G3117^2+H3117^2&lt;=2+0.000000001,TRUE()))</f>
        <v>1</v>
      </c>
      <c r="AD3117" s="55" t="n">
        <f aca="false">IF(AC3117,IF(01_因子設定!$B$13="最大化",AA3117-01_因子設定!$B$14,IF(01_因子設定!$B$13="最小化",01_因子設定!$B$15-AB3117,MIN(AA3117-01_因子設定!$B$14,01_因子設定!$B$15-AB3117))),-1E+030)</f>
        <v>-1.8563826157225</v>
      </c>
      <c r="AE3117" s="55" t="n">
        <f aca="false">IF(AC3117,IF(01_因子設定!$B$13="最大化",X3117,IF(01_因子設定!$B$13="最小化",-X3117,-ABS(X3117-01_因子設定!$B$16))),-1E+030)</f>
        <v>46.0804504751462</v>
      </c>
      <c r="AF3117" s="55" t="n">
        <f aca="false">AD3117+ROW()*0.000000001</f>
        <v>-1.8563794987225</v>
      </c>
      <c r="AG3117" s="55" t="n">
        <f aca="false">AE3117+ROW()*0.000000001</f>
        <v>46.0804535921462</v>
      </c>
    </row>
    <row r="3118" customFormat="false" ht="15" hidden="false" customHeight="false" outlineLevel="0" collapsed="false">
      <c r="A3118" s="0" t="n">
        <v>4</v>
      </c>
      <c r="B3118" s="0" t="n">
        <v>2</v>
      </c>
      <c r="C3118" s="0" t="n">
        <v>3</v>
      </c>
      <c r="D3118" s="0" t="n">
        <v>8</v>
      </c>
      <c r="E3118" s="0" t="n">
        <f aca="false">-1+A3118*0.25</f>
        <v>0</v>
      </c>
      <c r="F3118" s="0" t="n">
        <f aca="false">-1+B3118*0.25</f>
        <v>-0.5</v>
      </c>
      <c r="G3118" s="0" t="n">
        <f aca="false">-1+C3118*0.25</f>
        <v>-0.25</v>
      </c>
      <c r="H3118" s="0" t="n">
        <f aca="false">-1+D3118*0.25</f>
        <v>1</v>
      </c>
      <c r="I3118" s="0" t="n">
        <f aca="false">1</f>
        <v>1</v>
      </c>
      <c r="J3118" s="0" t="n">
        <f aca="false">E3118</f>
        <v>0</v>
      </c>
      <c r="K3118" s="0" t="n">
        <f aca="false">F3118</f>
        <v>-0.5</v>
      </c>
      <c r="L3118" s="0" t="n">
        <f aca="false">G3118</f>
        <v>-0.25</v>
      </c>
      <c r="M3118" s="0" t="n">
        <f aca="false">H3118</f>
        <v>1</v>
      </c>
      <c r="N3118" s="0" t="n">
        <f aca="false">E3118*F3118</f>
        <v>-0</v>
      </c>
      <c r="O3118" s="0" t="n">
        <f aca="false">E3118*G3118</f>
        <v>-0</v>
      </c>
      <c r="P3118" s="0" t="n">
        <f aca="false">E3118*H3118</f>
        <v>0</v>
      </c>
      <c r="Q3118" s="0" t="n">
        <f aca="false">F3118*G3118</f>
        <v>0.125</v>
      </c>
      <c r="R3118" s="0" t="n">
        <f aca="false">F3118*H3118</f>
        <v>-0.5</v>
      </c>
      <c r="S3118" s="0" t="n">
        <f aca="false">G3118*H3118</f>
        <v>-0.25</v>
      </c>
      <c r="T3118" s="0" t="n">
        <f aca="false">E3118*E3118</f>
        <v>0</v>
      </c>
      <c r="U3118" s="0" t="n">
        <f aca="false">F3118*F3118</f>
        <v>0.25</v>
      </c>
      <c r="V3118" s="0" t="n">
        <f aca="false">G3118*G3118</f>
        <v>0.0625</v>
      </c>
      <c r="W3118" s="0" t="n">
        <f aca="false">H3118*H3118</f>
        <v>1</v>
      </c>
      <c r="X3118" s="0" t="n">
        <f aca="false">SUMPRODUCT(I3118:W3118,_XtX!$B$96:$P$96)</f>
        <v>46.0231085526316</v>
      </c>
      <c r="Y3118" s="0" t="n">
        <f aca="false">SUMPRODUCT(MMULT(I3118:W3118,_XtX!$B$78:$P$92),I3118:W3118)</f>
        <v>0.457596628289474</v>
      </c>
      <c r="Z3118" s="0" t="n">
        <f aca="false">04_回帰ANOVA!$K$19*04_回帰ANOVA!$K$14*SQRT(1+Y3118)</f>
        <v>1.57368233664366</v>
      </c>
      <c r="AA3118" s="0" t="n">
        <f aca="false">X3118-Z3118</f>
        <v>44.4494262159879</v>
      </c>
      <c r="AB3118" s="0" t="n">
        <f aca="false">X3118+Z3118</f>
        <v>47.5967908892752</v>
      </c>
      <c r="AC3118" s="54" t="b">
        <f aca="false">AND(E3118&gt;=01_因子設定!$L$5-0.000000001,E3118&lt;=01_因子設定!$M$5+0.000000001,F3118&gt;=01_因子設定!$L$6-0.000000001,F3118&lt;=01_因子設定!$M$6+0.000000001,G3118&gt;=01_因子設定!$L$7-0.000000001,G3118&lt;=01_因子設定!$M$7+0.000000001,H3118&gt;=01_因子設定!$L$8-0.000000001,H3118&lt;=01_因子設定!$M$8+0.000000001,IF(01_因子設定!$B$20="Box-Behnken",E3118^2+F3118^2+G3118^2+H3118^2&lt;=2+0.000000001,TRUE()))</f>
        <v>1</v>
      </c>
      <c r="AD3118" s="55" t="n">
        <f aca="false">IF(AC3118,IF(01_因子設定!$B$13="最大化",AA3118-01_因子設定!$B$14,IF(01_因子設定!$B$13="最小化",01_因子設定!$B$15-AB3118,MIN(AA3118-01_因子設定!$B$14,01_因子設定!$B$15-AB3118))),-1E+030)</f>
        <v>-2.05057378401211</v>
      </c>
      <c r="AE3118" s="55" t="n">
        <f aca="false">IF(AC3118,IF(01_因子設定!$B$13="最大化",X3118,IF(01_因子設定!$B$13="最小化",-X3118,-ABS(X3118-01_因子設定!$B$16))),-1E+030)</f>
        <v>46.0231085526316</v>
      </c>
      <c r="AF3118" s="55" t="n">
        <f aca="false">AD3118+ROW()*0.000000001</f>
        <v>-2.05057066601211</v>
      </c>
      <c r="AG3118" s="55" t="n">
        <f aca="false">AE3118+ROW()*0.000000001</f>
        <v>46.0231116706316</v>
      </c>
    </row>
    <row r="3119" customFormat="false" ht="15" hidden="false" customHeight="false" outlineLevel="0" collapsed="false">
      <c r="A3119" s="0" t="n">
        <v>4</v>
      </c>
      <c r="B3119" s="0" t="n">
        <v>2</v>
      </c>
      <c r="C3119" s="0" t="n">
        <v>4</v>
      </c>
      <c r="D3119" s="0" t="n">
        <v>0</v>
      </c>
      <c r="E3119" s="0" t="n">
        <f aca="false">-1+A3119*0.25</f>
        <v>0</v>
      </c>
      <c r="F3119" s="0" t="n">
        <f aca="false">-1+B3119*0.25</f>
        <v>-0.5</v>
      </c>
      <c r="G3119" s="0" t="n">
        <f aca="false">-1+C3119*0.25</f>
        <v>0</v>
      </c>
      <c r="H3119" s="0" t="n">
        <f aca="false">-1+D3119*0.25</f>
        <v>-1</v>
      </c>
      <c r="I3119" s="0" t="n">
        <f aca="false">1</f>
        <v>1</v>
      </c>
      <c r="J3119" s="0" t="n">
        <f aca="false">E3119</f>
        <v>0</v>
      </c>
      <c r="K3119" s="0" t="n">
        <f aca="false">F3119</f>
        <v>-0.5</v>
      </c>
      <c r="L3119" s="0" t="n">
        <f aca="false">G3119</f>
        <v>0</v>
      </c>
      <c r="M3119" s="0" t="n">
        <f aca="false">H3119</f>
        <v>-1</v>
      </c>
      <c r="N3119" s="0" t="n">
        <f aca="false">E3119*F3119</f>
        <v>-0</v>
      </c>
      <c r="O3119" s="0" t="n">
        <f aca="false">E3119*G3119</f>
        <v>0</v>
      </c>
      <c r="P3119" s="0" t="n">
        <f aca="false">E3119*H3119</f>
        <v>-0</v>
      </c>
      <c r="Q3119" s="0" t="n">
        <f aca="false">F3119*G3119</f>
        <v>-0</v>
      </c>
      <c r="R3119" s="0" t="n">
        <f aca="false">F3119*H3119</f>
        <v>0.5</v>
      </c>
      <c r="S3119" s="0" t="n">
        <f aca="false">G3119*H3119</f>
        <v>-0</v>
      </c>
      <c r="T3119" s="0" t="n">
        <f aca="false">E3119*E3119</f>
        <v>0</v>
      </c>
      <c r="U3119" s="0" t="n">
        <f aca="false">F3119*F3119</f>
        <v>0.25</v>
      </c>
      <c r="V3119" s="0" t="n">
        <f aca="false">G3119*G3119</f>
        <v>0</v>
      </c>
      <c r="W3119" s="0" t="n">
        <f aca="false">H3119*H3119</f>
        <v>1</v>
      </c>
      <c r="X3119" s="0" t="n">
        <f aca="false">SUMPRODUCT(I3119:W3119,_XtX!$B$96:$P$96)</f>
        <v>45.3207967836257</v>
      </c>
      <c r="Y3119" s="0" t="n">
        <f aca="false">SUMPRODUCT(MMULT(I3119:W3119,_XtX!$B$78:$P$92),I3119:W3119)</f>
        <v>0.468841374269006</v>
      </c>
      <c r="Z3119" s="0" t="n">
        <f aca="false">04_回帰ANOVA!$K$19*04_回帰ANOVA!$K$14*SQRT(1+Y3119)</f>
        <v>1.57974082366087</v>
      </c>
      <c r="AA3119" s="0" t="n">
        <f aca="false">X3119-Z3119</f>
        <v>43.7410559599648</v>
      </c>
      <c r="AB3119" s="0" t="n">
        <f aca="false">X3119+Z3119</f>
        <v>46.9005376072866</v>
      </c>
      <c r="AC3119" s="54" t="b">
        <f aca="false">AND(E3119&gt;=01_因子設定!$L$5-0.000000001,E3119&lt;=01_因子設定!$M$5+0.000000001,F3119&gt;=01_因子設定!$L$6-0.000000001,F3119&lt;=01_因子設定!$M$6+0.000000001,G3119&gt;=01_因子設定!$L$7-0.000000001,G3119&lt;=01_因子設定!$M$7+0.000000001,H3119&gt;=01_因子設定!$L$8-0.000000001,H3119&lt;=01_因子設定!$M$8+0.000000001,IF(01_因子設定!$B$20="Box-Behnken",E3119^2+F3119^2+G3119^2+H3119^2&lt;=2+0.000000001,TRUE()))</f>
        <v>1</v>
      </c>
      <c r="AD3119" s="55" t="n">
        <f aca="false">IF(AC3119,IF(01_因子設定!$B$13="最大化",AA3119-01_因子設定!$B$14,IF(01_因子設定!$B$13="最小化",01_因子設定!$B$15-AB3119,MIN(AA3119-01_因子設定!$B$14,01_因子設定!$B$15-AB3119))),-1E+030)</f>
        <v>-2.75894404003518</v>
      </c>
      <c r="AE3119" s="55" t="n">
        <f aca="false">IF(AC3119,IF(01_因子設定!$B$13="最大化",X3119,IF(01_因子設定!$B$13="最小化",-X3119,-ABS(X3119-01_因子設定!$B$16))),-1E+030)</f>
        <v>45.3207967836257</v>
      </c>
      <c r="AF3119" s="55" t="n">
        <f aca="false">AD3119+ROW()*0.000000001</f>
        <v>-2.75894092103517</v>
      </c>
      <c r="AG3119" s="55" t="n">
        <f aca="false">AE3119+ROW()*0.000000001</f>
        <v>45.3207999026257</v>
      </c>
    </row>
    <row r="3120" customFormat="false" ht="15" hidden="false" customHeight="false" outlineLevel="0" collapsed="false">
      <c r="A3120" s="0" t="n">
        <v>4</v>
      </c>
      <c r="B3120" s="0" t="n">
        <v>2</v>
      </c>
      <c r="C3120" s="0" t="n">
        <v>4</v>
      </c>
      <c r="D3120" s="0" t="n">
        <v>1</v>
      </c>
      <c r="E3120" s="0" t="n">
        <f aca="false">-1+A3120*0.25</f>
        <v>0</v>
      </c>
      <c r="F3120" s="0" t="n">
        <f aca="false">-1+B3120*0.25</f>
        <v>-0.5</v>
      </c>
      <c r="G3120" s="0" t="n">
        <f aca="false">-1+C3120*0.25</f>
        <v>0</v>
      </c>
      <c r="H3120" s="0" t="n">
        <f aca="false">-1+D3120*0.25</f>
        <v>-0.75</v>
      </c>
      <c r="I3120" s="0" t="n">
        <f aca="false">1</f>
        <v>1</v>
      </c>
      <c r="J3120" s="0" t="n">
        <f aca="false">E3120</f>
        <v>0</v>
      </c>
      <c r="K3120" s="0" t="n">
        <f aca="false">F3120</f>
        <v>-0.5</v>
      </c>
      <c r="L3120" s="0" t="n">
        <f aca="false">G3120</f>
        <v>0</v>
      </c>
      <c r="M3120" s="0" t="n">
        <f aca="false">H3120</f>
        <v>-0.75</v>
      </c>
      <c r="N3120" s="0" t="n">
        <f aca="false">E3120*F3120</f>
        <v>-0</v>
      </c>
      <c r="O3120" s="0" t="n">
        <f aca="false">E3120*G3120</f>
        <v>0</v>
      </c>
      <c r="P3120" s="0" t="n">
        <f aca="false">E3120*H3120</f>
        <v>-0</v>
      </c>
      <c r="Q3120" s="0" t="n">
        <f aca="false">F3120*G3120</f>
        <v>-0</v>
      </c>
      <c r="R3120" s="0" t="n">
        <f aca="false">F3120*H3120</f>
        <v>0.375</v>
      </c>
      <c r="S3120" s="0" t="n">
        <f aca="false">G3120*H3120</f>
        <v>-0</v>
      </c>
      <c r="T3120" s="0" t="n">
        <f aca="false">E3120*E3120</f>
        <v>0</v>
      </c>
      <c r="U3120" s="0" t="n">
        <f aca="false">F3120*F3120</f>
        <v>0.25</v>
      </c>
      <c r="V3120" s="0" t="n">
        <f aca="false">G3120*G3120</f>
        <v>0</v>
      </c>
      <c r="W3120" s="0" t="n">
        <f aca="false">H3120*H3120</f>
        <v>0.5625</v>
      </c>
      <c r="X3120" s="0" t="n">
        <f aca="false">SUMPRODUCT(I3120:W3120,_XtX!$B$96:$P$96)</f>
        <v>45.6160727339181</v>
      </c>
      <c r="Y3120" s="0" t="n">
        <f aca="false">SUMPRODUCT(MMULT(I3120:W3120,_XtX!$B$78:$P$92),I3120:W3120)</f>
        <v>0.221828170687135</v>
      </c>
      <c r="Z3120" s="0" t="n">
        <f aca="false">04_回帰ANOVA!$K$19*04_回帰ANOVA!$K$14*SQRT(1+Y3120)</f>
        <v>1.44079920361664</v>
      </c>
      <c r="AA3120" s="0" t="n">
        <f aca="false">X3120-Z3120</f>
        <v>44.1752735303014</v>
      </c>
      <c r="AB3120" s="0" t="n">
        <f aca="false">X3120+Z3120</f>
        <v>47.0568719375347</v>
      </c>
      <c r="AC3120" s="54" t="b">
        <f aca="false">AND(E3120&gt;=01_因子設定!$L$5-0.000000001,E3120&lt;=01_因子設定!$M$5+0.000000001,F3120&gt;=01_因子設定!$L$6-0.000000001,F3120&lt;=01_因子設定!$M$6+0.000000001,G3120&gt;=01_因子設定!$L$7-0.000000001,G3120&lt;=01_因子設定!$M$7+0.000000001,H3120&gt;=01_因子設定!$L$8-0.000000001,H3120&lt;=01_因子設定!$M$8+0.000000001,IF(01_因子設定!$B$20="Box-Behnken",E3120^2+F3120^2+G3120^2+H3120^2&lt;=2+0.000000001,TRUE()))</f>
        <v>1</v>
      </c>
      <c r="AD3120" s="55" t="n">
        <f aca="false">IF(AC3120,IF(01_因子設定!$B$13="最大化",AA3120-01_因子設定!$B$14,IF(01_因子設定!$B$13="最小化",01_因子設定!$B$15-AB3120,MIN(AA3120-01_因子設定!$B$14,01_因子設定!$B$15-AB3120))),-1E+030)</f>
        <v>-2.32472646969856</v>
      </c>
      <c r="AE3120" s="55" t="n">
        <f aca="false">IF(AC3120,IF(01_因子設定!$B$13="最大化",X3120,IF(01_因子設定!$B$13="最小化",-X3120,-ABS(X3120-01_因子設定!$B$16))),-1E+030)</f>
        <v>45.6160727339181</v>
      </c>
      <c r="AF3120" s="55" t="n">
        <f aca="false">AD3120+ROW()*0.000000001</f>
        <v>-2.32472334969856</v>
      </c>
      <c r="AG3120" s="55" t="n">
        <f aca="false">AE3120+ROW()*0.000000001</f>
        <v>45.6160758539181</v>
      </c>
    </row>
    <row r="3121" customFormat="false" ht="15" hidden="false" customHeight="false" outlineLevel="0" collapsed="false">
      <c r="A3121" s="0" t="n">
        <v>4</v>
      </c>
      <c r="B3121" s="0" t="n">
        <v>2</v>
      </c>
      <c r="C3121" s="0" t="n">
        <v>4</v>
      </c>
      <c r="D3121" s="0" t="n">
        <v>2</v>
      </c>
      <c r="E3121" s="0" t="n">
        <f aca="false">-1+A3121*0.25</f>
        <v>0</v>
      </c>
      <c r="F3121" s="0" t="n">
        <f aca="false">-1+B3121*0.25</f>
        <v>-0.5</v>
      </c>
      <c r="G3121" s="0" t="n">
        <f aca="false">-1+C3121*0.25</f>
        <v>0</v>
      </c>
      <c r="H3121" s="0" t="n">
        <f aca="false">-1+D3121*0.25</f>
        <v>-0.5</v>
      </c>
      <c r="I3121" s="0" t="n">
        <f aca="false">1</f>
        <v>1</v>
      </c>
      <c r="J3121" s="0" t="n">
        <f aca="false">E3121</f>
        <v>0</v>
      </c>
      <c r="K3121" s="0" t="n">
        <f aca="false">F3121</f>
        <v>-0.5</v>
      </c>
      <c r="L3121" s="0" t="n">
        <f aca="false">G3121</f>
        <v>0</v>
      </c>
      <c r="M3121" s="0" t="n">
        <f aca="false">H3121</f>
        <v>-0.5</v>
      </c>
      <c r="N3121" s="0" t="n">
        <f aca="false">E3121*F3121</f>
        <v>-0</v>
      </c>
      <c r="O3121" s="0" t="n">
        <f aca="false">E3121*G3121</f>
        <v>0</v>
      </c>
      <c r="P3121" s="0" t="n">
        <f aca="false">E3121*H3121</f>
        <v>-0</v>
      </c>
      <c r="Q3121" s="0" t="n">
        <f aca="false">F3121*G3121</f>
        <v>-0</v>
      </c>
      <c r="R3121" s="0" t="n">
        <f aca="false">F3121*H3121</f>
        <v>0.25</v>
      </c>
      <c r="S3121" s="0" t="n">
        <f aca="false">G3121*H3121</f>
        <v>-0</v>
      </c>
      <c r="T3121" s="0" t="n">
        <f aca="false">E3121*E3121</f>
        <v>0</v>
      </c>
      <c r="U3121" s="0" t="n">
        <f aca="false">F3121*F3121</f>
        <v>0.25</v>
      </c>
      <c r="V3121" s="0" t="n">
        <f aca="false">G3121*G3121</f>
        <v>0</v>
      </c>
      <c r="W3121" s="0" t="n">
        <f aca="false">H3121*H3121</f>
        <v>0.25</v>
      </c>
      <c r="X3121" s="0" t="n">
        <f aca="false">SUMPRODUCT(I3121:W3121,_XtX!$B$96:$P$96)</f>
        <v>45.8635416666666</v>
      </c>
      <c r="Y3121" s="0" t="n">
        <f aca="false">SUMPRODUCT(MMULT(I3121:W3121,_XtX!$B$78:$P$92),I3121:W3121)</f>
        <v>0.135850694444444</v>
      </c>
      <c r="Z3121" s="0" t="n">
        <f aca="false">04_回帰ANOVA!$K$19*04_回帰ANOVA!$K$14*SQRT(1+Y3121)</f>
        <v>1.38918158179389</v>
      </c>
      <c r="AA3121" s="0" t="n">
        <f aca="false">X3121-Z3121</f>
        <v>44.4743600848727</v>
      </c>
      <c r="AB3121" s="0" t="n">
        <f aca="false">X3121+Z3121</f>
        <v>47.2527232484605</v>
      </c>
      <c r="AC3121" s="54" t="b">
        <f aca="false">AND(E3121&gt;=01_因子設定!$L$5-0.000000001,E3121&lt;=01_因子設定!$M$5+0.000000001,F3121&gt;=01_因子設定!$L$6-0.000000001,F3121&lt;=01_因子設定!$M$6+0.000000001,G3121&gt;=01_因子設定!$L$7-0.000000001,G3121&lt;=01_因子設定!$M$7+0.000000001,H3121&gt;=01_因子設定!$L$8-0.000000001,H3121&lt;=01_因子設定!$M$8+0.000000001,IF(01_因子設定!$B$20="Box-Behnken",E3121^2+F3121^2+G3121^2+H3121^2&lt;=2+0.000000001,TRUE()))</f>
        <v>1</v>
      </c>
      <c r="AD3121" s="55" t="n">
        <f aca="false">IF(AC3121,IF(01_因子設定!$B$13="最大化",AA3121-01_因子設定!$B$14,IF(01_因子設定!$B$13="最小化",01_因子設定!$B$15-AB3121,MIN(AA3121-01_因子設定!$B$14,01_因子設定!$B$15-AB3121))),-1E+030)</f>
        <v>-2.02563991512729</v>
      </c>
      <c r="AE3121" s="55" t="n">
        <f aca="false">IF(AC3121,IF(01_因子設定!$B$13="最大化",X3121,IF(01_因子設定!$B$13="最小化",-X3121,-ABS(X3121-01_因子設定!$B$16))),-1E+030)</f>
        <v>45.8635416666666</v>
      </c>
      <c r="AF3121" s="55" t="n">
        <f aca="false">AD3121+ROW()*0.000000001</f>
        <v>-2.02563679412729</v>
      </c>
      <c r="AG3121" s="55" t="n">
        <f aca="false">AE3121+ROW()*0.000000001</f>
        <v>45.8635447876666</v>
      </c>
    </row>
    <row r="3122" customFormat="false" ht="15" hidden="false" customHeight="false" outlineLevel="0" collapsed="false">
      <c r="A3122" s="0" t="n">
        <v>4</v>
      </c>
      <c r="B3122" s="0" t="n">
        <v>2</v>
      </c>
      <c r="C3122" s="0" t="n">
        <v>4</v>
      </c>
      <c r="D3122" s="0" t="n">
        <v>3</v>
      </c>
      <c r="E3122" s="0" t="n">
        <f aca="false">-1+A3122*0.25</f>
        <v>0</v>
      </c>
      <c r="F3122" s="0" t="n">
        <f aca="false">-1+B3122*0.25</f>
        <v>-0.5</v>
      </c>
      <c r="G3122" s="0" t="n">
        <f aca="false">-1+C3122*0.25</f>
        <v>0</v>
      </c>
      <c r="H3122" s="0" t="n">
        <f aca="false">-1+D3122*0.25</f>
        <v>-0.25</v>
      </c>
      <c r="I3122" s="0" t="n">
        <f aca="false">1</f>
        <v>1</v>
      </c>
      <c r="J3122" s="0" t="n">
        <f aca="false">E3122</f>
        <v>0</v>
      </c>
      <c r="K3122" s="0" t="n">
        <f aca="false">F3122</f>
        <v>-0.5</v>
      </c>
      <c r="L3122" s="0" t="n">
        <f aca="false">G3122</f>
        <v>0</v>
      </c>
      <c r="M3122" s="0" t="n">
        <f aca="false">H3122</f>
        <v>-0.25</v>
      </c>
      <c r="N3122" s="0" t="n">
        <f aca="false">E3122*F3122</f>
        <v>-0</v>
      </c>
      <c r="O3122" s="0" t="n">
        <f aca="false">E3122*G3122</f>
        <v>0</v>
      </c>
      <c r="P3122" s="0" t="n">
        <f aca="false">E3122*H3122</f>
        <v>-0</v>
      </c>
      <c r="Q3122" s="0" t="n">
        <f aca="false">F3122*G3122</f>
        <v>-0</v>
      </c>
      <c r="R3122" s="0" t="n">
        <f aca="false">F3122*H3122</f>
        <v>0.125</v>
      </c>
      <c r="S3122" s="0" t="n">
        <f aca="false">G3122*H3122</f>
        <v>-0</v>
      </c>
      <c r="T3122" s="0" t="n">
        <f aca="false">E3122*E3122</f>
        <v>0</v>
      </c>
      <c r="U3122" s="0" t="n">
        <f aca="false">F3122*F3122</f>
        <v>0.25</v>
      </c>
      <c r="V3122" s="0" t="n">
        <f aca="false">G3122*G3122</f>
        <v>0</v>
      </c>
      <c r="W3122" s="0" t="n">
        <f aca="false">H3122*H3122</f>
        <v>0.0625</v>
      </c>
      <c r="X3122" s="0" t="n">
        <f aca="false">SUMPRODUCT(I3122:W3122,_XtX!$B$96:$P$96)</f>
        <v>46.0632035818713</v>
      </c>
      <c r="Y3122" s="0" t="n">
        <f aca="false">SUMPRODUCT(MMULT(I3122:W3122,_XtX!$B$78:$P$92),I3122:W3122)</f>
        <v>0.120448419225146</v>
      </c>
      <c r="Z3122" s="0" t="n">
        <f aca="false">04_回帰ANOVA!$K$19*04_回帰ANOVA!$K$14*SQRT(1+Y3122)</f>
        <v>1.37973069703246</v>
      </c>
      <c r="AA3122" s="0" t="n">
        <f aca="false">X3122-Z3122</f>
        <v>44.6834728848388</v>
      </c>
      <c r="AB3122" s="0" t="n">
        <f aca="false">X3122+Z3122</f>
        <v>47.4429342789037</v>
      </c>
      <c r="AC3122" s="54" t="b">
        <f aca="false">AND(E3122&gt;=01_因子設定!$L$5-0.000000001,E3122&lt;=01_因子設定!$M$5+0.000000001,F3122&gt;=01_因子設定!$L$6-0.000000001,F3122&lt;=01_因子設定!$M$6+0.000000001,G3122&gt;=01_因子設定!$L$7-0.000000001,G3122&lt;=01_因子設定!$M$7+0.000000001,H3122&gt;=01_因子設定!$L$8-0.000000001,H3122&lt;=01_因子設定!$M$8+0.000000001,IF(01_因子設定!$B$20="Box-Behnken",E3122^2+F3122^2+G3122^2+H3122^2&lt;=2+0.000000001,TRUE()))</f>
        <v>1</v>
      </c>
      <c r="AD3122" s="55" t="n">
        <f aca="false">IF(AC3122,IF(01_因子設定!$B$13="最大化",AA3122-01_因子設定!$B$14,IF(01_因子設定!$B$13="最小化",01_因子設定!$B$15-AB3122,MIN(AA3122-01_因子設定!$B$14,01_因子設定!$B$15-AB3122))),-1E+030)</f>
        <v>-1.81652711516119</v>
      </c>
      <c r="AE3122" s="55" t="n">
        <f aca="false">IF(AC3122,IF(01_因子設定!$B$13="最大化",X3122,IF(01_因子設定!$B$13="最小化",-X3122,-ABS(X3122-01_因子設定!$B$16))),-1E+030)</f>
        <v>46.0632035818713</v>
      </c>
      <c r="AF3122" s="55" t="n">
        <f aca="false">AD3122+ROW()*0.000000001</f>
        <v>-1.81652399316119</v>
      </c>
      <c r="AG3122" s="55" t="n">
        <f aca="false">AE3122+ROW()*0.000000001</f>
        <v>46.0632067038713</v>
      </c>
    </row>
    <row r="3123" customFormat="false" ht="15" hidden="false" customHeight="false" outlineLevel="0" collapsed="false">
      <c r="A3123" s="0" t="n">
        <v>4</v>
      </c>
      <c r="B3123" s="0" t="n">
        <v>2</v>
      </c>
      <c r="C3123" s="0" t="n">
        <v>4</v>
      </c>
      <c r="D3123" s="0" t="n">
        <v>4</v>
      </c>
      <c r="E3123" s="0" t="n">
        <f aca="false">-1+A3123*0.25</f>
        <v>0</v>
      </c>
      <c r="F3123" s="0" t="n">
        <f aca="false">-1+B3123*0.25</f>
        <v>-0.5</v>
      </c>
      <c r="G3123" s="0" t="n">
        <f aca="false">-1+C3123*0.25</f>
        <v>0</v>
      </c>
      <c r="H3123" s="0" t="n">
        <f aca="false">-1+D3123*0.25</f>
        <v>0</v>
      </c>
      <c r="I3123" s="0" t="n">
        <f aca="false">1</f>
        <v>1</v>
      </c>
      <c r="J3123" s="0" t="n">
        <f aca="false">E3123</f>
        <v>0</v>
      </c>
      <c r="K3123" s="0" t="n">
        <f aca="false">F3123</f>
        <v>-0.5</v>
      </c>
      <c r="L3123" s="0" t="n">
        <f aca="false">G3123</f>
        <v>0</v>
      </c>
      <c r="M3123" s="0" t="n">
        <f aca="false">H3123</f>
        <v>0</v>
      </c>
      <c r="N3123" s="0" t="n">
        <f aca="false">E3123*F3123</f>
        <v>-0</v>
      </c>
      <c r="O3123" s="0" t="n">
        <f aca="false">E3123*G3123</f>
        <v>0</v>
      </c>
      <c r="P3123" s="0" t="n">
        <f aca="false">E3123*H3123</f>
        <v>0</v>
      </c>
      <c r="Q3123" s="0" t="n">
        <f aca="false">F3123*G3123</f>
        <v>-0</v>
      </c>
      <c r="R3123" s="0" t="n">
        <f aca="false">F3123*H3123</f>
        <v>-0</v>
      </c>
      <c r="S3123" s="0" t="n">
        <f aca="false">G3123*H3123</f>
        <v>0</v>
      </c>
      <c r="T3123" s="0" t="n">
        <f aca="false">E3123*E3123</f>
        <v>0</v>
      </c>
      <c r="U3123" s="0" t="n">
        <f aca="false">F3123*F3123</f>
        <v>0.25</v>
      </c>
      <c r="V3123" s="0" t="n">
        <f aca="false">G3123*G3123</f>
        <v>0</v>
      </c>
      <c r="W3123" s="0" t="n">
        <f aca="false">H3123*H3123</f>
        <v>0</v>
      </c>
      <c r="X3123" s="0" t="n">
        <f aca="false">SUMPRODUCT(I3123:W3123,_XtX!$B$96:$P$96)</f>
        <v>46.2150584795321</v>
      </c>
      <c r="Y3123" s="0" t="n">
        <f aca="false">SUMPRODUCT(MMULT(I3123:W3123,_XtX!$B$78:$P$92),I3123:W3123)</f>
        <v>0.121345029239766</v>
      </c>
      <c r="Z3123" s="0" t="n">
        <f aca="false">04_回帰ANOVA!$K$19*04_回帰ANOVA!$K$14*SQRT(1+Y3123)</f>
        <v>1.3802826336289</v>
      </c>
      <c r="AA3123" s="0" t="n">
        <f aca="false">X3123-Z3123</f>
        <v>44.8347758459032</v>
      </c>
      <c r="AB3123" s="0" t="n">
        <f aca="false">X3123+Z3123</f>
        <v>47.595341113161</v>
      </c>
      <c r="AC3123" s="54" t="b">
        <f aca="false">AND(E3123&gt;=01_因子設定!$L$5-0.000000001,E3123&lt;=01_因子設定!$M$5+0.000000001,F3123&gt;=01_因子設定!$L$6-0.000000001,F3123&lt;=01_因子設定!$M$6+0.000000001,G3123&gt;=01_因子設定!$L$7-0.000000001,G3123&lt;=01_因子設定!$M$7+0.000000001,H3123&gt;=01_因子設定!$L$8-0.000000001,H3123&lt;=01_因子設定!$M$8+0.000000001,IF(01_因子設定!$B$20="Box-Behnken",E3123^2+F3123^2+G3123^2+H3123^2&lt;=2+0.000000001,TRUE()))</f>
        <v>1</v>
      </c>
      <c r="AD3123" s="55" t="n">
        <f aca="false">IF(AC3123,IF(01_因子設定!$B$13="最大化",AA3123-01_因子設定!$B$14,IF(01_因子設定!$B$13="最小化",01_因子設定!$B$15-AB3123,MIN(AA3123-01_因子設定!$B$14,01_因子設定!$B$15-AB3123))),-1E+030)</f>
        <v>-1.66522415409681</v>
      </c>
      <c r="AE3123" s="55" t="n">
        <f aca="false">IF(AC3123,IF(01_因子設定!$B$13="最大化",X3123,IF(01_因子設定!$B$13="最小化",-X3123,-ABS(X3123-01_因子設定!$B$16))),-1E+030)</f>
        <v>46.2150584795321</v>
      </c>
      <c r="AF3123" s="55" t="n">
        <f aca="false">AD3123+ROW()*0.000000001</f>
        <v>-1.66522103109681</v>
      </c>
      <c r="AG3123" s="55" t="n">
        <f aca="false">AE3123+ROW()*0.000000001</f>
        <v>46.2150616025321</v>
      </c>
    </row>
    <row r="3124" customFormat="false" ht="15" hidden="false" customHeight="false" outlineLevel="0" collapsed="false">
      <c r="A3124" s="0" t="n">
        <v>4</v>
      </c>
      <c r="B3124" s="0" t="n">
        <v>2</v>
      </c>
      <c r="C3124" s="0" t="n">
        <v>4</v>
      </c>
      <c r="D3124" s="0" t="n">
        <v>5</v>
      </c>
      <c r="E3124" s="0" t="n">
        <f aca="false">-1+A3124*0.25</f>
        <v>0</v>
      </c>
      <c r="F3124" s="0" t="n">
        <f aca="false">-1+B3124*0.25</f>
        <v>-0.5</v>
      </c>
      <c r="G3124" s="0" t="n">
        <f aca="false">-1+C3124*0.25</f>
        <v>0</v>
      </c>
      <c r="H3124" s="0" t="n">
        <f aca="false">-1+D3124*0.25</f>
        <v>0.25</v>
      </c>
      <c r="I3124" s="0" t="n">
        <f aca="false">1</f>
        <v>1</v>
      </c>
      <c r="J3124" s="0" t="n">
        <f aca="false">E3124</f>
        <v>0</v>
      </c>
      <c r="K3124" s="0" t="n">
        <f aca="false">F3124</f>
        <v>-0.5</v>
      </c>
      <c r="L3124" s="0" t="n">
        <f aca="false">G3124</f>
        <v>0</v>
      </c>
      <c r="M3124" s="0" t="n">
        <f aca="false">H3124</f>
        <v>0.25</v>
      </c>
      <c r="N3124" s="0" t="n">
        <f aca="false">E3124*F3124</f>
        <v>-0</v>
      </c>
      <c r="O3124" s="0" t="n">
        <f aca="false">E3124*G3124</f>
        <v>0</v>
      </c>
      <c r="P3124" s="0" t="n">
        <f aca="false">E3124*H3124</f>
        <v>0</v>
      </c>
      <c r="Q3124" s="0" t="n">
        <f aca="false">F3124*G3124</f>
        <v>-0</v>
      </c>
      <c r="R3124" s="0" t="n">
        <f aca="false">F3124*H3124</f>
        <v>-0.125</v>
      </c>
      <c r="S3124" s="0" t="n">
        <f aca="false">G3124*H3124</f>
        <v>0</v>
      </c>
      <c r="T3124" s="0" t="n">
        <f aca="false">E3124*E3124</f>
        <v>0</v>
      </c>
      <c r="U3124" s="0" t="n">
        <f aca="false">F3124*F3124</f>
        <v>0.25</v>
      </c>
      <c r="V3124" s="0" t="n">
        <f aca="false">G3124*G3124</f>
        <v>0</v>
      </c>
      <c r="W3124" s="0" t="n">
        <f aca="false">H3124*H3124</f>
        <v>0.0625</v>
      </c>
      <c r="X3124" s="0" t="n">
        <f aca="false">SUMPRODUCT(I3124:W3124,_XtX!$B$96:$P$96)</f>
        <v>46.3191063596491</v>
      </c>
      <c r="Y3124" s="0" t="n">
        <f aca="false">SUMPRODUCT(MMULT(I3124:W3124,_XtX!$B$78:$P$92),I3124:W3124)</f>
        <v>0.120448419225146</v>
      </c>
      <c r="Z3124" s="0" t="n">
        <f aca="false">04_回帰ANOVA!$K$19*04_回帰ANOVA!$K$14*SQRT(1+Y3124)</f>
        <v>1.37973069703246</v>
      </c>
      <c r="AA3124" s="0" t="n">
        <f aca="false">X3124-Z3124</f>
        <v>44.9393756626166</v>
      </c>
      <c r="AB3124" s="0" t="n">
        <f aca="false">X3124+Z3124</f>
        <v>47.6988370566815</v>
      </c>
      <c r="AC3124" s="54" t="b">
        <f aca="false">AND(E3124&gt;=01_因子設定!$L$5-0.000000001,E3124&lt;=01_因子設定!$M$5+0.000000001,F3124&gt;=01_因子設定!$L$6-0.000000001,F3124&lt;=01_因子設定!$M$6+0.000000001,G3124&gt;=01_因子設定!$L$7-0.000000001,G3124&lt;=01_因子設定!$M$7+0.000000001,H3124&gt;=01_因子設定!$L$8-0.000000001,H3124&lt;=01_因子設定!$M$8+0.000000001,IF(01_因子設定!$B$20="Box-Behnken",E3124^2+F3124^2+G3124^2+H3124^2&lt;=2+0.000000001,TRUE()))</f>
        <v>1</v>
      </c>
      <c r="AD3124" s="55" t="n">
        <f aca="false">IF(AC3124,IF(01_因子設定!$B$13="最大化",AA3124-01_因子設定!$B$14,IF(01_因子設定!$B$13="最小化",01_因子設定!$B$15-AB3124,MIN(AA3124-01_因子設定!$B$14,01_因子設定!$B$15-AB3124))),-1E+030)</f>
        <v>-1.56062433738341</v>
      </c>
      <c r="AE3124" s="55" t="n">
        <f aca="false">IF(AC3124,IF(01_因子設定!$B$13="最大化",X3124,IF(01_因子設定!$B$13="最小化",-X3124,-ABS(X3124-01_因子設定!$B$16))),-1E+030)</f>
        <v>46.3191063596491</v>
      </c>
      <c r="AF3124" s="55" t="n">
        <f aca="false">AD3124+ROW()*0.000000001</f>
        <v>-1.56062121338341</v>
      </c>
      <c r="AG3124" s="55" t="n">
        <f aca="false">AE3124+ROW()*0.000000001</f>
        <v>46.3191094836491</v>
      </c>
    </row>
    <row r="3125" customFormat="false" ht="15" hidden="false" customHeight="false" outlineLevel="0" collapsed="false">
      <c r="A3125" s="0" t="n">
        <v>4</v>
      </c>
      <c r="B3125" s="0" t="n">
        <v>2</v>
      </c>
      <c r="C3125" s="0" t="n">
        <v>4</v>
      </c>
      <c r="D3125" s="0" t="n">
        <v>6</v>
      </c>
      <c r="E3125" s="0" t="n">
        <f aca="false">-1+A3125*0.25</f>
        <v>0</v>
      </c>
      <c r="F3125" s="0" t="n">
        <f aca="false">-1+B3125*0.25</f>
        <v>-0.5</v>
      </c>
      <c r="G3125" s="0" t="n">
        <f aca="false">-1+C3125*0.25</f>
        <v>0</v>
      </c>
      <c r="H3125" s="0" t="n">
        <f aca="false">-1+D3125*0.25</f>
        <v>0.5</v>
      </c>
      <c r="I3125" s="0" t="n">
        <f aca="false">1</f>
        <v>1</v>
      </c>
      <c r="J3125" s="0" t="n">
        <f aca="false">E3125</f>
        <v>0</v>
      </c>
      <c r="K3125" s="0" t="n">
        <f aca="false">F3125</f>
        <v>-0.5</v>
      </c>
      <c r="L3125" s="0" t="n">
        <f aca="false">G3125</f>
        <v>0</v>
      </c>
      <c r="M3125" s="0" t="n">
        <f aca="false">H3125</f>
        <v>0.5</v>
      </c>
      <c r="N3125" s="0" t="n">
        <f aca="false">E3125*F3125</f>
        <v>-0</v>
      </c>
      <c r="O3125" s="0" t="n">
        <f aca="false">E3125*G3125</f>
        <v>0</v>
      </c>
      <c r="P3125" s="0" t="n">
        <f aca="false">E3125*H3125</f>
        <v>0</v>
      </c>
      <c r="Q3125" s="0" t="n">
        <f aca="false">F3125*G3125</f>
        <v>-0</v>
      </c>
      <c r="R3125" s="0" t="n">
        <f aca="false">F3125*H3125</f>
        <v>-0.25</v>
      </c>
      <c r="S3125" s="0" t="n">
        <f aca="false">G3125*H3125</f>
        <v>0</v>
      </c>
      <c r="T3125" s="0" t="n">
        <f aca="false">E3125*E3125</f>
        <v>0</v>
      </c>
      <c r="U3125" s="0" t="n">
        <f aca="false">F3125*F3125</f>
        <v>0.25</v>
      </c>
      <c r="V3125" s="0" t="n">
        <f aca="false">G3125*G3125</f>
        <v>0</v>
      </c>
      <c r="W3125" s="0" t="n">
        <f aca="false">H3125*H3125</f>
        <v>0.25</v>
      </c>
      <c r="X3125" s="0" t="n">
        <f aca="false">SUMPRODUCT(I3125:W3125,_XtX!$B$96:$P$96)</f>
        <v>46.3753472222222</v>
      </c>
      <c r="Y3125" s="0" t="n">
        <f aca="false">SUMPRODUCT(MMULT(I3125:W3125,_XtX!$B$78:$P$92),I3125:W3125)</f>
        <v>0.135850694444444</v>
      </c>
      <c r="Z3125" s="0" t="n">
        <f aca="false">04_回帰ANOVA!$K$19*04_回帰ANOVA!$K$14*SQRT(1+Y3125)</f>
        <v>1.38918158179389</v>
      </c>
      <c r="AA3125" s="0" t="n">
        <f aca="false">X3125-Z3125</f>
        <v>44.9861656404283</v>
      </c>
      <c r="AB3125" s="0" t="n">
        <f aca="false">X3125+Z3125</f>
        <v>47.7645288040161</v>
      </c>
      <c r="AC3125" s="54" t="b">
        <f aca="false">AND(E3125&gt;=01_因子設定!$L$5-0.000000001,E3125&lt;=01_因子設定!$M$5+0.000000001,F3125&gt;=01_因子設定!$L$6-0.000000001,F3125&lt;=01_因子設定!$M$6+0.000000001,G3125&gt;=01_因子設定!$L$7-0.000000001,G3125&lt;=01_因子設定!$M$7+0.000000001,H3125&gt;=01_因子設定!$L$8-0.000000001,H3125&lt;=01_因子設定!$M$8+0.000000001,IF(01_因子設定!$B$20="Box-Behnken",E3125^2+F3125^2+G3125^2+H3125^2&lt;=2+0.000000001,TRUE()))</f>
        <v>1</v>
      </c>
      <c r="AD3125" s="55" t="n">
        <f aca="false">IF(AC3125,IF(01_因子設定!$B$13="最大化",AA3125-01_因子設定!$B$14,IF(01_因子設定!$B$13="最小化",01_因子設定!$B$15-AB3125,MIN(AA3125-01_因子設定!$B$14,01_因子設定!$B$15-AB3125))),-1E+030)</f>
        <v>-1.51383435957172</v>
      </c>
      <c r="AE3125" s="55" t="n">
        <f aca="false">IF(AC3125,IF(01_因子設定!$B$13="最大化",X3125,IF(01_因子設定!$B$13="最小化",-X3125,-ABS(X3125-01_因子設定!$B$16))),-1E+030)</f>
        <v>46.3753472222222</v>
      </c>
      <c r="AF3125" s="55" t="n">
        <f aca="false">AD3125+ROW()*0.000000001</f>
        <v>-1.51383123457172</v>
      </c>
      <c r="AG3125" s="55" t="n">
        <f aca="false">AE3125+ROW()*0.000000001</f>
        <v>46.3753503472222</v>
      </c>
    </row>
    <row r="3126" customFormat="false" ht="15" hidden="false" customHeight="false" outlineLevel="0" collapsed="false">
      <c r="A3126" s="0" t="n">
        <v>4</v>
      </c>
      <c r="B3126" s="0" t="n">
        <v>2</v>
      </c>
      <c r="C3126" s="0" t="n">
        <v>4</v>
      </c>
      <c r="D3126" s="0" t="n">
        <v>7</v>
      </c>
      <c r="E3126" s="0" t="n">
        <f aca="false">-1+A3126*0.25</f>
        <v>0</v>
      </c>
      <c r="F3126" s="0" t="n">
        <f aca="false">-1+B3126*0.25</f>
        <v>-0.5</v>
      </c>
      <c r="G3126" s="0" t="n">
        <f aca="false">-1+C3126*0.25</f>
        <v>0</v>
      </c>
      <c r="H3126" s="0" t="n">
        <f aca="false">-1+D3126*0.25</f>
        <v>0.75</v>
      </c>
      <c r="I3126" s="0" t="n">
        <f aca="false">1</f>
        <v>1</v>
      </c>
      <c r="J3126" s="0" t="n">
        <f aca="false">E3126</f>
        <v>0</v>
      </c>
      <c r="K3126" s="0" t="n">
        <f aca="false">F3126</f>
        <v>-0.5</v>
      </c>
      <c r="L3126" s="0" t="n">
        <f aca="false">G3126</f>
        <v>0</v>
      </c>
      <c r="M3126" s="0" t="n">
        <f aca="false">H3126</f>
        <v>0.75</v>
      </c>
      <c r="N3126" s="0" t="n">
        <f aca="false">E3126*F3126</f>
        <v>-0</v>
      </c>
      <c r="O3126" s="0" t="n">
        <f aca="false">E3126*G3126</f>
        <v>0</v>
      </c>
      <c r="P3126" s="0" t="n">
        <f aca="false">E3126*H3126</f>
        <v>0</v>
      </c>
      <c r="Q3126" s="0" t="n">
        <f aca="false">F3126*G3126</f>
        <v>-0</v>
      </c>
      <c r="R3126" s="0" t="n">
        <f aca="false">F3126*H3126</f>
        <v>-0.375</v>
      </c>
      <c r="S3126" s="0" t="n">
        <f aca="false">G3126*H3126</f>
        <v>0</v>
      </c>
      <c r="T3126" s="0" t="n">
        <f aca="false">E3126*E3126</f>
        <v>0</v>
      </c>
      <c r="U3126" s="0" t="n">
        <f aca="false">F3126*F3126</f>
        <v>0.25</v>
      </c>
      <c r="V3126" s="0" t="n">
        <f aca="false">G3126*G3126</f>
        <v>0</v>
      </c>
      <c r="W3126" s="0" t="n">
        <f aca="false">H3126*H3126</f>
        <v>0.5625</v>
      </c>
      <c r="X3126" s="0" t="n">
        <f aca="false">SUMPRODUCT(I3126:W3126,_XtX!$B$96:$P$96)</f>
        <v>46.3837810672514</v>
      </c>
      <c r="Y3126" s="0" t="n">
        <f aca="false">SUMPRODUCT(MMULT(I3126:W3126,_XtX!$B$78:$P$92),I3126:W3126)</f>
        <v>0.221828170687135</v>
      </c>
      <c r="Z3126" s="0" t="n">
        <f aca="false">04_回帰ANOVA!$K$19*04_回帰ANOVA!$K$14*SQRT(1+Y3126)</f>
        <v>1.44079920361664</v>
      </c>
      <c r="AA3126" s="0" t="n">
        <f aca="false">X3126-Z3126</f>
        <v>44.9429818636348</v>
      </c>
      <c r="AB3126" s="0" t="n">
        <f aca="false">X3126+Z3126</f>
        <v>47.8245802708681</v>
      </c>
      <c r="AC3126" s="54" t="b">
        <f aca="false">AND(E3126&gt;=01_因子設定!$L$5-0.000000001,E3126&lt;=01_因子設定!$M$5+0.000000001,F3126&gt;=01_因子設定!$L$6-0.000000001,F3126&lt;=01_因子設定!$M$6+0.000000001,G3126&gt;=01_因子設定!$L$7-0.000000001,G3126&lt;=01_因子設定!$M$7+0.000000001,H3126&gt;=01_因子設定!$L$8-0.000000001,H3126&lt;=01_因子設定!$M$8+0.000000001,IF(01_因子設定!$B$20="Box-Behnken",E3126^2+F3126^2+G3126^2+H3126^2&lt;=2+0.000000001,TRUE()))</f>
        <v>1</v>
      </c>
      <c r="AD3126" s="55" t="n">
        <f aca="false">IF(AC3126,IF(01_因子設定!$B$13="最大化",AA3126-01_因子設定!$B$14,IF(01_因子設定!$B$13="最小化",01_因子設定!$B$15-AB3126,MIN(AA3126-01_因子設定!$B$14,01_因子設定!$B$15-AB3126))),-1E+030)</f>
        <v>-1.55701813636523</v>
      </c>
      <c r="AE3126" s="55" t="n">
        <f aca="false">IF(AC3126,IF(01_因子設定!$B$13="最大化",X3126,IF(01_因子設定!$B$13="最小化",-X3126,-ABS(X3126-01_因子設定!$B$16))),-1E+030)</f>
        <v>46.3837810672514</v>
      </c>
      <c r="AF3126" s="55" t="n">
        <f aca="false">AD3126+ROW()*0.000000001</f>
        <v>-1.55701501036523</v>
      </c>
      <c r="AG3126" s="55" t="n">
        <f aca="false">AE3126+ROW()*0.000000001</f>
        <v>46.3837841932514</v>
      </c>
    </row>
    <row r="3127" customFormat="false" ht="15" hidden="false" customHeight="false" outlineLevel="0" collapsed="false">
      <c r="A3127" s="0" t="n">
        <v>4</v>
      </c>
      <c r="B3127" s="0" t="n">
        <v>2</v>
      </c>
      <c r="C3127" s="0" t="n">
        <v>4</v>
      </c>
      <c r="D3127" s="0" t="n">
        <v>8</v>
      </c>
      <c r="E3127" s="0" t="n">
        <f aca="false">-1+A3127*0.25</f>
        <v>0</v>
      </c>
      <c r="F3127" s="0" t="n">
        <f aca="false">-1+B3127*0.25</f>
        <v>-0.5</v>
      </c>
      <c r="G3127" s="0" t="n">
        <f aca="false">-1+C3127*0.25</f>
        <v>0</v>
      </c>
      <c r="H3127" s="0" t="n">
        <f aca="false">-1+D3127*0.25</f>
        <v>1</v>
      </c>
      <c r="I3127" s="0" t="n">
        <f aca="false">1</f>
        <v>1</v>
      </c>
      <c r="J3127" s="0" t="n">
        <f aca="false">E3127</f>
        <v>0</v>
      </c>
      <c r="K3127" s="0" t="n">
        <f aca="false">F3127</f>
        <v>-0.5</v>
      </c>
      <c r="L3127" s="0" t="n">
        <f aca="false">G3127</f>
        <v>0</v>
      </c>
      <c r="M3127" s="0" t="n">
        <f aca="false">H3127</f>
        <v>1</v>
      </c>
      <c r="N3127" s="0" t="n">
        <f aca="false">E3127*F3127</f>
        <v>-0</v>
      </c>
      <c r="O3127" s="0" t="n">
        <f aca="false">E3127*G3127</f>
        <v>0</v>
      </c>
      <c r="P3127" s="0" t="n">
        <f aca="false">E3127*H3127</f>
        <v>0</v>
      </c>
      <c r="Q3127" s="0" t="n">
        <f aca="false">F3127*G3127</f>
        <v>-0</v>
      </c>
      <c r="R3127" s="0" t="n">
        <f aca="false">F3127*H3127</f>
        <v>-0.5</v>
      </c>
      <c r="S3127" s="0" t="n">
        <f aca="false">G3127*H3127</f>
        <v>0</v>
      </c>
      <c r="T3127" s="0" t="n">
        <f aca="false">E3127*E3127</f>
        <v>0</v>
      </c>
      <c r="U3127" s="0" t="n">
        <f aca="false">F3127*F3127</f>
        <v>0.25</v>
      </c>
      <c r="V3127" s="0" t="n">
        <f aca="false">G3127*G3127</f>
        <v>0</v>
      </c>
      <c r="W3127" s="0" t="n">
        <f aca="false">H3127*H3127</f>
        <v>1</v>
      </c>
      <c r="X3127" s="0" t="n">
        <f aca="false">SUMPRODUCT(I3127:W3127,_XtX!$B$96:$P$96)</f>
        <v>46.3444078947368</v>
      </c>
      <c r="Y3127" s="0" t="n">
        <f aca="false">SUMPRODUCT(MMULT(I3127:W3127,_XtX!$B$78:$P$92),I3127:W3127)</f>
        <v>0.468841374269006</v>
      </c>
      <c r="Z3127" s="0" t="n">
        <f aca="false">04_回帰ANOVA!$K$19*04_回帰ANOVA!$K$14*SQRT(1+Y3127)</f>
        <v>1.57974082366087</v>
      </c>
      <c r="AA3127" s="0" t="n">
        <f aca="false">X3127-Z3127</f>
        <v>44.7646670710759</v>
      </c>
      <c r="AB3127" s="0" t="n">
        <f aca="false">X3127+Z3127</f>
        <v>47.9241487183977</v>
      </c>
      <c r="AC3127" s="54" t="b">
        <f aca="false">AND(E3127&gt;=01_因子設定!$L$5-0.000000001,E3127&lt;=01_因子設定!$M$5+0.000000001,F3127&gt;=01_因子設定!$L$6-0.000000001,F3127&lt;=01_因子設定!$M$6+0.000000001,G3127&gt;=01_因子設定!$L$7-0.000000001,G3127&lt;=01_因子設定!$M$7+0.000000001,H3127&gt;=01_因子設定!$L$8-0.000000001,H3127&lt;=01_因子設定!$M$8+0.000000001,IF(01_因子設定!$B$20="Box-Behnken",E3127^2+F3127^2+G3127^2+H3127^2&lt;=2+0.000000001,TRUE()))</f>
        <v>1</v>
      </c>
      <c r="AD3127" s="55" t="n">
        <f aca="false">IF(AC3127,IF(01_因子設定!$B$13="最大化",AA3127-01_因子設定!$B$14,IF(01_因子設定!$B$13="最小化",01_因子設定!$B$15-AB3127,MIN(AA3127-01_因子設定!$B$14,01_因子設定!$B$15-AB3127))),-1E+030)</f>
        <v>-1.73533292892407</v>
      </c>
      <c r="AE3127" s="55" t="n">
        <f aca="false">IF(AC3127,IF(01_因子設定!$B$13="最大化",X3127,IF(01_因子設定!$B$13="最小化",-X3127,-ABS(X3127-01_因子設定!$B$16))),-1E+030)</f>
        <v>46.3444078947368</v>
      </c>
      <c r="AF3127" s="55" t="n">
        <f aca="false">AD3127+ROW()*0.000000001</f>
        <v>-1.73532980192407</v>
      </c>
      <c r="AG3127" s="55" t="n">
        <f aca="false">AE3127+ROW()*0.000000001</f>
        <v>46.3444110217368</v>
      </c>
    </row>
    <row r="3128" customFormat="false" ht="15" hidden="false" customHeight="false" outlineLevel="0" collapsed="false">
      <c r="A3128" s="0" t="n">
        <v>4</v>
      </c>
      <c r="B3128" s="0" t="n">
        <v>2</v>
      </c>
      <c r="C3128" s="0" t="n">
        <v>5</v>
      </c>
      <c r="D3128" s="0" t="n">
        <v>0</v>
      </c>
      <c r="E3128" s="0" t="n">
        <f aca="false">-1+A3128*0.25</f>
        <v>0</v>
      </c>
      <c r="F3128" s="0" t="n">
        <f aca="false">-1+B3128*0.25</f>
        <v>-0.5</v>
      </c>
      <c r="G3128" s="0" t="n">
        <f aca="false">-1+C3128*0.25</f>
        <v>0.25</v>
      </c>
      <c r="H3128" s="0" t="n">
        <f aca="false">-1+D3128*0.25</f>
        <v>-1</v>
      </c>
      <c r="I3128" s="0" t="n">
        <f aca="false">1</f>
        <v>1</v>
      </c>
      <c r="J3128" s="0" t="n">
        <f aca="false">E3128</f>
        <v>0</v>
      </c>
      <c r="K3128" s="0" t="n">
        <f aca="false">F3128</f>
        <v>-0.5</v>
      </c>
      <c r="L3128" s="0" t="n">
        <f aca="false">G3128</f>
        <v>0.25</v>
      </c>
      <c r="M3128" s="0" t="n">
        <f aca="false">H3128</f>
        <v>-1</v>
      </c>
      <c r="N3128" s="0" t="n">
        <f aca="false">E3128*F3128</f>
        <v>-0</v>
      </c>
      <c r="O3128" s="0" t="n">
        <f aca="false">E3128*G3128</f>
        <v>0</v>
      </c>
      <c r="P3128" s="0" t="n">
        <f aca="false">E3128*H3128</f>
        <v>-0</v>
      </c>
      <c r="Q3128" s="0" t="n">
        <f aca="false">F3128*G3128</f>
        <v>-0.125</v>
      </c>
      <c r="R3128" s="0" t="n">
        <f aca="false">F3128*H3128</f>
        <v>0.5</v>
      </c>
      <c r="S3128" s="0" t="n">
        <f aca="false">G3128*H3128</f>
        <v>-0.25</v>
      </c>
      <c r="T3128" s="0" t="n">
        <f aca="false">E3128*E3128</f>
        <v>0</v>
      </c>
      <c r="U3128" s="0" t="n">
        <f aca="false">F3128*F3128</f>
        <v>0.25</v>
      </c>
      <c r="V3128" s="0" t="n">
        <f aca="false">G3128*G3128</f>
        <v>0.0625</v>
      </c>
      <c r="W3128" s="0" t="n">
        <f aca="false">H3128*H3128</f>
        <v>1</v>
      </c>
      <c r="X3128" s="0" t="n">
        <f aca="false">SUMPRODUCT(I3128:W3128,_XtX!$B$96:$P$96)</f>
        <v>45.4130391081871</v>
      </c>
      <c r="Y3128" s="0" t="n">
        <f aca="false">SUMPRODUCT(MMULT(I3128:W3128,_XtX!$B$78:$P$92),I3128:W3128)</f>
        <v>0.457596628289474</v>
      </c>
      <c r="Z3128" s="0" t="n">
        <f aca="false">04_回帰ANOVA!$K$19*04_回帰ANOVA!$K$14*SQRT(1+Y3128)</f>
        <v>1.57368233664366</v>
      </c>
      <c r="AA3128" s="0" t="n">
        <f aca="false">X3128-Z3128</f>
        <v>43.8393567715435</v>
      </c>
      <c r="AB3128" s="0" t="n">
        <f aca="false">X3128+Z3128</f>
        <v>46.9867214448308</v>
      </c>
      <c r="AC3128" s="54" t="b">
        <f aca="false">AND(E3128&gt;=01_因子設定!$L$5-0.000000001,E3128&lt;=01_因子設定!$M$5+0.000000001,F3128&gt;=01_因子設定!$L$6-0.000000001,F3128&lt;=01_因子設定!$M$6+0.000000001,G3128&gt;=01_因子設定!$L$7-0.000000001,G3128&lt;=01_因子設定!$M$7+0.000000001,H3128&gt;=01_因子設定!$L$8-0.000000001,H3128&lt;=01_因子設定!$M$8+0.000000001,IF(01_因子設定!$B$20="Box-Behnken",E3128^2+F3128^2+G3128^2+H3128^2&lt;=2+0.000000001,TRUE()))</f>
        <v>1</v>
      </c>
      <c r="AD3128" s="55" t="n">
        <f aca="false">IF(AC3128,IF(01_因子設定!$B$13="最大化",AA3128-01_因子設定!$B$14,IF(01_因子設定!$B$13="最小化",01_因子設定!$B$15-AB3128,MIN(AA3128-01_因子設定!$B$14,01_因子設定!$B$15-AB3128))),-1E+030)</f>
        <v>-2.66064322845655</v>
      </c>
      <c r="AE3128" s="55" t="n">
        <f aca="false">IF(AC3128,IF(01_因子設定!$B$13="最大化",X3128,IF(01_因子設定!$B$13="最小化",-X3128,-ABS(X3128-01_因子設定!$B$16))),-1E+030)</f>
        <v>45.4130391081871</v>
      </c>
      <c r="AF3128" s="55" t="n">
        <f aca="false">AD3128+ROW()*0.000000001</f>
        <v>-2.66064010045655</v>
      </c>
      <c r="AG3128" s="55" t="n">
        <f aca="false">AE3128+ROW()*0.000000001</f>
        <v>45.4130422361871</v>
      </c>
    </row>
    <row r="3129" customFormat="false" ht="15" hidden="false" customHeight="false" outlineLevel="0" collapsed="false">
      <c r="A3129" s="0" t="n">
        <v>4</v>
      </c>
      <c r="B3129" s="0" t="n">
        <v>2</v>
      </c>
      <c r="C3129" s="0" t="n">
        <v>5</v>
      </c>
      <c r="D3129" s="0" t="n">
        <v>1</v>
      </c>
      <c r="E3129" s="0" t="n">
        <f aca="false">-1+A3129*0.25</f>
        <v>0</v>
      </c>
      <c r="F3129" s="0" t="n">
        <f aca="false">-1+B3129*0.25</f>
        <v>-0.5</v>
      </c>
      <c r="G3129" s="0" t="n">
        <f aca="false">-1+C3129*0.25</f>
        <v>0.25</v>
      </c>
      <c r="H3129" s="0" t="n">
        <f aca="false">-1+D3129*0.25</f>
        <v>-0.75</v>
      </c>
      <c r="I3129" s="0" t="n">
        <f aca="false">1</f>
        <v>1</v>
      </c>
      <c r="J3129" s="0" t="n">
        <f aca="false">E3129</f>
        <v>0</v>
      </c>
      <c r="K3129" s="0" t="n">
        <f aca="false">F3129</f>
        <v>-0.5</v>
      </c>
      <c r="L3129" s="0" t="n">
        <f aca="false">G3129</f>
        <v>0.25</v>
      </c>
      <c r="M3129" s="0" t="n">
        <f aca="false">H3129</f>
        <v>-0.75</v>
      </c>
      <c r="N3129" s="0" t="n">
        <f aca="false">E3129*F3129</f>
        <v>-0</v>
      </c>
      <c r="O3129" s="0" t="n">
        <f aca="false">E3129*G3129</f>
        <v>0</v>
      </c>
      <c r="P3129" s="0" t="n">
        <f aca="false">E3129*H3129</f>
        <v>-0</v>
      </c>
      <c r="Q3129" s="0" t="n">
        <f aca="false">F3129*G3129</f>
        <v>-0.125</v>
      </c>
      <c r="R3129" s="0" t="n">
        <f aca="false">F3129*H3129</f>
        <v>0.375</v>
      </c>
      <c r="S3129" s="0" t="n">
        <f aca="false">G3129*H3129</f>
        <v>-0.1875</v>
      </c>
      <c r="T3129" s="0" t="n">
        <f aca="false">E3129*E3129</f>
        <v>0</v>
      </c>
      <c r="U3129" s="0" t="n">
        <f aca="false">F3129*F3129</f>
        <v>0.25</v>
      </c>
      <c r="V3129" s="0" t="n">
        <f aca="false">G3129*G3129</f>
        <v>0.0625</v>
      </c>
      <c r="W3129" s="0" t="n">
        <f aca="false">H3129*H3129</f>
        <v>0.5625</v>
      </c>
      <c r="X3129" s="0" t="n">
        <f aca="false">SUMPRODUCT(I3129:W3129,_XtX!$B$96:$P$96)</f>
        <v>45.7262838084795</v>
      </c>
      <c r="Y3129" s="0" t="n">
        <f aca="false">SUMPRODUCT(MMULT(I3129:W3129,_XtX!$B$78:$P$92),I3129:W3129)</f>
        <v>0.215110734192252</v>
      </c>
      <c r="Z3129" s="0" t="n">
        <f aca="false">04_回帰ANOVA!$K$19*04_回帰ANOVA!$K$14*SQRT(1+Y3129)</f>
        <v>1.43683309086864</v>
      </c>
      <c r="AA3129" s="0" t="n">
        <f aca="false">X3129-Z3129</f>
        <v>44.2894507176108</v>
      </c>
      <c r="AB3129" s="0" t="n">
        <f aca="false">X3129+Z3129</f>
        <v>47.1631168993481</v>
      </c>
      <c r="AC3129" s="54" t="b">
        <f aca="false">AND(E3129&gt;=01_因子設定!$L$5-0.000000001,E3129&lt;=01_因子設定!$M$5+0.000000001,F3129&gt;=01_因子設定!$L$6-0.000000001,F3129&lt;=01_因子設定!$M$6+0.000000001,G3129&gt;=01_因子設定!$L$7-0.000000001,G3129&lt;=01_因子設定!$M$7+0.000000001,H3129&gt;=01_因子設定!$L$8-0.000000001,H3129&lt;=01_因子設定!$M$8+0.000000001,IF(01_因子設定!$B$20="Box-Behnken",E3129^2+F3129^2+G3129^2+H3129^2&lt;=2+0.000000001,TRUE()))</f>
        <v>1</v>
      </c>
      <c r="AD3129" s="55" t="n">
        <f aca="false">IF(AC3129,IF(01_因子設定!$B$13="最大化",AA3129-01_因子設定!$B$14,IF(01_因子設定!$B$13="最小化",01_因子設定!$B$15-AB3129,MIN(AA3129-01_因子設定!$B$14,01_因子設定!$B$15-AB3129))),-1E+030)</f>
        <v>-2.21054928238916</v>
      </c>
      <c r="AE3129" s="55" t="n">
        <f aca="false">IF(AC3129,IF(01_因子設定!$B$13="最大化",X3129,IF(01_因子設定!$B$13="最小化",-X3129,-ABS(X3129-01_因子設定!$B$16))),-1E+030)</f>
        <v>45.7262838084795</v>
      </c>
      <c r="AF3129" s="55" t="n">
        <f aca="false">AD3129+ROW()*0.000000001</f>
        <v>-2.21054615338916</v>
      </c>
      <c r="AG3129" s="55" t="n">
        <f aca="false">AE3129+ROW()*0.000000001</f>
        <v>45.7262869374795</v>
      </c>
    </row>
    <row r="3130" customFormat="false" ht="15" hidden="false" customHeight="false" outlineLevel="0" collapsed="false">
      <c r="A3130" s="0" t="n">
        <v>4</v>
      </c>
      <c r="B3130" s="0" t="n">
        <v>2</v>
      </c>
      <c r="C3130" s="0" t="n">
        <v>5</v>
      </c>
      <c r="D3130" s="0" t="n">
        <v>2</v>
      </c>
      <c r="E3130" s="0" t="n">
        <f aca="false">-1+A3130*0.25</f>
        <v>0</v>
      </c>
      <c r="F3130" s="0" t="n">
        <f aca="false">-1+B3130*0.25</f>
        <v>-0.5</v>
      </c>
      <c r="G3130" s="0" t="n">
        <f aca="false">-1+C3130*0.25</f>
        <v>0.25</v>
      </c>
      <c r="H3130" s="0" t="n">
        <f aca="false">-1+D3130*0.25</f>
        <v>-0.5</v>
      </c>
      <c r="I3130" s="0" t="n">
        <f aca="false">1</f>
        <v>1</v>
      </c>
      <c r="J3130" s="0" t="n">
        <f aca="false">E3130</f>
        <v>0</v>
      </c>
      <c r="K3130" s="0" t="n">
        <f aca="false">F3130</f>
        <v>-0.5</v>
      </c>
      <c r="L3130" s="0" t="n">
        <f aca="false">G3130</f>
        <v>0.25</v>
      </c>
      <c r="M3130" s="0" t="n">
        <f aca="false">H3130</f>
        <v>-0.5</v>
      </c>
      <c r="N3130" s="0" t="n">
        <f aca="false">E3130*F3130</f>
        <v>-0</v>
      </c>
      <c r="O3130" s="0" t="n">
        <f aca="false">E3130*G3130</f>
        <v>0</v>
      </c>
      <c r="P3130" s="0" t="n">
        <f aca="false">E3130*H3130</f>
        <v>-0</v>
      </c>
      <c r="Q3130" s="0" t="n">
        <f aca="false">F3130*G3130</f>
        <v>-0.125</v>
      </c>
      <c r="R3130" s="0" t="n">
        <f aca="false">F3130*H3130</f>
        <v>0.25</v>
      </c>
      <c r="S3130" s="0" t="n">
        <f aca="false">G3130*H3130</f>
        <v>-0.125</v>
      </c>
      <c r="T3130" s="0" t="n">
        <f aca="false">E3130*E3130</f>
        <v>0</v>
      </c>
      <c r="U3130" s="0" t="n">
        <f aca="false">F3130*F3130</f>
        <v>0.25</v>
      </c>
      <c r="V3130" s="0" t="n">
        <f aca="false">G3130*G3130</f>
        <v>0.0625</v>
      </c>
      <c r="W3130" s="0" t="n">
        <f aca="false">H3130*H3130</f>
        <v>0.25</v>
      </c>
      <c r="X3130" s="0" t="n">
        <f aca="false">SUMPRODUCT(I3130:W3130,_XtX!$B$96:$P$96)</f>
        <v>45.991721491228</v>
      </c>
      <c r="Y3130" s="0" t="n">
        <f aca="false">SUMPRODUCT(MMULT(I3130:W3130,_XtX!$B$78:$P$92),I3130:W3130)</f>
        <v>0.132367050438597</v>
      </c>
      <c r="Z3130" s="0" t="n">
        <f aca="false">04_回帰ANOVA!$K$19*04_回帰ANOVA!$K$14*SQRT(1+Y3130)</f>
        <v>1.38704964208329</v>
      </c>
      <c r="AA3130" s="0" t="n">
        <f aca="false">X3130-Z3130</f>
        <v>44.6046718491447</v>
      </c>
      <c r="AB3130" s="0" t="n">
        <f aca="false">X3130+Z3130</f>
        <v>47.3787711333113</v>
      </c>
      <c r="AC3130" s="54" t="b">
        <f aca="false">AND(E3130&gt;=01_因子設定!$L$5-0.000000001,E3130&lt;=01_因子設定!$M$5+0.000000001,F3130&gt;=01_因子設定!$L$6-0.000000001,F3130&lt;=01_因子設定!$M$6+0.000000001,G3130&gt;=01_因子設定!$L$7-0.000000001,G3130&lt;=01_因子設定!$M$7+0.000000001,H3130&gt;=01_因子設定!$L$8-0.000000001,H3130&lt;=01_因子設定!$M$8+0.000000001,IF(01_因子設定!$B$20="Box-Behnken",E3130^2+F3130^2+G3130^2+H3130^2&lt;=2+0.000000001,TRUE()))</f>
        <v>1</v>
      </c>
      <c r="AD3130" s="55" t="n">
        <f aca="false">IF(AC3130,IF(01_因子設定!$B$13="最大化",AA3130-01_因子設定!$B$14,IF(01_因子設定!$B$13="最小化",01_因子設定!$B$15-AB3130,MIN(AA3130-01_因子設定!$B$14,01_因子設定!$B$15-AB3130))),-1E+030)</f>
        <v>-1.89532815085528</v>
      </c>
      <c r="AE3130" s="55" t="n">
        <f aca="false">IF(AC3130,IF(01_因子設定!$B$13="最大化",X3130,IF(01_因子設定!$B$13="最小化",-X3130,-ABS(X3130-01_因子設定!$B$16))),-1E+030)</f>
        <v>45.991721491228</v>
      </c>
      <c r="AF3130" s="55" t="n">
        <f aca="false">AD3130+ROW()*0.000000001</f>
        <v>-1.89532502085528</v>
      </c>
      <c r="AG3130" s="55" t="n">
        <f aca="false">AE3130+ROW()*0.000000001</f>
        <v>45.991724621228</v>
      </c>
    </row>
    <row r="3131" customFormat="false" ht="15" hidden="false" customHeight="false" outlineLevel="0" collapsed="false">
      <c r="A3131" s="0" t="n">
        <v>4</v>
      </c>
      <c r="B3131" s="0" t="n">
        <v>2</v>
      </c>
      <c r="C3131" s="0" t="n">
        <v>5</v>
      </c>
      <c r="D3131" s="0" t="n">
        <v>3</v>
      </c>
      <c r="E3131" s="0" t="n">
        <f aca="false">-1+A3131*0.25</f>
        <v>0</v>
      </c>
      <c r="F3131" s="0" t="n">
        <f aca="false">-1+B3131*0.25</f>
        <v>-0.5</v>
      </c>
      <c r="G3131" s="0" t="n">
        <f aca="false">-1+C3131*0.25</f>
        <v>0.25</v>
      </c>
      <c r="H3131" s="0" t="n">
        <f aca="false">-1+D3131*0.25</f>
        <v>-0.25</v>
      </c>
      <c r="I3131" s="0" t="n">
        <f aca="false">1</f>
        <v>1</v>
      </c>
      <c r="J3131" s="0" t="n">
        <f aca="false">E3131</f>
        <v>0</v>
      </c>
      <c r="K3131" s="0" t="n">
        <f aca="false">F3131</f>
        <v>-0.5</v>
      </c>
      <c r="L3131" s="0" t="n">
        <f aca="false">G3131</f>
        <v>0.25</v>
      </c>
      <c r="M3131" s="0" t="n">
        <f aca="false">H3131</f>
        <v>-0.25</v>
      </c>
      <c r="N3131" s="0" t="n">
        <f aca="false">E3131*F3131</f>
        <v>-0</v>
      </c>
      <c r="O3131" s="0" t="n">
        <f aca="false">E3131*G3131</f>
        <v>0</v>
      </c>
      <c r="P3131" s="0" t="n">
        <f aca="false">E3131*H3131</f>
        <v>-0</v>
      </c>
      <c r="Q3131" s="0" t="n">
        <f aca="false">F3131*G3131</f>
        <v>-0.125</v>
      </c>
      <c r="R3131" s="0" t="n">
        <f aca="false">F3131*H3131</f>
        <v>0.125</v>
      </c>
      <c r="S3131" s="0" t="n">
        <f aca="false">G3131*H3131</f>
        <v>-0.0625</v>
      </c>
      <c r="T3131" s="0" t="n">
        <f aca="false">E3131*E3131</f>
        <v>0</v>
      </c>
      <c r="U3131" s="0" t="n">
        <f aca="false">F3131*F3131</f>
        <v>0.25</v>
      </c>
      <c r="V3131" s="0" t="n">
        <f aca="false">G3131*G3131</f>
        <v>0.0625</v>
      </c>
      <c r="W3131" s="0" t="n">
        <f aca="false">H3131*H3131</f>
        <v>0.0625</v>
      </c>
      <c r="X3131" s="0" t="n">
        <f aca="false">SUMPRODUCT(I3131:W3131,_XtX!$B$96:$P$96)</f>
        <v>46.2093521564327</v>
      </c>
      <c r="Y3131" s="0" t="n">
        <f aca="false">SUMPRODUCT(MMULT(I3131:W3131,_XtX!$B$78:$P$92),I3131:W3131)</f>
        <v>0.118905050712719</v>
      </c>
      <c r="Z3131" s="0" t="n">
        <f aca="false">04_回帰ANOVA!$K$19*04_回帰ANOVA!$K$14*SQRT(1+Y3131)</f>
        <v>1.37878011033769</v>
      </c>
      <c r="AA3131" s="0" t="n">
        <f aca="false">X3131-Z3131</f>
        <v>44.830572046095</v>
      </c>
      <c r="AB3131" s="0" t="n">
        <f aca="false">X3131+Z3131</f>
        <v>47.5881322667704</v>
      </c>
      <c r="AC3131" s="54" t="b">
        <f aca="false">AND(E3131&gt;=01_因子設定!$L$5-0.000000001,E3131&lt;=01_因子設定!$M$5+0.000000001,F3131&gt;=01_因子設定!$L$6-0.000000001,F3131&lt;=01_因子設定!$M$6+0.000000001,G3131&gt;=01_因子設定!$L$7-0.000000001,G3131&lt;=01_因子設定!$M$7+0.000000001,H3131&gt;=01_因子設定!$L$8-0.000000001,H3131&lt;=01_因子設定!$M$8+0.000000001,IF(01_因子設定!$B$20="Box-Behnken",E3131^2+F3131^2+G3131^2+H3131^2&lt;=2+0.000000001,TRUE()))</f>
        <v>1</v>
      </c>
      <c r="AD3131" s="55" t="n">
        <f aca="false">IF(AC3131,IF(01_因子設定!$B$13="最大化",AA3131-01_因子設定!$B$14,IF(01_因子設定!$B$13="最小化",01_因子設定!$B$15-AB3131,MIN(AA3131-01_因子設定!$B$14,01_因子設定!$B$15-AB3131))),-1E+030)</f>
        <v>-1.669427953905</v>
      </c>
      <c r="AE3131" s="55" t="n">
        <f aca="false">IF(AC3131,IF(01_因子設定!$B$13="最大化",X3131,IF(01_因子設定!$B$13="最小化",-X3131,-ABS(X3131-01_因子設定!$B$16))),-1E+030)</f>
        <v>46.2093521564327</v>
      </c>
      <c r="AF3131" s="55" t="n">
        <f aca="false">AD3131+ROW()*0.000000001</f>
        <v>-1.669424822905</v>
      </c>
      <c r="AG3131" s="55" t="n">
        <f aca="false">AE3131+ROW()*0.000000001</f>
        <v>46.2093552874327</v>
      </c>
    </row>
    <row r="3132" customFormat="false" ht="15" hidden="false" customHeight="false" outlineLevel="0" collapsed="false">
      <c r="A3132" s="0" t="n">
        <v>4</v>
      </c>
      <c r="B3132" s="0" t="n">
        <v>2</v>
      </c>
      <c r="C3132" s="0" t="n">
        <v>5</v>
      </c>
      <c r="D3132" s="0" t="n">
        <v>4</v>
      </c>
      <c r="E3132" s="0" t="n">
        <f aca="false">-1+A3132*0.25</f>
        <v>0</v>
      </c>
      <c r="F3132" s="0" t="n">
        <f aca="false">-1+B3132*0.25</f>
        <v>-0.5</v>
      </c>
      <c r="G3132" s="0" t="n">
        <f aca="false">-1+C3132*0.25</f>
        <v>0.25</v>
      </c>
      <c r="H3132" s="0" t="n">
        <f aca="false">-1+D3132*0.25</f>
        <v>0</v>
      </c>
      <c r="I3132" s="0" t="n">
        <f aca="false">1</f>
        <v>1</v>
      </c>
      <c r="J3132" s="0" t="n">
        <f aca="false">E3132</f>
        <v>0</v>
      </c>
      <c r="K3132" s="0" t="n">
        <f aca="false">F3132</f>
        <v>-0.5</v>
      </c>
      <c r="L3132" s="0" t="n">
        <f aca="false">G3132</f>
        <v>0.25</v>
      </c>
      <c r="M3132" s="0" t="n">
        <f aca="false">H3132</f>
        <v>0</v>
      </c>
      <c r="N3132" s="0" t="n">
        <f aca="false">E3132*F3132</f>
        <v>-0</v>
      </c>
      <c r="O3132" s="0" t="n">
        <f aca="false">E3132*G3132</f>
        <v>0</v>
      </c>
      <c r="P3132" s="0" t="n">
        <f aca="false">E3132*H3132</f>
        <v>0</v>
      </c>
      <c r="Q3132" s="0" t="n">
        <f aca="false">F3132*G3132</f>
        <v>-0.125</v>
      </c>
      <c r="R3132" s="0" t="n">
        <f aca="false">F3132*H3132</f>
        <v>-0</v>
      </c>
      <c r="S3132" s="0" t="n">
        <f aca="false">G3132*H3132</f>
        <v>0</v>
      </c>
      <c r="T3132" s="0" t="n">
        <f aca="false">E3132*E3132</f>
        <v>0</v>
      </c>
      <c r="U3132" s="0" t="n">
        <f aca="false">F3132*F3132</f>
        <v>0.25</v>
      </c>
      <c r="V3132" s="0" t="n">
        <f aca="false">G3132*G3132</f>
        <v>0.0625</v>
      </c>
      <c r="W3132" s="0" t="n">
        <f aca="false">H3132*H3132</f>
        <v>0</v>
      </c>
      <c r="X3132" s="0" t="n">
        <f aca="false">SUMPRODUCT(I3132:W3132,_XtX!$B$96:$P$96)</f>
        <v>46.3791758040935</v>
      </c>
      <c r="Y3132" s="0" t="n">
        <f aca="false">SUMPRODUCT(MMULT(I3132:W3132,_XtX!$B$78:$P$92),I3132:W3132)</f>
        <v>0.120448419225146</v>
      </c>
      <c r="Z3132" s="0" t="n">
        <f aca="false">04_回帰ANOVA!$K$19*04_回帰ANOVA!$K$14*SQRT(1+Y3132)</f>
        <v>1.37973069703246</v>
      </c>
      <c r="AA3132" s="0" t="n">
        <f aca="false">X3132-Z3132</f>
        <v>44.999445107061</v>
      </c>
      <c r="AB3132" s="0" t="n">
        <f aca="false">X3132+Z3132</f>
        <v>47.758906501126</v>
      </c>
      <c r="AC3132" s="54" t="b">
        <f aca="false">AND(E3132&gt;=01_因子設定!$L$5-0.000000001,E3132&lt;=01_因子設定!$M$5+0.000000001,F3132&gt;=01_因子設定!$L$6-0.000000001,F3132&lt;=01_因子設定!$M$6+0.000000001,G3132&gt;=01_因子設定!$L$7-0.000000001,G3132&lt;=01_因子設定!$M$7+0.000000001,H3132&gt;=01_因子設定!$L$8-0.000000001,H3132&lt;=01_因子設定!$M$8+0.000000001,IF(01_因子設定!$B$20="Box-Behnken",E3132^2+F3132^2+G3132^2+H3132^2&lt;=2+0.000000001,TRUE()))</f>
        <v>1</v>
      </c>
      <c r="AD3132" s="55" t="n">
        <f aca="false">IF(AC3132,IF(01_因子設定!$B$13="最大化",AA3132-01_因子設定!$B$14,IF(01_因子設定!$B$13="最小化",01_因子設定!$B$15-AB3132,MIN(AA3132-01_因子設定!$B$14,01_因子設定!$B$15-AB3132))),-1E+030)</f>
        <v>-1.50055489293896</v>
      </c>
      <c r="AE3132" s="55" t="n">
        <f aca="false">IF(AC3132,IF(01_因子設定!$B$13="最大化",X3132,IF(01_因子設定!$B$13="最小化",-X3132,-ABS(X3132-01_因子設定!$B$16))),-1E+030)</f>
        <v>46.3791758040935</v>
      </c>
      <c r="AF3132" s="55" t="n">
        <f aca="false">AD3132+ROW()*0.000000001</f>
        <v>-1.50055176093896</v>
      </c>
      <c r="AG3132" s="55" t="n">
        <f aca="false">AE3132+ROW()*0.000000001</f>
        <v>46.3791789360935</v>
      </c>
    </row>
    <row r="3133" customFormat="false" ht="15" hidden="false" customHeight="false" outlineLevel="0" collapsed="false">
      <c r="A3133" s="0" t="n">
        <v>4</v>
      </c>
      <c r="B3133" s="0" t="n">
        <v>2</v>
      </c>
      <c r="C3133" s="0" t="n">
        <v>5</v>
      </c>
      <c r="D3133" s="0" t="n">
        <v>5</v>
      </c>
      <c r="E3133" s="0" t="n">
        <f aca="false">-1+A3133*0.25</f>
        <v>0</v>
      </c>
      <c r="F3133" s="0" t="n">
        <f aca="false">-1+B3133*0.25</f>
        <v>-0.5</v>
      </c>
      <c r="G3133" s="0" t="n">
        <f aca="false">-1+C3133*0.25</f>
        <v>0.25</v>
      </c>
      <c r="H3133" s="0" t="n">
        <f aca="false">-1+D3133*0.25</f>
        <v>0.25</v>
      </c>
      <c r="I3133" s="0" t="n">
        <f aca="false">1</f>
        <v>1</v>
      </c>
      <c r="J3133" s="0" t="n">
        <f aca="false">E3133</f>
        <v>0</v>
      </c>
      <c r="K3133" s="0" t="n">
        <f aca="false">F3133</f>
        <v>-0.5</v>
      </c>
      <c r="L3133" s="0" t="n">
        <f aca="false">G3133</f>
        <v>0.25</v>
      </c>
      <c r="M3133" s="0" t="n">
        <f aca="false">H3133</f>
        <v>0.25</v>
      </c>
      <c r="N3133" s="0" t="n">
        <f aca="false">E3133*F3133</f>
        <v>-0</v>
      </c>
      <c r="O3133" s="0" t="n">
        <f aca="false">E3133*G3133</f>
        <v>0</v>
      </c>
      <c r="P3133" s="0" t="n">
        <f aca="false">E3133*H3133</f>
        <v>0</v>
      </c>
      <c r="Q3133" s="0" t="n">
        <f aca="false">F3133*G3133</f>
        <v>-0.125</v>
      </c>
      <c r="R3133" s="0" t="n">
        <f aca="false">F3133*H3133</f>
        <v>-0.125</v>
      </c>
      <c r="S3133" s="0" t="n">
        <f aca="false">G3133*H3133</f>
        <v>0.0625</v>
      </c>
      <c r="T3133" s="0" t="n">
        <f aca="false">E3133*E3133</f>
        <v>0</v>
      </c>
      <c r="U3133" s="0" t="n">
        <f aca="false">F3133*F3133</f>
        <v>0.25</v>
      </c>
      <c r="V3133" s="0" t="n">
        <f aca="false">G3133*G3133</f>
        <v>0.0625</v>
      </c>
      <c r="W3133" s="0" t="n">
        <f aca="false">H3133*H3133</f>
        <v>0.0625</v>
      </c>
      <c r="X3133" s="0" t="n">
        <f aca="false">SUMPRODUCT(I3133:W3133,_XtX!$B$96:$P$96)</f>
        <v>46.5011924342105</v>
      </c>
      <c r="Y3133" s="0" t="n">
        <f aca="false">SUMPRODUCT(MMULT(I3133:W3133,_XtX!$B$78:$P$92),I3133:W3133)</f>
        <v>0.118905050712719</v>
      </c>
      <c r="Z3133" s="0" t="n">
        <f aca="false">04_回帰ANOVA!$K$19*04_回帰ANOVA!$K$14*SQRT(1+Y3133)</f>
        <v>1.37878011033769</v>
      </c>
      <c r="AA3133" s="0" t="n">
        <f aca="false">X3133-Z3133</f>
        <v>45.1224123238728</v>
      </c>
      <c r="AB3133" s="0" t="n">
        <f aca="false">X3133+Z3133</f>
        <v>47.8799725445481</v>
      </c>
      <c r="AC3133" s="54" t="b">
        <f aca="false">AND(E3133&gt;=01_因子設定!$L$5-0.000000001,E3133&lt;=01_因子設定!$M$5+0.000000001,F3133&gt;=01_因子設定!$L$6-0.000000001,F3133&lt;=01_因子設定!$M$6+0.000000001,G3133&gt;=01_因子設定!$L$7-0.000000001,G3133&lt;=01_因子設定!$M$7+0.000000001,H3133&gt;=01_因子設定!$L$8-0.000000001,H3133&lt;=01_因子設定!$M$8+0.000000001,IF(01_因子設定!$B$20="Box-Behnken",E3133^2+F3133^2+G3133^2+H3133^2&lt;=2+0.000000001,TRUE()))</f>
        <v>1</v>
      </c>
      <c r="AD3133" s="55" t="n">
        <f aca="false">IF(AC3133,IF(01_因子設定!$B$13="最大化",AA3133-01_因子設定!$B$14,IF(01_因子設定!$B$13="最小化",01_因子設定!$B$15-AB3133,MIN(AA3133-01_因子設定!$B$14,01_因子設定!$B$15-AB3133))),-1E+030)</f>
        <v>-1.37758767612723</v>
      </c>
      <c r="AE3133" s="55" t="n">
        <f aca="false">IF(AC3133,IF(01_因子設定!$B$13="最大化",X3133,IF(01_因子設定!$B$13="最小化",-X3133,-ABS(X3133-01_因子設定!$B$16))),-1E+030)</f>
        <v>46.5011924342105</v>
      </c>
      <c r="AF3133" s="55" t="n">
        <f aca="false">AD3133+ROW()*0.000000001</f>
        <v>-1.37758454312723</v>
      </c>
      <c r="AG3133" s="55" t="n">
        <f aca="false">AE3133+ROW()*0.000000001</f>
        <v>46.5011955672105</v>
      </c>
    </row>
    <row r="3134" customFormat="false" ht="15" hidden="false" customHeight="false" outlineLevel="0" collapsed="false">
      <c r="A3134" s="0" t="n">
        <v>4</v>
      </c>
      <c r="B3134" s="0" t="n">
        <v>2</v>
      </c>
      <c r="C3134" s="0" t="n">
        <v>5</v>
      </c>
      <c r="D3134" s="0" t="n">
        <v>6</v>
      </c>
      <c r="E3134" s="0" t="n">
        <f aca="false">-1+A3134*0.25</f>
        <v>0</v>
      </c>
      <c r="F3134" s="0" t="n">
        <f aca="false">-1+B3134*0.25</f>
        <v>-0.5</v>
      </c>
      <c r="G3134" s="0" t="n">
        <f aca="false">-1+C3134*0.25</f>
        <v>0.25</v>
      </c>
      <c r="H3134" s="0" t="n">
        <f aca="false">-1+D3134*0.25</f>
        <v>0.5</v>
      </c>
      <c r="I3134" s="0" t="n">
        <f aca="false">1</f>
        <v>1</v>
      </c>
      <c r="J3134" s="0" t="n">
        <f aca="false">E3134</f>
        <v>0</v>
      </c>
      <c r="K3134" s="0" t="n">
        <f aca="false">F3134</f>
        <v>-0.5</v>
      </c>
      <c r="L3134" s="0" t="n">
        <f aca="false">G3134</f>
        <v>0.25</v>
      </c>
      <c r="M3134" s="0" t="n">
        <f aca="false">H3134</f>
        <v>0.5</v>
      </c>
      <c r="N3134" s="0" t="n">
        <f aca="false">E3134*F3134</f>
        <v>-0</v>
      </c>
      <c r="O3134" s="0" t="n">
        <f aca="false">E3134*G3134</f>
        <v>0</v>
      </c>
      <c r="P3134" s="0" t="n">
        <f aca="false">E3134*H3134</f>
        <v>0</v>
      </c>
      <c r="Q3134" s="0" t="n">
        <f aca="false">F3134*G3134</f>
        <v>-0.125</v>
      </c>
      <c r="R3134" s="0" t="n">
        <f aca="false">F3134*H3134</f>
        <v>-0.25</v>
      </c>
      <c r="S3134" s="0" t="n">
        <f aca="false">G3134*H3134</f>
        <v>0.125</v>
      </c>
      <c r="T3134" s="0" t="n">
        <f aca="false">E3134*E3134</f>
        <v>0</v>
      </c>
      <c r="U3134" s="0" t="n">
        <f aca="false">F3134*F3134</f>
        <v>0.25</v>
      </c>
      <c r="V3134" s="0" t="n">
        <f aca="false">G3134*G3134</f>
        <v>0.0625</v>
      </c>
      <c r="W3134" s="0" t="n">
        <f aca="false">H3134*H3134</f>
        <v>0.25</v>
      </c>
      <c r="X3134" s="0" t="n">
        <f aca="false">SUMPRODUCT(I3134:W3134,_XtX!$B$96:$P$96)</f>
        <v>46.5754020467836</v>
      </c>
      <c r="Y3134" s="0" t="n">
        <f aca="false">SUMPRODUCT(MMULT(I3134:W3134,_XtX!$B$78:$P$92),I3134:W3134)</f>
        <v>0.132367050438597</v>
      </c>
      <c r="Z3134" s="0" t="n">
        <f aca="false">04_回帰ANOVA!$K$19*04_回帰ANOVA!$K$14*SQRT(1+Y3134)</f>
        <v>1.38704964208329</v>
      </c>
      <c r="AA3134" s="0" t="n">
        <f aca="false">X3134-Z3134</f>
        <v>45.1883524047003</v>
      </c>
      <c r="AB3134" s="0" t="n">
        <f aca="false">X3134+Z3134</f>
        <v>47.9624516888669</v>
      </c>
      <c r="AC3134" s="54" t="b">
        <f aca="false">AND(E3134&gt;=01_因子設定!$L$5-0.000000001,E3134&lt;=01_因子設定!$M$5+0.000000001,F3134&gt;=01_因子設定!$L$6-0.000000001,F3134&lt;=01_因子設定!$M$6+0.000000001,G3134&gt;=01_因子設定!$L$7-0.000000001,G3134&lt;=01_因子設定!$M$7+0.000000001,H3134&gt;=01_因子設定!$L$8-0.000000001,H3134&lt;=01_因子設定!$M$8+0.000000001,IF(01_因子設定!$B$20="Box-Behnken",E3134^2+F3134^2+G3134^2+H3134^2&lt;=2+0.000000001,TRUE()))</f>
        <v>1</v>
      </c>
      <c r="AD3134" s="55" t="n">
        <f aca="false">IF(AC3134,IF(01_因子設定!$B$13="最大化",AA3134-01_因子設定!$B$14,IF(01_因子設定!$B$13="最小化",01_因子設定!$B$15-AB3134,MIN(AA3134-01_因子設定!$B$14,01_因子設定!$B$15-AB3134))),-1E+030)</f>
        <v>-1.31164759529972</v>
      </c>
      <c r="AE3134" s="55" t="n">
        <f aca="false">IF(AC3134,IF(01_因子設定!$B$13="最大化",X3134,IF(01_因子設定!$B$13="最小化",-X3134,-ABS(X3134-01_因子設定!$B$16))),-1E+030)</f>
        <v>46.5754020467836</v>
      </c>
      <c r="AF3134" s="55" t="n">
        <f aca="false">AD3134+ROW()*0.000000001</f>
        <v>-1.31164446129973</v>
      </c>
      <c r="AG3134" s="55" t="n">
        <f aca="false">AE3134+ROW()*0.000000001</f>
        <v>46.5754051807836</v>
      </c>
    </row>
    <row r="3135" customFormat="false" ht="15" hidden="false" customHeight="false" outlineLevel="0" collapsed="false">
      <c r="A3135" s="0" t="n">
        <v>4</v>
      </c>
      <c r="B3135" s="0" t="n">
        <v>2</v>
      </c>
      <c r="C3135" s="0" t="n">
        <v>5</v>
      </c>
      <c r="D3135" s="0" t="n">
        <v>7</v>
      </c>
      <c r="E3135" s="0" t="n">
        <f aca="false">-1+A3135*0.25</f>
        <v>0</v>
      </c>
      <c r="F3135" s="0" t="n">
        <f aca="false">-1+B3135*0.25</f>
        <v>-0.5</v>
      </c>
      <c r="G3135" s="0" t="n">
        <f aca="false">-1+C3135*0.25</f>
        <v>0.25</v>
      </c>
      <c r="H3135" s="0" t="n">
        <f aca="false">-1+D3135*0.25</f>
        <v>0.75</v>
      </c>
      <c r="I3135" s="0" t="n">
        <f aca="false">1</f>
        <v>1</v>
      </c>
      <c r="J3135" s="0" t="n">
        <f aca="false">E3135</f>
        <v>0</v>
      </c>
      <c r="K3135" s="0" t="n">
        <f aca="false">F3135</f>
        <v>-0.5</v>
      </c>
      <c r="L3135" s="0" t="n">
        <f aca="false">G3135</f>
        <v>0.25</v>
      </c>
      <c r="M3135" s="0" t="n">
        <f aca="false">H3135</f>
        <v>0.75</v>
      </c>
      <c r="N3135" s="0" t="n">
        <f aca="false">E3135*F3135</f>
        <v>-0</v>
      </c>
      <c r="O3135" s="0" t="n">
        <f aca="false">E3135*G3135</f>
        <v>0</v>
      </c>
      <c r="P3135" s="0" t="n">
        <f aca="false">E3135*H3135</f>
        <v>0</v>
      </c>
      <c r="Q3135" s="0" t="n">
        <f aca="false">F3135*G3135</f>
        <v>-0.125</v>
      </c>
      <c r="R3135" s="0" t="n">
        <f aca="false">F3135*H3135</f>
        <v>-0.375</v>
      </c>
      <c r="S3135" s="0" t="n">
        <f aca="false">G3135*H3135</f>
        <v>0.1875</v>
      </c>
      <c r="T3135" s="0" t="n">
        <f aca="false">E3135*E3135</f>
        <v>0</v>
      </c>
      <c r="U3135" s="0" t="n">
        <f aca="false">F3135*F3135</f>
        <v>0.25</v>
      </c>
      <c r="V3135" s="0" t="n">
        <f aca="false">G3135*G3135</f>
        <v>0.0625</v>
      </c>
      <c r="W3135" s="0" t="n">
        <f aca="false">H3135*H3135</f>
        <v>0.5625</v>
      </c>
      <c r="X3135" s="0" t="n">
        <f aca="false">SUMPRODUCT(I3135:W3135,_XtX!$B$96:$P$96)</f>
        <v>46.6018046418128</v>
      </c>
      <c r="Y3135" s="0" t="n">
        <f aca="false">SUMPRODUCT(MMULT(I3135:W3135,_XtX!$B$78:$P$92),I3135:W3135)</f>
        <v>0.215110734192252</v>
      </c>
      <c r="Z3135" s="0" t="n">
        <f aca="false">04_回帰ANOVA!$K$19*04_回帰ANOVA!$K$14*SQRT(1+Y3135)</f>
        <v>1.43683309086864</v>
      </c>
      <c r="AA3135" s="0" t="n">
        <f aca="false">X3135-Z3135</f>
        <v>45.1649715509442</v>
      </c>
      <c r="AB3135" s="0" t="n">
        <f aca="false">X3135+Z3135</f>
        <v>48.0386377326815</v>
      </c>
      <c r="AC3135" s="54" t="b">
        <f aca="false">AND(E3135&gt;=01_因子設定!$L$5-0.000000001,E3135&lt;=01_因子設定!$M$5+0.000000001,F3135&gt;=01_因子設定!$L$6-0.000000001,F3135&lt;=01_因子設定!$M$6+0.000000001,G3135&gt;=01_因子設定!$L$7-0.000000001,G3135&lt;=01_因子設定!$M$7+0.000000001,H3135&gt;=01_因子設定!$L$8-0.000000001,H3135&lt;=01_因子設定!$M$8+0.000000001,IF(01_因子設定!$B$20="Box-Behnken",E3135^2+F3135^2+G3135^2+H3135^2&lt;=2+0.000000001,TRUE()))</f>
        <v>1</v>
      </c>
      <c r="AD3135" s="55" t="n">
        <f aca="false">IF(AC3135,IF(01_因子設定!$B$13="最大化",AA3135-01_因子設定!$B$14,IF(01_因子設定!$B$13="最小化",01_因子設定!$B$15-AB3135,MIN(AA3135-01_因子設定!$B$14,01_因子設定!$B$15-AB3135))),-1E+030)</f>
        <v>-1.33502844905583</v>
      </c>
      <c r="AE3135" s="55" t="n">
        <f aca="false">IF(AC3135,IF(01_因子設定!$B$13="最大化",X3135,IF(01_因子設定!$B$13="最小化",-X3135,-ABS(X3135-01_因子設定!$B$16))),-1E+030)</f>
        <v>46.6018046418128</v>
      </c>
      <c r="AF3135" s="55" t="n">
        <f aca="false">AD3135+ROW()*0.000000001</f>
        <v>-1.33502531405583</v>
      </c>
      <c r="AG3135" s="55" t="n">
        <f aca="false">AE3135+ROW()*0.000000001</f>
        <v>46.6018077768128</v>
      </c>
    </row>
    <row r="3136" customFormat="false" ht="15" hidden="false" customHeight="false" outlineLevel="0" collapsed="false">
      <c r="A3136" s="0" t="n">
        <v>4</v>
      </c>
      <c r="B3136" s="0" t="n">
        <v>2</v>
      </c>
      <c r="C3136" s="0" t="n">
        <v>5</v>
      </c>
      <c r="D3136" s="0" t="n">
        <v>8</v>
      </c>
      <c r="E3136" s="0" t="n">
        <f aca="false">-1+A3136*0.25</f>
        <v>0</v>
      </c>
      <c r="F3136" s="0" t="n">
        <f aca="false">-1+B3136*0.25</f>
        <v>-0.5</v>
      </c>
      <c r="G3136" s="0" t="n">
        <f aca="false">-1+C3136*0.25</f>
        <v>0.25</v>
      </c>
      <c r="H3136" s="0" t="n">
        <f aca="false">-1+D3136*0.25</f>
        <v>1</v>
      </c>
      <c r="I3136" s="0" t="n">
        <f aca="false">1</f>
        <v>1</v>
      </c>
      <c r="J3136" s="0" t="n">
        <f aca="false">E3136</f>
        <v>0</v>
      </c>
      <c r="K3136" s="0" t="n">
        <f aca="false">F3136</f>
        <v>-0.5</v>
      </c>
      <c r="L3136" s="0" t="n">
        <f aca="false">G3136</f>
        <v>0.25</v>
      </c>
      <c r="M3136" s="0" t="n">
        <f aca="false">H3136</f>
        <v>1</v>
      </c>
      <c r="N3136" s="0" t="n">
        <f aca="false">E3136*F3136</f>
        <v>-0</v>
      </c>
      <c r="O3136" s="0" t="n">
        <f aca="false">E3136*G3136</f>
        <v>0</v>
      </c>
      <c r="P3136" s="0" t="n">
        <f aca="false">E3136*H3136</f>
        <v>0</v>
      </c>
      <c r="Q3136" s="0" t="n">
        <f aca="false">F3136*G3136</f>
        <v>-0.125</v>
      </c>
      <c r="R3136" s="0" t="n">
        <f aca="false">F3136*H3136</f>
        <v>-0.5</v>
      </c>
      <c r="S3136" s="0" t="n">
        <f aca="false">G3136*H3136</f>
        <v>0.25</v>
      </c>
      <c r="T3136" s="0" t="n">
        <f aca="false">E3136*E3136</f>
        <v>0</v>
      </c>
      <c r="U3136" s="0" t="n">
        <f aca="false">F3136*F3136</f>
        <v>0.25</v>
      </c>
      <c r="V3136" s="0" t="n">
        <f aca="false">G3136*G3136</f>
        <v>0.0625</v>
      </c>
      <c r="W3136" s="0" t="n">
        <f aca="false">H3136*H3136</f>
        <v>1</v>
      </c>
      <c r="X3136" s="0" t="n">
        <f aca="false">SUMPRODUCT(I3136:W3136,_XtX!$B$96:$P$96)</f>
        <v>46.5804002192982</v>
      </c>
      <c r="Y3136" s="0" t="n">
        <f aca="false">SUMPRODUCT(MMULT(I3136:W3136,_XtX!$B$78:$P$92),I3136:W3136)</f>
        <v>0.457596628289474</v>
      </c>
      <c r="Z3136" s="0" t="n">
        <f aca="false">04_回帰ANOVA!$K$19*04_回帰ANOVA!$K$14*SQRT(1+Y3136)</f>
        <v>1.57368233664366</v>
      </c>
      <c r="AA3136" s="0" t="n">
        <f aca="false">X3136-Z3136</f>
        <v>45.0067178826546</v>
      </c>
      <c r="AB3136" s="0" t="n">
        <f aca="false">X3136+Z3136</f>
        <v>48.1540825559419</v>
      </c>
      <c r="AC3136" s="54" t="b">
        <f aca="false">AND(E3136&gt;=01_因子設定!$L$5-0.000000001,E3136&lt;=01_因子設定!$M$5+0.000000001,F3136&gt;=01_因子設定!$L$6-0.000000001,F3136&lt;=01_因子設定!$M$6+0.000000001,G3136&gt;=01_因子設定!$L$7-0.000000001,G3136&lt;=01_因子設定!$M$7+0.000000001,H3136&gt;=01_因子設定!$L$8-0.000000001,H3136&lt;=01_因子設定!$M$8+0.000000001,IF(01_因子設定!$B$20="Box-Behnken",E3136^2+F3136^2+G3136^2+H3136^2&lt;=2+0.000000001,TRUE()))</f>
        <v>1</v>
      </c>
      <c r="AD3136" s="55" t="n">
        <f aca="false">IF(AC3136,IF(01_因子設定!$B$13="最大化",AA3136-01_因子設定!$B$14,IF(01_因子設定!$B$13="最小化",01_因子設定!$B$15-AB3136,MIN(AA3136-01_因子設定!$B$14,01_因子設定!$B$15-AB3136))),-1E+030)</f>
        <v>-1.49328211734544</v>
      </c>
      <c r="AE3136" s="55" t="n">
        <f aca="false">IF(AC3136,IF(01_因子設定!$B$13="最大化",X3136,IF(01_因子設定!$B$13="最小化",-X3136,-ABS(X3136-01_因子設定!$B$16))),-1E+030)</f>
        <v>46.5804002192982</v>
      </c>
      <c r="AF3136" s="55" t="n">
        <f aca="false">AD3136+ROW()*0.000000001</f>
        <v>-1.49327898134544</v>
      </c>
      <c r="AG3136" s="55" t="n">
        <f aca="false">AE3136+ROW()*0.000000001</f>
        <v>46.5804033552982</v>
      </c>
    </row>
    <row r="3137" customFormat="false" ht="15" hidden="false" customHeight="false" outlineLevel="0" collapsed="false">
      <c r="A3137" s="0" t="n">
        <v>4</v>
      </c>
      <c r="B3137" s="0" t="n">
        <v>2</v>
      </c>
      <c r="C3137" s="0" t="n">
        <v>6</v>
      </c>
      <c r="D3137" s="0" t="n">
        <v>0</v>
      </c>
      <c r="E3137" s="0" t="n">
        <f aca="false">-1+A3137*0.25</f>
        <v>0</v>
      </c>
      <c r="F3137" s="0" t="n">
        <f aca="false">-1+B3137*0.25</f>
        <v>-0.5</v>
      </c>
      <c r="G3137" s="0" t="n">
        <f aca="false">-1+C3137*0.25</f>
        <v>0.5</v>
      </c>
      <c r="H3137" s="0" t="n">
        <f aca="false">-1+D3137*0.25</f>
        <v>-1</v>
      </c>
      <c r="I3137" s="0" t="n">
        <f aca="false">1</f>
        <v>1</v>
      </c>
      <c r="J3137" s="0" t="n">
        <f aca="false">E3137</f>
        <v>0</v>
      </c>
      <c r="K3137" s="0" t="n">
        <f aca="false">F3137</f>
        <v>-0.5</v>
      </c>
      <c r="L3137" s="0" t="n">
        <f aca="false">G3137</f>
        <v>0.5</v>
      </c>
      <c r="M3137" s="0" t="n">
        <f aca="false">H3137</f>
        <v>-1</v>
      </c>
      <c r="N3137" s="0" t="n">
        <f aca="false">E3137*F3137</f>
        <v>-0</v>
      </c>
      <c r="O3137" s="0" t="n">
        <f aca="false">E3137*G3137</f>
        <v>0</v>
      </c>
      <c r="P3137" s="0" t="n">
        <f aca="false">E3137*H3137</f>
        <v>-0</v>
      </c>
      <c r="Q3137" s="0" t="n">
        <f aca="false">F3137*G3137</f>
        <v>-0.25</v>
      </c>
      <c r="R3137" s="0" t="n">
        <f aca="false">F3137*H3137</f>
        <v>0.5</v>
      </c>
      <c r="S3137" s="0" t="n">
        <f aca="false">G3137*H3137</f>
        <v>-0.5</v>
      </c>
      <c r="T3137" s="0" t="n">
        <f aca="false">E3137*E3137</f>
        <v>0</v>
      </c>
      <c r="U3137" s="0" t="n">
        <f aca="false">F3137*F3137</f>
        <v>0.25</v>
      </c>
      <c r="V3137" s="0" t="n">
        <f aca="false">G3137*G3137</f>
        <v>0.25</v>
      </c>
      <c r="W3137" s="0" t="n">
        <f aca="false">H3137*H3137</f>
        <v>1</v>
      </c>
      <c r="X3137" s="0" t="n">
        <f aca="false">SUMPRODUCT(I3137:W3137,_XtX!$B$96:$P$96)</f>
        <v>45.4199744152047</v>
      </c>
      <c r="Y3137" s="0" t="n">
        <f aca="false">SUMPRODUCT(MMULT(I3137:W3137,_XtX!$B$78:$P$92),I3137:W3137)</f>
        <v>0.441954495614035</v>
      </c>
      <c r="Z3137" s="0" t="n">
        <f aca="false">04_回帰ANOVA!$K$19*04_回帰ANOVA!$K$14*SQRT(1+Y3137)</f>
        <v>1.56521560968066</v>
      </c>
      <c r="AA3137" s="0" t="n">
        <f aca="false">X3137-Z3137</f>
        <v>43.854758805524</v>
      </c>
      <c r="AB3137" s="0" t="n">
        <f aca="false">X3137+Z3137</f>
        <v>46.9851900248853</v>
      </c>
      <c r="AC3137" s="54" t="b">
        <f aca="false">AND(E3137&gt;=01_因子設定!$L$5-0.000000001,E3137&lt;=01_因子設定!$M$5+0.000000001,F3137&gt;=01_因子設定!$L$6-0.000000001,F3137&lt;=01_因子設定!$M$6+0.000000001,G3137&gt;=01_因子設定!$L$7-0.000000001,G3137&lt;=01_因子設定!$M$7+0.000000001,H3137&gt;=01_因子設定!$L$8-0.000000001,H3137&lt;=01_因子設定!$M$8+0.000000001,IF(01_因子設定!$B$20="Box-Behnken",E3137^2+F3137^2+G3137^2+H3137^2&lt;=2+0.000000001,TRUE()))</f>
        <v>1</v>
      </c>
      <c r="AD3137" s="55" t="n">
        <f aca="false">IF(AC3137,IF(01_因子設定!$B$13="最大化",AA3137-01_因子設定!$B$14,IF(01_因子設定!$B$13="最小化",01_因子設定!$B$15-AB3137,MIN(AA3137-01_因子設定!$B$14,01_因子設定!$B$15-AB3137))),-1E+030)</f>
        <v>-2.64524119447601</v>
      </c>
      <c r="AE3137" s="55" t="n">
        <f aca="false">IF(AC3137,IF(01_因子設定!$B$13="最大化",X3137,IF(01_因子設定!$B$13="最小化",-X3137,-ABS(X3137-01_因子設定!$B$16))),-1E+030)</f>
        <v>45.4199744152047</v>
      </c>
      <c r="AF3137" s="55" t="n">
        <f aca="false">AD3137+ROW()*0.000000001</f>
        <v>-2.64523805747601</v>
      </c>
      <c r="AG3137" s="55" t="n">
        <f aca="false">AE3137+ROW()*0.000000001</f>
        <v>45.4199775522047</v>
      </c>
    </row>
    <row r="3138" customFormat="false" ht="15" hidden="false" customHeight="false" outlineLevel="0" collapsed="false">
      <c r="A3138" s="0" t="n">
        <v>4</v>
      </c>
      <c r="B3138" s="0" t="n">
        <v>2</v>
      </c>
      <c r="C3138" s="0" t="n">
        <v>6</v>
      </c>
      <c r="D3138" s="0" t="n">
        <v>1</v>
      </c>
      <c r="E3138" s="0" t="n">
        <f aca="false">-1+A3138*0.25</f>
        <v>0</v>
      </c>
      <c r="F3138" s="0" t="n">
        <f aca="false">-1+B3138*0.25</f>
        <v>-0.5</v>
      </c>
      <c r="G3138" s="0" t="n">
        <f aca="false">-1+C3138*0.25</f>
        <v>0.5</v>
      </c>
      <c r="H3138" s="0" t="n">
        <f aca="false">-1+D3138*0.25</f>
        <v>-0.75</v>
      </c>
      <c r="I3138" s="0" t="n">
        <f aca="false">1</f>
        <v>1</v>
      </c>
      <c r="J3138" s="0" t="n">
        <f aca="false">E3138</f>
        <v>0</v>
      </c>
      <c r="K3138" s="0" t="n">
        <f aca="false">F3138</f>
        <v>-0.5</v>
      </c>
      <c r="L3138" s="0" t="n">
        <f aca="false">G3138</f>
        <v>0.5</v>
      </c>
      <c r="M3138" s="0" t="n">
        <f aca="false">H3138</f>
        <v>-0.75</v>
      </c>
      <c r="N3138" s="0" t="n">
        <f aca="false">E3138*F3138</f>
        <v>-0</v>
      </c>
      <c r="O3138" s="0" t="n">
        <f aca="false">E3138*G3138</f>
        <v>0</v>
      </c>
      <c r="P3138" s="0" t="n">
        <f aca="false">E3138*H3138</f>
        <v>-0</v>
      </c>
      <c r="Q3138" s="0" t="n">
        <f aca="false">F3138*G3138</f>
        <v>-0.25</v>
      </c>
      <c r="R3138" s="0" t="n">
        <f aca="false">F3138*H3138</f>
        <v>0.375</v>
      </c>
      <c r="S3138" s="0" t="n">
        <f aca="false">G3138*H3138</f>
        <v>-0.375</v>
      </c>
      <c r="T3138" s="0" t="n">
        <f aca="false">E3138*E3138</f>
        <v>0</v>
      </c>
      <c r="U3138" s="0" t="n">
        <f aca="false">F3138*F3138</f>
        <v>0.25</v>
      </c>
      <c r="V3138" s="0" t="n">
        <f aca="false">G3138*G3138</f>
        <v>0.25</v>
      </c>
      <c r="W3138" s="0" t="n">
        <f aca="false">H3138*H3138</f>
        <v>0.5625</v>
      </c>
      <c r="X3138" s="0" t="n">
        <f aca="false">SUMPRODUCT(I3138:W3138,_XtX!$B$96:$P$96)</f>
        <v>45.751187865497</v>
      </c>
      <c r="Y3138" s="0" t="n">
        <f aca="false">SUMPRODUCT(MMULT(I3138:W3138,_XtX!$B$78:$P$92),I3138:W3138)</f>
        <v>0.21305052997076</v>
      </c>
      <c r="Z3138" s="0" t="n">
        <f aca="false">04_回帰ANOVA!$K$19*04_回帰ANOVA!$K$14*SQRT(1+Y3138)</f>
        <v>1.43561450835061</v>
      </c>
      <c r="AA3138" s="0" t="n">
        <f aca="false">X3138-Z3138</f>
        <v>44.3155733571464</v>
      </c>
      <c r="AB3138" s="0" t="n">
        <f aca="false">X3138+Z3138</f>
        <v>47.1868023738476</v>
      </c>
      <c r="AC3138" s="54" t="b">
        <f aca="false">AND(E3138&gt;=01_因子設定!$L$5-0.000000001,E3138&lt;=01_因子設定!$M$5+0.000000001,F3138&gt;=01_因子設定!$L$6-0.000000001,F3138&lt;=01_因子設定!$M$6+0.000000001,G3138&gt;=01_因子設定!$L$7-0.000000001,G3138&lt;=01_因子設定!$M$7+0.000000001,H3138&gt;=01_因子設定!$L$8-0.000000001,H3138&lt;=01_因子設定!$M$8+0.000000001,IF(01_因子設定!$B$20="Box-Behnken",E3138^2+F3138^2+G3138^2+H3138^2&lt;=2+0.000000001,TRUE()))</f>
        <v>1</v>
      </c>
      <c r="AD3138" s="55" t="n">
        <f aca="false">IF(AC3138,IF(01_因子設定!$B$13="最大化",AA3138-01_因子設定!$B$14,IF(01_因子設定!$B$13="最小化",01_因子設定!$B$15-AB3138,MIN(AA3138-01_因子設定!$B$14,01_因子設定!$B$15-AB3138))),-1E+030)</f>
        <v>-2.18442664285357</v>
      </c>
      <c r="AE3138" s="55" t="n">
        <f aca="false">IF(AC3138,IF(01_因子設定!$B$13="最大化",X3138,IF(01_因子設定!$B$13="最小化",-X3138,-ABS(X3138-01_因子設定!$B$16))),-1E+030)</f>
        <v>45.751187865497</v>
      </c>
      <c r="AF3138" s="55" t="n">
        <f aca="false">AD3138+ROW()*0.000000001</f>
        <v>-2.18442350485357</v>
      </c>
      <c r="AG3138" s="55" t="n">
        <f aca="false">AE3138+ROW()*0.000000001</f>
        <v>45.751191003497</v>
      </c>
    </row>
    <row r="3139" customFormat="false" ht="15" hidden="false" customHeight="false" outlineLevel="0" collapsed="false">
      <c r="A3139" s="0" t="n">
        <v>4</v>
      </c>
      <c r="B3139" s="0" t="n">
        <v>2</v>
      </c>
      <c r="C3139" s="0" t="n">
        <v>6</v>
      </c>
      <c r="D3139" s="0" t="n">
        <v>2</v>
      </c>
      <c r="E3139" s="0" t="n">
        <f aca="false">-1+A3139*0.25</f>
        <v>0</v>
      </c>
      <c r="F3139" s="0" t="n">
        <f aca="false">-1+B3139*0.25</f>
        <v>-0.5</v>
      </c>
      <c r="G3139" s="0" t="n">
        <f aca="false">-1+C3139*0.25</f>
        <v>0.5</v>
      </c>
      <c r="H3139" s="0" t="n">
        <f aca="false">-1+D3139*0.25</f>
        <v>-0.5</v>
      </c>
      <c r="I3139" s="0" t="n">
        <f aca="false">1</f>
        <v>1</v>
      </c>
      <c r="J3139" s="0" t="n">
        <f aca="false">E3139</f>
        <v>0</v>
      </c>
      <c r="K3139" s="0" t="n">
        <f aca="false">F3139</f>
        <v>-0.5</v>
      </c>
      <c r="L3139" s="0" t="n">
        <f aca="false">G3139</f>
        <v>0.5</v>
      </c>
      <c r="M3139" s="0" t="n">
        <f aca="false">H3139</f>
        <v>-0.5</v>
      </c>
      <c r="N3139" s="0" t="n">
        <f aca="false">E3139*F3139</f>
        <v>-0</v>
      </c>
      <c r="O3139" s="0" t="n">
        <f aca="false">E3139*G3139</f>
        <v>0</v>
      </c>
      <c r="P3139" s="0" t="n">
        <f aca="false">E3139*H3139</f>
        <v>-0</v>
      </c>
      <c r="Q3139" s="0" t="n">
        <f aca="false">F3139*G3139</f>
        <v>-0.25</v>
      </c>
      <c r="R3139" s="0" t="n">
        <f aca="false">F3139*H3139</f>
        <v>0.25</v>
      </c>
      <c r="S3139" s="0" t="n">
        <f aca="false">G3139*H3139</f>
        <v>-0.25</v>
      </c>
      <c r="T3139" s="0" t="n">
        <f aca="false">E3139*E3139</f>
        <v>0</v>
      </c>
      <c r="U3139" s="0" t="n">
        <f aca="false">F3139*F3139</f>
        <v>0.25</v>
      </c>
      <c r="V3139" s="0" t="n">
        <f aca="false">G3139*G3139</f>
        <v>0.25</v>
      </c>
      <c r="W3139" s="0" t="n">
        <f aca="false">H3139*H3139</f>
        <v>0.25</v>
      </c>
      <c r="X3139" s="0" t="n">
        <f aca="false">SUMPRODUCT(I3139:W3139,_XtX!$B$96:$P$96)</f>
        <v>46.0345942982456</v>
      </c>
      <c r="Y3139" s="0" t="n">
        <f aca="false">SUMPRODUCT(MMULT(I3139:W3139,_XtX!$B$78:$P$92),I3139:W3139)</f>
        <v>0.140008223684211</v>
      </c>
      <c r="Z3139" s="0" t="n">
        <f aca="false">04_回帰ANOVA!$K$19*04_回帰ANOVA!$K$14*SQRT(1+Y3139)</f>
        <v>1.39172165492264</v>
      </c>
      <c r="AA3139" s="0" t="n">
        <f aca="false">X3139-Z3139</f>
        <v>44.6428726433229</v>
      </c>
      <c r="AB3139" s="0" t="n">
        <f aca="false">X3139+Z3139</f>
        <v>47.4263159531682</v>
      </c>
      <c r="AC3139" s="54" t="b">
        <f aca="false">AND(E3139&gt;=01_因子設定!$L$5-0.000000001,E3139&lt;=01_因子設定!$M$5+0.000000001,F3139&gt;=01_因子設定!$L$6-0.000000001,F3139&lt;=01_因子設定!$M$6+0.000000001,G3139&gt;=01_因子設定!$L$7-0.000000001,G3139&lt;=01_因子設定!$M$7+0.000000001,H3139&gt;=01_因子設定!$L$8-0.000000001,H3139&lt;=01_因子設定!$M$8+0.000000001,IF(01_因子設定!$B$20="Box-Behnken",E3139^2+F3139^2+G3139^2+H3139^2&lt;=2+0.000000001,TRUE()))</f>
        <v>1</v>
      </c>
      <c r="AD3139" s="55" t="n">
        <f aca="false">IF(AC3139,IF(01_因子設定!$B$13="最大化",AA3139-01_因子設定!$B$14,IF(01_因子設定!$B$13="最小化",01_因子設定!$B$15-AB3139,MIN(AA3139-01_因子設定!$B$14,01_因子設定!$B$15-AB3139))),-1E+030)</f>
        <v>-1.85712735667708</v>
      </c>
      <c r="AE3139" s="55" t="n">
        <f aca="false">IF(AC3139,IF(01_因子設定!$B$13="最大化",X3139,IF(01_因子設定!$B$13="最小化",-X3139,-ABS(X3139-01_因子設定!$B$16))),-1E+030)</f>
        <v>46.0345942982456</v>
      </c>
      <c r="AF3139" s="55" t="n">
        <f aca="false">AD3139+ROW()*0.000000001</f>
        <v>-1.85712421767708</v>
      </c>
      <c r="AG3139" s="55" t="n">
        <f aca="false">AE3139+ROW()*0.000000001</f>
        <v>46.0345974372456</v>
      </c>
    </row>
    <row r="3140" customFormat="false" ht="15" hidden="false" customHeight="false" outlineLevel="0" collapsed="false">
      <c r="A3140" s="0" t="n">
        <v>4</v>
      </c>
      <c r="B3140" s="0" t="n">
        <v>2</v>
      </c>
      <c r="C3140" s="0" t="n">
        <v>6</v>
      </c>
      <c r="D3140" s="0" t="n">
        <v>3</v>
      </c>
      <c r="E3140" s="0" t="n">
        <f aca="false">-1+A3140*0.25</f>
        <v>0</v>
      </c>
      <c r="F3140" s="0" t="n">
        <f aca="false">-1+B3140*0.25</f>
        <v>-0.5</v>
      </c>
      <c r="G3140" s="0" t="n">
        <f aca="false">-1+C3140*0.25</f>
        <v>0.5</v>
      </c>
      <c r="H3140" s="0" t="n">
        <f aca="false">-1+D3140*0.25</f>
        <v>-0.25</v>
      </c>
      <c r="I3140" s="0" t="n">
        <f aca="false">1</f>
        <v>1</v>
      </c>
      <c r="J3140" s="0" t="n">
        <f aca="false">E3140</f>
        <v>0</v>
      </c>
      <c r="K3140" s="0" t="n">
        <f aca="false">F3140</f>
        <v>-0.5</v>
      </c>
      <c r="L3140" s="0" t="n">
        <f aca="false">G3140</f>
        <v>0.5</v>
      </c>
      <c r="M3140" s="0" t="n">
        <f aca="false">H3140</f>
        <v>-0.25</v>
      </c>
      <c r="N3140" s="0" t="n">
        <f aca="false">E3140*F3140</f>
        <v>-0</v>
      </c>
      <c r="O3140" s="0" t="n">
        <f aca="false">E3140*G3140</f>
        <v>0</v>
      </c>
      <c r="P3140" s="0" t="n">
        <f aca="false">E3140*H3140</f>
        <v>-0</v>
      </c>
      <c r="Q3140" s="0" t="n">
        <f aca="false">F3140*G3140</f>
        <v>-0.25</v>
      </c>
      <c r="R3140" s="0" t="n">
        <f aca="false">F3140*H3140</f>
        <v>0.125</v>
      </c>
      <c r="S3140" s="0" t="n">
        <f aca="false">G3140*H3140</f>
        <v>-0.125</v>
      </c>
      <c r="T3140" s="0" t="n">
        <f aca="false">E3140*E3140</f>
        <v>0</v>
      </c>
      <c r="U3140" s="0" t="n">
        <f aca="false">F3140*F3140</f>
        <v>0.25</v>
      </c>
      <c r="V3140" s="0" t="n">
        <f aca="false">G3140*G3140</f>
        <v>0.25</v>
      </c>
      <c r="W3140" s="0" t="n">
        <f aca="false">H3140*H3140</f>
        <v>0.0625</v>
      </c>
      <c r="X3140" s="0" t="n">
        <f aca="false">SUMPRODUCT(I3140:W3140,_XtX!$B$96:$P$96)</f>
        <v>46.2701937134502</v>
      </c>
      <c r="Y3140" s="0" t="n">
        <f aca="false">SUMPRODUCT(MMULT(I3140:W3140,_XtX!$B$78:$P$92),I3140:W3140)</f>
        <v>0.132367050438597</v>
      </c>
      <c r="Z3140" s="0" t="n">
        <f aca="false">04_回帰ANOVA!$K$19*04_回帰ANOVA!$K$14*SQRT(1+Y3140)</f>
        <v>1.38704964208329</v>
      </c>
      <c r="AA3140" s="0" t="n">
        <f aca="false">X3140-Z3140</f>
        <v>44.8831440713669</v>
      </c>
      <c r="AB3140" s="0" t="n">
        <f aca="false">X3140+Z3140</f>
        <v>47.6572433555335</v>
      </c>
      <c r="AC3140" s="54" t="b">
        <f aca="false">AND(E3140&gt;=01_因子設定!$L$5-0.000000001,E3140&lt;=01_因子設定!$M$5+0.000000001,F3140&gt;=01_因子設定!$L$6-0.000000001,F3140&lt;=01_因子設定!$M$6+0.000000001,G3140&gt;=01_因子設定!$L$7-0.000000001,G3140&lt;=01_因子設定!$M$7+0.000000001,H3140&gt;=01_因子設定!$L$8-0.000000001,H3140&lt;=01_因子設定!$M$8+0.000000001,IF(01_因子設定!$B$20="Box-Behnken",E3140^2+F3140^2+G3140^2+H3140^2&lt;=2+0.000000001,TRUE()))</f>
        <v>1</v>
      </c>
      <c r="AD3140" s="55" t="n">
        <f aca="false">IF(AC3140,IF(01_因子設定!$B$13="最大化",AA3140-01_因子設定!$B$14,IF(01_因子設定!$B$13="最小化",01_因子設定!$B$15-AB3140,MIN(AA3140-01_因子設定!$B$14,01_因子設定!$B$15-AB3140))),-1E+030)</f>
        <v>-1.61685592863306</v>
      </c>
      <c r="AE3140" s="55" t="n">
        <f aca="false">IF(AC3140,IF(01_因子設定!$B$13="最大化",X3140,IF(01_因子設定!$B$13="最小化",-X3140,-ABS(X3140-01_因子設定!$B$16))),-1E+030)</f>
        <v>46.2701937134502</v>
      </c>
      <c r="AF3140" s="55" t="n">
        <f aca="false">AD3140+ROW()*0.000000001</f>
        <v>-1.61685278863306</v>
      </c>
      <c r="AG3140" s="55" t="n">
        <f aca="false">AE3140+ROW()*0.000000001</f>
        <v>46.2701968534502</v>
      </c>
    </row>
    <row r="3141" customFormat="false" ht="15" hidden="false" customHeight="false" outlineLevel="0" collapsed="false">
      <c r="A3141" s="0" t="n">
        <v>4</v>
      </c>
      <c r="B3141" s="0" t="n">
        <v>2</v>
      </c>
      <c r="C3141" s="0" t="n">
        <v>6</v>
      </c>
      <c r="D3141" s="0" t="n">
        <v>4</v>
      </c>
      <c r="E3141" s="0" t="n">
        <f aca="false">-1+A3141*0.25</f>
        <v>0</v>
      </c>
      <c r="F3141" s="0" t="n">
        <f aca="false">-1+B3141*0.25</f>
        <v>-0.5</v>
      </c>
      <c r="G3141" s="0" t="n">
        <f aca="false">-1+C3141*0.25</f>
        <v>0.5</v>
      </c>
      <c r="H3141" s="0" t="n">
        <f aca="false">-1+D3141*0.25</f>
        <v>0</v>
      </c>
      <c r="I3141" s="0" t="n">
        <f aca="false">1</f>
        <v>1</v>
      </c>
      <c r="J3141" s="0" t="n">
        <f aca="false">E3141</f>
        <v>0</v>
      </c>
      <c r="K3141" s="0" t="n">
        <f aca="false">F3141</f>
        <v>-0.5</v>
      </c>
      <c r="L3141" s="0" t="n">
        <f aca="false">G3141</f>
        <v>0.5</v>
      </c>
      <c r="M3141" s="0" t="n">
        <f aca="false">H3141</f>
        <v>0</v>
      </c>
      <c r="N3141" s="0" t="n">
        <f aca="false">E3141*F3141</f>
        <v>-0</v>
      </c>
      <c r="O3141" s="0" t="n">
        <f aca="false">E3141*G3141</f>
        <v>0</v>
      </c>
      <c r="P3141" s="0" t="n">
        <f aca="false">E3141*H3141</f>
        <v>0</v>
      </c>
      <c r="Q3141" s="0" t="n">
        <f aca="false">F3141*G3141</f>
        <v>-0.25</v>
      </c>
      <c r="R3141" s="0" t="n">
        <f aca="false">F3141*H3141</f>
        <v>-0</v>
      </c>
      <c r="S3141" s="0" t="n">
        <f aca="false">G3141*H3141</f>
        <v>0</v>
      </c>
      <c r="T3141" s="0" t="n">
        <f aca="false">E3141*E3141</f>
        <v>0</v>
      </c>
      <c r="U3141" s="0" t="n">
        <f aca="false">F3141*F3141</f>
        <v>0.25</v>
      </c>
      <c r="V3141" s="0" t="n">
        <f aca="false">G3141*G3141</f>
        <v>0.25</v>
      </c>
      <c r="W3141" s="0" t="n">
        <f aca="false">H3141*H3141</f>
        <v>0</v>
      </c>
      <c r="X3141" s="0" t="n">
        <f aca="false">SUMPRODUCT(I3141:W3141,_XtX!$B$96:$P$96)</f>
        <v>46.4579861111111</v>
      </c>
      <c r="Y3141" s="0" t="n">
        <f aca="false">SUMPRODUCT(MMULT(I3141:W3141,_XtX!$B$78:$P$92),I3141:W3141)</f>
        <v>0.135850694444444</v>
      </c>
      <c r="Z3141" s="0" t="n">
        <f aca="false">04_回帰ANOVA!$K$19*04_回帰ANOVA!$K$14*SQRT(1+Y3141)</f>
        <v>1.38918158179389</v>
      </c>
      <c r="AA3141" s="0" t="n">
        <f aca="false">X3141-Z3141</f>
        <v>45.0688045293172</v>
      </c>
      <c r="AB3141" s="0" t="n">
        <f aca="false">X3141+Z3141</f>
        <v>47.8471676929049</v>
      </c>
      <c r="AC3141" s="54" t="b">
        <f aca="false">AND(E3141&gt;=01_因子設定!$L$5-0.000000001,E3141&lt;=01_因子設定!$M$5+0.000000001,F3141&gt;=01_因子設定!$L$6-0.000000001,F3141&lt;=01_因子設定!$M$6+0.000000001,G3141&gt;=01_因子設定!$L$7-0.000000001,G3141&lt;=01_因子設定!$M$7+0.000000001,H3141&gt;=01_因子設定!$L$8-0.000000001,H3141&lt;=01_因子設定!$M$8+0.000000001,IF(01_因子設定!$B$20="Box-Behnken",E3141^2+F3141^2+G3141^2+H3141^2&lt;=2+0.000000001,TRUE()))</f>
        <v>1</v>
      </c>
      <c r="AD3141" s="55" t="n">
        <f aca="false">IF(AC3141,IF(01_因子設定!$B$13="最大化",AA3141-01_因子設定!$B$14,IF(01_因子設定!$B$13="最小化",01_因子設定!$B$15-AB3141,MIN(AA3141-01_因子設定!$B$14,01_因子設定!$B$15-AB3141))),-1E+030)</f>
        <v>-1.43119547068284</v>
      </c>
      <c r="AE3141" s="55" t="n">
        <f aca="false">IF(AC3141,IF(01_因子設定!$B$13="最大化",X3141,IF(01_因子設定!$B$13="最小化",-X3141,-ABS(X3141-01_因子設定!$B$16))),-1E+030)</f>
        <v>46.4579861111111</v>
      </c>
      <c r="AF3141" s="55" t="n">
        <f aca="false">AD3141+ROW()*0.000000001</f>
        <v>-1.43119232968284</v>
      </c>
      <c r="AG3141" s="55" t="n">
        <f aca="false">AE3141+ROW()*0.000000001</f>
        <v>46.4579892521111</v>
      </c>
    </row>
    <row r="3142" customFormat="false" ht="15" hidden="false" customHeight="false" outlineLevel="0" collapsed="false">
      <c r="A3142" s="0" t="n">
        <v>4</v>
      </c>
      <c r="B3142" s="0" t="n">
        <v>2</v>
      </c>
      <c r="C3142" s="0" t="n">
        <v>6</v>
      </c>
      <c r="D3142" s="0" t="n">
        <v>5</v>
      </c>
      <c r="E3142" s="0" t="n">
        <f aca="false">-1+A3142*0.25</f>
        <v>0</v>
      </c>
      <c r="F3142" s="0" t="n">
        <f aca="false">-1+B3142*0.25</f>
        <v>-0.5</v>
      </c>
      <c r="G3142" s="0" t="n">
        <f aca="false">-1+C3142*0.25</f>
        <v>0.5</v>
      </c>
      <c r="H3142" s="0" t="n">
        <f aca="false">-1+D3142*0.25</f>
        <v>0.25</v>
      </c>
      <c r="I3142" s="0" t="n">
        <f aca="false">1</f>
        <v>1</v>
      </c>
      <c r="J3142" s="0" t="n">
        <f aca="false">E3142</f>
        <v>0</v>
      </c>
      <c r="K3142" s="0" t="n">
        <f aca="false">F3142</f>
        <v>-0.5</v>
      </c>
      <c r="L3142" s="0" t="n">
        <f aca="false">G3142</f>
        <v>0.5</v>
      </c>
      <c r="M3142" s="0" t="n">
        <f aca="false">H3142</f>
        <v>0.25</v>
      </c>
      <c r="N3142" s="0" t="n">
        <f aca="false">E3142*F3142</f>
        <v>-0</v>
      </c>
      <c r="O3142" s="0" t="n">
        <f aca="false">E3142*G3142</f>
        <v>0</v>
      </c>
      <c r="P3142" s="0" t="n">
        <f aca="false">E3142*H3142</f>
        <v>0</v>
      </c>
      <c r="Q3142" s="0" t="n">
        <f aca="false">F3142*G3142</f>
        <v>-0.25</v>
      </c>
      <c r="R3142" s="0" t="n">
        <f aca="false">F3142*H3142</f>
        <v>-0.125</v>
      </c>
      <c r="S3142" s="0" t="n">
        <f aca="false">G3142*H3142</f>
        <v>0.125</v>
      </c>
      <c r="T3142" s="0" t="n">
        <f aca="false">E3142*E3142</f>
        <v>0</v>
      </c>
      <c r="U3142" s="0" t="n">
        <f aca="false">F3142*F3142</f>
        <v>0.25</v>
      </c>
      <c r="V3142" s="0" t="n">
        <f aca="false">G3142*G3142</f>
        <v>0.25</v>
      </c>
      <c r="W3142" s="0" t="n">
        <f aca="false">H3142*H3142</f>
        <v>0.0625</v>
      </c>
      <c r="X3142" s="0" t="n">
        <f aca="false">SUMPRODUCT(I3142:W3142,_XtX!$B$96:$P$96)</f>
        <v>46.597971491228</v>
      </c>
      <c r="Y3142" s="0" t="n">
        <f aca="false">SUMPRODUCT(MMULT(I3142:W3142,_XtX!$B$78:$P$92),I3142:W3142)</f>
        <v>0.132367050438597</v>
      </c>
      <c r="Z3142" s="0" t="n">
        <f aca="false">04_回帰ANOVA!$K$19*04_回帰ANOVA!$K$14*SQRT(1+Y3142)</f>
        <v>1.38704964208329</v>
      </c>
      <c r="AA3142" s="0" t="n">
        <f aca="false">X3142-Z3142</f>
        <v>45.2109218491447</v>
      </c>
      <c r="AB3142" s="0" t="n">
        <f aca="false">X3142+Z3142</f>
        <v>47.9850211333113</v>
      </c>
      <c r="AC3142" s="54" t="b">
        <f aca="false">AND(E3142&gt;=01_因子設定!$L$5-0.000000001,E3142&lt;=01_因子設定!$M$5+0.000000001,F3142&gt;=01_因子設定!$L$6-0.000000001,F3142&lt;=01_因子設定!$M$6+0.000000001,G3142&gt;=01_因子設定!$L$7-0.000000001,G3142&lt;=01_因子設定!$M$7+0.000000001,H3142&gt;=01_因子設定!$L$8-0.000000001,H3142&lt;=01_因子設定!$M$8+0.000000001,IF(01_因子設定!$B$20="Box-Behnken",E3142^2+F3142^2+G3142^2+H3142^2&lt;=2+0.000000001,TRUE()))</f>
        <v>1</v>
      </c>
      <c r="AD3142" s="55" t="n">
        <f aca="false">IF(AC3142,IF(01_因子設定!$B$13="最大化",AA3142-01_因子設定!$B$14,IF(01_因子設定!$B$13="最小化",01_因子設定!$B$15-AB3142,MIN(AA3142-01_因子設定!$B$14,01_因子設定!$B$15-AB3142))),-1E+030)</f>
        <v>-1.28907815085528</v>
      </c>
      <c r="AE3142" s="55" t="n">
        <f aca="false">IF(AC3142,IF(01_因子設定!$B$13="最大化",X3142,IF(01_因子設定!$B$13="最小化",-X3142,-ABS(X3142-01_因子設定!$B$16))),-1E+030)</f>
        <v>46.597971491228</v>
      </c>
      <c r="AF3142" s="55" t="n">
        <f aca="false">AD3142+ROW()*0.000000001</f>
        <v>-1.28907500885528</v>
      </c>
      <c r="AG3142" s="55" t="n">
        <f aca="false">AE3142+ROW()*0.000000001</f>
        <v>46.597974633228</v>
      </c>
    </row>
    <row r="3143" customFormat="false" ht="15" hidden="false" customHeight="false" outlineLevel="0" collapsed="false">
      <c r="A3143" s="0" t="n">
        <v>4</v>
      </c>
      <c r="B3143" s="0" t="n">
        <v>2</v>
      </c>
      <c r="C3143" s="0" t="n">
        <v>6</v>
      </c>
      <c r="D3143" s="0" t="n">
        <v>6</v>
      </c>
      <c r="E3143" s="0" t="n">
        <f aca="false">-1+A3143*0.25</f>
        <v>0</v>
      </c>
      <c r="F3143" s="0" t="n">
        <f aca="false">-1+B3143*0.25</f>
        <v>-0.5</v>
      </c>
      <c r="G3143" s="0" t="n">
        <f aca="false">-1+C3143*0.25</f>
        <v>0.5</v>
      </c>
      <c r="H3143" s="0" t="n">
        <f aca="false">-1+D3143*0.25</f>
        <v>0.5</v>
      </c>
      <c r="I3143" s="0" t="n">
        <f aca="false">1</f>
        <v>1</v>
      </c>
      <c r="J3143" s="0" t="n">
        <f aca="false">E3143</f>
        <v>0</v>
      </c>
      <c r="K3143" s="0" t="n">
        <f aca="false">F3143</f>
        <v>-0.5</v>
      </c>
      <c r="L3143" s="0" t="n">
        <f aca="false">G3143</f>
        <v>0.5</v>
      </c>
      <c r="M3143" s="0" t="n">
        <f aca="false">H3143</f>
        <v>0.5</v>
      </c>
      <c r="N3143" s="0" t="n">
        <f aca="false">E3143*F3143</f>
        <v>-0</v>
      </c>
      <c r="O3143" s="0" t="n">
        <f aca="false">E3143*G3143</f>
        <v>0</v>
      </c>
      <c r="P3143" s="0" t="n">
        <f aca="false">E3143*H3143</f>
        <v>0</v>
      </c>
      <c r="Q3143" s="0" t="n">
        <f aca="false">F3143*G3143</f>
        <v>-0.25</v>
      </c>
      <c r="R3143" s="0" t="n">
        <f aca="false">F3143*H3143</f>
        <v>-0.25</v>
      </c>
      <c r="S3143" s="0" t="n">
        <f aca="false">G3143*H3143</f>
        <v>0.25</v>
      </c>
      <c r="T3143" s="0" t="n">
        <f aca="false">E3143*E3143</f>
        <v>0</v>
      </c>
      <c r="U3143" s="0" t="n">
        <f aca="false">F3143*F3143</f>
        <v>0.25</v>
      </c>
      <c r="V3143" s="0" t="n">
        <f aca="false">G3143*G3143</f>
        <v>0.25</v>
      </c>
      <c r="W3143" s="0" t="n">
        <f aca="false">H3143*H3143</f>
        <v>0.25</v>
      </c>
      <c r="X3143" s="0" t="n">
        <f aca="false">SUMPRODUCT(I3143:W3143,_XtX!$B$96:$P$96)</f>
        <v>46.6901498538011</v>
      </c>
      <c r="Y3143" s="0" t="n">
        <f aca="false">SUMPRODUCT(MMULT(I3143:W3143,_XtX!$B$78:$P$92),I3143:W3143)</f>
        <v>0.140008223684211</v>
      </c>
      <c r="Z3143" s="0" t="n">
        <f aca="false">04_回帰ANOVA!$K$19*04_回帰ANOVA!$K$14*SQRT(1+Y3143)</f>
        <v>1.39172165492264</v>
      </c>
      <c r="AA3143" s="0" t="n">
        <f aca="false">X3143-Z3143</f>
        <v>45.2984281988785</v>
      </c>
      <c r="AB3143" s="0" t="n">
        <f aca="false">X3143+Z3143</f>
        <v>48.0818715087237</v>
      </c>
      <c r="AC3143" s="54" t="b">
        <f aca="false">AND(E3143&gt;=01_因子設定!$L$5-0.000000001,E3143&lt;=01_因子設定!$M$5+0.000000001,F3143&gt;=01_因子設定!$L$6-0.000000001,F3143&lt;=01_因子設定!$M$6+0.000000001,G3143&gt;=01_因子設定!$L$7-0.000000001,G3143&lt;=01_因子設定!$M$7+0.000000001,H3143&gt;=01_因子設定!$L$8-0.000000001,H3143&lt;=01_因子設定!$M$8+0.000000001,IF(01_因子設定!$B$20="Box-Behnken",E3143^2+F3143^2+G3143^2+H3143^2&lt;=2+0.000000001,TRUE()))</f>
        <v>1</v>
      </c>
      <c r="AD3143" s="55" t="n">
        <f aca="false">IF(AC3143,IF(01_因子設定!$B$13="最大化",AA3143-01_因子設定!$B$14,IF(01_因子設定!$B$13="最小化",01_因子設定!$B$15-AB3143,MIN(AA3143-01_因子設定!$B$14,01_因子設定!$B$15-AB3143))),-1E+030)</f>
        <v>-1.20157180112152</v>
      </c>
      <c r="AE3143" s="55" t="n">
        <f aca="false">IF(AC3143,IF(01_因子設定!$B$13="最大化",X3143,IF(01_因子設定!$B$13="最小化",-X3143,-ABS(X3143-01_因子設定!$B$16))),-1E+030)</f>
        <v>46.6901498538011</v>
      </c>
      <c r="AF3143" s="55" t="n">
        <f aca="false">AD3143+ROW()*0.000000001</f>
        <v>-1.20156865812152</v>
      </c>
      <c r="AG3143" s="55" t="n">
        <f aca="false">AE3143+ROW()*0.000000001</f>
        <v>46.6901529968011</v>
      </c>
    </row>
    <row r="3144" customFormat="false" ht="15" hidden="false" customHeight="false" outlineLevel="0" collapsed="false">
      <c r="A3144" s="0" t="n">
        <v>4</v>
      </c>
      <c r="B3144" s="0" t="n">
        <v>2</v>
      </c>
      <c r="C3144" s="0" t="n">
        <v>6</v>
      </c>
      <c r="D3144" s="0" t="n">
        <v>7</v>
      </c>
      <c r="E3144" s="0" t="n">
        <f aca="false">-1+A3144*0.25</f>
        <v>0</v>
      </c>
      <c r="F3144" s="0" t="n">
        <f aca="false">-1+B3144*0.25</f>
        <v>-0.5</v>
      </c>
      <c r="G3144" s="0" t="n">
        <f aca="false">-1+C3144*0.25</f>
        <v>0.5</v>
      </c>
      <c r="H3144" s="0" t="n">
        <f aca="false">-1+D3144*0.25</f>
        <v>0.75</v>
      </c>
      <c r="I3144" s="0" t="n">
        <f aca="false">1</f>
        <v>1</v>
      </c>
      <c r="J3144" s="0" t="n">
        <f aca="false">E3144</f>
        <v>0</v>
      </c>
      <c r="K3144" s="0" t="n">
        <f aca="false">F3144</f>
        <v>-0.5</v>
      </c>
      <c r="L3144" s="0" t="n">
        <f aca="false">G3144</f>
        <v>0.5</v>
      </c>
      <c r="M3144" s="0" t="n">
        <f aca="false">H3144</f>
        <v>0.75</v>
      </c>
      <c r="N3144" s="0" t="n">
        <f aca="false">E3144*F3144</f>
        <v>-0</v>
      </c>
      <c r="O3144" s="0" t="n">
        <f aca="false">E3144*G3144</f>
        <v>0</v>
      </c>
      <c r="P3144" s="0" t="n">
        <f aca="false">E3144*H3144</f>
        <v>0</v>
      </c>
      <c r="Q3144" s="0" t="n">
        <f aca="false">F3144*G3144</f>
        <v>-0.25</v>
      </c>
      <c r="R3144" s="0" t="n">
        <f aca="false">F3144*H3144</f>
        <v>-0.375</v>
      </c>
      <c r="S3144" s="0" t="n">
        <f aca="false">G3144*H3144</f>
        <v>0.375</v>
      </c>
      <c r="T3144" s="0" t="n">
        <f aca="false">E3144*E3144</f>
        <v>0</v>
      </c>
      <c r="U3144" s="0" t="n">
        <f aca="false">F3144*F3144</f>
        <v>0.25</v>
      </c>
      <c r="V3144" s="0" t="n">
        <f aca="false">G3144*G3144</f>
        <v>0.25</v>
      </c>
      <c r="W3144" s="0" t="n">
        <f aca="false">H3144*H3144</f>
        <v>0.5625</v>
      </c>
      <c r="X3144" s="0" t="n">
        <f aca="false">SUMPRODUCT(I3144:W3144,_XtX!$B$96:$P$96)</f>
        <v>46.7345211988304</v>
      </c>
      <c r="Y3144" s="0" t="n">
        <f aca="false">SUMPRODUCT(MMULT(I3144:W3144,_XtX!$B$78:$P$92),I3144:W3144)</f>
        <v>0.21305052997076</v>
      </c>
      <c r="Z3144" s="0" t="n">
        <f aca="false">04_回帰ANOVA!$K$19*04_回帰ANOVA!$K$14*SQRT(1+Y3144)</f>
        <v>1.43561450835061</v>
      </c>
      <c r="AA3144" s="0" t="n">
        <f aca="false">X3144-Z3144</f>
        <v>45.2989066904798</v>
      </c>
      <c r="AB3144" s="0" t="n">
        <f aca="false">X3144+Z3144</f>
        <v>48.170135707181</v>
      </c>
      <c r="AC3144" s="54" t="b">
        <f aca="false">AND(E3144&gt;=01_因子設定!$L$5-0.000000001,E3144&lt;=01_因子設定!$M$5+0.000000001,F3144&gt;=01_因子設定!$L$6-0.000000001,F3144&lt;=01_因子設定!$M$6+0.000000001,G3144&gt;=01_因子設定!$L$7-0.000000001,G3144&lt;=01_因子設定!$M$7+0.000000001,H3144&gt;=01_因子設定!$L$8-0.000000001,H3144&lt;=01_因子設定!$M$8+0.000000001,IF(01_因子設定!$B$20="Box-Behnken",E3144^2+F3144^2+G3144^2+H3144^2&lt;=2+0.000000001,TRUE()))</f>
        <v>1</v>
      </c>
      <c r="AD3144" s="55" t="n">
        <f aca="false">IF(AC3144,IF(01_因子設定!$B$13="最大化",AA3144-01_因子設定!$B$14,IF(01_因子設定!$B$13="最小化",01_因子設定!$B$15-AB3144,MIN(AA3144-01_因子設定!$B$14,01_因子設定!$B$15-AB3144))),-1E+030)</f>
        <v>-1.20109330952024</v>
      </c>
      <c r="AE3144" s="55" t="n">
        <f aca="false">IF(AC3144,IF(01_因子設定!$B$13="最大化",X3144,IF(01_因子設定!$B$13="最小化",-X3144,-ABS(X3144-01_因子設定!$B$16))),-1E+030)</f>
        <v>46.7345211988304</v>
      </c>
      <c r="AF3144" s="55" t="n">
        <f aca="false">AD3144+ROW()*0.000000001</f>
        <v>-1.20109016552024</v>
      </c>
      <c r="AG3144" s="55" t="n">
        <f aca="false">AE3144+ROW()*0.000000001</f>
        <v>46.7345243428304</v>
      </c>
    </row>
    <row r="3145" customFormat="false" ht="15" hidden="false" customHeight="false" outlineLevel="0" collapsed="false">
      <c r="A3145" s="0" t="n">
        <v>4</v>
      </c>
      <c r="B3145" s="0" t="n">
        <v>2</v>
      </c>
      <c r="C3145" s="0" t="n">
        <v>6</v>
      </c>
      <c r="D3145" s="0" t="n">
        <v>8</v>
      </c>
      <c r="E3145" s="0" t="n">
        <f aca="false">-1+A3145*0.25</f>
        <v>0</v>
      </c>
      <c r="F3145" s="0" t="n">
        <f aca="false">-1+B3145*0.25</f>
        <v>-0.5</v>
      </c>
      <c r="G3145" s="0" t="n">
        <f aca="false">-1+C3145*0.25</f>
        <v>0.5</v>
      </c>
      <c r="H3145" s="0" t="n">
        <f aca="false">-1+D3145*0.25</f>
        <v>1</v>
      </c>
      <c r="I3145" s="0" t="n">
        <f aca="false">1</f>
        <v>1</v>
      </c>
      <c r="J3145" s="0" t="n">
        <f aca="false">E3145</f>
        <v>0</v>
      </c>
      <c r="K3145" s="0" t="n">
        <f aca="false">F3145</f>
        <v>-0.5</v>
      </c>
      <c r="L3145" s="0" t="n">
        <f aca="false">G3145</f>
        <v>0.5</v>
      </c>
      <c r="M3145" s="0" t="n">
        <f aca="false">H3145</f>
        <v>1</v>
      </c>
      <c r="N3145" s="0" t="n">
        <f aca="false">E3145*F3145</f>
        <v>-0</v>
      </c>
      <c r="O3145" s="0" t="n">
        <f aca="false">E3145*G3145</f>
        <v>0</v>
      </c>
      <c r="P3145" s="0" t="n">
        <f aca="false">E3145*H3145</f>
        <v>0</v>
      </c>
      <c r="Q3145" s="0" t="n">
        <f aca="false">F3145*G3145</f>
        <v>-0.25</v>
      </c>
      <c r="R3145" s="0" t="n">
        <f aca="false">F3145*H3145</f>
        <v>-0.5</v>
      </c>
      <c r="S3145" s="0" t="n">
        <f aca="false">G3145*H3145</f>
        <v>0.5</v>
      </c>
      <c r="T3145" s="0" t="n">
        <f aca="false">E3145*E3145</f>
        <v>0</v>
      </c>
      <c r="U3145" s="0" t="n">
        <f aca="false">F3145*F3145</f>
        <v>0.25</v>
      </c>
      <c r="V3145" s="0" t="n">
        <f aca="false">G3145*G3145</f>
        <v>0.25</v>
      </c>
      <c r="W3145" s="0" t="n">
        <f aca="false">H3145*H3145</f>
        <v>1</v>
      </c>
      <c r="X3145" s="0" t="n">
        <f aca="false">SUMPRODUCT(I3145:W3145,_XtX!$B$96:$P$96)</f>
        <v>46.7310855263158</v>
      </c>
      <c r="Y3145" s="0" t="n">
        <f aca="false">SUMPRODUCT(MMULT(I3145:W3145,_XtX!$B$78:$P$92),I3145:W3145)</f>
        <v>0.441954495614035</v>
      </c>
      <c r="Z3145" s="0" t="n">
        <f aca="false">04_回帰ANOVA!$K$19*04_回帰ANOVA!$K$14*SQRT(1+Y3145)</f>
        <v>1.56521560968066</v>
      </c>
      <c r="AA3145" s="0" t="n">
        <f aca="false">X3145-Z3145</f>
        <v>45.1658699166351</v>
      </c>
      <c r="AB3145" s="0" t="n">
        <f aca="false">X3145+Z3145</f>
        <v>48.2963011359964</v>
      </c>
      <c r="AC3145" s="54" t="b">
        <f aca="false">AND(E3145&gt;=01_因子設定!$L$5-0.000000001,E3145&lt;=01_因子設定!$M$5+0.000000001,F3145&gt;=01_因子設定!$L$6-0.000000001,F3145&lt;=01_因子設定!$M$6+0.000000001,G3145&gt;=01_因子設定!$L$7-0.000000001,G3145&lt;=01_因子設定!$M$7+0.000000001,H3145&gt;=01_因子設定!$L$8-0.000000001,H3145&lt;=01_因子設定!$M$8+0.000000001,IF(01_因子設定!$B$20="Box-Behnken",E3145^2+F3145^2+G3145^2+H3145^2&lt;=2+0.000000001,TRUE()))</f>
        <v>1</v>
      </c>
      <c r="AD3145" s="55" t="n">
        <f aca="false">IF(AC3145,IF(01_因子設定!$B$13="最大化",AA3145-01_因子設定!$B$14,IF(01_因子設定!$B$13="最小化",01_因子設定!$B$15-AB3145,MIN(AA3145-01_因子設定!$B$14,01_因子設定!$B$15-AB3145))),-1E+030)</f>
        <v>-1.3341300833649</v>
      </c>
      <c r="AE3145" s="55" t="n">
        <f aca="false">IF(AC3145,IF(01_因子設定!$B$13="最大化",X3145,IF(01_因子設定!$B$13="最小化",-X3145,-ABS(X3145-01_因子設定!$B$16))),-1E+030)</f>
        <v>46.7310855263158</v>
      </c>
      <c r="AF3145" s="55" t="n">
        <f aca="false">AD3145+ROW()*0.000000001</f>
        <v>-1.3341269383649</v>
      </c>
      <c r="AG3145" s="55" t="n">
        <f aca="false">AE3145+ROW()*0.000000001</f>
        <v>46.7310886713158</v>
      </c>
    </row>
    <row r="3146" customFormat="false" ht="15" hidden="false" customHeight="false" outlineLevel="0" collapsed="false">
      <c r="A3146" s="0" t="n">
        <v>4</v>
      </c>
      <c r="B3146" s="0" t="n">
        <v>2</v>
      </c>
      <c r="C3146" s="0" t="n">
        <v>7</v>
      </c>
      <c r="D3146" s="0" t="n">
        <v>0</v>
      </c>
      <c r="E3146" s="0" t="n">
        <f aca="false">-1+A3146*0.25</f>
        <v>0</v>
      </c>
      <c r="F3146" s="0" t="n">
        <f aca="false">-1+B3146*0.25</f>
        <v>-0.5</v>
      </c>
      <c r="G3146" s="0" t="n">
        <f aca="false">-1+C3146*0.25</f>
        <v>0.75</v>
      </c>
      <c r="H3146" s="0" t="n">
        <f aca="false">-1+D3146*0.25</f>
        <v>-1</v>
      </c>
      <c r="I3146" s="0" t="n">
        <f aca="false">1</f>
        <v>1</v>
      </c>
      <c r="J3146" s="0" t="n">
        <f aca="false">E3146</f>
        <v>0</v>
      </c>
      <c r="K3146" s="0" t="n">
        <f aca="false">F3146</f>
        <v>-0.5</v>
      </c>
      <c r="L3146" s="0" t="n">
        <f aca="false">G3146</f>
        <v>0.75</v>
      </c>
      <c r="M3146" s="0" t="n">
        <f aca="false">H3146</f>
        <v>-1</v>
      </c>
      <c r="N3146" s="0" t="n">
        <f aca="false">E3146*F3146</f>
        <v>-0</v>
      </c>
      <c r="O3146" s="0" t="n">
        <f aca="false">E3146*G3146</f>
        <v>0</v>
      </c>
      <c r="P3146" s="0" t="n">
        <f aca="false">E3146*H3146</f>
        <v>-0</v>
      </c>
      <c r="Q3146" s="0" t="n">
        <f aca="false">F3146*G3146</f>
        <v>-0.375</v>
      </c>
      <c r="R3146" s="0" t="n">
        <f aca="false">F3146*H3146</f>
        <v>0.5</v>
      </c>
      <c r="S3146" s="0" t="n">
        <f aca="false">G3146*H3146</f>
        <v>-0.75</v>
      </c>
      <c r="T3146" s="0" t="n">
        <f aca="false">E3146*E3146</f>
        <v>0</v>
      </c>
      <c r="U3146" s="0" t="n">
        <f aca="false">F3146*F3146</f>
        <v>0.25</v>
      </c>
      <c r="V3146" s="0" t="n">
        <f aca="false">G3146*G3146</f>
        <v>0.5625</v>
      </c>
      <c r="W3146" s="0" t="n">
        <f aca="false">H3146*H3146</f>
        <v>1</v>
      </c>
      <c r="X3146" s="0" t="n">
        <f aca="false">SUMPRODUCT(I3146:W3146,_XtX!$B$96:$P$96)</f>
        <v>45.3416027046783</v>
      </c>
      <c r="Y3146" s="0" t="n">
        <f aca="false">SUMPRODUCT(MMULT(I3146:W3146,_XtX!$B$78:$P$92),I3146:W3146)</f>
        <v>0.476191292032164</v>
      </c>
      <c r="Z3146" s="0" t="n">
        <f aca="false">04_回帰ANOVA!$K$19*04_回帰ANOVA!$K$14*SQRT(1+Y3146)</f>
        <v>1.58368831471718</v>
      </c>
      <c r="AA3146" s="0" t="n">
        <f aca="false">X3146-Z3146</f>
        <v>43.7579143899612</v>
      </c>
      <c r="AB3146" s="0" t="n">
        <f aca="false">X3146+Z3146</f>
        <v>46.9252910193955</v>
      </c>
      <c r="AC3146" s="54" t="b">
        <f aca="false">AND(E3146&gt;=01_因子設定!$L$5-0.000000001,E3146&lt;=01_因子設定!$M$5+0.000000001,F3146&gt;=01_因子設定!$L$6-0.000000001,F3146&lt;=01_因子設定!$M$6+0.000000001,G3146&gt;=01_因子設定!$L$7-0.000000001,G3146&lt;=01_因子設定!$M$7+0.000000001,H3146&gt;=01_因子設定!$L$8-0.000000001,H3146&lt;=01_因子設定!$M$8+0.000000001,IF(01_因子設定!$B$20="Box-Behnken",E3146^2+F3146^2+G3146^2+H3146^2&lt;=2+0.000000001,TRUE()))</f>
        <v>1</v>
      </c>
      <c r="AD3146" s="55" t="n">
        <f aca="false">IF(AC3146,IF(01_因子設定!$B$13="最大化",AA3146-01_因子設定!$B$14,IF(01_因子設定!$B$13="最小化",01_因子設定!$B$15-AB3146,MIN(AA3146-01_因子設定!$B$14,01_因子設定!$B$15-AB3146))),-1E+030)</f>
        <v>-2.74208561003884</v>
      </c>
      <c r="AE3146" s="55" t="n">
        <f aca="false">IF(AC3146,IF(01_因子設定!$B$13="最大化",X3146,IF(01_因子設定!$B$13="最小化",-X3146,-ABS(X3146-01_因子設定!$B$16))),-1E+030)</f>
        <v>45.3416027046783</v>
      </c>
      <c r="AF3146" s="55" t="n">
        <f aca="false">AD3146+ROW()*0.000000001</f>
        <v>-2.74208246403884</v>
      </c>
      <c r="AG3146" s="55" t="n">
        <f aca="false">AE3146+ROW()*0.000000001</f>
        <v>45.3416058506783</v>
      </c>
    </row>
    <row r="3147" customFormat="false" ht="15" hidden="false" customHeight="false" outlineLevel="0" collapsed="false">
      <c r="A3147" s="0" t="n">
        <v>4</v>
      </c>
      <c r="B3147" s="0" t="n">
        <v>2</v>
      </c>
      <c r="C3147" s="0" t="n">
        <v>7</v>
      </c>
      <c r="D3147" s="0" t="n">
        <v>1</v>
      </c>
      <c r="E3147" s="0" t="n">
        <f aca="false">-1+A3147*0.25</f>
        <v>0</v>
      </c>
      <c r="F3147" s="0" t="n">
        <f aca="false">-1+B3147*0.25</f>
        <v>-0.5</v>
      </c>
      <c r="G3147" s="0" t="n">
        <f aca="false">-1+C3147*0.25</f>
        <v>0.75</v>
      </c>
      <c r="H3147" s="0" t="n">
        <f aca="false">-1+D3147*0.25</f>
        <v>-0.75</v>
      </c>
      <c r="I3147" s="0" t="n">
        <f aca="false">1</f>
        <v>1</v>
      </c>
      <c r="J3147" s="0" t="n">
        <f aca="false">E3147</f>
        <v>0</v>
      </c>
      <c r="K3147" s="0" t="n">
        <f aca="false">F3147</f>
        <v>-0.5</v>
      </c>
      <c r="L3147" s="0" t="n">
        <f aca="false">G3147</f>
        <v>0.75</v>
      </c>
      <c r="M3147" s="0" t="n">
        <f aca="false">H3147</f>
        <v>-0.75</v>
      </c>
      <c r="N3147" s="0" t="n">
        <f aca="false">E3147*F3147</f>
        <v>-0</v>
      </c>
      <c r="O3147" s="0" t="n">
        <f aca="false">E3147*G3147</f>
        <v>0</v>
      </c>
      <c r="P3147" s="0" t="n">
        <f aca="false">E3147*H3147</f>
        <v>-0</v>
      </c>
      <c r="Q3147" s="0" t="n">
        <f aca="false">F3147*G3147</f>
        <v>-0.375</v>
      </c>
      <c r="R3147" s="0" t="n">
        <f aca="false">F3147*H3147</f>
        <v>0.375</v>
      </c>
      <c r="S3147" s="0" t="n">
        <f aca="false">G3147*H3147</f>
        <v>-0.5625</v>
      </c>
      <c r="T3147" s="0" t="n">
        <f aca="false">E3147*E3147</f>
        <v>0</v>
      </c>
      <c r="U3147" s="0" t="n">
        <f aca="false">F3147*F3147</f>
        <v>0.25</v>
      </c>
      <c r="V3147" s="0" t="n">
        <f aca="false">G3147*G3147</f>
        <v>0.5625</v>
      </c>
      <c r="W3147" s="0" t="n">
        <f aca="false">H3147*H3147</f>
        <v>0.5625</v>
      </c>
      <c r="X3147" s="0" t="n">
        <f aca="false">SUMPRODUCT(I3147:W3147,_XtX!$B$96:$P$96)</f>
        <v>45.6907849049707</v>
      </c>
      <c r="Y3147" s="0" t="n">
        <f aca="false">SUMPRODUCT(MMULT(I3147:W3147,_XtX!$B$78:$P$92),I3147:W3147)</f>
        <v>0.269923873812135</v>
      </c>
      <c r="Z3147" s="0" t="n">
        <f aca="false">04_回帰ANOVA!$K$19*04_回帰ANOVA!$K$14*SQRT(1+Y3147)</f>
        <v>1.46888310825501</v>
      </c>
      <c r="AA3147" s="0" t="n">
        <f aca="false">X3147-Z3147</f>
        <v>44.2219017967157</v>
      </c>
      <c r="AB3147" s="0" t="n">
        <f aca="false">X3147+Z3147</f>
        <v>47.1596680132257</v>
      </c>
      <c r="AC3147" s="54" t="b">
        <f aca="false">AND(E3147&gt;=01_因子設定!$L$5-0.000000001,E3147&lt;=01_因子設定!$M$5+0.000000001,F3147&gt;=01_因子設定!$L$6-0.000000001,F3147&lt;=01_因子設定!$M$6+0.000000001,G3147&gt;=01_因子設定!$L$7-0.000000001,G3147&lt;=01_因子設定!$M$7+0.000000001,H3147&gt;=01_因子設定!$L$8-0.000000001,H3147&lt;=01_因子設定!$M$8+0.000000001,IF(01_因子設定!$B$20="Box-Behnken",E3147^2+F3147^2+G3147^2+H3147^2&lt;=2+0.000000001,TRUE()))</f>
        <v>1</v>
      </c>
      <c r="AD3147" s="55" t="n">
        <f aca="false">IF(AC3147,IF(01_因子設定!$B$13="最大化",AA3147-01_因子設定!$B$14,IF(01_因子設定!$B$13="最小化",01_因子設定!$B$15-AB3147,MIN(AA3147-01_因子設定!$B$14,01_因子設定!$B$15-AB3147))),-1E+030)</f>
        <v>-2.27809820328429</v>
      </c>
      <c r="AE3147" s="55" t="n">
        <f aca="false">IF(AC3147,IF(01_因子設定!$B$13="最大化",X3147,IF(01_因子設定!$B$13="最小化",-X3147,-ABS(X3147-01_因子設定!$B$16))),-1E+030)</f>
        <v>45.6907849049707</v>
      </c>
      <c r="AF3147" s="55" t="n">
        <f aca="false">AD3147+ROW()*0.000000001</f>
        <v>-2.27809505628429</v>
      </c>
      <c r="AG3147" s="55" t="n">
        <f aca="false">AE3147+ROW()*0.000000001</f>
        <v>45.6907880519707</v>
      </c>
    </row>
    <row r="3148" customFormat="false" ht="15" hidden="false" customHeight="false" outlineLevel="0" collapsed="false">
      <c r="A3148" s="0" t="n">
        <v>4</v>
      </c>
      <c r="B3148" s="0" t="n">
        <v>2</v>
      </c>
      <c r="C3148" s="0" t="n">
        <v>7</v>
      </c>
      <c r="D3148" s="0" t="n">
        <v>2</v>
      </c>
      <c r="E3148" s="0" t="n">
        <f aca="false">-1+A3148*0.25</f>
        <v>0</v>
      </c>
      <c r="F3148" s="0" t="n">
        <f aca="false">-1+B3148*0.25</f>
        <v>-0.5</v>
      </c>
      <c r="G3148" s="0" t="n">
        <f aca="false">-1+C3148*0.25</f>
        <v>0.75</v>
      </c>
      <c r="H3148" s="0" t="n">
        <f aca="false">-1+D3148*0.25</f>
        <v>-0.5</v>
      </c>
      <c r="I3148" s="0" t="n">
        <f aca="false">1</f>
        <v>1</v>
      </c>
      <c r="J3148" s="0" t="n">
        <f aca="false">E3148</f>
        <v>0</v>
      </c>
      <c r="K3148" s="0" t="n">
        <f aca="false">F3148</f>
        <v>-0.5</v>
      </c>
      <c r="L3148" s="0" t="n">
        <f aca="false">G3148</f>
        <v>0.75</v>
      </c>
      <c r="M3148" s="0" t="n">
        <f aca="false">H3148</f>
        <v>-0.5</v>
      </c>
      <c r="N3148" s="0" t="n">
        <f aca="false">E3148*F3148</f>
        <v>-0</v>
      </c>
      <c r="O3148" s="0" t="n">
        <f aca="false">E3148*G3148</f>
        <v>0</v>
      </c>
      <c r="P3148" s="0" t="n">
        <f aca="false">E3148*H3148</f>
        <v>-0</v>
      </c>
      <c r="Q3148" s="0" t="n">
        <f aca="false">F3148*G3148</f>
        <v>-0.375</v>
      </c>
      <c r="R3148" s="0" t="n">
        <f aca="false">F3148*H3148</f>
        <v>0.25</v>
      </c>
      <c r="S3148" s="0" t="n">
        <f aca="false">G3148*H3148</f>
        <v>-0.375</v>
      </c>
      <c r="T3148" s="0" t="n">
        <f aca="false">E3148*E3148</f>
        <v>0</v>
      </c>
      <c r="U3148" s="0" t="n">
        <f aca="false">F3148*F3148</f>
        <v>0.25</v>
      </c>
      <c r="V3148" s="0" t="n">
        <f aca="false">G3148*G3148</f>
        <v>0.5625</v>
      </c>
      <c r="W3148" s="0" t="n">
        <f aca="false">H3148*H3148</f>
        <v>0.25</v>
      </c>
      <c r="X3148" s="0" t="n">
        <f aca="false">SUMPRODUCT(I3148:W3148,_XtX!$B$96:$P$96)</f>
        <v>45.9921600877192</v>
      </c>
      <c r="Y3148" s="0" t="n">
        <f aca="false">SUMPRODUCT(MMULT(I3148:W3148,_XtX!$B$78:$P$92),I3148:W3148)</f>
        <v>0.21305052997076</v>
      </c>
      <c r="Z3148" s="0" t="n">
        <f aca="false">04_回帰ANOVA!$K$19*04_回帰ANOVA!$K$14*SQRT(1+Y3148)</f>
        <v>1.43561450835061</v>
      </c>
      <c r="AA3148" s="0" t="n">
        <f aca="false">X3148-Z3148</f>
        <v>44.5565455793686</v>
      </c>
      <c r="AB3148" s="0" t="n">
        <f aca="false">X3148+Z3148</f>
        <v>47.4277745960698</v>
      </c>
      <c r="AC3148" s="54" t="b">
        <f aca="false">AND(E3148&gt;=01_因子設定!$L$5-0.000000001,E3148&lt;=01_因子設定!$M$5+0.000000001,F3148&gt;=01_因子設定!$L$6-0.000000001,F3148&lt;=01_因子設定!$M$6+0.000000001,G3148&gt;=01_因子設定!$L$7-0.000000001,G3148&lt;=01_因子設定!$M$7+0.000000001,H3148&gt;=01_因子設定!$L$8-0.000000001,H3148&lt;=01_因子設定!$M$8+0.000000001,IF(01_因子設定!$B$20="Box-Behnken",E3148^2+F3148^2+G3148^2+H3148^2&lt;=2+0.000000001,TRUE()))</f>
        <v>1</v>
      </c>
      <c r="AD3148" s="55" t="n">
        <f aca="false">IF(AC3148,IF(01_因子設定!$B$13="最大化",AA3148-01_因子設定!$B$14,IF(01_因子設定!$B$13="最小化",01_因子設定!$B$15-AB3148,MIN(AA3148-01_因子設定!$B$14,01_因子設定!$B$15-AB3148))),-1E+030)</f>
        <v>-1.94345442063136</v>
      </c>
      <c r="AE3148" s="55" t="n">
        <f aca="false">IF(AC3148,IF(01_因子設定!$B$13="最大化",X3148,IF(01_因子設定!$B$13="最小化",-X3148,-ABS(X3148-01_因子設定!$B$16))),-1E+030)</f>
        <v>45.9921600877192</v>
      </c>
      <c r="AF3148" s="55" t="n">
        <f aca="false">AD3148+ROW()*0.000000001</f>
        <v>-1.94345127263136</v>
      </c>
      <c r="AG3148" s="55" t="n">
        <f aca="false">AE3148+ROW()*0.000000001</f>
        <v>45.9921632357192</v>
      </c>
    </row>
    <row r="3149" customFormat="false" ht="15" hidden="false" customHeight="false" outlineLevel="0" collapsed="false">
      <c r="A3149" s="0" t="n">
        <v>4</v>
      </c>
      <c r="B3149" s="0" t="n">
        <v>2</v>
      </c>
      <c r="C3149" s="0" t="n">
        <v>7</v>
      </c>
      <c r="D3149" s="0" t="n">
        <v>3</v>
      </c>
      <c r="E3149" s="0" t="n">
        <f aca="false">-1+A3149*0.25</f>
        <v>0</v>
      </c>
      <c r="F3149" s="0" t="n">
        <f aca="false">-1+B3149*0.25</f>
        <v>-0.5</v>
      </c>
      <c r="G3149" s="0" t="n">
        <f aca="false">-1+C3149*0.25</f>
        <v>0.75</v>
      </c>
      <c r="H3149" s="0" t="n">
        <f aca="false">-1+D3149*0.25</f>
        <v>-0.25</v>
      </c>
      <c r="I3149" s="0" t="n">
        <f aca="false">1</f>
        <v>1</v>
      </c>
      <c r="J3149" s="0" t="n">
        <f aca="false">E3149</f>
        <v>0</v>
      </c>
      <c r="K3149" s="0" t="n">
        <f aca="false">F3149</f>
        <v>-0.5</v>
      </c>
      <c r="L3149" s="0" t="n">
        <f aca="false">G3149</f>
        <v>0.75</v>
      </c>
      <c r="M3149" s="0" t="n">
        <f aca="false">H3149</f>
        <v>-0.25</v>
      </c>
      <c r="N3149" s="0" t="n">
        <f aca="false">E3149*F3149</f>
        <v>-0</v>
      </c>
      <c r="O3149" s="0" t="n">
        <f aca="false">E3149*G3149</f>
        <v>0</v>
      </c>
      <c r="P3149" s="0" t="n">
        <f aca="false">E3149*H3149</f>
        <v>-0</v>
      </c>
      <c r="Q3149" s="0" t="n">
        <f aca="false">F3149*G3149</f>
        <v>-0.375</v>
      </c>
      <c r="R3149" s="0" t="n">
        <f aca="false">F3149*H3149</f>
        <v>0.125</v>
      </c>
      <c r="S3149" s="0" t="n">
        <f aca="false">G3149*H3149</f>
        <v>-0.1875</v>
      </c>
      <c r="T3149" s="0" t="n">
        <f aca="false">E3149*E3149</f>
        <v>0</v>
      </c>
      <c r="U3149" s="0" t="n">
        <f aca="false">F3149*F3149</f>
        <v>0.25</v>
      </c>
      <c r="V3149" s="0" t="n">
        <f aca="false">G3149*G3149</f>
        <v>0.5625</v>
      </c>
      <c r="W3149" s="0" t="n">
        <f aca="false">H3149*H3149</f>
        <v>0.0625</v>
      </c>
      <c r="X3149" s="0" t="n">
        <f aca="false">SUMPRODUCT(I3149:W3149,_XtX!$B$96:$P$96)</f>
        <v>46.2457282529239</v>
      </c>
      <c r="Y3149" s="0" t="n">
        <f aca="false">SUMPRODUCT(MMULT(I3149:W3149,_XtX!$B$78:$P$92),I3149:W3149)</f>
        <v>0.215110734192252</v>
      </c>
      <c r="Z3149" s="0" t="n">
        <f aca="false">04_回帰ANOVA!$K$19*04_回帰ANOVA!$K$14*SQRT(1+Y3149)</f>
        <v>1.43683309086864</v>
      </c>
      <c r="AA3149" s="0" t="n">
        <f aca="false">X3149-Z3149</f>
        <v>44.8088951620553</v>
      </c>
      <c r="AB3149" s="0" t="n">
        <f aca="false">X3149+Z3149</f>
        <v>47.6825613437926</v>
      </c>
      <c r="AC3149" s="54" t="b">
        <f aca="false">AND(E3149&gt;=01_因子設定!$L$5-0.000000001,E3149&lt;=01_因子設定!$M$5+0.000000001,F3149&gt;=01_因子設定!$L$6-0.000000001,F3149&lt;=01_因子設定!$M$6+0.000000001,G3149&gt;=01_因子設定!$L$7-0.000000001,G3149&lt;=01_因子設定!$M$7+0.000000001,H3149&gt;=01_因子設定!$L$8-0.000000001,H3149&lt;=01_因子設定!$M$8+0.000000001,IF(01_因子設定!$B$20="Box-Behnken",E3149^2+F3149^2+G3149^2+H3149^2&lt;=2+0.000000001,TRUE()))</f>
        <v>1</v>
      </c>
      <c r="AD3149" s="55" t="n">
        <f aca="false">IF(AC3149,IF(01_因子設定!$B$13="最大化",AA3149-01_因子設定!$B$14,IF(01_因子設定!$B$13="最小化",01_因子設定!$B$15-AB3149,MIN(AA3149-01_因子設定!$B$14,01_因子設定!$B$15-AB3149))),-1E+030)</f>
        <v>-1.69110483794473</v>
      </c>
      <c r="AE3149" s="55" t="n">
        <f aca="false">IF(AC3149,IF(01_因子設定!$B$13="最大化",X3149,IF(01_因子設定!$B$13="最小化",-X3149,-ABS(X3149-01_因子設定!$B$16))),-1E+030)</f>
        <v>46.2457282529239</v>
      </c>
      <c r="AF3149" s="55" t="n">
        <f aca="false">AD3149+ROW()*0.000000001</f>
        <v>-1.69110168894473</v>
      </c>
      <c r="AG3149" s="55" t="n">
        <f aca="false">AE3149+ROW()*0.000000001</f>
        <v>46.2457314019239</v>
      </c>
    </row>
    <row r="3150" customFormat="false" ht="15" hidden="false" customHeight="false" outlineLevel="0" collapsed="false">
      <c r="A3150" s="0" t="n">
        <v>4</v>
      </c>
      <c r="B3150" s="0" t="n">
        <v>2</v>
      </c>
      <c r="C3150" s="0" t="n">
        <v>7</v>
      </c>
      <c r="D3150" s="0" t="n">
        <v>4</v>
      </c>
      <c r="E3150" s="0" t="n">
        <f aca="false">-1+A3150*0.25</f>
        <v>0</v>
      </c>
      <c r="F3150" s="0" t="n">
        <f aca="false">-1+B3150*0.25</f>
        <v>-0.5</v>
      </c>
      <c r="G3150" s="0" t="n">
        <f aca="false">-1+C3150*0.25</f>
        <v>0.75</v>
      </c>
      <c r="H3150" s="0" t="n">
        <f aca="false">-1+D3150*0.25</f>
        <v>0</v>
      </c>
      <c r="I3150" s="0" t="n">
        <f aca="false">1</f>
        <v>1</v>
      </c>
      <c r="J3150" s="0" t="n">
        <f aca="false">E3150</f>
        <v>0</v>
      </c>
      <c r="K3150" s="0" t="n">
        <f aca="false">F3150</f>
        <v>-0.5</v>
      </c>
      <c r="L3150" s="0" t="n">
        <f aca="false">G3150</f>
        <v>0.75</v>
      </c>
      <c r="M3150" s="0" t="n">
        <f aca="false">H3150</f>
        <v>0</v>
      </c>
      <c r="N3150" s="0" t="n">
        <f aca="false">E3150*F3150</f>
        <v>-0</v>
      </c>
      <c r="O3150" s="0" t="n">
        <f aca="false">E3150*G3150</f>
        <v>0</v>
      </c>
      <c r="P3150" s="0" t="n">
        <f aca="false">E3150*H3150</f>
        <v>0</v>
      </c>
      <c r="Q3150" s="0" t="n">
        <f aca="false">F3150*G3150</f>
        <v>-0.375</v>
      </c>
      <c r="R3150" s="0" t="n">
        <f aca="false">F3150*H3150</f>
        <v>-0</v>
      </c>
      <c r="S3150" s="0" t="n">
        <f aca="false">G3150*H3150</f>
        <v>0</v>
      </c>
      <c r="T3150" s="0" t="n">
        <f aca="false">E3150*E3150</f>
        <v>0</v>
      </c>
      <c r="U3150" s="0" t="n">
        <f aca="false">F3150*F3150</f>
        <v>0.25</v>
      </c>
      <c r="V3150" s="0" t="n">
        <f aca="false">G3150*G3150</f>
        <v>0.5625</v>
      </c>
      <c r="W3150" s="0" t="n">
        <f aca="false">H3150*H3150</f>
        <v>0</v>
      </c>
      <c r="X3150" s="0" t="n">
        <f aca="false">SUMPRODUCT(I3150:W3150,_XtX!$B$96:$P$96)</f>
        <v>46.4514894005847</v>
      </c>
      <c r="Y3150" s="0" t="n">
        <f aca="false">SUMPRODUCT(MMULT(I3150:W3150,_XtX!$B$78:$P$92),I3150:W3150)</f>
        <v>0.221828170687135</v>
      </c>
      <c r="Z3150" s="0" t="n">
        <f aca="false">04_回帰ANOVA!$K$19*04_回帰ANOVA!$K$14*SQRT(1+Y3150)</f>
        <v>1.44079920361664</v>
      </c>
      <c r="AA3150" s="0" t="n">
        <f aca="false">X3150-Z3150</f>
        <v>45.0106901969681</v>
      </c>
      <c r="AB3150" s="0" t="n">
        <f aca="false">X3150+Z3150</f>
        <v>47.8922886042014</v>
      </c>
      <c r="AC3150" s="54" t="b">
        <f aca="false">AND(E3150&gt;=01_因子設定!$L$5-0.000000001,E3150&lt;=01_因子設定!$M$5+0.000000001,F3150&gt;=01_因子設定!$L$6-0.000000001,F3150&lt;=01_因子設定!$M$6+0.000000001,G3150&gt;=01_因子設定!$L$7-0.000000001,G3150&lt;=01_因子設定!$M$7+0.000000001,H3150&gt;=01_因子設定!$L$8-0.000000001,H3150&lt;=01_因子設定!$M$8+0.000000001,IF(01_因子設定!$B$20="Box-Behnken",E3150^2+F3150^2+G3150^2+H3150^2&lt;=2+0.000000001,TRUE()))</f>
        <v>1</v>
      </c>
      <c r="AD3150" s="55" t="n">
        <f aca="false">IF(AC3150,IF(01_因子設定!$B$13="最大化",AA3150-01_因子設定!$B$14,IF(01_因子設定!$B$13="最小化",01_因子設定!$B$15-AB3150,MIN(AA3150-01_因子設定!$B$14,01_因子設定!$B$15-AB3150))),-1E+030)</f>
        <v>-1.48930980303191</v>
      </c>
      <c r="AE3150" s="55" t="n">
        <f aca="false">IF(AC3150,IF(01_因子設定!$B$13="最大化",X3150,IF(01_因子設定!$B$13="最小化",-X3150,-ABS(X3150-01_因子設定!$B$16))),-1E+030)</f>
        <v>46.4514894005847</v>
      </c>
      <c r="AF3150" s="55" t="n">
        <f aca="false">AD3150+ROW()*0.000000001</f>
        <v>-1.48930665303191</v>
      </c>
      <c r="AG3150" s="55" t="n">
        <f aca="false">AE3150+ROW()*0.000000001</f>
        <v>46.4514925505847</v>
      </c>
    </row>
    <row r="3151" customFormat="false" ht="15" hidden="false" customHeight="false" outlineLevel="0" collapsed="false">
      <c r="A3151" s="0" t="n">
        <v>4</v>
      </c>
      <c r="B3151" s="0" t="n">
        <v>2</v>
      </c>
      <c r="C3151" s="0" t="n">
        <v>7</v>
      </c>
      <c r="D3151" s="0" t="n">
        <v>5</v>
      </c>
      <c r="E3151" s="0" t="n">
        <f aca="false">-1+A3151*0.25</f>
        <v>0</v>
      </c>
      <c r="F3151" s="0" t="n">
        <f aca="false">-1+B3151*0.25</f>
        <v>-0.5</v>
      </c>
      <c r="G3151" s="0" t="n">
        <f aca="false">-1+C3151*0.25</f>
        <v>0.75</v>
      </c>
      <c r="H3151" s="0" t="n">
        <f aca="false">-1+D3151*0.25</f>
        <v>0.25</v>
      </c>
      <c r="I3151" s="0" t="n">
        <f aca="false">1</f>
        <v>1</v>
      </c>
      <c r="J3151" s="0" t="n">
        <f aca="false">E3151</f>
        <v>0</v>
      </c>
      <c r="K3151" s="0" t="n">
        <f aca="false">F3151</f>
        <v>-0.5</v>
      </c>
      <c r="L3151" s="0" t="n">
        <f aca="false">G3151</f>
        <v>0.75</v>
      </c>
      <c r="M3151" s="0" t="n">
        <f aca="false">H3151</f>
        <v>0.25</v>
      </c>
      <c r="N3151" s="0" t="n">
        <f aca="false">E3151*F3151</f>
        <v>-0</v>
      </c>
      <c r="O3151" s="0" t="n">
        <f aca="false">E3151*G3151</f>
        <v>0</v>
      </c>
      <c r="P3151" s="0" t="n">
        <f aca="false">E3151*H3151</f>
        <v>0</v>
      </c>
      <c r="Q3151" s="0" t="n">
        <f aca="false">F3151*G3151</f>
        <v>-0.375</v>
      </c>
      <c r="R3151" s="0" t="n">
        <f aca="false">F3151*H3151</f>
        <v>-0.125</v>
      </c>
      <c r="S3151" s="0" t="n">
        <f aca="false">G3151*H3151</f>
        <v>0.1875</v>
      </c>
      <c r="T3151" s="0" t="n">
        <f aca="false">E3151*E3151</f>
        <v>0</v>
      </c>
      <c r="U3151" s="0" t="n">
        <f aca="false">F3151*F3151</f>
        <v>0.25</v>
      </c>
      <c r="V3151" s="0" t="n">
        <f aca="false">G3151*G3151</f>
        <v>0.5625</v>
      </c>
      <c r="W3151" s="0" t="n">
        <f aca="false">H3151*H3151</f>
        <v>0.0625</v>
      </c>
      <c r="X3151" s="0" t="n">
        <f aca="false">SUMPRODUCT(I3151:W3151,_XtX!$B$96:$P$96)</f>
        <v>46.6094435307017</v>
      </c>
      <c r="Y3151" s="0" t="n">
        <f aca="false">SUMPRODUCT(MMULT(I3151:W3151,_XtX!$B$78:$P$92),I3151:W3151)</f>
        <v>0.215110734192252</v>
      </c>
      <c r="Z3151" s="0" t="n">
        <f aca="false">04_回帰ANOVA!$K$19*04_回帰ANOVA!$K$14*SQRT(1+Y3151)</f>
        <v>1.43683309086864</v>
      </c>
      <c r="AA3151" s="0" t="n">
        <f aca="false">X3151-Z3151</f>
        <v>45.172610439833</v>
      </c>
      <c r="AB3151" s="0" t="n">
        <f aca="false">X3151+Z3151</f>
        <v>48.0462766215703</v>
      </c>
      <c r="AC3151" s="54" t="b">
        <f aca="false">AND(E3151&gt;=01_因子設定!$L$5-0.000000001,E3151&lt;=01_因子設定!$M$5+0.000000001,F3151&gt;=01_因子設定!$L$6-0.000000001,F3151&lt;=01_因子設定!$M$6+0.000000001,G3151&gt;=01_因子設定!$L$7-0.000000001,G3151&lt;=01_因子設定!$M$7+0.000000001,H3151&gt;=01_因子設定!$L$8-0.000000001,H3151&lt;=01_因子設定!$M$8+0.000000001,IF(01_因子設定!$B$20="Box-Behnken",E3151^2+F3151^2+G3151^2+H3151^2&lt;=2+0.000000001,TRUE()))</f>
        <v>1</v>
      </c>
      <c r="AD3151" s="55" t="n">
        <f aca="false">IF(AC3151,IF(01_因子設定!$B$13="最大化",AA3151-01_因子設定!$B$14,IF(01_因子設定!$B$13="最小化",01_因子設定!$B$15-AB3151,MIN(AA3151-01_因子設定!$B$14,01_因子設定!$B$15-AB3151))),-1E+030)</f>
        <v>-1.32738956016696</v>
      </c>
      <c r="AE3151" s="55" t="n">
        <f aca="false">IF(AC3151,IF(01_因子設定!$B$13="最大化",X3151,IF(01_因子設定!$B$13="最小化",-X3151,-ABS(X3151-01_因子設定!$B$16))),-1E+030)</f>
        <v>46.6094435307017</v>
      </c>
      <c r="AF3151" s="55" t="n">
        <f aca="false">AD3151+ROW()*0.000000001</f>
        <v>-1.32738640916696</v>
      </c>
      <c r="AG3151" s="55" t="n">
        <f aca="false">AE3151+ROW()*0.000000001</f>
        <v>46.6094466817017</v>
      </c>
    </row>
    <row r="3152" customFormat="false" ht="15" hidden="false" customHeight="false" outlineLevel="0" collapsed="false">
      <c r="A3152" s="0" t="n">
        <v>4</v>
      </c>
      <c r="B3152" s="0" t="n">
        <v>2</v>
      </c>
      <c r="C3152" s="0" t="n">
        <v>7</v>
      </c>
      <c r="D3152" s="0" t="n">
        <v>6</v>
      </c>
      <c r="E3152" s="0" t="n">
        <f aca="false">-1+A3152*0.25</f>
        <v>0</v>
      </c>
      <c r="F3152" s="0" t="n">
        <f aca="false">-1+B3152*0.25</f>
        <v>-0.5</v>
      </c>
      <c r="G3152" s="0" t="n">
        <f aca="false">-1+C3152*0.25</f>
        <v>0.75</v>
      </c>
      <c r="H3152" s="0" t="n">
        <f aca="false">-1+D3152*0.25</f>
        <v>0.5</v>
      </c>
      <c r="I3152" s="0" t="n">
        <f aca="false">1</f>
        <v>1</v>
      </c>
      <c r="J3152" s="0" t="n">
        <f aca="false">E3152</f>
        <v>0</v>
      </c>
      <c r="K3152" s="0" t="n">
        <f aca="false">F3152</f>
        <v>-0.5</v>
      </c>
      <c r="L3152" s="0" t="n">
        <f aca="false">G3152</f>
        <v>0.75</v>
      </c>
      <c r="M3152" s="0" t="n">
        <f aca="false">H3152</f>
        <v>0.5</v>
      </c>
      <c r="N3152" s="0" t="n">
        <f aca="false">E3152*F3152</f>
        <v>-0</v>
      </c>
      <c r="O3152" s="0" t="n">
        <f aca="false">E3152*G3152</f>
        <v>0</v>
      </c>
      <c r="P3152" s="0" t="n">
        <f aca="false">E3152*H3152</f>
        <v>0</v>
      </c>
      <c r="Q3152" s="0" t="n">
        <f aca="false">F3152*G3152</f>
        <v>-0.375</v>
      </c>
      <c r="R3152" s="0" t="n">
        <f aca="false">F3152*H3152</f>
        <v>-0.25</v>
      </c>
      <c r="S3152" s="0" t="n">
        <f aca="false">G3152*H3152</f>
        <v>0.375</v>
      </c>
      <c r="T3152" s="0" t="n">
        <f aca="false">E3152*E3152</f>
        <v>0</v>
      </c>
      <c r="U3152" s="0" t="n">
        <f aca="false">F3152*F3152</f>
        <v>0.25</v>
      </c>
      <c r="V3152" s="0" t="n">
        <f aca="false">G3152*G3152</f>
        <v>0.5625</v>
      </c>
      <c r="W3152" s="0" t="n">
        <f aca="false">H3152*H3152</f>
        <v>0.25</v>
      </c>
      <c r="X3152" s="0" t="n">
        <f aca="false">SUMPRODUCT(I3152:W3152,_XtX!$B$96:$P$96)</f>
        <v>46.7195906432748</v>
      </c>
      <c r="Y3152" s="0" t="n">
        <f aca="false">SUMPRODUCT(MMULT(I3152:W3152,_XtX!$B$78:$P$92),I3152:W3152)</f>
        <v>0.21305052997076</v>
      </c>
      <c r="Z3152" s="0" t="n">
        <f aca="false">04_回帰ANOVA!$K$19*04_回帰ANOVA!$K$14*SQRT(1+Y3152)</f>
        <v>1.43561450835061</v>
      </c>
      <c r="AA3152" s="0" t="n">
        <f aca="false">X3152-Z3152</f>
        <v>45.2839761349242</v>
      </c>
      <c r="AB3152" s="0" t="n">
        <f aca="false">X3152+Z3152</f>
        <v>48.1552051516254</v>
      </c>
      <c r="AC3152" s="54" t="b">
        <f aca="false">AND(E3152&gt;=01_因子設定!$L$5-0.000000001,E3152&lt;=01_因子設定!$M$5+0.000000001,F3152&gt;=01_因子設定!$L$6-0.000000001,F3152&lt;=01_因子設定!$M$6+0.000000001,G3152&gt;=01_因子設定!$L$7-0.000000001,G3152&lt;=01_因子設定!$M$7+0.000000001,H3152&gt;=01_因子設定!$L$8-0.000000001,H3152&lt;=01_因子設定!$M$8+0.000000001,IF(01_因子設定!$B$20="Box-Behnken",E3152^2+F3152^2+G3152^2+H3152^2&lt;=2+0.000000001,TRUE()))</f>
        <v>1</v>
      </c>
      <c r="AD3152" s="55" t="n">
        <f aca="false">IF(AC3152,IF(01_因子設定!$B$13="最大化",AA3152-01_因子設定!$B$14,IF(01_因子設定!$B$13="最小化",01_因子設定!$B$15-AB3152,MIN(AA3152-01_因子設定!$B$14,01_因子設定!$B$15-AB3152))),-1E+030)</f>
        <v>-1.2160238650758</v>
      </c>
      <c r="AE3152" s="55" t="n">
        <f aca="false">IF(AC3152,IF(01_因子設定!$B$13="最大化",X3152,IF(01_因子設定!$B$13="最小化",-X3152,-ABS(X3152-01_因子設定!$B$16))),-1E+030)</f>
        <v>46.7195906432748</v>
      </c>
      <c r="AF3152" s="55" t="n">
        <f aca="false">AD3152+ROW()*0.000000001</f>
        <v>-1.2160207130758</v>
      </c>
      <c r="AG3152" s="55" t="n">
        <f aca="false">AE3152+ROW()*0.000000001</f>
        <v>46.7195937952748</v>
      </c>
    </row>
    <row r="3153" customFormat="false" ht="15" hidden="false" customHeight="false" outlineLevel="0" collapsed="false">
      <c r="A3153" s="0" t="n">
        <v>4</v>
      </c>
      <c r="B3153" s="0" t="n">
        <v>2</v>
      </c>
      <c r="C3153" s="0" t="n">
        <v>7</v>
      </c>
      <c r="D3153" s="0" t="n">
        <v>7</v>
      </c>
      <c r="E3153" s="0" t="n">
        <f aca="false">-1+A3153*0.25</f>
        <v>0</v>
      </c>
      <c r="F3153" s="0" t="n">
        <f aca="false">-1+B3153*0.25</f>
        <v>-0.5</v>
      </c>
      <c r="G3153" s="0" t="n">
        <f aca="false">-1+C3153*0.25</f>
        <v>0.75</v>
      </c>
      <c r="H3153" s="0" t="n">
        <f aca="false">-1+D3153*0.25</f>
        <v>0.75</v>
      </c>
      <c r="I3153" s="0" t="n">
        <f aca="false">1</f>
        <v>1</v>
      </c>
      <c r="J3153" s="0" t="n">
        <f aca="false">E3153</f>
        <v>0</v>
      </c>
      <c r="K3153" s="0" t="n">
        <f aca="false">F3153</f>
        <v>-0.5</v>
      </c>
      <c r="L3153" s="0" t="n">
        <f aca="false">G3153</f>
        <v>0.75</v>
      </c>
      <c r="M3153" s="0" t="n">
        <f aca="false">H3153</f>
        <v>0.75</v>
      </c>
      <c r="N3153" s="0" t="n">
        <f aca="false">E3153*F3153</f>
        <v>-0</v>
      </c>
      <c r="O3153" s="0" t="n">
        <f aca="false">E3153*G3153</f>
        <v>0</v>
      </c>
      <c r="P3153" s="0" t="n">
        <f aca="false">E3153*H3153</f>
        <v>0</v>
      </c>
      <c r="Q3153" s="0" t="n">
        <f aca="false">F3153*G3153</f>
        <v>-0.375</v>
      </c>
      <c r="R3153" s="0" t="n">
        <f aca="false">F3153*H3153</f>
        <v>-0.375</v>
      </c>
      <c r="S3153" s="0" t="n">
        <f aca="false">G3153*H3153</f>
        <v>0.5625</v>
      </c>
      <c r="T3153" s="0" t="n">
        <f aca="false">E3153*E3153</f>
        <v>0</v>
      </c>
      <c r="U3153" s="0" t="n">
        <f aca="false">F3153*F3153</f>
        <v>0.25</v>
      </c>
      <c r="V3153" s="0" t="n">
        <f aca="false">G3153*G3153</f>
        <v>0.5625</v>
      </c>
      <c r="W3153" s="0" t="n">
        <f aca="false">H3153*H3153</f>
        <v>0.5625</v>
      </c>
      <c r="X3153" s="0" t="n">
        <f aca="false">SUMPRODUCT(I3153:W3153,_XtX!$B$96:$P$96)</f>
        <v>46.7819307383041</v>
      </c>
      <c r="Y3153" s="0" t="n">
        <f aca="false">SUMPRODUCT(MMULT(I3153:W3153,_XtX!$B$78:$P$92),I3153:W3153)</f>
        <v>0.269923873812135</v>
      </c>
      <c r="Z3153" s="0" t="n">
        <f aca="false">04_回帰ANOVA!$K$19*04_回帰ANOVA!$K$14*SQRT(1+Y3153)</f>
        <v>1.46888310825501</v>
      </c>
      <c r="AA3153" s="0" t="n">
        <f aca="false">X3153-Z3153</f>
        <v>45.313047630049</v>
      </c>
      <c r="AB3153" s="0" t="n">
        <f aca="false">X3153+Z3153</f>
        <v>48.2508138465591</v>
      </c>
      <c r="AC3153" s="54" t="b">
        <f aca="false">AND(E3153&gt;=01_因子設定!$L$5-0.000000001,E3153&lt;=01_因子設定!$M$5+0.000000001,F3153&gt;=01_因子設定!$L$6-0.000000001,F3153&lt;=01_因子設定!$M$6+0.000000001,G3153&gt;=01_因子設定!$L$7-0.000000001,G3153&lt;=01_因子設定!$M$7+0.000000001,H3153&gt;=01_因子設定!$L$8-0.000000001,H3153&lt;=01_因子設定!$M$8+0.000000001,IF(01_因子設定!$B$20="Box-Behnken",E3153^2+F3153^2+G3153^2+H3153^2&lt;=2+0.000000001,TRUE()))</f>
        <v>1</v>
      </c>
      <c r="AD3153" s="55" t="n">
        <f aca="false">IF(AC3153,IF(01_因子設定!$B$13="最大化",AA3153-01_因子設定!$B$14,IF(01_因子設定!$B$13="最小化",01_因子設定!$B$15-AB3153,MIN(AA3153-01_因子設定!$B$14,01_因子設定!$B$15-AB3153))),-1E+030)</f>
        <v>-1.18695236995096</v>
      </c>
      <c r="AE3153" s="55" t="n">
        <f aca="false">IF(AC3153,IF(01_因子設定!$B$13="最大化",X3153,IF(01_因子設定!$B$13="最小化",-X3153,-ABS(X3153-01_因子設定!$B$16))),-1E+030)</f>
        <v>46.7819307383041</v>
      </c>
      <c r="AF3153" s="55" t="n">
        <f aca="false">AD3153+ROW()*0.000000001</f>
        <v>-1.18694921695096</v>
      </c>
      <c r="AG3153" s="55" t="n">
        <f aca="false">AE3153+ROW()*0.000000001</f>
        <v>46.7819338913041</v>
      </c>
    </row>
    <row r="3154" customFormat="false" ht="15" hidden="false" customHeight="false" outlineLevel="0" collapsed="false">
      <c r="A3154" s="0" t="n">
        <v>4</v>
      </c>
      <c r="B3154" s="0" t="n">
        <v>2</v>
      </c>
      <c r="C3154" s="0" t="n">
        <v>7</v>
      </c>
      <c r="D3154" s="0" t="n">
        <v>8</v>
      </c>
      <c r="E3154" s="0" t="n">
        <f aca="false">-1+A3154*0.25</f>
        <v>0</v>
      </c>
      <c r="F3154" s="0" t="n">
        <f aca="false">-1+B3154*0.25</f>
        <v>-0.5</v>
      </c>
      <c r="G3154" s="0" t="n">
        <f aca="false">-1+C3154*0.25</f>
        <v>0.75</v>
      </c>
      <c r="H3154" s="0" t="n">
        <f aca="false">-1+D3154*0.25</f>
        <v>1</v>
      </c>
      <c r="I3154" s="0" t="n">
        <f aca="false">1</f>
        <v>1</v>
      </c>
      <c r="J3154" s="0" t="n">
        <f aca="false">E3154</f>
        <v>0</v>
      </c>
      <c r="K3154" s="0" t="n">
        <f aca="false">F3154</f>
        <v>-0.5</v>
      </c>
      <c r="L3154" s="0" t="n">
        <f aca="false">G3154</f>
        <v>0.75</v>
      </c>
      <c r="M3154" s="0" t="n">
        <f aca="false">H3154</f>
        <v>1</v>
      </c>
      <c r="N3154" s="0" t="n">
        <f aca="false">E3154*F3154</f>
        <v>-0</v>
      </c>
      <c r="O3154" s="0" t="n">
        <f aca="false">E3154*G3154</f>
        <v>0</v>
      </c>
      <c r="P3154" s="0" t="n">
        <f aca="false">E3154*H3154</f>
        <v>0</v>
      </c>
      <c r="Q3154" s="0" t="n">
        <f aca="false">F3154*G3154</f>
        <v>-0.375</v>
      </c>
      <c r="R3154" s="0" t="n">
        <f aca="false">F3154*H3154</f>
        <v>-0.5</v>
      </c>
      <c r="S3154" s="0" t="n">
        <f aca="false">G3154*H3154</f>
        <v>0.75</v>
      </c>
      <c r="T3154" s="0" t="n">
        <f aca="false">E3154*E3154</f>
        <v>0</v>
      </c>
      <c r="U3154" s="0" t="n">
        <f aca="false">F3154*F3154</f>
        <v>0.25</v>
      </c>
      <c r="V3154" s="0" t="n">
        <f aca="false">G3154*G3154</f>
        <v>0.5625</v>
      </c>
      <c r="W3154" s="0" t="n">
        <f aca="false">H3154*H3154</f>
        <v>1</v>
      </c>
      <c r="X3154" s="0" t="n">
        <f aca="false">SUMPRODUCT(I3154:W3154,_XtX!$B$96:$P$96)</f>
        <v>46.7964638157894</v>
      </c>
      <c r="Y3154" s="0" t="n">
        <f aca="false">SUMPRODUCT(MMULT(I3154:W3154,_XtX!$B$78:$P$92),I3154:W3154)</f>
        <v>0.476191292032164</v>
      </c>
      <c r="Z3154" s="0" t="n">
        <f aca="false">04_回帰ANOVA!$K$19*04_回帰ANOVA!$K$14*SQRT(1+Y3154)</f>
        <v>1.58368831471718</v>
      </c>
      <c r="AA3154" s="0" t="n">
        <f aca="false">X3154-Z3154</f>
        <v>45.2127755010723</v>
      </c>
      <c r="AB3154" s="0" t="n">
        <f aca="false">X3154+Z3154</f>
        <v>48.3801521305066</v>
      </c>
      <c r="AC3154" s="54" t="b">
        <f aca="false">AND(E3154&gt;=01_因子設定!$L$5-0.000000001,E3154&lt;=01_因子設定!$M$5+0.000000001,F3154&gt;=01_因子設定!$L$6-0.000000001,F3154&lt;=01_因子設定!$M$6+0.000000001,G3154&gt;=01_因子設定!$L$7-0.000000001,G3154&lt;=01_因子設定!$M$7+0.000000001,H3154&gt;=01_因子設定!$L$8-0.000000001,H3154&lt;=01_因子設定!$M$8+0.000000001,IF(01_因子設定!$B$20="Box-Behnken",E3154^2+F3154^2+G3154^2+H3154^2&lt;=2+0.000000001,TRUE()))</f>
        <v>1</v>
      </c>
      <c r="AD3154" s="55" t="n">
        <f aca="false">IF(AC3154,IF(01_因子設定!$B$13="最大化",AA3154-01_因子設定!$B$14,IF(01_因子設定!$B$13="最小化",01_因子設定!$B$15-AB3154,MIN(AA3154-01_因子設定!$B$14,01_因子設定!$B$15-AB3154))),-1E+030)</f>
        <v>-1.28722449892773</v>
      </c>
      <c r="AE3154" s="55" t="n">
        <f aca="false">IF(AC3154,IF(01_因子設定!$B$13="最大化",X3154,IF(01_因子設定!$B$13="最小化",-X3154,-ABS(X3154-01_因子設定!$B$16))),-1E+030)</f>
        <v>46.7964638157894</v>
      </c>
      <c r="AF3154" s="55" t="n">
        <f aca="false">AD3154+ROW()*0.000000001</f>
        <v>-1.28722134492773</v>
      </c>
      <c r="AG3154" s="55" t="n">
        <f aca="false">AE3154+ROW()*0.000000001</f>
        <v>46.7964669697894</v>
      </c>
    </row>
    <row r="3155" customFormat="false" ht="15" hidden="false" customHeight="false" outlineLevel="0" collapsed="false">
      <c r="A3155" s="0" t="n">
        <v>4</v>
      </c>
      <c r="B3155" s="0" t="n">
        <v>2</v>
      </c>
      <c r="C3155" s="0" t="n">
        <v>8</v>
      </c>
      <c r="D3155" s="0" t="n">
        <v>0</v>
      </c>
      <c r="E3155" s="0" t="n">
        <f aca="false">-1+A3155*0.25</f>
        <v>0</v>
      </c>
      <c r="F3155" s="0" t="n">
        <f aca="false">-1+B3155*0.25</f>
        <v>-0.5</v>
      </c>
      <c r="G3155" s="0" t="n">
        <f aca="false">-1+C3155*0.25</f>
        <v>1</v>
      </c>
      <c r="H3155" s="0" t="n">
        <f aca="false">-1+D3155*0.25</f>
        <v>-1</v>
      </c>
      <c r="I3155" s="0" t="n">
        <f aca="false">1</f>
        <v>1</v>
      </c>
      <c r="J3155" s="0" t="n">
        <f aca="false">E3155</f>
        <v>0</v>
      </c>
      <c r="K3155" s="0" t="n">
        <f aca="false">F3155</f>
        <v>-0.5</v>
      </c>
      <c r="L3155" s="0" t="n">
        <f aca="false">G3155</f>
        <v>1</v>
      </c>
      <c r="M3155" s="0" t="n">
        <f aca="false">H3155</f>
        <v>-1</v>
      </c>
      <c r="N3155" s="0" t="n">
        <f aca="false">E3155*F3155</f>
        <v>-0</v>
      </c>
      <c r="O3155" s="0" t="n">
        <f aca="false">E3155*G3155</f>
        <v>0</v>
      </c>
      <c r="P3155" s="0" t="n">
        <f aca="false">E3155*H3155</f>
        <v>-0</v>
      </c>
      <c r="Q3155" s="0" t="n">
        <f aca="false">F3155*G3155</f>
        <v>-0.5</v>
      </c>
      <c r="R3155" s="0" t="n">
        <f aca="false">F3155*H3155</f>
        <v>0.5</v>
      </c>
      <c r="S3155" s="0" t="n">
        <f aca="false">G3155*H3155</f>
        <v>-1</v>
      </c>
      <c r="T3155" s="0" t="n">
        <f aca="false">E3155*E3155</f>
        <v>0</v>
      </c>
      <c r="U3155" s="0" t="n">
        <f aca="false">F3155*F3155</f>
        <v>0.25</v>
      </c>
      <c r="V3155" s="0" t="n">
        <f aca="false">G3155*G3155</f>
        <v>1</v>
      </c>
      <c r="W3155" s="0" t="n">
        <f aca="false">H3155*H3155</f>
        <v>1</v>
      </c>
      <c r="X3155" s="0" t="n">
        <f aca="false">SUMPRODUCT(I3155:W3155,_XtX!$B$96:$P$96)</f>
        <v>45.1779239766082</v>
      </c>
      <c r="Y3155" s="0" t="n">
        <f aca="false">SUMPRODUCT(MMULT(I3155:W3155,_XtX!$B$78:$P$92),I3155:W3155)</f>
        <v>0.650767543859649</v>
      </c>
      <c r="Z3155" s="0" t="n">
        <f aca="false">04_回帰ANOVA!$K$19*04_回帰ANOVA!$K$14*SQRT(1+Y3155)</f>
        <v>1.67471670935165</v>
      </c>
      <c r="AA3155" s="0" t="n">
        <f aca="false">X3155-Z3155</f>
        <v>43.5032072672565</v>
      </c>
      <c r="AB3155" s="0" t="n">
        <f aca="false">X3155+Z3155</f>
        <v>46.8526406859598</v>
      </c>
      <c r="AC3155" s="54" t="b">
        <f aca="false">AND(E3155&gt;=01_因子設定!$L$5-0.000000001,E3155&lt;=01_因子設定!$M$5+0.000000001,F3155&gt;=01_因子設定!$L$6-0.000000001,F3155&lt;=01_因子設定!$M$6+0.000000001,G3155&gt;=01_因子設定!$L$7-0.000000001,G3155&lt;=01_因子設定!$M$7+0.000000001,H3155&gt;=01_因子設定!$L$8-0.000000001,H3155&lt;=01_因子設定!$M$8+0.000000001,IF(01_因子設定!$B$20="Box-Behnken",E3155^2+F3155^2+G3155^2+H3155^2&lt;=2+0.000000001,TRUE()))</f>
        <v>1</v>
      </c>
      <c r="AD3155" s="55" t="n">
        <f aca="false">IF(AC3155,IF(01_因子設定!$B$13="最大化",AA3155-01_因子設定!$B$14,IF(01_因子設定!$B$13="最小化",01_因子設定!$B$15-AB3155,MIN(AA3155-01_因子設定!$B$14,01_因子設定!$B$15-AB3155))),-1E+030)</f>
        <v>-2.99679273274349</v>
      </c>
      <c r="AE3155" s="55" t="n">
        <f aca="false">IF(AC3155,IF(01_因子設定!$B$13="最大化",X3155,IF(01_因子設定!$B$13="最小化",-X3155,-ABS(X3155-01_因子設定!$B$16))),-1E+030)</f>
        <v>45.1779239766082</v>
      </c>
      <c r="AF3155" s="55" t="n">
        <f aca="false">AD3155+ROW()*0.000000001</f>
        <v>-2.99678957774349</v>
      </c>
      <c r="AG3155" s="55" t="n">
        <f aca="false">AE3155+ROW()*0.000000001</f>
        <v>45.1779271316082</v>
      </c>
    </row>
    <row r="3156" customFormat="false" ht="15" hidden="false" customHeight="false" outlineLevel="0" collapsed="false">
      <c r="A3156" s="0" t="n">
        <v>4</v>
      </c>
      <c r="B3156" s="0" t="n">
        <v>2</v>
      </c>
      <c r="C3156" s="0" t="n">
        <v>8</v>
      </c>
      <c r="D3156" s="0" t="n">
        <v>1</v>
      </c>
      <c r="E3156" s="0" t="n">
        <f aca="false">-1+A3156*0.25</f>
        <v>0</v>
      </c>
      <c r="F3156" s="0" t="n">
        <f aca="false">-1+B3156*0.25</f>
        <v>-0.5</v>
      </c>
      <c r="G3156" s="0" t="n">
        <f aca="false">-1+C3156*0.25</f>
        <v>1</v>
      </c>
      <c r="H3156" s="0" t="n">
        <f aca="false">-1+D3156*0.25</f>
        <v>-0.75</v>
      </c>
      <c r="I3156" s="0" t="n">
        <f aca="false">1</f>
        <v>1</v>
      </c>
      <c r="J3156" s="0" t="n">
        <f aca="false">E3156</f>
        <v>0</v>
      </c>
      <c r="K3156" s="0" t="n">
        <f aca="false">F3156</f>
        <v>-0.5</v>
      </c>
      <c r="L3156" s="0" t="n">
        <f aca="false">G3156</f>
        <v>1</v>
      </c>
      <c r="M3156" s="0" t="n">
        <f aca="false">H3156</f>
        <v>-0.75</v>
      </c>
      <c r="N3156" s="0" t="n">
        <f aca="false">E3156*F3156</f>
        <v>-0</v>
      </c>
      <c r="O3156" s="0" t="n">
        <f aca="false">E3156*G3156</f>
        <v>0</v>
      </c>
      <c r="P3156" s="0" t="n">
        <f aca="false">E3156*H3156</f>
        <v>-0</v>
      </c>
      <c r="Q3156" s="0" t="n">
        <f aca="false">F3156*G3156</f>
        <v>-0.5</v>
      </c>
      <c r="R3156" s="0" t="n">
        <f aca="false">F3156*H3156</f>
        <v>0.375</v>
      </c>
      <c r="S3156" s="0" t="n">
        <f aca="false">G3156*H3156</f>
        <v>-0.75</v>
      </c>
      <c r="T3156" s="0" t="n">
        <f aca="false">E3156*E3156</f>
        <v>0</v>
      </c>
      <c r="U3156" s="0" t="n">
        <f aca="false">F3156*F3156</f>
        <v>0.25</v>
      </c>
      <c r="V3156" s="0" t="n">
        <f aca="false">G3156*G3156</f>
        <v>1</v>
      </c>
      <c r="W3156" s="0" t="n">
        <f aca="false">H3156*H3156</f>
        <v>0.5625</v>
      </c>
      <c r="X3156" s="0" t="n">
        <f aca="false">SUMPRODUCT(I3156:W3156,_XtX!$B$96:$P$96)</f>
        <v>45.5450749269006</v>
      </c>
      <c r="Y3156" s="0" t="n">
        <f aca="false">SUMPRODUCT(MMULT(I3156:W3156,_XtX!$B$78:$P$92),I3156:W3156)</f>
        <v>0.476191292032164</v>
      </c>
      <c r="Z3156" s="0" t="n">
        <f aca="false">04_回帰ANOVA!$K$19*04_回帰ANOVA!$K$14*SQRT(1+Y3156)</f>
        <v>1.58368831471718</v>
      </c>
      <c r="AA3156" s="0" t="n">
        <f aca="false">X3156-Z3156</f>
        <v>43.9613866121834</v>
      </c>
      <c r="AB3156" s="0" t="n">
        <f aca="false">X3156+Z3156</f>
        <v>47.1287632416177</v>
      </c>
      <c r="AC3156" s="54" t="b">
        <f aca="false">AND(E3156&gt;=01_因子設定!$L$5-0.000000001,E3156&lt;=01_因子設定!$M$5+0.000000001,F3156&gt;=01_因子設定!$L$6-0.000000001,F3156&lt;=01_因子設定!$M$6+0.000000001,G3156&gt;=01_因子設定!$L$7-0.000000001,G3156&lt;=01_因子設定!$M$7+0.000000001,H3156&gt;=01_因子設定!$L$8-0.000000001,H3156&lt;=01_因子設定!$M$8+0.000000001,IF(01_因子設定!$B$20="Box-Behnken",E3156^2+F3156^2+G3156^2+H3156^2&lt;=2+0.000000001,TRUE()))</f>
        <v>1</v>
      </c>
      <c r="AD3156" s="55" t="n">
        <f aca="false">IF(AC3156,IF(01_因子設定!$B$13="最大化",AA3156-01_因子設定!$B$14,IF(01_因子設定!$B$13="最小化",01_因子設定!$B$15-AB3156,MIN(AA3156-01_因子設定!$B$14,01_因子設定!$B$15-AB3156))),-1E+030)</f>
        <v>-2.53861338781663</v>
      </c>
      <c r="AE3156" s="55" t="n">
        <f aca="false">IF(AC3156,IF(01_因子設定!$B$13="最大化",X3156,IF(01_因子設定!$B$13="最小化",-X3156,-ABS(X3156-01_因子設定!$B$16))),-1E+030)</f>
        <v>45.5450749269006</v>
      </c>
      <c r="AF3156" s="55" t="n">
        <f aca="false">AD3156+ROW()*0.000000001</f>
        <v>-2.53861023181663</v>
      </c>
      <c r="AG3156" s="55" t="n">
        <f aca="false">AE3156+ROW()*0.000000001</f>
        <v>45.5450780829005</v>
      </c>
    </row>
    <row r="3157" customFormat="false" ht="15" hidden="false" customHeight="false" outlineLevel="0" collapsed="false">
      <c r="A3157" s="0" t="n">
        <v>4</v>
      </c>
      <c r="B3157" s="0" t="n">
        <v>2</v>
      </c>
      <c r="C3157" s="0" t="n">
        <v>8</v>
      </c>
      <c r="D3157" s="0" t="n">
        <v>2</v>
      </c>
      <c r="E3157" s="0" t="n">
        <f aca="false">-1+A3157*0.25</f>
        <v>0</v>
      </c>
      <c r="F3157" s="0" t="n">
        <f aca="false">-1+B3157*0.25</f>
        <v>-0.5</v>
      </c>
      <c r="G3157" s="0" t="n">
        <f aca="false">-1+C3157*0.25</f>
        <v>1</v>
      </c>
      <c r="H3157" s="0" t="n">
        <f aca="false">-1+D3157*0.25</f>
        <v>-0.5</v>
      </c>
      <c r="I3157" s="0" t="n">
        <f aca="false">1</f>
        <v>1</v>
      </c>
      <c r="J3157" s="0" t="n">
        <f aca="false">E3157</f>
        <v>0</v>
      </c>
      <c r="K3157" s="0" t="n">
        <f aca="false">F3157</f>
        <v>-0.5</v>
      </c>
      <c r="L3157" s="0" t="n">
        <f aca="false">G3157</f>
        <v>1</v>
      </c>
      <c r="M3157" s="0" t="n">
        <f aca="false">H3157</f>
        <v>-0.5</v>
      </c>
      <c r="N3157" s="0" t="n">
        <f aca="false">E3157*F3157</f>
        <v>-0</v>
      </c>
      <c r="O3157" s="0" t="n">
        <f aca="false">E3157*G3157</f>
        <v>0</v>
      </c>
      <c r="P3157" s="0" t="n">
        <f aca="false">E3157*H3157</f>
        <v>-0</v>
      </c>
      <c r="Q3157" s="0" t="n">
        <f aca="false">F3157*G3157</f>
        <v>-0.5</v>
      </c>
      <c r="R3157" s="0" t="n">
        <f aca="false">F3157*H3157</f>
        <v>0.25</v>
      </c>
      <c r="S3157" s="0" t="n">
        <f aca="false">G3157*H3157</f>
        <v>-0.5</v>
      </c>
      <c r="T3157" s="0" t="n">
        <f aca="false">E3157*E3157</f>
        <v>0</v>
      </c>
      <c r="U3157" s="0" t="n">
        <f aca="false">F3157*F3157</f>
        <v>0.25</v>
      </c>
      <c r="V3157" s="0" t="n">
        <f aca="false">G3157*G3157</f>
        <v>1</v>
      </c>
      <c r="W3157" s="0" t="n">
        <f aca="false">H3157*H3157</f>
        <v>0.25</v>
      </c>
      <c r="X3157" s="0" t="n">
        <f aca="false">SUMPRODUCT(I3157:W3157,_XtX!$B$96:$P$96)</f>
        <v>45.8644188596491</v>
      </c>
      <c r="Y3157" s="0" t="n">
        <f aca="false">SUMPRODUCT(MMULT(I3157:W3157,_XtX!$B$78:$P$92),I3157:W3157)</f>
        <v>0.441954495614035</v>
      </c>
      <c r="Z3157" s="0" t="n">
        <f aca="false">04_回帰ANOVA!$K$19*04_回帰ANOVA!$K$14*SQRT(1+Y3157)</f>
        <v>1.56521560968066</v>
      </c>
      <c r="AA3157" s="0" t="n">
        <f aca="false">X3157-Z3157</f>
        <v>44.2992032499684</v>
      </c>
      <c r="AB3157" s="0" t="n">
        <f aca="false">X3157+Z3157</f>
        <v>47.4296344693297</v>
      </c>
      <c r="AC3157" s="54" t="b">
        <f aca="false">AND(E3157&gt;=01_因子設定!$L$5-0.000000001,E3157&lt;=01_因子設定!$M$5+0.000000001,F3157&gt;=01_因子設定!$L$6-0.000000001,F3157&lt;=01_因子設定!$M$6+0.000000001,G3157&gt;=01_因子設定!$L$7-0.000000001,G3157&lt;=01_因子設定!$M$7+0.000000001,H3157&gt;=01_因子設定!$L$8-0.000000001,H3157&lt;=01_因子設定!$M$8+0.000000001,IF(01_因子設定!$B$20="Box-Behnken",E3157^2+F3157^2+G3157^2+H3157^2&lt;=2+0.000000001,TRUE()))</f>
        <v>1</v>
      </c>
      <c r="AD3157" s="55" t="n">
        <f aca="false">IF(AC3157,IF(01_因子設定!$B$13="最大化",AA3157-01_因子設定!$B$14,IF(01_因子設定!$B$13="最小化",01_因子設定!$B$15-AB3157,MIN(AA3157-01_因子設定!$B$14,01_因子設定!$B$15-AB3157))),-1E+030)</f>
        <v>-2.20079675003159</v>
      </c>
      <c r="AE3157" s="55" t="n">
        <f aca="false">IF(AC3157,IF(01_因子設定!$B$13="最大化",X3157,IF(01_因子設定!$B$13="最小化",-X3157,-ABS(X3157-01_因子設定!$B$16))),-1E+030)</f>
        <v>45.8644188596491</v>
      </c>
      <c r="AF3157" s="55" t="n">
        <f aca="false">AD3157+ROW()*0.000000001</f>
        <v>-2.20079359303159</v>
      </c>
      <c r="AG3157" s="55" t="n">
        <f aca="false">AE3157+ROW()*0.000000001</f>
        <v>45.8644220166491</v>
      </c>
    </row>
    <row r="3158" customFormat="false" ht="15" hidden="false" customHeight="false" outlineLevel="0" collapsed="false">
      <c r="A3158" s="0" t="n">
        <v>4</v>
      </c>
      <c r="B3158" s="0" t="n">
        <v>2</v>
      </c>
      <c r="C3158" s="0" t="n">
        <v>8</v>
      </c>
      <c r="D3158" s="0" t="n">
        <v>3</v>
      </c>
      <c r="E3158" s="0" t="n">
        <f aca="false">-1+A3158*0.25</f>
        <v>0</v>
      </c>
      <c r="F3158" s="0" t="n">
        <f aca="false">-1+B3158*0.25</f>
        <v>-0.5</v>
      </c>
      <c r="G3158" s="0" t="n">
        <f aca="false">-1+C3158*0.25</f>
        <v>1</v>
      </c>
      <c r="H3158" s="0" t="n">
        <f aca="false">-1+D3158*0.25</f>
        <v>-0.25</v>
      </c>
      <c r="I3158" s="0" t="n">
        <f aca="false">1</f>
        <v>1</v>
      </c>
      <c r="J3158" s="0" t="n">
        <f aca="false">E3158</f>
        <v>0</v>
      </c>
      <c r="K3158" s="0" t="n">
        <f aca="false">F3158</f>
        <v>-0.5</v>
      </c>
      <c r="L3158" s="0" t="n">
        <f aca="false">G3158</f>
        <v>1</v>
      </c>
      <c r="M3158" s="0" t="n">
        <f aca="false">H3158</f>
        <v>-0.25</v>
      </c>
      <c r="N3158" s="0" t="n">
        <f aca="false">E3158*F3158</f>
        <v>-0</v>
      </c>
      <c r="O3158" s="0" t="n">
        <f aca="false">E3158*G3158</f>
        <v>0</v>
      </c>
      <c r="P3158" s="0" t="n">
        <f aca="false">E3158*H3158</f>
        <v>-0</v>
      </c>
      <c r="Q3158" s="0" t="n">
        <f aca="false">F3158*G3158</f>
        <v>-0.5</v>
      </c>
      <c r="R3158" s="0" t="n">
        <f aca="false">F3158*H3158</f>
        <v>0.125</v>
      </c>
      <c r="S3158" s="0" t="n">
        <f aca="false">G3158*H3158</f>
        <v>-0.25</v>
      </c>
      <c r="T3158" s="0" t="n">
        <f aca="false">E3158*E3158</f>
        <v>0</v>
      </c>
      <c r="U3158" s="0" t="n">
        <f aca="false">F3158*F3158</f>
        <v>0.25</v>
      </c>
      <c r="V3158" s="0" t="n">
        <f aca="false">G3158*G3158</f>
        <v>1</v>
      </c>
      <c r="W3158" s="0" t="n">
        <f aca="false">H3158*H3158</f>
        <v>0.0625</v>
      </c>
      <c r="X3158" s="0" t="n">
        <f aca="false">SUMPRODUCT(I3158:W3158,_XtX!$B$96:$P$96)</f>
        <v>46.1359557748537</v>
      </c>
      <c r="Y3158" s="0" t="n">
        <f aca="false">SUMPRODUCT(MMULT(I3158:W3158,_XtX!$B$78:$P$92),I3158:W3158)</f>
        <v>0.457596628289474</v>
      </c>
      <c r="Z3158" s="0" t="n">
        <f aca="false">04_回帰ANOVA!$K$19*04_回帰ANOVA!$K$14*SQRT(1+Y3158)</f>
        <v>1.57368233664366</v>
      </c>
      <c r="AA3158" s="0" t="n">
        <f aca="false">X3158-Z3158</f>
        <v>44.5622734382101</v>
      </c>
      <c r="AB3158" s="0" t="n">
        <f aca="false">X3158+Z3158</f>
        <v>47.7096381114974</v>
      </c>
      <c r="AC3158" s="54" t="b">
        <f aca="false">AND(E3158&gt;=01_因子設定!$L$5-0.000000001,E3158&lt;=01_因子設定!$M$5+0.000000001,F3158&gt;=01_因子設定!$L$6-0.000000001,F3158&lt;=01_因子設定!$M$6+0.000000001,G3158&gt;=01_因子設定!$L$7-0.000000001,G3158&lt;=01_因子設定!$M$7+0.000000001,H3158&gt;=01_因子設定!$L$8-0.000000001,H3158&lt;=01_因子設定!$M$8+0.000000001,IF(01_因子設定!$B$20="Box-Behnken",E3158^2+F3158^2+G3158^2+H3158^2&lt;=2+0.000000001,TRUE()))</f>
        <v>1</v>
      </c>
      <c r="AD3158" s="55" t="n">
        <f aca="false">IF(AC3158,IF(01_因子設定!$B$13="最大化",AA3158-01_因子設定!$B$14,IF(01_因子設定!$B$13="最小化",01_因子設定!$B$15-AB3158,MIN(AA3158-01_因子設定!$B$14,01_因子設定!$B$15-AB3158))),-1E+030)</f>
        <v>-1.93772656178992</v>
      </c>
      <c r="AE3158" s="55" t="n">
        <f aca="false">IF(AC3158,IF(01_因子設定!$B$13="最大化",X3158,IF(01_因子設定!$B$13="最小化",-X3158,-ABS(X3158-01_因子設定!$B$16))),-1E+030)</f>
        <v>46.1359557748537</v>
      </c>
      <c r="AF3158" s="55" t="n">
        <f aca="false">AD3158+ROW()*0.000000001</f>
        <v>-1.93772340378992</v>
      </c>
      <c r="AG3158" s="55" t="n">
        <f aca="false">AE3158+ROW()*0.000000001</f>
        <v>46.1359589328537</v>
      </c>
    </row>
    <row r="3159" customFormat="false" ht="15" hidden="false" customHeight="false" outlineLevel="0" collapsed="false">
      <c r="A3159" s="0" t="n">
        <v>4</v>
      </c>
      <c r="B3159" s="0" t="n">
        <v>2</v>
      </c>
      <c r="C3159" s="0" t="n">
        <v>8</v>
      </c>
      <c r="D3159" s="0" t="n">
        <v>4</v>
      </c>
      <c r="E3159" s="0" t="n">
        <f aca="false">-1+A3159*0.25</f>
        <v>0</v>
      </c>
      <c r="F3159" s="0" t="n">
        <f aca="false">-1+B3159*0.25</f>
        <v>-0.5</v>
      </c>
      <c r="G3159" s="0" t="n">
        <f aca="false">-1+C3159*0.25</f>
        <v>1</v>
      </c>
      <c r="H3159" s="0" t="n">
        <f aca="false">-1+D3159*0.25</f>
        <v>0</v>
      </c>
      <c r="I3159" s="0" t="n">
        <f aca="false">1</f>
        <v>1</v>
      </c>
      <c r="J3159" s="0" t="n">
        <f aca="false">E3159</f>
        <v>0</v>
      </c>
      <c r="K3159" s="0" t="n">
        <f aca="false">F3159</f>
        <v>-0.5</v>
      </c>
      <c r="L3159" s="0" t="n">
        <f aca="false">G3159</f>
        <v>1</v>
      </c>
      <c r="M3159" s="0" t="n">
        <f aca="false">H3159</f>
        <v>0</v>
      </c>
      <c r="N3159" s="0" t="n">
        <f aca="false">E3159*F3159</f>
        <v>-0</v>
      </c>
      <c r="O3159" s="0" t="n">
        <f aca="false">E3159*G3159</f>
        <v>0</v>
      </c>
      <c r="P3159" s="0" t="n">
        <f aca="false">E3159*H3159</f>
        <v>0</v>
      </c>
      <c r="Q3159" s="0" t="n">
        <f aca="false">F3159*G3159</f>
        <v>-0.5</v>
      </c>
      <c r="R3159" s="0" t="n">
        <f aca="false">F3159*H3159</f>
        <v>-0</v>
      </c>
      <c r="S3159" s="0" t="n">
        <f aca="false">G3159*H3159</f>
        <v>0</v>
      </c>
      <c r="T3159" s="0" t="n">
        <f aca="false">E3159*E3159</f>
        <v>0</v>
      </c>
      <c r="U3159" s="0" t="n">
        <f aca="false">F3159*F3159</f>
        <v>0.25</v>
      </c>
      <c r="V3159" s="0" t="n">
        <f aca="false">G3159*G3159</f>
        <v>1</v>
      </c>
      <c r="W3159" s="0" t="n">
        <f aca="false">H3159*H3159</f>
        <v>0</v>
      </c>
      <c r="X3159" s="0" t="n">
        <f aca="false">SUMPRODUCT(I3159:W3159,_XtX!$B$96:$P$96)</f>
        <v>46.3596856725146</v>
      </c>
      <c r="Y3159" s="0" t="n">
        <f aca="false">SUMPRODUCT(MMULT(I3159:W3159,_XtX!$B$78:$P$92),I3159:W3159)</f>
        <v>0.468841374269006</v>
      </c>
      <c r="Z3159" s="0" t="n">
        <f aca="false">04_回帰ANOVA!$K$19*04_回帰ANOVA!$K$14*SQRT(1+Y3159)</f>
        <v>1.57974082366087</v>
      </c>
      <c r="AA3159" s="0" t="n">
        <f aca="false">X3159-Z3159</f>
        <v>44.7799448488537</v>
      </c>
      <c r="AB3159" s="0" t="n">
        <f aca="false">X3159+Z3159</f>
        <v>47.9394264961754</v>
      </c>
      <c r="AC3159" s="54" t="b">
        <f aca="false">AND(E3159&gt;=01_因子設定!$L$5-0.000000001,E3159&lt;=01_因子設定!$M$5+0.000000001,F3159&gt;=01_因子設定!$L$6-0.000000001,F3159&lt;=01_因子設定!$M$6+0.000000001,G3159&gt;=01_因子設定!$L$7-0.000000001,G3159&lt;=01_因子設定!$M$7+0.000000001,H3159&gt;=01_因子設定!$L$8-0.000000001,H3159&lt;=01_因子設定!$M$8+0.000000001,IF(01_因子設定!$B$20="Box-Behnken",E3159^2+F3159^2+G3159^2+H3159^2&lt;=2+0.000000001,TRUE()))</f>
        <v>1</v>
      </c>
      <c r="AD3159" s="55" t="n">
        <f aca="false">IF(AC3159,IF(01_因子設定!$B$13="最大化",AA3159-01_因子設定!$B$14,IF(01_因子設定!$B$13="最小化",01_因子設定!$B$15-AB3159,MIN(AA3159-01_因子設定!$B$14,01_因子設定!$B$15-AB3159))),-1E+030)</f>
        <v>-1.72005515114632</v>
      </c>
      <c r="AE3159" s="55" t="n">
        <f aca="false">IF(AC3159,IF(01_因子設定!$B$13="最大化",X3159,IF(01_因子設定!$B$13="最小化",-X3159,-ABS(X3159-01_因子設定!$B$16))),-1E+030)</f>
        <v>46.3596856725146</v>
      </c>
      <c r="AF3159" s="55" t="n">
        <f aca="false">AD3159+ROW()*0.000000001</f>
        <v>-1.72005199214632</v>
      </c>
      <c r="AG3159" s="55" t="n">
        <f aca="false">AE3159+ROW()*0.000000001</f>
        <v>46.3596888315146</v>
      </c>
    </row>
    <row r="3160" customFormat="false" ht="15" hidden="false" customHeight="false" outlineLevel="0" collapsed="false">
      <c r="A3160" s="0" t="n">
        <v>4</v>
      </c>
      <c r="B3160" s="0" t="n">
        <v>2</v>
      </c>
      <c r="C3160" s="0" t="n">
        <v>8</v>
      </c>
      <c r="D3160" s="0" t="n">
        <v>5</v>
      </c>
      <c r="E3160" s="0" t="n">
        <f aca="false">-1+A3160*0.25</f>
        <v>0</v>
      </c>
      <c r="F3160" s="0" t="n">
        <f aca="false">-1+B3160*0.25</f>
        <v>-0.5</v>
      </c>
      <c r="G3160" s="0" t="n">
        <f aca="false">-1+C3160*0.25</f>
        <v>1</v>
      </c>
      <c r="H3160" s="0" t="n">
        <f aca="false">-1+D3160*0.25</f>
        <v>0.25</v>
      </c>
      <c r="I3160" s="0" t="n">
        <f aca="false">1</f>
        <v>1</v>
      </c>
      <c r="J3160" s="0" t="n">
        <f aca="false">E3160</f>
        <v>0</v>
      </c>
      <c r="K3160" s="0" t="n">
        <f aca="false">F3160</f>
        <v>-0.5</v>
      </c>
      <c r="L3160" s="0" t="n">
        <f aca="false">G3160</f>
        <v>1</v>
      </c>
      <c r="M3160" s="0" t="n">
        <f aca="false">H3160</f>
        <v>0.25</v>
      </c>
      <c r="N3160" s="0" t="n">
        <f aca="false">E3160*F3160</f>
        <v>-0</v>
      </c>
      <c r="O3160" s="0" t="n">
        <f aca="false">E3160*G3160</f>
        <v>0</v>
      </c>
      <c r="P3160" s="0" t="n">
        <f aca="false">E3160*H3160</f>
        <v>0</v>
      </c>
      <c r="Q3160" s="0" t="n">
        <f aca="false">F3160*G3160</f>
        <v>-0.5</v>
      </c>
      <c r="R3160" s="0" t="n">
        <f aca="false">F3160*H3160</f>
        <v>-0.125</v>
      </c>
      <c r="S3160" s="0" t="n">
        <f aca="false">G3160*H3160</f>
        <v>0.25</v>
      </c>
      <c r="T3160" s="0" t="n">
        <f aca="false">E3160*E3160</f>
        <v>0</v>
      </c>
      <c r="U3160" s="0" t="n">
        <f aca="false">F3160*F3160</f>
        <v>0.25</v>
      </c>
      <c r="V3160" s="0" t="n">
        <f aca="false">G3160*G3160</f>
        <v>1</v>
      </c>
      <c r="W3160" s="0" t="n">
        <f aca="false">H3160*H3160</f>
        <v>0.0625</v>
      </c>
      <c r="X3160" s="0" t="n">
        <f aca="false">SUMPRODUCT(I3160:W3160,_XtX!$B$96:$P$96)</f>
        <v>46.5356085526315</v>
      </c>
      <c r="Y3160" s="0" t="n">
        <f aca="false">SUMPRODUCT(MMULT(I3160:W3160,_XtX!$B$78:$P$92),I3160:W3160)</f>
        <v>0.457596628289474</v>
      </c>
      <c r="Z3160" s="0" t="n">
        <f aca="false">04_回帰ANOVA!$K$19*04_回帰ANOVA!$K$14*SQRT(1+Y3160)</f>
        <v>1.57368233664366</v>
      </c>
      <c r="AA3160" s="0" t="n">
        <f aca="false">X3160-Z3160</f>
        <v>44.9619262159879</v>
      </c>
      <c r="AB3160" s="0" t="n">
        <f aca="false">X3160+Z3160</f>
        <v>48.1092908892752</v>
      </c>
      <c r="AC3160" s="54" t="b">
        <f aca="false">AND(E3160&gt;=01_因子設定!$L$5-0.000000001,E3160&lt;=01_因子設定!$M$5+0.000000001,F3160&gt;=01_因子設定!$L$6-0.000000001,F3160&lt;=01_因子設定!$M$6+0.000000001,G3160&gt;=01_因子設定!$L$7-0.000000001,G3160&lt;=01_因子設定!$M$7+0.000000001,H3160&gt;=01_因子設定!$L$8-0.000000001,H3160&lt;=01_因子設定!$M$8+0.000000001,IF(01_因子設定!$B$20="Box-Behnken",E3160^2+F3160^2+G3160^2+H3160^2&lt;=2+0.000000001,TRUE()))</f>
        <v>1</v>
      </c>
      <c r="AD3160" s="55" t="n">
        <f aca="false">IF(AC3160,IF(01_因子設定!$B$13="最大化",AA3160-01_因子設定!$B$14,IF(01_因子設定!$B$13="最小化",01_因子設定!$B$15-AB3160,MIN(AA3160-01_因子設定!$B$14,01_因子設定!$B$15-AB3160))),-1E+030)</f>
        <v>-1.53807378401214</v>
      </c>
      <c r="AE3160" s="55" t="n">
        <f aca="false">IF(AC3160,IF(01_因子設定!$B$13="最大化",X3160,IF(01_因子設定!$B$13="最小化",-X3160,-ABS(X3160-01_因子設定!$B$16))),-1E+030)</f>
        <v>46.5356085526315</v>
      </c>
      <c r="AF3160" s="55" t="n">
        <f aca="false">AD3160+ROW()*0.000000001</f>
        <v>-1.53807062401214</v>
      </c>
      <c r="AG3160" s="55" t="n">
        <f aca="false">AE3160+ROW()*0.000000001</f>
        <v>46.5356117126315</v>
      </c>
    </row>
    <row r="3161" customFormat="false" ht="15" hidden="false" customHeight="false" outlineLevel="0" collapsed="false">
      <c r="A3161" s="0" t="n">
        <v>4</v>
      </c>
      <c r="B3161" s="0" t="n">
        <v>2</v>
      </c>
      <c r="C3161" s="0" t="n">
        <v>8</v>
      </c>
      <c r="D3161" s="0" t="n">
        <v>6</v>
      </c>
      <c r="E3161" s="0" t="n">
        <f aca="false">-1+A3161*0.25</f>
        <v>0</v>
      </c>
      <c r="F3161" s="0" t="n">
        <f aca="false">-1+B3161*0.25</f>
        <v>-0.5</v>
      </c>
      <c r="G3161" s="0" t="n">
        <f aca="false">-1+C3161*0.25</f>
        <v>1</v>
      </c>
      <c r="H3161" s="0" t="n">
        <f aca="false">-1+D3161*0.25</f>
        <v>0.5</v>
      </c>
      <c r="I3161" s="0" t="n">
        <f aca="false">1</f>
        <v>1</v>
      </c>
      <c r="J3161" s="0" t="n">
        <f aca="false">E3161</f>
        <v>0</v>
      </c>
      <c r="K3161" s="0" t="n">
        <f aca="false">F3161</f>
        <v>-0.5</v>
      </c>
      <c r="L3161" s="0" t="n">
        <f aca="false">G3161</f>
        <v>1</v>
      </c>
      <c r="M3161" s="0" t="n">
        <f aca="false">H3161</f>
        <v>0.5</v>
      </c>
      <c r="N3161" s="0" t="n">
        <f aca="false">E3161*F3161</f>
        <v>-0</v>
      </c>
      <c r="O3161" s="0" t="n">
        <f aca="false">E3161*G3161</f>
        <v>0</v>
      </c>
      <c r="P3161" s="0" t="n">
        <f aca="false">E3161*H3161</f>
        <v>0</v>
      </c>
      <c r="Q3161" s="0" t="n">
        <f aca="false">F3161*G3161</f>
        <v>-0.5</v>
      </c>
      <c r="R3161" s="0" t="n">
        <f aca="false">F3161*H3161</f>
        <v>-0.25</v>
      </c>
      <c r="S3161" s="0" t="n">
        <f aca="false">G3161*H3161</f>
        <v>0.5</v>
      </c>
      <c r="T3161" s="0" t="n">
        <f aca="false">E3161*E3161</f>
        <v>0</v>
      </c>
      <c r="U3161" s="0" t="n">
        <f aca="false">F3161*F3161</f>
        <v>0.25</v>
      </c>
      <c r="V3161" s="0" t="n">
        <f aca="false">G3161*G3161</f>
        <v>1</v>
      </c>
      <c r="W3161" s="0" t="n">
        <f aca="false">H3161*H3161</f>
        <v>0.25</v>
      </c>
      <c r="X3161" s="0" t="n">
        <f aca="false">SUMPRODUCT(I3161:W3161,_XtX!$B$96:$P$96)</f>
        <v>46.6637244152046</v>
      </c>
      <c r="Y3161" s="0" t="n">
        <f aca="false">SUMPRODUCT(MMULT(I3161:W3161,_XtX!$B$78:$P$92),I3161:W3161)</f>
        <v>0.441954495614035</v>
      </c>
      <c r="Z3161" s="0" t="n">
        <f aca="false">04_回帰ANOVA!$K$19*04_回帰ANOVA!$K$14*SQRT(1+Y3161)</f>
        <v>1.56521560968066</v>
      </c>
      <c r="AA3161" s="0" t="n">
        <f aca="false">X3161-Z3161</f>
        <v>45.098508805524</v>
      </c>
      <c r="AB3161" s="0" t="n">
        <f aca="false">X3161+Z3161</f>
        <v>48.2289400248853</v>
      </c>
      <c r="AC3161" s="54" t="b">
        <f aca="false">AND(E3161&gt;=01_因子設定!$L$5-0.000000001,E3161&lt;=01_因子設定!$M$5+0.000000001,F3161&gt;=01_因子設定!$L$6-0.000000001,F3161&lt;=01_因子設定!$M$6+0.000000001,G3161&gt;=01_因子設定!$L$7-0.000000001,G3161&lt;=01_因子設定!$M$7+0.000000001,H3161&gt;=01_因子設定!$L$8-0.000000001,H3161&lt;=01_因子設定!$M$8+0.000000001,IF(01_因子設定!$B$20="Box-Behnken",E3161^2+F3161^2+G3161^2+H3161^2&lt;=2+0.000000001,TRUE()))</f>
        <v>1</v>
      </c>
      <c r="AD3161" s="55" t="n">
        <f aca="false">IF(AC3161,IF(01_因子設定!$B$13="最大化",AA3161-01_因子設定!$B$14,IF(01_因子設定!$B$13="最小化",01_因子設定!$B$15-AB3161,MIN(AA3161-01_因子設定!$B$14,01_因子設定!$B$15-AB3161))),-1E+030)</f>
        <v>-1.40149119447604</v>
      </c>
      <c r="AE3161" s="55" t="n">
        <f aca="false">IF(AC3161,IF(01_因子設定!$B$13="最大化",X3161,IF(01_因子設定!$B$13="最小化",-X3161,-ABS(X3161-01_因子設定!$B$16))),-1E+030)</f>
        <v>46.6637244152046</v>
      </c>
      <c r="AF3161" s="55" t="n">
        <f aca="false">AD3161+ROW()*0.000000001</f>
        <v>-1.40148803347604</v>
      </c>
      <c r="AG3161" s="55" t="n">
        <f aca="false">AE3161+ROW()*0.000000001</f>
        <v>46.6637275762046</v>
      </c>
    </row>
    <row r="3162" customFormat="false" ht="15" hidden="false" customHeight="false" outlineLevel="0" collapsed="false">
      <c r="A3162" s="0" t="n">
        <v>4</v>
      </c>
      <c r="B3162" s="0" t="n">
        <v>2</v>
      </c>
      <c r="C3162" s="0" t="n">
        <v>8</v>
      </c>
      <c r="D3162" s="0" t="n">
        <v>7</v>
      </c>
      <c r="E3162" s="0" t="n">
        <f aca="false">-1+A3162*0.25</f>
        <v>0</v>
      </c>
      <c r="F3162" s="0" t="n">
        <f aca="false">-1+B3162*0.25</f>
        <v>-0.5</v>
      </c>
      <c r="G3162" s="0" t="n">
        <f aca="false">-1+C3162*0.25</f>
        <v>1</v>
      </c>
      <c r="H3162" s="0" t="n">
        <f aca="false">-1+D3162*0.25</f>
        <v>0.75</v>
      </c>
      <c r="I3162" s="0" t="n">
        <f aca="false">1</f>
        <v>1</v>
      </c>
      <c r="J3162" s="0" t="n">
        <f aca="false">E3162</f>
        <v>0</v>
      </c>
      <c r="K3162" s="0" t="n">
        <f aca="false">F3162</f>
        <v>-0.5</v>
      </c>
      <c r="L3162" s="0" t="n">
        <f aca="false">G3162</f>
        <v>1</v>
      </c>
      <c r="M3162" s="0" t="n">
        <f aca="false">H3162</f>
        <v>0.75</v>
      </c>
      <c r="N3162" s="0" t="n">
        <f aca="false">E3162*F3162</f>
        <v>-0</v>
      </c>
      <c r="O3162" s="0" t="n">
        <f aca="false">E3162*G3162</f>
        <v>0</v>
      </c>
      <c r="P3162" s="0" t="n">
        <f aca="false">E3162*H3162</f>
        <v>0</v>
      </c>
      <c r="Q3162" s="0" t="n">
        <f aca="false">F3162*G3162</f>
        <v>-0.5</v>
      </c>
      <c r="R3162" s="0" t="n">
        <f aca="false">F3162*H3162</f>
        <v>-0.375</v>
      </c>
      <c r="S3162" s="0" t="n">
        <f aca="false">G3162*H3162</f>
        <v>0.75</v>
      </c>
      <c r="T3162" s="0" t="n">
        <f aca="false">E3162*E3162</f>
        <v>0</v>
      </c>
      <c r="U3162" s="0" t="n">
        <f aca="false">F3162*F3162</f>
        <v>0.25</v>
      </c>
      <c r="V3162" s="0" t="n">
        <f aca="false">G3162*G3162</f>
        <v>1</v>
      </c>
      <c r="W3162" s="0" t="n">
        <f aca="false">H3162*H3162</f>
        <v>0.5625</v>
      </c>
      <c r="X3162" s="0" t="n">
        <f aca="false">SUMPRODUCT(I3162:W3162,_XtX!$B$96:$P$96)</f>
        <v>46.7440332602339</v>
      </c>
      <c r="Y3162" s="0" t="n">
        <f aca="false">SUMPRODUCT(MMULT(I3162:W3162,_XtX!$B$78:$P$92),I3162:W3162)</f>
        <v>0.476191292032164</v>
      </c>
      <c r="Z3162" s="0" t="n">
        <f aca="false">04_回帰ANOVA!$K$19*04_回帰ANOVA!$K$14*SQRT(1+Y3162)</f>
        <v>1.58368831471718</v>
      </c>
      <c r="AA3162" s="0" t="n">
        <f aca="false">X3162-Z3162</f>
        <v>45.1603449455167</v>
      </c>
      <c r="AB3162" s="0" t="n">
        <f aca="false">X3162+Z3162</f>
        <v>48.3277215749511</v>
      </c>
      <c r="AC3162" s="54" t="b">
        <f aca="false">AND(E3162&gt;=01_因子設定!$L$5-0.000000001,E3162&lt;=01_因子設定!$M$5+0.000000001,F3162&gt;=01_因子設定!$L$6-0.000000001,F3162&lt;=01_因子設定!$M$6+0.000000001,G3162&gt;=01_因子設定!$L$7-0.000000001,G3162&lt;=01_因子設定!$M$7+0.000000001,H3162&gt;=01_因子設定!$L$8-0.000000001,H3162&lt;=01_因子設定!$M$8+0.000000001,IF(01_因子設定!$B$20="Box-Behnken",E3162^2+F3162^2+G3162^2+H3162^2&lt;=2+0.000000001,TRUE()))</f>
        <v>1</v>
      </c>
      <c r="AD3162" s="55" t="n">
        <f aca="false">IF(AC3162,IF(01_因子設定!$B$13="最大化",AA3162-01_因子設定!$B$14,IF(01_因子設定!$B$13="最小化",01_因子設定!$B$15-AB3162,MIN(AA3162-01_因子設定!$B$14,01_因子設定!$B$15-AB3162))),-1E+030)</f>
        <v>-1.3396550544833</v>
      </c>
      <c r="AE3162" s="55" t="n">
        <f aca="false">IF(AC3162,IF(01_因子設定!$B$13="最大化",X3162,IF(01_因子設定!$B$13="最小化",-X3162,-ABS(X3162-01_因子設定!$B$16))),-1E+030)</f>
        <v>46.7440332602339</v>
      </c>
      <c r="AF3162" s="55" t="n">
        <f aca="false">AD3162+ROW()*0.000000001</f>
        <v>-1.3396518924833</v>
      </c>
      <c r="AG3162" s="55" t="n">
        <f aca="false">AE3162+ROW()*0.000000001</f>
        <v>46.7440364222339</v>
      </c>
    </row>
    <row r="3163" customFormat="false" ht="15" hidden="false" customHeight="false" outlineLevel="0" collapsed="false">
      <c r="A3163" s="0" t="n">
        <v>4</v>
      </c>
      <c r="B3163" s="0" t="n">
        <v>2</v>
      </c>
      <c r="C3163" s="0" t="n">
        <v>8</v>
      </c>
      <c r="D3163" s="0" t="n">
        <v>8</v>
      </c>
      <c r="E3163" s="0" t="n">
        <f aca="false">-1+A3163*0.25</f>
        <v>0</v>
      </c>
      <c r="F3163" s="0" t="n">
        <f aca="false">-1+B3163*0.25</f>
        <v>-0.5</v>
      </c>
      <c r="G3163" s="0" t="n">
        <f aca="false">-1+C3163*0.25</f>
        <v>1</v>
      </c>
      <c r="H3163" s="0" t="n">
        <f aca="false">-1+D3163*0.25</f>
        <v>1</v>
      </c>
      <c r="I3163" s="0" t="n">
        <f aca="false">1</f>
        <v>1</v>
      </c>
      <c r="J3163" s="0" t="n">
        <f aca="false">E3163</f>
        <v>0</v>
      </c>
      <c r="K3163" s="0" t="n">
        <f aca="false">F3163</f>
        <v>-0.5</v>
      </c>
      <c r="L3163" s="0" t="n">
        <f aca="false">G3163</f>
        <v>1</v>
      </c>
      <c r="M3163" s="0" t="n">
        <f aca="false">H3163</f>
        <v>1</v>
      </c>
      <c r="N3163" s="0" t="n">
        <f aca="false">E3163*F3163</f>
        <v>-0</v>
      </c>
      <c r="O3163" s="0" t="n">
        <f aca="false">E3163*G3163</f>
        <v>0</v>
      </c>
      <c r="P3163" s="0" t="n">
        <f aca="false">E3163*H3163</f>
        <v>0</v>
      </c>
      <c r="Q3163" s="0" t="n">
        <f aca="false">F3163*G3163</f>
        <v>-0.5</v>
      </c>
      <c r="R3163" s="0" t="n">
        <f aca="false">F3163*H3163</f>
        <v>-0.5</v>
      </c>
      <c r="S3163" s="0" t="n">
        <f aca="false">G3163*H3163</f>
        <v>1</v>
      </c>
      <c r="T3163" s="0" t="n">
        <f aca="false">E3163*E3163</f>
        <v>0</v>
      </c>
      <c r="U3163" s="0" t="n">
        <f aca="false">F3163*F3163</f>
        <v>0.25</v>
      </c>
      <c r="V3163" s="0" t="n">
        <f aca="false">G3163*G3163</f>
        <v>1</v>
      </c>
      <c r="W3163" s="0" t="n">
        <f aca="false">H3163*H3163</f>
        <v>1</v>
      </c>
      <c r="X3163" s="0" t="n">
        <f aca="false">SUMPRODUCT(I3163:W3163,_XtX!$B$96:$P$96)</f>
        <v>46.7765350877193</v>
      </c>
      <c r="Y3163" s="0" t="n">
        <f aca="false">SUMPRODUCT(MMULT(I3163:W3163,_XtX!$B$78:$P$92),I3163:W3163)</f>
        <v>0.650767543859649</v>
      </c>
      <c r="Z3163" s="0" t="n">
        <f aca="false">04_回帰ANOVA!$K$19*04_回帰ANOVA!$K$14*SQRT(1+Y3163)</f>
        <v>1.67471670935165</v>
      </c>
      <c r="AA3163" s="0" t="n">
        <f aca="false">X3163-Z3163</f>
        <v>45.1018183783676</v>
      </c>
      <c r="AB3163" s="0" t="n">
        <f aca="false">X3163+Z3163</f>
        <v>48.4512517970709</v>
      </c>
      <c r="AC3163" s="54" t="b">
        <f aca="false">AND(E3163&gt;=01_因子設定!$L$5-0.000000001,E3163&lt;=01_因子設定!$M$5+0.000000001,F3163&gt;=01_因子設定!$L$6-0.000000001,F3163&lt;=01_因子設定!$M$6+0.000000001,G3163&gt;=01_因子設定!$L$7-0.000000001,G3163&lt;=01_因子設定!$M$7+0.000000001,H3163&gt;=01_因子設定!$L$8-0.000000001,H3163&lt;=01_因子設定!$M$8+0.000000001,IF(01_因子設定!$B$20="Box-Behnken",E3163^2+F3163^2+G3163^2+H3163^2&lt;=2+0.000000001,TRUE()))</f>
        <v>1</v>
      </c>
      <c r="AD3163" s="55" t="n">
        <f aca="false">IF(AC3163,IF(01_因子設定!$B$13="最大化",AA3163-01_因子設定!$B$14,IF(01_因子設定!$B$13="最小化",01_因子設定!$B$15-AB3163,MIN(AA3163-01_因子設定!$B$14,01_因子設定!$B$15-AB3163))),-1E+030)</f>
        <v>-1.39818162163238</v>
      </c>
      <c r="AE3163" s="55" t="n">
        <f aca="false">IF(AC3163,IF(01_因子設定!$B$13="最大化",X3163,IF(01_因子設定!$B$13="最小化",-X3163,-ABS(X3163-01_因子設定!$B$16))),-1E+030)</f>
        <v>46.7765350877193</v>
      </c>
      <c r="AF3163" s="55" t="n">
        <f aca="false">AD3163+ROW()*0.000000001</f>
        <v>-1.39817845863238</v>
      </c>
      <c r="AG3163" s="55" t="n">
        <f aca="false">AE3163+ROW()*0.000000001</f>
        <v>46.7765382507193</v>
      </c>
    </row>
    <row r="3164" customFormat="false" ht="15" hidden="false" customHeight="false" outlineLevel="0" collapsed="false">
      <c r="A3164" s="0" t="n">
        <v>4</v>
      </c>
      <c r="B3164" s="0" t="n">
        <v>3</v>
      </c>
      <c r="C3164" s="0" t="n">
        <v>0</v>
      </c>
      <c r="D3164" s="0" t="n">
        <v>0</v>
      </c>
      <c r="E3164" s="0" t="n">
        <f aca="false">-1+A3164*0.25</f>
        <v>0</v>
      </c>
      <c r="F3164" s="0" t="n">
        <f aca="false">-1+B3164*0.25</f>
        <v>-0.25</v>
      </c>
      <c r="G3164" s="0" t="n">
        <f aca="false">-1+C3164*0.25</f>
        <v>-1</v>
      </c>
      <c r="H3164" s="0" t="n">
        <f aca="false">-1+D3164*0.25</f>
        <v>-1</v>
      </c>
      <c r="I3164" s="0" t="n">
        <f aca="false">1</f>
        <v>1</v>
      </c>
      <c r="J3164" s="0" t="n">
        <f aca="false">E3164</f>
        <v>0</v>
      </c>
      <c r="K3164" s="0" t="n">
        <f aca="false">F3164</f>
        <v>-0.25</v>
      </c>
      <c r="L3164" s="0" t="n">
        <f aca="false">G3164</f>
        <v>-1</v>
      </c>
      <c r="M3164" s="0" t="n">
        <f aca="false">H3164</f>
        <v>-1</v>
      </c>
      <c r="N3164" s="0" t="n">
        <f aca="false">E3164*F3164</f>
        <v>-0</v>
      </c>
      <c r="O3164" s="0" t="n">
        <f aca="false">E3164*G3164</f>
        <v>-0</v>
      </c>
      <c r="P3164" s="0" t="n">
        <f aca="false">E3164*H3164</f>
        <v>-0</v>
      </c>
      <c r="Q3164" s="0" t="n">
        <f aca="false">F3164*G3164</f>
        <v>0.25</v>
      </c>
      <c r="R3164" s="0" t="n">
        <f aca="false">F3164*H3164</f>
        <v>0.25</v>
      </c>
      <c r="S3164" s="0" t="n">
        <f aca="false">G3164*H3164</f>
        <v>1</v>
      </c>
      <c r="T3164" s="0" t="n">
        <f aca="false">E3164*E3164</f>
        <v>0</v>
      </c>
      <c r="U3164" s="0" t="n">
        <f aca="false">F3164*F3164</f>
        <v>0.0625</v>
      </c>
      <c r="V3164" s="0" t="n">
        <f aca="false">G3164*G3164</f>
        <v>1</v>
      </c>
      <c r="W3164" s="0" t="n">
        <f aca="false">H3164*H3164</f>
        <v>1</v>
      </c>
      <c r="X3164" s="0" t="n">
        <f aca="false">SUMPRODUCT(I3164:W3164,_XtX!$B$96:$P$96)</f>
        <v>45.0815789473684</v>
      </c>
      <c r="Y3164" s="0" t="n">
        <f aca="false">SUMPRODUCT(MMULT(I3164:W3164,_XtX!$B$78:$P$92),I3164:W3164)</f>
        <v>0.689692982456141</v>
      </c>
      <c r="Z3164" s="0" t="n">
        <f aca="false">04_回帰ANOVA!$K$19*04_回帰ANOVA!$K$14*SQRT(1+Y3164)</f>
        <v>1.69434674594998</v>
      </c>
      <c r="AA3164" s="0" t="n">
        <f aca="false">X3164-Z3164</f>
        <v>43.3872322014184</v>
      </c>
      <c r="AB3164" s="0" t="n">
        <f aca="false">X3164+Z3164</f>
        <v>46.7759256933184</v>
      </c>
      <c r="AC3164" s="54" t="b">
        <f aca="false">AND(E3164&gt;=01_因子設定!$L$5-0.000000001,E3164&lt;=01_因子設定!$M$5+0.000000001,F3164&gt;=01_因子設定!$L$6-0.000000001,F3164&lt;=01_因子設定!$M$6+0.000000001,G3164&gt;=01_因子設定!$L$7-0.000000001,G3164&lt;=01_因子設定!$M$7+0.000000001,H3164&gt;=01_因子設定!$L$8-0.000000001,H3164&lt;=01_因子設定!$M$8+0.000000001,IF(01_因子設定!$B$20="Box-Behnken",E3164^2+F3164^2+G3164^2+H3164^2&lt;=2+0.000000001,TRUE()))</f>
        <v>1</v>
      </c>
      <c r="AD3164" s="55" t="n">
        <f aca="false">IF(AC3164,IF(01_因子設定!$B$13="最大化",AA3164-01_因子設定!$B$14,IF(01_因子設定!$B$13="最小化",01_因子設定!$B$15-AB3164,MIN(AA3164-01_因子設定!$B$14,01_因子設定!$B$15-AB3164))),-1E+030)</f>
        <v>-3.11276779858159</v>
      </c>
      <c r="AE3164" s="55" t="n">
        <f aca="false">IF(AC3164,IF(01_因子設定!$B$13="最大化",X3164,IF(01_因子設定!$B$13="最小化",-X3164,-ABS(X3164-01_因子設定!$B$16))),-1E+030)</f>
        <v>45.0815789473684</v>
      </c>
      <c r="AF3164" s="55" t="n">
        <f aca="false">AD3164+ROW()*0.000000001</f>
        <v>-3.11276463458159</v>
      </c>
      <c r="AG3164" s="55" t="n">
        <f aca="false">AE3164+ROW()*0.000000001</f>
        <v>45.0815821113684</v>
      </c>
    </row>
    <row r="3165" customFormat="false" ht="15" hidden="false" customHeight="false" outlineLevel="0" collapsed="false">
      <c r="A3165" s="0" t="n">
        <v>4</v>
      </c>
      <c r="B3165" s="0" t="n">
        <v>3</v>
      </c>
      <c r="C3165" s="0" t="n">
        <v>0</v>
      </c>
      <c r="D3165" s="0" t="n">
        <v>1</v>
      </c>
      <c r="E3165" s="0" t="n">
        <f aca="false">-1+A3165*0.25</f>
        <v>0</v>
      </c>
      <c r="F3165" s="0" t="n">
        <f aca="false">-1+B3165*0.25</f>
        <v>-0.25</v>
      </c>
      <c r="G3165" s="0" t="n">
        <f aca="false">-1+C3165*0.25</f>
        <v>-1</v>
      </c>
      <c r="H3165" s="0" t="n">
        <f aca="false">-1+D3165*0.25</f>
        <v>-0.75</v>
      </c>
      <c r="I3165" s="0" t="n">
        <f aca="false">1</f>
        <v>1</v>
      </c>
      <c r="J3165" s="0" t="n">
        <f aca="false">E3165</f>
        <v>0</v>
      </c>
      <c r="K3165" s="0" t="n">
        <f aca="false">F3165</f>
        <v>-0.25</v>
      </c>
      <c r="L3165" s="0" t="n">
        <f aca="false">G3165</f>
        <v>-1</v>
      </c>
      <c r="M3165" s="0" t="n">
        <f aca="false">H3165</f>
        <v>-0.75</v>
      </c>
      <c r="N3165" s="0" t="n">
        <f aca="false">E3165*F3165</f>
        <v>-0</v>
      </c>
      <c r="O3165" s="0" t="n">
        <f aca="false">E3165*G3165</f>
        <v>-0</v>
      </c>
      <c r="P3165" s="0" t="n">
        <f aca="false">E3165*H3165</f>
        <v>-0</v>
      </c>
      <c r="Q3165" s="0" t="n">
        <f aca="false">F3165*G3165</f>
        <v>0.25</v>
      </c>
      <c r="R3165" s="0" t="n">
        <f aca="false">F3165*H3165</f>
        <v>0.1875</v>
      </c>
      <c r="S3165" s="0" t="n">
        <f aca="false">G3165*H3165</f>
        <v>0.75</v>
      </c>
      <c r="T3165" s="0" t="n">
        <f aca="false">E3165*E3165</f>
        <v>0</v>
      </c>
      <c r="U3165" s="0" t="n">
        <f aca="false">F3165*F3165</f>
        <v>0.0625</v>
      </c>
      <c r="V3165" s="0" t="n">
        <f aca="false">G3165*G3165</f>
        <v>1</v>
      </c>
      <c r="W3165" s="0" t="n">
        <f aca="false">H3165*H3165</f>
        <v>0.5625</v>
      </c>
      <c r="X3165" s="0" t="n">
        <f aca="false">SUMPRODUCT(I3165:W3165,_XtX!$B$96:$P$96)</f>
        <v>45.2916986476608</v>
      </c>
      <c r="Y3165" s="0" t="n">
        <f aca="false">SUMPRODUCT(MMULT(I3165:W3165,_XtX!$B$78:$P$92),I3165:W3165)</f>
        <v>0.501534802174708</v>
      </c>
      <c r="Z3165" s="0" t="n">
        <f aca="false">04_回帰ANOVA!$K$19*04_回帰ANOVA!$K$14*SQRT(1+Y3165)</f>
        <v>1.59722498091333</v>
      </c>
      <c r="AA3165" s="0" t="n">
        <f aca="false">X3165-Z3165</f>
        <v>43.6944736667475</v>
      </c>
      <c r="AB3165" s="0" t="n">
        <f aca="false">X3165+Z3165</f>
        <v>46.8889236285741</v>
      </c>
      <c r="AC3165" s="54" t="b">
        <f aca="false">AND(E3165&gt;=01_因子設定!$L$5-0.000000001,E3165&lt;=01_因子設定!$M$5+0.000000001,F3165&gt;=01_因子設定!$L$6-0.000000001,F3165&lt;=01_因子設定!$M$6+0.000000001,G3165&gt;=01_因子設定!$L$7-0.000000001,G3165&lt;=01_因子設定!$M$7+0.000000001,H3165&gt;=01_因子設定!$L$8-0.000000001,H3165&lt;=01_因子設定!$M$8+0.000000001,IF(01_因子設定!$B$20="Box-Behnken",E3165^2+F3165^2+G3165^2+H3165^2&lt;=2+0.000000001,TRUE()))</f>
        <v>1</v>
      </c>
      <c r="AD3165" s="55" t="n">
        <f aca="false">IF(AC3165,IF(01_因子設定!$B$13="最大化",AA3165-01_因子設定!$B$14,IF(01_因子設定!$B$13="最小化",01_因子設定!$B$15-AB3165,MIN(AA3165-01_因子設定!$B$14,01_因子設定!$B$15-AB3165))),-1E+030)</f>
        <v>-2.80552633325255</v>
      </c>
      <c r="AE3165" s="55" t="n">
        <f aca="false">IF(AC3165,IF(01_因子設定!$B$13="最大化",X3165,IF(01_因子設定!$B$13="最小化",-X3165,-ABS(X3165-01_因子設定!$B$16))),-1E+030)</f>
        <v>45.2916986476608</v>
      </c>
      <c r="AF3165" s="55" t="n">
        <f aca="false">AD3165+ROW()*0.000000001</f>
        <v>-2.80552316825255</v>
      </c>
      <c r="AG3165" s="55" t="n">
        <f aca="false">AE3165+ROW()*0.000000001</f>
        <v>45.2917018126608</v>
      </c>
    </row>
    <row r="3166" customFormat="false" ht="15" hidden="false" customHeight="false" outlineLevel="0" collapsed="false">
      <c r="A3166" s="0" t="n">
        <v>4</v>
      </c>
      <c r="B3166" s="0" t="n">
        <v>3</v>
      </c>
      <c r="C3166" s="0" t="n">
        <v>0</v>
      </c>
      <c r="D3166" s="0" t="n">
        <v>2</v>
      </c>
      <c r="E3166" s="0" t="n">
        <f aca="false">-1+A3166*0.25</f>
        <v>0</v>
      </c>
      <c r="F3166" s="0" t="n">
        <f aca="false">-1+B3166*0.25</f>
        <v>-0.25</v>
      </c>
      <c r="G3166" s="0" t="n">
        <f aca="false">-1+C3166*0.25</f>
        <v>-1</v>
      </c>
      <c r="H3166" s="0" t="n">
        <f aca="false">-1+D3166*0.25</f>
        <v>-0.5</v>
      </c>
      <c r="I3166" s="0" t="n">
        <f aca="false">1</f>
        <v>1</v>
      </c>
      <c r="J3166" s="0" t="n">
        <f aca="false">E3166</f>
        <v>0</v>
      </c>
      <c r="K3166" s="0" t="n">
        <f aca="false">F3166</f>
        <v>-0.25</v>
      </c>
      <c r="L3166" s="0" t="n">
        <f aca="false">G3166</f>
        <v>-1</v>
      </c>
      <c r="M3166" s="0" t="n">
        <f aca="false">H3166</f>
        <v>-0.5</v>
      </c>
      <c r="N3166" s="0" t="n">
        <f aca="false">E3166*F3166</f>
        <v>-0</v>
      </c>
      <c r="O3166" s="0" t="n">
        <f aca="false">E3166*G3166</f>
        <v>-0</v>
      </c>
      <c r="P3166" s="0" t="n">
        <f aca="false">E3166*H3166</f>
        <v>-0</v>
      </c>
      <c r="Q3166" s="0" t="n">
        <f aca="false">F3166*G3166</f>
        <v>0.25</v>
      </c>
      <c r="R3166" s="0" t="n">
        <f aca="false">F3166*H3166</f>
        <v>0.125</v>
      </c>
      <c r="S3166" s="0" t="n">
        <f aca="false">G3166*H3166</f>
        <v>0.5</v>
      </c>
      <c r="T3166" s="0" t="n">
        <f aca="false">E3166*E3166</f>
        <v>0</v>
      </c>
      <c r="U3166" s="0" t="n">
        <f aca="false">F3166*F3166</f>
        <v>0.0625</v>
      </c>
      <c r="V3166" s="0" t="n">
        <f aca="false">G3166*G3166</f>
        <v>1</v>
      </c>
      <c r="W3166" s="0" t="n">
        <f aca="false">H3166*H3166</f>
        <v>0.25</v>
      </c>
      <c r="X3166" s="0" t="n">
        <f aca="false">SUMPRODUCT(I3166:W3166,_XtX!$B$96:$P$96)</f>
        <v>45.4540113304093</v>
      </c>
      <c r="Y3166" s="0" t="n">
        <f aca="false">SUMPRODUCT(MMULT(I3166:W3166,_XtX!$B$78:$P$92),I3166:W3166)</f>
        <v>0.457596628289474</v>
      </c>
      <c r="Z3166" s="0" t="n">
        <f aca="false">04_回帰ANOVA!$K$19*04_回帰ANOVA!$K$14*SQRT(1+Y3166)</f>
        <v>1.57368233664366</v>
      </c>
      <c r="AA3166" s="0" t="n">
        <f aca="false">X3166-Z3166</f>
        <v>43.8803289937656</v>
      </c>
      <c r="AB3166" s="0" t="n">
        <f aca="false">X3166+Z3166</f>
        <v>47.027693667053</v>
      </c>
      <c r="AC3166" s="54" t="b">
        <f aca="false">AND(E3166&gt;=01_因子設定!$L$5-0.000000001,E3166&lt;=01_因子設定!$M$5+0.000000001,F3166&gt;=01_因子設定!$L$6-0.000000001,F3166&lt;=01_因子設定!$M$6+0.000000001,G3166&gt;=01_因子設定!$L$7-0.000000001,G3166&lt;=01_因子設定!$M$7+0.000000001,H3166&gt;=01_因子設定!$L$8-0.000000001,H3166&lt;=01_因子設定!$M$8+0.000000001,IF(01_因子設定!$B$20="Box-Behnken",E3166^2+F3166^2+G3166^2+H3166^2&lt;=2+0.000000001,TRUE()))</f>
        <v>1</v>
      </c>
      <c r="AD3166" s="55" t="n">
        <f aca="false">IF(AC3166,IF(01_因子設定!$B$13="最大化",AA3166-01_因子設定!$B$14,IF(01_因子設定!$B$13="最小化",01_因子設定!$B$15-AB3166,MIN(AA3166-01_因子設定!$B$14,01_因子設定!$B$15-AB3166))),-1E+030)</f>
        <v>-2.61967100623436</v>
      </c>
      <c r="AE3166" s="55" t="n">
        <f aca="false">IF(AC3166,IF(01_因子設定!$B$13="最大化",X3166,IF(01_因子設定!$B$13="最小化",-X3166,-ABS(X3166-01_因子設定!$B$16))),-1E+030)</f>
        <v>45.4540113304093</v>
      </c>
      <c r="AF3166" s="55" t="n">
        <f aca="false">AD3166+ROW()*0.000000001</f>
        <v>-2.61966784023436</v>
      </c>
      <c r="AG3166" s="55" t="n">
        <f aca="false">AE3166+ROW()*0.000000001</f>
        <v>45.4540144964093</v>
      </c>
    </row>
    <row r="3167" customFormat="false" ht="15" hidden="false" customHeight="false" outlineLevel="0" collapsed="false">
      <c r="A3167" s="0" t="n">
        <v>4</v>
      </c>
      <c r="B3167" s="0" t="n">
        <v>3</v>
      </c>
      <c r="C3167" s="0" t="n">
        <v>0</v>
      </c>
      <c r="D3167" s="0" t="n">
        <v>3</v>
      </c>
      <c r="E3167" s="0" t="n">
        <f aca="false">-1+A3167*0.25</f>
        <v>0</v>
      </c>
      <c r="F3167" s="0" t="n">
        <f aca="false">-1+B3167*0.25</f>
        <v>-0.25</v>
      </c>
      <c r="G3167" s="0" t="n">
        <f aca="false">-1+C3167*0.25</f>
        <v>-1</v>
      </c>
      <c r="H3167" s="0" t="n">
        <f aca="false">-1+D3167*0.25</f>
        <v>-0.25</v>
      </c>
      <c r="I3167" s="0" t="n">
        <f aca="false">1</f>
        <v>1</v>
      </c>
      <c r="J3167" s="0" t="n">
        <f aca="false">E3167</f>
        <v>0</v>
      </c>
      <c r="K3167" s="0" t="n">
        <f aca="false">F3167</f>
        <v>-0.25</v>
      </c>
      <c r="L3167" s="0" t="n">
        <f aca="false">G3167</f>
        <v>-1</v>
      </c>
      <c r="M3167" s="0" t="n">
        <f aca="false">H3167</f>
        <v>-0.25</v>
      </c>
      <c r="N3167" s="0" t="n">
        <f aca="false">E3167*F3167</f>
        <v>-0</v>
      </c>
      <c r="O3167" s="0" t="n">
        <f aca="false">E3167*G3167</f>
        <v>-0</v>
      </c>
      <c r="P3167" s="0" t="n">
        <f aca="false">E3167*H3167</f>
        <v>-0</v>
      </c>
      <c r="Q3167" s="0" t="n">
        <f aca="false">F3167*G3167</f>
        <v>0.25</v>
      </c>
      <c r="R3167" s="0" t="n">
        <f aca="false">F3167*H3167</f>
        <v>0.0625</v>
      </c>
      <c r="S3167" s="0" t="n">
        <f aca="false">G3167*H3167</f>
        <v>0.25</v>
      </c>
      <c r="T3167" s="0" t="n">
        <f aca="false">E3167*E3167</f>
        <v>0</v>
      </c>
      <c r="U3167" s="0" t="n">
        <f aca="false">F3167*F3167</f>
        <v>0.0625</v>
      </c>
      <c r="V3167" s="0" t="n">
        <f aca="false">G3167*G3167</f>
        <v>1</v>
      </c>
      <c r="W3167" s="0" t="n">
        <f aca="false">H3167*H3167</f>
        <v>0.0625</v>
      </c>
      <c r="X3167" s="0" t="n">
        <f aca="false">SUMPRODUCT(I3167:W3167,_XtX!$B$96:$P$96)</f>
        <v>45.568516995614</v>
      </c>
      <c r="Y3167" s="0" t="n">
        <f aca="false">SUMPRODUCT(MMULT(I3167:W3167,_XtX!$B$78:$P$92),I3167:W3167)</f>
        <v>0.467417934484649</v>
      </c>
      <c r="Z3167" s="0" t="n">
        <f aca="false">04_回帰ANOVA!$K$19*04_回帰ANOVA!$K$14*SQRT(1+Y3167)</f>
        <v>1.57897518244497</v>
      </c>
      <c r="AA3167" s="0" t="n">
        <f aca="false">X3167-Z3167</f>
        <v>43.989541813169</v>
      </c>
      <c r="AB3167" s="0" t="n">
        <f aca="false">X3167+Z3167</f>
        <v>47.147492178059</v>
      </c>
      <c r="AC3167" s="54" t="b">
        <f aca="false">AND(E3167&gt;=01_因子設定!$L$5-0.000000001,E3167&lt;=01_因子設定!$M$5+0.000000001,F3167&gt;=01_因子設定!$L$6-0.000000001,F3167&lt;=01_因子設定!$M$6+0.000000001,G3167&gt;=01_因子設定!$L$7-0.000000001,G3167&lt;=01_因子設定!$M$7+0.000000001,H3167&gt;=01_因子設定!$L$8-0.000000001,H3167&lt;=01_因子設定!$M$8+0.000000001,IF(01_因子設定!$B$20="Box-Behnken",E3167^2+F3167^2+G3167^2+H3167^2&lt;=2+0.000000001,TRUE()))</f>
        <v>1</v>
      </c>
      <c r="AD3167" s="55" t="n">
        <f aca="false">IF(AC3167,IF(01_因子設定!$B$13="最大化",AA3167-01_因子設定!$B$14,IF(01_因子設定!$B$13="最小化",01_因子設定!$B$15-AB3167,MIN(AA3167-01_因子設定!$B$14,01_因子設定!$B$15-AB3167))),-1E+030)</f>
        <v>-2.510458186831</v>
      </c>
      <c r="AE3167" s="55" t="n">
        <f aca="false">IF(AC3167,IF(01_因子設定!$B$13="最大化",X3167,IF(01_因子設定!$B$13="最小化",-X3167,-ABS(X3167-01_因子設定!$B$16))),-1E+030)</f>
        <v>45.568516995614</v>
      </c>
      <c r="AF3167" s="55" t="n">
        <f aca="false">AD3167+ROW()*0.000000001</f>
        <v>-2.510455019831</v>
      </c>
      <c r="AG3167" s="55" t="n">
        <f aca="false">AE3167+ROW()*0.000000001</f>
        <v>45.568520162614</v>
      </c>
    </row>
    <row r="3168" customFormat="false" ht="15" hidden="false" customHeight="false" outlineLevel="0" collapsed="false">
      <c r="A3168" s="0" t="n">
        <v>4</v>
      </c>
      <c r="B3168" s="0" t="n">
        <v>3</v>
      </c>
      <c r="C3168" s="0" t="n">
        <v>0</v>
      </c>
      <c r="D3168" s="0" t="n">
        <v>4</v>
      </c>
      <c r="E3168" s="0" t="n">
        <f aca="false">-1+A3168*0.25</f>
        <v>0</v>
      </c>
      <c r="F3168" s="0" t="n">
        <f aca="false">-1+B3168*0.25</f>
        <v>-0.25</v>
      </c>
      <c r="G3168" s="0" t="n">
        <f aca="false">-1+C3168*0.25</f>
        <v>-1</v>
      </c>
      <c r="H3168" s="0" t="n">
        <f aca="false">-1+D3168*0.25</f>
        <v>0</v>
      </c>
      <c r="I3168" s="0" t="n">
        <f aca="false">1</f>
        <v>1</v>
      </c>
      <c r="J3168" s="0" t="n">
        <f aca="false">E3168</f>
        <v>0</v>
      </c>
      <c r="K3168" s="0" t="n">
        <f aca="false">F3168</f>
        <v>-0.25</v>
      </c>
      <c r="L3168" s="0" t="n">
        <f aca="false">G3168</f>
        <v>-1</v>
      </c>
      <c r="M3168" s="0" t="n">
        <f aca="false">H3168</f>
        <v>0</v>
      </c>
      <c r="N3168" s="0" t="n">
        <f aca="false">E3168*F3168</f>
        <v>-0</v>
      </c>
      <c r="O3168" s="0" t="n">
        <f aca="false">E3168*G3168</f>
        <v>-0</v>
      </c>
      <c r="P3168" s="0" t="n">
        <f aca="false">E3168*H3168</f>
        <v>0</v>
      </c>
      <c r="Q3168" s="0" t="n">
        <f aca="false">F3168*G3168</f>
        <v>0.25</v>
      </c>
      <c r="R3168" s="0" t="n">
        <f aca="false">F3168*H3168</f>
        <v>-0</v>
      </c>
      <c r="S3168" s="0" t="n">
        <f aca="false">G3168*H3168</f>
        <v>-0</v>
      </c>
      <c r="T3168" s="0" t="n">
        <f aca="false">E3168*E3168</f>
        <v>0</v>
      </c>
      <c r="U3168" s="0" t="n">
        <f aca="false">F3168*F3168</f>
        <v>0.0625</v>
      </c>
      <c r="V3168" s="0" t="n">
        <f aca="false">G3168*G3168</f>
        <v>1</v>
      </c>
      <c r="W3168" s="0" t="n">
        <f aca="false">H3168*H3168</f>
        <v>0</v>
      </c>
      <c r="X3168" s="0" t="n">
        <f aca="false">SUMPRODUCT(I3168:W3168,_XtX!$B$96:$P$96)</f>
        <v>45.6352156432748</v>
      </c>
      <c r="Y3168" s="0" t="n">
        <f aca="false">SUMPRODUCT(MMULT(I3168:W3168,_XtX!$B$78:$P$92),I3168:W3168)</f>
        <v>0.476722404970761</v>
      </c>
      <c r="Z3168" s="0" t="n">
        <f aca="false">04_回帰ANOVA!$K$19*04_回帰ANOVA!$K$14*SQRT(1+Y3168)</f>
        <v>1.58397318352695</v>
      </c>
      <c r="AA3168" s="0" t="n">
        <f aca="false">X3168-Z3168</f>
        <v>44.0512424597479</v>
      </c>
      <c r="AB3168" s="0" t="n">
        <f aca="false">X3168+Z3168</f>
        <v>47.2191888268017</v>
      </c>
      <c r="AC3168" s="54" t="b">
        <f aca="false">AND(E3168&gt;=01_因子設定!$L$5-0.000000001,E3168&lt;=01_因子設定!$M$5+0.000000001,F3168&gt;=01_因子設定!$L$6-0.000000001,F3168&lt;=01_因子設定!$M$6+0.000000001,G3168&gt;=01_因子設定!$L$7-0.000000001,G3168&lt;=01_因子設定!$M$7+0.000000001,H3168&gt;=01_因子設定!$L$8-0.000000001,H3168&lt;=01_因子設定!$M$8+0.000000001,IF(01_因子設定!$B$20="Box-Behnken",E3168^2+F3168^2+G3168^2+H3168^2&lt;=2+0.000000001,TRUE()))</f>
        <v>1</v>
      </c>
      <c r="AD3168" s="55" t="n">
        <f aca="false">IF(AC3168,IF(01_因子設定!$B$13="最大化",AA3168-01_因子設定!$B$14,IF(01_因子設定!$B$13="最小化",01_因子設定!$B$15-AB3168,MIN(AA3168-01_因子設定!$B$14,01_因子設定!$B$15-AB3168))),-1E+030)</f>
        <v>-2.44875754025215</v>
      </c>
      <c r="AE3168" s="55" t="n">
        <f aca="false">IF(AC3168,IF(01_因子設定!$B$13="最大化",X3168,IF(01_因子設定!$B$13="最小化",-X3168,-ABS(X3168-01_因子設定!$B$16))),-1E+030)</f>
        <v>45.6352156432748</v>
      </c>
      <c r="AF3168" s="55" t="n">
        <f aca="false">AD3168+ROW()*0.000000001</f>
        <v>-2.44875437225215</v>
      </c>
      <c r="AG3168" s="55" t="n">
        <f aca="false">AE3168+ROW()*0.000000001</f>
        <v>45.6352188112748</v>
      </c>
    </row>
    <row r="3169" customFormat="false" ht="15" hidden="false" customHeight="false" outlineLevel="0" collapsed="false">
      <c r="A3169" s="0" t="n">
        <v>4</v>
      </c>
      <c r="B3169" s="0" t="n">
        <v>3</v>
      </c>
      <c r="C3169" s="0" t="n">
        <v>0</v>
      </c>
      <c r="D3169" s="0" t="n">
        <v>5</v>
      </c>
      <c r="E3169" s="0" t="n">
        <f aca="false">-1+A3169*0.25</f>
        <v>0</v>
      </c>
      <c r="F3169" s="0" t="n">
        <f aca="false">-1+B3169*0.25</f>
        <v>-0.25</v>
      </c>
      <c r="G3169" s="0" t="n">
        <f aca="false">-1+C3169*0.25</f>
        <v>-1</v>
      </c>
      <c r="H3169" s="0" t="n">
        <f aca="false">-1+D3169*0.25</f>
        <v>0.25</v>
      </c>
      <c r="I3169" s="0" t="n">
        <f aca="false">1</f>
        <v>1</v>
      </c>
      <c r="J3169" s="0" t="n">
        <f aca="false">E3169</f>
        <v>0</v>
      </c>
      <c r="K3169" s="0" t="n">
        <f aca="false">F3169</f>
        <v>-0.25</v>
      </c>
      <c r="L3169" s="0" t="n">
        <f aca="false">G3169</f>
        <v>-1</v>
      </c>
      <c r="M3169" s="0" t="n">
        <f aca="false">H3169</f>
        <v>0.25</v>
      </c>
      <c r="N3169" s="0" t="n">
        <f aca="false">E3169*F3169</f>
        <v>-0</v>
      </c>
      <c r="O3169" s="0" t="n">
        <f aca="false">E3169*G3169</f>
        <v>-0</v>
      </c>
      <c r="P3169" s="0" t="n">
        <f aca="false">E3169*H3169</f>
        <v>0</v>
      </c>
      <c r="Q3169" s="0" t="n">
        <f aca="false">F3169*G3169</f>
        <v>0.25</v>
      </c>
      <c r="R3169" s="0" t="n">
        <f aca="false">F3169*H3169</f>
        <v>-0.0625</v>
      </c>
      <c r="S3169" s="0" t="n">
        <f aca="false">G3169*H3169</f>
        <v>-0.25</v>
      </c>
      <c r="T3169" s="0" t="n">
        <f aca="false">E3169*E3169</f>
        <v>0</v>
      </c>
      <c r="U3169" s="0" t="n">
        <f aca="false">F3169*F3169</f>
        <v>0.0625</v>
      </c>
      <c r="V3169" s="0" t="n">
        <f aca="false">G3169*G3169</f>
        <v>1</v>
      </c>
      <c r="W3169" s="0" t="n">
        <f aca="false">H3169*H3169</f>
        <v>0.0625</v>
      </c>
      <c r="X3169" s="0" t="n">
        <f aca="false">SUMPRODUCT(I3169:W3169,_XtX!$B$96:$P$96)</f>
        <v>45.6541072733918</v>
      </c>
      <c r="Y3169" s="0" t="n">
        <f aca="false">SUMPRODUCT(MMULT(I3169:W3169,_XtX!$B$78:$P$92),I3169:W3169)</f>
        <v>0.467417934484649</v>
      </c>
      <c r="Z3169" s="0" t="n">
        <f aca="false">04_回帰ANOVA!$K$19*04_回帰ANOVA!$K$14*SQRT(1+Y3169)</f>
        <v>1.57897518244497</v>
      </c>
      <c r="AA3169" s="0" t="n">
        <f aca="false">X3169-Z3169</f>
        <v>44.0751320909468</v>
      </c>
      <c r="AB3169" s="0" t="n">
        <f aca="false">X3169+Z3169</f>
        <v>47.2330824558367</v>
      </c>
      <c r="AC3169" s="54" t="b">
        <f aca="false">AND(E3169&gt;=01_因子設定!$L$5-0.000000001,E3169&lt;=01_因子設定!$M$5+0.000000001,F3169&gt;=01_因子設定!$L$6-0.000000001,F3169&lt;=01_因子設定!$M$6+0.000000001,G3169&gt;=01_因子設定!$L$7-0.000000001,G3169&lt;=01_因子設定!$M$7+0.000000001,H3169&gt;=01_因子設定!$L$8-0.000000001,H3169&lt;=01_因子設定!$M$8+0.000000001,IF(01_因子設定!$B$20="Box-Behnken",E3169^2+F3169^2+G3169^2+H3169^2&lt;=2+0.000000001,TRUE()))</f>
        <v>1</v>
      </c>
      <c r="AD3169" s="55" t="n">
        <f aca="false">IF(AC3169,IF(01_因子設定!$B$13="最大化",AA3169-01_因子設定!$B$14,IF(01_因子設定!$B$13="最小化",01_因子設定!$B$15-AB3169,MIN(AA3169-01_因子設定!$B$14,01_因子設定!$B$15-AB3169))),-1E+030)</f>
        <v>-2.42486790905322</v>
      </c>
      <c r="AE3169" s="55" t="n">
        <f aca="false">IF(AC3169,IF(01_因子設定!$B$13="最大化",X3169,IF(01_因子設定!$B$13="最小化",-X3169,-ABS(X3169-01_因子設定!$B$16))),-1E+030)</f>
        <v>45.6541072733918</v>
      </c>
      <c r="AF3169" s="55" t="n">
        <f aca="false">AD3169+ROW()*0.000000001</f>
        <v>-2.42486474005322</v>
      </c>
      <c r="AG3169" s="55" t="n">
        <f aca="false">AE3169+ROW()*0.000000001</f>
        <v>45.6541104423918</v>
      </c>
    </row>
    <row r="3170" customFormat="false" ht="15" hidden="false" customHeight="false" outlineLevel="0" collapsed="false">
      <c r="A3170" s="0" t="n">
        <v>4</v>
      </c>
      <c r="B3170" s="0" t="n">
        <v>3</v>
      </c>
      <c r="C3170" s="0" t="n">
        <v>0</v>
      </c>
      <c r="D3170" s="0" t="n">
        <v>6</v>
      </c>
      <c r="E3170" s="0" t="n">
        <f aca="false">-1+A3170*0.25</f>
        <v>0</v>
      </c>
      <c r="F3170" s="0" t="n">
        <f aca="false">-1+B3170*0.25</f>
        <v>-0.25</v>
      </c>
      <c r="G3170" s="0" t="n">
        <f aca="false">-1+C3170*0.25</f>
        <v>-1</v>
      </c>
      <c r="H3170" s="0" t="n">
        <f aca="false">-1+D3170*0.25</f>
        <v>0.5</v>
      </c>
      <c r="I3170" s="0" t="n">
        <f aca="false">1</f>
        <v>1</v>
      </c>
      <c r="J3170" s="0" t="n">
        <f aca="false">E3170</f>
        <v>0</v>
      </c>
      <c r="K3170" s="0" t="n">
        <f aca="false">F3170</f>
        <v>-0.25</v>
      </c>
      <c r="L3170" s="0" t="n">
        <f aca="false">G3170</f>
        <v>-1</v>
      </c>
      <c r="M3170" s="0" t="n">
        <f aca="false">H3170</f>
        <v>0.5</v>
      </c>
      <c r="N3170" s="0" t="n">
        <f aca="false">E3170*F3170</f>
        <v>-0</v>
      </c>
      <c r="O3170" s="0" t="n">
        <f aca="false">E3170*G3170</f>
        <v>-0</v>
      </c>
      <c r="P3170" s="0" t="n">
        <f aca="false">E3170*H3170</f>
        <v>0</v>
      </c>
      <c r="Q3170" s="0" t="n">
        <f aca="false">F3170*G3170</f>
        <v>0.25</v>
      </c>
      <c r="R3170" s="0" t="n">
        <f aca="false">F3170*H3170</f>
        <v>-0.125</v>
      </c>
      <c r="S3170" s="0" t="n">
        <f aca="false">G3170*H3170</f>
        <v>-0.5</v>
      </c>
      <c r="T3170" s="0" t="n">
        <f aca="false">E3170*E3170</f>
        <v>0</v>
      </c>
      <c r="U3170" s="0" t="n">
        <f aca="false">F3170*F3170</f>
        <v>0.0625</v>
      </c>
      <c r="V3170" s="0" t="n">
        <f aca="false">G3170*G3170</f>
        <v>1</v>
      </c>
      <c r="W3170" s="0" t="n">
        <f aca="false">H3170*H3170</f>
        <v>0.25</v>
      </c>
      <c r="X3170" s="0" t="n">
        <f aca="false">SUMPRODUCT(I3170:W3170,_XtX!$B$96:$P$96)</f>
        <v>45.6251918859649</v>
      </c>
      <c r="Y3170" s="0" t="n">
        <f aca="false">SUMPRODUCT(MMULT(I3170:W3170,_XtX!$B$78:$P$92),I3170:W3170)</f>
        <v>0.457596628289474</v>
      </c>
      <c r="Z3170" s="0" t="n">
        <f aca="false">04_回帰ANOVA!$K$19*04_回帰ANOVA!$K$14*SQRT(1+Y3170)</f>
        <v>1.57368233664366</v>
      </c>
      <c r="AA3170" s="0" t="n">
        <f aca="false">X3170-Z3170</f>
        <v>44.0515095493212</v>
      </c>
      <c r="AB3170" s="0" t="n">
        <f aca="false">X3170+Z3170</f>
        <v>47.1988742226085</v>
      </c>
      <c r="AC3170" s="54" t="b">
        <f aca="false">AND(E3170&gt;=01_因子設定!$L$5-0.000000001,E3170&lt;=01_因子設定!$M$5+0.000000001,F3170&gt;=01_因子設定!$L$6-0.000000001,F3170&lt;=01_因子設定!$M$6+0.000000001,G3170&gt;=01_因子設定!$L$7-0.000000001,G3170&lt;=01_因子設定!$M$7+0.000000001,H3170&gt;=01_因子設定!$L$8-0.000000001,H3170&lt;=01_因子設定!$M$8+0.000000001,IF(01_因子設定!$B$20="Box-Behnken",E3170^2+F3170^2+G3170^2+H3170^2&lt;=2+0.000000001,TRUE()))</f>
        <v>1</v>
      </c>
      <c r="AD3170" s="55" t="n">
        <f aca="false">IF(AC3170,IF(01_因子設定!$B$13="最大化",AA3170-01_因子設定!$B$14,IF(01_因子設定!$B$13="最小化",01_因子設定!$B$15-AB3170,MIN(AA3170-01_因子設定!$B$14,01_因子設定!$B$15-AB3170))),-1E+030)</f>
        <v>-2.4484904506788</v>
      </c>
      <c r="AE3170" s="55" t="n">
        <f aca="false">IF(AC3170,IF(01_因子設定!$B$13="最大化",X3170,IF(01_因子設定!$B$13="最小化",-X3170,-ABS(X3170-01_因子設定!$B$16))),-1E+030)</f>
        <v>45.6251918859649</v>
      </c>
      <c r="AF3170" s="55" t="n">
        <f aca="false">AD3170+ROW()*0.000000001</f>
        <v>-2.4484872806788</v>
      </c>
      <c r="AG3170" s="55" t="n">
        <f aca="false">AE3170+ROW()*0.000000001</f>
        <v>45.6251950559649</v>
      </c>
    </row>
    <row r="3171" customFormat="false" ht="15" hidden="false" customHeight="false" outlineLevel="0" collapsed="false">
      <c r="A3171" s="0" t="n">
        <v>4</v>
      </c>
      <c r="B3171" s="0" t="n">
        <v>3</v>
      </c>
      <c r="C3171" s="0" t="n">
        <v>0</v>
      </c>
      <c r="D3171" s="0" t="n">
        <v>7</v>
      </c>
      <c r="E3171" s="0" t="n">
        <f aca="false">-1+A3171*0.25</f>
        <v>0</v>
      </c>
      <c r="F3171" s="0" t="n">
        <f aca="false">-1+B3171*0.25</f>
        <v>-0.25</v>
      </c>
      <c r="G3171" s="0" t="n">
        <f aca="false">-1+C3171*0.25</f>
        <v>-1</v>
      </c>
      <c r="H3171" s="0" t="n">
        <f aca="false">-1+D3171*0.25</f>
        <v>0.75</v>
      </c>
      <c r="I3171" s="0" t="n">
        <f aca="false">1</f>
        <v>1</v>
      </c>
      <c r="J3171" s="0" t="n">
        <f aca="false">E3171</f>
        <v>0</v>
      </c>
      <c r="K3171" s="0" t="n">
        <f aca="false">F3171</f>
        <v>-0.25</v>
      </c>
      <c r="L3171" s="0" t="n">
        <f aca="false">G3171</f>
        <v>-1</v>
      </c>
      <c r="M3171" s="0" t="n">
        <f aca="false">H3171</f>
        <v>0.75</v>
      </c>
      <c r="N3171" s="0" t="n">
        <f aca="false">E3171*F3171</f>
        <v>-0</v>
      </c>
      <c r="O3171" s="0" t="n">
        <f aca="false">E3171*G3171</f>
        <v>-0</v>
      </c>
      <c r="P3171" s="0" t="n">
        <f aca="false">E3171*H3171</f>
        <v>0</v>
      </c>
      <c r="Q3171" s="0" t="n">
        <f aca="false">F3171*G3171</f>
        <v>0.25</v>
      </c>
      <c r="R3171" s="0" t="n">
        <f aca="false">F3171*H3171</f>
        <v>-0.1875</v>
      </c>
      <c r="S3171" s="0" t="n">
        <f aca="false">G3171*H3171</f>
        <v>-0.75</v>
      </c>
      <c r="T3171" s="0" t="n">
        <f aca="false">E3171*E3171</f>
        <v>0</v>
      </c>
      <c r="U3171" s="0" t="n">
        <f aca="false">F3171*F3171</f>
        <v>0.0625</v>
      </c>
      <c r="V3171" s="0" t="n">
        <f aca="false">G3171*G3171</f>
        <v>1</v>
      </c>
      <c r="W3171" s="0" t="n">
        <f aca="false">H3171*H3171</f>
        <v>0.5625</v>
      </c>
      <c r="X3171" s="0" t="n">
        <f aca="false">SUMPRODUCT(I3171:W3171,_XtX!$B$96:$P$96)</f>
        <v>45.5484694809941</v>
      </c>
      <c r="Y3171" s="0" t="n">
        <f aca="false">SUMPRODUCT(MMULT(I3171:W3171,_XtX!$B$78:$P$92),I3171:W3171)</f>
        <v>0.501534802174708</v>
      </c>
      <c r="Z3171" s="0" t="n">
        <f aca="false">04_回帰ANOVA!$K$19*04_回帰ANOVA!$K$14*SQRT(1+Y3171)</f>
        <v>1.59722498091333</v>
      </c>
      <c r="AA3171" s="0" t="n">
        <f aca="false">X3171-Z3171</f>
        <v>43.9512445000808</v>
      </c>
      <c r="AB3171" s="0" t="n">
        <f aca="false">X3171+Z3171</f>
        <v>47.1456944619074</v>
      </c>
      <c r="AC3171" s="54" t="b">
        <f aca="false">AND(E3171&gt;=01_因子設定!$L$5-0.000000001,E3171&lt;=01_因子設定!$M$5+0.000000001,F3171&gt;=01_因子設定!$L$6-0.000000001,F3171&lt;=01_因子設定!$M$6+0.000000001,G3171&gt;=01_因子設定!$L$7-0.000000001,G3171&lt;=01_因子設定!$M$7+0.000000001,H3171&gt;=01_因子設定!$L$8-0.000000001,H3171&lt;=01_因子設定!$M$8+0.000000001,IF(01_因子設定!$B$20="Box-Behnken",E3171^2+F3171^2+G3171^2+H3171^2&lt;=2+0.000000001,TRUE()))</f>
        <v>1</v>
      </c>
      <c r="AD3171" s="55" t="n">
        <f aca="false">IF(AC3171,IF(01_因子設定!$B$13="最大化",AA3171-01_因子設定!$B$14,IF(01_因子設定!$B$13="最小化",01_因子設定!$B$15-AB3171,MIN(AA3171-01_因子設定!$B$14,01_因子設定!$B$15-AB3171))),-1E+030)</f>
        <v>-2.54875549991922</v>
      </c>
      <c r="AE3171" s="55" t="n">
        <f aca="false">IF(AC3171,IF(01_因子設定!$B$13="最大化",X3171,IF(01_因子設定!$B$13="最小化",-X3171,-ABS(X3171-01_因子設定!$B$16))),-1E+030)</f>
        <v>45.5484694809941</v>
      </c>
      <c r="AF3171" s="55" t="n">
        <f aca="false">AD3171+ROW()*0.000000001</f>
        <v>-2.54875232891922</v>
      </c>
      <c r="AG3171" s="55" t="n">
        <f aca="false">AE3171+ROW()*0.000000001</f>
        <v>45.5484726519941</v>
      </c>
    </row>
    <row r="3172" customFormat="false" ht="15" hidden="false" customHeight="false" outlineLevel="0" collapsed="false">
      <c r="A3172" s="0" t="n">
        <v>4</v>
      </c>
      <c r="B3172" s="0" t="n">
        <v>3</v>
      </c>
      <c r="C3172" s="0" t="n">
        <v>0</v>
      </c>
      <c r="D3172" s="0" t="n">
        <v>8</v>
      </c>
      <c r="E3172" s="0" t="n">
        <f aca="false">-1+A3172*0.25</f>
        <v>0</v>
      </c>
      <c r="F3172" s="0" t="n">
        <f aca="false">-1+B3172*0.25</f>
        <v>-0.25</v>
      </c>
      <c r="G3172" s="0" t="n">
        <f aca="false">-1+C3172*0.25</f>
        <v>-1</v>
      </c>
      <c r="H3172" s="0" t="n">
        <f aca="false">-1+D3172*0.25</f>
        <v>1</v>
      </c>
      <c r="I3172" s="0" t="n">
        <f aca="false">1</f>
        <v>1</v>
      </c>
      <c r="J3172" s="0" t="n">
        <f aca="false">E3172</f>
        <v>0</v>
      </c>
      <c r="K3172" s="0" t="n">
        <f aca="false">F3172</f>
        <v>-0.25</v>
      </c>
      <c r="L3172" s="0" t="n">
        <f aca="false">G3172</f>
        <v>-1</v>
      </c>
      <c r="M3172" s="0" t="n">
        <f aca="false">H3172</f>
        <v>1</v>
      </c>
      <c r="N3172" s="0" t="n">
        <f aca="false">E3172*F3172</f>
        <v>-0</v>
      </c>
      <c r="O3172" s="0" t="n">
        <f aca="false">E3172*G3172</f>
        <v>-0</v>
      </c>
      <c r="P3172" s="0" t="n">
        <f aca="false">E3172*H3172</f>
        <v>0</v>
      </c>
      <c r="Q3172" s="0" t="n">
        <f aca="false">F3172*G3172</f>
        <v>0.25</v>
      </c>
      <c r="R3172" s="0" t="n">
        <f aca="false">F3172*H3172</f>
        <v>-0.25</v>
      </c>
      <c r="S3172" s="0" t="n">
        <f aca="false">G3172*H3172</f>
        <v>-1</v>
      </c>
      <c r="T3172" s="0" t="n">
        <f aca="false">E3172*E3172</f>
        <v>0</v>
      </c>
      <c r="U3172" s="0" t="n">
        <f aca="false">F3172*F3172</f>
        <v>0.0625</v>
      </c>
      <c r="V3172" s="0" t="n">
        <f aca="false">G3172*G3172</f>
        <v>1</v>
      </c>
      <c r="W3172" s="0" t="n">
        <f aca="false">H3172*H3172</f>
        <v>1</v>
      </c>
      <c r="X3172" s="0" t="n">
        <f aca="false">SUMPRODUCT(I3172:W3172,_XtX!$B$96:$P$96)</f>
        <v>45.4239400584795</v>
      </c>
      <c r="Y3172" s="0" t="n">
        <f aca="false">SUMPRODUCT(MMULT(I3172:W3172,_XtX!$B$78:$P$92),I3172:W3172)</f>
        <v>0.689692982456141</v>
      </c>
      <c r="Z3172" s="0" t="n">
        <f aca="false">04_回帰ANOVA!$K$19*04_回帰ANOVA!$K$14*SQRT(1+Y3172)</f>
        <v>1.69434674594998</v>
      </c>
      <c r="AA3172" s="0" t="n">
        <f aca="false">X3172-Z3172</f>
        <v>43.7295933125295</v>
      </c>
      <c r="AB3172" s="0" t="n">
        <f aca="false">X3172+Z3172</f>
        <v>47.1182868044295</v>
      </c>
      <c r="AC3172" s="54" t="b">
        <f aca="false">AND(E3172&gt;=01_因子設定!$L$5-0.000000001,E3172&lt;=01_因子設定!$M$5+0.000000001,F3172&gt;=01_因子設定!$L$6-0.000000001,F3172&lt;=01_因子設定!$M$6+0.000000001,G3172&gt;=01_因子設定!$L$7-0.000000001,G3172&lt;=01_因子設定!$M$7+0.000000001,H3172&gt;=01_因子設定!$L$8-0.000000001,H3172&lt;=01_因子設定!$M$8+0.000000001,IF(01_因子設定!$B$20="Box-Behnken",E3172^2+F3172^2+G3172^2+H3172^2&lt;=2+0.000000001,TRUE()))</f>
        <v>1</v>
      </c>
      <c r="AD3172" s="55" t="n">
        <f aca="false">IF(AC3172,IF(01_因子設定!$B$13="最大化",AA3172-01_因子設定!$B$14,IF(01_因子設定!$B$13="最小化",01_因子設定!$B$15-AB3172,MIN(AA3172-01_因子設定!$B$14,01_因子設定!$B$15-AB3172))),-1E+030)</f>
        <v>-2.77040668747048</v>
      </c>
      <c r="AE3172" s="55" t="n">
        <f aca="false">IF(AC3172,IF(01_因子設定!$B$13="最大化",X3172,IF(01_因子設定!$B$13="最小化",-X3172,-ABS(X3172-01_因子設定!$B$16))),-1E+030)</f>
        <v>45.4239400584795</v>
      </c>
      <c r="AF3172" s="55" t="n">
        <f aca="false">AD3172+ROW()*0.000000001</f>
        <v>-2.77040351547048</v>
      </c>
      <c r="AG3172" s="55" t="n">
        <f aca="false">AE3172+ROW()*0.000000001</f>
        <v>45.4239432304795</v>
      </c>
    </row>
    <row r="3173" customFormat="false" ht="15" hidden="false" customHeight="false" outlineLevel="0" collapsed="false">
      <c r="A3173" s="0" t="n">
        <v>4</v>
      </c>
      <c r="B3173" s="0" t="n">
        <v>3</v>
      </c>
      <c r="C3173" s="0" t="n">
        <v>1</v>
      </c>
      <c r="D3173" s="0" t="n">
        <v>0</v>
      </c>
      <c r="E3173" s="0" t="n">
        <f aca="false">-1+A3173*0.25</f>
        <v>0</v>
      </c>
      <c r="F3173" s="0" t="n">
        <f aca="false">-1+B3173*0.25</f>
        <v>-0.25</v>
      </c>
      <c r="G3173" s="0" t="n">
        <f aca="false">-1+C3173*0.25</f>
        <v>-0.75</v>
      </c>
      <c r="H3173" s="0" t="n">
        <f aca="false">-1+D3173*0.25</f>
        <v>-1</v>
      </c>
      <c r="I3173" s="0" t="n">
        <f aca="false">1</f>
        <v>1</v>
      </c>
      <c r="J3173" s="0" t="n">
        <f aca="false">E3173</f>
        <v>0</v>
      </c>
      <c r="K3173" s="0" t="n">
        <f aca="false">F3173</f>
        <v>-0.25</v>
      </c>
      <c r="L3173" s="0" t="n">
        <f aca="false">G3173</f>
        <v>-0.75</v>
      </c>
      <c r="M3173" s="0" t="n">
        <f aca="false">H3173</f>
        <v>-1</v>
      </c>
      <c r="N3173" s="0" t="n">
        <f aca="false">E3173*F3173</f>
        <v>-0</v>
      </c>
      <c r="O3173" s="0" t="n">
        <f aca="false">E3173*G3173</f>
        <v>-0</v>
      </c>
      <c r="P3173" s="0" t="n">
        <f aca="false">E3173*H3173</f>
        <v>-0</v>
      </c>
      <c r="Q3173" s="0" t="n">
        <f aca="false">F3173*G3173</f>
        <v>0.1875</v>
      </c>
      <c r="R3173" s="0" t="n">
        <f aca="false">F3173*H3173</f>
        <v>0.25</v>
      </c>
      <c r="S3173" s="0" t="n">
        <f aca="false">G3173*H3173</f>
        <v>0.75</v>
      </c>
      <c r="T3173" s="0" t="n">
        <f aca="false">E3173*E3173</f>
        <v>0</v>
      </c>
      <c r="U3173" s="0" t="n">
        <f aca="false">F3173*F3173</f>
        <v>0.0625</v>
      </c>
      <c r="V3173" s="0" t="n">
        <f aca="false">G3173*G3173</f>
        <v>0.5625</v>
      </c>
      <c r="W3173" s="0" t="n">
        <f aca="false">H3173*H3173</f>
        <v>1</v>
      </c>
      <c r="X3173" s="0" t="n">
        <f aca="false">SUMPRODUCT(I3173:W3173,_XtX!$B$96:$P$96)</f>
        <v>45.5345805921052</v>
      </c>
      <c r="Y3173" s="0" t="n">
        <f aca="false">SUMPRODUCT(MMULT(I3173:W3173,_XtX!$B$78:$P$92),I3173:W3173)</f>
        <v>0.501534802174708</v>
      </c>
      <c r="Z3173" s="0" t="n">
        <f aca="false">04_回帰ANOVA!$K$19*04_回帰ANOVA!$K$14*SQRT(1+Y3173)</f>
        <v>1.59722498091333</v>
      </c>
      <c r="AA3173" s="0" t="n">
        <f aca="false">X3173-Z3173</f>
        <v>43.9373556111919</v>
      </c>
      <c r="AB3173" s="0" t="n">
        <f aca="false">X3173+Z3173</f>
        <v>47.1318055730186</v>
      </c>
      <c r="AC3173" s="54" t="b">
        <f aca="false">AND(E3173&gt;=01_因子設定!$L$5-0.000000001,E3173&lt;=01_因子設定!$M$5+0.000000001,F3173&gt;=01_因子設定!$L$6-0.000000001,F3173&lt;=01_因子設定!$M$6+0.000000001,G3173&gt;=01_因子設定!$L$7-0.000000001,G3173&lt;=01_因子設定!$M$7+0.000000001,H3173&gt;=01_因子設定!$L$8-0.000000001,H3173&lt;=01_因子設定!$M$8+0.000000001,IF(01_因子設定!$B$20="Box-Behnken",E3173^2+F3173^2+G3173^2+H3173^2&lt;=2+0.000000001,TRUE()))</f>
        <v>1</v>
      </c>
      <c r="AD3173" s="55" t="n">
        <f aca="false">IF(AC3173,IF(01_因子設定!$B$13="最大化",AA3173-01_因子設定!$B$14,IF(01_因子設定!$B$13="最小化",01_因子設定!$B$15-AB3173,MIN(AA3173-01_因子設定!$B$14,01_因子設定!$B$15-AB3173))),-1E+030)</f>
        <v>-2.5626443888081</v>
      </c>
      <c r="AE3173" s="55" t="n">
        <f aca="false">IF(AC3173,IF(01_因子設定!$B$13="最大化",X3173,IF(01_因子設定!$B$13="最小化",-X3173,-ABS(X3173-01_因子設定!$B$16))),-1E+030)</f>
        <v>45.5345805921052</v>
      </c>
      <c r="AF3173" s="55" t="n">
        <f aca="false">AD3173+ROW()*0.000000001</f>
        <v>-2.5626412158081</v>
      </c>
      <c r="AG3173" s="55" t="n">
        <f aca="false">AE3173+ROW()*0.000000001</f>
        <v>45.5345837651052</v>
      </c>
    </row>
    <row r="3174" customFormat="false" ht="15" hidden="false" customHeight="false" outlineLevel="0" collapsed="false">
      <c r="A3174" s="0" t="n">
        <v>4</v>
      </c>
      <c r="B3174" s="0" t="n">
        <v>3</v>
      </c>
      <c r="C3174" s="0" t="n">
        <v>1</v>
      </c>
      <c r="D3174" s="0" t="n">
        <v>1</v>
      </c>
      <c r="E3174" s="0" t="n">
        <f aca="false">-1+A3174*0.25</f>
        <v>0</v>
      </c>
      <c r="F3174" s="0" t="n">
        <f aca="false">-1+B3174*0.25</f>
        <v>-0.25</v>
      </c>
      <c r="G3174" s="0" t="n">
        <f aca="false">-1+C3174*0.25</f>
        <v>-0.75</v>
      </c>
      <c r="H3174" s="0" t="n">
        <f aca="false">-1+D3174*0.25</f>
        <v>-0.75</v>
      </c>
      <c r="I3174" s="0" t="n">
        <f aca="false">1</f>
        <v>1</v>
      </c>
      <c r="J3174" s="0" t="n">
        <f aca="false">E3174</f>
        <v>0</v>
      </c>
      <c r="K3174" s="0" t="n">
        <f aca="false">F3174</f>
        <v>-0.25</v>
      </c>
      <c r="L3174" s="0" t="n">
        <f aca="false">G3174</f>
        <v>-0.75</v>
      </c>
      <c r="M3174" s="0" t="n">
        <f aca="false">H3174</f>
        <v>-0.75</v>
      </c>
      <c r="N3174" s="0" t="n">
        <f aca="false">E3174*F3174</f>
        <v>-0</v>
      </c>
      <c r="O3174" s="0" t="n">
        <f aca="false">E3174*G3174</f>
        <v>-0</v>
      </c>
      <c r="P3174" s="0" t="n">
        <f aca="false">E3174*H3174</f>
        <v>-0</v>
      </c>
      <c r="Q3174" s="0" t="n">
        <f aca="false">F3174*G3174</f>
        <v>0.1875</v>
      </c>
      <c r="R3174" s="0" t="n">
        <f aca="false">F3174*H3174</f>
        <v>0.1875</v>
      </c>
      <c r="S3174" s="0" t="n">
        <f aca="false">G3174*H3174</f>
        <v>0.5625</v>
      </c>
      <c r="T3174" s="0" t="n">
        <f aca="false">E3174*E3174</f>
        <v>0</v>
      </c>
      <c r="U3174" s="0" t="n">
        <f aca="false">F3174*F3174</f>
        <v>0.0625</v>
      </c>
      <c r="V3174" s="0" t="n">
        <f aca="false">G3174*G3174</f>
        <v>0.5625</v>
      </c>
      <c r="W3174" s="0" t="n">
        <f aca="false">H3174*H3174</f>
        <v>0.5625</v>
      </c>
      <c r="X3174" s="0" t="n">
        <f aca="false">SUMPRODUCT(I3174:W3174,_XtX!$B$96:$P$96)</f>
        <v>45.7626690423976</v>
      </c>
      <c r="Y3174" s="0" t="n">
        <f aca="false">SUMPRODUCT(MMULT(I3174:W3174,_XtX!$B$78:$P$92),I3174:W3174)</f>
        <v>0.281685455500731</v>
      </c>
      <c r="Z3174" s="0" t="n">
        <f aca="false">04_回帰ANOVA!$K$19*04_回帰ANOVA!$K$14*SQRT(1+Y3174)</f>
        <v>1.47566956658694</v>
      </c>
      <c r="AA3174" s="0" t="n">
        <f aca="false">X3174-Z3174</f>
        <v>44.2869994758107</v>
      </c>
      <c r="AB3174" s="0" t="n">
        <f aca="false">X3174+Z3174</f>
        <v>47.2383386089846</v>
      </c>
      <c r="AC3174" s="54" t="b">
        <f aca="false">AND(E3174&gt;=01_因子設定!$L$5-0.000000001,E3174&lt;=01_因子設定!$M$5+0.000000001,F3174&gt;=01_因子設定!$L$6-0.000000001,F3174&lt;=01_因子設定!$M$6+0.000000001,G3174&gt;=01_因子設定!$L$7-0.000000001,G3174&lt;=01_因子設定!$M$7+0.000000001,H3174&gt;=01_因子設定!$L$8-0.000000001,H3174&lt;=01_因子設定!$M$8+0.000000001,IF(01_因子設定!$B$20="Box-Behnken",E3174^2+F3174^2+G3174^2+H3174^2&lt;=2+0.000000001,TRUE()))</f>
        <v>1</v>
      </c>
      <c r="AD3174" s="55" t="n">
        <f aca="false">IF(AC3174,IF(01_因子設定!$B$13="最大化",AA3174-01_因子設定!$B$14,IF(01_因子設定!$B$13="最小化",01_因子設定!$B$15-AB3174,MIN(AA3174-01_因子設定!$B$14,01_因子設定!$B$15-AB3174))),-1E+030)</f>
        <v>-2.21300052418932</v>
      </c>
      <c r="AE3174" s="55" t="n">
        <f aca="false">IF(AC3174,IF(01_因子設定!$B$13="最大化",X3174,IF(01_因子設定!$B$13="最小化",-X3174,-ABS(X3174-01_因子設定!$B$16))),-1E+030)</f>
        <v>45.7626690423976</v>
      </c>
      <c r="AF3174" s="55" t="n">
        <f aca="false">AD3174+ROW()*0.000000001</f>
        <v>-2.21299735018932</v>
      </c>
      <c r="AG3174" s="55" t="n">
        <f aca="false">AE3174+ROW()*0.000000001</f>
        <v>45.7626722163976</v>
      </c>
    </row>
    <row r="3175" customFormat="false" ht="15" hidden="false" customHeight="false" outlineLevel="0" collapsed="false">
      <c r="A3175" s="0" t="n">
        <v>4</v>
      </c>
      <c r="B3175" s="0" t="n">
        <v>3</v>
      </c>
      <c r="C3175" s="0" t="n">
        <v>1</v>
      </c>
      <c r="D3175" s="0" t="n">
        <v>2</v>
      </c>
      <c r="E3175" s="0" t="n">
        <f aca="false">-1+A3175*0.25</f>
        <v>0</v>
      </c>
      <c r="F3175" s="0" t="n">
        <f aca="false">-1+B3175*0.25</f>
        <v>-0.25</v>
      </c>
      <c r="G3175" s="0" t="n">
        <f aca="false">-1+C3175*0.25</f>
        <v>-0.75</v>
      </c>
      <c r="H3175" s="0" t="n">
        <f aca="false">-1+D3175*0.25</f>
        <v>-0.5</v>
      </c>
      <c r="I3175" s="0" t="n">
        <f aca="false">1</f>
        <v>1</v>
      </c>
      <c r="J3175" s="0" t="n">
        <f aca="false">E3175</f>
        <v>0</v>
      </c>
      <c r="K3175" s="0" t="n">
        <f aca="false">F3175</f>
        <v>-0.25</v>
      </c>
      <c r="L3175" s="0" t="n">
        <f aca="false">G3175</f>
        <v>-0.75</v>
      </c>
      <c r="M3175" s="0" t="n">
        <f aca="false">H3175</f>
        <v>-0.5</v>
      </c>
      <c r="N3175" s="0" t="n">
        <f aca="false">E3175*F3175</f>
        <v>-0</v>
      </c>
      <c r="O3175" s="0" t="n">
        <f aca="false">E3175*G3175</f>
        <v>-0</v>
      </c>
      <c r="P3175" s="0" t="n">
        <f aca="false">E3175*H3175</f>
        <v>-0</v>
      </c>
      <c r="Q3175" s="0" t="n">
        <f aca="false">F3175*G3175</f>
        <v>0.1875</v>
      </c>
      <c r="R3175" s="0" t="n">
        <f aca="false">F3175*H3175</f>
        <v>0.125</v>
      </c>
      <c r="S3175" s="0" t="n">
        <f aca="false">G3175*H3175</f>
        <v>0.375</v>
      </c>
      <c r="T3175" s="0" t="n">
        <f aca="false">E3175*E3175</f>
        <v>0</v>
      </c>
      <c r="U3175" s="0" t="n">
        <f aca="false">F3175*F3175</f>
        <v>0.0625</v>
      </c>
      <c r="V3175" s="0" t="n">
        <f aca="false">G3175*G3175</f>
        <v>0.5625</v>
      </c>
      <c r="W3175" s="0" t="n">
        <f aca="false">H3175*H3175</f>
        <v>0.25</v>
      </c>
      <c r="X3175" s="0" t="n">
        <f aca="false">SUMPRODUCT(I3175:W3175,_XtX!$B$96:$P$96)</f>
        <v>45.9429504751462</v>
      </c>
      <c r="Y3175" s="0" t="n">
        <f aca="false">SUMPRODUCT(MMULT(I3175:W3175,_XtX!$B$78:$P$92),I3175:W3175)</f>
        <v>0.215110734192252</v>
      </c>
      <c r="Z3175" s="0" t="n">
        <f aca="false">04_回帰ANOVA!$K$19*04_回帰ANOVA!$K$14*SQRT(1+Y3175)</f>
        <v>1.43683309086864</v>
      </c>
      <c r="AA3175" s="0" t="n">
        <f aca="false">X3175-Z3175</f>
        <v>44.5061173842775</v>
      </c>
      <c r="AB3175" s="0" t="n">
        <f aca="false">X3175+Z3175</f>
        <v>47.3797835660148</v>
      </c>
      <c r="AC3175" s="54" t="b">
        <f aca="false">AND(E3175&gt;=01_因子設定!$L$5-0.000000001,E3175&lt;=01_因子設定!$M$5+0.000000001,F3175&gt;=01_因子設定!$L$6-0.000000001,F3175&lt;=01_因子設定!$M$6+0.000000001,G3175&gt;=01_因子設定!$L$7-0.000000001,G3175&lt;=01_因子設定!$M$7+0.000000001,H3175&gt;=01_因子設定!$L$8-0.000000001,H3175&lt;=01_因子設定!$M$8+0.000000001,IF(01_因子設定!$B$20="Box-Behnken",E3175^2+F3175^2+G3175^2+H3175^2&lt;=2+0.000000001,TRUE()))</f>
        <v>1</v>
      </c>
      <c r="AD3175" s="55" t="n">
        <f aca="false">IF(AC3175,IF(01_因子設定!$B$13="最大化",AA3175-01_因子設定!$B$14,IF(01_因子設定!$B$13="最小化",01_因子設定!$B$15-AB3175,MIN(AA3175-01_因子設定!$B$14,01_因子設定!$B$15-AB3175))),-1E+030)</f>
        <v>-1.9938826157225</v>
      </c>
      <c r="AE3175" s="55" t="n">
        <f aca="false">IF(AC3175,IF(01_因子設定!$B$13="最大化",X3175,IF(01_因子設定!$B$13="最小化",-X3175,-ABS(X3175-01_因子設定!$B$16))),-1E+030)</f>
        <v>45.9429504751462</v>
      </c>
      <c r="AF3175" s="55" t="n">
        <f aca="false">AD3175+ROW()*0.000000001</f>
        <v>-1.9938794407225</v>
      </c>
      <c r="AG3175" s="55" t="n">
        <f aca="false">AE3175+ROW()*0.000000001</f>
        <v>45.9429536501462</v>
      </c>
    </row>
    <row r="3176" customFormat="false" ht="15" hidden="false" customHeight="false" outlineLevel="0" collapsed="false">
      <c r="A3176" s="0" t="n">
        <v>4</v>
      </c>
      <c r="B3176" s="0" t="n">
        <v>3</v>
      </c>
      <c r="C3176" s="0" t="n">
        <v>1</v>
      </c>
      <c r="D3176" s="0" t="n">
        <v>3</v>
      </c>
      <c r="E3176" s="0" t="n">
        <f aca="false">-1+A3176*0.25</f>
        <v>0</v>
      </c>
      <c r="F3176" s="0" t="n">
        <f aca="false">-1+B3176*0.25</f>
        <v>-0.25</v>
      </c>
      <c r="G3176" s="0" t="n">
        <f aca="false">-1+C3176*0.25</f>
        <v>-0.75</v>
      </c>
      <c r="H3176" s="0" t="n">
        <f aca="false">-1+D3176*0.25</f>
        <v>-0.25</v>
      </c>
      <c r="I3176" s="0" t="n">
        <f aca="false">1</f>
        <v>1</v>
      </c>
      <c r="J3176" s="0" t="n">
        <f aca="false">E3176</f>
        <v>0</v>
      </c>
      <c r="K3176" s="0" t="n">
        <f aca="false">F3176</f>
        <v>-0.25</v>
      </c>
      <c r="L3176" s="0" t="n">
        <f aca="false">G3176</f>
        <v>-0.75</v>
      </c>
      <c r="M3176" s="0" t="n">
        <f aca="false">H3176</f>
        <v>-0.25</v>
      </c>
      <c r="N3176" s="0" t="n">
        <f aca="false">E3176*F3176</f>
        <v>-0</v>
      </c>
      <c r="O3176" s="0" t="n">
        <f aca="false">E3176*G3176</f>
        <v>-0</v>
      </c>
      <c r="P3176" s="0" t="n">
        <f aca="false">E3176*H3176</f>
        <v>-0</v>
      </c>
      <c r="Q3176" s="0" t="n">
        <f aca="false">F3176*G3176</f>
        <v>0.1875</v>
      </c>
      <c r="R3176" s="0" t="n">
        <f aca="false">F3176*H3176</f>
        <v>0.0625</v>
      </c>
      <c r="S3176" s="0" t="n">
        <f aca="false">G3176*H3176</f>
        <v>0.1875</v>
      </c>
      <c r="T3176" s="0" t="n">
        <f aca="false">E3176*E3176</f>
        <v>0</v>
      </c>
      <c r="U3176" s="0" t="n">
        <f aca="false">F3176*F3176</f>
        <v>0.0625</v>
      </c>
      <c r="V3176" s="0" t="n">
        <f aca="false">G3176*G3176</f>
        <v>0.5625</v>
      </c>
      <c r="W3176" s="0" t="n">
        <f aca="false">H3176*H3176</f>
        <v>0.0625</v>
      </c>
      <c r="X3176" s="0" t="n">
        <f aca="false">SUMPRODUCT(I3176:W3176,_XtX!$B$96:$P$96)</f>
        <v>46.0754248903508</v>
      </c>
      <c r="Y3176" s="0" t="n">
        <f aca="false">SUMPRODUCT(MMULT(I3176:W3176,_XtX!$B$78:$P$92),I3176:W3176)</f>
        <v>0.21135011193348</v>
      </c>
      <c r="Z3176" s="0" t="n">
        <f aca="false">04_回帰ANOVA!$K$19*04_回帰ANOVA!$K$14*SQRT(1+Y3176)</f>
        <v>1.43460795469709</v>
      </c>
      <c r="AA3176" s="0" t="n">
        <f aca="false">X3176-Z3176</f>
        <v>44.6408169356537</v>
      </c>
      <c r="AB3176" s="0" t="n">
        <f aca="false">X3176+Z3176</f>
        <v>47.5100328450479</v>
      </c>
      <c r="AC3176" s="54" t="b">
        <f aca="false">AND(E3176&gt;=01_因子設定!$L$5-0.000000001,E3176&lt;=01_因子設定!$M$5+0.000000001,F3176&gt;=01_因子設定!$L$6-0.000000001,F3176&lt;=01_因子設定!$M$6+0.000000001,G3176&gt;=01_因子設定!$L$7-0.000000001,G3176&lt;=01_因子設定!$M$7+0.000000001,H3176&gt;=01_因子設定!$L$8-0.000000001,H3176&lt;=01_因子設定!$M$8+0.000000001,IF(01_因子設定!$B$20="Box-Behnken",E3176^2+F3176^2+G3176^2+H3176^2&lt;=2+0.000000001,TRUE()))</f>
        <v>1</v>
      </c>
      <c r="AD3176" s="55" t="n">
        <f aca="false">IF(AC3176,IF(01_因子設定!$B$13="最大化",AA3176-01_因子設定!$B$14,IF(01_因子設定!$B$13="最小化",01_因子設定!$B$15-AB3176,MIN(AA3176-01_因子設定!$B$14,01_因子設定!$B$15-AB3176))),-1E+030)</f>
        <v>-1.85918306434627</v>
      </c>
      <c r="AE3176" s="55" t="n">
        <f aca="false">IF(AC3176,IF(01_因子設定!$B$13="最大化",X3176,IF(01_因子設定!$B$13="最小化",-X3176,-ABS(X3176-01_因子設定!$B$16))),-1E+030)</f>
        <v>46.0754248903508</v>
      </c>
      <c r="AF3176" s="55" t="n">
        <f aca="false">AD3176+ROW()*0.000000001</f>
        <v>-1.85917988834627</v>
      </c>
      <c r="AG3176" s="55" t="n">
        <f aca="false">AE3176+ROW()*0.000000001</f>
        <v>46.0754280663508</v>
      </c>
    </row>
    <row r="3177" customFormat="false" ht="15" hidden="false" customHeight="false" outlineLevel="0" collapsed="false">
      <c r="A3177" s="0" t="n">
        <v>4</v>
      </c>
      <c r="B3177" s="0" t="n">
        <v>3</v>
      </c>
      <c r="C3177" s="0" t="n">
        <v>1</v>
      </c>
      <c r="D3177" s="0" t="n">
        <v>4</v>
      </c>
      <c r="E3177" s="0" t="n">
        <f aca="false">-1+A3177*0.25</f>
        <v>0</v>
      </c>
      <c r="F3177" s="0" t="n">
        <f aca="false">-1+B3177*0.25</f>
        <v>-0.25</v>
      </c>
      <c r="G3177" s="0" t="n">
        <f aca="false">-1+C3177*0.25</f>
        <v>-0.75</v>
      </c>
      <c r="H3177" s="0" t="n">
        <f aca="false">-1+D3177*0.25</f>
        <v>0</v>
      </c>
      <c r="I3177" s="0" t="n">
        <f aca="false">1</f>
        <v>1</v>
      </c>
      <c r="J3177" s="0" t="n">
        <f aca="false">E3177</f>
        <v>0</v>
      </c>
      <c r="K3177" s="0" t="n">
        <f aca="false">F3177</f>
        <v>-0.25</v>
      </c>
      <c r="L3177" s="0" t="n">
        <f aca="false">G3177</f>
        <v>-0.75</v>
      </c>
      <c r="M3177" s="0" t="n">
        <f aca="false">H3177</f>
        <v>0</v>
      </c>
      <c r="N3177" s="0" t="n">
        <f aca="false">E3177*F3177</f>
        <v>-0</v>
      </c>
      <c r="O3177" s="0" t="n">
        <f aca="false">E3177*G3177</f>
        <v>-0</v>
      </c>
      <c r="P3177" s="0" t="n">
        <f aca="false">E3177*H3177</f>
        <v>0</v>
      </c>
      <c r="Q3177" s="0" t="n">
        <f aca="false">F3177*G3177</f>
        <v>0.1875</v>
      </c>
      <c r="R3177" s="0" t="n">
        <f aca="false">F3177*H3177</f>
        <v>-0</v>
      </c>
      <c r="S3177" s="0" t="n">
        <f aca="false">G3177*H3177</f>
        <v>-0</v>
      </c>
      <c r="T3177" s="0" t="n">
        <f aca="false">E3177*E3177</f>
        <v>0</v>
      </c>
      <c r="U3177" s="0" t="n">
        <f aca="false">F3177*F3177</f>
        <v>0.0625</v>
      </c>
      <c r="V3177" s="0" t="n">
        <f aca="false">G3177*G3177</f>
        <v>0.5625</v>
      </c>
      <c r="W3177" s="0" t="n">
        <f aca="false">H3177*H3177</f>
        <v>0</v>
      </c>
      <c r="X3177" s="0" t="n">
        <f aca="false">SUMPRODUCT(I3177:W3177,_XtX!$B$96:$P$96)</f>
        <v>46.1600922880116</v>
      </c>
      <c r="Y3177" s="0" t="n">
        <f aca="false">SUMPRODUCT(MMULT(I3177:W3177,_XtX!$B$78:$P$92),I3177:W3177)</f>
        <v>0.216127272934942</v>
      </c>
      <c r="Z3177" s="0" t="n">
        <f aca="false">04_回帰ANOVA!$K$19*04_回帰ANOVA!$K$14*SQRT(1+Y3177)</f>
        <v>1.43743397896608</v>
      </c>
      <c r="AA3177" s="0" t="n">
        <f aca="false">X3177-Z3177</f>
        <v>44.7226583090456</v>
      </c>
      <c r="AB3177" s="0" t="n">
        <f aca="false">X3177+Z3177</f>
        <v>47.5975262669777</v>
      </c>
      <c r="AC3177" s="54" t="b">
        <f aca="false">AND(E3177&gt;=01_因子設定!$L$5-0.000000001,E3177&lt;=01_因子設定!$M$5+0.000000001,F3177&gt;=01_因子設定!$L$6-0.000000001,F3177&lt;=01_因子設定!$M$6+0.000000001,G3177&gt;=01_因子設定!$L$7-0.000000001,G3177&lt;=01_因子設定!$M$7+0.000000001,H3177&gt;=01_因子設定!$L$8-0.000000001,H3177&lt;=01_因子設定!$M$8+0.000000001,IF(01_因子設定!$B$20="Box-Behnken",E3177^2+F3177^2+G3177^2+H3177^2&lt;=2+0.000000001,TRUE()))</f>
        <v>1</v>
      </c>
      <c r="AD3177" s="55" t="n">
        <f aca="false">IF(AC3177,IF(01_因子設定!$B$13="最大化",AA3177-01_因子設定!$B$14,IF(01_因子設定!$B$13="最小化",01_因子設定!$B$15-AB3177,MIN(AA3177-01_因子設定!$B$14,01_因子設定!$B$15-AB3177))),-1E+030)</f>
        <v>-1.77734169095444</v>
      </c>
      <c r="AE3177" s="55" t="n">
        <f aca="false">IF(AC3177,IF(01_因子設定!$B$13="最大化",X3177,IF(01_因子設定!$B$13="最小化",-X3177,-ABS(X3177-01_因子設定!$B$16))),-1E+030)</f>
        <v>46.1600922880116</v>
      </c>
      <c r="AF3177" s="55" t="n">
        <f aca="false">AD3177+ROW()*0.000000001</f>
        <v>-1.77733851395444</v>
      </c>
      <c r="AG3177" s="55" t="n">
        <f aca="false">AE3177+ROW()*0.000000001</f>
        <v>46.1600954650116</v>
      </c>
    </row>
    <row r="3178" customFormat="false" ht="15" hidden="false" customHeight="false" outlineLevel="0" collapsed="false">
      <c r="A3178" s="0" t="n">
        <v>4</v>
      </c>
      <c r="B3178" s="0" t="n">
        <v>3</v>
      </c>
      <c r="C3178" s="0" t="n">
        <v>1</v>
      </c>
      <c r="D3178" s="0" t="n">
        <v>5</v>
      </c>
      <c r="E3178" s="0" t="n">
        <f aca="false">-1+A3178*0.25</f>
        <v>0</v>
      </c>
      <c r="F3178" s="0" t="n">
        <f aca="false">-1+B3178*0.25</f>
        <v>-0.25</v>
      </c>
      <c r="G3178" s="0" t="n">
        <f aca="false">-1+C3178*0.25</f>
        <v>-0.75</v>
      </c>
      <c r="H3178" s="0" t="n">
        <f aca="false">-1+D3178*0.25</f>
        <v>0.25</v>
      </c>
      <c r="I3178" s="0" t="n">
        <f aca="false">1</f>
        <v>1</v>
      </c>
      <c r="J3178" s="0" t="n">
        <f aca="false">E3178</f>
        <v>0</v>
      </c>
      <c r="K3178" s="0" t="n">
        <f aca="false">F3178</f>
        <v>-0.25</v>
      </c>
      <c r="L3178" s="0" t="n">
        <f aca="false">G3178</f>
        <v>-0.75</v>
      </c>
      <c r="M3178" s="0" t="n">
        <f aca="false">H3178</f>
        <v>0.25</v>
      </c>
      <c r="N3178" s="0" t="n">
        <f aca="false">E3178*F3178</f>
        <v>-0</v>
      </c>
      <c r="O3178" s="0" t="n">
        <f aca="false">E3178*G3178</f>
        <v>-0</v>
      </c>
      <c r="P3178" s="0" t="n">
        <f aca="false">E3178*H3178</f>
        <v>0</v>
      </c>
      <c r="Q3178" s="0" t="n">
        <f aca="false">F3178*G3178</f>
        <v>0.1875</v>
      </c>
      <c r="R3178" s="0" t="n">
        <f aca="false">F3178*H3178</f>
        <v>-0.0625</v>
      </c>
      <c r="S3178" s="0" t="n">
        <f aca="false">G3178*H3178</f>
        <v>-0.1875</v>
      </c>
      <c r="T3178" s="0" t="n">
        <f aca="false">E3178*E3178</f>
        <v>0</v>
      </c>
      <c r="U3178" s="0" t="n">
        <f aca="false">F3178*F3178</f>
        <v>0.0625</v>
      </c>
      <c r="V3178" s="0" t="n">
        <f aca="false">G3178*G3178</f>
        <v>0.5625</v>
      </c>
      <c r="W3178" s="0" t="n">
        <f aca="false">H3178*H3178</f>
        <v>0.0625</v>
      </c>
      <c r="X3178" s="0" t="n">
        <f aca="false">SUMPRODUCT(I3178:W3178,_XtX!$B$96:$P$96)</f>
        <v>46.1969526681286</v>
      </c>
      <c r="Y3178" s="0" t="n">
        <f aca="false">SUMPRODUCT(MMULT(I3178:W3178,_XtX!$B$78:$P$92),I3178:W3178)</f>
        <v>0.21135011193348</v>
      </c>
      <c r="Z3178" s="0" t="n">
        <f aca="false">04_回帰ANOVA!$K$19*04_回帰ANOVA!$K$14*SQRT(1+Y3178)</f>
        <v>1.43460795469709</v>
      </c>
      <c r="AA3178" s="0" t="n">
        <f aca="false">X3178-Z3178</f>
        <v>44.7623447134315</v>
      </c>
      <c r="AB3178" s="0" t="n">
        <f aca="false">X3178+Z3178</f>
        <v>47.6315606228257</v>
      </c>
      <c r="AC3178" s="54" t="b">
        <f aca="false">AND(E3178&gt;=01_因子設定!$L$5-0.000000001,E3178&lt;=01_因子設定!$M$5+0.000000001,F3178&gt;=01_因子設定!$L$6-0.000000001,F3178&lt;=01_因子設定!$M$6+0.000000001,G3178&gt;=01_因子設定!$L$7-0.000000001,G3178&lt;=01_因子設定!$M$7+0.000000001,H3178&gt;=01_因子設定!$L$8-0.000000001,H3178&lt;=01_因子設定!$M$8+0.000000001,IF(01_因子設定!$B$20="Box-Behnken",E3178^2+F3178^2+G3178^2+H3178^2&lt;=2+0.000000001,TRUE()))</f>
        <v>1</v>
      </c>
      <c r="AD3178" s="55" t="n">
        <f aca="false">IF(AC3178,IF(01_因子設定!$B$13="最大化",AA3178-01_因子設定!$B$14,IF(01_因子設定!$B$13="最小化",01_因子設定!$B$15-AB3178,MIN(AA3178-01_因子設定!$B$14,01_因子設定!$B$15-AB3178))),-1E+030)</f>
        <v>-1.73765528656849</v>
      </c>
      <c r="AE3178" s="55" t="n">
        <f aca="false">IF(AC3178,IF(01_因子設定!$B$13="最大化",X3178,IF(01_因子設定!$B$13="最小化",-X3178,-ABS(X3178-01_因子設定!$B$16))),-1E+030)</f>
        <v>46.1969526681286</v>
      </c>
      <c r="AF3178" s="55" t="n">
        <f aca="false">AD3178+ROW()*0.000000001</f>
        <v>-1.73765210856849</v>
      </c>
      <c r="AG3178" s="55" t="n">
        <f aca="false">AE3178+ROW()*0.000000001</f>
        <v>46.1969558461286</v>
      </c>
    </row>
    <row r="3179" customFormat="false" ht="15" hidden="false" customHeight="false" outlineLevel="0" collapsed="false">
      <c r="A3179" s="0" t="n">
        <v>4</v>
      </c>
      <c r="B3179" s="0" t="n">
        <v>3</v>
      </c>
      <c r="C3179" s="0" t="n">
        <v>1</v>
      </c>
      <c r="D3179" s="0" t="n">
        <v>6</v>
      </c>
      <c r="E3179" s="0" t="n">
        <f aca="false">-1+A3179*0.25</f>
        <v>0</v>
      </c>
      <c r="F3179" s="0" t="n">
        <f aca="false">-1+B3179*0.25</f>
        <v>-0.25</v>
      </c>
      <c r="G3179" s="0" t="n">
        <f aca="false">-1+C3179*0.25</f>
        <v>-0.75</v>
      </c>
      <c r="H3179" s="0" t="n">
        <f aca="false">-1+D3179*0.25</f>
        <v>0.5</v>
      </c>
      <c r="I3179" s="0" t="n">
        <f aca="false">1</f>
        <v>1</v>
      </c>
      <c r="J3179" s="0" t="n">
        <f aca="false">E3179</f>
        <v>0</v>
      </c>
      <c r="K3179" s="0" t="n">
        <f aca="false">F3179</f>
        <v>-0.25</v>
      </c>
      <c r="L3179" s="0" t="n">
        <f aca="false">G3179</f>
        <v>-0.75</v>
      </c>
      <c r="M3179" s="0" t="n">
        <f aca="false">H3179</f>
        <v>0.5</v>
      </c>
      <c r="N3179" s="0" t="n">
        <f aca="false">E3179*F3179</f>
        <v>-0</v>
      </c>
      <c r="O3179" s="0" t="n">
        <f aca="false">E3179*G3179</f>
        <v>-0</v>
      </c>
      <c r="P3179" s="0" t="n">
        <f aca="false">E3179*H3179</f>
        <v>0</v>
      </c>
      <c r="Q3179" s="0" t="n">
        <f aca="false">F3179*G3179</f>
        <v>0.1875</v>
      </c>
      <c r="R3179" s="0" t="n">
        <f aca="false">F3179*H3179</f>
        <v>-0.125</v>
      </c>
      <c r="S3179" s="0" t="n">
        <f aca="false">G3179*H3179</f>
        <v>-0.375</v>
      </c>
      <c r="T3179" s="0" t="n">
        <f aca="false">E3179*E3179</f>
        <v>0</v>
      </c>
      <c r="U3179" s="0" t="n">
        <f aca="false">F3179*F3179</f>
        <v>0.0625</v>
      </c>
      <c r="V3179" s="0" t="n">
        <f aca="false">G3179*G3179</f>
        <v>0.5625</v>
      </c>
      <c r="W3179" s="0" t="n">
        <f aca="false">H3179*H3179</f>
        <v>0.25</v>
      </c>
      <c r="X3179" s="0" t="n">
        <f aca="false">SUMPRODUCT(I3179:W3179,_XtX!$B$96:$P$96)</f>
        <v>46.1860060307017</v>
      </c>
      <c r="Y3179" s="0" t="n">
        <f aca="false">SUMPRODUCT(MMULT(I3179:W3179,_XtX!$B$78:$P$92),I3179:W3179)</f>
        <v>0.215110734192252</v>
      </c>
      <c r="Z3179" s="0" t="n">
        <f aca="false">04_回帰ANOVA!$K$19*04_回帰ANOVA!$K$14*SQRT(1+Y3179)</f>
        <v>1.43683309086864</v>
      </c>
      <c r="AA3179" s="0" t="n">
        <f aca="false">X3179-Z3179</f>
        <v>44.7491729398331</v>
      </c>
      <c r="AB3179" s="0" t="n">
        <f aca="false">X3179+Z3179</f>
        <v>47.6228391215703</v>
      </c>
      <c r="AC3179" s="54" t="b">
        <f aca="false">AND(E3179&gt;=01_因子設定!$L$5-0.000000001,E3179&lt;=01_因子設定!$M$5+0.000000001,F3179&gt;=01_因子設定!$L$6-0.000000001,F3179&lt;=01_因子設定!$M$6+0.000000001,G3179&gt;=01_因子設定!$L$7-0.000000001,G3179&lt;=01_因子設定!$M$7+0.000000001,H3179&gt;=01_因子設定!$L$8-0.000000001,H3179&lt;=01_因子設定!$M$8+0.000000001,IF(01_因子設定!$B$20="Box-Behnken",E3179^2+F3179^2+G3179^2+H3179^2&lt;=2+0.000000001,TRUE()))</f>
        <v>1</v>
      </c>
      <c r="AD3179" s="55" t="n">
        <f aca="false">IF(AC3179,IF(01_因子設定!$B$13="最大化",AA3179-01_因子設定!$B$14,IF(01_因子設定!$B$13="最小化",01_因子設定!$B$15-AB3179,MIN(AA3179-01_因子設定!$B$14,01_因子設定!$B$15-AB3179))),-1E+030)</f>
        <v>-1.75082706016695</v>
      </c>
      <c r="AE3179" s="55" t="n">
        <f aca="false">IF(AC3179,IF(01_因子設定!$B$13="最大化",X3179,IF(01_因子設定!$B$13="最小化",-X3179,-ABS(X3179-01_因子設定!$B$16))),-1E+030)</f>
        <v>46.1860060307017</v>
      </c>
      <c r="AF3179" s="55" t="n">
        <f aca="false">AD3179+ROW()*0.000000001</f>
        <v>-1.75082388116695</v>
      </c>
      <c r="AG3179" s="55" t="n">
        <f aca="false">AE3179+ROW()*0.000000001</f>
        <v>46.1860092097017</v>
      </c>
    </row>
    <row r="3180" customFormat="false" ht="15" hidden="false" customHeight="false" outlineLevel="0" collapsed="false">
      <c r="A3180" s="0" t="n">
        <v>4</v>
      </c>
      <c r="B3180" s="0" t="n">
        <v>3</v>
      </c>
      <c r="C3180" s="0" t="n">
        <v>1</v>
      </c>
      <c r="D3180" s="0" t="n">
        <v>7</v>
      </c>
      <c r="E3180" s="0" t="n">
        <f aca="false">-1+A3180*0.25</f>
        <v>0</v>
      </c>
      <c r="F3180" s="0" t="n">
        <f aca="false">-1+B3180*0.25</f>
        <v>-0.25</v>
      </c>
      <c r="G3180" s="0" t="n">
        <f aca="false">-1+C3180*0.25</f>
        <v>-0.75</v>
      </c>
      <c r="H3180" s="0" t="n">
        <f aca="false">-1+D3180*0.25</f>
        <v>0.75</v>
      </c>
      <c r="I3180" s="0" t="n">
        <f aca="false">1</f>
        <v>1</v>
      </c>
      <c r="J3180" s="0" t="n">
        <f aca="false">E3180</f>
        <v>0</v>
      </c>
      <c r="K3180" s="0" t="n">
        <f aca="false">F3180</f>
        <v>-0.25</v>
      </c>
      <c r="L3180" s="0" t="n">
        <f aca="false">G3180</f>
        <v>-0.75</v>
      </c>
      <c r="M3180" s="0" t="n">
        <f aca="false">H3180</f>
        <v>0.75</v>
      </c>
      <c r="N3180" s="0" t="n">
        <f aca="false">E3180*F3180</f>
        <v>-0</v>
      </c>
      <c r="O3180" s="0" t="n">
        <f aca="false">E3180*G3180</f>
        <v>-0</v>
      </c>
      <c r="P3180" s="0" t="n">
        <f aca="false">E3180*H3180</f>
        <v>0</v>
      </c>
      <c r="Q3180" s="0" t="n">
        <f aca="false">F3180*G3180</f>
        <v>0.1875</v>
      </c>
      <c r="R3180" s="0" t="n">
        <f aca="false">F3180*H3180</f>
        <v>-0.1875</v>
      </c>
      <c r="S3180" s="0" t="n">
        <f aca="false">G3180*H3180</f>
        <v>-0.5625</v>
      </c>
      <c r="T3180" s="0" t="n">
        <f aca="false">E3180*E3180</f>
        <v>0</v>
      </c>
      <c r="U3180" s="0" t="n">
        <f aca="false">F3180*F3180</f>
        <v>0.0625</v>
      </c>
      <c r="V3180" s="0" t="n">
        <f aca="false">G3180*G3180</f>
        <v>0.5625</v>
      </c>
      <c r="W3180" s="0" t="n">
        <f aca="false">H3180*H3180</f>
        <v>0.5625</v>
      </c>
      <c r="X3180" s="0" t="n">
        <f aca="false">SUMPRODUCT(I3180:W3180,_XtX!$B$96:$P$96)</f>
        <v>46.127252375731</v>
      </c>
      <c r="Y3180" s="0" t="n">
        <f aca="false">SUMPRODUCT(MMULT(I3180:W3180,_XtX!$B$78:$P$92),I3180:W3180)</f>
        <v>0.281685455500731</v>
      </c>
      <c r="Z3180" s="0" t="n">
        <f aca="false">04_回帰ANOVA!$K$19*04_回帰ANOVA!$K$14*SQRT(1+Y3180)</f>
        <v>1.47566956658694</v>
      </c>
      <c r="AA3180" s="0" t="n">
        <f aca="false">X3180-Z3180</f>
        <v>44.651582809144</v>
      </c>
      <c r="AB3180" s="0" t="n">
        <f aca="false">X3180+Z3180</f>
        <v>47.6029219423179</v>
      </c>
      <c r="AC3180" s="54" t="b">
        <f aca="false">AND(E3180&gt;=01_因子設定!$L$5-0.000000001,E3180&lt;=01_因子設定!$M$5+0.000000001,F3180&gt;=01_因子設定!$L$6-0.000000001,F3180&lt;=01_因子設定!$M$6+0.000000001,G3180&gt;=01_因子設定!$L$7-0.000000001,G3180&lt;=01_因子設定!$M$7+0.000000001,H3180&gt;=01_因子設定!$L$8-0.000000001,H3180&lt;=01_因子設定!$M$8+0.000000001,IF(01_因子設定!$B$20="Box-Behnken",E3180^2+F3180^2+G3180^2+H3180^2&lt;=2+0.000000001,TRUE()))</f>
        <v>1</v>
      </c>
      <c r="AD3180" s="55" t="n">
        <f aca="false">IF(AC3180,IF(01_因子設定!$B$13="最大化",AA3180-01_因子設定!$B$14,IF(01_因子設定!$B$13="最小化",01_因子設定!$B$15-AB3180,MIN(AA3180-01_因子設定!$B$14,01_因子設定!$B$15-AB3180))),-1E+030)</f>
        <v>-1.84841719085599</v>
      </c>
      <c r="AE3180" s="55" t="n">
        <f aca="false">IF(AC3180,IF(01_因子設定!$B$13="最大化",X3180,IF(01_因子設定!$B$13="最小化",-X3180,-ABS(X3180-01_因子設定!$B$16))),-1E+030)</f>
        <v>46.127252375731</v>
      </c>
      <c r="AF3180" s="55" t="n">
        <f aca="false">AD3180+ROW()*0.000000001</f>
        <v>-1.84841401085599</v>
      </c>
      <c r="AG3180" s="55" t="n">
        <f aca="false">AE3180+ROW()*0.000000001</f>
        <v>46.127255555731</v>
      </c>
    </row>
    <row r="3181" customFormat="false" ht="15" hidden="false" customHeight="false" outlineLevel="0" collapsed="false">
      <c r="A3181" s="0" t="n">
        <v>4</v>
      </c>
      <c r="B3181" s="0" t="n">
        <v>3</v>
      </c>
      <c r="C3181" s="0" t="n">
        <v>1</v>
      </c>
      <c r="D3181" s="0" t="n">
        <v>8</v>
      </c>
      <c r="E3181" s="0" t="n">
        <f aca="false">-1+A3181*0.25</f>
        <v>0</v>
      </c>
      <c r="F3181" s="0" t="n">
        <f aca="false">-1+B3181*0.25</f>
        <v>-0.25</v>
      </c>
      <c r="G3181" s="0" t="n">
        <f aca="false">-1+C3181*0.25</f>
        <v>-0.75</v>
      </c>
      <c r="H3181" s="0" t="n">
        <f aca="false">-1+D3181*0.25</f>
        <v>1</v>
      </c>
      <c r="I3181" s="0" t="n">
        <f aca="false">1</f>
        <v>1</v>
      </c>
      <c r="J3181" s="0" t="n">
        <f aca="false">E3181</f>
        <v>0</v>
      </c>
      <c r="K3181" s="0" t="n">
        <f aca="false">F3181</f>
        <v>-0.25</v>
      </c>
      <c r="L3181" s="0" t="n">
        <f aca="false">G3181</f>
        <v>-0.75</v>
      </c>
      <c r="M3181" s="0" t="n">
        <f aca="false">H3181</f>
        <v>1</v>
      </c>
      <c r="N3181" s="0" t="n">
        <f aca="false">E3181*F3181</f>
        <v>-0</v>
      </c>
      <c r="O3181" s="0" t="n">
        <f aca="false">E3181*G3181</f>
        <v>-0</v>
      </c>
      <c r="P3181" s="0" t="n">
        <f aca="false">E3181*H3181</f>
        <v>0</v>
      </c>
      <c r="Q3181" s="0" t="n">
        <f aca="false">F3181*G3181</f>
        <v>0.1875</v>
      </c>
      <c r="R3181" s="0" t="n">
        <f aca="false">F3181*H3181</f>
        <v>-0.25</v>
      </c>
      <c r="S3181" s="0" t="n">
        <f aca="false">G3181*H3181</f>
        <v>-0.75</v>
      </c>
      <c r="T3181" s="0" t="n">
        <f aca="false">E3181*E3181</f>
        <v>0</v>
      </c>
      <c r="U3181" s="0" t="n">
        <f aca="false">F3181*F3181</f>
        <v>0.0625</v>
      </c>
      <c r="V3181" s="0" t="n">
        <f aca="false">G3181*G3181</f>
        <v>0.5625</v>
      </c>
      <c r="W3181" s="0" t="n">
        <f aca="false">H3181*H3181</f>
        <v>1</v>
      </c>
      <c r="X3181" s="0" t="n">
        <f aca="false">SUMPRODUCT(I3181:W3181,_XtX!$B$96:$P$96)</f>
        <v>46.0206917032164</v>
      </c>
      <c r="Y3181" s="0" t="n">
        <f aca="false">SUMPRODUCT(MMULT(I3181:W3181,_XtX!$B$78:$P$92),I3181:W3181)</f>
        <v>0.501534802174708</v>
      </c>
      <c r="Z3181" s="0" t="n">
        <f aca="false">04_回帰ANOVA!$K$19*04_回帰ANOVA!$K$14*SQRT(1+Y3181)</f>
        <v>1.59722498091333</v>
      </c>
      <c r="AA3181" s="0" t="n">
        <f aca="false">X3181-Z3181</f>
        <v>44.423466722303</v>
      </c>
      <c r="AB3181" s="0" t="n">
        <f aca="false">X3181+Z3181</f>
        <v>47.6179166841297</v>
      </c>
      <c r="AC3181" s="54" t="b">
        <f aca="false">AND(E3181&gt;=01_因子設定!$L$5-0.000000001,E3181&lt;=01_因子設定!$M$5+0.000000001,F3181&gt;=01_因子設定!$L$6-0.000000001,F3181&lt;=01_因子設定!$M$6+0.000000001,G3181&gt;=01_因子設定!$L$7-0.000000001,G3181&lt;=01_因子設定!$M$7+0.000000001,H3181&gt;=01_因子設定!$L$8-0.000000001,H3181&lt;=01_因子設定!$M$8+0.000000001,IF(01_因子設定!$B$20="Box-Behnken",E3181^2+F3181^2+G3181^2+H3181^2&lt;=2+0.000000001,TRUE()))</f>
        <v>1</v>
      </c>
      <c r="AD3181" s="55" t="n">
        <f aca="false">IF(AC3181,IF(01_因子設定!$B$13="最大化",AA3181-01_因子設定!$B$14,IF(01_因子設定!$B$13="最小化",01_因子設定!$B$15-AB3181,MIN(AA3181-01_因子設定!$B$14,01_因子設定!$B$15-AB3181))),-1E+030)</f>
        <v>-2.07653327769698</v>
      </c>
      <c r="AE3181" s="55" t="n">
        <f aca="false">IF(AC3181,IF(01_因子設定!$B$13="最大化",X3181,IF(01_因子設定!$B$13="最小化",-X3181,-ABS(X3181-01_因子設定!$B$16))),-1E+030)</f>
        <v>46.0206917032164</v>
      </c>
      <c r="AF3181" s="55" t="n">
        <f aca="false">AD3181+ROW()*0.000000001</f>
        <v>-2.07653009669698</v>
      </c>
      <c r="AG3181" s="55" t="n">
        <f aca="false">AE3181+ROW()*0.000000001</f>
        <v>46.0206948842164</v>
      </c>
    </row>
    <row r="3182" customFormat="false" ht="15" hidden="false" customHeight="false" outlineLevel="0" collapsed="false">
      <c r="A3182" s="0" t="n">
        <v>4</v>
      </c>
      <c r="B3182" s="0" t="n">
        <v>3</v>
      </c>
      <c r="C3182" s="0" t="n">
        <v>2</v>
      </c>
      <c r="D3182" s="0" t="n">
        <v>0</v>
      </c>
      <c r="E3182" s="0" t="n">
        <f aca="false">-1+A3182*0.25</f>
        <v>0</v>
      </c>
      <c r="F3182" s="0" t="n">
        <f aca="false">-1+B3182*0.25</f>
        <v>-0.25</v>
      </c>
      <c r="G3182" s="0" t="n">
        <f aca="false">-1+C3182*0.25</f>
        <v>-0.5</v>
      </c>
      <c r="H3182" s="0" t="n">
        <f aca="false">-1+D3182*0.25</f>
        <v>-1</v>
      </c>
      <c r="I3182" s="0" t="n">
        <f aca="false">1</f>
        <v>1</v>
      </c>
      <c r="J3182" s="0" t="n">
        <f aca="false">E3182</f>
        <v>0</v>
      </c>
      <c r="K3182" s="0" t="n">
        <f aca="false">F3182</f>
        <v>-0.25</v>
      </c>
      <c r="L3182" s="0" t="n">
        <f aca="false">G3182</f>
        <v>-0.5</v>
      </c>
      <c r="M3182" s="0" t="n">
        <f aca="false">H3182</f>
        <v>-1</v>
      </c>
      <c r="N3182" s="0" t="n">
        <f aca="false">E3182*F3182</f>
        <v>-0</v>
      </c>
      <c r="O3182" s="0" t="n">
        <f aca="false">E3182*G3182</f>
        <v>-0</v>
      </c>
      <c r="P3182" s="0" t="n">
        <f aca="false">E3182*H3182</f>
        <v>-0</v>
      </c>
      <c r="Q3182" s="0" t="n">
        <f aca="false">F3182*G3182</f>
        <v>0.125</v>
      </c>
      <c r="R3182" s="0" t="n">
        <f aca="false">F3182*H3182</f>
        <v>0.25</v>
      </c>
      <c r="S3182" s="0" t="n">
        <f aca="false">G3182*H3182</f>
        <v>0.5</v>
      </c>
      <c r="T3182" s="0" t="n">
        <f aca="false">E3182*E3182</f>
        <v>0</v>
      </c>
      <c r="U3182" s="0" t="n">
        <f aca="false">F3182*F3182</f>
        <v>0.0625</v>
      </c>
      <c r="V3182" s="0" t="n">
        <f aca="false">G3182*G3182</f>
        <v>0.25</v>
      </c>
      <c r="W3182" s="0" t="n">
        <f aca="false">H3182*H3182</f>
        <v>1</v>
      </c>
      <c r="X3182" s="0" t="n">
        <f aca="false">SUMPRODUCT(I3182:W3182,_XtX!$B$96:$P$96)</f>
        <v>45.9022752192982</v>
      </c>
      <c r="Y3182" s="0" t="n">
        <f aca="false">SUMPRODUCT(MMULT(I3182:W3182,_XtX!$B$78:$P$92),I3182:W3182)</f>
        <v>0.457596628289474</v>
      </c>
      <c r="Z3182" s="0" t="n">
        <f aca="false">04_回帰ANOVA!$K$19*04_回帰ANOVA!$K$14*SQRT(1+Y3182)</f>
        <v>1.57368233664366</v>
      </c>
      <c r="AA3182" s="0" t="n">
        <f aca="false">X3182-Z3182</f>
        <v>44.3285928826546</v>
      </c>
      <c r="AB3182" s="0" t="n">
        <f aca="false">X3182+Z3182</f>
        <v>47.4759575559419</v>
      </c>
      <c r="AC3182" s="54" t="b">
        <f aca="false">AND(E3182&gt;=01_因子設定!$L$5-0.000000001,E3182&lt;=01_因子設定!$M$5+0.000000001,F3182&gt;=01_因子設定!$L$6-0.000000001,F3182&lt;=01_因子設定!$M$6+0.000000001,G3182&gt;=01_因子設定!$L$7-0.000000001,G3182&lt;=01_因子設定!$M$7+0.000000001,H3182&gt;=01_因子設定!$L$8-0.000000001,H3182&lt;=01_因子設定!$M$8+0.000000001,IF(01_因子設定!$B$20="Box-Behnken",E3182^2+F3182^2+G3182^2+H3182^2&lt;=2+0.000000001,TRUE()))</f>
        <v>1</v>
      </c>
      <c r="AD3182" s="55" t="n">
        <f aca="false">IF(AC3182,IF(01_因子設定!$B$13="最大化",AA3182-01_因子設定!$B$14,IF(01_因子設定!$B$13="最小化",01_因子設定!$B$15-AB3182,MIN(AA3182-01_因子設定!$B$14,01_因子設定!$B$15-AB3182))),-1E+030)</f>
        <v>-2.17140711734544</v>
      </c>
      <c r="AE3182" s="55" t="n">
        <f aca="false">IF(AC3182,IF(01_因子設定!$B$13="最大化",X3182,IF(01_因子設定!$B$13="最小化",-X3182,-ABS(X3182-01_因子設定!$B$16))),-1E+030)</f>
        <v>45.9022752192982</v>
      </c>
      <c r="AF3182" s="55" t="n">
        <f aca="false">AD3182+ROW()*0.000000001</f>
        <v>-2.17140393534544</v>
      </c>
      <c r="AG3182" s="55" t="n">
        <f aca="false">AE3182+ROW()*0.000000001</f>
        <v>45.9022784012982</v>
      </c>
    </row>
    <row r="3183" customFormat="false" ht="15" hidden="false" customHeight="false" outlineLevel="0" collapsed="false">
      <c r="A3183" s="0" t="n">
        <v>4</v>
      </c>
      <c r="B3183" s="0" t="n">
        <v>3</v>
      </c>
      <c r="C3183" s="0" t="n">
        <v>2</v>
      </c>
      <c r="D3183" s="0" t="n">
        <v>1</v>
      </c>
      <c r="E3183" s="0" t="n">
        <f aca="false">-1+A3183*0.25</f>
        <v>0</v>
      </c>
      <c r="F3183" s="0" t="n">
        <f aca="false">-1+B3183*0.25</f>
        <v>-0.25</v>
      </c>
      <c r="G3183" s="0" t="n">
        <f aca="false">-1+C3183*0.25</f>
        <v>-0.5</v>
      </c>
      <c r="H3183" s="0" t="n">
        <f aca="false">-1+D3183*0.25</f>
        <v>-0.75</v>
      </c>
      <c r="I3183" s="0" t="n">
        <f aca="false">1</f>
        <v>1</v>
      </c>
      <c r="J3183" s="0" t="n">
        <f aca="false">E3183</f>
        <v>0</v>
      </c>
      <c r="K3183" s="0" t="n">
        <f aca="false">F3183</f>
        <v>-0.25</v>
      </c>
      <c r="L3183" s="0" t="n">
        <f aca="false">G3183</f>
        <v>-0.5</v>
      </c>
      <c r="M3183" s="0" t="n">
        <f aca="false">H3183</f>
        <v>-0.75</v>
      </c>
      <c r="N3183" s="0" t="n">
        <f aca="false">E3183*F3183</f>
        <v>-0</v>
      </c>
      <c r="O3183" s="0" t="n">
        <f aca="false">E3183*G3183</f>
        <v>-0</v>
      </c>
      <c r="P3183" s="0" t="n">
        <f aca="false">E3183*H3183</f>
        <v>-0</v>
      </c>
      <c r="Q3183" s="0" t="n">
        <f aca="false">F3183*G3183</f>
        <v>0.125</v>
      </c>
      <c r="R3183" s="0" t="n">
        <f aca="false">F3183*H3183</f>
        <v>0.1875</v>
      </c>
      <c r="S3183" s="0" t="n">
        <f aca="false">G3183*H3183</f>
        <v>0.375</v>
      </c>
      <c r="T3183" s="0" t="n">
        <f aca="false">E3183*E3183</f>
        <v>0</v>
      </c>
      <c r="U3183" s="0" t="n">
        <f aca="false">F3183*F3183</f>
        <v>0.0625</v>
      </c>
      <c r="V3183" s="0" t="n">
        <f aca="false">G3183*G3183</f>
        <v>0.25</v>
      </c>
      <c r="W3183" s="0" t="n">
        <f aca="false">H3183*H3183</f>
        <v>0.5625</v>
      </c>
      <c r="X3183" s="0" t="n">
        <f aca="false">SUMPRODUCT(I3183:W3183,_XtX!$B$96:$P$96)</f>
        <v>46.1483324195906</v>
      </c>
      <c r="Y3183" s="0" t="n">
        <f aca="false">SUMPRODUCT(MMULT(I3183:W3183,_XtX!$B$78:$P$92),I3183:W3183)</f>
        <v>0.215110734192252</v>
      </c>
      <c r="Z3183" s="0" t="n">
        <f aca="false">04_回帰ANOVA!$K$19*04_回帰ANOVA!$K$14*SQRT(1+Y3183)</f>
        <v>1.43683309086864</v>
      </c>
      <c r="AA3183" s="0" t="n">
        <f aca="false">X3183-Z3183</f>
        <v>44.711499328722</v>
      </c>
      <c r="AB3183" s="0" t="n">
        <f aca="false">X3183+Z3183</f>
        <v>47.5851655104593</v>
      </c>
      <c r="AC3183" s="54" t="b">
        <f aca="false">AND(E3183&gt;=01_因子設定!$L$5-0.000000001,E3183&lt;=01_因子設定!$M$5+0.000000001,F3183&gt;=01_因子設定!$L$6-0.000000001,F3183&lt;=01_因子設定!$M$6+0.000000001,G3183&gt;=01_因子設定!$L$7-0.000000001,G3183&lt;=01_因子設定!$M$7+0.000000001,H3183&gt;=01_因子設定!$L$8-0.000000001,H3183&lt;=01_因子設定!$M$8+0.000000001,IF(01_因子設定!$B$20="Box-Behnken",E3183^2+F3183^2+G3183^2+H3183^2&lt;=2+0.000000001,TRUE()))</f>
        <v>1</v>
      </c>
      <c r="AD3183" s="55" t="n">
        <f aca="false">IF(AC3183,IF(01_因子設定!$B$13="最大化",AA3183-01_因子設定!$B$14,IF(01_因子設定!$B$13="最小化",01_因子設定!$B$15-AB3183,MIN(AA3183-01_因子設定!$B$14,01_因子設定!$B$15-AB3183))),-1E+030)</f>
        <v>-1.78850067127804</v>
      </c>
      <c r="AE3183" s="55" t="n">
        <f aca="false">IF(AC3183,IF(01_因子設定!$B$13="最大化",X3183,IF(01_因子設定!$B$13="最小化",-X3183,-ABS(X3183-01_因子設定!$B$16))),-1E+030)</f>
        <v>46.1483324195906</v>
      </c>
      <c r="AF3183" s="55" t="n">
        <f aca="false">AD3183+ROW()*0.000000001</f>
        <v>-1.78849748827804</v>
      </c>
      <c r="AG3183" s="55" t="n">
        <f aca="false">AE3183+ROW()*0.000000001</f>
        <v>46.1483356025906</v>
      </c>
    </row>
    <row r="3184" customFormat="false" ht="15" hidden="false" customHeight="false" outlineLevel="0" collapsed="false">
      <c r="A3184" s="0" t="n">
        <v>4</v>
      </c>
      <c r="B3184" s="0" t="n">
        <v>3</v>
      </c>
      <c r="C3184" s="0" t="n">
        <v>2</v>
      </c>
      <c r="D3184" s="0" t="n">
        <v>2</v>
      </c>
      <c r="E3184" s="0" t="n">
        <f aca="false">-1+A3184*0.25</f>
        <v>0</v>
      </c>
      <c r="F3184" s="0" t="n">
        <f aca="false">-1+B3184*0.25</f>
        <v>-0.25</v>
      </c>
      <c r="G3184" s="0" t="n">
        <f aca="false">-1+C3184*0.25</f>
        <v>-0.5</v>
      </c>
      <c r="H3184" s="0" t="n">
        <f aca="false">-1+D3184*0.25</f>
        <v>-0.5</v>
      </c>
      <c r="I3184" s="0" t="n">
        <f aca="false">1</f>
        <v>1</v>
      </c>
      <c r="J3184" s="0" t="n">
        <f aca="false">E3184</f>
        <v>0</v>
      </c>
      <c r="K3184" s="0" t="n">
        <f aca="false">F3184</f>
        <v>-0.25</v>
      </c>
      <c r="L3184" s="0" t="n">
        <f aca="false">G3184</f>
        <v>-0.5</v>
      </c>
      <c r="M3184" s="0" t="n">
        <f aca="false">H3184</f>
        <v>-0.5</v>
      </c>
      <c r="N3184" s="0" t="n">
        <f aca="false">E3184*F3184</f>
        <v>-0</v>
      </c>
      <c r="O3184" s="0" t="n">
        <f aca="false">E3184*G3184</f>
        <v>-0</v>
      </c>
      <c r="P3184" s="0" t="n">
        <f aca="false">E3184*H3184</f>
        <v>-0</v>
      </c>
      <c r="Q3184" s="0" t="n">
        <f aca="false">F3184*G3184</f>
        <v>0.125</v>
      </c>
      <c r="R3184" s="0" t="n">
        <f aca="false">F3184*H3184</f>
        <v>0.125</v>
      </c>
      <c r="S3184" s="0" t="n">
        <f aca="false">G3184*H3184</f>
        <v>0.25</v>
      </c>
      <c r="T3184" s="0" t="n">
        <f aca="false">E3184*E3184</f>
        <v>0</v>
      </c>
      <c r="U3184" s="0" t="n">
        <f aca="false">F3184*F3184</f>
        <v>0.0625</v>
      </c>
      <c r="V3184" s="0" t="n">
        <f aca="false">G3184*G3184</f>
        <v>0.25</v>
      </c>
      <c r="W3184" s="0" t="n">
        <f aca="false">H3184*H3184</f>
        <v>0.25</v>
      </c>
      <c r="X3184" s="0" t="n">
        <f aca="false">SUMPRODUCT(I3184:W3184,_XtX!$B$96:$P$96)</f>
        <v>46.3465826023391</v>
      </c>
      <c r="Y3184" s="0" t="n">
        <f aca="false">SUMPRODUCT(MMULT(I3184:W3184,_XtX!$B$78:$P$92),I3184:W3184)</f>
        <v>0.132367050438597</v>
      </c>
      <c r="Z3184" s="0" t="n">
        <f aca="false">04_回帰ANOVA!$K$19*04_回帰ANOVA!$K$14*SQRT(1+Y3184)</f>
        <v>1.38704964208329</v>
      </c>
      <c r="AA3184" s="0" t="n">
        <f aca="false">X3184-Z3184</f>
        <v>44.9595329602558</v>
      </c>
      <c r="AB3184" s="0" t="n">
        <f aca="false">X3184+Z3184</f>
        <v>47.7336322444224</v>
      </c>
      <c r="AC3184" s="54" t="b">
        <f aca="false">AND(E3184&gt;=01_因子設定!$L$5-0.000000001,E3184&lt;=01_因子設定!$M$5+0.000000001,F3184&gt;=01_因子設定!$L$6-0.000000001,F3184&lt;=01_因子設定!$M$6+0.000000001,G3184&gt;=01_因子設定!$L$7-0.000000001,G3184&lt;=01_因子設定!$M$7+0.000000001,H3184&gt;=01_因子設定!$L$8-0.000000001,H3184&lt;=01_因子設定!$M$8+0.000000001,IF(01_因子設定!$B$20="Box-Behnken",E3184^2+F3184^2+G3184^2+H3184^2&lt;=2+0.000000001,TRUE()))</f>
        <v>1</v>
      </c>
      <c r="AD3184" s="55" t="n">
        <f aca="false">IF(AC3184,IF(01_因子設定!$B$13="最大化",AA3184-01_因子設定!$B$14,IF(01_因子設定!$B$13="最小化",01_因子設定!$B$15-AB3184,MIN(AA3184-01_因子設定!$B$14,01_因子設定!$B$15-AB3184))),-1E+030)</f>
        <v>-1.54046703974416</v>
      </c>
      <c r="AE3184" s="55" t="n">
        <f aca="false">IF(AC3184,IF(01_因子設定!$B$13="最大化",X3184,IF(01_因子設定!$B$13="最小化",-X3184,-ABS(X3184-01_因子設定!$B$16))),-1E+030)</f>
        <v>46.3465826023391</v>
      </c>
      <c r="AF3184" s="55" t="n">
        <f aca="false">AD3184+ROW()*0.000000001</f>
        <v>-1.54046385574416</v>
      </c>
      <c r="AG3184" s="55" t="n">
        <f aca="false">AE3184+ROW()*0.000000001</f>
        <v>46.3465857863391</v>
      </c>
    </row>
    <row r="3185" customFormat="false" ht="15" hidden="false" customHeight="false" outlineLevel="0" collapsed="false">
      <c r="A3185" s="0" t="n">
        <v>4</v>
      </c>
      <c r="B3185" s="0" t="n">
        <v>3</v>
      </c>
      <c r="C3185" s="0" t="n">
        <v>2</v>
      </c>
      <c r="D3185" s="0" t="n">
        <v>3</v>
      </c>
      <c r="E3185" s="0" t="n">
        <f aca="false">-1+A3185*0.25</f>
        <v>0</v>
      </c>
      <c r="F3185" s="0" t="n">
        <f aca="false">-1+B3185*0.25</f>
        <v>-0.25</v>
      </c>
      <c r="G3185" s="0" t="n">
        <f aca="false">-1+C3185*0.25</f>
        <v>-0.5</v>
      </c>
      <c r="H3185" s="0" t="n">
        <f aca="false">-1+D3185*0.25</f>
        <v>-0.25</v>
      </c>
      <c r="I3185" s="0" t="n">
        <f aca="false">1</f>
        <v>1</v>
      </c>
      <c r="J3185" s="0" t="n">
        <f aca="false">E3185</f>
        <v>0</v>
      </c>
      <c r="K3185" s="0" t="n">
        <f aca="false">F3185</f>
        <v>-0.25</v>
      </c>
      <c r="L3185" s="0" t="n">
        <f aca="false">G3185</f>
        <v>-0.5</v>
      </c>
      <c r="M3185" s="0" t="n">
        <f aca="false">H3185</f>
        <v>-0.25</v>
      </c>
      <c r="N3185" s="0" t="n">
        <f aca="false">E3185*F3185</f>
        <v>-0</v>
      </c>
      <c r="O3185" s="0" t="n">
        <f aca="false">E3185*G3185</f>
        <v>-0</v>
      </c>
      <c r="P3185" s="0" t="n">
        <f aca="false">E3185*H3185</f>
        <v>-0</v>
      </c>
      <c r="Q3185" s="0" t="n">
        <f aca="false">F3185*G3185</f>
        <v>0.125</v>
      </c>
      <c r="R3185" s="0" t="n">
        <f aca="false">F3185*H3185</f>
        <v>0.0625</v>
      </c>
      <c r="S3185" s="0" t="n">
        <f aca="false">G3185*H3185</f>
        <v>0.125</v>
      </c>
      <c r="T3185" s="0" t="n">
        <f aca="false">E3185*E3185</f>
        <v>0</v>
      </c>
      <c r="U3185" s="0" t="n">
        <f aca="false">F3185*F3185</f>
        <v>0.0625</v>
      </c>
      <c r="V3185" s="0" t="n">
        <f aca="false">G3185*G3185</f>
        <v>0.25</v>
      </c>
      <c r="W3185" s="0" t="n">
        <f aca="false">H3185*H3185</f>
        <v>0.0625</v>
      </c>
      <c r="X3185" s="0" t="n">
        <f aca="false">SUMPRODUCT(I3185:W3185,_XtX!$B$96:$P$96)</f>
        <v>46.4970257675438</v>
      </c>
      <c r="Y3185" s="0" t="n">
        <f aca="false">SUMPRODUCT(MMULT(I3185:W3185,_XtX!$B$78:$P$92),I3185:W3185)</f>
        <v>0.118905050712719</v>
      </c>
      <c r="Z3185" s="0" t="n">
        <f aca="false">04_回帰ANOVA!$K$19*04_回帰ANOVA!$K$14*SQRT(1+Y3185)</f>
        <v>1.37878011033769</v>
      </c>
      <c r="AA3185" s="0" t="n">
        <f aca="false">X3185-Z3185</f>
        <v>45.1182456572061</v>
      </c>
      <c r="AB3185" s="0" t="n">
        <f aca="false">X3185+Z3185</f>
        <v>47.8758058778815</v>
      </c>
      <c r="AC3185" s="54" t="b">
        <f aca="false">AND(E3185&gt;=01_因子設定!$L$5-0.000000001,E3185&lt;=01_因子設定!$M$5+0.000000001,F3185&gt;=01_因子設定!$L$6-0.000000001,F3185&lt;=01_因子設定!$M$6+0.000000001,G3185&gt;=01_因子設定!$L$7-0.000000001,G3185&lt;=01_因子設定!$M$7+0.000000001,H3185&gt;=01_因子設定!$L$8-0.000000001,H3185&lt;=01_因子設定!$M$8+0.000000001,IF(01_因子設定!$B$20="Box-Behnken",E3185^2+F3185^2+G3185^2+H3185^2&lt;=2+0.000000001,TRUE()))</f>
        <v>1</v>
      </c>
      <c r="AD3185" s="55" t="n">
        <f aca="false">IF(AC3185,IF(01_因子設定!$B$13="最大化",AA3185-01_因子設定!$B$14,IF(01_因子設定!$B$13="最小化",01_因子設定!$B$15-AB3185,MIN(AA3185-01_因子設定!$B$14,01_因子設定!$B$15-AB3185))),-1E+030)</f>
        <v>-1.38175434279389</v>
      </c>
      <c r="AE3185" s="55" t="n">
        <f aca="false">IF(AC3185,IF(01_因子設定!$B$13="最大化",X3185,IF(01_因子設定!$B$13="最小化",-X3185,-ABS(X3185-01_因子設定!$B$16))),-1E+030)</f>
        <v>46.4970257675438</v>
      </c>
      <c r="AF3185" s="55" t="n">
        <f aca="false">AD3185+ROW()*0.000000001</f>
        <v>-1.38175115779389</v>
      </c>
      <c r="AG3185" s="55" t="n">
        <f aca="false">AE3185+ROW()*0.000000001</f>
        <v>46.4970289525438</v>
      </c>
    </row>
    <row r="3186" customFormat="false" ht="15" hidden="false" customHeight="false" outlineLevel="0" collapsed="false">
      <c r="A3186" s="0" t="n">
        <v>4</v>
      </c>
      <c r="B3186" s="0" t="n">
        <v>3</v>
      </c>
      <c r="C3186" s="0" t="n">
        <v>2</v>
      </c>
      <c r="D3186" s="0" t="n">
        <v>4</v>
      </c>
      <c r="E3186" s="0" t="n">
        <f aca="false">-1+A3186*0.25</f>
        <v>0</v>
      </c>
      <c r="F3186" s="0" t="n">
        <f aca="false">-1+B3186*0.25</f>
        <v>-0.25</v>
      </c>
      <c r="G3186" s="0" t="n">
        <f aca="false">-1+C3186*0.25</f>
        <v>-0.5</v>
      </c>
      <c r="H3186" s="0" t="n">
        <f aca="false">-1+D3186*0.25</f>
        <v>0</v>
      </c>
      <c r="I3186" s="0" t="n">
        <f aca="false">1</f>
        <v>1</v>
      </c>
      <c r="J3186" s="0" t="n">
        <f aca="false">E3186</f>
        <v>0</v>
      </c>
      <c r="K3186" s="0" t="n">
        <f aca="false">F3186</f>
        <v>-0.25</v>
      </c>
      <c r="L3186" s="0" t="n">
        <f aca="false">G3186</f>
        <v>-0.5</v>
      </c>
      <c r="M3186" s="0" t="n">
        <f aca="false">H3186</f>
        <v>0</v>
      </c>
      <c r="N3186" s="0" t="n">
        <f aca="false">E3186*F3186</f>
        <v>-0</v>
      </c>
      <c r="O3186" s="0" t="n">
        <f aca="false">E3186*G3186</f>
        <v>-0</v>
      </c>
      <c r="P3186" s="0" t="n">
        <f aca="false">E3186*H3186</f>
        <v>0</v>
      </c>
      <c r="Q3186" s="0" t="n">
        <f aca="false">F3186*G3186</f>
        <v>0.125</v>
      </c>
      <c r="R3186" s="0" t="n">
        <f aca="false">F3186*H3186</f>
        <v>-0</v>
      </c>
      <c r="S3186" s="0" t="n">
        <f aca="false">G3186*H3186</f>
        <v>-0</v>
      </c>
      <c r="T3186" s="0" t="n">
        <f aca="false">E3186*E3186</f>
        <v>0</v>
      </c>
      <c r="U3186" s="0" t="n">
        <f aca="false">F3186*F3186</f>
        <v>0.0625</v>
      </c>
      <c r="V3186" s="0" t="n">
        <f aca="false">G3186*G3186</f>
        <v>0.25</v>
      </c>
      <c r="W3186" s="0" t="n">
        <f aca="false">H3186*H3186</f>
        <v>0</v>
      </c>
      <c r="X3186" s="0" t="n">
        <f aca="false">SUMPRODUCT(I3186:W3186,_XtX!$B$96:$P$96)</f>
        <v>46.5996619152046</v>
      </c>
      <c r="Y3186" s="0" t="n">
        <f aca="false">SUMPRODUCT(MMULT(I3186:W3186,_XtX!$B$78:$P$92),I3186:W3186)</f>
        <v>0.120448419225146</v>
      </c>
      <c r="Z3186" s="0" t="n">
        <f aca="false">04_回帰ANOVA!$K$19*04_回帰ANOVA!$K$14*SQRT(1+Y3186)</f>
        <v>1.37973069703246</v>
      </c>
      <c r="AA3186" s="0" t="n">
        <f aca="false">X3186-Z3186</f>
        <v>45.2199312181722</v>
      </c>
      <c r="AB3186" s="0" t="n">
        <f aca="false">X3186+Z3186</f>
        <v>47.9793926122371</v>
      </c>
      <c r="AC3186" s="54" t="b">
        <f aca="false">AND(E3186&gt;=01_因子設定!$L$5-0.000000001,E3186&lt;=01_因子設定!$M$5+0.000000001,F3186&gt;=01_因子設定!$L$6-0.000000001,F3186&lt;=01_因子設定!$M$6+0.000000001,G3186&gt;=01_因子設定!$L$7-0.000000001,G3186&lt;=01_因子設定!$M$7+0.000000001,H3186&gt;=01_因子設定!$L$8-0.000000001,H3186&lt;=01_因子設定!$M$8+0.000000001,IF(01_因子設定!$B$20="Box-Behnken",E3186^2+F3186^2+G3186^2+H3186^2&lt;=2+0.000000001,TRUE()))</f>
        <v>1</v>
      </c>
      <c r="AD3186" s="55" t="n">
        <f aca="false">IF(AC3186,IF(01_因子設定!$B$13="最大化",AA3186-01_因子設定!$B$14,IF(01_因子設定!$B$13="最小化",01_因子設定!$B$15-AB3186,MIN(AA3186-01_因子設定!$B$14,01_因子設定!$B$15-AB3186))),-1E+030)</f>
        <v>-1.28006878182785</v>
      </c>
      <c r="AE3186" s="55" t="n">
        <f aca="false">IF(AC3186,IF(01_因子設定!$B$13="最大化",X3186,IF(01_因子設定!$B$13="最小化",-X3186,-ABS(X3186-01_因子設定!$B$16))),-1E+030)</f>
        <v>46.5996619152046</v>
      </c>
      <c r="AF3186" s="55" t="n">
        <f aca="false">AD3186+ROW()*0.000000001</f>
        <v>-1.28006559582785</v>
      </c>
      <c r="AG3186" s="55" t="n">
        <f aca="false">AE3186+ROW()*0.000000001</f>
        <v>46.5996651012046</v>
      </c>
    </row>
    <row r="3187" customFormat="false" ht="15" hidden="false" customHeight="false" outlineLevel="0" collapsed="false">
      <c r="A3187" s="0" t="n">
        <v>4</v>
      </c>
      <c r="B3187" s="0" t="n">
        <v>3</v>
      </c>
      <c r="C3187" s="0" t="n">
        <v>2</v>
      </c>
      <c r="D3187" s="0" t="n">
        <v>5</v>
      </c>
      <c r="E3187" s="0" t="n">
        <f aca="false">-1+A3187*0.25</f>
        <v>0</v>
      </c>
      <c r="F3187" s="0" t="n">
        <f aca="false">-1+B3187*0.25</f>
        <v>-0.25</v>
      </c>
      <c r="G3187" s="0" t="n">
        <f aca="false">-1+C3187*0.25</f>
        <v>-0.5</v>
      </c>
      <c r="H3187" s="0" t="n">
        <f aca="false">-1+D3187*0.25</f>
        <v>0.25</v>
      </c>
      <c r="I3187" s="0" t="n">
        <f aca="false">1</f>
        <v>1</v>
      </c>
      <c r="J3187" s="0" t="n">
        <f aca="false">E3187</f>
        <v>0</v>
      </c>
      <c r="K3187" s="0" t="n">
        <f aca="false">F3187</f>
        <v>-0.25</v>
      </c>
      <c r="L3187" s="0" t="n">
        <f aca="false">G3187</f>
        <v>-0.5</v>
      </c>
      <c r="M3187" s="0" t="n">
        <f aca="false">H3187</f>
        <v>0.25</v>
      </c>
      <c r="N3187" s="0" t="n">
        <f aca="false">E3187*F3187</f>
        <v>-0</v>
      </c>
      <c r="O3187" s="0" t="n">
        <f aca="false">E3187*G3187</f>
        <v>-0</v>
      </c>
      <c r="P3187" s="0" t="n">
        <f aca="false">E3187*H3187</f>
        <v>0</v>
      </c>
      <c r="Q3187" s="0" t="n">
        <f aca="false">F3187*G3187</f>
        <v>0.125</v>
      </c>
      <c r="R3187" s="0" t="n">
        <f aca="false">F3187*H3187</f>
        <v>-0.0625</v>
      </c>
      <c r="S3187" s="0" t="n">
        <f aca="false">G3187*H3187</f>
        <v>-0.125</v>
      </c>
      <c r="T3187" s="0" t="n">
        <f aca="false">E3187*E3187</f>
        <v>0</v>
      </c>
      <c r="U3187" s="0" t="n">
        <f aca="false">F3187*F3187</f>
        <v>0.0625</v>
      </c>
      <c r="V3187" s="0" t="n">
        <f aca="false">G3187*G3187</f>
        <v>0.25</v>
      </c>
      <c r="W3187" s="0" t="n">
        <f aca="false">H3187*H3187</f>
        <v>0.0625</v>
      </c>
      <c r="X3187" s="0" t="n">
        <f aca="false">SUMPRODUCT(I3187:W3187,_XtX!$B$96:$P$96)</f>
        <v>46.6544910453216</v>
      </c>
      <c r="Y3187" s="0" t="n">
        <f aca="false">SUMPRODUCT(MMULT(I3187:W3187,_XtX!$B$78:$P$92),I3187:W3187)</f>
        <v>0.118905050712719</v>
      </c>
      <c r="Z3187" s="0" t="n">
        <f aca="false">04_回帰ANOVA!$K$19*04_回帰ANOVA!$K$14*SQRT(1+Y3187)</f>
        <v>1.37878011033769</v>
      </c>
      <c r="AA3187" s="0" t="n">
        <f aca="false">X3187-Z3187</f>
        <v>45.2757109349839</v>
      </c>
      <c r="AB3187" s="0" t="n">
        <f aca="false">X3187+Z3187</f>
        <v>48.0332711556593</v>
      </c>
      <c r="AC3187" s="54" t="b">
        <f aca="false">AND(E3187&gt;=01_因子設定!$L$5-0.000000001,E3187&lt;=01_因子設定!$M$5+0.000000001,F3187&gt;=01_因子設定!$L$6-0.000000001,F3187&lt;=01_因子設定!$M$6+0.000000001,G3187&gt;=01_因子設定!$L$7-0.000000001,G3187&lt;=01_因子設定!$M$7+0.000000001,H3187&gt;=01_因子設定!$L$8-0.000000001,H3187&lt;=01_因子設定!$M$8+0.000000001,IF(01_因子設定!$B$20="Box-Behnken",E3187^2+F3187^2+G3187^2+H3187^2&lt;=2+0.000000001,TRUE()))</f>
        <v>1</v>
      </c>
      <c r="AD3187" s="55" t="n">
        <f aca="false">IF(AC3187,IF(01_因子設定!$B$13="最大化",AA3187-01_因子設定!$B$14,IF(01_因子設定!$B$13="最小化",01_因子設定!$B$15-AB3187,MIN(AA3187-01_因子設定!$B$14,01_因子設定!$B$15-AB3187))),-1E+030)</f>
        <v>-1.22428906501612</v>
      </c>
      <c r="AE3187" s="55" t="n">
        <f aca="false">IF(AC3187,IF(01_因子設定!$B$13="最大化",X3187,IF(01_因子設定!$B$13="最小化",-X3187,-ABS(X3187-01_因子設定!$B$16))),-1E+030)</f>
        <v>46.6544910453216</v>
      </c>
      <c r="AF3187" s="55" t="n">
        <f aca="false">AD3187+ROW()*0.000000001</f>
        <v>-1.22428587801612</v>
      </c>
      <c r="AG3187" s="55" t="n">
        <f aca="false">AE3187+ROW()*0.000000001</f>
        <v>46.6544942323216</v>
      </c>
    </row>
    <row r="3188" customFormat="false" ht="15" hidden="false" customHeight="false" outlineLevel="0" collapsed="false">
      <c r="A3188" s="0" t="n">
        <v>4</v>
      </c>
      <c r="B3188" s="0" t="n">
        <v>3</v>
      </c>
      <c r="C3188" s="0" t="n">
        <v>2</v>
      </c>
      <c r="D3188" s="0" t="n">
        <v>6</v>
      </c>
      <c r="E3188" s="0" t="n">
        <f aca="false">-1+A3188*0.25</f>
        <v>0</v>
      </c>
      <c r="F3188" s="0" t="n">
        <f aca="false">-1+B3188*0.25</f>
        <v>-0.25</v>
      </c>
      <c r="G3188" s="0" t="n">
        <f aca="false">-1+C3188*0.25</f>
        <v>-0.5</v>
      </c>
      <c r="H3188" s="0" t="n">
        <f aca="false">-1+D3188*0.25</f>
        <v>0.5</v>
      </c>
      <c r="I3188" s="0" t="n">
        <f aca="false">1</f>
        <v>1</v>
      </c>
      <c r="J3188" s="0" t="n">
        <f aca="false">E3188</f>
        <v>0</v>
      </c>
      <c r="K3188" s="0" t="n">
        <f aca="false">F3188</f>
        <v>-0.25</v>
      </c>
      <c r="L3188" s="0" t="n">
        <f aca="false">G3188</f>
        <v>-0.5</v>
      </c>
      <c r="M3188" s="0" t="n">
        <f aca="false">H3188</f>
        <v>0.5</v>
      </c>
      <c r="N3188" s="0" t="n">
        <f aca="false">E3188*F3188</f>
        <v>-0</v>
      </c>
      <c r="O3188" s="0" t="n">
        <f aca="false">E3188*G3188</f>
        <v>-0</v>
      </c>
      <c r="P3188" s="0" t="n">
        <f aca="false">E3188*H3188</f>
        <v>0</v>
      </c>
      <c r="Q3188" s="0" t="n">
        <f aca="false">F3188*G3188</f>
        <v>0.125</v>
      </c>
      <c r="R3188" s="0" t="n">
        <f aca="false">F3188*H3188</f>
        <v>-0.125</v>
      </c>
      <c r="S3188" s="0" t="n">
        <f aca="false">G3188*H3188</f>
        <v>-0.25</v>
      </c>
      <c r="T3188" s="0" t="n">
        <f aca="false">E3188*E3188</f>
        <v>0</v>
      </c>
      <c r="U3188" s="0" t="n">
        <f aca="false">F3188*F3188</f>
        <v>0.0625</v>
      </c>
      <c r="V3188" s="0" t="n">
        <f aca="false">G3188*G3188</f>
        <v>0.25</v>
      </c>
      <c r="W3188" s="0" t="n">
        <f aca="false">H3188*H3188</f>
        <v>0.25</v>
      </c>
      <c r="X3188" s="0" t="n">
        <f aca="false">SUMPRODUCT(I3188:W3188,_XtX!$B$96:$P$96)</f>
        <v>46.6615131578947</v>
      </c>
      <c r="Y3188" s="0" t="n">
        <f aca="false">SUMPRODUCT(MMULT(I3188:W3188,_XtX!$B$78:$P$92),I3188:W3188)</f>
        <v>0.132367050438597</v>
      </c>
      <c r="Z3188" s="0" t="n">
        <f aca="false">04_回帰ANOVA!$K$19*04_回帰ANOVA!$K$14*SQRT(1+Y3188)</f>
        <v>1.38704964208329</v>
      </c>
      <c r="AA3188" s="0" t="n">
        <f aca="false">X3188-Z3188</f>
        <v>45.2744635158114</v>
      </c>
      <c r="AB3188" s="0" t="n">
        <f aca="false">X3188+Z3188</f>
        <v>48.048562799978</v>
      </c>
      <c r="AC3188" s="54" t="b">
        <f aca="false">AND(E3188&gt;=01_因子設定!$L$5-0.000000001,E3188&lt;=01_因子設定!$M$5+0.000000001,F3188&gt;=01_因子設定!$L$6-0.000000001,F3188&lt;=01_因子設定!$M$6+0.000000001,G3188&gt;=01_因子設定!$L$7-0.000000001,G3188&lt;=01_因子設定!$M$7+0.000000001,H3188&gt;=01_因子設定!$L$8-0.000000001,H3188&lt;=01_因子設定!$M$8+0.000000001,IF(01_因子設定!$B$20="Box-Behnken",E3188^2+F3188^2+G3188^2+H3188^2&lt;=2+0.000000001,TRUE()))</f>
        <v>1</v>
      </c>
      <c r="AD3188" s="55" t="n">
        <f aca="false">IF(AC3188,IF(01_因子設定!$B$13="最大化",AA3188-01_因子設定!$B$14,IF(01_因子設定!$B$13="最小化",01_因子設定!$B$15-AB3188,MIN(AA3188-01_因子設定!$B$14,01_因子設定!$B$15-AB3188))),-1E+030)</f>
        <v>-1.22553648418861</v>
      </c>
      <c r="AE3188" s="55" t="n">
        <f aca="false">IF(AC3188,IF(01_因子設定!$B$13="最大化",X3188,IF(01_因子設定!$B$13="最小化",-X3188,-ABS(X3188-01_因子設定!$B$16))),-1E+030)</f>
        <v>46.6615131578947</v>
      </c>
      <c r="AF3188" s="55" t="n">
        <f aca="false">AD3188+ROW()*0.000000001</f>
        <v>-1.22553329618861</v>
      </c>
      <c r="AG3188" s="55" t="n">
        <f aca="false">AE3188+ROW()*0.000000001</f>
        <v>46.6615163458947</v>
      </c>
    </row>
    <row r="3189" customFormat="false" ht="15" hidden="false" customHeight="false" outlineLevel="0" collapsed="false">
      <c r="A3189" s="0" t="n">
        <v>4</v>
      </c>
      <c r="B3189" s="0" t="n">
        <v>3</v>
      </c>
      <c r="C3189" s="0" t="n">
        <v>2</v>
      </c>
      <c r="D3189" s="0" t="n">
        <v>7</v>
      </c>
      <c r="E3189" s="0" t="n">
        <f aca="false">-1+A3189*0.25</f>
        <v>0</v>
      </c>
      <c r="F3189" s="0" t="n">
        <f aca="false">-1+B3189*0.25</f>
        <v>-0.25</v>
      </c>
      <c r="G3189" s="0" t="n">
        <f aca="false">-1+C3189*0.25</f>
        <v>-0.5</v>
      </c>
      <c r="H3189" s="0" t="n">
        <f aca="false">-1+D3189*0.25</f>
        <v>0.75</v>
      </c>
      <c r="I3189" s="0" t="n">
        <f aca="false">1</f>
        <v>1</v>
      </c>
      <c r="J3189" s="0" t="n">
        <f aca="false">E3189</f>
        <v>0</v>
      </c>
      <c r="K3189" s="0" t="n">
        <f aca="false">F3189</f>
        <v>-0.25</v>
      </c>
      <c r="L3189" s="0" t="n">
        <f aca="false">G3189</f>
        <v>-0.5</v>
      </c>
      <c r="M3189" s="0" t="n">
        <f aca="false">H3189</f>
        <v>0.75</v>
      </c>
      <c r="N3189" s="0" t="n">
        <f aca="false">E3189*F3189</f>
        <v>-0</v>
      </c>
      <c r="O3189" s="0" t="n">
        <f aca="false">E3189*G3189</f>
        <v>-0</v>
      </c>
      <c r="P3189" s="0" t="n">
        <f aca="false">E3189*H3189</f>
        <v>0</v>
      </c>
      <c r="Q3189" s="0" t="n">
        <f aca="false">F3189*G3189</f>
        <v>0.125</v>
      </c>
      <c r="R3189" s="0" t="n">
        <f aca="false">F3189*H3189</f>
        <v>-0.1875</v>
      </c>
      <c r="S3189" s="0" t="n">
        <f aca="false">G3189*H3189</f>
        <v>-0.375</v>
      </c>
      <c r="T3189" s="0" t="n">
        <f aca="false">E3189*E3189</f>
        <v>0</v>
      </c>
      <c r="U3189" s="0" t="n">
        <f aca="false">F3189*F3189</f>
        <v>0.0625</v>
      </c>
      <c r="V3189" s="0" t="n">
        <f aca="false">G3189*G3189</f>
        <v>0.25</v>
      </c>
      <c r="W3189" s="0" t="n">
        <f aca="false">H3189*H3189</f>
        <v>0.5625</v>
      </c>
      <c r="X3189" s="0" t="n">
        <f aca="false">SUMPRODUCT(I3189:W3189,_XtX!$B$96:$P$96)</f>
        <v>46.6207282529239</v>
      </c>
      <c r="Y3189" s="0" t="n">
        <f aca="false">SUMPRODUCT(MMULT(I3189:W3189,_XtX!$B$78:$P$92),I3189:W3189)</f>
        <v>0.215110734192252</v>
      </c>
      <c r="Z3189" s="0" t="n">
        <f aca="false">04_回帰ANOVA!$K$19*04_回帰ANOVA!$K$14*SQRT(1+Y3189)</f>
        <v>1.43683309086864</v>
      </c>
      <c r="AA3189" s="0" t="n">
        <f aca="false">X3189-Z3189</f>
        <v>45.1838951620553</v>
      </c>
      <c r="AB3189" s="0" t="n">
        <f aca="false">X3189+Z3189</f>
        <v>48.0575613437926</v>
      </c>
      <c r="AC3189" s="54" t="b">
        <f aca="false">AND(E3189&gt;=01_因子設定!$L$5-0.000000001,E3189&lt;=01_因子設定!$M$5+0.000000001,F3189&gt;=01_因子設定!$L$6-0.000000001,F3189&lt;=01_因子設定!$M$6+0.000000001,G3189&gt;=01_因子設定!$L$7-0.000000001,G3189&lt;=01_因子設定!$M$7+0.000000001,H3189&gt;=01_因子設定!$L$8-0.000000001,H3189&lt;=01_因子設定!$M$8+0.000000001,IF(01_因子設定!$B$20="Box-Behnken",E3189^2+F3189^2+G3189^2+H3189^2&lt;=2+0.000000001,TRUE()))</f>
        <v>1</v>
      </c>
      <c r="AD3189" s="55" t="n">
        <f aca="false">IF(AC3189,IF(01_因子設定!$B$13="最大化",AA3189-01_因子設定!$B$14,IF(01_因子設定!$B$13="最小化",01_因子設定!$B$15-AB3189,MIN(AA3189-01_因子設定!$B$14,01_因子設定!$B$15-AB3189))),-1E+030)</f>
        <v>-1.31610483794471</v>
      </c>
      <c r="AE3189" s="55" t="n">
        <f aca="false">IF(AC3189,IF(01_因子設定!$B$13="最大化",X3189,IF(01_因子設定!$B$13="最小化",-X3189,-ABS(X3189-01_因子設定!$B$16))),-1E+030)</f>
        <v>46.6207282529239</v>
      </c>
      <c r="AF3189" s="55" t="n">
        <f aca="false">AD3189+ROW()*0.000000001</f>
        <v>-1.31610164894471</v>
      </c>
      <c r="AG3189" s="55" t="n">
        <f aca="false">AE3189+ROW()*0.000000001</f>
        <v>46.6207314419239</v>
      </c>
    </row>
    <row r="3190" customFormat="false" ht="15" hidden="false" customHeight="false" outlineLevel="0" collapsed="false">
      <c r="A3190" s="0" t="n">
        <v>4</v>
      </c>
      <c r="B3190" s="0" t="n">
        <v>3</v>
      </c>
      <c r="C3190" s="0" t="n">
        <v>2</v>
      </c>
      <c r="D3190" s="0" t="n">
        <v>8</v>
      </c>
      <c r="E3190" s="0" t="n">
        <f aca="false">-1+A3190*0.25</f>
        <v>0</v>
      </c>
      <c r="F3190" s="0" t="n">
        <f aca="false">-1+B3190*0.25</f>
        <v>-0.25</v>
      </c>
      <c r="G3190" s="0" t="n">
        <f aca="false">-1+C3190*0.25</f>
        <v>-0.5</v>
      </c>
      <c r="H3190" s="0" t="n">
        <f aca="false">-1+D3190*0.25</f>
        <v>1</v>
      </c>
      <c r="I3190" s="0" t="n">
        <f aca="false">1</f>
        <v>1</v>
      </c>
      <c r="J3190" s="0" t="n">
        <f aca="false">E3190</f>
        <v>0</v>
      </c>
      <c r="K3190" s="0" t="n">
        <f aca="false">F3190</f>
        <v>-0.25</v>
      </c>
      <c r="L3190" s="0" t="n">
        <f aca="false">G3190</f>
        <v>-0.5</v>
      </c>
      <c r="M3190" s="0" t="n">
        <f aca="false">H3190</f>
        <v>1</v>
      </c>
      <c r="N3190" s="0" t="n">
        <f aca="false">E3190*F3190</f>
        <v>-0</v>
      </c>
      <c r="O3190" s="0" t="n">
        <f aca="false">E3190*G3190</f>
        <v>-0</v>
      </c>
      <c r="P3190" s="0" t="n">
        <f aca="false">E3190*H3190</f>
        <v>0</v>
      </c>
      <c r="Q3190" s="0" t="n">
        <f aca="false">F3190*G3190</f>
        <v>0.125</v>
      </c>
      <c r="R3190" s="0" t="n">
        <f aca="false">F3190*H3190</f>
        <v>-0.25</v>
      </c>
      <c r="S3190" s="0" t="n">
        <f aca="false">G3190*H3190</f>
        <v>-0.5</v>
      </c>
      <c r="T3190" s="0" t="n">
        <f aca="false">E3190*E3190</f>
        <v>0</v>
      </c>
      <c r="U3190" s="0" t="n">
        <f aca="false">F3190*F3190</f>
        <v>0.0625</v>
      </c>
      <c r="V3190" s="0" t="n">
        <f aca="false">G3190*G3190</f>
        <v>0.25</v>
      </c>
      <c r="W3190" s="0" t="n">
        <f aca="false">H3190*H3190</f>
        <v>1</v>
      </c>
      <c r="X3190" s="0" t="n">
        <f aca="false">SUMPRODUCT(I3190:W3190,_XtX!$B$96:$P$96)</f>
        <v>46.5321363304093</v>
      </c>
      <c r="Y3190" s="0" t="n">
        <f aca="false">SUMPRODUCT(MMULT(I3190:W3190,_XtX!$B$78:$P$92),I3190:W3190)</f>
        <v>0.457596628289474</v>
      </c>
      <c r="Z3190" s="0" t="n">
        <f aca="false">04_回帰ANOVA!$K$19*04_回帰ANOVA!$K$14*SQRT(1+Y3190)</f>
        <v>1.57368233664366</v>
      </c>
      <c r="AA3190" s="0" t="n">
        <f aca="false">X3190-Z3190</f>
        <v>44.9584539937657</v>
      </c>
      <c r="AB3190" s="0" t="n">
        <f aca="false">X3190+Z3190</f>
        <v>48.105818667053</v>
      </c>
      <c r="AC3190" s="54" t="b">
        <f aca="false">AND(E3190&gt;=01_因子設定!$L$5-0.000000001,E3190&lt;=01_因子設定!$M$5+0.000000001,F3190&gt;=01_因子設定!$L$6-0.000000001,F3190&lt;=01_因子設定!$M$6+0.000000001,G3190&gt;=01_因子設定!$L$7-0.000000001,G3190&lt;=01_因子設定!$M$7+0.000000001,H3190&gt;=01_因子設定!$L$8-0.000000001,H3190&lt;=01_因子設定!$M$8+0.000000001,IF(01_因子設定!$B$20="Box-Behnken",E3190^2+F3190^2+G3190^2+H3190^2&lt;=2+0.000000001,TRUE()))</f>
        <v>1</v>
      </c>
      <c r="AD3190" s="55" t="n">
        <f aca="false">IF(AC3190,IF(01_因子設定!$B$13="最大化",AA3190-01_因子設定!$B$14,IF(01_因子設定!$B$13="最小化",01_因子設定!$B$15-AB3190,MIN(AA3190-01_因子設定!$B$14,01_因子設定!$B$15-AB3190))),-1E+030)</f>
        <v>-1.54154600623433</v>
      </c>
      <c r="AE3190" s="55" t="n">
        <f aca="false">IF(AC3190,IF(01_因子設定!$B$13="最大化",X3190,IF(01_因子設定!$B$13="最小化",-X3190,-ABS(X3190-01_因子設定!$B$16))),-1E+030)</f>
        <v>46.5321363304093</v>
      </c>
      <c r="AF3190" s="55" t="n">
        <f aca="false">AD3190+ROW()*0.000000001</f>
        <v>-1.54154281623433</v>
      </c>
      <c r="AG3190" s="55" t="n">
        <f aca="false">AE3190+ROW()*0.000000001</f>
        <v>46.5321395204093</v>
      </c>
    </row>
    <row r="3191" customFormat="false" ht="15" hidden="false" customHeight="false" outlineLevel="0" collapsed="false">
      <c r="A3191" s="0" t="n">
        <v>4</v>
      </c>
      <c r="B3191" s="0" t="n">
        <v>3</v>
      </c>
      <c r="C3191" s="0" t="n">
        <v>3</v>
      </c>
      <c r="D3191" s="0" t="n">
        <v>0</v>
      </c>
      <c r="E3191" s="0" t="n">
        <f aca="false">-1+A3191*0.25</f>
        <v>0</v>
      </c>
      <c r="F3191" s="0" t="n">
        <f aca="false">-1+B3191*0.25</f>
        <v>-0.25</v>
      </c>
      <c r="G3191" s="0" t="n">
        <f aca="false">-1+C3191*0.25</f>
        <v>-0.25</v>
      </c>
      <c r="H3191" s="0" t="n">
        <f aca="false">-1+D3191*0.25</f>
        <v>-1</v>
      </c>
      <c r="I3191" s="0" t="n">
        <f aca="false">1</f>
        <v>1</v>
      </c>
      <c r="J3191" s="0" t="n">
        <f aca="false">E3191</f>
        <v>0</v>
      </c>
      <c r="K3191" s="0" t="n">
        <f aca="false">F3191</f>
        <v>-0.25</v>
      </c>
      <c r="L3191" s="0" t="n">
        <f aca="false">G3191</f>
        <v>-0.25</v>
      </c>
      <c r="M3191" s="0" t="n">
        <f aca="false">H3191</f>
        <v>-1</v>
      </c>
      <c r="N3191" s="0" t="n">
        <f aca="false">E3191*F3191</f>
        <v>-0</v>
      </c>
      <c r="O3191" s="0" t="n">
        <f aca="false">E3191*G3191</f>
        <v>-0</v>
      </c>
      <c r="P3191" s="0" t="n">
        <f aca="false">E3191*H3191</f>
        <v>-0</v>
      </c>
      <c r="Q3191" s="0" t="n">
        <f aca="false">F3191*G3191</f>
        <v>0.0625</v>
      </c>
      <c r="R3191" s="0" t="n">
        <f aca="false">F3191*H3191</f>
        <v>0.25</v>
      </c>
      <c r="S3191" s="0" t="n">
        <f aca="false">G3191*H3191</f>
        <v>0.25</v>
      </c>
      <c r="T3191" s="0" t="n">
        <f aca="false">E3191*E3191</f>
        <v>0</v>
      </c>
      <c r="U3191" s="0" t="n">
        <f aca="false">F3191*F3191</f>
        <v>0.0625</v>
      </c>
      <c r="V3191" s="0" t="n">
        <f aca="false">G3191*G3191</f>
        <v>0.0625</v>
      </c>
      <c r="W3191" s="0" t="n">
        <f aca="false">H3191*H3191</f>
        <v>1</v>
      </c>
      <c r="X3191" s="0" t="n">
        <f aca="false">SUMPRODUCT(I3191:W3191,_XtX!$B$96:$P$96)</f>
        <v>46.1846628289473</v>
      </c>
      <c r="Y3191" s="0" t="n">
        <f aca="false">SUMPRODUCT(MMULT(I3191:W3191,_XtX!$B$78:$P$92),I3191:W3191)</f>
        <v>0.467417934484649</v>
      </c>
      <c r="Z3191" s="0" t="n">
        <f aca="false">04_回帰ANOVA!$K$19*04_回帰ANOVA!$K$14*SQRT(1+Y3191)</f>
        <v>1.57897518244497</v>
      </c>
      <c r="AA3191" s="0" t="n">
        <f aca="false">X3191-Z3191</f>
        <v>44.6056876465024</v>
      </c>
      <c r="AB3191" s="0" t="n">
        <f aca="false">X3191+Z3191</f>
        <v>47.7636380113923</v>
      </c>
      <c r="AC3191" s="54" t="b">
        <f aca="false">AND(E3191&gt;=01_因子設定!$L$5-0.000000001,E3191&lt;=01_因子設定!$M$5+0.000000001,F3191&gt;=01_因子設定!$L$6-0.000000001,F3191&lt;=01_因子設定!$M$6+0.000000001,G3191&gt;=01_因子設定!$L$7-0.000000001,G3191&lt;=01_因子設定!$M$7+0.000000001,H3191&gt;=01_因子設定!$L$8-0.000000001,H3191&lt;=01_因子設定!$M$8+0.000000001,IF(01_因子設定!$B$20="Box-Behnken",E3191^2+F3191^2+G3191^2+H3191^2&lt;=2+0.000000001,TRUE()))</f>
        <v>1</v>
      </c>
      <c r="AD3191" s="55" t="n">
        <f aca="false">IF(AC3191,IF(01_因子設定!$B$13="最大化",AA3191-01_因子設定!$B$14,IF(01_因子設定!$B$13="最小化",01_因子設定!$B$15-AB3191,MIN(AA3191-01_因子設定!$B$14,01_因子設定!$B$15-AB3191))),-1E+030)</f>
        <v>-1.89431235349763</v>
      </c>
      <c r="AE3191" s="55" t="n">
        <f aca="false">IF(AC3191,IF(01_因子設定!$B$13="最大化",X3191,IF(01_因子設定!$B$13="最小化",-X3191,-ABS(X3191-01_因子設定!$B$16))),-1E+030)</f>
        <v>46.1846628289473</v>
      </c>
      <c r="AF3191" s="55" t="n">
        <f aca="false">AD3191+ROW()*0.000000001</f>
        <v>-1.89430916249763</v>
      </c>
      <c r="AG3191" s="55" t="n">
        <f aca="false">AE3191+ROW()*0.000000001</f>
        <v>46.1846660199473</v>
      </c>
    </row>
    <row r="3192" customFormat="false" ht="15" hidden="false" customHeight="false" outlineLevel="0" collapsed="false">
      <c r="A3192" s="0" t="n">
        <v>4</v>
      </c>
      <c r="B3192" s="0" t="n">
        <v>3</v>
      </c>
      <c r="C3192" s="0" t="n">
        <v>3</v>
      </c>
      <c r="D3192" s="0" t="n">
        <v>1</v>
      </c>
      <c r="E3192" s="0" t="n">
        <f aca="false">-1+A3192*0.25</f>
        <v>0</v>
      </c>
      <c r="F3192" s="0" t="n">
        <f aca="false">-1+B3192*0.25</f>
        <v>-0.25</v>
      </c>
      <c r="G3192" s="0" t="n">
        <f aca="false">-1+C3192*0.25</f>
        <v>-0.25</v>
      </c>
      <c r="H3192" s="0" t="n">
        <f aca="false">-1+D3192*0.25</f>
        <v>-0.75</v>
      </c>
      <c r="I3192" s="0" t="n">
        <f aca="false">1</f>
        <v>1</v>
      </c>
      <c r="J3192" s="0" t="n">
        <f aca="false">E3192</f>
        <v>0</v>
      </c>
      <c r="K3192" s="0" t="n">
        <f aca="false">F3192</f>
        <v>-0.25</v>
      </c>
      <c r="L3192" s="0" t="n">
        <f aca="false">G3192</f>
        <v>-0.25</v>
      </c>
      <c r="M3192" s="0" t="n">
        <f aca="false">H3192</f>
        <v>-0.75</v>
      </c>
      <c r="N3192" s="0" t="n">
        <f aca="false">E3192*F3192</f>
        <v>-0</v>
      </c>
      <c r="O3192" s="0" t="n">
        <f aca="false">E3192*G3192</f>
        <v>-0</v>
      </c>
      <c r="P3192" s="0" t="n">
        <f aca="false">E3192*H3192</f>
        <v>-0</v>
      </c>
      <c r="Q3192" s="0" t="n">
        <f aca="false">F3192*G3192</f>
        <v>0.0625</v>
      </c>
      <c r="R3192" s="0" t="n">
        <f aca="false">F3192*H3192</f>
        <v>0.1875</v>
      </c>
      <c r="S3192" s="0" t="n">
        <f aca="false">G3192*H3192</f>
        <v>0.1875</v>
      </c>
      <c r="T3192" s="0" t="n">
        <f aca="false">E3192*E3192</f>
        <v>0</v>
      </c>
      <c r="U3192" s="0" t="n">
        <f aca="false">F3192*F3192</f>
        <v>0.0625</v>
      </c>
      <c r="V3192" s="0" t="n">
        <f aca="false">G3192*G3192</f>
        <v>0.0625</v>
      </c>
      <c r="W3192" s="0" t="n">
        <f aca="false">H3192*H3192</f>
        <v>0.5625</v>
      </c>
      <c r="X3192" s="0" t="n">
        <f aca="false">SUMPRODUCT(I3192:W3192,_XtX!$B$96:$P$96)</f>
        <v>46.4486887792397</v>
      </c>
      <c r="Y3192" s="0" t="n">
        <f aca="false">SUMPRODUCT(MMULT(I3192:W3192,_XtX!$B$78:$P$92),I3192:W3192)</f>
        <v>0.21135011193348</v>
      </c>
      <c r="Z3192" s="0" t="n">
        <f aca="false">04_回帰ANOVA!$K$19*04_回帰ANOVA!$K$14*SQRT(1+Y3192)</f>
        <v>1.43460795469709</v>
      </c>
      <c r="AA3192" s="0" t="n">
        <f aca="false">X3192-Z3192</f>
        <v>45.0140808245426</v>
      </c>
      <c r="AB3192" s="0" t="n">
        <f aca="false">X3192+Z3192</f>
        <v>47.8832967339368</v>
      </c>
      <c r="AC3192" s="54" t="b">
        <f aca="false">AND(E3192&gt;=01_因子設定!$L$5-0.000000001,E3192&lt;=01_因子設定!$M$5+0.000000001,F3192&gt;=01_因子設定!$L$6-0.000000001,F3192&lt;=01_因子設定!$M$6+0.000000001,G3192&gt;=01_因子設定!$L$7-0.000000001,G3192&lt;=01_因子設定!$M$7+0.000000001,H3192&gt;=01_因子設定!$L$8-0.000000001,H3192&lt;=01_因子設定!$M$8+0.000000001,IF(01_因子設定!$B$20="Box-Behnken",E3192^2+F3192^2+G3192^2+H3192^2&lt;=2+0.000000001,TRUE()))</f>
        <v>1</v>
      </c>
      <c r="AD3192" s="55" t="n">
        <f aca="false">IF(AC3192,IF(01_因子設定!$B$13="最大化",AA3192-01_因子設定!$B$14,IF(01_因子設定!$B$13="最小化",01_因子設定!$B$15-AB3192,MIN(AA3192-01_因子設定!$B$14,01_因子設定!$B$15-AB3192))),-1E+030)</f>
        <v>-1.48591917545736</v>
      </c>
      <c r="AE3192" s="55" t="n">
        <f aca="false">IF(AC3192,IF(01_因子設定!$B$13="最大化",X3192,IF(01_因子設定!$B$13="最小化",-X3192,-ABS(X3192-01_因子設定!$B$16))),-1E+030)</f>
        <v>46.4486887792397</v>
      </c>
      <c r="AF3192" s="55" t="n">
        <f aca="false">AD3192+ROW()*0.000000001</f>
        <v>-1.48591598345736</v>
      </c>
      <c r="AG3192" s="55" t="n">
        <f aca="false">AE3192+ROW()*0.000000001</f>
        <v>46.4486919712397</v>
      </c>
    </row>
    <row r="3193" customFormat="false" ht="15" hidden="false" customHeight="false" outlineLevel="0" collapsed="false">
      <c r="A3193" s="0" t="n">
        <v>4</v>
      </c>
      <c r="B3193" s="0" t="n">
        <v>3</v>
      </c>
      <c r="C3193" s="0" t="n">
        <v>3</v>
      </c>
      <c r="D3193" s="0" t="n">
        <v>2</v>
      </c>
      <c r="E3193" s="0" t="n">
        <f aca="false">-1+A3193*0.25</f>
        <v>0</v>
      </c>
      <c r="F3193" s="0" t="n">
        <f aca="false">-1+B3193*0.25</f>
        <v>-0.25</v>
      </c>
      <c r="G3193" s="0" t="n">
        <f aca="false">-1+C3193*0.25</f>
        <v>-0.25</v>
      </c>
      <c r="H3193" s="0" t="n">
        <f aca="false">-1+D3193*0.25</f>
        <v>-0.5</v>
      </c>
      <c r="I3193" s="0" t="n">
        <f aca="false">1</f>
        <v>1</v>
      </c>
      <c r="J3193" s="0" t="n">
        <f aca="false">E3193</f>
        <v>0</v>
      </c>
      <c r="K3193" s="0" t="n">
        <f aca="false">F3193</f>
        <v>-0.25</v>
      </c>
      <c r="L3193" s="0" t="n">
        <f aca="false">G3193</f>
        <v>-0.25</v>
      </c>
      <c r="M3193" s="0" t="n">
        <f aca="false">H3193</f>
        <v>-0.5</v>
      </c>
      <c r="N3193" s="0" t="n">
        <f aca="false">E3193*F3193</f>
        <v>-0</v>
      </c>
      <c r="O3193" s="0" t="n">
        <f aca="false">E3193*G3193</f>
        <v>-0</v>
      </c>
      <c r="P3193" s="0" t="n">
        <f aca="false">E3193*H3193</f>
        <v>-0</v>
      </c>
      <c r="Q3193" s="0" t="n">
        <f aca="false">F3193*G3193</f>
        <v>0.0625</v>
      </c>
      <c r="R3193" s="0" t="n">
        <f aca="false">F3193*H3193</f>
        <v>0.125</v>
      </c>
      <c r="S3193" s="0" t="n">
        <f aca="false">G3193*H3193</f>
        <v>0.125</v>
      </c>
      <c r="T3193" s="0" t="n">
        <f aca="false">E3193*E3193</f>
        <v>0</v>
      </c>
      <c r="U3193" s="0" t="n">
        <f aca="false">F3193*F3193</f>
        <v>0.0625</v>
      </c>
      <c r="V3193" s="0" t="n">
        <f aca="false">G3193*G3193</f>
        <v>0.0625</v>
      </c>
      <c r="W3193" s="0" t="n">
        <f aca="false">H3193*H3193</f>
        <v>0.25</v>
      </c>
      <c r="X3193" s="0" t="n">
        <f aca="false">SUMPRODUCT(I3193:W3193,_XtX!$B$96:$P$96)</f>
        <v>46.6649077119883</v>
      </c>
      <c r="Y3193" s="0" t="n">
        <f aca="false">SUMPRODUCT(MMULT(I3193:W3193,_XtX!$B$78:$P$92),I3193:W3193)</f>
        <v>0.118905050712719</v>
      </c>
      <c r="Z3193" s="0" t="n">
        <f aca="false">04_回帰ANOVA!$K$19*04_回帰ANOVA!$K$14*SQRT(1+Y3193)</f>
        <v>1.37878011033769</v>
      </c>
      <c r="AA3193" s="0" t="n">
        <f aca="false">X3193-Z3193</f>
        <v>45.2861276016506</v>
      </c>
      <c r="AB3193" s="0" t="n">
        <f aca="false">X3193+Z3193</f>
        <v>48.0436878223259</v>
      </c>
      <c r="AC3193" s="54" t="b">
        <f aca="false">AND(E3193&gt;=01_因子設定!$L$5-0.000000001,E3193&lt;=01_因子設定!$M$5+0.000000001,F3193&gt;=01_因子設定!$L$6-0.000000001,F3193&lt;=01_因子設定!$M$6+0.000000001,G3193&gt;=01_因子設定!$L$7-0.000000001,G3193&lt;=01_因子設定!$M$7+0.000000001,H3193&gt;=01_因子設定!$L$8-0.000000001,H3193&lt;=01_因子設定!$M$8+0.000000001,IF(01_因子設定!$B$20="Box-Behnken",E3193^2+F3193^2+G3193^2+H3193^2&lt;=2+0.000000001,TRUE()))</f>
        <v>1</v>
      </c>
      <c r="AD3193" s="55" t="n">
        <f aca="false">IF(AC3193,IF(01_因子設定!$B$13="最大化",AA3193-01_因子設定!$B$14,IF(01_因子設定!$B$13="最小化",01_因子設定!$B$15-AB3193,MIN(AA3193-01_因子設定!$B$14,01_因子設定!$B$15-AB3193))),-1E+030)</f>
        <v>-1.21387239834944</v>
      </c>
      <c r="AE3193" s="55" t="n">
        <f aca="false">IF(AC3193,IF(01_因子設定!$B$13="最大化",X3193,IF(01_因子設定!$B$13="最小化",-X3193,-ABS(X3193-01_因子設定!$B$16))),-1E+030)</f>
        <v>46.6649077119883</v>
      </c>
      <c r="AF3193" s="55" t="n">
        <f aca="false">AD3193+ROW()*0.000000001</f>
        <v>-1.21386920534944</v>
      </c>
      <c r="AG3193" s="55" t="n">
        <f aca="false">AE3193+ROW()*0.000000001</f>
        <v>46.6649109049883</v>
      </c>
    </row>
    <row r="3194" customFormat="false" ht="15" hidden="false" customHeight="false" outlineLevel="0" collapsed="false">
      <c r="A3194" s="0" t="n">
        <v>4</v>
      </c>
      <c r="B3194" s="0" t="n">
        <v>3</v>
      </c>
      <c r="C3194" s="0" t="n">
        <v>3</v>
      </c>
      <c r="D3194" s="0" t="n">
        <v>3</v>
      </c>
      <c r="E3194" s="0" t="n">
        <f aca="false">-1+A3194*0.25</f>
        <v>0</v>
      </c>
      <c r="F3194" s="0" t="n">
        <f aca="false">-1+B3194*0.25</f>
        <v>-0.25</v>
      </c>
      <c r="G3194" s="0" t="n">
        <f aca="false">-1+C3194*0.25</f>
        <v>-0.25</v>
      </c>
      <c r="H3194" s="0" t="n">
        <f aca="false">-1+D3194*0.25</f>
        <v>-0.25</v>
      </c>
      <c r="I3194" s="0" t="n">
        <f aca="false">1</f>
        <v>1</v>
      </c>
      <c r="J3194" s="0" t="n">
        <f aca="false">E3194</f>
        <v>0</v>
      </c>
      <c r="K3194" s="0" t="n">
        <f aca="false">F3194</f>
        <v>-0.25</v>
      </c>
      <c r="L3194" s="0" t="n">
        <f aca="false">G3194</f>
        <v>-0.25</v>
      </c>
      <c r="M3194" s="0" t="n">
        <f aca="false">H3194</f>
        <v>-0.25</v>
      </c>
      <c r="N3194" s="0" t="n">
        <f aca="false">E3194*F3194</f>
        <v>-0</v>
      </c>
      <c r="O3194" s="0" t="n">
        <f aca="false">E3194*G3194</f>
        <v>-0</v>
      </c>
      <c r="P3194" s="0" t="n">
        <f aca="false">E3194*H3194</f>
        <v>-0</v>
      </c>
      <c r="Q3194" s="0" t="n">
        <f aca="false">F3194*G3194</f>
        <v>0.0625</v>
      </c>
      <c r="R3194" s="0" t="n">
        <f aca="false">F3194*H3194</f>
        <v>0.0625</v>
      </c>
      <c r="S3194" s="0" t="n">
        <f aca="false">G3194*H3194</f>
        <v>0.0625</v>
      </c>
      <c r="T3194" s="0" t="n">
        <f aca="false">E3194*E3194</f>
        <v>0</v>
      </c>
      <c r="U3194" s="0" t="n">
        <f aca="false">F3194*F3194</f>
        <v>0.0625</v>
      </c>
      <c r="V3194" s="0" t="n">
        <f aca="false">G3194*G3194</f>
        <v>0.0625</v>
      </c>
      <c r="W3194" s="0" t="n">
        <f aca="false">H3194*H3194</f>
        <v>0.0625</v>
      </c>
      <c r="X3194" s="0" t="n">
        <f aca="false">SUMPRODUCT(I3194:W3194,_XtX!$B$96:$P$96)</f>
        <v>46.8333196271929</v>
      </c>
      <c r="Y3194" s="0" t="n">
        <f aca="false">SUMPRODUCT(MMULT(I3194:W3194,_XtX!$B$78:$P$92),I3194:W3194)</f>
        <v>0.099622224506579</v>
      </c>
      <c r="Z3194" s="0" t="n">
        <f aca="false">04_回帰ANOVA!$K$19*04_回帰ANOVA!$K$14*SQRT(1+Y3194)</f>
        <v>1.3668477654658</v>
      </c>
      <c r="AA3194" s="0" t="n">
        <f aca="false">X3194-Z3194</f>
        <v>45.4664718617271</v>
      </c>
      <c r="AB3194" s="0" t="n">
        <f aca="false">X3194+Z3194</f>
        <v>48.2001673926587</v>
      </c>
      <c r="AC3194" s="54" t="b">
        <f aca="false">AND(E3194&gt;=01_因子設定!$L$5-0.000000001,E3194&lt;=01_因子設定!$M$5+0.000000001,F3194&gt;=01_因子設定!$L$6-0.000000001,F3194&lt;=01_因子設定!$M$6+0.000000001,G3194&gt;=01_因子設定!$L$7-0.000000001,G3194&lt;=01_因子設定!$M$7+0.000000001,H3194&gt;=01_因子設定!$L$8-0.000000001,H3194&lt;=01_因子設定!$M$8+0.000000001,IF(01_因子設定!$B$20="Box-Behnken",E3194^2+F3194^2+G3194^2+H3194^2&lt;=2+0.000000001,TRUE()))</f>
        <v>1</v>
      </c>
      <c r="AD3194" s="55" t="n">
        <f aca="false">IF(AC3194,IF(01_因子設定!$B$13="最大化",AA3194-01_因子設定!$B$14,IF(01_因子設定!$B$13="最小化",01_因子設定!$B$15-AB3194,MIN(AA3194-01_因子設定!$B$14,01_因子設定!$B$15-AB3194))),-1E+030)</f>
        <v>-1.03352813827288</v>
      </c>
      <c r="AE3194" s="55" t="n">
        <f aca="false">IF(AC3194,IF(01_因子設定!$B$13="最大化",X3194,IF(01_因子設定!$B$13="最小化",-X3194,-ABS(X3194-01_因子設定!$B$16))),-1E+030)</f>
        <v>46.8333196271929</v>
      </c>
      <c r="AF3194" s="55" t="n">
        <f aca="false">AD3194+ROW()*0.000000001</f>
        <v>-1.03352494427288</v>
      </c>
      <c r="AG3194" s="55" t="n">
        <f aca="false">AE3194+ROW()*0.000000001</f>
        <v>46.8333228211929</v>
      </c>
    </row>
    <row r="3195" customFormat="false" ht="15" hidden="false" customHeight="false" outlineLevel="0" collapsed="false">
      <c r="A3195" s="0" t="n">
        <v>4</v>
      </c>
      <c r="B3195" s="0" t="n">
        <v>3</v>
      </c>
      <c r="C3195" s="0" t="n">
        <v>3</v>
      </c>
      <c r="D3195" s="0" t="n">
        <v>4</v>
      </c>
      <c r="E3195" s="0" t="n">
        <f aca="false">-1+A3195*0.25</f>
        <v>0</v>
      </c>
      <c r="F3195" s="0" t="n">
        <f aca="false">-1+B3195*0.25</f>
        <v>-0.25</v>
      </c>
      <c r="G3195" s="0" t="n">
        <f aca="false">-1+C3195*0.25</f>
        <v>-0.25</v>
      </c>
      <c r="H3195" s="0" t="n">
        <f aca="false">-1+D3195*0.25</f>
        <v>0</v>
      </c>
      <c r="I3195" s="0" t="n">
        <f aca="false">1</f>
        <v>1</v>
      </c>
      <c r="J3195" s="0" t="n">
        <f aca="false">E3195</f>
        <v>0</v>
      </c>
      <c r="K3195" s="0" t="n">
        <f aca="false">F3195</f>
        <v>-0.25</v>
      </c>
      <c r="L3195" s="0" t="n">
        <f aca="false">G3195</f>
        <v>-0.25</v>
      </c>
      <c r="M3195" s="0" t="n">
        <f aca="false">H3195</f>
        <v>0</v>
      </c>
      <c r="N3195" s="0" t="n">
        <f aca="false">E3195*F3195</f>
        <v>-0</v>
      </c>
      <c r="O3195" s="0" t="n">
        <f aca="false">E3195*G3195</f>
        <v>-0</v>
      </c>
      <c r="P3195" s="0" t="n">
        <f aca="false">E3195*H3195</f>
        <v>0</v>
      </c>
      <c r="Q3195" s="0" t="n">
        <f aca="false">F3195*G3195</f>
        <v>0.0625</v>
      </c>
      <c r="R3195" s="0" t="n">
        <f aca="false">F3195*H3195</f>
        <v>-0</v>
      </c>
      <c r="S3195" s="0" t="n">
        <f aca="false">G3195*H3195</f>
        <v>-0</v>
      </c>
      <c r="T3195" s="0" t="n">
        <f aca="false">E3195*E3195</f>
        <v>0</v>
      </c>
      <c r="U3195" s="0" t="n">
        <f aca="false">F3195*F3195</f>
        <v>0.0625</v>
      </c>
      <c r="V3195" s="0" t="n">
        <f aca="false">G3195*G3195</f>
        <v>0.0625</v>
      </c>
      <c r="W3195" s="0" t="n">
        <f aca="false">H3195*H3195</f>
        <v>0</v>
      </c>
      <c r="X3195" s="0" t="n">
        <f aca="false">SUMPRODUCT(I3195:W3195,_XtX!$B$96:$P$96)</f>
        <v>46.9539245248537</v>
      </c>
      <c r="Y3195" s="0" t="n">
        <f aca="false">SUMPRODUCT(MMULT(I3195:W3195,_XtX!$B$78:$P$92),I3195:W3195)</f>
        <v>0.0992253175255848</v>
      </c>
      <c r="Z3195" s="0" t="n">
        <f aca="false">04_回帰ANOVA!$K$19*04_回帰ANOVA!$K$14*SQRT(1+Y3195)</f>
        <v>1.36660106238383</v>
      </c>
      <c r="AA3195" s="0" t="n">
        <f aca="false">X3195-Z3195</f>
        <v>45.5873234624699</v>
      </c>
      <c r="AB3195" s="0" t="n">
        <f aca="false">X3195+Z3195</f>
        <v>48.3205255872376</v>
      </c>
      <c r="AC3195" s="54" t="b">
        <f aca="false">AND(E3195&gt;=01_因子設定!$L$5-0.000000001,E3195&lt;=01_因子設定!$M$5+0.000000001,F3195&gt;=01_因子設定!$L$6-0.000000001,F3195&lt;=01_因子設定!$M$6+0.000000001,G3195&gt;=01_因子設定!$L$7-0.000000001,G3195&lt;=01_因子設定!$M$7+0.000000001,H3195&gt;=01_因子設定!$L$8-0.000000001,H3195&lt;=01_因子設定!$M$8+0.000000001,IF(01_因子設定!$B$20="Box-Behnken",E3195^2+F3195^2+G3195^2+H3195^2&lt;=2+0.000000001,TRUE()))</f>
        <v>1</v>
      </c>
      <c r="AD3195" s="55" t="n">
        <f aca="false">IF(AC3195,IF(01_因子設定!$B$13="最大化",AA3195-01_因子設定!$B$14,IF(01_因子設定!$B$13="最小化",01_因子設定!$B$15-AB3195,MIN(AA3195-01_因子設定!$B$14,01_因子設定!$B$15-AB3195))),-1E+030)</f>
        <v>-0.912676537530096</v>
      </c>
      <c r="AE3195" s="55" t="n">
        <f aca="false">IF(AC3195,IF(01_因子設定!$B$13="最大化",X3195,IF(01_因子設定!$B$13="最小化",-X3195,-ABS(X3195-01_因子設定!$B$16))),-1E+030)</f>
        <v>46.9539245248537</v>
      </c>
      <c r="AF3195" s="55" t="n">
        <f aca="false">AD3195+ROW()*0.000000001</f>
        <v>-0.912673342530096</v>
      </c>
      <c r="AG3195" s="55" t="n">
        <f aca="false">AE3195+ROW()*0.000000001</f>
        <v>46.9539277198537</v>
      </c>
    </row>
    <row r="3196" customFormat="false" ht="15" hidden="false" customHeight="false" outlineLevel="0" collapsed="false">
      <c r="A3196" s="0" t="n">
        <v>4</v>
      </c>
      <c r="B3196" s="0" t="n">
        <v>3</v>
      </c>
      <c r="C3196" s="0" t="n">
        <v>3</v>
      </c>
      <c r="D3196" s="0" t="n">
        <v>5</v>
      </c>
      <c r="E3196" s="0" t="n">
        <f aca="false">-1+A3196*0.25</f>
        <v>0</v>
      </c>
      <c r="F3196" s="0" t="n">
        <f aca="false">-1+B3196*0.25</f>
        <v>-0.25</v>
      </c>
      <c r="G3196" s="0" t="n">
        <f aca="false">-1+C3196*0.25</f>
        <v>-0.25</v>
      </c>
      <c r="H3196" s="0" t="n">
        <f aca="false">-1+D3196*0.25</f>
        <v>0.25</v>
      </c>
      <c r="I3196" s="0" t="n">
        <f aca="false">1</f>
        <v>1</v>
      </c>
      <c r="J3196" s="0" t="n">
        <f aca="false">E3196</f>
        <v>0</v>
      </c>
      <c r="K3196" s="0" t="n">
        <f aca="false">F3196</f>
        <v>-0.25</v>
      </c>
      <c r="L3196" s="0" t="n">
        <f aca="false">G3196</f>
        <v>-0.25</v>
      </c>
      <c r="M3196" s="0" t="n">
        <f aca="false">H3196</f>
        <v>0.25</v>
      </c>
      <c r="N3196" s="0" t="n">
        <f aca="false">E3196*F3196</f>
        <v>-0</v>
      </c>
      <c r="O3196" s="0" t="n">
        <f aca="false">E3196*G3196</f>
        <v>-0</v>
      </c>
      <c r="P3196" s="0" t="n">
        <f aca="false">E3196*H3196</f>
        <v>0</v>
      </c>
      <c r="Q3196" s="0" t="n">
        <f aca="false">F3196*G3196</f>
        <v>0.0625</v>
      </c>
      <c r="R3196" s="0" t="n">
        <f aca="false">F3196*H3196</f>
        <v>-0.0625</v>
      </c>
      <c r="S3196" s="0" t="n">
        <f aca="false">G3196*H3196</f>
        <v>-0.0625</v>
      </c>
      <c r="T3196" s="0" t="n">
        <f aca="false">E3196*E3196</f>
        <v>0</v>
      </c>
      <c r="U3196" s="0" t="n">
        <f aca="false">F3196*F3196</f>
        <v>0.0625</v>
      </c>
      <c r="V3196" s="0" t="n">
        <f aca="false">G3196*G3196</f>
        <v>0.0625</v>
      </c>
      <c r="W3196" s="0" t="n">
        <f aca="false">H3196*H3196</f>
        <v>0.0625</v>
      </c>
      <c r="X3196" s="0" t="n">
        <f aca="false">SUMPRODUCT(I3196:W3196,_XtX!$B$96:$P$96)</f>
        <v>47.0267224049707</v>
      </c>
      <c r="Y3196" s="0" t="n">
        <f aca="false">SUMPRODUCT(MMULT(I3196:W3196,_XtX!$B$78:$P$92),I3196:W3196)</f>
        <v>0.099622224506579</v>
      </c>
      <c r="Z3196" s="0" t="n">
        <f aca="false">04_回帰ANOVA!$K$19*04_回帰ANOVA!$K$14*SQRT(1+Y3196)</f>
        <v>1.3668477654658</v>
      </c>
      <c r="AA3196" s="0" t="n">
        <f aca="false">X3196-Z3196</f>
        <v>45.6598746395049</v>
      </c>
      <c r="AB3196" s="0" t="n">
        <f aca="false">X3196+Z3196</f>
        <v>48.3935701704365</v>
      </c>
      <c r="AC3196" s="54" t="b">
        <f aca="false">AND(E3196&gt;=01_因子設定!$L$5-0.000000001,E3196&lt;=01_因子設定!$M$5+0.000000001,F3196&gt;=01_因子設定!$L$6-0.000000001,F3196&lt;=01_因子設定!$M$6+0.000000001,G3196&gt;=01_因子設定!$L$7-0.000000001,G3196&lt;=01_因子設定!$M$7+0.000000001,H3196&gt;=01_因子設定!$L$8-0.000000001,H3196&lt;=01_因子設定!$M$8+0.000000001,IF(01_因子設定!$B$20="Box-Behnken",E3196^2+F3196^2+G3196^2+H3196^2&lt;=2+0.000000001,TRUE()))</f>
        <v>1</v>
      </c>
      <c r="AD3196" s="55" t="n">
        <f aca="false">IF(AC3196,IF(01_因子設定!$B$13="最大化",AA3196-01_因子設定!$B$14,IF(01_因子設定!$B$13="最小化",01_因子設定!$B$15-AB3196,MIN(AA3196-01_因子設定!$B$14,01_因子設定!$B$15-AB3196))),-1E+030)</f>
        <v>-0.840125360495101</v>
      </c>
      <c r="AE3196" s="55" t="n">
        <f aca="false">IF(AC3196,IF(01_因子設定!$B$13="最大化",X3196,IF(01_因子設定!$B$13="最小化",-X3196,-ABS(X3196-01_因子設定!$B$16))),-1E+030)</f>
        <v>47.0267224049707</v>
      </c>
      <c r="AF3196" s="55" t="n">
        <f aca="false">AD3196+ROW()*0.000000001</f>
        <v>-0.840122164495101</v>
      </c>
      <c r="AG3196" s="55" t="n">
        <f aca="false">AE3196+ROW()*0.000000001</f>
        <v>47.0267256009707</v>
      </c>
    </row>
    <row r="3197" customFormat="false" ht="15" hidden="false" customHeight="false" outlineLevel="0" collapsed="false">
      <c r="A3197" s="0" t="n">
        <v>4</v>
      </c>
      <c r="B3197" s="0" t="n">
        <v>3</v>
      </c>
      <c r="C3197" s="0" t="n">
        <v>3</v>
      </c>
      <c r="D3197" s="0" t="n">
        <v>6</v>
      </c>
      <c r="E3197" s="0" t="n">
        <f aca="false">-1+A3197*0.25</f>
        <v>0</v>
      </c>
      <c r="F3197" s="0" t="n">
        <f aca="false">-1+B3197*0.25</f>
        <v>-0.25</v>
      </c>
      <c r="G3197" s="0" t="n">
        <f aca="false">-1+C3197*0.25</f>
        <v>-0.25</v>
      </c>
      <c r="H3197" s="0" t="n">
        <f aca="false">-1+D3197*0.25</f>
        <v>0.5</v>
      </c>
      <c r="I3197" s="0" t="n">
        <f aca="false">1</f>
        <v>1</v>
      </c>
      <c r="J3197" s="0" t="n">
        <f aca="false">E3197</f>
        <v>0</v>
      </c>
      <c r="K3197" s="0" t="n">
        <f aca="false">F3197</f>
        <v>-0.25</v>
      </c>
      <c r="L3197" s="0" t="n">
        <f aca="false">G3197</f>
        <v>-0.25</v>
      </c>
      <c r="M3197" s="0" t="n">
        <f aca="false">H3197</f>
        <v>0.5</v>
      </c>
      <c r="N3197" s="0" t="n">
        <f aca="false">E3197*F3197</f>
        <v>-0</v>
      </c>
      <c r="O3197" s="0" t="n">
        <f aca="false">E3197*G3197</f>
        <v>-0</v>
      </c>
      <c r="P3197" s="0" t="n">
        <f aca="false">E3197*H3197</f>
        <v>0</v>
      </c>
      <c r="Q3197" s="0" t="n">
        <f aca="false">F3197*G3197</f>
        <v>0.0625</v>
      </c>
      <c r="R3197" s="0" t="n">
        <f aca="false">F3197*H3197</f>
        <v>-0.125</v>
      </c>
      <c r="S3197" s="0" t="n">
        <f aca="false">G3197*H3197</f>
        <v>-0.125</v>
      </c>
      <c r="T3197" s="0" t="n">
        <f aca="false">E3197*E3197</f>
        <v>0</v>
      </c>
      <c r="U3197" s="0" t="n">
        <f aca="false">F3197*F3197</f>
        <v>0.0625</v>
      </c>
      <c r="V3197" s="0" t="n">
        <f aca="false">G3197*G3197</f>
        <v>0.0625</v>
      </c>
      <c r="W3197" s="0" t="n">
        <f aca="false">H3197*H3197</f>
        <v>0.25</v>
      </c>
      <c r="X3197" s="0" t="n">
        <f aca="false">SUMPRODUCT(I3197:W3197,_XtX!$B$96:$P$96)</f>
        <v>47.0517132675438</v>
      </c>
      <c r="Y3197" s="0" t="n">
        <f aca="false">SUMPRODUCT(MMULT(I3197:W3197,_XtX!$B$78:$P$92),I3197:W3197)</f>
        <v>0.118905050712719</v>
      </c>
      <c r="Z3197" s="0" t="n">
        <f aca="false">04_回帰ANOVA!$K$19*04_回帰ANOVA!$K$14*SQRT(1+Y3197)</f>
        <v>1.37878011033769</v>
      </c>
      <c r="AA3197" s="0" t="n">
        <f aca="false">X3197-Z3197</f>
        <v>45.6729331572061</v>
      </c>
      <c r="AB3197" s="0" t="n">
        <f aca="false">X3197+Z3197</f>
        <v>48.4304933778815</v>
      </c>
      <c r="AC3197" s="54" t="b">
        <f aca="false">AND(E3197&gt;=01_因子設定!$L$5-0.000000001,E3197&lt;=01_因子設定!$M$5+0.000000001,F3197&gt;=01_因子設定!$L$6-0.000000001,F3197&lt;=01_因子設定!$M$6+0.000000001,G3197&gt;=01_因子設定!$L$7-0.000000001,G3197&lt;=01_因子設定!$M$7+0.000000001,H3197&gt;=01_因子設定!$L$8-0.000000001,H3197&lt;=01_因子設定!$M$8+0.000000001,IF(01_因子設定!$B$20="Box-Behnken",E3197^2+F3197^2+G3197^2+H3197^2&lt;=2+0.000000001,TRUE()))</f>
        <v>1</v>
      </c>
      <c r="AD3197" s="55" t="n">
        <f aca="false">IF(AC3197,IF(01_因子設定!$B$13="最大化",AA3197-01_因子設定!$B$14,IF(01_因子設定!$B$13="最小化",01_因子設定!$B$15-AB3197,MIN(AA3197-01_因子設定!$B$14,01_因子設定!$B$15-AB3197))),-1E+030)</f>
        <v>-0.827066842793883</v>
      </c>
      <c r="AE3197" s="55" t="n">
        <f aca="false">IF(AC3197,IF(01_因子設定!$B$13="最大化",X3197,IF(01_因子設定!$B$13="最小化",-X3197,-ABS(X3197-01_因子設定!$B$16))),-1E+030)</f>
        <v>47.0517132675438</v>
      </c>
      <c r="AF3197" s="55" t="n">
        <f aca="false">AD3197+ROW()*0.000000001</f>
        <v>-0.827063645793883</v>
      </c>
      <c r="AG3197" s="55" t="n">
        <f aca="false">AE3197+ROW()*0.000000001</f>
        <v>47.0517164645438</v>
      </c>
    </row>
    <row r="3198" customFormat="false" ht="15" hidden="false" customHeight="false" outlineLevel="0" collapsed="false">
      <c r="A3198" s="0" t="n">
        <v>4</v>
      </c>
      <c r="B3198" s="0" t="n">
        <v>3</v>
      </c>
      <c r="C3198" s="0" t="n">
        <v>3</v>
      </c>
      <c r="D3198" s="0" t="n">
        <v>7</v>
      </c>
      <c r="E3198" s="0" t="n">
        <f aca="false">-1+A3198*0.25</f>
        <v>0</v>
      </c>
      <c r="F3198" s="0" t="n">
        <f aca="false">-1+B3198*0.25</f>
        <v>-0.25</v>
      </c>
      <c r="G3198" s="0" t="n">
        <f aca="false">-1+C3198*0.25</f>
        <v>-0.25</v>
      </c>
      <c r="H3198" s="0" t="n">
        <f aca="false">-1+D3198*0.25</f>
        <v>0.75</v>
      </c>
      <c r="I3198" s="0" t="n">
        <f aca="false">1</f>
        <v>1</v>
      </c>
      <c r="J3198" s="0" t="n">
        <f aca="false">E3198</f>
        <v>0</v>
      </c>
      <c r="K3198" s="0" t="n">
        <f aca="false">F3198</f>
        <v>-0.25</v>
      </c>
      <c r="L3198" s="0" t="n">
        <f aca="false">G3198</f>
        <v>-0.25</v>
      </c>
      <c r="M3198" s="0" t="n">
        <f aca="false">H3198</f>
        <v>0.75</v>
      </c>
      <c r="N3198" s="0" t="n">
        <f aca="false">E3198*F3198</f>
        <v>-0</v>
      </c>
      <c r="O3198" s="0" t="n">
        <f aca="false">E3198*G3198</f>
        <v>-0</v>
      </c>
      <c r="P3198" s="0" t="n">
        <f aca="false">E3198*H3198</f>
        <v>0</v>
      </c>
      <c r="Q3198" s="0" t="n">
        <f aca="false">F3198*G3198</f>
        <v>0.0625</v>
      </c>
      <c r="R3198" s="0" t="n">
        <f aca="false">F3198*H3198</f>
        <v>-0.1875</v>
      </c>
      <c r="S3198" s="0" t="n">
        <f aca="false">G3198*H3198</f>
        <v>-0.1875</v>
      </c>
      <c r="T3198" s="0" t="n">
        <f aca="false">E3198*E3198</f>
        <v>0</v>
      </c>
      <c r="U3198" s="0" t="n">
        <f aca="false">F3198*F3198</f>
        <v>0.0625</v>
      </c>
      <c r="V3198" s="0" t="n">
        <f aca="false">G3198*G3198</f>
        <v>0.0625</v>
      </c>
      <c r="W3198" s="0" t="n">
        <f aca="false">H3198*H3198</f>
        <v>0.5625</v>
      </c>
      <c r="X3198" s="0" t="n">
        <f aca="false">SUMPRODUCT(I3198:W3198,_XtX!$B$96:$P$96)</f>
        <v>47.0288971125731</v>
      </c>
      <c r="Y3198" s="0" t="n">
        <f aca="false">SUMPRODUCT(MMULT(I3198:W3198,_XtX!$B$78:$P$92),I3198:W3198)</f>
        <v>0.21135011193348</v>
      </c>
      <c r="Z3198" s="0" t="n">
        <f aca="false">04_回帰ANOVA!$K$19*04_回帰ANOVA!$K$14*SQRT(1+Y3198)</f>
        <v>1.43460795469709</v>
      </c>
      <c r="AA3198" s="0" t="n">
        <f aca="false">X3198-Z3198</f>
        <v>45.594289157876</v>
      </c>
      <c r="AB3198" s="0" t="n">
        <f aca="false">X3198+Z3198</f>
        <v>48.4635050672701</v>
      </c>
      <c r="AC3198" s="54" t="b">
        <f aca="false">AND(E3198&gt;=01_因子設定!$L$5-0.000000001,E3198&lt;=01_因子設定!$M$5+0.000000001,F3198&gt;=01_因子設定!$L$6-0.000000001,F3198&lt;=01_因子設定!$M$6+0.000000001,G3198&gt;=01_因子設定!$L$7-0.000000001,G3198&lt;=01_因子設定!$M$7+0.000000001,H3198&gt;=01_因子設定!$L$8-0.000000001,H3198&lt;=01_因子設定!$M$8+0.000000001,IF(01_因子設定!$B$20="Box-Behnken",E3198^2+F3198^2+G3198^2+H3198^2&lt;=2+0.000000001,TRUE()))</f>
        <v>1</v>
      </c>
      <c r="AD3198" s="55" t="n">
        <f aca="false">IF(AC3198,IF(01_因子設定!$B$13="最大化",AA3198-01_因子設定!$B$14,IF(01_因子設定!$B$13="最小化",01_因子設定!$B$15-AB3198,MIN(AA3198-01_因子設定!$B$14,01_因子設定!$B$15-AB3198))),-1E+030)</f>
        <v>-0.90571084212403</v>
      </c>
      <c r="AE3198" s="55" t="n">
        <f aca="false">IF(AC3198,IF(01_因子設定!$B$13="最大化",X3198,IF(01_因子設定!$B$13="最小化",-X3198,-ABS(X3198-01_因子設定!$B$16))),-1E+030)</f>
        <v>47.0288971125731</v>
      </c>
      <c r="AF3198" s="55" t="n">
        <f aca="false">AD3198+ROW()*0.000000001</f>
        <v>-0.90570764412403</v>
      </c>
      <c r="AG3198" s="55" t="n">
        <f aca="false">AE3198+ROW()*0.000000001</f>
        <v>47.0289003105731</v>
      </c>
    </row>
    <row r="3199" customFormat="false" ht="15" hidden="false" customHeight="false" outlineLevel="0" collapsed="false">
      <c r="A3199" s="0" t="n">
        <v>4</v>
      </c>
      <c r="B3199" s="0" t="n">
        <v>3</v>
      </c>
      <c r="C3199" s="0" t="n">
        <v>3</v>
      </c>
      <c r="D3199" s="0" t="n">
        <v>8</v>
      </c>
      <c r="E3199" s="0" t="n">
        <f aca="false">-1+A3199*0.25</f>
        <v>0</v>
      </c>
      <c r="F3199" s="0" t="n">
        <f aca="false">-1+B3199*0.25</f>
        <v>-0.25</v>
      </c>
      <c r="G3199" s="0" t="n">
        <f aca="false">-1+C3199*0.25</f>
        <v>-0.25</v>
      </c>
      <c r="H3199" s="0" t="n">
        <f aca="false">-1+D3199*0.25</f>
        <v>1</v>
      </c>
      <c r="I3199" s="0" t="n">
        <f aca="false">1</f>
        <v>1</v>
      </c>
      <c r="J3199" s="0" t="n">
        <f aca="false">E3199</f>
        <v>0</v>
      </c>
      <c r="K3199" s="0" t="n">
        <f aca="false">F3199</f>
        <v>-0.25</v>
      </c>
      <c r="L3199" s="0" t="n">
        <f aca="false">G3199</f>
        <v>-0.25</v>
      </c>
      <c r="M3199" s="0" t="n">
        <f aca="false">H3199</f>
        <v>1</v>
      </c>
      <c r="N3199" s="0" t="n">
        <f aca="false">E3199*F3199</f>
        <v>-0</v>
      </c>
      <c r="O3199" s="0" t="n">
        <f aca="false">E3199*G3199</f>
        <v>-0</v>
      </c>
      <c r="P3199" s="0" t="n">
        <f aca="false">E3199*H3199</f>
        <v>0</v>
      </c>
      <c r="Q3199" s="0" t="n">
        <f aca="false">F3199*G3199</f>
        <v>0.0625</v>
      </c>
      <c r="R3199" s="0" t="n">
        <f aca="false">F3199*H3199</f>
        <v>-0.25</v>
      </c>
      <c r="S3199" s="0" t="n">
        <f aca="false">G3199*H3199</f>
        <v>-0.25</v>
      </c>
      <c r="T3199" s="0" t="n">
        <f aca="false">E3199*E3199</f>
        <v>0</v>
      </c>
      <c r="U3199" s="0" t="n">
        <f aca="false">F3199*F3199</f>
        <v>0.0625</v>
      </c>
      <c r="V3199" s="0" t="n">
        <f aca="false">G3199*G3199</f>
        <v>0.0625</v>
      </c>
      <c r="W3199" s="0" t="n">
        <f aca="false">H3199*H3199</f>
        <v>1</v>
      </c>
      <c r="X3199" s="0" t="n">
        <f aca="false">SUMPRODUCT(I3199:W3199,_XtX!$B$96:$P$96)</f>
        <v>46.9582739400585</v>
      </c>
      <c r="Y3199" s="0" t="n">
        <f aca="false">SUMPRODUCT(MMULT(I3199:W3199,_XtX!$B$78:$P$92),I3199:W3199)</f>
        <v>0.467417934484649</v>
      </c>
      <c r="Z3199" s="0" t="n">
        <f aca="false">04_回帰ANOVA!$K$19*04_回帰ANOVA!$K$14*SQRT(1+Y3199)</f>
        <v>1.57897518244497</v>
      </c>
      <c r="AA3199" s="0" t="n">
        <f aca="false">X3199-Z3199</f>
        <v>45.3792987576135</v>
      </c>
      <c r="AB3199" s="0" t="n">
        <f aca="false">X3199+Z3199</f>
        <v>48.5372491225034</v>
      </c>
      <c r="AC3199" s="54" t="b">
        <f aca="false">AND(E3199&gt;=01_因子設定!$L$5-0.000000001,E3199&lt;=01_因子設定!$M$5+0.000000001,F3199&gt;=01_因子設定!$L$6-0.000000001,F3199&lt;=01_因子設定!$M$6+0.000000001,G3199&gt;=01_因子設定!$L$7-0.000000001,G3199&lt;=01_因子設定!$M$7+0.000000001,H3199&gt;=01_因子設定!$L$8-0.000000001,H3199&lt;=01_因子設定!$M$8+0.000000001,IF(01_因子設定!$B$20="Box-Behnken",E3199^2+F3199^2+G3199^2+H3199^2&lt;=2+0.000000001,TRUE()))</f>
        <v>1</v>
      </c>
      <c r="AD3199" s="55" t="n">
        <f aca="false">IF(AC3199,IF(01_因子設定!$B$13="最大化",AA3199-01_因子設定!$B$14,IF(01_因子設定!$B$13="最小化",01_因子設定!$B$15-AB3199,MIN(AA3199-01_因子設定!$B$14,01_因子設定!$B$15-AB3199))),-1E+030)</f>
        <v>-1.12070124238652</v>
      </c>
      <c r="AE3199" s="55" t="n">
        <f aca="false">IF(AC3199,IF(01_因子設定!$B$13="最大化",X3199,IF(01_因子設定!$B$13="最小化",-X3199,-ABS(X3199-01_因子設定!$B$16))),-1E+030)</f>
        <v>46.9582739400585</v>
      </c>
      <c r="AF3199" s="55" t="n">
        <f aca="false">AD3199+ROW()*0.000000001</f>
        <v>-1.12069804338652</v>
      </c>
      <c r="AG3199" s="55" t="n">
        <f aca="false">AE3199+ROW()*0.000000001</f>
        <v>46.9582771390584</v>
      </c>
    </row>
    <row r="3200" customFormat="false" ht="15" hidden="false" customHeight="false" outlineLevel="0" collapsed="false">
      <c r="A3200" s="0" t="n">
        <v>4</v>
      </c>
      <c r="B3200" s="0" t="n">
        <v>3</v>
      </c>
      <c r="C3200" s="0" t="n">
        <v>4</v>
      </c>
      <c r="D3200" s="0" t="n">
        <v>0</v>
      </c>
      <c r="E3200" s="0" t="n">
        <f aca="false">-1+A3200*0.25</f>
        <v>0</v>
      </c>
      <c r="F3200" s="0" t="n">
        <f aca="false">-1+B3200*0.25</f>
        <v>-0.25</v>
      </c>
      <c r="G3200" s="0" t="n">
        <f aca="false">-1+C3200*0.25</f>
        <v>0</v>
      </c>
      <c r="H3200" s="0" t="n">
        <f aca="false">-1+D3200*0.25</f>
        <v>-1</v>
      </c>
      <c r="I3200" s="0" t="n">
        <f aca="false">1</f>
        <v>1</v>
      </c>
      <c r="J3200" s="0" t="n">
        <f aca="false">E3200</f>
        <v>0</v>
      </c>
      <c r="K3200" s="0" t="n">
        <f aca="false">F3200</f>
        <v>-0.25</v>
      </c>
      <c r="L3200" s="0" t="n">
        <f aca="false">G3200</f>
        <v>0</v>
      </c>
      <c r="M3200" s="0" t="n">
        <f aca="false">H3200</f>
        <v>-1</v>
      </c>
      <c r="N3200" s="0" t="n">
        <f aca="false">E3200*F3200</f>
        <v>-0</v>
      </c>
      <c r="O3200" s="0" t="n">
        <f aca="false">E3200*G3200</f>
        <v>0</v>
      </c>
      <c r="P3200" s="0" t="n">
        <f aca="false">E3200*H3200</f>
        <v>-0</v>
      </c>
      <c r="Q3200" s="0" t="n">
        <f aca="false">F3200*G3200</f>
        <v>-0</v>
      </c>
      <c r="R3200" s="0" t="n">
        <f aca="false">F3200*H3200</f>
        <v>0.25</v>
      </c>
      <c r="S3200" s="0" t="n">
        <f aca="false">G3200*H3200</f>
        <v>-0</v>
      </c>
      <c r="T3200" s="0" t="n">
        <f aca="false">E3200*E3200</f>
        <v>0</v>
      </c>
      <c r="U3200" s="0" t="n">
        <f aca="false">F3200*F3200</f>
        <v>0.0625</v>
      </c>
      <c r="V3200" s="0" t="n">
        <f aca="false">G3200*G3200</f>
        <v>0</v>
      </c>
      <c r="W3200" s="0" t="n">
        <f aca="false">H3200*H3200</f>
        <v>1</v>
      </c>
      <c r="X3200" s="0" t="n">
        <f aca="false">SUMPRODUCT(I3200:W3200,_XtX!$B$96:$P$96)</f>
        <v>46.3817434210526</v>
      </c>
      <c r="Y3200" s="0" t="n">
        <f aca="false">SUMPRODUCT(MMULT(I3200:W3200,_XtX!$B$78:$P$92),I3200:W3200)</f>
        <v>0.47672240497076</v>
      </c>
      <c r="Z3200" s="0" t="n">
        <f aca="false">04_回帰ANOVA!$K$19*04_回帰ANOVA!$K$14*SQRT(1+Y3200)</f>
        <v>1.58397318352695</v>
      </c>
      <c r="AA3200" s="0" t="n">
        <f aca="false">X3200-Z3200</f>
        <v>44.7977702375257</v>
      </c>
      <c r="AB3200" s="0" t="n">
        <f aca="false">X3200+Z3200</f>
        <v>47.9657166045796</v>
      </c>
      <c r="AC3200" s="54" t="b">
        <f aca="false">AND(E3200&gt;=01_因子設定!$L$5-0.000000001,E3200&lt;=01_因子設定!$M$5+0.000000001,F3200&gt;=01_因子設定!$L$6-0.000000001,F3200&lt;=01_因子設定!$M$6+0.000000001,G3200&gt;=01_因子設定!$L$7-0.000000001,G3200&lt;=01_因子設定!$M$7+0.000000001,H3200&gt;=01_因子設定!$L$8-0.000000001,H3200&lt;=01_因子設定!$M$8+0.000000001,IF(01_因子設定!$B$20="Box-Behnken",E3200^2+F3200^2+G3200^2+H3200^2&lt;=2+0.000000001,TRUE()))</f>
        <v>1</v>
      </c>
      <c r="AD3200" s="55" t="n">
        <f aca="false">IF(AC3200,IF(01_因子設定!$B$13="最大化",AA3200-01_因子設定!$B$14,IF(01_因子設定!$B$13="最小化",01_因子設定!$B$15-AB3200,MIN(AA3200-01_因子設定!$B$14,01_因子設定!$B$15-AB3200))),-1E+030)</f>
        <v>-1.70222976247434</v>
      </c>
      <c r="AE3200" s="55" t="n">
        <f aca="false">IF(AC3200,IF(01_因子設定!$B$13="最大化",X3200,IF(01_因子設定!$B$13="最小化",-X3200,-ABS(X3200-01_因子設定!$B$16))),-1E+030)</f>
        <v>46.3817434210526</v>
      </c>
      <c r="AF3200" s="55" t="n">
        <f aca="false">AD3200+ROW()*0.000000001</f>
        <v>-1.70222656247434</v>
      </c>
      <c r="AG3200" s="55" t="n">
        <f aca="false">AE3200+ROW()*0.000000001</f>
        <v>46.3817466210526</v>
      </c>
    </row>
    <row r="3201" customFormat="false" ht="15" hidden="false" customHeight="false" outlineLevel="0" collapsed="false">
      <c r="A3201" s="0" t="n">
        <v>4</v>
      </c>
      <c r="B3201" s="0" t="n">
        <v>3</v>
      </c>
      <c r="C3201" s="0" t="n">
        <v>4</v>
      </c>
      <c r="D3201" s="0" t="n">
        <v>1</v>
      </c>
      <c r="E3201" s="0" t="n">
        <f aca="false">-1+A3201*0.25</f>
        <v>0</v>
      </c>
      <c r="F3201" s="0" t="n">
        <f aca="false">-1+B3201*0.25</f>
        <v>-0.25</v>
      </c>
      <c r="G3201" s="0" t="n">
        <f aca="false">-1+C3201*0.25</f>
        <v>0</v>
      </c>
      <c r="H3201" s="0" t="n">
        <f aca="false">-1+D3201*0.25</f>
        <v>-0.75</v>
      </c>
      <c r="I3201" s="0" t="n">
        <f aca="false">1</f>
        <v>1</v>
      </c>
      <c r="J3201" s="0" t="n">
        <f aca="false">E3201</f>
        <v>0</v>
      </c>
      <c r="K3201" s="0" t="n">
        <f aca="false">F3201</f>
        <v>-0.25</v>
      </c>
      <c r="L3201" s="0" t="n">
        <f aca="false">G3201</f>
        <v>0</v>
      </c>
      <c r="M3201" s="0" t="n">
        <f aca="false">H3201</f>
        <v>-0.75</v>
      </c>
      <c r="N3201" s="0" t="n">
        <f aca="false">E3201*F3201</f>
        <v>-0</v>
      </c>
      <c r="O3201" s="0" t="n">
        <f aca="false">E3201*G3201</f>
        <v>0</v>
      </c>
      <c r="P3201" s="0" t="n">
        <f aca="false">E3201*H3201</f>
        <v>-0</v>
      </c>
      <c r="Q3201" s="0" t="n">
        <f aca="false">F3201*G3201</f>
        <v>-0</v>
      </c>
      <c r="R3201" s="0" t="n">
        <f aca="false">F3201*H3201</f>
        <v>0.1875</v>
      </c>
      <c r="S3201" s="0" t="n">
        <f aca="false">G3201*H3201</f>
        <v>-0</v>
      </c>
      <c r="T3201" s="0" t="n">
        <f aca="false">E3201*E3201</f>
        <v>0</v>
      </c>
      <c r="U3201" s="0" t="n">
        <f aca="false">F3201*F3201</f>
        <v>0.0625</v>
      </c>
      <c r="V3201" s="0" t="n">
        <f aca="false">G3201*G3201</f>
        <v>0</v>
      </c>
      <c r="W3201" s="0" t="n">
        <f aca="false">H3201*H3201</f>
        <v>0.5625</v>
      </c>
      <c r="X3201" s="0" t="n">
        <f aca="false">SUMPRODUCT(I3201:W3201,_XtX!$B$96:$P$96)</f>
        <v>46.663738121345</v>
      </c>
      <c r="Y3201" s="0" t="n">
        <f aca="false">SUMPRODUCT(MMULT(I3201:W3201,_XtX!$B$78:$P$92),I3201:W3201)</f>
        <v>0.216127272934942</v>
      </c>
      <c r="Z3201" s="0" t="n">
        <f aca="false">04_回帰ANOVA!$K$19*04_回帰ANOVA!$K$14*SQRT(1+Y3201)</f>
        <v>1.43743397896608</v>
      </c>
      <c r="AA3201" s="0" t="n">
        <f aca="false">X3201-Z3201</f>
        <v>45.2263041423789</v>
      </c>
      <c r="AB3201" s="0" t="n">
        <f aca="false">X3201+Z3201</f>
        <v>48.1011721003111</v>
      </c>
      <c r="AC3201" s="54" t="b">
        <f aca="false">AND(E3201&gt;=01_因子設定!$L$5-0.000000001,E3201&lt;=01_因子設定!$M$5+0.000000001,F3201&gt;=01_因子設定!$L$6-0.000000001,F3201&lt;=01_因子設定!$M$6+0.000000001,G3201&gt;=01_因子設定!$L$7-0.000000001,G3201&lt;=01_因子設定!$M$7+0.000000001,H3201&gt;=01_因子設定!$L$8-0.000000001,H3201&lt;=01_因子設定!$M$8+0.000000001,IF(01_因子設定!$B$20="Box-Behnken",E3201^2+F3201^2+G3201^2+H3201^2&lt;=2+0.000000001,TRUE()))</f>
        <v>1</v>
      </c>
      <c r="AD3201" s="55" t="n">
        <f aca="false">IF(AC3201,IF(01_因子設定!$B$13="最大化",AA3201-01_因子設定!$B$14,IF(01_因子設定!$B$13="最小化",01_因子設定!$B$15-AB3201,MIN(AA3201-01_因子設定!$B$14,01_因子設定!$B$15-AB3201))),-1E+030)</f>
        <v>-1.27369585762109</v>
      </c>
      <c r="AE3201" s="55" t="n">
        <f aca="false">IF(AC3201,IF(01_因子設定!$B$13="最大化",X3201,IF(01_因子設定!$B$13="最小化",-X3201,-ABS(X3201-01_因子設定!$B$16))),-1E+030)</f>
        <v>46.663738121345</v>
      </c>
      <c r="AF3201" s="55" t="n">
        <f aca="false">AD3201+ROW()*0.000000001</f>
        <v>-1.27369265662109</v>
      </c>
      <c r="AG3201" s="55" t="n">
        <f aca="false">AE3201+ROW()*0.000000001</f>
        <v>46.663741322345</v>
      </c>
    </row>
    <row r="3202" customFormat="false" ht="15" hidden="false" customHeight="false" outlineLevel="0" collapsed="false">
      <c r="A3202" s="0" t="n">
        <v>4</v>
      </c>
      <c r="B3202" s="0" t="n">
        <v>3</v>
      </c>
      <c r="C3202" s="0" t="n">
        <v>4</v>
      </c>
      <c r="D3202" s="0" t="n">
        <v>2</v>
      </c>
      <c r="E3202" s="0" t="n">
        <f aca="false">-1+A3202*0.25</f>
        <v>0</v>
      </c>
      <c r="F3202" s="0" t="n">
        <f aca="false">-1+B3202*0.25</f>
        <v>-0.25</v>
      </c>
      <c r="G3202" s="0" t="n">
        <f aca="false">-1+C3202*0.25</f>
        <v>0</v>
      </c>
      <c r="H3202" s="0" t="n">
        <f aca="false">-1+D3202*0.25</f>
        <v>-0.5</v>
      </c>
      <c r="I3202" s="0" t="n">
        <f aca="false">1</f>
        <v>1</v>
      </c>
      <c r="J3202" s="0" t="n">
        <f aca="false">E3202</f>
        <v>0</v>
      </c>
      <c r="K3202" s="0" t="n">
        <f aca="false">F3202</f>
        <v>-0.25</v>
      </c>
      <c r="L3202" s="0" t="n">
        <f aca="false">G3202</f>
        <v>0</v>
      </c>
      <c r="M3202" s="0" t="n">
        <f aca="false">H3202</f>
        <v>-0.5</v>
      </c>
      <c r="N3202" s="0" t="n">
        <f aca="false">E3202*F3202</f>
        <v>-0</v>
      </c>
      <c r="O3202" s="0" t="n">
        <f aca="false">E3202*G3202</f>
        <v>0</v>
      </c>
      <c r="P3202" s="0" t="n">
        <f aca="false">E3202*H3202</f>
        <v>-0</v>
      </c>
      <c r="Q3202" s="0" t="n">
        <f aca="false">F3202*G3202</f>
        <v>-0</v>
      </c>
      <c r="R3202" s="0" t="n">
        <f aca="false">F3202*H3202</f>
        <v>0.125</v>
      </c>
      <c r="S3202" s="0" t="n">
        <f aca="false">G3202*H3202</f>
        <v>-0</v>
      </c>
      <c r="T3202" s="0" t="n">
        <f aca="false">E3202*E3202</f>
        <v>0</v>
      </c>
      <c r="U3202" s="0" t="n">
        <f aca="false">F3202*F3202</f>
        <v>0.0625</v>
      </c>
      <c r="V3202" s="0" t="n">
        <f aca="false">G3202*G3202</f>
        <v>0</v>
      </c>
      <c r="W3202" s="0" t="n">
        <f aca="false">H3202*H3202</f>
        <v>0.25</v>
      </c>
      <c r="X3202" s="0" t="n">
        <f aca="false">SUMPRODUCT(I3202:W3202,_XtX!$B$96:$P$96)</f>
        <v>46.8979258040935</v>
      </c>
      <c r="Y3202" s="0" t="n">
        <f aca="false">SUMPRODUCT(MMULT(I3202:W3202,_XtX!$B$78:$P$92),I3202:W3202)</f>
        <v>0.120448419225146</v>
      </c>
      <c r="Z3202" s="0" t="n">
        <f aca="false">04_回帰ANOVA!$K$19*04_回帰ANOVA!$K$14*SQRT(1+Y3202)</f>
        <v>1.37973069703246</v>
      </c>
      <c r="AA3202" s="0" t="n">
        <f aca="false">X3202-Z3202</f>
        <v>45.5181951070611</v>
      </c>
      <c r="AB3202" s="0" t="n">
        <f aca="false">X3202+Z3202</f>
        <v>48.277656501126</v>
      </c>
      <c r="AC3202" s="54" t="b">
        <f aca="false">AND(E3202&gt;=01_因子設定!$L$5-0.000000001,E3202&lt;=01_因子設定!$M$5+0.000000001,F3202&gt;=01_因子設定!$L$6-0.000000001,F3202&lt;=01_因子設定!$M$6+0.000000001,G3202&gt;=01_因子設定!$L$7-0.000000001,G3202&lt;=01_因子設定!$M$7+0.000000001,H3202&gt;=01_因子設定!$L$8-0.000000001,H3202&lt;=01_因子設定!$M$8+0.000000001,IF(01_因子設定!$B$20="Box-Behnken",E3202^2+F3202^2+G3202^2+H3202^2&lt;=2+0.000000001,TRUE()))</f>
        <v>1</v>
      </c>
      <c r="AD3202" s="55" t="n">
        <f aca="false">IF(AC3202,IF(01_因子設定!$B$13="最大化",AA3202-01_因子設定!$B$14,IF(01_因子設定!$B$13="最小化",01_因子設定!$B$15-AB3202,MIN(AA3202-01_因子設定!$B$14,01_因子設定!$B$15-AB3202))),-1E+030)</f>
        <v>-0.981804892938953</v>
      </c>
      <c r="AE3202" s="55" t="n">
        <f aca="false">IF(AC3202,IF(01_因子設定!$B$13="最大化",X3202,IF(01_因子設定!$B$13="最小化",-X3202,-ABS(X3202-01_因子設定!$B$16))),-1E+030)</f>
        <v>46.8979258040935</v>
      </c>
      <c r="AF3202" s="55" t="n">
        <f aca="false">AD3202+ROW()*0.000000001</f>
        <v>-0.981801690938953</v>
      </c>
      <c r="AG3202" s="55" t="n">
        <f aca="false">AE3202+ROW()*0.000000001</f>
        <v>46.8979290060935</v>
      </c>
    </row>
    <row r="3203" customFormat="false" ht="15" hidden="false" customHeight="false" outlineLevel="0" collapsed="false">
      <c r="A3203" s="0" t="n">
        <v>4</v>
      </c>
      <c r="B3203" s="0" t="n">
        <v>3</v>
      </c>
      <c r="C3203" s="0" t="n">
        <v>4</v>
      </c>
      <c r="D3203" s="0" t="n">
        <v>3</v>
      </c>
      <c r="E3203" s="0" t="n">
        <f aca="false">-1+A3203*0.25</f>
        <v>0</v>
      </c>
      <c r="F3203" s="0" t="n">
        <f aca="false">-1+B3203*0.25</f>
        <v>-0.25</v>
      </c>
      <c r="G3203" s="0" t="n">
        <f aca="false">-1+C3203*0.25</f>
        <v>0</v>
      </c>
      <c r="H3203" s="0" t="n">
        <f aca="false">-1+D3203*0.25</f>
        <v>-0.25</v>
      </c>
      <c r="I3203" s="0" t="n">
        <f aca="false">1</f>
        <v>1</v>
      </c>
      <c r="J3203" s="0" t="n">
        <f aca="false">E3203</f>
        <v>0</v>
      </c>
      <c r="K3203" s="0" t="n">
        <f aca="false">F3203</f>
        <v>-0.25</v>
      </c>
      <c r="L3203" s="0" t="n">
        <f aca="false">G3203</f>
        <v>0</v>
      </c>
      <c r="M3203" s="0" t="n">
        <f aca="false">H3203</f>
        <v>-0.25</v>
      </c>
      <c r="N3203" s="0" t="n">
        <f aca="false">E3203*F3203</f>
        <v>-0</v>
      </c>
      <c r="O3203" s="0" t="n">
        <f aca="false">E3203*G3203</f>
        <v>0</v>
      </c>
      <c r="P3203" s="0" t="n">
        <f aca="false">E3203*H3203</f>
        <v>-0</v>
      </c>
      <c r="Q3203" s="0" t="n">
        <f aca="false">F3203*G3203</f>
        <v>-0</v>
      </c>
      <c r="R3203" s="0" t="n">
        <f aca="false">F3203*H3203</f>
        <v>0.0625</v>
      </c>
      <c r="S3203" s="0" t="n">
        <f aca="false">G3203*H3203</f>
        <v>-0</v>
      </c>
      <c r="T3203" s="0" t="n">
        <f aca="false">E3203*E3203</f>
        <v>0</v>
      </c>
      <c r="U3203" s="0" t="n">
        <f aca="false">F3203*F3203</f>
        <v>0.0625</v>
      </c>
      <c r="V3203" s="0" t="n">
        <f aca="false">G3203*G3203</f>
        <v>0</v>
      </c>
      <c r="W3203" s="0" t="n">
        <f aca="false">H3203*H3203</f>
        <v>0.0625</v>
      </c>
      <c r="X3203" s="0" t="n">
        <f aca="false">SUMPRODUCT(I3203:W3203,_XtX!$B$96:$P$96)</f>
        <v>47.0843064692982</v>
      </c>
      <c r="Y3203" s="0" t="n">
        <f aca="false">SUMPRODUCT(MMULT(I3203:W3203,_XtX!$B$78:$P$92),I3203:W3203)</f>
        <v>0.0992253175255848</v>
      </c>
      <c r="Z3203" s="0" t="n">
        <f aca="false">04_回帰ANOVA!$K$19*04_回帰ANOVA!$K$14*SQRT(1+Y3203)</f>
        <v>1.36660106238383</v>
      </c>
      <c r="AA3203" s="0" t="n">
        <f aca="false">X3203-Z3203</f>
        <v>45.7177054069144</v>
      </c>
      <c r="AB3203" s="0" t="n">
        <f aca="false">X3203+Z3203</f>
        <v>48.450907531682</v>
      </c>
      <c r="AC3203" s="54" t="b">
        <f aca="false">AND(E3203&gt;=01_因子設定!$L$5-0.000000001,E3203&lt;=01_因子設定!$M$5+0.000000001,F3203&gt;=01_因子設定!$L$6-0.000000001,F3203&lt;=01_因子設定!$M$6+0.000000001,G3203&gt;=01_因子設定!$L$7-0.000000001,G3203&lt;=01_因子設定!$M$7+0.000000001,H3203&gt;=01_因子設定!$L$8-0.000000001,H3203&lt;=01_因子設定!$M$8+0.000000001,IF(01_因子設定!$B$20="Box-Behnken",E3203^2+F3203^2+G3203^2+H3203^2&lt;=2+0.000000001,TRUE()))</f>
        <v>1</v>
      </c>
      <c r="AD3203" s="55" t="n">
        <f aca="false">IF(AC3203,IF(01_因子設定!$B$13="最大化",AA3203-01_因子設定!$B$14,IF(01_因子設定!$B$13="最小化",01_因子設定!$B$15-AB3203,MIN(AA3203-01_因子設定!$B$14,01_因子設定!$B$15-AB3203))),-1E+030)</f>
        <v>-0.782294593085645</v>
      </c>
      <c r="AE3203" s="55" t="n">
        <f aca="false">IF(AC3203,IF(01_因子設定!$B$13="最大化",X3203,IF(01_因子設定!$B$13="最小化",-X3203,-ABS(X3203-01_因子設定!$B$16))),-1E+030)</f>
        <v>47.0843064692982</v>
      </c>
      <c r="AF3203" s="55" t="n">
        <f aca="false">AD3203+ROW()*0.000000001</f>
        <v>-0.782291390085645</v>
      </c>
      <c r="AG3203" s="55" t="n">
        <f aca="false">AE3203+ROW()*0.000000001</f>
        <v>47.0843096722982</v>
      </c>
    </row>
    <row r="3204" customFormat="false" ht="15" hidden="false" customHeight="false" outlineLevel="0" collapsed="false">
      <c r="A3204" s="0" t="n">
        <v>4</v>
      </c>
      <c r="B3204" s="0" t="n">
        <v>3</v>
      </c>
      <c r="C3204" s="0" t="n">
        <v>4</v>
      </c>
      <c r="D3204" s="0" t="n">
        <v>4</v>
      </c>
      <c r="E3204" s="0" t="n">
        <f aca="false">-1+A3204*0.25</f>
        <v>0</v>
      </c>
      <c r="F3204" s="0" t="n">
        <f aca="false">-1+B3204*0.25</f>
        <v>-0.25</v>
      </c>
      <c r="G3204" s="0" t="n">
        <f aca="false">-1+C3204*0.25</f>
        <v>0</v>
      </c>
      <c r="H3204" s="0" t="n">
        <f aca="false">-1+D3204*0.25</f>
        <v>0</v>
      </c>
      <c r="I3204" s="0" t="n">
        <f aca="false">1</f>
        <v>1</v>
      </c>
      <c r="J3204" s="0" t="n">
        <f aca="false">E3204</f>
        <v>0</v>
      </c>
      <c r="K3204" s="0" t="n">
        <f aca="false">F3204</f>
        <v>-0.25</v>
      </c>
      <c r="L3204" s="0" t="n">
        <f aca="false">G3204</f>
        <v>0</v>
      </c>
      <c r="M3204" s="0" t="n">
        <f aca="false">H3204</f>
        <v>0</v>
      </c>
      <c r="N3204" s="0" t="n">
        <f aca="false">E3204*F3204</f>
        <v>-0</v>
      </c>
      <c r="O3204" s="0" t="n">
        <f aca="false">E3204*G3204</f>
        <v>0</v>
      </c>
      <c r="P3204" s="0" t="n">
        <f aca="false">E3204*H3204</f>
        <v>0</v>
      </c>
      <c r="Q3204" s="0" t="n">
        <f aca="false">F3204*G3204</f>
        <v>-0</v>
      </c>
      <c r="R3204" s="0" t="n">
        <f aca="false">F3204*H3204</f>
        <v>-0</v>
      </c>
      <c r="S3204" s="0" t="n">
        <f aca="false">G3204*H3204</f>
        <v>0</v>
      </c>
      <c r="T3204" s="0" t="n">
        <f aca="false">E3204*E3204</f>
        <v>0</v>
      </c>
      <c r="U3204" s="0" t="n">
        <f aca="false">F3204*F3204</f>
        <v>0.0625</v>
      </c>
      <c r="V3204" s="0" t="n">
        <f aca="false">G3204*G3204</f>
        <v>0</v>
      </c>
      <c r="W3204" s="0" t="n">
        <f aca="false">H3204*H3204</f>
        <v>0</v>
      </c>
      <c r="X3204" s="0" t="n">
        <f aca="false">SUMPRODUCT(I3204:W3204,_XtX!$B$96:$P$96)</f>
        <v>47.222880116959</v>
      </c>
      <c r="Y3204" s="0" t="n">
        <f aca="false">SUMPRODUCT(MMULT(I3204:W3204,_XtX!$B$78:$P$92),I3204:W3204)</f>
        <v>0.0981816520467836</v>
      </c>
      <c r="Z3204" s="0" t="n">
        <f aca="false">04_回帰ANOVA!$K$19*04_回帰ANOVA!$K$14*SQRT(1+Y3204)</f>
        <v>1.36595214489796</v>
      </c>
      <c r="AA3204" s="0" t="n">
        <f aca="false">X3204-Z3204</f>
        <v>45.856927972061</v>
      </c>
      <c r="AB3204" s="0" t="n">
        <f aca="false">X3204+Z3204</f>
        <v>48.588832261857</v>
      </c>
      <c r="AC3204" s="54" t="b">
        <f aca="false">AND(E3204&gt;=01_因子設定!$L$5-0.000000001,E3204&lt;=01_因子設定!$M$5+0.000000001,F3204&gt;=01_因子設定!$L$6-0.000000001,F3204&lt;=01_因子設定!$M$6+0.000000001,G3204&gt;=01_因子設定!$L$7-0.000000001,G3204&lt;=01_因子設定!$M$7+0.000000001,H3204&gt;=01_因子設定!$L$8-0.000000001,H3204&lt;=01_因子設定!$M$8+0.000000001,IF(01_因子設定!$B$20="Box-Behnken",E3204^2+F3204^2+G3204^2+H3204^2&lt;=2+0.000000001,TRUE()))</f>
        <v>1</v>
      </c>
      <c r="AD3204" s="55" t="n">
        <f aca="false">IF(AC3204,IF(01_因子設定!$B$13="最大化",AA3204-01_因子設定!$B$14,IF(01_因子設定!$B$13="最小化",01_因子設定!$B$15-AB3204,MIN(AA3204-01_因子設定!$B$14,01_因子設定!$B$15-AB3204))),-1E+030)</f>
        <v>-0.643072027938963</v>
      </c>
      <c r="AE3204" s="55" t="n">
        <f aca="false">IF(AC3204,IF(01_因子設定!$B$13="最大化",X3204,IF(01_因子設定!$B$13="最小化",-X3204,-ABS(X3204-01_因子設定!$B$16))),-1E+030)</f>
        <v>47.222880116959</v>
      </c>
      <c r="AF3204" s="55" t="n">
        <f aca="false">AD3204+ROW()*0.000000001</f>
        <v>-0.643068823938963</v>
      </c>
      <c r="AG3204" s="55" t="n">
        <f aca="false">AE3204+ROW()*0.000000001</f>
        <v>47.222883320959</v>
      </c>
    </row>
    <row r="3205" customFormat="false" ht="15" hidden="false" customHeight="false" outlineLevel="0" collapsed="false">
      <c r="A3205" s="0" t="n">
        <v>4</v>
      </c>
      <c r="B3205" s="0" t="n">
        <v>3</v>
      </c>
      <c r="C3205" s="0" t="n">
        <v>4</v>
      </c>
      <c r="D3205" s="0" t="n">
        <v>5</v>
      </c>
      <c r="E3205" s="0" t="n">
        <f aca="false">-1+A3205*0.25</f>
        <v>0</v>
      </c>
      <c r="F3205" s="0" t="n">
        <f aca="false">-1+B3205*0.25</f>
        <v>-0.25</v>
      </c>
      <c r="G3205" s="0" t="n">
        <f aca="false">-1+C3205*0.25</f>
        <v>0</v>
      </c>
      <c r="H3205" s="0" t="n">
        <f aca="false">-1+D3205*0.25</f>
        <v>0.25</v>
      </c>
      <c r="I3205" s="0" t="n">
        <f aca="false">1</f>
        <v>1</v>
      </c>
      <c r="J3205" s="0" t="n">
        <f aca="false">E3205</f>
        <v>0</v>
      </c>
      <c r="K3205" s="0" t="n">
        <f aca="false">F3205</f>
        <v>-0.25</v>
      </c>
      <c r="L3205" s="0" t="n">
        <f aca="false">G3205</f>
        <v>0</v>
      </c>
      <c r="M3205" s="0" t="n">
        <f aca="false">H3205</f>
        <v>0.25</v>
      </c>
      <c r="N3205" s="0" t="n">
        <f aca="false">E3205*F3205</f>
        <v>-0</v>
      </c>
      <c r="O3205" s="0" t="n">
        <f aca="false">E3205*G3205</f>
        <v>0</v>
      </c>
      <c r="P3205" s="0" t="n">
        <f aca="false">E3205*H3205</f>
        <v>0</v>
      </c>
      <c r="Q3205" s="0" t="n">
        <f aca="false">F3205*G3205</f>
        <v>-0</v>
      </c>
      <c r="R3205" s="0" t="n">
        <f aca="false">F3205*H3205</f>
        <v>-0.0625</v>
      </c>
      <c r="S3205" s="0" t="n">
        <f aca="false">G3205*H3205</f>
        <v>0</v>
      </c>
      <c r="T3205" s="0" t="n">
        <f aca="false">E3205*E3205</f>
        <v>0</v>
      </c>
      <c r="U3205" s="0" t="n">
        <f aca="false">F3205*F3205</f>
        <v>0.0625</v>
      </c>
      <c r="V3205" s="0" t="n">
        <f aca="false">G3205*G3205</f>
        <v>0</v>
      </c>
      <c r="W3205" s="0" t="n">
        <f aca="false">H3205*H3205</f>
        <v>0.0625</v>
      </c>
      <c r="X3205" s="0" t="n">
        <f aca="false">SUMPRODUCT(I3205:W3205,_XtX!$B$96:$P$96)</f>
        <v>47.313646747076</v>
      </c>
      <c r="Y3205" s="0" t="n">
        <f aca="false">SUMPRODUCT(MMULT(I3205:W3205,_XtX!$B$78:$P$92),I3205:W3205)</f>
        <v>0.0992253175255848</v>
      </c>
      <c r="Z3205" s="0" t="n">
        <f aca="false">04_回帰ANOVA!$K$19*04_回帰ANOVA!$K$14*SQRT(1+Y3205)</f>
        <v>1.36660106238383</v>
      </c>
      <c r="AA3205" s="0" t="n">
        <f aca="false">X3205-Z3205</f>
        <v>45.9470456846921</v>
      </c>
      <c r="AB3205" s="0" t="n">
        <f aca="false">X3205+Z3205</f>
        <v>48.6802478094598</v>
      </c>
      <c r="AC3205" s="54" t="b">
        <f aca="false">AND(E3205&gt;=01_因子設定!$L$5-0.000000001,E3205&lt;=01_因子設定!$M$5+0.000000001,F3205&gt;=01_因子設定!$L$6-0.000000001,F3205&lt;=01_因子設定!$M$6+0.000000001,G3205&gt;=01_因子設定!$L$7-0.000000001,G3205&lt;=01_因子設定!$M$7+0.000000001,H3205&gt;=01_因子設定!$L$8-0.000000001,H3205&lt;=01_因子設定!$M$8+0.000000001,IF(01_因子設定!$B$20="Box-Behnken",E3205^2+F3205^2+G3205^2+H3205^2&lt;=2+0.000000001,TRUE()))</f>
        <v>1</v>
      </c>
      <c r="AD3205" s="55" t="n">
        <f aca="false">IF(AC3205,IF(01_因子設定!$B$13="最大化",AA3205-01_因子設定!$B$14,IF(01_因子設定!$B$13="最小化",01_因子設定!$B$15-AB3205,MIN(AA3205-01_因子設定!$B$14,01_因子設定!$B$15-AB3205))),-1E+030)</f>
        <v>-0.552954315307872</v>
      </c>
      <c r="AE3205" s="55" t="n">
        <f aca="false">IF(AC3205,IF(01_因子設定!$B$13="最大化",X3205,IF(01_因子設定!$B$13="最小化",-X3205,-ABS(X3205-01_因子設定!$B$16))),-1E+030)</f>
        <v>47.313646747076</v>
      </c>
      <c r="AF3205" s="55" t="n">
        <f aca="false">AD3205+ROW()*0.000000001</f>
        <v>-0.552951110307872</v>
      </c>
      <c r="AG3205" s="55" t="n">
        <f aca="false">AE3205+ROW()*0.000000001</f>
        <v>47.313649952076</v>
      </c>
    </row>
    <row r="3206" customFormat="false" ht="15" hidden="false" customHeight="false" outlineLevel="0" collapsed="false">
      <c r="A3206" s="0" t="n">
        <v>4</v>
      </c>
      <c r="B3206" s="0" t="n">
        <v>3</v>
      </c>
      <c r="C3206" s="0" t="n">
        <v>4</v>
      </c>
      <c r="D3206" s="0" t="n">
        <v>6</v>
      </c>
      <c r="E3206" s="0" t="n">
        <f aca="false">-1+A3206*0.25</f>
        <v>0</v>
      </c>
      <c r="F3206" s="0" t="n">
        <f aca="false">-1+B3206*0.25</f>
        <v>-0.25</v>
      </c>
      <c r="G3206" s="0" t="n">
        <f aca="false">-1+C3206*0.25</f>
        <v>0</v>
      </c>
      <c r="H3206" s="0" t="n">
        <f aca="false">-1+D3206*0.25</f>
        <v>0.5</v>
      </c>
      <c r="I3206" s="0" t="n">
        <f aca="false">1</f>
        <v>1</v>
      </c>
      <c r="J3206" s="0" t="n">
        <f aca="false">E3206</f>
        <v>0</v>
      </c>
      <c r="K3206" s="0" t="n">
        <f aca="false">F3206</f>
        <v>-0.25</v>
      </c>
      <c r="L3206" s="0" t="n">
        <f aca="false">G3206</f>
        <v>0</v>
      </c>
      <c r="M3206" s="0" t="n">
        <f aca="false">H3206</f>
        <v>0.5</v>
      </c>
      <c r="N3206" s="0" t="n">
        <f aca="false">E3206*F3206</f>
        <v>-0</v>
      </c>
      <c r="O3206" s="0" t="n">
        <f aca="false">E3206*G3206</f>
        <v>0</v>
      </c>
      <c r="P3206" s="0" t="n">
        <f aca="false">E3206*H3206</f>
        <v>0</v>
      </c>
      <c r="Q3206" s="0" t="n">
        <f aca="false">F3206*G3206</f>
        <v>-0</v>
      </c>
      <c r="R3206" s="0" t="n">
        <f aca="false">F3206*H3206</f>
        <v>-0.125</v>
      </c>
      <c r="S3206" s="0" t="n">
        <f aca="false">G3206*H3206</f>
        <v>0</v>
      </c>
      <c r="T3206" s="0" t="n">
        <f aca="false">E3206*E3206</f>
        <v>0</v>
      </c>
      <c r="U3206" s="0" t="n">
        <f aca="false">F3206*F3206</f>
        <v>0.0625</v>
      </c>
      <c r="V3206" s="0" t="n">
        <f aca="false">G3206*G3206</f>
        <v>0</v>
      </c>
      <c r="W3206" s="0" t="n">
        <f aca="false">H3206*H3206</f>
        <v>0.25</v>
      </c>
      <c r="X3206" s="0" t="n">
        <f aca="false">SUMPRODUCT(I3206:W3206,_XtX!$B$96:$P$96)</f>
        <v>47.3566063596491</v>
      </c>
      <c r="Y3206" s="0" t="n">
        <f aca="false">SUMPRODUCT(MMULT(I3206:W3206,_XtX!$B$78:$P$92),I3206:W3206)</f>
        <v>0.120448419225146</v>
      </c>
      <c r="Z3206" s="0" t="n">
        <f aca="false">04_回帰ANOVA!$K$19*04_回帰ANOVA!$K$14*SQRT(1+Y3206)</f>
        <v>1.37973069703246</v>
      </c>
      <c r="AA3206" s="0" t="n">
        <f aca="false">X3206-Z3206</f>
        <v>45.9768756626166</v>
      </c>
      <c r="AB3206" s="0" t="n">
        <f aca="false">X3206+Z3206</f>
        <v>48.7363370566815</v>
      </c>
      <c r="AC3206" s="54" t="b">
        <f aca="false">AND(E3206&gt;=01_因子設定!$L$5-0.000000001,E3206&lt;=01_因子設定!$M$5+0.000000001,F3206&gt;=01_因子設定!$L$6-0.000000001,F3206&lt;=01_因子設定!$M$6+0.000000001,G3206&gt;=01_因子設定!$L$7-0.000000001,G3206&lt;=01_因子設定!$M$7+0.000000001,H3206&gt;=01_因子設定!$L$8-0.000000001,H3206&lt;=01_因子設定!$M$8+0.000000001,IF(01_因子設定!$B$20="Box-Behnken",E3206^2+F3206^2+G3206^2+H3206^2&lt;=2+0.000000001,TRUE()))</f>
        <v>1</v>
      </c>
      <c r="AD3206" s="55" t="n">
        <f aca="false">IF(AC3206,IF(01_因子設定!$B$13="最大化",AA3206-01_因子設定!$B$14,IF(01_因子設定!$B$13="最小化",01_因子設定!$B$15-AB3206,MIN(AA3206-01_因子設定!$B$14,01_因子設定!$B$15-AB3206))),-1E+030)</f>
        <v>-0.523124337383401</v>
      </c>
      <c r="AE3206" s="55" t="n">
        <f aca="false">IF(AC3206,IF(01_因子設定!$B$13="最大化",X3206,IF(01_因子設定!$B$13="最小化",-X3206,-ABS(X3206-01_因子設定!$B$16))),-1E+030)</f>
        <v>47.3566063596491</v>
      </c>
      <c r="AF3206" s="55" t="n">
        <f aca="false">AD3206+ROW()*0.000000001</f>
        <v>-0.5231211313834</v>
      </c>
      <c r="AG3206" s="55" t="n">
        <f aca="false">AE3206+ROW()*0.000000001</f>
        <v>47.3566095656491</v>
      </c>
    </row>
    <row r="3207" customFormat="false" ht="15" hidden="false" customHeight="false" outlineLevel="0" collapsed="false">
      <c r="A3207" s="0" t="n">
        <v>4</v>
      </c>
      <c r="B3207" s="0" t="n">
        <v>3</v>
      </c>
      <c r="C3207" s="0" t="n">
        <v>4</v>
      </c>
      <c r="D3207" s="0" t="n">
        <v>7</v>
      </c>
      <c r="E3207" s="0" t="n">
        <f aca="false">-1+A3207*0.25</f>
        <v>0</v>
      </c>
      <c r="F3207" s="0" t="n">
        <f aca="false">-1+B3207*0.25</f>
        <v>-0.25</v>
      </c>
      <c r="G3207" s="0" t="n">
        <f aca="false">-1+C3207*0.25</f>
        <v>0</v>
      </c>
      <c r="H3207" s="0" t="n">
        <f aca="false">-1+D3207*0.25</f>
        <v>0.75</v>
      </c>
      <c r="I3207" s="0" t="n">
        <f aca="false">1</f>
        <v>1</v>
      </c>
      <c r="J3207" s="0" t="n">
        <f aca="false">E3207</f>
        <v>0</v>
      </c>
      <c r="K3207" s="0" t="n">
        <f aca="false">F3207</f>
        <v>-0.25</v>
      </c>
      <c r="L3207" s="0" t="n">
        <f aca="false">G3207</f>
        <v>0</v>
      </c>
      <c r="M3207" s="0" t="n">
        <f aca="false">H3207</f>
        <v>0.75</v>
      </c>
      <c r="N3207" s="0" t="n">
        <f aca="false">E3207*F3207</f>
        <v>-0</v>
      </c>
      <c r="O3207" s="0" t="n">
        <f aca="false">E3207*G3207</f>
        <v>0</v>
      </c>
      <c r="P3207" s="0" t="n">
        <f aca="false">E3207*H3207</f>
        <v>0</v>
      </c>
      <c r="Q3207" s="0" t="n">
        <f aca="false">F3207*G3207</f>
        <v>-0</v>
      </c>
      <c r="R3207" s="0" t="n">
        <f aca="false">F3207*H3207</f>
        <v>-0.1875</v>
      </c>
      <c r="S3207" s="0" t="n">
        <f aca="false">G3207*H3207</f>
        <v>0</v>
      </c>
      <c r="T3207" s="0" t="n">
        <f aca="false">E3207*E3207</f>
        <v>0</v>
      </c>
      <c r="U3207" s="0" t="n">
        <f aca="false">F3207*F3207</f>
        <v>0.0625</v>
      </c>
      <c r="V3207" s="0" t="n">
        <f aca="false">G3207*G3207</f>
        <v>0</v>
      </c>
      <c r="W3207" s="0" t="n">
        <f aca="false">H3207*H3207</f>
        <v>0.5625</v>
      </c>
      <c r="X3207" s="0" t="n">
        <f aca="false">SUMPRODUCT(I3207:W3207,_XtX!$B$96:$P$96)</f>
        <v>47.3517589546783</v>
      </c>
      <c r="Y3207" s="0" t="n">
        <f aca="false">SUMPRODUCT(MMULT(I3207:W3207,_XtX!$B$78:$P$92),I3207:W3207)</f>
        <v>0.216127272934942</v>
      </c>
      <c r="Z3207" s="0" t="n">
        <f aca="false">04_回帰ANOVA!$K$19*04_回帰ANOVA!$K$14*SQRT(1+Y3207)</f>
        <v>1.43743397896608</v>
      </c>
      <c r="AA3207" s="0" t="n">
        <f aca="false">X3207-Z3207</f>
        <v>45.9143249757122</v>
      </c>
      <c r="AB3207" s="0" t="n">
        <f aca="false">X3207+Z3207</f>
        <v>48.7891929336444</v>
      </c>
      <c r="AC3207" s="54" t="b">
        <f aca="false">AND(E3207&gt;=01_因子設定!$L$5-0.000000001,E3207&lt;=01_因子設定!$M$5+0.000000001,F3207&gt;=01_因子設定!$L$6-0.000000001,F3207&lt;=01_因子設定!$M$6+0.000000001,G3207&gt;=01_因子設定!$L$7-0.000000001,G3207&lt;=01_因子設定!$M$7+0.000000001,H3207&gt;=01_因子設定!$L$8-0.000000001,H3207&lt;=01_因子設定!$M$8+0.000000001,IF(01_因子設定!$B$20="Box-Behnken",E3207^2+F3207^2+G3207^2+H3207^2&lt;=2+0.000000001,TRUE()))</f>
        <v>1</v>
      </c>
      <c r="AD3207" s="55" t="n">
        <f aca="false">IF(AC3207,IF(01_因子設定!$B$13="最大化",AA3207-01_因子設定!$B$14,IF(01_因子設定!$B$13="最小化",01_因子設定!$B$15-AB3207,MIN(AA3207-01_因子設定!$B$14,01_因子設定!$B$15-AB3207))),-1E+030)</f>
        <v>-0.58567502428776</v>
      </c>
      <c r="AE3207" s="55" t="n">
        <f aca="false">IF(AC3207,IF(01_因子設定!$B$13="最大化",X3207,IF(01_因子設定!$B$13="最小化",-X3207,-ABS(X3207-01_因子設定!$B$16))),-1E+030)</f>
        <v>47.3517589546783</v>
      </c>
      <c r="AF3207" s="55" t="n">
        <f aca="false">AD3207+ROW()*0.000000001</f>
        <v>-0.58567181728776</v>
      </c>
      <c r="AG3207" s="55" t="n">
        <f aca="false">AE3207+ROW()*0.000000001</f>
        <v>47.3517621616783</v>
      </c>
    </row>
    <row r="3208" customFormat="false" ht="15" hidden="false" customHeight="false" outlineLevel="0" collapsed="false">
      <c r="A3208" s="0" t="n">
        <v>4</v>
      </c>
      <c r="B3208" s="0" t="n">
        <v>3</v>
      </c>
      <c r="C3208" s="0" t="n">
        <v>4</v>
      </c>
      <c r="D3208" s="0" t="n">
        <v>8</v>
      </c>
      <c r="E3208" s="0" t="n">
        <f aca="false">-1+A3208*0.25</f>
        <v>0</v>
      </c>
      <c r="F3208" s="0" t="n">
        <f aca="false">-1+B3208*0.25</f>
        <v>-0.25</v>
      </c>
      <c r="G3208" s="0" t="n">
        <f aca="false">-1+C3208*0.25</f>
        <v>0</v>
      </c>
      <c r="H3208" s="0" t="n">
        <f aca="false">-1+D3208*0.25</f>
        <v>1</v>
      </c>
      <c r="I3208" s="0" t="n">
        <f aca="false">1</f>
        <v>1</v>
      </c>
      <c r="J3208" s="0" t="n">
        <f aca="false">E3208</f>
        <v>0</v>
      </c>
      <c r="K3208" s="0" t="n">
        <f aca="false">F3208</f>
        <v>-0.25</v>
      </c>
      <c r="L3208" s="0" t="n">
        <f aca="false">G3208</f>
        <v>0</v>
      </c>
      <c r="M3208" s="0" t="n">
        <f aca="false">H3208</f>
        <v>1</v>
      </c>
      <c r="N3208" s="0" t="n">
        <f aca="false">E3208*F3208</f>
        <v>-0</v>
      </c>
      <c r="O3208" s="0" t="n">
        <f aca="false">E3208*G3208</f>
        <v>0</v>
      </c>
      <c r="P3208" s="0" t="n">
        <f aca="false">E3208*H3208</f>
        <v>0</v>
      </c>
      <c r="Q3208" s="0" t="n">
        <f aca="false">F3208*G3208</f>
        <v>-0</v>
      </c>
      <c r="R3208" s="0" t="n">
        <f aca="false">F3208*H3208</f>
        <v>-0.25</v>
      </c>
      <c r="S3208" s="0" t="n">
        <f aca="false">G3208*H3208</f>
        <v>0</v>
      </c>
      <c r="T3208" s="0" t="n">
        <f aca="false">E3208*E3208</f>
        <v>0</v>
      </c>
      <c r="U3208" s="0" t="n">
        <f aca="false">F3208*F3208</f>
        <v>0.0625</v>
      </c>
      <c r="V3208" s="0" t="n">
        <f aca="false">G3208*G3208</f>
        <v>0</v>
      </c>
      <c r="W3208" s="0" t="n">
        <f aca="false">H3208*H3208</f>
        <v>1</v>
      </c>
      <c r="X3208" s="0" t="n">
        <f aca="false">SUMPRODUCT(I3208:W3208,_XtX!$B$96:$P$96)</f>
        <v>47.2991045321637</v>
      </c>
      <c r="Y3208" s="0" t="n">
        <f aca="false">SUMPRODUCT(MMULT(I3208:W3208,_XtX!$B$78:$P$92),I3208:W3208)</f>
        <v>0.47672240497076</v>
      </c>
      <c r="Z3208" s="0" t="n">
        <f aca="false">04_回帰ANOVA!$K$19*04_回帰ANOVA!$K$14*SQRT(1+Y3208)</f>
        <v>1.58397318352695</v>
      </c>
      <c r="AA3208" s="0" t="n">
        <f aca="false">X3208-Z3208</f>
        <v>45.7151313486368</v>
      </c>
      <c r="AB3208" s="0" t="n">
        <f aca="false">X3208+Z3208</f>
        <v>48.8830777156907</v>
      </c>
      <c r="AC3208" s="54" t="b">
        <f aca="false">AND(E3208&gt;=01_因子設定!$L$5-0.000000001,E3208&lt;=01_因子設定!$M$5+0.000000001,F3208&gt;=01_因子設定!$L$6-0.000000001,F3208&lt;=01_因子設定!$M$6+0.000000001,G3208&gt;=01_因子設定!$L$7-0.000000001,G3208&lt;=01_因子設定!$M$7+0.000000001,H3208&gt;=01_因子設定!$L$8-0.000000001,H3208&lt;=01_因子設定!$M$8+0.000000001,IF(01_因子設定!$B$20="Box-Behnken",E3208^2+F3208^2+G3208^2+H3208^2&lt;=2+0.000000001,TRUE()))</f>
        <v>1</v>
      </c>
      <c r="AD3208" s="55" t="n">
        <f aca="false">IF(AC3208,IF(01_因子設定!$B$13="最大化",AA3208-01_因子設定!$B$14,IF(01_因子設定!$B$13="最小化",01_因子設定!$B$15-AB3208,MIN(AA3208-01_因子設定!$B$14,01_因子設定!$B$15-AB3208))),-1E+030)</f>
        <v>-0.784868651363233</v>
      </c>
      <c r="AE3208" s="55" t="n">
        <f aca="false">IF(AC3208,IF(01_因子設定!$B$13="最大化",X3208,IF(01_因子設定!$B$13="最小化",-X3208,-ABS(X3208-01_因子設定!$B$16))),-1E+030)</f>
        <v>47.2991045321637</v>
      </c>
      <c r="AF3208" s="55" t="n">
        <f aca="false">AD3208+ROW()*0.000000001</f>
        <v>-0.784865443363233</v>
      </c>
      <c r="AG3208" s="55" t="n">
        <f aca="false">AE3208+ROW()*0.000000001</f>
        <v>47.2991077401637</v>
      </c>
    </row>
    <row r="3209" customFormat="false" ht="15" hidden="false" customHeight="false" outlineLevel="0" collapsed="false">
      <c r="A3209" s="0" t="n">
        <v>4</v>
      </c>
      <c r="B3209" s="0" t="n">
        <v>3</v>
      </c>
      <c r="C3209" s="0" t="n">
        <v>5</v>
      </c>
      <c r="D3209" s="0" t="n">
        <v>0</v>
      </c>
      <c r="E3209" s="0" t="n">
        <f aca="false">-1+A3209*0.25</f>
        <v>0</v>
      </c>
      <c r="F3209" s="0" t="n">
        <f aca="false">-1+B3209*0.25</f>
        <v>-0.25</v>
      </c>
      <c r="G3209" s="0" t="n">
        <f aca="false">-1+C3209*0.25</f>
        <v>0.25</v>
      </c>
      <c r="H3209" s="0" t="n">
        <f aca="false">-1+D3209*0.25</f>
        <v>-1</v>
      </c>
      <c r="I3209" s="0" t="n">
        <f aca="false">1</f>
        <v>1</v>
      </c>
      <c r="J3209" s="0" t="n">
        <f aca="false">E3209</f>
        <v>0</v>
      </c>
      <c r="K3209" s="0" t="n">
        <f aca="false">F3209</f>
        <v>-0.25</v>
      </c>
      <c r="L3209" s="0" t="n">
        <f aca="false">G3209</f>
        <v>0.25</v>
      </c>
      <c r="M3209" s="0" t="n">
        <f aca="false">H3209</f>
        <v>-1</v>
      </c>
      <c r="N3209" s="0" t="n">
        <f aca="false">E3209*F3209</f>
        <v>-0</v>
      </c>
      <c r="O3209" s="0" t="n">
        <f aca="false">E3209*G3209</f>
        <v>0</v>
      </c>
      <c r="P3209" s="0" t="n">
        <f aca="false">E3209*H3209</f>
        <v>-0</v>
      </c>
      <c r="Q3209" s="0" t="n">
        <f aca="false">F3209*G3209</f>
        <v>-0.0625</v>
      </c>
      <c r="R3209" s="0" t="n">
        <f aca="false">F3209*H3209</f>
        <v>0.25</v>
      </c>
      <c r="S3209" s="0" t="n">
        <f aca="false">G3209*H3209</f>
        <v>-0.25</v>
      </c>
      <c r="T3209" s="0" t="n">
        <f aca="false">E3209*E3209</f>
        <v>0</v>
      </c>
      <c r="U3209" s="0" t="n">
        <f aca="false">F3209*F3209</f>
        <v>0.0625</v>
      </c>
      <c r="V3209" s="0" t="n">
        <f aca="false">G3209*G3209</f>
        <v>0.0625</v>
      </c>
      <c r="W3209" s="0" t="n">
        <f aca="false">H3209*H3209</f>
        <v>1</v>
      </c>
      <c r="X3209" s="0" t="n">
        <f aca="false">SUMPRODUCT(I3209:W3209,_XtX!$B$96:$P$96)</f>
        <v>46.493516995614</v>
      </c>
      <c r="Y3209" s="0" t="n">
        <f aca="false">SUMPRODUCT(MMULT(I3209:W3209,_XtX!$B$78:$P$92),I3209:W3209)</f>
        <v>0.467417934484649</v>
      </c>
      <c r="Z3209" s="0" t="n">
        <f aca="false">04_回帰ANOVA!$K$19*04_回帰ANOVA!$K$14*SQRT(1+Y3209)</f>
        <v>1.57897518244497</v>
      </c>
      <c r="AA3209" s="0" t="n">
        <f aca="false">X3209-Z3209</f>
        <v>44.914541813169</v>
      </c>
      <c r="AB3209" s="0" t="n">
        <f aca="false">X3209+Z3209</f>
        <v>48.072492178059</v>
      </c>
      <c r="AC3209" s="54" t="b">
        <f aca="false">AND(E3209&gt;=01_因子設定!$L$5-0.000000001,E3209&lt;=01_因子設定!$M$5+0.000000001,F3209&gt;=01_因子設定!$L$6-0.000000001,F3209&lt;=01_因子設定!$M$6+0.000000001,G3209&gt;=01_因子設定!$L$7-0.000000001,G3209&lt;=01_因子設定!$M$7+0.000000001,H3209&gt;=01_因子設定!$L$8-0.000000001,H3209&lt;=01_因子設定!$M$8+0.000000001,IF(01_因子設定!$B$20="Box-Behnken",E3209^2+F3209^2+G3209^2+H3209^2&lt;=2+0.000000001,TRUE()))</f>
        <v>1</v>
      </c>
      <c r="AD3209" s="55" t="n">
        <f aca="false">IF(AC3209,IF(01_因子設定!$B$13="最大化",AA3209-01_因子設定!$B$14,IF(01_因子設定!$B$13="最小化",01_因子設定!$B$15-AB3209,MIN(AA3209-01_因子設定!$B$14,01_因子設定!$B$15-AB3209))),-1E+030)</f>
        <v>-1.58545818683096</v>
      </c>
      <c r="AE3209" s="55" t="n">
        <f aca="false">IF(AC3209,IF(01_因子設定!$B$13="最大化",X3209,IF(01_因子設定!$B$13="最小化",-X3209,-ABS(X3209-01_因子設定!$B$16))),-1E+030)</f>
        <v>46.493516995614</v>
      </c>
      <c r="AF3209" s="55" t="n">
        <f aca="false">AD3209+ROW()*0.000000001</f>
        <v>-1.58545497783096</v>
      </c>
      <c r="AG3209" s="55" t="n">
        <f aca="false">AE3209+ROW()*0.000000001</f>
        <v>46.493520204614</v>
      </c>
    </row>
    <row r="3210" customFormat="false" ht="15" hidden="false" customHeight="false" outlineLevel="0" collapsed="false">
      <c r="A3210" s="0" t="n">
        <v>4</v>
      </c>
      <c r="B3210" s="0" t="n">
        <v>3</v>
      </c>
      <c r="C3210" s="0" t="n">
        <v>5</v>
      </c>
      <c r="D3210" s="0" t="n">
        <v>1</v>
      </c>
      <c r="E3210" s="0" t="n">
        <f aca="false">-1+A3210*0.25</f>
        <v>0</v>
      </c>
      <c r="F3210" s="0" t="n">
        <f aca="false">-1+B3210*0.25</f>
        <v>-0.25</v>
      </c>
      <c r="G3210" s="0" t="n">
        <f aca="false">-1+C3210*0.25</f>
        <v>0.25</v>
      </c>
      <c r="H3210" s="0" t="n">
        <f aca="false">-1+D3210*0.25</f>
        <v>-0.75</v>
      </c>
      <c r="I3210" s="0" t="n">
        <f aca="false">1</f>
        <v>1</v>
      </c>
      <c r="J3210" s="0" t="n">
        <f aca="false">E3210</f>
        <v>0</v>
      </c>
      <c r="K3210" s="0" t="n">
        <f aca="false">F3210</f>
        <v>-0.25</v>
      </c>
      <c r="L3210" s="0" t="n">
        <f aca="false">G3210</f>
        <v>0.25</v>
      </c>
      <c r="M3210" s="0" t="n">
        <f aca="false">H3210</f>
        <v>-0.75</v>
      </c>
      <c r="N3210" s="0" t="n">
        <f aca="false">E3210*F3210</f>
        <v>-0</v>
      </c>
      <c r="O3210" s="0" t="n">
        <f aca="false">E3210*G3210</f>
        <v>0</v>
      </c>
      <c r="P3210" s="0" t="n">
        <f aca="false">E3210*H3210</f>
        <v>-0</v>
      </c>
      <c r="Q3210" s="0" t="n">
        <f aca="false">F3210*G3210</f>
        <v>-0.0625</v>
      </c>
      <c r="R3210" s="0" t="n">
        <f aca="false">F3210*H3210</f>
        <v>0.1875</v>
      </c>
      <c r="S3210" s="0" t="n">
        <f aca="false">G3210*H3210</f>
        <v>-0.1875</v>
      </c>
      <c r="T3210" s="0" t="n">
        <f aca="false">E3210*E3210</f>
        <v>0</v>
      </c>
      <c r="U3210" s="0" t="n">
        <f aca="false">F3210*F3210</f>
        <v>0.0625</v>
      </c>
      <c r="V3210" s="0" t="n">
        <f aca="false">G3210*G3210</f>
        <v>0.0625</v>
      </c>
      <c r="W3210" s="0" t="n">
        <f aca="false">H3210*H3210</f>
        <v>0.5625</v>
      </c>
      <c r="X3210" s="0" t="n">
        <f aca="false">SUMPRODUCT(I3210:W3210,_XtX!$B$96:$P$96)</f>
        <v>46.7934804459064</v>
      </c>
      <c r="Y3210" s="0" t="n">
        <f aca="false">SUMPRODUCT(MMULT(I3210:W3210,_XtX!$B$78:$P$92),I3210:W3210)</f>
        <v>0.21135011193348</v>
      </c>
      <c r="Z3210" s="0" t="n">
        <f aca="false">04_回帰ANOVA!$K$19*04_回帰ANOVA!$K$14*SQRT(1+Y3210)</f>
        <v>1.43460795469709</v>
      </c>
      <c r="AA3210" s="0" t="n">
        <f aca="false">X3210-Z3210</f>
        <v>45.3588724912093</v>
      </c>
      <c r="AB3210" s="0" t="n">
        <f aca="false">X3210+Z3210</f>
        <v>48.2280884006035</v>
      </c>
      <c r="AC3210" s="54" t="b">
        <f aca="false">AND(E3210&gt;=01_因子設定!$L$5-0.000000001,E3210&lt;=01_因子設定!$M$5+0.000000001,F3210&gt;=01_因子設定!$L$6-0.000000001,F3210&lt;=01_因子設定!$M$6+0.000000001,G3210&gt;=01_因子設定!$L$7-0.000000001,G3210&lt;=01_因子設定!$M$7+0.000000001,H3210&gt;=01_因子設定!$L$8-0.000000001,H3210&lt;=01_因子設定!$M$8+0.000000001,IF(01_因子設定!$B$20="Box-Behnken",E3210^2+F3210^2+G3210^2+H3210^2&lt;=2+0.000000001,TRUE()))</f>
        <v>1</v>
      </c>
      <c r="AD3210" s="55" t="n">
        <f aca="false">IF(AC3210,IF(01_因子設定!$B$13="最大化",AA3210-01_因子設定!$B$14,IF(01_因子設定!$B$13="最小化",01_因子設定!$B$15-AB3210,MIN(AA3210-01_因子設定!$B$14,01_因子設定!$B$15-AB3210))),-1E+030)</f>
        <v>-1.1411275087907</v>
      </c>
      <c r="AE3210" s="55" t="n">
        <f aca="false">IF(AC3210,IF(01_因子設定!$B$13="最大化",X3210,IF(01_因子設定!$B$13="最小化",-X3210,-ABS(X3210-01_因子設定!$B$16))),-1E+030)</f>
        <v>46.7934804459064</v>
      </c>
      <c r="AF3210" s="55" t="n">
        <f aca="false">AD3210+ROW()*0.000000001</f>
        <v>-1.1411242987907</v>
      </c>
      <c r="AG3210" s="55" t="n">
        <f aca="false">AE3210+ROW()*0.000000001</f>
        <v>46.7934836559064</v>
      </c>
    </row>
    <row r="3211" customFormat="false" ht="15" hidden="false" customHeight="false" outlineLevel="0" collapsed="false">
      <c r="A3211" s="0" t="n">
        <v>4</v>
      </c>
      <c r="B3211" s="0" t="n">
        <v>3</v>
      </c>
      <c r="C3211" s="0" t="n">
        <v>5</v>
      </c>
      <c r="D3211" s="0" t="n">
        <v>2</v>
      </c>
      <c r="E3211" s="0" t="n">
        <f aca="false">-1+A3211*0.25</f>
        <v>0</v>
      </c>
      <c r="F3211" s="0" t="n">
        <f aca="false">-1+B3211*0.25</f>
        <v>-0.25</v>
      </c>
      <c r="G3211" s="0" t="n">
        <f aca="false">-1+C3211*0.25</f>
        <v>0.25</v>
      </c>
      <c r="H3211" s="0" t="n">
        <f aca="false">-1+D3211*0.25</f>
        <v>-0.5</v>
      </c>
      <c r="I3211" s="0" t="n">
        <f aca="false">1</f>
        <v>1</v>
      </c>
      <c r="J3211" s="0" t="n">
        <f aca="false">E3211</f>
        <v>0</v>
      </c>
      <c r="K3211" s="0" t="n">
        <f aca="false">F3211</f>
        <v>-0.25</v>
      </c>
      <c r="L3211" s="0" t="n">
        <f aca="false">G3211</f>
        <v>0.25</v>
      </c>
      <c r="M3211" s="0" t="n">
        <f aca="false">H3211</f>
        <v>-0.5</v>
      </c>
      <c r="N3211" s="0" t="n">
        <f aca="false">E3211*F3211</f>
        <v>-0</v>
      </c>
      <c r="O3211" s="0" t="n">
        <f aca="false">E3211*G3211</f>
        <v>0</v>
      </c>
      <c r="P3211" s="0" t="n">
        <f aca="false">E3211*H3211</f>
        <v>-0</v>
      </c>
      <c r="Q3211" s="0" t="n">
        <f aca="false">F3211*G3211</f>
        <v>-0.0625</v>
      </c>
      <c r="R3211" s="0" t="n">
        <f aca="false">F3211*H3211</f>
        <v>0.125</v>
      </c>
      <c r="S3211" s="0" t="n">
        <f aca="false">G3211*H3211</f>
        <v>-0.125</v>
      </c>
      <c r="T3211" s="0" t="n">
        <f aca="false">E3211*E3211</f>
        <v>0</v>
      </c>
      <c r="U3211" s="0" t="n">
        <f aca="false">F3211*F3211</f>
        <v>0.0625</v>
      </c>
      <c r="V3211" s="0" t="n">
        <f aca="false">G3211*G3211</f>
        <v>0.0625</v>
      </c>
      <c r="W3211" s="0" t="n">
        <f aca="false">H3211*H3211</f>
        <v>0.25</v>
      </c>
      <c r="X3211" s="0" t="n">
        <f aca="false">SUMPRODUCT(I3211:W3211,_XtX!$B$96:$P$96)</f>
        <v>47.0456368786549</v>
      </c>
      <c r="Y3211" s="0" t="n">
        <f aca="false">SUMPRODUCT(MMULT(I3211:W3211,_XtX!$B$78:$P$92),I3211:W3211)</f>
        <v>0.118905050712719</v>
      </c>
      <c r="Z3211" s="0" t="n">
        <f aca="false">04_回帰ANOVA!$K$19*04_回帰ANOVA!$K$14*SQRT(1+Y3211)</f>
        <v>1.37878011033769</v>
      </c>
      <c r="AA3211" s="0" t="n">
        <f aca="false">X3211-Z3211</f>
        <v>45.6668567683172</v>
      </c>
      <c r="AB3211" s="0" t="n">
        <f aca="false">X3211+Z3211</f>
        <v>48.4244169889926</v>
      </c>
      <c r="AC3211" s="54" t="b">
        <f aca="false">AND(E3211&gt;=01_因子設定!$L$5-0.000000001,E3211&lt;=01_因子設定!$M$5+0.000000001,F3211&gt;=01_因子設定!$L$6-0.000000001,F3211&lt;=01_因子設定!$M$6+0.000000001,G3211&gt;=01_因子設定!$L$7-0.000000001,G3211&lt;=01_因子設定!$M$7+0.000000001,H3211&gt;=01_因子設定!$L$8-0.000000001,H3211&lt;=01_因子設定!$M$8+0.000000001,IF(01_因子設定!$B$20="Box-Behnken",E3211^2+F3211^2+G3211^2+H3211^2&lt;=2+0.000000001,TRUE()))</f>
        <v>1</v>
      </c>
      <c r="AD3211" s="55" t="n">
        <f aca="false">IF(AC3211,IF(01_因子設定!$B$13="最大化",AA3211-01_因子設定!$B$14,IF(01_因子設定!$B$13="最小化",01_因子設定!$B$15-AB3211,MIN(AA3211-01_因子設定!$B$14,01_因子設定!$B$15-AB3211))),-1E+030)</f>
        <v>-0.833143231682769</v>
      </c>
      <c r="AE3211" s="55" t="n">
        <f aca="false">IF(AC3211,IF(01_因子設定!$B$13="最大化",X3211,IF(01_因子設定!$B$13="最小化",-X3211,-ABS(X3211-01_因子設定!$B$16))),-1E+030)</f>
        <v>47.0456368786549</v>
      </c>
      <c r="AF3211" s="55" t="n">
        <f aca="false">AD3211+ROW()*0.000000001</f>
        <v>-0.833140020682769</v>
      </c>
      <c r="AG3211" s="55" t="n">
        <f aca="false">AE3211+ROW()*0.000000001</f>
        <v>47.0456400896549</v>
      </c>
    </row>
    <row r="3212" customFormat="false" ht="15" hidden="false" customHeight="false" outlineLevel="0" collapsed="false">
      <c r="A3212" s="0" t="n">
        <v>4</v>
      </c>
      <c r="B3212" s="0" t="n">
        <v>3</v>
      </c>
      <c r="C3212" s="0" t="n">
        <v>5</v>
      </c>
      <c r="D3212" s="0" t="n">
        <v>3</v>
      </c>
      <c r="E3212" s="0" t="n">
        <f aca="false">-1+A3212*0.25</f>
        <v>0</v>
      </c>
      <c r="F3212" s="0" t="n">
        <f aca="false">-1+B3212*0.25</f>
        <v>-0.25</v>
      </c>
      <c r="G3212" s="0" t="n">
        <f aca="false">-1+C3212*0.25</f>
        <v>0.25</v>
      </c>
      <c r="H3212" s="0" t="n">
        <f aca="false">-1+D3212*0.25</f>
        <v>-0.25</v>
      </c>
      <c r="I3212" s="0" t="n">
        <f aca="false">1</f>
        <v>1</v>
      </c>
      <c r="J3212" s="0" t="n">
        <f aca="false">E3212</f>
        <v>0</v>
      </c>
      <c r="K3212" s="0" t="n">
        <f aca="false">F3212</f>
        <v>-0.25</v>
      </c>
      <c r="L3212" s="0" t="n">
        <f aca="false">G3212</f>
        <v>0.25</v>
      </c>
      <c r="M3212" s="0" t="n">
        <f aca="false">H3212</f>
        <v>-0.25</v>
      </c>
      <c r="N3212" s="0" t="n">
        <f aca="false">E3212*F3212</f>
        <v>-0</v>
      </c>
      <c r="O3212" s="0" t="n">
        <f aca="false">E3212*G3212</f>
        <v>0</v>
      </c>
      <c r="P3212" s="0" t="n">
        <f aca="false">E3212*H3212</f>
        <v>-0</v>
      </c>
      <c r="Q3212" s="0" t="n">
        <f aca="false">F3212*G3212</f>
        <v>-0.0625</v>
      </c>
      <c r="R3212" s="0" t="n">
        <f aca="false">F3212*H3212</f>
        <v>0.0625</v>
      </c>
      <c r="S3212" s="0" t="n">
        <f aca="false">G3212*H3212</f>
        <v>-0.0625</v>
      </c>
      <c r="T3212" s="0" t="n">
        <f aca="false">E3212*E3212</f>
        <v>0</v>
      </c>
      <c r="U3212" s="0" t="n">
        <f aca="false">F3212*F3212</f>
        <v>0.0625</v>
      </c>
      <c r="V3212" s="0" t="n">
        <f aca="false">G3212*G3212</f>
        <v>0.0625</v>
      </c>
      <c r="W3212" s="0" t="n">
        <f aca="false">H3212*H3212</f>
        <v>0.0625</v>
      </c>
      <c r="X3212" s="0" t="n">
        <f aca="false">SUMPRODUCT(I3212:W3212,_XtX!$B$96:$P$96)</f>
        <v>47.2499862938596</v>
      </c>
      <c r="Y3212" s="0" t="n">
        <f aca="false">SUMPRODUCT(MMULT(I3212:W3212,_XtX!$B$78:$P$92),I3212:W3212)</f>
        <v>0.099622224506579</v>
      </c>
      <c r="Z3212" s="0" t="n">
        <f aca="false">04_回帰ANOVA!$K$19*04_回帰ANOVA!$K$14*SQRT(1+Y3212)</f>
        <v>1.3668477654658</v>
      </c>
      <c r="AA3212" s="0" t="n">
        <f aca="false">X3212-Z3212</f>
        <v>45.8831385283938</v>
      </c>
      <c r="AB3212" s="0" t="n">
        <f aca="false">X3212+Z3212</f>
        <v>48.6168340593254</v>
      </c>
      <c r="AC3212" s="54" t="b">
        <f aca="false">AND(E3212&gt;=01_因子設定!$L$5-0.000000001,E3212&lt;=01_因子設定!$M$5+0.000000001,F3212&gt;=01_因子設定!$L$6-0.000000001,F3212&lt;=01_因子設定!$M$6+0.000000001,G3212&gt;=01_因子設定!$L$7-0.000000001,G3212&lt;=01_因子設定!$M$7+0.000000001,H3212&gt;=01_因子設定!$L$8-0.000000001,H3212&lt;=01_因子設定!$M$8+0.000000001,IF(01_因子設定!$B$20="Box-Behnken",E3212^2+F3212^2+G3212^2+H3212^2&lt;=2+0.000000001,TRUE()))</f>
        <v>1</v>
      </c>
      <c r="AD3212" s="55" t="n">
        <f aca="false">IF(AC3212,IF(01_因子設定!$B$13="最大化",AA3212-01_因子設定!$B$14,IF(01_因子設定!$B$13="最小化",01_因子設定!$B$15-AB3212,MIN(AA3212-01_因子設定!$B$14,01_因子設定!$B$15-AB3212))),-1E+030)</f>
        <v>-0.616861471606214</v>
      </c>
      <c r="AE3212" s="55" t="n">
        <f aca="false">IF(AC3212,IF(01_因子設定!$B$13="最大化",X3212,IF(01_因子設定!$B$13="最小化",-X3212,-ABS(X3212-01_因子設定!$B$16))),-1E+030)</f>
        <v>47.2499862938596</v>
      </c>
      <c r="AF3212" s="55" t="n">
        <f aca="false">AD3212+ROW()*0.000000001</f>
        <v>-0.616858259606214</v>
      </c>
      <c r="AG3212" s="55" t="n">
        <f aca="false">AE3212+ROW()*0.000000001</f>
        <v>47.2499895058596</v>
      </c>
    </row>
    <row r="3213" customFormat="false" ht="15" hidden="false" customHeight="false" outlineLevel="0" collapsed="false">
      <c r="A3213" s="0" t="n">
        <v>4</v>
      </c>
      <c r="B3213" s="0" t="n">
        <v>3</v>
      </c>
      <c r="C3213" s="0" t="n">
        <v>5</v>
      </c>
      <c r="D3213" s="0" t="n">
        <v>4</v>
      </c>
      <c r="E3213" s="0" t="n">
        <f aca="false">-1+A3213*0.25</f>
        <v>0</v>
      </c>
      <c r="F3213" s="0" t="n">
        <f aca="false">-1+B3213*0.25</f>
        <v>-0.25</v>
      </c>
      <c r="G3213" s="0" t="n">
        <f aca="false">-1+C3213*0.25</f>
        <v>0.25</v>
      </c>
      <c r="H3213" s="0" t="n">
        <f aca="false">-1+D3213*0.25</f>
        <v>0</v>
      </c>
      <c r="I3213" s="0" t="n">
        <f aca="false">1</f>
        <v>1</v>
      </c>
      <c r="J3213" s="0" t="n">
        <f aca="false">E3213</f>
        <v>0</v>
      </c>
      <c r="K3213" s="0" t="n">
        <f aca="false">F3213</f>
        <v>-0.25</v>
      </c>
      <c r="L3213" s="0" t="n">
        <f aca="false">G3213</f>
        <v>0.25</v>
      </c>
      <c r="M3213" s="0" t="n">
        <f aca="false">H3213</f>
        <v>0</v>
      </c>
      <c r="N3213" s="0" t="n">
        <f aca="false">E3213*F3213</f>
        <v>-0</v>
      </c>
      <c r="O3213" s="0" t="n">
        <f aca="false">E3213*G3213</f>
        <v>0</v>
      </c>
      <c r="P3213" s="0" t="n">
        <f aca="false">E3213*H3213</f>
        <v>0</v>
      </c>
      <c r="Q3213" s="0" t="n">
        <f aca="false">F3213*G3213</f>
        <v>-0.0625</v>
      </c>
      <c r="R3213" s="0" t="n">
        <f aca="false">F3213*H3213</f>
        <v>-0</v>
      </c>
      <c r="S3213" s="0" t="n">
        <f aca="false">G3213*H3213</f>
        <v>0</v>
      </c>
      <c r="T3213" s="0" t="n">
        <f aca="false">E3213*E3213</f>
        <v>0</v>
      </c>
      <c r="U3213" s="0" t="n">
        <f aca="false">F3213*F3213</f>
        <v>0.0625</v>
      </c>
      <c r="V3213" s="0" t="n">
        <f aca="false">G3213*G3213</f>
        <v>0.0625</v>
      </c>
      <c r="W3213" s="0" t="n">
        <f aca="false">H3213*H3213</f>
        <v>0</v>
      </c>
      <c r="X3213" s="0" t="n">
        <f aca="false">SUMPRODUCT(I3213:W3213,_XtX!$B$96:$P$96)</f>
        <v>47.4065286915204</v>
      </c>
      <c r="Y3213" s="0" t="n">
        <f aca="false">SUMPRODUCT(MMULT(I3213:W3213,_XtX!$B$78:$P$92),I3213:W3213)</f>
        <v>0.0992253175255848</v>
      </c>
      <c r="Z3213" s="0" t="n">
        <f aca="false">04_回帰ANOVA!$K$19*04_回帰ANOVA!$K$14*SQRT(1+Y3213)</f>
        <v>1.36660106238383</v>
      </c>
      <c r="AA3213" s="0" t="n">
        <f aca="false">X3213-Z3213</f>
        <v>46.0399276291366</v>
      </c>
      <c r="AB3213" s="0" t="n">
        <f aca="false">X3213+Z3213</f>
        <v>48.7731297539042</v>
      </c>
      <c r="AC3213" s="54" t="b">
        <f aca="false">AND(E3213&gt;=01_因子設定!$L$5-0.000000001,E3213&lt;=01_因子設定!$M$5+0.000000001,F3213&gt;=01_因子設定!$L$6-0.000000001,F3213&lt;=01_因子設定!$M$6+0.000000001,G3213&gt;=01_因子設定!$L$7-0.000000001,G3213&lt;=01_因子設定!$M$7+0.000000001,H3213&gt;=01_因子設定!$L$8-0.000000001,H3213&lt;=01_因子設定!$M$8+0.000000001,IF(01_因子設定!$B$20="Box-Behnken",E3213^2+F3213^2+G3213^2+H3213^2&lt;=2+0.000000001,TRUE()))</f>
        <v>1</v>
      </c>
      <c r="AD3213" s="55" t="n">
        <f aca="false">IF(AC3213,IF(01_因子設定!$B$13="最大化",AA3213-01_因子設定!$B$14,IF(01_因子設定!$B$13="最小化",01_因子設定!$B$15-AB3213,MIN(AA3213-01_因子設定!$B$14,01_因子設定!$B$15-AB3213))),-1E+030)</f>
        <v>-0.460072370863429</v>
      </c>
      <c r="AE3213" s="55" t="n">
        <f aca="false">IF(AC3213,IF(01_因子設定!$B$13="最大化",X3213,IF(01_因子設定!$B$13="最小化",-X3213,-ABS(X3213-01_因子設定!$B$16))),-1E+030)</f>
        <v>47.4065286915204</v>
      </c>
      <c r="AF3213" s="55" t="n">
        <f aca="false">AD3213+ROW()*0.000000001</f>
        <v>-0.460069157863429</v>
      </c>
      <c r="AG3213" s="55" t="n">
        <f aca="false">AE3213+ROW()*0.000000001</f>
        <v>47.4065319045204</v>
      </c>
    </row>
    <row r="3214" customFormat="false" ht="15" hidden="false" customHeight="false" outlineLevel="0" collapsed="false">
      <c r="A3214" s="0" t="n">
        <v>4</v>
      </c>
      <c r="B3214" s="0" t="n">
        <v>3</v>
      </c>
      <c r="C3214" s="0" t="n">
        <v>5</v>
      </c>
      <c r="D3214" s="0" t="n">
        <v>5</v>
      </c>
      <c r="E3214" s="0" t="n">
        <f aca="false">-1+A3214*0.25</f>
        <v>0</v>
      </c>
      <c r="F3214" s="0" t="n">
        <f aca="false">-1+B3214*0.25</f>
        <v>-0.25</v>
      </c>
      <c r="G3214" s="0" t="n">
        <f aca="false">-1+C3214*0.25</f>
        <v>0.25</v>
      </c>
      <c r="H3214" s="0" t="n">
        <f aca="false">-1+D3214*0.25</f>
        <v>0.25</v>
      </c>
      <c r="I3214" s="0" t="n">
        <f aca="false">1</f>
        <v>1</v>
      </c>
      <c r="J3214" s="0" t="n">
        <f aca="false">E3214</f>
        <v>0</v>
      </c>
      <c r="K3214" s="0" t="n">
        <f aca="false">F3214</f>
        <v>-0.25</v>
      </c>
      <c r="L3214" s="0" t="n">
        <f aca="false">G3214</f>
        <v>0.25</v>
      </c>
      <c r="M3214" s="0" t="n">
        <f aca="false">H3214</f>
        <v>0.25</v>
      </c>
      <c r="N3214" s="0" t="n">
        <f aca="false">E3214*F3214</f>
        <v>-0</v>
      </c>
      <c r="O3214" s="0" t="n">
        <f aca="false">E3214*G3214</f>
        <v>0</v>
      </c>
      <c r="P3214" s="0" t="n">
        <f aca="false">E3214*H3214</f>
        <v>0</v>
      </c>
      <c r="Q3214" s="0" t="n">
        <f aca="false">F3214*G3214</f>
        <v>-0.0625</v>
      </c>
      <c r="R3214" s="0" t="n">
        <f aca="false">F3214*H3214</f>
        <v>-0.0625</v>
      </c>
      <c r="S3214" s="0" t="n">
        <f aca="false">G3214*H3214</f>
        <v>0.0625</v>
      </c>
      <c r="T3214" s="0" t="n">
        <f aca="false">E3214*E3214</f>
        <v>0</v>
      </c>
      <c r="U3214" s="0" t="n">
        <f aca="false">F3214*F3214</f>
        <v>0.0625</v>
      </c>
      <c r="V3214" s="0" t="n">
        <f aca="false">G3214*G3214</f>
        <v>0.0625</v>
      </c>
      <c r="W3214" s="0" t="n">
        <f aca="false">H3214*H3214</f>
        <v>0.0625</v>
      </c>
      <c r="X3214" s="0" t="n">
        <f aca="false">SUMPRODUCT(I3214:W3214,_XtX!$B$96:$P$96)</f>
        <v>47.5152640716374</v>
      </c>
      <c r="Y3214" s="0" t="n">
        <f aca="false">SUMPRODUCT(MMULT(I3214:W3214,_XtX!$B$78:$P$92),I3214:W3214)</f>
        <v>0.099622224506579</v>
      </c>
      <c r="Z3214" s="0" t="n">
        <f aca="false">04_回帰ANOVA!$K$19*04_回帰ANOVA!$K$14*SQRT(1+Y3214)</f>
        <v>1.3668477654658</v>
      </c>
      <c r="AA3214" s="0" t="n">
        <f aca="false">X3214-Z3214</f>
        <v>46.1484163061716</v>
      </c>
      <c r="AB3214" s="0" t="n">
        <f aca="false">X3214+Z3214</f>
        <v>48.8821118371032</v>
      </c>
      <c r="AC3214" s="54" t="b">
        <f aca="false">AND(E3214&gt;=01_因子設定!$L$5-0.000000001,E3214&lt;=01_因子設定!$M$5+0.000000001,F3214&gt;=01_因子設定!$L$6-0.000000001,F3214&lt;=01_因子設定!$M$6+0.000000001,G3214&gt;=01_因子設定!$L$7-0.000000001,G3214&lt;=01_因子設定!$M$7+0.000000001,H3214&gt;=01_因子設定!$L$8-0.000000001,H3214&lt;=01_因子設定!$M$8+0.000000001,IF(01_因子設定!$B$20="Box-Behnken",E3214^2+F3214^2+G3214^2+H3214^2&lt;=2+0.000000001,TRUE()))</f>
        <v>1</v>
      </c>
      <c r="AD3214" s="55" t="n">
        <f aca="false">IF(AC3214,IF(01_因子設定!$B$13="最大化",AA3214-01_因子設定!$B$14,IF(01_因子設定!$B$13="最小化",01_因子設定!$B$15-AB3214,MIN(AA3214-01_因子設定!$B$14,01_因子設定!$B$15-AB3214))),-1E+030)</f>
        <v>-0.351583693828438</v>
      </c>
      <c r="AE3214" s="55" t="n">
        <f aca="false">IF(AC3214,IF(01_因子設定!$B$13="最大化",X3214,IF(01_因子設定!$B$13="最小化",-X3214,-ABS(X3214-01_因子設定!$B$16))),-1E+030)</f>
        <v>47.5152640716374</v>
      </c>
      <c r="AF3214" s="55" t="n">
        <f aca="false">AD3214+ROW()*0.000000001</f>
        <v>-0.351580479828438</v>
      </c>
      <c r="AG3214" s="55" t="n">
        <f aca="false">AE3214+ROW()*0.000000001</f>
        <v>47.5152672856374</v>
      </c>
    </row>
    <row r="3215" customFormat="false" ht="15" hidden="false" customHeight="false" outlineLevel="0" collapsed="false">
      <c r="A3215" s="0" t="n">
        <v>4</v>
      </c>
      <c r="B3215" s="0" t="n">
        <v>3</v>
      </c>
      <c r="C3215" s="0" t="n">
        <v>5</v>
      </c>
      <c r="D3215" s="0" t="n">
        <v>6</v>
      </c>
      <c r="E3215" s="0" t="n">
        <f aca="false">-1+A3215*0.25</f>
        <v>0</v>
      </c>
      <c r="F3215" s="0" t="n">
        <f aca="false">-1+B3215*0.25</f>
        <v>-0.25</v>
      </c>
      <c r="G3215" s="0" t="n">
        <f aca="false">-1+C3215*0.25</f>
        <v>0.25</v>
      </c>
      <c r="H3215" s="0" t="n">
        <f aca="false">-1+D3215*0.25</f>
        <v>0.5</v>
      </c>
      <c r="I3215" s="0" t="n">
        <f aca="false">1</f>
        <v>1</v>
      </c>
      <c r="J3215" s="0" t="n">
        <f aca="false">E3215</f>
        <v>0</v>
      </c>
      <c r="K3215" s="0" t="n">
        <f aca="false">F3215</f>
        <v>-0.25</v>
      </c>
      <c r="L3215" s="0" t="n">
        <f aca="false">G3215</f>
        <v>0.25</v>
      </c>
      <c r="M3215" s="0" t="n">
        <f aca="false">H3215</f>
        <v>0.5</v>
      </c>
      <c r="N3215" s="0" t="n">
        <f aca="false">E3215*F3215</f>
        <v>-0</v>
      </c>
      <c r="O3215" s="0" t="n">
        <f aca="false">E3215*G3215</f>
        <v>0</v>
      </c>
      <c r="P3215" s="0" t="n">
        <f aca="false">E3215*H3215</f>
        <v>0</v>
      </c>
      <c r="Q3215" s="0" t="n">
        <f aca="false">F3215*G3215</f>
        <v>-0.0625</v>
      </c>
      <c r="R3215" s="0" t="n">
        <f aca="false">F3215*H3215</f>
        <v>-0.125</v>
      </c>
      <c r="S3215" s="0" t="n">
        <f aca="false">G3215*H3215</f>
        <v>0.125</v>
      </c>
      <c r="T3215" s="0" t="n">
        <f aca="false">E3215*E3215</f>
        <v>0</v>
      </c>
      <c r="U3215" s="0" t="n">
        <f aca="false">F3215*F3215</f>
        <v>0.0625</v>
      </c>
      <c r="V3215" s="0" t="n">
        <f aca="false">G3215*G3215</f>
        <v>0.0625</v>
      </c>
      <c r="W3215" s="0" t="n">
        <f aca="false">H3215*H3215</f>
        <v>0.25</v>
      </c>
      <c r="X3215" s="0" t="n">
        <f aca="false">SUMPRODUCT(I3215:W3215,_XtX!$B$96:$P$96)</f>
        <v>47.5761924342105</v>
      </c>
      <c r="Y3215" s="0" t="n">
        <f aca="false">SUMPRODUCT(MMULT(I3215:W3215,_XtX!$B$78:$P$92),I3215:W3215)</f>
        <v>0.118905050712719</v>
      </c>
      <c r="Z3215" s="0" t="n">
        <f aca="false">04_回帰ANOVA!$K$19*04_回帰ANOVA!$K$14*SQRT(1+Y3215)</f>
        <v>1.37878011033769</v>
      </c>
      <c r="AA3215" s="0" t="n">
        <f aca="false">X3215-Z3215</f>
        <v>46.1974123238728</v>
      </c>
      <c r="AB3215" s="0" t="n">
        <f aca="false">X3215+Z3215</f>
        <v>48.9549725445482</v>
      </c>
      <c r="AC3215" s="54" t="b">
        <f aca="false">AND(E3215&gt;=01_因子設定!$L$5-0.000000001,E3215&lt;=01_因子設定!$M$5+0.000000001,F3215&gt;=01_因子設定!$L$6-0.000000001,F3215&lt;=01_因子設定!$M$6+0.000000001,G3215&gt;=01_因子設定!$L$7-0.000000001,G3215&lt;=01_因子設定!$M$7+0.000000001,H3215&gt;=01_因子設定!$L$8-0.000000001,H3215&lt;=01_因子設定!$M$8+0.000000001,IF(01_因子設定!$B$20="Box-Behnken",E3215^2+F3215^2+G3215^2+H3215^2&lt;=2+0.000000001,TRUE()))</f>
        <v>1</v>
      </c>
      <c r="AD3215" s="55" t="n">
        <f aca="false">IF(AC3215,IF(01_因子設定!$B$13="最大化",AA3215-01_因子設定!$B$14,IF(01_因子設定!$B$13="最小化",01_因子設定!$B$15-AB3215,MIN(AA3215-01_因子設定!$B$14,01_因子設定!$B$15-AB3215))),-1E+030)</f>
        <v>-0.302587676127217</v>
      </c>
      <c r="AE3215" s="55" t="n">
        <f aca="false">IF(AC3215,IF(01_因子設定!$B$13="最大化",X3215,IF(01_因子設定!$B$13="最小化",-X3215,-ABS(X3215-01_因子設定!$B$16))),-1E+030)</f>
        <v>47.5761924342105</v>
      </c>
      <c r="AF3215" s="55" t="n">
        <f aca="false">AD3215+ROW()*0.000000001</f>
        <v>-0.302584461127217</v>
      </c>
      <c r="AG3215" s="55" t="n">
        <f aca="false">AE3215+ROW()*0.000000001</f>
        <v>47.5761956492105</v>
      </c>
    </row>
    <row r="3216" customFormat="false" ht="15" hidden="false" customHeight="false" outlineLevel="0" collapsed="false">
      <c r="A3216" s="0" t="n">
        <v>4</v>
      </c>
      <c r="B3216" s="0" t="n">
        <v>3</v>
      </c>
      <c r="C3216" s="0" t="n">
        <v>5</v>
      </c>
      <c r="D3216" s="0" t="n">
        <v>7</v>
      </c>
      <c r="E3216" s="0" t="n">
        <f aca="false">-1+A3216*0.25</f>
        <v>0</v>
      </c>
      <c r="F3216" s="0" t="n">
        <f aca="false">-1+B3216*0.25</f>
        <v>-0.25</v>
      </c>
      <c r="G3216" s="0" t="n">
        <f aca="false">-1+C3216*0.25</f>
        <v>0.25</v>
      </c>
      <c r="H3216" s="0" t="n">
        <f aca="false">-1+D3216*0.25</f>
        <v>0.75</v>
      </c>
      <c r="I3216" s="0" t="n">
        <f aca="false">1</f>
        <v>1</v>
      </c>
      <c r="J3216" s="0" t="n">
        <f aca="false">E3216</f>
        <v>0</v>
      </c>
      <c r="K3216" s="0" t="n">
        <f aca="false">F3216</f>
        <v>-0.25</v>
      </c>
      <c r="L3216" s="0" t="n">
        <f aca="false">G3216</f>
        <v>0.25</v>
      </c>
      <c r="M3216" s="0" t="n">
        <f aca="false">H3216</f>
        <v>0.75</v>
      </c>
      <c r="N3216" s="0" t="n">
        <f aca="false">E3216*F3216</f>
        <v>-0</v>
      </c>
      <c r="O3216" s="0" t="n">
        <f aca="false">E3216*G3216</f>
        <v>0</v>
      </c>
      <c r="P3216" s="0" t="n">
        <f aca="false">E3216*H3216</f>
        <v>0</v>
      </c>
      <c r="Q3216" s="0" t="n">
        <f aca="false">F3216*G3216</f>
        <v>-0.0625</v>
      </c>
      <c r="R3216" s="0" t="n">
        <f aca="false">F3216*H3216</f>
        <v>-0.1875</v>
      </c>
      <c r="S3216" s="0" t="n">
        <f aca="false">G3216*H3216</f>
        <v>0.1875</v>
      </c>
      <c r="T3216" s="0" t="n">
        <f aca="false">E3216*E3216</f>
        <v>0</v>
      </c>
      <c r="U3216" s="0" t="n">
        <f aca="false">F3216*F3216</f>
        <v>0.0625</v>
      </c>
      <c r="V3216" s="0" t="n">
        <f aca="false">G3216*G3216</f>
        <v>0.0625</v>
      </c>
      <c r="W3216" s="0" t="n">
        <f aca="false">H3216*H3216</f>
        <v>0.5625</v>
      </c>
      <c r="X3216" s="0" t="n">
        <f aca="false">SUMPRODUCT(I3216:W3216,_XtX!$B$96:$P$96)</f>
        <v>47.5893137792397</v>
      </c>
      <c r="Y3216" s="0" t="n">
        <f aca="false">SUMPRODUCT(MMULT(I3216:W3216,_XtX!$B$78:$P$92),I3216:W3216)</f>
        <v>0.21135011193348</v>
      </c>
      <c r="Z3216" s="0" t="n">
        <f aca="false">04_回帰ANOVA!$K$19*04_回帰ANOVA!$K$14*SQRT(1+Y3216)</f>
        <v>1.43460795469709</v>
      </c>
      <c r="AA3216" s="0" t="n">
        <f aca="false">X3216-Z3216</f>
        <v>46.1547058245426</v>
      </c>
      <c r="AB3216" s="0" t="n">
        <f aca="false">X3216+Z3216</f>
        <v>49.0239217339368</v>
      </c>
      <c r="AC3216" s="54" t="b">
        <f aca="false">AND(E3216&gt;=01_因子設定!$L$5-0.000000001,E3216&lt;=01_因子設定!$M$5+0.000000001,F3216&gt;=01_因子設定!$L$6-0.000000001,F3216&lt;=01_因子設定!$M$6+0.000000001,G3216&gt;=01_因子設定!$L$7-0.000000001,G3216&lt;=01_因子設定!$M$7+0.000000001,H3216&gt;=01_因子設定!$L$8-0.000000001,H3216&lt;=01_因子設定!$M$8+0.000000001,IF(01_因子設定!$B$20="Box-Behnken",E3216^2+F3216^2+G3216^2+H3216^2&lt;=2+0.000000001,TRUE()))</f>
        <v>1</v>
      </c>
      <c r="AD3216" s="55" t="n">
        <f aca="false">IF(AC3216,IF(01_因子設定!$B$13="最大化",AA3216-01_因子設定!$B$14,IF(01_因子設定!$B$13="最小化",01_因子設定!$B$15-AB3216,MIN(AA3216-01_因子設定!$B$14,01_因子設定!$B$15-AB3216))),-1E+030)</f>
        <v>-0.345294175457369</v>
      </c>
      <c r="AE3216" s="55" t="n">
        <f aca="false">IF(AC3216,IF(01_因子設定!$B$13="最大化",X3216,IF(01_因子設定!$B$13="最小化",-X3216,-ABS(X3216-01_因子設定!$B$16))),-1E+030)</f>
        <v>47.5893137792397</v>
      </c>
      <c r="AF3216" s="55" t="n">
        <f aca="false">AD3216+ROW()*0.000000001</f>
        <v>-0.345290959457369</v>
      </c>
      <c r="AG3216" s="55" t="n">
        <f aca="false">AE3216+ROW()*0.000000001</f>
        <v>47.5893169952397</v>
      </c>
    </row>
    <row r="3217" customFormat="false" ht="15" hidden="false" customHeight="false" outlineLevel="0" collapsed="false">
      <c r="A3217" s="0" t="n">
        <v>4</v>
      </c>
      <c r="B3217" s="0" t="n">
        <v>3</v>
      </c>
      <c r="C3217" s="0" t="n">
        <v>5</v>
      </c>
      <c r="D3217" s="0" t="n">
        <v>8</v>
      </c>
      <c r="E3217" s="0" t="n">
        <f aca="false">-1+A3217*0.25</f>
        <v>0</v>
      </c>
      <c r="F3217" s="0" t="n">
        <f aca="false">-1+B3217*0.25</f>
        <v>-0.25</v>
      </c>
      <c r="G3217" s="0" t="n">
        <f aca="false">-1+C3217*0.25</f>
        <v>0.25</v>
      </c>
      <c r="H3217" s="0" t="n">
        <f aca="false">-1+D3217*0.25</f>
        <v>1</v>
      </c>
      <c r="I3217" s="0" t="n">
        <f aca="false">1</f>
        <v>1</v>
      </c>
      <c r="J3217" s="0" t="n">
        <f aca="false">E3217</f>
        <v>0</v>
      </c>
      <c r="K3217" s="0" t="n">
        <f aca="false">F3217</f>
        <v>-0.25</v>
      </c>
      <c r="L3217" s="0" t="n">
        <f aca="false">G3217</f>
        <v>0.25</v>
      </c>
      <c r="M3217" s="0" t="n">
        <f aca="false">H3217</f>
        <v>1</v>
      </c>
      <c r="N3217" s="0" t="n">
        <f aca="false">E3217*F3217</f>
        <v>-0</v>
      </c>
      <c r="O3217" s="0" t="n">
        <f aca="false">E3217*G3217</f>
        <v>0</v>
      </c>
      <c r="P3217" s="0" t="n">
        <f aca="false">E3217*H3217</f>
        <v>0</v>
      </c>
      <c r="Q3217" s="0" t="n">
        <f aca="false">F3217*G3217</f>
        <v>-0.0625</v>
      </c>
      <c r="R3217" s="0" t="n">
        <f aca="false">F3217*H3217</f>
        <v>-0.25</v>
      </c>
      <c r="S3217" s="0" t="n">
        <f aca="false">G3217*H3217</f>
        <v>0.25</v>
      </c>
      <c r="T3217" s="0" t="n">
        <f aca="false">E3217*E3217</f>
        <v>0</v>
      </c>
      <c r="U3217" s="0" t="n">
        <f aca="false">F3217*F3217</f>
        <v>0.0625</v>
      </c>
      <c r="V3217" s="0" t="n">
        <f aca="false">G3217*G3217</f>
        <v>0.0625</v>
      </c>
      <c r="W3217" s="0" t="n">
        <f aca="false">H3217*H3217</f>
        <v>1</v>
      </c>
      <c r="X3217" s="0" t="n">
        <f aca="false">SUMPRODUCT(I3217:W3217,_XtX!$B$96:$P$96)</f>
        <v>47.5546281067251</v>
      </c>
      <c r="Y3217" s="0" t="n">
        <f aca="false">SUMPRODUCT(MMULT(I3217:W3217,_XtX!$B$78:$P$92),I3217:W3217)</f>
        <v>0.467417934484649</v>
      </c>
      <c r="Z3217" s="0" t="n">
        <f aca="false">04_回帰ANOVA!$K$19*04_回帰ANOVA!$K$14*SQRT(1+Y3217)</f>
        <v>1.57897518244497</v>
      </c>
      <c r="AA3217" s="0" t="n">
        <f aca="false">X3217-Z3217</f>
        <v>45.9756529242802</v>
      </c>
      <c r="AB3217" s="0" t="n">
        <f aca="false">X3217+Z3217</f>
        <v>49.1336032891701</v>
      </c>
      <c r="AC3217" s="54" t="b">
        <f aca="false">AND(E3217&gt;=01_因子設定!$L$5-0.000000001,E3217&lt;=01_因子設定!$M$5+0.000000001,F3217&gt;=01_因子設定!$L$6-0.000000001,F3217&lt;=01_因子設定!$M$6+0.000000001,G3217&gt;=01_因子設定!$L$7-0.000000001,G3217&lt;=01_因子設定!$M$7+0.000000001,H3217&gt;=01_因子設定!$L$8-0.000000001,H3217&lt;=01_因子設定!$M$8+0.000000001,IF(01_因子設定!$B$20="Box-Behnken",E3217^2+F3217^2+G3217^2+H3217^2&lt;=2+0.000000001,TRUE()))</f>
        <v>1</v>
      </c>
      <c r="AD3217" s="55" t="n">
        <f aca="false">IF(AC3217,IF(01_因子設定!$B$13="最大化",AA3217-01_因子設定!$B$14,IF(01_因子設定!$B$13="最小化",01_因子設定!$B$15-AB3217,MIN(AA3217-01_因子設定!$B$14,01_因子設定!$B$15-AB3217))),-1E+030)</f>
        <v>-0.524347075719852</v>
      </c>
      <c r="AE3217" s="55" t="n">
        <f aca="false">IF(AC3217,IF(01_因子設定!$B$13="最大化",X3217,IF(01_因子設定!$B$13="最小化",-X3217,-ABS(X3217-01_因子設定!$B$16))),-1E+030)</f>
        <v>47.5546281067251</v>
      </c>
      <c r="AF3217" s="55" t="n">
        <f aca="false">AD3217+ROW()*0.000000001</f>
        <v>-0.524343858719852</v>
      </c>
      <c r="AG3217" s="55" t="n">
        <f aca="false">AE3217+ROW()*0.000000001</f>
        <v>47.5546313237251</v>
      </c>
    </row>
    <row r="3218" customFormat="false" ht="15" hidden="false" customHeight="false" outlineLevel="0" collapsed="false">
      <c r="A3218" s="0" t="n">
        <v>4</v>
      </c>
      <c r="B3218" s="0" t="n">
        <v>3</v>
      </c>
      <c r="C3218" s="0" t="n">
        <v>6</v>
      </c>
      <c r="D3218" s="0" t="n">
        <v>0</v>
      </c>
      <c r="E3218" s="0" t="n">
        <f aca="false">-1+A3218*0.25</f>
        <v>0</v>
      </c>
      <c r="F3218" s="0" t="n">
        <f aca="false">-1+B3218*0.25</f>
        <v>-0.25</v>
      </c>
      <c r="G3218" s="0" t="n">
        <f aca="false">-1+C3218*0.25</f>
        <v>0.5</v>
      </c>
      <c r="H3218" s="0" t="n">
        <f aca="false">-1+D3218*0.25</f>
        <v>-1</v>
      </c>
      <c r="I3218" s="0" t="n">
        <f aca="false">1</f>
        <v>1</v>
      </c>
      <c r="J3218" s="0" t="n">
        <f aca="false">E3218</f>
        <v>0</v>
      </c>
      <c r="K3218" s="0" t="n">
        <f aca="false">F3218</f>
        <v>-0.25</v>
      </c>
      <c r="L3218" s="0" t="n">
        <f aca="false">G3218</f>
        <v>0.5</v>
      </c>
      <c r="M3218" s="0" t="n">
        <f aca="false">H3218</f>
        <v>-1</v>
      </c>
      <c r="N3218" s="0" t="n">
        <f aca="false">E3218*F3218</f>
        <v>-0</v>
      </c>
      <c r="O3218" s="0" t="n">
        <f aca="false">E3218*G3218</f>
        <v>0</v>
      </c>
      <c r="P3218" s="0" t="n">
        <f aca="false">E3218*H3218</f>
        <v>-0</v>
      </c>
      <c r="Q3218" s="0" t="n">
        <f aca="false">F3218*G3218</f>
        <v>-0.125</v>
      </c>
      <c r="R3218" s="0" t="n">
        <f aca="false">F3218*H3218</f>
        <v>0.25</v>
      </c>
      <c r="S3218" s="0" t="n">
        <f aca="false">G3218*H3218</f>
        <v>-0.5</v>
      </c>
      <c r="T3218" s="0" t="n">
        <f aca="false">E3218*E3218</f>
        <v>0</v>
      </c>
      <c r="U3218" s="0" t="n">
        <f aca="false">F3218*F3218</f>
        <v>0.0625</v>
      </c>
      <c r="V3218" s="0" t="n">
        <f aca="false">G3218*G3218</f>
        <v>0.25</v>
      </c>
      <c r="W3218" s="0" t="n">
        <f aca="false">H3218*H3218</f>
        <v>1</v>
      </c>
      <c r="X3218" s="0" t="n">
        <f aca="false">SUMPRODUCT(I3218:W3218,_XtX!$B$96:$P$96)</f>
        <v>46.5199835526316</v>
      </c>
      <c r="Y3218" s="0" t="n">
        <f aca="false">SUMPRODUCT(MMULT(I3218:W3218,_XtX!$B$78:$P$92),I3218:W3218)</f>
        <v>0.457596628289474</v>
      </c>
      <c r="Z3218" s="0" t="n">
        <f aca="false">04_回帰ANOVA!$K$19*04_回帰ANOVA!$K$14*SQRT(1+Y3218)</f>
        <v>1.57368233664366</v>
      </c>
      <c r="AA3218" s="0" t="n">
        <f aca="false">X3218-Z3218</f>
        <v>44.9463012159879</v>
      </c>
      <c r="AB3218" s="0" t="n">
        <f aca="false">X3218+Z3218</f>
        <v>48.0936658892752</v>
      </c>
      <c r="AC3218" s="54" t="b">
        <f aca="false">AND(E3218&gt;=01_因子設定!$L$5-0.000000001,E3218&lt;=01_因子設定!$M$5+0.000000001,F3218&gt;=01_因子設定!$L$6-0.000000001,F3218&lt;=01_因子設定!$M$6+0.000000001,G3218&gt;=01_因子設定!$L$7-0.000000001,G3218&lt;=01_因子設定!$M$7+0.000000001,H3218&gt;=01_因子設定!$L$8-0.000000001,H3218&lt;=01_因子設定!$M$8+0.000000001,IF(01_因子設定!$B$20="Box-Behnken",E3218^2+F3218^2+G3218^2+H3218^2&lt;=2+0.000000001,TRUE()))</f>
        <v>1</v>
      </c>
      <c r="AD3218" s="55" t="n">
        <f aca="false">IF(AC3218,IF(01_因子設定!$B$13="最大化",AA3218-01_因子設定!$B$14,IF(01_因子設定!$B$13="最小化",01_因子設定!$B$15-AB3218,MIN(AA3218-01_因子設定!$B$14,01_因子設定!$B$15-AB3218))),-1E+030)</f>
        <v>-1.55369878401211</v>
      </c>
      <c r="AE3218" s="55" t="n">
        <f aca="false">IF(AC3218,IF(01_因子設定!$B$13="最大化",X3218,IF(01_因子設定!$B$13="最小化",-X3218,-ABS(X3218-01_因子設定!$B$16))),-1E+030)</f>
        <v>46.5199835526316</v>
      </c>
      <c r="AF3218" s="55" t="n">
        <f aca="false">AD3218+ROW()*0.000000001</f>
        <v>-1.55369556601211</v>
      </c>
      <c r="AG3218" s="55" t="n">
        <f aca="false">AE3218+ROW()*0.000000001</f>
        <v>46.5199867706316</v>
      </c>
    </row>
    <row r="3219" customFormat="false" ht="15" hidden="false" customHeight="false" outlineLevel="0" collapsed="false">
      <c r="A3219" s="0" t="n">
        <v>4</v>
      </c>
      <c r="B3219" s="0" t="n">
        <v>3</v>
      </c>
      <c r="C3219" s="0" t="n">
        <v>6</v>
      </c>
      <c r="D3219" s="0" t="n">
        <v>1</v>
      </c>
      <c r="E3219" s="0" t="n">
        <f aca="false">-1+A3219*0.25</f>
        <v>0</v>
      </c>
      <c r="F3219" s="0" t="n">
        <f aca="false">-1+B3219*0.25</f>
        <v>-0.25</v>
      </c>
      <c r="G3219" s="0" t="n">
        <f aca="false">-1+C3219*0.25</f>
        <v>0.5</v>
      </c>
      <c r="H3219" s="0" t="n">
        <f aca="false">-1+D3219*0.25</f>
        <v>-0.75</v>
      </c>
      <c r="I3219" s="0" t="n">
        <f aca="false">1</f>
        <v>1</v>
      </c>
      <c r="J3219" s="0" t="n">
        <f aca="false">E3219</f>
        <v>0</v>
      </c>
      <c r="K3219" s="0" t="n">
        <f aca="false">F3219</f>
        <v>-0.25</v>
      </c>
      <c r="L3219" s="0" t="n">
        <f aca="false">G3219</f>
        <v>0.5</v>
      </c>
      <c r="M3219" s="0" t="n">
        <f aca="false">H3219</f>
        <v>-0.75</v>
      </c>
      <c r="N3219" s="0" t="n">
        <f aca="false">E3219*F3219</f>
        <v>-0</v>
      </c>
      <c r="O3219" s="0" t="n">
        <f aca="false">E3219*G3219</f>
        <v>0</v>
      </c>
      <c r="P3219" s="0" t="n">
        <f aca="false">E3219*H3219</f>
        <v>-0</v>
      </c>
      <c r="Q3219" s="0" t="n">
        <f aca="false">F3219*G3219</f>
        <v>-0.125</v>
      </c>
      <c r="R3219" s="0" t="n">
        <f aca="false">F3219*H3219</f>
        <v>0.1875</v>
      </c>
      <c r="S3219" s="0" t="n">
        <f aca="false">G3219*H3219</f>
        <v>-0.375</v>
      </c>
      <c r="T3219" s="0" t="n">
        <f aca="false">E3219*E3219</f>
        <v>0</v>
      </c>
      <c r="U3219" s="0" t="n">
        <f aca="false">F3219*F3219</f>
        <v>0.0625</v>
      </c>
      <c r="V3219" s="0" t="n">
        <f aca="false">G3219*G3219</f>
        <v>0.25</v>
      </c>
      <c r="W3219" s="0" t="n">
        <f aca="false">H3219*H3219</f>
        <v>0.5625</v>
      </c>
      <c r="X3219" s="0" t="n">
        <f aca="false">SUMPRODUCT(I3219:W3219,_XtX!$B$96:$P$96)</f>
        <v>46.8379157529239</v>
      </c>
      <c r="Y3219" s="0" t="n">
        <f aca="false">SUMPRODUCT(MMULT(I3219:W3219,_XtX!$B$78:$P$92),I3219:W3219)</f>
        <v>0.215110734192252</v>
      </c>
      <c r="Z3219" s="0" t="n">
        <f aca="false">04_回帰ANOVA!$K$19*04_回帰ANOVA!$K$14*SQRT(1+Y3219)</f>
        <v>1.43683309086864</v>
      </c>
      <c r="AA3219" s="0" t="n">
        <f aca="false">X3219-Z3219</f>
        <v>45.4010826620553</v>
      </c>
      <c r="AB3219" s="0" t="n">
        <f aca="false">X3219+Z3219</f>
        <v>48.2747488437926</v>
      </c>
      <c r="AC3219" s="54" t="b">
        <f aca="false">AND(E3219&gt;=01_因子設定!$L$5-0.000000001,E3219&lt;=01_因子設定!$M$5+0.000000001,F3219&gt;=01_因子設定!$L$6-0.000000001,F3219&lt;=01_因子設定!$M$6+0.000000001,G3219&gt;=01_因子設定!$L$7-0.000000001,G3219&lt;=01_因子設定!$M$7+0.000000001,H3219&gt;=01_因子設定!$L$8-0.000000001,H3219&lt;=01_因子設定!$M$8+0.000000001,IF(01_因子設定!$B$20="Box-Behnken",E3219^2+F3219^2+G3219^2+H3219^2&lt;=2+0.000000001,TRUE()))</f>
        <v>1</v>
      </c>
      <c r="AD3219" s="55" t="n">
        <f aca="false">IF(AC3219,IF(01_因子設定!$B$13="最大化",AA3219-01_因子設定!$B$14,IF(01_因子設定!$B$13="最小化",01_因子設定!$B$15-AB3219,MIN(AA3219-01_因子設定!$B$14,01_因子設定!$B$15-AB3219))),-1E+030)</f>
        <v>-1.09891733794471</v>
      </c>
      <c r="AE3219" s="55" t="n">
        <f aca="false">IF(AC3219,IF(01_因子設定!$B$13="最大化",X3219,IF(01_因子設定!$B$13="最小化",-X3219,-ABS(X3219-01_因子設定!$B$16))),-1E+030)</f>
        <v>46.8379157529239</v>
      </c>
      <c r="AF3219" s="55" t="n">
        <f aca="false">AD3219+ROW()*0.000000001</f>
        <v>-1.09891411894471</v>
      </c>
      <c r="AG3219" s="55" t="n">
        <f aca="false">AE3219+ROW()*0.000000001</f>
        <v>46.8379189719239</v>
      </c>
    </row>
    <row r="3220" customFormat="false" ht="15" hidden="false" customHeight="false" outlineLevel="0" collapsed="false">
      <c r="A3220" s="0" t="n">
        <v>4</v>
      </c>
      <c r="B3220" s="0" t="n">
        <v>3</v>
      </c>
      <c r="C3220" s="0" t="n">
        <v>6</v>
      </c>
      <c r="D3220" s="0" t="n">
        <v>2</v>
      </c>
      <c r="E3220" s="0" t="n">
        <f aca="false">-1+A3220*0.25</f>
        <v>0</v>
      </c>
      <c r="F3220" s="0" t="n">
        <f aca="false">-1+B3220*0.25</f>
        <v>-0.25</v>
      </c>
      <c r="G3220" s="0" t="n">
        <f aca="false">-1+C3220*0.25</f>
        <v>0.5</v>
      </c>
      <c r="H3220" s="0" t="n">
        <f aca="false">-1+D3220*0.25</f>
        <v>-0.5</v>
      </c>
      <c r="I3220" s="0" t="n">
        <f aca="false">1</f>
        <v>1</v>
      </c>
      <c r="J3220" s="0" t="n">
        <f aca="false">E3220</f>
        <v>0</v>
      </c>
      <c r="K3220" s="0" t="n">
        <f aca="false">F3220</f>
        <v>-0.25</v>
      </c>
      <c r="L3220" s="0" t="n">
        <f aca="false">G3220</f>
        <v>0.5</v>
      </c>
      <c r="M3220" s="0" t="n">
        <f aca="false">H3220</f>
        <v>-0.5</v>
      </c>
      <c r="N3220" s="0" t="n">
        <f aca="false">E3220*F3220</f>
        <v>-0</v>
      </c>
      <c r="O3220" s="0" t="n">
        <f aca="false">E3220*G3220</f>
        <v>0</v>
      </c>
      <c r="P3220" s="0" t="n">
        <f aca="false">E3220*H3220</f>
        <v>-0</v>
      </c>
      <c r="Q3220" s="0" t="n">
        <f aca="false">F3220*G3220</f>
        <v>-0.125</v>
      </c>
      <c r="R3220" s="0" t="n">
        <f aca="false">F3220*H3220</f>
        <v>0.125</v>
      </c>
      <c r="S3220" s="0" t="n">
        <f aca="false">G3220*H3220</f>
        <v>-0.25</v>
      </c>
      <c r="T3220" s="0" t="n">
        <f aca="false">E3220*E3220</f>
        <v>0</v>
      </c>
      <c r="U3220" s="0" t="n">
        <f aca="false">F3220*F3220</f>
        <v>0.0625</v>
      </c>
      <c r="V3220" s="0" t="n">
        <f aca="false">G3220*G3220</f>
        <v>0.25</v>
      </c>
      <c r="W3220" s="0" t="n">
        <f aca="false">H3220*H3220</f>
        <v>0.25</v>
      </c>
      <c r="X3220" s="0" t="n">
        <f aca="false">SUMPRODUCT(I3220:W3220,_XtX!$B$96:$P$96)</f>
        <v>47.1080409356725</v>
      </c>
      <c r="Y3220" s="0" t="n">
        <f aca="false">SUMPRODUCT(MMULT(I3220:W3220,_XtX!$B$78:$P$92),I3220:W3220)</f>
        <v>0.132367050438597</v>
      </c>
      <c r="Z3220" s="0" t="n">
        <f aca="false">04_回帰ANOVA!$K$19*04_回帰ANOVA!$K$14*SQRT(1+Y3220)</f>
        <v>1.38704964208329</v>
      </c>
      <c r="AA3220" s="0" t="n">
        <f aca="false">X3220-Z3220</f>
        <v>45.7209912935892</v>
      </c>
      <c r="AB3220" s="0" t="n">
        <f aca="false">X3220+Z3220</f>
        <v>48.4950905777558</v>
      </c>
      <c r="AC3220" s="54" t="b">
        <f aca="false">AND(E3220&gt;=01_因子設定!$L$5-0.000000001,E3220&lt;=01_因子設定!$M$5+0.000000001,F3220&gt;=01_因子設定!$L$6-0.000000001,F3220&lt;=01_因子設定!$M$6+0.000000001,G3220&gt;=01_因子設定!$L$7-0.000000001,G3220&lt;=01_因子設定!$M$7+0.000000001,H3220&gt;=01_因子設定!$L$8-0.000000001,H3220&lt;=01_因子設定!$M$8+0.000000001,IF(01_因子設定!$B$20="Box-Behnken",E3220^2+F3220^2+G3220^2+H3220^2&lt;=2+0.000000001,TRUE()))</f>
        <v>1</v>
      </c>
      <c r="AD3220" s="55" t="n">
        <f aca="false">IF(AC3220,IF(01_因子設定!$B$13="最大化",AA3220-01_因子設定!$B$14,IF(01_因子設定!$B$13="最小化",01_因子設定!$B$15-AB3220,MIN(AA3220-01_因子設定!$B$14,01_因子設定!$B$15-AB3220))),-1E+030)</f>
        <v>-0.779008706410835</v>
      </c>
      <c r="AE3220" s="55" t="n">
        <f aca="false">IF(AC3220,IF(01_因子設定!$B$13="最大化",X3220,IF(01_因子設定!$B$13="最小化",-X3220,-ABS(X3220-01_因子設定!$B$16))),-1E+030)</f>
        <v>47.1080409356725</v>
      </c>
      <c r="AF3220" s="55" t="n">
        <f aca="false">AD3220+ROW()*0.000000001</f>
        <v>-0.779005486410835</v>
      </c>
      <c r="AG3220" s="55" t="n">
        <f aca="false">AE3220+ROW()*0.000000001</f>
        <v>47.1080441556725</v>
      </c>
    </row>
    <row r="3221" customFormat="false" ht="15" hidden="false" customHeight="false" outlineLevel="0" collapsed="false">
      <c r="A3221" s="0" t="n">
        <v>4</v>
      </c>
      <c r="B3221" s="0" t="n">
        <v>3</v>
      </c>
      <c r="C3221" s="0" t="n">
        <v>6</v>
      </c>
      <c r="D3221" s="0" t="n">
        <v>3</v>
      </c>
      <c r="E3221" s="0" t="n">
        <f aca="false">-1+A3221*0.25</f>
        <v>0</v>
      </c>
      <c r="F3221" s="0" t="n">
        <f aca="false">-1+B3221*0.25</f>
        <v>-0.25</v>
      </c>
      <c r="G3221" s="0" t="n">
        <f aca="false">-1+C3221*0.25</f>
        <v>0.5</v>
      </c>
      <c r="H3221" s="0" t="n">
        <f aca="false">-1+D3221*0.25</f>
        <v>-0.25</v>
      </c>
      <c r="I3221" s="0" t="n">
        <f aca="false">1</f>
        <v>1</v>
      </c>
      <c r="J3221" s="0" t="n">
        <f aca="false">E3221</f>
        <v>0</v>
      </c>
      <c r="K3221" s="0" t="n">
        <f aca="false">F3221</f>
        <v>-0.25</v>
      </c>
      <c r="L3221" s="0" t="n">
        <f aca="false">G3221</f>
        <v>0.5</v>
      </c>
      <c r="M3221" s="0" t="n">
        <f aca="false">H3221</f>
        <v>-0.25</v>
      </c>
      <c r="N3221" s="0" t="n">
        <f aca="false">E3221*F3221</f>
        <v>-0</v>
      </c>
      <c r="O3221" s="0" t="n">
        <f aca="false">E3221*G3221</f>
        <v>0</v>
      </c>
      <c r="P3221" s="0" t="n">
        <f aca="false">E3221*H3221</f>
        <v>-0</v>
      </c>
      <c r="Q3221" s="0" t="n">
        <f aca="false">F3221*G3221</f>
        <v>-0.125</v>
      </c>
      <c r="R3221" s="0" t="n">
        <f aca="false">F3221*H3221</f>
        <v>0.0625</v>
      </c>
      <c r="S3221" s="0" t="n">
        <f aca="false">G3221*H3221</f>
        <v>-0.125</v>
      </c>
      <c r="T3221" s="0" t="n">
        <f aca="false">E3221*E3221</f>
        <v>0</v>
      </c>
      <c r="U3221" s="0" t="n">
        <f aca="false">F3221*F3221</f>
        <v>0.0625</v>
      </c>
      <c r="V3221" s="0" t="n">
        <f aca="false">G3221*G3221</f>
        <v>0.25</v>
      </c>
      <c r="W3221" s="0" t="n">
        <f aca="false">H3221*H3221</f>
        <v>0.0625</v>
      </c>
      <c r="X3221" s="0" t="n">
        <f aca="false">SUMPRODUCT(I3221:W3221,_XtX!$B$96:$P$96)</f>
        <v>47.3303591008771</v>
      </c>
      <c r="Y3221" s="0" t="n">
        <f aca="false">SUMPRODUCT(MMULT(I3221:W3221,_XtX!$B$78:$P$92),I3221:W3221)</f>
        <v>0.118905050712719</v>
      </c>
      <c r="Z3221" s="0" t="n">
        <f aca="false">04_回帰ANOVA!$K$19*04_回帰ANOVA!$K$14*SQRT(1+Y3221)</f>
        <v>1.37878011033769</v>
      </c>
      <c r="AA3221" s="0" t="n">
        <f aca="false">X3221-Z3221</f>
        <v>45.9515789905394</v>
      </c>
      <c r="AB3221" s="0" t="n">
        <f aca="false">X3221+Z3221</f>
        <v>48.7091392112148</v>
      </c>
      <c r="AC3221" s="54" t="b">
        <f aca="false">AND(E3221&gt;=01_因子設定!$L$5-0.000000001,E3221&lt;=01_因子設定!$M$5+0.000000001,F3221&gt;=01_因子設定!$L$6-0.000000001,F3221&lt;=01_因子設定!$M$6+0.000000001,G3221&gt;=01_因子設定!$L$7-0.000000001,G3221&lt;=01_因子設定!$M$7+0.000000001,H3221&gt;=01_因子設定!$L$8-0.000000001,H3221&lt;=01_因子設定!$M$8+0.000000001,IF(01_因子設定!$B$20="Box-Behnken",E3221^2+F3221^2+G3221^2+H3221^2&lt;=2+0.000000001,TRUE()))</f>
        <v>1</v>
      </c>
      <c r="AD3221" s="55" t="n">
        <f aca="false">IF(AC3221,IF(01_因子設定!$B$13="最大化",AA3221-01_因子設定!$B$14,IF(01_因子設定!$B$13="最小化",01_因子設定!$B$15-AB3221,MIN(AA3221-01_因子設定!$B$14,01_因子設定!$B$15-AB3221))),-1E+030)</f>
        <v>-0.548421009460554</v>
      </c>
      <c r="AE3221" s="55" t="n">
        <f aca="false">IF(AC3221,IF(01_因子設定!$B$13="最大化",X3221,IF(01_因子設定!$B$13="最小化",-X3221,-ABS(X3221-01_因子設定!$B$16))),-1E+030)</f>
        <v>47.3303591008771</v>
      </c>
      <c r="AF3221" s="55" t="n">
        <f aca="false">AD3221+ROW()*0.000000001</f>
        <v>-0.548417788460554</v>
      </c>
      <c r="AG3221" s="55" t="n">
        <f aca="false">AE3221+ROW()*0.000000001</f>
        <v>47.3303623218771</v>
      </c>
    </row>
    <row r="3222" customFormat="false" ht="15" hidden="false" customHeight="false" outlineLevel="0" collapsed="false">
      <c r="A3222" s="0" t="n">
        <v>4</v>
      </c>
      <c r="B3222" s="0" t="n">
        <v>3</v>
      </c>
      <c r="C3222" s="0" t="n">
        <v>6</v>
      </c>
      <c r="D3222" s="0" t="n">
        <v>4</v>
      </c>
      <c r="E3222" s="0" t="n">
        <f aca="false">-1+A3222*0.25</f>
        <v>0</v>
      </c>
      <c r="F3222" s="0" t="n">
        <f aca="false">-1+B3222*0.25</f>
        <v>-0.25</v>
      </c>
      <c r="G3222" s="0" t="n">
        <f aca="false">-1+C3222*0.25</f>
        <v>0.5</v>
      </c>
      <c r="H3222" s="0" t="n">
        <f aca="false">-1+D3222*0.25</f>
        <v>0</v>
      </c>
      <c r="I3222" s="0" t="n">
        <f aca="false">1</f>
        <v>1</v>
      </c>
      <c r="J3222" s="0" t="n">
        <f aca="false">E3222</f>
        <v>0</v>
      </c>
      <c r="K3222" s="0" t="n">
        <f aca="false">F3222</f>
        <v>-0.25</v>
      </c>
      <c r="L3222" s="0" t="n">
        <f aca="false">G3222</f>
        <v>0.5</v>
      </c>
      <c r="M3222" s="0" t="n">
        <f aca="false">H3222</f>
        <v>0</v>
      </c>
      <c r="N3222" s="0" t="n">
        <f aca="false">E3222*F3222</f>
        <v>-0</v>
      </c>
      <c r="O3222" s="0" t="n">
        <f aca="false">E3222*G3222</f>
        <v>0</v>
      </c>
      <c r="P3222" s="0" t="n">
        <f aca="false">E3222*H3222</f>
        <v>0</v>
      </c>
      <c r="Q3222" s="0" t="n">
        <f aca="false">F3222*G3222</f>
        <v>-0.125</v>
      </c>
      <c r="R3222" s="0" t="n">
        <f aca="false">F3222*H3222</f>
        <v>-0</v>
      </c>
      <c r="S3222" s="0" t="n">
        <f aca="false">G3222*H3222</f>
        <v>0</v>
      </c>
      <c r="T3222" s="0" t="n">
        <f aca="false">E3222*E3222</f>
        <v>0</v>
      </c>
      <c r="U3222" s="0" t="n">
        <f aca="false">F3222*F3222</f>
        <v>0.0625</v>
      </c>
      <c r="V3222" s="0" t="n">
        <f aca="false">G3222*G3222</f>
        <v>0.25</v>
      </c>
      <c r="W3222" s="0" t="n">
        <f aca="false">H3222*H3222</f>
        <v>0</v>
      </c>
      <c r="X3222" s="0" t="n">
        <f aca="false">SUMPRODUCT(I3222:W3222,_XtX!$B$96:$P$96)</f>
        <v>47.504870248538</v>
      </c>
      <c r="Y3222" s="0" t="n">
        <f aca="false">SUMPRODUCT(MMULT(I3222:W3222,_XtX!$B$78:$P$92),I3222:W3222)</f>
        <v>0.120448419225146</v>
      </c>
      <c r="Z3222" s="0" t="n">
        <f aca="false">04_回帰ANOVA!$K$19*04_回帰ANOVA!$K$14*SQRT(1+Y3222)</f>
        <v>1.37973069703246</v>
      </c>
      <c r="AA3222" s="0" t="n">
        <f aca="false">X3222-Z3222</f>
        <v>46.1251395515055</v>
      </c>
      <c r="AB3222" s="0" t="n">
        <f aca="false">X3222+Z3222</f>
        <v>48.8846009455704</v>
      </c>
      <c r="AC3222" s="54" t="b">
        <f aca="false">AND(E3222&gt;=01_因子設定!$L$5-0.000000001,E3222&lt;=01_因子設定!$M$5+0.000000001,F3222&gt;=01_因子設定!$L$6-0.000000001,F3222&lt;=01_因子設定!$M$6+0.000000001,G3222&gt;=01_因子設定!$L$7-0.000000001,G3222&lt;=01_因子設定!$M$7+0.000000001,H3222&gt;=01_因子設定!$L$8-0.000000001,H3222&lt;=01_因子設定!$M$8+0.000000001,IF(01_因子設定!$B$20="Box-Behnken",E3222^2+F3222^2+G3222^2+H3222^2&lt;=2+0.000000001,TRUE()))</f>
        <v>1</v>
      </c>
      <c r="AD3222" s="55" t="n">
        <f aca="false">IF(AC3222,IF(01_因子設定!$B$13="最大化",AA3222-01_因子設定!$B$14,IF(01_因子設定!$B$13="最小化",01_因子設定!$B$15-AB3222,MIN(AA3222-01_因子設定!$B$14,01_因子設定!$B$15-AB3222))),-1E+030)</f>
        <v>-0.374860448494516</v>
      </c>
      <c r="AE3222" s="55" t="n">
        <f aca="false">IF(AC3222,IF(01_因子設定!$B$13="最大化",X3222,IF(01_因子設定!$B$13="最小化",-X3222,-ABS(X3222-01_因子設定!$B$16))),-1E+030)</f>
        <v>47.504870248538</v>
      </c>
      <c r="AF3222" s="55" t="n">
        <f aca="false">AD3222+ROW()*0.000000001</f>
        <v>-0.374857226494516</v>
      </c>
      <c r="AG3222" s="55" t="n">
        <f aca="false">AE3222+ROW()*0.000000001</f>
        <v>47.5048734705379</v>
      </c>
    </row>
    <row r="3223" customFormat="false" ht="15" hidden="false" customHeight="false" outlineLevel="0" collapsed="false">
      <c r="A3223" s="0" t="n">
        <v>4</v>
      </c>
      <c r="B3223" s="0" t="n">
        <v>3</v>
      </c>
      <c r="C3223" s="0" t="n">
        <v>6</v>
      </c>
      <c r="D3223" s="0" t="n">
        <v>5</v>
      </c>
      <c r="E3223" s="0" t="n">
        <f aca="false">-1+A3223*0.25</f>
        <v>0</v>
      </c>
      <c r="F3223" s="0" t="n">
        <f aca="false">-1+B3223*0.25</f>
        <v>-0.25</v>
      </c>
      <c r="G3223" s="0" t="n">
        <f aca="false">-1+C3223*0.25</f>
        <v>0.5</v>
      </c>
      <c r="H3223" s="0" t="n">
        <f aca="false">-1+D3223*0.25</f>
        <v>0.25</v>
      </c>
      <c r="I3223" s="0" t="n">
        <f aca="false">1</f>
        <v>1</v>
      </c>
      <c r="J3223" s="0" t="n">
        <f aca="false">E3223</f>
        <v>0</v>
      </c>
      <c r="K3223" s="0" t="n">
        <f aca="false">F3223</f>
        <v>-0.25</v>
      </c>
      <c r="L3223" s="0" t="n">
        <f aca="false">G3223</f>
        <v>0.5</v>
      </c>
      <c r="M3223" s="0" t="n">
        <f aca="false">H3223</f>
        <v>0.25</v>
      </c>
      <c r="N3223" s="0" t="n">
        <f aca="false">E3223*F3223</f>
        <v>-0</v>
      </c>
      <c r="O3223" s="0" t="n">
        <f aca="false">E3223*G3223</f>
        <v>0</v>
      </c>
      <c r="P3223" s="0" t="n">
        <f aca="false">E3223*H3223</f>
        <v>0</v>
      </c>
      <c r="Q3223" s="0" t="n">
        <f aca="false">F3223*G3223</f>
        <v>-0.125</v>
      </c>
      <c r="R3223" s="0" t="n">
        <f aca="false">F3223*H3223</f>
        <v>-0.0625</v>
      </c>
      <c r="S3223" s="0" t="n">
        <f aca="false">G3223*H3223</f>
        <v>0.125</v>
      </c>
      <c r="T3223" s="0" t="n">
        <f aca="false">E3223*E3223</f>
        <v>0</v>
      </c>
      <c r="U3223" s="0" t="n">
        <f aca="false">F3223*F3223</f>
        <v>0.0625</v>
      </c>
      <c r="V3223" s="0" t="n">
        <f aca="false">G3223*G3223</f>
        <v>0.25</v>
      </c>
      <c r="W3223" s="0" t="n">
        <f aca="false">H3223*H3223</f>
        <v>0.0625</v>
      </c>
      <c r="X3223" s="0" t="n">
        <f aca="false">SUMPRODUCT(I3223:W3223,_XtX!$B$96:$P$96)</f>
        <v>47.6315743786549</v>
      </c>
      <c r="Y3223" s="0" t="n">
        <f aca="false">SUMPRODUCT(MMULT(I3223:W3223,_XtX!$B$78:$P$92),I3223:W3223)</f>
        <v>0.118905050712719</v>
      </c>
      <c r="Z3223" s="0" t="n">
        <f aca="false">04_回帰ANOVA!$K$19*04_回帰ANOVA!$K$14*SQRT(1+Y3223)</f>
        <v>1.37878011033769</v>
      </c>
      <c r="AA3223" s="0" t="n">
        <f aca="false">X3223-Z3223</f>
        <v>46.2527942683172</v>
      </c>
      <c r="AB3223" s="0" t="n">
        <f aca="false">X3223+Z3223</f>
        <v>49.0103544889926</v>
      </c>
      <c r="AC3223" s="54" t="b">
        <f aca="false">AND(E3223&gt;=01_因子設定!$L$5-0.000000001,E3223&lt;=01_因子設定!$M$5+0.000000001,F3223&gt;=01_因子設定!$L$6-0.000000001,F3223&lt;=01_因子設定!$M$6+0.000000001,G3223&gt;=01_因子設定!$L$7-0.000000001,G3223&lt;=01_因子設定!$M$7+0.000000001,H3223&gt;=01_因子設定!$L$8-0.000000001,H3223&lt;=01_因子設定!$M$8+0.000000001,IF(01_因子設定!$B$20="Box-Behnken",E3223^2+F3223^2+G3223^2+H3223^2&lt;=2+0.000000001,TRUE()))</f>
        <v>1</v>
      </c>
      <c r="AD3223" s="55" t="n">
        <f aca="false">IF(AC3223,IF(01_因子設定!$B$13="最大化",AA3223-01_因子設定!$B$14,IF(01_因子設定!$B$13="最小化",01_因子設定!$B$15-AB3223,MIN(AA3223-01_因子設定!$B$14,01_因子設定!$B$15-AB3223))),-1E+030)</f>
        <v>-0.247205731682776</v>
      </c>
      <c r="AE3223" s="55" t="n">
        <f aca="false">IF(AC3223,IF(01_因子設定!$B$13="最大化",X3223,IF(01_因子設定!$B$13="最小化",-X3223,-ABS(X3223-01_因子設定!$B$16))),-1E+030)</f>
        <v>47.6315743786549</v>
      </c>
      <c r="AF3223" s="55" t="n">
        <f aca="false">AD3223+ROW()*0.000000001</f>
        <v>-0.247202508682776</v>
      </c>
      <c r="AG3223" s="55" t="n">
        <f aca="false">AE3223+ROW()*0.000000001</f>
        <v>47.6315776016549</v>
      </c>
    </row>
    <row r="3224" customFormat="false" ht="15" hidden="false" customHeight="false" outlineLevel="0" collapsed="false">
      <c r="A3224" s="0" t="n">
        <v>4</v>
      </c>
      <c r="B3224" s="0" t="n">
        <v>3</v>
      </c>
      <c r="C3224" s="0" t="n">
        <v>6</v>
      </c>
      <c r="D3224" s="0" t="n">
        <v>6</v>
      </c>
      <c r="E3224" s="0" t="n">
        <f aca="false">-1+A3224*0.25</f>
        <v>0</v>
      </c>
      <c r="F3224" s="0" t="n">
        <f aca="false">-1+B3224*0.25</f>
        <v>-0.25</v>
      </c>
      <c r="G3224" s="0" t="n">
        <f aca="false">-1+C3224*0.25</f>
        <v>0.5</v>
      </c>
      <c r="H3224" s="0" t="n">
        <f aca="false">-1+D3224*0.25</f>
        <v>0.5</v>
      </c>
      <c r="I3224" s="0" t="n">
        <f aca="false">1</f>
        <v>1</v>
      </c>
      <c r="J3224" s="0" t="n">
        <f aca="false">E3224</f>
        <v>0</v>
      </c>
      <c r="K3224" s="0" t="n">
        <f aca="false">F3224</f>
        <v>-0.25</v>
      </c>
      <c r="L3224" s="0" t="n">
        <f aca="false">G3224</f>
        <v>0.5</v>
      </c>
      <c r="M3224" s="0" t="n">
        <f aca="false">H3224</f>
        <v>0.5</v>
      </c>
      <c r="N3224" s="0" t="n">
        <f aca="false">E3224*F3224</f>
        <v>-0</v>
      </c>
      <c r="O3224" s="0" t="n">
        <f aca="false">E3224*G3224</f>
        <v>0</v>
      </c>
      <c r="P3224" s="0" t="n">
        <f aca="false">E3224*H3224</f>
        <v>0</v>
      </c>
      <c r="Q3224" s="0" t="n">
        <f aca="false">F3224*G3224</f>
        <v>-0.125</v>
      </c>
      <c r="R3224" s="0" t="n">
        <f aca="false">F3224*H3224</f>
        <v>-0.125</v>
      </c>
      <c r="S3224" s="0" t="n">
        <f aca="false">G3224*H3224</f>
        <v>0.25</v>
      </c>
      <c r="T3224" s="0" t="n">
        <f aca="false">E3224*E3224</f>
        <v>0</v>
      </c>
      <c r="U3224" s="0" t="n">
        <f aca="false">F3224*F3224</f>
        <v>0.0625</v>
      </c>
      <c r="V3224" s="0" t="n">
        <f aca="false">G3224*G3224</f>
        <v>0.25</v>
      </c>
      <c r="W3224" s="0" t="n">
        <f aca="false">H3224*H3224</f>
        <v>0.25</v>
      </c>
      <c r="X3224" s="0" t="n">
        <f aca="false">SUMPRODUCT(I3224:W3224,_XtX!$B$96:$P$96)</f>
        <v>47.710471491228</v>
      </c>
      <c r="Y3224" s="0" t="n">
        <f aca="false">SUMPRODUCT(MMULT(I3224:W3224,_XtX!$B$78:$P$92),I3224:W3224)</f>
        <v>0.132367050438597</v>
      </c>
      <c r="Z3224" s="0" t="n">
        <f aca="false">04_回帰ANOVA!$K$19*04_回帰ANOVA!$K$14*SQRT(1+Y3224)</f>
        <v>1.38704964208329</v>
      </c>
      <c r="AA3224" s="0" t="n">
        <f aca="false">X3224-Z3224</f>
        <v>46.3234218491447</v>
      </c>
      <c r="AB3224" s="0" t="n">
        <f aca="false">X3224+Z3224</f>
        <v>49.0975211333113</v>
      </c>
      <c r="AC3224" s="54" t="b">
        <f aca="false">AND(E3224&gt;=01_因子設定!$L$5-0.000000001,E3224&lt;=01_因子設定!$M$5+0.000000001,F3224&gt;=01_因子設定!$L$6-0.000000001,F3224&lt;=01_因子設定!$M$6+0.000000001,G3224&gt;=01_因子設定!$L$7-0.000000001,G3224&lt;=01_因子設定!$M$7+0.000000001,H3224&gt;=01_因子設定!$L$8-0.000000001,H3224&lt;=01_因子設定!$M$8+0.000000001,IF(01_因子設定!$B$20="Box-Behnken",E3224^2+F3224^2+G3224^2+H3224^2&lt;=2+0.000000001,TRUE()))</f>
        <v>1</v>
      </c>
      <c r="AD3224" s="55" t="n">
        <f aca="false">IF(AC3224,IF(01_因子設定!$B$13="最大化",AA3224-01_因子設定!$B$14,IF(01_因子設定!$B$13="最小化",01_因子設定!$B$15-AB3224,MIN(AA3224-01_因子設定!$B$14,01_因子設定!$B$15-AB3224))),-1E+030)</f>
        <v>-0.176578150855278</v>
      </c>
      <c r="AE3224" s="55" t="n">
        <f aca="false">IF(AC3224,IF(01_因子設定!$B$13="最大化",X3224,IF(01_因子設定!$B$13="最小化",-X3224,-ABS(X3224-01_因子設定!$B$16))),-1E+030)</f>
        <v>47.710471491228</v>
      </c>
      <c r="AF3224" s="55" t="n">
        <f aca="false">AD3224+ROW()*0.000000001</f>
        <v>-0.176574926855278</v>
      </c>
      <c r="AG3224" s="55" t="n">
        <f aca="false">AE3224+ROW()*0.000000001</f>
        <v>47.710474715228</v>
      </c>
    </row>
    <row r="3225" customFormat="false" ht="15" hidden="false" customHeight="false" outlineLevel="0" collapsed="false">
      <c r="A3225" s="0" t="n">
        <v>4</v>
      </c>
      <c r="B3225" s="0" t="n">
        <v>3</v>
      </c>
      <c r="C3225" s="0" t="n">
        <v>6</v>
      </c>
      <c r="D3225" s="0" t="n">
        <v>7</v>
      </c>
      <c r="E3225" s="0" t="n">
        <f aca="false">-1+A3225*0.25</f>
        <v>0</v>
      </c>
      <c r="F3225" s="0" t="n">
        <f aca="false">-1+B3225*0.25</f>
        <v>-0.25</v>
      </c>
      <c r="G3225" s="0" t="n">
        <f aca="false">-1+C3225*0.25</f>
        <v>0.5</v>
      </c>
      <c r="H3225" s="0" t="n">
        <f aca="false">-1+D3225*0.25</f>
        <v>0.75</v>
      </c>
      <c r="I3225" s="0" t="n">
        <f aca="false">1</f>
        <v>1</v>
      </c>
      <c r="J3225" s="0" t="n">
        <f aca="false">E3225</f>
        <v>0</v>
      </c>
      <c r="K3225" s="0" t="n">
        <f aca="false">F3225</f>
        <v>-0.25</v>
      </c>
      <c r="L3225" s="0" t="n">
        <f aca="false">G3225</f>
        <v>0.5</v>
      </c>
      <c r="M3225" s="0" t="n">
        <f aca="false">H3225</f>
        <v>0.75</v>
      </c>
      <c r="N3225" s="0" t="n">
        <f aca="false">E3225*F3225</f>
        <v>-0</v>
      </c>
      <c r="O3225" s="0" t="n">
        <f aca="false">E3225*G3225</f>
        <v>0</v>
      </c>
      <c r="P3225" s="0" t="n">
        <f aca="false">E3225*H3225</f>
        <v>0</v>
      </c>
      <c r="Q3225" s="0" t="n">
        <f aca="false">F3225*G3225</f>
        <v>-0.125</v>
      </c>
      <c r="R3225" s="0" t="n">
        <f aca="false">F3225*H3225</f>
        <v>-0.1875</v>
      </c>
      <c r="S3225" s="0" t="n">
        <f aca="false">G3225*H3225</f>
        <v>0.375</v>
      </c>
      <c r="T3225" s="0" t="n">
        <f aca="false">E3225*E3225</f>
        <v>0</v>
      </c>
      <c r="U3225" s="0" t="n">
        <f aca="false">F3225*F3225</f>
        <v>0.0625</v>
      </c>
      <c r="V3225" s="0" t="n">
        <f aca="false">G3225*G3225</f>
        <v>0.25</v>
      </c>
      <c r="W3225" s="0" t="n">
        <f aca="false">H3225*H3225</f>
        <v>0.5625</v>
      </c>
      <c r="X3225" s="0" t="n">
        <f aca="false">SUMPRODUCT(I3225:W3225,_XtX!$B$96:$P$96)</f>
        <v>47.7415615862573</v>
      </c>
      <c r="Y3225" s="0" t="n">
        <f aca="false">SUMPRODUCT(MMULT(I3225:W3225,_XtX!$B$78:$P$92),I3225:W3225)</f>
        <v>0.215110734192252</v>
      </c>
      <c r="Z3225" s="0" t="n">
        <f aca="false">04_回帰ANOVA!$K$19*04_回帰ANOVA!$K$14*SQRT(1+Y3225)</f>
        <v>1.43683309086864</v>
      </c>
      <c r="AA3225" s="0" t="n">
        <f aca="false">X3225-Z3225</f>
        <v>46.3047284953886</v>
      </c>
      <c r="AB3225" s="0" t="n">
        <f aca="false">X3225+Z3225</f>
        <v>49.1783946771259</v>
      </c>
      <c r="AC3225" s="54" t="b">
        <f aca="false">AND(E3225&gt;=01_因子設定!$L$5-0.000000001,E3225&lt;=01_因子設定!$M$5+0.000000001,F3225&gt;=01_因子設定!$L$6-0.000000001,F3225&lt;=01_因子設定!$M$6+0.000000001,G3225&gt;=01_因子設定!$L$7-0.000000001,G3225&lt;=01_因子設定!$M$7+0.000000001,H3225&gt;=01_因子設定!$L$8-0.000000001,H3225&lt;=01_因子設定!$M$8+0.000000001,IF(01_因子設定!$B$20="Box-Behnken",E3225^2+F3225^2+G3225^2+H3225^2&lt;=2+0.000000001,TRUE()))</f>
        <v>1</v>
      </c>
      <c r="AD3225" s="55" t="n">
        <f aca="false">IF(AC3225,IF(01_因子設定!$B$13="最大化",AA3225-01_因子設定!$B$14,IF(01_因子設定!$B$13="最小化",01_因子設定!$B$15-AB3225,MIN(AA3225-01_因子設定!$B$14,01_因子設定!$B$15-AB3225))),-1E+030)</f>
        <v>-0.195271504611384</v>
      </c>
      <c r="AE3225" s="55" t="n">
        <f aca="false">IF(AC3225,IF(01_因子設定!$B$13="最大化",X3225,IF(01_因子設定!$B$13="最小化",-X3225,-ABS(X3225-01_因子設定!$B$16))),-1E+030)</f>
        <v>47.7415615862573</v>
      </c>
      <c r="AF3225" s="55" t="n">
        <f aca="false">AD3225+ROW()*0.000000001</f>
        <v>-0.195268279611384</v>
      </c>
      <c r="AG3225" s="55" t="n">
        <f aca="false">AE3225+ROW()*0.000000001</f>
        <v>47.7415648112573</v>
      </c>
    </row>
    <row r="3226" customFormat="false" ht="15" hidden="false" customHeight="false" outlineLevel="0" collapsed="false">
      <c r="A3226" s="0" t="n">
        <v>4</v>
      </c>
      <c r="B3226" s="0" t="n">
        <v>3</v>
      </c>
      <c r="C3226" s="0" t="n">
        <v>6</v>
      </c>
      <c r="D3226" s="0" t="n">
        <v>8</v>
      </c>
      <c r="E3226" s="0" t="n">
        <f aca="false">-1+A3226*0.25</f>
        <v>0</v>
      </c>
      <c r="F3226" s="0" t="n">
        <f aca="false">-1+B3226*0.25</f>
        <v>-0.25</v>
      </c>
      <c r="G3226" s="0" t="n">
        <f aca="false">-1+C3226*0.25</f>
        <v>0.5</v>
      </c>
      <c r="H3226" s="0" t="n">
        <f aca="false">-1+D3226*0.25</f>
        <v>1</v>
      </c>
      <c r="I3226" s="0" t="n">
        <f aca="false">1</f>
        <v>1</v>
      </c>
      <c r="J3226" s="0" t="n">
        <f aca="false">E3226</f>
        <v>0</v>
      </c>
      <c r="K3226" s="0" t="n">
        <f aca="false">F3226</f>
        <v>-0.25</v>
      </c>
      <c r="L3226" s="0" t="n">
        <f aca="false">G3226</f>
        <v>0.5</v>
      </c>
      <c r="M3226" s="0" t="n">
        <f aca="false">H3226</f>
        <v>1</v>
      </c>
      <c r="N3226" s="0" t="n">
        <f aca="false">E3226*F3226</f>
        <v>-0</v>
      </c>
      <c r="O3226" s="0" t="n">
        <f aca="false">E3226*G3226</f>
        <v>0</v>
      </c>
      <c r="P3226" s="0" t="n">
        <f aca="false">E3226*H3226</f>
        <v>0</v>
      </c>
      <c r="Q3226" s="0" t="n">
        <f aca="false">F3226*G3226</f>
        <v>-0.125</v>
      </c>
      <c r="R3226" s="0" t="n">
        <f aca="false">F3226*H3226</f>
        <v>-0.25</v>
      </c>
      <c r="S3226" s="0" t="n">
        <f aca="false">G3226*H3226</f>
        <v>0.5</v>
      </c>
      <c r="T3226" s="0" t="n">
        <f aca="false">E3226*E3226</f>
        <v>0</v>
      </c>
      <c r="U3226" s="0" t="n">
        <f aca="false">F3226*F3226</f>
        <v>0.0625</v>
      </c>
      <c r="V3226" s="0" t="n">
        <f aca="false">G3226*G3226</f>
        <v>0.25</v>
      </c>
      <c r="W3226" s="0" t="n">
        <f aca="false">H3226*H3226</f>
        <v>1</v>
      </c>
      <c r="X3226" s="0" t="n">
        <f aca="false">SUMPRODUCT(I3226:W3226,_XtX!$B$96:$P$96)</f>
        <v>47.7248446637427</v>
      </c>
      <c r="Y3226" s="0" t="n">
        <f aca="false">SUMPRODUCT(MMULT(I3226:W3226,_XtX!$B$78:$P$92),I3226:W3226)</f>
        <v>0.457596628289474</v>
      </c>
      <c r="Z3226" s="0" t="n">
        <f aca="false">04_回帰ANOVA!$K$19*04_回帰ANOVA!$K$14*SQRT(1+Y3226)</f>
        <v>1.57368233664366</v>
      </c>
      <c r="AA3226" s="0" t="n">
        <f aca="false">X3226-Z3226</f>
        <v>46.151162327099</v>
      </c>
      <c r="AB3226" s="0" t="n">
        <f aca="false">X3226+Z3226</f>
        <v>49.2985270003863</v>
      </c>
      <c r="AC3226" s="54" t="b">
        <f aca="false">AND(E3226&gt;=01_因子設定!$L$5-0.000000001,E3226&lt;=01_因子設定!$M$5+0.000000001,F3226&gt;=01_因子設定!$L$6-0.000000001,F3226&lt;=01_因子設定!$M$6+0.000000001,G3226&gt;=01_因子設定!$L$7-0.000000001,G3226&lt;=01_因子設定!$M$7+0.000000001,H3226&gt;=01_因子設定!$L$8-0.000000001,H3226&lt;=01_因子設定!$M$8+0.000000001,IF(01_因子設定!$B$20="Box-Behnken",E3226^2+F3226^2+G3226^2+H3226^2&lt;=2+0.000000001,TRUE()))</f>
        <v>1</v>
      </c>
      <c r="AD3226" s="55" t="n">
        <f aca="false">IF(AC3226,IF(01_因子設定!$B$13="最大化",AA3226-01_因子設定!$B$14,IF(01_因子設定!$B$13="最小化",01_因子設定!$B$15-AB3226,MIN(AA3226-01_因子設定!$B$14,01_因子設定!$B$15-AB3226))),-1E+030)</f>
        <v>-0.348837672900999</v>
      </c>
      <c r="AE3226" s="55" t="n">
        <f aca="false">IF(AC3226,IF(01_因子設定!$B$13="最大化",X3226,IF(01_因子設定!$B$13="最小化",-X3226,-ABS(X3226-01_因子設定!$B$16))),-1E+030)</f>
        <v>47.7248446637427</v>
      </c>
      <c r="AF3226" s="55" t="n">
        <f aca="false">AD3226+ROW()*0.000000001</f>
        <v>-0.348834446900999</v>
      </c>
      <c r="AG3226" s="55" t="n">
        <f aca="false">AE3226+ROW()*0.000000001</f>
        <v>47.7248478897427</v>
      </c>
    </row>
    <row r="3227" customFormat="false" ht="15" hidden="false" customHeight="false" outlineLevel="0" collapsed="false">
      <c r="A3227" s="0" t="n">
        <v>4</v>
      </c>
      <c r="B3227" s="0" t="n">
        <v>3</v>
      </c>
      <c r="C3227" s="0" t="n">
        <v>7</v>
      </c>
      <c r="D3227" s="0" t="n">
        <v>0</v>
      </c>
      <c r="E3227" s="0" t="n">
        <f aca="false">-1+A3227*0.25</f>
        <v>0</v>
      </c>
      <c r="F3227" s="0" t="n">
        <f aca="false">-1+B3227*0.25</f>
        <v>-0.25</v>
      </c>
      <c r="G3227" s="0" t="n">
        <f aca="false">-1+C3227*0.25</f>
        <v>0.75</v>
      </c>
      <c r="H3227" s="0" t="n">
        <f aca="false">-1+D3227*0.25</f>
        <v>-1</v>
      </c>
      <c r="I3227" s="0" t="n">
        <f aca="false">1</f>
        <v>1</v>
      </c>
      <c r="J3227" s="0" t="n">
        <f aca="false">E3227</f>
        <v>0</v>
      </c>
      <c r="K3227" s="0" t="n">
        <f aca="false">F3227</f>
        <v>-0.25</v>
      </c>
      <c r="L3227" s="0" t="n">
        <f aca="false">G3227</f>
        <v>0.75</v>
      </c>
      <c r="M3227" s="0" t="n">
        <f aca="false">H3227</f>
        <v>-1</v>
      </c>
      <c r="N3227" s="0" t="n">
        <f aca="false">E3227*F3227</f>
        <v>-0</v>
      </c>
      <c r="O3227" s="0" t="n">
        <f aca="false">E3227*G3227</f>
        <v>0</v>
      </c>
      <c r="P3227" s="0" t="n">
        <f aca="false">E3227*H3227</f>
        <v>-0</v>
      </c>
      <c r="Q3227" s="0" t="n">
        <f aca="false">F3227*G3227</f>
        <v>-0.1875</v>
      </c>
      <c r="R3227" s="0" t="n">
        <f aca="false">F3227*H3227</f>
        <v>0.25</v>
      </c>
      <c r="S3227" s="0" t="n">
        <f aca="false">G3227*H3227</f>
        <v>-0.75</v>
      </c>
      <c r="T3227" s="0" t="n">
        <f aca="false">E3227*E3227</f>
        <v>0</v>
      </c>
      <c r="U3227" s="0" t="n">
        <f aca="false">F3227*F3227</f>
        <v>0.0625</v>
      </c>
      <c r="V3227" s="0" t="n">
        <f aca="false">G3227*G3227</f>
        <v>0.5625</v>
      </c>
      <c r="W3227" s="0" t="n">
        <f aca="false">H3227*H3227</f>
        <v>1</v>
      </c>
      <c r="X3227" s="0" t="n">
        <f aca="false">SUMPRODUCT(I3227:W3227,_XtX!$B$96:$P$96)</f>
        <v>46.4611430921052</v>
      </c>
      <c r="Y3227" s="0" t="n">
        <f aca="false">SUMPRODUCT(MMULT(I3227:W3227,_XtX!$B$78:$P$92),I3227:W3227)</f>
        <v>0.501534802174708</v>
      </c>
      <c r="Z3227" s="0" t="n">
        <f aca="false">04_回帰ANOVA!$K$19*04_回帰ANOVA!$K$14*SQRT(1+Y3227)</f>
        <v>1.59722498091333</v>
      </c>
      <c r="AA3227" s="0" t="n">
        <f aca="false">X3227-Z3227</f>
        <v>44.8639181111919</v>
      </c>
      <c r="AB3227" s="0" t="n">
        <f aca="false">X3227+Z3227</f>
        <v>48.0583680730186</v>
      </c>
      <c r="AC3227" s="54" t="b">
        <f aca="false">AND(E3227&gt;=01_因子設定!$L$5-0.000000001,E3227&lt;=01_因子設定!$M$5+0.000000001,F3227&gt;=01_因子設定!$L$6-0.000000001,F3227&lt;=01_因子設定!$M$6+0.000000001,G3227&gt;=01_因子設定!$L$7-0.000000001,G3227&lt;=01_因子設定!$M$7+0.000000001,H3227&gt;=01_因子設定!$L$8-0.000000001,H3227&lt;=01_因子設定!$M$8+0.000000001,IF(01_因子設定!$B$20="Box-Behnken",E3227^2+F3227^2+G3227^2+H3227^2&lt;=2+0.000000001,TRUE()))</f>
        <v>1</v>
      </c>
      <c r="AD3227" s="55" t="n">
        <f aca="false">IF(AC3227,IF(01_因子設定!$B$13="最大化",AA3227-01_因子設定!$B$14,IF(01_因子設定!$B$13="最小化",01_因子設定!$B$15-AB3227,MIN(AA3227-01_因子設定!$B$14,01_因子設定!$B$15-AB3227))),-1E+030)</f>
        <v>-1.63608188880809</v>
      </c>
      <c r="AE3227" s="55" t="n">
        <f aca="false">IF(AC3227,IF(01_因子設定!$B$13="最大化",X3227,IF(01_因子設定!$B$13="最小化",-X3227,-ABS(X3227-01_因子設定!$B$16))),-1E+030)</f>
        <v>46.4611430921052</v>
      </c>
      <c r="AF3227" s="55" t="n">
        <f aca="false">AD3227+ROW()*0.000000001</f>
        <v>-1.63607866180809</v>
      </c>
      <c r="AG3227" s="55" t="n">
        <f aca="false">AE3227+ROW()*0.000000001</f>
        <v>46.4611463191052</v>
      </c>
    </row>
    <row r="3228" customFormat="false" ht="15" hidden="false" customHeight="false" outlineLevel="0" collapsed="false">
      <c r="A3228" s="0" t="n">
        <v>4</v>
      </c>
      <c r="B3228" s="0" t="n">
        <v>3</v>
      </c>
      <c r="C3228" s="0" t="n">
        <v>7</v>
      </c>
      <c r="D3228" s="0" t="n">
        <v>1</v>
      </c>
      <c r="E3228" s="0" t="n">
        <f aca="false">-1+A3228*0.25</f>
        <v>0</v>
      </c>
      <c r="F3228" s="0" t="n">
        <f aca="false">-1+B3228*0.25</f>
        <v>-0.25</v>
      </c>
      <c r="G3228" s="0" t="n">
        <f aca="false">-1+C3228*0.25</f>
        <v>0.75</v>
      </c>
      <c r="H3228" s="0" t="n">
        <f aca="false">-1+D3228*0.25</f>
        <v>-0.75</v>
      </c>
      <c r="I3228" s="0" t="n">
        <f aca="false">1</f>
        <v>1</v>
      </c>
      <c r="J3228" s="0" t="n">
        <f aca="false">E3228</f>
        <v>0</v>
      </c>
      <c r="K3228" s="0" t="n">
        <f aca="false">F3228</f>
        <v>-0.25</v>
      </c>
      <c r="L3228" s="0" t="n">
        <f aca="false">G3228</f>
        <v>0.75</v>
      </c>
      <c r="M3228" s="0" t="n">
        <f aca="false">H3228</f>
        <v>-0.75</v>
      </c>
      <c r="N3228" s="0" t="n">
        <f aca="false">E3228*F3228</f>
        <v>-0</v>
      </c>
      <c r="O3228" s="0" t="n">
        <f aca="false">E3228*G3228</f>
        <v>0</v>
      </c>
      <c r="P3228" s="0" t="n">
        <f aca="false">E3228*H3228</f>
        <v>-0</v>
      </c>
      <c r="Q3228" s="0" t="n">
        <f aca="false">F3228*G3228</f>
        <v>-0.1875</v>
      </c>
      <c r="R3228" s="0" t="n">
        <f aca="false">F3228*H3228</f>
        <v>0.1875</v>
      </c>
      <c r="S3228" s="0" t="n">
        <f aca="false">G3228*H3228</f>
        <v>-0.5625</v>
      </c>
      <c r="T3228" s="0" t="n">
        <f aca="false">E3228*E3228</f>
        <v>0</v>
      </c>
      <c r="U3228" s="0" t="n">
        <f aca="false">F3228*F3228</f>
        <v>0.0625</v>
      </c>
      <c r="V3228" s="0" t="n">
        <f aca="false">G3228*G3228</f>
        <v>0.5625</v>
      </c>
      <c r="W3228" s="0" t="n">
        <f aca="false">H3228*H3228</f>
        <v>0.5625</v>
      </c>
      <c r="X3228" s="0" t="n">
        <f aca="false">SUMPRODUCT(I3228:W3228,_XtX!$B$96:$P$96)</f>
        <v>46.7970440423976</v>
      </c>
      <c r="Y3228" s="0" t="n">
        <f aca="false">SUMPRODUCT(MMULT(I3228:W3228,_XtX!$B$78:$P$92),I3228:W3228)</f>
        <v>0.281685455500731</v>
      </c>
      <c r="Z3228" s="0" t="n">
        <f aca="false">04_回帰ANOVA!$K$19*04_回帰ANOVA!$K$14*SQRT(1+Y3228)</f>
        <v>1.47566956658694</v>
      </c>
      <c r="AA3228" s="0" t="n">
        <f aca="false">X3228-Z3228</f>
        <v>45.3213744758107</v>
      </c>
      <c r="AB3228" s="0" t="n">
        <f aca="false">X3228+Z3228</f>
        <v>48.2727136089846</v>
      </c>
      <c r="AC3228" s="54" t="b">
        <f aca="false">AND(E3228&gt;=01_因子設定!$L$5-0.000000001,E3228&lt;=01_因子設定!$M$5+0.000000001,F3228&gt;=01_因子設定!$L$6-0.000000001,F3228&lt;=01_因子設定!$M$6+0.000000001,G3228&gt;=01_因子設定!$L$7-0.000000001,G3228&lt;=01_因子設定!$M$7+0.000000001,H3228&gt;=01_因子設定!$L$8-0.000000001,H3228&lt;=01_因子設定!$M$8+0.000000001,IF(01_因子設定!$B$20="Box-Behnken",E3228^2+F3228^2+G3228^2+H3228^2&lt;=2+0.000000001,TRUE()))</f>
        <v>1</v>
      </c>
      <c r="AD3228" s="55" t="n">
        <f aca="false">IF(AC3228,IF(01_因子設定!$B$13="最大化",AA3228-01_因子設定!$B$14,IF(01_因子設定!$B$13="最小化",01_因子設定!$B$15-AB3228,MIN(AA3228-01_因子設定!$B$14,01_因子設定!$B$15-AB3228))),-1E+030)</f>
        <v>-1.17862552418932</v>
      </c>
      <c r="AE3228" s="55" t="n">
        <f aca="false">IF(AC3228,IF(01_因子設定!$B$13="最大化",X3228,IF(01_因子設定!$B$13="最小化",-X3228,-ABS(X3228-01_因子設定!$B$16))),-1E+030)</f>
        <v>46.7970440423976</v>
      </c>
      <c r="AF3228" s="55" t="n">
        <f aca="false">AD3228+ROW()*0.000000001</f>
        <v>-1.17862229618932</v>
      </c>
      <c r="AG3228" s="55" t="n">
        <f aca="false">AE3228+ROW()*0.000000001</f>
        <v>46.7970472703976</v>
      </c>
    </row>
    <row r="3229" customFormat="false" ht="15" hidden="false" customHeight="false" outlineLevel="0" collapsed="false">
      <c r="A3229" s="0" t="n">
        <v>4</v>
      </c>
      <c r="B3229" s="0" t="n">
        <v>3</v>
      </c>
      <c r="C3229" s="0" t="n">
        <v>7</v>
      </c>
      <c r="D3229" s="0" t="n">
        <v>2</v>
      </c>
      <c r="E3229" s="0" t="n">
        <f aca="false">-1+A3229*0.25</f>
        <v>0</v>
      </c>
      <c r="F3229" s="0" t="n">
        <f aca="false">-1+B3229*0.25</f>
        <v>-0.25</v>
      </c>
      <c r="G3229" s="0" t="n">
        <f aca="false">-1+C3229*0.25</f>
        <v>0.75</v>
      </c>
      <c r="H3229" s="0" t="n">
        <f aca="false">-1+D3229*0.25</f>
        <v>-0.5</v>
      </c>
      <c r="I3229" s="0" t="n">
        <f aca="false">1</f>
        <v>1</v>
      </c>
      <c r="J3229" s="0" t="n">
        <f aca="false">E3229</f>
        <v>0</v>
      </c>
      <c r="K3229" s="0" t="n">
        <f aca="false">F3229</f>
        <v>-0.25</v>
      </c>
      <c r="L3229" s="0" t="n">
        <f aca="false">G3229</f>
        <v>0.75</v>
      </c>
      <c r="M3229" s="0" t="n">
        <f aca="false">H3229</f>
        <v>-0.5</v>
      </c>
      <c r="N3229" s="0" t="n">
        <f aca="false">E3229*F3229</f>
        <v>-0</v>
      </c>
      <c r="O3229" s="0" t="n">
        <f aca="false">E3229*G3229</f>
        <v>0</v>
      </c>
      <c r="P3229" s="0" t="n">
        <f aca="false">E3229*H3229</f>
        <v>-0</v>
      </c>
      <c r="Q3229" s="0" t="n">
        <f aca="false">F3229*G3229</f>
        <v>-0.1875</v>
      </c>
      <c r="R3229" s="0" t="n">
        <f aca="false">F3229*H3229</f>
        <v>0.125</v>
      </c>
      <c r="S3229" s="0" t="n">
        <f aca="false">G3229*H3229</f>
        <v>-0.375</v>
      </c>
      <c r="T3229" s="0" t="n">
        <f aca="false">E3229*E3229</f>
        <v>0</v>
      </c>
      <c r="U3229" s="0" t="n">
        <f aca="false">F3229*F3229</f>
        <v>0.0625</v>
      </c>
      <c r="V3229" s="0" t="n">
        <f aca="false">G3229*G3229</f>
        <v>0.5625</v>
      </c>
      <c r="W3229" s="0" t="n">
        <f aca="false">H3229*H3229</f>
        <v>0.25</v>
      </c>
      <c r="X3229" s="0" t="n">
        <f aca="false">SUMPRODUCT(I3229:W3229,_XtX!$B$96:$P$96)</f>
        <v>47.0851379751462</v>
      </c>
      <c r="Y3229" s="0" t="n">
        <f aca="false">SUMPRODUCT(MMULT(I3229:W3229,_XtX!$B$78:$P$92),I3229:W3229)</f>
        <v>0.215110734192252</v>
      </c>
      <c r="Z3229" s="0" t="n">
        <f aca="false">04_回帰ANOVA!$K$19*04_回帰ANOVA!$K$14*SQRT(1+Y3229)</f>
        <v>1.43683309086864</v>
      </c>
      <c r="AA3229" s="0" t="n">
        <f aca="false">X3229-Z3229</f>
        <v>45.6483048842775</v>
      </c>
      <c r="AB3229" s="0" t="n">
        <f aca="false">X3229+Z3229</f>
        <v>48.5219710660148</v>
      </c>
      <c r="AC3229" s="54" t="b">
        <f aca="false">AND(E3229&gt;=01_因子設定!$L$5-0.000000001,E3229&lt;=01_因子設定!$M$5+0.000000001,F3229&gt;=01_因子設定!$L$6-0.000000001,F3229&lt;=01_因子設定!$M$6+0.000000001,G3229&gt;=01_因子設定!$L$7-0.000000001,G3229&lt;=01_因子設定!$M$7+0.000000001,H3229&gt;=01_因子設定!$L$8-0.000000001,H3229&lt;=01_因子設定!$M$8+0.000000001,IF(01_因子設定!$B$20="Box-Behnken",E3229^2+F3229^2+G3229^2+H3229^2&lt;=2+0.000000001,TRUE()))</f>
        <v>1</v>
      </c>
      <c r="AD3229" s="55" t="n">
        <f aca="false">IF(AC3229,IF(01_因子設定!$B$13="最大化",AA3229-01_因子設定!$B$14,IF(01_因子設定!$B$13="最小化",01_因子設定!$B$15-AB3229,MIN(AA3229-01_因子設定!$B$14,01_因子設定!$B$15-AB3229))),-1E+030)</f>
        <v>-0.8516951157225</v>
      </c>
      <c r="AE3229" s="55" t="n">
        <f aca="false">IF(AC3229,IF(01_因子設定!$B$13="最大化",X3229,IF(01_因子設定!$B$13="最小化",-X3229,-ABS(X3229-01_因子設定!$B$16))),-1E+030)</f>
        <v>47.0851379751462</v>
      </c>
      <c r="AF3229" s="55" t="n">
        <f aca="false">AD3229+ROW()*0.000000001</f>
        <v>-0.851691886722499</v>
      </c>
      <c r="AG3229" s="55" t="n">
        <f aca="false">AE3229+ROW()*0.000000001</f>
        <v>47.0851412041462</v>
      </c>
    </row>
    <row r="3230" customFormat="false" ht="15" hidden="false" customHeight="false" outlineLevel="0" collapsed="false">
      <c r="A3230" s="0" t="n">
        <v>4</v>
      </c>
      <c r="B3230" s="0" t="n">
        <v>3</v>
      </c>
      <c r="C3230" s="0" t="n">
        <v>7</v>
      </c>
      <c r="D3230" s="0" t="n">
        <v>3</v>
      </c>
      <c r="E3230" s="0" t="n">
        <f aca="false">-1+A3230*0.25</f>
        <v>0</v>
      </c>
      <c r="F3230" s="0" t="n">
        <f aca="false">-1+B3230*0.25</f>
        <v>-0.25</v>
      </c>
      <c r="G3230" s="0" t="n">
        <f aca="false">-1+C3230*0.25</f>
        <v>0.75</v>
      </c>
      <c r="H3230" s="0" t="n">
        <f aca="false">-1+D3230*0.25</f>
        <v>-0.25</v>
      </c>
      <c r="I3230" s="0" t="n">
        <f aca="false">1</f>
        <v>1</v>
      </c>
      <c r="J3230" s="0" t="n">
        <f aca="false">E3230</f>
        <v>0</v>
      </c>
      <c r="K3230" s="0" t="n">
        <f aca="false">F3230</f>
        <v>-0.25</v>
      </c>
      <c r="L3230" s="0" t="n">
        <f aca="false">G3230</f>
        <v>0.75</v>
      </c>
      <c r="M3230" s="0" t="n">
        <f aca="false">H3230</f>
        <v>-0.25</v>
      </c>
      <c r="N3230" s="0" t="n">
        <f aca="false">E3230*F3230</f>
        <v>-0</v>
      </c>
      <c r="O3230" s="0" t="n">
        <f aca="false">E3230*G3230</f>
        <v>0</v>
      </c>
      <c r="P3230" s="0" t="n">
        <f aca="false">E3230*H3230</f>
        <v>-0</v>
      </c>
      <c r="Q3230" s="0" t="n">
        <f aca="false">F3230*G3230</f>
        <v>-0.1875</v>
      </c>
      <c r="R3230" s="0" t="n">
        <f aca="false">F3230*H3230</f>
        <v>0.0625</v>
      </c>
      <c r="S3230" s="0" t="n">
        <f aca="false">G3230*H3230</f>
        <v>-0.1875</v>
      </c>
      <c r="T3230" s="0" t="n">
        <f aca="false">E3230*E3230</f>
        <v>0</v>
      </c>
      <c r="U3230" s="0" t="n">
        <f aca="false">F3230*F3230</f>
        <v>0.0625</v>
      </c>
      <c r="V3230" s="0" t="n">
        <f aca="false">G3230*G3230</f>
        <v>0.5625</v>
      </c>
      <c r="W3230" s="0" t="n">
        <f aca="false">H3230*H3230</f>
        <v>0.0625</v>
      </c>
      <c r="X3230" s="0" t="n">
        <f aca="false">SUMPRODUCT(I3230:W3230,_XtX!$B$96:$P$96)</f>
        <v>47.3254248903508</v>
      </c>
      <c r="Y3230" s="0" t="n">
        <f aca="false">SUMPRODUCT(MMULT(I3230:W3230,_XtX!$B$78:$P$92),I3230:W3230)</f>
        <v>0.21135011193348</v>
      </c>
      <c r="Z3230" s="0" t="n">
        <f aca="false">04_回帰ANOVA!$K$19*04_回帰ANOVA!$K$14*SQRT(1+Y3230)</f>
        <v>1.43460795469709</v>
      </c>
      <c r="AA3230" s="0" t="n">
        <f aca="false">X3230-Z3230</f>
        <v>45.8908169356537</v>
      </c>
      <c r="AB3230" s="0" t="n">
        <f aca="false">X3230+Z3230</f>
        <v>48.7600328450479</v>
      </c>
      <c r="AC3230" s="54" t="b">
        <f aca="false">AND(E3230&gt;=01_因子設定!$L$5-0.000000001,E3230&lt;=01_因子設定!$M$5+0.000000001,F3230&gt;=01_因子設定!$L$6-0.000000001,F3230&lt;=01_因子設定!$M$6+0.000000001,G3230&gt;=01_因子設定!$L$7-0.000000001,G3230&lt;=01_因子設定!$M$7+0.000000001,H3230&gt;=01_因子設定!$L$8-0.000000001,H3230&lt;=01_因子設定!$M$8+0.000000001,IF(01_因子設定!$B$20="Box-Behnken",E3230^2+F3230^2+G3230^2+H3230^2&lt;=2+0.000000001,TRUE()))</f>
        <v>1</v>
      </c>
      <c r="AD3230" s="55" t="n">
        <f aca="false">IF(AC3230,IF(01_因子設定!$B$13="最大化",AA3230-01_因子設定!$B$14,IF(01_因子設定!$B$13="最小化",01_因子設定!$B$15-AB3230,MIN(AA3230-01_因子設定!$B$14,01_因子設定!$B$15-AB3230))),-1E+030)</f>
        <v>-0.609183064346269</v>
      </c>
      <c r="AE3230" s="55" t="n">
        <f aca="false">IF(AC3230,IF(01_因子設定!$B$13="最大化",X3230,IF(01_因子設定!$B$13="最小化",-X3230,-ABS(X3230-01_因子設定!$B$16))),-1E+030)</f>
        <v>47.3254248903508</v>
      </c>
      <c r="AF3230" s="55" t="n">
        <f aca="false">AD3230+ROW()*0.000000001</f>
        <v>-0.609179834346269</v>
      </c>
      <c r="AG3230" s="55" t="n">
        <f aca="false">AE3230+ROW()*0.000000001</f>
        <v>47.3254281203508</v>
      </c>
    </row>
    <row r="3231" customFormat="false" ht="15" hidden="false" customHeight="false" outlineLevel="0" collapsed="false">
      <c r="A3231" s="0" t="n">
        <v>4</v>
      </c>
      <c r="B3231" s="0" t="n">
        <v>3</v>
      </c>
      <c r="C3231" s="0" t="n">
        <v>7</v>
      </c>
      <c r="D3231" s="0" t="n">
        <v>4</v>
      </c>
      <c r="E3231" s="0" t="n">
        <f aca="false">-1+A3231*0.25</f>
        <v>0</v>
      </c>
      <c r="F3231" s="0" t="n">
        <f aca="false">-1+B3231*0.25</f>
        <v>-0.25</v>
      </c>
      <c r="G3231" s="0" t="n">
        <f aca="false">-1+C3231*0.25</f>
        <v>0.75</v>
      </c>
      <c r="H3231" s="0" t="n">
        <f aca="false">-1+D3231*0.25</f>
        <v>0</v>
      </c>
      <c r="I3231" s="0" t="n">
        <f aca="false">1</f>
        <v>1</v>
      </c>
      <c r="J3231" s="0" t="n">
        <f aca="false">E3231</f>
        <v>0</v>
      </c>
      <c r="K3231" s="0" t="n">
        <f aca="false">F3231</f>
        <v>-0.25</v>
      </c>
      <c r="L3231" s="0" t="n">
        <f aca="false">G3231</f>
        <v>0.75</v>
      </c>
      <c r="M3231" s="0" t="n">
        <f aca="false">H3231</f>
        <v>0</v>
      </c>
      <c r="N3231" s="0" t="n">
        <f aca="false">E3231*F3231</f>
        <v>-0</v>
      </c>
      <c r="O3231" s="0" t="n">
        <f aca="false">E3231*G3231</f>
        <v>0</v>
      </c>
      <c r="P3231" s="0" t="n">
        <f aca="false">E3231*H3231</f>
        <v>0</v>
      </c>
      <c r="Q3231" s="0" t="n">
        <f aca="false">F3231*G3231</f>
        <v>-0.1875</v>
      </c>
      <c r="R3231" s="0" t="n">
        <f aca="false">F3231*H3231</f>
        <v>-0</v>
      </c>
      <c r="S3231" s="0" t="n">
        <f aca="false">G3231*H3231</f>
        <v>0</v>
      </c>
      <c r="T3231" s="0" t="n">
        <f aca="false">E3231*E3231</f>
        <v>0</v>
      </c>
      <c r="U3231" s="0" t="n">
        <f aca="false">F3231*F3231</f>
        <v>0.0625</v>
      </c>
      <c r="V3231" s="0" t="n">
        <f aca="false">G3231*G3231</f>
        <v>0.5625</v>
      </c>
      <c r="W3231" s="0" t="n">
        <f aca="false">H3231*H3231</f>
        <v>0</v>
      </c>
      <c r="X3231" s="0" t="n">
        <f aca="false">SUMPRODUCT(I3231:W3231,_XtX!$B$96:$P$96)</f>
        <v>47.5179047880116</v>
      </c>
      <c r="Y3231" s="0" t="n">
        <f aca="false">SUMPRODUCT(MMULT(I3231:W3231,_XtX!$B$78:$P$92),I3231:W3231)</f>
        <v>0.216127272934942</v>
      </c>
      <c r="Z3231" s="0" t="n">
        <f aca="false">04_回帰ANOVA!$K$19*04_回帰ANOVA!$K$14*SQRT(1+Y3231)</f>
        <v>1.43743397896608</v>
      </c>
      <c r="AA3231" s="0" t="n">
        <f aca="false">X3231-Z3231</f>
        <v>46.0804708090456</v>
      </c>
      <c r="AB3231" s="0" t="n">
        <f aca="false">X3231+Z3231</f>
        <v>48.9553387669777</v>
      </c>
      <c r="AC3231" s="54" t="b">
        <f aca="false">AND(E3231&gt;=01_因子設定!$L$5-0.000000001,E3231&lt;=01_因子設定!$M$5+0.000000001,F3231&gt;=01_因子設定!$L$6-0.000000001,F3231&lt;=01_因子設定!$M$6+0.000000001,G3231&gt;=01_因子設定!$L$7-0.000000001,G3231&lt;=01_因子設定!$M$7+0.000000001,H3231&gt;=01_因子設定!$L$8-0.000000001,H3231&lt;=01_因子設定!$M$8+0.000000001,IF(01_因子設定!$B$20="Box-Behnken",E3231^2+F3231^2+G3231^2+H3231^2&lt;=2+0.000000001,TRUE()))</f>
        <v>1</v>
      </c>
      <c r="AD3231" s="55" t="n">
        <f aca="false">IF(AC3231,IF(01_因子設定!$B$13="最大化",AA3231-01_因子設定!$B$14,IF(01_因子設定!$B$13="最小化",01_因子設定!$B$15-AB3231,MIN(AA3231-01_因子設定!$B$14,01_因子設定!$B$15-AB3231))),-1E+030)</f>
        <v>-0.419529190954442</v>
      </c>
      <c r="AE3231" s="55" t="n">
        <f aca="false">IF(AC3231,IF(01_因子設定!$B$13="最大化",X3231,IF(01_因子設定!$B$13="最小化",-X3231,-ABS(X3231-01_因子設定!$B$16))),-1E+030)</f>
        <v>47.5179047880116</v>
      </c>
      <c r="AF3231" s="55" t="n">
        <f aca="false">AD3231+ROW()*0.000000001</f>
        <v>-0.419525959954442</v>
      </c>
      <c r="AG3231" s="55" t="n">
        <f aca="false">AE3231+ROW()*0.000000001</f>
        <v>47.5179080190116</v>
      </c>
    </row>
    <row r="3232" customFormat="false" ht="15" hidden="false" customHeight="false" outlineLevel="0" collapsed="false">
      <c r="A3232" s="0" t="n">
        <v>4</v>
      </c>
      <c r="B3232" s="0" t="n">
        <v>3</v>
      </c>
      <c r="C3232" s="0" t="n">
        <v>7</v>
      </c>
      <c r="D3232" s="0" t="n">
        <v>5</v>
      </c>
      <c r="E3232" s="0" t="n">
        <f aca="false">-1+A3232*0.25</f>
        <v>0</v>
      </c>
      <c r="F3232" s="0" t="n">
        <f aca="false">-1+B3232*0.25</f>
        <v>-0.25</v>
      </c>
      <c r="G3232" s="0" t="n">
        <f aca="false">-1+C3232*0.25</f>
        <v>0.75</v>
      </c>
      <c r="H3232" s="0" t="n">
        <f aca="false">-1+D3232*0.25</f>
        <v>0.25</v>
      </c>
      <c r="I3232" s="0" t="n">
        <f aca="false">1</f>
        <v>1</v>
      </c>
      <c r="J3232" s="0" t="n">
        <f aca="false">E3232</f>
        <v>0</v>
      </c>
      <c r="K3232" s="0" t="n">
        <f aca="false">F3232</f>
        <v>-0.25</v>
      </c>
      <c r="L3232" s="0" t="n">
        <f aca="false">G3232</f>
        <v>0.75</v>
      </c>
      <c r="M3232" s="0" t="n">
        <f aca="false">H3232</f>
        <v>0.25</v>
      </c>
      <c r="N3232" s="0" t="n">
        <f aca="false">E3232*F3232</f>
        <v>-0</v>
      </c>
      <c r="O3232" s="0" t="n">
        <f aca="false">E3232*G3232</f>
        <v>0</v>
      </c>
      <c r="P3232" s="0" t="n">
        <f aca="false">E3232*H3232</f>
        <v>0</v>
      </c>
      <c r="Q3232" s="0" t="n">
        <f aca="false">F3232*G3232</f>
        <v>-0.1875</v>
      </c>
      <c r="R3232" s="0" t="n">
        <f aca="false">F3232*H3232</f>
        <v>-0.0625</v>
      </c>
      <c r="S3232" s="0" t="n">
        <f aca="false">G3232*H3232</f>
        <v>0.1875</v>
      </c>
      <c r="T3232" s="0" t="n">
        <f aca="false">E3232*E3232</f>
        <v>0</v>
      </c>
      <c r="U3232" s="0" t="n">
        <f aca="false">F3232*F3232</f>
        <v>0.0625</v>
      </c>
      <c r="V3232" s="0" t="n">
        <f aca="false">G3232*G3232</f>
        <v>0.5625</v>
      </c>
      <c r="W3232" s="0" t="n">
        <f aca="false">H3232*H3232</f>
        <v>0.0625</v>
      </c>
      <c r="X3232" s="0" t="n">
        <f aca="false">SUMPRODUCT(I3232:W3232,_XtX!$B$96:$P$96)</f>
        <v>47.6625776681286</v>
      </c>
      <c r="Y3232" s="0" t="n">
        <f aca="false">SUMPRODUCT(MMULT(I3232:W3232,_XtX!$B$78:$P$92),I3232:W3232)</f>
        <v>0.21135011193348</v>
      </c>
      <c r="Z3232" s="0" t="n">
        <f aca="false">04_回帰ANOVA!$K$19*04_回帰ANOVA!$K$14*SQRT(1+Y3232)</f>
        <v>1.43460795469709</v>
      </c>
      <c r="AA3232" s="0" t="n">
        <f aca="false">X3232-Z3232</f>
        <v>46.2279697134315</v>
      </c>
      <c r="AB3232" s="0" t="n">
        <f aca="false">X3232+Z3232</f>
        <v>49.0971856228257</v>
      </c>
      <c r="AC3232" s="54" t="b">
        <f aca="false">AND(E3232&gt;=01_因子設定!$L$5-0.000000001,E3232&lt;=01_因子設定!$M$5+0.000000001,F3232&gt;=01_因子設定!$L$6-0.000000001,F3232&lt;=01_因子設定!$M$6+0.000000001,G3232&gt;=01_因子設定!$L$7-0.000000001,G3232&lt;=01_因子設定!$M$7+0.000000001,H3232&gt;=01_因子設定!$L$8-0.000000001,H3232&lt;=01_因子設定!$M$8+0.000000001,IF(01_因子設定!$B$20="Box-Behnken",E3232^2+F3232^2+G3232^2+H3232^2&lt;=2+0.000000001,TRUE()))</f>
        <v>1</v>
      </c>
      <c r="AD3232" s="55" t="n">
        <f aca="false">IF(AC3232,IF(01_因子設定!$B$13="最大化",AA3232-01_因子設定!$B$14,IF(01_因子設定!$B$13="最小化",01_因子設定!$B$15-AB3232,MIN(AA3232-01_因子設定!$B$14,01_因子設定!$B$15-AB3232))),-1E+030)</f>
        <v>-0.272030286568494</v>
      </c>
      <c r="AE3232" s="55" t="n">
        <f aca="false">IF(AC3232,IF(01_因子設定!$B$13="最大化",X3232,IF(01_因子設定!$B$13="最小化",-X3232,-ABS(X3232-01_因子設定!$B$16))),-1E+030)</f>
        <v>47.6625776681286</v>
      </c>
      <c r="AF3232" s="55" t="n">
        <f aca="false">AD3232+ROW()*0.000000001</f>
        <v>-0.272027054568494</v>
      </c>
      <c r="AG3232" s="55" t="n">
        <f aca="false">AE3232+ROW()*0.000000001</f>
        <v>47.6625809001286</v>
      </c>
    </row>
    <row r="3233" customFormat="false" ht="15" hidden="false" customHeight="false" outlineLevel="0" collapsed="false">
      <c r="A3233" s="0" t="n">
        <v>4</v>
      </c>
      <c r="B3233" s="0" t="n">
        <v>3</v>
      </c>
      <c r="C3233" s="0" t="n">
        <v>7</v>
      </c>
      <c r="D3233" s="0" t="n">
        <v>6</v>
      </c>
      <c r="E3233" s="0" t="n">
        <f aca="false">-1+A3233*0.25</f>
        <v>0</v>
      </c>
      <c r="F3233" s="0" t="n">
        <f aca="false">-1+B3233*0.25</f>
        <v>-0.25</v>
      </c>
      <c r="G3233" s="0" t="n">
        <f aca="false">-1+C3233*0.25</f>
        <v>0.75</v>
      </c>
      <c r="H3233" s="0" t="n">
        <f aca="false">-1+D3233*0.25</f>
        <v>0.5</v>
      </c>
      <c r="I3233" s="0" t="n">
        <f aca="false">1</f>
        <v>1</v>
      </c>
      <c r="J3233" s="0" t="n">
        <f aca="false">E3233</f>
        <v>0</v>
      </c>
      <c r="K3233" s="0" t="n">
        <f aca="false">F3233</f>
        <v>-0.25</v>
      </c>
      <c r="L3233" s="0" t="n">
        <f aca="false">G3233</f>
        <v>0.75</v>
      </c>
      <c r="M3233" s="0" t="n">
        <f aca="false">H3233</f>
        <v>0.5</v>
      </c>
      <c r="N3233" s="0" t="n">
        <f aca="false">E3233*F3233</f>
        <v>-0</v>
      </c>
      <c r="O3233" s="0" t="n">
        <f aca="false">E3233*G3233</f>
        <v>0</v>
      </c>
      <c r="P3233" s="0" t="n">
        <f aca="false">E3233*H3233</f>
        <v>0</v>
      </c>
      <c r="Q3233" s="0" t="n">
        <f aca="false">F3233*G3233</f>
        <v>-0.1875</v>
      </c>
      <c r="R3233" s="0" t="n">
        <f aca="false">F3233*H3233</f>
        <v>-0.125</v>
      </c>
      <c r="S3233" s="0" t="n">
        <f aca="false">G3233*H3233</f>
        <v>0.375</v>
      </c>
      <c r="T3233" s="0" t="n">
        <f aca="false">E3233*E3233</f>
        <v>0</v>
      </c>
      <c r="U3233" s="0" t="n">
        <f aca="false">F3233*F3233</f>
        <v>0.0625</v>
      </c>
      <c r="V3233" s="0" t="n">
        <f aca="false">G3233*G3233</f>
        <v>0.5625</v>
      </c>
      <c r="W3233" s="0" t="n">
        <f aca="false">H3233*H3233</f>
        <v>0.25</v>
      </c>
      <c r="X3233" s="0" t="n">
        <f aca="false">SUMPRODUCT(I3233:W3233,_XtX!$B$96:$P$96)</f>
        <v>47.7594435307017</v>
      </c>
      <c r="Y3233" s="0" t="n">
        <f aca="false">SUMPRODUCT(MMULT(I3233:W3233,_XtX!$B$78:$P$92),I3233:W3233)</f>
        <v>0.215110734192252</v>
      </c>
      <c r="Z3233" s="0" t="n">
        <f aca="false">04_回帰ANOVA!$K$19*04_回帰ANOVA!$K$14*SQRT(1+Y3233)</f>
        <v>1.43683309086864</v>
      </c>
      <c r="AA3233" s="0" t="n">
        <f aca="false">X3233-Z3233</f>
        <v>46.3226104398331</v>
      </c>
      <c r="AB3233" s="0" t="n">
        <f aca="false">X3233+Z3233</f>
        <v>49.1962766215704</v>
      </c>
      <c r="AC3233" s="54" t="b">
        <f aca="false">AND(E3233&gt;=01_因子設定!$L$5-0.000000001,E3233&lt;=01_因子設定!$M$5+0.000000001,F3233&gt;=01_因子設定!$L$6-0.000000001,F3233&lt;=01_因子設定!$M$6+0.000000001,G3233&gt;=01_因子設定!$L$7-0.000000001,G3233&lt;=01_因子設定!$M$7+0.000000001,H3233&gt;=01_因子設定!$L$8-0.000000001,H3233&lt;=01_因子設定!$M$8+0.000000001,IF(01_因子設定!$B$20="Box-Behnken",E3233^2+F3233^2+G3233^2+H3233^2&lt;=2+0.000000001,TRUE()))</f>
        <v>1</v>
      </c>
      <c r="AD3233" s="55" t="n">
        <f aca="false">IF(AC3233,IF(01_因子設定!$B$13="最大化",AA3233-01_因子設定!$B$14,IF(01_因子設定!$B$13="最小化",01_因子設定!$B$15-AB3233,MIN(AA3233-01_因子設定!$B$14,01_因子設定!$B$15-AB3233))),-1E+030)</f>
        <v>-0.177389560166944</v>
      </c>
      <c r="AE3233" s="55" t="n">
        <f aca="false">IF(AC3233,IF(01_因子設定!$B$13="最大化",X3233,IF(01_因子設定!$B$13="最小化",-X3233,-ABS(X3233-01_因子設定!$B$16))),-1E+030)</f>
        <v>47.7594435307017</v>
      </c>
      <c r="AF3233" s="55" t="n">
        <f aca="false">AD3233+ROW()*0.000000001</f>
        <v>-0.177386327166944</v>
      </c>
      <c r="AG3233" s="55" t="n">
        <f aca="false">AE3233+ROW()*0.000000001</f>
        <v>47.7594467637017</v>
      </c>
    </row>
    <row r="3234" customFormat="false" ht="15" hidden="false" customHeight="false" outlineLevel="0" collapsed="false">
      <c r="A3234" s="0" t="n">
        <v>4</v>
      </c>
      <c r="B3234" s="0" t="n">
        <v>3</v>
      </c>
      <c r="C3234" s="0" t="n">
        <v>7</v>
      </c>
      <c r="D3234" s="0" t="n">
        <v>7</v>
      </c>
      <c r="E3234" s="0" t="n">
        <f aca="false">-1+A3234*0.25</f>
        <v>0</v>
      </c>
      <c r="F3234" s="0" t="n">
        <f aca="false">-1+B3234*0.25</f>
        <v>-0.25</v>
      </c>
      <c r="G3234" s="0" t="n">
        <f aca="false">-1+C3234*0.25</f>
        <v>0.75</v>
      </c>
      <c r="H3234" s="0" t="n">
        <f aca="false">-1+D3234*0.25</f>
        <v>0.75</v>
      </c>
      <c r="I3234" s="0" t="n">
        <f aca="false">1</f>
        <v>1</v>
      </c>
      <c r="J3234" s="0" t="n">
        <f aca="false">E3234</f>
        <v>0</v>
      </c>
      <c r="K3234" s="0" t="n">
        <f aca="false">F3234</f>
        <v>-0.25</v>
      </c>
      <c r="L3234" s="0" t="n">
        <f aca="false">G3234</f>
        <v>0.75</v>
      </c>
      <c r="M3234" s="0" t="n">
        <f aca="false">H3234</f>
        <v>0.75</v>
      </c>
      <c r="N3234" s="0" t="n">
        <f aca="false">E3234*F3234</f>
        <v>-0</v>
      </c>
      <c r="O3234" s="0" t="n">
        <f aca="false">E3234*G3234</f>
        <v>0</v>
      </c>
      <c r="P3234" s="0" t="n">
        <f aca="false">E3234*H3234</f>
        <v>0</v>
      </c>
      <c r="Q3234" s="0" t="n">
        <f aca="false">F3234*G3234</f>
        <v>-0.1875</v>
      </c>
      <c r="R3234" s="0" t="n">
        <f aca="false">F3234*H3234</f>
        <v>-0.1875</v>
      </c>
      <c r="S3234" s="0" t="n">
        <f aca="false">G3234*H3234</f>
        <v>0.5625</v>
      </c>
      <c r="T3234" s="0" t="n">
        <f aca="false">E3234*E3234</f>
        <v>0</v>
      </c>
      <c r="U3234" s="0" t="n">
        <f aca="false">F3234*F3234</f>
        <v>0.0625</v>
      </c>
      <c r="V3234" s="0" t="n">
        <f aca="false">G3234*G3234</f>
        <v>0.5625</v>
      </c>
      <c r="W3234" s="0" t="n">
        <f aca="false">H3234*H3234</f>
        <v>0.5625</v>
      </c>
      <c r="X3234" s="0" t="n">
        <f aca="false">SUMPRODUCT(I3234:W3234,_XtX!$B$96:$P$96)</f>
        <v>47.808502375731</v>
      </c>
      <c r="Y3234" s="0" t="n">
        <f aca="false">SUMPRODUCT(MMULT(I3234:W3234,_XtX!$B$78:$P$92),I3234:W3234)</f>
        <v>0.281685455500731</v>
      </c>
      <c r="Z3234" s="0" t="n">
        <f aca="false">04_回帰ANOVA!$K$19*04_回帰ANOVA!$K$14*SQRT(1+Y3234)</f>
        <v>1.47566956658694</v>
      </c>
      <c r="AA3234" s="0" t="n">
        <f aca="false">X3234-Z3234</f>
        <v>46.332832809144</v>
      </c>
      <c r="AB3234" s="0" t="n">
        <f aca="false">X3234+Z3234</f>
        <v>49.2841719423179</v>
      </c>
      <c r="AC3234" s="54" t="b">
        <f aca="false">AND(E3234&gt;=01_因子設定!$L$5-0.000000001,E3234&lt;=01_因子設定!$M$5+0.000000001,F3234&gt;=01_因子設定!$L$6-0.000000001,F3234&lt;=01_因子設定!$M$6+0.000000001,G3234&gt;=01_因子設定!$L$7-0.000000001,G3234&lt;=01_因子設定!$M$7+0.000000001,H3234&gt;=01_因子設定!$L$8-0.000000001,H3234&lt;=01_因子設定!$M$8+0.000000001,IF(01_因子設定!$B$20="Box-Behnken",E3234^2+F3234^2+G3234^2+H3234^2&lt;=2+0.000000001,TRUE()))</f>
        <v>1</v>
      </c>
      <c r="AD3234" s="55" t="n">
        <f aca="false">IF(AC3234,IF(01_因子設定!$B$13="最大化",AA3234-01_因子設定!$B$14,IF(01_因子設定!$B$13="最小化",01_因子設定!$B$15-AB3234,MIN(AA3234-01_因子設定!$B$14,01_因子設定!$B$15-AB3234))),-1E+030)</f>
        <v>-0.167167190855984</v>
      </c>
      <c r="AE3234" s="55" t="n">
        <f aca="false">IF(AC3234,IF(01_因子設定!$B$13="最大化",X3234,IF(01_因子設定!$B$13="最小化",-X3234,-ABS(X3234-01_因子設定!$B$16))),-1E+030)</f>
        <v>47.808502375731</v>
      </c>
      <c r="AF3234" s="55" t="n">
        <f aca="false">AD3234+ROW()*0.000000001</f>
        <v>-0.167163956855984</v>
      </c>
      <c r="AG3234" s="55" t="n">
        <f aca="false">AE3234+ROW()*0.000000001</f>
        <v>47.808505609731</v>
      </c>
    </row>
    <row r="3235" customFormat="false" ht="15" hidden="false" customHeight="false" outlineLevel="0" collapsed="false">
      <c r="A3235" s="0" t="n">
        <v>4</v>
      </c>
      <c r="B3235" s="0" t="n">
        <v>3</v>
      </c>
      <c r="C3235" s="0" t="n">
        <v>7</v>
      </c>
      <c r="D3235" s="0" t="n">
        <v>8</v>
      </c>
      <c r="E3235" s="0" t="n">
        <f aca="false">-1+A3235*0.25</f>
        <v>0</v>
      </c>
      <c r="F3235" s="0" t="n">
        <f aca="false">-1+B3235*0.25</f>
        <v>-0.25</v>
      </c>
      <c r="G3235" s="0" t="n">
        <f aca="false">-1+C3235*0.25</f>
        <v>0.75</v>
      </c>
      <c r="H3235" s="0" t="n">
        <f aca="false">-1+D3235*0.25</f>
        <v>1</v>
      </c>
      <c r="I3235" s="0" t="n">
        <f aca="false">1</f>
        <v>1</v>
      </c>
      <c r="J3235" s="0" t="n">
        <f aca="false">E3235</f>
        <v>0</v>
      </c>
      <c r="K3235" s="0" t="n">
        <f aca="false">F3235</f>
        <v>-0.25</v>
      </c>
      <c r="L3235" s="0" t="n">
        <f aca="false">G3235</f>
        <v>0.75</v>
      </c>
      <c r="M3235" s="0" t="n">
        <f aca="false">H3235</f>
        <v>1</v>
      </c>
      <c r="N3235" s="0" t="n">
        <f aca="false">E3235*F3235</f>
        <v>-0</v>
      </c>
      <c r="O3235" s="0" t="n">
        <f aca="false">E3235*G3235</f>
        <v>0</v>
      </c>
      <c r="P3235" s="0" t="n">
        <f aca="false">E3235*H3235</f>
        <v>0</v>
      </c>
      <c r="Q3235" s="0" t="n">
        <f aca="false">F3235*G3235</f>
        <v>-0.1875</v>
      </c>
      <c r="R3235" s="0" t="n">
        <f aca="false">F3235*H3235</f>
        <v>-0.25</v>
      </c>
      <c r="S3235" s="0" t="n">
        <f aca="false">G3235*H3235</f>
        <v>0.75</v>
      </c>
      <c r="T3235" s="0" t="n">
        <f aca="false">E3235*E3235</f>
        <v>0</v>
      </c>
      <c r="U3235" s="0" t="n">
        <f aca="false">F3235*F3235</f>
        <v>0.0625</v>
      </c>
      <c r="V3235" s="0" t="n">
        <f aca="false">G3235*G3235</f>
        <v>0.5625</v>
      </c>
      <c r="W3235" s="0" t="n">
        <f aca="false">H3235*H3235</f>
        <v>1</v>
      </c>
      <c r="X3235" s="0" t="n">
        <f aca="false">SUMPRODUCT(I3235:W3235,_XtX!$B$96:$P$96)</f>
        <v>47.8097542032163</v>
      </c>
      <c r="Y3235" s="0" t="n">
        <f aca="false">SUMPRODUCT(MMULT(I3235:W3235,_XtX!$B$78:$P$92),I3235:W3235)</f>
        <v>0.501534802174708</v>
      </c>
      <c r="Z3235" s="0" t="n">
        <f aca="false">04_回帰ANOVA!$K$19*04_回帰ANOVA!$K$14*SQRT(1+Y3235)</f>
        <v>1.59722498091333</v>
      </c>
      <c r="AA3235" s="0" t="n">
        <f aca="false">X3235-Z3235</f>
        <v>46.212529222303</v>
      </c>
      <c r="AB3235" s="0" t="n">
        <f aca="false">X3235+Z3235</f>
        <v>49.4069791841297</v>
      </c>
      <c r="AC3235" s="54" t="b">
        <f aca="false">AND(E3235&gt;=01_因子設定!$L$5-0.000000001,E3235&lt;=01_因子設定!$M$5+0.000000001,F3235&gt;=01_因子設定!$L$6-0.000000001,F3235&lt;=01_因子設定!$M$6+0.000000001,G3235&gt;=01_因子設定!$L$7-0.000000001,G3235&lt;=01_因子設定!$M$7+0.000000001,H3235&gt;=01_因子設定!$L$8-0.000000001,H3235&lt;=01_因子設定!$M$8+0.000000001,IF(01_因子設定!$B$20="Box-Behnken",E3235^2+F3235^2+G3235^2+H3235^2&lt;=2+0.000000001,TRUE()))</f>
        <v>1</v>
      </c>
      <c r="AD3235" s="55" t="n">
        <f aca="false">IF(AC3235,IF(01_因子設定!$B$13="最大化",AA3235-01_因子設定!$B$14,IF(01_因子設定!$B$13="最小化",01_因子設定!$B$15-AB3235,MIN(AA3235-01_因子設定!$B$14,01_因子設定!$B$15-AB3235))),-1E+030)</f>
        <v>-0.287470777696989</v>
      </c>
      <c r="AE3235" s="55" t="n">
        <f aca="false">IF(AC3235,IF(01_因子設定!$B$13="最大化",X3235,IF(01_因子設定!$B$13="最小化",-X3235,-ABS(X3235-01_因子設定!$B$16))),-1E+030)</f>
        <v>47.8097542032163</v>
      </c>
      <c r="AF3235" s="55" t="n">
        <f aca="false">AD3235+ROW()*0.000000001</f>
        <v>-0.287467542696989</v>
      </c>
      <c r="AG3235" s="55" t="n">
        <f aca="false">AE3235+ROW()*0.000000001</f>
        <v>47.8097574382163</v>
      </c>
    </row>
    <row r="3236" customFormat="false" ht="15" hidden="false" customHeight="false" outlineLevel="0" collapsed="false">
      <c r="A3236" s="0" t="n">
        <v>4</v>
      </c>
      <c r="B3236" s="0" t="n">
        <v>3</v>
      </c>
      <c r="C3236" s="0" t="n">
        <v>8</v>
      </c>
      <c r="D3236" s="0" t="n">
        <v>0</v>
      </c>
      <c r="E3236" s="0" t="n">
        <f aca="false">-1+A3236*0.25</f>
        <v>0</v>
      </c>
      <c r="F3236" s="0" t="n">
        <f aca="false">-1+B3236*0.25</f>
        <v>-0.25</v>
      </c>
      <c r="G3236" s="0" t="n">
        <f aca="false">-1+C3236*0.25</f>
        <v>1</v>
      </c>
      <c r="H3236" s="0" t="n">
        <f aca="false">-1+D3236*0.25</f>
        <v>-1</v>
      </c>
      <c r="I3236" s="0" t="n">
        <f aca="false">1</f>
        <v>1</v>
      </c>
      <c r="J3236" s="0" t="n">
        <f aca="false">E3236</f>
        <v>0</v>
      </c>
      <c r="K3236" s="0" t="n">
        <f aca="false">F3236</f>
        <v>-0.25</v>
      </c>
      <c r="L3236" s="0" t="n">
        <f aca="false">G3236</f>
        <v>1</v>
      </c>
      <c r="M3236" s="0" t="n">
        <f aca="false">H3236</f>
        <v>-1</v>
      </c>
      <c r="N3236" s="0" t="n">
        <f aca="false">E3236*F3236</f>
        <v>-0</v>
      </c>
      <c r="O3236" s="0" t="n">
        <f aca="false">E3236*G3236</f>
        <v>0</v>
      </c>
      <c r="P3236" s="0" t="n">
        <f aca="false">E3236*H3236</f>
        <v>-0</v>
      </c>
      <c r="Q3236" s="0" t="n">
        <f aca="false">F3236*G3236</f>
        <v>-0.25</v>
      </c>
      <c r="R3236" s="0" t="n">
        <f aca="false">F3236*H3236</f>
        <v>0.25</v>
      </c>
      <c r="S3236" s="0" t="n">
        <f aca="false">G3236*H3236</f>
        <v>-1</v>
      </c>
      <c r="T3236" s="0" t="n">
        <f aca="false">E3236*E3236</f>
        <v>0</v>
      </c>
      <c r="U3236" s="0" t="n">
        <f aca="false">F3236*F3236</f>
        <v>0.0625</v>
      </c>
      <c r="V3236" s="0" t="n">
        <f aca="false">G3236*G3236</f>
        <v>1</v>
      </c>
      <c r="W3236" s="0" t="n">
        <f aca="false">H3236*H3236</f>
        <v>1</v>
      </c>
      <c r="X3236" s="0" t="n">
        <f aca="false">SUMPRODUCT(I3236:W3236,_XtX!$B$96:$P$96)</f>
        <v>46.3169956140351</v>
      </c>
      <c r="Y3236" s="0" t="n">
        <f aca="false">SUMPRODUCT(MMULT(I3236:W3236,_XtX!$B$78:$P$92),I3236:W3236)</f>
        <v>0.689692982456141</v>
      </c>
      <c r="Z3236" s="0" t="n">
        <f aca="false">04_回帰ANOVA!$K$19*04_回帰ANOVA!$K$14*SQRT(1+Y3236)</f>
        <v>1.69434674594998</v>
      </c>
      <c r="AA3236" s="0" t="n">
        <f aca="false">X3236-Z3236</f>
        <v>44.6226488680851</v>
      </c>
      <c r="AB3236" s="0" t="n">
        <f aca="false">X3236+Z3236</f>
        <v>48.0113423599851</v>
      </c>
      <c r="AC3236" s="54" t="b">
        <f aca="false">AND(E3236&gt;=01_因子設定!$L$5-0.000000001,E3236&lt;=01_因子設定!$M$5+0.000000001,F3236&gt;=01_因子設定!$L$6-0.000000001,F3236&lt;=01_因子設定!$M$6+0.000000001,G3236&gt;=01_因子設定!$L$7-0.000000001,G3236&lt;=01_因子設定!$M$7+0.000000001,H3236&gt;=01_因子設定!$L$8-0.000000001,H3236&lt;=01_因子設定!$M$8+0.000000001,IF(01_因子設定!$B$20="Box-Behnken",E3236^2+F3236^2+G3236^2+H3236^2&lt;=2+0.000000001,TRUE()))</f>
        <v>1</v>
      </c>
      <c r="AD3236" s="55" t="n">
        <f aca="false">IF(AC3236,IF(01_因子設定!$B$13="最大化",AA3236-01_因子設定!$B$14,IF(01_因子設定!$B$13="最小化",01_因子設定!$B$15-AB3236,MIN(AA3236-01_因子設定!$B$14,01_因子設定!$B$15-AB3236))),-1E+030)</f>
        <v>-1.87735113191492</v>
      </c>
      <c r="AE3236" s="55" t="n">
        <f aca="false">IF(AC3236,IF(01_因子設定!$B$13="最大化",X3236,IF(01_因子設定!$B$13="最小化",-X3236,-ABS(X3236-01_因子設定!$B$16))),-1E+030)</f>
        <v>46.3169956140351</v>
      </c>
      <c r="AF3236" s="55" t="n">
        <f aca="false">AD3236+ROW()*0.000000001</f>
        <v>-1.87734789591492</v>
      </c>
      <c r="AG3236" s="55" t="n">
        <f aca="false">AE3236+ROW()*0.000000001</f>
        <v>46.3169988500351</v>
      </c>
    </row>
    <row r="3237" customFormat="false" ht="15" hidden="false" customHeight="false" outlineLevel="0" collapsed="false">
      <c r="A3237" s="0" t="n">
        <v>4</v>
      </c>
      <c r="B3237" s="0" t="n">
        <v>3</v>
      </c>
      <c r="C3237" s="0" t="n">
        <v>8</v>
      </c>
      <c r="D3237" s="0" t="n">
        <v>1</v>
      </c>
      <c r="E3237" s="0" t="n">
        <f aca="false">-1+A3237*0.25</f>
        <v>0</v>
      </c>
      <c r="F3237" s="0" t="n">
        <f aca="false">-1+B3237*0.25</f>
        <v>-0.25</v>
      </c>
      <c r="G3237" s="0" t="n">
        <f aca="false">-1+C3237*0.25</f>
        <v>1</v>
      </c>
      <c r="H3237" s="0" t="n">
        <f aca="false">-1+D3237*0.25</f>
        <v>-0.75</v>
      </c>
      <c r="I3237" s="0" t="n">
        <f aca="false">1</f>
        <v>1</v>
      </c>
      <c r="J3237" s="0" t="n">
        <f aca="false">E3237</f>
        <v>0</v>
      </c>
      <c r="K3237" s="0" t="n">
        <f aca="false">F3237</f>
        <v>-0.25</v>
      </c>
      <c r="L3237" s="0" t="n">
        <f aca="false">G3237</f>
        <v>1</v>
      </c>
      <c r="M3237" s="0" t="n">
        <f aca="false">H3237</f>
        <v>-0.75</v>
      </c>
      <c r="N3237" s="0" t="n">
        <f aca="false">E3237*F3237</f>
        <v>-0</v>
      </c>
      <c r="O3237" s="0" t="n">
        <f aca="false">E3237*G3237</f>
        <v>0</v>
      </c>
      <c r="P3237" s="0" t="n">
        <f aca="false">E3237*H3237</f>
        <v>-0</v>
      </c>
      <c r="Q3237" s="0" t="n">
        <f aca="false">F3237*G3237</f>
        <v>-0.25</v>
      </c>
      <c r="R3237" s="0" t="n">
        <f aca="false">F3237*H3237</f>
        <v>0.1875</v>
      </c>
      <c r="S3237" s="0" t="n">
        <f aca="false">G3237*H3237</f>
        <v>-0.75</v>
      </c>
      <c r="T3237" s="0" t="n">
        <f aca="false">E3237*E3237</f>
        <v>0</v>
      </c>
      <c r="U3237" s="0" t="n">
        <f aca="false">F3237*F3237</f>
        <v>0.0625</v>
      </c>
      <c r="V3237" s="0" t="n">
        <f aca="false">G3237*G3237</f>
        <v>1</v>
      </c>
      <c r="W3237" s="0" t="n">
        <f aca="false">H3237*H3237</f>
        <v>0.5625</v>
      </c>
      <c r="X3237" s="0" t="n">
        <f aca="false">SUMPRODUCT(I3237:W3237,_XtX!$B$96:$P$96)</f>
        <v>46.6708653143274</v>
      </c>
      <c r="Y3237" s="0" t="n">
        <f aca="false">SUMPRODUCT(MMULT(I3237:W3237,_XtX!$B$78:$P$92),I3237:W3237)</f>
        <v>0.501534802174708</v>
      </c>
      <c r="Z3237" s="0" t="n">
        <f aca="false">04_回帰ANOVA!$K$19*04_回帰ANOVA!$K$14*SQRT(1+Y3237)</f>
        <v>1.59722498091333</v>
      </c>
      <c r="AA3237" s="0" t="n">
        <f aca="false">X3237-Z3237</f>
        <v>45.0736403334141</v>
      </c>
      <c r="AB3237" s="0" t="n">
        <f aca="false">X3237+Z3237</f>
        <v>48.2680902952408</v>
      </c>
      <c r="AC3237" s="54" t="b">
        <f aca="false">AND(E3237&gt;=01_因子設定!$L$5-0.000000001,E3237&lt;=01_因子設定!$M$5+0.000000001,F3237&gt;=01_因子設定!$L$6-0.000000001,F3237&lt;=01_因子設定!$M$6+0.000000001,G3237&gt;=01_因子設定!$L$7-0.000000001,G3237&lt;=01_因子設定!$M$7+0.000000001,H3237&gt;=01_因子設定!$L$8-0.000000001,H3237&lt;=01_因子設定!$M$8+0.000000001,IF(01_因子設定!$B$20="Box-Behnken",E3237^2+F3237^2+G3237^2+H3237^2&lt;=2+0.000000001,TRUE()))</f>
        <v>1</v>
      </c>
      <c r="AD3237" s="55" t="n">
        <f aca="false">IF(AC3237,IF(01_因子設定!$B$13="最大化",AA3237-01_因子設定!$B$14,IF(01_因子設定!$B$13="最小化",01_因子設定!$B$15-AB3237,MIN(AA3237-01_因子設定!$B$14,01_因子設定!$B$15-AB3237))),-1E+030)</f>
        <v>-1.42635966658589</v>
      </c>
      <c r="AE3237" s="55" t="n">
        <f aca="false">IF(AC3237,IF(01_因子設定!$B$13="最大化",X3237,IF(01_因子設定!$B$13="最小化",-X3237,-ABS(X3237-01_因子設定!$B$16))),-1E+030)</f>
        <v>46.6708653143274</v>
      </c>
      <c r="AF3237" s="55" t="n">
        <f aca="false">AD3237+ROW()*0.000000001</f>
        <v>-1.42635642958589</v>
      </c>
      <c r="AG3237" s="55" t="n">
        <f aca="false">AE3237+ROW()*0.000000001</f>
        <v>46.6708685513274</v>
      </c>
    </row>
    <row r="3238" customFormat="false" ht="15" hidden="false" customHeight="false" outlineLevel="0" collapsed="false">
      <c r="A3238" s="0" t="n">
        <v>4</v>
      </c>
      <c r="B3238" s="0" t="n">
        <v>3</v>
      </c>
      <c r="C3238" s="0" t="n">
        <v>8</v>
      </c>
      <c r="D3238" s="0" t="n">
        <v>2</v>
      </c>
      <c r="E3238" s="0" t="n">
        <f aca="false">-1+A3238*0.25</f>
        <v>0</v>
      </c>
      <c r="F3238" s="0" t="n">
        <f aca="false">-1+B3238*0.25</f>
        <v>-0.25</v>
      </c>
      <c r="G3238" s="0" t="n">
        <f aca="false">-1+C3238*0.25</f>
        <v>1</v>
      </c>
      <c r="H3238" s="0" t="n">
        <f aca="false">-1+D3238*0.25</f>
        <v>-0.5</v>
      </c>
      <c r="I3238" s="0" t="n">
        <f aca="false">1</f>
        <v>1</v>
      </c>
      <c r="J3238" s="0" t="n">
        <f aca="false">E3238</f>
        <v>0</v>
      </c>
      <c r="K3238" s="0" t="n">
        <f aca="false">F3238</f>
        <v>-0.25</v>
      </c>
      <c r="L3238" s="0" t="n">
        <f aca="false">G3238</f>
        <v>1</v>
      </c>
      <c r="M3238" s="0" t="n">
        <f aca="false">H3238</f>
        <v>-0.5</v>
      </c>
      <c r="N3238" s="0" t="n">
        <f aca="false">E3238*F3238</f>
        <v>-0</v>
      </c>
      <c r="O3238" s="0" t="n">
        <f aca="false">E3238*G3238</f>
        <v>0</v>
      </c>
      <c r="P3238" s="0" t="n">
        <f aca="false">E3238*H3238</f>
        <v>-0</v>
      </c>
      <c r="Q3238" s="0" t="n">
        <f aca="false">F3238*G3238</f>
        <v>-0.25</v>
      </c>
      <c r="R3238" s="0" t="n">
        <f aca="false">F3238*H3238</f>
        <v>0.125</v>
      </c>
      <c r="S3238" s="0" t="n">
        <f aca="false">G3238*H3238</f>
        <v>-0.5</v>
      </c>
      <c r="T3238" s="0" t="n">
        <f aca="false">E3238*E3238</f>
        <v>0</v>
      </c>
      <c r="U3238" s="0" t="n">
        <f aca="false">F3238*F3238</f>
        <v>0.0625</v>
      </c>
      <c r="V3238" s="0" t="n">
        <f aca="false">G3238*G3238</f>
        <v>1</v>
      </c>
      <c r="W3238" s="0" t="n">
        <f aca="false">H3238*H3238</f>
        <v>0.25</v>
      </c>
      <c r="X3238" s="0" t="n">
        <f aca="false">SUMPRODUCT(I3238:W3238,_XtX!$B$96:$P$96)</f>
        <v>46.976927997076</v>
      </c>
      <c r="Y3238" s="0" t="n">
        <f aca="false">SUMPRODUCT(MMULT(I3238:W3238,_XtX!$B$78:$P$92),I3238:W3238)</f>
        <v>0.457596628289474</v>
      </c>
      <c r="Z3238" s="0" t="n">
        <f aca="false">04_回帰ANOVA!$K$19*04_回帰ANOVA!$K$14*SQRT(1+Y3238)</f>
        <v>1.57368233664366</v>
      </c>
      <c r="AA3238" s="0" t="n">
        <f aca="false">X3238-Z3238</f>
        <v>45.4032456604323</v>
      </c>
      <c r="AB3238" s="0" t="n">
        <f aca="false">X3238+Z3238</f>
        <v>48.5506103337196</v>
      </c>
      <c r="AC3238" s="54" t="b">
        <f aca="false">AND(E3238&gt;=01_因子設定!$L$5-0.000000001,E3238&lt;=01_因子設定!$M$5+0.000000001,F3238&gt;=01_因子設定!$L$6-0.000000001,F3238&lt;=01_因子設定!$M$6+0.000000001,G3238&gt;=01_因子設定!$L$7-0.000000001,G3238&lt;=01_因子設定!$M$7+0.000000001,H3238&gt;=01_因子設定!$L$8-0.000000001,H3238&lt;=01_因子設定!$M$8+0.000000001,IF(01_因子設定!$B$20="Box-Behnken",E3238^2+F3238^2+G3238^2+H3238^2&lt;=2+0.000000001,TRUE()))</f>
        <v>1</v>
      </c>
      <c r="AD3238" s="55" t="n">
        <f aca="false">IF(AC3238,IF(01_因子設定!$B$13="最大化",AA3238-01_因子設定!$B$14,IF(01_因子設定!$B$13="最小化",01_因子設定!$B$15-AB3238,MIN(AA3238-01_因子設定!$B$14,01_因子設定!$B$15-AB3238))),-1E+030)</f>
        <v>-1.09675433956769</v>
      </c>
      <c r="AE3238" s="55" t="n">
        <f aca="false">IF(AC3238,IF(01_因子設定!$B$13="最大化",X3238,IF(01_因子設定!$B$13="最小化",-X3238,-ABS(X3238-01_因子設定!$B$16))),-1E+030)</f>
        <v>46.976927997076</v>
      </c>
      <c r="AF3238" s="55" t="n">
        <f aca="false">AD3238+ROW()*0.000000001</f>
        <v>-1.09675110156769</v>
      </c>
      <c r="AG3238" s="55" t="n">
        <f aca="false">AE3238+ROW()*0.000000001</f>
        <v>46.976931235076</v>
      </c>
    </row>
    <row r="3239" customFormat="false" ht="15" hidden="false" customHeight="false" outlineLevel="0" collapsed="false">
      <c r="A3239" s="0" t="n">
        <v>4</v>
      </c>
      <c r="B3239" s="0" t="n">
        <v>3</v>
      </c>
      <c r="C3239" s="0" t="n">
        <v>8</v>
      </c>
      <c r="D3239" s="0" t="n">
        <v>3</v>
      </c>
      <c r="E3239" s="0" t="n">
        <f aca="false">-1+A3239*0.25</f>
        <v>0</v>
      </c>
      <c r="F3239" s="0" t="n">
        <f aca="false">-1+B3239*0.25</f>
        <v>-0.25</v>
      </c>
      <c r="G3239" s="0" t="n">
        <f aca="false">-1+C3239*0.25</f>
        <v>1</v>
      </c>
      <c r="H3239" s="0" t="n">
        <f aca="false">-1+D3239*0.25</f>
        <v>-0.25</v>
      </c>
      <c r="I3239" s="0" t="n">
        <f aca="false">1</f>
        <v>1</v>
      </c>
      <c r="J3239" s="0" t="n">
        <f aca="false">E3239</f>
        <v>0</v>
      </c>
      <c r="K3239" s="0" t="n">
        <f aca="false">F3239</f>
        <v>-0.25</v>
      </c>
      <c r="L3239" s="0" t="n">
        <f aca="false">G3239</f>
        <v>1</v>
      </c>
      <c r="M3239" s="0" t="n">
        <f aca="false">H3239</f>
        <v>-0.25</v>
      </c>
      <c r="N3239" s="0" t="n">
        <f aca="false">E3239*F3239</f>
        <v>-0</v>
      </c>
      <c r="O3239" s="0" t="n">
        <f aca="false">E3239*G3239</f>
        <v>0</v>
      </c>
      <c r="P3239" s="0" t="n">
        <f aca="false">E3239*H3239</f>
        <v>-0</v>
      </c>
      <c r="Q3239" s="0" t="n">
        <f aca="false">F3239*G3239</f>
        <v>-0.25</v>
      </c>
      <c r="R3239" s="0" t="n">
        <f aca="false">F3239*H3239</f>
        <v>0.0625</v>
      </c>
      <c r="S3239" s="0" t="n">
        <f aca="false">G3239*H3239</f>
        <v>-0.25</v>
      </c>
      <c r="T3239" s="0" t="n">
        <f aca="false">E3239*E3239</f>
        <v>0</v>
      </c>
      <c r="U3239" s="0" t="n">
        <f aca="false">F3239*F3239</f>
        <v>0.0625</v>
      </c>
      <c r="V3239" s="0" t="n">
        <f aca="false">G3239*G3239</f>
        <v>1</v>
      </c>
      <c r="W3239" s="0" t="n">
        <f aca="false">H3239*H3239</f>
        <v>0.0625</v>
      </c>
      <c r="X3239" s="0" t="n">
        <f aca="false">SUMPRODUCT(I3239:W3239,_XtX!$B$96:$P$96)</f>
        <v>47.2351836622806</v>
      </c>
      <c r="Y3239" s="0" t="n">
        <f aca="false">SUMPRODUCT(MMULT(I3239:W3239,_XtX!$B$78:$P$92),I3239:W3239)</f>
        <v>0.467417934484649</v>
      </c>
      <c r="Z3239" s="0" t="n">
        <f aca="false">04_回帰ANOVA!$K$19*04_回帰ANOVA!$K$14*SQRT(1+Y3239)</f>
        <v>1.57897518244497</v>
      </c>
      <c r="AA3239" s="0" t="n">
        <f aca="false">X3239-Z3239</f>
        <v>45.6562084798357</v>
      </c>
      <c r="AB3239" s="0" t="n">
        <f aca="false">X3239+Z3239</f>
        <v>48.8141588447256</v>
      </c>
      <c r="AC3239" s="54" t="b">
        <f aca="false">AND(E3239&gt;=01_因子設定!$L$5-0.000000001,E3239&lt;=01_因子設定!$M$5+0.000000001,F3239&gt;=01_因子設定!$L$6-0.000000001,F3239&lt;=01_因子設定!$M$6+0.000000001,G3239&gt;=01_因子設定!$L$7-0.000000001,G3239&lt;=01_因子設定!$M$7+0.000000001,H3239&gt;=01_因子設定!$L$8-0.000000001,H3239&lt;=01_因子設定!$M$8+0.000000001,IF(01_因子設定!$B$20="Box-Behnken",E3239^2+F3239^2+G3239^2+H3239^2&lt;=2+0.000000001,TRUE()))</f>
        <v>1</v>
      </c>
      <c r="AD3239" s="55" t="n">
        <f aca="false">IF(AC3239,IF(01_因子設定!$B$13="最大化",AA3239-01_因子設定!$B$14,IF(01_因子設定!$B$13="最小化",01_因子設定!$B$15-AB3239,MIN(AA3239-01_因子設定!$B$14,01_因子設定!$B$15-AB3239))),-1E+030)</f>
        <v>-0.843791520164331</v>
      </c>
      <c r="AE3239" s="55" t="n">
        <f aca="false">IF(AC3239,IF(01_因子設定!$B$13="最大化",X3239,IF(01_因子設定!$B$13="最小化",-X3239,-ABS(X3239-01_因子設定!$B$16))),-1E+030)</f>
        <v>47.2351836622806</v>
      </c>
      <c r="AF3239" s="55" t="n">
        <f aca="false">AD3239+ROW()*0.000000001</f>
        <v>-0.843788281164331</v>
      </c>
      <c r="AG3239" s="55" t="n">
        <f aca="false">AE3239+ROW()*0.000000001</f>
        <v>47.2351869012806</v>
      </c>
    </row>
    <row r="3240" customFormat="false" ht="15" hidden="false" customHeight="false" outlineLevel="0" collapsed="false">
      <c r="A3240" s="0" t="n">
        <v>4</v>
      </c>
      <c r="B3240" s="0" t="n">
        <v>3</v>
      </c>
      <c r="C3240" s="0" t="n">
        <v>8</v>
      </c>
      <c r="D3240" s="0" t="n">
        <v>4</v>
      </c>
      <c r="E3240" s="0" t="n">
        <f aca="false">-1+A3240*0.25</f>
        <v>0</v>
      </c>
      <c r="F3240" s="0" t="n">
        <f aca="false">-1+B3240*0.25</f>
        <v>-0.25</v>
      </c>
      <c r="G3240" s="0" t="n">
        <f aca="false">-1+C3240*0.25</f>
        <v>1</v>
      </c>
      <c r="H3240" s="0" t="n">
        <f aca="false">-1+D3240*0.25</f>
        <v>0</v>
      </c>
      <c r="I3240" s="0" t="n">
        <f aca="false">1</f>
        <v>1</v>
      </c>
      <c r="J3240" s="0" t="n">
        <f aca="false">E3240</f>
        <v>0</v>
      </c>
      <c r="K3240" s="0" t="n">
        <f aca="false">F3240</f>
        <v>-0.25</v>
      </c>
      <c r="L3240" s="0" t="n">
        <f aca="false">G3240</f>
        <v>1</v>
      </c>
      <c r="M3240" s="0" t="n">
        <f aca="false">H3240</f>
        <v>0</v>
      </c>
      <c r="N3240" s="0" t="n">
        <f aca="false">E3240*F3240</f>
        <v>-0</v>
      </c>
      <c r="O3240" s="0" t="n">
        <f aca="false">E3240*G3240</f>
        <v>0</v>
      </c>
      <c r="P3240" s="0" t="n">
        <f aca="false">E3240*H3240</f>
        <v>0</v>
      </c>
      <c r="Q3240" s="0" t="n">
        <f aca="false">F3240*G3240</f>
        <v>-0.25</v>
      </c>
      <c r="R3240" s="0" t="n">
        <f aca="false">F3240*H3240</f>
        <v>-0</v>
      </c>
      <c r="S3240" s="0" t="n">
        <f aca="false">G3240*H3240</f>
        <v>0</v>
      </c>
      <c r="T3240" s="0" t="n">
        <f aca="false">E3240*E3240</f>
        <v>0</v>
      </c>
      <c r="U3240" s="0" t="n">
        <f aca="false">F3240*F3240</f>
        <v>0.0625</v>
      </c>
      <c r="V3240" s="0" t="n">
        <f aca="false">G3240*G3240</f>
        <v>1</v>
      </c>
      <c r="W3240" s="0" t="n">
        <f aca="false">H3240*H3240</f>
        <v>0</v>
      </c>
      <c r="X3240" s="0" t="n">
        <f aca="false">SUMPRODUCT(I3240:W3240,_XtX!$B$96:$P$96)</f>
        <v>47.4456323099415</v>
      </c>
      <c r="Y3240" s="0" t="n">
        <f aca="false">SUMPRODUCT(MMULT(I3240:W3240,_XtX!$B$78:$P$92),I3240:W3240)</f>
        <v>0.476722404970761</v>
      </c>
      <c r="Z3240" s="0" t="n">
        <f aca="false">04_回帰ANOVA!$K$19*04_回帰ANOVA!$K$14*SQRT(1+Y3240)</f>
        <v>1.58397318352695</v>
      </c>
      <c r="AA3240" s="0" t="n">
        <f aca="false">X3240-Z3240</f>
        <v>45.8616591264145</v>
      </c>
      <c r="AB3240" s="0" t="n">
        <f aca="false">X3240+Z3240</f>
        <v>49.0296054934684</v>
      </c>
      <c r="AC3240" s="54" t="b">
        <f aca="false">AND(E3240&gt;=01_因子設定!$L$5-0.000000001,E3240&lt;=01_因子設定!$M$5+0.000000001,F3240&gt;=01_因子設定!$L$6-0.000000001,F3240&lt;=01_因子設定!$M$6+0.000000001,G3240&gt;=01_因子設定!$L$7-0.000000001,G3240&lt;=01_因子設定!$M$7+0.000000001,H3240&gt;=01_因子設定!$L$8-0.000000001,H3240&lt;=01_因子設定!$M$8+0.000000001,IF(01_因子設定!$B$20="Box-Behnken",E3240^2+F3240^2+G3240^2+H3240^2&lt;=2+0.000000001,TRUE()))</f>
        <v>1</v>
      </c>
      <c r="AD3240" s="55" t="n">
        <f aca="false">IF(AC3240,IF(01_因子設定!$B$13="最大化",AA3240-01_因子設定!$B$14,IF(01_因子設定!$B$13="最小化",01_因子設定!$B$15-AB3240,MIN(AA3240-01_因子設定!$B$14,01_因子設定!$B$15-AB3240))),-1E+030)</f>
        <v>-0.638340873585484</v>
      </c>
      <c r="AE3240" s="55" t="n">
        <f aca="false">IF(AC3240,IF(01_因子設定!$B$13="最大化",X3240,IF(01_因子設定!$B$13="最小化",-X3240,-ABS(X3240-01_因子設定!$B$16))),-1E+030)</f>
        <v>47.4456323099415</v>
      </c>
      <c r="AF3240" s="55" t="n">
        <f aca="false">AD3240+ROW()*0.000000001</f>
        <v>-0.638337633585484</v>
      </c>
      <c r="AG3240" s="55" t="n">
        <f aca="false">AE3240+ROW()*0.000000001</f>
        <v>47.4456355499415</v>
      </c>
    </row>
    <row r="3241" customFormat="false" ht="15" hidden="false" customHeight="false" outlineLevel="0" collapsed="false">
      <c r="A3241" s="0" t="n">
        <v>4</v>
      </c>
      <c r="B3241" s="0" t="n">
        <v>3</v>
      </c>
      <c r="C3241" s="0" t="n">
        <v>8</v>
      </c>
      <c r="D3241" s="0" t="n">
        <v>5</v>
      </c>
      <c r="E3241" s="0" t="n">
        <f aca="false">-1+A3241*0.25</f>
        <v>0</v>
      </c>
      <c r="F3241" s="0" t="n">
        <f aca="false">-1+B3241*0.25</f>
        <v>-0.25</v>
      </c>
      <c r="G3241" s="0" t="n">
        <f aca="false">-1+C3241*0.25</f>
        <v>1</v>
      </c>
      <c r="H3241" s="0" t="n">
        <f aca="false">-1+D3241*0.25</f>
        <v>0.25</v>
      </c>
      <c r="I3241" s="0" t="n">
        <f aca="false">1</f>
        <v>1</v>
      </c>
      <c r="J3241" s="0" t="n">
        <f aca="false">E3241</f>
        <v>0</v>
      </c>
      <c r="K3241" s="0" t="n">
        <f aca="false">F3241</f>
        <v>-0.25</v>
      </c>
      <c r="L3241" s="0" t="n">
        <f aca="false">G3241</f>
        <v>1</v>
      </c>
      <c r="M3241" s="0" t="n">
        <f aca="false">H3241</f>
        <v>0.25</v>
      </c>
      <c r="N3241" s="0" t="n">
        <f aca="false">E3241*F3241</f>
        <v>-0</v>
      </c>
      <c r="O3241" s="0" t="n">
        <f aca="false">E3241*G3241</f>
        <v>0</v>
      </c>
      <c r="P3241" s="0" t="n">
        <f aca="false">E3241*H3241</f>
        <v>0</v>
      </c>
      <c r="Q3241" s="0" t="n">
        <f aca="false">F3241*G3241</f>
        <v>-0.25</v>
      </c>
      <c r="R3241" s="0" t="n">
        <f aca="false">F3241*H3241</f>
        <v>-0.0625</v>
      </c>
      <c r="S3241" s="0" t="n">
        <f aca="false">G3241*H3241</f>
        <v>0.25</v>
      </c>
      <c r="T3241" s="0" t="n">
        <f aca="false">E3241*E3241</f>
        <v>0</v>
      </c>
      <c r="U3241" s="0" t="n">
        <f aca="false">F3241*F3241</f>
        <v>0.0625</v>
      </c>
      <c r="V3241" s="0" t="n">
        <f aca="false">G3241*G3241</f>
        <v>1</v>
      </c>
      <c r="W3241" s="0" t="n">
        <f aca="false">H3241*H3241</f>
        <v>0.0625</v>
      </c>
      <c r="X3241" s="0" t="n">
        <f aca="false">SUMPRODUCT(I3241:W3241,_XtX!$B$96:$P$96)</f>
        <v>47.6082739400584</v>
      </c>
      <c r="Y3241" s="0" t="n">
        <f aca="false">SUMPRODUCT(MMULT(I3241:W3241,_XtX!$B$78:$P$92),I3241:W3241)</f>
        <v>0.467417934484649</v>
      </c>
      <c r="Z3241" s="0" t="n">
        <f aca="false">04_回帰ANOVA!$K$19*04_回帰ANOVA!$K$14*SQRT(1+Y3241)</f>
        <v>1.57897518244497</v>
      </c>
      <c r="AA3241" s="0" t="n">
        <f aca="false">X3241-Z3241</f>
        <v>46.0292987576135</v>
      </c>
      <c r="AB3241" s="0" t="n">
        <f aca="false">X3241+Z3241</f>
        <v>49.1872491225034</v>
      </c>
      <c r="AC3241" s="54" t="b">
        <f aca="false">AND(E3241&gt;=01_因子設定!$L$5-0.000000001,E3241&lt;=01_因子設定!$M$5+0.000000001,F3241&gt;=01_因子設定!$L$6-0.000000001,F3241&lt;=01_因子設定!$M$6+0.000000001,G3241&gt;=01_因子設定!$L$7-0.000000001,G3241&lt;=01_因子設定!$M$7+0.000000001,H3241&gt;=01_因子設定!$L$8-0.000000001,H3241&lt;=01_因子設定!$M$8+0.000000001,IF(01_因子設定!$B$20="Box-Behnken",E3241^2+F3241^2+G3241^2+H3241^2&lt;=2+0.000000001,TRUE()))</f>
        <v>1</v>
      </c>
      <c r="AD3241" s="55" t="n">
        <f aca="false">IF(AC3241,IF(01_因子設定!$B$13="最大化",AA3241-01_因子設定!$B$14,IF(01_因子設定!$B$13="最小化",01_因子設定!$B$15-AB3241,MIN(AA3241-01_因子設定!$B$14,01_因子設定!$B$15-AB3241))),-1E+030)</f>
        <v>-0.470701242386554</v>
      </c>
      <c r="AE3241" s="55" t="n">
        <f aca="false">IF(AC3241,IF(01_因子設定!$B$13="最大化",X3241,IF(01_因子設定!$B$13="最小化",-X3241,-ABS(X3241-01_因子設定!$B$16))),-1E+030)</f>
        <v>47.6082739400584</v>
      </c>
      <c r="AF3241" s="55" t="n">
        <f aca="false">AD3241+ROW()*0.000000001</f>
        <v>-0.470698001386554</v>
      </c>
      <c r="AG3241" s="55" t="n">
        <f aca="false">AE3241+ROW()*0.000000001</f>
        <v>47.6082771810584</v>
      </c>
    </row>
    <row r="3242" customFormat="false" ht="15" hidden="false" customHeight="false" outlineLevel="0" collapsed="false">
      <c r="A3242" s="0" t="n">
        <v>4</v>
      </c>
      <c r="B3242" s="0" t="n">
        <v>3</v>
      </c>
      <c r="C3242" s="0" t="n">
        <v>8</v>
      </c>
      <c r="D3242" s="0" t="n">
        <v>6</v>
      </c>
      <c r="E3242" s="0" t="n">
        <f aca="false">-1+A3242*0.25</f>
        <v>0</v>
      </c>
      <c r="F3242" s="0" t="n">
        <f aca="false">-1+B3242*0.25</f>
        <v>-0.25</v>
      </c>
      <c r="G3242" s="0" t="n">
        <f aca="false">-1+C3242*0.25</f>
        <v>1</v>
      </c>
      <c r="H3242" s="0" t="n">
        <f aca="false">-1+D3242*0.25</f>
        <v>0.5</v>
      </c>
      <c r="I3242" s="0" t="n">
        <f aca="false">1</f>
        <v>1</v>
      </c>
      <c r="J3242" s="0" t="n">
        <f aca="false">E3242</f>
        <v>0</v>
      </c>
      <c r="K3242" s="0" t="n">
        <f aca="false">F3242</f>
        <v>-0.25</v>
      </c>
      <c r="L3242" s="0" t="n">
        <f aca="false">G3242</f>
        <v>1</v>
      </c>
      <c r="M3242" s="0" t="n">
        <f aca="false">H3242</f>
        <v>0.5</v>
      </c>
      <c r="N3242" s="0" t="n">
        <f aca="false">E3242*F3242</f>
        <v>-0</v>
      </c>
      <c r="O3242" s="0" t="n">
        <f aca="false">E3242*G3242</f>
        <v>0</v>
      </c>
      <c r="P3242" s="0" t="n">
        <f aca="false">E3242*H3242</f>
        <v>0</v>
      </c>
      <c r="Q3242" s="0" t="n">
        <f aca="false">F3242*G3242</f>
        <v>-0.25</v>
      </c>
      <c r="R3242" s="0" t="n">
        <f aca="false">F3242*H3242</f>
        <v>-0.125</v>
      </c>
      <c r="S3242" s="0" t="n">
        <f aca="false">G3242*H3242</f>
        <v>0.5</v>
      </c>
      <c r="T3242" s="0" t="n">
        <f aca="false">E3242*E3242</f>
        <v>0</v>
      </c>
      <c r="U3242" s="0" t="n">
        <f aca="false">F3242*F3242</f>
        <v>0.0625</v>
      </c>
      <c r="V3242" s="0" t="n">
        <f aca="false">G3242*G3242</f>
        <v>1</v>
      </c>
      <c r="W3242" s="0" t="n">
        <f aca="false">H3242*H3242</f>
        <v>0.25</v>
      </c>
      <c r="X3242" s="0" t="n">
        <f aca="false">SUMPRODUCT(I3242:W3242,_XtX!$B$96:$P$96)</f>
        <v>47.7231085526315</v>
      </c>
      <c r="Y3242" s="0" t="n">
        <f aca="false">SUMPRODUCT(MMULT(I3242:W3242,_XtX!$B$78:$P$92),I3242:W3242)</f>
        <v>0.457596628289474</v>
      </c>
      <c r="Z3242" s="0" t="n">
        <f aca="false">04_回帰ANOVA!$K$19*04_回帰ANOVA!$K$14*SQRT(1+Y3242)</f>
        <v>1.57368233664366</v>
      </c>
      <c r="AA3242" s="0" t="n">
        <f aca="false">X3242-Z3242</f>
        <v>46.1494262159879</v>
      </c>
      <c r="AB3242" s="0" t="n">
        <f aca="false">X3242+Z3242</f>
        <v>49.2967908892752</v>
      </c>
      <c r="AC3242" s="54" t="b">
        <f aca="false">AND(E3242&gt;=01_因子設定!$L$5-0.000000001,E3242&lt;=01_因子設定!$M$5+0.000000001,F3242&gt;=01_因子設定!$L$6-0.000000001,F3242&lt;=01_因子設定!$M$6+0.000000001,G3242&gt;=01_因子設定!$L$7-0.000000001,G3242&lt;=01_因子設定!$M$7+0.000000001,H3242&gt;=01_因子設定!$L$8-0.000000001,H3242&lt;=01_因子設定!$M$8+0.000000001,IF(01_因子設定!$B$20="Box-Behnken",E3242^2+F3242^2+G3242^2+H3242^2&lt;=2+0.000000001,TRUE()))</f>
        <v>1</v>
      </c>
      <c r="AD3242" s="55" t="n">
        <f aca="false">IF(AC3242,IF(01_因子設定!$B$13="最大化",AA3242-01_因子設定!$B$14,IF(01_因子設定!$B$13="最小化",01_因子設定!$B$15-AB3242,MIN(AA3242-01_因子設定!$B$14,01_因子設定!$B$15-AB3242))),-1E+030)</f>
        <v>-0.350573784012134</v>
      </c>
      <c r="AE3242" s="55" t="n">
        <f aca="false">IF(AC3242,IF(01_因子設定!$B$13="最大化",X3242,IF(01_因子設定!$B$13="最小化",-X3242,-ABS(X3242-01_因子設定!$B$16))),-1E+030)</f>
        <v>47.7231085526315</v>
      </c>
      <c r="AF3242" s="55" t="n">
        <f aca="false">AD3242+ROW()*0.000000001</f>
        <v>-0.350570542012134</v>
      </c>
      <c r="AG3242" s="55" t="n">
        <f aca="false">AE3242+ROW()*0.000000001</f>
        <v>47.7231117946315</v>
      </c>
    </row>
    <row r="3243" customFormat="false" ht="15" hidden="false" customHeight="false" outlineLevel="0" collapsed="false">
      <c r="A3243" s="0" t="n">
        <v>4</v>
      </c>
      <c r="B3243" s="0" t="n">
        <v>3</v>
      </c>
      <c r="C3243" s="0" t="n">
        <v>8</v>
      </c>
      <c r="D3243" s="0" t="n">
        <v>7</v>
      </c>
      <c r="E3243" s="0" t="n">
        <f aca="false">-1+A3243*0.25</f>
        <v>0</v>
      </c>
      <c r="F3243" s="0" t="n">
        <f aca="false">-1+B3243*0.25</f>
        <v>-0.25</v>
      </c>
      <c r="G3243" s="0" t="n">
        <f aca="false">-1+C3243*0.25</f>
        <v>1</v>
      </c>
      <c r="H3243" s="0" t="n">
        <f aca="false">-1+D3243*0.25</f>
        <v>0.75</v>
      </c>
      <c r="I3243" s="0" t="n">
        <f aca="false">1</f>
        <v>1</v>
      </c>
      <c r="J3243" s="0" t="n">
        <f aca="false">E3243</f>
        <v>0</v>
      </c>
      <c r="K3243" s="0" t="n">
        <f aca="false">F3243</f>
        <v>-0.25</v>
      </c>
      <c r="L3243" s="0" t="n">
        <f aca="false">G3243</f>
        <v>1</v>
      </c>
      <c r="M3243" s="0" t="n">
        <f aca="false">H3243</f>
        <v>0.75</v>
      </c>
      <c r="N3243" s="0" t="n">
        <f aca="false">E3243*F3243</f>
        <v>-0</v>
      </c>
      <c r="O3243" s="0" t="n">
        <f aca="false">E3243*G3243</f>
        <v>0</v>
      </c>
      <c r="P3243" s="0" t="n">
        <f aca="false">E3243*H3243</f>
        <v>0</v>
      </c>
      <c r="Q3243" s="0" t="n">
        <f aca="false">F3243*G3243</f>
        <v>-0.25</v>
      </c>
      <c r="R3243" s="0" t="n">
        <f aca="false">F3243*H3243</f>
        <v>-0.1875</v>
      </c>
      <c r="S3243" s="0" t="n">
        <f aca="false">G3243*H3243</f>
        <v>0.75</v>
      </c>
      <c r="T3243" s="0" t="n">
        <f aca="false">E3243*E3243</f>
        <v>0</v>
      </c>
      <c r="U3243" s="0" t="n">
        <f aca="false">F3243*F3243</f>
        <v>0.0625</v>
      </c>
      <c r="V3243" s="0" t="n">
        <f aca="false">G3243*G3243</f>
        <v>1</v>
      </c>
      <c r="W3243" s="0" t="n">
        <f aca="false">H3243*H3243</f>
        <v>0.5625</v>
      </c>
      <c r="X3243" s="0" t="n">
        <f aca="false">SUMPRODUCT(I3243:W3243,_XtX!$B$96:$P$96)</f>
        <v>47.7901361476608</v>
      </c>
      <c r="Y3243" s="0" t="n">
        <f aca="false">SUMPRODUCT(MMULT(I3243:W3243,_XtX!$B$78:$P$92),I3243:W3243)</f>
        <v>0.501534802174708</v>
      </c>
      <c r="Z3243" s="0" t="n">
        <f aca="false">04_回帰ANOVA!$K$19*04_回帰ANOVA!$K$14*SQRT(1+Y3243)</f>
        <v>1.59722498091333</v>
      </c>
      <c r="AA3243" s="0" t="n">
        <f aca="false">X3243-Z3243</f>
        <v>46.1929111667474</v>
      </c>
      <c r="AB3243" s="0" t="n">
        <f aca="false">X3243+Z3243</f>
        <v>49.3873611285741</v>
      </c>
      <c r="AC3243" s="54" t="b">
        <f aca="false">AND(E3243&gt;=01_因子設定!$L$5-0.000000001,E3243&lt;=01_因子設定!$M$5+0.000000001,F3243&gt;=01_因子設定!$L$6-0.000000001,F3243&lt;=01_因子設定!$M$6+0.000000001,G3243&gt;=01_因子設定!$L$7-0.000000001,G3243&lt;=01_因子設定!$M$7+0.000000001,H3243&gt;=01_因子設定!$L$8-0.000000001,H3243&lt;=01_因子設定!$M$8+0.000000001,IF(01_因子設定!$B$20="Box-Behnken",E3243^2+F3243^2+G3243^2+H3243^2&lt;=2+0.000000001,TRUE()))</f>
        <v>1</v>
      </c>
      <c r="AD3243" s="55" t="n">
        <f aca="false">IF(AC3243,IF(01_因子設定!$B$13="最大化",AA3243-01_因子設定!$B$14,IF(01_因子設定!$B$13="最小化",01_因子設定!$B$15-AB3243,MIN(AA3243-01_因子設定!$B$14,01_因子設定!$B$15-AB3243))),-1E+030)</f>
        <v>-0.307088833252557</v>
      </c>
      <c r="AE3243" s="55" t="n">
        <f aca="false">IF(AC3243,IF(01_因子設定!$B$13="最大化",X3243,IF(01_因子設定!$B$13="最小化",-X3243,-ABS(X3243-01_因子設定!$B$16))),-1E+030)</f>
        <v>47.7901361476608</v>
      </c>
      <c r="AF3243" s="55" t="n">
        <f aca="false">AD3243+ROW()*0.000000001</f>
        <v>-0.307085590252557</v>
      </c>
      <c r="AG3243" s="55" t="n">
        <f aca="false">AE3243+ROW()*0.000000001</f>
        <v>47.7901393906608</v>
      </c>
    </row>
    <row r="3244" customFormat="false" ht="15" hidden="false" customHeight="false" outlineLevel="0" collapsed="false">
      <c r="A3244" s="0" t="n">
        <v>4</v>
      </c>
      <c r="B3244" s="0" t="n">
        <v>3</v>
      </c>
      <c r="C3244" s="0" t="n">
        <v>8</v>
      </c>
      <c r="D3244" s="0" t="n">
        <v>8</v>
      </c>
      <c r="E3244" s="0" t="n">
        <f aca="false">-1+A3244*0.25</f>
        <v>0</v>
      </c>
      <c r="F3244" s="0" t="n">
        <f aca="false">-1+B3244*0.25</f>
        <v>-0.25</v>
      </c>
      <c r="G3244" s="0" t="n">
        <f aca="false">-1+C3244*0.25</f>
        <v>1</v>
      </c>
      <c r="H3244" s="0" t="n">
        <f aca="false">-1+D3244*0.25</f>
        <v>1</v>
      </c>
      <c r="I3244" s="0" t="n">
        <f aca="false">1</f>
        <v>1</v>
      </c>
      <c r="J3244" s="0" t="n">
        <f aca="false">E3244</f>
        <v>0</v>
      </c>
      <c r="K3244" s="0" t="n">
        <f aca="false">F3244</f>
        <v>-0.25</v>
      </c>
      <c r="L3244" s="0" t="n">
        <f aca="false">G3244</f>
        <v>1</v>
      </c>
      <c r="M3244" s="0" t="n">
        <f aca="false">H3244</f>
        <v>1</v>
      </c>
      <c r="N3244" s="0" t="n">
        <f aca="false">E3244*F3244</f>
        <v>-0</v>
      </c>
      <c r="O3244" s="0" t="n">
        <f aca="false">E3244*G3244</f>
        <v>0</v>
      </c>
      <c r="P3244" s="0" t="n">
        <f aca="false">E3244*H3244</f>
        <v>0</v>
      </c>
      <c r="Q3244" s="0" t="n">
        <f aca="false">F3244*G3244</f>
        <v>-0.25</v>
      </c>
      <c r="R3244" s="0" t="n">
        <f aca="false">F3244*H3244</f>
        <v>-0.25</v>
      </c>
      <c r="S3244" s="0" t="n">
        <f aca="false">G3244*H3244</f>
        <v>1</v>
      </c>
      <c r="T3244" s="0" t="n">
        <f aca="false">E3244*E3244</f>
        <v>0</v>
      </c>
      <c r="U3244" s="0" t="n">
        <f aca="false">F3244*F3244</f>
        <v>0.0625</v>
      </c>
      <c r="V3244" s="0" t="n">
        <f aca="false">G3244*G3244</f>
        <v>1</v>
      </c>
      <c r="W3244" s="0" t="n">
        <f aca="false">H3244*H3244</f>
        <v>1</v>
      </c>
      <c r="X3244" s="0" t="n">
        <f aca="false">SUMPRODUCT(I3244:W3244,_XtX!$B$96:$P$96)</f>
        <v>47.8093567251462</v>
      </c>
      <c r="Y3244" s="0" t="n">
        <f aca="false">SUMPRODUCT(MMULT(I3244:W3244,_XtX!$B$78:$P$92),I3244:W3244)</f>
        <v>0.689692982456141</v>
      </c>
      <c r="Z3244" s="0" t="n">
        <f aca="false">04_回帰ANOVA!$K$19*04_回帰ANOVA!$K$14*SQRT(1+Y3244)</f>
        <v>1.69434674594998</v>
      </c>
      <c r="AA3244" s="0" t="n">
        <f aca="false">X3244-Z3244</f>
        <v>46.1150099791962</v>
      </c>
      <c r="AB3244" s="0" t="n">
        <f aca="false">X3244+Z3244</f>
        <v>49.5037034710962</v>
      </c>
      <c r="AC3244" s="54" t="b">
        <f aca="false">AND(E3244&gt;=01_因子設定!$L$5-0.000000001,E3244&lt;=01_因子設定!$M$5+0.000000001,F3244&gt;=01_因子設定!$L$6-0.000000001,F3244&lt;=01_因子設定!$M$6+0.000000001,G3244&gt;=01_因子設定!$L$7-0.000000001,G3244&lt;=01_因子設定!$M$7+0.000000001,H3244&gt;=01_因子設定!$L$8-0.000000001,H3244&lt;=01_因子設定!$M$8+0.000000001,IF(01_因子設定!$B$20="Box-Behnken",E3244^2+F3244^2+G3244^2+H3244^2&lt;=2+0.000000001,TRUE()))</f>
        <v>1</v>
      </c>
      <c r="AD3244" s="55" t="n">
        <f aca="false">IF(AC3244,IF(01_因子設定!$B$13="最大化",AA3244-01_因子設定!$B$14,IF(01_因子設定!$B$13="最小化",01_因子設定!$B$15-AB3244,MIN(AA3244-01_因子設定!$B$14,01_因子設定!$B$15-AB3244))),-1E+030)</f>
        <v>-0.384990020803812</v>
      </c>
      <c r="AE3244" s="55" t="n">
        <f aca="false">IF(AC3244,IF(01_因子設定!$B$13="最大化",X3244,IF(01_因子設定!$B$13="最小化",-X3244,-ABS(X3244-01_因子設定!$B$16))),-1E+030)</f>
        <v>47.8093567251462</v>
      </c>
      <c r="AF3244" s="55" t="n">
        <f aca="false">AD3244+ROW()*0.000000001</f>
        <v>-0.384986776803812</v>
      </c>
      <c r="AG3244" s="55" t="n">
        <f aca="false">AE3244+ROW()*0.000000001</f>
        <v>47.8093599691462</v>
      </c>
    </row>
    <row r="3245" customFormat="false" ht="15" hidden="false" customHeight="false" outlineLevel="0" collapsed="false">
      <c r="A3245" s="0" t="n">
        <v>4</v>
      </c>
      <c r="B3245" s="0" t="n">
        <v>4</v>
      </c>
      <c r="C3245" s="0" t="n">
        <v>0</v>
      </c>
      <c r="D3245" s="0" t="n">
        <v>0</v>
      </c>
      <c r="E3245" s="0" t="n">
        <f aca="false">-1+A3245*0.25</f>
        <v>0</v>
      </c>
      <c r="F3245" s="0" t="n">
        <f aca="false">-1+B3245*0.25</f>
        <v>0</v>
      </c>
      <c r="G3245" s="0" t="n">
        <f aca="false">-1+C3245*0.25</f>
        <v>-1</v>
      </c>
      <c r="H3245" s="0" t="n">
        <f aca="false">-1+D3245*0.25</f>
        <v>-1</v>
      </c>
      <c r="I3245" s="0" t="n">
        <f aca="false">1</f>
        <v>1</v>
      </c>
      <c r="J3245" s="0" t="n">
        <f aca="false">E3245</f>
        <v>0</v>
      </c>
      <c r="K3245" s="0" t="n">
        <f aca="false">F3245</f>
        <v>0</v>
      </c>
      <c r="L3245" s="0" t="n">
        <f aca="false">G3245</f>
        <v>-1</v>
      </c>
      <c r="M3245" s="0" t="n">
        <f aca="false">H3245</f>
        <v>-1</v>
      </c>
      <c r="N3245" s="0" t="n">
        <f aca="false">E3245*F3245</f>
        <v>0</v>
      </c>
      <c r="O3245" s="0" t="n">
        <f aca="false">E3245*G3245</f>
        <v>-0</v>
      </c>
      <c r="P3245" s="0" t="n">
        <f aca="false">E3245*H3245</f>
        <v>-0</v>
      </c>
      <c r="Q3245" s="0" t="n">
        <f aca="false">F3245*G3245</f>
        <v>-0</v>
      </c>
      <c r="R3245" s="0" t="n">
        <f aca="false">F3245*H3245</f>
        <v>-0</v>
      </c>
      <c r="S3245" s="0" t="n">
        <f aca="false">G3245*H3245</f>
        <v>1</v>
      </c>
      <c r="T3245" s="0" t="n">
        <f aca="false">E3245*E3245</f>
        <v>0</v>
      </c>
      <c r="U3245" s="0" t="n">
        <f aca="false">F3245*F3245</f>
        <v>0</v>
      </c>
      <c r="V3245" s="0" t="n">
        <f aca="false">G3245*G3245</f>
        <v>1</v>
      </c>
      <c r="W3245" s="0" t="n">
        <f aca="false">H3245*H3245</f>
        <v>1</v>
      </c>
      <c r="X3245" s="0" t="n">
        <f aca="false">SUMPRODUCT(I3245:W3245,_XtX!$B$96:$P$96)</f>
        <v>45.7415935672514</v>
      </c>
      <c r="Y3245" s="0" t="n">
        <f aca="false">SUMPRODUCT(MMULT(I3245:W3245,_XtX!$B$78:$P$92),I3245:W3245)</f>
        <v>0.708698830409357</v>
      </c>
      <c r="Z3245" s="0" t="n">
        <f aca="false">04_回帰ANOVA!$K$19*04_回帰ANOVA!$K$14*SQRT(1+Y3245)</f>
        <v>1.70384919651719</v>
      </c>
      <c r="AA3245" s="0" t="n">
        <f aca="false">X3245-Z3245</f>
        <v>44.0377443707342</v>
      </c>
      <c r="AB3245" s="0" t="n">
        <f aca="false">X3245+Z3245</f>
        <v>47.4454427637686</v>
      </c>
      <c r="AC3245" s="54" t="b">
        <f aca="false">AND(E3245&gt;=01_因子設定!$L$5-0.000000001,E3245&lt;=01_因子設定!$M$5+0.000000001,F3245&gt;=01_因子設定!$L$6-0.000000001,F3245&lt;=01_因子設定!$M$6+0.000000001,G3245&gt;=01_因子設定!$L$7-0.000000001,G3245&lt;=01_因子設定!$M$7+0.000000001,H3245&gt;=01_因子設定!$L$8-0.000000001,H3245&lt;=01_因子設定!$M$8+0.000000001,IF(01_因子設定!$B$20="Box-Behnken",E3245^2+F3245^2+G3245^2+H3245^2&lt;=2+0.000000001,TRUE()))</f>
        <v>1</v>
      </c>
      <c r="AD3245" s="55" t="n">
        <f aca="false">IF(AC3245,IF(01_因子設定!$B$13="最大化",AA3245-01_因子設定!$B$14,IF(01_因子設定!$B$13="最小化",01_因子設定!$B$15-AB3245,MIN(AA3245-01_因子設定!$B$14,01_因子設定!$B$15-AB3245))),-1E+030)</f>
        <v>-2.46225562926576</v>
      </c>
      <c r="AE3245" s="55" t="n">
        <f aca="false">IF(AC3245,IF(01_因子設定!$B$13="最大化",X3245,IF(01_因子設定!$B$13="最小化",-X3245,-ABS(X3245-01_因子設定!$B$16))),-1E+030)</f>
        <v>45.7415935672514</v>
      </c>
      <c r="AF3245" s="55" t="n">
        <f aca="false">AD3245+ROW()*0.000000001</f>
        <v>-2.46225238426576</v>
      </c>
      <c r="AG3245" s="55" t="n">
        <f aca="false">AE3245+ROW()*0.000000001</f>
        <v>45.7415968122514</v>
      </c>
    </row>
    <row r="3246" customFormat="false" ht="15" hidden="false" customHeight="false" outlineLevel="0" collapsed="false">
      <c r="A3246" s="0" t="n">
        <v>4</v>
      </c>
      <c r="B3246" s="0" t="n">
        <v>4</v>
      </c>
      <c r="C3246" s="0" t="n">
        <v>0</v>
      </c>
      <c r="D3246" s="0" t="n">
        <v>1</v>
      </c>
      <c r="E3246" s="0" t="n">
        <f aca="false">-1+A3246*0.25</f>
        <v>0</v>
      </c>
      <c r="F3246" s="0" t="n">
        <f aca="false">-1+B3246*0.25</f>
        <v>0</v>
      </c>
      <c r="G3246" s="0" t="n">
        <f aca="false">-1+C3246*0.25</f>
        <v>-1</v>
      </c>
      <c r="H3246" s="0" t="n">
        <f aca="false">-1+D3246*0.25</f>
        <v>-0.75</v>
      </c>
      <c r="I3246" s="0" t="n">
        <f aca="false">1</f>
        <v>1</v>
      </c>
      <c r="J3246" s="0" t="n">
        <f aca="false">E3246</f>
        <v>0</v>
      </c>
      <c r="K3246" s="0" t="n">
        <f aca="false">F3246</f>
        <v>0</v>
      </c>
      <c r="L3246" s="0" t="n">
        <f aca="false">G3246</f>
        <v>-1</v>
      </c>
      <c r="M3246" s="0" t="n">
        <f aca="false">H3246</f>
        <v>-0.75</v>
      </c>
      <c r="N3246" s="0" t="n">
        <f aca="false">E3246*F3246</f>
        <v>0</v>
      </c>
      <c r="O3246" s="0" t="n">
        <f aca="false">E3246*G3246</f>
        <v>-0</v>
      </c>
      <c r="P3246" s="0" t="n">
        <f aca="false">E3246*H3246</f>
        <v>-0</v>
      </c>
      <c r="Q3246" s="0" t="n">
        <f aca="false">F3246*G3246</f>
        <v>-0</v>
      </c>
      <c r="R3246" s="0" t="n">
        <f aca="false">F3246*H3246</f>
        <v>-0</v>
      </c>
      <c r="S3246" s="0" t="n">
        <f aca="false">G3246*H3246</f>
        <v>0.75</v>
      </c>
      <c r="T3246" s="0" t="n">
        <f aca="false">E3246*E3246</f>
        <v>0</v>
      </c>
      <c r="U3246" s="0" t="n">
        <f aca="false">F3246*F3246</f>
        <v>0</v>
      </c>
      <c r="V3246" s="0" t="n">
        <f aca="false">G3246*G3246</f>
        <v>1</v>
      </c>
      <c r="W3246" s="0" t="n">
        <f aca="false">H3246*H3246</f>
        <v>0.5625</v>
      </c>
      <c r="X3246" s="0" t="n">
        <f aca="false">SUMPRODUCT(I3246:W3246,_XtX!$B$96:$P$96)</f>
        <v>45.9384320175438</v>
      </c>
      <c r="Y3246" s="0" t="n">
        <f aca="false">SUMPRODUCT(MMULT(I3246:W3246,_XtX!$B$78:$P$92),I3246:W3246)</f>
        <v>0.516013340643275</v>
      </c>
      <c r="Z3246" s="0" t="n">
        <f aca="false">04_回帰ANOVA!$K$19*04_回帰ANOVA!$K$14*SQRT(1+Y3246)</f>
        <v>1.60490712175667</v>
      </c>
      <c r="AA3246" s="0" t="n">
        <f aca="false">X3246-Z3246</f>
        <v>44.3335248957872</v>
      </c>
      <c r="AB3246" s="0" t="n">
        <f aca="false">X3246+Z3246</f>
        <v>47.5433391393005</v>
      </c>
      <c r="AC3246" s="54" t="b">
        <f aca="false">AND(E3246&gt;=01_因子設定!$L$5-0.000000001,E3246&lt;=01_因子設定!$M$5+0.000000001,F3246&gt;=01_因子設定!$L$6-0.000000001,F3246&lt;=01_因子設定!$M$6+0.000000001,G3246&gt;=01_因子設定!$L$7-0.000000001,G3246&lt;=01_因子設定!$M$7+0.000000001,H3246&gt;=01_因子設定!$L$8-0.000000001,H3246&lt;=01_因子設定!$M$8+0.000000001,IF(01_因子設定!$B$20="Box-Behnken",E3246^2+F3246^2+G3246^2+H3246^2&lt;=2+0.000000001,TRUE()))</f>
        <v>1</v>
      </c>
      <c r="AD3246" s="55" t="n">
        <f aca="false">IF(AC3246,IF(01_因子設定!$B$13="最大化",AA3246-01_因子設定!$B$14,IF(01_因子設定!$B$13="最小化",01_因子設定!$B$15-AB3246,MIN(AA3246-01_因子設定!$B$14,01_因子設定!$B$15-AB3246))),-1E+030)</f>
        <v>-2.16647510421285</v>
      </c>
      <c r="AE3246" s="55" t="n">
        <f aca="false">IF(AC3246,IF(01_因子設定!$B$13="最大化",X3246,IF(01_因子設定!$B$13="最小化",-X3246,-ABS(X3246-01_因子設定!$B$16))),-1E+030)</f>
        <v>45.9384320175438</v>
      </c>
      <c r="AF3246" s="55" t="n">
        <f aca="false">AD3246+ROW()*0.000000001</f>
        <v>-2.16647185821285</v>
      </c>
      <c r="AG3246" s="55" t="n">
        <f aca="false">AE3246+ROW()*0.000000001</f>
        <v>45.9384352635438</v>
      </c>
    </row>
    <row r="3247" customFormat="false" ht="15" hidden="false" customHeight="false" outlineLevel="0" collapsed="false">
      <c r="A3247" s="0" t="n">
        <v>4</v>
      </c>
      <c r="B3247" s="0" t="n">
        <v>4</v>
      </c>
      <c r="C3247" s="0" t="n">
        <v>0</v>
      </c>
      <c r="D3247" s="0" t="n">
        <v>2</v>
      </c>
      <c r="E3247" s="0" t="n">
        <f aca="false">-1+A3247*0.25</f>
        <v>0</v>
      </c>
      <c r="F3247" s="0" t="n">
        <f aca="false">-1+B3247*0.25</f>
        <v>0</v>
      </c>
      <c r="G3247" s="0" t="n">
        <f aca="false">-1+C3247*0.25</f>
        <v>-1</v>
      </c>
      <c r="H3247" s="0" t="n">
        <f aca="false">-1+D3247*0.25</f>
        <v>-0.5</v>
      </c>
      <c r="I3247" s="0" t="n">
        <f aca="false">1</f>
        <v>1</v>
      </c>
      <c r="J3247" s="0" t="n">
        <f aca="false">E3247</f>
        <v>0</v>
      </c>
      <c r="K3247" s="0" t="n">
        <f aca="false">F3247</f>
        <v>0</v>
      </c>
      <c r="L3247" s="0" t="n">
        <f aca="false">G3247</f>
        <v>-1</v>
      </c>
      <c r="M3247" s="0" t="n">
        <f aca="false">H3247</f>
        <v>-0.5</v>
      </c>
      <c r="N3247" s="0" t="n">
        <f aca="false">E3247*F3247</f>
        <v>0</v>
      </c>
      <c r="O3247" s="0" t="n">
        <f aca="false">E3247*G3247</f>
        <v>-0</v>
      </c>
      <c r="P3247" s="0" t="n">
        <f aca="false">E3247*H3247</f>
        <v>-0</v>
      </c>
      <c r="Q3247" s="0" t="n">
        <f aca="false">F3247*G3247</f>
        <v>-0</v>
      </c>
      <c r="R3247" s="0" t="n">
        <f aca="false">F3247*H3247</f>
        <v>-0</v>
      </c>
      <c r="S3247" s="0" t="n">
        <f aca="false">G3247*H3247</f>
        <v>0.5</v>
      </c>
      <c r="T3247" s="0" t="n">
        <f aca="false">E3247*E3247</f>
        <v>0</v>
      </c>
      <c r="U3247" s="0" t="n">
        <f aca="false">F3247*F3247</f>
        <v>0</v>
      </c>
      <c r="V3247" s="0" t="n">
        <f aca="false">G3247*G3247</f>
        <v>1</v>
      </c>
      <c r="W3247" s="0" t="n">
        <f aca="false">H3247*H3247</f>
        <v>0.25</v>
      </c>
      <c r="X3247" s="0" t="n">
        <f aca="false">SUMPRODUCT(I3247:W3247,_XtX!$B$96:$P$96)</f>
        <v>46.0874634502924</v>
      </c>
      <c r="Y3247" s="0" t="n">
        <f aca="false">SUMPRODUCT(MMULT(I3247:W3247,_XtX!$B$78:$P$92),I3247:W3247)</f>
        <v>0.468841374269006</v>
      </c>
      <c r="Z3247" s="0" t="n">
        <f aca="false">04_回帰ANOVA!$K$19*04_回帰ANOVA!$K$14*SQRT(1+Y3247)</f>
        <v>1.57974082366087</v>
      </c>
      <c r="AA3247" s="0" t="n">
        <f aca="false">X3247-Z3247</f>
        <v>44.5077226266315</v>
      </c>
      <c r="AB3247" s="0" t="n">
        <f aca="false">X3247+Z3247</f>
        <v>47.6672042739532</v>
      </c>
      <c r="AC3247" s="54" t="b">
        <f aca="false">AND(E3247&gt;=01_因子設定!$L$5-0.000000001,E3247&lt;=01_因子設定!$M$5+0.000000001,F3247&gt;=01_因子設定!$L$6-0.000000001,F3247&lt;=01_因子設定!$M$6+0.000000001,G3247&gt;=01_因子設定!$L$7-0.000000001,G3247&lt;=01_因子設定!$M$7+0.000000001,H3247&gt;=01_因子設定!$L$8-0.000000001,H3247&lt;=01_因子設定!$M$8+0.000000001,IF(01_因子設定!$B$20="Box-Behnken",E3247^2+F3247^2+G3247^2+H3247^2&lt;=2+0.000000001,TRUE()))</f>
        <v>1</v>
      </c>
      <c r="AD3247" s="55" t="n">
        <f aca="false">IF(AC3247,IF(01_因子設定!$B$13="最大化",AA3247-01_因子設定!$B$14,IF(01_因子設定!$B$13="最小化",01_因子設定!$B$15-AB3247,MIN(AA3247-01_因子設定!$B$14,01_因子設定!$B$15-AB3247))),-1E+030)</f>
        <v>-1.99227737336853</v>
      </c>
      <c r="AE3247" s="55" t="n">
        <f aca="false">IF(AC3247,IF(01_因子設定!$B$13="最大化",X3247,IF(01_因子設定!$B$13="最小化",-X3247,-ABS(X3247-01_因子設定!$B$16))),-1E+030)</f>
        <v>46.0874634502924</v>
      </c>
      <c r="AF3247" s="55" t="n">
        <f aca="false">AD3247+ROW()*0.000000001</f>
        <v>-1.99227412636853</v>
      </c>
      <c r="AG3247" s="55" t="n">
        <f aca="false">AE3247+ROW()*0.000000001</f>
        <v>46.0874666972924</v>
      </c>
    </row>
    <row r="3248" customFormat="false" ht="15" hidden="false" customHeight="false" outlineLevel="0" collapsed="false">
      <c r="A3248" s="0" t="n">
        <v>4</v>
      </c>
      <c r="B3248" s="0" t="n">
        <v>4</v>
      </c>
      <c r="C3248" s="0" t="n">
        <v>0</v>
      </c>
      <c r="D3248" s="0" t="n">
        <v>3</v>
      </c>
      <c r="E3248" s="0" t="n">
        <f aca="false">-1+A3248*0.25</f>
        <v>0</v>
      </c>
      <c r="F3248" s="0" t="n">
        <f aca="false">-1+B3248*0.25</f>
        <v>0</v>
      </c>
      <c r="G3248" s="0" t="n">
        <f aca="false">-1+C3248*0.25</f>
        <v>-1</v>
      </c>
      <c r="H3248" s="0" t="n">
        <f aca="false">-1+D3248*0.25</f>
        <v>-0.25</v>
      </c>
      <c r="I3248" s="0" t="n">
        <f aca="false">1</f>
        <v>1</v>
      </c>
      <c r="J3248" s="0" t="n">
        <f aca="false">E3248</f>
        <v>0</v>
      </c>
      <c r="K3248" s="0" t="n">
        <f aca="false">F3248</f>
        <v>0</v>
      </c>
      <c r="L3248" s="0" t="n">
        <f aca="false">G3248</f>
        <v>-1</v>
      </c>
      <c r="M3248" s="0" t="n">
        <f aca="false">H3248</f>
        <v>-0.25</v>
      </c>
      <c r="N3248" s="0" t="n">
        <f aca="false">E3248*F3248</f>
        <v>0</v>
      </c>
      <c r="O3248" s="0" t="n">
        <f aca="false">E3248*G3248</f>
        <v>-0</v>
      </c>
      <c r="P3248" s="0" t="n">
        <f aca="false">E3248*H3248</f>
        <v>-0</v>
      </c>
      <c r="Q3248" s="0" t="n">
        <f aca="false">F3248*G3248</f>
        <v>-0</v>
      </c>
      <c r="R3248" s="0" t="n">
        <f aca="false">F3248*H3248</f>
        <v>-0</v>
      </c>
      <c r="S3248" s="0" t="n">
        <f aca="false">G3248*H3248</f>
        <v>0.25</v>
      </c>
      <c r="T3248" s="0" t="n">
        <f aca="false">E3248*E3248</f>
        <v>0</v>
      </c>
      <c r="U3248" s="0" t="n">
        <f aca="false">F3248*F3248</f>
        <v>0</v>
      </c>
      <c r="V3248" s="0" t="n">
        <f aca="false">G3248*G3248</f>
        <v>1</v>
      </c>
      <c r="W3248" s="0" t="n">
        <f aca="false">H3248*H3248</f>
        <v>0.0625</v>
      </c>
      <c r="X3248" s="0" t="n">
        <f aca="false">SUMPRODUCT(I3248:W3248,_XtX!$B$96:$P$96)</f>
        <v>46.188687865497</v>
      </c>
      <c r="Y3248" s="0" t="n">
        <f aca="false">SUMPRODUCT(MMULT(I3248:W3248,_XtX!$B$78:$P$92),I3248:W3248)</f>
        <v>0.476722404970761</v>
      </c>
      <c r="Z3248" s="0" t="n">
        <f aca="false">04_回帰ANOVA!$K$19*04_回帰ANOVA!$K$14*SQRT(1+Y3248)</f>
        <v>1.58397318352695</v>
      </c>
      <c r="AA3248" s="0" t="n">
        <f aca="false">X3248-Z3248</f>
        <v>44.6047146819701</v>
      </c>
      <c r="AB3248" s="0" t="n">
        <f aca="false">X3248+Z3248</f>
        <v>47.772661049024</v>
      </c>
      <c r="AC3248" s="54" t="b">
        <f aca="false">AND(E3248&gt;=01_因子設定!$L$5-0.000000001,E3248&lt;=01_因子設定!$M$5+0.000000001,F3248&gt;=01_因子設定!$L$6-0.000000001,F3248&lt;=01_因子設定!$M$6+0.000000001,G3248&gt;=01_因子設定!$L$7-0.000000001,G3248&lt;=01_因子設定!$M$7+0.000000001,H3248&gt;=01_因子設定!$L$8-0.000000001,H3248&lt;=01_因子設定!$M$8+0.000000001,IF(01_因子設定!$B$20="Box-Behnken",E3248^2+F3248^2+G3248^2+H3248^2&lt;=2+0.000000001,TRUE()))</f>
        <v>1</v>
      </c>
      <c r="AD3248" s="55" t="n">
        <f aca="false">IF(AC3248,IF(01_因子設定!$B$13="最大化",AA3248-01_因子設定!$B$14,IF(01_因子設定!$B$13="最小化",01_因子設定!$B$15-AB3248,MIN(AA3248-01_因子設定!$B$14,01_因子設定!$B$15-AB3248))),-1E+030)</f>
        <v>-1.89528531802993</v>
      </c>
      <c r="AE3248" s="55" t="n">
        <f aca="false">IF(AC3248,IF(01_因子設定!$B$13="最大化",X3248,IF(01_因子設定!$B$13="最小化",-X3248,-ABS(X3248-01_因子設定!$B$16))),-1E+030)</f>
        <v>46.188687865497</v>
      </c>
      <c r="AF3248" s="55" t="n">
        <f aca="false">AD3248+ROW()*0.000000001</f>
        <v>-1.89528207002993</v>
      </c>
      <c r="AG3248" s="55" t="n">
        <f aca="false">AE3248+ROW()*0.000000001</f>
        <v>46.188691113497</v>
      </c>
    </row>
    <row r="3249" customFormat="false" ht="15" hidden="false" customHeight="false" outlineLevel="0" collapsed="false">
      <c r="A3249" s="0" t="n">
        <v>4</v>
      </c>
      <c r="B3249" s="0" t="n">
        <v>4</v>
      </c>
      <c r="C3249" s="0" t="n">
        <v>0</v>
      </c>
      <c r="D3249" s="0" t="n">
        <v>4</v>
      </c>
      <c r="E3249" s="0" t="n">
        <f aca="false">-1+A3249*0.25</f>
        <v>0</v>
      </c>
      <c r="F3249" s="0" t="n">
        <f aca="false">-1+B3249*0.25</f>
        <v>0</v>
      </c>
      <c r="G3249" s="0" t="n">
        <f aca="false">-1+C3249*0.25</f>
        <v>-1</v>
      </c>
      <c r="H3249" s="0" t="n">
        <f aca="false">-1+D3249*0.25</f>
        <v>0</v>
      </c>
      <c r="I3249" s="0" t="n">
        <f aca="false">1</f>
        <v>1</v>
      </c>
      <c r="J3249" s="0" t="n">
        <f aca="false">E3249</f>
        <v>0</v>
      </c>
      <c r="K3249" s="0" t="n">
        <f aca="false">F3249</f>
        <v>0</v>
      </c>
      <c r="L3249" s="0" t="n">
        <f aca="false">G3249</f>
        <v>-1</v>
      </c>
      <c r="M3249" s="0" t="n">
        <f aca="false">H3249</f>
        <v>0</v>
      </c>
      <c r="N3249" s="0" t="n">
        <f aca="false">E3249*F3249</f>
        <v>0</v>
      </c>
      <c r="O3249" s="0" t="n">
        <f aca="false">E3249*G3249</f>
        <v>-0</v>
      </c>
      <c r="P3249" s="0" t="n">
        <f aca="false">E3249*H3249</f>
        <v>0</v>
      </c>
      <c r="Q3249" s="0" t="n">
        <f aca="false">F3249*G3249</f>
        <v>-0</v>
      </c>
      <c r="R3249" s="0" t="n">
        <f aca="false">F3249*H3249</f>
        <v>0</v>
      </c>
      <c r="S3249" s="0" t="n">
        <f aca="false">G3249*H3249</f>
        <v>-0</v>
      </c>
      <c r="T3249" s="0" t="n">
        <f aca="false">E3249*E3249</f>
        <v>0</v>
      </c>
      <c r="U3249" s="0" t="n">
        <f aca="false">F3249*F3249</f>
        <v>0</v>
      </c>
      <c r="V3249" s="0" t="n">
        <f aca="false">G3249*G3249</f>
        <v>1</v>
      </c>
      <c r="W3249" s="0" t="n">
        <f aca="false">H3249*H3249</f>
        <v>0</v>
      </c>
      <c r="X3249" s="0" t="n">
        <f aca="false">SUMPRODUCT(I3249:W3249,_XtX!$B$96:$P$96)</f>
        <v>46.2421052631578</v>
      </c>
      <c r="Y3249" s="0" t="n">
        <f aca="false">SUMPRODUCT(MMULT(I3249:W3249,_XtX!$B$78:$P$92),I3249:W3249)</f>
        <v>0.485380116959065</v>
      </c>
      <c r="Z3249" s="0" t="n">
        <f aca="false">04_回帰ANOVA!$K$19*04_回帰ANOVA!$K$14*SQRT(1+Y3249)</f>
        <v>1.58860964814545</v>
      </c>
      <c r="AA3249" s="0" t="n">
        <f aca="false">X3249-Z3249</f>
        <v>44.6534956150124</v>
      </c>
      <c r="AB3249" s="0" t="n">
        <f aca="false">X3249+Z3249</f>
        <v>47.8307149113033</v>
      </c>
      <c r="AC3249" s="54" t="b">
        <f aca="false">AND(E3249&gt;=01_因子設定!$L$5-0.000000001,E3249&lt;=01_因子設定!$M$5+0.000000001,F3249&gt;=01_因子設定!$L$6-0.000000001,F3249&lt;=01_因子設定!$M$6+0.000000001,G3249&gt;=01_因子設定!$L$7-0.000000001,G3249&lt;=01_因子設定!$M$7+0.000000001,H3249&gt;=01_因子設定!$L$8-0.000000001,H3249&lt;=01_因子設定!$M$8+0.000000001,IF(01_因子設定!$B$20="Box-Behnken",E3249^2+F3249^2+G3249^2+H3249^2&lt;=2+0.000000001,TRUE()))</f>
        <v>1</v>
      </c>
      <c r="AD3249" s="55" t="n">
        <f aca="false">IF(AC3249,IF(01_因子設定!$B$13="最大化",AA3249-01_因子設定!$B$14,IF(01_因子設定!$B$13="最小化",01_因子設定!$B$15-AB3249,MIN(AA3249-01_因子設定!$B$14,01_因子設定!$B$15-AB3249))),-1E+030)</f>
        <v>-1.84650438498762</v>
      </c>
      <c r="AE3249" s="55" t="n">
        <f aca="false">IF(AC3249,IF(01_因子設定!$B$13="最大化",X3249,IF(01_因子設定!$B$13="最小化",-X3249,-ABS(X3249-01_因子設定!$B$16))),-1E+030)</f>
        <v>46.2421052631578</v>
      </c>
      <c r="AF3249" s="55" t="n">
        <f aca="false">AD3249+ROW()*0.000000001</f>
        <v>-1.84650113598762</v>
      </c>
      <c r="AG3249" s="55" t="n">
        <f aca="false">AE3249+ROW()*0.000000001</f>
        <v>46.2421085121578</v>
      </c>
    </row>
    <row r="3250" customFormat="false" ht="15" hidden="false" customHeight="false" outlineLevel="0" collapsed="false">
      <c r="A3250" s="0" t="n">
        <v>4</v>
      </c>
      <c r="B3250" s="0" t="n">
        <v>4</v>
      </c>
      <c r="C3250" s="0" t="n">
        <v>0</v>
      </c>
      <c r="D3250" s="0" t="n">
        <v>5</v>
      </c>
      <c r="E3250" s="0" t="n">
        <f aca="false">-1+A3250*0.25</f>
        <v>0</v>
      </c>
      <c r="F3250" s="0" t="n">
        <f aca="false">-1+B3250*0.25</f>
        <v>0</v>
      </c>
      <c r="G3250" s="0" t="n">
        <f aca="false">-1+C3250*0.25</f>
        <v>-1</v>
      </c>
      <c r="H3250" s="0" t="n">
        <f aca="false">-1+D3250*0.25</f>
        <v>0.25</v>
      </c>
      <c r="I3250" s="0" t="n">
        <f aca="false">1</f>
        <v>1</v>
      </c>
      <c r="J3250" s="0" t="n">
        <f aca="false">E3250</f>
        <v>0</v>
      </c>
      <c r="K3250" s="0" t="n">
        <f aca="false">F3250</f>
        <v>0</v>
      </c>
      <c r="L3250" s="0" t="n">
        <f aca="false">G3250</f>
        <v>-1</v>
      </c>
      <c r="M3250" s="0" t="n">
        <f aca="false">H3250</f>
        <v>0.25</v>
      </c>
      <c r="N3250" s="0" t="n">
        <f aca="false">E3250*F3250</f>
        <v>0</v>
      </c>
      <c r="O3250" s="0" t="n">
        <f aca="false">E3250*G3250</f>
        <v>-0</v>
      </c>
      <c r="P3250" s="0" t="n">
        <f aca="false">E3250*H3250</f>
        <v>0</v>
      </c>
      <c r="Q3250" s="0" t="n">
        <f aca="false">F3250*G3250</f>
        <v>-0</v>
      </c>
      <c r="R3250" s="0" t="n">
        <f aca="false">F3250*H3250</f>
        <v>0</v>
      </c>
      <c r="S3250" s="0" t="n">
        <f aca="false">G3250*H3250</f>
        <v>-0.25</v>
      </c>
      <c r="T3250" s="0" t="n">
        <f aca="false">E3250*E3250</f>
        <v>0</v>
      </c>
      <c r="U3250" s="0" t="n">
        <f aca="false">F3250*F3250</f>
        <v>0</v>
      </c>
      <c r="V3250" s="0" t="n">
        <f aca="false">G3250*G3250</f>
        <v>1</v>
      </c>
      <c r="W3250" s="0" t="n">
        <f aca="false">H3250*H3250</f>
        <v>0.0625</v>
      </c>
      <c r="X3250" s="0" t="n">
        <f aca="false">SUMPRODUCT(I3250:W3250,_XtX!$B$96:$P$96)</f>
        <v>46.2477156432748</v>
      </c>
      <c r="Y3250" s="0" t="n">
        <f aca="false">SUMPRODUCT(MMULT(I3250:W3250,_XtX!$B$78:$P$92),I3250:W3250)</f>
        <v>0.476722404970761</v>
      </c>
      <c r="Z3250" s="0" t="n">
        <f aca="false">04_回帰ANOVA!$K$19*04_回帰ANOVA!$K$14*SQRT(1+Y3250)</f>
        <v>1.58397318352695</v>
      </c>
      <c r="AA3250" s="0" t="n">
        <f aca="false">X3250-Z3250</f>
        <v>44.6637424597479</v>
      </c>
      <c r="AB3250" s="0" t="n">
        <f aca="false">X3250+Z3250</f>
        <v>47.8316888268017</v>
      </c>
      <c r="AC3250" s="54" t="b">
        <f aca="false">AND(E3250&gt;=01_因子設定!$L$5-0.000000001,E3250&lt;=01_因子設定!$M$5+0.000000001,F3250&gt;=01_因子設定!$L$6-0.000000001,F3250&lt;=01_因子設定!$M$6+0.000000001,G3250&gt;=01_因子設定!$L$7-0.000000001,G3250&lt;=01_因子設定!$M$7+0.000000001,H3250&gt;=01_因子設定!$L$8-0.000000001,H3250&lt;=01_因子設定!$M$8+0.000000001,IF(01_因子設定!$B$20="Box-Behnken",E3250^2+F3250^2+G3250^2+H3250^2&lt;=2+0.000000001,TRUE()))</f>
        <v>1</v>
      </c>
      <c r="AD3250" s="55" t="n">
        <f aca="false">IF(AC3250,IF(01_因子設定!$B$13="最大化",AA3250-01_因子設定!$B$14,IF(01_因子設定!$B$13="最小化",01_因子設定!$B$15-AB3250,MIN(AA3250-01_因子設定!$B$14,01_因子設定!$B$15-AB3250))),-1E+030)</f>
        <v>-1.83625754025215</v>
      </c>
      <c r="AE3250" s="55" t="n">
        <f aca="false">IF(AC3250,IF(01_因子設定!$B$13="最大化",X3250,IF(01_因子設定!$B$13="最小化",-X3250,-ABS(X3250-01_因子設定!$B$16))),-1E+030)</f>
        <v>46.2477156432748</v>
      </c>
      <c r="AF3250" s="55" t="n">
        <f aca="false">AD3250+ROW()*0.000000001</f>
        <v>-1.83625429025215</v>
      </c>
      <c r="AG3250" s="55" t="n">
        <f aca="false">AE3250+ROW()*0.000000001</f>
        <v>46.2477188932748</v>
      </c>
    </row>
    <row r="3251" customFormat="false" ht="15" hidden="false" customHeight="false" outlineLevel="0" collapsed="false">
      <c r="A3251" s="0" t="n">
        <v>4</v>
      </c>
      <c r="B3251" s="0" t="n">
        <v>4</v>
      </c>
      <c r="C3251" s="0" t="n">
        <v>0</v>
      </c>
      <c r="D3251" s="0" t="n">
        <v>6</v>
      </c>
      <c r="E3251" s="0" t="n">
        <f aca="false">-1+A3251*0.25</f>
        <v>0</v>
      </c>
      <c r="F3251" s="0" t="n">
        <f aca="false">-1+B3251*0.25</f>
        <v>0</v>
      </c>
      <c r="G3251" s="0" t="n">
        <f aca="false">-1+C3251*0.25</f>
        <v>-1</v>
      </c>
      <c r="H3251" s="0" t="n">
        <f aca="false">-1+D3251*0.25</f>
        <v>0.5</v>
      </c>
      <c r="I3251" s="0" t="n">
        <f aca="false">1</f>
        <v>1</v>
      </c>
      <c r="J3251" s="0" t="n">
        <f aca="false">E3251</f>
        <v>0</v>
      </c>
      <c r="K3251" s="0" t="n">
        <f aca="false">F3251</f>
        <v>0</v>
      </c>
      <c r="L3251" s="0" t="n">
        <f aca="false">G3251</f>
        <v>-1</v>
      </c>
      <c r="M3251" s="0" t="n">
        <f aca="false">H3251</f>
        <v>0.5</v>
      </c>
      <c r="N3251" s="0" t="n">
        <f aca="false">E3251*F3251</f>
        <v>0</v>
      </c>
      <c r="O3251" s="0" t="n">
        <f aca="false">E3251*G3251</f>
        <v>-0</v>
      </c>
      <c r="P3251" s="0" t="n">
        <f aca="false">E3251*H3251</f>
        <v>0</v>
      </c>
      <c r="Q3251" s="0" t="n">
        <f aca="false">F3251*G3251</f>
        <v>-0</v>
      </c>
      <c r="R3251" s="0" t="n">
        <f aca="false">F3251*H3251</f>
        <v>0</v>
      </c>
      <c r="S3251" s="0" t="n">
        <f aca="false">G3251*H3251</f>
        <v>-0.5</v>
      </c>
      <c r="T3251" s="0" t="n">
        <f aca="false">E3251*E3251</f>
        <v>0</v>
      </c>
      <c r="U3251" s="0" t="n">
        <f aca="false">F3251*F3251</f>
        <v>0</v>
      </c>
      <c r="V3251" s="0" t="n">
        <f aca="false">G3251*G3251</f>
        <v>1</v>
      </c>
      <c r="W3251" s="0" t="n">
        <f aca="false">H3251*H3251</f>
        <v>0.25</v>
      </c>
      <c r="X3251" s="0" t="n">
        <f aca="false">SUMPRODUCT(I3251:W3251,_XtX!$B$96:$P$96)</f>
        <v>46.2055190058479</v>
      </c>
      <c r="Y3251" s="0" t="n">
        <f aca="false">SUMPRODUCT(MMULT(I3251:W3251,_XtX!$B$78:$P$92),I3251:W3251)</f>
        <v>0.468841374269006</v>
      </c>
      <c r="Z3251" s="0" t="n">
        <f aca="false">04_回帰ANOVA!$K$19*04_回帰ANOVA!$K$14*SQRT(1+Y3251)</f>
        <v>1.57974082366087</v>
      </c>
      <c r="AA3251" s="0" t="n">
        <f aca="false">X3251-Z3251</f>
        <v>44.625778182187</v>
      </c>
      <c r="AB3251" s="0" t="n">
        <f aca="false">X3251+Z3251</f>
        <v>47.7852598295088</v>
      </c>
      <c r="AC3251" s="54" t="b">
        <f aca="false">AND(E3251&gt;=01_因子設定!$L$5-0.000000001,E3251&lt;=01_因子設定!$M$5+0.000000001,F3251&gt;=01_因子設定!$L$6-0.000000001,F3251&lt;=01_因子設定!$M$6+0.000000001,G3251&gt;=01_因子設定!$L$7-0.000000001,G3251&lt;=01_因子設定!$M$7+0.000000001,H3251&gt;=01_因子設定!$L$8-0.000000001,H3251&lt;=01_因子設定!$M$8+0.000000001,IF(01_因子設定!$B$20="Box-Behnken",E3251^2+F3251^2+G3251^2+H3251^2&lt;=2+0.000000001,TRUE()))</f>
        <v>1</v>
      </c>
      <c r="AD3251" s="55" t="n">
        <f aca="false">IF(AC3251,IF(01_因子設定!$B$13="最大化",AA3251-01_因子設定!$B$14,IF(01_因子設定!$B$13="最小化",01_因子設定!$B$15-AB3251,MIN(AA3251-01_因子設定!$B$14,01_因子設定!$B$15-AB3251))),-1E+030)</f>
        <v>-1.87422181781298</v>
      </c>
      <c r="AE3251" s="55" t="n">
        <f aca="false">IF(AC3251,IF(01_因子設定!$B$13="最大化",X3251,IF(01_因子設定!$B$13="最小化",-X3251,-ABS(X3251-01_因子設定!$B$16))),-1E+030)</f>
        <v>46.2055190058479</v>
      </c>
      <c r="AF3251" s="55" t="n">
        <f aca="false">AD3251+ROW()*0.000000001</f>
        <v>-1.87421856681298</v>
      </c>
      <c r="AG3251" s="55" t="n">
        <f aca="false">AE3251+ROW()*0.000000001</f>
        <v>46.2055222568479</v>
      </c>
    </row>
    <row r="3252" customFormat="false" ht="15" hidden="false" customHeight="false" outlineLevel="0" collapsed="false">
      <c r="A3252" s="0" t="n">
        <v>4</v>
      </c>
      <c r="B3252" s="0" t="n">
        <v>4</v>
      </c>
      <c r="C3252" s="0" t="n">
        <v>0</v>
      </c>
      <c r="D3252" s="0" t="n">
        <v>7</v>
      </c>
      <c r="E3252" s="0" t="n">
        <f aca="false">-1+A3252*0.25</f>
        <v>0</v>
      </c>
      <c r="F3252" s="0" t="n">
        <f aca="false">-1+B3252*0.25</f>
        <v>0</v>
      </c>
      <c r="G3252" s="0" t="n">
        <f aca="false">-1+C3252*0.25</f>
        <v>-1</v>
      </c>
      <c r="H3252" s="0" t="n">
        <f aca="false">-1+D3252*0.25</f>
        <v>0.75</v>
      </c>
      <c r="I3252" s="0" t="n">
        <f aca="false">1</f>
        <v>1</v>
      </c>
      <c r="J3252" s="0" t="n">
        <f aca="false">E3252</f>
        <v>0</v>
      </c>
      <c r="K3252" s="0" t="n">
        <f aca="false">F3252</f>
        <v>0</v>
      </c>
      <c r="L3252" s="0" t="n">
        <f aca="false">G3252</f>
        <v>-1</v>
      </c>
      <c r="M3252" s="0" t="n">
        <f aca="false">H3252</f>
        <v>0.75</v>
      </c>
      <c r="N3252" s="0" t="n">
        <f aca="false">E3252*F3252</f>
        <v>0</v>
      </c>
      <c r="O3252" s="0" t="n">
        <f aca="false">E3252*G3252</f>
        <v>-0</v>
      </c>
      <c r="P3252" s="0" t="n">
        <f aca="false">E3252*H3252</f>
        <v>0</v>
      </c>
      <c r="Q3252" s="0" t="n">
        <f aca="false">F3252*G3252</f>
        <v>-0</v>
      </c>
      <c r="R3252" s="0" t="n">
        <f aca="false">F3252*H3252</f>
        <v>0</v>
      </c>
      <c r="S3252" s="0" t="n">
        <f aca="false">G3252*H3252</f>
        <v>-0.75</v>
      </c>
      <c r="T3252" s="0" t="n">
        <f aca="false">E3252*E3252</f>
        <v>0</v>
      </c>
      <c r="U3252" s="0" t="n">
        <f aca="false">F3252*F3252</f>
        <v>0</v>
      </c>
      <c r="V3252" s="0" t="n">
        <f aca="false">G3252*G3252</f>
        <v>1</v>
      </c>
      <c r="W3252" s="0" t="n">
        <f aca="false">H3252*H3252</f>
        <v>0.5625</v>
      </c>
      <c r="X3252" s="0" t="n">
        <f aca="false">SUMPRODUCT(I3252:W3252,_XtX!$B$96:$P$96)</f>
        <v>46.1155153508772</v>
      </c>
      <c r="Y3252" s="0" t="n">
        <f aca="false">SUMPRODUCT(MMULT(I3252:W3252,_XtX!$B$78:$P$92),I3252:W3252)</f>
        <v>0.516013340643275</v>
      </c>
      <c r="Z3252" s="0" t="n">
        <f aca="false">04_回帰ANOVA!$K$19*04_回帰ANOVA!$K$14*SQRT(1+Y3252)</f>
        <v>1.60490712175667</v>
      </c>
      <c r="AA3252" s="0" t="n">
        <f aca="false">X3252-Z3252</f>
        <v>44.5106082291205</v>
      </c>
      <c r="AB3252" s="0" t="n">
        <f aca="false">X3252+Z3252</f>
        <v>47.7204224726338</v>
      </c>
      <c r="AC3252" s="54" t="b">
        <f aca="false">AND(E3252&gt;=01_因子設定!$L$5-0.000000001,E3252&lt;=01_因子設定!$M$5+0.000000001,F3252&gt;=01_因子設定!$L$6-0.000000001,F3252&lt;=01_因子設定!$M$6+0.000000001,G3252&gt;=01_因子設定!$L$7-0.000000001,G3252&lt;=01_因子設定!$M$7+0.000000001,H3252&gt;=01_因子設定!$L$8-0.000000001,H3252&lt;=01_因子設定!$M$8+0.000000001,IF(01_因子設定!$B$20="Box-Behnken",E3252^2+F3252^2+G3252^2+H3252^2&lt;=2+0.000000001,TRUE()))</f>
        <v>1</v>
      </c>
      <c r="AD3252" s="55" t="n">
        <f aca="false">IF(AC3252,IF(01_因子設定!$B$13="最大化",AA3252-01_因子設定!$B$14,IF(01_因子設定!$B$13="最小化",01_因子設定!$B$15-AB3252,MIN(AA3252-01_因子設定!$B$14,01_因子設定!$B$15-AB3252))),-1E+030)</f>
        <v>-1.98939177087951</v>
      </c>
      <c r="AE3252" s="55" t="n">
        <f aca="false">IF(AC3252,IF(01_因子設定!$B$13="最大化",X3252,IF(01_因子設定!$B$13="最小化",-X3252,-ABS(X3252-01_因子設定!$B$16))),-1E+030)</f>
        <v>46.1155153508772</v>
      </c>
      <c r="AF3252" s="55" t="n">
        <f aca="false">AD3252+ROW()*0.000000001</f>
        <v>-1.98938851887951</v>
      </c>
      <c r="AG3252" s="55" t="n">
        <f aca="false">AE3252+ROW()*0.000000001</f>
        <v>46.1155186028772</v>
      </c>
    </row>
    <row r="3253" customFormat="false" ht="15" hidden="false" customHeight="false" outlineLevel="0" collapsed="false">
      <c r="A3253" s="0" t="n">
        <v>4</v>
      </c>
      <c r="B3253" s="0" t="n">
        <v>4</v>
      </c>
      <c r="C3253" s="0" t="n">
        <v>0</v>
      </c>
      <c r="D3253" s="0" t="n">
        <v>8</v>
      </c>
      <c r="E3253" s="0" t="n">
        <f aca="false">-1+A3253*0.25</f>
        <v>0</v>
      </c>
      <c r="F3253" s="0" t="n">
        <f aca="false">-1+B3253*0.25</f>
        <v>0</v>
      </c>
      <c r="G3253" s="0" t="n">
        <f aca="false">-1+C3253*0.25</f>
        <v>-1</v>
      </c>
      <c r="H3253" s="0" t="n">
        <f aca="false">-1+D3253*0.25</f>
        <v>1</v>
      </c>
      <c r="I3253" s="0" t="n">
        <f aca="false">1</f>
        <v>1</v>
      </c>
      <c r="J3253" s="0" t="n">
        <f aca="false">E3253</f>
        <v>0</v>
      </c>
      <c r="K3253" s="0" t="n">
        <f aca="false">F3253</f>
        <v>0</v>
      </c>
      <c r="L3253" s="0" t="n">
        <f aca="false">G3253</f>
        <v>-1</v>
      </c>
      <c r="M3253" s="0" t="n">
        <f aca="false">H3253</f>
        <v>1</v>
      </c>
      <c r="N3253" s="0" t="n">
        <f aca="false">E3253*F3253</f>
        <v>0</v>
      </c>
      <c r="O3253" s="0" t="n">
        <f aca="false">E3253*G3253</f>
        <v>-0</v>
      </c>
      <c r="P3253" s="0" t="n">
        <f aca="false">E3253*H3253</f>
        <v>0</v>
      </c>
      <c r="Q3253" s="0" t="n">
        <f aca="false">F3253*G3253</f>
        <v>-0</v>
      </c>
      <c r="R3253" s="0" t="n">
        <f aca="false">F3253*H3253</f>
        <v>0</v>
      </c>
      <c r="S3253" s="0" t="n">
        <f aca="false">G3253*H3253</f>
        <v>-1</v>
      </c>
      <c r="T3253" s="0" t="n">
        <f aca="false">E3253*E3253</f>
        <v>0</v>
      </c>
      <c r="U3253" s="0" t="n">
        <f aca="false">F3253*F3253</f>
        <v>0</v>
      </c>
      <c r="V3253" s="0" t="n">
        <f aca="false">G3253*G3253</f>
        <v>1</v>
      </c>
      <c r="W3253" s="0" t="n">
        <f aca="false">H3253*H3253</f>
        <v>1</v>
      </c>
      <c r="X3253" s="0" t="n">
        <f aca="false">SUMPRODUCT(I3253:W3253,_XtX!$B$96:$P$96)</f>
        <v>45.9777046783626</v>
      </c>
      <c r="Y3253" s="0" t="n">
        <f aca="false">SUMPRODUCT(MMULT(I3253:W3253,_XtX!$B$78:$P$92),I3253:W3253)</f>
        <v>0.708698830409357</v>
      </c>
      <c r="Z3253" s="0" t="n">
        <f aca="false">04_回帰ANOVA!$K$19*04_回帰ANOVA!$K$14*SQRT(1+Y3253)</f>
        <v>1.70384919651719</v>
      </c>
      <c r="AA3253" s="0" t="n">
        <f aca="false">X3253-Z3253</f>
        <v>44.2738554818454</v>
      </c>
      <c r="AB3253" s="0" t="n">
        <f aca="false">X3253+Z3253</f>
        <v>47.6815538748797</v>
      </c>
      <c r="AC3253" s="54" t="b">
        <f aca="false">AND(E3253&gt;=01_因子設定!$L$5-0.000000001,E3253&lt;=01_因子設定!$M$5+0.000000001,F3253&gt;=01_因子設定!$L$6-0.000000001,F3253&lt;=01_因子設定!$M$6+0.000000001,G3253&gt;=01_因子設定!$L$7-0.000000001,G3253&lt;=01_因子設定!$M$7+0.000000001,H3253&gt;=01_因子設定!$L$8-0.000000001,H3253&lt;=01_因子設定!$M$8+0.000000001,IF(01_因子設定!$B$20="Box-Behnken",E3253^2+F3253^2+G3253^2+H3253^2&lt;=2+0.000000001,TRUE()))</f>
        <v>1</v>
      </c>
      <c r="AD3253" s="55" t="n">
        <f aca="false">IF(AC3253,IF(01_因子設定!$B$13="最大化",AA3253-01_因子設定!$B$14,IF(01_因子設定!$B$13="最小化",01_因子設定!$B$15-AB3253,MIN(AA3253-01_因子設定!$B$14,01_因子設定!$B$15-AB3253))),-1E+030)</f>
        <v>-2.22614451815464</v>
      </c>
      <c r="AE3253" s="55" t="n">
        <f aca="false">IF(AC3253,IF(01_因子設定!$B$13="最大化",X3253,IF(01_因子設定!$B$13="最小化",-X3253,-ABS(X3253-01_因子設定!$B$16))),-1E+030)</f>
        <v>45.9777046783626</v>
      </c>
      <c r="AF3253" s="55" t="n">
        <f aca="false">AD3253+ROW()*0.000000001</f>
        <v>-2.22614126515464</v>
      </c>
      <c r="AG3253" s="55" t="n">
        <f aca="false">AE3253+ROW()*0.000000001</f>
        <v>45.9777079313626</v>
      </c>
    </row>
    <row r="3254" customFormat="false" ht="15" hidden="false" customHeight="false" outlineLevel="0" collapsed="false">
      <c r="A3254" s="0" t="n">
        <v>4</v>
      </c>
      <c r="B3254" s="0" t="n">
        <v>4</v>
      </c>
      <c r="C3254" s="0" t="n">
        <v>1</v>
      </c>
      <c r="D3254" s="0" t="n">
        <v>0</v>
      </c>
      <c r="E3254" s="0" t="n">
        <f aca="false">-1+A3254*0.25</f>
        <v>0</v>
      </c>
      <c r="F3254" s="0" t="n">
        <f aca="false">-1+B3254*0.25</f>
        <v>0</v>
      </c>
      <c r="G3254" s="0" t="n">
        <f aca="false">-1+C3254*0.25</f>
        <v>-0.75</v>
      </c>
      <c r="H3254" s="0" t="n">
        <f aca="false">-1+D3254*0.25</f>
        <v>-1</v>
      </c>
      <c r="I3254" s="0" t="n">
        <f aca="false">1</f>
        <v>1</v>
      </c>
      <c r="J3254" s="0" t="n">
        <f aca="false">E3254</f>
        <v>0</v>
      </c>
      <c r="K3254" s="0" t="n">
        <f aca="false">F3254</f>
        <v>0</v>
      </c>
      <c r="L3254" s="0" t="n">
        <f aca="false">G3254</f>
        <v>-0.75</v>
      </c>
      <c r="M3254" s="0" t="n">
        <f aca="false">H3254</f>
        <v>-1</v>
      </c>
      <c r="N3254" s="0" t="n">
        <f aca="false">E3254*F3254</f>
        <v>0</v>
      </c>
      <c r="O3254" s="0" t="n">
        <f aca="false">E3254*G3254</f>
        <v>-0</v>
      </c>
      <c r="P3254" s="0" t="n">
        <f aca="false">E3254*H3254</f>
        <v>-0</v>
      </c>
      <c r="Q3254" s="0" t="n">
        <f aca="false">F3254*G3254</f>
        <v>-0</v>
      </c>
      <c r="R3254" s="0" t="n">
        <f aca="false">F3254*H3254</f>
        <v>-0</v>
      </c>
      <c r="S3254" s="0" t="n">
        <f aca="false">G3254*H3254</f>
        <v>0.75</v>
      </c>
      <c r="T3254" s="0" t="n">
        <f aca="false">E3254*E3254</f>
        <v>0</v>
      </c>
      <c r="U3254" s="0" t="n">
        <f aca="false">F3254*F3254</f>
        <v>0</v>
      </c>
      <c r="V3254" s="0" t="n">
        <f aca="false">G3254*G3254</f>
        <v>0.5625</v>
      </c>
      <c r="W3254" s="0" t="n">
        <f aca="false">H3254*H3254</f>
        <v>1</v>
      </c>
      <c r="X3254" s="0" t="n">
        <f aca="false">SUMPRODUCT(I3254:W3254,_XtX!$B$96:$P$96)</f>
        <v>46.2141264619883</v>
      </c>
      <c r="Y3254" s="0" t="n">
        <f aca="false">SUMPRODUCT(MMULT(I3254:W3254,_XtX!$B$78:$P$92),I3254:W3254)</f>
        <v>0.516013340643275</v>
      </c>
      <c r="Z3254" s="0" t="n">
        <f aca="false">04_回帰ANOVA!$K$19*04_回帰ANOVA!$K$14*SQRT(1+Y3254)</f>
        <v>1.60490712175667</v>
      </c>
      <c r="AA3254" s="0" t="n">
        <f aca="false">X3254-Z3254</f>
        <v>44.6092193402316</v>
      </c>
      <c r="AB3254" s="0" t="n">
        <f aca="false">X3254+Z3254</f>
        <v>47.819033583745</v>
      </c>
      <c r="AC3254" s="54" t="b">
        <f aca="false">AND(E3254&gt;=01_因子設定!$L$5-0.000000001,E3254&lt;=01_因子設定!$M$5+0.000000001,F3254&gt;=01_因子設定!$L$6-0.000000001,F3254&lt;=01_因子設定!$M$6+0.000000001,G3254&gt;=01_因子設定!$L$7-0.000000001,G3254&lt;=01_因子設定!$M$7+0.000000001,H3254&gt;=01_因子設定!$L$8-0.000000001,H3254&lt;=01_因子設定!$M$8+0.000000001,IF(01_因子設定!$B$20="Box-Behnken",E3254^2+F3254^2+G3254^2+H3254^2&lt;=2+0.000000001,TRUE()))</f>
        <v>1</v>
      </c>
      <c r="AD3254" s="55" t="n">
        <f aca="false">IF(AC3254,IF(01_因子設定!$B$13="最大化",AA3254-01_因子設定!$B$14,IF(01_因子設定!$B$13="最小化",01_因子設定!$B$15-AB3254,MIN(AA3254-01_因子設定!$B$14,01_因子設定!$B$15-AB3254))),-1E+030)</f>
        <v>-1.89078065976839</v>
      </c>
      <c r="AE3254" s="55" t="n">
        <f aca="false">IF(AC3254,IF(01_因子設定!$B$13="最大化",X3254,IF(01_因子設定!$B$13="最小化",-X3254,-ABS(X3254-01_因子設定!$B$16))),-1E+030)</f>
        <v>46.2141264619883</v>
      </c>
      <c r="AF3254" s="55" t="n">
        <f aca="false">AD3254+ROW()*0.000000001</f>
        <v>-1.89077740576839</v>
      </c>
      <c r="AG3254" s="55" t="n">
        <f aca="false">AE3254+ROW()*0.000000001</f>
        <v>46.2141297159883</v>
      </c>
    </row>
    <row r="3255" customFormat="false" ht="15" hidden="false" customHeight="false" outlineLevel="0" collapsed="false">
      <c r="A3255" s="0" t="n">
        <v>4</v>
      </c>
      <c r="B3255" s="0" t="n">
        <v>4</v>
      </c>
      <c r="C3255" s="0" t="n">
        <v>1</v>
      </c>
      <c r="D3255" s="0" t="n">
        <v>1</v>
      </c>
      <c r="E3255" s="0" t="n">
        <f aca="false">-1+A3255*0.25</f>
        <v>0</v>
      </c>
      <c r="F3255" s="0" t="n">
        <f aca="false">-1+B3255*0.25</f>
        <v>0</v>
      </c>
      <c r="G3255" s="0" t="n">
        <f aca="false">-1+C3255*0.25</f>
        <v>-0.75</v>
      </c>
      <c r="H3255" s="0" t="n">
        <f aca="false">-1+D3255*0.25</f>
        <v>-0.75</v>
      </c>
      <c r="I3255" s="0" t="n">
        <f aca="false">1</f>
        <v>1</v>
      </c>
      <c r="J3255" s="0" t="n">
        <f aca="false">E3255</f>
        <v>0</v>
      </c>
      <c r="K3255" s="0" t="n">
        <f aca="false">F3255</f>
        <v>0</v>
      </c>
      <c r="L3255" s="0" t="n">
        <f aca="false">G3255</f>
        <v>-0.75</v>
      </c>
      <c r="M3255" s="0" t="n">
        <f aca="false">H3255</f>
        <v>-0.75</v>
      </c>
      <c r="N3255" s="0" t="n">
        <f aca="false">E3255*F3255</f>
        <v>0</v>
      </c>
      <c r="O3255" s="0" t="n">
        <f aca="false">E3255*G3255</f>
        <v>-0</v>
      </c>
      <c r="P3255" s="0" t="n">
        <f aca="false">E3255*H3255</f>
        <v>-0</v>
      </c>
      <c r="Q3255" s="0" t="n">
        <f aca="false">F3255*G3255</f>
        <v>-0</v>
      </c>
      <c r="R3255" s="0" t="n">
        <f aca="false">F3255*H3255</f>
        <v>-0</v>
      </c>
      <c r="S3255" s="0" t="n">
        <f aca="false">G3255*H3255</f>
        <v>0.5625</v>
      </c>
      <c r="T3255" s="0" t="n">
        <f aca="false">E3255*E3255</f>
        <v>0</v>
      </c>
      <c r="U3255" s="0" t="n">
        <f aca="false">F3255*F3255</f>
        <v>0</v>
      </c>
      <c r="V3255" s="0" t="n">
        <f aca="false">G3255*G3255</f>
        <v>0.5625</v>
      </c>
      <c r="W3255" s="0" t="n">
        <f aca="false">H3255*H3255</f>
        <v>0.5625</v>
      </c>
      <c r="X3255" s="0" t="n">
        <f aca="false">SUMPRODUCT(I3255:W3255,_XtX!$B$96:$P$96)</f>
        <v>46.4289336622807</v>
      </c>
      <c r="Y3255" s="0" t="n">
        <f aca="false">SUMPRODUCT(MMULT(I3255:W3255,_XtX!$B$78:$P$92),I3255:W3255)</f>
        <v>0.291636684484649</v>
      </c>
      <c r="Z3255" s="0" t="n">
        <f aca="false">04_回帰ANOVA!$K$19*04_回帰ANOVA!$K$14*SQRT(1+Y3255)</f>
        <v>1.48138716762813</v>
      </c>
      <c r="AA3255" s="0" t="n">
        <f aca="false">X3255-Z3255</f>
        <v>44.9475464946525</v>
      </c>
      <c r="AB3255" s="0" t="n">
        <f aca="false">X3255+Z3255</f>
        <v>47.9103208299088</v>
      </c>
      <c r="AC3255" s="54" t="b">
        <f aca="false">AND(E3255&gt;=01_因子設定!$L$5-0.000000001,E3255&lt;=01_因子設定!$M$5+0.000000001,F3255&gt;=01_因子設定!$L$6-0.000000001,F3255&lt;=01_因子設定!$M$6+0.000000001,G3255&gt;=01_因子設定!$L$7-0.000000001,G3255&lt;=01_因子設定!$M$7+0.000000001,H3255&gt;=01_因子設定!$L$8-0.000000001,H3255&lt;=01_因子設定!$M$8+0.000000001,IF(01_因子設定!$B$20="Box-Behnken",E3255^2+F3255^2+G3255^2+H3255^2&lt;=2+0.000000001,TRUE()))</f>
        <v>1</v>
      </c>
      <c r="AD3255" s="55" t="n">
        <f aca="false">IF(AC3255,IF(01_因子設定!$B$13="最大化",AA3255-01_因子設定!$B$14,IF(01_因子設定!$B$13="最小化",01_因子設定!$B$15-AB3255,MIN(AA3255-01_因子設定!$B$14,01_因子設定!$B$15-AB3255))),-1E+030)</f>
        <v>-1.55245350534747</v>
      </c>
      <c r="AE3255" s="55" t="n">
        <f aca="false">IF(AC3255,IF(01_因子設定!$B$13="最大化",X3255,IF(01_因子設定!$B$13="最小化",-X3255,-ABS(X3255-01_因子設定!$B$16))),-1E+030)</f>
        <v>46.4289336622807</v>
      </c>
      <c r="AF3255" s="55" t="n">
        <f aca="false">AD3255+ROW()*0.000000001</f>
        <v>-1.55245025034747</v>
      </c>
      <c r="AG3255" s="55" t="n">
        <f aca="false">AE3255+ROW()*0.000000001</f>
        <v>46.4289369172807</v>
      </c>
    </row>
    <row r="3256" customFormat="false" ht="15" hidden="false" customHeight="false" outlineLevel="0" collapsed="false">
      <c r="A3256" s="0" t="n">
        <v>4</v>
      </c>
      <c r="B3256" s="0" t="n">
        <v>4</v>
      </c>
      <c r="C3256" s="0" t="n">
        <v>1</v>
      </c>
      <c r="D3256" s="0" t="n">
        <v>2</v>
      </c>
      <c r="E3256" s="0" t="n">
        <f aca="false">-1+A3256*0.25</f>
        <v>0</v>
      </c>
      <c r="F3256" s="0" t="n">
        <f aca="false">-1+B3256*0.25</f>
        <v>0</v>
      </c>
      <c r="G3256" s="0" t="n">
        <f aca="false">-1+C3256*0.25</f>
        <v>-0.75</v>
      </c>
      <c r="H3256" s="0" t="n">
        <f aca="false">-1+D3256*0.25</f>
        <v>-0.5</v>
      </c>
      <c r="I3256" s="0" t="n">
        <f aca="false">1</f>
        <v>1</v>
      </c>
      <c r="J3256" s="0" t="n">
        <f aca="false">E3256</f>
        <v>0</v>
      </c>
      <c r="K3256" s="0" t="n">
        <f aca="false">F3256</f>
        <v>0</v>
      </c>
      <c r="L3256" s="0" t="n">
        <f aca="false">G3256</f>
        <v>-0.75</v>
      </c>
      <c r="M3256" s="0" t="n">
        <f aca="false">H3256</f>
        <v>-0.5</v>
      </c>
      <c r="N3256" s="0" t="n">
        <f aca="false">E3256*F3256</f>
        <v>0</v>
      </c>
      <c r="O3256" s="0" t="n">
        <f aca="false">E3256*G3256</f>
        <v>-0</v>
      </c>
      <c r="P3256" s="0" t="n">
        <f aca="false">E3256*H3256</f>
        <v>-0</v>
      </c>
      <c r="Q3256" s="0" t="n">
        <f aca="false">F3256*G3256</f>
        <v>-0</v>
      </c>
      <c r="R3256" s="0" t="n">
        <f aca="false">F3256*H3256</f>
        <v>-0</v>
      </c>
      <c r="S3256" s="0" t="n">
        <f aca="false">G3256*H3256</f>
        <v>0.375</v>
      </c>
      <c r="T3256" s="0" t="n">
        <f aca="false">E3256*E3256</f>
        <v>0</v>
      </c>
      <c r="U3256" s="0" t="n">
        <f aca="false">F3256*F3256</f>
        <v>0</v>
      </c>
      <c r="V3256" s="0" t="n">
        <f aca="false">G3256*G3256</f>
        <v>0.5625</v>
      </c>
      <c r="W3256" s="0" t="n">
        <f aca="false">H3256*H3256</f>
        <v>0.25</v>
      </c>
      <c r="X3256" s="0" t="n">
        <f aca="false">SUMPRODUCT(I3256:W3256,_XtX!$B$96:$P$96)</f>
        <v>46.5959338450292</v>
      </c>
      <c r="Y3256" s="0" t="n">
        <f aca="false">SUMPRODUCT(MMULT(I3256:W3256,_XtX!$B$78:$P$92),I3256:W3256)</f>
        <v>0.221828170687135</v>
      </c>
      <c r="Z3256" s="0" t="n">
        <f aca="false">04_回帰ANOVA!$K$19*04_回帰ANOVA!$K$14*SQRT(1+Y3256)</f>
        <v>1.44079920361664</v>
      </c>
      <c r="AA3256" s="0" t="n">
        <f aca="false">X3256-Z3256</f>
        <v>45.1551346414125</v>
      </c>
      <c r="AB3256" s="0" t="n">
        <f aca="false">X3256+Z3256</f>
        <v>48.0367330486458</v>
      </c>
      <c r="AC3256" s="54" t="b">
        <f aca="false">AND(E3256&gt;=01_因子設定!$L$5-0.000000001,E3256&lt;=01_因子設定!$M$5+0.000000001,F3256&gt;=01_因子設定!$L$6-0.000000001,F3256&lt;=01_因子設定!$M$6+0.000000001,G3256&gt;=01_因子設定!$L$7-0.000000001,G3256&lt;=01_因子設定!$M$7+0.000000001,H3256&gt;=01_因子設定!$L$8-0.000000001,H3256&lt;=01_因子設定!$M$8+0.000000001,IF(01_因子設定!$B$20="Box-Behnken",E3256^2+F3256^2+G3256^2+H3256^2&lt;=2+0.000000001,TRUE()))</f>
        <v>1</v>
      </c>
      <c r="AD3256" s="55" t="n">
        <f aca="false">IF(AC3256,IF(01_因子設定!$B$13="最大化",AA3256-01_因子設定!$B$14,IF(01_因子設定!$B$13="最小化",01_因子設定!$B$15-AB3256,MIN(AA3256-01_因子設定!$B$14,01_因子設定!$B$15-AB3256))),-1E+030)</f>
        <v>-1.34486535858746</v>
      </c>
      <c r="AE3256" s="55" t="n">
        <f aca="false">IF(AC3256,IF(01_因子設定!$B$13="最大化",X3256,IF(01_因子設定!$B$13="最小化",-X3256,-ABS(X3256-01_因子設定!$B$16))),-1E+030)</f>
        <v>46.5959338450292</v>
      </c>
      <c r="AF3256" s="55" t="n">
        <f aca="false">AD3256+ROW()*0.000000001</f>
        <v>-1.34486210258746</v>
      </c>
      <c r="AG3256" s="55" t="n">
        <f aca="false">AE3256+ROW()*0.000000001</f>
        <v>46.5959371010292</v>
      </c>
    </row>
    <row r="3257" customFormat="false" ht="15" hidden="false" customHeight="false" outlineLevel="0" collapsed="false">
      <c r="A3257" s="0" t="n">
        <v>4</v>
      </c>
      <c r="B3257" s="0" t="n">
        <v>4</v>
      </c>
      <c r="C3257" s="0" t="n">
        <v>1</v>
      </c>
      <c r="D3257" s="0" t="n">
        <v>3</v>
      </c>
      <c r="E3257" s="0" t="n">
        <f aca="false">-1+A3257*0.25</f>
        <v>0</v>
      </c>
      <c r="F3257" s="0" t="n">
        <f aca="false">-1+B3257*0.25</f>
        <v>0</v>
      </c>
      <c r="G3257" s="0" t="n">
        <f aca="false">-1+C3257*0.25</f>
        <v>-0.75</v>
      </c>
      <c r="H3257" s="0" t="n">
        <f aca="false">-1+D3257*0.25</f>
        <v>-0.25</v>
      </c>
      <c r="I3257" s="0" t="n">
        <f aca="false">1</f>
        <v>1</v>
      </c>
      <c r="J3257" s="0" t="n">
        <f aca="false">E3257</f>
        <v>0</v>
      </c>
      <c r="K3257" s="0" t="n">
        <f aca="false">F3257</f>
        <v>0</v>
      </c>
      <c r="L3257" s="0" t="n">
        <f aca="false">G3257</f>
        <v>-0.75</v>
      </c>
      <c r="M3257" s="0" t="n">
        <f aca="false">H3257</f>
        <v>-0.25</v>
      </c>
      <c r="N3257" s="0" t="n">
        <f aca="false">E3257*F3257</f>
        <v>0</v>
      </c>
      <c r="O3257" s="0" t="n">
        <f aca="false">E3257*G3257</f>
        <v>-0</v>
      </c>
      <c r="P3257" s="0" t="n">
        <f aca="false">E3257*H3257</f>
        <v>-0</v>
      </c>
      <c r="Q3257" s="0" t="n">
        <f aca="false">F3257*G3257</f>
        <v>-0</v>
      </c>
      <c r="R3257" s="0" t="n">
        <f aca="false">F3257*H3257</f>
        <v>-0</v>
      </c>
      <c r="S3257" s="0" t="n">
        <f aca="false">G3257*H3257</f>
        <v>0.1875</v>
      </c>
      <c r="T3257" s="0" t="n">
        <f aca="false">E3257*E3257</f>
        <v>0</v>
      </c>
      <c r="U3257" s="0" t="n">
        <f aca="false">F3257*F3257</f>
        <v>0</v>
      </c>
      <c r="V3257" s="0" t="n">
        <f aca="false">G3257*G3257</f>
        <v>0.5625</v>
      </c>
      <c r="W3257" s="0" t="n">
        <f aca="false">H3257*H3257</f>
        <v>0.0625</v>
      </c>
      <c r="X3257" s="0" t="n">
        <f aca="false">SUMPRODUCT(I3257:W3257,_XtX!$B$96:$P$96)</f>
        <v>46.7151270102339</v>
      </c>
      <c r="Y3257" s="0" t="n">
        <f aca="false">SUMPRODUCT(MMULT(I3257:W3257,_XtX!$B$78:$P$92),I3257:W3257)</f>
        <v>0.216127272934942</v>
      </c>
      <c r="Z3257" s="0" t="n">
        <f aca="false">04_回帰ANOVA!$K$19*04_回帰ANOVA!$K$14*SQRT(1+Y3257)</f>
        <v>1.43743397896608</v>
      </c>
      <c r="AA3257" s="0" t="n">
        <f aca="false">X3257-Z3257</f>
        <v>45.2776930312678</v>
      </c>
      <c r="AB3257" s="0" t="n">
        <f aca="false">X3257+Z3257</f>
        <v>48.1525609891999</v>
      </c>
      <c r="AC3257" s="54" t="b">
        <f aca="false">AND(E3257&gt;=01_因子設定!$L$5-0.000000001,E3257&lt;=01_因子設定!$M$5+0.000000001,F3257&gt;=01_因子設定!$L$6-0.000000001,F3257&lt;=01_因子設定!$M$6+0.000000001,G3257&gt;=01_因子設定!$L$7-0.000000001,G3257&lt;=01_因子設定!$M$7+0.000000001,H3257&gt;=01_因子設定!$L$8-0.000000001,H3257&lt;=01_因子設定!$M$8+0.000000001,IF(01_因子設定!$B$20="Box-Behnken",E3257^2+F3257^2+G3257^2+H3257^2&lt;=2+0.000000001,TRUE()))</f>
        <v>1</v>
      </c>
      <c r="AD3257" s="55" t="n">
        <f aca="false">IF(AC3257,IF(01_因子設定!$B$13="最大化",AA3257-01_因子設定!$B$14,IF(01_因子設定!$B$13="最小化",01_因子設定!$B$15-AB3257,MIN(AA3257-01_因子設定!$B$14,01_因子設定!$B$15-AB3257))),-1E+030)</f>
        <v>-1.22230696873222</v>
      </c>
      <c r="AE3257" s="55" t="n">
        <f aca="false">IF(AC3257,IF(01_因子設定!$B$13="最大化",X3257,IF(01_因子設定!$B$13="最小化",-X3257,-ABS(X3257-01_因子設定!$B$16))),-1E+030)</f>
        <v>46.7151270102339</v>
      </c>
      <c r="AF3257" s="55" t="n">
        <f aca="false">AD3257+ROW()*0.000000001</f>
        <v>-1.22230371173222</v>
      </c>
      <c r="AG3257" s="55" t="n">
        <f aca="false">AE3257+ROW()*0.000000001</f>
        <v>46.7151302672339</v>
      </c>
    </row>
    <row r="3258" customFormat="false" ht="15" hidden="false" customHeight="false" outlineLevel="0" collapsed="false">
      <c r="A3258" s="0" t="n">
        <v>4</v>
      </c>
      <c r="B3258" s="0" t="n">
        <v>4</v>
      </c>
      <c r="C3258" s="0" t="n">
        <v>1</v>
      </c>
      <c r="D3258" s="0" t="n">
        <v>4</v>
      </c>
      <c r="E3258" s="0" t="n">
        <f aca="false">-1+A3258*0.25</f>
        <v>0</v>
      </c>
      <c r="F3258" s="0" t="n">
        <f aca="false">-1+B3258*0.25</f>
        <v>0</v>
      </c>
      <c r="G3258" s="0" t="n">
        <f aca="false">-1+C3258*0.25</f>
        <v>-0.75</v>
      </c>
      <c r="H3258" s="0" t="n">
        <f aca="false">-1+D3258*0.25</f>
        <v>0</v>
      </c>
      <c r="I3258" s="0" t="n">
        <f aca="false">1</f>
        <v>1</v>
      </c>
      <c r="J3258" s="0" t="n">
        <f aca="false">E3258</f>
        <v>0</v>
      </c>
      <c r="K3258" s="0" t="n">
        <f aca="false">F3258</f>
        <v>0</v>
      </c>
      <c r="L3258" s="0" t="n">
        <f aca="false">G3258</f>
        <v>-0.75</v>
      </c>
      <c r="M3258" s="0" t="n">
        <f aca="false">H3258</f>
        <v>0</v>
      </c>
      <c r="N3258" s="0" t="n">
        <f aca="false">E3258*F3258</f>
        <v>0</v>
      </c>
      <c r="O3258" s="0" t="n">
        <f aca="false">E3258*G3258</f>
        <v>-0</v>
      </c>
      <c r="P3258" s="0" t="n">
        <f aca="false">E3258*H3258</f>
        <v>0</v>
      </c>
      <c r="Q3258" s="0" t="n">
        <f aca="false">F3258*G3258</f>
        <v>-0</v>
      </c>
      <c r="R3258" s="0" t="n">
        <f aca="false">F3258*H3258</f>
        <v>0</v>
      </c>
      <c r="S3258" s="0" t="n">
        <f aca="false">G3258*H3258</f>
        <v>-0</v>
      </c>
      <c r="T3258" s="0" t="n">
        <f aca="false">E3258*E3258</f>
        <v>0</v>
      </c>
      <c r="U3258" s="0" t="n">
        <f aca="false">F3258*F3258</f>
        <v>0</v>
      </c>
      <c r="V3258" s="0" t="n">
        <f aca="false">G3258*G3258</f>
        <v>0.5625</v>
      </c>
      <c r="W3258" s="0" t="n">
        <f aca="false">H3258*H3258</f>
        <v>0</v>
      </c>
      <c r="X3258" s="0" t="n">
        <f aca="false">SUMPRODUCT(I3258:W3258,_XtX!$B$96:$P$96)</f>
        <v>46.7865131578947</v>
      </c>
      <c r="Y3258" s="0" t="n">
        <f aca="false">SUMPRODUCT(MMULT(I3258:W3258,_XtX!$B$78:$P$92),I3258:W3258)</f>
        <v>0.220257675438597</v>
      </c>
      <c r="Z3258" s="0" t="n">
        <f aca="false">04_回帰ANOVA!$K$19*04_回帰ANOVA!$K$14*SQRT(1+Y3258)</f>
        <v>1.43987292938832</v>
      </c>
      <c r="AA3258" s="0" t="n">
        <f aca="false">X3258-Z3258</f>
        <v>45.3466402285064</v>
      </c>
      <c r="AB3258" s="0" t="n">
        <f aca="false">X3258+Z3258</f>
        <v>48.226386087283</v>
      </c>
      <c r="AC3258" s="54" t="b">
        <f aca="false">AND(E3258&gt;=01_因子設定!$L$5-0.000000001,E3258&lt;=01_因子設定!$M$5+0.000000001,F3258&gt;=01_因子設定!$L$6-0.000000001,F3258&lt;=01_因子設定!$M$6+0.000000001,G3258&gt;=01_因子設定!$L$7-0.000000001,G3258&lt;=01_因子設定!$M$7+0.000000001,H3258&gt;=01_因子設定!$L$8-0.000000001,H3258&lt;=01_因子設定!$M$8+0.000000001,IF(01_因子設定!$B$20="Box-Behnken",E3258^2+F3258^2+G3258^2+H3258^2&lt;=2+0.000000001,TRUE()))</f>
        <v>1</v>
      </c>
      <c r="AD3258" s="55" t="n">
        <f aca="false">IF(AC3258,IF(01_因子設定!$B$13="最大化",AA3258-01_因子設定!$B$14,IF(01_因子設定!$B$13="最小化",01_因子設定!$B$15-AB3258,MIN(AA3258-01_因子設定!$B$14,01_因子設定!$B$15-AB3258))),-1E+030)</f>
        <v>-1.15335977149364</v>
      </c>
      <c r="AE3258" s="55" t="n">
        <f aca="false">IF(AC3258,IF(01_因子設定!$B$13="最大化",X3258,IF(01_因子設定!$B$13="最小化",-X3258,-ABS(X3258-01_因子設定!$B$16))),-1E+030)</f>
        <v>46.7865131578947</v>
      </c>
      <c r="AF3258" s="55" t="n">
        <f aca="false">AD3258+ROW()*0.000000001</f>
        <v>-1.15335651349364</v>
      </c>
      <c r="AG3258" s="55" t="n">
        <f aca="false">AE3258+ROW()*0.000000001</f>
        <v>46.7865164158947</v>
      </c>
    </row>
    <row r="3259" customFormat="false" ht="15" hidden="false" customHeight="false" outlineLevel="0" collapsed="false">
      <c r="A3259" s="0" t="n">
        <v>4</v>
      </c>
      <c r="B3259" s="0" t="n">
        <v>4</v>
      </c>
      <c r="C3259" s="0" t="n">
        <v>1</v>
      </c>
      <c r="D3259" s="0" t="n">
        <v>5</v>
      </c>
      <c r="E3259" s="0" t="n">
        <f aca="false">-1+A3259*0.25</f>
        <v>0</v>
      </c>
      <c r="F3259" s="0" t="n">
        <f aca="false">-1+B3259*0.25</f>
        <v>0</v>
      </c>
      <c r="G3259" s="0" t="n">
        <f aca="false">-1+C3259*0.25</f>
        <v>-0.75</v>
      </c>
      <c r="H3259" s="0" t="n">
        <f aca="false">-1+D3259*0.25</f>
        <v>0.25</v>
      </c>
      <c r="I3259" s="0" t="n">
        <f aca="false">1</f>
        <v>1</v>
      </c>
      <c r="J3259" s="0" t="n">
        <f aca="false">E3259</f>
        <v>0</v>
      </c>
      <c r="K3259" s="0" t="n">
        <f aca="false">F3259</f>
        <v>0</v>
      </c>
      <c r="L3259" s="0" t="n">
        <f aca="false">G3259</f>
        <v>-0.75</v>
      </c>
      <c r="M3259" s="0" t="n">
        <f aca="false">H3259</f>
        <v>0.25</v>
      </c>
      <c r="N3259" s="0" t="n">
        <f aca="false">E3259*F3259</f>
        <v>0</v>
      </c>
      <c r="O3259" s="0" t="n">
        <f aca="false">E3259*G3259</f>
        <v>-0</v>
      </c>
      <c r="P3259" s="0" t="n">
        <f aca="false">E3259*H3259</f>
        <v>0</v>
      </c>
      <c r="Q3259" s="0" t="n">
        <f aca="false">F3259*G3259</f>
        <v>-0</v>
      </c>
      <c r="R3259" s="0" t="n">
        <f aca="false">F3259*H3259</f>
        <v>0</v>
      </c>
      <c r="S3259" s="0" t="n">
        <f aca="false">G3259*H3259</f>
        <v>-0.1875</v>
      </c>
      <c r="T3259" s="0" t="n">
        <f aca="false">E3259*E3259</f>
        <v>0</v>
      </c>
      <c r="U3259" s="0" t="n">
        <f aca="false">F3259*F3259</f>
        <v>0</v>
      </c>
      <c r="V3259" s="0" t="n">
        <f aca="false">G3259*G3259</f>
        <v>0.5625</v>
      </c>
      <c r="W3259" s="0" t="n">
        <f aca="false">H3259*H3259</f>
        <v>0.0625</v>
      </c>
      <c r="X3259" s="0" t="n">
        <f aca="false">SUMPRODUCT(I3259:W3259,_XtX!$B$96:$P$96)</f>
        <v>46.8100922880116</v>
      </c>
      <c r="Y3259" s="0" t="n">
        <f aca="false">SUMPRODUCT(MMULT(I3259:W3259,_XtX!$B$78:$P$92),I3259:W3259)</f>
        <v>0.216127272934942</v>
      </c>
      <c r="Z3259" s="0" t="n">
        <f aca="false">04_回帰ANOVA!$K$19*04_回帰ANOVA!$K$14*SQRT(1+Y3259)</f>
        <v>1.43743397896608</v>
      </c>
      <c r="AA3259" s="0" t="n">
        <f aca="false">X3259-Z3259</f>
        <v>45.3726583090456</v>
      </c>
      <c r="AB3259" s="0" t="n">
        <f aca="false">X3259+Z3259</f>
        <v>48.2475262669777</v>
      </c>
      <c r="AC3259" s="54" t="b">
        <f aca="false">AND(E3259&gt;=01_因子設定!$L$5-0.000000001,E3259&lt;=01_因子設定!$M$5+0.000000001,F3259&gt;=01_因子設定!$L$6-0.000000001,F3259&lt;=01_因子設定!$M$6+0.000000001,G3259&gt;=01_因子設定!$L$7-0.000000001,G3259&lt;=01_因子設定!$M$7+0.000000001,H3259&gt;=01_因子設定!$L$8-0.000000001,H3259&lt;=01_因子設定!$M$8+0.000000001,IF(01_因子設定!$B$20="Box-Behnken",E3259^2+F3259^2+G3259^2+H3259^2&lt;=2+0.000000001,TRUE()))</f>
        <v>1</v>
      </c>
      <c r="AD3259" s="55" t="n">
        <f aca="false">IF(AC3259,IF(01_因子設定!$B$13="最大化",AA3259-01_因子設定!$B$14,IF(01_因子設定!$B$13="最小化",01_因子設定!$B$15-AB3259,MIN(AA3259-01_因子設定!$B$14,01_因子設定!$B$15-AB3259))),-1E+030)</f>
        <v>-1.12734169095445</v>
      </c>
      <c r="AE3259" s="55" t="n">
        <f aca="false">IF(AC3259,IF(01_因子設定!$B$13="最大化",X3259,IF(01_因子設定!$B$13="最小化",-X3259,-ABS(X3259-01_因子設定!$B$16))),-1E+030)</f>
        <v>46.8100922880116</v>
      </c>
      <c r="AF3259" s="55" t="n">
        <f aca="false">AD3259+ROW()*0.000000001</f>
        <v>-1.12733843195445</v>
      </c>
      <c r="AG3259" s="55" t="n">
        <f aca="false">AE3259+ROW()*0.000000001</f>
        <v>46.8100955470116</v>
      </c>
    </row>
    <row r="3260" customFormat="false" ht="15" hidden="false" customHeight="false" outlineLevel="0" collapsed="false">
      <c r="A3260" s="0" t="n">
        <v>4</v>
      </c>
      <c r="B3260" s="0" t="n">
        <v>4</v>
      </c>
      <c r="C3260" s="0" t="n">
        <v>1</v>
      </c>
      <c r="D3260" s="0" t="n">
        <v>6</v>
      </c>
      <c r="E3260" s="0" t="n">
        <f aca="false">-1+A3260*0.25</f>
        <v>0</v>
      </c>
      <c r="F3260" s="0" t="n">
        <f aca="false">-1+B3260*0.25</f>
        <v>0</v>
      </c>
      <c r="G3260" s="0" t="n">
        <f aca="false">-1+C3260*0.25</f>
        <v>-0.75</v>
      </c>
      <c r="H3260" s="0" t="n">
        <f aca="false">-1+D3260*0.25</f>
        <v>0.5</v>
      </c>
      <c r="I3260" s="0" t="n">
        <f aca="false">1</f>
        <v>1</v>
      </c>
      <c r="J3260" s="0" t="n">
        <f aca="false">E3260</f>
        <v>0</v>
      </c>
      <c r="K3260" s="0" t="n">
        <f aca="false">F3260</f>
        <v>0</v>
      </c>
      <c r="L3260" s="0" t="n">
        <f aca="false">G3260</f>
        <v>-0.75</v>
      </c>
      <c r="M3260" s="0" t="n">
        <f aca="false">H3260</f>
        <v>0.5</v>
      </c>
      <c r="N3260" s="0" t="n">
        <f aca="false">E3260*F3260</f>
        <v>0</v>
      </c>
      <c r="O3260" s="0" t="n">
        <f aca="false">E3260*G3260</f>
        <v>-0</v>
      </c>
      <c r="P3260" s="0" t="n">
        <f aca="false">E3260*H3260</f>
        <v>0</v>
      </c>
      <c r="Q3260" s="0" t="n">
        <f aca="false">F3260*G3260</f>
        <v>-0</v>
      </c>
      <c r="R3260" s="0" t="n">
        <f aca="false">F3260*H3260</f>
        <v>0</v>
      </c>
      <c r="S3260" s="0" t="n">
        <f aca="false">G3260*H3260</f>
        <v>-0.375</v>
      </c>
      <c r="T3260" s="0" t="n">
        <f aca="false">E3260*E3260</f>
        <v>0</v>
      </c>
      <c r="U3260" s="0" t="n">
        <f aca="false">F3260*F3260</f>
        <v>0</v>
      </c>
      <c r="V3260" s="0" t="n">
        <f aca="false">G3260*G3260</f>
        <v>0.5625</v>
      </c>
      <c r="W3260" s="0" t="n">
        <f aca="false">H3260*H3260</f>
        <v>0.25</v>
      </c>
      <c r="X3260" s="0" t="n">
        <f aca="false">SUMPRODUCT(I3260:W3260,_XtX!$B$96:$P$96)</f>
        <v>46.7858644005847</v>
      </c>
      <c r="Y3260" s="0" t="n">
        <f aca="false">SUMPRODUCT(MMULT(I3260:W3260,_XtX!$B$78:$P$92),I3260:W3260)</f>
        <v>0.221828170687135</v>
      </c>
      <c r="Z3260" s="0" t="n">
        <f aca="false">04_回帰ANOVA!$K$19*04_回帰ANOVA!$K$14*SQRT(1+Y3260)</f>
        <v>1.44079920361664</v>
      </c>
      <c r="AA3260" s="0" t="n">
        <f aca="false">X3260-Z3260</f>
        <v>45.3450651969681</v>
      </c>
      <c r="AB3260" s="0" t="n">
        <f aca="false">X3260+Z3260</f>
        <v>48.2266636042014</v>
      </c>
      <c r="AC3260" s="54" t="b">
        <f aca="false">AND(E3260&gt;=01_因子設定!$L$5-0.000000001,E3260&lt;=01_因子設定!$M$5+0.000000001,F3260&gt;=01_因子設定!$L$6-0.000000001,F3260&lt;=01_因子設定!$M$6+0.000000001,G3260&gt;=01_因子設定!$L$7-0.000000001,G3260&lt;=01_因子設定!$M$7+0.000000001,H3260&gt;=01_因子設定!$L$8-0.000000001,H3260&lt;=01_因子設定!$M$8+0.000000001,IF(01_因子設定!$B$20="Box-Behnken",E3260^2+F3260^2+G3260^2+H3260^2&lt;=2+0.000000001,TRUE()))</f>
        <v>1</v>
      </c>
      <c r="AD3260" s="55" t="n">
        <f aca="false">IF(AC3260,IF(01_因子設定!$B$13="最大化",AA3260-01_因子設定!$B$14,IF(01_因子設定!$B$13="最小化",01_因子設定!$B$15-AB3260,MIN(AA3260-01_因子設定!$B$14,01_因子設定!$B$15-AB3260))),-1E+030)</f>
        <v>-1.1549348030319</v>
      </c>
      <c r="AE3260" s="55" t="n">
        <f aca="false">IF(AC3260,IF(01_因子設定!$B$13="最大化",X3260,IF(01_因子設定!$B$13="最小化",-X3260,-ABS(X3260-01_因子設定!$B$16))),-1E+030)</f>
        <v>46.7858644005847</v>
      </c>
      <c r="AF3260" s="55" t="n">
        <f aca="false">AD3260+ROW()*0.000000001</f>
        <v>-1.1549315430319</v>
      </c>
      <c r="AG3260" s="55" t="n">
        <f aca="false">AE3260+ROW()*0.000000001</f>
        <v>46.7858676605847</v>
      </c>
    </row>
    <row r="3261" customFormat="false" ht="15" hidden="false" customHeight="false" outlineLevel="0" collapsed="false">
      <c r="A3261" s="0" t="n">
        <v>4</v>
      </c>
      <c r="B3261" s="0" t="n">
        <v>4</v>
      </c>
      <c r="C3261" s="0" t="n">
        <v>1</v>
      </c>
      <c r="D3261" s="0" t="n">
        <v>7</v>
      </c>
      <c r="E3261" s="0" t="n">
        <f aca="false">-1+A3261*0.25</f>
        <v>0</v>
      </c>
      <c r="F3261" s="0" t="n">
        <f aca="false">-1+B3261*0.25</f>
        <v>0</v>
      </c>
      <c r="G3261" s="0" t="n">
        <f aca="false">-1+C3261*0.25</f>
        <v>-0.75</v>
      </c>
      <c r="H3261" s="0" t="n">
        <f aca="false">-1+D3261*0.25</f>
        <v>0.75</v>
      </c>
      <c r="I3261" s="0" t="n">
        <f aca="false">1</f>
        <v>1</v>
      </c>
      <c r="J3261" s="0" t="n">
        <f aca="false">E3261</f>
        <v>0</v>
      </c>
      <c r="K3261" s="0" t="n">
        <f aca="false">F3261</f>
        <v>0</v>
      </c>
      <c r="L3261" s="0" t="n">
        <f aca="false">G3261</f>
        <v>-0.75</v>
      </c>
      <c r="M3261" s="0" t="n">
        <f aca="false">H3261</f>
        <v>0.75</v>
      </c>
      <c r="N3261" s="0" t="n">
        <f aca="false">E3261*F3261</f>
        <v>0</v>
      </c>
      <c r="O3261" s="0" t="n">
        <f aca="false">E3261*G3261</f>
        <v>-0</v>
      </c>
      <c r="P3261" s="0" t="n">
        <f aca="false">E3261*H3261</f>
        <v>0</v>
      </c>
      <c r="Q3261" s="0" t="n">
        <f aca="false">F3261*G3261</f>
        <v>-0</v>
      </c>
      <c r="R3261" s="0" t="n">
        <f aca="false">F3261*H3261</f>
        <v>0</v>
      </c>
      <c r="S3261" s="0" t="n">
        <f aca="false">G3261*H3261</f>
        <v>-0.5625</v>
      </c>
      <c r="T3261" s="0" t="n">
        <f aca="false">E3261*E3261</f>
        <v>0</v>
      </c>
      <c r="U3261" s="0" t="n">
        <f aca="false">F3261*F3261</f>
        <v>0</v>
      </c>
      <c r="V3261" s="0" t="n">
        <f aca="false">G3261*G3261</f>
        <v>0.5625</v>
      </c>
      <c r="W3261" s="0" t="n">
        <f aca="false">H3261*H3261</f>
        <v>0.5625</v>
      </c>
      <c r="X3261" s="0" t="n">
        <f aca="false">SUMPRODUCT(I3261:W3261,_XtX!$B$96:$P$96)</f>
        <v>46.713829495614</v>
      </c>
      <c r="Y3261" s="0" t="n">
        <f aca="false">SUMPRODUCT(MMULT(I3261:W3261,_XtX!$B$78:$P$92),I3261:W3261)</f>
        <v>0.291636684484649</v>
      </c>
      <c r="Z3261" s="0" t="n">
        <f aca="false">04_回帰ANOVA!$K$19*04_回帰ANOVA!$K$14*SQRT(1+Y3261)</f>
        <v>1.48138716762813</v>
      </c>
      <c r="AA3261" s="0" t="n">
        <f aca="false">X3261-Z3261</f>
        <v>45.2324423279859</v>
      </c>
      <c r="AB3261" s="0" t="n">
        <f aca="false">X3261+Z3261</f>
        <v>48.1952166632421</v>
      </c>
      <c r="AC3261" s="54" t="b">
        <f aca="false">AND(E3261&gt;=01_因子設定!$L$5-0.000000001,E3261&lt;=01_因子設定!$M$5+0.000000001,F3261&gt;=01_因子設定!$L$6-0.000000001,F3261&lt;=01_因子設定!$M$6+0.000000001,G3261&gt;=01_因子設定!$L$7-0.000000001,G3261&lt;=01_因子設定!$M$7+0.000000001,H3261&gt;=01_因子設定!$L$8-0.000000001,H3261&lt;=01_因子設定!$M$8+0.000000001,IF(01_因子設定!$B$20="Box-Behnken",E3261^2+F3261^2+G3261^2+H3261^2&lt;=2+0.000000001,TRUE()))</f>
        <v>1</v>
      </c>
      <c r="AD3261" s="55" t="n">
        <f aca="false">IF(AC3261,IF(01_因子設定!$B$13="最大化",AA3261-01_因子設定!$B$14,IF(01_因子設定!$B$13="最小化",01_因子設定!$B$15-AB3261,MIN(AA3261-01_因子設定!$B$14,01_因子設定!$B$15-AB3261))),-1E+030)</f>
        <v>-1.26755767201414</v>
      </c>
      <c r="AE3261" s="55" t="n">
        <f aca="false">IF(AC3261,IF(01_因子設定!$B$13="最大化",X3261,IF(01_因子設定!$B$13="最小化",-X3261,-ABS(X3261-01_因子設定!$B$16))),-1E+030)</f>
        <v>46.713829495614</v>
      </c>
      <c r="AF3261" s="55" t="n">
        <f aca="false">AD3261+ROW()*0.000000001</f>
        <v>-1.26755441101414</v>
      </c>
      <c r="AG3261" s="55" t="n">
        <f aca="false">AE3261+ROW()*0.000000001</f>
        <v>46.713832756614</v>
      </c>
    </row>
    <row r="3262" customFormat="false" ht="15" hidden="false" customHeight="false" outlineLevel="0" collapsed="false">
      <c r="A3262" s="0" t="n">
        <v>4</v>
      </c>
      <c r="B3262" s="0" t="n">
        <v>4</v>
      </c>
      <c r="C3262" s="0" t="n">
        <v>1</v>
      </c>
      <c r="D3262" s="0" t="n">
        <v>8</v>
      </c>
      <c r="E3262" s="0" t="n">
        <f aca="false">-1+A3262*0.25</f>
        <v>0</v>
      </c>
      <c r="F3262" s="0" t="n">
        <f aca="false">-1+B3262*0.25</f>
        <v>0</v>
      </c>
      <c r="G3262" s="0" t="n">
        <f aca="false">-1+C3262*0.25</f>
        <v>-0.75</v>
      </c>
      <c r="H3262" s="0" t="n">
        <f aca="false">-1+D3262*0.25</f>
        <v>1</v>
      </c>
      <c r="I3262" s="0" t="n">
        <f aca="false">1</f>
        <v>1</v>
      </c>
      <c r="J3262" s="0" t="n">
        <f aca="false">E3262</f>
        <v>0</v>
      </c>
      <c r="K3262" s="0" t="n">
        <f aca="false">F3262</f>
        <v>0</v>
      </c>
      <c r="L3262" s="0" t="n">
        <f aca="false">G3262</f>
        <v>-0.75</v>
      </c>
      <c r="M3262" s="0" t="n">
        <f aca="false">H3262</f>
        <v>1</v>
      </c>
      <c r="N3262" s="0" t="n">
        <f aca="false">E3262*F3262</f>
        <v>0</v>
      </c>
      <c r="O3262" s="0" t="n">
        <f aca="false">E3262*G3262</f>
        <v>-0</v>
      </c>
      <c r="P3262" s="0" t="n">
        <f aca="false">E3262*H3262</f>
        <v>0</v>
      </c>
      <c r="Q3262" s="0" t="n">
        <f aca="false">F3262*G3262</f>
        <v>-0</v>
      </c>
      <c r="R3262" s="0" t="n">
        <f aca="false">F3262*H3262</f>
        <v>0</v>
      </c>
      <c r="S3262" s="0" t="n">
        <f aca="false">G3262*H3262</f>
        <v>-0.75</v>
      </c>
      <c r="T3262" s="0" t="n">
        <f aca="false">E3262*E3262</f>
        <v>0</v>
      </c>
      <c r="U3262" s="0" t="n">
        <f aca="false">F3262*F3262</f>
        <v>0</v>
      </c>
      <c r="V3262" s="0" t="n">
        <f aca="false">G3262*G3262</f>
        <v>0.5625</v>
      </c>
      <c r="W3262" s="0" t="n">
        <f aca="false">H3262*H3262</f>
        <v>1</v>
      </c>
      <c r="X3262" s="0" t="n">
        <f aca="false">SUMPRODUCT(I3262:W3262,_XtX!$B$96:$P$96)</f>
        <v>46.5939875730994</v>
      </c>
      <c r="Y3262" s="0" t="n">
        <f aca="false">SUMPRODUCT(MMULT(I3262:W3262,_XtX!$B$78:$P$92),I3262:W3262)</f>
        <v>0.516013340643275</v>
      </c>
      <c r="Z3262" s="0" t="n">
        <f aca="false">04_回帰ANOVA!$K$19*04_回帰ANOVA!$K$14*SQRT(1+Y3262)</f>
        <v>1.60490712175667</v>
      </c>
      <c r="AA3262" s="0" t="n">
        <f aca="false">X3262-Z3262</f>
        <v>44.9890804513427</v>
      </c>
      <c r="AB3262" s="0" t="n">
        <f aca="false">X3262+Z3262</f>
        <v>48.1988946948561</v>
      </c>
      <c r="AC3262" s="54" t="b">
        <f aca="false">AND(E3262&gt;=01_因子設定!$L$5-0.000000001,E3262&lt;=01_因子設定!$M$5+0.000000001,F3262&gt;=01_因子設定!$L$6-0.000000001,F3262&lt;=01_因子設定!$M$6+0.000000001,G3262&gt;=01_因子設定!$L$7-0.000000001,G3262&lt;=01_因子設定!$M$7+0.000000001,H3262&gt;=01_因子設定!$L$8-0.000000001,H3262&lt;=01_因子設定!$M$8+0.000000001,IF(01_因子設定!$B$20="Box-Behnken",E3262^2+F3262^2+G3262^2+H3262^2&lt;=2+0.000000001,TRUE()))</f>
        <v>1</v>
      </c>
      <c r="AD3262" s="55" t="n">
        <f aca="false">IF(AC3262,IF(01_因子設定!$B$13="最大化",AA3262-01_因子設定!$B$14,IF(01_因子設定!$B$13="最小化",01_因子設定!$B$15-AB3262,MIN(AA3262-01_因子設定!$B$14,01_因子設定!$B$15-AB3262))),-1E+030)</f>
        <v>-1.51091954865728</v>
      </c>
      <c r="AE3262" s="55" t="n">
        <f aca="false">IF(AC3262,IF(01_因子設定!$B$13="最大化",X3262,IF(01_因子設定!$B$13="最小化",-X3262,-ABS(X3262-01_因子設定!$B$16))),-1E+030)</f>
        <v>46.5939875730994</v>
      </c>
      <c r="AF3262" s="55" t="n">
        <f aca="false">AD3262+ROW()*0.000000001</f>
        <v>-1.51091628665728</v>
      </c>
      <c r="AG3262" s="55" t="n">
        <f aca="false">AE3262+ROW()*0.000000001</f>
        <v>46.5939908350994</v>
      </c>
    </row>
    <row r="3263" customFormat="false" ht="15" hidden="false" customHeight="false" outlineLevel="0" collapsed="false">
      <c r="A3263" s="0" t="n">
        <v>4</v>
      </c>
      <c r="B3263" s="0" t="n">
        <v>4</v>
      </c>
      <c r="C3263" s="0" t="n">
        <v>2</v>
      </c>
      <c r="D3263" s="0" t="n">
        <v>0</v>
      </c>
      <c r="E3263" s="0" t="n">
        <f aca="false">-1+A3263*0.25</f>
        <v>0</v>
      </c>
      <c r="F3263" s="0" t="n">
        <f aca="false">-1+B3263*0.25</f>
        <v>0</v>
      </c>
      <c r="G3263" s="0" t="n">
        <f aca="false">-1+C3263*0.25</f>
        <v>-0.5</v>
      </c>
      <c r="H3263" s="0" t="n">
        <f aca="false">-1+D3263*0.25</f>
        <v>-1</v>
      </c>
      <c r="I3263" s="0" t="n">
        <f aca="false">1</f>
        <v>1</v>
      </c>
      <c r="J3263" s="0" t="n">
        <f aca="false">E3263</f>
        <v>0</v>
      </c>
      <c r="K3263" s="0" t="n">
        <f aca="false">F3263</f>
        <v>0</v>
      </c>
      <c r="L3263" s="0" t="n">
        <f aca="false">G3263</f>
        <v>-0.5</v>
      </c>
      <c r="M3263" s="0" t="n">
        <f aca="false">H3263</f>
        <v>-1</v>
      </c>
      <c r="N3263" s="0" t="n">
        <f aca="false">E3263*F3263</f>
        <v>0</v>
      </c>
      <c r="O3263" s="0" t="n">
        <f aca="false">E3263*G3263</f>
        <v>-0</v>
      </c>
      <c r="P3263" s="0" t="n">
        <f aca="false">E3263*H3263</f>
        <v>-0</v>
      </c>
      <c r="Q3263" s="0" t="n">
        <f aca="false">F3263*G3263</f>
        <v>-0</v>
      </c>
      <c r="R3263" s="0" t="n">
        <f aca="false">F3263*H3263</f>
        <v>-0</v>
      </c>
      <c r="S3263" s="0" t="n">
        <f aca="false">G3263*H3263</f>
        <v>0.5</v>
      </c>
      <c r="T3263" s="0" t="n">
        <f aca="false">E3263*E3263</f>
        <v>0</v>
      </c>
      <c r="U3263" s="0" t="n">
        <f aca="false">F3263*F3263</f>
        <v>0</v>
      </c>
      <c r="V3263" s="0" t="n">
        <f aca="false">G3263*G3263</f>
        <v>0.25</v>
      </c>
      <c r="W3263" s="0" t="n">
        <f aca="false">H3263*H3263</f>
        <v>1</v>
      </c>
      <c r="X3263" s="0" t="n">
        <f aca="false">SUMPRODUCT(I3263:W3263,_XtX!$B$96:$P$96)</f>
        <v>46.6013523391813</v>
      </c>
      <c r="Y3263" s="0" t="n">
        <f aca="false">SUMPRODUCT(MMULT(I3263:W3263,_XtX!$B$78:$P$92),I3263:W3263)</f>
        <v>0.468841374269006</v>
      </c>
      <c r="Z3263" s="0" t="n">
        <f aca="false">04_回帰ANOVA!$K$19*04_回帰ANOVA!$K$14*SQRT(1+Y3263)</f>
        <v>1.57974082366087</v>
      </c>
      <c r="AA3263" s="0" t="n">
        <f aca="false">X3263-Z3263</f>
        <v>45.0216115155204</v>
      </c>
      <c r="AB3263" s="0" t="n">
        <f aca="false">X3263+Z3263</f>
        <v>48.1810931628421</v>
      </c>
      <c r="AC3263" s="54" t="b">
        <f aca="false">AND(E3263&gt;=01_因子設定!$L$5-0.000000001,E3263&lt;=01_因子設定!$M$5+0.000000001,F3263&gt;=01_因子設定!$L$6-0.000000001,F3263&lt;=01_因子設定!$M$6+0.000000001,G3263&gt;=01_因子設定!$L$7-0.000000001,G3263&lt;=01_因子設定!$M$7+0.000000001,H3263&gt;=01_因子設定!$L$8-0.000000001,H3263&lt;=01_因子設定!$M$8+0.000000001,IF(01_因子設定!$B$20="Box-Behnken",E3263^2+F3263^2+G3263^2+H3263^2&lt;=2+0.000000001,TRUE()))</f>
        <v>1</v>
      </c>
      <c r="AD3263" s="55" t="n">
        <f aca="false">IF(AC3263,IF(01_因子設定!$B$13="最大化",AA3263-01_因子設定!$B$14,IF(01_因子設定!$B$13="最小化",01_因子設定!$B$15-AB3263,MIN(AA3263-01_因子設定!$B$14,01_因子設定!$B$15-AB3263))),-1E+030)</f>
        <v>-1.47838848447962</v>
      </c>
      <c r="AE3263" s="55" t="n">
        <f aca="false">IF(AC3263,IF(01_因子設定!$B$13="最大化",X3263,IF(01_因子設定!$B$13="最小化",-X3263,-ABS(X3263-01_因子設定!$B$16))),-1E+030)</f>
        <v>46.6013523391813</v>
      </c>
      <c r="AF3263" s="55" t="n">
        <f aca="false">AD3263+ROW()*0.000000001</f>
        <v>-1.47838522147962</v>
      </c>
      <c r="AG3263" s="55" t="n">
        <f aca="false">AE3263+ROW()*0.000000001</f>
        <v>46.6013556021813</v>
      </c>
    </row>
    <row r="3264" customFormat="false" ht="15" hidden="false" customHeight="false" outlineLevel="0" collapsed="false">
      <c r="A3264" s="0" t="n">
        <v>4</v>
      </c>
      <c r="B3264" s="0" t="n">
        <v>4</v>
      </c>
      <c r="C3264" s="0" t="n">
        <v>2</v>
      </c>
      <c r="D3264" s="0" t="n">
        <v>1</v>
      </c>
      <c r="E3264" s="0" t="n">
        <f aca="false">-1+A3264*0.25</f>
        <v>0</v>
      </c>
      <c r="F3264" s="0" t="n">
        <f aca="false">-1+B3264*0.25</f>
        <v>0</v>
      </c>
      <c r="G3264" s="0" t="n">
        <f aca="false">-1+C3264*0.25</f>
        <v>-0.5</v>
      </c>
      <c r="H3264" s="0" t="n">
        <f aca="false">-1+D3264*0.25</f>
        <v>-0.75</v>
      </c>
      <c r="I3264" s="0" t="n">
        <f aca="false">1</f>
        <v>1</v>
      </c>
      <c r="J3264" s="0" t="n">
        <f aca="false">E3264</f>
        <v>0</v>
      </c>
      <c r="K3264" s="0" t="n">
        <f aca="false">F3264</f>
        <v>0</v>
      </c>
      <c r="L3264" s="0" t="n">
        <f aca="false">G3264</f>
        <v>-0.5</v>
      </c>
      <c r="M3264" s="0" t="n">
        <f aca="false">H3264</f>
        <v>-0.75</v>
      </c>
      <c r="N3264" s="0" t="n">
        <f aca="false">E3264*F3264</f>
        <v>0</v>
      </c>
      <c r="O3264" s="0" t="n">
        <f aca="false">E3264*G3264</f>
        <v>-0</v>
      </c>
      <c r="P3264" s="0" t="n">
        <f aca="false">E3264*H3264</f>
        <v>-0</v>
      </c>
      <c r="Q3264" s="0" t="n">
        <f aca="false">F3264*G3264</f>
        <v>-0</v>
      </c>
      <c r="R3264" s="0" t="n">
        <f aca="false">F3264*H3264</f>
        <v>-0</v>
      </c>
      <c r="S3264" s="0" t="n">
        <f aca="false">G3264*H3264</f>
        <v>0.375</v>
      </c>
      <c r="T3264" s="0" t="n">
        <f aca="false">E3264*E3264</f>
        <v>0</v>
      </c>
      <c r="U3264" s="0" t="n">
        <f aca="false">F3264*F3264</f>
        <v>0</v>
      </c>
      <c r="V3264" s="0" t="n">
        <f aca="false">G3264*G3264</f>
        <v>0.25</v>
      </c>
      <c r="W3264" s="0" t="n">
        <f aca="false">H3264*H3264</f>
        <v>0.5625</v>
      </c>
      <c r="X3264" s="0" t="n">
        <f aca="false">SUMPRODUCT(I3264:W3264,_XtX!$B$96:$P$96)</f>
        <v>46.8341282894736</v>
      </c>
      <c r="Y3264" s="0" t="n">
        <f aca="false">SUMPRODUCT(MMULT(I3264:W3264,_XtX!$B$78:$P$92),I3264:W3264)</f>
        <v>0.221828170687135</v>
      </c>
      <c r="Z3264" s="0" t="n">
        <f aca="false">04_回帰ANOVA!$K$19*04_回帰ANOVA!$K$14*SQRT(1+Y3264)</f>
        <v>1.44079920361664</v>
      </c>
      <c r="AA3264" s="0" t="n">
        <f aca="false">X3264-Z3264</f>
        <v>45.393329085857</v>
      </c>
      <c r="AB3264" s="0" t="n">
        <f aca="false">X3264+Z3264</f>
        <v>48.2749274930903</v>
      </c>
      <c r="AC3264" s="54" t="b">
        <f aca="false">AND(E3264&gt;=01_因子設定!$L$5-0.000000001,E3264&lt;=01_因子設定!$M$5+0.000000001,F3264&gt;=01_因子設定!$L$6-0.000000001,F3264&lt;=01_因子設定!$M$6+0.000000001,G3264&gt;=01_因子設定!$L$7-0.000000001,G3264&lt;=01_因子設定!$M$7+0.000000001,H3264&gt;=01_因子設定!$L$8-0.000000001,H3264&lt;=01_因子設定!$M$8+0.000000001,IF(01_因子設定!$B$20="Box-Behnken",E3264^2+F3264^2+G3264^2+H3264^2&lt;=2+0.000000001,TRUE()))</f>
        <v>1</v>
      </c>
      <c r="AD3264" s="55" t="n">
        <f aca="false">IF(AC3264,IF(01_因子設定!$B$13="最大化",AA3264-01_因子設定!$B$14,IF(01_因子設定!$B$13="最小化",01_因子設定!$B$15-AB3264,MIN(AA3264-01_因子設定!$B$14,01_因子設定!$B$15-AB3264))),-1E+030)</f>
        <v>-1.106670914143</v>
      </c>
      <c r="AE3264" s="55" t="n">
        <f aca="false">IF(AC3264,IF(01_因子設定!$B$13="最大化",X3264,IF(01_因子設定!$B$13="最小化",-X3264,-ABS(X3264-01_因子設定!$B$16))),-1E+030)</f>
        <v>46.8341282894736</v>
      </c>
      <c r="AF3264" s="55" t="n">
        <f aca="false">AD3264+ROW()*0.000000001</f>
        <v>-1.106667650143</v>
      </c>
      <c r="AG3264" s="55" t="n">
        <f aca="false">AE3264+ROW()*0.000000001</f>
        <v>46.8341315534736</v>
      </c>
    </row>
    <row r="3265" customFormat="false" ht="15" hidden="false" customHeight="false" outlineLevel="0" collapsed="false">
      <c r="A3265" s="0" t="n">
        <v>4</v>
      </c>
      <c r="B3265" s="0" t="n">
        <v>4</v>
      </c>
      <c r="C3265" s="0" t="n">
        <v>2</v>
      </c>
      <c r="D3265" s="0" t="n">
        <v>2</v>
      </c>
      <c r="E3265" s="0" t="n">
        <f aca="false">-1+A3265*0.25</f>
        <v>0</v>
      </c>
      <c r="F3265" s="0" t="n">
        <f aca="false">-1+B3265*0.25</f>
        <v>0</v>
      </c>
      <c r="G3265" s="0" t="n">
        <f aca="false">-1+C3265*0.25</f>
        <v>-0.5</v>
      </c>
      <c r="H3265" s="0" t="n">
        <f aca="false">-1+D3265*0.25</f>
        <v>-0.5</v>
      </c>
      <c r="I3265" s="0" t="n">
        <f aca="false">1</f>
        <v>1</v>
      </c>
      <c r="J3265" s="0" t="n">
        <f aca="false">E3265</f>
        <v>0</v>
      </c>
      <c r="K3265" s="0" t="n">
        <f aca="false">F3265</f>
        <v>0</v>
      </c>
      <c r="L3265" s="0" t="n">
        <f aca="false">G3265</f>
        <v>-0.5</v>
      </c>
      <c r="M3265" s="0" t="n">
        <f aca="false">H3265</f>
        <v>-0.5</v>
      </c>
      <c r="N3265" s="0" t="n">
        <f aca="false">E3265*F3265</f>
        <v>0</v>
      </c>
      <c r="O3265" s="0" t="n">
        <f aca="false">E3265*G3265</f>
        <v>-0</v>
      </c>
      <c r="P3265" s="0" t="n">
        <f aca="false">E3265*H3265</f>
        <v>-0</v>
      </c>
      <c r="Q3265" s="0" t="n">
        <f aca="false">F3265*G3265</f>
        <v>-0</v>
      </c>
      <c r="R3265" s="0" t="n">
        <f aca="false">F3265*H3265</f>
        <v>-0</v>
      </c>
      <c r="S3265" s="0" t="n">
        <f aca="false">G3265*H3265</f>
        <v>0.25</v>
      </c>
      <c r="T3265" s="0" t="n">
        <f aca="false">E3265*E3265</f>
        <v>0</v>
      </c>
      <c r="U3265" s="0" t="n">
        <f aca="false">F3265*F3265</f>
        <v>0</v>
      </c>
      <c r="V3265" s="0" t="n">
        <f aca="false">G3265*G3265</f>
        <v>0.25</v>
      </c>
      <c r="W3265" s="0" t="n">
        <f aca="false">H3265*H3265</f>
        <v>0.25</v>
      </c>
      <c r="X3265" s="0" t="n">
        <f aca="false">SUMPRODUCT(I3265:W3265,_XtX!$B$96:$P$96)</f>
        <v>47.0190972222222</v>
      </c>
      <c r="Y3265" s="0" t="n">
        <f aca="false">SUMPRODUCT(MMULT(I3265:W3265,_XtX!$B$78:$P$92),I3265:W3265)</f>
        <v>0.135850694444444</v>
      </c>
      <c r="Z3265" s="0" t="n">
        <f aca="false">04_回帰ANOVA!$K$19*04_回帰ANOVA!$K$14*SQRT(1+Y3265)</f>
        <v>1.38918158179389</v>
      </c>
      <c r="AA3265" s="0" t="n">
        <f aca="false">X3265-Z3265</f>
        <v>45.6299156404283</v>
      </c>
      <c r="AB3265" s="0" t="n">
        <f aca="false">X3265+Z3265</f>
        <v>48.4082788040161</v>
      </c>
      <c r="AC3265" s="54" t="b">
        <f aca="false">AND(E3265&gt;=01_因子設定!$L$5-0.000000001,E3265&lt;=01_因子設定!$M$5+0.000000001,F3265&gt;=01_因子設定!$L$6-0.000000001,F3265&lt;=01_因子設定!$M$6+0.000000001,G3265&gt;=01_因子設定!$L$7-0.000000001,G3265&lt;=01_因子設定!$M$7+0.000000001,H3265&gt;=01_因子設定!$L$8-0.000000001,H3265&lt;=01_因子設定!$M$8+0.000000001,IF(01_因子設定!$B$20="Box-Behnken",E3265^2+F3265^2+G3265^2+H3265^2&lt;=2+0.000000001,TRUE()))</f>
        <v>1</v>
      </c>
      <c r="AD3265" s="55" t="n">
        <f aca="false">IF(AC3265,IF(01_因子設定!$B$13="最大化",AA3265-01_因子設定!$B$14,IF(01_因子設定!$B$13="最小化",01_因子設定!$B$15-AB3265,MIN(AA3265-01_因子設定!$B$14,01_因子設定!$B$15-AB3265))),-1E+030)</f>
        <v>-0.870084359571727</v>
      </c>
      <c r="AE3265" s="55" t="n">
        <f aca="false">IF(AC3265,IF(01_因子設定!$B$13="最大化",X3265,IF(01_因子設定!$B$13="最小化",-X3265,-ABS(X3265-01_因子設定!$B$16))),-1E+030)</f>
        <v>47.0190972222222</v>
      </c>
      <c r="AF3265" s="55" t="n">
        <f aca="false">AD3265+ROW()*0.000000001</f>
        <v>-0.870081094571727</v>
      </c>
      <c r="AG3265" s="55" t="n">
        <f aca="false">AE3265+ROW()*0.000000001</f>
        <v>47.0191004872222</v>
      </c>
    </row>
    <row r="3266" customFormat="false" ht="15" hidden="false" customHeight="false" outlineLevel="0" collapsed="false">
      <c r="A3266" s="0" t="n">
        <v>4</v>
      </c>
      <c r="B3266" s="0" t="n">
        <v>4</v>
      </c>
      <c r="C3266" s="0" t="n">
        <v>2</v>
      </c>
      <c r="D3266" s="0" t="n">
        <v>3</v>
      </c>
      <c r="E3266" s="0" t="n">
        <f aca="false">-1+A3266*0.25</f>
        <v>0</v>
      </c>
      <c r="F3266" s="0" t="n">
        <f aca="false">-1+B3266*0.25</f>
        <v>0</v>
      </c>
      <c r="G3266" s="0" t="n">
        <f aca="false">-1+C3266*0.25</f>
        <v>-0.5</v>
      </c>
      <c r="H3266" s="0" t="n">
        <f aca="false">-1+D3266*0.25</f>
        <v>-0.25</v>
      </c>
      <c r="I3266" s="0" t="n">
        <f aca="false">1</f>
        <v>1</v>
      </c>
      <c r="J3266" s="0" t="n">
        <f aca="false">E3266</f>
        <v>0</v>
      </c>
      <c r="K3266" s="0" t="n">
        <f aca="false">F3266</f>
        <v>0</v>
      </c>
      <c r="L3266" s="0" t="n">
        <f aca="false">G3266</f>
        <v>-0.5</v>
      </c>
      <c r="M3266" s="0" t="n">
        <f aca="false">H3266</f>
        <v>-0.25</v>
      </c>
      <c r="N3266" s="0" t="n">
        <f aca="false">E3266*F3266</f>
        <v>0</v>
      </c>
      <c r="O3266" s="0" t="n">
        <f aca="false">E3266*G3266</f>
        <v>-0</v>
      </c>
      <c r="P3266" s="0" t="n">
        <f aca="false">E3266*H3266</f>
        <v>-0</v>
      </c>
      <c r="Q3266" s="0" t="n">
        <f aca="false">F3266*G3266</f>
        <v>-0</v>
      </c>
      <c r="R3266" s="0" t="n">
        <f aca="false">F3266*H3266</f>
        <v>-0</v>
      </c>
      <c r="S3266" s="0" t="n">
        <f aca="false">G3266*H3266</f>
        <v>0.125</v>
      </c>
      <c r="T3266" s="0" t="n">
        <f aca="false">E3266*E3266</f>
        <v>0</v>
      </c>
      <c r="U3266" s="0" t="n">
        <f aca="false">F3266*F3266</f>
        <v>0</v>
      </c>
      <c r="V3266" s="0" t="n">
        <f aca="false">G3266*G3266</f>
        <v>0.25</v>
      </c>
      <c r="W3266" s="0" t="n">
        <f aca="false">H3266*H3266</f>
        <v>0.0625</v>
      </c>
      <c r="X3266" s="0" t="n">
        <f aca="false">SUMPRODUCT(I3266:W3266,_XtX!$B$96:$P$96)</f>
        <v>47.1562591374268</v>
      </c>
      <c r="Y3266" s="0" t="n">
        <f aca="false">SUMPRODUCT(MMULT(I3266:W3266,_XtX!$B$78:$P$92),I3266:W3266)</f>
        <v>0.120448419225146</v>
      </c>
      <c r="Z3266" s="0" t="n">
        <f aca="false">04_回帰ANOVA!$K$19*04_回帰ANOVA!$K$14*SQRT(1+Y3266)</f>
        <v>1.37973069703246</v>
      </c>
      <c r="AA3266" s="0" t="n">
        <f aca="false">X3266-Z3266</f>
        <v>45.7765284403944</v>
      </c>
      <c r="AB3266" s="0" t="n">
        <f aca="false">X3266+Z3266</f>
        <v>48.5359898344593</v>
      </c>
      <c r="AC3266" s="54" t="b">
        <f aca="false">AND(E3266&gt;=01_因子設定!$L$5-0.000000001,E3266&lt;=01_因子設定!$M$5+0.000000001,F3266&gt;=01_因子設定!$L$6-0.000000001,F3266&lt;=01_因子設定!$M$6+0.000000001,G3266&gt;=01_因子設定!$L$7-0.000000001,G3266&lt;=01_因子設定!$M$7+0.000000001,H3266&gt;=01_因子設定!$L$8-0.000000001,H3266&lt;=01_因子設定!$M$8+0.000000001,IF(01_因子設定!$B$20="Box-Behnken",E3266^2+F3266^2+G3266^2+H3266^2&lt;=2+0.000000001,TRUE()))</f>
        <v>1</v>
      </c>
      <c r="AD3266" s="55" t="n">
        <f aca="false">IF(AC3266,IF(01_因子設定!$B$13="最大化",AA3266-01_因子設定!$B$14,IF(01_因子設定!$B$13="最小化",01_因子設定!$B$15-AB3266,MIN(AA3266-01_因子設定!$B$14,01_因子設定!$B$15-AB3266))),-1E+030)</f>
        <v>-0.723471559605628</v>
      </c>
      <c r="AE3266" s="55" t="n">
        <f aca="false">IF(AC3266,IF(01_因子設定!$B$13="最大化",X3266,IF(01_因子設定!$B$13="最小化",-X3266,-ABS(X3266-01_因子設定!$B$16))),-1E+030)</f>
        <v>47.1562591374268</v>
      </c>
      <c r="AF3266" s="55" t="n">
        <f aca="false">AD3266+ROW()*0.000000001</f>
        <v>-0.723468293605628</v>
      </c>
      <c r="AG3266" s="55" t="n">
        <f aca="false">AE3266+ROW()*0.000000001</f>
        <v>47.1562624034268</v>
      </c>
    </row>
    <row r="3267" customFormat="false" ht="15" hidden="false" customHeight="false" outlineLevel="0" collapsed="false">
      <c r="A3267" s="0" t="n">
        <v>4</v>
      </c>
      <c r="B3267" s="0" t="n">
        <v>4</v>
      </c>
      <c r="C3267" s="0" t="n">
        <v>2</v>
      </c>
      <c r="D3267" s="0" t="n">
        <v>4</v>
      </c>
      <c r="E3267" s="0" t="n">
        <f aca="false">-1+A3267*0.25</f>
        <v>0</v>
      </c>
      <c r="F3267" s="0" t="n">
        <f aca="false">-1+B3267*0.25</f>
        <v>0</v>
      </c>
      <c r="G3267" s="0" t="n">
        <f aca="false">-1+C3267*0.25</f>
        <v>-0.5</v>
      </c>
      <c r="H3267" s="0" t="n">
        <f aca="false">-1+D3267*0.25</f>
        <v>0</v>
      </c>
      <c r="I3267" s="0" t="n">
        <f aca="false">1</f>
        <v>1</v>
      </c>
      <c r="J3267" s="0" t="n">
        <f aca="false">E3267</f>
        <v>0</v>
      </c>
      <c r="K3267" s="0" t="n">
        <f aca="false">F3267</f>
        <v>0</v>
      </c>
      <c r="L3267" s="0" t="n">
        <f aca="false">G3267</f>
        <v>-0.5</v>
      </c>
      <c r="M3267" s="0" t="n">
        <f aca="false">H3267</f>
        <v>0</v>
      </c>
      <c r="N3267" s="0" t="n">
        <f aca="false">E3267*F3267</f>
        <v>0</v>
      </c>
      <c r="O3267" s="0" t="n">
        <f aca="false">E3267*G3267</f>
        <v>-0</v>
      </c>
      <c r="P3267" s="0" t="n">
        <f aca="false">E3267*H3267</f>
        <v>0</v>
      </c>
      <c r="Q3267" s="0" t="n">
        <f aca="false">F3267*G3267</f>
        <v>-0</v>
      </c>
      <c r="R3267" s="0" t="n">
        <f aca="false">F3267*H3267</f>
        <v>0</v>
      </c>
      <c r="S3267" s="0" t="n">
        <f aca="false">G3267*H3267</f>
        <v>-0</v>
      </c>
      <c r="T3267" s="0" t="n">
        <f aca="false">E3267*E3267</f>
        <v>0</v>
      </c>
      <c r="U3267" s="0" t="n">
        <f aca="false">F3267*F3267</f>
        <v>0</v>
      </c>
      <c r="V3267" s="0" t="n">
        <f aca="false">G3267*G3267</f>
        <v>0.25</v>
      </c>
      <c r="W3267" s="0" t="n">
        <f aca="false">H3267*H3267</f>
        <v>0</v>
      </c>
      <c r="X3267" s="0" t="n">
        <f aca="false">SUMPRODUCT(I3267:W3267,_XtX!$B$96:$P$96)</f>
        <v>47.2456140350877</v>
      </c>
      <c r="Y3267" s="0" t="n">
        <f aca="false">SUMPRODUCT(MMULT(I3267:W3267,_XtX!$B$78:$P$92),I3267:W3267)</f>
        <v>0.121345029239766</v>
      </c>
      <c r="Z3267" s="0" t="n">
        <f aca="false">04_回帰ANOVA!$K$19*04_回帰ANOVA!$K$14*SQRT(1+Y3267)</f>
        <v>1.3802826336289</v>
      </c>
      <c r="AA3267" s="0" t="n">
        <f aca="false">X3267-Z3267</f>
        <v>45.8653314014588</v>
      </c>
      <c r="AB3267" s="0" t="n">
        <f aca="false">X3267+Z3267</f>
        <v>48.6258966687166</v>
      </c>
      <c r="AC3267" s="54" t="b">
        <f aca="false">AND(E3267&gt;=01_因子設定!$L$5-0.000000001,E3267&lt;=01_因子設定!$M$5+0.000000001,F3267&gt;=01_因子設定!$L$6-0.000000001,F3267&lt;=01_因子設定!$M$6+0.000000001,G3267&gt;=01_因子設定!$L$7-0.000000001,G3267&lt;=01_因子設定!$M$7+0.000000001,H3267&gt;=01_因子設定!$L$8-0.000000001,H3267&lt;=01_因子設定!$M$8+0.000000001,IF(01_因子設定!$B$20="Box-Behnken",E3267^2+F3267^2+G3267^2+H3267^2&lt;=2+0.000000001,TRUE()))</f>
        <v>1</v>
      </c>
      <c r="AD3267" s="55" t="n">
        <f aca="false">IF(AC3267,IF(01_因子設定!$B$13="最大化",AA3267-01_因子設定!$B$14,IF(01_因子設定!$B$13="最小化",01_因子設定!$B$15-AB3267,MIN(AA3267-01_因子設定!$B$14,01_因子設定!$B$15-AB3267))),-1E+030)</f>
        <v>-0.634668598541246</v>
      </c>
      <c r="AE3267" s="55" t="n">
        <f aca="false">IF(AC3267,IF(01_因子設定!$B$13="最大化",X3267,IF(01_因子設定!$B$13="最小化",-X3267,-ABS(X3267-01_因子設定!$B$16))),-1E+030)</f>
        <v>47.2456140350877</v>
      </c>
      <c r="AF3267" s="55" t="n">
        <f aca="false">AD3267+ROW()*0.000000001</f>
        <v>-0.634665331541246</v>
      </c>
      <c r="AG3267" s="55" t="n">
        <f aca="false">AE3267+ROW()*0.000000001</f>
        <v>47.2456173020877</v>
      </c>
    </row>
    <row r="3268" customFormat="false" ht="15" hidden="false" customHeight="false" outlineLevel="0" collapsed="false">
      <c r="A3268" s="0" t="n">
        <v>4</v>
      </c>
      <c r="B3268" s="0" t="n">
        <v>4</v>
      </c>
      <c r="C3268" s="0" t="n">
        <v>2</v>
      </c>
      <c r="D3268" s="0" t="n">
        <v>5</v>
      </c>
      <c r="E3268" s="0" t="n">
        <f aca="false">-1+A3268*0.25</f>
        <v>0</v>
      </c>
      <c r="F3268" s="0" t="n">
        <f aca="false">-1+B3268*0.25</f>
        <v>0</v>
      </c>
      <c r="G3268" s="0" t="n">
        <f aca="false">-1+C3268*0.25</f>
        <v>-0.5</v>
      </c>
      <c r="H3268" s="0" t="n">
        <f aca="false">-1+D3268*0.25</f>
        <v>0.25</v>
      </c>
      <c r="I3268" s="0" t="n">
        <f aca="false">1</f>
        <v>1</v>
      </c>
      <c r="J3268" s="0" t="n">
        <f aca="false">E3268</f>
        <v>0</v>
      </c>
      <c r="K3268" s="0" t="n">
        <f aca="false">F3268</f>
        <v>0</v>
      </c>
      <c r="L3268" s="0" t="n">
        <f aca="false">G3268</f>
        <v>-0.5</v>
      </c>
      <c r="M3268" s="0" t="n">
        <f aca="false">H3268</f>
        <v>0.25</v>
      </c>
      <c r="N3268" s="0" t="n">
        <f aca="false">E3268*F3268</f>
        <v>0</v>
      </c>
      <c r="O3268" s="0" t="n">
        <f aca="false">E3268*G3268</f>
        <v>-0</v>
      </c>
      <c r="P3268" s="0" t="n">
        <f aca="false">E3268*H3268</f>
        <v>0</v>
      </c>
      <c r="Q3268" s="0" t="n">
        <f aca="false">F3268*G3268</f>
        <v>-0</v>
      </c>
      <c r="R3268" s="0" t="n">
        <f aca="false">F3268*H3268</f>
        <v>0</v>
      </c>
      <c r="S3268" s="0" t="n">
        <f aca="false">G3268*H3268</f>
        <v>-0.125</v>
      </c>
      <c r="T3268" s="0" t="n">
        <f aca="false">E3268*E3268</f>
        <v>0</v>
      </c>
      <c r="U3268" s="0" t="n">
        <f aca="false">F3268*F3268</f>
        <v>0</v>
      </c>
      <c r="V3268" s="0" t="n">
        <f aca="false">G3268*G3268</f>
        <v>0.25</v>
      </c>
      <c r="W3268" s="0" t="n">
        <f aca="false">H3268*H3268</f>
        <v>0.0625</v>
      </c>
      <c r="X3268" s="0" t="n">
        <f aca="false">SUMPRODUCT(I3268:W3268,_XtX!$B$96:$P$96)</f>
        <v>47.2871619152046</v>
      </c>
      <c r="Y3268" s="0" t="n">
        <f aca="false">SUMPRODUCT(MMULT(I3268:W3268,_XtX!$B$78:$P$92),I3268:W3268)</f>
        <v>0.120448419225146</v>
      </c>
      <c r="Z3268" s="0" t="n">
        <f aca="false">04_回帰ANOVA!$K$19*04_回帰ANOVA!$K$14*SQRT(1+Y3268)</f>
        <v>1.37973069703246</v>
      </c>
      <c r="AA3268" s="0" t="n">
        <f aca="false">X3268-Z3268</f>
        <v>45.9074312181722</v>
      </c>
      <c r="AB3268" s="0" t="n">
        <f aca="false">X3268+Z3268</f>
        <v>48.6668926122371</v>
      </c>
      <c r="AC3268" s="54" t="b">
        <f aca="false">AND(E3268&gt;=01_因子設定!$L$5-0.000000001,E3268&lt;=01_因子設定!$M$5+0.000000001,F3268&gt;=01_因子設定!$L$6-0.000000001,F3268&lt;=01_因子設定!$M$6+0.000000001,G3268&gt;=01_因子設定!$L$7-0.000000001,G3268&lt;=01_因子設定!$M$7+0.000000001,H3268&gt;=01_因子設定!$L$8-0.000000001,H3268&lt;=01_因子設定!$M$8+0.000000001,IF(01_因子設定!$B$20="Box-Behnken",E3268^2+F3268^2+G3268^2+H3268^2&lt;=2+0.000000001,TRUE()))</f>
        <v>1</v>
      </c>
      <c r="AD3268" s="55" t="n">
        <f aca="false">IF(AC3268,IF(01_因子設定!$B$13="最大化",AA3268-01_因子設定!$B$14,IF(01_因子設定!$B$13="最小化",01_因子設定!$B$15-AB3268,MIN(AA3268-01_因子設定!$B$14,01_因子設定!$B$15-AB3268))),-1E+030)</f>
        <v>-0.59256878182785</v>
      </c>
      <c r="AE3268" s="55" t="n">
        <f aca="false">IF(AC3268,IF(01_因子設定!$B$13="最大化",X3268,IF(01_因子設定!$B$13="最小化",-X3268,-ABS(X3268-01_因子設定!$B$16))),-1E+030)</f>
        <v>47.2871619152046</v>
      </c>
      <c r="AF3268" s="55" t="n">
        <f aca="false">AD3268+ROW()*0.000000001</f>
        <v>-0.592565513827851</v>
      </c>
      <c r="AG3268" s="55" t="n">
        <f aca="false">AE3268+ROW()*0.000000001</f>
        <v>47.2871651832046</v>
      </c>
    </row>
    <row r="3269" customFormat="false" ht="15" hidden="false" customHeight="false" outlineLevel="0" collapsed="false">
      <c r="A3269" s="0" t="n">
        <v>4</v>
      </c>
      <c r="B3269" s="0" t="n">
        <v>4</v>
      </c>
      <c r="C3269" s="0" t="n">
        <v>2</v>
      </c>
      <c r="D3269" s="0" t="n">
        <v>6</v>
      </c>
      <c r="E3269" s="0" t="n">
        <f aca="false">-1+A3269*0.25</f>
        <v>0</v>
      </c>
      <c r="F3269" s="0" t="n">
        <f aca="false">-1+B3269*0.25</f>
        <v>0</v>
      </c>
      <c r="G3269" s="0" t="n">
        <f aca="false">-1+C3269*0.25</f>
        <v>-0.5</v>
      </c>
      <c r="H3269" s="0" t="n">
        <f aca="false">-1+D3269*0.25</f>
        <v>0.5</v>
      </c>
      <c r="I3269" s="0" t="n">
        <f aca="false">1</f>
        <v>1</v>
      </c>
      <c r="J3269" s="0" t="n">
        <f aca="false">E3269</f>
        <v>0</v>
      </c>
      <c r="K3269" s="0" t="n">
        <f aca="false">F3269</f>
        <v>0</v>
      </c>
      <c r="L3269" s="0" t="n">
        <f aca="false">G3269</f>
        <v>-0.5</v>
      </c>
      <c r="M3269" s="0" t="n">
        <f aca="false">H3269</f>
        <v>0.5</v>
      </c>
      <c r="N3269" s="0" t="n">
        <f aca="false">E3269*F3269</f>
        <v>0</v>
      </c>
      <c r="O3269" s="0" t="n">
        <f aca="false">E3269*G3269</f>
        <v>-0</v>
      </c>
      <c r="P3269" s="0" t="n">
        <f aca="false">E3269*H3269</f>
        <v>0</v>
      </c>
      <c r="Q3269" s="0" t="n">
        <f aca="false">F3269*G3269</f>
        <v>-0</v>
      </c>
      <c r="R3269" s="0" t="n">
        <f aca="false">F3269*H3269</f>
        <v>0</v>
      </c>
      <c r="S3269" s="0" t="n">
        <f aca="false">G3269*H3269</f>
        <v>-0.25</v>
      </c>
      <c r="T3269" s="0" t="n">
        <f aca="false">E3269*E3269</f>
        <v>0</v>
      </c>
      <c r="U3269" s="0" t="n">
        <f aca="false">F3269*F3269</f>
        <v>0</v>
      </c>
      <c r="V3269" s="0" t="n">
        <f aca="false">G3269*G3269</f>
        <v>0.25</v>
      </c>
      <c r="W3269" s="0" t="n">
        <f aca="false">H3269*H3269</f>
        <v>0.25</v>
      </c>
      <c r="X3269" s="0" t="n">
        <f aca="false">SUMPRODUCT(I3269:W3269,_XtX!$B$96:$P$96)</f>
        <v>47.2809027777777</v>
      </c>
      <c r="Y3269" s="0" t="n">
        <f aca="false">SUMPRODUCT(MMULT(I3269:W3269,_XtX!$B$78:$P$92),I3269:W3269)</f>
        <v>0.135850694444444</v>
      </c>
      <c r="Z3269" s="0" t="n">
        <f aca="false">04_回帰ANOVA!$K$19*04_回帰ANOVA!$K$14*SQRT(1+Y3269)</f>
        <v>1.38918158179389</v>
      </c>
      <c r="AA3269" s="0" t="n">
        <f aca="false">X3269-Z3269</f>
        <v>45.8917211959838</v>
      </c>
      <c r="AB3269" s="0" t="n">
        <f aca="false">X3269+Z3269</f>
        <v>48.6700843595716</v>
      </c>
      <c r="AC3269" s="54" t="b">
        <f aca="false">AND(E3269&gt;=01_因子設定!$L$5-0.000000001,E3269&lt;=01_因子設定!$M$5+0.000000001,F3269&gt;=01_因子設定!$L$6-0.000000001,F3269&lt;=01_因子設定!$M$6+0.000000001,G3269&gt;=01_因子設定!$L$7-0.000000001,G3269&lt;=01_因子設定!$M$7+0.000000001,H3269&gt;=01_因子設定!$L$8-0.000000001,H3269&lt;=01_因子設定!$M$8+0.000000001,IF(01_因子設定!$B$20="Box-Behnken",E3269^2+F3269^2+G3269^2+H3269^2&lt;=2+0.000000001,TRUE()))</f>
        <v>1</v>
      </c>
      <c r="AD3269" s="55" t="n">
        <f aca="false">IF(AC3269,IF(01_因子設定!$B$13="最大化",AA3269-01_因子設定!$B$14,IF(01_因子設定!$B$13="最小化",01_因子設定!$B$15-AB3269,MIN(AA3269-01_因子設定!$B$14,01_因子設定!$B$15-AB3269))),-1E+030)</f>
        <v>-0.608278804016173</v>
      </c>
      <c r="AE3269" s="55" t="n">
        <f aca="false">IF(AC3269,IF(01_因子設定!$B$13="最大化",X3269,IF(01_因子設定!$B$13="最小化",-X3269,-ABS(X3269-01_因子設定!$B$16))),-1E+030)</f>
        <v>47.2809027777777</v>
      </c>
      <c r="AF3269" s="55" t="n">
        <f aca="false">AD3269+ROW()*0.000000001</f>
        <v>-0.608275535016173</v>
      </c>
      <c r="AG3269" s="55" t="n">
        <f aca="false">AE3269+ROW()*0.000000001</f>
        <v>47.2809060467777</v>
      </c>
    </row>
    <row r="3270" customFormat="false" ht="15" hidden="false" customHeight="false" outlineLevel="0" collapsed="false">
      <c r="A3270" s="0" t="n">
        <v>4</v>
      </c>
      <c r="B3270" s="0" t="n">
        <v>4</v>
      </c>
      <c r="C3270" s="0" t="n">
        <v>2</v>
      </c>
      <c r="D3270" s="0" t="n">
        <v>7</v>
      </c>
      <c r="E3270" s="0" t="n">
        <f aca="false">-1+A3270*0.25</f>
        <v>0</v>
      </c>
      <c r="F3270" s="0" t="n">
        <f aca="false">-1+B3270*0.25</f>
        <v>0</v>
      </c>
      <c r="G3270" s="0" t="n">
        <f aca="false">-1+C3270*0.25</f>
        <v>-0.5</v>
      </c>
      <c r="H3270" s="0" t="n">
        <f aca="false">-1+D3270*0.25</f>
        <v>0.75</v>
      </c>
      <c r="I3270" s="0" t="n">
        <f aca="false">1</f>
        <v>1</v>
      </c>
      <c r="J3270" s="0" t="n">
        <f aca="false">E3270</f>
        <v>0</v>
      </c>
      <c r="K3270" s="0" t="n">
        <f aca="false">F3270</f>
        <v>0</v>
      </c>
      <c r="L3270" s="0" t="n">
        <f aca="false">G3270</f>
        <v>-0.5</v>
      </c>
      <c r="M3270" s="0" t="n">
        <f aca="false">H3270</f>
        <v>0.75</v>
      </c>
      <c r="N3270" s="0" t="n">
        <f aca="false">E3270*F3270</f>
        <v>0</v>
      </c>
      <c r="O3270" s="0" t="n">
        <f aca="false">E3270*G3270</f>
        <v>-0</v>
      </c>
      <c r="P3270" s="0" t="n">
        <f aca="false">E3270*H3270</f>
        <v>0</v>
      </c>
      <c r="Q3270" s="0" t="n">
        <f aca="false">F3270*G3270</f>
        <v>-0</v>
      </c>
      <c r="R3270" s="0" t="n">
        <f aca="false">F3270*H3270</f>
        <v>0</v>
      </c>
      <c r="S3270" s="0" t="n">
        <f aca="false">G3270*H3270</f>
        <v>-0.375</v>
      </c>
      <c r="T3270" s="0" t="n">
        <f aca="false">E3270*E3270</f>
        <v>0</v>
      </c>
      <c r="U3270" s="0" t="n">
        <f aca="false">F3270*F3270</f>
        <v>0</v>
      </c>
      <c r="V3270" s="0" t="n">
        <f aca="false">G3270*G3270</f>
        <v>0.25</v>
      </c>
      <c r="W3270" s="0" t="n">
        <f aca="false">H3270*H3270</f>
        <v>0.5625</v>
      </c>
      <c r="X3270" s="0" t="n">
        <f aca="false">SUMPRODUCT(I3270:W3270,_XtX!$B$96:$P$96)</f>
        <v>47.226836622807</v>
      </c>
      <c r="Y3270" s="0" t="n">
        <f aca="false">SUMPRODUCT(MMULT(I3270:W3270,_XtX!$B$78:$P$92),I3270:W3270)</f>
        <v>0.221828170687135</v>
      </c>
      <c r="Z3270" s="0" t="n">
        <f aca="false">04_回帰ANOVA!$K$19*04_回帰ANOVA!$K$14*SQRT(1+Y3270)</f>
        <v>1.44079920361664</v>
      </c>
      <c r="AA3270" s="0" t="n">
        <f aca="false">X3270-Z3270</f>
        <v>45.7860374191903</v>
      </c>
      <c r="AB3270" s="0" t="n">
        <f aca="false">X3270+Z3270</f>
        <v>48.6676358264236</v>
      </c>
      <c r="AC3270" s="54" t="b">
        <f aca="false">AND(E3270&gt;=01_因子設定!$L$5-0.000000001,E3270&lt;=01_因子設定!$M$5+0.000000001,F3270&gt;=01_因子設定!$L$6-0.000000001,F3270&lt;=01_因子設定!$M$6+0.000000001,G3270&gt;=01_因子設定!$L$7-0.000000001,G3270&lt;=01_因子設定!$M$7+0.000000001,H3270&gt;=01_因子設定!$L$8-0.000000001,H3270&lt;=01_因子設定!$M$8+0.000000001,IF(01_因子設定!$B$20="Box-Behnken",E3270^2+F3270^2+G3270^2+H3270^2&lt;=2+0.000000001,TRUE()))</f>
        <v>1</v>
      </c>
      <c r="AD3270" s="55" t="n">
        <f aca="false">IF(AC3270,IF(01_因子設定!$B$13="最大化",AA3270-01_因子設定!$B$14,IF(01_因子設定!$B$13="最小化",01_因子設定!$B$15-AB3270,MIN(AA3270-01_因子設定!$B$14,01_因子設定!$B$15-AB3270))),-1E+030)</f>
        <v>-0.713962580809671</v>
      </c>
      <c r="AE3270" s="55" t="n">
        <f aca="false">IF(AC3270,IF(01_因子設定!$B$13="最大化",X3270,IF(01_因子設定!$B$13="最小化",-X3270,-ABS(X3270-01_因子設定!$B$16))),-1E+030)</f>
        <v>47.226836622807</v>
      </c>
      <c r="AF3270" s="55" t="n">
        <f aca="false">AD3270+ROW()*0.000000001</f>
        <v>-0.713959310809671</v>
      </c>
      <c r="AG3270" s="55" t="n">
        <f aca="false">AE3270+ROW()*0.000000001</f>
        <v>47.226839892807</v>
      </c>
    </row>
    <row r="3271" customFormat="false" ht="15" hidden="false" customHeight="false" outlineLevel="0" collapsed="false">
      <c r="A3271" s="0" t="n">
        <v>4</v>
      </c>
      <c r="B3271" s="0" t="n">
        <v>4</v>
      </c>
      <c r="C3271" s="0" t="n">
        <v>2</v>
      </c>
      <c r="D3271" s="0" t="n">
        <v>8</v>
      </c>
      <c r="E3271" s="0" t="n">
        <f aca="false">-1+A3271*0.25</f>
        <v>0</v>
      </c>
      <c r="F3271" s="0" t="n">
        <f aca="false">-1+B3271*0.25</f>
        <v>0</v>
      </c>
      <c r="G3271" s="0" t="n">
        <f aca="false">-1+C3271*0.25</f>
        <v>-0.5</v>
      </c>
      <c r="H3271" s="0" t="n">
        <f aca="false">-1+D3271*0.25</f>
        <v>1</v>
      </c>
      <c r="I3271" s="0" t="n">
        <f aca="false">1</f>
        <v>1</v>
      </c>
      <c r="J3271" s="0" t="n">
        <f aca="false">E3271</f>
        <v>0</v>
      </c>
      <c r="K3271" s="0" t="n">
        <f aca="false">F3271</f>
        <v>0</v>
      </c>
      <c r="L3271" s="0" t="n">
        <f aca="false">G3271</f>
        <v>-0.5</v>
      </c>
      <c r="M3271" s="0" t="n">
        <f aca="false">H3271</f>
        <v>1</v>
      </c>
      <c r="N3271" s="0" t="n">
        <f aca="false">E3271*F3271</f>
        <v>0</v>
      </c>
      <c r="O3271" s="0" t="n">
        <f aca="false">E3271*G3271</f>
        <v>-0</v>
      </c>
      <c r="P3271" s="0" t="n">
        <f aca="false">E3271*H3271</f>
        <v>0</v>
      </c>
      <c r="Q3271" s="0" t="n">
        <f aca="false">F3271*G3271</f>
        <v>-0</v>
      </c>
      <c r="R3271" s="0" t="n">
        <f aca="false">F3271*H3271</f>
        <v>0</v>
      </c>
      <c r="S3271" s="0" t="n">
        <f aca="false">G3271*H3271</f>
        <v>-0.5</v>
      </c>
      <c r="T3271" s="0" t="n">
        <f aca="false">E3271*E3271</f>
        <v>0</v>
      </c>
      <c r="U3271" s="0" t="n">
        <f aca="false">F3271*F3271</f>
        <v>0</v>
      </c>
      <c r="V3271" s="0" t="n">
        <f aca="false">G3271*G3271</f>
        <v>0.25</v>
      </c>
      <c r="W3271" s="0" t="n">
        <f aca="false">H3271*H3271</f>
        <v>1</v>
      </c>
      <c r="X3271" s="0" t="n">
        <f aca="false">SUMPRODUCT(I3271:W3271,_XtX!$B$96:$P$96)</f>
        <v>47.1249634502924</v>
      </c>
      <c r="Y3271" s="0" t="n">
        <f aca="false">SUMPRODUCT(MMULT(I3271:W3271,_XtX!$B$78:$P$92),I3271:W3271)</f>
        <v>0.468841374269006</v>
      </c>
      <c r="Z3271" s="0" t="n">
        <f aca="false">04_回帰ANOVA!$K$19*04_回帰ANOVA!$K$14*SQRT(1+Y3271)</f>
        <v>1.57974082366087</v>
      </c>
      <c r="AA3271" s="0" t="n">
        <f aca="false">X3271-Z3271</f>
        <v>45.5452226266315</v>
      </c>
      <c r="AB3271" s="0" t="n">
        <f aca="false">X3271+Z3271</f>
        <v>48.7047042739533</v>
      </c>
      <c r="AC3271" s="54" t="b">
        <f aca="false">AND(E3271&gt;=01_因子設定!$L$5-0.000000001,E3271&lt;=01_因子設定!$M$5+0.000000001,F3271&gt;=01_因子設定!$L$6-0.000000001,F3271&lt;=01_因子設定!$M$6+0.000000001,G3271&gt;=01_因子設定!$L$7-0.000000001,G3271&lt;=01_因子設定!$M$7+0.000000001,H3271&gt;=01_因子設定!$L$8-0.000000001,H3271&lt;=01_因子設定!$M$8+0.000000001,IF(01_因子設定!$B$20="Box-Behnken",E3271^2+F3271^2+G3271^2+H3271^2&lt;=2+0.000000001,TRUE()))</f>
        <v>1</v>
      </c>
      <c r="AD3271" s="55" t="n">
        <f aca="false">IF(AC3271,IF(01_因子設定!$B$13="最大化",AA3271-01_因子設定!$B$14,IF(01_因子設定!$B$13="最小化",01_因子設定!$B$15-AB3271,MIN(AA3271-01_因子設定!$B$14,01_因子設定!$B$15-AB3271))),-1E+030)</f>
        <v>-0.954777373368508</v>
      </c>
      <c r="AE3271" s="55" t="n">
        <f aca="false">IF(AC3271,IF(01_因子設定!$B$13="最大化",X3271,IF(01_因子設定!$B$13="最小化",-X3271,-ABS(X3271-01_因子設定!$B$16))),-1E+030)</f>
        <v>47.1249634502924</v>
      </c>
      <c r="AF3271" s="55" t="n">
        <f aca="false">AD3271+ROW()*0.000000001</f>
        <v>-0.954774102368508</v>
      </c>
      <c r="AG3271" s="55" t="n">
        <f aca="false">AE3271+ROW()*0.000000001</f>
        <v>47.1249667212924</v>
      </c>
    </row>
    <row r="3272" customFormat="false" ht="15" hidden="false" customHeight="false" outlineLevel="0" collapsed="false">
      <c r="A3272" s="0" t="n">
        <v>4</v>
      </c>
      <c r="B3272" s="0" t="n">
        <v>4</v>
      </c>
      <c r="C3272" s="0" t="n">
        <v>3</v>
      </c>
      <c r="D3272" s="0" t="n">
        <v>0</v>
      </c>
      <c r="E3272" s="0" t="n">
        <f aca="false">-1+A3272*0.25</f>
        <v>0</v>
      </c>
      <c r="F3272" s="0" t="n">
        <f aca="false">-1+B3272*0.25</f>
        <v>0</v>
      </c>
      <c r="G3272" s="0" t="n">
        <f aca="false">-1+C3272*0.25</f>
        <v>-0.25</v>
      </c>
      <c r="H3272" s="0" t="n">
        <f aca="false">-1+D3272*0.25</f>
        <v>-1</v>
      </c>
      <c r="I3272" s="0" t="n">
        <f aca="false">1</f>
        <v>1</v>
      </c>
      <c r="J3272" s="0" t="n">
        <f aca="false">E3272</f>
        <v>0</v>
      </c>
      <c r="K3272" s="0" t="n">
        <f aca="false">F3272</f>
        <v>0</v>
      </c>
      <c r="L3272" s="0" t="n">
        <f aca="false">G3272</f>
        <v>-0.25</v>
      </c>
      <c r="M3272" s="0" t="n">
        <f aca="false">H3272</f>
        <v>-1</v>
      </c>
      <c r="N3272" s="0" t="n">
        <f aca="false">E3272*F3272</f>
        <v>0</v>
      </c>
      <c r="O3272" s="0" t="n">
        <f aca="false">E3272*G3272</f>
        <v>-0</v>
      </c>
      <c r="P3272" s="0" t="n">
        <f aca="false">E3272*H3272</f>
        <v>-0</v>
      </c>
      <c r="Q3272" s="0" t="n">
        <f aca="false">F3272*G3272</f>
        <v>-0</v>
      </c>
      <c r="R3272" s="0" t="n">
        <f aca="false">F3272*H3272</f>
        <v>-0</v>
      </c>
      <c r="S3272" s="0" t="n">
        <f aca="false">G3272*H3272</f>
        <v>0.25</v>
      </c>
      <c r="T3272" s="0" t="n">
        <f aca="false">E3272*E3272</f>
        <v>0</v>
      </c>
      <c r="U3272" s="0" t="n">
        <f aca="false">F3272*F3272</f>
        <v>0</v>
      </c>
      <c r="V3272" s="0" t="n">
        <f aca="false">G3272*G3272</f>
        <v>0.0625</v>
      </c>
      <c r="W3272" s="0" t="n">
        <f aca="false">H3272*H3272</f>
        <v>1</v>
      </c>
      <c r="X3272" s="0" t="n">
        <f aca="false">SUMPRODUCT(I3272:W3272,_XtX!$B$96:$P$96)</f>
        <v>46.9032711988304</v>
      </c>
      <c r="Y3272" s="0" t="n">
        <f aca="false">SUMPRODUCT(MMULT(I3272:W3272,_XtX!$B$78:$P$92),I3272:W3272)</f>
        <v>0.47672240497076</v>
      </c>
      <c r="Z3272" s="0" t="n">
        <f aca="false">04_回帰ANOVA!$K$19*04_回帰ANOVA!$K$14*SQRT(1+Y3272)</f>
        <v>1.58397318352695</v>
      </c>
      <c r="AA3272" s="0" t="n">
        <f aca="false">X3272-Z3272</f>
        <v>45.3192980153034</v>
      </c>
      <c r="AB3272" s="0" t="n">
        <f aca="false">X3272+Z3272</f>
        <v>48.4872443823573</v>
      </c>
      <c r="AC3272" s="54" t="b">
        <f aca="false">AND(E3272&gt;=01_因子設定!$L$5-0.000000001,E3272&lt;=01_因子設定!$M$5+0.000000001,F3272&gt;=01_因子設定!$L$6-0.000000001,F3272&lt;=01_因子設定!$M$6+0.000000001,G3272&gt;=01_因子設定!$L$7-0.000000001,G3272&lt;=01_因子設定!$M$7+0.000000001,H3272&gt;=01_因子設定!$L$8-0.000000001,H3272&lt;=01_因子設定!$M$8+0.000000001,IF(01_因子設定!$B$20="Box-Behnken",E3272^2+F3272^2+G3272^2+H3272^2&lt;=2+0.000000001,TRUE()))</f>
        <v>1</v>
      </c>
      <c r="AD3272" s="55" t="n">
        <f aca="false">IF(AC3272,IF(01_因子設定!$B$13="最大化",AA3272-01_因子設定!$B$14,IF(01_因子設定!$B$13="最小化",01_因子設定!$B$15-AB3272,MIN(AA3272-01_因子設定!$B$14,01_因子設定!$B$15-AB3272))),-1E+030)</f>
        <v>-1.18070198469656</v>
      </c>
      <c r="AE3272" s="55" t="n">
        <f aca="false">IF(AC3272,IF(01_因子設定!$B$13="最大化",X3272,IF(01_因子設定!$B$13="最小化",-X3272,-ABS(X3272-01_因子設定!$B$16))),-1E+030)</f>
        <v>46.9032711988304</v>
      </c>
      <c r="AF3272" s="55" t="n">
        <f aca="false">AD3272+ROW()*0.000000001</f>
        <v>-1.18069871269656</v>
      </c>
      <c r="AG3272" s="55" t="n">
        <f aca="false">AE3272+ROW()*0.000000001</f>
        <v>46.9032744708304</v>
      </c>
    </row>
    <row r="3273" customFormat="false" ht="15" hidden="false" customHeight="false" outlineLevel="0" collapsed="false">
      <c r="A3273" s="0" t="n">
        <v>4</v>
      </c>
      <c r="B3273" s="0" t="n">
        <v>4</v>
      </c>
      <c r="C3273" s="0" t="n">
        <v>3</v>
      </c>
      <c r="D3273" s="0" t="n">
        <v>1</v>
      </c>
      <c r="E3273" s="0" t="n">
        <f aca="false">-1+A3273*0.25</f>
        <v>0</v>
      </c>
      <c r="F3273" s="0" t="n">
        <f aca="false">-1+B3273*0.25</f>
        <v>0</v>
      </c>
      <c r="G3273" s="0" t="n">
        <f aca="false">-1+C3273*0.25</f>
        <v>-0.25</v>
      </c>
      <c r="H3273" s="0" t="n">
        <f aca="false">-1+D3273*0.25</f>
        <v>-0.75</v>
      </c>
      <c r="I3273" s="0" t="n">
        <f aca="false">1</f>
        <v>1</v>
      </c>
      <c r="J3273" s="0" t="n">
        <f aca="false">E3273</f>
        <v>0</v>
      </c>
      <c r="K3273" s="0" t="n">
        <f aca="false">F3273</f>
        <v>0</v>
      </c>
      <c r="L3273" s="0" t="n">
        <f aca="false">G3273</f>
        <v>-0.25</v>
      </c>
      <c r="M3273" s="0" t="n">
        <f aca="false">H3273</f>
        <v>-0.75</v>
      </c>
      <c r="N3273" s="0" t="n">
        <f aca="false">E3273*F3273</f>
        <v>0</v>
      </c>
      <c r="O3273" s="0" t="n">
        <f aca="false">E3273*G3273</f>
        <v>-0</v>
      </c>
      <c r="P3273" s="0" t="n">
        <f aca="false">E3273*H3273</f>
        <v>-0</v>
      </c>
      <c r="Q3273" s="0" t="n">
        <f aca="false">F3273*G3273</f>
        <v>-0</v>
      </c>
      <c r="R3273" s="0" t="n">
        <f aca="false">F3273*H3273</f>
        <v>-0</v>
      </c>
      <c r="S3273" s="0" t="n">
        <f aca="false">G3273*H3273</f>
        <v>0.1875</v>
      </c>
      <c r="T3273" s="0" t="n">
        <f aca="false">E3273*E3273</f>
        <v>0</v>
      </c>
      <c r="U3273" s="0" t="n">
        <f aca="false">F3273*F3273</f>
        <v>0</v>
      </c>
      <c r="V3273" s="0" t="n">
        <f aca="false">G3273*G3273</f>
        <v>0.0625</v>
      </c>
      <c r="W3273" s="0" t="n">
        <f aca="false">H3273*H3273</f>
        <v>0.5625</v>
      </c>
      <c r="X3273" s="0" t="n">
        <f aca="false">SUMPRODUCT(I3273:W3273,_XtX!$B$96:$P$96)</f>
        <v>47.1540158991228</v>
      </c>
      <c r="Y3273" s="0" t="n">
        <f aca="false">SUMPRODUCT(MMULT(I3273:W3273,_XtX!$B$78:$P$92),I3273:W3273)</f>
        <v>0.216127272934942</v>
      </c>
      <c r="Z3273" s="0" t="n">
        <f aca="false">04_回帰ANOVA!$K$19*04_回帰ANOVA!$K$14*SQRT(1+Y3273)</f>
        <v>1.43743397896608</v>
      </c>
      <c r="AA3273" s="0" t="n">
        <f aca="false">X3273-Z3273</f>
        <v>45.7165819201567</v>
      </c>
      <c r="AB3273" s="0" t="n">
        <f aca="false">X3273+Z3273</f>
        <v>48.5914498780888</v>
      </c>
      <c r="AC3273" s="54" t="b">
        <f aca="false">AND(E3273&gt;=01_因子設定!$L$5-0.000000001,E3273&lt;=01_因子設定!$M$5+0.000000001,F3273&gt;=01_因子設定!$L$6-0.000000001,F3273&lt;=01_因子設定!$M$6+0.000000001,G3273&gt;=01_因子設定!$L$7-0.000000001,G3273&lt;=01_因子設定!$M$7+0.000000001,H3273&gt;=01_因子設定!$L$8-0.000000001,H3273&lt;=01_因子設定!$M$8+0.000000001,IF(01_因子設定!$B$20="Box-Behnken",E3273^2+F3273^2+G3273^2+H3273^2&lt;=2+0.000000001,TRUE()))</f>
        <v>1</v>
      </c>
      <c r="AD3273" s="55" t="n">
        <f aca="false">IF(AC3273,IF(01_因子設定!$B$13="最大化",AA3273-01_因子設定!$B$14,IF(01_因子設定!$B$13="最小化",01_因子設定!$B$15-AB3273,MIN(AA3273-01_因子設定!$B$14,01_因子設定!$B$15-AB3273))),-1E+030)</f>
        <v>-0.783418079843315</v>
      </c>
      <c r="AE3273" s="55" t="n">
        <f aca="false">IF(AC3273,IF(01_因子設定!$B$13="最大化",X3273,IF(01_因子設定!$B$13="最小化",-X3273,-ABS(X3273-01_因子設定!$B$16))),-1E+030)</f>
        <v>47.1540158991228</v>
      </c>
      <c r="AF3273" s="55" t="n">
        <f aca="false">AD3273+ROW()*0.000000001</f>
        <v>-0.783414806843315</v>
      </c>
      <c r="AG3273" s="55" t="n">
        <f aca="false">AE3273+ROW()*0.000000001</f>
        <v>47.1540191721228</v>
      </c>
    </row>
    <row r="3274" customFormat="false" ht="15" hidden="false" customHeight="false" outlineLevel="0" collapsed="false">
      <c r="A3274" s="0" t="n">
        <v>4</v>
      </c>
      <c r="B3274" s="0" t="n">
        <v>4</v>
      </c>
      <c r="C3274" s="0" t="n">
        <v>3</v>
      </c>
      <c r="D3274" s="0" t="n">
        <v>2</v>
      </c>
      <c r="E3274" s="0" t="n">
        <f aca="false">-1+A3274*0.25</f>
        <v>0</v>
      </c>
      <c r="F3274" s="0" t="n">
        <f aca="false">-1+B3274*0.25</f>
        <v>0</v>
      </c>
      <c r="G3274" s="0" t="n">
        <f aca="false">-1+C3274*0.25</f>
        <v>-0.25</v>
      </c>
      <c r="H3274" s="0" t="n">
        <f aca="false">-1+D3274*0.25</f>
        <v>-0.5</v>
      </c>
      <c r="I3274" s="0" t="n">
        <f aca="false">1</f>
        <v>1</v>
      </c>
      <c r="J3274" s="0" t="n">
        <f aca="false">E3274</f>
        <v>0</v>
      </c>
      <c r="K3274" s="0" t="n">
        <f aca="false">F3274</f>
        <v>0</v>
      </c>
      <c r="L3274" s="0" t="n">
        <f aca="false">G3274</f>
        <v>-0.25</v>
      </c>
      <c r="M3274" s="0" t="n">
        <f aca="false">H3274</f>
        <v>-0.5</v>
      </c>
      <c r="N3274" s="0" t="n">
        <f aca="false">E3274*F3274</f>
        <v>0</v>
      </c>
      <c r="O3274" s="0" t="n">
        <f aca="false">E3274*G3274</f>
        <v>-0</v>
      </c>
      <c r="P3274" s="0" t="n">
        <f aca="false">E3274*H3274</f>
        <v>-0</v>
      </c>
      <c r="Q3274" s="0" t="n">
        <f aca="false">F3274*G3274</f>
        <v>-0</v>
      </c>
      <c r="R3274" s="0" t="n">
        <f aca="false">F3274*H3274</f>
        <v>-0</v>
      </c>
      <c r="S3274" s="0" t="n">
        <f aca="false">G3274*H3274</f>
        <v>0.125</v>
      </c>
      <c r="T3274" s="0" t="n">
        <f aca="false">E3274*E3274</f>
        <v>0</v>
      </c>
      <c r="U3274" s="0" t="n">
        <f aca="false">F3274*F3274</f>
        <v>0</v>
      </c>
      <c r="V3274" s="0" t="n">
        <f aca="false">G3274*G3274</f>
        <v>0.0625</v>
      </c>
      <c r="W3274" s="0" t="n">
        <f aca="false">H3274*H3274</f>
        <v>0.25</v>
      </c>
      <c r="X3274" s="0" t="n">
        <f aca="false">SUMPRODUCT(I3274:W3274,_XtX!$B$96:$P$96)</f>
        <v>47.3569535818713</v>
      </c>
      <c r="Y3274" s="0" t="n">
        <f aca="false">SUMPRODUCT(MMULT(I3274:W3274,_XtX!$B$78:$P$92),I3274:W3274)</f>
        <v>0.120448419225146</v>
      </c>
      <c r="Z3274" s="0" t="n">
        <f aca="false">04_回帰ANOVA!$K$19*04_回帰ANOVA!$K$14*SQRT(1+Y3274)</f>
        <v>1.37973069703246</v>
      </c>
      <c r="AA3274" s="0" t="n">
        <f aca="false">X3274-Z3274</f>
        <v>45.9772228848388</v>
      </c>
      <c r="AB3274" s="0" t="n">
        <f aca="false">X3274+Z3274</f>
        <v>48.7366842789038</v>
      </c>
      <c r="AC3274" s="54" t="b">
        <f aca="false">AND(E3274&gt;=01_因子設定!$L$5-0.000000001,E3274&lt;=01_因子設定!$M$5+0.000000001,F3274&gt;=01_因子設定!$L$6-0.000000001,F3274&lt;=01_因子設定!$M$6+0.000000001,G3274&gt;=01_因子設定!$L$7-0.000000001,G3274&lt;=01_因子設定!$M$7+0.000000001,H3274&gt;=01_因子設定!$L$8-0.000000001,H3274&lt;=01_因子設定!$M$8+0.000000001,IF(01_因子設定!$B$20="Box-Behnken",E3274^2+F3274^2+G3274^2+H3274^2&lt;=2+0.000000001,TRUE()))</f>
        <v>1</v>
      </c>
      <c r="AD3274" s="55" t="n">
        <f aca="false">IF(AC3274,IF(01_因子設定!$B$13="最大化",AA3274-01_因子設定!$B$14,IF(01_因子設定!$B$13="最小化",01_因子設定!$B$15-AB3274,MIN(AA3274-01_因子設定!$B$14,01_因子設定!$B$15-AB3274))),-1E+030)</f>
        <v>-0.522777115161176</v>
      </c>
      <c r="AE3274" s="55" t="n">
        <f aca="false">IF(AC3274,IF(01_因子設定!$B$13="最大化",X3274,IF(01_因子設定!$B$13="最小化",-X3274,-ABS(X3274-01_因子設定!$B$16))),-1E+030)</f>
        <v>47.3569535818713</v>
      </c>
      <c r="AF3274" s="55" t="n">
        <f aca="false">AD3274+ROW()*0.000000001</f>
        <v>-0.522773841161176</v>
      </c>
      <c r="AG3274" s="55" t="n">
        <f aca="false">AE3274+ROW()*0.000000001</f>
        <v>47.3569568558713</v>
      </c>
    </row>
    <row r="3275" customFormat="false" ht="15" hidden="false" customHeight="false" outlineLevel="0" collapsed="false">
      <c r="A3275" s="0" t="n">
        <v>4</v>
      </c>
      <c r="B3275" s="0" t="n">
        <v>4</v>
      </c>
      <c r="C3275" s="0" t="n">
        <v>3</v>
      </c>
      <c r="D3275" s="0" t="n">
        <v>3</v>
      </c>
      <c r="E3275" s="0" t="n">
        <f aca="false">-1+A3275*0.25</f>
        <v>0</v>
      </c>
      <c r="F3275" s="0" t="n">
        <f aca="false">-1+B3275*0.25</f>
        <v>0</v>
      </c>
      <c r="G3275" s="0" t="n">
        <f aca="false">-1+C3275*0.25</f>
        <v>-0.25</v>
      </c>
      <c r="H3275" s="0" t="n">
        <f aca="false">-1+D3275*0.25</f>
        <v>-0.25</v>
      </c>
      <c r="I3275" s="0" t="n">
        <f aca="false">1</f>
        <v>1</v>
      </c>
      <c r="J3275" s="0" t="n">
        <f aca="false">E3275</f>
        <v>0</v>
      </c>
      <c r="K3275" s="0" t="n">
        <f aca="false">F3275</f>
        <v>0</v>
      </c>
      <c r="L3275" s="0" t="n">
        <f aca="false">G3275</f>
        <v>-0.25</v>
      </c>
      <c r="M3275" s="0" t="n">
        <f aca="false">H3275</f>
        <v>-0.25</v>
      </c>
      <c r="N3275" s="0" t="n">
        <f aca="false">E3275*F3275</f>
        <v>0</v>
      </c>
      <c r="O3275" s="0" t="n">
        <f aca="false">E3275*G3275</f>
        <v>-0</v>
      </c>
      <c r="P3275" s="0" t="n">
        <f aca="false">E3275*H3275</f>
        <v>-0</v>
      </c>
      <c r="Q3275" s="0" t="n">
        <f aca="false">F3275*G3275</f>
        <v>-0</v>
      </c>
      <c r="R3275" s="0" t="n">
        <f aca="false">F3275*H3275</f>
        <v>-0</v>
      </c>
      <c r="S3275" s="0" t="n">
        <f aca="false">G3275*H3275</f>
        <v>0.0625</v>
      </c>
      <c r="T3275" s="0" t="n">
        <f aca="false">E3275*E3275</f>
        <v>0</v>
      </c>
      <c r="U3275" s="0" t="n">
        <f aca="false">F3275*F3275</f>
        <v>0</v>
      </c>
      <c r="V3275" s="0" t="n">
        <f aca="false">G3275*G3275</f>
        <v>0.0625</v>
      </c>
      <c r="W3275" s="0" t="n">
        <f aca="false">H3275*H3275</f>
        <v>0.0625</v>
      </c>
      <c r="X3275" s="0" t="n">
        <f aca="false">SUMPRODUCT(I3275:W3275,_XtX!$B$96:$P$96)</f>
        <v>47.512084247076</v>
      </c>
      <c r="Y3275" s="0" t="n">
        <f aca="false">SUMPRODUCT(MMULT(I3275:W3275,_XtX!$B$78:$P$92),I3275:W3275)</f>
        <v>0.0992253175255848</v>
      </c>
      <c r="Z3275" s="0" t="n">
        <f aca="false">04_回帰ANOVA!$K$19*04_回帰ANOVA!$K$14*SQRT(1+Y3275)</f>
        <v>1.36660106238383</v>
      </c>
      <c r="AA3275" s="0" t="n">
        <f aca="false">X3275-Z3275</f>
        <v>46.1454831846921</v>
      </c>
      <c r="AB3275" s="0" t="n">
        <f aca="false">X3275+Z3275</f>
        <v>48.8786853094598</v>
      </c>
      <c r="AC3275" s="54" t="b">
        <f aca="false">AND(E3275&gt;=01_因子設定!$L$5-0.000000001,E3275&lt;=01_因子設定!$M$5+0.000000001,F3275&gt;=01_因子設定!$L$6-0.000000001,F3275&lt;=01_因子設定!$M$6+0.000000001,G3275&gt;=01_因子設定!$L$7-0.000000001,G3275&lt;=01_因子設定!$M$7+0.000000001,H3275&gt;=01_因子設定!$L$8-0.000000001,H3275&lt;=01_因子設定!$M$8+0.000000001,IF(01_因子設定!$B$20="Box-Behnken",E3275^2+F3275^2+G3275^2+H3275^2&lt;=2+0.000000001,TRUE()))</f>
        <v>1</v>
      </c>
      <c r="AD3275" s="55" t="n">
        <f aca="false">IF(AC3275,IF(01_因子設定!$B$13="最大化",AA3275-01_因子設定!$B$14,IF(01_因子設定!$B$13="最小化",01_因子設定!$B$15-AB3275,MIN(AA3275-01_因子設定!$B$14,01_因子設定!$B$15-AB3275))),-1E+030)</f>
        <v>-0.354516815307868</v>
      </c>
      <c r="AE3275" s="55" t="n">
        <f aca="false">IF(AC3275,IF(01_因子設定!$B$13="最大化",X3275,IF(01_因子設定!$B$13="最小化",-X3275,-ABS(X3275-01_因子設定!$B$16))),-1E+030)</f>
        <v>47.512084247076</v>
      </c>
      <c r="AF3275" s="55" t="n">
        <f aca="false">AD3275+ROW()*0.000000001</f>
        <v>-0.354513540307868</v>
      </c>
      <c r="AG3275" s="55" t="n">
        <f aca="false">AE3275+ROW()*0.000000001</f>
        <v>47.512087522076</v>
      </c>
    </row>
    <row r="3276" customFormat="false" ht="15" hidden="false" customHeight="false" outlineLevel="0" collapsed="false">
      <c r="A3276" s="0" t="n">
        <v>4</v>
      </c>
      <c r="B3276" s="0" t="n">
        <v>4</v>
      </c>
      <c r="C3276" s="0" t="n">
        <v>3</v>
      </c>
      <c r="D3276" s="0" t="n">
        <v>4</v>
      </c>
      <c r="E3276" s="0" t="n">
        <f aca="false">-1+A3276*0.25</f>
        <v>0</v>
      </c>
      <c r="F3276" s="0" t="n">
        <f aca="false">-1+B3276*0.25</f>
        <v>0</v>
      </c>
      <c r="G3276" s="0" t="n">
        <f aca="false">-1+C3276*0.25</f>
        <v>-0.25</v>
      </c>
      <c r="H3276" s="0" t="n">
        <f aca="false">-1+D3276*0.25</f>
        <v>0</v>
      </c>
      <c r="I3276" s="0" t="n">
        <f aca="false">1</f>
        <v>1</v>
      </c>
      <c r="J3276" s="0" t="n">
        <f aca="false">E3276</f>
        <v>0</v>
      </c>
      <c r="K3276" s="0" t="n">
        <f aca="false">F3276</f>
        <v>0</v>
      </c>
      <c r="L3276" s="0" t="n">
        <f aca="false">G3276</f>
        <v>-0.25</v>
      </c>
      <c r="M3276" s="0" t="n">
        <f aca="false">H3276</f>
        <v>0</v>
      </c>
      <c r="N3276" s="0" t="n">
        <f aca="false">E3276*F3276</f>
        <v>0</v>
      </c>
      <c r="O3276" s="0" t="n">
        <f aca="false">E3276*G3276</f>
        <v>-0</v>
      </c>
      <c r="P3276" s="0" t="n">
        <f aca="false">E3276*H3276</f>
        <v>0</v>
      </c>
      <c r="Q3276" s="0" t="n">
        <f aca="false">F3276*G3276</f>
        <v>-0</v>
      </c>
      <c r="R3276" s="0" t="n">
        <f aca="false">F3276*H3276</f>
        <v>0</v>
      </c>
      <c r="S3276" s="0" t="n">
        <f aca="false">G3276*H3276</f>
        <v>-0</v>
      </c>
      <c r="T3276" s="0" t="n">
        <f aca="false">E3276*E3276</f>
        <v>0</v>
      </c>
      <c r="U3276" s="0" t="n">
        <f aca="false">F3276*F3276</f>
        <v>0</v>
      </c>
      <c r="V3276" s="0" t="n">
        <f aca="false">G3276*G3276</f>
        <v>0.0625</v>
      </c>
      <c r="W3276" s="0" t="n">
        <f aca="false">H3276*H3276</f>
        <v>0</v>
      </c>
      <c r="X3276" s="0" t="n">
        <f aca="false">SUMPRODUCT(I3276:W3276,_XtX!$B$96:$P$96)</f>
        <v>47.6194078947368</v>
      </c>
      <c r="Y3276" s="0" t="n">
        <f aca="false">SUMPRODUCT(MMULT(I3276:W3276,_XtX!$B$78:$P$92),I3276:W3276)</f>
        <v>0.0981816520467836</v>
      </c>
      <c r="Z3276" s="0" t="n">
        <f aca="false">04_回帰ANOVA!$K$19*04_回帰ANOVA!$K$14*SQRT(1+Y3276)</f>
        <v>1.36595214489796</v>
      </c>
      <c r="AA3276" s="0" t="n">
        <f aca="false">X3276-Z3276</f>
        <v>46.2534557498388</v>
      </c>
      <c r="AB3276" s="0" t="n">
        <f aca="false">X3276+Z3276</f>
        <v>48.9853600396347</v>
      </c>
      <c r="AC3276" s="54" t="b">
        <f aca="false">AND(E3276&gt;=01_因子設定!$L$5-0.000000001,E3276&lt;=01_因子設定!$M$5+0.000000001,F3276&gt;=01_因子設定!$L$6-0.000000001,F3276&lt;=01_因子設定!$M$6+0.000000001,G3276&gt;=01_因子設定!$L$7-0.000000001,G3276&lt;=01_因子設定!$M$7+0.000000001,H3276&gt;=01_因子設定!$L$8-0.000000001,H3276&lt;=01_因子設定!$M$8+0.000000001,IF(01_因子設定!$B$20="Box-Behnken",E3276^2+F3276^2+G3276^2+H3276^2&lt;=2+0.000000001,TRUE()))</f>
        <v>1</v>
      </c>
      <c r="AD3276" s="55" t="n">
        <f aca="false">IF(AC3276,IF(01_因子設定!$B$13="最大化",AA3276-01_因子設定!$B$14,IF(01_因子設定!$B$13="最小化",01_因子設定!$B$15-AB3276,MIN(AA3276-01_因子設定!$B$14,01_因子設定!$B$15-AB3276))),-1E+030)</f>
        <v>-0.246544250161186</v>
      </c>
      <c r="AE3276" s="55" t="n">
        <f aca="false">IF(AC3276,IF(01_因子設定!$B$13="最大化",X3276,IF(01_因子設定!$B$13="最小化",-X3276,-ABS(X3276-01_因子設定!$B$16))),-1E+030)</f>
        <v>47.6194078947368</v>
      </c>
      <c r="AF3276" s="55" t="n">
        <f aca="false">AD3276+ROW()*0.000000001</f>
        <v>-0.246540974161186</v>
      </c>
      <c r="AG3276" s="55" t="n">
        <f aca="false">AE3276+ROW()*0.000000001</f>
        <v>47.6194111707368</v>
      </c>
    </row>
    <row r="3277" customFormat="false" ht="15" hidden="false" customHeight="false" outlineLevel="0" collapsed="false">
      <c r="A3277" s="0" t="n">
        <v>4</v>
      </c>
      <c r="B3277" s="0" t="n">
        <v>4</v>
      </c>
      <c r="C3277" s="0" t="n">
        <v>3</v>
      </c>
      <c r="D3277" s="0" t="n">
        <v>5</v>
      </c>
      <c r="E3277" s="0" t="n">
        <f aca="false">-1+A3277*0.25</f>
        <v>0</v>
      </c>
      <c r="F3277" s="0" t="n">
        <f aca="false">-1+B3277*0.25</f>
        <v>0</v>
      </c>
      <c r="G3277" s="0" t="n">
        <f aca="false">-1+C3277*0.25</f>
        <v>-0.25</v>
      </c>
      <c r="H3277" s="0" t="n">
        <f aca="false">-1+D3277*0.25</f>
        <v>0.25</v>
      </c>
      <c r="I3277" s="0" t="n">
        <f aca="false">1</f>
        <v>1</v>
      </c>
      <c r="J3277" s="0" t="n">
        <f aca="false">E3277</f>
        <v>0</v>
      </c>
      <c r="K3277" s="0" t="n">
        <f aca="false">F3277</f>
        <v>0</v>
      </c>
      <c r="L3277" s="0" t="n">
        <f aca="false">G3277</f>
        <v>-0.25</v>
      </c>
      <c r="M3277" s="0" t="n">
        <f aca="false">H3277</f>
        <v>0.25</v>
      </c>
      <c r="N3277" s="0" t="n">
        <f aca="false">E3277*F3277</f>
        <v>0</v>
      </c>
      <c r="O3277" s="0" t="n">
        <f aca="false">E3277*G3277</f>
        <v>-0</v>
      </c>
      <c r="P3277" s="0" t="n">
        <f aca="false">E3277*H3277</f>
        <v>0</v>
      </c>
      <c r="Q3277" s="0" t="n">
        <f aca="false">F3277*G3277</f>
        <v>-0</v>
      </c>
      <c r="R3277" s="0" t="n">
        <f aca="false">F3277*H3277</f>
        <v>0</v>
      </c>
      <c r="S3277" s="0" t="n">
        <f aca="false">G3277*H3277</f>
        <v>-0.0625</v>
      </c>
      <c r="T3277" s="0" t="n">
        <f aca="false">E3277*E3277</f>
        <v>0</v>
      </c>
      <c r="U3277" s="0" t="n">
        <f aca="false">F3277*F3277</f>
        <v>0</v>
      </c>
      <c r="V3277" s="0" t="n">
        <f aca="false">G3277*G3277</f>
        <v>0.0625</v>
      </c>
      <c r="W3277" s="0" t="n">
        <f aca="false">H3277*H3277</f>
        <v>0.0625</v>
      </c>
      <c r="X3277" s="0" t="n">
        <f aca="false">SUMPRODUCT(I3277:W3277,_XtX!$B$96:$P$96)</f>
        <v>47.6789245248537</v>
      </c>
      <c r="Y3277" s="0" t="n">
        <f aca="false">SUMPRODUCT(MMULT(I3277:W3277,_XtX!$B$78:$P$92),I3277:W3277)</f>
        <v>0.0992253175255848</v>
      </c>
      <c r="Z3277" s="0" t="n">
        <f aca="false">04_回帰ANOVA!$K$19*04_回帰ANOVA!$K$14*SQRT(1+Y3277)</f>
        <v>1.36660106238383</v>
      </c>
      <c r="AA3277" s="0" t="n">
        <f aca="false">X3277-Z3277</f>
        <v>46.3123234624699</v>
      </c>
      <c r="AB3277" s="0" t="n">
        <f aca="false">X3277+Z3277</f>
        <v>49.0455255872376</v>
      </c>
      <c r="AC3277" s="54" t="b">
        <f aca="false">AND(E3277&gt;=01_因子設定!$L$5-0.000000001,E3277&lt;=01_因子設定!$M$5+0.000000001,F3277&gt;=01_因子設定!$L$6-0.000000001,F3277&lt;=01_因子設定!$M$6+0.000000001,G3277&gt;=01_因子設定!$L$7-0.000000001,G3277&lt;=01_因子設定!$M$7+0.000000001,H3277&gt;=01_因子設定!$L$8-0.000000001,H3277&lt;=01_因子設定!$M$8+0.000000001,IF(01_因子設定!$B$20="Box-Behnken",E3277^2+F3277^2+G3277^2+H3277^2&lt;=2+0.000000001,TRUE()))</f>
        <v>1</v>
      </c>
      <c r="AD3277" s="55" t="n">
        <f aca="false">IF(AC3277,IF(01_因子設定!$B$13="最大化",AA3277-01_因子設定!$B$14,IF(01_因子設定!$B$13="最小化",01_因子設定!$B$15-AB3277,MIN(AA3277-01_因子設定!$B$14,01_因子設定!$B$15-AB3277))),-1E+030)</f>
        <v>-0.187676537530095</v>
      </c>
      <c r="AE3277" s="55" t="n">
        <f aca="false">IF(AC3277,IF(01_因子設定!$B$13="最大化",X3277,IF(01_因子設定!$B$13="最小化",-X3277,-ABS(X3277-01_因子設定!$B$16))),-1E+030)</f>
        <v>47.6789245248537</v>
      </c>
      <c r="AF3277" s="55" t="n">
        <f aca="false">AD3277+ROW()*0.000000001</f>
        <v>-0.187673260530095</v>
      </c>
      <c r="AG3277" s="55" t="n">
        <f aca="false">AE3277+ROW()*0.000000001</f>
        <v>47.6789278018537</v>
      </c>
    </row>
    <row r="3278" customFormat="false" ht="15" hidden="false" customHeight="false" outlineLevel="0" collapsed="false">
      <c r="A3278" s="0" t="n">
        <v>4</v>
      </c>
      <c r="B3278" s="0" t="n">
        <v>4</v>
      </c>
      <c r="C3278" s="0" t="n">
        <v>3</v>
      </c>
      <c r="D3278" s="0" t="n">
        <v>6</v>
      </c>
      <c r="E3278" s="0" t="n">
        <f aca="false">-1+A3278*0.25</f>
        <v>0</v>
      </c>
      <c r="F3278" s="0" t="n">
        <f aca="false">-1+B3278*0.25</f>
        <v>0</v>
      </c>
      <c r="G3278" s="0" t="n">
        <f aca="false">-1+C3278*0.25</f>
        <v>-0.25</v>
      </c>
      <c r="H3278" s="0" t="n">
        <f aca="false">-1+D3278*0.25</f>
        <v>0.5</v>
      </c>
      <c r="I3278" s="0" t="n">
        <f aca="false">1</f>
        <v>1</v>
      </c>
      <c r="J3278" s="0" t="n">
        <f aca="false">E3278</f>
        <v>0</v>
      </c>
      <c r="K3278" s="0" t="n">
        <f aca="false">F3278</f>
        <v>0</v>
      </c>
      <c r="L3278" s="0" t="n">
        <f aca="false">G3278</f>
        <v>-0.25</v>
      </c>
      <c r="M3278" s="0" t="n">
        <f aca="false">H3278</f>
        <v>0.5</v>
      </c>
      <c r="N3278" s="0" t="n">
        <f aca="false">E3278*F3278</f>
        <v>0</v>
      </c>
      <c r="O3278" s="0" t="n">
        <f aca="false">E3278*G3278</f>
        <v>-0</v>
      </c>
      <c r="P3278" s="0" t="n">
        <f aca="false">E3278*H3278</f>
        <v>0</v>
      </c>
      <c r="Q3278" s="0" t="n">
        <f aca="false">F3278*G3278</f>
        <v>-0</v>
      </c>
      <c r="R3278" s="0" t="n">
        <f aca="false">F3278*H3278</f>
        <v>0</v>
      </c>
      <c r="S3278" s="0" t="n">
        <f aca="false">G3278*H3278</f>
        <v>-0.125</v>
      </c>
      <c r="T3278" s="0" t="n">
        <f aca="false">E3278*E3278</f>
        <v>0</v>
      </c>
      <c r="U3278" s="0" t="n">
        <f aca="false">F3278*F3278</f>
        <v>0</v>
      </c>
      <c r="V3278" s="0" t="n">
        <f aca="false">G3278*G3278</f>
        <v>0.0625</v>
      </c>
      <c r="W3278" s="0" t="n">
        <f aca="false">H3278*H3278</f>
        <v>0.25</v>
      </c>
      <c r="X3278" s="0" t="n">
        <f aca="false">SUMPRODUCT(I3278:W3278,_XtX!$B$96:$P$96)</f>
        <v>47.6906341374268</v>
      </c>
      <c r="Y3278" s="0" t="n">
        <f aca="false">SUMPRODUCT(MMULT(I3278:W3278,_XtX!$B$78:$P$92),I3278:W3278)</f>
        <v>0.120448419225146</v>
      </c>
      <c r="Z3278" s="0" t="n">
        <f aca="false">04_回帰ANOVA!$K$19*04_回帰ANOVA!$K$14*SQRT(1+Y3278)</f>
        <v>1.37973069703246</v>
      </c>
      <c r="AA3278" s="0" t="n">
        <f aca="false">X3278-Z3278</f>
        <v>46.3109034403944</v>
      </c>
      <c r="AB3278" s="0" t="n">
        <f aca="false">X3278+Z3278</f>
        <v>49.0703648344593</v>
      </c>
      <c r="AC3278" s="54" t="b">
        <f aca="false">AND(E3278&gt;=01_因子設定!$L$5-0.000000001,E3278&lt;=01_因子設定!$M$5+0.000000001,F3278&gt;=01_因子設定!$L$6-0.000000001,F3278&lt;=01_因子設定!$M$6+0.000000001,G3278&gt;=01_因子設定!$L$7-0.000000001,G3278&lt;=01_因子設定!$M$7+0.000000001,H3278&gt;=01_因子設定!$L$8-0.000000001,H3278&lt;=01_因子設定!$M$8+0.000000001,IF(01_因子設定!$B$20="Box-Behnken",E3278^2+F3278^2+G3278^2+H3278^2&lt;=2+0.000000001,TRUE()))</f>
        <v>1</v>
      </c>
      <c r="AD3278" s="55" t="n">
        <f aca="false">IF(AC3278,IF(01_因子設定!$B$13="最大化",AA3278-01_因子設定!$B$14,IF(01_因子設定!$B$13="最小化",01_因子設定!$B$15-AB3278,MIN(AA3278-01_因子設定!$B$14,01_因子設定!$B$15-AB3278))),-1E+030)</f>
        <v>-0.189096559605623</v>
      </c>
      <c r="AE3278" s="55" t="n">
        <f aca="false">IF(AC3278,IF(01_因子設定!$B$13="最大化",X3278,IF(01_因子設定!$B$13="最小化",-X3278,-ABS(X3278-01_因子設定!$B$16))),-1E+030)</f>
        <v>47.6906341374268</v>
      </c>
      <c r="AF3278" s="55" t="n">
        <f aca="false">AD3278+ROW()*0.000000001</f>
        <v>-0.189093281605623</v>
      </c>
      <c r="AG3278" s="55" t="n">
        <f aca="false">AE3278+ROW()*0.000000001</f>
        <v>47.6906374154268</v>
      </c>
    </row>
    <row r="3279" customFormat="false" ht="15" hidden="false" customHeight="false" outlineLevel="0" collapsed="false">
      <c r="A3279" s="0" t="n">
        <v>4</v>
      </c>
      <c r="B3279" s="0" t="n">
        <v>4</v>
      </c>
      <c r="C3279" s="0" t="n">
        <v>3</v>
      </c>
      <c r="D3279" s="0" t="n">
        <v>7</v>
      </c>
      <c r="E3279" s="0" t="n">
        <f aca="false">-1+A3279*0.25</f>
        <v>0</v>
      </c>
      <c r="F3279" s="0" t="n">
        <f aca="false">-1+B3279*0.25</f>
        <v>0</v>
      </c>
      <c r="G3279" s="0" t="n">
        <f aca="false">-1+C3279*0.25</f>
        <v>-0.25</v>
      </c>
      <c r="H3279" s="0" t="n">
        <f aca="false">-1+D3279*0.25</f>
        <v>0.75</v>
      </c>
      <c r="I3279" s="0" t="n">
        <f aca="false">1</f>
        <v>1</v>
      </c>
      <c r="J3279" s="0" t="n">
        <f aca="false">E3279</f>
        <v>0</v>
      </c>
      <c r="K3279" s="0" t="n">
        <f aca="false">F3279</f>
        <v>0</v>
      </c>
      <c r="L3279" s="0" t="n">
        <f aca="false">G3279</f>
        <v>-0.25</v>
      </c>
      <c r="M3279" s="0" t="n">
        <f aca="false">H3279</f>
        <v>0.75</v>
      </c>
      <c r="N3279" s="0" t="n">
        <f aca="false">E3279*F3279</f>
        <v>0</v>
      </c>
      <c r="O3279" s="0" t="n">
        <f aca="false">E3279*G3279</f>
        <v>-0</v>
      </c>
      <c r="P3279" s="0" t="n">
        <f aca="false">E3279*H3279</f>
        <v>0</v>
      </c>
      <c r="Q3279" s="0" t="n">
        <f aca="false">F3279*G3279</f>
        <v>-0</v>
      </c>
      <c r="R3279" s="0" t="n">
        <f aca="false">F3279*H3279</f>
        <v>0</v>
      </c>
      <c r="S3279" s="0" t="n">
        <f aca="false">G3279*H3279</f>
        <v>-0.1875</v>
      </c>
      <c r="T3279" s="0" t="n">
        <f aca="false">E3279*E3279</f>
        <v>0</v>
      </c>
      <c r="U3279" s="0" t="n">
        <f aca="false">F3279*F3279</f>
        <v>0</v>
      </c>
      <c r="V3279" s="0" t="n">
        <f aca="false">G3279*G3279</f>
        <v>0.0625</v>
      </c>
      <c r="W3279" s="0" t="n">
        <f aca="false">H3279*H3279</f>
        <v>0.5625</v>
      </c>
      <c r="X3279" s="0" t="n">
        <f aca="false">SUMPRODUCT(I3279:W3279,_XtX!$B$96:$P$96)</f>
        <v>47.6545367324561</v>
      </c>
      <c r="Y3279" s="0" t="n">
        <f aca="false">SUMPRODUCT(MMULT(I3279:W3279,_XtX!$B$78:$P$92),I3279:W3279)</f>
        <v>0.216127272934942</v>
      </c>
      <c r="Z3279" s="0" t="n">
        <f aca="false">04_回帰ANOVA!$K$19*04_回帰ANOVA!$K$14*SQRT(1+Y3279)</f>
        <v>1.43743397896608</v>
      </c>
      <c r="AA3279" s="0" t="n">
        <f aca="false">X3279-Z3279</f>
        <v>46.21710275349</v>
      </c>
      <c r="AB3279" s="0" t="n">
        <f aca="false">X3279+Z3279</f>
        <v>49.0919707114222</v>
      </c>
      <c r="AC3279" s="54" t="b">
        <f aca="false">AND(E3279&gt;=01_因子設定!$L$5-0.000000001,E3279&lt;=01_因子設定!$M$5+0.000000001,F3279&gt;=01_因子設定!$L$6-0.000000001,F3279&lt;=01_因子設定!$M$6+0.000000001,G3279&gt;=01_因子設定!$L$7-0.000000001,G3279&lt;=01_因子設定!$M$7+0.000000001,H3279&gt;=01_因子設定!$L$8-0.000000001,H3279&lt;=01_因子設定!$M$8+0.000000001,IF(01_因子設定!$B$20="Box-Behnken",E3279^2+F3279^2+G3279^2+H3279^2&lt;=2+0.000000001,TRUE()))</f>
        <v>1</v>
      </c>
      <c r="AD3279" s="55" t="n">
        <f aca="false">IF(AC3279,IF(01_因子設定!$B$13="最大化",AA3279-01_因子設定!$B$14,IF(01_因子設定!$B$13="最小化",01_因子設定!$B$15-AB3279,MIN(AA3279-01_因子設定!$B$14,01_因子設定!$B$15-AB3279))),-1E+030)</f>
        <v>-0.282897246509982</v>
      </c>
      <c r="AE3279" s="55" t="n">
        <f aca="false">IF(AC3279,IF(01_因子設定!$B$13="最大化",X3279,IF(01_因子設定!$B$13="最小化",-X3279,-ABS(X3279-01_因子設定!$B$16))),-1E+030)</f>
        <v>47.6545367324561</v>
      </c>
      <c r="AF3279" s="55" t="n">
        <f aca="false">AD3279+ROW()*0.000000001</f>
        <v>-0.282893967509982</v>
      </c>
      <c r="AG3279" s="55" t="n">
        <f aca="false">AE3279+ROW()*0.000000001</f>
        <v>47.6545400114561</v>
      </c>
    </row>
    <row r="3280" customFormat="false" ht="15" hidden="false" customHeight="false" outlineLevel="0" collapsed="false">
      <c r="A3280" s="0" t="n">
        <v>4</v>
      </c>
      <c r="B3280" s="0" t="n">
        <v>4</v>
      </c>
      <c r="C3280" s="0" t="n">
        <v>3</v>
      </c>
      <c r="D3280" s="0" t="n">
        <v>8</v>
      </c>
      <c r="E3280" s="0" t="n">
        <f aca="false">-1+A3280*0.25</f>
        <v>0</v>
      </c>
      <c r="F3280" s="0" t="n">
        <f aca="false">-1+B3280*0.25</f>
        <v>0</v>
      </c>
      <c r="G3280" s="0" t="n">
        <f aca="false">-1+C3280*0.25</f>
        <v>-0.25</v>
      </c>
      <c r="H3280" s="0" t="n">
        <f aca="false">-1+D3280*0.25</f>
        <v>1</v>
      </c>
      <c r="I3280" s="0" t="n">
        <f aca="false">1</f>
        <v>1</v>
      </c>
      <c r="J3280" s="0" t="n">
        <f aca="false">E3280</f>
        <v>0</v>
      </c>
      <c r="K3280" s="0" t="n">
        <f aca="false">F3280</f>
        <v>0</v>
      </c>
      <c r="L3280" s="0" t="n">
        <f aca="false">G3280</f>
        <v>-0.25</v>
      </c>
      <c r="M3280" s="0" t="n">
        <f aca="false">H3280</f>
        <v>1</v>
      </c>
      <c r="N3280" s="0" t="n">
        <f aca="false">E3280*F3280</f>
        <v>0</v>
      </c>
      <c r="O3280" s="0" t="n">
        <f aca="false">E3280*G3280</f>
        <v>-0</v>
      </c>
      <c r="P3280" s="0" t="n">
        <f aca="false">E3280*H3280</f>
        <v>0</v>
      </c>
      <c r="Q3280" s="0" t="n">
        <f aca="false">F3280*G3280</f>
        <v>-0</v>
      </c>
      <c r="R3280" s="0" t="n">
        <f aca="false">F3280*H3280</f>
        <v>0</v>
      </c>
      <c r="S3280" s="0" t="n">
        <f aca="false">G3280*H3280</f>
        <v>-0.25</v>
      </c>
      <c r="T3280" s="0" t="n">
        <f aca="false">E3280*E3280</f>
        <v>0</v>
      </c>
      <c r="U3280" s="0" t="n">
        <f aca="false">F3280*F3280</f>
        <v>0</v>
      </c>
      <c r="V3280" s="0" t="n">
        <f aca="false">G3280*G3280</f>
        <v>0.0625</v>
      </c>
      <c r="W3280" s="0" t="n">
        <f aca="false">H3280*H3280</f>
        <v>1</v>
      </c>
      <c r="X3280" s="0" t="n">
        <f aca="false">SUMPRODUCT(I3280:W3280,_XtX!$B$96:$P$96)</f>
        <v>47.5706323099415</v>
      </c>
      <c r="Y3280" s="0" t="n">
        <f aca="false">SUMPRODUCT(MMULT(I3280:W3280,_XtX!$B$78:$P$92),I3280:W3280)</f>
        <v>0.47672240497076</v>
      </c>
      <c r="Z3280" s="0" t="n">
        <f aca="false">04_回帰ANOVA!$K$19*04_回帰ANOVA!$K$14*SQRT(1+Y3280)</f>
        <v>1.58397318352695</v>
      </c>
      <c r="AA3280" s="0" t="n">
        <f aca="false">X3280-Z3280</f>
        <v>45.9866591264145</v>
      </c>
      <c r="AB3280" s="0" t="n">
        <f aca="false">X3280+Z3280</f>
        <v>49.1546054934684</v>
      </c>
      <c r="AC3280" s="54" t="b">
        <f aca="false">AND(E3280&gt;=01_因子設定!$L$5-0.000000001,E3280&lt;=01_因子設定!$M$5+0.000000001,F3280&gt;=01_因子設定!$L$6-0.000000001,F3280&lt;=01_因子設定!$M$6+0.000000001,G3280&gt;=01_因子設定!$L$7-0.000000001,G3280&lt;=01_因子設定!$M$7+0.000000001,H3280&gt;=01_因子設定!$L$8-0.000000001,H3280&lt;=01_因子設定!$M$8+0.000000001,IF(01_因子設定!$B$20="Box-Behnken",E3280^2+F3280^2+G3280^2+H3280^2&lt;=2+0.000000001,TRUE()))</f>
        <v>1</v>
      </c>
      <c r="AD3280" s="55" t="n">
        <f aca="false">IF(AC3280,IF(01_因子設定!$B$13="最大化",AA3280-01_因子設定!$B$14,IF(01_因子設定!$B$13="最小化",01_因子設定!$B$15-AB3280,MIN(AA3280-01_因子設定!$B$14,01_因子設定!$B$15-AB3280))),-1E+030)</f>
        <v>-0.513340873585456</v>
      </c>
      <c r="AE3280" s="55" t="n">
        <f aca="false">IF(AC3280,IF(01_因子設定!$B$13="最大化",X3280,IF(01_因子設定!$B$13="最小化",-X3280,-ABS(X3280-01_因子設定!$B$16))),-1E+030)</f>
        <v>47.5706323099415</v>
      </c>
      <c r="AF3280" s="55" t="n">
        <f aca="false">AD3280+ROW()*0.000000001</f>
        <v>-0.513337593585456</v>
      </c>
      <c r="AG3280" s="55" t="n">
        <f aca="false">AE3280+ROW()*0.000000001</f>
        <v>47.5706355899415</v>
      </c>
    </row>
    <row r="3281" customFormat="false" ht="15" hidden="false" customHeight="false" outlineLevel="0" collapsed="false">
      <c r="A3281" s="0" t="n">
        <v>4</v>
      </c>
      <c r="B3281" s="0" t="n">
        <v>4</v>
      </c>
      <c r="C3281" s="0" t="n">
        <v>4</v>
      </c>
      <c r="D3281" s="0" t="n">
        <v>0</v>
      </c>
      <c r="E3281" s="0" t="n">
        <f aca="false">-1+A3281*0.25</f>
        <v>0</v>
      </c>
      <c r="F3281" s="0" t="n">
        <f aca="false">-1+B3281*0.25</f>
        <v>0</v>
      </c>
      <c r="G3281" s="0" t="n">
        <f aca="false">-1+C3281*0.25</f>
        <v>0</v>
      </c>
      <c r="H3281" s="0" t="n">
        <f aca="false">-1+D3281*0.25</f>
        <v>-1</v>
      </c>
      <c r="I3281" s="0" t="n">
        <f aca="false">1</f>
        <v>1</v>
      </c>
      <c r="J3281" s="0" t="n">
        <f aca="false">E3281</f>
        <v>0</v>
      </c>
      <c r="K3281" s="0" t="n">
        <f aca="false">F3281</f>
        <v>0</v>
      </c>
      <c r="L3281" s="0" t="n">
        <f aca="false">G3281</f>
        <v>0</v>
      </c>
      <c r="M3281" s="0" t="n">
        <f aca="false">H3281</f>
        <v>-1</v>
      </c>
      <c r="N3281" s="0" t="n">
        <f aca="false">E3281*F3281</f>
        <v>0</v>
      </c>
      <c r="O3281" s="0" t="n">
        <f aca="false">E3281*G3281</f>
        <v>0</v>
      </c>
      <c r="P3281" s="0" t="n">
        <f aca="false">E3281*H3281</f>
        <v>-0</v>
      </c>
      <c r="Q3281" s="0" t="n">
        <f aca="false">F3281*G3281</f>
        <v>0</v>
      </c>
      <c r="R3281" s="0" t="n">
        <f aca="false">F3281*H3281</f>
        <v>-0</v>
      </c>
      <c r="S3281" s="0" t="n">
        <f aca="false">G3281*H3281</f>
        <v>-0</v>
      </c>
      <c r="T3281" s="0" t="n">
        <f aca="false">E3281*E3281</f>
        <v>0</v>
      </c>
      <c r="U3281" s="0" t="n">
        <f aca="false">F3281*F3281</f>
        <v>0</v>
      </c>
      <c r="V3281" s="0" t="n">
        <f aca="false">G3281*G3281</f>
        <v>0</v>
      </c>
      <c r="W3281" s="0" t="n">
        <f aca="false">H3281*H3281</f>
        <v>1</v>
      </c>
      <c r="X3281" s="0" t="n">
        <f aca="false">SUMPRODUCT(I3281:W3281,_XtX!$B$96:$P$96)</f>
        <v>47.1198830409357</v>
      </c>
      <c r="Y3281" s="0" t="n">
        <f aca="false">SUMPRODUCT(MMULT(I3281:W3281,_XtX!$B$78:$P$92),I3281:W3281)</f>
        <v>0.485380116959065</v>
      </c>
      <c r="Z3281" s="0" t="n">
        <f aca="false">04_回帰ANOVA!$K$19*04_回帰ANOVA!$K$14*SQRT(1+Y3281)</f>
        <v>1.58860964814545</v>
      </c>
      <c r="AA3281" s="0" t="n">
        <f aca="false">X3281-Z3281</f>
        <v>45.5312733927902</v>
      </c>
      <c r="AB3281" s="0" t="n">
        <f aca="false">X3281+Z3281</f>
        <v>48.7084926890811</v>
      </c>
      <c r="AC3281" s="54" t="b">
        <f aca="false">AND(E3281&gt;=01_因子設定!$L$5-0.000000001,E3281&lt;=01_因子設定!$M$5+0.000000001,F3281&gt;=01_因子設定!$L$6-0.000000001,F3281&lt;=01_因子設定!$M$6+0.000000001,G3281&gt;=01_因子設定!$L$7-0.000000001,G3281&lt;=01_因子設定!$M$7+0.000000001,H3281&gt;=01_因子設定!$L$8-0.000000001,H3281&lt;=01_因子設定!$M$8+0.000000001,IF(01_因子設定!$B$20="Box-Behnken",E3281^2+F3281^2+G3281^2+H3281^2&lt;=2+0.000000001,TRUE()))</f>
        <v>1</v>
      </c>
      <c r="AD3281" s="55" t="n">
        <f aca="false">IF(AC3281,IF(01_因子設定!$B$13="最大化",AA3281-01_因子設定!$B$14,IF(01_因子設定!$B$13="最小化",01_因子設定!$B$15-AB3281,MIN(AA3281-01_因子設定!$B$14,01_因子設定!$B$15-AB3281))),-1E+030)</f>
        <v>-0.968726607209803</v>
      </c>
      <c r="AE3281" s="55" t="n">
        <f aca="false">IF(AC3281,IF(01_因子設定!$B$13="最大化",X3281,IF(01_因子設定!$B$13="最小化",-X3281,-ABS(X3281-01_因子設定!$B$16))),-1E+030)</f>
        <v>47.1198830409357</v>
      </c>
      <c r="AF3281" s="55" t="n">
        <f aca="false">AD3281+ROW()*0.000000001</f>
        <v>-0.968723326209803</v>
      </c>
      <c r="AG3281" s="55" t="n">
        <f aca="false">AE3281+ROW()*0.000000001</f>
        <v>47.1198863219356</v>
      </c>
    </row>
    <row r="3282" customFormat="false" ht="15" hidden="false" customHeight="false" outlineLevel="0" collapsed="false">
      <c r="A3282" s="0" t="n">
        <v>4</v>
      </c>
      <c r="B3282" s="0" t="n">
        <v>4</v>
      </c>
      <c r="C3282" s="0" t="n">
        <v>4</v>
      </c>
      <c r="D3282" s="0" t="n">
        <v>1</v>
      </c>
      <c r="E3282" s="0" t="n">
        <f aca="false">-1+A3282*0.25</f>
        <v>0</v>
      </c>
      <c r="F3282" s="0" t="n">
        <f aca="false">-1+B3282*0.25</f>
        <v>0</v>
      </c>
      <c r="G3282" s="0" t="n">
        <f aca="false">-1+C3282*0.25</f>
        <v>0</v>
      </c>
      <c r="H3282" s="0" t="n">
        <f aca="false">-1+D3282*0.25</f>
        <v>-0.75</v>
      </c>
      <c r="I3282" s="0" t="n">
        <f aca="false">1</f>
        <v>1</v>
      </c>
      <c r="J3282" s="0" t="n">
        <f aca="false">E3282</f>
        <v>0</v>
      </c>
      <c r="K3282" s="0" t="n">
        <f aca="false">F3282</f>
        <v>0</v>
      </c>
      <c r="L3282" s="0" t="n">
        <f aca="false">G3282</f>
        <v>0</v>
      </c>
      <c r="M3282" s="0" t="n">
        <f aca="false">H3282</f>
        <v>-0.75</v>
      </c>
      <c r="N3282" s="0" t="n">
        <f aca="false">E3282*F3282</f>
        <v>0</v>
      </c>
      <c r="O3282" s="0" t="n">
        <f aca="false">E3282*G3282</f>
        <v>0</v>
      </c>
      <c r="P3282" s="0" t="n">
        <f aca="false">E3282*H3282</f>
        <v>-0</v>
      </c>
      <c r="Q3282" s="0" t="n">
        <f aca="false">F3282*G3282</f>
        <v>0</v>
      </c>
      <c r="R3282" s="0" t="n">
        <f aca="false">F3282*H3282</f>
        <v>-0</v>
      </c>
      <c r="S3282" s="0" t="n">
        <f aca="false">G3282*H3282</f>
        <v>-0</v>
      </c>
      <c r="T3282" s="0" t="n">
        <f aca="false">E3282*E3282</f>
        <v>0</v>
      </c>
      <c r="U3282" s="0" t="n">
        <f aca="false">F3282*F3282</f>
        <v>0</v>
      </c>
      <c r="V3282" s="0" t="n">
        <f aca="false">G3282*G3282</f>
        <v>0</v>
      </c>
      <c r="W3282" s="0" t="n">
        <f aca="false">H3282*H3282</f>
        <v>0.5625</v>
      </c>
      <c r="X3282" s="0" t="n">
        <f aca="false">SUMPRODUCT(I3282:W3282,_XtX!$B$96:$P$96)</f>
        <v>47.388596491228</v>
      </c>
      <c r="Y3282" s="0" t="n">
        <f aca="false">SUMPRODUCT(MMULT(I3282:W3282,_XtX!$B$78:$P$92),I3282:W3282)</f>
        <v>0.220257675438597</v>
      </c>
      <c r="Z3282" s="0" t="n">
        <f aca="false">04_回帰ANOVA!$K$19*04_回帰ANOVA!$K$14*SQRT(1+Y3282)</f>
        <v>1.43987292938832</v>
      </c>
      <c r="AA3282" s="0" t="n">
        <f aca="false">X3282-Z3282</f>
        <v>45.9487235618397</v>
      </c>
      <c r="AB3282" s="0" t="n">
        <f aca="false">X3282+Z3282</f>
        <v>48.8284694206163</v>
      </c>
      <c r="AC3282" s="54" t="b">
        <f aca="false">AND(E3282&gt;=01_因子設定!$L$5-0.000000001,E3282&lt;=01_因子設定!$M$5+0.000000001,F3282&gt;=01_因子設定!$L$6-0.000000001,F3282&lt;=01_因子設定!$M$6+0.000000001,G3282&gt;=01_因子設定!$L$7-0.000000001,G3282&lt;=01_因子設定!$M$7+0.000000001,H3282&gt;=01_因子設定!$L$8-0.000000001,H3282&lt;=01_因子設定!$M$8+0.000000001,IF(01_因子設定!$B$20="Box-Behnken",E3282^2+F3282^2+G3282^2+H3282^2&lt;=2+0.000000001,TRUE()))</f>
        <v>1</v>
      </c>
      <c r="AD3282" s="55" t="n">
        <f aca="false">IF(AC3282,IF(01_因子設定!$B$13="最大化",AA3282-01_因子設定!$B$14,IF(01_因子設定!$B$13="最小化",01_因子設定!$B$15-AB3282,MIN(AA3282-01_因子設定!$B$14,01_因子設定!$B$15-AB3282))),-1E+030)</f>
        <v>-0.551276438160286</v>
      </c>
      <c r="AE3282" s="55" t="n">
        <f aca="false">IF(AC3282,IF(01_因子設定!$B$13="最大化",X3282,IF(01_因子設定!$B$13="最小化",-X3282,-ABS(X3282-01_因子設定!$B$16))),-1E+030)</f>
        <v>47.388596491228</v>
      </c>
      <c r="AF3282" s="55" t="n">
        <f aca="false">AD3282+ROW()*0.000000001</f>
        <v>-0.551273156160286</v>
      </c>
      <c r="AG3282" s="55" t="n">
        <f aca="false">AE3282+ROW()*0.000000001</f>
        <v>47.388599773228</v>
      </c>
    </row>
    <row r="3283" customFormat="false" ht="15" hidden="false" customHeight="false" outlineLevel="0" collapsed="false">
      <c r="A3283" s="0" t="n">
        <v>4</v>
      </c>
      <c r="B3283" s="0" t="n">
        <v>4</v>
      </c>
      <c r="C3283" s="0" t="n">
        <v>4</v>
      </c>
      <c r="D3283" s="0" t="n">
        <v>2</v>
      </c>
      <c r="E3283" s="0" t="n">
        <f aca="false">-1+A3283*0.25</f>
        <v>0</v>
      </c>
      <c r="F3283" s="0" t="n">
        <f aca="false">-1+B3283*0.25</f>
        <v>0</v>
      </c>
      <c r="G3283" s="0" t="n">
        <f aca="false">-1+C3283*0.25</f>
        <v>0</v>
      </c>
      <c r="H3283" s="0" t="n">
        <f aca="false">-1+D3283*0.25</f>
        <v>-0.5</v>
      </c>
      <c r="I3283" s="0" t="n">
        <f aca="false">1</f>
        <v>1</v>
      </c>
      <c r="J3283" s="0" t="n">
        <f aca="false">E3283</f>
        <v>0</v>
      </c>
      <c r="K3283" s="0" t="n">
        <f aca="false">F3283</f>
        <v>0</v>
      </c>
      <c r="L3283" s="0" t="n">
        <f aca="false">G3283</f>
        <v>0</v>
      </c>
      <c r="M3283" s="0" t="n">
        <f aca="false">H3283</f>
        <v>-0.5</v>
      </c>
      <c r="N3283" s="0" t="n">
        <f aca="false">E3283*F3283</f>
        <v>0</v>
      </c>
      <c r="O3283" s="0" t="n">
        <f aca="false">E3283*G3283</f>
        <v>0</v>
      </c>
      <c r="P3283" s="0" t="n">
        <f aca="false">E3283*H3283</f>
        <v>-0</v>
      </c>
      <c r="Q3283" s="0" t="n">
        <f aca="false">F3283*G3283</f>
        <v>0</v>
      </c>
      <c r="R3283" s="0" t="n">
        <f aca="false">F3283*H3283</f>
        <v>-0</v>
      </c>
      <c r="S3283" s="0" t="n">
        <f aca="false">G3283*H3283</f>
        <v>-0</v>
      </c>
      <c r="T3283" s="0" t="n">
        <f aca="false">E3283*E3283</f>
        <v>0</v>
      </c>
      <c r="U3283" s="0" t="n">
        <f aca="false">F3283*F3283</f>
        <v>0</v>
      </c>
      <c r="V3283" s="0" t="n">
        <f aca="false">G3283*G3283</f>
        <v>0</v>
      </c>
      <c r="W3283" s="0" t="n">
        <f aca="false">H3283*H3283</f>
        <v>0.25</v>
      </c>
      <c r="X3283" s="0" t="n">
        <f aca="false">SUMPRODUCT(I3283:W3283,_XtX!$B$96:$P$96)</f>
        <v>47.6095029239766</v>
      </c>
      <c r="Y3283" s="0" t="n">
        <f aca="false">SUMPRODUCT(MMULT(I3283:W3283,_XtX!$B$78:$P$92),I3283:W3283)</f>
        <v>0.121345029239766</v>
      </c>
      <c r="Z3283" s="0" t="n">
        <f aca="false">04_回帰ANOVA!$K$19*04_回帰ANOVA!$K$14*SQRT(1+Y3283)</f>
        <v>1.3802826336289</v>
      </c>
      <c r="AA3283" s="0" t="n">
        <f aca="false">X3283-Z3283</f>
        <v>46.2292202903477</v>
      </c>
      <c r="AB3283" s="0" t="n">
        <f aca="false">X3283+Z3283</f>
        <v>48.9897855576055</v>
      </c>
      <c r="AC3283" s="54" t="b">
        <f aca="false">AND(E3283&gt;=01_因子設定!$L$5-0.000000001,E3283&lt;=01_因子設定!$M$5+0.000000001,F3283&gt;=01_因子設定!$L$6-0.000000001,F3283&lt;=01_因子設定!$M$6+0.000000001,G3283&gt;=01_因子設定!$L$7-0.000000001,G3283&lt;=01_因子設定!$M$7+0.000000001,H3283&gt;=01_因子設定!$L$8-0.000000001,H3283&lt;=01_因子設定!$M$8+0.000000001,IF(01_因子設定!$B$20="Box-Behnken",E3283^2+F3283^2+G3283^2+H3283^2&lt;=2+0.000000001,TRUE()))</f>
        <v>1</v>
      </c>
      <c r="AD3283" s="55" t="n">
        <f aca="false">IF(AC3283,IF(01_因子設定!$B$13="最大化",AA3283-01_因子設定!$B$14,IF(01_因子設定!$B$13="最小化",01_因子設定!$B$15-AB3283,MIN(AA3283-01_因子設定!$B$14,01_因子設定!$B$15-AB3283))),-1E+030)</f>
        <v>-0.270779709652352</v>
      </c>
      <c r="AE3283" s="55" t="n">
        <f aca="false">IF(AC3283,IF(01_因子設定!$B$13="最大化",X3283,IF(01_因子設定!$B$13="最小化",-X3283,-ABS(X3283-01_因子設定!$B$16))),-1E+030)</f>
        <v>47.6095029239766</v>
      </c>
      <c r="AF3283" s="55" t="n">
        <f aca="false">AD3283+ROW()*0.000000001</f>
        <v>-0.270776426652352</v>
      </c>
      <c r="AG3283" s="55" t="n">
        <f aca="false">AE3283+ROW()*0.000000001</f>
        <v>47.6095062069766</v>
      </c>
    </row>
    <row r="3284" customFormat="false" ht="15" hidden="false" customHeight="false" outlineLevel="0" collapsed="false">
      <c r="A3284" s="0" t="n">
        <v>4</v>
      </c>
      <c r="B3284" s="0" t="n">
        <v>4</v>
      </c>
      <c r="C3284" s="0" t="n">
        <v>4</v>
      </c>
      <c r="D3284" s="0" t="n">
        <v>3</v>
      </c>
      <c r="E3284" s="0" t="n">
        <f aca="false">-1+A3284*0.25</f>
        <v>0</v>
      </c>
      <c r="F3284" s="0" t="n">
        <f aca="false">-1+B3284*0.25</f>
        <v>0</v>
      </c>
      <c r="G3284" s="0" t="n">
        <f aca="false">-1+C3284*0.25</f>
        <v>0</v>
      </c>
      <c r="H3284" s="0" t="n">
        <f aca="false">-1+D3284*0.25</f>
        <v>-0.25</v>
      </c>
      <c r="I3284" s="0" t="n">
        <f aca="false">1</f>
        <v>1</v>
      </c>
      <c r="J3284" s="0" t="n">
        <f aca="false">E3284</f>
        <v>0</v>
      </c>
      <c r="K3284" s="0" t="n">
        <f aca="false">F3284</f>
        <v>0</v>
      </c>
      <c r="L3284" s="0" t="n">
        <f aca="false">G3284</f>
        <v>0</v>
      </c>
      <c r="M3284" s="0" t="n">
        <f aca="false">H3284</f>
        <v>-0.25</v>
      </c>
      <c r="N3284" s="0" t="n">
        <f aca="false">E3284*F3284</f>
        <v>0</v>
      </c>
      <c r="O3284" s="0" t="n">
        <f aca="false">E3284*G3284</f>
        <v>0</v>
      </c>
      <c r="P3284" s="0" t="n">
        <f aca="false">E3284*H3284</f>
        <v>-0</v>
      </c>
      <c r="Q3284" s="0" t="n">
        <f aca="false">F3284*G3284</f>
        <v>0</v>
      </c>
      <c r="R3284" s="0" t="n">
        <f aca="false">F3284*H3284</f>
        <v>-0</v>
      </c>
      <c r="S3284" s="0" t="n">
        <f aca="false">G3284*H3284</f>
        <v>-0</v>
      </c>
      <c r="T3284" s="0" t="n">
        <f aca="false">E3284*E3284</f>
        <v>0</v>
      </c>
      <c r="U3284" s="0" t="n">
        <f aca="false">F3284*F3284</f>
        <v>0</v>
      </c>
      <c r="V3284" s="0" t="n">
        <f aca="false">G3284*G3284</f>
        <v>0</v>
      </c>
      <c r="W3284" s="0" t="n">
        <f aca="false">H3284*H3284</f>
        <v>0.0625</v>
      </c>
      <c r="X3284" s="0" t="n">
        <f aca="false">SUMPRODUCT(I3284:W3284,_XtX!$B$96:$P$96)</f>
        <v>47.7826023391812</v>
      </c>
      <c r="Y3284" s="0" t="n">
        <f aca="false">SUMPRODUCT(MMULT(I3284:W3284,_XtX!$B$78:$P$92),I3284:W3284)</f>
        <v>0.0981816520467836</v>
      </c>
      <c r="Z3284" s="0" t="n">
        <f aca="false">04_回帰ANOVA!$K$19*04_回帰ANOVA!$K$14*SQRT(1+Y3284)</f>
        <v>1.36595214489796</v>
      </c>
      <c r="AA3284" s="0" t="n">
        <f aca="false">X3284-Z3284</f>
        <v>46.4166501942833</v>
      </c>
      <c r="AB3284" s="0" t="n">
        <f aca="false">X3284+Z3284</f>
        <v>49.1485544840792</v>
      </c>
      <c r="AC3284" s="54" t="b">
        <f aca="false">AND(E3284&gt;=01_因子設定!$L$5-0.000000001,E3284&lt;=01_因子設定!$M$5+0.000000001,F3284&gt;=01_因子設定!$L$6-0.000000001,F3284&lt;=01_因子設定!$M$6+0.000000001,G3284&gt;=01_因子設定!$L$7-0.000000001,G3284&lt;=01_因子設定!$M$7+0.000000001,H3284&gt;=01_因子設定!$L$8-0.000000001,H3284&lt;=01_因子設定!$M$8+0.000000001,IF(01_因子設定!$B$20="Box-Behnken",E3284^2+F3284^2+G3284^2+H3284^2&lt;=2+0.000000001,TRUE()))</f>
        <v>1</v>
      </c>
      <c r="AD3284" s="55" t="n">
        <f aca="false">IF(AC3284,IF(01_因子設定!$B$13="最大化",AA3284-01_因子設定!$B$14,IF(01_因子設定!$B$13="最小化",01_因子設定!$B$15-AB3284,MIN(AA3284-01_因子設定!$B$14,01_因子設定!$B$15-AB3284))),-1E+030)</f>
        <v>-0.0833498057167361</v>
      </c>
      <c r="AE3284" s="55" t="n">
        <f aca="false">IF(AC3284,IF(01_因子設定!$B$13="最大化",X3284,IF(01_因子設定!$B$13="最小化",-X3284,-ABS(X3284-01_因子設定!$B$16))),-1E+030)</f>
        <v>47.7826023391812</v>
      </c>
      <c r="AF3284" s="55" t="n">
        <f aca="false">AD3284+ROW()*0.000000001</f>
        <v>-0.0833465217167361</v>
      </c>
      <c r="AG3284" s="55" t="n">
        <f aca="false">AE3284+ROW()*0.000000001</f>
        <v>47.7826056231812</v>
      </c>
    </row>
    <row r="3285" customFormat="false" ht="15" hidden="false" customHeight="false" outlineLevel="0" collapsed="false">
      <c r="A3285" s="0" t="n">
        <v>4</v>
      </c>
      <c r="B3285" s="0" t="n">
        <v>4</v>
      </c>
      <c r="C3285" s="0" t="n">
        <v>4</v>
      </c>
      <c r="D3285" s="0" t="n">
        <v>4</v>
      </c>
      <c r="E3285" s="0" t="n">
        <f aca="false">-1+A3285*0.25</f>
        <v>0</v>
      </c>
      <c r="F3285" s="0" t="n">
        <f aca="false">-1+B3285*0.25</f>
        <v>0</v>
      </c>
      <c r="G3285" s="0" t="n">
        <f aca="false">-1+C3285*0.25</f>
        <v>0</v>
      </c>
      <c r="H3285" s="0" t="n">
        <f aca="false">-1+D3285*0.25</f>
        <v>0</v>
      </c>
      <c r="I3285" s="0" t="n">
        <f aca="false">1</f>
        <v>1</v>
      </c>
      <c r="J3285" s="0" t="n">
        <f aca="false">E3285</f>
        <v>0</v>
      </c>
      <c r="K3285" s="0" t="n">
        <f aca="false">F3285</f>
        <v>0</v>
      </c>
      <c r="L3285" s="0" t="n">
        <f aca="false">G3285</f>
        <v>0</v>
      </c>
      <c r="M3285" s="0" t="n">
        <f aca="false">H3285</f>
        <v>0</v>
      </c>
      <c r="N3285" s="0" t="n">
        <f aca="false">E3285*F3285</f>
        <v>0</v>
      </c>
      <c r="O3285" s="0" t="n">
        <f aca="false">E3285*G3285</f>
        <v>0</v>
      </c>
      <c r="P3285" s="0" t="n">
        <f aca="false">E3285*H3285</f>
        <v>0</v>
      </c>
      <c r="Q3285" s="0" t="n">
        <f aca="false">F3285*G3285</f>
        <v>0</v>
      </c>
      <c r="R3285" s="0" t="n">
        <f aca="false">F3285*H3285</f>
        <v>0</v>
      </c>
      <c r="S3285" s="0" t="n">
        <f aca="false">G3285*H3285</f>
        <v>0</v>
      </c>
      <c r="T3285" s="0" t="n">
        <f aca="false">E3285*E3285</f>
        <v>0</v>
      </c>
      <c r="U3285" s="0" t="n">
        <f aca="false">F3285*F3285</f>
        <v>0</v>
      </c>
      <c r="V3285" s="0" t="n">
        <f aca="false">G3285*G3285</f>
        <v>0</v>
      </c>
      <c r="W3285" s="0" t="n">
        <f aca="false">H3285*H3285</f>
        <v>0</v>
      </c>
      <c r="X3285" s="0" t="n">
        <f aca="false">SUMPRODUCT(I3285:W3285,_XtX!$B$96:$P$96)</f>
        <v>47.907894736842</v>
      </c>
      <c r="Y3285" s="0" t="n">
        <f aca="false">SUMPRODUCT(MMULT(I3285:W3285,_XtX!$B$78:$P$92),I3285:W3285)</f>
        <v>0.0964912280701755</v>
      </c>
      <c r="Z3285" s="0" t="n">
        <f aca="false">04_回帰ANOVA!$K$19*04_回帰ANOVA!$K$14*SQRT(1+Y3285)</f>
        <v>1.36490043933139</v>
      </c>
      <c r="AA3285" s="0" t="n">
        <f aca="false">X3285-Z3285</f>
        <v>46.5429942975106</v>
      </c>
      <c r="AB3285" s="0" t="n">
        <f aca="false">X3285+Z3285</f>
        <v>49.2727951761734</v>
      </c>
      <c r="AC3285" s="54" t="b">
        <f aca="false">AND(E3285&gt;=01_因子設定!$L$5-0.000000001,E3285&lt;=01_因子設定!$M$5+0.000000001,F3285&gt;=01_因子設定!$L$6-0.000000001,F3285&lt;=01_因子設定!$M$6+0.000000001,G3285&gt;=01_因子設定!$L$7-0.000000001,G3285&lt;=01_因子設定!$M$7+0.000000001,H3285&gt;=01_因子設定!$L$8-0.000000001,H3285&lt;=01_因子設定!$M$8+0.000000001,IF(01_因子設定!$B$20="Box-Behnken",E3285^2+F3285^2+G3285^2+H3285^2&lt;=2+0.000000001,TRUE()))</f>
        <v>1</v>
      </c>
      <c r="AD3285" s="55" t="n">
        <f aca="false">IF(AC3285,IF(01_因子設定!$B$13="最大化",AA3285-01_因子設定!$B$14,IF(01_因子設定!$B$13="最小化",01_因子設定!$B$15-AB3285,MIN(AA3285-01_因子設定!$B$14,01_因子設定!$B$15-AB3285))),-1E+030)</f>
        <v>0.0429942975106457</v>
      </c>
      <c r="AE3285" s="55" t="n">
        <f aca="false">IF(AC3285,IF(01_因子設定!$B$13="最大化",X3285,IF(01_因子設定!$B$13="最小化",-X3285,-ABS(X3285-01_因子設定!$B$16))),-1E+030)</f>
        <v>47.907894736842</v>
      </c>
      <c r="AF3285" s="55" t="n">
        <f aca="false">AD3285+ROW()*0.000000001</f>
        <v>0.0429975825106457</v>
      </c>
      <c r="AG3285" s="55" t="n">
        <f aca="false">AE3285+ROW()*0.000000001</f>
        <v>47.907898021842</v>
      </c>
    </row>
    <row r="3286" customFormat="false" ht="15" hidden="false" customHeight="false" outlineLevel="0" collapsed="false">
      <c r="A3286" s="0" t="n">
        <v>4</v>
      </c>
      <c r="B3286" s="0" t="n">
        <v>4</v>
      </c>
      <c r="C3286" s="0" t="n">
        <v>4</v>
      </c>
      <c r="D3286" s="0" t="n">
        <v>5</v>
      </c>
      <c r="E3286" s="0" t="n">
        <f aca="false">-1+A3286*0.25</f>
        <v>0</v>
      </c>
      <c r="F3286" s="0" t="n">
        <f aca="false">-1+B3286*0.25</f>
        <v>0</v>
      </c>
      <c r="G3286" s="0" t="n">
        <f aca="false">-1+C3286*0.25</f>
        <v>0</v>
      </c>
      <c r="H3286" s="0" t="n">
        <f aca="false">-1+D3286*0.25</f>
        <v>0.25</v>
      </c>
      <c r="I3286" s="0" t="n">
        <f aca="false">1</f>
        <v>1</v>
      </c>
      <c r="J3286" s="0" t="n">
        <f aca="false">E3286</f>
        <v>0</v>
      </c>
      <c r="K3286" s="0" t="n">
        <f aca="false">F3286</f>
        <v>0</v>
      </c>
      <c r="L3286" s="0" t="n">
        <f aca="false">G3286</f>
        <v>0</v>
      </c>
      <c r="M3286" s="0" t="n">
        <f aca="false">H3286</f>
        <v>0.25</v>
      </c>
      <c r="N3286" s="0" t="n">
        <f aca="false">E3286*F3286</f>
        <v>0</v>
      </c>
      <c r="O3286" s="0" t="n">
        <f aca="false">E3286*G3286</f>
        <v>0</v>
      </c>
      <c r="P3286" s="0" t="n">
        <f aca="false">E3286*H3286</f>
        <v>0</v>
      </c>
      <c r="Q3286" s="0" t="n">
        <f aca="false">F3286*G3286</f>
        <v>0</v>
      </c>
      <c r="R3286" s="0" t="n">
        <f aca="false">F3286*H3286</f>
        <v>0</v>
      </c>
      <c r="S3286" s="0" t="n">
        <f aca="false">G3286*H3286</f>
        <v>0</v>
      </c>
      <c r="T3286" s="0" t="n">
        <f aca="false">E3286*E3286</f>
        <v>0</v>
      </c>
      <c r="U3286" s="0" t="n">
        <f aca="false">F3286*F3286</f>
        <v>0</v>
      </c>
      <c r="V3286" s="0" t="n">
        <f aca="false">G3286*G3286</f>
        <v>0</v>
      </c>
      <c r="W3286" s="0" t="n">
        <f aca="false">H3286*H3286</f>
        <v>0.0625</v>
      </c>
      <c r="X3286" s="0" t="n">
        <f aca="false">SUMPRODUCT(I3286:W3286,_XtX!$B$96:$P$96)</f>
        <v>47.985380116959</v>
      </c>
      <c r="Y3286" s="0" t="n">
        <f aca="false">SUMPRODUCT(MMULT(I3286:W3286,_XtX!$B$78:$P$92),I3286:W3286)</f>
        <v>0.0981816520467836</v>
      </c>
      <c r="Z3286" s="0" t="n">
        <f aca="false">04_回帰ANOVA!$K$19*04_回帰ANOVA!$K$14*SQRT(1+Y3286)</f>
        <v>1.36595214489796</v>
      </c>
      <c r="AA3286" s="0" t="n">
        <f aca="false">X3286-Z3286</f>
        <v>46.619427972061</v>
      </c>
      <c r="AB3286" s="0" t="n">
        <f aca="false">X3286+Z3286</f>
        <v>49.351332261857</v>
      </c>
      <c r="AC3286" s="54" t="b">
        <f aca="false">AND(E3286&gt;=01_因子設定!$L$5-0.000000001,E3286&lt;=01_因子設定!$M$5+0.000000001,F3286&gt;=01_因子設定!$L$6-0.000000001,F3286&lt;=01_因子設定!$M$6+0.000000001,G3286&gt;=01_因子設定!$L$7-0.000000001,G3286&lt;=01_因子設定!$M$7+0.000000001,H3286&gt;=01_因子設定!$L$8-0.000000001,H3286&lt;=01_因子設定!$M$8+0.000000001,IF(01_因子設定!$B$20="Box-Behnken",E3286^2+F3286^2+G3286^2+H3286^2&lt;=2+0.000000001,TRUE()))</f>
        <v>1</v>
      </c>
      <c r="AD3286" s="55" t="n">
        <f aca="false">IF(AC3286,IF(01_因子設定!$B$13="最大化",AA3286-01_因子設定!$B$14,IF(01_因子設定!$B$13="最小化",01_因子設定!$B$15-AB3286,MIN(AA3286-01_因子設定!$B$14,01_因子設定!$B$15-AB3286))),-1E+030)</f>
        <v>0.11942797206104</v>
      </c>
      <c r="AE3286" s="55" t="n">
        <f aca="false">IF(AC3286,IF(01_因子設定!$B$13="最大化",X3286,IF(01_因子設定!$B$13="最小化",-X3286,-ABS(X3286-01_因子設定!$B$16))),-1E+030)</f>
        <v>47.985380116959</v>
      </c>
      <c r="AF3286" s="55" t="n">
        <f aca="false">AD3286+ROW()*0.000000001</f>
        <v>0.11943125806104</v>
      </c>
      <c r="AG3286" s="55" t="n">
        <f aca="false">AE3286+ROW()*0.000000001</f>
        <v>47.985383402959</v>
      </c>
    </row>
    <row r="3287" customFormat="false" ht="15" hidden="false" customHeight="false" outlineLevel="0" collapsed="false">
      <c r="A3287" s="0" t="n">
        <v>4</v>
      </c>
      <c r="B3287" s="0" t="n">
        <v>4</v>
      </c>
      <c r="C3287" s="0" t="n">
        <v>4</v>
      </c>
      <c r="D3287" s="0" t="n">
        <v>6</v>
      </c>
      <c r="E3287" s="0" t="n">
        <f aca="false">-1+A3287*0.25</f>
        <v>0</v>
      </c>
      <c r="F3287" s="0" t="n">
        <f aca="false">-1+B3287*0.25</f>
        <v>0</v>
      </c>
      <c r="G3287" s="0" t="n">
        <f aca="false">-1+C3287*0.25</f>
        <v>0</v>
      </c>
      <c r="H3287" s="0" t="n">
        <f aca="false">-1+D3287*0.25</f>
        <v>0.5</v>
      </c>
      <c r="I3287" s="0" t="n">
        <f aca="false">1</f>
        <v>1</v>
      </c>
      <c r="J3287" s="0" t="n">
        <f aca="false">E3287</f>
        <v>0</v>
      </c>
      <c r="K3287" s="0" t="n">
        <f aca="false">F3287</f>
        <v>0</v>
      </c>
      <c r="L3287" s="0" t="n">
        <f aca="false">G3287</f>
        <v>0</v>
      </c>
      <c r="M3287" s="0" t="n">
        <f aca="false">H3287</f>
        <v>0.5</v>
      </c>
      <c r="N3287" s="0" t="n">
        <f aca="false">E3287*F3287</f>
        <v>0</v>
      </c>
      <c r="O3287" s="0" t="n">
        <f aca="false">E3287*G3287</f>
        <v>0</v>
      </c>
      <c r="P3287" s="0" t="n">
        <f aca="false">E3287*H3287</f>
        <v>0</v>
      </c>
      <c r="Q3287" s="0" t="n">
        <f aca="false">F3287*G3287</f>
        <v>0</v>
      </c>
      <c r="R3287" s="0" t="n">
        <f aca="false">F3287*H3287</f>
        <v>0</v>
      </c>
      <c r="S3287" s="0" t="n">
        <f aca="false">G3287*H3287</f>
        <v>0</v>
      </c>
      <c r="T3287" s="0" t="n">
        <f aca="false">E3287*E3287</f>
        <v>0</v>
      </c>
      <c r="U3287" s="0" t="n">
        <f aca="false">F3287*F3287</f>
        <v>0</v>
      </c>
      <c r="V3287" s="0" t="n">
        <f aca="false">G3287*G3287</f>
        <v>0</v>
      </c>
      <c r="W3287" s="0" t="n">
        <f aca="false">H3287*H3287</f>
        <v>0.25</v>
      </c>
      <c r="X3287" s="0" t="n">
        <f aca="false">SUMPRODUCT(I3287:W3287,_XtX!$B$96:$P$96)</f>
        <v>48.0150584795321</v>
      </c>
      <c r="Y3287" s="0" t="n">
        <f aca="false">SUMPRODUCT(MMULT(I3287:W3287,_XtX!$B$78:$P$92),I3287:W3287)</f>
        <v>0.121345029239766</v>
      </c>
      <c r="Z3287" s="0" t="n">
        <f aca="false">04_回帰ANOVA!$K$19*04_回帰ANOVA!$K$14*SQRT(1+Y3287)</f>
        <v>1.3802826336289</v>
      </c>
      <c r="AA3287" s="0" t="n">
        <f aca="false">X3287-Z3287</f>
        <v>46.6347758459032</v>
      </c>
      <c r="AB3287" s="0" t="n">
        <f aca="false">X3287+Z3287</f>
        <v>49.395341113161</v>
      </c>
      <c r="AC3287" s="54" t="b">
        <f aca="false">AND(E3287&gt;=01_因子設定!$L$5-0.000000001,E3287&lt;=01_因子設定!$M$5+0.000000001,F3287&gt;=01_因子設定!$L$6-0.000000001,F3287&lt;=01_因子設定!$M$6+0.000000001,G3287&gt;=01_因子設定!$L$7-0.000000001,G3287&lt;=01_因子設定!$M$7+0.000000001,H3287&gt;=01_因子設定!$L$8-0.000000001,H3287&lt;=01_因子設定!$M$8+0.000000001,IF(01_因子設定!$B$20="Box-Behnken",E3287^2+F3287^2+G3287^2+H3287^2&lt;=2+0.000000001,TRUE()))</f>
        <v>1</v>
      </c>
      <c r="AD3287" s="55" t="n">
        <f aca="false">IF(AC3287,IF(01_因子設定!$B$13="最大化",AA3287-01_因子設定!$B$14,IF(01_因子設定!$B$13="最小化",01_因子設定!$B$15-AB3287,MIN(AA3287-01_因子設定!$B$14,01_因子設定!$B$15-AB3287))),-1E+030)</f>
        <v>0.134775845903206</v>
      </c>
      <c r="AE3287" s="55" t="n">
        <f aca="false">IF(AC3287,IF(01_因子設定!$B$13="最大化",X3287,IF(01_因子設定!$B$13="最小化",-X3287,-ABS(X3287-01_因子設定!$B$16))),-1E+030)</f>
        <v>48.0150584795321</v>
      </c>
      <c r="AF3287" s="55" t="n">
        <f aca="false">AD3287+ROW()*0.000000001</f>
        <v>0.134779132903206</v>
      </c>
      <c r="AG3287" s="55" t="n">
        <f aca="false">AE3287+ROW()*0.000000001</f>
        <v>48.0150617665321</v>
      </c>
    </row>
    <row r="3288" customFormat="false" ht="15" hidden="false" customHeight="false" outlineLevel="0" collapsed="false">
      <c r="A3288" s="0" t="n">
        <v>4</v>
      </c>
      <c r="B3288" s="0" t="n">
        <v>4</v>
      </c>
      <c r="C3288" s="0" t="n">
        <v>4</v>
      </c>
      <c r="D3288" s="0" t="n">
        <v>7</v>
      </c>
      <c r="E3288" s="0" t="n">
        <f aca="false">-1+A3288*0.25</f>
        <v>0</v>
      </c>
      <c r="F3288" s="0" t="n">
        <f aca="false">-1+B3288*0.25</f>
        <v>0</v>
      </c>
      <c r="G3288" s="0" t="n">
        <f aca="false">-1+C3288*0.25</f>
        <v>0</v>
      </c>
      <c r="H3288" s="0" t="n">
        <f aca="false">-1+D3288*0.25</f>
        <v>0.75</v>
      </c>
      <c r="I3288" s="0" t="n">
        <f aca="false">1</f>
        <v>1</v>
      </c>
      <c r="J3288" s="0" t="n">
        <f aca="false">E3288</f>
        <v>0</v>
      </c>
      <c r="K3288" s="0" t="n">
        <f aca="false">F3288</f>
        <v>0</v>
      </c>
      <c r="L3288" s="0" t="n">
        <f aca="false">G3288</f>
        <v>0</v>
      </c>
      <c r="M3288" s="0" t="n">
        <f aca="false">H3288</f>
        <v>0.75</v>
      </c>
      <c r="N3288" s="0" t="n">
        <f aca="false">E3288*F3288</f>
        <v>0</v>
      </c>
      <c r="O3288" s="0" t="n">
        <f aca="false">E3288*G3288</f>
        <v>0</v>
      </c>
      <c r="P3288" s="0" t="n">
        <f aca="false">E3288*H3288</f>
        <v>0</v>
      </c>
      <c r="Q3288" s="0" t="n">
        <f aca="false">F3288*G3288</f>
        <v>0</v>
      </c>
      <c r="R3288" s="0" t="n">
        <f aca="false">F3288*H3288</f>
        <v>0</v>
      </c>
      <c r="S3288" s="0" t="n">
        <f aca="false">G3288*H3288</f>
        <v>0</v>
      </c>
      <c r="T3288" s="0" t="n">
        <f aca="false">E3288*E3288</f>
        <v>0</v>
      </c>
      <c r="U3288" s="0" t="n">
        <f aca="false">F3288*F3288</f>
        <v>0</v>
      </c>
      <c r="V3288" s="0" t="n">
        <f aca="false">G3288*G3288</f>
        <v>0</v>
      </c>
      <c r="W3288" s="0" t="n">
        <f aca="false">H3288*H3288</f>
        <v>0.5625</v>
      </c>
      <c r="X3288" s="0" t="n">
        <f aca="false">SUMPRODUCT(I3288:W3288,_XtX!$B$96:$P$96)</f>
        <v>47.9969298245614</v>
      </c>
      <c r="Y3288" s="0" t="n">
        <f aca="false">SUMPRODUCT(MMULT(I3288:W3288,_XtX!$B$78:$P$92),I3288:W3288)</f>
        <v>0.220257675438597</v>
      </c>
      <c r="Z3288" s="0" t="n">
        <f aca="false">04_回帰ANOVA!$K$19*04_回帰ANOVA!$K$14*SQRT(1+Y3288)</f>
        <v>1.43987292938832</v>
      </c>
      <c r="AA3288" s="0" t="n">
        <f aca="false">X3288-Z3288</f>
        <v>46.557056895173</v>
      </c>
      <c r="AB3288" s="0" t="n">
        <f aca="false">X3288+Z3288</f>
        <v>49.4368027539497</v>
      </c>
      <c r="AC3288" s="54" t="b">
        <f aca="false">AND(E3288&gt;=01_因子設定!$L$5-0.000000001,E3288&lt;=01_因子設定!$M$5+0.000000001,F3288&gt;=01_因子設定!$L$6-0.000000001,F3288&lt;=01_因子設定!$M$6+0.000000001,G3288&gt;=01_因子設定!$L$7-0.000000001,G3288&lt;=01_因子設定!$M$7+0.000000001,H3288&gt;=01_因子設定!$L$8-0.000000001,H3288&lt;=01_因子設定!$M$8+0.000000001,IF(01_因子設定!$B$20="Box-Behnken",E3288^2+F3288^2+G3288^2+H3288^2&lt;=2+0.000000001,TRUE()))</f>
        <v>1</v>
      </c>
      <c r="AD3288" s="55" t="n">
        <f aca="false">IF(AC3288,IF(01_因子設定!$B$13="最大化",AA3288-01_因子設定!$B$14,IF(01_因子設定!$B$13="最小化",01_因子設定!$B$15-AB3288,MIN(AA3288-01_因子設定!$B$14,01_因子設定!$B$15-AB3288))),-1E+030)</f>
        <v>0.0570568951730408</v>
      </c>
      <c r="AE3288" s="55" t="n">
        <f aca="false">IF(AC3288,IF(01_因子設定!$B$13="最大化",X3288,IF(01_因子設定!$B$13="最小化",-X3288,-ABS(X3288-01_因子設定!$B$16))),-1E+030)</f>
        <v>47.9969298245614</v>
      </c>
      <c r="AF3288" s="55" t="n">
        <f aca="false">AD3288+ROW()*0.000000001</f>
        <v>0.0570601831730408</v>
      </c>
      <c r="AG3288" s="55" t="n">
        <f aca="false">AE3288+ROW()*0.000000001</f>
        <v>47.9969331125614</v>
      </c>
    </row>
    <row r="3289" customFormat="false" ht="15" hidden="false" customHeight="false" outlineLevel="0" collapsed="false">
      <c r="A3289" s="0" t="n">
        <v>4</v>
      </c>
      <c r="B3289" s="0" t="n">
        <v>4</v>
      </c>
      <c r="C3289" s="0" t="n">
        <v>4</v>
      </c>
      <c r="D3289" s="0" t="n">
        <v>8</v>
      </c>
      <c r="E3289" s="0" t="n">
        <f aca="false">-1+A3289*0.25</f>
        <v>0</v>
      </c>
      <c r="F3289" s="0" t="n">
        <f aca="false">-1+B3289*0.25</f>
        <v>0</v>
      </c>
      <c r="G3289" s="0" t="n">
        <f aca="false">-1+C3289*0.25</f>
        <v>0</v>
      </c>
      <c r="H3289" s="0" t="n">
        <f aca="false">-1+D3289*0.25</f>
        <v>1</v>
      </c>
      <c r="I3289" s="0" t="n">
        <f aca="false">1</f>
        <v>1</v>
      </c>
      <c r="J3289" s="0" t="n">
        <f aca="false">E3289</f>
        <v>0</v>
      </c>
      <c r="K3289" s="0" t="n">
        <f aca="false">F3289</f>
        <v>0</v>
      </c>
      <c r="L3289" s="0" t="n">
        <f aca="false">G3289</f>
        <v>0</v>
      </c>
      <c r="M3289" s="0" t="n">
        <f aca="false">H3289</f>
        <v>1</v>
      </c>
      <c r="N3289" s="0" t="n">
        <f aca="false">E3289*F3289</f>
        <v>0</v>
      </c>
      <c r="O3289" s="0" t="n">
        <f aca="false">E3289*G3289</f>
        <v>0</v>
      </c>
      <c r="P3289" s="0" t="n">
        <f aca="false">E3289*H3289</f>
        <v>0</v>
      </c>
      <c r="Q3289" s="0" t="n">
        <f aca="false">F3289*G3289</f>
        <v>0</v>
      </c>
      <c r="R3289" s="0" t="n">
        <f aca="false">F3289*H3289</f>
        <v>0</v>
      </c>
      <c r="S3289" s="0" t="n">
        <f aca="false">G3289*H3289</f>
        <v>0</v>
      </c>
      <c r="T3289" s="0" t="n">
        <f aca="false">E3289*E3289</f>
        <v>0</v>
      </c>
      <c r="U3289" s="0" t="n">
        <f aca="false">F3289*F3289</f>
        <v>0</v>
      </c>
      <c r="V3289" s="0" t="n">
        <f aca="false">G3289*G3289</f>
        <v>0</v>
      </c>
      <c r="W3289" s="0" t="n">
        <f aca="false">H3289*H3289</f>
        <v>1</v>
      </c>
      <c r="X3289" s="0" t="n">
        <f aca="false">SUMPRODUCT(I3289:W3289,_XtX!$B$96:$P$96)</f>
        <v>47.9309941520468</v>
      </c>
      <c r="Y3289" s="0" t="n">
        <f aca="false">SUMPRODUCT(MMULT(I3289:W3289,_XtX!$B$78:$P$92),I3289:W3289)</f>
        <v>0.485380116959065</v>
      </c>
      <c r="Z3289" s="0" t="n">
        <f aca="false">04_回帰ANOVA!$K$19*04_回帰ANOVA!$K$14*SQRT(1+Y3289)</f>
        <v>1.58860964814545</v>
      </c>
      <c r="AA3289" s="0" t="n">
        <f aca="false">X3289-Z3289</f>
        <v>46.3423845039013</v>
      </c>
      <c r="AB3289" s="0" t="n">
        <f aca="false">X3289+Z3289</f>
        <v>49.5196038001922</v>
      </c>
      <c r="AC3289" s="54" t="b">
        <f aca="false">AND(E3289&gt;=01_因子設定!$L$5-0.000000001,E3289&lt;=01_因子設定!$M$5+0.000000001,F3289&gt;=01_因子設定!$L$6-0.000000001,F3289&lt;=01_因子設定!$M$6+0.000000001,G3289&gt;=01_因子設定!$L$7-0.000000001,G3289&lt;=01_因子設定!$M$7+0.000000001,H3289&gt;=01_因子設定!$L$8-0.000000001,H3289&lt;=01_因子設定!$M$8+0.000000001,IF(01_因子設定!$B$20="Box-Behnken",E3289^2+F3289^2+G3289^2+H3289^2&lt;=2+0.000000001,TRUE()))</f>
        <v>1</v>
      </c>
      <c r="AD3289" s="55" t="n">
        <f aca="false">IF(AC3289,IF(01_因子設定!$B$13="最大化",AA3289-01_因子設定!$B$14,IF(01_因子設定!$B$13="最小化",01_因子設定!$B$15-AB3289,MIN(AA3289-01_因子設定!$B$14,01_因子設定!$B$15-AB3289))),-1E+030)</f>
        <v>-0.1576154960987</v>
      </c>
      <c r="AE3289" s="55" t="n">
        <f aca="false">IF(AC3289,IF(01_因子設定!$B$13="最大化",X3289,IF(01_因子設定!$B$13="最小化",-X3289,-ABS(X3289-01_因子設定!$B$16))),-1E+030)</f>
        <v>47.9309941520468</v>
      </c>
      <c r="AF3289" s="55" t="n">
        <f aca="false">AD3289+ROW()*0.000000001</f>
        <v>-0.1576122070987</v>
      </c>
      <c r="AG3289" s="55" t="n">
        <f aca="false">AE3289+ROW()*0.000000001</f>
        <v>47.9309974410468</v>
      </c>
    </row>
    <row r="3290" customFormat="false" ht="15" hidden="false" customHeight="false" outlineLevel="0" collapsed="false">
      <c r="A3290" s="0" t="n">
        <v>4</v>
      </c>
      <c r="B3290" s="0" t="n">
        <v>4</v>
      </c>
      <c r="C3290" s="0" t="n">
        <v>5</v>
      </c>
      <c r="D3290" s="0" t="n">
        <v>0</v>
      </c>
      <c r="E3290" s="0" t="n">
        <f aca="false">-1+A3290*0.25</f>
        <v>0</v>
      </c>
      <c r="F3290" s="0" t="n">
        <f aca="false">-1+B3290*0.25</f>
        <v>0</v>
      </c>
      <c r="G3290" s="0" t="n">
        <f aca="false">-1+C3290*0.25</f>
        <v>0.25</v>
      </c>
      <c r="H3290" s="0" t="n">
        <f aca="false">-1+D3290*0.25</f>
        <v>-1</v>
      </c>
      <c r="I3290" s="0" t="n">
        <f aca="false">1</f>
        <v>1</v>
      </c>
      <c r="J3290" s="0" t="n">
        <f aca="false">E3290</f>
        <v>0</v>
      </c>
      <c r="K3290" s="0" t="n">
        <f aca="false">F3290</f>
        <v>0</v>
      </c>
      <c r="L3290" s="0" t="n">
        <f aca="false">G3290</f>
        <v>0.25</v>
      </c>
      <c r="M3290" s="0" t="n">
        <f aca="false">H3290</f>
        <v>-1</v>
      </c>
      <c r="N3290" s="0" t="n">
        <f aca="false">E3290*F3290</f>
        <v>0</v>
      </c>
      <c r="O3290" s="0" t="n">
        <f aca="false">E3290*G3290</f>
        <v>0</v>
      </c>
      <c r="P3290" s="0" t="n">
        <f aca="false">E3290*H3290</f>
        <v>-0</v>
      </c>
      <c r="Q3290" s="0" t="n">
        <f aca="false">F3290*G3290</f>
        <v>0</v>
      </c>
      <c r="R3290" s="0" t="n">
        <f aca="false">F3290*H3290</f>
        <v>-0</v>
      </c>
      <c r="S3290" s="0" t="n">
        <f aca="false">G3290*H3290</f>
        <v>-0.25</v>
      </c>
      <c r="T3290" s="0" t="n">
        <f aca="false">E3290*E3290</f>
        <v>0</v>
      </c>
      <c r="U3290" s="0" t="n">
        <f aca="false">F3290*F3290</f>
        <v>0</v>
      </c>
      <c r="V3290" s="0" t="n">
        <f aca="false">G3290*G3290</f>
        <v>0.0625</v>
      </c>
      <c r="W3290" s="0" t="n">
        <f aca="false">H3290*H3290</f>
        <v>1</v>
      </c>
      <c r="X3290" s="0" t="n">
        <f aca="false">SUMPRODUCT(I3290:W3290,_XtX!$B$96:$P$96)</f>
        <v>47.2511878654971</v>
      </c>
      <c r="Y3290" s="0" t="n">
        <f aca="false">SUMPRODUCT(MMULT(I3290:W3290,_XtX!$B$78:$P$92),I3290:W3290)</f>
        <v>0.47672240497076</v>
      </c>
      <c r="Z3290" s="0" t="n">
        <f aca="false">04_回帰ANOVA!$K$19*04_回帰ANOVA!$K$14*SQRT(1+Y3290)</f>
        <v>1.58397318352695</v>
      </c>
      <c r="AA3290" s="0" t="n">
        <f aca="false">X3290-Z3290</f>
        <v>45.6672146819701</v>
      </c>
      <c r="AB3290" s="0" t="n">
        <f aca="false">X3290+Z3290</f>
        <v>48.835161049024</v>
      </c>
      <c r="AC3290" s="54" t="b">
        <f aca="false">AND(E3290&gt;=01_因子設定!$L$5-0.000000001,E3290&lt;=01_因子設定!$M$5+0.000000001,F3290&gt;=01_因子設定!$L$6-0.000000001,F3290&lt;=01_因子設定!$M$6+0.000000001,G3290&gt;=01_因子設定!$L$7-0.000000001,G3290&lt;=01_因子設定!$M$7+0.000000001,H3290&gt;=01_因子設定!$L$8-0.000000001,H3290&lt;=01_因子設定!$M$8+0.000000001,IF(01_因子設定!$B$20="Box-Behnken",E3290^2+F3290^2+G3290^2+H3290^2&lt;=2+0.000000001,TRUE()))</f>
        <v>1</v>
      </c>
      <c r="AD3290" s="55" t="n">
        <f aca="false">IF(AC3290,IF(01_因子設定!$B$13="最大化",AA3290-01_因子設定!$B$14,IF(01_因子設定!$B$13="最小化",01_因子設定!$B$15-AB3290,MIN(AA3290-01_因子設定!$B$14,01_因子設定!$B$15-AB3290))),-1E+030)</f>
        <v>-0.832785318029892</v>
      </c>
      <c r="AE3290" s="55" t="n">
        <f aca="false">IF(AC3290,IF(01_因子設定!$B$13="最大化",X3290,IF(01_因子設定!$B$13="最小化",-X3290,-ABS(X3290-01_因子設定!$B$16))),-1E+030)</f>
        <v>47.2511878654971</v>
      </c>
      <c r="AF3290" s="55" t="n">
        <f aca="false">AD3290+ROW()*0.000000001</f>
        <v>-0.832782028029892</v>
      </c>
      <c r="AG3290" s="55" t="n">
        <f aca="false">AE3290+ROW()*0.000000001</f>
        <v>47.2511911554971</v>
      </c>
    </row>
    <row r="3291" customFormat="false" ht="15" hidden="false" customHeight="false" outlineLevel="0" collapsed="false">
      <c r="A3291" s="0" t="n">
        <v>4</v>
      </c>
      <c r="B3291" s="0" t="n">
        <v>4</v>
      </c>
      <c r="C3291" s="0" t="n">
        <v>5</v>
      </c>
      <c r="D3291" s="0" t="n">
        <v>1</v>
      </c>
      <c r="E3291" s="0" t="n">
        <f aca="false">-1+A3291*0.25</f>
        <v>0</v>
      </c>
      <c r="F3291" s="0" t="n">
        <f aca="false">-1+B3291*0.25</f>
        <v>0</v>
      </c>
      <c r="G3291" s="0" t="n">
        <f aca="false">-1+C3291*0.25</f>
        <v>0.25</v>
      </c>
      <c r="H3291" s="0" t="n">
        <f aca="false">-1+D3291*0.25</f>
        <v>-0.75</v>
      </c>
      <c r="I3291" s="0" t="n">
        <f aca="false">1</f>
        <v>1</v>
      </c>
      <c r="J3291" s="0" t="n">
        <f aca="false">E3291</f>
        <v>0</v>
      </c>
      <c r="K3291" s="0" t="n">
        <f aca="false">F3291</f>
        <v>0</v>
      </c>
      <c r="L3291" s="0" t="n">
        <f aca="false">G3291</f>
        <v>0.25</v>
      </c>
      <c r="M3291" s="0" t="n">
        <f aca="false">H3291</f>
        <v>-0.75</v>
      </c>
      <c r="N3291" s="0" t="n">
        <f aca="false">E3291*F3291</f>
        <v>0</v>
      </c>
      <c r="O3291" s="0" t="n">
        <f aca="false">E3291*G3291</f>
        <v>0</v>
      </c>
      <c r="P3291" s="0" t="n">
        <f aca="false">E3291*H3291</f>
        <v>-0</v>
      </c>
      <c r="Q3291" s="0" t="n">
        <f aca="false">F3291*G3291</f>
        <v>0</v>
      </c>
      <c r="R3291" s="0" t="n">
        <f aca="false">F3291*H3291</f>
        <v>-0</v>
      </c>
      <c r="S3291" s="0" t="n">
        <f aca="false">G3291*H3291</f>
        <v>-0.1875</v>
      </c>
      <c r="T3291" s="0" t="n">
        <f aca="false">E3291*E3291</f>
        <v>0</v>
      </c>
      <c r="U3291" s="0" t="n">
        <f aca="false">F3291*F3291</f>
        <v>0</v>
      </c>
      <c r="V3291" s="0" t="n">
        <f aca="false">G3291*G3291</f>
        <v>0.0625</v>
      </c>
      <c r="W3291" s="0" t="n">
        <f aca="false">H3291*H3291</f>
        <v>0.5625</v>
      </c>
      <c r="X3291" s="0" t="n">
        <f aca="false">SUMPRODUCT(I3291:W3291,_XtX!$B$96:$P$96)</f>
        <v>47.5378700657894</v>
      </c>
      <c r="Y3291" s="0" t="n">
        <f aca="false">SUMPRODUCT(MMULT(I3291:W3291,_XtX!$B$78:$P$92),I3291:W3291)</f>
        <v>0.216127272934942</v>
      </c>
      <c r="Z3291" s="0" t="n">
        <f aca="false">04_回帰ANOVA!$K$19*04_回帰ANOVA!$K$14*SQRT(1+Y3291)</f>
        <v>1.43743397896608</v>
      </c>
      <c r="AA3291" s="0" t="n">
        <f aca="false">X3291-Z3291</f>
        <v>46.1004360868234</v>
      </c>
      <c r="AB3291" s="0" t="n">
        <f aca="false">X3291+Z3291</f>
        <v>48.9753040447555</v>
      </c>
      <c r="AC3291" s="54" t="b">
        <f aca="false">AND(E3291&gt;=01_因子設定!$L$5-0.000000001,E3291&lt;=01_因子設定!$M$5+0.000000001,F3291&gt;=01_因子設定!$L$6-0.000000001,F3291&lt;=01_因子設定!$M$6+0.000000001,G3291&gt;=01_因子設定!$L$7-0.000000001,G3291&lt;=01_因子設定!$M$7+0.000000001,H3291&gt;=01_因子設定!$L$8-0.000000001,H3291&lt;=01_因子設定!$M$8+0.000000001,IF(01_因子設定!$B$20="Box-Behnken",E3291^2+F3291^2+G3291^2+H3291^2&lt;=2+0.000000001,TRUE()))</f>
        <v>1</v>
      </c>
      <c r="AD3291" s="55" t="n">
        <f aca="false">IF(AC3291,IF(01_因子設定!$B$13="最大化",AA3291-01_因子設定!$B$14,IF(01_因子設定!$B$13="最小化",01_因子設定!$B$15-AB3291,MIN(AA3291-01_因子設定!$B$14,01_因子設定!$B$15-AB3291))),-1E+030)</f>
        <v>-0.39956391317665</v>
      </c>
      <c r="AE3291" s="55" t="n">
        <f aca="false">IF(AC3291,IF(01_因子設定!$B$13="最大化",X3291,IF(01_因子設定!$B$13="最小化",-X3291,-ABS(X3291-01_因子設定!$B$16))),-1E+030)</f>
        <v>47.5378700657894</v>
      </c>
      <c r="AF3291" s="55" t="n">
        <f aca="false">AD3291+ROW()*0.000000001</f>
        <v>-0.39956062217665</v>
      </c>
      <c r="AG3291" s="55" t="n">
        <f aca="false">AE3291+ROW()*0.000000001</f>
        <v>47.5378733567894</v>
      </c>
    </row>
    <row r="3292" customFormat="false" ht="15" hidden="false" customHeight="false" outlineLevel="0" collapsed="false">
      <c r="A3292" s="0" t="n">
        <v>4</v>
      </c>
      <c r="B3292" s="0" t="n">
        <v>4</v>
      </c>
      <c r="C3292" s="0" t="n">
        <v>5</v>
      </c>
      <c r="D3292" s="0" t="n">
        <v>2</v>
      </c>
      <c r="E3292" s="0" t="n">
        <f aca="false">-1+A3292*0.25</f>
        <v>0</v>
      </c>
      <c r="F3292" s="0" t="n">
        <f aca="false">-1+B3292*0.25</f>
        <v>0</v>
      </c>
      <c r="G3292" s="0" t="n">
        <f aca="false">-1+C3292*0.25</f>
        <v>0.25</v>
      </c>
      <c r="H3292" s="0" t="n">
        <f aca="false">-1+D3292*0.25</f>
        <v>-0.5</v>
      </c>
      <c r="I3292" s="0" t="n">
        <f aca="false">1</f>
        <v>1</v>
      </c>
      <c r="J3292" s="0" t="n">
        <f aca="false">E3292</f>
        <v>0</v>
      </c>
      <c r="K3292" s="0" t="n">
        <f aca="false">F3292</f>
        <v>0</v>
      </c>
      <c r="L3292" s="0" t="n">
        <f aca="false">G3292</f>
        <v>0.25</v>
      </c>
      <c r="M3292" s="0" t="n">
        <f aca="false">H3292</f>
        <v>-0.5</v>
      </c>
      <c r="N3292" s="0" t="n">
        <f aca="false">E3292*F3292</f>
        <v>0</v>
      </c>
      <c r="O3292" s="0" t="n">
        <f aca="false">E3292*G3292</f>
        <v>0</v>
      </c>
      <c r="P3292" s="0" t="n">
        <f aca="false">E3292*H3292</f>
        <v>-0</v>
      </c>
      <c r="Q3292" s="0" t="n">
        <f aca="false">F3292*G3292</f>
        <v>0</v>
      </c>
      <c r="R3292" s="0" t="n">
        <f aca="false">F3292*H3292</f>
        <v>-0</v>
      </c>
      <c r="S3292" s="0" t="n">
        <f aca="false">G3292*H3292</f>
        <v>-0.125</v>
      </c>
      <c r="T3292" s="0" t="n">
        <f aca="false">E3292*E3292</f>
        <v>0</v>
      </c>
      <c r="U3292" s="0" t="n">
        <f aca="false">F3292*F3292</f>
        <v>0</v>
      </c>
      <c r="V3292" s="0" t="n">
        <f aca="false">G3292*G3292</f>
        <v>0.0625</v>
      </c>
      <c r="W3292" s="0" t="n">
        <f aca="false">H3292*H3292</f>
        <v>0.25</v>
      </c>
      <c r="X3292" s="0" t="n">
        <f aca="false">SUMPRODUCT(I3292:W3292,_XtX!$B$96:$P$96)</f>
        <v>47.776745248538</v>
      </c>
      <c r="Y3292" s="0" t="n">
        <f aca="false">SUMPRODUCT(MMULT(I3292:W3292,_XtX!$B$78:$P$92),I3292:W3292)</f>
        <v>0.120448419225146</v>
      </c>
      <c r="Z3292" s="0" t="n">
        <f aca="false">04_回帰ANOVA!$K$19*04_回帰ANOVA!$K$14*SQRT(1+Y3292)</f>
        <v>1.37973069703246</v>
      </c>
      <c r="AA3292" s="0" t="n">
        <f aca="false">X3292-Z3292</f>
        <v>46.3970145515055</v>
      </c>
      <c r="AB3292" s="0" t="n">
        <f aca="false">X3292+Z3292</f>
        <v>49.1564759455704</v>
      </c>
      <c r="AC3292" s="54" t="b">
        <f aca="false">AND(E3292&gt;=01_因子設定!$L$5-0.000000001,E3292&lt;=01_因子設定!$M$5+0.000000001,F3292&gt;=01_因子設定!$L$6-0.000000001,F3292&lt;=01_因子設定!$M$6+0.000000001,G3292&gt;=01_因子設定!$L$7-0.000000001,G3292&lt;=01_因子設定!$M$7+0.000000001,H3292&gt;=01_因子設定!$L$8-0.000000001,H3292&lt;=01_因子設定!$M$8+0.000000001,IF(01_因子設定!$B$20="Box-Behnken",E3292^2+F3292^2+G3292^2+H3292^2&lt;=2+0.000000001,TRUE()))</f>
        <v>1</v>
      </c>
      <c r="AD3292" s="55" t="n">
        <f aca="false">IF(AC3292,IF(01_因子設定!$B$13="最大化",AA3292-01_因子設定!$B$14,IF(01_因子設定!$B$13="最小化",01_因子設定!$B$15-AB3292,MIN(AA3292-01_因子設定!$B$14,01_因子設定!$B$15-AB3292))),-1E+030)</f>
        <v>-0.102985448494508</v>
      </c>
      <c r="AE3292" s="55" t="n">
        <f aca="false">IF(AC3292,IF(01_因子設定!$B$13="最大化",X3292,IF(01_因子設定!$B$13="最小化",-X3292,-ABS(X3292-01_因子設定!$B$16))),-1E+030)</f>
        <v>47.776745248538</v>
      </c>
      <c r="AF3292" s="55" t="n">
        <f aca="false">AD3292+ROW()*0.000000001</f>
        <v>-0.102982156494508</v>
      </c>
      <c r="AG3292" s="55" t="n">
        <f aca="false">AE3292+ROW()*0.000000001</f>
        <v>47.776748540538</v>
      </c>
    </row>
    <row r="3293" customFormat="false" ht="15" hidden="false" customHeight="false" outlineLevel="0" collapsed="false">
      <c r="A3293" s="0" t="n">
        <v>4</v>
      </c>
      <c r="B3293" s="0" t="n">
        <v>4</v>
      </c>
      <c r="C3293" s="0" t="n">
        <v>5</v>
      </c>
      <c r="D3293" s="0" t="n">
        <v>3</v>
      </c>
      <c r="E3293" s="0" t="n">
        <f aca="false">-1+A3293*0.25</f>
        <v>0</v>
      </c>
      <c r="F3293" s="0" t="n">
        <f aca="false">-1+B3293*0.25</f>
        <v>0</v>
      </c>
      <c r="G3293" s="0" t="n">
        <f aca="false">-1+C3293*0.25</f>
        <v>0.25</v>
      </c>
      <c r="H3293" s="0" t="n">
        <f aca="false">-1+D3293*0.25</f>
        <v>-0.25</v>
      </c>
      <c r="I3293" s="0" t="n">
        <f aca="false">1</f>
        <v>1</v>
      </c>
      <c r="J3293" s="0" t="n">
        <f aca="false">E3293</f>
        <v>0</v>
      </c>
      <c r="K3293" s="0" t="n">
        <f aca="false">F3293</f>
        <v>0</v>
      </c>
      <c r="L3293" s="0" t="n">
        <f aca="false">G3293</f>
        <v>0.25</v>
      </c>
      <c r="M3293" s="0" t="n">
        <f aca="false">H3293</f>
        <v>-0.25</v>
      </c>
      <c r="N3293" s="0" t="n">
        <f aca="false">E3293*F3293</f>
        <v>0</v>
      </c>
      <c r="O3293" s="0" t="n">
        <f aca="false">E3293*G3293</f>
        <v>0</v>
      </c>
      <c r="P3293" s="0" t="n">
        <f aca="false">E3293*H3293</f>
        <v>-0</v>
      </c>
      <c r="Q3293" s="0" t="n">
        <f aca="false">F3293*G3293</f>
        <v>0</v>
      </c>
      <c r="R3293" s="0" t="n">
        <f aca="false">F3293*H3293</f>
        <v>-0</v>
      </c>
      <c r="S3293" s="0" t="n">
        <f aca="false">G3293*H3293</f>
        <v>-0.0625</v>
      </c>
      <c r="T3293" s="0" t="n">
        <f aca="false">E3293*E3293</f>
        <v>0</v>
      </c>
      <c r="U3293" s="0" t="n">
        <f aca="false">F3293*F3293</f>
        <v>0</v>
      </c>
      <c r="V3293" s="0" t="n">
        <f aca="false">G3293*G3293</f>
        <v>0.0625</v>
      </c>
      <c r="W3293" s="0" t="n">
        <f aca="false">H3293*H3293</f>
        <v>0.0625</v>
      </c>
      <c r="X3293" s="0" t="n">
        <f aca="false">SUMPRODUCT(I3293:W3293,_XtX!$B$96:$P$96)</f>
        <v>47.9678134137426</v>
      </c>
      <c r="Y3293" s="0" t="n">
        <f aca="false">SUMPRODUCT(MMULT(I3293:W3293,_XtX!$B$78:$P$92),I3293:W3293)</f>
        <v>0.0992253175255848</v>
      </c>
      <c r="Z3293" s="0" t="n">
        <f aca="false">04_回帰ANOVA!$K$19*04_回帰ANOVA!$K$14*SQRT(1+Y3293)</f>
        <v>1.36660106238383</v>
      </c>
      <c r="AA3293" s="0" t="n">
        <f aca="false">X3293-Z3293</f>
        <v>46.6012123513588</v>
      </c>
      <c r="AB3293" s="0" t="n">
        <f aca="false">X3293+Z3293</f>
        <v>49.3344144761265</v>
      </c>
      <c r="AC3293" s="54" t="b">
        <f aca="false">AND(E3293&gt;=01_因子設定!$L$5-0.000000001,E3293&lt;=01_因子設定!$M$5+0.000000001,F3293&gt;=01_因子設定!$L$6-0.000000001,F3293&lt;=01_因子設定!$M$6+0.000000001,G3293&gt;=01_因子設定!$L$7-0.000000001,G3293&lt;=01_因子設定!$M$7+0.000000001,H3293&gt;=01_因子設定!$L$8-0.000000001,H3293&lt;=01_因子設定!$M$8+0.000000001,IF(01_因子設定!$B$20="Box-Behnken",E3293^2+F3293^2+G3293^2+H3293^2&lt;=2+0.000000001,TRUE()))</f>
        <v>1</v>
      </c>
      <c r="AD3293" s="55" t="n">
        <f aca="false">IF(AC3293,IF(01_因子設定!$B$13="最大化",AA3293-01_因子設定!$B$14,IF(01_因子設定!$B$13="最小化",01_因子設定!$B$15-AB3293,MIN(AA3293-01_因子設定!$B$14,01_因子設定!$B$15-AB3293))),-1E+030)</f>
        <v>0.101212351358797</v>
      </c>
      <c r="AE3293" s="55" t="n">
        <f aca="false">IF(AC3293,IF(01_因子設定!$B$13="最大化",X3293,IF(01_因子設定!$B$13="最小化",-X3293,-ABS(X3293-01_因子設定!$B$16))),-1E+030)</f>
        <v>47.9678134137426</v>
      </c>
      <c r="AF3293" s="55" t="n">
        <f aca="false">AD3293+ROW()*0.000000001</f>
        <v>0.101215644358797</v>
      </c>
      <c r="AG3293" s="55" t="n">
        <f aca="false">AE3293+ROW()*0.000000001</f>
        <v>47.9678167067426</v>
      </c>
    </row>
    <row r="3294" customFormat="false" ht="15" hidden="false" customHeight="false" outlineLevel="0" collapsed="false">
      <c r="A3294" s="0" t="n">
        <v>4</v>
      </c>
      <c r="B3294" s="0" t="n">
        <v>4</v>
      </c>
      <c r="C3294" s="0" t="n">
        <v>5</v>
      </c>
      <c r="D3294" s="0" t="n">
        <v>4</v>
      </c>
      <c r="E3294" s="0" t="n">
        <f aca="false">-1+A3294*0.25</f>
        <v>0</v>
      </c>
      <c r="F3294" s="0" t="n">
        <f aca="false">-1+B3294*0.25</f>
        <v>0</v>
      </c>
      <c r="G3294" s="0" t="n">
        <f aca="false">-1+C3294*0.25</f>
        <v>0.25</v>
      </c>
      <c r="H3294" s="0" t="n">
        <f aca="false">-1+D3294*0.25</f>
        <v>0</v>
      </c>
      <c r="I3294" s="0" t="n">
        <f aca="false">1</f>
        <v>1</v>
      </c>
      <c r="J3294" s="0" t="n">
        <f aca="false">E3294</f>
        <v>0</v>
      </c>
      <c r="K3294" s="0" t="n">
        <f aca="false">F3294</f>
        <v>0</v>
      </c>
      <c r="L3294" s="0" t="n">
        <f aca="false">G3294</f>
        <v>0.25</v>
      </c>
      <c r="M3294" s="0" t="n">
        <f aca="false">H3294</f>
        <v>0</v>
      </c>
      <c r="N3294" s="0" t="n">
        <f aca="false">E3294*F3294</f>
        <v>0</v>
      </c>
      <c r="O3294" s="0" t="n">
        <f aca="false">E3294*G3294</f>
        <v>0</v>
      </c>
      <c r="P3294" s="0" t="n">
        <f aca="false">E3294*H3294</f>
        <v>0</v>
      </c>
      <c r="Q3294" s="0" t="n">
        <f aca="false">F3294*G3294</f>
        <v>0</v>
      </c>
      <c r="R3294" s="0" t="n">
        <f aca="false">F3294*H3294</f>
        <v>0</v>
      </c>
      <c r="S3294" s="0" t="n">
        <f aca="false">G3294*H3294</f>
        <v>0</v>
      </c>
      <c r="T3294" s="0" t="n">
        <f aca="false">E3294*E3294</f>
        <v>0</v>
      </c>
      <c r="U3294" s="0" t="n">
        <f aca="false">F3294*F3294</f>
        <v>0</v>
      </c>
      <c r="V3294" s="0" t="n">
        <f aca="false">G3294*G3294</f>
        <v>0.0625</v>
      </c>
      <c r="W3294" s="0" t="n">
        <f aca="false">H3294*H3294</f>
        <v>0</v>
      </c>
      <c r="X3294" s="0" t="n">
        <f aca="false">SUMPRODUCT(I3294:W3294,_XtX!$B$96:$P$96)</f>
        <v>48.1110745614034</v>
      </c>
      <c r="Y3294" s="0" t="n">
        <f aca="false">SUMPRODUCT(MMULT(I3294:W3294,_XtX!$B$78:$P$92),I3294:W3294)</f>
        <v>0.0981816520467836</v>
      </c>
      <c r="Z3294" s="0" t="n">
        <f aca="false">04_回帰ANOVA!$K$19*04_回帰ANOVA!$K$14*SQRT(1+Y3294)</f>
        <v>1.36595214489796</v>
      </c>
      <c r="AA3294" s="0" t="n">
        <f aca="false">X3294-Z3294</f>
        <v>46.7451224165055</v>
      </c>
      <c r="AB3294" s="0" t="n">
        <f aca="false">X3294+Z3294</f>
        <v>49.4770267063014</v>
      </c>
      <c r="AC3294" s="54" t="b">
        <f aca="false">AND(E3294&gt;=01_因子設定!$L$5-0.000000001,E3294&lt;=01_因子設定!$M$5+0.000000001,F3294&gt;=01_因子設定!$L$6-0.000000001,F3294&lt;=01_因子設定!$M$6+0.000000001,G3294&gt;=01_因子設定!$L$7-0.000000001,G3294&lt;=01_因子設定!$M$7+0.000000001,H3294&gt;=01_因子設定!$L$8-0.000000001,H3294&lt;=01_因子設定!$M$8+0.000000001,IF(01_因子設定!$B$20="Box-Behnken",E3294^2+F3294^2+G3294^2+H3294^2&lt;=2+0.000000001,TRUE()))</f>
        <v>1</v>
      </c>
      <c r="AD3294" s="55" t="n">
        <f aca="false">IF(AC3294,IF(01_因子設定!$B$13="最大化",AA3294-01_因子設定!$B$14,IF(01_因子設定!$B$13="最小化",01_因子設定!$B$15-AB3294,MIN(AA3294-01_因子設定!$B$14,01_因子設定!$B$15-AB3294))),-1E+030)</f>
        <v>0.245122416505481</v>
      </c>
      <c r="AE3294" s="55" t="n">
        <f aca="false">IF(AC3294,IF(01_因子設定!$B$13="最大化",X3294,IF(01_因子設定!$B$13="最小化",-X3294,-ABS(X3294-01_因子設定!$B$16))),-1E+030)</f>
        <v>48.1110745614034</v>
      </c>
      <c r="AF3294" s="55" t="n">
        <f aca="false">AD3294+ROW()*0.000000001</f>
        <v>0.245125710505481</v>
      </c>
      <c r="AG3294" s="55" t="n">
        <f aca="false">AE3294+ROW()*0.000000001</f>
        <v>48.1110778554034</v>
      </c>
    </row>
    <row r="3295" customFormat="false" ht="15" hidden="false" customHeight="false" outlineLevel="0" collapsed="false">
      <c r="A3295" s="0" t="n">
        <v>4</v>
      </c>
      <c r="B3295" s="0" t="n">
        <v>4</v>
      </c>
      <c r="C3295" s="0" t="n">
        <v>5</v>
      </c>
      <c r="D3295" s="0" t="n">
        <v>5</v>
      </c>
      <c r="E3295" s="0" t="n">
        <f aca="false">-1+A3295*0.25</f>
        <v>0</v>
      </c>
      <c r="F3295" s="0" t="n">
        <f aca="false">-1+B3295*0.25</f>
        <v>0</v>
      </c>
      <c r="G3295" s="0" t="n">
        <f aca="false">-1+C3295*0.25</f>
        <v>0.25</v>
      </c>
      <c r="H3295" s="0" t="n">
        <f aca="false">-1+D3295*0.25</f>
        <v>0.25</v>
      </c>
      <c r="I3295" s="0" t="n">
        <f aca="false">1</f>
        <v>1</v>
      </c>
      <c r="J3295" s="0" t="n">
        <f aca="false">E3295</f>
        <v>0</v>
      </c>
      <c r="K3295" s="0" t="n">
        <f aca="false">F3295</f>
        <v>0</v>
      </c>
      <c r="L3295" s="0" t="n">
        <f aca="false">G3295</f>
        <v>0.25</v>
      </c>
      <c r="M3295" s="0" t="n">
        <f aca="false">H3295</f>
        <v>0.25</v>
      </c>
      <c r="N3295" s="0" t="n">
        <f aca="false">E3295*F3295</f>
        <v>0</v>
      </c>
      <c r="O3295" s="0" t="n">
        <f aca="false">E3295*G3295</f>
        <v>0</v>
      </c>
      <c r="P3295" s="0" t="n">
        <f aca="false">E3295*H3295</f>
        <v>0</v>
      </c>
      <c r="Q3295" s="0" t="n">
        <f aca="false">F3295*G3295</f>
        <v>0</v>
      </c>
      <c r="R3295" s="0" t="n">
        <f aca="false">F3295*H3295</f>
        <v>0</v>
      </c>
      <c r="S3295" s="0" t="n">
        <f aca="false">G3295*H3295</f>
        <v>0.0625</v>
      </c>
      <c r="T3295" s="0" t="n">
        <f aca="false">E3295*E3295</f>
        <v>0</v>
      </c>
      <c r="U3295" s="0" t="n">
        <f aca="false">F3295*F3295</f>
        <v>0</v>
      </c>
      <c r="V3295" s="0" t="n">
        <f aca="false">G3295*G3295</f>
        <v>0.0625</v>
      </c>
      <c r="W3295" s="0" t="n">
        <f aca="false">H3295*H3295</f>
        <v>0.0625</v>
      </c>
      <c r="X3295" s="0" t="n">
        <f aca="false">SUMPRODUCT(I3295:W3295,_XtX!$B$96:$P$96)</f>
        <v>48.2065286915204</v>
      </c>
      <c r="Y3295" s="0" t="n">
        <f aca="false">SUMPRODUCT(MMULT(I3295:W3295,_XtX!$B$78:$P$92),I3295:W3295)</f>
        <v>0.0992253175255848</v>
      </c>
      <c r="Z3295" s="0" t="n">
        <f aca="false">04_回帰ANOVA!$K$19*04_回帰ANOVA!$K$14*SQRT(1+Y3295)</f>
        <v>1.36660106238383</v>
      </c>
      <c r="AA3295" s="0" t="n">
        <f aca="false">X3295-Z3295</f>
        <v>46.8399276291366</v>
      </c>
      <c r="AB3295" s="0" t="n">
        <f aca="false">X3295+Z3295</f>
        <v>49.5731297539042</v>
      </c>
      <c r="AC3295" s="54" t="b">
        <f aca="false">AND(E3295&gt;=01_因子設定!$L$5-0.000000001,E3295&lt;=01_因子設定!$M$5+0.000000001,F3295&gt;=01_因子設定!$L$6-0.000000001,F3295&lt;=01_因子設定!$M$6+0.000000001,G3295&gt;=01_因子設定!$L$7-0.000000001,G3295&lt;=01_因子設定!$M$7+0.000000001,H3295&gt;=01_因子設定!$L$8-0.000000001,H3295&lt;=01_因子設定!$M$8+0.000000001,IF(01_因子設定!$B$20="Box-Behnken",E3295^2+F3295^2+G3295^2+H3295^2&lt;=2+0.000000001,TRUE()))</f>
        <v>1</v>
      </c>
      <c r="AD3295" s="55" t="n">
        <f aca="false">IF(AC3295,IF(01_因子設定!$B$13="最大化",AA3295-01_因子設定!$B$14,IF(01_因子設定!$B$13="最小化",01_因子設定!$B$15-AB3295,MIN(AA3295-01_因子設定!$B$14,01_因子設定!$B$15-AB3295))),-1E+030)</f>
        <v>0.339927629136575</v>
      </c>
      <c r="AE3295" s="55" t="n">
        <f aca="false">IF(AC3295,IF(01_因子設定!$B$13="最大化",X3295,IF(01_因子設定!$B$13="最小化",-X3295,-ABS(X3295-01_因子設定!$B$16))),-1E+030)</f>
        <v>48.2065286915204</v>
      </c>
      <c r="AF3295" s="55" t="n">
        <f aca="false">AD3295+ROW()*0.000000001</f>
        <v>0.339930924136575</v>
      </c>
      <c r="AG3295" s="55" t="n">
        <f aca="false">AE3295+ROW()*0.000000001</f>
        <v>48.2065319865204</v>
      </c>
    </row>
    <row r="3296" customFormat="false" ht="15" hidden="false" customHeight="false" outlineLevel="0" collapsed="false">
      <c r="A3296" s="0" t="n">
        <v>4</v>
      </c>
      <c r="B3296" s="0" t="n">
        <v>4</v>
      </c>
      <c r="C3296" s="0" t="n">
        <v>5</v>
      </c>
      <c r="D3296" s="0" t="n">
        <v>6</v>
      </c>
      <c r="E3296" s="0" t="n">
        <f aca="false">-1+A3296*0.25</f>
        <v>0</v>
      </c>
      <c r="F3296" s="0" t="n">
        <f aca="false">-1+B3296*0.25</f>
        <v>0</v>
      </c>
      <c r="G3296" s="0" t="n">
        <f aca="false">-1+C3296*0.25</f>
        <v>0.25</v>
      </c>
      <c r="H3296" s="0" t="n">
        <f aca="false">-1+D3296*0.25</f>
        <v>0.5</v>
      </c>
      <c r="I3296" s="0" t="n">
        <f aca="false">1</f>
        <v>1</v>
      </c>
      <c r="J3296" s="0" t="n">
        <f aca="false">E3296</f>
        <v>0</v>
      </c>
      <c r="K3296" s="0" t="n">
        <f aca="false">F3296</f>
        <v>0</v>
      </c>
      <c r="L3296" s="0" t="n">
        <f aca="false">G3296</f>
        <v>0.25</v>
      </c>
      <c r="M3296" s="0" t="n">
        <f aca="false">H3296</f>
        <v>0.5</v>
      </c>
      <c r="N3296" s="0" t="n">
        <f aca="false">E3296*F3296</f>
        <v>0</v>
      </c>
      <c r="O3296" s="0" t="n">
        <f aca="false">E3296*G3296</f>
        <v>0</v>
      </c>
      <c r="P3296" s="0" t="n">
        <f aca="false">E3296*H3296</f>
        <v>0</v>
      </c>
      <c r="Q3296" s="0" t="n">
        <f aca="false">F3296*G3296</f>
        <v>0</v>
      </c>
      <c r="R3296" s="0" t="n">
        <f aca="false">F3296*H3296</f>
        <v>0</v>
      </c>
      <c r="S3296" s="0" t="n">
        <f aca="false">G3296*H3296</f>
        <v>0.125</v>
      </c>
      <c r="T3296" s="0" t="n">
        <f aca="false">E3296*E3296</f>
        <v>0</v>
      </c>
      <c r="U3296" s="0" t="n">
        <f aca="false">F3296*F3296</f>
        <v>0</v>
      </c>
      <c r="V3296" s="0" t="n">
        <f aca="false">G3296*G3296</f>
        <v>0.0625</v>
      </c>
      <c r="W3296" s="0" t="n">
        <f aca="false">H3296*H3296</f>
        <v>0.25</v>
      </c>
      <c r="X3296" s="0" t="n">
        <f aca="false">SUMPRODUCT(I3296:W3296,_XtX!$B$96:$P$96)</f>
        <v>48.2541758040935</v>
      </c>
      <c r="Y3296" s="0" t="n">
        <f aca="false">SUMPRODUCT(MMULT(I3296:W3296,_XtX!$B$78:$P$92),I3296:W3296)</f>
        <v>0.120448419225146</v>
      </c>
      <c r="Z3296" s="0" t="n">
        <f aca="false">04_回帰ANOVA!$K$19*04_回帰ANOVA!$K$14*SQRT(1+Y3296)</f>
        <v>1.37973069703246</v>
      </c>
      <c r="AA3296" s="0" t="n">
        <f aca="false">X3296-Z3296</f>
        <v>46.874445107061</v>
      </c>
      <c r="AB3296" s="0" t="n">
        <f aca="false">X3296+Z3296</f>
        <v>49.633906501126</v>
      </c>
      <c r="AC3296" s="54" t="b">
        <f aca="false">AND(E3296&gt;=01_因子設定!$L$5-0.000000001,E3296&lt;=01_因子設定!$M$5+0.000000001,F3296&gt;=01_因子設定!$L$6-0.000000001,F3296&lt;=01_因子設定!$M$6+0.000000001,G3296&gt;=01_因子設定!$L$7-0.000000001,G3296&lt;=01_因子設定!$M$7+0.000000001,H3296&gt;=01_因子設定!$L$8-0.000000001,H3296&lt;=01_因子設定!$M$8+0.000000001,IF(01_因子設定!$B$20="Box-Behnken",E3296^2+F3296^2+G3296^2+H3296^2&lt;=2+0.000000001,TRUE()))</f>
        <v>1</v>
      </c>
      <c r="AD3296" s="55" t="n">
        <f aca="false">IF(AC3296,IF(01_因子設定!$B$13="最大化",AA3296-01_因子設定!$B$14,IF(01_因子設定!$B$13="最小化",01_因子設定!$B$15-AB3296,MIN(AA3296-01_因子設定!$B$14,01_因子設定!$B$15-AB3296))),-1E+030)</f>
        <v>0.374445107061042</v>
      </c>
      <c r="AE3296" s="55" t="n">
        <f aca="false">IF(AC3296,IF(01_因子設定!$B$13="最大化",X3296,IF(01_因子設定!$B$13="最小化",-X3296,-ABS(X3296-01_因子設定!$B$16))),-1E+030)</f>
        <v>48.2541758040935</v>
      </c>
      <c r="AF3296" s="55" t="n">
        <f aca="false">AD3296+ROW()*0.000000001</f>
        <v>0.374448403061042</v>
      </c>
      <c r="AG3296" s="55" t="n">
        <f aca="false">AE3296+ROW()*0.000000001</f>
        <v>48.2541791000935</v>
      </c>
    </row>
    <row r="3297" customFormat="false" ht="15" hidden="false" customHeight="false" outlineLevel="0" collapsed="false">
      <c r="A3297" s="0" t="n">
        <v>4</v>
      </c>
      <c r="B3297" s="0" t="n">
        <v>4</v>
      </c>
      <c r="C3297" s="0" t="n">
        <v>5</v>
      </c>
      <c r="D3297" s="0" t="n">
        <v>7</v>
      </c>
      <c r="E3297" s="0" t="n">
        <f aca="false">-1+A3297*0.25</f>
        <v>0</v>
      </c>
      <c r="F3297" s="0" t="n">
        <f aca="false">-1+B3297*0.25</f>
        <v>0</v>
      </c>
      <c r="G3297" s="0" t="n">
        <f aca="false">-1+C3297*0.25</f>
        <v>0.25</v>
      </c>
      <c r="H3297" s="0" t="n">
        <f aca="false">-1+D3297*0.25</f>
        <v>0.75</v>
      </c>
      <c r="I3297" s="0" t="n">
        <f aca="false">1</f>
        <v>1</v>
      </c>
      <c r="J3297" s="0" t="n">
        <f aca="false">E3297</f>
        <v>0</v>
      </c>
      <c r="K3297" s="0" t="n">
        <f aca="false">F3297</f>
        <v>0</v>
      </c>
      <c r="L3297" s="0" t="n">
        <f aca="false">G3297</f>
        <v>0.25</v>
      </c>
      <c r="M3297" s="0" t="n">
        <f aca="false">H3297</f>
        <v>0.75</v>
      </c>
      <c r="N3297" s="0" t="n">
        <f aca="false">E3297*F3297</f>
        <v>0</v>
      </c>
      <c r="O3297" s="0" t="n">
        <f aca="false">E3297*G3297</f>
        <v>0</v>
      </c>
      <c r="P3297" s="0" t="n">
        <f aca="false">E3297*H3297</f>
        <v>0</v>
      </c>
      <c r="Q3297" s="0" t="n">
        <f aca="false">F3297*G3297</f>
        <v>0</v>
      </c>
      <c r="R3297" s="0" t="n">
        <f aca="false">F3297*H3297</f>
        <v>0</v>
      </c>
      <c r="S3297" s="0" t="n">
        <f aca="false">G3297*H3297</f>
        <v>0.1875</v>
      </c>
      <c r="T3297" s="0" t="n">
        <f aca="false">E3297*E3297</f>
        <v>0</v>
      </c>
      <c r="U3297" s="0" t="n">
        <f aca="false">F3297*F3297</f>
        <v>0</v>
      </c>
      <c r="V3297" s="0" t="n">
        <f aca="false">G3297*G3297</f>
        <v>0.0625</v>
      </c>
      <c r="W3297" s="0" t="n">
        <f aca="false">H3297*H3297</f>
        <v>0.5625</v>
      </c>
      <c r="X3297" s="0" t="n">
        <f aca="false">SUMPRODUCT(I3297:W3297,_XtX!$B$96:$P$96)</f>
        <v>48.2540158991228</v>
      </c>
      <c r="Y3297" s="0" t="n">
        <f aca="false">SUMPRODUCT(MMULT(I3297:W3297,_XtX!$B$78:$P$92),I3297:W3297)</f>
        <v>0.216127272934942</v>
      </c>
      <c r="Z3297" s="0" t="n">
        <f aca="false">04_回帰ANOVA!$K$19*04_回帰ANOVA!$K$14*SQRT(1+Y3297)</f>
        <v>1.43743397896608</v>
      </c>
      <c r="AA3297" s="0" t="n">
        <f aca="false">X3297-Z3297</f>
        <v>46.8165819201567</v>
      </c>
      <c r="AB3297" s="0" t="n">
        <f aca="false">X3297+Z3297</f>
        <v>49.6914498780888</v>
      </c>
      <c r="AC3297" s="54" t="b">
        <f aca="false">AND(E3297&gt;=01_因子設定!$L$5-0.000000001,E3297&lt;=01_因子設定!$M$5+0.000000001,F3297&gt;=01_因子設定!$L$6-0.000000001,F3297&lt;=01_因子設定!$M$6+0.000000001,G3297&gt;=01_因子設定!$L$7-0.000000001,G3297&lt;=01_因子設定!$M$7+0.000000001,H3297&gt;=01_因子設定!$L$8-0.000000001,H3297&lt;=01_因子設定!$M$8+0.000000001,IF(01_因子設定!$B$20="Box-Behnken",E3297^2+F3297^2+G3297^2+H3297^2&lt;=2+0.000000001,TRUE()))</f>
        <v>1</v>
      </c>
      <c r="AD3297" s="55" t="n">
        <f aca="false">IF(AC3297,IF(01_因子設定!$B$13="最大化",AA3297-01_因子設定!$B$14,IF(01_因子設定!$B$13="最小化",01_因子設定!$B$15-AB3297,MIN(AA3297-01_因子設定!$B$14,01_因子設定!$B$15-AB3297))),-1E+030)</f>
        <v>0.316581920156686</v>
      </c>
      <c r="AE3297" s="55" t="n">
        <f aca="false">IF(AC3297,IF(01_因子設定!$B$13="最大化",X3297,IF(01_因子設定!$B$13="最小化",-X3297,-ABS(X3297-01_因子設定!$B$16))),-1E+030)</f>
        <v>48.2540158991228</v>
      </c>
      <c r="AF3297" s="55" t="n">
        <f aca="false">AD3297+ROW()*0.000000001</f>
        <v>0.316585217156686</v>
      </c>
      <c r="AG3297" s="55" t="n">
        <f aca="false">AE3297+ROW()*0.000000001</f>
        <v>48.2540191961228</v>
      </c>
    </row>
    <row r="3298" customFormat="false" ht="15" hidden="false" customHeight="false" outlineLevel="0" collapsed="false">
      <c r="A3298" s="0" t="n">
        <v>4</v>
      </c>
      <c r="B3298" s="0" t="n">
        <v>4</v>
      </c>
      <c r="C3298" s="0" t="n">
        <v>5</v>
      </c>
      <c r="D3298" s="0" t="n">
        <v>8</v>
      </c>
      <c r="E3298" s="0" t="n">
        <f aca="false">-1+A3298*0.25</f>
        <v>0</v>
      </c>
      <c r="F3298" s="0" t="n">
        <f aca="false">-1+B3298*0.25</f>
        <v>0</v>
      </c>
      <c r="G3298" s="0" t="n">
        <f aca="false">-1+C3298*0.25</f>
        <v>0.25</v>
      </c>
      <c r="H3298" s="0" t="n">
        <f aca="false">-1+D3298*0.25</f>
        <v>1</v>
      </c>
      <c r="I3298" s="0" t="n">
        <f aca="false">1</f>
        <v>1</v>
      </c>
      <c r="J3298" s="0" t="n">
        <f aca="false">E3298</f>
        <v>0</v>
      </c>
      <c r="K3298" s="0" t="n">
        <f aca="false">F3298</f>
        <v>0</v>
      </c>
      <c r="L3298" s="0" t="n">
        <f aca="false">G3298</f>
        <v>0.25</v>
      </c>
      <c r="M3298" s="0" t="n">
        <f aca="false">H3298</f>
        <v>1</v>
      </c>
      <c r="N3298" s="0" t="n">
        <f aca="false">E3298*F3298</f>
        <v>0</v>
      </c>
      <c r="O3298" s="0" t="n">
        <f aca="false">E3298*G3298</f>
        <v>0</v>
      </c>
      <c r="P3298" s="0" t="n">
        <f aca="false">E3298*H3298</f>
        <v>0</v>
      </c>
      <c r="Q3298" s="0" t="n">
        <f aca="false">F3298*G3298</f>
        <v>0</v>
      </c>
      <c r="R3298" s="0" t="n">
        <f aca="false">F3298*H3298</f>
        <v>0</v>
      </c>
      <c r="S3298" s="0" t="n">
        <f aca="false">G3298*H3298</f>
        <v>0.25</v>
      </c>
      <c r="T3298" s="0" t="n">
        <f aca="false">E3298*E3298</f>
        <v>0</v>
      </c>
      <c r="U3298" s="0" t="n">
        <f aca="false">F3298*F3298</f>
        <v>0</v>
      </c>
      <c r="V3298" s="0" t="n">
        <f aca="false">G3298*G3298</f>
        <v>0.0625</v>
      </c>
      <c r="W3298" s="0" t="n">
        <f aca="false">H3298*H3298</f>
        <v>1</v>
      </c>
      <c r="X3298" s="0" t="n">
        <f aca="false">SUMPRODUCT(I3298:W3298,_XtX!$B$96:$P$96)</f>
        <v>48.2060489766082</v>
      </c>
      <c r="Y3298" s="0" t="n">
        <f aca="false">SUMPRODUCT(MMULT(I3298:W3298,_XtX!$B$78:$P$92),I3298:W3298)</f>
        <v>0.47672240497076</v>
      </c>
      <c r="Z3298" s="0" t="n">
        <f aca="false">04_回帰ANOVA!$K$19*04_回帰ANOVA!$K$14*SQRT(1+Y3298)</f>
        <v>1.58397318352695</v>
      </c>
      <c r="AA3298" s="0" t="n">
        <f aca="false">X3298-Z3298</f>
        <v>46.6220757930812</v>
      </c>
      <c r="AB3298" s="0" t="n">
        <f aca="false">X3298+Z3298</f>
        <v>49.7900221601351</v>
      </c>
      <c r="AC3298" s="54" t="b">
        <f aca="false">AND(E3298&gt;=01_因子設定!$L$5-0.000000001,E3298&lt;=01_因子設定!$M$5+0.000000001,F3298&gt;=01_因子設定!$L$6-0.000000001,F3298&lt;=01_因子設定!$M$6+0.000000001,G3298&gt;=01_因子設定!$L$7-0.000000001,G3298&lt;=01_因子設定!$M$7+0.000000001,H3298&gt;=01_因子設定!$L$8-0.000000001,H3298&lt;=01_因子設定!$M$8+0.000000001,IF(01_因子設定!$B$20="Box-Behnken",E3298^2+F3298^2+G3298^2+H3298^2&lt;=2+0.000000001,TRUE()))</f>
        <v>1</v>
      </c>
      <c r="AD3298" s="55" t="n">
        <f aca="false">IF(AC3298,IF(01_因子設定!$B$13="最大化",AA3298-01_因子設定!$B$14,IF(01_因子設定!$B$13="最小化",01_因子設定!$B$15-AB3298,MIN(AA3298-01_因子設定!$B$14,01_因子設定!$B$15-AB3298))),-1E+030)</f>
        <v>0.122075793081216</v>
      </c>
      <c r="AE3298" s="55" t="n">
        <f aca="false">IF(AC3298,IF(01_因子設定!$B$13="最大化",X3298,IF(01_因子設定!$B$13="最小化",-X3298,-ABS(X3298-01_因子設定!$B$16))),-1E+030)</f>
        <v>48.2060489766082</v>
      </c>
      <c r="AF3298" s="55" t="n">
        <f aca="false">AD3298+ROW()*0.000000001</f>
        <v>0.122079091081216</v>
      </c>
      <c r="AG3298" s="55" t="n">
        <f aca="false">AE3298+ROW()*0.000000001</f>
        <v>48.2060522746082</v>
      </c>
    </row>
    <row r="3299" customFormat="false" ht="15" hidden="false" customHeight="false" outlineLevel="0" collapsed="false">
      <c r="A3299" s="0" t="n">
        <v>4</v>
      </c>
      <c r="B3299" s="0" t="n">
        <v>4</v>
      </c>
      <c r="C3299" s="0" t="n">
        <v>6</v>
      </c>
      <c r="D3299" s="0" t="n">
        <v>0</v>
      </c>
      <c r="E3299" s="0" t="n">
        <f aca="false">-1+A3299*0.25</f>
        <v>0</v>
      </c>
      <c r="F3299" s="0" t="n">
        <f aca="false">-1+B3299*0.25</f>
        <v>0</v>
      </c>
      <c r="G3299" s="0" t="n">
        <f aca="false">-1+C3299*0.25</f>
        <v>0.5</v>
      </c>
      <c r="H3299" s="0" t="n">
        <f aca="false">-1+D3299*0.25</f>
        <v>-1</v>
      </c>
      <c r="I3299" s="0" t="n">
        <f aca="false">1</f>
        <v>1</v>
      </c>
      <c r="J3299" s="0" t="n">
        <f aca="false">E3299</f>
        <v>0</v>
      </c>
      <c r="K3299" s="0" t="n">
        <f aca="false">F3299</f>
        <v>0</v>
      </c>
      <c r="L3299" s="0" t="n">
        <f aca="false">G3299</f>
        <v>0.5</v>
      </c>
      <c r="M3299" s="0" t="n">
        <f aca="false">H3299</f>
        <v>-1</v>
      </c>
      <c r="N3299" s="0" t="n">
        <f aca="false">E3299*F3299</f>
        <v>0</v>
      </c>
      <c r="O3299" s="0" t="n">
        <f aca="false">E3299*G3299</f>
        <v>0</v>
      </c>
      <c r="P3299" s="0" t="n">
        <f aca="false">E3299*H3299</f>
        <v>-0</v>
      </c>
      <c r="Q3299" s="0" t="n">
        <f aca="false">F3299*G3299</f>
        <v>0</v>
      </c>
      <c r="R3299" s="0" t="n">
        <f aca="false">F3299*H3299</f>
        <v>-0</v>
      </c>
      <c r="S3299" s="0" t="n">
        <f aca="false">G3299*H3299</f>
        <v>-0.5</v>
      </c>
      <c r="T3299" s="0" t="n">
        <f aca="false">E3299*E3299</f>
        <v>0</v>
      </c>
      <c r="U3299" s="0" t="n">
        <f aca="false">F3299*F3299</f>
        <v>0</v>
      </c>
      <c r="V3299" s="0" t="n">
        <f aca="false">G3299*G3299</f>
        <v>0.25</v>
      </c>
      <c r="W3299" s="0" t="n">
        <f aca="false">H3299*H3299</f>
        <v>1</v>
      </c>
      <c r="X3299" s="0" t="n">
        <f aca="false">SUMPRODUCT(I3299:W3299,_XtX!$B$96:$P$96)</f>
        <v>47.2971856725146</v>
      </c>
      <c r="Y3299" s="0" t="n">
        <f aca="false">SUMPRODUCT(MMULT(I3299:W3299,_XtX!$B$78:$P$92),I3299:W3299)</f>
        <v>0.468841374269006</v>
      </c>
      <c r="Z3299" s="0" t="n">
        <f aca="false">04_回帰ANOVA!$K$19*04_回帰ANOVA!$K$14*SQRT(1+Y3299)</f>
        <v>1.57974082366087</v>
      </c>
      <c r="AA3299" s="0" t="n">
        <f aca="false">X3299-Z3299</f>
        <v>45.7174448488537</v>
      </c>
      <c r="AB3299" s="0" t="n">
        <f aca="false">X3299+Z3299</f>
        <v>48.8769264961755</v>
      </c>
      <c r="AC3299" s="54" t="b">
        <f aca="false">AND(E3299&gt;=01_因子設定!$L$5-0.000000001,E3299&lt;=01_因子設定!$M$5+0.000000001,F3299&gt;=01_因子設定!$L$6-0.000000001,F3299&lt;=01_因子設定!$M$6+0.000000001,G3299&gt;=01_因子設定!$L$7-0.000000001,G3299&lt;=01_因子設定!$M$7+0.000000001,H3299&gt;=01_因子設定!$L$8-0.000000001,H3299&lt;=01_因子設定!$M$8+0.000000001,IF(01_因子設定!$B$20="Box-Behnken",E3299^2+F3299^2+G3299^2+H3299^2&lt;=2+0.000000001,TRUE()))</f>
        <v>1</v>
      </c>
      <c r="AD3299" s="55" t="n">
        <f aca="false">IF(AC3299,IF(01_因子設定!$B$13="最大化",AA3299-01_因子設定!$B$14,IF(01_因子設定!$B$13="最小化",01_因子設定!$B$15-AB3299,MIN(AA3299-01_因子設定!$B$14,01_因子設定!$B$15-AB3299))),-1E+030)</f>
        <v>-0.782555151146283</v>
      </c>
      <c r="AE3299" s="55" t="n">
        <f aca="false">IF(AC3299,IF(01_因子設定!$B$13="最大化",X3299,IF(01_因子設定!$B$13="最小化",-X3299,-ABS(X3299-01_因子設定!$B$16))),-1E+030)</f>
        <v>47.2971856725146</v>
      </c>
      <c r="AF3299" s="55" t="n">
        <f aca="false">AD3299+ROW()*0.000000001</f>
        <v>-0.782551852146283</v>
      </c>
      <c r="AG3299" s="55" t="n">
        <f aca="false">AE3299+ROW()*0.000000001</f>
        <v>47.2971889715146</v>
      </c>
    </row>
    <row r="3300" customFormat="false" ht="15" hidden="false" customHeight="false" outlineLevel="0" collapsed="false">
      <c r="A3300" s="0" t="n">
        <v>4</v>
      </c>
      <c r="B3300" s="0" t="n">
        <v>4</v>
      </c>
      <c r="C3300" s="0" t="n">
        <v>6</v>
      </c>
      <c r="D3300" s="0" t="n">
        <v>1</v>
      </c>
      <c r="E3300" s="0" t="n">
        <f aca="false">-1+A3300*0.25</f>
        <v>0</v>
      </c>
      <c r="F3300" s="0" t="n">
        <f aca="false">-1+B3300*0.25</f>
        <v>0</v>
      </c>
      <c r="G3300" s="0" t="n">
        <f aca="false">-1+C3300*0.25</f>
        <v>0.5</v>
      </c>
      <c r="H3300" s="0" t="n">
        <f aca="false">-1+D3300*0.25</f>
        <v>-0.75</v>
      </c>
      <c r="I3300" s="0" t="n">
        <f aca="false">1</f>
        <v>1</v>
      </c>
      <c r="J3300" s="0" t="n">
        <f aca="false">E3300</f>
        <v>0</v>
      </c>
      <c r="K3300" s="0" t="n">
        <f aca="false">F3300</f>
        <v>0</v>
      </c>
      <c r="L3300" s="0" t="n">
        <f aca="false">G3300</f>
        <v>0.5</v>
      </c>
      <c r="M3300" s="0" t="n">
        <f aca="false">H3300</f>
        <v>-0.75</v>
      </c>
      <c r="N3300" s="0" t="n">
        <f aca="false">E3300*F3300</f>
        <v>0</v>
      </c>
      <c r="O3300" s="0" t="n">
        <f aca="false">E3300*G3300</f>
        <v>0</v>
      </c>
      <c r="P3300" s="0" t="n">
        <f aca="false">E3300*H3300</f>
        <v>-0</v>
      </c>
      <c r="Q3300" s="0" t="n">
        <f aca="false">F3300*G3300</f>
        <v>0</v>
      </c>
      <c r="R3300" s="0" t="n">
        <f aca="false">F3300*H3300</f>
        <v>-0</v>
      </c>
      <c r="S3300" s="0" t="n">
        <f aca="false">G3300*H3300</f>
        <v>-0.375</v>
      </c>
      <c r="T3300" s="0" t="n">
        <f aca="false">E3300*E3300</f>
        <v>0</v>
      </c>
      <c r="U3300" s="0" t="n">
        <f aca="false">F3300*F3300</f>
        <v>0</v>
      </c>
      <c r="V3300" s="0" t="n">
        <f aca="false">G3300*G3300</f>
        <v>0.25</v>
      </c>
      <c r="W3300" s="0" t="n">
        <f aca="false">H3300*H3300</f>
        <v>0.5625</v>
      </c>
      <c r="X3300" s="0" t="n">
        <f aca="false">SUMPRODUCT(I3300:W3300,_XtX!$B$96:$P$96)</f>
        <v>47.601836622807</v>
      </c>
      <c r="Y3300" s="0" t="n">
        <f aca="false">SUMPRODUCT(MMULT(I3300:W3300,_XtX!$B$78:$P$92),I3300:W3300)</f>
        <v>0.221828170687135</v>
      </c>
      <c r="Z3300" s="0" t="n">
        <f aca="false">04_回帰ANOVA!$K$19*04_回帰ANOVA!$K$14*SQRT(1+Y3300)</f>
        <v>1.44079920361664</v>
      </c>
      <c r="AA3300" s="0" t="n">
        <f aca="false">X3300-Z3300</f>
        <v>46.1610374191903</v>
      </c>
      <c r="AB3300" s="0" t="n">
        <f aca="false">X3300+Z3300</f>
        <v>49.0426358264236</v>
      </c>
      <c r="AC3300" s="54" t="b">
        <f aca="false">AND(E3300&gt;=01_因子設定!$L$5-0.000000001,E3300&lt;=01_因子設定!$M$5+0.000000001,F3300&gt;=01_因子設定!$L$6-0.000000001,F3300&lt;=01_因子設定!$M$6+0.000000001,G3300&gt;=01_因子設定!$L$7-0.000000001,G3300&lt;=01_因子設定!$M$7+0.000000001,H3300&gt;=01_因子設定!$L$8-0.000000001,H3300&lt;=01_因子設定!$M$8+0.000000001,IF(01_因子設定!$B$20="Box-Behnken",E3300^2+F3300^2+G3300^2+H3300^2&lt;=2+0.000000001,TRUE()))</f>
        <v>1</v>
      </c>
      <c r="AD3300" s="55" t="n">
        <f aca="false">IF(AC3300,IF(01_因子設定!$B$13="最大化",AA3300-01_因子設定!$B$14,IF(01_因子設定!$B$13="最小化",01_因子設定!$B$15-AB3300,MIN(AA3300-01_因子設定!$B$14,01_因子設定!$B$15-AB3300))),-1E+030)</f>
        <v>-0.338962580809671</v>
      </c>
      <c r="AE3300" s="55" t="n">
        <f aca="false">IF(AC3300,IF(01_因子設定!$B$13="最大化",X3300,IF(01_因子設定!$B$13="最小化",-X3300,-ABS(X3300-01_因子設定!$B$16))),-1E+030)</f>
        <v>47.601836622807</v>
      </c>
      <c r="AF3300" s="55" t="n">
        <f aca="false">AD3300+ROW()*0.000000001</f>
        <v>-0.338959280809671</v>
      </c>
      <c r="AG3300" s="55" t="n">
        <f aca="false">AE3300+ROW()*0.000000001</f>
        <v>47.601839922807</v>
      </c>
    </row>
    <row r="3301" customFormat="false" ht="15" hidden="false" customHeight="false" outlineLevel="0" collapsed="false">
      <c r="A3301" s="0" t="n">
        <v>4</v>
      </c>
      <c r="B3301" s="0" t="n">
        <v>4</v>
      </c>
      <c r="C3301" s="0" t="n">
        <v>6</v>
      </c>
      <c r="D3301" s="0" t="n">
        <v>2</v>
      </c>
      <c r="E3301" s="0" t="n">
        <f aca="false">-1+A3301*0.25</f>
        <v>0</v>
      </c>
      <c r="F3301" s="0" t="n">
        <f aca="false">-1+B3301*0.25</f>
        <v>0</v>
      </c>
      <c r="G3301" s="0" t="n">
        <f aca="false">-1+C3301*0.25</f>
        <v>0.5</v>
      </c>
      <c r="H3301" s="0" t="n">
        <f aca="false">-1+D3301*0.25</f>
        <v>-0.5</v>
      </c>
      <c r="I3301" s="0" t="n">
        <f aca="false">1</f>
        <v>1</v>
      </c>
      <c r="J3301" s="0" t="n">
        <f aca="false">E3301</f>
        <v>0</v>
      </c>
      <c r="K3301" s="0" t="n">
        <f aca="false">F3301</f>
        <v>0</v>
      </c>
      <c r="L3301" s="0" t="n">
        <f aca="false">G3301</f>
        <v>0.5</v>
      </c>
      <c r="M3301" s="0" t="n">
        <f aca="false">H3301</f>
        <v>-0.5</v>
      </c>
      <c r="N3301" s="0" t="n">
        <f aca="false">E3301*F3301</f>
        <v>0</v>
      </c>
      <c r="O3301" s="0" t="n">
        <f aca="false">E3301*G3301</f>
        <v>0</v>
      </c>
      <c r="P3301" s="0" t="n">
        <f aca="false">E3301*H3301</f>
        <v>-0</v>
      </c>
      <c r="Q3301" s="0" t="n">
        <f aca="false">F3301*G3301</f>
        <v>0</v>
      </c>
      <c r="R3301" s="0" t="n">
        <f aca="false">F3301*H3301</f>
        <v>-0</v>
      </c>
      <c r="S3301" s="0" t="n">
        <f aca="false">G3301*H3301</f>
        <v>-0.25</v>
      </c>
      <c r="T3301" s="0" t="n">
        <f aca="false">E3301*E3301</f>
        <v>0</v>
      </c>
      <c r="U3301" s="0" t="n">
        <f aca="false">F3301*F3301</f>
        <v>0</v>
      </c>
      <c r="V3301" s="0" t="n">
        <f aca="false">G3301*G3301</f>
        <v>0.25</v>
      </c>
      <c r="W3301" s="0" t="n">
        <f aca="false">H3301*H3301</f>
        <v>0.25</v>
      </c>
      <c r="X3301" s="0" t="n">
        <f aca="false">SUMPRODUCT(I3301:W3301,_XtX!$B$96:$P$96)</f>
        <v>47.8586805555555</v>
      </c>
      <c r="Y3301" s="0" t="n">
        <f aca="false">SUMPRODUCT(MMULT(I3301:W3301,_XtX!$B$78:$P$92),I3301:W3301)</f>
        <v>0.135850694444444</v>
      </c>
      <c r="Z3301" s="0" t="n">
        <f aca="false">04_回帰ANOVA!$K$19*04_回帰ANOVA!$K$14*SQRT(1+Y3301)</f>
        <v>1.38918158179389</v>
      </c>
      <c r="AA3301" s="0" t="n">
        <f aca="false">X3301-Z3301</f>
        <v>46.4694989737616</v>
      </c>
      <c r="AB3301" s="0" t="n">
        <f aca="false">X3301+Z3301</f>
        <v>49.2478621373494</v>
      </c>
      <c r="AC3301" s="54" t="b">
        <f aca="false">AND(E3301&gt;=01_因子設定!$L$5-0.000000001,E3301&lt;=01_因子設定!$M$5+0.000000001,F3301&gt;=01_因子設定!$L$6-0.000000001,F3301&lt;=01_因子設定!$M$6+0.000000001,G3301&gt;=01_因子設定!$L$7-0.000000001,G3301&lt;=01_因子設定!$M$7+0.000000001,H3301&gt;=01_因子設定!$L$8-0.000000001,H3301&lt;=01_因子設定!$M$8+0.000000001,IF(01_因子設定!$B$20="Box-Behnken",E3301^2+F3301^2+G3301^2+H3301^2&lt;=2+0.000000001,TRUE()))</f>
        <v>1</v>
      </c>
      <c r="AD3301" s="55" t="n">
        <f aca="false">IF(AC3301,IF(01_因子設定!$B$13="最大化",AA3301-01_因子設定!$B$14,IF(01_因子設定!$B$13="最小化",01_因子設定!$B$15-AB3301,MIN(AA3301-01_因子設定!$B$14,01_因子設定!$B$15-AB3301))),-1E+030)</f>
        <v>-0.0305010262383902</v>
      </c>
      <c r="AE3301" s="55" t="n">
        <f aca="false">IF(AC3301,IF(01_因子設定!$B$13="最大化",X3301,IF(01_因子設定!$B$13="最小化",-X3301,-ABS(X3301-01_因子設定!$B$16))),-1E+030)</f>
        <v>47.8586805555555</v>
      </c>
      <c r="AF3301" s="55" t="n">
        <f aca="false">AD3301+ROW()*0.000000001</f>
        <v>-0.0304977252383902</v>
      </c>
      <c r="AG3301" s="55" t="n">
        <f aca="false">AE3301+ROW()*0.000000001</f>
        <v>47.8586838565555</v>
      </c>
    </row>
    <row r="3302" customFormat="false" ht="15" hidden="false" customHeight="false" outlineLevel="0" collapsed="false">
      <c r="A3302" s="0" t="n">
        <v>4</v>
      </c>
      <c r="B3302" s="0" t="n">
        <v>4</v>
      </c>
      <c r="C3302" s="0" t="n">
        <v>6</v>
      </c>
      <c r="D3302" s="0" t="n">
        <v>3</v>
      </c>
      <c r="E3302" s="0" t="n">
        <f aca="false">-1+A3302*0.25</f>
        <v>0</v>
      </c>
      <c r="F3302" s="0" t="n">
        <f aca="false">-1+B3302*0.25</f>
        <v>0</v>
      </c>
      <c r="G3302" s="0" t="n">
        <f aca="false">-1+C3302*0.25</f>
        <v>0.5</v>
      </c>
      <c r="H3302" s="0" t="n">
        <f aca="false">-1+D3302*0.25</f>
        <v>-0.25</v>
      </c>
      <c r="I3302" s="0" t="n">
        <f aca="false">1</f>
        <v>1</v>
      </c>
      <c r="J3302" s="0" t="n">
        <f aca="false">E3302</f>
        <v>0</v>
      </c>
      <c r="K3302" s="0" t="n">
        <f aca="false">F3302</f>
        <v>0</v>
      </c>
      <c r="L3302" s="0" t="n">
        <f aca="false">G3302</f>
        <v>0.5</v>
      </c>
      <c r="M3302" s="0" t="n">
        <f aca="false">H3302</f>
        <v>-0.25</v>
      </c>
      <c r="N3302" s="0" t="n">
        <f aca="false">E3302*F3302</f>
        <v>0</v>
      </c>
      <c r="O3302" s="0" t="n">
        <f aca="false">E3302*G3302</f>
        <v>0</v>
      </c>
      <c r="P3302" s="0" t="n">
        <f aca="false">E3302*H3302</f>
        <v>-0</v>
      </c>
      <c r="Q3302" s="0" t="n">
        <f aca="false">F3302*G3302</f>
        <v>0</v>
      </c>
      <c r="R3302" s="0" t="n">
        <f aca="false">F3302*H3302</f>
        <v>-0</v>
      </c>
      <c r="S3302" s="0" t="n">
        <f aca="false">G3302*H3302</f>
        <v>-0.125</v>
      </c>
      <c r="T3302" s="0" t="n">
        <f aca="false">E3302*E3302</f>
        <v>0</v>
      </c>
      <c r="U3302" s="0" t="n">
        <f aca="false">F3302*F3302</f>
        <v>0</v>
      </c>
      <c r="V3302" s="0" t="n">
        <f aca="false">G3302*G3302</f>
        <v>0.25</v>
      </c>
      <c r="W3302" s="0" t="n">
        <f aca="false">H3302*H3302</f>
        <v>0.0625</v>
      </c>
      <c r="X3302" s="0" t="n">
        <f aca="false">SUMPRODUCT(I3302:W3302,_XtX!$B$96:$P$96)</f>
        <v>48.0677174707602</v>
      </c>
      <c r="Y3302" s="0" t="n">
        <f aca="false">SUMPRODUCT(MMULT(I3302:W3302,_XtX!$B$78:$P$92),I3302:W3302)</f>
        <v>0.120448419225146</v>
      </c>
      <c r="Z3302" s="0" t="n">
        <f aca="false">04_回帰ANOVA!$K$19*04_回帰ANOVA!$K$14*SQRT(1+Y3302)</f>
        <v>1.37973069703246</v>
      </c>
      <c r="AA3302" s="0" t="n">
        <f aca="false">X3302-Z3302</f>
        <v>46.6879867737277</v>
      </c>
      <c r="AB3302" s="0" t="n">
        <f aca="false">X3302+Z3302</f>
        <v>49.4474481677926</v>
      </c>
      <c r="AC3302" s="54" t="b">
        <f aca="false">AND(E3302&gt;=01_因子設定!$L$5-0.000000001,E3302&lt;=01_因子設定!$M$5+0.000000001,F3302&gt;=01_因子設定!$L$6-0.000000001,F3302&lt;=01_因子設定!$M$6+0.000000001,G3302&gt;=01_因子設定!$L$7-0.000000001,G3302&lt;=01_因子設定!$M$7+0.000000001,H3302&gt;=01_因子設定!$L$8-0.000000001,H3302&lt;=01_因子設定!$M$8+0.000000001,IF(01_因子設定!$B$20="Box-Behnken",E3302^2+F3302^2+G3302^2+H3302^2&lt;=2+0.000000001,TRUE()))</f>
        <v>1</v>
      </c>
      <c r="AD3302" s="55" t="n">
        <f aca="false">IF(AC3302,IF(01_因子設定!$B$13="最大化",AA3302-01_因子設定!$B$14,IF(01_因子設定!$B$13="最小化",01_因子設定!$B$15-AB3302,MIN(AA3302-01_因子設定!$B$14,01_因子設定!$B$15-AB3302))),-1E+030)</f>
        <v>0.187986773727708</v>
      </c>
      <c r="AE3302" s="55" t="n">
        <f aca="false">IF(AC3302,IF(01_因子設定!$B$13="最大化",X3302,IF(01_因子設定!$B$13="最小化",-X3302,-ABS(X3302-01_因子設定!$B$16))),-1E+030)</f>
        <v>48.0677174707602</v>
      </c>
      <c r="AF3302" s="55" t="n">
        <f aca="false">AD3302+ROW()*0.000000001</f>
        <v>0.187990075727708</v>
      </c>
      <c r="AG3302" s="55" t="n">
        <f aca="false">AE3302+ROW()*0.000000001</f>
        <v>48.0677207727602</v>
      </c>
    </row>
    <row r="3303" customFormat="false" ht="15" hidden="false" customHeight="false" outlineLevel="0" collapsed="false">
      <c r="A3303" s="0" t="n">
        <v>4</v>
      </c>
      <c r="B3303" s="0" t="n">
        <v>4</v>
      </c>
      <c r="C3303" s="0" t="n">
        <v>6</v>
      </c>
      <c r="D3303" s="0" t="n">
        <v>4</v>
      </c>
      <c r="E3303" s="0" t="n">
        <f aca="false">-1+A3303*0.25</f>
        <v>0</v>
      </c>
      <c r="F3303" s="0" t="n">
        <f aca="false">-1+B3303*0.25</f>
        <v>0</v>
      </c>
      <c r="G3303" s="0" t="n">
        <f aca="false">-1+C3303*0.25</f>
        <v>0.5</v>
      </c>
      <c r="H3303" s="0" t="n">
        <f aca="false">-1+D3303*0.25</f>
        <v>0</v>
      </c>
      <c r="I3303" s="0" t="n">
        <f aca="false">1</f>
        <v>1</v>
      </c>
      <c r="J3303" s="0" t="n">
        <f aca="false">E3303</f>
        <v>0</v>
      </c>
      <c r="K3303" s="0" t="n">
        <f aca="false">F3303</f>
        <v>0</v>
      </c>
      <c r="L3303" s="0" t="n">
        <f aca="false">G3303</f>
        <v>0.5</v>
      </c>
      <c r="M3303" s="0" t="n">
        <f aca="false">H3303</f>
        <v>0</v>
      </c>
      <c r="N3303" s="0" t="n">
        <f aca="false">E3303*F3303</f>
        <v>0</v>
      </c>
      <c r="O3303" s="0" t="n">
        <f aca="false">E3303*G3303</f>
        <v>0</v>
      </c>
      <c r="P3303" s="0" t="n">
        <f aca="false">E3303*H3303</f>
        <v>0</v>
      </c>
      <c r="Q3303" s="0" t="n">
        <f aca="false">F3303*G3303</f>
        <v>0</v>
      </c>
      <c r="R3303" s="0" t="n">
        <f aca="false">F3303*H3303</f>
        <v>0</v>
      </c>
      <c r="S3303" s="0" t="n">
        <f aca="false">G3303*H3303</f>
        <v>0</v>
      </c>
      <c r="T3303" s="0" t="n">
        <f aca="false">E3303*E3303</f>
        <v>0</v>
      </c>
      <c r="U3303" s="0" t="n">
        <f aca="false">F3303*F3303</f>
        <v>0</v>
      </c>
      <c r="V3303" s="0" t="n">
        <f aca="false">G3303*G3303</f>
        <v>0.25</v>
      </c>
      <c r="W3303" s="0" t="n">
        <f aca="false">H3303*H3303</f>
        <v>0</v>
      </c>
      <c r="X3303" s="0" t="n">
        <f aca="false">SUMPRODUCT(I3303:W3303,_XtX!$B$96:$P$96)</f>
        <v>48.228947368421</v>
      </c>
      <c r="Y3303" s="0" t="n">
        <f aca="false">SUMPRODUCT(MMULT(I3303:W3303,_XtX!$B$78:$P$92),I3303:W3303)</f>
        <v>0.121345029239766</v>
      </c>
      <c r="Z3303" s="0" t="n">
        <f aca="false">04_回帰ANOVA!$K$19*04_回帰ANOVA!$K$14*SQRT(1+Y3303)</f>
        <v>1.3802826336289</v>
      </c>
      <c r="AA3303" s="0" t="n">
        <f aca="false">X3303-Z3303</f>
        <v>46.8486647347921</v>
      </c>
      <c r="AB3303" s="0" t="n">
        <f aca="false">X3303+Z3303</f>
        <v>49.6092300020499</v>
      </c>
      <c r="AC3303" s="54" t="b">
        <f aca="false">AND(E3303&gt;=01_因子設定!$L$5-0.000000001,E3303&lt;=01_因子設定!$M$5+0.000000001,F3303&gt;=01_因子設定!$L$6-0.000000001,F3303&lt;=01_因子設定!$M$6+0.000000001,G3303&gt;=01_因子設定!$L$7-0.000000001,G3303&lt;=01_因子設定!$M$7+0.000000001,H3303&gt;=01_因子設定!$L$8-0.000000001,H3303&lt;=01_因子設定!$M$8+0.000000001,IF(01_因子設定!$B$20="Box-Behnken",E3303^2+F3303^2+G3303^2+H3303^2&lt;=2+0.000000001,TRUE()))</f>
        <v>1</v>
      </c>
      <c r="AD3303" s="55" t="n">
        <f aca="false">IF(AC3303,IF(01_因子設定!$B$13="最大化",AA3303-01_因子設定!$B$14,IF(01_因子設定!$B$13="最小化",01_因子設定!$B$15-AB3303,MIN(AA3303-01_因子設定!$B$14,01_因子設定!$B$15-AB3303))),-1E+030)</f>
        <v>0.348664734792088</v>
      </c>
      <c r="AE3303" s="55" t="n">
        <f aca="false">IF(AC3303,IF(01_因子設定!$B$13="最大化",X3303,IF(01_因子設定!$B$13="最小化",-X3303,-ABS(X3303-01_因子設定!$B$16))),-1E+030)</f>
        <v>48.228947368421</v>
      </c>
      <c r="AF3303" s="55" t="n">
        <f aca="false">AD3303+ROW()*0.000000001</f>
        <v>0.348668037792088</v>
      </c>
      <c r="AG3303" s="55" t="n">
        <f aca="false">AE3303+ROW()*0.000000001</f>
        <v>48.228950671421</v>
      </c>
    </row>
    <row r="3304" customFormat="false" ht="15" hidden="false" customHeight="false" outlineLevel="0" collapsed="false">
      <c r="A3304" s="0" t="n">
        <v>4</v>
      </c>
      <c r="B3304" s="0" t="n">
        <v>4</v>
      </c>
      <c r="C3304" s="0" t="n">
        <v>6</v>
      </c>
      <c r="D3304" s="0" t="n">
        <v>5</v>
      </c>
      <c r="E3304" s="0" t="n">
        <f aca="false">-1+A3304*0.25</f>
        <v>0</v>
      </c>
      <c r="F3304" s="0" t="n">
        <f aca="false">-1+B3304*0.25</f>
        <v>0</v>
      </c>
      <c r="G3304" s="0" t="n">
        <f aca="false">-1+C3304*0.25</f>
        <v>0.5</v>
      </c>
      <c r="H3304" s="0" t="n">
        <f aca="false">-1+D3304*0.25</f>
        <v>0.25</v>
      </c>
      <c r="I3304" s="0" t="n">
        <f aca="false">1</f>
        <v>1</v>
      </c>
      <c r="J3304" s="0" t="n">
        <f aca="false">E3304</f>
        <v>0</v>
      </c>
      <c r="K3304" s="0" t="n">
        <f aca="false">F3304</f>
        <v>0</v>
      </c>
      <c r="L3304" s="0" t="n">
        <f aca="false">G3304</f>
        <v>0.5</v>
      </c>
      <c r="M3304" s="0" t="n">
        <f aca="false">H3304</f>
        <v>0.25</v>
      </c>
      <c r="N3304" s="0" t="n">
        <f aca="false">E3304*F3304</f>
        <v>0</v>
      </c>
      <c r="O3304" s="0" t="n">
        <f aca="false">E3304*G3304</f>
        <v>0</v>
      </c>
      <c r="P3304" s="0" t="n">
        <f aca="false">E3304*H3304</f>
        <v>0</v>
      </c>
      <c r="Q3304" s="0" t="n">
        <f aca="false">F3304*G3304</f>
        <v>0</v>
      </c>
      <c r="R3304" s="0" t="n">
        <f aca="false">F3304*H3304</f>
        <v>0</v>
      </c>
      <c r="S3304" s="0" t="n">
        <f aca="false">G3304*H3304</f>
        <v>0.125</v>
      </c>
      <c r="T3304" s="0" t="n">
        <f aca="false">E3304*E3304</f>
        <v>0</v>
      </c>
      <c r="U3304" s="0" t="n">
        <f aca="false">F3304*F3304</f>
        <v>0</v>
      </c>
      <c r="V3304" s="0" t="n">
        <f aca="false">G3304*G3304</f>
        <v>0.25</v>
      </c>
      <c r="W3304" s="0" t="n">
        <f aca="false">H3304*H3304</f>
        <v>0.0625</v>
      </c>
      <c r="X3304" s="0" t="n">
        <f aca="false">SUMPRODUCT(I3304:W3304,_XtX!$B$96:$P$96)</f>
        <v>48.342370248538</v>
      </c>
      <c r="Y3304" s="0" t="n">
        <f aca="false">SUMPRODUCT(MMULT(I3304:W3304,_XtX!$B$78:$P$92),I3304:W3304)</f>
        <v>0.120448419225146</v>
      </c>
      <c r="Z3304" s="0" t="n">
        <f aca="false">04_回帰ANOVA!$K$19*04_回帰ANOVA!$K$14*SQRT(1+Y3304)</f>
        <v>1.37973069703246</v>
      </c>
      <c r="AA3304" s="0" t="n">
        <f aca="false">X3304-Z3304</f>
        <v>46.9626395515055</v>
      </c>
      <c r="AB3304" s="0" t="n">
        <f aca="false">X3304+Z3304</f>
        <v>49.7221009455704</v>
      </c>
      <c r="AC3304" s="54" t="b">
        <f aca="false">AND(E3304&gt;=01_因子設定!$L$5-0.000000001,E3304&lt;=01_因子設定!$M$5+0.000000001,F3304&gt;=01_因子設定!$L$6-0.000000001,F3304&lt;=01_因子設定!$M$6+0.000000001,G3304&gt;=01_因子設定!$L$7-0.000000001,G3304&lt;=01_因子設定!$M$7+0.000000001,H3304&gt;=01_因子設定!$L$8-0.000000001,H3304&lt;=01_因子設定!$M$8+0.000000001,IF(01_因子設定!$B$20="Box-Behnken",E3304^2+F3304^2+G3304^2+H3304^2&lt;=2+0.000000001,TRUE()))</f>
        <v>1</v>
      </c>
      <c r="AD3304" s="55" t="n">
        <f aca="false">IF(AC3304,IF(01_因子設定!$B$13="最大化",AA3304-01_因子設定!$B$14,IF(01_因子設定!$B$13="最小化",01_因子設定!$B$15-AB3304,MIN(AA3304-01_因子設定!$B$14,01_因子設定!$B$15-AB3304))),-1E+030)</f>
        <v>0.462639551505482</v>
      </c>
      <c r="AE3304" s="55" t="n">
        <f aca="false">IF(AC3304,IF(01_因子設定!$B$13="最大化",X3304,IF(01_因子設定!$B$13="最小化",-X3304,-ABS(X3304-01_因子設定!$B$16))),-1E+030)</f>
        <v>48.342370248538</v>
      </c>
      <c r="AF3304" s="55" t="n">
        <f aca="false">AD3304+ROW()*0.000000001</f>
        <v>0.462642855505482</v>
      </c>
      <c r="AG3304" s="55" t="n">
        <f aca="false">AE3304+ROW()*0.000000001</f>
        <v>48.342373552538</v>
      </c>
    </row>
    <row r="3305" customFormat="false" ht="15" hidden="false" customHeight="false" outlineLevel="0" collapsed="false">
      <c r="A3305" s="0" t="n">
        <v>4</v>
      </c>
      <c r="B3305" s="0" t="n">
        <v>4</v>
      </c>
      <c r="C3305" s="0" t="n">
        <v>6</v>
      </c>
      <c r="D3305" s="0" t="n">
        <v>6</v>
      </c>
      <c r="E3305" s="0" t="n">
        <f aca="false">-1+A3305*0.25</f>
        <v>0</v>
      </c>
      <c r="F3305" s="0" t="n">
        <f aca="false">-1+B3305*0.25</f>
        <v>0</v>
      </c>
      <c r="G3305" s="0" t="n">
        <f aca="false">-1+C3305*0.25</f>
        <v>0.5</v>
      </c>
      <c r="H3305" s="0" t="n">
        <f aca="false">-1+D3305*0.25</f>
        <v>0.5</v>
      </c>
      <c r="I3305" s="0" t="n">
        <f aca="false">1</f>
        <v>1</v>
      </c>
      <c r="J3305" s="0" t="n">
        <f aca="false">E3305</f>
        <v>0</v>
      </c>
      <c r="K3305" s="0" t="n">
        <f aca="false">F3305</f>
        <v>0</v>
      </c>
      <c r="L3305" s="0" t="n">
        <f aca="false">G3305</f>
        <v>0.5</v>
      </c>
      <c r="M3305" s="0" t="n">
        <f aca="false">H3305</f>
        <v>0.5</v>
      </c>
      <c r="N3305" s="0" t="n">
        <f aca="false">E3305*F3305</f>
        <v>0</v>
      </c>
      <c r="O3305" s="0" t="n">
        <f aca="false">E3305*G3305</f>
        <v>0</v>
      </c>
      <c r="P3305" s="0" t="n">
        <f aca="false">E3305*H3305</f>
        <v>0</v>
      </c>
      <c r="Q3305" s="0" t="n">
        <f aca="false">F3305*G3305</f>
        <v>0</v>
      </c>
      <c r="R3305" s="0" t="n">
        <f aca="false">F3305*H3305</f>
        <v>0</v>
      </c>
      <c r="S3305" s="0" t="n">
        <f aca="false">G3305*H3305</f>
        <v>0.25</v>
      </c>
      <c r="T3305" s="0" t="n">
        <f aca="false">E3305*E3305</f>
        <v>0</v>
      </c>
      <c r="U3305" s="0" t="n">
        <f aca="false">F3305*F3305</f>
        <v>0</v>
      </c>
      <c r="V3305" s="0" t="n">
        <f aca="false">G3305*G3305</f>
        <v>0.25</v>
      </c>
      <c r="W3305" s="0" t="n">
        <f aca="false">H3305*H3305</f>
        <v>0.25</v>
      </c>
      <c r="X3305" s="0" t="n">
        <f aca="false">SUMPRODUCT(I3305:W3305,_XtX!$B$96:$P$96)</f>
        <v>48.4079861111111</v>
      </c>
      <c r="Y3305" s="0" t="n">
        <f aca="false">SUMPRODUCT(MMULT(I3305:W3305,_XtX!$B$78:$P$92),I3305:W3305)</f>
        <v>0.135850694444444</v>
      </c>
      <c r="Z3305" s="0" t="n">
        <f aca="false">04_回帰ANOVA!$K$19*04_回帰ANOVA!$K$14*SQRT(1+Y3305)</f>
        <v>1.38918158179389</v>
      </c>
      <c r="AA3305" s="0" t="n">
        <f aca="false">X3305-Z3305</f>
        <v>47.0188045293172</v>
      </c>
      <c r="AB3305" s="0" t="n">
        <f aca="false">X3305+Z3305</f>
        <v>49.797167692905</v>
      </c>
      <c r="AC3305" s="54" t="b">
        <f aca="false">AND(E3305&gt;=01_因子設定!$L$5-0.000000001,E3305&lt;=01_因子設定!$M$5+0.000000001,F3305&gt;=01_因子設定!$L$6-0.000000001,F3305&lt;=01_因子設定!$M$6+0.000000001,G3305&gt;=01_因子設定!$L$7-0.000000001,G3305&lt;=01_因子設定!$M$7+0.000000001,H3305&gt;=01_因子設定!$L$8-0.000000001,H3305&lt;=01_因子設定!$M$8+0.000000001,IF(01_因子設定!$B$20="Box-Behnken",E3305^2+F3305^2+G3305^2+H3305^2&lt;=2+0.000000001,TRUE()))</f>
        <v>1</v>
      </c>
      <c r="AD3305" s="55" t="n">
        <f aca="false">IF(AC3305,IF(01_因子設定!$B$13="最大化",AA3305-01_因子設定!$B$14,IF(01_因子設定!$B$13="最小化",01_因子設定!$B$15-AB3305,MIN(AA3305-01_因子設定!$B$14,01_因子設定!$B$15-AB3305))),-1E+030)</f>
        <v>0.518804529317166</v>
      </c>
      <c r="AE3305" s="55" t="n">
        <f aca="false">IF(AC3305,IF(01_因子設定!$B$13="最大化",X3305,IF(01_因子設定!$B$13="最小化",-X3305,-ABS(X3305-01_因子設定!$B$16))),-1E+030)</f>
        <v>48.4079861111111</v>
      </c>
      <c r="AF3305" s="55" t="n">
        <f aca="false">AD3305+ROW()*0.000000001</f>
        <v>0.518807834317166</v>
      </c>
      <c r="AG3305" s="55" t="n">
        <f aca="false">AE3305+ROW()*0.000000001</f>
        <v>48.4079894161111</v>
      </c>
    </row>
    <row r="3306" customFormat="false" ht="15" hidden="false" customHeight="false" outlineLevel="0" collapsed="false">
      <c r="A3306" s="0" t="n">
        <v>4</v>
      </c>
      <c r="B3306" s="0" t="n">
        <v>4</v>
      </c>
      <c r="C3306" s="0" t="n">
        <v>6</v>
      </c>
      <c r="D3306" s="0" t="n">
        <v>7</v>
      </c>
      <c r="E3306" s="0" t="n">
        <f aca="false">-1+A3306*0.25</f>
        <v>0</v>
      </c>
      <c r="F3306" s="0" t="n">
        <f aca="false">-1+B3306*0.25</f>
        <v>0</v>
      </c>
      <c r="G3306" s="0" t="n">
        <f aca="false">-1+C3306*0.25</f>
        <v>0.5</v>
      </c>
      <c r="H3306" s="0" t="n">
        <f aca="false">-1+D3306*0.25</f>
        <v>0.75</v>
      </c>
      <c r="I3306" s="0" t="n">
        <f aca="false">1</f>
        <v>1</v>
      </c>
      <c r="J3306" s="0" t="n">
        <f aca="false">E3306</f>
        <v>0</v>
      </c>
      <c r="K3306" s="0" t="n">
        <f aca="false">F3306</f>
        <v>0</v>
      </c>
      <c r="L3306" s="0" t="n">
        <f aca="false">G3306</f>
        <v>0.5</v>
      </c>
      <c r="M3306" s="0" t="n">
        <f aca="false">H3306</f>
        <v>0.75</v>
      </c>
      <c r="N3306" s="0" t="n">
        <f aca="false">E3306*F3306</f>
        <v>0</v>
      </c>
      <c r="O3306" s="0" t="n">
        <f aca="false">E3306*G3306</f>
        <v>0</v>
      </c>
      <c r="P3306" s="0" t="n">
        <f aca="false">E3306*H3306</f>
        <v>0</v>
      </c>
      <c r="Q3306" s="0" t="n">
        <f aca="false">F3306*G3306</f>
        <v>0</v>
      </c>
      <c r="R3306" s="0" t="n">
        <f aca="false">F3306*H3306</f>
        <v>0</v>
      </c>
      <c r="S3306" s="0" t="n">
        <f aca="false">G3306*H3306</f>
        <v>0.375</v>
      </c>
      <c r="T3306" s="0" t="n">
        <f aca="false">E3306*E3306</f>
        <v>0</v>
      </c>
      <c r="U3306" s="0" t="n">
        <f aca="false">F3306*F3306</f>
        <v>0</v>
      </c>
      <c r="V3306" s="0" t="n">
        <f aca="false">G3306*G3306</f>
        <v>0.25</v>
      </c>
      <c r="W3306" s="0" t="n">
        <f aca="false">H3306*H3306</f>
        <v>0.5625</v>
      </c>
      <c r="X3306" s="0" t="n">
        <f aca="false">SUMPRODUCT(I3306:W3306,_XtX!$B$96:$P$96)</f>
        <v>48.4257949561403</v>
      </c>
      <c r="Y3306" s="0" t="n">
        <f aca="false">SUMPRODUCT(MMULT(I3306:W3306,_XtX!$B$78:$P$92),I3306:W3306)</f>
        <v>0.221828170687135</v>
      </c>
      <c r="Z3306" s="0" t="n">
        <f aca="false">04_回帰ANOVA!$K$19*04_回帰ANOVA!$K$14*SQRT(1+Y3306)</f>
        <v>1.44079920361664</v>
      </c>
      <c r="AA3306" s="0" t="n">
        <f aca="false">X3306-Z3306</f>
        <v>46.9849957525237</v>
      </c>
      <c r="AB3306" s="0" t="n">
        <f aca="false">X3306+Z3306</f>
        <v>49.866594159757</v>
      </c>
      <c r="AC3306" s="54" t="b">
        <f aca="false">AND(E3306&gt;=01_因子設定!$L$5-0.000000001,E3306&lt;=01_因子設定!$M$5+0.000000001,F3306&gt;=01_因子設定!$L$6-0.000000001,F3306&lt;=01_因子設定!$M$6+0.000000001,G3306&gt;=01_因子設定!$L$7-0.000000001,G3306&lt;=01_因子設定!$M$7+0.000000001,H3306&gt;=01_因子設定!$L$8-0.000000001,H3306&lt;=01_因子設定!$M$8+0.000000001,IF(01_因子設定!$B$20="Box-Behnken",E3306^2+F3306^2+G3306^2+H3306^2&lt;=2+0.000000001,TRUE()))</f>
        <v>1</v>
      </c>
      <c r="AD3306" s="55" t="n">
        <f aca="false">IF(AC3306,IF(01_因子設定!$B$13="最大化",AA3306-01_因子設定!$B$14,IF(01_因子設定!$B$13="最小化",01_因子設定!$B$15-AB3306,MIN(AA3306-01_因子設定!$B$14,01_因子設定!$B$15-AB3306))),-1E+030)</f>
        <v>0.484995752523666</v>
      </c>
      <c r="AE3306" s="55" t="n">
        <f aca="false">IF(AC3306,IF(01_因子設定!$B$13="最大化",X3306,IF(01_因子設定!$B$13="最小化",-X3306,-ABS(X3306-01_因子設定!$B$16))),-1E+030)</f>
        <v>48.4257949561403</v>
      </c>
      <c r="AF3306" s="55" t="n">
        <f aca="false">AD3306+ROW()*0.000000001</f>
        <v>0.484999058523666</v>
      </c>
      <c r="AG3306" s="55" t="n">
        <f aca="false">AE3306+ROW()*0.000000001</f>
        <v>48.4257982621403</v>
      </c>
    </row>
    <row r="3307" customFormat="false" ht="15" hidden="false" customHeight="false" outlineLevel="0" collapsed="false">
      <c r="A3307" s="0" t="n">
        <v>4</v>
      </c>
      <c r="B3307" s="0" t="n">
        <v>4</v>
      </c>
      <c r="C3307" s="0" t="n">
        <v>6</v>
      </c>
      <c r="D3307" s="0" t="n">
        <v>8</v>
      </c>
      <c r="E3307" s="0" t="n">
        <f aca="false">-1+A3307*0.25</f>
        <v>0</v>
      </c>
      <c r="F3307" s="0" t="n">
        <f aca="false">-1+B3307*0.25</f>
        <v>0</v>
      </c>
      <c r="G3307" s="0" t="n">
        <f aca="false">-1+C3307*0.25</f>
        <v>0.5</v>
      </c>
      <c r="H3307" s="0" t="n">
        <f aca="false">-1+D3307*0.25</f>
        <v>1</v>
      </c>
      <c r="I3307" s="0" t="n">
        <f aca="false">1</f>
        <v>1</v>
      </c>
      <c r="J3307" s="0" t="n">
        <f aca="false">E3307</f>
        <v>0</v>
      </c>
      <c r="K3307" s="0" t="n">
        <f aca="false">F3307</f>
        <v>0</v>
      </c>
      <c r="L3307" s="0" t="n">
        <f aca="false">G3307</f>
        <v>0.5</v>
      </c>
      <c r="M3307" s="0" t="n">
        <f aca="false">H3307</f>
        <v>1</v>
      </c>
      <c r="N3307" s="0" t="n">
        <f aca="false">E3307*F3307</f>
        <v>0</v>
      </c>
      <c r="O3307" s="0" t="n">
        <f aca="false">E3307*G3307</f>
        <v>0</v>
      </c>
      <c r="P3307" s="0" t="n">
        <f aca="false">E3307*H3307</f>
        <v>0</v>
      </c>
      <c r="Q3307" s="0" t="n">
        <f aca="false">F3307*G3307</f>
        <v>0</v>
      </c>
      <c r="R3307" s="0" t="n">
        <f aca="false">F3307*H3307</f>
        <v>0</v>
      </c>
      <c r="S3307" s="0" t="n">
        <f aca="false">G3307*H3307</f>
        <v>0.5</v>
      </c>
      <c r="T3307" s="0" t="n">
        <f aca="false">E3307*E3307</f>
        <v>0</v>
      </c>
      <c r="U3307" s="0" t="n">
        <f aca="false">F3307*F3307</f>
        <v>0</v>
      </c>
      <c r="V3307" s="0" t="n">
        <f aca="false">G3307*G3307</f>
        <v>0.25</v>
      </c>
      <c r="W3307" s="0" t="n">
        <f aca="false">H3307*H3307</f>
        <v>1</v>
      </c>
      <c r="X3307" s="0" t="n">
        <f aca="false">SUMPRODUCT(I3307:W3307,_XtX!$B$96:$P$96)</f>
        <v>48.3957967836257</v>
      </c>
      <c r="Y3307" s="0" t="n">
        <f aca="false">SUMPRODUCT(MMULT(I3307:W3307,_XtX!$B$78:$P$92),I3307:W3307)</f>
        <v>0.468841374269006</v>
      </c>
      <c r="Z3307" s="0" t="n">
        <f aca="false">04_回帰ANOVA!$K$19*04_回帰ANOVA!$K$14*SQRT(1+Y3307)</f>
        <v>1.57974082366087</v>
      </c>
      <c r="AA3307" s="0" t="n">
        <f aca="false">X3307-Z3307</f>
        <v>46.8160559599648</v>
      </c>
      <c r="AB3307" s="0" t="n">
        <f aca="false">X3307+Z3307</f>
        <v>49.9755376072866</v>
      </c>
      <c r="AC3307" s="54" t="b">
        <f aca="false">AND(E3307&gt;=01_因子設定!$L$5-0.000000001,E3307&lt;=01_因子設定!$M$5+0.000000001,F3307&gt;=01_因子設定!$L$6-0.000000001,F3307&lt;=01_因子設定!$M$6+0.000000001,G3307&gt;=01_因子設定!$L$7-0.000000001,G3307&lt;=01_因子設定!$M$7+0.000000001,H3307&gt;=01_因子設定!$L$8-0.000000001,H3307&lt;=01_因子設定!$M$8+0.000000001,IF(01_因子設定!$B$20="Box-Behnken",E3307^2+F3307^2+G3307^2+H3307^2&lt;=2+0.000000001,TRUE()))</f>
        <v>1</v>
      </c>
      <c r="AD3307" s="55" t="n">
        <f aca="false">IF(AC3307,IF(01_因子設定!$B$13="最大化",AA3307-01_因子設定!$B$14,IF(01_因子設定!$B$13="最小化",01_因子設定!$B$15-AB3307,MIN(AA3307-01_因子設定!$B$14,01_因子設定!$B$15-AB3307))),-1E+030)</f>
        <v>0.316055959964821</v>
      </c>
      <c r="AE3307" s="55" t="n">
        <f aca="false">IF(AC3307,IF(01_因子設定!$B$13="最大化",X3307,IF(01_因子設定!$B$13="最小化",-X3307,-ABS(X3307-01_因子設定!$B$16))),-1E+030)</f>
        <v>48.3957967836257</v>
      </c>
      <c r="AF3307" s="55" t="n">
        <f aca="false">AD3307+ROW()*0.000000001</f>
        <v>0.316059266964821</v>
      </c>
      <c r="AG3307" s="55" t="n">
        <f aca="false">AE3307+ROW()*0.000000001</f>
        <v>48.3958000906257</v>
      </c>
    </row>
    <row r="3308" customFormat="false" ht="15" hidden="false" customHeight="false" outlineLevel="0" collapsed="false">
      <c r="A3308" s="0" t="n">
        <v>4</v>
      </c>
      <c r="B3308" s="0" t="n">
        <v>4</v>
      </c>
      <c r="C3308" s="0" t="n">
        <v>7</v>
      </c>
      <c r="D3308" s="0" t="n">
        <v>0</v>
      </c>
      <c r="E3308" s="0" t="n">
        <f aca="false">-1+A3308*0.25</f>
        <v>0</v>
      </c>
      <c r="F3308" s="0" t="n">
        <f aca="false">-1+B3308*0.25</f>
        <v>0</v>
      </c>
      <c r="G3308" s="0" t="n">
        <f aca="false">-1+C3308*0.25</f>
        <v>0.75</v>
      </c>
      <c r="H3308" s="0" t="n">
        <f aca="false">-1+D3308*0.25</f>
        <v>-1</v>
      </c>
      <c r="I3308" s="0" t="n">
        <f aca="false">1</f>
        <v>1</v>
      </c>
      <c r="J3308" s="0" t="n">
        <f aca="false">E3308</f>
        <v>0</v>
      </c>
      <c r="K3308" s="0" t="n">
        <f aca="false">F3308</f>
        <v>0</v>
      </c>
      <c r="L3308" s="0" t="n">
        <f aca="false">G3308</f>
        <v>0.75</v>
      </c>
      <c r="M3308" s="0" t="n">
        <f aca="false">H3308</f>
        <v>-1</v>
      </c>
      <c r="N3308" s="0" t="n">
        <f aca="false">E3308*F3308</f>
        <v>0</v>
      </c>
      <c r="O3308" s="0" t="n">
        <f aca="false">E3308*G3308</f>
        <v>0</v>
      </c>
      <c r="P3308" s="0" t="n">
        <f aca="false">E3308*H3308</f>
        <v>-0</v>
      </c>
      <c r="Q3308" s="0" t="n">
        <f aca="false">F3308*G3308</f>
        <v>0</v>
      </c>
      <c r="R3308" s="0" t="n">
        <f aca="false">F3308*H3308</f>
        <v>-0</v>
      </c>
      <c r="S3308" s="0" t="n">
        <f aca="false">G3308*H3308</f>
        <v>-0.75</v>
      </c>
      <c r="T3308" s="0" t="n">
        <f aca="false">E3308*E3308</f>
        <v>0</v>
      </c>
      <c r="U3308" s="0" t="n">
        <f aca="false">F3308*F3308</f>
        <v>0</v>
      </c>
      <c r="V3308" s="0" t="n">
        <f aca="false">G3308*G3308</f>
        <v>0.5625</v>
      </c>
      <c r="W3308" s="0" t="n">
        <f aca="false">H3308*H3308</f>
        <v>1</v>
      </c>
      <c r="X3308" s="0" t="n">
        <f aca="false">SUMPRODUCT(I3308:W3308,_XtX!$B$96:$P$96)</f>
        <v>47.2578764619883</v>
      </c>
      <c r="Y3308" s="0" t="n">
        <f aca="false">SUMPRODUCT(MMULT(I3308:W3308,_XtX!$B$78:$P$92),I3308:W3308)</f>
        <v>0.516013340643275</v>
      </c>
      <c r="Z3308" s="0" t="n">
        <f aca="false">04_回帰ANOVA!$K$19*04_回帰ANOVA!$K$14*SQRT(1+Y3308)</f>
        <v>1.60490712175667</v>
      </c>
      <c r="AA3308" s="0" t="n">
        <f aca="false">X3308-Z3308</f>
        <v>45.6529693402316</v>
      </c>
      <c r="AB3308" s="0" t="n">
        <f aca="false">X3308+Z3308</f>
        <v>48.862783583745</v>
      </c>
      <c r="AC3308" s="54" t="b">
        <f aca="false">AND(E3308&gt;=01_因子設定!$L$5-0.000000001,E3308&lt;=01_因子設定!$M$5+0.000000001,F3308&gt;=01_因子設定!$L$6-0.000000001,F3308&lt;=01_因子設定!$M$6+0.000000001,G3308&gt;=01_因子設定!$L$7-0.000000001,G3308&lt;=01_因子設定!$M$7+0.000000001,H3308&gt;=01_因子設定!$L$8-0.000000001,H3308&lt;=01_因子設定!$M$8+0.000000001,IF(01_因子設定!$B$20="Box-Behnken",E3308^2+F3308^2+G3308^2+H3308^2&lt;=2+0.000000001,TRUE()))</f>
        <v>1</v>
      </c>
      <c r="AD3308" s="55" t="n">
        <f aca="false">IF(AC3308,IF(01_因子設定!$B$13="最大化",AA3308-01_因子設定!$B$14,IF(01_因子設定!$B$13="最小化",01_因子設定!$B$15-AB3308,MIN(AA3308-01_因子設定!$B$14,01_因子設定!$B$15-AB3308))),-1E+030)</f>
        <v>-0.847030659768386</v>
      </c>
      <c r="AE3308" s="55" t="n">
        <f aca="false">IF(AC3308,IF(01_因子設定!$B$13="最大化",X3308,IF(01_因子設定!$B$13="最小化",-X3308,-ABS(X3308-01_因子設定!$B$16))),-1E+030)</f>
        <v>47.2578764619883</v>
      </c>
      <c r="AF3308" s="55" t="n">
        <f aca="false">AD3308+ROW()*0.000000001</f>
        <v>-0.847027351768386</v>
      </c>
      <c r="AG3308" s="55" t="n">
        <f aca="false">AE3308+ROW()*0.000000001</f>
        <v>47.2578797699883</v>
      </c>
    </row>
    <row r="3309" customFormat="false" ht="15" hidden="false" customHeight="false" outlineLevel="0" collapsed="false">
      <c r="A3309" s="0" t="n">
        <v>4</v>
      </c>
      <c r="B3309" s="0" t="n">
        <v>4</v>
      </c>
      <c r="C3309" s="0" t="n">
        <v>7</v>
      </c>
      <c r="D3309" s="0" t="n">
        <v>1</v>
      </c>
      <c r="E3309" s="0" t="n">
        <f aca="false">-1+A3309*0.25</f>
        <v>0</v>
      </c>
      <c r="F3309" s="0" t="n">
        <f aca="false">-1+B3309*0.25</f>
        <v>0</v>
      </c>
      <c r="G3309" s="0" t="n">
        <f aca="false">-1+C3309*0.25</f>
        <v>0.75</v>
      </c>
      <c r="H3309" s="0" t="n">
        <f aca="false">-1+D3309*0.25</f>
        <v>-0.75</v>
      </c>
      <c r="I3309" s="0" t="n">
        <f aca="false">1</f>
        <v>1</v>
      </c>
      <c r="J3309" s="0" t="n">
        <f aca="false">E3309</f>
        <v>0</v>
      </c>
      <c r="K3309" s="0" t="n">
        <f aca="false">F3309</f>
        <v>0</v>
      </c>
      <c r="L3309" s="0" t="n">
        <f aca="false">G3309</f>
        <v>0.75</v>
      </c>
      <c r="M3309" s="0" t="n">
        <f aca="false">H3309</f>
        <v>-0.75</v>
      </c>
      <c r="N3309" s="0" t="n">
        <f aca="false">E3309*F3309</f>
        <v>0</v>
      </c>
      <c r="O3309" s="0" t="n">
        <f aca="false">E3309*G3309</f>
        <v>0</v>
      </c>
      <c r="P3309" s="0" t="n">
        <f aca="false">E3309*H3309</f>
        <v>-0</v>
      </c>
      <c r="Q3309" s="0" t="n">
        <f aca="false">F3309*G3309</f>
        <v>0</v>
      </c>
      <c r="R3309" s="0" t="n">
        <f aca="false">F3309*H3309</f>
        <v>-0</v>
      </c>
      <c r="S3309" s="0" t="n">
        <f aca="false">G3309*H3309</f>
        <v>-0.5625</v>
      </c>
      <c r="T3309" s="0" t="n">
        <f aca="false">E3309*E3309</f>
        <v>0</v>
      </c>
      <c r="U3309" s="0" t="n">
        <f aca="false">F3309*F3309</f>
        <v>0</v>
      </c>
      <c r="V3309" s="0" t="n">
        <f aca="false">G3309*G3309</f>
        <v>0.5625</v>
      </c>
      <c r="W3309" s="0" t="n">
        <f aca="false">H3309*H3309</f>
        <v>0.5625</v>
      </c>
      <c r="X3309" s="0" t="n">
        <f aca="false">SUMPRODUCT(I3309:W3309,_XtX!$B$96:$P$96)</f>
        <v>47.5804961622807</v>
      </c>
      <c r="Y3309" s="0" t="n">
        <f aca="false">SUMPRODUCT(MMULT(I3309:W3309,_XtX!$B$78:$P$92),I3309:W3309)</f>
        <v>0.291636684484649</v>
      </c>
      <c r="Z3309" s="0" t="n">
        <f aca="false">04_回帰ANOVA!$K$19*04_回帰ANOVA!$K$14*SQRT(1+Y3309)</f>
        <v>1.48138716762813</v>
      </c>
      <c r="AA3309" s="0" t="n">
        <f aca="false">X3309-Z3309</f>
        <v>46.0991089946525</v>
      </c>
      <c r="AB3309" s="0" t="n">
        <f aca="false">X3309+Z3309</f>
        <v>49.0618833299088</v>
      </c>
      <c r="AC3309" s="54" t="b">
        <f aca="false">AND(E3309&gt;=01_因子設定!$L$5-0.000000001,E3309&lt;=01_因子設定!$M$5+0.000000001,F3309&gt;=01_因子設定!$L$6-0.000000001,F3309&lt;=01_因子設定!$M$6+0.000000001,G3309&gt;=01_因子設定!$L$7-0.000000001,G3309&lt;=01_因子設定!$M$7+0.000000001,H3309&gt;=01_因子設定!$L$8-0.000000001,H3309&lt;=01_因子設定!$M$8+0.000000001,IF(01_因子設定!$B$20="Box-Behnken",E3309^2+F3309^2+G3309^2+H3309^2&lt;=2+0.000000001,TRUE()))</f>
        <v>1</v>
      </c>
      <c r="AD3309" s="55" t="n">
        <f aca="false">IF(AC3309,IF(01_因子設定!$B$13="最大化",AA3309-01_因子設定!$B$14,IF(01_因子設定!$B$13="最小化",01_因子設定!$B$15-AB3309,MIN(AA3309-01_因子設定!$B$14,01_因子設定!$B$15-AB3309))),-1E+030)</f>
        <v>-0.400891005347468</v>
      </c>
      <c r="AE3309" s="55" t="n">
        <f aca="false">IF(AC3309,IF(01_因子設定!$B$13="最大化",X3309,IF(01_因子設定!$B$13="最小化",-X3309,-ABS(X3309-01_因子設定!$B$16))),-1E+030)</f>
        <v>47.5804961622807</v>
      </c>
      <c r="AF3309" s="55" t="n">
        <f aca="false">AD3309+ROW()*0.000000001</f>
        <v>-0.400887696347468</v>
      </c>
      <c r="AG3309" s="55" t="n">
        <f aca="false">AE3309+ROW()*0.000000001</f>
        <v>47.5804994712807</v>
      </c>
    </row>
    <row r="3310" customFormat="false" ht="15" hidden="false" customHeight="false" outlineLevel="0" collapsed="false">
      <c r="A3310" s="0" t="n">
        <v>4</v>
      </c>
      <c r="B3310" s="0" t="n">
        <v>4</v>
      </c>
      <c r="C3310" s="0" t="n">
        <v>7</v>
      </c>
      <c r="D3310" s="0" t="n">
        <v>2</v>
      </c>
      <c r="E3310" s="0" t="n">
        <f aca="false">-1+A3310*0.25</f>
        <v>0</v>
      </c>
      <c r="F3310" s="0" t="n">
        <f aca="false">-1+B3310*0.25</f>
        <v>0</v>
      </c>
      <c r="G3310" s="0" t="n">
        <f aca="false">-1+C3310*0.25</f>
        <v>0.75</v>
      </c>
      <c r="H3310" s="0" t="n">
        <f aca="false">-1+D3310*0.25</f>
        <v>-0.5</v>
      </c>
      <c r="I3310" s="0" t="n">
        <f aca="false">1</f>
        <v>1</v>
      </c>
      <c r="J3310" s="0" t="n">
        <f aca="false">E3310</f>
        <v>0</v>
      </c>
      <c r="K3310" s="0" t="n">
        <f aca="false">F3310</f>
        <v>0</v>
      </c>
      <c r="L3310" s="0" t="n">
        <f aca="false">G3310</f>
        <v>0.75</v>
      </c>
      <c r="M3310" s="0" t="n">
        <f aca="false">H3310</f>
        <v>-0.5</v>
      </c>
      <c r="N3310" s="0" t="n">
        <f aca="false">E3310*F3310</f>
        <v>0</v>
      </c>
      <c r="O3310" s="0" t="n">
        <f aca="false">E3310*G3310</f>
        <v>0</v>
      </c>
      <c r="P3310" s="0" t="n">
        <f aca="false">E3310*H3310</f>
        <v>-0</v>
      </c>
      <c r="Q3310" s="0" t="n">
        <f aca="false">F3310*G3310</f>
        <v>0</v>
      </c>
      <c r="R3310" s="0" t="n">
        <f aca="false">F3310*H3310</f>
        <v>-0</v>
      </c>
      <c r="S3310" s="0" t="n">
        <f aca="false">G3310*H3310</f>
        <v>-0.375</v>
      </c>
      <c r="T3310" s="0" t="n">
        <f aca="false">E3310*E3310</f>
        <v>0</v>
      </c>
      <c r="U3310" s="0" t="n">
        <f aca="false">F3310*F3310</f>
        <v>0</v>
      </c>
      <c r="V3310" s="0" t="n">
        <f aca="false">G3310*G3310</f>
        <v>0.5625</v>
      </c>
      <c r="W3310" s="0" t="n">
        <f aca="false">H3310*H3310</f>
        <v>0.25</v>
      </c>
      <c r="X3310" s="0" t="n">
        <f aca="false">SUMPRODUCT(I3310:W3310,_XtX!$B$96:$P$96)</f>
        <v>47.8553088450292</v>
      </c>
      <c r="Y3310" s="0" t="n">
        <f aca="false">SUMPRODUCT(MMULT(I3310:W3310,_XtX!$B$78:$P$92),I3310:W3310)</f>
        <v>0.221828170687135</v>
      </c>
      <c r="Z3310" s="0" t="n">
        <f aca="false">04_回帰ANOVA!$K$19*04_回帰ANOVA!$K$14*SQRT(1+Y3310)</f>
        <v>1.44079920361664</v>
      </c>
      <c r="AA3310" s="0" t="n">
        <f aca="false">X3310-Z3310</f>
        <v>46.4145096414125</v>
      </c>
      <c r="AB3310" s="0" t="n">
        <f aca="false">X3310+Z3310</f>
        <v>49.2961080486458</v>
      </c>
      <c r="AC3310" s="54" t="b">
        <f aca="false">AND(E3310&gt;=01_因子設定!$L$5-0.000000001,E3310&lt;=01_因子設定!$M$5+0.000000001,F3310&gt;=01_因子設定!$L$6-0.000000001,F3310&lt;=01_因子設定!$M$6+0.000000001,G3310&gt;=01_因子設定!$L$7-0.000000001,G3310&lt;=01_因子設定!$M$7+0.000000001,H3310&gt;=01_因子設定!$L$8-0.000000001,H3310&lt;=01_因子設定!$M$8+0.000000001,IF(01_因子設定!$B$20="Box-Behnken",E3310^2+F3310^2+G3310^2+H3310^2&lt;=2+0.000000001,TRUE()))</f>
        <v>1</v>
      </c>
      <c r="AD3310" s="55" t="n">
        <f aca="false">IF(AC3310,IF(01_因子設定!$B$13="最大化",AA3310-01_因子設定!$B$14,IF(01_因子設定!$B$13="最小化",01_因子設定!$B$15-AB3310,MIN(AA3310-01_因子設定!$B$14,01_因子設定!$B$15-AB3310))),-1E+030)</f>
        <v>-0.0854903585874567</v>
      </c>
      <c r="AE3310" s="55" t="n">
        <f aca="false">IF(AC3310,IF(01_因子設定!$B$13="最大化",X3310,IF(01_因子設定!$B$13="最小化",-X3310,-ABS(X3310-01_因子設定!$B$16))),-1E+030)</f>
        <v>47.8553088450292</v>
      </c>
      <c r="AF3310" s="55" t="n">
        <f aca="false">AD3310+ROW()*0.000000001</f>
        <v>-0.0854870485874567</v>
      </c>
      <c r="AG3310" s="55" t="n">
        <f aca="false">AE3310+ROW()*0.000000001</f>
        <v>47.8553121550292</v>
      </c>
    </row>
    <row r="3311" customFormat="false" ht="15" hidden="false" customHeight="false" outlineLevel="0" collapsed="false">
      <c r="A3311" s="0" t="n">
        <v>4</v>
      </c>
      <c r="B3311" s="0" t="n">
        <v>4</v>
      </c>
      <c r="C3311" s="0" t="n">
        <v>7</v>
      </c>
      <c r="D3311" s="0" t="n">
        <v>3</v>
      </c>
      <c r="E3311" s="0" t="n">
        <f aca="false">-1+A3311*0.25</f>
        <v>0</v>
      </c>
      <c r="F3311" s="0" t="n">
        <f aca="false">-1+B3311*0.25</f>
        <v>0</v>
      </c>
      <c r="G3311" s="0" t="n">
        <f aca="false">-1+C3311*0.25</f>
        <v>0.75</v>
      </c>
      <c r="H3311" s="0" t="n">
        <f aca="false">-1+D3311*0.25</f>
        <v>-0.25</v>
      </c>
      <c r="I3311" s="0" t="n">
        <f aca="false">1</f>
        <v>1</v>
      </c>
      <c r="J3311" s="0" t="n">
        <f aca="false">E3311</f>
        <v>0</v>
      </c>
      <c r="K3311" s="0" t="n">
        <f aca="false">F3311</f>
        <v>0</v>
      </c>
      <c r="L3311" s="0" t="n">
        <f aca="false">G3311</f>
        <v>0.75</v>
      </c>
      <c r="M3311" s="0" t="n">
        <f aca="false">H3311</f>
        <v>-0.25</v>
      </c>
      <c r="N3311" s="0" t="n">
        <f aca="false">E3311*F3311</f>
        <v>0</v>
      </c>
      <c r="O3311" s="0" t="n">
        <f aca="false">E3311*G3311</f>
        <v>0</v>
      </c>
      <c r="P3311" s="0" t="n">
        <f aca="false">E3311*H3311</f>
        <v>-0</v>
      </c>
      <c r="Q3311" s="0" t="n">
        <f aca="false">F3311*G3311</f>
        <v>0</v>
      </c>
      <c r="R3311" s="0" t="n">
        <f aca="false">F3311*H3311</f>
        <v>-0</v>
      </c>
      <c r="S3311" s="0" t="n">
        <f aca="false">G3311*H3311</f>
        <v>-0.1875</v>
      </c>
      <c r="T3311" s="0" t="n">
        <f aca="false">E3311*E3311</f>
        <v>0</v>
      </c>
      <c r="U3311" s="0" t="n">
        <f aca="false">F3311*F3311</f>
        <v>0</v>
      </c>
      <c r="V3311" s="0" t="n">
        <f aca="false">G3311*G3311</f>
        <v>0.5625</v>
      </c>
      <c r="W3311" s="0" t="n">
        <f aca="false">H3311*H3311</f>
        <v>0.0625</v>
      </c>
      <c r="X3311" s="0" t="n">
        <f aca="false">SUMPRODUCT(I3311:W3311,_XtX!$B$96:$P$96)</f>
        <v>48.0823145102339</v>
      </c>
      <c r="Y3311" s="0" t="n">
        <f aca="false">SUMPRODUCT(MMULT(I3311:W3311,_XtX!$B$78:$P$92),I3311:W3311)</f>
        <v>0.216127272934942</v>
      </c>
      <c r="Z3311" s="0" t="n">
        <f aca="false">04_回帰ANOVA!$K$19*04_回帰ANOVA!$K$14*SQRT(1+Y3311)</f>
        <v>1.43743397896608</v>
      </c>
      <c r="AA3311" s="0" t="n">
        <f aca="false">X3311-Z3311</f>
        <v>46.6448805312678</v>
      </c>
      <c r="AB3311" s="0" t="n">
        <f aca="false">X3311+Z3311</f>
        <v>49.5197484891999</v>
      </c>
      <c r="AC3311" s="54" t="b">
        <f aca="false">AND(E3311&gt;=01_因子設定!$L$5-0.000000001,E3311&lt;=01_因子設定!$M$5+0.000000001,F3311&gt;=01_因子設定!$L$6-0.000000001,F3311&lt;=01_因子設定!$M$6+0.000000001,G3311&gt;=01_因子設定!$L$7-0.000000001,G3311&lt;=01_因子設定!$M$7+0.000000001,H3311&gt;=01_因子設定!$L$8-0.000000001,H3311&lt;=01_因子設定!$M$8+0.000000001,IF(01_因子設定!$B$20="Box-Behnken",E3311^2+F3311^2+G3311^2+H3311^2&lt;=2+0.000000001,TRUE()))</f>
        <v>1</v>
      </c>
      <c r="AD3311" s="55" t="n">
        <f aca="false">IF(AC3311,IF(01_因子設定!$B$13="最大化",AA3311-01_因子設定!$B$14,IF(01_因子設定!$B$13="最小化",01_因子設定!$B$15-AB3311,MIN(AA3311-01_因子設定!$B$14,01_因子設定!$B$15-AB3311))),-1E+030)</f>
        <v>0.144880531267781</v>
      </c>
      <c r="AE3311" s="55" t="n">
        <f aca="false">IF(AC3311,IF(01_因子設定!$B$13="最大化",X3311,IF(01_因子設定!$B$13="最小化",-X3311,-ABS(X3311-01_因子設定!$B$16))),-1E+030)</f>
        <v>48.0823145102339</v>
      </c>
      <c r="AF3311" s="55" t="n">
        <f aca="false">AD3311+ROW()*0.000000001</f>
        <v>0.144883842267781</v>
      </c>
      <c r="AG3311" s="55" t="n">
        <f aca="false">AE3311+ROW()*0.000000001</f>
        <v>48.0823178212339</v>
      </c>
    </row>
    <row r="3312" customFormat="false" ht="15" hidden="false" customHeight="false" outlineLevel="0" collapsed="false">
      <c r="A3312" s="0" t="n">
        <v>4</v>
      </c>
      <c r="B3312" s="0" t="n">
        <v>4</v>
      </c>
      <c r="C3312" s="0" t="n">
        <v>7</v>
      </c>
      <c r="D3312" s="0" t="n">
        <v>4</v>
      </c>
      <c r="E3312" s="0" t="n">
        <f aca="false">-1+A3312*0.25</f>
        <v>0</v>
      </c>
      <c r="F3312" s="0" t="n">
        <f aca="false">-1+B3312*0.25</f>
        <v>0</v>
      </c>
      <c r="G3312" s="0" t="n">
        <f aca="false">-1+C3312*0.25</f>
        <v>0.75</v>
      </c>
      <c r="H3312" s="0" t="n">
        <f aca="false">-1+D3312*0.25</f>
        <v>0</v>
      </c>
      <c r="I3312" s="0" t="n">
        <f aca="false">1</f>
        <v>1</v>
      </c>
      <c r="J3312" s="0" t="n">
        <f aca="false">E3312</f>
        <v>0</v>
      </c>
      <c r="K3312" s="0" t="n">
        <f aca="false">F3312</f>
        <v>0</v>
      </c>
      <c r="L3312" s="0" t="n">
        <f aca="false">G3312</f>
        <v>0.75</v>
      </c>
      <c r="M3312" s="0" t="n">
        <f aca="false">H3312</f>
        <v>0</v>
      </c>
      <c r="N3312" s="0" t="n">
        <f aca="false">E3312*F3312</f>
        <v>0</v>
      </c>
      <c r="O3312" s="0" t="n">
        <f aca="false">E3312*G3312</f>
        <v>0</v>
      </c>
      <c r="P3312" s="0" t="n">
        <f aca="false">E3312*H3312</f>
        <v>0</v>
      </c>
      <c r="Q3312" s="0" t="n">
        <f aca="false">F3312*G3312</f>
        <v>0</v>
      </c>
      <c r="R3312" s="0" t="n">
        <f aca="false">F3312*H3312</f>
        <v>0</v>
      </c>
      <c r="S3312" s="0" t="n">
        <f aca="false">G3312*H3312</f>
        <v>0</v>
      </c>
      <c r="T3312" s="0" t="n">
        <f aca="false">E3312*E3312</f>
        <v>0</v>
      </c>
      <c r="U3312" s="0" t="n">
        <f aca="false">F3312*F3312</f>
        <v>0</v>
      </c>
      <c r="V3312" s="0" t="n">
        <f aca="false">G3312*G3312</f>
        <v>0.5625</v>
      </c>
      <c r="W3312" s="0" t="n">
        <f aca="false">H3312*H3312</f>
        <v>0</v>
      </c>
      <c r="X3312" s="0" t="n">
        <f aca="false">SUMPRODUCT(I3312:W3312,_XtX!$B$96:$P$96)</f>
        <v>48.2615131578947</v>
      </c>
      <c r="Y3312" s="0" t="n">
        <f aca="false">SUMPRODUCT(MMULT(I3312:W3312,_XtX!$B$78:$P$92),I3312:W3312)</f>
        <v>0.220257675438597</v>
      </c>
      <c r="Z3312" s="0" t="n">
        <f aca="false">04_回帰ANOVA!$K$19*04_回帰ANOVA!$K$14*SQRT(1+Y3312)</f>
        <v>1.43987292938832</v>
      </c>
      <c r="AA3312" s="0" t="n">
        <f aca="false">X3312-Z3312</f>
        <v>46.8216402285064</v>
      </c>
      <c r="AB3312" s="0" t="n">
        <f aca="false">X3312+Z3312</f>
        <v>49.701386087283</v>
      </c>
      <c r="AC3312" s="54" t="b">
        <f aca="false">AND(E3312&gt;=01_因子設定!$L$5-0.000000001,E3312&lt;=01_因子設定!$M$5+0.000000001,F3312&gt;=01_因子設定!$L$6-0.000000001,F3312&lt;=01_因子設定!$M$6+0.000000001,G3312&gt;=01_因子設定!$L$7-0.000000001,G3312&lt;=01_因子設定!$M$7+0.000000001,H3312&gt;=01_因子設定!$L$8-0.000000001,H3312&lt;=01_因子設定!$M$8+0.000000001,IF(01_因子設定!$B$20="Box-Behnken",E3312^2+F3312^2+G3312^2+H3312^2&lt;=2+0.000000001,TRUE()))</f>
        <v>1</v>
      </c>
      <c r="AD3312" s="55" t="n">
        <f aca="false">IF(AC3312,IF(01_因子設定!$B$13="最大化",AA3312-01_因子設定!$B$14,IF(01_因子設定!$B$13="最小化",01_因子設定!$B$15-AB3312,MIN(AA3312-01_因子設定!$B$14,01_因子設定!$B$15-AB3312))),-1E+030)</f>
        <v>0.321640228506361</v>
      </c>
      <c r="AE3312" s="55" t="n">
        <f aca="false">IF(AC3312,IF(01_因子設定!$B$13="最大化",X3312,IF(01_因子設定!$B$13="最小化",-X3312,-ABS(X3312-01_因子設定!$B$16))),-1E+030)</f>
        <v>48.2615131578947</v>
      </c>
      <c r="AF3312" s="55" t="n">
        <f aca="false">AD3312+ROW()*0.000000001</f>
        <v>0.321643540506361</v>
      </c>
      <c r="AG3312" s="55" t="n">
        <f aca="false">AE3312+ROW()*0.000000001</f>
        <v>48.2615164698947</v>
      </c>
    </row>
    <row r="3313" customFormat="false" ht="15" hidden="false" customHeight="false" outlineLevel="0" collapsed="false">
      <c r="A3313" s="0" t="n">
        <v>4</v>
      </c>
      <c r="B3313" s="0" t="n">
        <v>4</v>
      </c>
      <c r="C3313" s="0" t="n">
        <v>7</v>
      </c>
      <c r="D3313" s="0" t="n">
        <v>5</v>
      </c>
      <c r="E3313" s="0" t="n">
        <f aca="false">-1+A3313*0.25</f>
        <v>0</v>
      </c>
      <c r="F3313" s="0" t="n">
        <f aca="false">-1+B3313*0.25</f>
        <v>0</v>
      </c>
      <c r="G3313" s="0" t="n">
        <f aca="false">-1+C3313*0.25</f>
        <v>0.75</v>
      </c>
      <c r="H3313" s="0" t="n">
        <f aca="false">-1+D3313*0.25</f>
        <v>0.25</v>
      </c>
      <c r="I3313" s="0" t="n">
        <f aca="false">1</f>
        <v>1</v>
      </c>
      <c r="J3313" s="0" t="n">
        <f aca="false">E3313</f>
        <v>0</v>
      </c>
      <c r="K3313" s="0" t="n">
        <f aca="false">F3313</f>
        <v>0</v>
      </c>
      <c r="L3313" s="0" t="n">
        <f aca="false">G3313</f>
        <v>0.75</v>
      </c>
      <c r="M3313" s="0" t="n">
        <f aca="false">H3313</f>
        <v>0.25</v>
      </c>
      <c r="N3313" s="0" t="n">
        <f aca="false">E3313*F3313</f>
        <v>0</v>
      </c>
      <c r="O3313" s="0" t="n">
        <f aca="false">E3313*G3313</f>
        <v>0</v>
      </c>
      <c r="P3313" s="0" t="n">
        <f aca="false">E3313*H3313</f>
        <v>0</v>
      </c>
      <c r="Q3313" s="0" t="n">
        <f aca="false">F3313*G3313</f>
        <v>0</v>
      </c>
      <c r="R3313" s="0" t="n">
        <f aca="false">F3313*H3313</f>
        <v>0</v>
      </c>
      <c r="S3313" s="0" t="n">
        <f aca="false">G3313*H3313</f>
        <v>0.1875</v>
      </c>
      <c r="T3313" s="0" t="n">
        <f aca="false">E3313*E3313</f>
        <v>0</v>
      </c>
      <c r="U3313" s="0" t="n">
        <f aca="false">F3313*F3313</f>
        <v>0</v>
      </c>
      <c r="V3313" s="0" t="n">
        <f aca="false">G3313*G3313</f>
        <v>0.5625</v>
      </c>
      <c r="W3313" s="0" t="n">
        <f aca="false">H3313*H3313</f>
        <v>0.0625</v>
      </c>
      <c r="X3313" s="0" t="n">
        <f aca="false">SUMPRODUCT(I3313:W3313,_XtX!$B$96:$P$96)</f>
        <v>48.3929047880116</v>
      </c>
      <c r="Y3313" s="0" t="n">
        <f aca="false">SUMPRODUCT(MMULT(I3313:W3313,_XtX!$B$78:$P$92),I3313:W3313)</f>
        <v>0.216127272934942</v>
      </c>
      <c r="Z3313" s="0" t="n">
        <f aca="false">04_回帰ANOVA!$K$19*04_回帰ANOVA!$K$14*SQRT(1+Y3313)</f>
        <v>1.43743397896608</v>
      </c>
      <c r="AA3313" s="0" t="n">
        <f aca="false">X3313-Z3313</f>
        <v>46.9554708090456</v>
      </c>
      <c r="AB3313" s="0" t="n">
        <f aca="false">X3313+Z3313</f>
        <v>49.8303387669777</v>
      </c>
      <c r="AC3313" s="54" t="b">
        <f aca="false">AND(E3313&gt;=01_因子設定!$L$5-0.000000001,E3313&lt;=01_因子設定!$M$5+0.000000001,F3313&gt;=01_因子設定!$L$6-0.000000001,F3313&lt;=01_因子設定!$M$6+0.000000001,G3313&gt;=01_因子設定!$L$7-0.000000001,G3313&lt;=01_因子設定!$M$7+0.000000001,H3313&gt;=01_因子設定!$L$8-0.000000001,H3313&lt;=01_因子設定!$M$8+0.000000001,IF(01_因子設定!$B$20="Box-Behnken",E3313^2+F3313^2+G3313^2+H3313^2&lt;=2+0.000000001,TRUE()))</f>
        <v>1</v>
      </c>
      <c r="AD3313" s="55" t="n">
        <f aca="false">IF(AC3313,IF(01_因子設定!$B$13="最大化",AA3313-01_因子設定!$B$14,IF(01_因子設定!$B$13="最小化",01_因子設定!$B$15-AB3313,MIN(AA3313-01_因子設定!$B$14,01_因子設定!$B$15-AB3313))),-1E+030)</f>
        <v>0.455470809045558</v>
      </c>
      <c r="AE3313" s="55" t="n">
        <f aca="false">IF(AC3313,IF(01_因子設定!$B$13="最大化",X3313,IF(01_因子設定!$B$13="最小化",-X3313,-ABS(X3313-01_因子設定!$B$16))),-1E+030)</f>
        <v>48.3929047880116</v>
      </c>
      <c r="AF3313" s="55" t="n">
        <f aca="false">AD3313+ROW()*0.000000001</f>
        <v>0.455474122045558</v>
      </c>
      <c r="AG3313" s="55" t="n">
        <f aca="false">AE3313+ROW()*0.000000001</f>
        <v>48.3929081010116</v>
      </c>
    </row>
    <row r="3314" customFormat="false" ht="15" hidden="false" customHeight="false" outlineLevel="0" collapsed="false">
      <c r="A3314" s="0" t="n">
        <v>4</v>
      </c>
      <c r="B3314" s="0" t="n">
        <v>4</v>
      </c>
      <c r="C3314" s="0" t="n">
        <v>7</v>
      </c>
      <c r="D3314" s="0" t="n">
        <v>6</v>
      </c>
      <c r="E3314" s="0" t="n">
        <f aca="false">-1+A3314*0.25</f>
        <v>0</v>
      </c>
      <c r="F3314" s="0" t="n">
        <f aca="false">-1+B3314*0.25</f>
        <v>0</v>
      </c>
      <c r="G3314" s="0" t="n">
        <f aca="false">-1+C3314*0.25</f>
        <v>0.75</v>
      </c>
      <c r="H3314" s="0" t="n">
        <f aca="false">-1+D3314*0.25</f>
        <v>0.5</v>
      </c>
      <c r="I3314" s="0" t="n">
        <f aca="false">1</f>
        <v>1</v>
      </c>
      <c r="J3314" s="0" t="n">
        <f aca="false">E3314</f>
        <v>0</v>
      </c>
      <c r="K3314" s="0" t="n">
        <f aca="false">F3314</f>
        <v>0</v>
      </c>
      <c r="L3314" s="0" t="n">
        <f aca="false">G3314</f>
        <v>0.75</v>
      </c>
      <c r="M3314" s="0" t="n">
        <f aca="false">H3314</f>
        <v>0.5</v>
      </c>
      <c r="N3314" s="0" t="n">
        <f aca="false">E3314*F3314</f>
        <v>0</v>
      </c>
      <c r="O3314" s="0" t="n">
        <f aca="false">E3314*G3314</f>
        <v>0</v>
      </c>
      <c r="P3314" s="0" t="n">
        <f aca="false">E3314*H3314</f>
        <v>0</v>
      </c>
      <c r="Q3314" s="0" t="n">
        <f aca="false">F3314*G3314</f>
        <v>0</v>
      </c>
      <c r="R3314" s="0" t="n">
        <f aca="false">F3314*H3314</f>
        <v>0</v>
      </c>
      <c r="S3314" s="0" t="n">
        <f aca="false">G3314*H3314</f>
        <v>0.375</v>
      </c>
      <c r="T3314" s="0" t="n">
        <f aca="false">E3314*E3314</f>
        <v>0</v>
      </c>
      <c r="U3314" s="0" t="n">
        <f aca="false">F3314*F3314</f>
        <v>0</v>
      </c>
      <c r="V3314" s="0" t="n">
        <f aca="false">G3314*G3314</f>
        <v>0.5625</v>
      </c>
      <c r="W3314" s="0" t="n">
        <f aca="false">H3314*H3314</f>
        <v>0.25</v>
      </c>
      <c r="X3314" s="0" t="n">
        <f aca="false">SUMPRODUCT(I3314:W3314,_XtX!$B$96:$P$96)</f>
        <v>48.4764894005847</v>
      </c>
      <c r="Y3314" s="0" t="n">
        <f aca="false">SUMPRODUCT(MMULT(I3314:W3314,_XtX!$B$78:$P$92),I3314:W3314)</f>
        <v>0.221828170687135</v>
      </c>
      <c r="Z3314" s="0" t="n">
        <f aca="false">04_回帰ANOVA!$K$19*04_回帰ANOVA!$K$14*SQRT(1+Y3314)</f>
        <v>1.44079920361664</v>
      </c>
      <c r="AA3314" s="0" t="n">
        <f aca="false">X3314-Z3314</f>
        <v>47.0356901969681</v>
      </c>
      <c r="AB3314" s="0" t="n">
        <f aca="false">X3314+Z3314</f>
        <v>49.9172886042014</v>
      </c>
      <c r="AC3314" s="54" t="b">
        <f aca="false">AND(E3314&gt;=01_因子設定!$L$5-0.000000001,E3314&lt;=01_因子設定!$M$5+0.000000001,F3314&gt;=01_因子設定!$L$6-0.000000001,F3314&lt;=01_因子設定!$M$6+0.000000001,G3314&gt;=01_因子設定!$L$7-0.000000001,G3314&lt;=01_因子設定!$M$7+0.000000001,H3314&gt;=01_因子設定!$L$8-0.000000001,H3314&lt;=01_因子設定!$M$8+0.000000001,IF(01_因子設定!$B$20="Box-Behnken",E3314^2+F3314^2+G3314^2+H3314^2&lt;=2+0.000000001,TRUE()))</f>
        <v>1</v>
      </c>
      <c r="AD3314" s="55" t="n">
        <f aca="false">IF(AC3314,IF(01_因子設定!$B$13="最大化",AA3314-01_因子設定!$B$14,IF(01_因子設定!$B$13="最小化",01_因子設定!$B$15-AB3314,MIN(AA3314-01_因子設定!$B$14,01_因子設定!$B$15-AB3314))),-1E+030)</f>
        <v>0.535690196968098</v>
      </c>
      <c r="AE3314" s="55" t="n">
        <f aca="false">IF(AC3314,IF(01_因子設定!$B$13="最大化",X3314,IF(01_因子設定!$B$13="最小化",-X3314,-ABS(X3314-01_因子設定!$B$16))),-1E+030)</f>
        <v>48.4764894005847</v>
      </c>
      <c r="AF3314" s="55" t="n">
        <f aca="false">AD3314+ROW()*0.000000001</f>
        <v>0.535693510968098</v>
      </c>
      <c r="AG3314" s="55" t="n">
        <f aca="false">AE3314+ROW()*0.000000001</f>
        <v>48.4764927145847</v>
      </c>
    </row>
    <row r="3315" customFormat="false" ht="15" hidden="false" customHeight="false" outlineLevel="0" collapsed="false">
      <c r="A3315" s="0" t="n">
        <v>4</v>
      </c>
      <c r="B3315" s="0" t="n">
        <v>4</v>
      </c>
      <c r="C3315" s="0" t="n">
        <v>7</v>
      </c>
      <c r="D3315" s="0" t="n">
        <v>7</v>
      </c>
      <c r="E3315" s="0" t="n">
        <f aca="false">-1+A3315*0.25</f>
        <v>0</v>
      </c>
      <c r="F3315" s="0" t="n">
        <f aca="false">-1+B3315*0.25</f>
        <v>0</v>
      </c>
      <c r="G3315" s="0" t="n">
        <f aca="false">-1+C3315*0.25</f>
        <v>0.75</v>
      </c>
      <c r="H3315" s="0" t="n">
        <f aca="false">-1+D3315*0.25</f>
        <v>0.75</v>
      </c>
      <c r="I3315" s="0" t="n">
        <f aca="false">1</f>
        <v>1</v>
      </c>
      <c r="J3315" s="0" t="n">
        <f aca="false">E3315</f>
        <v>0</v>
      </c>
      <c r="K3315" s="0" t="n">
        <f aca="false">F3315</f>
        <v>0</v>
      </c>
      <c r="L3315" s="0" t="n">
        <f aca="false">G3315</f>
        <v>0.75</v>
      </c>
      <c r="M3315" s="0" t="n">
        <f aca="false">H3315</f>
        <v>0.75</v>
      </c>
      <c r="N3315" s="0" t="n">
        <f aca="false">E3315*F3315</f>
        <v>0</v>
      </c>
      <c r="O3315" s="0" t="n">
        <f aca="false">E3315*G3315</f>
        <v>0</v>
      </c>
      <c r="P3315" s="0" t="n">
        <f aca="false">E3315*H3315</f>
        <v>0</v>
      </c>
      <c r="Q3315" s="0" t="n">
        <f aca="false">F3315*G3315</f>
        <v>0</v>
      </c>
      <c r="R3315" s="0" t="n">
        <f aca="false">F3315*H3315</f>
        <v>0</v>
      </c>
      <c r="S3315" s="0" t="n">
        <f aca="false">G3315*H3315</f>
        <v>0.5625</v>
      </c>
      <c r="T3315" s="0" t="n">
        <f aca="false">E3315*E3315</f>
        <v>0</v>
      </c>
      <c r="U3315" s="0" t="n">
        <f aca="false">F3315*F3315</f>
        <v>0</v>
      </c>
      <c r="V3315" s="0" t="n">
        <f aca="false">G3315*G3315</f>
        <v>0.5625</v>
      </c>
      <c r="W3315" s="0" t="n">
        <f aca="false">H3315*H3315</f>
        <v>0.5625</v>
      </c>
      <c r="X3315" s="0" t="n">
        <f aca="false">SUMPRODUCT(I3315:W3315,_XtX!$B$96:$P$96)</f>
        <v>48.512266995614</v>
      </c>
      <c r="Y3315" s="0" t="n">
        <f aca="false">SUMPRODUCT(MMULT(I3315:W3315,_XtX!$B$78:$P$92),I3315:W3315)</f>
        <v>0.291636684484649</v>
      </c>
      <c r="Z3315" s="0" t="n">
        <f aca="false">04_回帰ANOVA!$K$19*04_回帰ANOVA!$K$14*SQRT(1+Y3315)</f>
        <v>1.48138716762813</v>
      </c>
      <c r="AA3315" s="0" t="n">
        <f aca="false">X3315-Z3315</f>
        <v>47.0308798279859</v>
      </c>
      <c r="AB3315" s="0" t="n">
        <f aca="false">X3315+Z3315</f>
        <v>49.9936541632421</v>
      </c>
      <c r="AC3315" s="54" t="b">
        <f aca="false">AND(E3315&gt;=01_因子設定!$L$5-0.000000001,E3315&lt;=01_因子設定!$M$5+0.000000001,F3315&gt;=01_因子設定!$L$6-0.000000001,F3315&lt;=01_因子設定!$M$6+0.000000001,G3315&gt;=01_因子設定!$L$7-0.000000001,G3315&lt;=01_因子設定!$M$7+0.000000001,H3315&gt;=01_因子設定!$L$8-0.000000001,H3315&lt;=01_因子設定!$M$8+0.000000001,IF(01_因子設定!$B$20="Box-Behnken",E3315^2+F3315^2+G3315^2+H3315^2&lt;=2+0.000000001,TRUE()))</f>
        <v>1</v>
      </c>
      <c r="AD3315" s="55" t="n">
        <f aca="false">IF(AC3315,IF(01_因子設定!$B$13="最大化",AA3315-01_因子設定!$B$14,IF(01_因子設定!$B$13="最小化",01_因子設定!$B$15-AB3315,MIN(AA3315-01_因子設定!$B$14,01_因子設定!$B$15-AB3315))),-1E+030)</f>
        <v>0.530879827985864</v>
      </c>
      <c r="AE3315" s="55" t="n">
        <f aca="false">IF(AC3315,IF(01_因子設定!$B$13="最大化",X3315,IF(01_因子設定!$B$13="最小化",-X3315,-ABS(X3315-01_因子設定!$B$16))),-1E+030)</f>
        <v>48.512266995614</v>
      </c>
      <c r="AF3315" s="55" t="n">
        <f aca="false">AD3315+ROW()*0.000000001</f>
        <v>0.530883142985864</v>
      </c>
      <c r="AG3315" s="55" t="n">
        <f aca="false">AE3315+ROW()*0.000000001</f>
        <v>48.512270310614</v>
      </c>
    </row>
    <row r="3316" customFormat="false" ht="15" hidden="false" customHeight="false" outlineLevel="0" collapsed="false">
      <c r="A3316" s="0" t="n">
        <v>4</v>
      </c>
      <c r="B3316" s="0" t="n">
        <v>4</v>
      </c>
      <c r="C3316" s="0" t="n">
        <v>7</v>
      </c>
      <c r="D3316" s="0" t="n">
        <v>8</v>
      </c>
      <c r="E3316" s="0" t="n">
        <f aca="false">-1+A3316*0.25</f>
        <v>0</v>
      </c>
      <c r="F3316" s="0" t="n">
        <f aca="false">-1+B3316*0.25</f>
        <v>0</v>
      </c>
      <c r="G3316" s="0" t="n">
        <f aca="false">-1+C3316*0.25</f>
        <v>0.75</v>
      </c>
      <c r="H3316" s="0" t="n">
        <f aca="false">-1+D3316*0.25</f>
        <v>1</v>
      </c>
      <c r="I3316" s="0" t="n">
        <f aca="false">1</f>
        <v>1</v>
      </c>
      <c r="J3316" s="0" t="n">
        <f aca="false">E3316</f>
        <v>0</v>
      </c>
      <c r="K3316" s="0" t="n">
        <f aca="false">F3316</f>
        <v>0</v>
      </c>
      <c r="L3316" s="0" t="n">
        <f aca="false">G3316</f>
        <v>0.75</v>
      </c>
      <c r="M3316" s="0" t="n">
        <f aca="false">H3316</f>
        <v>1</v>
      </c>
      <c r="N3316" s="0" t="n">
        <f aca="false">E3316*F3316</f>
        <v>0</v>
      </c>
      <c r="O3316" s="0" t="n">
        <f aca="false">E3316*G3316</f>
        <v>0</v>
      </c>
      <c r="P3316" s="0" t="n">
        <f aca="false">E3316*H3316</f>
        <v>0</v>
      </c>
      <c r="Q3316" s="0" t="n">
        <f aca="false">F3316*G3316</f>
        <v>0</v>
      </c>
      <c r="R3316" s="0" t="n">
        <f aca="false">F3316*H3316</f>
        <v>0</v>
      </c>
      <c r="S3316" s="0" t="n">
        <f aca="false">G3316*H3316</f>
        <v>0.75</v>
      </c>
      <c r="T3316" s="0" t="n">
        <f aca="false">E3316*E3316</f>
        <v>0</v>
      </c>
      <c r="U3316" s="0" t="n">
        <f aca="false">F3316*F3316</f>
        <v>0</v>
      </c>
      <c r="V3316" s="0" t="n">
        <f aca="false">G3316*G3316</f>
        <v>0.5625</v>
      </c>
      <c r="W3316" s="0" t="n">
        <f aca="false">H3316*H3316</f>
        <v>1</v>
      </c>
      <c r="X3316" s="0" t="n">
        <f aca="false">SUMPRODUCT(I3316:W3316,_XtX!$B$96:$P$96)</f>
        <v>48.5002375730994</v>
      </c>
      <c r="Y3316" s="0" t="n">
        <f aca="false">SUMPRODUCT(MMULT(I3316:W3316,_XtX!$B$78:$P$92),I3316:W3316)</f>
        <v>0.516013340643275</v>
      </c>
      <c r="Z3316" s="0" t="n">
        <f aca="false">04_回帰ANOVA!$K$19*04_回帰ANOVA!$K$14*SQRT(1+Y3316)</f>
        <v>1.60490712175667</v>
      </c>
      <c r="AA3316" s="0" t="n">
        <f aca="false">X3316-Z3316</f>
        <v>46.8953304513427</v>
      </c>
      <c r="AB3316" s="0" t="n">
        <f aca="false">X3316+Z3316</f>
        <v>50.1051446948561</v>
      </c>
      <c r="AC3316" s="54" t="b">
        <f aca="false">AND(E3316&gt;=01_因子設定!$L$5-0.000000001,E3316&lt;=01_因子設定!$M$5+0.000000001,F3316&gt;=01_因子設定!$L$6-0.000000001,F3316&lt;=01_因子設定!$M$6+0.000000001,G3316&gt;=01_因子設定!$L$7-0.000000001,G3316&lt;=01_因子設定!$M$7+0.000000001,H3316&gt;=01_因子設定!$L$8-0.000000001,H3316&lt;=01_因子設定!$M$8+0.000000001,IF(01_因子設定!$B$20="Box-Behnken",E3316^2+F3316^2+G3316^2+H3316^2&lt;=2+0.000000001,TRUE()))</f>
        <v>1</v>
      </c>
      <c r="AD3316" s="55" t="n">
        <f aca="false">IF(AC3316,IF(01_因子設定!$B$13="最大化",AA3316-01_因子設定!$B$14,IF(01_因子設定!$B$13="最小化",01_因子設定!$B$15-AB3316,MIN(AA3316-01_因子設定!$B$14,01_因子設定!$B$15-AB3316))),-1E+030)</f>
        <v>0.395330451342723</v>
      </c>
      <c r="AE3316" s="55" t="n">
        <f aca="false">IF(AC3316,IF(01_因子設定!$B$13="最大化",X3316,IF(01_因子設定!$B$13="最小化",-X3316,-ABS(X3316-01_因子設定!$B$16))),-1E+030)</f>
        <v>48.5002375730994</v>
      </c>
      <c r="AF3316" s="55" t="n">
        <f aca="false">AD3316+ROW()*0.000000001</f>
        <v>0.395333767342723</v>
      </c>
      <c r="AG3316" s="55" t="n">
        <f aca="false">AE3316+ROW()*0.000000001</f>
        <v>48.5002408890994</v>
      </c>
    </row>
    <row r="3317" customFormat="false" ht="15" hidden="false" customHeight="false" outlineLevel="0" collapsed="false">
      <c r="A3317" s="0" t="n">
        <v>4</v>
      </c>
      <c r="B3317" s="0" t="n">
        <v>4</v>
      </c>
      <c r="C3317" s="0" t="n">
        <v>8</v>
      </c>
      <c r="D3317" s="0" t="n">
        <v>0</v>
      </c>
      <c r="E3317" s="0" t="n">
        <f aca="false">-1+A3317*0.25</f>
        <v>0</v>
      </c>
      <c r="F3317" s="0" t="n">
        <f aca="false">-1+B3317*0.25</f>
        <v>0</v>
      </c>
      <c r="G3317" s="0" t="n">
        <f aca="false">-1+C3317*0.25</f>
        <v>1</v>
      </c>
      <c r="H3317" s="0" t="n">
        <f aca="false">-1+D3317*0.25</f>
        <v>-1</v>
      </c>
      <c r="I3317" s="0" t="n">
        <f aca="false">1</f>
        <v>1</v>
      </c>
      <c r="J3317" s="0" t="n">
        <f aca="false">E3317</f>
        <v>0</v>
      </c>
      <c r="K3317" s="0" t="n">
        <f aca="false">F3317</f>
        <v>0</v>
      </c>
      <c r="L3317" s="0" t="n">
        <f aca="false">G3317</f>
        <v>1</v>
      </c>
      <c r="M3317" s="0" t="n">
        <f aca="false">H3317</f>
        <v>-1</v>
      </c>
      <c r="N3317" s="0" t="n">
        <f aca="false">E3317*F3317</f>
        <v>0</v>
      </c>
      <c r="O3317" s="0" t="n">
        <f aca="false">E3317*G3317</f>
        <v>0</v>
      </c>
      <c r="P3317" s="0" t="n">
        <f aca="false">E3317*H3317</f>
        <v>-0</v>
      </c>
      <c r="Q3317" s="0" t="n">
        <f aca="false">F3317*G3317</f>
        <v>0</v>
      </c>
      <c r="R3317" s="0" t="n">
        <f aca="false">F3317*H3317</f>
        <v>-0</v>
      </c>
      <c r="S3317" s="0" t="n">
        <f aca="false">G3317*H3317</f>
        <v>-1</v>
      </c>
      <c r="T3317" s="0" t="n">
        <f aca="false">E3317*E3317</f>
        <v>0</v>
      </c>
      <c r="U3317" s="0" t="n">
        <f aca="false">F3317*F3317</f>
        <v>0</v>
      </c>
      <c r="V3317" s="0" t="n">
        <f aca="false">G3317*G3317</f>
        <v>1</v>
      </c>
      <c r="W3317" s="0" t="n">
        <f aca="false">H3317*H3317</f>
        <v>1</v>
      </c>
      <c r="X3317" s="0" t="n">
        <f aca="false">SUMPRODUCT(I3317:W3317,_XtX!$B$96:$P$96)</f>
        <v>47.1332602339181</v>
      </c>
      <c r="Y3317" s="0" t="n">
        <f aca="false">SUMPRODUCT(MMULT(I3317:W3317,_XtX!$B$78:$P$92),I3317:W3317)</f>
        <v>0.708698830409357</v>
      </c>
      <c r="Z3317" s="0" t="n">
        <f aca="false">04_回帰ANOVA!$K$19*04_回帰ANOVA!$K$14*SQRT(1+Y3317)</f>
        <v>1.70384919651719</v>
      </c>
      <c r="AA3317" s="0" t="n">
        <f aca="false">X3317-Z3317</f>
        <v>45.4294110374009</v>
      </c>
      <c r="AB3317" s="0" t="n">
        <f aca="false">X3317+Z3317</f>
        <v>48.8371094304353</v>
      </c>
      <c r="AC3317" s="54" t="b">
        <f aca="false">AND(E3317&gt;=01_因子設定!$L$5-0.000000001,E3317&lt;=01_因子設定!$M$5+0.000000001,F3317&gt;=01_因子設定!$L$6-0.000000001,F3317&lt;=01_因子設定!$M$6+0.000000001,G3317&gt;=01_因子設定!$L$7-0.000000001,G3317&lt;=01_因子設定!$M$7+0.000000001,H3317&gt;=01_因子設定!$L$8-0.000000001,H3317&lt;=01_因子設定!$M$8+0.000000001,IF(01_因子設定!$B$20="Box-Behnken",E3317^2+F3317^2+G3317^2+H3317^2&lt;=2+0.000000001,TRUE()))</f>
        <v>1</v>
      </c>
      <c r="AD3317" s="55" t="n">
        <f aca="false">IF(AC3317,IF(01_因子設定!$B$13="最大化",AA3317-01_因子設定!$B$14,IF(01_因子設定!$B$13="最小化",01_因子設定!$B$15-AB3317,MIN(AA3317-01_因子設定!$B$14,01_因子設定!$B$15-AB3317))),-1E+030)</f>
        <v>-1.07058896259908</v>
      </c>
      <c r="AE3317" s="55" t="n">
        <f aca="false">IF(AC3317,IF(01_因子設定!$B$13="最大化",X3317,IF(01_因子設定!$B$13="最小化",-X3317,-ABS(X3317-01_因子設定!$B$16))),-1E+030)</f>
        <v>47.1332602339181</v>
      </c>
      <c r="AF3317" s="55" t="n">
        <f aca="false">AD3317+ROW()*0.000000001</f>
        <v>-1.07058564559908</v>
      </c>
      <c r="AG3317" s="55" t="n">
        <f aca="false">AE3317+ROW()*0.000000001</f>
        <v>47.1332635509181</v>
      </c>
    </row>
    <row r="3318" customFormat="false" ht="15" hidden="false" customHeight="false" outlineLevel="0" collapsed="false">
      <c r="A3318" s="0" t="n">
        <v>4</v>
      </c>
      <c r="B3318" s="0" t="n">
        <v>4</v>
      </c>
      <c r="C3318" s="0" t="n">
        <v>8</v>
      </c>
      <c r="D3318" s="0" t="n">
        <v>1</v>
      </c>
      <c r="E3318" s="0" t="n">
        <f aca="false">-1+A3318*0.25</f>
        <v>0</v>
      </c>
      <c r="F3318" s="0" t="n">
        <f aca="false">-1+B3318*0.25</f>
        <v>0</v>
      </c>
      <c r="G3318" s="0" t="n">
        <f aca="false">-1+C3318*0.25</f>
        <v>1</v>
      </c>
      <c r="H3318" s="0" t="n">
        <f aca="false">-1+D3318*0.25</f>
        <v>-0.75</v>
      </c>
      <c r="I3318" s="0" t="n">
        <f aca="false">1</f>
        <v>1</v>
      </c>
      <c r="J3318" s="0" t="n">
        <f aca="false">E3318</f>
        <v>0</v>
      </c>
      <c r="K3318" s="0" t="n">
        <f aca="false">F3318</f>
        <v>0</v>
      </c>
      <c r="L3318" s="0" t="n">
        <f aca="false">G3318</f>
        <v>1</v>
      </c>
      <c r="M3318" s="0" t="n">
        <f aca="false">H3318</f>
        <v>-0.75</v>
      </c>
      <c r="N3318" s="0" t="n">
        <f aca="false">E3318*F3318</f>
        <v>0</v>
      </c>
      <c r="O3318" s="0" t="n">
        <f aca="false">E3318*G3318</f>
        <v>0</v>
      </c>
      <c r="P3318" s="0" t="n">
        <f aca="false">E3318*H3318</f>
        <v>-0</v>
      </c>
      <c r="Q3318" s="0" t="n">
        <f aca="false">F3318*G3318</f>
        <v>0</v>
      </c>
      <c r="R3318" s="0" t="n">
        <f aca="false">F3318*H3318</f>
        <v>-0</v>
      </c>
      <c r="S3318" s="0" t="n">
        <f aca="false">G3318*H3318</f>
        <v>-0.75</v>
      </c>
      <c r="T3318" s="0" t="n">
        <f aca="false">E3318*E3318</f>
        <v>0</v>
      </c>
      <c r="U3318" s="0" t="n">
        <f aca="false">F3318*F3318</f>
        <v>0</v>
      </c>
      <c r="V3318" s="0" t="n">
        <f aca="false">G3318*G3318</f>
        <v>1</v>
      </c>
      <c r="W3318" s="0" t="n">
        <f aca="false">H3318*H3318</f>
        <v>0.5625</v>
      </c>
      <c r="X3318" s="0" t="n">
        <f aca="false">SUMPRODUCT(I3318:W3318,_XtX!$B$96:$P$96)</f>
        <v>47.4738486842105</v>
      </c>
      <c r="Y3318" s="0" t="n">
        <f aca="false">SUMPRODUCT(MMULT(I3318:W3318,_XtX!$B$78:$P$92),I3318:W3318)</f>
        <v>0.516013340643275</v>
      </c>
      <c r="Z3318" s="0" t="n">
        <f aca="false">04_回帰ANOVA!$K$19*04_回帰ANOVA!$K$14*SQRT(1+Y3318)</f>
        <v>1.60490712175667</v>
      </c>
      <c r="AA3318" s="0" t="n">
        <f aca="false">X3318-Z3318</f>
        <v>45.8689415624538</v>
      </c>
      <c r="AB3318" s="0" t="n">
        <f aca="false">X3318+Z3318</f>
        <v>49.0787558059672</v>
      </c>
      <c r="AC3318" s="54" t="b">
        <f aca="false">AND(E3318&gt;=01_因子設定!$L$5-0.000000001,E3318&lt;=01_因子設定!$M$5+0.000000001,F3318&gt;=01_因子設定!$L$6-0.000000001,F3318&lt;=01_因子設定!$M$6+0.000000001,G3318&gt;=01_因子設定!$L$7-0.000000001,G3318&lt;=01_因子設定!$M$7+0.000000001,H3318&gt;=01_因子設定!$L$8-0.000000001,H3318&lt;=01_因子設定!$M$8+0.000000001,IF(01_因子設定!$B$20="Box-Behnken",E3318^2+F3318^2+G3318^2+H3318^2&lt;=2+0.000000001,TRUE()))</f>
        <v>1</v>
      </c>
      <c r="AD3318" s="55" t="n">
        <f aca="false">IF(AC3318,IF(01_因子設定!$B$13="最大化",AA3318-01_因子設定!$B$14,IF(01_因子設定!$B$13="最小化",01_因子設定!$B$15-AB3318,MIN(AA3318-01_因子設定!$B$14,01_因子設定!$B$15-AB3318))),-1E+030)</f>
        <v>-0.63105843754618</v>
      </c>
      <c r="AE3318" s="55" t="n">
        <f aca="false">IF(AC3318,IF(01_因子設定!$B$13="最大化",X3318,IF(01_因子設定!$B$13="最小化",-X3318,-ABS(X3318-01_因子設定!$B$16))),-1E+030)</f>
        <v>47.4738486842105</v>
      </c>
      <c r="AF3318" s="55" t="n">
        <f aca="false">AD3318+ROW()*0.000000001</f>
        <v>-0.63105511954618</v>
      </c>
      <c r="AG3318" s="55" t="n">
        <f aca="false">AE3318+ROW()*0.000000001</f>
        <v>47.4738520022105</v>
      </c>
    </row>
    <row r="3319" customFormat="false" ht="15" hidden="false" customHeight="false" outlineLevel="0" collapsed="false">
      <c r="A3319" s="0" t="n">
        <v>4</v>
      </c>
      <c r="B3319" s="0" t="n">
        <v>4</v>
      </c>
      <c r="C3319" s="0" t="n">
        <v>8</v>
      </c>
      <c r="D3319" s="0" t="n">
        <v>2</v>
      </c>
      <c r="E3319" s="0" t="n">
        <f aca="false">-1+A3319*0.25</f>
        <v>0</v>
      </c>
      <c r="F3319" s="0" t="n">
        <f aca="false">-1+B3319*0.25</f>
        <v>0</v>
      </c>
      <c r="G3319" s="0" t="n">
        <f aca="false">-1+C3319*0.25</f>
        <v>1</v>
      </c>
      <c r="H3319" s="0" t="n">
        <f aca="false">-1+D3319*0.25</f>
        <v>-0.5</v>
      </c>
      <c r="I3319" s="0" t="n">
        <f aca="false">1</f>
        <v>1</v>
      </c>
      <c r="J3319" s="0" t="n">
        <f aca="false">E3319</f>
        <v>0</v>
      </c>
      <c r="K3319" s="0" t="n">
        <f aca="false">F3319</f>
        <v>0</v>
      </c>
      <c r="L3319" s="0" t="n">
        <f aca="false">G3319</f>
        <v>1</v>
      </c>
      <c r="M3319" s="0" t="n">
        <f aca="false">H3319</f>
        <v>-0.5</v>
      </c>
      <c r="N3319" s="0" t="n">
        <f aca="false">E3319*F3319</f>
        <v>0</v>
      </c>
      <c r="O3319" s="0" t="n">
        <f aca="false">E3319*G3319</f>
        <v>0</v>
      </c>
      <c r="P3319" s="0" t="n">
        <f aca="false">E3319*H3319</f>
        <v>-0</v>
      </c>
      <c r="Q3319" s="0" t="n">
        <f aca="false">F3319*G3319</f>
        <v>0</v>
      </c>
      <c r="R3319" s="0" t="n">
        <f aca="false">F3319*H3319</f>
        <v>-0</v>
      </c>
      <c r="S3319" s="0" t="n">
        <f aca="false">G3319*H3319</f>
        <v>-0.5</v>
      </c>
      <c r="T3319" s="0" t="n">
        <f aca="false">E3319*E3319</f>
        <v>0</v>
      </c>
      <c r="U3319" s="0" t="n">
        <f aca="false">F3319*F3319</f>
        <v>0</v>
      </c>
      <c r="V3319" s="0" t="n">
        <f aca="false">G3319*G3319</f>
        <v>1</v>
      </c>
      <c r="W3319" s="0" t="n">
        <f aca="false">H3319*H3319</f>
        <v>0.25</v>
      </c>
      <c r="X3319" s="0" t="n">
        <f aca="false">SUMPRODUCT(I3319:W3319,_XtX!$B$96:$P$96)</f>
        <v>47.766630116959</v>
      </c>
      <c r="Y3319" s="0" t="n">
        <f aca="false">SUMPRODUCT(MMULT(I3319:W3319,_XtX!$B$78:$P$92),I3319:W3319)</f>
        <v>0.468841374269006</v>
      </c>
      <c r="Z3319" s="0" t="n">
        <f aca="false">04_回帰ANOVA!$K$19*04_回帰ANOVA!$K$14*SQRT(1+Y3319)</f>
        <v>1.57974082366087</v>
      </c>
      <c r="AA3319" s="0" t="n">
        <f aca="false">X3319-Z3319</f>
        <v>46.1868892932981</v>
      </c>
      <c r="AB3319" s="0" t="n">
        <f aca="false">X3319+Z3319</f>
        <v>49.3463709406199</v>
      </c>
      <c r="AC3319" s="54" t="b">
        <f aca="false">AND(E3319&gt;=01_因子設定!$L$5-0.000000001,E3319&lt;=01_因子設定!$M$5+0.000000001,F3319&gt;=01_因子設定!$L$6-0.000000001,F3319&lt;=01_因子設定!$M$6+0.000000001,G3319&gt;=01_因子設定!$L$7-0.000000001,G3319&lt;=01_因子設定!$M$7+0.000000001,H3319&gt;=01_因子設定!$L$8-0.000000001,H3319&lt;=01_因子設定!$M$8+0.000000001,IF(01_因子設定!$B$20="Box-Behnken",E3319^2+F3319^2+G3319^2+H3319^2&lt;=2+0.000000001,TRUE()))</f>
        <v>1</v>
      </c>
      <c r="AD3319" s="55" t="n">
        <f aca="false">IF(AC3319,IF(01_因子設定!$B$13="最大化",AA3319-01_因子設定!$B$14,IF(01_因子設定!$B$13="最小化",01_因子設定!$B$15-AB3319,MIN(AA3319-01_因子設定!$B$14,01_因子設定!$B$15-AB3319))),-1E+030)</f>
        <v>-0.313110706701863</v>
      </c>
      <c r="AE3319" s="55" t="n">
        <f aca="false">IF(AC3319,IF(01_因子設定!$B$13="最大化",X3319,IF(01_因子設定!$B$13="最小化",-X3319,-ABS(X3319-01_因子設定!$B$16))),-1E+030)</f>
        <v>47.766630116959</v>
      </c>
      <c r="AF3319" s="55" t="n">
        <f aca="false">AD3319+ROW()*0.000000001</f>
        <v>-0.313107387701863</v>
      </c>
      <c r="AG3319" s="55" t="n">
        <f aca="false">AE3319+ROW()*0.000000001</f>
        <v>47.766633435959</v>
      </c>
    </row>
    <row r="3320" customFormat="false" ht="15" hidden="false" customHeight="false" outlineLevel="0" collapsed="false">
      <c r="A3320" s="0" t="n">
        <v>4</v>
      </c>
      <c r="B3320" s="0" t="n">
        <v>4</v>
      </c>
      <c r="C3320" s="0" t="n">
        <v>8</v>
      </c>
      <c r="D3320" s="0" t="n">
        <v>3</v>
      </c>
      <c r="E3320" s="0" t="n">
        <f aca="false">-1+A3320*0.25</f>
        <v>0</v>
      </c>
      <c r="F3320" s="0" t="n">
        <f aca="false">-1+B3320*0.25</f>
        <v>0</v>
      </c>
      <c r="G3320" s="0" t="n">
        <f aca="false">-1+C3320*0.25</f>
        <v>1</v>
      </c>
      <c r="H3320" s="0" t="n">
        <f aca="false">-1+D3320*0.25</f>
        <v>-0.25</v>
      </c>
      <c r="I3320" s="0" t="n">
        <f aca="false">1</f>
        <v>1</v>
      </c>
      <c r="J3320" s="0" t="n">
        <f aca="false">E3320</f>
        <v>0</v>
      </c>
      <c r="K3320" s="0" t="n">
        <f aca="false">F3320</f>
        <v>0</v>
      </c>
      <c r="L3320" s="0" t="n">
        <f aca="false">G3320</f>
        <v>1</v>
      </c>
      <c r="M3320" s="0" t="n">
        <f aca="false">H3320</f>
        <v>-0.25</v>
      </c>
      <c r="N3320" s="0" t="n">
        <f aca="false">E3320*F3320</f>
        <v>0</v>
      </c>
      <c r="O3320" s="0" t="n">
        <f aca="false">E3320*G3320</f>
        <v>0</v>
      </c>
      <c r="P3320" s="0" t="n">
        <f aca="false">E3320*H3320</f>
        <v>-0</v>
      </c>
      <c r="Q3320" s="0" t="n">
        <f aca="false">F3320*G3320</f>
        <v>0</v>
      </c>
      <c r="R3320" s="0" t="n">
        <f aca="false">F3320*H3320</f>
        <v>-0</v>
      </c>
      <c r="S3320" s="0" t="n">
        <f aca="false">G3320*H3320</f>
        <v>-0.25</v>
      </c>
      <c r="T3320" s="0" t="n">
        <f aca="false">E3320*E3320</f>
        <v>0</v>
      </c>
      <c r="U3320" s="0" t="n">
        <f aca="false">F3320*F3320</f>
        <v>0</v>
      </c>
      <c r="V3320" s="0" t="n">
        <f aca="false">G3320*G3320</f>
        <v>1</v>
      </c>
      <c r="W3320" s="0" t="n">
        <f aca="false">H3320*H3320</f>
        <v>0.0625</v>
      </c>
      <c r="X3320" s="0" t="n">
        <f aca="false">SUMPRODUCT(I3320:W3320,_XtX!$B$96:$P$96)</f>
        <v>48.0116045321637</v>
      </c>
      <c r="Y3320" s="0" t="n">
        <f aca="false">SUMPRODUCT(MMULT(I3320:W3320,_XtX!$B$78:$P$92),I3320:W3320)</f>
        <v>0.476722404970761</v>
      </c>
      <c r="Z3320" s="0" t="n">
        <f aca="false">04_回帰ANOVA!$K$19*04_回帰ANOVA!$K$14*SQRT(1+Y3320)</f>
        <v>1.58397318352695</v>
      </c>
      <c r="AA3320" s="0" t="n">
        <f aca="false">X3320-Z3320</f>
        <v>46.4276313486367</v>
      </c>
      <c r="AB3320" s="0" t="n">
        <f aca="false">X3320+Z3320</f>
        <v>49.5955777156906</v>
      </c>
      <c r="AC3320" s="54" t="b">
        <f aca="false">AND(E3320&gt;=01_因子設定!$L$5-0.000000001,E3320&lt;=01_因子設定!$M$5+0.000000001,F3320&gt;=01_因子設定!$L$6-0.000000001,F3320&lt;=01_因子設定!$M$6+0.000000001,G3320&gt;=01_因子設定!$L$7-0.000000001,G3320&lt;=01_因子設定!$M$7+0.000000001,H3320&gt;=01_因子設定!$L$8-0.000000001,H3320&lt;=01_因子設定!$M$8+0.000000001,IF(01_因子設定!$B$20="Box-Behnken",E3320^2+F3320^2+G3320^2+H3320^2&lt;=2+0.000000001,TRUE()))</f>
        <v>1</v>
      </c>
      <c r="AD3320" s="55" t="n">
        <f aca="false">IF(AC3320,IF(01_因子設定!$B$13="最大化",AA3320-01_因子設定!$B$14,IF(01_因子設定!$B$13="最小化",01_因子設定!$B$15-AB3320,MIN(AA3320-01_因子設定!$B$14,01_因子設定!$B$15-AB3320))),-1E+030)</f>
        <v>-0.0723686513632629</v>
      </c>
      <c r="AE3320" s="55" t="n">
        <f aca="false">IF(AC3320,IF(01_因子設定!$B$13="最大化",X3320,IF(01_因子設定!$B$13="最小化",-X3320,-ABS(X3320-01_因子設定!$B$16))),-1E+030)</f>
        <v>48.0116045321637</v>
      </c>
      <c r="AF3320" s="55" t="n">
        <f aca="false">AD3320+ROW()*0.000000001</f>
        <v>-0.0723653313632629</v>
      </c>
      <c r="AG3320" s="55" t="n">
        <f aca="false">AE3320+ROW()*0.000000001</f>
        <v>48.0116078521637</v>
      </c>
    </row>
    <row r="3321" customFormat="false" ht="15" hidden="false" customHeight="false" outlineLevel="0" collapsed="false">
      <c r="A3321" s="0" t="n">
        <v>4</v>
      </c>
      <c r="B3321" s="0" t="n">
        <v>4</v>
      </c>
      <c r="C3321" s="0" t="n">
        <v>8</v>
      </c>
      <c r="D3321" s="0" t="n">
        <v>4</v>
      </c>
      <c r="E3321" s="0" t="n">
        <f aca="false">-1+A3321*0.25</f>
        <v>0</v>
      </c>
      <c r="F3321" s="0" t="n">
        <f aca="false">-1+B3321*0.25</f>
        <v>0</v>
      </c>
      <c r="G3321" s="0" t="n">
        <f aca="false">-1+C3321*0.25</f>
        <v>1</v>
      </c>
      <c r="H3321" s="0" t="n">
        <f aca="false">-1+D3321*0.25</f>
        <v>0</v>
      </c>
      <c r="I3321" s="0" t="n">
        <f aca="false">1</f>
        <v>1</v>
      </c>
      <c r="J3321" s="0" t="n">
        <f aca="false">E3321</f>
        <v>0</v>
      </c>
      <c r="K3321" s="0" t="n">
        <f aca="false">F3321</f>
        <v>0</v>
      </c>
      <c r="L3321" s="0" t="n">
        <f aca="false">G3321</f>
        <v>1</v>
      </c>
      <c r="M3321" s="0" t="n">
        <f aca="false">H3321</f>
        <v>0</v>
      </c>
      <c r="N3321" s="0" t="n">
        <f aca="false">E3321*F3321</f>
        <v>0</v>
      </c>
      <c r="O3321" s="0" t="n">
        <f aca="false">E3321*G3321</f>
        <v>0</v>
      </c>
      <c r="P3321" s="0" t="n">
        <f aca="false">E3321*H3321</f>
        <v>0</v>
      </c>
      <c r="Q3321" s="0" t="n">
        <f aca="false">F3321*G3321</f>
        <v>0</v>
      </c>
      <c r="R3321" s="0" t="n">
        <f aca="false">F3321*H3321</f>
        <v>0</v>
      </c>
      <c r="S3321" s="0" t="n">
        <f aca="false">G3321*H3321</f>
        <v>0</v>
      </c>
      <c r="T3321" s="0" t="n">
        <f aca="false">E3321*E3321</f>
        <v>0</v>
      </c>
      <c r="U3321" s="0" t="n">
        <f aca="false">F3321*F3321</f>
        <v>0</v>
      </c>
      <c r="V3321" s="0" t="n">
        <f aca="false">G3321*G3321</f>
        <v>1</v>
      </c>
      <c r="W3321" s="0" t="n">
        <f aca="false">H3321*H3321</f>
        <v>0</v>
      </c>
      <c r="X3321" s="0" t="n">
        <f aca="false">SUMPRODUCT(I3321:W3321,_XtX!$B$96:$P$96)</f>
        <v>48.2087719298245</v>
      </c>
      <c r="Y3321" s="0" t="n">
        <f aca="false">SUMPRODUCT(MMULT(I3321:W3321,_XtX!$B$78:$P$92),I3321:W3321)</f>
        <v>0.485380116959065</v>
      </c>
      <c r="Z3321" s="0" t="n">
        <f aca="false">04_回帰ANOVA!$K$19*04_回帰ANOVA!$K$14*SQRT(1+Y3321)</f>
        <v>1.58860964814545</v>
      </c>
      <c r="AA3321" s="0" t="n">
        <f aca="false">X3321-Z3321</f>
        <v>46.6201622816791</v>
      </c>
      <c r="AB3321" s="0" t="n">
        <f aca="false">X3321+Z3321</f>
        <v>49.79738157797</v>
      </c>
      <c r="AC3321" s="54" t="b">
        <f aca="false">AND(E3321&gt;=01_因子設定!$L$5-0.000000001,E3321&lt;=01_因子設定!$M$5+0.000000001,F3321&gt;=01_因子設定!$L$6-0.000000001,F3321&lt;=01_因子設定!$M$6+0.000000001,G3321&gt;=01_因子設定!$L$7-0.000000001,G3321&lt;=01_因子設定!$M$7+0.000000001,H3321&gt;=01_因子設定!$L$8-0.000000001,H3321&lt;=01_因子設定!$M$8+0.000000001,IF(01_因子設定!$B$20="Box-Behnken",E3321^2+F3321^2+G3321^2+H3321^2&lt;=2+0.000000001,TRUE()))</f>
        <v>1</v>
      </c>
      <c r="AD3321" s="55" t="n">
        <f aca="false">IF(AC3321,IF(01_因子設定!$B$13="最大化",AA3321-01_因子設定!$B$14,IF(01_因子設定!$B$13="最小化",01_因子設定!$B$15-AB3321,MIN(AA3321-01_因子設定!$B$14,01_因子設定!$B$15-AB3321))),-1E+030)</f>
        <v>0.12016228167905</v>
      </c>
      <c r="AE3321" s="55" t="n">
        <f aca="false">IF(AC3321,IF(01_因子設定!$B$13="最大化",X3321,IF(01_因子設定!$B$13="最小化",-X3321,-ABS(X3321-01_因子設定!$B$16))),-1E+030)</f>
        <v>48.2087719298245</v>
      </c>
      <c r="AF3321" s="55" t="n">
        <f aca="false">AD3321+ROW()*0.000000001</f>
        <v>0.12016560267905</v>
      </c>
      <c r="AG3321" s="55" t="n">
        <f aca="false">AE3321+ROW()*0.000000001</f>
        <v>48.2087752508245</v>
      </c>
    </row>
    <row r="3322" customFormat="false" ht="15" hidden="false" customHeight="false" outlineLevel="0" collapsed="false">
      <c r="A3322" s="0" t="n">
        <v>4</v>
      </c>
      <c r="B3322" s="0" t="n">
        <v>4</v>
      </c>
      <c r="C3322" s="0" t="n">
        <v>8</v>
      </c>
      <c r="D3322" s="0" t="n">
        <v>5</v>
      </c>
      <c r="E3322" s="0" t="n">
        <f aca="false">-1+A3322*0.25</f>
        <v>0</v>
      </c>
      <c r="F3322" s="0" t="n">
        <f aca="false">-1+B3322*0.25</f>
        <v>0</v>
      </c>
      <c r="G3322" s="0" t="n">
        <f aca="false">-1+C3322*0.25</f>
        <v>1</v>
      </c>
      <c r="H3322" s="0" t="n">
        <f aca="false">-1+D3322*0.25</f>
        <v>0.25</v>
      </c>
      <c r="I3322" s="0" t="n">
        <f aca="false">1</f>
        <v>1</v>
      </c>
      <c r="J3322" s="0" t="n">
        <f aca="false">E3322</f>
        <v>0</v>
      </c>
      <c r="K3322" s="0" t="n">
        <f aca="false">F3322</f>
        <v>0</v>
      </c>
      <c r="L3322" s="0" t="n">
        <f aca="false">G3322</f>
        <v>1</v>
      </c>
      <c r="M3322" s="0" t="n">
        <f aca="false">H3322</f>
        <v>0.25</v>
      </c>
      <c r="N3322" s="0" t="n">
        <f aca="false">E3322*F3322</f>
        <v>0</v>
      </c>
      <c r="O3322" s="0" t="n">
        <f aca="false">E3322*G3322</f>
        <v>0</v>
      </c>
      <c r="P3322" s="0" t="n">
        <f aca="false">E3322*H3322</f>
        <v>0</v>
      </c>
      <c r="Q3322" s="0" t="n">
        <f aca="false">F3322*G3322</f>
        <v>0</v>
      </c>
      <c r="R3322" s="0" t="n">
        <f aca="false">F3322*H3322</f>
        <v>0</v>
      </c>
      <c r="S3322" s="0" t="n">
        <f aca="false">G3322*H3322</f>
        <v>0.25</v>
      </c>
      <c r="T3322" s="0" t="n">
        <f aca="false">E3322*E3322</f>
        <v>0</v>
      </c>
      <c r="U3322" s="0" t="n">
        <f aca="false">F3322*F3322</f>
        <v>0</v>
      </c>
      <c r="V3322" s="0" t="n">
        <f aca="false">G3322*G3322</f>
        <v>1</v>
      </c>
      <c r="W3322" s="0" t="n">
        <f aca="false">H3322*H3322</f>
        <v>0.0625</v>
      </c>
      <c r="X3322" s="0" t="n">
        <f aca="false">SUMPRODUCT(I3322:W3322,_XtX!$B$96:$P$96)</f>
        <v>48.3581323099415</v>
      </c>
      <c r="Y3322" s="0" t="n">
        <f aca="false">SUMPRODUCT(MMULT(I3322:W3322,_XtX!$B$78:$P$92),I3322:W3322)</f>
        <v>0.476722404970761</v>
      </c>
      <c r="Z3322" s="0" t="n">
        <f aca="false">04_回帰ANOVA!$K$19*04_回帰ANOVA!$K$14*SQRT(1+Y3322)</f>
        <v>1.58397318352695</v>
      </c>
      <c r="AA3322" s="0" t="n">
        <f aca="false">X3322-Z3322</f>
        <v>46.7741591264145</v>
      </c>
      <c r="AB3322" s="0" t="n">
        <f aca="false">X3322+Z3322</f>
        <v>49.9421054934684</v>
      </c>
      <c r="AC3322" s="54" t="b">
        <f aca="false">AND(E3322&gt;=01_因子設定!$L$5-0.000000001,E3322&lt;=01_因子設定!$M$5+0.000000001,F3322&gt;=01_因子設定!$L$6-0.000000001,F3322&lt;=01_因子設定!$M$6+0.000000001,G3322&gt;=01_因子設定!$L$7-0.000000001,G3322&lt;=01_因子設定!$M$7+0.000000001,H3322&gt;=01_因子設定!$L$8-0.000000001,H3322&lt;=01_因子設定!$M$8+0.000000001,IF(01_因子設定!$B$20="Box-Behnken",E3322^2+F3322^2+G3322^2+H3322^2&lt;=2+0.000000001,TRUE()))</f>
        <v>1</v>
      </c>
      <c r="AD3322" s="55" t="n">
        <f aca="false">IF(AC3322,IF(01_因子設定!$B$13="最大化",AA3322-01_因子設定!$B$14,IF(01_因子設定!$B$13="最小化",01_因子設定!$B$15-AB3322,MIN(AA3322-01_因子設定!$B$14,01_因子設定!$B$15-AB3322))),-1E+030)</f>
        <v>0.274159126414517</v>
      </c>
      <c r="AE3322" s="55" t="n">
        <f aca="false">IF(AC3322,IF(01_因子設定!$B$13="最大化",X3322,IF(01_因子設定!$B$13="最小化",-X3322,-ABS(X3322-01_因子設定!$B$16))),-1E+030)</f>
        <v>48.3581323099415</v>
      </c>
      <c r="AF3322" s="55" t="n">
        <f aca="false">AD3322+ROW()*0.000000001</f>
        <v>0.274162448414517</v>
      </c>
      <c r="AG3322" s="55" t="n">
        <f aca="false">AE3322+ROW()*0.000000001</f>
        <v>48.3581356319415</v>
      </c>
    </row>
    <row r="3323" customFormat="false" ht="15" hidden="false" customHeight="false" outlineLevel="0" collapsed="false">
      <c r="A3323" s="0" t="n">
        <v>4</v>
      </c>
      <c r="B3323" s="0" t="n">
        <v>4</v>
      </c>
      <c r="C3323" s="0" t="n">
        <v>8</v>
      </c>
      <c r="D3323" s="0" t="n">
        <v>6</v>
      </c>
      <c r="E3323" s="0" t="n">
        <f aca="false">-1+A3323*0.25</f>
        <v>0</v>
      </c>
      <c r="F3323" s="0" t="n">
        <f aca="false">-1+B3323*0.25</f>
        <v>0</v>
      </c>
      <c r="G3323" s="0" t="n">
        <f aca="false">-1+C3323*0.25</f>
        <v>1</v>
      </c>
      <c r="H3323" s="0" t="n">
        <f aca="false">-1+D3323*0.25</f>
        <v>0.5</v>
      </c>
      <c r="I3323" s="0" t="n">
        <f aca="false">1</f>
        <v>1</v>
      </c>
      <c r="J3323" s="0" t="n">
        <f aca="false">E3323</f>
        <v>0</v>
      </c>
      <c r="K3323" s="0" t="n">
        <f aca="false">F3323</f>
        <v>0</v>
      </c>
      <c r="L3323" s="0" t="n">
        <f aca="false">G3323</f>
        <v>1</v>
      </c>
      <c r="M3323" s="0" t="n">
        <f aca="false">H3323</f>
        <v>0.5</v>
      </c>
      <c r="N3323" s="0" t="n">
        <f aca="false">E3323*F3323</f>
        <v>0</v>
      </c>
      <c r="O3323" s="0" t="n">
        <f aca="false">E3323*G3323</f>
        <v>0</v>
      </c>
      <c r="P3323" s="0" t="n">
        <f aca="false">E3323*H3323</f>
        <v>0</v>
      </c>
      <c r="Q3323" s="0" t="n">
        <f aca="false">F3323*G3323</f>
        <v>0</v>
      </c>
      <c r="R3323" s="0" t="n">
        <f aca="false">F3323*H3323</f>
        <v>0</v>
      </c>
      <c r="S3323" s="0" t="n">
        <f aca="false">G3323*H3323</f>
        <v>0.5</v>
      </c>
      <c r="T3323" s="0" t="n">
        <f aca="false">E3323*E3323</f>
        <v>0</v>
      </c>
      <c r="U3323" s="0" t="n">
        <f aca="false">F3323*F3323</f>
        <v>0</v>
      </c>
      <c r="V3323" s="0" t="n">
        <f aca="false">G3323*G3323</f>
        <v>1</v>
      </c>
      <c r="W3323" s="0" t="n">
        <f aca="false">H3323*H3323</f>
        <v>0.25</v>
      </c>
      <c r="X3323" s="0" t="n">
        <f aca="false">SUMPRODUCT(I3323:W3323,_XtX!$B$96:$P$96)</f>
        <v>48.4596856725146</v>
      </c>
      <c r="Y3323" s="0" t="n">
        <f aca="false">SUMPRODUCT(MMULT(I3323:W3323,_XtX!$B$78:$P$92),I3323:W3323)</f>
        <v>0.468841374269006</v>
      </c>
      <c r="Z3323" s="0" t="n">
        <f aca="false">04_回帰ANOVA!$K$19*04_回帰ANOVA!$K$14*SQRT(1+Y3323)</f>
        <v>1.57974082366087</v>
      </c>
      <c r="AA3323" s="0" t="n">
        <f aca="false">X3323-Z3323</f>
        <v>46.8799448488537</v>
      </c>
      <c r="AB3323" s="0" t="n">
        <f aca="false">X3323+Z3323</f>
        <v>50.0394264961754</v>
      </c>
      <c r="AC3323" s="54" t="b">
        <f aca="false">AND(E3323&gt;=01_因子設定!$L$5-0.000000001,E3323&lt;=01_因子設定!$M$5+0.000000001,F3323&gt;=01_因子設定!$L$6-0.000000001,F3323&lt;=01_因子設定!$M$6+0.000000001,G3323&gt;=01_因子設定!$L$7-0.000000001,G3323&lt;=01_因子設定!$M$7+0.000000001,H3323&gt;=01_因子設定!$L$8-0.000000001,H3323&lt;=01_因子設定!$M$8+0.000000001,IF(01_因子設定!$B$20="Box-Behnken",E3323^2+F3323^2+G3323^2+H3323^2&lt;=2+0.000000001,TRUE()))</f>
        <v>1</v>
      </c>
      <c r="AD3323" s="55" t="n">
        <f aca="false">IF(AC3323,IF(01_因子設定!$B$13="最大化",AA3323-01_因子設定!$B$14,IF(01_因子設定!$B$13="最小化",01_因子設定!$B$15-AB3323,MIN(AA3323-01_因子設定!$B$14,01_因子設定!$B$15-AB3323))),-1E+030)</f>
        <v>0.37994484885369</v>
      </c>
      <c r="AE3323" s="55" t="n">
        <f aca="false">IF(AC3323,IF(01_因子設定!$B$13="最大化",X3323,IF(01_因子設定!$B$13="最小化",-X3323,-ABS(X3323-01_因子設定!$B$16))),-1E+030)</f>
        <v>48.4596856725146</v>
      </c>
      <c r="AF3323" s="55" t="n">
        <f aca="false">AD3323+ROW()*0.000000001</f>
        <v>0.37994817185369</v>
      </c>
      <c r="AG3323" s="55" t="n">
        <f aca="false">AE3323+ROW()*0.000000001</f>
        <v>48.4596889955146</v>
      </c>
    </row>
    <row r="3324" customFormat="false" ht="15" hidden="false" customHeight="false" outlineLevel="0" collapsed="false">
      <c r="A3324" s="0" t="n">
        <v>4</v>
      </c>
      <c r="B3324" s="0" t="n">
        <v>4</v>
      </c>
      <c r="C3324" s="0" t="n">
        <v>8</v>
      </c>
      <c r="D3324" s="0" t="n">
        <v>7</v>
      </c>
      <c r="E3324" s="0" t="n">
        <f aca="false">-1+A3324*0.25</f>
        <v>0</v>
      </c>
      <c r="F3324" s="0" t="n">
        <f aca="false">-1+B3324*0.25</f>
        <v>0</v>
      </c>
      <c r="G3324" s="0" t="n">
        <f aca="false">-1+C3324*0.25</f>
        <v>1</v>
      </c>
      <c r="H3324" s="0" t="n">
        <f aca="false">-1+D3324*0.25</f>
        <v>0.75</v>
      </c>
      <c r="I3324" s="0" t="n">
        <f aca="false">1</f>
        <v>1</v>
      </c>
      <c r="J3324" s="0" t="n">
        <f aca="false">E3324</f>
        <v>0</v>
      </c>
      <c r="K3324" s="0" t="n">
        <f aca="false">F3324</f>
        <v>0</v>
      </c>
      <c r="L3324" s="0" t="n">
        <f aca="false">G3324</f>
        <v>1</v>
      </c>
      <c r="M3324" s="0" t="n">
        <f aca="false">H3324</f>
        <v>0.75</v>
      </c>
      <c r="N3324" s="0" t="n">
        <f aca="false">E3324*F3324</f>
        <v>0</v>
      </c>
      <c r="O3324" s="0" t="n">
        <f aca="false">E3324*G3324</f>
        <v>0</v>
      </c>
      <c r="P3324" s="0" t="n">
        <f aca="false">E3324*H3324</f>
        <v>0</v>
      </c>
      <c r="Q3324" s="0" t="n">
        <f aca="false">F3324*G3324</f>
        <v>0</v>
      </c>
      <c r="R3324" s="0" t="n">
        <f aca="false">F3324*H3324</f>
        <v>0</v>
      </c>
      <c r="S3324" s="0" t="n">
        <f aca="false">G3324*H3324</f>
        <v>0.75</v>
      </c>
      <c r="T3324" s="0" t="n">
        <f aca="false">E3324*E3324</f>
        <v>0</v>
      </c>
      <c r="U3324" s="0" t="n">
        <f aca="false">F3324*F3324</f>
        <v>0</v>
      </c>
      <c r="V3324" s="0" t="n">
        <f aca="false">G3324*G3324</f>
        <v>1</v>
      </c>
      <c r="W3324" s="0" t="n">
        <f aca="false">H3324*H3324</f>
        <v>0.5625</v>
      </c>
      <c r="X3324" s="0" t="n">
        <f aca="false">SUMPRODUCT(I3324:W3324,_XtX!$B$96:$P$96)</f>
        <v>48.5134320175438</v>
      </c>
      <c r="Y3324" s="0" t="n">
        <f aca="false">SUMPRODUCT(MMULT(I3324:W3324,_XtX!$B$78:$P$92),I3324:W3324)</f>
        <v>0.516013340643275</v>
      </c>
      <c r="Z3324" s="0" t="n">
        <f aca="false">04_回帰ANOVA!$K$19*04_回帰ANOVA!$K$14*SQRT(1+Y3324)</f>
        <v>1.60490712175667</v>
      </c>
      <c r="AA3324" s="0" t="n">
        <f aca="false">X3324-Z3324</f>
        <v>46.9085248957872</v>
      </c>
      <c r="AB3324" s="0" t="n">
        <f aca="false">X3324+Z3324</f>
        <v>50.1183391393005</v>
      </c>
      <c r="AC3324" s="54" t="b">
        <f aca="false">AND(E3324&gt;=01_因子設定!$L$5-0.000000001,E3324&lt;=01_因子設定!$M$5+0.000000001,F3324&gt;=01_因子設定!$L$6-0.000000001,F3324&lt;=01_因子設定!$M$6+0.000000001,G3324&gt;=01_因子設定!$L$7-0.000000001,G3324&lt;=01_因子設定!$M$7+0.000000001,H3324&gt;=01_因子設定!$L$8-0.000000001,H3324&lt;=01_因子設定!$M$8+0.000000001,IF(01_因子設定!$B$20="Box-Behnken",E3324^2+F3324^2+G3324^2+H3324^2&lt;=2+0.000000001,TRUE()))</f>
        <v>1</v>
      </c>
      <c r="AD3324" s="55" t="n">
        <f aca="false">IF(AC3324,IF(01_因子設定!$B$13="最大化",AA3324-01_因子設定!$B$14,IF(01_因子設定!$B$13="最小化",01_因子設定!$B$15-AB3324,MIN(AA3324-01_因子設定!$B$14,01_因子設定!$B$15-AB3324))),-1E+030)</f>
        <v>0.408524895787153</v>
      </c>
      <c r="AE3324" s="55" t="n">
        <f aca="false">IF(AC3324,IF(01_因子設定!$B$13="最大化",X3324,IF(01_因子設定!$B$13="最小化",-X3324,-ABS(X3324-01_因子設定!$B$16))),-1E+030)</f>
        <v>48.5134320175438</v>
      </c>
      <c r="AF3324" s="55" t="n">
        <f aca="false">AD3324+ROW()*0.000000001</f>
        <v>0.408528219787153</v>
      </c>
      <c r="AG3324" s="55" t="n">
        <f aca="false">AE3324+ROW()*0.000000001</f>
        <v>48.5134353415438</v>
      </c>
    </row>
    <row r="3325" customFormat="false" ht="15" hidden="false" customHeight="false" outlineLevel="0" collapsed="false">
      <c r="A3325" s="0" t="n">
        <v>4</v>
      </c>
      <c r="B3325" s="0" t="n">
        <v>4</v>
      </c>
      <c r="C3325" s="0" t="n">
        <v>8</v>
      </c>
      <c r="D3325" s="0" t="n">
        <v>8</v>
      </c>
      <c r="E3325" s="0" t="n">
        <f aca="false">-1+A3325*0.25</f>
        <v>0</v>
      </c>
      <c r="F3325" s="0" t="n">
        <f aca="false">-1+B3325*0.25</f>
        <v>0</v>
      </c>
      <c r="G3325" s="0" t="n">
        <f aca="false">-1+C3325*0.25</f>
        <v>1</v>
      </c>
      <c r="H3325" s="0" t="n">
        <f aca="false">-1+D3325*0.25</f>
        <v>1</v>
      </c>
      <c r="I3325" s="0" t="n">
        <f aca="false">1</f>
        <v>1</v>
      </c>
      <c r="J3325" s="0" t="n">
        <f aca="false">E3325</f>
        <v>0</v>
      </c>
      <c r="K3325" s="0" t="n">
        <f aca="false">F3325</f>
        <v>0</v>
      </c>
      <c r="L3325" s="0" t="n">
        <f aca="false">G3325</f>
        <v>1</v>
      </c>
      <c r="M3325" s="0" t="n">
        <f aca="false">H3325</f>
        <v>1</v>
      </c>
      <c r="N3325" s="0" t="n">
        <f aca="false">E3325*F3325</f>
        <v>0</v>
      </c>
      <c r="O3325" s="0" t="n">
        <f aca="false">E3325*G3325</f>
        <v>0</v>
      </c>
      <c r="P3325" s="0" t="n">
        <f aca="false">E3325*H3325</f>
        <v>0</v>
      </c>
      <c r="Q3325" s="0" t="n">
        <f aca="false">F3325*G3325</f>
        <v>0</v>
      </c>
      <c r="R3325" s="0" t="n">
        <f aca="false">F3325*H3325</f>
        <v>0</v>
      </c>
      <c r="S3325" s="0" t="n">
        <f aca="false">G3325*H3325</f>
        <v>1</v>
      </c>
      <c r="T3325" s="0" t="n">
        <f aca="false">E3325*E3325</f>
        <v>0</v>
      </c>
      <c r="U3325" s="0" t="n">
        <f aca="false">F3325*F3325</f>
        <v>0</v>
      </c>
      <c r="V3325" s="0" t="n">
        <f aca="false">G3325*G3325</f>
        <v>1</v>
      </c>
      <c r="W3325" s="0" t="n">
        <f aca="false">H3325*H3325</f>
        <v>1</v>
      </c>
      <c r="X3325" s="0" t="n">
        <f aca="false">SUMPRODUCT(I3325:W3325,_XtX!$B$96:$P$96)</f>
        <v>48.5193713450292</v>
      </c>
      <c r="Y3325" s="0" t="n">
        <f aca="false">SUMPRODUCT(MMULT(I3325:W3325,_XtX!$B$78:$P$92),I3325:W3325)</f>
        <v>0.708698830409357</v>
      </c>
      <c r="Z3325" s="0" t="n">
        <f aca="false">04_回帰ANOVA!$K$19*04_回帰ANOVA!$K$14*SQRT(1+Y3325)</f>
        <v>1.70384919651719</v>
      </c>
      <c r="AA3325" s="0" t="n">
        <f aca="false">X3325-Z3325</f>
        <v>46.815522148512</v>
      </c>
      <c r="AB3325" s="0" t="n">
        <f aca="false">X3325+Z3325</f>
        <v>50.2232205415464</v>
      </c>
      <c r="AC3325" s="54" t="b">
        <f aca="false">AND(E3325&gt;=01_因子設定!$L$5-0.000000001,E3325&lt;=01_因子設定!$M$5+0.000000001,F3325&gt;=01_因子設定!$L$6-0.000000001,F3325&lt;=01_因子設定!$M$6+0.000000001,G3325&gt;=01_因子設定!$L$7-0.000000001,G3325&lt;=01_因子設定!$M$7+0.000000001,H3325&gt;=01_因子設定!$L$8-0.000000001,H3325&lt;=01_因子設定!$M$8+0.000000001,IF(01_因子設定!$B$20="Box-Behnken",E3325^2+F3325^2+G3325^2+H3325^2&lt;=2+0.000000001,TRUE()))</f>
        <v>1</v>
      </c>
      <c r="AD3325" s="55" t="n">
        <f aca="false">IF(AC3325,IF(01_因子設定!$B$13="最大化",AA3325-01_因子設定!$B$14,IF(01_因子設定!$B$13="最小化",01_因子設定!$B$15-AB3325,MIN(AA3325-01_因子設定!$B$14,01_因子設定!$B$15-AB3325))),-1E+030)</f>
        <v>0.315522148512024</v>
      </c>
      <c r="AE3325" s="55" t="n">
        <f aca="false">IF(AC3325,IF(01_因子設定!$B$13="最大化",X3325,IF(01_因子設定!$B$13="最小化",-X3325,-ABS(X3325-01_因子設定!$B$16))),-1E+030)</f>
        <v>48.5193713450292</v>
      </c>
      <c r="AF3325" s="55" t="n">
        <f aca="false">AD3325+ROW()*0.000000001</f>
        <v>0.315525473512024</v>
      </c>
      <c r="AG3325" s="55" t="n">
        <f aca="false">AE3325+ROW()*0.000000001</f>
        <v>48.5193746700292</v>
      </c>
    </row>
    <row r="3326" customFormat="false" ht="15" hidden="false" customHeight="false" outlineLevel="0" collapsed="false">
      <c r="A3326" s="0" t="n">
        <v>4</v>
      </c>
      <c r="B3326" s="0" t="n">
        <v>5</v>
      </c>
      <c r="C3326" s="0" t="n">
        <v>0</v>
      </c>
      <c r="D3326" s="0" t="n">
        <v>0</v>
      </c>
      <c r="E3326" s="0" t="n">
        <f aca="false">-1+A3326*0.25</f>
        <v>0</v>
      </c>
      <c r="F3326" s="0" t="n">
        <f aca="false">-1+B3326*0.25</f>
        <v>0.25</v>
      </c>
      <c r="G3326" s="0" t="n">
        <f aca="false">-1+C3326*0.25</f>
        <v>-1</v>
      </c>
      <c r="H3326" s="0" t="n">
        <f aca="false">-1+D3326*0.25</f>
        <v>-1</v>
      </c>
      <c r="I3326" s="0" t="n">
        <f aca="false">1</f>
        <v>1</v>
      </c>
      <c r="J3326" s="0" t="n">
        <f aca="false">E3326</f>
        <v>0</v>
      </c>
      <c r="K3326" s="0" t="n">
        <f aca="false">F3326</f>
        <v>0.25</v>
      </c>
      <c r="L3326" s="0" t="n">
        <f aca="false">G3326</f>
        <v>-1</v>
      </c>
      <c r="M3326" s="0" t="n">
        <f aca="false">H3326</f>
        <v>-1</v>
      </c>
      <c r="N3326" s="0" t="n">
        <f aca="false">E3326*F3326</f>
        <v>0</v>
      </c>
      <c r="O3326" s="0" t="n">
        <f aca="false">E3326*G3326</f>
        <v>-0</v>
      </c>
      <c r="P3326" s="0" t="n">
        <f aca="false">E3326*H3326</f>
        <v>-0</v>
      </c>
      <c r="Q3326" s="0" t="n">
        <f aca="false">F3326*G3326</f>
        <v>-0.25</v>
      </c>
      <c r="R3326" s="0" t="n">
        <f aca="false">F3326*H3326</f>
        <v>-0.25</v>
      </c>
      <c r="S3326" s="0" t="n">
        <f aca="false">G3326*H3326</f>
        <v>1</v>
      </c>
      <c r="T3326" s="0" t="n">
        <f aca="false">E3326*E3326</f>
        <v>0</v>
      </c>
      <c r="U3326" s="0" t="n">
        <f aca="false">F3326*F3326</f>
        <v>0.0625</v>
      </c>
      <c r="V3326" s="0" t="n">
        <f aca="false">G3326*G3326</f>
        <v>1</v>
      </c>
      <c r="W3326" s="0" t="n">
        <f aca="false">H3326*H3326</f>
        <v>1</v>
      </c>
      <c r="X3326" s="0" t="n">
        <f aca="false">SUMPRODUCT(I3326:W3326,_XtX!$B$96:$P$96)</f>
        <v>46.0788011695906</v>
      </c>
      <c r="Y3326" s="0" t="n">
        <f aca="false">SUMPRODUCT(MMULT(I3326:W3326,_XtX!$B$78:$P$92),I3326:W3326)</f>
        <v>0.689692982456141</v>
      </c>
      <c r="Z3326" s="0" t="n">
        <f aca="false">04_回帰ANOVA!$K$19*04_回帰ANOVA!$K$14*SQRT(1+Y3326)</f>
        <v>1.69434674594998</v>
      </c>
      <c r="AA3326" s="0" t="n">
        <f aca="false">X3326-Z3326</f>
        <v>44.3844544236406</v>
      </c>
      <c r="AB3326" s="0" t="n">
        <f aca="false">X3326+Z3326</f>
        <v>47.7731479155406</v>
      </c>
      <c r="AC3326" s="54" t="b">
        <f aca="false">AND(E3326&gt;=01_因子設定!$L$5-0.000000001,E3326&lt;=01_因子設定!$M$5+0.000000001,F3326&gt;=01_因子設定!$L$6-0.000000001,F3326&lt;=01_因子設定!$M$6+0.000000001,G3326&gt;=01_因子設定!$L$7-0.000000001,G3326&lt;=01_因子設定!$M$7+0.000000001,H3326&gt;=01_因子設定!$L$8-0.000000001,H3326&lt;=01_因子設定!$M$8+0.000000001,IF(01_因子設定!$B$20="Box-Behnken",E3326^2+F3326^2+G3326^2+H3326^2&lt;=2+0.000000001,TRUE()))</f>
        <v>1</v>
      </c>
      <c r="AD3326" s="55" t="n">
        <f aca="false">IF(AC3326,IF(01_因子設定!$B$13="最大化",AA3326-01_因子設定!$B$14,IF(01_因子設定!$B$13="最小化",01_因子設定!$B$15-AB3326,MIN(AA3326-01_因子設定!$B$14,01_因子設定!$B$15-AB3326))),-1E+030)</f>
        <v>-2.11554557635937</v>
      </c>
      <c r="AE3326" s="55" t="n">
        <f aca="false">IF(AC3326,IF(01_因子設定!$B$13="最大化",X3326,IF(01_因子設定!$B$13="最小化",-X3326,-ABS(X3326-01_因子設定!$B$16))),-1E+030)</f>
        <v>46.0788011695906</v>
      </c>
      <c r="AF3326" s="55" t="n">
        <f aca="false">AD3326+ROW()*0.000000001</f>
        <v>-2.11554225035937</v>
      </c>
      <c r="AG3326" s="55" t="n">
        <f aca="false">AE3326+ROW()*0.000000001</f>
        <v>46.0788044955906</v>
      </c>
    </row>
    <row r="3327" customFormat="false" ht="15" hidden="false" customHeight="false" outlineLevel="0" collapsed="false">
      <c r="A3327" s="0" t="n">
        <v>4</v>
      </c>
      <c r="B3327" s="0" t="n">
        <v>5</v>
      </c>
      <c r="C3327" s="0" t="n">
        <v>0</v>
      </c>
      <c r="D3327" s="0" t="n">
        <v>1</v>
      </c>
      <c r="E3327" s="0" t="n">
        <f aca="false">-1+A3327*0.25</f>
        <v>0</v>
      </c>
      <c r="F3327" s="0" t="n">
        <f aca="false">-1+B3327*0.25</f>
        <v>0.25</v>
      </c>
      <c r="G3327" s="0" t="n">
        <f aca="false">-1+C3327*0.25</f>
        <v>-1</v>
      </c>
      <c r="H3327" s="0" t="n">
        <f aca="false">-1+D3327*0.25</f>
        <v>-0.75</v>
      </c>
      <c r="I3327" s="0" t="n">
        <f aca="false">1</f>
        <v>1</v>
      </c>
      <c r="J3327" s="0" t="n">
        <f aca="false">E3327</f>
        <v>0</v>
      </c>
      <c r="K3327" s="0" t="n">
        <f aca="false">F3327</f>
        <v>0.25</v>
      </c>
      <c r="L3327" s="0" t="n">
        <f aca="false">G3327</f>
        <v>-1</v>
      </c>
      <c r="M3327" s="0" t="n">
        <f aca="false">H3327</f>
        <v>-0.75</v>
      </c>
      <c r="N3327" s="0" t="n">
        <f aca="false">E3327*F3327</f>
        <v>0</v>
      </c>
      <c r="O3327" s="0" t="n">
        <f aca="false">E3327*G3327</f>
        <v>-0</v>
      </c>
      <c r="P3327" s="0" t="n">
        <f aca="false">E3327*H3327</f>
        <v>-0</v>
      </c>
      <c r="Q3327" s="0" t="n">
        <f aca="false">F3327*G3327</f>
        <v>-0.25</v>
      </c>
      <c r="R3327" s="0" t="n">
        <f aca="false">F3327*H3327</f>
        <v>-0.1875</v>
      </c>
      <c r="S3327" s="0" t="n">
        <f aca="false">G3327*H3327</f>
        <v>0.75</v>
      </c>
      <c r="T3327" s="0" t="n">
        <f aca="false">E3327*E3327</f>
        <v>0</v>
      </c>
      <c r="U3327" s="0" t="n">
        <f aca="false">F3327*F3327</f>
        <v>0.0625</v>
      </c>
      <c r="V3327" s="0" t="n">
        <f aca="false">G3327*G3327</f>
        <v>1</v>
      </c>
      <c r="W3327" s="0" t="n">
        <f aca="false">H3327*H3327</f>
        <v>0.5625</v>
      </c>
      <c r="X3327" s="0" t="n">
        <f aca="false">SUMPRODUCT(I3327:W3327,_XtX!$B$96:$P$96)</f>
        <v>46.262358369883</v>
      </c>
      <c r="Y3327" s="0" t="n">
        <f aca="false">SUMPRODUCT(MMULT(I3327:W3327,_XtX!$B$78:$P$92),I3327:W3327)</f>
        <v>0.501534802174708</v>
      </c>
      <c r="Z3327" s="0" t="n">
        <f aca="false">04_回帰ANOVA!$K$19*04_回帰ANOVA!$K$14*SQRT(1+Y3327)</f>
        <v>1.59722498091333</v>
      </c>
      <c r="AA3327" s="0" t="n">
        <f aca="false">X3327-Z3327</f>
        <v>44.6651333889697</v>
      </c>
      <c r="AB3327" s="0" t="n">
        <f aca="false">X3327+Z3327</f>
        <v>47.8595833507963</v>
      </c>
      <c r="AC3327" s="54" t="b">
        <f aca="false">AND(E3327&gt;=01_因子設定!$L$5-0.000000001,E3327&lt;=01_因子設定!$M$5+0.000000001,F3327&gt;=01_因子設定!$L$6-0.000000001,F3327&lt;=01_因子設定!$M$6+0.000000001,G3327&gt;=01_因子設定!$L$7-0.000000001,G3327&lt;=01_因子設定!$M$7+0.000000001,H3327&gt;=01_因子設定!$L$8-0.000000001,H3327&lt;=01_因子設定!$M$8+0.000000001,IF(01_因子設定!$B$20="Box-Behnken",E3327^2+F3327^2+G3327^2+H3327^2&lt;=2+0.000000001,TRUE()))</f>
        <v>1</v>
      </c>
      <c r="AD3327" s="55" t="n">
        <f aca="false">IF(AC3327,IF(01_因子設定!$B$13="最大化",AA3327-01_因子設定!$B$14,IF(01_因子設定!$B$13="最小化",01_因子設定!$B$15-AB3327,MIN(AA3327-01_因子設定!$B$14,01_因子設定!$B$15-AB3327))),-1E+030)</f>
        <v>-1.83486661103033</v>
      </c>
      <c r="AE3327" s="55" t="n">
        <f aca="false">IF(AC3327,IF(01_因子設定!$B$13="最大化",X3327,IF(01_因子設定!$B$13="最小化",-X3327,-ABS(X3327-01_因子設定!$B$16))),-1E+030)</f>
        <v>46.262358369883</v>
      </c>
      <c r="AF3327" s="55" t="n">
        <f aca="false">AD3327+ROW()*0.000000001</f>
        <v>-1.83486328403033</v>
      </c>
      <c r="AG3327" s="55" t="n">
        <f aca="false">AE3327+ROW()*0.000000001</f>
        <v>46.262361696883</v>
      </c>
    </row>
    <row r="3328" customFormat="false" ht="15" hidden="false" customHeight="false" outlineLevel="0" collapsed="false">
      <c r="A3328" s="0" t="n">
        <v>4</v>
      </c>
      <c r="B3328" s="0" t="n">
        <v>5</v>
      </c>
      <c r="C3328" s="0" t="n">
        <v>0</v>
      </c>
      <c r="D3328" s="0" t="n">
        <v>2</v>
      </c>
      <c r="E3328" s="0" t="n">
        <f aca="false">-1+A3328*0.25</f>
        <v>0</v>
      </c>
      <c r="F3328" s="0" t="n">
        <f aca="false">-1+B3328*0.25</f>
        <v>0.25</v>
      </c>
      <c r="G3328" s="0" t="n">
        <f aca="false">-1+C3328*0.25</f>
        <v>-1</v>
      </c>
      <c r="H3328" s="0" t="n">
        <f aca="false">-1+D3328*0.25</f>
        <v>-0.5</v>
      </c>
      <c r="I3328" s="0" t="n">
        <f aca="false">1</f>
        <v>1</v>
      </c>
      <c r="J3328" s="0" t="n">
        <f aca="false">E3328</f>
        <v>0</v>
      </c>
      <c r="K3328" s="0" t="n">
        <f aca="false">F3328</f>
        <v>0.25</v>
      </c>
      <c r="L3328" s="0" t="n">
        <f aca="false">G3328</f>
        <v>-1</v>
      </c>
      <c r="M3328" s="0" t="n">
        <f aca="false">H3328</f>
        <v>-0.5</v>
      </c>
      <c r="N3328" s="0" t="n">
        <f aca="false">E3328*F3328</f>
        <v>0</v>
      </c>
      <c r="O3328" s="0" t="n">
        <f aca="false">E3328*G3328</f>
        <v>-0</v>
      </c>
      <c r="P3328" s="0" t="n">
        <f aca="false">E3328*H3328</f>
        <v>-0</v>
      </c>
      <c r="Q3328" s="0" t="n">
        <f aca="false">F3328*G3328</f>
        <v>-0.25</v>
      </c>
      <c r="R3328" s="0" t="n">
        <f aca="false">F3328*H3328</f>
        <v>-0.125</v>
      </c>
      <c r="S3328" s="0" t="n">
        <f aca="false">G3328*H3328</f>
        <v>0.5</v>
      </c>
      <c r="T3328" s="0" t="n">
        <f aca="false">E3328*E3328</f>
        <v>0</v>
      </c>
      <c r="U3328" s="0" t="n">
        <f aca="false">F3328*F3328</f>
        <v>0.0625</v>
      </c>
      <c r="V3328" s="0" t="n">
        <f aca="false">G3328*G3328</f>
        <v>1</v>
      </c>
      <c r="W3328" s="0" t="n">
        <f aca="false">H3328*H3328</f>
        <v>0.25</v>
      </c>
      <c r="X3328" s="0" t="n">
        <f aca="false">SUMPRODUCT(I3328:W3328,_XtX!$B$96:$P$96)</f>
        <v>46.3981085526315</v>
      </c>
      <c r="Y3328" s="0" t="n">
        <f aca="false">SUMPRODUCT(MMULT(I3328:W3328,_XtX!$B$78:$P$92),I3328:W3328)</f>
        <v>0.457596628289474</v>
      </c>
      <c r="Z3328" s="0" t="n">
        <f aca="false">04_回帰ANOVA!$K$19*04_回帰ANOVA!$K$14*SQRT(1+Y3328)</f>
        <v>1.57368233664366</v>
      </c>
      <c r="AA3328" s="0" t="n">
        <f aca="false">X3328-Z3328</f>
        <v>44.8244262159879</v>
      </c>
      <c r="AB3328" s="0" t="n">
        <f aca="false">X3328+Z3328</f>
        <v>47.9717908892752</v>
      </c>
      <c r="AC3328" s="54" t="b">
        <f aca="false">AND(E3328&gt;=01_因子設定!$L$5-0.000000001,E3328&lt;=01_因子設定!$M$5+0.000000001,F3328&gt;=01_因子設定!$L$6-0.000000001,F3328&lt;=01_因子設定!$M$6+0.000000001,G3328&gt;=01_因子設定!$L$7-0.000000001,G3328&lt;=01_因子設定!$M$7+0.000000001,H3328&gt;=01_因子設定!$L$8-0.000000001,H3328&lt;=01_因子設定!$M$8+0.000000001,IF(01_因子設定!$B$20="Box-Behnken",E3328^2+F3328^2+G3328^2+H3328^2&lt;=2+0.000000001,TRUE()))</f>
        <v>1</v>
      </c>
      <c r="AD3328" s="55" t="n">
        <f aca="false">IF(AC3328,IF(01_因子設定!$B$13="最大化",AA3328-01_因子設定!$B$14,IF(01_因子設定!$B$13="最小化",01_因子設定!$B$15-AB3328,MIN(AA3328-01_因子設定!$B$14,01_因子設定!$B$15-AB3328))),-1E+030)</f>
        <v>-1.67557378401213</v>
      </c>
      <c r="AE3328" s="55" t="n">
        <f aca="false">IF(AC3328,IF(01_因子設定!$B$13="最大化",X3328,IF(01_因子設定!$B$13="最小化",-X3328,-ABS(X3328-01_因子設定!$B$16))),-1E+030)</f>
        <v>46.3981085526315</v>
      </c>
      <c r="AF3328" s="55" t="n">
        <f aca="false">AD3328+ROW()*0.000000001</f>
        <v>-1.67557045601213</v>
      </c>
      <c r="AG3328" s="55" t="n">
        <f aca="false">AE3328+ROW()*0.000000001</f>
        <v>46.3981118806315</v>
      </c>
    </row>
    <row r="3329" customFormat="false" ht="15" hidden="false" customHeight="false" outlineLevel="0" collapsed="false">
      <c r="A3329" s="0" t="n">
        <v>4</v>
      </c>
      <c r="B3329" s="0" t="n">
        <v>5</v>
      </c>
      <c r="C3329" s="0" t="n">
        <v>0</v>
      </c>
      <c r="D3329" s="0" t="n">
        <v>3</v>
      </c>
      <c r="E3329" s="0" t="n">
        <f aca="false">-1+A3329*0.25</f>
        <v>0</v>
      </c>
      <c r="F3329" s="0" t="n">
        <f aca="false">-1+B3329*0.25</f>
        <v>0.25</v>
      </c>
      <c r="G3329" s="0" t="n">
        <f aca="false">-1+C3329*0.25</f>
        <v>-1</v>
      </c>
      <c r="H3329" s="0" t="n">
        <f aca="false">-1+D3329*0.25</f>
        <v>-0.25</v>
      </c>
      <c r="I3329" s="0" t="n">
        <f aca="false">1</f>
        <v>1</v>
      </c>
      <c r="J3329" s="0" t="n">
        <f aca="false">E3329</f>
        <v>0</v>
      </c>
      <c r="K3329" s="0" t="n">
        <f aca="false">F3329</f>
        <v>0.25</v>
      </c>
      <c r="L3329" s="0" t="n">
        <f aca="false">G3329</f>
        <v>-1</v>
      </c>
      <c r="M3329" s="0" t="n">
        <f aca="false">H3329</f>
        <v>-0.25</v>
      </c>
      <c r="N3329" s="0" t="n">
        <f aca="false">E3329*F3329</f>
        <v>0</v>
      </c>
      <c r="O3329" s="0" t="n">
        <f aca="false">E3329*G3329</f>
        <v>-0</v>
      </c>
      <c r="P3329" s="0" t="n">
        <f aca="false">E3329*H3329</f>
        <v>-0</v>
      </c>
      <c r="Q3329" s="0" t="n">
        <f aca="false">F3329*G3329</f>
        <v>-0.25</v>
      </c>
      <c r="R3329" s="0" t="n">
        <f aca="false">F3329*H3329</f>
        <v>-0.0625</v>
      </c>
      <c r="S3329" s="0" t="n">
        <f aca="false">G3329*H3329</f>
        <v>0.25</v>
      </c>
      <c r="T3329" s="0" t="n">
        <f aca="false">E3329*E3329</f>
        <v>0</v>
      </c>
      <c r="U3329" s="0" t="n">
        <f aca="false">F3329*F3329</f>
        <v>0.0625</v>
      </c>
      <c r="V3329" s="0" t="n">
        <f aca="false">G3329*G3329</f>
        <v>1</v>
      </c>
      <c r="W3329" s="0" t="n">
        <f aca="false">H3329*H3329</f>
        <v>0.0625</v>
      </c>
      <c r="X3329" s="0" t="n">
        <f aca="false">SUMPRODUCT(I3329:W3329,_XtX!$B$96:$P$96)</f>
        <v>46.4860517178362</v>
      </c>
      <c r="Y3329" s="0" t="n">
        <f aca="false">SUMPRODUCT(MMULT(I3329:W3329,_XtX!$B$78:$P$92),I3329:W3329)</f>
        <v>0.467417934484649</v>
      </c>
      <c r="Z3329" s="0" t="n">
        <f aca="false">04_回帰ANOVA!$K$19*04_回帰ANOVA!$K$14*SQRT(1+Y3329)</f>
        <v>1.57897518244497</v>
      </c>
      <c r="AA3329" s="0" t="n">
        <f aca="false">X3329-Z3329</f>
        <v>44.9070765353912</v>
      </c>
      <c r="AB3329" s="0" t="n">
        <f aca="false">X3329+Z3329</f>
        <v>48.0650269002812</v>
      </c>
      <c r="AC3329" s="54" t="b">
        <f aca="false">AND(E3329&gt;=01_因子設定!$L$5-0.000000001,E3329&lt;=01_因子設定!$M$5+0.000000001,F3329&gt;=01_因子設定!$L$6-0.000000001,F3329&lt;=01_因子設定!$M$6+0.000000001,G3329&gt;=01_因子設定!$L$7-0.000000001,G3329&lt;=01_因子設定!$M$7+0.000000001,H3329&gt;=01_因子設定!$L$8-0.000000001,H3329&lt;=01_因子設定!$M$8+0.000000001,IF(01_因子設定!$B$20="Box-Behnken",E3329^2+F3329^2+G3329^2+H3329^2&lt;=2+0.000000001,TRUE()))</f>
        <v>1</v>
      </c>
      <c r="AD3329" s="55" t="n">
        <f aca="false">IF(AC3329,IF(01_因子設定!$B$13="最大化",AA3329-01_因子設定!$B$14,IF(01_因子設定!$B$13="最小化",01_因子設定!$B$15-AB3329,MIN(AA3329-01_因子設定!$B$14,01_因子設定!$B$15-AB3329))),-1E+030)</f>
        <v>-1.59292346460877</v>
      </c>
      <c r="AE3329" s="55" t="n">
        <f aca="false">IF(AC3329,IF(01_因子設定!$B$13="最大化",X3329,IF(01_因子設定!$B$13="最小化",-X3329,-ABS(X3329-01_因子設定!$B$16))),-1E+030)</f>
        <v>46.4860517178362</v>
      </c>
      <c r="AF3329" s="55" t="n">
        <f aca="false">AD3329+ROW()*0.000000001</f>
        <v>-1.59292013560877</v>
      </c>
      <c r="AG3329" s="55" t="n">
        <f aca="false">AE3329+ROW()*0.000000001</f>
        <v>46.4860550468362</v>
      </c>
    </row>
    <row r="3330" customFormat="false" ht="15" hidden="false" customHeight="false" outlineLevel="0" collapsed="false">
      <c r="A3330" s="0" t="n">
        <v>4</v>
      </c>
      <c r="B3330" s="0" t="n">
        <v>5</v>
      </c>
      <c r="C3330" s="0" t="n">
        <v>0</v>
      </c>
      <c r="D3330" s="0" t="n">
        <v>4</v>
      </c>
      <c r="E3330" s="0" t="n">
        <f aca="false">-1+A3330*0.25</f>
        <v>0</v>
      </c>
      <c r="F3330" s="0" t="n">
        <f aca="false">-1+B3330*0.25</f>
        <v>0.25</v>
      </c>
      <c r="G3330" s="0" t="n">
        <f aca="false">-1+C3330*0.25</f>
        <v>-1</v>
      </c>
      <c r="H3330" s="0" t="n">
        <f aca="false">-1+D3330*0.25</f>
        <v>0</v>
      </c>
      <c r="I3330" s="0" t="n">
        <f aca="false">1</f>
        <v>1</v>
      </c>
      <c r="J3330" s="0" t="n">
        <f aca="false">E3330</f>
        <v>0</v>
      </c>
      <c r="K3330" s="0" t="n">
        <f aca="false">F3330</f>
        <v>0.25</v>
      </c>
      <c r="L3330" s="0" t="n">
        <f aca="false">G3330</f>
        <v>-1</v>
      </c>
      <c r="M3330" s="0" t="n">
        <f aca="false">H3330</f>
        <v>0</v>
      </c>
      <c r="N3330" s="0" t="n">
        <f aca="false">E3330*F3330</f>
        <v>0</v>
      </c>
      <c r="O3330" s="0" t="n">
        <f aca="false">E3330*G3330</f>
        <v>-0</v>
      </c>
      <c r="P3330" s="0" t="n">
        <f aca="false">E3330*H3330</f>
        <v>0</v>
      </c>
      <c r="Q3330" s="0" t="n">
        <f aca="false">F3330*G3330</f>
        <v>-0.25</v>
      </c>
      <c r="R3330" s="0" t="n">
        <f aca="false">F3330*H3330</f>
        <v>0</v>
      </c>
      <c r="S3330" s="0" t="n">
        <f aca="false">G3330*H3330</f>
        <v>-0</v>
      </c>
      <c r="T3330" s="0" t="n">
        <f aca="false">E3330*E3330</f>
        <v>0</v>
      </c>
      <c r="U3330" s="0" t="n">
        <f aca="false">F3330*F3330</f>
        <v>0.0625</v>
      </c>
      <c r="V3330" s="0" t="n">
        <f aca="false">G3330*G3330</f>
        <v>1</v>
      </c>
      <c r="W3330" s="0" t="n">
        <f aca="false">H3330*H3330</f>
        <v>0</v>
      </c>
      <c r="X3330" s="0" t="n">
        <f aca="false">SUMPRODUCT(I3330:W3330,_XtX!$B$96:$P$96)</f>
        <v>46.526187865497</v>
      </c>
      <c r="Y3330" s="0" t="n">
        <f aca="false">SUMPRODUCT(MMULT(I3330:W3330,_XtX!$B$78:$P$92),I3330:W3330)</f>
        <v>0.476722404970761</v>
      </c>
      <c r="Z3330" s="0" t="n">
        <f aca="false">04_回帰ANOVA!$K$19*04_回帰ANOVA!$K$14*SQRT(1+Y3330)</f>
        <v>1.58397318352695</v>
      </c>
      <c r="AA3330" s="0" t="n">
        <f aca="false">X3330-Z3330</f>
        <v>44.9422146819701</v>
      </c>
      <c r="AB3330" s="0" t="n">
        <f aca="false">X3330+Z3330</f>
        <v>48.110161049024</v>
      </c>
      <c r="AC3330" s="54" t="b">
        <f aca="false">AND(E3330&gt;=01_因子設定!$L$5-0.000000001,E3330&lt;=01_因子設定!$M$5+0.000000001,F3330&gt;=01_因子設定!$L$6-0.000000001,F3330&lt;=01_因子設定!$M$6+0.000000001,G3330&gt;=01_因子設定!$L$7-0.000000001,G3330&lt;=01_因子設定!$M$7+0.000000001,H3330&gt;=01_因子設定!$L$8-0.000000001,H3330&lt;=01_因子設定!$M$8+0.000000001,IF(01_因子設定!$B$20="Box-Behnken",E3330^2+F3330^2+G3330^2+H3330^2&lt;=2+0.000000001,TRUE()))</f>
        <v>1</v>
      </c>
      <c r="AD3330" s="55" t="n">
        <f aca="false">IF(AC3330,IF(01_因子設定!$B$13="最大化",AA3330-01_因子設定!$B$14,IF(01_因子設定!$B$13="最小化",01_因子設定!$B$15-AB3330,MIN(AA3330-01_因子設定!$B$14,01_因子設定!$B$15-AB3330))),-1E+030)</f>
        <v>-1.55778531802993</v>
      </c>
      <c r="AE3330" s="55" t="n">
        <f aca="false">IF(AC3330,IF(01_因子設定!$B$13="最大化",X3330,IF(01_因子設定!$B$13="最小化",-X3330,-ABS(X3330-01_因子設定!$B$16))),-1E+030)</f>
        <v>46.526187865497</v>
      </c>
      <c r="AF3330" s="55" t="n">
        <f aca="false">AD3330+ROW()*0.000000001</f>
        <v>-1.55778198802993</v>
      </c>
      <c r="AG3330" s="55" t="n">
        <f aca="false">AE3330+ROW()*0.000000001</f>
        <v>46.526191195497</v>
      </c>
    </row>
    <row r="3331" customFormat="false" ht="15" hidden="false" customHeight="false" outlineLevel="0" collapsed="false">
      <c r="A3331" s="0" t="n">
        <v>4</v>
      </c>
      <c r="B3331" s="0" t="n">
        <v>5</v>
      </c>
      <c r="C3331" s="0" t="n">
        <v>0</v>
      </c>
      <c r="D3331" s="0" t="n">
        <v>5</v>
      </c>
      <c r="E3331" s="0" t="n">
        <f aca="false">-1+A3331*0.25</f>
        <v>0</v>
      </c>
      <c r="F3331" s="0" t="n">
        <f aca="false">-1+B3331*0.25</f>
        <v>0.25</v>
      </c>
      <c r="G3331" s="0" t="n">
        <f aca="false">-1+C3331*0.25</f>
        <v>-1</v>
      </c>
      <c r="H3331" s="0" t="n">
        <f aca="false">-1+D3331*0.25</f>
        <v>0.25</v>
      </c>
      <c r="I3331" s="0" t="n">
        <f aca="false">1</f>
        <v>1</v>
      </c>
      <c r="J3331" s="0" t="n">
        <f aca="false">E3331</f>
        <v>0</v>
      </c>
      <c r="K3331" s="0" t="n">
        <f aca="false">F3331</f>
        <v>0.25</v>
      </c>
      <c r="L3331" s="0" t="n">
        <f aca="false">G3331</f>
        <v>-1</v>
      </c>
      <c r="M3331" s="0" t="n">
        <f aca="false">H3331</f>
        <v>0.25</v>
      </c>
      <c r="N3331" s="0" t="n">
        <f aca="false">E3331*F3331</f>
        <v>0</v>
      </c>
      <c r="O3331" s="0" t="n">
        <f aca="false">E3331*G3331</f>
        <v>-0</v>
      </c>
      <c r="P3331" s="0" t="n">
        <f aca="false">E3331*H3331</f>
        <v>0</v>
      </c>
      <c r="Q3331" s="0" t="n">
        <f aca="false">F3331*G3331</f>
        <v>-0.25</v>
      </c>
      <c r="R3331" s="0" t="n">
        <f aca="false">F3331*H3331</f>
        <v>0.0625</v>
      </c>
      <c r="S3331" s="0" t="n">
        <f aca="false">G3331*H3331</f>
        <v>-0.25</v>
      </c>
      <c r="T3331" s="0" t="n">
        <f aca="false">E3331*E3331</f>
        <v>0</v>
      </c>
      <c r="U3331" s="0" t="n">
        <f aca="false">F3331*F3331</f>
        <v>0.0625</v>
      </c>
      <c r="V3331" s="0" t="n">
        <f aca="false">G3331*G3331</f>
        <v>1</v>
      </c>
      <c r="W3331" s="0" t="n">
        <f aca="false">H3331*H3331</f>
        <v>0.0625</v>
      </c>
      <c r="X3331" s="0" t="n">
        <f aca="false">SUMPRODUCT(I3331:W3331,_XtX!$B$96:$P$96)</f>
        <v>46.518516995614</v>
      </c>
      <c r="Y3331" s="0" t="n">
        <f aca="false">SUMPRODUCT(MMULT(I3331:W3331,_XtX!$B$78:$P$92),I3331:W3331)</f>
        <v>0.467417934484649</v>
      </c>
      <c r="Z3331" s="0" t="n">
        <f aca="false">04_回帰ANOVA!$K$19*04_回帰ANOVA!$K$14*SQRT(1+Y3331)</f>
        <v>1.57897518244497</v>
      </c>
      <c r="AA3331" s="0" t="n">
        <f aca="false">X3331-Z3331</f>
        <v>44.939541813169</v>
      </c>
      <c r="AB3331" s="0" t="n">
        <f aca="false">X3331+Z3331</f>
        <v>48.097492178059</v>
      </c>
      <c r="AC3331" s="54" t="b">
        <f aca="false">AND(E3331&gt;=01_因子設定!$L$5-0.000000001,E3331&lt;=01_因子設定!$M$5+0.000000001,F3331&gt;=01_因子設定!$L$6-0.000000001,F3331&lt;=01_因子設定!$M$6+0.000000001,G3331&gt;=01_因子設定!$L$7-0.000000001,G3331&lt;=01_因子設定!$M$7+0.000000001,H3331&gt;=01_因子設定!$L$8-0.000000001,H3331&lt;=01_因子設定!$M$8+0.000000001,IF(01_因子設定!$B$20="Box-Behnken",E3331^2+F3331^2+G3331^2+H3331^2&lt;=2+0.000000001,TRUE()))</f>
        <v>1</v>
      </c>
      <c r="AD3331" s="55" t="n">
        <f aca="false">IF(AC3331,IF(01_因子設定!$B$13="最大化",AA3331-01_因子設定!$B$14,IF(01_因子設定!$B$13="最小化",01_因子設定!$B$15-AB3331,MIN(AA3331-01_因子設定!$B$14,01_因子設定!$B$15-AB3331))),-1E+030)</f>
        <v>-1.56045818683099</v>
      </c>
      <c r="AE3331" s="55" t="n">
        <f aca="false">IF(AC3331,IF(01_因子設定!$B$13="最大化",X3331,IF(01_因子設定!$B$13="最小化",-X3331,-ABS(X3331-01_因子設定!$B$16))),-1E+030)</f>
        <v>46.518516995614</v>
      </c>
      <c r="AF3331" s="55" t="n">
        <f aca="false">AD3331+ROW()*0.000000001</f>
        <v>-1.56045485583099</v>
      </c>
      <c r="AG3331" s="55" t="n">
        <f aca="false">AE3331+ROW()*0.000000001</f>
        <v>46.518520326614</v>
      </c>
    </row>
    <row r="3332" customFormat="false" ht="15" hidden="false" customHeight="false" outlineLevel="0" collapsed="false">
      <c r="A3332" s="0" t="n">
        <v>4</v>
      </c>
      <c r="B3332" s="0" t="n">
        <v>5</v>
      </c>
      <c r="C3332" s="0" t="n">
        <v>0</v>
      </c>
      <c r="D3332" s="0" t="n">
        <v>6</v>
      </c>
      <c r="E3332" s="0" t="n">
        <f aca="false">-1+A3332*0.25</f>
        <v>0</v>
      </c>
      <c r="F3332" s="0" t="n">
        <f aca="false">-1+B3332*0.25</f>
        <v>0.25</v>
      </c>
      <c r="G3332" s="0" t="n">
        <f aca="false">-1+C3332*0.25</f>
        <v>-1</v>
      </c>
      <c r="H3332" s="0" t="n">
        <f aca="false">-1+D3332*0.25</f>
        <v>0.5</v>
      </c>
      <c r="I3332" s="0" t="n">
        <f aca="false">1</f>
        <v>1</v>
      </c>
      <c r="J3332" s="0" t="n">
        <f aca="false">E3332</f>
        <v>0</v>
      </c>
      <c r="K3332" s="0" t="n">
        <f aca="false">F3332</f>
        <v>0.25</v>
      </c>
      <c r="L3332" s="0" t="n">
        <f aca="false">G3332</f>
        <v>-1</v>
      </c>
      <c r="M3332" s="0" t="n">
        <f aca="false">H3332</f>
        <v>0.5</v>
      </c>
      <c r="N3332" s="0" t="n">
        <f aca="false">E3332*F3332</f>
        <v>0</v>
      </c>
      <c r="O3332" s="0" t="n">
        <f aca="false">E3332*G3332</f>
        <v>-0</v>
      </c>
      <c r="P3332" s="0" t="n">
        <f aca="false">E3332*H3332</f>
        <v>0</v>
      </c>
      <c r="Q3332" s="0" t="n">
        <f aca="false">F3332*G3332</f>
        <v>-0.25</v>
      </c>
      <c r="R3332" s="0" t="n">
        <f aca="false">F3332*H3332</f>
        <v>0.125</v>
      </c>
      <c r="S3332" s="0" t="n">
        <f aca="false">G3332*H3332</f>
        <v>-0.5</v>
      </c>
      <c r="T3332" s="0" t="n">
        <f aca="false">E3332*E3332</f>
        <v>0</v>
      </c>
      <c r="U3332" s="0" t="n">
        <f aca="false">F3332*F3332</f>
        <v>0.0625</v>
      </c>
      <c r="V3332" s="0" t="n">
        <f aca="false">G3332*G3332</f>
        <v>1</v>
      </c>
      <c r="W3332" s="0" t="n">
        <f aca="false">H3332*H3332</f>
        <v>0.25</v>
      </c>
      <c r="X3332" s="0" t="n">
        <f aca="false">SUMPRODUCT(I3332:W3332,_XtX!$B$96:$P$96)</f>
        <v>46.4630391081871</v>
      </c>
      <c r="Y3332" s="0" t="n">
        <f aca="false">SUMPRODUCT(MMULT(I3332:W3332,_XtX!$B$78:$P$92),I3332:W3332)</f>
        <v>0.457596628289474</v>
      </c>
      <c r="Z3332" s="0" t="n">
        <f aca="false">04_回帰ANOVA!$K$19*04_回帰ANOVA!$K$14*SQRT(1+Y3332)</f>
        <v>1.57368233664366</v>
      </c>
      <c r="AA3332" s="0" t="n">
        <f aca="false">X3332-Z3332</f>
        <v>44.8893567715434</v>
      </c>
      <c r="AB3332" s="0" t="n">
        <f aca="false">X3332+Z3332</f>
        <v>48.0367214448307</v>
      </c>
      <c r="AC3332" s="54" t="b">
        <f aca="false">AND(E3332&gt;=01_因子設定!$L$5-0.000000001,E3332&lt;=01_因子設定!$M$5+0.000000001,F3332&gt;=01_因子設定!$L$6-0.000000001,F3332&lt;=01_因子設定!$M$6+0.000000001,G3332&gt;=01_因子設定!$L$7-0.000000001,G3332&lt;=01_因子設定!$M$7+0.000000001,H3332&gt;=01_因子設定!$L$8-0.000000001,H3332&lt;=01_因子設定!$M$8+0.000000001,IF(01_因子設定!$B$20="Box-Behnken",E3332^2+F3332^2+G3332^2+H3332^2&lt;=2+0.000000001,TRUE()))</f>
        <v>1</v>
      </c>
      <c r="AD3332" s="55" t="n">
        <f aca="false">IF(AC3332,IF(01_因子設定!$B$13="最大化",AA3332-01_因子設定!$B$14,IF(01_因子設定!$B$13="最小化",01_因子設定!$B$15-AB3332,MIN(AA3332-01_因子設定!$B$14,01_因子設定!$B$15-AB3332))),-1E+030)</f>
        <v>-1.61064322845657</v>
      </c>
      <c r="AE3332" s="55" t="n">
        <f aca="false">IF(AC3332,IF(01_因子設定!$B$13="最大化",X3332,IF(01_因子設定!$B$13="最小化",-X3332,-ABS(X3332-01_因子設定!$B$16))),-1E+030)</f>
        <v>46.4630391081871</v>
      </c>
      <c r="AF3332" s="55" t="n">
        <f aca="false">AD3332+ROW()*0.000000001</f>
        <v>-1.61063989645657</v>
      </c>
      <c r="AG3332" s="55" t="n">
        <f aca="false">AE3332+ROW()*0.000000001</f>
        <v>46.4630424401871</v>
      </c>
    </row>
    <row r="3333" customFormat="false" ht="15" hidden="false" customHeight="false" outlineLevel="0" collapsed="false">
      <c r="A3333" s="0" t="n">
        <v>4</v>
      </c>
      <c r="B3333" s="0" t="n">
        <v>5</v>
      </c>
      <c r="C3333" s="0" t="n">
        <v>0</v>
      </c>
      <c r="D3333" s="0" t="n">
        <v>7</v>
      </c>
      <c r="E3333" s="0" t="n">
        <f aca="false">-1+A3333*0.25</f>
        <v>0</v>
      </c>
      <c r="F3333" s="0" t="n">
        <f aca="false">-1+B3333*0.25</f>
        <v>0.25</v>
      </c>
      <c r="G3333" s="0" t="n">
        <f aca="false">-1+C3333*0.25</f>
        <v>-1</v>
      </c>
      <c r="H3333" s="0" t="n">
        <f aca="false">-1+D3333*0.25</f>
        <v>0.75</v>
      </c>
      <c r="I3333" s="0" t="n">
        <f aca="false">1</f>
        <v>1</v>
      </c>
      <c r="J3333" s="0" t="n">
        <f aca="false">E3333</f>
        <v>0</v>
      </c>
      <c r="K3333" s="0" t="n">
        <f aca="false">F3333</f>
        <v>0.25</v>
      </c>
      <c r="L3333" s="0" t="n">
        <f aca="false">G3333</f>
        <v>-1</v>
      </c>
      <c r="M3333" s="0" t="n">
        <f aca="false">H3333</f>
        <v>0.75</v>
      </c>
      <c r="N3333" s="0" t="n">
        <f aca="false">E3333*F3333</f>
        <v>0</v>
      </c>
      <c r="O3333" s="0" t="n">
        <f aca="false">E3333*G3333</f>
        <v>-0</v>
      </c>
      <c r="P3333" s="0" t="n">
        <f aca="false">E3333*H3333</f>
        <v>0</v>
      </c>
      <c r="Q3333" s="0" t="n">
        <f aca="false">F3333*G3333</f>
        <v>-0.25</v>
      </c>
      <c r="R3333" s="0" t="n">
        <f aca="false">F3333*H3333</f>
        <v>0.1875</v>
      </c>
      <c r="S3333" s="0" t="n">
        <f aca="false">G3333*H3333</f>
        <v>-0.75</v>
      </c>
      <c r="T3333" s="0" t="n">
        <f aca="false">E3333*E3333</f>
        <v>0</v>
      </c>
      <c r="U3333" s="0" t="n">
        <f aca="false">F3333*F3333</f>
        <v>0.0625</v>
      </c>
      <c r="V3333" s="0" t="n">
        <f aca="false">G3333*G3333</f>
        <v>1</v>
      </c>
      <c r="W3333" s="0" t="n">
        <f aca="false">H3333*H3333</f>
        <v>0.5625</v>
      </c>
      <c r="X3333" s="0" t="n">
        <f aca="false">SUMPRODUCT(I3333:W3333,_XtX!$B$96:$P$96)</f>
        <v>46.3597542032163</v>
      </c>
      <c r="Y3333" s="0" t="n">
        <f aca="false">SUMPRODUCT(MMULT(I3333:W3333,_XtX!$B$78:$P$92),I3333:W3333)</f>
        <v>0.501534802174708</v>
      </c>
      <c r="Z3333" s="0" t="n">
        <f aca="false">04_回帰ANOVA!$K$19*04_回帰ANOVA!$K$14*SQRT(1+Y3333)</f>
        <v>1.59722498091333</v>
      </c>
      <c r="AA3333" s="0" t="n">
        <f aca="false">X3333-Z3333</f>
        <v>44.762529222303</v>
      </c>
      <c r="AB3333" s="0" t="n">
        <f aca="false">X3333+Z3333</f>
        <v>47.9569791841297</v>
      </c>
      <c r="AC3333" s="54" t="b">
        <f aca="false">AND(E3333&gt;=01_因子設定!$L$5-0.000000001,E3333&lt;=01_因子設定!$M$5+0.000000001,F3333&gt;=01_因子設定!$L$6-0.000000001,F3333&lt;=01_因子設定!$M$6+0.000000001,G3333&gt;=01_因子設定!$L$7-0.000000001,G3333&lt;=01_因子設定!$M$7+0.000000001,H3333&gt;=01_因子設定!$L$8-0.000000001,H3333&lt;=01_因子設定!$M$8+0.000000001,IF(01_因子設定!$B$20="Box-Behnken",E3333^2+F3333^2+G3333^2+H3333^2&lt;=2+0.000000001,TRUE()))</f>
        <v>1</v>
      </c>
      <c r="AD3333" s="55" t="n">
        <f aca="false">IF(AC3333,IF(01_因子設定!$B$13="最大化",AA3333-01_因子設定!$B$14,IF(01_因子設定!$B$13="最小化",01_因子設定!$B$15-AB3333,MIN(AA3333-01_因子設定!$B$14,01_因子設定!$B$15-AB3333))),-1E+030)</f>
        <v>-1.737470777697</v>
      </c>
      <c r="AE3333" s="55" t="n">
        <f aca="false">IF(AC3333,IF(01_因子設定!$B$13="最大化",X3333,IF(01_因子設定!$B$13="最小化",-X3333,-ABS(X3333-01_因子設定!$B$16))),-1E+030)</f>
        <v>46.3597542032163</v>
      </c>
      <c r="AF3333" s="55" t="n">
        <f aca="false">AD3333+ROW()*0.000000001</f>
        <v>-1.737467444697</v>
      </c>
      <c r="AG3333" s="55" t="n">
        <f aca="false">AE3333+ROW()*0.000000001</f>
        <v>46.3597575362163</v>
      </c>
    </row>
    <row r="3334" customFormat="false" ht="15" hidden="false" customHeight="false" outlineLevel="0" collapsed="false">
      <c r="A3334" s="0" t="n">
        <v>4</v>
      </c>
      <c r="B3334" s="0" t="n">
        <v>5</v>
      </c>
      <c r="C3334" s="0" t="n">
        <v>0</v>
      </c>
      <c r="D3334" s="0" t="n">
        <v>8</v>
      </c>
      <c r="E3334" s="0" t="n">
        <f aca="false">-1+A3334*0.25</f>
        <v>0</v>
      </c>
      <c r="F3334" s="0" t="n">
        <f aca="false">-1+B3334*0.25</f>
        <v>0.25</v>
      </c>
      <c r="G3334" s="0" t="n">
        <f aca="false">-1+C3334*0.25</f>
        <v>-1</v>
      </c>
      <c r="H3334" s="0" t="n">
        <f aca="false">-1+D3334*0.25</f>
        <v>1</v>
      </c>
      <c r="I3334" s="0" t="n">
        <f aca="false">1</f>
        <v>1</v>
      </c>
      <c r="J3334" s="0" t="n">
        <f aca="false">E3334</f>
        <v>0</v>
      </c>
      <c r="K3334" s="0" t="n">
        <f aca="false">F3334</f>
        <v>0.25</v>
      </c>
      <c r="L3334" s="0" t="n">
        <f aca="false">G3334</f>
        <v>-1</v>
      </c>
      <c r="M3334" s="0" t="n">
        <f aca="false">H3334</f>
        <v>1</v>
      </c>
      <c r="N3334" s="0" t="n">
        <f aca="false">E3334*F3334</f>
        <v>0</v>
      </c>
      <c r="O3334" s="0" t="n">
        <f aca="false">E3334*G3334</f>
        <v>-0</v>
      </c>
      <c r="P3334" s="0" t="n">
        <f aca="false">E3334*H3334</f>
        <v>0</v>
      </c>
      <c r="Q3334" s="0" t="n">
        <f aca="false">F3334*G3334</f>
        <v>-0.25</v>
      </c>
      <c r="R3334" s="0" t="n">
        <f aca="false">F3334*H3334</f>
        <v>0.25</v>
      </c>
      <c r="S3334" s="0" t="n">
        <f aca="false">G3334*H3334</f>
        <v>-1</v>
      </c>
      <c r="T3334" s="0" t="n">
        <f aca="false">E3334*E3334</f>
        <v>0</v>
      </c>
      <c r="U3334" s="0" t="n">
        <f aca="false">F3334*F3334</f>
        <v>0.0625</v>
      </c>
      <c r="V3334" s="0" t="n">
        <f aca="false">G3334*G3334</f>
        <v>1</v>
      </c>
      <c r="W3334" s="0" t="n">
        <f aca="false">H3334*H3334</f>
        <v>1</v>
      </c>
      <c r="X3334" s="0" t="n">
        <f aca="false">SUMPRODUCT(I3334:W3334,_XtX!$B$96:$P$96)</f>
        <v>46.2086622807017</v>
      </c>
      <c r="Y3334" s="0" t="n">
        <f aca="false">SUMPRODUCT(MMULT(I3334:W3334,_XtX!$B$78:$P$92),I3334:W3334)</f>
        <v>0.689692982456141</v>
      </c>
      <c r="Z3334" s="0" t="n">
        <f aca="false">04_回帰ANOVA!$K$19*04_回帰ANOVA!$K$14*SQRT(1+Y3334)</f>
        <v>1.69434674594998</v>
      </c>
      <c r="AA3334" s="0" t="n">
        <f aca="false">X3334-Z3334</f>
        <v>44.5143155347517</v>
      </c>
      <c r="AB3334" s="0" t="n">
        <f aca="false">X3334+Z3334</f>
        <v>47.9030090266517</v>
      </c>
      <c r="AC3334" s="54" t="b">
        <f aca="false">AND(E3334&gt;=01_因子設定!$L$5-0.000000001,E3334&lt;=01_因子設定!$M$5+0.000000001,F3334&gt;=01_因子設定!$L$6-0.000000001,F3334&lt;=01_因子設定!$M$6+0.000000001,G3334&gt;=01_因子設定!$L$7-0.000000001,G3334&lt;=01_因子設定!$M$7+0.000000001,H3334&gt;=01_因子設定!$L$8-0.000000001,H3334&lt;=01_因子設定!$M$8+0.000000001,IF(01_因子設定!$B$20="Box-Behnken",E3334^2+F3334^2+G3334^2+H3334^2&lt;=2+0.000000001,TRUE()))</f>
        <v>1</v>
      </c>
      <c r="AD3334" s="55" t="n">
        <f aca="false">IF(AC3334,IF(01_因子設定!$B$13="最大化",AA3334-01_因子設定!$B$14,IF(01_因子設定!$B$13="最小化",01_因子設定!$B$15-AB3334,MIN(AA3334-01_因子設定!$B$14,01_因子設定!$B$15-AB3334))),-1E+030)</f>
        <v>-1.98568446524826</v>
      </c>
      <c r="AE3334" s="55" t="n">
        <f aca="false">IF(AC3334,IF(01_因子設定!$B$13="最大化",X3334,IF(01_因子設定!$B$13="最小化",-X3334,-ABS(X3334-01_因子設定!$B$16))),-1E+030)</f>
        <v>46.2086622807017</v>
      </c>
      <c r="AF3334" s="55" t="n">
        <f aca="false">AD3334+ROW()*0.000000001</f>
        <v>-1.98568113124826</v>
      </c>
      <c r="AG3334" s="55" t="n">
        <f aca="false">AE3334+ROW()*0.000000001</f>
        <v>46.2086656147017</v>
      </c>
    </row>
    <row r="3335" customFormat="false" ht="15" hidden="false" customHeight="false" outlineLevel="0" collapsed="false">
      <c r="A3335" s="0" t="n">
        <v>4</v>
      </c>
      <c r="B3335" s="0" t="n">
        <v>5</v>
      </c>
      <c r="C3335" s="0" t="n">
        <v>1</v>
      </c>
      <c r="D3335" s="0" t="n">
        <v>0</v>
      </c>
      <c r="E3335" s="0" t="n">
        <f aca="false">-1+A3335*0.25</f>
        <v>0</v>
      </c>
      <c r="F3335" s="0" t="n">
        <f aca="false">-1+B3335*0.25</f>
        <v>0.25</v>
      </c>
      <c r="G3335" s="0" t="n">
        <f aca="false">-1+C3335*0.25</f>
        <v>-0.75</v>
      </c>
      <c r="H3335" s="0" t="n">
        <f aca="false">-1+D3335*0.25</f>
        <v>-1</v>
      </c>
      <c r="I3335" s="0" t="n">
        <f aca="false">1</f>
        <v>1</v>
      </c>
      <c r="J3335" s="0" t="n">
        <f aca="false">E3335</f>
        <v>0</v>
      </c>
      <c r="K3335" s="0" t="n">
        <f aca="false">F3335</f>
        <v>0.25</v>
      </c>
      <c r="L3335" s="0" t="n">
        <f aca="false">G3335</f>
        <v>-0.75</v>
      </c>
      <c r="M3335" s="0" t="n">
        <f aca="false">H3335</f>
        <v>-1</v>
      </c>
      <c r="N3335" s="0" t="n">
        <f aca="false">E3335*F3335</f>
        <v>0</v>
      </c>
      <c r="O3335" s="0" t="n">
        <f aca="false">E3335*G3335</f>
        <v>-0</v>
      </c>
      <c r="P3335" s="0" t="n">
        <f aca="false">E3335*H3335</f>
        <v>-0</v>
      </c>
      <c r="Q3335" s="0" t="n">
        <f aca="false">F3335*G3335</f>
        <v>-0.1875</v>
      </c>
      <c r="R3335" s="0" t="n">
        <f aca="false">F3335*H3335</f>
        <v>-0.25</v>
      </c>
      <c r="S3335" s="0" t="n">
        <f aca="false">G3335*H3335</f>
        <v>0.75</v>
      </c>
      <c r="T3335" s="0" t="n">
        <f aca="false">E3335*E3335</f>
        <v>0</v>
      </c>
      <c r="U3335" s="0" t="n">
        <f aca="false">F3335*F3335</f>
        <v>0.0625</v>
      </c>
      <c r="V3335" s="0" t="n">
        <f aca="false">G3335*G3335</f>
        <v>0.5625</v>
      </c>
      <c r="W3335" s="0" t="n">
        <f aca="false">H3335*H3335</f>
        <v>1</v>
      </c>
      <c r="X3335" s="0" t="n">
        <f aca="false">SUMPRODUCT(I3335:W3335,_XtX!$B$96:$P$96)</f>
        <v>46.5708653143275</v>
      </c>
      <c r="Y3335" s="0" t="n">
        <f aca="false">SUMPRODUCT(MMULT(I3335:W3335,_XtX!$B$78:$P$92),I3335:W3335)</f>
        <v>0.501534802174708</v>
      </c>
      <c r="Z3335" s="0" t="n">
        <f aca="false">04_回帰ANOVA!$K$19*04_回帰ANOVA!$K$14*SQRT(1+Y3335)</f>
        <v>1.59722498091333</v>
      </c>
      <c r="AA3335" s="0" t="n">
        <f aca="false">X3335-Z3335</f>
        <v>44.9736403334141</v>
      </c>
      <c r="AB3335" s="0" t="n">
        <f aca="false">X3335+Z3335</f>
        <v>48.1680902952408</v>
      </c>
      <c r="AC3335" s="54" t="b">
        <f aca="false">AND(E3335&gt;=01_因子設定!$L$5-0.000000001,E3335&lt;=01_因子設定!$M$5+0.000000001,F3335&gt;=01_因子設定!$L$6-0.000000001,F3335&lt;=01_因子設定!$M$6+0.000000001,G3335&gt;=01_因子設定!$L$7-0.000000001,G3335&lt;=01_因子設定!$M$7+0.000000001,H3335&gt;=01_因子設定!$L$8-0.000000001,H3335&lt;=01_因子設定!$M$8+0.000000001,IF(01_因子設定!$B$20="Box-Behnken",E3335^2+F3335^2+G3335^2+H3335^2&lt;=2+0.000000001,TRUE()))</f>
        <v>1</v>
      </c>
      <c r="AD3335" s="55" t="n">
        <f aca="false">IF(AC3335,IF(01_因子設定!$B$13="最大化",AA3335-01_因子設定!$B$14,IF(01_因子設定!$B$13="最小化",01_因子設定!$B$15-AB3335,MIN(AA3335-01_因子設定!$B$14,01_因子設定!$B$15-AB3335))),-1E+030)</f>
        <v>-1.52635966658587</v>
      </c>
      <c r="AE3335" s="55" t="n">
        <f aca="false">IF(AC3335,IF(01_因子設定!$B$13="最大化",X3335,IF(01_因子設定!$B$13="最小化",-X3335,-ABS(X3335-01_因子設定!$B$16))),-1E+030)</f>
        <v>46.5708653143275</v>
      </c>
      <c r="AF3335" s="55" t="n">
        <f aca="false">AD3335+ROW()*0.000000001</f>
        <v>-1.52635633158587</v>
      </c>
      <c r="AG3335" s="55" t="n">
        <f aca="false">AE3335+ROW()*0.000000001</f>
        <v>46.5708686493275</v>
      </c>
    </row>
    <row r="3336" customFormat="false" ht="15" hidden="false" customHeight="false" outlineLevel="0" collapsed="false">
      <c r="A3336" s="0" t="n">
        <v>4</v>
      </c>
      <c r="B3336" s="0" t="n">
        <v>5</v>
      </c>
      <c r="C3336" s="0" t="n">
        <v>1</v>
      </c>
      <c r="D3336" s="0" t="n">
        <v>1</v>
      </c>
      <c r="E3336" s="0" t="n">
        <f aca="false">-1+A3336*0.25</f>
        <v>0</v>
      </c>
      <c r="F3336" s="0" t="n">
        <f aca="false">-1+B3336*0.25</f>
        <v>0.25</v>
      </c>
      <c r="G3336" s="0" t="n">
        <f aca="false">-1+C3336*0.25</f>
        <v>-0.75</v>
      </c>
      <c r="H3336" s="0" t="n">
        <f aca="false">-1+D3336*0.25</f>
        <v>-0.75</v>
      </c>
      <c r="I3336" s="0" t="n">
        <f aca="false">1</f>
        <v>1</v>
      </c>
      <c r="J3336" s="0" t="n">
        <f aca="false">E3336</f>
        <v>0</v>
      </c>
      <c r="K3336" s="0" t="n">
        <f aca="false">F3336</f>
        <v>0.25</v>
      </c>
      <c r="L3336" s="0" t="n">
        <f aca="false">G3336</f>
        <v>-0.75</v>
      </c>
      <c r="M3336" s="0" t="n">
        <f aca="false">H3336</f>
        <v>-0.75</v>
      </c>
      <c r="N3336" s="0" t="n">
        <f aca="false">E3336*F3336</f>
        <v>0</v>
      </c>
      <c r="O3336" s="0" t="n">
        <f aca="false">E3336*G3336</f>
        <v>-0</v>
      </c>
      <c r="P3336" s="0" t="n">
        <f aca="false">E3336*H3336</f>
        <v>-0</v>
      </c>
      <c r="Q3336" s="0" t="n">
        <f aca="false">F3336*G3336</f>
        <v>-0.1875</v>
      </c>
      <c r="R3336" s="0" t="n">
        <f aca="false">F3336*H3336</f>
        <v>-0.1875</v>
      </c>
      <c r="S3336" s="0" t="n">
        <f aca="false">G3336*H3336</f>
        <v>0.5625</v>
      </c>
      <c r="T3336" s="0" t="n">
        <f aca="false">E3336*E3336</f>
        <v>0</v>
      </c>
      <c r="U3336" s="0" t="n">
        <f aca="false">F3336*F3336</f>
        <v>0.0625</v>
      </c>
      <c r="V3336" s="0" t="n">
        <f aca="false">G3336*G3336</f>
        <v>0.5625</v>
      </c>
      <c r="W3336" s="0" t="n">
        <f aca="false">H3336*H3336</f>
        <v>0.5625</v>
      </c>
      <c r="X3336" s="0" t="n">
        <f aca="false">SUMPRODUCT(I3336:W3336,_XtX!$B$96:$P$96)</f>
        <v>46.7723912646198</v>
      </c>
      <c r="Y3336" s="0" t="n">
        <f aca="false">SUMPRODUCT(MMULT(I3336:W3336,_XtX!$B$78:$P$92),I3336:W3336)</f>
        <v>0.281685455500731</v>
      </c>
      <c r="Z3336" s="0" t="n">
        <f aca="false">04_回帰ANOVA!$K$19*04_回帰ANOVA!$K$14*SQRT(1+Y3336)</f>
        <v>1.47566956658694</v>
      </c>
      <c r="AA3336" s="0" t="n">
        <f aca="false">X3336-Z3336</f>
        <v>45.2967216980329</v>
      </c>
      <c r="AB3336" s="0" t="n">
        <f aca="false">X3336+Z3336</f>
        <v>48.2480608312068</v>
      </c>
      <c r="AC3336" s="54" t="b">
        <f aca="false">AND(E3336&gt;=01_因子設定!$L$5-0.000000001,E3336&lt;=01_因子設定!$M$5+0.000000001,F3336&gt;=01_因子設定!$L$6-0.000000001,F3336&lt;=01_因子設定!$M$6+0.000000001,G3336&gt;=01_因子設定!$L$7-0.000000001,G3336&lt;=01_因子設定!$M$7+0.000000001,H3336&gt;=01_因子設定!$L$8-0.000000001,H3336&lt;=01_因子設定!$M$8+0.000000001,IF(01_因子設定!$B$20="Box-Behnken",E3336^2+F3336^2+G3336^2+H3336^2&lt;=2+0.000000001,TRUE()))</f>
        <v>1</v>
      </c>
      <c r="AD3336" s="55" t="n">
        <f aca="false">IF(AC3336,IF(01_因子設定!$B$13="最大化",AA3336-01_因子設定!$B$14,IF(01_因子設定!$B$13="最小化",01_因子設定!$B$15-AB3336,MIN(AA3336-01_因子設定!$B$14,01_因子設定!$B$15-AB3336))),-1E+030)</f>
        <v>-1.2032783019671</v>
      </c>
      <c r="AE3336" s="55" t="n">
        <f aca="false">IF(AC3336,IF(01_因子設定!$B$13="最大化",X3336,IF(01_因子設定!$B$13="最小化",-X3336,-ABS(X3336-01_因子設定!$B$16))),-1E+030)</f>
        <v>46.7723912646198</v>
      </c>
      <c r="AF3336" s="55" t="n">
        <f aca="false">AD3336+ROW()*0.000000001</f>
        <v>-1.2032749659671</v>
      </c>
      <c r="AG3336" s="55" t="n">
        <f aca="false">AE3336+ROW()*0.000000001</f>
        <v>46.7723946006198</v>
      </c>
    </row>
    <row r="3337" customFormat="false" ht="15" hidden="false" customHeight="false" outlineLevel="0" collapsed="false">
      <c r="A3337" s="0" t="n">
        <v>4</v>
      </c>
      <c r="B3337" s="0" t="n">
        <v>5</v>
      </c>
      <c r="C3337" s="0" t="n">
        <v>1</v>
      </c>
      <c r="D3337" s="0" t="n">
        <v>2</v>
      </c>
      <c r="E3337" s="0" t="n">
        <f aca="false">-1+A3337*0.25</f>
        <v>0</v>
      </c>
      <c r="F3337" s="0" t="n">
        <f aca="false">-1+B3337*0.25</f>
        <v>0.25</v>
      </c>
      <c r="G3337" s="0" t="n">
        <f aca="false">-1+C3337*0.25</f>
        <v>-0.75</v>
      </c>
      <c r="H3337" s="0" t="n">
        <f aca="false">-1+D3337*0.25</f>
        <v>-0.5</v>
      </c>
      <c r="I3337" s="0" t="n">
        <f aca="false">1</f>
        <v>1</v>
      </c>
      <c r="J3337" s="0" t="n">
        <f aca="false">E3337</f>
        <v>0</v>
      </c>
      <c r="K3337" s="0" t="n">
        <f aca="false">F3337</f>
        <v>0.25</v>
      </c>
      <c r="L3337" s="0" t="n">
        <f aca="false">G3337</f>
        <v>-0.75</v>
      </c>
      <c r="M3337" s="0" t="n">
        <f aca="false">H3337</f>
        <v>-0.5</v>
      </c>
      <c r="N3337" s="0" t="n">
        <f aca="false">E3337*F3337</f>
        <v>0</v>
      </c>
      <c r="O3337" s="0" t="n">
        <f aca="false">E3337*G3337</f>
        <v>-0</v>
      </c>
      <c r="P3337" s="0" t="n">
        <f aca="false">E3337*H3337</f>
        <v>-0</v>
      </c>
      <c r="Q3337" s="0" t="n">
        <f aca="false">F3337*G3337</f>
        <v>-0.1875</v>
      </c>
      <c r="R3337" s="0" t="n">
        <f aca="false">F3337*H3337</f>
        <v>-0.125</v>
      </c>
      <c r="S3337" s="0" t="n">
        <f aca="false">G3337*H3337</f>
        <v>0.375</v>
      </c>
      <c r="T3337" s="0" t="n">
        <f aca="false">E3337*E3337</f>
        <v>0</v>
      </c>
      <c r="U3337" s="0" t="n">
        <f aca="false">F3337*F3337</f>
        <v>0.0625</v>
      </c>
      <c r="V3337" s="0" t="n">
        <f aca="false">G3337*G3337</f>
        <v>0.5625</v>
      </c>
      <c r="W3337" s="0" t="n">
        <f aca="false">H3337*H3337</f>
        <v>0.25</v>
      </c>
      <c r="X3337" s="0" t="n">
        <f aca="false">SUMPRODUCT(I3337:W3337,_XtX!$B$96:$P$96)</f>
        <v>46.9261101973684</v>
      </c>
      <c r="Y3337" s="0" t="n">
        <f aca="false">SUMPRODUCT(MMULT(I3337:W3337,_XtX!$B$78:$P$92),I3337:W3337)</f>
        <v>0.215110734192252</v>
      </c>
      <c r="Z3337" s="0" t="n">
        <f aca="false">04_回帰ANOVA!$K$19*04_回帰ANOVA!$K$14*SQRT(1+Y3337)</f>
        <v>1.43683309086864</v>
      </c>
      <c r="AA3337" s="0" t="n">
        <f aca="false">X3337-Z3337</f>
        <v>45.4892771064997</v>
      </c>
      <c r="AB3337" s="0" t="n">
        <f aca="false">X3337+Z3337</f>
        <v>48.362943288237</v>
      </c>
      <c r="AC3337" s="54" t="b">
        <f aca="false">AND(E3337&gt;=01_因子設定!$L$5-0.000000001,E3337&lt;=01_因子設定!$M$5+0.000000001,F3337&gt;=01_因子設定!$L$6-0.000000001,F3337&lt;=01_因子設定!$M$6+0.000000001,G3337&gt;=01_因子設定!$L$7-0.000000001,G3337&lt;=01_因子設定!$M$7+0.000000001,H3337&gt;=01_因子設定!$L$8-0.000000001,H3337&lt;=01_因子設定!$M$8+0.000000001,IF(01_因子設定!$B$20="Box-Behnken",E3337^2+F3337^2+G3337^2+H3337^2&lt;=2+0.000000001,TRUE()))</f>
        <v>1</v>
      </c>
      <c r="AD3337" s="55" t="n">
        <f aca="false">IF(AC3337,IF(01_因子設定!$B$13="最大化",AA3337-01_因子設定!$B$14,IF(01_因子設定!$B$13="最小化",01_因子設定!$B$15-AB3337,MIN(AA3337-01_因子設定!$B$14,01_因子設定!$B$15-AB3337))),-1E+030)</f>
        <v>-1.01072289350028</v>
      </c>
      <c r="AE3337" s="55" t="n">
        <f aca="false">IF(AC3337,IF(01_因子設定!$B$13="最大化",X3337,IF(01_因子設定!$B$13="最小化",-X3337,-ABS(X3337-01_因子設定!$B$16))),-1E+030)</f>
        <v>46.9261101973684</v>
      </c>
      <c r="AF3337" s="55" t="n">
        <f aca="false">AD3337+ROW()*0.000000001</f>
        <v>-1.01071955650028</v>
      </c>
      <c r="AG3337" s="55" t="n">
        <f aca="false">AE3337+ROW()*0.000000001</f>
        <v>46.9261135343684</v>
      </c>
    </row>
    <row r="3338" customFormat="false" ht="15" hidden="false" customHeight="false" outlineLevel="0" collapsed="false">
      <c r="A3338" s="0" t="n">
        <v>4</v>
      </c>
      <c r="B3338" s="0" t="n">
        <v>5</v>
      </c>
      <c r="C3338" s="0" t="n">
        <v>1</v>
      </c>
      <c r="D3338" s="0" t="n">
        <v>3</v>
      </c>
      <c r="E3338" s="0" t="n">
        <f aca="false">-1+A3338*0.25</f>
        <v>0</v>
      </c>
      <c r="F3338" s="0" t="n">
        <f aca="false">-1+B3338*0.25</f>
        <v>0.25</v>
      </c>
      <c r="G3338" s="0" t="n">
        <f aca="false">-1+C3338*0.25</f>
        <v>-0.75</v>
      </c>
      <c r="H3338" s="0" t="n">
        <f aca="false">-1+D3338*0.25</f>
        <v>-0.25</v>
      </c>
      <c r="I3338" s="0" t="n">
        <f aca="false">1</f>
        <v>1</v>
      </c>
      <c r="J3338" s="0" t="n">
        <f aca="false">E3338</f>
        <v>0</v>
      </c>
      <c r="K3338" s="0" t="n">
        <f aca="false">F3338</f>
        <v>0.25</v>
      </c>
      <c r="L3338" s="0" t="n">
        <f aca="false">G3338</f>
        <v>-0.75</v>
      </c>
      <c r="M3338" s="0" t="n">
        <f aca="false">H3338</f>
        <v>-0.25</v>
      </c>
      <c r="N3338" s="0" t="n">
        <f aca="false">E3338*F3338</f>
        <v>0</v>
      </c>
      <c r="O3338" s="0" t="n">
        <f aca="false">E3338*G3338</f>
        <v>-0</v>
      </c>
      <c r="P3338" s="0" t="n">
        <f aca="false">E3338*H3338</f>
        <v>-0</v>
      </c>
      <c r="Q3338" s="0" t="n">
        <f aca="false">F3338*G3338</f>
        <v>-0.1875</v>
      </c>
      <c r="R3338" s="0" t="n">
        <f aca="false">F3338*H3338</f>
        <v>-0.0625</v>
      </c>
      <c r="S3338" s="0" t="n">
        <f aca="false">G3338*H3338</f>
        <v>0.1875</v>
      </c>
      <c r="T3338" s="0" t="n">
        <f aca="false">E3338*E3338</f>
        <v>0</v>
      </c>
      <c r="U3338" s="0" t="n">
        <f aca="false">F3338*F3338</f>
        <v>0.0625</v>
      </c>
      <c r="V3338" s="0" t="n">
        <f aca="false">G3338*G3338</f>
        <v>0.5625</v>
      </c>
      <c r="W3338" s="0" t="n">
        <f aca="false">H3338*H3338</f>
        <v>0.0625</v>
      </c>
      <c r="X3338" s="0" t="n">
        <f aca="false">SUMPRODUCT(I3338:W3338,_XtX!$B$96:$P$96)</f>
        <v>47.032022112573</v>
      </c>
      <c r="Y3338" s="0" t="n">
        <f aca="false">SUMPRODUCT(MMULT(I3338:W3338,_XtX!$B$78:$P$92),I3338:W3338)</f>
        <v>0.21135011193348</v>
      </c>
      <c r="Z3338" s="0" t="n">
        <f aca="false">04_回帰ANOVA!$K$19*04_回帰ANOVA!$K$14*SQRT(1+Y3338)</f>
        <v>1.43460795469709</v>
      </c>
      <c r="AA3338" s="0" t="n">
        <f aca="false">X3338-Z3338</f>
        <v>45.597414157876</v>
      </c>
      <c r="AB3338" s="0" t="n">
        <f aca="false">X3338+Z3338</f>
        <v>48.4666300672701</v>
      </c>
      <c r="AC3338" s="54" t="b">
        <f aca="false">AND(E3338&gt;=01_因子設定!$L$5-0.000000001,E3338&lt;=01_因子設定!$M$5+0.000000001,F3338&gt;=01_因子設定!$L$6-0.000000001,F3338&lt;=01_因子設定!$M$6+0.000000001,G3338&gt;=01_因子設定!$L$7-0.000000001,G3338&lt;=01_因子設定!$M$7+0.000000001,H3338&gt;=01_因子設定!$L$8-0.000000001,H3338&lt;=01_因子設定!$M$8+0.000000001,IF(01_因子設定!$B$20="Box-Behnken",E3338^2+F3338^2+G3338^2+H3338^2&lt;=2+0.000000001,TRUE()))</f>
        <v>1</v>
      </c>
      <c r="AD3338" s="55" t="n">
        <f aca="false">IF(AC3338,IF(01_因子設定!$B$13="最大化",AA3338-01_因子設定!$B$14,IF(01_因子設定!$B$13="最小化",01_因子設定!$B$15-AB3338,MIN(AA3338-01_因子設定!$B$14,01_因子設定!$B$15-AB3338))),-1E+030)</f>
        <v>-0.902585842124047</v>
      </c>
      <c r="AE3338" s="55" t="n">
        <f aca="false">IF(AC3338,IF(01_因子設定!$B$13="最大化",X3338,IF(01_因子設定!$B$13="最小化",-X3338,-ABS(X3338-01_因子設定!$B$16))),-1E+030)</f>
        <v>47.032022112573</v>
      </c>
      <c r="AF3338" s="55" t="n">
        <f aca="false">AD3338+ROW()*0.000000001</f>
        <v>-0.902582504124047</v>
      </c>
      <c r="AG3338" s="55" t="n">
        <f aca="false">AE3338+ROW()*0.000000001</f>
        <v>47.032025450573</v>
      </c>
    </row>
    <row r="3339" customFormat="false" ht="15" hidden="false" customHeight="false" outlineLevel="0" collapsed="false">
      <c r="A3339" s="0" t="n">
        <v>4</v>
      </c>
      <c r="B3339" s="0" t="n">
        <v>5</v>
      </c>
      <c r="C3339" s="0" t="n">
        <v>1</v>
      </c>
      <c r="D3339" s="0" t="n">
        <v>4</v>
      </c>
      <c r="E3339" s="0" t="n">
        <f aca="false">-1+A3339*0.25</f>
        <v>0</v>
      </c>
      <c r="F3339" s="0" t="n">
        <f aca="false">-1+B3339*0.25</f>
        <v>0.25</v>
      </c>
      <c r="G3339" s="0" t="n">
        <f aca="false">-1+C3339*0.25</f>
        <v>-0.75</v>
      </c>
      <c r="H3339" s="0" t="n">
        <f aca="false">-1+D3339*0.25</f>
        <v>0</v>
      </c>
      <c r="I3339" s="0" t="n">
        <f aca="false">1</f>
        <v>1</v>
      </c>
      <c r="J3339" s="0" t="n">
        <f aca="false">E3339</f>
        <v>0</v>
      </c>
      <c r="K3339" s="0" t="n">
        <f aca="false">F3339</f>
        <v>0.25</v>
      </c>
      <c r="L3339" s="0" t="n">
        <f aca="false">G3339</f>
        <v>-0.75</v>
      </c>
      <c r="M3339" s="0" t="n">
        <f aca="false">H3339</f>
        <v>0</v>
      </c>
      <c r="N3339" s="0" t="n">
        <f aca="false">E3339*F3339</f>
        <v>0</v>
      </c>
      <c r="O3339" s="0" t="n">
        <f aca="false">E3339*G3339</f>
        <v>-0</v>
      </c>
      <c r="P3339" s="0" t="n">
        <f aca="false">E3339*H3339</f>
        <v>0</v>
      </c>
      <c r="Q3339" s="0" t="n">
        <f aca="false">F3339*G3339</f>
        <v>-0.1875</v>
      </c>
      <c r="R3339" s="0" t="n">
        <f aca="false">F3339*H3339</f>
        <v>0</v>
      </c>
      <c r="S3339" s="0" t="n">
        <f aca="false">G3339*H3339</f>
        <v>-0</v>
      </c>
      <c r="T3339" s="0" t="n">
        <f aca="false">E3339*E3339</f>
        <v>0</v>
      </c>
      <c r="U3339" s="0" t="n">
        <f aca="false">F3339*F3339</f>
        <v>0.0625</v>
      </c>
      <c r="V3339" s="0" t="n">
        <f aca="false">G3339*G3339</f>
        <v>0.5625</v>
      </c>
      <c r="W3339" s="0" t="n">
        <f aca="false">H3339*H3339</f>
        <v>0</v>
      </c>
      <c r="X3339" s="0" t="n">
        <f aca="false">SUMPRODUCT(I3339:W3339,_XtX!$B$96:$P$96)</f>
        <v>47.0901270102339</v>
      </c>
      <c r="Y3339" s="0" t="n">
        <f aca="false">SUMPRODUCT(MMULT(I3339:W3339,_XtX!$B$78:$P$92),I3339:W3339)</f>
        <v>0.216127272934942</v>
      </c>
      <c r="Z3339" s="0" t="n">
        <f aca="false">04_回帰ANOVA!$K$19*04_回帰ANOVA!$K$14*SQRT(1+Y3339)</f>
        <v>1.43743397896608</v>
      </c>
      <c r="AA3339" s="0" t="n">
        <f aca="false">X3339-Z3339</f>
        <v>45.6526930312678</v>
      </c>
      <c r="AB3339" s="0" t="n">
        <f aca="false">X3339+Z3339</f>
        <v>48.5275609891999</v>
      </c>
      <c r="AC3339" s="54" t="b">
        <f aca="false">AND(E3339&gt;=01_因子設定!$L$5-0.000000001,E3339&lt;=01_因子設定!$M$5+0.000000001,F3339&gt;=01_因子設定!$L$6-0.000000001,F3339&lt;=01_因子設定!$M$6+0.000000001,G3339&gt;=01_因子設定!$L$7-0.000000001,G3339&lt;=01_因子設定!$M$7+0.000000001,H3339&gt;=01_因子設定!$L$8-0.000000001,H3339&lt;=01_因子設定!$M$8+0.000000001,IF(01_因子設定!$B$20="Box-Behnken",E3339^2+F3339^2+G3339^2+H3339^2&lt;=2+0.000000001,TRUE()))</f>
        <v>1</v>
      </c>
      <c r="AD3339" s="55" t="n">
        <f aca="false">IF(AC3339,IF(01_因子設定!$B$13="最大化",AA3339-01_因子設定!$B$14,IF(01_因子設定!$B$13="最小化",01_因子設定!$B$15-AB3339,MIN(AA3339-01_因子設定!$B$14,01_因子設定!$B$15-AB3339))),-1E+030)</f>
        <v>-0.847306968732219</v>
      </c>
      <c r="AE3339" s="55" t="n">
        <f aca="false">IF(AC3339,IF(01_因子設定!$B$13="最大化",X3339,IF(01_因子設定!$B$13="最小化",-X3339,-ABS(X3339-01_因子設定!$B$16))),-1E+030)</f>
        <v>47.0901270102339</v>
      </c>
      <c r="AF3339" s="55" t="n">
        <f aca="false">AD3339+ROW()*0.000000001</f>
        <v>-0.847303629732219</v>
      </c>
      <c r="AG3339" s="55" t="n">
        <f aca="false">AE3339+ROW()*0.000000001</f>
        <v>47.0901303492339</v>
      </c>
    </row>
    <row r="3340" customFormat="false" ht="15" hidden="false" customHeight="false" outlineLevel="0" collapsed="false">
      <c r="A3340" s="0" t="n">
        <v>4</v>
      </c>
      <c r="B3340" s="0" t="n">
        <v>5</v>
      </c>
      <c r="C3340" s="0" t="n">
        <v>1</v>
      </c>
      <c r="D3340" s="0" t="n">
        <v>5</v>
      </c>
      <c r="E3340" s="0" t="n">
        <f aca="false">-1+A3340*0.25</f>
        <v>0</v>
      </c>
      <c r="F3340" s="0" t="n">
        <f aca="false">-1+B3340*0.25</f>
        <v>0.25</v>
      </c>
      <c r="G3340" s="0" t="n">
        <f aca="false">-1+C3340*0.25</f>
        <v>-0.75</v>
      </c>
      <c r="H3340" s="0" t="n">
        <f aca="false">-1+D3340*0.25</f>
        <v>0.25</v>
      </c>
      <c r="I3340" s="0" t="n">
        <f aca="false">1</f>
        <v>1</v>
      </c>
      <c r="J3340" s="0" t="n">
        <f aca="false">E3340</f>
        <v>0</v>
      </c>
      <c r="K3340" s="0" t="n">
        <f aca="false">F3340</f>
        <v>0.25</v>
      </c>
      <c r="L3340" s="0" t="n">
        <f aca="false">G3340</f>
        <v>-0.75</v>
      </c>
      <c r="M3340" s="0" t="n">
        <f aca="false">H3340</f>
        <v>0.25</v>
      </c>
      <c r="N3340" s="0" t="n">
        <f aca="false">E3340*F3340</f>
        <v>0</v>
      </c>
      <c r="O3340" s="0" t="n">
        <f aca="false">E3340*G3340</f>
        <v>-0</v>
      </c>
      <c r="P3340" s="0" t="n">
        <f aca="false">E3340*H3340</f>
        <v>0</v>
      </c>
      <c r="Q3340" s="0" t="n">
        <f aca="false">F3340*G3340</f>
        <v>-0.1875</v>
      </c>
      <c r="R3340" s="0" t="n">
        <f aca="false">F3340*H3340</f>
        <v>0.0625</v>
      </c>
      <c r="S3340" s="0" t="n">
        <f aca="false">G3340*H3340</f>
        <v>-0.1875</v>
      </c>
      <c r="T3340" s="0" t="n">
        <f aca="false">E3340*E3340</f>
        <v>0</v>
      </c>
      <c r="U3340" s="0" t="n">
        <f aca="false">F3340*F3340</f>
        <v>0.0625</v>
      </c>
      <c r="V3340" s="0" t="n">
        <f aca="false">G3340*G3340</f>
        <v>0.5625</v>
      </c>
      <c r="W3340" s="0" t="n">
        <f aca="false">H3340*H3340</f>
        <v>0.0625</v>
      </c>
      <c r="X3340" s="0" t="n">
        <f aca="false">SUMPRODUCT(I3340:W3340,_XtX!$B$96:$P$96)</f>
        <v>47.1004248903508</v>
      </c>
      <c r="Y3340" s="0" t="n">
        <f aca="false">SUMPRODUCT(MMULT(I3340:W3340,_XtX!$B$78:$P$92),I3340:W3340)</f>
        <v>0.21135011193348</v>
      </c>
      <c r="Z3340" s="0" t="n">
        <f aca="false">04_回帰ANOVA!$K$19*04_回帰ANOVA!$K$14*SQRT(1+Y3340)</f>
        <v>1.43460795469709</v>
      </c>
      <c r="AA3340" s="0" t="n">
        <f aca="false">X3340-Z3340</f>
        <v>45.6658169356537</v>
      </c>
      <c r="AB3340" s="0" t="n">
        <f aca="false">X3340+Z3340</f>
        <v>48.5350328450479</v>
      </c>
      <c r="AC3340" s="54" t="b">
        <f aca="false">AND(E3340&gt;=01_因子設定!$L$5-0.000000001,E3340&lt;=01_因子設定!$M$5+0.000000001,F3340&gt;=01_因子設定!$L$6-0.000000001,F3340&lt;=01_因子設定!$M$6+0.000000001,G3340&gt;=01_因子設定!$L$7-0.000000001,G3340&lt;=01_因子設定!$M$7+0.000000001,H3340&gt;=01_因子設定!$L$8-0.000000001,H3340&lt;=01_因子設定!$M$8+0.000000001,IF(01_因子設定!$B$20="Box-Behnken",E3340^2+F3340^2+G3340^2+H3340^2&lt;=2+0.000000001,TRUE()))</f>
        <v>1</v>
      </c>
      <c r="AD3340" s="55" t="n">
        <f aca="false">IF(AC3340,IF(01_因子設定!$B$13="最大化",AA3340-01_因子設定!$B$14,IF(01_因子設定!$B$13="最小化",01_因子設定!$B$15-AB3340,MIN(AA3340-01_因子設定!$B$14,01_因子設定!$B$15-AB3340))),-1E+030)</f>
        <v>-0.83418306434627</v>
      </c>
      <c r="AE3340" s="55" t="n">
        <f aca="false">IF(AC3340,IF(01_因子設定!$B$13="最大化",X3340,IF(01_因子設定!$B$13="最小化",-X3340,-ABS(X3340-01_因子設定!$B$16))),-1E+030)</f>
        <v>47.1004248903508</v>
      </c>
      <c r="AF3340" s="55" t="n">
        <f aca="false">AD3340+ROW()*0.000000001</f>
        <v>-0.83417972434627</v>
      </c>
      <c r="AG3340" s="55" t="n">
        <f aca="false">AE3340+ROW()*0.000000001</f>
        <v>47.1004282303508</v>
      </c>
    </row>
    <row r="3341" customFormat="false" ht="15" hidden="false" customHeight="false" outlineLevel="0" collapsed="false">
      <c r="A3341" s="0" t="n">
        <v>4</v>
      </c>
      <c r="B3341" s="0" t="n">
        <v>5</v>
      </c>
      <c r="C3341" s="0" t="n">
        <v>1</v>
      </c>
      <c r="D3341" s="0" t="n">
        <v>6</v>
      </c>
      <c r="E3341" s="0" t="n">
        <f aca="false">-1+A3341*0.25</f>
        <v>0</v>
      </c>
      <c r="F3341" s="0" t="n">
        <f aca="false">-1+B3341*0.25</f>
        <v>0.25</v>
      </c>
      <c r="G3341" s="0" t="n">
        <f aca="false">-1+C3341*0.25</f>
        <v>-0.75</v>
      </c>
      <c r="H3341" s="0" t="n">
        <f aca="false">-1+D3341*0.25</f>
        <v>0.5</v>
      </c>
      <c r="I3341" s="0" t="n">
        <f aca="false">1</f>
        <v>1</v>
      </c>
      <c r="J3341" s="0" t="n">
        <f aca="false">E3341</f>
        <v>0</v>
      </c>
      <c r="K3341" s="0" t="n">
        <f aca="false">F3341</f>
        <v>0.25</v>
      </c>
      <c r="L3341" s="0" t="n">
        <f aca="false">G3341</f>
        <v>-0.75</v>
      </c>
      <c r="M3341" s="0" t="n">
        <f aca="false">H3341</f>
        <v>0.5</v>
      </c>
      <c r="N3341" s="0" t="n">
        <f aca="false">E3341*F3341</f>
        <v>0</v>
      </c>
      <c r="O3341" s="0" t="n">
        <f aca="false">E3341*G3341</f>
        <v>-0</v>
      </c>
      <c r="P3341" s="0" t="n">
        <f aca="false">E3341*H3341</f>
        <v>0</v>
      </c>
      <c r="Q3341" s="0" t="n">
        <f aca="false">F3341*G3341</f>
        <v>-0.1875</v>
      </c>
      <c r="R3341" s="0" t="n">
        <f aca="false">F3341*H3341</f>
        <v>0.125</v>
      </c>
      <c r="S3341" s="0" t="n">
        <f aca="false">G3341*H3341</f>
        <v>-0.375</v>
      </c>
      <c r="T3341" s="0" t="n">
        <f aca="false">E3341*E3341</f>
        <v>0</v>
      </c>
      <c r="U3341" s="0" t="n">
        <f aca="false">F3341*F3341</f>
        <v>0.0625</v>
      </c>
      <c r="V3341" s="0" t="n">
        <f aca="false">G3341*G3341</f>
        <v>0.5625</v>
      </c>
      <c r="W3341" s="0" t="n">
        <f aca="false">H3341*H3341</f>
        <v>0.25</v>
      </c>
      <c r="X3341" s="0" t="n">
        <f aca="false">SUMPRODUCT(I3341:W3341,_XtX!$B$96:$P$96)</f>
        <v>47.0629157529239</v>
      </c>
      <c r="Y3341" s="0" t="n">
        <f aca="false">SUMPRODUCT(MMULT(I3341:W3341,_XtX!$B$78:$P$92),I3341:W3341)</f>
        <v>0.215110734192252</v>
      </c>
      <c r="Z3341" s="0" t="n">
        <f aca="false">04_回帰ANOVA!$K$19*04_回帰ANOVA!$K$14*SQRT(1+Y3341)</f>
        <v>1.43683309086864</v>
      </c>
      <c r="AA3341" s="0" t="n">
        <f aca="false">X3341-Z3341</f>
        <v>45.6260826620553</v>
      </c>
      <c r="AB3341" s="0" t="n">
        <f aca="false">X3341+Z3341</f>
        <v>48.4997488437926</v>
      </c>
      <c r="AC3341" s="54" t="b">
        <f aca="false">AND(E3341&gt;=01_因子設定!$L$5-0.000000001,E3341&lt;=01_因子設定!$M$5+0.000000001,F3341&gt;=01_因子設定!$L$6-0.000000001,F3341&lt;=01_因子設定!$M$6+0.000000001,G3341&gt;=01_因子設定!$L$7-0.000000001,G3341&lt;=01_因子設定!$M$7+0.000000001,H3341&gt;=01_因子設定!$L$8-0.000000001,H3341&lt;=01_因子設定!$M$8+0.000000001,IF(01_因子設定!$B$20="Box-Behnken",E3341^2+F3341^2+G3341^2+H3341^2&lt;=2+0.000000001,TRUE()))</f>
        <v>1</v>
      </c>
      <c r="AD3341" s="55" t="n">
        <f aca="false">IF(AC3341,IF(01_因子設定!$B$13="最大化",AA3341-01_因子設定!$B$14,IF(01_因子設定!$B$13="最小化",01_因子設定!$B$15-AB3341,MIN(AA3341-01_因子設定!$B$14,01_因子設定!$B$15-AB3341))),-1E+030)</f>
        <v>-0.873917337944725</v>
      </c>
      <c r="AE3341" s="55" t="n">
        <f aca="false">IF(AC3341,IF(01_因子設定!$B$13="最大化",X3341,IF(01_因子設定!$B$13="最小化",-X3341,-ABS(X3341-01_因子設定!$B$16))),-1E+030)</f>
        <v>47.0629157529239</v>
      </c>
      <c r="AF3341" s="55" t="n">
        <f aca="false">AD3341+ROW()*0.000000001</f>
        <v>-0.873913996944725</v>
      </c>
      <c r="AG3341" s="55" t="n">
        <f aca="false">AE3341+ROW()*0.000000001</f>
        <v>47.0629190939239</v>
      </c>
    </row>
    <row r="3342" customFormat="false" ht="15" hidden="false" customHeight="false" outlineLevel="0" collapsed="false">
      <c r="A3342" s="0" t="n">
        <v>4</v>
      </c>
      <c r="B3342" s="0" t="n">
        <v>5</v>
      </c>
      <c r="C3342" s="0" t="n">
        <v>1</v>
      </c>
      <c r="D3342" s="0" t="n">
        <v>7</v>
      </c>
      <c r="E3342" s="0" t="n">
        <f aca="false">-1+A3342*0.25</f>
        <v>0</v>
      </c>
      <c r="F3342" s="0" t="n">
        <f aca="false">-1+B3342*0.25</f>
        <v>0.25</v>
      </c>
      <c r="G3342" s="0" t="n">
        <f aca="false">-1+C3342*0.25</f>
        <v>-0.75</v>
      </c>
      <c r="H3342" s="0" t="n">
        <f aca="false">-1+D3342*0.25</f>
        <v>0.75</v>
      </c>
      <c r="I3342" s="0" t="n">
        <f aca="false">1</f>
        <v>1</v>
      </c>
      <c r="J3342" s="0" t="n">
        <f aca="false">E3342</f>
        <v>0</v>
      </c>
      <c r="K3342" s="0" t="n">
        <f aca="false">F3342</f>
        <v>0.25</v>
      </c>
      <c r="L3342" s="0" t="n">
        <f aca="false">G3342</f>
        <v>-0.75</v>
      </c>
      <c r="M3342" s="0" t="n">
        <f aca="false">H3342</f>
        <v>0.75</v>
      </c>
      <c r="N3342" s="0" t="n">
        <f aca="false">E3342*F3342</f>
        <v>0</v>
      </c>
      <c r="O3342" s="0" t="n">
        <f aca="false">E3342*G3342</f>
        <v>-0</v>
      </c>
      <c r="P3342" s="0" t="n">
        <f aca="false">E3342*H3342</f>
        <v>0</v>
      </c>
      <c r="Q3342" s="0" t="n">
        <f aca="false">F3342*G3342</f>
        <v>-0.1875</v>
      </c>
      <c r="R3342" s="0" t="n">
        <f aca="false">F3342*H3342</f>
        <v>0.1875</v>
      </c>
      <c r="S3342" s="0" t="n">
        <f aca="false">G3342*H3342</f>
        <v>-0.5625</v>
      </c>
      <c r="T3342" s="0" t="n">
        <f aca="false">E3342*E3342</f>
        <v>0</v>
      </c>
      <c r="U3342" s="0" t="n">
        <f aca="false">F3342*F3342</f>
        <v>0.0625</v>
      </c>
      <c r="V3342" s="0" t="n">
        <f aca="false">G3342*G3342</f>
        <v>0.5625</v>
      </c>
      <c r="W3342" s="0" t="n">
        <f aca="false">H3342*H3342</f>
        <v>0.5625</v>
      </c>
      <c r="X3342" s="0" t="n">
        <f aca="false">SUMPRODUCT(I3342:W3342,_XtX!$B$96:$P$96)</f>
        <v>46.9775995979532</v>
      </c>
      <c r="Y3342" s="0" t="n">
        <f aca="false">SUMPRODUCT(MMULT(I3342:W3342,_XtX!$B$78:$P$92),I3342:W3342)</f>
        <v>0.281685455500731</v>
      </c>
      <c r="Z3342" s="0" t="n">
        <f aca="false">04_回帰ANOVA!$K$19*04_回帰ANOVA!$K$14*SQRT(1+Y3342)</f>
        <v>1.47566956658694</v>
      </c>
      <c r="AA3342" s="0" t="n">
        <f aca="false">X3342-Z3342</f>
        <v>45.5019300313662</v>
      </c>
      <c r="AB3342" s="0" t="n">
        <f aca="false">X3342+Z3342</f>
        <v>48.4532691645401</v>
      </c>
      <c r="AC3342" s="54" t="b">
        <f aca="false">AND(E3342&gt;=01_因子設定!$L$5-0.000000001,E3342&lt;=01_因子設定!$M$5+0.000000001,F3342&gt;=01_因子設定!$L$6-0.000000001,F3342&lt;=01_因子設定!$M$6+0.000000001,G3342&gt;=01_因子設定!$L$7-0.000000001,G3342&lt;=01_因子設定!$M$7+0.000000001,H3342&gt;=01_因子設定!$L$8-0.000000001,H3342&lt;=01_因子設定!$M$8+0.000000001,IF(01_因子設定!$B$20="Box-Behnken",E3342^2+F3342^2+G3342^2+H3342^2&lt;=2+0.000000001,TRUE()))</f>
        <v>1</v>
      </c>
      <c r="AD3342" s="55" t="n">
        <f aca="false">IF(AC3342,IF(01_因子設定!$B$13="最大化",AA3342-01_因子設定!$B$14,IF(01_因子設定!$B$13="最小化",01_因子設定!$B$15-AB3342,MIN(AA3342-01_因子設定!$B$14,01_因子設定!$B$15-AB3342))),-1E+030)</f>
        <v>-0.998069968633764</v>
      </c>
      <c r="AE3342" s="55" t="n">
        <f aca="false">IF(AC3342,IF(01_因子設定!$B$13="最大化",X3342,IF(01_因子設定!$B$13="最小化",-X3342,-ABS(X3342-01_因子設定!$B$16))),-1E+030)</f>
        <v>46.9775995979532</v>
      </c>
      <c r="AF3342" s="55" t="n">
        <f aca="false">AD3342+ROW()*0.000000001</f>
        <v>-0.998066626633764</v>
      </c>
      <c r="AG3342" s="55" t="n">
        <f aca="false">AE3342+ROW()*0.000000001</f>
        <v>46.9776029399532</v>
      </c>
    </row>
    <row r="3343" customFormat="false" ht="15" hidden="false" customHeight="false" outlineLevel="0" collapsed="false">
      <c r="A3343" s="0" t="n">
        <v>4</v>
      </c>
      <c r="B3343" s="0" t="n">
        <v>5</v>
      </c>
      <c r="C3343" s="0" t="n">
        <v>1</v>
      </c>
      <c r="D3343" s="0" t="n">
        <v>8</v>
      </c>
      <c r="E3343" s="0" t="n">
        <f aca="false">-1+A3343*0.25</f>
        <v>0</v>
      </c>
      <c r="F3343" s="0" t="n">
        <f aca="false">-1+B3343*0.25</f>
        <v>0.25</v>
      </c>
      <c r="G3343" s="0" t="n">
        <f aca="false">-1+C3343*0.25</f>
        <v>-0.75</v>
      </c>
      <c r="H3343" s="0" t="n">
        <f aca="false">-1+D3343*0.25</f>
        <v>1</v>
      </c>
      <c r="I3343" s="0" t="n">
        <f aca="false">1</f>
        <v>1</v>
      </c>
      <c r="J3343" s="0" t="n">
        <f aca="false">E3343</f>
        <v>0</v>
      </c>
      <c r="K3343" s="0" t="n">
        <f aca="false">F3343</f>
        <v>0.25</v>
      </c>
      <c r="L3343" s="0" t="n">
        <f aca="false">G3343</f>
        <v>-0.75</v>
      </c>
      <c r="M3343" s="0" t="n">
        <f aca="false">H3343</f>
        <v>1</v>
      </c>
      <c r="N3343" s="0" t="n">
        <f aca="false">E3343*F3343</f>
        <v>0</v>
      </c>
      <c r="O3343" s="0" t="n">
        <f aca="false">E3343*G3343</f>
        <v>-0</v>
      </c>
      <c r="P3343" s="0" t="n">
        <f aca="false">E3343*H3343</f>
        <v>0</v>
      </c>
      <c r="Q3343" s="0" t="n">
        <f aca="false">F3343*G3343</f>
        <v>-0.1875</v>
      </c>
      <c r="R3343" s="0" t="n">
        <f aca="false">F3343*H3343</f>
        <v>0.25</v>
      </c>
      <c r="S3343" s="0" t="n">
        <f aca="false">G3343*H3343</f>
        <v>-0.75</v>
      </c>
      <c r="T3343" s="0" t="n">
        <f aca="false">E3343*E3343</f>
        <v>0</v>
      </c>
      <c r="U3343" s="0" t="n">
        <f aca="false">F3343*F3343</f>
        <v>0.0625</v>
      </c>
      <c r="V3343" s="0" t="n">
        <f aca="false">G3343*G3343</f>
        <v>0.5625</v>
      </c>
      <c r="W3343" s="0" t="n">
        <f aca="false">H3343*H3343</f>
        <v>1</v>
      </c>
      <c r="X3343" s="0" t="n">
        <f aca="false">SUMPRODUCT(I3343:W3343,_XtX!$B$96:$P$96)</f>
        <v>46.8444764254386</v>
      </c>
      <c r="Y3343" s="0" t="n">
        <f aca="false">SUMPRODUCT(MMULT(I3343:W3343,_XtX!$B$78:$P$92),I3343:W3343)</f>
        <v>0.501534802174708</v>
      </c>
      <c r="Z3343" s="0" t="n">
        <f aca="false">04_回帰ANOVA!$K$19*04_回帰ANOVA!$K$14*SQRT(1+Y3343)</f>
        <v>1.59722498091333</v>
      </c>
      <c r="AA3343" s="0" t="n">
        <f aca="false">X3343-Z3343</f>
        <v>45.2472514445252</v>
      </c>
      <c r="AB3343" s="0" t="n">
        <f aca="false">X3343+Z3343</f>
        <v>48.4417014063519</v>
      </c>
      <c r="AC3343" s="54" t="b">
        <f aca="false">AND(E3343&gt;=01_因子設定!$L$5-0.000000001,E3343&lt;=01_因子設定!$M$5+0.000000001,F3343&gt;=01_因子設定!$L$6-0.000000001,F3343&lt;=01_因子設定!$M$6+0.000000001,G3343&gt;=01_因子設定!$L$7-0.000000001,G3343&lt;=01_因子設定!$M$7+0.000000001,H3343&gt;=01_因子設定!$L$8-0.000000001,H3343&lt;=01_因子設定!$M$8+0.000000001,IF(01_因子設定!$B$20="Box-Behnken",E3343^2+F3343^2+G3343^2+H3343^2&lt;=2+0.000000001,TRUE()))</f>
        <v>1</v>
      </c>
      <c r="AD3343" s="55" t="n">
        <f aca="false">IF(AC3343,IF(01_因子設定!$B$13="最大化",AA3343-01_因子設定!$B$14,IF(01_因子設定!$B$13="最小化",01_因子設定!$B$15-AB3343,MIN(AA3343-01_因子設定!$B$14,01_因子設定!$B$15-AB3343))),-1E+030)</f>
        <v>-1.25274855547476</v>
      </c>
      <c r="AE3343" s="55" t="n">
        <f aca="false">IF(AC3343,IF(01_因子設定!$B$13="最大化",X3343,IF(01_因子設定!$B$13="最小化",-X3343,-ABS(X3343-01_因子設定!$B$16))),-1E+030)</f>
        <v>46.8444764254386</v>
      </c>
      <c r="AF3343" s="55" t="n">
        <f aca="false">AD3343+ROW()*0.000000001</f>
        <v>-1.25274521247476</v>
      </c>
      <c r="AG3343" s="55" t="n">
        <f aca="false">AE3343+ROW()*0.000000001</f>
        <v>46.8444797684386</v>
      </c>
    </row>
    <row r="3344" customFormat="false" ht="15" hidden="false" customHeight="false" outlineLevel="0" collapsed="false">
      <c r="A3344" s="0" t="n">
        <v>4</v>
      </c>
      <c r="B3344" s="0" t="n">
        <v>5</v>
      </c>
      <c r="C3344" s="0" t="n">
        <v>2</v>
      </c>
      <c r="D3344" s="0" t="n">
        <v>0</v>
      </c>
      <c r="E3344" s="0" t="n">
        <f aca="false">-1+A3344*0.25</f>
        <v>0</v>
      </c>
      <c r="F3344" s="0" t="n">
        <f aca="false">-1+B3344*0.25</f>
        <v>0.25</v>
      </c>
      <c r="G3344" s="0" t="n">
        <f aca="false">-1+C3344*0.25</f>
        <v>-0.5</v>
      </c>
      <c r="H3344" s="0" t="n">
        <f aca="false">-1+D3344*0.25</f>
        <v>-1</v>
      </c>
      <c r="I3344" s="0" t="n">
        <f aca="false">1</f>
        <v>1</v>
      </c>
      <c r="J3344" s="0" t="n">
        <f aca="false">E3344</f>
        <v>0</v>
      </c>
      <c r="K3344" s="0" t="n">
        <f aca="false">F3344</f>
        <v>0.25</v>
      </c>
      <c r="L3344" s="0" t="n">
        <f aca="false">G3344</f>
        <v>-0.5</v>
      </c>
      <c r="M3344" s="0" t="n">
        <f aca="false">H3344</f>
        <v>-1</v>
      </c>
      <c r="N3344" s="0" t="n">
        <f aca="false">E3344*F3344</f>
        <v>0</v>
      </c>
      <c r="O3344" s="0" t="n">
        <f aca="false">E3344*G3344</f>
        <v>-0</v>
      </c>
      <c r="P3344" s="0" t="n">
        <f aca="false">E3344*H3344</f>
        <v>-0</v>
      </c>
      <c r="Q3344" s="0" t="n">
        <f aca="false">F3344*G3344</f>
        <v>-0.125</v>
      </c>
      <c r="R3344" s="0" t="n">
        <f aca="false">F3344*H3344</f>
        <v>-0.25</v>
      </c>
      <c r="S3344" s="0" t="n">
        <f aca="false">G3344*H3344</f>
        <v>0.5</v>
      </c>
      <c r="T3344" s="0" t="n">
        <f aca="false">E3344*E3344</f>
        <v>0</v>
      </c>
      <c r="U3344" s="0" t="n">
        <f aca="false">F3344*F3344</f>
        <v>0.0625</v>
      </c>
      <c r="V3344" s="0" t="n">
        <f aca="false">G3344*G3344</f>
        <v>0.25</v>
      </c>
      <c r="W3344" s="0" t="n">
        <f aca="false">H3344*H3344</f>
        <v>1</v>
      </c>
      <c r="X3344" s="0" t="n">
        <f aca="false">SUMPRODUCT(I3344:W3344,_XtX!$B$96:$P$96)</f>
        <v>46.9776224415204</v>
      </c>
      <c r="Y3344" s="0" t="n">
        <f aca="false">SUMPRODUCT(MMULT(I3344:W3344,_XtX!$B$78:$P$92),I3344:W3344)</f>
        <v>0.457596628289474</v>
      </c>
      <c r="Z3344" s="0" t="n">
        <f aca="false">04_回帰ANOVA!$K$19*04_回帰ANOVA!$K$14*SQRT(1+Y3344)</f>
        <v>1.57368233664366</v>
      </c>
      <c r="AA3344" s="0" t="n">
        <f aca="false">X3344-Z3344</f>
        <v>45.4039401048768</v>
      </c>
      <c r="AB3344" s="0" t="n">
        <f aca="false">X3344+Z3344</f>
        <v>48.5513047781641</v>
      </c>
      <c r="AC3344" s="54" t="b">
        <f aca="false">AND(E3344&gt;=01_因子設定!$L$5-0.000000001,E3344&lt;=01_因子設定!$M$5+0.000000001,F3344&gt;=01_因子設定!$L$6-0.000000001,F3344&lt;=01_因子設定!$M$6+0.000000001,G3344&gt;=01_因子設定!$L$7-0.000000001,G3344&lt;=01_因子設定!$M$7+0.000000001,H3344&gt;=01_因子設定!$L$8-0.000000001,H3344&lt;=01_因子設定!$M$8+0.000000001,IF(01_因子設定!$B$20="Box-Behnken",E3344^2+F3344^2+G3344^2+H3344^2&lt;=2+0.000000001,TRUE()))</f>
        <v>1</v>
      </c>
      <c r="AD3344" s="55" t="n">
        <f aca="false">IF(AC3344,IF(01_因子設定!$B$13="最大化",AA3344-01_因子設定!$B$14,IF(01_因子設定!$B$13="最小化",01_因子設定!$B$15-AB3344,MIN(AA3344-01_因子設定!$B$14,01_因子設定!$B$15-AB3344))),-1E+030)</f>
        <v>-1.09605989512322</v>
      </c>
      <c r="AE3344" s="55" t="n">
        <f aca="false">IF(AC3344,IF(01_因子設定!$B$13="最大化",X3344,IF(01_因子設定!$B$13="最小化",-X3344,-ABS(X3344-01_因子設定!$B$16))),-1E+030)</f>
        <v>46.9776224415204</v>
      </c>
      <c r="AF3344" s="55" t="n">
        <f aca="false">AD3344+ROW()*0.000000001</f>
        <v>-1.09605655112322</v>
      </c>
      <c r="AG3344" s="55" t="n">
        <f aca="false">AE3344+ROW()*0.000000001</f>
        <v>46.9776257855204</v>
      </c>
    </row>
    <row r="3345" customFormat="false" ht="15" hidden="false" customHeight="false" outlineLevel="0" collapsed="false">
      <c r="A3345" s="0" t="n">
        <v>4</v>
      </c>
      <c r="B3345" s="0" t="n">
        <v>5</v>
      </c>
      <c r="C3345" s="0" t="n">
        <v>2</v>
      </c>
      <c r="D3345" s="0" t="n">
        <v>1</v>
      </c>
      <c r="E3345" s="0" t="n">
        <f aca="false">-1+A3345*0.25</f>
        <v>0</v>
      </c>
      <c r="F3345" s="0" t="n">
        <f aca="false">-1+B3345*0.25</f>
        <v>0.25</v>
      </c>
      <c r="G3345" s="0" t="n">
        <f aca="false">-1+C3345*0.25</f>
        <v>-0.5</v>
      </c>
      <c r="H3345" s="0" t="n">
        <f aca="false">-1+D3345*0.25</f>
        <v>-0.75</v>
      </c>
      <c r="I3345" s="0" t="n">
        <f aca="false">1</f>
        <v>1</v>
      </c>
      <c r="J3345" s="0" t="n">
        <f aca="false">E3345</f>
        <v>0</v>
      </c>
      <c r="K3345" s="0" t="n">
        <f aca="false">F3345</f>
        <v>0.25</v>
      </c>
      <c r="L3345" s="0" t="n">
        <f aca="false">G3345</f>
        <v>-0.5</v>
      </c>
      <c r="M3345" s="0" t="n">
        <f aca="false">H3345</f>
        <v>-0.75</v>
      </c>
      <c r="N3345" s="0" t="n">
        <f aca="false">E3345*F3345</f>
        <v>0</v>
      </c>
      <c r="O3345" s="0" t="n">
        <f aca="false">E3345*G3345</f>
        <v>-0</v>
      </c>
      <c r="P3345" s="0" t="n">
        <f aca="false">E3345*H3345</f>
        <v>-0</v>
      </c>
      <c r="Q3345" s="0" t="n">
        <f aca="false">F3345*G3345</f>
        <v>-0.125</v>
      </c>
      <c r="R3345" s="0" t="n">
        <f aca="false">F3345*H3345</f>
        <v>-0.1875</v>
      </c>
      <c r="S3345" s="0" t="n">
        <f aca="false">G3345*H3345</f>
        <v>0.375</v>
      </c>
      <c r="T3345" s="0" t="n">
        <f aca="false">E3345*E3345</f>
        <v>0</v>
      </c>
      <c r="U3345" s="0" t="n">
        <f aca="false">F3345*F3345</f>
        <v>0.0625</v>
      </c>
      <c r="V3345" s="0" t="n">
        <f aca="false">G3345*G3345</f>
        <v>0.25</v>
      </c>
      <c r="W3345" s="0" t="n">
        <f aca="false">H3345*H3345</f>
        <v>0.5625</v>
      </c>
      <c r="X3345" s="0" t="n">
        <f aca="false">SUMPRODUCT(I3345:W3345,_XtX!$B$96:$P$96)</f>
        <v>47.1971171418128</v>
      </c>
      <c r="Y3345" s="0" t="n">
        <f aca="false">SUMPRODUCT(MMULT(I3345:W3345,_XtX!$B$78:$P$92),I3345:W3345)</f>
        <v>0.215110734192252</v>
      </c>
      <c r="Z3345" s="0" t="n">
        <f aca="false">04_回帰ANOVA!$K$19*04_回帰ANOVA!$K$14*SQRT(1+Y3345)</f>
        <v>1.43683309086864</v>
      </c>
      <c r="AA3345" s="0" t="n">
        <f aca="false">X3345-Z3345</f>
        <v>45.7602840509442</v>
      </c>
      <c r="AB3345" s="0" t="n">
        <f aca="false">X3345+Z3345</f>
        <v>48.6339502326815</v>
      </c>
      <c r="AC3345" s="54" t="b">
        <f aca="false">AND(E3345&gt;=01_因子設定!$L$5-0.000000001,E3345&lt;=01_因子設定!$M$5+0.000000001,F3345&gt;=01_因子設定!$L$6-0.000000001,F3345&lt;=01_因子設定!$M$6+0.000000001,G3345&gt;=01_因子設定!$L$7-0.000000001,G3345&lt;=01_因子設定!$M$7+0.000000001,H3345&gt;=01_因子設定!$L$8-0.000000001,H3345&lt;=01_因子設定!$M$8+0.000000001,IF(01_因子設定!$B$20="Box-Behnken",E3345^2+F3345^2+G3345^2+H3345^2&lt;=2+0.000000001,TRUE()))</f>
        <v>1</v>
      </c>
      <c r="AD3345" s="55" t="n">
        <f aca="false">IF(AC3345,IF(01_因子設定!$B$13="最大化",AA3345-01_因子設定!$B$14,IF(01_因子設定!$B$13="最小化",01_因子設定!$B$15-AB3345,MIN(AA3345-01_因子設定!$B$14,01_因子設定!$B$15-AB3345))),-1E+030)</f>
        <v>-0.739715949055821</v>
      </c>
      <c r="AE3345" s="55" t="n">
        <f aca="false">IF(AC3345,IF(01_因子設定!$B$13="最大化",X3345,IF(01_因子設定!$B$13="最小化",-X3345,-ABS(X3345-01_因子設定!$B$16))),-1E+030)</f>
        <v>47.1971171418128</v>
      </c>
      <c r="AF3345" s="55" t="n">
        <f aca="false">AD3345+ROW()*0.000000001</f>
        <v>-0.739712604055821</v>
      </c>
      <c r="AG3345" s="55" t="n">
        <f aca="false">AE3345+ROW()*0.000000001</f>
        <v>47.1971204868128</v>
      </c>
    </row>
    <row r="3346" customFormat="false" ht="15" hidden="false" customHeight="false" outlineLevel="0" collapsed="false">
      <c r="A3346" s="0" t="n">
        <v>4</v>
      </c>
      <c r="B3346" s="0" t="n">
        <v>5</v>
      </c>
      <c r="C3346" s="0" t="n">
        <v>2</v>
      </c>
      <c r="D3346" s="0" t="n">
        <v>2</v>
      </c>
      <c r="E3346" s="0" t="n">
        <f aca="false">-1+A3346*0.25</f>
        <v>0</v>
      </c>
      <c r="F3346" s="0" t="n">
        <f aca="false">-1+B3346*0.25</f>
        <v>0.25</v>
      </c>
      <c r="G3346" s="0" t="n">
        <f aca="false">-1+C3346*0.25</f>
        <v>-0.5</v>
      </c>
      <c r="H3346" s="0" t="n">
        <f aca="false">-1+D3346*0.25</f>
        <v>-0.5</v>
      </c>
      <c r="I3346" s="0" t="n">
        <f aca="false">1</f>
        <v>1</v>
      </c>
      <c r="J3346" s="0" t="n">
        <f aca="false">E3346</f>
        <v>0</v>
      </c>
      <c r="K3346" s="0" t="n">
        <f aca="false">F3346</f>
        <v>0.25</v>
      </c>
      <c r="L3346" s="0" t="n">
        <f aca="false">G3346</f>
        <v>-0.5</v>
      </c>
      <c r="M3346" s="0" t="n">
        <f aca="false">H3346</f>
        <v>-0.5</v>
      </c>
      <c r="N3346" s="0" t="n">
        <f aca="false">E3346*F3346</f>
        <v>0</v>
      </c>
      <c r="O3346" s="0" t="n">
        <f aca="false">E3346*G3346</f>
        <v>-0</v>
      </c>
      <c r="P3346" s="0" t="n">
        <f aca="false">E3346*H3346</f>
        <v>-0</v>
      </c>
      <c r="Q3346" s="0" t="n">
        <f aca="false">F3346*G3346</f>
        <v>-0.125</v>
      </c>
      <c r="R3346" s="0" t="n">
        <f aca="false">F3346*H3346</f>
        <v>-0.125</v>
      </c>
      <c r="S3346" s="0" t="n">
        <f aca="false">G3346*H3346</f>
        <v>0.25</v>
      </c>
      <c r="T3346" s="0" t="n">
        <f aca="false">E3346*E3346</f>
        <v>0</v>
      </c>
      <c r="U3346" s="0" t="n">
        <f aca="false">F3346*F3346</f>
        <v>0.0625</v>
      </c>
      <c r="V3346" s="0" t="n">
        <f aca="false">G3346*G3346</f>
        <v>0.25</v>
      </c>
      <c r="W3346" s="0" t="n">
        <f aca="false">H3346*H3346</f>
        <v>0.25</v>
      </c>
      <c r="X3346" s="0" t="n">
        <f aca="false">SUMPRODUCT(I3346:W3346,_XtX!$B$96:$P$96)</f>
        <v>47.3688048245613</v>
      </c>
      <c r="Y3346" s="0" t="n">
        <f aca="false">SUMPRODUCT(MMULT(I3346:W3346,_XtX!$B$78:$P$92),I3346:W3346)</f>
        <v>0.132367050438597</v>
      </c>
      <c r="Z3346" s="0" t="n">
        <f aca="false">04_回帰ANOVA!$K$19*04_回帰ANOVA!$K$14*SQRT(1+Y3346)</f>
        <v>1.38704964208329</v>
      </c>
      <c r="AA3346" s="0" t="n">
        <f aca="false">X3346-Z3346</f>
        <v>45.9817551824781</v>
      </c>
      <c r="AB3346" s="0" t="n">
        <f aca="false">X3346+Z3346</f>
        <v>48.7558544666446</v>
      </c>
      <c r="AC3346" s="54" t="b">
        <f aca="false">AND(E3346&gt;=01_因子設定!$L$5-0.000000001,E3346&lt;=01_因子設定!$M$5+0.000000001,F3346&gt;=01_因子設定!$L$6-0.000000001,F3346&lt;=01_因子設定!$M$6+0.000000001,G3346&gt;=01_因子設定!$L$7-0.000000001,G3346&lt;=01_因子設定!$M$7+0.000000001,H3346&gt;=01_因子設定!$L$8-0.000000001,H3346&lt;=01_因子設定!$M$8+0.000000001,IF(01_因子設定!$B$20="Box-Behnken",E3346^2+F3346^2+G3346^2+H3346^2&lt;=2+0.000000001,TRUE()))</f>
        <v>1</v>
      </c>
      <c r="AD3346" s="55" t="n">
        <f aca="false">IF(AC3346,IF(01_因子設定!$B$13="最大化",AA3346-01_因子設定!$B$14,IF(01_因子設定!$B$13="最小化",01_因子設定!$B$15-AB3346,MIN(AA3346-01_因子設定!$B$14,01_因子設定!$B$15-AB3346))),-1E+030)</f>
        <v>-0.518244817521946</v>
      </c>
      <c r="AE3346" s="55" t="n">
        <f aca="false">IF(AC3346,IF(01_因子設定!$B$13="最大化",X3346,IF(01_因子設定!$B$13="最小化",-X3346,-ABS(X3346-01_因子設定!$B$16))),-1E+030)</f>
        <v>47.3688048245613</v>
      </c>
      <c r="AF3346" s="55" t="n">
        <f aca="false">AD3346+ROW()*0.000000001</f>
        <v>-0.518241471521946</v>
      </c>
      <c r="AG3346" s="55" t="n">
        <f aca="false">AE3346+ROW()*0.000000001</f>
        <v>47.3688081705613</v>
      </c>
    </row>
    <row r="3347" customFormat="false" ht="15" hidden="false" customHeight="false" outlineLevel="0" collapsed="false">
      <c r="A3347" s="0" t="n">
        <v>4</v>
      </c>
      <c r="B3347" s="0" t="n">
        <v>5</v>
      </c>
      <c r="C3347" s="0" t="n">
        <v>2</v>
      </c>
      <c r="D3347" s="0" t="n">
        <v>3</v>
      </c>
      <c r="E3347" s="0" t="n">
        <f aca="false">-1+A3347*0.25</f>
        <v>0</v>
      </c>
      <c r="F3347" s="0" t="n">
        <f aca="false">-1+B3347*0.25</f>
        <v>0.25</v>
      </c>
      <c r="G3347" s="0" t="n">
        <f aca="false">-1+C3347*0.25</f>
        <v>-0.5</v>
      </c>
      <c r="H3347" s="0" t="n">
        <f aca="false">-1+D3347*0.25</f>
        <v>-0.25</v>
      </c>
      <c r="I3347" s="0" t="n">
        <f aca="false">1</f>
        <v>1</v>
      </c>
      <c r="J3347" s="0" t="n">
        <f aca="false">E3347</f>
        <v>0</v>
      </c>
      <c r="K3347" s="0" t="n">
        <f aca="false">F3347</f>
        <v>0.25</v>
      </c>
      <c r="L3347" s="0" t="n">
        <f aca="false">G3347</f>
        <v>-0.5</v>
      </c>
      <c r="M3347" s="0" t="n">
        <f aca="false">H3347</f>
        <v>-0.25</v>
      </c>
      <c r="N3347" s="0" t="n">
        <f aca="false">E3347*F3347</f>
        <v>0</v>
      </c>
      <c r="O3347" s="0" t="n">
        <f aca="false">E3347*G3347</f>
        <v>-0</v>
      </c>
      <c r="P3347" s="0" t="n">
        <f aca="false">E3347*H3347</f>
        <v>-0</v>
      </c>
      <c r="Q3347" s="0" t="n">
        <f aca="false">F3347*G3347</f>
        <v>-0.125</v>
      </c>
      <c r="R3347" s="0" t="n">
        <f aca="false">F3347*H3347</f>
        <v>-0.0625</v>
      </c>
      <c r="S3347" s="0" t="n">
        <f aca="false">G3347*H3347</f>
        <v>0.125</v>
      </c>
      <c r="T3347" s="0" t="n">
        <f aca="false">E3347*E3347</f>
        <v>0</v>
      </c>
      <c r="U3347" s="0" t="n">
        <f aca="false">F3347*F3347</f>
        <v>0.0625</v>
      </c>
      <c r="V3347" s="0" t="n">
        <f aca="false">G3347*G3347</f>
        <v>0.25</v>
      </c>
      <c r="W3347" s="0" t="n">
        <f aca="false">H3347*H3347</f>
        <v>0.0625</v>
      </c>
      <c r="X3347" s="0" t="n">
        <f aca="false">SUMPRODUCT(I3347:W3347,_XtX!$B$96:$P$96)</f>
        <v>47.492685489766</v>
      </c>
      <c r="Y3347" s="0" t="n">
        <f aca="false">SUMPRODUCT(MMULT(I3347:W3347,_XtX!$B$78:$P$92),I3347:W3347)</f>
        <v>0.118905050712719</v>
      </c>
      <c r="Z3347" s="0" t="n">
        <f aca="false">04_回帰ANOVA!$K$19*04_回帰ANOVA!$K$14*SQRT(1+Y3347)</f>
        <v>1.37878011033769</v>
      </c>
      <c r="AA3347" s="0" t="n">
        <f aca="false">X3347-Z3347</f>
        <v>46.1139053794283</v>
      </c>
      <c r="AB3347" s="0" t="n">
        <f aca="false">X3347+Z3347</f>
        <v>48.8714656001037</v>
      </c>
      <c r="AC3347" s="54" t="b">
        <f aca="false">AND(E3347&gt;=01_因子設定!$L$5-0.000000001,E3347&lt;=01_因子設定!$M$5+0.000000001,F3347&gt;=01_因子設定!$L$6-0.000000001,F3347&lt;=01_因子設定!$M$6+0.000000001,G3347&gt;=01_因子設定!$L$7-0.000000001,G3347&lt;=01_因子設定!$M$7+0.000000001,H3347&gt;=01_因子設定!$L$8-0.000000001,H3347&lt;=01_因子設定!$M$8+0.000000001,IF(01_因子設定!$B$20="Box-Behnken",E3347^2+F3347^2+G3347^2+H3347^2&lt;=2+0.000000001,TRUE()))</f>
        <v>1</v>
      </c>
      <c r="AD3347" s="55" t="n">
        <f aca="false">IF(AC3347,IF(01_因子設定!$B$13="最大化",AA3347-01_因子設定!$B$14,IF(01_因子設定!$B$13="最小化",01_因子設定!$B$15-AB3347,MIN(AA3347-01_因子設定!$B$14,01_因子設定!$B$15-AB3347))),-1E+030)</f>
        <v>-0.386094620571669</v>
      </c>
      <c r="AE3347" s="55" t="n">
        <f aca="false">IF(AC3347,IF(01_因子設定!$B$13="最大化",X3347,IF(01_因子設定!$B$13="最小化",-X3347,-ABS(X3347-01_因子設定!$B$16))),-1E+030)</f>
        <v>47.492685489766</v>
      </c>
      <c r="AF3347" s="55" t="n">
        <f aca="false">AD3347+ROW()*0.000000001</f>
        <v>-0.386091273571669</v>
      </c>
      <c r="AG3347" s="55" t="n">
        <f aca="false">AE3347+ROW()*0.000000001</f>
        <v>47.492688836766</v>
      </c>
    </row>
    <row r="3348" customFormat="false" ht="15" hidden="false" customHeight="false" outlineLevel="0" collapsed="false">
      <c r="A3348" s="0" t="n">
        <v>4</v>
      </c>
      <c r="B3348" s="0" t="n">
        <v>5</v>
      </c>
      <c r="C3348" s="0" t="n">
        <v>2</v>
      </c>
      <c r="D3348" s="0" t="n">
        <v>4</v>
      </c>
      <c r="E3348" s="0" t="n">
        <f aca="false">-1+A3348*0.25</f>
        <v>0</v>
      </c>
      <c r="F3348" s="0" t="n">
        <f aca="false">-1+B3348*0.25</f>
        <v>0.25</v>
      </c>
      <c r="G3348" s="0" t="n">
        <f aca="false">-1+C3348*0.25</f>
        <v>-0.5</v>
      </c>
      <c r="H3348" s="0" t="n">
        <f aca="false">-1+D3348*0.25</f>
        <v>0</v>
      </c>
      <c r="I3348" s="0" t="n">
        <f aca="false">1</f>
        <v>1</v>
      </c>
      <c r="J3348" s="0" t="n">
        <f aca="false">E3348</f>
        <v>0</v>
      </c>
      <c r="K3348" s="0" t="n">
        <f aca="false">F3348</f>
        <v>0.25</v>
      </c>
      <c r="L3348" s="0" t="n">
        <f aca="false">G3348</f>
        <v>-0.5</v>
      </c>
      <c r="M3348" s="0" t="n">
        <f aca="false">H3348</f>
        <v>0</v>
      </c>
      <c r="N3348" s="0" t="n">
        <f aca="false">E3348*F3348</f>
        <v>0</v>
      </c>
      <c r="O3348" s="0" t="n">
        <f aca="false">E3348*G3348</f>
        <v>-0</v>
      </c>
      <c r="P3348" s="0" t="n">
        <f aca="false">E3348*H3348</f>
        <v>0</v>
      </c>
      <c r="Q3348" s="0" t="n">
        <f aca="false">F3348*G3348</f>
        <v>-0.125</v>
      </c>
      <c r="R3348" s="0" t="n">
        <f aca="false">F3348*H3348</f>
        <v>0</v>
      </c>
      <c r="S3348" s="0" t="n">
        <f aca="false">G3348*H3348</f>
        <v>-0</v>
      </c>
      <c r="T3348" s="0" t="n">
        <f aca="false">E3348*E3348</f>
        <v>0</v>
      </c>
      <c r="U3348" s="0" t="n">
        <f aca="false">F3348*F3348</f>
        <v>0.0625</v>
      </c>
      <c r="V3348" s="0" t="n">
        <f aca="false">G3348*G3348</f>
        <v>0.25</v>
      </c>
      <c r="W3348" s="0" t="n">
        <f aca="false">H3348*H3348</f>
        <v>0</v>
      </c>
      <c r="X3348" s="0" t="n">
        <f aca="false">SUMPRODUCT(I3348:W3348,_XtX!$B$96:$P$96)</f>
        <v>47.5687591374268</v>
      </c>
      <c r="Y3348" s="0" t="n">
        <f aca="false">SUMPRODUCT(MMULT(I3348:W3348,_XtX!$B$78:$P$92),I3348:W3348)</f>
        <v>0.120448419225146</v>
      </c>
      <c r="Z3348" s="0" t="n">
        <f aca="false">04_回帰ANOVA!$K$19*04_回帰ANOVA!$K$14*SQRT(1+Y3348)</f>
        <v>1.37973069703246</v>
      </c>
      <c r="AA3348" s="0" t="n">
        <f aca="false">X3348-Z3348</f>
        <v>46.1890284403944</v>
      </c>
      <c r="AB3348" s="0" t="n">
        <f aca="false">X3348+Z3348</f>
        <v>48.9484898344593</v>
      </c>
      <c r="AC3348" s="54" t="b">
        <f aca="false">AND(E3348&gt;=01_因子設定!$L$5-0.000000001,E3348&lt;=01_因子設定!$M$5+0.000000001,F3348&gt;=01_因子設定!$L$6-0.000000001,F3348&lt;=01_因子設定!$M$6+0.000000001,G3348&gt;=01_因子設定!$L$7-0.000000001,G3348&lt;=01_因子設定!$M$7+0.000000001,H3348&gt;=01_因子設定!$L$8-0.000000001,H3348&lt;=01_因子設定!$M$8+0.000000001,IF(01_因子設定!$B$20="Box-Behnken",E3348^2+F3348^2+G3348^2+H3348^2&lt;=2+0.000000001,TRUE()))</f>
        <v>1</v>
      </c>
      <c r="AD3348" s="55" t="n">
        <f aca="false">IF(AC3348,IF(01_因子設定!$B$13="最大化",AA3348-01_因子設定!$B$14,IF(01_因子設定!$B$13="最小化",01_因子設定!$B$15-AB3348,MIN(AA3348-01_因子設定!$B$14,01_因子設定!$B$15-AB3348))),-1E+030)</f>
        <v>-0.310971559605626</v>
      </c>
      <c r="AE3348" s="55" t="n">
        <f aca="false">IF(AC3348,IF(01_因子設定!$B$13="最大化",X3348,IF(01_因子設定!$B$13="最小化",-X3348,-ABS(X3348-01_因子設定!$B$16))),-1E+030)</f>
        <v>47.5687591374268</v>
      </c>
      <c r="AF3348" s="55" t="n">
        <f aca="false">AD3348+ROW()*0.000000001</f>
        <v>-0.310968211605626</v>
      </c>
      <c r="AG3348" s="55" t="n">
        <f aca="false">AE3348+ROW()*0.000000001</f>
        <v>47.5687624854268</v>
      </c>
    </row>
    <row r="3349" customFormat="false" ht="15" hidden="false" customHeight="false" outlineLevel="0" collapsed="false">
      <c r="A3349" s="0" t="n">
        <v>4</v>
      </c>
      <c r="B3349" s="0" t="n">
        <v>5</v>
      </c>
      <c r="C3349" s="0" t="n">
        <v>2</v>
      </c>
      <c r="D3349" s="0" t="n">
        <v>5</v>
      </c>
      <c r="E3349" s="0" t="n">
        <f aca="false">-1+A3349*0.25</f>
        <v>0</v>
      </c>
      <c r="F3349" s="0" t="n">
        <f aca="false">-1+B3349*0.25</f>
        <v>0.25</v>
      </c>
      <c r="G3349" s="0" t="n">
        <f aca="false">-1+C3349*0.25</f>
        <v>-0.5</v>
      </c>
      <c r="H3349" s="0" t="n">
        <f aca="false">-1+D3349*0.25</f>
        <v>0.25</v>
      </c>
      <c r="I3349" s="0" t="n">
        <f aca="false">1</f>
        <v>1</v>
      </c>
      <c r="J3349" s="0" t="n">
        <f aca="false">E3349</f>
        <v>0</v>
      </c>
      <c r="K3349" s="0" t="n">
        <f aca="false">F3349</f>
        <v>0.25</v>
      </c>
      <c r="L3349" s="0" t="n">
        <f aca="false">G3349</f>
        <v>-0.5</v>
      </c>
      <c r="M3349" s="0" t="n">
        <f aca="false">H3349</f>
        <v>0.25</v>
      </c>
      <c r="N3349" s="0" t="n">
        <f aca="false">E3349*F3349</f>
        <v>0</v>
      </c>
      <c r="O3349" s="0" t="n">
        <f aca="false">E3349*G3349</f>
        <v>-0</v>
      </c>
      <c r="P3349" s="0" t="n">
        <f aca="false">E3349*H3349</f>
        <v>0</v>
      </c>
      <c r="Q3349" s="0" t="n">
        <f aca="false">F3349*G3349</f>
        <v>-0.125</v>
      </c>
      <c r="R3349" s="0" t="n">
        <f aca="false">F3349*H3349</f>
        <v>0.0625</v>
      </c>
      <c r="S3349" s="0" t="n">
        <f aca="false">G3349*H3349</f>
        <v>-0.125</v>
      </c>
      <c r="T3349" s="0" t="n">
        <f aca="false">E3349*E3349</f>
        <v>0</v>
      </c>
      <c r="U3349" s="0" t="n">
        <f aca="false">F3349*F3349</f>
        <v>0.0625</v>
      </c>
      <c r="V3349" s="0" t="n">
        <f aca="false">G3349*G3349</f>
        <v>0.25</v>
      </c>
      <c r="W3349" s="0" t="n">
        <f aca="false">H3349*H3349</f>
        <v>0.0625</v>
      </c>
      <c r="X3349" s="0" t="n">
        <f aca="false">SUMPRODUCT(I3349:W3349,_XtX!$B$96:$P$96)</f>
        <v>47.5970257675438</v>
      </c>
      <c r="Y3349" s="0" t="n">
        <f aca="false">SUMPRODUCT(MMULT(I3349:W3349,_XtX!$B$78:$P$92),I3349:W3349)</f>
        <v>0.118905050712719</v>
      </c>
      <c r="Z3349" s="0" t="n">
        <f aca="false">04_回帰ANOVA!$K$19*04_回帰ANOVA!$K$14*SQRT(1+Y3349)</f>
        <v>1.37878011033769</v>
      </c>
      <c r="AA3349" s="0" t="n">
        <f aca="false">X3349-Z3349</f>
        <v>46.2182456572061</v>
      </c>
      <c r="AB3349" s="0" t="n">
        <f aca="false">X3349+Z3349</f>
        <v>48.9758058778815</v>
      </c>
      <c r="AC3349" s="54" t="b">
        <f aca="false">AND(E3349&gt;=01_因子設定!$L$5-0.000000001,E3349&lt;=01_因子設定!$M$5+0.000000001,F3349&gt;=01_因子設定!$L$6-0.000000001,F3349&lt;=01_因子設定!$M$6+0.000000001,G3349&gt;=01_因子設定!$L$7-0.000000001,G3349&lt;=01_因子設定!$M$7+0.000000001,H3349&gt;=01_因子設定!$L$8-0.000000001,H3349&lt;=01_因子設定!$M$8+0.000000001,IF(01_因子設定!$B$20="Box-Behnken",E3349^2+F3349^2+G3349^2+H3349^2&lt;=2+0.000000001,TRUE()))</f>
        <v>1</v>
      </c>
      <c r="AD3349" s="55" t="n">
        <f aca="false">IF(AC3349,IF(01_因子設定!$B$13="最大化",AA3349-01_因子設定!$B$14,IF(01_因子設定!$B$13="最小化",01_因子設定!$B$15-AB3349,MIN(AA3349-01_因子設定!$B$14,01_因子設定!$B$15-AB3349))),-1E+030)</f>
        <v>-0.281754342793889</v>
      </c>
      <c r="AE3349" s="55" t="n">
        <f aca="false">IF(AC3349,IF(01_因子設定!$B$13="最大化",X3349,IF(01_因子設定!$B$13="最小化",-X3349,-ABS(X3349-01_因子設定!$B$16))),-1E+030)</f>
        <v>47.5970257675438</v>
      </c>
      <c r="AF3349" s="55" t="n">
        <f aca="false">AD3349+ROW()*0.000000001</f>
        <v>-0.281750993793889</v>
      </c>
      <c r="AG3349" s="55" t="n">
        <f aca="false">AE3349+ROW()*0.000000001</f>
        <v>47.5970291165438</v>
      </c>
    </row>
    <row r="3350" customFormat="false" ht="15" hidden="false" customHeight="false" outlineLevel="0" collapsed="false">
      <c r="A3350" s="0" t="n">
        <v>4</v>
      </c>
      <c r="B3350" s="0" t="n">
        <v>5</v>
      </c>
      <c r="C3350" s="0" t="n">
        <v>2</v>
      </c>
      <c r="D3350" s="0" t="n">
        <v>6</v>
      </c>
      <c r="E3350" s="0" t="n">
        <f aca="false">-1+A3350*0.25</f>
        <v>0</v>
      </c>
      <c r="F3350" s="0" t="n">
        <f aca="false">-1+B3350*0.25</f>
        <v>0.25</v>
      </c>
      <c r="G3350" s="0" t="n">
        <f aca="false">-1+C3350*0.25</f>
        <v>-0.5</v>
      </c>
      <c r="H3350" s="0" t="n">
        <f aca="false">-1+D3350*0.25</f>
        <v>0.5</v>
      </c>
      <c r="I3350" s="0" t="n">
        <f aca="false">1</f>
        <v>1</v>
      </c>
      <c r="J3350" s="0" t="n">
        <f aca="false">E3350</f>
        <v>0</v>
      </c>
      <c r="K3350" s="0" t="n">
        <f aca="false">F3350</f>
        <v>0.25</v>
      </c>
      <c r="L3350" s="0" t="n">
        <f aca="false">G3350</f>
        <v>-0.5</v>
      </c>
      <c r="M3350" s="0" t="n">
        <f aca="false">H3350</f>
        <v>0.5</v>
      </c>
      <c r="N3350" s="0" t="n">
        <f aca="false">E3350*F3350</f>
        <v>0</v>
      </c>
      <c r="O3350" s="0" t="n">
        <f aca="false">E3350*G3350</f>
        <v>-0</v>
      </c>
      <c r="P3350" s="0" t="n">
        <f aca="false">E3350*H3350</f>
        <v>0</v>
      </c>
      <c r="Q3350" s="0" t="n">
        <f aca="false">F3350*G3350</f>
        <v>-0.125</v>
      </c>
      <c r="R3350" s="0" t="n">
        <f aca="false">F3350*H3350</f>
        <v>0.125</v>
      </c>
      <c r="S3350" s="0" t="n">
        <f aca="false">G3350*H3350</f>
        <v>-0.25</v>
      </c>
      <c r="T3350" s="0" t="n">
        <f aca="false">E3350*E3350</f>
        <v>0</v>
      </c>
      <c r="U3350" s="0" t="n">
        <f aca="false">F3350*F3350</f>
        <v>0.0625</v>
      </c>
      <c r="V3350" s="0" t="n">
        <f aca="false">G3350*G3350</f>
        <v>0.25</v>
      </c>
      <c r="W3350" s="0" t="n">
        <f aca="false">H3350*H3350</f>
        <v>0.25</v>
      </c>
      <c r="X3350" s="0" t="n">
        <f aca="false">SUMPRODUCT(I3350:W3350,_XtX!$B$96:$P$96)</f>
        <v>47.5774853801169</v>
      </c>
      <c r="Y3350" s="0" t="n">
        <f aca="false">SUMPRODUCT(MMULT(I3350:W3350,_XtX!$B$78:$P$92),I3350:W3350)</f>
        <v>0.132367050438597</v>
      </c>
      <c r="Z3350" s="0" t="n">
        <f aca="false">04_回帰ANOVA!$K$19*04_回帰ANOVA!$K$14*SQRT(1+Y3350)</f>
        <v>1.38704964208329</v>
      </c>
      <c r="AA3350" s="0" t="n">
        <f aca="false">X3350-Z3350</f>
        <v>46.1904357380336</v>
      </c>
      <c r="AB3350" s="0" t="n">
        <f aca="false">X3350+Z3350</f>
        <v>48.9645350222002</v>
      </c>
      <c r="AC3350" s="54" t="b">
        <f aca="false">AND(E3350&gt;=01_因子設定!$L$5-0.000000001,E3350&lt;=01_因子設定!$M$5+0.000000001,F3350&gt;=01_因子設定!$L$6-0.000000001,F3350&lt;=01_因子設定!$M$6+0.000000001,G3350&gt;=01_因子設定!$L$7-0.000000001,G3350&lt;=01_因子設定!$M$7+0.000000001,H3350&gt;=01_因子設定!$L$8-0.000000001,H3350&lt;=01_因子設定!$M$8+0.000000001,IF(01_因子設定!$B$20="Box-Behnken",E3350^2+F3350^2+G3350^2+H3350^2&lt;=2+0.000000001,TRUE()))</f>
        <v>1</v>
      </c>
      <c r="AD3350" s="55" t="n">
        <f aca="false">IF(AC3350,IF(01_因子設定!$B$13="最大化",AA3350-01_因子設定!$B$14,IF(01_因子設定!$B$13="最小化",01_因子設定!$B$15-AB3350,MIN(AA3350-01_因子設定!$B$14,01_因子設定!$B$15-AB3350))),-1E+030)</f>
        <v>-0.309564261966386</v>
      </c>
      <c r="AE3350" s="55" t="n">
        <f aca="false">IF(AC3350,IF(01_因子設定!$B$13="最大化",X3350,IF(01_因子設定!$B$13="最小化",-X3350,-ABS(X3350-01_因子設定!$B$16))),-1E+030)</f>
        <v>47.5774853801169</v>
      </c>
      <c r="AF3350" s="55" t="n">
        <f aca="false">AD3350+ROW()*0.000000001</f>
        <v>-0.309560911966386</v>
      </c>
      <c r="AG3350" s="55" t="n">
        <f aca="false">AE3350+ROW()*0.000000001</f>
        <v>47.5774887301169</v>
      </c>
    </row>
    <row r="3351" customFormat="false" ht="15" hidden="false" customHeight="false" outlineLevel="0" collapsed="false">
      <c r="A3351" s="0" t="n">
        <v>4</v>
      </c>
      <c r="B3351" s="0" t="n">
        <v>5</v>
      </c>
      <c r="C3351" s="0" t="n">
        <v>2</v>
      </c>
      <c r="D3351" s="0" t="n">
        <v>7</v>
      </c>
      <c r="E3351" s="0" t="n">
        <f aca="false">-1+A3351*0.25</f>
        <v>0</v>
      </c>
      <c r="F3351" s="0" t="n">
        <f aca="false">-1+B3351*0.25</f>
        <v>0.25</v>
      </c>
      <c r="G3351" s="0" t="n">
        <f aca="false">-1+C3351*0.25</f>
        <v>-0.5</v>
      </c>
      <c r="H3351" s="0" t="n">
        <f aca="false">-1+D3351*0.25</f>
        <v>0.75</v>
      </c>
      <c r="I3351" s="0" t="n">
        <f aca="false">1</f>
        <v>1</v>
      </c>
      <c r="J3351" s="0" t="n">
        <f aca="false">E3351</f>
        <v>0</v>
      </c>
      <c r="K3351" s="0" t="n">
        <f aca="false">F3351</f>
        <v>0.25</v>
      </c>
      <c r="L3351" s="0" t="n">
        <f aca="false">G3351</f>
        <v>-0.5</v>
      </c>
      <c r="M3351" s="0" t="n">
        <f aca="false">H3351</f>
        <v>0.75</v>
      </c>
      <c r="N3351" s="0" t="n">
        <f aca="false">E3351*F3351</f>
        <v>0</v>
      </c>
      <c r="O3351" s="0" t="n">
        <f aca="false">E3351*G3351</f>
        <v>-0</v>
      </c>
      <c r="P3351" s="0" t="n">
        <f aca="false">E3351*H3351</f>
        <v>0</v>
      </c>
      <c r="Q3351" s="0" t="n">
        <f aca="false">F3351*G3351</f>
        <v>-0.125</v>
      </c>
      <c r="R3351" s="0" t="n">
        <f aca="false">F3351*H3351</f>
        <v>0.1875</v>
      </c>
      <c r="S3351" s="0" t="n">
        <f aca="false">G3351*H3351</f>
        <v>-0.375</v>
      </c>
      <c r="T3351" s="0" t="n">
        <f aca="false">E3351*E3351</f>
        <v>0</v>
      </c>
      <c r="U3351" s="0" t="n">
        <f aca="false">F3351*F3351</f>
        <v>0.0625</v>
      </c>
      <c r="V3351" s="0" t="n">
        <f aca="false">G3351*G3351</f>
        <v>0.25</v>
      </c>
      <c r="W3351" s="0" t="n">
        <f aca="false">H3351*H3351</f>
        <v>0.5625</v>
      </c>
      <c r="X3351" s="0" t="n">
        <f aca="false">SUMPRODUCT(I3351:W3351,_XtX!$B$96:$P$96)</f>
        <v>47.5101379751462</v>
      </c>
      <c r="Y3351" s="0" t="n">
        <f aca="false">SUMPRODUCT(MMULT(I3351:W3351,_XtX!$B$78:$P$92),I3351:W3351)</f>
        <v>0.215110734192252</v>
      </c>
      <c r="Z3351" s="0" t="n">
        <f aca="false">04_回帰ANOVA!$K$19*04_回帰ANOVA!$K$14*SQRT(1+Y3351)</f>
        <v>1.43683309086864</v>
      </c>
      <c r="AA3351" s="0" t="n">
        <f aca="false">X3351-Z3351</f>
        <v>46.0733048842775</v>
      </c>
      <c r="AB3351" s="0" t="n">
        <f aca="false">X3351+Z3351</f>
        <v>48.9469710660148</v>
      </c>
      <c r="AC3351" s="54" t="b">
        <f aca="false">AND(E3351&gt;=01_因子設定!$L$5-0.000000001,E3351&lt;=01_因子設定!$M$5+0.000000001,F3351&gt;=01_因子設定!$L$6-0.000000001,F3351&lt;=01_因子設定!$M$6+0.000000001,G3351&gt;=01_因子設定!$L$7-0.000000001,G3351&lt;=01_因子設定!$M$7+0.000000001,H3351&gt;=01_因子設定!$L$8-0.000000001,H3351&lt;=01_因子設定!$M$8+0.000000001,IF(01_因子設定!$B$20="Box-Behnken",E3351^2+F3351^2+G3351^2+H3351^2&lt;=2+0.000000001,TRUE()))</f>
        <v>1</v>
      </c>
      <c r="AD3351" s="55" t="n">
        <f aca="false">IF(AC3351,IF(01_因子設定!$B$13="最大化",AA3351-01_因子設定!$B$14,IF(01_因子設定!$B$13="最小化",01_因子設定!$B$15-AB3351,MIN(AA3351-01_因子設定!$B$14,01_因子設定!$B$15-AB3351))),-1E+030)</f>
        <v>-0.426695115722495</v>
      </c>
      <c r="AE3351" s="55" t="n">
        <f aca="false">IF(AC3351,IF(01_因子設定!$B$13="最大化",X3351,IF(01_因子設定!$B$13="最小化",-X3351,-ABS(X3351-01_因子設定!$B$16))),-1E+030)</f>
        <v>47.5101379751462</v>
      </c>
      <c r="AF3351" s="55" t="n">
        <f aca="false">AD3351+ROW()*0.000000001</f>
        <v>-0.426691764722495</v>
      </c>
      <c r="AG3351" s="55" t="n">
        <f aca="false">AE3351+ROW()*0.000000001</f>
        <v>47.5101413261462</v>
      </c>
    </row>
    <row r="3352" customFormat="false" ht="15" hidden="false" customHeight="false" outlineLevel="0" collapsed="false">
      <c r="A3352" s="0" t="n">
        <v>4</v>
      </c>
      <c r="B3352" s="0" t="n">
        <v>5</v>
      </c>
      <c r="C3352" s="0" t="n">
        <v>2</v>
      </c>
      <c r="D3352" s="0" t="n">
        <v>8</v>
      </c>
      <c r="E3352" s="0" t="n">
        <f aca="false">-1+A3352*0.25</f>
        <v>0</v>
      </c>
      <c r="F3352" s="0" t="n">
        <f aca="false">-1+B3352*0.25</f>
        <v>0.25</v>
      </c>
      <c r="G3352" s="0" t="n">
        <f aca="false">-1+C3352*0.25</f>
        <v>-0.5</v>
      </c>
      <c r="H3352" s="0" t="n">
        <f aca="false">-1+D3352*0.25</f>
        <v>1</v>
      </c>
      <c r="I3352" s="0" t="n">
        <f aca="false">1</f>
        <v>1</v>
      </c>
      <c r="J3352" s="0" t="n">
        <f aca="false">E3352</f>
        <v>0</v>
      </c>
      <c r="K3352" s="0" t="n">
        <f aca="false">F3352</f>
        <v>0.25</v>
      </c>
      <c r="L3352" s="0" t="n">
        <f aca="false">G3352</f>
        <v>-0.5</v>
      </c>
      <c r="M3352" s="0" t="n">
        <f aca="false">H3352</f>
        <v>1</v>
      </c>
      <c r="N3352" s="0" t="n">
        <f aca="false">E3352*F3352</f>
        <v>0</v>
      </c>
      <c r="O3352" s="0" t="n">
        <f aca="false">E3352*G3352</f>
        <v>-0</v>
      </c>
      <c r="P3352" s="0" t="n">
        <f aca="false">E3352*H3352</f>
        <v>0</v>
      </c>
      <c r="Q3352" s="0" t="n">
        <f aca="false">F3352*G3352</f>
        <v>-0.125</v>
      </c>
      <c r="R3352" s="0" t="n">
        <f aca="false">F3352*H3352</f>
        <v>0.25</v>
      </c>
      <c r="S3352" s="0" t="n">
        <f aca="false">G3352*H3352</f>
        <v>-0.5</v>
      </c>
      <c r="T3352" s="0" t="n">
        <f aca="false">E3352*E3352</f>
        <v>0</v>
      </c>
      <c r="U3352" s="0" t="n">
        <f aca="false">F3352*F3352</f>
        <v>0.0625</v>
      </c>
      <c r="V3352" s="0" t="n">
        <f aca="false">G3352*G3352</f>
        <v>0.25</v>
      </c>
      <c r="W3352" s="0" t="n">
        <f aca="false">H3352*H3352</f>
        <v>1</v>
      </c>
      <c r="X3352" s="0" t="n">
        <f aca="false">SUMPRODUCT(I3352:W3352,_XtX!$B$96:$P$96)</f>
        <v>47.3949835526316</v>
      </c>
      <c r="Y3352" s="0" t="n">
        <f aca="false">SUMPRODUCT(MMULT(I3352:W3352,_XtX!$B$78:$P$92),I3352:W3352)</f>
        <v>0.457596628289474</v>
      </c>
      <c r="Z3352" s="0" t="n">
        <f aca="false">04_回帰ANOVA!$K$19*04_回帰ANOVA!$K$14*SQRT(1+Y3352)</f>
        <v>1.57368233664366</v>
      </c>
      <c r="AA3352" s="0" t="n">
        <f aca="false">X3352-Z3352</f>
        <v>45.8213012159879</v>
      </c>
      <c r="AB3352" s="0" t="n">
        <f aca="false">X3352+Z3352</f>
        <v>48.9686658892752</v>
      </c>
      <c r="AC3352" s="54" t="b">
        <f aca="false">AND(E3352&gt;=01_因子設定!$L$5-0.000000001,E3352&lt;=01_因子設定!$M$5+0.000000001,F3352&gt;=01_因子設定!$L$6-0.000000001,F3352&lt;=01_因子設定!$M$6+0.000000001,G3352&gt;=01_因子設定!$L$7-0.000000001,G3352&lt;=01_因子設定!$M$7+0.000000001,H3352&gt;=01_因子設定!$L$8-0.000000001,H3352&lt;=01_因子設定!$M$8+0.000000001,IF(01_因子設定!$B$20="Box-Behnken",E3352^2+F3352^2+G3352^2+H3352^2&lt;=2+0.000000001,TRUE()))</f>
        <v>1</v>
      </c>
      <c r="AD3352" s="55" t="n">
        <f aca="false">IF(AC3352,IF(01_因子設定!$B$13="最大化",AA3352-01_因子設定!$B$14,IF(01_因子設定!$B$13="最小化",01_因子設定!$B$15-AB3352,MIN(AA3352-01_因子設定!$B$14,01_因子設定!$B$15-AB3352))),-1E+030)</f>
        <v>-0.678698784012106</v>
      </c>
      <c r="AE3352" s="55" t="n">
        <f aca="false">IF(AC3352,IF(01_因子設定!$B$13="最大化",X3352,IF(01_因子設定!$B$13="最小化",-X3352,-ABS(X3352-01_因子設定!$B$16))),-1E+030)</f>
        <v>47.3949835526316</v>
      </c>
      <c r="AF3352" s="55" t="n">
        <f aca="false">AD3352+ROW()*0.000000001</f>
        <v>-0.678695432012106</v>
      </c>
      <c r="AG3352" s="55" t="n">
        <f aca="false">AE3352+ROW()*0.000000001</f>
        <v>47.3949869046316</v>
      </c>
    </row>
    <row r="3353" customFormat="false" ht="15" hidden="false" customHeight="false" outlineLevel="0" collapsed="false">
      <c r="A3353" s="0" t="n">
        <v>4</v>
      </c>
      <c r="B3353" s="0" t="n">
        <v>5</v>
      </c>
      <c r="C3353" s="0" t="n">
        <v>3</v>
      </c>
      <c r="D3353" s="0" t="n">
        <v>0</v>
      </c>
      <c r="E3353" s="0" t="n">
        <f aca="false">-1+A3353*0.25</f>
        <v>0</v>
      </c>
      <c r="F3353" s="0" t="n">
        <f aca="false">-1+B3353*0.25</f>
        <v>0.25</v>
      </c>
      <c r="G3353" s="0" t="n">
        <f aca="false">-1+C3353*0.25</f>
        <v>-0.25</v>
      </c>
      <c r="H3353" s="0" t="n">
        <f aca="false">-1+D3353*0.25</f>
        <v>-1</v>
      </c>
      <c r="I3353" s="0" t="n">
        <f aca="false">1</f>
        <v>1</v>
      </c>
      <c r="J3353" s="0" t="n">
        <f aca="false">E3353</f>
        <v>0</v>
      </c>
      <c r="K3353" s="0" t="n">
        <f aca="false">F3353</f>
        <v>0.25</v>
      </c>
      <c r="L3353" s="0" t="n">
        <f aca="false">G3353</f>
        <v>-0.25</v>
      </c>
      <c r="M3353" s="0" t="n">
        <f aca="false">H3353</f>
        <v>-1</v>
      </c>
      <c r="N3353" s="0" t="n">
        <f aca="false">E3353*F3353</f>
        <v>0</v>
      </c>
      <c r="O3353" s="0" t="n">
        <f aca="false">E3353*G3353</f>
        <v>-0</v>
      </c>
      <c r="P3353" s="0" t="n">
        <f aca="false">E3353*H3353</f>
        <v>-0</v>
      </c>
      <c r="Q3353" s="0" t="n">
        <f aca="false">F3353*G3353</f>
        <v>-0.0625</v>
      </c>
      <c r="R3353" s="0" t="n">
        <f aca="false">F3353*H3353</f>
        <v>-0.25</v>
      </c>
      <c r="S3353" s="0" t="n">
        <f aca="false">G3353*H3353</f>
        <v>0.25</v>
      </c>
      <c r="T3353" s="0" t="n">
        <f aca="false">E3353*E3353</f>
        <v>0</v>
      </c>
      <c r="U3353" s="0" t="n">
        <f aca="false">F3353*F3353</f>
        <v>0.0625</v>
      </c>
      <c r="V3353" s="0" t="n">
        <f aca="false">G3353*G3353</f>
        <v>0.0625</v>
      </c>
      <c r="W3353" s="0" t="n">
        <f aca="false">H3353*H3353</f>
        <v>1</v>
      </c>
      <c r="X3353" s="0" t="n">
        <f aca="false">SUMPRODUCT(I3353:W3353,_XtX!$B$96:$P$96)</f>
        <v>47.2990725511696</v>
      </c>
      <c r="Y3353" s="0" t="n">
        <f aca="false">SUMPRODUCT(MMULT(I3353:W3353,_XtX!$B$78:$P$92),I3353:W3353)</f>
        <v>0.467417934484649</v>
      </c>
      <c r="Z3353" s="0" t="n">
        <f aca="false">04_回帰ANOVA!$K$19*04_回帰ANOVA!$K$14*SQRT(1+Y3353)</f>
        <v>1.57897518244497</v>
      </c>
      <c r="AA3353" s="0" t="n">
        <f aca="false">X3353-Z3353</f>
        <v>45.7200973687246</v>
      </c>
      <c r="AB3353" s="0" t="n">
        <f aca="false">X3353+Z3353</f>
        <v>48.8780477336145</v>
      </c>
      <c r="AC3353" s="54" t="b">
        <f aca="false">AND(E3353&gt;=01_因子設定!$L$5-0.000000001,E3353&lt;=01_因子設定!$M$5+0.000000001,F3353&gt;=01_因子設定!$L$6-0.000000001,F3353&lt;=01_因子設定!$M$6+0.000000001,G3353&gt;=01_因子設定!$L$7-0.000000001,G3353&lt;=01_因子設定!$M$7+0.000000001,H3353&gt;=01_因子設定!$L$8-0.000000001,H3353&lt;=01_因子設定!$M$8+0.000000001,IF(01_因子設定!$B$20="Box-Behnken",E3353^2+F3353^2+G3353^2+H3353^2&lt;=2+0.000000001,TRUE()))</f>
        <v>1</v>
      </c>
      <c r="AD3353" s="55" t="n">
        <f aca="false">IF(AC3353,IF(01_因子設定!$B$13="最大化",AA3353-01_因子設定!$B$14,IF(01_因子設定!$B$13="最小化",01_因子設定!$B$15-AB3353,MIN(AA3353-01_因子設定!$B$14,01_因子設定!$B$15-AB3353))),-1E+030)</f>
        <v>-0.779902631275405</v>
      </c>
      <c r="AE3353" s="55" t="n">
        <f aca="false">IF(AC3353,IF(01_因子設定!$B$13="最大化",X3353,IF(01_因子設定!$B$13="最小化",-X3353,-ABS(X3353-01_因子設定!$B$16))),-1E+030)</f>
        <v>47.2990725511696</v>
      </c>
      <c r="AF3353" s="55" t="n">
        <f aca="false">AD3353+ROW()*0.000000001</f>
        <v>-0.779899278275405</v>
      </c>
      <c r="AG3353" s="55" t="n">
        <f aca="false">AE3353+ROW()*0.000000001</f>
        <v>47.2990759041696</v>
      </c>
    </row>
    <row r="3354" customFormat="false" ht="15" hidden="false" customHeight="false" outlineLevel="0" collapsed="false">
      <c r="A3354" s="0" t="n">
        <v>4</v>
      </c>
      <c r="B3354" s="0" t="n">
        <v>5</v>
      </c>
      <c r="C3354" s="0" t="n">
        <v>3</v>
      </c>
      <c r="D3354" s="0" t="n">
        <v>1</v>
      </c>
      <c r="E3354" s="0" t="n">
        <f aca="false">-1+A3354*0.25</f>
        <v>0</v>
      </c>
      <c r="F3354" s="0" t="n">
        <f aca="false">-1+B3354*0.25</f>
        <v>0.25</v>
      </c>
      <c r="G3354" s="0" t="n">
        <f aca="false">-1+C3354*0.25</f>
        <v>-0.25</v>
      </c>
      <c r="H3354" s="0" t="n">
        <f aca="false">-1+D3354*0.25</f>
        <v>-0.75</v>
      </c>
      <c r="I3354" s="0" t="n">
        <f aca="false">1</f>
        <v>1</v>
      </c>
      <c r="J3354" s="0" t="n">
        <f aca="false">E3354</f>
        <v>0</v>
      </c>
      <c r="K3354" s="0" t="n">
        <f aca="false">F3354</f>
        <v>0.25</v>
      </c>
      <c r="L3354" s="0" t="n">
        <f aca="false">G3354</f>
        <v>-0.25</v>
      </c>
      <c r="M3354" s="0" t="n">
        <f aca="false">H3354</f>
        <v>-0.75</v>
      </c>
      <c r="N3354" s="0" t="n">
        <f aca="false">E3354*F3354</f>
        <v>0</v>
      </c>
      <c r="O3354" s="0" t="n">
        <f aca="false">E3354*G3354</f>
        <v>-0</v>
      </c>
      <c r="P3354" s="0" t="n">
        <f aca="false">E3354*H3354</f>
        <v>-0</v>
      </c>
      <c r="Q3354" s="0" t="n">
        <f aca="false">F3354*G3354</f>
        <v>-0.0625</v>
      </c>
      <c r="R3354" s="0" t="n">
        <f aca="false">F3354*H3354</f>
        <v>-0.1875</v>
      </c>
      <c r="S3354" s="0" t="n">
        <f aca="false">G3354*H3354</f>
        <v>0.1875</v>
      </c>
      <c r="T3354" s="0" t="n">
        <f aca="false">E3354*E3354</f>
        <v>0</v>
      </c>
      <c r="U3354" s="0" t="n">
        <f aca="false">F3354*F3354</f>
        <v>0.0625</v>
      </c>
      <c r="V3354" s="0" t="n">
        <f aca="false">G3354*G3354</f>
        <v>0.0625</v>
      </c>
      <c r="W3354" s="0" t="n">
        <f aca="false">H3354*H3354</f>
        <v>0.5625</v>
      </c>
      <c r="X3354" s="0" t="n">
        <f aca="false">SUMPRODUCT(I3354:W3354,_XtX!$B$96:$P$96)</f>
        <v>47.536536001462</v>
      </c>
      <c r="Y3354" s="0" t="n">
        <f aca="false">SUMPRODUCT(MMULT(I3354:W3354,_XtX!$B$78:$P$92),I3354:W3354)</f>
        <v>0.21135011193348</v>
      </c>
      <c r="Z3354" s="0" t="n">
        <f aca="false">04_回帰ANOVA!$K$19*04_回帰ANOVA!$K$14*SQRT(1+Y3354)</f>
        <v>1.43460795469709</v>
      </c>
      <c r="AA3354" s="0" t="n">
        <f aca="false">X3354-Z3354</f>
        <v>46.1019280467649</v>
      </c>
      <c r="AB3354" s="0" t="n">
        <f aca="false">X3354+Z3354</f>
        <v>48.971143956159</v>
      </c>
      <c r="AC3354" s="54" t="b">
        <f aca="false">AND(E3354&gt;=01_因子設定!$L$5-0.000000001,E3354&lt;=01_因子設定!$M$5+0.000000001,F3354&gt;=01_因子設定!$L$6-0.000000001,F3354&lt;=01_因子設定!$M$6+0.000000001,G3354&gt;=01_因子設定!$L$7-0.000000001,G3354&lt;=01_因子設定!$M$7+0.000000001,H3354&gt;=01_因子設定!$L$8-0.000000001,H3354&lt;=01_因子設定!$M$8+0.000000001,IF(01_因子設定!$B$20="Box-Behnken",E3354^2+F3354^2+G3354^2+H3354^2&lt;=2+0.000000001,TRUE()))</f>
        <v>1</v>
      </c>
      <c r="AD3354" s="55" t="n">
        <f aca="false">IF(AC3354,IF(01_因子設定!$B$13="最大化",AA3354-01_因子設定!$B$14,IF(01_因子設定!$B$13="最小化",01_因子設定!$B$15-AB3354,MIN(AA3354-01_因子設定!$B$14,01_因子設定!$B$15-AB3354))),-1E+030)</f>
        <v>-0.398071953235139</v>
      </c>
      <c r="AE3354" s="55" t="n">
        <f aca="false">IF(AC3354,IF(01_因子設定!$B$13="最大化",X3354,IF(01_因子設定!$B$13="最小化",-X3354,-ABS(X3354-01_因子設定!$B$16))),-1E+030)</f>
        <v>47.536536001462</v>
      </c>
      <c r="AF3354" s="55" t="n">
        <f aca="false">AD3354+ROW()*0.000000001</f>
        <v>-0.398068599235139</v>
      </c>
      <c r="AG3354" s="55" t="n">
        <f aca="false">AE3354+ROW()*0.000000001</f>
        <v>47.536539355462</v>
      </c>
    </row>
    <row r="3355" customFormat="false" ht="15" hidden="false" customHeight="false" outlineLevel="0" collapsed="false">
      <c r="A3355" s="0" t="n">
        <v>4</v>
      </c>
      <c r="B3355" s="0" t="n">
        <v>5</v>
      </c>
      <c r="C3355" s="0" t="n">
        <v>3</v>
      </c>
      <c r="D3355" s="0" t="n">
        <v>2</v>
      </c>
      <c r="E3355" s="0" t="n">
        <f aca="false">-1+A3355*0.25</f>
        <v>0</v>
      </c>
      <c r="F3355" s="0" t="n">
        <f aca="false">-1+B3355*0.25</f>
        <v>0.25</v>
      </c>
      <c r="G3355" s="0" t="n">
        <f aca="false">-1+C3355*0.25</f>
        <v>-0.25</v>
      </c>
      <c r="H3355" s="0" t="n">
        <f aca="false">-1+D3355*0.25</f>
        <v>-0.5</v>
      </c>
      <c r="I3355" s="0" t="n">
        <f aca="false">1</f>
        <v>1</v>
      </c>
      <c r="J3355" s="0" t="n">
        <f aca="false">E3355</f>
        <v>0</v>
      </c>
      <c r="K3355" s="0" t="n">
        <f aca="false">F3355</f>
        <v>0.25</v>
      </c>
      <c r="L3355" s="0" t="n">
        <f aca="false">G3355</f>
        <v>-0.25</v>
      </c>
      <c r="M3355" s="0" t="n">
        <f aca="false">H3355</f>
        <v>-0.5</v>
      </c>
      <c r="N3355" s="0" t="n">
        <f aca="false">E3355*F3355</f>
        <v>0</v>
      </c>
      <c r="O3355" s="0" t="n">
        <f aca="false">E3355*G3355</f>
        <v>-0</v>
      </c>
      <c r="P3355" s="0" t="n">
        <f aca="false">E3355*H3355</f>
        <v>-0</v>
      </c>
      <c r="Q3355" s="0" t="n">
        <f aca="false">F3355*G3355</f>
        <v>-0.0625</v>
      </c>
      <c r="R3355" s="0" t="n">
        <f aca="false">F3355*H3355</f>
        <v>-0.125</v>
      </c>
      <c r="S3355" s="0" t="n">
        <f aca="false">G3355*H3355</f>
        <v>0.125</v>
      </c>
      <c r="T3355" s="0" t="n">
        <f aca="false">E3355*E3355</f>
        <v>0</v>
      </c>
      <c r="U3355" s="0" t="n">
        <f aca="false">F3355*F3355</f>
        <v>0.0625</v>
      </c>
      <c r="V3355" s="0" t="n">
        <f aca="false">G3355*G3355</f>
        <v>0.0625</v>
      </c>
      <c r="W3355" s="0" t="n">
        <f aca="false">H3355*H3355</f>
        <v>0.25</v>
      </c>
      <c r="X3355" s="0" t="n">
        <f aca="false">SUMPRODUCT(I3355:W3355,_XtX!$B$96:$P$96)</f>
        <v>47.7261924342105</v>
      </c>
      <c r="Y3355" s="0" t="n">
        <f aca="false">SUMPRODUCT(MMULT(I3355:W3355,_XtX!$B$78:$P$92),I3355:W3355)</f>
        <v>0.118905050712719</v>
      </c>
      <c r="Z3355" s="0" t="n">
        <f aca="false">04_回帰ANOVA!$K$19*04_回帰ANOVA!$K$14*SQRT(1+Y3355)</f>
        <v>1.37878011033769</v>
      </c>
      <c r="AA3355" s="0" t="n">
        <f aca="false">X3355-Z3355</f>
        <v>46.3474123238728</v>
      </c>
      <c r="AB3355" s="0" t="n">
        <f aca="false">X3355+Z3355</f>
        <v>49.1049725445482</v>
      </c>
      <c r="AC3355" s="54" t="b">
        <f aca="false">AND(E3355&gt;=01_因子設定!$L$5-0.000000001,E3355&lt;=01_因子設定!$M$5+0.000000001,F3355&gt;=01_因子設定!$L$6-0.000000001,F3355&lt;=01_因子設定!$M$6+0.000000001,G3355&gt;=01_因子設定!$L$7-0.000000001,G3355&lt;=01_因子設定!$M$7+0.000000001,H3355&gt;=01_因子設定!$L$8-0.000000001,H3355&lt;=01_因子設定!$M$8+0.000000001,IF(01_因子設定!$B$20="Box-Behnken",E3355^2+F3355^2+G3355^2+H3355^2&lt;=2+0.000000001,TRUE()))</f>
        <v>1</v>
      </c>
      <c r="AD3355" s="55" t="n">
        <f aca="false">IF(AC3355,IF(01_因子設定!$B$13="最大化",AA3355-01_因子設定!$B$14,IF(01_因子設定!$B$13="最小化",01_因子設定!$B$15-AB3355,MIN(AA3355-01_因子設定!$B$14,01_因子設定!$B$15-AB3355))),-1E+030)</f>
        <v>-0.152587676127219</v>
      </c>
      <c r="AE3355" s="55" t="n">
        <f aca="false">IF(AC3355,IF(01_因子設定!$B$13="最大化",X3355,IF(01_因子設定!$B$13="最小化",-X3355,-ABS(X3355-01_因子設定!$B$16))),-1E+030)</f>
        <v>47.7261924342105</v>
      </c>
      <c r="AF3355" s="55" t="n">
        <f aca="false">AD3355+ROW()*0.000000001</f>
        <v>-0.152584321127219</v>
      </c>
      <c r="AG3355" s="55" t="n">
        <f aca="false">AE3355+ROW()*0.000000001</f>
        <v>47.7261957892105</v>
      </c>
    </row>
    <row r="3356" customFormat="false" ht="15" hidden="false" customHeight="false" outlineLevel="0" collapsed="false">
      <c r="A3356" s="0" t="n">
        <v>4</v>
      </c>
      <c r="B3356" s="0" t="n">
        <v>5</v>
      </c>
      <c r="C3356" s="0" t="n">
        <v>3</v>
      </c>
      <c r="D3356" s="0" t="n">
        <v>3</v>
      </c>
      <c r="E3356" s="0" t="n">
        <f aca="false">-1+A3356*0.25</f>
        <v>0</v>
      </c>
      <c r="F3356" s="0" t="n">
        <f aca="false">-1+B3356*0.25</f>
        <v>0.25</v>
      </c>
      <c r="G3356" s="0" t="n">
        <f aca="false">-1+C3356*0.25</f>
        <v>-0.25</v>
      </c>
      <c r="H3356" s="0" t="n">
        <f aca="false">-1+D3356*0.25</f>
        <v>-0.25</v>
      </c>
      <c r="I3356" s="0" t="n">
        <f aca="false">1</f>
        <v>1</v>
      </c>
      <c r="J3356" s="0" t="n">
        <f aca="false">E3356</f>
        <v>0</v>
      </c>
      <c r="K3356" s="0" t="n">
        <f aca="false">F3356</f>
        <v>0.25</v>
      </c>
      <c r="L3356" s="0" t="n">
        <f aca="false">G3356</f>
        <v>-0.25</v>
      </c>
      <c r="M3356" s="0" t="n">
        <f aca="false">H3356</f>
        <v>-0.25</v>
      </c>
      <c r="N3356" s="0" t="n">
        <f aca="false">E3356*F3356</f>
        <v>0</v>
      </c>
      <c r="O3356" s="0" t="n">
        <f aca="false">E3356*G3356</f>
        <v>-0</v>
      </c>
      <c r="P3356" s="0" t="n">
        <f aca="false">E3356*H3356</f>
        <v>-0</v>
      </c>
      <c r="Q3356" s="0" t="n">
        <f aca="false">F3356*G3356</f>
        <v>-0.0625</v>
      </c>
      <c r="R3356" s="0" t="n">
        <f aca="false">F3356*H3356</f>
        <v>-0.0625</v>
      </c>
      <c r="S3356" s="0" t="n">
        <f aca="false">G3356*H3356</f>
        <v>0.0625</v>
      </c>
      <c r="T3356" s="0" t="n">
        <f aca="false">E3356*E3356</f>
        <v>0</v>
      </c>
      <c r="U3356" s="0" t="n">
        <f aca="false">F3356*F3356</f>
        <v>0.0625</v>
      </c>
      <c r="V3356" s="0" t="n">
        <f aca="false">G3356*G3356</f>
        <v>0.0625</v>
      </c>
      <c r="W3356" s="0" t="n">
        <f aca="false">H3356*H3356</f>
        <v>0.0625</v>
      </c>
      <c r="X3356" s="0" t="n">
        <f aca="false">SUMPRODUCT(I3356:W3356,_XtX!$B$96:$P$96)</f>
        <v>47.8680418494151</v>
      </c>
      <c r="Y3356" s="0" t="n">
        <f aca="false">SUMPRODUCT(MMULT(I3356:W3356,_XtX!$B$78:$P$92),I3356:W3356)</f>
        <v>0.099622224506579</v>
      </c>
      <c r="Z3356" s="0" t="n">
        <f aca="false">04_回帰ANOVA!$K$19*04_回帰ANOVA!$K$14*SQRT(1+Y3356)</f>
        <v>1.3668477654658</v>
      </c>
      <c r="AA3356" s="0" t="n">
        <f aca="false">X3356-Z3356</f>
        <v>46.5011940839493</v>
      </c>
      <c r="AB3356" s="0" t="n">
        <f aca="false">X3356+Z3356</f>
        <v>49.2348896148809</v>
      </c>
      <c r="AC3356" s="54" t="b">
        <f aca="false">AND(E3356&gt;=01_因子設定!$L$5-0.000000001,E3356&lt;=01_因子設定!$M$5+0.000000001,F3356&gt;=01_因子設定!$L$6-0.000000001,F3356&lt;=01_因子設定!$M$6+0.000000001,G3356&gt;=01_因子設定!$L$7-0.000000001,G3356&lt;=01_因子設定!$M$7+0.000000001,H3356&gt;=01_因子設定!$L$8-0.000000001,H3356&lt;=01_因子設定!$M$8+0.000000001,IF(01_因子設定!$B$20="Box-Behnken",E3356^2+F3356^2+G3356^2+H3356^2&lt;=2+0.000000001,TRUE()))</f>
        <v>1</v>
      </c>
      <c r="AD3356" s="55" t="n">
        <f aca="false">IF(AC3356,IF(01_因子設定!$B$13="最大化",AA3356-01_因子設定!$B$14,IF(01_因子設定!$B$13="最小化",01_因子設定!$B$15-AB3356,MIN(AA3356-01_因子設定!$B$14,01_因子設定!$B$15-AB3356))),-1E+030)</f>
        <v>0.00119408394934339</v>
      </c>
      <c r="AE3356" s="55" t="n">
        <f aca="false">IF(AC3356,IF(01_因子設定!$B$13="最大化",X3356,IF(01_因子設定!$B$13="最小化",-X3356,-ABS(X3356-01_因子設定!$B$16))),-1E+030)</f>
        <v>47.8680418494151</v>
      </c>
      <c r="AF3356" s="55" t="n">
        <f aca="false">AD3356+ROW()*0.000000001</f>
        <v>0.00119743994934339</v>
      </c>
      <c r="AG3356" s="55" t="n">
        <f aca="false">AE3356+ROW()*0.000000001</f>
        <v>47.8680452054151</v>
      </c>
    </row>
    <row r="3357" customFormat="false" ht="15" hidden="false" customHeight="false" outlineLevel="0" collapsed="false">
      <c r="A3357" s="0" t="n">
        <v>4</v>
      </c>
      <c r="B3357" s="0" t="n">
        <v>5</v>
      </c>
      <c r="C3357" s="0" t="n">
        <v>3</v>
      </c>
      <c r="D3357" s="0" t="n">
        <v>4</v>
      </c>
      <c r="E3357" s="0" t="n">
        <f aca="false">-1+A3357*0.25</f>
        <v>0</v>
      </c>
      <c r="F3357" s="0" t="n">
        <f aca="false">-1+B3357*0.25</f>
        <v>0.25</v>
      </c>
      <c r="G3357" s="0" t="n">
        <f aca="false">-1+C3357*0.25</f>
        <v>-0.25</v>
      </c>
      <c r="H3357" s="0" t="n">
        <f aca="false">-1+D3357*0.25</f>
        <v>0</v>
      </c>
      <c r="I3357" s="0" t="n">
        <f aca="false">1</f>
        <v>1</v>
      </c>
      <c r="J3357" s="0" t="n">
        <f aca="false">E3357</f>
        <v>0</v>
      </c>
      <c r="K3357" s="0" t="n">
        <f aca="false">F3357</f>
        <v>0.25</v>
      </c>
      <c r="L3357" s="0" t="n">
        <f aca="false">G3357</f>
        <v>-0.25</v>
      </c>
      <c r="M3357" s="0" t="n">
        <f aca="false">H3357</f>
        <v>0</v>
      </c>
      <c r="N3357" s="0" t="n">
        <f aca="false">E3357*F3357</f>
        <v>0</v>
      </c>
      <c r="O3357" s="0" t="n">
        <f aca="false">E3357*G3357</f>
        <v>-0</v>
      </c>
      <c r="P3357" s="0" t="n">
        <f aca="false">E3357*H3357</f>
        <v>0</v>
      </c>
      <c r="Q3357" s="0" t="n">
        <f aca="false">F3357*G3357</f>
        <v>-0.0625</v>
      </c>
      <c r="R3357" s="0" t="n">
        <f aca="false">F3357*H3357</f>
        <v>0</v>
      </c>
      <c r="S3357" s="0" t="n">
        <f aca="false">G3357*H3357</f>
        <v>-0</v>
      </c>
      <c r="T3357" s="0" t="n">
        <f aca="false">E3357*E3357</f>
        <v>0</v>
      </c>
      <c r="U3357" s="0" t="n">
        <f aca="false">F3357*F3357</f>
        <v>0.0625</v>
      </c>
      <c r="V3357" s="0" t="n">
        <f aca="false">G3357*G3357</f>
        <v>0.0625</v>
      </c>
      <c r="W3357" s="0" t="n">
        <f aca="false">H3357*H3357</f>
        <v>0</v>
      </c>
      <c r="X3357" s="0" t="n">
        <f aca="false">SUMPRODUCT(I3357:W3357,_XtX!$B$96:$P$96)</f>
        <v>47.962084247076</v>
      </c>
      <c r="Y3357" s="0" t="n">
        <f aca="false">SUMPRODUCT(MMULT(I3357:W3357,_XtX!$B$78:$P$92),I3357:W3357)</f>
        <v>0.0992253175255848</v>
      </c>
      <c r="Z3357" s="0" t="n">
        <f aca="false">04_回帰ANOVA!$K$19*04_回帰ANOVA!$K$14*SQRT(1+Y3357)</f>
        <v>1.36660106238383</v>
      </c>
      <c r="AA3357" s="0" t="n">
        <f aca="false">X3357-Z3357</f>
        <v>46.5954831846921</v>
      </c>
      <c r="AB3357" s="0" t="n">
        <f aca="false">X3357+Z3357</f>
        <v>49.3286853094598</v>
      </c>
      <c r="AC3357" s="54" t="b">
        <f aca="false">AND(E3357&gt;=01_因子設定!$L$5-0.000000001,E3357&lt;=01_因子設定!$M$5+0.000000001,F3357&gt;=01_因子設定!$L$6-0.000000001,F3357&lt;=01_因子設定!$M$6+0.000000001,G3357&gt;=01_因子設定!$L$7-0.000000001,G3357&lt;=01_因子設定!$M$7+0.000000001,H3357&gt;=01_因子設定!$L$8-0.000000001,H3357&lt;=01_因子設定!$M$8+0.000000001,IF(01_因子設定!$B$20="Box-Behnken",E3357^2+F3357^2+G3357^2+H3357^2&lt;=2+0.000000001,TRUE()))</f>
        <v>1</v>
      </c>
      <c r="AD3357" s="55" t="n">
        <f aca="false">IF(AC3357,IF(01_因子設定!$B$13="最大化",AA3357-01_因子設定!$B$14,IF(01_因子設定!$B$13="最小化",01_因子設定!$B$15-AB3357,MIN(AA3357-01_因子設定!$B$14,01_因子設定!$B$15-AB3357))),-1E+030)</f>
        <v>0.095483184692128</v>
      </c>
      <c r="AE3357" s="55" t="n">
        <f aca="false">IF(AC3357,IF(01_因子設定!$B$13="最大化",X3357,IF(01_因子設定!$B$13="最小化",-X3357,-ABS(X3357-01_因子設定!$B$16))),-1E+030)</f>
        <v>47.962084247076</v>
      </c>
      <c r="AF3357" s="55" t="n">
        <f aca="false">AD3357+ROW()*0.000000001</f>
        <v>0.095486541692128</v>
      </c>
      <c r="AG3357" s="55" t="n">
        <f aca="false">AE3357+ROW()*0.000000001</f>
        <v>47.962087604076</v>
      </c>
    </row>
    <row r="3358" customFormat="false" ht="15" hidden="false" customHeight="false" outlineLevel="0" collapsed="false">
      <c r="A3358" s="0" t="n">
        <v>4</v>
      </c>
      <c r="B3358" s="0" t="n">
        <v>5</v>
      </c>
      <c r="C3358" s="0" t="n">
        <v>3</v>
      </c>
      <c r="D3358" s="0" t="n">
        <v>5</v>
      </c>
      <c r="E3358" s="0" t="n">
        <f aca="false">-1+A3358*0.25</f>
        <v>0</v>
      </c>
      <c r="F3358" s="0" t="n">
        <f aca="false">-1+B3358*0.25</f>
        <v>0.25</v>
      </c>
      <c r="G3358" s="0" t="n">
        <f aca="false">-1+C3358*0.25</f>
        <v>-0.25</v>
      </c>
      <c r="H3358" s="0" t="n">
        <f aca="false">-1+D3358*0.25</f>
        <v>0.25</v>
      </c>
      <c r="I3358" s="0" t="n">
        <f aca="false">1</f>
        <v>1</v>
      </c>
      <c r="J3358" s="0" t="n">
        <f aca="false">E3358</f>
        <v>0</v>
      </c>
      <c r="K3358" s="0" t="n">
        <f aca="false">F3358</f>
        <v>0.25</v>
      </c>
      <c r="L3358" s="0" t="n">
        <f aca="false">G3358</f>
        <v>-0.25</v>
      </c>
      <c r="M3358" s="0" t="n">
        <f aca="false">H3358</f>
        <v>0.25</v>
      </c>
      <c r="N3358" s="0" t="n">
        <f aca="false">E3358*F3358</f>
        <v>0</v>
      </c>
      <c r="O3358" s="0" t="n">
        <f aca="false">E3358*G3358</f>
        <v>-0</v>
      </c>
      <c r="P3358" s="0" t="n">
        <f aca="false">E3358*H3358</f>
        <v>0</v>
      </c>
      <c r="Q3358" s="0" t="n">
        <f aca="false">F3358*G3358</f>
        <v>-0.0625</v>
      </c>
      <c r="R3358" s="0" t="n">
        <f aca="false">F3358*H3358</f>
        <v>0.0625</v>
      </c>
      <c r="S3358" s="0" t="n">
        <f aca="false">G3358*H3358</f>
        <v>-0.0625</v>
      </c>
      <c r="T3358" s="0" t="n">
        <f aca="false">E3358*E3358</f>
        <v>0</v>
      </c>
      <c r="U3358" s="0" t="n">
        <f aca="false">F3358*F3358</f>
        <v>0.0625</v>
      </c>
      <c r="V3358" s="0" t="n">
        <f aca="false">G3358*G3358</f>
        <v>0.0625</v>
      </c>
      <c r="W3358" s="0" t="n">
        <f aca="false">H3358*H3358</f>
        <v>0.0625</v>
      </c>
      <c r="X3358" s="0" t="n">
        <f aca="false">SUMPRODUCT(I3358:W3358,_XtX!$B$96:$P$96)</f>
        <v>48.0083196271929</v>
      </c>
      <c r="Y3358" s="0" t="n">
        <f aca="false">SUMPRODUCT(MMULT(I3358:W3358,_XtX!$B$78:$P$92),I3358:W3358)</f>
        <v>0.099622224506579</v>
      </c>
      <c r="Z3358" s="0" t="n">
        <f aca="false">04_回帰ANOVA!$K$19*04_回帰ANOVA!$K$14*SQRT(1+Y3358)</f>
        <v>1.3668477654658</v>
      </c>
      <c r="AA3358" s="0" t="n">
        <f aca="false">X3358-Z3358</f>
        <v>46.6414718617271</v>
      </c>
      <c r="AB3358" s="0" t="n">
        <f aca="false">X3358+Z3358</f>
        <v>49.3751673926587</v>
      </c>
      <c r="AC3358" s="54" t="b">
        <f aca="false">AND(E3358&gt;=01_因子設定!$L$5-0.000000001,E3358&lt;=01_因子設定!$M$5+0.000000001,F3358&gt;=01_因子設定!$L$6-0.000000001,F3358&lt;=01_因子設定!$M$6+0.000000001,G3358&gt;=01_因子設定!$L$7-0.000000001,G3358&lt;=01_因子設定!$M$7+0.000000001,H3358&gt;=01_因子設定!$L$8-0.000000001,H3358&lt;=01_因子設定!$M$8+0.000000001,IF(01_因子設定!$B$20="Box-Behnken",E3358^2+F3358^2+G3358^2+H3358^2&lt;=2+0.000000001,TRUE()))</f>
        <v>1</v>
      </c>
      <c r="AD3358" s="55" t="n">
        <f aca="false">IF(AC3358,IF(01_因子設定!$B$13="最大化",AA3358-01_因子設定!$B$14,IF(01_因子設定!$B$13="最小化",01_因子設定!$B$15-AB3358,MIN(AA3358-01_因子設定!$B$14,01_因子設定!$B$15-AB3358))),-1E+030)</f>
        <v>0.141471861727119</v>
      </c>
      <c r="AE3358" s="55" t="n">
        <f aca="false">IF(AC3358,IF(01_因子設定!$B$13="最大化",X3358,IF(01_因子設定!$B$13="最小化",-X3358,-ABS(X3358-01_因子設定!$B$16))),-1E+030)</f>
        <v>48.0083196271929</v>
      </c>
      <c r="AF3358" s="55" t="n">
        <f aca="false">AD3358+ROW()*0.000000001</f>
        <v>0.141475219727119</v>
      </c>
      <c r="AG3358" s="55" t="n">
        <f aca="false">AE3358+ROW()*0.000000001</f>
        <v>48.0083229851929</v>
      </c>
    </row>
    <row r="3359" customFormat="false" ht="15" hidden="false" customHeight="false" outlineLevel="0" collapsed="false">
      <c r="A3359" s="0" t="n">
        <v>4</v>
      </c>
      <c r="B3359" s="0" t="n">
        <v>5</v>
      </c>
      <c r="C3359" s="0" t="n">
        <v>3</v>
      </c>
      <c r="D3359" s="0" t="n">
        <v>6</v>
      </c>
      <c r="E3359" s="0" t="n">
        <f aca="false">-1+A3359*0.25</f>
        <v>0</v>
      </c>
      <c r="F3359" s="0" t="n">
        <f aca="false">-1+B3359*0.25</f>
        <v>0.25</v>
      </c>
      <c r="G3359" s="0" t="n">
        <f aca="false">-1+C3359*0.25</f>
        <v>-0.25</v>
      </c>
      <c r="H3359" s="0" t="n">
        <f aca="false">-1+D3359*0.25</f>
        <v>0.5</v>
      </c>
      <c r="I3359" s="0" t="n">
        <f aca="false">1</f>
        <v>1</v>
      </c>
      <c r="J3359" s="0" t="n">
        <f aca="false">E3359</f>
        <v>0</v>
      </c>
      <c r="K3359" s="0" t="n">
        <f aca="false">F3359</f>
        <v>0.25</v>
      </c>
      <c r="L3359" s="0" t="n">
        <f aca="false">G3359</f>
        <v>-0.25</v>
      </c>
      <c r="M3359" s="0" t="n">
        <f aca="false">H3359</f>
        <v>0.5</v>
      </c>
      <c r="N3359" s="0" t="n">
        <f aca="false">E3359*F3359</f>
        <v>0</v>
      </c>
      <c r="O3359" s="0" t="n">
        <f aca="false">E3359*G3359</f>
        <v>-0</v>
      </c>
      <c r="P3359" s="0" t="n">
        <f aca="false">E3359*H3359</f>
        <v>0</v>
      </c>
      <c r="Q3359" s="0" t="n">
        <f aca="false">F3359*G3359</f>
        <v>-0.0625</v>
      </c>
      <c r="R3359" s="0" t="n">
        <f aca="false">F3359*H3359</f>
        <v>0.125</v>
      </c>
      <c r="S3359" s="0" t="n">
        <f aca="false">G3359*H3359</f>
        <v>-0.125</v>
      </c>
      <c r="T3359" s="0" t="n">
        <f aca="false">E3359*E3359</f>
        <v>0</v>
      </c>
      <c r="U3359" s="0" t="n">
        <f aca="false">F3359*F3359</f>
        <v>0.0625</v>
      </c>
      <c r="V3359" s="0" t="n">
        <f aca="false">G3359*G3359</f>
        <v>0.0625</v>
      </c>
      <c r="W3359" s="0" t="n">
        <f aca="false">H3359*H3359</f>
        <v>0.25</v>
      </c>
      <c r="X3359" s="0" t="n">
        <f aca="false">SUMPRODUCT(I3359:W3359,_XtX!$B$96:$P$96)</f>
        <v>48.006747989766</v>
      </c>
      <c r="Y3359" s="0" t="n">
        <f aca="false">SUMPRODUCT(MMULT(I3359:W3359,_XtX!$B$78:$P$92),I3359:W3359)</f>
        <v>0.118905050712719</v>
      </c>
      <c r="Z3359" s="0" t="n">
        <f aca="false">04_回帰ANOVA!$K$19*04_回帰ANOVA!$K$14*SQRT(1+Y3359)</f>
        <v>1.37878011033769</v>
      </c>
      <c r="AA3359" s="0" t="n">
        <f aca="false">X3359-Z3359</f>
        <v>46.6279678794283</v>
      </c>
      <c r="AB3359" s="0" t="n">
        <f aca="false">X3359+Z3359</f>
        <v>49.3855281001037</v>
      </c>
      <c r="AC3359" s="54" t="b">
        <f aca="false">AND(E3359&gt;=01_因子設定!$L$5-0.000000001,E3359&lt;=01_因子設定!$M$5+0.000000001,F3359&gt;=01_因子設定!$L$6-0.000000001,F3359&lt;=01_因子設定!$M$6+0.000000001,G3359&gt;=01_因子設定!$L$7-0.000000001,G3359&lt;=01_因子設定!$M$7+0.000000001,H3359&gt;=01_因子設定!$L$8-0.000000001,H3359&lt;=01_因子設定!$M$8+0.000000001,IF(01_因子設定!$B$20="Box-Behnken",E3359^2+F3359^2+G3359^2+H3359^2&lt;=2+0.000000001,TRUE()))</f>
        <v>1</v>
      </c>
      <c r="AD3359" s="55" t="n">
        <f aca="false">IF(AC3359,IF(01_因子設定!$B$13="最大化",AA3359-01_因子設定!$B$14,IF(01_因子設定!$B$13="最小化",01_因子設定!$B$15-AB3359,MIN(AA3359-01_因子設定!$B$14,01_因子設定!$B$15-AB3359))),-1E+030)</f>
        <v>0.12796787942834</v>
      </c>
      <c r="AE3359" s="55" t="n">
        <f aca="false">IF(AC3359,IF(01_因子設定!$B$13="最大化",X3359,IF(01_因子設定!$B$13="最小化",-X3359,-ABS(X3359-01_因子設定!$B$16))),-1E+030)</f>
        <v>48.006747989766</v>
      </c>
      <c r="AF3359" s="55" t="n">
        <f aca="false">AD3359+ROW()*0.000000001</f>
        <v>0.12797123842834</v>
      </c>
      <c r="AG3359" s="55" t="n">
        <f aca="false">AE3359+ROW()*0.000000001</f>
        <v>48.006751348766</v>
      </c>
    </row>
    <row r="3360" customFormat="false" ht="15" hidden="false" customHeight="false" outlineLevel="0" collapsed="false">
      <c r="A3360" s="0" t="n">
        <v>4</v>
      </c>
      <c r="B3360" s="0" t="n">
        <v>5</v>
      </c>
      <c r="C3360" s="0" t="n">
        <v>3</v>
      </c>
      <c r="D3360" s="0" t="n">
        <v>7</v>
      </c>
      <c r="E3360" s="0" t="n">
        <f aca="false">-1+A3360*0.25</f>
        <v>0</v>
      </c>
      <c r="F3360" s="0" t="n">
        <f aca="false">-1+B3360*0.25</f>
        <v>0.25</v>
      </c>
      <c r="G3360" s="0" t="n">
        <f aca="false">-1+C3360*0.25</f>
        <v>-0.25</v>
      </c>
      <c r="H3360" s="0" t="n">
        <f aca="false">-1+D3360*0.25</f>
        <v>0.75</v>
      </c>
      <c r="I3360" s="0" t="n">
        <f aca="false">1</f>
        <v>1</v>
      </c>
      <c r="J3360" s="0" t="n">
        <f aca="false">E3360</f>
        <v>0</v>
      </c>
      <c r="K3360" s="0" t="n">
        <f aca="false">F3360</f>
        <v>0.25</v>
      </c>
      <c r="L3360" s="0" t="n">
        <f aca="false">G3360</f>
        <v>-0.25</v>
      </c>
      <c r="M3360" s="0" t="n">
        <f aca="false">H3360</f>
        <v>0.75</v>
      </c>
      <c r="N3360" s="0" t="n">
        <f aca="false">E3360*F3360</f>
        <v>0</v>
      </c>
      <c r="O3360" s="0" t="n">
        <f aca="false">E3360*G3360</f>
        <v>-0</v>
      </c>
      <c r="P3360" s="0" t="n">
        <f aca="false">E3360*H3360</f>
        <v>0</v>
      </c>
      <c r="Q3360" s="0" t="n">
        <f aca="false">F3360*G3360</f>
        <v>-0.0625</v>
      </c>
      <c r="R3360" s="0" t="n">
        <f aca="false">F3360*H3360</f>
        <v>0.1875</v>
      </c>
      <c r="S3360" s="0" t="n">
        <f aca="false">G3360*H3360</f>
        <v>-0.1875</v>
      </c>
      <c r="T3360" s="0" t="n">
        <f aca="false">E3360*E3360</f>
        <v>0</v>
      </c>
      <c r="U3360" s="0" t="n">
        <f aca="false">F3360*F3360</f>
        <v>0.0625</v>
      </c>
      <c r="V3360" s="0" t="n">
        <f aca="false">G3360*G3360</f>
        <v>0.0625</v>
      </c>
      <c r="W3360" s="0" t="n">
        <f aca="false">H3360*H3360</f>
        <v>0.5625</v>
      </c>
      <c r="X3360" s="0" t="n">
        <f aca="false">SUMPRODUCT(I3360:W3360,_XtX!$B$96:$P$96)</f>
        <v>47.9573693347953</v>
      </c>
      <c r="Y3360" s="0" t="n">
        <f aca="false">SUMPRODUCT(MMULT(I3360:W3360,_XtX!$B$78:$P$92),I3360:W3360)</f>
        <v>0.21135011193348</v>
      </c>
      <c r="Z3360" s="0" t="n">
        <f aca="false">04_回帰ANOVA!$K$19*04_回帰ANOVA!$K$14*SQRT(1+Y3360)</f>
        <v>1.43460795469709</v>
      </c>
      <c r="AA3360" s="0" t="n">
        <f aca="false">X3360-Z3360</f>
        <v>46.5227613800982</v>
      </c>
      <c r="AB3360" s="0" t="n">
        <f aca="false">X3360+Z3360</f>
        <v>49.3919772894924</v>
      </c>
      <c r="AC3360" s="54" t="b">
        <f aca="false">AND(E3360&gt;=01_因子設定!$L$5-0.000000001,E3360&lt;=01_因子設定!$M$5+0.000000001,F3360&gt;=01_因子設定!$L$6-0.000000001,F3360&lt;=01_因子設定!$M$6+0.000000001,G3360&gt;=01_因子設定!$L$7-0.000000001,G3360&lt;=01_因子設定!$M$7+0.000000001,H3360&gt;=01_因子設定!$L$8-0.000000001,H3360&lt;=01_因子設定!$M$8+0.000000001,IF(01_因子設定!$B$20="Box-Behnken",E3360^2+F3360^2+G3360^2+H3360^2&lt;=2+0.000000001,TRUE()))</f>
        <v>1</v>
      </c>
      <c r="AD3360" s="55" t="n">
        <f aca="false">IF(AC3360,IF(01_因子設定!$B$13="最大化",AA3360-01_因子設定!$B$14,IF(01_因子設定!$B$13="最小化",01_因子設定!$B$15-AB3360,MIN(AA3360-01_因子設定!$B$14,01_因子設定!$B$15-AB3360))),-1E+030)</f>
        <v>0.0227613800981885</v>
      </c>
      <c r="AE3360" s="55" t="n">
        <f aca="false">IF(AC3360,IF(01_因子設定!$B$13="最大化",X3360,IF(01_因子設定!$B$13="最小化",-X3360,-ABS(X3360-01_因子設定!$B$16))),-1E+030)</f>
        <v>47.9573693347953</v>
      </c>
      <c r="AF3360" s="55" t="n">
        <f aca="false">AD3360+ROW()*0.000000001</f>
        <v>0.0227647400981885</v>
      </c>
      <c r="AG3360" s="55" t="n">
        <f aca="false">AE3360+ROW()*0.000000001</f>
        <v>47.9573726947953</v>
      </c>
    </row>
    <row r="3361" customFormat="false" ht="15" hidden="false" customHeight="false" outlineLevel="0" collapsed="false">
      <c r="A3361" s="0" t="n">
        <v>4</v>
      </c>
      <c r="B3361" s="0" t="n">
        <v>5</v>
      </c>
      <c r="C3361" s="0" t="n">
        <v>3</v>
      </c>
      <c r="D3361" s="0" t="n">
        <v>8</v>
      </c>
      <c r="E3361" s="0" t="n">
        <f aca="false">-1+A3361*0.25</f>
        <v>0</v>
      </c>
      <c r="F3361" s="0" t="n">
        <f aca="false">-1+B3361*0.25</f>
        <v>0.25</v>
      </c>
      <c r="G3361" s="0" t="n">
        <f aca="false">-1+C3361*0.25</f>
        <v>-0.25</v>
      </c>
      <c r="H3361" s="0" t="n">
        <f aca="false">-1+D3361*0.25</f>
        <v>1</v>
      </c>
      <c r="I3361" s="0" t="n">
        <f aca="false">1</f>
        <v>1</v>
      </c>
      <c r="J3361" s="0" t="n">
        <f aca="false">E3361</f>
        <v>0</v>
      </c>
      <c r="K3361" s="0" t="n">
        <f aca="false">F3361</f>
        <v>0.25</v>
      </c>
      <c r="L3361" s="0" t="n">
        <f aca="false">G3361</f>
        <v>-0.25</v>
      </c>
      <c r="M3361" s="0" t="n">
        <f aca="false">H3361</f>
        <v>1</v>
      </c>
      <c r="N3361" s="0" t="n">
        <f aca="false">E3361*F3361</f>
        <v>0</v>
      </c>
      <c r="O3361" s="0" t="n">
        <f aca="false">E3361*G3361</f>
        <v>-0</v>
      </c>
      <c r="P3361" s="0" t="n">
        <f aca="false">E3361*H3361</f>
        <v>0</v>
      </c>
      <c r="Q3361" s="0" t="n">
        <f aca="false">F3361*G3361</f>
        <v>-0.0625</v>
      </c>
      <c r="R3361" s="0" t="n">
        <f aca="false">F3361*H3361</f>
        <v>0.25</v>
      </c>
      <c r="S3361" s="0" t="n">
        <f aca="false">G3361*H3361</f>
        <v>-0.25</v>
      </c>
      <c r="T3361" s="0" t="n">
        <f aca="false">E3361*E3361</f>
        <v>0</v>
      </c>
      <c r="U3361" s="0" t="n">
        <f aca="false">F3361*F3361</f>
        <v>0.0625</v>
      </c>
      <c r="V3361" s="0" t="n">
        <f aca="false">G3361*G3361</f>
        <v>0.0625</v>
      </c>
      <c r="W3361" s="0" t="n">
        <f aca="false">H3361*H3361</f>
        <v>1</v>
      </c>
      <c r="X3361" s="0" t="n">
        <f aca="false">SUMPRODUCT(I3361:W3361,_XtX!$B$96:$P$96)</f>
        <v>47.8601836622807</v>
      </c>
      <c r="Y3361" s="0" t="n">
        <f aca="false">SUMPRODUCT(MMULT(I3361:W3361,_XtX!$B$78:$P$92),I3361:W3361)</f>
        <v>0.467417934484649</v>
      </c>
      <c r="Z3361" s="0" t="n">
        <f aca="false">04_回帰ANOVA!$K$19*04_回帰ANOVA!$K$14*SQRT(1+Y3361)</f>
        <v>1.57897518244497</v>
      </c>
      <c r="AA3361" s="0" t="n">
        <f aca="false">X3361-Z3361</f>
        <v>46.2812084798357</v>
      </c>
      <c r="AB3361" s="0" t="n">
        <f aca="false">X3361+Z3361</f>
        <v>49.4391588447256</v>
      </c>
      <c r="AC3361" s="54" t="b">
        <f aca="false">AND(E3361&gt;=01_因子設定!$L$5-0.000000001,E3361&lt;=01_因子設定!$M$5+0.000000001,F3361&gt;=01_因子設定!$L$6-0.000000001,F3361&lt;=01_因子設定!$M$6+0.000000001,G3361&gt;=01_因子設定!$L$7-0.000000001,G3361&lt;=01_因子設定!$M$7+0.000000001,H3361&gt;=01_因子設定!$L$8-0.000000001,H3361&lt;=01_因子設定!$M$8+0.000000001,IF(01_因子設定!$B$20="Box-Behnken",E3361^2+F3361^2+G3361^2+H3361^2&lt;=2+0.000000001,TRUE()))</f>
        <v>1</v>
      </c>
      <c r="AD3361" s="55" t="n">
        <f aca="false">IF(AC3361,IF(01_因子設定!$B$13="最大化",AA3361-01_因子設定!$B$14,IF(01_因子設定!$B$13="最小化",01_因子設定!$B$15-AB3361,MIN(AA3361-01_因子設定!$B$14,01_因子設定!$B$15-AB3361))),-1E+030)</f>
        <v>-0.218791520164302</v>
      </c>
      <c r="AE3361" s="55" t="n">
        <f aca="false">IF(AC3361,IF(01_因子設定!$B$13="最大化",X3361,IF(01_因子設定!$B$13="最小化",-X3361,-ABS(X3361-01_因子設定!$B$16))),-1E+030)</f>
        <v>47.8601836622807</v>
      </c>
      <c r="AF3361" s="55" t="n">
        <f aca="false">AD3361+ROW()*0.000000001</f>
        <v>-0.218788159164302</v>
      </c>
      <c r="AG3361" s="55" t="n">
        <f aca="false">AE3361+ROW()*0.000000001</f>
        <v>47.8601870232807</v>
      </c>
    </row>
    <row r="3362" customFormat="false" ht="15" hidden="false" customHeight="false" outlineLevel="0" collapsed="false">
      <c r="A3362" s="0" t="n">
        <v>4</v>
      </c>
      <c r="B3362" s="0" t="n">
        <v>5</v>
      </c>
      <c r="C3362" s="0" t="n">
        <v>4</v>
      </c>
      <c r="D3362" s="0" t="n">
        <v>0</v>
      </c>
      <c r="E3362" s="0" t="n">
        <f aca="false">-1+A3362*0.25</f>
        <v>0</v>
      </c>
      <c r="F3362" s="0" t="n">
        <f aca="false">-1+B3362*0.25</f>
        <v>0.25</v>
      </c>
      <c r="G3362" s="0" t="n">
        <f aca="false">-1+C3362*0.25</f>
        <v>0</v>
      </c>
      <c r="H3362" s="0" t="n">
        <f aca="false">-1+D3362*0.25</f>
        <v>-1</v>
      </c>
      <c r="I3362" s="0" t="n">
        <f aca="false">1</f>
        <v>1</v>
      </c>
      <c r="J3362" s="0" t="n">
        <f aca="false">E3362</f>
        <v>0</v>
      </c>
      <c r="K3362" s="0" t="n">
        <f aca="false">F3362</f>
        <v>0.25</v>
      </c>
      <c r="L3362" s="0" t="n">
        <f aca="false">G3362</f>
        <v>0</v>
      </c>
      <c r="M3362" s="0" t="n">
        <f aca="false">H3362</f>
        <v>-1</v>
      </c>
      <c r="N3362" s="0" t="n">
        <f aca="false">E3362*F3362</f>
        <v>0</v>
      </c>
      <c r="O3362" s="0" t="n">
        <f aca="false">E3362*G3362</f>
        <v>0</v>
      </c>
      <c r="P3362" s="0" t="n">
        <f aca="false">E3362*H3362</f>
        <v>-0</v>
      </c>
      <c r="Q3362" s="0" t="n">
        <f aca="false">F3362*G3362</f>
        <v>0</v>
      </c>
      <c r="R3362" s="0" t="n">
        <f aca="false">F3362*H3362</f>
        <v>-0.25</v>
      </c>
      <c r="S3362" s="0" t="n">
        <f aca="false">G3362*H3362</f>
        <v>-0</v>
      </c>
      <c r="T3362" s="0" t="n">
        <f aca="false">E3362*E3362</f>
        <v>0</v>
      </c>
      <c r="U3362" s="0" t="n">
        <f aca="false">F3362*F3362</f>
        <v>0.0625</v>
      </c>
      <c r="V3362" s="0" t="n">
        <f aca="false">G3362*G3362</f>
        <v>0</v>
      </c>
      <c r="W3362" s="0" t="n">
        <f aca="false">H3362*H3362</f>
        <v>1</v>
      </c>
      <c r="X3362" s="0" t="n">
        <f aca="false">SUMPRODUCT(I3362:W3362,_XtX!$B$96:$P$96)</f>
        <v>47.5352156432748</v>
      </c>
      <c r="Y3362" s="0" t="n">
        <f aca="false">SUMPRODUCT(MMULT(I3362:W3362,_XtX!$B$78:$P$92),I3362:W3362)</f>
        <v>0.47672240497076</v>
      </c>
      <c r="Z3362" s="0" t="n">
        <f aca="false">04_回帰ANOVA!$K$19*04_回帰ANOVA!$K$14*SQRT(1+Y3362)</f>
        <v>1.58397318352695</v>
      </c>
      <c r="AA3362" s="0" t="n">
        <f aca="false">X3362-Z3362</f>
        <v>45.9512424597479</v>
      </c>
      <c r="AB3362" s="0" t="n">
        <f aca="false">X3362+Z3362</f>
        <v>49.1191888268018</v>
      </c>
      <c r="AC3362" s="54" t="b">
        <f aca="false">AND(E3362&gt;=01_因子設定!$L$5-0.000000001,E3362&lt;=01_因子設定!$M$5+0.000000001,F3362&gt;=01_因子設定!$L$6-0.000000001,F3362&lt;=01_因子設定!$M$6+0.000000001,G3362&gt;=01_因子設定!$L$7-0.000000001,G3362&lt;=01_因子設定!$M$7+0.000000001,H3362&gt;=01_因子設定!$L$8-0.000000001,H3362&lt;=01_因子設定!$M$8+0.000000001,IF(01_因子設定!$B$20="Box-Behnken",E3362^2+F3362^2+G3362^2+H3362^2&lt;=2+0.000000001,TRUE()))</f>
        <v>1</v>
      </c>
      <c r="AD3362" s="55" t="n">
        <f aca="false">IF(AC3362,IF(01_因子設定!$B$13="最大化",AA3362-01_因子設定!$B$14,IF(01_因子設定!$B$13="最小化",01_因子設定!$B$15-AB3362,MIN(AA3362-01_因子設定!$B$14,01_因子設定!$B$15-AB3362))),-1E+030)</f>
        <v>-0.548757540252119</v>
      </c>
      <c r="AE3362" s="55" t="n">
        <f aca="false">IF(AC3362,IF(01_因子設定!$B$13="最大化",X3362,IF(01_因子設定!$B$13="最小化",-X3362,-ABS(X3362-01_因子設定!$B$16))),-1E+030)</f>
        <v>47.5352156432748</v>
      </c>
      <c r="AF3362" s="55" t="n">
        <f aca="false">AD3362+ROW()*0.000000001</f>
        <v>-0.548754178252119</v>
      </c>
      <c r="AG3362" s="55" t="n">
        <f aca="false">AE3362+ROW()*0.000000001</f>
        <v>47.5352190052748</v>
      </c>
    </row>
    <row r="3363" customFormat="false" ht="15" hidden="false" customHeight="false" outlineLevel="0" collapsed="false">
      <c r="A3363" s="0" t="n">
        <v>4</v>
      </c>
      <c r="B3363" s="0" t="n">
        <v>5</v>
      </c>
      <c r="C3363" s="0" t="n">
        <v>4</v>
      </c>
      <c r="D3363" s="0" t="n">
        <v>1</v>
      </c>
      <c r="E3363" s="0" t="n">
        <f aca="false">-1+A3363*0.25</f>
        <v>0</v>
      </c>
      <c r="F3363" s="0" t="n">
        <f aca="false">-1+B3363*0.25</f>
        <v>0.25</v>
      </c>
      <c r="G3363" s="0" t="n">
        <f aca="false">-1+C3363*0.25</f>
        <v>0</v>
      </c>
      <c r="H3363" s="0" t="n">
        <f aca="false">-1+D3363*0.25</f>
        <v>-0.75</v>
      </c>
      <c r="I3363" s="0" t="n">
        <f aca="false">1</f>
        <v>1</v>
      </c>
      <c r="J3363" s="0" t="n">
        <f aca="false">E3363</f>
        <v>0</v>
      </c>
      <c r="K3363" s="0" t="n">
        <f aca="false">F3363</f>
        <v>0.25</v>
      </c>
      <c r="L3363" s="0" t="n">
        <f aca="false">G3363</f>
        <v>0</v>
      </c>
      <c r="M3363" s="0" t="n">
        <f aca="false">H3363</f>
        <v>-0.75</v>
      </c>
      <c r="N3363" s="0" t="n">
        <f aca="false">E3363*F3363</f>
        <v>0</v>
      </c>
      <c r="O3363" s="0" t="n">
        <f aca="false">E3363*G3363</f>
        <v>0</v>
      </c>
      <c r="P3363" s="0" t="n">
        <f aca="false">E3363*H3363</f>
        <v>-0</v>
      </c>
      <c r="Q3363" s="0" t="n">
        <f aca="false">F3363*G3363</f>
        <v>0</v>
      </c>
      <c r="R3363" s="0" t="n">
        <f aca="false">F3363*H3363</f>
        <v>-0.1875</v>
      </c>
      <c r="S3363" s="0" t="n">
        <f aca="false">G3363*H3363</f>
        <v>-0</v>
      </c>
      <c r="T3363" s="0" t="n">
        <f aca="false">E3363*E3363</f>
        <v>0</v>
      </c>
      <c r="U3363" s="0" t="n">
        <f aca="false">F3363*F3363</f>
        <v>0.0625</v>
      </c>
      <c r="V3363" s="0" t="n">
        <f aca="false">G3363*G3363</f>
        <v>0</v>
      </c>
      <c r="W3363" s="0" t="n">
        <f aca="false">H3363*H3363</f>
        <v>0.5625</v>
      </c>
      <c r="X3363" s="0" t="n">
        <f aca="false">SUMPRODUCT(I3363:W3363,_XtX!$B$96:$P$96)</f>
        <v>47.7906478435672</v>
      </c>
      <c r="Y3363" s="0" t="n">
        <f aca="false">SUMPRODUCT(MMULT(I3363:W3363,_XtX!$B$78:$P$92),I3363:W3363)</f>
        <v>0.216127272934942</v>
      </c>
      <c r="Z3363" s="0" t="n">
        <f aca="false">04_回帰ANOVA!$K$19*04_回帰ANOVA!$K$14*SQRT(1+Y3363)</f>
        <v>1.43743397896608</v>
      </c>
      <c r="AA3363" s="0" t="n">
        <f aca="false">X3363-Z3363</f>
        <v>46.3532138646011</v>
      </c>
      <c r="AB3363" s="0" t="n">
        <f aca="false">X3363+Z3363</f>
        <v>49.2280818225333</v>
      </c>
      <c r="AC3363" s="54" t="b">
        <f aca="false">AND(E3363&gt;=01_因子設定!$L$5-0.000000001,E3363&lt;=01_因子設定!$M$5+0.000000001,F3363&gt;=01_因子設定!$L$6-0.000000001,F3363&lt;=01_因子設定!$M$6+0.000000001,G3363&gt;=01_因子設定!$L$7-0.000000001,G3363&lt;=01_因子設定!$M$7+0.000000001,H3363&gt;=01_因子設定!$L$8-0.000000001,H3363&lt;=01_因子設定!$M$8+0.000000001,IF(01_因子設定!$B$20="Box-Behnken",E3363^2+F3363^2+G3363^2+H3363^2&lt;=2+0.000000001,TRUE()))</f>
        <v>1</v>
      </c>
      <c r="AD3363" s="55" t="n">
        <f aca="false">IF(AC3363,IF(01_因子設定!$B$13="最大化",AA3363-01_因子設定!$B$14,IF(01_因子設定!$B$13="最小化",01_因子設定!$B$15-AB3363,MIN(AA3363-01_因子設定!$B$14,01_因子設定!$B$15-AB3363))),-1E+030)</f>
        <v>-0.14678613539887</v>
      </c>
      <c r="AE3363" s="55" t="n">
        <f aca="false">IF(AC3363,IF(01_因子設定!$B$13="最大化",X3363,IF(01_因子設定!$B$13="最小化",-X3363,-ABS(X3363-01_因子設定!$B$16))),-1E+030)</f>
        <v>47.7906478435672</v>
      </c>
      <c r="AF3363" s="55" t="n">
        <f aca="false">AD3363+ROW()*0.000000001</f>
        <v>-0.14678277239887</v>
      </c>
      <c r="AG3363" s="55" t="n">
        <f aca="false">AE3363+ROW()*0.000000001</f>
        <v>47.7906512065672</v>
      </c>
    </row>
    <row r="3364" customFormat="false" ht="15" hidden="false" customHeight="false" outlineLevel="0" collapsed="false">
      <c r="A3364" s="0" t="n">
        <v>4</v>
      </c>
      <c r="B3364" s="0" t="n">
        <v>5</v>
      </c>
      <c r="C3364" s="0" t="n">
        <v>4</v>
      </c>
      <c r="D3364" s="0" t="n">
        <v>2</v>
      </c>
      <c r="E3364" s="0" t="n">
        <f aca="false">-1+A3364*0.25</f>
        <v>0</v>
      </c>
      <c r="F3364" s="0" t="n">
        <f aca="false">-1+B3364*0.25</f>
        <v>0.25</v>
      </c>
      <c r="G3364" s="0" t="n">
        <f aca="false">-1+C3364*0.25</f>
        <v>0</v>
      </c>
      <c r="H3364" s="0" t="n">
        <f aca="false">-1+D3364*0.25</f>
        <v>-0.5</v>
      </c>
      <c r="I3364" s="0" t="n">
        <f aca="false">1</f>
        <v>1</v>
      </c>
      <c r="J3364" s="0" t="n">
        <f aca="false">E3364</f>
        <v>0</v>
      </c>
      <c r="K3364" s="0" t="n">
        <f aca="false">F3364</f>
        <v>0.25</v>
      </c>
      <c r="L3364" s="0" t="n">
        <f aca="false">G3364</f>
        <v>0</v>
      </c>
      <c r="M3364" s="0" t="n">
        <f aca="false">H3364</f>
        <v>-0.5</v>
      </c>
      <c r="N3364" s="0" t="n">
        <f aca="false">E3364*F3364</f>
        <v>0</v>
      </c>
      <c r="O3364" s="0" t="n">
        <f aca="false">E3364*G3364</f>
        <v>0</v>
      </c>
      <c r="P3364" s="0" t="n">
        <f aca="false">E3364*H3364</f>
        <v>-0</v>
      </c>
      <c r="Q3364" s="0" t="n">
        <f aca="false">F3364*G3364</f>
        <v>0</v>
      </c>
      <c r="R3364" s="0" t="n">
        <f aca="false">F3364*H3364</f>
        <v>-0.125</v>
      </c>
      <c r="S3364" s="0" t="n">
        <f aca="false">G3364*H3364</f>
        <v>-0</v>
      </c>
      <c r="T3364" s="0" t="n">
        <f aca="false">E3364*E3364</f>
        <v>0</v>
      </c>
      <c r="U3364" s="0" t="n">
        <f aca="false">F3364*F3364</f>
        <v>0.0625</v>
      </c>
      <c r="V3364" s="0" t="n">
        <f aca="false">G3364*G3364</f>
        <v>0</v>
      </c>
      <c r="W3364" s="0" t="n">
        <f aca="false">H3364*H3364</f>
        <v>0.25</v>
      </c>
      <c r="X3364" s="0" t="n">
        <f aca="false">SUMPRODUCT(I3364:W3364,_XtX!$B$96:$P$96)</f>
        <v>47.9982730263157</v>
      </c>
      <c r="Y3364" s="0" t="n">
        <f aca="false">SUMPRODUCT(MMULT(I3364:W3364,_XtX!$B$78:$P$92),I3364:W3364)</f>
        <v>0.120448419225146</v>
      </c>
      <c r="Z3364" s="0" t="n">
        <f aca="false">04_回帰ANOVA!$K$19*04_回帰ANOVA!$K$14*SQRT(1+Y3364)</f>
        <v>1.37973069703246</v>
      </c>
      <c r="AA3364" s="0" t="n">
        <f aca="false">X3364-Z3364</f>
        <v>46.6185423292833</v>
      </c>
      <c r="AB3364" s="0" t="n">
        <f aca="false">X3364+Z3364</f>
        <v>49.3780037233482</v>
      </c>
      <c r="AC3364" s="54" t="b">
        <f aca="false">AND(E3364&gt;=01_因子設定!$L$5-0.000000001,E3364&lt;=01_因子設定!$M$5+0.000000001,F3364&gt;=01_因子設定!$L$6-0.000000001,F3364&lt;=01_因子設定!$M$6+0.000000001,G3364&gt;=01_因子設定!$L$7-0.000000001,G3364&lt;=01_因子設定!$M$7+0.000000001,H3364&gt;=01_因子設定!$L$8-0.000000001,H3364&lt;=01_因子設定!$M$8+0.000000001,IF(01_因子設定!$B$20="Box-Behnken",E3364^2+F3364^2+G3364^2+H3364^2&lt;=2+0.000000001,TRUE()))</f>
        <v>1</v>
      </c>
      <c r="AD3364" s="55" t="n">
        <f aca="false">IF(AC3364,IF(01_因子設定!$B$13="最大化",AA3364-01_因子設定!$B$14,IF(01_因子設定!$B$13="最小化",01_因子設定!$B$15-AB3364,MIN(AA3364-01_因子設定!$B$14,01_因子設定!$B$15-AB3364))),-1E+030)</f>
        <v>0.118542329283265</v>
      </c>
      <c r="AE3364" s="55" t="n">
        <f aca="false">IF(AC3364,IF(01_因子設定!$B$13="最大化",X3364,IF(01_因子設定!$B$13="最小化",-X3364,-ABS(X3364-01_因子設定!$B$16))),-1E+030)</f>
        <v>47.9982730263157</v>
      </c>
      <c r="AF3364" s="55" t="n">
        <f aca="false">AD3364+ROW()*0.000000001</f>
        <v>0.118545693283265</v>
      </c>
      <c r="AG3364" s="55" t="n">
        <f aca="false">AE3364+ROW()*0.000000001</f>
        <v>47.9982763903157</v>
      </c>
    </row>
    <row r="3365" customFormat="false" ht="15" hidden="false" customHeight="false" outlineLevel="0" collapsed="false">
      <c r="A3365" s="0" t="n">
        <v>4</v>
      </c>
      <c r="B3365" s="0" t="n">
        <v>5</v>
      </c>
      <c r="C3365" s="0" t="n">
        <v>4</v>
      </c>
      <c r="D3365" s="0" t="n">
        <v>3</v>
      </c>
      <c r="E3365" s="0" t="n">
        <f aca="false">-1+A3365*0.25</f>
        <v>0</v>
      </c>
      <c r="F3365" s="0" t="n">
        <f aca="false">-1+B3365*0.25</f>
        <v>0.25</v>
      </c>
      <c r="G3365" s="0" t="n">
        <f aca="false">-1+C3365*0.25</f>
        <v>0</v>
      </c>
      <c r="H3365" s="0" t="n">
        <f aca="false">-1+D3365*0.25</f>
        <v>-0.25</v>
      </c>
      <c r="I3365" s="0" t="n">
        <f aca="false">1</f>
        <v>1</v>
      </c>
      <c r="J3365" s="0" t="n">
        <f aca="false">E3365</f>
        <v>0</v>
      </c>
      <c r="K3365" s="0" t="n">
        <f aca="false">F3365</f>
        <v>0.25</v>
      </c>
      <c r="L3365" s="0" t="n">
        <f aca="false">G3365</f>
        <v>0</v>
      </c>
      <c r="M3365" s="0" t="n">
        <f aca="false">H3365</f>
        <v>-0.25</v>
      </c>
      <c r="N3365" s="0" t="n">
        <f aca="false">E3365*F3365</f>
        <v>0</v>
      </c>
      <c r="O3365" s="0" t="n">
        <f aca="false">E3365*G3365</f>
        <v>0</v>
      </c>
      <c r="P3365" s="0" t="n">
        <f aca="false">E3365*H3365</f>
        <v>-0</v>
      </c>
      <c r="Q3365" s="0" t="n">
        <f aca="false">F3365*G3365</f>
        <v>0</v>
      </c>
      <c r="R3365" s="0" t="n">
        <f aca="false">F3365*H3365</f>
        <v>-0.0625</v>
      </c>
      <c r="S3365" s="0" t="n">
        <f aca="false">G3365*H3365</f>
        <v>-0</v>
      </c>
      <c r="T3365" s="0" t="n">
        <f aca="false">E3365*E3365</f>
        <v>0</v>
      </c>
      <c r="U3365" s="0" t="n">
        <f aca="false">F3365*F3365</f>
        <v>0.0625</v>
      </c>
      <c r="V3365" s="0" t="n">
        <f aca="false">G3365*G3365</f>
        <v>0</v>
      </c>
      <c r="W3365" s="0" t="n">
        <f aca="false">H3365*H3365</f>
        <v>0.0625</v>
      </c>
      <c r="X3365" s="0" t="n">
        <f aca="false">SUMPRODUCT(I3365:W3365,_XtX!$B$96:$P$96)</f>
        <v>48.1580911915204</v>
      </c>
      <c r="Y3365" s="0" t="n">
        <f aca="false">SUMPRODUCT(MMULT(I3365:W3365,_XtX!$B$78:$P$92),I3365:W3365)</f>
        <v>0.0992253175255848</v>
      </c>
      <c r="Z3365" s="0" t="n">
        <f aca="false">04_回帰ANOVA!$K$19*04_回帰ANOVA!$K$14*SQRT(1+Y3365)</f>
        <v>1.36660106238383</v>
      </c>
      <c r="AA3365" s="0" t="n">
        <f aca="false">X3365-Z3365</f>
        <v>46.7914901291366</v>
      </c>
      <c r="AB3365" s="0" t="n">
        <f aca="false">X3365+Z3365</f>
        <v>49.5246922539042</v>
      </c>
      <c r="AC3365" s="54" t="b">
        <f aca="false">AND(E3365&gt;=01_因子設定!$L$5-0.000000001,E3365&lt;=01_因子設定!$M$5+0.000000001,F3365&gt;=01_因子設定!$L$6-0.000000001,F3365&lt;=01_因子設定!$M$6+0.000000001,G3365&gt;=01_因子設定!$L$7-0.000000001,G3365&lt;=01_因子設定!$M$7+0.000000001,H3365&gt;=01_因子設定!$L$8-0.000000001,H3365&lt;=01_因子設定!$M$8+0.000000001,IF(01_因子設定!$B$20="Box-Behnken",E3365^2+F3365^2+G3365^2+H3365^2&lt;=2+0.000000001,TRUE()))</f>
        <v>1</v>
      </c>
      <c r="AD3365" s="55" t="n">
        <f aca="false">IF(AC3365,IF(01_因子設定!$B$13="最大化",AA3365-01_因子設定!$B$14,IF(01_因子設定!$B$13="最小化",01_因子設定!$B$15-AB3365,MIN(AA3365-01_因子設定!$B$14,01_因子設定!$B$15-AB3365))),-1E+030)</f>
        <v>0.291490129136577</v>
      </c>
      <c r="AE3365" s="55" t="n">
        <f aca="false">IF(AC3365,IF(01_因子設定!$B$13="最大化",X3365,IF(01_因子設定!$B$13="最小化",-X3365,-ABS(X3365-01_因子設定!$B$16))),-1E+030)</f>
        <v>48.1580911915204</v>
      </c>
      <c r="AF3365" s="55" t="n">
        <f aca="false">AD3365+ROW()*0.000000001</f>
        <v>0.291493494136577</v>
      </c>
      <c r="AG3365" s="55" t="n">
        <f aca="false">AE3365+ROW()*0.000000001</f>
        <v>48.1580945565204</v>
      </c>
    </row>
    <row r="3366" customFormat="false" ht="15" hidden="false" customHeight="false" outlineLevel="0" collapsed="false">
      <c r="A3366" s="0" t="n">
        <v>4</v>
      </c>
      <c r="B3366" s="0" t="n">
        <v>5</v>
      </c>
      <c r="C3366" s="0" t="n">
        <v>4</v>
      </c>
      <c r="D3366" s="0" t="n">
        <v>4</v>
      </c>
      <c r="E3366" s="0" t="n">
        <f aca="false">-1+A3366*0.25</f>
        <v>0</v>
      </c>
      <c r="F3366" s="0" t="n">
        <f aca="false">-1+B3366*0.25</f>
        <v>0.25</v>
      </c>
      <c r="G3366" s="0" t="n">
        <f aca="false">-1+C3366*0.25</f>
        <v>0</v>
      </c>
      <c r="H3366" s="0" t="n">
        <f aca="false">-1+D3366*0.25</f>
        <v>0</v>
      </c>
      <c r="I3366" s="0" t="n">
        <f aca="false">1</f>
        <v>1</v>
      </c>
      <c r="J3366" s="0" t="n">
        <f aca="false">E3366</f>
        <v>0</v>
      </c>
      <c r="K3366" s="0" t="n">
        <f aca="false">F3366</f>
        <v>0.25</v>
      </c>
      <c r="L3366" s="0" t="n">
        <f aca="false">G3366</f>
        <v>0</v>
      </c>
      <c r="M3366" s="0" t="n">
        <f aca="false">H3366</f>
        <v>0</v>
      </c>
      <c r="N3366" s="0" t="n">
        <f aca="false">E3366*F3366</f>
        <v>0</v>
      </c>
      <c r="O3366" s="0" t="n">
        <f aca="false">E3366*G3366</f>
        <v>0</v>
      </c>
      <c r="P3366" s="0" t="n">
        <f aca="false">E3366*H3366</f>
        <v>0</v>
      </c>
      <c r="Q3366" s="0" t="n">
        <f aca="false">F3366*G3366</f>
        <v>0</v>
      </c>
      <c r="R3366" s="0" t="n">
        <f aca="false">F3366*H3366</f>
        <v>0</v>
      </c>
      <c r="S3366" s="0" t="n">
        <f aca="false">G3366*H3366</f>
        <v>0</v>
      </c>
      <c r="T3366" s="0" t="n">
        <f aca="false">E3366*E3366</f>
        <v>0</v>
      </c>
      <c r="U3366" s="0" t="n">
        <f aca="false">F3366*F3366</f>
        <v>0.0625</v>
      </c>
      <c r="V3366" s="0" t="n">
        <f aca="false">G3366*G3366</f>
        <v>0</v>
      </c>
      <c r="W3366" s="0" t="n">
        <f aca="false">H3366*H3366</f>
        <v>0</v>
      </c>
      <c r="X3366" s="0" t="n">
        <f aca="false">SUMPRODUCT(I3366:W3366,_XtX!$B$96:$P$96)</f>
        <v>48.2701023391812</v>
      </c>
      <c r="Y3366" s="0" t="n">
        <f aca="false">SUMPRODUCT(MMULT(I3366:W3366,_XtX!$B$78:$P$92),I3366:W3366)</f>
        <v>0.0981816520467836</v>
      </c>
      <c r="Z3366" s="0" t="n">
        <f aca="false">04_回帰ANOVA!$K$19*04_回帰ANOVA!$K$14*SQRT(1+Y3366)</f>
        <v>1.36595214489796</v>
      </c>
      <c r="AA3366" s="0" t="n">
        <f aca="false">X3366-Z3366</f>
        <v>46.9041501942833</v>
      </c>
      <c r="AB3366" s="0" t="n">
        <f aca="false">X3366+Z3366</f>
        <v>49.6360544840792</v>
      </c>
      <c r="AC3366" s="54" t="b">
        <f aca="false">AND(E3366&gt;=01_因子設定!$L$5-0.000000001,E3366&lt;=01_因子設定!$M$5+0.000000001,F3366&gt;=01_因子設定!$L$6-0.000000001,F3366&lt;=01_因子設定!$M$6+0.000000001,G3366&gt;=01_因子設定!$L$7-0.000000001,G3366&lt;=01_因子設定!$M$7+0.000000001,H3366&gt;=01_因子設定!$L$8-0.000000001,H3366&lt;=01_因子設定!$M$8+0.000000001,IF(01_因子設定!$B$20="Box-Behnken",E3366^2+F3366^2+G3366^2+H3366^2&lt;=2+0.000000001,TRUE()))</f>
        <v>1</v>
      </c>
      <c r="AD3366" s="55" t="n">
        <f aca="false">IF(AC3366,IF(01_因子設定!$B$13="最大化",AA3366-01_因子設定!$B$14,IF(01_因子設定!$B$13="最小化",01_因子設定!$B$15-AB3366,MIN(AA3366-01_因子設定!$B$14,01_因子設定!$B$15-AB3366))),-1E+030)</f>
        <v>0.404150194283261</v>
      </c>
      <c r="AE3366" s="55" t="n">
        <f aca="false">IF(AC3366,IF(01_因子設定!$B$13="最大化",X3366,IF(01_因子設定!$B$13="最小化",-X3366,-ABS(X3366-01_因子設定!$B$16))),-1E+030)</f>
        <v>48.2701023391812</v>
      </c>
      <c r="AF3366" s="55" t="n">
        <f aca="false">AD3366+ROW()*0.000000001</f>
        <v>0.404153560283261</v>
      </c>
      <c r="AG3366" s="55" t="n">
        <f aca="false">AE3366+ROW()*0.000000001</f>
        <v>48.2701057051812</v>
      </c>
    </row>
    <row r="3367" customFormat="false" ht="15" hidden="false" customHeight="false" outlineLevel="0" collapsed="false">
      <c r="A3367" s="0" t="n">
        <v>4</v>
      </c>
      <c r="B3367" s="0" t="n">
        <v>5</v>
      </c>
      <c r="C3367" s="0" t="n">
        <v>4</v>
      </c>
      <c r="D3367" s="0" t="n">
        <v>5</v>
      </c>
      <c r="E3367" s="0" t="n">
        <f aca="false">-1+A3367*0.25</f>
        <v>0</v>
      </c>
      <c r="F3367" s="0" t="n">
        <f aca="false">-1+B3367*0.25</f>
        <v>0.25</v>
      </c>
      <c r="G3367" s="0" t="n">
        <f aca="false">-1+C3367*0.25</f>
        <v>0</v>
      </c>
      <c r="H3367" s="0" t="n">
        <f aca="false">-1+D3367*0.25</f>
        <v>0.25</v>
      </c>
      <c r="I3367" s="0" t="n">
        <f aca="false">1</f>
        <v>1</v>
      </c>
      <c r="J3367" s="0" t="n">
        <f aca="false">E3367</f>
        <v>0</v>
      </c>
      <c r="K3367" s="0" t="n">
        <f aca="false">F3367</f>
        <v>0.25</v>
      </c>
      <c r="L3367" s="0" t="n">
        <f aca="false">G3367</f>
        <v>0</v>
      </c>
      <c r="M3367" s="0" t="n">
        <f aca="false">H3367</f>
        <v>0.25</v>
      </c>
      <c r="N3367" s="0" t="n">
        <f aca="false">E3367*F3367</f>
        <v>0</v>
      </c>
      <c r="O3367" s="0" t="n">
        <f aca="false">E3367*G3367</f>
        <v>0</v>
      </c>
      <c r="P3367" s="0" t="n">
        <f aca="false">E3367*H3367</f>
        <v>0</v>
      </c>
      <c r="Q3367" s="0" t="n">
        <f aca="false">F3367*G3367</f>
        <v>0</v>
      </c>
      <c r="R3367" s="0" t="n">
        <f aca="false">F3367*H3367</f>
        <v>0.0625</v>
      </c>
      <c r="S3367" s="0" t="n">
        <f aca="false">G3367*H3367</f>
        <v>0</v>
      </c>
      <c r="T3367" s="0" t="n">
        <f aca="false">E3367*E3367</f>
        <v>0</v>
      </c>
      <c r="U3367" s="0" t="n">
        <f aca="false">F3367*F3367</f>
        <v>0.0625</v>
      </c>
      <c r="V3367" s="0" t="n">
        <f aca="false">G3367*G3367</f>
        <v>0</v>
      </c>
      <c r="W3367" s="0" t="n">
        <f aca="false">H3367*H3367</f>
        <v>0.0625</v>
      </c>
      <c r="X3367" s="0" t="n">
        <f aca="false">SUMPRODUCT(I3367:W3367,_XtX!$B$96:$P$96)</f>
        <v>48.3343064692982</v>
      </c>
      <c r="Y3367" s="0" t="n">
        <f aca="false">SUMPRODUCT(MMULT(I3367:W3367,_XtX!$B$78:$P$92),I3367:W3367)</f>
        <v>0.0992253175255848</v>
      </c>
      <c r="Z3367" s="0" t="n">
        <f aca="false">04_回帰ANOVA!$K$19*04_回帰ANOVA!$K$14*SQRT(1+Y3367)</f>
        <v>1.36660106238383</v>
      </c>
      <c r="AA3367" s="0" t="n">
        <f aca="false">X3367-Z3367</f>
        <v>46.9677054069144</v>
      </c>
      <c r="AB3367" s="0" t="n">
        <f aca="false">X3367+Z3367</f>
        <v>49.700907531682</v>
      </c>
      <c r="AC3367" s="54" t="b">
        <f aca="false">AND(E3367&gt;=01_因子設定!$L$5-0.000000001,E3367&lt;=01_因子設定!$M$5+0.000000001,F3367&gt;=01_因子設定!$L$6-0.000000001,F3367&lt;=01_因子設定!$M$6+0.000000001,G3367&gt;=01_因子設定!$L$7-0.000000001,G3367&lt;=01_因子設定!$M$7+0.000000001,H3367&gt;=01_因子設定!$L$8-0.000000001,H3367&lt;=01_因子設定!$M$8+0.000000001,IF(01_因子設定!$B$20="Box-Behnken",E3367^2+F3367^2+G3367^2+H3367^2&lt;=2+0.000000001,TRUE()))</f>
        <v>1</v>
      </c>
      <c r="AD3367" s="55" t="n">
        <f aca="false">IF(AC3367,IF(01_因子設定!$B$13="最大化",AA3367-01_因子設定!$B$14,IF(01_因子設定!$B$13="最小化",01_因子設定!$B$15-AB3367,MIN(AA3367-01_因子設定!$B$14,01_因子設定!$B$15-AB3367))),-1E+030)</f>
        <v>0.467705406914355</v>
      </c>
      <c r="AE3367" s="55" t="n">
        <f aca="false">IF(AC3367,IF(01_因子設定!$B$13="最大化",X3367,IF(01_因子設定!$B$13="最小化",-X3367,-ABS(X3367-01_因子設定!$B$16))),-1E+030)</f>
        <v>48.3343064692982</v>
      </c>
      <c r="AF3367" s="55" t="n">
        <f aca="false">AD3367+ROW()*0.000000001</f>
        <v>0.467708773914355</v>
      </c>
      <c r="AG3367" s="55" t="n">
        <f aca="false">AE3367+ROW()*0.000000001</f>
        <v>48.3343098362982</v>
      </c>
    </row>
    <row r="3368" customFormat="false" ht="15" hidden="false" customHeight="false" outlineLevel="0" collapsed="false">
      <c r="A3368" s="0" t="n">
        <v>4</v>
      </c>
      <c r="B3368" s="0" t="n">
        <v>5</v>
      </c>
      <c r="C3368" s="0" t="n">
        <v>4</v>
      </c>
      <c r="D3368" s="0" t="n">
        <v>6</v>
      </c>
      <c r="E3368" s="0" t="n">
        <f aca="false">-1+A3368*0.25</f>
        <v>0</v>
      </c>
      <c r="F3368" s="0" t="n">
        <f aca="false">-1+B3368*0.25</f>
        <v>0.25</v>
      </c>
      <c r="G3368" s="0" t="n">
        <f aca="false">-1+C3368*0.25</f>
        <v>0</v>
      </c>
      <c r="H3368" s="0" t="n">
        <f aca="false">-1+D3368*0.25</f>
        <v>0.5</v>
      </c>
      <c r="I3368" s="0" t="n">
        <f aca="false">1</f>
        <v>1</v>
      </c>
      <c r="J3368" s="0" t="n">
        <f aca="false">E3368</f>
        <v>0</v>
      </c>
      <c r="K3368" s="0" t="n">
        <f aca="false">F3368</f>
        <v>0.25</v>
      </c>
      <c r="L3368" s="0" t="n">
        <f aca="false">G3368</f>
        <v>0</v>
      </c>
      <c r="M3368" s="0" t="n">
        <f aca="false">H3368</f>
        <v>0.5</v>
      </c>
      <c r="N3368" s="0" t="n">
        <f aca="false">E3368*F3368</f>
        <v>0</v>
      </c>
      <c r="O3368" s="0" t="n">
        <f aca="false">E3368*G3368</f>
        <v>0</v>
      </c>
      <c r="P3368" s="0" t="n">
        <f aca="false">E3368*H3368</f>
        <v>0</v>
      </c>
      <c r="Q3368" s="0" t="n">
        <f aca="false">F3368*G3368</f>
        <v>0</v>
      </c>
      <c r="R3368" s="0" t="n">
        <f aca="false">F3368*H3368</f>
        <v>0.125</v>
      </c>
      <c r="S3368" s="0" t="n">
        <f aca="false">G3368*H3368</f>
        <v>0</v>
      </c>
      <c r="T3368" s="0" t="n">
        <f aca="false">E3368*E3368</f>
        <v>0</v>
      </c>
      <c r="U3368" s="0" t="n">
        <f aca="false">F3368*F3368</f>
        <v>0.0625</v>
      </c>
      <c r="V3368" s="0" t="n">
        <f aca="false">G3368*G3368</f>
        <v>0</v>
      </c>
      <c r="W3368" s="0" t="n">
        <f aca="false">H3368*H3368</f>
        <v>0.25</v>
      </c>
      <c r="X3368" s="0" t="n">
        <f aca="false">SUMPRODUCT(I3368:W3368,_XtX!$B$96:$P$96)</f>
        <v>48.3507035818713</v>
      </c>
      <c r="Y3368" s="0" t="n">
        <f aca="false">SUMPRODUCT(MMULT(I3368:W3368,_XtX!$B$78:$P$92),I3368:W3368)</f>
        <v>0.120448419225146</v>
      </c>
      <c r="Z3368" s="0" t="n">
        <f aca="false">04_回帰ANOVA!$K$19*04_回帰ANOVA!$K$14*SQRT(1+Y3368)</f>
        <v>1.37973069703246</v>
      </c>
      <c r="AA3368" s="0" t="n">
        <f aca="false">X3368-Z3368</f>
        <v>46.9709728848388</v>
      </c>
      <c r="AB3368" s="0" t="n">
        <f aca="false">X3368+Z3368</f>
        <v>49.7304342789038</v>
      </c>
      <c r="AC3368" s="54" t="b">
        <f aca="false">AND(E3368&gt;=01_因子設定!$L$5-0.000000001,E3368&lt;=01_因子設定!$M$5+0.000000001,F3368&gt;=01_因子設定!$L$6-0.000000001,F3368&lt;=01_因子設定!$M$6+0.000000001,G3368&gt;=01_因子設定!$L$7-0.000000001,G3368&lt;=01_因子設定!$M$7+0.000000001,H3368&gt;=01_因子設定!$L$8-0.000000001,H3368&lt;=01_因子設定!$M$8+0.000000001,IF(01_因子設定!$B$20="Box-Behnken",E3368^2+F3368^2+G3368^2+H3368^2&lt;=2+0.000000001,TRUE()))</f>
        <v>1</v>
      </c>
      <c r="AD3368" s="55" t="n">
        <f aca="false">IF(AC3368,IF(01_因子設定!$B$13="最大化",AA3368-01_因子設定!$B$14,IF(01_因子設定!$B$13="最小化",01_因子設定!$B$15-AB3368,MIN(AA3368-01_因子設定!$B$14,01_因子設定!$B$15-AB3368))),-1E+030)</f>
        <v>0.470972884838822</v>
      </c>
      <c r="AE3368" s="55" t="n">
        <f aca="false">IF(AC3368,IF(01_因子設定!$B$13="最大化",X3368,IF(01_因子設定!$B$13="最小化",-X3368,-ABS(X3368-01_因子設定!$B$16))),-1E+030)</f>
        <v>48.3507035818713</v>
      </c>
      <c r="AF3368" s="55" t="n">
        <f aca="false">AD3368+ROW()*0.000000001</f>
        <v>0.470976252838822</v>
      </c>
      <c r="AG3368" s="55" t="n">
        <f aca="false">AE3368+ROW()*0.000000001</f>
        <v>48.3507069498713</v>
      </c>
    </row>
    <row r="3369" customFormat="false" ht="15" hidden="false" customHeight="false" outlineLevel="0" collapsed="false">
      <c r="A3369" s="0" t="n">
        <v>4</v>
      </c>
      <c r="B3369" s="0" t="n">
        <v>5</v>
      </c>
      <c r="C3369" s="0" t="n">
        <v>4</v>
      </c>
      <c r="D3369" s="0" t="n">
        <v>7</v>
      </c>
      <c r="E3369" s="0" t="n">
        <f aca="false">-1+A3369*0.25</f>
        <v>0</v>
      </c>
      <c r="F3369" s="0" t="n">
        <f aca="false">-1+B3369*0.25</f>
        <v>0.25</v>
      </c>
      <c r="G3369" s="0" t="n">
        <f aca="false">-1+C3369*0.25</f>
        <v>0</v>
      </c>
      <c r="H3369" s="0" t="n">
        <f aca="false">-1+D3369*0.25</f>
        <v>0.75</v>
      </c>
      <c r="I3369" s="0" t="n">
        <f aca="false">1</f>
        <v>1</v>
      </c>
      <c r="J3369" s="0" t="n">
        <f aca="false">E3369</f>
        <v>0</v>
      </c>
      <c r="K3369" s="0" t="n">
        <f aca="false">F3369</f>
        <v>0.25</v>
      </c>
      <c r="L3369" s="0" t="n">
        <f aca="false">G3369</f>
        <v>0</v>
      </c>
      <c r="M3369" s="0" t="n">
        <f aca="false">H3369</f>
        <v>0.75</v>
      </c>
      <c r="N3369" s="0" t="n">
        <f aca="false">E3369*F3369</f>
        <v>0</v>
      </c>
      <c r="O3369" s="0" t="n">
        <f aca="false">E3369*G3369</f>
        <v>0</v>
      </c>
      <c r="P3369" s="0" t="n">
        <f aca="false">E3369*H3369</f>
        <v>0</v>
      </c>
      <c r="Q3369" s="0" t="n">
        <f aca="false">F3369*G3369</f>
        <v>0</v>
      </c>
      <c r="R3369" s="0" t="n">
        <f aca="false">F3369*H3369</f>
        <v>0.1875</v>
      </c>
      <c r="S3369" s="0" t="n">
        <f aca="false">G3369*H3369</f>
        <v>0</v>
      </c>
      <c r="T3369" s="0" t="n">
        <f aca="false">E3369*E3369</f>
        <v>0</v>
      </c>
      <c r="U3369" s="0" t="n">
        <f aca="false">F3369*F3369</f>
        <v>0.0625</v>
      </c>
      <c r="V3369" s="0" t="n">
        <f aca="false">G3369*G3369</f>
        <v>0</v>
      </c>
      <c r="W3369" s="0" t="n">
        <f aca="false">H3369*H3369</f>
        <v>0.5625</v>
      </c>
      <c r="X3369" s="0" t="n">
        <f aca="false">SUMPRODUCT(I3369:W3369,_XtX!$B$96:$P$96)</f>
        <v>48.3192936769005</v>
      </c>
      <c r="Y3369" s="0" t="n">
        <f aca="false">SUMPRODUCT(MMULT(I3369:W3369,_XtX!$B$78:$P$92),I3369:W3369)</f>
        <v>0.216127272934942</v>
      </c>
      <c r="Z3369" s="0" t="n">
        <f aca="false">04_回帰ANOVA!$K$19*04_回帰ANOVA!$K$14*SQRT(1+Y3369)</f>
        <v>1.43743397896608</v>
      </c>
      <c r="AA3369" s="0" t="n">
        <f aca="false">X3369-Z3369</f>
        <v>46.8818596979345</v>
      </c>
      <c r="AB3369" s="0" t="n">
        <f aca="false">X3369+Z3369</f>
        <v>49.7567276558666</v>
      </c>
      <c r="AC3369" s="54" t="b">
        <f aca="false">AND(E3369&gt;=01_因子設定!$L$5-0.000000001,E3369&lt;=01_因子設定!$M$5+0.000000001,F3369&gt;=01_因子設定!$L$6-0.000000001,F3369&lt;=01_因子設定!$M$6+0.000000001,G3369&gt;=01_因子設定!$L$7-0.000000001,G3369&lt;=01_因子設定!$M$7+0.000000001,H3369&gt;=01_因子設定!$L$8-0.000000001,H3369&lt;=01_因子設定!$M$8+0.000000001,IF(01_因子設定!$B$20="Box-Behnken",E3369^2+F3369^2+G3369^2+H3369^2&lt;=2+0.000000001,TRUE()))</f>
        <v>1</v>
      </c>
      <c r="AD3369" s="55" t="n">
        <f aca="false">IF(AC3369,IF(01_因子設定!$B$13="最大化",AA3369-01_因子設定!$B$14,IF(01_因子設定!$B$13="最小化",01_因子設定!$B$15-AB3369,MIN(AA3369-01_因子設定!$B$14,01_因子設定!$B$15-AB3369))),-1E+030)</f>
        <v>0.381859697934459</v>
      </c>
      <c r="AE3369" s="55" t="n">
        <f aca="false">IF(AC3369,IF(01_因子設定!$B$13="最大化",X3369,IF(01_因子設定!$B$13="最小化",-X3369,-ABS(X3369-01_因子設定!$B$16))),-1E+030)</f>
        <v>48.3192936769005</v>
      </c>
      <c r="AF3369" s="55" t="n">
        <f aca="false">AD3369+ROW()*0.000000001</f>
        <v>0.381863066934459</v>
      </c>
      <c r="AG3369" s="55" t="n">
        <f aca="false">AE3369+ROW()*0.000000001</f>
        <v>48.3192970459005</v>
      </c>
    </row>
    <row r="3370" customFormat="false" ht="15" hidden="false" customHeight="false" outlineLevel="0" collapsed="false">
      <c r="A3370" s="0" t="n">
        <v>4</v>
      </c>
      <c r="B3370" s="0" t="n">
        <v>5</v>
      </c>
      <c r="C3370" s="0" t="n">
        <v>4</v>
      </c>
      <c r="D3370" s="0" t="n">
        <v>8</v>
      </c>
      <c r="E3370" s="0" t="n">
        <f aca="false">-1+A3370*0.25</f>
        <v>0</v>
      </c>
      <c r="F3370" s="0" t="n">
        <f aca="false">-1+B3370*0.25</f>
        <v>0.25</v>
      </c>
      <c r="G3370" s="0" t="n">
        <f aca="false">-1+C3370*0.25</f>
        <v>0</v>
      </c>
      <c r="H3370" s="0" t="n">
        <f aca="false">-1+D3370*0.25</f>
        <v>1</v>
      </c>
      <c r="I3370" s="0" t="n">
        <f aca="false">1</f>
        <v>1</v>
      </c>
      <c r="J3370" s="0" t="n">
        <f aca="false">E3370</f>
        <v>0</v>
      </c>
      <c r="K3370" s="0" t="n">
        <f aca="false">F3370</f>
        <v>0.25</v>
      </c>
      <c r="L3370" s="0" t="n">
        <f aca="false">G3370</f>
        <v>0</v>
      </c>
      <c r="M3370" s="0" t="n">
        <f aca="false">H3370</f>
        <v>1</v>
      </c>
      <c r="N3370" s="0" t="n">
        <f aca="false">E3370*F3370</f>
        <v>0</v>
      </c>
      <c r="O3370" s="0" t="n">
        <f aca="false">E3370*G3370</f>
        <v>0</v>
      </c>
      <c r="P3370" s="0" t="n">
        <f aca="false">E3370*H3370</f>
        <v>0</v>
      </c>
      <c r="Q3370" s="0" t="n">
        <f aca="false">F3370*G3370</f>
        <v>0</v>
      </c>
      <c r="R3370" s="0" t="n">
        <f aca="false">F3370*H3370</f>
        <v>0.25</v>
      </c>
      <c r="S3370" s="0" t="n">
        <f aca="false">G3370*H3370</f>
        <v>0</v>
      </c>
      <c r="T3370" s="0" t="n">
        <f aca="false">E3370*E3370</f>
        <v>0</v>
      </c>
      <c r="U3370" s="0" t="n">
        <f aca="false">F3370*F3370</f>
        <v>0.0625</v>
      </c>
      <c r="V3370" s="0" t="n">
        <f aca="false">G3370*G3370</f>
        <v>0</v>
      </c>
      <c r="W3370" s="0" t="n">
        <f aca="false">H3370*H3370</f>
        <v>1</v>
      </c>
      <c r="X3370" s="0" t="n">
        <f aca="false">SUMPRODUCT(I3370:W3370,_XtX!$B$96:$P$96)</f>
        <v>48.2400767543859</v>
      </c>
      <c r="Y3370" s="0" t="n">
        <f aca="false">SUMPRODUCT(MMULT(I3370:W3370,_XtX!$B$78:$P$92),I3370:W3370)</f>
        <v>0.47672240497076</v>
      </c>
      <c r="Z3370" s="0" t="n">
        <f aca="false">04_回帰ANOVA!$K$19*04_回帰ANOVA!$K$14*SQRT(1+Y3370)</f>
        <v>1.58397318352695</v>
      </c>
      <c r="AA3370" s="0" t="n">
        <f aca="false">X3370-Z3370</f>
        <v>46.656103570859</v>
      </c>
      <c r="AB3370" s="0" t="n">
        <f aca="false">X3370+Z3370</f>
        <v>49.8240499379129</v>
      </c>
      <c r="AC3370" s="54" t="b">
        <f aca="false">AND(E3370&gt;=01_因子設定!$L$5-0.000000001,E3370&lt;=01_因子設定!$M$5+0.000000001,F3370&gt;=01_因子設定!$L$6-0.000000001,F3370&lt;=01_因子設定!$M$6+0.000000001,G3370&gt;=01_因子設定!$L$7-0.000000001,G3370&lt;=01_因子設定!$M$7+0.000000001,H3370&gt;=01_因子設定!$L$8-0.000000001,H3370&lt;=01_因子設定!$M$8+0.000000001,IF(01_因子設定!$B$20="Box-Behnken",E3370^2+F3370^2+G3370^2+H3370^2&lt;=2+0.000000001,TRUE()))</f>
        <v>1</v>
      </c>
      <c r="AD3370" s="55" t="n">
        <f aca="false">IF(AC3370,IF(01_因子設定!$B$13="最大化",AA3370-01_因子設定!$B$14,IF(01_因子設定!$B$13="最小化",01_因子設定!$B$15-AB3370,MIN(AA3370-01_因子設定!$B$14,01_因子設定!$B$15-AB3370))),-1E+030)</f>
        <v>0.156103570858988</v>
      </c>
      <c r="AE3370" s="55" t="n">
        <f aca="false">IF(AC3370,IF(01_因子設定!$B$13="最大化",X3370,IF(01_因子設定!$B$13="最小化",-X3370,-ABS(X3370-01_因子設定!$B$16))),-1E+030)</f>
        <v>48.2400767543859</v>
      </c>
      <c r="AF3370" s="55" t="n">
        <f aca="false">AD3370+ROW()*0.000000001</f>
        <v>0.156106940858988</v>
      </c>
      <c r="AG3370" s="55" t="n">
        <f aca="false">AE3370+ROW()*0.000000001</f>
        <v>48.2400801243859</v>
      </c>
    </row>
    <row r="3371" customFormat="false" ht="15" hidden="false" customHeight="false" outlineLevel="0" collapsed="false">
      <c r="A3371" s="0" t="n">
        <v>4</v>
      </c>
      <c r="B3371" s="0" t="n">
        <v>5</v>
      </c>
      <c r="C3371" s="0" t="n">
        <v>5</v>
      </c>
      <c r="D3371" s="0" t="n">
        <v>0</v>
      </c>
      <c r="E3371" s="0" t="n">
        <f aca="false">-1+A3371*0.25</f>
        <v>0</v>
      </c>
      <c r="F3371" s="0" t="n">
        <f aca="false">-1+B3371*0.25</f>
        <v>0.25</v>
      </c>
      <c r="G3371" s="0" t="n">
        <f aca="false">-1+C3371*0.25</f>
        <v>0.25</v>
      </c>
      <c r="H3371" s="0" t="n">
        <f aca="false">-1+D3371*0.25</f>
        <v>-1</v>
      </c>
      <c r="I3371" s="0" t="n">
        <f aca="false">1</f>
        <v>1</v>
      </c>
      <c r="J3371" s="0" t="n">
        <f aca="false">E3371</f>
        <v>0</v>
      </c>
      <c r="K3371" s="0" t="n">
        <f aca="false">F3371</f>
        <v>0.25</v>
      </c>
      <c r="L3371" s="0" t="n">
        <f aca="false">G3371</f>
        <v>0.25</v>
      </c>
      <c r="M3371" s="0" t="n">
        <f aca="false">H3371</f>
        <v>-1</v>
      </c>
      <c r="N3371" s="0" t="n">
        <f aca="false">E3371*F3371</f>
        <v>0</v>
      </c>
      <c r="O3371" s="0" t="n">
        <f aca="false">E3371*G3371</f>
        <v>0</v>
      </c>
      <c r="P3371" s="0" t="n">
        <f aca="false">E3371*H3371</f>
        <v>-0</v>
      </c>
      <c r="Q3371" s="0" t="n">
        <f aca="false">F3371*G3371</f>
        <v>0.0625</v>
      </c>
      <c r="R3371" s="0" t="n">
        <f aca="false">F3371*H3371</f>
        <v>-0.25</v>
      </c>
      <c r="S3371" s="0" t="n">
        <f aca="false">G3371*H3371</f>
        <v>-0.25</v>
      </c>
      <c r="T3371" s="0" t="n">
        <f aca="false">E3371*E3371</f>
        <v>0</v>
      </c>
      <c r="U3371" s="0" t="n">
        <f aca="false">F3371*F3371</f>
        <v>0.0625</v>
      </c>
      <c r="V3371" s="0" t="n">
        <f aca="false">G3371*G3371</f>
        <v>0.0625</v>
      </c>
      <c r="W3371" s="0" t="n">
        <f aca="false">H3371*H3371</f>
        <v>1</v>
      </c>
      <c r="X3371" s="0" t="n">
        <f aca="false">SUMPRODUCT(I3371:W3371,_XtX!$B$96:$P$96)</f>
        <v>47.6860517178362</v>
      </c>
      <c r="Y3371" s="0" t="n">
        <f aca="false">SUMPRODUCT(MMULT(I3371:W3371,_XtX!$B$78:$P$92),I3371:W3371)</f>
        <v>0.467417934484649</v>
      </c>
      <c r="Z3371" s="0" t="n">
        <f aca="false">04_回帰ANOVA!$K$19*04_回帰ANOVA!$K$14*SQRT(1+Y3371)</f>
        <v>1.57897518244497</v>
      </c>
      <c r="AA3371" s="0" t="n">
        <f aca="false">X3371-Z3371</f>
        <v>46.1070765353913</v>
      </c>
      <c r="AB3371" s="0" t="n">
        <f aca="false">X3371+Z3371</f>
        <v>49.2650269002812</v>
      </c>
      <c r="AC3371" s="54" t="b">
        <f aca="false">AND(E3371&gt;=01_因子設定!$L$5-0.000000001,E3371&lt;=01_因子設定!$M$5+0.000000001,F3371&gt;=01_因子設定!$L$6-0.000000001,F3371&lt;=01_因子設定!$M$6+0.000000001,G3371&gt;=01_因子設定!$L$7-0.000000001,G3371&lt;=01_因子設定!$M$7+0.000000001,H3371&gt;=01_因子設定!$L$8-0.000000001,H3371&lt;=01_因子設定!$M$8+0.000000001,IF(01_因子設定!$B$20="Box-Behnken",E3371^2+F3371^2+G3371^2+H3371^2&lt;=2+0.000000001,TRUE()))</f>
        <v>1</v>
      </c>
      <c r="AD3371" s="55" t="n">
        <f aca="false">IF(AC3371,IF(01_因子設定!$B$13="最大化",AA3371-01_因子設定!$B$14,IF(01_因子設定!$B$13="最小化",01_因子設定!$B$15-AB3371,MIN(AA3371-01_因子設定!$B$14,01_因子設定!$B$15-AB3371))),-1E+030)</f>
        <v>-0.392923464608742</v>
      </c>
      <c r="AE3371" s="55" t="n">
        <f aca="false">IF(AC3371,IF(01_因子設定!$B$13="最大化",X3371,IF(01_因子設定!$B$13="最小化",-X3371,-ABS(X3371-01_因子設定!$B$16))),-1E+030)</f>
        <v>47.6860517178362</v>
      </c>
      <c r="AF3371" s="55" t="n">
        <f aca="false">AD3371+ROW()*0.000000001</f>
        <v>-0.392920093608742</v>
      </c>
      <c r="AG3371" s="55" t="n">
        <f aca="false">AE3371+ROW()*0.000000001</f>
        <v>47.6860550888362</v>
      </c>
    </row>
    <row r="3372" customFormat="false" ht="15" hidden="false" customHeight="false" outlineLevel="0" collapsed="false">
      <c r="A3372" s="0" t="n">
        <v>4</v>
      </c>
      <c r="B3372" s="0" t="n">
        <v>5</v>
      </c>
      <c r="C3372" s="0" t="n">
        <v>5</v>
      </c>
      <c r="D3372" s="0" t="n">
        <v>1</v>
      </c>
      <c r="E3372" s="0" t="n">
        <f aca="false">-1+A3372*0.25</f>
        <v>0</v>
      </c>
      <c r="F3372" s="0" t="n">
        <f aca="false">-1+B3372*0.25</f>
        <v>0.25</v>
      </c>
      <c r="G3372" s="0" t="n">
        <f aca="false">-1+C3372*0.25</f>
        <v>0.25</v>
      </c>
      <c r="H3372" s="0" t="n">
        <f aca="false">-1+D3372*0.25</f>
        <v>-0.75</v>
      </c>
      <c r="I3372" s="0" t="n">
        <f aca="false">1</f>
        <v>1</v>
      </c>
      <c r="J3372" s="0" t="n">
        <f aca="false">E3372</f>
        <v>0</v>
      </c>
      <c r="K3372" s="0" t="n">
        <f aca="false">F3372</f>
        <v>0.25</v>
      </c>
      <c r="L3372" s="0" t="n">
        <f aca="false">G3372</f>
        <v>0.25</v>
      </c>
      <c r="M3372" s="0" t="n">
        <f aca="false">H3372</f>
        <v>-0.75</v>
      </c>
      <c r="N3372" s="0" t="n">
        <f aca="false">E3372*F3372</f>
        <v>0</v>
      </c>
      <c r="O3372" s="0" t="n">
        <f aca="false">E3372*G3372</f>
        <v>0</v>
      </c>
      <c r="P3372" s="0" t="n">
        <f aca="false">E3372*H3372</f>
        <v>-0</v>
      </c>
      <c r="Q3372" s="0" t="n">
        <f aca="false">F3372*G3372</f>
        <v>0.0625</v>
      </c>
      <c r="R3372" s="0" t="n">
        <f aca="false">F3372*H3372</f>
        <v>-0.1875</v>
      </c>
      <c r="S3372" s="0" t="n">
        <f aca="false">G3372*H3372</f>
        <v>-0.1875</v>
      </c>
      <c r="T3372" s="0" t="n">
        <f aca="false">E3372*E3372</f>
        <v>0</v>
      </c>
      <c r="U3372" s="0" t="n">
        <f aca="false">F3372*F3372</f>
        <v>0.0625</v>
      </c>
      <c r="V3372" s="0" t="n">
        <f aca="false">G3372*G3372</f>
        <v>0.0625</v>
      </c>
      <c r="W3372" s="0" t="n">
        <f aca="false">H3372*H3372</f>
        <v>0.5625</v>
      </c>
      <c r="X3372" s="0" t="n">
        <f aca="false">SUMPRODUCT(I3372:W3372,_XtX!$B$96:$P$96)</f>
        <v>47.9594526681286</v>
      </c>
      <c r="Y3372" s="0" t="n">
        <f aca="false">SUMPRODUCT(MMULT(I3372:W3372,_XtX!$B$78:$P$92),I3372:W3372)</f>
        <v>0.21135011193348</v>
      </c>
      <c r="Z3372" s="0" t="n">
        <f aca="false">04_回帰ANOVA!$K$19*04_回帰ANOVA!$K$14*SQRT(1+Y3372)</f>
        <v>1.43460795469709</v>
      </c>
      <c r="AA3372" s="0" t="n">
        <f aca="false">X3372-Z3372</f>
        <v>46.5248447134315</v>
      </c>
      <c r="AB3372" s="0" t="n">
        <f aca="false">X3372+Z3372</f>
        <v>49.3940606228257</v>
      </c>
      <c r="AC3372" s="54" t="b">
        <f aca="false">AND(E3372&gt;=01_因子設定!$L$5-0.000000001,E3372&lt;=01_因子設定!$M$5+0.000000001,F3372&gt;=01_因子設定!$L$6-0.000000001,F3372&lt;=01_因子設定!$M$6+0.000000001,G3372&gt;=01_因子設定!$L$7-0.000000001,G3372&lt;=01_因子設定!$M$7+0.000000001,H3372&gt;=01_因子設定!$L$8-0.000000001,H3372&lt;=01_因子設定!$M$8+0.000000001,IF(01_因子設定!$B$20="Box-Behnken",E3372^2+F3372^2+G3372^2+H3372^2&lt;=2+0.000000001,TRUE()))</f>
        <v>1</v>
      </c>
      <c r="AD3372" s="55" t="n">
        <f aca="false">IF(AC3372,IF(01_因子設定!$B$13="最大化",AA3372-01_因子設定!$B$14,IF(01_因子設定!$B$13="最小化",01_因子設定!$B$15-AB3372,MIN(AA3372-01_因子設定!$B$14,01_因子設定!$B$15-AB3372))),-1E+030)</f>
        <v>0.0248447134315271</v>
      </c>
      <c r="AE3372" s="55" t="n">
        <f aca="false">IF(AC3372,IF(01_因子設定!$B$13="最大化",X3372,IF(01_因子設定!$B$13="最小化",-X3372,-ABS(X3372-01_因子設定!$B$16))),-1E+030)</f>
        <v>47.9594526681286</v>
      </c>
      <c r="AF3372" s="55" t="n">
        <f aca="false">AD3372+ROW()*0.000000001</f>
        <v>0.0248480854315271</v>
      </c>
      <c r="AG3372" s="55" t="n">
        <f aca="false">AE3372+ROW()*0.000000001</f>
        <v>47.9594560401286</v>
      </c>
    </row>
    <row r="3373" customFormat="false" ht="15" hidden="false" customHeight="false" outlineLevel="0" collapsed="false">
      <c r="A3373" s="0" t="n">
        <v>4</v>
      </c>
      <c r="B3373" s="0" t="n">
        <v>5</v>
      </c>
      <c r="C3373" s="0" t="n">
        <v>5</v>
      </c>
      <c r="D3373" s="0" t="n">
        <v>2</v>
      </c>
      <c r="E3373" s="0" t="n">
        <f aca="false">-1+A3373*0.25</f>
        <v>0</v>
      </c>
      <c r="F3373" s="0" t="n">
        <f aca="false">-1+B3373*0.25</f>
        <v>0.25</v>
      </c>
      <c r="G3373" s="0" t="n">
        <f aca="false">-1+C3373*0.25</f>
        <v>0.25</v>
      </c>
      <c r="H3373" s="0" t="n">
        <f aca="false">-1+D3373*0.25</f>
        <v>-0.5</v>
      </c>
      <c r="I3373" s="0" t="n">
        <f aca="false">1</f>
        <v>1</v>
      </c>
      <c r="J3373" s="0" t="n">
        <f aca="false">E3373</f>
        <v>0</v>
      </c>
      <c r="K3373" s="0" t="n">
        <f aca="false">F3373</f>
        <v>0.25</v>
      </c>
      <c r="L3373" s="0" t="n">
        <f aca="false">G3373</f>
        <v>0.25</v>
      </c>
      <c r="M3373" s="0" t="n">
        <f aca="false">H3373</f>
        <v>-0.5</v>
      </c>
      <c r="N3373" s="0" t="n">
        <f aca="false">E3373*F3373</f>
        <v>0</v>
      </c>
      <c r="O3373" s="0" t="n">
        <f aca="false">E3373*G3373</f>
        <v>0</v>
      </c>
      <c r="P3373" s="0" t="n">
        <f aca="false">E3373*H3373</f>
        <v>-0</v>
      </c>
      <c r="Q3373" s="0" t="n">
        <f aca="false">F3373*G3373</f>
        <v>0.0625</v>
      </c>
      <c r="R3373" s="0" t="n">
        <f aca="false">F3373*H3373</f>
        <v>-0.125</v>
      </c>
      <c r="S3373" s="0" t="n">
        <f aca="false">G3373*H3373</f>
        <v>-0.125</v>
      </c>
      <c r="T3373" s="0" t="n">
        <f aca="false">E3373*E3373</f>
        <v>0</v>
      </c>
      <c r="U3373" s="0" t="n">
        <f aca="false">F3373*F3373</f>
        <v>0.0625</v>
      </c>
      <c r="V3373" s="0" t="n">
        <f aca="false">G3373*G3373</f>
        <v>0.0625</v>
      </c>
      <c r="W3373" s="0" t="n">
        <f aca="false">H3373*H3373</f>
        <v>0.25</v>
      </c>
      <c r="X3373" s="0" t="n">
        <f aca="false">SUMPRODUCT(I3373:W3373,_XtX!$B$96:$P$96)</f>
        <v>48.1850466008771</v>
      </c>
      <c r="Y3373" s="0" t="n">
        <f aca="false">SUMPRODUCT(MMULT(I3373:W3373,_XtX!$B$78:$P$92),I3373:W3373)</f>
        <v>0.118905050712719</v>
      </c>
      <c r="Z3373" s="0" t="n">
        <f aca="false">04_回帰ANOVA!$K$19*04_回帰ANOVA!$K$14*SQRT(1+Y3373)</f>
        <v>1.37878011033769</v>
      </c>
      <c r="AA3373" s="0" t="n">
        <f aca="false">X3373-Z3373</f>
        <v>46.8062664905395</v>
      </c>
      <c r="AB3373" s="0" t="n">
        <f aca="false">X3373+Z3373</f>
        <v>49.5638267112148</v>
      </c>
      <c r="AC3373" s="54" t="b">
        <f aca="false">AND(E3373&gt;=01_因子設定!$L$5-0.000000001,E3373&lt;=01_因子設定!$M$5+0.000000001,F3373&gt;=01_因子設定!$L$6-0.000000001,F3373&lt;=01_因子設定!$M$6+0.000000001,G3373&gt;=01_因子設定!$L$7-0.000000001,G3373&lt;=01_因子設定!$M$7+0.000000001,H3373&gt;=01_因子設定!$L$8-0.000000001,H3373&lt;=01_因子設定!$M$8+0.000000001,IF(01_因子設定!$B$20="Box-Behnken",E3373^2+F3373^2+G3373^2+H3373^2&lt;=2+0.000000001,TRUE()))</f>
        <v>1</v>
      </c>
      <c r="AD3373" s="55" t="n">
        <f aca="false">IF(AC3373,IF(01_因子設定!$B$13="最大化",AA3373-01_因子設定!$B$14,IF(01_因子設定!$B$13="最小化",01_因子設定!$B$15-AB3373,MIN(AA3373-01_因子設定!$B$14,01_因子設定!$B$15-AB3373))),-1E+030)</f>
        <v>0.30626649053945</v>
      </c>
      <c r="AE3373" s="55" t="n">
        <f aca="false">IF(AC3373,IF(01_因子設定!$B$13="最大化",X3373,IF(01_因子設定!$B$13="最小化",-X3373,-ABS(X3373-01_因子設定!$B$16))),-1E+030)</f>
        <v>48.1850466008771</v>
      </c>
      <c r="AF3373" s="55" t="n">
        <f aca="false">AD3373+ROW()*0.000000001</f>
        <v>0.30626986353945</v>
      </c>
      <c r="AG3373" s="55" t="n">
        <f aca="false">AE3373+ROW()*0.000000001</f>
        <v>48.1850499738771</v>
      </c>
    </row>
    <row r="3374" customFormat="false" ht="15" hidden="false" customHeight="false" outlineLevel="0" collapsed="false">
      <c r="A3374" s="0" t="n">
        <v>4</v>
      </c>
      <c r="B3374" s="0" t="n">
        <v>5</v>
      </c>
      <c r="C3374" s="0" t="n">
        <v>5</v>
      </c>
      <c r="D3374" s="0" t="n">
        <v>3</v>
      </c>
      <c r="E3374" s="0" t="n">
        <f aca="false">-1+A3374*0.25</f>
        <v>0</v>
      </c>
      <c r="F3374" s="0" t="n">
        <f aca="false">-1+B3374*0.25</f>
        <v>0.25</v>
      </c>
      <c r="G3374" s="0" t="n">
        <f aca="false">-1+C3374*0.25</f>
        <v>0.25</v>
      </c>
      <c r="H3374" s="0" t="n">
        <f aca="false">-1+D3374*0.25</f>
        <v>-0.25</v>
      </c>
      <c r="I3374" s="0" t="n">
        <f aca="false">1</f>
        <v>1</v>
      </c>
      <c r="J3374" s="0" t="n">
        <f aca="false">E3374</f>
        <v>0</v>
      </c>
      <c r="K3374" s="0" t="n">
        <f aca="false">F3374</f>
        <v>0.25</v>
      </c>
      <c r="L3374" s="0" t="n">
        <f aca="false">G3374</f>
        <v>0.25</v>
      </c>
      <c r="M3374" s="0" t="n">
        <f aca="false">H3374</f>
        <v>-0.25</v>
      </c>
      <c r="N3374" s="0" t="n">
        <f aca="false">E3374*F3374</f>
        <v>0</v>
      </c>
      <c r="O3374" s="0" t="n">
        <f aca="false">E3374*G3374</f>
        <v>0</v>
      </c>
      <c r="P3374" s="0" t="n">
        <f aca="false">E3374*H3374</f>
        <v>-0</v>
      </c>
      <c r="Q3374" s="0" t="n">
        <f aca="false">F3374*G3374</f>
        <v>0.0625</v>
      </c>
      <c r="R3374" s="0" t="n">
        <f aca="false">F3374*H3374</f>
        <v>-0.0625</v>
      </c>
      <c r="S3374" s="0" t="n">
        <f aca="false">G3374*H3374</f>
        <v>-0.0625</v>
      </c>
      <c r="T3374" s="0" t="n">
        <f aca="false">E3374*E3374</f>
        <v>0</v>
      </c>
      <c r="U3374" s="0" t="n">
        <f aca="false">F3374*F3374</f>
        <v>0.0625</v>
      </c>
      <c r="V3374" s="0" t="n">
        <f aca="false">G3374*G3374</f>
        <v>0.0625</v>
      </c>
      <c r="W3374" s="0" t="n">
        <f aca="false">H3374*H3374</f>
        <v>0.0625</v>
      </c>
      <c r="X3374" s="0" t="n">
        <f aca="false">SUMPRODUCT(I3374:W3374,_XtX!$B$96:$P$96)</f>
        <v>48.3628335160818</v>
      </c>
      <c r="Y3374" s="0" t="n">
        <f aca="false">SUMPRODUCT(MMULT(I3374:W3374,_XtX!$B$78:$P$92),I3374:W3374)</f>
        <v>0.099622224506579</v>
      </c>
      <c r="Z3374" s="0" t="n">
        <f aca="false">04_回帰ANOVA!$K$19*04_回帰ANOVA!$K$14*SQRT(1+Y3374)</f>
        <v>1.3668477654658</v>
      </c>
      <c r="AA3374" s="0" t="n">
        <f aca="false">X3374-Z3374</f>
        <v>46.995985750616</v>
      </c>
      <c r="AB3374" s="0" t="n">
        <f aca="false">X3374+Z3374</f>
        <v>49.7296812815476</v>
      </c>
      <c r="AC3374" s="54" t="b">
        <f aca="false">AND(E3374&gt;=01_因子設定!$L$5-0.000000001,E3374&lt;=01_因子設定!$M$5+0.000000001,F3374&gt;=01_因子設定!$L$6-0.000000001,F3374&lt;=01_因子設定!$M$6+0.000000001,G3374&gt;=01_因子設定!$L$7-0.000000001,G3374&lt;=01_因子設定!$M$7+0.000000001,H3374&gt;=01_因子設定!$L$8-0.000000001,H3374&lt;=01_因子設定!$M$8+0.000000001,IF(01_因子設定!$B$20="Box-Behnken",E3374^2+F3374^2+G3374^2+H3374^2&lt;=2+0.000000001,TRUE()))</f>
        <v>1</v>
      </c>
      <c r="AD3374" s="55" t="n">
        <f aca="false">IF(AC3374,IF(01_因子設定!$B$13="最大化",AA3374-01_因子設定!$B$14,IF(01_因子設定!$B$13="最小化",01_因子設定!$B$15-AB3374,MIN(AA3374-01_因子設定!$B$14,01_因子設定!$B$15-AB3374))),-1E+030)</f>
        <v>0.495985750616008</v>
      </c>
      <c r="AE3374" s="55" t="n">
        <f aca="false">IF(AC3374,IF(01_因子設定!$B$13="最大化",X3374,IF(01_因子設定!$B$13="最小化",-X3374,-ABS(X3374-01_因子設定!$B$16))),-1E+030)</f>
        <v>48.3628335160818</v>
      </c>
      <c r="AF3374" s="55" t="n">
        <f aca="false">AD3374+ROW()*0.000000001</f>
        <v>0.495989124616008</v>
      </c>
      <c r="AG3374" s="55" t="n">
        <f aca="false">AE3374+ROW()*0.000000001</f>
        <v>48.3628368900818</v>
      </c>
    </row>
    <row r="3375" customFormat="false" ht="15" hidden="false" customHeight="false" outlineLevel="0" collapsed="false">
      <c r="A3375" s="0" t="n">
        <v>4</v>
      </c>
      <c r="B3375" s="0" t="n">
        <v>5</v>
      </c>
      <c r="C3375" s="0" t="n">
        <v>5</v>
      </c>
      <c r="D3375" s="0" t="n">
        <v>4</v>
      </c>
      <c r="E3375" s="0" t="n">
        <f aca="false">-1+A3375*0.25</f>
        <v>0</v>
      </c>
      <c r="F3375" s="0" t="n">
        <f aca="false">-1+B3375*0.25</f>
        <v>0.25</v>
      </c>
      <c r="G3375" s="0" t="n">
        <f aca="false">-1+C3375*0.25</f>
        <v>0.25</v>
      </c>
      <c r="H3375" s="0" t="n">
        <f aca="false">-1+D3375*0.25</f>
        <v>0</v>
      </c>
      <c r="I3375" s="0" t="n">
        <f aca="false">1</f>
        <v>1</v>
      </c>
      <c r="J3375" s="0" t="n">
        <f aca="false">E3375</f>
        <v>0</v>
      </c>
      <c r="K3375" s="0" t="n">
        <f aca="false">F3375</f>
        <v>0.25</v>
      </c>
      <c r="L3375" s="0" t="n">
        <f aca="false">G3375</f>
        <v>0.25</v>
      </c>
      <c r="M3375" s="0" t="n">
        <f aca="false">H3375</f>
        <v>0</v>
      </c>
      <c r="N3375" s="0" t="n">
        <f aca="false">E3375*F3375</f>
        <v>0</v>
      </c>
      <c r="O3375" s="0" t="n">
        <f aca="false">E3375*G3375</f>
        <v>0</v>
      </c>
      <c r="P3375" s="0" t="n">
        <f aca="false">E3375*H3375</f>
        <v>0</v>
      </c>
      <c r="Q3375" s="0" t="n">
        <f aca="false">F3375*G3375</f>
        <v>0.0625</v>
      </c>
      <c r="R3375" s="0" t="n">
        <f aca="false">F3375*H3375</f>
        <v>0</v>
      </c>
      <c r="S3375" s="0" t="n">
        <f aca="false">G3375*H3375</f>
        <v>0</v>
      </c>
      <c r="T3375" s="0" t="n">
        <f aca="false">E3375*E3375</f>
        <v>0</v>
      </c>
      <c r="U3375" s="0" t="n">
        <f aca="false">F3375*F3375</f>
        <v>0.0625</v>
      </c>
      <c r="V3375" s="0" t="n">
        <f aca="false">G3375*G3375</f>
        <v>0.0625</v>
      </c>
      <c r="W3375" s="0" t="n">
        <f aca="false">H3375*H3375</f>
        <v>0</v>
      </c>
      <c r="X3375" s="0" t="n">
        <f aca="false">SUMPRODUCT(I3375:W3375,_XtX!$B$96:$P$96)</f>
        <v>48.4928134137426</v>
      </c>
      <c r="Y3375" s="0" t="n">
        <f aca="false">SUMPRODUCT(MMULT(I3375:W3375,_XtX!$B$78:$P$92),I3375:W3375)</f>
        <v>0.0992253175255848</v>
      </c>
      <c r="Z3375" s="0" t="n">
        <f aca="false">04_回帰ANOVA!$K$19*04_回帰ANOVA!$K$14*SQRT(1+Y3375)</f>
        <v>1.36660106238383</v>
      </c>
      <c r="AA3375" s="0" t="n">
        <f aca="false">X3375-Z3375</f>
        <v>47.1262123513588</v>
      </c>
      <c r="AB3375" s="0" t="n">
        <f aca="false">X3375+Z3375</f>
        <v>49.8594144761265</v>
      </c>
      <c r="AC3375" s="54" t="b">
        <f aca="false">AND(E3375&gt;=01_因子設定!$L$5-0.000000001,E3375&lt;=01_因子設定!$M$5+0.000000001,F3375&gt;=01_因子設定!$L$6-0.000000001,F3375&lt;=01_因子設定!$M$6+0.000000001,G3375&gt;=01_因子設定!$L$7-0.000000001,G3375&lt;=01_因子設定!$M$7+0.000000001,H3375&gt;=01_因子設定!$L$8-0.000000001,H3375&lt;=01_因子設定!$M$8+0.000000001,IF(01_因子設定!$B$20="Box-Behnken",E3375^2+F3375^2+G3375^2+H3375^2&lt;=2+0.000000001,TRUE()))</f>
        <v>1</v>
      </c>
      <c r="AD3375" s="55" t="n">
        <f aca="false">IF(AC3375,IF(01_因子設定!$B$13="最大化",AA3375-01_因子設定!$B$14,IF(01_因子設定!$B$13="最小化",01_因子設定!$B$15-AB3375,MIN(AA3375-01_因子設定!$B$14,01_因子設定!$B$15-AB3375))),-1E+030)</f>
        <v>0.626212351358795</v>
      </c>
      <c r="AE3375" s="55" t="n">
        <f aca="false">IF(AC3375,IF(01_因子設定!$B$13="最大化",X3375,IF(01_因子設定!$B$13="最小化",-X3375,-ABS(X3375-01_因子設定!$B$16))),-1E+030)</f>
        <v>48.4928134137426</v>
      </c>
      <c r="AF3375" s="55" t="n">
        <f aca="false">AD3375+ROW()*0.000000001</f>
        <v>0.626215726358795</v>
      </c>
      <c r="AG3375" s="55" t="n">
        <f aca="false">AE3375+ROW()*0.000000001</f>
        <v>48.4928167887426</v>
      </c>
    </row>
    <row r="3376" customFormat="false" ht="15" hidden="false" customHeight="false" outlineLevel="0" collapsed="false">
      <c r="A3376" s="0" t="n">
        <v>4</v>
      </c>
      <c r="B3376" s="0" t="n">
        <v>5</v>
      </c>
      <c r="C3376" s="0" t="n">
        <v>5</v>
      </c>
      <c r="D3376" s="0" t="n">
        <v>5</v>
      </c>
      <c r="E3376" s="0" t="n">
        <f aca="false">-1+A3376*0.25</f>
        <v>0</v>
      </c>
      <c r="F3376" s="0" t="n">
        <f aca="false">-1+B3376*0.25</f>
        <v>0.25</v>
      </c>
      <c r="G3376" s="0" t="n">
        <f aca="false">-1+C3376*0.25</f>
        <v>0.25</v>
      </c>
      <c r="H3376" s="0" t="n">
        <f aca="false">-1+D3376*0.25</f>
        <v>0.25</v>
      </c>
      <c r="I3376" s="0" t="n">
        <f aca="false">1</f>
        <v>1</v>
      </c>
      <c r="J3376" s="0" t="n">
        <f aca="false">E3376</f>
        <v>0</v>
      </c>
      <c r="K3376" s="0" t="n">
        <f aca="false">F3376</f>
        <v>0.25</v>
      </c>
      <c r="L3376" s="0" t="n">
        <f aca="false">G3376</f>
        <v>0.25</v>
      </c>
      <c r="M3376" s="0" t="n">
        <f aca="false">H3376</f>
        <v>0.25</v>
      </c>
      <c r="N3376" s="0" t="n">
        <f aca="false">E3376*F3376</f>
        <v>0</v>
      </c>
      <c r="O3376" s="0" t="n">
        <f aca="false">E3376*G3376</f>
        <v>0</v>
      </c>
      <c r="P3376" s="0" t="n">
        <f aca="false">E3376*H3376</f>
        <v>0</v>
      </c>
      <c r="Q3376" s="0" t="n">
        <f aca="false">F3376*G3376</f>
        <v>0.0625</v>
      </c>
      <c r="R3376" s="0" t="n">
        <f aca="false">F3376*H3376</f>
        <v>0.0625</v>
      </c>
      <c r="S3376" s="0" t="n">
        <f aca="false">G3376*H3376</f>
        <v>0.0625</v>
      </c>
      <c r="T3376" s="0" t="n">
        <f aca="false">E3376*E3376</f>
        <v>0</v>
      </c>
      <c r="U3376" s="0" t="n">
        <f aca="false">F3376*F3376</f>
        <v>0.0625</v>
      </c>
      <c r="V3376" s="0" t="n">
        <f aca="false">G3376*G3376</f>
        <v>0.0625</v>
      </c>
      <c r="W3376" s="0" t="n">
        <f aca="false">H3376*H3376</f>
        <v>0.0625</v>
      </c>
      <c r="X3376" s="0" t="n">
        <f aca="false">SUMPRODUCT(I3376:W3376,_XtX!$B$96:$P$96)</f>
        <v>48.5749862938596</v>
      </c>
      <c r="Y3376" s="0" t="n">
        <f aca="false">SUMPRODUCT(MMULT(I3376:W3376,_XtX!$B$78:$P$92),I3376:W3376)</f>
        <v>0.099622224506579</v>
      </c>
      <c r="Z3376" s="0" t="n">
        <f aca="false">04_回帰ANOVA!$K$19*04_回帰ANOVA!$K$14*SQRT(1+Y3376)</f>
        <v>1.3668477654658</v>
      </c>
      <c r="AA3376" s="0" t="n">
        <f aca="false">X3376-Z3376</f>
        <v>47.2081385283938</v>
      </c>
      <c r="AB3376" s="0" t="n">
        <f aca="false">X3376+Z3376</f>
        <v>49.9418340593254</v>
      </c>
      <c r="AC3376" s="54" t="b">
        <f aca="false">AND(E3376&gt;=01_因子設定!$L$5-0.000000001,E3376&lt;=01_因子設定!$M$5+0.000000001,F3376&gt;=01_因子設定!$L$6-0.000000001,F3376&lt;=01_因子設定!$M$6+0.000000001,G3376&gt;=01_因子設定!$L$7-0.000000001,G3376&lt;=01_因子設定!$M$7+0.000000001,H3376&gt;=01_因子設定!$L$8-0.000000001,H3376&lt;=01_因子設定!$M$8+0.000000001,IF(01_因子設定!$B$20="Box-Behnken",E3376^2+F3376^2+G3376^2+H3376^2&lt;=2+0.000000001,TRUE()))</f>
        <v>1</v>
      </c>
      <c r="AD3376" s="55" t="n">
        <f aca="false">IF(AC3376,IF(01_因子設定!$B$13="最大化",AA3376-01_因子設定!$B$14,IF(01_因子設定!$B$13="最小化",01_因子設定!$B$15-AB3376,MIN(AA3376-01_因子設定!$B$14,01_因子設定!$B$15-AB3376))),-1E+030)</f>
        <v>0.708138528393789</v>
      </c>
      <c r="AE3376" s="55" t="n">
        <f aca="false">IF(AC3376,IF(01_因子設定!$B$13="最大化",X3376,IF(01_因子設定!$B$13="最小化",-X3376,-ABS(X3376-01_因子設定!$B$16))),-1E+030)</f>
        <v>48.5749862938596</v>
      </c>
      <c r="AF3376" s="55" t="n">
        <f aca="false">AD3376+ROW()*0.000000001</f>
        <v>0.708141904393789</v>
      </c>
      <c r="AG3376" s="55" t="n">
        <f aca="false">AE3376+ROW()*0.000000001</f>
        <v>48.5749896698596</v>
      </c>
    </row>
    <row r="3377" customFormat="false" ht="15" hidden="false" customHeight="false" outlineLevel="0" collapsed="false">
      <c r="A3377" s="0" t="n">
        <v>4</v>
      </c>
      <c r="B3377" s="0" t="n">
        <v>5</v>
      </c>
      <c r="C3377" s="0" t="n">
        <v>5</v>
      </c>
      <c r="D3377" s="0" t="n">
        <v>6</v>
      </c>
      <c r="E3377" s="0" t="n">
        <f aca="false">-1+A3377*0.25</f>
        <v>0</v>
      </c>
      <c r="F3377" s="0" t="n">
        <f aca="false">-1+B3377*0.25</f>
        <v>0.25</v>
      </c>
      <c r="G3377" s="0" t="n">
        <f aca="false">-1+C3377*0.25</f>
        <v>0.25</v>
      </c>
      <c r="H3377" s="0" t="n">
        <f aca="false">-1+D3377*0.25</f>
        <v>0.5</v>
      </c>
      <c r="I3377" s="0" t="n">
        <f aca="false">1</f>
        <v>1</v>
      </c>
      <c r="J3377" s="0" t="n">
        <f aca="false">E3377</f>
        <v>0</v>
      </c>
      <c r="K3377" s="0" t="n">
        <f aca="false">F3377</f>
        <v>0.25</v>
      </c>
      <c r="L3377" s="0" t="n">
        <f aca="false">G3377</f>
        <v>0.25</v>
      </c>
      <c r="M3377" s="0" t="n">
        <f aca="false">H3377</f>
        <v>0.5</v>
      </c>
      <c r="N3377" s="0" t="n">
        <f aca="false">E3377*F3377</f>
        <v>0</v>
      </c>
      <c r="O3377" s="0" t="n">
        <f aca="false">E3377*G3377</f>
        <v>0</v>
      </c>
      <c r="P3377" s="0" t="n">
        <f aca="false">E3377*H3377</f>
        <v>0</v>
      </c>
      <c r="Q3377" s="0" t="n">
        <f aca="false">F3377*G3377</f>
        <v>0.0625</v>
      </c>
      <c r="R3377" s="0" t="n">
        <f aca="false">F3377*H3377</f>
        <v>0.125</v>
      </c>
      <c r="S3377" s="0" t="n">
        <f aca="false">G3377*H3377</f>
        <v>0.125</v>
      </c>
      <c r="T3377" s="0" t="n">
        <f aca="false">E3377*E3377</f>
        <v>0</v>
      </c>
      <c r="U3377" s="0" t="n">
        <f aca="false">F3377*F3377</f>
        <v>0.0625</v>
      </c>
      <c r="V3377" s="0" t="n">
        <f aca="false">G3377*G3377</f>
        <v>0.0625</v>
      </c>
      <c r="W3377" s="0" t="n">
        <f aca="false">H3377*H3377</f>
        <v>0.25</v>
      </c>
      <c r="X3377" s="0" t="n">
        <f aca="false">SUMPRODUCT(I3377:W3377,_XtX!$B$96:$P$96)</f>
        <v>48.6093521564327</v>
      </c>
      <c r="Y3377" s="0" t="n">
        <f aca="false">SUMPRODUCT(MMULT(I3377:W3377,_XtX!$B$78:$P$92),I3377:W3377)</f>
        <v>0.118905050712719</v>
      </c>
      <c r="Z3377" s="0" t="n">
        <f aca="false">04_回帰ANOVA!$K$19*04_回帰ANOVA!$K$14*SQRT(1+Y3377)</f>
        <v>1.37878011033769</v>
      </c>
      <c r="AA3377" s="0" t="n">
        <f aca="false">X3377-Z3377</f>
        <v>47.230572046095</v>
      </c>
      <c r="AB3377" s="0" t="n">
        <f aca="false">X3377+Z3377</f>
        <v>49.9881322667704</v>
      </c>
      <c r="AC3377" s="54" t="b">
        <f aca="false">AND(E3377&gt;=01_因子設定!$L$5-0.000000001,E3377&lt;=01_因子設定!$M$5+0.000000001,F3377&gt;=01_因子設定!$L$6-0.000000001,F3377&lt;=01_因子設定!$M$6+0.000000001,G3377&gt;=01_因子設定!$L$7-0.000000001,G3377&lt;=01_因子設定!$M$7+0.000000001,H3377&gt;=01_因子設定!$L$8-0.000000001,H3377&lt;=01_因子設定!$M$8+0.000000001,IF(01_因子設定!$B$20="Box-Behnken",E3377^2+F3377^2+G3377^2+H3377^2&lt;=2+0.000000001,TRUE()))</f>
        <v>1</v>
      </c>
      <c r="AD3377" s="55" t="n">
        <f aca="false">IF(AC3377,IF(01_因子設定!$B$13="最大化",AA3377-01_因子設定!$B$14,IF(01_因子設定!$B$13="最小化",01_因子設定!$B$15-AB3377,MIN(AA3377-01_因子設定!$B$14,01_因子設定!$B$15-AB3377))),-1E+030)</f>
        <v>0.730572046095006</v>
      </c>
      <c r="AE3377" s="55" t="n">
        <f aca="false">IF(AC3377,IF(01_因子設定!$B$13="最大化",X3377,IF(01_因子設定!$B$13="最小化",-X3377,-ABS(X3377-01_因子設定!$B$16))),-1E+030)</f>
        <v>48.6093521564327</v>
      </c>
      <c r="AF3377" s="55" t="n">
        <f aca="false">AD3377+ROW()*0.000000001</f>
        <v>0.730575423095006</v>
      </c>
      <c r="AG3377" s="55" t="n">
        <f aca="false">AE3377+ROW()*0.000000001</f>
        <v>48.6093555334327</v>
      </c>
    </row>
    <row r="3378" customFormat="false" ht="15" hidden="false" customHeight="false" outlineLevel="0" collapsed="false">
      <c r="A3378" s="0" t="n">
        <v>4</v>
      </c>
      <c r="B3378" s="0" t="n">
        <v>5</v>
      </c>
      <c r="C3378" s="0" t="n">
        <v>5</v>
      </c>
      <c r="D3378" s="0" t="n">
        <v>7</v>
      </c>
      <c r="E3378" s="0" t="n">
        <f aca="false">-1+A3378*0.25</f>
        <v>0</v>
      </c>
      <c r="F3378" s="0" t="n">
        <f aca="false">-1+B3378*0.25</f>
        <v>0.25</v>
      </c>
      <c r="G3378" s="0" t="n">
        <f aca="false">-1+C3378*0.25</f>
        <v>0.25</v>
      </c>
      <c r="H3378" s="0" t="n">
        <f aca="false">-1+D3378*0.25</f>
        <v>0.75</v>
      </c>
      <c r="I3378" s="0" t="n">
        <f aca="false">1</f>
        <v>1</v>
      </c>
      <c r="J3378" s="0" t="n">
        <f aca="false">E3378</f>
        <v>0</v>
      </c>
      <c r="K3378" s="0" t="n">
        <f aca="false">F3378</f>
        <v>0.25</v>
      </c>
      <c r="L3378" s="0" t="n">
        <f aca="false">G3378</f>
        <v>0.25</v>
      </c>
      <c r="M3378" s="0" t="n">
        <f aca="false">H3378</f>
        <v>0.75</v>
      </c>
      <c r="N3378" s="0" t="n">
        <f aca="false">E3378*F3378</f>
        <v>0</v>
      </c>
      <c r="O3378" s="0" t="n">
        <f aca="false">E3378*G3378</f>
        <v>0</v>
      </c>
      <c r="P3378" s="0" t="n">
        <f aca="false">E3378*H3378</f>
        <v>0</v>
      </c>
      <c r="Q3378" s="0" t="n">
        <f aca="false">F3378*G3378</f>
        <v>0.0625</v>
      </c>
      <c r="R3378" s="0" t="n">
        <f aca="false">F3378*H3378</f>
        <v>0.1875</v>
      </c>
      <c r="S3378" s="0" t="n">
        <f aca="false">G3378*H3378</f>
        <v>0.1875</v>
      </c>
      <c r="T3378" s="0" t="n">
        <f aca="false">E3378*E3378</f>
        <v>0</v>
      </c>
      <c r="U3378" s="0" t="n">
        <f aca="false">F3378*F3378</f>
        <v>0.0625</v>
      </c>
      <c r="V3378" s="0" t="n">
        <f aca="false">G3378*G3378</f>
        <v>0.0625</v>
      </c>
      <c r="W3378" s="0" t="n">
        <f aca="false">H3378*H3378</f>
        <v>0.5625</v>
      </c>
      <c r="X3378" s="0" t="n">
        <f aca="false">SUMPRODUCT(I3378:W3378,_XtX!$B$96:$P$96)</f>
        <v>48.5959110014619</v>
      </c>
      <c r="Y3378" s="0" t="n">
        <f aca="false">SUMPRODUCT(MMULT(I3378:W3378,_XtX!$B$78:$P$92),I3378:W3378)</f>
        <v>0.21135011193348</v>
      </c>
      <c r="Z3378" s="0" t="n">
        <f aca="false">04_回帰ANOVA!$K$19*04_回帰ANOVA!$K$14*SQRT(1+Y3378)</f>
        <v>1.43460795469709</v>
      </c>
      <c r="AA3378" s="0" t="n">
        <f aca="false">X3378-Z3378</f>
        <v>47.1613030467649</v>
      </c>
      <c r="AB3378" s="0" t="n">
        <f aca="false">X3378+Z3378</f>
        <v>50.030518956159</v>
      </c>
      <c r="AC3378" s="54" t="b">
        <f aca="false">AND(E3378&gt;=01_因子設定!$L$5-0.000000001,E3378&lt;=01_因子設定!$M$5+0.000000001,F3378&gt;=01_因子設定!$L$6-0.000000001,F3378&lt;=01_因子設定!$M$6+0.000000001,G3378&gt;=01_因子設定!$L$7-0.000000001,G3378&lt;=01_因子設定!$M$7+0.000000001,H3378&gt;=01_因子設定!$L$8-0.000000001,H3378&lt;=01_因子設定!$M$8+0.000000001,IF(01_因子設定!$B$20="Box-Behnken",E3378^2+F3378^2+G3378^2+H3378^2&lt;=2+0.000000001,TRUE()))</f>
        <v>1</v>
      </c>
      <c r="AD3378" s="55" t="n">
        <f aca="false">IF(AC3378,IF(01_因子設定!$B$13="最大化",AA3378-01_因子設定!$B$14,IF(01_因子設定!$B$13="最小化",01_因子設定!$B$15-AB3378,MIN(AA3378-01_因子設定!$B$14,01_因子設定!$B$15-AB3378))),-1E+030)</f>
        <v>0.661303046764857</v>
      </c>
      <c r="AE3378" s="55" t="n">
        <f aca="false">IF(AC3378,IF(01_因子設定!$B$13="最大化",X3378,IF(01_因子設定!$B$13="最小化",-X3378,-ABS(X3378-01_因子設定!$B$16))),-1E+030)</f>
        <v>48.5959110014619</v>
      </c>
      <c r="AF3378" s="55" t="n">
        <f aca="false">AD3378+ROW()*0.000000001</f>
        <v>0.661306424764857</v>
      </c>
      <c r="AG3378" s="55" t="n">
        <f aca="false">AE3378+ROW()*0.000000001</f>
        <v>48.5959143794619</v>
      </c>
    </row>
    <row r="3379" customFormat="false" ht="15" hidden="false" customHeight="false" outlineLevel="0" collapsed="false">
      <c r="A3379" s="0" t="n">
        <v>4</v>
      </c>
      <c r="B3379" s="0" t="n">
        <v>5</v>
      </c>
      <c r="C3379" s="0" t="n">
        <v>5</v>
      </c>
      <c r="D3379" s="0" t="n">
        <v>8</v>
      </c>
      <c r="E3379" s="0" t="n">
        <f aca="false">-1+A3379*0.25</f>
        <v>0</v>
      </c>
      <c r="F3379" s="0" t="n">
        <f aca="false">-1+B3379*0.25</f>
        <v>0.25</v>
      </c>
      <c r="G3379" s="0" t="n">
        <f aca="false">-1+C3379*0.25</f>
        <v>0.25</v>
      </c>
      <c r="H3379" s="0" t="n">
        <f aca="false">-1+D3379*0.25</f>
        <v>1</v>
      </c>
      <c r="I3379" s="0" t="n">
        <f aca="false">1</f>
        <v>1</v>
      </c>
      <c r="J3379" s="0" t="n">
        <f aca="false">E3379</f>
        <v>0</v>
      </c>
      <c r="K3379" s="0" t="n">
        <f aca="false">F3379</f>
        <v>0.25</v>
      </c>
      <c r="L3379" s="0" t="n">
        <f aca="false">G3379</f>
        <v>0.25</v>
      </c>
      <c r="M3379" s="0" t="n">
        <f aca="false">H3379</f>
        <v>1</v>
      </c>
      <c r="N3379" s="0" t="n">
        <f aca="false">E3379*F3379</f>
        <v>0</v>
      </c>
      <c r="O3379" s="0" t="n">
        <f aca="false">E3379*G3379</f>
        <v>0</v>
      </c>
      <c r="P3379" s="0" t="n">
        <f aca="false">E3379*H3379</f>
        <v>0</v>
      </c>
      <c r="Q3379" s="0" t="n">
        <f aca="false">F3379*G3379</f>
        <v>0.0625</v>
      </c>
      <c r="R3379" s="0" t="n">
        <f aca="false">F3379*H3379</f>
        <v>0.25</v>
      </c>
      <c r="S3379" s="0" t="n">
        <f aca="false">G3379*H3379</f>
        <v>0.25</v>
      </c>
      <c r="T3379" s="0" t="n">
        <f aca="false">E3379*E3379</f>
        <v>0</v>
      </c>
      <c r="U3379" s="0" t="n">
        <f aca="false">F3379*F3379</f>
        <v>0.0625</v>
      </c>
      <c r="V3379" s="0" t="n">
        <f aca="false">G3379*G3379</f>
        <v>0.0625</v>
      </c>
      <c r="W3379" s="0" t="n">
        <f aca="false">H3379*H3379</f>
        <v>1</v>
      </c>
      <c r="X3379" s="0" t="n">
        <f aca="false">SUMPRODUCT(I3379:W3379,_XtX!$B$96:$P$96)</f>
        <v>48.5346628289473</v>
      </c>
      <c r="Y3379" s="0" t="n">
        <f aca="false">SUMPRODUCT(MMULT(I3379:W3379,_XtX!$B$78:$P$92),I3379:W3379)</f>
        <v>0.467417934484649</v>
      </c>
      <c r="Z3379" s="0" t="n">
        <f aca="false">04_回帰ANOVA!$K$19*04_回帰ANOVA!$K$14*SQRT(1+Y3379)</f>
        <v>1.57897518244497</v>
      </c>
      <c r="AA3379" s="0" t="n">
        <f aca="false">X3379-Z3379</f>
        <v>46.9556876465024</v>
      </c>
      <c r="AB3379" s="0" t="n">
        <f aca="false">X3379+Z3379</f>
        <v>50.1136380113923</v>
      </c>
      <c r="AC3379" s="54" t="b">
        <f aca="false">AND(E3379&gt;=01_因子設定!$L$5-0.000000001,E3379&lt;=01_因子設定!$M$5+0.000000001,F3379&gt;=01_因子設定!$L$6-0.000000001,F3379&lt;=01_因子設定!$M$6+0.000000001,G3379&gt;=01_因子設定!$L$7-0.000000001,G3379&lt;=01_因子設定!$M$7+0.000000001,H3379&gt;=01_因子設定!$L$8-0.000000001,H3379&lt;=01_因子設定!$M$8+0.000000001,IF(01_因子設定!$B$20="Box-Behnken",E3379^2+F3379^2+G3379^2+H3379^2&lt;=2+0.000000001,TRUE()))</f>
        <v>1</v>
      </c>
      <c r="AD3379" s="55" t="n">
        <f aca="false">IF(AC3379,IF(01_因子設定!$B$13="最大化",AA3379-01_因子設定!$B$14,IF(01_因子設定!$B$13="最小化",01_因子設定!$B$15-AB3379,MIN(AA3379-01_因子設定!$B$14,01_因子設定!$B$15-AB3379))),-1E+030)</f>
        <v>0.455687646502369</v>
      </c>
      <c r="AE3379" s="55" t="n">
        <f aca="false">IF(AC3379,IF(01_因子設定!$B$13="最大化",X3379,IF(01_因子設定!$B$13="最小化",-X3379,-ABS(X3379-01_因子設定!$B$16))),-1E+030)</f>
        <v>48.5346628289473</v>
      </c>
      <c r="AF3379" s="55" t="n">
        <f aca="false">AD3379+ROW()*0.000000001</f>
        <v>0.455691025502369</v>
      </c>
      <c r="AG3379" s="55" t="n">
        <f aca="false">AE3379+ROW()*0.000000001</f>
        <v>48.5346662079473</v>
      </c>
    </row>
    <row r="3380" customFormat="false" ht="15" hidden="false" customHeight="false" outlineLevel="0" collapsed="false">
      <c r="A3380" s="0" t="n">
        <v>4</v>
      </c>
      <c r="B3380" s="0" t="n">
        <v>5</v>
      </c>
      <c r="C3380" s="0" t="n">
        <v>6</v>
      </c>
      <c r="D3380" s="0" t="n">
        <v>0</v>
      </c>
      <c r="E3380" s="0" t="n">
        <f aca="false">-1+A3380*0.25</f>
        <v>0</v>
      </c>
      <c r="F3380" s="0" t="n">
        <f aca="false">-1+B3380*0.25</f>
        <v>0.25</v>
      </c>
      <c r="G3380" s="0" t="n">
        <f aca="false">-1+C3380*0.25</f>
        <v>0.5</v>
      </c>
      <c r="H3380" s="0" t="n">
        <f aca="false">-1+D3380*0.25</f>
        <v>-1</v>
      </c>
      <c r="I3380" s="0" t="n">
        <f aca="false">1</f>
        <v>1</v>
      </c>
      <c r="J3380" s="0" t="n">
        <f aca="false">E3380</f>
        <v>0</v>
      </c>
      <c r="K3380" s="0" t="n">
        <f aca="false">F3380</f>
        <v>0.25</v>
      </c>
      <c r="L3380" s="0" t="n">
        <f aca="false">G3380</f>
        <v>0.5</v>
      </c>
      <c r="M3380" s="0" t="n">
        <f aca="false">H3380</f>
        <v>-1</v>
      </c>
      <c r="N3380" s="0" t="n">
        <f aca="false">E3380*F3380</f>
        <v>0</v>
      </c>
      <c r="O3380" s="0" t="n">
        <f aca="false">E3380*G3380</f>
        <v>0</v>
      </c>
      <c r="P3380" s="0" t="n">
        <f aca="false">E3380*H3380</f>
        <v>-0</v>
      </c>
      <c r="Q3380" s="0" t="n">
        <f aca="false">F3380*G3380</f>
        <v>0.125</v>
      </c>
      <c r="R3380" s="0" t="n">
        <f aca="false">F3380*H3380</f>
        <v>-0.25</v>
      </c>
      <c r="S3380" s="0" t="n">
        <f aca="false">G3380*H3380</f>
        <v>-0.5</v>
      </c>
      <c r="T3380" s="0" t="n">
        <f aca="false">E3380*E3380</f>
        <v>0</v>
      </c>
      <c r="U3380" s="0" t="n">
        <f aca="false">F3380*F3380</f>
        <v>0.0625</v>
      </c>
      <c r="V3380" s="0" t="n">
        <f aca="false">G3380*G3380</f>
        <v>0.25</v>
      </c>
      <c r="W3380" s="0" t="n">
        <f aca="false">H3380*H3380</f>
        <v>1</v>
      </c>
      <c r="X3380" s="0" t="n">
        <f aca="false">SUMPRODUCT(I3380:W3380,_XtX!$B$96:$P$96)</f>
        <v>47.7515807748538</v>
      </c>
      <c r="Y3380" s="0" t="n">
        <f aca="false">SUMPRODUCT(MMULT(I3380:W3380,_XtX!$B$78:$P$92),I3380:W3380)</f>
        <v>0.457596628289474</v>
      </c>
      <c r="Z3380" s="0" t="n">
        <f aca="false">04_回帰ANOVA!$K$19*04_回帰ANOVA!$K$14*SQRT(1+Y3380)</f>
        <v>1.57368233664366</v>
      </c>
      <c r="AA3380" s="0" t="n">
        <f aca="false">X3380-Z3380</f>
        <v>46.1778984382101</v>
      </c>
      <c r="AB3380" s="0" t="n">
        <f aca="false">X3380+Z3380</f>
        <v>49.3252631114974</v>
      </c>
      <c r="AC3380" s="54" t="b">
        <f aca="false">AND(E3380&gt;=01_因子設定!$L$5-0.000000001,E3380&lt;=01_因子設定!$M$5+0.000000001,F3380&gt;=01_因子設定!$L$6-0.000000001,F3380&lt;=01_因子設定!$M$6+0.000000001,G3380&gt;=01_因子設定!$L$7-0.000000001,G3380&lt;=01_因子設定!$M$7+0.000000001,H3380&gt;=01_因子設定!$L$8-0.000000001,H3380&lt;=01_因子設定!$M$8+0.000000001,IF(01_因子設定!$B$20="Box-Behnken",E3380^2+F3380^2+G3380^2+H3380^2&lt;=2+0.000000001,TRUE()))</f>
        <v>1</v>
      </c>
      <c r="AD3380" s="55" t="n">
        <f aca="false">IF(AC3380,IF(01_因子設定!$B$13="最大化",AA3380-01_因子設定!$B$14,IF(01_因子設定!$B$13="最小化",01_因子設定!$B$15-AB3380,MIN(AA3380-01_因子設定!$B$14,01_因子設定!$B$15-AB3380))),-1E+030)</f>
        <v>-0.322101561789886</v>
      </c>
      <c r="AE3380" s="55" t="n">
        <f aca="false">IF(AC3380,IF(01_因子設定!$B$13="最大化",X3380,IF(01_因子設定!$B$13="最小化",-X3380,-ABS(X3380-01_因子設定!$B$16))),-1E+030)</f>
        <v>47.7515807748538</v>
      </c>
      <c r="AF3380" s="55" t="n">
        <f aca="false">AD3380+ROW()*0.000000001</f>
        <v>-0.322098181789886</v>
      </c>
      <c r="AG3380" s="55" t="n">
        <f aca="false">AE3380+ROW()*0.000000001</f>
        <v>47.7515841548538</v>
      </c>
    </row>
    <row r="3381" customFormat="false" ht="15" hidden="false" customHeight="false" outlineLevel="0" collapsed="false">
      <c r="A3381" s="0" t="n">
        <v>4</v>
      </c>
      <c r="B3381" s="0" t="n">
        <v>5</v>
      </c>
      <c r="C3381" s="0" t="n">
        <v>6</v>
      </c>
      <c r="D3381" s="0" t="n">
        <v>1</v>
      </c>
      <c r="E3381" s="0" t="n">
        <f aca="false">-1+A3381*0.25</f>
        <v>0</v>
      </c>
      <c r="F3381" s="0" t="n">
        <f aca="false">-1+B3381*0.25</f>
        <v>0.25</v>
      </c>
      <c r="G3381" s="0" t="n">
        <f aca="false">-1+C3381*0.25</f>
        <v>0.5</v>
      </c>
      <c r="H3381" s="0" t="n">
        <f aca="false">-1+D3381*0.25</f>
        <v>-0.75</v>
      </c>
      <c r="I3381" s="0" t="n">
        <f aca="false">1</f>
        <v>1</v>
      </c>
      <c r="J3381" s="0" t="n">
        <f aca="false">E3381</f>
        <v>0</v>
      </c>
      <c r="K3381" s="0" t="n">
        <f aca="false">F3381</f>
        <v>0.25</v>
      </c>
      <c r="L3381" s="0" t="n">
        <f aca="false">G3381</f>
        <v>0.5</v>
      </c>
      <c r="M3381" s="0" t="n">
        <f aca="false">H3381</f>
        <v>-0.75</v>
      </c>
      <c r="N3381" s="0" t="n">
        <f aca="false">E3381*F3381</f>
        <v>0</v>
      </c>
      <c r="O3381" s="0" t="n">
        <f aca="false">E3381*G3381</f>
        <v>0</v>
      </c>
      <c r="P3381" s="0" t="n">
        <f aca="false">E3381*H3381</f>
        <v>-0</v>
      </c>
      <c r="Q3381" s="0" t="n">
        <f aca="false">F3381*G3381</f>
        <v>0.125</v>
      </c>
      <c r="R3381" s="0" t="n">
        <f aca="false">F3381*H3381</f>
        <v>-0.1875</v>
      </c>
      <c r="S3381" s="0" t="n">
        <f aca="false">G3381*H3381</f>
        <v>-0.375</v>
      </c>
      <c r="T3381" s="0" t="n">
        <f aca="false">E3381*E3381</f>
        <v>0</v>
      </c>
      <c r="U3381" s="0" t="n">
        <f aca="false">F3381*F3381</f>
        <v>0.0625</v>
      </c>
      <c r="V3381" s="0" t="n">
        <f aca="false">G3381*G3381</f>
        <v>0.25</v>
      </c>
      <c r="W3381" s="0" t="n">
        <f aca="false">H3381*H3381</f>
        <v>0.5625</v>
      </c>
      <c r="X3381" s="0" t="n">
        <f aca="false">SUMPRODUCT(I3381:W3381,_XtX!$B$96:$P$96)</f>
        <v>48.0429504751462</v>
      </c>
      <c r="Y3381" s="0" t="n">
        <f aca="false">SUMPRODUCT(MMULT(I3381:W3381,_XtX!$B$78:$P$92),I3381:W3381)</f>
        <v>0.215110734192252</v>
      </c>
      <c r="Z3381" s="0" t="n">
        <f aca="false">04_回帰ANOVA!$K$19*04_回帰ANOVA!$K$14*SQRT(1+Y3381)</f>
        <v>1.43683309086864</v>
      </c>
      <c r="AA3381" s="0" t="n">
        <f aca="false">X3381-Z3381</f>
        <v>46.6061173842775</v>
      </c>
      <c r="AB3381" s="0" t="n">
        <f aca="false">X3381+Z3381</f>
        <v>49.4797835660148</v>
      </c>
      <c r="AC3381" s="54" t="b">
        <f aca="false">AND(E3381&gt;=01_因子設定!$L$5-0.000000001,E3381&lt;=01_因子設定!$M$5+0.000000001,F3381&gt;=01_因子設定!$L$6-0.000000001,F3381&lt;=01_因子設定!$M$6+0.000000001,G3381&gt;=01_因子設定!$L$7-0.000000001,G3381&lt;=01_因子設定!$M$7+0.000000001,H3381&gt;=01_因子設定!$L$8-0.000000001,H3381&lt;=01_因子設定!$M$8+0.000000001,IF(01_因子設定!$B$20="Box-Behnken",E3381^2+F3381^2+G3381^2+H3381^2&lt;=2+0.000000001,TRUE()))</f>
        <v>1</v>
      </c>
      <c r="AD3381" s="55" t="n">
        <f aca="false">IF(AC3381,IF(01_因子設定!$B$13="最大化",AA3381-01_因子設定!$B$14,IF(01_因子設定!$B$13="最小化",01_因子設定!$B$15-AB3381,MIN(AA3381-01_因子設定!$B$14,01_因子設定!$B$15-AB3381))),-1E+030)</f>
        <v>0.106117384277511</v>
      </c>
      <c r="AE3381" s="55" t="n">
        <f aca="false">IF(AC3381,IF(01_因子設定!$B$13="最大化",X3381,IF(01_因子設定!$B$13="最小化",-X3381,-ABS(X3381-01_因子設定!$B$16))),-1E+030)</f>
        <v>48.0429504751462</v>
      </c>
      <c r="AF3381" s="55" t="n">
        <f aca="false">AD3381+ROW()*0.000000001</f>
        <v>0.10612076527751</v>
      </c>
      <c r="AG3381" s="55" t="n">
        <f aca="false">AE3381+ROW()*0.000000001</f>
        <v>48.0429538561462</v>
      </c>
    </row>
    <row r="3382" customFormat="false" ht="15" hidden="false" customHeight="false" outlineLevel="0" collapsed="false">
      <c r="A3382" s="0" t="n">
        <v>4</v>
      </c>
      <c r="B3382" s="0" t="n">
        <v>5</v>
      </c>
      <c r="C3382" s="0" t="n">
        <v>6</v>
      </c>
      <c r="D3382" s="0" t="n">
        <v>2</v>
      </c>
      <c r="E3382" s="0" t="n">
        <f aca="false">-1+A3382*0.25</f>
        <v>0</v>
      </c>
      <c r="F3382" s="0" t="n">
        <f aca="false">-1+B3382*0.25</f>
        <v>0.25</v>
      </c>
      <c r="G3382" s="0" t="n">
        <f aca="false">-1+C3382*0.25</f>
        <v>0.5</v>
      </c>
      <c r="H3382" s="0" t="n">
        <f aca="false">-1+D3382*0.25</f>
        <v>-0.5</v>
      </c>
      <c r="I3382" s="0" t="n">
        <f aca="false">1</f>
        <v>1</v>
      </c>
      <c r="J3382" s="0" t="n">
        <f aca="false">E3382</f>
        <v>0</v>
      </c>
      <c r="K3382" s="0" t="n">
        <f aca="false">F3382</f>
        <v>0.25</v>
      </c>
      <c r="L3382" s="0" t="n">
        <f aca="false">G3382</f>
        <v>0.5</v>
      </c>
      <c r="M3382" s="0" t="n">
        <f aca="false">H3382</f>
        <v>-0.5</v>
      </c>
      <c r="N3382" s="0" t="n">
        <f aca="false">E3382*F3382</f>
        <v>0</v>
      </c>
      <c r="O3382" s="0" t="n">
        <f aca="false">E3382*G3382</f>
        <v>0</v>
      </c>
      <c r="P3382" s="0" t="n">
        <f aca="false">E3382*H3382</f>
        <v>-0</v>
      </c>
      <c r="Q3382" s="0" t="n">
        <f aca="false">F3382*G3382</f>
        <v>0.125</v>
      </c>
      <c r="R3382" s="0" t="n">
        <f aca="false">F3382*H3382</f>
        <v>-0.125</v>
      </c>
      <c r="S3382" s="0" t="n">
        <f aca="false">G3382*H3382</f>
        <v>-0.25</v>
      </c>
      <c r="T3382" s="0" t="n">
        <f aca="false">E3382*E3382</f>
        <v>0</v>
      </c>
      <c r="U3382" s="0" t="n">
        <f aca="false">F3382*F3382</f>
        <v>0.0625</v>
      </c>
      <c r="V3382" s="0" t="n">
        <f aca="false">G3382*G3382</f>
        <v>0.25</v>
      </c>
      <c r="W3382" s="0" t="n">
        <f aca="false">H3382*H3382</f>
        <v>0.25</v>
      </c>
      <c r="X3382" s="0" t="n">
        <f aca="false">SUMPRODUCT(I3382:W3382,_XtX!$B$96:$P$96)</f>
        <v>48.2865131578947</v>
      </c>
      <c r="Y3382" s="0" t="n">
        <f aca="false">SUMPRODUCT(MMULT(I3382:W3382,_XtX!$B$78:$P$92),I3382:W3382)</f>
        <v>0.132367050438597</v>
      </c>
      <c r="Z3382" s="0" t="n">
        <f aca="false">04_回帰ANOVA!$K$19*04_回帰ANOVA!$K$14*SQRT(1+Y3382)</f>
        <v>1.38704964208329</v>
      </c>
      <c r="AA3382" s="0" t="n">
        <f aca="false">X3382-Z3382</f>
        <v>46.8994635158114</v>
      </c>
      <c r="AB3382" s="0" t="n">
        <f aca="false">X3382+Z3382</f>
        <v>49.673562799978</v>
      </c>
      <c r="AC3382" s="54" t="b">
        <f aca="false">AND(E3382&gt;=01_因子設定!$L$5-0.000000001,E3382&lt;=01_因子設定!$M$5+0.000000001,F3382&gt;=01_因子設定!$L$6-0.000000001,F3382&lt;=01_因子設定!$M$6+0.000000001,G3382&gt;=01_因子設定!$L$7-0.000000001,G3382&lt;=01_因子設定!$M$7+0.000000001,H3382&gt;=01_因子設定!$L$8-0.000000001,H3382&lt;=01_因子設定!$M$8+0.000000001,IF(01_因子設定!$B$20="Box-Behnken",E3382^2+F3382^2+G3382^2+H3382^2&lt;=2+0.000000001,TRUE()))</f>
        <v>1</v>
      </c>
      <c r="AD3382" s="55" t="n">
        <f aca="false">IF(AC3382,IF(01_因子設定!$B$13="最大化",AA3382-01_因子設定!$B$14,IF(01_因子設定!$B$13="最小化",01_因子設定!$B$15-AB3382,MIN(AA3382-01_因子設定!$B$14,01_因子設定!$B$15-AB3382))),-1E+030)</f>
        <v>0.399463515811391</v>
      </c>
      <c r="AE3382" s="55" t="n">
        <f aca="false">IF(AC3382,IF(01_因子設定!$B$13="最大化",X3382,IF(01_因子設定!$B$13="最小化",-X3382,-ABS(X3382-01_因子設定!$B$16))),-1E+030)</f>
        <v>48.2865131578947</v>
      </c>
      <c r="AF3382" s="55" t="n">
        <f aca="false">AD3382+ROW()*0.000000001</f>
        <v>0.399466897811391</v>
      </c>
      <c r="AG3382" s="55" t="n">
        <f aca="false">AE3382+ROW()*0.000000001</f>
        <v>48.2865165398947</v>
      </c>
    </row>
    <row r="3383" customFormat="false" ht="15" hidden="false" customHeight="false" outlineLevel="0" collapsed="false">
      <c r="A3383" s="0" t="n">
        <v>4</v>
      </c>
      <c r="B3383" s="0" t="n">
        <v>5</v>
      </c>
      <c r="C3383" s="0" t="n">
        <v>6</v>
      </c>
      <c r="D3383" s="0" t="n">
        <v>3</v>
      </c>
      <c r="E3383" s="0" t="n">
        <f aca="false">-1+A3383*0.25</f>
        <v>0</v>
      </c>
      <c r="F3383" s="0" t="n">
        <f aca="false">-1+B3383*0.25</f>
        <v>0.25</v>
      </c>
      <c r="G3383" s="0" t="n">
        <f aca="false">-1+C3383*0.25</f>
        <v>0.5</v>
      </c>
      <c r="H3383" s="0" t="n">
        <f aca="false">-1+D3383*0.25</f>
        <v>-0.25</v>
      </c>
      <c r="I3383" s="0" t="n">
        <f aca="false">1</f>
        <v>1</v>
      </c>
      <c r="J3383" s="0" t="n">
        <f aca="false">E3383</f>
        <v>0</v>
      </c>
      <c r="K3383" s="0" t="n">
        <f aca="false">F3383</f>
        <v>0.25</v>
      </c>
      <c r="L3383" s="0" t="n">
        <f aca="false">G3383</f>
        <v>0.5</v>
      </c>
      <c r="M3383" s="0" t="n">
        <f aca="false">H3383</f>
        <v>-0.25</v>
      </c>
      <c r="N3383" s="0" t="n">
        <f aca="false">E3383*F3383</f>
        <v>0</v>
      </c>
      <c r="O3383" s="0" t="n">
        <f aca="false">E3383*G3383</f>
        <v>0</v>
      </c>
      <c r="P3383" s="0" t="n">
        <f aca="false">E3383*H3383</f>
        <v>-0</v>
      </c>
      <c r="Q3383" s="0" t="n">
        <f aca="false">F3383*G3383</f>
        <v>0.125</v>
      </c>
      <c r="R3383" s="0" t="n">
        <f aca="false">F3383*H3383</f>
        <v>-0.0625</v>
      </c>
      <c r="S3383" s="0" t="n">
        <f aca="false">G3383*H3383</f>
        <v>-0.125</v>
      </c>
      <c r="T3383" s="0" t="n">
        <f aca="false">E3383*E3383</f>
        <v>0</v>
      </c>
      <c r="U3383" s="0" t="n">
        <f aca="false">F3383*F3383</f>
        <v>0.0625</v>
      </c>
      <c r="V3383" s="0" t="n">
        <f aca="false">G3383*G3383</f>
        <v>0.25</v>
      </c>
      <c r="W3383" s="0" t="n">
        <f aca="false">H3383*H3383</f>
        <v>0.0625</v>
      </c>
      <c r="X3383" s="0" t="n">
        <f aca="false">SUMPRODUCT(I3383:W3383,_XtX!$B$96:$P$96)</f>
        <v>48.4822688230994</v>
      </c>
      <c r="Y3383" s="0" t="n">
        <f aca="false">SUMPRODUCT(MMULT(I3383:W3383,_XtX!$B$78:$P$92),I3383:W3383)</f>
        <v>0.118905050712719</v>
      </c>
      <c r="Z3383" s="0" t="n">
        <f aca="false">04_回帰ANOVA!$K$19*04_回帰ANOVA!$K$14*SQRT(1+Y3383)</f>
        <v>1.37878011033769</v>
      </c>
      <c r="AA3383" s="0" t="n">
        <f aca="false">X3383-Z3383</f>
        <v>47.1034887127617</v>
      </c>
      <c r="AB3383" s="0" t="n">
        <f aca="false">X3383+Z3383</f>
        <v>49.861048933437</v>
      </c>
      <c r="AC3383" s="54" t="b">
        <f aca="false">AND(E3383&gt;=01_因子設定!$L$5-0.000000001,E3383&lt;=01_因子設定!$M$5+0.000000001,F3383&gt;=01_因子設定!$L$6-0.000000001,F3383&lt;=01_因子設定!$M$6+0.000000001,G3383&gt;=01_因子設定!$L$7-0.000000001,G3383&lt;=01_因子設定!$M$7+0.000000001,H3383&gt;=01_因子設定!$L$8-0.000000001,H3383&lt;=01_因子設定!$M$8+0.000000001,IF(01_因子設定!$B$20="Box-Behnken",E3383^2+F3383^2+G3383^2+H3383^2&lt;=2+0.000000001,TRUE()))</f>
        <v>1</v>
      </c>
      <c r="AD3383" s="55" t="n">
        <f aca="false">IF(AC3383,IF(01_因子設定!$B$13="最大化",AA3383-01_因子設定!$B$14,IF(01_因子設定!$B$13="最小化",01_因子設定!$B$15-AB3383,MIN(AA3383-01_因子設定!$B$14,01_因子設定!$B$15-AB3383))),-1E+030)</f>
        <v>0.603488712761667</v>
      </c>
      <c r="AE3383" s="55" t="n">
        <f aca="false">IF(AC3383,IF(01_因子設定!$B$13="最大化",X3383,IF(01_因子設定!$B$13="最小化",-X3383,-ABS(X3383-01_因子設定!$B$16))),-1E+030)</f>
        <v>48.4822688230994</v>
      </c>
      <c r="AF3383" s="55" t="n">
        <f aca="false">AD3383+ROW()*0.000000001</f>
        <v>0.603492095761667</v>
      </c>
      <c r="AG3383" s="55" t="n">
        <f aca="false">AE3383+ROW()*0.000000001</f>
        <v>48.4822722060994</v>
      </c>
    </row>
    <row r="3384" customFormat="false" ht="15" hidden="false" customHeight="false" outlineLevel="0" collapsed="false">
      <c r="A3384" s="0" t="n">
        <v>4</v>
      </c>
      <c r="B3384" s="0" t="n">
        <v>5</v>
      </c>
      <c r="C3384" s="0" t="n">
        <v>6</v>
      </c>
      <c r="D3384" s="0" t="n">
        <v>4</v>
      </c>
      <c r="E3384" s="0" t="n">
        <f aca="false">-1+A3384*0.25</f>
        <v>0</v>
      </c>
      <c r="F3384" s="0" t="n">
        <f aca="false">-1+B3384*0.25</f>
        <v>0.25</v>
      </c>
      <c r="G3384" s="0" t="n">
        <f aca="false">-1+C3384*0.25</f>
        <v>0.5</v>
      </c>
      <c r="H3384" s="0" t="n">
        <f aca="false">-1+D3384*0.25</f>
        <v>0</v>
      </c>
      <c r="I3384" s="0" t="n">
        <f aca="false">1</f>
        <v>1</v>
      </c>
      <c r="J3384" s="0" t="n">
        <f aca="false">E3384</f>
        <v>0</v>
      </c>
      <c r="K3384" s="0" t="n">
        <f aca="false">F3384</f>
        <v>0.25</v>
      </c>
      <c r="L3384" s="0" t="n">
        <f aca="false">G3384</f>
        <v>0.5</v>
      </c>
      <c r="M3384" s="0" t="n">
        <f aca="false">H3384</f>
        <v>0</v>
      </c>
      <c r="N3384" s="0" t="n">
        <f aca="false">E3384*F3384</f>
        <v>0</v>
      </c>
      <c r="O3384" s="0" t="n">
        <f aca="false">E3384*G3384</f>
        <v>0</v>
      </c>
      <c r="P3384" s="0" t="n">
        <f aca="false">E3384*H3384</f>
        <v>0</v>
      </c>
      <c r="Q3384" s="0" t="n">
        <f aca="false">F3384*G3384</f>
        <v>0.125</v>
      </c>
      <c r="R3384" s="0" t="n">
        <f aca="false">F3384*H3384</f>
        <v>0</v>
      </c>
      <c r="S3384" s="0" t="n">
        <f aca="false">G3384*H3384</f>
        <v>0</v>
      </c>
      <c r="T3384" s="0" t="n">
        <f aca="false">E3384*E3384</f>
        <v>0</v>
      </c>
      <c r="U3384" s="0" t="n">
        <f aca="false">F3384*F3384</f>
        <v>0.0625</v>
      </c>
      <c r="V3384" s="0" t="n">
        <f aca="false">G3384*G3384</f>
        <v>0.25</v>
      </c>
      <c r="W3384" s="0" t="n">
        <f aca="false">H3384*H3384</f>
        <v>0</v>
      </c>
      <c r="X3384" s="0" t="n">
        <f aca="false">SUMPRODUCT(I3384:W3384,_XtX!$B$96:$P$96)</f>
        <v>48.6302174707602</v>
      </c>
      <c r="Y3384" s="0" t="n">
        <f aca="false">SUMPRODUCT(MMULT(I3384:W3384,_XtX!$B$78:$P$92),I3384:W3384)</f>
        <v>0.120448419225146</v>
      </c>
      <c r="Z3384" s="0" t="n">
        <f aca="false">04_回帰ANOVA!$K$19*04_回帰ANOVA!$K$14*SQRT(1+Y3384)</f>
        <v>1.37973069703246</v>
      </c>
      <c r="AA3384" s="0" t="n">
        <f aca="false">X3384-Z3384</f>
        <v>47.2504867737277</v>
      </c>
      <c r="AB3384" s="0" t="n">
        <f aca="false">X3384+Z3384</f>
        <v>50.0099481677926</v>
      </c>
      <c r="AC3384" s="54" t="b">
        <f aca="false">AND(E3384&gt;=01_因子設定!$L$5-0.000000001,E3384&lt;=01_因子設定!$M$5+0.000000001,F3384&gt;=01_因子設定!$L$6-0.000000001,F3384&lt;=01_因子設定!$M$6+0.000000001,G3384&gt;=01_因子設定!$L$7-0.000000001,G3384&lt;=01_因子設定!$M$7+0.000000001,H3384&gt;=01_因子設定!$L$8-0.000000001,H3384&lt;=01_因子設定!$M$8+0.000000001,IF(01_因子設定!$B$20="Box-Behnken",E3384^2+F3384^2+G3384^2+H3384^2&lt;=2+0.000000001,TRUE()))</f>
        <v>1</v>
      </c>
      <c r="AD3384" s="55" t="n">
        <f aca="false">IF(AC3384,IF(01_因子設定!$B$13="最大化",AA3384-01_因子設定!$B$14,IF(01_因子設定!$B$13="最小化",01_因子設定!$B$15-AB3384,MIN(AA3384-01_因子設定!$B$14,01_因子設定!$B$15-AB3384))),-1E+030)</f>
        <v>0.750486773727701</v>
      </c>
      <c r="AE3384" s="55" t="n">
        <f aca="false">IF(AC3384,IF(01_因子設定!$B$13="最大化",X3384,IF(01_因子設定!$B$13="最小化",-X3384,-ABS(X3384-01_因子設定!$B$16))),-1E+030)</f>
        <v>48.6302174707602</v>
      </c>
      <c r="AF3384" s="55" t="n">
        <f aca="false">AD3384+ROW()*0.000000001</f>
        <v>0.750490157727701</v>
      </c>
      <c r="AG3384" s="55" t="n">
        <f aca="false">AE3384+ROW()*0.000000001</f>
        <v>48.6302208547602</v>
      </c>
    </row>
    <row r="3385" customFormat="false" ht="15" hidden="false" customHeight="false" outlineLevel="0" collapsed="false">
      <c r="A3385" s="0" t="n">
        <v>4</v>
      </c>
      <c r="B3385" s="0" t="n">
        <v>5</v>
      </c>
      <c r="C3385" s="0" t="n">
        <v>6</v>
      </c>
      <c r="D3385" s="0" t="n">
        <v>5</v>
      </c>
      <c r="E3385" s="0" t="n">
        <f aca="false">-1+A3385*0.25</f>
        <v>0</v>
      </c>
      <c r="F3385" s="0" t="n">
        <f aca="false">-1+B3385*0.25</f>
        <v>0.25</v>
      </c>
      <c r="G3385" s="0" t="n">
        <f aca="false">-1+C3385*0.25</f>
        <v>0.5</v>
      </c>
      <c r="H3385" s="0" t="n">
        <f aca="false">-1+D3385*0.25</f>
        <v>0.25</v>
      </c>
      <c r="I3385" s="0" t="n">
        <f aca="false">1</f>
        <v>1</v>
      </c>
      <c r="J3385" s="0" t="n">
        <f aca="false">E3385</f>
        <v>0</v>
      </c>
      <c r="K3385" s="0" t="n">
        <f aca="false">F3385</f>
        <v>0.25</v>
      </c>
      <c r="L3385" s="0" t="n">
        <f aca="false">G3385</f>
        <v>0.5</v>
      </c>
      <c r="M3385" s="0" t="n">
        <f aca="false">H3385</f>
        <v>0.25</v>
      </c>
      <c r="N3385" s="0" t="n">
        <f aca="false">E3385*F3385</f>
        <v>0</v>
      </c>
      <c r="O3385" s="0" t="n">
        <f aca="false">E3385*G3385</f>
        <v>0</v>
      </c>
      <c r="P3385" s="0" t="n">
        <f aca="false">E3385*H3385</f>
        <v>0</v>
      </c>
      <c r="Q3385" s="0" t="n">
        <f aca="false">F3385*G3385</f>
        <v>0.125</v>
      </c>
      <c r="R3385" s="0" t="n">
        <f aca="false">F3385*H3385</f>
        <v>0.0625</v>
      </c>
      <c r="S3385" s="0" t="n">
        <f aca="false">G3385*H3385</f>
        <v>0.125</v>
      </c>
      <c r="T3385" s="0" t="n">
        <f aca="false">E3385*E3385</f>
        <v>0</v>
      </c>
      <c r="U3385" s="0" t="n">
        <f aca="false">F3385*F3385</f>
        <v>0.0625</v>
      </c>
      <c r="V3385" s="0" t="n">
        <f aca="false">G3385*G3385</f>
        <v>0.25</v>
      </c>
      <c r="W3385" s="0" t="n">
        <f aca="false">H3385*H3385</f>
        <v>0.0625</v>
      </c>
      <c r="X3385" s="0" t="n">
        <f aca="false">SUMPRODUCT(I3385:W3385,_XtX!$B$96:$P$96)</f>
        <v>48.7303591008771</v>
      </c>
      <c r="Y3385" s="0" t="n">
        <f aca="false">SUMPRODUCT(MMULT(I3385:W3385,_XtX!$B$78:$P$92),I3385:W3385)</f>
        <v>0.118905050712719</v>
      </c>
      <c r="Z3385" s="0" t="n">
        <f aca="false">04_回帰ANOVA!$K$19*04_回帰ANOVA!$K$14*SQRT(1+Y3385)</f>
        <v>1.37878011033769</v>
      </c>
      <c r="AA3385" s="0" t="n">
        <f aca="false">X3385-Z3385</f>
        <v>47.3515789905394</v>
      </c>
      <c r="AB3385" s="0" t="n">
        <f aca="false">X3385+Z3385</f>
        <v>50.1091392112148</v>
      </c>
      <c r="AC3385" s="54" t="b">
        <f aca="false">AND(E3385&gt;=01_因子設定!$L$5-0.000000001,E3385&lt;=01_因子設定!$M$5+0.000000001,F3385&gt;=01_因子設定!$L$6-0.000000001,F3385&lt;=01_因子設定!$M$6+0.000000001,G3385&gt;=01_因子設定!$L$7-0.000000001,G3385&lt;=01_因子設定!$M$7+0.000000001,H3385&gt;=01_因子設定!$L$8-0.000000001,H3385&lt;=01_因子設定!$M$8+0.000000001,IF(01_因子設定!$B$20="Box-Behnken",E3385^2+F3385^2+G3385^2+H3385^2&lt;=2+0.000000001,TRUE()))</f>
        <v>1</v>
      </c>
      <c r="AD3385" s="55" t="n">
        <f aca="false">IF(AC3385,IF(01_因子設定!$B$13="最大化",AA3385-01_因子設定!$B$14,IF(01_因子設定!$B$13="最小化",01_因子設定!$B$15-AB3385,MIN(AA3385-01_因子設定!$B$14,01_因子設定!$B$15-AB3385))),-1E+030)</f>
        <v>0.851578990539444</v>
      </c>
      <c r="AE3385" s="55" t="n">
        <f aca="false">IF(AC3385,IF(01_因子設定!$B$13="最大化",X3385,IF(01_因子設定!$B$13="最小化",-X3385,-ABS(X3385-01_因子設定!$B$16))),-1E+030)</f>
        <v>48.7303591008771</v>
      </c>
      <c r="AF3385" s="55" t="n">
        <f aca="false">AD3385+ROW()*0.000000001</f>
        <v>0.851582375539444</v>
      </c>
      <c r="AG3385" s="55" t="n">
        <f aca="false">AE3385+ROW()*0.000000001</f>
        <v>48.7303624858771</v>
      </c>
    </row>
    <row r="3386" customFormat="false" ht="15" hidden="false" customHeight="false" outlineLevel="0" collapsed="false">
      <c r="A3386" s="0" t="n">
        <v>4</v>
      </c>
      <c r="B3386" s="0" t="n">
        <v>5</v>
      </c>
      <c r="C3386" s="0" t="n">
        <v>6</v>
      </c>
      <c r="D3386" s="0" t="n">
        <v>6</v>
      </c>
      <c r="E3386" s="0" t="n">
        <f aca="false">-1+A3386*0.25</f>
        <v>0</v>
      </c>
      <c r="F3386" s="0" t="n">
        <f aca="false">-1+B3386*0.25</f>
        <v>0.25</v>
      </c>
      <c r="G3386" s="0" t="n">
        <f aca="false">-1+C3386*0.25</f>
        <v>0.5</v>
      </c>
      <c r="H3386" s="0" t="n">
        <f aca="false">-1+D3386*0.25</f>
        <v>0.5</v>
      </c>
      <c r="I3386" s="0" t="n">
        <f aca="false">1</f>
        <v>1</v>
      </c>
      <c r="J3386" s="0" t="n">
        <f aca="false">E3386</f>
        <v>0</v>
      </c>
      <c r="K3386" s="0" t="n">
        <f aca="false">F3386</f>
        <v>0.25</v>
      </c>
      <c r="L3386" s="0" t="n">
        <f aca="false">G3386</f>
        <v>0.5</v>
      </c>
      <c r="M3386" s="0" t="n">
        <f aca="false">H3386</f>
        <v>0.5</v>
      </c>
      <c r="N3386" s="0" t="n">
        <f aca="false">E3386*F3386</f>
        <v>0</v>
      </c>
      <c r="O3386" s="0" t="n">
        <f aca="false">E3386*G3386</f>
        <v>0</v>
      </c>
      <c r="P3386" s="0" t="n">
        <f aca="false">E3386*H3386</f>
        <v>0</v>
      </c>
      <c r="Q3386" s="0" t="n">
        <f aca="false">F3386*G3386</f>
        <v>0.125</v>
      </c>
      <c r="R3386" s="0" t="n">
        <f aca="false">F3386*H3386</f>
        <v>0.125</v>
      </c>
      <c r="S3386" s="0" t="n">
        <f aca="false">G3386*H3386</f>
        <v>0.25</v>
      </c>
      <c r="T3386" s="0" t="n">
        <f aca="false">E3386*E3386</f>
        <v>0</v>
      </c>
      <c r="U3386" s="0" t="n">
        <f aca="false">F3386*F3386</f>
        <v>0.0625</v>
      </c>
      <c r="V3386" s="0" t="n">
        <f aca="false">G3386*G3386</f>
        <v>0.25</v>
      </c>
      <c r="W3386" s="0" t="n">
        <f aca="false">H3386*H3386</f>
        <v>0.25</v>
      </c>
      <c r="X3386" s="0" t="n">
        <f aca="false">SUMPRODUCT(I3386:W3386,_XtX!$B$96:$P$96)</f>
        <v>48.7826937134502</v>
      </c>
      <c r="Y3386" s="0" t="n">
        <f aca="false">SUMPRODUCT(MMULT(I3386:W3386,_XtX!$B$78:$P$92),I3386:W3386)</f>
        <v>0.132367050438597</v>
      </c>
      <c r="Z3386" s="0" t="n">
        <f aca="false">04_回帰ANOVA!$K$19*04_回帰ANOVA!$K$14*SQRT(1+Y3386)</f>
        <v>1.38704964208329</v>
      </c>
      <c r="AA3386" s="0" t="n">
        <f aca="false">X3386-Z3386</f>
        <v>47.3956440713669</v>
      </c>
      <c r="AB3386" s="0" t="n">
        <f aca="false">X3386+Z3386</f>
        <v>50.1697433555335</v>
      </c>
      <c r="AC3386" s="54" t="b">
        <f aca="false">AND(E3386&gt;=01_因子設定!$L$5-0.000000001,E3386&lt;=01_因子設定!$M$5+0.000000001,F3386&gt;=01_因子設定!$L$6-0.000000001,F3386&lt;=01_因子設定!$M$6+0.000000001,G3386&gt;=01_因子設定!$L$7-0.000000001,G3386&lt;=01_因子設定!$M$7+0.000000001,H3386&gt;=01_因子設定!$L$8-0.000000001,H3386&lt;=01_因子設定!$M$8+0.000000001,IF(01_因子設定!$B$20="Box-Behnken",E3386^2+F3386^2+G3386^2+H3386^2&lt;=2+0.000000001,TRUE()))</f>
        <v>1</v>
      </c>
      <c r="AD3386" s="55" t="n">
        <f aca="false">IF(AC3386,IF(01_因子設定!$B$13="最大化",AA3386-01_因子設定!$B$14,IF(01_因子設定!$B$13="最小化",01_因子設定!$B$15-AB3386,MIN(AA3386-01_因子設定!$B$14,01_因子設定!$B$15-AB3386))),-1E+030)</f>
        <v>0.895644071366945</v>
      </c>
      <c r="AE3386" s="55" t="n">
        <f aca="false">IF(AC3386,IF(01_因子設定!$B$13="最大化",X3386,IF(01_因子設定!$B$13="最小化",-X3386,-ABS(X3386-01_因子設定!$B$16))),-1E+030)</f>
        <v>48.7826937134502</v>
      </c>
      <c r="AF3386" s="55" t="n">
        <f aca="false">AD3386+ROW()*0.000000001</f>
        <v>0.895647457366945</v>
      </c>
      <c r="AG3386" s="55" t="n">
        <f aca="false">AE3386+ROW()*0.000000001</f>
        <v>48.7826970994502</v>
      </c>
    </row>
    <row r="3387" customFormat="false" ht="15" hidden="false" customHeight="false" outlineLevel="0" collapsed="false">
      <c r="A3387" s="0" t="n">
        <v>4</v>
      </c>
      <c r="B3387" s="0" t="n">
        <v>5</v>
      </c>
      <c r="C3387" s="0" t="n">
        <v>6</v>
      </c>
      <c r="D3387" s="0" t="n">
        <v>7</v>
      </c>
      <c r="E3387" s="0" t="n">
        <f aca="false">-1+A3387*0.25</f>
        <v>0</v>
      </c>
      <c r="F3387" s="0" t="n">
        <f aca="false">-1+B3387*0.25</f>
        <v>0.25</v>
      </c>
      <c r="G3387" s="0" t="n">
        <f aca="false">-1+C3387*0.25</f>
        <v>0.5</v>
      </c>
      <c r="H3387" s="0" t="n">
        <f aca="false">-1+D3387*0.25</f>
        <v>0.75</v>
      </c>
      <c r="I3387" s="0" t="n">
        <f aca="false">1</f>
        <v>1</v>
      </c>
      <c r="J3387" s="0" t="n">
        <f aca="false">E3387</f>
        <v>0</v>
      </c>
      <c r="K3387" s="0" t="n">
        <f aca="false">F3387</f>
        <v>0.25</v>
      </c>
      <c r="L3387" s="0" t="n">
        <f aca="false">G3387</f>
        <v>0.5</v>
      </c>
      <c r="M3387" s="0" t="n">
        <f aca="false">H3387</f>
        <v>0.75</v>
      </c>
      <c r="N3387" s="0" t="n">
        <f aca="false">E3387*F3387</f>
        <v>0</v>
      </c>
      <c r="O3387" s="0" t="n">
        <f aca="false">E3387*G3387</f>
        <v>0</v>
      </c>
      <c r="P3387" s="0" t="n">
        <f aca="false">E3387*H3387</f>
        <v>0</v>
      </c>
      <c r="Q3387" s="0" t="n">
        <f aca="false">F3387*G3387</f>
        <v>0.125</v>
      </c>
      <c r="R3387" s="0" t="n">
        <f aca="false">F3387*H3387</f>
        <v>0.1875</v>
      </c>
      <c r="S3387" s="0" t="n">
        <f aca="false">G3387*H3387</f>
        <v>0.375</v>
      </c>
      <c r="T3387" s="0" t="n">
        <f aca="false">E3387*E3387</f>
        <v>0</v>
      </c>
      <c r="U3387" s="0" t="n">
        <f aca="false">F3387*F3387</f>
        <v>0.0625</v>
      </c>
      <c r="V3387" s="0" t="n">
        <f aca="false">G3387*G3387</f>
        <v>0.25</v>
      </c>
      <c r="W3387" s="0" t="n">
        <f aca="false">H3387*H3387</f>
        <v>0.5625</v>
      </c>
      <c r="X3387" s="0" t="n">
        <f aca="false">SUMPRODUCT(I3387:W3387,_XtX!$B$96:$P$96)</f>
        <v>48.7872213084795</v>
      </c>
      <c r="Y3387" s="0" t="n">
        <f aca="false">SUMPRODUCT(MMULT(I3387:W3387,_XtX!$B$78:$P$92),I3387:W3387)</f>
        <v>0.215110734192252</v>
      </c>
      <c r="Z3387" s="0" t="n">
        <f aca="false">04_回帰ANOVA!$K$19*04_回帰ANOVA!$K$14*SQRT(1+Y3387)</f>
        <v>1.43683309086864</v>
      </c>
      <c r="AA3387" s="0" t="n">
        <f aca="false">X3387-Z3387</f>
        <v>47.3503882176108</v>
      </c>
      <c r="AB3387" s="0" t="n">
        <f aca="false">X3387+Z3387</f>
        <v>50.2240543993481</v>
      </c>
      <c r="AC3387" s="54" t="b">
        <f aca="false">AND(E3387&gt;=01_因子設定!$L$5-0.000000001,E3387&lt;=01_因子設定!$M$5+0.000000001,F3387&gt;=01_因子設定!$L$6-0.000000001,F3387&lt;=01_因子設定!$M$6+0.000000001,G3387&gt;=01_因子設定!$L$7-0.000000001,G3387&lt;=01_因子設定!$M$7+0.000000001,H3387&gt;=01_因子設定!$L$8-0.000000001,H3387&lt;=01_因子設定!$M$8+0.000000001,IF(01_因子設定!$B$20="Box-Behnken",E3387^2+F3387^2+G3387^2+H3387^2&lt;=2+0.000000001,TRUE()))</f>
        <v>1</v>
      </c>
      <c r="AD3387" s="55" t="n">
        <f aca="false">IF(AC3387,IF(01_因子設定!$B$13="最大化",AA3387-01_因子設定!$B$14,IF(01_因子設定!$B$13="最小化",01_因子設定!$B$15-AB3387,MIN(AA3387-01_因子設定!$B$14,01_因子設定!$B$15-AB3387))),-1E+030)</f>
        <v>0.850388217610842</v>
      </c>
      <c r="AE3387" s="55" t="n">
        <f aca="false">IF(AC3387,IF(01_因子設定!$B$13="最大化",X3387,IF(01_因子設定!$B$13="最小化",-X3387,-ABS(X3387-01_因子設定!$B$16))),-1E+030)</f>
        <v>48.7872213084795</v>
      </c>
      <c r="AF3387" s="55" t="n">
        <f aca="false">AD3387+ROW()*0.000000001</f>
        <v>0.850391604610842</v>
      </c>
      <c r="AG3387" s="55" t="n">
        <f aca="false">AE3387+ROW()*0.000000001</f>
        <v>48.7872246954795</v>
      </c>
    </row>
    <row r="3388" customFormat="false" ht="15" hidden="false" customHeight="false" outlineLevel="0" collapsed="false">
      <c r="A3388" s="0" t="n">
        <v>4</v>
      </c>
      <c r="B3388" s="0" t="n">
        <v>5</v>
      </c>
      <c r="C3388" s="0" t="n">
        <v>6</v>
      </c>
      <c r="D3388" s="0" t="n">
        <v>8</v>
      </c>
      <c r="E3388" s="0" t="n">
        <f aca="false">-1+A3388*0.25</f>
        <v>0</v>
      </c>
      <c r="F3388" s="0" t="n">
        <f aca="false">-1+B3388*0.25</f>
        <v>0.25</v>
      </c>
      <c r="G3388" s="0" t="n">
        <f aca="false">-1+C3388*0.25</f>
        <v>0.5</v>
      </c>
      <c r="H3388" s="0" t="n">
        <f aca="false">-1+D3388*0.25</f>
        <v>1</v>
      </c>
      <c r="I3388" s="0" t="n">
        <f aca="false">1</f>
        <v>1</v>
      </c>
      <c r="J3388" s="0" t="n">
        <f aca="false">E3388</f>
        <v>0</v>
      </c>
      <c r="K3388" s="0" t="n">
        <f aca="false">F3388</f>
        <v>0.25</v>
      </c>
      <c r="L3388" s="0" t="n">
        <f aca="false">G3388</f>
        <v>0.5</v>
      </c>
      <c r="M3388" s="0" t="n">
        <f aca="false">H3388</f>
        <v>1</v>
      </c>
      <c r="N3388" s="0" t="n">
        <f aca="false">E3388*F3388</f>
        <v>0</v>
      </c>
      <c r="O3388" s="0" t="n">
        <f aca="false">E3388*G3388</f>
        <v>0</v>
      </c>
      <c r="P3388" s="0" t="n">
        <f aca="false">E3388*H3388</f>
        <v>0</v>
      </c>
      <c r="Q3388" s="0" t="n">
        <f aca="false">F3388*G3388</f>
        <v>0.125</v>
      </c>
      <c r="R3388" s="0" t="n">
        <f aca="false">F3388*H3388</f>
        <v>0.25</v>
      </c>
      <c r="S3388" s="0" t="n">
        <f aca="false">G3388*H3388</f>
        <v>0.5</v>
      </c>
      <c r="T3388" s="0" t="n">
        <f aca="false">E3388*E3388</f>
        <v>0</v>
      </c>
      <c r="U3388" s="0" t="n">
        <f aca="false">F3388*F3388</f>
        <v>0.0625</v>
      </c>
      <c r="V3388" s="0" t="n">
        <f aca="false">G3388*G3388</f>
        <v>0.25</v>
      </c>
      <c r="W3388" s="0" t="n">
        <f aca="false">H3388*H3388</f>
        <v>1</v>
      </c>
      <c r="X3388" s="0" t="n">
        <f aca="false">SUMPRODUCT(I3388:W3388,_XtX!$B$96:$P$96)</f>
        <v>48.7439418859649</v>
      </c>
      <c r="Y3388" s="0" t="n">
        <f aca="false">SUMPRODUCT(MMULT(I3388:W3388,_XtX!$B$78:$P$92),I3388:W3388)</f>
        <v>0.457596628289474</v>
      </c>
      <c r="Z3388" s="0" t="n">
        <f aca="false">04_回帰ANOVA!$K$19*04_回帰ANOVA!$K$14*SQRT(1+Y3388)</f>
        <v>1.57368233664366</v>
      </c>
      <c r="AA3388" s="0" t="n">
        <f aca="false">X3388-Z3388</f>
        <v>47.1702595493212</v>
      </c>
      <c r="AB3388" s="0" t="n">
        <f aca="false">X3388+Z3388</f>
        <v>50.3176242226085</v>
      </c>
      <c r="AC3388" s="54" t="b">
        <f aca="false">AND(E3388&gt;=01_因子設定!$L$5-0.000000001,E3388&lt;=01_因子設定!$M$5+0.000000001,F3388&gt;=01_因子設定!$L$6-0.000000001,F3388&lt;=01_因子設定!$M$6+0.000000001,G3388&gt;=01_因子設定!$L$7-0.000000001,G3388&lt;=01_因子設定!$M$7+0.000000001,H3388&gt;=01_因子設定!$L$8-0.000000001,H3388&lt;=01_因子設定!$M$8+0.000000001,IF(01_因子設定!$B$20="Box-Behnken",E3388^2+F3388^2+G3388^2+H3388^2&lt;=2+0.000000001,TRUE()))</f>
        <v>1</v>
      </c>
      <c r="AD3388" s="55" t="n">
        <f aca="false">IF(AC3388,IF(01_因子設定!$B$13="最大化",AA3388-01_因子設定!$B$14,IF(01_因子設定!$B$13="最小化",01_因子設定!$B$15-AB3388,MIN(AA3388-01_因子設定!$B$14,01_因子設定!$B$15-AB3388))),-1E+030)</f>
        <v>0.670259549321223</v>
      </c>
      <c r="AE3388" s="55" t="n">
        <f aca="false">IF(AC3388,IF(01_因子設定!$B$13="最大化",X3388,IF(01_因子設定!$B$13="最小化",-X3388,-ABS(X3388-01_因子設定!$B$16))),-1E+030)</f>
        <v>48.7439418859649</v>
      </c>
      <c r="AF3388" s="55" t="n">
        <f aca="false">AD3388+ROW()*0.000000001</f>
        <v>0.670262937321223</v>
      </c>
      <c r="AG3388" s="55" t="n">
        <f aca="false">AE3388+ROW()*0.000000001</f>
        <v>48.7439452739649</v>
      </c>
    </row>
    <row r="3389" customFormat="false" ht="15" hidden="false" customHeight="false" outlineLevel="0" collapsed="false">
      <c r="A3389" s="0" t="n">
        <v>4</v>
      </c>
      <c r="B3389" s="0" t="n">
        <v>5</v>
      </c>
      <c r="C3389" s="0" t="n">
        <v>7</v>
      </c>
      <c r="D3389" s="0" t="n">
        <v>0</v>
      </c>
      <c r="E3389" s="0" t="n">
        <f aca="false">-1+A3389*0.25</f>
        <v>0</v>
      </c>
      <c r="F3389" s="0" t="n">
        <f aca="false">-1+B3389*0.25</f>
        <v>0.25</v>
      </c>
      <c r="G3389" s="0" t="n">
        <f aca="false">-1+C3389*0.25</f>
        <v>0.75</v>
      </c>
      <c r="H3389" s="0" t="n">
        <f aca="false">-1+D3389*0.25</f>
        <v>-1</v>
      </c>
      <c r="I3389" s="0" t="n">
        <f aca="false">1</f>
        <v>1</v>
      </c>
      <c r="J3389" s="0" t="n">
        <f aca="false">E3389</f>
        <v>0</v>
      </c>
      <c r="K3389" s="0" t="n">
        <f aca="false">F3389</f>
        <v>0.25</v>
      </c>
      <c r="L3389" s="0" t="n">
        <f aca="false">G3389</f>
        <v>0.75</v>
      </c>
      <c r="M3389" s="0" t="n">
        <f aca="false">H3389</f>
        <v>-1</v>
      </c>
      <c r="N3389" s="0" t="n">
        <f aca="false">E3389*F3389</f>
        <v>0</v>
      </c>
      <c r="O3389" s="0" t="n">
        <f aca="false">E3389*G3389</f>
        <v>0</v>
      </c>
      <c r="P3389" s="0" t="n">
        <f aca="false">E3389*H3389</f>
        <v>-0</v>
      </c>
      <c r="Q3389" s="0" t="n">
        <f aca="false">F3389*G3389</f>
        <v>0.1875</v>
      </c>
      <c r="R3389" s="0" t="n">
        <f aca="false">F3389*H3389</f>
        <v>-0.25</v>
      </c>
      <c r="S3389" s="0" t="n">
        <f aca="false">G3389*H3389</f>
        <v>-0.75</v>
      </c>
      <c r="T3389" s="0" t="n">
        <f aca="false">E3389*E3389</f>
        <v>0</v>
      </c>
      <c r="U3389" s="0" t="n">
        <f aca="false">F3389*F3389</f>
        <v>0.0625</v>
      </c>
      <c r="V3389" s="0" t="n">
        <f aca="false">G3389*G3389</f>
        <v>0.5625</v>
      </c>
      <c r="W3389" s="0" t="n">
        <f aca="false">H3389*H3389</f>
        <v>1</v>
      </c>
      <c r="X3389" s="0" t="n">
        <f aca="false">SUMPRODUCT(I3389:W3389,_XtX!$B$96:$P$96)</f>
        <v>47.7318028143275</v>
      </c>
      <c r="Y3389" s="0" t="n">
        <f aca="false">SUMPRODUCT(MMULT(I3389:W3389,_XtX!$B$78:$P$92),I3389:W3389)</f>
        <v>0.501534802174708</v>
      </c>
      <c r="Z3389" s="0" t="n">
        <f aca="false">04_回帰ANOVA!$K$19*04_回帰ANOVA!$K$14*SQRT(1+Y3389)</f>
        <v>1.59722498091333</v>
      </c>
      <c r="AA3389" s="0" t="n">
        <f aca="false">X3389-Z3389</f>
        <v>46.1345778334141</v>
      </c>
      <c r="AB3389" s="0" t="n">
        <f aca="false">X3389+Z3389</f>
        <v>49.3290277952408</v>
      </c>
      <c r="AC3389" s="54" t="b">
        <f aca="false">AND(E3389&gt;=01_因子設定!$L$5-0.000000001,E3389&lt;=01_因子設定!$M$5+0.000000001,F3389&gt;=01_因子設定!$L$6-0.000000001,F3389&lt;=01_因子設定!$M$6+0.000000001,G3389&gt;=01_因子設定!$L$7-0.000000001,G3389&lt;=01_因子設定!$M$7+0.000000001,H3389&gt;=01_因子設定!$L$8-0.000000001,H3389&lt;=01_因子設定!$M$8+0.000000001,IF(01_因子設定!$B$20="Box-Behnken",E3389^2+F3389^2+G3389^2+H3389^2&lt;=2+0.000000001,TRUE()))</f>
        <v>1</v>
      </c>
      <c r="AD3389" s="55" t="n">
        <f aca="false">IF(AC3389,IF(01_因子設定!$B$13="最大化",AA3389-01_因子設定!$B$14,IF(01_因子設定!$B$13="最小化",01_因子設定!$B$15-AB3389,MIN(AA3389-01_因子設定!$B$14,01_因子設定!$B$15-AB3389))),-1E+030)</f>
        <v>-0.365422166585873</v>
      </c>
      <c r="AE3389" s="55" t="n">
        <f aca="false">IF(AC3389,IF(01_因子設定!$B$13="最大化",X3389,IF(01_因子設定!$B$13="最小化",-X3389,-ABS(X3389-01_因子設定!$B$16))),-1E+030)</f>
        <v>47.7318028143275</v>
      </c>
      <c r="AF3389" s="55" t="n">
        <f aca="false">AD3389+ROW()*0.000000001</f>
        <v>-0.365418777585873</v>
      </c>
      <c r="AG3389" s="55" t="n">
        <f aca="false">AE3389+ROW()*0.000000001</f>
        <v>47.7318062033275</v>
      </c>
    </row>
    <row r="3390" customFormat="false" ht="15" hidden="false" customHeight="false" outlineLevel="0" collapsed="false">
      <c r="A3390" s="0" t="n">
        <v>4</v>
      </c>
      <c r="B3390" s="0" t="n">
        <v>5</v>
      </c>
      <c r="C3390" s="0" t="n">
        <v>7</v>
      </c>
      <c r="D3390" s="0" t="n">
        <v>1</v>
      </c>
      <c r="E3390" s="0" t="n">
        <f aca="false">-1+A3390*0.25</f>
        <v>0</v>
      </c>
      <c r="F3390" s="0" t="n">
        <f aca="false">-1+B3390*0.25</f>
        <v>0.25</v>
      </c>
      <c r="G3390" s="0" t="n">
        <f aca="false">-1+C3390*0.25</f>
        <v>0.75</v>
      </c>
      <c r="H3390" s="0" t="n">
        <f aca="false">-1+D3390*0.25</f>
        <v>-0.75</v>
      </c>
      <c r="I3390" s="0" t="n">
        <f aca="false">1</f>
        <v>1</v>
      </c>
      <c r="J3390" s="0" t="n">
        <f aca="false">E3390</f>
        <v>0</v>
      </c>
      <c r="K3390" s="0" t="n">
        <f aca="false">F3390</f>
        <v>0.25</v>
      </c>
      <c r="L3390" s="0" t="n">
        <f aca="false">G3390</f>
        <v>0.75</v>
      </c>
      <c r="M3390" s="0" t="n">
        <f aca="false">H3390</f>
        <v>-0.75</v>
      </c>
      <c r="N3390" s="0" t="n">
        <f aca="false">E3390*F3390</f>
        <v>0</v>
      </c>
      <c r="O3390" s="0" t="n">
        <f aca="false">E3390*G3390</f>
        <v>0</v>
      </c>
      <c r="P3390" s="0" t="n">
        <f aca="false">E3390*H3390</f>
        <v>-0</v>
      </c>
      <c r="Q3390" s="0" t="n">
        <f aca="false">F3390*G3390</f>
        <v>0.1875</v>
      </c>
      <c r="R3390" s="0" t="n">
        <f aca="false">F3390*H3390</f>
        <v>-0.1875</v>
      </c>
      <c r="S3390" s="0" t="n">
        <f aca="false">G3390*H3390</f>
        <v>-0.5625</v>
      </c>
      <c r="T3390" s="0" t="n">
        <f aca="false">E3390*E3390</f>
        <v>0</v>
      </c>
      <c r="U3390" s="0" t="n">
        <f aca="false">F3390*F3390</f>
        <v>0.0625</v>
      </c>
      <c r="V3390" s="0" t="n">
        <f aca="false">G3390*G3390</f>
        <v>0.5625</v>
      </c>
      <c r="W3390" s="0" t="n">
        <f aca="false">H3390*H3390</f>
        <v>0.5625</v>
      </c>
      <c r="X3390" s="0" t="n">
        <f aca="false">SUMPRODUCT(I3390:W3390,_XtX!$B$96:$P$96)</f>
        <v>48.0411412646198</v>
      </c>
      <c r="Y3390" s="0" t="n">
        <f aca="false">SUMPRODUCT(MMULT(I3390:W3390,_XtX!$B$78:$P$92),I3390:W3390)</f>
        <v>0.281685455500731</v>
      </c>
      <c r="Z3390" s="0" t="n">
        <f aca="false">04_回帰ANOVA!$K$19*04_回帰ANOVA!$K$14*SQRT(1+Y3390)</f>
        <v>1.47566956658694</v>
      </c>
      <c r="AA3390" s="0" t="n">
        <f aca="false">X3390-Z3390</f>
        <v>46.5654716980329</v>
      </c>
      <c r="AB3390" s="0" t="n">
        <f aca="false">X3390+Z3390</f>
        <v>49.5168108312068</v>
      </c>
      <c r="AC3390" s="54" t="b">
        <f aca="false">AND(E3390&gt;=01_因子設定!$L$5-0.000000001,E3390&lt;=01_因子設定!$M$5+0.000000001,F3390&gt;=01_因子設定!$L$6-0.000000001,F3390&lt;=01_因子設定!$M$6+0.000000001,G3390&gt;=01_因子設定!$L$7-0.000000001,G3390&lt;=01_因子設定!$M$7+0.000000001,H3390&gt;=01_因子設定!$L$8-0.000000001,H3390&lt;=01_因子設定!$M$8+0.000000001,IF(01_因子設定!$B$20="Box-Behnken",E3390^2+F3390^2+G3390^2+H3390^2&lt;=2+0.000000001,TRUE()))</f>
        <v>1</v>
      </c>
      <c r="AD3390" s="55" t="n">
        <f aca="false">IF(AC3390,IF(01_因子設定!$B$13="最大化",AA3390-01_因子設定!$B$14,IF(01_因子設定!$B$13="最小化",01_因子設定!$B$15-AB3390,MIN(AA3390-01_因子設定!$B$14,01_因子設定!$B$15-AB3390))),-1E+030)</f>
        <v>0.0654716980329013</v>
      </c>
      <c r="AE3390" s="55" t="n">
        <f aca="false">IF(AC3390,IF(01_因子設定!$B$13="最大化",X3390,IF(01_因子設定!$B$13="最小化",-X3390,-ABS(X3390-01_因子設定!$B$16))),-1E+030)</f>
        <v>48.0411412646198</v>
      </c>
      <c r="AF3390" s="55" t="n">
        <f aca="false">AD3390+ROW()*0.000000001</f>
        <v>0.0654750880329013</v>
      </c>
      <c r="AG3390" s="55" t="n">
        <f aca="false">AE3390+ROW()*0.000000001</f>
        <v>48.0411446546198</v>
      </c>
    </row>
    <row r="3391" customFormat="false" ht="15" hidden="false" customHeight="false" outlineLevel="0" collapsed="false">
      <c r="A3391" s="0" t="n">
        <v>4</v>
      </c>
      <c r="B3391" s="0" t="n">
        <v>5</v>
      </c>
      <c r="C3391" s="0" t="n">
        <v>7</v>
      </c>
      <c r="D3391" s="0" t="n">
        <v>2</v>
      </c>
      <c r="E3391" s="0" t="n">
        <f aca="false">-1+A3391*0.25</f>
        <v>0</v>
      </c>
      <c r="F3391" s="0" t="n">
        <f aca="false">-1+B3391*0.25</f>
        <v>0.25</v>
      </c>
      <c r="G3391" s="0" t="n">
        <f aca="false">-1+C3391*0.25</f>
        <v>0.75</v>
      </c>
      <c r="H3391" s="0" t="n">
        <f aca="false">-1+D3391*0.25</f>
        <v>-0.5</v>
      </c>
      <c r="I3391" s="0" t="n">
        <f aca="false">1</f>
        <v>1</v>
      </c>
      <c r="J3391" s="0" t="n">
        <f aca="false">E3391</f>
        <v>0</v>
      </c>
      <c r="K3391" s="0" t="n">
        <f aca="false">F3391</f>
        <v>0.25</v>
      </c>
      <c r="L3391" s="0" t="n">
        <f aca="false">G3391</f>
        <v>0.75</v>
      </c>
      <c r="M3391" s="0" t="n">
        <f aca="false">H3391</f>
        <v>-0.5</v>
      </c>
      <c r="N3391" s="0" t="n">
        <f aca="false">E3391*F3391</f>
        <v>0</v>
      </c>
      <c r="O3391" s="0" t="n">
        <f aca="false">E3391*G3391</f>
        <v>0</v>
      </c>
      <c r="P3391" s="0" t="n">
        <f aca="false">E3391*H3391</f>
        <v>-0</v>
      </c>
      <c r="Q3391" s="0" t="n">
        <f aca="false">F3391*G3391</f>
        <v>0.1875</v>
      </c>
      <c r="R3391" s="0" t="n">
        <f aca="false">F3391*H3391</f>
        <v>-0.125</v>
      </c>
      <c r="S3391" s="0" t="n">
        <f aca="false">G3391*H3391</f>
        <v>-0.375</v>
      </c>
      <c r="T3391" s="0" t="n">
        <f aca="false">E3391*E3391</f>
        <v>0</v>
      </c>
      <c r="U3391" s="0" t="n">
        <f aca="false">F3391*F3391</f>
        <v>0.0625</v>
      </c>
      <c r="V3391" s="0" t="n">
        <f aca="false">G3391*G3391</f>
        <v>0.5625</v>
      </c>
      <c r="W3391" s="0" t="n">
        <f aca="false">H3391*H3391</f>
        <v>0.25</v>
      </c>
      <c r="X3391" s="0" t="n">
        <f aca="false">SUMPRODUCT(I3391:W3391,_XtX!$B$96:$P$96)</f>
        <v>48.3026726973684</v>
      </c>
      <c r="Y3391" s="0" t="n">
        <f aca="false">SUMPRODUCT(MMULT(I3391:W3391,_XtX!$B$78:$P$92),I3391:W3391)</f>
        <v>0.215110734192252</v>
      </c>
      <c r="Z3391" s="0" t="n">
        <f aca="false">04_回帰ANOVA!$K$19*04_回帰ANOVA!$K$14*SQRT(1+Y3391)</f>
        <v>1.43683309086864</v>
      </c>
      <c r="AA3391" s="0" t="n">
        <f aca="false">X3391-Z3391</f>
        <v>46.8658396064997</v>
      </c>
      <c r="AB3391" s="0" t="n">
        <f aca="false">X3391+Z3391</f>
        <v>49.739505788237</v>
      </c>
      <c r="AC3391" s="54" t="b">
        <f aca="false">AND(E3391&gt;=01_因子設定!$L$5-0.000000001,E3391&lt;=01_因子設定!$M$5+0.000000001,F3391&gt;=01_因子設定!$L$6-0.000000001,F3391&lt;=01_因子設定!$M$6+0.000000001,G3391&gt;=01_因子設定!$L$7-0.000000001,G3391&lt;=01_因子設定!$M$7+0.000000001,H3391&gt;=01_因子設定!$L$8-0.000000001,H3391&lt;=01_因子設定!$M$8+0.000000001,IF(01_因子設定!$B$20="Box-Behnken",E3391^2+F3391^2+G3391^2+H3391^2&lt;=2+0.000000001,TRUE()))</f>
        <v>1</v>
      </c>
      <c r="AD3391" s="55" t="n">
        <f aca="false">IF(AC3391,IF(01_因子設定!$B$13="最大化",AA3391-01_因子設定!$B$14,IF(01_因子設定!$B$13="最小化",01_因子設定!$B$15-AB3391,MIN(AA3391-01_因子設定!$B$14,01_因子設定!$B$15-AB3391))),-1E+030)</f>
        <v>0.365839606499719</v>
      </c>
      <c r="AE3391" s="55" t="n">
        <f aca="false">IF(AC3391,IF(01_因子設定!$B$13="最大化",X3391,IF(01_因子設定!$B$13="最小化",-X3391,-ABS(X3391-01_因子設定!$B$16))),-1E+030)</f>
        <v>48.3026726973684</v>
      </c>
      <c r="AF3391" s="55" t="n">
        <f aca="false">AD3391+ROW()*0.000000001</f>
        <v>0.365842997499719</v>
      </c>
      <c r="AG3391" s="55" t="n">
        <f aca="false">AE3391+ROW()*0.000000001</f>
        <v>48.3026760883684</v>
      </c>
    </row>
    <row r="3392" customFormat="false" ht="15" hidden="false" customHeight="false" outlineLevel="0" collapsed="false">
      <c r="A3392" s="0" t="n">
        <v>4</v>
      </c>
      <c r="B3392" s="0" t="n">
        <v>5</v>
      </c>
      <c r="C3392" s="0" t="n">
        <v>7</v>
      </c>
      <c r="D3392" s="0" t="n">
        <v>3</v>
      </c>
      <c r="E3392" s="0" t="n">
        <f aca="false">-1+A3392*0.25</f>
        <v>0</v>
      </c>
      <c r="F3392" s="0" t="n">
        <f aca="false">-1+B3392*0.25</f>
        <v>0.25</v>
      </c>
      <c r="G3392" s="0" t="n">
        <f aca="false">-1+C3392*0.25</f>
        <v>0.75</v>
      </c>
      <c r="H3392" s="0" t="n">
        <f aca="false">-1+D3392*0.25</f>
        <v>-0.25</v>
      </c>
      <c r="I3392" s="0" t="n">
        <f aca="false">1</f>
        <v>1</v>
      </c>
      <c r="J3392" s="0" t="n">
        <f aca="false">E3392</f>
        <v>0</v>
      </c>
      <c r="K3392" s="0" t="n">
        <f aca="false">F3392</f>
        <v>0.25</v>
      </c>
      <c r="L3392" s="0" t="n">
        <f aca="false">G3392</f>
        <v>0.75</v>
      </c>
      <c r="M3392" s="0" t="n">
        <f aca="false">H3392</f>
        <v>-0.25</v>
      </c>
      <c r="N3392" s="0" t="n">
        <f aca="false">E3392*F3392</f>
        <v>0</v>
      </c>
      <c r="O3392" s="0" t="n">
        <f aca="false">E3392*G3392</f>
        <v>0</v>
      </c>
      <c r="P3392" s="0" t="n">
        <f aca="false">E3392*H3392</f>
        <v>-0</v>
      </c>
      <c r="Q3392" s="0" t="n">
        <f aca="false">F3392*G3392</f>
        <v>0.1875</v>
      </c>
      <c r="R3392" s="0" t="n">
        <f aca="false">F3392*H3392</f>
        <v>-0.0625</v>
      </c>
      <c r="S3392" s="0" t="n">
        <f aca="false">G3392*H3392</f>
        <v>-0.1875</v>
      </c>
      <c r="T3392" s="0" t="n">
        <f aca="false">E3392*E3392</f>
        <v>0</v>
      </c>
      <c r="U3392" s="0" t="n">
        <f aca="false">F3392*F3392</f>
        <v>0.0625</v>
      </c>
      <c r="V3392" s="0" t="n">
        <f aca="false">G3392*G3392</f>
        <v>0.5625</v>
      </c>
      <c r="W3392" s="0" t="n">
        <f aca="false">H3392*H3392</f>
        <v>0.0625</v>
      </c>
      <c r="X3392" s="0" t="n">
        <f aca="false">SUMPRODUCT(I3392:W3392,_XtX!$B$96:$P$96)</f>
        <v>48.516397112573</v>
      </c>
      <c r="Y3392" s="0" t="n">
        <f aca="false">SUMPRODUCT(MMULT(I3392:W3392,_XtX!$B$78:$P$92),I3392:W3392)</f>
        <v>0.21135011193348</v>
      </c>
      <c r="Z3392" s="0" t="n">
        <f aca="false">04_回帰ANOVA!$K$19*04_回帰ANOVA!$K$14*SQRT(1+Y3392)</f>
        <v>1.43460795469709</v>
      </c>
      <c r="AA3392" s="0" t="n">
        <f aca="false">X3392-Z3392</f>
        <v>47.081789157876</v>
      </c>
      <c r="AB3392" s="0" t="n">
        <f aca="false">X3392+Z3392</f>
        <v>49.9510050672701</v>
      </c>
      <c r="AC3392" s="54" t="b">
        <f aca="false">AND(E3392&gt;=01_因子設定!$L$5-0.000000001,E3392&lt;=01_因子設定!$M$5+0.000000001,F3392&gt;=01_因子設定!$L$6-0.000000001,F3392&lt;=01_因子設定!$M$6+0.000000001,G3392&gt;=01_因子設定!$L$7-0.000000001,G3392&lt;=01_因子設定!$M$7+0.000000001,H3392&gt;=01_因子設定!$L$8-0.000000001,H3392&lt;=01_因子設定!$M$8+0.000000001,IF(01_因子設定!$B$20="Box-Behnken",E3392^2+F3392^2+G3392^2+H3392^2&lt;=2+0.000000001,TRUE()))</f>
        <v>1</v>
      </c>
      <c r="AD3392" s="55" t="n">
        <f aca="false">IF(AC3392,IF(01_因子設定!$B$13="最大化",AA3392-01_因子設定!$B$14,IF(01_因子設定!$B$13="最小化",01_因子設定!$B$15-AB3392,MIN(AA3392-01_因子設定!$B$14,01_因子設定!$B$15-AB3392))),-1E+030)</f>
        <v>0.581789157875953</v>
      </c>
      <c r="AE3392" s="55" t="n">
        <f aca="false">IF(AC3392,IF(01_因子設定!$B$13="最大化",X3392,IF(01_因子設定!$B$13="最小化",-X3392,-ABS(X3392-01_因子設定!$B$16))),-1E+030)</f>
        <v>48.516397112573</v>
      </c>
      <c r="AF3392" s="55" t="n">
        <f aca="false">AD3392+ROW()*0.000000001</f>
        <v>0.581792549875953</v>
      </c>
      <c r="AG3392" s="55" t="n">
        <f aca="false">AE3392+ROW()*0.000000001</f>
        <v>48.516400504573</v>
      </c>
    </row>
    <row r="3393" customFormat="false" ht="15" hidden="false" customHeight="false" outlineLevel="0" collapsed="false">
      <c r="A3393" s="0" t="n">
        <v>4</v>
      </c>
      <c r="B3393" s="0" t="n">
        <v>5</v>
      </c>
      <c r="C3393" s="0" t="n">
        <v>7</v>
      </c>
      <c r="D3393" s="0" t="n">
        <v>4</v>
      </c>
      <c r="E3393" s="0" t="n">
        <f aca="false">-1+A3393*0.25</f>
        <v>0</v>
      </c>
      <c r="F3393" s="0" t="n">
        <f aca="false">-1+B3393*0.25</f>
        <v>0.25</v>
      </c>
      <c r="G3393" s="0" t="n">
        <f aca="false">-1+C3393*0.25</f>
        <v>0.75</v>
      </c>
      <c r="H3393" s="0" t="n">
        <f aca="false">-1+D3393*0.25</f>
        <v>0</v>
      </c>
      <c r="I3393" s="0" t="n">
        <f aca="false">1</f>
        <v>1</v>
      </c>
      <c r="J3393" s="0" t="n">
        <f aca="false">E3393</f>
        <v>0</v>
      </c>
      <c r="K3393" s="0" t="n">
        <f aca="false">F3393</f>
        <v>0.25</v>
      </c>
      <c r="L3393" s="0" t="n">
        <f aca="false">G3393</f>
        <v>0.75</v>
      </c>
      <c r="M3393" s="0" t="n">
        <f aca="false">H3393</f>
        <v>0</v>
      </c>
      <c r="N3393" s="0" t="n">
        <f aca="false">E3393*F3393</f>
        <v>0</v>
      </c>
      <c r="O3393" s="0" t="n">
        <f aca="false">E3393*G3393</f>
        <v>0</v>
      </c>
      <c r="P3393" s="0" t="n">
        <f aca="false">E3393*H3393</f>
        <v>0</v>
      </c>
      <c r="Q3393" s="0" t="n">
        <f aca="false">F3393*G3393</f>
        <v>0.1875</v>
      </c>
      <c r="R3393" s="0" t="n">
        <f aca="false">F3393*H3393</f>
        <v>0</v>
      </c>
      <c r="S3393" s="0" t="n">
        <f aca="false">G3393*H3393</f>
        <v>0</v>
      </c>
      <c r="T3393" s="0" t="n">
        <f aca="false">E3393*E3393</f>
        <v>0</v>
      </c>
      <c r="U3393" s="0" t="n">
        <f aca="false">F3393*F3393</f>
        <v>0.0625</v>
      </c>
      <c r="V3393" s="0" t="n">
        <f aca="false">G3393*G3393</f>
        <v>0.5625</v>
      </c>
      <c r="W3393" s="0" t="n">
        <f aca="false">H3393*H3393</f>
        <v>0</v>
      </c>
      <c r="X3393" s="0" t="n">
        <f aca="false">SUMPRODUCT(I3393:W3393,_XtX!$B$96:$P$96)</f>
        <v>48.6823145102339</v>
      </c>
      <c r="Y3393" s="0" t="n">
        <f aca="false">SUMPRODUCT(MMULT(I3393:W3393,_XtX!$B$78:$P$92),I3393:W3393)</f>
        <v>0.216127272934942</v>
      </c>
      <c r="Z3393" s="0" t="n">
        <f aca="false">04_回帰ANOVA!$K$19*04_回帰ANOVA!$K$14*SQRT(1+Y3393)</f>
        <v>1.43743397896608</v>
      </c>
      <c r="AA3393" s="0" t="n">
        <f aca="false">X3393-Z3393</f>
        <v>47.2448805312678</v>
      </c>
      <c r="AB3393" s="0" t="n">
        <f aca="false">X3393+Z3393</f>
        <v>50.1197484891999</v>
      </c>
      <c r="AC3393" s="54" t="b">
        <f aca="false">AND(E3393&gt;=01_因子設定!$L$5-0.000000001,E3393&lt;=01_因子設定!$M$5+0.000000001,F3393&gt;=01_因子設定!$L$6-0.000000001,F3393&lt;=01_因子設定!$M$6+0.000000001,G3393&gt;=01_因子設定!$L$7-0.000000001,G3393&lt;=01_因子設定!$M$7+0.000000001,H3393&gt;=01_因子設定!$L$8-0.000000001,H3393&lt;=01_因子設定!$M$8+0.000000001,IF(01_因子設定!$B$20="Box-Behnken",E3393^2+F3393^2+G3393^2+H3393^2&lt;=2+0.000000001,TRUE()))</f>
        <v>1</v>
      </c>
      <c r="AD3393" s="55" t="n">
        <f aca="false">IF(AC3393,IF(01_因子設定!$B$13="最大化",AA3393-01_因子設定!$B$14,IF(01_因子設定!$B$13="最小化",01_因子設定!$B$15-AB3393,MIN(AA3393-01_因子設定!$B$14,01_因子設定!$B$15-AB3393))),-1E+030)</f>
        <v>0.744880531267775</v>
      </c>
      <c r="AE3393" s="55" t="n">
        <f aca="false">IF(AC3393,IF(01_因子設定!$B$13="最大化",X3393,IF(01_因子設定!$B$13="最小化",-X3393,-ABS(X3393-01_因子設定!$B$16))),-1E+030)</f>
        <v>48.6823145102339</v>
      </c>
      <c r="AF3393" s="55" t="n">
        <f aca="false">AD3393+ROW()*0.000000001</f>
        <v>0.744883924267775</v>
      </c>
      <c r="AG3393" s="55" t="n">
        <f aca="false">AE3393+ROW()*0.000000001</f>
        <v>48.6823179032339</v>
      </c>
    </row>
    <row r="3394" customFormat="false" ht="15" hidden="false" customHeight="false" outlineLevel="0" collapsed="false">
      <c r="A3394" s="0" t="n">
        <v>4</v>
      </c>
      <c r="B3394" s="0" t="n">
        <v>5</v>
      </c>
      <c r="C3394" s="0" t="n">
        <v>7</v>
      </c>
      <c r="D3394" s="0" t="n">
        <v>5</v>
      </c>
      <c r="E3394" s="0" t="n">
        <f aca="false">-1+A3394*0.25</f>
        <v>0</v>
      </c>
      <c r="F3394" s="0" t="n">
        <f aca="false">-1+B3394*0.25</f>
        <v>0.25</v>
      </c>
      <c r="G3394" s="0" t="n">
        <f aca="false">-1+C3394*0.25</f>
        <v>0.75</v>
      </c>
      <c r="H3394" s="0" t="n">
        <f aca="false">-1+D3394*0.25</f>
        <v>0.25</v>
      </c>
      <c r="I3394" s="0" t="n">
        <f aca="false">1</f>
        <v>1</v>
      </c>
      <c r="J3394" s="0" t="n">
        <f aca="false">E3394</f>
        <v>0</v>
      </c>
      <c r="K3394" s="0" t="n">
        <f aca="false">F3394</f>
        <v>0.25</v>
      </c>
      <c r="L3394" s="0" t="n">
        <f aca="false">G3394</f>
        <v>0.75</v>
      </c>
      <c r="M3394" s="0" t="n">
        <f aca="false">H3394</f>
        <v>0.25</v>
      </c>
      <c r="N3394" s="0" t="n">
        <f aca="false">E3394*F3394</f>
        <v>0</v>
      </c>
      <c r="O3394" s="0" t="n">
        <f aca="false">E3394*G3394</f>
        <v>0</v>
      </c>
      <c r="P3394" s="0" t="n">
        <f aca="false">E3394*H3394</f>
        <v>0</v>
      </c>
      <c r="Q3394" s="0" t="n">
        <f aca="false">F3394*G3394</f>
        <v>0.1875</v>
      </c>
      <c r="R3394" s="0" t="n">
        <f aca="false">F3394*H3394</f>
        <v>0.0625</v>
      </c>
      <c r="S3394" s="0" t="n">
        <f aca="false">G3394*H3394</f>
        <v>0.1875</v>
      </c>
      <c r="T3394" s="0" t="n">
        <f aca="false">E3394*E3394</f>
        <v>0</v>
      </c>
      <c r="U3394" s="0" t="n">
        <f aca="false">F3394*F3394</f>
        <v>0.0625</v>
      </c>
      <c r="V3394" s="0" t="n">
        <f aca="false">G3394*G3394</f>
        <v>0.5625</v>
      </c>
      <c r="W3394" s="0" t="n">
        <f aca="false">H3394*H3394</f>
        <v>0.0625</v>
      </c>
      <c r="X3394" s="0" t="n">
        <f aca="false">SUMPRODUCT(I3394:W3394,_XtX!$B$96:$P$96)</f>
        <v>48.8004248903508</v>
      </c>
      <c r="Y3394" s="0" t="n">
        <f aca="false">SUMPRODUCT(MMULT(I3394:W3394,_XtX!$B$78:$P$92),I3394:W3394)</f>
        <v>0.21135011193348</v>
      </c>
      <c r="Z3394" s="0" t="n">
        <f aca="false">04_回帰ANOVA!$K$19*04_回帰ANOVA!$K$14*SQRT(1+Y3394)</f>
        <v>1.43460795469709</v>
      </c>
      <c r="AA3394" s="0" t="n">
        <f aca="false">X3394-Z3394</f>
        <v>47.3658169356537</v>
      </c>
      <c r="AB3394" s="0" t="n">
        <f aca="false">X3394+Z3394</f>
        <v>50.2350328450479</v>
      </c>
      <c r="AC3394" s="54" t="b">
        <f aca="false">AND(E3394&gt;=01_因子設定!$L$5-0.000000001,E3394&lt;=01_因子設定!$M$5+0.000000001,F3394&gt;=01_因子設定!$L$6-0.000000001,F3394&lt;=01_因子設定!$M$6+0.000000001,G3394&gt;=01_因子設定!$L$7-0.000000001,G3394&lt;=01_因子設定!$M$7+0.000000001,H3394&gt;=01_因子設定!$L$8-0.000000001,H3394&lt;=01_因子設定!$M$8+0.000000001,IF(01_因子設定!$B$20="Box-Behnken",E3394^2+F3394^2+G3394^2+H3394^2&lt;=2+0.000000001,TRUE()))</f>
        <v>1</v>
      </c>
      <c r="AD3394" s="55" t="n">
        <f aca="false">IF(AC3394,IF(01_因子設定!$B$13="最大化",AA3394-01_因子設定!$B$14,IF(01_因子設定!$B$13="最小化",01_因子設定!$B$15-AB3394,MIN(AA3394-01_因子設定!$B$14,01_因子設定!$B$15-AB3394))),-1E+030)</f>
        <v>0.865816935653733</v>
      </c>
      <c r="AE3394" s="55" t="n">
        <f aca="false">IF(AC3394,IF(01_因子設定!$B$13="最大化",X3394,IF(01_因子設定!$B$13="最小化",-X3394,-ABS(X3394-01_因子設定!$B$16))),-1E+030)</f>
        <v>48.8004248903508</v>
      </c>
      <c r="AF3394" s="55" t="n">
        <f aca="false">AD3394+ROW()*0.000000001</f>
        <v>0.865820329653733</v>
      </c>
      <c r="AG3394" s="55" t="n">
        <f aca="false">AE3394+ROW()*0.000000001</f>
        <v>48.8004282843508</v>
      </c>
    </row>
    <row r="3395" customFormat="false" ht="15" hidden="false" customHeight="false" outlineLevel="0" collapsed="false">
      <c r="A3395" s="0" t="n">
        <v>4</v>
      </c>
      <c r="B3395" s="0" t="n">
        <v>5</v>
      </c>
      <c r="C3395" s="0" t="n">
        <v>7</v>
      </c>
      <c r="D3395" s="0" t="n">
        <v>6</v>
      </c>
      <c r="E3395" s="0" t="n">
        <f aca="false">-1+A3395*0.25</f>
        <v>0</v>
      </c>
      <c r="F3395" s="0" t="n">
        <f aca="false">-1+B3395*0.25</f>
        <v>0.25</v>
      </c>
      <c r="G3395" s="0" t="n">
        <f aca="false">-1+C3395*0.25</f>
        <v>0.75</v>
      </c>
      <c r="H3395" s="0" t="n">
        <f aca="false">-1+D3395*0.25</f>
        <v>0.5</v>
      </c>
      <c r="I3395" s="0" t="n">
        <f aca="false">1</f>
        <v>1</v>
      </c>
      <c r="J3395" s="0" t="n">
        <f aca="false">E3395</f>
        <v>0</v>
      </c>
      <c r="K3395" s="0" t="n">
        <f aca="false">F3395</f>
        <v>0.25</v>
      </c>
      <c r="L3395" s="0" t="n">
        <f aca="false">G3395</f>
        <v>0.75</v>
      </c>
      <c r="M3395" s="0" t="n">
        <f aca="false">H3395</f>
        <v>0.5</v>
      </c>
      <c r="N3395" s="0" t="n">
        <f aca="false">E3395*F3395</f>
        <v>0</v>
      </c>
      <c r="O3395" s="0" t="n">
        <f aca="false">E3395*G3395</f>
        <v>0</v>
      </c>
      <c r="P3395" s="0" t="n">
        <f aca="false">E3395*H3395</f>
        <v>0</v>
      </c>
      <c r="Q3395" s="0" t="n">
        <f aca="false">F3395*G3395</f>
        <v>0.1875</v>
      </c>
      <c r="R3395" s="0" t="n">
        <f aca="false">F3395*H3395</f>
        <v>0.125</v>
      </c>
      <c r="S3395" s="0" t="n">
        <f aca="false">G3395*H3395</f>
        <v>0.375</v>
      </c>
      <c r="T3395" s="0" t="n">
        <f aca="false">E3395*E3395</f>
        <v>0</v>
      </c>
      <c r="U3395" s="0" t="n">
        <f aca="false">F3395*F3395</f>
        <v>0.0625</v>
      </c>
      <c r="V3395" s="0" t="n">
        <f aca="false">G3395*G3395</f>
        <v>0.5625</v>
      </c>
      <c r="W3395" s="0" t="n">
        <f aca="false">H3395*H3395</f>
        <v>0.25</v>
      </c>
      <c r="X3395" s="0" t="n">
        <f aca="false">SUMPRODUCT(I3395:W3395,_XtX!$B$96:$P$96)</f>
        <v>48.8707282529239</v>
      </c>
      <c r="Y3395" s="0" t="n">
        <f aca="false">SUMPRODUCT(MMULT(I3395:W3395,_XtX!$B$78:$P$92),I3395:W3395)</f>
        <v>0.215110734192252</v>
      </c>
      <c r="Z3395" s="0" t="n">
        <f aca="false">04_回帰ANOVA!$K$19*04_回帰ANOVA!$K$14*SQRT(1+Y3395)</f>
        <v>1.43683309086864</v>
      </c>
      <c r="AA3395" s="0" t="n">
        <f aca="false">X3395-Z3395</f>
        <v>47.4338951620553</v>
      </c>
      <c r="AB3395" s="0" t="n">
        <f aca="false">X3395+Z3395</f>
        <v>50.3075613437926</v>
      </c>
      <c r="AC3395" s="54" t="b">
        <f aca="false">AND(E3395&gt;=01_因子設定!$L$5-0.000000001,E3395&lt;=01_因子設定!$M$5+0.000000001,F3395&gt;=01_因子設定!$L$6-0.000000001,F3395&lt;=01_因子設定!$M$6+0.000000001,G3395&gt;=01_因子設定!$L$7-0.000000001,G3395&lt;=01_因子設定!$M$7+0.000000001,H3395&gt;=01_因子設定!$L$8-0.000000001,H3395&lt;=01_因子設定!$M$8+0.000000001,IF(01_因子設定!$B$20="Box-Behnken",E3395^2+F3395^2+G3395^2+H3395^2&lt;=2+0.000000001,TRUE()))</f>
        <v>1</v>
      </c>
      <c r="AD3395" s="55" t="n">
        <f aca="false">IF(AC3395,IF(01_因子設定!$B$13="最大化",AA3395-01_因子設定!$B$14,IF(01_因子設定!$B$13="最小化",01_因子設定!$B$15-AB3395,MIN(AA3395-01_因子設定!$B$14,01_因子設定!$B$15-AB3395))),-1E+030)</f>
        <v>0.933895162055272</v>
      </c>
      <c r="AE3395" s="55" t="n">
        <f aca="false">IF(AC3395,IF(01_因子設定!$B$13="最大化",X3395,IF(01_因子設定!$B$13="最小化",-X3395,-ABS(X3395-01_因子設定!$B$16))),-1E+030)</f>
        <v>48.8707282529239</v>
      </c>
      <c r="AF3395" s="55" t="n">
        <f aca="false">AD3395+ROW()*0.000000001</f>
        <v>0.933898557055272</v>
      </c>
      <c r="AG3395" s="55" t="n">
        <f aca="false">AE3395+ROW()*0.000000001</f>
        <v>48.8707316479239</v>
      </c>
    </row>
    <row r="3396" customFormat="false" ht="15" hidden="false" customHeight="false" outlineLevel="0" collapsed="false">
      <c r="A3396" s="0" t="n">
        <v>4</v>
      </c>
      <c r="B3396" s="0" t="n">
        <v>5</v>
      </c>
      <c r="C3396" s="0" t="n">
        <v>7</v>
      </c>
      <c r="D3396" s="0" t="n">
        <v>7</v>
      </c>
      <c r="E3396" s="0" t="n">
        <f aca="false">-1+A3396*0.25</f>
        <v>0</v>
      </c>
      <c r="F3396" s="0" t="n">
        <f aca="false">-1+B3396*0.25</f>
        <v>0.25</v>
      </c>
      <c r="G3396" s="0" t="n">
        <f aca="false">-1+C3396*0.25</f>
        <v>0.75</v>
      </c>
      <c r="H3396" s="0" t="n">
        <f aca="false">-1+D3396*0.25</f>
        <v>0.75</v>
      </c>
      <c r="I3396" s="0" t="n">
        <f aca="false">1</f>
        <v>1</v>
      </c>
      <c r="J3396" s="0" t="n">
        <f aca="false">E3396</f>
        <v>0</v>
      </c>
      <c r="K3396" s="0" t="n">
        <f aca="false">F3396</f>
        <v>0.25</v>
      </c>
      <c r="L3396" s="0" t="n">
        <f aca="false">G3396</f>
        <v>0.75</v>
      </c>
      <c r="M3396" s="0" t="n">
        <f aca="false">H3396</f>
        <v>0.75</v>
      </c>
      <c r="N3396" s="0" t="n">
        <f aca="false">E3396*F3396</f>
        <v>0</v>
      </c>
      <c r="O3396" s="0" t="n">
        <f aca="false">E3396*G3396</f>
        <v>0</v>
      </c>
      <c r="P3396" s="0" t="n">
        <f aca="false">E3396*H3396</f>
        <v>0</v>
      </c>
      <c r="Q3396" s="0" t="n">
        <f aca="false">F3396*G3396</f>
        <v>0.1875</v>
      </c>
      <c r="R3396" s="0" t="n">
        <f aca="false">F3396*H3396</f>
        <v>0.1875</v>
      </c>
      <c r="S3396" s="0" t="n">
        <f aca="false">G3396*H3396</f>
        <v>0.5625</v>
      </c>
      <c r="T3396" s="0" t="n">
        <f aca="false">E3396*E3396</f>
        <v>0</v>
      </c>
      <c r="U3396" s="0" t="n">
        <f aca="false">F3396*F3396</f>
        <v>0.0625</v>
      </c>
      <c r="V3396" s="0" t="n">
        <f aca="false">G3396*G3396</f>
        <v>0.5625</v>
      </c>
      <c r="W3396" s="0" t="n">
        <f aca="false">H3396*H3396</f>
        <v>0.5625</v>
      </c>
      <c r="X3396" s="0" t="n">
        <f aca="false">SUMPRODUCT(I3396:W3396,_XtX!$B$96:$P$96)</f>
        <v>48.8932245979532</v>
      </c>
      <c r="Y3396" s="0" t="n">
        <f aca="false">SUMPRODUCT(MMULT(I3396:W3396,_XtX!$B$78:$P$92),I3396:W3396)</f>
        <v>0.281685455500731</v>
      </c>
      <c r="Z3396" s="0" t="n">
        <f aca="false">04_回帰ANOVA!$K$19*04_回帰ANOVA!$K$14*SQRT(1+Y3396)</f>
        <v>1.47566956658694</v>
      </c>
      <c r="AA3396" s="0" t="n">
        <f aca="false">X3396-Z3396</f>
        <v>47.4175550313662</v>
      </c>
      <c r="AB3396" s="0" t="n">
        <f aca="false">X3396+Z3396</f>
        <v>50.3688941645401</v>
      </c>
      <c r="AC3396" s="54" t="b">
        <f aca="false">AND(E3396&gt;=01_因子設定!$L$5-0.000000001,E3396&lt;=01_因子設定!$M$5+0.000000001,F3396&gt;=01_因子設定!$L$6-0.000000001,F3396&lt;=01_因子設定!$M$6+0.000000001,G3396&gt;=01_因子設定!$L$7-0.000000001,G3396&lt;=01_因子設定!$M$7+0.000000001,H3396&gt;=01_因子設定!$L$8-0.000000001,H3396&lt;=01_因子設定!$M$8+0.000000001,IF(01_因子設定!$B$20="Box-Behnken",E3396^2+F3396^2+G3396^2+H3396^2&lt;=2+0.000000001,TRUE()))</f>
        <v>1</v>
      </c>
      <c r="AD3396" s="55" t="n">
        <f aca="false">IF(AC3396,IF(01_因子設定!$B$13="最大化",AA3396-01_因子設定!$B$14,IF(01_因子設定!$B$13="最小化",01_因子設定!$B$15-AB3396,MIN(AA3396-01_因子設定!$B$14,01_因子設定!$B$15-AB3396))),-1E+030)</f>
        <v>0.917555031366234</v>
      </c>
      <c r="AE3396" s="55" t="n">
        <f aca="false">IF(AC3396,IF(01_因子設定!$B$13="最大化",X3396,IF(01_因子設定!$B$13="最小化",-X3396,-ABS(X3396-01_因子設定!$B$16))),-1E+030)</f>
        <v>48.8932245979532</v>
      </c>
      <c r="AF3396" s="55" t="n">
        <f aca="false">AD3396+ROW()*0.000000001</f>
        <v>0.917558427366234</v>
      </c>
      <c r="AG3396" s="55" t="n">
        <f aca="false">AE3396+ROW()*0.000000001</f>
        <v>48.8932279939532</v>
      </c>
    </row>
    <row r="3397" customFormat="false" ht="15" hidden="false" customHeight="false" outlineLevel="0" collapsed="false">
      <c r="A3397" s="0" t="n">
        <v>4</v>
      </c>
      <c r="B3397" s="0" t="n">
        <v>5</v>
      </c>
      <c r="C3397" s="0" t="n">
        <v>7</v>
      </c>
      <c r="D3397" s="0" t="n">
        <v>8</v>
      </c>
      <c r="E3397" s="0" t="n">
        <f aca="false">-1+A3397*0.25</f>
        <v>0</v>
      </c>
      <c r="F3397" s="0" t="n">
        <f aca="false">-1+B3397*0.25</f>
        <v>0.25</v>
      </c>
      <c r="G3397" s="0" t="n">
        <f aca="false">-1+C3397*0.25</f>
        <v>0.75</v>
      </c>
      <c r="H3397" s="0" t="n">
        <f aca="false">-1+D3397*0.25</f>
        <v>1</v>
      </c>
      <c r="I3397" s="0" t="n">
        <f aca="false">1</f>
        <v>1</v>
      </c>
      <c r="J3397" s="0" t="n">
        <f aca="false">E3397</f>
        <v>0</v>
      </c>
      <c r="K3397" s="0" t="n">
        <f aca="false">F3397</f>
        <v>0.25</v>
      </c>
      <c r="L3397" s="0" t="n">
        <f aca="false">G3397</f>
        <v>0.75</v>
      </c>
      <c r="M3397" s="0" t="n">
        <f aca="false">H3397</f>
        <v>1</v>
      </c>
      <c r="N3397" s="0" t="n">
        <f aca="false">E3397*F3397</f>
        <v>0</v>
      </c>
      <c r="O3397" s="0" t="n">
        <f aca="false">E3397*G3397</f>
        <v>0</v>
      </c>
      <c r="P3397" s="0" t="n">
        <f aca="false">E3397*H3397</f>
        <v>0</v>
      </c>
      <c r="Q3397" s="0" t="n">
        <f aca="false">F3397*G3397</f>
        <v>0.1875</v>
      </c>
      <c r="R3397" s="0" t="n">
        <f aca="false">F3397*H3397</f>
        <v>0.25</v>
      </c>
      <c r="S3397" s="0" t="n">
        <f aca="false">G3397*H3397</f>
        <v>0.75</v>
      </c>
      <c r="T3397" s="0" t="n">
        <f aca="false">E3397*E3397</f>
        <v>0</v>
      </c>
      <c r="U3397" s="0" t="n">
        <f aca="false">F3397*F3397</f>
        <v>0.0625</v>
      </c>
      <c r="V3397" s="0" t="n">
        <f aca="false">G3397*G3397</f>
        <v>0.5625</v>
      </c>
      <c r="W3397" s="0" t="n">
        <f aca="false">H3397*H3397</f>
        <v>1</v>
      </c>
      <c r="X3397" s="0" t="n">
        <f aca="false">SUMPRODUCT(I3397:W3397,_XtX!$B$96:$P$96)</f>
        <v>48.8679139254386</v>
      </c>
      <c r="Y3397" s="0" t="n">
        <f aca="false">SUMPRODUCT(MMULT(I3397:W3397,_XtX!$B$78:$P$92),I3397:W3397)</f>
        <v>0.501534802174708</v>
      </c>
      <c r="Z3397" s="0" t="n">
        <f aca="false">04_回帰ANOVA!$K$19*04_回帰ANOVA!$K$14*SQRT(1+Y3397)</f>
        <v>1.59722498091333</v>
      </c>
      <c r="AA3397" s="0" t="n">
        <f aca="false">X3397-Z3397</f>
        <v>47.2706889445252</v>
      </c>
      <c r="AB3397" s="0" t="n">
        <f aca="false">X3397+Z3397</f>
        <v>50.4651389063519</v>
      </c>
      <c r="AC3397" s="54" t="b">
        <f aca="false">AND(E3397&gt;=01_因子設定!$L$5-0.000000001,E3397&lt;=01_因子設定!$M$5+0.000000001,F3397&gt;=01_因子設定!$L$6-0.000000001,F3397&lt;=01_因子設定!$M$6+0.000000001,G3397&gt;=01_因子設定!$L$7-0.000000001,G3397&lt;=01_因子設定!$M$7+0.000000001,H3397&gt;=01_因子設定!$L$8-0.000000001,H3397&lt;=01_因子設定!$M$8+0.000000001,IF(01_因子設定!$B$20="Box-Behnken",E3397^2+F3397^2+G3397^2+H3397^2&lt;=2+0.000000001,TRUE()))</f>
        <v>1</v>
      </c>
      <c r="AD3397" s="55" t="n">
        <f aca="false">IF(AC3397,IF(01_因子設定!$B$13="最大化",AA3397-01_因子設定!$B$14,IF(01_因子設定!$B$13="最小化",01_因子設定!$B$15-AB3397,MIN(AA3397-01_因子設定!$B$14,01_因子設定!$B$15-AB3397))),-1E+030)</f>
        <v>0.77068894452524</v>
      </c>
      <c r="AE3397" s="55" t="n">
        <f aca="false">IF(AC3397,IF(01_因子設定!$B$13="最大化",X3397,IF(01_因子設定!$B$13="最小化",-X3397,-ABS(X3397-01_因子設定!$B$16))),-1E+030)</f>
        <v>48.8679139254386</v>
      </c>
      <c r="AF3397" s="55" t="n">
        <f aca="false">AD3397+ROW()*0.000000001</f>
        <v>0.77069234152524</v>
      </c>
      <c r="AG3397" s="55" t="n">
        <f aca="false">AE3397+ROW()*0.000000001</f>
        <v>48.8679173224386</v>
      </c>
    </row>
    <row r="3398" customFormat="false" ht="15" hidden="false" customHeight="false" outlineLevel="0" collapsed="false">
      <c r="A3398" s="0" t="n">
        <v>4</v>
      </c>
      <c r="B3398" s="0" t="n">
        <v>5</v>
      </c>
      <c r="C3398" s="0" t="n">
        <v>8</v>
      </c>
      <c r="D3398" s="0" t="n">
        <v>0</v>
      </c>
      <c r="E3398" s="0" t="n">
        <f aca="false">-1+A3398*0.25</f>
        <v>0</v>
      </c>
      <c r="F3398" s="0" t="n">
        <f aca="false">-1+B3398*0.25</f>
        <v>0.25</v>
      </c>
      <c r="G3398" s="0" t="n">
        <f aca="false">-1+C3398*0.25</f>
        <v>1</v>
      </c>
      <c r="H3398" s="0" t="n">
        <f aca="false">-1+D3398*0.25</f>
        <v>-1</v>
      </c>
      <c r="I3398" s="0" t="n">
        <f aca="false">1</f>
        <v>1</v>
      </c>
      <c r="J3398" s="0" t="n">
        <f aca="false">E3398</f>
        <v>0</v>
      </c>
      <c r="K3398" s="0" t="n">
        <f aca="false">F3398</f>
        <v>0.25</v>
      </c>
      <c r="L3398" s="0" t="n">
        <f aca="false">G3398</f>
        <v>1</v>
      </c>
      <c r="M3398" s="0" t="n">
        <f aca="false">H3398</f>
        <v>-1</v>
      </c>
      <c r="N3398" s="0" t="n">
        <f aca="false">E3398*F3398</f>
        <v>0</v>
      </c>
      <c r="O3398" s="0" t="n">
        <f aca="false">E3398*G3398</f>
        <v>0</v>
      </c>
      <c r="P3398" s="0" t="n">
        <f aca="false">E3398*H3398</f>
        <v>-0</v>
      </c>
      <c r="Q3398" s="0" t="n">
        <f aca="false">F3398*G3398</f>
        <v>0.25</v>
      </c>
      <c r="R3398" s="0" t="n">
        <f aca="false">F3398*H3398</f>
        <v>-0.25</v>
      </c>
      <c r="S3398" s="0" t="n">
        <f aca="false">G3398*H3398</f>
        <v>-1</v>
      </c>
      <c r="T3398" s="0" t="n">
        <f aca="false">E3398*E3398</f>
        <v>0</v>
      </c>
      <c r="U3398" s="0" t="n">
        <f aca="false">F3398*F3398</f>
        <v>0.0625</v>
      </c>
      <c r="V3398" s="0" t="n">
        <f aca="false">G3398*G3398</f>
        <v>1</v>
      </c>
      <c r="W3398" s="0" t="n">
        <f aca="false">H3398*H3398</f>
        <v>1</v>
      </c>
      <c r="X3398" s="0" t="n">
        <f aca="false">SUMPRODUCT(I3398:W3398,_XtX!$B$96:$P$96)</f>
        <v>47.6267178362573</v>
      </c>
      <c r="Y3398" s="0" t="n">
        <f aca="false">SUMPRODUCT(MMULT(I3398:W3398,_XtX!$B$78:$P$92),I3398:W3398)</f>
        <v>0.689692982456141</v>
      </c>
      <c r="Z3398" s="0" t="n">
        <f aca="false">04_回帰ANOVA!$K$19*04_回帰ANOVA!$K$14*SQRT(1+Y3398)</f>
        <v>1.69434674594998</v>
      </c>
      <c r="AA3398" s="0" t="n">
        <f aca="false">X3398-Z3398</f>
        <v>45.9323710903073</v>
      </c>
      <c r="AB3398" s="0" t="n">
        <f aca="false">X3398+Z3398</f>
        <v>49.3210645822073</v>
      </c>
      <c r="AC3398" s="54" t="b">
        <f aca="false">AND(E3398&gt;=01_因子設定!$L$5-0.000000001,E3398&lt;=01_因子設定!$M$5+0.000000001,F3398&gt;=01_因子設定!$L$6-0.000000001,F3398&lt;=01_因子設定!$M$6+0.000000001,G3398&gt;=01_因子設定!$L$7-0.000000001,G3398&lt;=01_因子設定!$M$7+0.000000001,H3398&gt;=01_因子設定!$L$8-0.000000001,H3398&lt;=01_因子設定!$M$8+0.000000001,IF(01_因子設定!$B$20="Box-Behnken",E3398^2+F3398^2+G3398^2+H3398^2&lt;=2+0.000000001,TRUE()))</f>
        <v>1</v>
      </c>
      <c r="AD3398" s="55" t="n">
        <f aca="false">IF(AC3398,IF(01_因子設定!$B$13="最大化",AA3398-01_因子設定!$B$14,IF(01_因子設定!$B$13="最小化",01_因子設定!$B$15-AB3398,MIN(AA3398-01_因子設定!$B$14,01_因子設定!$B$15-AB3398))),-1E+030)</f>
        <v>-0.567628909692701</v>
      </c>
      <c r="AE3398" s="55" t="n">
        <f aca="false">IF(AC3398,IF(01_因子設定!$B$13="最大化",X3398,IF(01_因子設定!$B$13="最小化",-X3398,-ABS(X3398-01_因子設定!$B$16))),-1E+030)</f>
        <v>47.6267178362573</v>
      </c>
      <c r="AF3398" s="55" t="n">
        <f aca="false">AD3398+ROW()*0.000000001</f>
        <v>-0.567625511692701</v>
      </c>
      <c r="AG3398" s="55" t="n">
        <f aca="false">AE3398+ROW()*0.000000001</f>
        <v>47.6267212342573</v>
      </c>
    </row>
    <row r="3399" customFormat="false" ht="15" hidden="false" customHeight="false" outlineLevel="0" collapsed="false">
      <c r="A3399" s="0" t="n">
        <v>4</v>
      </c>
      <c r="B3399" s="0" t="n">
        <v>5</v>
      </c>
      <c r="C3399" s="0" t="n">
        <v>8</v>
      </c>
      <c r="D3399" s="0" t="n">
        <v>1</v>
      </c>
      <c r="E3399" s="0" t="n">
        <f aca="false">-1+A3399*0.25</f>
        <v>0</v>
      </c>
      <c r="F3399" s="0" t="n">
        <f aca="false">-1+B3399*0.25</f>
        <v>0.25</v>
      </c>
      <c r="G3399" s="0" t="n">
        <f aca="false">-1+C3399*0.25</f>
        <v>1</v>
      </c>
      <c r="H3399" s="0" t="n">
        <f aca="false">-1+D3399*0.25</f>
        <v>-0.75</v>
      </c>
      <c r="I3399" s="0" t="n">
        <f aca="false">1</f>
        <v>1</v>
      </c>
      <c r="J3399" s="0" t="n">
        <f aca="false">E3399</f>
        <v>0</v>
      </c>
      <c r="K3399" s="0" t="n">
        <f aca="false">F3399</f>
        <v>0.25</v>
      </c>
      <c r="L3399" s="0" t="n">
        <f aca="false">G3399</f>
        <v>1</v>
      </c>
      <c r="M3399" s="0" t="n">
        <f aca="false">H3399</f>
        <v>-0.75</v>
      </c>
      <c r="N3399" s="0" t="n">
        <f aca="false">E3399*F3399</f>
        <v>0</v>
      </c>
      <c r="O3399" s="0" t="n">
        <f aca="false">E3399*G3399</f>
        <v>0</v>
      </c>
      <c r="P3399" s="0" t="n">
        <f aca="false">E3399*H3399</f>
        <v>-0</v>
      </c>
      <c r="Q3399" s="0" t="n">
        <f aca="false">F3399*G3399</f>
        <v>0.25</v>
      </c>
      <c r="R3399" s="0" t="n">
        <f aca="false">F3399*H3399</f>
        <v>-0.1875</v>
      </c>
      <c r="S3399" s="0" t="n">
        <f aca="false">G3399*H3399</f>
        <v>-0.75</v>
      </c>
      <c r="T3399" s="0" t="n">
        <f aca="false">E3399*E3399</f>
        <v>0</v>
      </c>
      <c r="U3399" s="0" t="n">
        <f aca="false">F3399*F3399</f>
        <v>0.0625</v>
      </c>
      <c r="V3399" s="0" t="n">
        <f aca="false">G3399*G3399</f>
        <v>1</v>
      </c>
      <c r="W3399" s="0" t="n">
        <f aca="false">H3399*H3399</f>
        <v>0.5625</v>
      </c>
      <c r="X3399" s="0" t="n">
        <f aca="false">SUMPRODUCT(I3399:W3399,_XtX!$B$96:$P$96)</f>
        <v>47.9540250365497</v>
      </c>
      <c r="Y3399" s="0" t="n">
        <f aca="false">SUMPRODUCT(MMULT(I3399:W3399,_XtX!$B$78:$P$92),I3399:W3399)</f>
        <v>0.501534802174708</v>
      </c>
      <c r="Z3399" s="0" t="n">
        <f aca="false">04_回帰ANOVA!$K$19*04_回帰ANOVA!$K$14*SQRT(1+Y3399)</f>
        <v>1.59722498091333</v>
      </c>
      <c r="AA3399" s="0" t="n">
        <f aca="false">X3399-Z3399</f>
        <v>46.3568000556363</v>
      </c>
      <c r="AB3399" s="0" t="n">
        <f aca="false">X3399+Z3399</f>
        <v>49.551250017463</v>
      </c>
      <c r="AC3399" s="54" t="b">
        <f aca="false">AND(E3399&gt;=01_因子設定!$L$5-0.000000001,E3399&lt;=01_因子設定!$M$5+0.000000001,F3399&gt;=01_因子設定!$L$6-0.000000001,F3399&lt;=01_因子設定!$M$6+0.000000001,G3399&gt;=01_因子設定!$L$7-0.000000001,G3399&lt;=01_因子設定!$M$7+0.000000001,H3399&gt;=01_因子設定!$L$8-0.000000001,H3399&lt;=01_因子設定!$M$8+0.000000001,IF(01_因子設定!$B$20="Box-Behnken",E3399^2+F3399^2+G3399^2+H3399^2&lt;=2+0.000000001,TRUE()))</f>
        <v>1</v>
      </c>
      <c r="AD3399" s="55" t="n">
        <f aca="false">IF(AC3399,IF(01_因子設定!$B$13="最大化",AA3399-01_因子設定!$B$14,IF(01_因子設定!$B$13="最小化",01_因子設定!$B$15-AB3399,MIN(AA3399-01_因子設定!$B$14,01_因子設定!$B$15-AB3399))),-1E+030)</f>
        <v>-0.143199944363666</v>
      </c>
      <c r="AE3399" s="55" t="n">
        <f aca="false">IF(AC3399,IF(01_因子設定!$B$13="最大化",X3399,IF(01_因子設定!$B$13="最小化",-X3399,-ABS(X3399-01_因子設定!$B$16))),-1E+030)</f>
        <v>47.9540250365497</v>
      </c>
      <c r="AF3399" s="55" t="n">
        <f aca="false">AD3399+ROW()*0.000000001</f>
        <v>-0.143196545363666</v>
      </c>
      <c r="AG3399" s="55" t="n">
        <f aca="false">AE3399+ROW()*0.000000001</f>
        <v>47.9540284355497</v>
      </c>
    </row>
    <row r="3400" customFormat="false" ht="15" hidden="false" customHeight="false" outlineLevel="0" collapsed="false">
      <c r="A3400" s="0" t="n">
        <v>4</v>
      </c>
      <c r="B3400" s="0" t="n">
        <v>5</v>
      </c>
      <c r="C3400" s="0" t="n">
        <v>8</v>
      </c>
      <c r="D3400" s="0" t="n">
        <v>2</v>
      </c>
      <c r="E3400" s="0" t="n">
        <f aca="false">-1+A3400*0.25</f>
        <v>0</v>
      </c>
      <c r="F3400" s="0" t="n">
        <f aca="false">-1+B3400*0.25</f>
        <v>0.25</v>
      </c>
      <c r="G3400" s="0" t="n">
        <f aca="false">-1+C3400*0.25</f>
        <v>1</v>
      </c>
      <c r="H3400" s="0" t="n">
        <f aca="false">-1+D3400*0.25</f>
        <v>-0.5</v>
      </c>
      <c r="I3400" s="0" t="n">
        <f aca="false">1</f>
        <v>1</v>
      </c>
      <c r="J3400" s="0" t="n">
        <f aca="false">E3400</f>
        <v>0</v>
      </c>
      <c r="K3400" s="0" t="n">
        <f aca="false">F3400</f>
        <v>0.25</v>
      </c>
      <c r="L3400" s="0" t="n">
        <f aca="false">G3400</f>
        <v>1</v>
      </c>
      <c r="M3400" s="0" t="n">
        <f aca="false">H3400</f>
        <v>-0.5</v>
      </c>
      <c r="N3400" s="0" t="n">
        <f aca="false">E3400*F3400</f>
        <v>0</v>
      </c>
      <c r="O3400" s="0" t="n">
        <f aca="false">E3400*G3400</f>
        <v>0</v>
      </c>
      <c r="P3400" s="0" t="n">
        <f aca="false">E3400*H3400</f>
        <v>-0</v>
      </c>
      <c r="Q3400" s="0" t="n">
        <f aca="false">F3400*G3400</f>
        <v>0.25</v>
      </c>
      <c r="R3400" s="0" t="n">
        <f aca="false">F3400*H3400</f>
        <v>-0.125</v>
      </c>
      <c r="S3400" s="0" t="n">
        <f aca="false">G3400*H3400</f>
        <v>-0.5</v>
      </c>
      <c r="T3400" s="0" t="n">
        <f aca="false">E3400*E3400</f>
        <v>0</v>
      </c>
      <c r="U3400" s="0" t="n">
        <f aca="false">F3400*F3400</f>
        <v>0.0625</v>
      </c>
      <c r="V3400" s="0" t="n">
        <f aca="false">G3400*G3400</f>
        <v>1</v>
      </c>
      <c r="W3400" s="0" t="n">
        <f aca="false">H3400*H3400</f>
        <v>0.25</v>
      </c>
      <c r="X3400" s="0" t="n">
        <f aca="false">SUMPRODUCT(I3400:W3400,_XtX!$B$96:$P$96)</f>
        <v>48.2335252192982</v>
      </c>
      <c r="Y3400" s="0" t="n">
        <f aca="false">SUMPRODUCT(MMULT(I3400:W3400,_XtX!$B$78:$P$92),I3400:W3400)</f>
        <v>0.457596628289474</v>
      </c>
      <c r="Z3400" s="0" t="n">
        <f aca="false">04_回帰ANOVA!$K$19*04_回帰ANOVA!$K$14*SQRT(1+Y3400)</f>
        <v>1.57368233664366</v>
      </c>
      <c r="AA3400" s="0" t="n">
        <f aca="false">X3400-Z3400</f>
        <v>46.6598428826545</v>
      </c>
      <c r="AB3400" s="0" t="n">
        <f aca="false">X3400+Z3400</f>
        <v>49.8072075559419</v>
      </c>
      <c r="AC3400" s="54" t="b">
        <f aca="false">AND(E3400&gt;=01_因子設定!$L$5-0.000000001,E3400&lt;=01_因子設定!$M$5+0.000000001,F3400&gt;=01_因子設定!$L$6-0.000000001,F3400&lt;=01_因子設定!$M$6+0.000000001,G3400&gt;=01_因子設定!$L$7-0.000000001,G3400&lt;=01_因子設定!$M$7+0.000000001,H3400&gt;=01_因子設定!$L$8-0.000000001,H3400&lt;=01_因子設定!$M$8+0.000000001,IF(01_因子設定!$B$20="Box-Behnken",E3400^2+F3400^2+G3400^2+H3400^2&lt;=2+0.000000001,TRUE()))</f>
        <v>1</v>
      </c>
      <c r="AD3400" s="55" t="n">
        <f aca="false">IF(AC3400,IF(01_因子設定!$B$13="最大化",AA3400-01_因子設定!$B$14,IF(01_因子設定!$B$13="最小化",01_因子設定!$B$15-AB3400,MIN(AA3400-01_因子設定!$B$14,01_因子設定!$B$15-AB3400))),-1E+030)</f>
        <v>0.159842882654537</v>
      </c>
      <c r="AE3400" s="55" t="n">
        <f aca="false">IF(AC3400,IF(01_因子設定!$B$13="最大化",X3400,IF(01_因子設定!$B$13="最小化",-X3400,-ABS(X3400-01_因子設定!$B$16))),-1E+030)</f>
        <v>48.2335252192982</v>
      </c>
      <c r="AF3400" s="55" t="n">
        <f aca="false">AD3400+ROW()*0.000000001</f>
        <v>0.159846282654537</v>
      </c>
      <c r="AG3400" s="55" t="n">
        <f aca="false">AE3400+ROW()*0.000000001</f>
        <v>48.2335286192982</v>
      </c>
    </row>
    <row r="3401" customFormat="false" ht="15" hidden="false" customHeight="false" outlineLevel="0" collapsed="false">
      <c r="A3401" s="0" t="n">
        <v>4</v>
      </c>
      <c r="B3401" s="0" t="n">
        <v>5</v>
      </c>
      <c r="C3401" s="0" t="n">
        <v>8</v>
      </c>
      <c r="D3401" s="0" t="n">
        <v>3</v>
      </c>
      <c r="E3401" s="0" t="n">
        <f aca="false">-1+A3401*0.25</f>
        <v>0</v>
      </c>
      <c r="F3401" s="0" t="n">
        <f aca="false">-1+B3401*0.25</f>
        <v>0.25</v>
      </c>
      <c r="G3401" s="0" t="n">
        <f aca="false">-1+C3401*0.25</f>
        <v>1</v>
      </c>
      <c r="H3401" s="0" t="n">
        <f aca="false">-1+D3401*0.25</f>
        <v>-0.25</v>
      </c>
      <c r="I3401" s="0" t="n">
        <f aca="false">1</f>
        <v>1</v>
      </c>
      <c r="J3401" s="0" t="n">
        <f aca="false">E3401</f>
        <v>0</v>
      </c>
      <c r="K3401" s="0" t="n">
        <f aca="false">F3401</f>
        <v>0.25</v>
      </c>
      <c r="L3401" s="0" t="n">
        <f aca="false">G3401</f>
        <v>1</v>
      </c>
      <c r="M3401" s="0" t="n">
        <f aca="false">H3401</f>
        <v>-0.25</v>
      </c>
      <c r="N3401" s="0" t="n">
        <f aca="false">E3401*F3401</f>
        <v>0</v>
      </c>
      <c r="O3401" s="0" t="n">
        <f aca="false">E3401*G3401</f>
        <v>0</v>
      </c>
      <c r="P3401" s="0" t="n">
        <f aca="false">E3401*H3401</f>
        <v>-0</v>
      </c>
      <c r="Q3401" s="0" t="n">
        <f aca="false">F3401*G3401</f>
        <v>0.25</v>
      </c>
      <c r="R3401" s="0" t="n">
        <f aca="false">F3401*H3401</f>
        <v>-0.0625</v>
      </c>
      <c r="S3401" s="0" t="n">
        <f aca="false">G3401*H3401</f>
        <v>-0.25</v>
      </c>
      <c r="T3401" s="0" t="n">
        <f aca="false">E3401*E3401</f>
        <v>0</v>
      </c>
      <c r="U3401" s="0" t="n">
        <f aca="false">F3401*F3401</f>
        <v>0.0625</v>
      </c>
      <c r="V3401" s="0" t="n">
        <f aca="false">G3401*G3401</f>
        <v>1</v>
      </c>
      <c r="W3401" s="0" t="n">
        <f aca="false">H3401*H3401</f>
        <v>0.0625</v>
      </c>
      <c r="X3401" s="0" t="n">
        <f aca="false">SUMPRODUCT(I3401:W3401,_XtX!$B$96:$P$96)</f>
        <v>48.4652183845029</v>
      </c>
      <c r="Y3401" s="0" t="n">
        <f aca="false">SUMPRODUCT(MMULT(I3401:W3401,_XtX!$B$78:$P$92),I3401:W3401)</f>
        <v>0.467417934484649</v>
      </c>
      <c r="Z3401" s="0" t="n">
        <f aca="false">04_回帰ANOVA!$K$19*04_回帰ANOVA!$K$14*SQRT(1+Y3401)</f>
        <v>1.57897518244497</v>
      </c>
      <c r="AA3401" s="0" t="n">
        <f aca="false">X3401-Z3401</f>
        <v>46.8862432020579</v>
      </c>
      <c r="AB3401" s="0" t="n">
        <f aca="false">X3401+Z3401</f>
        <v>50.0441935669478</v>
      </c>
      <c r="AC3401" s="54" t="b">
        <f aca="false">AND(E3401&gt;=01_因子設定!$L$5-0.000000001,E3401&lt;=01_因子設定!$M$5+0.000000001,F3401&gt;=01_因子設定!$L$6-0.000000001,F3401&lt;=01_因子設定!$M$6+0.000000001,G3401&gt;=01_因子設定!$L$7-0.000000001,G3401&lt;=01_因子設定!$M$7+0.000000001,H3401&gt;=01_因子設定!$L$8-0.000000001,H3401&lt;=01_因子設定!$M$8+0.000000001,IF(01_因子設定!$B$20="Box-Behnken",E3401^2+F3401^2+G3401^2+H3401^2&lt;=2+0.000000001,TRUE()))</f>
        <v>1</v>
      </c>
      <c r="AD3401" s="55" t="n">
        <f aca="false">IF(AC3401,IF(01_因子設定!$B$13="最大化",AA3401-01_因子設定!$B$14,IF(01_因子設定!$B$13="最小化",01_因子設定!$B$15-AB3401,MIN(AA3401-01_因子設定!$B$14,01_因子設定!$B$15-AB3401))),-1E+030)</f>
        <v>0.386243202057891</v>
      </c>
      <c r="AE3401" s="55" t="n">
        <f aca="false">IF(AC3401,IF(01_因子設定!$B$13="最大化",X3401,IF(01_因子設定!$B$13="最小化",-X3401,-ABS(X3401-01_因子設定!$B$16))),-1E+030)</f>
        <v>48.4652183845029</v>
      </c>
      <c r="AF3401" s="55" t="n">
        <f aca="false">AD3401+ROW()*0.000000001</f>
        <v>0.386246603057891</v>
      </c>
      <c r="AG3401" s="55" t="n">
        <f aca="false">AE3401+ROW()*0.000000001</f>
        <v>48.4652217855029</v>
      </c>
    </row>
    <row r="3402" customFormat="false" ht="15" hidden="false" customHeight="false" outlineLevel="0" collapsed="false">
      <c r="A3402" s="0" t="n">
        <v>4</v>
      </c>
      <c r="B3402" s="0" t="n">
        <v>5</v>
      </c>
      <c r="C3402" s="0" t="n">
        <v>8</v>
      </c>
      <c r="D3402" s="0" t="n">
        <v>4</v>
      </c>
      <c r="E3402" s="0" t="n">
        <f aca="false">-1+A3402*0.25</f>
        <v>0</v>
      </c>
      <c r="F3402" s="0" t="n">
        <f aca="false">-1+B3402*0.25</f>
        <v>0.25</v>
      </c>
      <c r="G3402" s="0" t="n">
        <f aca="false">-1+C3402*0.25</f>
        <v>1</v>
      </c>
      <c r="H3402" s="0" t="n">
        <f aca="false">-1+D3402*0.25</f>
        <v>0</v>
      </c>
      <c r="I3402" s="0" t="n">
        <f aca="false">1</f>
        <v>1</v>
      </c>
      <c r="J3402" s="0" t="n">
        <f aca="false">E3402</f>
        <v>0</v>
      </c>
      <c r="K3402" s="0" t="n">
        <f aca="false">F3402</f>
        <v>0.25</v>
      </c>
      <c r="L3402" s="0" t="n">
        <f aca="false">G3402</f>
        <v>1</v>
      </c>
      <c r="M3402" s="0" t="n">
        <f aca="false">H3402</f>
        <v>0</v>
      </c>
      <c r="N3402" s="0" t="n">
        <f aca="false">E3402*F3402</f>
        <v>0</v>
      </c>
      <c r="O3402" s="0" t="n">
        <f aca="false">E3402*G3402</f>
        <v>0</v>
      </c>
      <c r="P3402" s="0" t="n">
        <f aca="false">E3402*H3402</f>
        <v>0</v>
      </c>
      <c r="Q3402" s="0" t="n">
        <f aca="false">F3402*G3402</f>
        <v>0.25</v>
      </c>
      <c r="R3402" s="0" t="n">
        <f aca="false">F3402*H3402</f>
        <v>0</v>
      </c>
      <c r="S3402" s="0" t="n">
        <f aca="false">G3402*H3402</f>
        <v>0</v>
      </c>
      <c r="T3402" s="0" t="n">
        <f aca="false">E3402*E3402</f>
        <v>0</v>
      </c>
      <c r="U3402" s="0" t="n">
        <f aca="false">F3402*F3402</f>
        <v>0.0625</v>
      </c>
      <c r="V3402" s="0" t="n">
        <f aca="false">G3402*G3402</f>
        <v>1</v>
      </c>
      <c r="W3402" s="0" t="n">
        <f aca="false">H3402*H3402</f>
        <v>0</v>
      </c>
      <c r="X3402" s="0" t="n">
        <f aca="false">SUMPRODUCT(I3402:W3402,_XtX!$B$96:$P$96)</f>
        <v>48.6491045321637</v>
      </c>
      <c r="Y3402" s="0" t="n">
        <f aca="false">SUMPRODUCT(MMULT(I3402:W3402,_XtX!$B$78:$P$92),I3402:W3402)</f>
        <v>0.476722404970761</v>
      </c>
      <c r="Z3402" s="0" t="n">
        <f aca="false">04_回帰ANOVA!$K$19*04_回帰ANOVA!$K$14*SQRT(1+Y3402)</f>
        <v>1.58397318352695</v>
      </c>
      <c r="AA3402" s="0" t="n">
        <f aca="false">X3402-Z3402</f>
        <v>47.0651313486367</v>
      </c>
      <c r="AB3402" s="0" t="n">
        <f aca="false">X3402+Z3402</f>
        <v>50.2330777156906</v>
      </c>
      <c r="AC3402" s="54" t="b">
        <f aca="false">AND(E3402&gt;=01_因子設定!$L$5-0.000000001,E3402&lt;=01_因子設定!$M$5+0.000000001,F3402&gt;=01_因子設定!$L$6-0.000000001,F3402&lt;=01_因子設定!$M$6+0.000000001,G3402&gt;=01_因子設定!$L$7-0.000000001,G3402&lt;=01_因子設定!$M$7+0.000000001,H3402&gt;=01_因子設定!$L$8-0.000000001,H3402&lt;=01_因子設定!$M$8+0.000000001,IF(01_因子設定!$B$20="Box-Behnken",E3402^2+F3402^2+G3402^2+H3402^2&lt;=2+0.000000001,TRUE()))</f>
        <v>1</v>
      </c>
      <c r="AD3402" s="55" t="n">
        <f aca="false">IF(AC3402,IF(01_因子設定!$B$13="最大化",AA3402-01_因子設定!$B$14,IF(01_因子設定!$B$13="最小化",01_因子設定!$B$15-AB3402,MIN(AA3402-01_因子設定!$B$14,01_因子設定!$B$15-AB3402))),-1E+030)</f>
        <v>0.56513134863674</v>
      </c>
      <c r="AE3402" s="55" t="n">
        <f aca="false">IF(AC3402,IF(01_因子設定!$B$13="最大化",X3402,IF(01_因子設定!$B$13="最小化",-X3402,-ABS(X3402-01_因子設定!$B$16))),-1E+030)</f>
        <v>48.6491045321637</v>
      </c>
      <c r="AF3402" s="55" t="n">
        <f aca="false">AD3402+ROW()*0.000000001</f>
        <v>0.56513475063674</v>
      </c>
      <c r="AG3402" s="55" t="n">
        <f aca="false">AE3402+ROW()*0.000000001</f>
        <v>48.6491079341637</v>
      </c>
    </row>
    <row r="3403" customFormat="false" ht="15" hidden="false" customHeight="false" outlineLevel="0" collapsed="false">
      <c r="A3403" s="0" t="n">
        <v>4</v>
      </c>
      <c r="B3403" s="0" t="n">
        <v>5</v>
      </c>
      <c r="C3403" s="0" t="n">
        <v>8</v>
      </c>
      <c r="D3403" s="0" t="n">
        <v>5</v>
      </c>
      <c r="E3403" s="0" t="n">
        <f aca="false">-1+A3403*0.25</f>
        <v>0</v>
      </c>
      <c r="F3403" s="0" t="n">
        <f aca="false">-1+B3403*0.25</f>
        <v>0.25</v>
      </c>
      <c r="G3403" s="0" t="n">
        <f aca="false">-1+C3403*0.25</f>
        <v>1</v>
      </c>
      <c r="H3403" s="0" t="n">
        <f aca="false">-1+D3403*0.25</f>
        <v>0.25</v>
      </c>
      <c r="I3403" s="0" t="n">
        <f aca="false">1</f>
        <v>1</v>
      </c>
      <c r="J3403" s="0" t="n">
        <f aca="false">E3403</f>
        <v>0</v>
      </c>
      <c r="K3403" s="0" t="n">
        <f aca="false">F3403</f>
        <v>0.25</v>
      </c>
      <c r="L3403" s="0" t="n">
        <f aca="false">G3403</f>
        <v>1</v>
      </c>
      <c r="M3403" s="0" t="n">
        <f aca="false">H3403</f>
        <v>0.25</v>
      </c>
      <c r="N3403" s="0" t="n">
        <f aca="false">E3403*F3403</f>
        <v>0</v>
      </c>
      <c r="O3403" s="0" t="n">
        <f aca="false">E3403*G3403</f>
        <v>0</v>
      </c>
      <c r="P3403" s="0" t="n">
        <f aca="false">E3403*H3403</f>
        <v>0</v>
      </c>
      <c r="Q3403" s="0" t="n">
        <f aca="false">F3403*G3403</f>
        <v>0.25</v>
      </c>
      <c r="R3403" s="0" t="n">
        <f aca="false">F3403*H3403</f>
        <v>0.0625</v>
      </c>
      <c r="S3403" s="0" t="n">
        <f aca="false">G3403*H3403</f>
        <v>0.25</v>
      </c>
      <c r="T3403" s="0" t="n">
        <f aca="false">E3403*E3403</f>
        <v>0</v>
      </c>
      <c r="U3403" s="0" t="n">
        <f aca="false">F3403*F3403</f>
        <v>0.0625</v>
      </c>
      <c r="V3403" s="0" t="n">
        <f aca="false">G3403*G3403</f>
        <v>1</v>
      </c>
      <c r="W3403" s="0" t="n">
        <f aca="false">H3403*H3403</f>
        <v>0.0625</v>
      </c>
      <c r="X3403" s="0" t="n">
        <f aca="false">SUMPRODUCT(I3403:W3403,_XtX!$B$96:$P$96)</f>
        <v>48.7851836622806</v>
      </c>
      <c r="Y3403" s="0" t="n">
        <f aca="false">SUMPRODUCT(MMULT(I3403:W3403,_XtX!$B$78:$P$92),I3403:W3403)</f>
        <v>0.467417934484649</v>
      </c>
      <c r="Z3403" s="0" t="n">
        <f aca="false">04_回帰ANOVA!$K$19*04_回帰ANOVA!$K$14*SQRT(1+Y3403)</f>
        <v>1.57897518244497</v>
      </c>
      <c r="AA3403" s="0" t="n">
        <f aca="false">X3403-Z3403</f>
        <v>47.2062084798357</v>
      </c>
      <c r="AB3403" s="0" t="n">
        <f aca="false">X3403+Z3403</f>
        <v>50.3641588447256</v>
      </c>
      <c r="AC3403" s="54" t="b">
        <f aca="false">AND(E3403&gt;=01_因子設定!$L$5-0.000000001,E3403&lt;=01_因子設定!$M$5+0.000000001,F3403&gt;=01_因子設定!$L$6-0.000000001,F3403&lt;=01_因子設定!$M$6+0.000000001,G3403&gt;=01_因子設定!$L$7-0.000000001,G3403&lt;=01_因子設定!$M$7+0.000000001,H3403&gt;=01_因子設定!$L$8-0.000000001,H3403&lt;=01_因子設定!$M$8+0.000000001,IF(01_因子設定!$B$20="Box-Behnken",E3403^2+F3403^2+G3403^2+H3403^2&lt;=2+0.000000001,TRUE()))</f>
        <v>1</v>
      </c>
      <c r="AD3403" s="55" t="n">
        <f aca="false">IF(AC3403,IF(01_因子設定!$B$13="最大化",AA3403-01_因子設定!$B$14,IF(01_因子設定!$B$13="最小化",01_因子設定!$B$15-AB3403,MIN(AA3403-01_因子設定!$B$14,01_因子設定!$B$15-AB3403))),-1E+030)</f>
        <v>0.706208479835674</v>
      </c>
      <c r="AE3403" s="55" t="n">
        <f aca="false">IF(AC3403,IF(01_因子設定!$B$13="最大化",X3403,IF(01_因子設定!$B$13="最小化",-X3403,-ABS(X3403-01_因子設定!$B$16))),-1E+030)</f>
        <v>48.7851836622806</v>
      </c>
      <c r="AF3403" s="55" t="n">
        <f aca="false">AD3403+ROW()*0.000000001</f>
        <v>0.706211882835674</v>
      </c>
      <c r="AG3403" s="55" t="n">
        <f aca="false">AE3403+ROW()*0.000000001</f>
        <v>48.7851870652806</v>
      </c>
    </row>
    <row r="3404" customFormat="false" ht="15" hidden="false" customHeight="false" outlineLevel="0" collapsed="false">
      <c r="A3404" s="0" t="n">
        <v>4</v>
      </c>
      <c r="B3404" s="0" t="n">
        <v>5</v>
      </c>
      <c r="C3404" s="0" t="n">
        <v>8</v>
      </c>
      <c r="D3404" s="0" t="n">
        <v>6</v>
      </c>
      <c r="E3404" s="0" t="n">
        <f aca="false">-1+A3404*0.25</f>
        <v>0</v>
      </c>
      <c r="F3404" s="0" t="n">
        <f aca="false">-1+B3404*0.25</f>
        <v>0.25</v>
      </c>
      <c r="G3404" s="0" t="n">
        <f aca="false">-1+C3404*0.25</f>
        <v>1</v>
      </c>
      <c r="H3404" s="0" t="n">
        <f aca="false">-1+D3404*0.25</f>
        <v>0.5</v>
      </c>
      <c r="I3404" s="0" t="n">
        <f aca="false">1</f>
        <v>1</v>
      </c>
      <c r="J3404" s="0" t="n">
        <f aca="false">E3404</f>
        <v>0</v>
      </c>
      <c r="K3404" s="0" t="n">
        <f aca="false">F3404</f>
        <v>0.25</v>
      </c>
      <c r="L3404" s="0" t="n">
        <f aca="false">G3404</f>
        <v>1</v>
      </c>
      <c r="M3404" s="0" t="n">
        <f aca="false">H3404</f>
        <v>0.5</v>
      </c>
      <c r="N3404" s="0" t="n">
        <f aca="false">E3404*F3404</f>
        <v>0</v>
      </c>
      <c r="O3404" s="0" t="n">
        <f aca="false">E3404*G3404</f>
        <v>0</v>
      </c>
      <c r="P3404" s="0" t="n">
        <f aca="false">E3404*H3404</f>
        <v>0</v>
      </c>
      <c r="Q3404" s="0" t="n">
        <f aca="false">F3404*G3404</f>
        <v>0.25</v>
      </c>
      <c r="R3404" s="0" t="n">
        <f aca="false">F3404*H3404</f>
        <v>0.125</v>
      </c>
      <c r="S3404" s="0" t="n">
        <f aca="false">G3404*H3404</f>
        <v>0.5</v>
      </c>
      <c r="T3404" s="0" t="n">
        <f aca="false">E3404*E3404</f>
        <v>0</v>
      </c>
      <c r="U3404" s="0" t="n">
        <f aca="false">F3404*F3404</f>
        <v>0.0625</v>
      </c>
      <c r="V3404" s="0" t="n">
        <f aca="false">G3404*G3404</f>
        <v>1</v>
      </c>
      <c r="W3404" s="0" t="n">
        <f aca="false">H3404*H3404</f>
        <v>0.25</v>
      </c>
      <c r="X3404" s="0" t="n">
        <f aca="false">SUMPRODUCT(I3404:W3404,_XtX!$B$96:$P$96)</f>
        <v>48.8734557748537</v>
      </c>
      <c r="Y3404" s="0" t="n">
        <f aca="false">SUMPRODUCT(MMULT(I3404:W3404,_XtX!$B$78:$P$92),I3404:W3404)</f>
        <v>0.457596628289474</v>
      </c>
      <c r="Z3404" s="0" t="n">
        <f aca="false">04_回帰ANOVA!$K$19*04_回帰ANOVA!$K$14*SQRT(1+Y3404)</f>
        <v>1.57368233664366</v>
      </c>
      <c r="AA3404" s="0" t="n">
        <f aca="false">X3404-Z3404</f>
        <v>47.2997734382101</v>
      </c>
      <c r="AB3404" s="0" t="n">
        <f aca="false">X3404+Z3404</f>
        <v>50.4471381114974</v>
      </c>
      <c r="AC3404" s="54" t="b">
        <f aca="false">AND(E3404&gt;=01_因子設定!$L$5-0.000000001,E3404&lt;=01_因子設定!$M$5+0.000000001,F3404&gt;=01_因子設定!$L$6-0.000000001,F3404&lt;=01_因子設定!$M$6+0.000000001,G3404&gt;=01_因子設定!$L$7-0.000000001,G3404&lt;=01_因子設定!$M$7+0.000000001,H3404&gt;=01_因子設定!$L$8-0.000000001,H3404&lt;=01_因子設定!$M$8+0.000000001,IF(01_因子設定!$B$20="Box-Behnken",E3404^2+F3404^2+G3404^2+H3404^2&lt;=2+0.000000001,TRUE()))</f>
        <v>1</v>
      </c>
      <c r="AD3404" s="55" t="n">
        <f aca="false">IF(AC3404,IF(01_因子設定!$B$13="最大化",AA3404-01_因子設定!$B$14,IF(01_因子設定!$B$13="最小化",01_因子設定!$B$15-AB3404,MIN(AA3404-01_因子設定!$B$14,01_因子設定!$B$15-AB3404))),-1E+030)</f>
        <v>0.799773438210089</v>
      </c>
      <c r="AE3404" s="55" t="n">
        <f aca="false">IF(AC3404,IF(01_因子設定!$B$13="最大化",X3404,IF(01_因子設定!$B$13="最小化",-X3404,-ABS(X3404-01_因子設定!$B$16))),-1E+030)</f>
        <v>48.8734557748537</v>
      </c>
      <c r="AF3404" s="55" t="n">
        <f aca="false">AD3404+ROW()*0.000000001</f>
        <v>0.799776842210089</v>
      </c>
      <c r="AG3404" s="55" t="n">
        <f aca="false">AE3404+ROW()*0.000000001</f>
        <v>48.8734591788537</v>
      </c>
    </row>
    <row r="3405" customFormat="false" ht="15" hidden="false" customHeight="false" outlineLevel="0" collapsed="false">
      <c r="A3405" s="0" t="n">
        <v>4</v>
      </c>
      <c r="B3405" s="0" t="n">
        <v>5</v>
      </c>
      <c r="C3405" s="0" t="n">
        <v>8</v>
      </c>
      <c r="D3405" s="0" t="n">
        <v>7</v>
      </c>
      <c r="E3405" s="0" t="n">
        <f aca="false">-1+A3405*0.25</f>
        <v>0</v>
      </c>
      <c r="F3405" s="0" t="n">
        <f aca="false">-1+B3405*0.25</f>
        <v>0.25</v>
      </c>
      <c r="G3405" s="0" t="n">
        <f aca="false">-1+C3405*0.25</f>
        <v>1</v>
      </c>
      <c r="H3405" s="0" t="n">
        <f aca="false">-1+D3405*0.25</f>
        <v>0.75</v>
      </c>
      <c r="I3405" s="0" t="n">
        <f aca="false">1</f>
        <v>1</v>
      </c>
      <c r="J3405" s="0" t="n">
        <f aca="false">E3405</f>
        <v>0</v>
      </c>
      <c r="K3405" s="0" t="n">
        <f aca="false">F3405</f>
        <v>0.25</v>
      </c>
      <c r="L3405" s="0" t="n">
        <f aca="false">G3405</f>
        <v>1</v>
      </c>
      <c r="M3405" s="0" t="n">
        <f aca="false">H3405</f>
        <v>0.75</v>
      </c>
      <c r="N3405" s="0" t="n">
        <f aca="false">E3405*F3405</f>
        <v>0</v>
      </c>
      <c r="O3405" s="0" t="n">
        <f aca="false">E3405*G3405</f>
        <v>0</v>
      </c>
      <c r="P3405" s="0" t="n">
        <f aca="false">E3405*H3405</f>
        <v>0</v>
      </c>
      <c r="Q3405" s="0" t="n">
        <f aca="false">F3405*G3405</f>
        <v>0.25</v>
      </c>
      <c r="R3405" s="0" t="n">
        <f aca="false">F3405*H3405</f>
        <v>0.1875</v>
      </c>
      <c r="S3405" s="0" t="n">
        <f aca="false">G3405*H3405</f>
        <v>0.75</v>
      </c>
      <c r="T3405" s="0" t="n">
        <f aca="false">E3405*E3405</f>
        <v>0</v>
      </c>
      <c r="U3405" s="0" t="n">
        <f aca="false">F3405*F3405</f>
        <v>0.0625</v>
      </c>
      <c r="V3405" s="0" t="n">
        <f aca="false">G3405*G3405</f>
        <v>1</v>
      </c>
      <c r="W3405" s="0" t="n">
        <f aca="false">H3405*H3405</f>
        <v>0.5625</v>
      </c>
      <c r="X3405" s="0" t="n">
        <f aca="false">SUMPRODUCT(I3405:W3405,_XtX!$B$96:$P$96)</f>
        <v>48.913920869883</v>
      </c>
      <c r="Y3405" s="0" t="n">
        <f aca="false">SUMPRODUCT(MMULT(I3405:W3405,_XtX!$B$78:$P$92),I3405:W3405)</f>
        <v>0.501534802174708</v>
      </c>
      <c r="Z3405" s="0" t="n">
        <f aca="false">04_回帰ANOVA!$K$19*04_回帰ANOVA!$K$14*SQRT(1+Y3405)</f>
        <v>1.59722498091333</v>
      </c>
      <c r="AA3405" s="0" t="n">
        <f aca="false">X3405-Z3405</f>
        <v>47.3166958889697</v>
      </c>
      <c r="AB3405" s="0" t="n">
        <f aca="false">X3405+Z3405</f>
        <v>50.5111458507963</v>
      </c>
      <c r="AC3405" s="54" t="b">
        <f aca="false">AND(E3405&gt;=01_因子設定!$L$5-0.000000001,E3405&lt;=01_因子設定!$M$5+0.000000001,F3405&gt;=01_因子設定!$L$6-0.000000001,F3405&lt;=01_因子設定!$M$6+0.000000001,G3405&gt;=01_因子設定!$L$7-0.000000001,G3405&lt;=01_因子設定!$M$7+0.000000001,H3405&gt;=01_因子設定!$L$8-0.000000001,H3405&lt;=01_因子設定!$M$8+0.000000001,IF(01_因子設定!$B$20="Box-Behnken",E3405^2+F3405^2+G3405^2+H3405^2&lt;=2+0.000000001,TRUE()))</f>
        <v>1</v>
      </c>
      <c r="AD3405" s="55" t="n">
        <f aca="false">IF(AC3405,IF(01_因子設定!$B$13="最大化",AA3405-01_因子設定!$B$14,IF(01_因子設定!$B$13="最小化",01_因子設定!$B$15-AB3405,MIN(AA3405-01_因子設定!$B$14,01_因子設定!$B$15-AB3405))),-1E+030)</f>
        <v>0.816695888969669</v>
      </c>
      <c r="AE3405" s="55" t="n">
        <f aca="false">IF(AC3405,IF(01_因子設定!$B$13="最大化",X3405,IF(01_因子設定!$B$13="最小化",-X3405,-ABS(X3405-01_因子設定!$B$16))),-1E+030)</f>
        <v>48.913920869883</v>
      </c>
      <c r="AF3405" s="55" t="n">
        <f aca="false">AD3405+ROW()*0.000000001</f>
        <v>0.816699293969669</v>
      </c>
      <c r="AG3405" s="55" t="n">
        <f aca="false">AE3405+ROW()*0.000000001</f>
        <v>48.913924274883</v>
      </c>
    </row>
    <row r="3406" customFormat="false" ht="15" hidden="false" customHeight="false" outlineLevel="0" collapsed="false">
      <c r="A3406" s="0" t="n">
        <v>4</v>
      </c>
      <c r="B3406" s="0" t="n">
        <v>5</v>
      </c>
      <c r="C3406" s="0" t="n">
        <v>8</v>
      </c>
      <c r="D3406" s="0" t="n">
        <v>8</v>
      </c>
      <c r="E3406" s="0" t="n">
        <f aca="false">-1+A3406*0.25</f>
        <v>0</v>
      </c>
      <c r="F3406" s="0" t="n">
        <f aca="false">-1+B3406*0.25</f>
        <v>0.25</v>
      </c>
      <c r="G3406" s="0" t="n">
        <f aca="false">-1+C3406*0.25</f>
        <v>1</v>
      </c>
      <c r="H3406" s="0" t="n">
        <f aca="false">-1+D3406*0.25</f>
        <v>1</v>
      </c>
      <c r="I3406" s="0" t="n">
        <f aca="false">1</f>
        <v>1</v>
      </c>
      <c r="J3406" s="0" t="n">
        <f aca="false">E3406</f>
        <v>0</v>
      </c>
      <c r="K3406" s="0" t="n">
        <f aca="false">F3406</f>
        <v>0.25</v>
      </c>
      <c r="L3406" s="0" t="n">
        <f aca="false">G3406</f>
        <v>1</v>
      </c>
      <c r="M3406" s="0" t="n">
        <f aca="false">H3406</f>
        <v>1</v>
      </c>
      <c r="N3406" s="0" t="n">
        <f aca="false">E3406*F3406</f>
        <v>0</v>
      </c>
      <c r="O3406" s="0" t="n">
        <f aca="false">E3406*G3406</f>
        <v>0</v>
      </c>
      <c r="P3406" s="0" t="n">
        <f aca="false">E3406*H3406</f>
        <v>0</v>
      </c>
      <c r="Q3406" s="0" t="n">
        <f aca="false">F3406*G3406</f>
        <v>0.25</v>
      </c>
      <c r="R3406" s="0" t="n">
        <f aca="false">F3406*H3406</f>
        <v>0.25</v>
      </c>
      <c r="S3406" s="0" t="n">
        <f aca="false">G3406*H3406</f>
        <v>1</v>
      </c>
      <c r="T3406" s="0" t="n">
        <f aca="false">E3406*E3406</f>
        <v>0</v>
      </c>
      <c r="U3406" s="0" t="n">
        <f aca="false">F3406*F3406</f>
        <v>0.0625</v>
      </c>
      <c r="V3406" s="0" t="n">
        <f aca="false">G3406*G3406</f>
        <v>1</v>
      </c>
      <c r="W3406" s="0" t="n">
        <f aca="false">H3406*H3406</f>
        <v>1</v>
      </c>
      <c r="X3406" s="0" t="n">
        <f aca="false">SUMPRODUCT(I3406:W3406,_XtX!$B$96:$P$96)</f>
        <v>48.9065789473684</v>
      </c>
      <c r="Y3406" s="0" t="n">
        <f aca="false">SUMPRODUCT(MMULT(I3406:W3406,_XtX!$B$78:$P$92),I3406:W3406)</f>
        <v>0.689692982456141</v>
      </c>
      <c r="Z3406" s="0" t="n">
        <f aca="false">04_回帰ANOVA!$K$19*04_回帰ANOVA!$K$14*SQRT(1+Y3406)</f>
        <v>1.69434674594998</v>
      </c>
      <c r="AA3406" s="0" t="n">
        <f aca="false">X3406-Z3406</f>
        <v>47.2122322014184</v>
      </c>
      <c r="AB3406" s="0" t="n">
        <f aca="false">X3406+Z3406</f>
        <v>50.6009256933184</v>
      </c>
      <c r="AC3406" s="54" t="b">
        <f aca="false">AND(E3406&gt;=01_因子設定!$L$5-0.000000001,E3406&lt;=01_因子設定!$M$5+0.000000001,F3406&gt;=01_因子設定!$L$6-0.000000001,F3406&lt;=01_因子設定!$M$6+0.000000001,G3406&gt;=01_因子設定!$L$7-0.000000001,G3406&lt;=01_因子設定!$M$7+0.000000001,H3406&gt;=01_因子設定!$L$8-0.000000001,H3406&lt;=01_因子設定!$M$8+0.000000001,IF(01_因子設定!$B$20="Box-Behnken",E3406^2+F3406^2+G3406^2+H3406^2&lt;=2+0.000000001,TRUE()))</f>
        <v>1</v>
      </c>
      <c r="AD3406" s="55" t="n">
        <f aca="false">IF(AC3406,IF(01_因子設定!$B$13="最大化",AA3406-01_因子設定!$B$14,IF(01_因子設定!$B$13="最小化",01_因子設定!$B$15-AB3406,MIN(AA3406-01_因子設定!$B$14,01_因子設定!$B$15-AB3406))),-1E+030)</f>
        <v>0.712232201418409</v>
      </c>
      <c r="AE3406" s="55" t="n">
        <f aca="false">IF(AC3406,IF(01_因子設定!$B$13="最大化",X3406,IF(01_因子設定!$B$13="最小化",-X3406,-ABS(X3406-01_因子設定!$B$16))),-1E+030)</f>
        <v>48.9065789473684</v>
      </c>
      <c r="AF3406" s="55" t="n">
        <f aca="false">AD3406+ROW()*0.000000001</f>
        <v>0.712235607418409</v>
      </c>
      <c r="AG3406" s="55" t="n">
        <f aca="false">AE3406+ROW()*0.000000001</f>
        <v>48.9065823533684</v>
      </c>
    </row>
    <row r="3407" customFormat="false" ht="15" hidden="false" customHeight="false" outlineLevel="0" collapsed="false">
      <c r="A3407" s="0" t="n">
        <v>4</v>
      </c>
      <c r="B3407" s="0" t="n">
        <v>6</v>
      </c>
      <c r="C3407" s="0" t="n">
        <v>0</v>
      </c>
      <c r="D3407" s="0" t="n">
        <v>0</v>
      </c>
      <c r="E3407" s="0" t="n">
        <f aca="false">-1+A3407*0.25</f>
        <v>0</v>
      </c>
      <c r="F3407" s="0" t="n">
        <f aca="false">-1+B3407*0.25</f>
        <v>0.5</v>
      </c>
      <c r="G3407" s="0" t="n">
        <f aca="false">-1+C3407*0.25</f>
        <v>-1</v>
      </c>
      <c r="H3407" s="0" t="n">
        <f aca="false">-1+D3407*0.25</f>
        <v>-1</v>
      </c>
      <c r="I3407" s="0" t="n">
        <f aca="false">1</f>
        <v>1</v>
      </c>
      <c r="J3407" s="0" t="n">
        <f aca="false">E3407</f>
        <v>0</v>
      </c>
      <c r="K3407" s="0" t="n">
        <f aca="false">F3407</f>
        <v>0.5</v>
      </c>
      <c r="L3407" s="0" t="n">
        <f aca="false">G3407</f>
        <v>-1</v>
      </c>
      <c r="M3407" s="0" t="n">
        <f aca="false">H3407</f>
        <v>-1</v>
      </c>
      <c r="N3407" s="0" t="n">
        <f aca="false">E3407*F3407</f>
        <v>0</v>
      </c>
      <c r="O3407" s="0" t="n">
        <f aca="false">E3407*G3407</f>
        <v>-0</v>
      </c>
      <c r="P3407" s="0" t="n">
        <f aca="false">E3407*H3407</f>
        <v>-0</v>
      </c>
      <c r="Q3407" s="0" t="n">
        <f aca="false">F3407*G3407</f>
        <v>-0.5</v>
      </c>
      <c r="R3407" s="0" t="n">
        <f aca="false">F3407*H3407</f>
        <v>-0.5</v>
      </c>
      <c r="S3407" s="0" t="n">
        <f aca="false">G3407*H3407</f>
        <v>1</v>
      </c>
      <c r="T3407" s="0" t="n">
        <f aca="false">E3407*E3407</f>
        <v>0</v>
      </c>
      <c r="U3407" s="0" t="n">
        <f aca="false">F3407*F3407</f>
        <v>0.25</v>
      </c>
      <c r="V3407" s="0" t="n">
        <f aca="false">G3407*G3407</f>
        <v>1</v>
      </c>
      <c r="W3407" s="0" t="n">
        <f aca="false">H3407*H3407</f>
        <v>1</v>
      </c>
      <c r="X3407" s="0" t="n">
        <f aca="false">SUMPRODUCT(I3407:W3407,_XtX!$B$96:$P$96)</f>
        <v>46.0932017543859</v>
      </c>
      <c r="Y3407" s="0" t="n">
        <f aca="false">SUMPRODUCT(MMULT(I3407:W3407,_XtX!$B$78:$P$92),I3407:W3407)</f>
        <v>0.650767543859649</v>
      </c>
      <c r="Z3407" s="0" t="n">
        <f aca="false">04_回帰ANOVA!$K$19*04_回帰ANOVA!$K$14*SQRT(1+Y3407)</f>
        <v>1.67471670935165</v>
      </c>
      <c r="AA3407" s="0" t="n">
        <f aca="false">X3407-Z3407</f>
        <v>44.4184850450343</v>
      </c>
      <c r="AB3407" s="0" t="n">
        <f aca="false">X3407+Z3407</f>
        <v>47.7679184637376</v>
      </c>
      <c r="AC3407" s="54" t="b">
        <f aca="false">AND(E3407&gt;=01_因子設定!$L$5-0.000000001,E3407&lt;=01_因子設定!$M$5+0.000000001,F3407&gt;=01_因子設定!$L$6-0.000000001,F3407&lt;=01_因子設定!$M$6+0.000000001,G3407&gt;=01_因子設定!$L$7-0.000000001,G3407&lt;=01_因子設定!$M$7+0.000000001,H3407&gt;=01_因子設定!$L$8-0.000000001,H3407&lt;=01_因子設定!$M$8+0.000000001,IF(01_因子設定!$B$20="Box-Behnken",E3407^2+F3407^2+G3407^2+H3407^2&lt;=2+0.000000001,TRUE()))</f>
        <v>1</v>
      </c>
      <c r="AD3407" s="55" t="n">
        <f aca="false">IF(AC3407,IF(01_因子設定!$B$13="最大化",AA3407-01_因子設定!$B$14,IF(01_因子設定!$B$13="最小化",01_因子設定!$B$15-AB3407,MIN(AA3407-01_因子設定!$B$14,01_因子設定!$B$15-AB3407))),-1E+030)</f>
        <v>-2.08151495496571</v>
      </c>
      <c r="AE3407" s="55" t="n">
        <f aca="false">IF(AC3407,IF(01_因子設定!$B$13="最大化",X3407,IF(01_因子設定!$B$13="最小化",-X3407,-ABS(X3407-01_因子設定!$B$16))),-1E+030)</f>
        <v>46.0932017543859</v>
      </c>
      <c r="AF3407" s="55" t="n">
        <f aca="false">AD3407+ROW()*0.000000001</f>
        <v>-2.08151154796571</v>
      </c>
      <c r="AG3407" s="55" t="n">
        <f aca="false">AE3407+ROW()*0.000000001</f>
        <v>46.0932051613859</v>
      </c>
    </row>
    <row r="3408" customFormat="false" ht="15" hidden="false" customHeight="false" outlineLevel="0" collapsed="false">
      <c r="A3408" s="0" t="n">
        <v>4</v>
      </c>
      <c r="B3408" s="0" t="n">
        <v>6</v>
      </c>
      <c r="C3408" s="0" t="n">
        <v>0</v>
      </c>
      <c r="D3408" s="0" t="n">
        <v>1</v>
      </c>
      <c r="E3408" s="0" t="n">
        <f aca="false">-1+A3408*0.25</f>
        <v>0</v>
      </c>
      <c r="F3408" s="0" t="n">
        <f aca="false">-1+B3408*0.25</f>
        <v>0.5</v>
      </c>
      <c r="G3408" s="0" t="n">
        <f aca="false">-1+C3408*0.25</f>
        <v>-1</v>
      </c>
      <c r="H3408" s="0" t="n">
        <f aca="false">-1+D3408*0.25</f>
        <v>-0.75</v>
      </c>
      <c r="I3408" s="0" t="n">
        <f aca="false">1</f>
        <v>1</v>
      </c>
      <c r="J3408" s="0" t="n">
        <f aca="false">E3408</f>
        <v>0</v>
      </c>
      <c r="K3408" s="0" t="n">
        <f aca="false">F3408</f>
        <v>0.5</v>
      </c>
      <c r="L3408" s="0" t="n">
        <f aca="false">G3408</f>
        <v>-1</v>
      </c>
      <c r="M3408" s="0" t="n">
        <f aca="false">H3408</f>
        <v>-0.75</v>
      </c>
      <c r="N3408" s="0" t="n">
        <f aca="false">E3408*F3408</f>
        <v>0</v>
      </c>
      <c r="O3408" s="0" t="n">
        <f aca="false">E3408*G3408</f>
        <v>-0</v>
      </c>
      <c r="P3408" s="0" t="n">
        <f aca="false">E3408*H3408</f>
        <v>-0</v>
      </c>
      <c r="Q3408" s="0" t="n">
        <f aca="false">F3408*G3408</f>
        <v>-0.5</v>
      </c>
      <c r="R3408" s="0" t="n">
        <f aca="false">F3408*H3408</f>
        <v>-0.375</v>
      </c>
      <c r="S3408" s="0" t="n">
        <f aca="false">G3408*H3408</f>
        <v>0.75</v>
      </c>
      <c r="T3408" s="0" t="n">
        <f aca="false">E3408*E3408</f>
        <v>0</v>
      </c>
      <c r="U3408" s="0" t="n">
        <f aca="false">F3408*F3408</f>
        <v>0.25</v>
      </c>
      <c r="V3408" s="0" t="n">
        <f aca="false">G3408*G3408</f>
        <v>1</v>
      </c>
      <c r="W3408" s="0" t="n">
        <f aca="false">H3408*H3408</f>
        <v>0.5625</v>
      </c>
      <c r="X3408" s="0" t="n">
        <f aca="false">SUMPRODUCT(I3408:W3408,_XtX!$B$96:$P$96)</f>
        <v>46.2634777046783</v>
      </c>
      <c r="Y3408" s="0" t="n">
        <f aca="false">SUMPRODUCT(MMULT(I3408:W3408,_XtX!$B$78:$P$92),I3408:W3408)</f>
        <v>0.476191292032164</v>
      </c>
      <c r="Z3408" s="0" t="n">
        <f aca="false">04_回帰ANOVA!$K$19*04_回帰ANOVA!$K$14*SQRT(1+Y3408)</f>
        <v>1.58368831471718</v>
      </c>
      <c r="AA3408" s="0" t="n">
        <f aca="false">X3408-Z3408</f>
        <v>44.6797893899611</v>
      </c>
      <c r="AB3408" s="0" t="n">
        <f aca="false">X3408+Z3408</f>
        <v>47.8471660193955</v>
      </c>
      <c r="AC3408" s="54" t="b">
        <f aca="false">AND(E3408&gt;=01_因子設定!$L$5-0.000000001,E3408&lt;=01_因子設定!$M$5+0.000000001,F3408&gt;=01_因子設定!$L$6-0.000000001,F3408&lt;=01_因子設定!$M$6+0.000000001,G3408&gt;=01_因子設定!$L$7-0.000000001,G3408&lt;=01_因子設定!$M$7+0.000000001,H3408&gt;=01_因子設定!$L$8-0.000000001,H3408&lt;=01_因子設定!$M$8+0.000000001,IF(01_因子設定!$B$20="Box-Behnken",E3408^2+F3408^2+G3408^2+H3408^2&lt;=2+0.000000001,TRUE()))</f>
        <v>1</v>
      </c>
      <c r="AD3408" s="55" t="n">
        <f aca="false">IF(AC3408,IF(01_因子設定!$B$13="最大化",AA3408-01_因子設定!$B$14,IF(01_因子設定!$B$13="最小化",01_因子設定!$B$15-AB3408,MIN(AA3408-01_因子設定!$B$14,01_因子設定!$B$15-AB3408))),-1E+030)</f>
        <v>-1.82021061003886</v>
      </c>
      <c r="AE3408" s="55" t="n">
        <f aca="false">IF(AC3408,IF(01_因子設定!$B$13="最大化",X3408,IF(01_因子設定!$B$13="最小化",-X3408,-ABS(X3408-01_因子設定!$B$16))),-1E+030)</f>
        <v>46.2634777046783</v>
      </c>
      <c r="AF3408" s="55" t="n">
        <f aca="false">AD3408+ROW()*0.000000001</f>
        <v>-1.82020720203886</v>
      </c>
      <c r="AG3408" s="55" t="n">
        <f aca="false">AE3408+ROW()*0.000000001</f>
        <v>46.2634811126783</v>
      </c>
    </row>
    <row r="3409" customFormat="false" ht="15" hidden="false" customHeight="false" outlineLevel="0" collapsed="false">
      <c r="A3409" s="0" t="n">
        <v>4</v>
      </c>
      <c r="B3409" s="0" t="n">
        <v>6</v>
      </c>
      <c r="C3409" s="0" t="n">
        <v>0</v>
      </c>
      <c r="D3409" s="0" t="n">
        <v>2</v>
      </c>
      <c r="E3409" s="0" t="n">
        <f aca="false">-1+A3409*0.25</f>
        <v>0</v>
      </c>
      <c r="F3409" s="0" t="n">
        <f aca="false">-1+B3409*0.25</f>
        <v>0.5</v>
      </c>
      <c r="G3409" s="0" t="n">
        <f aca="false">-1+C3409*0.25</f>
        <v>-1</v>
      </c>
      <c r="H3409" s="0" t="n">
        <f aca="false">-1+D3409*0.25</f>
        <v>-0.5</v>
      </c>
      <c r="I3409" s="0" t="n">
        <f aca="false">1</f>
        <v>1</v>
      </c>
      <c r="J3409" s="0" t="n">
        <f aca="false">E3409</f>
        <v>0</v>
      </c>
      <c r="K3409" s="0" t="n">
        <f aca="false">F3409</f>
        <v>0.5</v>
      </c>
      <c r="L3409" s="0" t="n">
        <f aca="false">G3409</f>
        <v>-1</v>
      </c>
      <c r="M3409" s="0" t="n">
        <f aca="false">H3409</f>
        <v>-0.5</v>
      </c>
      <c r="N3409" s="0" t="n">
        <f aca="false">E3409*F3409</f>
        <v>0</v>
      </c>
      <c r="O3409" s="0" t="n">
        <f aca="false">E3409*G3409</f>
        <v>-0</v>
      </c>
      <c r="P3409" s="0" t="n">
        <f aca="false">E3409*H3409</f>
        <v>-0</v>
      </c>
      <c r="Q3409" s="0" t="n">
        <f aca="false">F3409*G3409</f>
        <v>-0.5</v>
      </c>
      <c r="R3409" s="0" t="n">
        <f aca="false">F3409*H3409</f>
        <v>-0.25</v>
      </c>
      <c r="S3409" s="0" t="n">
        <f aca="false">G3409*H3409</f>
        <v>0.5</v>
      </c>
      <c r="T3409" s="0" t="n">
        <f aca="false">E3409*E3409</f>
        <v>0</v>
      </c>
      <c r="U3409" s="0" t="n">
        <f aca="false">F3409*F3409</f>
        <v>0.25</v>
      </c>
      <c r="V3409" s="0" t="n">
        <f aca="false">G3409*G3409</f>
        <v>1</v>
      </c>
      <c r="W3409" s="0" t="n">
        <f aca="false">H3409*H3409</f>
        <v>0.25</v>
      </c>
      <c r="X3409" s="0" t="n">
        <f aca="false">SUMPRODUCT(I3409:W3409,_XtX!$B$96:$P$96)</f>
        <v>46.3859466374269</v>
      </c>
      <c r="Y3409" s="0" t="n">
        <f aca="false">SUMPRODUCT(MMULT(I3409:W3409,_XtX!$B$78:$P$92),I3409:W3409)</f>
        <v>0.441954495614035</v>
      </c>
      <c r="Z3409" s="0" t="n">
        <f aca="false">04_回帰ANOVA!$K$19*04_回帰ANOVA!$K$14*SQRT(1+Y3409)</f>
        <v>1.56521560968066</v>
      </c>
      <c r="AA3409" s="0" t="n">
        <f aca="false">X3409-Z3409</f>
        <v>44.8207310277462</v>
      </c>
      <c r="AB3409" s="0" t="n">
        <f aca="false">X3409+Z3409</f>
        <v>47.9511622471075</v>
      </c>
      <c r="AC3409" s="54" t="b">
        <f aca="false">AND(E3409&gt;=01_因子設定!$L$5-0.000000001,E3409&lt;=01_因子設定!$M$5+0.000000001,F3409&gt;=01_因子設定!$L$6-0.000000001,F3409&lt;=01_因子設定!$M$6+0.000000001,G3409&gt;=01_因子設定!$L$7-0.000000001,G3409&lt;=01_因子設定!$M$7+0.000000001,H3409&gt;=01_因子設定!$L$8-0.000000001,H3409&lt;=01_因子設定!$M$8+0.000000001,IF(01_因子設定!$B$20="Box-Behnken",E3409^2+F3409^2+G3409^2+H3409^2&lt;=2+0.000000001,TRUE()))</f>
        <v>1</v>
      </c>
      <c r="AD3409" s="55" t="n">
        <f aca="false">IF(AC3409,IF(01_因子設定!$B$13="最大化",AA3409-01_因子設定!$B$14,IF(01_因子設定!$B$13="最小化",01_因子設定!$B$15-AB3409,MIN(AA3409-01_因子設定!$B$14,01_因子設定!$B$15-AB3409))),-1E+030)</f>
        <v>-1.67926897225382</v>
      </c>
      <c r="AE3409" s="55" t="n">
        <f aca="false">IF(AC3409,IF(01_因子設定!$B$13="最大化",X3409,IF(01_因子設定!$B$13="最小化",-X3409,-ABS(X3409-01_因子設定!$B$16))),-1E+030)</f>
        <v>46.3859466374269</v>
      </c>
      <c r="AF3409" s="55" t="n">
        <f aca="false">AD3409+ROW()*0.000000001</f>
        <v>-1.67926556325382</v>
      </c>
      <c r="AG3409" s="55" t="n">
        <f aca="false">AE3409+ROW()*0.000000001</f>
        <v>46.3859500464269</v>
      </c>
    </row>
    <row r="3410" customFormat="false" ht="15" hidden="false" customHeight="false" outlineLevel="0" collapsed="false">
      <c r="A3410" s="0" t="n">
        <v>4</v>
      </c>
      <c r="B3410" s="0" t="n">
        <v>6</v>
      </c>
      <c r="C3410" s="0" t="n">
        <v>0</v>
      </c>
      <c r="D3410" s="0" t="n">
        <v>3</v>
      </c>
      <c r="E3410" s="0" t="n">
        <f aca="false">-1+A3410*0.25</f>
        <v>0</v>
      </c>
      <c r="F3410" s="0" t="n">
        <f aca="false">-1+B3410*0.25</f>
        <v>0.5</v>
      </c>
      <c r="G3410" s="0" t="n">
        <f aca="false">-1+C3410*0.25</f>
        <v>-1</v>
      </c>
      <c r="H3410" s="0" t="n">
        <f aca="false">-1+D3410*0.25</f>
        <v>-0.25</v>
      </c>
      <c r="I3410" s="0" t="n">
        <f aca="false">1</f>
        <v>1</v>
      </c>
      <c r="J3410" s="0" t="n">
        <f aca="false">E3410</f>
        <v>0</v>
      </c>
      <c r="K3410" s="0" t="n">
        <f aca="false">F3410</f>
        <v>0.5</v>
      </c>
      <c r="L3410" s="0" t="n">
        <f aca="false">G3410</f>
        <v>-1</v>
      </c>
      <c r="M3410" s="0" t="n">
        <f aca="false">H3410</f>
        <v>-0.25</v>
      </c>
      <c r="N3410" s="0" t="n">
        <f aca="false">E3410*F3410</f>
        <v>0</v>
      </c>
      <c r="O3410" s="0" t="n">
        <f aca="false">E3410*G3410</f>
        <v>-0</v>
      </c>
      <c r="P3410" s="0" t="n">
        <f aca="false">E3410*H3410</f>
        <v>-0</v>
      </c>
      <c r="Q3410" s="0" t="n">
        <f aca="false">F3410*G3410</f>
        <v>-0.5</v>
      </c>
      <c r="R3410" s="0" t="n">
        <f aca="false">F3410*H3410</f>
        <v>-0.125</v>
      </c>
      <c r="S3410" s="0" t="n">
        <f aca="false">G3410*H3410</f>
        <v>0.25</v>
      </c>
      <c r="T3410" s="0" t="n">
        <f aca="false">E3410*E3410</f>
        <v>0</v>
      </c>
      <c r="U3410" s="0" t="n">
        <f aca="false">F3410*F3410</f>
        <v>0.25</v>
      </c>
      <c r="V3410" s="0" t="n">
        <f aca="false">G3410*G3410</f>
        <v>1</v>
      </c>
      <c r="W3410" s="0" t="n">
        <f aca="false">H3410*H3410</f>
        <v>0.0625</v>
      </c>
      <c r="X3410" s="0" t="n">
        <f aca="false">SUMPRODUCT(I3410:W3410,_XtX!$B$96:$P$96)</f>
        <v>46.4606085526315</v>
      </c>
      <c r="Y3410" s="0" t="n">
        <f aca="false">SUMPRODUCT(MMULT(I3410:W3410,_XtX!$B$78:$P$92),I3410:W3410)</f>
        <v>0.457596628289474</v>
      </c>
      <c r="Z3410" s="0" t="n">
        <f aca="false">04_回帰ANOVA!$K$19*04_回帰ANOVA!$K$14*SQRT(1+Y3410)</f>
        <v>1.57368233664366</v>
      </c>
      <c r="AA3410" s="0" t="n">
        <f aca="false">X3410-Z3410</f>
        <v>44.8869262159879</v>
      </c>
      <c r="AB3410" s="0" t="n">
        <f aca="false">X3410+Z3410</f>
        <v>48.0342908892752</v>
      </c>
      <c r="AC3410" s="54" t="b">
        <f aca="false">AND(E3410&gt;=01_因子設定!$L$5-0.000000001,E3410&lt;=01_因子設定!$M$5+0.000000001,F3410&gt;=01_因子設定!$L$6-0.000000001,F3410&lt;=01_因子設定!$M$6+0.000000001,G3410&gt;=01_因子設定!$L$7-0.000000001,G3410&lt;=01_因子設定!$M$7+0.000000001,H3410&gt;=01_因子設定!$L$8-0.000000001,H3410&lt;=01_因子設定!$M$8+0.000000001,IF(01_因子設定!$B$20="Box-Behnken",E3410^2+F3410^2+G3410^2+H3410^2&lt;=2+0.000000001,TRUE()))</f>
        <v>1</v>
      </c>
      <c r="AD3410" s="55" t="n">
        <f aca="false">IF(AC3410,IF(01_因子設定!$B$13="最大化",AA3410-01_因子設定!$B$14,IF(01_因子設定!$B$13="最小化",01_因子設定!$B$15-AB3410,MIN(AA3410-01_因子設定!$B$14,01_因子設定!$B$15-AB3410))),-1E+030)</f>
        <v>-1.61307378401214</v>
      </c>
      <c r="AE3410" s="55" t="n">
        <f aca="false">IF(AC3410,IF(01_因子設定!$B$13="最大化",X3410,IF(01_因子設定!$B$13="最小化",-X3410,-ABS(X3410-01_因子設定!$B$16))),-1E+030)</f>
        <v>46.4606085526315</v>
      </c>
      <c r="AF3410" s="55" t="n">
        <f aca="false">AD3410+ROW()*0.000000001</f>
        <v>-1.61307037401214</v>
      </c>
      <c r="AG3410" s="55" t="n">
        <f aca="false">AE3410+ROW()*0.000000001</f>
        <v>46.4606119626315</v>
      </c>
    </row>
    <row r="3411" customFormat="false" ht="15" hidden="false" customHeight="false" outlineLevel="0" collapsed="false">
      <c r="A3411" s="0" t="n">
        <v>4</v>
      </c>
      <c r="B3411" s="0" t="n">
        <v>6</v>
      </c>
      <c r="C3411" s="0" t="n">
        <v>0</v>
      </c>
      <c r="D3411" s="0" t="n">
        <v>4</v>
      </c>
      <c r="E3411" s="0" t="n">
        <f aca="false">-1+A3411*0.25</f>
        <v>0</v>
      </c>
      <c r="F3411" s="0" t="n">
        <f aca="false">-1+B3411*0.25</f>
        <v>0.5</v>
      </c>
      <c r="G3411" s="0" t="n">
        <f aca="false">-1+C3411*0.25</f>
        <v>-1</v>
      </c>
      <c r="H3411" s="0" t="n">
        <f aca="false">-1+D3411*0.25</f>
        <v>0</v>
      </c>
      <c r="I3411" s="0" t="n">
        <f aca="false">1</f>
        <v>1</v>
      </c>
      <c r="J3411" s="0" t="n">
        <f aca="false">E3411</f>
        <v>0</v>
      </c>
      <c r="K3411" s="0" t="n">
        <f aca="false">F3411</f>
        <v>0.5</v>
      </c>
      <c r="L3411" s="0" t="n">
        <f aca="false">G3411</f>
        <v>-1</v>
      </c>
      <c r="M3411" s="0" t="n">
        <f aca="false">H3411</f>
        <v>0</v>
      </c>
      <c r="N3411" s="0" t="n">
        <f aca="false">E3411*F3411</f>
        <v>0</v>
      </c>
      <c r="O3411" s="0" t="n">
        <f aca="false">E3411*G3411</f>
        <v>-0</v>
      </c>
      <c r="P3411" s="0" t="n">
        <f aca="false">E3411*H3411</f>
        <v>0</v>
      </c>
      <c r="Q3411" s="0" t="n">
        <f aca="false">F3411*G3411</f>
        <v>-0.5</v>
      </c>
      <c r="R3411" s="0" t="n">
        <f aca="false">F3411*H3411</f>
        <v>0</v>
      </c>
      <c r="S3411" s="0" t="n">
        <f aca="false">G3411*H3411</f>
        <v>-0</v>
      </c>
      <c r="T3411" s="0" t="n">
        <f aca="false">E3411*E3411</f>
        <v>0</v>
      </c>
      <c r="U3411" s="0" t="n">
        <f aca="false">F3411*F3411</f>
        <v>0.25</v>
      </c>
      <c r="V3411" s="0" t="n">
        <f aca="false">G3411*G3411</f>
        <v>1</v>
      </c>
      <c r="W3411" s="0" t="n">
        <f aca="false">H3411*H3411</f>
        <v>0</v>
      </c>
      <c r="X3411" s="0" t="n">
        <f aca="false">SUMPRODUCT(I3411:W3411,_XtX!$B$96:$P$96)</f>
        <v>46.4874634502923</v>
      </c>
      <c r="Y3411" s="0" t="n">
        <f aca="false">SUMPRODUCT(MMULT(I3411:W3411,_XtX!$B$78:$P$92),I3411:W3411)</f>
        <v>0.468841374269006</v>
      </c>
      <c r="Z3411" s="0" t="n">
        <f aca="false">04_回帰ANOVA!$K$19*04_回帰ANOVA!$K$14*SQRT(1+Y3411)</f>
        <v>1.57974082366087</v>
      </c>
      <c r="AA3411" s="0" t="n">
        <f aca="false">X3411-Z3411</f>
        <v>44.9077226266315</v>
      </c>
      <c r="AB3411" s="0" t="n">
        <f aca="false">X3411+Z3411</f>
        <v>48.0672042739532</v>
      </c>
      <c r="AC3411" s="54" t="b">
        <f aca="false">AND(E3411&gt;=01_因子設定!$L$5-0.000000001,E3411&lt;=01_因子設定!$M$5+0.000000001,F3411&gt;=01_因子設定!$L$6-0.000000001,F3411&lt;=01_因子設定!$M$6+0.000000001,G3411&gt;=01_因子設定!$L$7-0.000000001,G3411&lt;=01_因子設定!$M$7+0.000000001,H3411&gt;=01_因子設定!$L$8-0.000000001,H3411&lt;=01_因子設定!$M$8+0.000000001,IF(01_因子設定!$B$20="Box-Behnken",E3411^2+F3411^2+G3411^2+H3411^2&lt;=2+0.000000001,TRUE()))</f>
        <v>1</v>
      </c>
      <c r="AD3411" s="55" t="n">
        <f aca="false">IF(AC3411,IF(01_因子設定!$B$13="最大化",AA3411-01_因子設定!$B$14,IF(01_因子設定!$B$13="最小化",01_因子設定!$B$15-AB3411,MIN(AA3411-01_因子設定!$B$14,01_因子設定!$B$15-AB3411))),-1E+030)</f>
        <v>-1.59227737336854</v>
      </c>
      <c r="AE3411" s="55" t="n">
        <f aca="false">IF(AC3411,IF(01_因子設定!$B$13="最大化",X3411,IF(01_因子設定!$B$13="最小化",-X3411,-ABS(X3411-01_因子設定!$B$16))),-1E+030)</f>
        <v>46.4874634502923</v>
      </c>
      <c r="AF3411" s="55" t="n">
        <f aca="false">AD3411+ROW()*0.000000001</f>
        <v>-1.59227396236854</v>
      </c>
      <c r="AG3411" s="55" t="n">
        <f aca="false">AE3411+ROW()*0.000000001</f>
        <v>46.4874668612923</v>
      </c>
    </row>
    <row r="3412" customFormat="false" ht="15" hidden="false" customHeight="false" outlineLevel="0" collapsed="false">
      <c r="A3412" s="0" t="n">
        <v>4</v>
      </c>
      <c r="B3412" s="0" t="n">
        <v>6</v>
      </c>
      <c r="C3412" s="0" t="n">
        <v>0</v>
      </c>
      <c r="D3412" s="0" t="n">
        <v>5</v>
      </c>
      <c r="E3412" s="0" t="n">
        <f aca="false">-1+A3412*0.25</f>
        <v>0</v>
      </c>
      <c r="F3412" s="0" t="n">
        <f aca="false">-1+B3412*0.25</f>
        <v>0.5</v>
      </c>
      <c r="G3412" s="0" t="n">
        <f aca="false">-1+C3412*0.25</f>
        <v>-1</v>
      </c>
      <c r="H3412" s="0" t="n">
        <f aca="false">-1+D3412*0.25</f>
        <v>0.25</v>
      </c>
      <c r="I3412" s="0" t="n">
        <f aca="false">1</f>
        <v>1</v>
      </c>
      <c r="J3412" s="0" t="n">
        <f aca="false">E3412</f>
        <v>0</v>
      </c>
      <c r="K3412" s="0" t="n">
        <f aca="false">F3412</f>
        <v>0.5</v>
      </c>
      <c r="L3412" s="0" t="n">
        <f aca="false">G3412</f>
        <v>-1</v>
      </c>
      <c r="M3412" s="0" t="n">
        <f aca="false">H3412</f>
        <v>0.25</v>
      </c>
      <c r="N3412" s="0" t="n">
        <f aca="false">E3412*F3412</f>
        <v>0</v>
      </c>
      <c r="O3412" s="0" t="n">
        <f aca="false">E3412*G3412</f>
        <v>-0</v>
      </c>
      <c r="P3412" s="0" t="n">
        <f aca="false">E3412*H3412</f>
        <v>0</v>
      </c>
      <c r="Q3412" s="0" t="n">
        <f aca="false">F3412*G3412</f>
        <v>-0.5</v>
      </c>
      <c r="R3412" s="0" t="n">
        <f aca="false">F3412*H3412</f>
        <v>0.125</v>
      </c>
      <c r="S3412" s="0" t="n">
        <f aca="false">G3412*H3412</f>
        <v>-0.25</v>
      </c>
      <c r="T3412" s="0" t="n">
        <f aca="false">E3412*E3412</f>
        <v>0</v>
      </c>
      <c r="U3412" s="0" t="n">
        <f aca="false">F3412*F3412</f>
        <v>0.25</v>
      </c>
      <c r="V3412" s="0" t="n">
        <f aca="false">G3412*G3412</f>
        <v>1</v>
      </c>
      <c r="W3412" s="0" t="n">
        <f aca="false">H3412*H3412</f>
        <v>0.0625</v>
      </c>
      <c r="X3412" s="0" t="n">
        <f aca="false">SUMPRODUCT(I3412:W3412,_XtX!$B$96:$P$96)</f>
        <v>46.4665113304093</v>
      </c>
      <c r="Y3412" s="0" t="n">
        <f aca="false">SUMPRODUCT(MMULT(I3412:W3412,_XtX!$B$78:$P$92),I3412:W3412)</f>
        <v>0.457596628289474</v>
      </c>
      <c r="Z3412" s="0" t="n">
        <f aca="false">04_回帰ANOVA!$K$19*04_回帰ANOVA!$K$14*SQRT(1+Y3412)</f>
        <v>1.57368233664366</v>
      </c>
      <c r="AA3412" s="0" t="n">
        <f aca="false">X3412-Z3412</f>
        <v>44.8928289937656</v>
      </c>
      <c r="AB3412" s="0" t="n">
        <f aca="false">X3412+Z3412</f>
        <v>48.040193667053</v>
      </c>
      <c r="AC3412" s="54" t="b">
        <f aca="false">AND(E3412&gt;=01_因子設定!$L$5-0.000000001,E3412&lt;=01_因子設定!$M$5+0.000000001,F3412&gt;=01_因子設定!$L$6-0.000000001,F3412&lt;=01_因子設定!$M$6+0.000000001,G3412&gt;=01_因子設定!$L$7-0.000000001,G3412&lt;=01_因子設定!$M$7+0.000000001,H3412&gt;=01_因子設定!$L$8-0.000000001,H3412&lt;=01_因子設定!$M$8+0.000000001,IF(01_因子設定!$B$20="Box-Behnken",E3412^2+F3412^2+G3412^2+H3412^2&lt;=2+0.000000001,TRUE()))</f>
        <v>1</v>
      </c>
      <c r="AD3412" s="55" t="n">
        <f aca="false">IF(AC3412,IF(01_因子設定!$B$13="最大化",AA3412-01_因子設定!$B$14,IF(01_因子設定!$B$13="最小化",01_因子設定!$B$15-AB3412,MIN(AA3412-01_因子設定!$B$14,01_因子設定!$B$15-AB3412))),-1E+030)</f>
        <v>-1.60717100623436</v>
      </c>
      <c r="AE3412" s="55" t="n">
        <f aca="false">IF(AC3412,IF(01_因子設定!$B$13="最大化",X3412,IF(01_因子設定!$B$13="最小化",-X3412,-ABS(X3412-01_因子設定!$B$16))),-1E+030)</f>
        <v>46.4665113304093</v>
      </c>
      <c r="AF3412" s="55" t="n">
        <f aca="false">AD3412+ROW()*0.000000001</f>
        <v>-1.60716759423436</v>
      </c>
      <c r="AG3412" s="55" t="n">
        <f aca="false">AE3412+ROW()*0.000000001</f>
        <v>46.4665147424093</v>
      </c>
    </row>
    <row r="3413" customFormat="false" ht="15" hidden="false" customHeight="false" outlineLevel="0" collapsed="false">
      <c r="A3413" s="0" t="n">
        <v>4</v>
      </c>
      <c r="B3413" s="0" t="n">
        <v>6</v>
      </c>
      <c r="C3413" s="0" t="n">
        <v>0</v>
      </c>
      <c r="D3413" s="0" t="n">
        <v>6</v>
      </c>
      <c r="E3413" s="0" t="n">
        <f aca="false">-1+A3413*0.25</f>
        <v>0</v>
      </c>
      <c r="F3413" s="0" t="n">
        <f aca="false">-1+B3413*0.25</f>
        <v>0.5</v>
      </c>
      <c r="G3413" s="0" t="n">
        <f aca="false">-1+C3413*0.25</f>
        <v>-1</v>
      </c>
      <c r="H3413" s="0" t="n">
        <f aca="false">-1+D3413*0.25</f>
        <v>0.5</v>
      </c>
      <c r="I3413" s="0" t="n">
        <f aca="false">1</f>
        <v>1</v>
      </c>
      <c r="J3413" s="0" t="n">
        <f aca="false">E3413</f>
        <v>0</v>
      </c>
      <c r="K3413" s="0" t="n">
        <f aca="false">F3413</f>
        <v>0.5</v>
      </c>
      <c r="L3413" s="0" t="n">
        <f aca="false">G3413</f>
        <v>-1</v>
      </c>
      <c r="M3413" s="0" t="n">
        <f aca="false">H3413</f>
        <v>0.5</v>
      </c>
      <c r="N3413" s="0" t="n">
        <f aca="false">E3413*F3413</f>
        <v>0</v>
      </c>
      <c r="O3413" s="0" t="n">
        <f aca="false">E3413*G3413</f>
        <v>-0</v>
      </c>
      <c r="P3413" s="0" t="n">
        <f aca="false">E3413*H3413</f>
        <v>0</v>
      </c>
      <c r="Q3413" s="0" t="n">
        <f aca="false">F3413*G3413</f>
        <v>-0.5</v>
      </c>
      <c r="R3413" s="0" t="n">
        <f aca="false">F3413*H3413</f>
        <v>0.25</v>
      </c>
      <c r="S3413" s="0" t="n">
        <f aca="false">G3413*H3413</f>
        <v>-0.5</v>
      </c>
      <c r="T3413" s="0" t="n">
        <f aca="false">E3413*E3413</f>
        <v>0</v>
      </c>
      <c r="U3413" s="0" t="n">
        <f aca="false">F3413*F3413</f>
        <v>0.25</v>
      </c>
      <c r="V3413" s="0" t="n">
        <f aca="false">G3413*G3413</f>
        <v>1</v>
      </c>
      <c r="W3413" s="0" t="n">
        <f aca="false">H3413*H3413</f>
        <v>0.25</v>
      </c>
      <c r="X3413" s="0" t="n">
        <f aca="false">SUMPRODUCT(I3413:W3413,_XtX!$B$96:$P$96)</f>
        <v>46.3977521929824</v>
      </c>
      <c r="Y3413" s="0" t="n">
        <f aca="false">SUMPRODUCT(MMULT(I3413:W3413,_XtX!$B$78:$P$92),I3413:W3413)</f>
        <v>0.441954495614035</v>
      </c>
      <c r="Z3413" s="0" t="n">
        <f aca="false">04_回帰ANOVA!$K$19*04_回帰ANOVA!$K$14*SQRT(1+Y3413)</f>
        <v>1.56521560968066</v>
      </c>
      <c r="AA3413" s="0" t="n">
        <f aca="false">X3413-Z3413</f>
        <v>44.8325365833017</v>
      </c>
      <c r="AB3413" s="0" t="n">
        <f aca="false">X3413+Z3413</f>
        <v>47.9629678026631</v>
      </c>
      <c r="AC3413" s="54" t="b">
        <f aca="false">AND(E3413&gt;=01_因子設定!$L$5-0.000000001,E3413&lt;=01_因子設定!$M$5+0.000000001,F3413&gt;=01_因子設定!$L$6-0.000000001,F3413&lt;=01_因子設定!$M$6+0.000000001,G3413&gt;=01_因子設定!$L$7-0.000000001,G3413&lt;=01_因子設定!$M$7+0.000000001,H3413&gt;=01_因子設定!$L$8-0.000000001,H3413&lt;=01_因子設定!$M$8+0.000000001,IF(01_因子設定!$B$20="Box-Behnken",E3413^2+F3413^2+G3413^2+H3413^2&lt;=2+0.000000001,TRUE()))</f>
        <v>1</v>
      </c>
      <c r="AD3413" s="55" t="n">
        <f aca="false">IF(AC3413,IF(01_因子設定!$B$13="最大化",AA3413-01_因子設定!$B$14,IF(01_因子設定!$B$13="最小化",01_因子設定!$B$15-AB3413,MIN(AA3413-01_因子設定!$B$14,01_因子設定!$B$15-AB3413))),-1E+030)</f>
        <v>-1.66746341669826</v>
      </c>
      <c r="AE3413" s="55" t="n">
        <f aca="false">IF(AC3413,IF(01_因子設定!$B$13="最大化",X3413,IF(01_因子設定!$B$13="最小化",-X3413,-ABS(X3413-01_因子設定!$B$16))),-1E+030)</f>
        <v>46.3977521929824</v>
      </c>
      <c r="AF3413" s="55" t="n">
        <f aca="false">AD3413+ROW()*0.000000001</f>
        <v>-1.66746000369826</v>
      </c>
      <c r="AG3413" s="55" t="n">
        <f aca="false">AE3413+ROW()*0.000000001</f>
        <v>46.3977556059824</v>
      </c>
    </row>
    <row r="3414" customFormat="false" ht="15" hidden="false" customHeight="false" outlineLevel="0" collapsed="false">
      <c r="A3414" s="0" t="n">
        <v>4</v>
      </c>
      <c r="B3414" s="0" t="n">
        <v>6</v>
      </c>
      <c r="C3414" s="0" t="n">
        <v>0</v>
      </c>
      <c r="D3414" s="0" t="n">
        <v>7</v>
      </c>
      <c r="E3414" s="0" t="n">
        <f aca="false">-1+A3414*0.25</f>
        <v>0</v>
      </c>
      <c r="F3414" s="0" t="n">
        <f aca="false">-1+B3414*0.25</f>
        <v>0.5</v>
      </c>
      <c r="G3414" s="0" t="n">
        <f aca="false">-1+C3414*0.25</f>
        <v>-1</v>
      </c>
      <c r="H3414" s="0" t="n">
        <f aca="false">-1+D3414*0.25</f>
        <v>0.75</v>
      </c>
      <c r="I3414" s="0" t="n">
        <f aca="false">1</f>
        <v>1</v>
      </c>
      <c r="J3414" s="0" t="n">
        <f aca="false">E3414</f>
        <v>0</v>
      </c>
      <c r="K3414" s="0" t="n">
        <f aca="false">F3414</f>
        <v>0.5</v>
      </c>
      <c r="L3414" s="0" t="n">
        <f aca="false">G3414</f>
        <v>-1</v>
      </c>
      <c r="M3414" s="0" t="n">
        <f aca="false">H3414</f>
        <v>0.75</v>
      </c>
      <c r="N3414" s="0" t="n">
        <f aca="false">E3414*F3414</f>
        <v>0</v>
      </c>
      <c r="O3414" s="0" t="n">
        <f aca="false">E3414*G3414</f>
        <v>-0</v>
      </c>
      <c r="P3414" s="0" t="n">
        <f aca="false">E3414*H3414</f>
        <v>0</v>
      </c>
      <c r="Q3414" s="0" t="n">
        <f aca="false">F3414*G3414</f>
        <v>-0.5</v>
      </c>
      <c r="R3414" s="0" t="n">
        <f aca="false">F3414*H3414</f>
        <v>0.375</v>
      </c>
      <c r="S3414" s="0" t="n">
        <f aca="false">G3414*H3414</f>
        <v>-0.75</v>
      </c>
      <c r="T3414" s="0" t="n">
        <f aca="false">E3414*E3414</f>
        <v>0</v>
      </c>
      <c r="U3414" s="0" t="n">
        <f aca="false">F3414*F3414</f>
        <v>0.25</v>
      </c>
      <c r="V3414" s="0" t="n">
        <f aca="false">G3414*G3414</f>
        <v>1</v>
      </c>
      <c r="W3414" s="0" t="n">
        <f aca="false">H3414*H3414</f>
        <v>0.5625</v>
      </c>
      <c r="X3414" s="0" t="n">
        <f aca="false">SUMPRODUCT(I3414:W3414,_XtX!$B$96:$P$96)</f>
        <v>46.2811860380117</v>
      </c>
      <c r="Y3414" s="0" t="n">
        <f aca="false">SUMPRODUCT(MMULT(I3414:W3414,_XtX!$B$78:$P$92),I3414:W3414)</f>
        <v>0.476191292032164</v>
      </c>
      <c r="Z3414" s="0" t="n">
        <f aca="false">04_回帰ANOVA!$K$19*04_回帰ANOVA!$K$14*SQRT(1+Y3414)</f>
        <v>1.58368831471718</v>
      </c>
      <c r="AA3414" s="0" t="n">
        <f aca="false">X3414-Z3414</f>
        <v>44.6974977232945</v>
      </c>
      <c r="AB3414" s="0" t="n">
        <f aca="false">X3414+Z3414</f>
        <v>47.8648743527288</v>
      </c>
      <c r="AC3414" s="54" t="b">
        <f aca="false">AND(E3414&gt;=01_因子設定!$L$5-0.000000001,E3414&lt;=01_因子設定!$M$5+0.000000001,F3414&gt;=01_因子設定!$L$6-0.000000001,F3414&lt;=01_因子設定!$M$6+0.000000001,G3414&gt;=01_因子設定!$L$7-0.000000001,G3414&lt;=01_因子設定!$M$7+0.000000001,H3414&gt;=01_因子設定!$L$8-0.000000001,H3414&lt;=01_因子設定!$M$8+0.000000001,IF(01_因子設定!$B$20="Box-Behnken",E3414^2+F3414^2+G3414^2+H3414^2&lt;=2+0.000000001,TRUE()))</f>
        <v>1</v>
      </c>
      <c r="AD3414" s="55" t="n">
        <f aca="false">IF(AC3414,IF(01_因子設定!$B$13="最大化",AA3414-01_因子設定!$B$14,IF(01_因子設定!$B$13="最小化",01_因子設定!$B$15-AB3414,MIN(AA3414-01_因子設定!$B$14,01_因子設定!$B$15-AB3414))),-1E+030)</f>
        <v>-1.80250227670552</v>
      </c>
      <c r="AE3414" s="55" t="n">
        <f aca="false">IF(AC3414,IF(01_因子設定!$B$13="最大化",X3414,IF(01_因子設定!$B$13="最小化",-X3414,-ABS(X3414-01_因子設定!$B$16))),-1E+030)</f>
        <v>46.2811860380117</v>
      </c>
      <c r="AF3414" s="55" t="n">
        <f aca="false">AD3414+ROW()*0.000000001</f>
        <v>-1.80249886270552</v>
      </c>
      <c r="AG3414" s="55" t="n">
        <f aca="false">AE3414+ROW()*0.000000001</f>
        <v>46.2811894520117</v>
      </c>
    </row>
    <row r="3415" customFormat="false" ht="15" hidden="false" customHeight="false" outlineLevel="0" collapsed="false">
      <c r="A3415" s="0" t="n">
        <v>4</v>
      </c>
      <c r="B3415" s="0" t="n">
        <v>6</v>
      </c>
      <c r="C3415" s="0" t="n">
        <v>0</v>
      </c>
      <c r="D3415" s="0" t="n">
        <v>8</v>
      </c>
      <c r="E3415" s="0" t="n">
        <f aca="false">-1+A3415*0.25</f>
        <v>0</v>
      </c>
      <c r="F3415" s="0" t="n">
        <f aca="false">-1+B3415*0.25</f>
        <v>0.5</v>
      </c>
      <c r="G3415" s="0" t="n">
        <f aca="false">-1+C3415*0.25</f>
        <v>-1</v>
      </c>
      <c r="H3415" s="0" t="n">
        <f aca="false">-1+D3415*0.25</f>
        <v>1</v>
      </c>
      <c r="I3415" s="0" t="n">
        <f aca="false">1</f>
        <v>1</v>
      </c>
      <c r="J3415" s="0" t="n">
        <f aca="false">E3415</f>
        <v>0</v>
      </c>
      <c r="K3415" s="0" t="n">
        <f aca="false">F3415</f>
        <v>0.5</v>
      </c>
      <c r="L3415" s="0" t="n">
        <f aca="false">G3415</f>
        <v>-1</v>
      </c>
      <c r="M3415" s="0" t="n">
        <f aca="false">H3415</f>
        <v>1</v>
      </c>
      <c r="N3415" s="0" t="n">
        <f aca="false">E3415*F3415</f>
        <v>0</v>
      </c>
      <c r="O3415" s="0" t="n">
        <f aca="false">E3415*G3415</f>
        <v>-0</v>
      </c>
      <c r="P3415" s="0" t="n">
        <f aca="false">E3415*H3415</f>
        <v>0</v>
      </c>
      <c r="Q3415" s="0" t="n">
        <f aca="false">F3415*G3415</f>
        <v>-0.5</v>
      </c>
      <c r="R3415" s="0" t="n">
        <f aca="false">F3415*H3415</f>
        <v>0.5</v>
      </c>
      <c r="S3415" s="0" t="n">
        <f aca="false">G3415*H3415</f>
        <v>-1</v>
      </c>
      <c r="T3415" s="0" t="n">
        <f aca="false">E3415*E3415</f>
        <v>0</v>
      </c>
      <c r="U3415" s="0" t="n">
        <f aca="false">F3415*F3415</f>
        <v>0.25</v>
      </c>
      <c r="V3415" s="0" t="n">
        <f aca="false">G3415*G3415</f>
        <v>1</v>
      </c>
      <c r="W3415" s="0" t="n">
        <f aca="false">H3415*H3415</f>
        <v>1</v>
      </c>
      <c r="X3415" s="0" t="n">
        <f aca="false">SUMPRODUCT(I3415:W3415,_XtX!$B$96:$P$96)</f>
        <v>46.1168128654971</v>
      </c>
      <c r="Y3415" s="0" t="n">
        <f aca="false">SUMPRODUCT(MMULT(I3415:W3415,_XtX!$B$78:$P$92),I3415:W3415)</f>
        <v>0.650767543859649</v>
      </c>
      <c r="Z3415" s="0" t="n">
        <f aca="false">04_回帰ANOVA!$K$19*04_回帰ANOVA!$K$14*SQRT(1+Y3415)</f>
        <v>1.67471670935165</v>
      </c>
      <c r="AA3415" s="0" t="n">
        <f aca="false">X3415-Z3415</f>
        <v>44.4420961561454</v>
      </c>
      <c r="AB3415" s="0" t="n">
        <f aca="false">X3415+Z3415</f>
        <v>47.7915295748487</v>
      </c>
      <c r="AC3415" s="54" t="b">
        <f aca="false">AND(E3415&gt;=01_因子設定!$L$5-0.000000001,E3415&lt;=01_因子設定!$M$5+0.000000001,F3415&gt;=01_因子設定!$L$6-0.000000001,F3415&lt;=01_因子設定!$M$6+0.000000001,G3415&gt;=01_因子設定!$L$7-0.000000001,G3415&lt;=01_因子設定!$M$7+0.000000001,H3415&gt;=01_因子設定!$L$8-0.000000001,H3415&lt;=01_因子設定!$M$8+0.000000001,IF(01_因子設定!$B$20="Box-Behnken",E3415^2+F3415^2+G3415^2+H3415^2&lt;=2+0.000000001,TRUE()))</f>
        <v>1</v>
      </c>
      <c r="AD3415" s="55" t="n">
        <f aca="false">IF(AC3415,IF(01_因子設定!$B$13="最大化",AA3415-01_因子設定!$B$14,IF(01_因子設定!$B$13="最小化",01_因子設定!$B$15-AB3415,MIN(AA3415-01_因子設定!$B$14,01_因子設定!$B$15-AB3415))),-1E+030)</f>
        <v>-2.0579038438546</v>
      </c>
      <c r="AE3415" s="55" t="n">
        <f aca="false">IF(AC3415,IF(01_因子設定!$B$13="最大化",X3415,IF(01_因子設定!$B$13="最小化",-X3415,-ABS(X3415-01_因子設定!$B$16))),-1E+030)</f>
        <v>46.1168128654971</v>
      </c>
      <c r="AF3415" s="55" t="n">
        <f aca="false">AD3415+ROW()*0.000000001</f>
        <v>-2.0579004288546</v>
      </c>
      <c r="AG3415" s="55" t="n">
        <f aca="false">AE3415+ROW()*0.000000001</f>
        <v>46.1168162804971</v>
      </c>
    </row>
    <row r="3416" customFormat="false" ht="15" hidden="false" customHeight="false" outlineLevel="0" collapsed="false">
      <c r="A3416" s="0" t="n">
        <v>4</v>
      </c>
      <c r="B3416" s="0" t="n">
        <v>6</v>
      </c>
      <c r="C3416" s="0" t="n">
        <v>1</v>
      </c>
      <c r="D3416" s="0" t="n">
        <v>0</v>
      </c>
      <c r="E3416" s="0" t="n">
        <f aca="false">-1+A3416*0.25</f>
        <v>0</v>
      </c>
      <c r="F3416" s="0" t="n">
        <f aca="false">-1+B3416*0.25</f>
        <v>0.5</v>
      </c>
      <c r="G3416" s="0" t="n">
        <f aca="false">-1+C3416*0.25</f>
        <v>-0.75</v>
      </c>
      <c r="H3416" s="0" t="n">
        <f aca="false">-1+D3416*0.25</f>
        <v>-1</v>
      </c>
      <c r="I3416" s="0" t="n">
        <f aca="false">1</f>
        <v>1</v>
      </c>
      <c r="J3416" s="0" t="n">
        <f aca="false">E3416</f>
        <v>0</v>
      </c>
      <c r="K3416" s="0" t="n">
        <f aca="false">F3416</f>
        <v>0.5</v>
      </c>
      <c r="L3416" s="0" t="n">
        <f aca="false">G3416</f>
        <v>-0.75</v>
      </c>
      <c r="M3416" s="0" t="n">
        <f aca="false">H3416</f>
        <v>-1</v>
      </c>
      <c r="N3416" s="0" t="n">
        <f aca="false">E3416*F3416</f>
        <v>0</v>
      </c>
      <c r="O3416" s="0" t="n">
        <f aca="false">E3416*G3416</f>
        <v>-0</v>
      </c>
      <c r="P3416" s="0" t="n">
        <f aca="false">E3416*H3416</f>
        <v>-0</v>
      </c>
      <c r="Q3416" s="0" t="n">
        <f aca="false">F3416*G3416</f>
        <v>-0.375</v>
      </c>
      <c r="R3416" s="0" t="n">
        <f aca="false">F3416*H3416</f>
        <v>-0.5</v>
      </c>
      <c r="S3416" s="0" t="n">
        <f aca="false">G3416*H3416</f>
        <v>0.75</v>
      </c>
      <c r="T3416" s="0" t="n">
        <f aca="false">E3416*E3416</f>
        <v>0</v>
      </c>
      <c r="U3416" s="0" t="n">
        <f aca="false">F3416*F3416</f>
        <v>0.25</v>
      </c>
      <c r="V3416" s="0" t="n">
        <f aca="false">G3416*G3416</f>
        <v>0.5625</v>
      </c>
      <c r="W3416" s="0" t="n">
        <f aca="false">H3416*H3416</f>
        <v>1</v>
      </c>
      <c r="X3416" s="0" t="n">
        <f aca="false">SUMPRODUCT(I3416:W3416,_XtX!$B$96:$P$96)</f>
        <v>46.6047971491228</v>
      </c>
      <c r="Y3416" s="0" t="n">
        <f aca="false">SUMPRODUCT(MMULT(I3416:W3416,_XtX!$B$78:$P$92),I3416:W3416)</f>
        <v>0.476191292032164</v>
      </c>
      <c r="Z3416" s="0" t="n">
        <f aca="false">04_回帰ANOVA!$K$19*04_回帰ANOVA!$K$14*SQRT(1+Y3416)</f>
        <v>1.58368831471718</v>
      </c>
      <c r="AA3416" s="0" t="n">
        <f aca="false">X3416-Z3416</f>
        <v>45.0211088344056</v>
      </c>
      <c r="AB3416" s="0" t="n">
        <f aca="false">X3416+Z3416</f>
        <v>48.18848546384</v>
      </c>
      <c r="AC3416" s="54" t="b">
        <f aca="false">AND(E3416&gt;=01_因子設定!$L$5-0.000000001,E3416&lt;=01_因子設定!$M$5+0.000000001,F3416&gt;=01_因子設定!$L$6-0.000000001,F3416&lt;=01_因子設定!$M$6+0.000000001,G3416&gt;=01_因子設定!$L$7-0.000000001,G3416&lt;=01_因子設定!$M$7+0.000000001,H3416&gt;=01_因子設定!$L$8-0.000000001,H3416&lt;=01_因子設定!$M$8+0.000000001,IF(01_因子設定!$B$20="Box-Behnken",E3416^2+F3416^2+G3416^2+H3416^2&lt;=2+0.000000001,TRUE()))</f>
        <v>1</v>
      </c>
      <c r="AD3416" s="55" t="n">
        <f aca="false">IF(AC3416,IF(01_因子設定!$B$13="最大化",AA3416-01_因子設定!$B$14,IF(01_因子設定!$B$13="最小化",01_因子設定!$B$15-AB3416,MIN(AA3416-01_因子設定!$B$14,01_因子設定!$B$15-AB3416))),-1E+030)</f>
        <v>-1.4788911655944</v>
      </c>
      <c r="AE3416" s="55" t="n">
        <f aca="false">IF(AC3416,IF(01_因子設定!$B$13="最大化",X3416,IF(01_因子設定!$B$13="最小化",-X3416,-ABS(X3416-01_因子設定!$B$16))),-1E+030)</f>
        <v>46.6047971491228</v>
      </c>
      <c r="AF3416" s="55" t="n">
        <f aca="false">AD3416+ROW()*0.000000001</f>
        <v>-1.4788877495944</v>
      </c>
      <c r="AG3416" s="55" t="n">
        <f aca="false">AE3416+ROW()*0.000000001</f>
        <v>46.6048005651228</v>
      </c>
    </row>
    <row r="3417" customFormat="false" ht="15" hidden="false" customHeight="false" outlineLevel="0" collapsed="false">
      <c r="A3417" s="0" t="n">
        <v>4</v>
      </c>
      <c r="B3417" s="0" t="n">
        <v>6</v>
      </c>
      <c r="C3417" s="0" t="n">
        <v>1</v>
      </c>
      <c r="D3417" s="0" t="n">
        <v>1</v>
      </c>
      <c r="E3417" s="0" t="n">
        <f aca="false">-1+A3417*0.25</f>
        <v>0</v>
      </c>
      <c r="F3417" s="0" t="n">
        <f aca="false">-1+B3417*0.25</f>
        <v>0.5</v>
      </c>
      <c r="G3417" s="0" t="n">
        <f aca="false">-1+C3417*0.25</f>
        <v>-0.75</v>
      </c>
      <c r="H3417" s="0" t="n">
        <f aca="false">-1+D3417*0.25</f>
        <v>-0.75</v>
      </c>
      <c r="I3417" s="0" t="n">
        <f aca="false">1</f>
        <v>1</v>
      </c>
      <c r="J3417" s="0" t="n">
        <f aca="false">E3417</f>
        <v>0</v>
      </c>
      <c r="K3417" s="0" t="n">
        <f aca="false">F3417</f>
        <v>0.5</v>
      </c>
      <c r="L3417" s="0" t="n">
        <f aca="false">G3417</f>
        <v>-0.75</v>
      </c>
      <c r="M3417" s="0" t="n">
        <f aca="false">H3417</f>
        <v>-0.75</v>
      </c>
      <c r="N3417" s="0" t="n">
        <f aca="false">E3417*F3417</f>
        <v>0</v>
      </c>
      <c r="O3417" s="0" t="n">
        <f aca="false">E3417*G3417</f>
        <v>-0</v>
      </c>
      <c r="P3417" s="0" t="n">
        <f aca="false">E3417*H3417</f>
        <v>-0</v>
      </c>
      <c r="Q3417" s="0" t="n">
        <f aca="false">F3417*G3417</f>
        <v>-0.375</v>
      </c>
      <c r="R3417" s="0" t="n">
        <f aca="false">F3417*H3417</f>
        <v>-0.375</v>
      </c>
      <c r="S3417" s="0" t="n">
        <f aca="false">G3417*H3417</f>
        <v>0.5625</v>
      </c>
      <c r="T3417" s="0" t="n">
        <f aca="false">E3417*E3417</f>
        <v>0</v>
      </c>
      <c r="U3417" s="0" t="n">
        <f aca="false">F3417*F3417</f>
        <v>0.25</v>
      </c>
      <c r="V3417" s="0" t="n">
        <f aca="false">G3417*G3417</f>
        <v>0.5625</v>
      </c>
      <c r="W3417" s="0" t="n">
        <f aca="false">H3417*H3417</f>
        <v>0.5625</v>
      </c>
      <c r="X3417" s="0" t="n">
        <f aca="false">SUMPRODUCT(I3417:W3417,_XtX!$B$96:$P$96)</f>
        <v>46.7930418494152</v>
      </c>
      <c r="Y3417" s="0" t="n">
        <f aca="false">SUMPRODUCT(MMULT(I3417:W3417,_XtX!$B$78:$P$92),I3417:W3417)</f>
        <v>0.269923873812135</v>
      </c>
      <c r="Z3417" s="0" t="n">
        <f aca="false">04_回帰ANOVA!$K$19*04_回帰ANOVA!$K$14*SQRT(1+Y3417)</f>
        <v>1.46888310825501</v>
      </c>
      <c r="AA3417" s="0" t="n">
        <f aca="false">X3417-Z3417</f>
        <v>45.3241587411602</v>
      </c>
      <c r="AB3417" s="0" t="n">
        <f aca="false">X3417+Z3417</f>
        <v>48.2619249576702</v>
      </c>
      <c r="AC3417" s="54" t="b">
        <f aca="false">AND(E3417&gt;=01_因子設定!$L$5-0.000000001,E3417&lt;=01_因子設定!$M$5+0.000000001,F3417&gt;=01_因子設定!$L$6-0.000000001,F3417&lt;=01_因子設定!$M$6+0.000000001,G3417&gt;=01_因子設定!$L$7-0.000000001,G3417&lt;=01_因子設定!$M$7+0.000000001,H3417&gt;=01_因子設定!$L$8-0.000000001,H3417&lt;=01_因子設定!$M$8+0.000000001,IF(01_因子設定!$B$20="Box-Behnken",E3417^2+F3417^2+G3417^2+H3417^2&lt;=2+0.000000001,TRUE()))</f>
        <v>1</v>
      </c>
      <c r="AD3417" s="55" t="n">
        <f aca="false">IF(AC3417,IF(01_因子設定!$B$13="最大化",AA3417-01_因子設定!$B$14,IF(01_因子設定!$B$13="最小化",01_因子設定!$B$15-AB3417,MIN(AA3417-01_因子設定!$B$14,01_因子設定!$B$15-AB3417))),-1E+030)</f>
        <v>-1.17584125883985</v>
      </c>
      <c r="AE3417" s="55" t="n">
        <f aca="false">IF(AC3417,IF(01_因子設定!$B$13="最大化",X3417,IF(01_因子設定!$B$13="最小化",-X3417,-ABS(X3417-01_因子設定!$B$16))),-1E+030)</f>
        <v>46.7930418494152</v>
      </c>
      <c r="AF3417" s="55" t="n">
        <f aca="false">AD3417+ROW()*0.000000001</f>
        <v>-1.17583784183985</v>
      </c>
      <c r="AG3417" s="55" t="n">
        <f aca="false">AE3417+ROW()*0.000000001</f>
        <v>46.7930452664152</v>
      </c>
    </row>
    <row r="3418" customFormat="false" ht="15" hidden="false" customHeight="false" outlineLevel="0" collapsed="false">
      <c r="A3418" s="0" t="n">
        <v>4</v>
      </c>
      <c r="B3418" s="0" t="n">
        <v>6</v>
      </c>
      <c r="C3418" s="0" t="n">
        <v>1</v>
      </c>
      <c r="D3418" s="0" t="n">
        <v>2</v>
      </c>
      <c r="E3418" s="0" t="n">
        <f aca="false">-1+A3418*0.25</f>
        <v>0</v>
      </c>
      <c r="F3418" s="0" t="n">
        <f aca="false">-1+B3418*0.25</f>
        <v>0.5</v>
      </c>
      <c r="G3418" s="0" t="n">
        <f aca="false">-1+C3418*0.25</f>
        <v>-0.75</v>
      </c>
      <c r="H3418" s="0" t="n">
        <f aca="false">-1+D3418*0.25</f>
        <v>-0.5</v>
      </c>
      <c r="I3418" s="0" t="n">
        <f aca="false">1</f>
        <v>1</v>
      </c>
      <c r="J3418" s="0" t="n">
        <f aca="false">E3418</f>
        <v>0</v>
      </c>
      <c r="K3418" s="0" t="n">
        <f aca="false">F3418</f>
        <v>0.5</v>
      </c>
      <c r="L3418" s="0" t="n">
        <f aca="false">G3418</f>
        <v>-0.75</v>
      </c>
      <c r="M3418" s="0" t="n">
        <f aca="false">H3418</f>
        <v>-0.5</v>
      </c>
      <c r="N3418" s="0" t="n">
        <f aca="false">E3418*F3418</f>
        <v>0</v>
      </c>
      <c r="O3418" s="0" t="n">
        <f aca="false">E3418*G3418</f>
        <v>-0</v>
      </c>
      <c r="P3418" s="0" t="n">
        <f aca="false">E3418*H3418</f>
        <v>-0</v>
      </c>
      <c r="Q3418" s="0" t="n">
        <f aca="false">F3418*G3418</f>
        <v>-0.375</v>
      </c>
      <c r="R3418" s="0" t="n">
        <f aca="false">F3418*H3418</f>
        <v>-0.25</v>
      </c>
      <c r="S3418" s="0" t="n">
        <f aca="false">G3418*H3418</f>
        <v>0.375</v>
      </c>
      <c r="T3418" s="0" t="n">
        <f aca="false">E3418*E3418</f>
        <v>0</v>
      </c>
      <c r="U3418" s="0" t="n">
        <f aca="false">F3418*F3418</f>
        <v>0.25</v>
      </c>
      <c r="V3418" s="0" t="n">
        <f aca="false">G3418*G3418</f>
        <v>0.5625</v>
      </c>
      <c r="W3418" s="0" t="n">
        <f aca="false">H3418*H3418</f>
        <v>0.25</v>
      </c>
      <c r="X3418" s="0" t="n">
        <f aca="false">SUMPRODUCT(I3418:W3418,_XtX!$B$96:$P$96)</f>
        <v>46.9334795321637</v>
      </c>
      <c r="Y3418" s="0" t="n">
        <f aca="false">SUMPRODUCT(MMULT(I3418:W3418,_XtX!$B$78:$P$92),I3418:W3418)</f>
        <v>0.21305052997076</v>
      </c>
      <c r="Z3418" s="0" t="n">
        <f aca="false">04_回帰ANOVA!$K$19*04_回帰ANOVA!$K$14*SQRT(1+Y3418)</f>
        <v>1.43561450835061</v>
      </c>
      <c r="AA3418" s="0" t="n">
        <f aca="false">X3418-Z3418</f>
        <v>45.4978650238131</v>
      </c>
      <c r="AB3418" s="0" t="n">
        <f aca="false">X3418+Z3418</f>
        <v>48.3690940405143</v>
      </c>
      <c r="AC3418" s="54" t="b">
        <f aca="false">AND(E3418&gt;=01_因子設定!$L$5-0.000000001,E3418&lt;=01_因子設定!$M$5+0.000000001,F3418&gt;=01_因子設定!$L$6-0.000000001,F3418&lt;=01_因子設定!$M$6+0.000000001,G3418&gt;=01_因子設定!$L$7-0.000000001,G3418&lt;=01_因子設定!$M$7+0.000000001,H3418&gt;=01_因子設定!$L$8-0.000000001,H3418&lt;=01_因子設定!$M$8+0.000000001,IF(01_因子設定!$B$20="Box-Behnken",E3418^2+F3418^2+G3418^2+H3418^2&lt;=2+0.000000001,TRUE()))</f>
        <v>1</v>
      </c>
      <c r="AD3418" s="55" t="n">
        <f aca="false">IF(AC3418,IF(01_因子設定!$B$13="最大化",AA3418-01_因子設定!$B$14,IF(01_因子設定!$B$13="最小化",01_因子設定!$B$15-AB3418,MIN(AA3418-01_因子設定!$B$14,01_因子設定!$B$15-AB3418))),-1E+030)</f>
        <v>-1.00213497618692</v>
      </c>
      <c r="AE3418" s="55" t="n">
        <f aca="false">IF(AC3418,IF(01_因子設定!$B$13="最大化",X3418,IF(01_因子設定!$B$13="最小化",-X3418,-ABS(X3418-01_因子設定!$B$16))),-1E+030)</f>
        <v>46.9334795321637</v>
      </c>
      <c r="AF3418" s="55" t="n">
        <f aca="false">AD3418+ROW()*0.000000001</f>
        <v>-1.00213155818692</v>
      </c>
      <c r="AG3418" s="55" t="n">
        <f aca="false">AE3418+ROW()*0.000000001</f>
        <v>46.9334829501637</v>
      </c>
    </row>
    <row r="3419" customFormat="false" ht="15" hidden="false" customHeight="false" outlineLevel="0" collapsed="false">
      <c r="A3419" s="0" t="n">
        <v>4</v>
      </c>
      <c r="B3419" s="0" t="n">
        <v>6</v>
      </c>
      <c r="C3419" s="0" t="n">
        <v>1</v>
      </c>
      <c r="D3419" s="0" t="n">
        <v>3</v>
      </c>
      <c r="E3419" s="0" t="n">
        <f aca="false">-1+A3419*0.25</f>
        <v>0</v>
      </c>
      <c r="F3419" s="0" t="n">
        <f aca="false">-1+B3419*0.25</f>
        <v>0.5</v>
      </c>
      <c r="G3419" s="0" t="n">
        <f aca="false">-1+C3419*0.25</f>
        <v>-0.75</v>
      </c>
      <c r="H3419" s="0" t="n">
        <f aca="false">-1+D3419*0.25</f>
        <v>-0.25</v>
      </c>
      <c r="I3419" s="0" t="n">
        <f aca="false">1</f>
        <v>1</v>
      </c>
      <c r="J3419" s="0" t="n">
        <f aca="false">E3419</f>
        <v>0</v>
      </c>
      <c r="K3419" s="0" t="n">
        <f aca="false">F3419</f>
        <v>0.5</v>
      </c>
      <c r="L3419" s="0" t="n">
        <f aca="false">G3419</f>
        <v>-0.75</v>
      </c>
      <c r="M3419" s="0" t="n">
        <f aca="false">H3419</f>
        <v>-0.25</v>
      </c>
      <c r="N3419" s="0" t="n">
        <f aca="false">E3419*F3419</f>
        <v>0</v>
      </c>
      <c r="O3419" s="0" t="n">
        <f aca="false">E3419*G3419</f>
        <v>-0</v>
      </c>
      <c r="P3419" s="0" t="n">
        <f aca="false">E3419*H3419</f>
        <v>-0</v>
      </c>
      <c r="Q3419" s="0" t="n">
        <f aca="false">F3419*G3419</f>
        <v>-0.375</v>
      </c>
      <c r="R3419" s="0" t="n">
        <f aca="false">F3419*H3419</f>
        <v>-0.125</v>
      </c>
      <c r="S3419" s="0" t="n">
        <f aca="false">G3419*H3419</f>
        <v>0.1875</v>
      </c>
      <c r="T3419" s="0" t="n">
        <f aca="false">E3419*E3419</f>
        <v>0</v>
      </c>
      <c r="U3419" s="0" t="n">
        <f aca="false">F3419*F3419</f>
        <v>0.25</v>
      </c>
      <c r="V3419" s="0" t="n">
        <f aca="false">G3419*G3419</f>
        <v>0.5625</v>
      </c>
      <c r="W3419" s="0" t="n">
        <f aca="false">H3419*H3419</f>
        <v>0.0625</v>
      </c>
      <c r="X3419" s="0" t="n">
        <f aca="false">SUMPRODUCT(I3419:W3419,_XtX!$B$96:$P$96)</f>
        <v>47.0261101973684</v>
      </c>
      <c r="Y3419" s="0" t="n">
        <f aca="false">SUMPRODUCT(MMULT(I3419:W3419,_XtX!$B$78:$P$92),I3419:W3419)</f>
        <v>0.215110734192252</v>
      </c>
      <c r="Z3419" s="0" t="n">
        <f aca="false">04_回帰ANOVA!$K$19*04_回帰ANOVA!$K$14*SQRT(1+Y3419)</f>
        <v>1.43683309086864</v>
      </c>
      <c r="AA3419" s="0" t="n">
        <f aca="false">X3419-Z3419</f>
        <v>45.5892771064997</v>
      </c>
      <c r="AB3419" s="0" t="n">
        <f aca="false">X3419+Z3419</f>
        <v>48.462943288237</v>
      </c>
      <c r="AC3419" s="54" t="b">
        <f aca="false">AND(E3419&gt;=01_因子設定!$L$5-0.000000001,E3419&lt;=01_因子設定!$M$5+0.000000001,F3419&gt;=01_因子設定!$L$6-0.000000001,F3419&lt;=01_因子設定!$M$6+0.000000001,G3419&gt;=01_因子設定!$L$7-0.000000001,G3419&lt;=01_因子設定!$M$7+0.000000001,H3419&gt;=01_因子設定!$L$8-0.000000001,H3419&lt;=01_因子設定!$M$8+0.000000001,IF(01_因子設定!$B$20="Box-Behnken",E3419^2+F3419^2+G3419^2+H3419^2&lt;=2+0.000000001,TRUE()))</f>
        <v>1</v>
      </c>
      <c r="AD3419" s="55" t="n">
        <f aca="false">IF(AC3419,IF(01_因子設定!$B$13="最大化",AA3419-01_因子設定!$B$14,IF(01_因子設定!$B$13="最小化",01_因子設定!$B$15-AB3419,MIN(AA3419-01_因子設定!$B$14,01_因子設定!$B$15-AB3419))),-1E+030)</f>
        <v>-0.910722893500285</v>
      </c>
      <c r="AE3419" s="55" t="n">
        <f aca="false">IF(AC3419,IF(01_因子設定!$B$13="最大化",X3419,IF(01_因子設定!$B$13="最小化",-X3419,-ABS(X3419-01_因子設定!$B$16))),-1E+030)</f>
        <v>47.0261101973684</v>
      </c>
      <c r="AF3419" s="55" t="n">
        <f aca="false">AD3419+ROW()*0.000000001</f>
        <v>-0.910719474500285</v>
      </c>
      <c r="AG3419" s="55" t="n">
        <f aca="false">AE3419+ROW()*0.000000001</f>
        <v>47.0261136163684</v>
      </c>
    </row>
    <row r="3420" customFormat="false" ht="15" hidden="false" customHeight="false" outlineLevel="0" collapsed="false">
      <c r="A3420" s="0" t="n">
        <v>4</v>
      </c>
      <c r="B3420" s="0" t="n">
        <v>6</v>
      </c>
      <c r="C3420" s="0" t="n">
        <v>1</v>
      </c>
      <c r="D3420" s="0" t="n">
        <v>4</v>
      </c>
      <c r="E3420" s="0" t="n">
        <f aca="false">-1+A3420*0.25</f>
        <v>0</v>
      </c>
      <c r="F3420" s="0" t="n">
        <f aca="false">-1+B3420*0.25</f>
        <v>0.5</v>
      </c>
      <c r="G3420" s="0" t="n">
        <f aca="false">-1+C3420*0.25</f>
        <v>-0.75</v>
      </c>
      <c r="H3420" s="0" t="n">
        <f aca="false">-1+D3420*0.25</f>
        <v>0</v>
      </c>
      <c r="I3420" s="0" t="n">
        <f aca="false">1</f>
        <v>1</v>
      </c>
      <c r="J3420" s="0" t="n">
        <f aca="false">E3420</f>
        <v>0</v>
      </c>
      <c r="K3420" s="0" t="n">
        <f aca="false">F3420</f>
        <v>0.5</v>
      </c>
      <c r="L3420" s="0" t="n">
        <f aca="false">G3420</f>
        <v>-0.75</v>
      </c>
      <c r="M3420" s="0" t="n">
        <f aca="false">H3420</f>
        <v>0</v>
      </c>
      <c r="N3420" s="0" t="n">
        <f aca="false">E3420*F3420</f>
        <v>0</v>
      </c>
      <c r="O3420" s="0" t="n">
        <f aca="false">E3420*G3420</f>
        <v>-0</v>
      </c>
      <c r="P3420" s="0" t="n">
        <f aca="false">E3420*H3420</f>
        <v>0</v>
      </c>
      <c r="Q3420" s="0" t="n">
        <f aca="false">F3420*G3420</f>
        <v>-0.375</v>
      </c>
      <c r="R3420" s="0" t="n">
        <f aca="false">F3420*H3420</f>
        <v>0</v>
      </c>
      <c r="S3420" s="0" t="n">
        <f aca="false">G3420*H3420</f>
        <v>-0</v>
      </c>
      <c r="T3420" s="0" t="n">
        <f aca="false">E3420*E3420</f>
        <v>0</v>
      </c>
      <c r="U3420" s="0" t="n">
        <f aca="false">F3420*F3420</f>
        <v>0.25</v>
      </c>
      <c r="V3420" s="0" t="n">
        <f aca="false">G3420*G3420</f>
        <v>0.5625</v>
      </c>
      <c r="W3420" s="0" t="n">
        <f aca="false">H3420*H3420</f>
        <v>0</v>
      </c>
      <c r="X3420" s="0" t="n">
        <f aca="false">SUMPRODUCT(I3420:W3420,_XtX!$B$96:$P$96)</f>
        <v>47.0709338450292</v>
      </c>
      <c r="Y3420" s="0" t="n">
        <f aca="false">SUMPRODUCT(MMULT(I3420:W3420,_XtX!$B$78:$P$92),I3420:W3420)</f>
        <v>0.221828170687135</v>
      </c>
      <c r="Z3420" s="0" t="n">
        <f aca="false">04_回帰ANOVA!$K$19*04_回帰ANOVA!$K$14*SQRT(1+Y3420)</f>
        <v>1.44079920361664</v>
      </c>
      <c r="AA3420" s="0" t="n">
        <f aca="false">X3420-Z3420</f>
        <v>45.6301346414125</v>
      </c>
      <c r="AB3420" s="0" t="n">
        <f aca="false">X3420+Z3420</f>
        <v>48.5117330486458</v>
      </c>
      <c r="AC3420" s="54" t="b">
        <f aca="false">AND(E3420&gt;=01_因子設定!$L$5-0.000000001,E3420&lt;=01_因子設定!$M$5+0.000000001,F3420&gt;=01_因子設定!$L$6-0.000000001,F3420&lt;=01_因子設定!$M$6+0.000000001,G3420&gt;=01_因子設定!$L$7-0.000000001,G3420&lt;=01_因子設定!$M$7+0.000000001,H3420&gt;=01_因子設定!$L$8-0.000000001,H3420&lt;=01_因子設定!$M$8+0.000000001,IF(01_因子設定!$B$20="Box-Behnken",E3420^2+F3420^2+G3420^2+H3420^2&lt;=2+0.000000001,TRUE()))</f>
        <v>1</v>
      </c>
      <c r="AD3420" s="55" t="n">
        <f aca="false">IF(AC3420,IF(01_因子設定!$B$13="最大化",AA3420-01_因子設定!$B$14,IF(01_因子設定!$B$13="最小化",01_因子設定!$B$15-AB3420,MIN(AA3420-01_因子設定!$B$14,01_因子設定!$B$15-AB3420))),-1E+030)</f>
        <v>-0.869865358587468</v>
      </c>
      <c r="AE3420" s="55" t="n">
        <f aca="false">IF(AC3420,IF(01_因子設定!$B$13="最大化",X3420,IF(01_因子設定!$B$13="最小化",-X3420,-ABS(X3420-01_因子設定!$B$16))),-1E+030)</f>
        <v>47.0709338450292</v>
      </c>
      <c r="AF3420" s="55" t="n">
        <f aca="false">AD3420+ROW()*0.000000001</f>
        <v>-0.869861938587468</v>
      </c>
      <c r="AG3420" s="55" t="n">
        <f aca="false">AE3420+ROW()*0.000000001</f>
        <v>47.0709372650292</v>
      </c>
    </row>
    <row r="3421" customFormat="false" ht="15" hidden="false" customHeight="false" outlineLevel="0" collapsed="false">
      <c r="A3421" s="0" t="n">
        <v>4</v>
      </c>
      <c r="B3421" s="0" t="n">
        <v>6</v>
      </c>
      <c r="C3421" s="0" t="n">
        <v>1</v>
      </c>
      <c r="D3421" s="0" t="n">
        <v>5</v>
      </c>
      <c r="E3421" s="0" t="n">
        <f aca="false">-1+A3421*0.25</f>
        <v>0</v>
      </c>
      <c r="F3421" s="0" t="n">
        <f aca="false">-1+B3421*0.25</f>
        <v>0.5</v>
      </c>
      <c r="G3421" s="0" t="n">
        <f aca="false">-1+C3421*0.25</f>
        <v>-0.75</v>
      </c>
      <c r="H3421" s="0" t="n">
        <f aca="false">-1+D3421*0.25</f>
        <v>0.25</v>
      </c>
      <c r="I3421" s="0" t="n">
        <f aca="false">1</f>
        <v>1</v>
      </c>
      <c r="J3421" s="0" t="n">
        <f aca="false">E3421</f>
        <v>0</v>
      </c>
      <c r="K3421" s="0" t="n">
        <f aca="false">F3421</f>
        <v>0.5</v>
      </c>
      <c r="L3421" s="0" t="n">
        <f aca="false">G3421</f>
        <v>-0.75</v>
      </c>
      <c r="M3421" s="0" t="n">
        <f aca="false">H3421</f>
        <v>0.25</v>
      </c>
      <c r="N3421" s="0" t="n">
        <f aca="false">E3421*F3421</f>
        <v>0</v>
      </c>
      <c r="O3421" s="0" t="n">
        <f aca="false">E3421*G3421</f>
        <v>-0</v>
      </c>
      <c r="P3421" s="0" t="n">
        <f aca="false">E3421*H3421</f>
        <v>0</v>
      </c>
      <c r="Q3421" s="0" t="n">
        <f aca="false">F3421*G3421</f>
        <v>-0.375</v>
      </c>
      <c r="R3421" s="0" t="n">
        <f aca="false">F3421*H3421</f>
        <v>0.125</v>
      </c>
      <c r="S3421" s="0" t="n">
        <f aca="false">G3421*H3421</f>
        <v>-0.1875</v>
      </c>
      <c r="T3421" s="0" t="n">
        <f aca="false">E3421*E3421</f>
        <v>0</v>
      </c>
      <c r="U3421" s="0" t="n">
        <f aca="false">F3421*F3421</f>
        <v>0.25</v>
      </c>
      <c r="V3421" s="0" t="n">
        <f aca="false">G3421*G3421</f>
        <v>0.5625</v>
      </c>
      <c r="W3421" s="0" t="n">
        <f aca="false">H3421*H3421</f>
        <v>0.0625</v>
      </c>
      <c r="X3421" s="0" t="n">
        <f aca="false">SUMPRODUCT(I3421:W3421,_XtX!$B$96:$P$96)</f>
        <v>47.0679504751461</v>
      </c>
      <c r="Y3421" s="0" t="n">
        <f aca="false">SUMPRODUCT(MMULT(I3421:W3421,_XtX!$B$78:$P$92),I3421:W3421)</f>
        <v>0.215110734192252</v>
      </c>
      <c r="Z3421" s="0" t="n">
        <f aca="false">04_回帰ANOVA!$K$19*04_回帰ANOVA!$K$14*SQRT(1+Y3421)</f>
        <v>1.43683309086864</v>
      </c>
      <c r="AA3421" s="0" t="n">
        <f aca="false">X3421-Z3421</f>
        <v>45.6311173842775</v>
      </c>
      <c r="AB3421" s="0" t="n">
        <f aca="false">X3421+Z3421</f>
        <v>48.5047835660148</v>
      </c>
      <c r="AC3421" s="54" t="b">
        <f aca="false">AND(E3421&gt;=01_因子設定!$L$5-0.000000001,E3421&lt;=01_因子設定!$M$5+0.000000001,F3421&gt;=01_因子設定!$L$6-0.000000001,F3421&lt;=01_因子設定!$M$6+0.000000001,G3421&gt;=01_因子設定!$L$7-0.000000001,G3421&lt;=01_因子設定!$M$7+0.000000001,H3421&gt;=01_因子設定!$L$8-0.000000001,H3421&lt;=01_因子設定!$M$8+0.000000001,IF(01_因子設定!$B$20="Box-Behnken",E3421^2+F3421^2+G3421^2+H3421^2&lt;=2+0.000000001,TRUE()))</f>
        <v>1</v>
      </c>
      <c r="AD3421" s="55" t="n">
        <f aca="false">IF(AC3421,IF(01_因子設定!$B$13="最大化",AA3421-01_因子設定!$B$14,IF(01_因子設定!$B$13="最小化",01_因子設定!$B$15-AB3421,MIN(AA3421-01_因子設定!$B$14,01_因子設定!$B$15-AB3421))),-1E+030)</f>
        <v>-0.868882615722512</v>
      </c>
      <c r="AE3421" s="55" t="n">
        <f aca="false">IF(AC3421,IF(01_因子設定!$B$13="最大化",X3421,IF(01_因子設定!$B$13="最小化",-X3421,-ABS(X3421-01_因子設定!$B$16))),-1E+030)</f>
        <v>47.0679504751461</v>
      </c>
      <c r="AF3421" s="55" t="n">
        <f aca="false">AD3421+ROW()*0.000000001</f>
        <v>-0.868879194722512</v>
      </c>
      <c r="AG3421" s="55" t="n">
        <f aca="false">AE3421+ROW()*0.000000001</f>
        <v>47.0679538961461</v>
      </c>
    </row>
    <row r="3422" customFormat="false" ht="15" hidden="false" customHeight="false" outlineLevel="0" collapsed="false">
      <c r="A3422" s="0" t="n">
        <v>4</v>
      </c>
      <c r="B3422" s="0" t="n">
        <v>6</v>
      </c>
      <c r="C3422" s="0" t="n">
        <v>1</v>
      </c>
      <c r="D3422" s="0" t="n">
        <v>6</v>
      </c>
      <c r="E3422" s="0" t="n">
        <f aca="false">-1+A3422*0.25</f>
        <v>0</v>
      </c>
      <c r="F3422" s="0" t="n">
        <f aca="false">-1+B3422*0.25</f>
        <v>0.5</v>
      </c>
      <c r="G3422" s="0" t="n">
        <f aca="false">-1+C3422*0.25</f>
        <v>-0.75</v>
      </c>
      <c r="H3422" s="0" t="n">
        <f aca="false">-1+D3422*0.25</f>
        <v>0.5</v>
      </c>
      <c r="I3422" s="0" t="n">
        <f aca="false">1</f>
        <v>1</v>
      </c>
      <c r="J3422" s="0" t="n">
        <f aca="false">E3422</f>
        <v>0</v>
      </c>
      <c r="K3422" s="0" t="n">
        <f aca="false">F3422</f>
        <v>0.5</v>
      </c>
      <c r="L3422" s="0" t="n">
        <f aca="false">G3422</f>
        <v>-0.75</v>
      </c>
      <c r="M3422" s="0" t="n">
        <f aca="false">H3422</f>
        <v>0.5</v>
      </c>
      <c r="N3422" s="0" t="n">
        <f aca="false">E3422*F3422</f>
        <v>0</v>
      </c>
      <c r="O3422" s="0" t="n">
        <f aca="false">E3422*G3422</f>
        <v>-0</v>
      </c>
      <c r="P3422" s="0" t="n">
        <f aca="false">E3422*H3422</f>
        <v>0</v>
      </c>
      <c r="Q3422" s="0" t="n">
        <f aca="false">F3422*G3422</f>
        <v>-0.375</v>
      </c>
      <c r="R3422" s="0" t="n">
        <f aca="false">F3422*H3422</f>
        <v>0.25</v>
      </c>
      <c r="S3422" s="0" t="n">
        <f aca="false">G3422*H3422</f>
        <v>-0.375</v>
      </c>
      <c r="T3422" s="0" t="n">
        <f aca="false">E3422*E3422</f>
        <v>0</v>
      </c>
      <c r="U3422" s="0" t="n">
        <f aca="false">F3422*F3422</f>
        <v>0.25</v>
      </c>
      <c r="V3422" s="0" t="n">
        <f aca="false">G3422*G3422</f>
        <v>0.5625</v>
      </c>
      <c r="W3422" s="0" t="n">
        <f aca="false">H3422*H3422</f>
        <v>0.25</v>
      </c>
      <c r="X3422" s="0" t="n">
        <f aca="false">SUMPRODUCT(I3422:W3422,_XtX!$B$96:$P$96)</f>
        <v>47.0171600877192</v>
      </c>
      <c r="Y3422" s="0" t="n">
        <f aca="false">SUMPRODUCT(MMULT(I3422:W3422,_XtX!$B$78:$P$92),I3422:W3422)</f>
        <v>0.21305052997076</v>
      </c>
      <c r="Z3422" s="0" t="n">
        <f aca="false">04_回帰ANOVA!$K$19*04_回帰ANOVA!$K$14*SQRT(1+Y3422)</f>
        <v>1.43561450835061</v>
      </c>
      <c r="AA3422" s="0" t="n">
        <f aca="false">X3422-Z3422</f>
        <v>45.5815455793686</v>
      </c>
      <c r="AB3422" s="0" t="n">
        <f aca="false">X3422+Z3422</f>
        <v>48.4527745960698</v>
      </c>
      <c r="AC3422" s="54" t="b">
        <f aca="false">AND(E3422&gt;=01_因子設定!$L$5-0.000000001,E3422&lt;=01_因子設定!$M$5+0.000000001,F3422&gt;=01_因子設定!$L$6-0.000000001,F3422&lt;=01_因子設定!$M$6+0.000000001,G3422&gt;=01_因子設定!$L$7-0.000000001,G3422&lt;=01_因子設定!$M$7+0.000000001,H3422&gt;=01_因子設定!$L$8-0.000000001,H3422&lt;=01_因子設定!$M$8+0.000000001,IF(01_因子設定!$B$20="Box-Behnken",E3422^2+F3422^2+G3422^2+H3422^2&lt;=2+0.000000001,TRUE()))</f>
        <v>1</v>
      </c>
      <c r="AD3422" s="55" t="n">
        <f aca="false">IF(AC3422,IF(01_因子設定!$B$13="最大化",AA3422-01_因子設定!$B$14,IF(01_因子設定!$B$13="最小化",01_因子設定!$B$15-AB3422,MIN(AA3422-01_因子設定!$B$14,01_因子設定!$B$15-AB3422))),-1E+030)</f>
        <v>-0.918454420631363</v>
      </c>
      <c r="AE3422" s="55" t="n">
        <f aca="false">IF(AC3422,IF(01_因子設定!$B$13="最大化",X3422,IF(01_因子設定!$B$13="最小化",-X3422,-ABS(X3422-01_因子設定!$B$16))),-1E+030)</f>
        <v>47.0171600877192</v>
      </c>
      <c r="AF3422" s="55" t="n">
        <f aca="false">AD3422+ROW()*0.000000001</f>
        <v>-0.918450998631363</v>
      </c>
      <c r="AG3422" s="55" t="n">
        <f aca="false">AE3422+ROW()*0.000000001</f>
        <v>47.0171635097192</v>
      </c>
    </row>
    <row r="3423" customFormat="false" ht="15" hidden="false" customHeight="false" outlineLevel="0" collapsed="false">
      <c r="A3423" s="0" t="n">
        <v>4</v>
      </c>
      <c r="B3423" s="0" t="n">
        <v>6</v>
      </c>
      <c r="C3423" s="0" t="n">
        <v>1</v>
      </c>
      <c r="D3423" s="0" t="n">
        <v>7</v>
      </c>
      <c r="E3423" s="0" t="n">
        <f aca="false">-1+A3423*0.25</f>
        <v>0</v>
      </c>
      <c r="F3423" s="0" t="n">
        <f aca="false">-1+B3423*0.25</f>
        <v>0.5</v>
      </c>
      <c r="G3423" s="0" t="n">
        <f aca="false">-1+C3423*0.25</f>
        <v>-0.75</v>
      </c>
      <c r="H3423" s="0" t="n">
        <f aca="false">-1+D3423*0.25</f>
        <v>0.75</v>
      </c>
      <c r="I3423" s="0" t="n">
        <f aca="false">1</f>
        <v>1</v>
      </c>
      <c r="J3423" s="0" t="n">
        <f aca="false">E3423</f>
        <v>0</v>
      </c>
      <c r="K3423" s="0" t="n">
        <f aca="false">F3423</f>
        <v>0.5</v>
      </c>
      <c r="L3423" s="0" t="n">
        <f aca="false">G3423</f>
        <v>-0.75</v>
      </c>
      <c r="M3423" s="0" t="n">
        <f aca="false">H3423</f>
        <v>0.75</v>
      </c>
      <c r="N3423" s="0" t="n">
        <f aca="false">E3423*F3423</f>
        <v>0</v>
      </c>
      <c r="O3423" s="0" t="n">
        <f aca="false">E3423*G3423</f>
        <v>-0</v>
      </c>
      <c r="P3423" s="0" t="n">
        <f aca="false">E3423*H3423</f>
        <v>0</v>
      </c>
      <c r="Q3423" s="0" t="n">
        <f aca="false">F3423*G3423</f>
        <v>-0.375</v>
      </c>
      <c r="R3423" s="0" t="n">
        <f aca="false">F3423*H3423</f>
        <v>0.375</v>
      </c>
      <c r="S3423" s="0" t="n">
        <f aca="false">G3423*H3423</f>
        <v>-0.5625</v>
      </c>
      <c r="T3423" s="0" t="n">
        <f aca="false">E3423*E3423</f>
        <v>0</v>
      </c>
      <c r="U3423" s="0" t="n">
        <f aca="false">F3423*F3423</f>
        <v>0.25</v>
      </c>
      <c r="V3423" s="0" t="n">
        <f aca="false">G3423*G3423</f>
        <v>0.5625</v>
      </c>
      <c r="W3423" s="0" t="n">
        <f aca="false">H3423*H3423</f>
        <v>0.5625</v>
      </c>
      <c r="X3423" s="0" t="n">
        <f aca="false">SUMPRODUCT(I3423:W3423,_XtX!$B$96:$P$96)</f>
        <v>46.9185626827485</v>
      </c>
      <c r="Y3423" s="0" t="n">
        <f aca="false">SUMPRODUCT(MMULT(I3423:W3423,_XtX!$B$78:$P$92),I3423:W3423)</f>
        <v>0.269923873812135</v>
      </c>
      <c r="Z3423" s="0" t="n">
        <f aca="false">04_回帰ANOVA!$K$19*04_回帰ANOVA!$K$14*SQRT(1+Y3423)</f>
        <v>1.46888310825501</v>
      </c>
      <c r="AA3423" s="0" t="n">
        <f aca="false">X3423-Z3423</f>
        <v>45.4496795744935</v>
      </c>
      <c r="AB3423" s="0" t="n">
        <f aca="false">X3423+Z3423</f>
        <v>48.3874457910035</v>
      </c>
      <c r="AC3423" s="54" t="b">
        <f aca="false">AND(E3423&gt;=01_因子設定!$L$5-0.000000001,E3423&lt;=01_因子設定!$M$5+0.000000001,F3423&gt;=01_因子設定!$L$6-0.000000001,F3423&lt;=01_因子設定!$M$6+0.000000001,G3423&gt;=01_因子設定!$L$7-0.000000001,G3423&lt;=01_因子設定!$M$7+0.000000001,H3423&gt;=01_因子設定!$L$8-0.000000001,H3423&lt;=01_因子設定!$M$8+0.000000001,IF(01_因子設定!$B$20="Box-Behnken",E3423^2+F3423^2+G3423^2+H3423^2&lt;=2+0.000000001,TRUE()))</f>
        <v>1</v>
      </c>
      <c r="AD3423" s="55" t="n">
        <f aca="false">IF(AC3423,IF(01_因子設定!$B$13="最大化",AA3423-01_因子設定!$B$14,IF(01_因子設定!$B$13="最小化",01_因子設定!$B$15-AB3423,MIN(AA3423-01_因子設定!$B$14,01_因子設定!$B$15-AB3423))),-1E+030)</f>
        <v>-1.05032042550651</v>
      </c>
      <c r="AE3423" s="55" t="n">
        <f aca="false">IF(AC3423,IF(01_因子設定!$B$13="最大化",X3423,IF(01_因子設定!$B$13="最小化",-X3423,-ABS(X3423-01_因子設定!$B$16))),-1E+030)</f>
        <v>46.9185626827485</v>
      </c>
      <c r="AF3423" s="55" t="n">
        <f aca="false">AD3423+ROW()*0.000000001</f>
        <v>-1.05031700250651</v>
      </c>
      <c r="AG3423" s="55" t="n">
        <f aca="false">AE3423+ROW()*0.000000001</f>
        <v>46.9185661057485</v>
      </c>
    </row>
    <row r="3424" customFormat="false" ht="15" hidden="false" customHeight="false" outlineLevel="0" collapsed="false">
      <c r="A3424" s="0" t="n">
        <v>4</v>
      </c>
      <c r="B3424" s="0" t="n">
        <v>6</v>
      </c>
      <c r="C3424" s="0" t="n">
        <v>1</v>
      </c>
      <c r="D3424" s="0" t="n">
        <v>8</v>
      </c>
      <c r="E3424" s="0" t="n">
        <f aca="false">-1+A3424*0.25</f>
        <v>0</v>
      </c>
      <c r="F3424" s="0" t="n">
        <f aca="false">-1+B3424*0.25</f>
        <v>0.5</v>
      </c>
      <c r="G3424" s="0" t="n">
        <f aca="false">-1+C3424*0.25</f>
        <v>-0.75</v>
      </c>
      <c r="H3424" s="0" t="n">
        <f aca="false">-1+D3424*0.25</f>
        <v>1</v>
      </c>
      <c r="I3424" s="0" t="n">
        <f aca="false">1</f>
        <v>1</v>
      </c>
      <c r="J3424" s="0" t="n">
        <f aca="false">E3424</f>
        <v>0</v>
      </c>
      <c r="K3424" s="0" t="n">
        <f aca="false">F3424</f>
        <v>0.5</v>
      </c>
      <c r="L3424" s="0" t="n">
        <f aca="false">G3424</f>
        <v>-0.75</v>
      </c>
      <c r="M3424" s="0" t="n">
        <f aca="false">H3424</f>
        <v>1</v>
      </c>
      <c r="N3424" s="0" t="n">
        <f aca="false">E3424*F3424</f>
        <v>0</v>
      </c>
      <c r="O3424" s="0" t="n">
        <f aca="false">E3424*G3424</f>
        <v>-0</v>
      </c>
      <c r="P3424" s="0" t="n">
        <f aca="false">E3424*H3424</f>
        <v>0</v>
      </c>
      <c r="Q3424" s="0" t="n">
        <f aca="false">F3424*G3424</f>
        <v>-0.375</v>
      </c>
      <c r="R3424" s="0" t="n">
        <f aca="false">F3424*H3424</f>
        <v>0.5</v>
      </c>
      <c r="S3424" s="0" t="n">
        <f aca="false">G3424*H3424</f>
        <v>-0.75</v>
      </c>
      <c r="T3424" s="0" t="n">
        <f aca="false">E3424*E3424</f>
        <v>0</v>
      </c>
      <c r="U3424" s="0" t="n">
        <f aca="false">F3424*F3424</f>
        <v>0.25</v>
      </c>
      <c r="V3424" s="0" t="n">
        <f aca="false">G3424*G3424</f>
        <v>0.5625</v>
      </c>
      <c r="W3424" s="0" t="n">
        <f aca="false">H3424*H3424</f>
        <v>1</v>
      </c>
      <c r="X3424" s="0" t="n">
        <f aca="false">SUMPRODUCT(I3424:W3424,_XtX!$B$96:$P$96)</f>
        <v>46.7721582602339</v>
      </c>
      <c r="Y3424" s="0" t="n">
        <f aca="false">SUMPRODUCT(MMULT(I3424:W3424,_XtX!$B$78:$P$92),I3424:W3424)</f>
        <v>0.476191292032164</v>
      </c>
      <c r="Z3424" s="0" t="n">
        <f aca="false">04_回帰ANOVA!$K$19*04_回帰ANOVA!$K$14*SQRT(1+Y3424)</f>
        <v>1.58368831471718</v>
      </c>
      <c r="AA3424" s="0" t="n">
        <f aca="false">X3424-Z3424</f>
        <v>45.1884699455167</v>
      </c>
      <c r="AB3424" s="0" t="n">
        <f aca="false">X3424+Z3424</f>
        <v>48.3558465749511</v>
      </c>
      <c r="AC3424" s="54" t="b">
        <f aca="false">AND(E3424&gt;=01_因子設定!$L$5-0.000000001,E3424&lt;=01_因子設定!$M$5+0.000000001,F3424&gt;=01_因子設定!$L$6-0.000000001,F3424&lt;=01_因子設定!$M$6+0.000000001,G3424&gt;=01_因子設定!$L$7-0.000000001,G3424&lt;=01_因子設定!$M$7+0.000000001,H3424&gt;=01_因子設定!$L$8-0.000000001,H3424&lt;=01_因子設定!$M$8+0.000000001,IF(01_因子設定!$B$20="Box-Behnken",E3424^2+F3424^2+G3424^2+H3424^2&lt;=2+0.000000001,TRUE()))</f>
        <v>1</v>
      </c>
      <c r="AD3424" s="55" t="n">
        <f aca="false">IF(AC3424,IF(01_因子設定!$B$13="最大化",AA3424-01_因子設定!$B$14,IF(01_因子設定!$B$13="最小化",01_因子設定!$B$15-AB3424,MIN(AA3424-01_因子設定!$B$14,01_因子設定!$B$15-AB3424))),-1E+030)</f>
        <v>-1.31153005448328</v>
      </c>
      <c r="AE3424" s="55" t="n">
        <f aca="false">IF(AC3424,IF(01_因子設定!$B$13="最大化",X3424,IF(01_因子設定!$B$13="最小化",-X3424,-ABS(X3424-01_因子設定!$B$16))),-1E+030)</f>
        <v>46.7721582602339</v>
      </c>
      <c r="AF3424" s="55" t="n">
        <f aca="false">AD3424+ROW()*0.000000001</f>
        <v>-1.31152663048328</v>
      </c>
      <c r="AG3424" s="55" t="n">
        <f aca="false">AE3424+ROW()*0.000000001</f>
        <v>46.7721616842339</v>
      </c>
    </row>
    <row r="3425" customFormat="false" ht="15" hidden="false" customHeight="false" outlineLevel="0" collapsed="false">
      <c r="A3425" s="0" t="n">
        <v>4</v>
      </c>
      <c r="B3425" s="0" t="n">
        <v>6</v>
      </c>
      <c r="C3425" s="0" t="n">
        <v>2</v>
      </c>
      <c r="D3425" s="0" t="n">
        <v>0</v>
      </c>
      <c r="E3425" s="0" t="n">
        <f aca="false">-1+A3425*0.25</f>
        <v>0</v>
      </c>
      <c r="F3425" s="0" t="n">
        <f aca="false">-1+B3425*0.25</f>
        <v>0.5</v>
      </c>
      <c r="G3425" s="0" t="n">
        <f aca="false">-1+C3425*0.25</f>
        <v>-0.5</v>
      </c>
      <c r="H3425" s="0" t="n">
        <f aca="false">-1+D3425*0.25</f>
        <v>-1</v>
      </c>
      <c r="I3425" s="0" t="n">
        <f aca="false">1</f>
        <v>1</v>
      </c>
      <c r="J3425" s="0" t="n">
        <f aca="false">E3425</f>
        <v>0</v>
      </c>
      <c r="K3425" s="0" t="n">
        <f aca="false">F3425</f>
        <v>0.5</v>
      </c>
      <c r="L3425" s="0" t="n">
        <f aca="false">G3425</f>
        <v>-0.5</v>
      </c>
      <c r="M3425" s="0" t="n">
        <f aca="false">H3425</f>
        <v>-1</v>
      </c>
      <c r="N3425" s="0" t="n">
        <f aca="false">E3425*F3425</f>
        <v>0</v>
      </c>
      <c r="O3425" s="0" t="n">
        <f aca="false">E3425*G3425</f>
        <v>-0</v>
      </c>
      <c r="P3425" s="0" t="n">
        <f aca="false">E3425*H3425</f>
        <v>-0</v>
      </c>
      <c r="Q3425" s="0" t="n">
        <f aca="false">F3425*G3425</f>
        <v>-0.25</v>
      </c>
      <c r="R3425" s="0" t="n">
        <f aca="false">F3425*H3425</f>
        <v>-0.5</v>
      </c>
      <c r="S3425" s="0" t="n">
        <f aca="false">G3425*H3425</f>
        <v>0.5</v>
      </c>
      <c r="T3425" s="0" t="n">
        <f aca="false">E3425*E3425</f>
        <v>0</v>
      </c>
      <c r="U3425" s="0" t="n">
        <f aca="false">F3425*F3425</f>
        <v>0.25</v>
      </c>
      <c r="V3425" s="0" t="n">
        <f aca="false">G3425*G3425</f>
        <v>0.25</v>
      </c>
      <c r="W3425" s="0" t="n">
        <f aca="false">H3425*H3425</f>
        <v>1</v>
      </c>
      <c r="X3425" s="0" t="n">
        <f aca="false">SUMPRODUCT(I3425:W3425,_XtX!$B$96:$P$96)</f>
        <v>47.0310855263158</v>
      </c>
      <c r="Y3425" s="0" t="n">
        <f aca="false">SUMPRODUCT(MMULT(I3425:W3425,_XtX!$B$78:$P$92),I3425:W3425)</f>
        <v>0.441954495614035</v>
      </c>
      <c r="Z3425" s="0" t="n">
        <f aca="false">04_回帰ANOVA!$K$19*04_回帰ANOVA!$K$14*SQRT(1+Y3425)</f>
        <v>1.56521560968066</v>
      </c>
      <c r="AA3425" s="0" t="n">
        <f aca="false">X3425-Z3425</f>
        <v>45.4658699166351</v>
      </c>
      <c r="AB3425" s="0" t="n">
        <f aca="false">X3425+Z3425</f>
        <v>48.5963011359964</v>
      </c>
      <c r="AC3425" s="54" t="b">
        <f aca="false">AND(E3425&gt;=01_因子設定!$L$5-0.000000001,E3425&lt;=01_因子設定!$M$5+0.000000001,F3425&gt;=01_因子設定!$L$6-0.000000001,F3425&lt;=01_因子設定!$M$6+0.000000001,G3425&gt;=01_因子設定!$L$7-0.000000001,G3425&lt;=01_因子設定!$M$7+0.000000001,H3425&gt;=01_因子設定!$L$8-0.000000001,H3425&lt;=01_因子設定!$M$8+0.000000001,IF(01_因子設定!$B$20="Box-Behnken",E3425^2+F3425^2+G3425^2+H3425^2&lt;=2+0.000000001,TRUE()))</f>
        <v>1</v>
      </c>
      <c r="AD3425" s="55" t="n">
        <f aca="false">IF(AC3425,IF(01_因子設定!$B$13="最大化",AA3425-01_因子設定!$B$14,IF(01_因子設定!$B$13="最小化",01_因子設定!$B$15-AB3425,MIN(AA3425-01_因子設定!$B$14,01_因子設定!$B$15-AB3425))),-1E+030)</f>
        <v>-1.0341300833649</v>
      </c>
      <c r="AE3425" s="55" t="n">
        <f aca="false">IF(AC3425,IF(01_因子設定!$B$13="最大化",X3425,IF(01_因子設定!$B$13="最小化",-X3425,-ABS(X3425-01_因子設定!$B$16))),-1E+030)</f>
        <v>47.0310855263158</v>
      </c>
      <c r="AF3425" s="55" t="n">
        <f aca="false">AD3425+ROW()*0.000000001</f>
        <v>-1.0341266583649</v>
      </c>
      <c r="AG3425" s="55" t="n">
        <f aca="false">AE3425+ROW()*0.000000001</f>
        <v>47.0310889513158</v>
      </c>
    </row>
    <row r="3426" customFormat="false" ht="15" hidden="false" customHeight="false" outlineLevel="0" collapsed="false">
      <c r="A3426" s="0" t="n">
        <v>4</v>
      </c>
      <c r="B3426" s="0" t="n">
        <v>6</v>
      </c>
      <c r="C3426" s="0" t="n">
        <v>2</v>
      </c>
      <c r="D3426" s="0" t="n">
        <v>1</v>
      </c>
      <c r="E3426" s="0" t="n">
        <f aca="false">-1+A3426*0.25</f>
        <v>0</v>
      </c>
      <c r="F3426" s="0" t="n">
        <f aca="false">-1+B3426*0.25</f>
        <v>0.5</v>
      </c>
      <c r="G3426" s="0" t="n">
        <f aca="false">-1+C3426*0.25</f>
        <v>-0.5</v>
      </c>
      <c r="H3426" s="0" t="n">
        <f aca="false">-1+D3426*0.25</f>
        <v>-0.75</v>
      </c>
      <c r="I3426" s="0" t="n">
        <f aca="false">1</f>
        <v>1</v>
      </c>
      <c r="J3426" s="0" t="n">
        <f aca="false">E3426</f>
        <v>0</v>
      </c>
      <c r="K3426" s="0" t="n">
        <f aca="false">F3426</f>
        <v>0.5</v>
      </c>
      <c r="L3426" s="0" t="n">
        <f aca="false">G3426</f>
        <v>-0.5</v>
      </c>
      <c r="M3426" s="0" t="n">
        <f aca="false">H3426</f>
        <v>-0.75</v>
      </c>
      <c r="N3426" s="0" t="n">
        <f aca="false">E3426*F3426</f>
        <v>0</v>
      </c>
      <c r="O3426" s="0" t="n">
        <f aca="false">E3426*G3426</f>
        <v>-0</v>
      </c>
      <c r="P3426" s="0" t="n">
        <f aca="false">E3426*H3426</f>
        <v>-0</v>
      </c>
      <c r="Q3426" s="0" t="n">
        <f aca="false">F3426*G3426</f>
        <v>-0.25</v>
      </c>
      <c r="R3426" s="0" t="n">
        <f aca="false">F3426*H3426</f>
        <v>-0.375</v>
      </c>
      <c r="S3426" s="0" t="n">
        <f aca="false">G3426*H3426</f>
        <v>0.375</v>
      </c>
      <c r="T3426" s="0" t="n">
        <f aca="false">E3426*E3426</f>
        <v>0</v>
      </c>
      <c r="U3426" s="0" t="n">
        <f aca="false">F3426*F3426</f>
        <v>0.25</v>
      </c>
      <c r="V3426" s="0" t="n">
        <f aca="false">G3426*G3426</f>
        <v>0.25</v>
      </c>
      <c r="W3426" s="0" t="n">
        <f aca="false">H3426*H3426</f>
        <v>0.5625</v>
      </c>
      <c r="X3426" s="0" t="n">
        <f aca="false">SUMPRODUCT(I3426:W3426,_XtX!$B$96:$P$96)</f>
        <v>47.2372989766081</v>
      </c>
      <c r="Y3426" s="0" t="n">
        <f aca="false">SUMPRODUCT(MMULT(I3426:W3426,_XtX!$B$78:$P$92),I3426:W3426)</f>
        <v>0.21305052997076</v>
      </c>
      <c r="Z3426" s="0" t="n">
        <f aca="false">04_回帰ANOVA!$K$19*04_回帰ANOVA!$K$14*SQRT(1+Y3426)</f>
        <v>1.43561450835061</v>
      </c>
      <c r="AA3426" s="0" t="n">
        <f aca="false">X3426-Z3426</f>
        <v>45.8016844682575</v>
      </c>
      <c r="AB3426" s="0" t="n">
        <f aca="false">X3426+Z3426</f>
        <v>48.6729134849588</v>
      </c>
      <c r="AC3426" s="54" t="b">
        <f aca="false">AND(E3426&gt;=01_因子設定!$L$5-0.000000001,E3426&lt;=01_因子設定!$M$5+0.000000001,F3426&gt;=01_因子設定!$L$6-0.000000001,F3426&lt;=01_因子設定!$M$6+0.000000001,G3426&gt;=01_因子設定!$L$7-0.000000001,G3426&lt;=01_因子設定!$M$7+0.000000001,H3426&gt;=01_因子設定!$L$8-0.000000001,H3426&lt;=01_因子設定!$M$8+0.000000001,IF(01_因子設定!$B$20="Box-Behnken",E3426^2+F3426^2+G3426^2+H3426^2&lt;=2+0.000000001,TRUE()))</f>
        <v>1</v>
      </c>
      <c r="AD3426" s="55" t="n">
        <f aca="false">IF(AC3426,IF(01_因子設定!$B$13="最大化",AA3426-01_因子設定!$B$14,IF(01_因子設定!$B$13="最小化",01_因子設定!$B$15-AB3426,MIN(AA3426-01_因子設定!$B$14,01_因子設定!$B$15-AB3426))),-1E+030)</f>
        <v>-0.698315531742459</v>
      </c>
      <c r="AE3426" s="55" t="n">
        <f aca="false">IF(AC3426,IF(01_因子設定!$B$13="最大化",X3426,IF(01_因子設定!$B$13="最小化",-X3426,-ABS(X3426-01_因子設定!$B$16))),-1E+030)</f>
        <v>47.2372989766081</v>
      </c>
      <c r="AF3426" s="55" t="n">
        <f aca="false">AD3426+ROW()*0.000000001</f>
        <v>-0.698312105742459</v>
      </c>
      <c r="AG3426" s="55" t="n">
        <f aca="false">AE3426+ROW()*0.000000001</f>
        <v>47.2373024026081</v>
      </c>
    </row>
    <row r="3427" customFormat="false" ht="15" hidden="false" customHeight="false" outlineLevel="0" collapsed="false">
      <c r="A3427" s="0" t="n">
        <v>4</v>
      </c>
      <c r="B3427" s="0" t="n">
        <v>6</v>
      </c>
      <c r="C3427" s="0" t="n">
        <v>2</v>
      </c>
      <c r="D3427" s="0" t="n">
        <v>2</v>
      </c>
      <c r="E3427" s="0" t="n">
        <f aca="false">-1+A3427*0.25</f>
        <v>0</v>
      </c>
      <c r="F3427" s="0" t="n">
        <f aca="false">-1+B3427*0.25</f>
        <v>0.5</v>
      </c>
      <c r="G3427" s="0" t="n">
        <f aca="false">-1+C3427*0.25</f>
        <v>-0.5</v>
      </c>
      <c r="H3427" s="0" t="n">
        <f aca="false">-1+D3427*0.25</f>
        <v>-0.5</v>
      </c>
      <c r="I3427" s="0" t="n">
        <f aca="false">1</f>
        <v>1</v>
      </c>
      <c r="J3427" s="0" t="n">
        <f aca="false">E3427</f>
        <v>0</v>
      </c>
      <c r="K3427" s="0" t="n">
        <f aca="false">F3427</f>
        <v>0.5</v>
      </c>
      <c r="L3427" s="0" t="n">
        <f aca="false">G3427</f>
        <v>-0.5</v>
      </c>
      <c r="M3427" s="0" t="n">
        <f aca="false">H3427</f>
        <v>-0.5</v>
      </c>
      <c r="N3427" s="0" t="n">
        <f aca="false">E3427*F3427</f>
        <v>0</v>
      </c>
      <c r="O3427" s="0" t="n">
        <f aca="false">E3427*G3427</f>
        <v>-0</v>
      </c>
      <c r="P3427" s="0" t="n">
        <f aca="false">E3427*H3427</f>
        <v>-0</v>
      </c>
      <c r="Q3427" s="0" t="n">
        <f aca="false">F3427*G3427</f>
        <v>-0.25</v>
      </c>
      <c r="R3427" s="0" t="n">
        <f aca="false">F3427*H3427</f>
        <v>-0.25</v>
      </c>
      <c r="S3427" s="0" t="n">
        <f aca="false">G3427*H3427</f>
        <v>0.25</v>
      </c>
      <c r="T3427" s="0" t="n">
        <f aca="false">E3427*E3427</f>
        <v>0</v>
      </c>
      <c r="U3427" s="0" t="n">
        <f aca="false">F3427*F3427</f>
        <v>0.25</v>
      </c>
      <c r="V3427" s="0" t="n">
        <f aca="false">G3427*G3427</f>
        <v>0.25</v>
      </c>
      <c r="W3427" s="0" t="n">
        <f aca="false">H3427*H3427</f>
        <v>0.25</v>
      </c>
      <c r="X3427" s="0" t="n">
        <f aca="false">SUMPRODUCT(I3427:W3427,_XtX!$B$96:$P$96)</f>
        <v>47.3957054093567</v>
      </c>
      <c r="Y3427" s="0" t="n">
        <f aca="false">SUMPRODUCT(MMULT(I3427:W3427,_XtX!$B$78:$P$92),I3427:W3427)</f>
        <v>0.140008223684211</v>
      </c>
      <c r="Z3427" s="0" t="n">
        <f aca="false">04_回帰ANOVA!$K$19*04_回帰ANOVA!$K$14*SQRT(1+Y3427)</f>
        <v>1.39172165492264</v>
      </c>
      <c r="AA3427" s="0" t="n">
        <f aca="false">X3427-Z3427</f>
        <v>46.003983754434</v>
      </c>
      <c r="AB3427" s="0" t="n">
        <f aca="false">X3427+Z3427</f>
        <v>48.7874270642793</v>
      </c>
      <c r="AC3427" s="54" t="b">
        <f aca="false">AND(E3427&gt;=01_因子設定!$L$5-0.000000001,E3427&lt;=01_因子設定!$M$5+0.000000001,F3427&gt;=01_因子設定!$L$6-0.000000001,F3427&lt;=01_因子設定!$M$6+0.000000001,G3427&gt;=01_因子設定!$L$7-0.000000001,G3427&lt;=01_因子設定!$M$7+0.000000001,H3427&gt;=01_因子設定!$L$8-0.000000001,H3427&lt;=01_因子設定!$M$8+0.000000001,IF(01_因子設定!$B$20="Box-Behnken",E3427^2+F3427^2+G3427^2+H3427^2&lt;=2+0.000000001,TRUE()))</f>
        <v>1</v>
      </c>
      <c r="AD3427" s="55" t="n">
        <f aca="false">IF(AC3427,IF(01_因子設定!$B$13="最大化",AA3427-01_因子設定!$B$14,IF(01_因子設定!$B$13="最小化",01_因子設定!$B$15-AB3427,MIN(AA3427-01_因子設定!$B$14,01_因子設定!$B$15-AB3427))),-1E+030)</f>
        <v>-0.496016245565961</v>
      </c>
      <c r="AE3427" s="55" t="n">
        <f aca="false">IF(AC3427,IF(01_因子設定!$B$13="最大化",X3427,IF(01_因子設定!$B$13="最小化",-X3427,-ABS(X3427-01_因子設定!$B$16))),-1E+030)</f>
        <v>47.3957054093567</v>
      </c>
      <c r="AF3427" s="55" t="n">
        <f aca="false">AD3427+ROW()*0.000000001</f>
        <v>-0.496012818565961</v>
      </c>
      <c r="AG3427" s="55" t="n">
        <f aca="false">AE3427+ROW()*0.000000001</f>
        <v>47.3957088363567</v>
      </c>
    </row>
    <row r="3428" customFormat="false" ht="15" hidden="false" customHeight="false" outlineLevel="0" collapsed="false">
      <c r="A3428" s="0" t="n">
        <v>4</v>
      </c>
      <c r="B3428" s="0" t="n">
        <v>6</v>
      </c>
      <c r="C3428" s="0" t="n">
        <v>2</v>
      </c>
      <c r="D3428" s="0" t="n">
        <v>3</v>
      </c>
      <c r="E3428" s="0" t="n">
        <f aca="false">-1+A3428*0.25</f>
        <v>0</v>
      </c>
      <c r="F3428" s="0" t="n">
        <f aca="false">-1+B3428*0.25</f>
        <v>0.5</v>
      </c>
      <c r="G3428" s="0" t="n">
        <f aca="false">-1+C3428*0.25</f>
        <v>-0.5</v>
      </c>
      <c r="H3428" s="0" t="n">
        <f aca="false">-1+D3428*0.25</f>
        <v>-0.25</v>
      </c>
      <c r="I3428" s="0" t="n">
        <f aca="false">1</f>
        <v>1</v>
      </c>
      <c r="J3428" s="0" t="n">
        <f aca="false">E3428</f>
        <v>0</v>
      </c>
      <c r="K3428" s="0" t="n">
        <f aca="false">F3428</f>
        <v>0.5</v>
      </c>
      <c r="L3428" s="0" t="n">
        <f aca="false">G3428</f>
        <v>-0.5</v>
      </c>
      <c r="M3428" s="0" t="n">
        <f aca="false">H3428</f>
        <v>-0.25</v>
      </c>
      <c r="N3428" s="0" t="n">
        <f aca="false">E3428*F3428</f>
        <v>0</v>
      </c>
      <c r="O3428" s="0" t="n">
        <f aca="false">E3428*G3428</f>
        <v>-0</v>
      </c>
      <c r="P3428" s="0" t="n">
        <f aca="false">E3428*H3428</f>
        <v>-0</v>
      </c>
      <c r="Q3428" s="0" t="n">
        <f aca="false">F3428*G3428</f>
        <v>-0.25</v>
      </c>
      <c r="R3428" s="0" t="n">
        <f aca="false">F3428*H3428</f>
        <v>-0.125</v>
      </c>
      <c r="S3428" s="0" t="n">
        <f aca="false">G3428*H3428</f>
        <v>0.125</v>
      </c>
      <c r="T3428" s="0" t="n">
        <f aca="false">E3428*E3428</f>
        <v>0</v>
      </c>
      <c r="U3428" s="0" t="n">
        <f aca="false">F3428*F3428</f>
        <v>0.25</v>
      </c>
      <c r="V3428" s="0" t="n">
        <f aca="false">G3428*G3428</f>
        <v>0.25</v>
      </c>
      <c r="W3428" s="0" t="n">
        <f aca="false">H3428*H3428</f>
        <v>0.0625</v>
      </c>
      <c r="X3428" s="0" t="n">
        <f aca="false">SUMPRODUCT(I3428:W3428,_XtX!$B$96:$P$96)</f>
        <v>47.5063048245613</v>
      </c>
      <c r="Y3428" s="0" t="n">
        <f aca="false">SUMPRODUCT(MMULT(I3428:W3428,_XtX!$B$78:$P$92),I3428:W3428)</f>
        <v>0.132367050438597</v>
      </c>
      <c r="Z3428" s="0" t="n">
        <f aca="false">04_回帰ANOVA!$K$19*04_回帰ANOVA!$K$14*SQRT(1+Y3428)</f>
        <v>1.38704964208329</v>
      </c>
      <c r="AA3428" s="0" t="n">
        <f aca="false">X3428-Z3428</f>
        <v>46.1192551824781</v>
      </c>
      <c r="AB3428" s="0" t="n">
        <f aca="false">X3428+Z3428</f>
        <v>48.8933544666446</v>
      </c>
      <c r="AC3428" s="54" t="b">
        <f aca="false">AND(E3428&gt;=01_因子設定!$L$5-0.000000001,E3428&lt;=01_因子設定!$M$5+0.000000001,F3428&gt;=01_因子設定!$L$6-0.000000001,F3428&lt;=01_因子設定!$M$6+0.000000001,G3428&gt;=01_因子設定!$L$7-0.000000001,G3428&lt;=01_因子設定!$M$7+0.000000001,H3428&gt;=01_因子設定!$L$8-0.000000001,H3428&lt;=01_因子設定!$M$8+0.000000001,IF(01_因子設定!$B$20="Box-Behnken",E3428^2+F3428^2+G3428^2+H3428^2&lt;=2+0.000000001,TRUE()))</f>
        <v>1</v>
      </c>
      <c r="AD3428" s="55" t="n">
        <f aca="false">IF(AC3428,IF(01_因子設定!$B$13="最大化",AA3428-01_因子設定!$B$14,IF(01_因子設定!$B$13="最小化",01_因子設定!$B$15-AB3428,MIN(AA3428-01_因子設定!$B$14,01_因子設定!$B$15-AB3428))),-1E+030)</f>
        <v>-0.380744817521951</v>
      </c>
      <c r="AE3428" s="55" t="n">
        <f aca="false">IF(AC3428,IF(01_因子設定!$B$13="最大化",X3428,IF(01_因子設定!$B$13="最小化",-X3428,-ABS(X3428-01_因子設定!$B$16))),-1E+030)</f>
        <v>47.5063048245613</v>
      </c>
      <c r="AF3428" s="55" t="n">
        <f aca="false">AD3428+ROW()*0.000000001</f>
        <v>-0.380741389521951</v>
      </c>
      <c r="AG3428" s="55" t="n">
        <f aca="false">AE3428+ROW()*0.000000001</f>
        <v>47.5063082525613</v>
      </c>
    </row>
    <row r="3429" customFormat="false" ht="15" hidden="false" customHeight="false" outlineLevel="0" collapsed="false">
      <c r="A3429" s="0" t="n">
        <v>4</v>
      </c>
      <c r="B3429" s="0" t="n">
        <v>6</v>
      </c>
      <c r="C3429" s="0" t="n">
        <v>2</v>
      </c>
      <c r="D3429" s="0" t="n">
        <v>4</v>
      </c>
      <c r="E3429" s="0" t="n">
        <f aca="false">-1+A3429*0.25</f>
        <v>0</v>
      </c>
      <c r="F3429" s="0" t="n">
        <f aca="false">-1+B3429*0.25</f>
        <v>0.5</v>
      </c>
      <c r="G3429" s="0" t="n">
        <f aca="false">-1+C3429*0.25</f>
        <v>-0.5</v>
      </c>
      <c r="H3429" s="0" t="n">
        <f aca="false">-1+D3429*0.25</f>
        <v>0</v>
      </c>
      <c r="I3429" s="0" t="n">
        <f aca="false">1</f>
        <v>1</v>
      </c>
      <c r="J3429" s="0" t="n">
        <f aca="false">E3429</f>
        <v>0</v>
      </c>
      <c r="K3429" s="0" t="n">
        <f aca="false">F3429</f>
        <v>0.5</v>
      </c>
      <c r="L3429" s="0" t="n">
        <f aca="false">G3429</f>
        <v>-0.5</v>
      </c>
      <c r="M3429" s="0" t="n">
        <f aca="false">H3429</f>
        <v>0</v>
      </c>
      <c r="N3429" s="0" t="n">
        <f aca="false">E3429*F3429</f>
        <v>0</v>
      </c>
      <c r="O3429" s="0" t="n">
        <f aca="false">E3429*G3429</f>
        <v>-0</v>
      </c>
      <c r="P3429" s="0" t="n">
        <f aca="false">E3429*H3429</f>
        <v>0</v>
      </c>
      <c r="Q3429" s="0" t="n">
        <f aca="false">F3429*G3429</f>
        <v>-0.25</v>
      </c>
      <c r="R3429" s="0" t="n">
        <f aca="false">F3429*H3429</f>
        <v>0</v>
      </c>
      <c r="S3429" s="0" t="n">
        <f aca="false">G3429*H3429</f>
        <v>-0</v>
      </c>
      <c r="T3429" s="0" t="n">
        <f aca="false">E3429*E3429</f>
        <v>0</v>
      </c>
      <c r="U3429" s="0" t="n">
        <f aca="false">F3429*F3429</f>
        <v>0.25</v>
      </c>
      <c r="V3429" s="0" t="n">
        <f aca="false">G3429*G3429</f>
        <v>0.25</v>
      </c>
      <c r="W3429" s="0" t="n">
        <f aca="false">H3429*H3429</f>
        <v>0</v>
      </c>
      <c r="X3429" s="0" t="n">
        <f aca="false">SUMPRODUCT(I3429:W3429,_XtX!$B$96:$P$96)</f>
        <v>47.5690972222222</v>
      </c>
      <c r="Y3429" s="0" t="n">
        <f aca="false">SUMPRODUCT(MMULT(I3429:W3429,_XtX!$B$78:$P$92),I3429:W3429)</f>
        <v>0.135850694444444</v>
      </c>
      <c r="Z3429" s="0" t="n">
        <f aca="false">04_回帰ANOVA!$K$19*04_回帰ANOVA!$K$14*SQRT(1+Y3429)</f>
        <v>1.38918158179389</v>
      </c>
      <c r="AA3429" s="0" t="n">
        <f aca="false">X3429-Z3429</f>
        <v>46.1799156404283</v>
      </c>
      <c r="AB3429" s="0" t="n">
        <f aca="false">X3429+Z3429</f>
        <v>48.9582788040161</v>
      </c>
      <c r="AC3429" s="54" t="b">
        <f aca="false">AND(E3429&gt;=01_因子設定!$L$5-0.000000001,E3429&lt;=01_因子設定!$M$5+0.000000001,F3429&gt;=01_因子設定!$L$6-0.000000001,F3429&lt;=01_因子設定!$M$6+0.000000001,G3429&gt;=01_因子設定!$L$7-0.000000001,G3429&lt;=01_因子設定!$M$7+0.000000001,H3429&gt;=01_因子設定!$L$8-0.000000001,H3429&lt;=01_因子設定!$M$8+0.000000001,IF(01_因子設定!$B$20="Box-Behnken",E3429^2+F3429^2+G3429^2+H3429^2&lt;=2+0.000000001,TRUE()))</f>
        <v>1</v>
      </c>
      <c r="AD3429" s="55" t="n">
        <f aca="false">IF(AC3429,IF(01_因子設定!$B$13="最大化",AA3429-01_因子設定!$B$14,IF(01_因子設定!$B$13="最小化",01_因子設定!$B$15-AB3429,MIN(AA3429-01_因子設定!$B$14,01_因子設定!$B$15-AB3429))),-1E+030)</f>
        <v>-0.320084359571737</v>
      </c>
      <c r="AE3429" s="55" t="n">
        <f aca="false">IF(AC3429,IF(01_因子設定!$B$13="最大化",X3429,IF(01_因子設定!$B$13="最小化",-X3429,-ABS(X3429-01_因子設定!$B$16))),-1E+030)</f>
        <v>47.5690972222222</v>
      </c>
      <c r="AF3429" s="55" t="n">
        <f aca="false">AD3429+ROW()*0.000000001</f>
        <v>-0.320080930571737</v>
      </c>
      <c r="AG3429" s="55" t="n">
        <f aca="false">AE3429+ROW()*0.000000001</f>
        <v>47.5691006512222</v>
      </c>
    </row>
    <row r="3430" customFormat="false" ht="15" hidden="false" customHeight="false" outlineLevel="0" collapsed="false">
      <c r="A3430" s="0" t="n">
        <v>4</v>
      </c>
      <c r="B3430" s="0" t="n">
        <v>6</v>
      </c>
      <c r="C3430" s="0" t="n">
        <v>2</v>
      </c>
      <c r="D3430" s="0" t="n">
        <v>5</v>
      </c>
      <c r="E3430" s="0" t="n">
        <f aca="false">-1+A3430*0.25</f>
        <v>0</v>
      </c>
      <c r="F3430" s="0" t="n">
        <f aca="false">-1+B3430*0.25</f>
        <v>0.5</v>
      </c>
      <c r="G3430" s="0" t="n">
        <f aca="false">-1+C3430*0.25</f>
        <v>-0.5</v>
      </c>
      <c r="H3430" s="0" t="n">
        <f aca="false">-1+D3430*0.25</f>
        <v>0.25</v>
      </c>
      <c r="I3430" s="0" t="n">
        <f aca="false">1</f>
        <v>1</v>
      </c>
      <c r="J3430" s="0" t="n">
        <f aca="false">E3430</f>
        <v>0</v>
      </c>
      <c r="K3430" s="0" t="n">
        <f aca="false">F3430</f>
        <v>0.5</v>
      </c>
      <c r="L3430" s="0" t="n">
        <f aca="false">G3430</f>
        <v>-0.5</v>
      </c>
      <c r="M3430" s="0" t="n">
        <f aca="false">H3430</f>
        <v>0.25</v>
      </c>
      <c r="N3430" s="0" t="n">
        <f aca="false">E3430*F3430</f>
        <v>0</v>
      </c>
      <c r="O3430" s="0" t="n">
        <f aca="false">E3430*G3430</f>
        <v>-0</v>
      </c>
      <c r="P3430" s="0" t="n">
        <f aca="false">E3430*H3430</f>
        <v>0</v>
      </c>
      <c r="Q3430" s="0" t="n">
        <f aca="false">F3430*G3430</f>
        <v>-0.25</v>
      </c>
      <c r="R3430" s="0" t="n">
        <f aca="false">F3430*H3430</f>
        <v>0.125</v>
      </c>
      <c r="S3430" s="0" t="n">
        <f aca="false">G3430*H3430</f>
        <v>-0.125</v>
      </c>
      <c r="T3430" s="0" t="n">
        <f aca="false">E3430*E3430</f>
        <v>0</v>
      </c>
      <c r="U3430" s="0" t="n">
        <f aca="false">F3430*F3430</f>
        <v>0.25</v>
      </c>
      <c r="V3430" s="0" t="n">
        <f aca="false">G3430*G3430</f>
        <v>0.25</v>
      </c>
      <c r="W3430" s="0" t="n">
        <f aca="false">H3430*H3430</f>
        <v>0.0625</v>
      </c>
      <c r="X3430" s="0" t="n">
        <f aca="false">SUMPRODUCT(I3430:W3430,_XtX!$B$96:$P$96)</f>
        <v>47.5840826023391</v>
      </c>
      <c r="Y3430" s="0" t="n">
        <f aca="false">SUMPRODUCT(MMULT(I3430:W3430,_XtX!$B$78:$P$92),I3430:W3430)</f>
        <v>0.132367050438597</v>
      </c>
      <c r="Z3430" s="0" t="n">
        <f aca="false">04_回帰ANOVA!$K$19*04_回帰ANOVA!$K$14*SQRT(1+Y3430)</f>
        <v>1.38704964208329</v>
      </c>
      <c r="AA3430" s="0" t="n">
        <f aca="false">X3430-Z3430</f>
        <v>46.1970329602558</v>
      </c>
      <c r="AB3430" s="0" t="n">
        <f aca="false">X3430+Z3430</f>
        <v>48.9711322444224</v>
      </c>
      <c r="AC3430" s="54" t="b">
        <f aca="false">AND(E3430&gt;=01_因子設定!$L$5-0.000000001,E3430&lt;=01_因子設定!$M$5+0.000000001,F3430&gt;=01_因子設定!$L$6-0.000000001,F3430&lt;=01_因子設定!$M$6+0.000000001,G3430&gt;=01_因子設定!$L$7-0.000000001,G3430&lt;=01_因子設定!$M$7+0.000000001,H3430&gt;=01_因子設定!$L$8-0.000000001,H3430&lt;=01_因子設定!$M$8+0.000000001,IF(01_因子設定!$B$20="Box-Behnken",E3430^2+F3430^2+G3430^2+H3430^2&lt;=2+0.000000001,TRUE()))</f>
        <v>1</v>
      </c>
      <c r="AD3430" s="55" t="n">
        <f aca="false">IF(AC3430,IF(01_因子設定!$B$13="最大化",AA3430-01_因子設定!$B$14,IF(01_因子設定!$B$13="最小化",01_因子設定!$B$15-AB3430,MIN(AA3430-01_因子設定!$B$14,01_因子設定!$B$15-AB3430))),-1E+030)</f>
        <v>-0.302967039744175</v>
      </c>
      <c r="AE3430" s="55" t="n">
        <f aca="false">IF(AC3430,IF(01_因子設定!$B$13="最大化",X3430,IF(01_因子設定!$B$13="最小化",-X3430,-ABS(X3430-01_因子設定!$B$16))),-1E+030)</f>
        <v>47.5840826023391</v>
      </c>
      <c r="AF3430" s="55" t="n">
        <f aca="false">AD3430+ROW()*0.000000001</f>
        <v>-0.302963609744175</v>
      </c>
      <c r="AG3430" s="55" t="n">
        <f aca="false">AE3430+ROW()*0.000000001</f>
        <v>47.5840860323391</v>
      </c>
    </row>
    <row r="3431" customFormat="false" ht="15" hidden="false" customHeight="false" outlineLevel="0" collapsed="false">
      <c r="A3431" s="0" t="n">
        <v>4</v>
      </c>
      <c r="B3431" s="0" t="n">
        <v>6</v>
      </c>
      <c r="C3431" s="0" t="n">
        <v>2</v>
      </c>
      <c r="D3431" s="0" t="n">
        <v>6</v>
      </c>
      <c r="E3431" s="0" t="n">
        <f aca="false">-1+A3431*0.25</f>
        <v>0</v>
      </c>
      <c r="F3431" s="0" t="n">
        <f aca="false">-1+B3431*0.25</f>
        <v>0.5</v>
      </c>
      <c r="G3431" s="0" t="n">
        <f aca="false">-1+C3431*0.25</f>
        <v>-0.5</v>
      </c>
      <c r="H3431" s="0" t="n">
        <f aca="false">-1+D3431*0.25</f>
        <v>0.5</v>
      </c>
      <c r="I3431" s="0" t="n">
        <f aca="false">1</f>
        <v>1</v>
      </c>
      <c r="J3431" s="0" t="n">
        <f aca="false">E3431</f>
        <v>0</v>
      </c>
      <c r="K3431" s="0" t="n">
        <f aca="false">F3431</f>
        <v>0.5</v>
      </c>
      <c r="L3431" s="0" t="n">
        <f aca="false">G3431</f>
        <v>-0.5</v>
      </c>
      <c r="M3431" s="0" t="n">
        <f aca="false">H3431</f>
        <v>0.5</v>
      </c>
      <c r="N3431" s="0" t="n">
        <f aca="false">E3431*F3431</f>
        <v>0</v>
      </c>
      <c r="O3431" s="0" t="n">
        <f aca="false">E3431*G3431</f>
        <v>-0</v>
      </c>
      <c r="P3431" s="0" t="n">
        <f aca="false">E3431*H3431</f>
        <v>0</v>
      </c>
      <c r="Q3431" s="0" t="n">
        <f aca="false">F3431*G3431</f>
        <v>-0.25</v>
      </c>
      <c r="R3431" s="0" t="n">
        <f aca="false">F3431*H3431</f>
        <v>0.25</v>
      </c>
      <c r="S3431" s="0" t="n">
        <f aca="false">G3431*H3431</f>
        <v>-0.25</v>
      </c>
      <c r="T3431" s="0" t="n">
        <f aca="false">E3431*E3431</f>
        <v>0</v>
      </c>
      <c r="U3431" s="0" t="n">
        <f aca="false">F3431*F3431</f>
        <v>0.25</v>
      </c>
      <c r="V3431" s="0" t="n">
        <f aca="false">G3431*G3431</f>
        <v>0.25</v>
      </c>
      <c r="W3431" s="0" t="n">
        <f aca="false">H3431*H3431</f>
        <v>0.25</v>
      </c>
      <c r="X3431" s="0" t="n">
        <f aca="false">SUMPRODUCT(I3431:W3431,_XtX!$B$96:$P$96)</f>
        <v>47.5512609649122</v>
      </c>
      <c r="Y3431" s="0" t="n">
        <f aca="false">SUMPRODUCT(MMULT(I3431:W3431,_XtX!$B$78:$P$92),I3431:W3431)</f>
        <v>0.140008223684211</v>
      </c>
      <c r="Z3431" s="0" t="n">
        <f aca="false">04_回帰ANOVA!$K$19*04_回帰ANOVA!$K$14*SQRT(1+Y3431)</f>
        <v>1.39172165492264</v>
      </c>
      <c r="AA3431" s="0" t="n">
        <f aca="false">X3431-Z3431</f>
        <v>46.1595393099896</v>
      </c>
      <c r="AB3431" s="0" t="n">
        <f aca="false">X3431+Z3431</f>
        <v>48.9429826198349</v>
      </c>
      <c r="AC3431" s="54" t="b">
        <f aca="false">AND(E3431&gt;=01_因子設定!$L$5-0.000000001,E3431&lt;=01_因子設定!$M$5+0.000000001,F3431&gt;=01_因子設定!$L$6-0.000000001,F3431&lt;=01_因子設定!$M$6+0.000000001,G3431&gt;=01_因子設定!$L$7-0.000000001,G3431&lt;=01_因子設定!$M$7+0.000000001,H3431&gt;=01_因子設定!$L$8-0.000000001,H3431&lt;=01_因子設定!$M$8+0.000000001,IF(01_因子設定!$B$20="Box-Behnken",E3431^2+F3431^2+G3431^2+H3431^2&lt;=2+0.000000001,TRUE()))</f>
        <v>1</v>
      </c>
      <c r="AD3431" s="55" t="n">
        <f aca="false">IF(AC3431,IF(01_因子設定!$B$13="最大化",AA3431-01_因子設定!$B$14,IF(01_因子設定!$B$13="最小化",01_因子設定!$B$15-AB3431,MIN(AA3431-01_因子設定!$B$14,01_因子設定!$B$15-AB3431))),-1E+030)</f>
        <v>-0.34046069001041</v>
      </c>
      <c r="AE3431" s="55" t="n">
        <f aca="false">IF(AC3431,IF(01_因子設定!$B$13="最大化",X3431,IF(01_因子設定!$B$13="最小化",-X3431,-ABS(X3431-01_因子設定!$B$16))),-1E+030)</f>
        <v>47.5512609649122</v>
      </c>
      <c r="AF3431" s="55" t="n">
        <f aca="false">AD3431+ROW()*0.000000001</f>
        <v>-0.34045725901041</v>
      </c>
      <c r="AG3431" s="55" t="n">
        <f aca="false">AE3431+ROW()*0.000000001</f>
        <v>47.5512643959122</v>
      </c>
    </row>
    <row r="3432" customFormat="false" ht="15" hidden="false" customHeight="false" outlineLevel="0" collapsed="false">
      <c r="A3432" s="0" t="n">
        <v>4</v>
      </c>
      <c r="B3432" s="0" t="n">
        <v>6</v>
      </c>
      <c r="C3432" s="0" t="n">
        <v>2</v>
      </c>
      <c r="D3432" s="0" t="n">
        <v>7</v>
      </c>
      <c r="E3432" s="0" t="n">
        <f aca="false">-1+A3432*0.25</f>
        <v>0</v>
      </c>
      <c r="F3432" s="0" t="n">
        <f aca="false">-1+B3432*0.25</f>
        <v>0.5</v>
      </c>
      <c r="G3432" s="0" t="n">
        <f aca="false">-1+C3432*0.25</f>
        <v>-0.5</v>
      </c>
      <c r="H3432" s="0" t="n">
        <f aca="false">-1+D3432*0.25</f>
        <v>0.75</v>
      </c>
      <c r="I3432" s="0" t="n">
        <f aca="false">1</f>
        <v>1</v>
      </c>
      <c r="J3432" s="0" t="n">
        <f aca="false">E3432</f>
        <v>0</v>
      </c>
      <c r="K3432" s="0" t="n">
        <f aca="false">F3432</f>
        <v>0.5</v>
      </c>
      <c r="L3432" s="0" t="n">
        <f aca="false">G3432</f>
        <v>-0.5</v>
      </c>
      <c r="M3432" s="0" t="n">
        <f aca="false">H3432</f>
        <v>0.75</v>
      </c>
      <c r="N3432" s="0" t="n">
        <f aca="false">E3432*F3432</f>
        <v>0</v>
      </c>
      <c r="O3432" s="0" t="n">
        <f aca="false">E3432*G3432</f>
        <v>-0</v>
      </c>
      <c r="P3432" s="0" t="n">
        <f aca="false">E3432*H3432</f>
        <v>0</v>
      </c>
      <c r="Q3432" s="0" t="n">
        <f aca="false">F3432*G3432</f>
        <v>-0.25</v>
      </c>
      <c r="R3432" s="0" t="n">
        <f aca="false">F3432*H3432</f>
        <v>0.375</v>
      </c>
      <c r="S3432" s="0" t="n">
        <f aca="false">G3432*H3432</f>
        <v>-0.375</v>
      </c>
      <c r="T3432" s="0" t="n">
        <f aca="false">E3432*E3432</f>
        <v>0</v>
      </c>
      <c r="U3432" s="0" t="n">
        <f aca="false">F3432*F3432</f>
        <v>0.25</v>
      </c>
      <c r="V3432" s="0" t="n">
        <f aca="false">G3432*G3432</f>
        <v>0.25</v>
      </c>
      <c r="W3432" s="0" t="n">
        <f aca="false">H3432*H3432</f>
        <v>0.5625</v>
      </c>
      <c r="X3432" s="0" t="n">
        <f aca="false">SUMPRODUCT(I3432:W3432,_XtX!$B$96:$P$96)</f>
        <v>47.4706323099415</v>
      </c>
      <c r="Y3432" s="0" t="n">
        <f aca="false">SUMPRODUCT(MMULT(I3432:W3432,_XtX!$B$78:$P$92),I3432:W3432)</f>
        <v>0.21305052997076</v>
      </c>
      <c r="Z3432" s="0" t="n">
        <f aca="false">04_回帰ANOVA!$K$19*04_回帰ANOVA!$K$14*SQRT(1+Y3432)</f>
        <v>1.43561450835061</v>
      </c>
      <c r="AA3432" s="0" t="n">
        <f aca="false">X3432-Z3432</f>
        <v>46.0350178015909</v>
      </c>
      <c r="AB3432" s="0" t="n">
        <f aca="false">X3432+Z3432</f>
        <v>48.9062468182921</v>
      </c>
      <c r="AC3432" s="54" t="b">
        <f aca="false">AND(E3432&gt;=01_因子設定!$L$5-0.000000001,E3432&lt;=01_因子設定!$M$5+0.000000001,F3432&gt;=01_因子設定!$L$6-0.000000001,F3432&lt;=01_因子設定!$M$6+0.000000001,G3432&gt;=01_因子設定!$L$7-0.000000001,G3432&lt;=01_因子設定!$M$7+0.000000001,H3432&gt;=01_因子設定!$L$8-0.000000001,H3432&lt;=01_因子設定!$M$8+0.000000001,IF(01_因子設定!$B$20="Box-Behnken",E3432^2+F3432^2+G3432^2+H3432^2&lt;=2+0.000000001,TRUE()))</f>
        <v>1</v>
      </c>
      <c r="AD3432" s="55" t="n">
        <f aca="false">IF(AC3432,IF(01_因子設定!$B$13="最大化",AA3432-01_因子設定!$B$14,IF(01_因子設定!$B$13="最小化",01_因子設定!$B$15-AB3432,MIN(AA3432-01_因子設定!$B$14,01_因子設定!$B$15-AB3432))),-1E+030)</f>
        <v>-0.464982198409132</v>
      </c>
      <c r="AE3432" s="55" t="n">
        <f aca="false">IF(AC3432,IF(01_因子設定!$B$13="最大化",X3432,IF(01_因子設定!$B$13="最小化",-X3432,-ABS(X3432-01_因子設定!$B$16))),-1E+030)</f>
        <v>47.4706323099415</v>
      </c>
      <c r="AF3432" s="55" t="n">
        <f aca="false">AD3432+ROW()*0.000000001</f>
        <v>-0.464978766409132</v>
      </c>
      <c r="AG3432" s="55" t="n">
        <f aca="false">AE3432+ROW()*0.000000001</f>
        <v>47.4706357419415</v>
      </c>
    </row>
    <row r="3433" customFormat="false" ht="15" hidden="false" customHeight="false" outlineLevel="0" collapsed="false">
      <c r="A3433" s="0" t="n">
        <v>4</v>
      </c>
      <c r="B3433" s="0" t="n">
        <v>6</v>
      </c>
      <c r="C3433" s="0" t="n">
        <v>2</v>
      </c>
      <c r="D3433" s="0" t="n">
        <v>8</v>
      </c>
      <c r="E3433" s="0" t="n">
        <f aca="false">-1+A3433*0.25</f>
        <v>0</v>
      </c>
      <c r="F3433" s="0" t="n">
        <f aca="false">-1+B3433*0.25</f>
        <v>0.5</v>
      </c>
      <c r="G3433" s="0" t="n">
        <f aca="false">-1+C3433*0.25</f>
        <v>-0.5</v>
      </c>
      <c r="H3433" s="0" t="n">
        <f aca="false">-1+D3433*0.25</f>
        <v>1</v>
      </c>
      <c r="I3433" s="0" t="n">
        <f aca="false">1</f>
        <v>1</v>
      </c>
      <c r="J3433" s="0" t="n">
        <f aca="false">E3433</f>
        <v>0</v>
      </c>
      <c r="K3433" s="0" t="n">
        <f aca="false">F3433</f>
        <v>0.5</v>
      </c>
      <c r="L3433" s="0" t="n">
        <f aca="false">G3433</f>
        <v>-0.5</v>
      </c>
      <c r="M3433" s="0" t="n">
        <f aca="false">H3433</f>
        <v>1</v>
      </c>
      <c r="N3433" s="0" t="n">
        <f aca="false">E3433*F3433</f>
        <v>0</v>
      </c>
      <c r="O3433" s="0" t="n">
        <f aca="false">E3433*G3433</f>
        <v>-0</v>
      </c>
      <c r="P3433" s="0" t="n">
        <f aca="false">E3433*H3433</f>
        <v>0</v>
      </c>
      <c r="Q3433" s="0" t="n">
        <f aca="false">F3433*G3433</f>
        <v>-0.25</v>
      </c>
      <c r="R3433" s="0" t="n">
        <f aca="false">F3433*H3433</f>
        <v>0.5</v>
      </c>
      <c r="S3433" s="0" t="n">
        <f aca="false">G3433*H3433</f>
        <v>-0.5</v>
      </c>
      <c r="T3433" s="0" t="n">
        <f aca="false">E3433*E3433</f>
        <v>0</v>
      </c>
      <c r="U3433" s="0" t="n">
        <f aca="false">F3433*F3433</f>
        <v>0.25</v>
      </c>
      <c r="V3433" s="0" t="n">
        <f aca="false">G3433*G3433</f>
        <v>0.25</v>
      </c>
      <c r="W3433" s="0" t="n">
        <f aca="false">H3433*H3433</f>
        <v>1</v>
      </c>
      <c r="X3433" s="0" t="n">
        <f aca="false">SUMPRODUCT(I3433:W3433,_XtX!$B$96:$P$96)</f>
        <v>47.3421966374269</v>
      </c>
      <c r="Y3433" s="0" t="n">
        <f aca="false">SUMPRODUCT(MMULT(I3433:W3433,_XtX!$B$78:$P$92),I3433:W3433)</f>
        <v>0.441954495614035</v>
      </c>
      <c r="Z3433" s="0" t="n">
        <f aca="false">04_回帰ANOVA!$K$19*04_回帰ANOVA!$K$14*SQRT(1+Y3433)</f>
        <v>1.56521560968066</v>
      </c>
      <c r="AA3433" s="0" t="n">
        <f aca="false">X3433-Z3433</f>
        <v>45.7769810277462</v>
      </c>
      <c r="AB3433" s="0" t="n">
        <f aca="false">X3433+Z3433</f>
        <v>48.9074122471075</v>
      </c>
      <c r="AC3433" s="54" t="b">
        <f aca="false">AND(E3433&gt;=01_因子設定!$L$5-0.000000001,E3433&lt;=01_因子設定!$M$5+0.000000001,F3433&gt;=01_因子設定!$L$6-0.000000001,F3433&lt;=01_因子設定!$M$6+0.000000001,G3433&gt;=01_因子設定!$L$7-0.000000001,G3433&lt;=01_因子設定!$M$7+0.000000001,H3433&gt;=01_因子設定!$L$8-0.000000001,H3433&lt;=01_因子設定!$M$8+0.000000001,IF(01_因子設定!$B$20="Box-Behnken",E3433^2+F3433^2+G3433^2+H3433^2&lt;=2+0.000000001,TRUE()))</f>
        <v>1</v>
      </c>
      <c r="AD3433" s="55" t="n">
        <f aca="false">IF(AC3433,IF(01_因子設定!$B$13="最大化",AA3433-01_因子設定!$B$14,IF(01_因子設定!$B$13="最小化",01_因子設定!$B$15-AB3433,MIN(AA3433-01_因子設定!$B$14,01_因子設定!$B$15-AB3433))),-1E+030)</f>
        <v>-0.72301897225379</v>
      </c>
      <c r="AE3433" s="55" t="n">
        <f aca="false">IF(AC3433,IF(01_因子設定!$B$13="最大化",X3433,IF(01_因子設定!$B$13="最小化",-X3433,-ABS(X3433-01_因子設定!$B$16))),-1E+030)</f>
        <v>47.3421966374269</v>
      </c>
      <c r="AF3433" s="55" t="n">
        <f aca="false">AD3433+ROW()*0.000000001</f>
        <v>-0.72301553925379</v>
      </c>
      <c r="AG3433" s="55" t="n">
        <f aca="false">AE3433+ROW()*0.000000001</f>
        <v>47.3422000704269</v>
      </c>
    </row>
    <row r="3434" customFormat="false" ht="15" hidden="false" customHeight="false" outlineLevel="0" collapsed="false">
      <c r="A3434" s="0" t="n">
        <v>4</v>
      </c>
      <c r="B3434" s="0" t="n">
        <v>6</v>
      </c>
      <c r="C3434" s="0" t="n">
        <v>3</v>
      </c>
      <c r="D3434" s="0" t="n">
        <v>0</v>
      </c>
      <c r="E3434" s="0" t="n">
        <f aca="false">-1+A3434*0.25</f>
        <v>0</v>
      </c>
      <c r="F3434" s="0" t="n">
        <f aca="false">-1+B3434*0.25</f>
        <v>0.5</v>
      </c>
      <c r="G3434" s="0" t="n">
        <f aca="false">-1+C3434*0.25</f>
        <v>-0.25</v>
      </c>
      <c r="H3434" s="0" t="n">
        <f aca="false">-1+D3434*0.25</f>
        <v>-1</v>
      </c>
      <c r="I3434" s="0" t="n">
        <f aca="false">1</f>
        <v>1</v>
      </c>
      <c r="J3434" s="0" t="n">
        <f aca="false">E3434</f>
        <v>0</v>
      </c>
      <c r="K3434" s="0" t="n">
        <f aca="false">F3434</f>
        <v>0.5</v>
      </c>
      <c r="L3434" s="0" t="n">
        <f aca="false">G3434</f>
        <v>-0.25</v>
      </c>
      <c r="M3434" s="0" t="n">
        <f aca="false">H3434</f>
        <v>-1</v>
      </c>
      <c r="N3434" s="0" t="n">
        <f aca="false">E3434*F3434</f>
        <v>0</v>
      </c>
      <c r="O3434" s="0" t="n">
        <f aca="false">E3434*G3434</f>
        <v>-0</v>
      </c>
      <c r="P3434" s="0" t="n">
        <f aca="false">E3434*H3434</f>
        <v>-0</v>
      </c>
      <c r="Q3434" s="0" t="n">
        <f aca="false">F3434*G3434</f>
        <v>-0.125</v>
      </c>
      <c r="R3434" s="0" t="n">
        <f aca="false">F3434*H3434</f>
        <v>-0.5</v>
      </c>
      <c r="S3434" s="0" t="n">
        <f aca="false">G3434*H3434</f>
        <v>0.25</v>
      </c>
      <c r="T3434" s="0" t="n">
        <f aca="false">E3434*E3434</f>
        <v>0</v>
      </c>
      <c r="U3434" s="0" t="n">
        <f aca="false">F3434*F3434</f>
        <v>0.25</v>
      </c>
      <c r="V3434" s="0" t="n">
        <f aca="false">G3434*G3434</f>
        <v>0.0625</v>
      </c>
      <c r="W3434" s="0" t="n">
        <f aca="false">H3434*H3434</f>
        <v>1</v>
      </c>
      <c r="X3434" s="0" t="n">
        <f aca="false">SUMPRODUCT(I3434:W3434,_XtX!$B$96:$P$96)</f>
        <v>47.3720668859649</v>
      </c>
      <c r="Y3434" s="0" t="n">
        <f aca="false">SUMPRODUCT(MMULT(I3434:W3434,_XtX!$B$78:$P$92),I3434:W3434)</f>
        <v>0.457596628289474</v>
      </c>
      <c r="Z3434" s="0" t="n">
        <f aca="false">04_回帰ANOVA!$K$19*04_回帰ANOVA!$K$14*SQRT(1+Y3434)</f>
        <v>1.57368233664366</v>
      </c>
      <c r="AA3434" s="0" t="n">
        <f aca="false">X3434-Z3434</f>
        <v>45.7983845493212</v>
      </c>
      <c r="AB3434" s="0" t="n">
        <f aca="false">X3434+Z3434</f>
        <v>48.9457492226085</v>
      </c>
      <c r="AC3434" s="54" t="b">
        <f aca="false">AND(E3434&gt;=01_因子設定!$L$5-0.000000001,E3434&lt;=01_因子設定!$M$5+0.000000001,F3434&gt;=01_因子設定!$L$6-0.000000001,F3434&lt;=01_因子設定!$M$6+0.000000001,G3434&gt;=01_因子設定!$L$7-0.000000001,G3434&lt;=01_因子設定!$M$7+0.000000001,H3434&gt;=01_因子設定!$L$8-0.000000001,H3434&lt;=01_因子設定!$M$8+0.000000001,IF(01_因子設定!$B$20="Box-Behnken",E3434^2+F3434^2+G3434^2+H3434^2&lt;=2+0.000000001,TRUE()))</f>
        <v>1</v>
      </c>
      <c r="AD3434" s="55" t="n">
        <f aca="false">IF(AC3434,IF(01_因子設定!$B$13="最大化",AA3434-01_因子設定!$B$14,IF(01_因子設定!$B$13="最小化",01_因子設定!$B$15-AB3434,MIN(AA3434-01_因子設定!$B$14,01_因子設定!$B$15-AB3434))),-1E+030)</f>
        <v>-0.701615450678773</v>
      </c>
      <c r="AE3434" s="55" t="n">
        <f aca="false">IF(AC3434,IF(01_因子設定!$B$13="最大化",X3434,IF(01_因子設定!$B$13="最小化",-X3434,-ABS(X3434-01_因子設定!$B$16))),-1E+030)</f>
        <v>47.3720668859649</v>
      </c>
      <c r="AF3434" s="55" t="n">
        <f aca="false">AD3434+ROW()*0.000000001</f>
        <v>-0.701612016678773</v>
      </c>
      <c r="AG3434" s="55" t="n">
        <f aca="false">AE3434+ROW()*0.000000001</f>
        <v>47.3720703199649</v>
      </c>
    </row>
    <row r="3435" customFormat="false" ht="15" hidden="false" customHeight="false" outlineLevel="0" collapsed="false">
      <c r="A3435" s="0" t="n">
        <v>4</v>
      </c>
      <c r="B3435" s="0" t="n">
        <v>6</v>
      </c>
      <c r="C3435" s="0" t="n">
        <v>3</v>
      </c>
      <c r="D3435" s="0" t="n">
        <v>1</v>
      </c>
      <c r="E3435" s="0" t="n">
        <f aca="false">-1+A3435*0.25</f>
        <v>0</v>
      </c>
      <c r="F3435" s="0" t="n">
        <f aca="false">-1+B3435*0.25</f>
        <v>0.5</v>
      </c>
      <c r="G3435" s="0" t="n">
        <f aca="false">-1+C3435*0.25</f>
        <v>-0.25</v>
      </c>
      <c r="H3435" s="0" t="n">
        <f aca="false">-1+D3435*0.25</f>
        <v>-0.75</v>
      </c>
      <c r="I3435" s="0" t="n">
        <f aca="false">1</f>
        <v>1</v>
      </c>
      <c r="J3435" s="0" t="n">
        <f aca="false">E3435</f>
        <v>0</v>
      </c>
      <c r="K3435" s="0" t="n">
        <f aca="false">F3435</f>
        <v>0.5</v>
      </c>
      <c r="L3435" s="0" t="n">
        <f aca="false">G3435</f>
        <v>-0.25</v>
      </c>
      <c r="M3435" s="0" t="n">
        <f aca="false">H3435</f>
        <v>-0.75</v>
      </c>
      <c r="N3435" s="0" t="n">
        <f aca="false">E3435*F3435</f>
        <v>0</v>
      </c>
      <c r="O3435" s="0" t="n">
        <f aca="false">E3435*G3435</f>
        <v>-0</v>
      </c>
      <c r="P3435" s="0" t="n">
        <f aca="false">E3435*H3435</f>
        <v>-0</v>
      </c>
      <c r="Q3435" s="0" t="n">
        <f aca="false">F3435*G3435</f>
        <v>-0.125</v>
      </c>
      <c r="R3435" s="0" t="n">
        <f aca="false">F3435*H3435</f>
        <v>-0.375</v>
      </c>
      <c r="S3435" s="0" t="n">
        <f aca="false">G3435*H3435</f>
        <v>0.1875</v>
      </c>
      <c r="T3435" s="0" t="n">
        <f aca="false">E3435*E3435</f>
        <v>0</v>
      </c>
      <c r="U3435" s="0" t="n">
        <f aca="false">F3435*F3435</f>
        <v>0.25</v>
      </c>
      <c r="V3435" s="0" t="n">
        <f aca="false">G3435*G3435</f>
        <v>0.0625</v>
      </c>
      <c r="W3435" s="0" t="n">
        <f aca="false">H3435*H3435</f>
        <v>0.5625</v>
      </c>
      <c r="X3435" s="0" t="n">
        <f aca="false">SUMPRODUCT(I3435:W3435,_XtX!$B$96:$P$96)</f>
        <v>47.5962490862573</v>
      </c>
      <c r="Y3435" s="0" t="n">
        <f aca="false">SUMPRODUCT(MMULT(I3435:W3435,_XtX!$B$78:$P$92),I3435:W3435)</f>
        <v>0.215110734192252</v>
      </c>
      <c r="Z3435" s="0" t="n">
        <f aca="false">04_回帰ANOVA!$K$19*04_回帰ANOVA!$K$14*SQRT(1+Y3435)</f>
        <v>1.43683309086864</v>
      </c>
      <c r="AA3435" s="0" t="n">
        <f aca="false">X3435-Z3435</f>
        <v>46.1594159953886</v>
      </c>
      <c r="AB3435" s="0" t="n">
        <f aca="false">X3435+Z3435</f>
        <v>49.0330821771259</v>
      </c>
      <c r="AC3435" s="54" t="b">
        <f aca="false">AND(E3435&gt;=01_因子設定!$L$5-0.000000001,E3435&lt;=01_因子設定!$M$5+0.000000001,F3435&gt;=01_因子設定!$L$6-0.000000001,F3435&lt;=01_因子設定!$M$6+0.000000001,G3435&gt;=01_因子設定!$L$7-0.000000001,G3435&lt;=01_因子設定!$M$7+0.000000001,H3435&gt;=01_因子設定!$L$8-0.000000001,H3435&lt;=01_因子設定!$M$8+0.000000001,IF(01_因子設定!$B$20="Box-Behnken",E3435^2+F3435^2+G3435^2+H3435^2&lt;=2+0.000000001,TRUE()))</f>
        <v>1</v>
      </c>
      <c r="AD3435" s="55" t="n">
        <f aca="false">IF(AC3435,IF(01_因子設定!$B$13="最大化",AA3435-01_因子設定!$B$14,IF(01_因子設定!$B$13="最小化",01_因子設定!$B$15-AB3435,MIN(AA3435-01_因子設定!$B$14,01_因子設定!$B$15-AB3435))),-1E+030)</f>
        <v>-0.34058400461138</v>
      </c>
      <c r="AE3435" s="55" t="n">
        <f aca="false">IF(AC3435,IF(01_因子設定!$B$13="最大化",X3435,IF(01_因子設定!$B$13="最小化",-X3435,-ABS(X3435-01_因子設定!$B$16))),-1E+030)</f>
        <v>47.5962490862573</v>
      </c>
      <c r="AF3435" s="55" t="n">
        <f aca="false">AD3435+ROW()*0.000000001</f>
        <v>-0.34058056961138</v>
      </c>
      <c r="AG3435" s="55" t="n">
        <f aca="false">AE3435+ROW()*0.000000001</f>
        <v>47.5962525212573</v>
      </c>
    </row>
    <row r="3436" customFormat="false" ht="15" hidden="false" customHeight="false" outlineLevel="0" collapsed="false">
      <c r="A3436" s="0" t="n">
        <v>4</v>
      </c>
      <c r="B3436" s="0" t="n">
        <v>6</v>
      </c>
      <c r="C3436" s="0" t="n">
        <v>3</v>
      </c>
      <c r="D3436" s="0" t="n">
        <v>2</v>
      </c>
      <c r="E3436" s="0" t="n">
        <f aca="false">-1+A3436*0.25</f>
        <v>0</v>
      </c>
      <c r="F3436" s="0" t="n">
        <f aca="false">-1+B3436*0.25</f>
        <v>0.5</v>
      </c>
      <c r="G3436" s="0" t="n">
        <f aca="false">-1+C3436*0.25</f>
        <v>-0.25</v>
      </c>
      <c r="H3436" s="0" t="n">
        <f aca="false">-1+D3436*0.25</f>
        <v>-0.5</v>
      </c>
      <c r="I3436" s="0" t="n">
        <f aca="false">1</f>
        <v>1</v>
      </c>
      <c r="J3436" s="0" t="n">
        <f aca="false">E3436</f>
        <v>0</v>
      </c>
      <c r="K3436" s="0" t="n">
        <f aca="false">F3436</f>
        <v>0.5</v>
      </c>
      <c r="L3436" s="0" t="n">
        <f aca="false">G3436</f>
        <v>-0.25</v>
      </c>
      <c r="M3436" s="0" t="n">
        <f aca="false">H3436</f>
        <v>-0.5</v>
      </c>
      <c r="N3436" s="0" t="n">
        <f aca="false">E3436*F3436</f>
        <v>0</v>
      </c>
      <c r="O3436" s="0" t="n">
        <f aca="false">E3436*G3436</f>
        <v>-0</v>
      </c>
      <c r="P3436" s="0" t="n">
        <f aca="false">E3436*H3436</f>
        <v>-0</v>
      </c>
      <c r="Q3436" s="0" t="n">
        <f aca="false">F3436*G3436</f>
        <v>-0.125</v>
      </c>
      <c r="R3436" s="0" t="n">
        <f aca="false">F3436*H3436</f>
        <v>-0.25</v>
      </c>
      <c r="S3436" s="0" t="n">
        <f aca="false">G3436*H3436</f>
        <v>0.125</v>
      </c>
      <c r="T3436" s="0" t="n">
        <f aca="false">E3436*E3436</f>
        <v>0</v>
      </c>
      <c r="U3436" s="0" t="n">
        <f aca="false">F3436*F3436</f>
        <v>0.25</v>
      </c>
      <c r="V3436" s="0" t="n">
        <f aca="false">G3436*G3436</f>
        <v>0.0625</v>
      </c>
      <c r="W3436" s="0" t="n">
        <f aca="false">H3436*H3436</f>
        <v>0.25</v>
      </c>
      <c r="X3436" s="0" t="n">
        <f aca="false">SUMPRODUCT(I3436:W3436,_XtX!$B$96:$P$96)</f>
        <v>47.7726242690058</v>
      </c>
      <c r="Y3436" s="0" t="n">
        <f aca="false">SUMPRODUCT(MMULT(I3436:W3436,_XtX!$B$78:$P$92),I3436:W3436)</f>
        <v>0.132367050438597</v>
      </c>
      <c r="Z3436" s="0" t="n">
        <f aca="false">04_回帰ANOVA!$K$19*04_回帰ANOVA!$K$14*SQRT(1+Y3436)</f>
        <v>1.38704964208329</v>
      </c>
      <c r="AA3436" s="0" t="n">
        <f aca="false">X3436-Z3436</f>
        <v>46.3855746269225</v>
      </c>
      <c r="AB3436" s="0" t="n">
        <f aca="false">X3436+Z3436</f>
        <v>49.1596739110891</v>
      </c>
      <c r="AC3436" s="54" t="b">
        <f aca="false">AND(E3436&gt;=01_因子設定!$L$5-0.000000001,E3436&lt;=01_因子設定!$M$5+0.000000001,F3436&gt;=01_因子設定!$L$6-0.000000001,F3436&lt;=01_因子設定!$M$6+0.000000001,G3436&gt;=01_因子設定!$L$7-0.000000001,G3436&lt;=01_因子設定!$M$7+0.000000001,H3436&gt;=01_因子設定!$L$8-0.000000001,H3436&lt;=01_因子設定!$M$8+0.000000001,IF(01_因子設定!$B$20="Box-Behnken",E3436^2+F3436^2+G3436^2+H3436^2&lt;=2+0.000000001,TRUE()))</f>
        <v>1</v>
      </c>
      <c r="AD3436" s="55" t="n">
        <f aca="false">IF(AC3436,IF(01_因子設定!$B$13="最大化",AA3436-01_因子設定!$B$14,IF(01_因子設定!$B$13="最小化",01_因子設定!$B$15-AB3436,MIN(AA3436-01_因子設定!$B$14,01_因子設定!$B$15-AB3436))),-1E+030)</f>
        <v>-0.114425373077502</v>
      </c>
      <c r="AE3436" s="55" t="n">
        <f aca="false">IF(AC3436,IF(01_因子設定!$B$13="最大化",X3436,IF(01_因子設定!$B$13="最小化",-X3436,-ABS(X3436-01_因子設定!$B$16))),-1E+030)</f>
        <v>47.7726242690058</v>
      </c>
      <c r="AF3436" s="55" t="n">
        <f aca="false">AD3436+ROW()*0.000000001</f>
        <v>-0.114421937077502</v>
      </c>
      <c r="AG3436" s="55" t="n">
        <f aca="false">AE3436+ROW()*0.000000001</f>
        <v>47.7726277050058</v>
      </c>
    </row>
    <row r="3437" customFormat="false" ht="15" hidden="false" customHeight="false" outlineLevel="0" collapsed="false">
      <c r="A3437" s="0" t="n">
        <v>4</v>
      </c>
      <c r="B3437" s="0" t="n">
        <v>6</v>
      </c>
      <c r="C3437" s="0" t="n">
        <v>3</v>
      </c>
      <c r="D3437" s="0" t="n">
        <v>3</v>
      </c>
      <c r="E3437" s="0" t="n">
        <f aca="false">-1+A3437*0.25</f>
        <v>0</v>
      </c>
      <c r="F3437" s="0" t="n">
        <f aca="false">-1+B3437*0.25</f>
        <v>0.5</v>
      </c>
      <c r="G3437" s="0" t="n">
        <f aca="false">-1+C3437*0.25</f>
        <v>-0.25</v>
      </c>
      <c r="H3437" s="0" t="n">
        <f aca="false">-1+D3437*0.25</f>
        <v>-0.25</v>
      </c>
      <c r="I3437" s="0" t="n">
        <f aca="false">1</f>
        <v>1</v>
      </c>
      <c r="J3437" s="0" t="n">
        <f aca="false">E3437</f>
        <v>0</v>
      </c>
      <c r="K3437" s="0" t="n">
        <f aca="false">F3437</f>
        <v>0.5</v>
      </c>
      <c r="L3437" s="0" t="n">
        <f aca="false">G3437</f>
        <v>-0.25</v>
      </c>
      <c r="M3437" s="0" t="n">
        <f aca="false">H3437</f>
        <v>-0.25</v>
      </c>
      <c r="N3437" s="0" t="n">
        <f aca="false">E3437*F3437</f>
        <v>0</v>
      </c>
      <c r="O3437" s="0" t="n">
        <f aca="false">E3437*G3437</f>
        <v>-0</v>
      </c>
      <c r="P3437" s="0" t="n">
        <f aca="false">E3437*H3437</f>
        <v>-0</v>
      </c>
      <c r="Q3437" s="0" t="n">
        <f aca="false">F3437*G3437</f>
        <v>-0.125</v>
      </c>
      <c r="R3437" s="0" t="n">
        <f aca="false">F3437*H3437</f>
        <v>-0.125</v>
      </c>
      <c r="S3437" s="0" t="n">
        <f aca="false">G3437*H3437</f>
        <v>0.0625</v>
      </c>
      <c r="T3437" s="0" t="n">
        <f aca="false">E3437*E3437</f>
        <v>0</v>
      </c>
      <c r="U3437" s="0" t="n">
        <f aca="false">F3437*F3437</f>
        <v>0.25</v>
      </c>
      <c r="V3437" s="0" t="n">
        <f aca="false">G3437*G3437</f>
        <v>0.0625</v>
      </c>
      <c r="W3437" s="0" t="n">
        <f aca="false">H3437*H3437</f>
        <v>0.0625</v>
      </c>
      <c r="X3437" s="0" t="n">
        <f aca="false">SUMPRODUCT(I3437:W3437,_XtX!$B$96:$P$96)</f>
        <v>47.9011924342105</v>
      </c>
      <c r="Y3437" s="0" t="n">
        <f aca="false">SUMPRODUCT(MMULT(I3437:W3437,_XtX!$B$78:$P$92),I3437:W3437)</f>
        <v>0.118905050712719</v>
      </c>
      <c r="Z3437" s="0" t="n">
        <f aca="false">04_回帰ANOVA!$K$19*04_回帰ANOVA!$K$14*SQRT(1+Y3437)</f>
        <v>1.37878011033769</v>
      </c>
      <c r="AA3437" s="0" t="n">
        <f aca="false">X3437-Z3437</f>
        <v>46.5224123238728</v>
      </c>
      <c r="AB3437" s="0" t="n">
        <f aca="false">X3437+Z3437</f>
        <v>49.2799725445482</v>
      </c>
      <c r="AC3437" s="54" t="b">
        <f aca="false">AND(E3437&gt;=01_因子設定!$L$5-0.000000001,E3437&lt;=01_因子設定!$M$5+0.000000001,F3437&gt;=01_因子設定!$L$6-0.000000001,F3437&lt;=01_因子設定!$M$6+0.000000001,G3437&gt;=01_因子設定!$L$7-0.000000001,G3437&lt;=01_因子設定!$M$7+0.000000001,H3437&gt;=01_因子設定!$L$8-0.000000001,H3437&lt;=01_因子設定!$M$8+0.000000001,IF(01_因子設定!$B$20="Box-Behnken",E3437^2+F3437^2+G3437^2+H3437^2&lt;=2+0.000000001,TRUE()))</f>
        <v>1</v>
      </c>
      <c r="AD3437" s="55" t="n">
        <f aca="false">IF(AC3437,IF(01_因子設定!$B$13="最大化",AA3437-01_因子設定!$B$14,IF(01_因子設定!$B$13="最小化",01_因子設定!$B$15-AB3437,MIN(AA3437-01_因子設定!$B$14,01_因子設定!$B$15-AB3437))),-1E+030)</f>
        <v>0.0224123238727785</v>
      </c>
      <c r="AE3437" s="55" t="n">
        <f aca="false">IF(AC3437,IF(01_因子設定!$B$13="最大化",X3437,IF(01_因子設定!$B$13="最小化",-X3437,-ABS(X3437-01_因子設定!$B$16))),-1E+030)</f>
        <v>47.9011924342105</v>
      </c>
      <c r="AF3437" s="55" t="n">
        <f aca="false">AD3437+ROW()*0.000000001</f>
        <v>0.0224157608727785</v>
      </c>
      <c r="AG3437" s="55" t="n">
        <f aca="false">AE3437+ROW()*0.000000001</f>
        <v>47.9011958712105</v>
      </c>
    </row>
    <row r="3438" customFormat="false" ht="15" hidden="false" customHeight="false" outlineLevel="0" collapsed="false">
      <c r="A3438" s="0" t="n">
        <v>4</v>
      </c>
      <c r="B3438" s="0" t="n">
        <v>6</v>
      </c>
      <c r="C3438" s="0" t="n">
        <v>3</v>
      </c>
      <c r="D3438" s="0" t="n">
        <v>4</v>
      </c>
      <c r="E3438" s="0" t="n">
        <f aca="false">-1+A3438*0.25</f>
        <v>0</v>
      </c>
      <c r="F3438" s="0" t="n">
        <f aca="false">-1+B3438*0.25</f>
        <v>0.5</v>
      </c>
      <c r="G3438" s="0" t="n">
        <f aca="false">-1+C3438*0.25</f>
        <v>-0.25</v>
      </c>
      <c r="H3438" s="0" t="n">
        <f aca="false">-1+D3438*0.25</f>
        <v>0</v>
      </c>
      <c r="I3438" s="0" t="n">
        <f aca="false">1</f>
        <v>1</v>
      </c>
      <c r="J3438" s="0" t="n">
        <f aca="false">E3438</f>
        <v>0</v>
      </c>
      <c r="K3438" s="0" t="n">
        <f aca="false">F3438</f>
        <v>0.5</v>
      </c>
      <c r="L3438" s="0" t="n">
        <f aca="false">G3438</f>
        <v>-0.25</v>
      </c>
      <c r="M3438" s="0" t="n">
        <f aca="false">H3438</f>
        <v>0</v>
      </c>
      <c r="N3438" s="0" t="n">
        <f aca="false">E3438*F3438</f>
        <v>0</v>
      </c>
      <c r="O3438" s="0" t="n">
        <f aca="false">E3438*G3438</f>
        <v>-0</v>
      </c>
      <c r="P3438" s="0" t="n">
        <f aca="false">E3438*H3438</f>
        <v>0</v>
      </c>
      <c r="Q3438" s="0" t="n">
        <f aca="false">F3438*G3438</f>
        <v>-0.125</v>
      </c>
      <c r="R3438" s="0" t="n">
        <f aca="false">F3438*H3438</f>
        <v>0</v>
      </c>
      <c r="S3438" s="0" t="n">
        <f aca="false">G3438*H3438</f>
        <v>-0</v>
      </c>
      <c r="T3438" s="0" t="n">
        <f aca="false">E3438*E3438</f>
        <v>0</v>
      </c>
      <c r="U3438" s="0" t="n">
        <f aca="false">F3438*F3438</f>
        <v>0.25</v>
      </c>
      <c r="V3438" s="0" t="n">
        <f aca="false">G3438*G3438</f>
        <v>0.0625</v>
      </c>
      <c r="W3438" s="0" t="n">
        <f aca="false">H3438*H3438</f>
        <v>0</v>
      </c>
      <c r="X3438" s="0" t="n">
        <f aca="false">SUMPRODUCT(I3438:W3438,_XtX!$B$96:$P$96)</f>
        <v>47.9819535818713</v>
      </c>
      <c r="Y3438" s="0" t="n">
        <f aca="false">SUMPRODUCT(MMULT(I3438:W3438,_XtX!$B$78:$P$92),I3438:W3438)</f>
        <v>0.120448419225146</v>
      </c>
      <c r="Z3438" s="0" t="n">
        <f aca="false">04_回帰ANOVA!$K$19*04_回帰ANOVA!$K$14*SQRT(1+Y3438)</f>
        <v>1.37973069703246</v>
      </c>
      <c r="AA3438" s="0" t="n">
        <f aca="false">X3438-Z3438</f>
        <v>46.6022228848388</v>
      </c>
      <c r="AB3438" s="0" t="n">
        <f aca="false">X3438+Z3438</f>
        <v>49.3616842789037</v>
      </c>
      <c r="AC3438" s="54" t="b">
        <f aca="false">AND(E3438&gt;=01_因子設定!$L$5-0.000000001,E3438&lt;=01_因子設定!$M$5+0.000000001,F3438&gt;=01_因子設定!$L$6-0.000000001,F3438&lt;=01_因子設定!$M$6+0.000000001,G3438&gt;=01_因子設定!$L$7-0.000000001,G3438&lt;=01_因子設定!$M$7+0.000000001,H3438&gt;=01_因子設定!$L$8-0.000000001,H3438&lt;=01_因子設定!$M$8+0.000000001,IF(01_因子設定!$B$20="Box-Behnken",E3438^2+F3438^2+G3438^2+H3438^2&lt;=2+0.000000001,TRUE()))</f>
        <v>1</v>
      </c>
      <c r="AD3438" s="55" t="n">
        <f aca="false">IF(AC3438,IF(01_因子設定!$B$13="最大化",AA3438-01_因子設定!$B$14,IF(01_因子設定!$B$13="最小化",01_因子設定!$B$15-AB3438,MIN(AA3438-01_因子設定!$B$14,01_因子設定!$B$15-AB3438))),-1E+030)</f>
        <v>0.102222884838817</v>
      </c>
      <c r="AE3438" s="55" t="n">
        <f aca="false">IF(AC3438,IF(01_因子設定!$B$13="最大化",X3438,IF(01_因子設定!$B$13="最小化",-X3438,-ABS(X3438-01_因子設定!$B$16))),-1E+030)</f>
        <v>47.9819535818713</v>
      </c>
      <c r="AF3438" s="55" t="n">
        <f aca="false">AD3438+ROW()*0.000000001</f>
        <v>0.102226322838817</v>
      </c>
      <c r="AG3438" s="55" t="n">
        <f aca="false">AE3438+ROW()*0.000000001</f>
        <v>47.9819570198713</v>
      </c>
    </row>
    <row r="3439" customFormat="false" ht="15" hidden="false" customHeight="false" outlineLevel="0" collapsed="false">
      <c r="A3439" s="0" t="n">
        <v>4</v>
      </c>
      <c r="B3439" s="0" t="n">
        <v>6</v>
      </c>
      <c r="C3439" s="0" t="n">
        <v>3</v>
      </c>
      <c r="D3439" s="0" t="n">
        <v>5</v>
      </c>
      <c r="E3439" s="0" t="n">
        <f aca="false">-1+A3439*0.25</f>
        <v>0</v>
      </c>
      <c r="F3439" s="0" t="n">
        <f aca="false">-1+B3439*0.25</f>
        <v>0.5</v>
      </c>
      <c r="G3439" s="0" t="n">
        <f aca="false">-1+C3439*0.25</f>
        <v>-0.25</v>
      </c>
      <c r="H3439" s="0" t="n">
        <f aca="false">-1+D3439*0.25</f>
        <v>0.25</v>
      </c>
      <c r="I3439" s="0" t="n">
        <f aca="false">1</f>
        <v>1</v>
      </c>
      <c r="J3439" s="0" t="n">
        <f aca="false">E3439</f>
        <v>0</v>
      </c>
      <c r="K3439" s="0" t="n">
        <f aca="false">F3439</f>
        <v>0.5</v>
      </c>
      <c r="L3439" s="0" t="n">
        <f aca="false">G3439</f>
        <v>-0.25</v>
      </c>
      <c r="M3439" s="0" t="n">
        <f aca="false">H3439</f>
        <v>0.25</v>
      </c>
      <c r="N3439" s="0" t="n">
        <f aca="false">E3439*F3439</f>
        <v>0</v>
      </c>
      <c r="O3439" s="0" t="n">
        <f aca="false">E3439*G3439</f>
        <v>-0</v>
      </c>
      <c r="P3439" s="0" t="n">
        <f aca="false">E3439*H3439</f>
        <v>0</v>
      </c>
      <c r="Q3439" s="0" t="n">
        <f aca="false">F3439*G3439</f>
        <v>-0.125</v>
      </c>
      <c r="R3439" s="0" t="n">
        <f aca="false">F3439*H3439</f>
        <v>0.125</v>
      </c>
      <c r="S3439" s="0" t="n">
        <f aca="false">G3439*H3439</f>
        <v>-0.0625</v>
      </c>
      <c r="T3439" s="0" t="n">
        <f aca="false">E3439*E3439</f>
        <v>0</v>
      </c>
      <c r="U3439" s="0" t="n">
        <f aca="false">F3439*F3439</f>
        <v>0.25</v>
      </c>
      <c r="V3439" s="0" t="n">
        <f aca="false">G3439*G3439</f>
        <v>0.0625</v>
      </c>
      <c r="W3439" s="0" t="n">
        <f aca="false">H3439*H3439</f>
        <v>0.0625</v>
      </c>
      <c r="X3439" s="0" t="n">
        <f aca="false">SUMPRODUCT(I3439:W3439,_XtX!$B$96:$P$96)</f>
        <v>48.0149077119882</v>
      </c>
      <c r="Y3439" s="0" t="n">
        <f aca="false">SUMPRODUCT(MMULT(I3439:W3439,_XtX!$B$78:$P$92),I3439:W3439)</f>
        <v>0.118905050712719</v>
      </c>
      <c r="Z3439" s="0" t="n">
        <f aca="false">04_回帰ANOVA!$K$19*04_回帰ANOVA!$K$14*SQRT(1+Y3439)</f>
        <v>1.37878011033769</v>
      </c>
      <c r="AA3439" s="0" t="n">
        <f aca="false">X3439-Z3439</f>
        <v>46.6361276016506</v>
      </c>
      <c r="AB3439" s="0" t="n">
        <f aca="false">X3439+Z3439</f>
        <v>49.3936878223259</v>
      </c>
      <c r="AC3439" s="54" t="b">
        <f aca="false">AND(E3439&gt;=01_因子設定!$L$5-0.000000001,E3439&lt;=01_因子設定!$M$5+0.000000001,F3439&gt;=01_因子設定!$L$6-0.000000001,F3439&lt;=01_因子設定!$M$6+0.000000001,G3439&gt;=01_因子設定!$L$7-0.000000001,G3439&lt;=01_因子設定!$M$7+0.000000001,H3439&gt;=01_因子設定!$L$8-0.000000001,H3439&lt;=01_因子設定!$M$8+0.000000001,IF(01_因子設定!$B$20="Box-Behnken",E3439^2+F3439^2+G3439^2+H3439^2&lt;=2+0.000000001,TRUE()))</f>
        <v>1</v>
      </c>
      <c r="AD3439" s="55" t="n">
        <f aca="false">IF(AC3439,IF(01_因子設定!$B$13="最大化",AA3439-01_因子設定!$B$14,IF(01_因子設定!$B$13="最小化",01_因子設定!$B$15-AB3439,MIN(AA3439-01_因子設定!$B$14,01_因子設定!$B$15-AB3439))),-1E+030)</f>
        <v>0.13612760165055</v>
      </c>
      <c r="AE3439" s="55" t="n">
        <f aca="false">IF(AC3439,IF(01_因子設定!$B$13="最大化",X3439,IF(01_因子設定!$B$13="最小化",-X3439,-ABS(X3439-01_因子設定!$B$16))),-1E+030)</f>
        <v>48.0149077119882</v>
      </c>
      <c r="AF3439" s="55" t="n">
        <f aca="false">AD3439+ROW()*0.000000001</f>
        <v>0.13613104065055</v>
      </c>
      <c r="AG3439" s="55" t="n">
        <f aca="false">AE3439+ROW()*0.000000001</f>
        <v>48.0149111509882</v>
      </c>
    </row>
    <row r="3440" customFormat="false" ht="15" hidden="false" customHeight="false" outlineLevel="0" collapsed="false">
      <c r="A3440" s="0" t="n">
        <v>4</v>
      </c>
      <c r="B3440" s="0" t="n">
        <v>6</v>
      </c>
      <c r="C3440" s="0" t="n">
        <v>3</v>
      </c>
      <c r="D3440" s="0" t="n">
        <v>6</v>
      </c>
      <c r="E3440" s="0" t="n">
        <f aca="false">-1+A3440*0.25</f>
        <v>0</v>
      </c>
      <c r="F3440" s="0" t="n">
        <f aca="false">-1+B3440*0.25</f>
        <v>0.5</v>
      </c>
      <c r="G3440" s="0" t="n">
        <f aca="false">-1+C3440*0.25</f>
        <v>-0.25</v>
      </c>
      <c r="H3440" s="0" t="n">
        <f aca="false">-1+D3440*0.25</f>
        <v>0.5</v>
      </c>
      <c r="I3440" s="0" t="n">
        <f aca="false">1</f>
        <v>1</v>
      </c>
      <c r="J3440" s="0" t="n">
        <f aca="false">E3440</f>
        <v>0</v>
      </c>
      <c r="K3440" s="0" t="n">
        <f aca="false">F3440</f>
        <v>0.5</v>
      </c>
      <c r="L3440" s="0" t="n">
        <f aca="false">G3440</f>
        <v>-0.25</v>
      </c>
      <c r="M3440" s="0" t="n">
        <f aca="false">H3440</f>
        <v>0.5</v>
      </c>
      <c r="N3440" s="0" t="n">
        <f aca="false">E3440*F3440</f>
        <v>0</v>
      </c>
      <c r="O3440" s="0" t="n">
        <f aca="false">E3440*G3440</f>
        <v>-0</v>
      </c>
      <c r="P3440" s="0" t="n">
        <f aca="false">E3440*H3440</f>
        <v>0</v>
      </c>
      <c r="Q3440" s="0" t="n">
        <f aca="false">F3440*G3440</f>
        <v>-0.125</v>
      </c>
      <c r="R3440" s="0" t="n">
        <f aca="false">F3440*H3440</f>
        <v>0.25</v>
      </c>
      <c r="S3440" s="0" t="n">
        <f aca="false">G3440*H3440</f>
        <v>-0.125</v>
      </c>
      <c r="T3440" s="0" t="n">
        <f aca="false">E3440*E3440</f>
        <v>0</v>
      </c>
      <c r="U3440" s="0" t="n">
        <f aca="false">F3440*F3440</f>
        <v>0.25</v>
      </c>
      <c r="V3440" s="0" t="n">
        <f aca="false">G3440*G3440</f>
        <v>0.0625</v>
      </c>
      <c r="W3440" s="0" t="n">
        <f aca="false">H3440*H3440</f>
        <v>0.25</v>
      </c>
      <c r="X3440" s="0" t="n">
        <f aca="false">SUMPRODUCT(I3440:W3440,_XtX!$B$96:$P$96)</f>
        <v>48.0000548245613</v>
      </c>
      <c r="Y3440" s="0" t="n">
        <f aca="false">SUMPRODUCT(MMULT(I3440:W3440,_XtX!$B$78:$P$92),I3440:W3440)</f>
        <v>0.132367050438597</v>
      </c>
      <c r="Z3440" s="0" t="n">
        <f aca="false">04_回帰ANOVA!$K$19*04_回帰ANOVA!$K$14*SQRT(1+Y3440)</f>
        <v>1.38704964208329</v>
      </c>
      <c r="AA3440" s="0" t="n">
        <f aca="false">X3440-Z3440</f>
        <v>46.6130051824781</v>
      </c>
      <c r="AB3440" s="0" t="n">
        <f aca="false">X3440+Z3440</f>
        <v>49.3871044666446</v>
      </c>
      <c r="AC3440" s="54" t="b">
        <f aca="false">AND(E3440&gt;=01_因子設定!$L$5-0.000000001,E3440&lt;=01_因子設定!$M$5+0.000000001,F3440&gt;=01_因子設定!$L$6-0.000000001,F3440&lt;=01_因子設定!$M$6+0.000000001,G3440&gt;=01_因子設定!$L$7-0.000000001,G3440&lt;=01_因子設定!$M$7+0.000000001,H3440&gt;=01_因子設定!$L$8-0.000000001,H3440&lt;=01_因子設定!$M$8+0.000000001,IF(01_因子設定!$B$20="Box-Behnken",E3440^2+F3440^2+G3440^2+H3440^2&lt;=2+0.000000001,TRUE()))</f>
        <v>1</v>
      </c>
      <c r="AD3440" s="55" t="n">
        <f aca="false">IF(AC3440,IF(01_因子設定!$B$13="最大化",AA3440-01_因子設定!$B$14,IF(01_因子設定!$B$13="最小化",01_因子設定!$B$15-AB3440,MIN(AA3440-01_因子設定!$B$14,01_因子設定!$B$15-AB3440))),-1E+030)</f>
        <v>0.113005182478055</v>
      </c>
      <c r="AE3440" s="55" t="n">
        <f aca="false">IF(AC3440,IF(01_因子設定!$B$13="最大化",X3440,IF(01_因子設定!$B$13="最小化",-X3440,-ABS(X3440-01_因子設定!$B$16))),-1E+030)</f>
        <v>48.0000548245613</v>
      </c>
      <c r="AF3440" s="55" t="n">
        <f aca="false">AD3440+ROW()*0.000000001</f>
        <v>0.113008622478055</v>
      </c>
      <c r="AG3440" s="55" t="n">
        <f aca="false">AE3440+ROW()*0.000000001</f>
        <v>48.0000582645613</v>
      </c>
    </row>
    <row r="3441" customFormat="false" ht="15" hidden="false" customHeight="false" outlineLevel="0" collapsed="false">
      <c r="A3441" s="0" t="n">
        <v>4</v>
      </c>
      <c r="B3441" s="0" t="n">
        <v>6</v>
      </c>
      <c r="C3441" s="0" t="n">
        <v>3</v>
      </c>
      <c r="D3441" s="0" t="n">
        <v>7</v>
      </c>
      <c r="E3441" s="0" t="n">
        <f aca="false">-1+A3441*0.25</f>
        <v>0</v>
      </c>
      <c r="F3441" s="0" t="n">
        <f aca="false">-1+B3441*0.25</f>
        <v>0.5</v>
      </c>
      <c r="G3441" s="0" t="n">
        <f aca="false">-1+C3441*0.25</f>
        <v>-0.25</v>
      </c>
      <c r="H3441" s="0" t="n">
        <f aca="false">-1+D3441*0.25</f>
        <v>0.75</v>
      </c>
      <c r="I3441" s="0" t="n">
        <f aca="false">1</f>
        <v>1</v>
      </c>
      <c r="J3441" s="0" t="n">
        <f aca="false">E3441</f>
        <v>0</v>
      </c>
      <c r="K3441" s="0" t="n">
        <f aca="false">F3441</f>
        <v>0.5</v>
      </c>
      <c r="L3441" s="0" t="n">
        <f aca="false">G3441</f>
        <v>-0.25</v>
      </c>
      <c r="M3441" s="0" t="n">
        <f aca="false">H3441</f>
        <v>0.75</v>
      </c>
      <c r="N3441" s="0" t="n">
        <f aca="false">E3441*F3441</f>
        <v>0</v>
      </c>
      <c r="O3441" s="0" t="n">
        <f aca="false">E3441*G3441</f>
        <v>-0</v>
      </c>
      <c r="P3441" s="0" t="n">
        <f aca="false">E3441*H3441</f>
        <v>0</v>
      </c>
      <c r="Q3441" s="0" t="n">
        <f aca="false">F3441*G3441</f>
        <v>-0.125</v>
      </c>
      <c r="R3441" s="0" t="n">
        <f aca="false">F3441*H3441</f>
        <v>0.375</v>
      </c>
      <c r="S3441" s="0" t="n">
        <f aca="false">G3441*H3441</f>
        <v>-0.1875</v>
      </c>
      <c r="T3441" s="0" t="n">
        <f aca="false">E3441*E3441</f>
        <v>0</v>
      </c>
      <c r="U3441" s="0" t="n">
        <f aca="false">F3441*F3441</f>
        <v>0.25</v>
      </c>
      <c r="V3441" s="0" t="n">
        <f aca="false">G3441*G3441</f>
        <v>0.0625</v>
      </c>
      <c r="W3441" s="0" t="n">
        <f aca="false">H3441*H3441</f>
        <v>0.5625</v>
      </c>
      <c r="X3441" s="0" t="n">
        <f aca="false">SUMPRODUCT(I3441:W3441,_XtX!$B$96:$P$96)</f>
        <v>47.9373949195906</v>
      </c>
      <c r="Y3441" s="0" t="n">
        <f aca="false">SUMPRODUCT(MMULT(I3441:W3441,_XtX!$B$78:$P$92),I3441:W3441)</f>
        <v>0.215110734192252</v>
      </c>
      <c r="Z3441" s="0" t="n">
        <f aca="false">04_回帰ANOVA!$K$19*04_回帰ANOVA!$K$14*SQRT(1+Y3441)</f>
        <v>1.43683309086864</v>
      </c>
      <c r="AA3441" s="0" t="n">
        <f aca="false">X3441-Z3441</f>
        <v>46.500561828722</v>
      </c>
      <c r="AB3441" s="0" t="n">
        <f aca="false">X3441+Z3441</f>
        <v>49.3742280104592</v>
      </c>
      <c r="AC3441" s="54" t="b">
        <f aca="false">AND(E3441&gt;=01_因子設定!$L$5-0.000000001,E3441&lt;=01_因子設定!$M$5+0.000000001,F3441&gt;=01_因子設定!$L$6-0.000000001,F3441&lt;=01_因子設定!$M$6+0.000000001,G3441&gt;=01_因子設定!$L$7-0.000000001,G3441&lt;=01_因子設定!$M$7+0.000000001,H3441&gt;=01_因子設定!$L$8-0.000000001,H3441&lt;=01_因子設定!$M$8+0.000000001,IF(01_因子設定!$B$20="Box-Behnken",E3441^2+F3441^2+G3441^2+H3441^2&lt;=2+0.000000001,TRUE()))</f>
        <v>1</v>
      </c>
      <c r="AD3441" s="55" t="n">
        <f aca="false">IF(AC3441,IF(01_因子設定!$B$13="最大化",AA3441-01_因子設定!$B$14,IF(01_因子設定!$B$13="最小化",01_因子設定!$B$15-AB3441,MIN(AA3441-01_因子設定!$B$14,01_因子設定!$B$15-AB3441))),-1E+030)</f>
        <v>0.000561828721949098</v>
      </c>
      <c r="AE3441" s="55" t="n">
        <f aca="false">IF(AC3441,IF(01_因子設定!$B$13="最大化",X3441,IF(01_因子設定!$B$13="最小化",-X3441,-ABS(X3441-01_因子設定!$B$16))),-1E+030)</f>
        <v>47.9373949195906</v>
      </c>
      <c r="AF3441" s="55" t="n">
        <f aca="false">AD3441+ROW()*0.000000001</f>
        <v>0.000565269721949098</v>
      </c>
      <c r="AG3441" s="55" t="n">
        <f aca="false">AE3441+ROW()*0.000000001</f>
        <v>47.9373983605906</v>
      </c>
    </row>
    <row r="3442" customFormat="false" ht="15" hidden="false" customHeight="false" outlineLevel="0" collapsed="false">
      <c r="A3442" s="0" t="n">
        <v>4</v>
      </c>
      <c r="B3442" s="0" t="n">
        <v>6</v>
      </c>
      <c r="C3442" s="0" t="n">
        <v>3</v>
      </c>
      <c r="D3442" s="0" t="n">
        <v>8</v>
      </c>
      <c r="E3442" s="0" t="n">
        <f aca="false">-1+A3442*0.25</f>
        <v>0</v>
      </c>
      <c r="F3442" s="0" t="n">
        <f aca="false">-1+B3442*0.25</f>
        <v>0.5</v>
      </c>
      <c r="G3442" s="0" t="n">
        <f aca="false">-1+C3442*0.25</f>
        <v>-0.25</v>
      </c>
      <c r="H3442" s="0" t="n">
        <f aca="false">-1+D3442*0.25</f>
        <v>1</v>
      </c>
      <c r="I3442" s="0" t="n">
        <f aca="false">1</f>
        <v>1</v>
      </c>
      <c r="J3442" s="0" t="n">
        <f aca="false">E3442</f>
        <v>0</v>
      </c>
      <c r="K3442" s="0" t="n">
        <f aca="false">F3442</f>
        <v>0.5</v>
      </c>
      <c r="L3442" s="0" t="n">
        <f aca="false">G3442</f>
        <v>-0.25</v>
      </c>
      <c r="M3442" s="0" t="n">
        <f aca="false">H3442</f>
        <v>1</v>
      </c>
      <c r="N3442" s="0" t="n">
        <f aca="false">E3442*F3442</f>
        <v>0</v>
      </c>
      <c r="O3442" s="0" t="n">
        <f aca="false">E3442*G3442</f>
        <v>-0</v>
      </c>
      <c r="P3442" s="0" t="n">
        <f aca="false">E3442*H3442</f>
        <v>0</v>
      </c>
      <c r="Q3442" s="0" t="n">
        <f aca="false">F3442*G3442</f>
        <v>-0.125</v>
      </c>
      <c r="R3442" s="0" t="n">
        <f aca="false">F3442*H3442</f>
        <v>0.5</v>
      </c>
      <c r="S3442" s="0" t="n">
        <f aca="false">G3442*H3442</f>
        <v>-0.25</v>
      </c>
      <c r="T3442" s="0" t="n">
        <f aca="false">E3442*E3442</f>
        <v>0</v>
      </c>
      <c r="U3442" s="0" t="n">
        <f aca="false">F3442*F3442</f>
        <v>0.25</v>
      </c>
      <c r="V3442" s="0" t="n">
        <f aca="false">G3442*G3442</f>
        <v>0.0625</v>
      </c>
      <c r="W3442" s="0" t="n">
        <f aca="false">H3442*H3442</f>
        <v>1</v>
      </c>
      <c r="X3442" s="0" t="n">
        <f aca="false">SUMPRODUCT(I3442:W3442,_XtX!$B$96:$P$96)</f>
        <v>47.826927997076</v>
      </c>
      <c r="Y3442" s="0" t="n">
        <f aca="false">SUMPRODUCT(MMULT(I3442:W3442,_XtX!$B$78:$P$92),I3442:W3442)</f>
        <v>0.457596628289474</v>
      </c>
      <c r="Z3442" s="0" t="n">
        <f aca="false">04_回帰ANOVA!$K$19*04_回帰ANOVA!$K$14*SQRT(1+Y3442)</f>
        <v>1.57368233664366</v>
      </c>
      <c r="AA3442" s="0" t="n">
        <f aca="false">X3442-Z3442</f>
        <v>46.2532456604323</v>
      </c>
      <c r="AB3442" s="0" t="n">
        <f aca="false">X3442+Z3442</f>
        <v>49.4006103337197</v>
      </c>
      <c r="AC3442" s="54" t="b">
        <f aca="false">AND(E3442&gt;=01_因子設定!$L$5-0.000000001,E3442&lt;=01_因子設定!$M$5+0.000000001,F3442&gt;=01_因子設定!$L$6-0.000000001,F3442&lt;=01_因子設定!$M$6+0.000000001,G3442&gt;=01_因子設定!$L$7-0.000000001,G3442&lt;=01_因子設定!$M$7+0.000000001,H3442&gt;=01_因子設定!$L$8-0.000000001,H3442&lt;=01_因子設定!$M$8+0.000000001,IF(01_因子設定!$B$20="Box-Behnken",E3442^2+F3442^2+G3442^2+H3442^2&lt;=2+0.000000001,TRUE()))</f>
        <v>1</v>
      </c>
      <c r="AD3442" s="55" t="n">
        <f aca="false">IF(AC3442,IF(01_因子設定!$B$13="最大化",AA3442-01_因子設定!$B$14,IF(01_因子設定!$B$13="最小化",01_因子設定!$B$15-AB3442,MIN(AA3442-01_因子設定!$B$14,01_因子設定!$B$15-AB3442))),-1E+030)</f>
        <v>-0.246754339567666</v>
      </c>
      <c r="AE3442" s="55" t="n">
        <f aca="false">IF(AC3442,IF(01_因子設定!$B$13="最大化",X3442,IF(01_因子設定!$B$13="最小化",-X3442,-ABS(X3442-01_因子設定!$B$16))),-1E+030)</f>
        <v>47.826927997076</v>
      </c>
      <c r="AF3442" s="55" t="n">
        <f aca="false">AD3442+ROW()*0.000000001</f>
        <v>-0.246750897567666</v>
      </c>
      <c r="AG3442" s="55" t="n">
        <f aca="false">AE3442+ROW()*0.000000001</f>
        <v>47.826931439076</v>
      </c>
    </row>
    <row r="3443" customFormat="false" ht="15" hidden="false" customHeight="false" outlineLevel="0" collapsed="false">
      <c r="A3443" s="0" t="n">
        <v>4</v>
      </c>
      <c r="B3443" s="0" t="n">
        <v>6</v>
      </c>
      <c r="C3443" s="0" t="n">
        <v>4</v>
      </c>
      <c r="D3443" s="0" t="n">
        <v>0</v>
      </c>
      <c r="E3443" s="0" t="n">
        <f aca="false">-1+A3443*0.25</f>
        <v>0</v>
      </c>
      <c r="F3443" s="0" t="n">
        <f aca="false">-1+B3443*0.25</f>
        <v>0.5</v>
      </c>
      <c r="G3443" s="0" t="n">
        <f aca="false">-1+C3443*0.25</f>
        <v>0</v>
      </c>
      <c r="H3443" s="0" t="n">
        <f aca="false">-1+D3443*0.25</f>
        <v>-1</v>
      </c>
      <c r="I3443" s="0" t="n">
        <f aca="false">1</f>
        <v>1</v>
      </c>
      <c r="J3443" s="0" t="n">
        <f aca="false">E3443</f>
        <v>0</v>
      </c>
      <c r="K3443" s="0" t="n">
        <f aca="false">F3443</f>
        <v>0.5</v>
      </c>
      <c r="L3443" s="0" t="n">
        <f aca="false">G3443</f>
        <v>0</v>
      </c>
      <c r="M3443" s="0" t="n">
        <f aca="false">H3443</f>
        <v>-1</v>
      </c>
      <c r="N3443" s="0" t="n">
        <f aca="false">E3443*F3443</f>
        <v>0</v>
      </c>
      <c r="O3443" s="0" t="n">
        <f aca="false">E3443*G3443</f>
        <v>0</v>
      </c>
      <c r="P3443" s="0" t="n">
        <f aca="false">E3443*H3443</f>
        <v>-0</v>
      </c>
      <c r="Q3443" s="0" t="n">
        <f aca="false">F3443*G3443</f>
        <v>0</v>
      </c>
      <c r="R3443" s="0" t="n">
        <f aca="false">F3443*H3443</f>
        <v>-0.5</v>
      </c>
      <c r="S3443" s="0" t="n">
        <f aca="false">G3443*H3443</f>
        <v>-0</v>
      </c>
      <c r="T3443" s="0" t="n">
        <f aca="false">E3443*E3443</f>
        <v>0</v>
      </c>
      <c r="U3443" s="0" t="n">
        <f aca="false">F3443*F3443</f>
        <v>0.25</v>
      </c>
      <c r="V3443" s="0" t="n">
        <f aca="false">G3443*G3443</f>
        <v>0</v>
      </c>
      <c r="W3443" s="0" t="n">
        <f aca="false">H3443*H3443</f>
        <v>1</v>
      </c>
      <c r="X3443" s="0" t="n">
        <f aca="false">SUMPRODUCT(I3443:W3443,_XtX!$B$96:$P$96)</f>
        <v>47.6277412280702</v>
      </c>
      <c r="Y3443" s="0" t="n">
        <f aca="false">SUMPRODUCT(MMULT(I3443:W3443,_XtX!$B$78:$P$92),I3443:W3443)</f>
        <v>0.468841374269006</v>
      </c>
      <c r="Z3443" s="0" t="n">
        <f aca="false">04_回帰ANOVA!$K$19*04_回帰ANOVA!$K$14*SQRT(1+Y3443)</f>
        <v>1.57974082366087</v>
      </c>
      <c r="AA3443" s="0" t="n">
        <f aca="false">X3443-Z3443</f>
        <v>46.0480004044093</v>
      </c>
      <c r="AB3443" s="0" t="n">
        <f aca="false">X3443+Z3443</f>
        <v>49.207482051731</v>
      </c>
      <c r="AC3443" s="54" t="b">
        <f aca="false">AND(E3443&gt;=01_因子設定!$L$5-0.000000001,E3443&lt;=01_因子設定!$M$5+0.000000001,F3443&gt;=01_因子設定!$L$6-0.000000001,F3443&lt;=01_因子設定!$M$6+0.000000001,G3443&gt;=01_因子設定!$L$7-0.000000001,G3443&lt;=01_因子設定!$M$7+0.000000001,H3443&gt;=01_因子設定!$L$8-0.000000001,H3443&lt;=01_因子設定!$M$8+0.000000001,IF(01_因子設定!$B$20="Box-Behnken",E3443^2+F3443^2+G3443^2+H3443^2&lt;=2+0.000000001,TRUE()))</f>
        <v>1</v>
      </c>
      <c r="AD3443" s="55" t="n">
        <f aca="false">IF(AC3443,IF(01_因子設定!$B$13="最大化",AA3443-01_因子設定!$B$14,IF(01_因子設定!$B$13="最小化",01_因子設定!$B$15-AB3443,MIN(AA3443-01_因子設定!$B$14,01_因子設定!$B$15-AB3443))),-1E+030)</f>
        <v>-0.451999595590728</v>
      </c>
      <c r="AE3443" s="55" t="n">
        <f aca="false">IF(AC3443,IF(01_因子設定!$B$13="最大化",X3443,IF(01_因子設定!$B$13="最小化",-X3443,-ABS(X3443-01_因子設定!$B$16))),-1E+030)</f>
        <v>47.6277412280702</v>
      </c>
      <c r="AF3443" s="55" t="n">
        <f aca="false">AD3443+ROW()*0.000000001</f>
        <v>-0.451996152590728</v>
      </c>
      <c r="AG3443" s="55" t="n">
        <f aca="false">AE3443+ROW()*0.000000001</f>
        <v>47.6277446710702</v>
      </c>
    </row>
    <row r="3444" customFormat="false" ht="15" hidden="false" customHeight="false" outlineLevel="0" collapsed="false">
      <c r="A3444" s="0" t="n">
        <v>4</v>
      </c>
      <c r="B3444" s="0" t="n">
        <v>6</v>
      </c>
      <c r="C3444" s="0" t="n">
        <v>4</v>
      </c>
      <c r="D3444" s="0" t="n">
        <v>1</v>
      </c>
      <c r="E3444" s="0" t="n">
        <f aca="false">-1+A3444*0.25</f>
        <v>0</v>
      </c>
      <c r="F3444" s="0" t="n">
        <f aca="false">-1+B3444*0.25</f>
        <v>0.5</v>
      </c>
      <c r="G3444" s="0" t="n">
        <f aca="false">-1+C3444*0.25</f>
        <v>0</v>
      </c>
      <c r="H3444" s="0" t="n">
        <f aca="false">-1+D3444*0.25</f>
        <v>-0.75</v>
      </c>
      <c r="I3444" s="0" t="n">
        <f aca="false">1</f>
        <v>1</v>
      </c>
      <c r="J3444" s="0" t="n">
        <f aca="false">E3444</f>
        <v>0</v>
      </c>
      <c r="K3444" s="0" t="n">
        <f aca="false">F3444</f>
        <v>0.5</v>
      </c>
      <c r="L3444" s="0" t="n">
        <f aca="false">G3444</f>
        <v>0</v>
      </c>
      <c r="M3444" s="0" t="n">
        <f aca="false">H3444</f>
        <v>-0.75</v>
      </c>
      <c r="N3444" s="0" t="n">
        <f aca="false">E3444*F3444</f>
        <v>0</v>
      </c>
      <c r="O3444" s="0" t="n">
        <f aca="false">E3444*G3444</f>
        <v>0</v>
      </c>
      <c r="P3444" s="0" t="n">
        <f aca="false">E3444*H3444</f>
        <v>-0</v>
      </c>
      <c r="Q3444" s="0" t="n">
        <f aca="false">F3444*G3444</f>
        <v>0</v>
      </c>
      <c r="R3444" s="0" t="n">
        <f aca="false">F3444*H3444</f>
        <v>-0.375</v>
      </c>
      <c r="S3444" s="0" t="n">
        <f aca="false">G3444*H3444</f>
        <v>-0</v>
      </c>
      <c r="T3444" s="0" t="n">
        <f aca="false">E3444*E3444</f>
        <v>0</v>
      </c>
      <c r="U3444" s="0" t="n">
        <f aca="false">F3444*F3444</f>
        <v>0.25</v>
      </c>
      <c r="V3444" s="0" t="n">
        <f aca="false">G3444*G3444</f>
        <v>0</v>
      </c>
      <c r="W3444" s="0" t="n">
        <f aca="false">H3444*H3444</f>
        <v>0.5625</v>
      </c>
      <c r="X3444" s="0" t="n">
        <f aca="false">SUMPRODUCT(I3444:W3444,_XtX!$B$96:$P$96)</f>
        <v>47.8698921783625</v>
      </c>
      <c r="Y3444" s="0" t="n">
        <f aca="false">SUMPRODUCT(MMULT(I3444:W3444,_XtX!$B$78:$P$92),I3444:W3444)</f>
        <v>0.221828170687135</v>
      </c>
      <c r="Z3444" s="0" t="n">
        <f aca="false">04_回帰ANOVA!$K$19*04_回帰ANOVA!$K$14*SQRT(1+Y3444)</f>
        <v>1.44079920361664</v>
      </c>
      <c r="AA3444" s="0" t="n">
        <f aca="false">X3444-Z3444</f>
        <v>46.4290929747459</v>
      </c>
      <c r="AB3444" s="0" t="n">
        <f aca="false">X3444+Z3444</f>
        <v>49.3106913819792</v>
      </c>
      <c r="AC3444" s="54" t="b">
        <f aca="false">AND(E3444&gt;=01_因子設定!$L$5-0.000000001,E3444&lt;=01_因子設定!$M$5+0.000000001,F3444&gt;=01_因子設定!$L$6-0.000000001,F3444&lt;=01_因子設定!$M$6+0.000000001,G3444&gt;=01_因子設定!$L$7-0.000000001,G3444&lt;=01_因子設定!$M$7+0.000000001,H3444&gt;=01_因子設定!$L$8-0.000000001,H3444&lt;=01_因子設定!$M$8+0.000000001,IF(01_因子設定!$B$20="Box-Behnken",E3444^2+F3444^2+G3444^2+H3444^2&lt;=2+0.000000001,TRUE()))</f>
        <v>1</v>
      </c>
      <c r="AD3444" s="55" t="n">
        <f aca="false">IF(AC3444,IF(01_因子設定!$B$13="最大化",AA3444-01_因子設定!$B$14,IF(01_因子設定!$B$13="最小化",01_因子設定!$B$15-AB3444,MIN(AA3444-01_因子設定!$B$14,01_因子設定!$B$15-AB3444))),-1E+030)</f>
        <v>-0.0709070252541153</v>
      </c>
      <c r="AE3444" s="55" t="n">
        <f aca="false">IF(AC3444,IF(01_因子設定!$B$13="最大化",X3444,IF(01_因子設定!$B$13="最小化",-X3444,-ABS(X3444-01_因子設定!$B$16))),-1E+030)</f>
        <v>47.8698921783625</v>
      </c>
      <c r="AF3444" s="55" t="n">
        <f aca="false">AD3444+ROW()*0.000000001</f>
        <v>-0.0709035812541153</v>
      </c>
      <c r="AG3444" s="55" t="n">
        <f aca="false">AE3444+ROW()*0.000000001</f>
        <v>47.8698956223625</v>
      </c>
    </row>
    <row r="3445" customFormat="false" ht="15" hidden="false" customHeight="false" outlineLevel="0" collapsed="false">
      <c r="A3445" s="0" t="n">
        <v>4</v>
      </c>
      <c r="B3445" s="0" t="n">
        <v>6</v>
      </c>
      <c r="C3445" s="0" t="n">
        <v>4</v>
      </c>
      <c r="D3445" s="0" t="n">
        <v>2</v>
      </c>
      <c r="E3445" s="0" t="n">
        <f aca="false">-1+A3445*0.25</f>
        <v>0</v>
      </c>
      <c r="F3445" s="0" t="n">
        <f aca="false">-1+B3445*0.25</f>
        <v>0.5</v>
      </c>
      <c r="G3445" s="0" t="n">
        <f aca="false">-1+C3445*0.25</f>
        <v>0</v>
      </c>
      <c r="H3445" s="0" t="n">
        <f aca="false">-1+D3445*0.25</f>
        <v>-0.5</v>
      </c>
      <c r="I3445" s="0" t="n">
        <f aca="false">1</f>
        <v>1</v>
      </c>
      <c r="J3445" s="0" t="n">
        <f aca="false">E3445</f>
        <v>0</v>
      </c>
      <c r="K3445" s="0" t="n">
        <f aca="false">F3445</f>
        <v>0.5</v>
      </c>
      <c r="L3445" s="0" t="n">
        <f aca="false">G3445</f>
        <v>0</v>
      </c>
      <c r="M3445" s="0" t="n">
        <f aca="false">H3445</f>
        <v>-0.5</v>
      </c>
      <c r="N3445" s="0" t="n">
        <f aca="false">E3445*F3445</f>
        <v>0</v>
      </c>
      <c r="O3445" s="0" t="n">
        <f aca="false">E3445*G3445</f>
        <v>0</v>
      </c>
      <c r="P3445" s="0" t="n">
        <f aca="false">E3445*H3445</f>
        <v>-0</v>
      </c>
      <c r="Q3445" s="0" t="n">
        <f aca="false">F3445*G3445</f>
        <v>0</v>
      </c>
      <c r="R3445" s="0" t="n">
        <f aca="false">F3445*H3445</f>
        <v>-0.25</v>
      </c>
      <c r="S3445" s="0" t="n">
        <f aca="false">G3445*H3445</f>
        <v>-0</v>
      </c>
      <c r="T3445" s="0" t="n">
        <f aca="false">E3445*E3445</f>
        <v>0</v>
      </c>
      <c r="U3445" s="0" t="n">
        <f aca="false">F3445*F3445</f>
        <v>0.25</v>
      </c>
      <c r="V3445" s="0" t="n">
        <f aca="false">G3445*G3445</f>
        <v>0</v>
      </c>
      <c r="W3445" s="0" t="n">
        <f aca="false">H3445*H3445</f>
        <v>0.25</v>
      </c>
      <c r="X3445" s="0" t="n">
        <f aca="false">SUMPRODUCT(I3445:W3445,_XtX!$B$96:$P$96)</f>
        <v>48.0642361111111</v>
      </c>
      <c r="Y3445" s="0" t="n">
        <f aca="false">SUMPRODUCT(MMULT(I3445:W3445,_XtX!$B$78:$P$92),I3445:W3445)</f>
        <v>0.135850694444444</v>
      </c>
      <c r="Z3445" s="0" t="n">
        <f aca="false">04_回帰ANOVA!$K$19*04_回帰ANOVA!$K$14*SQRT(1+Y3445)</f>
        <v>1.38918158179389</v>
      </c>
      <c r="AA3445" s="0" t="n">
        <f aca="false">X3445-Z3445</f>
        <v>46.6750545293172</v>
      </c>
      <c r="AB3445" s="0" t="n">
        <f aca="false">X3445+Z3445</f>
        <v>49.453417692905</v>
      </c>
      <c r="AC3445" s="54" t="b">
        <f aca="false">AND(E3445&gt;=01_因子設定!$L$5-0.000000001,E3445&lt;=01_因子設定!$M$5+0.000000001,F3445&gt;=01_因子設定!$L$6-0.000000001,F3445&lt;=01_因子設定!$M$6+0.000000001,G3445&gt;=01_因子設定!$L$7-0.000000001,G3445&lt;=01_因子設定!$M$7+0.000000001,H3445&gt;=01_因子設定!$L$8-0.000000001,H3445&lt;=01_因子設定!$M$8+0.000000001,IF(01_因子設定!$B$20="Box-Behnken",E3445^2+F3445^2+G3445^2+H3445^2&lt;=2+0.000000001,TRUE()))</f>
        <v>1</v>
      </c>
      <c r="AD3445" s="55" t="n">
        <f aca="false">IF(AC3445,IF(01_因子設定!$B$13="最大化",AA3445-01_因子設定!$B$14,IF(01_因子設定!$B$13="最小化",01_因子設定!$B$15-AB3445,MIN(AA3445-01_因子設定!$B$14,01_因子設定!$B$15-AB3445))),-1E+030)</f>
        <v>0.175054529317165</v>
      </c>
      <c r="AE3445" s="55" t="n">
        <f aca="false">IF(AC3445,IF(01_因子設定!$B$13="最大化",X3445,IF(01_因子設定!$B$13="最小化",-X3445,-ABS(X3445-01_因子設定!$B$16))),-1E+030)</f>
        <v>48.0642361111111</v>
      </c>
      <c r="AF3445" s="55" t="n">
        <f aca="false">AD3445+ROW()*0.000000001</f>
        <v>0.175057974317165</v>
      </c>
      <c r="AG3445" s="55" t="n">
        <f aca="false">AE3445+ROW()*0.000000001</f>
        <v>48.0642395561111</v>
      </c>
    </row>
    <row r="3446" customFormat="false" ht="15" hidden="false" customHeight="false" outlineLevel="0" collapsed="false">
      <c r="A3446" s="0" t="n">
        <v>4</v>
      </c>
      <c r="B3446" s="0" t="n">
        <v>6</v>
      </c>
      <c r="C3446" s="0" t="n">
        <v>4</v>
      </c>
      <c r="D3446" s="0" t="n">
        <v>3</v>
      </c>
      <c r="E3446" s="0" t="n">
        <f aca="false">-1+A3446*0.25</f>
        <v>0</v>
      </c>
      <c r="F3446" s="0" t="n">
        <f aca="false">-1+B3446*0.25</f>
        <v>0.5</v>
      </c>
      <c r="G3446" s="0" t="n">
        <f aca="false">-1+C3446*0.25</f>
        <v>0</v>
      </c>
      <c r="H3446" s="0" t="n">
        <f aca="false">-1+D3446*0.25</f>
        <v>-0.25</v>
      </c>
      <c r="I3446" s="0" t="n">
        <f aca="false">1</f>
        <v>1</v>
      </c>
      <c r="J3446" s="0" t="n">
        <f aca="false">E3446</f>
        <v>0</v>
      </c>
      <c r="K3446" s="0" t="n">
        <f aca="false">F3446</f>
        <v>0.5</v>
      </c>
      <c r="L3446" s="0" t="n">
        <f aca="false">G3446</f>
        <v>0</v>
      </c>
      <c r="M3446" s="0" t="n">
        <f aca="false">H3446</f>
        <v>-0.25</v>
      </c>
      <c r="N3446" s="0" t="n">
        <f aca="false">E3446*F3446</f>
        <v>0</v>
      </c>
      <c r="O3446" s="0" t="n">
        <f aca="false">E3446*G3446</f>
        <v>0</v>
      </c>
      <c r="P3446" s="0" t="n">
        <f aca="false">E3446*H3446</f>
        <v>-0</v>
      </c>
      <c r="Q3446" s="0" t="n">
        <f aca="false">F3446*G3446</f>
        <v>0</v>
      </c>
      <c r="R3446" s="0" t="n">
        <f aca="false">F3446*H3446</f>
        <v>-0.125</v>
      </c>
      <c r="S3446" s="0" t="n">
        <f aca="false">G3446*H3446</f>
        <v>-0</v>
      </c>
      <c r="T3446" s="0" t="n">
        <f aca="false">E3446*E3446</f>
        <v>0</v>
      </c>
      <c r="U3446" s="0" t="n">
        <f aca="false">F3446*F3446</f>
        <v>0.25</v>
      </c>
      <c r="V3446" s="0" t="n">
        <f aca="false">G3446*G3446</f>
        <v>0</v>
      </c>
      <c r="W3446" s="0" t="n">
        <f aca="false">H3446*H3446</f>
        <v>0.0625</v>
      </c>
      <c r="X3446" s="0" t="n">
        <f aca="false">SUMPRODUCT(I3446:W3446,_XtX!$B$96:$P$96)</f>
        <v>48.2107730263157</v>
      </c>
      <c r="Y3446" s="0" t="n">
        <f aca="false">SUMPRODUCT(MMULT(I3446:W3446,_XtX!$B$78:$P$92),I3446:W3446)</f>
        <v>0.120448419225146</v>
      </c>
      <c r="Z3446" s="0" t="n">
        <f aca="false">04_回帰ANOVA!$K$19*04_回帰ANOVA!$K$14*SQRT(1+Y3446)</f>
        <v>1.37973069703246</v>
      </c>
      <c r="AA3446" s="0" t="n">
        <f aca="false">X3446-Z3446</f>
        <v>46.8310423292833</v>
      </c>
      <c r="AB3446" s="0" t="n">
        <f aca="false">X3446+Z3446</f>
        <v>49.5905037233482</v>
      </c>
      <c r="AC3446" s="54" t="b">
        <f aca="false">AND(E3446&gt;=01_因子設定!$L$5-0.000000001,E3446&lt;=01_因子設定!$M$5+0.000000001,F3446&gt;=01_因子設定!$L$6-0.000000001,F3446&lt;=01_因子設定!$M$6+0.000000001,G3446&gt;=01_因子設定!$L$7-0.000000001,G3446&lt;=01_因子設定!$M$7+0.000000001,H3446&gt;=01_因子設定!$L$8-0.000000001,H3446&lt;=01_因子設定!$M$8+0.000000001,IF(01_因子設定!$B$20="Box-Behnken",E3446^2+F3446^2+G3446^2+H3446^2&lt;=2+0.000000001,TRUE()))</f>
        <v>1</v>
      </c>
      <c r="AD3446" s="55" t="n">
        <f aca="false">IF(AC3446,IF(01_因子設定!$B$13="最大化",AA3446-01_因子設定!$B$14,IF(01_因子設定!$B$13="最小化",01_因子設定!$B$15-AB3446,MIN(AA3446-01_因子設定!$B$14,01_因子設定!$B$15-AB3446))),-1E+030)</f>
        <v>0.331042329283264</v>
      </c>
      <c r="AE3446" s="55" t="n">
        <f aca="false">IF(AC3446,IF(01_因子設定!$B$13="最大化",X3446,IF(01_因子設定!$B$13="最小化",-X3446,-ABS(X3446-01_因子設定!$B$16))),-1E+030)</f>
        <v>48.2107730263157</v>
      </c>
      <c r="AF3446" s="55" t="n">
        <f aca="false">AD3446+ROW()*0.000000001</f>
        <v>0.331045775283264</v>
      </c>
      <c r="AG3446" s="55" t="n">
        <f aca="false">AE3446+ROW()*0.000000001</f>
        <v>48.2107764723157</v>
      </c>
    </row>
    <row r="3447" customFormat="false" ht="15" hidden="false" customHeight="false" outlineLevel="0" collapsed="false">
      <c r="A3447" s="0" t="n">
        <v>4</v>
      </c>
      <c r="B3447" s="0" t="n">
        <v>6</v>
      </c>
      <c r="C3447" s="0" t="n">
        <v>4</v>
      </c>
      <c r="D3447" s="0" t="n">
        <v>4</v>
      </c>
      <c r="E3447" s="0" t="n">
        <f aca="false">-1+A3447*0.25</f>
        <v>0</v>
      </c>
      <c r="F3447" s="0" t="n">
        <f aca="false">-1+B3447*0.25</f>
        <v>0.5</v>
      </c>
      <c r="G3447" s="0" t="n">
        <f aca="false">-1+C3447*0.25</f>
        <v>0</v>
      </c>
      <c r="H3447" s="0" t="n">
        <f aca="false">-1+D3447*0.25</f>
        <v>0</v>
      </c>
      <c r="I3447" s="0" t="n">
        <f aca="false">1</f>
        <v>1</v>
      </c>
      <c r="J3447" s="0" t="n">
        <f aca="false">E3447</f>
        <v>0</v>
      </c>
      <c r="K3447" s="0" t="n">
        <f aca="false">F3447</f>
        <v>0.5</v>
      </c>
      <c r="L3447" s="0" t="n">
        <f aca="false">G3447</f>
        <v>0</v>
      </c>
      <c r="M3447" s="0" t="n">
        <f aca="false">H3447</f>
        <v>0</v>
      </c>
      <c r="N3447" s="0" t="n">
        <f aca="false">E3447*F3447</f>
        <v>0</v>
      </c>
      <c r="O3447" s="0" t="n">
        <f aca="false">E3447*G3447</f>
        <v>0</v>
      </c>
      <c r="P3447" s="0" t="n">
        <f aca="false">E3447*H3447</f>
        <v>0</v>
      </c>
      <c r="Q3447" s="0" t="n">
        <f aca="false">F3447*G3447</f>
        <v>0</v>
      </c>
      <c r="R3447" s="0" t="n">
        <f aca="false">F3447*H3447</f>
        <v>0</v>
      </c>
      <c r="S3447" s="0" t="n">
        <f aca="false">G3447*H3447</f>
        <v>0</v>
      </c>
      <c r="T3447" s="0" t="n">
        <f aca="false">E3447*E3447</f>
        <v>0</v>
      </c>
      <c r="U3447" s="0" t="n">
        <f aca="false">F3447*F3447</f>
        <v>0.25</v>
      </c>
      <c r="V3447" s="0" t="n">
        <f aca="false">G3447*G3447</f>
        <v>0</v>
      </c>
      <c r="W3447" s="0" t="n">
        <f aca="false">H3447*H3447</f>
        <v>0</v>
      </c>
      <c r="X3447" s="0" t="n">
        <f aca="false">SUMPRODUCT(I3447:W3447,_XtX!$B$96:$P$96)</f>
        <v>48.3095029239765</v>
      </c>
      <c r="Y3447" s="0" t="n">
        <f aca="false">SUMPRODUCT(MMULT(I3447:W3447,_XtX!$B$78:$P$92),I3447:W3447)</f>
        <v>0.121345029239766</v>
      </c>
      <c r="Z3447" s="0" t="n">
        <f aca="false">04_回帰ANOVA!$K$19*04_回帰ANOVA!$K$14*SQRT(1+Y3447)</f>
        <v>1.3802826336289</v>
      </c>
      <c r="AA3447" s="0" t="n">
        <f aca="false">X3447-Z3447</f>
        <v>46.9292202903476</v>
      </c>
      <c r="AB3447" s="0" t="n">
        <f aca="false">X3447+Z3447</f>
        <v>49.6897855576054</v>
      </c>
      <c r="AC3447" s="54" t="b">
        <f aca="false">AND(E3447&gt;=01_因子設定!$L$5-0.000000001,E3447&lt;=01_因子設定!$M$5+0.000000001,F3447&gt;=01_因子設定!$L$6-0.000000001,F3447&lt;=01_因子設定!$M$6+0.000000001,G3447&gt;=01_因子設定!$L$7-0.000000001,G3447&lt;=01_因子設定!$M$7+0.000000001,H3447&gt;=01_因子設定!$L$8-0.000000001,H3447&lt;=01_因子設定!$M$8+0.000000001,IF(01_因子設定!$B$20="Box-Behnken",E3447^2+F3447^2+G3447^2+H3447^2&lt;=2+0.000000001,TRUE()))</f>
        <v>1</v>
      </c>
      <c r="AD3447" s="55" t="n">
        <f aca="false">IF(AC3447,IF(01_因子設定!$B$13="最大化",AA3447-01_因子設定!$B$14,IF(01_因子設定!$B$13="最小化",01_因子設定!$B$15-AB3447,MIN(AA3447-01_因子設定!$B$14,01_因子設定!$B$15-AB3447))),-1E+030)</f>
        <v>0.429220290347637</v>
      </c>
      <c r="AE3447" s="55" t="n">
        <f aca="false">IF(AC3447,IF(01_因子設定!$B$13="最大化",X3447,IF(01_因子設定!$B$13="最小化",-X3447,-ABS(X3447-01_因子設定!$B$16))),-1E+030)</f>
        <v>48.3095029239765</v>
      </c>
      <c r="AF3447" s="55" t="n">
        <f aca="false">AD3447+ROW()*0.000000001</f>
        <v>0.429223737347637</v>
      </c>
      <c r="AG3447" s="55" t="n">
        <f aca="false">AE3447+ROW()*0.000000001</f>
        <v>48.3095063709765</v>
      </c>
    </row>
    <row r="3448" customFormat="false" ht="15" hidden="false" customHeight="false" outlineLevel="0" collapsed="false">
      <c r="A3448" s="0" t="n">
        <v>4</v>
      </c>
      <c r="B3448" s="0" t="n">
        <v>6</v>
      </c>
      <c r="C3448" s="0" t="n">
        <v>4</v>
      </c>
      <c r="D3448" s="0" t="n">
        <v>5</v>
      </c>
      <c r="E3448" s="0" t="n">
        <f aca="false">-1+A3448*0.25</f>
        <v>0</v>
      </c>
      <c r="F3448" s="0" t="n">
        <f aca="false">-1+B3448*0.25</f>
        <v>0.5</v>
      </c>
      <c r="G3448" s="0" t="n">
        <f aca="false">-1+C3448*0.25</f>
        <v>0</v>
      </c>
      <c r="H3448" s="0" t="n">
        <f aca="false">-1+D3448*0.25</f>
        <v>0.25</v>
      </c>
      <c r="I3448" s="0" t="n">
        <f aca="false">1</f>
        <v>1</v>
      </c>
      <c r="J3448" s="0" t="n">
        <f aca="false">E3448</f>
        <v>0</v>
      </c>
      <c r="K3448" s="0" t="n">
        <f aca="false">F3448</f>
        <v>0.5</v>
      </c>
      <c r="L3448" s="0" t="n">
        <f aca="false">G3448</f>
        <v>0</v>
      </c>
      <c r="M3448" s="0" t="n">
        <f aca="false">H3448</f>
        <v>0.25</v>
      </c>
      <c r="N3448" s="0" t="n">
        <f aca="false">E3448*F3448</f>
        <v>0</v>
      </c>
      <c r="O3448" s="0" t="n">
        <f aca="false">E3448*G3448</f>
        <v>0</v>
      </c>
      <c r="P3448" s="0" t="n">
        <f aca="false">E3448*H3448</f>
        <v>0</v>
      </c>
      <c r="Q3448" s="0" t="n">
        <f aca="false">F3448*G3448</f>
        <v>0</v>
      </c>
      <c r="R3448" s="0" t="n">
        <f aca="false">F3448*H3448</f>
        <v>0.125</v>
      </c>
      <c r="S3448" s="0" t="n">
        <f aca="false">G3448*H3448</f>
        <v>0</v>
      </c>
      <c r="T3448" s="0" t="n">
        <f aca="false">E3448*E3448</f>
        <v>0</v>
      </c>
      <c r="U3448" s="0" t="n">
        <f aca="false">F3448*F3448</f>
        <v>0.25</v>
      </c>
      <c r="V3448" s="0" t="n">
        <f aca="false">G3448*G3448</f>
        <v>0</v>
      </c>
      <c r="W3448" s="0" t="n">
        <f aca="false">H3448*H3448</f>
        <v>0.0625</v>
      </c>
      <c r="X3448" s="0" t="n">
        <f aca="false">SUMPRODUCT(I3448:W3448,_XtX!$B$96:$P$96)</f>
        <v>48.3604258040935</v>
      </c>
      <c r="Y3448" s="0" t="n">
        <f aca="false">SUMPRODUCT(MMULT(I3448:W3448,_XtX!$B$78:$P$92),I3448:W3448)</f>
        <v>0.120448419225146</v>
      </c>
      <c r="Z3448" s="0" t="n">
        <f aca="false">04_回帰ANOVA!$K$19*04_回帰ANOVA!$K$14*SQRT(1+Y3448)</f>
        <v>1.37973069703246</v>
      </c>
      <c r="AA3448" s="0" t="n">
        <f aca="false">X3448-Z3448</f>
        <v>46.980695107061</v>
      </c>
      <c r="AB3448" s="0" t="n">
        <f aca="false">X3448+Z3448</f>
        <v>49.740156501126</v>
      </c>
      <c r="AC3448" s="54" t="b">
        <f aca="false">AND(E3448&gt;=01_因子設定!$L$5-0.000000001,E3448&lt;=01_因子設定!$M$5+0.000000001,F3448&gt;=01_因子設定!$L$6-0.000000001,F3448&lt;=01_因子設定!$M$6+0.000000001,G3448&gt;=01_因子設定!$L$7-0.000000001,G3448&lt;=01_因子設定!$M$7+0.000000001,H3448&gt;=01_因子設定!$L$8-0.000000001,H3448&lt;=01_因子設定!$M$8+0.000000001,IF(01_因子設定!$B$20="Box-Behnken",E3448^2+F3448^2+G3448^2+H3448^2&lt;=2+0.000000001,TRUE()))</f>
        <v>1</v>
      </c>
      <c r="AD3448" s="55" t="n">
        <f aca="false">IF(AC3448,IF(01_因子設定!$B$13="最大化",AA3448-01_因子設定!$B$14,IF(01_因子設定!$B$13="最小化",01_因子設定!$B$15-AB3448,MIN(AA3448-01_因子設定!$B$14,01_因子設定!$B$15-AB3448))),-1E+030)</f>
        <v>0.480695107061038</v>
      </c>
      <c r="AE3448" s="55" t="n">
        <f aca="false">IF(AC3448,IF(01_因子設定!$B$13="最大化",X3448,IF(01_因子設定!$B$13="最小化",-X3448,-ABS(X3448-01_因子設定!$B$16))),-1E+030)</f>
        <v>48.3604258040935</v>
      </c>
      <c r="AF3448" s="55" t="n">
        <f aca="false">AD3448+ROW()*0.000000001</f>
        <v>0.480698555061038</v>
      </c>
      <c r="AG3448" s="55" t="n">
        <f aca="false">AE3448+ROW()*0.000000001</f>
        <v>48.3604292520935</v>
      </c>
    </row>
    <row r="3449" customFormat="false" ht="15" hidden="false" customHeight="false" outlineLevel="0" collapsed="false">
      <c r="A3449" s="0" t="n">
        <v>4</v>
      </c>
      <c r="B3449" s="0" t="n">
        <v>6</v>
      </c>
      <c r="C3449" s="0" t="n">
        <v>4</v>
      </c>
      <c r="D3449" s="0" t="n">
        <v>6</v>
      </c>
      <c r="E3449" s="0" t="n">
        <f aca="false">-1+A3449*0.25</f>
        <v>0</v>
      </c>
      <c r="F3449" s="0" t="n">
        <f aca="false">-1+B3449*0.25</f>
        <v>0.5</v>
      </c>
      <c r="G3449" s="0" t="n">
        <f aca="false">-1+C3449*0.25</f>
        <v>0</v>
      </c>
      <c r="H3449" s="0" t="n">
        <f aca="false">-1+D3449*0.25</f>
        <v>0.5</v>
      </c>
      <c r="I3449" s="0" t="n">
        <f aca="false">1</f>
        <v>1</v>
      </c>
      <c r="J3449" s="0" t="n">
        <f aca="false">E3449</f>
        <v>0</v>
      </c>
      <c r="K3449" s="0" t="n">
        <f aca="false">F3449</f>
        <v>0.5</v>
      </c>
      <c r="L3449" s="0" t="n">
        <f aca="false">G3449</f>
        <v>0</v>
      </c>
      <c r="M3449" s="0" t="n">
        <f aca="false">H3449</f>
        <v>0.5</v>
      </c>
      <c r="N3449" s="0" t="n">
        <f aca="false">E3449*F3449</f>
        <v>0</v>
      </c>
      <c r="O3449" s="0" t="n">
        <f aca="false">E3449*G3449</f>
        <v>0</v>
      </c>
      <c r="P3449" s="0" t="n">
        <f aca="false">E3449*H3449</f>
        <v>0</v>
      </c>
      <c r="Q3449" s="0" t="n">
        <f aca="false">F3449*G3449</f>
        <v>0</v>
      </c>
      <c r="R3449" s="0" t="n">
        <f aca="false">F3449*H3449</f>
        <v>0.25</v>
      </c>
      <c r="S3449" s="0" t="n">
        <f aca="false">G3449*H3449</f>
        <v>0</v>
      </c>
      <c r="T3449" s="0" t="n">
        <f aca="false">E3449*E3449</f>
        <v>0</v>
      </c>
      <c r="U3449" s="0" t="n">
        <f aca="false">F3449*F3449</f>
        <v>0.25</v>
      </c>
      <c r="V3449" s="0" t="n">
        <f aca="false">G3449*G3449</f>
        <v>0</v>
      </c>
      <c r="W3449" s="0" t="n">
        <f aca="false">H3449*H3449</f>
        <v>0.25</v>
      </c>
      <c r="X3449" s="0" t="n">
        <f aca="false">SUMPRODUCT(I3449:W3449,_XtX!$B$96:$P$96)</f>
        <v>48.3635416666666</v>
      </c>
      <c r="Y3449" s="0" t="n">
        <f aca="false">SUMPRODUCT(MMULT(I3449:W3449,_XtX!$B$78:$P$92),I3449:W3449)</f>
        <v>0.135850694444444</v>
      </c>
      <c r="Z3449" s="0" t="n">
        <f aca="false">04_回帰ANOVA!$K$19*04_回帰ANOVA!$K$14*SQRT(1+Y3449)</f>
        <v>1.38918158179389</v>
      </c>
      <c r="AA3449" s="0" t="n">
        <f aca="false">X3449-Z3449</f>
        <v>46.9743600848727</v>
      </c>
      <c r="AB3449" s="0" t="n">
        <f aca="false">X3449+Z3449</f>
        <v>49.7527232484605</v>
      </c>
      <c r="AC3449" s="54" t="b">
        <f aca="false">AND(E3449&gt;=01_因子設定!$L$5-0.000000001,E3449&lt;=01_因子設定!$M$5+0.000000001,F3449&gt;=01_因子設定!$L$6-0.000000001,F3449&lt;=01_因子設定!$M$6+0.000000001,G3449&gt;=01_因子設定!$L$7-0.000000001,G3449&lt;=01_因子設定!$M$7+0.000000001,H3449&gt;=01_因子設定!$L$8-0.000000001,H3449&lt;=01_因子設定!$M$8+0.000000001,IF(01_因子設定!$B$20="Box-Behnken",E3449^2+F3449^2+G3449^2+H3449^2&lt;=2+0.000000001,TRUE()))</f>
        <v>1</v>
      </c>
      <c r="AD3449" s="55" t="n">
        <f aca="false">IF(AC3449,IF(01_因子設定!$B$13="最大化",AA3449-01_因子設定!$B$14,IF(01_因子設定!$B$13="最小化",01_因子設定!$B$15-AB3449,MIN(AA3449-01_因子設定!$B$14,01_因子設定!$B$15-AB3449))),-1E+030)</f>
        <v>0.474360084872714</v>
      </c>
      <c r="AE3449" s="55" t="n">
        <f aca="false">IF(AC3449,IF(01_因子設定!$B$13="最大化",X3449,IF(01_因子設定!$B$13="最小化",-X3449,-ABS(X3449-01_因子設定!$B$16))),-1E+030)</f>
        <v>48.3635416666666</v>
      </c>
      <c r="AF3449" s="55" t="n">
        <f aca="false">AD3449+ROW()*0.000000001</f>
        <v>0.474363533872714</v>
      </c>
      <c r="AG3449" s="55" t="n">
        <f aca="false">AE3449+ROW()*0.000000001</f>
        <v>48.3635451156666</v>
      </c>
    </row>
    <row r="3450" customFormat="false" ht="15" hidden="false" customHeight="false" outlineLevel="0" collapsed="false">
      <c r="A3450" s="0" t="n">
        <v>4</v>
      </c>
      <c r="B3450" s="0" t="n">
        <v>6</v>
      </c>
      <c r="C3450" s="0" t="n">
        <v>4</v>
      </c>
      <c r="D3450" s="0" t="n">
        <v>7</v>
      </c>
      <c r="E3450" s="0" t="n">
        <f aca="false">-1+A3450*0.25</f>
        <v>0</v>
      </c>
      <c r="F3450" s="0" t="n">
        <f aca="false">-1+B3450*0.25</f>
        <v>0.5</v>
      </c>
      <c r="G3450" s="0" t="n">
        <f aca="false">-1+C3450*0.25</f>
        <v>0</v>
      </c>
      <c r="H3450" s="0" t="n">
        <f aca="false">-1+D3450*0.25</f>
        <v>0.75</v>
      </c>
      <c r="I3450" s="0" t="n">
        <f aca="false">1</f>
        <v>1</v>
      </c>
      <c r="J3450" s="0" t="n">
        <f aca="false">E3450</f>
        <v>0</v>
      </c>
      <c r="K3450" s="0" t="n">
        <f aca="false">F3450</f>
        <v>0.5</v>
      </c>
      <c r="L3450" s="0" t="n">
        <f aca="false">G3450</f>
        <v>0</v>
      </c>
      <c r="M3450" s="0" t="n">
        <f aca="false">H3450</f>
        <v>0.75</v>
      </c>
      <c r="N3450" s="0" t="n">
        <f aca="false">E3450*F3450</f>
        <v>0</v>
      </c>
      <c r="O3450" s="0" t="n">
        <f aca="false">E3450*G3450</f>
        <v>0</v>
      </c>
      <c r="P3450" s="0" t="n">
        <f aca="false">E3450*H3450</f>
        <v>0</v>
      </c>
      <c r="Q3450" s="0" t="n">
        <f aca="false">F3450*G3450</f>
        <v>0</v>
      </c>
      <c r="R3450" s="0" t="n">
        <f aca="false">F3450*H3450</f>
        <v>0.375</v>
      </c>
      <c r="S3450" s="0" t="n">
        <f aca="false">G3450*H3450</f>
        <v>0</v>
      </c>
      <c r="T3450" s="0" t="n">
        <f aca="false">E3450*E3450</f>
        <v>0</v>
      </c>
      <c r="U3450" s="0" t="n">
        <f aca="false">F3450*F3450</f>
        <v>0.25</v>
      </c>
      <c r="V3450" s="0" t="n">
        <f aca="false">G3450*G3450</f>
        <v>0</v>
      </c>
      <c r="W3450" s="0" t="n">
        <f aca="false">H3450*H3450</f>
        <v>0.5625</v>
      </c>
      <c r="X3450" s="0" t="n">
        <f aca="false">SUMPRODUCT(I3450:W3450,_XtX!$B$96:$P$96)</f>
        <v>48.3188505116959</v>
      </c>
      <c r="Y3450" s="0" t="n">
        <f aca="false">SUMPRODUCT(MMULT(I3450:W3450,_XtX!$B$78:$P$92),I3450:W3450)</f>
        <v>0.221828170687135</v>
      </c>
      <c r="Z3450" s="0" t="n">
        <f aca="false">04_回帰ANOVA!$K$19*04_回帰ANOVA!$K$14*SQRT(1+Y3450)</f>
        <v>1.44079920361664</v>
      </c>
      <c r="AA3450" s="0" t="n">
        <f aca="false">X3450-Z3450</f>
        <v>46.8780513080792</v>
      </c>
      <c r="AB3450" s="0" t="n">
        <f aca="false">X3450+Z3450</f>
        <v>49.7596497153125</v>
      </c>
      <c r="AC3450" s="54" t="b">
        <f aca="false">AND(E3450&gt;=01_因子設定!$L$5-0.000000001,E3450&lt;=01_因子設定!$M$5+0.000000001,F3450&gt;=01_因子設定!$L$6-0.000000001,F3450&lt;=01_因子設定!$M$6+0.000000001,G3450&gt;=01_因子設定!$L$7-0.000000001,G3450&lt;=01_因子設定!$M$7+0.000000001,H3450&gt;=01_因子設定!$L$8-0.000000001,H3450&lt;=01_因子設定!$M$8+0.000000001,IF(01_因子設定!$B$20="Box-Behnken",E3450^2+F3450^2+G3450^2+H3450^2&lt;=2+0.000000001,TRUE()))</f>
        <v>1</v>
      </c>
      <c r="AD3450" s="55" t="n">
        <f aca="false">IF(AC3450,IF(01_因子設定!$B$13="最大化",AA3450-01_因子設定!$B$14,IF(01_因子設定!$B$13="最小化",01_因子設定!$B$15-AB3450,MIN(AA3450-01_因子設定!$B$14,01_因子設定!$B$15-AB3450))),-1E+030)</f>
        <v>0.378051308079215</v>
      </c>
      <c r="AE3450" s="55" t="n">
        <f aca="false">IF(AC3450,IF(01_因子設定!$B$13="最大化",X3450,IF(01_因子設定!$B$13="最小化",-X3450,-ABS(X3450-01_因子設定!$B$16))),-1E+030)</f>
        <v>48.3188505116959</v>
      </c>
      <c r="AF3450" s="55" t="n">
        <f aca="false">AD3450+ROW()*0.000000001</f>
        <v>0.378054758079215</v>
      </c>
      <c r="AG3450" s="55" t="n">
        <f aca="false">AE3450+ROW()*0.000000001</f>
        <v>48.3188539616959</v>
      </c>
    </row>
    <row r="3451" customFormat="false" ht="15" hidden="false" customHeight="false" outlineLevel="0" collapsed="false">
      <c r="A3451" s="0" t="n">
        <v>4</v>
      </c>
      <c r="B3451" s="0" t="n">
        <v>6</v>
      </c>
      <c r="C3451" s="0" t="n">
        <v>4</v>
      </c>
      <c r="D3451" s="0" t="n">
        <v>8</v>
      </c>
      <c r="E3451" s="0" t="n">
        <f aca="false">-1+A3451*0.25</f>
        <v>0</v>
      </c>
      <c r="F3451" s="0" t="n">
        <f aca="false">-1+B3451*0.25</f>
        <v>0.5</v>
      </c>
      <c r="G3451" s="0" t="n">
        <f aca="false">-1+C3451*0.25</f>
        <v>0</v>
      </c>
      <c r="H3451" s="0" t="n">
        <f aca="false">-1+D3451*0.25</f>
        <v>1</v>
      </c>
      <c r="I3451" s="0" t="n">
        <f aca="false">1</f>
        <v>1</v>
      </c>
      <c r="J3451" s="0" t="n">
        <f aca="false">E3451</f>
        <v>0</v>
      </c>
      <c r="K3451" s="0" t="n">
        <f aca="false">F3451</f>
        <v>0.5</v>
      </c>
      <c r="L3451" s="0" t="n">
        <f aca="false">G3451</f>
        <v>0</v>
      </c>
      <c r="M3451" s="0" t="n">
        <f aca="false">H3451</f>
        <v>1</v>
      </c>
      <c r="N3451" s="0" t="n">
        <f aca="false">E3451*F3451</f>
        <v>0</v>
      </c>
      <c r="O3451" s="0" t="n">
        <f aca="false">E3451*G3451</f>
        <v>0</v>
      </c>
      <c r="P3451" s="0" t="n">
        <f aca="false">E3451*H3451</f>
        <v>0</v>
      </c>
      <c r="Q3451" s="0" t="n">
        <f aca="false">F3451*G3451</f>
        <v>0</v>
      </c>
      <c r="R3451" s="0" t="n">
        <f aca="false">F3451*H3451</f>
        <v>0.5</v>
      </c>
      <c r="S3451" s="0" t="n">
        <f aca="false">G3451*H3451</f>
        <v>0</v>
      </c>
      <c r="T3451" s="0" t="n">
        <f aca="false">E3451*E3451</f>
        <v>0</v>
      </c>
      <c r="U3451" s="0" t="n">
        <f aca="false">F3451*F3451</f>
        <v>0.25</v>
      </c>
      <c r="V3451" s="0" t="n">
        <f aca="false">G3451*G3451</f>
        <v>0</v>
      </c>
      <c r="W3451" s="0" t="n">
        <f aca="false">H3451*H3451</f>
        <v>1</v>
      </c>
      <c r="X3451" s="0" t="n">
        <f aca="false">SUMPRODUCT(I3451:W3451,_XtX!$B$96:$P$96)</f>
        <v>48.2263523391813</v>
      </c>
      <c r="Y3451" s="0" t="n">
        <f aca="false">SUMPRODUCT(MMULT(I3451:W3451,_XtX!$B$78:$P$92),I3451:W3451)</f>
        <v>0.468841374269006</v>
      </c>
      <c r="Z3451" s="0" t="n">
        <f aca="false">04_回帰ANOVA!$K$19*04_回帰ANOVA!$K$14*SQRT(1+Y3451)</f>
        <v>1.57974082366087</v>
      </c>
      <c r="AA3451" s="0" t="n">
        <f aca="false">X3451-Z3451</f>
        <v>46.6466115155204</v>
      </c>
      <c r="AB3451" s="0" t="n">
        <f aca="false">X3451+Z3451</f>
        <v>49.8060931628421</v>
      </c>
      <c r="AC3451" s="54" t="b">
        <f aca="false">AND(E3451&gt;=01_因子設定!$L$5-0.000000001,E3451&lt;=01_因子設定!$M$5+0.000000001,F3451&gt;=01_因子設定!$L$6-0.000000001,F3451&lt;=01_因子設定!$M$6+0.000000001,G3451&gt;=01_因子設定!$L$7-0.000000001,G3451&lt;=01_因子設定!$M$7+0.000000001,H3451&gt;=01_因子設定!$L$8-0.000000001,H3451&lt;=01_因子設定!$M$8+0.000000001,IF(01_因子設定!$B$20="Box-Behnken",E3451^2+F3451^2+G3451^2+H3451^2&lt;=2+0.000000001,TRUE()))</f>
        <v>1</v>
      </c>
      <c r="AD3451" s="55" t="n">
        <f aca="false">IF(AC3451,IF(01_因子設定!$B$13="最大化",AA3451-01_因子設定!$B$14,IF(01_因子設定!$B$13="最小化",01_因子設定!$B$15-AB3451,MIN(AA3451-01_因子設定!$B$14,01_因子設定!$B$15-AB3451))),-1E+030)</f>
        <v>0.146611515520377</v>
      </c>
      <c r="AE3451" s="55" t="n">
        <f aca="false">IF(AC3451,IF(01_因子設定!$B$13="最大化",X3451,IF(01_因子設定!$B$13="最小化",-X3451,-ABS(X3451-01_因子設定!$B$16))),-1E+030)</f>
        <v>48.2263523391813</v>
      </c>
      <c r="AF3451" s="55" t="n">
        <f aca="false">AD3451+ROW()*0.000000001</f>
        <v>0.146614966520377</v>
      </c>
      <c r="AG3451" s="55" t="n">
        <f aca="false">AE3451+ROW()*0.000000001</f>
        <v>48.2263557901813</v>
      </c>
    </row>
    <row r="3452" customFormat="false" ht="15" hidden="false" customHeight="false" outlineLevel="0" collapsed="false">
      <c r="A3452" s="0" t="n">
        <v>4</v>
      </c>
      <c r="B3452" s="0" t="n">
        <v>6</v>
      </c>
      <c r="C3452" s="0" t="n">
        <v>5</v>
      </c>
      <c r="D3452" s="0" t="n">
        <v>0</v>
      </c>
      <c r="E3452" s="0" t="n">
        <f aca="false">-1+A3452*0.25</f>
        <v>0</v>
      </c>
      <c r="F3452" s="0" t="n">
        <f aca="false">-1+B3452*0.25</f>
        <v>0.5</v>
      </c>
      <c r="G3452" s="0" t="n">
        <f aca="false">-1+C3452*0.25</f>
        <v>0.25</v>
      </c>
      <c r="H3452" s="0" t="n">
        <f aca="false">-1+D3452*0.25</f>
        <v>-1</v>
      </c>
      <c r="I3452" s="0" t="n">
        <f aca="false">1</f>
        <v>1</v>
      </c>
      <c r="J3452" s="0" t="n">
        <f aca="false">E3452</f>
        <v>0</v>
      </c>
      <c r="K3452" s="0" t="n">
        <f aca="false">F3452</f>
        <v>0.5</v>
      </c>
      <c r="L3452" s="0" t="n">
        <f aca="false">G3452</f>
        <v>0.25</v>
      </c>
      <c r="M3452" s="0" t="n">
        <f aca="false">H3452</f>
        <v>-1</v>
      </c>
      <c r="N3452" s="0" t="n">
        <f aca="false">E3452*F3452</f>
        <v>0</v>
      </c>
      <c r="O3452" s="0" t="n">
        <f aca="false">E3452*G3452</f>
        <v>0</v>
      </c>
      <c r="P3452" s="0" t="n">
        <f aca="false">E3452*H3452</f>
        <v>-0</v>
      </c>
      <c r="Q3452" s="0" t="n">
        <f aca="false">F3452*G3452</f>
        <v>0.125</v>
      </c>
      <c r="R3452" s="0" t="n">
        <f aca="false">F3452*H3452</f>
        <v>-0.5</v>
      </c>
      <c r="S3452" s="0" t="n">
        <f aca="false">G3452*H3452</f>
        <v>-0.25</v>
      </c>
      <c r="T3452" s="0" t="n">
        <f aca="false">E3452*E3452</f>
        <v>0</v>
      </c>
      <c r="U3452" s="0" t="n">
        <f aca="false">F3452*F3452</f>
        <v>0.25</v>
      </c>
      <c r="V3452" s="0" t="n">
        <f aca="false">G3452*G3452</f>
        <v>0.0625</v>
      </c>
      <c r="W3452" s="0" t="n">
        <f aca="false">H3452*H3452</f>
        <v>1</v>
      </c>
      <c r="X3452" s="0" t="n">
        <f aca="false">SUMPRODUCT(I3452:W3452,_XtX!$B$96:$P$96)</f>
        <v>47.7981085526316</v>
      </c>
      <c r="Y3452" s="0" t="n">
        <f aca="false">SUMPRODUCT(MMULT(I3452:W3452,_XtX!$B$78:$P$92),I3452:W3452)</f>
        <v>0.457596628289474</v>
      </c>
      <c r="Z3452" s="0" t="n">
        <f aca="false">04_回帰ANOVA!$K$19*04_回帰ANOVA!$K$14*SQRT(1+Y3452)</f>
        <v>1.57368233664366</v>
      </c>
      <c r="AA3452" s="0" t="n">
        <f aca="false">X3452-Z3452</f>
        <v>46.2244262159879</v>
      </c>
      <c r="AB3452" s="0" t="n">
        <f aca="false">X3452+Z3452</f>
        <v>49.3717908892752</v>
      </c>
      <c r="AC3452" s="54" t="b">
        <f aca="false">AND(E3452&gt;=01_因子設定!$L$5-0.000000001,E3452&lt;=01_因子設定!$M$5+0.000000001,F3452&gt;=01_因子設定!$L$6-0.000000001,F3452&lt;=01_因子設定!$M$6+0.000000001,G3452&gt;=01_因子設定!$L$7-0.000000001,G3452&lt;=01_因子設定!$M$7+0.000000001,H3452&gt;=01_因子設定!$L$8-0.000000001,H3452&lt;=01_因子設定!$M$8+0.000000001,IF(01_因子設定!$B$20="Box-Behnken",E3452^2+F3452^2+G3452^2+H3452^2&lt;=2+0.000000001,TRUE()))</f>
        <v>1</v>
      </c>
      <c r="AD3452" s="55" t="n">
        <f aca="false">IF(AC3452,IF(01_因子設定!$B$13="最大化",AA3452-01_因子設定!$B$14,IF(01_因子設定!$B$13="最小化",01_因子設定!$B$15-AB3452,MIN(AA3452-01_因子設定!$B$14,01_因子設定!$B$15-AB3452))),-1E+030)</f>
        <v>-0.275573784012103</v>
      </c>
      <c r="AE3452" s="55" t="n">
        <f aca="false">IF(AC3452,IF(01_因子設定!$B$13="最大化",X3452,IF(01_因子設定!$B$13="最小化",-X3452,-ABS(X3452-01_因子設定!$B$16))),-1E+030)</f>
        <v>47.7981085526316</v>
      </c>
      <c r="AF3452" s="55" t="n">
        <f aca="false">AD3452+ROW()*0.000000001</f>
        <v>-0.275570332012103</v>
      </c>
      <c r="AG3452" s="55" t="n">
        <f aca="false">AE3452+ROW()*0.000000001</f>
        <v>47.7981120046316</v>
      </c>
    </row>
    <row r="3453" customFormat="false" ht="15" hidden="false" customHeight="false" outlineLevel="0" collapsed="false">
      <c r="A3453" s="0" t="n">
        <v>4</v>
      </c>
      <c r="B3453" s="0" t="n">
        <v>6</v>
      </c>
      <c r="C3453" s="0" t="n">
        <v>5</v>
      </c>
      <c r="D3453" s="0" t="n">
        <v>1</v>
      </c>
      <c r="E3453" s="0" t="n">
        <f aca="false">-1+A3453*0.25</f>
        <v>0</v>
      </c>
      <c r="F3453" s="0" t="n">
        <f aca="false">-1+B3453*0.25</f>
        <v>0.5</v>
      </c>
      <c r="G3453" s="0" t="n">
        <f aca="false">-1+C3453*0.25</f>
        <v>0.25</v>
      </c>
      <c r="H3453" s="0" t="n">
        <f aca="false">-1+D3453*0.25</f>
        <v>-0.75</v>
      </c>
      <c r="I3453" s="0" t="n">
        <f aca="false">1</f>
        <v>1</v>
      </c>
      <c r="J3453" s="0" t="n">
        <f aca="false">E3453</f>
        <v>0</v>
      </c>
      <c r="K3453" s="0" t="n">
        <f aca="false">F3453</f>
        <v>0.5</v>
      </c>
      <c r="L3453" s="0" t="n">
        <f aca="false">G3453</f>
        <v>0.25</v>
      </c>
      <c r="M3453" s="0" t="n">
        <f aca="false">H3453</f>
        <v>-0.75</v>
      </c>
      <c r="N3453" s="0" t="n">
        <f aca="false">E3453*F3453</f>
        <v>0</v>
      </c>
      <c r="O3453" s="0" t="n">
        <f aca="false">E3453*G3453</f>
        <v>0</v>
      </c>
      <c r="P3453" s="0" t="n">
        <f aca="false">E3453*H3453</f>
        <v>-0</v>
      </c>
      <c r="Q3453" s="0" t="n">
        <f aca="false">F3453*G3453</f>
        <v>0.125</v>
      </c>
      <c r="R3453" s="0" t="n">
        <f aca="false">F3453*H3453</f>
        <v>-0.375</v>
      </c>
      <c r="S3453" s="0" t="n">
        <f aca="false">G3453*H3453</f>
        <v>-0.1875</v>
      </c>
      <c r="T3453" s="0" t="n">
        <f aca="false">E3453*E3453</f>
        <v>0</v>
      </c>
      <c r="U3453" s="0" t="n">
        <f aca="false">F3453*F3453</f>
        <v>0.25</v>
      </c>
      <c r="V3453" s="0" t="n">
        <f aca="false">G3453*G3453</f>
        <v>0.0625</v>
      </c>
      <c r="W3453" s="0" t="n">
        <f aca="false">H3453*H3453</f>
        <v>0.5625</v>
      </c>
      <c r="X3453" s="0" t="n">
        <f aca="false">SUMPRODUCT(I3453:W3453,_XtX!$B$96:$P$96)</f>
        <v>48.0582282529239</v>
      </c>
      <c r="Y3453" s="0" t="n">
        <f aca="false">SUMPRODUCT(MMULT(I3453:W3453,_XtX!$B$78:$P$92),I3453:W3453)</f>
        <v>0.215110734192252</v>
      </c>
      <c r="Z3453" s="0" t="n">
        <f aca="false">04_回帰ANOVA!$K$19*04_回帰ANOVA!$K$14*SQRT(1+Y3453)</f>
        <v>1.43683309086864</v>
      </c>
      <c r="AA3453" s="0" t="n">
        <f aca="false">X3453-Z3453</f>
        <v>46.6213951620553</v>
      </c>
      <c r="AB3453" s="0" t="n">
        <f aca="false">X3453+Z3453</f>
        <v>49.4950613437926</v>
      </c>
      <c r="AC3453" s="54" t="b">
        <f aca="false">AND(E3453&gt;=01_因子設定!$L$5-0.000000001,E3453&lt;=01_因子設定!$M$5+0.000000001,F3453&gt;=01_因子設定!$L$6-0.000000001,F3453&lt;=01_因子設定!$M$6+0.000000001,G3453&gt;=01_因子設定!$L$7-0.000000001,G3453&lt;=01_因子設定!$M$7+0.000000001,H3453&gt;=01_因子設定!$L$8-0.000000001,H3453&lt;=01_因子設定!$M$8+0.000000001,IF(01_因子設定!$B$20="Box-Behnken",E3453^2+F3453^2+G3453^2+H3453^2&lt;=2+0.000000001,TRUE()))</f>
        <v>1</v>
      </c>
      <c r="AD3453" s="55" t="n">
        <f aca="false">IF(AC3453,IF(01_因子設定!$B$13="最大化",AA3453-01_因子設定!$B$14,IF(01_因子設定!$B$13="最小化",01_因子設定!$B$15-AB3453,MIN(AA3453-01_因子設定!$B$14,01_因子設定!$B$15-AB3453))),-1E+030)</f>
        <v>0.121395162055286</v>
      </c>
      <c r="AE3453" s="55" t="n">
        <f aca="false">IF(AC3453,IF(01_因子設定!$B$13="最大化",X3453,IF(01_因子設定!$B$13="最小化",-X3453,-ABS(X3453-01_因子設定!$B$16))),-1E+030)</f>
        <v>48.0582282529239</v>
      </c>
      <c r="AF3453" s="55" t="n">
        <f aca="false">AD3453+ROW()*0.000000001</f>
        <v>0.121398615055286</v>
      </c>
      <c r="AG3453" s="55" t="n">
        <f aca="false">AE3453+ROW()*0.000000001</f>
        <v>48.0582317059239</v>
      </c>
    </row>
    <row r="3454" customFormat="false" ht="15" hidden="false" customHeight="false" outlineLevel="0" collapsed="false">
      <c r="A3454" s="0" t="n">
        <v>4</v>
      </c>
      <c r="B3454" s="0" t="n">
        <v>6</v>
      </c>
      <c r="C3454" s="0" t="n">
        <v>5</v>
      </c>
      <c r="D3454" s="0" t="n">
        <v>2</v>
      </c>
      <c r="E3454" s="0" t="n">
        <f aca="false">-1+A3454*0.25</f>
        <v>0</v>
      </c>
      <c r="F3454" s="0" t="n">
        <f aca="false">-1+B3454*0.25</f>
        <v>0.5</v>
      </c>
      <c r="G3454" s="0" t="n">
        <f aca="false">-1+C3454*0.25</f>
        <v>0.25</v>
      </c>
      <c r="H3454" s="0" t="n">
        <f aca="false">-1+D3454*0.25</f>
        <v>-0.5</v>
      </c>
      <c r="I3454" s="0" t="n">
        <f aca="false">1</f>
        <v>1</v>
      </c>
      <c r="J3454" s="0" t="n">
        <f aca="false">E3454</f>
        <v>0</v>
      </c>
      <c r="K3454" s="0" t="n">
        <f aca="false">F3454</f>
        <v>0.5</v>
      </c>
      <c r="L3454" s="0" t="n">
        <f aca="false">G3454</f>
        <v>0.25</v>
      </c>
      <c r="M3454" s="0" t="n">
        <f aca="false">H3454</f>
        <v>-0.5</v>
      </c>
      <c r="N3454" s="0" t="n">
        <f aca="false">E3454*F3454</f>
        <v>0</v>
      </c>
      <c r="O3454" s="0" t="n">
        <f aca="false">E3454*G3454</f>
        <v>0</v>
      </c>
      <c r="P3454" s="0" t="n">
        <f aca="false">E3454*H3454</f>
        <v>-0</v>
      </c>
      <c r="Q3454" s="0" t="n">
        <f aca="false">F3454*G3454</f>
        <v>0.125</v>
      </c>
      <c r="R3454" s="0" t="n">
        <f aca="false">F3454*H3454</f>
        <v>-0.25</v>
      </c>
      <c r="S3454" s="0" t="n">
        <f aca="false">G3454*H3454</f>
        <v>-0.125</v>
      </c>
      <c r="T3454" s="0" t="n">
        <f aca="false">E3454*E3454</f>
        <v>0</v>
      </c>
      <c r="U3454" s="0" t="n">
        <f aca="false">F3454*F3454</f>
        <v>0.25</v>
      </c>
      <c r="V3454" s="0" t="n">
        <f aca="false">G3454*G3454</f>
        <v>0.0625</v>
      </c>
      <c r="W3454" s="0" t="n">
        <f aca="false">H3454*H3454</f>
        <v>0.25</v>
      </c>
      <c r="X3454" s="0" t="n">
        <f aca="false">SUMPRODUCT(I3454:W3454,_XtX!$B$96:$P$96)</f>
        <v>48.2705409356725</v>
      </c>
      <c r="Y3454" s="0" t="n">
        <f aca="false">SUMPRODUCT(MMULT(I3454:W3454,_XtX!$B$78:$P$92),I3454:W3454)</f>
        <v>0.132367050438597</v>
      </c>
      <c r="Z3454" s="0" t="n">
        <f aca="false">04_回帰ANOVA!$K$19*04_回帰ANOVA!$K$14*SQRT(1+Y3454)</f>
        <v>1.38704964208329</v>
      </c>
      <c r="AA3454" s="0" t="n">
        <f aca="false">X3454-Z3454</f>
        <v>46.8834912935892</v>
      </c>
      <c r="AB3454" s="0" t="n">
        <f aca="false">X3454+Z3454</f>
        <v>49.6575905777558</v>
      </c>
      <c r="AC3454" s="54" t="b">
        <f aca="false">AND(E3454&gt;=01_因子設定!$L$5-0.000000001,E3454&lt;=01_因子設定!$M$5+0.000000001,F3454&gt;=01_因子設定!$L$6-0.000000001,F3454&lt;=01_因子設定!$M$6+0.000000001,G3454&gt;=01_因子設定!$L$7-0.000000001,G3454&lt;=01_因子設定!$M$7+0.000000001,H3454&gt;=01_因子設定!$L$8-0.000000001,H3454&lt;=01_因子設定!$M$8+0.000000001,IF(01_因子設定!$B$20="Box-Behnken",E3454^2+F3454^2+G3454^2+H3454^2&lt;=2+0.000000001,TRUE()))</f>
        <v>1</v>
      </c>
      <c r="AD3454" s="55" t="n">
        <f aca="false">IF(AC3454,IF(01_因子設定!$B$13="最大化",AA3454-01_因子設定!$B$14,IF(01_因子設定!$B$13="最小化",01_因子設定!$B$15-AB3454,MIN(AA3454-01_因子設定!$B$14,01_因子設定!$B$15-AB3454))),-1E+030)</f>
        <v>0.383491293589167</v>
      </c>
      <c r="AE3454" s="55" t="n">
        <f aca="false">IF(AC3454,IF(01_因子設定!$B$13="最大化",X3454,IF(01_因子設定!$B$13="最小化",-X3454,-ABS(X3454-01_因子設定!$B$16))),-1E+030)</f>
        <v>48.2705409356725</v>
      </c>
      <c r="AF3454" s="55" t="n">
        <f aca="false">AD3454+ROW()*0.000000001</f>
        <v>0.383494747589167</v>
      </c>
      <c r="AG3454" s="55" t="n">
        <f aca="false">AE3454+ROW()*0.000000001</f>
        <v>48.2705443896725</v>
      </c>
    </row>
    <row r="3455" customFormat="false" ht="15" hidden="false" customHeight="false" outlineLevel="0" collapsed="false">
      <c r="A3455" s="0" t="n">
        <v>4</v>
      </c>
      <c r="B3455" s="0" t="n">
        <v>6</v>
      </c>
      <c r="C3455" s="0" t="n">
        <v>5</v>
      </c>
      <c r="D3455" s="0" t="n">
        <v>3</v>
      </c>
      <c r="E3455" s="0" t="n">
        <f aca="false">-1+A3455*0.25</f>
        <v>0</v>
      </c>
      <c r="F3455" s="0" t="n">
        <f aca="false">-1+B3455*0.25</f>
        <v>0.5</v>
      </c>
      <c r="G3455" s="0" t="n">
        <f aca="false">-1+C3455*0.25</f>
        <v>0.25</v>
      </c>
      <c r="H3455" s="0" t="n">
        <f aca="false">-1+D3455*0.25</f>
        <v>-0.25</v>
      </c>
      <c r="I3455" s="0" t="n">
        <f aca="false">1</f>
        <v>1</v>
      </c>
      <c r="J3455" s="0" t="n">
        <f aca="false">E3455</f>
        <v>0</v>
      </c>
      <c r="K3455" s="0" t="n">
        <f aca="false">F3455</f>
        <v>0.5</v>
      </c>
      <c r="L3455" s="0" t="n">
        <f aca="false">G3455</f>
        <v>0.25</v>
      </c>
      <c r="M3455" s="0" t="n">
        <f aca="false">H3455</f>
        <v>-0.25</v>
      </c>
      <c r="N3455" s="0" t="n">
        <f aca="false">E3455*F3455</f>
        <v>0</v>
      </c>
      <c r="O3455" s="0" t="n">
        <f aca="false">E3455*G3455</f>
        <v>0</v>
      </c>
      <c r="P3455" s="0" t="n">
        <f aca="false">E3455*H3455</f>
        <v>-0</v>
      </c>
      <c r="Q3455" s="0" t="n">
        <f aca="false">F3455*G3455</f>
        <v>0.125</v>
      </c>
      <c r="R3455" s="0" t="n">
        <f aca="false">F3455*H3455</f>
        <v>-0.125</v>
      </c>
      <c r="S3455" s="0" t="n">
        <f aca="false">G3455*H3455</f>
        <v>-0.0625</v>
      </c>
      <c r="T3455" s="0" t="n">
        <f aca="false">E3455*E3455</f>
        <v>0</v>
      </c>
      <c r="U3455" s="0" t="n">
        <f aca="false">F3455*F3455</f>
        <v>0.25</v>
      </c>
      <c r="V3455" s="0" t="n">
        <f aca="false">G3455*G3455</f>
        <v>0.0625</v>
      </c>
      <c r="W3455" s="0" t="n">
        <f aca="false">H3455*H3455</f>
        <v>0.0625</v>
      </c>
      <c r="X3455" s="0" t="n">
        <f aca="false">SUMPRODUCT(I3455:W3455,_XtX!$B$96:$P$96)</f>
        <v>48.4350466008771</v>
      </c>
      <c r="Y3455" s="0" t="n">
        <f aca="false">SUMPRODUCT(MMULT(I3455:W3455,_XtX!$B$78:$P$92),I3455:W3455)</f>
        <v>0.118905050712719</v>
      </c>
      <c r="Z3455" s="0" t="n">
        <f aca="false">04_回帰ANOVA!$K$19*04_回帰ANOVA!$K$14*SQRT(1+Y3455)</f>
        <v>1.37878011033769</v>
      </c>
      <c r="AA3455" s="0" t="n">
        <f aca="false">X3455-Z3455</f>
        <v>47.0562664905394</v>
      </c>
      <c r="AB3455" s="0" t="n">
        <f aca="false">X3455+Z3455</f>
        <v>49.8138267112148</v>
      </c>
      <c r="AC3455" s="54" t="b">
        <f aca="false">AND(E3455&gt;=01_因子設定!$L$5-0.000000001,E3455&lt;=01_因子設定!$M$5+0.000000001,F3455&gt;=01_因子設定!$L$6-0.000000001,F3455&lt;=01_因子設定!$M$6+0.000000001,G3455&gt;=01_因子設定!$L$7-0.000000001,G3455&lt;=01_因子設定!$M$7+0.000000001,H3455&gt;=01_因子設定!$L$8-0.000000001,H3455&lt;=01_因子設定!$M$8+0.000000001,IF(01_因子設定!$B$20="Box-Behnken",E3455^2+F3455^2+G3455^2+H3455^2&lt;=2+0.000000001,TRUE()))</f>
        <v>1</v>
      </c>
      <c r="AD3455" s="55" t="n">
        <f aca="false">IF(AC3455,IF(01_因子設定!$B$13="最大化",AA3455-01_因子設定!$B$14,IF(01_因子設定!$B$13="最小化",01_因子設定!$B$15-AB3455,MIN(AA3455-01_因子設定!$B$14,01_因子設定!$B$15-AB3455))),-1E+030)</f>
        <v>0.556266490539443</v>
      </c>
      <c r="AE3455" s="55" t="n">
        <f aca="false">IF(AC3455,IF(01_因子設定!$B$13="最大化",X3455,IF(01_因子設定!$B$13="最小化",-X3455,-ABS(X3455-01_因子設定!$B$16))),-1E+030)</f>
        <v>48.4350466008771</v>
      </c>
      <c r="AF3455" s="55" t="n">
        <f aca="false">AD3455+ROW()*0.000000001</f>
        <v>0.556269945539443</v>
      </c>
      <c r="AG3455" s="55" t="n">
        <f aca="false">AE3455+ROW()*0.000000001</f>
        <v>48.4350500558771</v>
      </c>
    </row>
    <row r="3456" customFormat="false" ht="15" hidden="false" customHeight="false" outlineLevel="0" collapsed="false">
      <c r="A3456" s="0" t="n">
        <v>4</v>
      </c>
      <c r="B3456" s="0" t="n">
        <v>6</v>
      </c>
      <c r="C3456" s="0" t="n">
        <v>5</v>
      </c>
      <c r="D3456" s="0" t="n">
        <v>4</v>
      </c>
      <c r="E3456" s="0" t="n">
        <f aca="false">-1+A3456*0.25</f>
        <v>0</v>
      </c>
      <c r="F3456" s="0" t="n">
        <f aca="false">-1+B3456*0.25</f>
        <v>0.5</v>
      </c>
      <c r="G3456" s="0" t="n">
        <f aca="false">-1+C3456*0.25</f>
        <v>0.25</v>
      </c>
      <c r="H3456" s="0" t="n">
        <f aca="false">-1+D3456*0.25</f>
        <v>0</v>
      </c>
      <c r="I3456" s="0" t="n">
        <f aca="false">1</f>
        <v>1</v>
      </c>
      <c r="J3456" s="0" t="n">
        <f aca="false">E3456</f>
        <v>0</v>
      </c>
      <c r="K3456" s="0" t="n">
        <f aca="false">F3456</f>
        <v>0.5</v>
      </c>
      <c r="L3456" s="0" t="n">
        <f aca="false">G3456</f>
        <v>0.25</v>
      </c>
      <c r="M3456" s="0" t="n">
        <f aca="false">H3456</f>
        <v>0</v>
      </c>
      <c r="N3456" s="0" t="n">
        <f aca="false">E3456*F3456</f>
        <v>0</v>
      </c>
      <c r="O3456" s="0" t="n">
        <f aca="false">E3456*G3456</f>
        <v>0</v>
      </c>
      <c r="P3456" s="0" t="n">
        <f aca="false">E3456*H3456</f>
        <v>0</v>
      </c>
      <c r="Q3456" s="0" t="n">
        <f aca="false">F3456*G3456</f>
        <v>0.125</v>
      </c>
      <c r="R3456" s="0" t="n">
        <f aca="false">F3456*H3456</f>
        <v>0</v>
      </c>
      <c r="S3456" s="0" t="n">
        <f aca="false">G3456*H3456</f>
        <v>0</v>
      </c>
      <c r="T3456" s="0" t="n">
        <f aca="false">E3456*E3456</f>
        <v>0</v>
      </c>
      <c r="U3456" s="0" t="n">
        <f aca="false">F3456*F3456</f>
        <v>0.25</v>
      </c>
      <c r="V3456" s="0" t="n">
        <f aca="false">G3456*G3456</f>
        <v>0.0625</v>
      </c>
      <c r="W3456" s="0" t="n">
        <f aca="false">H3456*H3456</f>
        <v>0</v>
      </c>
      <c r="X3456" s="0" t="n">
        <f aca="false">SUMPRODUCT(I3456:W3456,_XtX!$B$96:$P$96)</f>
        <v>48.551745248538</v>
      </c>
      <c r="Y3456" s="0" t="n">
        <f aca="false">SUMPRODUCT(MMULT(I3456:W3456,_XtX!$B$78:$P$92),I3456:W3456)</f>
        <v>0.120448419225146</v>
      </c>
      <c r="Z3456" s="0" t="n">
        <f aca="false">04_回帰ANOVA!$K$19*04_回帰ANOVA!$K$14*SQRT(1+Y3456)</f>
        <v>1.37973069703246</v>
      </c>
      <c r="AA3456" s="0" t="n">
        <f aca="false">X3456-Z3456</f>
        <v>47.1720145515055</v>
      </c>
      <c r="AB3456" s="0" t="n">
        <f aca="false">X3456+Z3456</f>
        <v>49.9314759455704</v>
      </c>
      <c r="AC3456" s="54" t="b">
        <f aca="false">AND(E3456&gt;=01_因子設定!$L$5-0.000000001,E3456&lt;=01_因子設定!$M$5+0.000000001,F3456&gt;=01_因子設定!$L$6-0.000000001,F3456&lt;=01_因子設定!$M$6+0.000000001,G3456&gt;=01_因子設定!$L$7-0.000000001,G3456&lt;=01_因子設定!$M$7+0.000000001,H3456&gt;=01_因子設定!$L$8-0.000000001,H3456&lt;=01_因子設定!$M$8+0.000000001,IF(01_因子設定!$B$20="Box-Behnken",E3456^2+F3456^2+G3456^2+H3456^2&lt;=2+0.000000001,TRUE()))</f>
        <v>1</v>
      </c>
      <c r="AD3456" s="55" t="n">
        <f aca="false">IF(AC3456,IF(01_因子設定!$B$13="最大化",AA3456-01_因子設定!$B$14,IF(01_因子設定!$B$13="最小化",01_因子設定!$B$15-AB3456,MIN(AA3456-01_因子設定!$B$14,01_因子設定!$B$15-AB3456))),-1E+030)</f>
        <v>0.672014551505484</v>
      </c>
      <c r="AE3456" s="55" t="n">
        <f aca="false">IF(AC3456,IF(01_因子設定!$B$13="最大化",X3456,IF(01_因子設定!$B$13="最小化",-X3456,-ABS(X3456-01_因子設定!$B$16))),-1E+030)</f>
        <v>48.551745248538</v>
      </c>
      <c r="AF3456" s="55" t="n">
        <f aca="false">AD3456+ROW()*0.000000001</f>
        <v>0.672018007505484</v>
      </c>
      <c r="AG3456" s="55" t="n">
        <f aca="false">AE3456+ROW()*0.000000001</f>
        <v>48.551748704538</v>
      </c>
    </row>
    <row r="3457" customFormat="false" ht="15" hidden="false" customHeight="false" outlineLevel="0" collapsed="false">
      <c r="A3457" s="0" t="n">
        <v>4</v>
      </c>
      <c r="B3457" s="0" t="n">
        <v>6</v>
      </c>
      <c r="C3457" s="0" t="n">
        <v>5</v>
      </c>
      <c r="D3457" s="0" t="n">
        <v>5</v>
      </c>
      <c r="E3457" s="0" t="n">
        <f aca="false">-1+A3457*0.25</f>
        <v>0</v>
      </c>
      <c r="F3457" s="0" t="n">
        <f aca="false">-1+B3457*0.25</f>
        <v>0.5</v>
      </c>
      <c r="G3457" s="0" t="n">
        <f aca="false">-1+C3457*0.25</f>
        <v>0.25</v>
      </c>
      <c r="H3457" s="0" t="n">
        <f aca="false">-1+D3457*0.25</f>
        <v>0.25</v>
      </c>
      <c r="I3457" s="0" t="n">
        <f aca="false">1</f>
        <v>1</v>
      </c>
      <c r="J3457" s="0" t="n">
        <f aca="false">E3457</f>
        <v>0</v>
      </c>
      <c r="K3457" s="0" t="n">
        <f aca="false">F3457</f>
        <v>0.5</v>
      </c>
      <c r="L3457" s="0" t="n">
        <f aca="false">G3457</f>
        <v>0.25</v>
      </c>
      <c r="M3457" s="0" t="n">
        <f aca="false">H3457</f>
        <v>0.25</v>
      </c>
      <c r="N3457" s="0" t="n">
        <f aca="false">E3457*F3457</f>
        <v>0</v>
      </c>
      <c r="O3457" s="0" t="n">
        <f aca="false">E3457*G3457</f>
        <v>0</v>
      </c>
      <c r="P3457" s="0" t="n">
        <f aca="false">E3457*H3457</f>
        <v>0</v>
      </c>
      <c r="Q3457" s="0" t="n">
        <f aca="false">F3457*G3457</f>
        <v>0.125</v>
      </c>
      <c r="R3457" s="0" t="n">
        <f aca="false">F3457*H3457</f>
        <v>0.125</v>
      </c>
      <c r="S3457" s="0" t="n">
        <f aca="false">G3457*H3457</f>
        <v>0.0625</v>
      </c>
      <c r="T3457" s="0" t="n">
        <f aca="false">E3457*E3457</f>
        <v>0</v>
      </c>
      <c r="U3457" s="0" t="n">
        <f aca="false">F3457*F3457</f>
        <v>0.25</v>
      </c>
      <c r="V3457" s="0" t="n">
        <f aca="false">G3457*G3457</f>
        <v>0.0625</v>
      </c>
      <c r="W3457" s="0" t="n">
        <f aca="false">H3457*H3457</f>
        <v>0.0625</v>
      </c>
      <c r="X3457" s="0" t="n">
        <f aca="false">SUMPRODUCT(I3457:W3457,_XtX!$B$96:$P$96)</f>
        <v>48.6206368786549</v>
      </c>
      <c r="Y3457" s="0" t="n">
        <f aca="false">SUMPRODUCT(MMULT(I3457:W3457,_XtX!$B$78:$P$92),I3457:W3457)</f>
        <v>0.118905050712719</v>
      </c>
      <c r="Z3457" s="0" t="n">
        <f aca="false">04_回帰ANOVA!$K$19*04_回帰ANOVA!$K$14*SQRT(1+Y3457)</f>
        <v>1.37878011033769</v>
      </c>
      <c r="AA3457" s="0" t="n">
        <f aca="false">X3457-Z3457</f>
        <v>47.2418567683172</v>
      </c>
      <c r="AB3457" s="0" t="n">
        <f aca="false">X3457+Z3457</f>
        <v>49.9994169889926</v>
      </c>
      <c r="AC3457" s="54" t="b">
        <f aca="false">AND(E3457&gt;=01_因子設定!$L$5-0.000000001,E3457&lt;=01_因子設定!$M$5+0.000000001,F3457&gt;=01_因子設定!$L$6-0.000000001,F3457&lt;=01_因子設定!$M$6+0.000000001,G3457&gt;=01_因子設定!$L$7-0.000000001,G3457&lt;=01_因子設定!$M$7+0.000000001,H3457&gt;=01_因子設定!$L$8-0.000000001,H3457&lt;=01_因子設定!$M$8+0.000000001,IF(01_因子設定!$B$20="Box-Behnken",E3457^2+F3457^2+G3457^2+H3457^2&lt;=2+0.000000001,TRUE()))</f>
        <v>1</v>
      </c>
      <c r="AD3457" s="55" t="n">
        <f aca="false">IF(AC3457,IF(01_因子設定!$B$13="最大化",AA3457-01_因子設定!$B$14,IF(01_因子設定!$B$13="最小化",01_因子設定!$B$15-AB3457,MIN(AA3457-01_因子設定!$B$14,01_因子設定!$B$15-AB3457))),-1E+030)</f>
        <v>0.74185676831722</v>
      </c>
      <c r="AE3457" s="55" t="n">
        <f aca="false">IF(AC3457,IF(01_因子設定!$B$13="最大化",X3457,IF(01_因子設定!$B$13="最小化",-X3457,-ABS(X3457-01_因子設定!$B$16))),-1E+030)</f>
        <v>48.6206368786549</v>
      </c>
      <c r="AF3457" s="55" t="n">
        <f aca="false">AD3457+ROW()*0.000000001</f>
        <v>0.74186022531722</v>
      </c>
      <c r="AG3457" s="55" t="n">
        <f aca="false">AE3457+ROW()*0.000000001</f>
        <v>48.6206403356549</v>
      </c>
    </row>
    <row r="3458" customFormat="false" ht="15" hidden="false" customHeight="false" outlineLevel="0" collapsed="false">
      <c r="A3458" s="0" t="n">
        <v>4</v>
      </c>
      <c r="B3458" s="0" t="n">
        <v>6</v>
      </c>
      <c r="C3458" s="0" t="n">
        <v>5</v>
      </c>
      <c r="D3458" s="0" t="n">
        <v>6</v>
      </c>
      <c r="E3458" s="0" t="n">
        <f aca="false">-1+A3458*0.25</f>
        <v>0</v>
      </c>
      <c r="F3458" s="0" t="n">
        <f aca="false">-1+B3458*0.25</f>
        <v>0.5</v>
      </c>
      <c r="G3458" s="0" t="n">
        <f aca="false">-1+C3458*0.25</f>
        <v>0.25</v>
      </c>
      <c r="H3458" s="0" t="n">
        <f aca="false">-1+D3458*0.25</f>
        <v>0.5</v>
      </c>
      <c r="I3458" s="0" t="n">
        <f aca="false">1</f>
        <v>1</v>
      </c>
      <c r="J3458" s="0" t="n">
        <f aca="false">E3458</f>
        <v>0</v>
      </c>
      <c r="K3458" s="0" t="n">
        <f aca="false">F3458</f>
        <v>0.5</v>
      </c>
      <c r="L3458" s="0" t="n">
        <f aca="false">G3458</f>
        <v>0.25</v>
      </c>
      <c r="M3458" s="0" t="n">
        <f aca="false">H3458</f>
        <v>0.5</v>
      </c>
      <c r="N3458" s="0" t="n">
        <f aca="false">E3458*F3458</f>
        <v>0</v>
      </c>
      <c r="O3458" s="0" t="n">
        <f aca="false">E3458*G3458</f>
        <v>0</v>
      </c>
      <c r="P3458" s="0" t="n">
        <f aca="false">E3458*H3458</f>
        <v>0</v>
      </c>
      <c r="Q3458" s="0" t="n">
        <f aca="false">F3458*G3458</f>
        <v>0.125</v>
      </c>
      <c r="R3458" s="0" t="n">
        <f aca="false">F3458*H3458</f>
        <v>0.25</v>
      </c>
      <c r="S3458" s="0" t="n">
        <f aca="false">G3458*H3458</f>
        <v>0.125</v>
      </c>
      <c r="T3458" s="0" t="n">
        <f aca="false">E3458*E3458</f>
        <v>0</v>
      </c>
      <c r="U3458" s="0" t="n">
        <f aca="false">F3458*F3458</f>
        <v>0.25</v>
      </c>
      <c r="V3458" s="0" t="n">
        <f aca="false">G3458*G3458</f>
        <v>0.0625</v>
      </c>
      <c r="W3458" s="0" t="n">
        <f aca="false">H3458*H3458</f>
        <v>0.25</v>
      </c>
      <c r="X3458" s="0" t="n">
        <f aca="false">SUMPRODUCT(I3458:W3458,_XtX!$B$96:$P$96)</f>
        <v>48.641721491228</v>
      </c>
      <c r="Y3458" s="0" t="n">
        <f aca="false">SUMPRODUCT(MMULT(I3458:W3458,_XtX!$B$78:$P$92),I3458:W3458)</f>
        <v>0.132367050438597</v>
      </c>
      <c r="Z3458" s="0" t="n">
        <f aca="false">04_回帰ANOVA!$K$19*04_回帰ANOVA!$K$14*SQRT(1+Y3458)</f>
        <v>1.38704964208329</v>
      </c>
      <c r="AA3458" s="0" t="n">
        <f aca="false">X3458-Z3458</f>
        <v>47.2546718491447</v>
      </c>
      <c r="AB3458" s="0" t="n">
        <f aca="false">X3458+Z3458</f>
        <v>50.0287711333113</v>
      </c>
      <c r="AC3458" s="54" t="b">
        <f aca="false">AND(E3458&gt;=01_因子設定!$L$5-0.000000001,E3458&lt;=01_因子設定!$M$5+0.000000001,F3458&gt;=01_因子設定!$L$6-0.000000001,F3458&lt;=01_因子設定!$M$6+0.000000001,G3458&gt;=01_因子設定!$L$7-0.000000001,G3458&lt;=01_因子設定!$M$7+0.000000001,H3458&gt;=01_因子設定!$L$8-0.000000001,H3458&lt;=01_因子設定!$M$8+0.000000001,IF(01_因子設定!$B$20="Box-Behnken",E3458^2+F3458^2+G3458^2+H3458^2&lt;=2+0.000000001,TRUE()))</f>
        <v>1</v>
      </c>
      <c r="AD3458" s="55" t="n">
        <f aca="false">IF(AC3458,IF(01_因子設定!$B$13="最大化",AA3458-01_因子設定!$B$14,IF(01_因子設定!$B$13="最小化",01_因子設定!$B$15-AB3458,MIN(AA3458-01_因子設定!$B$14,01_因子設定!$B$15-AB3458))),-1E+030)</f>
        <v>0.754671849144721</v>
      </c>
      <c r="AE3458" s="55" t="n">
        <f aca="false">IF(AC3458,IF(01_因子設定!$B$13="最大化",X3458,IF(01_因子設定!$B$13="最小化",-X3458,-ABS(X3458-01_因子設定!$B$16))),-1E+030)</f>
        <v>48.641721491228</v>
      </c>
      <c r="AF3458" s="55" t="n">
        <f aca="false">AD3458+ROW()*0.000000001</f>
        <v>0.754675307144721</v>
      </c>
      <c r="AG3458" s="55" t="n">
        <f aca="false">AE3458+ROW()*0.000000001</f>
        <v>48.641724949228</v>
      </c>
    </row>
    <row r="3459" customFormat="false" ht="15" hidden="false" customHeight="false" outlineLevel="0" collapsed="false">
      <c r="A3459" s="0" t="n">
        <v>4</v>
      </c>
      <c r="B3459" s="0" t="n">
        <v>6</v>
      </c>
      <c r="C3459" s="0" t="n">
        <v>5</v>
      </c>
      <c r="D3459" s="0" t="n">
        <v>7</v>
      </c>
      <c r="E3459" s="0" t="n">
        <f aca="false">-1+A3459*0.25</f>
        <v>0</v>
      </c>
      <c r="F3459" s="0" t="n">
        <f aca="false">-1+B3459*0.25</f>
        <v>0.5</v>
      </c>
      <c r="G3459" s="0" t="n">
        <f aca="false">-1+C3459*0.25</f>
        <v>0.25</v>
      </c>
      <c r="H3459" s="0" t="n">
        <f aca="false">-1+D3459*0.25</f>
        <v>0.75</v>
      </c>
      <c r="I3459" s="0" t="n">
        <f aca="false">1</f>
        <v>1</v>
      </c>
      <c r="J3459" s="0" t="n">
        <f aca="false">E3459</f>
        <v>0</v>
      </c>
      <c r="K3459" s="0" t="n">
        <f aca="false">F3459</f>
        <v>0.5</v>
      </c>
      <c r="L3459" s="0" t="n">
        <f aca="false">G3459</f>
        <v>0.25</v>
      </c>
      <c r="M3459" s="0" t="n">
        <f aca="false">H3459</f>
        <v>0.75</v>
      </c>
      <c r="N3459" s="0" t="n">
        <f aca="false">E3459*F3459</f>
        <v>0</v>
      </c>
      <c r="O3459" s="0" t="n">
        <f aca="false">E3459*G3459</f>
        <v>0</v>
      </c>
      <c r="P3459" s="0" t="n">
        <f aca="false">E3459*H3459</f>
        <v>0</v>
      </c>
      <c r="Q3459" s="0" t="n">
        <f aca="false">F3459*G3459</f>
        <v>0.125</v>
      </c>
      <c r="R3459" s="0" t="n">
        <f aca="false">F3459*H3459</f>
        <v>0.375</v>
      </c>
      <c r="S3459" s="0" t="n">
        <f aca="false">G3459*H3459</f>
        <v>0.1875</v>
      </c>
      <c r="T3459" s="0" t="n">
        <f aca="false">E3459*E3459</f>
        <v>0</v>
      </c>
      <c r="U3459" s="0" t="n">
        <f aca="false">F3459*F3459</f>
        <v>0.25</v>
      </c>
      <c r="V3459" s="0" t="n">
        <f aca="false">G3459*G3459</f>
        <v>0.0625</v>
      </c>
      <c r="W3459" s="0" t="n">
        <f aca="false">H3459*H3459</f>
        <v>0.5625</v>
      </c>
      <c r="X3459" s="0" t="n">
        <f aca="false">SUMPRODUCT(I3459:W3459,_XtX!$B$96:$P$96)</f>
        <v>48.6149990862573</v>
      </c>
      <c r="Y3459" s="0" t="n">
        <f aca="false">SUMPRODUCT(MMULT(I3459:W3459,_XtX!$B$78:$P$92),I3459:W3459)</f>
        <v>0.215110734192252</v>
      </c>
      <c r="Z3459" s="0" t="n">
        <f aca="false">04_回帰ANOVA!$K$19*04_回帰ANOVA!$K$14*SQRT(1+Y3459)</f>
        <v>1.43683309086864</v>
      </c>
      <c r="AA3459" s="0" t="n">
        <f aca="false">X3459-Z3459</f>
        <v>47.1781659953886</v>
      </c>
      <c r="AB3459" s="0" t="n">
        <f aca="false">X3459+Z3459</f>
        <v>50.0518321771259</v>
      </c>
      <c r="AC3459" s="54" t="b">
        <f aca="false">AND(E3459&gt;=01_因子設定!$L$5-0.000000001,E3459&lt;=01_因子設定!$M$5+0.000000001,F3459&gt;=01_因子設定!$L$6-0.000000001,F3459&lt;=01_因子設定!$M$6+0.000000001,G3459&gt;=01_因子設定!$L$7-0.000000001,G3459&lt;=01_因子設定!$M$7+0.000000001,H3459&gt;=01_因子設定!$L$8-0.000000001,H3459&lt;=01_因子設定!$M$8+0.000000001,IF(01_因子設定!$B$20="Box-Behnken",E3459^2+F3459^2+G3459^2+H3459^2&lt;=2+0.000000001,TRUE()))</f>
        <v>1</v>
      </c>
      <c r="AD3459" s="55" t="n">
        <f aca="false">IF(AC3459,IF(01_因子設定!$B$13="最大化",AA3459-01_因子設定!$B$14,IF(01_因子設定!$B$13="最小化",01_因子設定!$B$15-AB3459,MIN(AA3459-01_因子設定!$B$14,01_因子設定!$B$15-AB3459))),-1E+030)</f>
        <v>0.678165995388618</v>
      </c>
      <c r="AE3459" s="55" t="n">
        <f aca="false">IF(AC3459,IF(01_因子設定!$B$13="最大化",X3459,IF(01_因子設定!$B$13="最小化",-X3459,-ABS(X3459-01_因子設定!$B$16))),-1E+030)</f>
        <v>48.6149990862573</v>
      </c>
      <c r="AF3459" s="55" t="n">
        <f aca="false">AD3459+ROW()*0.000000001</f>
        <v>0.678169454388618</v>
      </c>
      <c r="AG3459" s="55" t="n">
        <f aca="false">AE3459+ROW()*0.000000001</f>
        <v>48.6150025452573</v>
      </c>
    </row>
    <row r="3460" customFormat="false" ht="15" hidden="false" customHeight="false" outlineLevel="0" collapsed="false">
      <c r="A3460" s="0" t="n">
        <v>4</v>
      </c>
      <c r="B3460" s="0" t="n">
        <v>6</v>
      </c>
      <c r="C3460" s="0" t="n">
        <v>5</v>
      </c>
      <c r="D3460" s="0" t="n">
        <v>8</v>
      </c>
      <c r="E3460" s="0" t="n">
        <f aca="false">-1+A3460*0.25</f>
        <v>0</v>
      </c>
      <c r="F3460" s="0" t="n">
        <f aca="false">-1+B3460*0.25</f>
        <v>0.5</v>
      </c>
      <c r="G3460" s="0" t="n">
        <f aca="false">-1+C3460*0.25</f>
        <v>0.25</v>
      </c>
      <c r="H3460" s="0" t="n">
        <f aca="false">-1+D3460*0.25</f>
        <v>1</v>
      </c>
      <c r="I3460" s="0" t="n">
        <f aca="false">1</f>
        <v>1</v>
      </c>
      <c r="J3460" s="0" t="n">
        <f aca="false">E3460</f>
        <v>0</v>
      </c>
      <c r="K3460" s="0" t="n">
        <f aca="false">F3460</f>
        <v>0.5</v>
      </c>
      <c r="L3460" s="0" t="n">
        <f aca="false">G3460</f>
        <v>0.25</v>
      </c>
      <c r="M3460" s="0" t="n">
        <f aca="false">H3460</f>
        <v>1</v>
      </c>
      <c r="N3460" s="0" t="n">
        <f aca="false">E3460*F3460</f>
        <v>0</v>
      </c>
      <c r="O3460" s="0" t="n">
        <f aca="false">E3460*G3460</f>
        <v>0</v>
      </c>
      <c r="P3460" s="0" t="n">
        <f aca="false">E3460*H3460</f>
        <v>0</v>
      </c>
      <c r="Q3460" s="0" t="n">
        <f aca="false">F3460*G3460</f>
        <v>0.125</v>
      </c>
      <c r="R3460" s="0" t="n">
        <f aca="false">F3460*H3460</f>
        <v>0.5</v>
      </c>
      <c r="S3460" s="0" t="n">
        <f aca="false">G3460*H3460</f>
        <v>0.25</v>
      </c>
      <c r="T3460" s="0" t="n">
        <f aca="false">E3460*E3460</f>
        <v>0</v>
      </c>
      <c r="U3460" s="0" t="n">
        <f aca="false">F3460*F3460</f>
        <v>0.25</v>
      </c>
      <c r="V3460" s="0" t="n">
        <f aca="false">G3460*G3460</f>
        <v>0.0625</v>
      </c>
      <c r="W3460" s="0" t="n">
        <f aca="false">H3460*H3460</f>
        <v>1</v>
      </c>
      <c r="X3460" s="0" t="n">
        <f aca="false">SUMPRODUCT(I3460:W3460,_XtX!$B$96:$P$96)</f>
        <v>48.5404696637427</v>
      </c>
      <c r="Y3460" s="0" t="n">
        <f aca="false">SUMPRODUCT(MMULT(I3460:W3460,_XtX!$B$78:$P$92),I3460:W3460)</f>
        <v>0.457596628289474</v>
      </c>
      <c r="Z3460" s="0" t="n">
        <f aca="false">04_回帰ANOVA!$K$19*04_回帰ANOVA!$K$14*SQRT(1+Y3460)</f>
        <v>1.57368233664366</v>
      </c>
      <c r="AA3460" s="0" t="n">
        <f aca="false">X3460-Z3460</f>
        <v>46.966787327099</v>
      </c>
      <c r="AB3460" s="0" t="n">
        <f aca="false">X3460+Z3460</f>
        <v>50.1141520003863</v>
      </c>
      <c r="AC3460" s="54" t="b">
        <f aca="false">AND(E3460&gt;=01_因子設定!$L$5-0.000000001,E3460&lt;=01_因子設定!$M$5+0.000000001,F3460&gt;=01_因子設定!$L$6-0.000000001,F3460&lt;=01_因子設定!$M$6+0.000000001,G3460&gt;=01_因子設定!$L$7-0.000000001,G3460&lt;=01_因子設定!$M$7+0.000000001,H3460&gt;=01_因子設定!$L$8-0.000000001,H3460&lt;=01_因子設定!$M$8+0.000000001,IF(01_因子設定!$B$20="Box-Behnken",E3460^2+F3460^2+G3460^2+H3460^2&lt;=2+0.000000001,TRUE()))</f>
        <v>1</v>
      </c>
      <c r="AD3460" s="55" t="n">
        <f aca="false">IF(AC3460,IF(01_因子設定!$B$13="最大化",AA3460-01_因子設定!$B$14,IF(01_因子設定!$B$13="最小化",01_因子設定!$B$15-AB3460,MIN(AA3460-01_因子設定!$B$14,01_因子設定!$B$15-AB3460))),-1E+030)</f>
        <v>0.466787327099006</v>
      </c>
      <c r="AE3460" s="55" t="n">
        <f aca="false">IF(AC3460,IF(01_因子設定!$B$13="最大化",X3460,IF(01_因子設定!$B$13="最小化",-X3460,-ABS(X3460-01_因子設定!$B$16))),-1E+030)</f>
        <v>48.5404696637427</v>
      </c>
      <c r="AF3460" s="55" t="n">
        <f aca="false">AD3460+ROW()*0.000000001</f>
        <v>0.466790787099006</v>
      </c>
      <c r="AG3460" s="55" t="n">
        <f aca="false">AE3460+ROW()*0.000000001</f>
        <v>48.5404731237427</v>
      </c>
    </row>
    <row r="3461" customFormat="false" ht="15" hidden="false" customHeight="false" outlineLevel="0" collapsed="false">
      <c r="A3461" s="0" t="n">
        <v>4</v>
      </c>
      <c r="B3461" s="0" t="n">
        <v>6</v>
      </c>
      <c r="C3461" s="0" t="n">
        <v>6</v>
      </c>
      <c r="D3461" s="0" t="n">
        <v>0</v>
      </c>
      <c r="E3461" s="0" t="n">
        <f aca="false">-1+A3461*0.25</f>
        <v>0</v>
      </c>
      <c r="F3461" s="0" t="n">
        <f aca="false">-1+B3461*0.25</f>
        <v>0.5</v>
      </c>
      <c r="G3461" s="0" t="n">
        <f aca="false">-1+C3461*0.25</f>
        <v>0.5</v>
      </c>
      <c r="H3461" s="0" t="n">
        <f aca="false">-1+D3461*0.25</f>
        <v>-1</v>
      </c>
      <c r="I3461" s="0" t="n">
        <f aca="false">1</f>
        <v>1</v>
      </c>
      <c r="J3461" s="0" t="n">
        <f aca="false">E3461</f>
        <v>0</v>
      </c>
      <c r="K3461" s="0" t="n">
        <f aca="false">F3461</f>
        <v>0.5</v>
      </c>
      <c r="L3461" s="0" t="n">
        <f aca="false">G3461</f>
        <v>0.5</v>
      </c>
      <c r="M3461" s="0" t="n">
        <f aca="false">H3461</f>
        <v>-1</v>
      </c>
      <c r="N3461" s="0" t="n">
        <f aca="false">E3461*F3461</f>
        <v>0</v>
      </c>
      <c r="O3461" s="0" t="n">
        <f aca="false">E3461*G3461</f>
        <v>0</v>
      </c>
      <c r="P3461" s="0" t="n">
        <f aca="false">E3461*H3461</f>
        <v>-0</v>
      </c>
      <c r="Q3461" s="0" t="n">
        <f aca="false">F3461*G3461</f>
        <v>0.25</v>
      </c>
      <c r="R3461" s="0" t="n">
        <f aca="false">F3461*H3461</f>
        <v>-0.5</v>
      </c>
      <c r="S3461" s="0" t="n">
        <f aca="false">G3461*H3461</f>
        <v>-0.5</v>
      </c>
      <c r="T3461" s="0" t="n">
        <f aca="false">E3461*E3461</f>
        <v>0</v>
      </c>
      <c r="U3461" s="0" t="n">
        <f aca="false">F3461*F3461</f>
        <v>0.25</v>
      </c>
      <c r="V3461" s="0" t="n">
        <f aca="false">G3461*G3461</f>
        <v>0.25</v>
      </c>
      <c r="W3461" s="0" t="n">
        <f aca="false">H3461*H3461</f>
        <v>1</v>
      </c>
      <c r="X3461" s="0" t="n">
        <f aca="false">SUMPRODUCT(I3461:W3461,_XtX!$B$96:$P$96)</f>
        <v>47.8831688596491</v>
      </c>
      <c r="Y3461" s="0" t="n">
        <f aca="false">SUMPRODUCT(MMULT(I3461:W3461,_XtX!$B$78:$P$92),I3461:W3461)</f>
        <v>0.441954495614035</v>
      </c>
      <c r="Z3461" s="0" t="n">
        <f aca="false">04_回帰ANOVA!$K$19*04_回帰ANOVA!$K$14*SQRT(1+Y3461)</f>
        <v>1.56521560968066</v>
      </c>
      <c r="AA3461" s="0" t="n">
        <f aca="false">X3461-Z3461</f>
        <v>46.3179532499684</v>
      </c>
      <c r="AB3461" s="0" t="n">
        <f aca="false">X3461+Z3461</f>
        <v>49.4483844693298</v>
      </c>
      <c r="AC3461" s="54" t="b">
        <f aca="false">AND(E3461&gt;=01_因子設定!$L$5-0.000000001,E3461&lt;=01_因子設定!$M$5+0.000000001,F3461&gt;=01_因子設定!$L$6-0.000000001,F3461&lt;=01_因子設定!$M$6+0.000000001,G3461&gt;=01_因子設定!$L$7-0.000000001,G3461&lt;=01_因子設定!$M$7+0.000000001,H3461&gt;=01_因子設定!$L$8-0.000000001,H3461&lt;=01_因子設定!$M$8+0.000000001,IF(01_因子設定!$B$20="Box-Behnken",E3461^2+F3461^2+G3461^2+H3461^2&lt;=2+0.000000001,TRUE()))</f>
        <v>1</v>
      </c>
      <c r="AD3461" s="55" t="n">
        <f aca="false">IF(AC3461,IF(01_因子設定!$B$13="最大化",AA3461-01_因子設定!$B$14,IF(01_因子設定!$B$13="最小化",01_因子設定!$B$15-AB3461,MIN(AA3461-01_因子設定!$B$14,01_因子設定!$B$15-AB3461))),-1E+030)</f>
        <v>-0.182046750031567</v>
      </c>
      <c r="AE3461" s="55" t="n">
        <f aca="false">IF(AC3461,IF(01_因子設定!$B$13="最大化",X3461,IF(01_因子設定!$B$13="最小化",-X3461,-ABS(X3461-01_因子設定!$B$16))),-1E+030)</f>
        <v>47.8831688596491</v>
      </c>
      <c r="AF3461" s="55" t="n">
        <f aca="false">AD3461+ROW()*0.000000001</f>
        <v>-0.182043289031567</v>
      </c>
      <c r="AG3461" s="55" t="n">
        <f aca="false">AE3461+ROW()*0.000000001</f>
        <v>47.8831723206491</v>
      </c>
    </row>
    <row r="3462" customFormat="false" ht="15" hidden="false" customHeight="false" outlineLevel="0" collapsed="false">
      <c r="A3462" s="0" t="n">
        <v>4</v>
      </c>
      <c r="B3462" s="0" t="n">
        <v>6</v>
      </c>
      <c r="C3462" s="0" t="n">
        <v>6</v>
      </c>
      <c r="D3462" s="0" t="n">
        <v>1</v>
      </c>
      <c r="E3462" s="0" t="n">
        <f aca="false">-1+A3462*0.25</f>
        <v>0</v>
      </c>
      <c r="F3462" s="0" t="n">
        <f aca="false">-1+B3462*0.25</f>
        <v>0.5</v>
      </c>
      <c r="G3462" s="0" t="n">
        <f aca="false">-1+C3462*0.25</f>
        <v>0.5</v>
      </c>
      <c r="H3462" s="0" t="n">
        <f aca="false">-1+D3462*0.25</f>
        <v>-0.75</v>
      </c>
      <c r="I3462" s="0" t="n">
        <f aca="false">1</f>
        <v>1</v>
      </c>
      <c r="J3462" s="0" t="n">
        <f aca="false">E3462</f>
        <v>0</v>
      </c>
      <c r="K3462" s="0" t="n">
        <f aca="false">F3462</f>
        <v>0.5</v>
      </c>
      <c r="L3462" s="0" t="n">
        <f aca="false">G3462</f>
        <v>0.5</v>
      </c>
      <c r="M3462" s="0" t="n">
        <f aca="false">H3462</f>
        <v>-0.75</v>
      </c>
      <c r="N3462" s="0" t="n">
        <f aca="false">E3462*F3462</f>
        <v>0</v>
      </c>
      <c r="O3462" s="0" t="n">
        <f aca="false">E3462*G3462</f>
        <v>0</v>
      </c>
      <c r="P3462" s="0" t="n">
        <f aca="false">E3462*H3462</f>
        <v>-0</v>
      </c>
      <c r="Q3462" s="0" t="n">
        <f aca="false">F3462*G3462</f>
        <v>0.25</v>
      </c>
      <c r="R3462" s="0" t="n">
        <f aca="false">F3462*H3462</f>
        <v>-0.375</v>
      </c>
      <c r="S3462" s="0" t="n">
        <f aca="false">G3462*H3462</f>
        <v>-0.375</v>
      </c>
      <c r="T3462" s="0" t="n">
        <f aca="false">E3462*E3462</f>
        <v>0</v>
      </c>
      <c r="U3462" s="0" t="n">
        <f aca="false">F3462*F3462</f>
        <v>0.25</v>
      </c>
      <c r="V3462" s="0" t="n">
        <f aca="false">G3462*G3462</f>
        <v>0.25</v>
      </c>
      <c r="W3462" s="0" t="n">
        <f aca="false">H3462*H3462</f>
        <v>0.5625</v>
      </c>
      <c r="X3462" s="0" t="n">
        <f aca="false">SUMPRODUCT(I3462:W3462,_XtX!$B$96:$P$96)</f>
        <v>48.1612573099415</v>
      </c>
      <c r="Y3462" s="0" t="n">
        <f aca="false">SUMPRODUCT(MMULT(I3462:W3462,_XtX!$B$78:$P$92),I3462:W3462)</f>
        <v>0.21305052997076</v>
      </c>
      <c r="Z3462" s="0" t="n">
        <f aca="false">04_回帰ANOVA!$K$19*04_回帰ANOVA!$K$14*SQRT(1+Y3462)</f>
        <v>1.43561450835061</v>
      </c>
      <c r="AA3462" s="0" t="n">
        <f aca="false">X3462-Z3462</f>
        <v>46.7256428015909</v>
      </c>
      <c r="AB3462" s="0" t="n">
        <f aca="false">X3462+Z3462</f>
        <v>49.5968718182921</v>
      </c>
      <c r="AC3462" s="54" t="b">
        <f aca="false">AND(E3462&gt;=01_因子設定!$L$5-0.000000001,E3462&lt;=01_因子設定!$M$5+0.000000001,F3462&gt;=01_因子設定!$L$6-0.000000001,F3462&lt;=01_因子設定!$M$6+0.000000001,G3462&gt;=01_因子設定!$L$7-0.000000001,G3462&lt;=01_因子設定!$M$7+0.000000001,H3462&gt;=01_因子設定!$L$8-0.000000001,H3462&lt;=01_因子設定!$M$8+0.000000001,IF(01_因子設定!$B$20="Box-Behnken",E3462^2+F3462^2+G3462^2+H3462^2&lt;=2+0.000000001,TRUE()))</f>
        <v>1</v>
      </c>
      <c r="AD3462" s="55" t="n">
        <f aca="false">IF(AC3462,IF(01_因子設定!$B$13="最大化",AA3462-01_因子設定!$B$14,IF(01_因子設定!$B$13="最小化",01_因子設定!$B$15-AB3462,MIN(AA3462-01_因子設定!$B$14,01_因子設定!$B$15-AB3462))),-1E+030)</f>
        <v>0.225642801590872</v>
      </c>
      <c r="AE3462" s="55" t="n">
        <f aca="false">IF(AC3462,IF(01_因子設定!$B$13="最大化",X3462,IF(01_因子設定!$B$13="最小化",-X3462,-ABS(X3462-01_因子設定!$B$16))),-1E+030)</f>
        <v>48.1612573099415</v>
      </c>
      <c r="AF3462" s="55" t="n">
        <f aca="false">AD3462+ROW()*0.000000001</f>
        <v>0.225646263590872</v>
      </c>
      <c r="AG3462" s="55" t="n">
        <f aca="false">AE3462+ROW()*0.000000001</f>
        <v>48.1612607719415</v>
      </c>
    </row>
    <row r="3463" customFormat="false" ht="15" hidden="false" customHeight="false" outlineLevel="0" collapsed="false">
      <c r="A3463" s="0" t="n">
        <v>4</v>
      </c>
      <c r="B3463" s="0" t="n">
        <v>6</v>
      </c>
      <c r="C3463" s="0" t="n">
        <v>6</v>
      </c>
      <c r="D3463" s="0" t="n">
        <v>2</v>
      </c>
      <c r="E3463" s="0" t="n">
        <f aca="false">-1+A3463*0.25</f>
        <v>0</v>
      </c>
      <c r="F3463" s="0" t="n">
        <f aca="false">-1+B3463*0.25</f>
        <v>0.5</v>
      </c>
      <c r="G3463" s="0" t="n">
        <f aca="false">-1+C3463*0.25</f>
        <v>0.5</v>
      </c>
      <c r="H3463" s="0" t="n">
        <f aca="false">-1+D3463*0.25</f>
        <v>-0.5</v>
      </c>
      <c r="I3463" s="0" t="n">
        <f aca="false">1</f>
        <v>1</v>
      </c>
      <c r="J3463" s="0" t="n">
        <f aca="false">E3463</f>
        <v>0</v>
      </c>
      <c r="K3463" s="0" t="n">
        <f aca="false">F3463</f>
        <v>0.5</v>
      </c>
      <c r="L3463" s="0" t="n">
        <f aca="false">G3463</f>
        <v>0.5</v>
      </c>
      <c r="M3463" s="0" t="n">
        <f aca="false">H3463</f>
        <v>-0.5</v>
      </c>
      <c r="N3463" s="0" t="n">
        <f aca="false">E3463*F3463</f>
        <v>0</v>
      </c>
      <c r="O3463" s="0" t="n">
        <f aca="false">E3463*G3463</f>
        <v>0</v>
      </c>
      <c r="P3463" s="0" t="n">
        <f aca="false">E3463*H3463</f>
        <v>-0</v>
      </c>
      <c r="Q3463" s="0" t="n">
        <f aca="false">F3463*G3463</f>
        <v>0.25</v>
      </c>
      <c r="R3463" s="0" t="n">
        <f aca="false">F3463*H3463</f>
        <v>-0.25</v>
      </c>
      <c r="S3463" s="0" t="n">
        <f aca="false">G3463*H3463</f>
        <v>-0.25</v>
      </c>
      <c r="T3463" s="0" t="n">
        <f aca="false">E3463*E3463</f>
        <v>0</v>
      </c>
      <c r="U3463" s="0" t="n">
        <f aca="false">F3463*F3463</f>
        <v>0.25</v>
      </c>
      <c r="V3463" s="0" t="n">
        <f aca="false">G3463*G3463</f>
        <v>0.25</v>
      </c>
      <c r="W3463" s="0" t="n">
        <f aca="false">H3463*H3463</f>
        <v>0.25</v>
      </c>
      <c r="X3463" s="0" t="n">
        <f aca="false">SUMPRODUCT(I3463:W3463,_XtX!$B$96:$P$96)</f>
        <v>48.39153874269</v>
      </c>
      <c r="Y3463" s="0" t="n">
        <f aca="false">SUMPRODUCT(MMULT(I3463:W3463,_XtX!$B$78:$P$92),I3463:W3463)</f>
        <v>0.140008223684211</v>
      </c>
      <c r="Z3463" s="0" t="n">
        <f aca="false">04_回帰ANOVA!$K$19*04_回帰ANOVA!$K$14*SQRT(1+Y3463)</f>
        <v>1.39172165492264</v>
      </c>
      <c r="AA3463" s="0" t="n">
        <f aca="false">X3463-Z3463</f>
        <v>46.9998170877674</v>
      </c>
      <c r="AB3463" s="0" t="n">
        <f aca="false">X3463+Z3463</f>
        <v>49.7832603976126</v>
      </c>
      <c r="AC3463" s="54" t="b">
        <f aca="false">AND(E3463&gt;=01_因子設定!$L$5-0.000000001,E3463&lt;=01_因子設定!$M$5+0.000000001,F3463&gt;=01_因子設定!$L$6-0.000000001,F3463&lt;=01_因子設定!$M$6+0.000000001,G3463&gt;=01_因子設定!$L$7-0.000000001,G3463&lt;=01_因子設定!$M$7+0.000000001,H3463&gt;=01_因子設定!$L$8-0.000000001,H3463&lt;=01_因子設定!$M$8+0.000000001,IF(01_因子設定!$B$20="Box-Behnken",E3463^2+F3463^2+G3463^2+H3463^2&lt;=2+0.000000001,TRUE()))</f>
        <v>1</v>
      </c>
      <c r="AD3463" s="55" t="n">
        <f aca="false">IF(AC3463,IF(01_因子設定!$B$13="最大化",AA3463-01_因子設定!$B$14,IF(01_因子設定!$B$13="最小化",01_因子設定!$B$15-AB3463,MIN(AA3463-01_因子設定!$B$14,01_因子設定!$B$15-AB3463))),-1E+030)</f>
        <v>0.499817087767369</v>
      </c>
      <c r="AE3463" s="55" t="n">
        <f aca="false">IF(AC3463,IF(01_因子設定!$B$13="最大化",X3463,IF(01_因子設定!$B$13="最小化",-X3463,-ABS(X3463-01_因子設定!$B$16))),-1E+030)</f>
        <v>48.39153874269</v>
      </c>
      <c r="AF3463" s="55" t="n">
        <f aca="false">AD3463+ROW()*0.000000001</f>
        <v>0.499820550767369</v>
      </c>
      <c r="AG3463" s="55" t="n">
        <f aca="false">AE3463+ROW()*0.000000001</f>
        <v>48.39154220569</v>
      </c>
    </row>
    <row r="3464" customFormat="false" ht="15" hidden="false" customHeight="false" outlineLevel="0" collapsed="false">
      <c r="A3464" s="0" t="n">
        <v>4</v>
      </c>
      <c r="B3464" s="0" t="n">
        <v>6</v>
      </c>
      <c r="C3464" s="0" t="n">
        <v>6</v>
      </c>
      <c r="D3464" s="0" t="n">
        <v>3</v>
      </c>
      <c r="E3464" s="0" t="n">
        <f aca="false">-1+A3464*0.25</f>
        <v>0</v>
      </c>
      <c r="F3464" s="0" t="n">
        <f aca="false">-1+B3464*0.25</f>
        <v>0.5</v>
      </c>
      <c r="G3464" s="0" t="n">
        <f aca="false">-1+C3464*0.25</f>
        <v>0.5</v>
      </c>
      <c r="H3464" s="0" t="n">
        <f aca="false">-1+D3464*0.25</f>
        <v>-0.25</v>
      </c>
      <c r="I3464" s="0" t="n">
        <f aca="false">1</f>
        <v>1</v>
      </c>
      <c r="J3464" s="0" t="n">
        <f aca="false">E3464</f>
        <v>0</v>
      </c>
      <c r="K3464" s="0" t="n">
        <f aca="false">F3464</f>
        <v>0.5</v>
      </c>
      <c r="L3464" s="0" t="n">
        <f aca="false">G3464</f>
        <v>0.5</v>
      </c>
      <c r="M3464" s="0" t="n">
        <f aca="false">H3464</f>
        <v>-0.25</v>
      </c>
      <c r="N3464" s="0" t="n">
        <f aca="false">E3464*F3464</f>
        <v>0</v>
      </c>
      <c r="O3464" s="0" t="n">
        <f aca="false">E3464*G3464</f>
        <v>0</v>
      </c>
      <c r="P3464" s="0" t="n">
        <f aca="false">E3464*H3464</f>
        <v>-0</v>
      </c>
      <c r="Q3464" s="0" t="n">
        <f aca="false">F3464*G3464</f>
        <v>0.25</v>
      </c>
      <c r="R3464" s="0" t="n">
        <f aca="false">F3464*H3464</f>
        <v>-0.125</v>
      </c>
      <c r="S3464" s="0" t="n">
        <f aca="false">G3464*H3464</f>
        <v>-0.125</v>
      </c>
      <c r="T3464" s="0" t="n">
        <f aca="false">E3464*E3464</f>
        <v>0</v>
      </c>
      <c r="U3464" s="0" t="n">
        <f aca="false">F3464*F3464</f>
        <v>0.25</v>
      </c>
      <c r="V3464" s="0" t="n">
        <f aca="false">G3464*G3464</f>
        <v>0.25</v>
      </c>
      <c r="W3464" s="0" t="n">
        <f aca="false">H3464*H3464</f>
        <v>0.0625</v>
      </c>
      <c r="X3464" s="0" t="n">
        <f aca="false">SUMPRODUCT(I3464:W3464,_XtX!$B$96:$P$96)</f>
        <v>48.5740131578947</v>
      </c>
      <c r="Y3464" s="0" t="n">
        <f aca="false">SUMPRODUCT(MMULT(I3464:W3464,_XtX!$B$78:$P$92),I3464:W3464)</f>
        <v>0.132367050438597</v>
      </c>
      <c r="Z3464" s="0" t="n">
        <f aca="false">04_回帰ANOVA!$K$19*04_回帰ANOVA!$K$14*SQRT(1+Y3464)</f>
        <v>1.38704964208329</v>
      </c>
      <c r="AA3464" s="0" t="n">
        <f aca="false">X3464-Z3464</f>
        <v>47.1869635158114</v>
      </c>
      <c r="AB3464" s="0" t="n">
        <f aca="false">X3464+Z3464</f>
        <v>49.961062799978</v>
      </c>
      <c r="AC3464" s="54" t="b">
        <f aca="false">AND(E3464&gt;=01_因子設定!$L$5-0.000000001,E3464&lt;=01_因子設定!$M$5+0.000000001,F3464&gt;=01_因子設定!$L$6-0.000000001,F3464&lt;=01_因子設定!$M$6+0.000000001,G3464&gt;=01_因子設定!$L$7-0.000000001,G3464&lt;=01_因子設定!$M$7+0.000000001,H3464&gt;=01_因子設定!$L$8-0.000000001,H3464&lt;=01_因子設定!$M$8+0.000000001,IF(01_因子設定!$B$20="Box-Behnken",E3464^2+F3464^2+G3464^2+H3464^2&lt;=2+0.000000001,TRUE()))</f>
        <v>1</v>
      </c>
      <c r="AD3464" s="55" t="n">
        <f aca="false">IF(AC3464,IF(01_因子設定!$B$13="最大化",AA3464-01_因子設定!$B$14,IF(01_因子設定!$B$13="最小化",01_因子設定!$B$15-AB3464,MIN(AA3464-01_因子設定!$B$14,01_因子設定!$B$15-AB3464))),-1E+030)</f>
        <v>0.686963515811385</v>
      </c>
      <c r="AE3464" s="55" t="n">
        <f aca="false">IF(AC3464,IF(01_因子設定!$B$13="最大化",X3464,IF(01_因子設定!$B$13="最小化",-X3464,-ABS(X3464-01_因子設定!$B$16))),-1E+030)</f>
        <v>48.5740131578947</v>
      </c>
      <c r="AF3464" s="55" t="n">
        <f aca="false">AD3464+ROW()*0.000000001</f>
        <v>0.686966979811385</v>
      </c>
      <c r="AG3464" s="55" t="n">
        <f aca="false">AE3464+ROW()*0.000000001</f>
        <v>48.5740166218947</v>
      </c>
    </row>
    <row r="3465" customFormat="false" ht="15" hidden="false" customHeight="false" outlineLevel="0" collapsed="false">
      <c r="A3465" s="0" t="n">
        <v>4</v>
      </c>
      <c r="B3465" s="0" t="n">
        <v>6</v>
      </c>
      <c r="C3465" s="0" t="n">
        <v>6</v>
      </c>
      <c r="D3465" s="0" t="n">
        <v>4</v>
      </c>
      <c r="E3465" s="0" t="n">
        <f aca="false">-1+A3465*0.25</f>
        <v>0</v>
      </c>
      <c r="F3465" s="0" t="n">
        <f aca="false">-1+B3465*0.25</f>
        <v>0.5</v>
      </c>
      <c r="G3465" s="0" t="n">
        <f aca="false">-1+C3465*0.25</f>
        <v>0.5</v>
      </c>
      <c r="H3465" s="0" t="n">
        <f aca="false">-1+D3465*0.25</f>
        <v>0</v>
      </c>
      <c r="I3465" s="0" t="n">
        <f aca="false">1</f>
        <v>1</v>
      </c>
      <c r="J3465" s="0" t="n">
        <f aca="false">E3465</f>
        <v>0</v>
      </c>
      <c r="K3465" s="0" t="n">
        <f aca="false">F3465</f>
        <v>0.5</v>
      </c>
      <c r="L3465" s="0" t="n">
        <f aca="false">G3465</f>
        <v>0.5</v>
      </c>
      <c r="M3465" s="0" t="n">
        <f aca="false">H3465</f>
        <v>0</v>
      </c>
      <c r="N3465" s="0" t="n">
        <f aca="false">E3465*F3465</f>
        <v>0</v>
      </c>
      <c r="O3465" s="0" t="n">
        <f aca="false">E3465*G3465</f>
        <v>0</v>
      </c>
      <c r="P3465" s="0" t="n">
        <f aca="false">E3465*H3465</f>
        <v>0</v>
      </c>
      <c r="Q3465" s="0" t="n">
        <f aca="false">F3465*G3465</f>
        <v>0.25</v>
      </c>
      <c r="R3465" s="0" t="n">
        <f aca="false">F3465*H3465</f>
        <v>0</v>
      </c>
      <c r="S3465" s="0" t="n">
        <f aca="false">G3465*H3465</f>
        <v>0</v>
      </c>
      <c r="T3465" s="0" t="n">
        <f aca="false">E3465*E3465</f>
        <v>0</v>
      </c>
      <c r="U3465" s="0" t="n">
        <f aca="false">F3465*F3465</f>
        <v>0.25</v>
      </c>
      <c r="V3465" s="0" t="n">
        <f aca="false">G3465*G3465</f>
        <v>0.25</v>
      </c>
      <c r="W3465" s="0" t="n">
        <f aca="false">H3465*H3465</f>
        <v>0</v>
      </c>
      <c r="X3465" s="0" t="n">
        <f aca="false">SUMPRODUCT(I3465:W3465,_XtX!$B$96:$P$96)</f>
        <v>48.7086805555555</v>
      </c>
      <c r="Y3465" s="0" t="n">
        <f aca="false">SUMPRODUCT(MMULT(I3465:W3465,_XtX!$B$78:$P$92),I3465:W3465)</f>
        <v>0.135850694444444</v>
      </c>
      <c r="Z3465" s="0" t="n">
        <f aca="false">04_回帰ANOVA!$K$19*04_回帰ANOVA!$K$14*SQRT(1+Y3465)</f>
        <v>1.38918158179389</v>
      </c>
      <c r="AA3465" s="0" t="n">
        <f aca="false">X3465-Z3465</f>
        <v>47.3194989737616</v>
      </c>
      <c r="AB3465" s="0" t="n">
        <f aca="false">X3465+Z3465</f>
        <v>50.0978621373494</v>
      </c>
      <c r="AC3465" s="54" t="b">
        <f aca="false">AND(E3465&gt;=01_因子設定!$L$5-0.000000001,E3465&lt;=01_因子設定!$M$5+0.000000001,F3465&gt;=01_因子設定!$L$6-0.000000001,F3465&lt;=01_因子設定!$M$6+0.000000001,G3465&gt;=01_因子設定!$L$7-0.000000001,G3465&lt;=01_因子設定!$M$7+0.000000001,H3465&gt;=01_因子設定!$L$8-0.000000001,H3465&lt;=01_因子設定!$M$8+0.000000001,IF(01_因子設定!$B$20="Box-Behnken",E3465^2+F3465^2+G3465^2+H3465^2&lt;=2+0.000000001,TRUE()))</f>
        <v>1</v>
      </c>
      <c r="AD3465" s="55" t="n">
        <f aca="false">IF(AC3465,IF(01_因子設定!$B$13="最大化",AA3465-01_因子設定!$B$14,IF(01_因子設定!$B$13="最小化",01_因子設定!$B$15-AB3465,MIN(AA3465-01_因子設定!$B$14,01_因子設定!$B$15-AB3465))),-1E+030)</f>
        <v>0.819498973761597</v>
      </c>
      <c r="AE3465" s="55" t="n">
        <f aca="false">IF(AC3465,IF(01_因子設定!$B$13="最大化",X3465,IF(01_因子設定!$B$13="最小化",-X3465,-ABS(X3465-01_因子設定!$B$16))),-1E+030)</f>
        <v>48.7086805555555</v>
      </c>
      <c r="AF3465" s="55" t="n">
        <f aca="false">AD3465+ROW()*0.000000001</f>
        <v>0.819502438761597</v>
      </c>
      <c r="AG3465" s="55" t="n">
        <f aca="false">AE3465+ROW()*0.000000001</f>
        <v>48.7086840205555</v>
      </c>
    </row>
    <row r="3466" customFormat="false" ht="15" hidden="false" customHeight="false" outlineLevel="0" collapsed="false">
      <c r="A3466" s="0" t="n">
        <v>4</v>
      </c>
      <c r="B3466" s="0" t="n">
        <v>6</v>
      </c>
      <c r="C3466" s="0" t="n">
        <v>6</v>
      </c>
      <c r="D3466" s="0" t="n">
        <v>5</v>
      </c>
      <c r="E3466" s="0" t="n">
        <f aca="false">-1+A3466*0.25</f>
        <v>0</v>
      </c>
      <c r="F3466" s="0" t="n">
        <f aca="false">-1+B3466*0.25</f>
        <v>0.5</v>
      </c>
      <c r="G3466" s="0" t="n">
        <f aca="false">-1+C3466*0.25</f>
        <v>0.5</v>
      </c>
      <c r="H3466" s="0" t="n">
        <f aca="false">-1+D3466*0.25</f>
        <v>0.25</v>
      </c>
      <c r="I3466" s="0" t="n">
        <f aca="false">1</f>
        <v>1</v>
      </c>
      <c r="J3466" s="0" t="n">
        <f aca="false">E3466</f>
        <v>0</v>
      </c>
      <c r="K3466" s="0" t="n">
        <f aca="false">F3466</f>
        <v>0.5</v>
      </c>
      <c r="L3466" s="0" t="n">
        <f aca="false">G3466</f>
        <v>0.5</v>
      </c>
      <c r="M3466" s="0" t="n">
        <f aca="false">H3466</f>
        <v>0.25</v>
      </c>
      <c r="N3466" s="0" t="n">
        <f aca="false">E3466*F3466</f>
        <v>0</v>
      </c>
      <c r="O3466" s="0" t="n">
        <f aca="false">E3466*G3466</f>
        <v>0</v>
      </c>
      <c r="P3466" s="0" t="n">
        <f aca="false">E3466*H3466</f>
        <v>0</v>
      </c>
      <c r="Q3466" s="0" t="n">
        <f aca="false">F3466*G3466</f>
        <v>0.25</v>
      </c>
      <c r="R3466" s="0" t="n">
        <f aca="false">F3466*H3466</f>
        <v>0.125</v>
      </c>
      <c r="S3466" s="0" t="n">
        <f aca="false">G3466*H3466</f>
        <v>0.125</v>
      </c>
      <c r="T3466" s="0" t="n">
        <f aca="false">E3466*E3466</f>
        <v>0</v>
      </c>
      <c r="U3466" s="0" t="n">
        <f aca="false">F3466*F3466</f>
        <v>0.25</v>
      </c>
      <c r="V3466" s="0" t="n">
        <f aca="false">G3466*G3466</f>
        <v>0.25</v>
      </c>
      <c r="W3466" s="0" t="n">
        <f aca="false">H3466*H3466</f>
        <v>0.0625</v>
      </c>
      <c r="X3466" s="0" t="n">
        <f aca="false">SUMPRODUCT(I3466:W3466,_XtX!$B$96:$P$96)</f>
        <v>48.7955409356725</v>
      </c>
      <c r="Y3466" s="0" t="n">
        <f aca="false">SUMPRODUCT(MMULT(I3466:W3466,_XtX!$B$78:$P$92),I3466:W3466)</f>
        <v>0.132367050438597</v>
      </c>
      <c r="Z3466" s="0" t="n">
        <f aca="false">04_回帰ANOVA!$K$19*04_回帰ANOVA!$K$14*SQRT(1+Y3466)</f>
        <v>1.38704964208329</v>
      </c>
      <c r="AA3466" s="0" t="n">
        <f aca="false">X3466-Z3466</f>
        <v>47.4084912935892</v>
      </c>
      <c r="AB3466" s="0" t="n">
        <f aca="false">X3466+Z3466</f>
        <v>50.1825905777557</v>
      </c>
      <c r="AC3466" s="54" t="b">
        <f aca="false">AND(E3466&gt;=01_因子設定!$L$5-0.000000001,E3466&lt;=01_因子設定!$M$5+0.000000001,F3466&gt;=01_因子設定!$L$6-0.000000001,F3466&lt;=01_因子設定!$M$6+0.000000001,G3466&gt;=01_因子設定!$L$7-0.000000001,G3466&lt;=01_因子設定!$M$7+0.000000001,H3466&gt;=01_因子設定!$L$8-0.000000001,H3466&lt;=01_因子設定!$M$8+0.000000001,IF(01_因子設定!$B$20="Box-Behnken",E3466^2+F3466^2+G3466^2+H3466^2&lt;=2+0.000000001,TRUE()))</f>
        <v>1</v>
      </c>
      <c r="AD3466" s="55" t="n">
        <f aca="false">IF(AC3466,IF(01_因子設定!$B$13="最大化",AA3466-01_因子設定!$B$14,IF(01_因子設定!$B$13="最小化",01_因子設定!$B$15-AB3466,MIN(AA3466-01_因子設定!$B$14,01_因子設定!$B$15-AB3466))),-1E+030)</f>
        <v>0.908491293589158</v>
      </c>
      <c r="AE3466" s="55" t="n">
        <f aca="false">IF(AC3466,IF(01_因子設定!$B$13="最大化",X3466,IF(01_因子設定!$B$13="最小化",-X3466,-ABS(X3466-01_因子設定!$B$16))),-1E+030)</f>
        <v>48.7955409356725</v>
      </c>
      <c r="AF3466" s="55" t="n">
        <f aca="false">AD3466+ROW()*0.000000001</f>
        <v>0.908494759589158</v>
      </c>
      <c r="AG3466" s="55" t="n">
        <f aca="false">AE3466+ROW()*0.000000001</f>
        <v>48.7955444016725</v>
      </c>
    </row>
    <row r="3467" customFormat="false" ht="15" hidden="false" customHeight="false" outlineLevel="0" collapsed="false">
      <c r="A3467" s="0" t="n">
        <v>4</v>
      </c>
      <c r="B3467" s="0" t="n">
        <v>6</v>
      </c>
      <c r="C3467" s="0" t="n">
        <v>6</v>
      </c>
      <c r="D3467" s="0" t="n">
        <v>6</v>
      </c>
      <c r="E3467" s="0" t="n">
        <f aca="false">-1+A3467*0.25</f>
        <v>0</v>
      </c>
      <c r="F3467" s="0" t="n">
        <f aca="false">-1+B3467*0.25</f>
        <v>0.5</v>
      </c>
      <c r="G3467" s="0" t="n">
        <f aca="false">-1+C3467*0.25</f>
        <v>0.5</v>
      </c>
      <c r="H3467" s="0" t="n">
        <f aca="false">-1+D3467*0.25</f>
        <v>0.5</v>
      </c>
      <c r="I3467" s="0" t="n">
        <f aca="false">1</f>
        <v>1</v>
      </c>
      <c r="J3467" s="0" t="n">
        <f aca="false">E3467</f>
        <v>0</v>
      </c>
      <c r="K3467" s="0" t="n">
        <f aca="false">F3467</f>
        <v>0.5</v>
      </c>
      <c r="L3467" s="0" t="n">
        <f aca="false">G3467</f>
        <v>0.5</v>
      </c>
      <c r="M3467" s="0" t="n">
        <f aca="false">H3467</f>
        <v>0.5</v>
      </c>
      <c r="N3467" s="0" t="n">
        <f aca="false">E3467*F3467</f>
        <v>0</v>
      </c>
      <c r="O3467" s="0" t="n">
        <f aca="false">E3467*G3467</f>
        <v>0</v>
      </c>
      <c r="P3467" s="0" t="n">
        <f aca="false">E3467*H3467</f>
        <v>0</v>
      </c>
      <c r="Q3467" s="0" t="n">
        <f aca="false">F3467*G3467</f>
        <v>0.25</v>
      </c>
      <c r="R3467" s="0" t="n">
        <f aca="false">F3467*H3467</f>
        <v>0.25</v>
      </c>
      <c r="S3467" s="0" t="n">
        <f aca="false">G3467*H3467</f>
        <v>0.25</v>
      </c>
      <c r="T3467" s="0" t="n">
        <f aca="false">E3467*E3467</f>
        <v>0</v>
      </c>
      <c r="U3467" s="0" t="n">
        <f aca="false">F3467*F3467</f>
        <v>0.25</v>
      </c>
      <c r="V3467" s="0" t="n">
        <f aca="false">G3467*G3467</f>
        <v>0.25</v>
      </c>
      <c r="W3467" s="0" t="n">
        <f aca="false">H3467*H3467</f>
        <v>0.25</v>
      </c>
      <c r="X3467" s="0" t="n">
        <f aca="false">SUMPRODUCT(I3467:W3467,_XtX!$B$96:$P$96)</f>
        <v>48.8345942982456</v>
      </c>
      <c r="Y3467" s="0" t="n">
        <f aca="false">SUMPRODUCT(MMULT(I3467:W3467,_XtX!$B$78:$P$92),I3467:W3467)</f>
        <v>0.140008223684211</v>
      </c>
      <c r="Z3467" s="0" t="n">
        <f aca="false">04_回帰ANOVA!$K$19*04_回帰ANOVA!$K$14*SQRT(1+Y3467)</f>
        <v>1.39172165492264</v>
      </c>
      <c r="AA3467" s="0" t="n">
        <f aca="false">X3467-Z3467</f>
        <v>47.4428726433229</v>
      </c>
      <c r="AB3467" s="0" t="n">
        <f aca="false">X3467+Z3467</f>
        <v>50.2263159531682</v>
      </c>
      <c r="AC3467" s="54" t="b">
        <f aca="false">AND(E3467&gt;=01_因子設定!$L$5-0.000000001,E3467&lt;=01_因子設定!$M$5+0.000000001,F3467&gt;=01_因子設定!$L$6-0.000000001,F3467&lt;=01_因子設定!$M$6+0.000000001,G3467&gt;=01_因子設定!$L$7-0.000000001,G3467&lt;=01_因子設定!$M$7+0.000000001,H3467&gt;=01_因子設定!$L$8-0.000000001,H3467&lt;=01_因子設定!$M$8+0.000000001,IF(01_因子設定!$B$20="Box-Behnken",E3467^2+F3467^2+G3467^2+H3467^2&lt;=2+0.000000001,TRUE()))</f>
        <v>1</v>
      </c>
      <c r="AD3467" s="55" t="n">
        <f aca="false">IF(AC3467,IF(01_因子設定!$B$13="最大化",AA3467-01_因子設定!$B$14,IF(01_因子設定!$B$13="最小化",01_因子設定!$B$15-AB3467,MIN(AA3467-01_因子設定!$B$14,01_因子設定!$B$15-AB3467))),-1E+030)</f>
        <v>0.942872643322922</v>
      </c>
      <c r="AE3467" s="55" t="n">
        <f aca="false">IF(AC3467,IF(01_因子設定!$B$13="最大化",X3467,IF(01_因子設定!$B$13="最小化",-X3467,-ABS(X3467-01_因子設定!$B$16))),-1E+030)</f>
        <v>48.8345942982456</v>
      </c>
      <c r="AF3467" s="55" t="n">
        <f aca="false">AD3467+ROW()*0.000000001</f>
        <v>0.942876110322922</v>
      </c>
      <c r="AG3467" s="55" t="n">
        <f aca="false">AE3467+ROW()*0.000000001</f>
        <v>48.8345977652456</v>
      </c>
    </row>
    <row r="3468" customFormat="false" ht="15" hidden="false" customHeight="false" outlineLevel="0" collapsed="false">
      <c r="A3468" s="0" t="n">
        <v>4</v>
      </c>
      <c r="B3468" s="0" t="n">
        <v>6</v>
      </c>
      <c r="C3468" s="0" t="n">
        <v>6</v>
      </c>
      <c r="D3468" s="0" t="n">
        <v>7</v>
      </c>
      <c r="E3468" s="0" t="n">
        <f aca="false">-1+A3468*0.25</f>
        <v>0</v>
      </c>
      <c r="F3468" s="0" t="n">
        <f aca="false">-1+B3468*0.25</f>
        <v>0.5</v>
      </c>
      <c r="G3468" s="0" t="n">
        <f aca="false">-1+C3468*0.25</f>
        <v>0.5</v>
      </c>
      <c r="H3468" s="0" t="n">
        <f aca="false">-1+D3468*0.25</f>
        <v>0.75</v>
      </c>
      <c r="I3468" s="0" t="n">
        <f aca="false">1</f>
        <v>1</v>
      </c>
      <c r="J3468" s="0" t="n">
        <f aca="false">E3468</f>
        <v>0</v>
      </c>
      <c r="K3468" s="0" t="n">
        <f aca="false">F3468</f>
        <v>0.5</v>
      </c>
      <c r="L3468" s="0" t="n">
        <f aca="false">G3468</f>
        <v>0.5</v>
      </c>
      <c r="M3468" s="0" t="n">
        <f aca="false">H3468</f>
        <v>0.75</v>
      </c>
      <c r="N3468" s="0" t="n">
        <f aca="false">E3468*F3468</f>
        <v>0</v>
      </c>
      <c r="O3468" s="0" t="n">
        <f aca="false">E3468*G3468</f>
        <v>0</v>
      </c>
      <c r="P3468" s="0" t="n">
        <f aca="false">E3468*H3468</f>
        <v>0</v>
      </c>
      <c r="Q3468" s="0" t="n">
        <f aca="false">F3468*G3468</f>
        <v>0.25</v>
      </c>
      <c r="R3468" s="0" t="n">
        <f aca="false">F3468*H3468</f>
        <v>0.375</v>
      </c>
      <c r="S3468" s="0" t="n">
        <f aca="false">G3468*H3468</f>
        <v>0.375</v>
      </c>
      <c r="T3468" s="0" t="n">
        <f aca="false">E3468*E3468</f>
        <v>0</v>
      </c>
      <c r="U3468" s="0" t="n">
        <f aca="false">F3468*F3468</f>
        <v>0.25</v>
      </c>
      <c r="V3468" s="0" t="n">
        <f aca="false">G3468*G3468</f>
        <v>0.25</v>
      </c>
      <c r="W3468" s="0" t="n">
        <f aca="false">H3468*H3468</f>
        <v>0.5625</v>
      </c>
      <c r="X3468" s="0" t="n">
        <f aca="false">SUMPRODUCT(I3468:W3468,_XtX!$B$96:$P$96)</f>
        <v>48.8258406432748</v>
      </c>
      <c r="Y3468" s="0" t="n">
        <f aca="false">SUMPRODUCT(MMULT(I3468:W3468,_XtX!$B$78:$P$92),I3468:W3468)</f>
        <v>0.21305052997076</v>
      </c>
      <c r="Z3468" s="0" t="n">
        <f aca="false">04_回帰ANOVA!$K$19*04_回帰ANOVA!$K$14*SQRT(1+Y3468)</f>
        <v>1.43561450835061</v>
      </c>
      <c r="AA3468" s="0" t="n">
        <f aca="false">X3468-Z3468</f>
        <v>47.3902261349242</v>
      </c>
      <c r="AB3468" s="0" t="n">
        <f aca="false">X3468+Z3468</f>
        <v>50.2614551516254</v>
      </c>
      <c r="AC3468" s="54" t="b">
        <f aca="false">AND(E3468&gt;=01_因子設定!$L$5-0.000000001,E3468&lt;=01_因子設定!$M$5+0.000000001,F3468&gt;=01_因子設定!$L$6-0.000000001,F3468&lt;=01_因子設定!$M$6+0.000000001,G3468&gt;=01_因子設定!$L$7-0.000000001,G3468&lt;=01_因子設定!$M$7+0.000000001,H3468&gt;=01_因子設定!$L$8-0.000000001,H3468&lt;=01_因子設定!$M$8+0.000000001,IF(01_因子設定!$B$20="Box-Behnken",E3468^2+F3468^2+G3468^2+H3468^2&lt;=2+0.000000001,TRUE()))</f>
        <v>1</v>
      </c>
      <c r="AD3468" s="55" t="n">
        <f aca="false">IF(AC3468,IF(01_因子設定!$B$13="最大化",AA3468-01_因子設定!$B$14,IF(01_因子設定!$B$13="最小化",01_因子設定!$B$15-AB3468,MIN(AA3468-01_因子設定!$B$14,01_因子設定!$B$15-AB3468))),-1E+030)</f>
        <v>0.890226134924205</v>
      </c>
      <c r="AE3468" s="55" t="n">
        <f aca="false">IF(AC3468,IF(01_因子設定!$B$13="最大化",X3468,IF(01_因子設定!$B$13="最小化",-X3468,-ABS(X3468-01_因子設定!$B$16))),-1E+030)</f>
        <v>48.8258406432748</v>
      </c>
      <c r="AF3468" s="55" t="n">
        <f aca="false">AD3468+ROW()*0.000000001</f>
        <v>0.890229602924205</v>
      </c>
      <c r="AG3468" s="55" t="n">
        <f aca="false">AE3468+ROW()*0.000000001</f>
        <v>48.8258441112748</v>
      </c>
    </row>
    <row r="3469" customFormat="false" ht="15" hidden="false" customHeight="false" outlineLevel="0" collapsed="false">
      <c r="A3469" s="0" t="n">
        <v>4</v>
      </c>
      <c r="B3469" s="0" t="n">
        <v>6</v>
      </c>
      <c r="C3469" s="0" t="n">
        <v>6</v>
      </c>
      <c r="D3469" s="0" t="n">
        <v>8</v>
      </c>
      <c r="E3469" s="0" t="n">
        <f aca="false">-1+A3469*0.25</f>
        <v>0</v>
      </c>
      <c r="F3469" s="0" t="n">
        <f aca="false">-1+B3469*0.25</f>
        <v>0.5</v>
      </c>
      <c r="G3469" s="0" t="n">
        <f aca="false">-1+C3469*0.25</f>
        <v>0.5</v>
      </c>
      <c r="H3469" s="0" t="n">
        <f aca="false">-1+D3469*0.25</f>
        <v>1</v>
      </c>
      <c r="I3469" s="0" t="n">
        <f aca="false">1</f>
        <v>1</v>
      </c>
      <c r="J3469" s="0" t="n">
        <f aca="false">E3469</f>
        <v>0</v>
      </c>
      <c r="K3469" s="0" t="n">
        <f aca="false">F3469</f>
        <v>0.5</v>
      </c>
      <c r="L3469" s="0" t="n">
        <f aca="false">G3469</f>
        <v>0.5</v>
      </c>
      <c r="M3469" s="0" t="n">
        <f aca="false">H3469</f>
        <v>1</v>
      </c>
      <c r="N3469" s="0" t="n">
        <f aca="false">E3469*F3469</f>
        <v>0</v>
      </c>
      <c r="O3469" s="0" t="n">
        <f aca="false">E3469*G3469</f>
        <v>0</v>
      </c>
      <c r="P3469" s="0" t="n">
        <f aca="false">E3469*H3469</f>
        <v>0</v>
      </c>
      <c r="Q3469" s="0" t="n">
        <f aca="false">F3469*G3469</f>
        <v>0.25</v>
      </c>
      <c r="R3469" s="0" t="n">
        <f aca="false">F3469*H3469</f>
        <v>0.5</v>
      </c>
      <c r="S3469" s="0" t="n">
        <f aca="false">G3469*H3469</f>
        <v>0.5</v>
      </c>
      <c r="T3469" s="0" t="n">
        <f aca="false">E3469*E3469</f>
        <v>0</v>
      </c>
      <c r="U3469" s="0" t="n">
        <f aca="false">F3469*F3469</f>
        <v>0.25</v>
      </c>
      <c r="V3469" s="0" t="n">
        <f aca="false">G3469*G3469</f>
        <v>0.25</v>
      </c>
      <c r="W3469" s="0" t="n">
        <f aca="false">H3469*H3469</f>
        <v>1</v>
      </c>
      <c r="X3469" s="0" t="n">
        <f aca="false">SUMPRODUCT(I3469:W3469,_XtX!$B$96:$P$96)</f>
        <v>48.7692799707602</v>
      </c>
      <c r="Y3469" s="0" t="n">
        <f aca="false">SUMPRODUCT(MMULT(I3469:W3469,_XtX!$B$78:$P$92),I3469:W3469)</f>
        <v>0.441954495614035</v>
      </c>
      <c r="Z3469" s="0" t="n">
        <f aca="false">04_回帰ANOVA!$K$19*04_回帰ANOVA!$K$14*SQRT(1+Y3469)</f>
        <v>1.56521560968066</v>
      </c>
      <c r="AA3469" s="0" t="n">
        <f aca="false">X3469-Z3469</f>
        <v>47.2040643610795</v>
      </c>
      <c r="AB3469" s="0" t="n">
        <f aca="false">X3469+Z3469</f>
        <v>50.3344955804409</v>
      </c>
      <c r="AC3469" s="54" t="b">
        <f aca="false">AND(E3469&gt;=01_因子設定!$L$5-0.000000001,E3469&lt;=01_因子設定!$M$5+0.000000001,F3469&gt;=01_因子設定!$L$6-0.000000001,F3469&lt;=01_因子設定!$M$6+0.000000001,G3469&gt;=01_因子設定!$L$7-0.000000001,G3469&lt;=01_因子設定!$M$7+0.000000001,H3469&gt;=01_因子設定!$L$8-0.000000001,H3469&lt;=01_因子設定!$M$8+0.000000001,IF(01_因子設定!$B$20="Box-Behnken",E3469^2+F3469^2+G3469^2+H3469^2&lt;=2+0.000000001,TRUE()))</f>
        <v>1</v>
      </c>
      <c r="AD3469" s="55" t="n">
        <f aca="false">IF(AC3469,IF(01_因子設定!$B$13="最大化",AA3469-01_因子設定!$B$14,IF(01_因子設定!$B$13="最小化",01_因子設定!$B$15-AB3469,MIN(AA3469-01_因子設定!$B$14,01_因子設定!$B$15-AB3469))),-1E+030)</f>
        <v>0.704064361079539</v>
      </c>
      <c r="AE3469" s="55" t="n">
        <f aca="false">IF(AC3469,IF(01_因子設定!$B$13="最大化",X3469,IF(01_因子設定!$B$13="最小化",-X3469,-ABS(X3469-01_因子設定!$B$16))),-1E+030)</f>
        <v>48.7692799707602</v>
      </c>
      <c r="AF3469" s="55" t="n">
        <f aca="false">AD3469+ROW()*0.000000001</f>
        <v>0.704067830079539</v>
      </c>
      <c r="AG3469" s="55" t="n">
        <f aca="false">AE3469+ROW()*0.000000001</f>
        <v>48.7692834397602</v>
      </c>
    </row>
    <row r="3470" customFormat="false" ht="15" hidden="false" customHeight="false" outlineLevel="0" collapsed="false">
      <c r="A3470" s="0" t="n">
        <v>4</v>
      </c>
      <c r="B3470" s="0" t="n">
        <v>6</v>
      </c>
      <c r="C3470" s="0" t="n">
        <v>7</v>
      </c>
      <c r="D3470" s="0" t="n">
        <v>0</v>
      </c>
      <c r="E3470" s="0" t="n">
        <f aca="false">-1+A3470*0.25</f>
        <v>0</v>
      </c>
      <c r="F3470" s="0" t="n">
        <f aca="false">-1+B3470*0.25</f>
        <v>0.5</v>
      </c>
      <c r="G3470" s="0" t="n">
        <f aca="false">-1+C3470*0.25</f>
        <v>0.75</v>
      </c>
      <c r="H3470" s="0" t="n">
        <f aca="false">-1+D3470*0.25</f>
        <v>-1</v>
      </c>
      <c r="I3470" s="0" t="n">
        <f aca="false">1</f>
        <v>1</v>
      </c>
      <c r="J3470" s="0" t="n">
        <f aca="false">E3470</f>
        <v>0</v>
      </c>
      <c r="K3470" s="0" t="n">
        <f aca="false">F3470</f>
        <v>0.5</v>
      </c>
      <c r="L3470" s="0" t="n">
        <f aca="false">G3470</f>
        <v>0.75</v>
      </c>
      <c r="M3470" s="0" t="n">
        <f aca="false">H3470</f>
        <v>-1</v>
      </c>
      <c r="N3470" s="0" t="n">
        <f aca="false">E3470*F3470</f>
        <v>0</v>
      </c>
      <c r="O3470" s="0" t="n">
        <f aca="false">E3470*G3470</f>
        <v>0</v>
      </c>
      <c r="P3470" s="0" t="n">
        <f aca="false">E3470*H3470</f>
        <v>-0</v>
      </c>
      <c r="Q3470" s="0" t="n">
        <f aca="false">F3470*G3470</f>
        <v>0.375</v>
      </c>
      <c r="R3470" s="0" t="n">
        <f aca="false">F3470*H3470</f>
        <v>-0.5</v>
      </c>
      <c r="S3470" s="0" t="n">
        <f aca="false">G3470*H3470</f>
        <v>-0.75</v>
      </c>
      <c r="T3470" s="0" t="n">
        <f aca="false">E3470*E3470</f>
        <v>0</v>
      </c>
      <c r="U3470" s="0" t="n">
        <f aca="false">F3470*F3470</f>
        <v>0.25</v>
      </c>
      <c r="V3470" s="0" t="n">
        <f aca="false">G3470*G3470</f>
        <v>0.5625</v>
      </c>
      <c r="W3470" s="0" t="n">
        <f aca="false">H3470*H3470</f>
        <v>1</v>
      </c>
      <c r="X3470" s="0" t="n">
        <f aca="false">SUMPRODUCT(I3470:W3470,_XtX!$B$96:$P$96)</f>
        <v>47.8829221491228</v>
      </c>
      <c r="Y3470" s="0" t="n">
        <f aca="false">SUMPRODUCT(MMULT(I3470:W3470,_XtX!$B$78:$P$92),I3470:W3470)</f>
        <v>0.476191292032164</v>
      </c>
      <c r="Z3470" s="0" t="n">
        <f aca="false">04_回帰ANOVA!$K$19*04_回帰ANOVA!$K$14*SQRT(1+Y3470)</f>
        <v>1.58368831471718</v>
      </c>
      <c r="AA3470" s="0" t="n">
        <f aca="false">X3470-Z3470</f>
        <v>46.2992338344056</v>
      </c>
      <c r="AB3470" s="0" t="n">
        <f aca="false">X3470+Z3470</f>
        <v>49.46661046384</v>
      </c>
      <c r="AC3470" s="54" t="b">
        <f aca="false">AND(E3470&gt;=01_因子設定!$L$5-0.000000001,E3470&lt;=01_因子設定!$M$5+0.000000001,F3470&gt;=01_因子設定!$L$6-0.000000001,F3470&lt;=01_因子設定!$M$6+0.000000001,G3470&gt;=01_因子設定!$L$7-0.000000001,G3470&lt;=01_因子設定!$M$7+0.000000001,H3470&gt;=01_因子設定!$L$8-0.000000001,H3470&lt;=01_因子設定!$M$8+0.000000001,IF(01_因子設定!$B$20="Box-Behnken",E3470^2+F3470^2+G3470^2+H3470^2&lt;=2+0.000000001,TRUE()))</f>
        <v>1</v>
      </c>
      <c r="AD3470" s="55" t="n">
        <f aca="false">IF(AC3470,IF(01_因子設定!$B$13="最大化",AA3470-01_因子設定!$B$14,IF(01_因子設定!$B$13="最小化",01_因子設定!$B$15-AB3470,MIN(AA3470-01_因子設定!$B$14,01_因子設定!$B$15-AB3470))),-1E+030)</f>
        <v>-0.200766165594395</v>
      </c>
      <c r="AE3470" s="55" t="n">
        <f aca="false">IF(AC3470,IF(01_因子設定!$B$13="最大化",X3470,IF(01_因子設定!$B$13="最小化",-X3470,-ABS(X3470-01_因子設定!$B$16))),-1E+030)</f>
        <v>47.8829221491228</v>
      </c>
      <c r="AF3470" s="55" t="n">
        <f aca="false">AD3470+ROW()*0.000000001</f>
        <v>-0.200762695594395</v>
      </c>
      <c r="AG3470" s="55" t="n">
        <f aca="false">AE3470+ROW()*0.000000001</f>
        <v>47.8829256191228</v>
      </c>
    </row>
    <row r="3471" customFormat="false" ht="15" hidden="false" customHeight="false" outlineLevel="0" collapsed="false">
      <c r="A3471" s="0" t="n">
        <v>4</v>
      </c>
      <c r="B3471" s="0" t="n">
        <v>6</v>
      </c>
      <c r="C3471" s="0" t="n">
        <v>7</v>
      </c>
      <c r="D3471" s="0" t="n">
        <v>1</v>
      </c>
      <c r="E3471" s="0" t="n">
        <f aca="false">-1+A3471*0.25</f>
        <v>0</v>
      </c>
      <c r="F3471" s="0" t="n">
        <f aca="false">-1+B3471*0.25</f>
        <v>0.5</v>
      </c>
      <c r="G3471" s="0" t="n">
        <f aca="false">-1+C3471*0.25</f>
        <v>0.75</v>
      </c>
      <c r="H3471" s="0" t="n">
        <f aca="false">-1+D3471*0.25</f>
        <v>-0.75</v>
      </c>
      <c r="I3471" s="0" t="n">
        <f aca="false">1</f>
        <v>1</v>
      </c>
      <c r="J3471" s="0" t="n">
        <f aca="false">E3471</f>
        <v>0</v>
      </c>
      <c r="K3471" s="0" t="n">
        <f aca="false">F3471</f>
        <v>0.5</v>
      </c>
      <c r="L3471" s="0" t="n">
        <f aca="false">G3471</f>
        <v>0.75</v>
      </c>
      <c r="M3471" s="0" t="n">
        <f aca="false">H3471</f>
        <v>-0.75</v>
      </c>
      <c r="N3471" s="0" t="n">
        <f aca="false">E3471*F3471</f>
        <v>0</v>
      </c>
      <c r="O3471" s="0" t="n">
        <f aca="false">E3471*G3471</f>
        <v>0</v>
      </c>
      <c r="P3471" s="0" t="n">
        <f aca="false">E3471*H3471</f>
        <v>-0</v>
      </c>
      <c r="Q3471" s="0" t="n">
        <f aca="false">F3471*G3471</f>
        <v>0.375</v>
      </c>
      <c r="R3471" s="0" t="n">
        <f aca="false">F3471*H3471</f>
        <v>-0.375</v>
      </c>
      <c r="S3471" s="0" t="n">
        <f aca="false">G3471*H3471</f>
        <v>-0.5625</v>
      </c>
      <c r="T3471" s="0" t="n">
        <f aca="false">E3471*E3471</f>
        <v>0</v>
      </c>
      <c r="U3471" s="0" t="n">
        <f aca="false">F3471*F3471</f>
        <v>0.25</v>
      </c>
      <c r="V3471" s="0" t="n">
        <f aca="false">G3471*G3471</f>
        <v>0.5625</v>
      </c>
      <c r="W3471" s="0" t="n">
        <f aca="false">H3471*H3471</f>
        <v>0.5625</v>
      </c>
      <c r="X3471" s="0" t="n">
        <f aca="false">SUMPRODUCT(I3471:W3471,_XtX!$B$96:$P$96)</f>
        <v>48.1789793494152</v>
      </c>
      <c r="Y3471" s="0" t="n">
        <f aca="false">SUMPRODUCT(MMULT(I3471:W3471,_XtX!$B$78:$P$92),I3471:W3471)</f>
        <v>0.269923873812135</v>
      </c>
      <c r="Z3471" s="0" t="n">
        <f aca="false">04_回帰ANOVA!$K$19*04_回帰ANOVA!$K$14*SQRT(1+Y3471)</f>
        <v>1.46888310825501</v>
      </c>
      <c r="AA3471" s="0" t="n">
        <f aca="false">X3471-Z3471</f>
        <v>46.7100962411602</v>
      </c>
      <c r="AB3471" s="0" t="n">
        <f aca="false">X3471+Z3471</f>
        <v>49.6478624576702</v>
      </c>
      <c r="AC3471" s="54" t="b">
        <f aca="false">AND(E3471&gt;=01_因子設定!$L$5-0.000000001,E3471&lt;=01_因子設定!$M$5+0.000000001,F3471&gt;=01_因子設定!$L$6-0.000000001,F3471&lt;=01_因子設定!$M$6+0.000000001,G3471&gt;=01_因子設定!$L$7-0.000000001,G3471&lt;=01_因子設定!$M$7+0.000000001,H3471&gt;=01_因子設定!$L$8-0.000000001,H3471&lt;=01_因子設定!$M$8+0.000000001,IF(01_因子設定!$B$20="Box-Behnken",E3471^2+F3471^2+G3471^2+H3471^2&lt;=2+0.000000001,TRUE()))</f>
        <v>1</v>
      </c>
      <c r="AD3471" s="55" t="n">
        <f aca="false">IF(AC3471,IF(01_因子設定!$B$13="最大化",AA3471-01_因子設定!$B$14,IF(01_因子設定!$B$13="最小化",01_因子設定!$B$15-AB3471,MIN(AA3471-01_因子設定!$B$14,01_因子設定!$B$15-AB3471))),-1E+030)</f>
        <v>0.210096241160159</v>
      </c>
      <c r="AE3471" s="55" t="n">
        <f aca="false">IF(AC3471,IF(01_因子設定!$B$13="最大化",X3471,IF(01_因子設定!$B$13="最小化",-X3471,-ABS(X3471-01_因子設定!$B$16))),-1E+030)</f>
        <v>48.1789793494152</v>
      </c>
      <c r="AF3471" s="55" t="n">
        <f aca="false">AD3471+ROW()*0.000000001</f>
        <v>0.210099712160159</v>
      </c>
      <c r="AG3471" s="55" t="n">
        <f aca="false">AE3471+ROW()*0.000000001</f>
        <v>48.1789828204152</v>
      </c>
    </row>
    <row r="3472" customFormat="false" ht="15" hidden="false" customHeight="false" outlineLevel="0" collapsed="false">
      <c r="A3472" s="0" t="n">
        <v>4</v>
      </c>
      <c r="B3472" s="0" t="n">
        <v>6</v>
      </c>
      <c r="C3472" s="0" t="n">
        <v>7</v>
      </c>
      <c r="D3472" s="0" t="n">
        <v>2</v>
      </c>
      <c r="E3472" s="0" t="n">
        <f aca="false">-1+A3472*0.25</f>
        <v>0</v>
      </c>
      <c r="F3472" s="0" t="n">
        <f aca="false">-1+B3472*0.25</f>
        <v>0.5</v>
      </c>
      <c r="G3472" s="0" t="n">
        <f aca="false">-1+C3472*0.25</f>
        <v>0.75</v>
      </c>
      <c r="H3472" s="0" t="n">
        <f aca="false">-1+D3472*0.25</f>
        <v>-0.5</v>
      </c>
      <c r="I3472" s="0" t="n">
        <f aca="false">1</f>
        <v>1</v>
      </c>
      <c r="J3472" s="0" t="n">
        <f aca="false">E3472</f>
        <v>0</v>
      </c>
      <c r="K3472" s="0" t="n">
        <f aca="false">F3472</f>
        <v>0.5</v>
      </c>
      <c r="L3472" s="0" t="n">
        <f aca="false">G3472</f>
        <v>0.75</v>
      </c>
      <c r="M3472" s="0" t="n">
        <f aca="false">H3472</f>
        <v>-0.5</v>
      </c>
      <c r="N3472" s="0" t="n">
        <f aca="false">E3472*F3472</f>
        <v>0</v>
      </c>
      <c r="O3472" s="0" t="n">
        <f aca="false">E3472*G3472</f>
        <v>0</v>
      </c>
      <c r="P3472" s="0" t="n">
        <f aca="false">E3472*H3472</f>
        <v>-0</v>
      </c>
      <c r="Q3472" s="0" t="n">
        <f aca="false">F3472*G3472</f>
        <v>0.375</v>
      </c>
      <c r="R3472" s="0" t="n">
        <f aca="false">F3472*H3472</f>
        <v>-0.25</v>
      </c>
      <c r="S3472" s="0" t="n">
        <f aca="false">G3472*H3472</f>
        <v>-0.375</v>
      </c>
      <c r="T3472" s="0" t="n">
        <f aca="false">E3472*E3472</f>
        <v>0</v>
      </c>
      <c r="U3472" s="0" t="n">
        <f aca="false">F3472*F3472</f>
        <v>0.25</v>
      </c>
      <c r="V3472" s="0" t="n">
        <f aca="false">G3472*G3472</f>
        <v>0.5625</v>
      </c>
      <c r="W3472" s="0" t="n">
        <f aca="false">H3472*H3472</f>
        <v>0.25</v>
      </c>
      <c r="X3472" s="0" t="n">
        <f aca="false">SUMPRODUCT(I3472:W3472,_XtX!$B$96:$P$96)</f>
        <v>48.4272295321637</v>
      </c>
      <c r="Y3472" s="0" t="n">
        <f aca="false">SUMPRODUCT(MMULT(I3472:W3472,_XtX!$B$78:$P$92),I3472:W3472)</f>
        <v>0.21305052997076</v>
      </c>
      <c r="Z3472" s="0" t="n">
        <f aca="false">04_回帰ANOVA!$K$19*04_回帰ANOVA!$K$14*SQRT(1+Y3472)</f>
        <v>1.43561450835061</v>
      </c>
      <c r="AA3472" s="0" t="n">
        <f aca="false">X3472-Z3472</f>
        <v>46.9916150238131</v>
      </c>
      <c r="AB3472" s="0" t="n">
        <f aca="false">X3472+Z3472</f>
        <v>49.8628440405143</v>
      </c>
      <c r="AC3472" s="54" t="b">
        <f aca="false">AND(E3472&gt;=01_因子設定!$L$5-0.000000001,E3472&lt;=01_因子設定!$M$5+0.000000001,F3472&gt;=01_因子設定!$L$6-0.000000001,F3472&lt;=01_因子設定!$M$6+0.000000001,G3472&gt;=01_因子設定!$L$7-0.000000001,G3472&lt;=01_因子設定!$M$7+0.000000001,H3472&gt;=01_因子設定!$L$8-0.000000001,H3472&lt;=01_因子設定!$M$8+0.000000001,IF(01_因子設定!$B$20="Box-Behnken",E3472^2+F3472^2+G3472^2+H3472^2&lt;=2+0.000000001,TRUE()))</f>
        <v>1</v>
      </c>
      <c r="AD3472" s="55" t="n">
        <f aca="false">IF(AC3472,IF(01_因子設定!$B$13="最大化",AA3472-01_因子設定!$B$14,IF(01_因子設定!$B$13="最小化",01_因子設定!$B$15-AB3472,MIN(AA3472-01_因子設定!$B$14,01_因子設定!$B$15-AB3472))),-1E+030)</f>
        <v>0.491615023813083</v>
      </c>
      <c r="AE3472" s="55" t="n">
        <f aca="false">IF(AC3472,IF(01_因子設定!$B$13="最大化",X3472,IF(01_因子設定!$B$13="最小化",-X3472,-ABS(X3472-01_因子設定!$B$16))),-1E+030)</f>
        <v>48.4272295321637</v>
      </c>
      <c r="AF3472" s="55" t="n">
        <f aca="false">AD3472+ROW()*0.000000001</f>
        <v>0.491618495813083</v>
      </c>
      <c r="AG3472" s="55" t="n">
        <f aca="false">AE3472+ROW()*0.000000001</f>
        <v>48.4272330041637</v>
      </c>
    </row>
    <row r="3473" customFormat="false" ht="15" hidden="false" customHeight="false" outlineLevel="0" collapsed="false">
      <c r="A3473" s="0" t="n">
        <v>4</v>
      </c>
      <c r="B3473" s="0" t="n">
        <v>6</v>
      </c>
      <c r="C3473" s="0" t="n">
        <v>7</v>
      </c>
      <c r="D3473" s="0" t="n">
        <v>3</v>
      </c>
      <c r="E3473" s="0" t="n">
        <f aca="false">-1+A3473*0.25</f>
        <v>0</v>
      </c>
      <c r="F3473" s="0" t="n">
        <f aca="false">-1+B3473*0.25</f>
        <v>0.5</v>
      </c>
      <c r="G3473" s="0" t="n">
        <f aca="false">-1+C3473*0.25</f>
        <v>0.75</v>
      </c>
      <c r="H3473" s="0" t="n">
        <f aca="false">-1+D3473*0.25</f>
        <v>-0.25</v>
      </c>
      <c r="I3473" s="0" t="n">
        <f aca="false">1</f>
        <v>1</v>
      </c>
      <c r="J3473" s="0" t="n">
        <f aca="false">E3473</f>
        <v>0</v>
      </c>
      <c r="K3473" s="0" t="n">
        <f aca="false">F3473</f>
        <v>0.5</v>
      </c>
      <c r="L3473" s="0" t="n">
        <f aca="false">G3473</f>
        <v>0.75</v>
      </c>
      <c r="M3473" s="0" t="n">
        <f aca="false">H3473</f>
        <v>-0.25</v>
      </c>
      <c r="N3473" s="0" t="n">
        <f aca="false">E3473*F3473</f>
        <v>0</v>
      </c>
      <c r="O3473" s="0" t="n">
        <f aca="false">E3473*G3473</f>
        <v>0</v>
      </c>
      <c r="P3473" s="0" t="n">
        <f aca="false">E3473*H3473</f>
        <v>-0</v>
      </c>
      <c r="Q3473" s="0" t="n">
        <f aca="false">F3473*G3473</f>
        <v>0.375</v>
      </c>
      <c r="R3473" s="0" t="n">
        <f aca="false">F3473*H3473</f>
        <v>-0.125</v>
      </c>
      <c r="S3473" s="0" t="n">
        <f aca="false">G3473*H3473</f>
        <v>-0.1875</v>
      </c>
      <c r="T3473" s="0" t="n">
        <f aca="false">E3473*E3473</f>
        <v>0</v>
      </c>
      <c r="U3473" s="0" t="n">
        <f aca="false">F3473*F3473</f>
        <v>0.25</v>
      </c>
      <c r="V3473" s="0" t="n">
        <f aca="false">G3473*G3473</f>
        <v>0.5625</v>
      </c>
      <c r="W3473" s="0" t="n">
        <f aca="false">H3473*H3473</f>
        <v>0.0625</v>
      </c>
      <c r="X3473" s="0" t="n">
        <f aca="false">SUMPRODUCT(I3473:W3473,_XtX!$B$96:$P$96)</f>
        <v>48.6276726973684</v>
      </c>
      <c r="Y3473" s="0" t="n">
        <f aca="false">SUMPRODUCT(MMULT(I3473:W3473,_XtX!$B$78:$P$92),I3473:W3473)</f>
        <v>0.215110734192252</v>
      </c>
      <c r="Z3473" s="0" t="n">
        <f aca="false">04_回帰ANOVA!$K$19*04_回帰ANOVA!$K$14*SQRT(1+Y3473)</f>
        <v>1.43683309086864</v>
      </c>
      <c r="AA3473" s="0" t="n">
        <f aca="false">X3473-Z3473</f>
        <v>47.1908396064997</v>
      </c>
      <c r="AB3473" s="0" t="n">
        <f aca="false">X3473+Z3473</f>
        <v>50.064505788237</v>
      </c>
      <c r="AC3473" s="54" t="b">
        <f aca="false">AND(E3473&gt;=01_因子設定!$L$5-0.000000001,E3473&lt;=01_因子設定!$M$5+0.000000001,F3473&gt;=01_因子設定!$L$6-0.000000001,F3473&lt;=01_因子設定!$M$6+0.000000001,G3473&gt;=01_因子設定!$L$7-0.000000001,G3473&lt;=01_因子設定!$M$7+0.000000001,H3473&gt;=01_因子設定!$L$8-0.000000001,H3473&lt;=01_因子設定!$M$8+0.000000001,IF(01_因子設定!$B$20="Box-Behnken",E3473^2+F3473^2+G3473^2+H3473^2&lt;=2+0.000000001,TRUE()))</f>
        <v>1</v>
      </c>
      <c r="AD3473" s="55" t="n">
        <f aca="false">IF(AC3473,IF(01_因子設定!$B$13="最大化",AA3473-01_因子設定!$B$14,IF(01_因子設定!$B$13="最小化",01_因子設定!$B$15-AB3473,MIN(AA3473-01_因子設定!$B$14,01_因子設定!$B$15-AB3473))),-1E+030)</f>
        <v>0.690839606499715</v>
      </c>
      <c r="AE3473" s="55" t="n">
        <f aca="false">IF(AC3473,IF(01_因子設定!$B$13="最大化",X3473,IF(01_因子設定!$B$13="最小化",-X3473,-ABS(X3473-01_因子設定!$B$16))),-1E+030)</f>
        <v>48.6276726973684</v>
      </c>
      <c r="AF3473" s="55" t="n">
        <f aca="false">AD3473+ROW()*0.000000001</f>
        <v>0.690843079499715</v>
      </c>
      <c r="AG3473" s="55" t="n">
        <f aca="false">AE3473+ROW()*0.000000001</f>
        <v>48.6276761703684</v>
      </c>
    </row>
    <row r="3474" customFormat="false" ht="15" hidden="false" customHeight="false" outlineLevel="0" collapsed="false">
      <c r="A3474" s="0" t="n">
        <v>4</v>
      </c>
      <c r="B3474" s="0" t="n">
        <v>6</v>
      </c>
      <c r="C3474" s="0" t="n">
        <v>7</v>
      </c>
      <c r="D3474" s="0" t="n">
        <v>4</v>
      </c>
      <c r="E3474" s="0" t="n">
        <f aca="false">-1+A3474*0.25</f>
        <v>0</v>
      </c>
      <c r="F3474" s="0" t="n">
        <f aca="false">-1+B3474*0.25</f>
        <v>0.5</v>
      </c>
      <c r="G3474" s="0" t="n">
        <f aca="false">-1+C3474*0.25</f>
        <v>0.75</v>
      </c>
      <c r="H3474" s="0" t="n">
        <f aca="false">-1+D3474*0.25</f>
        <v>0</v>
      </c>
      <c r="I3474" s="0" t="n">
        <f aca="false">1</f>
        <v>1</v>
      </c>
      <c r="J3474" s="0" t="n">
        <f aca="false">E3474</f>
        <v>0</v>
      </c>
      <c r="K3474" s="0" t="n">
        <f aca="false">F3474</f>
        <v>0.5</v>
      </c>
      <c r="L3474" s="0" t="n">
        <f aca="false">G3474</f>
        <v>0.75</v>
      </c>
      <c r="M3474" s="0" t="n">
        <f aca="false">H3474</f>
        <v>0</v>
      </c>
      <c r="N3474" s="0" t="n">
        <f aca="false">E3474*F3474</f>
        <v>0</v>
      </c>
      <c r="O3474" s="0" t="n">
        <f aca="false">E3474*G3474</f>
        <v>0</v>
      </c>
      <c r="P3474" s="0" t="n">
        <f aca="false">E3474*H3474</f>
        <v>0</v>
      </c>
      <c r="Q3474" s="0" t="n">
        <f aca="false">F3474*G3474</f>
        <v>0.375</v>
      </c>
      <c r="R3474" s="0" t="n">
        <f aca="false">F3474*H3474</f>
        <v>0</v>
      </c>
      <c r="S3474" s="0" t="n">
        <f aca="false">G3474*H3474</f>
        <v>0</v>
      </c>
      <c r="T3474" s="0" t="n">
        <f aca="false">E3474*E3474</f>
        <v>0</v>
      </c>
      <c r="U3474" s="0" t="n">
        <f aca="false">F3474*F3474</f>
        <v>0.25</v>
      </c>
      <c r="V3474" s="0" t="n">
        <f aca="false">G3474*G3474</f>
        <v>0.5625</v>
      </c>
      <c r="W3474" s="0" t="n">
        <f aca="false">H3474*H3474</f>
        <v>0</v>
      </c>
      <c r="X3474" s="0" t="n">
        <f aca="false">SUMPRODUCT(I3474:W3474,_XtX!$B$96:$P$96)</f>
        <v>48.7803088450292</v>
      </c>
      <c r="Y3474" s="0" t="n">
        <f aca="false">SUMPRODUCT(MMULT(I3474:W3474,_XtX!$B$78:$P$92),I3474:W3474)</f>
        <v>0.221828170687135</v>
      </c>
      <c r="Z3474" s="0" t="n">
        <f aca="false">04_回帰ANOVA!$K$19*04_回帰ANOVA!$K$14*SQRT(1+Y3474)</f>
        <v>1.44079920361664</v>
      </c>
      <c r="AA3474" s="0" t="n">
        <f aca="false">X3474-Z3474</f>
        <v>47.3395096414125</v>
      </c>
      <c r="AB3474" s="0" t="n">
        <f aca="false">X3474+Z3474</f>
        <v>50.2211080486458</v>
      </c>
      <c r="AC3474" s="54" t="b">
        <f aca="false">AND(E3474&gt;=01_因子設定!$L$5-0.000000001,E3474&lt;=01_因子設定!$M$5+0.000000001,F3474&gt;=01_因子設定!$L$6-0.000000001,F3474&lt;=01_因子設定!$M$6+0.000000001,G3474&gt;=01_因子設定!$L$7-0.000000001,G3474&lt;=01_因子設定!$M$7+0.000000001,H3474&gt;=01_因子設定!$L$8-0.000000001,H3474&lt;=01_因子設定!$M$8+0.000000001,IF(01_因子設定!$B$20="Box-Behnken",E3474^2+F3474^2+G3474^2+H3474^2&lt;=2+0.000000001,TRUE()))</f>
        <v>1</v>
      </c>
      <c r="AD3474" s="55" t="n">
        <f aca="false">IF(AC3474,IF(01_因子設定!$B$13="最大化",AA3474-01_因子設定!$B$14,IF(01_因子設定!$B$13="最小化",01_因子設定!$B$15-AB3474,MIN(AA3474-01_因子設定!$B$14,01_因子設定!$B$15-AB3474))),-1E+030)</f>
        <v>0.839509641412533</v>
      </c>
      <c r="AE3474" s="55" t="n">
        <f aca="false">IF(AC3474,IF(01_因子設定!$B$13="最大化",X3474,IF(01_因子設定!$B$13="最小化",-X3474,-ABS(X3474-01_因子設定!$B$16))),-1E+030)</f>
        <v>48.7803088450292</v>
      </c>
      <c r="AF3474" s="55" t="n">
        <f aca="false">AD3474+ROW()*0.000000001</f>
        <v>0.839513115412533</v>
      </c>
      <c r="AG3474" s="55" t="n">
        <f aca="false">AE3474+ROW()*0.000000001</f>
        <v>48.7803123190292</v>
      </c>
    </row>
    <row r="3475" customFormat="false" ht="15" hidden="false" customHeight="false" outlineLevel="0" collapsed="false">
      <c r="A3475" s="0" t="n">
        <v>4</v>
      </c>
      <c r="B3475" s="0" t="n">
        <v>6</v>
      </c>
      <c r="C3475" s="0" t="n">
        <v>7</v>
      </c>
      <c r="D3475" s="0" t="n">
        <v>5</v>
      </c>
      <c r="E3475" s="0" t="n">
        <f aca="false">-1+A3475*0.25</f>
        <v>0</v>
      </c>
      <c r="F3475" s="0" t="n">
        <f aca="false">-1+B3475*0.25</f>
        <v>0.5</v>
      </c>
      <c r="G3475" s="0" t="n">
        <f aca="false">-1+C3475*0.25</f>
        <v>0.75</v>
      </c>
      <c r="H3475" s="0" t="n">
        <f aca="false">-1+D3475*0.25</f>
        <v>0.25</v>
      </c>
      <c r="I3475" s="0" t="n">
        <f aca="false">1</f>
        <v>1</v>
      </c>
      <c r="J3475" s="0" t="n">
        <f aca="false">E3475</f>
        <v>0</v>
      </c>
      <c r="K3475" s="0" t="n">
        <f aca="false">F3475</f>
        <v>0.5</v>
      </c>
      <c r="L3475" s="0" t="n">
        <f aca="false">G3475</f>
        <v>0.75</v>
      </c>
      <c r="M3475" s="0" t="n">
        <f aca="false">H3475</f>
        <v>0.25</v>
      </c>
      <c r="N3475" s="0" t="n">
        <f aca="false">E3475*F3475</f>
        <v>0</v>
      </c>
      <c r="O3475" s="0" t="n">
        <f aca="false">E3475*G3475</f>
        <v>0</v>
      </c>
      <c r="P3475" s="0" t="n">
        <f aca="false">E3475*H3475</f>
        <v>0</v>
      </c>
      <c r="Q3475" s="0" t="n">
        <f aca="false">F3475*G3475</f>
        <v>0.375</v>
      </c>
      <c r="R3475" s="0" t="n">
        <f aca="false">F3475*H3475</f>
        <v>0.125</v>
      </c>
      <c r="S3475" s="0" t="n">
        <f aca="false">G3475*H3475</f>
        <v>0.1875</v>
      </c>
      <c r="T3475" s="0" t="n">
        <f aca="false">E3475*E3475</f>
        <v>0</v>
      </c>
      <c r="U3475" s="0" t="n">
        <f aca="false">F3475*F3475</f>
        <v>0.25</v>
      </c>
      <c r="V3475" s="0" t="n">
        <f aca="false">G3475*G3475</f>
        <v>0.5625</v>
      </c>
      <c r="W3475" s="0" t="n">
        <f aca="false">H3475*H3475</f>
        <v>0.0625</v>
      </c>
      <c r="X3475" s="0" t="n">
        <f aca="false">SUMPRODUCT(I3475:W3475,_XtX!$B$96:$P$96)</f>
        <v>48.8851379751461</v>
      </c>
      <c r="Y3475" s="0" t="n">
        <f aca="false">SUMPRODUCT(MMULT(I3475:W3475,_XtX!$B$78:$P$92),I3475:W3475)</f>
        <v>0.215110734192252</v>
      </c>
      <c r="Z3475" s="0" t="n">
        <f aca="false">04_回帰ANOVA!$K$19*04_回帰ANOVA!$K$14*SQRT(1+Y3475)</f>
        <v>1.43683309086864</v>
      </c>
      <c r="AA3475" s="0" t="n">
        <f aca="false">X3475-Z3475</f>
        <v>47.4483048842775</v>
      </c>
      <c r="AB3475" s="0" t="n">
        <f aca="false">X3475+Z3475</f>
        <v>50.3219710660148</v>
      </c>
      <c r="AC3475" s="54" t="b">
        <f aca="false">AND(E3475&gt;=01_因子設定!$L$5-0.000000001,E3475&lt;=01_因子設定!$M$5+0.000000001,F3475&gt;=01_因子設定!$L$6-0.000000001,F3475&lt;=01_因子設定!$M$6+0.000000001,G3475&gt;=01_因子設定!$L$7-0.000000001,G3475&lt;=01_因子設定!$M$7+0.000000001,H3475&gt;=01_因子設定!$L$8-0.000000001,H3475&lt;=01_因子設定!$M$8+0.000000001,IF(01_因子設定!$B$20="Box-Behnken",E3475^2+F3475^2+G3475^2+H3475^2&lt;=2+0.000000001,TRUE()))</f>
        <v>1</v>
      </c>
      <c r="AD3475" s="55" t="n">
        <f aca="false">IF(AC3475,IF(01_因子設定!$B$13="最大化",AA3475-01_因子設定!$B$14,IF(01_因子設定!$B$13="最小化",01_因子設定!$B$15-AB3475,MIN(AA3475-01_因子設定!$B$14,01_因子設定!$B$15-AB3475))),-1E+030)</f>
        <v>0.948304884277491</v>
      </c>
      <c r="AE3475" s="55" t="n">
        <f aca="false">IF(AC3475,IF(01_因子設定!$B$13="最大化",X3475,IF(01_因子設定!$B$13="最小化",-X3475,-ABS(X3475-01_因子設定!$B$16))),-1E+030)</f>
        <v>48.8851379751461</v>
      </c>
      <c r="AF3475" s="55" t="n">
        <f aca="false">AD3475+ROW()*0.000000001</f>
        <v>0.948308359277491</v>
      </c>
      <c r="AG3475" s="55" t="n">
        <f aca="false">AE3475+ROW()*0.000000001</f>
        <v>48.8851414501461</v>
      </c>
    </row>
    <row r="3476" customFormat="false" ht="15" hidden="false" customHeight="false" outlineLevel="0" collapsed="false">
      <c r="A3476" s="0" t="n">
        <v>4</v>
      </c>
      <c r="B3476" s="0" t="n">
        <v>6</v>
      </c>
      <c r="C3476" s="0" t="n">
        <v>7</v>
      </c>
      <c r="D3476" s="0" t="n">
        <v>6</v>
      </c>
      <c r="E3476" s="0" t="n">
        <f aca="false">-1+A3476*0.25</f>
        <v>0</v>
      </c>
      <c r="F3476" s="0" t="n">
        <f aca="false">-1+B3476*0.25</f>
        <v>0.5</v>
      </c>
      <c r="G3476" s="0" t="n">
        <f aca="false">-1+C3476*0.25</f>
        <v>0.75</v>
      </c>
      <c r="H3476" s="0" t="n">
        <f aca="false">-1+D3476*0.25</f>
        <v>0.5</v>
      </c>
      <c r="I3476" s="0" t="n">
        <f aca="false">1</f>
        <v>1</v>
      </c>
      <c r="J3476" s="0" t="n">
        <f aca="false">E3476</f>
        <v>0</v>
      </c>
      <c r="K3476" s="0" t="n">
        <f aca="false">F3476</f>
        <v>0.5</v>
      </c>
      <c r="L3476" s="0" t="n">
        <f aca="false">G3476</f>
        <v>0.75</v>
      </c>
      <c r="M3476" s="0" t="n">
        <f aca="false">H3476</f>
        <v>0.5</v>
      </c>
      <c r="N3476" s="0" t="n">
        <f aca="false">E3476*F3476</f>
        <v>0</v>
      </c>
      <c r="O3476" s="0" t="n">
        <f aca="false">E3476*G3476</f>
        <v>0</v>
      </c>
      <c r="P3476" s="0" t="n">
        <f aca="false">E3476*H3476</f>
        <v>0</v>
      </c>
      <c r="Q3476" s="0" t="n">
        <f aca="false">F3476*G3476</f>
        <v>0.375</v>
      </c>
      <c r="R3476" s="0" t="n">
        <f aca="false">F3476*H3476</f>
        <v>0.25</v>
      </c>
      <c r="S3476" s="0" t="n">
        <f aca="false">G3476*H3476</f>
        <v>0.375</v>
      </c>
      <c r="T3476" s="0" t="n">
        <f aca="false">E3476*E3476</f>
        <v>0</v>
      </c>
      <c r="U3476" s="0" t="n">
        <f aca="false">F3476*F3476</f>
        <v>0.25</v>
      </c>
      <c r="V3476" s="0" t="n">
        <f aca="false">G3476*G3476</f>
        <v>0.5625</v>
      </c>
      <c r="W3476" s="0" t="n">
        <f aca="false">H3476*H3476</f>
        <v>0.25</v>
      </c>
      <c r="X3476" s="0" t="n">
        <f aca="false">SUMPRODUCT(I3476:W3476,_XtX!$B$96:$P$96)</f>
        <v>48.9421600877192</v>
      </c>
      <c r="Y3476" s="0" t="n">
        <f aca="false">SUMPRODUCT(MMULT(I3476:W3476,_XtX!$B$78:$P$92),I3476:W3476)</f>
        <v>0.21305052997076</v>
      </c>
      <c r="Z3476" s="0" t="n">
        <f aca="false">04_回帰ANOVA!$K$19*04_回帰ANOVA!$K$14*SQRT(1+Y3476)</f>
        <v>1.43561450835061</v>
      </c>
      <c r="AA3476" s="0" t="n">
        <f aca="false">X3476-Z3476</f>
        <v>47.5065455793686</v>
      </c>
      <c r="AB3476" s="0" t="n">
        <f aca="false">X3476+Z3476</f>
        <v>50.3777745960699</v>
      </c>
      <c r="AC3476" s="54" t="b">
        <f aca="false">AND(E3476&gt;=01_因子設定!$L$5-0.000000001,E3476&lt;=01_因子設定!$M$5+0.000000001,F3476&gt;=01_因子設定!$L$6-0.000000001,F3476&lt;=01_因子設定!$M$6+0.000000001,G3476&gt;=01_因子設定!$L$7-0.000000001,G3476&lt;=01_因子設定!$M$7+0.000000001,H3476&gt;=01_因子設定!$L$8-0.000000001,H3476&lt;=01_因子設定!$M$8+0.000000001,IF(01_因子設定!$B$20="Box-Behnken",E3476^2+F3476^2+G3476^2+H3476^2&lt;=2+0.000000001,TRUE()))</f>
        <v>1</v>
      </c>
      <c r="AD3476" s="55" t="n">
        <f aca="false">IF(AC3476,IF(01_因子設定!$B$13="最大化",AA3476-01_因子設定!$B$14,IF(01_因子設定!$B$13="最小化",01_因子設定!$B$15-AB3476,MIN(AA3476-01_因子設定!$B$14,01_因子設定!$B$15-AB3476))),-1E+030)</f>
        <v>1.00654557936864</v>
      </c>
      <c r="AE3476" s="55" t="n">
        <f aca="false">IF(AC3476,IF(01_因子設定!$B$13="最大化",X3476,IF(01_因子設定!$B$13="最小化",-X3476,-ABS(X3476-01_因子設定!$B$16))),-1E+030)</f>
        <v>48.9421600877192</v>
      </c>
      <c r="AF3476" s="55" t="n">
        <f aca="false">AD3476+ROW()*0.000000001</f>
        <v>1.00654905536864</v>
      </c>
      <c r="AG3476" s="55" t="n">
        <f aca="false">AE3476+ROW()*0.000000001</f>
        <v>48.9421635637193</v>
      </c>
    </row>
    <row r="3477" customFormat="false" ht="15" hidden="false" customHeight="false" outlineLevel="0" collapsed="false">
      <c r="A3477" s="0" t="n">
        <v>4</v>
      </c>
      <c r="B3477" s="0" t="n">
        <v>6</v>
      </c>
      <c r="C3477" s="0" t="n">
        <v>7</v>
      </c>
      <c r="D3477" s="0" t="n">
        <v>7</v>
      </c>
      <c r="E3477" s="0" t="n">
        <f aca="false">-1+A3477*0.25</f>
        <v>0</v>
      </c>
      <c r="F3477" s="0" t="n">
        <f aca="false">-1+B3477*0.25</f>
        <v>0.5</v>
      </c>
      <c r="G3477" s="0" t="n">
        <f aca="false">-1+C3477*0.25</f>
        <v>0.75</v>
      </c>
      <c r="H3477" s="0" t="n">
        <f aca="false">-1+D3477*0.25</f>
        <v>0.75</v>
      </c>
      <c r="I3477" s="0" t="n">
        <f aca="false">1</f>
        <v>1</v>
      </c>
      <c r="J3477" s="0" t="n">
        <f aca="false">E3477</f>
        <v>0</v>
      </c>
      <c r="K3477" s="0" t="n">
        <f aca="false">F3477</f>
        <v>0.5</v>
      </c>
      <c r="L3477" s="0" t="n">
        <f aca="false">G3477</f>
        <v>0.75</v>
      </c>
      <c r="M3477" s="0" t="n">
        <f aca="false">H3477</f>
        <v>0.75</v>
      </c>
      <c r="N3477" s="0" t="n">
        <f aca="false">E3477*F3477</f>
        <v>0</v>
      </c>
      <c r="O3477" s="0" t="n">
        <f aca="false">E3477*G3477</f>
        <v>0</v>
      </c>
      <c r="P3477" s="0" t="n">
        <f aca="false">E3477*H3477</f>
        <v>0</v>
      </c>
      <c r="Q3477" s="0" t="n">
        <f aca="false">F3477*G3477</f>
        <v>0.375</v>
      </c>
      <c r="R3477" s="0" t="n">
        <f aca="false">F3477*H3477</f>
        <v>0.375</v>
      </c>
      <c r="S3477" s="0" t="n">
        <f aca="false">G3477*H3477</f>
        <v>0.5625</v>
      </c>
      <c r="T3477" s="0" t="n">
        <f aca="false">E3477*E3477</f>
        <v>0</v>
      </c>
      <c r="U3477" s="0" t="n">
        <f aca="false">F3477*F3477</f>
        <v>0.25</v>
      </c>
      <c r="V3477" s="0" t="n">
        <f aca="false">G3477*G3477</f>
        <v>0.5625</v>
      </c>
      <c r="W3477" s="0" t="n">
        <f aca="false">H3477*H3477</f>
        <v>0.5625</v>
      </c>
      <c r="X3477" s="0" t="n">
        <f aca="false">SUMPRODUCT(I3477:W3477,_XtX!$B$96:$P$96)</f>
        <v>48.9513751827485</v>
      </c>
      <c r="Y3477" s="0" t="n">
        <f aca="false">SUMPRODUCT(MMULT(I3477:W3477,_XtX!$B$78:$P$92),I3477:W3477)</f>
        <v>0.269923873812135</v>
      </c>
      <c r="Z3477" s="0" t="n">
        <f aca="false">04_回帰ANOVA!$K$19*04_回帰ANOVA!$K$14*SQRT(1+Y3477)</f>
        <v>1.46888310825501</v>
      </c>
      <c r="AA3477" s="0" t="n">
        <f aca="false">X3477-Z3477</f>
        <v>47.4824920744935</v>
      </c>
      <c r="AB3477" s="0" t="n">
        <f aca="false">X3477+Z3477</f>
        <v>50.4202582910035</v>
      </c>
      <c r="AC3477" s="54" t="b">
        <f aca="false">AND(E3477&gt;=01_因子設定!$L$5-0.000000001,E3477&lt;=01_因子設定!$M$5+0.000000001,F3477&gt;=01_因子設定!$L$6-0.000000001,F3477&lt;=01_因子設定!$M$6+0.000000001,G3477&gt;=01_因子設定!$L$7-0.000000001,G3477&lt;=01_因子設定!$M$7+0.000000001,H3477&gt;=01_因子設定!$L$8-0.000000001,H3477&lt;=01_因子設定!$M$8+0.000000001,IF(01_因子設定!$B$20="Box-Behnken",E3477^2+F3477^2+G3477^2+H3477^2&lt;=2+0.000000001,TRUE()))</f>
        <v>1</v>
      </c>
      <c r="AD3477" s="55" t="n">
        <f aca="false">IF(AC3477,IF(01_因子設定!$B$13="最大化",AA3477-01_因子設定!$B$14,IF(01_因子設定!$B$13="最小化",01_因子設定!$B$15-AB3477,MIN(AA3477-01_因子設定!$B$14,01_因子設定!$B$15-AB3477))),-1E+030)</f>
        <v>0.982492074493486</v>
      </c>
      <c r="AE3477" s="55" t="n">
        <f aca="false">IF(AC3477,IF(01_因子設定!$B$13="最大化",X3477,IF(01_因子設定!$B$13="最小化",-X3477,-ABS(X3477-01_因子設定!$B$16))),-1E+030)</f>
        <v>48.9513751827485</v>
      </c>
      <c r="AF3477" s="55" t="n">
        <f aca="false">AD3477+ROW()*0.000000001</f>
        <v>0.982495551493486</v>
      </c>
      <c r="AG3477" s="55" t="n">
        <f aca="false">AE3477+ROW()*0.000000001</f>
        <v>48.9513786597485</v>
      </c>
    </row>
    <row r="3478" customFormat="false" ht="15" hidden="false" customHeight="false" outlineLevel="0" collapsed="false">
      <c r="A3478" s="0" t="n">
        <v>4</v>
      </c>
      <c r="B3478" s="0" t="n">
        <v>6</v>
      </c>
      <c r="C3478" s="0" t="n">
        <v>7</v>
      </c>
      <c r="D3478" s="0" t="n">
        <v>8</v>
      </c>
      <c r="E3478" s="0" t="n">
        <f aca="false">-1+A3478*0.25</f>
        <v>0</v>
      </c>
      <c r="F3478" s="0" t="n">
        <f aca="false">-1+B3478*0.25</f>
        <v>0.5</v>
      </c>
      <c r="G3478" s="0" t="n">
        <f aca="false">-1+C3478*0.25</f>
        <v>0.75</v>
      </c>
      <c r="H3478" s="0" t="n">
        <f aca="false">-1+D3478*0.25</f>
        <v>1</v>
      </c>
      <c r="I3478" s="0" t="n">
        <f aca="false">1</f>
        <v>1</v>
      </c>
      <c r="J3478" s="0" t="n">
        <f aca="false">E3478</f>
        <v>0</v>
      </c>
      <c r="K3478" s="0" t="n">
        <f aca="false">F3478</f>
        <v>0.5</v>
      </c>
      <c r="L3478" s="0" t="n">
        <f aca="false">G3478</f>
        <v>0.75</v>
      </c>
      <c r="M3478" s="0" t="n">
        <f aca="false">H3478</f>
        <v>1</v>
      </c>
      <c r="N3478" s="0" t="n">
        <f aca="false">E3478*F3478</f>
        <v>0</v>
      </c>
      <c r="O3478" s="0" t="n">
        <f aca="false">E3478*G3478</f>
        <v>0</v>
      </c>
      <c r="P3478" s="0" t="n">
        <f aca="false">E3478*H3478</f>
        <v>0</v>
      </c>
      <c r="Q3478" s="0" t="n">
        <f aca="false">F3478*G3478</f>
        <v>0.375</v>
      </c>
      <c r="R3478" s="0" t="n">
        <f aca="false">F3478*H3478</f>
        <v>0.5</v>
      </c>
      <c r="S3478" s="0" t="n">
        <f aca="false">G3478*H3478</f>
        <v>0.75</v>
      </c>
      <c r="T3478" s="0" t="n">
        <f aca="false">E3478*E3478</f>
        <v>0</v>
      </c>
      <c r="U3478" s="0" t="n">
        <f aca="false">F3478*F3478</f>
        <v>0.25</v>
      </c>
      <c r="V3478" s="0" t="n">
        <f aca="false">G3478*G3478</f>
        <v>0.5625</v>
      </c>
      <c r="W3478" s="0" t="n">
        <f aca="false">H3478*H3478</f>
        <v>1</v>
      </c>
      <c r="X3478" s="0" t="n">
        <f aca="false">SUMPRODUCT(I3478:W3478,_XtX!$B$96:$P$96)</f>
        <v>48.9127832602339</v>
      </c>
      <c r="Y3478" s="0" t="n">
        <f aca="false">SUMPRODUCT(MMULT(I3478:W3478,_XtX!$B$78:$P$92),I3478:W3478)</f>
        <v>0.476191292032164</v>
      </c>
      <c r="Z3478" s="0" t="n">
        <f aca="false">04_回帰ANOVA!$K$19*04_回帰ANOVA!$K$14*SQRT(1+Y3478)</f>
        <v>1.58368831471718</v>
      </c>
      <c r="AA3478" s="0" t="n">
        <f aca="false">X3478-Z3478</f>
        <v>47.3290949455167</v>
      </c>
      <c r="AB3478" s="0" t="n">
        <f aca="false">X3478+Z3478</f>
        <v>50.4964715749511</v>
      </c>
      <c r="AC3478" s="54" t="b">
        <f aca="false">AND(E3478&gt;=01_因子設定!$L$5-0.000000001,E3478&lt;=01_因子設定!$M$5+0.000000001,F3478&gt;=01_因子設定!$L$6-0.000000001,F3478&lt;=01_因子設定!$M$6+0.000000001,G3478&gt;=01_因子設定!$L$7-0.000000001,G3478&lt;=01_因子設定!$M$7+0.000000001,H3478&gt;=01_因子設定!$L$8-0.000000001,H3478&lt;=01_因子設定!$M$8+0.000000001,IF(01_因子設定!$B$20="Box-Behnken",E3478^2+F3478^2+G3478^2+H3478^2&lt;=2+0.000000001,TRUE()))</f>
        <v>1</v>
      </c>
      <c r="AD3478" s="55" t="n">
        <f aca="false">IF(AC3478,IF(01_因子設定!$B$13="最大化",AA3478-01_因子設定!$B$14,IF(01_因子設定!$B$13="最小化",01_因子設定!$B$15-AB3478,MIN(AA3478-01_因子設定!$B$14,01_因子設定!$B$15-AB3478))),-1E+030)</f>
        <v>0.829094945516708</v>
      </c>
      <c r="AE3478" s="55" t="n">
        <f aca="false">IF(AC3478,IF(01_因子設定!$B$13="最大化",X3478,IF(01_因子設定!$B$13="最小化",-X3478,-ABS(X3478-01_因子設定!$B$16))),-1E+030)</f>
        <v>48.9127832602339</v>
      </c>
      <c r="AF3478" s="55" t="n">
        <f aca="false">AD3478+ROW()*0.000000001</f>
        <v>0.829098423516708</v>
      </c>
      <c r="AG3478" s="55" t="n">
        <f aca="false">AE3478+ROW()*0.000000001</f>
        <v>48.9127867382339</v>
      </c>
    </row>
    <row r="3479" customFormat="false" ht="15" hidden="false" customHeight="false" outlineLevel="0" collapsed="false">
      <c r="A3479" s="0" t="n">
        <v>4</v>
      </c>
      <c r="B3479" s="0" t="n">
        <v>6</v>
      </c>
      <c r="C3479" s="0" t="n">
        <v>8</v>
      </c>
      <c r="D3479" s="0" t="n">
        <v>0</v>
      </c>
      <c r="E3479" s="0" t="n">
        <f aca="false">-1+A3479*0.25</f>
        <v>0</v>
      </c>
      <c r="F3479" s="0" t="n">
        <f aca="false">-1+B3479*0.25</f>
        <v>0.5</v>
      </c>
      <c r="G3479" s="0" t="n">
        <f aca="false">-1+C3479*0.25</f>
        <v>1</v>
      </c>
      <c r="H3479" s="0" t="n">
        <f aca="false">-1+D3479*0.25</f>
        <v>-1</v>
      </c>
      <c r="I3479" s="0" t="n">
        <f aca="false">1</f>
        <v>1</v>
      </c>
      <c r="J3479" s="0" t="n">
        <f aca="false">E3479</f>
        <v>0</v>
      </c>
      <c r="K3479" s="0" t="n">
        <f aca="false">F3479</f>
        <v>0.5</v>
      </c>
      <c r="L3479" s="0" t="n">
        <f aca="false">G3479</f>
        <v>1</v>
      </c>
      <c r="M3479" s="0" t="n">
        <f aca="false">H3479</f>
        <v>-1</v>
      </c>
      <c r="N3479" s="0" t="n">
        <f aca="false">E3479*F3479</f>
        <v>0</v>
      </c>
      <c r="O3479" s="0" t="n">
        <f aca="false">E3479*G3479</f>
        <v>0</v>
      </c>
      <c r="P3479" s="0" t="n">
        <f aca="false">E3479*H3479</f>
        <v>-0</v>
      </c>
      <c r="Q3479" s="0" t="n">
        <f aca="false">F3479*G3479</f>
        <v>0.5</v>
      </c>
      <c r="R3479" s="0" t="n">
        <f aca="false">F3479*H3479</f>
        <v>-0.5</v>
      </c>
      <c r="S3479" s="0" t="n">
        <f aca="false">G3479*H3479</f>
        <v>-1</v>
      </c>
      <c r="T3479" s="0" t="n">
        <f aca="false">E3479*E3479</f>
        <v>0</v>
      </c>
      <c r="U3479" s="0" t="n">
        <f aca="false">F3479*F3479</f>
        <v>0.25</v>
      </c>
      <c r="V3479" s="0" t="n">
        <f aca="false">G3479*G3479</f>
        <v>1</v>
      </c>
      <c r="W3479" s="0" t="n">
        <f aca="false">H3479*H3479</f>
        <v>1</v>
      </c>
      <c r="X3479" s="0" t="n">
        <f aca="false">SUMPRODUCT(I3479:W3479,_XtX!$B$96:$P$96)</f>
        <v>47.7973684210526</v>
      </c>
      <c r="Y3479" s="0" t="n">
        <f aca="false">SUMPRODUCT(MMULT(I3479:W3479,_XtX!$B$78:$P$92),I3479:W3479)</f>
        <v>0.650767543859649</v>
      </c>
      <c r="Z3479" s="0" t="n">
        <f aca="false">04_回帰ANOVA!$K$19*04_回帰ANOVA!$K$14*SQRT(1+Y3479)</f>
        <v>1.67471670935165</v>
      </c>
      <c r="AA3479" s="0" t="n">
        <f aca="false">X3479-Z3479</f>
        <v>46.122651711701</v>
      </c>
      <c r="AB3479" s="0" t="n">
        <f aca="false">X3479+Z3479</f>
        <v>49.4720851304043</v>
      </c>
      <c r="AC3479" s="54" t="b">
        <f aca="false">AND(E3479&gt;=01_因子設定!$L$5-0.000000001,E3479&lt;=01_因子設定!$M$5+0.000000001,F3479&gt;=01_因子設定!$L$6-0.000000001,F3479&lt;=01_因子設定!$M$6+0.000000001,G3479&gt;=01_因子設定!$L$7-0.000000001,G3479&lt;=01_因子設定!$M$7+0.000000001,H3479&gt;=01_因子設定!$L$8-0.000000001,H3479&lt;=01_因子設定!$M$8+0.000000001,IF(01_因子設定!$B$20="Box-Behnken",E3479^2+F3479^2+G3479^2+H3479^2&lt;=2+0.000000001,TRUE()))</f>
        <v>1</v>
      </c>
      <c r="AD3479" s="55" t="n">
        <f aca="false">IF(AC3479,IF(01_因子設定!$B$13="最大化",AA3479-01_因子設定!$B$14,IF(01_因子設定!$B$13="最小化",01_因子設定!$B$15-AB3479,MIN(AA3479-01_因子設定!$B$14,01_因子設定!$B$15-AB3479))),-1E+030)</f>
        <v>-0.377348288299039</v>
      </c>
      <c r="AE3479" s="55" t="n">
        <f aca="false">IF(AC3479,IF(01_因子設定!$B$13="最大化",X3479,IF(01_因子設定!$B$13="最小化",-X3479,-ABS(X3479-01_因子設定!$B$16))),-1E+030)</f>
        <v>47.7973684210526</v>
      </c>
      <c r="AF3479" s="55" t="n">
        <f aca="false">AD3479+ROW()*0.000000001</f>
        <v>-0.377344809299039</v>
      </c>
      <c r="AG3479" s="55" t="n">
        <f aca="false">AE3479+ROW()*0.000000001</f>
        <v>47.7973719000526</v>
      </c>
    </row>
    <row r="3480" customFormat="false" ht="15" hidden="false" customHeight="false" outlineLevel="0" collapsed="false">
      <c r="A3480" s="0" t="n">
        <v>4</v>
      </c>
      <c r="B3480" s="0" t="n">
        <v>6</v>
      </c>
      <c r="C3480" s="0" t="n">
        <v>8</v>
      </c>
      <c r="D3480" s="0" t="n">
        <v>1</v>
      </c>
      <c r="E3480" s="0" t="n">
        <f aca="false">-1+A3480*0.25</f>
        <v>0</v>
      </c>
      <c r="F3480" s="0" t="n">
        <f aca="false">-1+B3480*0.25</f>
        <v>0.5</v>
      </c>
      <c r="G3480" s="0" t="n">
        <f aca="false">-1+C3480*0.25</f>
        <v>1</v>
      </c>
      <c r="H3480" s="0" t="n">
        <f aca="false">-1+D3480*0.25</f>
        <v>-0.75</v>
      </c>
      <c r="I3480" s="0" t="n">
        <f aca="false">1</f>
        <v>1</v>
      </c>
      <c r="J3480" s="0" t="n">
        <f aca="false">E3480</f>
        <v>0</v>
      </c>
      <c r="K3480" s="0" t="n">
        <f aca="false">F3480</f>
        <v>0.5</v>
      </c>
      <c r="L3480" s="0" t="n">
        <f aca="false">G3480</f>
        <v>1</v>
      </c>
      <c r="M3480" s="0" t="n">
        <f aca="false">H3480</f>
        <v>-0.75</v>
      </c>
      <c r="N3480" s="0" t="n">
        <f aca="false">E3480*F3480</f>
        <v>0</v>
      </c>
      <c r="O3480" s="0" t="n">
        <f aca="false">E3480*G3480</f>
        <v>0</v>
      </c>
      <c r="P3480" s="0" t="n">
        <f aca="false">E3480*H3480</f>
        <v>-0</v>
      </c>
      <c r="Q3480" s="0" t="n">
        <f aca="false">F3480*G3480</f>
        <v>0.5</v>
      </c>
      <c r="R3480" s="0" t="n">
        <f aca="false">F3480*H3480</f>
        <v>-0.375</v>
      </c>
      <c r="S3480" s="0" t="n">
        <f aca="false">G3480*H3480</f>
        <v>-0.75</v>
      </c>
      <c r="T3480" s="0" t="n">
        <f aca="false">E3480*E3480</f>
        <v>0</v>
      </c>
      <c r="U3480" s="0" t="n">
        <f aca="false">F3480*F3480</f>
        <v>0.25</v>
      </c>
      <c r="V3480" s="0" t="n">
        <f aca="false">G3480*G3480</f>
        <v>1</v>
      </c>
      <c r="W3480" s="0" t="n">
        <f aca="false">H3480*H3480</f>
        <v>0.5625</v>
      </c>
      <c r="X3480" s="0" t="n">
        <f aca="false">SUMPRODUCT(I3480:W3480,_XtX!$B$96:$P$96)</f>
        <v>48.111394371345</v>
      </c>
      <c r="Y3480" s="0" t="n">
        <f aca="false">SUMPRODUCT(MMULT(I3480:W3480,_XtX!$B$78:$P$92),I3480:W3480)</f>
        <v>0.476191292032164</v>
      </c>
      <c r="Z3480" s="0" t="n">
        <f aca="false">04_回帰ANOVA!$K$19*04_回帰ANOVA!$K$14*SQRT(1+Y3480)</f>
        <v>1.58368831471718</v>
      </c>
      <c r="AA3480" s="0" t="n">
        <f aca="false">X3480-Z3480</f>
        <v>46.5277060566278</v>
      </c>
      <c r="AB3480" s="0" t="n">
        <f aca="false">X3480+Z3480</f>
        <v>49.6950826860622</v>
      </c>
      <c r="AC3480" s="54" t="b">
        <f aca="false">AND(E3480&gt;=01_因子設定!$L$5-0.000000001,E3480&lt;=01_因子設定!$M$5+0.000000001,F3480&gt;=01_因子設定!$L$6-0.000000001,F3480&lt;=01_因子設定!$M$6+0.000000001,G3480&gt;=01_因子設定!$L$7-0.000000001,G3480&lt;=01_因子設定!$M$7+0.000000001,H3480&gt;=01_因子設定!$L$8-0.000000001,H3480&lt;=01_因子設定!$M$8+0.000000001,IF(01_因子設定!$B$20="Box-Behnken",E3480^2+F3480^2+G3480^2+H3480^2&lt;=2+0.000000001,TRUE()))</f>
        <v>1</v>
      </c>
      <c r="AD3480" s="55" t="n">
        <f aca="false">IF(AC3480,IF(01_因子設定!$B$13="最大化",AA3480-01_因子設定!$B$14,IF(01_因子設定!$B$13="最小化",01_因子設定!$B$15-AB3480,MIN(AA3480-01_因子設定!$B$14,01_因子設定!$B$15-AB3480))),-1E+030)</f>
        <v>0.0277060566278138</v>
      </c>
      <c r="AE3480" s="55" t="n">
        <f aca="false">IF(AC3480,IF(01_因子設定!$B$13="最大化",X3480,IF(01_因子設定!$B$13="最小化",-X3480,-ABS(X3480-01_因子設定!$B$16))),-1E+030)</f>
        <v>48.111394371345</v>
      </c>
      <c r="AF3480" s="55" t="n">
        <f aca="false">AD3480+ROW()*0.000000001</f>
        <v>0.0277095366278138</v>
      </c>
      <c r="AG3480" s="55" t="n">
        <f aca="false">AE3480+ROW()*0.000000001</f>
        <v>48.111397851345</v>
      </c>
    </row>
    <row r="3481" customFormat="false" ht="15" hidden="false" customHeight="false" outlineLevel="0" collapsed="false">
      <c r="A3481" s="0" t="n">
        <v>4</v>
      </c>
      <c r="B3481" s="0" t="n">
        <v>6</v>
      </c>
      <c r="C3481" s="0" t="n">
        <v>8</v>
      </c>
      <c r="D3481" s="0" t="n">
        <v>2</v>
      </c>
      <c r="E3481" s="0" t="n">
        <f aca="false">-1+A3481*0.25</f>
        <v>0</v>
      </c>
      <c r="F3481" s="0" t="n">
        <f aca="false">-1+B3481*0.25</f>
        <v>0.5</v>
      </c>
      <c r="G3481" s="0" t="n">
        <f aca="false">-1+C3481*0.25</f>
        <v>1</v>
      </c>
      <c r="H3481" s="0" t="n">
        <f aca="false">-1+D3481*0.25</f>
        <v>-0.5</v>
      </c>
      <c r="I3481" s="0" t="n">
        <f aca="false">1</f>
        <v>1</v>
      </c>
      <c r="J3481" s="0" t="n">
        <f aca="false">E3481</f>
        <v>0</v>
      </c>
      <c r="K3481" s="0" t="n">
        <f aca="false">F3481</f>
        <v>0.5</v>
      </c>
      <c r="L3481" s="0" t="n">
        <f aca="false">G3481</f>
        <v>1</v>
      </c>
      <c r="M3481" s="0" t="n">
        <f aca="false">H3481</f>
        <v>-0.5</v>
      </c>
      <c r="N3481" s="0" t="n">
        <f aca="false">E3481*F3481</f>
        <v>0</v>
      </c>
      <c r="O3481" s="0" t="n">
        <f aca="false">E3481*G3481</f>
        <v>0</v>
      </c>
      <c r="P3481" s="0" t="n">
        <f aca="false">E3481*H3481</f>
        <v>-0</v>
      </c>
      <c r="Q3481" s="0" t="n">
        <f aca="false">F3481*G3481</f>
        <v>0.5</v>
      </c>
      <c r="R3481" s="0" t="n">
        <f aca="false">F3481*H3481</f>
        <v>-0.25</v>
      </c>
      <c r="S3481" s="0" t="n">
        <f aca="false">G3481*H3481</f>
        <v>-0.5</v>
      </c>
      <c r="T3481" s="0" t="n">
        <f aca="false">E3481*E3481</f>
        <v>0</v>
      </c>
      <c r="U3481" s="0" t="n">
        <f aca="false">F3481*F3481</f>
        <v>0.25</v>
      </c>
      <c r="V3481" s="0" t="n">
        <f aca="false">G3481*G3481</f>
        <v>1</v>
      </c>
      <c r="W3481" s="0" t="n">
        <f aca="false">H3481*H3481</f>
        <v>0.25</v>
      </c>
      <c r="X3481" s="0" t="n">
        <f aca="false">SUMPRODUCT(I3481:W3481,_XtX!$B$96:$P$96)</f>
        <v>48.3776133040935</v>
      </c>
      <c r="Y3481" s="0" t="n">
        <f aca="false">SUMPRODUCT(MMULT(I3481:W3481,_XtX!$B$78:$P$92),I3481:W3481)</f>
        <v>0.441954495614035</v>
      </c>
      <c r="Z3481" s="0" t="n">
        <f aca="false">04_回帰ANOVA!$K$19*04_回帰ANOVA!$K$14*SQRT(1+Y3481)</f>
        <v>1.56521560968066</v>
      </c>
      <c r="AA3481" s="0" t="n">
        <f aca="false">X3481-Z3481</f>
        <v>46.8123976944129</v>
      </c>
      <c r="AB3481" s="0" t="n">
        <f aca="false">X3481+Z3481</f>
        <v>49.9428289137742</v>
      </c>
      <c r="AC3481" s="54" t="b">
        <f aca="false">AND(E3481&gt;=01_因子設定!$L$5-0.000000001,E3481&lt;=01_因子設定!$M$5+0.000000001,F3481&gt;=01_因子設定!$L$6-0.000000001,F3481&lt;=01_因子設定!$M$6+0.000000001,G3481&gt;=01_因子設定!$L$7-0.000000001,G3481&lt;=01_因子設定!$M$7+0.000000001,H3481&gt;=01_因子設定!$L$8-0.000000001,H3481&lt;=01_因子設定!$M$8+0.000000001,IF(01_因子設定!$B$20="Box-Behnken",E3481^2+F3481^2+G3481^2+H3481^2&lt;=2+0.000000001,TRUE()))</f>
        <v>1</v>
      </c>
      <c r="AD3481" s="55" t="n">
        <f aca="false">IF(AC3481,IF(01_因子設定!$B$13="最大化",AA3481-01_因子設定!$B$14,IF(01_因子設定!$B$13="最小化",01_因子設定!$B$15-AB3481,MIN(AA3481-01_因子設定!$B$14,01_因子設定!$B$15-AB3481))),-1E+030)</f>
        <v>0.312397694412852</v>
      </c>
      <c r="AE3481" s="55" t="n">
        <f aca="false">IF(AC3481,IF(01_因子設定!$B$13="最大化",X3481,IF(01_因子設定!$B$13="最小化",-X3481,-ABS(X3481-01_因子設定!$B$16))),-1E+030)</f>
        <v>48.3776133040935</v>
      </c>
      <c r="AF3481" s="55" t="n">
        <f aca="false">AD3481+ROW()*0.000000001</f>
        <v>0.312401175412852</v>
      </c>
      <c r="AG3481" s="55" t="n">
        <f aca="false">AE3481+ROW()*0.000000001</f>
        <v>48.3776167850935</v>
      </c>
    </row>
    <row r="3482" customFormat="false" ht="15" hidden="false" customHeight="false" outlineLevel="0" collapsed="false">
      <c r="A3482" s="0" t="n">
        <v>4</v>
      </c>
      <c r="B3482" s="0" t="n">
        <v>6</v>
      </c>
      <c r="C3482" s="0" t="n">
        <v>8</v>
      </c>
      <c r="D3482" s="0" t="n">
        <v>3</v>
      </c>
      <c r="E3482" s="0" t="n">
        <f aca="false">-1+A3482*0.25</f>
        <v>0</v>
      </c>
      <c r="F3482" s="0" t="n">
        <f aca="false">-1+B3482*0.25</f>
        <v>0.5</v>
      </c>
      <c r="G3482" s="0" t="n">
        <f aca="false">-1+C3482*0.25</f>
        <v>1</v>
      </c>
      <c r="H3482" s="0" t="n">
        <f aca="false">-1+D3482*0.25</f>
        <v>-0.25</v>
      </c>
      <c r="I3482" s="0" t="n">
        <f aca="false">1</f>
        <v>1</v>
      </c>
      <c r="J3482" s="0" t="n">
        <f aca="false">E3482</f>
        <v>0</v>
      </c>
      <c r="K3482" s="0" t="n">
        <f aca="false">F3482</f>
        <v>0.5</v>
      </c>
      <c r="L3482" s="0" t="n">
        <f aca="false">G3482</f>
        <v>1</v>
      </c>
      <c r="M3482" s="0" t="n">
        <f aca="false">H3482</f>
        <v>-0.25</v>
      </c>
      <c r="N3482" s="0" t="n">
        <f aca="false">E3482*F3482</f>
        <v>0</v>
      </c>
      <c r="O3482" s="0" t="n">
        <f aca="false">E3482*G3482</f>
        <v>0</v>
      </c>
      <c r="P3482" s="0" t="n">
        <f aca="false">E3482*H3482</f>
        <v>-0</v>
      </c>
      <c r="Q3482" s="0" t="n">
        <f aca="false">F3482*G3482</f>
        <v>0.5</v>
      </c>
      <c r="R3482" s="0" t="n">
        <f aca="false">F3482*H3482</f>
        <v>-0.125</v>
      </c>
      <c r="S3482" s="0" t="n">
        <f aca="false">G3482*H3482</f>
        <v>-0.25</v>
      </c>
      <c r="T3482" s="0" t="n">
        <f aca="false">E3482*E3482</f>
        <v>0</v>
      </c>
      <c r="U3482" s="0" t="n">
        <f aca="false">F3482*F3482</f>
        <v>0.25</v>
      </c>
      <c r="V3482" s="0" t="n">
        <f aca="false">G3482*G3482</f>
        <v>1</v>
      </c>
      <c r="W3482" s="0" t="n">
        <f aca="false">H3482*H3482</f>
        <v>0.0625</v>
      </c>
      <c r="X3482" s="0" t="n">
        <f aca="false">SUMPRODUCT(I3482:W3482,_XtX!$B$96:$P$96)</f>
        <v>48.5960252192982</v>
      </c>
      <c r="Y3482" s="0" t="n">
        <f aca="false">SUMPRODUCT(MMULT(I3482:W3482,_XtX!$B$78:$P$92),I3482:W3482)</f>
        <v>0.457596628289474</v>
      </c>
      <c r="Z3482" s="0" t="n">
        <f aca="false">04_回帰ANOVA!$K$19*04_回帰ANOVA!$K$14*SQRT(1+Y3482)</f>
        <v>1.57368233664366</v>
      </c>
      <c r="AA3482" s="0" t="n">
        <f aca="false">X3482-Z3482</f>
        <v>47.0223428826545</v>
      </c>
      <c r="AB3482" s="0" t="n">
        <f aca="false">X3482+Z3482</f>
        <v>50.1697075559418</v>
      </c>
      <c r="AC3482" s="54" t="b">
        <f aca="false">AND(E3482&gt;=01_因子設定!$L$5-0.000000001,E3482&lt;=01_因子設定!$M$5+0.000000001,F3482&gt;=01_因子設定!$L$6-0.000000001,F3482&lt;=01_因子設定!$M$6+0.000000001,G3482&gt;=01_因子設定!$L$7-0.000000001,G3482&lt;=01_因子設定!$M$7+0.000000001,H3482&gt;=01_因子設定!$L$8-0.000000001,H3482&lt;=01_因子設定!$M$8+0.000000001,IF(01_因子設定!$B$20="Box-Behnken",E3482^2+F3482^2+G3482^2+H3482^2&lt;=2+0.000000001,TRUE()))</f>
        <v>1</v>
      </c>
      <c r="AD3482" s="55" t="n">
        <f aca="false">IF(AC3482,IF(01_因子設定!$B$13="最大化",AA3482-01_因子設定!$B$14,IF(01_因子設定!$B$13="最小化",01_因子設定!$B$15-AB3482,MIN(AA3482-01_因子設定!$B$14,01_因子設定!$B$15-AB3482))),-1E+030)</f>
        <v>0.522342882654527</v>
      </c>
      <c r="AE3482" s="55" t="n">
        <f aca="false">IF(AC3482,IF(01_因子設定!$B$13="最大化",X3482,IF(01_因子設定!$B$13="最小化",-X3482,-ABS(X3482-01_因子設定!$B$16))),-1E+030)</f>
        <v>48.5960252192982</v>
      </c>
      <c r="AF3482" s="55" t="n">
        <f aca="false">AD3482+ROW()*0.000000001</f>
        <v>0.522346364654527</v>
      </c>
      <c r="AG3482" s="55" t="n">
        <f aca="false">AE3482+ROW()*0.000000001</f>
        <v>48.5960287012982</v>
      </c>
    </row>
    <row r="3483" customFormat="false" ht="15" hidden="false" customHeight="false" outlineLevel="0" collapsed="false">
      <c r="A3483" s="0" t="n">
        <v>4</v>
      </c>
      <c r="B3483" s="0" t="n">
        <v>6</v>
      </c>
      <c r="C3483" s="0" t="n">
        <v>8</v>
      </c>
      <c r="D3483" s="0" t="n">
        <v>4</v>
      </c>
      <c r="E3483" s="0" t="n">
        <f aca="false">-1+A3483*0.25</f>
        <v>0</v>
      </c>
      <c r="F3483" s="0" t="n">
        <f aca="false">-1+B3483*0.25</f>
        <v>0.5</v>
      </c>
      <c r="G3483" s="0" t="n">
        <f aca="false">-1+C3483*0.25</f>
        <v>1</v>
      </c>
      <c r="H3483" s="0" t="n">
        <f aca="false">-1+D3483*0.25</f>
        <v>0</v>
      </c>
      <c r="I3483" s="0" t="n">
        <f aca="false">1</f>
        <v>1</v>
      </c>
      <c r="J3483" s="0" t="n">
        <f aca="false">E3483</f>
        <v>0</v>
      </c>
      <c r="K3483" s="0" t="n">
        <f aca="false">F3483</f>
        <v>0.5</v>
      </c>
      <c r="L3483" s="0" t="n">
        <f aca="false">G3483</f>
        <v>1</v>
      </c>
      <c r="M3483" s="0" t="n">
        <f aca="false">H3483</f>
        <v>0</v>
      </c>
      <c r="N3483" s="0" t="n">
        <f aca="false">E3483*F3483</f>
        <v>0</v>
      </c>
      <c r="O3483" s="0" t="n">
        <f aca="false">E3483*G3483</f>
        <v>0</v>
      </c>
      <c r="P3483" s="0" t="n">
        <f aca="false">E3483*H3483</f>
        <v>0</v>
      </c>
      <c r="Q3483" s="0" t="n">
        <f aca="false">F3483*G3483</f>
        <v>0.5</v>
      </c>
      <c r="R3483" s="0" t="n">
        <f aca="false">F3483*H3483</f>
        <v>0</v>
      </c>
      <c r="S3483" s="0" t="n">
        <f aca="false">G3483*H3483</f>
        <v>0</v>
      </c>
      <c r="T3483" s="0" t="n">
        <f aca="false">E3483*E3483</f>
        <v>0</v>
      </c>
      <c r="U3483" s="0" t="n">
        <f aca="false">F3483*F3483</f>
        <v>0.25</v>
      </c>
      <c r="V3483" s="0" t="n">
        <f aca="false">G3483*G3483</f>
        <v>1</v>
      </c>
      <c r="W3483" s="0" t="n">
        <f aca="false">H3483*H3483</f>
        <v>0</v>
      </c>
      <c r="X3483" s="0" t="n">
        <f aca="false">SUMPRODUCT(I3483:W3483,_XtX!$B$96:$P$96)</f>
        <v>48.766630116959</v>
      </c>
      <c r="Y3483" s="0" t="n">
        <f aca="false">SUMPRODUCT(MMULT(I3483:W3483,_XtX!$B$78:$P$92),I3483:W3483)</f>
        <v>0.468841374269006</v>
      </c>
      <c r="Z3483" s="0" t="n">
        <f aca="false">04_回帰ANOVA!$K$19*04_回帰ANOVA!$K$14*SQRT(1+Y3483)</f>
        <v>1.57974082366087</v>
      </c>
      <c r="AA3483" s="0" t="n">
        <f aca="false">X3483-Z3483</f>
        <v>47.1868892932981</v>
      </c>
      <c r="AB3483" s="0" t="n">
        <f aca="false">X3483+Z3483</f>
        <v>50.3463709406199</v>
      </c>
      <c r="AC3483" s="54" t="b">
        <f aca="false">AND(E3483&gt;=01_因子設定!$L$5-0.000000001,E3483&lt;=01_因子設定!$M$5+0.000000001,F3483&gt;=01_因子設定!$L$6-0.000000001,F3483&lt;=01_因子設定!$M$6+0.000000001,G3483&gt;=01_因子設定!$L$7-0.000000001,G3483&lt;=01_因子設定!$M$7+0.000000001,H3483&gt;=01_因子設定!$L$8-0.000000001,H3483&lt;=01_因子設定!$M$8+0.000000001,IF(01_因子設定!$B$20="Box-Behnken",E3483^2+F3483^2+G3483^2+H3483^2&lt;=2+0.000000001,TRUE()))</f>
        <v>1</v>
      </c>
      <c r="AD3483" s="55" t="n">
        <f aca="false">IF(AC3483,IF(01_因子設定!$B$13="最大化",AA3483-01_因子設定!$B$14,IF(01_因子設定!$B$13="最小化",01_因子設定!$B$15-AB3483,MIN(AA3483-01_因子設定!$B$14,01_因子設定!$B$15-AB3483))),-1E+030)</f>
        <v>0.686889293298123</v>
      </c>
      <c r="AE3483" s="55" t="n">
        <f aca="false">IF(AC3483,IF(01_因子設定!$B$13="最大化",X3483,IF(01_因子設定!$B$13="最小化",-X3483,-ABS(X3483-01_因子設定!$B$16))),-1E+030)</f>
        <v>48.766630116959</v>
      </c>
      <c r="AF3483" s="55" t="n">
        <f aca="false">AD3483+ROW()*0.000000001</f>
        <v>0.686892776298123</v>
      </c>
      <c r="AG3483" s="55" t="n">
        <f aca="false">AE3483+ROW()*0.000000001</f>
        <v>48.766633599959</v>
      </c>
    </row>
    <row r="3484" customFormat="false" ht="15" hidden="false" customHeight="false" outlineLevel="0" collapsed="false">
      <c r="A3484" s="0" t="n">
        <v>4</v>
      </c>
      <c r="B3484" s="0" t="n">
        <v>6</v>
      </c>
      <c r="C3484" s="0" t="n">
        <v>8</v>
      </c>
      <c r="D3484" s="0" t="n">
        <v>5</v>
      </c>
      <c r="E3484" s="0" t="n">
        <f aca="false">-1+A3484*0.25</f>
        <v>0</v>
      </c>
      <c r="F3484" s="0" t="n">
        <f aca="false">-1+B3484*0.25</f>
        <v>0.5</v>
      </c>
      <c r="G3484" s="0" t="n">
        <f aca="false">-1+C3484*0.25</f>
        <v>1</v>
      </c>
      <c r="H3484" s="0" t="n">
        <f aca="false">-1+D3484*0.25</f>
        <v>0.25</v>
      </c>
      <c r="I3484" s="0" t="n">
        <f aca="false">1</f>
        <v>1</v>
      </c>
      <c r="J3484" s="0" t="n">
        <f aca="false">E3484</f>
        <v>0</v>
      </c>
      <c r="K3484" s="0" t="n">
        <f aca="false">F3484</f>
        <v>0.5</v>
      </c>
      <c r="L3484" s="0" t="n">
        <f aca="false">G3484</f>
        <v>1</v>
      </c>
      <c r="M3484" s="0" t="n">
        <f aca="false">H3484</f>
        <v>0.25</v>
      </c>
      <c r="N3484" s="0" t="n">
        <f aca="false">E3484*F3484</f>
        <v>0</v>
      </c>
      <c r="O3484" s="0" t="n">
        <f aca="false">E3484*G3484</f>
        <v>0</v>
      </c>
      <c r="P3484" s="0" t="n">
        <f aca="false">E3484*H3484</f>
        <v>0</v>
      </c>
      <c r="Q3484" s="0" t="n">
        <f aca="false">F3484*G3484</f>
        <v>0.5</v>
      </c>
      <c r="R3484" s="0" t="n">
        <f aca="false">F3484*H3484</f>
        <v>0.125</v>
      </c>
      <c r="S3484" s="0" t="n">
        <f aca="false">G3484*H3484</f>
        <v>0.25</v>
      </c>
      <c r="T3484" s="0" t="n">
        <f aca="false">E3484*E3484</f>
        <v>0</v>
      </c>
      <c r="U3484" s="0" t="n">
        <f aca="false">F3484*F3484</f>
        <v>0.25</v>
      </c>
      <c r="V3484" s="0" t="n">
        <f aca="false">G3484*G3484</f>
        <v>1</v>
      </c>
      <c r="W3484" s="0" t="n">
        <f aca="false">H3484*H3484</f>
        <v>0.0625</v>
      </c>
      <c r="X3484" s="0" t="n">
        <f aca="false">SUMPRODUCT(I3484:W3484,_XtX!$B$96:$P$96)</f>
        <v>48.889427997076</v>
      </c>
      <c r="Y3484" s="0" t="n">
        <f aca="false">SUMPRODUCT(MMULT(I3484:W3484,_XtX!$B$78:$P$92),I3484:W3484)</f>
        <v>0.457596628289474</v>
      </c>
      <c r="Z3484" s="0" t="n">
        <f aca="false">04_回帰ANOVA!$K$19*04_回帰ANOVA!$K$14*SQRT(1+Y3484)</f>
        <v>1.57368233664366</v>
      </c>
      <c r="AA3484" s="0" t="n">
        <f aca="false">X3484-Z3484</f>
        <v>47.3157456604323</v>
      </c>
      <c r="AB3484" s="0" t="n">
        <f aca="false">X3484+Z3484</f>
        <v>50.4631103337196</v>
      </c>
      <c r="AC3484" s="54" t="b">
        <f aca="false">AND(E3484&gt;=01_因子設定!$L$5-0.000000001,E3484&lt;=01_因子設定!$M$5+0.000000001,F3484&gt;=01_因子設定!$L$6-0.000000001,F3484&lt;=01_因子設定!$M$6+0.000000001,G3484&gt;=01_因子設定!$L$7-0.000000001,G3484&lt;=01_因子設定!$M$7+0.000000001,H3484&gt;=01_因子設定!$L$8-0.000000001,H3484&lt;=01_因子設定!$M$8+0.000000001,IF(01_因子設定!$B$20="Box-Behnken",E3484^2+F3484^2+G3484^2+H3484^2&lt;=2+0.000000001,TRUE()))</f>
        <v>1</v>
      </c>
      <c r="AD3484" s="55" t="n">
        <f aca="false">IF(AC3484,IF(01_因子設定!$B$13="最大化",AA3484-01_因子設定!$B$14,IF(01_因子設定!$B$13="最小化",01_因子設定!$B$15-AB3484,MIN(AA3484-01_因子設定!$B$14,01_因子設定!$B$15-AB3484))),-1E+030)</f>
        <v>0.815745660432306</v>
      </c>
      <c r="AE3484" s="55" t="n">
        <f aca="false">IF(AC3484,IF(01_因子設定!$B$13="最大化",X3484,IF(01_因子設定!$B$13="最小化",-X3484,-ABS(X3484-01_因子設定!$B$16))),-1E+030)</f>
        <v>48.889427997076</v>
      </c>
      <c r="AF3484" s="55" t="n">
        <f aca="false">AD3484+ROW()*0.000000001</f>
        <v>0.815749144432306</v>
      </c>
      <c r="AG3484" s="55" t="n">
        <f aca="false">AE3484+ROW()*0.000000001</f>
        <v>48.889431481076</v>
      </c>
    </row>
    <row r="3485" customFormat="false" ht="15" hidden="false" customHeight="false" outlineLevel="0" collapsed="false">
      <c r="A3485" s="0" t="n">
        <v>4</v>
      </c>
      <c r="B3485" s="0" t="n">
        <v>6</v>
      </c>
      <c r="C3485" s="0" t="n">
        <v>8</v>
      </c>
      <c r="D3485" s="0" t="n">
        <v>6</v>
      </c>
      <c r="E3485" s="0" t="n">
        <f aca="false">-1+A3485*0.25</f>
        <v>0</v>
      </c>
      <c r="F3485" s="0" t="n">
        <f aca="false">-1+B3485*0.25</f>
        <v>0.5</v>
      </c>
      <c r="G3485" s="0" t="n">
        <f aca="false">-1+C3485*0.25</f>
        <v>1</v>
      </c>
      <c r="H3485" s="0" t="n">
        <f aca="false">-1+D3485*0.25</f>
        <v>0.5</v>
      </c>
      <c r="I3485" s="0" t="n">
        <f aca="false">1</f>
        <v>1</v>
      </c>
      <c r="J3485" s="0" t="n">
        <f aca="false">E3485</f>
        <v>0</v>
      </c>
      <c r="K3485" s="0" t="n">
        <f aca="false">F3485</f>
        <v>0.5</v>
      </c>
      <c r="L3485" s="0" t="n">
        <f aca="false">G3485</f>
        <v>1</v>
      </c>
      <c r="M3485" s="0" t="n">
        <f aca="false">H3485</f>
        <v>0.5</v>
      </c>
      <c r="N3485" s="0" t="n">
        <f aca="false">E3485*F3485</f>
        <v>0</v>
      </c>
      <c r="O3485" s="0" t="n">
        <f aca="false">E3485*G3485</f>
        <v>0</v>
      </c>
      <c r="P3485" s="0" t="n">
        <f aca="false">E3485*H3485</f>
        <v>0</v>
      </c>
      <c r="Q3485" s="0" t="n">
        <f aca="false">F3485*G3485</f>
        <v>0.5</v>
      </c>
      <c r="R3485" s="0" t="n">
        <f aca="false">F3485*H3485</f>
        <v>0.25</v>
      </c>
      <c r="S3485" s="0" t="n">
        <f aca="false">G3485*H3485</f>
        <v>0.5</v>
      </c>
      <c r="T3485" s="0" t="n">
        <f aca="false">E3485*E3485</f>
        <v>0</v>
      </c>
      <c r="U3485" s="0" t="n">
        <f aca="false">F3485*F3485</f>
        <v>0.25</v>
      </c>
      <c r="V3485" s="0" t="n">
        <f aca="false">G3485*G3485</f>
        <v>1</v>
      </c>
      <c r="W3485" s="0" t="n">
        <f aca="false">H3485*H3485</f>
        <v>0.25</v>
      </c>
      <c r="X3485" s="0" t="n">
        <f aca="false">SUMPRODUCT(I3485:W3485,_XtX!$B$96:$P$96)</f>
        <v>48.9644188596491</v>
      </c>
      <c r="Y3485" s="0" t="n">
        <f aca="false">SUMPRODUCT(MMULT(I3485:W3485,_XtX!$B$78:$P$92),I3485:W3485)</f>
        <v>0.441954495614035</v>
      </c>
      <c r="Z3485" s="0" t="n">
        <f aca="false">04_回帰ANOVA!$K$19*04_回帰ANOVA!$K$14*SQRT(1+Y3485)</f>
        <v>1.56521560968066</v>
      </c>
      <c r="AA3485" s="0" t="n">
        <f aca="false">X3485-Z3485</f>
        <v>47.3992032499684</v>
      </c>
      <c r="AB3485" s="0" t="n">
        <f aca="false">X3485+Z3485</f>
        <v>50.5296344693297</v>
      </c>
      <c r="AC3485" s="54" t="b">
        <f aca="false">AND(E3485&gt;=01_因子設定!$L$5-0.000000001,E3485&lt;=01_因子設定!$M$5+0.000000001,F3485&gt;=01_因子設定!$L$6-0.000000001,F3485&lt;=01_因子設定!$M$6+0.000000001,G3485&gt;=01_因子設定!$L$7-0.000000001,G3485&lt;=01_因子設定!$M$7+0.000000001,H3485&gt;=01_因子設定!$L$8-0.000000001,H3485&lt;=01_因子設定!$M$8+0.000000001,IF(01_因子設定!$B$20="Box-Behnken",E3485^2+F3485^2+G3485^2+H3485^2&lt;=2+0.000000001,TRUE()))</f>
        <v>1</v>
      </c>
      <c r="AD3485" s="55" t="n">
        <f aca="false">IF(AC3485,IF(01_因子設定!$B$13="最大化",AA3485-01_因子設定!$B$14,IF(01_因子設定!$B$13="最小化",01_因子設定!$B$15-AB3485,MIN(AA3485-01_因子設定!$B$14,01_因子設定!$B$15-AB3485))),-1E+030)</f>
        <v>0.899203249968409</v>
      </c>
      <c r="AE3485" s="55" t="n">
        <f aca="false">IF(AC3485,IF(01_因子設定!$B$13="最大化",X3485,IF(01_因子設定!$B$13="最小化",-X3485,-ABS(X3485-01_因子設定!$B$16))),-1E+030)</f>
        <v>48.9644188596491</v>
      </c>
      <c r="AF3485" s="55" t="n">
        <f aca="false">AD3485+ROW()*0.000000001</f>
        <v>0.899206734968409</v>
      </c>
      <c r="AG3485" s="55" t="n">
        <f aca="false">AE3485+ROW()*0.000000001</f>
        <v>48.9644223446491</v>
      </c>
    </row>
    <row r="3486" customFormat="false" ht="15" hidden="false" customHeight="false" outlineLevel="0" collapsed="false">
      <c r="A3486" s="0" t="n">
        <v>4</v>
      </c>
      <c r="B3486" s="0" t="n">
        <v>6</v>
      </c>
      <c r="C3486" s="0" t="n">
        <v>8</v>
      </c>
      <c r="D3486" s="0" t="n">
        <v>7</v>
      </c>
      <c r="E3486" s="0" t="n">
        <f aca="false">-1+A3486*0.25</f>
        <v>0</v>
      </c>
      <c r="F3486" s="0" t="n">
        <f aca="false">-1+B3486*0.25</f>
        <v>0.5</v>
      </c>
      <c r="G3486" s="0" t="n">
        <f aca="false">-1+C3486*0.25</f>
        <v>1</v>
      </c>
      <c r="H3486" s="0" t="n">
        <f aca="false">-1+D3486*0.25</f>
        <v>0.75</v>
      </c>
      <c r="I3486" s="0" t="n">
        <f aca="false">1</f>
        <v>1</v>
      </c>
      <c r="J3486" s="0" t="n">
        <f aca="false">E3486</f>
        <v>0</v>
      </c>
      <c r="K3486" s="0" t="n">
        <f aca="false">F3486</f>
        <v>0.5</v>
      </c>
      <c r="L3486" s="0" t="n">
        <f aca="false">G3486</f>
        <v>1</v>
      </c>
      <c r="M3486" s="0" t="n">
        <f aca="false">H3486</f>
        <v>0.75</v>
      </c>
      <c r="N3486" s="0" t="n">
        <f aca="false">E3486*F3486</f>
        <v>0</v>
      </c>
      <c r="O3486" s="0" t="n">
        <f aca="false">E3486*G3486</f>
        <v>0</v>
      </c>
      <c r="P3486" s="0" t="n">
        <f aca="false">E3486*H3486</f>
        <v>0</v>
      </c>
      <c r="Q3486" s="0" t="n">
        <f aca="false">F3486*G3486</f>
        <v>0.5</v>
      </c>
      <c r="R3486" s="0" t="n">
        <f aca="false">F3486*H3486</f>
        <v>0.375</v>
      </c>
      <c r="S3486" s="0" t="n">
        <f aca="false">G3486*H3486</f>
        <v>0.75</v>
      </c>
      <c r="T3486" s="0" t="n">
        <f aca="false">E3486*E3486</f>
        <v>0</v>
      </c>
      <c r="U3486" s="0" t="n">
        <f aca="false">F3486*F3486</f>
        <v>0.25</v>
      </c>
      <c r="V3486" s="0" t="n">
        <f aca="false">G3486*G3486</f>
        <v>1</v>
      </c>
      <c r="W3486" s="0" t="n">
        <f aca="false">H3486*H3486</f>
        <v>0.5625</v>
      </c>
      <c r="X3486" s="0" t="n">
        <f aca="false">SUMPRODUCT(I3486:W3486,_XtX!$B$96:$P$96)</f>
        <v>48.9916027046783</v>
      </c>
      <c r="Y3486" s="0" t="n">
        <f aca="false">SUMPRODUCT(MMULT(I3486:W3486,_XtX!$B$78:$P$92),I3486:W3486)</f>
        <v>0.476191292032164</v>
      </c>
      <c r="Z3486" s="0" t="n">
        <f aca="false">04_回帰ANOVA!$K$19*04_回帰ANOVA!$K$14*SQRT(1+Y3486)</f>
        <v>1.58368831471718</v>
      </c>
      <c r="AA3486" s="0" t="n">
        <f aca="false">X3486-Z3486</f>
        <v>47.4079143899611</v>
      </c>
      <c r="AB3486" s="0" t="n">
        <f aca="false">X3486+Z3486</f>
        <v>50.5752910193955</v>
      </c>
      <c r="AC3486" s="54" t="b">
        <f aca="false">AND(E3486&gt;=01_因子設定!$L$5-0.000000001,E3486&lt;=01_因子設定!$M$5+0.000000001,F3486&gt;=01_因子設定!$L$6-0.000000001,F3486&lt;=01_因子設定!$M$6+0.000000001,G3486&gt;=01_因子設定!$L$7-0.000000001,G3486&lt;=01_因子設定!$M$7+0.000000001,H3486&gt;=01_因子設定!$L$8-0.000000001,H3486&lt;=01_因子設定!$M$8+0.000000001,IF(01_因子設定!$B$20="Box-Behnken",E3486^2+F3486^2+G3486^2+H3486^2&lt;=2+0.000000001,TRUE()))</f>
        <v>1</v>
      </c>
      <c r="AD3486" s="55" t="n">
        <f aca="false">IF(AC3486,IF(01_因子設定!$B$13="最大化",AA3486-01_因子設定!$B$14,IF(01_因子設定!$B$13="最小化",01_因子設定!$B$15-AB3486,MIN(AA3486-01_因子設定!$B$14,01_因子設定!$B$15-AB3486))),-1E+030)</f>
        <v>0.907914389961142</v>
      </c>
      <c r="AE3486" s="55" t="n">
        <f aca="false">IF(AC3486,IF(01_因子設定!$B$13="最大化",X3486,IF(01_因子設定!$B$13="最小化",-X3486,-ABS(X3486-01_因子設定!$B$16))),-1E+030)</f>
        <v>48.9916027046783</v>
      </c>
      <c r="AF3486" s="55" t="n">
        <f aca="false">AD3486+ROW()*0.000000001</f>
        <v>0.907917875961142</v>
      </c>
      <c r="AG3486" s="55" t="n">
        <f aca="false">AE3486+ROW()*0.000000001</f>
        <v>48.9916061906783</v>
      </c>
    </row>
    <row r="3487" customFormat="false" ht="15" hidden="false" customHeight="false" outlineLevel="0" collapsed="false">
      <c r="A3487" s="0" t="n">
        <v>4</v>
      </c>
      <c r="B3487" s="0" t="n">
        <v>6</v>
      </c>
      <c r="C3487" s="0" t="n">
        <v>8</v>
      </c>
      <c r="D3487" s="0" t="n">
        <v>8</v>
      </c>
      <c r="E3487" s="0" t="n">
        <f aca="false">-1+A3487*0.25</f>
        <v>0</v>
      </c>
      <c r="F3487" s="0" t="n">
        <f aca="false">-1+B3487*0.25</f>
        <v>0.5</v>
      </c>
      <c r="G3487" s="0" t="n">
        <f aca="false">-1+C3487*0.25</f>
        <v>1</v>
      </c>
      <c r="H3487" s="0" t="n">
        <f aca="false">-1+D3487*0.25</f>
        <v>1</v>
      </c>
      <c r="I3487" s="0" t="n">
        <f aca="false">1</f>
        <v>1</v>
      </c>
      <c r="J3487" s="0" t="n">
        <f aca="false">E3487</f>
        <v>0</v>
      </c>
      <c r="K3487" s="0" t="n">
        <f aca="false">F3487</f>
        <v>0.5</v>
      </c>
      <c r="L3487" s="0" t="n">
        <f aca="false">G3487</f>
        <v>1</v>
      </c>
      <c r="M3487" s="0" t="n">
        <f aca="false">H3487</f>
        <v>1</v>
      </c>
      <c r="N3487" s="0" t="n">
        <f aca="false">E3487*F3487</f>
        <v>0</v>
      </c>
      <c r="O3487" s="0" t="n">
        <f aca="false">E3487*G3487</f>
        <v>0</v>
      </c>
      <c r="P3487" s="0" t="n">
        <f aca="false">E3487*H3487</f>
        <v>0</v>
      </c>
      <c r="Q3487" s="0" t="n">
        <f aca="false">F3487*G3487</f>
        <v>0.5</v>
      </c>
      <c r="R3487" s="0" t="n">
        <f aca="false">F3487*H3487</f>
        <v>0.5</v>
      </c>
      <c r="S3487" s="0" t="n">
        <f aca="false">G3487*H3487</f>
        <v>1</v>
      </c>
      <c r="T3487" s="0" t="n">
        <f aca="false">E3487*E3487</f>
        <v>0</v>
      </c>
      <c r="U3487" s="0" t="n">
        <f aca="false">F3487*F3487</f>
        <v>0.25</v>
      </c>
      <c r="V3487" s="0" t="n">
        <f aca="false">G3487*G3487</f>
        <v>1</v>
      </c>
      <c r="W3487" s="0" t="n">
        <f aca="false">H3487*H3487</f>
        <v>1</v>
      </c>
      <c r="X3487" s="0" t="n">
        <f aca="false">SUMPRODUCT(I3487:W3487,_XtX!$B$96:$P$96)</f>
        <v>48.9709795321637</v>
      </c>
      <c r="Y3487" s="0" t="n">
        <f aca="false">SUMPRODUCT(MMULT(I3487:W3487,_XtX!$B$78:$P$92),I3487:W3487)</f>
        <v>0.650767543859649</v>
      </c>
      <c r="Z3487" s="0" t="n">
        <f aca="false">04_回帰ANOVA!$K$19*04_回帰ANOVA!$K$14*SQRT(1+Y3487)</f>
        <v>1.67471670935165</v>
      </c>
      <c r="AA3487" s="0" t="n">
        <f aca="false">X3487-Z3487</f>
        <v>47.2962628228121</v>
      </c>
      <c r="AB3487" s="0" t="n">
        <f aca="false">X3487+Z3487</f>
        <v>50.6456962415154</v>
      </c>
      <c r="AC3487" s="54" t="b">
        <f aca="false">AND(E3487&gt;=01_因子設定!$L$5-0.000000001,E3487&lt;=01_因子設定!$M$5+0.000000001,F3487&gt;=01_因子設定!$L$6-0.000000001,F3487&lt;=01_因子設定!$M$6+0.000000001,G3487&gt;=01_因子設定!$L$7-0.000000001,G3487&lt;=01_因子設定!$M$7+0.000000001,H3487&gt;=01_因子設定!$L$8-0.000000001,H3487&lt;=01_因子設定!$M$8+0.000000001,IF(01_因子設定!$B$20="Box-Behnken",E3487^2+F3487^2+G3487^2+H3487^2&lt;=2+0.000000001,TRUE()))</f>
        <v>1</v>
      </c>
      <c r="AD3487" s="55" t="n">
        <f aca="false">IF(AC3487,IF(01_因子設定!$B$13="最大化",AA3487-01_因子設定!$B$14,IF(01_因子設定!$B$13="最小化",01_因子設定!$B$15-AB3487,MIN(AA3487-01_因子設定!$B$14,01_因子設定!$B$15-AB3487))),-1E+030)</f>
        <v>0.796262822812068</v>
      </c>
      <c r="AE3487" s="55" t="n">
        <f aca="false">IF(AC3487,IF(01_因子設定!$B$13="最大化",X3487,IF(01_因子設定!$B$13="最小化",-X3487,-ABS(X3487-01_因子設定!$B$16))),-1E+030)</f>
        <v>48.9709795321637</v>
      </c>
      <c r="AF3487" s="55" t="n">
        <f aca="false">AD3487+ROW()*0.000000001</f>
        <v>0.796266309812068</v>
      </c>
      <c r="AG3487" s="55" t="n">
        <f aca="false">AE3487+ROW()*0.000000001</f>
        <v>48.9709830191637</v>
      </c>
    </row>
    <row r="3488" customFormat="false" ht="15" hidden="false" customHeight="false" outlineLevel="0" collapsed="false">
      <c r="A3488" s="0" t="n">
        <v>4</v>
      </c>
      <c r="B3488" s="0" t="n">
        <v>7</v>
      </c>
      <c r="C3488" s="0" t="n">
        <v>0</v>
      </c>
      <c r="D3488" s="0" t="n">
        <v>0</v>
      </c>
      <c r="E3488" s="0" t="n">
        <f aca="false">-1+A3488*0.25</f>
        <v>0</v>
      </c>
      <c r="F3488" s="0" t="n">
        <f aca="false">-1+B3488*0.25</f>
        <v>0.75</v>
      </c>
      <c r="G3488" s="0" t="n">
        <f aca="false">-1+C3488*0.25</f>
        <v>-1</v>
      </c>
      <c r="H3488" s="0" t="n">
        <f aca="false">-1+D3488*0.25</f>
        <v>-1</v>
      </c>
      <c r="I3488" s="0" t="n">
        <f aca="false">1</f>
        <v>1</v>
      </c>
      <c r="J3488" s="0" t="n">
        <f aca="false">E3488</f>
        <v>0</v>
      </c>
      <c r="K3488" s="0" t="n">
        <f aca="false">F3488</f>
        <v>0.75</v>
      </c>
      <c r="L3488" s="0" t="n">
        <f aca="false">G3488</f>
        <v>-1</v>
      </c>
      <c r="M3488" s="0" t="n">
        <f aca="false">H3488</f>
        <v>-1</v>
      </c>
      <c r="N3488" s="0" t="n">
        <f aca="false">E3488*F3488</f>
        <v>0</v>
      </c>
      <c r="O3488" s="0" t="n">
        <f aca="false">E3488*G3488</f>
        <v>-0</v>
      </c>
      <c r="P3488" s="0" t="n">
        <f aca="false">E3488*H3488</f>
        <v>-0</v>
      </c>
      <c r="Q3488" s="0" t="n">
        <f aca="false">F3488*G3488</f>
        <v>-0.75</v>
      </c>
      <c r="R3488" s="0" t="n">
        <f aca="false">F3488*H3488</f>
        <v>-0.75</v>
      </c>
      <c r="S3488" s="0" t="n">
        <f aca="false">G3488*H3488</f>
        <v>1</v>
      </c>
      <c r="T3488" s="0" t="n">
        <f aca="false">E3488*E3488</f>
        <v>0</v>
      </c>
      <c r="U3488" s="0" t="n">
        <f aca="false">F3488*F3488</f>
        <v>0.5625</v>
      </c>
      <c r="V3488" s="0" t="n">
        <f aca="false">G3488*G3488</f>
        <v>1</v>
      </c>
      <c r="W3488" s="0" t="n">
        <f aca="false">H3488*H3488</f>
        <v>1</v>
      </c>
      <c r="X3488" s="0" t="n">
        <f aca="false">SUMPRODUCT(I3488:W3488,_XtX!$B$96:$P$96)</f>
        <v>45.7847953216374</v>
      </c>
      <c r="Y3488" s="0" t="n">
        <f aca="false">SUMPRODUCT(MMULT(I3488:W3488,_XtX!$B$78:$P$92),I3488:W3488)</f>
        <v>0.646198830409357</v>
      </c>
      <c r="Z3488" s="0" t="n">
        <f aca="false">04_回帰ANOVA!$K$19*04_回帰ANOVA!$K$14*SQRT(1+Y3488)</f>
        <v>1.67239760569756</v>
      </c>
      <c r="AA3488" s="0" t="n">
        <f aca="false">X3488-Z3488</f>
        <v>44.1123977159399</v>
      </c>
      <c r="AB3488" s="0" t="n">
        <f aca="false">X3488+Z3488</f>
        <v>47.457192927335</v>
      </c>
      <c r="AC3488" s="54" t="b">
        <f aca="false">AND(E3488&gt;=01_因子設定!$L$5-0.000000001,E3488&lt;=01_因子設定!$M$5+0.000000001,F3488&gt;=01_因子設定!$L$6-0.000000001,F3488&lt;=01_因子設定!$M$6+0.000000001,G3488&gt;=01_因子設定!$L$7-0.000000001,G3488&lt;=01_因子設定!$M$7+0.000000001,H3488&gt;=01_因子設定!$L$8-0.000000001,H3488&lt;=01_因子設定!$M$8+0.000000001,IF(01_因子設定!$B$20="Box-Behnken",E3488^2+F3488^2+G3488^2+H3488^2&lt;=2+0.000000001,TRUE()))</f>
        <v>1</v>
      </c>
      <c r="AD3488" s="55" t="n">
        <f aca="false">IF(AC3488,IF(01_因子設定!$B$13="最大化",AA3488-01_因子設定!$B$14,IF(01_因子設定!$B$13="最小化",01_因子設定!$B$15-AB3488,MIN(AA3488-01_因子設定!$B$14,01_因子設定!$B$15-AB3488))),-1E+030)</f>
        <v>-2.38760228406015</v>
      </c>
      <c r="AE3488" s="55" t="n">
        <f aca="false">IF(AC3488,IF(01_因子設定!$B$13="最大化",X3488,IF(01_因子設定!$B$13="最小化",-X3488,-ABS(X3488-01_因子設定!$B$16))),-1E+030)</f>
        <v>45.7847953216374</v>
      </c>
      <c r="AF3488" s="55" t="n">
        <f aca="false">AD3488+ROW()*0.000000001</f>
        <v>-2.38759879606015</v>
      </c>
      <c r="AG3488" s="55" t="n">
        <f aca="false">AE3488+ROW()*0.000000001</f>
        <v>45.7847988096374</v>
      </c>
    </row>
    <row r="3489" customFormat="false" ht="15" hidden="false" customHeight="false" outlineLevel="0" collapsed="false">
      <c r="A3489" s="0" t="n">
        <v>4</v>
      </c>
      <c r="B3489" s="0" t="n">
        <v>7</v>
      </c>
      <c r="C3489" s="0" t="n">
        <v>0</v>
      </c>
      <c r="D3489" s="0" t="n">
        <v>1</v>
      </c>
      <c r="E3489" s="0" t="n">
        <f aca="false">-1+A3489*0.25</f>
        <v>0</v>
      </c>
      <c r="F3489" s="0" t="n">
        <f aca="false">-1+B3489*0.25</f>
        <v>0.75</v>
      </c>
      <c r="G3489" s="0" t="n">
        <f aca="false">-1+C3489*0.25</f>
        <v>-1</v>
      </c>
      <c r="H3489" s="0" t="n">
        <f aca="false">-1+D3489*0.25</f>
        <v>-0.75</v>
      </c>
      <c r="I3489" s="0" t="n">
        <f aca="false">1</f>
        <v>1</v>
      </c>
      <c r="J3489" s="0" t="n">
        <f aca="false">E3489</f>
        <v>0</v>
      </c>
      <c r="K3489" s="0" t="n">
        <f aca="false">F3489</f>
        <v>0.75</v>
      </c>
      <c r="L3489" s="0" t="n">
        <f aca="false">G3489</f>
        <v>-1</v>
      </c>
      <c r="M3489" s="0" t="n">
        <f aca="false">H3489</f>
        <v>-0.75</v>
      </c>
      <c r="N3489" s="0" t="n">
        <f aca="false">E3489*F3489</f>
        <v>0</v>
      </c>
      <c r="O3489" s="0" t="n">
        <f aca="false">E3489*G3489</f>
        <v>-0</v>
      </c>
      <c r="P3489" s="0" t="n">
        <f aca="false">E3489*H3489</f>
        <v>-0</v>
      </c>
      <c r="Q3489" s="0" t="n">
        <f aca="false">F3489*G3489</f>
        <v>-0.75</v>
      </c>
      <c r="R3489" s="0" t="n">
        <f aca="false">F3489*H3489</f>
        <v>-0.5625</v>
      </c>
      <c r="S3489" s="0" t="n">
        <f aca="false">G3489*H3489</f>
        <v>0.75</v>
      </c>
      <c r="T3489" s="0" t="n">
        <f aca="false">E3489*E3489</f>
        <v>0</v>
      </c>
      <c r="U3489" s="0" t="n">
        <f aca="false">F3489*F3489</f>
        <v>0.5625</v>
      </c>
      <c r="V3489" s="0" t="n">
        <f aca="false">G3489*G3489</f>
        <v>1</v>
      </c>
      <c r="W3489" s="0" t="n">
        <f aca="false">H3489*H3489</f>
        <v>0.5625</v>
      </c>
      <c r="X3489" s="0" t="n">
        <f aca="false">SUMPRODUCT(I3489:W3489,_XtX!$B$96:$P$96)</f>
        <v>45.9417900219298</v>
      </c>
      <c r="Y3489" s="0" t="n">
        <f aca="false">SUMPRODUCT(MMULT(I3489:W3489,_XtX!$B$78:$P$92),I3489:W3489)</f>
        <v>0.494259126005117</v>
      </c>
      <c r="Z3489" s="0" t="n">
        <f aca="false">04_回帰ANOVA!$K$19*04_回帰ANOVA!$K$14*SQRT(1+Y3489)</f>
        <v>1.59335061078203</v>
      </c>
      <c r="AA3489" s="0" t="n">
        <f aca="false">X3489-Z3489</f>
        <v>44.3484394111478</v>
      </c>
      <c r="AB3489" s="0" t="n">
        <f aca="false">X3489+Z3489</f>
        <v>47.5351406327118</v>
      </c>
      <c r="AC3489" s="54" t="b">
        <f aca="false">AND(E3489&gt;=01_因子設定!$L$5-0.000000001,E3489&lt;=01_因子設定!$M$5+0.000000001,F3489&gt;=01_因子設定!$L$6-0.000000001,F3489&lt;=01_因子設定!$M$6+0.000000001,G3489&gt;=01_因子設定!$L$7-0.000000001,G3489&lt;=01_因子設定!$M$7+0.000000001,H3489&gt;=01_因子設定!$L$8-0.000000001,H3489&lt;=01_因子設定!$M$8+0.000000001,IF(01_因子設定!$B$20="Box-Behnken",E3489^2+F3489^2+G3489^2+H3489^2&lt;=2+0.000000001,TRUE()))</f>
        <v>1</v>
      </c>
      <c r="AD3489" s="55" t="n">
        <f aca="false">IF(AC3489,IF(01_因子設定!$B$13="最大化",AA3489-01_因子設定!$B$14,IF(01_因子設定!$B$13="最小化",01_因子設定!$B$15-AB3489,MIN(AA3489-01_因子設定!$B$14,01_因子設定!$B$15-AB3489))),-1E+030)</f>
        <v>-2.15156058885224</v>
      </c>
      <c r="AE3489" s="55" t="n">
        <f aca="false">IF(AC3489,IF(01_因子設定!$B$13="最大化",X3489,IF(01_因子設定!$B$13="最小化",-X3489,-ABS(X3489-01_因子設定!$B$16))),-1E+030)</f>
        <v>45.9417900219298</v>
      </c>
      <c r="AF3489" s="55" t="n">
        <f aca="false">AD3489+ROW()*0.000000001</f>
        <v>-2.15155709985224</v>
      </c>
      <c r="AG3489" s="55" t="n">
        <f aca="false">AE3489+ROW()*0.000000001</f>
        <v>45.9417935109298</v>
      </c>
    </row>
    <row r="3490" customFormat="false" ht="15" hidden="false" customHeight="false" outlineLevel="0" collapsed="false">
      <c r="A3490" s="0" t="n">
        <v>4</v>
      </c>
      <c r="B3490" s="0" t="n">
        <v>7</v>
      </c>
      <c r="C3490" s="0" t="n">
        <v>0</v>
      </c>
      <c r="D3490" s="0" t="n">
        <v>2</v>
      </c>
      <c r="E3490" s="0" t="n">
        <f aca="false">-1+A3490*0.25</f>
        <v>0</v>
      </c>
      <c r="F3490" s="0" t="n">
        <f aca="false">-1+B3490*0.25</f>
        <v>0.75</v>
      </c>
      <c r="G3490" s="0" t="n">
        <f aca="false">-1+C3490*0.25</f>
        <v>-1</v>
      </c>
      <c r="H3490" s="0" t="n">
        <f aca="false">-1+D3490*0.25</f>
        <v>-0.5</v>
      </c>
      <c r="I3490" s="0" t="n">
        <f aca="false">1</f>
        <v>1</v>
      </c>
      <c r="J3490" s="0" t="n">
        <f aca="false">E3490</f>
        <v>0</v>
      </c>
      <c r="K3490" s="0" t="n">
        <f aca="false">F3490</f>
        <v>0.75</v>
      </c>
      <c r="L3490" s="0" t="n">
        <f aca="false">G3490</f>
        <v>-1</v>
      </c>
      <c r="M3490" s="0" t="n">
        <f aca="false">H3490</f>
        <v>-0.5</v>
      </c>
      <c r="N3490" s="0" t="n">
        <f aca="false">E3490*F3490</f>
        <v>0</v>
      </c>
      <c r="O3490" s="0" t="n">
        <f aca="false">E3490*G3490</f>
        <v>-0</v>
      </c>
      <c r="P3490" s="0" t="n">
        <f aca="false">E3490*H3490</f>
        <v>-0</v>
      </c>
      <c r="Q3490" s="0" t="n">
        <f aca="false">F3490*G3490</f>
        <v>-0.75</v>
      </c>
      <c r="R3490" s="0" t="n">
        <f aca="false">F3490*H3490</f>
        <v>-0.375</v>
      </c>
      <c r="S3490" s="0" t="n">
        <f aca="false">G3490*H3490</f>
        <v>0.5</v>
      </c>
      <c r="T3490" s="0" t="n">
        <f aca="false">E3490*E3490</f>
        <v>0</v>
      </c>
      <c r="U3490" s="0" t="n">
        <f aca="false">F3490*F3490</f>
        <v>0.5625</v>
      </c>
      <c r="V3490" s="0" t="n">
        <f aca="false">G3490*G3490</f>
        <v>1</v>
      </c>
      <c r="W3490" s="0" t="n">
        <f aca="false">H3490*H3490</f>
        <v>0.25</v>
      </c>
      <c r="X3490" s="0" t="n">
        <f aca="false">SUMPRODUCT(I3490:W3490,_XtX!$B$96:$P$96)</f>
        <v>46.0509777046783</v>
      </c>
      <c r="Y3490" s="0" t="n">
        <f aca="false">SUMPRODUCT(MMULT(I3490:W3490,_XtX!$B$78:$P$92),I3490:W3490)</f>
        <v>0.476191292032164</v>
      </c>
      <c r="Z3490" s="0" t="n">
        <f aca="false">04_回帰ANOVA!$K$19*04_回帰ANOVA!$K$14*SQRT(1+Y3490)</f>
        <v>1.58368831471718</v>
      </c>
      <c r="AA3490" s="0" t="n">
        <f aca="false">X3490-Z3490</f>
        <v>44.4672893899611</v>
      </c>
      <c r="AB3490" s="0" t="n">
        <f aca="false">X3490+Z3490</f>
        <v>47.6346660193955</v>
      </c>
      <c r="AC3490" s="54" t="b">
        <f aca="false">AND(E3490&gt;=01_因子設定!$L$5-0.000000001,E3490&lt;=01_因子設定!$M$5+0.000000001,F3490&gt;=01_因子設定!$L$6-0.000000001,F3490&lt;=01_因子設定!$M$6+0.000000001,G3490&gt;=01_因子設定!$L$7-0.000000001,G3490&lt;=01_因子設定!$M$7+0.000000001,H3490&gt;=01_因子設定!$L$8-0.000000001,H3490&lt;=01_因子設定!$M$8+0.000000001,IF(01_因子設定!$B$20="Box-Behnken",E3490^2+F3490^2+G3490^2+H3490^2&lt;=2+0.000000001,TRUE()))</f>
        <v>1</v>
      </c>
      <c r="AD3490" s="55" t="n">
        <f aca="false">IF(AC3490,IF(01_因子設定!$B$13="最大化",AA3490-01_因子設定!$B$14,IF(01_因子設定!$B$13="最小化",01_因子設定!$B$15-AB3490,MIN(AA3490-01_因子設定!$B$14,01_因子設定!$B$15-AB3490))),-1E+030)</f>
        <v>-2.03271061003887</v>
      </c>
      <c r="AE3490" s="55" t="n">
        <f aca="false">IF(AC3490,IF(01_因子設定!$B$13="最大化",X3490,IF(01_因子設定!$B$13="最小化",-X3490,-ABS(X3490-01_因子設定!$B$16))),-1E+030)</f>
        <v>46.0509777046783</v>
      </c>
      <c r="AF3490" s="55" t="n">
        <f aca="false">AD3490+ROW()*0.000000001</f>
        <v>-2.03270712003887</v>
      </c>
      <c r="AG3490" s="55" t="n">
        <f aca="false">AE3490+ROW()*0.000000001</f>
        <v>46.0509811946783</v>
      </c>
    </row>
    <row r="3491" customFormat="false" ht="15" hidden="false" customHeight="false" outlineLevel="0" collapsed="false">
      <c r="A3491" s="0" t="n">
        <v>4</v>
      </c>
      <c r="B3491" s="0" t="n">
        <v>7</v>
      </c>
      <c r="C3491" s="0" t="n">
        <v>0</v>
      </c>
      <c r="D3491" s="0" t="n">
        <v>3</v>
      </c>
      <c r="E3491" s="0" t="n">
        <f aca="false">-1+A3491*0.25</f>
        <v>0</v>
      </c>
      <c r="F3491" s="0" t="n">
        <f aca="false">-1+B3491*0.25</f>
        <v>0.75</v>
      </c>
      <c r="G3491" s="0" t="n">
        <f aca="false">-1+C3491*0.25</f>
        <v>-1</v>
      </c>
      <c r="H3491" s="0" t="n">
        <f aca="false">-1+D3491*0.25</f>
        <v>-0.25</v>
      </c>
      <c r="I3491" s="0" t="n">
        <f aca="false">1</f>
        <v>1</v>
      </c>
      <c r="J3491" s="0" t="n">
        <f aca="false">E3491</f>
        <v>0</v>
      </c>
      <c r="K3491" s="0" t="n">
        <f aca="false">F3491</f>
        <v>0.75</v>
      </c>
      <c r="L3491" s="0" t="n">
        <f aca="false">G3491</f>
        <v>-1</v>
      </c>
      <c r="M3491" s="0" t="n">
        <f aca="false">H3491</f>
        <v>-0.25</v>
      </c>
      <c r="N3491" s="0" t="n">
        <f aca="false">E3491*F3491</f>
        <v>0</v>
      </c>
      <c r="O3491" s="0" t="n">
        <f aca="false">E3491*G3491</f>
        <v>-0</v>
      </c>
      <c r="P3491" s="0" t="n">
        <f aca="false">E3491*H3491</f>
        <v>-0</v>
      </c>
      <c r="Q3491" s="0" t="n">
        <f aca="false">F3491*G3491</f>
        <v>-0.75</v>
      </c>
      <c r="R3491" s="0" t="n">
        <f aca="false">F3491*H3491</f>
        <v>-0.1875</v>
      </c>
      <c r="S3491" s="0" t="n">
        <f aca="false">G3491*H3491</f>
        <v>0.25</v>
      </c>
      <c r="T3491" s="0" t="n">
        <f aca="false">E3491*E3491</f>
        <v>0</v>
      </c>
      <c r="U3491" s="0" t="n">
        <f aca="false">F3491*F3491</f>
        <v>0.5625</v>
      </c>
      <c r="V3491" s="0" t="n">
        <f aca="false">G3491*G3491</f>
        <v>1</v>
      </c>
      <c r="W3491" s="0" t="n">
        <f aca="false">H3491*H3491</f>
        <v>0.0625</v>
      </c>
      <c r="X3491" s="0" t="n">
        <f aca="false">SUMPRODUCT(I3491:W3491,_XtX!$B$96:$P$96)</f>
        <v>46.112358369883</v>
      </c>
      <c r="Y3491" s="0" t="n">
        <f aca="false">SUMPRODUCT(MMULT(I3491:W3491,_XtX!$B$78:$P$92),I3491:W3491)</f>
        <v>0.501534802174708</v>
      </c>
      <c r="Z3491" s="0" t="n">
        <f aca="false">04_回帰ANOVA!$K$19*04_回帰ANOVA!$K$14*SQRT(1+Y3491)</f>
        <v>1.59722498091333</v>
      </c>
      <c r="AA3491" s="0" t="n">
        <f aca="false">X3491-Z3491</f>
        <v>44.5151333889697</v>
      </c>
      <c r="AB3491" s="0" t="n">
        <f aca="false">X3491+Z3491</f>
        <v>47.7095833507963</v>
      </c>
      <c r="AC3491" s="54" t="b">
        <f aca="false">AND(E3491&gt;=01_因子設定!$L$5-0.000000001,E3491&lt;=01_因子設定!$M$5+0.000000001,F3491&gt;=01_因子設定!$L$6-0.000000001,F3491&lt;=01_因子設定!$M$6+0.000000001,G3491&gt;=01_因子設定!$L$7-0.000000001,G3491&lt;=01_因子設定!$M$7+0.000000001,H3491&gt;=01_因子設定!$L$8-0.000000001,H3491&lt;=01_因子設定!$M$8+0.000000001,IF(01_因子設定!$B$20="Box-Behnken",E3491^2+F3491^2+G3491^2+H3491^2&lt;=2+0.000000001,TRUE()))</f>
        <v>1</v>
      </c>
      <c r="AD3491" s="55" t="n">
        <f aca="false">IF(AC3491,IF(01_因子設定!$B$13="最大化",AA3491-01_因子設定!$B$14,IF(01_因子設定!$B$13="最小化",01_因子設定!$B$15-AB3491,MIN(AA3491-01_因子設定!$B$14,01_因子設定!$B$15-AB3491))),-1E+030)</f>
        <v>-1.98486661103035</v>
      </c>
      <c r="AE3491" s="55" t="n">
        <f aca="false">IF(AC3491,IF(01_因子設定!$B$13="最大化",X3491,IF(01_因子設定!$B$13="最小化",-X3491,-ABS(X3491-01_因子設定!$B$16))),-1E+030)</f>
        <v>46.112358369883</v>
      </c>
      <c r="AF3491" s="55" t="n">
        <f aca="false">AD3491+ROW()*0.000000001</f>
        <v>-1.98486312003035</v>
      </c>
      <c r="AG3491" s="55" t="n">
        <f aca="false">AE3491+ROW()*0.000000001</f>
        <v>46.112361860883</v>
      </c>
    </row>
    <row r="3492" customFormat="false" ht="15" hidden="false" customHeight="false" outlineLevel="0" collapsed="false">
      <c r="A3492" s="0" t="n">
        <v>4</v>
      </c>
      <c r="B3492" s="0" t="n">
        <v>7</v>
      </c>
      <c r="C3492" s="0" t="n">
        <v>0</v>
      </c>
      <c r="D3492" s="0" t="n">
        <v>4</v>
      </c>
      <c r="E3492" s="0" t="n">
        <f aca="false">-1+A3492*0.25</f>
        <v>0</v>
      </c>
      <c r="F3492" s="0" t="n">
        <f aca="false">-1+B3492*0.25</f>
        <v>0.75</v>
      </c>
      <c r="G3492" s="0" t="n">
        <f aca="false">-1+C3492*0.25</f>
        <v>-1</v>
      </c>
      <c r="H3492" s="0" t="n">
        <f aca="false">-1+D3492*0.25</f>
        <v>0</v>
      </c>
      <c r="I3492" s="0" t="n">
        <f aca="false">1</f>
        <v>1</v>
      </c>
      <c r="J3492" s="0" t="n">
        <f aca="false">E3492</f>
        <v>0</v>
      </c>
      <c r="K3492" s="0" t="n">
        <f aca="false">F3492</f>
        <v>0.75</v>
      </c>
      <c r="L3492" s="0" t="n">
        <f aca="false">G3492</f>
        <v>-1</v>
      </c>
      <c r="M3492" s="0" t="n">
        <f aca="false">H3492</f>
        <v>0</v>
      </c>
      <c r="N3492" s="0" t="n">
        <f aca="false">E3492*F3492</f>
        <v>0</v>
      </c>
      <c r="O3492" s="0" t="n">
        <f aca="false">E3492*G3492</f>
        <v>-0</v>
      </c>
      <c r="P3492" s="0" t="n">
        <f aca="false">E3492*H3492</f>
        <v>0</v>
      </c>
      <c r="Q3492" s="0" t="n">
        <f aca="false">F3492*G3492</f>
        <v>-0.75</v>
      </c>
      <c r="R3492" s="0" t="n">
        <f aca="false">F3492*H3492</f>
        <v>0</v>
      </c>
      <c r="S3492" s="0" t="n">
        <f aca="false">G3492*H3492</f>
        <v>-0</v>
      </c>
      <c r="T3492" s="0" t="n">
        <f aca="false">E3492*E3492</f>
        <v>0</v>
      </c>
      <c r="U3492" s="0" t="n">
        <f aca="false">F3492*F3492</f>
        <v>0.5625</v>
      </c>
      <c r="V3492" s="0" t="n">
        <f aca="false">G3492*G3492</f>
        <v>1</v>
      </c>
      <c r="W3492" s="0" t="n">
        <f aca="false">H3492*H3492</f>
        <v>0</v>
      </c>
      <c r="X3492" s="0" t="n">
        <f aca="false">SUMPRODUCT(I3492:W3492,_XtX!$B$96:$P$96)</f>
        <v>46.1259320175438</v>
      </c>
      <c r="Y3492" s="0" t="n">
        <f aca="false">SUMPRODUCT(MMULT(I3492:W3492,_XtX!$B$78:$P$92),I3492:W3492)</f>
        <v>0.516013340643275</v>
      </c>
      <c r="Z3492" s="0" t="n">
        <f aca="false">04_回帰ANOVA!$K$19*04_回帰ANOVA!$K$14*SQRT(1+Y3492)</f>
        <v>1.60490712175667</v>
      </c>
      <c r="AA3492" s="0" t="n">
        <f aca="false">X3492-Z3492</f>
        <v>44.5210248957871</v>
      </c>
      <c r="AB3492" s="0" t="n">
        <f aca="false">X3492+Z3492</f>
        <v>47.7308391393005</v>
      </c>
      <c r="AC3492" s="54" t="b">
        <f aca="false">AND(E3492&gt;=01_因子設定!$L$5-0.000000001,E3492&lt;=01_因子設定!$M$5+0.000000001,F3492&gt;=01_因子設定!$L$6-0.000000001,F3492&lt;=01_因子設定!$M$6+0.000000001,G3492&gt;=01_因子設定!$L$7-0.000000001,G3492&lt;=01_因子設定!$M$7+0.000000001,H3492&gt;=01_因子設定!$L$8-0.000000001,H3492&lt;=01_因子設定!$M$8+0.000000001,IF(01_因子設定!$B$20="Box-Behnken",E3492^2+F3492^2+G3492^2+H3492^2&lt;=2+0.000000001,TRUE()))</f>
        <v>1</v>
      </c>
      <c r="AD3492" s="55" t="n">
        <f aca="false">IF(AC3492,IF(01_因子設定!$B$13="最大化",AA3492-01_因子設定!$B$14,IF(01_因子設定!$B$13="最小化",01_因子設定!$B$15-AB3492,MIN(AA3492-01_因子設定!$B$14,01_因子設定!$B$15-AB3492))),-1E+030)</f>
        <v>-1.97897510421287</v>
      </c>
      <c r="AE3492" s="55" t="n">
        <f aca="false">IF(AC3492,IF(01_因子設定!$B$13="最大化",X3492,IF(01_因子設定!$B$13="最小化",-X3492,-ABS(X3492-01_因子設定!$B$16))),-1E+030)</f>
        <v>46.1259320175438</v>
      </c>
      <c r="AF3492" s="55" t="n">
        <f aca="false">AD3492+ROW()*0.000000001</f>
        <v>-1.97897161221287</v>
      </c>
      <c r="AG3492" s="55" t="n">
        <f aca="false">AE3492+ROW()*0.000000001</f>
        <v>46.1259355095438</v>
      </c>
    </row>
    <row r="3493" customFormat="false" ht="15" hidden="false" customHeight="false" outlineLevel="0" collapsed="false">
      <c r="A3493" s="0" t="n">
        <v>4</v>
      </c>
      <c r="B3493" s="0" t="n">
        <v>7</v>
      </c>
      <c r="C3493" s="0" t="n">
        <v>0</v>
      </c>
      <c r="D3493" s="0" t="n">
        <v>5</v>
      </c>
      <c r="E3493" s="0" t="n">
        <f aca="false">-1+A3493*0.25</f>
        <v>0</v>
      </c>
      <c r="F3493" s="0" t="n">
        <f aca="false">-1+B3493*0.25</f>
        <v>0.75</v>
      </c>
      <c r="G3493" s="0" t="n">
        <f aca="false">-1+C3493*0.25</f>
        <v>-1</v>
      </c>
      <c r="H3493" s="0" t="n">
        <f aca="false">-1+D3493*0.25</f>
        <v>0.25</v>
      </c>
      <c r="I3493" s="0" t="n">
        <f aca="false">1</f>
        <v>1</v>
      </c>
      <c r="J3493" s="0" t="n">
        <f aca="false">E3493</f>
        <v>0</v>
      </c>
      <c r="K3493" s="0" t="n">
        <f aca="false">F3493</f>
        <v>0.75</v>
      </c>
      <c r="L3493" s="0" t="n">
        <f aca="false">G3493</f>
        <v>-1</v>
      </c>
      <c r="M3493" s="0" t="n">
        <f aca="false">H3493</f>
        <v>0.25</v>
      </c>
      <c r="N3493" s="0" t="n">
        <f aca="false">E3493*F3493</f>
        <v>0</v>
      </c>
      <c r="O3493" s="0" t="n">
        <f aca="false">E3493*G3493</f>
        <v>-0</v>
      </c>
      <c r="P3493" s="0" t="n">
        <f aca="false">E3493*H3493</f>
        <v>0</v>
      </c>
      <c r="Q3493" s="0" t="n">
        <f aca="false">F3493*G3493</f>
        <v>-0.75</v>
      </c>
      <c r="R3493" s="0" t="n">
        <f aca="false">F3493*H3493</f>
        <v>0.1875</v>
      </c>
      <c r="S3493" s="0" t="n">
        <f aca="false">G3493*H3493</f>
        <v>-0.25</v>
      </c>
      <c r="T3493" s="0" t="n">
        <f aca="false">E3493*E3493</f>
        <v>0</v>
      </c>
      <c r="U3493" s="0" t="n">
        <f aca="false">F3493*F3493</f>
        <v>0.5625</v>
      </c>
      <c r="V3493" s="0" t="n">
        <f aca="false">G3493*G3493</f>
        <v>1</v>
      </c>
      <c r="W3493" s="0" t="n">
        <f aca="false">H3493*H3493</f>
        <v>0.0625</v>
      </c>
      <c r="X3493" s="0" t="n">
        <f aca="false">SUMPRODUCT(I3493:W3493,_XtX!$B$96:$P$96)</f>
        <v>46.0916986476608</v>
      </c>
      <c r="Y3493" s="0" t="n">
        <f aca="false">SUMPRODUCT(MMULT(I3493:W3493,_XtX!$B$78:$P$92),I3493:W3493)</f>
        <v>0.501534802174708</v>
      </c>
      <c r="Z3493" s="0" t="n">
        <f aca="false">04_回帰ANOVA!$K$19*04_回帰ANOVA!$K$14*SQRT(1+Y3493)</f>
        <v>1.59722498091333</v>
      </c>
      <c r="AA3493" s="0" t="n">
        <f aca="false">X3493-Z3493</f>
        <v>44.4944736667474</v>
      </c>
      <c r="AB3493" s="0" t="n">
        <f aca="false">X3493+Z3493</f>
        <v>47.6889236285741</v>
      </c>
      <c r="AC3493" s="54" t="b">
        <f aca="false">AND(E3493&gt;=01_因子設定!$L$5-0.000000001,E3493&lt;=01_因子設定!$M$5+0.000000001,F3493&gt;=01_因子設定!$L$6-0.000000001,F3493&lt;=01_因子設定!$M$6+0.000000001,G3493&gt;=01_因子設定!$L$7-0.000000001,G3493&lt;=01_因子設定!$M$7+0.000000001,H3493&gt;=01_因子設定!$L$8-0.000000001,H3493&lt;=01_因子設定!$M$8+0.000000001,IF(01_因子設定!$B$20="Box-Behnken",E3493^2+F3493^2+G3493^2+H3493^2&lt;=2+0.000000001,TRUE()))</f>
        <v>1</v>
      </c>
      <c r="AD3493" s="55" t="n">
        <f aca="false">IF(AC3493,IF(01_因子設定!$B$13="最大化",AA3493-01_因子設定!$B$14,IF(01_因子設定!$B$13="最小化",01_因子設定!$B$15-AB3493,MIN(AA3493-01_因子設定!$B$14,01_因子設定!$B$15-AB3493))),-1E+030)</f>
        <v>-2.00552633325258</v>
      </c>
      <c r="AE3493" s="55" t="n">
        <f aca="false">IF(AC3493,IF(01_因子設定!$B$13="最大化",X3493,IF(01_因子設定!$B$13="最小化",-X3493,-ABS(X3493-01_因子設定!$B$16))),-1E+030)</f>
        <v>46.0916986476608</v>
      </c>
      <c r="AF3493" s="55" t="n">
        <f aca="false">AD3493+ROW()*0.000000001</f>
        <v>-2.00552284025258</v>
      </c>
      <c r="AG3493" s="55" t="n">
        <f aca="false">AE3493+ROW()*0.000000001</f>
        <v>46.0917021406608</v>
      </c>
    </row>
    <row r="3494" customFormat="false" ht="15" hidden="false" customHeight="false" outlineLevel="0" collapsed="false">
      <c r="A3494" s="0" t="n">
        <v>4</v>
      </c>
      <c r="B3494" s="0" t="n">
        <v>7</v>
      </c>
      <c r="C3494" s="0" t="n">
        <v>0</v>
      </c>
      <c r="D3494" s="0" t="n">
        <v>6</v>
      </c>
      <c r="E3494" s="0" t="n">
        <f aca="false">-1+A3494*0.25</f>
        <v>0</v>
      </c>
      <c r="F3494" s="0" t="n">
        <f aca="false">-1+B3494*0.25</f>
        <v>0.75</v>
      </c>
      <c r="G3494" s="0" t="n">
        <f aca="false">-1+C3494*0.25</f>
        <v>-1</v>
      </c>
      <c r="H3494" s="0" t="n">
        <f aca="false">-1+D3494*0.25</f>
        <v>0.5</v>
      </c>
      <c r="I3494" s="0" t="n">
        <f aca="false">1</f>
        <v>1</v>
      </c>
      <c r="J3494" s="0" t="n">
        <f aca="false">E3494</f>
        <v>0</v>
      </c>
      <c r="K3494" s="0" t="n">
        <f aca="false">F3494</f>
        <v>0.75</v>
      </c>
      <c r="L3494" s="0" t="n">
        <f aca="false">G3494</f>
        <v>-1</v>
      </c>
      <c r="M3494" s="0" t="n">
        <f aca="false">H3494</f>
        <v>0.5</v>
      </c>
      <c r="N3494" s="0" t="n">
        <f aca="false">E3494*F3494</f>
        <v>0</v>
      </c>
      <c r="O3494" s="0" t="n">
        <f aca="false">E3494*G3494</f>
        <v>-0</v>
      </c>
      <c r="P3494" s="0" t="n">
        <f aca="false">E3494*H3494</f>
        <v>0</v>
      </c>
      <c r="Q3494" s="0" t="n">
        <f aca="false">F3494*G3494</f>
        <v>-0.75</v>
      </c>
      <c r="R3494" s="0" t="n">
        <f aca="false">F3494*H3494</f>
        <v>0.375</v>
      </c>
      <c r="S3494" s="0" t="n">
        <f aca="false">G3494*H3494</f>
        <v>-0.5</v>
      </c>
      <c r="T3494" s="0" t="n">
        <f aca="false">E3494*E3494</f>
        <v>0</v>
      </c>
      <c r="U3494" s="0" t="n">
        <f aca="false">F3494*F3494</f>
        <v>0.5625</v>
      </c>
      <c r="V3494" s="0" t="n">
        <f aca="false">G3494*G3494</f>
        <v>1</v>
      </c>
      <c r="W3494" s="0" t="n">
        <f aca="false">H3494*H3494</f>
        <v>0.25</v>
      </c>
      <c r="X3494" s="0" t="n">
        <f aca="false">SUMPRODUCT(I3494:W3494,_XtX!$B$96:$P$96)</f>
        <v>46.0096582602339</v>
      </c>
      <c r="Y3494" s="0" t="n">
        <f aca="false">SUMPRODUCT(MMULT(I3494:W3494,_XtX!$B$78:$P$92),I3494:W3494)</f>
        <v>0.476191292032164</v>
      </c>
      <c r="Z3494" s="0" t="n">
        <f aca="false">04_回帰ANOVA!$K$19*04_回帰ANOVA!$K$14*SQRT(1+Y3494)</f>
        <v>1.58368831471718</v>
      </c>
      <c r="AA3494" s="0" t="n">
        <f aca="false">X3494-Z3494</f>
        <v>44.4259699455167</v>
      </c>
      <c r="AB3494" s="0" t="n">
        <f aca="false">X3494+Z3494</f>
        <v>47.593346574951</v>
      </c>
      <c r="AC3494" s="54" t="b">
        <f aca="false">AND(E3494&gt;=01_因子設定!$L$5-0.000000001,E3494&lt;=01_因子設定!$M$5+0.000000001,F3494&gt;=01_因子設定!$L$6-0.000000001,F3494&lt;=01_因子設定!$M$6+0.000000001,G3494&gt;=01_因子設定!$L$7-0.000000001,G3494&lt;=01_因子設定!$M$7+0.000000001,H3494&gt;=01_因子設定!$L$8-0.000000001,H3494&lt;=01_因子設定!$M$8+0.000000001,IF(01_因子設定!$B$20="Box-Behnken",E3494^2+F3494^2+G3494^2+H3494^2&lt;=2+0.000000001,TRUE()))</f>
        <v>1</v>
      </c>
      <c r="AD3494" s="55" t="n">
        <f aca="false">IF(AC3494,IF(01_因子設定!$B$13="最大化",AA3494-01_因子設定!$B$14,IF(01_因子設定!$B$13="最小化",01_因子設定!$B$15-AB3494,MIN(AA3494-01_因子設定!$B$14,01_因子設定!$B$15-AB3494))),-1E+030)</f>
        <v>-2.07403005448332</v>
      </c>
      <c r="AE3494" s="55" t="n">
        <f aca="false">IF(AC3494,IF(01_因子設定!$B$13="最大化",X3494,IF(01_因子設定!$B$13="最小化",-X3494,-ABS(X3494-01_因子設定!$B$16))),-1E+030)</f>
        <v>46.0096582602339</v>
      </c>
      <c r="AF3494" s="55" t="n">
        <f aca="false">AD3494+ROW()*0.000000001</f>
        <v>-2.07402656048332</v>
      </c>
      <c r="AG3494" s="55" t="n">
        <f aca="false">AE3494+ROW()*0.000000001</f>
        <v>46.0096617542339</v>
      </c>
    </row>
    <row r="3495" customFormat="false" ht="15" hidden="false" customHeight="false" outlineLevel="0" collapsed="false">
      <c r="A3495" s="0" t="n">
        <v>4</v>
      </c>
      <c r="B3495" s="0" t="n">
        <v>7</v>
      </c>
      <c r="C3495" s="0" t="n">
        <v>0</v>
      </c>
      <c r="D3495" s="0" t="n">
        <v>7</v>
      </c>
      <c r="E3495" s="0" t="n">
        <f aca="false">-1+A3495*0.25</f>
        <v>0</v>
      </c>
      <c r="F3495" s="0" t="n">
        <f aca="false">-1+B3495*0.25</f>
        <v>0.75</v>
      </c>
      <c r="G3495" s="0" t="n">
        <f aca="false">-1+C3495*0.25</f>
        <v>-1</v>
      </c>
      <c r="H3495" s="0" t="n">
        <f aca="false">-1+D3495*0.25</f>
        <v>0.75</v>
      </c>
      <c r="I3495" s="0" t="n">
        <f aca="false">1</f>
        <v>1</v>
      </c>
      <c r="J3495" s="0" t="n">
        <f aca="false">E3495</f>
        <v>0</v>
      </c>
      <c r="K3495" s="0" t="n">
        <f aca="false">F3495</f>
        <v>0.75</v>
      </c>
      <c r="L3495" s="0" t="n">
        <f aca="false">G3495</f>
        <v>-1</v>
      </c>
      <c r="M3495" s="0" t="n">
        <f aca="false">H3495</f>
        <v>0.75</v>
      </c>
      <c r="N3495" s="0" t="n">
        <f aca="false">E3495*F3495</f>
        <v>0</v>
      </c>
      <c r="O3495" s="0" t="n">
        <f aca="false">E3495*G3495</f>
        <v>-0</v>
      </c>
      <c r="P3495" s="0" t="n">
        <f aca="false">E3495*H3495</f>
        <v>0</v>
      </c>
      <c r="Q3495" s="0" t="n">
        <f aca="false">F3495*G3495</f>
        <v>-0.75</v>
      </c>
      <c r="R3495" s="0" t="n">
        <f aca="false">F3495*H3495</f>
        <v>0.5625</v>
      </c>
      <c r="S3495" s="0" t="n">
        <f aca="false">G3495*H3495</f>
        <v>-0.75</v>
      </c>
      <c r="T3495" s="0" t="n">
        <f aca="false">E3495*E3495</f>
        <v>0</v>
      </c>
      <c r="U3495" s="0" t="n">
        <f aca="false">F3495*F3495</f>
        <v>0.5625</v>
      </c>
      <c r="V3495" s="0" t="n">
        <f aca="false">G3495*G3495</f>
        <v>1</v>
      </c>
      <c r="W3495" s="0" t="n">
        <f aca="false">H3495*H3495</f>
        <v>0.5625</v>
      </c>
      <c r="X3495" s="0" t="n">
        <f aca="false">SUMPRODUCT(I3495:W3495,_XtX!$B$96:$P$96)</f>
        <v>45.8798108552631</v>
      </c>
      <c r="Y3495" s="0" t="n">
        <f aca="false">SUMPRODUCT(MMULT(I3495:W3495,_XtX!$B$78:$P$92),I3495:W3495)</f>
        <v>0.494259126005117</v>
      </c>
      <c r="Z3495" s="0" t="n">
        <f aca="false">04_回帰ANOVA!$K$19*04_回帰ANOVA!$K$14*SQRT(1+Y3495)</f>
        <v>1.59335061078203</v>
      </c>
      <c r="AA3495" s="0" t="n">
        <f aca="false">X3495-Z3495</f>
        <v>44.2864602444811</v>
      </c>
      <c r="AB3495" s="0" t="n">
        <f aca="false">X3495+Z3495</f>
        <v>47.4731614660451</v>
      </c>
      <c r="AC3495" s="54" t="b">
        <f aca="false">AND(E3495&gt;=01_因子設定!$L$5-0.000000001,E3495&lt;=01_因子設定!$M$5+0.000000001,F3495&gt;=01_因子設定!$L$6-0.000000001,F3495&lt;=01_因子設定!$M$6+0.000000001,G3495&gt;=01_因子設定!$L$7-0.000000001,G3495&lt;=01_因子設定!$M$7+0.000000001,H3495&gt;=01_因子設定!$L$8-0.000000001,H3495&lt;=01_因子設定!$M$8+0.000000001,IF(01_因子設定!$B$20="Box-Behnken",E3495^2+F3495^2+G3495^2+H3495^2&lt;=2+0.000000001,TRUE()))</f>
        <v>1</v>
      </c>
      <c r="AD3495" s="55" t="n">
        <f aca="false">IF(AC3495,IF(01_因子設定!$B$13="最大化",AA3495-01_因子設定!$B$14,IF(01_因子設定!$B$13="最小化",01_因子設定!$B$15-AB3495,MIN(AA3495-01_因子設定!$B$14,01_因子設定!$B$15-AB3495))),-1E+030)</f>
        <v>-2.21353975551891</v>
      </c>
      <c r="AE3495" s="55" t="n">
        <f aca="false">IF(AC3495,IF(01_因子設定!$B$13="最大化",X3495,IF(01_因子設定!$B$13="最小化",-X3495,-ABS(X3495-01_因子設定!$B$16))),-1E+030)</f>
        <v>45.8798108552631</v>
      </c>
      <c r="AF3495" s="55" t="n">
        <f aca="false">AD3495+ROW()*0.000000001</f>
        <v>-2.21353626051891</v>
      </c>
      <c r="AG3495" s="55" t="n">
        <f aca="false">AE3495+ROW()*0.000000001</f>
        <v>45.8798143502631</v>
      </c>
    </row>
    <row r="3496" customFormat="false" ht="15" hidden="false" customHeight="false" outlineLevel="0" collapsed="false">
      <c r="A3496" s="0" t="n">
        <v>4</v>
      </c>
      <c r="B3496" s="0" t="n">
        <v>7</v>
      </c>
      <c r="C3496" s="0" t="n">
        <v>0</v>
      </c>
      <c r="D3496" s="0" t="n">
        <v>8</v>
      </c>
      <c r="E3496" s="0" t="n">
        <f aca="false">-1+A3496*0.25</f>
        <v>0</v>
      </c>
      <c r="F3496" s="0" t="n">
        <f aca="false">-1+B3496*0.25</f>
        <v>0.75</v>
      </c>
      <c r="G3496" s="0" t="n">
        <f aca="false">-1+C3496*0.25</f>
        <v>-1</v>
      </c>
      <c r="H3496" s="0" t="n">
        <f aca="false">-1+D3496*0.25</f>
        <v>1</v>
      </c>
      <c r="I3496" s="0" t="n">
        <f aca="false">1</f>
        <v>1</v>
      </c>
      <c r="J3496" s="0" t="n">
        <f aca="false">E3496</f>
        <v>0</v>
      </c>
      <c r="K3496" s="0" t="n">
        <f aca="false">F3496</f>
        <v>0.75</v>
      </c>
      <c r="L3496" s="0" t="n">
        <f aca="false">G3496</f>
        <v>-1</v>
      </c>
      <c r="M3496" s="0" t="n">
        <f aca="false">H3496</f>
        <v>1</v>
      </c>
      <c r="N3496" s="0" t="n">
        <f aca="false">E3496*F3496</f>
        <v>0</v>
      </c>
      <c r="O3496" s="0" t="n">
        <f aca="false">E3496*G3496</f>
        <v>-0</v>
      </c>
      <c r="P3496" s="0" t="n">
        <f aca="false">E3496*H3496</f>
        <v>0</v>
      </c>
      <c r="Q3496" s="0" t="n">
        <f aca="false">F3496*G3496</f>
        <v>-0.75</v>
      </c>
      <c r="R3496" s="0" t="n">
        <f aca="false">F3496*H3496</f>
        <v>0.75</v>
      </c>
      <c r="S3496" s="0" t="n">
        <f aca="false">G3496*H3496</f>
        <v>-1</v>
      </c>
      <c r="T3496" s="0" t="n">
        <f aca="false">E3496*E3496</f>
        <v>0</v>
      </c>
      <c r="U3496" s="0" t="n">
        <f aca="false">F3496*F3496</f>
        <v>0.5625</v>
      </c>
      <c r="V3496" s="0" t="n">
        <f aca="false">G3496*G3496</f>
        <v>1</v>
      </c>
      <c r="W3496" s="0" t="n">
        <f aca="false">H3496*H3496</f>
        <v>1</v>
      </c>
      <c r="X3496" s="0" t="n">
        <f aca="false">SUMPRODUCT(I3496:W3496,_XtX!$B$96:$P$96)</f>
        <v>45.7021564327485</v>
      </c>
      <c r="Y3496" s="0" t="n">
        <f aca="false">SUMPRODUCT(MMULT(I3496:W3496,_XtX!$B$78:$P$92),I3496:W3496)</f>
        <v>0.646198830409357</v>
      </c>
      <c r="Z3496" s="0" t="n">
        <f aca="false">04_回帰ANOVA!$K$19*04_回帰ANOVA!$K$14*SQRT(1+Y3496)</f>
        <v>1.67239760569756</v>
      </c>
      <c r="AA3496" s="0" t="n">
        <f aca="false">X3496-Z3496</f>
        <v>44.029758827051</v>
      </c>
      <c r="AB3496" s="0" t="n">
        <f aca="false">X3496+Z3496</f>
        <v>47.3745540384461</v>
      </c>
      <c r="AC3496" s="54" t="b">
        <f aca="false">AND(E3496&gt;=01_因子設定!$L$5-0.000000001,E3496&lt;=01_因子設定!$M$5+0.000000001,F3496&gt;=01_因子設定!$L$6-0.000000001,F3496&lt;=01_因子設定!$M$6+0.000000001,G3496&gt;=01_因子設定!$L$7-0.000000001,G3496&lt;=01_因子設定!$M$7+0.000000001,H3496&gt;=01_因子設定!$L$8-0.000000001,H3496&lt;=01_因子設定!$M$8+0.000000001,IF(01_因子設定!$B$20="Box-Behnken",E3496^2+F3496^2+G3496^2+H3496^2&lt;=2+0.000000001,TRUE()))</f>
        <v>1</v>
      </c>
      <c r="AD3496" s="55" t="n">
        <f aca="false">IF(AC3496,IF(01_因子設定!$B$13="最大化",AA3496-01_因子設定!$B$14,IF(01_因子設定!$B$13="最小化",01_因子設定!$B$15-AB3496,MIN(AA3496-01_因子設定!$B$14,01_因子設定!$B$15-AB3496))),-1E+030)</f>
        <v>-2.47024117294905</v>
      </c>
      <c r="AE3496" s="55" t="n">
        <f aca="false">IF(AC3496,IF(01_因子設定!$B$13="最大化",X3496,IF(01_因子設定!$B$13="最小化",-X3496,-ABS(X3496-01_因子設定!$B$16))),-1E+030)</f>
        <v>45.7021564327485</v>
      </c>
      <c r="AF3496" s="55" t="n">
        <f aca="false">AD3496+ROW()*0.000000001</f>
        <v>-2.47023767694905</v>
      </c>
      <c r="AG3496" s="55" t="n">
        <f aca="false">AE3496+ROW()*0.000000001</f>
        <v>45.7021599287485</v>
      </c>
    </row>
    <row r="3497" customFormat="false" ht="15" hidden="false" customHeight="false" outlineLevel="0" collapsed="false">
      <c r="A3497" s="0" t="n">
        <v>4</v>
      </c>
      <c r="B3497" s="0" t="n">
        <v>7</v>
      </c>
      <c r="C3497" s="0" t="n">
        <v>1</v>
      </c>
      <c r="D3497" s="0" t="n">
        <v>0</v>
      </c>
      <c r="E3497" s="0" t="n">
        <f aca="false">-1+A3497*0.25</f>
        <v>0</v>
      </c>
      <c r="F3497" s="0" t="n">
        <f aca="false">-1+B3497*0.25</f>
        <v>0.75</v>
      </c>
      <c r="G3497" s="0" t="n">
        <f aca="false">-1+C3497*0.25</f>
        <v>-0.75</v>
      </c>
      <c r="H3497" s="0" t="n">
        <f aca="false">-1+D3497*0.25</f>
        <v>-1</v>
      </c>
      <c r="I3497" s="0" t="n">
        <f aca="false">1</f>
        <v>1</v>
      </c>
      <c r="J3497" s="0" t="n">
        <f aca="false">E3497</f>
        <v>0</v>
      </c>
      <c r="K3497" s="0" t="n">
        <f aca="false">F3497</f>
        <v>0.75</v>
      </c>
      <c r="L3497" s="0" t="n">
        <f aca="false">G3497</f>
        <v>-0.75</v>
      </c>
      <c r="M3497" s="0" t="n">
        <f aca="false">H3497</f>
        <v>-1</v>
      </c>
      <c r="N3497" s="0" t="n">
        <f aca="false">E3497*F3497</f>
        <v>0</v>
      </c>
      <c r="O3497" s="0" t="n">
        <f aca="false">E3497*G3497</f>
        <v>-0</v>
      </c>
      <c r="P3497" s="0" t="n">
        <f aca="false">E3497*H3497</f>
        <v>-0</v>
      </c>
      <c r="Q3497" s="0" t="n">
        <f aca="false">F3497*G3497</f>
        <v>-0.5625</v>
      </c>
      <c r="R3497" s="0" t="n">
        <f aca="false">F3497*H3497</f>
        <v>-0.75</v>
      </c>
      <c r="S3497" s="0" t="n">
        <f aca="false">G3497*H3497</f>
        <v>0.75</v>
      </c>
      <c r="T3497" s="0" t="n">
        <f aca="false">E3497*E3497</f>
        <v>0</v>
      </c>
      <c r="U3497" s="0" t="n">
        <f aca="false">F3497*F3497</f>
        <v>0.5625</v>
      </c>
      <c r="V3497" s="0" t="n">
        <f aca="false">G3497*G3497</f>
        <v>0.5625</v>
      </c>
      <c r="W3497" s="0" t="n">
        <f aca="false">H3497*H3497</f>
        <v>1</v>
      </c>
      <c r="X3497" s="0" t="n">
        <f aca="false">SUMPRODUCT(I3497:W3497,_XtX!$B$96:$P$96)</f>
        <v>46.3159219663742</v>
      </c>
      <c r="Y3497" s="0" t="n">
        <f aca="false">SUMPRODUCT(MMULT(I3497:W3497,_XtX!$B$78:$P$92),I3497:W3497)</f>
        <v>0.494259126005117</v>
      </c>
      <c r="Z3497" s="0" t="n">
        <f aca="false">04_回帰ANOVA!$K$19*04_回帰ANOVA!$K$14*SQRT(1+Y3497)</f>
        <v>1.59335061078203</v>
      </c>
      <c r="AA3497" s="0" t="n">
        <f aca="false">X3497-Z3497</f>
        <v>44.7225713555922</v>
      </c>
      <c r="AB3497" s="0" t="n">
        <f aca="false">X3497+Z3497</f>
        <v>47.9092725771563</v>
      </c>
      <c r="AC3497" s="54" t="b">
        <f aca="false">AND(E3497&gt;=01_因子設定!$L$5-0.000000001,E3497&lt;=01_因子設定!$M$5+0.000000001,F3497&gt;=01_因子設定!$L$6-0.000000001,F3497&lt;=01_因子設定!$M$6+0.000000001,G3497&gt;=01_因子設定!$L$7-0.000000001,G3497&lt;=01_因子設定!$M$7+0.000000001,H3497&gt;=01_因子設定!$L$8-0.000000001,H3497&lt;=01_因子設定!$M$8+0.000000001,IF(01_因子設定!$B$20="Box-Behnken",E3497^2+F3497^2+G3497^2+H3497^2&lt;=2+0.000000001,TRUE()))</f>
        <v>1</v>
      </c>
      <c r="AD3497" s="55" t="n">
        <f aca="false">IF(AC3497,IF(01_因子設定!$B$13="最大化",AA3497-01_因子設定!$B$14,IF(01_因子設定!$B$13="最小化",01_因子設定!$B$15-AB3497,MIN(AA3497-01_因子設定!$B$14,01_因子設定!$B$15-AB3497))),-1E+030)</f>
        <v>-1.77742864440778</v>
      </c>
      <c r="AE3497" s="55" t="n">
        <f aca="false">IF(AC3497,IF(01_因子設定!$B$13="最大化",X3497,IF(01_因子設定!$B$13="最小化",-X3497,-ABS(X3497-01_因子設定!$B$16))),-1E+030)</f>
        <v>46.3159219663742</v>
      </c>
      <c r="AF3497" s="55" t="n">
        <f aca="false">AD3497+ROW()*0.000000001</f>
        <v>-1.77742514740778</v>
      </c>
      <c r="AG3497" s="55" t="n">
        <f aca="false">AE3497+ROW()*0.000000001</f>
        <v>46.3159254633742</v>
      </c>
    </row>
    <row r="3498" customFormat="false" ht="15" hidden="false" customHeight="false" outlineLevel="0" collapsed="false">
      <c r="A3498" s="0" t="n">
        <v>4</v>
      </c>
      <c r="B3498" s="0" t="n">
        <v>7</v>
      </c>
      <c r="C3498" s="0" t="n">
        <v>1</v>
      </c>
      <c r="D3498" s="0" t="n">
        <v>1</v>
      </c>
      <c r="E3498" s="0" t="n">
        <f aca="false">-1+A3498*0.25</f>
        <v>0</v>
      </c>
      <c r="F3498" s="0" t="n">
        <f aca="false">-1+B3498*0.25</f>
        <v>0.75</v>
      </c>
      <c r="G3498" s="0" t="n">
        <f aca="false">-1+C3498*0.25</f>
        <v>-0.75</v>
      </c>
      <c r="H3498" s="0" t="n">
        <f aca="false">-1+D3498*0.25</f>
        <v>-0.75</v>
      </c>
      <c r="I3498" s="0" t="n">
        <f aca="false">1</f>
        <v>1</v>
      </c>
      <c r="J3498" s="0" t="n">
        <f aca="false">E3498</f>
        <v>0</v>
      </c>
      <c r="K3498" s="0" t="n">
        <f aca="false">F3498</f>
        <v>0.75</v>
      </c>
      <c r="L3498" s="0" t="n">
        <f aca="false">G3498</f>
        <v>-0.75</v>
      </c>
      <c r="M3498" s="0" t="n">
        <f aca="false">H3498</f>
        <v>-0.75</v>
      </c>
      <c r="N3498" s="0" t="n">
        <f aca="false">E3498*F3498</f>
        <v>0</v>
      </c>
      <c r="O3498" s="0" t="n">
        <f aca="false">E3498*G3498</f>
        <v>-0</v>
      </c>
      <c r="P3498" s="0" t="n">
        <f aca="false">E3498*H3498</f>
        <v>-0</v>
      </c>
      <c r="Q3498" s="0" t="n">
        <f aca="false">F3498*G3498</f>
        <v>-0.5625</v>
      </c>
      <c r="R3498" s="0" t="n">
        <f aca="false">F3498*H3498</f>
        <v>-0.5625</v>
      </c>
      <c r="S3498" s="0" t="n">
        <f aca="false">G3498*H3498</f>
        <v>0.5625</v>
      </c>
      <c r="T3498" s="0" t="n">
        <f aca="false">E3498*E3498</f>
        <v>0</v>
      </c>
      <c r="U3498" s="0" t="n">
        <f aca="false">F3498*F3498</f>
        <v>0.5625</v>
      </c>
      <c r="V3498" s="0" t="n">
        <f aca="false">G3498*G3498</f>
        <v>0.5625</v>
      </c>
      <c r="W3498" s="0" t="n">
        <f aca="false">H3498*H3498</f>
        <v>0.5625</v>
      </c>
      <c r="X3498" s="0" t="n">
        <f aca="false">SUMPRODUCT(I3498:W3498,_XtX!$B$96:$P$96)</f>
        <v>46.4908854166666</v>
      </c>
      <c r="Y3498" s="0" t="n">
        <f aca="false">SUMPRODUCT(MMULT(I3498:W3498,_XtX!$B$78:$P$92),I3498:W3498)</f>
        <v>0.310628255208333</v>
      </c>
      <c r="Z3498" s="0" t="n">
        <f aca="false">04_回帰ANOVA!$K$19*04_回帰ANOVA!$K$14*SQRT(1+Y3498)</f>
        <v>1.49223820892344</v>
      </c>
      <c r="AA3498" s="0" t="n">
        <f aca="false">X3498-Z3498</f>
        <v>44.9986472077432</v>
      </c>
      <c r="AB3498" s="0" t="n">
        <f aca="false">X3498+Z3498</f>
        <v>47.9831236255901</v>
      </c>
      <c r="AC3498" s="54" t="b">
        <f aca="false">AND(E3498&gt;=01_因子設定!$L$5-0.000000001,E3498&lt;=01_因子設定!$M$5+0.000000001,F3498&gt;=01_因子設定!$L$6-0.000000001,F3498&lt;=01_因子設定!$M$6+0.000000001,G3498&gt;=01_因子設定!$L$7-0.000000001,G3498&lt;=01_因子設定!$M$7+0.000000001,H3498&gt;=01_因子設定!$L$8-0.000000001,H3498&lt;=01_因子設定!$M$8+0.000000001,IF(01_因子設定!$B$20="Box-Behnken",E3498^2+F3498^2+G3498^2+H3498^2&lt;=2+0.000000001,TRUE()))</f>
        <v>1</v>
      </c>
      <c r="AD3498" s="55" t="n">
        <f aca="false">IF(AC3498,IF(01_因子設定!$B$13="最大化",AA3498-01_因子設定!$B$14,IF(01_因子設定!$B$13="最小化",01_因子設定!$B$15-AB3498,MIN(AA3498-01_因子設定!$B$14,01_因子設定!$B$15-AB3498))),-1E+030)</f>
        <v>-1.50135279225682</v>
      </c>
      <c r="AE3498" s="55" t="n">
        <f aca="false">IF(AC3498,IF(01_因子設定!$B$13="最大化",X3498,IF(01_因子設定!$B$13="最小化",-X3498,-ABS(X3498-01_因子設定!$B$16))),-1E+030)</f>
        <v>46.4908854166666</v>
      </c>
      <c r="AF3498" s="55" t="n">
        <f aca="false">AD3498+ROW()*0.000000001</f>
        <v>-1.50134929425682</v>
      </c>
      <c r="AG3498" s="55" t="n">
        <f aca="false">AE3498+ROW()*0.000000001</f>
        <v>46.4908889146666</v>
      </c>
    </row>
    <row r="3499" customFormat="false" ht="15" hidden="false" customHeight="false" outlineLevel="0" collapsed="false">
      <c r="A3499" s="0" t="n">
        <v>4</v>
      </c>
      <c r="B3499" s="0" t="n">
        <v>7</v>
      </c>
      <c r="C3499" s="0" t="n">
        <v>1</v>
      </c>
      <c r="D3499" s="0" t="n">
        <v>2</v>
      </c>
      <c r="E3499" s="0" t="n">
        <f aca="false">-1+A3499*0.25</f>
        <v>0</v>
      </c>
      <c r="F3499" s="0" t="n">
        <f aca="false">-1+B3499*0.25</f>
        <v>0.75</v>
      </c>
      <c r="G3499" s="0" t="n">
        <f aca="false">-1+C3499*0.25</f>
        <v>-0.75</v>
      </c>
      <c r="H3499" s="0" t="n">
        <f aca="false">-1+D3499*0.25</f>
        <v>-0.5</v>
      </c>
      <c r="I3499" s="0" t="n">
        <f aca="false">1</f>
        <v>1</v>
      </c>
      <c r="J3499" s="0" t="n">
        <f aca="false">E3499</f>
        <v>0</v>
      </c>
      <c r="K3499" s="0" t="n">
        <f aca="false">F3499</f>
        <v>0.75</v>
      </c>
      <c r="L3499" s="0" t="n">
        <f aca="false">G3499</f>
        <v>-0.75</v>
      </c>
      <c r="M3499" s="0" t="n">
        <f aca="false">H3499</f>
        <v>-0.5</v>
      </c>
      <c r="N3499" s="0" t="n">
        <f aca="false">E3499*F3499</f>
        <v>0</v>
      </c>
      <c r="O3499" s="0" t="n">
        <f aca="false">E3499*G3499</f>
        <v>-0</v>
      </c>
      <c r="P3499" s="0" t="n">
        <f aca="false">E3499*H3499</f>
        <v>-0</v>
      </c>
      <c r="Q3499" s="0" t="n">
        <f aca="false">F3499*G3499</f>
        <v>-0.5625</v>
      </c>
      <c r="R3499" s="0" t="n">
        <f aca="false">F3499*H3499</f>
        <v>-0.375</v>
      </c>
      <c r="S3499" s="0" t="n">
        <f aca="false">G3499*H3499</f>
        <v>0.375</v>
      </c>
      <c r="T3499" s="0" t="n">
        <f aca="false">E3499*E3499</f>
        <v>0</v>
      </c>
      <c r="U3499" s="0" t="n">
        <f aca="false">F3499*F3499</f>
        <v>0.5625</v>
      </c>
      <c r="V3499" s="0" t="n">
        <f aca="false">G3499*G3499</f>
        <v>0.5625</v>
      </c>
      <c r="W3499" s="0" t="n">
        <f aca="false">H3499*H3499</f>
        <v>0.25</v>
      </c>
      <c r="X3499" s="0" t="n">
        <f aca="false">SUMPRODUCT(I3499:W3499,_XtX!$B$96:$P$96)</f>
        <v>46.6180418494152</v>
      </c>
      <c r="Y3499" s="0" t="n">
        <f aca="false">SUMPRODUCT(MMULT(I3499:W3499,_XtX!$B$78:$P$92),I3499:W3499)</f>
        <v>0.269923873812135</v>
      </c>
      <c r="Z3499" s="0" t="n">
        <f aca="false">04_回帰ANOVA!$K$19*04_回帰ANOVA!$K$14*SQRT(1+Y3499)</f>
        <v>1.46888310825501</v>
      </c>
      <c r="AA3499" s="0" t="n">
        <f aca="false">X3499-Z3499</f>
        <v>45.1491587411601</v>
      </c>
      <c r="AB3499" s="0" t="n">
        <f aca="false">X3499+Z3499</f>
        <v>48.0869249576702</v>
      </c>
      <c r="AC3499" s="54" t="b">
        <f aca="false">AND(E3499&gt;=01_因子設定!$L$5-0.000000001,E3499&lt;=01_因子設定!$M$5+0.000000001,F3499&gt;=01_因子設定!$L$6-0.000000001,F3499&lt;=01_因子設定!$M$6+0.000000001,G3499&gt;=01_因子設定!$L$7-0.000000001,G3499&lt;=01_因子設定!$M$7+0.000000001,H3499&gt;=01_因子設定!$L$8-0.000000001,H3499&lt;=01_因子設定!$M$8+0.000000001,IF(01_因子設定!$B$20="Box-Behnken",E3499^2+F3499^2+G3499^2+H3499^2&lt;=2+0.000000001,TRUE()))</f>
        <v>1</v>
      </c>
      <c r="AD3499" s="55" t="n">
        <f aca="false">IF(AC3499,IF(01_因子設定!$B$13="最大化",AA3499-01_因子設定!$B$14,IF(01_因子設定!$B$13="最小化",01_因子設定!$B$15-AB3499,MIN(AA3499-01_因子設定!$B$14,01_因子設定!$B$15-AB3499))),-1E+030)</f>
        <v>-1.35084125883986</v>
      </c>
      <c r="AE3499" s="55" t="n">
        <f aca="false">IF(AC3499,IF(01_因子設定!$B$13="最大化",X3499,IF(01_因子設定!$B$13="最小化",-X3499,-ABS(X3499-01_因子設定!$B$16))),-1E+030)</f>
        <v>46.6180418494152</v>
      </c>
      <c r="AF3499" s="55" t="n">
        <f aca="false">AD3499+ROW()*0.000000001</f>
        <v>-1.35083775983986</v>
      </c>
      <c r="AG3499" s="55" t="n">
        <f aca="false">AE3499+ROW()*0.000000001</f>
        <v>46.6180453484152</v>
      </c>
    </row>
    <row r="3500" customFormat="false" ht="15" hidden="false" customHeight="false" outlineLevel="0" collapsed="false">
      <c r="A3500" s="0" t="n">
        <v>4</v>
      </c>
      <c r="B3500" s="0" t="n">
        <v>7</v>
      </c>
      <c r="C3500" s="0" t="n">
        <v>1</v>
      </c>
      <c r="D3500" s="0" t="n">
        <v>3</v>
      </c>
      <c r="E3500" s="0" t="n">
        <f aca="false">-1+A3500*0.25</f>
        <v>0</v>
      </c>
      <c r="F3500" s="0" t="n">
        <f aca="false">-1+B3500*0.25</f>
        <v>0.75</v>
      </c>
      <c r="G3500" s="0" t="n">
        <f aca="false">-1+C3500*0.25</f>
        <v>-0.75</v>
      </c>
      <c r="H3500" s="0" t="n">
        <f aca="false">-1+D3500*0.25</f>
        <v>-0.25</v>
      </c>
      <c r="I3500" s="0" t="n">
        <f aca="false">1</f>
        <v>1</v>
      </c>
      <c r="J3500" s="0" t="n">
        <f aca="false">E3500</f>
        <v>0</v>
      </c>
      <c r="K3500" s="0" t="n">
        <f aca="false">F3500</f>
        <v>0.75</v>
      </c>
      <c r="L3500" s="0" t="n">
        <f aca="false">G3500</f>
        <v>-0.75</v>
      </c>
      <c r="M3500" s="0" t="n">
        <f aca="false">H3500</f>
        <v>-0.25</v>
      </c>
      <c r="N3500" s="0" t="n">
        <f aca="false">E3500*F3500</f>
        <v>0</v>
      </c>
      <c r="O3500" s="0" t="n">
        <f aca="false">E3500*G3500</f>
        <v>-0</v>
      </c>
      <c r="P3500" s="0" t="n">
        <f aca="false">E3500*H3500</f>
        <v>-0</v>
      </c>
      <c r="Q3500" s="0" t="n">
        <f aca="false">F3500*G3500</f>
        <v>-0.5625</v>
      </c>
      <c r="R3500" s="0" t="n">
        <f aca="false">F3500*H3500</f>
        <v>-0.1875</v>
      </c>
      <c r="S3500" s="0" t="n">
        <f aca="false">G3500*H3500</f>
        <v>0.1875</v>
      </c>
      <c r="T3500" s="0" t="n">
        <f aca="false">E3500*E3500</f>
        <v>0</v>
      </c>
      <c r="U3500" s="0" t="n">
        <f aca="false">F3500*F3500</f>
        <v>0.5625</v>
      </c>
      <c r="V3500" s="0" t="n">
        <f aca="false">G3500*G3500</f>
        <v>0.5625</v>
      </c>
      <c r="W3500" s="0" t="n">
        <f aca="false">H3500*H3500</f>
        <v>0.0625</v>
      </c>
      <c r="X3500" s="0" t="n">
        <f aca="false">SUMPRODUCT(I3500:W3500,_XtX!$B$96:$P$96)</f>
        <v>46.6973912646198</v>
      </c>
      <c r="Y3500" s="0" t="n">
        <f aca="false">SUMPRODUCT(MMULT(I3500:W3500,_XtX!$B$78:$P$92),I3500:W3500)</f>
        <v>0.281685455500731</v>
      </c>
      <c r="Z3500" s="0" t="n">
        <f aca="false">04_回帰ANOVA!$K$19*04_回帰ANOVA!$K$14*SQRT(1+Y3500)</f>
        <v>1.47566956658694</v>
      </c>
      <c r="AA3500" s="0" t="n">
        <f aca="false">X3500-Z3500</f>
        <v>45.2217216980329</v>
      </c>
      <c r="AB3500" s="0" t="n">
        <f aca="false">X3500+Z3500</f>
        <v>48.1730608312068</v>
      </c>
      <c r="AC3500" s="54" t="b">
        <f aca="false">AND(E3500&gt;=01_因子設定!$L$5-0.000000001,E3500&lt;=01_因子設定!$M$5+0.000000001,F3500&gt;=01_因子設定!$L$6-0.000000001,F3500&lt;=01_因子設定!$M$6+0.000000001,G3500&gt;=01_因子設定!$L$7-0.000000001,G3500&lt;=01_因子設定!$M$7+0.000000001,H3500&gt;=01_因子設定!$L$8-0.000000001,H3500&lt;=01_因子設定!$M$8+0.000000001,IF(01_因子設定!$B$20="Box-Behnken",E3500^2+F3500^2+G3500^2+H3500^2&lt;=2+0.000000001,TRUE()))</f>
        <v>1</v>
      </c>
      <c r="AD3500" s="55" t="n">
        <f aca="false">IF(AC3500,IF(01_因子設定!$B$13="最大化",AA3500-01_因子設定!$B$14,IF(01_因子設定!$B$13="最小化",01_因子設定!$B$15-AB3500,MIN(AA3500-01_因子設定!$B$14,01_因子設定!$B$15-AB3500))),-1E+030)</f>
        <v>-1.27827830196711</v>
      </c>
      <c r="AE3500" s="55" t="n">
        <f aca="false">IF(AC3500,IF(01_因子設定!$B$13="最大化",X3500,IF(01_因子設定!$B$13="最小化",-X3500,-ABS(X3500-01_因子設定!$B$16))),-1E+030)</f>
        <v>46.6973912646198</v>
      </c>
      <c r="AF3500" s="55" t="n">
        <f aca="false">AD3500+ROW()*0.000000001</f>
        <v>-1.27827480196711</v>
      </c>
      <c r="AG3500" s="55" t="n">
        <f aca="false">AE3500+ROW()*0.000000001</f>
        <v>46.6973947646198</v>
      </c>
    </row>
    <row r="3501" customFormat="false" ht="15" hidden="false" customHeight="false" outlineLevel="0" collapsed="false">
      <c r="A3501" s="0" t="n">
        <v>4</v>
      </c>
      <c r="B3501" s="0" t="n">
        <v>7</v>
      </c>
      <c r="C3501" s="0" t="n">
        <v>1</v>
      </c>
      <c r="D3501" s="0" t="n">
        <v>4</v>
      </c>
      <c r="E3501" s="0" t="n">
        <f aca="false">-1+A3501*0.25</f>
        <v>0</v>
      </c>
      <c r="F3501" s="0" t="n">
        <f aca="false">-1+B3501*0.25</f>
        <v>0.75</v>
      </c>
      <c r="G3501" s="0" t="n">
        <f aca="false">-1+C3501*0.25</f>
        <v>-0.75</v>
      </c>
      <c r="H3501" s="0" t="n">
        <f aca="false">-1+D3501*0.25</f>
        <v>0</v>
      </c>
      <c r="I3501" s="0" t="n">
        <f aca="false">1</f>
        <v>1</v>
      </c>
      <c r="J3501" s="0" t="n">
        <f aca="false">E3501</f>
        <v>0</v>
      </c>
      <c r="K3501" s="0" t="n">
        <f aca="false">F3501</f>
        <v>0.75</v>
      </c>
      <c r="L3501" s="0" t="n">
        <f aca="false">G3501</f>
        <v>-0.75</v>
      </c>
      <c r="M3501" s="0" t="n">
        <f aca="false">H3501</f>
        <v>0</v>
      </c>
      <c r="N3501" s="0" t="n">
        <f aca="false">E3501*F3501</f>
        <v>0</v>
      </c>
      <c r="O3501" s="0" t="n">
        <f aca="false">E3501*G3501</f>
        <v>-0</v>
      </c>
      <c r="P3501" s="0" t="n">
        <f aca="false">E3501*H3501</f>
        <v>0</v>
      </c>
      <c r="Q3501" s="0" t="n">
        <f aca="false">F3501*G3501</f>
        <v>-0.5625</v>
      </c>
      <c r="R3501" s="0" t="n">
        <f aca="false">F3501*H3501</f>
        <v>0</v>
      </c>
      <c r="S3501" s="0" t="n">
        <f aca="false">G3501*H3501</f>
        <v>-0</v>
      </c>
      <c r="T3501" s="0" t="n">
        <f aca="false">E3501*E3501</f>
        <v>0</v>
      </c>
      <c r="U3501" s="0" t="n">
        <f aca="false">F3501*F3501</f>
        <v>0.5625</v>
      </c>
      <c r="V3501" s="0" t="n">
        <f aca="false">G3501*G3501</f>
        <v>0.5625</v>
      </c>
      <c r="W3501" s="0" t="n">
        <f aca="false">H3501*H3501</f>
        <v>0</v>
      </c>
      <c r="X3501" s="0" t="n">
        <f aca="false">SUMPRODUCT(I3501:W3501,_XtX!$B$96:$P$96)</f>
        <v>46.7289336622806</v>
      </c>
      <c r="Y3501" s="0" t="n">
        <f aca="false">SUMPRODUCT(MMULT(I3501:W3501,_XtX!$B$78:$P$92),I3501:W3501)</f>
        <v>0.291636684484649</v>
      </c>
      <c r="Z3501" s="0" t="n">
        <f aca="false">04_回帰ANOVA!$K$19*04_回帰ANOVA!$K$14*SQRT(1+Y3501)</f>
        <v>1.48138716762813</v>
      </c>
      <c r="AA3501" s="0" t="n">
        <f aca="false">X3501-Z3501</f>
        <v>45.2475464946525</v>
      </c>
      <c r="AB3501" s="0" t="n">
        <f aca="false">X3501+Z3501</f>
        <v>48.2103208299088</v>
      </c>
      <c r="AC3501" s="54" t="b">
        <f aca="false">AND(E3501&gt;=01_因子設定!$L$5-0.000000001,E3501&lt;=01_因子設定!$M$5+0.000000001,F3501&gt;=01_因子設定!$L$6-0.000000001,F3501&lt;=01_因子設定!$M$6+0.000000001,G3501&gt;=01_因子設定!$L$7-0.000000001,G3501&lt;=01_因子設定!$M$7+0.000000001,H3501&gt;=01_因子設定!$L$8-0.000000001,H3501&lt;=01_因子設定!$M$8+0.000000001,IF(01_因子設定!$B$20="Box-Behnken",E3501^2+F3501^2+G3501^2+H3501^2&lt;=2+0.000000001,TRUE()))</f>
        <v>1</v>
      </c>
      <c r="AD3501" s="55" t="n">
        <f aca="false">IF(AC3501,IF(01_因子設定!$B$13="最大化",AA3501-01_因子設定!$B$14,IF(01_因子設定!$B$13="最小化",01_因子設定!$B$15-AB3501,MIN(AA3501-01_因子設定!$B$14,01_因子設定!$B$15-AB3501))),-1E+030)</f>
        <v>-1.25245350534749</v>
      </c>
      <c r="AE3501" s="55" t="n">
        <f aca="false">IF(AC3501,IF(01_因子設定!$B$13="最大化",X3501,IF(01_因子設定!$B$13="最小化",-X3501,-ABS(X3501-01_因子設定!$B$16))),-1E+030)</f>
        <v>46.7289336622806</v>
      </c>
      <c r="AF3501" s="55" t="n">
        <f aca="false">AD3501+ROW()*0.000000001</f>
        <v>-1.25245000434749</v>
      </c>
      <c r="AG3501" s="55" t="n">
        <f aca="false">AE3501+ROW()*0.000000001</f>
        <v>46.7289371632806</v>
      </c>
    </row>
    <row r="3502" customFormat="false" ht="15" hidden="false" customHeight="false" outlineLevel="0" collapsed="false">
      <c r="A3502" s="0" t="n">
        <v>4</v>
      </c>
      <c r="B3502" s="0" t="n">
        <v>7</v>
      </c>
      <c r="C3502" s="0" t="n">
        <v>1</v>
      </c>
      <c r="D3502" s="0" t="n">
        <v>5</v>
      </c>
      <c r="E3502" s="0" t="n">
        <f aca="false">-1+A3502*0.25</f>
        <v>0</v>
      </c>
      <c r="F3502" s="0" t="n">
        <f aca="false">-1+B3502*0.25</f>
        <v>0.75</v>
      </c>
      <c r="G3502" s="0" t="n">
        <f aca="false">-1+C3502*0.25</f>
        <v>-0.75</v>
      </c>
      <c r="H3502" s="0" t="n">
        <f aca="false">-1+D3502*0.25</f>
        <v>0.25</v>
      </c>
      <c r="I3502" s="0" t="n">
        <f aca="false">1</f>
        <v>1</v>
      </c>
      <c r="J3502" s="0" t="n">
        <f aca="false">E3502</f>
        <v>0</v>
      </c>
      <c r="K3502" s="0" t="n">
        <f aca="false">F3502</f>
        <v>0.75</v>
      </c>
      <c r="L3502" s="0" t="n">
        <f aca="false">G3502</f>
        <v>-0.75</v>
      </c>
      <c r="M3502" s="0" t="n">
        <f aca="false">H3502</f>
        <v>0.25</v>
      </c>
      <c r="N3502" s="0" t="n">
        <f aca="false">E3502*F3502</f>
        <v>0</v>
      </c>
      <c r="O3502" s="0" t="n">
        <f aca="false">E3502*G3502</f>
        <v>-0</v>
      </c>
      <c r="P3502" s="0" t="n">
        <f aca="false">E3502*H3502</f>
        <v>0</v>
      </c>
      <c r="Q3502" s="0" t="n">
        <f aca="false">F3502*G3502</f>
        <v>-0.5625</v>
      </c>
      <c r="R3502" s="0" t="n">
        <f aca="false">F3502*H3502</f>
        <v>0.1875</v>
      </c>
      <c r="S3502" s="0" t="n">
        <f aca="false">G3502*H3502</f>
        <v>-0.1875</v>
      </c>
      <c r="T3502" s="0" t="n">
        <f aca="false">E3502*E3502</f>
        <v>0</v>
      </c>
      <c r="U3502" s="0" t="n">
        <f aca="false">F3502*F3502</f>
        <v>0.5625</v>
      </c>
      <c r="V3502" s="0" t="n">
        <f aca="false">G3502*G3502</f>
        <v>0.5625</v>
      </c>
      <c r="W3502" s="0" t="n">
        <f aca="false">H3502*H3502</f>
        <v>0.0625</v>
      </c>
      <c r="X3502" s="0" t="n">
        <f aca="false">SUMPRODUCT(I3502:W3502,_XtX!$B$96:$P$96)</f>
        <v>46.7126690423976</v>
      </c>
      <c r="Y3502" s="0" t="n">
        <f aca="false">SUMPRODUCT(MMULT(I3502:W3502,_XtX!$B$78:$P$92),I3502:W3502)</f>
        <v>0.281685455500731</v>
      </c>
      <c r="Z3502" s="0" t="n">
        <f aca="false">04_回帰ANOVA!$K$19*04_回帰ANOVA!$K$14*SQRT(1+Y3502)</f>
        <v>1.47566956658694</v>
      </c>
      <c r="AA3502" s="0" t="n">
        <f aca="false">X3502-Z3502</f>
        <v>45.2369994758107</v>
      </c>
      <c r="AB3502" s="0" t="n">
        <f aca="false">X3502+Z3502</f>
        <v>48.1883386089845</v>
      </c>
      <c r="AC3502" s="54" t="b">
        <f aca="false">AND(E3502&gt;=01_因子設定!$L$5-0.000000001,E3502&lt;=01_因子設定!$M$5+0.000000001,F3502&gt;=01_因子設定!$L$6-0.000000001,F3502&lt;=01_因子設定!$M$6+0.000000001,G3502&gt;=01_因子設定!$L$7-0.000000001,G3502&lt;=01_因子設定!$M$7+0.000000001,H3502&gt;=01_因子設定!$L$8-0.000000001,H3502&lt;=01_因子設定!$M$8+0.000000001,IF(01_因子設定!$B$20="Box-Behnken",E3502^2+F3502^2+G3502^2+H3502^2&lt;=2+0.000000001,TRUE()))</f>
        <v>1</v>
      </c>
      <c r="AD3502" s="55" t="n">
        <f aca="false">IF(AC3502,IF(01_因子設定!$B$13="最大化",AA3502-01_因子設定!$B$14,IF(01_因子設定!$B$13="最小化",01_因子設定!$B$15-AB3502,MIN(AA3502-01_因子設定!$B$14,01_因子設定!$B$15-AB3502))),-1E+030)</f>
        <v>-1.26300052418934</v>
      </c>
      <c r="AE3502" s="55" t="n">
        <f aca="false">IF(AC3502,IF(01_因子設定!$B$13="最大化",X3502,IF(01_因子設定!$B$13="最小化",-X3502,-ABS(X3502-01_因子設定!$B$16))),-1E+030)</f>
        <v>46.7126690423976</v>
      </c>
      <c r="AF3502" s="55" t="n">
        <f aca="false">AD3502+ROW()*0.000000001</f>
        <v>-1.26299702218934</v>
      </c>
      <c r="AG3502" s="55" t="n">
        <f aca="false">AE3502+ROW()*0.000000001</f>
        <v>46.7126725443976</v>
      </c>
    </row>
    <row r="3503" customFormat="false" ht="15" hidden="false" customHeight="false" outlineLevel="0" collapsed="false">
      <c r="A3503" s="0" t="n">
        <v>4</v>
      </c>
      <c r="B3503" s="0" t="n">
        <v>7</v>
      </c>
      <c r="C3503" s="0" t="n">
        <v>1</v>
      </c>
      <c r="D3503" s="0" t="n">
        <v>6</v>
      </c>
      <c r="E3503" s="0" t="n">
        <f aca="false">-1+A3503*0.25</f>
        <v>0</v>
      </c>
      <c r="F3503" s="0" t="n">
        <f aca="false">-1+B3503*0.25</f>
        <v>0.75</v>
      </c>
      <c r="G3503" s="0" t="n">
        <f aca="false">-1+C3503*0.25</f>
        <v>-0.75</v>
      </c>
      <c r="H3503" s="0" t="n">
        <f aca="false">-1+D3503*0.25</f>
        <v>0.5</v>
      </c>
      <c r="I3503" s="0" t="n">
        <f aca="false">1</f>
        <v>1</v>
      </c>
      <c r="J3503" s="0" t="n">
        <f aca="false">E3503</f>
        <v>0</v>
      </c>
      <c r="K3503" s="0" t="n">
        <f aca="false">F3503</f>
        <v>0.75</v>
      </c>
      <c r="L3503" s="0" t="n">
        <f aca="false">G3503</f>
        <v>-0.75</v>
      </c>
      <c r="M3503" s="0" t="n">
        <f aca="false">H3503</f>
        <v>0.5</v>
      </c>
      <c r="N3503" s="0" t="n">
        <f aca="false">E3503*F3503</f>
        <v>0</v>
      </c>
      <c r="O3503" s="0" t="n">
        <f aca="false">E3503*G3503</f>
        <v>-0</v>
      </c>
      <c r="P3503" s="0" t="n">
        <f aca="false">E3503*H3503</f>
        <v>0</v>
      </c>
      <c r="Q3503" s="0" t="n">
        <f aca="false">F3503*G3503</f>
        <v>-0.5625</v>
      </c>
      <c r="R3503" s="0" t="n">
        <f aca="false">F3503*H3503</f>
        <v>0.375</v>
      </c>
      <c r="S3503" s="0" t="n">
        <f aca="false">G3503*H3503</f>
        <v>-0.375</v>
      </c>
      <c r="T3503" s="0" t="n">
        <f aca="false">E3503*E3503</f>
        <v>0</v>
      </c>
      <c r="U3503" s="0" t="n">
        <f aca="false">F3503*F3503</f>
        <v>0.5625</v>
      </c>
      <c r="V3503" s="0" t="n">
        <f aca="false">G3503*G3503</f>
        <v>0.5625</v>
      </c>
      <c r="W3503" s="0" t="n">
        <f aca="false">H3503*H3503</f>
        <v>0.25</v>
      </c>
      <c r="X3503" s="0" t="n">
        <f aca="false">SUMPRODUCT(I3503:W3503,_XtX!$B$96:$P$96)</f>
        <v>46.6485974049707</v>
      </c>
      <c r="Y3503" s="0" t="n">
        <f aca="false">SUMPRODUCT(MMULT(I3503:W3503,_XtX!$B$78:$P$92),I3503:W3503)</f>
        <v>0.269923873812135</v>
      </c>
      <c r="Z3503" s="0" t="n">
        <f aca="false">04_回帰ANOVA!$K$19*04_回帰ANOVA!$K$14*SQRT(1+Y3503)</f>
        <v>1.46888310825501</v>
      </c>
      <c r="AA3503" s="0" t="n">
        <f aca="false">X3503-Z3503</f>
        <v>45.1797142967157</v>
      </c>
      <c r="AB3503" s="0" t="n">
        <f aca="false">X3503+Z3503</f>
        <v>48.1174805132257</v>
      </c>
      <c r="AC3503" s="54" t="b">
        <f aca="false">AND(E3503&gt;=01_因子設定!$L$5-0.000000001,E3503&lt;=01_因子設定!$M$5+0.000000001,F3503&gt;=01_因子設定!$L$6-0.000000001,F3503&lt;=01_因子設定!$M$6+0.000000001,G3503&gt;=01_因子設定!$L$7-0.000000001,G3503&lt;=01_因子設定!$M$7+0.000000001,H3503&gt;=01_因子設定!$L$8-0.000000001,H3503&lt;=01_因子設定!$M$8+0.000000001,IF(01_因子設定!$B$20="Box-Behnken",E3503^2+F3503^2+G3503^2+H3503^2&lt;=2+0.000000001,TRUE()))</f>
        <v>1</v>
      </c>
      <c r="AD3503" s="55" t="n">
        <f aca="false">IF(AC3503,IF(01_因子設定!$B$13="最大化",AA3503-01_因子設定!$B$14,IF(01_因子設定!$B$13="最小化",01_因子設定!$B$15-AB3503,MIN(AA3503-01_因子設定!$B$14,01_因子設定!$B$15-AB3503))),-1E+030)</f>
        <v>-1.32028570328431</v>
      </c>
      <c r="AE3503" s="55" t="n">
        <f aca="false">IF(AC3503,IF(01_因子設定!$B$13="最大化",X3503,IF(01_因子設定!$B$13="最小化",-X3503,-ABS(X3503-01_因子設定!$B$16))),-1E+030)</f>
        <v>46.6485974049707</v>
      </c>
      <c r="AF3503" s="55" t="n">
        <f aca="false">AD3503+ROW()*0.000000001</f>
        <v>-1.32028220028431</v>
      </c>
      <c r="AG3503" s="55" t="n">
        <f aca="false">AE3503+ROW()*0.000000001</f>
        <v>46.6486009079707</v>
      </c>
    </row>
    <row r="3504" customFormat="false" ht="15" hidden="false" customHeight="false" outlineLevel="0" collapsed="false">
      <c r="A3504" s="0" t="n">
        <v>4</v>
      </c>
      <c r="B3504" s="0" t="n">
        <v>7</v>
      </c>
      <c r="C3504" s="0" t="n">
        <v>1</v>
      </c>
      <c r="D3504" s="0" t="n">
        <v>7</v>
      </c>
      <c r="E3504" s="0" t="n">
        <f aca="false">-1+A3504*0.25</f>
        <v>0</v>
      </c>
      <c r="F3504" s="0" t="n">
        <f aca="false">-1+B3504*0.25</f>
        <v>0.75</v>
      </c>
      <c r="G3504" s="0" t="n">
        <f aca="false">-1+C3504*0.25</f>
        <v>-0.75</v>
      </c>
      <c r="H3504" s="0" t="n">
        <f aca="false">-1+D3504*0.25</f>
        <v>0.75</v>
      </c>
      <c r="I3504" s="0" t="n">
        <f aca="false">1</f>
        <v>1</v>
      </c>
      <c r="J3504" s="0" t="n">
        <f aca="false">E3504</f>
        <v>0</v>
      </c>
      <c r="K3504" s="0" t="n">
        <f aca="false">F3504</f>
        <v>0.75</v>
      </c>
      <c r="L3504" s="0" t="n">
        <f aca="false">G3504</f>
        <v>-0.75</v>
      </c>
      <c r="M3504" s="0" t="n">
        <f aca="false">H3504</f>
        <v>0.75</v>
      </c>
      <c r="N3504" s="0" t="n">
        <f aca="false">E3504*F3504</f>
        <v>0</v>
      </c>
      <c r="O3504" s="0" t="n">
        <f aca="false">E3504*G3504</f>
        <v>-0</v>
      </c>
      <c r="P3504" s="0" t="n">
        <f aca="false">E3504*H3504</f>
        <v>0</v>
      </c>
      <c r="Q3504" s="0" t="n">
        <f aca="false">F3504*G3504</f>
        <v>-0.5625</v>
      </c>
      <c r="R3504" s="0" t="n">
        <f aca="false">F3504*H3504</f>
        <v>0.5625</v>
      </c>
      <c r="S3504" s="0" t="n">
        <f aca="false">G3504*H3504</f>
        <v>-0.5625</v>
      </c>
      <c r="T3504" s="0" t="n">
        <f aca="false">E3504*E3504</f>
        <v>0</v>
      </c>
      <c r="U3504" s="0" t="n">
        <f aca="false">F3504*F3504</f>
        <v>0.5625</v>
      </c>
      <c r="V3504" s="0" t="n">
        <f aca="false">G3504*G3504</f>
        <v>0.5625</v>
      </c>
      <c r="W3504" s="0" t="n">
        <f aca="false">H3504*H3504</f>
        <v>0.5625</v>
      </c>
      <c r="X3504" s="0" t="n">
        <f aca="false">SUMPRODUCT(I3504:W3504,_XtX!$B$96:$P$96)</f>
        <v>46.53671875</v>
      </c>
      <c r="Y3504" s="0" t="n">
        <f aca="false">SUMPRODUCT(MMULT(I3504:W3504,_XtX!$B$78:$P$92),I3504:W3504)</f>
        <v>0.310628255208333</v>
      </c>
      <c r="Z3504" s="0" t="n">
        <f aca="false">04_回帰ANOVA!$K$19*04_回帰ANOVA!$K$14*SQRT(1+Y3504)</f>
        <v>1.49223820892344</v>
      </c>
      <c r="AA3504" s="0" t="n">
        <f aca="false">X3504-Z3504</f>
        <v>45.0444805410765</v>
      </c>
      <c r="AB3504" s="0" t="n">
        <f aca="false">X3504+Z3504</f>
        <v>48.0289569589234</v>
      </c>
      <c r="AC3504" s="54" t="b">
        <f aca="false">AND(E3504&gt;=01_因子設定!$L$5-0.000000001,E3504&lt;=01_因子設定!$M$5+0.000000001,F3504&gt;=01_因子設定!$L$6-0.000000001,F3504&lt;=01_因子設定!$M$6+0.000000001,G3504&gt;=01_因子設定!$L$7-0.000000001,G3504&lt;=01_因子設定!$M$7+0.000000001,H3504&gt;=01_因子設定!$L$8-0.000000001,H3504&lt;=01_因子設定!$M$8+0.000000001,IF(01_因子設定!$B$20="Box-Behnken",E3504^2+F3504^2+G3504^2+H3504^2&lt;=2+0.000000001,TRUE()))</f>
        <v>1</v>
      </c>
      <c r="AD3504" s="55" t="n">
        <f aca="false">IF(AC3504,IF(01_因子設定!$B$13="最大化",AA3504-01_因子設定!$B$14,IF(01_因子設定!$B$13="最小化",01_因子設定!$B$15-AB3504,MIN(AA3504-01_因子設定!$B$14,01_因子設定!$B$15-AB3504))),-1E+030)</f>
        <v>-1.45551945892348</v>
      </c>
      <c r="AE3504" s="55" t="n">
        <f aca="false">IF(AC3504,IF(01_因子設定!$B$13="最大化",X3504,IF(01_因子設定!$B$13="最小化",-X3504,-ABS(X3504-01_因子設定!$B$16))),-1E+030)</f>
        <v>46.53671875</v>
      </c>
      <c r="AF3504" s="55" t="n">
        <f aca="false">AD3504+ROW()*0.000000001</f>
        <v>-1.45551595492348</v>
      </c>
      <c r="AG3504" s="55" t="n">
        <f aca="false">AE3504+ROW()*0.000000001</f>
        <v>46.536722254</v>
      </c>
    </row>
    <row r="3505" customFormat="false" ht="15" hidden="false" customHeight="false" outlineLevel="0" collapsed="false">
      <c r="A3505" s="0" t="n">
        <v>4</v>
      </c>
      <c r="B3505" s="0" t="n">
        <v>7</v>
      </c>
      <c r="C3505" s="0" t="n">
        <v>1</v>
      </c>
      <c r="D3505" s="0" t="n">
        <v>8</v>
      </c>
      <c r="E3505" s="0" t="n">
        <f aca="false">-1+A3505*0.25</f>
        <v>0</v>
      </c>
      <c r="F3505" s="0" t="n">
        <f aca="false">-1+B3505*0.25</f>
        <v>0.75</v>
      </c>
      <c r="G3505" s="0" t="n">
        <f aca="false">-1+C3505*0.25</f>
        <v>-0.75</v>
      </c>
      <c r="H3505" s="0" t="n">
        <f aca="false">-1+D3505*0.25</f>
        <v>1</v>
      </c>
      <c r="I3505" s="0" t="n">
        <f aca="false">1</f>
        <v>1</v>
      </c>
      <c r="J3505" s="0" t="n">
        <f aca="false">E3505</f>
        <v>0</v>
      </c>
      <c r="K3505" s="0" t="n">
        <f aca="false">F3505</f>
        <v>0.75</v>
      </c>
      <c r="L3505" s="0" t="n">
        <f aca="false">G3505</f>
        <v>-0.75</v>
      </c>
      <c r="M3505" s="0" t="n">
        <f aca="false">H3505</f>
        <v>1</v>
      </c>
      <c r="N3505" s="0" t="n">
        <f aca="false">E3505*F3505</f>
        <v>0</v>
      </c>
      <c r="O3505" s="0" t="n">
        <f aca="false">E3505*G3505</f>
        <v>-0</v>
      </c>
      <c r="P3505" s="0" t="n">
        <f aca="false">E3505*H3505</f>
        <v>0</v>
      </c>
      <c r="Q3505" s="0" t="n">
        <f aca="false">F3505*G3505</f>
        <v>-0.5625</v>
      </c>
      <c r="R3505" s="0" t="n">
        <f aca="false">F3505*H3505</f>
        <v>0.75</v>
      </c>
      <c r="S3505" s="0" t="n">
        <f aca="false">G3505*H3505</f>
        <v>-0.75</v>
      </c>
      <c r="T3505" s="0" t="n">
        <f aca="false">E3505*E3505</f>
        <v>0</v>
      </c>
      <c r="U3505" s="0" t="n">
        <f aca="false">F3505*F3505</f>
        <v>0.5625</v>
      </c>
      <c r="V3505" s="0" t="n">
        <f aca="false">G3505*G3505</f>
        <v>0.5625</v>
      </c>
      <c r="W3505" s="0" t="n">
        <f aca="false">H3505*H3505</f>
        <v>1</v>
      </c>
      <c r="X3505" s="0" t="n">
        <f aca="false">SUMPRODUCT(I3505:W3505,_XtX!$B$96:$P$96)</f>
        <v>46.3770330774854</v>
      </c>
      <c r="Y3505" s="0" t="n">
        <f aca="false">SUMPRODUCT(MMULT(I3505:W3505,_XtX!$B$78:$P$92),I3505:W3505)</f>
        <v>0.494259126005117</v>
      </c>
      <c r="Z3505" s="0" t="n">
        <f aca="false">04_回帰ANOVA!$K$19*04_回帰ANOVA!$K$14*SQRT(1+Y3505)</f>
        <v>1.59335061078203</v>
      </c>
      <c r="AA3505" s="0" t="n">
        <f aca="false">X3505-Z3505</f>
        <v>44.7836824667033</v>
      </c>
      <c r="AB3505" s="0" t="n">
        <f aca="false">X3505+Z3505</f>
        <v>47.9703836882674</v>
      </c>
      <c r="AC3505" s="54" t="b">
        <f aca="false">AND(E3505&gt;=01_因子設定!$L$5-0.000000001,E3505&lt;=01_因子設定!$M$5+0.000000001,F3505&gt;=01_因子設定!$L$6-0.000000001,F3505&lt;=01_因子設定!$M$6+0.000000001,G3505&gt;=01_因子設定!$L$7-0.000000001,G3505&lt;=01_因子設定!$M$7+0.000000001,H3505&gt;=01_因子設定!$L$8-0.000000001,H3505&lt;=01_因子設定!$M$8+0.000000001,IF(01_因子設定!$B$20="Box-Behnken",E3505^2+F3505^2+G3505^2+H3505^2&lt;=2+0.000000001,TRUE()))</f>
        <v>1</v>
      </c>
      <c r="AD3505" s="55" t="n">
        <f aca="false">IF(AC3505,IF(01_因子設定!$B$13="最大化",AA3505-01_因子設定!$B$14,IF(01_因子設定!$B$13="最小化",01_因子設定!$B$15-AB3505,MIN(AA3505-01_因子設定!$B$14,01_因子設定!$B$15-AB3505))),-1E+030)</f>
        <v>-1.71631753329667</v>
      </c>
      <c r="AE3505" s="55" t="n">
        <f aca="false">IF(AC3505,IF(01_因子設定!$B$13="最大化",X3505,IF(01_因子設定!$B$13="最小化",-X3505,-ABS(X3505-01_因子設定!$B$16))),-1E+030)</f>
        <v>46.3770330774854</v>
      </c>
      <c r="AF3505" s="55" t="n">
        <f aca="false">AD3505+ROW()*0.000000001</f>
        <v>-1.71631402829667</v>
      </c>
      <c r="AG3505" s="55" t="n">
        <f aca="false">AE3505+ROW()*0.000000001</f>
        <v>46.3770365824854</v>
      </c>
    </row>
    <row r="3506" customFormat="false" ht="15" hidden="false" customHeight="false" outlineLevel="0" collapsed="false">
      <c r="A3506" s="0" t="n">
        <v>4</v>
      </c>
      <c r="B3506" s="0" t="n">
        <v>7</v>
      </c>
      <c r="C3506" s="0" t="n">
        <v>2</v>
      </c>
      <c r="D3506" s="0" t="n">
        <v>0</v>
      </c>
      <c r="E3506" s="0" t="n">
        <f aca="false">-1+A3506*0.25</f>
        <v>0</v>
      </c>
      <c r="F3506" s="0" t="n">
        <f aca="false">-1+B3506*0.25</f>
        <v>0.75</v>
      </c>
      <c r="G3506" s="0" t="n">
        <f aca="false">-1+C3506*0.25</f>
        <v>-0.5</v>
      </c>
      <c r="H3506" s="0" t="n">
        <f aca="false">-1+D3506*0.25</f>
        <v>-1</v>
      </c>
      <c r="I3506" s="0" t="n">
        <f aca="false">1</f>
        <v>1</v>
      </c>
      <c r="J3506" s="0" t="n">
        <f aca="false">E3506</f>
        <v>0</v>
      </c>
      <c r="K3506" s="0" t="n">
        <f aca="false">F3506</f>
        <v>0.75</v>
      </c>
      <c r="L3506" s="0" t="n">
        <f aca="false">G3506</f>
        <v>-0.5</v>
      </c>
      <c r="M3506" s="0" t="n">
        <f aca="false">H3506</f>
        <v>-1</v>
      </c>
      <c r="N3506" s="0" t="n">
        <f aca="false">E3506*F3506</f>
        <v>0</v>
      </c>
      <c r="O3506" s="0" t="n">
        <f aca="false">E3506*G3506</f>
        <v>-0</v>
      </c>
      <c r="P3506" s="0" t="n">
        <f aca="false">E3506*H3506</f>
        <v>-0</v>
      </c>
      <c r="Q3506" s="0" t="n">
        <f aca="false">F3506*G3506</f>
        <v>-0.375</v>
      </c>
      <c r="R3506" s="0" t="n">
        <f aca="false">F3506*H3506</f>
        <v>-0.75</v>
      </c>
      <c r="S3506" s="0" t="n">
        <f aca="false">G3506*H3506</f>
        <v>0.5</v>
      </c>
      <c r="T3506" s="0" t="n">
        <f aca="false">E3506*E3506</f>
        <v>0</v>
      </c>
      <c r="U3506" s="0" t="n">
        <f aca="false">F3506*F3506</f>
        <v>0.5625</v>
      </c>
      <c r="V3506" s="0" t="n">
        <f aca="false">G3506*G3506</f>
        <v>0.25</v>
      </c>
      <c r="W3506" s="0" t="n">
        <f aca="false">H3506*H3506</f>
        <v>1</v>
      </c>
      <c r="X3506" s="0" t="n">
        <f aca="false">SUMPRODUCT(I3506:W3506,_XtX!$B$96:$P$96)</f>
        <v>46.7617415935672</v>
      </c>
      <c r="Y3506" s="0" t="n">
        <f aca="false">SUMPRODUCT(MMULT(I3506:W3506,_XtX!$B$78:$P$92),I3506:W3506)</f>
        <v>0.476191292032164</v>
      </c>
      <c r="Z3506" s="0" t="n">
        <f aca="false">04_回帰ANOVA!$K$19*04_回帰ANOVA!$K$14*SQRT(1+Y3506)</f>
        <v>1.58368831471718</v>
      </c>
      <c r="AA3506" s="0" t="n">
        <f aca="false">X3506-Z3506</f>
        <v>45.17805327885</v>
      </c>
      <c r="AB3506" s="0" t="n">
        <f aca="false">X3506+Z3506</f>
        <v>48.3454299082844</v>
      </c>
      <c r="AC3506" s="54" t="b">
        <f aca="false">AND(E3506&gt;=01_因子設定!$L$5-0.000000001,E3506&lt;=01_因子設定!$M$5+0.000000001,F3506&gt;=01_因子設定!$L$6-0.000000001,F3506&lt;=01_因子設定!$M$6+0.000000001,G3506&gt;=01_因子設定!$L$7-0.000000001,G3506&lt;=01_因子設定!$M$7+0.000000001,H3506&gt;=01_因子設定!$L$8-0.000000001,H3506&lt;=01_因子設定!$M$8+0.000000001,IF(01_因子設定!$B$20="Box-Behnken",E3506^2+F3506^2+G3506^2+H3506^2&lt;=2+0.000000001,TRUE()))</f>
        <v>1</v>
      </c>
      <c r="AD3506" s="55" t="n">
        <f aca="false">IF(AC3506,IF(01_因子設定!$B$13="最大化",AA3506-01_因子設定!$B$14,IF(01_因子設定!$B$13="最小化",01_因子設定!$B$15-AB3506,MIN(AA3506-01_因子設定!$B$14,01_因子設定!$B$15-AB3506))),-1E+030)</f>
        <v>-1.32194672114996</v>
      </c>
      <c r="AE3506" s="55" t="n">
        <f aca="false">IF(AC3506,IF(01_因子設定!$B$13="最大化",X3506,IF(01_因子設定!$B$13="最小化",-X3506,-ABS(X3506-01_因子設定!$B$16))),-1E+030)</f>
        <v>46.7617415935672</v>
      </c>
      <c r="AF3506" s="55" t="n">
        <f aca="false">AD3506+ROW()*0.000000001</f>
        <v>-1.32194321514996</v>
      </c>
      <c r="AG3506" s="55" t="n">
        <f aca="false">AE3506+ROW()*0.000000001</f>
        <v>46.7617450995672</v>
      </c>
    </row>
    <row r="3507" customFormat="false" ht="15" hidden="false" customHeight="false" outlineLevel="0" collapsed="false">
      <c r="A3507" s="0" t="n">
        <v>4</v>
      </c>
      <c r="B3507" s="0" t="n">
        <v>7</v>
      </c>
      <c r="C3507" s="0" t="n">
        <v>2</v>
      </c>
      <c r="D3507" s="0" t="n">
        <v>1</v>
      </c>
      <c r="E3507" s="0" t="n">
        <f aca="false">-1+A3507*0.25</f>
        <v>0</v>
      </c>
      <c r="F3507" s="0" t="n">
        <f aca="false">-1+B3507*0.25</f>
        <v>0.75</v>
      </c>
      <c r="G3507" s="0" t="n">
        <f aca="false">-1+C3507*0.25</f>
        <v>-0.5</v>
      </c>
      <c r="H3507" s="0" t="n">
        <f aca="false">-1+D3507*0.25</f>
        <v>-0.75</v>
      </c>
      <c r="I3507" s="0" t="n">
        <f aca="false">1</f>
        <v>1</v>
      </c>
      <c r="J3507" s="0" t="n">
        <f aca="false">E3507</f>
        <v>0</v>
      </c>
      <c r="K3507" s="0" t="n">
        <f aca="false">F3507</f>
        <v>0.75</v>
      </c>
      <c r="L3507" s="0" t="n">
        <f aca="false">G3507</f>
        <v>-0.5</v>
      </c>
      <c r="M3507" s="0" t="n">
        <f aca="false">H3507</f>
        <v>-0.75</v>
      </c>
      <c r="N3507" s="0" t="n">
        <f aca="false">E3507*F3507</f>
        <v>0</v>
      </c>
      <c r="O3507" s="0" t="n">
        <f aca="false">E3507*G3507</f>
        <v>-0</v>
      </c>
      <c r="P3507" s="0" t="n">
        <f aca="false">E3507*H3507</f>
        <v>-0</v>
      </c>
      <c r="Q3507" s="0" t="n">
        <f aca="false">F3507*G3507</f>
        <v>-0.375</v>
      </c>
      <c r="R3507" s="0" t="n">
        <f aca="false">F3507*H3507</f>
        <v>-0.5625</v>
      </c>
      <c r="S3507" s="0" t="n">
        <f aca="false">G3507*H3507</f>
        <v>0.375</v>
      </c>
      <c r="T3507" s="0" t="n">
        <f aca="false">E3507*E3507</f>
        <v>0</v>
      </c>
      <c r="U3507" s="0" t="n">
        <f aca="false">F3507*F3507</f>
        <v>0.5625</v>
      </c>
      <c r="V3507" s="0" t="n">
        <f aca="false">G3507*G3507</f>
        <v>0.25</v>
      </c>
      <c r="W3507" s="0" t="n">
        <f aca="false">H3507*H3507</f>
        <v>0.5625</v>
      </c>
      <c r="X3507" s="0" t="n">
        <f aca="false">SUMPRODUCT(I3507:W3507,_XtX!$B$96:$P$96)</f>
        <v>46.9546737938596</v>
      </c>
      <c r="Y3507" s="0" t="n">
        <f aca="false">SUMPRODUCT(MMULT(I3507:W3507,_XtX!$B$78:$P$92),I3507:W3507)</f>
        <v>0.269923873812135</v>
      </c>
      <c r="Z3507" s="0" t="n">
        <f aca="false">04_回帰ANOVA!$K$19*04_回帰ANOVA!$K$14*SQRT(1+Y3507)</f>
        <v>1.46888310825501</v>
      </c>
      <c r="AA3507" s="0" t="n">
        <f aca="false">X3507-Z3507</f>
        <v>45.4857906856046</v>
      </c>
      <c r="AB3507" s="0" t="n">
        <f aca="false">X3507+Z3507</f>
        <v>48.4235569021146</v>
      </c>
      <c r="AC3507" s="54" t="b">
        <f aca="false">AND(E3507&gt;=01_因子設定!$L$5-0.000000001,E3507&lt;=01_因子設定!$M$5+0.000000001,F3507&gt;=01_因子設定!$L$6-0.000000001,F3507&lt;=01_因子設定!$M$6+0.000000001,G3507&gt;=01_因子設定!$L$7-0.000000001,G3507&lt;=01_因子設定!$M$7+0.000000001,H3507&gt;=01_因子設定!$L$8-0.000000001,H3507&lt;=01_因子設定!$M$8+0.000000001,IF(01_因子設定!$B$20="Box-Behnken",E3507^2+F3507^2+G3507^2+H3507^2&lt;=2+0.000000001,TRUE()))</f>
        <v>1</v>
      </c>
      <c r="AD3507" s="55" t="n">
        <f aca="false">IF(AC3507,IF(01_因子設定!$B$13="最大化",AA3507-01_因子設定!$B$14,IF(01_因子設定!$B$13="最小化",01_因子設定!$B$15-AB3507,MIN(AA3507-01_因子設定!$B$14,01_因子設定!$B$15-AB3507))),-1E+030)</f>
        <v>-1.0142093143954</v>
      </c>
      <c r="AE3507" s="55" t="n">
        <f aca="false">IF(AC3507,IF(01_因子設定!$B$13="最大化",X3507,IF(01_因子設定!$B$13="最小化",-X3507,-ABS(X3507-01_因子設定!$B$16))),-1E+030)</f>
        <v>46.9546737938596</v>
      </c>
      <c r="AF3507" s="55" t="n">
        <f aca="false">AD3507+ROW()*0.000000001</f>
        <v>-1.0142058073954</v>
      </c>
      <c r="AG3507" s="55" t="n">
        <f aca="false">AE3507+ROW()*0.000000001</f>
        <v>46.9546773008596</v>
      </c>
    </row>
    <row r="3508" customFormat="false" ht="15" hidden="false" customHeight="false" outlineLevel="0" collapsed="false">
      <c r="A3508" s="0" t="n">
        <v>4</v>
      </c>
      <c r="B3508" s="0" t="n">
        <v>7</v>
      </c>
      <c r="C3508" s="0" t="n">
        <v>2</v>
      </c>
      <c r="D3508" s="0" t="n">
        <v>2</v>
      </c>
      <c r="E3508" s="0" t="n">
        <f aca="false">-1+A3508*0.25</f>
        <v>0</v>
      </c>
      <c r="F3508" s="0" t="n">
        <f aca="false">-1+B3508*0.25</f>
        <v>0.75</v>
      </c>
      <c r="G3508" s="0" t="n">
        <f aca="false">-1+C3508*0.25</f>
        <v>-0.5</v>
      </c>
      <c r="H3508" s="0" t="n">
        <f aca="false">-1+D3508*0.25</f>
        <v>-0.5</v>
      </c>
      <c r="I3508" s="0" t="n">
        <f aca="false">1</f>
        <v>1</v>
      </c>
      <c r="J3508" s="0" t="n">
        <f aca="false">E3508</f>
        <v>0</v>
      </c>
      <c r="K3508" s="0" t="n">
        <f aca="false">F3508</f>
        <v>0.75</v>
      </c>
      <c r="L3508" s="0" t="n">
        <f aca="false">G3508</f>
        <v>-0.5</v>
      </c>
      <c r="M3508" s="0" t="n">
        <f aca="false">H3508</f>
        <v>-0.5</v>
      </c>
      <c r="N3508" s="0" t="n">
        <f aca="false">E3508*F3508</f>
        <v>0</v>
      </c>
      <c r="O3508" s="0" t="n">
        <f aca="false">E3508*G3508</f>
        <v>-0</v>
      </c>
      <c r="P3508" s="0" t="n">
        <f aca="false">E3508*H3508</f>
        <v>-0</v>
      </c>
      <c r="Q3508" s="0" t="n">
        <f aca="false">F3508*G3508</f>
        <v>-0.375</v>
      </c>
      <c r="R3508" s="0" t="n">
        <f aca="false">F3508*H3508</f>
        <v>-0.375</v>
      </c>
      <c r="S3508" s="0" t="n">
        <f aca="false">G3508*H3508</f>
        <v>0.25</v>
      </c>
      <c r="T3508" s="0" t="n">
        <f aca="false">E3508*E3508</f>
        <v>0</v>
      </c>
      <c r="U3508" s="0" t="n">
        <f aca="false">F3508*F3508</f>
        <v>0.5625</v>
      </c>
      <c r="V3508" s="0" t="n">
        <f aca="false">G3508*G3508</f>
        <v>0.25</v>
      </c>
      <c r="W3508" s="0" t="n">
        <f aca="false">H3508*H3508</f>
        <v>0.25</v>
      </c>
      <c r="X3508" s="0" t="n">
        <f aca="false">SUMPRODUCT(I3508:W3508,_XtX!$B$96:$P$96)</f>
        <v>47.0997989766081</v>
      </c>
      <c r="Y3508" s="0" t="n">
        <f aca="false">SUMPRODUCT(MMULT(I3508:W3508,_XtX!$B$78:$P$92),I3508:W3508)</f>
        <v>0.21305052997076</v>
      </c>
      <c r="Z3508" s="0" t="n">
        <f aca="false">04_回帰ANOVA!$K$19*04_回帰ANOVA!$K$14*SQRT(1+Y3508)</f>
        <v>1.43561450835061</v>
      </c>
      <c r="AA3508" s="0" t="n">
        <f aca="false">X3508-Z3508</f>
        <v>45.6641844682575</v>
      </c>
      <c r="AB3508" s="0" t="n">
        <f aca="false">X3508+Z3508</f>
        <v>48.5354134849587</v>
      </c>
      <c r="AC3508" s="54" t="b">
        <f aca="false">AND(E3508&gt;=01_因子設定!$L$5-0.000000001,E3508&lt;=01_因子設定!$M$5+0.000000001,F3508&gt;=01_因子設定!$L$6-0.000000001,F3508&lt;=01_因子設定!$M$6+0.000000001,G3508&gt;=01_因子設定!$L$7-0.000000001,G3508&lt;=01_因子設定!$M$7+0.000000001,H3508&gt;=01_因子設定!$L$8-0.000000001,H3508&lt;=01_因子設定!$M$8+0.000000001,IF(01_因子設定!$B$20="Box-Behnken",E3508^2+F3508^2+G3508^2+H3508^2&lt;=2+0.000000001,TRUE()))</f>
        <v>1</v>
      </c>
      <c r="AD3508" s="55" t="n">
        <f aca="false">IF(AC3508,IF(01_因子設定!$B$13="最大化",AA3508-01_因子設定!$B$14,IF(01_因子設定!$B$13="最小化",01_因子設定!$B$15-AB3508,MIN(AA3508-01_因子設定!$B$14,01_因子設定!$B$15-AB3508))),-1E+030)</f>
        <v>-0.835815531742476</v>
      </c>
      <c r="AE3508" s="55" t="n">
        <f aca="false">IF(AC3508,IF(01_因子設定!$B$13="最大化",X3508,IF(01_因子設定!$B$13="最小化",-X3508,-ABS(X3508-01_因子設定!$B$16))),-1E+030)</f>
        <v>47.0997989766081</v>
      </c>
      <c r="AF3508" s="55" t="n">
        <f aca="false">AD3508+ROW()*0.000000001</f>
        <v>-0.835812023742476</v>
      </c>
      <c r="AG3508" s="55" t="n">
        <f aca="false">AE3508+ROW()*0.000000001</f>
        <v>47.0998024846081</v>
      </c>
    </row>
    <row r="3509" customFormat="false" ht="15" hidden="false" customHeight="false" outlineLevel="0" collapsed="false">
      <c r="A3509" s="0" t="n">
        <v>4</v>
      </c>
      <c r="B3509" s="0" t="n">
        <v>7</v>
      </c>
      <c r="C3509" s="0" t="n">
        <v>2</v>
      </c>
      <c r="D3509" s="0" t="n">
        <v>3</v>
      </c>
      <c r="E3509" s="0" t="n">
        <f aca="false">-1+A3509*0.25</f>
        <v>0</v>
      </c>
      <c r="F3509" s="0" t="n">
        <f aca="false">-1+B3509*0.25</f>
        <v>0.75</v>
      </c>
      <c r="G3509" s="0" t="n">
        <f aca="false">-1+C3509*0.25</f>
        <v>-0.5</v>
      </c>
      <c r="H3509" s="0" t="n">
        <f aca="false">-1+D3509*0.25</f>
        <v>-0.25</v>
      </c>
      <c r="I3509" s="0" t="n">
        <f aca="false">1</f>
        <v>1</v>
      </c>
      <c r="J3509" s="0" t="n">
        <f aca="false">E3509</f>
        <v>0</v>
      </c>
      <c r="K3509" s="0" t="n">
        <f aca="false">F3509</f>
        <v>0.75</v>
      </c>
      <c r="L3509" s="0" t="n">
        <f aca="false">G3509</f>
        <v>-0.5</v>
      </c>
      <c r="M3509" s="0" t="n">
        <f aca="false">H3509</f>
        <v>-0.25</v>
      </c>
      <c r="N3509" s="0" t="n">
        <f aca="false">E3509*F3509</f>
        <v>0</v>
      </c>
      <c r="O3509" s="0" t="n">
        <f aca="false">E3509*G3509</f>
        <v>-0</v>
      </c>
      <c r="P3509" s="0" t="n">
        <f aca="false">E3509*H3509</f>
        <v>-0</v>
      </c>
      <c r="Q3509" s="0" t="n">
        <f aca="false">F3509*G3509</f>
        <v>-0.375</v>
      </c>
      <c r="R3509" s="0" t="n">
        <f aca="false">F3509*H3509</f>
        <v>-0.1875</v>
      </c>
      <c r="S3509" s="0" t="n">
        <f aca="false">G3509*H3509</f>
        <v>0.125</v>
      </c>
      <c r="T3509" s="0" t="n">
        <f aca="false">E3509*E3509</f>
        <v>0</v>
      </c>
      <c r="U3509" s="0" t="n">
        <f aca="false">F3509*F3509</f>
        <v>0.5625</v>
      </c>
      <c r="V3509" s="0" t="n">
        <f aca="false">G3509*G3509</f>
        <v>0.25</v>
      </c>
      <c r="W3509" s="0" t="n">
        <f aca="false">H3509*H3509</f>
        <v>0.0625</v>
      </c>
      <c r="X3509" s="0" t="n">
        <f aca="false">SUMPRODUCT(I3509:W3509,_XtX!$B$96:$P$96)</f>
        <v>47.1971171418128</v>
      </c>
      <c r="Y3509" s="0" t="n">
        <f aca="false">SUMPRODUCT(MMULT(I3509:W3509,_XtX!$B$78:$P$92),I3509:W3509)</f>
        <v>0.215110734192252</v>
      </c>
      <c r="Z3509" s="0" t="n">
        <f aca="false">04_回帰ANOVA!$K$19*04_回帰ANOVA!$K$14*SQRT(1+Y3509)</f>
        <v>1.43683309086864</v>
      </c>
      <c r="AA3509" s="0" t="n">
        <f aca="false">X3509-Z3509</f>
        <v>45.7602840509442</v>
      </c>
      <c r="AB3509" s="0" t="n">
        <f aca="false">X3509+Z3509</f>
        <v>48.6339502326815</v>
      </c>
      <c r="AC3509" s="54" t="b">
        <f aca="false">AND(E3509&gt;=01_因子設定!$L$5-0.000000001,E3509&lt;=01_因子設定!$M$5+0.000000001,F3509&gt;=01_因子設定!$L$6-0.000000001,F3509&lt;=01_因子設定!$M$6+0.000000001,G3509&gt;=01_因子設定!$L$7-0.000000001,G3509&lt;=01_因子設定!$M$7+0.000000001,H3509&gt;=01_因子設定!$L$8-0.000000001,H3509&lt;=01_因子設定!$M$8+0.000000001,IF(01_因子設定!$B$20="Box-Behnken",E3509^2+F3509^2+G3509^2+H3509^2&lt;=2+0.000000001,TRUE()))</f>
        <v>1</v>
      </c>
      <c r="AD3509" s="55" t="n">
        <f aca="false">IF(AC3509,IF(01_因子設定!$B$13="最大化",AA3509-01_因子設定!$B$14,IF(01_因子設定!$B$13="最小化",01_因子設定!$B$15-AB3509,MIN(AA3509-01_因子設定!$B$14,01_因子設定!$B$15-AB3509))),-1E+030)</f>
        <v>-0.739715949055842</v>
      </c>
      <c r="AE3509" s="55" t="n">
        <f aca="false">IF(AC3509,IF(01_因子設定!$B$13="最大化",X3509,IF(01_因子設定!$B$13="最小化",-X3509,-ABS(X3509-01_因子設定!$B$16))),-1E+030)</f>
        <v>47.1971171418128</v>
      </c>
      <c r="AF3509" s="55" t="n">
        <f aca="false">AD3509+ROW()*0.000000001</f>
        <v>-0.739712440055842</v>
      </c>
      <c r="AG3509" s="55" t="n">
        <f aca="false">AE3509+ROW()*0.000000001</f>
        <v>47.1971206508128</v>
      </c>
    </row>
    <row r="3510" customFormat="false" ht="15" hidden="false" customHeight="false" outlineLevel="0" collapsed="false">
      <c r="A3510" s="0" t="n">
        <v>4</v>
      </c>
      <c r="B3510" s="0" t="n">
        <v>7</v>
      </c>
      <c r="C3510" s="0" t="n">
        <v>2</v>
      </c>
      <c r="D3510" s="0" t="n">
        <v>4</v>
      </c>
      <c r="E3510" s="0" t="n">
        <f aca="false">-1+A3510*0.25</f>
        <v>0</v>
      </c>
      <c r="F3510" s="0" t="n">
        <f aca="false">-1+B3510*0.25</f>
        <v>0.75</v>
      </c>
      <c r="G3510" s="0" t="n">
        <f aca="false">-1+C3510*0.25</f>
        <v>-0.5</v>
      </c>
      <c r="H3510" s="0" t="n">
        <f aca="false">-1+D3510*0.25</f>
        <v>0</v>
      </c>
      <c r="I3510" s="0" t="n">
        <f aca="false">1</f>
        <v>1</v>
      </c>
      <c r="J3510" s="0" t="n">
        <f aca="false">E3510</f>
        <v>0</v>
      </c>
      <c r="K3510" s="0" t="n">
        <f aca="false">F3510</f>
        <v>0.75</v>
      </c>
      <c r="L3510" s="0" t="n">
        <f aca="false">G3510</f>
        <v>-0.5</v>
      </c>
      <c r="M3510" s="0" t="n">
        <f aca="false">H3510</f>
        <v>0</v>
      </c>
      <c r="N3510" s="0" t="n">
        <f aca="false">E3510*F3510</f>
        <v>0</v>
      </c>
      <c r="O3510" s="0" t="n">
        <f aca="false">E3510*G3510</f>
        <v>-0</v>
      </c>
      <c r="P3510" s="0" t="n">
        <f aca="false">E3510*H3510</f>
        <v>0</v>
      </c>
      <c r="Q3510" s="0" t="n">
        <f aca="false">F3510*G3510</f>
        <v>-0.375</v>
      </c>
      <c r="R3510" s="0" t="n">
        <f aca="false">F3510*H3510</f>
        <v>0</v>
      </c>
      <c r="S3510" s="0" t="n">
        <f aca="false">G3510*H3510</f>
        <v>-0</v>
      </c>
      <c r="T3510" s="0" t="n">
        <f aca="false">E3510*E3510</f>
        <v>0</v>
      </c>
      <c r="U3510" s="0" t="n">
        <f aca="false">F3510*F3510</f>
        <v>0.5625</v>
      </c>
      <c r="V3510" s="0" t="n">
        <f aca="false">G3510*G3510</f>
        <v>0.25</v>
      </c>
      <c r="W3510" s="0" t="n">
        <f aca="false">H3510*H3510</f>
        <v>0</v>
      </c>
      <c r="X3510" s="0" t="n">
        <f aca="false">SUMPRODUCT(I3510:W3510,_XtX!$B$96:$P$96)</f>
        <v>47.2466282894736</v>
      </c>
      <c r="Y3510" s="0" t="n">
        <f aca="false">SUMPRODUCT(MMULT(I3510:W3510,_XtX!$B$78:$P$92),I3510:W3510)</f>
        <v>0.221828170687135</v>
      </c>
      <c r="Z3510" s="0" t="n">
        <f aca="false">04_回帰ANOVA!$K$19*04_回帰ANOVA!$K$14*SQRT(1+Y3510)</f>
        <v>1.44079920361664</v>
      </c>
      <c r="AA3510" s="0" t="n">
        <f aca="false">X3510-Z3510</f>
        <v>45.805829085857</v>
      </c>
      <c r="AB3510" s="0" t="n">
        <f aca="false">X3510+Z3510</f>
        <v>48.6874274930903</v>
      </c>
      <c r="AC3510" s="54" t="b">
        <f aca="false">AND(E3510&gt;=01_因子設定!$L$5-0.000000001,E3510&lt;=01_因子設定!$M$5+0.000000001,F3510&gt;=01_因子設定!$L$6-0.000000001,F3510&lt;=01_因子設定!$M$6+0.000000001,G3510&gt;=01_因子設定!$L$7-0.000000001,G3510&lt;=01_因子設定!$M$7+0.000000001,H3510&gt;=01_因子設定!$L$8-0.000000001,H3510&lt;=01_因子設定!$M$8+0.000000001,IF(01_因子設定!$B$20="Box-Behnken",E3510^2+F3510^2+G3510^2+H3510^2&lt;=2+0.000000001,TRUE()))</f>
        <v>1</v>
      </c>
      <c r="AD3510" s="55" t="n">
        <f aca="false">IF(AC3510,IF(01_因子設定!$B$13="最大化",AA3510-01_因子設定!$B$14,IF(01_因子設定!$B$13="最小化",01_因子設定!$B$15-AB3510,MIN(AA3510-01_因子設定!$B$14,01_因子設定!$B$15-AB3510))),-1E+030)</f>
        <v>-0.694170914143022</v>
      </c>
      <c r="AE3510" s="55" t="n">
        <f aca="false">IF(AC3510,IF(01_因子設定!$B$13="最大化",X3510,IF(01_因子設定!$B$13="最小化",-X3510,-ABS(X3510-01_因子設定!$B$16))),-1E+030)</f>
        <v>47.2466282894736</v>
      </c>
      <c r="AF3510" s="55" t="n">
        <f aca="false">AD3510+ROW()*0.000000001</f>
        <v>-0.694167404143022</v>
      </c>
      <c r="AG3510" s="55" t="n">
        <f aca="false">AE3510+ROW()*0.000000001</f>
        <v>47.2466317994736</v>
      </c>
    </row>
    <row r="3511" customFormat="false" ht="15" hidden="false" customHeight="false" outlineLevel="0" collapsed="false">
      <c r="A3511" s="0" t="n">
        <v>4</v>
      </c>
      <c r="B3511" s="0" t="n">
        <v>7</v>
      </c>
      <c r="C3511" s="0" t="n">
        <v>2</v>
      </c>
      <c r="D3511" s="0" t="n">
        <v>5</v>
      </c>
      <c r="E3511" s="0" t="n">
        <f aca="false">-1+A3511*0.25</f>
        <v>0</v>
      </c>
      <c r="F3511" s="0" t="n">
        <f aca="false">-1+B3511*0.25</f>
        <v>0.75</v>
      </c>
      <c r="G3511" s="0" t="n">
        <f aca="false">-1+C3511*0.25</f>
        <v>-0.5</v>
      </c>
      <c r="H3511" s="0" t="n">
        <f aca="false">-1+D3511*0.25</f>
        <v>0.25</v>
      </c>
      <c r="I3511" s="0" t="n">
        <f aca="false">1</f>
        <v>1</v>
      </c>
      <c r="J3511" s="0" t="n">
        <f aca="false">E3511</f>
        <v>0</v>
      </c>
      <c r="K3511" s="0" t="n">
        <f aca="false">F3511</f>
        <v>0.75</v>
      </c>
      <c r="L3511" s="0" t="n">
        <f aca="false">G3511</f>
        <v>-0.5</v>
      </c>
      <c r="M3511" s="0" t="n">
        <f aca="false">H3511</f>
        <v>0.25</v>
      </c>
      <c r="N3511" s="0" t="n">
        <f aca="false">E3511*F3511</f>
        <v>0</v>
      </c>
      <c r="O3511" s="0" t="n">
        <f aca="false">E3511*G3511</f>
        <v>-0</v>
      </c>
      <c r="P3511" s="0" t="n">
        <f aca="false">E3511*H3511</f>
        <v>0</v>
      </c>
      <c r="Q3511" s="0" t="n">
        <f aca="false">F3511*G3511</f>
        <v>-0.375</v>
      </c>
      <c r="R3511" s="0" t="n">
        <f aca="false">F3511*H3511</f>
        <v>0.1875</v>
      </c>
      <c r="S3511" s="0" t="n">
        <f aca="false">G3511*H3511</f>
        <v>-0.125</v>
      </c>
      <c r="T3511" s="0" t="n">
        <f aca="false">E3511*E3511</f>
        <v>0</v>
      </c>
      <c r="U3511" s="0" t="n">
        <f aca="false">F3511*F3511</f>
        <v>0.5625</v>
      </c>
      <c r="V3511" s="0" t="n">
        <f aca="false">G3511*G3511</f>
        <v>0.25</v>
      </c>
      <c r="W3511" s="0" t="n">
        <f aca="false">H3511*H3511</f>
        <v>0.0625</v>
      </c>
      <c r="X3511" s="0" t="n">
        <f aca="false">SUMPRODUCT(I3511:W3511,_XtX!$B$96:$P$96)</f>
        <v>47.2483324195906</v>
      </c>
      <c r="Y3511" s="0" t="n">
        <f aca="false">SUMPRODUCT(MMULT(I3511:W3511,_XtX!$B$78:$P$92),I3511:W3511)</f>
        <v>0.215110734192252</v>
      </c>
      <c r="Z3511" s="0" t="n">
        <f aca="false">04_回帰ANOVA!$K$19*04_回帰ANOVA!$K$14*SQRT(1+Y3511)</f>
        <v>1.43683309086864</v>
      </c>
      <c r="AA3511" s="0" t="n">
        <f aca="false">X3511-Z3511</f>
        <v>45.8114993287219</v>
      </c>
      <c r="AB3511" s="0" t="n">
        <f aca="false">X3511+Z3511</f>
        <v>48.6851655104592</v>
      </c>
      <c r="AC3511" s="54" t="b">
        <f aca="false">AND(E3511&gt;=01_因子設定!$L$5-0.000000001,E3511&lt;=01_因子設定!$M$5+0.000000001,F3511&gt;=01_因子設定!$L$6-0.000000001,F3511&lt;=01_因子設定!$M$6+0.000000001,G3511&gt;=01_因子設定!$L$7-0.000000001,G3511&lt;=01_因子設定!$M$7+0.000000001,H3511&gt;=01_因子設定!$L$8-0.000000001,H3511&lt;=01_因子設定!$M$8+0.000000001,IF(01_因子設定!$B$20="Box-Behnken",E3511^2+F3511^2+G3511^2+H3511^2&lt;=2+0.000000001,TRUE()))</f>
        <v>1</v>
      </c>
      <c r="AD3511" s="55" t="n">
        <f aca="false">IF(AC3511,IF(01_因子設定!$B$13="最大化",AA3511-01_因子設定!$B$14,IF(01_因子設定!$B$13="最小化",01_因子設定!$B$15-AB3511,MIN(AA3511-01_因子設定!$B$14,01_因子設定!$B$15-AB3511))),-1E+030)</f>
        <v>-0.688500671278064</v>
      </c>
      <c r="AE3511" s="55" t="n">
        <f aca="false">IF(AC3511,IF(01_因子設定!$B$13="最大化",X3511,IF(01_因子設定!$B$13="最小化",-X3511,-ABS(X3511-01_因子設定!$B$16))),-1E+030)</f>
        <v>47.2483324195906</v>
      </c>
      <c r="AF3511" s="55" t="n">
        <f aca="false">AD3511+ROW()*0.000000001</f>
        <v>-0.688497160278064</v>
      </c>
      <c r="AG3511" s="55" t="n">
        <f aca="false">AE3511+ROW()*0.000000001</f>
        <v>47.2483359305906</v>
      </c>
    </row>
    <row r="3512" customFormat="false" ht="15" hidden="false" customHeight="false" outlineLevel="0" collapsed="false">
      <c r="A3512" s="0" t="n">
        <v>4</v>
      </c>
      <c r="B3512" s="0" t="n">
        <v>7</v>
      </c>
      <c r="C3512" s="0" t="n">
        <v>2</v>
      </c>
      <c r="D3512" s="0" t="n">
        <v>6</v>
      </c>
      <c r="E3512" s="0" t="n">
        <f aca="false">-1+A3512*0.25</f>
        <v>0</v>
      </c>
      <c r="F3512" s="0" t="n">
        <f aca="false">-1+B3512*0.25</f>
        <v>0.75</v>
      </c>
      <c r="G3512" s="0" t="n">
        <f aca="false">-1+C3512*0.25</f>
        <v>-0.5</v>
      </c>
      <c r="H3512" s="0" t="n">
        <f aca="false">-1+D3512*0.25</f>
        <v>0.5</v>
      </c>
      <c r="I3512" s="0" t="n">
        <f aca="false">1</f>
        <v>1</v>
      </c>
      <c r="J3512" s="0" t="n">
        <f aca="false">E3512</f>
        <v>0</v>
      </c>
      <c r="K3512" s="0" t="n">
        <f aca="false">F3512</f>
        <v>0.75</v>
      </c>
      <c r="L3512" s="0" t="n">
        <f aca="false">G3512</f>
        <v>-0.5</v>
      </c>
      <c r="M3512" s="0" t="n">
        <f aca="false">H3512</f>
        <v>0.5</v>
      </c>
      <c r="N3512" s="0" t="n">
        <f aca="false">E3512*F3512</f>
        <v>0</v>
      </c>
      <c r="O3512" s="0" t="n">
        <f aca="false">E3512*G3512</f>
        <v>-0</v>
      </c>
      <c r="P3512" s="0" t="n">
        <f aca="false">E3512*H3512</f>
        <v>0</v>
      </c>
      <c r="Q3512" s="0" t="n">
        <f aca="false">F3512*G3512</f>
        <v>-0.375</v>
      </c>
      <c r="R3512" s="0" t="n">
        <f aca="false">F3512*H3512</f>
        <v>0.375</v>
      </c>
      <c r="S3512" s="0" t="n">
        <f aca="false">G3512*H3512</f>
        <v>-0.25</v>
      </c>
      <c r="T3512" s="0" t="n">
        <f aca="false">E3512*E3512</f>
        <v>0</v>
      </c>
      <c r="U3512" s="0" t="n">
        <f aca="false">F3512*F3512</f>
        <v>0.5625</v>
      </c>
      <c r="V3512" s="0" t="n">
        <f aca="false">G3512*G3512</f>
        <v>0.25</v>
      </c>
      <c r="W3512" s="0" t="n">
        <f aca="false">H3512*H3512</f>
        <v>0.25</v>
      </c>
      <c r="X3512" s="0" t="n">
        <f aca="false">SUMPRODUCT(I3512:W3512,_XtX!$B$96:$P$96)</f>
        <v>47.2022295321637</v>
      </c>
      <c r="Y3512" s="0" t="n">
        <f aca="false">SUMPRODUCT(MMULT(I3512:W3512,_XtX!$B$78:$P$92),I3512:W3512)</f>
        <v>0.21305052997076</v>
      </c>
      <c r="Z3512" s="0" t="n">
        <f aca="false">04_回帰ANOVA!$K$19*04_回帰ANOVA!$K$14*SQRT(1+Y3512)</f>
        <v>1.43561450835061</v>
      </c>
      <c r="AA3512" s="0" t="n">
        <f aca="false">X3512-Z3512</f>
        <v>45.7666150238131</v>
      </c>
      <c r="AB3512" s="0" t="n">
        <f aca="false">X3512+Z3512</f>
        <v>48.6378440405143</v>
      </c>
      <c r="AC3512" s="54" t="b">
        <f aca="false">AND(E3512&gt;=01_因子設定!$L$5-0.000000001,E3512&lt;=01_因子設定!$M$5+0.000000001,F3512&gt;=01_因子設定!$L$6-0.000000001,F3512&lt;=01_因子設定!$M$6+0.000000001,G3512&gt;=01_因子設定!$L$7-0.000000001,G3512&lt;=01_因子設定!$M$7+0.000000001,H3512&gt;=01_因子設定!$L$8-0.000000001,H3512&lt;=01_因子設定!$M$8+0.000000001,IF(01_因子設定!$B$20="Box-Behnken",E3512^2+F3512^2+G3512^2+H3512^2&lt;=2+0.000000001,TRUE()))</f>
        <v>1</v>
      </c>
      <c r="AD3512" s="55" t="n">
        <f aca="false">IF(AC3512,IF(01_因子設定!$B$13="最大化",AA3512-01_因子設定!$B$14,IF(01_因子設定!$B$13="最小化",01_因子設定!$B$15-AB3512,MIN(AA3512-01_因子設定!$B$14,01_因子設定!$B$15-AB3512))),-1E+030)</f>
        <v>-0.733384976186919</v>
      </c>
      <c r="AE3512" s="55" t="n">
        <f aca="false">IF(AC3512,IF(01_因子設定!$B$13="最大化",X3512,IF(01_因子設定!$B$13="最小化",-X3512,-ABS(X3512-01_因子設定!$B$16))),-1E+030)</f>
        <v>47.2022295321637</v>
      </c>
      <c r="AF3512" s="55" t="n">
        <f aca="false">AD3512+ROW()*0.000000001</f>
        <v>-0.733381464186919</v>
      </c>
      <c r="AG3512" s="55" t="n">
        <f aca="false">AE3512+ROW()*0.000000001</f>
        <v>47.2022330441637</v>
      </c>
    </row>
    <row r="3513" customFormat="false" ht="15" hidden="false" customHeight="false" outlineLevel="0" collapsed="false">
      <c r="A3513" s="0" t="n">
        <v>4</v>
      </c>
      <c r="B3513" s="0" t="n">
        <v>7</v>
      </c>
      <c r="C3513" s="0" t="n">
        <v>2</v>
      </c>
      <c r="D3513" s="0" t="n">
        <v>7</v>
      </c>
      <c r="E3513" s="0" t="n">
        <f aca="false">-1+A3513*0.25</f>
        <v>0</v>
      </c>
      <c r="F3513" s="0" t="n">
        <f aca="false">-1+B3513*0.25</f>
        <v>0.75</v>
      </c>
      <c r="G3513" s="0" t="n">
        <f aca="false">-1+C3513*0.25</f>
        <v>-0.5</v>
      </c>
      <c r="H3513" s="0" t="n">
        <f aca="false">-1+D3513*0.25</f>
        <v>0.75</v>
      </c>
      <c r="I3513" s="0" t="n">
        <f aca="false">1</f>
        <v>1</v>
      </c>
      <c r="J3513" s="0" t="n">
        <f aca="false">E3513</f>
        <v>0</v>
      </c>
      <c r="K3513" s="0" t="n">
        <f aca="false">F3513</f>
        <v>0.75</v>
      </c>
      <c r="L3513" s="0" t="n">
        <f aca="false">G3513</f>
        <v>-0.5</v>
      </c>
      <c r="M3513" s="0" t="n">
        <f aca="false">H3513</f>
        <v>0.75</v>
      </c>
      <c r="N3513" s="0" t="n">
        <f aca="false">E3513*F3513</f>
        <v>0</v>
      </c>
      <c r="O3513" s="0" t="n">
        <f aca="false">E3513*G3513</f>
        <v>-0</v>
      </c>
      <c r="P3513" s="0" t="n">
        <f aca="false">E3513*H3513</f>
        <v>0</v>
      </c>
      <c r="Q3513" s="0" t="n">
        <f aca="false">F3513*G3513</f>
        <v>-0.375</v>
      </c>
      <c r="R3513" s="0" t="n">
        <f aca="false">F3513*H3513</f>
        <v>0.5625</v>
      </c>
      <c r="S3513" s="0" t="n">
        <f aca="false">G3513*H3513</f>
        <v>-0.375</v>
      </c>
      <c r="T3513" s="0" t="n">
        <f aca="false">E3513*E3513</f>
        <v>0</v>
      </c>
      <c r="U3513" s="0" t="n">
        <f aca="false">F3513*F3513</f>
        <v>0.5625</v>
      </c>
      <c r="V3513" s="0" t="n">
        <f aca="false">G3513*G3513</f>
        <v>0.25</v>
      </c>
      <c r="W3513" s="0" t="n">
        <f aca="false">H3513*H3513</f>
        <v>0.5625</v>
      </c>
      <c r="X3513" s="0" t="n">
        <f aca="false">SUMPRODUCT(I3513:W3513,_XtX!$B$96:$P$96)</f>
        <v>47.1083196271929</v>
      </c>
      <c r="Y3513" s="0" t="n">
        <f aca="false">SUMPRODUCT(MMULT(I3513:W3513,_XtX!$B$78:$P$92),I3513:W3513)</f>
        <v>0.269923873812135</v>
      </c>
      <c r="Z3513" s="0" t="n">
        <f aca="false">04_回帰ANOVA!$K$19*04_回帰ANOVA!$K$14*SQRT(1+Y3513)</f>
        <v>1.46888310825501</v>
      </c>
      <c r="AA3513" s="0" t="n">
        <f aca="false">X3513-Z3513</f>
        <v>45.6394365189379</v>
      </c>
      <c r="AB3513" s="0" t="n">
        <f aca="false">X3513+Z3513</f>
        <v>48.5772027354479</v>
      </c>
      <c r="AC3513" s="54" t="b">
        <f aca="false">AND(E3513&gt;=01_因子設定!$L$5-0.000000001,E3513&lt;=01_因子設定!$M$5+0.000000001,F3513&gt;=01_因子設定!$L$6-0.000000001,F3513&lt;=01_因子設定!$M$6+0.000000001,G3513&gt;=01_因子設定!$L$7-0.000000001,G3513&lt;=01_因子設定!$M$7+0.000000001,H3513&gt;=01_因子設定!$L$8-0.000000001,H3513&lt;=01_因子設定!$M$8+0.000000001,IF(01_因子設定!$B$20="Box-Behnken",E3513^2+F3513^2+G3513^2+H3513^2&lt;=2+0.000000001,TRUE()))</f>
        <v>1</v>
      </c>
      <c r="AD3513" s="55" t="n">
        <f aca="false">IF(AC3513,IF(01_因子設定!$B$13="最大化",AA3513-01_因子設定!$B$14,IF(01_因子設定!$B$13="最小化",01_因子設定!$B$15-AB3513,MIN(AA3513-01_因子設定!$B$14,01_因子設定!$B$15-AB3513))),-1E+030)</f>
        <v>-0.860563481062073</v>
      </c>
      <c r="AE3513" s="55" t="n">
        <f aca="false">IF(AC3513,IF(01_因子設定!$B$13="最大化",X3513,IF(01_因子設定!$B$13="最小化",-X3513,-ABS(X3513-01_因子設定!$B$16))),-1E+030)</f>
        <v>47.1083196271929</v>
      </c>
      <c r="AF3513" s="55" t="n">
        <f aca="false">AD3513+ROW()*0.000000001</f>
        <v>-0.860559968062073</v>
      </c>
      <c r="AG3513" s="55" t="n">
        <f aca="false">AE3513+ROW()*0.000000001</f>
        <v>47.1083231401929</v>
      </c>
    </row>
    <row r="3514" customFormat="false" ht="15" hidden="false" customHeight="false" outlineLevel="0" collapsed="false">
      <c r="A3514" s="0" t="n">
        <v>4</v>
      </c>
      <c r="B3514" s="0" t="n">
        <v>7</v>
      </c>
      <c r="C3514" s="0" t="n">
        <v>2</v>
      </c>
      <c r="D3514" s="0" t="n">
        <v>8</v>
      </c>
      <c r="E3514" s="0" t="n">
        <f aca="false">-1+A3514*0.25</f>
        <v>0</v>
      </c>
      <c r="F3514" s="0" t="n">
        <f aca="false">-1+B3514*0.25</f>
        <v>0.75</v>
      </c>
      <c r="G3514" s="0" t="n">
        <f aca="false">-1+C3514*0.25</f>
        <v>-0.5</v>
      </c>
      <c r="H3514" s="0" t="n">
        <f aca="false">-1+D3514*0.25</f>
        <v>1</v>
      </c>
      <c r="I3514" s="0" t="n">
        <f aca="false">1</f>
        <v>1</v>
      </c>
      <c r="J3514" s="0" t="n">
        <f aca="false">E3514</f>
        <v>0</v>
      </c>
      <c r="K3514" s="0" t="n">
        <f aca="false">F3514</f>
        <v>0.75</v>
      </c>
      <c r="L3514" s="0" t="n">
        <f aca="false">G3514</f>
        <v>-0.5</v>
      </c>
      <c r="M3514" s="0" t="n">
        <f aca="false">H3514</f>
        <v>1</v>
      </c>
      <c r="N3514" s="0" t="n">
        <f aca="false">E3514*F3514</f>
        <v>0</v>
      </c>
      <c r="O3514" s="0" t="n">
        <f aca="false">E3514*G3514</f>
        <v>-0</v>
      </c>
      <c r="P3514" s="0" t="n">
        <f aca="false">E3514*H3514</f>
        <v>0</v>
      </c>
      <c r="Q3514" s="0" t="n">
        <f aca="false">F3514*G3514</f>
        <v>-0.375</v>
      </c>
      <c r="R3514" s="0" t="n">
        <f aca="false">F3514*H3514</f>
        <v>0.75</v>
      </c>
      <c r="S3514" s="0" t="n">
        <f aca="false">G3514*H3514</f>
        <v>-0.5</v>
      </c>
      <c r="T3514" s="0" t="n">
        <f aca="false">E3514*E3514</f>
        <v>0</v>
      </c>
      <c r="U3514" s="0" t="n">
        <f aca="false">F3514*F3514</f>
        <v>0.5625</v>
      </c>
      <c r="V3514" s="0" t="n">
        <f aca="false">G3514*G3514</f>
        <v>0.25</v>
      </c>
      <c r="W3514" s="0" t="n">
        <f aca="false">H3514*H3514</f>
        <v>1</v>
      </c>
      <c r="X3514" s="0" t="n">
        <f aca="false">SUMPRODUCT(I3514:W3514,_XtX!$B$96:$P$96)</f>
        <v>46.9666027046783</v>
      </c>
      <c r="Y3514" s="0" t="n">
        <f aca="false">SUMPRODUCT(MMULT(I3514:W3514,_XtX!$B$78:$P$92),I3514:W3514)</f>
        <v>0.476191292032164</v>
      </c>
      <c r="Z3514" s="0" t="n">
        <f aca="false">04_回帰ANOVA!$K$19*04_回帰ANOVA!$K$14*SQRT(1+Y3514)</f>
        <v>1.58368831471718</v>
      </c>
      <c r="AA3514" s="0" t="n">
        <f aca="false">X3514-Z3514</f>
        <v>45.3829143899612</v>
      </c>
      <c r="AB3514" s="0" t="n">
        <f aca="false">X3514+Z3514</f>
        <v>48.5502910193955</v>
      </c>
      <c r="AC3514" s="54" t="b">
        <f aca="false">AND(E3514&gt;=01_因子設定!$L$5-0.000000001,E3514&lt;=01_因子設定!$M$5+0.000000001,F3514&gt;=01_因子設定!$L$6-0.000000001,F3514&lt;=01_因子設定!$M$6+0.000000001,G3514&gt;=01_因子設定!$L$7-0.000000001,G3514&lt;=01_因子設定!$M$7+0.000000001,H3514&gt;=01_因子設定!$L$8-0.000000001,H3514&lt;=01_因子設定!$M$8+0.000000001,IF(01_因子設定!$B$20="Box-Behnken",E3514^2+F3514^2+G3514^2+H3514^2&lt;=2+0.000000001,TRUE()))</f>
        <v>1</v>
      </c>
      <c r="AD3514" s="55" t="n">
        <f aca="false">IF(AC3514,IF(01_因子設定!$B$13="最大化",AA3514-01_因子設定!$B$14,IF(01_因子設定!$B$13="最小化",01_因子設定!$B$15-AB3514,MIN(AA3514-01_因子設定!$B$14,01_因子設定!$B$15-AB3514))),-1E+030)</f>
        <v>-1.11708561003885</v>
      </c>
      <c r="AE3514" s="55" t="n">
        <f aca="false">IF(AC3514,IF(01_因子設定!$B$13="最大化",X3514,IF(01_因子設定!$B$13="最小化",-X3514,-ABS(X3514-01_因子設定!$B$16))),-1E+030)</f>
        <v>46.9666027046783</v>
      </c>
      <c r="AF3514" s="55" t="n">
        <f aca="false">AD3514+ROW()*0.000000001</f>
        <v>-1.11708209603885</v>
      </c>
      <c r="AG3514" s="55" t="n">
        <f aca="false">AE3514+ROW()*0.000000001</f>
        <v>46.9666062186783</v>
      </c>
    </row>
    <row r="3515" customFormat="false" ht="15" hidden="false" customHeight="false" outlineLevel="0" collapsed="false">
      <c r="A3515" s="0" t="n">
        <v>4</v>
      </c>
      <c r="B3515" s="0" t="n">
        <v>7</v>
      </c>
      <c r="C3515" s="0" t="n">
        <v>3</v>
      </c>
      <c r="D3515" s="0" t="n">
        <v>0</v>
      </c>
      <c r="E3515" s="0" t="n">
        <f aca="false">-1+A3515*0.25</f>
        <v>0</v>
      </c>
      <c r="F3515" s="0" t="n">
        <f aca="false">-1+B3515*0.25</f>
        <v>0.75</v>
      </c>
      <c r="G3515" s="0" t="n">
        <f aca="false">-1+C3515*0.25</f>
        <v>-0.25</v>
      </c>
      <c r="H3515" s="0" t="n">
        <f aca="false">-1+D3515*0.25</f>
        <v>-1</v>
      </c>
      <c r="I3515" s="0" t="n">
        <f aca="false">1</f>
        <v>1</v>
      </c>
      <c r="J3515" s="0" t="n">
        <f aca="false">E3515</f>
        <v>0</v>
      </c>
      <c r="K3515" s="0" t="n">
        <f aca="false">F3515</f>
        <v>0.75</v>
      </c>
      <c r="L3515" s="0" t="n">
        <f aca="false">G3515</f>
        <v>-0.25</v>
      </c>
      <c r="M3515" s="0" t="n">
        <f aca="false">H3515</f>
        <v>-1</v>
      </c>
      <c r="N3515" s="0" t="n">
        <f aca="false">E3515*F3515</f>
        <v>0</v>
      </c>
      <c r="O3515" s="0" t="n">
        <f aca="false">E3515*G3515</f>
        <v>-0</v>
      </c>
      <c r="P3515" s="0" t="n">
        <f aca="false">E3515*H3515</f>
        <v>-0</v>
      </c>
      <c r="Q3515" s="0" t="n">
        <f aca="false">F3515*G3515</f>
        <v>-0.1875</v>
      </c>
      <c r="R3515" s="0" t="n">
        <f aca="false">F3515*H3515</f>
        <v>-0.75</v>
      </c>
      <c r="S3515" s="0" t="n">
        <f aca="false">G3515*H3515</f>
        <v>0.25</v>
      </c>
      <c r="T3515" s="0" t="n">
        <f aca="false">E3515*E3515</f>
        <v>0</v>
      </c>
      <c r="U3515" s="0" t="n">
        <f aca="false">F3515*F3515</f>
        <v>0.5625</v>
      </c>
      <c r="V3515" s="0" t="n">
        <f aca="false">G3515*G3515</f>
        <v>0.0625</v>
      </c>
      <c r="W3515" s="0" t="n">
        <f aca="false">H3515*H3515</f>
        <v>1</v>
      </c>
      <c r="X3515" s="0" t="n">
        <f aca="false">SUMPRODUCT(I3515:W3515,_XtX!$B$96:$P$96)</f>
        <v>47.1222542032163</v>
      </c>
      <c r="Y3515" s="0" t="n">
        <f aca="false">SUMPRODUCT(MMULT(I3515:W3515,_XtX!$B$78:$P$92),I3515:W3515)</f>
        <v>0.501534802174708</v>
      </c>
      <c r="Z3515" s="0" t="n">
        <f aca="false">04_回帰ANOVA!$K$19*04_回帰ANOVA!$K$14*SQRT(1+Y3515)</f>
        <v>1.59722498091333</v>
      </c>
      <c r="AA3515" s="0" t="n">
        <f aca="false">X3515-Z3515</f>
        <v>45.525029222303</v>
      </c>
      <c r="AB3515" s="0" t="n">
        <f aca="false">X3515+Z3515</f>
        <v>48.7194791841297</v>
      </c>
      <c r="AC3515" s="54" t="b">
        <f aca="false">AND(E3515&gt;=01_因子設定!$L$5-0.000000001,E3515&lt;=01_因子設定!$M$5+0.000000001,F3515&gt;=01_因子設定!$L$6-0.000000001,F3515&lt;=01_因子設定!$M$6+0.000000001,G3515&gt;=01_因子設定!$L$7-0.000000001,G3515&lt;=01_因子設定!$M$7+0.000000001,H3515&gt;=01_因子設定!$L$8-0.000000001,H3515&lt;=01_因子設定!$M$8+0.000000001,IF(01_因子設定!$B$20="Box-Behnken",E3515^2+F3515^2+G3515^2+H3515^2&lt;=2+0.000000001,TRUE()))</f>
        <v>1</v>
      </c>
      <c r="AD3515" s="55" t="n">
        <f aca="false">IF(AC3515,IF(01_因子設定!$B$13="最大化",AA3515-01_因子設定!$B$14,IF(01_因子設定!$B$13="最小化",01_因子設定!$B$15-AB3515,MIN(AA3515-01_因子設定!$B$14,01_因子設定!$B$15-AB3515))),-1E+030)</f>
        <v>-0.974970777696989</v>
      </c>
      <c r="AE3515" s="55" t="n">
        <f aca="false">IF(AC3515,IF(01_因子設定!$B$13="最大化",X3515,IF(01_因子設定!$B$13="最小化",-X3515,-ABS(X3515-01_因子設定!$B$16))),-1E+030)</f>
        <v>47.1222542032163</v>
      </c>
      <c r="AF3515" s="55" t="n">
        <f aca="false">AD3515+ROW()*0.000000001</f>
        <v>-0.974967262696989</v>
      </c>
      <c r="AG3515" s="55" t="n">
        <f aca="false">AE3515+ROW()*0.000000001</f>
        <v>47.1222577182163</v>
      </c>
    </row>
    <row r="3516" customFormat="false" ht="15" hidden="false" customHeight="false" outlineLevel="0" collapsed="false">
      <c r="A3516" s="0" t="n">
        <v>4</v>
      </c>
      <c r="B3516" s="0" t="n">
        <v>7</v>
      </c>
      <c r="C3516" s="0" t="n">
        <v>3</v>
      </c>
      <c r="D3516" s="0" t="n">
        <v>1</v>
      </c>
      <c r="E3516" s="0" t="n">
        <f aca="false">-1+A3516*0.25</f>
        <v>0</v>
      </c>
      <c r="F3516" s="0" t="n">
        <f aca="false">-1+B3516*0.25</f>
        <v>0.75</v>
      </c>
      <c r="G3516" s="0" t="n">
        <f aca="false">-1+C3516*0.25</f>
        <v>-0.25</v>
      </c>
      <c r="H3516" s="0" t="n">
        <f aca="false">-1+D3516*0.25</f>
        <v>-0.75</v>
      </c>
      <c r="I3516" s="0" t="n">
        <f aca="false">1</f>
        <v>1</v>
      </c>
      <c r="J3516" s="0" t="n">
        <f aca="false">E3516</f>
        <v>0</v>
      </c>
      <c r="K3516" s="0" t="n">
        <f aca="false">F3516</f>
        <v>0.75</v>
      </c>
      <c r="L3516" s="0" t="n">
        <f aca="false">G3516</f>
        <v>-0.25</v>
      </c>
      <c r="M3516" s="0" t="n">
        <f aca="false">H3516</f>
        <v>-0.75</v>
      </c>
      <c r="N3516" s="0" t="n">
        <f aca="false">E3516*F3516</f>
        <v>0</v>
      </c>
      <c r="O3516" s="0" t="n">
        <f aca="false">E3516*G3516</f>
        <v>-0</v>
      </c>
      <c r="P3516" s="0" t="n">
        <f aca="false">E3516*H3516</f>
        <v>-0</v>
      </c>
      <c r="Q3516" s="0" t="n">
        <f aca="false">F3516*G3516</f>
        <v>-0.1875</v>
      </c>
      <c r="R3516" s="0" t="n">
        <f aca="false">F3516*H3516</f>
        <v>-0.5625</v>
      </c>
      <c r="S3516" s="0" t="n">
        <f aca="false">G3516*H3516</f>
        <v>0.1875</v>
      </c>
      <c r="T3516" s="0" t="n">
        <f aca="false">E3516*E3516</f>
        <v>0</v>
      </c>
      <c r="U3516" s="0" t="n">
        <f aca="false">F3516*F3516</f>
        <v>0.5625</v>
      </c>
      <c r="V3516" s="0" t="n">
        <f aca="false">G3516*G3516</f>
        <v>0.0625</v>
      </c>
      <c r="W3516" s="0" t="n">
        <f aca="false">H3516*H3516</f>
        <v>0.5625</v>
      </c>
      <c r="X3516" s="0" t="n">
        <f aca="false">SUMPRODUCT(I3516:W3516,_XtX!$B$96:$P$96)</f>
        <v>47.3331551535087</v>
      </c>
      <c r="Y3516" s="0" t="n">
        <f aca="false">SUMPRODUCT(MMULT(I3516:W3516,_XtX!$B$78:$P$92),I3516:W3516)</f>
        <v>0.281685455500731</v>
      </c>
      <c r="Z3516" s="0" t="n">
        <f aca="false">04_回帰ANOVA!$K$19*04_回帰ANOVA!$K$14*SQRT(1+Y3516)</f>
        <v>1.47566956658694</v>
      </c>
      <c r="AA3516" s="0" t="n">
        <f aca="false">X3516-Z3516</f>
        <v>45.8574855869218</v>
      </c>
      <c r="AB3516" s="0" t="n">
        <f aca="false">X3516+Z3516</f>
        <v>48.8088247200957</v>
      </c>
      <c r="AC3516" s="54" t="b">
        <f aca="false">AND(E3516&gt;=01_因子設定!$L$5-0.000000001,E3516&lt;=01_因子設定!$M$5+0.000000001,F3516&gt;=01_因子設定!$L$6-0.000000001,F3516&lt;=01_因子設定!$M$6+0.000000001,G3516&gt;=01_因子設定!$L$7-0.000000001,G3516&lt;=01_因子設定!$M$7+0.000000001,H3516&gt;=01_因子設定!$L$8-0.000000001,H3516&lt;=01_因子設定!$M$8+0.000000001,IF(01_因子設定!$B$20="Box-Behnken",E3516^2+F3516^2+G3516^2+H3516^2&lt;=2+0.000000001,TRUE()))</f>
        <v>1</v>
      </c>
      <c r="AD3516" s="55" t="n">
        <f aca="false">IF(AC3516,IF(01_因子設定!$B$13="最大化",AA3516-01_因子設定!$B$14,IF(01_因子設定!$B$13="最小化",01_因子設定!$B$15-AB3516,MIN(AA3516-01_因子設定!$B$14,01_因子設定!$B$15-AB3516))),-1E+030)</f>
        <v>-0.64251441307821</v>
      </c>
      <c r="AE3516" s="55" t="n">
        <f aca="false">IF(AC3516,IF(01_因子設定!$B$13="最大化",X3516,IF(01_因子設定!$B$13="最小化",-X3516,-ABS(X3516-01_因子設定!$B$16))),-1E+030)</f>
        <v>47.3331551535087</v>
      </c>
      <c r="AF3516" s="55" t="n">
        <f aca="false">AD3516+ROW()*0.000000001</f>
        <v>-0.64251089707821</v>
      </c>
      <c r="AG3516" s="55" t="n">
        <f aca="false">AE3516+ROW()*0.000000001</f>
        <v>47.3331586695087</v>
      </c>
    </row>
    <row r="3517" customFormat="false" ht="15" hidden="false" customHeight="false" outlineLevel="0" collapsed="false">
      <c r="A3517" s="0" t="n">
        <v>4</v>
      </c>
      <c r="B3517" s="0" t="n">
        <v>7</v>
      </c>
      <c r="C3517" s="0" t="n">
        <v>3</v>
      </c>
      <c r="D3517" s="0" t="n">
        <v>2</v>
      </c>
      <c r="E3517" s="0" t="n">
        <f aca="false">-1+A3517*0.25</f>
        <v>0</v>
      </c>
      <c r="F3517" s="0" t="n">
        <f aca="false">-1+B3517*0.25</f>
        <v>0.75</v>
      </c>
      <c r="G3517" s="0" t="n">
        <f aca="false">-1+C3517*0.25</f>
        <v>-0.25</v>
      </c>
      <c r="H3517" s="0" t="n">
        <f aca="false">-1+D3517*0.25</f>
        <v>-0.5</v>
      </c>
      <c r="I3517" s="0" t="n">
        <f aca="false">1</f>
        <v>1</v>
      </c>
      <c r="J3517" s="0" t="n">
        <f aca="false">E3517</f>
        <v>0</v>
      </c>
      <c r="K3517" s="0" t="n">
        <f aca="false">F3517</f>
        <v>0.75</v>
      </c>
      <c r="L3517" s="0" t="n">
        <f aca="false">G3517</f>
        <v>-0.25</v>
      </c>
      <c r="M3517" s="0" t="n">
        <f aca="false">H3517</f>
        <v>-0.5</v>
      </c>
      <c r="N3517" s="0" t="n">
        <f aca="false">E3517*F3517</f>
        <v>0</v>
      </c>
      <c r="O3517" s="0" t="n">
        <f aca="false">E3517*G3517</f>
        <v>-0</v>
      </c>
      <c r="P3517" s="0" t="n">
        <f aca="false">E3517*H3517</f>
        <v>-0</v>
      </c>
      <c r="Q3517" s="0" t="n">
        <f aca="false">F3517*G3517</f>
        <v>-0.1875</v>
      </c>
      <c r="R3517" s="0" t="n">
        <f aca="false">F3517*H3517</f>
        <v>-0.375</v>
      </c>
      <c r="S3517" s="0" t="n">
        <f aca="false">G3517*H3517</f>
        <v>0.125</v>
      </c>
      <c r="T3517" s="0" t="n">
        <f aca="false">E3517*E3517</f>
        <v>0</v>
      </c>
      <c r="U3517" s="0" t="n">
        <f aca="false">F3517*F3517</f>
        <v>0.5625</v>
      </c>
      <c r="V3517" s="0" t="n">
        <f aca="false">G3517*G3517</f>
        <v>0.0625</v>
      </c>
      <c r="W3517" s="0" t="n">
        <f aca="false">H3517*H3517</f>
        <v>0.25</v>
      </c>
      <c r="X3517" s="0" t="n">
        <f aca="false">SUMPRODUCT(I3517:W3517,_XtX!$B$96:$P$96)</f>
        <v>47.4962490862573</v>
      </c>
      <c r="Y3517" s="0" t="n">
        <f aca="false">SUMPRODUCT(MMULT(I3517:W3517,_XtX!$B$78:$P$92),I3517:W3517)</f>
        <v>0.215110734192252</v>
      </c>
      <c r="Z3517" s="0" t="n">
        <f aca="false">04_回帰ANOVA!$K$19*04_回帰ANOVA!$K$14*SQRT(1+Y3517)</f>
        <v>1.43683309086864</v>
      </c>
      <c r="AA3517" s="0" t="n">
        <f aca="false">X3517-Z3517</f>
        <v>46.0594159953886</v>
      </c>
      <c r="AB3517" s="0" t="n">
        <f aca="false">X3517+Z3517</f>
        <v>48.9330821771259</v>
      </c>
      <c r="AC3517" s="54" t="b">
        <f aca="false">AND(E3517&gt;=01_因子設定!$L$5-0.000000001,E3517&lt;=01_因子設定!$M$5+0.000000001,F3517&gt;=01_因子設定!$L$6-0.000000001,F3517&lt;=01_因子設定!$M$6+0.000000001,G3517&gt;=01_因子設定!$L$7-0.000000001,G3517&lt;=01_因子設定!$M$7+0.000000001,H3517&gt;=01_因子設定!$L$8-0.000000001,H3517&lt;=01_因子設定!$M$8+0.000000001,IF(01_因子設定!$B$20="Box-Behnken",E3517^2+F3517^2+G3517^2+H3517^2&lt;=2+0.000000001,TRUE()))</f>
        <v>1</v>
      </c>
      <c r="AD3517" s="55" t="n">
        <f aca="false">IF(AC3517,IF(01_因子設定!$B$13="最大化",AA3517-01_因子設定!$B$14,IF(01_因子設定!$B$13="最小化",01_因子設定!$B$15-AB3517,MIN(AA3517-01_因子設定!$B$14,01_因子設定!$B$15-AB3517))),-1E+030)</f>
        <v>-0.440584004611395</v>
      </c>
      <c r="AE3517" s="55" t="n">
        <f aca="false">IF(AC3517,IF(01_因子設定!$B$13="最大化",X3517,IF(01_因子設定!$B$13="最小化",-X3517,-ABS(X3517-01_因子設定!$B$16))),-1E+030)</f>
        <v>47.4962490862573</v>
      </c>
      <c r="AF3517" s="55" t="n">
        <f aca="false">AD3517+ROW()*0.000000001</f>
        <v>-0.440580487611395</v>
      </c>
      <c r="AG3517" s="55" t="n">
        <f aca="false">AE3517+ROW()*0.000000001</f>
        <v>47.4962526032573</v>
      </c>
    </row>
    <row r="3518" customFormat="false" ht="15" hidden="false" customHeight="false" outlineLevel="0" collapsed="false">
      <c r="A3518" s="0" t="n">
        <v>4</v>
      </c>
      <c r="B3518" s="0" t="n">
        <v>7</v>
      </c>
      <c r="C3518" s="0" t="n">
        <v>3</v>
      </c>
      <c r="D3518" s="0" t="n">
        <v>3</v>
      </c>
      <c r="E3518" s="0" t="n">
        <f aca="false">-1+A3518*0.25</f>
        <v>0</v>
      </c>
      <c r="F3518" s="0" t="n">
        <f aca="false">-1+B3518*0.25</f>
        <v>0.75</v>
      </c>
      <c r="G3518" s="0" t="n">
        <f aca="false">-1+C3518*0.25</f>
        <v>-0.25</v>
      </c>
      <c r="H3518" s="0" t="n">
        <f aca="false">-1+D3518*0.25</f>
        <v>-0.25</v>
      </c>
      <c r="I3518" s="0" t="n">
        <f aca="false">1</f>
        <v>1</v>
      </c>
      <c r="J3518" s="0" t="n">
        <f aca="false">E3518</f>
        <v>0</v>
      </c>
      <c r="K3518" s="0" t="n">
        <f aca="false">F3518</f>
        <v>0.75</v>
      </c>
      <c r="L3518" s="0" t="n">
        <f aca="false">G3518</f>
        <v>-0.25</v>
      </c>
      <c r="M3518" s="0" t="n">
        <f aca="false">H3518</f>
        <v>-0.25</v>
      </c>
      <c r="N3518" s="0" t="n">
        <f aca="false">E3518*F3518</f>
        <v>0</v>
      </c>
      <c r="O3518" s="0" t="n">
        <f aca="false">E3518*G3518</f>
        <v>-0</v>
      </c>
      <c r="P3518" s="0" t="n">
        <f aca="false">E3518*H3518</f>
        <v>-0</v>
      </c>
      <c r="Q3518" s="0" t="n">
        <f aca="false">F3518*G3518</f>
        <v>-0.1875</v>
      </c>
      <c r="R3518" s="0" t="n">
        <f aca="false">F3518*H3518</f>
        <v>-0.1875</v>
      </c>
      <c r="S3518" s="0" t="n">
        <f aca="false">G3518*H3518</f>
        <v>0.0625</v>
      </c>
      <c r="T3518" s="0" t="n">
        <f aca="false">E3518*E3518</f>
        <v>0</v>
      </c>
      <c r="U3518" s="0" t="n">
        <f aca="false">F3518*F3518</f>
        <v>0.5625</v>
      </c>
      <c r="V3518" s="0" t="n">
        <f aca="false">G3518*G3518</f>
        <v>0.0625</v>
      </c>
      <c r="W3518" s="0" t="n">
        <f aca="false">H3518*H3518</f>
        <v>0.0625</v>
      </c>
      <c r="X3518" s="0" t="n">
        <f aca="false">SUMPRODUCT(I3518:W3518,_XtX!$B$96:$P$96)</f>
        <v>47.6115360014619</v>
      </c>
      <c r="Y3518" s="0" t="n">
        <f aca="false">SUMPRODUCT(MMULT(I3518:W3518,_XtX!$B$78:$P$92),I3518:W3518)</f>
        <v>0.21135011193348</v>
      </c>
      <c r="Z3518" s="0" t="n">
        <f aca="false">04_回帰ANOVA!$K$19*04_回帰ANOVA!$K$14*SQRT(1+Y3518)</f>
        <v>1.43460795469709</v>
      </c>
      <c r="AA3518" s="0" t="n">
        <f aca="false">X3518-Z3518</f>
        <v>46.1769280467648</v>
      </c>
      <c r="AB3518" s="0" t="n">
        <f aca="false">X3518+Z3518</f>
        <v>49.046143956159</v>
      </c>
      <c r="AC3518" s="54" t="b">
        <f aca="false">AND(E3518&gt;=01_因子設定!$L$5-0.000000001,E3518&lt;=01_因子設定!$M$5+0.000000001,F3518&gt;=01_因子設定!$L$6-0.000000001,F3518&lt;=01_因子設定!$M$6+0.000000001,G3518&gt;=01_因子設定!$L$7-0.000000001,G3518&lt;=01_因子設定!$M$7+0.000000001,H3518&gt;=01_因子設定!$L$8-0.000000001,H3518&lt;=01_因子設定!$M$8+0.000000001,IF(01_因子設定!$B$20="Box-Behnken",E3518^2+F3518^2+G3518^2+H3518^2&lt;=2+0.000000001,TRUE()))</f>
        <v>1</v>
      </c>
      <c r="AD3518" s="55" t="n">
        <f aca="false">IF(AC3518,IF(01_因子設定!$B$13="最大化",AA3518-01_因子設定!$B$14,IF(01_因子設定!$B$13="最小化",01_因子設定!$B$15-AB3518,MIN(AA3518-01_因子設定!$B$14,01_因子設定!$B$15-AB3518))),-1E+030)</f>
        <v>-0.323071953235164</v>
      </c>
      <c r="AE3518" s="55" t="n">
        <f aca="false">IF(AC3518,IF(01_因子設定!$B$13="最大化",X3518,IF(01_因子設定!$B$13="最小化",-X3518,-ABS(X3518-01_因子設定!$B$16))),-1E+030)</f>
        <v>47.6115360014619</v>
      </c>
      <c r="AF3518" s="55" t="n">
        <f aca="false">AD3518+ROW()*0.000000001</f>
        <v>-0.323068435235164</v>
      </c>
      <c r="AG3518" s="55" t="n">
        <f aca="false">AE3518+ROW()*0.000000001</f>
        <v>47.6115395194619</v>
      </c>
    </row>
    <row r="3519" customFormat="false" ht="15" hidden="false" customHeight="false" outlineLevel="0" collapsed="false">
      <c r="A3519" s="0" t="n">
        <v>4</v>
      </c>
      <c r="B3519" s="0" t="n">
        <v>7</v>
      </c>
      <c r="C3519" s="0" t="n">
        <v>3</v>
      </c>
      <c r="D3519" s="0" t="n">
        <v>4</v>
      </c>
      <c r="E3519" s="0" t="n">
        <f aca="false">-1+A3519*0.25</f>
        <v>0</v>
      </c>
      <c r="F3519" s="0" t="n">
        <f aca="false">-1+B3519*0.25</f>
        <v>0.75</v>
      </c>
      <c r="G3519" s="0" t="n">
        <f aca="false">-1+C3519*0.25</f>
        <v>-0.25</v>
      </c>
      <c r="H3519" s="0" t="n">
        <f aca="false">-1+D3519*0.25</f>
        <v>0</v>
      </c>
      <c r="I3519" s="0" t="n">
        <f aca="false">1</f>
        <v>1</v>
      </c>
      <c r="J3519" s="0" t="n">
        <f aca="false">E3519</f>
        <v>0</v>
      </c>
      <c r="K3519" s="0" t="n">
        <f aca="false">F3519</f>
        <v>0.75</v>
      </c>
      <c r="L3519" s="0" t="n">
        <f aca="false">G3519</f>
        <v>-0.25</v>
      </c>
      <c r="M3519" s="0" t="n">
        <f aca="false">H3519</f>
        <v>0</v>
      </c>
      <c r="N3519" s="0" t="n">
        <f aca="false">E3519*F3519</f>
        <v>0</v>
      </c>
      <c r="O3519" s="0" t="n">
        <f aca="false">E3519*G3519</f>
        <v>-0</v>
      </c>
      <c r="P3519" s="0" t="n">
        <f aca="false">E3519*H3519</f>
        <v>0</v>
      </c>
      <c r="Q3519" s="0" t="n">
        <f aca="false">F3519*G3519</f>
        <v>-0.1875</v>
      </c>
      <c r="R3519" s="0" t="n">
        <f aca="false">F3519*H3519</f>
        <v>0</v>
      </c>
      <c r="S3519" s="0" t="n">
        <f aca="false">G3519*H3519</f>
        <v>-0</v>
      </c>
      <c r="T3519" s="0" t="n">
        <f aca="false">E3519*E3519</f>
        <v>0</v>
      </c>
      <c r="U3519" s="0" t="n">
        <f aca="false">F3519*F3519</f>
        <v>0.5625</v>
      </c>
      <c r="V3519" s="0" t="n">
        <f aca="false">G3519*G3519</f>
        <v>0.0625</v>
      </c>
      <c r="W3519" s="0" t="n">
        <f aca="false">H3519*H3519</f>
        <v>0</v>
      </c>
      <c r="X3519" s="0" t="n">
        <f aca="false">SUMPRODUCT(I3519:W3519,_XtX!$B$96:$P$96)</f>
        <v>47.6790158991227</v>
      </c>
      <c r="Y3519" s="0" t="n">
        <f aca="false">SUMPRODUCT(MMULT(I3519:W3519,_XtX!$B$78:$P$92),I3519:W3519)</f>
        <v>0.216127272934942</v>
      </c>
      <c r="Z3519" s="0" t="n">
        <f aca="false">04_回帰ANOVA!$K$19*04_回帰ANOVA!$K$14*SQRT(1+Y3519)</f>
        <v>1.43743397896608</v>
      </c>
      <c r="AA3519" s="0" t="n">
        <f aca="false">X3519-Z3519</f>
        <v>46.2415819201567</v>
      </c>
      <c r="AB3519" s="0" t="n">
        <f aca="false">X3519+Z3519</f>
        <v>49.1164498780888</v>
      </c>
      <c r="AC3519" s="54" t="b">
        <f aca="false">AND(E3519&gt;=01_因子設定!$L$5-0.000000001,E3519&lt;=01_因子設定!$M$5+0.000000001,F3519&gt;=01_因子設定!$L$6-0.000000001,F3519&lt;=01_因子設定!$M$6+0.000000001,G3519&gt;=01_因子設定!$L$7-0.000000001,G3519&lt;=01_因子設定!$M$7+0.000000001,H3519&gt;=01_因子設定!$L$8-0.000000001,H3519&lt;=01_因子設定!$M$8+0.000000001,IF(01_因子設定!$B$20="Box-Behnken",E3519^2+F3519^2+G3519^2+H3519^2&lt;=2+0.000000001,TRUE()))</f>
        <v>1</v>
      </c>
      <c r="AD3519" s="55" t="n">
        <f aca="false">IF(AC3519,IF(01_因子設定!$B$13="最大化",AA3519-01_因子設定!$B$14,IF(01_因子設定!$B$13="最小化",01_因子設定!$B$15-AB3519,MIN(AA3519-01_因子設定!$B$14,01_因子設定!$B$15-AB3519))),-1E+030)</f>
        <v>-0.258418079843338</v>
      </c>
      <c r="AE3519" s="55" t="n">
        <f aca="false">IF(AC3519,IF(01_因子設定!$B$13="最大化",X3519,IF(01_因子設定!$B$13="最小化",-X3519,-ABS(X3519-01_因子設定!$B$16))),-1E+030)</f>
        <v>47.6790158991227</v>
      </c>
      <c r="AF3519" s="55" t="n">
        <f aca="false">AD3519+ROW()*0.000000001</f>
        <v>-0.258414560843338</v>
      </c>
      <c r="AG3519" s="55" t="n">
        <f aca="false">AE3519+ROW()*0.000000001</f>
        <v>47.6790194181227</v>
      </c>
    </row>
    <row r="3520" customFormat="false" ht="15" hidden="false" customHeight="false" outlineLevel="0" collapsed="false">
      <c r="A3520" s="0" t="n">
        <v>4</v>
      </c>
      <c r="B3520" s="0" t="n">
        <v>7</v>
      </c>
      <c r="C3520" s="0" t="n">
        <v>3</v>
      </c>
      <c r="D3520" s="0" t="n">
        <v>5</v>
      </c>
      <c r="E3520" s="0" t="n">
        <f aca="false">-1+A3520*0.25</f>
        <v>0</v>
      </c>
      <c r="F3520" s="0" t="n">
        <f aca="false">-1+B3520*0.25</f>
        <v>0.75</v>
      </c>
      <c r="G3520" s="0" t="n">
        <f aca="false">-1+C3520*0.25</f>
        <v>-0.25</v>
      </c>
      <c r="H3520" s="0" t="n">
        <f aca="false">-1+D3520*0.25</f>
        <v>0.25</v>
      </c>
      <c r="I3520" s="0" t="n">
        <f aca="false">1</f>
        <v>1</v>
      </c>
      <c r="J3520" s="0" t="n">
        <f aca="false">E3520</f>
        <v>0</v>
      </c>
      <c r="K3520" s="0" t="n">
        <f aca="false">F3520</f>
        <v>0.75</v>
      </c>
      <c r="L3520" s="0" t="n">
        <f aca="false">G3520</f>
        <v>-0.25</v>
      </c>
      <c r="M3520" s="0" t="n">
        <f aca="false">H3520</f>
        <v>0.25</v>
      </c>
      <c r="N3520" s="0" t="n">
        <f aca="false">E3520*F3520</f>
        <v>0</v>
      </c>
      <c r="O3520" s="0" t="n">
        <f aca="false">E3520*G3520</f>
        <v>-0</v>
      </c>
      <c r="P3520" s="0" t="n">
        <f aca="false">E3520*H3520</f>
        <v>0</v>
      </c>
      <c r="Q3520" s="0" t="n">
        <f aca="false">F3520*G3520</f>
        <v>-0.1875</v>
      </c>
      <c r="R3520" s="0" t="n">
        <f aca="false">F3520*H3520</f>
        <v>0.1875</v>
      </c>
      <c r="S3520" s="0" t="n">
        <f aca="false">G3520*H3520</f>
        <v>-0.0625</v>
      </c>
      <c r="T3520" s="0" t="n">
        <f aca="false">E3520*E3520</f>
        <v>0</v>
      </c>
      <c r="U3520" s="0" t="n">
        <f aca="false">F3520*F3520</f>
        <v>0.5625</v>
      </c>
      <c r="V3520" s="0" t="n">
        <f aca="false">G3520*G3520</f>
        <v>0.0625</v>
      </c>
      <c r="W3520" s="0" t="n">
        <f aca="false">H3520*H3520</f>
        <v>0.0625</v>
      </c>
      <c r="X3520" s="0" t="n">
        <f aca="false">SUMPRODUCT(I3520:W3520,_XtX!$B$96:$P$96)</f>
        <v>47.6986887792397</v>
      </c>
      <c r="Y3520" s="0" t="n">
        <f aca="false">SUMPRODUCT(MMULT(I3520:W3520,_XtX!$B$78:$P$92),I3520:W3520)</f>
        <v>0.21135011193348</v>
      </c>
      <c r="Z3520" s="0" t="n">
        <f aca="false">04_回帰ANOVA!$K$19*04_回帰ANOVA!$K$14*SQRT(1+Y3520)</f>
        <v>1.43460795469709</v>
      </c>
      <c r="AA3520" s="0" t="n">
        <f aca="false">X3520-Z3520</f>
        <v>46.2640808245426</v>
      </c>
      <c r="AB3520" s="0" t="n">
        <f aca="false">X3520+Z3520</f>
        <v>49.1332967339368</v>
      </c>
      <c r="AC3520" s="54" t="b">
        <f aca="false">AND(E3520&gt;=01_因子設定!$L$5-0.000000001,E3520&lt;=01_因子設定!$M$5+0.000000001,F3520&gt;=01_因子設定!$L$6-0.000000001,F3520&lt;=01_因子設定!$M$6+0.000000001,G3520&gt;=01_因子設定!$L$7-0.000000001,G3520&lt;=01_因子設定!$M$7+0.000000001,H3520&gt;=01_因子設定!$L$8-0.000000001,H3520&lt;=01_因子設定!$M$8+0.000000001,IF(01_因子設定!$B$20="Box-Behnken",E3520^2+F3520^2+G3520^2+H3520^2&lt;=2+0.000000001,TRUE()))</f>
        <v>1</v>
      </c>
      <c r="AD3520" s="55" t="n">
        <f aca="false">IF(AC3520,IF(01_因子設定!$B$13="最大化",AA3520-01_因子設定!$B$14,IF(01_因子設定!$B$13="最小化",01_因子設定!$B$15-AB3520,MIN(AA3520-01_因子設定!$B$14,01_因子設定!$B$15-AB3520))),-1E+030)</f>
        <v>-0.235919175457383</v>
      </c>
      <c r="AE3520" s="55" t="n">
        <f aca="false">IF(AC3520,IF(01_因子設定!$B$13="最大化",X3520,IF(01_因子設定!$B$13="最小化",-X3520,-ABS(X3520-01_因子設定!$B$16))),-1E+030)</f>
        <v>47.6986887792397</v>
      </c>
      <c r="AF3520" s="55" t="n">
        <f aca="false">AD3520+ROW()*0.000000001</f>
        <v>-0.235915655457383</v>
      </c>
      <c r="AG3520" s="55" t="n">
        <f aca="false">AE3520+ROW()*0.000000001</f>
        <v>47.6986922992397</v>
      </c>
    </row>
    <row r="3521" customFormat="false" ht="15" hidden="false" customHeight="false" outlineLevel="0" collapsed="false">
      <c r="A3521" s="0" t="n">
        <v>4</v>
      </c>
      <c r="B3521" s="0" t="n">
        <v>7</v>
      </c>
      <c r="C3521" s="0" t="n">
        <v>3</v>
      </c>
      <c r="D3521" s="0" t="n">
        <v>6</v>
      </c>
      <c r="E3521" s="0" t="n">
        <f aca="false">-1+A3521*0.25</f>
        <v>0</v>
      </c>
      <c r="F3521" s="0" t="n">
        <f aca="false">-1+B3521*0.25</f>
        <v>0.75</v>
      </c>
      <c r="G3521" s="0" t="n">
        <f aca="false">-1+C3521*0.25</f>
        <v>-0.25</v>
      </c>
      <c r="H3521" s="0" t="n">
        <f aca="false">-1+D3521*0.25</f>
        <v>0.5</v>
      </c>
      <c r="I3521" s="0" t="n">
        <f aca="false">1</f>
        <v>1</v>
      </c>
      <c r="J3521" s="0" t="n">
        <f aca="false">E3521</f>
        <v>0</v>
      </c>
      <c r="K3521" s="0" t="n">
        <f aca="false">F3521</f>
        <v>0.75</v>
      </c>
      <c r="L3521" s="0" t="n">
        <f aca="false">G3521</f>
        <v>-0.25</v>
      </c>
      <c r="M3521" s="0" t="n">
        <f aca="false">H3521</f>
        <v>0.5</v>
      </c>
      <c r="N3521" s="0" t="n">
        <f aca="false">E3521*F3521</f>
        <v>0</v>
      </c>
      <c r="O3521" s="0" t="n">
        <f aca="false">E3521*G3521</f>
        <v>-0</v>
      </c>
      <c r="P3521" s="0" t="n">
        <f aca="false">E3521*H3521</f>
        <v>0</v>
      </c>
      <c r="Q3521" s="0" t="n">
        <f aca="false">F3521*G3521</f>
        <v>-0.1875</v>
      </c>
      <c r="R3521" s="0" t="n">
        <f aca="false">F3521*H3521</f>
        <v>0.375</v>
      </c>
      <c r="S3521" s="0" t="n">
        <f aca="false">G3521*H3521</f>
        <v>-0.125</v>
      </c>
      <c r="T3521" s="0" t="n">
        <f aca="false">E3521*E3521</f>
        <v>0</v>
      </c>
      <c r="U3521" s="0" t="n">
        <f aca="false">F3521*F3521</f>
        <v>0.5625</v>
      </c>
      <c r="V3521" s="0" t="n">
        <f aca="false">G3521*G3521</f>
        <v>0.0625</v>
      </c>
      <c r="W3521" s="0" t="n">
        <f aca="false">H3521*H3521</f>
        <v>0.25</v>
      </c>
      <c r="X3521" s="0" t="n">
        <f aca="false">SUMPRODUCT(I3521:W3521,_XtX!$B$96:$P$96)</f>
        <v>47.6705546418128</v>
      </c>
      <c r="Y3521" s="0" t="n">
        <f aca="false">SUMPRODUCT(MMULT(I3521:W3521,_XtX!$B$78:$P$92),I3521:W3521)</f>
        <v>0.215110734192252</v>
      </c>
      <c r="Z3521" s="0" t="n">
        <f aca="false">04_回帰ANOVA!$K$19*04_回帰ANOVA!$K$14*SQRT(1+Y3521)</f>
        <v>1.43683309086864</v>
      </c>
      <c r="AA3521" s="0" t="n">
        <f aca="false">X3521-Z3521</f>
        <v>46.2337215509442</v>
      </c>
      <c r="AB3521" s="0" t="n">
        <f aca="false">X3521+Z3521</f>
        <v>49.1073877326815</v>
      </c>
      <c r="AC3521" s="54" t="b">
        <f aca="false">AND(E3521&gt;=01_因子設定!$L$5-0.000000001,E3521&lt;=01_因子設定!$M$5+0.000000001,F3521&gt;=01_因子設定!$L$6-0.000000001,F3521&lt;=01_因子設定!$M$6+0.000000001,G3521&gt;=01_因子設定!$L$7-0.000000001,G3521&lt;=01_因子設定!$M$7+0.000000001,H3521&gt;=01_因子設定!$L$8-0.000000001,H3521&lt;=01_因子設定!$M$8+0.000000001,IF(01_因子設定!$B$20="Box-Behnken",E3521^2+F3521^2+G3521^2+H3521^2&lt;=2+0.000000001,TRUE()))</f>
        <v>1</v>
      </c>
      <c r="AD3521" s="55" t="n">
        <f aca="false">IF(AC3521,IF(01_因子設定!$B$13="最大化",AA3521-01_因子設定!$B$14,IF(01_因子設定!$B$13="最小化",01_因子設定!$B$15-AB3521,MIN(AA3521-01_因子設定!$B$14,01_因子設定!$B$15-AB3521))),-1E+030)</f>
        <v>-0.266278449055839</v>
      </c>
      <c r="AE3521" s="55" t="n">
        <f aca="false">IF(AC3521,IF(01_因子設定!$B$13="最大化",X3521,IF(01_因子設定!$B$13="最小化",-X3521,-ABS(X3521-01_因子設定!$B$16))),-1E+030)</f>
        <v>47.6705546418128</v>
      </c>
      <c r="AF3521" s="55" t="n">
        <f aca="false">AD3521+ROW()*0.000000001</f>
        <v>-0.266274928055839</v>
      </c>
      <c r="AG3521" s="55" t="n">
        <f aca="false">AE3521+ROW()*0.000000001</f>
        <v>47.6705581628128</v>
      </c>
    </row>
    <row r="3522" customFormat="false" ht="15" hidden="false" customHeight="false" outlineLevel="0" collapsed="false">
      <c r="A3522" s="0" t="n">
        <v>4</v>
      </c>
      <c r="B3522" s="0" t="n">
        <v>7</v>
      </c>
      <c r="C3522" s="0" t="n">
        <v>3</v>
      </c>
      <c r="D3522" s="0" t="n">
        <v>7</v>
      </c>
      <c r="E3522" s="0" t="n">
        <f aca="false">-1+A3522*0.25</f>
        <v>0</v>
      </c>
      <c r="F3522" s="0" t="n">
        <f aca="false">-1+B3522*0.25</f>
        <v>0.75</v>
      </c>
      <c r="G3522" s="0" t="n">
        <f aca="false">-1+C3522*0.25</f>
        <v>-0.25</v>
      </c>
      <c r="H3522" s="0" t="n">
        <f aca="false">-1+D3522*0.25</f>
        <v>0.75</v>
      </c>
      <c r="I3522" s="0" t="n">
        <f aca="false">1</f>
        <v>1</v>
      </c>
      <c r="J3522" s="0" t="n">
        <f aca="false">E3522</f>
        <v>0</v>
      </c>
      <c r="K3522" s="0" t="n">
        <f aca="false">F3522</f>
        <v>0.75</v>
      </c>
      <c r="L3522" s="0" t="n">
        <f aca="false">G3522</f>
        <v>-0.25</v>
      </c>
      <c r="M3522" s="0" t="n">
        <f aca="false">H3522</f>
        <v>0.75</v>
      </c>
      <c r="N3522" s="0" t="n">
        <f aca="false">E3522*F3522</f>
        <v>0</v>
      </c>
      <c r="O3522" s="0" t="n">
        <f aca="false">E3522*G3522</f>
        <v>-0</v>
      </c>
      <c r="P3522" s="0" t="n">
        <f aca="false">E3522*H3522</f>
        <v>0</v>
      </c>
      <c r="Q3522" s="0" t="n">
        <f aca="false">F3522*G3522</f>
        <v>-0.1875</v>
      </c>
      <c r="R3522" s="0" t="n">
        <f aca="false">F3522*H3522</f>
        <v>0.5625</v>
      </c>
      <c r="S3522" s="0" t="n">
        <f aca="false">G3522*H3522</f>
        <v>-0.1875</v>
      </c>
      <c r="T3522" s="0" t="n">
        <f aca="false">E3522*E3522</f>
        <v>0</v>
      </c>
      <c r="U3522" s="0" t="n">
        <f aca="false">F3522*F3522</f>
        <v>0.5625</v>
      </c>
      <c r="V3522" s="0" t="n">
        <f aca="false">G3522*G3522</f>
        <v>0.0625</v>
      </c>
      <c r="W3522" s="0" t="n">
        <f aca="false">H3522*H3522</f>
        <v>0.5625</v>
      </c>
      <c r="X3522" s="0" t="n">
        <f aca="false">SUMPRODUCT(I3522:W3522,_XtX!$B$96:$P$96)</f>
        <v>47.5946134868421</v>
      </c>
      <c r="Y3522" s="0" t="n">
        <f aca="false">SUMPRODUCT(MMULT(I3522:W3522,_XtX!$B$78:$P$92),I3522:W3522)</f>
        <v>0.281685455500731</v>
      </c>
      <c r="Z3522" s="0" t="n">
        <f aca="false">04_回帰ANOVA!$K$19*04_回帰ANOVA!$K$14*SQRT(1+Y3522)</f>
        <v>1.47566956658694</v>
      </c>
      <c r="AA3522" s="0" t="n">
        <f aca="false">X3522-Z3522</f>
        <v>46.1189439202551</v>
      </c>
      <c r="AB3522" s="0" t="n">
        <f aca="false">X3522+Z3522</f>
        <v>49.070283053429</v>
      </c>
      <c r="AC3522" s="54" t="b">
        <f aca="false">AND(E3522&gt;=01_因子設定!$L$5-0.000000001,E3522&lt;=01_因子設定!$M$5+0.000000001,F3522&gt;=01_因子設定!$L$6-0.000000001,F3522&lt;=01_因子設定!$M$6+0.000000001,G3522&gt;=01_因子設定!$L$7-0.000000001,G3522&lt;=01_因子設定!$M$7+0.000000001,H3522&gt;=01_因子設定!$L$8-0.000000001,H3522&lt;=01_因子設定!$M$8+0.000000001,IF(01_因子設定!$B$20="Box-Behnken",E3522^2+F3522^2+G3522^2+H3522^2&lt;=2+0.000000001,TRUE()))</f>
        <v>1</v>
      </c>
      <c r="AD3522" s="55" t="n">
        <f aca="false">IF(AC3522,IF(01_因子設定!$B$13="最大化",AA3522-01_因子設定!$B$14,IF(01_因子設定!$B$13="最小化",01_因子設定!$B$15-AB3522,MIN(AA3522-01_因子設定!$B$14,01_因子設定!$B$15-AB3522))),-1E+030)</f>
        <v>-0.38105607974488</v>
      </c>
      <c r="AE3522" s="55" t="n">
        <f aca="false">IF(AC3522,IF(01_因子設定!$B$13="最大化",X3522,IF(01_因子設定!$B$13="最小化",-X3522,-ABS(X3522-01_因子設定!$B$16))),-1E+030)</f>
        <v>47.5946134868421</v>
      </c>
      <c r="AF3522" s="55" t="n">
        <f aca="false">AD3522+ROW()*0.000000001</f>
        <v>-0.38105255774488</v>
      </c>
      <c r="AG3522" s="55" t="n">
        <f aca="false">AE3522+ROW()*0.000000001</f>
        <v>47.5946170088421</v>
      </c>
    </row>
    <row r="3523" customFormat="false" ht="15" hidden="false" customHeight="false" outlineLevel="0" collapsed="false">
      <c r="A3523" s="0" t="n">
        <v>4</v>
      </c>
      <c r="B3523" s="0" t="n">
        <v>7</v>
      </c>
      <c r="C3523" s="0" t="n">
        <v>3</v>
      </c>
      <c r="D3523" s="0" t="n">
        <v>8</v>
      </c>
      <c r="E3523" s="0" t="n">
        <f aca="false">-1+A3523*0.25</f>
        <v>0</v>
      </c>
      <c r="F3523" s="0" t="n">
        <f aca="false">-1+B3523*0.25</f>
        <v>0.75</v>
      </c>
      <c r="G3523" s="0" t="n">
        <f aca="false">-1+C3523*0.25</f>
        <v>-0.25</v>
      </c>
      <c r="H3523" s="0" t="n">
        <f aca="false">-1+D3523*0.25</f>
        <v>1</v>
      </c>
      <c r="I3523" s="0" t="n">
        <f aca="false">1</f>
        <v>1</v>
      </c>
      <c r="J3523" s="0" t="n">
        <f aca="false">E3523</f>
        <v>0</v>
      </c>
      <c r="K3523" s="0" t="n">
        <f aca="false">F3523</f>
        <v>0.75</v>
      </c>
      <c r="L3523" s="0" t="n">
        <f aca="false">G3523</f>
        <v>-0.25</v>
      </c>
      <c r="M3523" s="0" t="n">
        <f aca="false">H3523</f>
        <v>1</v>
      </c>
      <c r="N3523" s="0" t="n">
        <f aca="false">E3523*F3523</f>
        <v>0</v>
      </c>
      <c r="O3523" s="0" t="n">
        <f aca="false">E3523*G3523</f>
        <v>-0</v>
      </c>
      <c r="P3523" s="0" t="n">
        <f aca="false">E3523*H3523</f>
        <v>0</v>
      </c>
      <c r="Q3523" s="0" t="n">
        <f aca="false">F3523*G3523</f>
        <v>-0.1875</v>
      </c>
      <c r="R3523" s="0" t="n">
        <f aca="false">F3523*H3523</f>
        <v>0.75</v>
      </c>
      <c r="S3523" s="0" t="n">
        <f aca="false">G3523*H3523</f>
        <v>-0.25</v>
      </c>
      <c r="T3523" s="0" t="n">
        <f aca="false">E3523*E3523</f>
        <v>0</v>
      </c>
      <c r="U3523" s="0" t="n">
        <f aca="false">F3523*F3523</f>
        <v>0.5625</v>
      </c>
      <c r="V3523" s="0" t="n">
        <f aca="false">G3523*G3523</f>
        <v>0.0625</v>
      </c>
      <c r="W3523" s="0" t="n">
        <f aca="false">H3523*H3523</f>
        <v>1</v>
      </c>
      <c r="X3523" s="0" t="n">
        <f aca="false">SUMPRODUCT(I3523:W3523,_XtX!$B$96:$P$96)</f>
        <v>47.4708653143275</v>
      </c>
      <c r="Y3523" s="0" t="n">
        <f aca="false">SUMPRODUCT(MMULT(I3523:W3523,_XtX!$B$78:$P$92),I3523:W3523)</f>
        <v>0.501534802174708</v>
      </c>
      <c r="Z3523" s="0" t="n">
        <f aca="false">04_回帰ANOVA!$K$19*04_回帰ANOVA!$K$14*SQRT(1+Y3523)</f>
        <v>1.59722498091333</v>
      </c>
      <c r="AA3523" s="0" t="n">
        <f aca="false">X3523-Z3523</f>
        <v>45.8736403334141</v>
      </c>
      <c r="AB3523" s="0" t="n">
        <f aca="false">X3523+Z3523</f>
        <v>49.0680902952408</v>
      </c>
      <c r="AC3523" s="54" t="b">
        <f aca="false">AND(E3523&gt;=01_因子設定!$L$5-0.000000001,E3523&lt;=01_因子設定!$M$5+0.000000001,F3523&gt;=01_因子設定!$L$6-0.000000001,F3523&lt;=01_因子設定!$M$6+0.000000001,G3523&gt;=01_因子設定!$L$7-0.000000001,G3523&lt;=01_因子設定!$M$7+0.000000001,H3523&gt;=01_因子設定!$L$8-0.000000001,H3523&lt;=01_因子設定!$M$8+0.000000001,IF(01_因子設定!$B$20="Box-Behnken",E3523^2+F3523^2+G3523^2+H3523^2&lt;=2+0.000000001,TRUE()))</f>
        <v>1</v>
      </c>
      <c r="AD3523" s="55" t="n">
        <f aca="false">IF(AC3523,IF(01_因子設定!$B$13="最大化",AA3523-01_因子設定!$B$14,IF(01_因子設定!$B$13="最小化",01_因子設定!$B$15-AB3523,MIN(AA3523-01_因子設定!$B$14,01_因子設定!$B$15-AB3523))),-1E+030)</f>
        <v>-0.626359666585877</v>
      </c>
      <c r="AE3523" s="55" t="n">
        <f aca="false">IF(AC3523,IF(01_因子設定!$B$13="最大化",X3523,IF(01_因子設定!$B$13="最小化",-X3523,-ABS(X3523-01_因子設定!$B$16))),-1E+030)</f>
        <v>47.4708653143275</v>
      </c>
      <c r="AF3523" s="55" t="n">
        <f aca="false">AD3523+ROW()*0.000000001</f>
        <v>-0.626356143585877</v>
      </c>
      <c r="AG3523" s="55" t="n">
        <f aca="false">AE3523+ROW()*0.000000001</f>
        <v>47.4708688373275</v>
      </c>
    </row>
    <row r="3524" customFormat="false" ht="15" hidden="false" customHeight="false" outlineLevel="0" collapsed="false">
      <c r="A3524" s="0" t="n">
        <v>4</v>
      </c>
      <c r="B3524" s="0" t="n">
        <v>7</v>
      </c>
      <c r="C3524" s="0" t="n">
        <v>4</v>
      </c>
      <c r="D3524" s="0" t="n">
        <v>0</v>
      </c>
      <c r="E3524" s="0" t="n">
        <f aca="false">-1+A3524*0.25</f>
        <v>0</v>
      </c>
      <c r="F3524" s="0" t="n">
        <f aca="false">-1+B3524*0.25</f>
        <v>0.75</v>
      </c>
      <c r="G3524" s="0" t="n">
        <f aca="false">-1+C3524*0.25</f>
        <v>0</v>
      </c>
      <c r="H3524" s="0" t="n">
        <f aca="false">-1+D3524*0.25</f>
        <v>-1</v>
      </c>
      <c r="I3524" s="0" t="n">
        <f aca="false">1</f>
        <v>1</v>
      </c>
      <c r="J3524" s="0" t="n">
        <f aca="false">E3524</f>
        <v>0</v>
      </c>
      <c r="K3524" s="0" t="n">
        <f aca="false">F3524</f>
        <v>0.75</v>
      </c>
      <c r="L3524" s="0" t="n">
        <f aca="false">G3524</f>
        <v>0</v>
      </c>
      <c r="M3524" s="0" t="n">
        <f aca="false">H3524</f>
        <v>-1</v>
      </c>
      <c r="N3524" s="0" t="n">
        <f aca="false">E3524*F3524</f>
        <v>0</v>
      </c>
      <c r="O3524" s="0" t="n">
        <f aca="false">E3524*G3524</f>
        <v>0</v>
      </c>
      <c r="P3524" s="0" t="n">
        <f aca="false">E3524*H3524</f>
        <v>-0</v>
      </c>
      <c r="Q3524" s="0" t="n">
        <f aca="false">F3524*G3524</f>
        <v>0</v>
      </c>
      <c r="R3524" s="0" t="n">
        <f aca="false">F3524*H3524</f>
        <v>-0.75</v>
      </c>
      <c r="S3524" s="0" t="n">
        <f aca="false">G3524*H3524</f>
        <v>-0</v>
      </c>
      <c r="T3524" s="0" t="n">
        <f aca="false">E3524*E3524</f>
        <v>0</v>
      </c>
      <c r="U3524" s="0" t="n">
        <f aca="false">F3524*F3524</f>
        <v>0.5625</v>
      </c>
      <c r="V3524" s="0" t="n">
        <f aca="false">G3524*G3524</f>
        <v>0</v>
      </c>
      <c r="W3524" s="0" t="n">
        <f aca="false">H3524*H3524</f>
        <v>1</v>
      </c>
      <c r="X3524" s="0" t="n">
        <f aca="false">SUMPRODUCT(I3524:W3524,_XtX!$B$96:$P$96)</f>
        <v>47.3974597953216</v>
      </c>
      <c r="Y3524" s="0" t="n">
        <f aca="false">SUMPRODUCT(MMULT(I3524:W3524,_XtX!$B$78:$P$92),I3524:W3524)</f>
        <v>0.516013340643275</v>
      </c>
      <c r="Z3524" s="0" t="n">
        <f aca="false">04_回帰ANOVA!$K$19*04_回帰ANOVA!$K$14*SQRT(1+Y3524)</f>
        <v>1.60490712175667</v>
      </c>
      <c r="AA3524" s="0" t="n">
        <f aca="false">X3524-Z3524</f>
        <v>45.7925526735649</v>
      </c>
      <c r="AB3524" s="0" t="n">
        <f aca="false">X3524+Z3524</f>
        <v>49.0023669170783</v>
      </c>
      <c r="AC3524" s="54" t="b">
        <f aca="false">AND(E3524&gt;=01_因子設定!$L$5-0.000000001,E3524&lt;=01_因子設定!$M$5+0.000000001,F3524&gt;=01_因子設定!$L$6-0.000000001,F3524&lt;=01_因子設定!$M$6+0.000000001,G3524&gt;=01_因子設定!$L$7-0.000000001,G3524&lt;=01_因子設定!$M$7+0.000000001,H3524&gt;=01_因子設定!$L$8-0.000000001,H3524&lt;=01_因子設定!$M$8+0.000000001,IF(01_因子設定!$B$20="Box-Behnken",E3524^2+F3524^2+G3524^2+H3524^2&lt;=2+0.000000001,TRUE()))</f>
        <v>1</v>
      </c>
      <c r="AD3524" s="55" t="n">
        <f aca="false">IF(AC3524,IF(01_因子設定!$B$13="最大化",AA3524-01_因子設定!$B$14,IF(01_因子設定!$B$13="最小化",01_因子設定!$B$15-AB3524,MIN(AA3524-01_因子設定!$B$14,01_因子設定!$B$15-AB3524))),-1E+030)</f>
        <v>-0.707447326435059</v>
      </c>
      <c r="AE3524" s="55" t="n">
        <f aca="false">IF(AC3524,IF(01_因子設定!$B$13="最大化",X3524,IF(01_因子設定!$B$13="最小化",-X3524,-ABS(X3524-01_因子設定!$B$16))),-1E+030)</f>
        <v>47.3974597953216</v>
      </c>
      <c r="AF3524" s="55" t="n">
        <f aca="false">AD3524+ROW()*0.000000001</f>
        <v>-0.707443802435059</v>
      </c>
      <c r="AG3524" s="55" t="n">
        <f aca="false">AE3524+ROW()*0.000000001</f>
        <v>47.3974633193216</v>
      </c>
    </row>
    <row r="3525" customFormat="false" ht="15" hidden="false" customHeight="false" outlineLevel="0" collapsed="false">
      <c r="A3525" s="0" t="n">
        <v>4</v>
      </c>
      <c r="B3525" s="0" t="n">
        <v>7</v>
      </c>
      <c r="C3525" s="0" t="n">
        <v>4</v>
      </c>
      <c r="D3525" s="0" t="n">
        <v>1</v>
      </c>
      <c r="E3525" s="0" t="n">
        <f aca="false">-1+A3525*0.25</f>
        <v>0</v>
      </c>
      <c r="F3525" s="0" t="n">
        <f aca="false">-1+B3525*0.25</f>
        <v>0.75</v>
      </c>
      <c r="G3525" s="0" t="n">
        <f aca="false">-1+C3525*0.25</f>
        <v>0</v>
      </c>
      <c r="H3525" s="0" t="n">
        <f aca="false">-1+D3525*0.25</f>
        <v>-0.75</v>
      </c>
      <c r="I3525" s="0" t="n">
        <f aca="false">1</f>
        <v>1</v>
      </c>
      <c r="J3525" s="0" t="n">
        <f aca="false">E3525</f>
        <v>0</v>
      </c>
      <c r="K3525" s="0" t="n">
        <f aca="false">F3525</f>
        <v>0.75</v>
      </c>
      <c r="L3525" s="0" t="n">
        <f aca="false">G3525</f>
        <v>0</v>
      </c>
      <c r="M3525" s="0" t="n">
        <f aca="false">H3525</f>
        <v>-0.75</v>
      </c>
      <c r="N3525" s="0" t="n">
        <f aca="false">E3525*F3525</f>
        <v>0</v>
      </c>
      <c r="O3525" s="0" t="n">
        <f aca="false">E3525*G3525</f>
        <v>0</v>
      </c>
      <c r="P3525" s="0" t="n">
        <f aca="false">E3525*H3525</f>
        <v>-0</v>
      </c>
      <c r="Q3525" s="0" t="n">
        <f aca="false">F3525*G3525</f>
        <v>0</v>
      </c>
      <c r="R3525" s="0" t="n">
        <f aca="false">F3525*H3525</f>
        <v>-0.5625</v>
      </c>
      <c r="S3525" s="0" t="n">
        <f aca="false">G3525*H3525</f>
        <v>-0</v>
      </c>
      <c r="T3525" s="0" t="n">
        <f aca="false">E3525*E3525</f>
        <v>0</v>
      </c>
      <c r="U3525" s="0" t="n">
        <f aca="false">F3525*F3525</f>
        <v>0.5625</v>
      </c>
      <c r="V3525" s="0" t="n">
        <f aca="false">G3525*G3525</f>
        <v>0</v>
      </c>
      <c r="W3525" s="0" t="n">
        <f aca="false">H3525*H3525</f>
        <v>0.5625</v>
      </c>
      <c r="X3525" s="0" t="n">
        <f aca="false">SUMPRODUCT(I3525:W3525,_XtX!$B$96:$P$96)</f>
        <v>47.626329495614</v>
      </c>
      <c r="Y3525" s="0" t="n">
        <f aca="false">SUMPRODUCT(MMULT(I3525:W3525,_XtX!$B$78:$P$92),I3525:W3525)</f>
        <v>0.291636684484649</v>
      </c>
      <c r="Z3525" s="0" t="n">
        <f aca="false">04_回帰ANOVA!$K$19*04_回帰ANOVA!$K$14*SQRT(1+Y3525)</f>
        <v>1.48138716762813</v>
      </c>
      <c r="AA3525" s="0" t="n">
        <f aca="false">X3525-Z3525</f>
        <v>46.1449423279859</v>
      </c>
      <c r="AB3525" s="0" t="n">
        <f aca="false">X3525+Z3525</f>
        <v>49.1077166632421</v>
      </c>
      <c r="AC3525" s="54" t="b">
        <f aca="false">AND(E3525&gt;=01_因子設定!$L$5-0.000000001,E3525&lt;=01_因子設定!$M$5+0.000000001,F3525&gt;=01_因子設定!$L$6-0.000000001,F3525&lt;=01_因子設定!$M$6+0.000000001,G3525&gt;=01_因子設定!$L$7-0.000000001,G3525&lt;=01_因子設定!$M$7+0.000000001,H3525&gt;=01_因子設定!$L$8-0.000000001,H3525&lt;=01_因子設定!$M$8+0.000000001,IF(01_因子設定!$B$20="Box-Behnken",E3525^2+F3525^2+G3525^2+H3525^2&lt;=2+0.000000001,TRUE()))</f>
        <v>1</v>
      </c>
      <c r="AD3525" s="55" t="n">
        <f aca="false">IF(AC3525,IF(01_因子設定!$B$13="最大化",AA3525-01_因子設定!$B$14,IF(01_因子設定!$B$13="最小化",01_因子設定!$B$15-AB3525,MIN(AA3525-01_因子設定!$B$14,01_因子設定!$B$15-AB3525))),-1E+030)</f>
        <v>-0.355057672014141</v>
      </c>
      <c r="AE3525" s="55" t="n">
        <f aca="false">IF(AC3525,IF(01_因子設定!$B$13="最大化",X3525,IF(01_因子設定!$B$13="最小化",-X3525,-ABS(X3525-01_因子設定!$B$16))),-1E+030)</f>
        <v>47.626329495614</v>
      </c>
      <c r="AF3525" s="55" t="n">
        <f aca="false">AD3525+ROW()*0.000000001</f>
        <v>-0.355054147014141</v>
      </c>
      <c r="AG3525" s="55" t="n">
        <f aca="false">AE3525+ROW()*0.000000001</f>
        <v>47.626333020614</v>
      </c>
    </row>
    <row r="3526" customFormat="false" ht="15" hidden="false" customHeight="false" outlineLevel="0" collapsed="false">
      <c r="A3526" s="0" t="n">
        <v>4</v>
      </c>
      <c r="B3526" s="0" t="n">
        <v>7</v>
      </c>
      <c r="C3526" s="0" t="n">
        <v>4</v>
      </c>
      <c r="D3526" s="0" t="n">
        <v>2</v>
      </c>
      <c r="E3526" s="0" t="n">
        <f aca="false">-1+A3526*0.25</f>
        <v>0</v>
      </c>
      <c r="F3526" s="0" t="n">
        <f aca="false">-1+B3526*0.25</f>
        <v>0.75</v>
      </c>
      <c r="G3526" s="0" t="n">
        <f aca="false">-1+C3526*0.25</f>
        <v>0</v>
      </c>
      <c r="H3526" s="0" t="n">
        <f aca="false">-1+D3526*0.25</f>
        <v>-0.5</v>
      </c>
      <c r="I3526" s="0" t="n">
        <f aca="false">1</f>
        <v>1</v>
      </c>
      <c r="J3526" s="0" t="n">
        <f aca="false">E3526</f>
        <v>0</v>
      </c>
      <c r="K3526" s="0" t="n">
        <f aca="false">F3526</f>
        <v>0.75</v>
      </c>
      <c r="L3526" s="0" t="n">
        <f aca="false">G3526</f>
        <v>0</v>
      </c>
      <c r="M3526" s="0" t="n">
        <f aca="false">H3526</f>
        <v>-0.5</v>
      </c>
      <c r="N3526" s="0" t="n">
        <f aca="false">E3526*F3526</f>
        <v>0</v>
      </c>
      <c r="O3526" s="0" t="n">
        <f aca="false">E3526*G3526</f>
        <v>0</v>
      </c>
      <c r="P3526" s="0" t="n">
        <f aca="false">E3526*H3526</f>
        <v>-0</v>
      </c>
      <c r="Q3526" s="0" t="n">
        <f aca="false">F3526*G3526</f>
        <v>0</v>
      </c>
      <c r="R3526" s="0" t="n">
        <f aca="false">F3526*H3526</f>
        <v>-0.375</v>
      </c>
      <c r="S3526" s="0" t="n">
        <f aca="false">G3526*H3526</f>
        <v>-0</v>
      </c>
      <c r="T3526" s="0" t="n">
        <f aca="false">E3526*E3526</f>
        <v>0</v>
      </c>
      <c r="U3526" s="0" t="n">
        <f aca="false">F3526*F3526</f>
        <v>0.5625</v>
      </c>
      <c r="V3526" s="0" t="n">
        <f aca="false">G3526*G3526</f>
        <v>0</v>
      </c>
      <c r="W3526" s="0" t="n">
        <f aca="false">H3526*H3526</f>
        <v>0.25</v>
      </c>
      <c r="X3526" s="0" t="n">
        <f aca="false">SUMPRODUCT(I3526:W3526,_XtX!$B$96:$P$96)</f>
        <v>47.8073921783625</v>
      </c>
      <c r="Y3526" s="0" t="n">
        <f aca="false">SUMPRODUCT(MMULT(I3526:W3526,_XtX!$B$78:$P$92),I3526:W3526)</f>
        <v>0.221828170687135</v>
      </c>
      <c r="Z3526" s="0" t="n">
        <f aca="false">04_回帰ANOVA!$K$19*04_回帰ANOVA!$K$14*SQRT(1+Y3526)</f>
        <v>1.44079920361664</v>
      </c>
      <c r="AA3526" s="0" t="n">
        <f aca="false">X3526-Z3526</f>
        <v>46.3665929747459</v>
      </c>
      <c r="AB3526" s="0" t="n">
        <f aca="false">X3526+Z3526</f>
        <v>49.2481913819792</v>
      </c>
      <c r="AC3526" s="54" t="b">
        <f aca="false">AND(E3526&gt;=01_因子設定!$L$5-0.000000001,E3526&lt;=01_因子設定!$M$5+0.000000001,F3526&gt;=01_因子設定!$L$6-0.000000001,F3526&lt;=01_因子設定!$M$6+0.000000001,G3526&gt;=01_因子設定!$L$7-0.000000001,G3526&lt;=01_因子設定!$M$7+0.000000001,H3526&gt;=01_因子設定!$L$8-0.000000001,H3526&lt;=01_因子設定!$M$8+0.000000001,IF(01_因子設定!$B$20="Box-Behnken",E3526^2+F3526^2+G3526^2+H3526^2&lt;=2+0.000000001,TRUE()))</f>
        <v>1</v>
      </c>
      <c r="AD3526" s="55" t="n">
        <f aca="false">IF(AC3526,IF(01_因子設定!$B$13="最大化",AA3526-01_因子設定!$B$14,IF(01_因子設定!$B$13="最小化",01_因子設定!$B$15-AB3526,MIN(AA3526-01_因子設定!$B$14,01_因子設定!$B$15-AB3526))),-1E+030)</f>
        <v>-0.133407025254122</v>
      </c>
      <c r="AE3526" s="55" t="n">
        <f aca="false">IF(AC3526,IF(01_因子設定!$B$13="最大化",X3526,IF(01_因子設定!$B$13="最小化",-X3526,-ABS(X3526-01_因子設定!$B$16))),-1E+030)</f>
        <v>47.8073921783625</v>
      </c>
      <c r="AF3526" s="55" t="n">
        <f aca="false">AD3526+ROW()*0.000000001</f>
        <v>-0.133403499254122</v>
      </c>
      <c r="AG3526" s="55" t="n">
        <f aca="false">AE3526+ROW()*0.000000001</f>
        <v>47.8073957043625</v>
      </c>
    </row>
    <row r="3527" customFormat="false" ht="15" hidden="false" customHeight="false" outlineLevel="0" collapsed="false">
      <c r="A3527" s="0" t="n">
        <v>4</v>
      </c>
      <c r="B3527" s="0" t="n">
        <v>7</v>
      </c>
      <c r="C3527" s="0" t="n">
        <v>4</v>
      </c>
      <c r="D3527" s="0" t="n">
        <v>3</v>
      </c>
      <c r="E3527" s="0" t="n">
        <f aca="false">-1+A3527*0.25</f>
        <v>0</v>
      </c>
      <c r="F3527" s="0" t="n">
        <f aca="false">-1+B3527*0.25</f>
        <v>0.75</v>
      </c>
      <c r="G3527" s="0" t="n">
        <f aca="false">-1+C3527*0.25</f>
        <v>0</v>
      </c>
      <c r="H3527" s="0" t="n">
        <f aca="false">-1+D3527*0.25</f>
        <v>-0.25</v>
      </c>
      <c r="I3527" s="0" t="n">
        <f aca="false">1</f>
        <v>1</v>
      </c>
      <c r="J3527" s="0" t="n">
        <f aca="false">E3527</f>
        <v>0</v>
      </c>
      <c r="K3527" s="0" t="n">
        <f aca="false">F3527</f>
        <v>0.75</v>
      </c>
      <c r="L3527" s="0" t="n">
        <f aca="false">G3527</f>
        <v>0</v>
      </c>
      <c r="M3527" s="0" t="n">
        <f aca="false">H3527</f>
        <v>-0.25</v>
      </c>
      <c r="N3527" s="0" t="n">
        <f aca="false">E3527*F3527</f>
        <v>0</v>
      </c>
      <c r="O3527" s="0" t="n">
        <f aca="false">E3527*G3527</f>
        <v>0</v>
      </c>
      <c r="P3527" s="0" t="n">
        <f aca="false">E3527*H3527</f>
        <v>-0</v>
      </c>
      <c r="Q3527" s="0" t="n">
        <f aca="false">F3527*G3527</f>
        <v>0</v>
      </c>
      <c r="R3527" s="0" t="n">
        <f aca="false">F3527*H3527</f>
        <v>-0.1875</v>
      </c>
      <c r="S3527" s="0" t="n">
        <f aca="false">G3527*H3527</f>
        <v>-0</v>
      </c>
      <c r="T3527" s="0" t="n">
        <f aca="false">E3527*E3527</f>
        <v>0</v>
      </c>
      <c r="U3527" s="0" t="n">
        <f aca="false">F3527*F3527</f>
        <v>0.5625</v>
      </c>
      <c r="V3527" s="0" t="n">
        <f aca="false">G3527*G3527</f>
        <v>0</v>
      </c>
      <c r="W3527" s="0" t="n">
        <f aca="false">H3527*H3527</f>
        <v>0.0625</v>
      </c>
      <c r="X3527" s="0" t="n">
        <f aca="false">SUMPRODUCT(I3527:W3527,_XtX!$B$96:$P$96)</f>
        <v>47.9406478435672</v>
      </c>
      <c r="Y3527" s="0" t="n">
        <f aca="false">SUMPRODUCT(MMULT(I3527:W3527,_XtX!$B$78:$P$92),I3527:W3527)</f>
        <v>0.216127272934942</v>
      </c>
      <c r="Z3527" s="0" t="n">
        <f aca="false">04_回帰ANOVA!$K$19*04_回帰ANOVA!$K$14*SQRT(1+Y3527)</f>
        <v>1.43743397896608</v>
      </c>
      <c r="AA3527" s="0" t="n">
        <f aca="false">X3527-Z3527</f>
        <v>46.5032138646011</v>
      </c>
      <c r="AB3527" s="0" t="n">
        <f aca="false">X3527+Z3527</f>
        <v>49.3780818225333</v>
      </c>
      <c r="AC3527" s="54" t="b">
        <f aca="false">AND(E3527&gt;=01_因子設定!$L$5-0.000000001,E3527&lt;=01_因子設定!$M$5+0.000000001,F3527&gt;=01_因子設定!$L$6-0.000000001,F3527&lt;=01_因子設定!$M$6+0.000000001,G3527&gt;=01_因子設定!$L$7-0.000000001,G3527&lt;=01_因子設定!$M$7+0.000000001,H3527&gt;=01_因子設定!$L$8-0.000000001,H3527&lt;=01_因子設定!$M$8+0.000000001,IF(01_因子設定!$B$20="Box-Behnken",E3527^2+F3527^2+G3527^2+H3527^2&lt;=2+0.000000001,TRUE()))</f>
        <v>1</v>
      </c>
      <c r="AD3527" s="55" t="n">
        <f aca="false">IF(AC3527,IF(01_因子設定!$B$13="最大化",AA3527-01_因子設定!$B$14,IF(01_因子設定!$B$13="最小化",01_因子設定!$B$15-AB3527,MIN(AA3527-01_因子設定!$B$14,01_因子設定!$B$15-AB3527))),-1E+030)</f>
        <v>0.00321386460110773</v>
      </c>
      <c r="AE3527" s="55" t="n">
        <f aca="false">IF(AC3527,IF(01_因子設定!$B$13="最大化",X3527,IF(01_因子設定!$B$13="最小化",-X3527,-ABS(X3527-01_因子設定!$B$16))),-1E+030)</f>
        <v>47.9406478435672</v>
      </c>
      <c r="AF3527" s="55" t="n">
        <f aca="false">AD3527+ROW()*0.000000001</f>
        <v>0.00321739160110773</v>
      </c>
      <c r="AG3527" s="55" t="n">
        <f aca="false">AE3527+ROW()*0.000000001</f>
        <v>47.9406513705672</v>
      </c>
    </row>
    <row r="3528" customFormat="false" ht="15" hidden="false" customHeight="false" outlineLevel="0" collapsed="false">
      <c r="A3528" s="0" t="n">
        <v>4</v>
      </c>
      <c r="B3528" s="0" t="n">
        <v>7</v>
      </c>
      <c r="C3528" s="0" t="n">
        <v>4</v>
      </c>
      <c r="D3528" s="0" t="n">
        <v>4</v>
      </c>
      <c r="E3528" s="0" t="n">
        <f aca="false">-1+A3528*0.25</f>
        <v>0</v>
      </c>
      <c r="F3528" s="0" t="n">
        <f aca="false">-1+B3528*0.25</f>
        <v>0.75</v>
      </c>
      <c r="G3528" s="0" t="n">
        <f aca="false">-1+C3528*0.25</f>
        <v>0</v>
      </c>
      <c r="H3528" s="0" t="n">
        <f aca="false">-1+D3528*0.25</f>
        <v>0</v>
      </c>
      <c r="I3528" s="0" t="n">
        <f aca="false">1</f>
        <v>1</v>
      </c>
      <c r="J3528" s="0" t="n">
        <f aca="false">E3528</f>
        <v>0</v>
      </c>
      <c r="K3528" s="0" t="n">
        <f aca="false">F3528</f>
        <v>0.75</v>
      </c>
      <c r="L3528" s="0" t="n">
        <f aca="false">G3528</f>
        <v>0</v>
      </c>
      <c r="M3528" s="0" t="n">
        <f aca="false">H3528</f>
        <v>0</v>
      </c>
      <c r="N3528" s="0" t="n">
        <f aca="false">E3528*F3528</f>
        <v>0</v>
      </c>
      <c r="O3528" s="0" t="n">
        <f aca="false">E3528*G3528</f>
        <v>0</v>
      </c>
      <c r="P3528" s="0" t="n">
        <f aca="false">E3528*H3528</f>
        <v>0</v>
      </c>
      <c r="Q3528" s="0" t="n">
        <f aca="false">F3528*G3528</f>
        <v>0</v>
      </c>
      <c r="R3528" s="0" t="n">
        <f aca="false">F3528*H3528</f>
        <v>0</v>
      </c>
      <c r="S3528" s="0" t="n">
        <f aca="false">G3528*H3528</f>
        <v>0</v>
      </c>
      <c r="T3528" s="0" t="n">
        <f aca="false">E3528*E3528</f>
        <v>0</v>
      </c>
      <c r="U3528" s="0" t="n">
        <f aca="false">F3528*F3528</f>
        <v>0.5625</v>
      </c>
      <c r="V3528" s="0" t="n">
        <f aca="false">G3528*G3528</f>
        <v>0</v>
      </c>
      <c r="W3528" s="0" t="n">
        <f aca="false">H3528*H3528</f>
        <v>0</v>
      </c>
      <c r="X3528" s="0" t="n">
        <f aca="false">SUMPRODUCT(I3528:W3528,_XtX!$B$96:$P$96)</f>
        <v>48.026096491228</v>
      </c>
      <c r="Y3528" s="0" t="n">
        <f aca="false">SUMPRODUCT(MMULT(I3528:W3528,_XtX!$B$78:$P$92),I3528:W3528)</f>
        <v>0.220257675438597</v>
      </c>
      <c r="Z3528" s="0" t="n">
        <f aca="false">04_回帰ANOVA!$K$19*04_回帰ANOVA!$K$14*SQRT(1+Y3528)</f>
        <v>1.43987292938832</v>
      </c>
      <c r="AA3528" s="0" t="n">
        <f aca="false">X3528-Z3528</f>
        <v>46.5862235618397</v>
      </c>
      <c r="AB3528" s="0" t="n">
        <f aca="false">X3528+Z3528</f>
        <v>49.4659694206163</v>
      </c>
      <c r="AC3528" s="54" t="b">
        <f aca="false">AND(E3528&gt;=01_因子設定!$L$5-0.000000001,E3528&lt;=01_因子設定!$M$5+0.000000001,F3528&gt;=01_因子設定!$L$6-0.000000001,F3528&lt;=01_因子設定!$M$6+0.000000001,G3528&gt;=01_因子設定!$L$7-0.000000001,G3528&lt;=01_因子設定!$M$7+0.000000001,H3528&gt;=01_因子設定!$L$8-0.000000001,H3528&lt;=01_因子設定!$M$8+0.000000001,IF(01_因子設定!$B$20="Box-Behnken",E3528^2+F3528^2+G3528^2+H3528^2&lt;=2+0.000000001,TRUE()))</f>
        <v>1</v>
      </c>
      <c r="AD3528" s="55" t="n">
        <f aca="false">IF(AC3528,IF(01_因子設定!$B$13="最大化",AA3528-01_因子設定!$B$14,IF(01_因子設定!$B$13="最小化",01_因子設定!$B$15-AB3528,MIN(AA3528-01_因子設定!$B$14,01_因子設定!$B$15-AB3528))),-1E+030)</f>
        <v>0.0862235618396881</v>
      </c>
      <c r="AE3528" s="55" t="n">
        <f aca="false">IF(AC3528,IF(01_因子設定!$B$13="最大化",X3528,IF(01_因子設定!$B$13="最小化",-X3528,-ABS(X3528-01_因子設定!$B$16))),-1E+030)</f>
        <v>48.026096491228</v>
      </c>
      <c r="AF3528" s="55" t="n">
        <f aca="false">AD3528+ROW()*0.000000001</f>
        <v>0.0862270898396881</v>
      </c>
      <c r="AG3528" s="55" t="n">
        <f aca="false">AE3528+ROW()*0.000000001</f>
        <v>48.026100019228</v>
      </c>
    </row>
    <row r="3529" customFormat="false" ht="15" hidden="false" customHeight="false" outlineLevel="0" collapsed="false">
      <c r="A3529" s="0" t="n">
        <v>4</v>
      </c>
      <c r="B3529" s="0" t="n">
        <v>7</v>
      </c>
      <c r="C3529" s="0" t="n">
        <v>4</v>
      </c>
      <c r="D3529" s="0" t="n">
        <v>5</v>
      </c>
      <c r="E3529" s="0" t="n">
        <f aca="false">-1+A3529*0.25</f>
        <v>0</v>
      </c>
      <c r="F3529" s="0" t="n">
        <f aca="false">-1+B3529*0.25</f>
        <v>0.75</v>
      </c>
      <c r="G3529" s="0" t="n">
        <f aca="false">-1+C3529*0.25</f>
        <v>0</v>
      </c>
      <c r="H3529" s="0" t="n">
        <f aca="false">-1+D3529*0.25</f>
        <v>0.25</v>
      </c>
      <c r="I3529" s="0" t="n">
        <f aca="false">1</f>
        <v>1</v>
      </c>
      <c r="J3529" s="0" t="n">
        <f aca="false">E3529</f>
        <v>0</v>
      </c>
      <c r="K3529" s="0" t="n">
        <f aca="false">F3529</f>
        <v>0.75</v>
      </c>
      <c r="L3529" s="0" t="n">
        <f aca="false">G3529</f>
        <v>0</v>
      </c>
      <c r="M3529" s="0" t="n">
        <f aca="false">H3529</f>
        <v>0.25</v>
      </c>
      <c r="N3529" s="0" t="n">
        <f aca="false">E3529*F3529</f>
        <v>0</v>
      </c>
      <c r="O3529" s="0" t="n">
        <f aca="false">E3529*G3529</f>
        <v>0</v>
      </c>
      <c r="P3529" s="0" t="n">
        <f aca="false">E3529*H3529</f>
        <v>0</v>
      </c>
      <c r="Q3529" s="0" t="n">
        <f aca="false">F3529*G3529</f>
        <v>0</v>
      </c>
      <c r="R3529" s="0" t="n">
        <f aca="false">F3529*H3529</f>
        <v>0.1875</v>
      </c>
      <c r="S3529" s="0" t="n">
        <f aca="false">G3529*H3529</f>
        <v>0</v>
      </c>
      <c r="T3529" s="0" t="n">
        <f aca="false">E3529*E3529</f>
        <v>0</v>
      </c>
      <c r="U3529" s="0" t="n">
        <f aca="false">F3529*F3529</f>
        <v>0.5625</v>
      </c>
      <c r="V3529" s="0" t="n">
        <f aca="false">G3529*G3529</f>
        <v>0</v>
      </c>
      <c r="W3529" s="0" t="n">
        <f aca="false">H3529*H3529</f>
        <v>0.0625</v>
      </c>
      <c r="X3529" s="0" t="n">
        <f aca="false">SUMPRODUCT(I3529:W3529,_XtX!$B$96:$P$96)</f>
        <v>48.063738121345</v>
      </c>
      <c r="Y3529" s="0" t="n">
        <f aca="false">SUMPRODUCT(MMULT(I3529:W3529,_XtX!$B$78:$P$92),I3529:W3529)</f>
        <v>0.216127272934942</v>
      </c>
      <c r="Z3529" s="0" t="n">
        <f aca="false">04_回帰ANOVA!$K$19*04_回帰ANOVA!$K$14*SQRT(1+Y3529)</f>
        <v>1.43743397896608</v>
      </c>
      <c r="AA3529" s="0" t="n">
        <f aca="false">X3529-Z3529</f>
        <v>46.6263041423789</v>
      </c>
      <c r="AB3529" s="0" t="n">
        <f aca="false">X3529+Z3529</f>
        <v>49.501172100311</v>
      </c>
      <c r="AC3529" s="54" t="b">
        <f aca="false">AND(E3529&gt;=01_因子設定!$L$5-0.000000001,E3529&lt;=01_因子設定!$M$5+0.000000001,F3529&gt;=01_因子設定!$L$6-0.000000001,F3529&lt;=01_因子設定!$M$6+0.000000001,G3529&gt;=01_因子設定!$L$7-0.000000001,G3529&lt;=01_因子設定!$M$7+0.000000001,H3529&gt;=01_因子設定!$L$8-0.000000001,H3529&lt;=01_因子設定!$M$8+0.000000001,IF(01_因子設定!$B$20="Box-Behnken",E3529^2+F3529^2+G3529^2+H3529^2&lt;=2+0.000000001,TRUE()))</f>
        <v>1</v>
      </c>
      <c r="AD3529" s="55" t="n">
        <f aca="false">IF(AC3529,IF(01_因子設定!$B$13="最大化",AA3529-01_因子設定!$B$14,IF(01_因子設定!$B$13="最小化",01_因子設定!$B$15-AB3529,MIN(AA3529-01_因子設定!$B$14,01_因子設定!$B$15-AB3529))),-1E+030)</f>
        <v>0.126304142378885</v>
      </c>
      <c r="AE3529" s="55" t="n">
        <f aca="false">IF(AC3529,IF(01_因子設定!$B$13="最大化",X3529,IF(01_因子設定!$B$13="最小化",-X3529,-ABS(X3529-01_因子設定!$B$16))),-1E+030)</f>
        <v>48.063738121345</v>
      </c>
      <c r="AF3529" s="55" t="n">
        <f aca="false">AD3529+ROW()*0.000000001</f>
        <v>0.126307671378885</v>
      </c>
      <c r="AG3529" s="55" t="n">
        <f aca="false">AE3529+ROW()*0.000000001</f>
        <v>48.063741650345</v>
      </c>
    </row>
    <row r="3530" customFormat="false" ht="15" hidden="false" customHeight="false" outlineLevel="0" collapsed="false">
      <c r="A3530" s="0" t="n">
        <v>4</v>
      </c>
      <c r="B3530" s="0" t="n">
        <v>7</v>
      </c>
      <c r="C3530" s="0" t="n">
        <v>4</v>
      </c>
      <c r="D3530" s="0" t="n">
        <v>6</v>
      </c>
      <c r="E3530" s="0" t="n">
        <f aca="false">-1+A3530*0.25</f>
        <v>0</v>
      </c>
      <c r="F3530" s="0" t="n">
        <f aca="false">-1+B3530*0.25</f>
        <v>0.75</v>
      </c>
      <c r="G3530" s="0" t="n">
        <f aca="false">-1+C3530*0.25</f>
        <v>0</v>
      </c>
      <c r="H3530" s="0" t="n">
        <f aca="false">-1+D3530*0.25</f>
        <v>0.5</v>
      </c>
      <c r="I3530" s="0" t="n">
        <f aca="false">1</f>
        <v>1</v>
      </c>
      <c r="J3530" s="0" t="n">
        <f aca="false">E3530</f>
        <v>0</v>
      </c>
      <c r="K3530" s="0" t="n">
        <f aca="false">F3530</f>
        <v>0.75</v>
      </c>
      <c r="L3530" s="0" t="n">
        <f aca="false">G3530</f>
        <v>0</v>
      </c>
      <c r="M3530" s="0" t="n">
        <f aca="false">H3530</f>
        <v>0.5</v>
      </c>
      <c r="N3530" s="0" t="n">
        <f aca="false">E3530*F3530</f>
        <v>0</v>
      </c>
      <c r="O3530" s="0" t="n">
        <f aca="false">E3530*G3530</f>
        <v>0</v>
      </c>
      <c r="P3530" s="0" t="n">
        <f aca="false">E3530*H3530</f>
        <v>0</v>
      </c>
      <c r="Q3530" s="0" t="n">
        <f aca="false">F3530*G3530</f>
        <v>0</v>
      </c>
      <c r="R3530" s="0" t="n">
        <f aca="false">F3530*H3530</f>
        <v>0.375</v>
      </c>
      <c r="S3530" s="0" t="n">
        <f aca="false">G3530*H3530</f>
        <v>0</v>
      </c>
      <c r="T3530" s="0" t="n">
        <f aca="false">E3530*E3530</f>
        <v>0</v>
      </c>
      <c r="U3530" s="0" t="n">
        <f aca="false">F3530*F3530</f>
        <v>0.5625</v>
      </c>
      <c r="V3530" s="0" t="n">
        <f aca="false">G3530*G3530</f>
        <v>0</v>
      </c>
      <c r="W3530" s="0" t="n">
        <f aca="false">H3530*H3530</f>
        <v>0.25</v>
      </c>
      <c r="X3530" s="0" t="n">
        <f aca="false">SUMPRODUCT(I3530:W3530,_XtX!$B$96:$P$96)</f>
        <v>48.0535727339181</v>
      </c>
      <c r="Y3530" s="0" t="n">
        <f aca="false">SUMPRODUCT(MMULT(I3530:W3530,_XtX!$B$78:$P$92),I3530:W3530)</f>
        <v>0.221828170687135</v>
      </c>
      <c r="Z3530" s="0" t="n">
        <f aca="false">04_回帰ANOVA!$K$19*04_回帰ANOVA!$K$14*SQRT(1+Y3530)</f>
        <v>1.44079920361664</v>
      </c>
      <c r="AA3530" s="0" t="n">
        <f aca="false">X3530-Z3530</f>
        <v>46.6127735303014</v>
      </c>
      <c r="AB3530" s="0" t="n">
        <f aca="false">X3530+Z3530</f>
        <v>49.4943719375347</v>
      </c>
      <c r="AC3530" s="54" t="b">
        <f aca="false">AND(E3530&gt;=01_因子設定!$L$5-0.000000001,E3530&lt;=01_因子設定!$M$5+0.000000001,F3530&gt;=01_因子設定!$L$6-0.000000001,F3530&lt;=01_因子設定!$M$6+0.000000001,G3530&gt;=01_因子設定!$L$7-0.000000001,G3530&lt;=01_因子設定!$M$7+0.000000001,H3530&gt;=01_因子設定!$L$8-0.000000001,H3530&lt;=01_因子設定!$M$8+0.000000001,IF(01_因子設定!$B$20="Box-Behnken",E3530^2+F3530^2+G3530^2+H3530^2&lt;=2+0.000000001,TRUE()))</f>
        <v>1</v>
      </c>
      <c r="AD3530" s="55" t="n">
        <f aca="false">IF(AC3530,IF(01_因子設定!$B$13="最大化",AA3530-01_因子設定!$B$14,IF(01_因子設定!$B$13="最小化",01_因子設定!$B$15-AB3530,MIN(AA3530-01_因子設定!$B$14,01_因子設定!$B$15-AB3530))),-1E+030)</f>
        <v>0.112773530301432</v>
      </c>
      <c r="AE3530" s="55" t="n">
        <f aca="false">IF(AC3530,IF(01_因子設定!$B$13="最大化",X3530,IF(01_因子設定!$B$13="最小化",-X3530,-ABS(X3530-01_因子設定!$B$16))),-1E+030)</f>
        <v>48.0535727339181</v>
      </c>
      <c r="AF3530" s="55" t="n">
        <f aca="false">AD3530+ROW()*0.000000001</f>
        <v>0.112777060301432</v>
      </c>
      <c r="AG3530" s="55" t="n">
        <f aca="false">AE3530+ROW()*0.000000001</f>
        <v>48.0535762639181</v>
      </c>
    </row>
    <row r="3531" customFormat="false" ht="15" hidden="false" customHeight="false" outlineLevel="0" collapsed="false">
      <c r="A3531" s="0" t="n">
        <v>4</v>
      </c>
      <c r="B3531" s="0" t="n">
        <v>7</v>
      </c>
      <c r="C3531" s="0" t="n">
        <v>4</v>
      </c>
      <c r="D3531" s="0" t="n">
        <v>7</v>
      </c>
      <c r="E3531" s="0" t="n">
        <f aca="false">-1+A3531*0.25</f>
        <v>0</v>
      </c>
      <c r="F3531" s="0" t="n">
        <f aca="false">-1+B3531*0.25</f>
        <v>0.75</v>
      </c>
      <c r="G3531" s="0" t="n">
        <f aca="false">-1+C3531*0.25</f>
        <v>0</v>
      </c>
      <c r="H3531" s="0" t="n">
        <f aca="false">-1+D3531*0.25</f>
        <v>0.75</v>
      </c>
      <c r="I3531" s="0" t="n">
        <f aca="false">1</f>
        <v>1</v>
      </c>
      <c r="J3531" s="0" t="n">
        <f aca="false">E3531</f>
        <v>0</v>
      </c>
      <c r="K3531" s="0" t="n">
        <f aca="false">F3531</f>
        <v>0.75</v>
      </c>
      <c r="L3531" s="0" t="n">
        <f aca="false">G3531</f>
        <v>0</v>
      </c>
      <c r="M3531" s="0" t="n">
        <f aca="false">H3531</f>
        <v>0.75</v>
      </c>
      <c r="N3531" s="0" t="n">
        <f aca="false">E3531*F3531</f>
        <v>0</v>
      </c>
      <c r="O3531" s="0" t="n">
        <f aca="false">E3531*G3531</f>
        <v>0</v>
      </c>
      <c r="P3531" s="0" t="n">
        <f aca="false">E3531*H3531</f>
        <v>0</v>
      </c>
      <c r="Q3531" s="0" t="n">
        <f aca="false">F3531*G3531</f>
        <v>0</v>
      </c>
      <c r="R3531" s="0" t="n">
        <f aca="false">F3531*H3531</f>
        <v>0.5625</v>
      </c>
      <c r="S3531" s="0" t="n">
        <f aca="false">G3531*H3531</f>
        <v>0</v>
      </c>
      <c r="T3531" s="0" t="n">
        <f aca="false">E3531*E3531</f>
        <v>0</v>
      </c>
      <c r="U3531" s="0" t="n">
        <f aca="false">F3531*F3531</f>
        <v>0.5625</v>
      </c>
      <c r="V3531" s="0" t="n">
        <f aca="false">G3531*G3531</f>
        <v>0</v>
      </c>
      <c r="W3531" s="0" t="n">
        <f aca="false">H3531*H3531</f>
        <v>0.5625</v>
      </c>
      <c r="X3531" s="0" t="n">
        <f aca="false">SUMPRODUCT(I3531:W3531,_XtX!$B$96:$P$96)</f>
        <v>47.9956003289473</v>
      </c>
      <c r="Y3531" s="0" t="n">
        <f aca="false">SUMPRODUCT(MMULT(I3531:W3531,_XtX!$B$78:$P$92),I3531:W3531)</f>
        <v>0.291636684484649</v>
      </c>
      <c r="Z3531" s="0" t="n">
        <f aca="false">04_回帰ANOVA!$K$19*04_回帰ANOVA!$K$14*SQRT(1+Y3531)</f>
        <v>1.48138716762813</v>
      </c>
      <c r="AA3531" s="0" t="n">
        <f aca="false">X3531-Z3531</f>
        <v>46.5142131613192</v>
      </c>
      <c r="AB3531" s="0" t="n">
        <f aca="false">X3531+Z3531</f>
        <v>49.4769874965755</v>
      </c>
      <c r="AC3531" s="54" t="b">
        <f aca="false">AND(E3531&gt;=01_因子設定!$L$5-0.000000001,E3531&lt;=01_因子設定!$M$5+0.000000001,F3531&gt;=01_因子設定!$L$6-0.000000001,F3531&lt;=01_因子設定!$M$6+0.000000001,G3531&gt;=01_因子設定!$L$7-0.000000001,G3531&lt;=01_因子設定!$M$7+0.000000001,H3531&gt;=01_因子設定!$L$8-0.000000001,H3531&lt;=01_因子設定!$M$8+0.000000001,IF(01_因子設定!$B$20="Box-Behnken",E3531^2+F3531^2+G3531^2+H3531^2&lt;=2+0.000000001,TRUE()))</f>
        <v>1</v>
      </c>
      <c r="AD3531" s="55" t="n">
        <f aca="false">IF(AC3531,IF(01_因子設定!$B$13="最大化",AA3531-01_因子設定!$B$14,IF(01_因子設定!$B$13="最小化",01_因子設定!$B$15-AB3531,MIN(AA3531-01_因子設定!$B$14,01_因子設定!$B$15-AB3531))),-1E+030)</f>
        <v>0.0142131613191907</v>
      </c>
      <c r="AE3531" s="55" t="n">
        <f aca="false">IF(AC3531,IF(01_因子設定!$B$13="最大化",X3531,IF(01_因子設定!$B$13="最小化",-X3531,-ABS(X3531-01_因子設定!$B$16))),-1E+030)</f>
        <v>47.9956003289473</v>
      </c>
      <c r="AF3531" s="55" t="n">
        <f aca="false">AD3531+ROW()*0.000000001</f>
        <v>0.0142166923191907</v>
      </c>
      <c r="AG3531" s="55" t="n">
        <f aca="false">AE3531+ROW()*0.000000001</f>
        <v>47.9956038599473</v>
      </c>
    </row>
    <row r="3532" customFormat="false" ht="15" hidden="false" customHeight="false" outlineLevel="0" collapsed="false">
      <c r="A3532" s="0" t="n">
        <v>4</v>
      </c>
      <c r="B3532" s="0" t="n">
        <v>7</v>
      </c>
      <c r="C3532" s="0" t="n">
        <v>4</v>
      </c>
      <c r="D3532" s="0" t="n">
        <v>8</v>
      </c>
      <c r="E3532" s="0" t="n">
        <f aca="false">-1+A3532*0.25</f>
        <v>0</v>
      </c>
      <c r="F3532" s="0" t="n">
        <f aca="false">-1+B3532*0.25</f>
        <v>0.75</v>
      </c>
      <c r="G3532" s="0" t="n">
        <f aca="false">-1+C3532*0.25</f>
        <v>0</v>
      </c>
      <c r="H3532" s="0" t="n">
        <f aca="false">-1+D3532*0.25</f>
        <v>1</v>
      </c>
      <c r="I3532" s="0" t="n">
        <f aca="false">1</f>
        <v>1</v>
      </c>
      <c r="J3532" s="0" t="n">
        <f aca="false">E3532</f>
        <v>0</v>
      </c>
      <c r="K3532" s="0" t="n">
        <f aca="false">F3532</f>
        <v>0.75</v>
      </c>
      <c r="L3532" s="0" t="n">
        <f aca="false">G3532</f>
        <v>0</v>
      </c>
      <c r="M3532" s="0" t="n">
        <f aca="false">H3532</f>
        <v>1</v>
      </c>
      <c r="N3532" s="0" t="n">
        <f aca="false">E3532*F3532</f>
        <v>0</v>
      </c>
      <c r="O3532" s="0" t="n">
        <f aca="false">E3532*G3532</f>
        <v>0</v>
      </c>
      <c r="P3532" s="0" t="n">
        <f aca="false">E3532*H3532</f>
        <v>0</v>
      </c>
      <c r="Q3532" s="0" t="n">
        <f aca="false">F3532*G3532</f>
        <v>0</v>
      </c>
      <c r="R3532" s="0" t="n">
        <f aca="false">F3532*H3532</f>
        <v>0.75</v>
      </c>
      <c r="S3532" s="0" t="n">
        <f aca="false">G3532*H3532</f>
        <v>0</v>
      </c>
      <c r="T3532" s="0" t="n">
        <f aca="false">E3532*E3532</f>
        <v>0</v>
      </c>
      <c r="U3532" s="0" t="n">
        <f aca="false">F3532*F3532</f>
        <v>0.5625</v>
      </c>
      <c r="V3532" s="0" t="n">
        <f aca="false">G3532*G3532</f>
        <v>0</v>
      </c>
      <c r="W3532" s="0" t="n">
        <f aca="false">H3532*H3532</f>
        <v>1</v>
      </c>
      <c r="X3532" s="0" t="n">
        <f aca="false">SUMPRODUCT(I3532:W3532,_XtX!$B$96:$P$96)</f>
        <v>47.8898209064327</v>
      </c>
      <c r="Y3532" s="0" t="n">
        <f aca="false">SUMPRODUCT(MMULT(I3532:W3532,_XtX!$B$78:$P$92),I3532:W3532)</f>
        <v>0.516013340643275</v>
      </c>
      <c r="Z3532" s="0" t="n">
        <f aca="false">04_回帰ANOVA!$K$19*04_回帰ANOVA!$K$14*SQRT(1+Y3532)</f>
        <v>1.60490712175667</v>
      </c>
      <c r="AA3532" s="0" t="n">
        <f aca="false">X3532-Z3532</f>
        <v>46.2849137846761</v>
      </c>
      <c r="AB3532" s="0" t="n">
        <f aca="false">X3532+Z3532</f>
        <v>49.4947280281894</v>
      </c>
      <c r="AC3532" s="54" t="b">
        <f aca="false">AND(E3532&gt;=01_因子設定!$L$5-0.000000001,E3532&lt;=01_因子設定!$M$5+0.000000001,F3532&gt;=01_因子設定!$L$6-0.000000001,F3532&lt;=01_因子設定!$M$6+0.000000001,G3532&gt;=01_因子設定!$L$7-0.000000001,G3532&lt;=01_因子設定!$M$7+0.000000001,H3532&gt;=01_因子設定!$L$8-0.000000001,H3532&lt;=01_因子設定!$M$8+0.000000001,IF(01_因子設定!$B$20="Box-Behnken",E3532^2+F3532^2+G3532^2+H3532^2&lt;=2+0.000000001,TRUE()))</f>
        <v>1</v>
      </c>
      <c r="AD3532" s="55" t="n">
        <f aca="false">IF(AC3532,IF(01_因子設定!$B$13="最大化",AA3532-01_因子設定!$B$14,IF(01_因子設定!$B$13="最小化",01_因子設定!$B$15-AB3532,MIN(AA3532-01_因子設定!$B$14,01_因子設定!$B$15-AB3532))),-1E+030)</f>
        <v>-0.21508621532395</v>
      </c>
      <c r="AE3532" s="55" t="n">
        <f aca="false">IF(AC3532,IF(01_因子設定!$B$13="最大化",X3532,IF(01_因子設定!$B$13="最小化",-X3532,-ABS(X3532-01_因子設定!$B$16))),-1E+030)</f>
        <v>47.8898209064327</v>
      </c>
      <c r="AF3532" s="55" t="n">
        <f aca="false">AD3532+ROW()*0.000000001</f>
        <v>-0.21508268332395</v>
      </c>
      <c r="AG3532" s="55" t="n">
        <f aca="false">AE3532+ROW()*0.000000001</f>
        <v>47.8898244384327</v>
      </c>
    </row>
    <row r="3533" customFormat="false" ht="15" hidden="false" customHeight="false" outlineLevel="0" collapsed="false">
      <c r="A3533" s="0" t="n">
        <v>4</v>
      </c>
      <c r="B3533" s="0" t="n">
        <v>7</v>
      </c>
      <c r="C3533" s="0" t="n">
        <v>5</v>
      </c>
      <c r="D3533" s="0" t="n">
        <v>0</v>
      </c>
      <c r="E3533" s="0" t="n">
        <f aca="false">-1+A3533*0.25</f>
        <v>0</v>
      </c>
      <c r="F3533" s="0" t="n">
        <f aca="false">-1+B3533*0.25</f>
        <v>0.75</v>
      </c>
      <c r="G3533" s="0" t="n">
        <f aca="false">-1+C3533*0.25</f>
        <v>0.25</v>
      </c>
      <c r="H3533" s="0" t="n">
        <f aca="false">-1+D3533*0.25</f>
        <v>-1</v>
      </c>
      <c r="I3533" s="0" t="n">
        <f aca="false">1</f>
        <v>1</v>
      </c>
      <c r="J3533" s="0" t="n">
        <f aca="false">E3533</f>
        <v>0</v>
      </c>
      <c r="K3533" s="0" t="n">
        <f aca="false">F3533</f>
        <v>0.75</v>
      </c>
      <c r="L3533" s="0" t="n">
        <f aca="false">G3533</f>
        <v>0.25</v>
      </c>
      <c r="M3533" s="0" t="n">
        <f aca="false">H3533</f>
        <v>-1</v>
      </c>
      <c r="N3533" s="0" t="n">
        <f aca="false">E3533*F3533</f>
        <v>0</v>
      </c>
      <c r="O3533" s="0" t="n">
        <f aca="false">E3533*G3533</f>
        <v>0</v>
      </c>
      <c r="P3533" s="0" t="n">
        <f aca="false">E3533*H3533</f>
        <v>-0</v>
      </c>
      <c r="Q3533" s="0" t="n">
        <f aca="false">F3533*G3533</f>
        <v>0.1875</v>
      </c>
      <c r="R3533" s="0" t="n">
        <f aca="false">F3533*H3533</f>
        <v>-0.75</v>
      </c>
      <c r="S3533" s="0" t="n">
        <f aca="false">G3533*H3533</f>
        <v>-0.25</v>
      </c>
      <c r="T3533" s="0" t="n">
        <f aca="false">E3533*E3533</f>
        <v>0</v>
      </c>
      <c r="U3533" s="0" t="n">
        <f aca="false">F3533*F3533</f>
        <v>0.5625</v>
      </c>
      <c r="V3533" s="0" t="n">
        <f aca="false">G3533*G3533</f>
        <v>0.0625</v>
      </c>
      <c r="W3533" s="0" t="n">
        <f aca="false">H3533*H3533</f>
        <v>1</v>
      </c>
      <c r="X3533" s="0" t="n">
        <f aca="false">SUMPRODUCT(I3533:W3533,_XtX!$B$96:$P$96)</f>
        <v>47.587358369883</v>
      </c>
      <c r="Y3533" s="0" t="n">
        <f aca="false">SUMPRODUCT(MMULT(I3533:W3533,_XtX!$B$78:$P$92),I3533:W3533)</f>
        <v>0.501534802174708</v>
      </c>
      <c r="Z3533" s="0" t="n">
        <f aca="false">04_回帰ANOVA!$K$19*04_回帰ANOVA!$K$14*SQRT(1+Y3533)</f>
        <v>1.59722498091333</v>
      </c>
      <c r="AA3533" s="0" t="n">
        <f aca="false">X3533-Z3533</f>
        <v>45.9901333889697</v>
      </c>
      <c r="AB3533" s="0" t="n">
        <f aca="false">X3533+Z3533</f>
        <v>49.1845833507963</v>
      </c>
      <c r="AC3533" s="54" t="b">
        <f aca="false">AND(E3533&gt;=01_因子設定!$L$5-0.000000001,E3533&lt;=01_因子設定!$M$5+0.000000001,F3533&gt;=01_因子設定!$L$6-0.000000001,F3533&lt;=01_因子設定!$M$6+0.000000001,G3533&gt;=01_因子設定!$L$7-0.000000001,G3533&lt;=01_因子設定!$M$7+0.000000001,H3533&gt;=01_因子設定!$L$8-0.000000001,H3533&lt;=01_因子設定!$M$8+0.000000001,IF(01_因子設定!$B$20="Box-Behnken",E3533^2+F3533^2+G3533^2+H3533^2&lt;=2+0.000000001,TRUE()))</f>
        <v>1</v>
      </c>
      <c r="AD3533" s="55" t="n">
        <f aca="false">IF(AC3533,IF(01_因子設定!$B$13="最大化",AA3533-01_因子設定!$B$14,IF(01_因子設定!$B$13="最小化",01_因子設定!$B$15-AB3533,MIN(AA3533-01_因子設定!$B$14,01_因子設定!$B$15-AB3533))),-1E+030)</f>
        <v>-0.509866611030319</v>
      </c>
      <c r="AE3533" s="55" t="n">
        <f aca="false">IF(AC3533,IF(01_因子設定!$B$13="最大化",X3533,IF(01_因子設定!$B$13="最小化",-X3533,-ABS(X3533-01_因子設定!$B$16))),-1E+030)</f>
        <v>47.587358369883</v>
      </c>
      <c r="AF3533" s="55" t="n">
        <f aca="false">AD3533+ROW()*0.000000001</f>
        <v>-0.509863078030319</v>
      </c>
      <c r="AG3533" s="55" t="n">
        <f aca="false">AE3533+ROW()*0.000000001</f>
        <v>47.587361902883</v>
      </c>
    </row>
    <row r="3534" customFormat="false" ht="15" hidden="false" customHeight="false" outlineLevel="0" collapsed="false">
      <c r="A3534" s="0" t="n">
        <v>4</v>
      </c>
      <c r="B3534" s="0" t="n">
        <v>7</v>
      </c>
      <c r="C3534" s="0" t="n">
        <v>5</v>
      </c>
      <c r="D3534" s="0" t="n">
        <v>1</v>
      </c>
      <c r="E3534" s="0" t="n">
        <f aca="false">-1+A3534*0.25</f>
        <v>0</v>
      </c>
      <c r="F3534" s="0" t="n">
        <f aca="false">-1+B3534*0.25</f>
        <v>0.75</v>
      </c>
      <c r="G3534" s="0" t="n">
        <f aca="false">-1+C3534*0.25</f>
        <v>0.25</v>
      </c>
      <c r="H3534" s="0" t="n">
        <f aca="false">-1+D3534*0.25</f>
        <v>-0.75</v>
      </c>
      <c r="I3534" s="0" t="n">
        <f aca="false">1</f>
        <v>1</v>
      </c>
      <c r="J3534" s="0" t="n">
        <f aca="false">E3534</f>
        <v>0</v>
      </c>
      <c r="K3534" s="0" t="n">
        <f aca="false">F3534</f>
        <v>0.75</v>
      </c>
      <c r="L3534" s="0" t="n">
        <f aca="false">G3534</f>
        <v>0.25</v>
      </c>
      <c r="M3534" s="0" t="n">
        <f aca="false">H3534</f>
        <v>-0.75</v>
      </c>
      <c r="N3534" s="0" t="n">
        <f aca="false">E3534*F3534</f>
        <v>0</v>
      </c>
      <c r="O3534" s="0" t="n">
        <f aca="false">E3534*G3534</f>
        <v>0</v>
      </c>
      <c r="P3534" s="0" t="n">
        <f aca="false">E3534*H3534</f>
        <v>-0</v>
      </c>
      <c r="Q3534" s="0" t="n">
        <f aca="false">F3534*G3534</f>
        <v>0.1875</v>
      </c>
      <c r="R3534" s="0" t="n">
        <f aca="false">F3534*H3534</f>
        <v>-0.5625</v>
      </c>
      <c r="S3534" s="0" t="n">
        <f aca="false">G3534*H3534</f>
        <v>-0.1875</v>
      </c>
      <c r="T3534" s="0" t="n">
        <f aca="false">E3534*E3534</f>
        <v>0</v>
      </c>
      <c r="U3534" s="0" t="n">
        <f aca="false">F3534*F3534</f>
        <v>0.5625</v>
      </c>
      <c r="V3534" s="0" t="n">
        <f aca="false">G3534*G3534</f>
        <v>0.0625</v>
      </c>
      <c r="W3534" s="0" t="n">
        <f aca="false">H3534*H3534</f>
        <v>0.5625</v>
      </c>
      <c r="X3534" s="0" t="n">
        <f aca="false">SUMPRODUCT(I3534:W3534,_XtX!$B$96:$P$96)</f>
        <v>47.8341968201754</v>
      </c>
      <c r="Y3534" s="0" t="n">
        <f aca="false">SUMPRODUCT(MMULT(I3534:W3534,_XtX!$B$78:$P$92),I3534:W3534)</f>
        <v>0.281685455500731</v>
      </c>
      <c r="Z3534" s="0" t="n">
        <f aca="false">04_回帰ANOVA!$K$19*04_回帰ANOVA!$K$14*SQRT(1+Y3534)</f>
        <v>1.47566956658694</v>
      </c>
      <c r="AA3534" s="0" t="n">
        <f aca="false">X3534-Z3534</f>
        <v>46.3585272535885</v>
      </c>
      <c r="AB3534" s="0" t="n">
        <f aca="false">X3534+Z3534</f>
        <v>49.3098663867623</v>
      </c>
      <c r="AC3534" s="54" t="b">
        <f aca="false">AND(E3534&gt;=01_因子設定!$L$5-0.000000001,E3534&lt;=01_因子設定!$M$5+0.000000001,F3534&gt;=01_因子設定!$L$6-0.000000001,F3534&lt;=01_因子設定!$M$6+0.000000001,G3534&gt;=01_因子設定!$L$7-0.000000001,G3534&lt;=01_因子設定!$M$7+0.000000001,H3534&gt;=01_因子設定!$L$8-0.000000001,H3534&lt;=01_因子設定!$M$8+0.000000001,IF(01_因子設定!$B$20="Box-Behnken",E3534^2+F3534^2+G3534^2+H3534^2&lt;=2+0.000000001,TRUE()))</f>
        <v>1</v>
      </c>
      <c r="AD3534" s="55" t="n">
        <f aca="false">IF(AC3534,IF(01_因子設定!$B$13="最大化",AA3534-01_因子設定!$B$14,IF(01_因子設定!$B$13="最小化",01_因子設定!$B$15-AB3534,MIN(AA3534-01_因子設定!$B$14,01_因子設定!$B$15-AB3534))),-1E+030)</f>
        <v>-0.141472746411544</v>
      </c>
      <c r="AE3534" s="55" t="n">
        <f aca="false">IF(AC3534,IF(01_因子設定!$B$13="最大化",X3534,IF(01_因子設定!$B$13="最小化",-X3534,-ABS(X3534-01_因子設定!$B$16))),-1E+030)</f>
        <v>47.8341968201754</v>
      </c>
      <c r="AF3534" s="55" t="n">
        <f aca="false">AD3534+ROW()*0.000000001</f>
        <v>-0.141469212411544</v>
      </c>
      <c r="AG3534" s="55" t="n">
        <f aca="false">AE3534+ROW()*0.000000001</f>
        <v>47.8342003541754</v>
      </c>
    </row>
    <row r="3535" customFormat="false" ht="15" hidden="false" customHeight="false" outlineLevel="0" collapsed="false">
      <c r="A3535" s="0" t="n">
        <v>4</v>
      </c>
      <c r="B3535" s="0" t="n">
        <v>7</v>
      </c>
      <c r="C3535" s="0" t="n">
        <v>5</v>
      </c>
      <c r="D3535" s="0" t="n">
        <v>2</v>
      </c>
      <c r="E3535" s="0" t="n">
        <f aca="false">-1+A3535*0.25</f>
        <v>0</v>
      </c>
      <c r="F3535" s="0" t="n">
        <f aca="false">-1+B3535*0.25</f>
        <v>0.75</v>
      </c>
      <c r="G3535" s="0" t="n">
        <f aca="false">-1+C3535*0.25</f>
        <v>0.25</v>
      </c>
      <c r="H3535" s="0" t="n">
        <f aca="false">-1+D3535*0.25</f>
        <v>-0.5</v>
      </c>
      <c r="I3535" s="0" t="n">
        <f aca="false">1</f>
        <v>1</v>
      </c>
      <c r="J3535" s="0" t="n">
        <f aca="false">E3535</f>
        <v>0</v>
      </c>
      <c r="K3535" s="0" t="n">
        <f aca="false">F3535</f>
        <v>0.75</v>
      </c>
      <c r="L3535" s="0" t="n">
        <f aca="false">G3535</f>
        <v>0.25</v>
      </c>
      <c r="M3535" s="0" t="n">
        <f aca="false">H3535</f>
        <v>-0.5</v>
      </c>
      <c r="N3535" s="0" t="n">
        <f aca="false">E3535*F3535</f>
        <v>0</v>
      </c>
      <c r="O3535" s="0" t="n">
        <f aca="false">E3535*G3535</f>
        <v>0</v>
      </c>
      <c r="P3535" s="0" t="n">
        <f aca="false">E3535*H3535</f>
        <v>-0</v>
      </c>
      <c r="Q3535" s="0" t="n">
        <f aca="false">F3535*G3535</f>
        <v>0.1875</v>
      </c>
      <c r="R3535" s="0" t="n">
        <f aca="false">F3535*H3535</f>
        <v>-0.375</v>
      </c>
      <c r="S3535" s="0" t="n">
        <f aca="false">G3535*H3535</f>
        <v>-0.125</v>
      </c>
      <c r="T3535" s="0" t="n">
        <f aca="false">E3535*E3535</f>
        <v>0</v>
      </c>
      <c r="U3535" s="0" t="n">
        <f aca="false">F3535*F3535</f>
        <v>0.5625</v>
      </c>
      <c r="V3535" s="0" t="n">
        <f aca="false">G3535*G3535</f>
        <v>0.0625</v>
      </c>
      <c r="W3535" s="0" t="n">
        <f aca="false">H3535*H3535</f>
        <v>0.25</v>
      </c>
      <c r="X3535" s="0" t="n">
        <f aca="false">SUMPRODUCT(I3535:W3535,_XtX!$B$96:$P$96)</f>
        <v>48.0332282529239</v>
      </c>
      <c r="Y3535" s="0" t="n">
        <f aca="false">SUMPRODUCT(MMULT(I3535:W3535,_XtX!$B$78:$P$92),I3535:W3535)</f>
        <v>0.215110734192252</v>
      </c>
      <c r="Z3535" s="0" t="n">
        <f aca="false">04_回帰ANOVA!$K$19*04_回帰ANOVA!$K$14*SQRT(1+Y3535)</f>
        <v>1.43683309086864</v>
      </c>
      <c r="AA3535" s="0" t="n">
        <f aca="false">X3535-Z3535</f>
        <v>46.5963951620553</v>
      </c>
      <c r="AB3535" s="0" t="n">
        <f aca="false">X3535+Z3535</f>
        <v>49.4700613437926</v>
      </c>
      <c r="AC3535" s="54" t="b">
        <f aca="false">AND(E3535&gt;=01_因子設定!$L$5-0.000000001,E3535&lt;=01_因子設定!$M$5+0.000000001,F3535&gt;=01_因子設定!$L$6-0.000000001,F3535&lt;=01_因子設定!$M$6+0.000000001,G3535&gt;=01_因子設定!$L$7-0.000000001,G3535&lt;=01_因子設定!$M$7+0.000000001,H3535&gt;=01_因子設定!$L$8-0.000000001,H3535&lt;=01_因子設定!$M$8+0.000000001,IF(01_因子設定!$B$20="Box-Behnken",E3535^2+F3535^2+G3535^2+H3535^2&lt;=2+0.000000001,TRUE()))</f>
        <v>1</v>
      </c>
      <c r="AD3535" s="55" t="n">
        <f aca="false">IF(AC3535,IF(01_因子設定!$B$13="最大化",AA3535-01_因子設定!$B$14,IF(01_因子設定!$B$13="最小化",01_因子設定!$B$15-AB3535,MIN(AA3535-01_因子設定!$B$14,01_因子設定!$B$15-AB3535))),-1E+030)</f>
        <v>0.0963951620552734</v>
      </c>
      <c r="AE3535" s="55" t="n">
        <f aca="false">IF(AC3535,IF(01_因子設定!$B$13="最大化",X3535,IF(01_因子設定!$B$13="最小化",-X3535,-ABS(X3535-01_因子設定!$B$16))),-1E+030)</f>
        <v>48.0332282529239</v>
      </c>
      <c r="AF3535" s="55" t="n">
        <f aca="false">AD3535+ROW()*0.000000001</f>
        <v>0.0963986970552734</v>
      </c>
      <c r="AG3535" s="55" t="n">
        <f aca="false">AE3535+ROW()*0.000000001</f>
        <v>48.0332317879239</v>
      </c>
    </row>
    <row r="3536" customFormat="false" ht="15" hidden="false" customHeight="false" outlineLevel="0" collapsed="false">
      <c r="A3536" s="0" t="n">
        <v>4</v>
      </c>
      <c r="B3536" s="0" t="n">
        <v>7</v>
      </c>
      <c r="C3536" s="0" t="n">
        <v>5</v>
      </c>
      <c r="D3536" s="0" t="n">
        <v>3</v>
      </c>
      <c r="E3536" s="0" t="n">
        <f aca="false">-1+A3536*0.25</f>
        <v>0</v>
      </c>
      <c r="F3536" s="0" t="n">
        <f aca="false">-1+B3536*0.25</f>
        <v>0.75</v>
      </c>
      <c r="G3536" s="0" t="n">
        <f aca="false">-1+C3536*0.25</f>
        <v>0.25</v>
      </c>
      <c r="H3536" s="0" t="n">
        <f aca="false">-1+D3536*0.25</f>
        <v>-0.25</v>
      </c>
      <c r="I3536" s="0" t="n">
        <f aca="false">1</f>
        <v>1</v>
      </c>
      <c r="J3536" s="0" t="n">
        <f aca="false">E3536</f>
        <v>0</v>
      </c>
      <c r="K3536" s="0" t="n">
        <f aca="false">F3536</f>
        <v>0.75</v>
      </c>
      <c r="L3536" s="0" t="n">
        <f aca="false">G3536</f>
        <v>0.25</v>
      </c>
      <c r="M3536" s="0" t="n">
        <f aca="false">H3536</f>
        <v>-0.25</v>
      </c>
      <c r="N3536" s="0" t="n">
        <f aca="false">E3536*F3536</f>
        <v>0</v>
      </c>
      <c r="O3536" s="0" t="n">
        <f aca="false">E3536*G3536</f>
        <v>0</v>
      </c>
      <c r="P3536" s="0" t="n">
        <f aca="false">E3536*H3536</f>
        <v>-0</v>
      </c>
      <c r="Q3536" s="0" t="n">
        <f aca="false">F3536*G3536</f>
        <v>0.1875</v>
      </c>
      <c r="R3536" s="0" t="n">
        <f aca="false">F3536*H3536</f>
        <v>-0.1875</v>
      </c>
      <c r="S3536" s="0" t="n">
        <f aca="false">G3536*H3536</f>
        <v>-0.0625</v>
      </c>
      <c r="T3536" s="0" t="n">
        <f aca="false">E3536*E3536</f>
        <v>0</v>
      </c>
      <c r="U3536" s="0" t="n">
        <f aca="false">F3536*F3536</f>
        <v>0.5625</v>
      </c>
      <c r="V3536" s="0" t="n">
        <f aca="false">G3536*G3536</f>
        <v>0.0625</v>
      </c>
      <c r="W3536" s="0" t="n">
        <f aca="false">H3536*H3536</f>
        <v>0.0625</v>
      </c>
      <c r="X3536" s="0" t="n">
        <f aca="false">SUMPRODUCT(I3536:W3536,_XtX!$B$96:$P$96)</f>
        <v>48.1844526681286</v>
      </c>
      <c r="Y3536" s="0" t="n">
        <f aca="false">SUMPRODUCT(MMULT(I3536:W3536,_XtX!$B$78:$P$92),I3536:W3536)</f>
        <v>0.21135011193348</v>
      </c>
      <c r="Z3536" s="0" t="n">
        <f aca="false">04_回帰ANOVA!$K$19*04_回帰ANOVA!$K$14*SQRT(1+Y3536)</f>
        <v>1.43460795469709</v>
      </c>
      <c r="AA3536" s="0" t="n">
        <f aca="false">X3536-Z3536</f>
        <v>46.7498447134315</v>
      </c>
      <c r="AB3536" s="0" t="n">
        <f aca="false">X3536+Z3536</f>
        <v>49.6190606228257</v>
      </c>
      <c r="AC3536" s="54" t="b">
        <f aca="false">AND(E3536&gt;=01_因子設定!$L$5-0.000000001,E3536&lt;=01_因子設定!$M$5+0.000000001,F3536&gt;=01_因子設定!$L$6-0.000000001,F3536&lt;=01_因子設定!$M$6+0.000000001,G3536&gt;=01_因子設定!$L$7-0.000000001,G3536&lt;=01_因子設定!$M$7+0.000000001,H3536&gt;=01_因子設定!$L$8-0.000000001,H3536&lt;=01_因子設定!$M$8+0.000000001,IF(01_因子設定!$B$20="Box-Behnken",E3536^2+F3536^2+G3536^2+H3536^2&lt;=2+0.000000001,TRUE()))</f>
        <v>1</v>
      </c>
      <c r="AD3536" s="55" t="n">
        <f aca="false">IF(AC3536,IF(01_因子設定!$B$13="最大化",AA3536-01_因子設定!$B$14,IF(01_因子設定!$B$13="最小化",01_因子設定!$B$15-AB3536,MIN(AA3536-01_因子設定!$B$14,01_因子設定!$B$15-AB3536))),-1E+030)</f>
        <v>0.249844713431507</v>
      </c>
      <c r="AE3536" s="55" t="n">
        <f aca="false">IF(AC3536,IF(01_因子設定!$B$13="最大化",X3536,IF(01_因子設定!$B$13="最小化",-X3536,-ABS(X3536-01_因子設定!$B$16))),-1E+030)</f>
        <v>48.1844526681286</v>
      </c>
      <c r="AF3536" s="55" t="n">
        <f aca="false">AD3536+ROW()*0.000000001</f>
        <v>0.249848249431507</v>
      </c>
      <c r="AG3536" s="55" t="n">
        <f aca="false">AE3536+ROW()*0.000000001</f>
        <v>48.1844562041286</v>
      </c>
    </row>
    <row r="3537" customFormat="false" ht="15" hidden="false" customHeight="false" outlineLevel="0" collapsed="false">
      <c r="A3537" s="0" t="n">
        <v>4</v>
      </c>
      <c r="B3537" s="0" t="n">
        <v>7</v>
      </c>
      <c r="C3537" s="0" t="n">
        <v>5</v>
      </c>
      <c r="D3537" s="0" t="n">
        <v>4</v>
      </c>
      <c r="E3537" s="0" t="n">
        <f aca="false">-1+A3537*0.25</f>
        <v>0</v>
      </c>
      <c r="F3537" s="0" t="n">
        <f aca="false">-1+B3537*0.25</f>
        <v>0.75</v>
      </c>
      <c r="G3537" s="0" t="n">
        <f aca="false">-1+C3537*0.25</f>
        <v>0.25</v>
      </c>
      <c r="H3537" s="0" t="n">
        <f aca="false">-1+D3537*0.25</f>
        <v>0</v>
      </c>
      <c r="I3537" s="0" t="n">
        <f aca="false">1</f>
        <v>1</v>
      </c>
      <c r="J3537" s="0" t="n">
        <f aca="false">E3537</f>
        <v>0</v>
      </c>
      <c r="K3537" s="0" t="n">
        <f aca="false">F3537</f>
        <v>0.75</v>
      </c>
      <c r="L3537" s="0" t="n">
        <f aca="false">G3537</f>
        <v>0.25</v>
      </c>
      <c r="M3537" s="0" t="n">
        <f aca="false">H3537</f>
        <v>0</v>
      </c>
      <c r="N3537" s="0" t="n">
        <f aca="false">E3537*F3537</f>
        <v>0</v>
      </c>
      <c r="O3537" s="0" t="n">
        <f aca="false">E3537*G3537</f>
        <v>0</v>
      </c>
      <c r="P3537" s="0" t="n">
        <f aca="false">E3537*H3537</f>
        <v>0</v>
      </c>
      <c r="Q3537" s="0" t="n">
        <f aca="false">F3537*G3537</f>
        <v>0.1875</v>
      </c>
      <c r="R3537" s="0" t="n">
        <f aca="false">F3537*H3537</f>
        <v>0</v>
      </c>
      <c r="S3537" s="0" t="n">
        <f aca="false">G3537*H3537</f>
        <v>0</v>
      </c>
      <c r="T3537" s="0" t="n">
        <f aca="false">E3537*E3537</f>
        <v>0</v>
      </c>
      <c r="U3537" s="0" t="n">
        <f aca="false">F3537*F3537</f>
        <v>0.5625</v>
      </c>
      <c r="V3537" s="0" t="n">
        <f aca="false">G3537*G3537</f>
        <v>0.0625</v>
      </c>
      <c r="W3537" s="0" t="n">
        <f aca="false">H3537*H3537</f>
        <v>0</v>
      </c>
      <c r="X3537" s="0" t="n">
        <f aca="false">SUMPRODUCT(I3537:W3537,_XtX!$B$96:$P$96)</f>
        <v>48.2878700657894</v>
      </c>
      <c r="Y3537" s="0" t="n">
        <f aca="false">SUMPRODUCT(MMULT(I3537:W3537,_XtX!$B$78:$P$92),I3537:W3537)</f>
        <v>0.216127272934942</v>
      </c>
      <c r="Z3537" s="0" t="n">
        <f aca="false">04_回帰ANOVA!$K$19*04_回帰ANOVA!$K$14*SQRT(1+Y3537)</f>
        <v>1.43743397896608</v>
      </c>
      <c r="AA3537" s="0" t="n">
        <f aca="false">X3537-Z3537</f>
        <v>46.8504360868233</v>
      </c>
      <c r="AB3537" s="0" t="n">
        <f aca="false">X3537+Z3537</f>
        <v>49.7253040447555</v>
      </c>
      <c r="AC3537" s="54" t="b">
        <f aca="false">AND(E3537&gt;=01_因子設定!$L$5-0.000000001,E3537&lt;=01_因子設定!$M$5+0.000000001,F3537&gt;=01_因子設定!$L$6-0.000000001,F3537&lt;=01_因子設定!$M$6+0.000000001,G3537&gt;=01_因子設定!$L$7-0.000000001,G3537&lt;=01_因子設定!$M$7+0.000000001,H3537&gt;=01_因子設定!$L$8-0.000000001,H3537&lt;=01_因子設定!$M$8+0.000000001,IF(01_因子設定!$B$20="Box-Behnken",E3537^2+F3537^2+G3537^2+H3537^2&lt;=2+0.000000001,TRUE()))</f>
        <v>1</v>
      </c>
      <c r="AD3537" s="55" t="n">
        <f aca="false">IF(AC3537,IF(01_因子設定!$B$13="最大化",AA3537-01_因子設定!$B$14,IF(01_因子設定!$B$13="最小化",01_因子設定!$B$15-AB3537,MIN(AA3537-01_因子設定!$B$14,01_因子設定!$B$15-AB3537))),-1E+030)</f>
        <v>0.350436086823329</v>
      </c>
      <c r="AE3537" s="55" t="n">
        <f aca="false">IF(AC3537,IF(01_因子設定!$B$13="最大化",X3537,IF(01_因子設定!$B$13="最小化",-X3537,-ABS(X3537-01_因子設定!$B$16))),-1E+030)</f>
        <v>48.2878700657894</v>
      </c>
      <c r="AF3537" s="55" t="n">
        <f aca="false">AD3537+ROW()*0.000000001</f>
        <v>0.350439623823329</v>
      </c>
      <c r="AG3537" s="55" t="n">
        <f aca="false">AE3537+ROW()*0.000000001</f>
        <v>48.2878736027894</v>
      </c>
    </row>
    <row r="3538" customFormat="false" ht="15" hidden="false" customHeight="false" outlineLevel="0" collapsed="false">
      <c r="A3538" s="0" t="n">
        <v>4</v>
      </c>
      <c r="B3538" s="0" t="n">
        <v>7</v>
      </c>
      <c r="C3538" s="0" t="n">
        <v>5</v>
      </c>
      <c r="D3538" s="0" t="n">
        <v>5</v>
      </c>
      <c r="E3538" s="0" t="n">
        <f aca="false">-1+A3538*0.25</f>
        <v>0</v>
      </c>
      <c r="F3538" s="0" t="n">
        <f aca="false">-1+B3538*0.25</f>
        <v>0.75</v>
      </c>
      <c r="G3538" s="0" t="n">
        <f aca="false">-1+C3538*0.25</f>
        <v>0.25</v>
      </c>
      <c r="H3538" s="0" t="n">
        <f aca="false">-1+D3538*0.25</f>
        <v>0.25</v>
      </c>
      <c r="I3538" s="0" t="n">
        <f aca="false">1</f>
        <v>1</v>
      </c>
      <c r="J3538" s="0" t="n">
        <f aca="false">E3538</f>
        <v>0</v>
      </c>
      <c r="K3538" s="0" t="n">
        <f aca="false">F3538</f>
        <v>0.75</v>
      </c>
      <c r="L3538" s="0" t="n">
        <f aca="false">G3538</f>
        <v>0.25</v>
      </c>
      <c r="M3538" s="0" t="n">
        <f aca="false">H3538</f>
        <v>0.25</v>
      </c>
      <c r="N3538" s="0" t="n">
        <f aca="false">E3538*F3538</f>
        <v>0</v>
      </c>
      <c r="O3538" s="0" t="n">
        <f aca="false">E3538*G3538</f>
        <v>0</v>
      </c>
      <c r="P3538" s="0" t="n">
        <f aca="false">E3538*H3538</f>
        <v>0</v>
      </c>
      <c r="Q3538" s="0" t="n">
        <f aca="false">F3538*G3538</f>
        <v>0.1875</v>
      </c>
      <c r="R3538" s="0" t="n">
        <f aca="false">F3538*H3538</f>
        <v>0.1875</v>
      </c>
      <c r="S3538" s="0" t="n">
        <f aca="false">G3538*H3538</f>
        <v>0.0625</v>
      </c>
      <c r="T3538" s="0" t="n">
        <f aca="false">E3538*E3538</f>
        <v>0</v>
      </c>
      <c r="U3538" s="0" t="n">
        <f aca="false">F3538*F3538</f>
        <v>0.5625</v>
      </c>
      <c r="V3538" s="0" t="n">
        <f aca="false">G3538*G3538</f>
        <v>0.0625</v>
      </c>
      <c r="W3538" s="0" t="n">
        <f aca="false">H3538*H3538</f>
        <v>0.0625</v>
      </c>
      <c r="X3538" s="0" t="n">
        <f aca="false">SUMPRODUCT(I3538:W3538,_XtX!$B$96:$P$96)</f>
        <v>48.3434804459064</v>
      </c>
      <c r="Y3538" s="0" t="n">
        <f aca="false">SUMPRODUCT(MMULT(I3538:W3538,_XtX!$B$78:$P$92),I3538:W3538)</f>
        <v>0.21135011193348</v>
      </c>
      <c r="Z3538" s="0" t="n">
        <f aca="false">04_回帰ANOVA!$K$19*04_回帰ANOVA!$K$14*SQRT(1+Y3538)</f>
        <v>1.43460795469709</v>
      </c>
      <c r="AA3538" s="0" t="n">
        <f aca="false">X3538-Z3538</f>
        <v>46.9088724912093</v>
      </c>
      <c r="AB3538" s="0" t="n">
        <f aca="false">X3538+Z3538</f>
        <v>49.7780884006035</v>
      </c>
      <c r="AC3538" s="54" t="b">
        <f aca="false">AND(E3538&gt;=01_因子設定!$L$5-0.000000001,E3538&lt;=01_因子設定!$M$5+0.000000001,F3538&gt;=01_因子設定!$L$6-0.000000001,F3538&lt;=01_因子設定!$M$6+0.000000001,G3538&gt;=01_因子設定!$L$7-0.000000001,G3538&lt;=01_因子設定!$M$7+0.000000001,H3538&gt;=01_因子設定!$L$8-0.000000001,H3538&lt;=01_因子設定!$M$8+0.000000001,IF(01_因子設定!$B$20="Box-Behnken",E3538^2+F3538^2+G3538^2+H3538^2&lt;=2+0.000000001,TRUE()))</f>
        <v>1</v>
      </c>
      <c r="AD3538" s="55" t="n">
        <f aca="false">IF(AC3538,IF(01_因子設定!$B$13="最大化",AA3538-01_因子設定!$B$14,IF(01_因子設定!$B$13="最小化",01_因子設定!$B$15-AB3538,MIN(AA3538-01_因子設定!$B$14,01_因子設定!$B$15-AB3538))),-1E+030)</f>
        <v>0.40887249120928</v>
      </c>
      <c r="AE3538" s="55" t="n">
        <f aca="false">IF(AC3538,IF(01_因子設定!$B$13="最大化",X3538,IF(01_因子設定!$B$13="最小化",-X3538,-ABS(X3538-01_因子設定!$B$16))),-1E+030)</f>
        <v>48.3434804459064</v>
      </c>
      <c r="AF3538" s="55" t="n">
        <f aca="false">AD3538+ROW()*0.000000001</f>
        <v>0.40887602920928</v>
      </c>
      <c r="AG3538" s="55" t="n">
        <f aca="false">AE3538+ROW()*0.000000001</f>
        <v>48.3434839839064</v>
      </c>
    </row>
    <row r="3539" customFormat="false" ht="15" hidden="false" customHeight="false" outlineLevel="0" collapsed="false">
      <c r="A3539" s="0" t="n">
        <v>4</v>
      </c>
      <c r="B3539" s="0" t="n">
        <v>7</v>
      </c>
      <c r="C3539" s="0" t="n">
        <v>5</v>
      </c>
      <c r="D3539" s="0" t="n">
        <v>6</v>
      </c>
      <c r="E3539" s="0" t="n">
        <f aca="false">-1+A3539*0.25</f>
        <v>0</v>
      </c>
      <c r="F3539" s="0" t="n">
        <f aca="false">-1+B3539*0.25</f>
        <v>0.75</v>
      </c>
      <c r="G3539" s="0" t="n">
        <f aca="false">-1+C3539*0.25</f>
        <v>0.25</v>
      </c>
      <c r="H3539" s="0" t="n">
        <f aca="false">-1+D3539*0.25</f>
        <v>0.5</v>
      </c>
      <c r="I3539" s="0" t="n">
        <f aca="false">1</f>
        <v>1</v>
      </c>
      <c r="J3539" s="0" t="n">
        <f aca="false">E3539</f>
        <v>0</v>
      </c>
      <c r="K3539" s="0" t="n">
        <f aca="false">F3539</f>
        <v>0.75</v>
      </c>
      <c r="L3539" s="0" t="n">
        <f aca="false">G3539</f>
        <v>0.25</v>
      </c>
      <c r="M3539" s="0" t="n">
        <f aca="false">H3539</f>
        <v>0.5</v>
      </c>
      <c r="N3539" s="0" t="n">
        <f aca="false">E3539*F3539</f>
        <v>0</v>
      </c>
      <c r="O3539" s="0" t="n">
        <f aca="false">E3539*G3539</f>
        <v>0</v>
      </c>
      <c r="P3539" s="0" t="n">
        <f aca="false">E3539*H3539</f>
        <v>0</v>
      </c>
      <c r="Q3539" s="0" t="n">
        <f aca="false">F3539*G3539</f>
        <v>0.1875</v>
      </c>
      <c r="R3539" s="0" t="n">
        <f aca="false">F3539*H3539</f>
        <v>0.375</v>
      </c>
      <c r="S3539" s="0" t="n">
        <f aca="false">G3539*H3539</f>
        <v>0.125</v>
      </c>
      <c r="T3539" s="0" t="n">
        <f aca="false">E3539*E3539</f>
        <v>0</v>
      </c>
      <c r="U3539" s="0" t="n">
        <f aca="false">F3539*F3539</f>
        <v>0.5625</v>
      </c>
      <c r="V3539" s="0" t="n">
        <f aca="false">G3539*G3539</f>
        <v>0.0625</v>
      </c>
      <c r="W3539" s="0" t="n">
        <f aca="false">H3539*H3539</f>
        <v>0.25</v>
      </c>
      <c r="X3539" s="0" t="n">
        <f aca="false">SUMPRODUCT(I3539:W3539,_XtX!$B$96:$P$96)</f>
        <v>48.3512838084795</v>
      </c>
      <c r="Y3539" s="0" t="n">
        <f aca="false">SUMPRODUCT(MMULT(I3539:W3539,_XtX!$B$78:$P$92),I3539:W3539)</f>
        <v>0.215110734192252</v>
      </c>
      <c r="Z3539" s="0" t="n">
        <f aca="false">04_回帰ANOVA!$K$19*04_回帰ANOVA!$K$14*SQRT(1+Y3539)</f>
        <v>1.43683309086864</v>
      </c>
      <c r="AA3539" s="0" t="n">
        <f aca="false">X3539-Z3539</f>
        <v>46.9144507176108</v>
      </c>
      <c r="AB3539" s="0" t="n">
        <f aca="false">X3539+Z3539</f>
        <v>49.7881168993481</v>
      </c>
      <c r="AC3539" s="54" t="b">
        <f aca="false">AND(E3539&gt;=01_因子設定!$L$5-0.000000001,E3539&lt;=01_因子設定!$M$5+0.000000001,F3539&gt;=01_因子設定!$L$6-0.000000001,F3539&lt;=01_因子設定!$M$6+0.000000001,G3539&gt;=01_因子設定!$L$7-0.000000001,G3539&lt;=01_因子設定!$M$7+0.000000001,H3539&gt;=01_因子設定!$L$8-0.000000001,H3539&lt;=01_因子設定!$M$8+0.000000001,IF(01_因子設定!$B$20="Box-Behnken",E3539^2+F3539^2+G3539^2+H3539^2&lt;=2+0.000000001,TRUE()))</f>
        <v>1</v>
      </c>
      <c r="AD3539" s="55" t="n">
        <f aca="false">IF(AC3539,IF(01_因子設定!$B$13="最大化",AA3539-01_因子設定!$B$14,IF(01_因子設定!$B$13="最小化",01_因子設定!$B$15-AB3539,MIN(AA3539-01_因子設定!$B$14,01_因子設定!$B$15-AB3539))),-1E+030)</f>
        <v>0.414450717610826</v>
      </c>
      <c r="AE3539" s="55" t="n">
        <f aca="false">IF(AC3539,IF(01_因子設定!$B$13="最大化",X3539,IF(01_因子設定!$B$13="最小化",-X3539,-ABS(X3539-01_因子設定!$B$16))),-1E+030)</f>
        <v>48.3512838084795</v>
      </c>
      <c r="AF3539" s="55" t="n">
        <f aca="false">AD3539+ROW()*0.000000001</f>
        <v>0.414454256610826</v>
      </c>
      <c r="AG3539" s="55" t="n">
        <f aca="false">AE3539+ROW()*0.000000001</f>
        <v>48.3512873474795</v>
      </c>
    </row>
    <row r="3540" customFormat="false" ht="15" hidden="false" customHeight="false" outlineLevel="0" collapsed="false">
      <c r="A3540" s="0" t="n">
        <v>4</v>
      </c>
      <c r="B3540" s="0" t="n">
        <v>7</v>
      </c>
      <c r="C3540" s="0" t="n">
        <v>5</v>
      </c>
      <c r="D3540" s="0" t="n">
        <v>7</v>
      </c>
      <c r="E3540" s="0" t="n">
        <f aca="false">-1+A3540*0.25</f>
        <v>0</v>
      </c>
      <c r="F3540" s="0" t="n">
        <f aca="false">-1+B3540*0.25</f>
        <v>0.75</v>
      </c>
      <c r="G3540" s="0" t="n">
        <f aca="false">-1+C3540*0.25</f>
        <v>0.25</v>
      </c>
      <c r="H3540" s="0" t="n">
        <f aca="false">-1+D3540*0.25</f>
        <v>0.75</v>
      </c>
      <c r="I3540" s="0" t="n">
        <f aca="false">1</f>
        <v>1</v>
      </c>
      <c r="J3540" s="0" t="n">
        <f aca="false">E3540</f>
        <v>0</v>
      </c>
      <c r="K3540" s="0" t="n">
        <f aca="false">F3540</f>
        <v>0.75</v>
      </c>
      <c r="L3540" s="0" t="n">
        <f aca="false">G3540</f>
        <v>0.25</v>
      </c>
      <c r="M3540" s="0" t="n">
        <f aca="false">H3540</f>
        <v>0.75</v>
      </c>
      <c r="N3540" s="0" t="n">
        <f aca="false">E3540*F3540</f>
        <v>0</v>
      </c>
      <c r="O3540" s="0" t="n">
        <f aca="false">E3540*G3540</f>
        <v>0</v>
      </c>
      <c r="P3540" s="0" t="n">
        <f aca="false">E3540*H3540</f>
        <v>0</v>
      </c>
      <c r="Q3540" s="0" t="n">
        <f aca="false">F3540*G3540</f>
        <v>0.1875</v>
      </c>
      <c r="R3540" s="0" t="n">
        <f aca="false">F3540*H3540</f>
        <v>0.5625</v>
      </c>
      <c r="S3540" s="0" t="n">
        <f aca="false">G3540*H3540</f>
        <v>0.1875</v>
      </c>
      <c r="T3540" s="0" t="n">
        <f aca="false">E3540*E3540</f>
        <v>0</v>
      </c>
      <c r="U3540" s="0" t="n">
        <f aca="false">F3540*F3540</f>
        <v>0.5625</v>
      </c>
      <c r="V3540" s="0" t="n">
        <f aca="false">G3540*G3540</f>
        <v>0.0625</v>
      </c>
      <c r="W3540" s="0" t="n">
        <f aca="false">H3540*H3540</f>
        <v>0.5625</v>
      </c>
      <c r="X3540" s="0" t="n">
        <f aca="false">SUMPRODUCT(I3540:W3540,_XtX!$B$96:$P$96)</f>
        <v>48.3112801535087</v>
      </c>
      <c r="Y3540" s="0" t="n">
        <f aca="false">SUMPRODUCT(MMULT(I3540:W3540,_XtX!$B$78:$P$92),I3540:W3540)</f>
        <v>0.281685455500731</v>
      </c>
      <c r="Z3540" s="0" t="n">
        <f aca="false">04_回帰ANOVA!$K$19*04_回帰ANOVA!$K$14*SQRT(1+Y3540)</f>
        <v>1.47566956658694</v>
      </c>
      <c r="AA3540" s="0" t="n">
        <f aca="false">X3540-Z3540</f>
        <v>46.8356105869218</v>
      </c>
      <c r="AB3540" s="0" t="n">
        <f aca="false">X3540+Z3540</f>
        <v>49.7869497200957</v>
      </c>
      <c r="AC3540" s="54" t="b">
        <f aca="false">AND(E3540&gt;=01_因子設定!$L$5-0.000000001,E3540&lt;=01_因子設定!$M$5+0.000000001,F3540&gt;=01_因子設定!$L$6-0.000000001,F3540&lt;=01_因子設定!$M$6+0.000000001,G3540&gt;=01_因子設定!$L$7-0.000000001,G3540&lt;=01_因子設定!$M$7+0.000000001,H3540&gt;=01_因子設定!$L$8-0.000000001,H3540&lt;=01_因子設定!$M$8+0.000000001,IF(01_因子設定!$B$20="Box-Behnken",E3540^2+F3540^2+G3540^2+H3540^2&lt;=2+0.000000001,TRUE()))</f>
        <v>1</v>
      </c>
      <c r="AD3540" s="55" t="n">
        <f aca="false">IF(AC3540,IF(01_因子設定!$B$13="最大化",AA3540-01_因子設定!$B$14,IF(01_因子設定!$B$13="最小化",01_因子設定!$B$15-AB3540,MIN(AA3540-01_因子設定!$B$14,01_因子設定!$B$15-AB3540))),-1E+030)</f>
        <v>0.335610586921788</v>
      </c>
      <c r="AE3540" s="55" t="n">
        <f aca="false">IF(AC3540,IF(01_因子設定!$B$13="最大化",X3540,IF(01_因子設定!$B$13="最小化",-X3540,-ABS(X3540-01_因子設定!$B$16))),-1E+030)</f>
        <v>48.3112801535087</v>
      </c>
      <c r="AF3540" s="55" t="n">
        <f aca="false">AD3540+ROW()*0.000000001</f>
        <v>0.335614126921789</v>
      </c>
      <c r="AG3540" s="55" t="n">
        <f aca="false">AE3540+ROW()*0.000000001</f>
        <v>48.3112836935087</v>
      </c>
    </row>
    <row r="3541" customFormat="false" ht="15" hidden="false" customHeight="false" outlineLevel="0" collapsed="false">
      <c r="A3541" s="0" t="n">
        <v>4</v>
      </c>
      <c r="B3541" s="0" t="n">
        <v>7</v>
      </c>
      <c r="C3541" s="0" t="n">
        <v>5</v>
      </c>
      <c r="D3541" s="0" t="n">
        <v>8</v>
      </c>
      <c r="E3541" s="0" t="n">
        <f aca="false">-1+A3541*0.25</f>
        <v>0</v>
      </c>
      <c r="F3541" s="0" t="n">
        <f aca="false">-1+B3541*0.25</f>
        <v>0.75</v>
      </c>
      <c r="G3541" s="0" t="n">
        <f aca="false">-1+C3541*0.25</f>
        <v>0.25</v>
      </c>
      <c r="H3541" s="0" t="n">
        <f aca="false">-1+D3541*0.25</f>
        <v>1</v>
      </c>
      <c r="I3541" s="0" t="n">
        <f aca="false">1</f>
        <v>1</v>
      </c>
      <c r="J3541" s="0" t="n">
        <f aca="false">E3541</f>
        <v>0</v>
      </c>
      <c r="K3541" s="0" t="n">
        <f aca="false">F3541</f>
        <v>0.75</v>
      </c>
      <c r="L3541" s="0" t="n">
        <f aca="false">G3541</f>
        <v>0.25</v>
      </c>
      <c r="M3541" s="0" t="n">
        <f aca="false">H3541</f>
        <v>1</v>
      </c>
      <c r="N3541" s="0" t="n">
        <f aca="false">E3541*F3541</f>
        <v>0</v>
      </c>
      <c r="O3541" s="0" t="n">
        <f aca="false">E3541*G3541</f>
        <v>0</v>
      </c>
      <c r="P3541" s="0" t="n">
        <f aca="false">E3541*H3541</f>
        <v>0</v>
      </c>
      <c r="Q3541" s="0" t="n">
        <f aca="false">F3541*G3541</f>
        <v>0.1875</v>
      </c>
      <c r="R3541" s="0" t="n">
        <f aca="false">F3541*H3541</f>
        <v>0.75</v>
      </c>
      <c r="S3541" s="0" t="n">
        <f aca="false">G3541*H3541</f>
        <v>0.25</v>
      </c>
      <c r="T3541" s="0" t="n">
        <f aca="false">E3541*E3541</f>
        <v>0</v>
      </c>
      <c r="U3541" s="0" t="n">
        <f aca="false">F3541*F3541</f>
        <v>0.5625</v>
      </c>
      <c r="V3541" s="0" t="n">
        <f aca="false">G3541*G3541</f>
        <v>0.0625</v>
      </c>
      <c r="W3541" s="0" t="n">
        <f aca="false">H3541*H3541</f>
        <v>1</v>
      </c>
      <c r="X3541" s="0" t="n">
        <f aca="false">SUMPRODUCT(I3541:W3541,_XtX!$B$96:$P$96)</f>
        <v>48.2234694809941</v>
      </c>
      <c r="Y3541" s="0" t="n">
        <f aca="false">SUMPRODUCT(MMULT(I3541:W3541,_XtX!$B$78:$P$92),I3541:W3541)</f>
        <v>0.501534802174708</v>
      </c>
      <c r="Z3541" s="0" t="n">
        <f aca="false">04_回帰ANOVA!$K$19*04_回帰ANOVA!$K$14*SQRT(1+Y3541)</f>
        <v>1.59722498091333</v>
      </c>
      <c r="AA3541" s="0" t="n">
        <f aca="false">X3541-Z3541</f>
        <v>46.6262445000808</v>
      </c>
      <c r="AB3541" s="0" t="n">
        <f aca="false">X3541+Z3541</f>
        <v>49.8206944619075</v>
      </c>
      <c r="AC3541" s="54" t="b">
        <f aca="false">AND(E3541&gt;=01_因子設定!$L$5-0.000000001,E3541&lt;=01_因子設定!$M$5+0.000000001,F3541&gt;=01_因子設定!$L$6-0.000000001,F3541&lt;=01_因子設定!$M$6+0.000000001,G3541&gt;=01_因子設定!$L$7-0.000000001,G3541&lt;=01_因子設定!$M$7+0.000000001,H3541&gt;=01_因子設定!$L$8-0.000000001,H3541&lt;=01_因子設定!$M$8+0.000000001,IF(01_因子設定!$B$20="Box-Behnken",E3541^2+F3541^2+G3541^2+H3541^2&lt;=2+0.000000001,TRUE()))</f>
        <v>1</v>
      </c>
      <c r="AD3541" s="55" t="n">
        <f aca="false">IF(AC3541,IF(01_因子設定!$B$13="最大化",AA3541-01_因子設定!$B$14,IF(01_因子設定!$B$13="最小化",01_因子設定!$B$15-AB3541,MIN(AA3541-01_因子設定!$B$14,01_因子設定!$B$15-AB3541))),-1E+030)</f>
        <v>0.126244500080787</v>
      </c>
      <c r="AE3541" s="55" t="n">
        <f aca="false">IF(AC3541,IF(01_因子設定!$B$13="最大化",X3541,IF(01_因子設定!$B$13="最小化",-X3541,-ABS(X3541-01_因子設定!$B$16))),-1E+030)</f>
        <v>48.2234694809941</v>
      </c>
      <c r="AF3541" s="55" t="n">
        <f aca="false">AD3541+ROW()*0.000000001</f>
        <v>0.126248041080787</v>
      </c>
      <c r="AG3541" s="55" t="n">
        <f aca="false">AE3541+ROW()*0.000000001</f>
        <v>48.2234730219941</v>
      </c>
    </row>
    <row r="3542" customFormat="false" ht="15" hidden="false" customHeight="false" outlineLevel="0" collapsed="false">
      <c r="A3542" s="0" t="n">
        <v>4</v>
      </c>
      <c r="B3542" s="0" t="n">
        <v>7</v>
      </c>
      <c r="C3542" s="0" t="n">
        <v>6</v>
      </c>
      <c r="D3542" s="0" t="n">
        <v>0</v>
      </c>
      <c r="E3542" s="0" t="n">
        <f aca="false">-1+A3542*0.25</f>
        <v>0</v>
      </c>
      <c r="F3542" s="0" t="n">
        <f aca="false">-1+B3542*0.25</f>
        <v>0.75</v>
      </c>
      <c r="G3542" s="0" t="n">
        <f aca="false">-1+C3542*0.25</f>
        <v>0.5</v>
      </c>
      <c r="H3542" s="0" t="n">
        <f aca="false">-1+D3542*0.25</f>
        <v>-1</v>
      </c>
      <c r="I3542" s="0" t="n">
        <f aca="false">1</f>
        <v>1</v>
      </c>
      <c r="J3542" s="0" t="n">
        <f aca="false">E3542</f>
        <v>0</v>
      </c>
      <c r="K3542" s="0" t="n">
        <f aca="false">F3542</f>
        <v>0.75</v>
      </c>
      <c r="L3542" s="0" t="n">
        <f aca="false">G3542</f>
        <v>0.5</v>
      </c>
      <c r="M3542" s="0" t="n">
        <f aca="false">H3542</f>
        <v>-1</v>
      </c>
      <c r="N3542" s="0" t="n">
        <f aca="false">E3542*F3542</f>
        <v>0</v>
      </c>
      <c r="O3542" s="0" t="n">
        <f aca="false">E3542*G3542</f>
        <v>0</v>
      </c>
      <c r="P3542" s="0" t="n">
        <f aca="false">E3542*H3542</f>
        <v>-0</v>
      </c>
      <c r="Q3542" s="0" t="n">
        <f aca="false">F3542*G3542</f>
        <v>0.375</v>
      </c>
      <c r="R3542" s="0" t="n">
        <f aca="false">F3542*H3542</f>
        <v>-0.75</v>
      </c>
      <c r="S3542" s="0" t="n">
        <f aca="false">G3542*H3542</f>
        <v>-0.5</v>
      </c>
      <c r="T3542" s="0" t="n">
        <f aca="false">E3542*E3542</f>
        <v>0</v>
      </c>
      <c r="U3542" s="0" t="n">
        <f aca="false">F3542*F3542</f>
        <v>0.5625</v>
      </c>
      <c r="V3542" s="0" t="n">
        <f aca="false">G3542*G3542</f>
        <v>0.25</v>
      </c>
      <c r="W3542" s="0" t="n">
        <f aca="false">H3542*H3542</f>
        <v>1</v>
      </c>
      <c r="X3542" s="0" t="n">
        <f aca="false">SUMPRODUCT(I3542:W3542,_XtX!$B$96:$P$96)</f>
        <v>47.6919499269006</v>
      </c>
      <c r="Y3542" s="0" t="n">
        <f aca="false">SUMPRODUCT(MMULT(I3542:W3542,_XtX!$B$78:$P$92),I3542:W3542)</f>
        <v>0.476191292032164</v>
      </c>
      <c r="Z3542" s="0" t="n">
        <f aca="false">04_回帰ANOVA!$K$19*04_回帰ANOVA!$K$14*SQRT(1+Y3542)</f>
        <v>1.58368831471718</v>
      </c>
      <c r="AA3542" s="0" t="n">
        <f aca="false">X3542-Z3542</f>
        <v>46.1082616121834</v>
      </c>
      <c r="AB3542" s="0" t="n">
        <f aca="false">X3542+Z3542</f>
        <v>49.2756382416177</v>
      </c>
      <c r="AC3542" s="54" t="b">
        <f aca="false">AND(E3542&gt;=01_因子設定!$L$5-0.000000001,E3542&lt;=01_因子設定!$M$5+0.000000001,F3542&gt;=01_因子設定!$L$6-0.000000001,F3542&lt;=01_因子設定!$M$6+0.000000001,G3542&gt;=01_因子設定!$L$7-0.000000001,G3542&lt;=01_因子設定!$M$7+0.000000001,H3542&gt;=01_因子設定!$L$8-0.000000001,H3542&lt;=01_因子設定!$M$8+0.000000001,IF(01_因子設定!$B$20="Box-Behnken",E3542^2+F3542^2+G3542^2+H3542^2&lt;=2+0.000000001,TRUE()))</f>
        <v>1</v>
      </c>
      <c r="AD3542" s="55" t="n">
        <f aca="false">IF(AC3542,IF(01_因子設定!$B$13="最大化",AA3542-01_因子設定!$B$14,IF(01_因子設定!$B$13="最小化",01_因子設定!$B$15-AB3542,MIN(AA3542-01_因子設定!$B$14,01_因子設定!$B$15-AB3542))),-1E+030)</f>
        <v>-0.391738387816623</v>
      </c>
      <c r="AE3542" s="55" t="n">
        <f aca="false">IF(AC3542,IF(01_因子設定!$B$13="最大化",X3542,IF(01_因子設定!$B$13="最小化",-X3542,-ABS(X3542-01_因子設定!$B$16))),-1E+030)</f>
        <v>47.6919499269006</v>
      </c>
      <c r="AF3542" s="55" t="n">
        <f aca="false">AD3542+ROW()*0.000000001</f>
        <v>-0.391734845816623</v>
      </c>
      <c r="AG3542" s="55" t="n">
        <f aca="false">AE3542+ROW()*0.000000001</f>
        <v>47.6919534689006</v>
      </c>
    </row>
    <row r="3543" customFormat="false" ht="15" hidden="false" customHeight="false" outlineLevel="0" collapsed="false">
      <c r="A3543" s="0" t="n">
        <v>4</v>
      </c>
      <c r="B3543" s="0" t="n">
        <v>7</v>
      </c>
      <c r="C3543" s="0" t="n">
        <v>6</v>
      </c>
      <c r="D3543" s="0" t="n">
        <v>1</v>
      </c>
      <c r="E3543" s="0" t="n">
        <f aca="false">-1+A3543*0.25</f>
        <v>0</v>
      </c>
      <c r="F3543" s="0" t="n">
        <f aca="false">-1+B3543*0.25</f>
        <v>0.75</v>
      </c>
      <c r="G3543" s="0" t="n">
        <f aca="false">-1+C3543*0.25</f>
        <v>0.5</v>
      </c>
      <c r="H3543" s="0" t="n">
        <f aca="false">-1+D3543*0.25</f>
        <v>-0.75</v>
      </c>
      <c r="I3543" s="0" t="n">
        <f aca="false">1</f>
        <v>1</v>
      </c>
      <c r="J3543" s="0" t="n">
        <f aca="false">E3543</f>
        <v>0</v>
      </c>
      <c r="K3543" s="0" t="n">
        <f aca="false">F3543</f>
        <v>0.75</v>
      </c>
      <c r="L3543" s="0" t="n">
        <f aca="false">G3543</f>
        <v>0.5</v>
      </c>
      <c r="M3543" s="0" t="n">
        <f aca="false">H3543</f>
        <v>-0.75</v>
      </c>
      <c r="N3543" s="0" t="n">
        <f aca="false">E3543*F3543</f>
        <v>0</v>
      </c>
      <c r="O3543" s="0" t="n">
        <f aca="false">E3543*G3543</f>
        <v>0</v>
      </c>
      <c r="P3543" s="0" t="n">
        <f aca="false">E3543*H3543</f>
        <v>-0</v>
      </c>
      <c r="Q3543" s="0" t="n">
        <f aca="false">F3543*G3543</f>
        <v>0.375</v>
      </c>
      <c r="R3543" s="0" t="n">
        <f aca="false">F3543*H3543</f>
        <v>-0.5625</v>
      </c>
      <c r="S3543" s="0" t="n">
        <f aca="false">G3543*H3543</f>
        <v>-0.375</v>
      </c>
      <c r="T3543" s="0" t="n">
        <f aca="false">E3543*E3543</f>
        <v>0</v>
      </c>
      <c r="U3543" s="0" t="n">
        <f aca="false">F3543*F3543</f>
        <v>0.5625</v>
      </c>
      <c r="V3543" s="0" t="n">
        <f aca="false">G3543*G3543</f>
        <v>0.25</v>
      </c>
      <c r="W3543" s="0" t="n">
        <f aca="false">H3543*H3543</f>
        <v>0.5625</v>
      </c>
      <c r="X3543" s="0" t="n">
        <f aca="false">SUMPRODUCT(I3543:W3543,_XtX!$B$96:$P$96)</f>
        <v>47.9567571271929</v>
      </c>
      <c r="Y3543" s="0" t="n">
        <f aca="false">SUMPRODUCT(MMULT(I3543:W3543,_XtX!$B$78:$P$92),I3543:W3543)</f>
        <v>0.269923873812135</v>
      </c>
      <c r="Z3543" s="0" t="n">
        <f aca="false">04_回帰ANOVA!$K$19*04_回帰ANOVA!$K$14*SQRT(1+Y3543)</f>
        <v>1.46888310825501</v>
      </c>
      <c r="AA3543" s="0" t="n">
        <f aca="false">X3543-Z3543</f>
        <v>46.4878740189379</v>
      </c>
      <c r="AB3543" s="0" t="n">
        <f aca="false">X3543+Z3543</f>
        <v>49.4256402354479</v>
      </c>
      <c r="AC3543" s="54" t="b">
        <f aca="false">AND(E3543&gt;=01_因子設定!$L$5-0.000000001,E3543&lt;=01_因子設定!$M$5+0.000000001,F3543&gt;=01_因子設定!$L$6-0.000000001,F3543&lt;=01_因子設定!$M$6+0.000000001,G3543&gt;=01_因子設定!$L$7-0.000000001,G3543&lt;=01_因子設定!$M$7+0.000000001,H3543&gt;=01_因子設定!$L$8-0.000000001,H3543&lt;=01_因子設定!$M$8+0.000000001,IF(01_因子設定!$B$20="Box-Behnken",E3543^2+F3543^2+G3543^2+H3543^2&lt;=2+0.000000001,TRUE()))</f>
        <v>1</v>
      </c>
      <c r="AD3543" s="55" t="n">
        <f aca="false">IF(AC3543,IF(01_因子設定!$B$13="最大化",AA3543-01_因子設定!$B$14,IF(01_因子設定!$B$13="最小化",01_因子設定!$B$15-AB3543,MIN(AA3543-01_因子設定!$B$14,01_因子設定!$B$15-AB3543))),-1E+030)</f>
        <v>-0.01212598106207</v>
      </c>
      <c r="AE3543" s="55" t="n">
        <f aca="false">IF(AC3543,IF(01_因子設定!$B$13="最大化",X3543,IF(01_因子設定!$B$13="最小化",-X3543,-ABS(X3543-01_因子設定!$B$16))),-1E+030)</f>
        <v>47.9567571271929</v>
      </c>
      <c r="AF3543" s="55" t="n">
        <f aca="false">AD3543+ROW()*0.000000001</f>
        <v>-0.01212243806207</v>
      </c>
      <c r="AG3543" s="55" t="n">
        <f aca="false">AE3543+ROW()*0.000000001</f>
        <v>47.9567606701929</v>
      </c>
    </row>
    <row r="3544" customFormat="false" ht="15" hidden="false" customHeight="false" outlineLevel="0" collapsed="false">
      <c r="A3544" s="0" t="n">
        <v>4</v>
      </c>
      <c r="B3544" s="0" t="n">
        <v>7</v>
      </c>
      <c r="C3544" s="0" t="n">
        <v>6</v>
      </c>
      <c r="D3544" s="0" t="n">
        <v>2</v>
      </c>
      <c r="E3544" s="0" t="n">
        <f aca="false">-1+A3544*0.25</f>
        <v>0</v>
      </c>
      <c r="F3544" s="0" t="n">
        <f aca="false">-1+B3544*0.25</f>
        <v>0.75</v>
      </c>
      <c r="G3544" s="0" t="n">
        <f aca="false">-1+C3544*0.25</f>
        <v>0.5</v>
      </c>
      <c r="H3544" s="0" t="n">
        <f aca="false">-1+D3544*0.25</f>
        <v>-0.5</v>
      </c>
      <c r="I3544" s="0" t="n">
        <f aca="false">1</f>
        <v>1</v>
      </c>
      <c r="J3544" s="0" t="n">
        <f aca="false">E3544</f>
        <v>0</v>
      </c>
      <c r="K3544" s="0" t="n">
        <f aca="false">F3544</f>
        <v>0.75</v>
      </c>
      <c r="L3544" s="0" t="n">
        <f aca="false">G3544</f>
        <v>0.5</v>
      </c>
      <c r="M3544" s="0" t="n">
        <f aca="false">H3544</f>
        <v>-0.5</v>
      </c>
      <c r="N3544" s="0" t="n">
        <f aca="false">E3544*F3544</f>
        <v>0</v>
      </c>
      <c r="O3544" s="0" t="n">
        <f aca="false">E3544*G3544</f>
        <v>0</v>
      </c>
      <c r="P3544" s="0" t="n">
        <f aca="false">E3544*H3544</f>
        <v>-0</v>
      </c>
      <c r="Q3544" s="0" t="n">
        <f aca="false">F3544*G3544</f>
        <v>0.375</v>
      </c>
      <c r="R3544" s="0" t="n">
        <f aca="false">F3544*H3544</f>
        <v>-0.375</v>
      </c>
      <c r="S3544" s="0" t="n">
        <f aca="false">G3544*H3544</f>
        <v>-0.25</v>
      </c>
      <c r="T3544" s="0" t="n">
        <f aca="false">E3544*E3544</f>
        <v>0</v>
      </c>
      <c r="U3544" s="0" t="n">
        <f aca="false">F3544*F3544</f>
        <v>0.5625</v>
      </c>
      <c r="V3544" s="0" t="n">
        <f aca="false">G3544*G3544</f>
        <v>0.25</v>
      </c>
      <c r="W3544" s="0" t="n">
        <f aca="false">H3544*H3544</f>
        <v>0.25</v>
      </c>
      <c r="X3544" s="0" t="n">
        <f aca="false">SUMPRODUCT(I3544:W3544,_XtX!$B$96:$P$96)</f>
        <v>48.1737573099415</v>
      </c>
      <c r="Y3544" s="0" t="n">
        <f aca="false">SUMPRODUCT(MMULT(I3544:W3544,_XtX!$B$78:$P$92),I3544:W3544)</f>
        <v>0.21305052997076</v>
      </c>
      <c r="Z3544" s="0" t="n">
        <f aca="false">04_回帰ANOVA!$K$19*04_回帰ANOVA!$K$14*SQRT(1+Y3544)</f>
        <v>1.43561450835061</v>
      </c>
      <c r="AA3544" s="0" t="n">
        <f aca="false">X3544-Z3544</f>
        <v>46.7381428015909</v>
      </c>
      <c r="AB3544" s="0" t="n">
        <f aca="false">X3544+Z3544</f>
        <v>49.6093718182921</v>
      </c>
      <c r="AC3544" s="54" t="b">
        <f aca="false">AND(E3544&gt;=01_因子設定!$L$5-0.000000001,E3544&lt;=01_因子設定!$M$5+0.000000001,F3544&gt;=01_因子設定!$L$6-0.000000001,F3544&lt;=01_因子設定!$M$6+0.000000001,G3544&gt;=01_因子設定!$L$7-0.000000001,G3544&lt;=01_因子設定!$M$7+0.000000001,H3544&gt;=01_因子設定!$L$8-0.000000001,H3544&lt;=01_因子設定!$M$8+0.000000001,IF(01_因子設定!$B$20="Box-Behnken",E3544^2+F3544^2+G3544^2+H3544^2&lt;=2+0.000000001,TRUE()))</f>
        <v>1</v>
      </c>
      <c r="AD3544" s="55" t="n">
        <f aca="false">IF(AC3544,IF(01_因子設定!$B$13="最大化",AA3544-01_因子設定!$B$14,IF(01_因子設定!$B$13="最小化",01_因子設定!$B$15-AB3544,MIN(AA3544-01_因子設定!$B$14,01_因子設定!$B$15-AB3544))),-1E+030)</f>
        <v>0.238142801590861</v>
      </c>
      <c r="AE3544" s="55" t="n">
        <f aca="false">IF(AC3544,IF(01_因子設定!$B$13="最大化",X3544,IF(01_因子設定!$B$13="最小化",-X3544,-ABS(X3544-01_因子設定!$B$16))),-1E+030)</f>
        <v>48.1737573099415</v>
      </c>
      <c r="AF3544" s="55" t="n">
        <f aca="false">AD3544+ROW()*0.000000001</f>
        <v>0.238146345590861</v>
      </c>
      <c r="AG3544" s="55" t="n">
        <f aca="false">AE3544+ROW()*0.000000001</f>
        <v>48.1737608539415</v>
      </c>
    </row>
    <row r="3545" customFormat="false" ht="15" hidden="false" customHeight="false" outlineLevel="0" collapsed="false">
      <c r="A3545" s="0" t="n">
        <v>4</v>
      </c>
      <c r="B3545" s="0" t="n">
        <v>7</v>
      </c>
      <c r="C3545" s="0" t="n">
        <v>6</v>
      </c>
      <c r="D3545" s="0" t="n">
        <v>3</v>
      </c>
      <c r="E3545" s="0" t="n">
        <f aca="false">-1+A3545*0.25</f>
        <v>0</v>
      </c>
      <c r="F3545" s="0" t="n">
        <f aca="false">-1+B3545*0.25</f>
        <v>0.75</v>
      </c>
      <c r="G3545" s="0" t="n">
        <f aca="false">-1+C3545*0.25</f>
        <v>0.5</v>
      </c>
      <c r="H3545" s="0" t="n">
        <f aca="false">-1+D3545*0.25</f>
        <v>-0.25</v>
      </c>
      <c r="I3545" s="0" t="n">
        <f aca="false">1</f>
        <v>1</v>
      </c>
      <c r="J3545" s="0" t="n">
        <f aca="false">E3545</f>
        <v>0</v>
      </c>
      <c r="K3545" s="0" t="n">
        <f aca="false">F3545</f>
        <v>0.75</v>
      </c>
      <c r="L3545" s="0" t="n">
        <f aca="false">G3545</f>
        <v>0.5</v>
      </c>
      <c r="M3545" s="0" t="n">
        <f aca="false">H3545</f>
        <v>-0.25</v>
      </c>
      <c r="N3545" s="0" t="n">
        <f aca="false">E3545*F3545</f>
        <v>0</v>
      </c>
      <c r="O3545" s="0" t="n">
        <f aca="false">E3545*G3545</f>
        <v>0</v>
      </c>
      <c r="P3545" s="0" t="n">
        <f aca="false">E3545*H3545</f>
        <v>-0</v>
      </c>
      <c r="Q3545" s="0" t="n">
        <f aca="false">F3545*G3545</f>
        <v>0.375</v>
      </c>
      <c r="R3545" s="0" t="n">
        <f aca="false">F3545*H3545</f>
        <v>-0.1875</v>
      </c>
      <c r="S3545" s="0" t="n">
        <f aca="false">G3545*H3545</f>
        <v>-0.125</v>
      </c>
      <c r="T3545" s="0" t="n">
        <f aca="false">E3545*E3545</f>
        <v>0</v>
      </c>
      <c r="U3545" s="0" t="n">
        <f aca="false">F3545*F3545</f>
        <v>0.5625</v>
      </c>
      <c r="V3545" s="0" t="n">
        <f aca="false">G3545*G3545</f>
        <v>0.25</v>
      </c>
      <c r="W3545" s="0" t="n">
        <f aca="false">H3545*H3545</f>
        <v>0.0625</v>
      </c>
      <c r="X3545" s="0" t="n">
        <f aca="false">SUMPRODUCT(I3545:W3545,_XtX!$B$96:$P$96)</f>
        <v>48.3429504751461</v>
      </c>
      <c r="Y3545" s="0" t="n">
        <f aca="false">SUMPRODUCT(MMULT(I3545:W3545,_XtX!$B$78:$P$92),I3545:W3545)</f>
        <v>0.215110734192252</v>
      </c>
      <c r="Z3545" s="0" t="n">
        <f aca="false">04_回帰ANOVA!$K$19*04_回帰ANOVA!$K$14*SQRT(1+Y3545)</f>
        <v>1.43683309086864</v>
      </c>
      <c r="AA3545" s="0" t="n">
        <f aca="false">X3545-Z3545</f>
        <v>46.9061173842775</v>
      </c>
      <c r="AB3545" s="0" t="n">
        <f aca="false">X3545+Z3545</f>
        <v>49.7797835660148</v>
      </c>
      <c r="AC3545" s="54" t="b">
        <f aca="false">AND(E3545&gt;=01_因子設定!$L$5-0.000000001,E3545&lt;=01_因子設定!$M$5+0.000000001,F3545&gt;=01_因子設定!$L$6-0.000000001,F3545&lt;=01_因子設定!$M$6+0.000000001,G3545&gt;=01_因子設定!$L$7-0.000000001,G3545&lt;=01_因子設定!$M$7+0.000000001,H3545&gt;=01_因子設定!$L$8-0.000000001,H3545&lt;=01_因子設定!$M$8+0.000000001,IF(01_因子設定!$B$20="Box-Behnken",E3545^2+F3545^2+G3545^2+H3545^2&lt;=2+0.000000001,TRUE()))</f>
        <v>1</v>
      </c>
      <c r="AD3545" s="55" t="n">
        <f aca="false">IF(AC3545,IF(01_因子設定!$B$13="最大化",AA3545-01_因子設定!$B$14,IF(01_因子設定!$B$13="最小化",01_因子設定!$B$15-AB3545,MIN(AA3545-01_因子設定!$B$14,01_因子設定!$B$15-AB3545))),-1E+030)</f>
        <v>0.406117384277486</v>
      </c>
      <c r="AE3545" s="55" t="n">
        <f aca="false">IF(AC3545,IF(01_因子設定!$B$13="最大化",X3545,IF(01_因子設定!$B$13="最小化",-X3545,-ABS(X3545-01_因子設定!$B$16))),-1E+030)</f>
        <v>48.3429504751461</v>
      </c>
      <c r="AF3545" s="55" t="n">
        <f aca="false">AD3545+ROW()*0.000000001</f>
        <v>0.406120929277486</v>
      </c>
      <c r="AG3545" s="55" t="n">
        <f aca="false">AE3545+ROW()*0.000000001</f>
        <v>48.3429540201461</v>
      </c>
    </row>
    <row r="3546" customFormat="false" ht="15" hidden="false" customHeight="false" outlineLevel="0" collapsed="false">
      <c r="A3546" s="0" t="n">
        <v>4</v>
      </c>
      <c r="B3546" s="0" t="n">
        <v>7</v>
      </c>
      <c r="C3546" s="0" t="n">
        <v>6</v>
      </c>
      <c r="D3546" s="0" t="n">
        <v>4</v>
      </c>
      <c r="E3546" s="0" t="n">
        <f aca="false">-1+A3546*0.25</f>
        <v>0</v>
      </c>
      <c r="F3546" s="0" t="n">
        <f aca="false">-1+B3546*0.25</f>
        <v>0.75</v>
      </c>
      <c r="G3546" s="0" t="n">
        <f aca="false">-1+C3546*0.25</f>
        <v>0.5</v>
      </c>
      <c r="H3546" s="0" t="n">
        <f aca="false">-1+D3546*0.25</f>
        <v>0</v>
      </c>
      <c r="I3546" s="0" t="n">
        <f aca="false">1</f>
        <v>1</v>
      </c>
      <c r="J3546" s="0" t="n">
        <f aca="false">E3546</f>
        <v>0</v>
      </c>
      <c r="K3546" s="0" t="n">
        <f aca="false">F3546</f>
        <v>0.75</v>
      </c>
      <c r="L3546" s="0" t="n">
        <f aca="false">G3546</f>
        <v>0.5</v>
      </c>
      <c r="M3546" s="0" t="n">
        <f aca="false">H3546</f>
        <v>0</v>
      </c>
      <c r="N3546" s="0" t="n">
        <f aca="false">E3546*F3546</f>
        <v>0</v>
      </c>
      <c r="O3546" s="0" t="n">
        <f aca="false">E3546*G3546</f>
        <v>0</v>
      </c>
      <c r="P3546" s="0" t="n">
        <f aca="false">E3546*H3546</f>
        <v>0</v>
      </c>
      <c r="Q3546" s="0" t="n">
        <f aca="false">F3546*G3546</f>
        <v>0.375</v>
      </c>
      <c r="R3546" s="0" t="n">
        <f aca="false">F3546*H3546</f>
        <v>0</v>
      </c>
      <c r="S3546" s="0" t="n">
        <f aca="false">G3546*H3546</f>
        <v>0</v>
      </c>
      <c r="T3546" s="0" t="n">
        <f aca="false">E3546*E3546</f>
        <v>0</v>
      </c>
      <c r="U3546" s="0" t="n">
        <f aca="false">F3546*F3546</f>
        <v>0.5625</v>
      </c>
      <c r="V3546" s="0" t="n">
        <f aca="false">G3546*G3546</f>
        <v>0.25</v>
      </c>
      <c r="W3546" s="0" t="n">
        <f aca="false">H3546*H3546</f>
        <v>0</v>
      </c>
      <c r="X3546" s="0" t="n">
        <f aca="false">SUMPRODUCT(I3546:W3546,_XtX!$B$96:$P$96)</f>
        <v>48.464336622807</v>
      </c>
      <c r="Y3546" s="0" t="n">
        <f aca="false">SUMPRODUCT(MMULT(I3546:W3546,_XtX!$B$78:$P$92),I3546:W3546)</f>
        <v>0.221828170687135</v>
      </c>
      <c r="Z3546" s="0" t="n">
        <f aca="false">04_回帰ANOVA!$K$19*04_回帰ANOVA!$K$14*SQRT(1+Y3546)</f>
        <v>1.44079920361664</v>
      </c>
      <c r="AA3546" s="0" t="n">
        <f aca="false">X3546-Z3546</f>
        <v>47.0235374191903</v>
      </c>
      <c r="AB3546" s="0" t="n">
        <f aca="false">X3546+Z3546</f>
        <v>49.9051358264236</v>
      </c>
      <c r="AC3546" s="54" t="b">
        <f aca="false">AND(E3546&gt;=01_因子設定!$L$5-0.000000001,E3546&lt;=01_因子設定!$M$5+0.000000001,F3546&gt;=01_因子設定!$L$6-0.000000001,F3546&lt;=01_因子設定!$M$6+0.000000001,G3546&gt;=01_因子設定!$L$7-0.000000001,G3546&lt;=01_因子設定!$M$7+0.000000001,H3546&gt;=01_因子設定!$L$8-0.000000001,H3546&lt;=01_因子設定!$M$8+0.000000001,IF(01_因子設定!$B$20="Box-Behnken",E3546^2+F3546^2+G3546^2+H3546^2&lt;=2+0.000000001,TRUE()))</f>
        <v>1</v>
      </c>
      <c r="AD3546" s="55" t="n">
        <f aca="false">IF(AC3546,IF(01_因子設定!$B$13="最大化",AA3546-01_因子設定!$B$14,IF(01_因子設定!$B$13="最小化",01_因子設定!$B$15-AB3546,MIN(AA3546-01_因子設定!$B$14,01_因子設定!$B$15-AB3546))),-1E+030)</f>
        <v>0.523537419190312</v>
      </c>
      <c r="AE3546" s="55" t="n">
        <f aca="false">IF(AC3546,IF(01_因子設定!$B$13="最大化",X3546,IF(01_因子設定!$B$13="最小化",-X3546,-ABS(X3546-01_因子設定!$B$16))),-1E+030)</f>
        <v>48.464336622807</v>
      </c>
      <c r="AF3546" s="55" t="n">
        <f aca="false">AD3546+ROW()*0.000000001</f>
        <v>0.523540965190312</v>
      </c>
      <c r="AG3546" s="55" t="n">
        <f aca="false">AE3546+ROW()*0.000000001</f>
        <v>48.464340168807</v>
      </c>
    </row>
    <row r="3547" customFormat="false" ht="15" hidden="false" customHeight="false" outlineLevel="0" collapsed="false">
      <c r="A3547" s="0" t="n">
        <v>4</v>
      </c>
      <c r="B3547" s="0" t="n">
        <v>7</v>
      </c>
      <c r="C3547" s="0" t="n">
        <v>6</v>
      </c>
      <c r="D3547" s="0" t="n">
        <v>5</v>
      </c>
      <c r="E3547" s="0" t="n">
        <f aca="false">-1+A3547*0.25</f>
        <v>0</v>
      </c>
      <c r="F3547" s="0" t="n">
        <f aca="false">-1+B3547*0.25</f>
        <v>0.75</v>
      </c>
      <c r="G3547" s="0" t="n">
        <f aca="false">-1+C3547*0.25</f>
        <v>0.5</v>
      </c>
      <c r="H3547" s="0" t="n">
        <f aca="false">-1+D3547*0.25</f>
        <v>0.25</v>
      </c>
      <c r="I3547" s="0" t="n">
        <f aca="false">1</f>
        <v>1</v>
      </c>
      <c r="J3547" s="0" t="n">
        <f aca="false">E3547</f>
        <v>0</v>
      </c>
      <c r="K3547" s="0" t="n">
        <f aca="false">F3547</f>
        <v>0.75</v>
      </c>
      <c r="L3547" s="0" t="n">
        <f aca="false">G3547</f>
        <v>0.5</v>
      </c>
      <c r="M3547" s="0" t="n">
        <f aca="false">H3547</f>
        <v>0.25</v>
      </c>
      <c r="N3547" s="0" t="n">
        <f aca="false">E3547*F3547</f>
        <v>0</v>
      </c>
      <c r="O3547" s="0" t="n">
        <f aca="false">E3547*G3547</f>
        <v>0</v>
      </c>
      <c r="P3547" s="0" t="n">
        <f aca="false">E3547*H3547</f>
        <v>0</v>
      </c>
      <c r="Q3547" s="0" t="n">
        <f aca="false">F3547*G3547</f>
        <v>0.375</v>
      </c>
      <c r="R3547" s="0" t="n">
        <f aca="false">F3547*H3547</f>
        <v>0.1875</v>
      </c>
      <c r="S3547" s="0" t="n">
        <f aca="false">G3547*H3547</f>
        <v>0.125</v>
      </c>
      <c r="T3547" s="0" t="n">
        <f aca="false">E3547*E3547</f>
        <v>0</v>
      </c>
      <c r="U3547" s="0" t="n">
        <f aca="false">F3547*F3547</f>
        <v>0.5625</v>
      </c>
      <c r="V3547" s="0" t="n">
        <f aca="false">G3547*G3547</f>
        <v>0.25</v>
      </c>
      <c r="W3547" s="0" t="n">
        <f aca="false">H3547*H3547</f>
        <v>0.0625</v>
      </c>
      <c r="X3547" s="0" t="n">
        <f aca="false">SUMPRODUCT(I3547:W3547,_XtX!$B$96:$P$96)</f>
        <v>48.5379157529239</v>
      </c>
      <c r="Y3547" s="0" t="n">
        <f aca="false">SUMPRODUCT(MMULT(I3547:W3547,_XtX!$B$78:$P$92),I3547:W3547)</f>
        <v>0.215110734192252</v>
      </c>
      <c r="Z3547" s="0" t="n">
        <f aca="false">04_回帰ANOVA!$K$19*04_回帰ANOVA!$K$14*SQRT(1+Y3547)</f>
        <v>1.43683309086864</v>
      </c>
      <c r="AA3547" s="0" t="n">
        <f aca="false">X3547-Z3547</f>
        <v>47.1010826620553</v>
      </c>
      <c r="AB3547" s="0" t="n">
        <f aca="false">X3547+Z3547</f>
        <v>49.9747488437926</v>
      </c>
      <c r="AC3547" s="54" t="b">
        <f aca="false">AND(E3547&gt;=01_因子設定!$L$5-0.000000001,E3547&lt;=01_因子設定!$M$5+0.000000001,F3547&gt;=01_因子設定!$L$6-0.000000001,F3547&lt;=01_因子設定!$M$6+0.000000001,G3547&gt;=01_因子設定!$L$7-0.000000001,G3547&lt;=01_因子設定!$M$7+0.000000001,H3547&gt;=01_因子設定!$L$8-0.000000001,H3547&lt;=01_因子設定!$M$8+0.000000001,IF(01_因子設定!$B$20="Box-Behnken",E3547^2+F3547^2+G3547^2+H3547^2&lt;=2+0.000000001,TRUE()))</f>
        <v>1</v>
      </c>
      <c r="AD3547" s="55" t="n">
        <f aca="false">IF(AC3547,IF(01_因子設定!$B$13="最大化",AA3547-01_因子設定!$B$14,IF(01_因子設定!$B$13="最小化",01_因子設定!$B$15-AB3547,MIN(AA3547-01_因子設定!$B$14,01_因子設定!$B$15-AB3547))),-1E+030)</f>
        <v>0.601082662055269</v>
      </c>
      <c r="AE3547" s="55" t="n">
        <f aca="false">IF(AC3547,IF(01_因子設定!$B$13="最大化",X3547,IF(01_因子設定!$B$13="最小化",-X3547,-ABS(X3547-01_因子設定!$B$16))),-1E+030)</f>
        <v>48.5379157529239</v>
      </c>
      <c r="AF3547" s="55" t="n">
        <f aca="false">AD3547+ROW()*0.000000001</f>
        <v>0.601086209055269</v>
      </c>
      <c r="AG3547" s="55" t="n">
        <f aca="false">AE3547+ROW()*0.000000001</f>
        <v>48.5379192999239</v>
      </c>
    </row>
    <row r="3548" customFormat="false" ht="15" hidden="false" customHeight="false" outlineLevel="0" collapsed="false">
      <c r="A3548" s="0" t="n">
        <v>4</v>
      </c>
      <c r="B3548" s="0" t="n">
        <v>7</v>
      </c>
      <c r="C3548" s="0" t="n">
        <v>6</v>
      </c>
      <c r="D3548" s="0" t="n">
        <v>6</v>
      </c>
      <c r="E3548" s="0" t="n">
        <f aca="false">-1+A3548*0.25</f>
        <v>0</v>
      </c>
      <c r="F3548" s="0" t="n">
        <f aca="false">-1+B3548*0.25</f>
        <v>0.75</v>
      </c>
      <c r="G3548" s="0" t="n">
        <f aca="false">-1+C3548*0.25</f>
        <v>0.5</v>
      </c>
      <c r="H3548" s="0" t="n">
        <f aca="false">-1+D3548*0.25</f>
        <v>0.5</v>
      </c>
      <c r="I3548" s="0" t="n">
        <f aca="false">1</f>
        <v>1</v>
      </c>
      <c r="J3548" s="0" t="n">
        <f aca="false">E3548</f>
        <v>0</v>
      </c>
      <c r="K3548" s="0" t="n">
        <f aca="false">F3548</f>
        <v>0.75</v>
      </c>
      <c r="L3548" s="0" t="n">
        <f aca="false">G3548</f>
        <v>0.5</v>
      </c>
      <c r="M3548" s="0" t="n">
        <f aca="false">H3548</f>
        <v>0.5</v>
      </c>
      <c r="N3548" s="0" t="n">
        <f aca="false">E3548*F3548</f>
        <v>0</v>
      </c>
      <c r="O3548" s="0" t="n">
        <f aca="false">E3548*G3548</f>
        <v>0</v>
      </c>
      <c r="P3548" s="0" t="n">
        <f aca="false">E3548*H3548</f>
        <v>0</v>
      </c>
      <c r="Q3548" s="0" t="n">
        <f aca="false">F3548*G3548</f>
        <v>0.375</v>
      </c>
      <c r="R3548" s="0" t="n">
        <f aca="false">F3548*H3548</f>
        <v>0.375</v>
      </c>
      <c r="S3548" s="0" t="n">
        <f aca="false">G3548*H3548</f>
        <v>0.25</v>
      </c>
      <c r="T3548" s="0" t="n">
        <f aca="false">E3548*E3548</f>
        <v>0</v>
      </c>
      <c r="U3548" s="0" t="n">
        <f aca="false">F3548*F3548</f>
        <v>0.5625</v>
      </c>
      <c r="V3548" s="0" t="n">
        <f aca="false">G3548*G3548</f>
        <v>0.25</v>
      </c>
      <c r="W3548" s="0" t="n">
        <f aca="false">H3548*H3548</f>
        <v>0.25</v>
      </c>
      <c r="X3548" s="0" t="n">
        <f aca="false">SUMPRODUCT(I3548:W3548,_XtX!$B$96:$P$96)</f>
        <v>48.563687865497</v>
      </c>
      <c r="Y3548" s="0" t="n">
        <f aca="false">SUMPRODUCT(MMULT(I3548:W3548,_XtX!$B$78:$P$92),I3548:W3548)</f>
        <v>0.21305052997076</v>
      </c>
      <c r="Z3548" s="0" t="n">
        <f aca="false">04_回帰ANOVA!$K$19*04_回帰ANOVA!$K$14*SQRT(1+Y3548)</f>
        <v>1.43561450835061</v>
      </c>
      <c r="AA3548" s="0" t="n">
        <f aca="false">X3548-Z3548</f>
        <v>47.1280733571464</v>
      </c>
      <c r="AB3548" s="0" t="n">
        <f aca="false">X3548+Z3548</f>
        <v>49.9993023738476</v>
      </c>
      <c r="AC3548" s="54" t="b">
        <f aca="false">AND(E3548&gt;=01_因子設定!$L$5-0.000000001,E3548&lt;=01_因子設定!$M$5+0.000000001,F3548&gt;=01_因子設定!$L$6-0.000000001,F3548&lt;=01_因子設定!$M$6+0.000000001,G3548&gt;=01_因子設定!$L$7-0.000000001,G3548&lt;=01_因子設定!$M$7+0.000000001,H3548&gt;=01_因子設定!$L$8-0.000000001,H3548&lt;=01_因子設定!$M$8+0.000000001,IF(01_因子設定!$B$20="Box-Behnken",E3548^2+F3548^2+G3548^2+H3548^2&lt;=2+0.000000001,TRUE()))</f>
        <v>1</v>
      </c>
      <c r="AD3548" s="55" t="n">
        <f aca="false">IF(AC3548,IF(01_因子設定!$B$13="最大化",AA3548-01_因子設定!$B$14,IF(01_因子設定!$B$13="最小化",01_因子設定!$B$15-AB3548,MIN(AA3548-01_因子設定!$B$14,01_因子設定!$B$15-AB3548))),-1E+030)</f>
        <v>0.628073357146413</v>
      </c>
      <c r="AE3548" s="55" t="n">
        <f aca="false">IF(AC3548,IF(01_因子設定!$B$13="最大化",X3548,IF(01_因子設定!$B$13="最小化",-X3548,-ABS(X3548-01_因子設定!$B$16))),-1E+030)</f>
        <v>48.563687865497</v>
      </c>
      <c r="AF3548" s="55" t="n">
        <f aca="false">AD3548+ROW()*0.000000001</f>
        <v>0.628076905146413</v>
      </c>
      <c r="AG3548" s="55" t="n">
        <f aca="false">AE3548+ROW()*0.000000001</f>
        <v>48.563691413497</v>
      </c>
    </row>
    <row r="3549" customFormat="false" ht="15" hidden="false" customHeight="false" outlineLevel="0" collapsed="false">
      <c r="A3549" s="0" t="n">
        <v>4</v>
      </c>
      <c r="B3549" s="0" t="n">
        <v>7</v>
      </c>
      <c r="C3549" s="0" t="n">
        <v>6</v>
      </c>
      <c r="D3549" s="0" t="n">
        <v>7</v>
      </c>
      <c r="E3549" s="0" t="n">
        <f aca="false">-1+A3549*0.25</f>
        <v>0</v>
      </c>
      <c r="F3549" s="0" t="n">
        <f aca="false">-1+B3549*0.25</f>
        <v>0.75</v>
      </c>
      <c r="G3549" s="0" t="n">
        <f aca="false">-1+C3549*0.25</f>
        <v>0.5</v>
      </c>
      <c r="H3549" s="0" t="n">
        <f aca="false">-1+D3549*0.25</f>
        <v>0.75</v>
      </c>
      <c r="I3549" s="0" t="n">
        <f aca="false">1</f>
        <v>1</v>
      </c>
      <c r="J3549" s="0" t="n">
        <f aca="false">E3549</f>
        <v>0</v>
      </c>
      <c r="K3549" s="0" t="n">
        <f aca="false">F3549</f>
        <v>0.75</v>
      </c>
      <c r="L3549" s="0" t="n">
        <f aca="false">G3549</f>
        <v>0.5</v>
      </c>
      <c r="M3549" s="0" t="n">
        <f aca="false">H3549</f>
        <v>0.75</v>
      </c>
      <c r="N3549" s="0" t="n">
        <f aca="false">E3549*F3549</f>
        <v>0</v>
      </c>
      <c r="O3549" s="0" t="n">
        <f aca="false">E3549*G3549</f>
        <v>0</v>
      </c>
      <c r="P3549" s="0" t="n">
        <f aca="false">E3549*H3549</f>
        <v>0</v>
      </c>
      <c r="Q3549" s="0" t="n">
        <f aca="false">F3549*G3549</f>
        <v>0.375</v>
      </c>
      <c r="R3549" s="0" t="n">
        <f aca="false">F3549*H3549</f>
        <v>0.5625</v>
      </c>
      <c r="S3549" s="0" t="n">
        <f aca="false">G3549*H3549</f>
        <v>0.375</v>
      </c>
      <c r="T3549" s="0" t="n">
        <f aca="false">E3549*E3549</f>
        <v>0</v>
      </c>
      <c r="U3549" s="0" t="n">
        <f aca="false">F3549*F3549</f>
        <v>0.5625</v>
      </c>
      <c r="V3549" s="0" t="n">
        <f aca="false">G3549*G3549</f>
        <v>0.25</v>
      </c>
      <c r="W3549" s="0" t="n">
        <f aca="false">H3549*H3549</f>
        <v>0.5625</v>
      </c>
      <c r="X3549" s="0" t="n">
        <f aca="false">SUMPRODUCT(I3549:W3549,_XtX!$B$96:$P$96)</f>
        <v>48.5416529605263</v>
      </c>
      <c r="Y3549" s="0" t="n">
        <f aca="false">SUMPRODUCT(MMULT(I3549:W3549,_XtX!$B$78:$P$92),I3549:W3549)</f>
        <v>0.269923873812135</v>
      </c>
      <c r="Z3549" s="0" t="n">
        <f aca="false">04_回帰ANOVA!$K$19*04_回帰ANOVA!$K$14*SQRT(1+Y3549)</f>
        <v>1.46888310825501</v>
      </c>
      <c r="AA3549" s="0" t="n">
        <f aca="false">X3549-Z3549</f>
        <v>47.0727698522713</v>
      </c>
      <c r="AB3549" s="0" t="n">
        <f aca="false">X3549+Z3549</f>
        <v>50.0105360687813</v>
      </c>
      <c r="AC3549" s="54" t="b">
        <f aca="false">AND(E3549&gt;=01_因子設定!$L$5-0.000000001,E3549&lt;=01_因子設定!$M$5+0.000000001,F3549&gt;=01_因子設定!$L$6-0.000000001,F3549&lt;=01_因子設定!$M$6+0.000000001,G3549&gt;=01_因子設定!$L$7-0.000000001,G3549&lt;=01_因子設定!$M$7+0.000000001,H3549&gt;=01_因子設定!$L$8-0.000000001,H3549&lt;=01_因子設定!$M$8+0.000000001,IF(01_因子設定!$B$20="Box-Behnken",E3549^2+F3549^2+G3549^2+H3549^2&lt;=2+0.000000001,TRUE()))</f>
        <v>1</v>
      </c>
      <c r="AD3549" s="55" t="n">
        <f aca="false">IF(AC3549,IF(01_因子設定!$B$13="最大化",AA3549-01_因子設定!$B$14,IF(01_因子設定!$B$13="最小化",01_因子設定!$B$15-AB3549,MIN(AA3549-01_因子設定!$B$14,01_因子設定!$B$15-AB3549))),-1E+030)</f>
        <v>0.572769852271264</v>
      </c>
      <c r="AE3549" s="55" t="n">
        <f aca="false">IF(AC3549,IF(01_因子設定!$B$13="最大化",X3549,IF(01_因子設定!$B$13="最小化",-X3549,-ABS(X3549-01_因子設定!$B$16))),-1E+030)</f>
        <v>48.5416529605263</v>
      </c>
      <c r="AF3549" s="55" t="n">
        <f aca="false">AD3549+ROW()*0.000000001</f>
        <v>0.572773401271264</v>
      </c>
      <c r="AG3549" s="55" t="n">
        <f aca="false">AE3549+ROW()*0.000000001</f>
        <v>48.5416565095263</v>
      </c>
    </row>
    <row r="3550" customFormat="false" ht="15" hidden="false" customHeight="false" outlineLevel="0" collapsed="false">
      <c r="A3550" s="0" t="n">
        <v>4</v>
      </c>
      <c r="B3550" s="0" t="n">
        <v>7</v>
      </c>
      <c r="C3550" s="0" t="n">
        <v>6</v>
      </c>
      <c r="D3550" s="0" t="n">
        <v>8</v>
      </c>
      <c r="E3550" s="0" t="n">
        <f aca="false">-1+A3550*0.25</f>
        <v>0</v>
      </c>
      <c r="F3550" s="0" t="n">
        <f aca="false">-1+B3550*0.25</f>
        <v>0.75</v>
      </c>
      <c r="G3550" s="0" t="n">
        <f aca="false">-1+C3550*0.25</f>
        <v>0.5</v>
      </c>
      <c r="H3550" s="0" t="n">
        <f aca="false">-1+D3550*0.25</f>
        <v>1</v>
      </c>
      <c r="I3550" s="0" t="n">
        <f aca="false">1</f>
        <v>1</v>
      </c>
      <c r="J3550" s="0" t="n">
        <f aca="false">E3550</f>
        <v>0</v>
      </c>
      <c r="K3550" s="0" t="n">
        <f aca="false">F3550</f>
        <v>0.75</v>
      </c>
      <c r="L3550" s="0" t="n">
        <f aca="false">G3550</f>
        <v>0.5</v>
      </c>
      <c r="M3550" s="0" t="n">
        <f aca="false">H3550</f>
        <v>1</v>
      </c>
      <c r="N3550" s="0" t="n">
        <f aca="false">E3550*F3550</f>
        <v>0</v>
      </c>
      <c r="O3550" s="0" t="n">
        <f aca="false">E3550*G3550</f>
        <v>0</v>
      </c>
      <c r="P3550" s="0" t="n">
        <f aca="false">E3550*H3550</f>
        <v>0</v>
      </c>
      <c r="Q3550" s="0" t="n">
        <f aca="false">F3550*G3550</f>
        <v>0.375</v>
      </c>
      <c r="R3550" s="0" t="n">
        <f aca="false">F3550*H3550</f>
        <v>0.75</v>
      </c>
      <c r="S3550" s="0" t="n">
        <f aca="false">G3550*H3550</f>
        <v>0.5</v>
      </c>
      <c r="T3550" s="0" t="n">
        <f aca="false">E3550*E3550</f>
        <v>0</v>
      </c>
      <c r="U3550" s="0" t="n">
        <f aca="false">F3550*F3550</f>
        <v>0.5625</v>
      </c>
      <c r="V3550" s="0" t="n">
        <f aca="false">G3550*G3550</f>
        <v>0.25</v>
      </c>
      <c r="W3550" s="0" t="n">
        <f aca="false">H3550*H3550</f>
        <v>1</v>
      </c>
      <c r="X3550" s="0" t="n">
        <f aca="false">SUMPRODUCT(I3550:W3550,_XtX!$B$96:$P$96)</f>
        <v>48.4718110380117</v>
      </c>
      <c r="Y3550" s="0" t="n">
        <f aca="false">SUMPRODUCT(MMULT(I3550:W3550,_XtX!$B$78:$P$92),I3550:W3550)</f>
        <v>0.476191292032164</v>
      </c>
      <c r="Z3550" s="0" t="n">
        <f aca="false">04_回帰ANOVA!$K$19*04_回帰ANOVA!$K$14*SQRT(1+Y3550)</f>
        <v>1.58368831471718</v>
      </c>
      <c r="AA3550" s="0" t="n">
        <f aca="false">X3550-Z3550</f>
        <v>46.8881227232945</v>
      </c>
      <c r="AB3550" s="0" t="n">
        <f aca="false">X3550+Z3550</f>
        <v>50.0554993527288</v>
      </c>
      <c r="AC3550" s="54" t="b">
        <f aca="false">AND(E3550&gt;=01_因子設定!$L$5-0.000000001,E3550&lt;=01_因子設定!$M$5+0.000000001,F3550&gt;=01_因子設定!$L$6-0.000000001,F3550&lt;=01_因子設定!$M$6+0.000000001,G3550&gt;=01_因子設定!$L$7-0.000000001,G3550&lt;=01_因子設定!$M$7+0.000000001,H3550&gt;=01_因子設定!$L$8-0.000000001,H3550&lt;=01_因子設定!$M$8+0.000000001,IF(01_因子設定!$B$20="Box-Behnken",E3550^2+F3550^2+G3550^2+H3550^2&lt;=2+0.000000001,TRUE()))</f>
        <v>1</v>
      </c>
      <c r="AD3550" s="55" t="n">
        <f aca="false">IF(AC3550,IF(01_因子設定!$B$13="最大化",AA3550-01_因子設定!$B$14,IF(01_因子設定!$B$13="最小化",01_因子設定!$B$15-AB3550,MIN(AA3550-01_因子設定!$B$14,01_因子設定!$B$15-AB3550))),-1E+030)</f>
        <v>0.388122723294487</v>
      </c>
      <c r="AE3550" s="55" t="n">
        <f aca="false">IF(AC3550,IF(01_因子設定!$B$13="最大化",X3550,IF(01_因子設定!$B$13="最小化",-X3550,-ABS(X3550-01_因子設定!$B$16))),-1E+030)</f>
        <v>48.4718110380117</v>
      </c>
      <c r="AF3550" s="55" t="n">
        <f aca="false">AD3550+ROW()*0.000000001</f>
        <v>0.388126273294487</v>
      </c>
      <c r="AG3550" s="55" t="n">
        <f aca="false">AE3550+ROW()*0.000000001</f>
        <v>48.4718145880117</v>
      </c>
    </row>
    <row r="3551" customFormat="false" ht="15" hidden="false" customHeight="false" outlineLevel="0" collapsed="false">
      <c r="A3551" s="0" t="n">
        <v>4</v>
      </c>
      <c r="B3551" s="0" t="n">
        <v>7</v>
      </c>
      <c r="C3551" s="0" t="n">
        <v>7</v>
      </c>
      <c r="D3551" s="0" t="n">
        <v>0</v>
      </c>
      <c r="E3551" s="0" t="n">
        <f aca="false">-1+A3551*0.25</f>
        <v>0</v>
      </c>
      <c r="F3551" s="0" t="n">
        <f aca="false">-1+B3551*0.25</f>
        <v>0.75</v>
      </c>
      <c r="G3551" s="0" t="n">
        <f aca="false">-1+C3551*0.25</f>
        <v>0.75</v>
      </c>
      <c r="H3551" s="0" t="n">
        <f aca="false">-1+D3551*0.25</f>
        <v>-1</v>
      </c>
      <c r="I3551" s="0" t="n">
        <f aca="false">1</f>
        <v>1</v>
      </c>
      <c r="J3551" s="0" t="n">
        <f aca="false">E3551</f>
        <v>0</v>
      </c>
      <c r="K3551" s="0" t="n">
        <f aca="false">F3551</f>
        <v>0.75</v>
      </c>
      <c r="L3551" s="0" t="n">
        <f aca="false">G3551</f>
        <v>0.75</v>
      </c>
      <c r="M3551" s="0" t="n">
        <f aca="false">H3551</f>
        <v>-1</v>
      </c>
      <c r="N3551" s="0" t="n">
        <f aca="false">E3551*F3551</f>
        <v>0</v>
      </c>
      <c r="O3551" s="0" t="n">
        <f aca="false">E3551*G3551</f>
        <v>0</v>
      </c>
      <c r="P3551" s="0" t="n">
        <f aca="false">E3551*H3551</f>
        <v>-0</v>
      </c>
      <c r="Q3551" s="0" t="n">
        <f aca="false">F3551*G3551</f>
        <v>0.5625</v>
      </c>
      <c r="R3551" s="0" t="n">
        <f aca="false">F3551*H3551</f>
        <v>-0.75</v>
      </c>
      <c r="S3551" s="0" t="n">
        <f aca="false">G3551*H3551</f>
        <v>-0.75</v>
      </c>
      <c r="T3551" s="0" t="n">
        <f aca="false">E3551*E3551</f>
        <v>0</v>
      </c>
      <c r="U3551" s="0" t="n">
        <f aca="false">F3551*F3551</f>
        <v>0.5625</v>
      </c>
      <c r="V3551" s="0" t="n">
        <f aca="false">G3551*G3551</f>
        <v>0.5625</v>
      </c>
      <c r="W3551" s="0" t="n">
        <f aca="false">H3551*H3551</f>
        <v>1</v>
      </c>
      <c r="X3551" s="0" t="n">
        <f aca="false">SUMPRODUCT(I3551:W3551,_XtX!$B$96:$P$96)</f>
        <v>47.7112344663742</v>
      </c>
      <c r="Y3551" s="0" t="n">
        <f aca="false">SUMPRODUCT(MMULT(I3551:W3551,_XtX!$B$78:$P$92),I3551:W3551)</f>
        <v>0.494259126005117</v>
      </c>
      <c r="Z3551" s="0" t="n">
        <f aca="false">04_回帰ANOVA!$K$19*04_回帰ANOVA!$K$14*SQRT(1+Y3551)</f>
        <v>1.59335061078203</v>
      </c>
      <c r="AA3551" s="0" t="n">
        <f aca="false">X3551-Z3551</f>
        <v>46.1178838555922</v>
      </c>
      <c r="AB3551" s="0" t="n">
        <f aca="false">X3551+Z3551</f>
        <v>49.3045850771563</v>
      </c>
      <c r="AC3551" s="54" t="b">
        <f aca="false">AND(E3551&gt;=01_因子設定!$L$5-0.000000001,E3551&lt;=01_因子設定!$M$5+0.000000001,F3551&gt;=01_因子設定!$L$6-0.000000001,F3551&lt;=01_因子設定!$M$6+0.000000001,G3551&gt;=01_因子設定!$L$7-0.000000001,G3551&lt;=01_因子設定!$M$7+0.000000001,H3551&gt;=01_因子設定!$L$8-0.000000001,H3551&lt;=01_因子設定!$M$8+0.000000001,IF(01_因子設定!$B$20="Box-Behnken",E3551^2+F3551^2+G3551^2+H3551^2&lt;=2+0.000000001,TRUE()))</f>
        <v>1</v>
      </c>
      <c r="AD3551" s="55" t="n">
        <f aca="false">IF(AC3551,IF(01_因子設定!$B$13="最大化",AA3551-01_因子設定!$B$14,IF(01_因子設定!$B$13="最小化",01_因子設定!$B$15-AB3551,MIN(AA3551-01_因子設定!$B$14,01_因子設定!$B$15-AB3551))),-1E+030)</f>
        <v>-0.382116144407782</v>
      </c>
      <c r="AE3551" s="55" t="n">
        <f aca="false">IF(AC3551,IF(01_因子設定!$B$13="最大化",X3551,IF(01_因子設定!$B$13="最小化",-X3551,-ABS(X3551-01_因子設定!$B$16))),-1E+030)</f>
        <v>47.7112344663742</v>
      </c>
      <c r="AF3551" s="55" t="n">
        <f aca="false">AD3551+ROW()*0.000000001</f>
        <v>-0.382112593407782</v>
      </c>
      <c r="AG3551" s="55" t="n">
        <f aca="false">AE3551+ROW()*0.000000001</f>
        <v>47.7112380173742</v>
      </c>
    </row>
    <row r="3552" customFormat="false" ht="15" hidden="false" customHeight="false" outlineLevel="0" collapsed="false">
      <c r="A3552" s="0" t="n">
        <v>4</v>
      </c>
      <c r="B3552" s="0" t="n">
        <v>7</v>
      </c>
      <c r="C3552" s="0" t="n">
        <v>7</v>
      </c>
      <c r="D3552" s="0" t="n">
        <v>1</v>
      </c>
      <c r="E3552" s="0" t="n">
        <f aca="false">-1+A3552*0.25</f>
        <v>0</v>
      </c>
      <c r="F3552" s="0" t="n">
        <f aca="false">-1+B3552*0.25</f>
        <v>0.75</v>
      </c>
      <c r="G3552" s="0" t="n">
        <f aca="false">-1+C3552*0.25</f>
        <v>0.75</v>
      </c>
      <c r="H3552" s="0" t="n">
        <f aca="false">-1+D3552*0.25</f>
        <v>-0.75</v>
      </c>
      <c r="I3552" s="0" t="n">
        <f aca="false">1</f>
        <v>1</v>
      </c>
      <c r="J3552" s="0" t="n">
        <f aca="false">E3552</f>
        <v>0</v>
      </c>
      <c r="K3552" s="0" t="n">
        <f aca="false">F3552</f>
        <v>0.75</v>
      </c>
      <c r="L3552" s="0" t="n">
        <f aca="false">G3552</f>
        <v>0.75</v>
      </c>
      <c r="M3552" s="0" t="n">
        <f aca="false">H3552</f>
        <v>-0.75</v>
      </c>
      <c r="N3552" s="0" t="n">
        <f aca="false">E3552*F3552</f>
        <v>0</v>
      </c>
      <c r="O3552" s="0" t="n">
        <f aca="false">E3552*G3552</f>
        <v>0</v>
      </c>
      <c r="P3552" s="0" t="n">
        <f aca="false">E3552*H3552</f>
        <v>-0</v>
      </c>
      <c r="Q3552" s="0" t="n">
        <f aca="false">F3552*G3552</f>
        <v>0.5625</v>
      </c>
      <c r="R3552" s="0" t="n">
        <f aca="false">F3552*H3552</f>
        <v>-0.5625</v>
      </c>
      <c r="S3552" s="0" t="n">
        <f aca="false">G3552*H3552</f>
        <v>-0.5625</v>
      </c>
      <c r="T3552" s="0" t="n">
        <f aca="false">E3552*E3552</f>
        <v>0</v>
      </c>
      <c r="U3552" s="0" t="n">
        <f aca="false">F3552*F3552</f>
        <v>0.5625</v>
      </c>
      <c r="V3552" s="0" t="n">
        <f aca="false">G3552*G3552</f>
        <v>0.5625</v>
      </c>
      <c r="W3552" s="0" t="n">
        <f aca="false">H3552*H3552</f>
        <v>0.5625</v>
      </c>
      <c r="X3552" s="0" t="n">
        <f aca="false">SUMPRODUCT(I3552:W3552,_XtX!$B$96:$P$96)</f>
        <v>47.9940104166666</v>
      </c>
      <c r="Y3552" s="0" t="n">
        <f aca="false">SUMPRODUCT(MMULT(I3552:W3552,_XtX!$B$78:$P$92),I3552:W3552)</f>
        <v>0.310628255208333</v>
      </c>
      <c r="Z3552" s="0" t="n">
        <f aca="false">04_回帰ANOVA!$K$19*04_回帰ANOVA!$K$14*SQRT(1+Y3552)</f>
        <v>1.49223820892344</v>
      </c>
      <c r="AA3552" s="0" t="n">
        <f aca="false">X3552-Z3552</f>
        <v>46.5017722077432</v>
      </c>
      <c r="AB3552" s="0" t="n">
        <f aca="false">X3552+Z3552</f>
        <v>49.4862486255901</v>
      </c>
      <c r="AC3552" s="54" t="b">
        <f aca="false">AND(E3552&gt;=01_因子設定!$L$5-0.000000001,E3552&lt;=01_因子設定!$M$5+0.000000001,F3552&gt;=01_因子設定!$L$6-0.000000001,F3552&lt;=01_因子設定!$M$6+0.000000001,G3552&gt;=01_因子設定!$L$7-0.000000001,G3552&lt;=01_因子設定!$M$7+0.000000001,H3552&gt;=01_因子設定!$L$8-0.000000001,H3552&lt;=01_因子設定!$M$8+0.000000001,IF(01_因子設定!$B$20="Box-Behnken",E3552^2+F3552^2+G3552^2+H3552^2&lt;=2+0.000000001,TRUE()))</f>
        <v>1</v>
      </c>
      <c r="AD3552" s="55" t="n">
        <f aca="false">IF(AC3552,IF(01_因子設定!$B$13="最大化",AA3552-01_因子設定!$B$14,IF(01_因子設定!$B$13="最小化",01_因子設定!$B$15-AB3552,MIN(AA3552-01_因子設定!$B$14,01_因子設定!$B$15-AB3552))),-1E+030)</f>
        <v>0.00177220774318698</v>
      </c>
      <c r="AE3552" s="55" t="n">
        <f aca="false">IF(AC3552,IF(01_因子設定!$B$13="最大化",X3552,IF(01_因子設定!$B$13="最小化",-X3552,-ABS(X3552-01_因子設定!$B$16))),-1E+030)</f>
        <v>47.9940104166666</v>
      </c>
      <c r="AF3552" s="55" t="n">
        <f aca="false">AD3552+ROW()*0.000000001</f>
        <v>0.00177575974318698</v>
      </c>
      <c r="AG3552" s="55" t="n">
        <f aca="false">AE3552+ROW()*0.000000001</f>
        <v>47.9940139686666</v>
      </c>
    </row>
    <row r="3553" customFormat="false" ht="15" hidden="false" customHeight="false" outlineLevel="0" collapsed="false">
      <c r="A3553" s="0" t="n">
        <v>4</v>
      </c>
      <c r="B3553" s="0" t="n">
        <v>7</v>
      </c>
      <c r="C3553" s="0" t="n">
        <v>7</v>
      </c>
      <c r="D3553" s="0" t="n">
        <v>2</v>
      </c>
      <c r="E3553" s="0" t="n">
        <f aca="false">-1+A3553*0.25</f>
        <v>0</v>
      </c>
      <c r="F3553" s="0" t="n">
        <f aca="false">-1+B3553*0.25</f>
        <v>0.75</v>
      </c>
      <c r="G3553" s="0" t="n">
        <f aca="false">-1+C3553*0.25</f>
        <v>0.75</v>
      </c>
      <c r="H3553" s="0" t="n">
        <f aca="false">-1+D3553*0.25</f>
        <v>-0.5</v>
      </c>
      <c r="I3553" s="0" t="n">
        <f aca="false">1</f>
        <v>1</v>
      </c>
      <c r="J3553" s="0" t="n">
        <f aca="false">E3553</f>
        <v>0</v>
      </c>
      <c r="K3553" s="0" t="n">
        <f aca="false">F3553</f>
        <v>0.75</v>
      </c>
      <c r="L3553" s="0" t="n">
        <f aca="false">G3553</f>
        <v>0.75</v>
      </c>
      <c r="M3553" s="0" t="n">
        <f aca="false">H3553</f>
        <v>-0.5</v>
      </c>
      <c r="N3553" s="0" t="n">
        <f aca="false">E3553*F3553</f>
        <v>0</v>
      </c>
      <c r="O3553" s="0" t="n">
        <f aca="false">E3553*G3553</f>
        <v>0</v>
      </c>
      <c r="P3553" s="0" t="n">
        <f aca="false">E3553*H3553</f>
        <v>-0</v>
      </c>
      <c r="Q3553" s="0" t="n">
        <f aca="false">F3553*G3553</f>
        <v>0.5625</v>
      </c>
      <c r="R3553" s="0" t="n">
        <f aca="false">F3553*H3553</f>
        <v>-0.375</v>
      </c>
      <c r="S3553" s="0" t="n">
        <f aca="false">G3553*H3553</f>
        <v>-0.375</v>
      </c>
      <c r="T3553" s="0" t="n">
        <f aca="false">E3553*E3553</f>
        <v>0</v>
      </c>
      <c r="U3553" s="0" t="n">
        <f aca="false">F3553*F3553</f>
        <v>0.5625</v>
      </c>
      <c r="V3553" s="0" t="n">
        <f aca="false">G3553*G3553</f>
        <v>0.5625</v>
      </c>
      <c r="W3553" s="0" t="n">
        <f aca="false">H3553*H3553</f>
        <v>0.25</v>
      </c>
      <c r="X3553" s="0" t="n">
        <f aca="false">SUMPRODUCT(I3553:W3553,_XtX!$B$96:$P$96)</f>
        <v>48.2289793494152</v>
      </c>
      <c r="Y3553" s="0" t="n">
        <f aca="false">SUMPRODUCT(MMULT(I3553:W3553,_XtX!$B$78:$P$92),I3553:W3553)</f>
        <v>0.269923873812135</v>
      </c>
      <c r="Z3553" s="0" t="n">
        <f aca="false">04_回帰ANOVA!$K$19*04_回帰ANOVA!$K$14*SQRT(1+Y3553)</f>
        <v>1.46888310825501</v>
      </c>
      <c r="AA3553" s="0" t="n">
        <f aca="false">X3553-Z3553</f>
        <v>46.7600962411601</v>
      </c>
      <c r="AB3553" s="0" t="n">
        <f aca="false">X3553+Z3553</f>
        <v>49.6978624576702</v>
      </c>
      <c r="AC3553" s="54" t="b">
        <f aca="false">AND(E3553&gt;=01_因子設定!$L$5-0.000000001,E3553&lt;=01_因子設定!$M$5+0.000000001,F3553&gt;=01_因子設定!$L$6-0.000000001,F3553&lt;=01_因子設定!$M$6+0.000000001,G3553&gt;=01_因子設定!$L$7-0.000000001,G3553&lt;=01_因子設定!$M$7+0.000000001,H3553&gt;=01_因子設定!$L$8-0.000000001,H3553&lt;=01_因子設定!$M$8+0.000000001,IF(01_因子設定!$B$20="Box-Behnken",E3553^2+F3553^2+G3553^2+H3553^2&lt;=2+0.000000001,TRUE()))</f>
        <v>1</v>
      </c>
      <c r="AD3553" s="55" t="n">
        <f aca="false">IF(AC3553,IF(01_因子設定!$B$13="最大化",AA3553-01_因子設定!$B$14,IF(01_因子設定!$B$13="最小化",01_因子設定!$B$15-AB3553,MIN(AA3553-01_因子設定!$B$14,01_因子設定!$B$15-AB3553))),-1E+030)</f>
        <v>0.260096241160142</v>
      </c>
      <c r="AE3553" s="55" t="n">
        <f aca="false">IF(AC3553,IF(01_因子設定!$B$13="最大化",X3553,IF(01_因子設定!$B$13="最小化",-X3553,-ABS(X3553-01_因子設定!$B$16))),-1E+030)</f>
        <v>48.2289793494152</v>
      </c>
      <c r="AF3553" s="55" t="n">
        <f aca="false">AD3553+ROW()*0.000000001</f>
        <v>0.260099794160142</v>
      </c>
      <c r="AG3553" s="55" t="n">
        <f aca="false">AE3553+ROW()*0.000000001</f>
        <v>48.2289829024152</v>
      </c>
    </row>
    <row r="3554" customFormat="false" ht="15" hidden="false" customHeight="false" outlineLevel="0" collapsed="false">
      <c r="A3554" s="0" t="n">
        <v>4</v>
      </c>
      <c r="B3554" s="0" t="n">
        <v>7</v>
      </c>
      <c r="C3554" s="0" t="n">
        <v>7</v>
      </c>
      <c r="D3554" s="0" t="n">
        <v>3</v>
      </c>
      <c r="E3554" s="0" t="n">
        <f aca="false">-1+A3554*0.25</f>
        <v>0</v>
      </c>
      <c r="F3554" s="0" t="n">
        <f aca="false">-1+B3554*0.25</f>
        <v>0.75</v>
      </c>
      <c r="G3554" s="0" t="n">
        <f aca="false">-1+C3554*0.25</f>
        <v>0.75</v>
      </c>
      <c r="H3554" s="0" t="n">
        <f aca="false">-1+D3554*0.25</f>
        <v>-0.25</v>
      </c>
      <c r="I3554" s="0" t="n">
        <f aca="false">1</f>
        <v>1</v>
      </c>
      <c r="J3554" s="0" t="n">
        <f aca="false">E3554</f>
        <v>0</v>
      </c>
      <c r="K3554" s="0" t="n">
        <f aca="false">F3554</f>
        <v>0.75</v>
      </c>
      <c r="L3554" s="0" t="n">
        <f aca="false">G3554</f>
        <v>0.75</v>
      </c>
      <c r="M3554" s="0" t="n">
        <f aca="false">H3554</f>
        <v>-0.25</v>
      </c>
      <c r="N3554" s="0" t="n">
        <f aca="false">E3554*F3554</f>
        <v>0</v>
      </c>
      <c r="O3554" s="0" t="n">
        <f aca="false">E3554*G3554</f>
        <v>0</v>
      </c>
      <c r="P3554" s="0" t="n">
        <f aca="false">E3554*H3554</f>
        <v>-0</v>
      </c>
      <c r="Q3554" s="0" t="n">
        <f aca="false">F3554*G3554</f>
        <v>0.5625</v>
      </c>
      <c r="R3554" s="0" t="n">
        <f aca="false">F3554*H3554</f>
        <v>-0.1875</v>
      </c>
      <c r="S3554" s="0" t="n">
        <f aca="false">G3554*H3554</f>
        <v>-0.1875</v>
      </c>
      <c r="T3554" s="0" t="n">
        <f aca="false">E3554*E3554</f>
        <v>0</v>
      </c>
      <c r="U3554" s="0" t="n">
        <f aca="false">F3554*F3554</f>
        <v>0.5625</v>
      </c>
      <c r="V3554" s="0" t="n">
        <f aca="false">G3554*G3554</f>
        <v>0.5625</v>
      </c>
      <c r="W3554" s="0" t="n">
        <f aca="false">H3554*H3554</f>
        <v>0.0625</v>
      </c>
      <c r="X3554" s="0" t="n">
        <f aca="false">SUMPRODUCT(I3554:W3554,_XtX!$B$96:$P$96)</f>
        <v>48.4161412646198</v>
      </c>
      <c r="Y3554" s="0" t="n">
        <f aca="false">SUMPRODUCT(MMULT(I3554:W3554,_XtX!$B$78:$P$92),I3554:W3554)</f>
        <v>0.281685455500731</v>
      </c>
      <c r="Z3554" s="0" t="n">
        <f aca="false">04_回帰ANOVA!$K$19*04_回帰ANOVA!$K$14*SQRT(1+Y3554)</f>
        <v>1.47566956658694</v>
      </c>
      <c r="AA3554" s="0" t="n">
        <f aca="false">X3554-Z3554</f>
        <v>46.9404716980329</v>
      </c>
      <c r="AB3554" s="0" t="n">
        <f aca="false">X3554+Z3554</f>
        <v>49.8918108312068</v>
      </c>
      <c r="AC3554" s="54" t="b">
        <f aca="false">AND(E3554&gt;=01_因子設定!$L$5-0.000000001,E3554&lt;=01_因子設定!$M$5+0.000000001,F3554&gt;=01_因子設定!$L$6-0.000000001,F3554&lt;=01_因子設定!$M$6+0.000000001,G3554&gt;=01_因子設定!$L$7-0.000000001,G3554&lt;=01_因子設定!$M$7+0.000000001,H3554&gt;=01_因子設定!$L$8-0.000000001,H3554&lt;=01_因子設定!$M$8+0.000000001,IF(01_因子設定!$B$20="Box-Behnken",E3554^2+F3554^2+G3554^2+H3554^2&lt;=2+0.000000001,TRUE()))</f>
        <v>1</v>
      </c>
      <c r="AD3554" s="55" t="n">
        <f aca="false">IF(AC3554,IF(01_因子設定!$B$13="最大化",AA3554-01_因子設定!$B$14,IF(01_因子設定!$B$13="最小化",01_因子設定!$B$15-AB3554,MIN(AA3554-01_因子設定!$B$14,01_因子設定!$B$15-AB3554))),-1E+030)</f>
        <v>0.440471698032887</v>
      </c>
      <c r="AE3554" s="55" t="n">
        <f aca="false">IF(AC3554,IF(01_因子設定!$B$13="最大化",X3554,IF(01_因子設定!$B$13="最小化",-X3554,-ABS(X3554-01_因子設定!$B$16))),-1E+030)</f>
        <v>48.4161412646198</v>
      </c>
      <c r="AF3554" s="55" t="n">
        <f aca="false">AD3554+ROW()*0.000000001</f>
        <v>0.440475252032887</v>
      </c>
      <c r="AG3554" s="55" t="n">
        <f aca="false">AE3554+ROW()*0.000000001</f>
        <v>48.4161448186198</v>
      </c>
    </row>
    <row r="3555" customFormat="false" ht="15" hidden="false" customHeight="false" outlineLevel="0" collapsed="false">
      <c r="A3555" s="0" t="n">
        <v>4</v>
      </c>
      <c r="B3555" s="0" t="n">
        <v>7</v>
      </c>
      <c r="C3555" s="0" t="n">
        <v>7</v>
      </c>
      <c r="D3555" s="0" t="n">
        <v>4</v>
      </c>
      <c r="E3555" s="0" t="n">
        <f aca="false">-1+A3555*0.25</f>
        <v>0</v>
      </c>
      <c r="F3555" s="0" t="n">
        <f aca="false">-1+B3555*0.25</f>
        <v>0.75</v>
      </c>
      <c r="G3555" s="0" t="n">
        <f aca="false">-1+C3555*0.25</f>
        <v>0.75</v>
      </c>
      <c r="H3555" s="0" t="n">
        <f aca="false">-1+D3555*0.25</f>
        <v>0</v>
      </c>
      <c r="I3555" s="0" t="n">
        <f aca="false">1</f>
        <v>1</v>
      </c>
      <c r="J3555" s="0" t="n">
        <f aca="false">E3555</f>
        <v>0</v>
      </c>
      <c r="K3555" s="0" t="n">
        <f aca="false">F3555</f>
        <v>0.75</v>
      </c>
      <c r="L3555" s="0" t="n">
        <f aca="false">G3555</f>
        <v>0.75</v>
      </c>
      <c r="M3555" s="0" t="n">
        <f aca="false">H3555</f>
        <v>0</v>
      </c>
      <c r="N3555" s="0" t="n">
        <f aca="false">E3555*F3555</f>
        <v>0</v>
      </c>
      <c r="O3555" s="0" t="n">
        <f aca="false">E3555*G3555</f>
        <v>0</v>
      </c>
      <c r="P3555" s="0" t="n">
        <f aca="false">E3555*H3555</f>
        <v>0</v>
      </c>
      <c r="Q3555" s="0" t="n">
        <f aca="false">F3555*G3555</f>
        <v>0.5625</v>
      </c>
      <c r="R3555" s="0" t="n">
        <f aca="false">F3555*H3555</f>
        <v>0</v>
      </c>
      <c r="S3555" s="0" t="n">
        <f aca="false">G3555*H3555</f>
        <v>0</v>
      </c>
      <c r="T3555" s="0" t="n">
        <f aca="false">E3555*E3555</f>
        <v>0</v>
      </c>
      <c r="U3555" s="0" t="n">
        <f aca="false">F3555*F3555</f>
        <v>0.5625</v>
      </c>
      <c r="V3555" s="0" t="n">
        <f aca="false">G3555*G3555</f>
        <v>0.5625</v>
      </c>
      <c r="W3555" s="0" t="n">
        <f aca="false">H3555*H3555</f>
        <v>0</v>
      </c>
      <c r="X3555" s="0" t="n">
        <f aca="false">SUMPRODUCT(I3555:W3555,_XtX!$B$96:$P$96)</f>
        <v>48.5554961622806</v>
      </c>
      <c r="Y3555" s="0" t="n">
        <f aca="false">SUMPRODUCT(MMULT(I3555:W3555,_XtX!$B$78:$P$92),I3555:W3555)</f>
        <v>0.291636684484649</v>
      </c>
      <c r="Z3555" s="0" t="n">
        <f aca="false">04_回帰ANOVA!$K$19*04_回帰ANOVA!$K$14*SQRT(1+Y3555)</f>
        <v>1.48138716762813</v>
      </c>
      <c r="AA3555" s="0" t="n">
        <f aca="false">X3555-Z3555</f>
        <v>47.0741089946525</v>
      </c>
      <c r="AB3555" s="0" t="n">
        <f aca="false">X3555+Z3555</f>
        <v>50.0368833299088</v>
      </c>
      <c r="AC3555" s="54" t="b">
        <f aca="false">AND(E3555&gt;=01_因子設定!$L$5-0.000000001,E3555&lt;=01_因子設定!$M$5+0.000000001,F3555&gt;=01_因子設定!$L$6-0.000000001,F3555&lt;=01_因子設定!$M$6+0.000000001,G3555&gt;=01_因子設定!$L$7-0.000000001,G3555&lt;=01_因子設定!$M$7+0.000000001,H3555&gt;=01_因子設定!$L$8-0.000000001,H3555&lt;=01_因子設定!$M$8+0.000000001,IF(01_因子設定!$B$20="Box-Behnken",E3555^2+F3555^2+G3555^2+H3555^2&lt;=2+0.000000001,TRUE()))</f>
        <v>1</v>
      </c>
      <c r="AD3555" s="55" t="n">
        <f aca="false">IF(AC3555,IF(01_因子設定!$B$13="最大化",AA3555-01_因子設定!$B$14,IF(01_因子設定!$B$13="最小化",01_因子設定!$B$15-AB3555,MIN(AA3555-01_因子設定!$B$14,01_因子設定!$B$15-AB3555))),-1E+030)</f>
        <v>0.574108994652512</v>
      </c>
      <c r="AE3555" s="55" t="n">
        <f aca="false">IF(AC3555,IF(01_因子設定!$B$13="最大化",X3555,IF(01_因子設定!$B$13="最小化",-X3555,-ABS(X3555-01_因子設定!$B$16))),-1E+030)</f>
        <v>48.5554961622806</v>
      </c>
      <c r="AF3555" s="55" t="n">
        <f aca="false">AD3555+ROW()*0.000000001</f>
        <v>0.574112549652512</v>
      </c>
      <c r="AG3555" s="55" t="n">
        <f aca="false">AE3555+ROW()*0.000000001</f>
        <v>48.5554997172806</v>
      </c>
    </row>
    <row r="3556" customFormat="false" ht="15" hidden="false" customHeight="false" outlineLevel="0" collapsed="false">
      <c r="A3556" s="0" t="n">
        <v>4</v>
      </c>
      <c r="B3556" s="0" t="n">
        <v>7</v>
      </c>
      <c r="C3556" s="0" t="n">
        <v>7</v>
      </c>
      <c r="D3556" s="0" t="n">
        <v>5</v>
      </c>
      <c r="E3556" s="0" t="n">
        <f aca="false">-1+A3556*0.25</f>
        <v>0</v>
      </c>
      <c r="F3556" s="0" t="n">
        <f aca="false">-1+B3556*0.25</f>
        <v>0.75</v>
      </c>
      <c r="G3556" s="0" t="n">
        <f aca="false">-1+C3556*0.25</f>
        <v>0.75</v>
      </c>
      <c r="H3556" s="0" t="n">
        <f aca="false">-1+D3556*0.25</f>
        <v>0.25</v>
      </c>
      <c r="I3556" s="0" t="n">
        <f aca="false">1</f>
        <v>1</v>
      </c>
      <c r="J3556" s="0" t="n">
        <f aca="false">E3556</f>
        <v>0</v>
      </c>
      <c r="K3556" s="0" t="n">
        <f aca="false">F3556</f>
        <v>0.75</v>
      </c>
      <c r="L3556" s="0" t="n">
        <f aca="false">G3556</f>
        <v>0.75</v>
      </c>
      <c r="M3556" s="0" t="n">
        <f aca="false">H3556</f>
        <v>0.25</v>
      </c>
      <c r="N3556" s="0" t="n">
        <f aca="false">E3556*F3556</f>
        <v>0</v>
      </c>
      <c r="O3556" s="0" t="n">
        <f aca="false">E3556*G3556</f>
        <v>0</v>
      </c>
      <c r="P3556" s="0" t="n">
        <f aca="false">E3556*H3556</f>
        <v>0</v>
      </c>
      <c r="Q3556" s="0" t="n">
        <f aca="false">F3556*G3556</f>
        <v>0.5625</v>
      </c>
      <c r="R3556" s="0" t="n">
        <f aca="false">F3556*H3556</f>
        <v>0.1875</v>
      </c>
      <c r="S3556" s="0" t="n">
        <f aca="false">G3556*H3556</f>
        <v>0.1875</v>
      </c>
      <c r="T3556" s="0" t="n">
        <f aca="false">E3556*E3556</f>
        <v>0</v>
      </c>
      <c r="U3556" s="0" t="n">
        <f aca="false">F3556*F3556</f>
        <v>0.5625</v>
      </c>
      <c r="V3556" s="0" t="n">
        <f aca="false">G3556*G3556</f>
        <v>0.5625</v>
      </c>
      <c r="W3556" s="0" t="n">
        <f aca="false">H3556*H3556</f>
        <v>0.0625</v>
      </c>
      <c r="X3556" s="0" t="n">
        <f aca="false">SUMPRODUCT(I3556:W3556,_XtX!$B$96:$P$96)</f>
        <v>48.6470440423976</v>
      </c>
      <c r="Y3556" s="0" t="n">
        <f aca="false">SUMPRODUCT(MMULT(I3556:W3556,_XtX!$B$78:$P$92),I3556:W3556)</f>
        <v>0.281685455500731</v>
      </c>
      <c r="Z3556" s="0" t="n">
        <f aca="false">04_回帰ANOVA!$K$19*04_回帰ANOVA!$K$14*SQRT(1+Y3556)</f>
        <v>1.47566956658694</v>
      </c>
      <c r="AA3556" s="0" t="n">
        <f aca="false">X3556-Z3556</f>
        <v>47.1713744758107</v>
      </c>
      <c r="AB3556" s="0" t="n">
        <f aca="false">X3556+Z3556</f>
        <v>50.1227136089845</v>
      </c>
      <c r="AC3556" s="54" t="b">
        <f aca="false">AND(E3556&gt;=01_因子設定!$L$5-0.000000001,E3556&lt;=01_因子設定!$M$5+0.000000001,F3556&gt;=01_因子設定!$L$6-0.000000001,F3556&lt;=01_因子設定!$M$6+0.000000001,G3556&gt;=01_因子設定!$L$7-0.000000001,G3556&lt;=01_因子設定!$M$7+0.000000001,H3556&gt;=01_因子設定!$L$8-0.000000001,H3556&lt;=01_因子設定!$M$8+0.000000001,IF(01_因子設定!$B$20="Box-Behnken",E3556^2+F3556^2+G3556^2+H3556^2&lt;=2+0.000000001,TRUE()))</f>
        <v>1</v>
      </c>
      <c r="AD3556" s="55" t="n">
        <f aca="false">IF(AC3556,IF(01_因子設定!$B$13="最大化",AA3556-01_因子設定!$B$14,IF(01_因子設定!$B$13="最小化",01_因子設定!$B$15-AB3556,MIN(AA3556-01_因子設定!$B$14,01_因子設定!$B$15-AB3556))),-1E+030)</f>
        <v>0.671374475810659</v>
      </c>
      <c r="AE3556" s="55" t="n">
        <f aca="false">IF(AC3556,IF(01_因子設定!$B$13="最大化",X3556,IF(01_因子設定!$B$13="最小化",-X3556,-ABS(X3556-01_因子設定!$B$16))),-1E+030)</f>
        <v>48.6470440423976</v>
      </c>
      <c r="AF3556" s="55" t="n">
        <f aca="false">AD3556+ROW()*0.000000001</f>
        <v>0.671378031810659</v>
      </c>
      <c r="AG3556" s="55" t="n">
        <f aca="false">AE3556+ROW()*0.000000001</f>
        <v>48.6470475983976</v>
      </c>
    </row>
    <row r="3557" customFormat="false" ht="15" hidden="false" customHeight="false" outlineLevel="0" collapsed="false">
      <c r="A3557" s="0" t="n">
        <v>4</v>
      </c>
      <c r="B3557" s="0" t="n">
        <v>7</v>
      </c>
      <c r="C3557" s="0" t="n">
        <v>7</v>
      </c>
      <c r="D3557" s="0" t="n">
        <v>6</v>
      </c>
      <c r="E3557" s="0" t="n">
        <f aca="false">-1+A3557*0.25</f>
        <v>0</v>
      </c>
      <c r="F3557" s="0" t="n">
        <f aca="false">-1+B3557*0.25</f>
        <v>0.75</v>
      </c>
      <c r="G3557" s="0" t="n">
        <f aca="false">-1+C3557*0.25</f>
        <v>0.75</v>
      </c>
      <c r="H3557" s="0" t="n">
        <f aca="false">-1+D3557*0.25</f>
        <v>0.5</v>
      </c>
      <c r="I3557" s="0" t="n">
        <f aca="false">1</f>
        <v>1</v>
      </c>
      <c r="J3557" s="0" t="n">
        <f aca="false">E3557</f>
        <v>0</v>
      </c>
      <c r="K3557" s="0" t="n">
        <f aca="false">F3557</f>
        <v>0.75</v>
      </c>
      <c r="L3557" s="0" t="n">
        <f aca="false">G3557</f>
        <v>0.75</v>
      </c>
      <c r="M3557" s="0" t="n">
        <f aca="false">H3557</f>
        <v>0.5</v>
      </c>
      <c r="N3557" s="0" t="n">
        <f aca="false">E3557*F3557</f>
        <v>0</v>
      </c>
      <c r="O3557" s="0" t="n">
        <f aca="false">E3557*G3557</f>
        <v>0</v>
      </c>
      <c r="P3557" s="0" t="n">
        <f aca="false">E3557*H3557</f>
        <v>0</v>
      </c>
      <c r="Q3557" s="0" t="n">
        <f aca="false">F3557*G3557</f>
        <v>0.5625</v>
      </c>
      <c r="R3557" s="0" t="n">
        <f aca="false">F3557*H3557</f>
        <v>0.375</v>
      </c>
      <c r="S3557" s="0" t="n">
        <f aca="false">G3557*H3557</f>
        <v>0.375</v>
      </c>
      <c r="T3557" s="0" t="n">
        <f aca="false">E3557*E3557</f>
        <v>0</v>
      </c>
      <c r="U3557" s="0" t="n">
        <f aca="false">F3557*F3557</f>
        <v>0.5625</v>
      </c>
      <c r="V3557" s="0" t="n">
        <f aca="false">G3557*G3557</f>
        <v>0.5625</v>
      </c>
      <c r="W3557" s="0" t="n">
        <f aca="false">H3557*H3557</f>
        <v>0.25</v>
      </c>
      <c r="X3557" s="0" t="n">
        <f aca="false">SUMPRODUCT(I3557:W3557,_XtX!$B$96:$P$96)</f>
        <v>48.6907849049707</v>
      </c>
      <c r="Y3557" s="0" t="n">
        <f aca="false">SUMPRODUCT(MMULT(I3557:W3557,_XtX!$B$78:$P$92),I3557:W3557)</f>
        <v>0.269923873812135</v>
      </c>
      <c r="Z3557" s="0" t="n">
        <f aca="false">04_回帰ANOVA!$K$19*04_回帰ANOVA!$K$14*SQRT(1+Y3557)</f>
        <v>1.46888310825501</v>
      </c>
      <c r="AA3557" s="0" t="n">
        <f aca="false">X3557-Z3557</f>
        <v>47.2219017967157</v>
      </c>
      <c r="AB3557" s="0" t="n">
        <f aca="false">X3557+Z3557</f>
        <v>50.1596680132257</v>
      </c>
      <c r="AC3557" s="54" t="b">
        <f aca="false">AND(E3557&gt;=01_因子設定!$L$5-0.000000001,E3557&lt;=01_因子設定!$M$5+0.000000001,F3557&gt;=01_因子設定!$L$6-0.000000001,F3557&lt;=01_因子設定!$M$6+0.000000001,G3557&gt;=01_因子設定!$L$7-0.000000001,G3557&lt;=01_因子設定!$M$7+0.000000001,H3557&gt;=01_因子設定!$L$8-0.000000001,H3557&lt;=01_因子設定!$M$8+0.000000001,IF(01_因子設定!$B$20="Box-Behnken",E3557^2+F3557^2+G3557^2+H3557^2&lt;=2+0.000000001,TRUE()))</f>
        <v>1</v>
      </c>
      <c r="AD3557" s="55" t="n">
        <f aca="false">IF(AC3557,IF(01_因子設定!$B$13="最大化",AA3557-01_因子設定!$B$14,IF(01_因子設定!$B$13="最小化",01_因子設定!$B$15-AB3557,MIN(AA3557-01_因子設定!$B$14,01_因子設定!$B$15-AB3557))),-1E+030)</f>
        <v>0.721901796715699</v>
      </c>
      <c r="AE3557" s="55" t="n">
        <f aca="false">IF(AC3557,IF(01_因子設定!$B$13="最大化",X3557,IF(01_因子設定!$B$13="最小化",-X3557,-ABS(X3557-01_因子設定!$B$16))),-1E+030)</f>
        <v>48.6907849049707</v>
      </c>
      <c r="AF3557" s="55" t="n">
        <f aca="false">AD3557+ROW()*0.000000001</f>
        <v>0.721905353715699</v>
      </c>
      <c r="AG3557" s="55" t="n">
        <f aca="false">AE3557+ROW()*0.000000001</f>
        <v>48.6907884619707</v>
      </c>
    </row>
    <row r="3558" customFormat="false" ht="15" hidden="false" customHeight="false" outlineLevel="0" collapsed="false">
      <c r="A3558" s="0" t="n">
        <v>4</v>
      </c>
      <c r="B3558" s="0" t="n">
        <v>7</v>
      </c>
      <c r="C3558" s="0" t="n">
        <v>7</v>
      </c>
      <c r="D3558" s="0" t="n">
        <v>7</v>
      </c>
      <c r="E3558" s="0" t="n">
        <f aca="false">-1+A3558*0.25</f>
        <v>0</v>
      </c>
      <c r="F3558" s="0" t="n">
        <f aca="false">-1+B3558*0.25</f>
        <v>0.75</v>
      </c>
      <c r="G3558" s="0" t="n">
        <f aca="false">-1+C3558*0.25</f>
        <v>0.75</v>
      </c>
      <c r="H3558" s="0" t="n">
        <f aca="false">-1+D3558*0.25</f>
        <v>0.75</v>
      </c>
      <c r="I3558" s="0" t="n">
        <f aca="false">1</f>
        <v>1</v>
      </c>
      <c r="J3558" s="0" t="n">
        <f aca="false">E3558</f>
        <v>0</v>
      </c>
      <c r="K3558" s="0" t="n">
        <f aca="false">F3558</f>
        <v>0.75</v>
      </c>
      <c r="L3558" s="0" t="n">
        <f aca="false">G3558</f>
        <v>0.75</v>
      </c>
      <c r="M3558" s="0" t="n">
        <f aca="false">H3558</f>
        <v>0.75</v>
      </c>
      <c r="N3558" s="0" t="n">
        <f aca="false">E3558*F3558</f>
        <v>0</v>
      </c>
      <c r="O3558" s="0" t="n">
        <f aca="false">E3558*G3558</f>
        <v>0</v>
      </c>
      <c r="P3558" s="0" t="n">
        <f aca="false">E3558*H3558</f>
        <v>0</v>
      </c>
      <c r="Q3558" s="0" t="n">
        <f aca="false">F3558*G3558</f>
        <v>0.5625</v>
      </c>
      <c r="R3558" s="0" t="n">
        <f aca="false">F3558*H3558</f>
        <v>0.5625</v>
      </c>
      <c r="S3558" s="0" t="n">
        <f aca="false">G3558*H3558</f>
        <v>0.5625</v>
      </c>
      <c r="T3558" s="0" t="n">
        <f aca="false">E3558*E3558</f>
        <v>0</v>
      </c>
      <c r="U3558" s="0" t="n">
        <f aca="false">F3558*F3558</f>
        <v>0.5625</v>
      </c>
      <c r="V3558" s="0" t="n">
        <f aca="false">G3558*G3558</f>
        <v>0.5625</v>
      </c>
      <c r="W3558" s="0" t="n">
        <f aca="false">H3558*H3558</f>
        <v>0.5625</v>
      </c>
      <c r="X3558" s="0" t="n">
        <f aca="false">SUMPRODUCT(I3558:W3558,_XtX!$B$96:$P$96)</f>
        <v>48.68671875</v>
      </c>
      <c r="Y3558" s="0" t="n">
        <f aca="false">SUMPRODUCT(MMULT(I3558:W3558,_XtX!$B$78:$P$92),I3558:W3558)</f>
        <v>0.310628255208333</v>
      </c>
      <c r="Z3558" s="0" t="n">
        <f aca="false">04_回帰ANOVA!$K$19*04_回帰ANOVA!$K$14*SQRT(1+Y3558)</f>
        <v>1.49223820892344</v>
      </c>
      <c r="AA3558" s="0" t="n">
        <f aca="false">X3558-Z3558</f>
        <v>47.1944805410765</v>
      </c>
      <c r="AB3558" s="0" t="n">
        <f aca="false">X3558+Z3558</f>
        <v>50.1789569589234</v>
      </c>
      <c r="AC3558" s="54" t="b">
        <f aca="false">AND(E3558&gt;=01_因子設定!$L$5-0.000000001,E3558&lt;=01_因子設定!$M$5+0.000000001,F3558&gt;=01_因子設定!$L$6-0.000000001,F3558&lt;=01_因子設定!$M$6+0.000000001,G3558&gt;=01_因子設定!$L$7-0.000000001,G3558&lt;=01_因子設定!$M$7+0.000000001,H3558&gt;=01_因子設定!$L$8-0.000000001,H3558&lt;=01_因子設定!$M$8+0.000000001,IF(01_因子設定!$B$20="Box-Behnken",E3558^2+F3558^2+G3558^2+H3558^2&lt;=2+0.000000001,TRUE()))</f>
        <v>1</v>
      </c>
      <c r="AD3558" s="55" t="n">
        <f aca="false">IF(AC3558,IF(01_因子設定!$B$13="最大化",AA3558-01_因子設定!$B$14,IF(01_因子設定!$B$13="最小化",01_因子設定!$B$15-AB3558,MIN(AA3558-01_因子設定!$B$14,01_因子設定!$B$15-AB3558))),-1E+030)</f>
        <v>0.694480541076516</v>
      </c>
      <c r="AE3558" s="55" t="n">
        <f aca="false">IF(AC3558,IF(01_因子設定!$B$13="最大化",X3558,IF(01_因子設定!$B$13="最小化",-X3558,-ABS(X3558-01_因子設定!$B$16))),-1E+030)</f>
        <v>48.68671875</v>
      </c>
      <c r="AF3558" s="55" t="n">
        <f aca="false">AD3558+ROW()*0.000000001</f>
        <v>0.694484099076516</v>
      </c>
      <c r="AG3558" s="55" t="n">
        <f aca="false">AE3558+ROW()*0.000000001</f>
        <v>48.686722308</v>
      </c>
    </row>
    <row r="3559" customFormat="false" ht="15" hidden="false" customHeight="false" outlineLevel="0" collapsed="false">
      <c r="A3559" s="0" t="n">
        <v>4</v>
      </c>
      <c r="B3559" s="0" t="n">
        <v>7</v>
      </c>
      <c r="C3559" s="0" t="n">
        <v>7</v>
      </c>
      <c r="D3559" s="0" t="n">
        <v>8</v>
      </c>
      <c r="E3559" s="0" t="n">
        <f aca="false">-1+A3559*0.25</f>
        <v>0</v>
      </c>
      <c r="F3559" s="0" t="n">
        <f aca="false">-1+B3559*0.25</f>
        <v>0.75</v>
      </c>
      <c r="G3559" s="0" t="n">
        <f aca="false">-1+C3559*0.25</f>
        <v>0.75</v>
      </c>
      <c r="H3559" s="0" t="n">
        <f aca="false">-1+D3559*0.25</f>
        <v>1</v>
      </c>
      <c r="I3559" s="0" t="n">
        <f aca="false">1</f>
        <v>1</v>
      </c>
      <c r="J3559" s="0" t="n">
        <f aca="false">E3559</f>
        <v>0</v>
      </c>
      <c r="K3559" s="0" t="n">
        <f aca="false">F3559</f>
        <v>0.75</v>
      </c>
      <c r="L3559" s="0" t="n">
        <f aca="false">G3559</f>
        <v>0.75</v>
      </c>
      <c r="M3559" s="0" t="n">
        <f aca="false">H3559</f>
        <v>1</v>
      </c>
      <c r="N3559" s="0" t="n">
        <f aca="false">E3559*F3559</f>
        <v>0</v>
      </c>
      <c r="O3559" s="0" t="n">
        <f aca="false">E3559*G3559</f>
        <v>0</v>
      </c>
      <c r="P3559" s="0" t="n">
        <f aca="false">E3559*H3559</f>
        <v>0</v>
      </c>
      <c r="Q3559" s="0" t="n">
        <f aca="false">F3559*G3559</f>
        <v>0.5625</v>
      </c>
      <c r="R3559" s="0" t="n">
        <f aca="false">F3559*H3559</f>
        <v>0.75</v>
      </c>
      <c r="S3559" s="0" t="n">
        <f aca="false">G3559*H3559</f>
        <v>0.75</v>
      </c>
      <c r="T3559" s="0" t="n">
        <f aca="false">E3559*E3559</f>
        <v>0</v>
      </c>
      <c r="U3559" s="0" t="n">
        <f aca="false">F3559*F3559</f>
        <v>0.5625</v>
      </c>
      <c r="V3559" s="0" t="n">
        <f aca="false">G3559*G3559</f>
        <v>0.5625</v>
      </c>
      <c r="W3559" s="0" t="n">
        <f aca="false">H3559*H3559</f>
        <v>1</v>
      </c>
      <c r="X3559" s="0" t="n">
        <f aca="false">SUMPRODUCT(I3559:W3559,_XtX!$B$96:$P$96)</f>
        <v>48.6348455774854</v>
      </c>
      <c r="Y3559" s="0" t="n">
        <f aca="false">SUMPRODUCT(MMULT(I3559:W3559,_XtX!$B$78:$P$92),I3559:W3559)</f>
        <v>0.494259126005117</v>
      </c>
      <c r="Z3559" s="0" t="n">
        <f aca="false">04_回帰ANOVA!$K$19*04_回帰ANOVA!$K$14*SQRT(1+Y3559)</f>
        <v>1.59335061078203</v>
      </c>
      <c r="AA3559" s="0" t="n">
        <f aca="false">X3559-Z3559</f>
        <v>47.0414949667033</v>
      </c>
      <c r="AB3559" s="0" t="n">
        <f aca="false">X3559+Z3559</f>
        <v>50.2281961882674</v>
      </c>
      <c r="AC3559" s="54" t="b">
        <f aca="false">AND(E3559&gt;=01_因子設定!$L$5-0.000000001,E3559&lt;=01_因子設定!$M$5+0.000000001,F3559&gt;=01_因子設定!$L$6-0.000000001,F3559&lt;=01_因子設定!$M$6+0.000000001,G3559&gt;=01_因子設定!$L$7-0.000000001,G3559&lt;=01_因子設定!$M$7+0.000000001,H3559&gt;=01_因子設定!$L$8-0.000000001,H3559&lt;=01_因子設定!$M$8+0.000000001,IF(01_因子設定!$B$20="Box-Behnken",E3559^2+F3559^2+G3559^2+H3559^2&lt;=2+0.000000001,TRUE()))</f>
        <v>1</v>
      </c>
      <c r="AD3559" s="55" t="n">
        <f aca="false">IF(AC3559,IF(01_因子設定!$B$13="最大化",AA3559-01_因子設定!$B$14,IF(01_因子設定!$B$13="最小化",01_因子設定!$B$15-AB3559,MIN(AA3559-01_因子設定!$B$14,01_因子設定!$B$15-AB3559))),-1E+030)</f>
        <v>0.541494966703326</v>
      </c>
      <c r="AE3559" s="55" t="n">
        <f aca="false">IF(AC3559,IF(01_因子設定!$B$13="最大化",X3559,IF(01_因子設定!$B$13="最小化",-X3559,-ABS(X3559-01_因子設定!$B$16))),-1E+030)</f>
        <v>48.6348455774854</v>
      </c>
      <c r="AF3559" s="55" t="n">
        <f aca="false">AD3559+ROW()*0.000000001</f>
        <v>0.541498525703326</v>
      </c>
      <c r="AG3559" s="55" t="n">
        <f aca="false">AE3559+ROW()*0.000000001</f>
        <v>48.6348491364854</v>
      </c>
    </row>
    <row r="3560" customFormat="false" ht="15" hidden="false" customHeight="false" outlineLevel="0" collapsed="false">
      <c r="A3560" s="0" t="n">
        <v>4</v>
      </c>
      <c r="B3560" s="0" t="n">
        <v>7</v>
      </c>
      <c r="C3560" s="0" t="n">
        <v>8</v>
      </c>
      <c r="D3560" s="0" t="n">
        <v>0</v>
      </c>
      <c r="E3560" s="0" t="n">
        <f aca="false">-1+A3560*0.25</f>
        <v>0</v>
      </c>
      <c r="F3560" s="0" t="n">
        <f aca="false">-1+B3560*0.25</f>
        <v>0.75</v>
      </c>
      <c r="G3560" s="0" t="n">
        <f aca="false">-1+C3560*0.25</f>
        <v>1</v>
      </c>
      <c r="H3560" s="0" t="n">
        <f aca="false">-1+D3560*0.25</f>
        <v>-1</v>
      </c>
      <c r="I3560" s="0" t="n">
        <f aca="false">1</f>
        <v>1</v>
      </c>
      <c r="J3560" s="0" t="n">
        <f aca="false">E3560</f>
        <v>0</v>
      </c>
      <c r="K3560" s="0" t="n">
        <f aca="false">F3560</f>
        <v>0.75</v>
      </c>
      <c r="L3560" s="0" t="n">
        <f aca="false">G3560</f>
        <v>1</v>
      </c>
      <c r="M3560" s="0" t="n">
        <f aca="false">H3560</f>
        <v>-1</v>
      </c>
      <c r="N3560" s="0" t="n">
        <f aca="false">E3560*F3560</f>
        <v>0</v>
      </c>
      <c r="O3560" s="0" t="n">
        <f aca="false">E3560*G3560</f>
        <v>0</v>
      </c>
      <c r="P3560" s="0" t="n">
        <f aca="false">E3560*H3560</f>
        <v>-0</v>
      </c>
      <c r="Q3560" s="0" t="n">
        <f aca="false">F3560*G3560</f>
        <v>0.75</v>
      </c>
      <c r="R3560" s="0" t="n">
        <f aca="false">F3560*H3560</f>
        <v>-0.75</v>
      </c>
      <c r="S3560" s="0" t="n">
        <f aca="false">G3560*H3560</f>
        <v>-1</v>
      </c>
      <c r="T3560" s="0" t="n">
        <f aca="false">E3560*E3560</f>
        <v>0</v>
      </c>
      <c r="U3560" s="0" t="n">
        <f aca="false">F3560*F3560</f>
        <v>0.5625</v>
      </c>
      <c r="V3560" s="0" t="n">
        <f aca="false">G3560*G3560</f>
        <v>1</v>
      </c>
      <c r="W3560" s="0" t="n">
        <f aca="false">H3560*H3560</f>
        <v>1</v>
      </c>
      <c r="X3560" s="0" t="n">
        <f aca="false">SUMPRODUCT(I3560:W3560,_XtX!$B$96:$P$96)</f>
        <v>47.6452119883041</v>
      </c>
      <c r="Y3560" s="0" t="n">
        <f aca="false">SUMPRODUCT(MMULT(I3560:W3560,_XtX!$B$78:$P$92),I3560:W3560)</f>
        <v>0.646198830409357</v>
      </c>
      <c r="Z3560" s="0" t="n">
        <f aca="false">04_回帰ANOVA!$K$19*04_回帰ANOVA!$K$14*SQRT(1+Y3560)</f>
        <v>1.67239760569756</v>
      </c>
      <c r="AA3560" s="0" t="n">
        <f aca="false">X3560-Z3560</f>
        <v>45.9728143826065</v>
      </c>
      <c r="AB3560" s="0" t="n">
        <f aca="false">X3560+Z3560</f>
        <v>49.3176095940016</v>
      </c>
      <c r="AC3560" s="54" t="b">
        <f aca="false">AND(E3560&gt;=01_因子設定!$L$5-0.000000001,E3560&lt;=01_因子設定!$M$5+0.000000001,F3560&gt;=01_因子設定!$L$6-0.000000001,F3560&lt;=01_因子設定!$M$6+0.000000001,G3560&gt;=01_因子設定!$L$7-0.000000001,G3560&lt;=01_因子設定!$M$7+0.000000001,H3560&gt;=01_因子設定!$L$8-0.000000001,H3560&lt;=01_因子設定!$M$8+0.000000001,IF(01_因子設定!$B$20="Box-Behnken",E3560^2+F3560^2+G3560^2+H3560^2&lt;=2+0.000000001,TRUE()))</f>
        <v>1</v>
      </c>
      <c r="AD3560" s="55" t="n">
        <f aca="false">IF(AC3560,IF(01_因子設定!$B$13="最大化",AA3560-01_因子設定!$B$14,IF(01_因子設定!$B$13="最小化",01_因子設定!$B$15-AB3560,MIN(AA3560-01_因子設定!$B$14,01_因子設定!$B$15-AB3560))),-1E+030)</f>
        <v>-0.527185617393485</v>
      </c>
      <c r="AE3560" s="55" t="n">
        <f aca="false">IF(AC3560,IF(01_因子設定!$B$13="最大化",X3560,IF(01_因子設定!$B$13="最小化",-X3560,-ABS(X3560-01_因子設定!$B$16))),-1E+030)</f>
        <v>47.6452119883041</v>
      </c>
      <c r="AF3560" s="55" t="n">
        <f aca="false">AD3560+ROW()*0.000000001</f>
        <v>-0.527182057393485</v>
      </c>
      <c r="AG3560" s="55" t="n">
        <f aca="false">AE3560+ROW()*0.000000001</f>
        <v>47.6452155483041</v>
      </c>
    </row>
    <row r="3561" customFormat="false" ht="15" hidden="false" customHeight="false" outlineLevel="0" collapsed="false">
      <c r="A3561" s="0" t="n">
        <v>4</v>
      </c>
      <c r="B3561" s="0" t="n">
        <v>7</v>
      </c>
      <c r="C3561" s="0" t="n">
        <v>8</v>
      </c>
      <c r="D3561" s="0" t="n">
        <v>1</v>
      </c>
      <c r="E3561" s="0" t="n">
        <f aca="false">-1+A3561*0.25</f>
        <v>0</v>
      </c>
      <c r="F3561" s="0" t="n">
        <f aca="false">-1+B3561*0.25</f>
        <v>0.75</v>
      </c>
      <c r="G3561" s="0" t="n">
        <f aca="false">-1+C3561*0.25</f>
        <v>1</v>
      </c>
      <c r="H3561" s="0" t="n">
        <f aca="false">-1+D3561*0.25</f>
        <v>-0.75</v>
      </c>
      <c r="I3561" s="0" t="n">
        <f aca="false">1</f>
        <v>1</v>
      </c>
      <c r="J3561" s="0" t="n">
        <f aca="false">E3561</f>
        <v>0</v>
      </c>
      <c r="K3561" s="0" t="n">
        <f aca="false">F3561</f>
        <v>0.75</v>
      </c>
      <c r="L3561" s="0" t="n">
        <f aca="false">G3561</f>
        <v>1</v>
      </c>
      <c r="M3561" s="0" t="n">
        <f aca="false">H3561</f>
        <v>-0.75</v>
      </c>
      <c r="N3561" s="0" t="n">
        <f aca="false">E3561*F3561</f>
        <v>0</v>
      </c>
      <c r="O3561" s="0" t="n">
        <f aca="false">E3561*G3561</f>
        <v>0</v>
      </c>
      <c r="P3561" s="0" t="n">
        <f aca="false">E3561*H3561</f>
        <v>-0</v>
      </c>
      <c r="Q3561" s="0" t="n">
        <f aca="false">F3561*G3561</f>
        <v>0.75</v>
      </c>
      <c r="R3561" s="0" t="n">
        <f aca="false">F3561*H3561</f>
        <v>-0.5625</v>
      </c>
      <c r="S3561" s="0" t="n">
        <f aca="false">G3561*H3561</f>
        <v>-0.75</v>
      </c>
      <c r="T3561" s="0" t="n">
        <f aca="false">E3561*E3561</f>
        <v>0</v>
      </c>
      <c r="U3561" s="0" t="n">
        <f aca="false">F3561*F3561</f>
        <v>0.5625</v>
      </c>
      <c r="V3561" s="0" t="n">
        <f aca="false">G3561*G3561</f>
        <v>1</v>
      </c>
      <c r="W3561" s="0" t="n">
        <f aca="false">H3561*H3561</f>
        <v>0.5625</v>
      </c>
      <c r="X3561" s="0" t="n">
        <f aca="false">SUMPRODUCT(I3561:W3561,_XtX!$B$96:$P$96)</f>
        <v>47.9459566885965</v>
      </c>
      <c r="Y3561" s="0" t="n">
        <f aca="false">SUMPRODUCT(MMULT(I3561:W3561,_XtX!$B$78:$P$92),I3561:W3561)</f>
        <v>0.494259126005117</v>
      </c>
      <c r="Z3561" s="0" t="n">
        <f aca="false">04_回帰ANOVA!$K$19*04_回帰ANOVA!$K$14*SQRT(1+Y3561)</f>
        <v>1.59335061078203</v>
      </c>
      <c r="AA3561" s="0" t="n">
        <f aca="false">X3561-Z3561</f>
        <v>46.3526060778144</v>
      </c>
      <c r="AB3561" s="0" t="n">
        <f aca="false">X3561+Z3561</f>
        <v>49.5393072993785</v>
      </c>
      <c r="AC3561" s="54" t="b">
        <f aca="false">AND(E3561&gt;=01_因子設定!$L$5-0.000000001,E3561&lt;=01_因子設定!$M$5+0.000000001,F3561&gt;=01_因子設定!$L$6-0.000000001,F3561&lt;=01_因子設定!$M$6+0.000000001,G3561&gt;=01_因子設定!$L$7-0.000000001,G3561&lt;=01_因子設定!$M$7+0.000000001,H3561&gt;=01_因子設定!$L$8-0.000000001,H3561&lt;=01_因子設定!$M$8+0.000000001,IF(01_因子設定!$B$20="Box-Behnken",E3561^2+F3561^2+G3561^2+H3561^2&lt;=2+0.000000001,TRUE()))</f>
        <v>1</v>
      </c>
      <c r="AD3561" s="55" t="n">
        <f aca="false">IF(AC3561,IF(01_因子設定!$B$13="最大化",AA3561-01_因子設定!$B$14,IF(01_因子設定!$B$13="最小化",01_因子設定!$B$15-AB3561,MIN(AA3561-01_因子設定!$B$14,01_因子設定!$B$15-AB3561))),-1E+030)</f>
        <v>-0.147393922185572</v>
      </c>
      <c r="AE3561" s="55" t="n">
        <f aca="false">IF(AC3561,IF(01_因子設定!$B$13="最大化",X3561,IF(01_因子設定!$B$13="最小化",-X3561,-ABS(X3561-01_因子設定!$B$16))),-1E+030)</f>
        <v>47.9459566885965</v>
      </c>
      <c r="AF3561" s="55" t="n">
        <f aca="false">AD3561+ROW()*0.000000001</f>
        <v>-0.147390361185572</v>
      </c>
      <c r="AG3561" s="55" t="n">
        <f aca="false">AE3561+ROW()*0.000000001</f>
        <v>47.9459602495965</v>
      </c>
    </row>
    <row r="3562" customFormat="false" ht="15" hidden="false" customHeight="false" outlineLevel="0" collapsed="false">
      <c r="A3562" s="0" t="n">
        <v>4</v>
      </c>
      <c r="B3562" s="0" t="n">
        <v>7</v>
      </c>
      <c r="C3562" s="0" t="n">
        <v>8</v>
      </c>
      <c r="D3562" s="0" t="n">
        <v>2</v>
      </c>
      <c r="E3562" s="0" t="n">
        <f aca="false">-1+A3562*0.25</f>
        <v>0</v>
      </c>
      <c r="F3562" s="0" t="n">
        <f aca="false">-1+B3562*0.25</f>
        <v>0.75</v>
      </c>
      <c r="G3562" s="0" t="n">
        <f aca="false">-1+C3562*0.25</f>
        <v>1</v>
      </c>
      <c r="H3562" s="0" t="n">
        <f aca="false">-1+D3562*0.25</f>
        <v>-0.5</v>
      </c>
      <c r="I3562" s="0" t="n">
        <f aca="false">1</f>
        <v>1</v>
      </c>
      <c r="J3562" s="0" t="n">
        <f aca="false">E3562</f>
        <v>0</v>
      </c>
      <c r="K3562" s="0" t="n">
        <f aca="false">F3562</f>
        <v>0.75</v>
      </c>
      <c r="L3562" s="0" t="n">
        <f aca="false">G3562</f>
        <v>1</v>
      </c>
      <c r="M3562" s="0" t="n">
        <f aca="false">H3562</f>
        <v>-0.5</v>
      </c>
      <c r="N3562" s="0" t="n">
        <f aca="false">E3562*F3562</f>
        <v>0</v>
      </c>
      <c r="O3562" s="0" t="n">
        <f aca="false">E3562*G3562</f>
        <v>0</v>
      </c>
      <c r="P3562" s="0" t="n">
        <f aca="false">E3562*H3562</f>
        <v>-0</v>
      </c>
      <c r="Q3562" s="0" t="n">
        <f aca="false">F3562*G3562</f>
        <v>0.75</v>
      </c>
      <c r="R3562" s="0" t="n">
        <f aca="false">F3562*H3562</f>
        <v>-0.375</v>
      </c>
      <c r="S3562" s="0" t="n">
        <f aca="false">G3562*H3562</f>
        <v>-0.5</v>
      </c>
      <c r="T3562" s="0" t="n">
        <f aca="false">E3562*E3562</f>
        <v>0</v>
      </c>
      <c r="U3562" s="0" t="n">
        <f aca="false">F3562*F3562</f>
        <v>0.5625</v>
      </c>
      <c r="V3562" s="0" t="n">
        <f aca="false">G3562*G3562</f>
        <v>1</v>
      </c>
      <c r="W3562" s="0" t="n">
        <f aca="false">H3562*H3562</f>
        <v>0.25</v>
      </c>
      <c r="X3562" s="0" t="n">
        <f aca="false">SUMPRODUCT(I3562:W3562,_XtX!$B$96:$P$96)</f>
        <v>48.198894371345</v>
      </c>
      <c r="Y3562" s="0" t="n">
        <f aca="false">SUMPRODUCT(MMULT(I3562:W3562,_XtX!$B$78:$P$92),I3562:W3562)</f>
        <v>0.476191292032164</v>
      </c>
      <c r="Z3562" s="0" t="n">
        <f aca="false">04_回帰ANOVA!$K$19*04_回帰ANOVA!$K$14*SQRT(1+Y3562)</f>
        <v>1.58368831471718</v>
      </c>
      <c r="AA3562" s="0" t="n">
        <f aca="false">X3562-Z3562</f>
        <v>46.6152060566278</v>
      </c>
      <c r="AB3562" s="0" t="n">
        <f aca="false">X3562+Z3562</f>
        <v>49.7825826860622</v>
      </c>
      <c r="AC3562" s="54" t="b">
        <f aca="false">AND(E3562&gt;=01_因子設定!$L$5-0.000000001,E3562&lt;=01_因子設定!$M$5+0.000000001,F3562&gt;=01_因子設定!$L$6-0.000000001,F3562&lt;=01_因子設定!$M$6+0.000000001,G3562&gt;=01_因子設定!$L$7-0.000000001,G3562&lt;=01_因子設定!$M$7+0.000000001,H3562&gt;=01_因子設定!$L$8-0.000000001,H3562&lt;=01_因子設定!$M$8+0.000000001,IF(01_因子設定!$B$20="Box-Behnken",E3562^2+F3562^2+G3562^2+H3562^2&lt;=2+0.000000001,TRUE()))</f>
        <v>1</v>
      </c>
      <c r="AD3562" s="55" t="n">
        <f aca="false">IF(AC3562,IF(01_因子設定!$B$13="最大化",AA3562-01_因子設定!$B$14,IF(01_因子設定!$B$13="最小化",01_因子設定!$B$15-AB3562,MIN(AA3562-01_因子設定!$B$14,01_因子設定!$B$15-AB3562))),-1E+030)</f>
        <v>0.115206056627798</v>
      </c>
      <c r="AE3562" s="55" t="n">
        <f aca="false">IF(AC3562,IF(01_因子設定!$B$13="最大化",X3562,IF(01_因子設定!$B$13="最小化",-X3562,-ABS(X3562-01_因子設定!$B$16))),-1E+030)</f>
        <v>48.198894371345</v>
      </c>
      <c r="AF3562" s="55" t="n">
        <f aca="false">AD3562+ROW()*0.000000001</f>
        <v>0.115209618627798</v>
      </c>
      <c r="AG3562" s="55" t="n">
        <f aca="false">AE3562+ROW()*0.000000001</f>
        <v>48.198897933345</v>
      </c>
    </row>
    <row r="3563" customFormat="false" ht="15" hidden="false" customHeight="false" outlineLevel="0" collapsed="false">
      <c r="A3563" s="0" t="n">
        <v>4</v>
      </c>
      <c r="B3563" s="0" t="n">
        <v>7</v>
      </c>
      <c r="C3563" s="0" t="n">
        <v>8</v>
      </c>
      <c r="D3563" s="0" t="n">
        <v>3</v>
      </c>
      <c r="E3563" s="0" t="n">
        <f aca="false">-1+A3563*0.25</f>
        <v>0</v>
      </c>
      <c r="F3563" s="0" t="n">
        <f aca="false">-1+B3563*0.25</f>
        <v>0.75</v>
      </c>
      <c r="G3563" s="0" t="n">
        <f aca="false">-1+C3563*0.25</f>
        <v>1</v>
      </c>
      <c r="H3563" s="0" t="n">
        <f aca="false">-1+D3563*0.25</f>
        <v>-0.25</v>
      </c>
      <c r="I3563" s="0" t="n">
        <f aca="false">1</f>
        <v>1</v>
      </c>
      <c r="J3563" s="0" t="n">
        <f aca="false">E3563</f>
        <v>0</v>
      </c>
      <c r="K3563" s="0" t="n">
        <f aca="false">F3563</f>
        <v>0.75</v>
      </c>
      <c r="L3563" s="0" t="n">
        <f aca="false">G3563</f>
        <v>1</v>
      </c>
      <c r="M3563" s="0" t="n">
        <f aca="false">H3563</f>
        <v>-0.25</v>
      </c>
      <c r="N3563" s="0" t="n">
        <f aca="false">E3563*F3563</f>
        <v>0</v>
      </c>
      <c r="O3563" s="0" t="n">
        <f aca="false">E3563*G3563</f>
        <v>0</v>
      </c>
      <c r="P3563" s="0" t="n">
        <f aca="false">E3563*H3563</f>
        <v>-0</v>
      </c>
      <c r="Q3563" s="0" t="n">
        <f aca="false">F3563*G3563</f>
        <v>0.75</v>
      </c>
      <c r="R3563" s="0" t="n">
        <f aca="false">F3563*H3563</f>
        <v>-0.1875</v>
      </c>
      <c r="S3563" s="0" t="n">
        <f aca="false">G3563*H3563</f>
        <v>-0.25</v>
      </c>
      <c r="T3563" s="0" t="n">
        <f aca="false">E3563*E3563</f>
        <v>0</v>
      </c>
      <c r="U3563" s="0" t="n">
        <f aca="false">F3563*F3563</f>
        <v>0.5625</v>
      </c>
      <c r="V3563" s="0" t="n">
        <f aca="false">G3563*G3563</f>
        <v>1</v>
      </c>
      <c r="W3563" s="0" t="n">
        <f aca="false">H3563*H3563</f>
        <v>0.0625</v>
      </c>
      <c r="X3563" s="0" t="n">
        <f aca="false">SUMPRODUCT(I3563:W3563,_XtX!$B$96:$P$96)</f>
        <v>48.4040250365497</v>
      </c>
      <c r="Y3563" s="0" t="n">
        <f aca="false">SUMPRODUCT(MMULT(I3563:W3563,_XtX!$B$78:$P$92),I3563:W3563)</f>
        <v>0.501534802174708</v>
      </c>
      <c r="Z3563" s="0" t="n">
        <f aca="false">04_回帰ANOVA!$K$19*04_回帰ANOVA!$K$14*SQRT(1+Y3563)</f>
        <v>1.59722498091333</v>
      </c>
      <c r="AA3563" s="0" t="n">
        <f aca="false">X3563-Z3563</f>
        <v>46.8068000556363</v>
      </c>
      <c r="AB3563" s="0" t="n">
        <f aca="false">X3563+Z3563</f>
        <v>50.001250017463</v>
      </c>
      <c r="AC3563" s="54" t="b">
        <f aca="false">AND(E3563&gt;=01_因子設定!$L$5-0.000000001,E3563&lt;=01_因子設定!$M$5+0.000000001,F3563&gt;=01_因子設定!$L$6-0.000000001,F3563&lt;=01_因子設定!$M$6+0.000000001,G3563&gt;=01_因子設定!$L$7-0.000000001,G3563&lt;=01_因子設定!$M$7+0.000000001,H3563&gt;=01_因子設定!$L$8-0.000000001,H3563&lt;=01_因子設定!$M$8+0.000000001,IF(01_因子設定!$B$20="Box-Behnken",E3563^2+F3563^2+G3563^2+H3563^2&lt;=2+0.000000001,TRUE()))</f>
        <v>1</v>
      </c>
      <c r="AD3563" s="55" t="n">
        <f aca="false">IF(AC3563,IF(01_因子設定!$B$13="最大化",AA3563-01_因子設定!$B$14,IF(01_因子設定!$B$13="最小化",01_因子設定!$B$15-AB3563,MIN(AA3563-01_因子設定!$B$14,01_因子設定!$B$15-AB3563))),-1E+030)</f>
        <v>0.306800055636316</v>
      </c>
      <c r="AE3563" s="55" t="n">
        <f aca="false">IF(AC3563,IF(01_因子設定!$B$13="最大化",X3563,IF(01_因子設定!$B$13="最小化",-X3563,-ABS(X3563-01_因子設定!$B$16))),-1E+030)</f>
        <v>48.4040250365497</v>
      </c>
      <c r="AF3563" s="55" t="n">
        <f aca="false">AD3563+ROW()*0.000000001</f>
        <v>0.306803618636316</v>
      </c>
      <c r="AG3563" s="55" t="n">
        <f aca="false">AE3563+ROW()*0.000000001</f>
        <v>48.4040285995497</v>
      </c>
    </row>
    <row r="3564" customFormat="false" ht="15" hidden="false" customHeight="false" outlineLevel="0" collapsed="false">
      <c r="A3564" s="0" t="n">
        <v>4</v>
      </c>
      <c r="B3564" s="0" t="n">
        <v>7</v>
      </c>
      <c r="C3564" s="0" t="n">
        <v>8</v>
      </c>
      <c r="D3564" s="0" t="n">
        <v>4</v>
      </c>
      <c r="E3564" s="0" t="n">
        <f aca="false">-1+A3564*0.25</f>
        <v>0</v>
      </c>
      <c r="F3564" s="0" t="n">
        <f aca="false">-1+B3564*0.25</f>
        <v>0.75</v>
      </c>
      <c r="G3564" s="0" t="n">
        <f aca="false">-1+C3564*0.25</f>
        <v>1</v>
      </c>
      <c r="H3564" s="0" t="n">
        <f aca="false">-1+D3564*0.25</f>
        <v>0</v>
      </c>
      <c r="I3564" s="0" t="n">
        <f aca="false">1</f>
        <v>1</v>
      </c>
      <c r="J3564" s="0" t="n">
        <f aca="false">E3564</f>
        <v>0</v>
      </c>
      <c r="K3564" s="0" t="n">
        <f aca="false">F3564</f>
        <v>0.75</v>
      </c>
      <c r="L3564" s="0" t="n">
        <f aca="false">G3564</f>
        <v>1</v>
      </c>
      <c r="M3564" s="0" t="n">
        <f aca="false">H3564</f>
        <v>0</v>
      </c>
      <c r="N3564" s="0" t="n">
        <f aca="false">E3564*F3564</f>
        <v>0</v>
      </c>
      <c r="O3564" s="0" t="n">
        <f aca="false">E3564*G3564</f>
        <v>0</v>
      </c>
      <c r="P3564" s="0" t="n">
        <f aca="false">E3564*H3564</f>
        <v>0</v>
      </c>
      <c r="Q3564" s="0" t="n">
        <f aca="false">F3564*G3564</f>
        <v>0.75</v>
      </c>
      <c r="R3564" s="0" t="n">
        <f aca="false">F3564*H3564</f>
        <v>0</v>
      </c>
      <c r="S3564" s="0" t="n">
        <f aca="false">G3564*H3564</f>
        <v>0</v>
      </c>
      <c r="T3564" s="0" t="n">
        <f aca="false">E3564*E3564</f>
        <v>0</v>
      </c>
      <c r="U3564" s="0" t="n">
        <f aca="false">F3564*F3564</f>
        <v>0.5625</v>
      </c>
      <c r="V3564" s="0" t="n">
        <f aca="false">G3564*G3564</f>
        <v>1</v>
      </c>
      <c r="W3564" s="0" t="n">
        <f aca="false">H3564*H3564</f>
        <v>0</v>
      </c>
      <c r="X3564" s="0" t="n">
        <f aca="false">SUMPRODUCT(I3564:W3564,_XtX!$B$96:$P$96)</f>
        <v>48.5613486842105</v>
      </c>
      <c r="Y3564" s="0" t="n">
        <f aca="false">SUMPRODUCT(MMULT(I3564:W3564,_XtX!$B$78:$P$92),I3564:W3564)</f>
        <v>0.516013340643275</v>
      </c>
      <c r="Z3564" s="0" t="n">
        <f aca="false">04_回帰ANOVA!$K$19*04_回帰ANOVA!$K$14*SQRT(1+Y3564)</f>
        <v>1.60490712175667</v>
      </c>
      <c r="AA3564" s="0" t="n">
        <f aca="false">X3564-Z3564</f>
        <v>46.9564415624538</v>
      </c>
      <c r="AB3564" s="0" t="n">
        <f aca="false">X3564+Z3564</f>
        <v>50.1662558059671</v>
      </c>
      <c r="AC3564" s="54" t="b">
        <f aca="false">AND(E3564&gt;=01_因子設定!$L$5-0.000000001,E3564&lt;=01_因子設定!$M$5+0.000000001,F3564&gt;=01_因子設定!$L$6-0.000000001,F3564&lt;=01_因子設定!$M$6+0.000000001,G3564&gt;=01_因子設定!$L$7-0.000000001,G3564&lt;=01_因子設定!$M$7+0.000000001,H3564&gt;=01_因子設定!$L$8-0.000000001,H3564&lt;=01_因子設定!$M$8+0.000000001,IF(01_因子設定!$B$20="Box-Behnken",E3564^2+F3564^2+G3564^2+H3564^2&lt;=2+0.000000001,TRUE()))</f>
        <v>1</v>
      </c>
      <c r="AD3564" s="55" t="n">
        <f aca="false">IF(AC3564,IF(01_因子設定!$B$13="最大化",AA3564-01_因子設定!$B$14,IF(01_因子設定!$B$13="最小化",01_因子設定!$B$15-AB3564,MIN(AA3564-01_因子設定!$B$14,01_因子設定!$B$15-AB3564))),-1E+030)</f>
        <v>0.456441562453797</v>
      </c>
      <c r="AE3564" s="55" t="n">
        <f aca="false">IF(AC3564,IF(01_因子設定!$B$13="最大化",X3564,IF(01_因子設定!$B$13="最小化",-X3564,-ABS(X3564-01_因子設定!$B$16))),-1E+030)</f>
        <v>48.5613486842105</v>
      </c>
      <c r="AF3564" s="55" t="n">
        <f aca="false">AD3564+ROW()*0.000000001</f>
        <v>0.456445126453797</v>
      </c>
      <c r="AG3564" s="55" t="n">
        <f aca="false">AE3564+ROW()*0.000000001</f>
        <v>48.5613522482105</v>
      </c>
    </row>
    <row r="3565" customFormat="false" ht="15" hidden="false" customHeight="false" outlineLevel="0" collapsed="false">
      <c r="A3565" s="0" t="n">
        <v>4</v>
      </c>
      <c r="B3565" s="0" t="n">
        <v>7</v>
      </c>
      <c r="C3565" s="0" t="n">
        <v>8</v>
      </c>
      <c r="D3565" s="0" t="n">
        <v>5</v>
      </c>
      <c r="E3565" s="0" t="n">
        <f aca="false">-1+A3565*0.25</f>
        <v>0</v>
      </c>
      <c r="F3565" s="0" t="n">
        <f aca="false">-1+B3565*0.25</f>
        <v>0.75</v>
      </c>
      <c r="G3565" s="0" t="n">
        <f aca="false">-1+C3565*0.25</f>
        <v>1</v>
      </c>
      <c r="H3565" s="0" t="n">
        <f aca="false">-1+D3565*0.25</f>
        <v>0.25</v>
      </c>
      <c r="I3565" s="0" t="n">
        <f aca="false">1</f>
        <v>1</v>
      </c>
      <c r="J3565" s="0" t="n">
        <f aca="false">E3565</f>
        <v>0</v>
      </c>
      <c r="K3565" s="0" t="n">
        <f aca="false">F3565</f>
        <v>0.75</v>
      </c>
      <c r="L3565" s="0" t="n">
        <f aca="false">G3565</f>
        <v>1</v>
      </c>
      <c r="M3565" s="0" t="n">
        <f aca="false">H3565</f>
        <v>0.25</v>
      </c>
      <c r="N3565" s="0" t="n">
        <f aca="false">E3565*F3565</f>
        <v>0</v>
      </c>
      <c r="O3565" s="0" t="n">
        <f aca="false">E3565*G3565</f>
        <v>0</v>
      </c>
      <c r="P3565" s="0" t="n">
        <f aca="false">E3565*H3565</f>
        <v>0</v>
      </c>
      <c r="Q3565" s="0" t="n">
        <f aca="false">F3565*G3565</f>
        <v>0.75</v>
      </c>
      <c r="R3565" s="0" t="n">
        <f aca="false">F3565*H3565</f>
        <v>0.1875</v>
      </c>
      <c r="S3565" s="0" t="n">
        <f aca="false">G3565*H3565</f>
        <v>0.25</v>
      </c>
      <c r="T3565" s="0" t="n">
        <f aca="false">E3565*E3565</f>
        <v>0</v>
      </c>
      <c r="U3565" s="0" t="n">
        <f aca="false">F3565*F3565</f>
        <v>0.5625</v>
      </c>
      <c r="V3565" s="0" t="n">
        <f aca="false">G3565*G3565</f>
        <v>1</v>
      </c>
      <c r="W3565" s="0" t="n">
        <f aca="false">H3565*H3565</f>
        <v>0.0625</v>
      </c>
      <c r="X3565" s="0" t="n">
        <f aca="false">SUMPRODUCT(I3565:W3565,_XtX!$B$96:$P$96)</f>
        <v>48.6708653143274</v>
      </c>
      <c r="Y3565" s="0" t="n">
        <f aca="false">SUMPRODUCT(MMULT(I3565:W3565,_XtX!$B$78:$P$92),I3565:W3565)</f>
        <v>0.501534802174708</v>
      </c>
      <c r="Z3565" s="0" t="n">
        <f aca="false">04_回帰ANOVA!$K$19*04_回帰ANOVA!$K$14*SQRT(1+Y3565)</f>
        <v>1.59722498091333</v>
      </c>
      <c r="AA3565" s="0" t="n">
        <f aca="false">X3565-Z3565</f>
        <v>47.0736403334141</v>
      </c>
      <c r="AB3565" s="0" t="n">
        <f aca="false">X3565+Z3565</f>
        <v>50.2680902952408</v>
      </c>
      <c r="AC3565" s="54" t="b">
        <f aca="false">AND(E3565&gt;=01_因子設定!$L$5-0.000000001,E3565&lt;=01_因子設定!$M$5+0.000000001,F3565&gt;=01_因子設定!$L$6-0.000000001,F3565&lt;=01_因子設定!$M$6+0.000000001,G3565&gt;=01_因子設定!$L$7-0.000000001,G3565&lt;=01_因子設定!$M$7+0.000000001,H3565&gt;=01_因子設定!$L$8-0.000000001,H3565&lt;=01_因子設定!$M$8+0.000000001,IF(01_因子設定!$B$20="Box-Behnken",E3565^2+F3565^2+G3565^2+H3565^2&lt;=2+0.000000001,TRUE()))</f>
        <v>1</v>
      </c>
      <c r="AD3565" s="55" t="n">
        <f aca="false">IF(AC3565,IF(01_因子設定!$B$13="最大化",AA3565-01_因子設定!$B$14,IF(01_因子設定!$B$13="最小化",01_因子設定!$B$15-AB3565,MIN(AA3565-01_因子設定!$B$14,01_因子設定!$B$15-AB3565))),-1E+030)</f>
        <v>0.57364033341409</v>
      </c>
      <c r="AE3565" s="55" t="n">
        <f aca="false">IF(AC3565,IF(01_因子設定!$B$13="最大化",X3565,IF(01_因子設定!$B$13="最小化",-X3565,-ABS(X3565-01_因子設定!$B$16))),-1E+030)</f>
        <v>48.6708653143274</v>
      </c>
      <c r="AF3565" s="55" t="n">
        <f aca="false">AD3565+ROW()*0.000000001</f>
        <v>0.57364389841409</v>
      </c>
      <c r="AG3565" s="55" t="n">
        <f aca="false">AE3565+ROW()*0.000000001</f>
        <v>48.6708688793274</v>
      </c>
    </row>
    <row r="3566" customFormat="false" ht="15" hidden="false" customHeight="false" outlineLevel="0" collapsed="false">
      <c r="A3566" s="0" t="n">
        <v>4</v>
      </c>
      <c r="B3566" s="0" t="n">
        <v>7</v>
      </c>
      <c r="C3566" s="0" t="n">
        <v>8</v>
      </c>
      <c r="D3566" s="0" t="n">
        <v>6</v>
      </c>
      <c r="E3566" s="0" t="n">
        <f aca="false">-1+A3566*0.25</f>
        <v>0</v>
      </c>
      <c r="F3566" s="0" t="n">
        <f aca="false">-1+B3566*0.25</f>
        <v>0.75</v>
      </c>
      <c r="G3566" s="0" t="n">
        <f aca="false">-1+C3566*0.25</f>
        <v>1</v>
      </c>
      <c r="H3566" s="0" t="n">
        <f aca="false">-1+D3566*0.25</f>
        <v>0.5</v>
      </c>
      <c r="I3566" s="0" t="n">
        <f aca="false">1</f>
        <v>1</v>
      </c>
      <c r="J3566" s="0" t="n">
        <f aca="false">E3566</f>
        <v>0</v>
      </c>
      <c r="K3566" s="0" t="n">
        <f aca="false">F3566</f>
        <v>0.75</v>
      </c>
      <c r="L3566" s="0" t="n">
        <f aca="false">G3566</f>
        <v>1</v>
      </c>
      <c r="M3566" s="0" t="n">
        <f aca="false">H3566</f>
        <v>0.5</v>
      </c>
      <c r="N3566" s="0" t="n">
        <f aca="false">E3566*F3566</f>
        <v>0</v>
      </c>
      <c r="O3566" s="0" t="n">
        <f aca="false">E3566*G3566</f>
        <v>0</v>
      </c>
      <c r="P3566" s="0" t="n">
        <f aca="false">E3566*H3566</f>
        <v>0</v>
      </c>
      <c r="Q3566" s="0" t="n">
        <f aca="false">F3566*G3566</f>
        <v>0.75</v>
      </c>
      <c r="R3566" s="0" t="n">
        <f aca="false">F3566*H3566</f>
        <v>0.375</v>
      </c>
      <c r="S3566" s="0" t="n">
        <f aca="false">G3566*H3566</f>
        <v>0.5</v>
      </c>
      <c r="T3566" s="0" t="n">
        <f aca="false">E3566*E3566</f>
        <v>0</v>
      </c>
      <c r="U3566" s="0" t="n">
        <f aca="false">F3566*F3566</f>
        <v>0.5625</v>
      </c>
      <c r="V3566" s="0" t="n">
        <f aca="false">G3566*G3566</f>
        <v>1</v>
      </c>
      <c r="W3566" s="0" t="n">
        <f aca="false">H3566*H3566</f>
        <v>0.25</v>
      </c>
      <c r="X3566" s="0" t="n">
        <f aca="false">SUMPRODUCT(I3566:W3566,_XtX!$B$96:$P$96)</f>
        <v>48.7325749269005</v>
      </c>
      <c r="Y3566" s="0" t="n">
        <f aca="false">SUMPRODUCT(MMULT(I3566:W3566,_XtX!$B$78:$P$92),I3566:W3566)</f>
        <v>0.476191292032164</v>
      </c>
      <c r="Z3566" s="0" t="n">
        <f aca="false">04_回帰ANOVA!$K$19*04_回帰ANOVA!$K$14*SQRT(1+Y3566)</f>
        <v>1.58368831471718</v>
      </c>
      <c r="AA3566" s="0" t="n">
        <f aca="false">X3566-Z3566</f>
        <v>47.1488866121834</v>
      </c>
      <c r="AB3566" s="0" t="n">
        <f aca="false">X3566+Z3566</f>
        <v>50.3162632416177</v>
      </c>
      <c r="AC3566" s="54" t="b">
        <f aca="false">AND(E3566&gt;=01_因子設定!$L$5-0.000000001,E3566&lt;=01_因子設定!$M$5+0.000000001,F3566&gt;=01_因子設定!$L$6-0.000000001,F3566&lt;=01_因子設定!$M$6+0.000000001,G3566&gt;=01_因子設定!$L$7-0.000000001,G3566&lt;=01_因子設定!$M$7+0.000000001,H3566&gt;=01_因子設定!$L$8-0.000000001,H3566&lt;=01_因子設定!$M$8+0.000000001,IF(01_因子設定!$B$20="Box-Behnken",E3566^2+F3566^2+G3566^2+H3566^2&lt;=2+0.000000001,TRUE()))</f>
        <v>1</v>
      </c>
      <c r="AD3566" s="55" t="n">
        <f aca="false">IF(AC3566,IF(01_因子設定!$B$13="最大化",AA3566-01_因子設定!$B$14,IF(01_因子設定!$B$13="最小化",01_因子設定!$B$15-AB3566,MIN(AA3566-01_因子設定!$B$14,01_因子設定!$B$15-AB3566))),-1E+030)</f>
        <v>0.648886612183354</v>
      </c>
      <c r="AE3566" s="55" t="n">
        <f aca="false">IF(AC3566,IF(01_因子設定!$B$13="最大化",X3566,IF(01_因子設定!$B$13="最小化",-X3566,-ABS(X3566-01_因子設定!$B$16))),-1E+030)</f>
        <v>48.7325749269005</v>
      </c>
      <c r="AF3566" s="55" t="n">
        <f aca="false">AD3566+ROW()*0.000000001</f>
        <v>0.648890178183354</v>
      </c>
      <c r="AG3566" s="55" t="n">
        <f aca="false">AE3566+ROW()*0.000000001</f>
        <v>48.7325784929005</v>
      </c>
    </row>
    <row r="3567" customFormat="false" ht="15" hidden="false" customHeight="false" outlineLevel="0" collapsed="false">
      <c r="A3567" s="0" t="n">
        <v>4</v>
      </c>
      <c r="B3567" s="0" t="n">
        <v>7</v>
      </c>
      <c r="C3567" s="0" t="n">
        <v>8</v>
      </c>
      <c r="D3567" s="0" t="n">
        <v>7</v>
      </c>
      <c r="E3567" s="0" t="n">
        <f aca="false">-1+A3567*0.25</f>
        <v>0</v>
      </c>
      <c r="F3567" s="0" t="n">
        <f aca="false">-1+B3567*0.25</f>
        <v>0.75</v>
      </c>
      <c r="G3567" s="0" t="n">
        <f aca="false">-1+C3567*0.25</f>
        <v>1</v>
      </c>
      <c r="H3567" s="0" t="n">
        <f aca="false">-1+D3567*0.25</f>
        <v>0.75</v>
      </c>
      <c r="I3567" s="0" t="n">
        <f aca="false">1</f>
        <v>1</v>
      </c>
      <c r="J3567" s="0" t="n">
        <f aca="false">E3567</f>
        <v>0</v>
      </c>
      <c r="K3567" s="0" t="n">
        <f aca="false">F3567</f>
        <v>0.75</v>
      </c>
      <c r="L3567" s="0" t="n">
        <f aca="false">G3567</f>
        <v>1</v>
      </c>
      <c r="M3567" s="0" t="n">
        <f aca="false">H3567</f>
        <v>0.75</v>
      </c>
      <c r="N3567" s="0" t="n">
        <f aca="false">E3567*F3567</f>
        <v>0</v>
      </c>
      <c r="O3567" s="0" t="n">
        <f aca="false">E3567*G3567</f>
        <v>0</v>
      </c>
      <c r="P3567" s="0" t="n">
        <f aca="false">E3567*H3567</f>
        <v>0</v>
      </c>
      <c r="Q3567" s="0" t="n">
        <f aca="false">F3567*G3567</f>
        <v>0.75</v>
      </c>
      <c r="R3567" s="0" t="n">
        <f aca="false">F3567*H3567</f>
        <v>0.5625</v>
      </c>
      <c r="S3567" s="0" t="n">
        <f aca="false">G3567*H3567</f>
        <v>0.75</v>
      </c>
      <c r="T3567" s="0" t="n">
        <f aca="false">E3567*E3567</f>
        <v>0</v>
      </c>
      <c r="U3567" s="0" t="n">
        <f aca="false">F3567*F3567</f>
        <v>0.5625</v>
      </c>
      <c r="V3567" s="0" t="n">
        <f aca="false">G3567*G3567</f>
        <v>1</v>
      </c>
      <c r="W3567" s="0" t="n">
        <f aca="false">H3567*H3567</f>
        <v>0.5625</v>
      </c>
      <c r="X3567" s="0" t="n">
        <f aca="false">SUMPRODUCT(I3567:W3567,_XtX!$B$96:$P$96)</f>
        <v>48.7464775219298</v>
      </c>
      <c r="Y3567" s="0" t="n">
        <f aca="false">SUMPRODUCT(MMULT(I3567:W3567,_XtX!$B$78:$P$92),I3567:W3567)</f>
        <v>0.494259126005117</v>
      </c>
      <c r="Z3567" s="0" t="n">
        <f aca="false">04_回帰ANOVA!$K$19*04_回帰ANOVA!$K$14*SQRT(1+Y3567)</f>
        <v>1.59335061078203</v>
      </c>
      <c r="AA3567" s="0" t="n">
        <f aca="false">X3567-Z3567</f>
        <v>47.1531269111478</v>
      </c>
      <c r="AB3567" s="0" t="n">
        <f aca="false">X3567+Z3567</f>
        <v>50.3398281327118</v>
      </c>
      <c r="AC3567" s="54" t="b">
        <f aca="false">AND(E3567&gt;=01_因子設定!$L$5-0.000000001,E3567&lt;=01_因子設定!$M$5+0.000000001,F3567&gt;=01_因子設定!$L$6-0.000000001,F3567&lt;=01_因子設定!$M$6+0.000000001,G3567&gt;=01_因子設定!$L$7-0.000000001,G3567&lt;=01_因子設定!$M$7+0.000000001,H3567&gt;=01_因子設定!$L$8-0.000000001,H3567&lt;=01_因子設定!$M$8+0.000000001,IF(01_因子設定!$B$20="Box-Behnken",E3567^2+F3567^2+G3567^2+H3567^2&lt;=2+0.000000001,TRUE()))</f>
        <v>1</v>
      </c>
      <c r="AD3567" s="55" t="n">
        <f aca="false">IF(AC3567,IF(01_因子設定!$B$13="最大化",AA3567-01_因子設定!$B$14,IF(01_因子設定!$B$13="最小化",01_因子設定!$B$15-AB3567,MIN(AA3567-01_因子設定!$B$14,01_因子設定!$B$15-AB3567))),-1E+030)</f>
        <v>0.653126911147758</v>
      </c>
      <c r="AE3567" s="55" t="n">
        <f aca="false">IF(AC3567,IF(01_因子設定!$B$13="最大化",X3567,IF(01_因子設定!$B$13="最小化",-X3567,-ABS(X3567-01_因子設定!$B$16))),-1E+030)</f>
        <v>48.7464775219298</v>
      </c>
      <c r="AF3567" s="55" t="n">
        <f aca="false">AD3567+ROW()*0.000000001</f>
        <v>0.653130478147759</v>
      </c>
      <c r="AG3567" s="55" t="n">
        <f aca="false">AE3567+ROW()*0.000000001</f>
        <v>48.7464810889298</v>
      </c>
    </row>
    <row r="3568" customFormat="false" ht="15" hidden="false" customHeight="false" outlineLevel="0" collapsed="false">
      <c r="A3568" s="0" t="n">
        <v>4</v>
      </c>
      <c r="B3568" s="0" t="n">
        <v>7</v>
      </c>
      <c r="C3568" s="0" t="n">
        <v>8</v>
      </c>
      <c r="D3568" s="0" t="n">
        <v>8</v>
      </c>
      <c r="E3568" s="0" t="n">
        <f aca="false">-1+A3568*0.25</f>
        <v>0</v>
      </c>
      <c r="F3568" s="0" t="n">
        <f aca="false">-1+B3568*0.25</f>
        <v>0.75</v>
      </c>
      <c r="G3568" s="0" t="n">
        <f aca="false">-1+C3568*0.25</f>
        <v>1</v>
      </c>
      <c r="H3568" s="0" t="n">
        <f aca="false">-1+D3568*0.25</f>
        <v>1</v>
      </c>
      <c r="I3568" s="0" t="n">
        <f aca="false">1</f>
        <v>1</v>
      </c>
      <c r="J3568" s="0" t="n">
        <f aca="false">E3568</f>
        <v>0</v>
      </c>
      <c r="K3568" s="0" t="n">
        <f aca="false">F3568</f>
        <v>0.75</v>
      </c>
      <c r="L3568" s="0" t="n">
        <f aca="false">G3568</f>
        <v>1</v>
      </c>
      <c r="M3568" s="0" t="n">
        <f aca="false">H3568</f>
        <v>1</v>
      </c>
      <c r="N3568" s="0" t="n">
        <f aca="false">E3568*F3568</f>
        <v>0</v>
      </c>
      <c r="O3568" s="0" t="n">
        <f aca="false">E3568*G3568</f>
        <v>0</v>
      </c>
      <c r="P3568" s="0" t="n">
        <f aca="false">E3568*H3568</f>
        <v>0</v>
      </c>
      <c r="Q3568" s="0" t="n">
        <f aca="false">F3568*G3568</f>
        <v>0.75</v>
      </c>
      <c r="R3568" s="0" t="n">
        <f aca="false">F3568*H3568</f>
        <v>0.75</v>
      </c>
      <c r="S3568" s="0" t="n">
        <f aca="false">G3568*H3568</f>
        <v>1</v>
      </c>
      <c r="T3568" s="0" t="n">
        <f aca="false">E3568*E3568</f>
        <v>0</v>
      </c>
      <c r="U3568" s="0" t="n">
        <f aca="false">F3568*F3568</f>
        <v>0.5625</v>
      </c>
      <c r="V3568" s="0" t="n">
        <f aca="false">G3568*G3568</f>
        <v>1</v>
      </c>
      <c r="W3568" s="0" t="n">
        <f aca="false">H3568*H3568</f>
        <v>1</v>
      </c>
      <c r="X3568" s="0" t="n">
        <f aca="false">SUMPRODUCT(I3568:W3568,_XtX!$B$96:$P$96)</f>
        <v>48.7125730994152</v>
      </c>
      <c r="Y3568" s="0" t="n">
        <f aca="false">SUMPRODUCT(MMULT(I3568:W3568,_XtX!$B$78:$P$92),I3568:W3568)</f>
        <v>0.646198830409357</v>
      </c>
      <c r="Z3568" s="0" t="n">
        <f aca="false">04_回帰ANOVA!$K$19*04_回帰ANOVA!$K$14*SQRT(1+Y3568)</f>
        <v>1.67239760569756</v>
      </c>
      <c r="AA3568" s="0" t="n">
        <f aca="false">X3568-Z3568</f>
        <v>47.0401754937176</v>
      </c>
      <c r="AB3568" s="0" t="n">
        <f aca="false">X3568+Z3568</f>
        <v>50.3849707051127</v>
      </c>
      <c r="AC3568" s="54" t="b">
        <f aca="false">AND(E3568&gt;=01_因子設定!$L$5-0.000000001,E3568&lt;=01_因子設定!$M$5+0.000000001,F3568&gt;=01_因子設定!$L$6-0.000000001,F3568&lt;=01_因子設定!$M$6+0.000000001,G3568&gt;=01_因子設定!$L$7-0.000000001,G3568&lt;=01_因子設定!$M$7+0.000000001,H3568&gt;=01_因子設定!$L$8-0.000000001,H3568&lt;=01_因子設定!$M$8+0.000000001,IF(01_因子設定!$B$20="Box-Behnken",E3568^2+F3568^2+G3568^2+H3568^2&lt;=2+0.000000001,TRUE()))</f>
        <v>1</v>
      </c>
      <c r="AD3568" s="55" t="n">
        <f aca="false">IF(AC3568,IF(01_因子設定!$B$13="最大化",AA3568-01_因子設定!$B$14,IF(01_因子設定!$B$13="最小化",01_因子設定!$B$15-AB3568,MIN(AA3568-01_因子設定!$B$14,01_因子設定!$B$15-AB3568))),-1E+030)</f>
        <v>0.540175493717626</v>
      </c>
      <c r="AE3568" s="55" t="n">
        <f aca="false">IF(AC3568,IF(01_因子設定!$B$13="最大化",X3568,IF(01_因子設定!$B$13="最小化",-X3568,-ABS(X3568-01_因子設定!$B$16))),-1E+030)</f>
        <v>48.7125730994152</v>
      </c>
      <c r="AF3568" s="55" t="n">
        <f aca="false">AD3568+ROW()*0.000000001</f>
        <v>0.540179061717626</v>
      </c>
      <c r="AG3568" s="55" t="n">
        <f aca="false">AE3568+ROW()*0.000000001</f>
        <v>48.7125766674152</v>
      </c>
    </row>
    <row r="3569" customFormat="false" ht="15" hidden="false" customHeight="false" outlineLevel="0" collapsed="false">
      <c r="A3569" s="0" t="n">
        <v>4</v>
      </c>
      <c r="B3569" s="0" t="n">
        <v>8</v>
      </c>
      <c r="C3569" s="0" t="n">
        <v>0</v>
      </c>
      <c r="D3569" s="0" t="n">
        <v>0</v>
      </c>
      <c r="E3569" s="0" t="n">
        <f aca="false">-1+A3569*0.25</f>
        <v>0</v>
      </c>
      <c r="F3569" s="0" t="n">
        <f aca="false">-1+B3569*0.25</f>
        <v>1</v>
      </c>
      <c r="G3569" s="0" t="n">
        <f aca="false">-1+C3569*0.25</f>
        <v>-1</v>
      </c>
      <c r="H3569" s="0" t="n">
        <f aca="false">-1+D3569*0.25</f>
        <v>-1</v>
      </c>
      <c r="I3569" s="0" t="n">
        <f aca="false">1</f>
        <v>1</v>
      </c>
      <c r="J3569" s="0" t="n">
        <f aca="false">E3569</f>
        <v>0</v>
      </c>
      <c r="K3569" s="0" t="n">
        <f aca="false">F3569</f>
        <v>1</v>
      </c>
      <c r="L3569" s="0" t="n">
        <f aca="false">G3569</f>
        <v>-1</v>
      </c>
      <c r="M3569" s="0" t="n">
        <f aca="false">H3569</f>
        <v>-1</v>
      </c>
      <c r="N3569" s="0" t="n">
        <f aca="false">E3569*F3569</f>
        <v>0</v>
      </c>
      <c r="O3569" s="0" t="n">
        <f aca="false">E3569*G3569</f>
        <v>-0</v>
      </c>
      <c r="P3569" s="0" t="n">
        <f aca="false">E3569*H3569</f>
        <v>-0</v>
      </c>
      <c r="Q3569" s="0" t="n">
        <f aca="false">F3569*G3569</f>
        <v>-1</v>
      </c>
      <c r="R3569" s="0" t="n">
        <f aca="false">F3569*H3569</f>
        <v>-1</v>
      </c>
      <c r="S3569" s="0" t="n">
        <f aca="false">G3569*H3569</f>
        <v>1</v>
      </c>
      <c r="T3569" s="0" t="n">
        <f aca="false">E3569*E3569</f>
        <v>0</v>
      </c>
      <c r="U3569" s="0" t="n">
        <f aca="false">F3569*F3569</f>
        <v>1</v>
      </c>
      <c r="V3569" s="0" t="n">
        <f aca="false">G3569*G3569</f>
        <v>1</v>
      </c>
      <c r="W3569" s="0" t="n">
        <f aca="false">H3569*H3569</f>
        <v>1</v>
      </c>
      <c r="X3569" s="0" t="n">
        <f aca="false">SUMPRODUCT(I3569:W3569,_XtX!$B$96:$P$96)</f>
        <v>45.153581871345</v>
      </c>
      <c r="Y3569" s="0" t="n">
        <f aca="false">SUMPRODUCT(MMULT(I3569:W3569,_XtX!$B$78:$P$92),I3569:W3569)</f>
        <v>0.766447368421053</v>
      </c>
      <c r="Z3569" s="0" t="n">
        <f aca="false">04_回帰ANOVA!$K$19*04_回帰ANOVA!$K$14*SQRT(1+Y3569)</f>
        <v>1.7324022685743</v>
      </c>
      <c r="AA3569" s="0" t="n">
        <f aca="false">X3569-Z3569</f>
        <v>43.4211796027707</v>
      </c>
      <c r="AB3569" s="0" t="n">
        <f aca="false">X3569+Z3569</f>
        <v>46.8859841399193</v>
      </c>
      <c r="AC3569" s="54" t="b">
        <f aca="false">AND(E3569&gt;=01_因子設定!$L$5-0.000000001,E3569&lt;=01_因子設定!$M$5+0.000000001,F3569&gt;=01_因子設定!$L$6-0.000000001,F3569&lt;=01_因子設定!$M$6+0.000000001,G3569&gt;=01_因子設定!$L$7-0.000000001,G3569&lt;=01_因子設定!$M$7+0.000000001,H3569&gt;=01_因子設定!$L$8-0.000000001,H3569&lt;=01_因子設定!$M$8+0.000000001,IF(01_因子設定!$B$20="Box-Behnken",E3569^2+F3569^2+G3569^2+H3569^2&lt;=2+0.000000001,TRUE()))</f>
        <v>1</v>
      </c>
      <c r="AD3569" s="55" t="n">
        <f aca="false">IF(AC3569,IF(01_因子設定!$B$13="最大化",AA3569-01_因子設定!$B$14,IF(01_因子設定!$B$13="最小化",01_因子設定!$B$15-AB3569,MIN(AA3569-01_因子設定!$B$14,01_因子設定!$B$15-AB3569))),-1E+030)</f>
        <v>-3.0788203972293</v>
      </c>
      <c r="AE3569" s="55" t="n">
        <f aca="false">IF(AC3569,IF(01_因子設定!$B$13="最大化",X3569,IF(01_因子設定!$B$13="最小化",-X3569,-ABS(X3569-01_因子設定!$B$16))),-1E+030)</f>
        <v>45.153581871345</v>
      </c>
      <c r="AF3569" s="55" t="n">
        <f aca="false">AD3569+ROW()*0.000000001</f>
        <v>-3.0788168282293</v>
      </c>
      <c r="AG3569" s="55" t="n">
        <f aca="false">AE3569+ROW()*0.000000001</f>
        <v>45.153585440345</v>
      </c>
    </row>
    <row r="3570" customFormat="false" ht="15" hidden="false" customHeight="false" outlineLevel="0" collapsed="false">
      <c r="A3570" s="0" t="n">
        <v>4</v>
      </c>
      <c r="B3570" s="0" t="n">
        <v>8</v>
      </c>
      <c r="C3570" s="0" t="n">
        <v>0</v>
      </c>
      <c r="D3570" s="0" t="n">
        <v>1</v>
      </c>
      <c r="E3570" s="0" t="n">
        <f aca="false">-1+A3570*0.25</f>
        <v>0</v>
      </c>
      <c r="F3570" s="0" t="n">
        <f aca="false">-1+B3570*0.25</f>
        <v>1</v>
      </c>
      <c r="G3570" s="0" t="n">
        <f aca="false">-1+C3570*0.25</f>
        <v>-1</v>
      </c>
      <c r="H3570" s="0" t="n">
        <f aca="false">-1+D3570*0.25</f>
        <v>-0.75</v>
      </c>
      <c r="I3570" s="0" t="n">
        <f aca="false">1</f>
        <v>1</v>
      </c>
      <c r="J3570" s="0" t="n">
        <f aca="false">E3570</f>
        <v>0</v>
      </c>
      <c r="K3570" s="0" t="n">
        <f aca="false">F3570</f>
        <v>1</v>
      </c>
      <c r="L3570" s="0" t="n">
        <f aca="false">G3570</f>
        <v>-1</v>
      </c>
      <c r="M3570" s="0" t="n">
        <f aca="false">H3570</f>
        <v>-0.75</v>
      </c>
      <c r="N3570" s="0" t="n">
        <f aca="false">E3570*F3570</f>
        <v>0</v>
      </c>
      <c r="O3570" s="0" t="n">
        <f aca="false">E3570*G3570</f>
        <v>-0</v>
      </c>
      <c r="P3570" s="0" t="n">
        <f aca="false">E3570*H3570</f>
        <v>-0</v>
      </c>
      <c r="Q3570" s="0" t="n">
        <f aca="false">F3570*G3570</f>
        <v>-1</v>
      </c>
      <c r="R3570" s="0" t="n">
        <f aca="false">F3570*H3570</f>
        <v>-0.75</v>
      </c>
      <c r="S3570" s="0" t="n">
        <f aca="false">G3570*H3570</f>
        <v>0.75</v>
      </c>
      <c r="T3570" s="0" t="n">
        <f aca="false">E3570*E3570</f>
        <v>0</v>
      </c>
      <c r="U3570" s="0" t="n">
        <f aca="false">F3570*F3570</f>
        <v>1</v>
      </c>
      <c r="V3570" s="0" t="n">
        <f aca="false">G3570*G3570</f>
        <v>1</v>
      </c>
      <c r="W3570" s="0" t="n">
        <f aca="false">H3570*H3570</f>
        <v>0.5625</v>
      </c>
      <c r="X3570" s="0" t="n">
        <f aca="false">SUMPRODUCT(I3570:W3570,_XtX!$B$96:$P$96)</f>
        <v>45.2972953216374</v>
      </c>
      <c r="Y3570" s="0" t="n">
        <f aca="false">SUMPRODUCT(MMULT(I3570:W3570,_XtX!$B$78:$P$92),I3570:W3570)</f>
        <v>0.646198830409357</v>
      </c>
      <c r="Z3570" s="0" t="n">
        <f aca="false">04_回帰ANOVA!$K$19*04_回帰ANOVA!$K$14*SQRT(1+Y3570)</f>
        <v>1.67239760569756</v>
      </c>
      <c r="AA3570" s="0" t="n">
        <f aca="false">X3570-Z3570</f>
        <v>43.6248977159398</v>
      </c>
      <c r="AB3570" s="0" t="n">
        <f aca="false">X3570+Z3570</f>
        <v>46.9696929273349</v>
      </c>
      <c r="AC3570" s="54" t="b">
        <f aca="false">AND(E3570&gt;=01_因子設定!$L$5-0.000000001,E3570&lt;=01_因子設定!$M$5+0.000000001,F3570&gt;=01_因子設定!$L$6-0.000000001,F3570&lt;=01_因子設定!$M$6+0.000000001,G3570&gt;=01_因子設定!$L$7-0.000000001,G3570&lt;=01_因子設定!$M$7+0.000000001,H3570&gt;=01_因子設定!$L$8-0.000000001,H3570&lt;=01_因子設定!$M$8+0.000000001,IF(01_因子設定!$B$20="Box-Behnken",E3570^2+F3570^2+G3570^2+H3570^2&lt;=2+0.000000001,TRUE()))</f>
        <v>1</v>
      </c>
      <c r="AD3570" s="55" t="n">
        <f aca="false">IF(AC3570,IF(01_因子設定!$B$13="最大化",AA3570-01_因子設定!$B$14,IF(01_因子設定!$B$13="最小化",01_因子設定!$B$15-AB3570,MIN(AA3570-01_因子設定!$B$14,01_因子設定!$B$15-AB3570))),-1E+030)</f>
        <v>-2.87510228406017</v>
      </c>
      <c r="AE3570" s="55" t="n">
        <f aca="false">IF(AC3570,IF(01_因子設定!$B$13="最大化",X3570,IF(01_因子設定!$B$13="最小化",-X3570,-ABS(X3570-01_因子設定!$B$16))),-1E+030)</f>
        <v>45.2972953216374</v>
      </c>
      <c r="AF3570" s="55" t="n">
        <f aca="false">AD3570+ROW()*0.000000001</f>
        <v>-2.87509871406017</v>
      </c>
      <c r="AG3570" s="55" t="n">
        <f aca="false">AE3570+ROW()*0.000000001</f>
        <v>45.2972988916374</v>
      </c>
    </row>
    <row r="3571" customFormat="false" ht="15" hidden="false" customHeight="false" outlineLevel="0" collapsed="false">
      <c r="A3571" s="0" t="n">
        <v>4</v>
      </c>
      <c r="B3571" s="0" t="n">
        <v>8</v>
      </c>
      <c r="C3571" s="0" t="n">
        <v>0</v>
      </c>
      <c r="D3571" s="0" t="n">
        <v>2</v>
      </c>
      <c r="E3571" s="0" t="n">
        <f aca="false">-1+A3571*0.25</f>
        <v>0</v>
      </c>
      <c r="F3571" s="0" t="n">
        <f aca="false">-1+B3571*0.25</f>
        <v>1</v>
      </c>
      <c r="G3571" s="0" t="n">
        <f aca="false">-1+C3571*0.25</f>
        <v>-1</v>
      </c>
      <c r="H3571" s="0" t="n">
        <f aca="false">-1+D3571*0.25</f>
        <v>-0.5</v>
      </c>
      <c r="I3571" s="0" t="n">
        <f aca="false">1</f>
        <v>1</v>
      </c>
      <c r="J3571" s="0" t="n">
        <f aca="false">E3571</f>
        <v>0</v>
      </c>
      <c r="K3571" s="0" t="n">
        <f aca="false">F3571</f>
        <v>1</v>
      </c>
      <c r="L3571" s="0" t="n">
        <f aca="false">G3571</f>
        <v>-1</v>
      </c>
      <c r="M3571" s="0" t="n">
        <f aca="false">H3571</f>
        <v>-0.5</v>
      </c>
      <c r="N3571" s="0" t="n">
        <f aca="false">E3571*F3571</f>
        <v>0</v>
      </c>
      <c r="O3571" s="0" t="n">
        <f aca="false">E3571*G3571</f>
        <v>-0</v>
      </c>
      <c r="P3571" s="0" t="n">
        <f aca="false">E3571*H3571</f>
        <v>-0</v>
      </c>
      <c r="Q3571" s="0" t="n">
        <f aca="false">F3571*G3571</f>
        <v>-1</v>
      </c>
      <c r="R3571" s="0" t="n">
        <f aca="false">F3571*H3571</f>
        <v>-0.5</v>
      </c>
      <c r="S3571" s="0" t="n">
        <f aca="false">G3571*H3571</f>
        <v>0.5</v>
      </c>
      <c r="T3571" s="0" t="n">
        <f aca="false">E3571*E3571</f>
        <v>0</v>
      </c>
      <c r="U3571" s="0" t="n">
        <f aca="false">F3571*F3571</f>
        <v>1</v>
      </c>
      <c r="V3571" s="0" t="n">
        <f aca="false">G3571*G3571</f>
        <v>1</v>
      </c>
      <c r="W3571" s="0" t="n">
        <f aca="false">H3571*H3571</f>
        <v>0.25</v>
      </c>
      <c r="X3571" s="0" t="n">
        <f aca="false">SUMPRODUCT(I3571:W3571,_XtX!$B$96:$P$96)</f>
        <v>45.3932017543859</v>
      </c>
      <c r="Y3571" s="0" t="n">
        <f aca="false">SUMPRODUCT(MMULT(I3571:W3571,_XtX!$B$78:$P$92),I3571:W3571)</f>
        <v>0.650767543859649</v>
      </c>
      <c r="Z3571" s="0" t="n">
        <f aca="false">04_回帰ANOVA!$K$19*04_回帰ANOVA!$K$14*SQRT(1+Y3571)</f>
        <v>1.67471670935165</v>
      </c>
      <c r="AA3571" s="0" t="n">
        <f aca="false">X3571-Z3571</f>
        <v>43.7184850450343</v>
      </c>
      <c r="AB3571" s="0" t="n">
        <f aca="false">X3571+Z3571</f>
        <v>47.0679184637376</v>
      </c>
      <c r="AC3571" s="54" t="b">
        <f aca="false">AND(E3571&gt;=01_因子設定!$L$5-0.000000001,E3571&lt;=01_因子設定!$M$5+0.000000001,F3571&gt;=01_因子設定!$L$6-0.000000001,F3571&lt;=01_因子設定!$M$6+0.000000001,G3571&gt;=01_因子設定!$L$7-0.000000001,G3571&lt;=01_因子設定!$M$7+0.000000001,H3571&gt;=01_因子設定!$L$8-0.000000001,H3571&lt;=01_因子設定!$M$8+0.000000001,IF(01_因子設定!$B$20="Box-Behnken",E3571^2+F3571^2+G3571^2+H3571^2&lt;=2+0.000000001,TRUE()))</f>
        <v>1</v>
      </c>
      <c r="AD3571" s="55" t="n">
        <f aca="false">IF(AC3571,IF(01_因子設定!$B$13="最大化",AA3571-01_因子設定!$B$14,IF(01_因子設定!$B$13="最小化",01_因子設定!$B$15-AB3571,MIN(AA3571-01_因子設定!$B$14,01_因子設定!$B$15-AB3571))),-1E+030)</f>
        <v>-2.78151495496574</v>
      </c>
      <c r="AE3571" s="55" t="n">
        <f aca="false">IF(AC3571,IF(01_因子設定!$B$13="最大化",X3571,IF(01_因子設定!$B$13="最小化",-X3571,-ABS(X3571-01_因子設定!$B$16))),-1E+030)</f>
        <v>45.3932017543859</v>
      </c>
      <c r="AF3571" s="55" t="n">
        <f aca="false">AD3571+ROW()*0.000000001</f>
        <v>-2.78151138396574</v>
      </c>
      <c r="AG3571" s="55" t="n">
        <f aca="false">AE3571+ROW()*0.000000001</f>
        <v>45.3932053253859</v>
      </c>
    </row>
    <row r="3572" customFormat="false" ht="15" hidden="false" customHeight="false" outlineLevel="0" collapsed="false">
      <c r="A3572" s="0" t="n">
        <v>4</v>
      </c>
      <c r="B3572" s="0" t="n">
        <v>8</v>
      </c>
      <c r="C3572" s="0" t="n">
        <v>0</v>
      </c>
      <c r="D3572" s="0" t="n">
        <v>3</v>
      </c>
      <c r="E3572" s="0" t="n">
        <f aca="false">-1+A3572*0.25</f>
        <v>0</v>
      </c>
      <c r="F3572" s="0" t="n">
        <f aca="false">-1+B3572*0.25</f>
        <v>1</v>
      </c>
      <c r="G3572" s="0" t="n">
        <f aca="false">-1+C3572*0.25</f>
        <v>-1</v>
      </c>
      <c r="H3572" s="0" t="n">
        <f aca="false">-1+D3572*0.25</f>
        <v>-0.25</v>
      </c>
      <c r="I3572" s="0" t="n">
        <f aca="false">1</f>
        <v>1</v>
      </c>
      <c r="J3572" s="0" t="n">
        <f aca="false">E3572</f>
        <v>0</v>
      </c>
      <c r="K3572" s="0" t="n">
        <f aca="false">F3572</f>
        <v>1</v>
      </c>
      <c r="L3572" s="0" t="n">
        <f aca="false">G3572</f>
        <v>-1</v>
      </c>
      <c r="M3572" s="0" t="n">
        <f aca="false">H3572</f>
        <v>-0.25</v>
      </c>
      <c r="N3572" s="0" t="n">
        <f aca="false">E3572*F3572</f>
        <v>0</v>
      </c>
      <c r="O3572" s="0" t="n">
        <f aca="false">E3572*G3572</f>
        <v>-0</v>
      </c>
      <c r="P3572" s="0" t="n">
        <f aca="false">E3572*H3572</f>
        <v>-0</v>
      </c>
      <c r="Q3572" s="0" t="n">
        <f aca="false">F3572*G3572</f>
        <v>-1</v>
      </c>
      <c r="R3572" s="0" t="n">
        <f aca="false">F3572*H3572</f>
        <v>-0.25</v>
      </c>
      <c r="S3572" s="0" t="n">
        <f aca="false">G3572*H3572</f>
        <v>0.25</v>
      </c>
      <c r="T3572" s="0" t="n">
        <f aca="false">E3572*E3572</f>
        <v>0</v>
      </c>
      <c r="U3572" s="0" t="n">
        <f aca="false">F3572*F3572</f>
        <v>1</v>
      </c>
      <c r="V3572" s="0" t="n">
        <f aca="false">G3572*G3572</f>
        <v>1</v>
      </c>
      <c r="W3572" s="0" t="n">
        <f aca="false">H3572*H3572</f>
        <v>0.0625</v>
      </c>
      <c r="X3572" s="0" t="n">
        <f aca="false">SUMPRODUCT(I3572:W3572,_XtX!$B$96:$P$96)</f>
        <v>45.4413011695906</v>
      </c>
      <c r="Y3572" s="0" t="n">
        <f aca="false">SUMPRODUCT(MMULT(I3572:W3572,_XtX!$B$78:$P$92),I3572:W3572)</f>
        <v>0.689692982456141</v>
      </c>
      <c r="Z3572" s="0" t="n">
        <f aca="false">04_回帰ANOVA!$K$19*04_回帰ANOVA!$K$14*SQRT(1+Y3572)</f>
        <v>1.69434674594998</v>
      </c>
      <c r="AA3572" s="0" t="n">
        <f aca="false">X3572-Z3572</f>
        <v>43.7469544236406</v>
      </c>
      <c r="AB3572" s="0" t="n">
        <f aca="false">X3572+Z3572</f>
        <v>47.1356479155406</v>
      </c>
      <c r="AC3572" s="54" t="b">
        <f aca="false">AND(E3572&gt;=01_因子設定!$L$5-0.000000001,E3572&lt;=01_因子設定!$M$5+0.000000001,F3572&gt;=01_因子設定!$L$6-0.000000001,F3572&lt;=01_因子設定!$M$6+0.000000001,G3572&gt;=01_因子設定!$L$7-0.000000001,G3572&lt;=01_因子設定!$M$7+0.000000001,H3572&gt;=01_因子設定!$L$8-0.000000001,H3572&lt;=01_因子設定!$M$8+0.000000001,IF(01_因子設定!$B$20="Box-Behnken",E3572^2+F3572^2+G3572^2+H3572^2&lt;=2+0.000000001,TRUE()))</f>
        <v>1</v>
      </c>
      <c r="AD3572" s="55" t="n">
        <f aca="false">IF(AC3572,IF(01_因子設定!$B$13="最大化",AA3572-01_因子設定!$B$14,IF(01_因子設定!$B$13="最小化",01_因子設定!$B$15-AB3572,MIN(AA3572-01_因子設定!$B$14,01_因子設定!$B$15-AB3572))),-1E+030)</f>
        <v>-2.75304557635941</v>
      </c>
      <c r="AE3572" s="55" t="n">
        <f aca="false">IF(AC3572,IF(01_因子設定!$B$13="最大化",X3572,IF(01_因子設定!$B$13="最小化",-X3572,-ABS(X3572-01_因子設定!$B$16))),-1E+030)</f>
        <v>45.4413011695906</v>
      </c>
      <c r="AF3572" s="55" t="n">
        <f aca="false">AD3572+ROW()*0.000000001</f>
        <v>-2.75304200435941</v>
      </c>
      <c r="AG3572" s="55" t="n">
        <f aca="false">AE3572+ROW()*0.000000001</f>
        <v>45.4413047415906</v>
      </c>
    </row>
    <row r="3573" customFormat="false" ht="15" hidden="false" customHeight="false" outlineLevel="0" collapsed="false">
      <c r="A3573" s="0" t="n">
        <v>4</v>
      </c>
      <c r="B3573" s="0" t="n">
        <v>8</v>
      </c>
      <c r="C3573" s="0" t="n">
        <v>0</v>
      </c>
      <c r="D3573" s="0" t="n">
        <v>4</v>
      </c>
      <c r="E3573" s="0" t="n">
        <f aca="false">-1+A3573*0.25</f>
        <v>0</v>
      </c>
      <c r="F3573" s="0" t="n">
        <f aca="false">-1+B3573*0.25</f>
        <v>1</v>
      </c>
      <c r="G3573" s="0" t="n">
        <f aca="false">-1+C3573*0.25</f>
        <v>-1</v>
      </c>
      <c r="H3573" s="0" t="n">
        <f aca="false">-1+D3573*0.25</f>
        <v>0</v>
      </c>
      <c r="I3573" s="0" t="n">
        <f aca="false">1</f>
        <v>1</v>
      </c>
      <c r="J3573" s="0" t="n">
        <f aca="false">E3573</f>
        <v>0</v>
      </c>
      <c r="K3573" s="0" t="n">
        <f aca="false">F3573</f>
        <v>1</v>
      </c>
      <c r="L3573" s="0" t="n">
        <f aca="false">G3573</f>
        <v>-1</v>
      </c>
      <c r="M3573" s="0" t="n">
        <f aca="false">H3573</f>
        <v>0</v>
      </c>
      <c r="N3573" s="0" t="n">
        <f aca="false">E3573*F3573</f>
        <v>0</v>
      </c>
      <c r="O3573" s="0" t="n">
        <f aca="false">E3573*G3573</f>
        <v>-0</v>
      </c>
      <c r="P3573" s="0" t="n">
        <f aca="false">E3573*H3573</f>
        <v>0</v>
      </c>
      <c r="Q3573" s="0" t="n">
        <f aca="false">F3573*G3573</f>
        <v>-1</v>
      </c>
      <c r="R3573" s="0" t="n">
        <f aca="false">F3573*H3573</f>
        <v>0</v>
      </c>
      <c r="S3573" s="0" t="n">
        <f aca="false">G3573*H3573</f>
        <v>-0</v>
      </c>
      <c r="T3573" s="0" t="n">
        <f aca="false">E3573*E3573</f>
        <v>0</v>
      </c>
      <c r="U3573" s="0" t="n">
        <f aca="false">F3573*F3573</f>
        <v>1</v>
      </c>
      <c r="V3573" s="0" t="n">
        <f aca="false">G3573*G3573</f>
        <v>1</v>
      </c>
      <c r="W3573" s="0" t="n">
        <f aca="false">H3573*H3573</f>
        <v>0</v>
      </c>
      <c r="X3573" s="0" t="n">
        <f aca="false">SUMPRODUCT(I3573:W3573,_XtX!$B$96:$P$96)</f>
        <v>45.4415935672514</v>
      </c>
      <c r="Y3573" s="0" t="n">
        <f aca="false">SUMPRODUCT(MMULT(I3573:W3573,_XtX!$B$78:$P$92),I3573:W3573)</f>
        <v>0.708698830409357</v>
      </c>
      <c r="Z3573" s="0" t="n">
        <f aca="false">04_回帰ANOVA!$K$19*04_回帰ANOVA!$K$14*SQRT(1+Y3573)</f>
        <v>1.70384919651719</v>
      </c>
      <c r="AA3573" s="0" t="n">
        <f aca="false">X3573-Z3573</f>
        <v>43.7377443707342</v>
      </c>
      <c r="AB3573" s="0" t="n">
        <f aca="false">X3573+Z3573</f>
        <v>47.1454427637686</v>
      </c>
      <c r="AC3573" s="54" t="b">
        <f aca="false">AND(E3573&gt;=01_因子設定!$L$5-0.000000001,E3573&lt;=01_因子設定!$M$5+0.000000001,F3573&gt;=01_因子設定!$L$6-0.000000001,F3573&lt;=01_因子設定!$M$6+0.000000001,G3573&gt;=01_因子設定!$L$7-0.000000001,G3573&lt;=01_因子設定!$M$7+0.000000001,H3573&gt;=01_因子設定!$L$8-0.000000001,H3573&lt;=01_因子設定!$M$8+0.000000001,IF(01_因子設定!$B$20="Box-Behnken",E3573^2+F3573^2+G3573^2+H3573^2&lt;=2+0.000000001,TRUE()))</f>
        <v>1</v>
      </c>
      <c r="AD3573" s="55" t="n">
        <f aca="false">IF(AC3573,IF(01_因子設定!$B$13="最大化",AA3573-01_因子設定!$B$14,IF(01_因子設定!$B$13="最小化",01_因子設定!$B$15-AB3573,MIN(AA3573-01_因子設定!$B$14,01_因子設定!$B$15-AB3573))),-1E+030)</f>
        <v>-2.76225562926579</v>
      </c>
      <c r="AE3573" s="55" t="n">
        <f aca="false">IF(AC3573,IF(01_因子設定!$B$13="最大化",X3573,IF(01_因子設定!$B$13="最小化",-X3573,-ABS(X3573-01_因子設定!$B$16))),-1E+030)</f>
        <v>45.4415935672514</v>
      </c>
      <c r="AF3573" s="55" t="n">
        <f aca="false">AD3573+ROW()*0.000000001</f>
        <v>-2.76225205626579</v>
      </c>
      <c r="AG3573" s="55" t="n">
        <f aca="false">AE3573+ROW()*0.000000001</f>
        <v>45.4415971402514</v>
      </c>
    </row>
    <row r="3574" customFormat="false" ht="15" hidden="false" customHeight="false" outlineLevel="0" collapsed="false">
      <c r="A3574" s="0" t="n">
        <v>4</v>
      </c>
      <c r="B3574" s="0" t="n">
        <v>8</v>
      </c>
      <c r="C3574" s="0" t="n">
        <v>0</v>
      </c>
      <c r="D3574" s="0" t="n">
        <v>5</v>
      </c>
      <c r="E3574" s="0" t="n">
        <f aca="false">-1+A3574*0.25</f>
        <v>0</v>
      </c>
      <c r="F3574" s="0" t="n">
        <f aca="false">-1+B3574*0.25</f>
        <v>1</v>
      </c>
      <c r="G3574" s="0" t="n">
        <f aca="false">-1+C3574*0.25</f>
        <v>-1</v>
      </c>
      <c r="H3574" s="0" t="n">
        <f aca="false">-1+D3574*0.25</f>
        <v>0.25</v>
      </c>
      <c r="I3574" s="0" t="n">
        <f aca="false">1</f>
        <v>1</v>
      </c>
      <c r="J3574" s="0" t="n">
        <f aca="false">E3574</f>
        <v>0</v>
      </c>
      <c r="K3574" s="0" t="n">
        <f aca="false">F3574</f>
        <v>1</v>
      </c>
      <c r="L3574" s="0" t="n">
        <f aca="false">G3574</f>
        <v>-1</v>
      </c>
      <c r="M3574" s="0" t="n">
        <f aca="false">H3574</f>
        <v>0.25</v>
      </c>
      <c r="N3574" s="0" t="n">
        <f aca="false">E3574*F3574</f>
        <v>0</v>
      </c>
      <c r="O3574" s="0" t="n">
        <f aca="false">E3574*G3574</f>
        <v>-0</v>
      </c>
      <c r="P3574" s="0" t="n">
        <f aca="false">E3574*H3574</f>
        <v>0</v>
      </c>
      <c r="Q3574" s="0" t="n">
        <f aca="false">F3574*G3574</f>
        <v>-1</v>
      </c>
      <c r="R3574" s="0" t="n">
        <f aca="false">F3574*H3574</f>
        <v>0.25</v>
      </c>
      <c r="S3574" s="0" t="n">
        <f aca="false">G3574*H3574</f>
        <v>-0.25</v>
      </c>
      <c r="T3574" s="0" t="n">
        <f aca="false">E3574*E3574</f>
        <v>0</v>
      </c>
      <c r="U3574" s="0" t="n">
        <f aca="false">F3574*F3574</f>
        <v>1</v>
      </c>
      <c r="V3574" s="0" t="n">
        <f aca="false">G3574*G3574</f>
        <v>1</v>
      </c>
      <c r="W3574" s="0" t="n">
        <f aca="false">H3574*H3574</f>
        <v>0.0625</v>
      </c>
      <c r="X3574" s="0" t="n">
        <f aca="false">SUMPRODUCT(I3574:W3574,_XtX!$B$96:$P$96)</f>
        <v>45.3940789473684</v>
      </c>
      <c r="Y3574" s="0" t="n">
        <f aca="false">SUMPRODUCT(MMULT(I3574:W3574,_XtX!$B$78:$P$92),I3574:W3574)</f>
        <v>0.689692982456141</v>
      </c>
      <c r="Z3574" s="0" t="n">
        <f aca="false">04_回帰ANOVA!$K$19*04_回帰ANOVA!$K$14*SQRT(1+Y3574)</f>
        <v>1.69434674594998</v>
      </c>
      <c r="AA3574" s="0" t="n">
        <f aca="false">X3574-Z3574</f>
        <v>43.6997322014184</v>
      </c>
      <c r="AB3574" s="0" t="n">
        <f aca="false">X3574+Z3574</f>
        <v>47.0884256933184</v>
      </c>
      <c r="AC3574" s="54" t="b">
        <f aca="false">AND(E3574&gt;=01_因子設定!$L$5-0.000000001,E3574&lt;=01_因子設定!$M$5+0.000000001,F3574&gt;=01_因子設定!$L$6-0.000000001,F3574&lt;=01_因子設定!$M$6+0.000000001,G3574&gt;=01_因子設定!$L$7-0.000000001,G3574&lt;=01_因子設定!$M$7+0.000000001,H3574&gt;=01_因子設定!$L$8-0.000000001,H3574&lt;=01_因子設定!$M$8+0.000000001,IF(01_因子設定!$B$20="Box-Behnken",E3574^2+F3574^2+G3574^2+H3574^2&lt;=2+0.000000001,TRUE()))</f>
        <v>1</v>
      </c>
      <c r="AD3574" s="55" t="n">
        <f aca="false">IF(AC3574,IF(01_因子設定!$B$13="最大化",AA3574-01_因子設定!$B$14,IF(01_因子設定!$B$13="最小化",01_因子設定!$B$15-AB3574,MIN(AA3574-01_因子設定!$B$14,01_因子設定!$B$15-AB3574))),-1E+030)</f>
        <v>-2.80026779858162</v>
      </c>
      <c r="AE3574" s="55" t="n">
        <f aca="false">IF(AC3574,IF(01_因子設定!$B$13="最大化",X3574,IF(01_因子設定!$B$13="最小化",-X3574,-ABS(X3574-01_因子設定!$B$16))),-1E+030)</f>
        <v>45.3940789473684</v>
      </c>
      <c r="AF3574" s="55" t="n">
        <f aca="false">AD3574+ROW()*0.000000001</f>
        <v>-2.80026422458162</v>
      </c>
      <c r="AG3574" s="55" t="n">
        <f aca="false">AE3574+ROW()*0.000000001</f>
        <v>45.3940825213684</v>
      </c>
    </row>
    <row r="3575" customFormat="false" ht="15" hidden="false" customHeight="false" outlineLevel="0" collapsed="false">
      <c r="A3575" s="0" t="n">
        <v>4</v>
      </c>
      <c r="B3575" s="0" t="n">
        <v>8</v>
      </c>
      <c r="C3575" s="0" t="n">
        <v>0</v>
      </c>
      <c r="D3575" s="0" t="n">
        <v>6</v>
      </c>
      <c r="E3575" s="0" t="n">
        <f aca="false">-1+A3575*0.25</f>
        <v>0</v>
      </c>
      <c r="F3575" s="0" t="n">
        <f aca="false">-1+B3575*0.25</f>
        <v>1</v>
      </c>
      <c r="G3575" s="0" t="n">
        <f aca="false">-1+C3575*0.25</f>
        <v>-1</v>
      </c>
      <c r="H3575" s="0" t="n">
        <f aca="false">-1+D3575*0.25</f>
        <v>0.5</v>
      </c>
      <c r="I3575" s="0" t="n">
        <f aca="false">1</f>
        <v>1</v>
      </c>
      <c r="J3575" s="0" t="n">
        <f aca="false">E3575</f>
        <v>0</v>
      </c>
      <c r="K3575" s="0" t="n">
        <f aca="false">F3575</f>
        <v>1</v>
      </c>
      <c r="L3575" s="0" t="n">
        <f aca="false">G3575</f>
        <v>-1</v>
      </c>
      <c r="M3575" s="0" t="n">
        <f aca="false">H3575</f>
        <v>0.5</v>
      </c>
      <c r="N3575" s="0" t="n">
        <f aca="false">E3575*F3575</f>
        <v>0</v>
      </c>
      <c r="O3575" s="0" t="n">
        <f aca="false">E3575*G3575</f>
        <v>-0</v>
      </c>
      <c r="P3575" s="0" t="n">
        <f aca="false">E3575*H3575</f>
        <v>0</v>
      </c>
      <c r="Q3575" s="0" t="n">
        <f aca="false">F3575*G3575</f>
        <v>-1</v>
      </c>
      <c r="R3575" s="0" t="n">
        <f aca="false">F3575*H3575</f>
        <v>0.5</v>
      </c>
      <c r="S3575" s="0" t="n">
        <f aca="false">G3575*H3575</f>
        <v>-0.5</v>
      </c>
      <c r="T3575" s="0" t="n">
        <f aca="false">E3575*E3575</f>
        <v>0</v>
      </c>
      <c r="U3575" s="0" t="n">
        <f aca="false">F3575*F3575</f>
        <v>1</v>
      </c>
      <c r="V3575" s="0" t="n">
        <f aca="false">G3575*G3575</f>
        <v>1</v>
      </c>
      <c r="W3575" s="0" t="n">
        <f aca="false">H3575*H3575</f>
        <v>0.25</v>
      </c>
      <c r="X3575" s="0" t="n">
        <f aca="false">SUMPRODUCT(I3575:W3575,_XtX!$B$96:$P$96)</f>
        <v>45.2987573099415</v>
      </c>
      <c r="Y3575" s="0" t="n">
        <f aca="false">SUMPRODUCT(MMULT(I3575:W3575,_XtX!$B$78:$P$92),I3575:W3575)</f>
        <v>0.650767543859649</v>
      </c>
      <c r="Z3575" s="0" t="n">
        <f aca="false">04_回帰ANOVA!$K$19*04_回帰ANOVA!$K$14*SQRT(1+Y3575)</f>
        <v>1.67471670935165</v>
      </c>
      <c r="AA3575" s="0" t="n">
        <f aca="false">X3575-Z3575</f>
        <v>43.6240406005898</v>
      </c>
      <c r="AB3575" s="0" t="n">
        <f aca="false">X3575+Z3575</f>
        <v>46.9734740192931</v>
      </c>
      <c r="AC3575" s="54" t="b">
        <f aca="false">AND(E3575&gt;=01_因子設定!$L$5-0.000000001,E3575&lt;=01_因子設定!$M$5+0.000000001,F3575&gt;=01_因子設定!$L$6-0.000000001,F3575&lt;=01_因子設定!$M$6+0.000000001,G3575&gt;=01_因子設定!$L$7-0.000000001,G3575&lt;=01_因子設定!$M$7+0.000000001,H3575&gt;=01_因子設定!$L$8-0.000000001,H3575&lt;=01_因子設定!$M$8+0.000000001,IF(01_因子設定!$B$20="Box-Behnken",E3575^2+F3575^2+G3575^2+H3575^2&lt;=2+0.000000001,TRUE()))</f>
        <v>1</v>
      </c>
      <c r="AD3575" s="55" t="n">
        <f aca="false">IF(AC3575,IF(01_因子設定!$B$13="最大化",AA3575-01_因子設定!$B$14,IF(01_因子設定!$B$13="最小化",01_因子設定!$B$15-AB3575,MIN(AA3575-01_因子設定!$B$14,01_因子設定!$B$15-AB3575))),-1E+030)</f>
        <v>-2.87595939941019</v>
      </c>
      <c r="AE3575" s="55" t="n">
        <f aca="false">IF(AC3575,IF(01_因子設定!$B$13="最大化",X3575,IF(01_因子設定!$B$13="最小化",-X3575,-ABS(X3575-01_因子設定!$B$16))),-1E+030)</f>
        <v>45.2987573099415</v>
      </c>
      <c r="AF3575" s="55" t="n">
        <f aca="false">AD3575+ROW()*0.000000001</f>
        <v>-2.87595582441019</v>
      </c>
      <c r="AG3575" s="55" t="n">
        <f aca="false">AE3575+ROW()*0.000000001</f>
        <v>45.2987608849415</v>
      </c>
    </row>
    <row r="3576" customFormat="false" ht="15" hidden="false" customHeight="false" outlineLevel="0" collapsed="false">
      <c r="A3576" s="0" t="n">
        <v>4</v>
      </c>
      <c r="B3576" s="0" t="n">
        <v>8</v>
      </c>
      <c r="C3576" s="0" t="n">
        <v>0</v>
      </c>
      <c r="D3576" s="0" t="n">
        <v>7</v>
      </c>
      <c r="E3576" s="0" t="n">
        <f aca="false">-1+A3576*0.25</f>
        <v>0</v>
      </c>
      <c r="F3576" s="0" t="n">
        <f aca="false">-1+B3576*0.25</f>
        <v>1</v>
      </c>
      <c r="G3576" s="0" t="n">
        <f aca="false">-1+C3576*0.25</f>
        <v>-1</v>
      </c>
      <c r="H3576" s="0" t="n">
        <f aca="false">-1+D3576*0.25</f>
        <v>0.75</v>
      </c>
      <c r="I3576" s="0" t="n">
        <f aca="false">1</f>
        <v>1</v>
      </c>
      <c r="J3576" s="0" t="n">
        <f aca="false">E3576</f>
        <v>0</v>
      </c>
      <c r="K3576" s="0" t="n">
        <f aca="false">F3576</f>
        <v>1</v>
      </c>
      <c r="L3576" s="0" t="n">
        <f aca="false">G3576</f>
        <v>-1</v>
      </c>
      <c r="M3576" s="0" t="n">
        <f aca="false">H3576</f>
        <v>0.75</v>
      </c>
      <c r="N3576" s="0" t="n">
        <f aca="false">E3576*F3576</f>
        <v>0</v>
      </c>
      <c r="O3576" s="0" t="n">
        <f aca="false">E3576*G3576</f>
        <v>-0</v>
      </c>
      <c r="P3576" s="0" t="n">
        <f aca="false">E3576*H3576</f>
        <v>0</v>
      </c>
      <c r="Q3576" s="0" t="n">
        <f aca="false">F3576*G3576</f>
        <v>-1</v>
      </c>
      <c r="R3576" s="0" t="n">
        <f aca="false">F3576*H3576</f>
        <v>0.75</v>
      </c>
      <c r="S3576" s="0" t="n">
        <f aca="false">G3576*H3576</f>
        <v>-0.75</v>
      </c>
      <c r="T3576" s="0" t="n">
        <f aca="false">E3576*E3576</f>
        <v>0</v>
      </c>
      <c r="U3576" s="0" t="n">
        <f aca="false">F3576*F3576</f>
        <v>1</v>
      </c>
      <c r="V3576" s="0" t="n">
        <f aca="false">G3576*G3576</f>
        <v>1</v>
      </c>
      <c r="W3576" s="0" t="n">
        <f aca="false">H3576*H3576</f>
        <v>0.5625</v>
      </c>
      <c r="X3576" s="0" t="n">
        <f aca="false">SUMPRODUCT(I3576:W3576,_XtX!$B$96:$P$96)</f>
        <v>45.1556286549707</v>
      </c>
      <c r="Y3576" s="0" t="n">
        <f aca="false">SUMPRODUCT(MMULT(I3576:W3576,_XtX!$B$78:$P$92),I3576:W3576)</f>
        <v>0.646198830409357</v>
      </c>
      <c r="Z3576" s="0" t="n">
        <f aca="false">04_回帰ANOVA!$K$19*04_回帰ANOVA!$K$14*SQRT(1+Y3576)</f>
        <v>1.67239760569756</v>
      </c>
      <c r="AA3576" s="0" t="n">
        <f aca="false">X3576-Z3576</f>
        <v>43.4832310492732</v>
      </c>
      <c r="AB3576" s="0" t="n">
        <f aca="false">X3576+Z3576</f>
        <v>46.8280262606683</v>
      </c>
      <c r="AC3576" s="54" t="b">
        <f aca="false">AND(E3576&gt;=01_因子設定!$L$5-0.000000001,E3576&lt;=01_因子設定!$M$5+0.000000001,F3576&gt;=01_因子設定!$L$6-0.000000001,F3576&lt;=01_因子設定!$M$6+0.000000001,G3576&gt;=01_因子設定!$L$7-0.000000001,G3576&lt;=01_因子設定!$M$7+0.000000001,H3576&gt;=01_因子設定!$L$8-0.000000001,H3576&lt;=01_因子設定!$M$8+0.000000001,IF(01_因子設定!$B$20="Box-Behnken",E3576^2+F3576^2+G3576^2+H3576^2&lt;=2+0.000000001,TRUE()))</f>
        <v>1</v>
      </c>
      <c r="AD3576" s="55" t="n">
        <f aca="false">IF(AC3576,IF(01_因子設定!$B$13="最大化",AA3576-01_因子設定!$B$14,IF(01_因子設定!$B$13="最小化",01_因子設定!$B$15-AB3576,MIN(AA3576-01_因子設定!$B$14,01_因子設定!$B$15-AB3576))),-1E+030)</f>
        <v>-3.01676895072684</v>
      </c>
      <c r="AE3576" s="55" t="n">
        <f aca="false">IF(AC3576,IF(01_因子設定!$B$13="最大化",X3576,IF(01_因子設定!$B$13="最小化",-X3576,-ABS(X3576-01_因子設定!$B$16))),-1E+030)</f>
        <v>45.1556286549707</v>
      </c>
      <c r="AF3576" s="55" t="n">
        <f aca="false">AD3576+ROW()*0.000000001</f>
        <v>-3.01676537472684</v>
      </c>
      <c r="AG3576" s="55" t="n">
        <f aca="false">AE3576+ROW()*0.000000001</f>
        <v>45.1556322309707</v>
      </c>
    </row>
    <row r="3577" customFormat="false" ht="15" hidden="false" customHeight="false" outlineLevel="0" collapsed="false">
      <c r="A3577" s="0" t="n">
        <v>4</v>
      </c>
      <c r="B3577" s="0" t="n">
        <v>8</v>
      </c>
      <c r="C3577" s="0" t="n">
        <v>0</v>
      </c>
      <c r="D3577" s="0" t="n">
        <v>8</v>
      </c>
      <c r="E3577" s="0" t="n">
        <f aca="false">-1+A3577*0.25</f>
        <v>0</v>
      </c>
      <c r="F3577" s="0" t="n">
        <f aca="false">-1+B3577*0.25</f>
        <v>1</v>
      </c>
      <c r="G3577" s="0" t="n">
        <f aca="false">-1+C3577*0.25</f>
        <v>-1</v>
      </c>
      <c r="H3577" s="0" t="n">
        <f aca="false">-1+D3577*0.25</f>
        <v>1</v>
      </c>
      <c r="I3577" s="0" t="n">
        <f aca="false">1</f>
        <v>1</v>
      </c>
      <c r="J3577" s="0" t="n">
        <f aca="false">E3577</f>
        <v>0</v>
      </c>
      <c r="K3577" s="0" t="n">
        <f aca="false">F3577</f>
        <v>1</v>
      </c>
      <c r="L3577" s="0" t="n">
        <f aca="false">G3577</f>
        <v>-1</v>
      </c>
      <c r="M3577" s="0" t="n">
        <f aca="false">H3577</f>
        <v>1</v>
      </c>
      <c r="N3577" s="0" t="n">
        <f aca="false">E3577*F3577</f>
        <v>0</v>
      </c>
      <c r="O3577" s="0" t="n">
        <f aca="false">E3577*G3577</f>
        <v>-0</v>
      </c>
      <c r="P3577" s="0" t="n">
        <f aca="false">E3577*H3577</f>
        <v>0</v>
      </c>
      <c r="Q3577" s="0" t="n">
        <f aca="false">F3577*G3577</f>
        <v>-1</v>
      </c>
      <c r="R3577" s="0" t="n">
        <f aca="false">F3577*H3577</f>
        <v>1</v>
      </c>
      <c r="S3577" s="0" t="n">
        <f aca="false">G3577*H3577</f>
        <v>-1</v>
      </c>
      <c r="T3577" s="0" t="n">
        <f aca="false">E3577*E3577</f>
        <v>0</v>
      </c>
      <c r="U3577" s="0" t="n">
        <f aca="false">F3577*F3577</f>
        <v>1</v>
      </c>
      <c r="V3577" s="0" t="n">
        <f aca="false">G3577*G3577</f>
        <v>1</v>
      </c>
      <c r="W3577" s="0" t="n">
        <f aca="false">H3577*H3577</f>
        <v>1</v>
      </c>
      <c r="X3577" s="0" t="n">
        <f aca="false">SUMPRODUCT(I3577:W3577,_XtX!$B$96:$P$96)</f>
        <v>44.9646929824561</v>
      </c>
      <c r="Y3577" s="0" t="n">
        <f aca="false">SUMPRODUCT(MMULT(I3577:W3577,_XtX!$B$78:$P$92),I3577:W3577)</f>
        <v>0.766447368421053</v>
      </c>
      <c r="Z3577" s="0" t="n">
        <f aca="false">04_回帰ANOVA!$K$19*04_回帰ANOVA!$K$14*SQRT(1+Y3577)</f>
        <v>1.7324022685743</v>
      </c>
      <c r="AA3577" s="0" t="n">
        <f aca="false">X3577-Z3577</f>
        <v>43.2322907138818</v>
      </c>
      <c r="AB3577" s="0" t="n">
        <f aca="false">X3577+Z3577</f>
        <v>46.6970952510304</v>
      </c>
      <c r="AC3577" s="54" t="b">
        <f aca="false">AND(E3577&gt;=01_因子設定!$L$5-0.000000001,E3577&lt;=01_因子設定!$M$5+0.000000001,F3577&gt;=01_因子設定!$L$6-0.000000001,F3577&lt;=01_因子設定!$M$6+0.000000001,G3577&gt;=01_因子設定!$L$7-0.000000001,G3577&lt;=01_因子設定!$M$7+0.000000001,H3577&gt;=01_因子設定!$L$8-0.000000001,H3577&lt;=01_因子設定!$M$8+0.000000001,IF(01_因子設定!$B$20="Box-Behnken",E3577^2+F3577^2+G3577^2+H3577^2&lt;=2+0.000000001,TRUE()))</f>
        <v>1</v>
      </c>
      <c r="AD3577" s="55" t="n">
        <f aca="false">IF(AC3577,IF(01_因子設定!$B$13="最大化",AA3577-01_因子設定!$B$14,IF(01_因子設定!$B$13="最小化",01_因子設定!$B$15-AB3577,MIN(AA3577-01_因子設定!$B$14,01_因子設定!$B$15-AB3577))),-1E+030)</f>
        <v>-3.26770928611819</v>
      </c>
      <c r="AE3577" s="55" t="n">
        <f aca="false">IF(AC3577,IF(01_因子設定!$B$13="最大化",X3577,IF(01_因子設定!$B$13="最小化",-X3577,-ABS(X3577-01_因子設定!$B$16))),-1E+030)</f>
        <v>44.9646929824561</v>
      </c>
      <c r="AF3577" s="55" t="n">
        <f aca="false">AD3577+ROW()*0.000000001</f>
        <v>-3.26770570911819</v>
      </c>
      <c r="AG3577" s="55" t="n">
        <f aca="false">AE3577+ROW()*0.000000001</f>
        <v>44.9646965594561</v>
      </c>
    </row>
    <row r="3578" customFormat="false" ht="15" hidden="false" customHeight="false" outlineLevel="0" collapsed="false">
      <c r="A3578" s="0" t="n">
        <v>4</v>
      </c>
      <c r="B3578" s="0" t="n">
        <v>8</v>
      </c>
      <c r="C3578" s="0" t="n">
        <v>1</v>
      </c>
      <c r="D3578" s="0" t="n">
        <v>0</v>
      </c>
      <c r="E3578" s="0" t="n">
        <f aca="false">-1+A3578*0.25</f>
        <v>0</v>
      </c>
      <c r="F3578" s="0" t="n">
        <f aca="false">-1+B3578*0.25</f>
        <v>1</v>
      </c>
      <c r="G3578" s="0" t="n">
        <f aca="false">-1+C3578*0.25</f>
        <v>-0.75</v>
      </c>
      <c r="H3578" s="0" t="n">
        <f aca="false">-1+D3578*0.25</f>
        <v>-1</v>
      </c>
      <c r="I3578" s="0" t="n">
        <f aca="false">1</f>
        <v>1</v>
      </c>
      <c r="J3578" s="0" t="n">
        <f aca="false">E3578</f>
        <v>0</v>
      </c>
      <c r="K3578" s="0" t="n">
        <f aca="false">F3578</f>
        <v>1</v>
      </c>
      <c r="L3578" s="0" t="n">
        <f aca="false">G3578</f>
        <v>-0.75</v>
      </c>
      <c r="M3578" s="0" t="n">
        <f aca="false">H3578</f>
        <v>-1</v>
      </c>
      <c r="N3578" s="0" t="n">
        <f aca="false">E3578*F3578</f>
        <v>0</v>
      </c>
      <c r="O3578" s="0" t="n">
        <f aca="false">E3578*G3578</f>
        <v>-0</v>
      </c>
      <c r="P3578" s="0" t="n">
        <f aca="false">E3578*H3578</f>
        <v>-0</v>
      </c>
      <c r="Q3578" s="0" t="n">
        <f aca="false">F3578*G3578</f>
        <v>-0.75</v>
      </c>
      <c r="R3578" s="0" t="n">
        <f aca="false">F3578*H3578</f>
        <v>-1</v>
      </c>
      <c r="S3578" s="0" t="n">
        <f aca="false">G3578*H3578</f>
        <v>0.75</v>
      </c>
      <c r="T3578" s="0" t="n">
        <f aca="false">E3578*E3578</f>
        <v>0</v>
      </c>
      <c r="U3578" s="0" t="n">
        <f aca="false">F3578*F3578</f>
        <v>1</v>
      </c>
      <c r="V3578" s="0" t="n">
        <f aca="false">G3578*G3578</f>
        <v>0.5625</v>
      </c>
      <c r="W3578" s="0" t="n">
        <f aca="false">H3578*H3578</f>
        <v>1</v>
      </c>
      <c r="X3578" s="0" t="n">
        <f aca="false">SUMPRODUCT(I3578:W3578,_XtX!$B$96:$P$96)</f>
        <v>45.7042397660819</v>
      </c>
      <c r="Y3578" s="0" t="n">
        <f aca="false">SUMPRODUCT(MMULT(I3578:W3578,_XtX!$B$78:$P$92),I3578:W3578)</f>
        <v>0.646198830409357</v>
      </c>
      <c r="Z3578" s="0" t="n">
        <f aca="false">04_回帰ANOVA!$K$19*04_回帰ANOVA!$K$14*SQRT(1+Y3578)</f>
        <v>1.67239760569756</v>
      </c>
      <c r="AA3578" s="0" t="n">
        <f aca="false">X3578-Z3578</f>
        <v>44.0318421603843</v>
      </c>
      <c r="AB3578" s="0" t="n">
        <f aca="false">X3578+Z3578</f>
        <v>47.3766373717794</v>
      </c>
      <c r="AC3578" s="54" t="b">
        <f aca="false">AND(E3578&gt;=01_因子設定!$L$5-0.000000001,E3578&lt;=01_因子設定!$M$5+0.000000001,F3578&gt;=01_因子設定!$L$6-0.000000001,F3578&lt;=01_因子設定!$M$6+0.000000001,G3578&gt;=01_因子設定!$L$7-0.000000001,G3578&lt;=01_因子設定!$M$7+0.000000001,H3578&gt;=01_因子設定!$L$8-0.000000001,H3578&lt;=01_因子設定!$M$8+0.000000001,IF(01_因子設定!$B$20="Box-Behnken",E3578^2+F3578^2+G3578^2+H3578^2&lt;=2+0.000000001,TRUE()))</f>
        <v>1</v>
      </c>
      <c r="AD3578" s="55" t="n">
        <f aca="false">IF(AC3578,IF(01_因子設定!$B$13="最大化",AA3578-01_因子設定!$B$14,IF(01_因子設定!$B$13="最小化",01_因子設定!$B$15-AB3578,MIN(AA3578-01_因子設定!$B$14,01_因子設定!$B$15-AB3578))),-1E+030)</f>
        <v>-2.46815783961571</v>
      </c>
      <c r="AE3578" s="55" t="n">
        <f aca="false">IF(AC3578,IF(01_因子設定!$B$13="最大化",X3578,IF(01_因子設定!$B$13="最小化",-X3578,-ABS(X3578-01_因子設定!$B$16))),-1E+030)</f>
        <v>45.7042397660819</v>
      </c>
      <c r="AF3578" s="55" t="n">
        <f aca="false">AD3578+ROW()*0.000000001</f>
        <v>-2.46815426161571</v>
      </c>
      <c r="AG3578" s="55" t="n">
        <f aca="false">AE3578+ROW()*0.000000001</f>
        <v>45.7042433440818</v>
      </c>
    </row>
    <row r="3579" customFormat="false" ht="15" hidden="false" customHeight="false" outlineLevel="0" collapsed="false">
      <c r="A3579" s="0" t="n">
        <v>4</v>
      </c>
      <c r="B3579" s="0" t="n">
        <v>8</v>
      </c>
      <c r="C3579" s="0" t="n">
        <v>1</v>
      </c>
      <c r="D3579" s="0" t="n">
        <v>1</v>
      </c>
      <c r="E3579" s="0" t="n">
        <f aca="false">-1+A3579*0.25</f>
        <v>0</v>
      </c>
      <c r="F3579" s="0" t="n">
        <f aca="false">-1+B3579*0.25</f>
        <v>1</v>
      </c>
      <c r="G3579" s="0" t="n">
        <f aca="false">-1+C3579*0.25</f>
        <v>-0.75</v>
      </c>
      <c r="H3579" s="0" t="n">
        <f aca="false">-1+D3579*0.25</f>
        <v>-0.75</v>
      </c>
      <c r="I3579" s="0" t="n">
        <f aca="false">1</f>
        <v>1</v>
      </c>
      <c r="J3579" s="0" t="n">
        <f aca="false">E3579</f>
        <v>0</v>
      </c>
      <c r="K3579" s="0" t="n">
        <f aca="false">F3579</f>
        <v>1</v>
      </c>
      <c r="L3579" s="0" t="n">
        <f aca="false">G3579</f>
        <v>-0.75</v>
      </c>
      <c r="M3579" s="0" t="n">
        <f aca="false">H3579</f>
        <v>-0.75</v>
      </c>
      <c r="N3579" s="0" t="n">
        <f aca="false">E3579*F3579</f>
        <v>0</v>
      </c>
      <c r="O3579" s="0" t="n">
        <f aca="false">E3579*G3579</f>
        <v>-0</v>
      </c>
      <c r="P3579" s="0" t="n">
        <f aca="false">E3579*H3579</f>
        <v>-0</v>
      </c>
      <c r="Q3579" s="0" t="n">
        <f aca="false">F3579*G3579</f>
        <v>-0.75</v>
      </c>
      <c r="R3579" s="0" t="n">
        <f aca="false">F3579*H3579</f>
        <v>-0.75</v>
      </c>
      <c r="S3579" s="0" t="n">
        <f aca="false">G3579*H3579</f>
        <v>0.5625</v>
      </c>
      <c r="T3579" s="0" t="n">
        <f aca="false">E3579*E3579</f>
        <v>0</v>
      </c>
      <c r="U3579" s="0" t="n">
        <f aca="false">F3579*F3579</f>
        <v>1</v>
      </c>
      <c r="V3579" s="0" t="n">
        <f aca="false">G3579*G3579</f>
        <v>0.5625</v>
      </c>
      <c r="W3579" s="0" t="n">
        <f aca="false">H3579*H3579</f>
        <v>0.5625</v>
      </c>
      <c r="X3579" s="0" t="n">
        <f aca="false">SUMPRODUCT(I3579:W3579,_XtX!$B$96:$P$96)</f>
        <v>45.8659219663742</v>
      </c>
      <c r="Y3579" s="0" t="n">
        <f aca="false">SUMPRODUCT(MMULT(I3579:W3579,_XtX!$B$78:$P$92),I3579:W3579)</f>
        <v>0.494259126005117</v>
      </c>
      <c r="Z3579" s="0" t="n">
        <f aca="false">04_回帰ANOVA!$K$19*04_回帰ANOVA!$K$14*SQRT(1+Y3579)</f>
        <v>1.59335061078203</v>
      </c>
      <c r="AA3579" s="0" t="n">
        <f aca="false">X3579-Z3579</f>
        <v>44.2725713555922</v>
      </c>
      <c r="AB3579" s="0" t="n">
        <f aca="false">X3579+Z3579</f>
        <v>47.4592725771563</v>
      </c>
      <c r="AC3579" s="54" t="b">
        <f aca="false">AND(E3579&gt;=01_因子設定!$L$5-0.000000001,E3579&lt;=01_因子設定!$M$5+0.000000001,F3579&gt;=01_因子設定!$L$6-0.000000001,F3579&lt;=01_因子設定!$M$6+0.000000001,G3579&gt;=01_因子設定!$L$7-0.000000001,G3579&lt;=01_因子設定!$M$7+0.000000001,H3579&gt;=01_因子設定!$L$8-0.000000001,H3579&lt;=01_因子設定!$M$8+0.000000001,IF(01_因子設定!$B$20="Box-Behnken",E3579^2+F3579^2+G3579^2+H3579^2&lt;=2+0.000000001,TRUE()))</f>
        <v>1</v>
      </c>
      <c r="AD3579" s="55" t="n">
        <f aca="false">IF(AC3579,IF(01_因子設定!$B$13="最大化",AA3579-01_因子設定!$B$14,IF(01_因子設定!$B$13="最小化",01_因子設定!$B$15-AB3579,MIN(AA3579-01_因子設定!$B$14,01_因子設定!$B$15-AB3579))),-1E+030)</f>
        <v>-2.2274286444078</v>
      </c>
      <c r="AE3579" s="55" t="n">
        <f aca="false">IF(AC3579,IF(01_因子設定!$B$13="最大化",X3579,IF(01_因子設定!$B$13="最小化",-X3579,-ABS(X3579-01_因子設定!$B$16))),-1E+030)</f>
        <v>45.8659219663742</v>
      </c>
      <c r="AF3579" s="55" t="n">
        <f aca="false">AD3579+ROW()*0.000000001</f>
        <v>-2.2274250654078</v>
      </c>
      <c r="AG3579" s="55" t="n">
        <f aca="false">AE3579+ROW()*0.000000001</f>
        <v>45.8659255453742</v>
      </c>
    </row>
    <row r="3580" customFormat="false" ht="15" hidden="false" customHeight="false" outlineLevel="0" collapsed="false">
      <c r="A3580" s="0" t="n">
        <v>4</v>
      </c>
      <c r="B3580" s="0" t="n">
        <v>8</v>
      </c>
      <c r="C3580" s="0" t="n">
        <v>1</v>
      </c>
      <c r="D3580" s="0" t="n">
        <v>2</v>
      </c>
      <c r="E3580" s="0" t="n">
        <f aca="false">-1+A3580*0.25</f>
        <v>0</v>
      </c>
      <c r="F3580" s="0" t="n">
        <f aca="false">-1+B3580*0.25</f>
        <v>1</v>
      </c>
      <c r="G3580" s="0" t="n">
        <f aca="false">-1+C3580*0.25</f>
        <v>-0.75</v>
      </c>
      <c r="H3580" s="0" t="n">
        <f aca="false">-1+D3580*0.25</f>
        <v>-0.5</v>
      </c>
      <c r="I3580" s="0" t="n">
        <f aca="false">1</f>
        <v>1</v>
      </c>
      <c r="J3580" s="0" t="n">
        <f aca="false">E3580</f>
        <v>0</v>
      </c>
      <c r="K3580" s="0" t="n">
        <f aca="false">F3580</f>
        <v>1</v>
      </c>
      <c r="L3580" s="0" t="n">
        <f aca="false">G3580</f>
        <v>-0.75</v>
      </c>
      <c r="M3580" s="0" t="n">
        <f aca="false">H3580</f>
        <v>-0.5</v>
      </c>
      <c r="N3580" s="0" t="n">
        <f aca="false">E3580*F3580</f>
        <v>0</v>
      </c>
      <c r="O3580" s="0" t="n">
        <f aca="false">E3580*G3580</f>
        <v>-0</v>
      </c>
      <c r="P3580" s="0" t="n">
        <f aca="false">E3580*H3580</f>
        <v>-0</v>
      </c>
      <c r="Q3580" s="0" t="n">
        <f aca="false">F3580*G3580</f>
        <v>-0.75</v>
      </c>
      <c r="R3580" s="0" t="n">
        <f aca="false">F3580*H3580</f>
        <v>-0.5</v>
      </c>
      <c r="S3580" s="0" t="n">
        <f aca="false">G3580*H3580</f>
        <v>0.375</v>
      </c>
      <c r="T3580" s="0" t="n">
        <f aca="false">E3580*E3580</f>
        <v>0</v>
      </c>
      <c r="U3580" s="0" t="n">
        <f aca="false">F3580*F3580</f>
        <v>1</v>
      </c>
      <c r="V3580" s="0" t="n">
        <f aca="false">G3580*G3580</f>
        <v>0.5625</v>
      </c>
      <c r="W3580" s="0" t="n">
        <f aca="false">H3580*H3580</f>
        <v>0.25</v>
      </c>
      <c r="X3580" s="0" t="n">
        <f aca="false">SUMPRODUCT(I3580:W3580,_XtX!$B$96:$P$96)</f>
        <v>45.9797971491228</v>
      </c>
      <c r="Y3580" s="0" t="n">
        <f aca="false">SUMPRODUCT(MMULT(I3580:W3580,_XtX!$B$78:$P$92),I3580:W3580)</f>
        <v>0.476191292032164</v>
      </c>
      <c r="Z3580" s="0" t="n">
        <f aca="false">04_回帰ANOVA!$K$19*04_回帰ANOVA!$K$14*SQRT(1+Y3580)</f>
        <v>1.58368831471718</v>
      </c>
      <c r="AA3580" s="0" t="n">
        <f aca="false">X3580-Z3580</f>
        <v>44.3961088344056</v>
      </c>
      <c r="AB3580" s="0" t="n">
        <f aca="false">X3580+Z3580</f>
        <v>47.5634854638399</v>
      </c>
      <c r="AC3580" s="54" t="b">
        <f aca="false">AND(E3580&gt;=01_因子設定!$L$5-0.000000001,E3580&lt;=01_因子設定!$M$5+0.000000001,F3580&gt;=01_因子設定!$L$6-0.000000001,F3580&lt;=01_因子設定!$M$6+0.000000001,G3580&gt;=01_因子設定!$L$7-0.000000001,G3580&lt;=01_因子設定!$M$7+0.000000001,H3580&gt;=01_因子設定!$L$8-0.000000001,H3580&lt;=01_因子設定!$M$8+0.000000001,IF(01_因子設定!$B$20="Box-Behnken",E3580^2+F3580^2+G3580^2+H3580^2&lt;=2+0.000000001,TRUE()))</f>
        <v>1</v>
      </c>
      <c r="AD3580" s="55" t="n">
        <f aca="false">IF(AC3580,IF(01_因子設定!$B$13="最大化",AA3580-01_因子設定!$B$14,IF(01_因子設定!$B$13="最小化",01_因子設定!$B$15-AB3580,MIN(AA3580-01_因子設定!$B$14,01_因子設定!$B$15-AB3580))),-1E+030)</f>
        <v>-2.10389116559443</v>
      </c>
      <c r="AE3580" s="55" t="n">
        <f aca="false">IF(AC3580,IF(01_因子設定!$B$13="最大化",X3580,IF(01_因子設定!$B$13="最小化",-X3580,-ABS(X3580-01_因子設定!$B$16))),-1E+030)</f>
        <v>45.9797971491228</v>
      </c>
      <c r="AF3580" s="55" t="n">
        <f aca="false">AD3580+ROW()*0.000000001</f>
        <v>-2.10388758559443</v>
      </c>
      <c r="AG3580" s="55" t="n">
        <f aca="false">AE3580+ROW()*0.000000001</f>
        <v>45.9798007291228</v>
      </c>
    </row>
    <row r="3581" customFormat="false" ht="15" hidden="false" customHeight="false" outlineLevel="0" collapsed="false">
      <c r="A3581" s="0" t="n">
        <v>4</v>
      </c>
      <c r="B3581" s="0" t="n">
        <v>8</v>
      </c>
      <c r="C3581" s="0" t="n">
        <v>1</v>
      </c>
      <c r="D3581" s="0" t="n">
        <v>3</v>
      </c>
      <c r="E3581" s="0" t="n">
        <f aca="false">-1+A3581*0.25</f>
        <v>0</v>
      </c>
      <c r="F3581" s="0" t="n">
        <f aca="false">-1+B3581*0.25</f>
        <v>1</v>
      </c>
      <c r="G3581" s="0" t="n">
        <f aca="false">-1+C3581*0.25</f>
        <v>-0.75</v>
      </c>
      <c r="H3581" s="0" t="n">
        <f aca="false">-1+D3581*0.25</f>
        <v>-0.25</v>
      </c>
      <c r="I3581" s="0" t="n">
        <f aca="false">1</f>
        <v>1</v>
      </c>
      <c r="J3581" s="0" t="n">
        <f aca="false">E3581</f>
        <v>0</v>
      </c>
      <c r="K3581" s="0" t="n">
        <f aca="false">F3581</f>
        <v>1</v>
      </c>
      <c r="L3581" s="0" t="n">
        <f aca="false">G3581</f>
        <v>-0.75</v>
      </c>
      <c r="M3581" s="0" t="n">
        <f aca="false">H3581</f>
        <v>-0.25</v>
      </c>
      <c r="N3581" s="0" t="n">
        <f aca="false">E3581*F3581</f>
        <v>0</v>
      </c>
      <c r="O3581" s="0" t="n">
        <f aca="false">E3581*G3581</f>
        <v>-0</v>
      </c>
      <c r="P3581" s="0" t="n">
        <f aca="false">E3581*H3581</f>
        <v>-0</v>
      </c>
      <c r="Q3581" s="0" t="n">
        <f aca="false">F3581*G3581</f>
        <v>-0.75</v>
      </c>
      <c r="R3581" s="0" t="n">
        <f aca="false">F3581*H3581</f>
        <v>-0.25</v>
      </c>
      <c r="S3581" s="0" t="n">
        <f aca="false">G3581*H3581</f>
        <v>0.1875</v>
      </c>
      <c r="T3581" s="0" t="n">
        <f aca="false">E3581*E3581</f>
        <v>0</v>
      </c>
      <c r="U3581" s="0" t="n">
        <f aca="false">F3581*F3581</f>
        <v>1</v>
      </c>
      <c r="V3581" s="0" t="n">
        <f aca="false">G3581*G3581</f>
        <v>0.5625</v>
      </c>
      <c r="W3581" s="0" t="n">
        <f aca="false">H3581*H3581</f>
        <v>0.0625</v>
      </c>
      <c r="X3581" s="0" t="n">
        <f aca="false">SUMPRODUCT(I3581:W3581,_XtX!$B$96:$P$96)</f>
        <v>46.0458653143274</v>
      </c>
      <c r="Y3581" s="0" t="n">
        <f aca="false">SUMPRODUCT(MMULT(I3581:W3581,_XtX!$B$78:$P$92),I3581:W3581)</f>
        <v>0.501534802174708</v>
      </c>
      <c r="Z3581" s="0" t="n">
        <f aca="false">04_回帰ANOVA!$K$19*04_回帰ANOVA!$K$14*SQRT(1+Y3581)</f>
        <v>1.59722498091333</v>
      </c>
      <c r="AA3581" s="0" t="n">
        <f aca="false">X3581-Z3581</f>
        <v>44.4486403334141</v>
      </c>
      <c r="AB3581" s="0" t="n">
        <f aca="false">X3581+Z3581</f>
        <v>47.6430902952408</v>
      </c>
      <c r="AC3581" s="54" t="b">
        <f aca="false">AND(E3581&gt;=01_因子設定!$L$5-0.000000001,E3581&lt;=01_因子設定!$M$5+0.000000001,F3581&gt;=01_因子設定!$L$6-0.000000001,F3581&lt;=01_因子設定!$M$6+0.000000001,G3581&gt;=01_因子設定!$L$7-0.000000001,G3581&lt;=01_因子設定!$M$7+0.000000001,H3581&gt;=01_因子設定!$L$8-0.000000001,H3581&lt;=01_因子設定!$M$8+0.000000001,IF(01_因子設定!$B$20="Box-Behnken",E3581^2+F3581^2+G3581^2+H3581^2&lt;=2+0.000000001,TRUE()))</f>
        <v>1</v>
      </c>
      <c r="AD3581" s="55" t="n">
        <f aca="false">IF(AC3581,IF(01_因子設定!$B$13="最大化",AA3581-01_因子設定!$B$14,IF(01_因子設定!$B$13="最小化",01_因子設定!$B$15-AB3581,MIN(AA3581-01_因子設定!$B$14,01_因子設定!$B$15-AB3581))),-1E+030)</f>
        <v>-2.05135966658591</v>
      </c>
      <c r="AE3581" s="55" t="n">
        <f aca="false">IF(AC3581,IF(01_因子設定!$B$13="最大化",X3581,IF(01_因子設定!$B$13="最小化",-X3581,-ABS(X3581-01_因子設定!$B$16))),-1E+030)</f>
        <v>46.0458653143274</v>
      </c>
      <c r="AF3581" s="55" t="n">
        <f aca="false">AD3581+ROW()*0.000000001</f>
        <v>-2.05135608558591</v>
      </c>
      <c r="AG3581" s="55" t="n">
        <f aca="false">AE3581+ROW()*0.000000001</f>
        <v>46.0458688953274</v>
      </c>
    </row>
    <row r="3582" customFormat="false" ht="15" hidden="false" customHeight="false" outlineLevel="0" collapsed="false">
      <c r="A3582" s="0" t="n">
        <v>4</v>
      </c>
      <c r="B3582" s="0" t="n">
        <v>8</v>
      </c>
      <c r="C3582" s="0" t="n">
        <v>1</v>
      </c>
      <c r="D3582" s="0" t="n">
        <v>4</v>
      </c>
      <c r="E3582" s="0" t="n">
        <f aca="false">-1+A3582*0.25</f>
        <v>0</v>
      </c>
      <c r="F3582" s="0" t="n">
        <f aca="false">-1+B3582*0.25</f>
        <v>1</v>
      </c>
      <c r="G3582" s="0" t="n">
        <f aca="false">-1+C3582*0.25</f>
        <v>-0.75</v>
      </c>
      <c r="H3582" s="0" t="n">
        <f aca="false">-1+D3582*0.25</f>
        <v>0</v>
      </c>
      <c r="I3582" s="0" t="n">
        <f aca="false">1</f>
        <v>1</v>
      </c>
      <c r="J3582" s="0" t="n">
        <f aca="false">E3582</f>
        <v>0</v>
      </c>
      <c r="K3582" s="0" t="n">
        <f aca="false">F3582</f>
        <v>1</v>
      </c>
      <c r="L3582" s="0" t="n">
        <f aca="false">G3582</f>
        <v>-0.75</v>
      </c>
      <c r="M3582" s="0" t="n">
        <f aca="false">H3582</f>
        <v>0</v>
      </c>
      <c r="N3582" s="0" t="n">
        <f aca="false">E3582*F3582</f>
        <v>0</v>
      </c>
      <c r="O3582" s="0" t="n">
        <f aca="false">E3582*G3582</f>
        <v>-0</v>
      </c>
      <c r="P3582" s="0" t="n">
        <f aca="false">E3582*H3582</f>
        <v>0</v>
      </c>
      <c r="Q3582" s="0" t="n">
        <f aca="false">F3582*G3582</f>
        <v>-0.75</v>
      </c>
      <c r="R3582" s="0" t="n">
        <f aca="false">F3582*H3582</f>
        <v>0</v>
      </c>
      <c r="S3582" s="0" t="n">
        <f aca="false">G3582*H3582</f>
        <v>-0</v>
      </c>
      <c r="T3582" s="0" t="n">
        <f aca="false">E3582*E3582</f>
        <v>0</v>
      </c>
      <c r="U3582" s="0" t="n">
        <f aca="false">F3582*F3582</f>
        <v>1</v>
      </c>
      <c r="V3582" s="0" t="n">
        <f aca="false">G3582*G3582</f>
        <v>0.5625</v>
      </c>
      <c r="W3582" s="0" t="n">
        <f aca="false">H3582*H3582</f>
        <v>0</v>
      </c>
      <c r="X3582" s="0" t="n">
        <f aca="false">SUMPRODUCT(I3582:W3582,_XtX!$B$96:$P$96)</f>
        <v>46.0641264619882</v>
      </c>
      <c r="Y3582" s="0" t="n">
        <f aca="false">SUMPRODUCT(MMULT(I3582:W3582,_XtX!$B$78:$P$92),I3582:W3582)</f>
        <v>0.516013340643275</v>
      </c>
      <c r="Z3582" s="0" t="n">
        <f aca="false">04_回帰ANOVA!$K$19*04_回帰ANOVA!$K$14*SQRT(1+Y3582)</f>
        <v>1.60490712175667</v>
      </c>
      <c r="AA3582" s="0" t="n">
        <f aca="false">X3582-Z3582</f>
        <v>44.4592193402316</v>
      </c>
      <c r="AB3582" s="0" t="n">
        <f aca="false">X3582+Z3582</f>
        <v>47.6690335837449</v>
      </c>
      <c r="AC3582" s="54" t="b">
        <f aca="false">AND(E3582&gt;=01_因子設定!$L$5-0.000000001,E3582&lt;=01_因子設定!$M$5+0.000000001,F3582&gt;=01_因子設定!$L$6-0.000000001,F3582&lt;=01_因子設定!$M$6+0.000000001,G3582&gt;=01_因子設定!$L$7-0.000000001,G3582&lt;=01_因子設定!$M$7+0.000000001,H3582&gt;=01_因子設定!$L$8-0.000000001,H3582&lt;=01_因子設定!$M$8+0.000000001,IF(01_因子設定!$B$20="Box-Behnken",E3582^2+F3582^2+G3582^2+H3582^2&lt;=2+0.000000001,TRUE()))</f>
        <v>1</v>
      </c>
      <c r="AD3582" s="55" t="n">
        <f aca="false">IF(AC3582,IF(01_因子設定!$B$13="最大化",AA3582-01_因子設定!$B$14,IF(01_因子設定!$B$13="最小化",01_因子設定!$B$15-AB3582,MIN(AA3582-01_因子設定!$B$14,01_因子設定!$B$15-AB3582))),-1E+030)</f>
        <v>-2.04078065976843</v>
      </c>
      <c r="AE3582" s="55" t="n">
        <f aca="false">IF(AC3582,IF(01_因子設定!$B$13="最大化",X3582,IF(01_因子設定!$B$13="最小化",-X3582,-ABS(X3582-01_因子設定!$B$16))),-1E+030)</f>
        <v>46.0641264619882</v>
      </c>
      <c r="AF3582" s="55" t="n">
        <f aca="false">AD3582+ROW()*0.000000001</f>
        <v>-2.04077707776843</v>
      </c>
      <c r="AG3582" s="55" t="n">
        <f aca="false">AE3582+ROW()*0.000000001</f>
        <v>46.0641300439882</v>
      </c>
    </row>
    <row r="3583" customFormat="false" ht="15" hidden="false" customHeight="false" outlineLevel="0" collapsed="false">
      <c r="A3583" s="0" t="n">
        <v>4</v>
      </c>
      <c r="B3583" s="0" t="n">
        <v>8</v>
      </c>
      <c r="C3583" s="0" t="n">
        <v>1</v>
      </c>
      <c r="D3583" s="0" t="n">
        <v>5</v>
      </c>
      <c r="E3583" s="0" t="n">
        <f aca="false">-1+A3583*0.25</f>
        <v>0</v>
      </c>
      <c r="F3583" s="0" t="n">
        <f aca="false">-1+B3583*0.25</f>
        <v>1</v>
      </c>
      <c r="G3583" s="0" t="n">
        <f aca="false">-1+C3583*0.25</f>
        <v>-0.75</v>
      </c>
      <c r="H3583" s="0" t="n">
        <f aca="false">-1+D3583*0.25</f>
        <v>0.25</v>
      </c>
      <c r="I3583" s="0" t="n">
        <f aca="false">1</f>
        <v>1</v>
      </c>
      <c r="J3583" s="0" t="n">
        <f aca="false">E3583</f>
        <v>0</v>
      </c>
      <c r="K3583" s="0" t="n">
        <f aca="false">F3583</f>
        <v>1</v>
      </c>
      <c r="L3583" s="0" t="n">
        <f aca="false">G3583</f>
        <v>-0.75</v>
      </c>
      <c r="M3583" s="0" t="n">
        <f aca="false">H3583</f>
        <v>0.25</v>
      </c>
      <c r="N3583" s="0" t="n">
        <f aca="false">E3583*F3583</f>
        <v>0</v>
      </c>
      <c r="O3583" s="0" t="n">
        <f aca="false">E3583*G3583</f>
        <v>-0</v>
      </c>
      <c r="P3583" s="0" t="n">
        <f aca="false">E3583*H3583</f>
        <v>0</v>
      </c>
      <c r="Q3583" s="0" t="n">
        <f aca="false">F3583*G3583</f>
        <v>-0.75</v>
      </c>
      <c r="R3583" s="0" t="n">
        <f aca="false">F3583*H3583</f>
        <v>0.25</v>
      </c>
      <c r="S3583" s="0" t="n">
        <f aca="false">G3583*H3583</f>
        <v>-0.1875</v>
      </c>
      <c r="T3583" s="0" t="n">
        <f aca="false">E3583*E3583</f>
        <v>0</v>
      </c>
      <c r="U3583" s="0" t="n">
        <f aca="false">F3583*F3583</f>
        <v>1</v>
      </c>
      <c r="V3583" s="0" t="n">
        <f aca="false">G3583*G3583</f>
        <v>0.5625</v>
      </c>
      <c r="W3583" s="0" t="n">
        <f aca="false">H3583*H3583</f>
        <v>0.0625</v>
      </c>
      <c r="X3583" s="0" t="n">
        <f aca="false">SUMPRODUCT(I3583:W3583,_XtX!$B$96:$P$96)</f>
        <v>46.0345805921052</v>
      </c>
      <c r="Y3583" s="0" t="n">
        <f aca="false">SUMPRODUCT(MMULT(I3583:W3583,_XtX!$B$78:$P$92),I3583:W3583)</f>
        <v>0.501534802174708</v>
      </c>
      <c r="Z3583" s="0" t="n">
        <f aca="false">04_回帰ANOVA!$K$19*04_回帰ANOVA!$K$14*SQRT(1+Y3583)</f>
        <v>1.59722498091333</v>
      </c>
      <c r="AA3583" s="0" t="n">
        <f aca="false">X3583-Z3583</f>
        <v>44.4373556111919</v>
      </c>
      <c r="AB3583" s="0" t="n">
        <f aca="false">X3583+Z3583</f>
        <v>47.6318055730185</v>
      </c>
      <c r="AC3583" s="54" t="b">
        <f aca="false">AND(E3583&gt;=01_因子設定!$L$5-0.000000001,E3583&lt;=01_因子設定!$M$5+0.000000001,F3583&gt;=01_因子設定!$L$6-0.000000001,F3583&lt;=01_因子設定!$M$6+0.000000001,G3583&gt;=01_因子設定!$L$7-0.000000001,G3583&lt;=01_因子設定!$M$7+0.000000001,H3583&gt;=01_因子設定!$L$8-0.000000001,H3583&lt;=01_因子設定!$M$8+0.000000001,IF(01_因子設定!$B$20="Box-Behnken",E3583^2+F3583^2+G3583^2+H3583^2&lt;=2+0.000000001,TRUE()))</f>
        <v>1</v>
      </c>
      <c r="AD3583" s="55" t="n">
        <f aca="false">IF(AC3583,IF(01_因子設定!$B$13="最大化",AA3583-01_因子設定!$B$14,IF(01_因子設定!$B$13="最小化",01_因子設定!$B$15-AB3583,MIN(AA3583-01_因子設定!$B$14,01_因子設定!$B$15-AB3583))),-1E+030)</f>
        <v>-2.06264438880813</v>
      </c>
      <c r="AE3583" s="55" t="n">
        <f aca="false">IF(AC3583,IF(01_因子設定!$B$13="最大化",X3583,IF(01_因子設定!$B$13="最小化",-X3583,-ABS(X3583-01_因子設定!$B$16))),-1E+030)</f>
        <v>46.0345805921052</v>
      </c>
      <c r="AF3583" s="55" t="n">
        <f aca="false">AD3583+ROW()*0.000000001</f>
        <v>-2.06264080580813</v>
      </c>
      <c r="AG3583" s="55" t="n">
        <f aca="false">AE3583+ROW()*0.000000001</f>
        <v>46.0345841751052</v>
      </c>
    </row>
    <row r="3584" customFormat="false" ht="15" hidden="false" customHeight="false" outlineLevel="0" collapsed="false">
      <c r="A3584" s="0" t="n">
        <v>4</v>
      </c>
      <c r="B3584" s="0" t="n">
        <v>8</v>
      </c>
      <c r="C3584" s="0" t="n">
        <v>1</v>
      </c>
      <c r="D3584" s="0" t="n">
        <v>6</v>
      </c>
      <c r="E3584" s="0" t="n">
        <f aca="false">-1+A3584*0.25</f>
        <v>0</v>
      </c>
      <c r="F3584" s="0" t="n">
        <f aca="false">-1+B3584*0.25</f>
        <v>1</v>
      </c>
      <c r="G3584" s="0" t="n">
        <f aca="false">-1+C3584*0.25</f>
        <v>-0.75</v>
      </c>
      <c r="H3584" s="0" t="n">
        <f aca="false">-1+D3584*0.25</f>
        <v>0.5</v>
      </c>
      <c r="I3584" s="0" t="n">
        <f aca="false">1</f>
        <v>1</v>
      </c>
      <c r="J3584" s="0" t="n">
        <f aca="false">E3584</f>
        <v>0</v>
      </c>
      <c r="K3584" s="0" t="n">
        <f aca="false">F3584</f>
        <v>1</v>
      </c>
      <c r="L3584" s="0" t="n">
        <f aca="false">G3584</f>
        <v>-0.75</v>
      </c>
      <c r="M3584" s="0" t="n">
        <f aca="false">H3584</f>
        <v>0.5</v>
      </c>
      <c r="N3584" s="0" t="n">
        <f aca="false">E3584*F3584</f>
        <v>0</v>
      </c>
      <c r="O3584" s="0" t="n">
        <f aca="false">E3584*G3584</f>
        <v>-0</v>
      </c>
      <c r="P3584" s="0" t="n">
        <f aca="false">E3584*H3584</f>
        <v>0</v>
      </c>
      <c r="Q3584" s="0" t="n">
        <f aca="false">F3584*G3584</f>
        <v>-0.75</v>
      </c>
      <c r="R3584" s="0" t="n">
        <f aca="false">F3584*H3584</f>
        <v>0.5</v>
      </c>
      <c r="S3584" s="0" t="n">
        <f aca="false">G3584*H3584</f>
        <v>-0.375</v>
      </c>
      <c r="T3584" s="0" t="n">
        <f aca="false">E3584*E3584</f>
        <v>0</v>
      </c>
      <c r="U3584" s="0" t="n">
        <f aca="false">F3584*F3584</f>
        <v>1</v>
      </c>
      <c r="V3584" s="0" t="n">
        <f aca="false">G3584*G3584</f>
        <v>0.5625</v>
      </c>
      <c r="W3584" s="0" t="n">
        <f aca="false">H3584*H3584</f>
        <v>0.25</v>
      </c>
      <c r="X3584" s="0" t="n">
        <f aca="false">SUMPRODUCT(I3584:W3584,_XtX!$B$96:$P$96)</f>
        <v>45.9572277046783</v>
      </c>
      <c r="Y3584" s="0" t="n">
        <f aca="false">SUMPRODUCT(MMULT(I3584:W3584,_XtX!$B$78:$P$92),I3584:W3584)</f>
        <v>0.476191292032164</v>
      </c>
      <c r="Z3584" s="0" t="n">
        <f aca="false">04_回帰ANOVA!$K$19*04_回帰ANOVA!$K$14*SQRT(1+Y3584)</f>
        <v>1.58368831471718</v>
      </c>
      <c r="AA3584" s="0" t="n">
        <f aca="false">X3584-Z3584</f>
        <v>44.3735393899611</v>
      </c>
      <c r="AB3584" s="0" t="n">
        <f aca="false">X3584+Z3584</f>
        <v>47.5409160193955</v>
      </c>
      <c r="AC3584" s="54" t="b">
        <f aca="false">AND(E3584&gt;=01_因子設定!$L$5-0.000000001,E3584&lt;=01_因子設定!$M$5+0.000000001,F3584&gt;=01_因子設定!$L$6-0.000000001,F3584&lt;=01_因子設定!$M$6+0.000000001,G3584&gt;=01_因子設定!$L$7-0.000000001,G3584&lt;=01_因子設定!$M$7+0.000000001,H3584&gt;=01_因子設定!$L$8-0.000000001,H3584&lt;=01_因子設定!$M$8+0.000000001,IF(01_因子設定!$B$20="Box-Behnken",E3584^2+F3584^2+G3584^2+H3584^2&lt;=2+0.000000001,TRUE()))</f>
        <v>1</v>
      </c>
      <c r="AD3584" s="55" t="n">
        <f aca="false">IF(AC3584,IF(01_因子設定!$B$13="最大化",AA3584-01_因子設定!$B$14,IF(01_因子設定!$B$13="最小化",01_因子設定!$B$15-AB3584,MIN(AA3584-01_因子設定!$B$14,01_因子設定!$B$15-AB3584))),-1E+030)</f>
        <v>-2.12646061003887</v>
      </c>
      <c r="AE3584" s="55" t="n">
        <f aca="false">IF(AC3584,IF(01_因子設定!$B$13="最大化",X3584,IF(01_因子設定!$B$13="最小化",-X3584,-ABS(X3584-01_因子設定!$B$16))),-1E+030)</f>
        <v>45.9572277046783</v>
      </c>
      <c r="AF3584" s="55" t="n">
        <f aca="false">AD3584+ROW()*0.000000001</f>
        <v>-2.12645702603887</v>
      </c>
      <c r="AG3584" s="55" t="n">
        <f aca="false">AE3584+ROW()*0.000000001</f>
        <v>45.9572312886783</v>
      </c>
    </row>
    <row r="3585" customFormat="false" ht="15" hidden="false" customHeight="false" outlineLevel="0" collapsed="false">
      <c r="A3585" s="0" t="n">
        <v>4</v>
      </c>
      <c r="B3585" s="0" t="n">
        <v>8</v>
      </c>
      <c r="C3585" s="0" t="n">
        <v>1</v>
      </c>
      <c r="D3585" s="0" t="n">
        <v>7</v>
      </c>
      <c r="E3585" s="0" t="n">
        <f aca="false">-1+A3585*0.25</f>
        <v>0</v>
      </c>
      <c r="F3585" s="0" t="n">
        <f aca="false">-1+B3585*0.25</f>
        <v>1</v>
      </c>
      <c r="G3585" s="0" t="n">
        <f aca="false">-1+C3585*0.25</f>
        <v>-0.75</v>
      </c>
      <c r="H3585" s="0" t="n">
        <f aca="false">-1+D3585*0.25</f>
        <v>0.75</v>
      </c>
      <c r="I3585" s="0" t="n">
        <f aca="false">1</f>
        <v>1</v>
      </c>
      <c r="J3585" s="0" t="n">
        <f aca="false">E3585</f>
        <v>0</v>
      </c>
      <c r="K3585" s="0" t="n">
        <f aca="false">F3585</f>
        <v>1</v>
      </c>
      <c r="L3585" s="0" t="n">
        <f aca="false">G3585</f>
        <v>-0.75</v>
      </c>
      <c r="M3585" s="0" t="n">
        <f aca="false">H3585</f>
        <v>0.75</v>
      </c>
      <c r="N3585" s="0" t="n">
        <f aca="false">E3585*F3585</f>
        <v>0</v>
      </c>
      <c r="O3585" s="0" t="n">
        <f aca="false">E3585*G3585</f>
        <v>-0</v>
      </c>
      <c r="P3585" s="0" t="n">
        <f aca="false">E3585*H3585</f>
        <v>0</v>
      </c>
      <c r="Q3585" s="0" t="n">
        <f aca="false">F3585*G3585</f>
        <v>-0.75</v>
      </c>
      <c r="R3585" s="0" t="n">
        <f aca="false">F3585*H3585</f>
        <v>0.75</v>
      </c>
      <c r="S3585" s="0" t="n">
        <f aca="false">G3585*H3585</f>
        <v>-0.5625</v>
      </c>
      <c r="T3585" s="0" t="n">
        <f aca="false">E3585*E3585</f>
        <v>0</v>
      </c>
      <c r="U3585" s="0" t="n">
        <f aca="false">F3585*F3585</f>
        <v>1</v>
      </c>
      <c r="V3585" s="0" t="n">
        <f aca="false">G3585*G3585</f>
        <v>0.5625</v>
      </c>
      <c r="W3585" s="0" t="n">
        <f aca="false">H3585*H3585</f>
        <v>0.5625</v>
      </c>
      <c r="X3585" s="0" t="n">
        <f aca="false">SUMPRODUCT(I3585:W3585,_XtX!$B$96:$P$96)</f>
        <v>45.8320677997076</v>
      </c>
      <c r="Y3585" s="0" t="n">
        <f aca="false">SUMPRODUCT(MMULT(I3585:W3585,_XtX!$B$78:$P$92),I3585:W3585)</f>
        <v>0.494259126005117</v>
      </c>
      <c r="Z3585" s="0" t="n">
        <f aca="false">04_回帰ANOVA!$K$19*04_回帰ANOVA!$K$14*SQRT(1+Y3585)</f>
        <v>1.59335061078203</v>
      </c>
      <c r="AA3585" s="0" t="n">
        <f aca="false">X3585-Z3585</f>
        <v>44.2387171889255</v>
      </c>
      <c r="AB3585" s="0" t="n">
        <f aca="false">X3585+Z3585</f>
        <v>47.4254184104896</v>
      </c>
      <c r="AC3585" s="54" t="b">
        <f aca="false">AND(E3585&gt;=01_因子設定!$L$5-0.000000001,E3585&lt;=01_因子設定!$M$5+0.000000001,F3585&gt;=01_因子設定!$L$6-0.000000001,F3585&lt;=01_因子設定!$M$6+0.000000001,G3585&gt;=01_因子設定!$L$7-0.000000001,G3585&lt;=01_因子設定!$M$7+0.000000001,H3585&gt;=01_因子設定!$L$8-0.000000001,H3585&lt;=01_因子設定!$M$8+0.000000001,IF(01_因子設定!$B$20="Box-Behnken",E3585^2+F3585^2+G3585^2+H3585^2&lt;=2+0.000000001,TRUE()))</f>
        <v>1</v>
      </c>
      <c r="AD3585" s="55" t="n">
        <f aca="false">IF(AC3585,IF(01_因子設定!$B$13="最大化",AA3585-01_因子設定!$B$14,IF(01_因子設定!$B$13="最小化",01_因子設定!$B$15-AB3585,MIN(AA3585-01_因子設定!$B$14,01_因子設定!$B$15-AB3585))),-1E+030)</f>
        <v>-2.26128281107447</v>
      </c>
      <c r="AE3585" s="55" t="n">
        <f aca="false">IF(AC3585,IF(01_因子設定!$B$13="最大化",X3585,IF(01_因子設定!$B$13="最小化",-X3585,-ABS(X3585-01_因子設定!$B$16))),-1E+030)</f>
        <v>45.8320677997076</v>
      </c>
      <c r="AF3585" s="55" t="n">
        <f aca="false">AD3585+ROW()*0.000000001</f>
        <v>-2.26127922607447</v>
      </c>
      <c r="AG3585" s="55" t="n">
        <f aca="false">AE3585+ROW()*0.000000001</f>
        <v>45.8320713847076</v>
      </c>
    </row>
    <row r="3586" customFormat="false" ht="15" hidden="false" customHeight="false" outlineLevel="0" collapsed="false">
      <c r="A3586" s="0" t="n">
        <v>4</v>
      </c>
      <c r="B3586" s="0" t="n">
        <v>8</v>
      </c>
      <c r="C3586" s="0" t="n">
        <v>1</v>
      </c>
      <c r="D3586" s="0" t="n">
        <v>8</v>
      </c>
      <c r="E3586" s="0" t="n">
        <f aca="false">-1+A3586*0.25</f>
        <v>0</v>
      </c>
      <c r="F3586" s="0" t="n">
        <f aca="false">-1+B3586*0.25</f>
        <v>1</v>
      </c>
      <c r="G3586" s="0" t="n">
        <f aca="false">-1+C3586*0.25</f>
        <v>-0.75</v>
      </c>
      <c r="H3586" s="0" t="n">
        <f aca="false">-1+D3586*0.25</f>
        <v>1</v>
      </c>
      <c r="I3586" s="0" t="n">
        <f aca="false">1</f>
        <v>1</v>
      </c>
      <c r="J3586" s="0" t="n">
        <f aca="false">E3586</f>
        <v>0</v>
      </c>
      <c r="K3586" s="0" t="n">
        <f aca="false">F3586</f>
        <v>1</v>
      </c>
      <c r="L3586" s="0" t="n">
        <f aca="false">G3586</f>
        <v>-0.75</v>
      </c>
      <c r="M3586" s="0" t="n">
        <f aca="false">H3586</f>
        <v>1</v>
      </c>
      <c r="N3586" s="0" t="n">
        <f aca="false">E3586*F3586</f>
        <v>0</v>
      </c>
      <c r="O3586" s="0" t="n">
        <f aca="false">E3586*G3586</f>
        <v>-0</v>
      </c>
      <c r="P3586" s="0" t="n">
        <f aca="false">E3586*H3586</f>
        <v>0</v>
      </c>
      <c r="Q3586" s="0" t="n">
        <f aca="false">F3586*G3586</f>
        <v>-0.75</v>
      </c>
      <c r="R3586" s="0" t="n">
        <f aca="false">F3586*H3586</f>
        <v>1</v>
      </c>
      <c r="S3586" s="0" t="n">
        <f aca="false">G3586*H3586</f>
        <v>-0.75</v>
      </c>
      <c r="T3586" s="0" t="n">
        <f aca="false">E3586*E3586</f>
        <v>0</v>
      </c>
      <c r="U3586" s="0" t="n">
        <f aca="false">F3586*F3586</f>
        <v>1</v>
      </c>
      <c r="V3586" s="0" t="n">
        <f aca="false">G3586*G3586</f>
        <v>0.5625</v>
      </c>
      <c r="W3586" s="0" t="n">
        <f aca="false">H3586*H3586</f>
        <v>1</v>
      </c>
      <c r="X3586" s="0" t="n">
        <f aca="false">SUMPRODUCT(I3586:W3586,_XtX!$B$96:$P$96)</f>
        <v>45.659100877193</v>
      </c>
      <c r="Y3586" s="0" t="n">
        <f aca="false">SUMPRODUCT(MMULT(I3586:W3586,_XtX!$B$78:$P$92),I3586:W3586)</f>
        <v>0.646198830409357</v>
      </c>
      <c r="Z3586" s="0" t="n">
        <f aca="false">04_回帰ANOVA!$K$19*04_回帰ANOVA!$K$14*SQRT(1+Y3586)</f>
        <v>1.67239760569756</v>
      </c>
      <c r="AA3586" s="0" t="n">
        <f aca="false">X3586-Z3586</f>
        <v>43.9867032714954</v>
      </c>
      <c r="AB3586" s="0" t="n">
        <f aca="false">X3586+Z3586</f>
        <v>47.3314984828905</v>
      </c>
      <c r="AC3586" s="54" t="b">
        <f aca="false">AND(E3586&gt;=01_因子設定!$L$5-0.000000001,E3586&lt;=01_因子設定!$M$5+0.000000001,F3586&gt;=01_因子設定!$L$6-0.000000001,F3586&lt;=01_因子設定!$M$6+0.000000001,G3586&gt;=01_因子設定!$L$7-0.000000001,G3586&lt;=01_因子設定!$M$7+0.000000001,H3586&gt;=01_因子設定!$L$8-0.000000001,H3586&lt;=01_因子設定!$M$8+0.000000001,IF(01_因子設定!$B$20="Box-Behnken",E3586^2+F3586^2+G3586^2+H3586^2&lt;=2+0.000000001,TRUE()))</f>
        <v>1</v>
      </c>
      <c r="AD3586" s="55" t="n">
        <f aca="false">IF(AC3586,IF(01_因子設定!$B$13="最大化",AA3586-01_因子設定!$B$14,IF(01_因子設定!$B$13="最小化",01_因子設定!$B$15-AB3586,MIN(AA3586-01_因子設定!$B$14,01_因子設定!$B$15-AB3586))),-1E+030)</f>
        <v>-2.5132967285046</v>
      </c>
      <c r="AE3586" s="55" t="n">
        <f aca="false">IF(AC3586,IF(01_因子設定!$B$13="最大化",X3586,IF(01_因子設定!$B$13="最小化",-X3586,-ABS(X3586-01_因子設定!$B$16))),-1E+030)</f>
        <v>45.659100877193</v>
      </c>
      <c r="AF3586" s="55" t="n">
        <f aca="false">AD3586+ROW()*0.000000001</f>
        <v>-2.5132931425046</v>
      </c>
      <c r="AG3586" s="55" t="n">
        <f aca="false">AE3586+ROW()*0.000000001</f>
        <v>45.659104463193</v>
      </c>
    </row>
    <row r="3587" customFormat="false" ht="15" hidden="false" customHeight="false" outlineLevel="0" collapsed="false">
      <c r="A3587" s="0" t="n">
        <v>4</v>
      </c>
      <c r="B3587" s="0" t="n">
        <v>8</v>
      </c>
      <c r="C3587" s="0" t="n">
        <v>2</v>
      </c>
      <c r="D3587" s="0" t="n">
        <v>0</v>
      </c>
      <c r="E3587" s="0" t="n">
        <f aca="false">-1+A3587*0.25</f>
        <v>0</v>
      </c>
      <c r="F3587" s="0" t="n">
        <f aca="false">-1+B3587*0.25</f>
        <v>1</v>
      </c>
      <c r="G3587" s="0" t="n">
        <f aca="false">-1+C3587*0.25</f>
        <v>-0.5</v>
      </c>
      <c r="H3587" s="0" t="n">
        <f aca="false">-1+D3587*0.25</f>
        <v>-1</v>
      </c>
      <c r="I3587" s="0" t="n">
        <f aca="false">1</f>
        <v>1</v>
      </c>
      <c r="J3587" s="0" t="n">
        <f aca="false">E3587</f>
        <v>0</v>
      </c>
      <c r="K3587" s="0" t="n">
        <f aca="false">F3587</f>
        <v>1</v>
      </c>
      <c r="L3587" s="0" t="n">
        <f aca="false">G3587</f>
        <v>-0.5</v>
      </c>
      <c r="M3587" s="0" t="n">
        <f aca="false">H3587</f>
        <v>-1</v>
      </c>
      <c r="N3587" s="0" t="n">
        <f aca="false">E3587*F3587</f>
        <v>0</v>
      </c>
      <c r="O3587" s="0" t="n">
        <f aca="false">E3587*G3587</f>
        <v>-0</v>
      </c>
      <c r="P3587" s="0" t="n">
        <f aca="false">E3587*H3587</f>
        <v>-0</v>
      </c>
      <c r="Q3587" s="0" t="n">
        <f aca="false">F3587*G3587</f>
        <v>-0.5</v>
      </c>
      <c r="R3587" s="0" t="n">
        <f aca="false">F3587*H3587</f>
        <v>-1</v>
      </c>
      <c r="S3587" s="0" t="n">
        <f aca="false">G3587*H3587</f>
        <v>0.5</v>
      </c>
      <c r="T3587" s="0" t="n">
        <f aca="false">E3587*E3587</f>
        <v>0</v>
      </c>
      <c r="U3587" s="0" t="n">
        <f aca="false">F3587*F3587</f>
        <v>1</v>
      </c>
      <c r="V3587" s="0" t="n">
        <f aca="false">G3587*G3587</f>
        <v>0.25</v>
      </c>
      <c r="W3587" s="0" t="n">
        <f aca="false">H3587*H3587</f>
        <v>1</v>
      </c>
      <c r="X3587" s="0" t="n">
        <f aca="false">SUMPRODUCT(I3587:W3587,_XtX!$B$96:$P$96)</f>
        <v>46.1695906432748</v>
      </c>
      <c r="Y3587" s="0" t="n">
        <f aca="false">SUMPRODUCT(MMULT(I3587:W3587,_XtX!$B$78:$P$92),I3587:W3587)</f>
        <v>0.650767543859649</v>
      </c>
      <c r="Z3587" s="0" t="n">
        <f aca="false">04_回帰ANOVA!$K$19*04_回帰ANOVA!$K$14*SQRT(1+Y3587)</f>
        <v>1.67471670935165</v>
      </c>
      <c r="AA3587" s="0" t="n">
        <f aca="false">X3587-Z3587</f>
        <v>44.4948739339232</v>
      </c>
      <c r="AB3587" s="0" t="n">
        <f aca="false">X3587+Z3587</f>
        <v>47.8443073526265</v>
      </c>
      <c r="AC3587" s="54" t="b">
        <f aca="false">AND(E3587&gt;=01_因子設定!$L$5-0.000000001,E3587&lt;=01_因子設定!$M$5+0.000000001,F3587&gt;=01_因子設定!$L$6-0.000000001,F3587&lt;=01_因子設定!$M$6+0.000000001,G3587&gt;=01_因子設定!$L$7-0.000000001,G3587&lt;=01_因子設定!$M$7+0.000000001,H3587&gt;=01_因子設定!$L$8-0.000000001,H3587&lt;=01_因子設定!$M$8+0.000000001,IF(01_因子設定!$B$20="Box-Behnken",E3587^2+F3587^2+G3587^2+H3587^2&lt;=2+0.000000001,TRUE()))</f>
        <v>1</v>
      </c>
      <c r="AD3587" s="55" t="n">
        <f aca="false">IF(AC3587,IF(01_因子設定!$B$13="最大化",AA3587-01_因子設定!$B$14,IF(01_因子設定!$B$13="最小化",01_因子設定!$B$15-AB3587,MIN(AA3587-01_因子設定!$B$14,01_因子設定!$B$15-AB3587))),-1E+030)</f>
        <v>-2.00512606607683</v>
      </c>
      <c r="AE3587" s="55" t="n">
        <f aca="false">IF(AC3587,IF(01_因子設定!$B$13="最大化",X3587,IF(01_因子設定!$B$13="最小化",-X3587,-ABS(X3587-01_因子設定!$B$16))),-1E+030)</f>
        <v>46.1695906432748</v>
      </c>
      <c r="AF3587" s="55" t="n">
        <f aca="false">AD3587+ROW()*0.000000001</f>
        <v>-2.00512247907683</v>
      </c>
      <c r="AG3587" s="55" t="n">
        <f aca="false">AE3587+ROW()*0.000000001</f>
        <v>46.1695942302748</v>
      </c>
    </row>
    <row r="3588" customFormat="false" ht="15" hidden="false" customHeight="false" outlineLevel="0" collapsed="false">
      <c r="A3588" s="0" t="n">
        <v>4</v>
      </c>
      <c r="B3588" s="0" t="n">
        <v>8</v>
      </c>
      <c r="C3588" s="0" t="n">
        <v>2</v>
      </c>
      <c r="D3588" s="0" t="n">
        <v>1</v>
      </c>
      <c r="E3588" s="0" t="n">
        <f aca="false">-1+A3588*0.25</f>
        <v>0</v>
      </c>
      <c r="F3588" s="0" t="n">
        <f aca="false">-1+B3588*0.25</f>
        <v>1</v>
      </c>
      <c r="G3588" s="0" t="n">
        <f aca="false">-1+C3588*0.25</f>
        <v>-0.5</v>
      </c>
      <c r="H3588" s="0" t="n">
        <f aca="false">-1+D3588*0.25</f>
        <v>-0.75</v>
      </c>
      <c r="I3588" s="0" t="n">
        <f aca="false">1</f>
        <v>1</v>
      </c>
      <c r="J3588" s="0" t="n">
        <f aca="false">E3588</f>
        <v>0</v>
      </c>
      <c r="K3588" s="0" t="n">
        <f aca="false">F3588</f>
        <v>1</v>
      </c>
      <c r="L3588" s="0" t="n">
        <f aca="false">G3588</f>
        <v>-0.5</v>
      </c>
      <c r="M3588" s="0" t="n">
        <f aca="false">H3588</f>
        <v>-0.75</v>
      </c>
      <c r="N3588" s="0" t="n">
        <f aca="false">E3588*F3588</f>
        <v>0</v>
      </c>
      <c r="O3588" s="0" t="n">
        <f aca="false">E3588*G3588</f>
        <v>-0</v>
      </c>
      <c r="P3588" s="0" t="n">
        <f aca="false">E3588*H3588</f>
        <v>-0</v>
      </c>
      <c r="Q3588" s="0" t="n">
        <f aca="false">F3588*G3588</f>
        <v>-0.5</v>
      </c>
      <c r="R3588" s="0" t="n">
        <f aca="false">F3588*H3588</f>
        <v>-0.75</v>
      </c>
      <c r="S3588" s="0" t="n">
        <f aca="false">G3588*H3588</f>
        <v>0.375</v>
      </c>
      <c r="T3588" s="0" t="n">
        <f aca="false">E3588*E3588</f>
        <v>0</v>
      </c>
      <c r="U3588" s="0" t="n">
        <f aca="false">F3588*F3588</f>
        <v>1</v>
      </c>
      <c r="V3588" s="0" t="n">
        <f aca="false">G3588*G3588</f>
        <v>0.25</v>
      </c>
      <c r="W3588" s="0" t="n">
        <f aca="false">H3588*H3588</f>
        <v>0.5625</v>
      </c>
      <c r="X3588" s="0" t="n">
        <f aca="false">SUMPRODUCT(I3588:W3588,_XtX!$B$96:$P$96)</f>
        <v>46.3492415935672</v>
      </c>
      <c r="Y3588" s="0" t="n">
        <f aca="false">SUMPRODUCT(MMULT(I3588:W3588,_XtX!$B$78:$P$92),I3588:W3588)</f>
        <v>0.476191292032164</v>
      </c>
      <c r="Z3588" s="0" t="n">
        <f aca="false">04_回帰ANOVA!$K$19*04_回帰ANOVA!$K$14*SQRT(1+Y3588)</f>
        <v>1.58368831471718</v>
      </c>
      <c r="AA3588" s="0" t="n">
        <f aca="false">X3588-Z3588</f>
        <v>44.76555327885</v>
      </c>
      <c r="AB3588" s="0" t="n">
        <f aca="false">X3588+Z3588</f>
        <v>47.9329299082844</v>
      </c>
      <c r="AC3588" s="54" t="b">
        <f aca="false">AND(E3588&gt;=01_因子設定!$L$5-0.000000001,E3588&lt;=01_因子設定!$M$5+0.000000001,F3588&gt;=01_因子設定!$L$6-0.000000001,F3588&lt;=01_因子設定!$M$6+0.000000001,G3588&gt;=01_因子設定!$L$7-0.000000001,G3588&lt;=01_因子設定!$M$7+0.000000001,H3588&gt;=01_因子設定!$L$8-0.000000001,H3588&lt;=01_因子設定!$M$8+0.000000001,IF(01_因子設定!$B$20="Box-Behnken",E3588^2+F3588^2+G3588^2+H3588^2&lt;=2+0.000000001,TRUE()))</f>
        <v>1</v>
      </c>
      <c r="AD3588" s="55" t="n">
        <f aca="false">IF(AC3588,IF(01_因子設定!$B$13="最大化",AA3588-01_因子設定!$B$14,IF(01_因子設定!$B$13="最小化",01_因子設定!$B$15-AB3588,MIN(AA3588-01_因子設定!$B$14,01_因子設定!$B$15-AB3588))),-1E+030)</f>
        <v>-1.73444672114997</v>
      </c>
      <c r="AE3588" s="55" t="n">
        <f aca="false">IF(AC3588,IF(01_因子設定!$B$13="最大化",X3588,IF(01_因子設定!$B$13="最小化",-X3588,-ABS(X3588-01_因子設定!$B$16))),-1E+030)</f>
        <v>46.3492415935672</v>
      </c>
      <c r="AF3588" s="55" t="n">
        <f aca="false">AD3588+ROW()*0.000000001</f>
        <v>-1.73444313314997</v>
      </c>
      <c r="AG3588" s="55" t="n">
        <f aca="false">AE3588+ROW()*0.000000001</f>
        <v>46.3492451815672</v>
      </c>
    </row>
    <row r="3589" customFormat="false" ht="15" hidden="false" customHeight="false" outlineLevel="0" collapsed="false">
      <c r="A3589" s="0" t="n">
        <v>4</v>
      </c>
      <c r="B3589" s="0" t="n">
        <v>8</v>
      </c>
      <c r="C3589" s="0" t="n">
        <v>2</v>
      </c>
      <c r="D3589" s="0" t="n">
        <v>2</v>
      </c>
      <c r="E3589" s="0" t="n">
        <f aca="false">-1+A3589*0.25</f>
        <v>0</v>
      </c>
      <c r="F3589" s="0" t="n">
        <f aca="false">-1+B3589*0.25</f>
        <v>1</v>
      </c>
      <c r="G3589" s="0" t="n">
        <f aca="false">-1+C3589*0.25</f>
        <v>-0.5</v>
      </c>
      <c r="H3589" s="0" t="n">
        <f aca="false">-1+D3589*0.25</f>
        <v>-0.5</v>
      </c>
      <c r="I3589" s="0" t="n">
        <f aca="false">1</f>
        <v>1</v>
      </c>
      <c r="J3589" s="0" t="n">
        <f aca="false">E3589</f>
        <v>0</v>
      </c>
      <c r="K3589" s="0" t="n">
        <f aca="false">F3589</f>
        <v>1</v>
      </c>
      <c r="L3589" s="0" t="n">
        <f aca="false">G3589</f>
        <v>-0.5</v>
      </c>
      <c r="M3589" s="0" t="n">
        <f aca="false">H3589</f>
        <v>-0.5</v>
      </c>
      <c r="N3589" s="0" t="n">
        <f aca="false">E3589*F3589</f>
        <v>0</v>
      </c>
      <c r="O3589" s="0" t="n">
        <f aca="false">E3589*G3589</f>
        <v>-0</v>
      </c>
      <c r="P3589" s="0" t="n">
        <f aca="false">E3589*H3589</f>
        <v>-0</v>
      </c>
      <c r="Q3589" s="0" t="n">
        <f aca="false">F3589*G3589</f>
        <v>-0.5</v>
      </c>
      <c r="R3589" s="0" t="n">
        <f aca="false">F3589*H3589</f>
        <v>-0.5</v>
      </c>
      <c r="S3589" s="0" t="n">
        <f aca="false">G3589*H3589</f>
        <v>0.25</v>
      </c>
      <c r="T3589" s="0" t="n">
        <f aca="false">E3589*E3589</f>
        <v>0</v>
      </c>
      <c r="U3589" s="0" t="n">
        <f aca="false">F3589*F3589</f>
        <v>1</v>
      </c>
      <c r="V3589" s="0" t="n">
        <f aca="false">G3589*G3589</f>
        <v>0.25</v>
      </c>
      <c r="W3589" s="0" t="n">
        <f aca="false">H3589*H3589</f>
        <v>0.25</v>
      </c>
      <c r="X3589" s="0" t="n">
        <f aca="false">SUMPRODUCT(I3589:W3589,_XtX!$B$96:$P$96)</f>
        <v>46.4810855263157</v>
      </c>
      <c r="Y3589" s="0" t="n">
        <f aca="false">SUMPRODUCT(MMULT(I3589:W3589,_XtX!$B$78:$P$92),I3589:W3589)</f>
        <v>0.441954495614035</v>
      </c>
      <c r="Z3589" s="0" t="n">
        <f aca="false">04_回帰ANOVA!$K$19*04_回帰ANOVA!$K$14*SQRT(1+Y3589)</f>
        <v>1.56521560968066</v>
      </c>
      <c r="AA3589" s="0" t="n">
        <f aca="false">X3589-Z3589</f>
        <v>44.9158699166351</v>
      </c>
      <c r="AB3589" s="0" t="n">
        <f aca="false">X3589+Z3589</f>
        <v>48.0463011359964</v>
      </c>
      <c r="AC3589" s="54" t="b">
        <f aca="false">AND(E3589&gt;=01_因子設定!$L$5-0.000000001,E3589&lt;=01_因子設定!$M$5+0.000000001,F3589&gt;=01_因子設定!$L$6-0.000000001,F3589&lt;=01_因子設定!$M$6+0.000000001,G3589&gt;=01_因子設定!$L$7-0.000000001,G3589&lt;=01_因子設定!$M$7+0.000000001,H3589&gt;=01_因子設定!$L$8-0.000000001,H3589&lt;=01_因子設定!$M$8+0.000000001,IF(01_因子設定!$B$20="Box-Behnken",E3589^2+F3589^2+G3589^2+H3589^2&lt;=2+0.000000001,TRUE()))</f>
        <v>1</v>
      </c>
      <c r="AD3589" s="55" t="n">
        <f aca="false">IF(AC3589,IF(01_因子設定!$B$13="最大化",AA3589-01_因子設定!$B$14,IF(01_因子設定!$B$13="最小化",01_因子設定!$B$15-AB3589,MIN(AA3589-01_因子設定!$B$14,01_因子設定!$B$15-AB3589))),-1E+030)</f>
        <v>-1.58413008336493</v>
      </c>
      <c r="AE3589" s="55" t="n">
        <f aca="false">IF(AC3589,IF(01_因子設定!$B$13="最大化",X3589,IF(01_因子設定!$B$13="最小化",-X3589,-ABS(X3589-01_因子設定!$B$16))),-1E+030)</f>
        <v>46.4810855263157</v>
      </c>
      <c r="AF3589" s="55" t="n">
        <f aca="false">AD3589+ROW()*0.000000001</f>
        <v>-1.58412649436493</v>
      </c>
      <c r="AG3589" s="55" t="n">
        <f aca="false">AE3589+ROW()*0.000000001</f>
        <v>46.4810891153157</v>
      </c>
    </row>
    <row r="3590" customFormat="false" ht="15" hidden="false" customHeight="false" outlineLevel="0" collapsed="false">
      <c r="A3590" s="0" t="n">
        <v>4</v>
      </c>
      <c r="B3590" s="0" t="n">
        <v>8</v>
      </c>
      <c r="C3590" s="0" t="n">
        <v>2</v>
      </c>
      <c r="D3590" s="0" t="n">
        <v>3</v>
      </c>
      <c r="E3590" s="0" t="n">
        <f aca="false">-1+A3590*0.25</f>
        <v>0</v>
      </c>
      <c r="F3590" s="0" t="n">
        <f aca="false">-1+B3590*0.25</f>
        <v>1</v>
      </c>
      <c r="G3590" s="0" t="n">
        <f aca="false">-1+C3590*0.25</f>
        <v>-0.5</v>
      </c>
      <c r="H3590" s="0" t="n">
        <f aca="false">-1+D3590*0.25</f>
        <v>-0.25</v>
      </c>
      <c r="I3590" s="0" t="n">
        <f aca="false">1</f>
        <v>1</v>
      </c>
      <c r="J3590" s="0" t="n">
        <f aca="false">E3590</f>
        <v>0</v>
      </c>
      <c r="K3590" s="0" t="n">
        <f aca="false">F3590</f>
        <v>1</v>
      </c>
      <c r="L3590" s="0" t="n">
        <f aca="false">G3590</f>
        <v>-0.5</v>
      </c>
      <c r="M3590" s="0" t="n">
        <f aca="false">H3590</f>
        <v>-0.25</v>
      </c>
      <c r="N3590" s="0" t="n">
        <f aca="false">E3590*F3590</f>
        <v>0</v>
      </c>
      <c r="O3590" s="0" t="n">
        <f aca="false">E3590*G3590</f>
        <v>-0</v>
      </c>
      <c r="P3590" s="0" t="n">
        <f aca="false">E3590*H3590</f>
        <v>-0</v>
      </c>
      <c r="Q3590" s="0" t="n">
        <f aca="false">F3590*G3590</f>
        <v>-0.5</v>
      </c>
      <c r="R3590" s="0" t="n">
        <f aca="false">F3590*H3590</f>
        <v>-0.25</v>
      </c>
      <c r="S3590" s="0" t="n">
        <f aca="false">G3590*H3590</f>
        <v>0.125</v>
      </c>
      <c r="T3590" s="0" t="n">
        <f aca="false">E3590*E3590</f>
        <v>0</v>
      </c>
      <c r="U3590" s="0" t="n">
        <f aca="false">F3590*F3590</f>
        <v>1</v>
      </c>
      <c r="V3590" s="0" t="n">
        <f aca="false">G3590*G3590</f>
        <v>0.25</v>
      </c>
      <c r="W3590" s="0" t="n">
        <f aca="false">H3590*H3590</f>
        <v>0.0625</v>
      </c>
      <c r="X3590" s="0" t="n">
        <f aca="false">SUMPRODUCT(I3590:W3590,_XtX!$B$96:$P$96)</f>
        <v>46.5651224415204</v>
      </c>
      <c r="Y3590" s="0" t="n">
        <f aca="false">SUMPRODUCT(MMULT(I3590:W3590,_XtX!$B$78:$P$92),I3590:W3590)</f>
        <v>0.457596628289474</v>
      </c>
      <c r="Z3590" s="0" t="n">
        <f aca="false">04_回帰ANOVA!$K$19*04_回帰ANOVA!$K$14*SQRT(1+Y3590)</f>
        <v>1.57368233664366</v>
      </c>
      <c r="AA3590" s="0" t="n">
        <f aca="false">X3590-Z3590</f>
        <v>44.9914401048767</v>
      </c>
      <c r="AB3590" s="0" t="n">
        <f aca="false">X3590+Z3590</f>
        <v>48.1388047781641</v>
      </c>
      <c r="AC3590" s="54" t="b">
        <f aca="false">AND(E3590&gt;=01_因子設定!$L$5-0.000000001,E3590&lt;=01_因子設定!$M$5+0.000000001,F3590&gt;=01_因子設定!$L$6-0.000000001,F3590&lt;=01_因子設定!$M$6+0.000000001,G3590&gt;=01_因子設定!$L$7-0.000000001,G3590&lt;=01_因子設定!$M$7+0.000000001,H3590&gt;=01_因子設定!$L$8-0.000000001,H3590&lt;=01_因子設定!$M$8+0.000000001,IF(01_因子設定!$B$20="Box-Behnken",E3590^2+F3590^2+G3590^2+H3590^2&lt;=2+0.000000001,TRUE()))</f>
        <v>1</v>
      </c>
      <c r="AD3590" s="55" t="n">
        <f aca="false">IF(AC3590,IF(01_因子設定!$B$13="最大化",AA3590-01_因子設定!$B$14,IF(01_因子設定!$B$13="最小化",01_因子設定!$B$15-AB3590,MIN(AA3590-01_因子設定!$B$14,01_因子設定!$B$15-AB3590))),-1E+030)</f>
        <v>-1.50855989512326</v>
      </c>
      <c r="AE3590" s="55" t="n">
        <f aca="false">IF(AC3590,IF(01_因子設定!$B$13="最大化",X3590,IF(01_因子設定!$B$13="最小化",-X3590,-ABS(X3590-01_因子設定!$B$16))),-1E+030)</f>
        <v>46.5651224415204</v>
      </c>
      <c r="AF3590" s="55" t="n">
        <f aca="false">AD3590+ROW()*0.000000001</f>
        <v>-1.50855630512326</v>
      </c>
      <c r="AG3590" s="55" t="n">
        <f aca="false">AE3590+ROW()*0.000000001</f>
        <v>46.5651260315204</v>
      </c>
    </row>
    <row r="3591" customFormat="false" ht="15" hidden="false" customHeight="false" outlineLevel="0" collapsed="false">
      <c r="A3591" s="0" t="n">
        <v>4</v>
      </c>
      <c r="B3591" s="0" t="n">
        <v>8</v>
      </c>
      <c r="C3591" s="0" t="n">
        <v>2</v>
      </c>
      <c r="D3591" s="0" t="n">
        <v>4</v>
      </c>
      <c r="E3591" s="0" t="n">
        <f aca="false">-1+A3591*0.25</f>
        <v>0</v>
      </c>
      <c r="F3591" s="0" t="n">
        <f aca="false">-1+B3591*0.25</f>
        <v>1</v>
      </c>
      <c r="G3591" s="0" t="n">
        <f aca="false">-1+C3591*0.25</f>
        <v>-0.5</v>
      </c>
      <c r="H3591" s="0" t="n">
        <f aca="false">-1+D3591*0.25</f>
        <v>0</v>
      </c>
      <c r="I3591" s="0" t="n">
        <f aca="false">1</f>
        <v>1</v>
      </c>
      <c r="J3591" s="0" t="n">
        <f aca="false">E3591</f>
        <v>0</v>
      </c>
      <c r="K3591" s="0" t="n">
        <f aca="false">F3591</f>
        <v>1</v>
      </c>
      <c r="L3591" s="0" t="n">
        <f aca="false">G3591</f>
        <v>-0.5</v>
      </c>
      <c r="M3591" s="0" t="n">
        <f aca="false">H3591</f>
        <v>0</v>
      </c>
      <c r="N3591" s="0" t="n">
        <f aca="false">E3591*F3591</f>
        <v>0</v>
      </c>
      <c r="O3591" s="0" t="n">
        <f aca="false">E3591*G3591</f>
        <v>-0</v>
      </c>
      <c r="P3591" s="0" t="n">
        <f aca="false">E3591*H3591</f>
        <v>0</v>
      </c>
      <c r="Q3591" s="0" t="n">
        <f aca="false">F3591*G3591</f>
        <v>-0.5</v>
      </c>
      <c r="R3591" s="0" t="n">
        <f aca="false">F3591*H3591</f>
        <v>0</v>
      </c>
      <c r="S3591" s="0" t="n">
        <f aca="false">G3591*H3591</f>
        <v>-0</v>
      </c>
      <c r="T3591" s="0" t="n">
        <f aca="false">E3591*E3591</f>
        <v>0</v>
      </c>
      <c r="U3591" s="0" t="n">
        <f aca="false">F3591*F3591</f>
        <v>1</v>
      </c>
      <c r="V3591" s="0" t="n">
        <f aca="false">G3591*G3591</f>
        <v>0.25</v>
      </c>
      <c r="W3591" s="0" t="n">
        <f aca="false">H3591*H3591</f>
        <v>0</v>
      </c>
      <c r="X3591" s="0" t="n">
        <f aca="false">SUMPRODUCT(I3591:W3591,_XtX!$B$96:$P$96)</f>
        <v>46.6013523391812</v>
      </c>
      <c r="Y3591" s="0" t="n">
        <f aca="false">SUMPRODUCT(MMULT(I3591:W3591,_XtX!$B$78:$P$92),I3591:W3591)</f>
        <v>0.468841374269006</v>
      </c>
      <c r="Z3591" s="0" t="n">
        <f aca="false">04_回帰ANOVA!$K$19*04_回帰ANOVA!$K$14*SQRT(1+Y3591)</f>
        <v>1.57974082366087</v>
      </c>
      <c r="AA3591" s="0" t="n">
        <f aca="false">X3591-Z3591</f>
        <v>45.0216115155203</v>
      </c>
      <c r="AB3591" s="0" t="n">
        <f aca="false">X3591+Z3591</f>
        <v>48.1810931628421</v>
      </c>
      <c r="AC3591" s="54" t="b">
        <f aca="false">AND(E3591&gt;=01_因子設定!$L$5-0.000000001,E3591&lt;=01_因子設定!$M$5+0.000000001,F3591&gt;=01_因子設定!$L$6-0.000000001,F3591&lt;=01_因子設定!$M$6+0.000000001,G3591&gt;=01_因子設定!$L$7-0.000000001,G3591&lt;=01_因子設定!$M$7+0.000000001,H3591&gt;=01_因子設定!$L$8-0.000000001,H3591&lt;=01_因子設定!$M$8+0.000000001,IF(01_因子設定!$B$20="Box-Behnken",E3591^2+F3591^2+G3591^2+H3591^2&lt;=2+0.000000001,TRUE()))</f>
        <v>1</v>
      </c>
      <c r="AD3591" s="55" t="n">
        <f aca="false">IF(AC3591,IF(01_因子設定!$B$13="最大化",AA3591-01_因子設定!$B$14,IF(01_因子設定!$B$13="最小化",01_因子設定!$B$15-AB3591,MIN(AA3591-01_因子設定!$B$14,01_因子設定!$B$15-AB3591))),-1E+030)</f>
        <v>-1.47838848447966</v>
      </c>
      <c r="AE3591" s="55" t="n">
        <f aca="false">IF(AC3591,IF(01_因子設定!$B$13="最大化",X3591,IF(01_因子設定!$B$13="最小化",-X3591,-ABS(X3591-01_因子設定!$B$16))),-1E+030)</f>
        <v>46.6013523391812</v>
      </c>
      <c r="AF3591" s="55" t="n">
        <f aca="false">AD3591+ROW()*0.000000001</f>
        <v>-1.47838489347966</v>
      </c>
      <c r="AG3591" s="55" t="n">
        <f aca="false">AE3591+ROW()*0.000000001</f>
        <v>46.6013559301812</v>
      </c>
    </row>
    <row r="3592" customFormat="false" ht="15" hidden="false" customHeight="false" outlineLevel="0" collapsed="false">
      <c r="A3592" s="0" t="n">
        <v>4</v>
      </c>
      <c r="B3592" s="0" t="n">
        <v>8</v>
      </c>
      <c r="C3592" s="0" t="n">
        <v>2</v>
      </c>
      <c r="D3592" s="0" t="n">
        <v>5</v>
      </c>
      <c r="E3592" s="0" t="n">
        <f aca="false">-1+A3592*0.25</f>
        <v>0</v>
      </c>
      <c r="F3592" s="0" t="n">
        <f aca="false">-1+B3592*0.25</f>
        <v>1</v>
      </c>
      <c r="G3592" s="0" t="n">
        <f aca="false">-1+C3592*0.25</f>
        <v>-0.5</v>
      </c>
      <c r="H3592" s="0" t="n">
        <f aca="false">-1+D3592*0.25</f>
        <v>0.25</v>
      </c>
      <c r="I3592" s="0" t="n">
        <f aca="false">1</f>
        <v>1</v>
      </c>
      <c r="J3592" s="0" t="n">
        <f aca="false">E3592</f>
        <v>0</v>
      </c>
      <c r="K3592" s="0" t="n">
        <f aca="false">F3592</f>
        <v>1</v>
      </c>
      <c r="L3592" s="0" t="n">
        <f aca="false">G3592</f>
        <v>-0.5</v>
      </c>
      <c r="M3592" s="0" t="n">
        <f aca="false">H3592</f>
        <v>0.25</v>
      </c>
      <c r="N3592" s="0" t="n">
        <f aca="false">E3592*F3592</f>
        <v>0</v>
      </c>
      <c r="O3592" s="0" t="n">
        <f aca="false">E3592*G3592</f>
        <v>-0</v>
      </c>
      <c r="P3592" s="0" t="n">
        <f aca="false">E3592*H3592</f>
        <v>0</v>
      </c>
      <c r="Q3592" s="0" t="n">
        <f aca="false">F3592*G3592</f>
        <v>-0.5</v>
      </c>
      <c r="R3592" s="0" t="n">
        <f aca="false">F3592*H3592</f>
        <v>0.25</v>
      </c>
      <c r="S3592" s="0" t="n">
        <f aca="false">G3592*H3592</f>
        <v>-0.125</v>
      </c>
      <c r="T3592" s="0" t="n">
        <f aca="false">E3592*E3592</f>
        <v>0</v>
      </c>
      <c r="U3592" s="0" t="n">
        <f aca="false">F3592*F3592</f>
        <v>1</v>
      </c>
      <c r="V3592" s="0" t="n">
        <f aca="false">G3592*G3592</f>
        <v>0.25</v>
      </c>
      <c r="W3592" s="0" t="n">
        <f aca="false">H3592*H3592</f>
        <v>0.0625</v>
      </c>
      <c r="X3592" s="0" t="n">
        <f aca="false">SUMPRODUCT(I3592:W3592,_XtX!$B$96:$P$96)</f>
        <v>46.5897752192982</v>
      </c>
      <c r="Y3592" s="0" t="n">
        <f aca="false">SUMPRODUCT(MMULT(I3592:W3592,_XtX!$B$78:$P$92),I3592:W3592)</f>
        <v>0.457596628289474</v>
      </c>
      <c r="Z3592" s="0" t="n">
        <f aca="false">04_回帰ANOVA!$K$19*04_回帰ANOVA!$K$14*SQRT(1+Y3592)</f>
        <v>1.57368233664366</v>
      </c>
      <c r="AA3592" s="0" t="n">
        <f aca="false">X3592-Z3592</f>
        <v>45.0160928826545</v>
      </c>
      <c r="AB3592" s="0" t="n">
        <f aca="false">X3592+Z3592</f>
        <v>48.1634575559418</v>
      </c>
      <c r="AC3592" s="54" t="b">
        <f aca="false">AND(E3592&gt;=01_因子設定!$L$5-0.000000001,E3592&lt;=01_因子設定!$M$5+0.000000001,F3592&gt;=01_因子設定!$L$6-0.000000001,F3592&lt;=01_因子設定!$M$6+0.000000001,G3592&gt;=01_因子設定!$L$7-0.000000001,G3592&lt;=01_因子設定!$M$7+0.000000001,H3592&gt;=01_因子設定!$L$8-0.000000001,H3592&lt;=01_因子設定!$M$8+0.000000001,IF(01_因子設定!$B$20="Box-Behnken",E3592^2+F3592^2+G3592^2+H3592^2&lt;=2+0.000000001,TRUE()))</f>
        <v>1</v>
      </c>
      <c r="AD3592" s="55" t="n">
        <f aca="false">IF(AC3592,IF(01_因子設定!$B$13="最大化",AA3592-01_因子設定!$B$14,IF(01_因子設定!$B$13="最小化",01_因子設定!$B$15-AB3592,MIN(AA3592-01_因子設定!$B$14,01_因子設定!$B$15-AB3592))),-1E+030)</f>
        <v>-1.48390711734547</v>
      </c>
      <c r="AE3592" s="55" t="n">
        <f aca="false">IF(AC3592,IF(01_因子設定!$B$13="最大化",X3592,IF(01_因子設定!$B$13="最小化",-X3592,-ABS(X3592-01_因子設定!$B$16))),-1E+030)</f>
        <v>46.5897752192982</v>
      </c>
      <c r="AF3592" s="55" t="n">
        <f aca="false">AD3592+ROW()*0.000000001</f>
        <v>-1.48390352534547</v>
      </c>
      <c r="AG3592" s="55" t="n">
        <f aca="false">AE3592+ROW()*0.000000001</f>
        <v>46.5897788112982</v>
      </c>
    </row>
    <row r="3593" customFormat="false" ht="15" hidden="false" customHeight="false" outlineLevel="0" collapsed="false">
      <c r="A3593" s="0" t="n">
        <v>4</v>
      </c>
      <c r="B3593" s="0" t="n">
        <v>8</v>
      </c>
      <c r="C3593" s="0" t="n">
        <v>2</v>
      </c>
      <c r="D3593" s="0" t="n">
        <v>6</v>
      </c>
      <c r="E3593" s="0" t="n">
        <f aca="false">-1+A3593*0.25</f>
        <v>0</v>
      </c>
      <c r="F3593" s="0" t="n">
        <f aca="false">-1+B3593*0.25</f>
        <v>1</v>
      </c>
      <c r="G3593" s="0" t="n">
        <f aca="false">-1+C3593*0.25</f>
        <v>-0.5</v>
      </c>
      <c r="H3593" s="0" t="n">
        <f aca="false">-1+D3593*0.25</f>
        <v>0.5</v>
      </c>
      <c r="I3593" s="0" t="n">
        <f aca="false">1</f>
        <v>1</v>
      </c>
      <c r="J3593" s="0" t="n">
        <f aca="false">E3593</f>
        <v>0</v>
      </c>
      <c r="K3593" s="0" t="n">
        <f aca="false">F3593</f>
        <v>1</v>
      </c>
      <c r="L3593" s="0" t="n">
        <f aca="false">G3593</f>
        <v>-0.5</v>
      </c>
      <c r="M3593" s="0" t="n">
        <f aca="false">H3593</f>
        <v>0.5</v>
      </c>
      <c r="N3593" s="0" t="n">
        <f aca="false">E3593*F3593</f>
        <v>0</v>
      </c>
      <c r="O3593" s="0" t="n">
        <f aca="false">E3593*G3593</f>
        <v>-0</v>
      </c>
      <c r="P3593" s="0" t="n">
        <f aca="false">E3593*H3593</f>
        <v>0</v>
      </c>
      <c r="Q3593" s="0" t="n">
        <f aca="false">F3593*G3593</f>
        <v>-0.5</v>
      </c>
      <c r="R3593" s="0" t="n">
        <f aca="false">F3593*H3593</f>
        <v>0.5</v>
      </c>
      <c r="S3593" s="0" t="n">
        <f aca="false">G3593*H3593</f>
        <v>-0.25</v>
      </c>
      <c r="T3593" s="0" t="n">
        <f aca="false">E3593*E3593</f>
        <v>0</v>
      </c>
      <c r="U3593" s="0" t="n">
        <f aca="false">F3593*F3593</f>
        <v>1</v>
      </c>
      <c r="V3593" s="0" t="n">
        <f aca="false">G3593*G3593</f>
        <v>0.25</v>
      </c>
      <c r="W3593" s="0" t="n">
        <f aca="false">H3593*H3593</f>
        <v>0.25</v>
      </c>
      <c r="X3593" s="0" t="n">
        <f aca="false">SUMPRODUCT(I3593:W3593,_XtX!$B$96:$P$96)</f>
        <v>46.5303910818713</v>
      </c>
      <c r="Y3593" s="0" t="n">
        <f aca="false">SUMPRODUCT(MMULT(I3593:W3593,_XtX!$B$78:$P$92),I3593:W3593)</f>
        <v>0.441954495614035</v>
      </c>
      <c r="Z3593" s="0" t="n">
        <f aca="false">04_回帰ANOVA!$K$19*04_回帰ANOVA!$K$14*SQRT(1+Y3593)</f>
        <v>1.56521560968066</v>
      </c>
      <c r="AA3593" s="0" t="n">
        <f aca="false">X3593-Z3593</f>
        <v>44.9651754721906</v>
      </c>
      <c r="AB3593" s="0" t="n">
        <f aca="false">X3593+Z3593</f>
        <v>48.095606691552</v>
      </c>
      <c r="AC3593" s="54" t="b">
        <f aca="false">AND(E3593&gt;=01_因子設定!$L$5-0.000000001,E3593&lt;=01_因子設定!$M$5+0.000000001,F3593&gt;=01_因子設定!$L$6-0.000000001,F3593&lt;=01_因子設定!$M$6+0.000000001,G3593&gt;=01_因子設定!$L$7-0.000000001,G3593&lt;=01_因子設定!$M$7+0.000000001,H3593&gt;=01_因子設定!$L$8-0.000000001,H3593&lt;=01_因子設定!$M$8+0.000000001,IF(01_因子設定!$B$20="Box-Behnken",E3593^2+F3593^2+G3593^2+H3593^2&lt;=2+0.000000001,TRUE()))</f>
        <v>1</v>
      </c>
      <c r="AD3593" s="55" t="n">
        <f aca="false">IF(AC3593,IF(01_因子設定!$B$13="最大化",AA3593-01_因子設定!$B$14,IF(01_因子設定!$B$13="最小化",01_因子設定!$B$15-AB3593,MIN(AA3593-01_因子設定!$B$14,01_因子設定!$B$15-AB3593))),-1E+030)</f>
        <v>-1.53482452780938</v>
      </c>
      <c r="AE3593" s="55" t="n">
        <f aca="false">IF(AC3593,IF(01_因子設定!$B$13="最大化",X3593,IF(01_因子設定!$B$13="最小化",-X3593,-ABS(X3593-01_因子設定!$B$16))),-1E+030)</f>
        <v>46.5303910818713</v>
      </c>
      <c r="AF3593" s="55" t="n">
        <f aca="false">AD3593+ROW()*0.000000001</f>
        <v>-1.53482093480938</v>
      </c>
      <c r="AG3593" s="55" t="n">
        <f aca="false">AE3593+ROW()*0.000000001</f>
        <v>46.5303946748713</v>
      </c>
    </row>
    <row r="3594" customFormat="false" ht="15" hidden="false" customHeight="false" outlineLevel="0" collapsed="false">
      <c r="A3594" s="0" t="n">
        <v>4</v>
      </c>
      <c r="B3594" s="0" t="n">
        <v>8</v>
      </c>
      <c r="C3594" s="0" t="n">
        <v>2</v>
      </c>
      <c r="D3594" s="0" t="n">
        <v>7</v>
      </c>
      <c r="E3594" s="0" t="n">
        <f aca="false">-1+A3594*0.25</f>
        <v>0</v>
      </c>
      <c r="F3594" s="0" t="n">
        <f aca="false">-1+B3594*0.25</f>
        <v>1</v>
      </c>
      <c r="G3594" s="0" t="n">
        <f aca="false">-1+C3594*0.25</f>
        <v>-0.5</v>
      </c>
      <c r="H3594" s="0" t="n">
        <f aca="false">-1+D3594*0.25</f>
        <v>0.75</v>
      </c>
      <c r="I3594" s="0" t="n">
        <f aca="false">1</f>
        <v>1</v>
      </c>
      <c r="J3594" s="0" t="n">
        <f aca="false">E3594</f>
        <v>0</v>
      </c>
      <c r="K3594" s="0" t="n">
        <f aca="false">F3594</f>
        <v>1</v>
      </c>
      <c r="L3594" s="0" t="n">
        <f aca="false">G3594</f>
        <v>-0.5</v>
      </c>
      <c r="M3594" s="0" t="n">
        <f aca="false">H3594</f>
        <v>0.75</v>
      </c>
      <c r="N3594" s="0" t="n">
        <f aca="false">E3594*F3594</f>
        <v>0</v>
      </c>
      <c r="O3594" s="0" t="n">
        <f aca="false">E3594*G3594</f>
        <v>-0</v>
      </c>
      <c r="P3594" s="0" t="n">
        <f aca="false">E3594*H3594</f>
        <v>0</v>
      </c>
      <c r="Q3594" s="0" t="n">
        <f aca="false">F3594*G3594</f>
        <v>-0.5</v>
      </c>
      <c r="R3594" s="0" t="n">
        <f aca="false">F3594*H3594</f>
        <v>0.75</v>
      </c>
      <c r="S3594" s="0" t="n">
        <f aca="false">G3594*H3594</f>
        <v>-0.375</v>
      </c>
      <c r="T3594" s="0" t="n">
        <f aca="false">E3594*E3594</f>
        <v>0</v>
      </c>
      <c r="U3594" s="0" t="n">
        <f aca="false">F3594*F3594</f>
        <v>1</v>
      </c>
      <c r="V3594" s="0" t="n">
        <f aca="false">G3594*G3594</f>
        <v>0.25</v>
      </c>
      <c r="W3594" s="0" t="n">
        <f aca="false">H3594*H3594</f>
        <v>0.5625</v>
      </c>
      <c r="X3594" s="0" t="n">
        <f aca="false">SUMPRODUCT(I3594:W3594,_XtX!$B$96:$P$96)</f>
        <v>46.4231999269005</v>
      </c>
      <c r="Y3594" s="0" t="n">
        <f aca="false">SUMPRODUCT(MMULT(I3594:W3594,_XtX!$B$78:$P$92),I3594:W3594)</f>
        <v>0.476191292032164</v>
      </c>
      <c r="Z3594" s="0" t="n">
        <f aca="false">04_回帰ANOVA!$K$19*04_回帰ANOVA!$K$14*SQRT(1+Y3594)</f>
        <v>1.58368831471718</v>
      </c>
      <c r="AA3594" s="0" t="n">
        <f aca="false">X3594-Z3594</f>
        <v>44.8395116121834</v>
      </c>
      <c r="AB3594" s="0" t="n">
        <f aca="false">X3594+Z3594</f>
        <v>48.0068882416177</v>
      </c>
      <c r="AC3594" s="54" t="b">
        <f aca="false">AND(E3594&gt;=01_因子設定!$L$5-0.000000001,E3594&lt;=01_因子設定!$M$5+0.000000001,F3594&gt;=01_因子設定!$L$6-0.000000001,F3594&lt;=01_因子設定!$M$6+0.000000001,G3594&gt;=01_因子設定!$L$7-0.000000001,G3594&lt;=01_因子設定!$M$7+0.000000001,H3594&gt;=01_因子設定!$L$8-0.000000001,H3594&lt;=01_因子設定!$M$8+0.000000001,IF(01_因子設定!$B$20="Box-Behnken",E3594^2+F3594^2+G3594^2+H3594^2&lt;=2+0.000000001,TRUE()))</f>
        <v>1</v>
      </c>
      <c r="AD3594" s="55" t="n">
        <f aca="false">IF(AC3594,IF(01_因子設定!$B$13="最大化",AA3594-01_因子設定!$B$14,IF(01_因子設定!$B$13="最小化",01_因子設定!$B$15-AB3594,MIN(AA3594-01_因子設定!$B$14,01_因子設定!$B$15-AB3594))),-1E+030)</f>
        <v>-1.66048838781664</v>
      </c>
      <c r="AE3594" s="55" t="n">
        <f aca="false">IF(AC3594,IF(01_因子設定!$B$13="最大化",X3594,IF(01_因子設定!$B$13="最小化",-X3594,-ABS(X3594-01_因子設定!$B$16))),-1E+030)</f>
        <v>46.4231999269005</v>
      </c>
      <c r="AF3594" s="55" t="n">
        <f aca="false">AD3594+ROW()*0.000000001</f>
        <v>-1.66048479381664</v>
      </c>
      <c r="AG3594" s="55" t="n">
        <f aca="false">AE3594+ROW()*0.000000001</f>
        <v>46.4232035209005</v>
      </c>
    </row>
    <row r="3595" customFormat="false" ht="15" hidden="false" customHeight="false" outlineLevel="0" collapsed="false">
      <c r="A3595" s="0" t="n">
        <v>4</v>
      </c>
      <c r="B3595" s="0" t="n">
        <v>8</v>
      </c>
      <c r="C3595" s="0" t="n">
        <v>2</v>
      </c>
      <c r="D3595" s="0" t="n">
        <v>8</v>
      </c>
      <c r="E3595" s="0" t="n">
        <f aca="false">-1+A3595*0.25</f>
        <v>0</v>
      </c>
      <c r="F3595" s="0" t="n">
        <f aca="false">-1+B3595*0.25</f>
        <v>1</v>
      </c>
      <c r="G3595" s="0" t="n">
        <f aca="false">-1+C3595*0.25</f>
        <v>-0.5</v>
      </c>
      <c r="H3595" s="0" t="n">
        <f aca="false">-1+D3595*0.25</f>
        <v>1</v>
      </c>
      <c r="I3595" s="0" t="n">
        <f aca="false">1</f>
        <v>1</v>
      </c>
      <c r="J3595" s="0" t="n">
        <f aca="false">E3595</f>
        <v>0</v>
      </c>
      <c r="K3595" s="0" t="n">
        <f aca="false">F3595</f>
        <v>1</v>
      </c>
      <c r="L3595" s="0" t="n">
        <f aca="false">G3595</f>
        <v>-0.5</v>
      </c>
      <c r="M3595" s="0" t="n">
        <f aca="false">H3595</f>
        <v>1</v>
      </c>
      <c r="N3595" s="0" t="n">
        <f aca="false">E3595*F3595</f>
        <v>0</v>
      </c>
      <c r="O3595" s="0" t="n">
        <f aca="false">E3595*G3595</f>
        <v>-0</v>
      </c>
      <c r="P3595" s="0" t="n">
        <f aca="false">E3595*H3595</f>
        <v>0</v>
      </c>
      <c r="Q3595" s="0" t="n">
        <f aca="false">F3595*G3595</f>
        <v>-0.5</v>
      </c>
      <c r="R3595" s="0" t="n">
        <f aca="false">F3595*H3595</f>
        <v>1</v>
      </c>
      <c r="S3595" s="0" t="n">
        <f aca="false">G3595*H3595</f>
        <v>-0.5</v>
      </c>
      <c r="T3595" s="0" t="n">
        <f aca="false">E3595*E3595</f>
        <v>0</v>
      </c>
      <c r="U3595" s="0" t="n">
        <f aca="false">F3595*F3595</f>
        <v>1</v>
      </c>
      <c r="V3595" s="0" t="n">
        <f aca="false">G3595*G3595</f>
        <v>0.25</v>
      </c>
      <c r="W3595" s="0" t="n">
        <f aca="false">H3595*H3595</f>
        <v>1</v>
      </c>
      <c r="X3595" s="0" t="n">
        <f aca="false">SUMPRODUCT(I3595:W3595,_XtX!$B$96:$P$96)</f>
        <v>46.2682017543859</v>
      </c>
      <c r="Y3595" s="0" t="n">
        <f aca="false">SUMPRODUCT(MMULT(I3595:W3595,_XtX!$B$78:$P$92),I3595:W3595)</f>
        <v>0.650767543859649</v>
      </c>
      <c r="Z3595" s="0" t="n">
        <f aca="false">04_回帰ANOVA!$K$19*04_回帰ANOVA!$K$14*SQRT(1+Y3595)</f>
        <v>1.67471670935165</v>
      </c>
      <c r="AA3595" s="0" t="n">
        <f aca="false">X3595-Z3595</f>
        <v>44.5934850450343</v>
      </c>
      <c r="AB3595" s="0" t="n">
        <f aca="false">X3595+Z3595</f>
        <v>47.9429184637376</v>
      </c>
      <c r="AC3595" s="54" t="b">
        <f aca="false">AND(E3595&gt;=01_因子設定!$L$5-0.000000001,E3595&lt;=01_因子設定!$M$5+0.000000001,F3595&gt;=01_因子設定!$L$6-0.000000001,F3595&lt;=01_因子設定!$M$6+0.000000001,G3595&gt;=01_因子設定!$L$7-0.000000001,G3595&lt;=01_因子設定!$M$7+0.000000001,H3595&gt;=01_因子設定!$L$8-0.000000001,H3595&lt;=01_因子設定!$M$8+0.000000001,IF(01_因子設定!$B$20="Box-Behnken",E3595^2+F3595^2+G3595^2+H3595^2&lt;=2+0.000000001,TRUE()))</f>
        <v>1</v>
      </c>
      <c r="AD3595" s="55" t="n">
        <f aca="false">IF(AC3595,IF(01_因子設定!$B$13="最大化",AA3595-01_因子設定!$B$14,IF(01_因子設定!$B$13="最小化",01_因子設定!$B$15-AB3595,MIN(AA3595-01_因子設定!$B$14,01_因子設定!$B$15-AB3595))),-1E+030)</f>
        <v>-1.90651495496572</v>
      </c>
      <c r="AE3595" s="55" t="n">
        <f aca="false">IF(AC3595,IF(01_因子設定!$B$13="最大化",X3595,IF(01_因子設定!$B$13="最小化",-X3595,-ABS(X3595-01_因子設定!$B$16))),-1E+030)</f>
        <v>46.2682017543859</v>
      </c>
      <c r="AF3595" s="55" t="n">
        <f aca="false">AD3595+ROW()*0.000000001</f>
        <v>-1.90651135996572</v>
      </c>
      <c r="AG3595" s="55" t="n">
        <f aca="false">AE3595+ROW()*0.000000001</f>
        <v>46.2682053493859</v>
      </c>
    </row>
    <row r="3596" customFormat="false" ht="15" hidden="false" customHeight="false" outlineLevel="0" collapsed="false">
      <c r="A3596" s="0" t="n">
        <v>4</v>
      </c>
      <c r="B3596" s="0" t="n">
        <v>8</v>
      </c>
      <c r="C3596" s="0" t="n">
        <v>3</v>
      </c>
      <c r="D3596" s="0" t="n">
        <v>0</v>
      </c>
      <c r="E3596" s="0" t="n">
        <f aca="false">-1+A3596*0.25</f>
        <v>0</v>
      </c>
      <c r="F3596" s="0" t="n">
        <f aca="false">-1+B3596*0.25</f>
        <v>1</v>
      </c>
      <c r="G3596" s="0" t="n">
        <f aca="false">-1+C3596*0.25</f>
        <v>-0.25</v>
      </c>
      <c r="H3596" s="0" t="n">
        <f aca="false">-1+D3596*0.25</f>
        <v>-1</v>
      </c>
      <c r="I3596" s="0" t="n">
        <f aca="false">1</f>
        <v>1</v>
      </c>
      <c r="J3596" s="0" t="n">
        <f aca="false">E3596</f>
        <v>0</v>
      </c>
      <c r="K3596" s="0" t="n">
        <f aca="false">F3596</f>
        <v>1</v>
      </c>
      <c r="L3596" s="0" t="n">
        <f aca="false">G3596</f>
        <v>-0.25</v>
      </c>
      <c r="M3596" s="0" t="n">
        <f aca="false">H3596</f>
        <v>-1</v>
      </c>
      <c r="N3596" s="0" t="n">
        <f aca="false">E3596*F3596</f>
        <v>0</v>
      </c>
      <c r="O3596" s="0" t="n">
        <f aca="false">E3596*G3596</f>
        <v>-0</v>
      </c>
      <c r="P3596" s="0" t="n">
        <f aca="false">E3596*H3596</f>
        <v>-0</v>
      </c>
      <c r="Q3596" s="0" t="n">
        <f aca="false">F3596*G3596</f>
        <v>-0.25</v>
      </c>
      <c r="R3596" s="0" t="n">
        <f aca="false">F3596*H3596</f>
        <v>-1</v>
      </c>
      <c r="S3596" s="0" t="n">
        <f aca="false">G3596*H3596</f>
        <v>0.25</v>
      </c>
      <c r="T3596" s="0" t="n">
        <f aca="false">E3596*E3596</f>
        <v>0</v>
      </c>
      <c r="U3596" s="0" t="n">
        <f aca="false">F3596*F3596</f>
        <v>1</v>
      </c>
      <c r="V3596" s="0" t="n">
        <f aca="false">G3596*G3596</f>
        <v>0.0625</v>
      </c>
      <c r="W3596" s="0" t="n">
        <f aca="false">H3596*H3596</f>
        <v>1</v>
      </c>
      <c r="X3596" s="0" t="n">
        <f aca="false">SUMPRODUCT(I3596:W3596,_XtX!$B$96:$P$96)</f>
        <v>46.549634502924</v>
      </c>
      <c r="Y3596" s="0" t="n">
        <f aca="false">SUMPRODUCT(MMULT(I3596:W3596,_XtX!$B$78:$P$92),I3596:W3596)</f>
        <v>0.689692982456141</v>
      </c>
      <c r="Z3596" s="0" t="n">
        <f aca="false">04_回帰ANOVA!$K$19*04_回帰ANOVA!$K$14*SQRT(1+Y3596)</f>
        <v>1.69434674594998</v>
      </c>
      <c r="AA3596" s="0" t="n">
        <f aca="false">X3596-Z3596</f>
        <v>44.855287756974</v>
      </c>
      <c r="AB3596" s="0" t="n">
        <f aca="false">X3596+Z3596</f>
        <v>48.2439812488739</v>
      </c>
      <c r="AC3596" s="54" t="b">
        <f aca="false">AND(E3596&gt;=01_因子設定!$L$5-0.000000001,E3596&lt;=01_因子設定!$M$5+0.000000001,F3596&gt;=01_因子設定!$L$6-0.000000001,F3596&lt;=01_因子設定!$M$6+0.000000001,G3596&gt;=01_因子設定!$L$7-0.000000001,G3596&lt;=01_因子設定!$M$7+0.000000001,H3596&gt;=01_因子設定!$L$8-0.000000001,H3596&lt;=01_因子設定!$M$8+0.000000001,IF(01_因子設定!$B$20="Box-Behnken",E3596^2+F3596^2+G3596^2+H3596^2&lt;=2+0.000000001,TRUE()))</f>
        <v>1</v>
      </c>
      <c r="AD3596" s="55" t="n">
        <f aca="false">IF(AC3596,IF(01_因子設定!$B$13="最大化",AA3596-01_因子設定!$B$14,IF(01_因子設定!$B$13="最小化",01_因子設定!$B$15-AB3596,MIN(AA3596-01_因子設定!$B$14,01_因子設定!$B$15-AB3596))),-1E+030)</f>
        <v>-1.64471224302604</v>
      </c>
      <c r="AE3596" s="55" t="n">
        <f aca="false">IF(AC3596,IF(01_因子設定!$B$13="最大化",X3596,IF(01_因子設定!$B$13="最小化",-X3596,-ABS(X3596-01_因子設定!$B$16))),-1E+030)</f>
        <v>46.549634502924</v>
      </c>
      <c r="AF3596" s="55" t="n">
        <f aca="false">AD3596+ROW()*0.000000001</f>
        <v>-1.64470864702604</v>
      </c>
      <c r="AG3596" s="55" t="n">
        <f aca="false">AE3596+ROW()*0.000000001</f>
        <v>46.549638098924</v>
      </c>
    </row>
    <row r="3597" customFormat="false" ht="15" hidden="false" customHeight="false" outlineLevel="0" collapsed="false">
      <c r="A3597" s="0" t="n">
        <v>4</v>
      </c>
      <c r="B3597" s="0" t="n">
        <v>8</v>
      </c>
      <c r="C3597" s="0" t="n">
        <v>3</v>
      </c>
      <c r="D3597" s="0" t="n">
        <v>1</v>
      </c>
      <c r="E3597" s="0" t="n">
        <f aca="false">-1+A3597*0.25</f>
        <v>0</v>
      </c>
      <c r="F3597" s="0" t="n">
        <f aca="false">-1+B3597*0.25</f>
        <v>1</v>
      </c>
      <c r="G3597" s="0" t="n">
        <f aca="false">-1+C3597*0.25</f>
        <v>-0.25</v>
      </c>
      <c r="H3597" s="0" t="n">
        <f aca="false">-1+D3597*0.25</f>
        <v>-0.75</v>
      </c>
      <c r="I3597" s="0" t="n">
        <f aca="false">1</f>
        <v>1</v>
      </c>
      <c r="J3597" s="0" t="n">
        <f aca="false">E3597</f>
        <v>0</v>
      </c>
      <c r="K3597" s="0" t="n">
        <f aca="false">F3597</f>
        <v>1</v>
      </c>
      <c r="L3597" s="0" t="n">
        <f aca="false">G3597</f>
        <v>-0.25</v>
      </c>
      <c r="M3597" s="0" t="n">
        <f aca="false">H3597</f>
        <v>-0.75</v>
      </c>
      <c r="N3597" s="0" t="n">
        <f aca="false">E3597*F3597</f>
        <v>0</v>
      </c>
      <c r="O3597" s="0" t="n">
        <f aca="false">E3597*G3597</f>
        <v>-0</v>
      </c>
      <c r="P3597" s="0" t="n">
        <f aca="false">E3597*H3597</f>
        <v>-0</v>
      </c>
      <c r="Q3597" s="0" t="n">
        <f aca="false">F3597*G3597</f>
        <v>-0.25</v>
      </c>
      <c r="R3597" s="0" t="n">
        <f aca="false">F3597*H3597</f>
        <v>-0.75</v>
      </c>
      <c r="S3597" s="0" t="n">
        <f aca="false">G3597*H3597</f>
        <v>0.1875</v>
      </c>
      <c r="T3597" s="0" t="n">
        <f aca="false">E3597*E3597</f>
        <v>0</v>
      </c>
      <c r="U3597" s="0" t="n">
        <f aca="false">F3597*F3597</f>
        <v>1</v>
      </c>
      <c r="V3597" s="0" t="n">
        <f aca="false">G3597*G3597</f>
        <v>0.0625</v>
      </c>
      <c r="W3597" s="0" t="n">
        <f aca="false">H3597*H3597</f>
        <v>0.5625</v>
      </c>
      <c r="X3597" s="0" t="n">
        <f aca="false">SUMPRODUCT(I3597:W3597,_XtX!$B$96:$P$96)</f>
        <v>46.7472542032163</v>
      </c>
      <c r="Y3597" s="0" t="n">
        <f aca="false">SUMPRODUCT(MMULT(I3597:W3597,_XtX!$B$78:$P$92),I3597:W3597)</f>
        <v>0.501534802174708</v>
      </c>
      <c r="Z3597" s="0" t="n">
        <f aca="false">04_回帰ANOVA!$K$19*04_回帰ANOVA!$K$14*SQRT(1+Y3597)</f>
        <v>1.59722498091333</v>
      </c>
      <c r="AA3597" s="0" t="n">
        <f aca="false">X3597-Z3597</f>
        <v>45.150029222303</v>
      </c>
      <c r="AB3597" s="0" t="n">
        <f aca="false">X3597+Z3597</f>
        <v>48.3444791841297</v>
      </c>
      <c r="AC3597" s="54" t="b">
        <f aca="false">AND(E3597&gt;=01_因子設定!$L$5-0.000000001,E3597&lt;=01_因子設定!$M$5+0.000000001,F3597&gt;=01_因子設定!$L$6-0.000000001,F3597&lt;=01_因子設定!$M$6+0.000000001,G3597&gt;=01_因子設定!$L$7-0.000000001,G3597&lt;=01_因子設定!$M$7+0.000000001,H3597&gt;=01_因子設定!$L$8-0.000000001,H3597&lt;=01_因子設定!$M$8+0.000000001,IF(01_因子設定!$B$20="Box-Behnken",E3597^2+F3597^2+G3597^2+H3597^2&lt;=2+0.000000001,TRUE()))</f>
        <v>1</v>
      </c>
      <c r="AD3597" s="55" t="n">
        <f aca="false">IF(AC3597,IF(01_因子設定!$B$13="最大化",AA3597-01_因子設定!$B$14,IF(01_因子設定!$B$13="最小化",01_因子設定!$B$15-AB3597,MIN(AA3597-01_因子設定!$B$14,01_因子設定!$B$15-AB3597))),-1E+030)</f>
        <v>-1.349970777697</v>
      </c>
      <c r="AE3597" s="55" t="n">
        <f aca="false">IF(AC3597,IF(01_因子設定!$B$13="最大化",X3597,IF(01_因子設定!$B$13="最小化",-X3597,-ABS(X3597-01_因子設定!$B$16))),-1E+030)</f>
        <v>46.7472542032163</v>
      </c>
      <c r="AF3597" s="55" t="n">
        <f aca="false">AD3597+ROW()*0.000000001</f>
        <v>-1.349967180697</v>
      </c>
      <c r="AG3597" s="55" t="n">
        <f aca="false">AE3597+ROW()*0.000000001</f>
        <v>46.7472578002163</v>
      </c>
    </row>
    <row r="3598" customFormat="false" ht="15" hidden="false" customHeight="false" outlineLevel="0" collapsed="false">
      <c r="A3598" s="0" t="n">
        <v>4</v>
      </c>
      <c r="B3598" s="0" t="n">
        <v>8</v>
      </c>
      <c r="C3598" s="0" t="n">
        <v>3</v>
      </c>
      <c r="D3598" s="0" t="n">
        <v>2</v>
      </c>
      <c r="E3598" s="0" t="n">
        <f aca="false">-1+A3598*0.25</f>
        <v>0</v>
      </c>
      <c r="F3598" s="0" t="n">
        <f aca="false">-1+B3598*0.25</f>
        <v>1</v>
      </c>
      <c r="G3598" s="0" t="n">
        <f aca="false">-1+C3598*0.25</f>
        <v>-0.25</v>
      </c>
      <c r="H3598" s="0" t="n">
        <f aca="false">-1+D3598*0.25</f>
        <v>-0.5</v>
      </c>
      <c r="I3598" s="0" t="n">
        <f aca="false">1</f>
        <v>1</v>
      </c>
      <c r="J3598" s="0" t="n">
        <f aca="false">E3598</f>
        <v>0</v>
      </c>
      <c r="K3598" s="0" t="n">
        <f aca="false">F3598</f>
        <v>1</v>
      </c>
      <c r="L3598" s="0" t="n">
        <f aca="false">G3598</f>
        <v>-0.25</v>
      </c>
      <c r="M3598" s="0" t="n">
        <f aca="false">H3598</f>
        <v>-0.5</v>
      </c>
      <c r="N3598" s="0" t="n">
        <f aca="false">E3598*F3598</f>
        <v>0</v>
      </c>
      <c r="O3598" s="0" t="n">
        <f aca="false">E3598*G3598</f>
        <v>-0</v>
      </c>
      <c r="P3598" s="0" t="n">
        <f aca="false">E3598*H3598</f>
        <v>-0</v>
      </c>
      <c r="Q3598" s="0" t="n">
        <f aca="false">F3598*G3598</f>
        <v>-0.25</v>
      </c>
      <c r="R3598" s="0" t="n">
        <f aca="false">F3598*H3598</f>
        <v>-0.5</v>
      </c>
      <c r="S3598" s="0" t="n">
        <f aca="false">G3598*H3598</f>
        <v>0.125</v>
      </c>
      <c r="T3598" s="0" t="n">
        <f aca="false">E3598*E3598</f>
        <v>0</v>
      </c>
      <c r="U3598" s="0" t="n">
        <f aca="false">F3598*F3598</f>
        <v>1</v>
      </c>
      <c r="V3598" s="0" t="n">
        <f aca="false">G3598*G3598</f>
        <v>0.0625</v>
      </c>
      <c r="W3598" s="0" t="n">
        <f aca="false">H3598*H3598</f>
        <v>0.25</v>
      </c>
      <c r="X3598" s="0" t="n">
        <f aca="false">SUMPRODUCT(I3598:W3598,_XtX!$B$96:$P$96)</f>
        <v>46.8970668859649</v>
      </c>
      <c r="Y3598" s="0" t="n">
        <f aca="false">SUMPRODUCT(MMULT(I3598:W3598,_XtX!$B$78:$P$92),I3598:W3598)</f>
        <v>0.457596628289474</v>
      </c>
      <c r="Z3598" s="0" t="n">
        <f aca="false">04_回帰ANOVA!$K$19*04_回帰ANOVA!$K$14*SQRT(1+Y3598)</f>
        <v>1.57368233664366</v>
      </c>
      <c r="AA3598" s="0" t="n">
        <f aca="false">X3598-Z3598</f>
        <v>45.3233845493212</v>
      </c>
      <c r="AB3598" s="0" t="n">
        <f aca="false">X3598+Z3598</f>
        <v>48.4707492226085</v>
      </c>
      <c r="AC3598" s="54" t="b">
        <f aca="false">AND(E3598&gt;=01_因子設定!$L$5-0.000000001,E3598&lt;=01_因子設定!$M$5+0.000000001,F3598&gt;=01_因子設定!$L$6-0.000000001,F3598&lt;=01_因子設定!$M$6+0.000000001,G3598&gt;=01_因子設定!$L$7-0.000000001,G3598&lt;=01_因子設定!$M$7+0.000000001,H3598&gt;=01_因子設定!$L$8-0.000000001,H3598&lt;=01_因子設定!$M$8+0.000000001,IF(01_因子設定!$B$20="Box-Behnken",E3598^2+F3598^2+G3598^2+H3598^2&lt;=2+0.000000001,TRUE()))</f>
        <v>1</v>
      </c>
      <c r="AD3598" s="55" t="n">
        <f aca="false">IF(AC3598,IF(01_因子設定!$B$13="最大化",AA3598-01_因子設定!$B$14,IF(01_因子設定!$B$13="最小化",01_因子設定!$B$15-AB3598,MIN(AA3598-01_因子設定!$B$14,01_因子設定!$B$15-AB3598))),-1E+030)</f>
        <v>-1.1766154506788</v>
      </c>
      <c r="AE3598" s="55" t="n">
        <f aca="false">IF(AC3598,IF(01_因子設定!$B$13="最大化",X3598,IF(01_因子設定!$B$13="最小化",-X3598,-ABS(X3598-01_因子設定!$B$16))),-1E+030)</f>
        <v>46.8970668859649</v>
      </c>
      <c r="AF3598" s="55" t="n">
        <f aca="false">AD3598+ROW()*0.000000001</f>
        <v>-1.1766118526788</v>
      </c>
      <c r="AG3598" s="55" t="n">
        <f aca="false">AE3598+ROW()*0.000000001</f>
        <v>46.8970704839649</v>
      </c>
    </row>
    <row r="3599" customFormat="false" ht="15" hidden="false" customHeight="false" outlineLevel="0" collapsed="false">
      <c r="A3599" s="0" t="n">
        <v>4</v>
      </c>
      <c r="B3599" s="0" t="n">
        <v>8</v>
      </c>
      <c r="C3599" s="0" t="n">
        <v>3</v>
      </c>
      <c r="D3599" s="0" t="n">
        <v>3</v>
      </c>
      <c r="E3599" s="0" t="n">
        <f aca="false">-1+A3599*0.25</f>
        <v>0</v>
      </c>
      <c r="F3599" s="0" t="n">
        <f aca="false">-1+B3599*0.25</f>
        <v>1</v>
      </c>
      <c r="G3599" s="0" t="n">
        <f aca="false">-1+C3599*0.25</f>
        <v>-0.25</v>
      </c>
      <c r="H3599" s="0" t="n">
        <f aca="false">-1+D3599*0.25</f>
        <v>-0.25</v>
      </c>
      <c r="I3599" s="0" t="n">
        <f aca="false">1</f>
        <v>1</v>
      </c>
      <c r="J3599" s="0" t="n">
        <f aca="false">E3599</f>
        <v>0</v>
      </c>
      <c r="K3599" s="0" t="n">
        <f aca="false">F3599</f>
        <v>1</v>
      </c>
      <c r="L3599" s="0" t="n">
        <f aca="false">G3599</f>
        <v>-0.25</v>
      </c>
      <c r="M3599" s="0" t="n">
        <f aca="false">H3599</f>
        <v>-0.25</v>
      </c>
      <c r="N3599" s="0" t="n">
        <f aca="false">E3599*F3599</f>
        <v>0</v>
      </c>
      <c r="O3599" s="0" t="n">
        <f aca="false">E3599*G3599</f>
        <v>-0</v>
      </c>
      <c r="P3599" s="0" t="n">
        <f aca="false">E3599*H3599</f>
        <v>-0</v>
      </c>
      <c r="Q3599" s="0" t="n">
        <f aca="false">F3599*G3599</f>
        <v>-0.25</v>
      </c>
      <c r="R3599" s="0" t="n">
        <f aca="false">F3599*H3599</f>
        <v>-0.25</v>
      </c>
      <c r="S3599" s="0" t="n">
        <f aca="false">G3599*H3599</f>
        <v>0.0625</v>
      </c>
      <c r="T3599" s="0" t="n">
        <f aca="false">E3599*E3599</f>
        <v>0</v>
      </c>
      <c r="U3599" s="0" t="n">
        <f aca="false">F3599*F3599</f>
        <v>1</v>
      </c>
      <c r="V3599" s="0" t="n">
        <f aca="false">G3599*G3599</f>
        <v>0.0625</v>
      </c>
      <c r="W3599" s="0" t="n">
        <f aca="false">H3599*H3599</f>
        <v>0.0625</v>
      </c>
      <c r="X3599" s="0" t="n">
        <f aca="false">SUMPRODUCT(I3599:W3599,_XtX!$B$96:$P$96)</f>
        <v>46.9990725511695</v>
      </c>
      <c r="Y3599" s="0" t="n">
        <f aca="false">SUMPRODUCT(MMULT(I3599:W3599,_XtX!$B$78:$P$92),I3599:W3599)</f>
        <v>0.467417934484649</v>
      </c>
      <c r="Z3599" s="0" t="n">
        <f aca="false">04_回帰ANOVA!$K$19*04_回帰ANOVA!$K$14*SQRT(1+Y3599)</f>
        <v>1.57897518244497</v>
      </c>
      <c r="AA3599" s="0" t="n">
        <f aca="false">X3599-Z3599</f>
        <v>45.4200973687246</v>
      </c>
      <c r="AB3599" s="0" t="n">
        <f aca="false">X3599+Z3599</f>
        <v>48.5780477336145</v>
      </c>
      <c r="AC3599" s="54" t="b">
        <f aca="false">AND(E3599&gt;=01_因子設定!$L$5-0.000000001,E3599&lt;=01_因子設定!$M$5+0.000000001,F3599&gt;=01_因子設定!$L$6-0.000000001,F3599&lt;=01_因子設定!$M$6+0.000000001,G3599&gt;=01_因子設定!$L$7-0.000000001,G3599&lt;=01_因子設定!$M$7+0.000000001,H3599&gt;=01_因子設定!$L$8-0.000000001,H3599&lt;=01_因子設定!$M$8+0.000000001,IF(01_因子設定!$B$20="Box-Behnken",E3599^2+F3599^2+G3599^2+H3599^2&lt;=2+0.000000001,TRUE()))</f>
        <v>1</v>
      </c>
      <c r="AD3599" s="55" t="n">
        <f aca="false">IF(AC3599,IF(01_因子設定!$B$13="最大化",AA3599-01_因子設定!$B$14,IF(01_因子設定!$B$13="最小化",01_因子設定!$B$15-AB3599,MIN(AA3599-01_因子設定!$B$14,01_因子設定!$B$15-AB3599))),-1E+030)</f>
        <v>-1.07990263127545</v>
      </c>
      <c r="AE3599" s="55" t="n">
        <f aca="false">IF(AC3599,IF(01_因子設定!$B$13="最大化",X3599,IF(01_因子設定!$B$13="最小化",-X3599,-ABS(X3599-01_因子設定!$B$16))),-1E+030)</f>
        <v>46.9990725511695</v>
      </c>
      <c r="AF3599" s="55" t="n">
        <f aca="false">AD3599+ROW()*0.000000001</f>
        <v>-1.07989903227545</v>
      </c>
      <c r="AG3599" s="55" t="n">
        <f aca="false">AE3599+ROW()*0.000000001</f>
        <v>46.9990761501695</v>
      </c>
    </row>
    <row r="3600" customFormat="false" ht="15" hidden="false" customHeight="false" outlineLevel="0" collapsed="false">
      <c r="A3600" s="0" t="n">
        <v>4</v>
      </c>
      <c r="B3600" s="0" t="n">
        <v>8</v>
      </c>
      <c r="C3600" s="0" t="n">
        <v>3</v>
      </c>
      <c r="D3600" s="0" t="n">
        <v>4</v>
      </c>
      <c r="E3600" s="0" t="n">
        <f aca="false">-1+A3600*0.25</f>
        <v>0</v>
      </c>
      <c r="F3600" s="0" t="n">
        <f aca="false">-1+B3600*0.25</f>
        <v>1</v>
      </c>
      <c r="G3600" s="0" t="n">
        <f aca="false">-1+C3600*0.25</f>
        <v>-0.25</v>
      </c>
      <c r="H3600" s="0" t="n">
        <f aca="false">-1+D3600*0.25</f>
        <v>0</v>
      </c>
      <c r="I3600" s="0" t="n">
        <f aca="false">1</f>
        <v>1</v>
      </c>
      <c r="J3600" s="0" t="n">
        <f aca="false">E3600</f>
        <v>0</v>
      </c>
      <c r="K3600" s="0" t="n">
        <f aca="false">F3600</f>
        <v>1</v>
      </c>
      <c r="L3600" s="0" t="n">
        <f aca="false">G3600</f>
        <v>-0.25</v>
      </c>
      <c r="M3600" s="0" t="n">
        <f aca="false">H3600</f>
        <v>0</v>
      </c>
      <c r="N3600" s="0" t="n">
        <f aca="false">E3600*F3600</f>
        <v>0</v>
      </c>
      <c r="O3600" s="0" t="n">
        <f aca="false">E3600*G3600</f>
        <v>-0</v>
      </c>
      <c r="P3600" s="0" t="n">
        <f aca="false">E3600*H3600</f>
        <v>0</v>
      </c>
      <c r="Q3600" s="0" t="n">
        <f aca="false">F3600*G3600</f>
        <v>-0.25</v>
      </c>
      <c r="R3600" s="0" t="n">
        <f aca="false">F3600*H3600</f>
        <v>0</v>
      </c>
      <c r="S3600" s="0" t="n">
        <f aca="false">G3600*H3600</f>
        <v>-0</v>
      </c>
      <c r="T3600" s="0" t="n">
        <f aca="false">E3600*E3600</f>
        <v>0</v>
      </c>
      <c r="U3600" s="0" t="n">
        <f aca="false">F3600*F3600</f>
        <v>1</v>
      </c>
      <c r="V3600" s="0" t="n">
        <f aca="false">G3600*G3600</f>
        <v>0.0625</v>
      </c>
      <c r="W3600" s="0" t="n">
        <f aca="false">H3600*H3600</f>
        <v>0</v>
      </c>
      <c r="X3600" s="0" t="n">
        <f aca="false">SUMPRODUCT(I3600:W3600,_XtX!$B$96:$P$96)</f>
        <v>47.0532711988303</v>
      </c>
      <c r="Y3600" s="0" t="n">
        <f aca="false">SUMPRODUCT(MMULT(I3600:W3600,_XtX!$B$78:$P$92),I3600:W3600)</f>
        <v>0.47672240497076</v>
      </c>
      <c r="Z3600" s="0" t="n">
        <f aca="false">04_回帰ANOVA!$K$19*04_回帰ANOVA!$K$14*SQRT(1+Y3600)</f>
        <v>1.58397318352695</v>
      </c>
      <c r="AA3600" s="0" t="n">
        <f aca="false">X3600-Z3600</f>
        <v>45.4692980153034</v>
      </c>
      <c r="AB3600" s="0" t="n">
        <f aca="false">X3600+Z3600</f>
        <v>48.6372443823573</v>
      </c>
      <c r="AC3600" s="54" t="b">
        <f aca="false">AND(E3600&gt;=01_因子設定!$L$5-0.000000001,E3600&lt;=01_因子設定!$M$5+0.000000001,F3600&gt;=01_因子設定!$L$6-0.000000001,F3600&lt;=01_因子設定!$M$6+0.000000001,G3600&gt;=01_因子設定!$L$7-0.000000001,G3600&lt;=01_因子設定!$M$7+0.000000001,H3600&gt;=01_因子設定!$L$8-0.000000001,H3600&lt;=01_因子設定!$M$8+0.000000001,IF(01_因子設定!$B$20="Box-Behnken",E3600^2+F3600^2+G3600^2+H3600^2&lt;=2+0.000000001,TRUE()))</f>
        <v>1</v>
      </c>
      <c r="AD3600" s="55" t="n">
        <f aca="false">IF(AC3600,IF(01_因子設定!$B$13="最大化",AA3600-01_因子設定!$B$14,IF(01_因子設定!$B$13="最小化",01_因子設定!$B$15-AB3600,MIN(AA3600-01_因子設定!$B$14,01_因子設定!$B$15-AB3600))),-1E+030)</f>
        <v>-1.0307019846966</v>
      </c>
      <c r="AE3600" s="55" t="n">
        <f aca="false">IF(AC3600,IF(01_因子設定!$B$13="最大化",X3600,IF(01_因子設定!$B$13="最小化",-X3600,-ABS(X3600-01_因子設定!$B$16))),-1E+030)</f>
        <v>47.0532711988303</v>
      </c>
      <c r="AF3600" s="55" t="n">
        <f aca="false">AD3600+ROW()*0.000000001</f>
        <v>-1.0306983846966</v>
      </c>
      <c r="AG3600" s="55" t="n">
        <f aca="false">AE3600+ROW()*0.000000001</f>
        <v>47.0532747988303</v>
      </c>
    </row>
    <row r="3601" customFormat="false" ht="15" hidden="false" customHeight="false" outlineLevel="0" collapsed="false">
      <c r="A3601" s="0" t="n">
        <v>4</v>
      </c>
      <c r="B3601" s="0" t="n">
        <v>8</v>
      </c>
      <c r="C3601" s="0" t="n">
        <v>3</v>
      </c>
      <c r="D3601" s="0" t="n">
        <v>5</v>
      </c>
      <c r="E3601" s="0" t="n">
        <f aca="false">-1+A3601*0.25</f>
        <v>0</v>
      </c>
      <c r="F3601" s="0" t="n">
        <f aca="false">-1+B3601*0.25</f>
        <v>1</v>
      </c>
      <c r="G3601" s="0" t="n">
        <f aca="false">-1+C3601*0.25</f>
        <v>-0.25</v>
      </c>
      <c r="H3601" s="0" t="n">
        <f aca="false">-1+D3601*0.25</f>
        <v>0.25</v>
      </c>
      <c r="I3601" s="0" t="n">
        <f aca="false">1</f>
        <v>1</v>
      </c>
      <c r="J3601" s="0" t="n">
        <f aca="false">E3601</f>
        <v>0</v>
      </c>
      <c r="K3601" s="0" t="n">
        <f aca="false">F3601</f>
        <v>1</v>
      </c>
      <c r="L3601" s="0" t="n">
        <f aca="false">G3601</f>
        <v>-0.25</v>
      </c>
      <c r="M3601" s="0" t="n">
        <f aca="false">H3601</f>
        <v>0.25</v>
      </c>
      <c r="N3601" s="0" t="n">
        <f aca="false">E3601*F3601</f>
        <v>0</v>
      </c>
      <c r="O3601" s="0" t="n">
        <f aca="false">E3601*G3601</f>
        <v>-0</v>
      </c>
      <c r="P3601" s="0" t="n">
        <f aca="false">E3601*H3601</f>
        <v>0</v>
      </c>
      <c r="Q3601" s="0" t="n">
        <f aca="false">F3601*G3601</f>
        <v>-0.25</v>
      </c>
      <c r="R3601" s="0" t="n">
        <f aca="false">F3601*H3601</f>
        <v>0.25</v>
      </c>
      <c r="S3601" s="0" t="n">
        <f aca="false">G3601*H3601</f>
        <v>-0.0625</v>
      </c>
      <c r="T3601" s="0" t="n">
        <f aca="false">E3601*E3601</f>
        <v>0</v>
      </c>
      <c r="U3601" s="0" t="n">
        <f aca="false">F3601*F3601</f>
        <v>1</v>
      </c>
      <c r="V3601" s="0" t="n">
        <f aca="false">G3601*G3601</f>
        <v>0.0625</v>
      </c>
      <c r="W3601" s="0" t="n">
        <f aca="false">H3601*H3601</f>
        <v>0.0625</v>
      </c>
      <c r="X3601" s="0" t="n">
        <f aca="false">SUMPRODUCT(I3601:W3601,_XtX!$B$96:$P$96)</f>
        <v>47.0596628289473</v>
      </c>
      <c r="Y3601" s="0" t="n">
        <f aca="false">SUMPRODUCT(MMULT(I3601:W3601,_XtX!$B$78:$P$92),I3601:W3601)</f>
        <v>0.467417934484649</v>
      </c>
      <c r="Z3601" s="0" t="n">
        <f aca="false">04_回帰ANOVA!$K$19*04_回帰ANOVA!$K$14*SQRT(1+Y3601)</f>
        <v>1.57897518244497</v>
      </c>
      <c r="AA3601" s="0" t="n">
        <f aca="false">X3601-Z3601</f>
        <v>45.4806876465023</v>
      </c>
      <c r="AB3601" s="0" t="n">
        <f aca="false">X3601+Z3601</f>
        <v>48.6386380113923</v>
      </c>
      <c r="AC3601" s="54" t="b">
        <f aca="false">AND(E3601&gt;=01_因子設定!$L$5-0.000000001,E3601&lt;=01_因子設定!$M$5+0.000000001,F3601&gt;=01_因子設定!$L$6-0.000000001,F3601&lt;=01_因子設定!$M$6+0.000000001,G3601&gt;=01_因子設定!$L$7-0.000000001,G3601&lt;=01_因子設定!$M$7+0.000000001,H3601&gt;=01_因子設定!$L$8-0.000000001,H3601&lt;=01_因子設定!$M$8+0.000000001,IF(01_因子設定!$B$20="Box-Behnken",E3601^2+F3601^2+G3601^2+H3601^2&lt;=2+0.000000001,TRUE()))</f>
        <v>1</v>
      </c>
      <c r="AD3601" s="55" t="n">
        <f aca="false">IF(AC3601,IF(01_因子設定!$B$13="最大化",AA3601-01_因子設定!$B$14,IF(01_因子設定!$B$13="最小化",01_因子設定!$B$15-AB3601,MIN(AA3601-01_因子設定!$B$14,01_因子設定!$B$15-AB3601))),-1E+030)</f>
        <v>-1.01931235349767</v>
      </c>
      <c r="AE3601" s="55" t="n">
        <f aca="false">IF(AC3601,IF(01_因子設定!$B$13="最大化",X3601,IF(01_因子設定!$B$13="最小化",-X3601,-ABS(X3601-01_因子設定!$B$16))),-1E+030)</f>
        <v>47.0596628289473</v>
      </c>
      <c r="AF3601" s="55" t="n">
        <f aca="false">AD3601+ROW()*0.000000001</f>
        <v>-1.01930875249767</v>
      </c>
      <c r="AG3601" s="55" t="n">
        <f aca="false">AE3601+ROW()*0.000000001</f>
        <v>47.0596664299473</v>
      </c>
    </row>
    <row r="3602" customFormat="false" ht="15" hidden="false" customHeight="false" outlineLevel="0" collapsed="false">
      <c r="A3602" s="0" t="n">
        <v>4</v>
      </c>
      <c r="B3602" s="0" t="n">
        <v>8</v>
      </c>
      <c r="C3602" s="0" t="n">
        <v>3</v>
      </c>
      <c r="D3602" s="0" t="n">
        <v>6</v>
      </c>
      <c r="E3602" s="0" t="n">
        <f aca="false">-1+A3602*0.25</f>
        <v>0</v>
      </c>
      <c r="F3602" s="0" t="n">
        <f aca="false">-1+B3602*0.25</f>
        <v>1</v>
      </c>
      <c r="G3602" s="0" t="n">
        <f aca="false">-1+C3602*0.25</f>
        <v>-0.25</v>
      </c>
      <c r="H3602" s="0" t="n">
        <f aca="false">-1+D3602*0.25</f>
        <v>0.5</v>
      </c>
      <c r="I3602" s="0" t="n">
        <f aca="false">1</f>
        <v>1</v>
      </c>
      <c r="J3602" s="0" t="n">
        <f aca="false">E3602</f>
        <v>0</v>
      </c>
      <c r="K3602" s="0" t="n">
        <f aca="false">F3602</f>
        <v>1</v>
      </c>
      <c r="L3602" s="0" t="n">
        <f aca="false">G3602</f>
        <v>-0.25</v>
      </c>
      <c r="M3602" s="0" t="n">
        <f aca="false">H3602</f>
        <v>0.5</v>
      </c>
      <c r="N3602" s="0" t="n">
        <f aca="false">E3602*F3602</f>
        <v>0</v>
      </c>
      <c r="O3602" s="0" t="n">
        <f aca="false">E3602*G3602</f>
        <v>-0</v>
      </c>
      <c r="P3602" s="0" t="n">
        <f aca="false">E3602*H3602</f>
        <v>0</v>
      </c>
      <c r="Q3602" s="0" t="n">
        <f aca="false">F3602*G3602</f>
        <v>-0.25</v>
      </c>
      <c r="R3602" s="0" t="n">
        <f aca="false">F3602*H3602</f>
        <v>0.5</v>
      </c>
      <c r="S3602" s="0" t="n">
        <f aca="false">G3602*H3602</f>
        <v>-0.125</v>
      </c>
      <c r="T3602" s="0" t="n">
        <f aca="false">E3602*E3602</f>
        <v>0</v>
      </c>
      <c r="U3602" s="0" t="n">
        <f aca="false">F3602*F3602</f>
        <v>1</v>
      </c>
      <c r="V3602" s="0" t="n">
        <f aca="false">G3602*G3602</f>
        <v>0.0625</v>
      </c>
      <c r="W3602" s="0" t="n">
        <f aca="false">H3602*H3602</f>
        <v>0.25</v>
      </c>
      <c r="X3602" s="0" t="n">
        <f aca="false">SUMPRODUCT(I3602:W3602,_XtX!$B$96:$P$96)</f>
        <v>47.0182474415204</v>
      </c>
      <c r="Y3602" s="0" t="n">
        <f aca="false">SUMPRODUCT(MMULT(I3602:W3602,_XtX!$B$78:$P$92),I3602:W3602)</f>
        <v>0.457596628289474</v>
      </c>
      <c r="Z3602" s="0" t="n">
        <f aca="false">04_回帰ANOVA!$K$19*04_回帰ANOVA!$K$14*SQRT(1+Y3602)</f>
        <v>1.57368233664366</v>
      </c>
      <c r="AA3602" s="0" t="n">
        <f aca="false">X3602-Z3602</f>
        <v>45.4445651048768</v>
      </c>
      <c r="AB3602" s="0" t="n">
        <f aca="false">X3602+Z3602</f>
        <v>48.5919297781641</v>
      </c>
      <c r="AC3602" s="54" t="b">
        <f aca="false">AND(E3602&gt;=01_因子設定!$L$5-0.000000001,E3602&lt;=01_因子設定!$M$5+0.000000001,F3602&gt;=01_因子設定!$L$6-0.000000001,F3602&lt;=01_因子設定!$M$6+0.000000001,G3602&gt;=01_因子設定!$L$7-0.000000001,G3602&lt;=01_因子設定!$M$7+0.000000001,H3602&gt;=01_因子設定!$L$8-0.000000001,H3602&lt;=01_因子設定!$M$8+0.000000001,IF(01_因子設定!$B$20="Box-Behnken",E3602^2+F3602^2+G3602^2+H3602^2&lt;=2+0.000000001,TRUE()))</f>
        <v>1</v>
      </c>
      <c r="AD3602" s="55" t="n">
        <f aca="false">IF(AC3602,IF(01_因子設定!$B$13="最大化",AA3602-01_因子設定!$B$14,IF(01_因子設定!$B$13="最小化",01_因子設定!$B$15-AB3602,MIN(AA3602-01_因子設定!$B$14,01_因子設定!$B$15-AB3602))),-1E+030)</f>
        <v>-1.05543489512325</v>
      </c>
      <c r="AE3602" s="55" t="n">
        <f aca="false">IF(AC3602,IF(01_因子設定!$B$13="最大化",X3602,IF(01_因子設定!$B$13="最小化",-X3602,-ABS(X3602-01_因子設定!$B$16))),-1E+030)</f>
        <v>47.0182474415204</v>
      </c>
      <c r="AF3602" s="55" t="n">
        <f aca="false">AD3602+ROW()*0.000000001</f>
        <v>-1.05543129312325</v>
      </c>
      <c r="AG3602" s="55" t="n">
        <f aca="false">AE3602+ROW()*0.000000001</f>
        <v>47.0182510435204</v>
      </c>
    </row>
    <row r="3603" customFormat="false" ht="15" hidden="false" customHeight="false" outlineLevel="0" collapsed="false">
      <c r="A3603" s="0" t="n">
        <v>4</v>
      </c>
      <c r="B3603" s="0" t="n">
        <v>8</v>
      </c>
      <c r="C3603" s="0" t="n">
        <v>3</v>
      </c>
      <c r="D3603" s="0" t="n">
        <v>7</v>
      </c>
      <c r="E3603" s="0" t="n">
        <f aca="false">-1+A3603*0.25</f>
        <v>0</v>
      </c>
      <c r="F3603" s="0" t="n">
        <f aca="false">-1+B3603*0.25</f>
        <v>1</v>
      </c>
      <c r="G3603" s="0" t="n">
        <f aca="false">-1+C3603*0.25</f>
        <v>-0.25</v>
      </c>
      <c r="H3603" s="0" t="n">
        <f aca="false">-1+D3603*0.25</f>
        <v>0.75</v>
      </c>
      <c r="I3603" s="0" t="n">
        <f aca="false">1</f>
        <v>1</v>
      </c>
      <c r="J3603" s="0" t="n">
        <f aca="false">E3603</f>
        <v>0</v>
      </c>
      <c r="K3603" s="0" t="n">
        <f aca="false">F3603</f>
        <v>1</v>
      </c>
      <c r="L3603" s="0" t="n">
        <f aca="false">G3603</f>
        <v>-0.25</v>
      </c>
      <c r="M3603" s="0" t="n">
        <f aca="false">H3603</f>
        <v>0.75</v>
      </c>
      <c r="N3603" s="0" t="n">
        <f aca="false">E3603*F3603</f>
        <v>0</v>
      </c>
      <c r="O3603" s="0" t="n">
        <f aca="false">E3603*G3603</f>
        <v>-0</v>
      </c>
      <c r="P3603" s="0" t="n">
        <f aca="false">E3603*H3603</f>
        <v>0</v>
      </c>
      <c r="Q3603" s="0" t="n">
        <f aca="false">F3603*G3603</f>
        <v>-0.25</v>
      </c>
      <c r="R3603" s="0" t="n">
        <f aca="false">F3603*H3603</f>
        <v>0.75</v>
      </c>
      <c r="S3603" s="0" t="n">
        <f aca="false">G3603*H3603</f>
        <v>-0.1875</v>
      </c>
      <c r="T3603" s="0" t="n">
        <f aca="false">E3603*E3603</f>
        <v>0</v>
      </c>
      <c r="U3603" s="0" t="n">
        <f aca="false">F3603*F3603</f>
        <v>1</v>
      </c>
      <c r="V3603" s="0" t="n">
        <f aca="false">G3603*G3603</f>
        <v>0.0625</v>
      </c>
      <c r="W3603" s="0" t="n">
        <f aca="false">H3603*H3603</f>
        <v>0.5625</v>
      </c>
      <c r="X3603" s="0" t="n">
        <f aca="false">SUMPRODUCT(I3603:W3603,_XtX!$B$96:$P$96)</f>
        <v>46.9290250365497</v>
      </c>
      <c r="Y3603" s="0" t="n">
        <f aca="false">SUMPRODUCT(MMULT(I3603:W3603,_XtX!$B$78:$P$92),I3603:W3603)</f>
        <v>0.501534802174708</v>
      </c>
      <c r="Z3603" s="0" t="n">
        <f aca="false">04_回帰ANOVA!$K$19*04_回帰ANOVA!$K$14*SQRT(1+Y3603)</f>
        <v>1.59722498091333</v>
      </c>
      <c r="AA3603" s="0" t="n">
        <f aca="false">X3603-Z3603</f>
        <v>45.3318000556363</v>
      </c>
      <c r="AB3603" s="0" t="n">
        <f aca="false">X3603+Z3603</f>
        <v>48.526250017463</v>
      </c>
      <c r="AC3603" s="54" t="b">
        <f aca="false">AND(E3603&gt;=01_因子設定!$L$5-0.000000001,E3603&lt;=01_因子設定!$M$5+0.000000001,F3603&gt;=01_因子設定!$L$6-0.000000001,F3603&lt;=01_因子設定!$M$6+0.000000001,G3603&gt;=01_因子設定!$L$7-0.000000001,G3603&lt;=01_因子設定!$M$7+0.000000001,H3603&gt;=01_因子設定!$L$8-0.000000001,H3603&lt;=01_因子設定!$M$8+0.000000001,IF(01_因子設定!$B$20="Box-Behnken",E3603^2+F3603^2+G3603^2+H3603^2&lt;=2+0.000000001,TRUE()))</f>
        <v>1</v>
      </c>
      <c r="AD3603" s="55" t="n">
        <f aca="false">IF(AC3603,IF(01_因子設定!$B$13="最大化",AA3603-01_因子設定!$B$14,IF(01_因子設定!$B$13="最小化",01_因子設定!$B$15-AB3603,MIN(AA3603-01_因子設定!$B$14,01_因子設定!$B$15-AB3603))),-1E+030)</f>
        <v>-1.16819994436367</v>
      </c>
      <c r="AE3603" s="55" t="n">
        <f aca="false">IF(AC3603,IF(01_因子設定!$B$13="最大化",X3603,IF(01_因子設定!$B$13="最小化",-X3603,-ABS(X3603-01_因子設定!$B$16))),-1E+030)</f>
        <v>46.9290250365497</v>
      </c>
      <c r="AF3603" s="55" t="n">
        <f aca="false">AD3603+ROW()*0.000000001</f>
        <v>-1.16819634136367</v>
      </c>
      <c r="AG3603" s="55" t="n">
        <f aca="false">AE3603+ROW()*0.000000001</f>
        <v>46.9290286395497</v>
      </c>
    </row>
    <row r="3604" customFormat="false" ht="15" hidden="false" customHeight="false" outlineLevel="0" collapsed="false">
      <c r="A3604" s="0" t="n">
        <v>4</v>
      </c>
      <c r="B3604" s="0" t="n">
        <v>8</v>
      </c>
      <c r="C3604" s="0" t="n">
        <v>3</v>
      </c>
      <c r="D3604" s="0" t="n">
        <v>8</v>
      </c>
      <c r="E3604" s="0" t="n">
        <f aca="false">-1+A3604*0.25</f>
        <v>0</v>
      </c>
      <c r="F3604" s="0" t="n">
        <f aca="false">-1+B3604*0.25</f>
        <v>1</v>
      </c>
      <c r="G3604" s="0" t="n">
        <f aca="false">-1+C3604*0.25</f>
        <v>-0.25</v>
      </c>
      <c r="H3604" s="0" t="n">
        <f aca="false">-1+D3604*0.25</f>
        <v>1</v>
      </c>
      <c r="I3604" s="0" t="n">
        <f aca="false">1</f>
        <v>1</v>
      </c>
      <c r="J3604" s="0" t="n">
        <f aca="false">E3604</f>
        <v>0</v>
      </c>
      <c r="K3604" s="0" t="n">
        <f aca="false">F3604</f>
        <v>1</v>
      </c>
      <c r="L3604" s="0" t="n">
        <f aca="false">G3604</f>
        <v>-0.25</v>
      </c>
      <c r="M3604" s="0" t="n">
        <f aca="false">H3604</f>
        <v>1</v>
      </c>
      <c r="N3604" s="0" t="n">
        <f aca="false">E3604*F3604</f>
        <v>0</v>
      </c>
      <c r="O3604" s="0" t="n">
        <f aca="false">E3604*G3604</f>
        <v>-0</v>
      </c>
      <c r="P3604" s="0" t="n">
        <f aca="false">E3604*H3604</f>
        <v>0</v>
      </c>
      <c r="Q3604" s="0" t="n">
        <f aca="false">F3604*G3604</f>
        <v>-0.25</v>
      </c>
      <c r="R3604" s="0" t="n">
        <f aca="false">F3604*H3604</f>
        <v>1</v>
      </c>
      <c r="S3604" s="0" t="n">
        <f aca="false">G3604*H3604</f>
        <v>-0.25</v>
      </c>
      <c r="T3604" s="0" t="n">
        <f aca="false">E3604*E3604</f>
        <v>0</v>
      </c>
      <c r="U3604" s="0" t="n">
        <f aca="false">F3604*F3604</f>
        <v>1</v>
      </c>
      <c r="V3604" s="0" t="n">
        <f aca="false">G3604*G3604</f>
        <v>0.0625</v>
      </c>
      <c r="W3604" s="0" t="n">
        <f aca="false">H3604*H3604</f>
        <v>1</v>
      </c>
      <c r="X3604" s="0" t="n">
        <f aca="false">SUMPRODUCT(I3604:W3604,_XtX!$B$96:$P$96)</f>
        <v>46.7919956140351</v>
      </c>
      <c r="Y3604" s="0" t="n">
        <f aca="false">SUMPRODUCT(MMULT(I3604:W3604,_XtX!$B$78:$P$92),I3604:W3604)</f>
        <v>0.689692982456141</v>
      </c>
      <c r="Z3604" s="0" t="n">
        <f aca="false">04_回帰ANOVA!$K$19*04_回帰ANOVA!$K$14*SQRT(1+Y3604)</f>
        <v>1.69434674594998</v>
      </c>
      <c r="AA3604" s="0" t="n">
        <f aca="false">X3604-Z3604</f>
        <v>45.0976488680851</v>
      </c>
      <c r="AB3604" s="0" t="n">
        <f aca="false">X3604+Z3604</f>
        <v>48.486342359985</v>
      </c>
      <c r="AC3604" s="54" t="b">
        <f aca="false">AND(E3604&gt;=01_因子設定!$L$5-0.000000001,E3604&lt;=01_因子設定!$M$5+0.000000001,F3604&gt;=01_因子設定!$L$6-0.000000001,F3604&lt;=01_因子設定!$M$6+0.000000001,G3604&gt;=01_因子設定!$L$7-0.000000001,G3604&lt;=01_因子設定!$M$7+0.000000001,H3604&gt;=01_因子設定!$L$8-0.000000001,H3604&lt;=01_因子設定!$M$8+0.000000001,IF(01_因子設定!$B$20="Box-Behnken",E3604^2+F3604^2+G3604^2+H3604^2&lt;=2+0.000000001,TRUE()))</f>
        <v>1</v>
      </c>
      <c r="AD3604" s="55" t="n">
        <f aca="false">IF(AC3604,IF(01_因子設定!$B$13="最大化",AA3604-01_因子設定!$B$14,IF(01_因子設定!$B$13="最小化",01_因子設定!$B$15-AB3604,MIN(AA3604-01_因子設定!$B$14,01_因子設定!$B$15-AB3604))),-1E+030)</f>
        <v>-1.40235113191493</v>
      </c>
      <c r="AE3604" s="55" t="n">
        <f aca="false">IF(AC3604,IF(01_因子設定!$B$13="最大化",X3604,IF(01_因子設定!$B$13="最小化",-X3604,-ABS(X3604-01_因子設定!$B$16))),-1E+030)</f>
        <v>46.7919956140351</v>
      </c>
      <c r="AF3604" s="55" t="n">
        <f aca="false">AD3604+ROW()*0.000000001</f>
        <v>-1.40234752791493</v>
      </c>
      <c r="AG3604" s="55" t="n">
        <f aca="false">AE3604+ROW()*0.000000001</f>
        <v>46.7919992180351</v>
      </c>
    </row>
    <row r="3605" customFormat="false" ht="15" hidden="false" customHeight="false" outlineLevel="0" collapsed="false">
      <c r="A3605" s="0" t="n">
        <v>4</v>
      </c>
      <c r="B3605" s="0" t="n">
        <v>8</v>
      </c>
      <c r="C3605" s="0" t="n">
        <v>4</v>
      </c>
      <c r="D3605" s="0" t="n">
        <v>0</v>
      </c>
      <c r="E3605" s="0" t="n">
        <f aca="false">-1+A3605*0.25</f>
        <v>0</v>
      </c>
      <c r="F3605" s="0" t="n">
        <f aca="false">-1+B3605*0.25</f>
        <v>1</v>
      </c>
      <c r="G3605" s="0" t="n">
        <f aca="false">-1+C3605*0.25</f>
        <v>0</v>
      </c>
      <c r="H3605" s="0" t="n">
        <f aca="false">-1+D3605*0.25</f>
        <v>-1</v>
      </c>
      <c r="I3605" s="0" t="n">
        <f aca="false">1</f>
        <v>1</v>
      </c>
      <c r="J3605" s="0" t="n">
        <f aca="false">E3605</f>
        <v>0</v>
      </c>
      <c r="K3605" s="0" t="n">
        <f aca="false">F3605</f>
        <v>1</v>
      </c>
      <c r="L3605" s="0" t="n">
        <f aca="false">G3605</f>
        <v>0</v>
      </c>
      <c r="M3605" s="0" t="n">
        <f aca="false">H3605</f>
        <v>-1</v>
      </c>
      <c r="N3605" s="0" t="n">
        <f aca="false">E3605*F3605</f>
        <v>0</v>
      </c>
      <c r="O3605" s="0" t="n">
        <f aca="false">E3605*G3605</f>
        <v>0</v>
      </c>
      <c r="P3605" s="0" t="n">
        <f aca="false">E3605*H3605</f>
        <v>-0</v>
      </c>
      <c r="Q3605" s="0" t="n">
        <f aca="false">F3605*G3605</f>
        <v>0</v>
      </c>
      <c r="R3605" s="0" t="n">
        <f aca="false">F3605*H3605</f>
        <v>-1</v>
      </c>
      <c r="S3605" s="0" t="n">
        <f aca="false">G3605*H3605</f>
        <v>-0</v>
      </c>
      <c r="T3605" s="0" t="n">
        <f aca="false">E3605*E3605</f>
        <v>0</v>
      </c>
      <c r="U3605" s="0" t="n">
        <f aca="false">F3605*F3605</f>
        <v>1</v>
      </c>
      <c r="V3605" s="0" t="n">
        <f aca="false">G3605*G3605</f>
        <v>0</v>
      </c>
      <c r="W3605" s="0" t="n">
        <f aca="false">H3605*H3605</f>
        <v>1</v>
      </c>
      <c r="X3605" s="0" t="n">
        <f aca="false">SUMPRODUCT(I3605:W3605,_XtX!$B$96:$P$96)</f>
        <v>46.8443713450292</v>
      </c>
      <c r="Y3605" s="0" t="n">
        <f aca="false">SUMPRODUCT(MMULT(I3605:W3605,_XtX!$B$78:$P$92),I3605:W3605)</f>
        <v>0.708698830409357</v>
      </c>
      <c r="Z3605" s="0" t="n">
        <f aca="false">04_回帰ANOVA!$K$19*04_回帰ANOVA!$K$14*SQRT(1+Y3605)</f>
        <v>1.70384919651719</v>
      </c>
      <c r="AA3605" s="0" t="n">
        <f aca="false">X3605-Z3605</f>
        <v>45.140522148512</v>
      </c>
      <c r="AB3605" s="0" t="n">
        <f aca="false">X3605+Z3605</f>
        <v>48.5482205415464</v>
      </c>
      <c r="AC3605" s="54" t="b">
        <f aca="false">AND(E3605&gt;=01_因子設定!$L$5-0.000000001,E3605&lt;=01_因子設定!$M$5+0.000000001,F3605&gt;=01_因子設定!$L$6-0.000000001,F3605&lt;=01_因子設定!$M$6+0.000000001,G3605&gt;=01_因子設定!$L$7-0.000000001,G3605&lt;=01_因子設定!$M$7+0.000000001,H3605&gt;=01_因子設定!$L$8-0.000000001,H3605&lt;=01_因子設定!$M$8+0.000000001,IF(01_因子設定!$B$20="Box-Behnken",E3605^2+F3605^2+G3605^2+H3605^2&lt;=2+0.000000001,TRUE()))</f>
        <v>1</v>
      </c>
      <c r="AD3605" s="55" t="n">
        <f aca="false">IF(AC3605,IF(01_因子設定!$B$13="最大化",AA3605-01_因子設定!$B$14,IF(01_因子設定!$B$13="最小化",01_因子設定!$B$15-AB3605,MIN(AA3605-01_因子設定!$B$14,01_因子設定!$B$15-AB3605))),-1E+030)</f>
        <v>-1.35947785148798</v>
      </c>
      <c r="AE3605" s="55" t="n">
        <f aca="false">IF(AC3605,IF(01_因子設定!$B$13="最大化",X3605,IF(01_因子設定!$B$13="最小化",-X3605,-ABS(X3605-01_因子設定!$B$16))),-1E+030)</f>
        <v>46.8443713450292</v>
      </c>
      <c r="AF3605" s="55" t="n">
        <f aca="false">AD3605+ROW()*0.000000001</f>
        <v>-1.35947424648798</v>
      </c>
      <c r="AG3605" s="55" t="n">
        <f aca="false">AE3605+ROW()*0.000000001</f>
        <v>46.8443749500292</v>
      </c>
    </row>
    <row r="3606" customFormat="false" ht="15" hidden="false" customHeight="false" outlineLevel="0" collapsed="false">
      <c r="A3606" s="0" t="n">
        <v>4</v>
      </c>
      <c r="B3606" s="0" t="n">
        <v>8</v>
      </c>
      <c r="C3606" s="0" t="n">
        <v>4</v>
      </c>
      <c r="D3606" s="0" t="n">
        <v>1</v>
      </c>
      <c r="E3606" s="0" t="n">
        <f aca="false">-1+A3606*0.25</f>
        <v>0</v>
      </c>
      <c r="F3606" s="0" t="n">
        <f aca="false">-1+B3606*0.25</f>
        <v>1</v>
      </c>
      <c r="G3606" s="0" t="n">
        <f aca="false">-1+C3606*0.25</f>
        <v>0</v>
      </c>
      <c r="H3606" s="0" t="n">
        <f aca="false">-1+D3606*0.25</f>
        <v>-0.75</v>
      </c>
      <c r="I3606" s="0" t="n">
        <f aca="false">1</f>
        <v>1</v>
      </c>
      <c r="J3606" s="0" t="n">
        <f aca="false">E3606</f>
        <v>0</v>
      </c>
      <c r="K3606" s="0" t="n">
        <f aca="false">F3606</f>
        <v>1</v>
      </c>
      <c r="L3606" s="0" t="n">
        <f aca="false">G3606</f>
        <v>0</v>
      </c>
      <c r="M3606" s="0" t="n">
        <f aca="false">H3606</f>
        <v>-0.75</v>
      </c>
      <c r="N3606" s="0" t="n">
        <f aca="false">E3606*F3606</f>
        <v>0</v>
      </c>
      <c r="O3606" s="0" t="n">
        <f aca="false">E3606*G3606</f>
        <v>0</v>
      </c>
      <c r="P3606" s="0" t="n">
        <f aca="false">E3606*H3606</f>
        <v>-0</v>
      </c>
      <c r="Q3606" s="0" t="n">
        <f aca="false">F3606*G3606</f>
        <v>0</v>
      </c>
      <c r="R3606" s="0" t="n">
        <f aca="false">F3606*H3606</f>
        <v>-0.75</v>
      </c>
      <c r="S3606" s="0" t="n">
        <f aca="false">G3606*H3606</f>
        <v>-0</v>
      </c>
      <c r="T3606" s="0" t="n">
        <f aca="false">E3606*E3606</f>
        <v>0</v>
      </c>
      <c r="U3606" s="0" t="n">
        <f aca="false">F3606*F3606</f>
        <v>1</v>
      </c>
      <c r="V3606" s="0" t="n">
        <f aca="false">G3606*G3606</f>
        <v>0</v>
      </c>
      <c r="W3606" s="0" t="n">
        <f aca="false">H3606*H3606</f>
        <v>0.5625</v>
      </c>
      <c r="X3606" s="0" t="n">
        <f aca="false">SUMPRODUCT(I3606:W3606,_XtX!$B$96:$P$96)</f>
        <v>47.0599597953216</v>
      </c>
      <c r="Y3606" s="0" t="n">
        <f aca="false">SUMPRODUCT(MMULT(I3606:W3606,_XtX!$B$78:$P$92),I3606:W3606)</f>
        <v>0.516013340643275</v>
      </c>
      <c r="Z3606" s="0" t="n">
        <f aca="false">04_回帰ANOVA!$K$19*04_回帰ANOVA!$K$14*SQRT(1+Y3606)</f>
        <v>1.60490712175667</v>
      </c>
      <c r="AA3606" s="0" t="n">
        <f aca="false">X3606-Z3606</f>
        <v>45.4550526735649</v>
      </c>
      <c r="AB3606" s="0" t="n">
        <f aca="false">X3606+Z3606</f>
        <v>48.6648669170783</v>
      </c>
      <c r="AC3606" s="54" t="b">
        <f aca="false">AND(E3606&gt;=01_因子設定!$L$5-0.000000001,E3606&lt;=01_因子設定!$M$5+0.000000001,F3606&gt;=01_因子設定!$L$6-0.000000001,F3606&lt;=01_因子設定!$M$6+0.000000001,G3606&gt;=01_因子設定!$L$7-0.000000001,G3606&lt;=01_因子設定!$M$7+0.000000001,H3606&gt;=01_因子設定!$L$8-0.000000001,H3606&lt;=01_因子設定!$M$8+0.000000001,IF(01_因子設定!$B$20="Box-Behnken",E3606^2+F3606^2+G3606^2+H3606^2&lt;=2+0.000000001,TRUE()))</f>
        <v>1</v>
      </c>
      <c r="AD3606" s="55" t="n">
        <f aca="false">IF(AC3606,IF(01_因子設定!$B$13="最大化",AA3606-01_因子設定!$B$14,IF(01_因子設定!$B$13="最小化",01_因子設定!$B$15-AB3606,MIN(AA3606-01_因子設定!$B$14,01_因子設定!$B$15-AB3606))),-1E+030)</f>
        <v>-1.04494732643508</v>
      </c>
      <c r="AE3606" s="55" t="n">
        <f aca="false">IF(AC3606,IF(01_因子設定!$B$13="最大化",X3606,IF(01_因子設定!$B$13="最小化",-X3606,-ABS(X3606-01_因子設定!$B$16))),-1E+030)</f>
        <v>47.0599597953216</v>
      </c>
      <c r="AF3606" s="55" t="n">
        <f aca="false">AD3606+ROW()*0.000000001</f>
        <v>-1.04494372043508</v>
      </c>
      <c r="AG3606" s="55" t="n">
        <f aca="false">AE3606+ROW()*0.000000001</f>
        <v>47.0599634013216</v>
      </c>
    </row>
    <row r="3607" customFormat="false" ht="15" hidden="false" customHeight="false" outlineLevel="0" collapsed="false">
      <c r="A3607" s="0" t="n">
        <v>4</v>
      </c>
      <c r="B3607" s="0" t="n">
        <v>8</v>
      </c>
      <c r="C3607" s="0" t="n">
        <v>4</v>
      </c>
      <c r="D3607" s="0" t="n">
        <v>2</v>
      </c>
      <c r="E3607" s="0" t="n">
        <f aca="false">-1+A3607*0.25</f>
        <v>0</v>
      </c>
      <c r="F3607" s="0" t="n">
        <f aca="false">-1+B3607*0.25</f>
        <v>1</v>
      </c>
      <c r="G3607" s="0" t="n">
        <f aca="false">-1+C3607*0.25</f>
        <v>0</v>
      </c>
      <c r="H3607" s="0" t="n">
        <f aca="false">-1+D3607*0.25</f>
        <v>-0.5</v>
      </c>
      <c r="I3607" s="0" t="n">
        <f aca="false">1</f>
        <v>1</v>
      </c>
      <c r="J3607" s="0" t="n">
        <f aca="false">E3607</f>
        <v>0</v>
      </c>
      <c r="K3607" s="0" t="n">
        <f aca="false">F3607</f>
        <v>1</v>
      </c>
      <c r="L3607" s="0" t="n">
        <f aca="false">G3607</f>
        <v>0</v>
      </c>
      <c r="M3607" s="0" t="n">
        <f aca="false">H3607</f>
        <v>-0.5</v>
      </c>
      <c r="N3607" s="0" t="n">
        <f aca="false">E3607*F3607</f>
        <v>0</v>
      </c>
      <c r="O3607" s="0" t="n">
        <f aca="false">E3607*G3607</f>
        <v>0</v>
      </c>
      <c r="P3607" s="0" t="n">
        <f aca="false">E3607*H3607</f>
        <v>-0</v>
      </c>
      <c r="Q3607" s="0" t="n">
        <f aca="false">F3607*G3607</f>
        <v>0</v>
      </c>
      <c r="R3607" s="0" t="n">
        <f aca="false">F3607*H3607</f>
        <v>-0.5</v>
      </c>
      <c r="S3607" s="0" t="n">
        <f aca="false">G3607*H3607</f>
        <v>-0</v>
      </c>
      <c r="T3607" s="0" t="n">
        <f aca="false">E3607*E3607</f>
        <v>0</v>
      </c>
      <c r="U3607" s="0" t="n">
        <f aca="false">F3607*F3607</f>
        <v>1</v>
      </c>
      <c r="V3607" s="0" t="n">
        <f aca="false">G3607*G3607</f>
        <v>0</v>
      </c>
      <c r="W3607" s="0" t="n">
        <f aca="false">H3607*H3607</f>
        <v>0.25</v>
      </c>
      <c r="X3607" s="0" t="n">
        <f aca="false">SUMPRODUCT(I3607:W3607,_XtX!$B$96:$P$96)</f>
        <v>47.2277412280701</v>
      </c>
      <c r="Y3607" s="0" t="n">
        <f aca="false">SUMPRODUCT(MMULT(I3607:W3607,_XtX!$B$78:$P$92),I3607:W3607)</f>
        <v>0.468841374269006</v>
      </c>
      <c r="Z3607" s="0" t="n">
        <f aca="false">04_回帰ANOVA!$K$19*04_回帰ANOVA!$K$14*SQRT(1+Y3607)</f>
        <v>1.57974082366087</v>
      </c>
      <c r="AA3607" s="0" t="n">
        <f aca="false">X3607-Z3607</f>
        <v>45.6480004044092</v>
      </c>
      <c r="AB3607" s="0" t="n">
        <f aca="false">X3607+Z3607</f>
        <v>48.807482051731</v>
      </c>
      <c r="AC3607" s="54" t="b">
        <f aca="false">AND(E3607&gt;=01_因子設定!$L$5-0.000000001,E3607&lt;=01_因子設定!$M$5+0.000000001,F3607&gt;=01_因子設定!$L$6-0.000000001,F3607&lt;=01_因子設定!$M$6+0.000000001,G3607&gt;=01_因子設定!$L$7-0.000000001,G3607&lt;=01_因子設定!$M$7+0.000000001,H3607&gt;=01_因子設定!$L$8-0.000000001,H3607&lt;=01_因子設定!$M$8+0.000000001,IF(01_因子設定!$B$20="Box-Behnken",E3607^2+F3607^2+G3607^2+H3607^2&lt;=2+0.000000001,TRUE()))</f>
        <v>1</v>
      </c>
      <c r="AD3607" s="55" t="n">
        <f aca="false">IF(AC3607,IF(01_因子設定!$B$13="最大化",AA3607-01_因子設定!$B$14,IF(01_因子設定!$B$13="最小化",01_因子設定!$B$15-AB3607,MIN(AA3607-01_因子設定!$B$14,01_因子設定!$B$15-AB3607))),-1E+030)</f>
        <v>-0.851999595590762</v>
      </c>
      <c r="AE3607" s="55" t="n">
        <f aca="false">IF(AC3607,IF(01_因子設定!$B$13="最大化",X3607,IF(01_因子設定!$B$13="最小化",-X3607,-ABS(X3607-01_因子設定!$B$16))),-1E+030)</f>
        <v>47.2277412280701</v>
      </c>
      <c r="AF3607" s="55" t="n">
        <f aca="false">AD3607+ROW()*0.000000001</f>
        <v>-0.851995988590762</v>
      </c>
      <c r="AG3607" s="55" t="n">
        <f aca="false">AE3607+ROW()*0.000000001</f>
        <v>47.2277448350701</v>
      </c>
    </row>
    <row r="3608" customFormat="false" ht="15" hidden="false" customHeight="false" outlineLevel="0" collapsed="false">
      <c r="A3608" s="0" t="n">
        <v>4</v>
      </c>
      <c r="B3608" s="0" t="n">
        <v>8</v>
      </c>
      <c r="C3608" s="0" t="n">
        <v>4</v>
      </c>
      <c r="D3608" s="0" t="n">
        <v>3</v>
      </c>
      <c r="E3608" s="0" t="n">
        <f aca="false">-1+A3608*0.25</f>
        <v>0</v>
      </c>
      <c r="F3608" s="0" t="n">
        <f aca="false">-1+B3608*0.25</f>
        <v>1</v>
      </c>
      <c r="G3608" s="0" t="n">
        <f aca="false">-1+C3608*0.25</f>
        <v>0</v>
      </c>
      <c r="H3608" s="0" t="n">
        <f aca="false">-1+D3608*0.25</f>
        <v>-0.25</v>
      </c>
      <c r="I3608" s="0" t="n">
        <f aca="false">1</f>
        <v>1</v>
      </c>
      <c r="J3608" s="0" t="n">
        <f aca="false">E3608</f>
        <v>0</v>
      </c>
      <c r="K3608" s="0" t="n">
        <f aca="false">F3608</f>
        <v>1</v>
      </c>
      <c r="L3608" s="0" t="n">
        <f aca="false">G3608</f>
        <v>0</v>
      </c>
      <c r="M3608" s="0" t="n">
        <f aca="false">H3608</f>
        <v>-0.25</v>
      </c>
      <c r="N3608" s="0" t="n">
        <f aca="false">E3608*F3608</f>
        <v>0</v>
      </c>
      <c r="O3608" s="0" t="n">
        <f aca="false">E3608*G3608</f>
        <v>0</v>
      </c>
      <c r="P3608" s="0" t="n">
        <f aca="false">E3608*H3608</f>
        <v>-0</v>
      </c>
      <c r="Q3608" s="0" t="n">
        <f aca="false">F3608*G3608</f>
        <v>0</v>
      </c>
      <c r="R3608" s="0" t="n">
        <f aca="false">F3608*H3608</f>
        <v>-0.25</v>
      </c>
      <c r="S3608" s="0" t="n">
        <f aca="false">G3608*H3608</f>
        <v>-0</v>
      </c>
      <c r="T3608" s="0" t="n">
        <f aca="false">E3608*E3608</f>
        <v>0</v>
      </c>
      <c r="U3608" s="0" t="n">
        <f aca="false">F3608*F3608</f>
        <v>1</v>
      </c>
      <c r="V3608" s="0" t="n">
        <f aca="false">G3608*G3608</f>
        <v>0</v>
      </c>
      <c r="W3608" s="0" t="n">
        <f aca="false">H3608*H3608</f>
        <v>0.0625</v>
      </c>
      <c r="X3608" s="0" t="n">
        <f aca="false">SUMPRODUCT(I3608:W3608,_XtX!$B$96:$P$96)</f>
        <v>47.3477156432748</v>
      </c>
      <c r="Y3608" s="0" t="n">
        <f aca="false">SUMPRODUCT(MMULT(I3608:W3608,_XtX!$B$78:$P$92),I3608:W3608)</f>
        <v>0.47672240497076</v>
      </c>
      <c r="Z3608" s="0" t="n">
        <f aca="false">04_回帰ANOVA!$K$19*04_回帰ANOVA!$K$14*SQRT(1+Y3608)</f>
        <v>1.58397318352695</v>
      </c>
      <c r="AA3608" s="0" t="n">
        <f aca="false">X3608-Z3608</f>
        <v>45.7637424597478</v>
      </c>
      <c r="AB3608" s="0" t="n">
        <f aca="false">X3608+Z3608</f>
        <v>48.9316888268017</v>
      </c>
      <c r="AC3608" s="54" t="b">
        <f aca="false">AND(E3608&gt;=01_因子設定!$L$5-0.000000001,E3608&lt;=01_因子設定!$M$5+0.000000001,F3608&gt;=01_因子設定!$L$6-0.000000001,F3608&lt;=01_因子設定!$M$6+0.000000001,G3608&gt;=01_因子設定!$L$7-0.000000001,G3608&lt;=01_因子設定!$M$7+0.000000001,H3608&gt;=01_因子設定!$L$8-0.000000001,H3608&lt;=01_因子設定!$M$8+0.000000001,IF(01_因子設定!$B$20="Box-Behnken",E3608^2+F3608^2+G3608^2+H3608^2&lt;=2+0.000000001,TRUE()))</f>
        <v>1</v>
      </c>
      <c r="AD3608" s="55" t="n">
        <f aca="false">IF(AC3608,IF(01_因子設定!$B$13="最大化",AA3608-01_因子設定!$B$14,IF(01_因子設定!$B$13="最小化",01_因子設定!$B$15-AB3608,MIN(AA3608-01_因子設定!$B$14,01_因子設定!$B$15-AB3608))),-1E+030)</f>
        <v>-0.736257540252154</v>
      </c>
      <c r="AE3608" s="55" t="n">
        <f aca="false">IF(AC3608,IF(01_因子設定!$B$13="最大化",X3608,IF(01_因子設定!$B$13="最小化",-X3608,-ABS(X3608-01_因子設定!$B$16))),-1E+030)</f>
        <v>47.3477156432748</v>
      </c>
      <c r="AF3608" s="55" t="n">
        <f aca="false">AD3608+ROW()*0.000000001</f>
        <v>-0.736253932252154</v>
      </c>
      <c r="AG3608" s="55" t="n">
        <f aca="false">AE3608+ROW()*0.000000001</f>
        <v>47.3477192512748</v>
      </c>
    </row>
    <row r="3609" customFormat="false" ht="15" hidden="false" customHeight="false" outlineLevel="0" collapsed="false">
      <c r="A3609" s="0" t="n">
        <v>4</v>
      </c>
      <c r="B3609" s="0" t="n">
        <v>8</v>
      </c>
      <c r="C3609" s="0" t="n">
        <v>4</v>
      </c>
      <c r="D3609" s="0" t="n">
        <v>4</v>
      </c>
      <c r="E3609" s="0" t="n">
        <f aca="false">-1+A3609*0.25</f>
        <v>0</v>
      </c>
      <c r="F3609" s="0" t="n">
        <f aca="false">-1+B3609*0.25</f>
        <v>1</v>
      </c>
      <c r="G3609" s="0" t="n">
        <f aca="false">-1+C3609*0.25</f>
        <v>0</v>
      </c>
      <c r="H3609" s="0" t="n">
        <f aca="false">-1+D3609*0.25</f>
        <v>0</v>
      </c>
      <c r="I3609" s="0" t="n">
        <f aca="false">1</f>
        <v>1</v>
      </c>
      <c r="J3609" s="0" t="n">
        <f aca="false">E3609</f>
        <v>0</v>
      </c>
      <c r="K3609" s="0" t="n">
        <f aca="false">F3609</f>
        <v>1</v>
      </c>
      <c r="L3609" s="0" t="n">
        <f aca="false">G3609</f>
        <v>0</v>
      </c>
      <c r="M3609" s="0" t="n">
        <f aca="false">H3609</f>
        <v>0</v>
      </c>
      <c r="N3609" s="0" t="n">
        <f aca="false">E3609*F3609</f>
        <v>0</v>
      </c>
      <c r="O3609" s="0" t="n">
        <f aca="false">E3609*G3609</f>
        <v>0</v>
      </c>
      <c r="P3609" s="0" t="n">
        <f aca="false">E3609*H3609</f>
        <v>0</v>
      </c>
      <c r="Q3609" s="0" t="n">
        <f aca="false">F3609*G3609</f>
        <v>0</v>
      </c>
      <c r="R3609" s="0" t="n">
        <f aca="false">F3609*H3609</f>
        <v>0</v>
      </c>
      <c r="S3609" s="0" t="n">
        <f aca="false">G3609*H3609</f>
        <v>0</v>
      </c>
      <c r="T3609" s="0" t="n">
        <f aca="false">E3609*E3609</f>
        <v>0</v>
      </c>
      <c r="U3609" s="0" t="n">
        <f aca="false">F3609*F3609</f>
        <v>1</v>
      </c>
      <c r="V3609" s="0" t="n">
        <f aca="false">G3609*G3609</f>
        <v>0</v>
      </c>
      <c r="W3609" s="0" t="n">
        <f aca="false">H3609*H3609</f>
        <v>0</v>
      </c>
      <c r="X3609" s="0" t="n">
        <f aca="false">SUMPRODUCT(I3609:W3609,_XtX!$B$96:$P$96)</f>
        <v>47.4198830409356</v>
      </c>
      <c r="Y3609" s="0" t="n">
        <f aca="false">SUMPRODUCT(MMULT(I3609:W3609,_XtX!$B$78:$P$92),I3609:W3609)</f>
        <v>0.485380116959065</v>
      </c>
      <c r="Z3609" s="0" t="n">
        <f aca="false">04_回帰ANOVA!$K$19*04_回帰ANOVA!$K$14*SQRT(1+Y3609)</f>
        <v>1.58860964814545</v>
      </c>
      <c r="AA3609" s="0" t="n">
        <f aca="false">X3609-Z3609</f>
        <v>45.8312733927902</v>
      </c>
      <c r="AB3609" s="0" t="n">
        <f aca="false">X3609+Z3609</f>
        <v>49.0084926890811</v>
      </c>
      <c r="AC3609" s="54" t="b">
        <f aca="false">AND(E3609&gt;=01_因子設定!$L$5-0.000000001,E3609&lt;=01_因子設定!$M$5+0.000000001,F3609&gt;=01_因子設定!$L$6-0.000000001,F3609&lt;=01_因子設定!$M$6+0.000000001,G3609&gt;=01_因子設定!$L$7-0.000000001,G3609&lt;=01_因子設定!$M$7+0.000000001,H3609&gt;=01_因子設定!$L$8-0.000000001,H3609&lt;=01_因子設定!$M$8+0.000000001,IF(01_因子設定!$B$20="Box-Behnken",E3609^2+F3609^2+G3609^2+H3609^2&lt;=2+0.000000001,TRUE()))</f>
        <v>1</v>
      </c>
      <c r="AD3609" s="55" t="n">
        <f aca="false">IF(AC3609,IF(01_因子設定!$B$13="最大化",AA3609-01_因子設定!$B$14,IF(01_因子設定!$B$13="最小化",01_因子設定!$B$15-AB3609,MIN(AA3609-01_因子設定!$B$14,01_因子設定!$B$15-AB3609))),-1E+030)</f>
        <v>-0.668726607209848</v>
      </c>
      <c r="AE3609" s="55" t="n">
        <f aca="false">IF(AC3609,IF(01_因子設定!$B$13="最大化",X3609,IF(01_因子設定!$B$13="最小化",-X3609,-ABS(X3609-01_因子設定!$B$16))),-1E+030)</f>
        <v>47.4198830409356</v>
      </c>
      <c r="AF3609" s="55" t="n">
        <f aca="false">AD3609+ROW()*0.000000001</f>
        <v>-0.668722998209848</v>
      </c>
      <c r="AG3609" s="55" t="n">
        <f aca="false">AE3609+ROW()*0.000000001</f>
        <v>47.4198866499356</v>
      </c>
    </row>
    <row r="3610" customFormat="false" ht="15" hidden="false" customHeight="false" outlineLevel="0" collapsed="false">
      <c r="A3610" s="0" t="n">
        <v>4</v>
      </c>
      <c r="B3610" s="0" t="n">
        <v>8</v>
      </c>
      <c r="C3610" s="0" t="n">
        <v>4</v>
      </c>
      <c r="D3610" s="0" t="n">
        <v>5</v>
      </c>
      <c r="E3610" s="0" t="n">
        <f aca="false">-1+A3610*0.25</f>
        <v>0</v>
      </c>
      <c r="F3610" s="0" t="n">
        <f aca="false">-1+B3610*0.25</f>
        <v>1</v>
      </c>
      <c r="G3610" s="0" t="n">
        <f aca="false">-1+C3610*0.25</f>
        <v>0</v>
      </c>
      <c r="H3610" s="0" t="n">
        <f aca="false">-1+D3610*0.25</f>
        <v>0.25</v>
      </c>
      <c r="I3610" s="0" t="n">
        <f aca="false">1</f>
        <v>1</v>
      </c>
      <c r="J3610" s="0" t="n">
        <f aca="false">E3610</f>
        <v>0</v>
      </c>
      <c r="K3610" s="0" t="n">
        <f aca="false">F3610</f>
        <v>1</v>
      </c>
      <c r="L3610" s="0" t="n">
        <f aca="false">G3610</f>
        <v>0</v>
      </c>
      <c r="M3610" s="0" t="n">
        <f aca="false">H3610</f>
        <v>0.25</v>
      </c>
      <c r="N3610" s="0" t="n">
        <f aca="false">E3610*F3610</f>
        <v>0</v>
      </c>
      <c r="O3610" s="0" t="n">
        <f aca="false">E3610*G3610</f>
        <v>0</v>
      </c>
      <c r="P3610" s="0" t="n">
        <f aca="false">E3610*H3610</f>
        <v>0</v>
      </c>
      <c r="Q3610" s="0" t="n">
        <f aca="false">F3610*G3610</f>
        <v>0</v>
      </c>
      <c r="R3610" s="0" t="n">
        <f aca="false">F3610*H3610</f>
        <v>0.25</v>
      </c>
      <c r="S3610" s="0" t="n">
        <f aca="false">G3610*H3610</f>
        <v>0</v>
      </c>
      <c r="T3610" s="0" t="n">
        <f aca="false">E3610*E3610</f>
        <v>0</v>
      </c>
      <c r="U3610" s="0" t="n">
        <f aca="false">F3610*F3610</f>
        <v>1</v>
      </c>
      <c r="V3610" s="0" t="n">
        <f aca="false">G3610*G3610</f>
        <v>0</v>
      </c>
      <c r="W3610" s="0" t="n">
        <f aca="false">H3610*H3610</f>
        <v>0.0625</v>
      </c>
      <c r="X3610" s="0" t="n">
        <f aca="false">SUMPRODUCT(I3610:W3610,_XtX!$B$96:$P$96)</f>
        <v>47.4442434210526</v>
      </c>
      <c r="Y3610" s="0" t="n">
        <f aca="false">SUMPRODUCT(MMULT(I3610:W3610,_XtX!$B$78:$P$92),I3610:W3610)</f>
        <v>0.47672240497076</v>
      </c>
      <c r="Z3610" s="0" t="n">
        <f aca="false">04_回帰ANOVA!$K$19*04_回帰ANOVA!$K$14*SQRT(1+Y3610)</f>
        <v>1.58397318352695</v>
      </c>
      <c r="AA3610" s="0" t="n">
        <f aca="false">X3610-Z3610</f>
        <v>45.8602702375256</v>
      </c>
      <c r="AB3610" s="0" t="n">
        <f aca="false">X3610+Z3610</f>
        <v>49.0282166045795</v>
      </c>
      <c r="AC3610" s="54" t="b">
        <f aca="false">AND(E3610&gt;=01_因子設定!$L$5-0.000000001,E3610&lt;=01_因子設定!$M$5+0.000000001,F3610&gt;=01_因子設定!$L$6-0.000000001,F3610&lt;=01_因子設定!$M$6+0.000000001,G3610&gt;=01_因子設定!$L$7-0.000000001,G3610&lt;=01_因子設定!$M$7+0.000000001,H3610&gt;=01_因子設定!$L$8-0.000000001,H3610&lt;=01_因子設定!$M$8+0.000000001,IF(01_因子設定!$B$20="Box-Behnken",E3610^2+F3610^2+G3610^2+H3610^2&lt;=2+0.000000001,TRUE()))</f>
        <v>1</v>
      </c>
      <c r="AD3610" s="55" t="n">
        <f aca="false">IF(AC3610,IF(01_因子設定!$B$13="最大化",AA3610-01_因子設定!$B$14,IF(01_因子設定!$B$13="最小化",01_因子設定!$B$15-AB3610,MIN(AA3610-01_因子設定!$B$14,01_因子設定!$B$15-AB3610))),-1E+030)</f>
        <v>-0.639729762474374</v>
      </c>
      <c r="AE3610" s="55" t="n">
        <f aca="false">IF(AC3610,IF(01_因子設定!$B$13="最大化",X3610,IF(01_因子設定!$B$13="最小化",-X3610,-ABS(X3610-01_因子設定!$B$16))),-1E+030)</f>
        <v>47.4442434210526</v>
      </c>
      <c r="AF3610" s="55" t="n">
        <f aca="false">AD3610+ROW()*0.000000001</f>
        <v>-0.639726152474374</v>
      </c>
      <c r="AG3610" s="55" t="n">
        <f aca="false">AE3610+ROW()*0.000000001</f>
        <v>47.4442470310526</v>
      </c>
    </row>
    <row r="3611" customFormat="false" ht="15" hidden="false" customHeight="false" outlineLevel="0" collapsed="false">
      <c r="A3611" s="0" t="n">
        <v>4</v>
      </c>
      <c r="B3611" s="0" t="n">
        <v>8</v>
      </c>
      <c r="C3611" s="0" t="n">
        <v>4</v>
      </c>
      <c r="D3611" s="0" t="n">
        <v>6</v>
      </c>
      <c r="E3611" s="0" t="n">
        <f aca="false">-1+A3611*0.25</f>
        <v>0</v>
      </c>
      <c r="F3611" s="0" t="n">
        <f aca="false">-1+B3611*0.25</f>
        <v>1</v>
      </c>
      <c r="G3611" s="0" t="n">
        <f aca="false">-1+C3611*0.25</f>
        <v>0</v>
      </c>
      <c r="H3611" s="0" t="n">
        <f aca="false">-1+D3611*0.25</f>
        <v>0.5</v>
      </c>
      <c r="I3611" s="0" t="n">
        <f aca="false">1</f>
        <v>1</v>
      </c>
      <c r="J3611" s="0" t="n">
        <f aca="false">E3611</f>
        <v>0</v>
      </c>
      <c r="K3611" s="0" t="n">
        <f aca="false">F3611</f>
        <v>1</v>
      </c>
      <c r="L3611" s="0" t="n">
        <f aca="false">G3611</f>
        <v>0</v>
      </c>
      <c r="M3611" s="0" t="n">
        <f aca="false">H3611</f>
        <v>0.5</v>
      </c>
      <c r="N3611" s="0" t="n">
        <f aca="false">E3611*F3611</f>
        <v>0</v>
      </c>
      <c r="O3611" s="0" t="n">
        <f aca="false">E3611*G3611</f>
        <v>0</v>
      </c>
      <c r="P3611" s="0" t="n">
        <f aca="false">E3611*H3611</f>
        <v>0</v>
      </c>
      <c r="Q3611" s="0" t="n">
        <f aca="false">F3611*G3611</f>
        <v>0</v>
      </c>
      <c r="R3611" s="0" t="n">
        <f aca="false">F3611*H3611</f>
        <v>0.5</v>
      </c>
      <c r="S3611" s="0" t="n">
        <f aca="false">G3611*H3611</f>
        <v>0</v>
      </c>
      <c r="T3611" s="0" t="n">
        <f aca="false">E3611*E3611</f>
        <v>0</v>
      </c>
      <c r="U3611" s="0" t="n">
        <f aca="false">F3611*F3611</f>
        <v>1</v>
      </c>
      <c r="V3611" s="0" t="n">
        <f aca="false">G3611*G3611</f>
        <v>0</v>
      </c>
      <c r="W3611" s="0" t="n">
        <f aca="false">H3611*H3611</f>
        <v>0.25</v>
      </c>
      <c r="X3611" s="0" t="n">
        <f aca="false">SUMPRODUCT(I3611:W3611,_XtX!$B$96:$P$96)</f>
        <v>47.4207967836257</v>
      </c>
      <c r="Y3611" s="0" t="n">
        <f aca="false">SUMPRODUCT(MMULT(I3611:W3611,_XtX!$B$78:$P$92),I3611:W3611)</f>
        <v>0.468841374269006</v>
      </c>
      <c r="Z3611" s="0" t="n">
        <f aca="false">04_回帰ANOVA!$K$19*04_回帰ANOVA!$K$14*SQRT(1+Y3611)</f>
        <v>1.57974082366087</v>
      </c>
      <c r="AA3611" s="0" t="n">
        <f aca="false">X3611-Z3611</f>
        <v>45.8410559599648</v>
      </c>
      <c r="AB3611" s="0" t="n">
        <f aca="false">X3611+Z3611</f>
        <v>49.0005376072866</v>
      </c>
      <c r="AC3611" s="54" t="b">
        <f aca="false">AND(E3611&gt;=01_因子設定!$L$5-0.000000001,E3611&lt;=01_因子設定!$M$5+0.000000001,F3611&gt;=01_因子設定!$L$6-0.000000001,F3611&lt;=01_因子設定!$M$6+0.000000001,G3611&gt;=01_因子設定!$L$7-0.000000001,G3611&lt;=01_因子設定!$M$7+0.000000001,H3611&gt;=01_因子設定!$L$8-0.000000001,H3611&lt;=01_因子設定!$M$8+0.000000001,IF(01_因子設定!$B$20="Box-Behnken",E3611^2+F3611^2+G3611^2+H3611^2&lt;=2+0.000000001,TRUE()))</f>
        <v>1</v>
      </c>
      <c r="AD3611" s="55" t="n">
        <f aca="false">IF(AC3611,IF(01_因子設定!$B$13="最大化",AA3611-01_因子設定!$B$14,IF(01_因子設定!$B$13="最小化",01_因子設定!$B$15-AB3611,MIN(AA3611-01_因子設定!$B$14,01_因子設定!$B$15-AB3611))),-1E+030)</f>
        <v>-0.658944040035202</v>
      </c>
      <c r="AE3611" s="55" t="n">
        <f aca="false">IF(AC3611,IF(01_因子設定!$B$13="最大化",X3611,IF(01_因子設定!$B$13="最小化",-X3611,-ABS(X3611-01_因子設定!$B$16))),-1E+030)</f>
        <v>47.4207967836257</v>
      </c>
      <c r="AF3611" s="55" t="n">
        <f aca="false">AD3611+ROW()*0.000000001</f>
        <v>-0.658940429035202</v>
      </c>
      <c r="AG3611" s="55" t="n">
        <f aca="false">AE3611+ROW()*0.000000001</f>
        <v>47.4208003946257</v>
      </c>
    </row>
    <row r="3612" customFormat="false" ht="15" hidden="false" customHeight="false" outlineLevel="0" collapsed="false">
      <c r="A3612" s="0" t="n">
        <v>4</v>
      </c>
      <c r="B3612" s="0" t="n">
        <v>8</v>
      </c>
      <c r="C3612" s="0" t="n">
        <v>4</v>
      </c>
      <c r="D3612" s="0" t="n">
        <v>7</v>
      </c>
      <c r="E3612" s="0" t="n">
        <f aca="false">-1+A3612*0.25</f>
        <v>0</v>
      </c>
      <c r="F3612" s="0" t="n">
        <f aca="false">-1+B3612*0.25</f>
        <v>1</v>
      </c>
      <c r="G3612" s="0" t="n">
        <f aca="false">-1+C3612*0.25</f>
        <v>0</v>
      </c>
      <c r="H3612" s="0" t="n">
        <f aca="false">-1+D3612*0.25</f>
        <v>0.75</v>
      </c>
      <c r="I3612" s="0" t="n">
        <f aca="false">1</f>
        <v>1</v>
      </c>
      <c r="J3612" s="0" t="n">
        <f aca="false">E3612</f>
        <v>0</v>
      </c>
      <c r="K3612" s="0" t="n">
        <f aca="false">F3612</f>
        <v>1</v>
      </c>
      <c r="L3612" s="0" t="n">
        <f aca="false">G3612</f>
        <v>0</v>
      </c>
      <c r="M3612" s="0" t="n">
        <f aca="false">H3612</f>
        <v>0.75</v>
      </c>
      <c r="N3612" s="0" t="n">
        <f aca="false">E3612*F3612</f>
        <v>0</v>
      </c>
      <c r="O3612" s="0" t="n">
        <f aca="false">E3612*G3612</f>
        <v>0</v>
      </c>
      <c r="P3612" s="0" t="n">
        <f aca="false">E3612*H3612</f>
        <v>0</v>
      </c>
      <c r="Q3612" s="0" t="n">
        <f aca="false">F3612*G3612</f>
        <v>0</v>
      </c>
      <c r="R3612" s="0" t="n">
        <f aca="false">F3612*H3612</f>
        <v>0.75</v>
      </c>
      <c r="S3612" s="0" t="n">
        <f aca="false">G3612*H3612</f>
        <v>0</v>
      </c>
      <c r="T3612" s="0" t="n">
        <f aca="false">E3612*E3612</f>
        <v>0</v>
      </c>
      <c r="U3612" s="0" t="n">
        <f aca="false">F3612*F3612</f>
        <v>1</v>
      </c>
      <c r="V3612" s="0" t="n">
        <f aca="false">G3612*G3612</f>
        <v>0</v>
      </c>
      <c r="W3612" s="0" t="n">
        <f aca="false">H3612*H3612</f>
        <v>0.5625</v>
      </c>
      <c r="X3612" s="0" t="n">
        <f aca="false">SUMPRODUCT(I3612:W3612,_XtX!$B$96:$P$96)</f>
        <v>47.3495431286549</v>
      </c>
      <c r="Y3612" s="0" t="n">
        <f aca="false">SUMPRODUCT(MMULT(I3612:W3612,_XtX!$B$78:$P$92),I3612:W3612)</f>
        <v>0.516013340643275</v>
      </c>
      <c r="Z3612" s="0" t="n">
        <f aca="false">04_回帰ANOVA!$K$19*04_回帰ANOVA!$K$14*SQRT(1+Y3612)</f>
        <v>1.60490712175667</v>
      </c>
      <c r="AA3612" s="0" t="n">
        <f aca="false">X3612-Z3612</f>
        <v>45.7446360068983</v>
      </c>
      <c r="AB3612" s="0" t="n">
        <f aca="false">X3612+Z3612</f>
        <v>48.9544502504116</v>
      </c>
      <c r="AC3612" s="54" t="b">
        <f aca="false">AND(E3612&gt;=01_因子設定!$L$5-0.000000001,E3612&lt;=01_因子設定!$M$5+0.000000001,F3612&gt;=01_因子設定!$L$6-0.000000001,F3612&lt;=01_因子設定!$M$6+0.000000001,G3612&gt;=01_因子設定!$L$7-0.000000001,G3612&lt;=01_因子設定!$M$7+0.000000001,H3612&gt;=01_因子設定!$L$8-0.000000001,H3612&lt;=01_因子設定!$M$8+0.000000001,IF(01_因子設定!$B$20="Box-Behnken",E3612^2+F3612^2+G3612^2+H3612^2&lt;=2+0.000000001,TRUE()))</f>
        <v>1</v>
      </c>
      <c r="AD3612" s="55" t="n">
        <f aca="false">IF(AC3612,IF(01_因子設定!$B$13="最大化",AA3612-01_因子設定!$B$14,IF(01_因子設定!$B$13="最小化",01_因子設定!$B$15-AB3612,MIN(AA3612-01_因子設定!$B$14,01_因子設定!$B$15-AB3612))),-1E+030)</f>
        <v>-0.755363993101746</v>
      </c>
      <c r="AE3612" s="55" t="n">
        <f aca="false">IF(AC3612,IF(01_因子設定!$B$13="最大化",X3612,IF(01_因子設定!$B$13="最小化",-X3612,-ABS(X3612-01_因子設定!$B$16))),-1E+030)</f>
        <v>47.3495431286549</v>
      </c>
      <c r="AF3612" s="55" t="n">
        <f aca="false">AD3612+ROW()*0.000000001</f>
        <v>-0.755360381101746</v>
      </c>
      <c r="AG3612" s="55" t="n">
        <f aca="false">AE3612+ROW()*0.000000001</f>
        <v>47.3495467406549</v>
      </c>
    </row>
    <row r="3613" customFormat="false" ht="15" hidden="false" customHeight="false" outlineLevel="0" collapsed="false">
      <c r="A3613" s="0" t="n">
        <v>4</v>
      </c>
      <c r="B3613" s="0" t="n">
        <v>8</v>
      </c>
      <c r="C3613" s="0" t="n">
        <v>4</v>
      </c>
      <c r="D3613" s="0" t="n">
        <v>8</v>
      </c>
      <c r="E3613" s="0" t="n">
        <f aca="false">-1+A3613*0.25</f>
        <v>0</v>
      </c>
      <c r="F3613" s="0" t="n">
        <f aca="false">-1+B3613*0.25</f>
        <v>1</v>
      </c>
      <c r="G3613" s="0" t="n">
        <f aca="false">-1+C3613*0.25</f>
        <v>0</v>
      </c>
      <c r="H3613" s="0" t="n">
        <f aca="false">-1+D3613*0.25</f>
        <v>1</v>
      </c>
      <c r="I3613" s="0" t="n">
        <f aca="false">1</f>
        <v>1</v>
      </c>
      <c r="J3613" s="0" t="n">
        <f aca="false">E3613</f>
        <v>0</v>
      </c>
      <c r="K3613" s="0" t="n">
        <f aca="false">F3613</f>
        <v>1</v>
      </c>
      <c r="L3613" s="0" t="n">
        <f aca="false">G3613</f>
        <v>0</v>
      </c>
      <c r="M3613" s="0" t="n">
        <f aca="false">H3613</f>
        <v>1</v>
      </c>
      <c r="N3613" s="0" t="n">
        <f aca="false">E3613*F3613</f>
        <v>0</v>
      </c>
      <c r="O3613" s="0" t="n">
        <f aca="false">E3613*G3613</f>
        <v>0</v>
      </c>
      <c r="P3613" s="0" t="n">
        <f aca="false">E3613*H3613</f>
        <v>0</v>
      </c>
      <c r="Q3613" s="0" t="n">
        <f aca="false">F3613*G3613</f>
        <v>0</v>
      </c>
      <c r="R3613" s="0" t="n">
        <f aca="false">F3613*H3613</f>
        <v>1</v>
      </c>
      <c r="S3613" s="0" t="n">
        <f aca="false">G3613*H3613</f>
        <v>0</v>
      </c>
      <c r="T3613" s="0" t="n">
        <f aca="false">E3613*E3613</f>
        <v>0</v>
      </c>
      <c r="U3613" s="0" t="n">
        <f aca="false">F3613*F3613</f>
        <v>1</v>
      </c>
      <c r="V3613" s="0" t="n">
        <f aca="false">G3613*G3613</f>
        <v>0</v>
      </c>
      <c r="W3613" s="0" t="n">
        <f aca="false">H3613*H3613</f>
        <v>1</v>
      </c>
      <c r="X3613" s="0" t="n">
        <f aca="false">SUMPRODUCT(I3613:W3613,_XtX!$B$96:$P$96)</f>
        <v>47.2304824561403</v>
      </c>
      <c r="Y3613" s="0" t="n">
        <f aca="false">SUMPRODUCT(MMULT(I3613:W3613,_XtX!$B$78:$P$92),I3613:W3613)</f>
        <v>0.708698830409357</v>
      </c>
      <c r="Z3613" s="0" t="n">
        <f aca="false">04_回帰ANOVA!$K$19*04_回帰ANOVA!$K$14*SQRT(1+Y3613)</f>
        <v>1.70384919651719</v>
      </c>
      <c r="AA3613" s="0" t="n">
        <f aca="false">X3613-Z3613</f>
        <v>45.5266332596231</v>
      </c>
      <c r="AB3613" s="0" t="n">
        <f aca="false">X3613+Z3613</f>
        <v>48.9343316526575</v>
      </c>
      <c r="AC3613" s="54" t="b">
        <f aca="false">AND(E3613&gt;=01_因子設定!$L$5-0.000000001,E3613&lt;=01_因子設定!$M$5+0.000000001,F3613&gt;=01_因子設定!$L$6-0.000000001,F3613&lt;=01_因子設定!$M$6+0.000000001,G3613&gt;=01_因子設定!$L$7-0.000000001,G3613&lt;=01_因子設定!$M$7+0.000000001,H3613&gt;=01_因子設定!$L$8-0.000000001,H3613&lt;=01_因子設定!$M$8+0.000000001,IF(01_因子設定!$B$20="Box-Behnken",E3613^2+F3613^2+G3613^2+H3613^2&lt;=2+0.000000001,TRUE()))</f>
        <v>1</v>
      </c>
      <c r="AD3613" s="55" t="n">
        <f aca="false">IF(AC3613,IF(01_因子設定!$B$13="最大化",AA3613-01_因子設定!$B$14,IF(01_因子設定!$B$13="最小化",01_因子設定!$B$15-AB3613,MIN(AA3613-01_因子設定!$B$14,01_因子設定!$B$15-AB3613))),-1E+030)</f>
        <v>-0.973366740376868</v>
      </c>
      <c r="AE3613" s="55" t="n">
        <f aca="false">IF(AC3613,IF(01_因子設定!$B$13="最大化",X3613,IF(01_因子設定!$B$13="最小化",-X3613,-ABS(X3613-01_因子設定!$B$16))),-1E+030)</f>
        <v>47.2304824561403</v>
      </c>
      <c r="AF3613" s="55" t="n">
        <f aca="false">AD3613+ROW()*0.000000001</f>
        <v>-0.973363127376868</v>
      </c>
      <c r="AG3613" s="55" t="n">
        <f aca="false">AE3613+ROW()*0.000000001</f>
        <v>47.2304860691403</v>
      </c>
    </row>
    <row r="3614" customFormat="false" ht="15" hidden="false" customHeight="false" outlineLevel="0" collapsed="false">
      <c r="A3614" s="0" t="n">
        <v>4</v>
      </c>
      <c r="B3614" s="0" t="n">
        <v>8</v>
      </c>
      <c r="C3614" s="0" t="n">
        <v>5</v>
      </c>
      <c r="D3614" s="0" t="n">
        <v>0</v>
      </c>
      <c r="E3614" s="0" t="n">
        <f aca="false">-1+A3614*0.25</f>
        <v>0</v>
      </c>
      <c r="F3614" s="0" t="n">
        <f aca="false">-1+B3614*0.25</f>
        <v>1</v>
      </c>
      <c r="G3614" s="0" t="n">
        <f aca="false">-1+C3614*0.25</f>
        <v>0.25</v>
      </c>
      <c r="H3614" s="0" t="n">
        <f aca="false">-1+D3614*0.25</f>
        <v>-1</v>
      </c>
      <c r="I3614" s="0" t="n">
        <f aca="false">1</f>
        <v>1</v>
      </c>
      <c r="J3614" s="0" t="n">
        <f aca="false">E3614</f>
        <v>0</v>
      </c>
      <c r="K3614" s="0" t="n">
        <f aca="false">F3614</f>
        <v>1</v>
      </c>
      <c r="L3614" s="0" t="n">
        <f aca="false">G3614</f>
        <v>0.25</v>
      </c>
      <c r="M3614" s="0" t="n">
        <f aca="false">H3614</f>
        <v>-1</v>
      </c>
      <c r="N3614" s="0" t="n">
        <f aca="false">E3614*F3614</f>
        <v>0</v>
      </c>
      <c r="O3614" s="0" t="n">
        <f aca="false">E3614*G3614</f>
        <v>0</v>
      </c>
      <c r="P3614" s="0" t="n">
        <f aca="false">E3614*H3614</f>
        <v>-0</v>
      </c>
      <c r="Q3614" s="0" t="n">
        <f aca="false">F3614*G3614</f>
        <v>0.25</v>
      </c>
      <c r="R3614" s="0" t="n">
        <f aca="false">F3614*H3614</f>
        <v>-1</v>
      </c>
      <c r="S3614" s="0" t="n">
        <f aca="false">G3614*H3614</f>
        <v>-0.25</v>
      </c>
      <c r="T3614" s="0" t="n">
        <f aca="false">E3614*E3614</f>
        <v>0</v>
      </c>
      <c r="U3614" s="0" t="n">
        <f aca="false">F3614*F3614</f>
        <v>1</v>
      </c>
      <c r="V3614" s="0" t="n">
        <f aca="false">G3614*G3614</f>
        <v>0.0625</v>
      </c>
      <c r="W3614" s="0" t="n">
        <f aca="false">H3614*H3614</f>
        <v>1</v>
      </c>
      <c r="X3614" s="0" t="n">
        <f aca="false">SUMPRODUCT(I3614:W3614,_XtX!$B$96:$P$96)</f>
        <v>47.0538011695906</v>
      </c>
      <c r="Y3614" s="0" t="n">
        <f aca="false">SUMPRODUCT(MMULT(I3614:W3614,_XtX!$B$78:$P$92),I3614:W3614)</f>
        <v>0.689692982456141</v>
      </c>
      <c r="Z3614" s="0" t="n">
        <f aca="false">04_回帰ANOVA!$K$19*04_回帰ANOVA!$K$14*SQRT(1+Y3614)</f>
        <v>1.69434674594998</v>
      </c>
      <c r="AA3614" s="0" t="n">
        <f aca="false">X3614-Z3614</f>
        <v>45.3594544236406</v>
      </c>
      <c r="AB3614" s="0" t="n">
        <f aca="false">X3614+Z3614</f>
        <v>48.7481479155406</v>
      </c>
      <c r="AC3614" s="54" t="b">
        <f aca="false">AND(E3614&gt;=01_因子設定!$L$5-0.000000001,E3614&lt;=01_因子設定!$M$5+0.000000001,F3614&gt;=01_因子設定!$L$6-0.000000001,F3614&lt;=01_因子設定!$M$6+0.000000001,G3614&gt;=01_因子設定!$L$7-0.000000001,G3614&lt;=01_因子設定!$M$7+0.000000001,H3614&gt;=01_因子設定!$L$8-0.000000001,H3614&lt;=01_因子設定!$M$8+0.000000001,IF(01_因子設定!$B$20="Box-Behnken",E3614^2+F3614^2+G3614^2+H3614^2&lt;=2+0.000000001,TRUE()))</f>
        <v>1</v>
      </c>
      <c r="AD3614" s="55" t="n">
        <f aca="false">IF(AC3614,IF(01_因子設定!$B$13="最大化",AA3614-01_因子設定!$B$14,IF(01_因子設定!$B$13="最小化",01_因子設定!$B$15-AB3614,MIN(AA3614-01_因子設定!$B$14,01_因子設定!$B$15-AB3614))),-1E+030)</f>
        <v>-1.14054557635937</v>
      </c>
      <c r="AE3614" s="55" t="n">
        <f aca="false">IF(AC3614,IF(01_因子設定!$B$13="最大化",X3614,IF(01_因子設定!$B$13="最小化",-X3614,-ABS(X3614-01_因子設定!$B$16))),-1E+030)</f>
        <v>47.0538011695906</v>
      </c>
      <c r="AF3614" s="55" t="n">
        <f aca="false">AD3614+ROW()*0.000000001</f>
        <v>-1.14054196235937</v>
      </c>
      <c r="AG3614" s="55" t="n">
        <f aca="false">AE3614+ROW()*0.000000001</f>
        <v>47.0538047835906</v>
      </c>
    </row>
    <row r="3615" customFormat="false" ht="15" hidden="false" customHeight="false" outlineLevel="0" collapsed="false">
      <c r="A3615" s="0" t="n">
        <v>4</v>
      </c>
      <c r="B3615" s="0" t="n">
        <v>8</v>
      </c>
      <c r="C3615" s="0" t="n">
        <v>5</v>
      </c>
      <c r="D3615" s="0" t="n">
        <v>1</v>
      </c>
      <c r="E3615" s="0" t="n">
        <f aca="false">-1+A3615*0.25</f>
        <v>0</v>
      </c>
      <c r="F3615" s="0" t="n">
        <f aca="false">-1+B3615*0.25</f>
        <v>1</v>
      </c>
      <c r="G3615" s="0" t="n">
        <f aca="false">-1+C3615*0.25</f>
        <v>0.25</v>
      </c>
      <c r="H3615" s="0" t="n">
        <f aca="false">-1+D3615*0.25</f>
        <v>-0.75</v>
      </c>
      <c r="I3615" s="0" t="n">
        <f aca="false">1</f>
        <v>1</v>
      </c>
      <c r="J3615" s="0" t="n">
        <f aca="false">E3615</f>
        <v>0</v>
      </c>
      <c r="K3615" s="0" t="n">
        <f aca="false">F3615</f>
        <v>1</v>
      </c>
      <c r="L3615" s="0" t="n">
        <f aca="false">G3615</f>
        <v>0.25</v>
      </c>
      <c r="M3615" s="0" t="n">
        <f aca="false">H3615</f>
        <v>-0.75</v>
      </c>
      <c r="N3615" s="0" t="n">
        <f aca="false">E3615*F3615</f>
        <v>0</v>
      </c>
      <c r="O3615" s="0" t="n">
        <f aca="false">E3615*G3615</f>
        <v>0</v>
      </c>
      <c r="P3615" s="0" t="n">
        <f aca="false">E3615*H3615</f>
        <v>-0</v>
      </c>
      <c r="Q3615" s="0" t="n">
        <f aca="false">F3615*G3615</f>
        <v>0.25</v>
      </c>
      <c r="R3615" s="0" t="n">
        <f aca="false">F3615*H3615</f>
        <v>-0.75</v>
      </c>
      <c r="S3615" s="0" t="n">
        <f aca="false">G3615*H3615</f>
        <v>-0.1875</v>
      </c>
      <c r="T3615" s="0" t="n">
        <f aca="false">E3615*E3615</f>
        <v>0</v>
      </c>
      <c r="U3615" s="0" t="n">
        <f aca="false">F3615*F3615</f>
        <v>1</v>
      </c>
      <c r="V3615" s="0" t="n">
        <f aca="false">G3615*G3615</f>
        <v>0.0625</v>
      </c>
      <c r="W3615" s="0" t="n">
        <f aca="false">H3615*H3615</f>
        <v>0.5625</v>
      </c>
      <c r="X3615" s="0" t="n">
        <f aca="false">SUMPRODUCT(I3615:W3615,_XtX!$B$96:$P$96)</f>
        <v>47.287358369883</v>
      </c>
      <c r="Y3615" s="0" t="n">
        <f aca="false">SUMPRODUCT(MMULT(I3615:W3615,_XtX!$B$78:$P$92),I3615:W3615)</f>
        <v>0.501534802174708</v>
      </c>
      <c r="Z3615" s="0" t="n">
        <f aca="false">04_回帰ANOVA!$K$19*04_回帰ANOVA!$K$14*SQRT(1+Y3615)</f>
        <v>1.59722498091333</v>
      </c>
      <c r="AA3615" s="0" t="n">
        <f aca="false">X3615-Z3615</f>
        <v>45.6901333889697</v>
      </c>
      <c r="AB3615" s="0" t="n">
        <f aca="false">X3615+Z3615</f>
        <v>48.8845833507963</v>
      </c>
      <c r="AC3615" s="54" t="b">
        <f aca="false">AND(E3615&gt;=01_因子設定!$L$5-0.000000001,E3615&lt;=01_因子設定!$M$5+0.000000001,F3615&gt;=01_因子設定!$L$6-0.000000001,F3615&lt;=01_因子設定!$M$6+0.000000001,G3615&gt;=01_因子設定!$L$7-0.000000001,G3615&lt;=01_因子設定!$M$7+0.000000001,H3615&gt;=01_因子設定!$L$8-0.000000001,H3615&lt;=01_因子設定!$M$8+0.000000001,IF(01_因子設定!$B$20="Box-Behnken",E3615^2+F3615^2+G3615^2+H3615^2&lt;=2+0.000000001,TRUE()))</f>
        <v>1</v>
      </c>
      <c r="AD3615" s="55" t="n">
        <f aca="false">IF(AC3615,IF(01_因子設定!$B$13="最大化",AA3615-01_因子設定!$B$14,IF(01_因子設定!$B$13="最小化",01_因子設定!$B$15-AB3615,MIN(AA3615-01_因子設定!$B$14,01_因子設定!$B$15-AB3615))),-1E+030)</f>
        <v>-0.809866611030337</v>
      </c>
      <c r="AE3615" s="55" t="n">
        <f aca="false">IF(AC3615,IF(01_因子設定!$B$13="最大化",X3615,IF(01_因子設定!$B$13="最小化",-X3615,-ABS(X3615-01_因子設定!$B$16))),-1E+030)</f>
        <v>47.287358369883</v>
      </c>
      <c r="AF3615" s="55" t="n">
        <f aca="false">AD3615+ROW()*0.000000001</f>
        <v>-0.809862996030337</v>
      </c>
      <c r="AG3615" s="55" t="n">
        <f aca="false">AE3615+ROW()*0.000000001</f>
        <v>47.287361984883</v>
      </c>
    </row>
    <row r="3616" customFormat="false" ht="15" hidden="false" customHeight="false" outlineLevel="0" collapsed="false">
      <c r="A3616" s="0" t="n">
        <v>4</v>
      </c>
      <c r="B3616" s="0" t="n">
        <v>8</v>
      </c>
      <c r="C3616" s="0" t="n">
        <v>5</v>
      </c>
      <c r="D3616" s="0" t="n">
        <v>2</v>
      </c>
      <c r="E3616" s="0" t="n">
        <f aca="false">-1+A3616*0.25</f>
        <v>0</v>
      </c>
      <c r="F3616" s="0" t="n">
        <f aca="false">-1+B3616*0.25</f>
        <v>1</v>
      </c>
      <c r="G3616" s="0" t="n">
        <f aca="false">-1+C3616*0.25</f>
        <v>0.25</v>
      </c>
      <c r="H3616" s="0" t="n">
        <f aca="false">-1+D3616*0.25</f>
        <v>-0.5</v>
      </c>
      <c r="I3616" s="0" t="n">
        <f aca="false">1</f>
        <v>1</v>
      </c>
      <c r="J3616" s="0" t="n">
        <f aca="false">E3616</f>
        <v>0</v>
      </c>
      <c r="K3616" s="0" t="n">
        <f aca="false">F3616</f>
        <v>1</v>
      </c>
      <c r="L3616" s="0" t="n">
        <f aca="false">G3616</f>
        <v>0.25</v>
      </c>
      <c r="M3616" s="0" t="n">
        <f aca="false">H3616</f>
        <v>-0.5</v>
      </c>
      <c r="N3616" s="0" t="n">
        <f aca="false">E3616*F3616</f>
        <v>0</v>
      </c>
      <c r="O3616" s="0" t="n">
        <f aca="false">E3616*G3616</f>
        <v>0</v>
      </c>
      <c r="P3616" s="0" t="n">
        <f aca="false">E3616*H3616</f>
        <v>-0</v>
      </c>
      <c r="Q3616" s="0" t="n">
        <f aca="false">F3616*G3616</f>
        <v>0.25</v>
      </c>
      <c r="R3616" s="0" t="n">
        <f aca="false">F3616*H3616</f>
        <v>-0.5</v>
      </c>
      <c r="S3616" s="0" t="n">
        <f aca="false">G3616*H3616</f>
        <v>-0.125</v>
      </c>
      <c r="T3616" s="0" t="n">
        <f aca="false">E3616*E3616</f>
        <v>0</v>
      </c>
      <c r="U3616" s="0" t="n">
        <f aca="false">F3616*F3616</f>
        <v>1</v>
      </c>
      <c r="V3616" s="0" t="n">
        <f aca="false">G3616*G3616</f>
        <v>0.0625</v>
      </c>
      <c r="W3616" s="0" t="n">
        <f aca="false">H3616*H3616</f>
        <v>0.25</v>
      </c>
      <c r="X3616" s="0" t="n">
        <f aca="false">SUMPRODUCT(I3616:W3616,_XtX!$B$96:$P$96)</f>
        <v>47.4731085526315</v>
      </c>
      <c r="Y3616" s="0" t="n">
        <f aca="false">SUMPRODUCT(MMULT(I3616:W3616,_XtX!$B$78:$P$92),I3616:W3616)</f>
        <v>0.457596628289474</v>
      </c>
      <c r="Z3616" s="0" t="n">
        <f aca="false">04_回帰ANOVA!$K$19*04_回帰ANOVA!$K$14*SQRT(1+Y3616)</f>
        <v>1.57368233664366</v>
      </c>
      <c r="AA3616" s="0" t="n">
        <f aca="false">X3616-Z3616</f>
        <v>45.8994262159879</v>
      </c>
      <c r="AB3616" s="0" t="n">
        <f aca="false">X3616+Z3616</f>
        <v>49.0467908892752</v>
      </c>
      <c r="AC3616" s="54" t="b">
        <f aca="false">AND(E3616&gt;=01_因子設定!$L$5-0.000000001,E3616&lt;=01_因子設定!$M$5+0.000000001,F3616&gt;=01_因子設定!$L$6-0.000000001,F3616&lt;=01_因子設定!$M$6+0.000000001,G3616&gt;=01_因子設定!$L$7-0.000000001,G3616&lt;=01_因子設定!$M$7+0.000000001,H3616&gt;=01_因子設定!$L$8-0.000000001,H3616&lt;=01_因子設定!$M$8+0.000000001,IF(01_因子設定!$B$20="Box-Behnken",E3616^2+F3616^2+G3616^2+H3616^2&lt;=2+0.000000001,TRUE()))</f>
        <v>1</v>
      </c>
      <c r="AD3616" s="55" t="n">
        <f aca="false">IF(AC3616,IF(01_因子設定!$B$13="最大化",AA3616-01_因子設定!$B$14,IF(01_因子設定!$B$13="最小化",01_因子設定!$B$15-AB3616,MIN(AA3616-01_因子設定!$B$14,01_因子設定!$B$15-AB3616))),-1E+030)</f>
        <v>-0.600573784012134</v>
      </c>
      <c r="AE3616" s="55" t="n">
        <f aca="false">IF(AC3616,IF(01_因子設定!$B$13="最大化",X3616,IF(01_因子設定!$B$13="最小化",-X3616,-ABS(X3616-01_因子設定!$B$16))),-1E+030)</f>
        <v>47.4731085526315</v>
      </c>
      <c r="AF3616" s="55" t="n">
        <f aca="false">AD3616+ROW()*0.000000001</f>
        <v>-0.600570168012134</v>
      </c>
      <c r="AG3616" s="55" t="n">
        <f aca="false">AE3616+ROW()*0.000000001</f>
        <v>47.4731121686315</v>
      </c>
    </row>
    <row r="3617" customFormat="false" ht="15" hidden="false" customHeight="false" outlineLevel="0" collapsed="false">
      <c r="A3617" s="0" t="n">
        <v>4</v>
      </c>
      <c r="B3617" s="0" t="n">
        <v>8</v>
      </c>
      <c r="C3617" s="0" t="n">
        <v>5</v>
      </c>
      <c r="D3617" s="0" t="n">
        <v>3</v>
      </c>
      <c r="E3617" s="0" t="n">
        <f aca="false">-1+A3617*0.25</f>
        <v>0</v>
      </c>
      <c r="F3617" s="0" t="n">
        <f aca="false">-1+B3617*0.25</f>
        <v>1</v>
      </c>
      <c r="G3617" s="0" t="n">
        <f aca="false">-1+C3617*0.25</f>
        <v>0.25</v>
      </c>
      <c r="H3617" s="0" t="n">
        <f aca="false">-1+D3617*0.25</f>
        <v>-0.25</v>
      </c>
      <c r="I3617" s="0" t="n">
        <f aca="false">1</f>
        <v>1</v>
      </c>
      <c r="J3617" s="0" t="n">
        <f aca="false">E3617</f>
        <v>0</v>
      </c>
      <c r="K3617" s="0" t="n">
        <f aca="false">F3617</f>
        <v>1</v>
      </c>
      <c r="L3617" s="0" t="n">
        <f aca="false">G3617</f>
        <v>0.25</v>
      </c>
      <c r="M3617" s="0" t="n">
        <f aca="false">H3617</f>
        <v>-0.25</v>
      </c>
      <c r="N3617" s="0" t="n">
        <f aca="false">E3617*F3617</f>
        <v>0</v>
      </c>
      <c r="O3617" s="0" t="n">
        <f aca="false">E3617*G3617</f>
        <v>0</v>
      </c>
      <c r="P3617" s="0" t="n">
        <f aca="false">E3617*H3617</f>
        <v>-0</v>
      </c>
      <c r="Q3617" s="0" t="n">
        <f aca="false">F3617*G3617</f>
        <v>0.25</v>
      </c>
      <c r="R3617" s="0" t="n">
        <f aca="false">F3617*H3617</f>
        <v>-0.25</v>
      </c>
      <c r="S3617" s="0" t="n">
        <f aca="false">G3617*H3617</f>
        <v>-0.0625</v>
      </c>
      <c r="T3617" s="0" t="n">
        <f aca="false">E3617*E3617</f>
        <v>0</v>
      </c>
      <c r="U3617" s="0" t="n">
        <f aca="false">F3617*F3617</f>
        <v>1</v>
      </c>
      <c r="V3617" s="0" t="n">
        <f aca="false">G3617*G3617</f>
        <v>0.0625</v>
      </c>
      <c r="W3617" s="0" t="n">
        <f aca="false">H3617*H3617</f>
        <v>0.0625</v>
      </c>
      <c r="X3617" s="0" t="n">
        <f aca="false">SUMPRODUCT(I3617:W3617,_XtX!$B$96:$P$96)</f>
        <v>47.6110517178362</v>
      </c>
      <c r="Y3617" s="0" t="n">
        <f aca="false">SUMPRODUCT(MMULT(I3617:W3617,_XtX!$B$78:$P$92),I3617:W3617)</f>
        <v>0.467417934484649</v>
      </c>
      <c r="Z3617" s="0" t="n">
        <f aca="false">04_回帰ANOVA!$K$19*04_回帰ANOVA!$K$14*SQRT(1+Y3617)</f>
        <v>1.57897518244497</v>
      </c>
      <c r="AA3617" s="0" t="n">
        <f aca="false">X3617-Z3617</f>
        <v>46.0320765353912</v>
      </c>
      <c r="AB3617" s="0" t="n">
        <f aca="false">X3617+Z3617</f>
        <v>49.1900269002812</v>
      </c>
      <c r="AC3617" s="54" t="b">
        <f aca="false">AND(E3617&gt;=01_因子設定!$L$5-0.000000001,E3617&lt;=01_因子設定!$M$5+0.000000001,F3617&gt;=01_因子設定!$L$6-0.000000001,F3617&lt;=01_因子設定!$M$6+0.000000001,G3617&gt;=01_因子設定!$L$7-0.000000001,G3617&lt;=01_因子設定!$M$7+0.000000001,H3617&gt;=01_因子設定!$L$8-0.000000001,H3617&lt;=01_因子設定!$M$8+0.000000001,IF(01_因子設定!$B$20="Box-Behnken",E3617^2+F3617^2+G3617^2+H3617^2&lt;=2+0.000000001,TRUE()))</f>
        <v>1</v>
      </c>
      <c r="AD3617" s="55" t="n">
        <f aca="false">IF(AC3617,IF(01_因子設定!$B$13="最大化",AA3617-01_因子設定!$B$14,IF(01_因子設定!$B$13="最小化",01_因子設定!$B$15-AB3617,MIN(AA3617-01_因子設定!$B$14,01_因子設定!$B$15-AB3617))),-1E+030)</f>
        <v>-0.467923464608781</v>
      </c>
      <c r="AE3617" s="55" t="n">
        <f aca="false">IF(AC3617,IF(01_因子設定!$B$13="最大化",X3617,IF(01_因子設定!$B$13="最小化",-X3617,-ABS(X3617-01_因子設定!$B$16))),-1E+030)</f>
        <v>47.6110517178362</v>
      </c>
      <c r="AF3617" s="55" t="n">
        <f aca="false">AD3617+ROW()*0.000000001</f>
        <v>-0.467919847608781</v>
      </c>
      <c r="AG3617" s="55" t="n">
        <f aca="false">AE3617+ROW()*0.000000001</f>
        <v>47.6110553348362</v>
      </c>
    </row>
    <row r="3618" customFormat="false" ht="15" hidden="false" customHeight="false" outlineLevel="0" collapsed="false">
      <c r="A3618" s="0" t="n">
        <v>4</v>
      </c>
      <c r="B3618" s="0" t="n">
        <v>8</v>
      </c>
      <c r="C3618" s="0" t="n">
        <v>5</v>
      </c>
      <c r="D3618" s="0" t="n">
        <v>4</v>
      </c>
      <c r="E3618" s="0" t="n">
        <f aca="false">-1+A3618*0.25</f>
        <v>0</v>
      </c>
      <c r="F3618" s="0" t="n">
        <f aca="false">-1+B3618*0.25</f>
        <v>1</v>
      </c>
      <c r="G3618" s="0" t="n">
        <f aca="false">-1+C3618*0.25</f>
        <v>0.25</v>
      </c>
      <c r="H3618" s="0" t="n">
        <f aca="false">-1+D3618*0.25</f>
        <v>0</v>
      </c>
      <c r="I3618" s="0" t="n">
        <f aca="false">1</f>
        <v>1</v>
      </c>
      <c r="J3618" s="0" t="n">
        <f aca="false">E3618</f>
        <v>0</v>
      </c>
      <c r="K3618" s="0" t="n">
        <f aca="false">F3618</f>
        <v>1</v>
      </c>
      <c r="L3618" s="0" t="n">
        <f aca="false">G3618</f>
        <v>0.25</v>
      </c>
      <c r="M3618" s="0" t="n">
        <f aca="false">H3618</f>
        <v>0</v>
      </c>
      <c r="N3618" s="0" t="n">
        <f aca="false">E3618*F3618</f>
        <v>0</v>
      </c>
      <c r="O3618" s="0" t="n">
        <f aca="false">E3618*G3618</f>
        <v>0</v>
      </c>
      <c r="P3618" s="0" t="n">
        <f aca="false">E3618*H3618</f>
        <v>0</v>
      </c>
      <c r="Q3618" s="0" t="n">
        <f aca="false">F3618*G3618</f>
        <v>0.25</v>
      </c>
      <c r="R3618" s="0" t="n">
        <f aca="false">F3618*H3618</f>
        <v>0</v>
      </c>
      <c r="S3618" s="0" t="n">
        <f aca="false">G3618*H3618</f>
        <v>0</v>
      </c>
      <c r="T3618" s="0" t="n">
        <f aca="false">E3618*E3618</f>
        <v>0</v>
      </c>
      <c r="U3618" s="0" t="n">
        <f aca="false">F3618*F3618</f>
        <v>1</v>
      </c>
      <c r="V3618" s="0" t="n">
        <f aca="false">G3618*G3618</f>
        <v>0.0625</v>
      </c>
      <c r="W3618" s="0" t="n">
        <f aca="false">H3618*H3618</f>
        <v>0</v>
      </c>
      <c r="X3618" s="0" t="n">
        <f aca="false">SUMPRODUCT(I3618:W3618,_XtX!$B$96:$P$96)</f>
        <v>47.701187865497</v>
      </c>
      <c r="Y3618" s="0" t="n">
        <f aca="false">SUMPRODUCT(MMULT(I3618:W3618,_XtX!$B$78:$P$92),I3618:W3618)</f>
        <v>0.47672240497076</v>
      </c>
      <c r="Z3618" s="0" t="n">
        <f aca="false">04_回帰ANOVA!$K$19*04_回帰ANOVA!$K$14*SQRT(1+Y3618)</f>
        <v>1.58397318352695</v>
      </c>
      <c r="AA3618" s="0" t="n">
        <f aca="false">X3618-Z3618</f>
        <v>46.1172146819701</v>
      </c>
      <c r="AB3618" s="0" t="n">
        <f aca="false">X3618+Z3618</f>
        <v>49.285161049024</v>
      </c>
      <c r="AC3618" s="54" t="b">
        <f aca="false">AND(E3618&gt;=01_因子設定!$L$5-0.000000001,E3618&lt;=01_因子設定!$M$5+0.000000001,F3618&gt;=01_因子設定!$L$6-0.000000001,F3618&lt;=01_因子設定!$M$6+0.000000001,G3618&gt;=01_因子設定!$L$7-0.000000001,G3618&lt;=01_因子設定!$M$7+0.000000001,H3618&gt;=01_因子設定!$L$8-0.000000001,H3618&lt;=01_因子設定!$M$8+0.000000001,IF(01_因子設定!$B$20="Box-Behnken",E3618^2+F3618^2+G3618^2+H3618^2&lt;=2+0.000000001,TRUE()))</f>
        <v>1</v>
      </c>
      <c r="AD3618" s="55" t="n">
        <f aca="false">IF(AC3618,IF(01_因子設定!$B$13="最大化",AA3618-01_因子設定!$B$14,IF(01_因子設定!$B$13="最小化",01_因子設定!$B$15-AB3618,MIN(AA3618-01_因子設定!$B$14,01_因子設定!$B$15-AB3618))),-1E+030)</f>
        <v>-0.382785318029931</v>
      </c>
      <c r="AE3618" s="55" t="n">
        <f aca="false">IF(AC3618,IF(01_因子設定!$B$13="最大化",X3618,IF(01_因子設定!$B$13="最小化",-X3618,-ABS(X3618-01_因子設定!$B$16))),-1E+030)</f>
        <v>47.701187865497</v>
      </c>
      <c r="AF3618" s="55" t="n">
        <f aca="false">AD3618+ROW()*0.000000001</f>
        <v>-0.382781700029931</v>
      </c>
      <c r="AG3618" s="55" t="n">
        <f aca="false">AE3618+ROW()*0.000000001</f>
        <v>47.701191483497</v>
      </c>
    </row>
    <row r="3619" customFormat="false" ht="15" hidden="false" customHeight="false" outlineLevel="0" collapsed="false">
      <c r="A3619" s="0" t="n">
        <v>4</v>
      </c>
      <c r="B3619" s="0" t="n">
        <v>8</v>
      </c>
      <c r="C3619" s="0" t="n">
        <v>5</v>
      </c>
      <c r="D3619" s="0" t="n">
        <v>5</v>
      </c>
      <c r="E3619" s="0" t="n">
        <f aca="false">-1+A3619*0.25</f>
        <v>0</v>
      </c>
      <c r="F3619" s="0" t="n">
        <f aca="false">-1+B3619*0.25</f>
        <v>1</v>
      </c>
      <c r="G3619" s="0" t="n">
        <f aca="false">-1+C3619*0.25</f>
        <v>0.25</v>
      </c>
      <c r="H3619" s="0" t="n">
        <f aca="false">-1+D3619*0.25</f>
        <v>0.25</v>
      </c>
      <c r="I3619" s="0" t="n">
        <f aca="false">1</f>
        <v>1</v>
      </c>
      <c r="J3619" s="0" t="n">
        <f aca="false">E3619</f>
        <v>0</v>
      </c>
      <c r="K3619" s="0" t="n">
        <f aca="false">F3619</f>
        <v>1</v>
      </c>
      <c r="L3619" s="0" t="n">
        <f aca="false">G3619</f>
        <v>0.25</v>
      </c>
      <c r="M3619" s="0" t="n">
        <f aca="false">H3619</f>
        <v>0.25</v>
      </c>
      <c r="N3619" s="0" t="n">
        <f aca="false">E3619*F3619</f>
        <v>0</v>
      </c>
      <c r="O3619" s="0" t="n">
        <f aca="false">E3619*G3619</f>
        <v>0</v>
      </c>
      <c r="P3619" s="0" t="n">
        <f aca="false">E3619*H3619</f>
        <v>0</v>
      </c>
      <c r="Q3619" s="0" t="n">
        <f aca="false">F3619*G3619</f>
        <v>0.25</v>
      </c>
      <c r="R3619" s="0" t="n">
        <f aca="false">F3619*H3619</f>
        <v>0.25</v>
      </c>
      <c r="S3619" s="0" t="n">
        <f aca="false">G3619*H3619</f>
        <v>0.0625</v>
      </c>
      <c r="T3619" s="0" t="n">
        <f aca="false">E3619*E3619</f>
        <v>0</v>
      </c>
      <c r="U3619" s="0" t="n">
        <f aca="false">F3619*F3619</f>
        <v>1</v>
      </c>
      <c r="V3619" s="0" t="n">
        <f aca="false">G3619*G3619</f>
        <v>0.0625</v>
      </c>
      <c r="W3619" s="0" t="n">
        <f aca="false">H3619*H3619</f>
        <v>0.0625</v>
      </c>
      <c r="X3619" s="0" t="n">
        <f aca="false">SUMPRODUCT(I3619:W3619,_XtX!$B$96:$P$96)</f>
        <v>47.743516995614</v>
      </c>
      <c r="Y3619" s="0" t="n">
        <f aca="false">SUMPRODUCT(MMULT(I3619:W3619,_XtX!$B$78:$P$92),I3619:W3619)</f>
        <v>0.467417934484649</v>
      </c>
      <c r="Z3619" s="0" t="n">
        <f aca="false">04_回帰ANOVA!$K$19*04_回帰ANOVA!$K$14*SQRT(1+Y3619)</f>
        <v>1.57897518244497</v>
      </c>
      <c r="AA3619" s="0" t="n">
        <f aca="false">X3619-Z3619</f>
        <v>46.164541813169</v>
      </c>
      <c r="AB3619" s="0" t="n">
        <f aca="false">X3619+Z3619</f>
        <v>49.3224921780589</v>
      </c>
      <c r="AC3619" s="54" t="b">
        <f aca="false">AND(E3619&gt;=01_因子設定!$L$5-0.000000001,E3619&lt;=01_因子設定!$M$5+0.000000001,F3619&gt;=01_因子設定!$L$6-0.000000001,F3619&lt;=01_因子設定!$M$6+0.000000001,G3619&gt;=01_因子設定!$L$7-0.000000001,G3619&lt;=01_因子設定!$M$7+0.000000001,H3619&gt;=01_因子設定!$L$8-0.000000001,H3619&lt;=01_因子設定!$M$8+0.000000001,IF(01_因子設定!$B$20="Box-Behnken",E3619^2+F3619^2+G3619^2+H3619^2&lt;=2+0.000000001,TRUE()))</f>
        <v>1</v>
      </c>
      <c r="AD3619" s="55" t="n">
        <f aca="false">IF(AC3619,IF(01_因子設定!$B$13="最大化",AA3619-01_因子設定!$B$14,IF(01_因子設定!$B$13="最小化",01_因子設定!$B$15-AB3619,MIN(AA3619-01_因子設定!$B$14,01_因子設定!$B$15-AB3619))),-1E+030)</f>
        <v>-0.335458186830998</v>
      </c>
      <c r="AE3619" s="55" t="n">
        <f aca="false">IF(AC3619,IF(01_因子設定!$B$13="最大化",X3619,IF(01_因子設定!$B$13="最小化",-X3619,-ABS(X3619-01_因子設定!$B$16))),-1E+030)</f>
        <v>47.743516995614</v>
      </c>
      <c r="AF3619" s="55" t="n">
        <f aca="false">AD3619+ROW()*0.000000001</f>
        <v>-0.335454567830998</v>
      </c>
      <c r="AG3619" s="55" t="n">
        <f aca="false">AE3619+ROW()*0.000000001</f>
        <v>47.743520614614</v>
      </c>
    </row>
    <row r="3620" customFormat="false" ht="15" hidden="false" customHeight="false" outlineLevel="0" collapsed="false">
      <c r="A3620" s="0" t="n">
        <v>4</v>
      </c>
      <c r="B3620" s="0" t="n">
        <v>8</v>
      </c>
      <c r="C3620" s="0" t="n">
        <v>5</v>
      </c>
      <c r="D3620" s="0" t="n">
        <v>6</v>
      </c>
      <c r="E3620" s="0" t="n">
        <f aca="false">-1+A3620*0.25</f>
        <v>0</v>
      </c>
      <c r="F3620" s="0" t="n">
        <f aca="false">-1+B3620*0.25</f>
        <v>1</v>
      </c>
      <c r="G3620" s="0" t="n">
        <f aca="false">-1+C3620*0.25</f>
        <v>0.25</v>
      </c>
      <c r="H3620" s="0" t="n">
        <f aca="false">-1+D3620*0.25</f>
        <v>0.5</v>
      </c>
      <c r="I3620" s="0" t="n">
        <f aca="false">1</f>
        <v>1</v>
      </c>
      <c r="J3620" s="0" t="n">
        <f aca="false">E3620</f>
        <v>0</v>
      </c>
      <c r="K3620" s="0" t="n">
        <f aca="false">F3620</f>
        <v>1</v>
      </c>
      <c r="L3620" s="0" t="n">
        <f aca="false">G3620</f>
        <v>0.25</v>
      </c>
      <c r="M3620" s="0" t="n">
        <f aca="false">H3620</f>
        <v>0.5</v>
      </c>
      <c r="N3620" s="0" t="n">
        <f aca="false">E3620*F3620</f>
        <v>0</v>
      </c>
      <c r="O3620" s="0" t="n">
        <f aca="false">E3620*G3620</f>
        <v>0</v>
      </c>
      <c r="P3620" s="0" t="n">
        <f aca="false">E3620*H3620</f>
        <v>0</v>
      </c>
      <c r="Q3620" s="0" t="n">
        <f aca="false">F3620*G3620</f>
        <v>0.25</v>
      </c>
      <c r="R3620" s="0" t="n">
        <f aca="false">F3620*H3620</f>
        <v>0.5</v>
      </c>
      <c r="S3620" s="0" t="n">
        <f aca="false">G3620*H3620</f>
        <v>0.125</v>
      </c>
      <c r="T3620" s="0" t="n">
        <f aca="false">E3620*E3620</f>
        <v>0</v>
      </c>
      <c r="U3620" s="0" t="n">
        <f aca="false">F3620*F3620</f>
        <v>1</v>
      </c>
      <c r="V3620" s="0" t="n">
        <f aca="false">G3620*G3620</f>
        <v>0.0625</v>
      </c>
      <c r="W3620" s="0" t="n">
        <f aca="false">H3620*H3620</f>
        <v>0.25</v>
      </c>
      <c r="X3620" s="0" t="n">
        <f aca="false">SUMPRODUCT(I3620:W3620,_XtX!$B$96:$P$96)</f>
        <v>47.7380391081871</v>
      </c>
      <c r="Y3620" s="0" t="n">
        <f aca="false">SUMPRODUCT(MMULT(I3620:W3620,_XtX!$B$78:$P$92),I3620:W3620)</f>
        <v>0.457596628289474</v>
      </c>
      <c r="Z3620" s="0" t="n">
        <f aca="false">04_回帰ANOVA!$K$19*04_回帰ANOVA!$K$14*SQRT(1+Y3620)</f>
        <v>1.57368233664366</v>
      </c>
      <c r="AA3620" s="0" t="n">
        <f aca="false">X3620-Z3620</f>
        <v>46.1643567715434</v>
      </c>
      <c r="AB3620" s="0" t="n">
        <f aca="false">X3620+Z3620</f>
        <v>49.3117214448307</v>
      </c>
      <c r="AC3620" s="54" t="b">
        <f aca="false">AND(E3620&gt;=01_因子設定!$L$5-0.000000001,E3620&lt;=01_因子設定!$M$5+0.000000001,F3620&gt;=01_因子設定!$L$6-0.000000001,F3620&lt;=01_因子設定!$M$6+0.000000001,G3620&gt;=01_因子設定!$L$7-0.000000001,G3620&lt;=01_因子設定!$M$7+0.000000001,H3620&gt;=01_因子設定!$L$8-0.000000001,H3620&lt;=01_因子設定!$M$8+0.000000001,IF(01_因子設定!$B$20="Box-Behnken",E3620^2+F3620^2+G3620^2+H3620^2&lt;=2+0.000000001,TRUE()))</f>
        <v>1</v>
      </c>
      <c r="AD3620" s="55" t="n">
        <f aca="false">IF(AC3620,IF(01_因子設定!$B$13="最大化",AA3620-01_因子設定!$B$14,IF(01_因子設定!$B$13="最小化",01_因子設定!$B$15-AB3620,MIN(AA3620-01_因子設定!$B$14,01_因子設定!$B$15-AB3620))),-1E+030)</f>
        <v>-0.335643228456583</v>
      </c>
      <c r="AE3620" s="55" t="n">
        <f aca="false">IF(AC3620,IF(01_因子設定!$B$13="最大化",X3620,IF(01_因子設定!$B$13="最小化",-X3620,-ABS(X3620-01_因子設定!$B$16))),-1E+030)</f>
        <v>47.7380391081871</v>
      </c>
      <c r="AF3620" s="55" t="n">
        <f aca="false">AD3620+ROW()*0.000000001</f>
        <v>-0.335639608456583</v>
      </c>
      <c r="AG3620" s="55" t="n">
        <f aca="false">AE3620+ROW()*0.000000001</f>
        <v>47.7380427281871</v>
      </c>
    </row>
    <row r="3621" customFormat="false" ht="15" hidden="false" customHeight="false" outlineLevel="0" collapsed="false">
      <c r="A3621" s="0" t="n">
        <v>4</v>
      </c>
      <c r="B3621" s="0" t="n">
        <v>8</v>
      </c>
      <c r="C3621" s="0" t="n">
        <v>5</v>
      </c>
      <c r="D3621" s="0" t="n">
        <v>7</v>
      </c>
      <c r="E3621" s="0" t="n">
        <f aca="false">-1+A3621*0.25</f>
        <v>0</v>
      </c>
      <c r="F3621" s="0" t="n">
        <f aca="false">-1+B3621*0.25</f>
        <v>1</v>
      </c>
      <c r="G3621" s="0" t="n">
        <f aca="false">-1+C3621*0.25</f>
        <v>0.25</v>
      </c>
      <c r="H3621" s="0" t="n">
        <f aca="false">-1+D3621*0.25</f>
        <v>0.75</v>
      </c>
      <c r="I3621" s="0" t="n">
        <f aca="false">1</f>
        <v>1</v>
      </c>
      <c r="J3621" s="0" t="n">
        <f aca="false">E3621</f>
        <v>0</v>
      </c>
      <c r="K3621" s="0" t="n">
        <f aca="false">F3621</f>
        <v>1</v>
      </c>
      <c r="L3621" s="0" t="n">
        <f aca="false">G3621</f>
        <v>0.25</v>
      </c>
      <c r="M3621" s="0" t="n">
        <f aca="false">H3621</f>
        <v>0.75</v>
      </c>
      <c r="N3621" s="0" t="n">
        <f aca="false">E3621*F3621</f>
        <v>0</v>
      </c>
      <c r="O3621" s="0" t="n">
        <f aca="false">E3621*G3621</f>
        <v>0</v>
      </c>
      <c r="P3621" s="0" t="n">
        <f aca="false">E3621*H3621</f>
        <v>0</v>
      </c>
      <c r="Q3621" s="0" t="n">
        <f aca="false">F3621*G3621</f>
        <v>0.25</v>
      </c>
      <c r="R3621" s="0" t="n">
        <f aca="false">F3621*H3621</f>
        <v>0.75</v>
      </c>
      <c r="S3621" s="0" t="n">
        <f aca="false">G3621*H3621</f>
        <v>0.1875</v>
      </c>
      <c r="T3621" s="0" t="n">
        <f aca="false">E3621*E3621</f>
        <v>0</v>
      </c>
      <c r="U3621" s="0" t="n">
        <f aca="false">F3621*F3621</f>
        <v>1</v>
      </c>
      <c r="V3621" s="0" t="n">
        <f aca="false">G3621*G3621</f>
        <v>0.0625</v>
      </c>
      <c r="W3621" s="0" t="n">
        <f aca="false">H3621*H3621</f>
        <v>0.5625</v>
      </c>
      <c r="X3621" s="0" t="n">
        <f aca="false">SUMPRODUCT(I3621:W3621,_XtX!$B$96:$P$96)</f>
        <v>47.6847542032163</v>
      </c>
      <c r="Y3621" s="0" t="n">
        <f aca="false">SUMPRODUCT(MMULT(I3621:W3621,_XtX!$B$78:$P$92),I3621:W3621)</f>
        <v>0.501534802174708</v>
      </c>
      <c r="Z3621" s="0" t="n">
        <f aca="false">04_回帰ANOVA!$K$19*04_回帰ANOVA!$K$14*SQRT(1+Y3621)</f>
        <v>1.59722498091333</v>
      </c>
      <c r="AA3621" s="0" t="n">
        <f aca="false">X3621-Z3621</f>
        <v>46.087529222303</v>
      </c>
      <c r="AB3621" s="0" t="n">
        <f aca="false">X3621+Z3621</f>
        <v>49.2819791841297</v>
      </c>
      <c r="AC3621" s="54" t="b">
        <f aca="false">AND(E3621&gt;=01_因子設定!$L$5-0.000000001,E3621&lt;=01_因子設定!$M$5+0.000000001,F3621&gt;=01_因子設定!$L$6-0.000000001,F3621&lt;=01_因子設定!$M$6+0.000000001,G3621&gt;=01_因子設定!$L$7-0.000000001,G3621&lt;=01_因子設定!$M$7+0.000000001,H3621&gt;=01_因子設定!$L$8-0.000000001,H3621&lt;=01_因子設定!$M$8+0.000000001,IF(01_因子設定!$B$20="Box-Behnken",E3621^2+F3621^2+G3621^2+H3621^2&lt;=2+0.000000001,TRUE()))</f>
        <v>1</v>
      </c>
      <c r="AD3621" s="55" t="n">
        <f aca="false">IF(AC3621,IF(01_因子設定!$B$13="最大化",AA3621-01_因子設定!$B$14,IF(01_因子設定!$B$13="最小化",01_因子設定!$B$15-AB3621,MIN(AA3621-01_因子設定!$B$14,01_因子設定!$B$15-AB3621))),-1E+030)</f>
        <v>-0.412470777697003</v>
      </c>
      <c r="AE3621" s="55" t="n">
        <f aca="false">IF(AC3621,IF(01_因子設定!$B$13="最大化",X3621,IF(01_因子設定!$B$13="最小化",-X3621,-ABS(X3621-01_因子設定!$B$16))),-1E+030)</f>
        <v>47.6847542032163</v>
      </c>
      <c r="AF3621" s="55" t="n">
        <f aca="false">AD3621+ROW()*0.000000001</f>
        <v>-0.412467156697003</v>
      </c>
      <c r="AG3621" s="55" t="n">
        <f aca="false">AE3621+ROW()*0.000000001</f>
        <v>47.6847578242163</v>
      </c>
    </row>
    <row r="3622" customFormat="false" ht="15" hidden="false" customHeight="false" outlineLevel="0" collapsed="false">
      <c r="A3622" s="0" t="n">
        <v>4</v>
      </c>
      <c r="B3622" s="0" t="n">
        <v>8</v>
      </c>
      <c r="C3622" s="0" t="n">
        <v>5</v>
      </c>
      <c r="D3622" s="0" t="n">
        <v>8</v>
      </c>
      <c r="E3622" s="0" t="n">
        <f aca="false">-1+A3622*0.25</f>
        <v>0</v>
      </c>
      <c r="F3622" s="0" t="n">
        <f aca="false">-1+B3622*0.25</f>
        <v>1</v>
      </c>
      <c r="G3622" s="0" t="n">
        <f aca="false">-1+C3622*0.25</f>
        <v>0.25</v>
      </c>
      <c r="H3622" s="0" t="n">
        <f aca="false">-1+D3622*0.25</f>
        <v>1</v>
      </c>
      <c r="I3622" s="0" t="n">
        <f aca="false">1</f>
        <v>1</v>
      </c>
      <c r="J3622" s="0" t="n">
        <f aca="false">E3622</f>
        <v>0</v>
      </c>
      <c r="K3622" s="0" t="n">
        <f aca="false">F3622</f>
        <v>1</v>
      </c>
      <c r="L3622" s="0" t="n">
        <f aca="false">G3622</f>
        <v>0.25</v>
      </c>
      <c r="M3622" s="0" t="n">
        <f aca="false">H3622</f>
        <v>1</v>
      </c>
      <c r="N3622" s="0" t="n">
        <f aca="false">E3622*F3622</f>
        <v>0</v>
      </c>
      <c r="O3622" s="0" t="n">
        <f aca="false">E3622*G3622</f>
        <v>0</v>
      </c>
      <c r="P3622" s="0" t="n">
        <f aca="false">E3622*H3622</f>
        <v>0</v>
      </c>
      <c r="Q3622" s="0" t="n">
        <f aca="false">F3622*G3622</f>
        <v>0.25</v>
      </c>
      <c r="R3622" s="0" t="n">
        <f aca="false">F3622*H3622</f>
        <v>1</v>
      </c>
      <c r="S3622" s="0" t="n">
        <f aca="false">G3622*H3622</f>
        <v>0.25</v>
      </c>
      <c r="T3622" s="0" t="n">
        <f aca="false">E3622*E3622</f>
        <v>0</v>
      </c>
      <c r="U3622" s="0" t="n">
        <f aca="false">F3622*F3622</f>
        <v>1</v>
      </c>
      <c r="V3622" s="0" t="n">
        <f aca="false">G3622*G3622</f>
        <v>0.0625</v>
      </c>
      <c r="W3622" s="0" t="n">
        <f aca="false">H3622*H3622</f>
        <v>1</v>
      </c>
      <c r="X3622" s="0" t="n">
        <f aca="false">SUMPRODUCT(I3622:W3622,_XtX!$B$96:$P$96)</f>
        <v>47.5836622807017</v>
      </c>
      <c r="Y3622" s="0" t="n">
        <f aca="false">SUMPRODUCT(MMULT(I3622:W3622,_XtX!$B$78:$P$92),I3622:W3622)</f>
        <v>0.689692982456141</v>
      </c>
      <c r="Z3622" s="0" t="n">
        <f aca="false">04_回帰ANOVA!$K$19*04_回帰ANOVA!$K$14*SQRT(1+Y3622)</f>
        <v>1.69434674594998</v>
      </c>
      <c r="AA3622" s="0" t="n">
        <f aca="false">X3622-Z3622</f>
        <v>45.8893155347517</v>
      </c>
      <c r="AB3622" s="0" t="n">
        <f aca="false">X3622+Z3622</f>
        <v>49.2780090266517</v>
      </c>
      <c r="AC3622" s="54" t="b">
        <f aca="false">AND(E3622&gt;=01_因子設定!$L$5-0.000000001,E3622&lt;=01_因子設定!$M$5+0.000000001,F3622&gt;=01_因子設定!$L$6-0.000000001,F3622&lt;=01_因子設定!$M$6+0.000000001,G3622&gt;=01_因子設定!$L$7-0.000000001,G3622&lt;=01_因子設定!$M$7+0.000000001,H3622&gt;=01_因子設定!$L$8-0.000000001,H3622&lt;=01_因子設定!$M$8+0.000000001,IF(01_因子設定!$B$20="Box-Behnken",E3622^2+F3622^2+G3622^2+H3622^2&lt;=2+0.000000001,TRUE()))</f>
        <v>1</v>
      </c>
      <c r="AD3622" s="55" t="n">
        <f aca="false">IF(AC3622,IF(01_因子設定!$B$13="最大化",AA3622-01_因子設定!$B$14,IF(01_因子設定!$B$13="最小化",01_因子設定!$B$15-AB3622,MIN(AA3622-01_因子設定!$B$14,01_因子設定!$B$15-AB3622))),-1E+030)</f>
        <v>-0.610684465248262</v>
      </c>
      <c r="AE3622" s="55" t="n">
        <f aca="false">IF(AC3622,IF(01_因子設定!$B$13="最大化",X3622,IF(01_因子設定!$B$13="最小化",-X3622,-ABS(X3622-01_因子設定!$B$16))),-1E+030)</f>
        <v>47.5836622807017</v>
      </c>
      <c r="AF3622" s="55" t="n">
        <f aca="false">AD3622+ROW()*0.000000001</f>
        <v>-0.610680843248262</v>
      </c>
      <c r="AG3622" s="55" t="n">
        <f aca="false">AE3622+ROW()*0.000000001</f>
        <v>47.5836659027017</v>
      </c>
    </row>
    <row r="3623" customFormat="false" ht="15" hidden="false" customHeight="false" outlineLevel="0" collapsed="false">
      <c r="A3623" s="0" t="n">
        <v>4</v>
      </c>
      <c r="B3623" s="0" t="n">
        <v>8</v>
      </c>
      <c r="C3623" s="0" t="n">
        <v>6</v>
      </c>
      <c r="D3623" s="0" t="n">
        <v>0</v>
      </c>
      <c r="E3623" s="0" t="n">
        <f aca="false">-1+A3623*0.25</f>
        <v>0</v>
      </c>
      <c r="F3623" s="0" t="n">
        <f aca="false">-1+B3623*0.25</f>
        <v>1</v>
      </c>
      <c r="G3623" s="0" t="n">
        <f aca="false">-1+C3623*0.25</f>
        <v>0.5</v>
      </c>
      <c r="H3623" s="0" t="n">
        <f aca="false">-1+D3623*0.25</f>
        <v>-1</v>
      </c>
      <c r="I3623" s="0" t="n">
        <f aca="false">1</f>
        <v>1</v>
      </c>
      <c r="J3623" s="0" t="n">
        <f aca="false">E3623</f>
        <v>0</v>
      </c>
      <c r="K3623" s="0" t="n">
        <f aca="false">F3623</f>
        <v>1</v>
      </c>
      <c r="L3623" s="0" t="n">
        <f aca="false">G3623</f>
        <v>0.5</v>
      </c>
      <c r="M3623" s="0" t="n">
        <f aca="false">H3623</f>
        <v>-1</v>
      </c>
      <c r="N3623" s="0" t="n">
        <f aca="false">E3623*F3623</f>
        <v>0</v>
      </c>
      <c r="O3623" s="0" t="n">
        <f aca="false">E3623*G3623</f>
        <v>0</v>
      </c>
      <c r="P3623" s="0" t="n">
        <f aca="false">E3623*H3623</f>
        <v>-0</v>
      </c>
      <c r="Q3623" s="0" t="n">
        <f aca="false">F3623*G3623</f>
        <v>0.5</v>
      </c>
      <c r="R3623" s="0" t="n">
        <f aca="false">F3623*H3623</f>
        <v>-1</v>
      </c>
      <c r="S3623" s="0" t="n">
        <f aca="false">G3623*H3623</f>
        <v>-0.5</v>
      </c>
      <c r="T3623" s="0" t="n">
        <f aca="false">E3623*E3623</f>
        <v>0</v>
      </c>
      <c r="U3623" s="0" t="n">
        <f aca="false">F3623*F3623</f>
        <v>1</v>
      </c>
      <c r="V3623" s="0" t="n">
        <f aca="false">G3623*G3623</f>
        <v>0.25</v>
      </c>
      <c r="W3623" s="0" t="n">
        <f aca="false">H3623*H3623</f>
        <v>1</v>
      </c>
      <c r="X3623" s="0" t="n">
        <f aca="false">SUMPRODUCT(I3623:W3623,_XtX!$B$96:$P$96)</f>
        <v>47.1779239766082</v>
      </c>
      <c r="Y3623" s="0" t="n">
        <f aca="false">SUMPRODUCT(MMULT(I3623:W3623,_XtX!$B$78:$P$92),I3623:W3623)</f>
        <v>0.650767543859649</v>
      </c>
      <c r="Z3623" s="0" t="n">
        <f aca="false">04_回帰ANOVA!$K$19*04_回帰ANOVA!$K$14*SQRT(1+Y3623)</f>
        <v>1.67471670935165</v>
      </c>
      <c r="AA3623" s="0" t="n">
        <f aca="false">X3623-Z3623</f>
        <v>45.5032072672565</v>
      </c>
      <c r="AB3623" s="0" t="n">
        <f aca="false">X3623+Z3623</f>
        <v>48.8526406859598</v>
      </c>
      <c r="AC3623" s="54" t="b">
        <f aca="false">AND(E3623&gt;=01_因子設定!$L$5-0.000000001,E3623&lt;=01_因子設定!$M$5+0.000000001,F3623&gt;=01_因子設定!$L$6-0.000000001,F3623&lt;=01_因子設定!$M$6+0.000000001,G3623&gt;=01_因子設定!$L$7-0.000000001,G3623&lt;=01_因子設定!$M$7+0.000000001,H3623&gt;=01_因子設定!$L$8-0.000000001,H3623&lt;=01_因子設定!$M$8+0.000000001,IF(01_因子設定!$B$20="Box-Behnken",E3623^2+F3623^2+G3623^2+H3623^2&lt;=2+0.000000001,TRUE()))</f>
        <v>1</v>
      </c>
      <c r="AD3623" s="55" t="n">
        <f aca="false">IF(AC3623,IF(01_因子設定!$B$13="最大化",AA3623-01_因子設定!$B$14,IF(01_因子設定!$B$13="最小化",01_因子設定!$B$15-AB3623,MIN(AA3623-01_因子設定!$B$14,01_因子設定!$B$15-AB3623))),-1E+030)</f>
        <v>-0.996792732743487</v>
      </c>
      <c r="AE3623" s="55" t="n">
        <f aca="false">IF(AC3623,IF(01_因子設定!$B$13="最大化",X3623,IF(01_因子設定!$B$13="最小化",-X3623,-ABS(X3623-01_因子設定!$B$16))),-1E+030)</f>
        <v>47.1779239766082</v>
      </c>
      <c r="AF3623" s="55" t="n">
        <f aca="false">AD3623+ROW()*0.000000001</f>
        <v>-0.996789109743486</v>
      </c>
      <c r="AG3623" s="55" t="n">
        <f aca="false">AE3623+ROW()*0.000000001</f>
        <v>47.1779275996082</v>
      </c>
    </row>
    <row r="3624" customFormat="false" ht="15" hidden="false" customHeight="false" outlineLevel="0" collapsed="false">
      <c r="A3624" s="0" t="n">
        <v>4</v>
      </c>
      <c r="B3624" s="0" t="n">
        <v>8</v>
      </c>
      <c r="C3624" s="0" t="n">
        <v>6</v>
      </c>
      <c r="D3624" s="0" t="n">
        <v>1</v>
      </c>
      <c r="E3624" s="0" t="n">
        <f aca="false">-1+A3624*0.25</f>
        <v>0</v>
      </c>
      <c r="F3624" s="0" t="n">
        <f aca="false">-1+B3624*0.25</f>
        <v>1</v>
      </c>
      <c r="G3624" s="0" t="n">
        <f aca="false">-1+C3624*0.25</f>
        <v>0.5</v>
      </c>
      <c r="H3624" s="0" t="n">
        <f aca="false">-1+D3624*0.25</f>
        <v>-0.75</v>
      </c>
      <c r="I3624" s="0" t="n">
        <f aca="false">1</f>
        <v>1</v>
      </c>
      <c r="J3624" s="0" t="n">
        <f aca="false">E3624</f>
        <v>0</v>
      </c>
      <c r="K3624" s="0" t="n">
        <f aca="false">F3624</f>
        <v>1</v>
      </c>
      <c r="L3624" s="0" t="n">
        <f aca="false">G3624</f>
        <v>0.5</v>
      </c>
      <c r="M3624" s="0" t="n">
        <f aca="false">H3624</f>
        <v>-0.75</v>
      </c>
      <c r="N3624" s="0" t="n">
        <f aca="false">E3624*F3624</f>
        <v>0</v>
      </c>
      <c r="O3624" s="0" t="n">
        <f aca="false">E3624*G3624</f>
        <v>0</v>
      </c>
      <c r="P3624" s="0" t="n">
        <f aca="false">E3624*H3624</f>
        <v>-0</v>
      </c>
      <c r="Q3624" s="0" t="n">
        <f aca="false">F3624*G3624</f>
        <v>0.5</v>
      </c>
      <c r="R3624" s="0" t="n">
        <f aca="false">F3624*H3624</f>
        <v>-0.75</v>
      </c>
      <c r="S3624" s="0" t="n">
        <f aca="false">G3624*H3624</f>
        <v>-0.375</v>
      </c>
      <c r="T3624" s="0" t="n">
        <f aca="false">E3624*E3624</f>
        <v>0</v>
      </c>
      <c r="U3624" s="0" t="n">
        <f aca="false">F3624*F3624</f>
        <v>1</v>
      </c>
      <c r="V3624" s="0" t="n">
        <f aca="false">G3624*G3624</f>
        <v>0.25</v>
      </c>
      <c r="W3624" s="0" t="n">
        <f aca="false">H3624*H3624</f>
        <v>0.5625</v>
      </c>
      <c r="X3624" s="0" t="n">
        <f aca="false">SUMPRODUCT(I3624:W3624,_XtX!$B$96:$P$96)</f>
        <v>47.4294499269005</v>
      </c>
      <c r="Y3624" s="0" t="n">
        <f aca="false">SUMPRODUCT(MMULT(I3624:W3624,_XtX!$B$78:$P$92),I3624:W3624)</f>
        <v>0.476191292032164</v>
      </c>
      <c r="Z3624" s="0" t="n">
        <f aca="false">04_回帰ANOVA!$K$19*04_回帰ANOVA!$K$14*SQRT(1+Y3624)</f>
        <v>1.58368831471718</v>
      </c>
      <c r="AA3624" s="0" t="n">
        <f aca="false">X3624-Z3624</f>
        <v>45.8457616121834</v>
      </c>
      <c r="AB3624" s="0" t="n">
        <f aca="false">X3624+Z3624</f>
        <v>49.0131382416177</v>
      </c>
      <c r="AC3624" s="54" t="b">
        <f aca="false">AND(E3624&gt;=01_因子設定!$L$5-0.000000001,E3624&lt;=01_因子設定!$M$5+0.000000001,F3624&gt;=01_因子設定!$L$6-0.000000001,F3624&lt;=01_因子設定!$M$6+0.000000001,G3624&gt;=01_因子設定!$L$7-0.000000001,G3624&lt;=01_因子設定!$M$7+0.000000001,H3624&gt;=01_因子設定!$L$8-0.000000001,H3624&lt;=01_因子設定!$M$8+0.000000001,IF(01_因子設定!$B$20="Box-Behnken",E3624^2+F3624^2+G3624^2+H3624^2&lt;=2+0.000000001,TRUE()))</f>
        <v>1</v>
      </c>
      <c r="AD3624" s="55" t="n">
        <f aca="false">IF(AC3624,IF(01_因子設定!$B$13="最大化",AA3624-01_因子設定!$B$14,IF(01_因子設定!$B$13="最小化",01_因子設定!$B$15-AB3624,MIN(AA3624-01_因子設定!$B$14,01_因子設定!$B$15-AB3624))),-1E+030)</f>
        <v>-0.654238387816641</v>
      </c>
      <c r="AE3624" s="55" t="n">
        <f aca="false">IF(AC3624,IF(01_因子設定!$B$13="最大化",X3624,IF(01_因子設定!$B$13="最小化",-X3624,-ABS(X3624-01_因子設定!$B$16))),-1E+030)</f>
        <v>47.4294499269005</v>
      </c>
      <c r="AF3624" s="55" t="n">
        <f aca="false">AD3624+ROW()*0.000000001</f>
        <v>-0.654234763816641</v>
      </c>
      <c r="AG3624" s="55" t="n">
        <f aca="false">AE3624+ROW()*0.000000001</f>
        <v>47.4294535509005</v>
      </c>
    </row>
    <row r="3625" customFormat="false" ht="15" hidden="false" customHeight="false" outlineLevel="0" collapsed="false">
      <c r="A3625" s="0" t="n">
        <v>4</v>
      </c>
      <c r="B3625" s="0" t="n">
        <v>8</v>
      </c>
      <c r="C3625" s="0" t="n">
        <v>6</v>
      </c>
      <c r="D3625" s="0" t="n">
        <v>2</v>
      </c>
      <c r="E3625" s="0" t="n">
        <f aca="false">-1+A3625*0.25</f>
        <v>0</v>
      </c>
      <c r="F3625" s="0" t="n">
        <f aca="false">-1+B3625*0.25</f>
        <v>1</v>
      </c>
      <c r="G3625" s="0" t="n">
        <f aca="false">-1+C3625*0.25</f>
        <v>0.5</v>
      </c>
      <c r="H3625" s="0" t="n">
        <f aca="false">-1+D3625*0.25</f>
        <v>-0.5</v>
      </c>
      <c r="I3625" s="0" t="n">
        <f aca="false">1</f>
        <v>1</v>
      </c>
      <c r="J3625" s="0" t="n">
        <f aca="false">E3625</f>
        <v>0</v>
      </c>
      <c r="K3625" s="0" t="n">
        <f aca="false">F3625</f>
        <v>1</v>
      </c>
      <c r="L3625" s="0" t="n">
        <f aca="false">G3625</f>
        <v>0.5</v>
      </c>
      <c r="M3625" s="0" t="n">
        <f aca="false">H3625</f>
        <v>-0.5</v>
      </c>
      <c r="N3625" s="0" t="n">
        <f aca="false">E3625*F3625</f>
        <v>0</v>
      </c>
      <c r="O3625" s="0" t="n">
        <f aca="false">E3625*G3625</f>
        <v>0</v>
      </c>
      <c r="P3625" s="0" t="n">
        <f aca="false">E3625*H3625</f>
        <v>-0</v>
      </c>
      <c r="Q3625" s="0" t="n">
        <f aca="false">F3625*G3625</f>
        <v>0.5</v>
      </c>
      <c r="R3625" s="0" t="n">
        <f aca="false">F3625*H3625</f>
        <v>-0.5</v>
      </c>
      <c r="S3625" s="0" t="n">
        <f aca="false">G3625*H3625</f>
        <v>-0.25</v>
      </c>
      <c r="T3625" s="0" t="n">
        <f aca="false">E3625*E3625</f>
        <v>0</v>
      </c>
      <c r="U3625" s="0" t="n">
        <f aca="false">F3625*F3625</f>
        <v>1</v>
      </c>
      <c r="V3625" s="0" t="n">
        <f aca="false">G3625*G3625</f>
        <v>0.25</v>
      </c>
      <c r="W3625" s="0" t="n">
        <f aca="false">H3625*H3625</f>
        <v>0.25</v>
      </c>
      <c r="X3625" s="0" t="n">
        <f aca="false">SUMPRODUCT(I3625:W3625,_XtX!$B$96:$P$96)</f>
        <v>47.6331688596491</v>
      </c>
      <c r="Y3625" s="0" t="n">
        <f aca="false">SUMPRODUCT(MMULT(I3625:W3625,_XtX!$B$78:$P$92),I3625:W3625)</f>
        <v>0.441954495614035</v>
      </c>
      <c r="Z3625" s="0" t="n">
        <f aca="false">04_回帰ANOVA!$K$19*04_回帰ANOVA!$K$14*SQRT(1+Y3625)</f>
        <v>1.56521560968066</v>
      </c>
      <c r="AA3625" s="0" t="n">
        <f aca="false">X3625-Z3625</f>
        <v>46.0679532499684</v>
      </c>
      <c r="AB3625" s="0" t="n">
        <f aca="false">X3625+Z3625</f>
        <v>49.1983844693297</v>
      </c>
      <c r="AC3625" s="54" t="b">
        <f aca="false">AND(E3625&gt;=01_因子設定!$L$5-0.000000001,E3625&lt;=01_因子設定!$M$5+0.000000001,F3625&gt;=01_因子設定!$L$6-0.000000001,F3625&lt;=01_因子設定!$M$6+0.000000001,G3625&gt;=01_因子設定!$L$7-0.000000001,G3625&lt;=01_因子設定!$M$7+0.000000001,H3625&gt;=01_因子設定!$L$8-0.000000001,H3625&lt;=01_因子設定!$M$8+0.000000001,IF(01_因子設定!$B$20="Box-Behnken",E3625^2+F3625^2+G3625^2+H3625^2&lt;=2+0.000000001,TRUE()))</f>
        <v>1</v>
      </c>
      <c r="AD3625" s="55" t="n">
        <f aca="false">IF(AC3625,IF(01_因子設定!$B$13="最大化",AA3625-01_因子設定!$B$14,IF(01_因子設定!$B$13="最小化",01_因子設定!$B$15-AB3625,MIN(AA3625-01_因子設定!$B$14,01_因子設定!$B$15-AB3625))),-1E+030)</f>
        <v>-0.432046750031596</v>
      </c>
      <c r="AE3625" s="55" t="n">
        <f aca="false">IF(AC3625,IF(01_因子設定!$B$13="最大化",X3625,IF(01_因子設定!$B$13="最小化",-X3625,-ABS(X3625-01_因子設定!$B$16))),-1E+030)</f>
        <v>47.6331688596491</v>
      </c>
      <c r="AF3625" s="55" t="n">
        <f aca="false">AD3625+ROW()*0.000000001</f>
        <v>-0.432043125031596</v>
      </c>
      <c r="AG3625" s="55" t="n">
        <f aca="false">AE3625+ROW()*0.000000001</f>
        <v>47.6331724846491</v>
      </c>
    </row>
    <row r="3626" customFormat="false" ht="15" hidden="false" customHeight="false" outlineLevel="0" collapsed="false">
      <c r="A3626" s="0" t="n">
        <v>4</v>
      </c>
      <c r="B3626" s="0" t="n">
        <v>8</v>
      </c>
      <c r="C3626" s="0" t="n">
        <v>6</v>
      </c>
      <c r="D3626" s="0" t="n">
        <v>3</v>
      </c>
      <c r="E3626" s="0" t="n">
        <f aca="false">-1+A3626*0.25</f>
        <v>0</v>
      </c>
      <c r="F3626" s="0" t="n">
        <f aca="false">-1+B3626*0.25</f>
        <v>1</v>
      </c>
      <c r="G3626" s="0" t="n">
        <f aca="false">-1+C3626*0.25</f>
        <v>0.5</v>
      </c>
      <c r="H3626" s="0" t="n">
        <f aca="false">-1+D3626*0.25</f>
        <v>-0.25</v>
      </c>
      <c r="I3626" s="0" t="n">
        <f aca="false">1</f>
        <v>1</v>
      </c>
      <c r="J3626" s="0" t="n">
        <f aca="false">E3626</f>
        <v>0</v>
      </c>
      <c r="K3626" s="0" t="n">
        <f aca="false">F3626</f>
        <v>1</v>
      </c>
      <c r="L3626" s="0" t="n">
        <f aca="false">G3626</f>
        <v>0.5</v>
      </c>
      <c r="M3626" s="0" t="n">
        <f aca="false">H3626</f>
        <v>-0.25</v>
      </c>
      <c r="N3626" s="0" t="n">
        <f aca="false">E3626*F3626</f>
        <v>0</v>
      </c>
      <c r="O3626" s="0" t="n">
        <f aca="false">E3626*G3626</f>
        <v>0</v>
      </c>
      <c r="P3626" s="0" t="n">
        <f aca="false">E3626*H3626</f>
        <v>-0</v>
      </c>
      <c r="Q3626" s="0" t="n">
        <f aca="false">F3626*G3626</f>
        <v>0.5</v>
      </c>
      <c r="R3626" s="0" t="n">
        <f aca="false">F3626*H3626</f>
        <v>-0.25</v>
      </c>
      <c r="S3626" s="0" t="n">
        <f aca="false">G3626*H3626</f>
        <v>-0.125</v>
      </c>
      <c r="T3626" s="0" t="n">
        <f aca="false">E3626*E3626</f>
        <v>0</v>
      </c>
      <c r="U3626" s="0" t="n">
        <f aca="false">F3626*F3626</f>
        <v>1</v>
      </c>
      <c r="V3626" s="0" t="n">
        <f aca="false">G3626*G3626</f>
        <v>0.25</v>
      </c>
      <c r="W3626" s="0" t="n">
        <f aca="false">H3626*H3626</f>
        <v>0.0625</v>
      </c>
      <c r="X3626" s="0" t="n">
        <f aca="false">SUMPRODUCT(I3626:W3626,_XtX!$B$96:$P$96)</f>
        <v>47.7890807748537</v>
      </c>
      <c r="Y3626" s="0" t="n">
        <f aca="false">SUMPRODUCT(MMULT(I3626:W3626,_XtX!$B$78:$P$92),I3626:W3626)</f>
        <v>0.457596628289474</v>
      </c>
      <c r="Z3626" s="0" t="n">
        <f aca="false">04_回帰ANOVA!$K$19*04_回帰ANOVA!$K$14*SQRT(1+Y3626)</f>
        <v>1.57368233664366</v>
      </c>
      <c r="AA3626" s="0" t="n">
        <f aca="false">X3626-Z3626</f>
        <v>46.2153984382101</v>
      </c>
      <c r="AB3626" s="0" t="n">
        <f aca="false">X3626+Z3626</f>
        <v>49.3627631114974</v>
      </c>
      <c r="AC3626" s="54" t="b">
        <f aca="false">AND(E3626&gt;=01_因子設定!$L$5-0.000000001,E3626&lt;=01_因子設定!$M$5+0.000000001,F3626&gt;=01_因子設定!$L$6-0.000000001,F3626&lt;=01_因子設定!$M$6+0.000000001,G3626&gt;=01_因子設定!$L$7-0.000000001,G3626&lt;=01_因子設定!$M$7+0.000000001,H3626&gt;=01_因子設定!$L$8-0.000000001,H3626&lt;=01_因子設定!$M$8+0.000000001,IF(01_因子設定!$B$20="Box-Behnken",E3626^2+F3626^2+G3626^2+H3626^2&lt;=2+0.000000001,TRUE()))</f>
        <v>1</v>
      </c>
      <c r="AD3626" s="55" t="n">
        <f aca="false">IF(AC3626,IF(01_因子設定!$B$13="最大化",AA3626-01_因子設定!$B$14,IF(01_因子設定!$B$13="最小化",01_因子設定!$B$15-AB3626,MIN(AA3626-01_因子設定!$B$14,01_因子設定!$B$15-AB3626))),-1E+030)</f>
        <v>-0.28460156178992</v>
      </c>
      <c r="AE3626" s="55" t="n">
        <f aca="false">IF(AC3626,IF(01_因子設定!$B$13="最大化",X3626,IF(01_因子設定!$B$13="最小化",-X3626,-ABS(X3626-01_因子設定!$B$16))),-1E+030)</f>
        <v>47.7890807748537</v>
      </c>
      <c r="AF3626" s="55" t="n">
        <f aca="false">AD3626+ROW()*0.000000001</f>
        <v>-0.28459793578992</v>
      </c>
      <c r="AG3626" s="55" t="n">
        <f aca="false">AE3626+ROW()*0.000000001</f>
        <v>47.7890844008537</v>
      </c>
    </row>
    <row r="3627" customFormat="false" ht="15" hidden="false" customHeight="false" outlineLevel="0" collapsed="false">
      <c r="A3627" s="0" t="n">
        <v>4</v>
      </c>
      <c r="B3627" s="0" t="n">
        <v>8</v>
      </c>
      <c r="C3627" s="0" t="n">
        <v>6</v>
      </c>
      <c r="D3627" s="0" t="n">
        <v>4</v>
      </c>
      <c r="E3627" s="0" t="n">
        <f aca="false">-1+A3627*0.25</f>
        <v>0</v>
      </c>
      <c r="F3627" s="0" t="n">
        <f aca="false">-1+B3627*0.25</f>
        <v>1</v>
      </c>
      <c r="G3627" s="0" t="n">
        <f aca="false">-1+C3627*0.25</f>
        <v>0.5</v>
      </c>
      <c r="H3627" s="0" t="n">
        <f aca="false">-1+D3627*0.25</f>
        <v>0</v>
      </c>
      <c r="I3627" s="0" t="n">
        <f aca="false">1</f>
        <v>1</v>
      </c>
      <c r="J3627" s="0" t="n">
        <f aca="false">E3627</f>
        <v>0</v>
      </c>
      <c r="K3627" s="0" t="n">
        <f aca="false">F3627</f>
        <v>1</v>
      </c>
      <c r="L3627" s="0" t="n">
        <f aca="false">G3627</f>
        <v>0.5</v>
      </c>
      <c r="M3627" s="0" t="n">
        <f aca="false">H3627</f>
        <v>0</v>
      </c>
      <c r="N3627" s="0" t="n">
        <f aca="false">E3627*F3627</f>
        <v>0</v>
      </c>
      <c r="O3627" s="0" t="n">
        <f aca="false">E3627*G3627</f>
        <v>0</v>
      </c>
      <c r="P3627" s="0" t="n">
        <f aca="false">E3627*H3627</f>
        <v>0</v>
      </c>
      <c r="Q3627" s="0" t="n">
        <f aca="false">F3627*G3627</f>
        <v>0.5</v>
      </c>
      <c r="R3627" s="0" t="n">
        <f aca="false">F3627*H3627</f>
        <v>0</v>
      </c>
      <c r="S3627" s="0" t="n">
        <f aca="false">G3627*H3627</f>
        <v>0</v>
      </c>
      <c r="T3627" s="0" t="n">
        <f aca="false">E3627*E3627</f>
        <v>0</v>
      </c>
      <c r="U3627" s="0" t="n">
        <f aca="false">F3627*F3627</f>
        <v>1</v>
      </c>
      <c r="V3627" s="0" t="n">
        <f aca="false">G3627*G3627</f>
        <v>0.25</v>
      </c>
      <c r="W3627" s="0" t="n">
        <f aca="false">H3627*H3627</f>
        <v>0</v>
      </c>
      <c r="X3627" s="0" t="n">
        <f aca="false">SUMPRODUCT(I3627:W3627,_XtX!$B$96:$P$96)</f>
        <v>47.8971856725146</v>
      </c>
      <c r="Y3627" s="0" t="n">
        <f aca="false">SUMPRODUCT(MMULT(I3627:W3627,_XtX!$B$78:$P$92),I3627:W3627)</f>
        <v>0.468841374269006</v>
      </c>
      <c r="Z3627" s="0" t="n">
        <f aca="false">04_回帰ANOVA!$K$19*04_回帰ANOVA!$K$14*SQRT(1+Y3627)</f>
        <v>1.57974082366087</v>
      </c>
      <c r="AA3627" s="0" t="n">
        <f aca="false">X3627-Z3627</f>
        <v>46.3174448488537</v>
      </c>
      <c r="AB3627" s="0" t="n">
        <f aca="false">X3627+Z3627</f>
        <v>49.4769264961754</v>
      </c>
      <c r="AC3627" s="54" t="b">
        <f aca="false">AND(E3627&gt;=01_因子設定!$L$5-0.000000001,E3627&lt;=01_因子設定!$M$5+0.000000001,F3627&gt;=01_因子設定!$L$6-0.000000001,F3627&lt;=01_因子設定!$M$6+0.000000001,G3627&gt;=01_因子設定!$L$7-0.000000001,G3627&lt;=01_因子設定!$M$7+0.000000001,H3627&gt;=01_因子設定!$L$8-0.000000001,H3627&lt;=01_因子設定!$M$8+0.000000001,IF(01_因子設定!$B$20="Box-Behnken",E3627^2+F3627^2+G3627^2+H3627^2&lt;=2+0.000000001,TRUE()))</f>
        <v>1</v>
      </c>
      <c r="AD3627" s="55" t="n">
        <f aca="false">IF(AC3627,IF(01_因子設定!$B$13="最大化",AA3627-01_因子設定!$B$14,IF(01_因子設定!$B$13="最小化",01_因子設定!$B$15-AB3627,MIN(AA3627-01_因子設定!$B$14,01_因子設定!$B$15-AB3627))),-1E+030)</f>
        <v>-0.182555151146325</v>
      </c>
      <c r="AE3627" s="55" t="n">
        <f aca="false">IF(AC3627,IF(01_因子設定!$B$13="最大化",X3627,IF(01_因子設定!$B$13="最小化",-X3627,-ABS(X3627-01_因子設定!$B$16))),-1E+030)</f>
        <v>47.8971856725146</v>
      </c>
      <c r="AF3627" s="55" t="n">
        <f aca="false">AD3627+ROW()*0.000000001</f>
        <v>-0.182551524146325</v>
      </c>
      <c r="AG3627" s="55" t="n">
        <f aca="false">AE3627+ROW()*0.000000001</f>
        <v>47.8971892995146</v>
      </c>
    </row>
    <row r="3628" customFormat="false" ht="15" hidden="false" customHeight="false" outlineLevel="0" collapsed="false">
      <c r="A3628" s="0" t="n">
        <v>4</v>
      </c>
      <c r="B3628" s="0" t="n">
        <v>8</v>
      </c>
      <c r="C3628" s="0" t="n">
        <v>6</v>
      </c>
      <c r="D3628" s="0" t="n">
        <v>5</v>
      </c>
      <c r="E3628" s="0" t="n">
        <f aca="false">-1+A3628*0.25</f>
        <v>0</v>
      </c>
      <c r="F3628" s="0" t="n">
        <f aca="false">-1+B3628*0.25</f>
        <v>1</v>
      </c>
      <c r="G3628" s="0" t="n">
        <f aca="false">-1+C3628*0.25</f>
        <v>0.5</v>
      </c>
      <c r="H3628" s="0" t="n">
        <f aca="false">-1+D3628*0.25</f>
        <v>0.25</v>
      </c>
      <c r="I3628" s="0" t="n">
        <f aca="false">1</f>
        <v>1</v>
      </c>
      <c r="J3628" s="0" t="n">
        <f aca="false">E3628</f>
        <v>0</v>
      </c>
      <c r="K3628" s="0" t="n">
        <f aca="false">F3628</f>
        <v>1</v>
      </c>
      <c r="L3628" s="0" t="n">
        <f aca="false">G3628</f>
        <v>0.5</v>
      </c>
      <c r="M3628" s="0" t="n">
        <f aca="false">H3628</f>
        <v>0.25</v>
      </c>
      <c r="N3628" s="0" t="n">
        <f aca="false">E3628*F3628</f>
        <v>0</v>
      </c>
      <c r="O3628" s="0" t="n">
        <f aca="false">E3628*G3628</f>
        <v>0</v>
      </c>
      <c r="P3628" s="0" t="n">
        <f aca="false">E3628*H3628</f>
        <v>0</v>
      </c>
      <c r="Q3628" s="0" t="n">
        <f aca="false">F3628*G3628</f>
        <v>0.5</v>
      </c>
      <c r="R3628" s="0" t="n">
        <f aca="false">F3628*H3628</f>
        <v>0.25</v>
      </c>
      <c r="S3628" s="0" t="n">
        <f aca="false">G3628*H3628</f>
        <v>0.125</v>
      </c>
      <c r="T3628" s="0" t="n">
        <f aca="false">E3628*E3628</f>
        <v>0</v>
      </c>
      <c r="U3628" s="0" t="n">
        <f aca="false">F3628*F3628</f>
        <v>1</v>
      </c>
      <c r="V3628" s="0" t="n">
        <f aca="false">G3628*G3628</f>
        <v>0.25</v>
      </c>
      <c r="W3628" s="0" t="n">
        <f aca="false">H3628*H3628</f>
        <v>0.0625</v>
      </c>
      <c r="X3628" s="0" t="n">
        <f aca="false">SUMPRODUCT(I3628:W3628,_XtX!$B$96:$P$96)</f>
        <v>47.9574835526315</v>
      </c>
      <c r="Y3628" s="0" t="n">
        <f aca="false">SUMPRODUCT(MMULT(I3628:W3628,_XtX!$B$78:$P$92),I3628:W3628)</f>
        <v>0.457596628289474</v>
      </c>
      <c r="Z3628" s="0" t="n">
        <f aca="false">04_回帰ANOVA!$K$19*04_回帰ANOVA!$K$14*SQRT(1+Y3628)</f>
        <v>1.57368233664366</v>
      </c>
      <c r="AA3628" s="0" t="n">
        <f aca="false">X3628-Z3628</f>
        <v>46.3838012159879</v>
      </c>
      <c r="AB3628" s="0" t="n">
        <f aca="false">X3628+Z3628</f>
        <v>49.5311658892752</v>
      </c>
      <c r="AC3628" s="54" t="b">
        <f aca="false">AND(E3628&gt;=01_因子設定!$L$5-0.000000001,E3628&lt;=01_因子設定!$M$5+0.000000001,F3628&gt;=01_因子設定!$L$6-0.000000001,F3628&lt;=01_因子設定!$M$6+0.000000001,G3628&gt;=01_因子設定!$L$7-0.000000001,G3628&lt;=01_因子設定!$M$7+0.000000001,H3628&gt;=01_因子設定!$L$8-0.000000001,H3628&lt;=01_因子設定!$M$8+0.000000001,IF(01_因子設定!$B$20="Box-Behnken",E3628^2+F3628^2+G3628^2+H3628^2&lt;=2+0.000000001,TRUE()))</f>
        <v>1</v>
      </c>
      <c r="AD3628" s="55" t="n">
        <f aca="false">IF(AC3628,IF(01_因子設定!$B$13="最大化",AA3628-01_因子設定!$B$14,IF(01_因子設定!$B$13="最小化",01_因子設定!$B$15-AB3628,MIN(AA3628-01_因子設定!$B$14,01_因子設定!$B$15-AB3628))),-1E+030)</f>
        <v>-0.116198784012141</v>
      </c>
      <c r="AE3628" s="55" t="n">
        <f aca="false">IF(AC3628,IF(01_因子設定!$B$13="最大化",X3628,IF(01_因子設定!$B$13="最小化",-X3628,-ABS(X3628-01_因子設定!$B$16))),-1E+030)</f>
        <v>47.9574835526315</v>
      </c>
      <c r="AF3628" s="55" t="n">
        <f aca="false">AD3628+ROW()*0.000000001</f>
        <v>-0.116195156012141</v>
      </c>
      <c r="AG3628" s="55" t="n">
        <f aca="false">AE3628+ROW()*0.000000001</f>
        <v>47.9574871806315</v>
      </c>
    </row>
    <row r="3629" customFormat="false" ht="15" hidden="false" customHeight="false" outlineLevel="0" collapsed="false">
      <c r="A3629" s="0" t="n">
        <v>4</v>
      </c>
      <c r="B3629" s="0" t="n">
        <v>8</v>
      </c>
      <c r="C3629" s="0" t="n">
        <v>6</v>
      </c>
      <c r="D3629" s="0" t="n">
        <v>6</v>
      </c>
      <c r="E3629" s="0" t="n">
        <f aca="false">-1+A3629*0.25</f>
        <v>0</v>
      </c>
      <c r="F3629" s="0" t="n">
        <f aca="false">-1+B3629*0.25</f>
        <v>1</v>
      </c>
      <c r="G3629" s="0" t="n">
        <f aca="false">-1+C3629*0.25</f>
        <v>0.5</v>
      </c>
      <c r="H3629" s="0" t="n">
        <f aca="false">-1+D3629*0.25</f>
        <v>0.5</v>
      </c>
      <c r="I3629" s="0" t="n">
        <f aca="false">1</f>
        <v>1</v>
      </c>
      <c r="J3629" s="0" t="n">
        <f aca="false">E3629</f>
        <v>0</v>
      </c>
      <c r="K3629" s="0" t="n">
        <f aca="false">F3629</f>
        <v>1</v>
      </c>
      <c r="L3629" s="0" t="n">
        <f aca="false">G3629</f>
        <v>0.5</v>
      </c>
      <c r="M3629" s="0" t="n">
        <f aca="false">H3629</f>
        <v>0.5</v>
      </c>
      <c r="N3629" s="0" t="n">
        <f aca="false">E3629*F3629</f>
        <v>0</v>
      </c>
      <c r="O3629" s="0" t="n">
        <f aca="false">E3629*G3629</f>
        <v>0</v>
      </c>
      <c r="P3629" s="0" t="n">
        <f aca="false">E3629*H3629</f>
        <v>0</v>
      </c>
      <c r="Q3629" s="0" t="n">
        <f aca="false">F3629*G3629</f>
        <v>0.5</v>
      </c>
      <c r="R3629" s="0" t="n">
        <f aca="false">F3629*H3629</f>
        <v>0.5</v>
      </c>
      <c r="S3629" s="0" t="n">
        <f aca="false">G3629*H3629</f>
        <v>0.25</v>
      </c>
      <c r="T3629" s="0" t="n">
        <f aca="false">E3629*E3629</f>
        <v>0</v>
      </c>
      <c r="U3629" s="0" t="n">
        <f aca="false">F3629*F3629</f>
        <v>1</v>
      </c>
      <c r="V3629" s="0" t="n">
        <f aca="false">G3629*G3629</f>
        <v>0.25</v>
      </c>
      <c r="W3629" s="0" t="n">
        <f aca="false">H3629*H3629</f>
        <v>0.25</v>
      </c>
      <c r="X3629" s="0" t="n">
        <f aca="false">SUMPRODUCT(I3629:W3629,_XtX!$B$96:$P$96)</f>
        <v>47.9699744152046</v>
      </c>
      <c r="Y3629" s="0" t="n">
        <f aca="false">SUMPRODUCT(MMULT(I3629:W3629,_XtX!$B$78:$P$92),I3629:W3629)</f>
        <v>0.441954495614035</v>
      </c>
      <c r="Z3629" s="0" t="n">
        <f aca="false">04_回帰ANOVA!$K$19*04_回帰ANOVA!$K$14*SQRT(1+Y3629)</f>
        <v>1.56521560968066</v>
      </c>
      <c r="AA3629" s="0" t="n">
        <f aca="false">X3629-Z3629</f>
        <v>46.404758805524</v>
      </c>
      <c r="AB3629" s="0" t="n">
        <f aca="false">X3629+Z3629</f>
        <v>49.5351900248853</v>
      </c>
      <c r="AC3629" s="54" t="b">
        <f aca="false">AND(E3629&gt;=01_因子設定!$L$5-0.000000001,E3629&lt;=01_因子設定!$M$5+0.000000001,F3629&gt;=01_因子設定!$L$6-0.000000001,F3629&lt;=01_因子設定!$M$6+0.000000001,G3629&gt;=01_因子設定!$L$7-0.000000001,G3629&lt;=01_因子設定!$M$7+0.000000001,H3629&gt;=01_因子設定!$L$8-0.000000001,H3629&lt;=01_因子設定!$M$8+0.000000001,IF(01_因子設定!$B$20="Box-Behnken",E3629^2+F3629^2+G3629^2+H3629^2&lt;=2+0.000000001,TRUE()))</f>
        <v>1</v>
      </c>
      <c r="AD3629" s="55" t="n">
        <f aca="false">IF(AC3629,IF(01_因子設定!$B$13="最大化",AA3629-01_因子設定!$B$14,IF(01_因子設定!$B$13="最小化",01_因子設定!$B$15-AB3629,MIN(AA3629-01_因子設定!$B$14,01_因子設定!$B$15-AB3629))),-1E+030)</f>
        <v>-0.0952411944760456</v>
      </c>
      <c r="AE3629" s="55" t="n">
        <f aca="false">IF(AC3629,IF(01_因子設定!$B$13="最大化",X3629,IF(01_因子設定!$B$13="最小化",-X3629,-ABS(X3629-01_因子設定!$B$16))),-1E+030)</f>
        <v>47.9699744152046</v>
      </c>
      <c r="AF3629" s="55" t="n">
        <f aca="false">AD3629+ROW()*0.000000001</f>
        <v>-0.0952375654760456</v>
      </c>
      <c r="AG3629" s="55" t="n">
        <f aca="false">AE3629+ROW()*0.000000001</f>
        <v>47.9699780442046</v>
      </c>
    </row>
    <row r="3630" customFormat="false" ht="15" hidden="false" customHeight="false" outlineLevel="0" collapsed="false">
      <c r="A3630" s="0" t="n">
        <v>4</v>
      </c>
      <c r="B3630" s="0" t="n">
        <v>8</v>
      </c>
      <c r="C3630" s="0" t="n">
        <v>6</v>
      </c>
      <c r="D3630" s="0" t="n">
        <v>7</v>
      </c>
      <c r="E3630" s="0" t="n">
        <f aca="false">-1+A3630*0.25</f>
        <v>0</v>
      </c>
      <c r="F3630" s="0" t="n">
        <f aca="false">-1+B3630*0.25</f>
        <v>1</v>
      </c>
      <c r="G3630" s="0" t="n">
        <f aca="false">-1+C3630*0.25</f>
        <v>0.5</v>
      </c>
      <c r="H3630" s="0" t="n">
        <f aca="false">-1+D3630*0.25</f>
        <v>0.75</v>
      </c>
      <c r="I3630" s="0" t="n">
        <f aca="false">1</f>
        <v>1</v>
      </c>
      <c r="J3630" s="0" t="n">
        <f aca="false">E3630</f>
        <v>0</v>
      </c>
      <c r="K3630" s="0" t="n">
        <f aca="false">F3630</f>
        <v>1</v>
      </c>
      <c r="L3630" s="0" t="n">
        <f aca="false">G3630</f>
        <v>0.5</v>
      </c>
      <c r="M3630" s="0" t="n">
        <f aca="false">H3630</f>
        <v>0.75</v>
      </c>
      <c r="N3630" s="0" t="n">
        <f aca="false">E3630*F3630</f>
        <v>0</v>
      </c>
      <c r="O3630" s="0" t="n">
        <f aca="false">E3630*G3630</f>
        <v>0</v>
      </c>
      <c r="P3630" s="0" t="n">
        <f aca="false">E3630*H3630</f>
        <v>0</v>
      </c>
      <c r="Q3630" s="0" t="n">
        <f aca="false">F3630*G3630</f>
        <v>0.5</v>
      </c>
      <c r="R3630" s="0" t="n">
        <f aca="false">F3630*H3630</f>
        <v>0.75</v>
      </c>
      <c r="S3630" s="0" t="n">
        <f aca="false">G3630*H3630</f>
        <v>0.375</v>
      </c>
      <c r="T3630" s="0" t="n">
        <f aca="false">E3630*E3630</f>
        <v>0</v>
      </c>
      <c r="U3630" s="0" t="n">
        <f aca="false">F3630*F3630</f>
        <v>1</v>
      </c>
      <c r="V3630" s="0" t="n">
        <f aca="false">G3630*G3630</f>
        <v>0.25</v>
      </c>
      <c r="W3630" s="0" t="n">
        <f aca="false">H3630*H3630</f>
        <v>0.5625</v>
      </c>
      <c r="X3630" s="0" t="n">
        <f aca="false">SUMPRODUCT(I3630:W3630,_XtX!$B$96:$P$96)</f>
        <v>47.9346582602339</v>
      </c>
      <c r="Y3630" s="0" t="n">
        <f aca="false">SUMPRODUCT(MMULT(I3630:W3630,_XtX!$B$78:$P$92),I3630:W3630)</f>
        <v>0.476191292032164</v>
      </c>
      <c r="Z3630" s="0" t="n">
        <f aca="false">04_回帰ANOVA!$K$19*04_回帰ANOVA!$K$14*SQRT(1+Y3630)</f>
        <v>1.58368831471718</v>
      </c>
      <c r="AA3630" s="0" t="n">
        <f aca="false">X3630-Z3630</f>
        <v>46.3509699455167</v>
      </c>
      <c r="AB3630" s="0" t="n">
        <f aca="false">X3630+Z3630</f>
        <v>49.5183465749511</v>
      </c>
      <c r="AC3630" s="54" t="b">
        <f aca="false">AND(E3630&gt;=01_因子設定!$L$5-0.000000001,E3630&lt;=01_因子設定!$M$5+0.000000001,F3630&gt;=01_因子設定!$L$6-0.000000001,F3630&lt;=01_因子設定!$M$6+0.000000001,G3630&gt;=01_因子設定!$L$7-0.000000001,G3630&lt;=01_因子設定!$M$7+0.000000001,H3630&gt;=01_因子設定!$L$8-0.000000001,H3630&lt;=01_因子設定!$M$8+0.000000001,IF(01_因子設定!$B$20="Box-Behnken",E3630^2+F3630^2+G3630^2+H3630^2&lt;=2+0.000000001,TRUE()))</f>
        <v>1</v>
      </c>
      <c r="AD3630" s="55" t="n">
        <f aca="false">IF(AC3630,IF(01_因子設定!$B$13="最大化",AA3630-01_因子設定!$B$14,IF(01_因子設定!$B$13="最小化",01_因子設定!$B$15-AB3630,MIN(AA3630-01_因子設定!$B$14,01_因子設定!$B$15-AB3630))),-1E+030)</f>
        <v>-0.149030054483305</v>
      </c>
      <c r="AE3630" s="55" t="n">
        <f aca="false">IF(AC3630,IF(01_因子設定!$B$13="最大化",X3630,IF(01_因子設定!$B$13="最小化",-X3630,-ABS(X3630-01_因子設定!$B$16))),-1E+030)</f>
        <v>47.9346582602339</v>
      </c>
      <c r="AF3630" s="55" t="n">
        <f aca="false">AD3630+ROW()*0.000000001</f>
        <v>-0.149026424483305</v>
      </c>
      <c r="AG3630" s="55" t="n">
        <f aca="false">AE3630+ROW()*0.000000001</f>
        <v>47.9346618902339</v>
      </c>
    </row>
    <row r="3631" customFormat="false" ht="15" hidden="false" customHeight="false" outlineLevel="0" collapsed="false">
      <c r="A3631" s="0" t="n">
        <v>4</v>
      </c>
      <c r="B3631" s="0" t="n">
        <v>8</v>
      </c>
      <c r="C3631" s="0" t="n">
        <v>6</v>
      </c>
      <c r="D3631" s="0" t="n">
        <v>8</v>
      </c>
      <c r="E3631" s="0" t="n">
        <f aca="false">-1+A3631*0.25</f>
        <v>0</v>
      </c>
      <c r="F3631" s="0" t="n">
        <f aca="false">-1+B3631*0.25</f>
        <v>1</v>
      </c>
      <c r="G3631" s="0" t="n">
        <f aca="false">-1+C3631*0.25</f>
        <v>0.5</v>
      </c>
      <c r="H3631" s="0" t="n">
        <f aca="false">-1+D3631*0.25</f>
        <v>1</v>
      </c>
      <c r="I3631" s="0" t="n">
        <f aca="false">1</f>
        <v>1</v>
      </c>
      <c r="J3631" s="0" t="n">
        <f aca="false">E3631</f>
        <v>0</v>
      </c>
      <c r="K3631" s="0" t="n">
        <f aca="false">F3631</f>
        <v>1</v>
      </c>
      <c r="L3631" s="0" t="n">
        <f aca="false">G3631</f>
        <v>0.5</v>
      </c>
      <c r="M3631" s="0" t="n">
        <f aca="false">H3631</f>
        <v>1</v>
      </c>
      <c r="N3631" s="0" t="n">
        <f aca="false">E3631*F3631</f>
        <v>0</v>
      </c>
      <c r="O3631" s="0" t="n">
        <f aca="false">E3631*G3631</f>
        <v>0</v>
      </c>
      <c r="P3631" s="0" t="n">
        <f aca="false">E3631*H3631</f>
        <v>0</v>
      </c>
      <c r="Q3631" s="0" t="n">
        <f aca="false">F3631*G3631</f>
        <v>0.5</v>
      </c>
      <c r="R3631" s="0" t="n">
        <f aca="false">F3631*H3631</f>
        <v>1</v>
      </c>
      <c r="S3631" s="0" t="n">
        <f aca="false">G3631*H3631</f>
        <v>0.5</v>
      </c>
      <c r="T3631" s="0" t="n">
        <f aca="false">E3631*E3631</f>
        <v>0</v>
      </c>
      <c r="U3631" s="0" t="n">
        <f aca="false">F3631*F3631</f>
        <v>1</v>
      </c>
      <c r="V3631" s="0" t="n">
        <f aca="false">G3631*G3631</f>
        <v>0.25</v>
      </c>
      <c r="W3631" s="0" t="n">
        <f aca="false">H3631*H3631</f>
        <v>1</v>
      </c>
      <c r="X3631" s="0" t="n">
        <f aca="false">SUMPRODUCT(I3631:W3631,_XtX!$B$96:$P$96)</f>
        <v>47.8515350877193</v>
      </c>
      <c r="Y3631" s="0" t="n">
        <f aca="false">SUMPRODUCT(MMULT(I3631:W3631,_XtX!$B$78:$P$92),I3631:W3631)</f>
        <v>0.650767543859649</v>
      </c>
      <c r="Z3631" s="0" t="n">
        <f aca="false">04_回帰ANOVA!$K$19*04_回帰ANOVA!$K$14*SQRT(1+Y3631)</f>
        <v>1.67471670935165</v>
      </c>
      <c r="AA3631" s="0" t="n">
        <f aca="false">X3631-Z3631</f>
        <v>46.1768183783676</v>
      </c>
      <c r="AB3631" s="0" t="n">
        <f aca="false">X3631+Z3631</f>
        <v>49.5262517970709</v>
      </c>
      <c r="AC3631" s="54" t="b">
        <f aca="false">AND(E3631&gt;=01_因子設定!$L$5-0.000000001,E3631&lt;=01_因子設定!$M$5+0.000000001,F3631&gt;=01_因子設定!$L$6-0.000000001,F3631&lt;=01_因子設定!$M$6+0.000000001,G3631&gt;=01_因子設定!$L$7-0.000000001,G3631&lt;=01_因子設定!$M$7+0.000000001,H3631&gt;=01_因子設定!$L$8-0.000000001,H3631&lt;=01_因子設定!$M$8+0.000000001,IF(01_因子設定!$B$20="Box-Behnken",E3631^2+F3631^2+G3631^2+H3631^2&lt;=2+0.000000001,TRUE()))</f>
        <v>1</v>
      </c>
      <c r="AD3631" s="55" t="n">
        <f aca="false">IF(AC3631,IF(01_因子設定!$B$13="最大化",AA3631-01_因子設定!$B$14,IF(01_因子設定!$B$13="最小化",01_因子設定!$B$15-AB3631,MIN(AA3631-01_因子設定!$B$14,01_因子設定!$B$15-AB3631))),-1E+030)</f>
        <v>-0.323181621632379</v>
      </c>
      <c r="AE3631" s="55" t="n">
        <f aca="false">IF(AC3631,IF(01_因子設定!$B$13="最大化",X3631,IF(01_因子設定!$B$13="最小化",-X3631,-ABS(X3631-01_因子設定!$B$16))),-1E+030)</f>
        <v>47.8515350877193</v>
      </c>
      <c r="AF3631" s="55" t="n">
        <f aca="false">AD3631+ROW()*0.000000001</f>
        <v>-0.323177990632379</v>
      </c>
      <c r="AG3631" s="55" t="n">
        <f aca="false">AE3631+ROW()*0.000000001</f>
        <v>47.8515387187193</v>
      </c>
    </row>
    <row r="3632" customFormat="false" ht="15" hidden="false" customHeight="false" outlineLevel="0" collapsed="false">
      <c r="A3632" s="0" t="n">
        <v>4</v>
      </c>
      <c r="B3632" s="0" t="n">
        <v>8</v>
      </c>
      <c r="C3632" s="0" t="n">
        <v>7</v>
      </c>
      <c r="D3632" s="0" t="n">
        <v>0</v>
      </c>
      <c r="E3632" s="0" t="n">
        <f aca="false">-1+A3632*0.25</f>
        <v>0</v>
      </c>
      <c r="F3632" s="0" t="n">
        <f aca="false">-1+B3632*0.25</f>
        <v>1</v>
      </c>
      <c r="G3632" s="0" t="n">
        <f aca="false">-1+C3632*0.25</f>
        <v>0.75</v>
      </c>
      <c r="H3632" s="0" t="n">
        <f aca="false">-1+D3632*0.25</f>
        <v>-1</v>
      </c>
      <c r="I3632" s="0" t="n">
        <f aca="false">1</f>
        <v>1</v>
      </c>
      <c r="J3632" s="0" t="n">
        <f aca="false">E3632</f>
        <v>0</v>
      </c>
      <c r="K3632" s="0" t="n">
        <f aca="false">F3632</f>
        <v>1</v>
      </c>
      <c r="L3632" s="0" t="n">
        <f aca="false">G3632</f>
        <v>0.75</v>
      </c>
      <c r="M3632" s="0" t="n">
        <f aca="false">H3632</f>
        <v>-1</v>
      </c>
      <c r="N3632" s="0" t="n">
        <f aca="false">E3632*F3632</f>
        <v>0</v>
      </c>
      <c r="O3632" s="0" t="n">
        <f aca="false">E3632*G3632</f>
        <v>0</v>
      </c>
      <c r="P3632" s="0" t="n">
        <f aca="false">E3632*H3632</f>
        <v>-0</v>
      </c>
      <c r="Q3632" s="0" t="n">
        <f aca="false">F3632*G3632</f>
        <v>0.75</v>
      </c>
      <c r="R3632" s="0" t="n">
        <f aca="false">F3632*H3632</f>
        <v>-1</v>
      </c>
      <c r="S3632" s="0" t="n">
        <f aca="false">G3632*H3632</f>
        <v>-0.75</v>
      </c>
      <c r="T3632" s="0" t="n">
        <f aca="false">E3632*E3632</f>
        <v>0</v>
      </c>
      <c r="U3632" s="0" t="n">
        <f aca="false">F3632*F3632</f>
        <v>1</v>
      </c>
      <c r="V3632" s="0" t="n">
        <f aca="false">G3632*G3632</f>
        <v>0.5625</v>
      </c>
      <c r="W3632" s="0" t="n">
        <f aca="false">H3632*H3632</f>
        <v>1</v>
      </c>
      <c r="X3632" s="0" t="n">
        <f aca="false">SUMPRODUCT(I3632:W3632,_XtX!$B$96:$P$96)</f>
        <v>47.2167397660818</v>
      </c>
      <c r="Y3632" s="0" t="n">
        <f aca="false">SUMPRODUCT(MMULT(I3632:W3632,_XtX!$B$78:$P$92),I3632:W3632)</f>
        <v>0.646198830409357</v>
      </c>
      <c r="Z3632" s="0" t="n">
        <f aca="false">04_回帰ANOVA!$K$19*04_回帰ANOVA!$K$14*SQRT(1+Y3632)</f>
        <v>1.67239760569756</v>
      </c>
      <c r="AA3632" s="0" t="n">
        <f aca="false">X3632-Z3632</f>
        <v>45.5443421603843</v>
      </c>
      <c r="AB3632" s="0" t="n">
        <f aca="false">X3632+Z3632</f>
        <v>48.8891373717794</v>
      </c>
      <c r="AC3632" s="54" t="b">
        <f aca="false">AND(E3632&gt;=01_因子設定!$L$5-0.000000001,E3632&lt;=01_因子設定!$M$5+0.000000001,F3632&gt;=01_因子設定!$L$6-0.000000001,F3632&lt;=01_因子設定!$M$6+0.000000001,G3632&gt;=01_因子設定!$L$7-0.000000001,G3632&lt;=01_因子設定!$M$7+0.000000001,H3632&gt;=01_因子設定!$L$8-0.000000001,H3632&lt;=01_因子設定!$M$8+0.000000001,IF(01_因子設定!$B$20="Box-Behnken",E3632^2+F3632^2+G3632^2+H3632^2&lt;=2+0.000000001,TRUE()))</f>
        <v>1</v>
      </c>
      <c r="AD3632" s="55" t="n">
        <f aca="false">IF(AC3632,IF(01_因子設定!$B$13="最大化",AA3632-01_因子設定!$B$14,IF(01_因子設定!$B$13="最小化",01_因子設定!$B$15-AB3632,MIN(AA3632-01_因子設定!$B$14,01_因子設定!$B$15-AB3632))),-1E+030)</f>
        <v>-0.955657839615711</v>
      </c>
      <c r="AE3632" s="55" t="n">
        <f aca="false">IF(AC3632,IF(01_因子設定!$B$13="最大化",X3632,IF(01_因子設定!$B$13="最小化",-X3632,-ABS(X3632-01_因子設定!$B$16))),-1E+030)</f>
        <v>47.2167397660818</v>
      </c>
      <c r="AF3632" s="55" t="n">
        <f aca="false">AD3632+ROW()*0.000000001</f>
        <v>-0.955654207615711</v>
      </c>
      <c r="AG3632" s="55" t="n">
        <f aca="false">AE3632+ROW()*0.000000001</f>
        <v>47.2167433980818</v>
      </c>
    </row>
    <row r="3633" customFormat="false" ht="15" hidden="false" customHeight="false" outlineLevel="0" collapsed="false">
      <c r="A3633" s="0" t="n">
        <v>4</v>
      </c>
      <c r="B3633" s="0" t="n">
        <v>8</v>
      </c>
      <c r="C3633" s="0" t="n">
        <v>7</v>
      </c>
      <c r="D3633" s="0" t="n">
        <v>1</v>
      </c>
      <c r="E3633" s="0" t="n">
        <f aca="false">-1+A3633*0.25</f>
        <v>0</v>
      </c>
      <c r="F3633" s="0" t="n">
        <f aca="false">-1+B3633*0.25</f>
        <v>1</v>
      </c>
      <c r="G3633" s="0" t="n">
        <f aca="false">-1+C3633*0.25</f>
        <v>0.75</v>
      </c>
      <c r="H3633" s="0" t="n">
        <f aca="false">-1+D3633*0.25</f>
        <v>-0.75</v>
      </c>
      <c r="I3633" s="0" t="n">
        <f aca="false">1</f>
        <v>1</v>
      </c>
      <c r="J3633" s="0" t="n">
        <f aca="false">E3633</f>
        <v>0</v>
      </c>
      <c r="K3633" s="0" t="n">
        <f aca="false">F3633</f>
        <v>1</v>
      </c>
      <c r="L3633" s="0" t="n">
        <f aca="false">G3633</f>
        <v>0.75</v>
      </c>
      <c r="M3633" s="0" t="n">
        <f aca="false">H3633</f>
        <v>-0.75</v>
      </c>
      <c r="N3633" s="0" t="n">
        <f aca="false">E3633*F3633</f>
        <v>0</v>
      </c>
      <c r="O3633" s="0" t="n">
        <f aca="false">E3633*G3633</f>
        <v>0</v>
      </c>
      <c r="P3633" s="0" t="n">
        <f aca="false">E3633*H3633</f>
        <v>-0</v>
      </c>
      <c r="Q3633" s="0" t="n">
        <f aca="false">F3633*G3633</f>
        <v>0.75</v>
      </c>
      <c r="R3633" s="0" t="n">
        <f aca="false">F3633*H3633</f>
        <v>-0.75</v>
      </c>
      <c r="S3633" s="0" t="n">
        <f aca="false">G3633*H3633</f>
        <v>-0.5625</v>
      </c>
      <c r="T3633" s="0" t="n">
        <f aca="false">E3633*E3633</f>
        <v>0</v>
      </c>
      <c r="U3633" s="0" t="n">
        <f aca="false">F3633*F3633</f>
        <v>1</v>
      </c>
      <c r="V3633" s="0" t="n">
        <f aca="false">G3633*G3633</f>
        <v>0.5625</v>
      </c>
      <c r="W3633" s="0" t="n">
        <f aca="false">H3633*H3633</f>
        <v>0.5625</v>
      </c>
      <c r="X3633" s="0" t="n">
        <f aca="false">SUMPRODUCT(I3633:W3633,_XtX!$B$96:$P$96)</f>
        <v>47.4862344663742</v>
      </c>
      <c r="Y3633" s="0" t="n">
        <f aca="false">SUMPRODUCT(MMULT(I3633:W3633,_XtX!$B$78:$P$92),I3633:W3633)</f>
        <v>0.494259126005117</v>
      </c>
      <c r="Z3633" s="0" t="n">
        <f aca="false">04_回帰ANOVA!$K$19*04_回帰ANOVA!$K$14*SQRT(1+Y3633)</f>
        <v>1.59335061078203</v>
      </c>
      <c r="AA3633" s="0" t="n">
        <f aca="false">X3633-Z3633</f>
        <v>45.8928838555922</v>
      </c>
      <c r="AB3633" s="0" t="n">
        <f aca="false">X3633+Z3633</f>
        <v>49.0795850771563</v>
      </c>
      <c r="AC3633" s="54" t="b">
        <f aca="false">AND(E3633&gt;=01_因子設定!$L$5-0.000000001,E3633&lt;=01_因子設定!$M$5+0.000000001,F3633&gt;=01_因子設定!$L$6-0.000000001,F3633&lt;=01_因子設定!$M$6+0.000000001,G3633&gt;=01_因子設定!$L$7-0.000000001,G3633&lt;=01_因子設定!$M$7+0.000000001,H3633&gt;=01_因子設定!$L$8-0.000000001,H3633&lt;=01_因子設定!$M$8+0.000000001,IF(01_因子設定!$B$20="Box-Behnken",E3633^2+F3633^2+G3633^2+H3633^2&lt;=2+0.000000001,TRUE()))</f>
        <v>1</v>
      </c>
      <c r="AD3633" s="55" t="n">
        <f aca="false">IF(AC3633,IF(01_因子設定!$B$13="最大化",AA3633-01_因子設定!$B$14,IF(01_因子設定!$B$13="最小化",01_因子設定!$B$15-AB3633,MIN(AA3633-01_因子設定!$B$14,01_因子設定!$B$15-AB3633))),-1E+030)</f>
        <v>-0.607116144407797</v>
      </c>
      <c r="AE3633" s="55" t="n">
        <f aca="false">IF(AC3633,IF(01_因子設定!$B$13="最大化",X3633,IF(01_因子設定!$B$13="最小化",-X3633,-ABS(X3633-01_因子設定!$B$16))),-1E+030)</f>
        <v>47.4862344663742</v>
      </c>
      <c r="AF3633" s="55" t="n">
        <f aca="false">AD3633+ROW()*0.000000001</f>
        <v>-0.607112511407797</v>
      </c>
      <c r="AG3633" s="55" t="n">
        <f aca="false">AE3633+ROW()*0.000000001</f>
        <v>47.4862380993742</v>
      </c>
    </row>
    <row r="3634" customFormat="false" ht="15" hidden="false" customHeight="false" outlineLevel="0" collapsed="false">
      <c r="A3634" s="0" t="n">
        <v>4</v>
      </c>
      <c r="B3634" s="0" t="n">
        <v>8</v>
      </c>
      <c r="C3634" s="0" t="n">
        <v>7</v>
      </c>
      <c r="D3634" s="0" t="n">
        <v>2</v>
      </c>
      <c r="E3634" s="0" t="n">
        <f aca="false">-1+A3634*0.25</f>
        <v>0</v>
      </c>
      <c r="F3634" s="0" t="n">
        <f aca="false">-1+B3634*0.25</f>
        <v>1</v>
      </c>
      <c r="G3634" s="0" t="n">
        <f aca="false">-1+C3634*0.25</f>
        <v>0.75</v>
      </c>
      <c r="H3634" s="0" t="n">
        <f aca="false">-1+D3634*0.25</f>
        <v>-0.5</v>
      </c>
      <c r="I3634" s="0" t="n">
        <f aca="false">1</f>
        <v>1</v>
      </c>
      <c r="J3634" s="0" t="n">
        <f aca="false">E3634</f>
        <v>0</v>
      </c>
      <c r="K3634" s="0" t="n">
        <f aca="false">F3634</f>
        <v>1</v>
      </c>
      <c r="L3634" s="0" t="n">
        <f aca="false">G3634</f>
        <v>0.75</v>
      </c>
      <c r="M3634" s="0" t="n">
        <f aca="false">H3634</f>
        <v>-0.5</v>
      </c>
      <c r="N3634" s="0" t="n">
        <f aca="false">E3634*F3634</f>
        <v>0</v>
      </c>
      <c r="O3634" s="0" t="n">
        <f aca="false">E3634*G3634</f>
        <v>0</v>
      </c>
      <c r="P3634" s="0" t="n">
        <f aca="false">E3634*H3634</f>
        <v>-0</v>
      </c>
      <c r="Q3634" s="0" t="n">
        <f aca="false">F3634*G3634</f>
        <v>0.75</v>
      </c>
      <c r="R3634" s="0" t="n">
        <f aca="false">F3634*H3634</f>
        <v>-0.5</v>
      </c>
      <c r="S3634" s="0" t="n">
        <f aca="false">G3634*H3634</f>
        <v>-0.375</v>
      </c>
      <c r="T3634" s="0" t="n">
        <f aca="false">E3634*E3634</f>
        <v>0</v>
      </c>
      <c r="U3634" s="0" t="n">
        <f aca="false">F3634*F3634</f>
        <v>1</v>
      </c>
      <c r="V3634" s="0" t="n">
        <f aca="false">G3634*G3634</f>
        <v>0.5625</v>
      </c>
      <c r="W3634" s="0" t="n">
        <f aca="false">H3634*H3634</f>
        <v>0.25</v>
      </c>
      <c r="X3634" s="0" t="n">
        <f aca="false">SUMPRODUCT(I3634:W3634,_XtX!$B$96:$P$96)</f>
        <v>47.7079221491228</v>
      </c>
      <c r="Y3634" s="0" t="n">
        <f aca="false">SUMPRODUCT(MMULT(I3634:W3634,_XtX!$B$78:$P$92),I3634:W3634)</f>
        <v>0.476191292032164</v>
      </c>
      <c r="Z3634" s="0" t="n">
        <f aca="false">04_回帰ANOVA!$K$19*04_回帰ANOVA!$K$14*SQRT(1+Y3634)</f>
        <v>1.58368831471718</v>
      </c>
      <c r="AA3634" s="0" t="n">
        <f aca="false">X3634-Z3634</f>
        <v>46.1242338344056</v>
      </c>
      <c r="AB3634" s="0" t="n">
        <f aca="false">X3634+Z3634</f>
        <v>49.2916104638399</v>
      </c>
      <c r="AC3634" s="54" t="b">
        <f aca="false">AND(E3634&gt;=01_因子設定!$L$5-0.000000001,E3634&lt;=01_因子設定!$M$5+0.000000001,F3634&gt;=01_因子設定!$L$6-0.000000001,F3634&lt;=01_因子設定!$M$6+0.000000001,G3634&gt;=01_因子設定!$L$7-0.000000001,G3634&lt;=01_因子設定!$M$7+0.000000001,H3634&gt;=01_因子設定!$L$8-0.000000001,H3634&lt;=01_因子設定!$M$8+0.000000001,IF(01_因子設定!$B$20="Box-Behnken",E3634^2+F3634^2+G3634^2+H3634^2&lt;=2+0.000000001,TRUE()))</f>
        <v>1</v>
      </c>
      <c r="AD3634" s="55" t="n">
        <f aca="false">IF(AC3634,IF(01_因子設定!$B$13="最大化",AA3634-01_因子設定!$B$14,IF(01_因子設定!$B$13="最小化",01_因子設定!$B$15-AB3634,MIN(AA3634-01_因子設定!$B$14,01_因子設定!$B$15-AB3634))),-1E+030)</f>
        <v>-0.375766165594428</v>
      </c>
      <c r="AE3634" s="55" t="n">
        <f aca="false">IF(AC3634,IF(01_因子設定!$B$13="最大化",X3634,IF(01_因子設定!$B$13="最小化",-X3634,-ABS(X3634-01_因子設定!$B$16))),-1E+030)</f>
        <v>47.7079221491228</v>
      </c>
      <c r="AF3634" s="55" t="n">
        <f aca="false">AD3634+ROW()*0.000000001</f>
        <v>-0.375762531594428</v>
      </c>
      <c r="AG3634" s="55" t="n">
        <f aca="false">AE3634+ROW()*0.000000001</f>
        <v>47.7079257831228</v>
      </c>
    </row>
    <row r="3635" customFormat="false" ht="15" hidden="false" customHeight="false" outlineLevel="0" collapsed="false">
      <c r="A3635" s="0" t="n">
        <v>4</v>
      </c>
      <c r="B3635" s="0" t="n">
        <v>8</v>
      </c>
      <c r="C3635" s="0" t="n">
        <v>7</v>
      </c>
      <c r="D3635" s="0" t="n">
        <v>3</v>
      </c>
      <c r="E3635" s="0" t="n">
        <f aca="false">-1+A3635*0.25</f>
        <v>0</v>
      </c>
      <c r="F3635" s="0" t="n">
        <f aca="false">-1+B3635*0.25</f>
        <v>1</v>
      </c>
      <c r="G3635" s="0" t="n">
        <f aca="false">-1+C3635*0.25</f>
        <v>0.75</v>
      </c>
      <c r="H3635" s="0" t="n">
        <f aca="false">-1+D3635*0.25</f>
        <v>-0.25</v>
      </c>
      <c r="I3635" s="0" t="n">
        <f aca="false">1</f>
        <v>1</v>
      </c>
      <c r="J3635" s="0" t="n">
        <f aca="false">E3635</f>
        <v>0</v>
      </c>
      <c r="K3635" s="0" t="n">
        <f aca="false">F3635</f>
        <v>1</v>
      </c>
      <c r="L3635" s="0" t="n">
        <f aca="false">G3635</f>
        <v>0.75</v>
      </c>
      <c r="M3635" s="0" t="n">
        <f aca="false">H3635</f>
        <v>-0.25</v>
      </c>
      <c r="N3635" s="0" t="n">
        <f aca="false">E3635*F3635</f>
        <v>0</v>
      </c>
      <c r="O3635" s="0" t="n">
        <f aca="false">E3635*G3635</f>
        <v>0</v>
      </c>
      <c r="P3635" s="0" t="n">
        <f aca="false">E3635*H3635</f>
        <v>-0</v>
      </c>
      <c r="Q3635" s="0" t="n">
        <f aca="false">F3635*G3635</f>
        <v>0.75</v>
      </c>
      <c r="R3635" s="0" t="n">
        <f aca="false">F3635*H3635</f>
        <v>-0.25</v>
      </c>
      <c r="S3635" s="0" t="n">
        <f aca="false">G3635*H3635</f>
        <v>-0.1875</v>
      </c>
      <c r="T3635" s="0" t="n">
        <f aca="false">E3635*E3635</f>
        <v>0</v>
      </c>
      <c r="U3635" s="0" t="n">
        <f aca="false">F3635*F3635</f>
        <v>1</v>
      </c>
      <c r="V3635" s="0" t="n">
        <f aca="false">G3635*G3635</f>
        <v>0.5625</v>
      </c>
      <c r="W3635" s="0" t="n">
        <f aca="false">H3635*H3635</f>
        <v>0.0625</v>
      </c>
      <c r="X3635" s="0" t="n">
        <f aca="false">SUMPRODUCT(I3635:W3635,_XtX!$B$96:$P$96)</f>
        <v>47.8818028143274</v>
      </c>
      <c r="Y3635" s="0" t="n">
        <f aca="false">SUMPRODUCT(MMULT(I3635:W3635,_XtX!$B$78:$P$92),I3635:W3635)</f>
        <v>0.501534802174708</v>
      </c>
      <c r="Z3635" s="0" t="n">
        <f aca="false">04_回帰ANOVA!$K$19*04_回帰ANOVA!$K$14*SQRT(1+Y3635)</f>
        <v>1.59722498091333</v>
      </c>
      <c r="AA3635" s="0" t="n">
        <f aca="false">X3635-Z3635</f>
        <v>46.2845778334141</v>
      </c>
      <c r="AB3635" s="0" t="n">
        <f aca="false">X3635+Z3635</f>
        <v>49.4790277952408</v>
      </c>
      <c r="AC3635" s="54" t="b">
        <f aca="false">AND(E3635&gt;=01_因子設定!$L$5-0.000000001,E3635&lt;=01_因子設定!$M$5+0.000000001,F3635&gt;=01_因子設定!$L$6-0.000000001,F3635&lt;=01_因子設定!$M$6+0.000000001,G3635&gt;=01_因子設定!$L$7-0.000000001,G3635&lt;=01_因子設定!$M$7+0.000000001,H3635&gt;=01_因子設定!$L$8-0.000000001,H3635&lt;=01_因子設定!$M$8+0.000000001,IF(01_因子設定!$B$20="Box-Behnken",E3635^2+F3635^2+G3635^2+H3635^2&lt;=2+0.000000001,TRUE()))</f>
        <v>1</v>
      </c>
      <c r="AD3635" s="55" t="n">
        <f aca="false">IF(AC3635,IF(01_因子設定!$B$13="最大化",AA3635-01_因子設定!$B$14,IF(01_因子設定!$B$13="最小化",01_因子設定!$B$15-AB3635,MIN(AA3635-01_因子設定!$B$14,01_因子設定!$B$15-AB3635))),-1E+030)</f>
        <v>-0.21542216658591</v>
      </c>
      <c r="AE3635" s="55" t="n">
        <f aca="false">IF(AC3635,IF(01_因子設定!$B$13="最大化",X3635,IF(01_因子設定!$B$13="最小化",-X3635,-ABS(X3635-01_因子設定!$B$16))),-1E+030)</f>
        <v>47.8818028143274</v>
      </c>
      <c r="AF3635" s="55" t="n">
        <f aca="false">AD3635+ROW()*0.000000001</f>
        <v>-0.21541853158591</v>
      </c>
      <c r="AG3635" s="55" t="n">
        <f aca="false">AE3635+ROW()*0.000000001</f>
        <v>47.8818064493274</v>
      </c>
    </row>
    <row r="3636" customFormat="false" ht="15" hidden="false" customHeight="false" outlineLevel="0" collapsed="false">
      <c r="A3636" s="0" t="n">
        <v>4</v>
      </c>
      <c r="B3636" s="0" t="n">
        <v>8</v>
      </c>
      <c r="C3636" s="0" t="n">
        <v>7</v>
      </c>
      <c r="D3636" s="0" t="n">
        <v>4</v>
      </c>
      <c r="E3636" s="0" t="n">
        <f aca="false">-1+A3636*0.25</f>
        <v>0</v>
      </c>
      <c r="F3636" s="0" t="n">
        <f aca="false">-1+B3636*0.25</f>
        <v>1</v>
      </c>
      <c r="G3636" s="0" t="n">
        <f aca="false">-1+C3636*0.25</f>
        <v>0.75</v>
      </c>
      <c r="H3636" s="0" t="n">
        <f aca="false">-1+D3636*0.25</f>
        <v>0</v>
      </c>
      <c r="I3636" s="0" t="n">
        <f aca="false">1</f>
        <v>1</v>
      </c>
      <c r="J3636" s="0" t="n">
        <f aca="false">E3636</f>
        <v>0</v>
      </c>
      <c r="K3636" s="0" t="n">
        <f aca="false">F3636</f>
        <v>1</v>
      </c>
      <c r="L3636" s="0" t="n">
        <f aca="false">G3636</f>
        <v>0.75</v>
      </c>
      <c r="M3636" s="0" t="n">
        <f aca="false">H3636</f>
        <v>0</v>
      </c>
      <c r="N3636" s="0" t="n">
        <f aca="false">E3636*F3636</f>
        <v>0</v>
      </c>
      <c r="O3636" s="0" t="n">
        <f aca="false">E3636*G3636</f>
        <v>0</v>
      </c>
      <c r="P3636" s="0" t="n">
        <f aca="false">E3636*H3636</f>
        <v>0</v>
      </c>
      <c r="Q3636" s="0" t="n">
        <f aca="false">F3636*G3636</f>
        <v>0.75</v>
      </c>
      <c r="R3636" s="0" t="n">
        <f aca="false">F3636*H3636</f>
        <v>0</v>
      </c>
      <c r="S3636" s="0" t="n">
        <f aca="false">G3636*H3636</f>
        <v>0</v>
      </c>
      <c r="T3636" s="0" t="n">
        <f aca="false">E3636*E3636</f>
        <v>0</v>
      </c>
      <c r="U3636" s="0" t="n">
        <f aca="false">F3636*F3636</f>
        <v>1</v>
      </c>
      <c r="V3636" s="0" t="n">
        <f aca="false">G3636*G3636</f>
        <v>0.5625</v>
      </c>
      <c r="W3636" s="0" t="n">
        <f aca="false">H3636*H3636</f>
        <v>0</v>
      </c>
      <c r="X3636" s="0" t="n">
        <f aca="false">SUMPRODUCT(I3636:W3636,_XtX!$B$96:$P$96)</f>
        <v>48.0078764619882</v>
      </c>
      <c r="Y3636" s="0" t="n">
        <f aca="false">SUMPRODUCT(MMULT(I3636:W3636,_XtX!$B$78:$P$92),I3636:W3636)</f>
        <v>0.516013340643275</v>
      </c>
      <c r="Z3636" s="0" t="n">
        <f aca="false">04_回帰ANOVA!$K$19*04_回帰ANOVA!$K$14*SQRT(1+Y3636)</f>
        <v>1.60490712175667</v>
      </c>
      <c r="AA3636" s="0" t="n">
        <f aca="false">X3636-Z3636</f>
        <v>46.4029693402316</v>
      </c>
      <c r="AB3636" s="0" t="n">
        <f aca="false">X3636+Z3636</f>
        <v>49.6127835837449</v>
      </c>
      <c r="AC3636" s="54" t="b">
        <f aca="false">AND(E3636&gt;=01_因子設定!$L$5-0.000000001,E3636&lt;=01_因子設定!$M$5+0.000000001,F3636&gt;=01_因子設定!$L$6-0.000000001,F3636&lt;=01_因子設定!$M$6+0.000000001,G3636&gt;=01_因子設定!$L$7-0.000000001,G3636&lt;=01_因子設定!$M$7+0.000000001,H3636&gt;=01_因子設定!$L$8-0.000000001,H3636&lt;=01_因子設定!$M$8+0.000000001,IF(01_因子設定!$B$20="Box-Behnken",E3636^2+F3636^2+G3636^2+H3636^2&lt;=2+0.000000001,TRUE()))</f>
        <v>1</v>
      </c>
      <c r="AD3636" s="55" t="n">
        <f aca="false">IF(AC3636,IF(01_因子設定!$B$13="最大化",AA3636-01_因子設定!$B$14,IF(01_因子設定!$B$13="最小化",01_因子設定!$B$15-AB3636,MIN(AA3636-01_因子設定!$B$14,01_因子設定!$B$15-AB3636))),-1E+030)</f>
        <v>-0.0970306597684285</v>
      </c>
      <c r="AE3636" s="55" t="n">
        <f aca="false">IF(AC3636,IF(01_因子設定!$B$13="最大化",X3636,IF(01_因子設定!$B$13="最小化",-X3636,-ABS(X3636-01_因子設定!$B$16))),-1E+030)</f>
        <v>48.0078764619882</v>
      </c>
      <c r="AF3636" s="55" t="n">
        <f aca="false">AD3636+ROW()*0.000000001</f>
        <v>-0.0970270237684285</v>
      </c>
      <c r="AG3636" s="55" t="n">
        <f aca="false">AE3636+ROW()*0.000000001</f>
        <v>48.0078800979882</v>
      </c>
    </row>
    <row r="3637" customFormat="false" ht="15" hidden="false" customHeight="false" outlineLevel="0" collapsed="false">
      <c r="A3637" s="0" t="n">
        <v>4</v>
      </c>
      <c r="B3637" s="0" t="n">
        <v>8</v>
      </c>
      <c r="C3637" s="0" t="n">
        <v>7</v>
      </c>
      <c r="D3637" s="0" t="n">
        <v>5</v>
      </c>
      <c r="E3637" s="0" t="n">
        <f aca="false">-1+A3637*0.25</f>
        <v>0</v>
      </c>
      <c r="F3637" s="0" t="n">
        <f aca="false">-1+B3637*0.25</f>
        <v>1</v>
      </c>
      <c r="G3637" s="0" t="n">
        <f aca="false">-1+C3637*0.25</f>
        <v>0.75</v>
      </c>
      <c r="H3637" s="0" t="n">
        <f aca="false">-1+D3637*0.25</f>
        <v>0.25</v>
      </c>
      <c r="I3637" s="0" t="n">
        <f aca="false">1</f>
        <v>1</v>
      </c>
      <c r="J3637" s="0" t="n">
        <f aca="false">E3637</f>
        <v>0</v>
      </c>
      <c r="K3637" s="0" t="n">
        <f aca="false">F3637</f>
        <v>1</v>
      </c>
      <c r="L3637" s="0" t="n">
        <f aca="false">G3637</f>
        <v>0.75</v>
      </c>
      <c r="M3637" s="0" t="n">
        <f aca="false">H3637</f>
        <v>0.25</v>
      </c>
      <c r="N3637" s="0" t="n">
        <f aca="false">E3637*F3637</f>
        <v>0</v>
      </c>
      <c r="O3637" s="0" t="n">
        <f aca="false">E3637*G3637</f>
        <v>0</v>
      </c>
      <c r="P3637" s="0" t="n">
        <f aca="false">E3637*H3637</f>
        <v>0</v>
      </c>
      <c r="Q3637" s="0" t="n">
        <f aca="false">F3637*G3637</f>
        <v>0.75</v>
      </c>
      <c r="R3637" s="0" t="n">
        <f aca="false">F3637*H3637</f>
        <v>0.25</v>
      </c>
      <c r="S3637" s="0" t="n">
        <f aca="false">G3637*H3637</f>
        <v>0.1875</v>
      </c>
      <c r="T3637" s="0" t="n">
        <f aca="false">E3637*E3637</f>
        <v>0</v>
      </c>
      <c r="U3637" s="0" t="n">
        <f aca="false">F3637*F3637</f>
        <v>1</v>
      </c>
      <c r="V3637" s="0" t="n">
        <f aca="false">G3637*G3637</f>
        <v>0.5625</v>
      </c>
      <c r="W3637" s="0" t="n">
        <f aca="false">H3637*H3637</f>
        <v>0.0625</v>
      </c>
      <c r="X3637" s="0" t="n">
        <f aca="false">SUMPRODUCT(I3637:W3637,_XtX!$B$96:$P$96)</f>
        <v>48.0861430921052</v>
      </c>
      <c r="Y3637" s="0" t="n">
        <f aca="false">SUMPRODUCT(MMULT(I3637:W3637,_XtX!$B$78:$P$92),I3637:W3637)</f>
        <v>0.501534802174708</v>
      </c>
      <c r="Z3637" s="0" t="n">
        <f aca="false">04_回帰ANOVA!$K$19*04_回帰ANOVA!$K$14*SQRT(1+Y3637)</f>
        <v>1.59722498091333</v>
      </c>
      <c r="AA3637" s="0" t="n">
        <f aca="false">X3637-Z3637</f>
        <v>46.4889181111919</v>
      </c>
      <c r="AB3637" s="0" t="n">
        <f aca="false">X3637+Z3637</f>
        <v>49.6833680730185</v>
      </c>
      <c r="AC3637" s="54" t="b">
        <f aca="false">AND(E3637&gt;=01_因子設定!$L$5-0.000000001,E3637&lt;=01_因子設定!$M$5+0.000000001,F3637&gt;=01_因子設定!$L$6-0.000000001,F3637&lt;=01_因子設定!$M$6+0.000000001,G3637&gt;=01_因子設定!$L$7-0.000000001,G3637&lt;=01_因子設定!$M$7+0.000000001,H3637&gt;=01_因子設定!$L$8-0.000000001,H3637&lt;=01_因子設定!$M$8+0.000000001,IF(01_因子設定!$B$20="Box-Behnken",E3637^2+F3637^2+G3637^2+H3637^2&lt;=2+0.000000001,TRUE()))</f>
        <v>1</v>
      </c>
      <c r="AD3637" s="55" t="n">
        <f aca="false">IF(AC3637,IF(01_因子設定!$B$13="最大化",AA3637-01_因子設定!$B$14,IF(01_因子設定!$B$13="最小化",01_因子設定!$B$15-AB3637,MIN(AA3637-01_因子設定!$B$14,01_因子設定!$B$15-AB3637))),-1E+030)</f>
        <v>-0.0110818888081283</v>
      </c>
      <c r="AE3637" s="55" t="n">
        <f aca="false">IF(AC3637,IF(01_因子設定!$B$13="最大化",X3637,IF(01_因子設定!$B$13="最小化",-X3637,-ABS(X3637-01_因子設定!$B$16))),-1E+030)</f>
        <v>48.0861430921052</v>
      </c>
      <c r="AF3637" s="55" t="n">
        <f aca="false">AD3637+ROW()*0.000000001</f>
        <v>-0.0110782518081283</v>
      </c>
      <c r="AG3637" s="55" t="n">
        <f aca="false">AE3637+ROW()*0.000000001</f>
        <v>48.0861467291052</v>
      </c>
    </row>
    <row r="3638" customFormat="false" ht="15" hidden="false" customHeight="false" outlineLevel="0" collapsed="false">
      <c r="A3638" s="0" t="n">
        <v>4</v>
      </c>
      <c r="B3638" s="0" t="n">
        <v>8</v>
      </c>
      <c r="C3638" s="0" t="n">
        <v>7</v>
      </c>
      <c r="D3638" s="0" t="n">
        <v>6</v>
      </c>
      <c r="E3638" s="0" t="n">
        <f aca="false">-1+A3638*0.25</f>
        <v>0</v>
      </c>
      <c r="F3638" s="0" t="n">
        <f aca="false">-1+B3638*0.25</f>
        <v>1</v>
      </c>
      <c r="G3638" s="0" t="n">
        <f aca="false">-1+C3638*0.25</f>
        <v>0.75</v>
      </c>
      <c r="H3638" s="0" t="n">
        <f aca="false">-1+D3638*0.25</f>
        <v>0.5</v>
      </c>
      <c r="I3638" s="0" t="n">
        <f aca="false">1</f>
        <v>1</v>
      </c>
      <c r="J3638" s="0" t="n">
        <f aca="false">E3638</f>
        <v>0</v>
      </c>
      <c r="K3638" s="0" t="n">
        <f aca="false">F3638</f>
        <v>1</v>
      </c>
      <c r="L3638" s="0" t="n">
        <f aca="false">G3638</f>
        <v>0.75</v>
      </c>
      <c r="M3638" s="0" t="n">
        <f aca="false">H3638</f>
        <v>0.5</v>
      </c>
      <c r="N3638" s="0" t="n">
        <f aca="false">E3638*F3638</f>
        <v>0</v>
      </c>
      <c r="O3638" s="0" t="n">
        <f aca="false">E3638*G3638</f>
        <v>0</v>
      </c>
      <c r="P3638" s="0" t="n">
        <f aca="false">E3638*H3638</f>
        <v>0</v>
      </c>
      <c r="Q3638" s="0" t="n">
        <f aca="false">F3638*G3638</f>
        <v>0.75</v>
      </c>
      <c r="R3638" s="0" t="n">
        <f aca="false">F3638*H3638</f>
        <v>0.5</v>
      </c>
      <c r="S3638" s="0" t="n">
        <f aca="false">G3638*H3638</f>
        <v>0.375</v>
      </c>
      <c r="T3638" s="0" t="n">
        <f aca="false">E3638*E3638</f>
        <v>0</v>
      </c>
      <c r="U3638" s="0" t="n">
        <f aca="false">F3638*F3638</f>
        <v>1</v>
      </c>
      <c r="V3638" s="0" t="n">
        <f aca="false">G3638*G3638</f>
        <v>0.5625</v>
      </c>
      <c r="W3638" s="0" t="n">
        <f aca="false">H3638*H3638</f>
        <v>0.25</v>
      </c>
      <c r="X3638" s="0" t="n">
        <f aca="false">SUMPRODUCT(I3638:W3638,_XtX!$B$96:$P$96)</f>
        <v>48.1166027046783</v>
      </c>
      <c r="Y3638" s="0" t="n">
        <f aca="false">SUMPRODUCT(MMULT(I3638:W3638,_XtX!$B$78:$P$92),I3638:W3638)</f>
        <v>0.476191292032164</v>
      </c>
      <c r="Z3638" s="0" t="n">
        <f aca="false">04_回帰ANOVA!$K$19*04_回帰ANOVA!$K$14*SQRT(1+Y3638)</f>
        <v>1.58368831471718</v>
      </c>
      <c r="AA3638" s="0" t="n">
        <f aca="false">X3638-Z3638</f>
        <v>46.5329143899611</v>
      </c>
      <c r="AB3638" s="0" t="n">
        <f aca="false">X3638+Z3638</f>
        <v>49.7002910193955</v>
      </c>
      <c r="AC3638" s="54" t="b">
        <f aca="false">AND(E3638&gt;=01_因子設定!$L$5-0.000000001,E3638&lt;=01_因子設定!$M$5+0.000000001,F3638&gt;=01_因子設定!$L$6-0.000000001,F3638&lt;=01_因子設定!$M$6+0.000000001,G3638&gt;=01_因子設定!$L$7-0.000000001,G3638&lt;=01_因子設定!$M$7+0.000000001,H3638&gt;=01_因子設定!$L$8-0.000000001,H3638&lt;=01_因子設定!$M$8+0.000000001,IF(01_因子設定!$B$20="Box-Behnken",E3638^2+F3638^2+G3638^2+H3638^2&lt;=2+0.000000001,TRUE()))</f>
        <v>1</v>
      </c>
      <c r="AD3638" s="55" t="n">
        <f aca="false">IF(AC3638,IF(01_因子設定!$B$13="最大化",AA3638-01_因子設定!$B$14,IF(01_因子設定!$B$13="最小化",01_因子設定!$B$15-AB3638,MIN(AA3638-01_因子設定!$B$14,01_因子設定!$B$15-AB3638))),-1E+030)</f>
        <v>0.0329143899611282</v>
      </c>
      <c r="AE3638" s="55" t="n">
        <f aca="false">IF(AC3638,IF(01_因子設定!$B$13="最大化",X3638,IF(01_因子設定!$B$13="最小化",-X3638,-ABS(X3638-01_因子設定!$B$16))),-1E+030)</f>
        <v>48.1166027046783</v>
      </c>
      <c r="AF3638" s="55" t="n">
        <f aca="false">AD3638+ROW()*0.000000001</f>
        <v>0.0329180279611282</v>
      </c>
      <c r="AG3638" s="55" t="n">
        <f aca="false">AE3638+ROW()*0.000000001</f>
        <v>48.1166063426783</v>
      </c>
    </row>
    <row r="3639" customFormat="false" ht="15" hidden="false" customHeight="false" outlineLevel="0" collapsed="false">
      <c r="A3639" s="0" t="n">
        <v>4</v>
      </c>
      <c r="B3639" s="0" t="n">
        <v>8</v>
      </c>
      <c r="C3639" s="0" t="n">
        <v>7</v>
      </c>
      <c r="D3639" s="0" t="n">
        <v>7</v>
      </c>
      <c r="E3639" s="0" t="n">
        <f aca="false">-1+A3639*0.25</f>
        <v>0</v>
      </c>
      <c r="F3639" s="0" t="n">
        <f aca="false">-1+B3639*0.25</f>
        <v>1</v>
      </c>
      <c r="G3639" s="0" t="n">
        <f aca="false">-1+C3639*0.25</f>
        <v>0.75</v>
      </c>
      <c r="H3639" s="0" t="n">
        <f aca="false">-1+D3639*0.25</f>
        <v>0.75</v>
      </c>
      <c r="I3639" s="0" t="n">
        <f aca="false">1</f>
        <v>1</v>
      </c>
      <c r="J3639" s="0" t="n">
        <f aca="false">E3639</f>
        <v>0</v>
      </c>
      <c r="K3639" s="0" t="n">
        <f aca="false">F3639</f>
        <v>1</v>
      </c>
      <c r="L3639" s="0" t="n">
        <f aca="false">G3639</f>
        <v>0.75</v>
      </c>
      <c r="M3639" s="0" t="n">
        <f aca="false">H3639</f>
        <v>0.75</v>
      </c>
      <c r="N3639" s="0" t="n">
        <f aca="false">E3639*F3639</f>
        <v>0</v>
      </c>
      <c r="O3639" s="0" t="n">
        <f aca="false">E3639*G3639</f>
        <v>0</v>
      </c>
      <c r="P3639" s="0" t="n">
        <f aca="false">E3639*H3639</f>
        <v>0</v>
      </c>
      <c r="Q3639" s="0" t="n">
        <f aca="false">F3639*G3639</f>
        <v>0.75</v>
      </c>
      <c r="R3639" s="0" t="n">
        <f aca="false">F3639*H3639</f>
        <v>0.75</v>
      </c>
      <c r="S3639" s="0" t="n">
        <f aca="false">G3639*H3639</f>
        <v>0.5625</v>
      </c>
      <c r="T3639" s="0" t="n">
        <f aca="false">E3639*E3639</f>
        <v>0</v>
      </c>
      <c r="U3639" s="0" t="n">
        <f aca="false">F3639*F3639</f>
        <v>1</v>
      </c>
      <c r="V3639" s="0" t="n">
        <f aca="false">G3639*G3639</f>
        <v>0.5625</v>
      </c>
      <c r="W3639" s="0" t="n">
        <f aca="false">H3639*H3639</f>
        <v>0.5625</v>
      </c>
      <c r="X3639" s="0" t="n">
        <f aca="false">SUMPRODUCT(I3639:W3639,_XtX!$B$96:$P$96)</f>
        <v>48.0992552997076</v>
      </c>
      <c r="Y3639" s="0" t="n">
        <f aca="false">SUMPRODUCT(MMULT(I3639:W3639,_XtX!$B$78:$P$92),I3639:W3639)</f>
        <v>0.494259126005117</v>
      </c>
      <c r="Z3639" s="0" t="n">
        <f aca="false">04_回帰ANOVA!$K$19*04_回帰ANOVA!$K$14*SQRT(1+Y3639)</f>
        <v>1.59335061078203</v>
      </c>
      <c r="AA3639" s="0" t="n">
        <f aca="false">X3639-Z3639</f>
        <v>46.5059046889255</v>
      </c>
      <c r="AB3639" s="0" t="n">
        <f aca="false">X3639+Z3639</f>
        <v>49.6926059104896</v>
      </c>
      <c r="AC3639" s="54" t="b">
        <f aca="false">AND(E3639&gt;=01_因子設定!$L$5-0.000000001,E3639&lt;=01_因子設定!$M$5+0.000000001,F3639&gt;=01_因子設定!$L$6-0.000000001,F3639&lt;=01_因子設定!$M$6+0.000000001,G3639&gt;=01_因子設定!$L$7-0.000000001,G3639&lt;=01_因子設定!$M$7+0.000000001,H3639&gt;=01_因子設定!$L$8-0.000000001,H3639&lt;=01_因子設定!$M$8+0.000000001,IF(01_因子設定!$B$20="Box-Behnken",E3639^2+F3639^2+G3639^2+H3639^2&lt;=2+0.000000001,TRUE()))</f>
        <v>1</v>
      </c>
      <c r="AD3639" s="55" t="n">
        <f aca="false">IF(AC3639,IF(01_因子設定!$B$13="最大化",AA3639-01_因子設定!$B$14,IF(01_因子設定!$B$13="最小化",01_因子設定!$B$15-AB3639,MIN(AA3639-01_因子設定!$B$14,01_因子設定!$B$15-AB3639))),-1E+030)</f>
        <v>0.00590468892553275</v>
      </c>
      <c r="AE3639" s="55" t="n">
        <f aca="false">IF(AC3639,IF(01_因子設定!$B$13="最大化",X3639,IF(01_因子設定!$B$13="最小化",-X3639,-ABS(X3639-01_因子設定!$B$16))),-1E+030)</f>
        <v>48.0992552997076</v>
      </c>
      <c r="AF3639" s="55" t="n">
        <f aca="false">AD3639+ROW()*0.000000001</f>
        <v>0.00590832792553275</v>
      </c>
      <c r="AG3639" s="55" t="n">
        <f aca="false">AE3639+ROW()*0.000000001</f>
        <v>48.0992589387076</v>
      </c>
    </row>
    <row r="3640" customFormat="false" ht="15" hidden="false" customHeight="false" outlineLevel="0" collapsed="false">
      <c r="A3640" s="0" t="n">
        <v>4</v>
      </c>
      <c r="B3640" s="0" t="n">
        <v>8</v>
      </c>
      <c r="C3640" s="0" t="n">
        <v>7</v>
      </c>
      <c r="D3640" s="0" t="n">
        <v>8</v>
      </c>
      <c r="E3640" s="0" t="n">
        <f aca="false">-1+A3640*0.25</f>
        <v>0</v>
      </c>
      <c r="F3640" s="0" t="n">
        <f aca="false">-1+B3640*0.25</f>
        <v>1</v>
      </c>
      <c r="G3640" s="0" t="n">
        <f aca="false">-1+C3640*0.25</f>
        <v>0.75</v>
      </c>
      <c r="H3640" s="0" t="n">
        <f aca="false">-1+D3640*0.25</f>
        <v>1</v>
      </c>
      <c r="I3640" s="0" t="n">
        <f aca="false">1</f>
        <v>1</v>
      </c>
      <c r="J3640" s="0" t="n">
        <f aca="false">E3640</f>
        <v>0</v>
      </c>
      <c r="K3640" s="0" t="n">
        <f aca="false">F3640</f>
        <v>1</v>
      </c>
      <c r="L3640" s="0" t="n">
        <f aca="false">G3640</f>
        <v>0.75</v>
      </c>
      <c r="M3640" s="0" t="n">
        <f aca="false">H3640</f>
        <v>1</v>
      </c>
      <c r="N3640" s="0" t="n">
        <f aca="false">E3640*F3640</f>
        <v>0</v>
      </c>
      <c r="O3640" s="0" t="n">
        <f aca="false">E3640*G3640</f>
        <v>0</v>
      </c>
      <c r="P3640" s="0" t="n">
        <f aca="false">E3640*H3640</f>
        <v>0</v>
      </c>
      <c r="Q3640" s="0" t="n">
        <f aca="false">F3640*G3640</f>
        <v>0.75</v>
      </c>
      <c r="R3640" s="0" t="n">
        <f aca="false">F3640*H3640</f>
        <v>1</v>
      </c>
      <c r="S3640" s="0" t="n">
        <f aca="false">G3640*H3640</f>
        <v>0.75</v>
      </c>
      <c r="T3640" s="0" t="n">
        <f aca="false">E3640*E3640</f>
        <v>0</v>
      </c>
      <c r="U3640" s="0" t="n">
        <f aca="false">F3640*F3640</f>
        <v>1</v>
      </c>
      <c r="V3640" s="0" t="n">
        <f aca="false">G3640*G3640</f>
        <v>0.5625</v>
      </c>
      <c r="W3640" s="0" t="n">
        <f aca="false">H3640*H3640</f>
        <v>1</v>
      </c>
      <c r="X3640" s="0" t="n">
        <f aca="false">SUMPRODUCT(I3640:W3640,_XtX!$B$96:$P$96)</f>
        <v>48.034100877193</v>
      </c>
      <c r="Y3640" s="0" t="n">
        <f aca="false">SUMPRODUCT(MMULT(I3640:W3640,_XtX!$B$78:$P$92),I3640:W3640)</f>
        <v>0.646198830409357</v>
      </c>
      <c r="Z3640" s="0" t="n">
        <f aca="false">04_回帰ANOVA!$K$19*04_回帰ANOVA!$K$14*SQRT(1+Y3640)</f>
        <v>1.67239760569756</v>
      </c>
      <c r="AA3640" s="0" t="n">
        <f aca="false">X3640-Z3640</f>
        <v>46.3617032714954</v>
      </c>
      <c r="AB3640" s="0" t="n">
        <f aca="false">X3640+Z3640</f>
        <v>49.7064984828905</v>
      </c>
      <c r="AC3640" s="54" t="b">
        <f aca="false">AND(E3640&gt;=01_因子設定!$L$5-0.000000001,E3640&lt;=01_因子設定!$M$5+0.000000001,F3640&gt;=01_因子設定!$L$6-0.000000001,F3640&lt;=01_因子設定!$M$6+0.000000001,G3640&gt;=01_因子設定!$L$7-0.000000001,G3640&lt;=01_因子設定!$M$7+0.000000001,H3640&gt;=01_因子設定!$L$8-0.000000001,H3640&lt;=01_因子設定!$M$8+0.000000001,IF(01_因子設定!$B$20="Box-Behnken",E3640^2+F3640^2+G3640^2+H3640^2&lt;=2+0.000000001,TRUE()))</f>
        <v>1</v>
      </c>
      <c r="AD3640" s="55" t="n">
        <f aca="false">IF(AC3640,IF(01_因子設定!$B$13="最大化",AA3640-01_因子設定!$B$14,IF(01_因子設定!$B$13="最小化",01_因子設定!$B$15-AB3640,MIN(AA3640-01_因子設定!$B$14,01_因子設定!$B$15-AB3640))),-1E+030)</f>
        <v>-0.138296728504599</v>
      </c>
      <c r="AE3640" s="55" t="n">
        <f aca="false">IF(AC3640,IF(01_因子設定!$B$13="最大化",X3640,IF(01_因子設定!$B$13="最小化",-X3640,-ABS(X3640-01_因子設定!$B$16))),-1E+030)</f>
        <v>48.034100877193</v>
      </c>
      <c r="AF3640" s="55" t="n">
        <f aca="false">AD3640+ROW()*0.000000001</f>
        <v>-0.138293088504599</v>
      </c>
      <c r="AG3640" s="55" t="n">
        <f aca="false">AE3640+ROW()*0.000000001</f>
        <v>48.034104517193</v>
      </c>
    </row>
    <row r="3641" customFormat="false" ht="15" hidden="false" customHeight="false" outlineLevel="0" collapsed="false">
      <c r="A3641" s="0" t="n">
        <v>4</v>
      </c>
      <c r="B3641" s="0" t="n">
        <v>8</v>
      </c>
      <c r="C3641" s="0" t="n">
        <v>8</v>
      </c>
      <c r="D3641" s="0" t="n">
        <v>0</v>
      </c>
      <c r="E3641" s="0" t="n">
        <f aca="false">-1+A3641*0.25</f>
        <v>0</v>
      </c>
      <c r="F3641" s="0" t="n">
        <f aca="false">-1+B3641*0.25</f>
        <v>1</v>
      </c>
      <c r="G3641" s="0" t="n">
        <f aca="false">-1+C3641*0.25</f>
        <v>1</v>
      </c>
      <c r="H3641" s="0" t="n">
        <f aca="false">-1+D3641*0.25</f>
        <v>-1</v>
      </c>
      <c r="I3641" s="0" t="n">
        <f aca="false">1</f>
        <v>1</v>
      </c>
      <c r="J3641" s="0" t="n">
        <f aca="false">E3641</f>
        <v>0</v>
      </c>
      <c r="K3641" s="0" t="n">
        <f aca="false">F3641</f>
        <v>1</v>
      </c>
      <c r="L3641" s="0" t="n">
        <f aca="false">G3641</f>
        <v>1</v>
      </c>
      <c r="M3641" s="0" t="n">
        <f aca="false">H3641</f>
        <v>-1</v>
      </c>
      <c r="N3641" s="0" t="n">
        <f aca="false">E3641*F3641</f>
        <v>0</v>
      </c>
      <c r="O3641" s="0" t="n">
        <f aca="false">E3641*G3641</f>
        <v>0</v>
      </c>
      <c r="P3641" s="0" t="n">
        <f aca="false">E3641*H3641</f>
        <v>-0</v>
      </c>
      <c r="Q3641" s="0" t="n">
        <f aca="false">F3641*G3641</f>
        <v>1</v>
      </c>
      <c r="R3641" s="0" t="n">
        <f aca="false">F3641*H3641</f>
        <v>-1</v>
      </c>
      <c r="S3641" s="0" t="n">
        <f aca="false">G3641*H3641</f>
        <v>-1</v>
      </c>
      <c r="T3641" s="0" t="n">
        <f aca="false">E3641*E3641</f>
        <v>0</v>
      </c>
      <c r="U3641" s="0" t="n">
        <f aca="false">F3641*F3641</f>
        <v>1</v>
      </c>
      <c r="V3641" s="0" t="n">
        <f aca="false">G3641*G3641</f>
        <v>1</v>
      </c>
      <c r="W3641" s="0" t="n">
        <f aca="false">H3641*H3641</f>
        <v>1</v>
      </c>
      <c r="X3641" s="0" t="n">
        <f aca="false">SUMPRODUCT(I3641:W3641,_XtX!$B$96:$P$96)</f>
        <v>47.1702485380117</v>
      </c>
      <c r="Y3641" s="0" t="n">
        <f aca="false">SUMPRODUCT(MMULT(I3641:W3641,_XtX!$B$78:$P$92),I3641:W3641)</f>
        <v>0.766447368421053</v>
      </c>
      <c r="Z3641" s="0" t="n">
        <f aca="false">04_回帰ANOVA!$K$19*04_回帰ANOVA!$K$14*SQRT(1+Y3641)</f>
        <v>1.7324022685743</v>
      </c>
      <c r="AA3641" s="0" t="n">
        <f aca="false">X3641-Z3641</f>
        <v>45.4378462694374</v>
      </c>
      <c r="AB3641" s="0" t="n">
        <f aca="false">X3641+Z3641</f>
        <v>48.902650806586</v>
      </c>
      <c r="AC3641" s="54" t="b">
        <f aca="false">AND(E3641&gt;=01_因子設定!$L$5-0.000000001,E3641&lt;=01_因子設定!$M$5+0.000000001,F3641&gt;=01_因子設定!$L$6-0.000000001,F3641&lt;=01_因子設定!$M$6+0.000000001,G3641&gt;=01_因子設定!$L$7-0.000000001,G3641&lt;=01_因子設定!$M$7+0.000000001,H3641&gt;=01_因子設定!$L$8-0.000000001,H3641&lt;=01_因子設定!$M$8+0.000000001,IF(01_因子設定!$B$20="Box-Behnken",E3641^2+F3641^2+G3641^2+H3641^2&lt;=2+0.000000001,TRUE()))</f>
        <v>1</v>
      </c>
      <c r="AD3641" s="55" t="n">
        <f aca="false">IF(AC3641,IF(01_因子設定!$B$13="最大化",AA3641-01_因子設定!$B$14,IF(01_因子設定!$B$13="最小化",01_因子設定!$B$15-AB3641,MIN(AA3641-01_因子設定!$B$14,01_因子設定!$B$15-AB3641))),-1E+030)</f>
        <v>-1.06215373056263</v>
      </c>
      <c r="AE3641" s="55" t="n">
        <f aca="false">IF(AC3641,IF(01_因子設定!$B$13="最大化",X3641,IF(01_因子設定!$B$13="最小化",-X3641,-ABS(X3641-01_因子設定!$B$16))),-1E+030)</f>
        <v>47.1702485380117</v>
      </c>
      <c r="AF3641" s="55" t="n">
        <f aca="false">AD3641+ROW()*0.000000001</f>
        <v>-1.06215008956263</v>
      </c>
      <c r="AG3641" s="55" t="n">
        <f aca="false">AE3641+ROW()*0.000000001</f>
        <v>47.1702521790117</v>
      </c>
    </row>
    <row r="3642" customFormat="false" ht="15" hidden="false" customHeight="false" outlineLevel="0" collapsed="false">
      <c r="A3642" s="0" t="n">
        <v>4</v>
      </c>
      <c r="B3642" s="0" t="n">
        <v>8</v>
      </c>
      <c r="C3642" s="0" t="n">
        <v>8</v>
      </c>
      <c r="D3642" s="0" t="n">
        <v>1</v>
      </c>
      <c r="E3642" s="0" t="n">
        <f aca="false">-1+A3642*0.25</f>
        <v>0</v>
      </c>
      <c r="F3642" s="0" t="n">
        <f aca="false">-1+B3642*0.25</f>
        <v>1</v>
      </c>
      <c r="G3642" s="0" t="n">
        <f aca="false">-1+C3642*0.25</f>
        <v>1</v>
      </c>
      <c r="H3642" s="0" t="n">
        <f aca="false">-1+D3642*0.25</f>
        <v>-0.75</v>
      </c>
      <c r="I3642" s="0" t="n">
        <f aca="false">1</f>
        <v>1</v>
      </c>
      <c r="J3642" s="0" t="n">
        <f aca="false">E3642</f>
        <v>0</v>
      </c>
      <c r="K3642" s="0" t="n">
        <f aca="false">F3642</f>
        <v>1</v>
      </c>
      <c r="L3642" s="0" t="n">
        <f aca="false">G3642</f>
        <v>1</v>
      </c>
      <c r="M3642" s="0" t="n">
        <f aca="false">H3642</f>
        <v>-0.75</v>
      </c>
      <c r="N3642" s="0" t="n">
        <f aca="false">E3642*F3642</f>
        <v>0</v>
      </c>
      <c r="O3642" s="0" t="n">
        <f aca="false">E3642*G3642</f>
        <v>0</v>
      </c>
      <c r="P3642" s="0" t="n">
        <f aca="false">E3642*H3642</f>
        <v>-0</v>
      </c>
      <c r="Q3642" s="0" t="n">
        <f aca="false">F3642*G3642</f>
        <v>1</v>
      </c>
      <c r="R3642" s="0" t="n">
        <f aca="false">F3642*H3642</f>
        <v>-0.75</v>
      </c>
      <c r="S3642" s="0" t="n">
        <f aca="false">G3642*H3642</f>
        <v>-0.75</v>
      </c>
      <c r="T3642" s="0" t="n">
        <f aca="false">E3642*E3642</f>
        <v>0</v>
      </c>
      <c r="U3642" s="0" t="n">
        <f aca="false">F3642*F3642</f>
        <v>1</v>
      </c>
      <c r="V3642" s="0" t="n">
        <f aca="false">G3642*G3642</f>
        <v>1</v>
      </c>
      <c r="W3642" s="0" t="n">
        <f aca="false">H3642*H3642</f>
        <v>0.5625</v>
      </c>
      <c r="X3642" s="0" t="n">
        <f aca="false">SUMPRODUCT(I3642:W3642,_XtX!$B$96:$P$96)</f>
        <v>47.4577119883041</v>
      </c>
      <c r="Y3642" s="0" t="n">
        <f aca="false">SUMPRODUCT(MMULT(I3642:W3642,_XtX!$B$78:$P$92),I3642:W3642)</f>
        <v>0.646198830409357</v>
      </c>
      <c r="Z3642" s="0" t="n">
        <f aca="false">04_回帰ANOVA!$K$19*04_回帰ANOVA!$K$14*SQRT(1+Y3642)</f>
        <v>1.67239760569756</v>
      </c>
      <c r="AA3642" s="0" t="n">
        <f aca="false">X3642-Z3642</f>
        <v>45.7853143826065</v>
      </c>
      <c r="AB3642" s="0" t="n">
        <f aca="false">X3642+Z3642</f>
        <v>49.1301095940016</v>
      </c>
      <c r="AC3642" s="54" t="b">
        <f aca="false">AND(E3642&gt;=01_因子設定!$L$5-0.000000001,E3642&lt;=01_因子設定!$M$5+0.000000001,F3642&gt;=01_因子設定!$L$6-0.000000001,F3642&lt;=01_因子設定!$M$6+0.000000001,G3642&gt;=01_因子設定!$L$7-0.000000001,G3642&lt;=01_因子設定!$M$7+0.000000001,H3642&gt;=01_因子設定!$L$8-0.000000001,H3642&lt;=01_因子設定!$M$8+0.000000001,IF(01_因子設定!$B$20="Box-Behnken",E3642^2+F3642^2+G3642^2+H3642^2&lt;=2+0.000000001,TRUE()))</f>
        <v>1</v>
      </c>
      <c r="AD3642" s="55" t="n">
        <f aca="false">IF(AC3642,IF(01_因子設定!$B$13="最大化",AA3642-01_因子設定!$B$14,IF(01_因子設定!$B$13="最小化",01_因子設定!$B$15-AB3642,MIN(AA3642-01_因子設定!$B$14,01_因子設定!$B$15-AB3642))),-1E+030)</f>
        <v>-0.714685617393499</v>
      </c>
      <c r="AE3642" s="55" t="n">
        <f aca="false">IF(AC3642,IF(01_因子設定!$B$13="最大化",X3642,IF(01_因子設定!$B$13="最小化",-X3642,-ABS(X3642-01_因子設定!$B$16))),-1E+030)</f>
        <v>47.4577119883041</v>
      </c>
      <c r="AF3642" s="55" t="n">
        <f aca="false">AD3642+ROW()*0.000000001</f>
        <v>-0.714681975393499</v>
      </c>
      <c r="AG3642" s="55" t="n">
        <f aca="false">AE3642+ROW()*0.000000001</f>
        <v>47.4577156303041</v>
      </c>
    </row>
    <row r="3643" customFormat="false" ht="15" hidden="false" customHeight="false" outlineLevel="0" collapsed="false">
      <c r="A3643" s="0" t="n">
        <v>4</v>
      </c>
      <c r="B3643" s="0" t="n">
        <v>8</v>
      </c>
      <c r="C3643" s="0" t="n">
        <v>8</v>
      </c>
      <c r="D3643" s="0" t="n">
        <v>2</v>
      </c>
      <c r="E3643" s="0" t="n">
        <f aca="false">-1+A3643*0.25</f>
        <v>0</v>
      </c>
      <c r="F3643" s="0" t="n">
        <f aca="false">-1+B3643*0.25</f>
        <v>1</v>
      </c>
      <c r="G3643" s="0" t="n">
        <f aca="false">-1+C3643*0.25</f>
        <v>1</v>
      </c>
      <c r="H3643" s="0" t="n">
        <f aca="false">-1+D3643*0.25</f>
        <v>-0.5</v>
      </c>
      <c r="I3643" s="0" t="n">
        <f aca="false">1</f>
        <v>1</v>
      </c>
      <c r="J3643" s="0" t="n">
        <f aca="false">E3643</f>
        <v>0</v>
      </c>
      <c r="K3643" s="0" t="n">
        <f aca="false">F3643</f>
        <v>1</v>
      </c>
      <c r="L3643" s="0" t="n">
        <f aca="false">G3643</f>
        <v>1</v>
      </c>
      <c r="M3643" s="0" t="n">
        <f aca="false">H3643</f>
        <v>-0.5</v>
      </c>
      <c r="N3643" s="0" t="n">
        <f aca="false">E3643*F3643</f>
        <v>0</v>
      </c>
      <c r="O3643" s="0" t="n">
        <f aca="false">E3643*G3643</f>
        <v>0</v>
      </c>
      <c r="P3643" s="0" t="n">
        <f aca="false">E3643*H3643</f>
        <v>-0</v>
      </c>
      <c r="Q3643" s="0" t="n">
        <f aca="false">F3643*G3643</f>
        <v>1</v>
      </c>
      <c r="R3643" s="0" t="n">
        <f aca="false">F3643*H3643</f>
        <v>-0.5</v>
      </c>
      <c r="S3643" s="0" t="n">
        <f aca="false">G3643*H3643</f>
        <v>-0.5</v>
      </c>
      <c r="T3643" s="0" t="n">
        <f aca="false">E3643*E3643</f>
        <v>0</v>
      </c>
      <c r="U3643" s="0" t="n">
        <f aca="false">F3643*F3643</f>
        <v>1</v>
      </c>
      <c r="V3643" s="0" t="n">
        <f aca="false">G3643*G3643</f>
        <v>1</v>
      </c>
      <c r="W3643" s="0" t="n">
        <f aca="false">H3643*H3643</f>
        <v>0.25</v>
      </c>
      <c r="X3643" s="0" t="n">
        <f aca="false">SUMPRODUCT(I3643:W3643,_XtX!$B$96:$P$96)</f>
        <v>47.6973684210526</v>
      </c>
      <c r="Y3643" s="0" t="n">
        <f aca="false">SUMPRODUCT(MMULT(I3643:W3643,_XtX!$B$78:$P$92),I3643:W3643)</f>
        <v>0.650767543859649</v>
      </c>
      <c r="Z3643" s="0" t="n">
        <f aca="false">04_回帰ANOVA!$K$19*04_回帰ANOVA!$K$14*SQRT(1+Y3643)</f>
        <v>1.67471670935165</v>
      </c>
      <c r="AA3643" s="0" t="n">
        <f aca="false">X3643-Z3643</f>
        <v>46.0226517117009</v>
      </c>
      <c r="AB3643" s="0" t="n">
        <f aca="false">X3643+Z3643</f>
        <v>49.3720851304042</v>
      </c>
      <c r="AC3643" s="54" t="b">
        <f aca="false">AND(E3643&gt;=01_因子設定!$L$5-0.000000001,E3643&lt;=01_因子設定!$M$5+0.000000001,F3643&gt;=01_因子設定!$L$6-0.000000001,F3643&lt;=01_因子設定!$M$6+0.000000001,G3643&gt;=01_因子設定!$L$7-0.000000001,G3643&lt;=01_因子設定!$M$7+0.000000001,H3643&gt;=01_因子設定!$L$8-0.000000001,H3643&lt;=01_因子設定!$M$8+0.000000001,IF(01_因子設定!$B$20="Box-Behnken",E3643^2+F3643^2+G3643^2+H3643^2&lt;=2+0.000000001,TRUE()))</f>
        <v>1</v>
      </c>
      <c r="AD3643" s="55" t="n">
        <f aca="false">IF(AC3643,IF(01_因子設定!$B$13="最大化",AA3643-01_因子設定!$B$14,IF(01_因子設定!$B$13="最小化",01_因子設定!$B$15-AB3643,MIN(AA3643-01_因子設定!$B$14,01_因子設定!$B$15-AB3643))),-1E+030)</f>
        <v>-0.477348288299069</v>
      </c>
      <c r="AE3643" s="55" t="n">
        <f aca="false">IF(AC3643,IF(01_因子設定!$B$13="最大化",X3643,IF(01_因子設定!$B$13="最小化",-X3643,-ABS(X3643-01_因子設定!$B$16))),-1E+030)</f>
        <v>47.6973684210526</v>
      </c>
      <c r="AF3643" s="55" t="n">
        <f aca="false">AD3643+ROW()*0.000000001</f>
        <v>-0.477344645299069</v>
      </c>
      <c r="AG3643" s="55" t="n">
        <f aca="false">AE3643+ROW()*0.000000001</f>
        <v>47.6973720640526</v>
      </c>
    </row>
    <row r="3644" customFormat="false" ht="15" hidden="false" customHeight="false" outlineLevel="0" collapsed="false">
      <c r="A3644" s="0" t="n">
        <v>4</v>
      </c>
      <c r="B3644" s="0" t="n">
        <v>8</v>
      </c>
      <c r="C3644" s="0" t="n">
        <v>8</v>
      </c>
      <c r="D3644" s="0" t="n">
        <v>3</v>
      </c>
      <c r="E3644" s="0" t="n">
        <f aca="false">-1+A3644*0.25</f>
        <v>0</v>
      </c>
      <c r="F3644" s="0" t="n">
        <f aca="false">-1+B3644*0.25</f>
        <v>1</v>
      </c>
      <c r="G3644" s="0" t="n">
        <f aca="false">-1+C3644*0.25</f>
        <v>1</v>
      </c>
      <c r="H3644" s="0" t="n">
        <f aca="false">-1+D3644*0.25</f>
        <v>-0.25</v>
      </c>
      <c r="I3644" s="0" t="n">
        <f aca="false">1</f>
        <v>1</v>
      </c>
      <c r="J3644" s="0" t="n">
        <f aca="false">E3644</f>
        <v>0</v>
      </c>
      <c r="K3644" s="0" t="n">
        <f aca="false">F3644</f>
        <v>1</v>
      </c>
      <c r="L3644" s="0" t="n">
        <f aca="false">G3644</f>
        <v>1</v>
      </c>
      <c r="M3644" s="0" t="n">
        <f aca="false">H3644</f>
        <v>-0.25</v>
      </c>
      <c r="N3644" s="0" t="n">
        <f aca="false">E3644*F3644</f>
        <v>0</v>
      </c>
      <c r="O3644" s="0" t="n">
        <f aca="false">E3644*G3644</f>
        <v>0</v>
      </c>
      <c r="P3644" s="0" t="n">
        <f aca="false">E3644*H3644</f>
        <v>-0</v>
      </c>
      <c r="Q3644" s="0" t="n">
        <f aca="false">F3644*G3644</f>
        <v>1</v>
      </c>
      <c r="R3644" s="0" t="n">
        <f aca="false">F3644*H3644</f>
        <v>-0.25</v>
      </c>
      <c r="S3644" s="0" t="n">
        <f aca="false">G3644*H3644</f>
        <v>-0.25</v>
      </c>
      <c r="T3644" s="0" t="n">
        <f aca="false">E3644*E3644</f>
        <v>0</v>
      </c>
      <c r="U3644" s="0" t="n">
        <f aca="false">F3644*F3644</f>
        <v>1</v>
      </c>
      <c r="V3644" s="0" t="n">
        <f aca="false">G3644*G3644</f>
        <v>1</v>
      </c>
      <c r="W3644" s="0" t="n">
        <f aca="false">H3644*H3644</f>
        <v>0.0625</v>
      </c>
      <c r="X3644" s="0" t="n">
        <f aca="false">SUMPRODUCT(I3644:W3644,_XtX!$B$96:$P$96)</f>
        <v>47.8892178362573</v>
      </c>
      <c r="Y3644" s="0" t="n">
        <f aca="false">SUMPRODUCT(MMULT(I3644:W3644,_XtX!$B$78:$P$92),I3644:W3644)</f>
        <v>0.689692982456141</v>
      </c>
      <c r="Z3644" s="0" t="n">
        <f aca="false">04_回帰ANOVA!$K$19*04_回帰ANOVA!$K$14*SQRT(1+Y3644)</f>
        <v>1.69434674594998</v>
      </c>
      <c r="AA3644" s="0" t="n">
        <f aca="false">X3644-Z3644</f>
        <v>46.1948710903073</v>
      </c>
      <c r="AB3644" s="0" t="n">
        <f aca="false">X3644+Z3644</f>
        <v>49.5835645822072</v>
      </c>
      <c r="AC3644" s="54" t="b">
        <f aca="false">AND(E3644&gt;=01_因子設定!$L$5-0.000000001,E3644&lt;=01_因子設定!$M$5+0.000000001,F3644&gt;=01_因子設定!$L$6-0.000000001,F3644&lt;=01_因子設定!$M$6+0.000000001,G3644&gt;=01_因子設定!$L$7-0.000000001,G3644&lt;=01_因子設定!$M$7+0.000000001,H3644&gt;=01_因子設定!$L$8-0.000000001,H3644&lt;=01_因子設定!$M$8+0.000000001,IF(01_因子設定!$B$20="Box-Behnken",E3644^2+F3644^2+G3644^2+H3644^2&lt;=2+0.000000001,TRUE()))</f>
        <v>1</v>
      </c>
      <c r="AD3644" s="55" t="n">
        <f aca="false">IF(AC3644,IF(01_因子設定!$B$13="最大化",AA3644-01_因子設定!$B$14,IF(01_因子設定!$B$13="最小化",01_因子設定!$B$15-AB3644,MIN(AA3644-01_因子設定!$B$14,01_因子設定!$B$15-AB3644))),-1E+030)</f>
        <v>-0.305128909692733</v>
      </c>
      <c r="AE3644" s="55" t="n">
        <f aca="false">IF(AC3644,IF(01_因子設定!$B$13="最大化",X3644,IF(01_因子設定!$B$13="最小化",-X3644,-ABS(X3644-01_因子設定!$B$16))),-1E+030)</f>
        <v>47.8892178362573</v>
      </c>
      <c r="AF3644" s="55" t="n">
        <f aca="false">AD3644+ROW()*0.000000001</f>
        <v>-0.305125265692733</v>
      </c>
      <c r="AG3644" s="55" t="n">
        <f aca="false">AE3644+ROW()*0.000000001</f>
        <v>47.8892214802573</v>
      </c>
    </row>
    <row r="3645" customFormat="false" ht="15" hidden="false" customHeight="false" outlineLevel="0" collapsed="false">
      <c r="A3645" s="0" t="n">
        <v>4</v>
      </c>
      <c r="B3645" s="0" t="n">
        <v>8</v>
      </c>
      <c r="C3645" s="0" t="n">
        <v>8</v>
      </c>
      <c r="D3645" s="0" t="n">
        <v>4</v>
      </c>
      <c r="E3645" s="0" t="n">
        <f aca="false">-1+A3645*0.25</f>
        <v>0</v>
      </c>
      <c r="F3645" s="0" t="n">
        <f aca="false">-1+B3645*0.25</f>
        <v>1</v>
      </c>
      <c r="G3645" s="0" t="n">
        <f aca="false">-1+C3645*0.25</f>
        <v>1</v>
      </c>
      <c r="H3645" s="0" t="n">
        <f aca="false">-1+D3645*0.25</f>
        <v>0</v>
      </c>
      <c r="I3645" s="0" t="n">
        <f aca="false">1</f>
        <v>1</v>
      </c>
      <c r="J3645" s="0" t="n">
        <f aca="false">E3645</f>
        <v>0</v>
      </c>
      <c r="K3645" s="0" t="n">
        <f aca="false">F3645</f>
        <v>1</v>
      </c>
      <c r="L3645" s="0" t="n">
        <f aca="false">G3645</f>
        <v>1</v>
      </c>
      <c r="M3645" s="0" t="n">
        <f aca="false">H3645</f>
        <v>0</v>
      </c>
      <c r="N3645" s="0" t="n">
        <f aca="false">E3645*F3645</f>
        <v>0</v>
      </c>
      <c r="O3645" s="0" t="n">
        <f aca="false">E3645*G3645</f>
        <v>0</v>
      </c>
      <c r="P3645" s="0" t="n">
        <f aca="false">E3645*H3645</f>
        <v>0</v>
      </c>
      <c r="Q3645" s="0" t="n">
        <f aca="false">F3645*G3645</f>
        <v>1</v>
      </c>
      <c r="R3645" s="0" t="n">
        <f aca="false">F3645*H3645</f>
        <v>0</v>
      </c>
      <c r="S3645" s="0" t="n">
        <f aca="false">G3645*H3645</f>
        <v>0</v>
      </c>
      <c r="T3645" s="0" t="n">
        <f aca="false">E3645*E3645</f>
        <v>0</v>
      </c>
      <c r="U3645" s="0" t="n">
        <f aca="false">F3645*F3645</f>
        <v>1</v>
      </c>
      <c r="V3645" s="0" t="n">
        <f aca="false">G3645*G3645</f>
        <v>1</v>
      </c>
      <c r="W3645" s="0" t="n">
        <f aca="false">H3645*H3645</f>
        <v>0</v>
      </c>
      <c r="X3645" s="0" t="n">
        <f aca="false">SUMPRODUCT(I3645:W3645,_XtX!$B$96:$P$96)</f>
        <v>48.0332602339181</v>
      </c>
      <c r="Y3645" s="0" t="n">
        <f aca="false">SUMPRODUCT(MMULT(I3645:W3645,_XtX!$B$78:$P$92),I3645:W3645)</f>
        <v>0.708698830409357</v>
      </c>
      <c r="Z3645" s="0" t="n">
        <f aca="false">04_回帰ANOVA!$K$19*04_回帰ANOVA!$K$14*SQRT(1+Y3645)</f>
        <v>1.70384919651719</v>
      </c>
      <c r="AA3645" s="0" t="n">
        <f aca="false">X3645-Z3645</f>
        <v>46.3294110374009</v>
      </c>
      <c r="AB3645" s="0" t="n">
        <f aca="false">X3645+Z3645</f>
        <v>49.7371094304353</v>
      </c>
      <c r="AC3645" s="54" t="b">
        <f aca="false">AND(E3645&gt;=01_因子設定!$L$5-0.000000001,E3645&lt;=01_因子設定!$M$5+0.000000001,F3645&gt;=01_因子設定!$L$6-0.000000001,F3645&lt;=01_因子設定!$M$6+0.000000001,G3645&gt;=01_因子設定!$L$7-0.000000001,G3645&lt;=01_因子設定!$M$7+0.000000001,H3645&gt;=01_因子設定!$L$8-0.000000001,H3645&lt;=01_因子設定!$M$8+0.000000001,IF(01_因子設定!$B$20="Box-Behnken",E3645^2+F3645^2+G3645^2+H3645^2&lt;=2+0.000000001,TRUE()))</f>
        <v>1</v>
      </c>
      <c r="AD3645" s="55" t="n">
        <f aca="false">IF(AC3645,IF(01_因子設定!$B$13="最大化",AA3645-01_因子設定!$B$14,IF(01_因子設定!$B$13="最小化",01_因子設定!$B$15-AB3645,MIN(AA3645-01_因子設定!$B$14,01_因子設定!$B$15-AB3645))),-1E+030)</f>
        <v>-0.170588962599126</v>
      </c>
      <c r="AE3645" s="55" t="n">
        <f aca="false">IF(AC3645,IF(01_因子設定!$B$13="最大化",X3645,IF(01_因子設定!$B$13="最小化",-X3645,-ABS(X3645-01_因子設定!$B$16))),-1E+030)</f>
        <v>48.0332602339181</v>
      </c>
      <c r="AF3645" s="55" t="n">
        <f aca="false">AD3645+ROW()*0.000000001</f>
        <v>-0.170585317599126</v>
      </c>
      <c r="AG3645" s="55" t="n">
        <f aca="false">AE3645+ROW()*0.000000001</f>
        <v>48.0332638789181</v>
      </c>
    </row>
    <row r="3646" customFormat="false" ht="15" hidden="false" customHeight="false" outlineLevel="0" collapsed="false">
      <c r="A3646" s="0" t="n">
        <v>4</v>
      </c>
      <c r="B3646" s="0" t="n">
        <v>8</v>
      </c>
      <c r="C3646" s="0" t="n">
        <v>8</v>
      </c>
      <c r="D3646" s="0" t="n">
        <v>5</v>
      </c>
      <c r="E3646" s="0" t="n">
        <f aca="false">-1+A3646*0.25</f>
        <v>0</v>
      </c>
      <c r="F3646" s="0" t="n">
        <f aca="false">-1+B3646*0.25</f>
        <v>1</v>
      </c>
      <c r="G3646" s="0" t="n">
        <f aca="false">-1+C3646*0.25</f>
        <v>1</v>
      </c>
      <c r="H3646" s="0" t="n">
        <f aca="false">-1+D3646*0.25</f>
        <v>0.25</v>
      </c>
      <c r="I3646" s="0" t="n">
        <f aca="false">1</f>
        <v>1</v>
      </c>
      <c r="J3646" s="0" t="n">
        <f aca="false">E3646</f>
        <v>0</v>
      </c>
      <c r="K3646" s="0" t="n">
        <f aca="false">F3646</f>
        <v>1</v>
      </c>
      <c r="L3646" s="0" t="n">
        <f aca="false">G3646</f>
        <v>1</v>
      </c>
      <c r="M3646" s="0" t="n">
        <f aca="false">H3646</f>
        <v>0.25</v>
      </c>
      <c r="N3646" s="0" t="n">
        <f aca="false">E3646*F3646</f>
        <v>0</v>
      </c>
      <c r="O3646" s="0" t="n">
        <f aca="false">E3646*G3646</f>
        <v>0</v>
      </c>
      <c r="P3646" s="0" t="n">
        <f aca="false">E3646*H3646</f>
        <v>0</v>
      </c>
      <c r="Q3646" s="0" t="n">
        <f aca="false">F3646*G3646</f>
        <v>1</v>
      </c>
      <c r="R3646" s="0" t="n">
        <f aca="false">F3646*H3646</f>
        <v>0.25</v>
      </c>
      <c r="S3646" s="0" t="n">
        <f aca="false">G3646*H3646</f>
        <v>0.25</v>
      </c>
      <c r="T3646" s="0" t="n">
        <f aca="false">E3646*E3646</f>
        <v>0</v>
      </c>
      <c r="U3646" s="0" t="n">
        <f aca="false">F3646*F3646</f>
        <v>1</v>
      </c>
      <c r="V3646" s="0" t="n">
        <f aca="false">G3646*G3646</f>
        <v>1</v>
      </c>
      <c r="W3646" s="0" t="n">
        <f aca="false">H3646*H3646</f>
        <v>0.0625</v>
      </c>
      <c r="X3646" s="0" t="n">
        <f aca="false">SUMPRODUCT(I3646:W3646,_XtX!$B$96:$P$96)</f>
        <v>48.129495614035</v>
      </c>
      <c r="Y3646" s="0" t="n">
        <f aca="false">SUMPRODUCT(MMULT(I3646:W3646,_XtX!$B$78:$P$92),I3646:W3646)</f>
        <v>0.689692982456141</v>
      </c>
      <c r="Z3646" s="0" t="n">
        <f aca="false">04_回帰ANOVA!$K$19*04_回帰ANOVA!$K$14*SQRT(1+Y3646)</f>
        <v>1.69434674594998</v>
      </c>
      <c r="AA3646" s="0" t="n">
        <f aca="false">X3646-Z3646</f>
        <v>46.435148868085</v>
      </c>
      <c r="AB3646" s="0" t="n">
        <f aca="false">X3646+Z3646</f>
        <v>49.823842359985</v>
      </c>
      <c r="AC3646" s="54" t="b">
        <f aca="false">AND(E3646&gt;=01_因子設定!$L$5-0.000000001,E3646&lt;=01_因子設定!$M$5+0.000000001,F3646&gt;=01_因子設定!$L$6-0.000000001,F3646&lt;=01_因子設定!$M$6+0.000000001,G3646&gt;=01_因子設定!$L$7-0.000000001,G3646&lt;=01_因子設定!$M$7+0.000000001,H3646&gt;=01_因子設定!$L$8-0.000000001,H3646&lt;=01_因子設定!$M$8+0.000000001,IF(01_因子設定!$B$20="Box-Behnken",E3646^2+F3646^2+G3646^2+H3646^2&lt;=2+0.000000001,TRUE()))</f>
        <v>1</v>
      </c>
      <c r="AD3646" s="55" t="n">
        <f aca="false">IF(AC3646,IF(01_因子設定!$B$13="最大化",AA3646-01_因子設定!$B$14,IF(01_因子設定!$B$13="最小化",01_因子設定!$B$15-AB3646,MIN(AA3646-01_因子設定!$B$14,01_因子設定!$B$15-AB3646))),-1E+030)</f>
        <v>-0.0648511319149563</v>
      </c>
      <c r="AE3646" s="55" t="n">
        <f aca="false">IF(AC3646,IF(01_因子設定!$B$13="最大化",X3646,IF(01_因子設定!$B$13="最小化",-X3646,-ABS(X3646-01_因子設定!$B$16))),-1E+030)</f>
        <v>48.129495614035</v>
      </c>
      <c r="AF3646" s="55" t="n">
        <f aca="false">AD3646+ROW()*0.000000001</f>
        <v>-0.0648474859149563</v>
      </c>
      <c r="AG3646" s="55" t="n">
        <f aca="false">AE3646+ROW()*0.000000001</f>
        <v>48.129499260035</v>
      </c>
    </row>
    <row r="3647" customFormat="false" ht="15" hidden="false" customHeight="false" outlineLevel="0" collapsed="false">
      <c r="A3647" s="0" t="n">
        <v>4</v>
      </c>
      <c r="B3647" s="0" t="n">
        <v>8</v>
      </c>
      <c r="C3647" s="0" t="n">
        <v>8</v>
      </c>
      <c r="D3647" s="0" t="n">
        <v>6</v>
      </c>
      <c r="E3647" s="0" t="n">
        <f aca="false">-1+A3647*0.25</f>
        <v>0</v>
      </c>
      <c r="F3647" s="0" t="n">
        <f aca="false">-1+B3647*0.25</f>
        <v>1</v>
      </c>
      <c r="G3647" s="0" t="n">
        <f aca="false">-1+C3647*0.25</f>
        <v>1</v>
      </c>
      <c r="H3647" s="0" t="n">
        <f aca="false">-1+D3647*0.25</f>
        <v>0.5</v>
      </c>
      <c r="I3647" s="0" t="n">
        <f aca="false">1</f>
        <v>1</v>
      </c>
      <c r="J3647" s="0" t="n">
        <f aca="false">E3647</f>
        <v>0</v>
      </c>
      <c r="K3647" s="0" t="n">
        <f aca="false">F3647</f>
        <v>1</v>
      </c>
      <c r="L3647" s="0" t="n">
        <f aca="false">G3647</f>
        <v>1</v>
      </c>
      <c r="M3647" s="0" t="n">
        <f aca="false">H3647</f>
        <v>0.5</v>
      </c>
      <c r="N3647" s="0" t="n">
        <f aca="false">E3647*F3647</f>
        <v>0</v>
      </c>
      <c r="O3647" s="0" t="n">
        <f aca="false">E3647*G3647</f>
        <v>0</v>
      </c>
      <c r="P3647" s="0" t="n">
        <f aca="false">E3647*H3647</f>
        <v>0</v>
      </c>
      <c r="Q3647" s="0" t="n">
        <f aca="false">F3647*G3647</f>
        <v>1</v>
      </c>
      <c r="R3647" s="0" t="n">
        <f aca="false">F3647*H3647</f>
        <v>0.5</v>
      </c>
      <c r="S3647" s="0" t="n">
        <f aca="false">G3647*H3647</f>
        <v>0.5</v>
      </c>
      <c r="T3647" s="0" t="n">
        <f aca="false">E3647*E3647</f>
        <v>0</v>
      </c>
      <c r="U3647" s="0" t="n">
        <f aca="false">F3647*F3647</f>
        <v>1</v>
      </c>
      <c r="V3647" s="0" t="n">
        <f aca="false">G3647*G3647</f>
        <v>1</v>
      </c>
      <c r="W3647" s="0" t="n">
        <f aca="false">H3647*H3647</f>
        <v>0.25</v>
      </c>
      <c r="X3647" s="0" t="n">
        <f aca="false">SUMPRODUCT(I3647:W3647,_XtX!$B$96:$P$96)</f>
        <v>48.1779239766081</v>
      </c>
      <c r="Y3647" s="0" t="n">
        <f aca="false">SUMPRODUCT(MMULT(I3647:W3647,_XtX!$B$78:$P$92),I3647:W3647)</f>
        <v>0.650767543859649</v>
      </c>
      <c r="Z3647" s="0" t="n">
        <f aca="false">04_回帰ANOVA!$K$19*04_回帰ANOVA!$K$14*SQRT(1+Y3647)</f>
        <v>1.67471670935165</v>
      </c>
      <c r="AA3647" s="0" t="n">
        <f aca="false">X3647-Z3647</f>
        <v>46.5032072672565</v>
      </c>
      <c r="AB3647" s="0" t="n">
        <f aca="false">X3647+Z3647</f>
        <v>49.8526406859598</v>
      </c>
      <c r="AC3647" s="54" t="b">
        <f aca="false">AND(E3647&gt;=01_因子設定!$L$5-0.000000001,E3647&lt;=01_因子設定!$M$5+0.000000001,F3647&gt;=01_因子設定!$L$6-0.000000001,F3647&lt;=01_因子設定!$M$6+0.000000001,G3647&gt;=01_因子設定!$L$7-0.000000001,G3647&lt;=01_因子設定!$M$7+0.000000001,H3647&gt;=01_因子設定!$L$8-0.000000001,H3647&lt;=01_因子設定!$M$8+0.000000001,IF(01_因子設定!$B$20="Box-Behnken",E3647^2+F3647^2+G3647^2+H3647^2&lt;=2+0.000000001,TRUE()))</f>
        <v>1</v>
      </c>
      <c r="AD3647" s="55" t="n">
        <f aca="false">IF(AC3647,IF(01_因子設定!$B$13="最大化",AA3647-01_因子設定!$B$14,IF(01_因子設定!$B$13="最小化",01_因子設定!$B$15-AB3647,MIN(AA3647-01_因子設定!$B$14,01_因子設定!$B$15-AB3647))),-1E+030)</f>
        <v>0.00320726725648512</v>
      </c>
      <c r="AE3647" s="55" t="n">
        <f aca="false">IF(AC3647,IF(01_因子設定!$B$13="最大化",X3647,IF(01_因子設定!$B$13="最小化",-X3647,-ABS(X3647-01_因子設定!$B$16))),-1E+030)</f>
        <v>48.1779239766081</v>
      </c>
      <c r="AF3647" s="55" t="n">
        <f aca="false">AD3647+ROW()*0.000000001</f>
        <v>0.00321091425648512</v>
      </c>
      <c r="AG3647" s="55" t="n">
        <f aca="false">AE3647+ROW()*0.000000001</f>
        <v>48.1779276236081</v>
      </c>
    </row>
    <row r="3648" customFormat="false" ht="15" hidden="false" customHeight="false" outlineLevel="0" collapsed="false">
      <c r="A3648" s="0" t="n">
        <v>4</v>
      </c>
      <c r="B3648" s="0" t="n">
        <v>8</v>
      </c>
      <c r="C3648" s="0" t="n">
        <v>8</v>
      </c>
      <c r="D3648" s="0" t="n">
        <v>7</v>
      </c>
      <c r="E3648" s="0" t="n">
        <f aca="false">-1+A3648*0.25</f>
        <v>0</v>
      </c>
      <c r="F3648" s="0" t="n">
        <f aca="false">-1+B3648*0.25</f>
        <v>1</v>
      </c>
      <c r="G3648" s="0" t="n">
        <f aca="false">-1+C3648*0.25</f>
        <v>1</v>
      </c>
      <c r="H3648" s="0" t="n">
        <f aca="false">-1+D3648*0.25</f>
        <v>0.75</v>
      </c>
      <c r="I3648" s="0" t="n">
        <f aca="false">1</f>
        <v>1</v>
      </c>
      <c r="J3648" s="0" t="n">
        <f aca="false">E3648</f>
        <v>0</v>
      </c>
      <c r="K3648" s="0" t="n">
        <f aca="false">F3648</f>
        <v>1</v>
      </c>
      <c r="L3648" s="0" t="n">
        <f aca="false">G3648</f>
        <v>1</v>
      </c>
      <c r="M3648" s="0" t="n">
        <f aca="false">H3648</f>
        <v>0.75</v>
      </c>
      <c r="N3648" s="0" t="n">
        <f aca="false">E3648*F3648</f>
        <v>0</v>
      </c>
      <c r="O3648" s="0" t="n">
        <f aca="false">E3648*G3648</f>
        <v>0</v>
      </c>
      <c r="P3648" s="0" t="n">
        <f aca="false">E3648*H3648</f>
        <v>0</v>
      </c>
      <c r="Q3648" s="0" t="n">
        <f aca="false">F3648*G3648</f>
        <v>1</v>
      </c>
      <c r="R3648" s="0" t="n">
        <f aca="false">F3648*H3648</f>
        <v>0.75</v>
      </c>
      <c r="S3648" s="0" t="n">
        <f aca="false">G3648*H3648</f>
        <v>0.75</v>
      </c>
      <c r="T3648" s="0" t="n">
        <f aca="false">E3648*E3648</f>
        <v>0</v>
      </c>
      <c r="U3648" s="0" t="n">
        <f aca="false">F3648*F3648</f>
        <v>1</v>
      </c>
      <c r="V3648" s="0" t="n">
        <f aca="false">G3648*G3648</f>
        <v>1</v>
      </c>
      <c r="W3648" s="0" t="n">
        <f aca="false">H3648*H3648</f>
        <v>0.5625</v>
      </c>
      <c r="X3648" s="0" t="n">
        <f aca="false">SUMPRODUCT(I3648:W3648,_XtX!$B$96:$P$96)</f>
        <v>48.1785453216374</v>
      </c>
      <c r="Y3648" s="0" t="n">
        <f aca="false">SUMPRODUCT(MMULT(I3648:W3648,_XtX!$B$78:$P$92),I3648:W3648)</f>
        <v>0.646198830409357</v>
      </c>
      <c r="Z3648" s="0" t="n">
        <f aca="false">04_回帰ANOVA!$K$19*04_回帰ANOVA!$K$14*SQRT(1+Y3648)</f>
        <v>1.67239760569756</v>
      </c>
      <c r="AA3648" s="0" t="n">
        <f aca="false">X3648-Z3648</f>
        <v>46.5061477159398</v>
      </c>
      <c r="AB3648" s="0" t="n">
        <f aca="false">X3648+Z3648</f>
        <v>49.8509429273349</v>
      </c>
      <c r="AC3648" s="54" t="b">
        <f aca="false">AND(E3648&gt;=01_因子設定!$L$5-0.000000001,E3648&lt;=01_因子設定!$M$5+0.000000001,F3648&gt;=01_因子設定!$L$6-0.000000001,F3648&lt;=01_因子設定!$M$6+0.000000001,G3648&gt;=01_因子設定!$L$7-0.000000001,G3648&lt;=01_因子設定!$M$7+0.000000001,H3648&gt;=01_因子設定!$L$8-0.000000001,H3648&lt;=01_因子設定!$M$8+0.000000001,IF(01_因子設定!$B$20="Box-Behnken",E3648^2+F3648^2+G3648^2+H3648^2&lt;=2+0.000000001,TRUE()))</f>
        <v>1</v>
      </c>
      <c r="AD3648" s="55" t="n">
        <f aca="false">IF(AC3648,IF(01_因子設定!$B$13="最大化",AA3648-01_因子設定!$B$14,IF(01_因子設定!$B$13="最小化",01_因子設定!$B$15-AB3648,MIN(AA3648-01_因子設定!$B$14,01_因子設定!$B$15-AB3648))),-1E+030)</f>
        <v>0.00614771593983221</v>
      </c>
      <c r="AE3648" s="55" t="n">
        <f aca="false">IF(AC3648,IF(01_因子設定!$B$13="最大化",X3648,IF(01_因子設定!$B$13="最小化",-X3648,-ABS(X3648-01_因子設定!$B$16))),-1E+030)</f>
        <v>48.1785453216374</v>
      </c>
      <c r="AF3648" s="55" t="n">
        <f aca="false">AD3648+ROW()*0.000000001</f>
        <v>0.00615136393983221</v>
      </c>
      <c r="AG3648" s="55" t="n">
        <f aca="false">AE3648+ROW()*0.000000001</f>
        <v>48.1785489696374</v>
      </c>
    </row>
    <row r="3649" customFormat="false" ht="15" hidden="false" customHeight="false" outlineLevel="0" collapsed="false">
      <c r="A3649" s="0" t="n">
        <v>4</v>
      </c>
      <c r="B3649" s="0" t="n">
        <v>8</v>
      </c>
      <c r="C3649" s="0" t="n">
        <v>8</v>
      </c>
      <c r="D3649" s="0" t="n">
        <v>8</v>
      </c>
      <c r="E3649" s="0" t="n">
        <f aca="false">-1+A3649*0.25</f>
        <v>0</v>
      </c>
      <c r="F3649" s="0" t="n">
        <f aca="false">-1+B3649*0.25</f>
        <v>1</v>
      </c>
      <c r="G3649" s="0" t="n">
        <f aca="false">-1+C3649*0.25</f>
        <v>1</v>
      </c>
      <c r="H3649" s="0" t="n">
        <f aca="false">-1+D3649*0.25</f>
        <v>1</v>
      </c>
      <c r="I3649" s="0" t="n">
        <f aca="false">1</f>
        <v>1</v>
      </c>
      <c r="J3649" s="0" t="n">
        <f aca="false">E3649</f>
        <v>0</v>
      </c>
      <c r="K3649" s="0" t="n">
        <f aca="false">F3649</f>
        <v>1</v>
      </c>
      <c r="L3649" s="0" t="n">
        <f aca="false">G3649</f>
        <v>1</v>
      </c>
      <c r="M3649" s="0" t="n">
        <f aca="false">H3649</f>
        <v>1</v>
      </c>
      <c r="N3649" s="0" t="n">
        <f aca="false">E3649*F3649</f>
        <v>0</v>
      </c>
      <c r="O3649" s="0" t="n">
        <f aca="false">E3649*G3649</f>
        <v>0</v>
      </c>
      <c r="P3649" s="0" t="n">
        <f aca="false">E3649*H3649</f>
        <v>0</v>
      </c>
      <c r="Q3649" s="0" t="n">
        <f aca="false">F3649*G3649</f>
        <v>1</v>
      </c>
      <c r="R3649" s="0" t="n">
        <f aca="false">F3649*H3649</f>
        <v>1</v>
      </c>
      <c r="S3649" s="0" t="n">
        <f aca="false">G3649*H3649</f>
        <v>1</v>
      </c>
      <c r="T3649" s="0" t="n">
        <f aca="false">E3649*E3649</f>
        <v>0</v>
      </c>
      <c r="U3649" s="0" t="n">
        <f aca="false">F3649*F3649</f>
        <v>1</v>
      </c>
      <c r="V3649" s="0" t="n">
        <f aca="false">G3649*G3649</f>
        <v>1</v>
      </c>
      <c r="W3649" s="0" t="n">
        <f aca="false">H3649*H3649</f>
        <v>1</v>
      </c>
      <c r="X3649" s="0" t="n">
        <f aca="false">SUMPRODUCT(I3649:W3649,_XtX!$B$96:$P$96)</f>
        <v>48.1313596491228</v>
      </c>
      <c r="Y3649" s="0" t="n">
        <f aca="false">SUMPRODUCT(MMULT(I3649:W3649,_XtX!$B$78:$P$92),I3649:W3649)</f>
        <v>0.766447368421053</v>
      </c>
      <c r="Z3649" s="0" t="n">
        <f aca="false">04_回帰ANOVA!$K$19*04_回帰ANOVA!$K$14*SQRT(1+Y3649)</f>
        <v>1.7324022685743</v>
      </c>
      <c r="AA3649" s="0" t="n">
        <f aca="false">X3649-Z3649</f>
        <v>46.3989573805485</v>
      </c>
      <c r="AB3649" s="0" t="n">
        <f aca="false">X3649+Z3649</f>
        <v>49.8637619176971</v>
      </c>
      <c r="AC3649" s="54" t="b">
        <f aca="false">AND(E3649&gt;=01_因子設定!$L$5-0.000000001,E3649&lt;=01_因子設定!$M$5+0.000000001,F3649&gt;=01_因子設定!$L$6-0.000000001,F3649&lt;=01_因子設定!$M$6+0.000000001,G3649&gt;=01_因子設定!$L$7-0.000000001,G3649&lt;=01_因子設定!$M$7+0.000000001,H3649&gt;=01_因子設定!$L$8-0.000000001,H3649&lt;=01_因子設定!$M$8+0.000000001,IF(01_因子設定!$B$20="Box-Behnken",E3649^2+F3649^2+G3649^2+H3649^2&lt;=2+0.000000001,TRUE()))</f>
        <v>1</v>
      </c>
      <c r="AD3649" s="55" t="n">
        <f aca="false">IF(AC3649,IF(01_因子設定!$B$13="最大化",AA3649-01_因子設定!$B$14,IF(01_因子設定!$B$13="最小化",01_因子設定!$B$15-AB3649,MIN(AA3649-01_因子設定!$B$14,01_因子設定!$B$15-AB3649))),-1E+030)</f>
        <v>-0.101042619451526</v>
      </c>
      <c r="AE3649" s="55" t="n">
        <f aca="false">IF(AC3649,IF(01_因子設定!$B$13="最大化",X3649,IF(01_因子設定!$B$13="最小化",-X3649,-ABS(X3649-01_因子設定!$B$16))),-1E+030)</f>
        <v>48.1313596491228</v>
      </c>
      <c r="AF3649" s="55" t="n">
        <f aca="false">AD3649+ROW()*0.000000001</f>
        <v>-0.101038970451526</v>
      </c>
      <c r="AG3649" s="55" t="n">
        <f aca="false">AE3649+ROW()*0.000000001</f>
        <v>48.1313632981228</v>
      </c>
    </row>
    <row r="3650" customFormat="false" ht="15" hidden="false" customHeight="false" outlineLevel="0" collapsed="false">
      <c r="A3650" s="0" t="n">
        <v>5</v>
      </c>
      <c r="B3650" s="0" t="n">
        <v>0</v>
      </c>
      <c r="C3650" s="0" t="n">
        <v>0</v>
      </c>
      <c r="D3650" s="0" t="n">
        <v>0</v>
      </c>
      <c r="E3650" s="0" t="n">
        <f aca="false">-1+A3650*0.25</f>
        <v>0.25</v>
      </c>
      <c r="F3650" s="0" t="n">
        <f aca="false">-1+B3650*0.25</f>
        <v>-1</v>
      </c>
      <c r="G3650" s="0" t="n">
        <f aca="false">-1+C3650*0.25</f>
        <v>-1</v>
      </c>
      <c r="H3650" s="0" t="n">
        <f aca="false">-1+D3650*0.25</f>
        <v>-1</v>
      </c>
      <c r="I3650" s="0" t="n">
        <f aca="false">1</f>
        <v>1</v>
      </c>
      <c r="J3650" s="0" t="n">
        <f aca="false">E3650</f>
        <v>0.25</v>
      </c>
      <c r="K3650" s="0" t="n">
        <f aca="false">F3650</f>
        <v>-1</v>
      </c>
      <c r="L3650" s="0" t="n">
        <f aca="false">G3650</f>
        <v>-1</v>
      </c>
      <c r="M3650" s="0" t="n">
        <f aca="false">H3650</f>
        <v>-1</v>
      </c>
      <c r="N3650" s="0" t="n">
        <f aca="false">E3650*F3650</f>
        <v>-0.25</v>
      </c>
      <c r="O3650" s="0" t="n">
        <f aca="false">E3650*G3650</f>
        <v>-0.25</v>
      </c>
      <c r="P3650" s="0" t="n">
        <f aca="false">E3650*H3650</f>
        <v>-0.25</v>
      </c>
      <c r="Q3650" s="0" t="n">
        <f aca="false">F3650*G3650</f>
        <v>1</v>
      </c>
      <c r="R3650" s="0" t="n">
        <f aca="false">F3650*H3650</f>
        <v>1</v>
      </c>
      <c r="S3650" s="0" t="n">
        <f aca="false">G3650*H3650</f>
        <v>1</v>
      </c>
      <c r="T3650" s="0" t="n">
        <f aca="false">E3650*E3650</f>
        <v>0.0625</v>
      </c>
      <c r="U3650" s="0" t="n">
        <f aca="false">F3650*F3650</f>
        <v>1</v>
      </c>
      <c r="V3650" s="0" t="n">
        <f aca="false">G3650*G3650</f>
        <v>1</v>
      </c>
      <c r="W3650" s="0" t="n">
        <f aca="false">H3650*H3650</f>
        <v>1</v>
      </c>
      <c r="X3650" s="0" t="n">
        <f aca="false">SUMPRODUCT(I3650:W3650,_XtX!$B$96:$P$96)</f>
        <v>41.3546783625731</v>
      </c>
      <c r="Y3650" s="0" t="n">
        <f aca="false">SUMPRODUCT(MMULT(I3650:W3650,_XtX!$B$78:$P$92),I3650:W3650)</f>
        <v>0.737093384502924</v>
      </c>
      <c r="Z3650" s="0" t="n">
        <f aca="false">04_回帰ANOVA!$K$19*04_回帰ANOVA!$K$14*SQRT(1+Y3650)</f>
        <v>1.71794784853551</v>
      </c>
      <c r="AA3650" s="0" t="n">
        <f aca="false">X3650-Z3650</f>
        <v>39.6367305140376</v>
      </c>
      <c r="AB3650" s="0" t="n">
        <f aca="false">X3650+Z3650</f>
        <v>43.0726262111086</v>
      </c>
      <c r="AC3650" s="54" t="b">
        <f aca="false">AND(E3650&gt;=01_因子設定!$L$5-0.000000001,E3650&lt;=01_因子設定!$M$5+0.000000001,F3650&gt;=01_因子設定!$L$6-0.000000001,F3650&lt;=01_因子設定!$M$6+0.000000001,G3650&gt;=01_因子設定!$L$7-0.000000001,G3650&lt;=01_因子設定!$M$7+0.000000001,H3650&gt;=01_因子設定!$L$8-0.000000001,H3650&lt;=01_因子設定!$M$8+0.000000001,IF(01_因子設定!$B$20="Box-Behnken",E3650^2+F3650^2+G3650^2+H3650^2&lt;=2+0.000000001,TRUE()))</f>
        <v>1</v>
      </c>
      <c r="AD3650" s="55" t="n">
        <f aca="false">IF(AC3650,IF(01_因子設定!$B$13="最大化",AA3650-01_因子設定!$B$14,IF(01_因子設定!$B$13="最小化",01_因子設定!$B$15-AB3650,MIN(AA3650-01_因子設定!$B$14,01_因子設定!$B$15-AB3650))),-1E+030)</f>
        <v>-6.86326948596242</v>
      </c>
      <c r="AE3650" s="55" t="n">
        <f aca="false">IF(AC3650,IF(01_因子設定!$B$13="最大化",X3650,IF(01_因子設定!$B$13="最小化",-X3650,-ABS(X3650-01_因子設定!$B$16))),-1E+030)</f>
        <v>41.3546783625731</v>
      </c>
      <c r="AF3650" s="55" t="n">
        <f aca="false">AD3650+ROW()*0.000000001</f>
        <v>-6.86326583596242</v>
      </c>
      <c r="AG3650" s="55" t="n">
        <f aca="false">AE3650+ROW()*0.000000001</f>
        <v>41.3546820125731</v>
      </c>
    </row>
    <row r="3651" customFormat="false" ht="15" hidden="false" customHeight="false" outlineLevel="0" collapsed="false">
      <c r="A3651" s="0" t="n">
        <v>5</v>
      </c>
      <c r="B3651" s="0" t="n">
        <v>0</v>
      </c>
      <c r="C3651" s="0" t="n">
        <v>0</v>
      </c>
      <c r="D3651" s="0" t="n">
        <v>1</v>
      </c>
      <c r="E3651" s="0" t="n">
        <f aca="false">-1+A3651*0.25</f>
        <v>0.25</v>
      </c>
      <c r="F3651" s="0" t="n">
        <f aca="false">-1+B3651*0.25</f>
        <v>-1</v>
      </c>
      <c r="G3651" s="0" t="n">
        <f aca="false">-1+C3651*0.25</f>
        <v>-1</v>
      </c>
      <c r="H3651" s="0" t="n">
        <f aca="false">-1+D3651*0.25</f>
        <v>-0.75</v>
      </c>
      <c r="I3651" s="0" t="n">
        <f aca="false">1</f>
        <v>1</v>
      </c>
      <c r="J3651" s="0" t="n">
        <f aca="false">E3651</f>
        <v>0.25</v>
      </c>
      <c r="K3651" s="0" t="n">
        <f aca="false">F3651</f>
        <v>-1</v>
      </c>
      <c r="L3651" s="0" t="n">
        <f aca="false">G3651</f>
        <v>-1</v>
      </c>
      <c r="M3651" s="0" t="n">
        <f aca="false">H3651</f>
        <v>-0.75</v>
      </c>
      <c r="N3651" s="0" t="n">
        <f aca="false">E3651*F3651</f>
        <v>-0.25</v>
      </c>
      <c r="O3651" s="0" t="n">
        <f aca="false">E3651*G3651</f>
        <v>-0.25</v>
      </c>
      <c r="P3651" s="0" t="n">
        <f aca="false">E3651*H3651</f>
        <v>-0.1875</v>
      </c>
      <c r="Q3651" s="0" t="n">
        <f aca="false">F3651*G3651</f>
        <v>1</v>
      </c>
      <c r="R3651" s="0" t="n">
        <f aca="false">F3651*H3651</f>
        <v>0.75</v>
      </c>
      <c r="S3651" s="0" t="n">
        <f aca="false">G3651*H3651</f>
        <v>0.75</v>
      </c>
      <c r="T3651" s="0" t="n">
        <f aca="false">E3651*E3651</f>
        <v>0.0625</v>
      </c>
      <c r="U3651" s="0" t="n">
        <f aca="false">F3651*F3651</f>
        <v>1</v>
      </c>
      <c r="V3651" s="0" t="n">
        <f aca="false">G3651*G3651</f>
        <v>1</v>
      </c>
      <c r="W3651" s="0" t="n">
        <f aca="false">H3651*H3651</f>
        <v>0.5625</v>
      </c>
      <c r="X3651" s="0" t="n">
        <f aca="false">SUMPRODUCT(I3651:W3651,_XtX!$B$96:$P$96)</f>
        <v>41.6124543128655</v>
      </c>
      <c r="Y3651" s="0" t="n">
        <f aca="false">SUMPRODUCT(MMULT(I3651:W3651,_XtX!$B$78:$P$92),I3651:W3651)</f>
        <v>0.621372155975877</v>
      </c>
      <c r="Z3651" s="0" t="n">
        <f aca="false">04_回帰ANOVA!$K$19*04_回帰ANOVA!$K$14*SQRT(1+Y3651)</f>
        <v>1.65973880499872</v>
      </c>
      <c r="AA3651" s="0" t="n">
        <f aca="false">X3651-Z3651</f>
        <v>39.9527155078667</v>
      </c>
      <c r="AB3651" s="0" t="n">
        <f aca="false">X3651+Z3651</f>
        <v>43.2721931178642</v>
      </c>
      <c r="AC3651" s="54" t="b">
        <f aca="false">AND(E3651&gt;=01_因子設定!$L$5-0.000000001,E3651&lt;=01_因子設定!$M$5+0.000000001,F3651&gt;=01_因子設定!$L$6-0.000000001,F3651&lt;=01_因子設定!$M$6+0.000000001,G3651&gt;=01_因子設定!$L$7-0.000000001,G3651&lt;=01_因子設定!$M$7+0.000000001,H3651&gt;=01_因子設定!$L$8-0.000000001,H3651&lt;=01_因子設定!$M$8+0.000000001,IF(01_因子設定!$B$20="Box-Behnken",E3651^2+F3651^2+G3651^2+H3651^2&lt;=2+0.000000001,TRUE()))</f>
        <v>1</v>
      </c>
      <c r="AD3651" s="55" t="n">
        <f aca="false">IF(AC3651,IF(01_因子設定!$B$13="最大化",AA3651-01_因子設定!$B$14,IF(01_因子設定!$B$13="最小化",01_因子設定!$B$15-AB3651,MIN(AA3651-01_因子設定!$B$14,01_因子設定!$B$15-AB3651))),-1E+030)</f>
        <v>-6.54728449213326</v>
      </c>
      <c r="AE3651" s="55" t="n">
        <f aca="false">IF(AC3651,IF(01_因子設定!$B$13="最大化",X3651,IF(01_因子設定!$B$13="最小化",-X3651,-ABS(X3651-01_因子設定!$B$16))),-1E+030)</f>
        <v>41.6124543128655</v>
      </c>
      <c r="AF3651" s="55" t="n">
        <f aca="false">AD3651+ROW()*0.000000001</f>
        <v>-6.54728084113326</v>
      </c>
      <c r="AG3651" s="55" t="n">
        <f aca="false">AE3651+ROW()*0.000000001</f>
        <v>41.6124579638655</v>
      </c>
    </row>
    <row r="3652" customFormat="false" ht="15" hidden="false" customHeight="false" outlineLevel="0" collapsed="false">
      <c r="A3652" s="0" t="n">
        <v>5</v>
      </c>
      <c r="B3652" s="0" t="n">
        <v>0</v>
      </c>
      <c r="C3652" s="0" t="n">
        <v>0</v>
      </c>
      <c r="D3652" s="0" t="n">
        <v>2</v>
      </c>
      <c r="E3652" s="0" t="n">
        <f aca="false">-1+A3652*0.25</f>
        <v>0.25</v>
      </c>
      <c r="F3652" s="0" t="n">
        <f aca="false">-1+B3652*0.25</f>
        <v>-1</v>
      </c>
      <c r="G3652" s="0" t="n">
        <f aca="false">-1+C3652*0.25</f>
        <v>-1</v>
      </c>
      <c r="H3652" s="0" t="n">
        <f aca="false">-1+D3652*0.25</f>
        <v>-0.5</v>
      </c>
      <c r="I3652" s="0" t="n">
        <f aca="false">1</f>
        <v>1</v>
      </c>
      <c r="J3652" s="0" t="n">
        <f aca="false">E3652</f>
        <v>0.25</v>
      </c>
      <c r="K3652" s="0" t="n">
        <f aca="false">F3652</f>
        <v>-1</v>
      </c>
      <c r="L3652" s="0" t="n">
        <f aca="false">G3652</f>
        <v>-1</v>
      </c>
      <c r="M3652" s="0" t="n">
        <f aca="false">H3652</f>
        <v>-0.5</v>
      </c>
      <c r="N3652" s="0" t="n">
        <f aca="false">E3652*F3652</f>
        <v>-0.25</v>
      </c>
      <c r="O3652" s="0" t="n">
        <f aca="false">E3652*G3652</f>
        <v>-0.25</v>
      </c>
      <c r="P3652" s="0" t="n">
        <f aca="false">E3652*H3652</f>
        <v>-0.125</v>
      </c>
      <c r="Q3652" s="0" t="n">
        <f aca="false">F3652*G3652</f>
        <v>1</v>
      </c>
      <c r="R3652" s="0" t="n">
        <f aca="false">F3652*H3652</f>
        <v>0.5</v>
      </c>
      <c r="S3652" s="0" t="n">
        <f aca="false">G3652*H3652</f>
        <v>0.5</v>
      </c>
      <c r="T3652" s="0" t="n">
        <f aca="false">E3652*E3652</f>
        <v>0.0625</v>
      </c>
      <c r="U3652" s="0" t="n">
        <f aca="false">F3652*F3652</f>
        <v>1</v>
      </c>
      <c r="V3652" s="0" t="n">
        <f aca="false">G3652*G3652</f>
        <v>1</v>
      </c>
      <c r="W3652" s="0" t="n">
        <f aca="false">H3652*H3652</f>
        <v>0.25</v>
      </c>
      <c r="X3652" s="0" t="n">
        <f aca="false">SUMPRODUCT(I3652:W3652,_XtX!$B$96:$P$96)</f>
        <v>41.822423245614</v>
      </c>
      <c r="Y3652" s="0" t="n">
        <f aca="false">SUMPRODUCT(MMULT(I3652:W3652,_XtX!$B$78:$P$92),I3652:W3652)</f>
        <v>0.629174661915205</v>
      </c>
      <c r="Z3652" s="0" t="n">
        <f aca="false">04_回帰ANOVA!$K$19*04_回帰ANOVA!$K$14*SQRT(1+Y3652)</f>
        <v>1.66372758058297</v>
      </c>
      <c r="AA3652" s="0" t="n">
        <f aca="false">X3652-Z3652</f>
        <v>40.158695665031</v>
      </c>
      <c r="AB3652" s="0" t="n">
        <f aca="false">X3652+Z3652</f>
        <v>43.486150826197</v>
      </c>
      <c r="AC3652" s="54" t="b">
        <f aca="false">AND(E3652&gt;=01_因子設定!$L$5-0.000000001,E3652&lt;=01_因子設定!$M$5+0.000000001,F3652&gt;=01_因子設定!$L$6-0.000000001,F3652&lt;=01_因子設定!$M$6+0.000000001,G3652&gt;=01_因子設定!$L$7-0.000000001,G3652&lt;=01_因子設定!$M$7+0.000000001,H3652&gt;=01_因子設定!$L$8-0.000000001,H3652&lt;=01_因子設定!$M$8+0.000000001,IF(01_因子設定!$B$20="Box-Behnken",E3652^2+F3652^2+G3652^2+H3652^2&lt;=2+0.000000001,TRUE()))</f>
        <v>1</v>
      </c>
      <c r="AD3652" s="55" t="n">
        <f aca="false">IF(AC3652,IF(01_因子設定!$B$13="最大化",AA3652-01_因子設定!$B$14,IF(01_因子設定!$B$13="最小化",01_因子設定!$B$15-AB3652,MIN(AA3652-01_因子設定!$B$14,01_因子設定!$B$15-AB3652))),-1E+030)</f>
        <v>-6.34130433496898</v>
      </c>
      <c r="AE3652" s="55" t="n">
        <f aca="false">IF(AC3652,IF(01_因子設定!$B$13="最大化",X3652,IF(01_因子設定!$B$13="最小化",-X3652,-ABS(X3652-01_因子設定!$B$16))),-1E+030)</f>
        <v>41.822423245614</v>
      </c>
      <c r="AF3652" s="55" t="n">
        <f aca="false">AD3652+ROW()*0.000000001</f>
        <v>-6.34130068296898</v>
      </c>
      <c r="AG3652" s="55" t="n">
        <f aca="false">AE3652+ROW()*0.000000001</f>
        <v>41.822426897614</v>
      </c>
    </row>
    <row r="3653" customFormat="false" ht="15" hidden="false" customHeight="false" outlineLevel="0" collapsed="false">
      <c r="A3653" s="0" t="n">
        <v>5</v>
      </c>
      <c r="B3653" s="0" t="n">
        <v>0</v>
      </c>
      <c r="C3653" s="0" t="n">
        <v>0</v>
      </c>
      <c r="D3653" s="0" t="n">
        <v>3</v>
      </c>
      <c r="E3653" s="0" t="n">
        <f aca="false">-1+A3653*0.25</f>
        <v>0.25</v>
      </c>
      <c r="F3653" s="0" t="n">
        <f aca="false">-1+B3653*0.25</f>
        <v>-1</v>
      </c>
      <c r="G3653" s="0" t="n">
        <f aca="false">-1+C3653*0.25</f>
        <v>-1</v>
      </c>
      <c r="H3653" s="0" t="n">
        <f aca="false">-1+D3653*0.25</f>
        <v>-0.25</v>
      </c>
      <c r="I3653" s="0" t="n">
        <f aca="false">1</f>
        <v>1</v>
      </c>
      <c r="J3653" s="0" t="n">
        <f aca="false">E3653</f>
        <v>0.25</v>
      </c>
      <c r="K3653" s="0" t="n">
        <f aca="false">F3653</f>
        <v>-1</v>
      </c>
      <c r="L3653" s="0" t="n">
        <f aca="false">G3653</f>
        <v>-1</v>
      </c>
      <c r="M3653" s="0" t="n">
        <f aca="false">H3653</f>
        <v>-0.25</v>
      </c>
      <c r="N3653" s="0" t="n">
        <f aca="false">E3653*F3653</f>
        <v>-0.25</v>
      </c>
      <c r="O3653" s="0" t="n">
        <f aca="false">E3653*G3653</f>
        <v>-0.25</v>
      </c>
      <c r="P3653" s="0" t="n">
        <f aca="false">E3653*H3653</f>
        <v>-0.0625</v>
      </c>
      <c r="Q3653" s="0" t="n">
        <f aca="false">F3653*G3653</f>
        <v>1</v>
      </c>
      <c r="R3653" s="0" t="n">
        <f aca="false">F3653*H3653</f>
        <v>0.25</v>
      </c>
      <c r="S3653" s="0" t="n">
        <f aca="false">G3653*H3653</f>
        <v>0.25</v>
      </c>
      <c r="T3653" s="0" t="n">
        <f aca="false">E3653*E3653</f>
        <v>0.0625</v>
      </c>
      <c r="U3653" s="0" t="n">
        <f aca="false">F3653*F3653</f>
        <v>1</v>
      </c>
      <c r="V3653" s="0" t="n">
        <f aca="false">G3653*G3653</f>
        <v>1</v>
      </c>
      <c r="W3653" s="0" t="n">
        <f aca="false">H3653*H3653</f>
        <v>0.0625</v>
      </c>
      <c r="X3653" s="0" t="n">
        <f aca="false">SUMPRODUCT(I3653:W3653,_XtX!$B$96:$P$96)</f>
        <v>41.9845851608187</v>
      </c>
      <c r="Y3653" s="0" t="n">
        <f aca="false">SUMPRODUCT(MMULT(I3653:W3653,_XtX!$B$78:$P$92),I3653:W3653)</f>
        <v>0.670040376005117</v>
      </c>
      <c r="Z3653" s="0" t="n">
        <f aca="false">04_回帰ANOVA!$K$19*04_回帰ANOVA!$K$14*SQRT(1+Y3653)</f>
        <v>1.68446456039992</v>
      </c>
      <c r="AA3653" s="0" t="n">
        <f aca="false">X3653-Z3653</f>
        <v>40.3001206004187</v>
      </c>
      <c r="AB3653" s="0" t="n">
        <f aca="false">X3653+Z3653</f>
        <v>43.6690497212186</v>
      </c>
      <c r="AC3653" s="54" t="b">
        <f aca="false">AND(E3653&gt;=01_因子設定!$L$5-0.000000001,E3653&lt;=01_因子設定!$M$5+0.000000001,F3653&gt;=01_因子設定!$L$6-0.000000001,F3653&lt;=01_因子設定!$M$6+0.000000001,G3653&gt;=01_因子設定!$L$7-0.000000001,G3653&lt;=01_因子設定!$M$7+0.000000001,H3653&gt;=01_因子設定!$L$8-0.000000001,H3653&lt;=01_因子設定!$M$8+0.000000001,IF(01_因子設定!$B$20="Box-Behnken",E3653^2+F3653^2+G3653^2+H3653^2&lt;=2+0.000000001,TRUE()))</f>
        <v>1</v>
      </c>
      <c r="AD3653" s="55" t="n">
        <f aca="false">IF(AC3653,IF(01_因子設定!$B$13="最大化",AA3653-01_因子設定!$B$14,IF(01_因子設定!$B$13="最小化",01_因子設定!$B$15-AB3653,MIN(AA3653-01_因子設定!$B$14,01_因子設定!$B$15-AB3653))),-1E+030)</f>
        <v>-6.19987939958126</v>
      </c>
      <c r="AE3653" s="55" t="n">
        <f aca="false">IF(AC3653,IF(01_因子設定!$B$13="最大化",X3653,IF(01_因子設定!$B$13="最小化",-X3653,-ABS(X3653-01_因子設定!$B$16))),-1E+030)</f>
        <v>41.9845851608187</v>
      </c>
      <c r="AF3653" s="55" t="n">
        <f aca="false">AD3653+ROW()*0.000000001</f>
        <v>-6.19987574658126</v>
      </c>
      <c r="AG3653" s="55" t="n">
        <f aca="false">AE3653+ROW()*0.000000001</f>
        <v>41.9845888138187</v>
      </c>
    </row>
    <row r="3654" customFormat="false" ht="15" hidden="false" customHeight="false" outlineLevel="0" collapsed="false">
      <c r="A3654" s="0" t="n">
        <v>5</v>
      </c>
      <c r="B3654" s="0" t="n">
        <v>0</v>
      </c>
      <c r="C3654" s="0" t="n">
        <v>0</v>
      </c>
      <c r="D3654" s="0" t="n">
        <v>4</v>
      </c>
      <c r="E3654" s="0" t="n">
        <f aca="false">-1+A3654*0.25</f>
        <v>0.25</v>
      </c>
      <c r="F3654" s="0" t="n">
        <f aca="false">-1+B3654*0.25</f>
        <v>-1</v>
      </c>
      <c r="G3654" s="0" t="n">
        <f aca="false">-1+C3654*0.25</f>
        <v>-1</v>
      </c>
      <c r="H3654" s="0" t="n">
        <f aca="false">-1+D3654*0.25</f>
        <v>0</v>
      </c>
      <c r="I3654" s="0" t="n">
        <f aca="false">1</f>
        <v>1</v>
      </c>
      <c r="J3654" s="0" t="n">
        <f aca="false">E3654</f>
        <v>0.25</v>
      </c>
      <c r="K3654" s="0" t="n">
        <f aca="false">F3654</f>
        <v>-1</v>
      </c>
      <c r="L3654" s="0" t="n">
        <f aca="false">G3654</f>
        <v>-1</v>
      </c>
      <c r="M3654" s="0" t="n">
        <f aca="false">H3654</f>
        <v>0</v>
      </c>
      <c r="N3654" s="0" t="n">
        <f aca="false">E3654*F3654</f>
        <v>-0.25</v>
      </c>
      <c r="O3654" s="0" t="n">
        <f aca="false">E3654*G3654</f>
        <v>-0.25</v>
      </c>
      <c r="P3654" s="0" t="n">
        <f aca="false">E3654*H3654</f>
        <v>0</v>
      </c>
      <c r="Q3654" s="0" t="n">
        <f aca="false">F3654*G3654</f>
        <v>1</v>
      </c>
      <c r="R3654" s="0" t="n">
        <f aca="false">F3654*H3654</f>
        <v>-0</v>
      </c>
      <c r="S3654" s="0" t="n">
        <f aca="false">G3654*H3654</f>
        <v>-0</v>
      </c>
      <c r="T3654" s="0" t="n">
        <f aca="false">E3654*E3654</f>
        <v>0.0625</v>
      </c>
      <c r="U3654" s="0" t="n">
        <f aca="false">F3654*F3654</f>
        <v>1</v>
      </c>
      <c r="V3654" s="0" t="n">
        <f aca="false">G3654*G3654</f>
        <v>1</v>
      </c>
      <c r="W3654" s="0" t="n">
        <f aca="false">H3654*H3654</f>
        <v>0</v>
      </c>
      <c r="X3654" s="0" t="n">
        <f aca="false">SUMPRODUCT(I3654:W3654,_XtX!$B$96:$P$96)</f>
        <v>42.0989400584795</v>
      </c>
      <c r="Y3654" s="0" t="n">
        <f aca="false">SUMPRODUCT(MMULT(I3654:W3654,_XtX!$B$78:$P$92),I3654:W3654)</f>
        <v>0.689692982456141</v>
      </c>
      <c r="Z3654" s="0" t="n">
        <f aca="false">04_回帰ANOVA!$K$19*04_回帰ANOVA!$K$14*SQRT(1+Y3654)</f>
        <v>1.69434674594998</v>
      </c>
      <c r="AA3654" s="0" t="n">
        <f aca="false">X3654-Z3654</f>
        <v>40.4045933125295</v>
      </c>
      <c r="AB3654" s="0" t="n">
        <f aca="false">X3654+Z3654</f>
        <v>43.7932868044295</v>
      </c>
      <c r="AC3654" s="54" t="b">
        <f aca="false">AND(E3654&gt;=01_因子設定!$L$5-0.000000001,E3654&lt;=01_因子設定!$M$5+0.000000001,F3654&gt;=01_因子設定!$L$6-0.000000001,F3654&lt;=01_因子設定!$M$6+0.000000001,G3654&gt;=01_因子設定!$L$7-0.000000001,G3654&lt;=01_因子設定!$M$7+0.000000001,H3654&gt;=01_因子設定!$L$8-0.000000001,H3654&lt;=01_因子設定!$M$8+0.000000001,IF(01_因子設定!$B$20="Box-Behnken",E3654^2+F3654^2+G3654^2+H3654^2&lt;=2+0.000000001,TRUE()))</f>
        <v>1</v>
      </c>
      <c r="AD3654" s="55" t="n">
        <f aca="false">IF(AC3654,IF(01_因子設定!$B$13="最大化",AA3654-01_因子設定!$B$14,IF(01_因子設定!$B$13="最小化",01_因子設定!$B$15-AB3654,MIN(AA3654-01_因子設定!$B$14,01_因子設定!$B$15-AB3654))),-1E+030)</f>
        <v>-6.09540668747051</v>
      </c>
      <c r="AE3654" s="55" t="n">
        <f aca="false">IF(AC3654,IF(01_因子設定!$B$13="最大化",X3654,IF(01_因子設定!$B$13="最小化",-X3654,-ABS(X3654-01_因子設定!$B$16))),-1E+030)</f>
        <v>42.0989400584795</v>
      </c>
      <c r="AF3654" s="55" t="n">
        <f aca="false">AD3654+ROW()*0.000000001</f>
        <v>-6.09540303347051</v>
      </c>
      <c r="AG3654" s="55" t="n">
        <f aca="false">AE3654+ROW()*0.000000001</f>
        <v>42.0989437124795</v>
      </c>
    </row>
    <row r="3655" customFormat="false" ht="15" hidden="false" customHeight="false" outlineLevel="0" collapsed="false">
      <c r="A3655" s="0" t="n">
        <v>5</v>
      </c>
      <c r="B3655" s="0" t="n">
        <v>0</v>
      </c>
      <c r="C3655" s="0" t="n">
        <v>0</v>
      </c>
      <c r="D3655" s="0" t="n">
        <v>5</v>
      </c>
      <c r="E3655" s="0" t="n">
        <f aca="false">-1+A3655*0.25</f>
        <v>0.25</v>
      </c>
      <c r="F3655" s="0" t="n">
        <f aca="false">-1+B3655*0.25</f>
        <v>-1</v>
      </c>
      <c r="G3655" s="0" t="n">
        <f aca="false">-1+C3655*0.25</f>
        <v>-1</v>
      </c>
      <c r="H3655" s="0" t="n">
        <f aca="false">-1+D3655*0.25</f>
        <v>0.25</v>
      </c>
      <c r="I3655" s="0" t="n">
        <f aca="false">1</f>
        <v>1</v>
      </c>
      <c r="J3655" s="0" t="n">
        <f aca="false">E3655</f>
        <v>0.25</v>
      </c>
      <c r="K3655" s="0" t="n">
        <f aca="false">F3655</f>
        <v>-1</v>
      </c>
      <c r="L3655" s="0" t="n">
        <f aca="false">G3655</f>
        <v>-1</v>
      </c>
      <c r="M3655" s="0" t="n">
        <f aca="false">H3655</f>
        <v>0.25</v>
      </c>
      <c r="N3655" s="0" t="n">
        <f aca="false">E3655*F3655</f>
        <v>-0.25</v>
      </c>
      <c r="O3655" s="0" t="n">
        <f aca="false">E3655*G3655</f>
        <v>-0.25</v>
      </c>
      <c r="P3655" s="0" t="n">
        <f aca="false">E3655*H3655</f>
        <v>0.0625</v>
      </c>
      <c r="Q3655" s="0" t="n">
        <f aca="false">F3655*G3655</f>
        <v>1</v>
      </c>
      <c r="R3655" s="0" t="n">
        <f aca="false">F3655*H3655</f>
        <v>-0.25</v>
      </c>
      <c r="S3655" s="0" t="n">
        <f aca="false">G3655*H3655</f>
        <v>-0.25</v>
      </c>
      <c r="T3655" s="0" t="n">
        <f aca="false">E3655*E3655</f>
        <v>0.0625</v>
      </c>
      <c r="U3655" s="0" t="n">
        <f aca="false">F3655*F3655</f>
        <v>1</v>
      </c>
      <c r="V3655" s="0" t="n">
        <f aca="false">G3655*G3655</f>
        <v>1</v>
      </c>
      <c r="W3655" s="0" t="n">
        <f aca="false">H3655*H3655</f>
        <v>0.0625</v>
      </c>
      <c r="X3655" s="0" t="n">
        <f aca="false">SUMPRODUCT(I3655:W3655,_XtX!$B$96:$P$96)</f>
        <v>42.1654879385964</v>
      </c>
      <c r="Y3655" s="0" t="n">
        <f aca="false">SUMPRODUCT(MMULT(I3655:W3655,_XtX!$B$78:$P$92),I3655:W3655)</f>
        <v>0.670040376005117</v>
      </c>
      <c r="Z3655" s="0" t="n">
        <f aca="false">04_回帰ANOVA!$K$19*04_回帰ANOVA!$K$14*SQRT(1+Y3655)</f>
        <v>1.68446456039992</v>
      </c>
      <c r="AA3655" s="0" t="n">
        <f aca="false">X3655-Z3655</f>
        <v>40.4810233781965</v>
      </c>
      <c r="AB3655" s="0" t="n">
        <f aca="false">X3655+Z3655</f>
        <v>43.8499524989964</v>
      </c>
      <c r="AC3655" s="54" t="b">
        <f aca="false">AND(E3655&gt;=01_因子設定!$L$5-0.000000001,E3655&lt;=01_因子設定!$M$5+0.000000001,F3655&gt;=01_因子設定!$L$6-0.000000001,F3655&lt;=01_因子設定!$M$6+0.000000001,G3655&gt;=01_因子設定!$L$7-0.000000001,G3655&lt;=01_因子設定!$M$7+0.000000001,H3655&gt;=01_因子設定!$L$8-0.000000001,H3655&lt;=01_因子設定!$M$8+0.000000001,IF(01_因子設定!$B$20="Box-Behnken",E3655^2+F3655^2+G3655^2+H3655^2&lt;=2+0.000000001,TRUE()))</f>
        <v>1</v>
      </c>
      <c r="AD3655" s="55" t="n">
        <f aca="false">IF(AC3655,IF(01_因子設定!$B$13="最大化",AA3655-01_因子設定!$B$14,IF(01_因子設定!$B$13="最小化",01_因子設定!$B$15-AB3655,MIN(AA3655-01_因子設定!$B$14,01_因子設定!$B$15-AB3655))),-1E+030)</f>
        <v>-6.01897662180348</v>
      </c>
      <c r="AE3655" s="55" t="n">
        <f aca="false">IF(AC3655,IF(01_因子設定!$B$13="最大化",X3655,IF(01_因子設定!$B$13="最小化",-X3655,-ABS(X3655-01_因子設定!$B$16))),-1E+030)</f>
        <v>42.1654879385964</v>
      </c>
      <c r="AF3655" s="55" t="n">
        <f aca="false">AD3655+ROW()*0.000000001</f>
        <v>-6.01897296680348</v>
      </c>
      <c r="AG3655" s="55" t="n">
        <f aca="false">AE3655+ROW()*0.000000001</f>
        <v>42.1654915935964</v>
      </c>
    </row>
    <row r="3656" customFormat="false" ht="15" hidden="false" customHeight="false" outlineLevel="0" collapsed="false">
      <c r="A3656" s="0" t="n">
        <v>5</v>
      </c>
      <c r="B3656" s="0" t="n">
        <v>0</v>
      </c>
      <c r="C3656" s="0" t="n">
        <v>0</v>
      </c>
      <c r="D3656" s="0" t="n">
        <v>6</v>
      </c>
      <c r="E3656" s="0" t="n">
        <f aca="false">-1+A3656*0.25</f>
        <v>0.25</v>
      </c>
      <c r="F3656" s="0" t="n">
        <f aca="false">-1+B3656*0.25</f>
        <v>-1</v>
      </c>
      <c r="G3656" s="0" t="n">
        <f aca="false">-1+C3656*0.25</f>
        <v>-1</v>
      </c>
      <c r="H3656" s="0" t="n">
        <f aca="false">-1+D3656*0.25</f>
        <v>0.5</v>
      </c>
      <c r="I3656" s="0" t="n">
        <f aca="false">1</f>
        <v>1</v>
      </c>
      <c r="J3656" s="0" t="n">
        <f aca="false">E3656</f>
        <v>0.25</v>
      </c>
      <c r="K3656" s="0" t="n">
        <f aca="false">F3656</f>
        <v>-1</v>
      </c>
      <c r="L3656" s="0" t="n">
        <f aca="false">G3656</f>
        <v>-1</v>
      </c>
      <c r="M3656" s="0" t="n">
        <f aca="false">H3656</f>
        <v>0.5</v>
      </c>
      <c r="N3656" s="0" t="n">
        <f aca="false">E3656*F3656</f>
        <v>-0.25</v>
      </c>
      <c r="O3656" s="0" t="n">
        <f aca="false">E3656*G3656</f>
        <v>-0.25</v>
      </c>
      <c r="P3656" s="0" t="n">
        <f aca="false">E3656*H3656</f>
        <v>0.125</v>
      </c>
      <c r="Q3656" s="0" t="n">
        <f aca="false">F3656*G3656</f>
        <v>1</v>
      </c>
      <c r="R3656" s="0" t="n">
        <f aca="false">F3656*H3656</f>
        <v>-0.5</v>
      </c>
      <c r="S3656" s="0" t="n">
        <f aca="false">G3656*H3656</f>
        <v>-0.5</v>
      </c>
      <c r="T3656" s="0" t="n">
        <f aca="false">E3656*E3656</f>
        <v>0.0625</v>
      </c>
      <c r="U3656" s="0" t="n">
        <f aca="false">F3656*F3656</f>
        <v>1</v>
      </c>
      <c r="V3656" s="0" t="n">
        <f aca="false">G3656*G3656</f>
        <v>1</v>
      </c>
      <c r="W3656" s="0" t="n">
        <f aca="false">H3656*H3656</f>
        <v>0.25</v>
      </c>
      <c r="X3656" s="0" t="n">
        <f aca="false">SUMPRODUCT(I3656:W3656,_XtX!$B$96:$P$96)</f>
        <v>42.1842288011695</v>
      </c>
      <c r="Y3656" s="0" t="n">
        <f aca="false">SUMPRODUCT(MMULT(I3656:W3656,_XtX!$B$78:$P$92),I3656:W3656)</f>
        <v>0.629174661915205</v>
      </c>
      <c r="Z3656" s="0" t="n">
        <f aca="false">04_回帰ANOVA!$K$19*04_回帰ANOVA!$K$14*SQRT(1+Y3656)</f>
        <v>1.66372758058297</v>
      </c>
      <c r="AA3656" s="0" t="n">
        <f aca="false">X3656-Z3656</f>
        <v>40.5205012205866</v>
      </c>
      <c r="AB3656" s="0" t="n">
        <f aca="false">X3656+Z3656</f>
        <v>43.8479563817525</v>
      </c>
      <c r="AC3656" s="54" t="b">
        <f aca="false">AND(E3656&gt;=01_因子設定!$L$5-0.000000001,E3656&lt;=01_因子設定!$M$5+0.000000001,F3656&gt;=01_因子設定!$L$6-0.000000001,F3656&lt;=01_因子設定!$M$6+0.000000001,G3656&gt;=01_因子設定!$L$7-0.000000001,G3656&lt;=01_因子設定!$M$7+0.000000001,H3656&gt;=01_因子設定!$L$8-0.000000001,H3656&lt;=01_因子設定!$M$8+0.000000001,IF(01_因子設定!$B$20="Box-Behnken",E3656^2+F3656^2+G3656^2+H3656^2&lt;=2+0.000000001,TRUE()))</f>
        <v>1</v>
      </c>
      <c r="AD3656" s="55" t="n">
        <f aca="false">IF(AC3656,IF(01_因子設定!$B$13="最大化",AA3656-01_因子設定!$B$14,IF(01_因子設定!$B$13="最小化",01_因子設定!$B$15-AB3656,MIN(AA3656-01_因子設定!$B$14,01_因子設定!$B$15-AB3656))),-1E+030)</f>
        <v>-5.97949877941343</v>
      </c>
      <c r="AE3656" s="55" t="n">
        <f aca="false">IF(AC3656,IF(01_因子設定!$B$13="最大化",X3656,IF(01_因子設定!$B$13="最小化",-X3656,-ABS(X3656-01_因子設定!$B$16))),-1E+030)</f>
        <v>42.1842288011695</v>
      </c>
      <c r="AF3656" s="55" t="n">
        <f aca="false">AD3656+ROW()*0.000000001</f>
        <v>-5.97949512341343</v>
      </c>
      <c r="AG3656" s="55" t="n">
        <f aca="false">AE3656+ROW()*0.000000001</f>
        <v>42.1842324571695</v>
      </c>
    </row>
    <row r="3657" customFormat="false" ht="15" hidden="false" customHeight="false" outlineLevel="0" collapsed="false">
      <c r="A3657" s="0" t="n">
        <v>5</v>
      </c>
      <c r="B3657" s="0" t="n">
        <v>0</v>
      </c>
      <c r="C3657" s="0" t="n">
        <v>0</v>
      </c>
      <c r="D3657" s="0" t="n">
        <v>7</v>
      </c>
      <c r="E3657" s="0" t="n">
        <f aca="false">-1+A3657*0.25</f>
        <v>0.25</v>
      </c>
      <c r="F3657" s="0" t="n">
        <f aca="false">-1+B3657*0.25</f>
        <v>-1</v>
      </c>
      <c r="G3657" s="0" t="n">
        <f aca="false">-1+C3657*0.25</f>
        <v>-1</v>
      </c>
      <c r="H3657" s="0" t="n">
        <f aca="false">-1+D3657*0.25</f>
        <v>0.75</v>
      </c>
      <c r="I3657" s="0" t="n">
        <f aca="false">1</f>
        <v>1</v>
      </c>
      <c r="J3657" s="0" t="n">
        <f aca="false">E3657</f>
        <v>0.25</v>
      </c>
      <c r="K3657" s="0" t="n">
        <f aca="false">F3657</f>
        <v>-1</v>
      </c>
      <c r="L3657" s="0" t="n">
        <f aca="false">G3657</f>
        <v>-1</v>
      </c>
      <c r="M3657" s="0" t="n">
        <f aca="false">H3657</f>
        <v>0.75</v>
      </c>
      <c r="N3657" s="0" t="n">
        <f aca="false">E3657*F3657</f>
        <v>-0.25</v>
      </c>
      <c r="O3657" s="0" t="n">
        <f aca="false">E3657*G3657</f>
        <v>-0.25</v>
      </c>
      <c r="P3657" s="0" t="n">
        <f aca="false">E3657*H3657</f>
        <v>0.1875</v>
      </c>
      <c r="Q3657" s="0" t="n">
        <f aca="false">F3657*G3657</f>
        <v>1</v>
      </c>
      <c r="R3657" s="0" t="n">
        <f aca="false">F3657*H3657</f>
        <v>-0.75</v>
      </c>
      <c r="S3657" s="0" t="n">
        <f aca="false">G3657*H3657</f>
        <v>-0.75</v>
      </c>
      <c r="T3657" s="0" t="n">
        <f aca="false">E3657*E3657</f>
        <v>0.0625</v>
      </c>
      <c r="U3657" s="0" t="n">
        <f aca="false">F3657*F3657</f>
        <v>1</v>
      </c>
      <c r="V3657" s="0" t="n">
        <f aca="false">G3657*G3657</f>
        <v>1</v>
      </c>
      <c r="W3657" s="0" t="n">
        <f aca="false">H3657*H3657</f>
        <v>0.5625</v>
      </c>
      <c r="X3657" s="0" t="n">
        <f aca="false">SUMPRODUCT(I3657:W3657,_XtX!$B$96:$P$96)</f>
        <v>42.1551626461988</v>
      </c>
      <c r="Y3657" s="0" t="n">
        <f aca="false">SUMPRODUCT(MMULT(I3657:W3657,_XtX!$B$78:$P$92),I3657:W3657)</f>
        <v>0.621372155975877</v>
      </c>
      <c r="Z3657" s="0" t="n">
        <f aca="false">04_回帰ANOVA!$K$19*04_回帰ANOVA!$K$14*SQRT(1+Y3657)</f>
        <v>1.65973880499872</v>
      </c>
      <c r="AA3657" s="0" t="n">
        <f aca="false">X3657-Z3657</f>
        <v>40.4954238412001</v>
      </c>
      <c r="AB3657" s="0" t="n">
        <f aca="false">X3657+Z3657</f>
        <v>43.8149014511975</v>
      </c>
      <c r="AC3657" s="54" t="b">
        <f aca="false">AND(E3657&gt;=01_因子設定!$L$5-0.000000001,E3657&lt;=01_因子設定!$M$5+0.000000001,F3657&gt;=01_因子設定!$L$6-0.000000001,F3657&lt;=01_因子設定!$M$6+0.000000001,G3657&gt;=01_因子設定!$L$7-0.000000001,G3657&lt;=01_因子設定!$M$7+0.000000001,H3657&gt;=01_因子設定!$L$8-0.000000001,H3657&lt;=01_因子設定!$M$8+0.000000001,IF(01_因子設定!$B$20="Box-Behnken",E3657^2+F3657^2+G3657^2+H3657^2&lt;=2+0.000000001,TRUE()))</f>
        <v>1</v>
      </c>
      <c r="AD3657" s="55" t="n">
        <f aca="false">IF(AC3657,IF(01_因子設定!$B$13="最大化",AA3657-01_因子設定!$B$14,IF(01_因子設定!$B$13="最小化",01_因子設定!$B$15-AB3657,MIN(AA3657-01_因子設定!$B$14,01_因子設定!$B$15-AB3657))),-1E+030)</f>
        <v>-6.00457615879992</v>
      </c>
      <c r="AE3657" s="55" t="n">
        <f aca="false">IF(AC3657,IF(01_因子設定!$B$13="最大化",X3657,IF(01_因子設定!$B$13="最小化",-X3657,-ABS(X3657-01_因子設定!$B$16))),-1E+030)</f>
        <v>42.1551626461988</v>
      </c>
      <c r="AF3657" s="55" t="n">
        <f aca="false">AD3657+ROW()*0.000000001</f>
        <v>-6.00457250179992</v>
      </c>
      <c r="AG3657" s="55" t="n">
        <f aca="false">AE3657+ROW()*0.000000001</f>
        <v>42.1551663031988</v>
      </c>
    </row>
    <row r="3658" customFormat="false" ht="15" hidden="false" customHeight="false" outlineLevel="0" collapsed="false">
      <c r="A3658" s="0" t="n">
        <v>5</v>
      </c>
      <c r="B3658" s="0" t="n">
        <v>0</v>
      </c>
      <c r="C3658" s="0" t="n">
        <v>0</v>
      </c>
      <c r="D3658" s="0" t="n">
        <v>8</v>
      </c>
      <c r="E3658" s="0" t="n">
        <f aca="false">-1+A3658*0.25</f>
        <v>0.25</v>
      </c>
      <c r="F3658" s="0" t="n">
        <f aca="false">-1+B3658*0.25</f>
        <v>-1</v>
      </c>
      <c r="G3658" s="0" t="n">
        <f aca="false">-1+C3658*0.25</f>
        <v>-1</v>
      </c>
      <c r="H3658" s="0" t="n">
        <f aca="false">-1+D3658*0.25</f>
        <v>1</v>
      </c>
      <c r="I3658" s="0" t="n">
        <f aca="false">1</f>
        <v>1</v>
      </c>
      <c r="J3658" s="0" t="n">
        <f aca="false">E3658</f>
        <v>0.25</v>
      </c>
      <c r="K3658" s="0" t="n">
        <f aca="false">F3658</f>
        <v>-1</v>
      </c>
      <c r="L3658" s="0" t="n">
        <f aca="false">G3658</f>
        <v>-1</v>
      </c>
      <c r="M3658" s="0" t="n">
        <f aca="false">H3658</f>
        <v>1</v>
      </c>
      <c r="N3658" s="0" t="n">
        <f aca="false">E3658*F3658</f>
        <v>-0.25</v>
      </c>
      <c r="O3658" s="0" t="n">
        <f aca="false">E3658*G3658</f>
        <v>-0.25</v>
      </c>
      <c r="P3658" s="0" t="n">
        <f aca="false">E3658*H3658</f>
        <v>0.25</v>
      </c>
      <c r="Q3658" s="0" t="n">
        <f aca="false">F3658*G3658</f>
        <v>1</v>
      </c>
      <c r="R3658" s="0" t="n">
        <f aca="false">F3658*H3658</f>
        <v>-1</v>
      </c>
      <c r="S3658" s="0" t="n">
        <f aca="false">G3658*H3658</f>
        <v>-1</v>
      </c>
      <c r="T3658" s="0" t="n">
        <f aca="false">E3658*E3658</f>
        <v>0.0625</v>
      </c>
      <c r="U3658" s="0" t="n">
        <f aca="false">F3658*F3658</f>
        <v>1</v>
      </c>
      <c r="V3658" s="0" t="n">
        <f aca="false">G3658*G3658</f>
        <v>1</v>
      </c>
      <c r="W3658" s="0" t="n">
        <f aca="false">H3658*H3658</f>
        <v>1</v>
      </c>
      <c r="X3658" s="0" t="n">
        <f aca="false">SUMPRODUCT(I3658:W3658,_XtX!$B$96:$P$96)</f>
        <v>42.0782894736842</v>
      </c>
      <c r="Y3658" s="0" t="n">
        <f aca="false">SUMPRODUCT(MMULT(I3658:W3658,_XtX!$B$78:$P$92),I3658:W3658)</f>
        <v>0.737093384502924</v>
      </c>
      <c r="Z3658" s="0" t="n">
        <f aca="false">04_回帰ANOVA!$K$19*04_回帰ANOVA!$K$14*SQRT(1+Y3658)</f>
        <v>1.71794784853551</v>
      </c>
      <c r="AA3658" s="0" t="n">
        <f aca="false">X3658-Z3658</f>
        <v>40.3603416251487</v>
      </c>
      <c r="AB3658" s="0" t="n">
        <f aca="false">X3658+Z3658</f>
        <v>43.7962373222197</v>
      </c>
      <c r="AC3658" s="54" t="b">
        <f aca="false">AND(E3658&gt;=01_因子設定!$L$5-0.000000001,E3658&lt;=01_因子設定!$M$5+0.000000001,F3658&gt;=01_因子設定!$L$6-0.000000001,F3658&lt;=01_因子設定!$M$6+0.000000001,G3658&gt;=01_因子設定!$L$7-0.000000001,G3658&lt;=01_因子設定!$M$7+0.000000001,H3658&gt;=01_因子設定!$L$8-0.000000001,H3658&lt;=01_因子設定!$M$8+0.000000001,IF(01_因子設定!$B$20="Box-Behnken",E3658^2+F3658^2+G3658^2+H3658^2&lt;=2+0.000000001,TRUE()))</f>
        <v>1</v>
      </c>
      <c r="AD3658" s="55" t="n">
        <f aca="false">IF(AC3658,IF(01_因子設定!$B$13="最大化",AA3658-01_因子設定!$B$14,IF(01_因子設定!$B$13="最小化",01_因子設定!$B$15-AB3658,MIN(AA3658-01_因子設定!$B$14,01_因子設定!$B$15-AB3658))),-1E+030)</f>
        <v>-6.13965837485131</v>
      </c>
      <c r="AE3658" s="55" t="n">
        <f aca="false">IF(AC3658,IF(01_因子設定!$B$13="最大化",X3658,IF(01_因子設定!$B$13="最小化",-X3658,-ABS(X3658-01_因子設定!$B$16))),-1E+030)</f>
        <v>42.0782894736842</v>
      </c>
      <c r="AF3658" s="55" t="n">
        <f aca="false">AD3658+ROW()*0.000000001</f>
        <v>-6.13965471685131</v>
      </c>
      <c r="AG3658" s="55" t="n">
        <f aca="false">AE3658+ROW()*0.000000001</f>
        <v>42.0782931316842</v>
      </c>
    </row>
    <row r="3659" customFormat="false" ht="15" hidden="false" customHeight="false" outlineLevel="0" collapsed="false">
      <c r="A3659" s="0" t="n">
        <v>5</v>
      </c>
      <c r="B3659" s="0" t="n">
        <v>0</v>
      </c>
      <c r="C3659" s="0" t="n">
        <v>1</v>
      </c>
      <c r="D3659" s="0" t="n">
        <v>0</v>
      </c>
      <c r="E3659" s="0" t="n">
        <f aca="false">-1+A3659*0.25</f>
        <v>0.25</v>
      </c>
      <c r="F3659" s="0" t="n">
        <f aca="false">-1+B3659*0.25</f>
        <v>-1</v>
      </c>
      <c r="G3659" s="0" t="n">
        <f aca="false">-1+C3659*0.25</f>
        <v>-0.75</v>
      </c>
      <c r="H3659" s="0" t="n">
        <f aca="false">-1+D3659*0.25</f>
        <v>-1</v>
      </c>
      <c r="I3659" s="0" t="n">
        <f aca="false">1</f>
        <v>1</v>
      </c>
      <c r="J3659" s="0" t="n">
        <f aca="false">E3659</f>
        <v>0.25</v>
      </c>
      <c r="K3659" s="0" t="n">
        <f aca="false">F3659</f>
        <v>-1</v>
      </c>
      <c r="L3659" s="0" t="n">
        <f aca="false">G3659</f>
        <v>-0.75</v>
      </c>
      <c r="M3659" s="0" t="n">
        <f aca="false">H3659</f>
        <v>-1</v>
      </c>
      <c r="N3659" s="0" t="n">
        <f aca="false">E3659*F3659</f>
        <v>-0.25</v>
      </c>
      <c r="O3659" s="0" t="n">
        <f aca="false">E3659*G3659</f>
        <v>-0.1875</v>
      </c>
      <c r="P3659" s="0" t="n">
        <f aca="false">E3659*H3659</f>
        <v>-0.25</v>
      </c>
      <c r="Q3659" s="0" t="n">
        <f aca="false">F3659*G3659</f>
        <v>0.75</v>
      </c>
      <c r="R3659" s="0" t="n">
        <f aca="false">F3659*H3659</f>
        <v>1</v>
      </c>
      <c r="S3659" s="0" t="n">
        <f aca="false">G3659*H3659</f>
        <v>0.75</v>
      </c>
      <c r="T3659" s="0" t="n">
        <f aca="false">E3659*E3659</f>
        <v>0.0625</v>
      </c>
      <c r="U3659" s="0" t="n">
        <f aca="false">F3659*F3659</f>
        <v>1</v>
      </c>
      <c r="V3659" s="0" t="n">
        <f aca="false">G3659*G3659</f>
        <v>0.5625</v>
      </c>
      <c r="W3659" s="0" t="n">
        <f aca="false">H3659*H3659</f>
        <v>1</v>
      </c>
      <c r="X3659" s="0" t="n">
        <f aca="false">SUMPRODUCT(I3659:W3659,_XtX!$B$96:$P$96)</f>
        <v>41.7084612573099</v>
      </c>
      <c r="Y3659" s="0" t="n">
        <f aca="false">SUMPRODUCT(MMULT(I3659:W3659,_XtX!$B$78:$P$92),I3659:W3659)</f>
        <v>0.621372155975877</v>
      </c>
      <c r="Z3659" s="0" t="n">
        <f aca="false">04_回帰ANOVA!$K$19*04_回帰ANOVA!$K$14*SQRT(1+Y3659)</f>
        <v>1.65973880499872</v>
      </c>
      <c r="AA3659" s="0" t="n">
        <f aca="false">X3659-Z3659</f>
        <v>40.0487224523112</v>
      </c>
      <c r="AB3659" s="0" t="n">
        <f aca="false">X3659+Z3659</f>
        <v>43.3682000623086</v>
      </c>
      <c r="AC3659" s="54" t="b">
        <f aca="false">AND(E3659&gt;=01_因子設定!$L$5-0.000000001,E3659&lt;=01_因子設定!$M$5+0.000000001,F3659&gt;=01_因子設定!$L$6-0.000000001,F3659&lt;=01_因子設定!$M$6+0.000000001,G3659&gt;=01_因子設定!$L$7-0.000000001,G3659&lt;=01_因子設定!$M$7+0.000000001,H3659&gt;=01_因子設定!$L$8-0.000000001,H3659&lt;=01_因子設定!$M$8+0.000000001,IF(01_因子設定!$B$20="Box-Behnken",E3659^2+F3659^2+G3659^2+H3659^2&lt;=2+0.000000001,TRUE()))</f>
        <v>1</v>
      </c>
      <c r="AD3659" s="55" t="n">
        <f aca="false">IF(AC3659,IF(01_因子設定!$B$13="最大化",AA3659-01_因子設定!$B$14,IF(01_因子設定!$B$13="最小化",01_因子設定!$B$15-AB3659,MIN(AA3659-01_因子設定!$B$14,01_因子設定!$B$15-AB3659))),-1E+030)</f>
        <v>-6.4512775476888</v>
      </c>
      <c r="AE3659" s="55" t="n">
        <f aca="false">IF(AC3659,IF(01_因子設定!$B$13="最大化",X3659,IF(01_因子設定!$B$13="最小化",-X3659,-ABS(X3659-01_因子設定!$B$16))),-1E+030)</f>
        <v>41.7084612573099</v>
      </c>
      <c r="AF3659" s="55" t="n">
        <f aca="false">AD3659+ROW()*0.000000001</f>
        <v>-6.4512738886888</v>
      </c>
      <c r="AG3659" s="55" t="n">
        <f aca="false">AE3659+ROW()*0.000000001</f>
        <v>41.7084649163099</v>
      </c>
    </row>
    <row r="3660" customFormat="false" ht="15" hidden="false" customHeight="false" outlineLevel="0" collapsed="false">
      <c r="A3660" s="0" t="n">
        <v>5</v>
      </c>
      <c r="B3660" s="0" t="n">
        <v>0</v>
      </c>
      <c r="C3660" s="0" t="n">
        <v>1</v>
      </c>
      <c r="D3660" s="0" t="n">
        <v>1</v>
      </c>
      <c r="E3660" s="0" t="n">
        <f aca="false">-1+A3660*0.25</f>
        <v>0.25</v>
      </c>
      <c r="F3660" s="0" t="n">
        <f aca="false">-1+B3660*0.25</f>
        <v>-1</v>
      </c>
      <c r="G3660" s="0" t="n">
        <f aca="false">-1+C3660*0.25</f>
        <v>-0.75</v>
      </c>
      <c r="H3660" s="0" t="n">
        <f aca="false">-1+D3660*0.25</f>
        <v>-0.75</v>
      </c>
      <c r="I3660" s="0" t="n">
        <f aca="false">1</f>
        <v>1</v>
      </c>
      <c r="J3660" s="0" t="n">
        <f aca="false">E3660</f>
        <v>0.25</v>
      </c>
      <c r="K3660" s="0" t="n">
        <f aca="false">F3660</f>
        <v>-1</v>
      </c>
      <c r="L3660" s="0" t="n">
        <f aca="false">G3660</f>
        <v>-0.75</v>
      </c>
      <c r="M3660" s="0" t="n">
        <f aca="false">H3660</f>
        <v>-0.75</v>
      </c>
      <c r="N3660" s="0" t="n">
        <f aca="false">E3660*F3660</f>
        <v>-0.25</v>
      </c>
      <c r="O3660" s="0" t="n">
        <f aca="false">E3660*G3660</f>
        <v>-0.1875</v>
      </c>
      <c r="P3660" s="0" t="n">
        <f aca="false">E3660*H3660</f>
        <v>-0.1875</v>
      </c>
      <c r="Q3660" s="0" t="n">
        <f aca="false">F3660*G3660</f>
        <v>0.75</v>
      </c>
      <c r="R3660" s="0" t="n">
        <f aca="false">F3660*H3660</f>
        <v>0.75</v>
      </c>
      <c r="S3660" s="0" t="n">
        <f aca="false">G3660*H3660</f>
        <v>0.5625</v>
      </c>
      <c r="T3660" s="0" t="n">
        <f aca="false">E3660*E3660</f>
        <v>0.0625</v>
      </c>
      <c r="U3660" s="0" t="n">
        <f aca="false">F3660*F3660</f>
        <v>1</v>
      </c>
      <c r="V3660" s="0" t="n">
        <f aca="false">G3660*G3660</f>
        <v>0.5625</v>
      </c>
      <c r="W3660" s="0" t="n">
        <f aca="false">H3660*H3660</f>
        <v>0.5625</v>
      </c>
      <c r="X3660" s="0" t="n">
        <f aca="false">SUMPRODUCT(I3660:W3660,_XtX!$B$96:$P$96)</f>
        <v>41.9842059576023</v>
      </c>
      <c r="Y3660" s="0" t="n">
        <f aca="false">SUMPRODUCT(MMULT(I3660:W3660,_XtX!$B$78:$P$92),I3660:W3660)</f>
        <v>0.473959761056287</v>
      </c>
      <c r="Z3660" s="0" t="n">
        <f aca="false">04_回帰ANOVA!$K$19*04_回帰ANOVA!$K$14*SQRT(1+Y3660)</f>
        <v>1.58249084588329</v>
      </c>
      <c r="AA3660" s="0" t="n">
        <f aca="false">X3660-Z3660</f>
        <v>40.401715111719</v>
      </c>
      <c r="AB3660" s="0" t="n">
        <f aca="false">X3660+Z3660</f>
        <v>43.5666968034856</v>
      </c>
      <c r="AC3660" s="54" t="b">
        <f aca="false">AND(E3660&gt;=01_因子設定!$L$5-0.000000001,E3660&lt;=01_因子設定!$M$5+0.000000001,F3660&gt;=01_因子設定!$L$6-0.000000001,F3660&lt;=01_因子設定!$M$6+0.000000001,G3660&gt;=01_因子設定!$L$7-0.000000001,G3660&lt;=01_因子設定!$M$7+0.000000001,H3660&gt;=01_因子設定!$L$8-0.000000001,H3660&lt;=01_因子設定!$M$8+0.000000001,IF(01_因子設定!$B$20="Box-Behnken",E3660^2+F3660^2+G3660^2+H3660^2&lt;=2+0.000000001,TRUE()))</f>
        <v>1</v>
      </c>
      <c r="AD3660" s="55" t="n">
        <f aca="false">IF(AC3660,IF(01_因子設定!$B$13="最大化",AA3660-01_因子設定!$B$14,IF(01_因子設定!$B$13="最小化",01_因子設定!$B$15-AB3660,MIN(AA3660-01_因子設定!$B$14,01_因子設定!$B$15-AB3660))),-1E+030)</f>
        <v>-6.09828488828099</v>
      </c>
      <c r="AE3660" s="55" t="n">
        <f aca="false">IF(AC3660,IF(01_因子設定!$B$13="最大化",X3660,IF(01_因子設定!$B$13="最小化",-X3660,-ABS(X3660-01_因子設定!$B$16))),-1E+030)</f>
        <v>41.9842059576023</v>
      </c>
      <c r="AF3660" s="55" t="n">
        <f aca="false">AD3660+ROW()*0.000000001</f>
        <v>-6.09828122828099</v>
      </c>
      <c r="AG3660" s="55" t="n">
        <f aca="false">AE3660+ROW()*0.000000001</f>
        <v>41.9842096176023</v>
      </c>
    </row>
    <row r="3661" customFormat="false" ht="15" hidden="false" customHeight="false" outlineLevel="0" collapsed="false">
      <c r="A3661" s="0" t="n">
        <v>5</v>
      </c>
      <c r="B3661" s="0" t="n">
        <v>0</v>
      </c>
      <c r="C3661" s="0" t="n">
        <v>1</v>
      </c>
      <c r="D3661" s="0" t="n">
        <v>2</v>
      </c>
      <c r="E3661" s="0" t="n">
        <f aca="false">-1+A3661*0.25</f>
        <v>0.25</v>
      </c>
      <c r="F3661" s="0" t="n">
        <f aca="false">-1+B3661*0.25</f>
        <v>-1</v>
      </c>
      <c r="G3661" s="0" t="n">
        <f aca="false">-1+C3661*0.25</f>
        <v>-0.75</v>
      </c>
      <c r="H3661" s="0" t="n">
        <f aca="false">-1+D3661*0.25</f>
        <v>-0.5</v>
      </c>
      <c r="I3661" s="0" t="n">
        <f aca="false">1</f>
        <v>1</v>
      </c>
      <c r="J3661" s="0" t="n">
        <f aca="false">E3661</f>
        <v>0.25</v>
      </c>
      <c r="K3661" s="0" t="n">
        <f aca="false">F3661</f>
        <v>-1</v>
      </c>
      <c r="L3661" s="0" t="n">
        <f aca="false">G3661</f>
        <v>-0.75</v>
      </c>
      <c r="M3661" s="0" t="n">
        <f aca="false">H3661</f>
        <v>-0.5</v>
      </c>
      <c r="N3661" s="0" t="n">
        <f aca="false">E3661*F3661</f>
        <v>-0.25</v>
      </c>
      <c r="O3661" s="0" t="n">
        <f aca="false">E3661*G3661</f>
        <v>-0.1875</v>
      </c>
      <c r="P3661" s="0" t="n">
        <f aca="false">E3661*H3661</f>
        <v>-0.125</v>
      </c>
      <c r="Q3661" s="0" t="n">
        <f aca="false">F3661*G3661</f>
        <v>0.75</v>
      </c>
      <c r="R3661" s="0" t="n">
        <f aca="false">F3661*H3661</f>
        <v>0.5</v>
      </c>
      <c r="S3661" s="0" t="n">
        <f aca="false">G3661*H3661</f>
        <v>0.375</v>
      </c>
      <c r="T3661" s="0" t="n">
        <f aca="false">E3661*E3661</f>
        <v>0.0625</v>
      </c>
      <c r="U3661" s="0" t="n">
        <f aca="false">F3661*F3661</f>
        <v>1</v>
      </c>
      <c r="V3661" s="0" t="n">
        <f aca="false">G3661*G3661</f>
        <v>0.5625</v>
      </c>
      <c r="W3661" s="0" t="n">
        <f aca="false">H3661*H3661</f>
        <v>0.25</v>
      </c>
      <c r="X3661" s="0" t="n">
        <f aca="false">SUMPRODUCT(I3661:W3661,_XtX!$B$96:$P$96)</f>
        <v>42.2121436403508</v>
      </c>
      <c r="Y3661" s="0" t="n">
        <f aca="false">SUMPRODUCT(MMULT(I3661:W3661,_XtX!$B$78:$P$92),I3661:W3661)</f>
        <v>0.459125719572369</v>
      </c>
      <c r="Z3661" s="0" t="n">
        <f aca="false">04_回帰ANOVA!$K$19*04_回帰ANOVA!$K$14*SQRT(1+Y3661)</f>
        <v>1.57450755575573</v>
      </c>
      <c r="AA3661" s="0" t="n">
        <f aca="false">X3661-Z3661</f>
        <v>40.6376360845951</v>
      </c>
      <c r="AB3661" s="0" t="n">
        <f aca="false">X3661+Z3661</f>
        <v>43.7866511961066</v>
      </c>
      <c r="AC3661" s="54" t="b">
        <f aca="false">AND(E3661&gt;=01_因子設定!$L$5-0.000000001,E3661&lt;=01_因子設定!$M$5+0.000000001,F3661&gt;=01_因子設定!$L$6-0.000000001,F3661&lt;=01_因子設定!$M$6+0.000000001,G3661&gt;=01_因子設定!$L$7-0.000000001,G3661&lt;=01_因子設定!$M$7+0.000000001,H3661&gt;=01_因子設定!$L$8-0.000000001,H3661&lt;=01_因子設定!$M$8+0.000000001,IF(01_因子設定!$B$20="Box-Behnken",E3661^2+F3661^2+G3661^2+H3661^2&lt;=2+0.000000001,TRUE()))</f>
        <v>1</v>
      </c>
      <c r="AD3661" s="55" t="n">
        <f aca="false">IF(AC3661,IF(01_因子設定!$B$13="最大化",AA3661-01_因子設定!$B$14,IF(01_因子設定!$B$13="最小化",01_因子設定!$B$15-AB3661,MIN(AA3661-01_因子設定!$B$14,01_因子設定!$B$15-AB3661))),-1E+030)</f>
        <v>-5.86236391540491</v>
      </c>
      <c r="AE3661" s="55" t="n">
        <f aca="false">IF(AC3661,IF(01_因子設定!$B$13="最大化",X3661,IF(01_因子設定!$B$13="最小化",-X3661,-ABS(X3661-01_因子設定!$B$16))),-1E+030)</f>
        <v>42.2121436403508</v>
      </c>
      <c r="AF3661" s="55" t="n">
        <f aca="false">AD3661+ROW()*0.000000001</f>
        <v>-5.86236025440491</v>
      </c>
      <c r="AG3661" s="55" t="n">
        <f aca="false">AE3661+ROW()*0.000000001</f>
        <v>42.2121473013508</v>
      </c>
    </row>
    <row r="3662" customFormat="false" ht="15" hidden="false" customHeight="false" outlineLevel="0" collapsed="false">
      <c r="A3662" s="0" t="n">
        <v>5</v>
      </c>
      <c r="B3662" s="0" t="n">
        <v>0</v>
      </c>
      <c r="C3662" s="0" t="n">
        <v>1</v>
      </c>
      <c r="D3662" s="0" t="n">
        <v>3</v>
      </c>
      <c r="E3662" s="0" t="n">
        <f aca="false">-1+A3662*0.25</f>
        <v>0.25</v>
      </c>
      <c r="F3662" s="0" t="n">
        <f aca="false">-1+B3662*0.25</f>
        <v>-1</v>
      </c>
      <c r="G3662" s="0" t="n">
        <f aca="false">-1+C3662*0.25</f>
        <v>-0.75</v>
      </c>
      <c r="H3662" s="0" t="n">
        <f aca="false">-1+D3662*0.25</f>
        <v>-0.25</v>
      </c>
      <c r="I3662" s="0" t="n">
        <f aca="false">1</f>
        <v>1</v>
      </c>
      <c r="J3662" s="0" t="n">
        <f aca="false">E3662</f>
        <v>0.25</v>
      </c>
      <c r="K3662" s="0" t="n">
        <f aca="false">F3662</f>
        <v>-1</v>
      </c>
      <c r="L3662" s="0" t="n">
        <f aca="false">G3662</f>
        <v>-0.75</v>
      </c>
      <c r="M3662" s="0" t="n">
        <f aca="false">H3662</f>
        <v>-0.25</v>
      </c>
      <c r="N3662" s="0" t="n">
        <f aca="false">E3662*F3662</f>
        <v>-0.25</v>
      </c>
      <c r="O3662" s="0" t="n">
        <f aca="false">E3662*G3662</f>
        <v>-0.1875</v>
      </c>
      <c r="P3662" s="0" t="n">
        <f aca="false">E3662*H3662</f>
        <v>-0.0625</v>
      </c>
      <c r="Q3662" s="0" t="n">
        <f aca="false">F3662*G3662</f>
        <v>0.75</v>
      </c>
      <c r="R3662" s="0" t="n">
        <f aca="false">F3662*H3662</f>
        <v>0.25</v>
      </c>
      <c r="S3662" s="0" t="n">
        <f aca="false">G3662*H3662</f>
        <v>0.1875</v>
      </c>
      <c r="T3662" s="0" t="n">
        <f aca="false">E3662*E3662</f>
        <v>0.0625</v>
      </c>
      <c r="U3662" s="0" t="n">
        <f aca="false">F3662*F3662</f>
        <v>1</v>
      </c>
      <c r="V3662" s="0" t="n">
        <f aca="false">G3662*G3662</f>
        <v>0.5625</v>
      </c>
      <c r="W3662" s="0" t="n">
        <f aca="false">H3662*H3662</f>
        <v>0.0625</v>
      </c>
      <c r="X3662" s="0" t="n">
        <f aca="false">SUMPRODUCT(I3662:W3662,_XtX!$B$96:$P$96)</f>
        <v>42.3922743055555</v>
      </c>
      <c r="Y3662" s="0" t="n">
        <f aca="false">SUMPRODUCT(MMULT(I3662:W3662,_XtX!$B$78:$P$92),I3662:W3662)</f>
        <v>0.486409505208334</v>
      </c>
      <c r="Z3662" s="0" t="n">
        <f aca="false">04_回帰ANOVA!$K$19*04_回帰ANOVA!$K$14*SQRT(1+Y3662)</f>
        <v>1.58916001665498</v>
      </c>
      <c r="AA3662" s="0" t="n">
        <f aca="false">X3662-Z3662</f>
        <v>40.8031142889005</v>
      </c>
      <c r="AB3662" s="0" t="n">
        <f aca="false">X3662+Z3662</f>
        <v>43.9814343222105</v>
      </c>
      <c r="AC3662" s="54" t="b">
        <f aca="false">AND(E3662&gt;=01_因子設定!$L$5-0.000000001,E3662&lt;=01_因子設定!$M$5+0.000000001,F3662&gt;=01_因子設定!$L$6-0.000000001,F3662&lt;=01_因子設定!$M$6+0.000000001,G3662&gt;=01_因子設定!$L$7-0.000000001,G3662&lt;=01_因子設定!$M$7+0.000000001,H3662&gt;=01_因子設定!$L$8-0.000000001,H3662&lt;=01_因子設定!$M$8+0.000000001,IF(01_因子設定!$B$20="Box-Behnken",E3662^2+F3662^2+G3662^2+H3662^2&lt;=2+0.000000001,TRUE()))</f>
        <v>1</v>
      </c>
      <c r="AD3662" s="55" t="n">
        <f aca="false">IF(AC3662,IF(01_因子設定!$B$13="最大化",AA3662-01_因子設定!$B$14,IF(01_因子設定!$B$13="最小化",01_因子設定!$B$15-AB3662,MIN(AA3662-01_因子設定!$B$14,01_因子設定!$B$15-AB3662))),-1E+030)</f>
        <v>-5.69688571109948</v>
      </c>
      <c r="AE3662" s="55" t="n">
        <f aca="false">IF(AC3662,IF(01_因子設定!$B$13="最大化",X3662,IF(01_因子設定!$B$13="最小化",-X3662,-ABS(X3662-01_因子設定!$B$16))),-1E+030)</f>
        <v>42.3922743055555</v>
      </c>
      <c r="AF3662" s="55" t="n">
        <f aca="false">AD3662+ROW()*0.000000001</f>
        <v>-5.69688204909948</v>
      </c>
      <c r="AG3662" s="55" t="n">
        <f aca="false">AE3662+ROW()*0.000000001</f>
        <v>42.3922779675555</v>
      </c>
    </row>
    <row r="3663" customFormat="false" ht="15" hidden="false" customHeight="false" outlineLevel="0" collapsed="false">
      <c r="A3663" s="0" t="n">
        <v>5</v>
      </c>
      <c r="B3663" s="0" t="n">
        <v>0</v>
      </c>
      <c r="C3663" s="0" t="n">
        <v>1</v>
      </c>
      <c r="D3663" s="0" t="n">
        <v>4</v>
      </c>
      <c r="E3663" s="0" t="n">
        <f aca="false">-1+A3663*0.25</f>
        <v>0.25</v>
      </c>
      <c r="F3663" s="0" t="n">
        <f aca="false">-1+B3663*0.25</f>
        <v>-1</v>
      </c>
      <c r="G3663" s="0" t="n">
        <f aca="false">-1+C3663*0.25</f>
        <v>-0.75</v>
      </c>
      <c r="H3663" s="0" t="n">
        <f aca="false">-1+D3663*0.25</f>
        <v>0</v>
      </c>
      <c r="I3663" s="0" t="n">
        <f aca="false">1</f>
        <v>1</v>
      </c>
      <c r="J3663" s="0" t="n">
        <f aca="false">E3663</f>
        <v>0.25</v>
      </c>
      <c r="K3663" s="0" t="n">
        <f aca="false">F3663</f>
        <v>-1</v>
      </c>
      <c r="L3663" s="0" t="n">
        <f aca="false">G3663</f>
        <v>-0.75</v>
      </c>
      <c r="M3663" s="0" t="n">
        <f aca="false">H3663</f>
        <v>0</v>
      </c>
      <c r="N3663" s="0" t="n">
        <f aca="false">E3663*F3663</f>
        <v>-0.25</v>
      </c>
      <c r="O3663" s="0" t="n">
        <f aca="false">E3663*G3663</f>
        <v>-0.1875</v>
      </c>
      <c r="P3663" s="0" t="n">
        <f aca="false">E3663*H3663</f>
        <v>0</v>
      </c>
      <c r="Q3663" s="0" t="n">
        <f aca="false">F3663*G3663</f>
        <v>0.75</v>
      </c>
      <c r="R3663" s="0" t="n">
        <f aca="false">F3663*H3663</f>
        <v>-0</v>
      </c>
      <c r="S3663" s="0" t="n">
        <f aca="false">G3663*H3663</f>
        <v>-0</v>
      </c>
      <c r="T3663" s="0" t="n">
        <f aca="false">E3663*E3663</f>
        <v>0.0625</v>
      </c>
      <c r="U3663" s="0" t="n">
        <f aca="false">F3663*F3663</f>
        <v>1</v>
      </c>
      <c r="V3663" s="0" t="n">
        <f aca="false">G3663*G3663</f>
        <v>0.5625</v>
      </c>
      <c r="W3663" s="0" t="n">
        <f aca="false">H3663*H3663</f>
        <v>0</v>
      </c>
      <c r="X3663" s="0" t="n">
        <f aca="false">SUMPRODUCT(I3663:W3663,_XtX!$B$96:$P$96)</f>
        <v>42.5245979532163</v>
      </c>
      <c r="Y3663" s="0" t="n">
        <f aca="false">SUMPRODUCT(MMULT(I3663:W3663,_XtX!$B$78:$P$92),I3663:W3663)</f>
        <v>0.501534802174708</v>
      </c>
      <c r="Z3663" s="0" t="n">
        <f aca="false">04_回帰ANOVA!$K$19*04_回帰ANOVA!$K$14*SQRT(1+Y3663)</f>
        <v>1.59722498091333</v>
      </c>
      <c r="AA3663" s="0" t="n">
        <f aca="false">X3663-Z3663</f>
        <v>40.927372972303</v>
      </c>
      <c r="AB3663" s="0" t="n">
        <f aca="false">X3663+Z3663</f>
        <v>44.1218229341296</v>
      </c>
      <c r="AC3663" s="54" t="b">
        <f aca="false">AND(E3663&gt;=01_因子設定!$L$5-0.000000001,E3663&lt;=01_因子設定!$M$5+0.000000001,F3663&gt;=01_因子設定!$L$6-0.000000001,F3663&lt;=01_因子設定!$M$6+0.000000001,G3663&gt;=01_因子設定!$L$7-0.000000001,G3663&lt;=01_因子設定!$M$7+0.000000001,H3663&gt;=01_因子設定!$L$8-0.000000001,H3663&lt;=01_因子設定!$M$8+0.000000001,IF(01_因子設定!$B$20="Box-Behnken",E3663^2+F3663^2+G3663^2+H3663^2&lt;=2+0.000000001,TRUE()))</f>
        <v>1</v>
      </c>
      <c r="AD3663" s="55" t="n">
        <f aca="false">IF(AC3663,IF(01_因子設定!$B$13="最大化",AA3663-01_因子設定!$B$14,IF(01_因子設定!$B$13="最小化",01_因子設定!$B$15-AB3663,MIN(AA3663-01_因子設定!$B$14,01_因子設定!$B$15-AB3663))),-1E+030)</f>
        <v>-5.57262702769702</v>
      </c>
      <c r="AE3663" s="55" t="n">
        <f aca="false">IF(AC3663,IF(01_因子設定!$B$13="最大化",X3663,IF(01_因子設定!$B$13="最小化",-X3663,-ABS(X3663-01_因子設定!$B$16))),-1E+030)</f>
        <v>42.5245979532163</v>
      </c>
      <c r="AF3663" s="55" t="n">
        <f aca="false">AD3663+ROW()*0.000000001</f>
        <v>-5.57262336469702</v>
      </c>
      <c r="AG3663" s="55" t="n">
        <f aca="false">AE3663+ROW()*0.000000001</f>
        <v>42.5246016162163</v>
      </c>
    </row>
    <row r="3664" customFormat="false" ht="15" hidden="false" customHeight="false" outlineLevel="0" collapsed="false">
      <c r="A3664" s="0" t="n">
        <v>5</v>
      </c>
      <c r="B3664" s="0" t="n">
        <v>0</v>
      </c>
      <c r="C3664" s="0" t="n">
        <v>1</v>
      </c>
      <c r="D3664" s="0" t="n">
        <v>5</v>
      </c>
      <c r="E3664" s="0" t="n">
        <f aca="false">-1+A3664*0.25</f>
        <v>0.25</v>
      </c>
      <c r="F3664" s="0" t="n">
        <f aca="false">-1+B3664*0.25</f>
        <v>-1</v>
      </c>
      <c r="G3664" s="0" t="n">
        <f aca="false">-1+C3664*0.25</f>
        <v>-0.75</v>
      </c>
      <c r="H3664" s="0" t="n">
        <f aca="false">-1+D3664*0.25</f>
        <v>0.25</v>
      </c>
      <c r="I3664" s="0" t="n">
        <f aca="false">1</f>
        <v>1</v>
      </c>
      <c r="J3664" s="0" t="n">
        <f aca="false">E3664</f>
        <v>0.25</v>
      </c>
      <c r="K3664" s="0" t="n">
        <f aca="false">F3664</f>
        <v>-1</v>
      </c>
      <c r="L3664" s="0" t="n">
        <f aca="false">G3664</f>
        <v>-0.75</v>
      </c>
      <c r="M3664" s="0" t="n">
        <f aca="false">H3664</f>
        <v>0.25</v>
      </c>
      <c r="N3664" s="0" t="n">
        <f aca="false">E3664*F3664</f>
        <v>-0.25</v>
      </c>
      <c r="O3664" s="0" t="n">
        <f aca="false">E3664*G3664</f>
        <v>-0.1875</v>
      </c>
      <c r="P3664" s="0" t="n">
        <f aca="false">E3664*H3664</f>
        <v>0.0625</v>
      </c>
      <c r="Q3664" s="0" t="n">
        <f aca="false">F3664*G3664</f>
        <v>0.75</v>
      </c>
      <c r="R3664" s="0" t="n">
        <f aca="false">F3664*H3664</f>
        <v>-0.25</v>
      </c>
      <c r="S3664" s="0" t="n">
        <f aca="false">G3664*H3664</f>
        <v>-0.1875</v>
      </c>
      <c r="T3664" s="0" t="n">
        <f aca="false">E3664*E3664</f>
        <v>0.0625</v>
      </c>
      <c r="U3664" s="0" t="n">
        <f aca="false">F3664*F3664</f>
        <v>1</v>
      </c>
      <c r="V3664" s="0" t="n">
        <f aca="false">G3664*G3664</f>
        <v>0.5625</v>
      </c>
      <c r="W3664" s="0" t="n">
        <f aca="false">H3664*H3664</f>
        <v>0.0625</v>
      </c>
      <c r="X3664" s="0" t="n">
        <f aca="false">SUMPRODUCT(I3664:W3664,_XtX!$B$96:$P$96)</f>
        <v>42.6091145833333</v>
      </c>
      <c r="Y3664" s="0" t="n">
        <f aca="false">SUMPRODUCT(MMULT(I3664:W3664,_XtX!$B$78:$P$92),I3664:W3664)</f>
        <v>0.486409505208334</v>
      </c>
      <c r="Z3664" s="0" t="n">
        <f aca="false">04_回帰ANOVA!$K$19*04_回帰ANOVA!$K$14*SQRT(1+Y3664)</f>
        <v>1.58916001665498</v>
      </c>
      <c r="AA3664" s="0" t="n">
        <f aca="false">X3664-Z3664</f>
        <v>41.0199545666783</v>
      </c>
      <c r="AB3664" s="0" t="n">
        <f aca="false">X3664+Z3664</f>
        <v>44.1982745999883</v>
      </c>
      <c r="AC3664" s="54" t="b">
        <f aca="false">AND(E3664&gt;=01_因子設定!$L$5-0.000000001,E3664&lt;=01_因子設定!$M$5+0.000000001,F3664&gt;=01_因子設定!$L$6-0.000000001,F3664&lt;=01_因子設定!$M$6+0.000000001,G3664&gt;=01_因子設定!$L$7-0.000000001,G3664&lt;=01_因子設定!$M$7+0.000000001,H3664&gt;=01_因子設定!$L$8-0.000000001,H3664&lt;=01_因子設定!$M$8+0.000000001,IF(01_因子設定!$B$20="Box-Behnken",E3664^2+F3664^2+G3664^2+H3664^2&lt;=2+0.000000001,TRUE()))</f>
        <v>1</v>
      </c>
      <c r="AD3664" s="55" t="n">
        <f aca="false">IF(AC3664,IF(01_因子設定!$B$13="最大化",AA3664-01_因子設定!$B$14,IF(01_因子設定!$B$13="最小化",01_因子設定!$B$15-AB3664,MIN(AA3664-01_因子設定!$B$14,01_因子設定!$B$15-AB3664))),-1E+030)</f>
        <v>-5.48004543332171</v>
      </c>
      <c r="AE3664" s="55" t="n">
        <f aca="false">IF(AC3664,IF(01_因子設定!$B$13="最大化",X3664,IF(01_因子設定!$B$13="最小化",-X3664,-ABS(X3664-01_因子設定!$B$16))),-1E+030)</f>
        <v>42.6091145833333</v>
      </c>
      <c r="AF3664" s="55" t="n">
        <f aca="false">AD3664+ROW()*0.000000001</f>
        <v>-5.48004176932171</v>
      </c>
      <c r="AG3664" s="55" t="n">
        <f aca="false">AE3664+ROW()*0.000000001</f>
        <v>42.6091182473333</v>
      </c>
    </row>
    <row r="3665" customFormat="false" ht="15" hidden="false" customHeight="false" outlineLevel="0" collapsed="false">
      <c r="A3665" s="0" t="n">
        <v>5</v>
      </c>
      <c r="B3665" s="0" t="n">
        <v>0</v>
      </c>
      <c r="C3665" s="0" t="n">
        <v>1</v>
      </c>
      <c r="D3665" s="0" t="n">
        <v>6</v>
      </c>
      <c r="E3665" s="0" t="n">
        <f aca="false">-1+A3665*0.25</f>
        <v>0.25</v>
      </c>
      <c r="F3665" s="0" t="n">
        <f aca="false">-1+B3665*0.25</f>
        <v>-1</v>
      </c>
      <c r="G3665" s="0" t="n">
        <f aca="false">-1+C3665*0.25</f>
        <v>-0.75</v>
      </c>
      <c r="H3665" s="0" t="n">
        <f aca="false">-1+D3665*0.25</f>
        <v>0.5</v>
      </c>
      <c r="I3665" s="0" t="n">
        <f aca="false">1</f>
        <v>1</v>
      </c>
      <c r="J3665" s="0" t="n">
        <f aca="false">E3665</f>
        <v>0.25</v>
      </c>
      <c r="K3665" s="0" t="n">
        <f aca="false">F3665</f>
        <v>-1</v>
      </c>
      <c r="L3665" s="0" t="n">
        <f aca="false">G3665</f>
        <v>-0.75</v>
      </c>
      <c r="M3665" s="0" t="n">
        <f aca="false">H3665</f>
        <v>0.5</v>
      </c>
      <c r="N3665" s="0" t="n">
        <f aca="false">E3665*F3665</f>
        <v>-0.25</v>
      </c>
      <c r="O3665" s="0" t="n">
        <f aca="false">E3665*G3665</f>
        <v>-0.1875</v>
      </c>
      <c r="P3665" s="0" t="n">
        <f aca="false">E3665*H3665</f>
        <v>0.125</v>
      </c>
      <c r="Q3665" s="0" t="n">
        <f aca="false">F3665*G3665</f>
        <v>0.75</v>
      </c>
      <c r="R3665" s="0" t="n">
        <f aca="false">F3665*H3665</f>
        <v>-0.5</v>
      </c>
      <c r="S3665" s="0" t="n">
        <f aca="false">G3665*H3665</f>
        <v>-0.375</v>
      </c>
      <c r="T3665" s="0" t="n">
        <f aca="false">E3665*E3665</f>
        <v>0.0625</v>
      </c>
      <c r="U3665" s="0" t="n">
        <f aca="false">F3665*F3665</f>
        <v>1</v>
      </c>
      <c r="V3665" s="0" t="n">
        <f aca="false">G3665*G3665</f>
        <v>0.5625</v>
      </c>
      <c r="W3665" s="0" t="n">
        <f aca="false">H3665*H3665</f>
        <v>0.25</v>
      </c>
      <c r="X3665" s="0" t="n">
        <f aca="false">SUMPRODUCT(I3665:W3665,_XtX!$B$96:$P$96)</f>
        <v>42.6458241959064</v>
      </c>
      <c r="Y3665" s="0" t="n">
        <f aca="false">SUMPRODUCT(MMULT(I3665:W3665,_XtX!$B$78:$P$92),I3665:W3665)</f>
        <v>0.459125719572369</v>
      </c>
      <c r="Z3665" s="0" t="n">
        <f aca="false">04_回帰ANOVA!$K$19*04_回帰ANOVA!$K$14*SQRT(1+Y3665)</f>
        <v>1.57450755575573</v>
      </c>
      <c r="AA3665" s="0" t="n">
        <f aca="false">X3665-Z3665</f>
        <v>41.0713166401507</v>
      </c>
      <c r="AB3665" s="0" t="n">
        <f aca="false">X3665+Z3665</f>
        <v>44.2203317516621</v>
      </c>
      <c r="AC3665" s="54" t="b">
        <f aca="false">AND(E3665&gt;=01_因子設定!$L$5-0.000000001,E3665&lt;=01_因子設定!$M$5+0.000000001,F3665&gt;=01_因子設定!$L$6-0.000000001,F3665&lt;=01_因子設定!$M$6+0.000000001,G3665&gt;=01_因子設定!$L$7-0.000000001,G3665&lt;=01_因子設定!$M$7+0.000000001,H3665&gt;=01_因子設定!$L$8-0.000000001,H3665&lt;=01_因子設定!$M$8+0.000000001,IF(01_因子設定!$B$20="Box-Behnken",E3665^2+F3665^2+G3665^2+H3665^2&lt;=2+0.000000001,TRUE()))</f>
        <v>1</v>
      </c>
      <c r="AD3665" s="55" t="n">
        <f aca="false">IF(AC3665,IF(01_因子設定!$B$13="最大化",AA3665-01_因子設定!$B$14,IF(01_因子設定!$B$13="最小化",01_因子設定!$B$15-AB3665,MIN(AA3665-01_因子設定!$B$14,01_因子設定!$B$15-AB3665))),-1E+030)</f>
        <v>-5.42868335984934</v>
      </c>
      <c r="AE3665" s="55" t="n">
        <f aca="false">IF(AC3665,IF(01_因子設定!$B$13="最大化",X3665,IF(01_因子設定!$B$13="最小化",-X3665,-ABS(X3665-01_因子設定!$B$16))),-1E+030)</f>
        <v>42.6458241959064</v>
      </c>
      <c r="AF3665" s="55" t="n">
        <f aca="false">AD3665+ROW()*0.000000001</f>
        <v>-5.42867969484934</v>
      </c>
      <c r="AG3665" s="55" t="n">
        <f aca="false">AE3665+ROW()*0.000000001</f>
        <v>42.6458278609064</v>
      </c>
    </row>
    <row r="3666" customFormat="false" ht="15" hidden="false" customHeight="false" outlineLevel="0" collapsed="false">
      <c r="A3666" s="0" t="n">
        <v>5</v>
      </c>
      <c r="B3666" s="0" t="n">
        <v>0</v>
      </c>
      <c r="C3666" s="0" t="n">
        <v>1</v>
      </c>
      <c r="D3666" s="0" t="n">
        <v>7</v>
      </c>
      <c r="E3666" s="0" t="n">
        <f aca="false">-1+A3666*0.25</f>
        <v>0.25</v>
      </c>
      <c r="F3666" s="0" t="n">
        <f aca="false">-1+B3666*0.25</f>
        <v>-1</v>
      </c>
      <c r="G3666" s="0" t="n">
        <f aca="false">-1+C3666*0.25</f>
        <v>-0.75</v>
      </c>
      <c r="H3666" s="0" t="n">
        <f aca="false">-1+D3666*0.25</f>
        <v>0.75</v>
      </c>
      <c r="I3666" s="0" t="n">
        <f aca="false">1</f>
        <v>1</v>
      </c>
      <c r="J3666" s="0" t="n">
        <f aca="false">E3666</f>
        <v>0.25</v>
      </c>
      <c r="K3666" s="0" t="n">
        <f aca="false">F3666</f>
        <v>-1</v>
      </c>
      <c r="L3666" s="0" t="n">
        <f aca="false">G3666</f>
        <v>-0.75</v>
      </c>
      <c r="M3666" s="0" t="n">
        <f aca="false">H3666</f>
        <v>0.75</v>
      </c>
      <c r="N3666" s="0" t="n">
        <f aca="false">E3666*F3666</f>
        <v>-0.25</v>
      </c>
      <c r="O3666" s="0" t="n">
        <f aca="false">E3666*G3666</f>
        <v>-0.1875</v>
      </c>
      <c r="P3666" s="0" t="n">
        <f aca="false">E3666*H3666</f>
        <v>0.1875</v>
      </c>
      <c r="Q3666" s="0" t="n">
        <f aca="false">F3666*G3666</f>
        <v>0.75</v>
      </c>
      <c r="R3666" s="0" t="n">
        <f aca="false">F3666*H3666</f>
        <v>-0.75</v>
      </c>
      <c r="S3666" s="0" t="n">
        <f aca="false">G3666*H3666</f>
        <v>-0.5625</v>
      </c>
      <c r="T3666" s="0" t="n">
        <f aca="false">E3666*E3666</f>
        <v>0.0625</v>
      </c>
      <c r="U3666" s="0" t="n">
        <f aca="false">F3666*F3666</f>
        <v>1</v>
      </c>
      <c r="V3666" s="0" t="n">
        <f aca="false">G3666*G3666</f>
        <v>0.5625</v>
      </c>
      <c r="W3666" s="0" t="n">
        <f aca="false">H3666*H3666</f>
        <v>0.5625</v>
      </c>
      <c r="X3666" s="0" t="n">
        <f aca="false">SUMPRODUCT(I3666:W3666,_XtX!$B$96:$P$96)</f>
        <v>42.6347267909356</v>
      </c>
      <c r="Y3666" s="0" t="n">
        <f aca="false">SUMPRODUCT(MMULT(I3666:W3666,_XtX!$B$78:$P$92),I3666:W3666)</f>
        <v>0.473959761056287</v>
      </c>
      <c r="Z3666" s="0" t="n">
        <f aca="false">04_回帰ANOVA!$K$19*04_回帰ANOVA!$K$14*SQRT(1+Y3666)</f>
        <v>1.58249084588329</v>
      </c>
      <c r="AA3666" s="0" t="n">
        <f aca="false">X3666-Z3666</f>
        <v>41.0522359450523</v>
      </c>
      <c r="AB3666" s="0" t="n">
        <f aca="false">X3666+Z3666</f>
        <v>44.2172176368189</v>
      </c>
      <c r="AC3666" s="54" t="b">
        <f aca="false">AND(E3666&gt;=01_因子設定!$L$5-0.000000001,E3666&lt;=01_因子設定!$M$5+0.000000001,F3666&gt;=01_因子設定!$L$6-0.000000001,F3666&lt;=01_因子設定!$M$6+0.000000001,G3666&gt;=01_因子設定!$L$7-0.000000001,G3666&lt;=01_因子設定!$M$7+0.000000001,H3666&gt;=01_因子設定!$L$8-0.000000001,H3666&lt;=01_因子設定!$M$8+0.000000001,IF(01_因子設定!$B$20="Box-Behnken",E3666^2+F3666^2+G3666^2+H3666^2&lt;=2+0.000000001,TRUE()))</f>
        <v>1</v>
      </c>
      <c r="AD3666" s="55" t="n">
        <f aca="false">IF(AC3666,IF(01_因子設定!$B$13="最大化",AA3666-01_因子設定!$B$14,IF(01_因子設定!$B$13="最小化",01_因子設定!$B$15-AB3666,MIN(AA3666-01_因子設定!$B$14,01_因子設定!$B$15-AB3666))),-1E+030)</f>
        <v>-5.44776405494766</v>
      </c>
      <c r="AE3666" s="55" t="n">
        <f aca="false">IF(AC3666,IF(01_因子設定!$B$13="最大化",X3666,IF(01_因子設定!$B$13="最小化",-X3666,-ABS(X3666-01_因子設定!$B$16))),-1E+030)</f>
        <v>42.6347267909356</v>
      </c>
      <c r="AF3666" s="55" t="n">
        <f aca="false">AD3666+ROW()*0.000000001</f>
        <v>-5.44776038894766</v>
      </c>
      <c r="AG3666" s="55" t="n">
        <f aca="false">AE3666+ROW()*0.000000001</f>
        <v>42.6347304569356</v>
      </c>
    </row>
    <row r="3667" customFormat="false" ht="15" hidden="false" customHeight="false" outlineLevel="0" collapsed="false">
      <c r="A3667" s="0" t="n">
        <v>5</v>
      </c>
      <c r="B3667" s="0" t="n">
        <v>0</v>
      </c>
      <c r="C3667" s="0" t="n">
        <v>1</v>
      </c>
      <c r="D3667" s="0" t="n">
        <v>8</v>
      </c>
      <c r="E3667" s="0" t="n">
        <f aca="false">-1+A3667*0.25</f>
        <v>0.25</v>
      </c>
      <c r="F3667" s="0" t="n">
        <f aca="false">-1+B3667*0.25</f>
        <v>-1</v>
      </c>
      <c r="G3667" s="0" t="n">
        <f aca="false">-1+C3667*0.25</f>
        <v>-0.75</v>
      </c>
      <c r="H3667" s="0" t="n">
        <f aca="false">-1+D3667*0.25</f>
        <v>1</v>
      </c>
      <c r="I3667" s="0" t="n">
        <f aca="false">1</f>
        <v>1</v>
      </c>
      <c r="J3667" s="0" t="n">
        <f aca="false">E3667</f>
        <v>0.25</v>
      </c>
      <c r="K3667" s="0" t="n">
        <f aca="false">F3667</f>
        <v>-1</v>
      </c>
      <c r="L3667" s="0" t="n">
        <f aca="false">G3667</f>
        <v>-0.75</v>
      </c>
      <c r="M3667" s="0" t="n">
        <f aca="false">H3667</f>
        <v>1</v>
      </c>
      <c r="N3667" s="0" t="n">
        <f aca="false">E3667*F3667</f>
        <v>-0.25</v>
      </c>
      <c r="O3667" s="0" t="n">
        <f aca="false">E3667*G3667</f>
        <v>-0.1875</v>
      </c>
      <c r="P3667" s="0" t="n">
        <f aca="false">E3667*H3667</f>
        <v>0.25</v>
      </c>
      <c r="Q3667" s="0" t="n">
        <f aca="false">F3667*G3667</f>
        <v>0.75</v>
      </c>
      <c r="R3667" s="0" t="n">
        <f aca="false">F3667*H3667</f>
        <v>-1</v>
      </c>
      <c r="S3667" s="0" t="n">
        <f aca="false">G3667*H3667</f>
        <v>-0.75</v>
      </c>
      <c r="T3667" s="0" t="n">
        <f aca="false">E3667*E3667</f>
        <v>0.0625</v>
      </c>
      <c r="U3667" s="0" t="n">
        <f aca="false">F3667*F3667</f>
        <v>1</v>
      </c>
      <c r="V3667" s="0" t="n">
        <f aca="false">G3667*G3667</f>
        <v>0.5625</v>
      </c>
      <c r="W3667" s="0" t="n">
        <f aca="false">H3667*H3667</f>
        <v>1</v>
      </c>
      <c r="X3667" s="0" t="n">
        <f aca="false">SUMPRODUCT(I3667:W3667,_XtX!$B$96:$P$96)</f>
        <v>42.575822368421</v>
      </c>
      <c r="Y3667" s="0" t="n">
        <f aca="false">SUMPRODUCT(MMULT(I3667:W3667,_XtX!$B$78:$P$92),I3667:W3667)</f>
        <v>0.621372155975877</v>
      </c>
      <c r="Z3667" s="0" t="n">
        <f aca="false">04_回帰ANOVA!$K$19*04_回帰ANOVA!$K$14*SQRT(1+Y3667)</f>
        <v>1.65973880499872</v>
      </c>
      <c r="AA3667" s="0" t="n">
        <f aca="false">X3667-Z3667</f>
        <v>40.9160835634223</v>
      </c>
      <c r="AB3667" s="0" t="n">
        <f aca="false">X3667+Z3667</f>
        <v>44.2355611734198</v>
      </c>
      <c r="AC3667" s="54" t="b">
        <f aca="false">AND(E3667&gt;=01_因子設定!$L$5-0.000000001,E3667&lt;=01_因子設定!$M$5+0.000000001,F3667&gt;=01_因子設定!$L$6-0.000000001,F3667&lt;=01_因子設定!$M$6+0.000000001,G3667&gt;=01_因子設定!$L$7-0.000000001,G3667&lt;=01_因子設定!$M$7+0.000000001,H3667&gt;=01_因子設定!$L$8-0.000000001,H3667&lt;=01_因子設定!$M$8+0.000000001,IF(01_因子設定!$B$20="Box-Behnken",E3667^2+F3667^2+G3667^2+H3667^2&lt;=2+0.000000001,TRUE()))</f>
        <v>1</v>
      </c>
      <c r="AD3667" s="55" t="n">
        <f aca="false">IF(AC3667,IF(01_因子設定!$B$13="最大化",AA3667-01_因子設定!$B$14,IF(01_因子設定!$B$13="最小化",01_因子設定!$B$15-AB3667,MIN(AA3667-01_因子設定!$B$14,01_因子設定!$B$15-AB3667))),-1E+030)</f>
        <v>-5.58391643657769</v>
      </c>
      <c r="AE3667" s="55" t="n">
        <f aca="false">IF(AC3667,IF(01_因子設定!$B$13="最大化",X3667,IF(01_因子設定!$B$13="最小化",-X3667,-ABS(X3667-01_因子設定!$B$16))),-1E+030)</f>
        <v>42.575822368421</v>
      </c>
      <c r="AF3667" s="55" t="n">
        <f aca="false">AD3667+ROW()*0.000000001</f>
        <v>-5.58391276957769</v>
      </c>
      <c r="AG3667" s="55" t="n">
        <f aca="false">AE3667+ROW()*0.000000001</f>
        <v>42.575826035421</v>
      </c>
    </row>
    <row r="3668" customFormat="false" ht="15" hidden="false" customHeight="false" outlineLevel="0" collapsed="false">
      <c r="A3668" s="0" t="n">
        <v>5</v>
      </c>
      <c r="B3668" s="0" t="n">
        <v>0</v>
      </c>
      <c r="C3668" s="0" t="n">
        <v>2</v>
      </c>
      <c r="D3668" s="0" t="n">
        <v>0</v>
      </c>
      <c r="E3668" s="0" t="n">
        <f aca="false">-1+A3668*0.25</f>
        <v>0.25</v>
      </c>
      <c r="F3668" s="0" t="n">
        <f aca="false">-1+B3668*0.25</f>
        <v>-1</v>
      </c>
      <c r="G3668" s="0" t="n">
        <f aca="false">-1+C3668*0.25</f>
        <v>-0.5</v>
      </c>
      <c r="H3668" s="0" t="n">
        <f aca="false">-1+D3668*0.25</f>
        <v>-1</v>
      </c>
      <c r="I3668" s="0" t="n">
        <f aca="false">1</f>
        <v>1</v>
      </c>
      <c r="J3668" s="0" t="n">
        <f aca="false">E3668</f>
        <v>0.25</v>
      </c>
      <c r="K3668" s="0" t="n">
        <f aca="false">F3668</f>
        <v>-1</v>
      </c>
      <c r="L3668" s="0" t="n">
        <f aca="false">G3668</f>
        <v>-0.5</v>
      </c>
      <c r="M3668" s="0" t="n">
        <f aca="false">H3668</f>
        <v>-1</v>
      </c>
      <c r="N3668" s="0" t="n">
        <f aca="false">E3668*F3668</f>
        <v>-0.25</v>
      </c>
      <c r="O3668" s="0" t="n">
        <f aca="false">E3668*G3668</f>
        <v>-0.125</v>
      </c>
      <c r="P3668" s="0" t="n">
        <f aca="false">E3668*H3668</f>
        <v>-0.25</v>
      </c>
      <c r="Q3668" s="0" t="n">
        <f aca="false">F3668*G3668</f>
        <v>0.5</v>
      </c>
      <c r="R3668" s="0" t="n">
        <f aca="false">F3668*H3668</f>
        <v>1</v>
      </c>
      <c r="S3668" s="0" t="n">
        <f aca="false">G3668*H3668</f>
        <v>0.5</v>
      </c>
      <c r="T3668" s="0" t="n">
        <f aca="false">E3668*E3668</f>
        <v>0.0625</v>
      </c>
      <c r="U3668" s="0" t="n">
        <f aca="false">F3668*F3668</f>
        <v>1</v>
      </c>
      <c r="V3668" s="0" t="n">
        <f aca="false">G3668*G3668</f>
        <v>0.25</v>
      </c>
      <c r="W3668" s="0" t="n">
        <f aca="false">H3668*H3668</f>
        <v>1</v>
      </c>
      <c r="X3668" s="0" t="n">
        <f aca="false">SUMPRODUCT(I3668:W3668,_XtX!$B$96:$P$96)</f>
        <v>41.9769371345029</v>
      </c>
      <c r="Y3668" s="0" t="n">
        <f aca="false">SUMPRODUCT(MMULT(I3668:W3668,_XtX!$B$78:$P$92),I3668:W3668)</f>
        <v>0.629174661915205</v>
      </c>
      <c r="Z3668" s="0" t="n">
        <f aca="false">04_回帰ANOVA!$K$19*04_回帰ANOVA!$K$14*SQRT(1+Y3668)</f>
        <v>1.66372758058297</v>
      </c>
      <c r="AA3668" s="0" t="n">
        <f aca="false">X3668-Z3668</f>
        <v>40.3132095539199</v>
      </c>
      <c r="AB3668" s="0" t="n">
        <f aca="false">X3668+Z3668</f>
        <v>43.6406647150859</v>
      </c>
      <c r="AC3668" s="54" t="b">
        <f aca="false">AND(E3668&gt;=01_因子設定!$L$5-0.000000001,E3668&lt;=01_因子設定!$M$5+0.000000001,F3668&gt;=01_因子設定!$L$6-0.000000001,F3668&lt;=01_因子設定!$M$6+0.000000001,G3668&gt;=01_因子設定!$L$7-0.000000001,G3668&lt;=01_因子設定!$M$7+0.000000001,H3668&gt;=01_因子設定!$L$8-0.000000001,H3668&lt;=01_因子設定!$M$8+0.000000001,IF(01_因子設定!$B$20="Box-Behnken",E3668^2+F3668^2+G3668^2+H3668^2&lt;=2+0.000000001,TRUE()))</f>
        <v>1</v>
      </c>
      <c r="AD3668" s="55" t="n">
        <f aca="false">IF(AC3668,IF(01_因子設定!$B$13="最大化",AA3668-01_因子設定!$B$14,IF(01_因子設定!$B$13="最小化",01_因子設定!$B$15-AB3668,MIN(AA3668-01_因子設定!$B$14,01_因子設定!$B$15-AB3668))),-1E+030)</f>
        <v>-6.18679044608007</v>
      </c>
      <c r="AE3668" s="55" t="n">
        <f aca="false">IF(AC3668,IF(01_因子設定!$B$13="最大化",X3668,IF(01_因子設定!$B$13="最小化",-X3668,-ABS(X3668-01_因子設定!$B$16))),-1E+030)</f>
        <v>41.9769371345029</v>
      </c>
      <c r="AF3668" s="55" t="n">
        <f aca="false">AD3668+ROW()*0.000000001</f>
        <v>-6.18678677808007</v>
      </c>
      <c r="AG3668" s="55" t="n">
        <f aca="false">AE3668+ROW()*0.000000001</f>
        <v>41.9769408025029</v>
      </c>
    </row>
    <row r="3669" customFormat="false" ht="15" hidden="false" customHeight="false" outlineLevel="0" collapsed="false">
      <c r="A3669" s="0" t="n">
        <v>5</v>
      </c>
      <c r="B3669" s="0" t="n">
        <v>0</v>
      </c>
      <c r="C3669" s="0" t="n">
        <v>2</v>
      </c>
      <c r="D3669" s="0" t="n">
        <v>1</v>
      </c>
      <c r="E3669" s="0" t="n">
        <f aca="false">-1+A3669*0.25</f>
        <v>0.25</v>
      </c>
      <c r="F3669" s="0" t="n">
        <f aca="false">-1+B3669*0.25</f>
        <v>-1</v>
      </c>
      <c r="G3669" s="0" t="n">
        <f aca="false">-1+C3669*0.25</f>
        <v>-0.5</v>
      </c>
      <c r="H3669" s="0" t="n">
        <f aca="false">-1+D3669*0.25</f>
        <v>-0.75</v>
      </c>
      <c r="I3669" s="0" t="n">
        <f aca="false">1</f>
        <v>1</v>
      </c>
      <c r="J3669" s="0" t="n">
        <f aca="false">E3669</f>
        <v>0.25</v>
      </c>
      <c r="K3669" s="0" t="n">
        <f aca="false">F3669</f>
        <v>-1</v>
      </c>
      <c r="L3669" s="0" t="n">
        <f aca="false">G3669</f>
        <v>-0.5</v>
      </c>
      <c r="M3669" s="0" t="n">
        <f aca="false">H3669</f>
        <v>-0.75</v>
      </c>
      <c r="N3669" s="0" t="n">
        <f aca="false">E3669*F3669</f>
        <v>-0.25</v>
      </c>
      <c r="O3669" s="0" t="n">
        <f aca="false">E3669*G3669</f>
        <v>-0.125</v>
      </c>
      <c r="P3669" s="0" t="n">
        <f aca="false">E3669*H3669</f>
        <v>-0.1875</v>
      </c>
      <c r="Q3669" s="0" t="n">
        <f aca="false">F3669*G3669</f>
        <v>0.5</v>
      </c>
      <c r="R3669" s="0" t="n">
        <f aca="false">F3669*H3669</f>
        <v>0.75</v>
      </c>
      <c r="S3669" s="0" t="n">
        <f aca="false">G3669*H3669</f>
        <v>0.375</v>
      </c>
      <c r="T3669" s="0" t="n">
        <f aca="false">E3669*E3669</f>
        <v>0.0625</v>
      </c>
      <c r="U3669" s="0" t="n">
        <f aca="false">F3669*F3669</f>
        <v>1</v>
      </c>
      <c r="V3669" s="0" t="n">
        <f aca="false">G3669*G3669</f>
        <v>0.25</v>
      </c>
      <c r="W3669" s="0" t="n">
        <f aca="false">H3669*H3669</f>
        <v>0.5625</v>
      </c>
      <c r="X3669" s="0" t="n">
        <f aca="false">SUMPRODUCT(I3669:W3669,_XtX!$B$96:$P$96)</f>
        <v>42.2706505847953</v>
      </c>
      <c r="Y3669" s="0" t="n">
        <f aca="false">SUMPRODUCT(MMULT(I3669:W3669,_XtX!$B$78:$P$92),I3669:W3669)</f>
        <v>0.459125719572369</v>
      </c>
      <c r="Z3669" s="0" t="n">
        <f aca="false">04_回帰ANOVA!$K$19*04_回帰ANOVA!$K$14*SQRT(1+Y3669)</f>
        <v>1.57450755575573</v>
      </c>
      <c r="AA3669" s="0" t="n">
        <f aca="false">X3669-Z3669</f>
        <v>40.6961430290396</v>
      </c>
      <c r="AB3669" s="0" t="n">
        <f aca="false">X3669+Z3669</f>
        <v>43.845158140551</v>
      </c>
      <c r="AC3669" s="54" t="b">
        <f aca="false">AND(E3669&gt;=01_因子設定!$L$5-0.000000001,E3669&lt;=01_因子設定!$M$5+0.000000001,F3669&gt;=01_因子設定!$L$6-0.000000001,F3669&lt;=01_因子設定!$M$6+0.000000001,G3669&gt;=01_因子設定!$L$7-0.000000001,G3669&lt;=01_因子設定!$M$7+0.000000001,H3669&gt;=01_因子設定!$L$8-0.000000001,H3669&lt;=01_因子設定!$M$8+0.000000001,IF(01_因子設定!$B$20="Box-Behnken",E3669^2+F3669^2+G3669^2+H3669^2&lt;=2+0.000000001,TRUE()))</f>
        <v>1</v>
      </c>
      <c r="AD3669" s="55" t="n">
        <f aca="false">IF(AC3669,IF(01_因子設定!$B$13="最大化",AA3669-01_因子設定!$B$14,IF(01_因子設定!$B$13="最小化",01_因子設定!$B$15-AB3669,MIN(AA3669-01_因子設定!$B$14,01_因子設定!$B$15-AB3669))),-1E+030)</f>
        <v>-5.80385697096045</v>
      </c>
      <c r="AE3669" s="55" t="n">
        <f aca="false">IF(AC3669,IF(01_因子設定!$B$13="最大化",X3669,IF(01_因子設定!$B$13="最小化",-X3669,-ABS(X3669-01_因子設定!$B$16))),-1E+030)</f>
        <v>42.2706505847953</v>
      </c>
      <c r="AF3669" s="55" t="n">
        <f aca="false">AD3669+ROW()*0.000000001</f>
        <v>-5.80385330196045</v>
      </c>
      <c r="AG3669" s="55" t="n">
        <f aca="false">AE3669+ROW()*0.000000001</f>
        <v>42.2706542537953</v>
      </c>
    </row>
    <row r="3670" customFormat="false" ht="15" hidden="false" customHeight="false" outlineLevel="0" collapsed="false">
      <c r="A3670" s="0" t="n">
        <v>5</v>
      </c>
      <c r="B3670" s="0" t="n">
        <v>0</v>
      </c>
      <c r="C3670" s="0" t="n">
        <v>2</v>
      </c>
      <c r="D3670" s="0" t="n">
        <v>2</v>
      </c>
      <c r="E3670" s="0" t="n">
        <f aca="false">-1+A3670*0.25</f>
        <v>0.25</v>
      </c>
      <c r="F3670" s="0" t="n">
        <f aca="false">-1+B3670*0.25</f>
        <v>-1</v>
      </c>
      <c r="G3670" s="0" t="n">
        <f aca="false">-1+C3670*0.25</f>
        <v>-0.5</v>
      </c>
      <c r="H3670" s="0" t="n">
        <f aca="false">-1+D3670*0.25</f>
        <v>-0.5</v>
      </c>
      <c r="I3670" s="0" t="n">
        <f aca="false">1</f>
        <v>1</v>
      </c>
      <c r="J3670" s="0" t="n">
        <f aca="false">E3670</f>
        <v>0.25</v>
      </c>
      <c r="K3670" s="0" t="n">
        <f aca="false">F3670</f>
        <v>-1</v>
      </c>
      <c r="L3670" s="0" t="n">
        <f aca="false">G3670</f>
        <v>-0.5</v>
      </c>
      <c r="M3670" s="0" t="n">
        <f aca="false">H3670</f>
        <v>-0.5</v>
      </c>
      <c r="N3670" s="0" t="n">
        <f aca="false">E3670*F3670</f>
        <v>-0.25</v>
      </c>
      <c r="O3670" s="0" t="n">
        <f aca="false">E3670*G3670</f>
        <v>-0.125</v>
      </c>
      <c r="P3670" s="0" t="n">
        <f aca="false">E3670*H3670</f>
        <v>-0.125</v>
      </c>
      <c r="Q3670" s="0" t="n">
        <f aca="false">F3670*G3670</f>
        <v>0.5</v>
      </c>
      <c r="R3670" s="0" t="n">
        <f aca="false">F3670*H3670</f>
        <v>0.5</v>
      </c>
      <c r="S3670" s="0" t="n">
        <f aca="false">G3670*H3670</f>
        <v>0.25</v>
      </c>
      <c r="T3670" s="0" t="n">
        <f aca="false">E3670*E3670</f>
        <v>0.0625</v>
      </c>
      <c r="U3670" s="0" t="n">
        <f aca="false">F3670*F3670</f>
        <v>1</v>
      </c>
      <c r="V3670" s="0" t="n">
        <f aca="false">G3670*G3670</f>
        <v>0.25</v>
      </c>
      <c r="W3670" s="0" t="n">
        <f aca="false">H3670*H3670</f>
        <v>0.25</v>
      </c>
      <c r="X3670" s="0" t="n">
        <f aca="false">SUMPRODUCT(I3670:W3670,_XtX!$B$96:$P$96)</f>
        <v>42.5165570175438</v>
      </c>
      <c r="Y3670" s="0" t="n">
        <f aca="false">SUMPRODUCT(MMULT(I3670:W3670,_XtX!$B$78:$P$92),I3670:W3670)</f>
        <v>0.428122715643275</v>
      </c>
      <c r="Z3670" s="0" t="n">
        <f aca="false">04_回帰ANOVA!$K$19*04_回帰ANOVA!$K$14*SQRT(1+Y3670)</f>
        <v>1.55769044623229</v>
      </c>
      <c r="AA3670" s="0" t="n">
        <f aca="false">X3670-Z3670</f>
        <v>40.9588665713115</v>
      </c>
      <c r="AB3670" s="0" t="n">
        <f aca="false">X3670+Z3670</f>
        <v>44.0742474637761</v>
      </c>
      <c r="AC3670" s="54" t="b">
        <f aca="false">AND(E3670&gt;=01_因子設定!$L$5-0.000000001,E3670&lt;=01_因子設定!$M$5+0.000000001,F3670&gt;=01_因子設定!$L$6-0.000000001,F3670&lt;=01_因子設定!$M$6+0.000000001,G3670&gt;=01_因子設定!$L$7-0.000000001,G3670&lt;=01_因子設定!$M$7+0.000000001,H3670&gt;=01_因子設定!$L$8-0.000000001,H3670&lt;=01_因子設定!$M$8+0.000000001,IF(01_因子設定!$B$20="Box-Behnken",E3670^2+F3670^2+G3670^2+H3670^2&lt;=2+0.000000001,TRUE()))</f>
        <v>1</v>
      </c>
      <c r="AD3670" s="55" t="n">
        <f aca="false">IF(AC3670,IF(01_因子設定!$B$13="最大化",AA3670-01_因子設定!$B$14,IF(01_因子設定!$B$13="最小化",01_因子設定!$B$15-AB3670,MIN(AA3670-01_因子設定!$B$14,01_因子設定!$B$15-AB3670))),-1E+030)</f>
        <v>-5.54113342868848</v>
      </c>
      <c r="AE3670" s="55" t="n">
        <f aca="false">IF(AC3670,IF(01_因子設定!$B$13="最大化",X3670,IF(01_因子設定!$B$13="最小化",-X3670,-ABS(X3670-01_因子設定!$B$16))),-1E+030)</f>
        <v>42.5165570175438</v>
      </c>
      <c r="AF3670" s="55" t="n">
        <f aca="false">AD3670+ROW()*0.000000001</f>
        <v>-5.54112975868848</v>
      </c>
      <c r="AG3670" s="55" t="n">
        <f aca="false">AE3670+ROW()*0.000000001</f>
        <v>42.5165606875438</v>
      </c>
    </row>
    <row r="3671" customFormat="false" ht="15" hidden="false" customHeight="false" outlineLevel="0" collapsed="false">
      <c r="A3671" s="0" t="n">
        <v>5</v>
      </c>
      <c r="B3671" s="0" t="n">
        <v>0</v>
      </c>
      <c r="C3671" s="0" t="n">
        <v>2</v>
      </c>
      <c r="D3671" s="0" t="n">
        <v>3</v>
      </c>
      <c r="E3671" s="0" t="n">
        <f aca="false">-1+A3671*0.25</f>
        <v>0.25</v>
      </c>
      <c r="F3671" s="0" t="n">
        <f aca="false">-1+B3671*0.25</f>
        <v>-1</v>
      </c>
      <c r="G3671" s="0" t="n">
        <f aca="false">-1+C3671*0.25</f>
        <v>-0.5</v>
      </c>
      <c r="H3671" s="0" t="n">
        <f aca="false">-1+D3671*0.25</f>
        <v>-0.25</v>
      </c>
      <c r="I3671" s="0" t="n">
        <f aca="false">1</f>
        <v>1</v>
      </c>
      <c r="J3671" s="0" t="n">
        <f aca="false">E3671</f>
        <v>0.25</v>
      </c>
      <c r="K3671" s="0" t="n">
        <f aca="false">F3671</f>
        <v>-1</v>
      </c>
      <c r="L3671" s="0" t="n">
        <f aca="false">G3671</f>
        <v>-0.5</v>
      </c>
      <c r="M3671" s="0" t="n">
        <f aca="false">H3671</f>
        <v>-0.25</v>
      </c>
      <c r="N3671" s="0" t="n">
        <f aca="false">E3671*F3671</f>
        <v>-0.25</v>
      </c>
      <c r="O3671" s="0" t="n">
        <f aca="false">E3671*G3671</f>
        <v>-0.125</v>
      </c>
      <c r="P3671" s="0" t="n">
        <f aca="false">E3671*H3671</f>
        <v>-0.0625</v>
      </c>
      <c r="Q3671" s="0" t="n">
        <f aca="false">F3671*G3671</f>
        <v>0.5</v>
      </c>
      <c r="R3671" s="0" t="n">
        <f aca="false">F3671*H3671</f>
        <v>0.25</v>
      </c>
      <c r="S3671" s="0" t="n">
        <f aca="false">G3671*H3671</f>
        <v>0.125</v>
      </c>
      <c r="T3671" s="0" t="n">
        <f aca="false">E3671*E3671</f>
        <v>0.0625</v>
      </c>
      <c r="U3671" s="0" t="n">
        <f aca="false">F3671*F3671</f>
        <v>1</v>
      </c>
      <c r="V3671" s="0" t="n">
        <f aca="false">G3671*G3671</f>
        <v>0.25</v>
      </c>
      <c r="W3671" s="0" t="n">
        <f aca="false">H3671*H3671</f>
        <v>0.0625</v>
      </c>
      <c r="X3671" s="0" t="n">
        <f aca="false">SUMPRODUCT(I3671:W3671,_XtX!$B$96:$P$96)</f>
        <v>42.7146564327485</v>
      </c>
      <c r="Y3671" s="0" t="n">
        <f aca="false">SUMPRODUCT(MMULT(I3671:W3671,_XtX!$B$78:$P$92),I3671:W3671)</f>
        <v>0.445705123812135</v>
      </c>
      <c r="Z3671" s="0" t="n">
        <f aca="false">04_回帰ANOVA!$K$19*04_回帰ANOVA!$K$14*SQRT(1+Y3671)</f>
        <v>1.56724990734749</v>
      </c>
      <c r="AA3671" s="0" t="n">
        <f aca="false">X3671-Z3671</f>
        <v>41.147406525401</v>
      </c>
      <c r="AB3671" s="0" t="n">
        <f aca="false">X3671+Z3671</f>
        <v>44.281906340096</v>
      </c>
      <c r="AC3671" s="54" t="b">
        <f aca="false">AND(E3671&gt;=01_因子設定!$L$5-0.000000001,E3671&lt;=01_因子設定!$M$5+0.000000001,F3671&gt;=01_因子設定!$L$6-0.000000001,F3671&lt;=01_因子設定!$M$6+0.000000001,G3671&gt;=01_因子設定!$L$7-0.000000001,G3671&lt;=01_因子設定!$M$7+0.000000001,H3671&gt;=01_因子設定!$L$8-0.000000001,H3671&lt;=01_因子設定!$M$8+0.000000001,IF(01_因子設定!$B$20="Box-Behnken",E3671^2+F3671^2+G3671^2+H3671^2&lt;=2+0.000000001,TRUE()))</f>
        <v>1</v>
      </c>
      <c r="AD3671" s="55" t="n">
        <f aca="false">IF(AC3671,IF(01_因子設定!$B$13="最大化",AA3671-01_因子設定!$B$14,IF(01_因子設定!$B$13="最小化",01_因子設定!$B$15-AB3671,MIN(AA3671-01_因子設定!$B$14,01_因子設定!$B$15-AB3671))),-1E+030)</f>
        <v>-5.35259347459901</v>
      </c>
      <c r="AE3671" s="55" t="n">
        <f aca="false">IF(AC3671,IF(01_因子設定!$B$13="最大化",X3671,IF(01_因子設定!$B$13="最小化",-X3671,-ABS(X3671-01_因子設定!$B$16))),-1E+030)</f>
        <v>42.7146564327485</v>
      </c>
      <c r="AF3671" s="55" t="n">
        <f aca="false">AD3671+ROW()*0.000000001</f>
        <v>-5.35258980359901</v>
      </c>
      <c r="AG3671" s="55" t="n">
        <f aca="false">AE3671+ROW()*0.000000001</f>
        <v>42.7146601037485</v>
      </c>
    </row>
    <row r="3672" customFormat="false" ht="15" hidden="false" customHeight="false" outlineLevel="0" collapsed="false">
      <c r="A3672" s="0" t="n">
        <v>5</v>
      </c>
      <c r="B3672" s="0" t="n">
        <v>0</v>
      </c>
      <c r="C3672" s="0" t="n">
        <v>2</v>
      </c>
      <c r="D3672" s="0" t="n">
        <v>4</v>
      </c>
      <c r="E3672" s="0" t="n">
        <f aca="false">-1+A3672*0.25</f>
        <v>0.25</v>
      </c>
      <c r="F3672" s="0" t="n">
        <f aca="false">-1+B3672*0.25</f>
        <v>-1</v>
      </c>
      <c r="G3672" s="0" t="n">
        <f aca="false">-1+C3672*0.25</f>
        <v>-0.5</v>
      </c>
      <c r="H3672" s="0" t="n">
        <f aca="false">-1+D3672*0.25</f>
        <v>0</v>
      </c>
      <c r="I3672" s="0" t="n">
        <f aca="false">1</f>
        <v>1</v>
      </c>
      <c r="J3672" s="0" t="n">
        <f aca="false">E3672</f>
        <v>0.25</v>
      </c>
      <c r="K3672" s="0" t="n">
        <f aca="false">F3672</f>
        <v>-1</v>
      </c>
      <c r="L3672" s="0" t="n">
        <f aca="false">G3672</f>
        <v>-0.5</v>
      </c>
      <c r="M3672" s="0" t="n">
        <f aca="false">H3672</f>
        <v>0</v>
      </c>
      <c r="N3672" s="0" t="n">
        <f aca="false">E3672*F3672</f>
        <v>-0.25</v>
      </c>
      <c r="O3672" s="0" t="n">
        <f aca="false">E3672*G3672</f>
        <v>-0.125</v>
      </c>
      <c r="P3672" s="0" t="n">
        <f aca="false">E3672*H3672</f>
        <v>0</v>
      </c>
      <c r="Q3672" s="0" t="n">
        <f aca="false">F3672*G3672</f>
        <v>0.5</v>
      </c>
      <c r="R3672" s="0" t="n">
        <f aca="false">F3672*H3672</f>
        <v>-0</v>
      </c>
      <c r="S3672" s="0" t="n">
        <f aca="false">G3672*H3672</f>
        <v>-0</v>
      </c>
      <c r="T3672" s="0" t="n">
        <f aca="false">E3672*E3672</f>
        <v>0.0625</v>
      </c>
      <c r="U3672" s="0" t="n">
        <f aca="false">F3672*F3672</f>
        <v>1</v>
      </c>
      <c r="V3672" s="0" t="n">
        <f aca="false">G3672*G3672</f>
        <v>0.25</v>
      </c>
      <c r="W3672" s="0" t="n">
        <f aca="false">H3672*H3672</f>
        <v>0</v>
      </c>
      <c r="X3672" s="0" t="n">
        <f aca="false">SUMPRODUCT(I3672:W3672,_XtX!$B$96:$P$96)</f>
        <v>42.8649488304093</v>
      </c>
      <c r="Y3672" s="0" t="n">
        <f aca="false">SUMPRODUCT(MMULT(I3672:W3672,_XtX!$B$78:$P$92),I3672:W3672)</f>
        <v>0.457596628289474</v>
      </c>
      <c r="Z3672" s="0" t="n">
        <f aca="false">04_回帰ANOVA!$K$19*04_回帰ANOVA!$K$14*SQRT(1+Y3672)</f>
        <v>1.57368233664366</v>
      </c>
      <c r="AA3672" s="0" t="n">
        <f aca="false">X3672-Z3672</f>
        <v>41.2912664937656</v>
      </c>
      <c r="AB3672" s="0" t="n">
        <f aca="false">X3672+Z3672</f>
        <v>44.438631167053</v>
      </c>
      <c r="AC3672" s="54" t="b">
        <f aca="false">AND(E3672&gt;=01_因子設定!$L$5-0.000000001,E3672&lt;=01_因子設定!$M$5+0.000000001,F3672&gt;=01_因子設定!$L$6-0.000000001,F3672&lt;=01_因子設定!$M$6+0.000000001,G3672&gt;=01_因子設定!$L$7-0.000000001,G3672&lt;=01_因子設定!$M$7+0.000000001,H3672&gt;=01_因子設定!$L$8-0.000000001,H3672&lt;=01_因子設定!$M$8+0.000000001,IF(01_因子設定!$B$20="Box-Behnken",E3672^2+F3672^2+G3672^2+H3672^2&lt;=2+0.000000001,TRUE()))</f>
        <v>1</v>
      </c>
      <c r="AD3672" s="55" t="n">
        <f aca="false">IF(AC3672,IF(01_因子設定!$B$13="最大化",AA3672-01_因子設定!$B$14,IF(01_因子設定!$B$13="最小化",01_因子設定!$B$15-AB3672,MIN(AA3672-01_因子設定!$B$14,01_因子設定!$B$15-AB3672))),-1E+030)</f>
        <v>-5.20873350623436</v>
      </c>
      <c r="AE3672" s="55" t="n">
        <f aca="false">IF(AC3672,IF(01_因子設定!$B$13="最大化",X3672,IF(01_因子設定!$B$13="最小化",-X3672,-ABS(X3672-01_因子設定!$B$16))),-1E+030)</f>
        <v>42.8649488304093</v>
      </c>
      <c r="AF3672" s="55" t="n">
        <f aca="false">AD3672+ROW()*0.000000001</f>
        <v>-5.20872983423436</v>
      </c>
      <c r="AG3672" s="55" t="n">
        <f aca="false">AE3672+ROW()*0.000000001</f>
        <v>42.8649525024093</v>
      </c>
    </row>
    <row r="3673" customFormat="false" ht="15" hidden="false" customHeight="false" outlineLevel="0" collapsed="false">
      <c r="A3673" s="0" t="n">
        <v>5</v>
      </c>
      <c r="B3673" s="0" t="n">
        <v>0</v>
      </c>
      <c r="C3673" s="0" t="n">
        <v>2</v>
      </c>
      <c r="D3673" s="0" t="n">
        <v>5</v>
      </c>
      <c r="E3673" s="0" t="n">
        <f aca="false">-1+A3673*0.25</f>
        <v>0.25</v>
      </c>
      <c r="F3673" s="0" t="n">
        <f aca="false">-1+B3673*0.25</f>
        <v>-1</v>
      </c>
      <c r="G3673" s="0" t="n">
        <f aca="false">-1+C3673*0.25</f>
        <v>-0.5</v>
      </c>
      <c r="H3673" s="0" t="n">
        <f aca="false">-1+D3673*0.25</f>
        <v>0.25</v>
      </c>
      <c r="I3673" s="0" t="n">
        <f aca="false">1</f>
        <v>1</v>
      </c>
      <c r="J3673" s="0" t="n">
        <f aca="false">E3673</f>
        <v>0.25</v>
      </c>
      <c r="K3673" s="0" t="n">
        <f aca="false">F3673</f>
        <v>-1</v>
      </c>
      <c r="L3673" s="0" t="n">
        <f aca="false">G3673</f>
        <v>-0.5</v>
      </c>
      <c r="M3673" s="0" t="n">
        <f aca="false">H3673</f>
        <v>0.25</v>
      </c>
      <c r="N3673" s="0" t="n">
        <f aca="false">E3673*F3673</f>
        <v>-0.25</v>
      </c>
      <c r="O3673" s="0" t="n">
        <f aca="false">E3673*G3673</f>
        <v>-0.125</v>
      </c>
      <c r="P3673" s="0" t="n">
        <f aca="false">E3673*H3673</f>
        <v>0.0625</v>
      </c>
      <c r="Q3673" s="0" t="n">
        <f aca="false">F3673*G3673</f>
        <v>0.5</v>
      </c>
      <c r="R3673" s="0" t="n">
        <f aca="false">F3673*H3673</f>
        <v>-0.25</v>
      </c>
      <c r="S3673" s="0" t="n">
        <f aca="false">G3673*H3673</f>
        <v>-0.125</v>
      </c>
      <c r="T3673" s="0" t="n">
        <f aca="false">E3673*E3673</f>
        <v>0.0625</v>
      </c>
      <c r="U3673" s="0" t="n">
        <f aca="false">F3673*F3673</f>
        <v>1</v>
      </c>
      <c r="V3673" s="0" t="n">
        <f aca="false">G3673*G3673</f>
        <v>0.25</v>
      </c>
      <c r="W3673" s="0" t="n">
        <f aca="false">H3673*H3673</f>
        <v>0.0625</v>
      </c>
      <c r="X3673" s="0" t="n">
        <f aca="false">SUMPRODUCT(I3673:W3673,_XtX!$B$96:$P$96)</f>
        <v>42.9674342105263</v>
      </c>
      <c r="Y3673" s="0" t="n">
        <f aca="false">SUMPRODUCT(MMULT(I3673:W3673,_XtX!$B$78:$P$92),I3673:W3673)</f>
        <v>0.445705123812135</v>
      </c>
      <c r="Z3673" s="0" t="n">
        <f aca="false">04_回帰ANOVA!$K$19*04_回帰ANOVA!$K$14*SQRT(1+Y3673)</f>
        <v>1.56724990734749</v>
      </c>
      <c r="AA3673" s="0" t="n">
        <f aca="false">X3673-Z3673</f>
        <v>41.4001843031788</v>
      </c>
      <c r="AB3673" s="0" t="n">
        <f aca="false">X3673+Z3673</f>
        <v>44.5346841178737</v>
      </c>
      <c r="AC3673" s="54" t="b">
        <f aca="false">AND(E3673&gt;=01_因子設定!$L$5-0.000000001,E3673&lt;=01_因子設定!$M$5+0.000000001,F3673&gt;=01_因子設定!$L$6-0.000000001,F3673&lt;=01_因子設定!$M$6+0.000000001,G3673&gt;=01_因子設定!$L$7-0.000000001,G3673&lt;=01_因子設定!$M$7+0.000000001,H3673&gt;=01_因子設定!$L$8-0.000000001,H3673&lt;=01_因子設定!$M$8+0.000000001,IF(01_因子設定!$B$20="Box-Behnken",E3673^2+F3673^2+G3673^2+H3673^2&lt;=2+0.000000001,TRUE()))</f>
        <v>1</v>
      </c>
      <c r="AD3673" s="55" t="n">
        <f aca="false">IF(AC3673,IF(01_因子設定!$B$13="最大化",AA3673-01_因子設定!$B$14,IF(01_因子設定!$B$13="最小化",01_因子設定!$B$15-AB3673,MIN(AA3673-01_因子設定!$B$14,01_因子設定!$B$15-AB3673))),-1E+030)</f>
        <v>-5.09981569682123</v>
      </c>
      <c r="AE3673" s="55" t="n">
        <f aca="false">IF(AC3673,IF(01_因子設定!$B$13="最大化",X3673,IF(01_因子設定!$B$13="最小化",-X3673,-ABS(X3673-01_因子設定!$B$16))),-1E+030)</f>
        <v>42.9674342105263</v>
      </c>
      <c r="AF3673" s="55" t="n">
        <f aca="false">AD3673+ROW()*0.000000001</f>
        <v>-5.09981202382123</v>
      </c>
      <c r="AG3673" s="55" t="n">
        <f aca="false">AE3673+ROW()*0.000000001</f>
        <v>42.9674378835263</v>
      </c>
    </row>
    <row r="3674" customFormat="false" ht="15" hidden="false" customHeight="false" outlineLevel="0" collapsed="false">
      <c r="A3674" s="0" t="n">
        <v>5</v>
      </c>
      <c r="B3674" s="0" t="n">
        <v>0</v>
      </c>
      <c r="C3674" s="0" t="n">
        <v>2</v>
      </c>
      <c r="D3674" s="0" t="n">
        <v>6</v>
      </c>
      <c r="E3674" s="0" t="n">
        <f aca="false">-1+A3674*0.25</f>
        <v>0.25</v>
      </c>
      <c r="F3674" s="0" t="n">
        <f aca="false">-1+B3674*0.25</f>
        <v>-1</v>
      </c>
      <c r="G3674" s="0" t="n">
        <f aca="false">-1+C3674*0.25</f>
        <v>-0.5</v>
      </c>
      <c r="H3674" s="0" t="n">
        <f aca="false">-1+D3674*0.25</f>
        <v>0.5</v>
      </c>
      <c r="I3674" s="0" t="n">
        <f aca="false">1</f>
        <v>1</v>
      </c>
      <c r="J3674" s="0" t="n">
        <f aca="false">E3674</f>
        <v>0.25</v>
      </c>
      <c r="K3674" s="0" t="n">
        <f aca="false">F3674</f>
        <v>-1</v>
      </c>
      <c r="L3674" s="0" t="n">
        <f aca="false">G3674</f>
        <v>-0.5</v>
      </c>
      <c r="M3674" s="0" t="n">
        <f aca="false">H3674</f>
        <v>0.5</v>
      </c>
      <c r="N3674" s="0" t="n">
        <f aca="false">E3674*F3674</f>
        <v>-0.25</v>
      </c>
      <c r="O3674" s="0" t="n">
        <f aca="false">E3674*G3674</f>
        <v>-0.125</v>
      </c>
      <c r="P3674" s="0" t="n">
        <f aca="false">E3674*H3674</f>
        <v>0.125</v>
      </c>
      <c r="Q3674" s="0" t="n">
        <f aca="false">F3674*G3674</f>
        <v>0.5</v>
      </c>
      <c r="R3674" s="0" t="n">
        <f aca="false">F3674*H3674</f>
        <v>-0.5</v>
      </c>
      <c r="S3674" s="0" t="n">
        <f aca="false">G3674*H3674</f>
        <v>-0.25</v>
      </c>
      <c r="T3674" s="0" t="n">
        <f aca="false">E3674*E3674</f>
        <v>0.0625</v>
      </c>
      <c r="U3674" s="0" t="n">
        <f aca="false">F3674*F3674</f>
        <v>1</v>
      </c>
      <c r="V3674" s="0" t="n">
        <f aca="false">G3674*G3674</f>
        <v>0.25</v>
      </c>
      <c r="W3674" s="0" t="n">
        <f aca="false">H3674*H3674</f>
        <v>0.25</v>
      </c>
      <c r="X3674" s="0" t="n">
        <f aca="false">SUMPRODUCT(I3674:W3674,_XtX!$B$96:$P$96)</f>
        <v>43.0221125730994</v>
      </c>
      <c r="Y3674" s="0" t="n">
        <f aca="false">SUMPRODUCT(MMULT(I3674:W3674,_XtX!$B$78:$P$92),I3674:W3674)</f>
        <v>0.428122715643275</v>
      </c>
      <c r="Z3674" s="0" t="n">
        <f aca="false">04_回帰ANOVA!$K$19*04_回帰ANOVA!$K$14*SQRT(1+Y3674)</f>
        <v>1.55769044623229</v>
      </c>
      <c r="AA3674" s="0" t="n">
        <f aca="false">X3674-Z3674</f>
        <v>41.4644221268671</v>
      </c>
      <c r="AB3674" s="0" t="n">
        <f aca="false">X3674+Z3674</f>
        <v>44.5798030193317</v>
      </c>
      <c r="AC3674" s="54" t="b">
        <f aca="false">AND(E3674&gt;=01_因子設定!$L$5-0.000000001,E3674&lt;=01_因子設定!$M$5+0.000000001,F3674&gt;=01_因子設定!$L$6-0.000000001,F3674&lt;=01_因子設定!$M$6+0.000000001,G3674&gt;=01_因子設定!$L$7-0.000000001,G3674&lt;=01_因子設定!$M$7+0.000000001,H3674&gt;=01_因子設定!$L$8-0.000000001,H3674&lt;=01_因子設定!$M$8+0.000000001,IF(01_因子設定!$B$20="Box-Behnken",E3674^2+F3674^2+G3674^2+H3674^2&lt;=2+0.000000001,TRUE()))</f>
        <v>1</v>
      </c>
      <c r="AD3674" s="55" t="n">
        <f aca="false">IF(AC3674,IF(01_因子設定!$B$13="最大化",AA3674-01_因子設定!$B$14,IF(01_因子設定!$B$13="最小化",01_因子設定!$B$15-AB3674,MIN(AA3674-01_因子設定!$B$14,01_因子設定!$B$15-AB3674))),-1E+030)</f>
        <v>-5.03557787313293</v>
      </c>
      <c r="AE3674" s="55" t="n">
        <f aca="false">IF(AC3674,IF(01_因子設定!$B$13="最大化",X3674,IF(01_因子設定!$B$13="最小化",-X3674,-ABS(X3674-01_因子設定!$B$16))),-1E+030)</f>
        <v>43.0221125730994</v>
      </c>
      <c r="AF3674" s="55" t="n">
        <f aca="false">AD3674+ROW()*0.000000001</f>
        <v>-5.03557419913293</v>
      </c>
      <c r="AG3674" s="55" t="n">
        <f aca="false">AE3674+ROW()*0.000000001</f>
        <v>43.0221162470994</v>
      </c>
    </row>
    <row r="3675" customFormat="false" ht="15" hidden="false" customHeight="false" outlineLevel="0" collapsed="false">
      <c r="A3675" s="0" t="n">
        <v>5</v>
      </c>
      <c r="B3675" s="0" t="n">
        <v>0</v>
      </c>
      <c r="C3675" s="0" t="n">
        <v>2</v>
      </c>
      <c r="D3675" s="0" t="n">
        <v>7</v>
      </c>
      <c r="E3675" s="0" t="n">
        <f aca="false">-1+A3675*0.25</f>
        <v>0.25</v>
      </c>
      <c r="F3675" s="0" t="n">
        <f aca="false">-1+B3675*0.25</f>
        <v>-1</v>
      </c>
      <c r="G3675" s="0" t="n">
        <f aca="false">-1+C3675*0.25</f>
        <v>-0.5</v>
      </c>
      <c r="H3675" s="0" t="n">
        <f aca="false">-1+D3675*0.25</f>
        <v>0.75</v>
      </c>
      <c r="I3675" s="0" t="n">
        <f aca="false">1</f>
        <v>1</v>
      </c>
      <c r="J3675" s="0" t="n">
        <f aca="false">E3675</f>
        <v>0.25</v>
      </c>
      <c r="K3675" s="0" t="n">
        <f aca="false">F3675</f>
        <v>-1</v>
      </c>
      <c r="L3675" s="0" t="n">
        <f aca="false">G3675</f>
        <v>-0.5</v>
      </c>
      <c r="M3675" s="0" t="n">
        <f aca="false">H3675</f>
        <v>0.75</v>
      </c>
      <c r="N3675" s="0" t="n">
        <f aca="false">E3675*F3675</f>
        <v>-0.25</v>
      </c>
      <c r="O3675" s="0" t="n">
        <f aca="false">E3675*G3675</f>
        <v>-0.125</v>
      </c>
      <c r="P3675" s="0" t="n">
        <f aca="false">E3675*H3675</f>
        <v>0.1875</v>
      </c>
      <c r="Q3675" s="0" t="n">
        <f aca="false">F3675*G3675</f>
        <v>0.5</v>
      </c>
      <c r="R3675" s="0" t="n">
        <f aca="false">F3675*H3675</f>
        <v>-0.75</v>
      </c>
      <c r="S3675" s="0" t="n">
        <f aca="false">G3675*H3675</f>
        <v>-0.375</v>
      </c>
      <c r="T3675" s="0" t="n">
        <f aca="false">E3675*E3675</f>
        <v>0.0625</v>
      </c>
      <c r="U3675" s="0" t="n">
        <f aca="false">F3675*F3675</f>
        <v>1</v>
      </c>
      <c r="V3675" s="0" t="n">
        <f aca="false">G3675*G3675</f>
        <v>0.25</v>
      </c>
      <c r="W3675" s="0" t="n">
        <f aca="false">H3675*H3675</f>
        <v>0.5625</v>
      </c>
      <c r="X3675" s="0" t="n">
        <f aca="false">SUMPRODUCT(I3675:W3675,_XtX!$B$96:$P$96)</f>
        <v>43.0289839181286</v>
      </c>
      <c r="Y3675" s="0" t="n">
        <f aca="false">SUMPRODUCT(MMULT(I3675:W3675,_XtX!$B$78:$P$92),I3675:W3675)</f>
        <v>0.459125719572369</v>
      </c>
      <c r="Z3675" s="0" t="n">
        <f aca="false">04_回帰ANOVA!$K$19*04_回帰ANOVA!$K$14*SQRT(1+Y3675)</f>
        <v>1.57450755575573</v>
      </c>
      <c r="AA3675" s="0" t="n">
        <f aca="false">X3675-Z3675</f>
        <v>41.4544763623729</v>
      </c>
      <c r="AB3675" s="0" t="n">
        <f aca="false">X3675+Z3675</f>
        <v>44.6034914738844</v>
      </c>
      <c r="AC3675" s="54" t="b">
        <f aca="false">AND(E3675&gt;=01_因子設定!$L$5-0.000000001,E3675&lt;=01_因子設定!$M$5+0.000000001,F3675&gt;=01_因子設定!$L$6-0.000000001,F3675&lt;=01_因子設定!$M$6+0.000000001,G3675&gt;=01_因子設定!$L$7-0.000000001,G3675&lt;=01_因子設定!$M$7+0.000000001,H3675&gt;=01_因子設定!$L$8-0.000000001,H3675&lt;=01_因子設定!$M$8+0.000000001,IF(01_因子設定!$B$20="Box-Behnken",E3675^2+F3675^2+G3675^2+H3675^2&lt;=2+0.000000001,TRUE()))</f>
        <v>1</v>
      </c>
      <c r="AD3675" s="55" t="n">
        <f aca="false">IF(AC3675,IF(01_因子設定!$B$13="最大化",AA3675-01_因子設定!$B$14,IF(01_因子設定!$B$13="最小化",01_因子設定!$B$15-AB3675,MIN(AA3675-01_因子設定!$B$14,01_因子設定!$B$15-AB3675))),-1E+030)</f>
        <v>-5.04552363762711</v>
      </c>
      <c r="AE3675" s="55" t="n">
        <f aca="false">IF(AC3675,IF(01_因子設定!$B$13="最大化",X3675,IF(01_因子設定!$B$13="最小化",-X3675,-ABS(X3675-01_因子設定!$B$16))),-1E+030)</f>
        <v>43.0289839181286</v>
      </c>
      <c r="AF3675" s="55" t="n">
        <f aca="false">AD3675+ROW()*0.000000001</f>
        <v>-5.04551996262711</v>
      </c>
      <c r="AG3675" s="55" t="n">
        <f aca="false">AE3675+ROW()*0.000000001</f>
        <v>43.0289875931286</v>
      </c>
    </row>
    <row r="3676" customFormat="false" ht="15" hidden="false" customHeight="false" outlineLevel="0" collapsed="false">
      <c r="A3676" s="0" t="n">
        <v>5</v>
      </c>
      <c r="B3676" s="0" t="n">
        <v>0</v>
      </c>
      <c r="C3676" s="0" t="n">
        <v>2</v>
      </c>
      <c r="D3676" s="0" t="n">
        <v>8</v>
      </c>
      <c r="E3676" s="0" t="n">
        <f aca="false">-1+A3676*0.25</f>
        <v>0.25</v>
      </c>
      <c r="F3676" s="0" t="n">
        <f aca="false">-1+B3676*0.25</f>
        <v>-1</v>
      </c>
      <c r="G3676" s="0" t="n">
        <f aca="false">-1+C3676*0.25</f>
        <v>-0.5</v>
      </c>
      <c r="H3676" s="0" t="n">
        <f aca="false">-1+D3676*0.25</f>
        <v>1</v>
      </c>
      <c r="I3676" s="0" t="n">
        <f aca="false">1</f>
        <v>1</v>
      </c>
      <c r="J3676" s="0" t="n">
        <f aca="false">E3676</f>
        <v>0.25</v>
      </c>
      <c r="K3676" s="0" t="n">
        <f aca="false">F3676</f>
        <v>-1</v>
      </c>
      <c r="L3676" s="0" t="n">
        <f aca="false">G3676</f>
        <v>-0.5</v>
      </c>
      <c r="M3676" s="0" t="n">
        <f aca="false">H3676</f>
        <v>1</v>
      </c>
      <c r="N3676" s="0" t="n">
        <f aca="false">E3676*F3676</f>
        <v>-0.25</v>
      </c>
      <c r="O3676" s="0" t="n">
        <f aca="false">E3676*G3676</f>
        <v>-0.125</v>
      </c>
      <c r="P3676" s="0" t="n">
        <f aca="false">E3676*H3676</f>
        <v>0.25</v>
      </c>
      <c r="Q3676" s="0" t="n">
        <f aca="false">F3676*G3676</f>
        <v>0.5</v>
      </c>
      <c r="R3676" s="0" t="n">
        <f aca="false">F3676*H3676</f>
        <v>-1</v>
      </c>
      <c r="S3676" s="0" t="n">
        <f aca="false">G3676*H3676</f>
        <v>-0.5</v>
      </c>
      <c r="T3676" s="0" t="n">
        <f aca="false">E3676*E3676</f>
        <v>0.0625</v>
      </c>
      <c r="U3676" s="0" t="n">
        <f aca="false">F3676*F3676</f>
        <v>1</v>
      </c>
      <c r="V3676" s="0" t="n">
        <f aca="false">G3676*G3676</f>
        <v>0.25</v>
      </c>
      <c r="W3676" s="0" t="n">
        <f aca="false">H3676*H3676</f>
        <v>1</v>
      </c>
      <c r="X3676" s="0" t="n">
        <f aca="false">SUMPRODUCT(I3676:W3676,_XtX!$B$96:$P$96)</f>
        <v>42.988048245614</v>
      </c>
      <c r="Y3676" s="0" t="n">
        <f aca="false">SUMPRODUCT(MMULT(I3676:W3676,_XtX!$B$78:$P$92),I3676:W3676)</f>
        <v>0.629174661915205</v>
      </c>
      <c r="Z3676" s="0" t="n">
        <f aca="false">04_回帰ANOVA!$K$19*04_回帰ANOVA!$K$14*SQRT(1+Y3676)</f>
        <v>1.66372758058297</v>
      </c>
      <c r="AA3676" s="0" t="n">
        <f aca="false">X3676-Z3676</f>
        <v>41.324320665031</v>
      </c>
      <c r="AB3676" s="0" t="n">
        <f aca="false">X3676+Z3676</f>
        <v>44.651775826197</v>
      </c>
      <c r="AC3676" s="54" t="b">
        <f aca="false">AND(E3676&gt;=01_因子設定!$L$5-0.000000001,E3676&lt;=01_因子設定!$M$5+0.000000001,F3676&gt;=01_因子設定!$L$6-0.000000001,F3676&lt;=01_因子設定!$M$6+0.000000001,G3676&gt;=01_因子設定!$L$7-0.000000001,G3676&lt;=01_因子設定!$M$7+0.000000001,H3676&gt;=01_因子設定!$L$8-0.000000001,H3676&lt;=01_因子設定!$M$8+0.000000001,IF(01_因子設定!$B$20="Box-Behnken",E3676^2+F3676^2+G3676^2+H3676^2&lt;=2+0.000000001,TRUE()))</f>
        <v>1</v>
      </c>
      <c r="AD3676" s="55" t="n">
        <f aca="false">IF(AC3676,IF(01_因子設定!$B$13="最大化",AA3676-01_因子設定!$B$14,IF(01_因子設定!$B$13="最小化",01_因子設定!$B$15-AB3676,MIN(AA3676-01_因子設定!$B$14,01_因子設定!$B$15-AB3676))),-1E+030)</f>
        <v>-5.17567933496896</v>
      </c>
      <c r="AE3676" s="55" t="n">
        <f aca="false">IF(AC3676,IF(01_因子設定!$B$13="最大化",X3676,IF(01_因子設定!$B$13="最小化",-X3676,-ABS(X3676-01_因子設定!$B$16))),-1E+030)</f>
        <v>42.988048245614</v>
      </c>
      <c r="AF3676" s="55" t="n">
        <f aca="false">AD3676+ROW()*0.000000001</f>
        <v>-5.17567565896896</v>
      </c>
      <c r="AG3676" s="55" t="n">
        <f aca="false">AE3676+ROW()*0.000000001</f>
        <v>42.988051921614</v>
      </c>
    </row>
    <row r="3677" customFormat="false" ht="15" hidden="false" customHeight="false" outlineLevel="0" collapsed="false">
      <c r="A3677" s="0" t="n">
        <v>5</v>
      </c>
      <c r="B3677" s="0" t="n">
        <v>0</v>
      </c>
      <c r="C3677" s="0" t="n">
        <v>3</v>
      </c>
      <c r="D3677" s="0" t="n">
        <v>0</v>
      </c>
      <c r="E3677" s="0" t="n">
        <f aca="false">-1+A3677*0.25</f>
        <v>0.25</v>
      </c>
      <c r="F3677" s="0" t="n">
        <f aca="false">-1+B3677*0.25</f>
        <v>-1</v>
      </c>
      <c r="G3677" s="0" t="n">
        <f aca="false">-1+C3677*0.25</f>
        <v>-0.25</v>
      </c>
      <c r="H3677" s="0" t="n">
        <f aca="false">-1+D3677*0.25</f>
        <v>-1</v>
      </c>
      <c r="I3677" s="0" t="n">
        <f aca="false">1</f>
        <v>1</v>
      </c>
      <c r="J3677" s="0" t="n">
        <f aca="false">E3677</f>
        <v>0.25</v>
      </c>
      <c r="K3677" s="0" t="n">
        <f aca="false">F3677</f>
        <v>-1</v>
      </c>
      <c r="L3677" s="0" t="n">
        <f aca="false">G3677</f>
        <v>-0.25</v>
      </c>
      <c r="M3677" s="0" t="n">
        <f aca="false">H3677</f>
        <v>-1</v>
      </c>
      <c r="N3677" s="0" t="n">
        <f aca="false">E3677*F3677</f>
        <v>-0.25</v>
      </c>
      <c r="O3677" s="0" t="n">
        <f aca="false">E3677*G3677</f>
        <v>-0.0625</v>
      </c>
      <c r="P3677" s="0" t="n">
        <f aca="false">E3677*H3677</f>
        <v>-0.25</v>
      </c>
      <c r="Q3677" s="0" t="n">
        <f aca="false">F3677*G3677</f>
        <v>0.25</v>
      </c>
      <c r="R3677" s="0" t="n">
        <f aca="false">F3677*H3677</f>
        <v>1</v>
      </c>
      <c r="S3677" s="0" t="n">
        <f aca="false">G3677*H3677</f>
        <v>0.25</v>
      </c>
      <c r="T3677" s="0" t="n">
        <f aca="false">E3677*E3677</f>
        <v>0.0625</v>
      </c>
      <c r="U3677" s="0" t="n">
        <f aca="false">F3677*F3677</f>
        <v>1</v>
      </c>
      <c r="V3677" s="0" t="n">
        <f aca="false">G3677*G3677</f>
        <v>0.0625</v>
      </c>
      <c r="W3677" s="0" t="n">
        <f aca="false">H3677*H3677</f>
        <v>1</v>
      </c>
      <c r="X3677" s="0" t="n">
        <f aca="false">SUMPRODUCT(I3677:W3677,_XtX!$B$96:$P$96)</f>
        <v>42.160105994152</v>
      </c>
      <c r="Y3677" s="0" t="n">
        <f aca="false">SUMPRODUCT(MMULT(I3677:W3677,_XtX!$B$78:$P$92),I3677:W3677)</f>
        <v>0.670040376005117</v>
      </c>
      <c r="Z3677" s="0" t="n">
        <f aca="false">04_回帰ANOVA!$K$19*04_回帰ANOVA!$K$14*SQRT(1+Y3677)</f>
        <v>1.68446456039992</v>
      </c>
      <c r="AA3677" s="0" t="n">
        <f aca="false">X3677-Z3677</f>
        <v>40.4756414337521</v>
      </c>
      <c r="AB3677" s="0" t="n">
        <f aca="false">X3677+Z3677</f>
        <v>43.8445705545519</v>
      </c>
      <c r="AC3677" s="54" t="b">
        <f aca="false">AND(E3677&gt;=01_因子設定!$L$5-0.000000001,E3677&lt;=01_因子設定!$M$5+0.000000001,F3677&gt;=01_因子設定!$L$6-0.000000001,F3677&lt;=01_因子設定!$M$6+0.000000001,G3677&gt;=01_因子設定!$L$7-0.000000001,G3677&lt;=01_因子設定!$M$7+0.000000001,H3677&gt;=01_因子設定!$L$8-0.000000001,H3677&lt;=01_因子設定!$M$8+0.000000001,IF(01_因子設定!$B$20="Box-Behnken",E3677^2+F3677^2+G3677^2+H3677^2&lt;=2+0.000000001,TRUE()))</f>
        <v>1</v>
      </c>
      <c r="AD3677" s="55" t="n">
        <f aca="false">IF(AC3677,IF(01_因子設定!$B$13="最大化",AA3677-01_因子設定!$B$14,IF(01_因子設定!$B$13="最小化",01_因子設定!$B$15-AB3677,MIN(AA3677-01_因子設定!$B$14,01_因子設定!$B$15-AB3677))),-1E+030)</f>
        <v>-6.02435856624789</v>
      </c>
      <c r="AE3677" s="55" t="n">
        <f aca="false">IF(AC3677,IF(01_因子設定!$B$13="最大化",X3677,IF(01_因子設定!$B$13="最小化",-X3677,-ABS(X3677-01_因子設定!$B$16))),-1E+030)</f>
        <v>42.160105994152</v>
      </c>
      <c r="AF3677" s="55" t="n">
        <f aca="false">AD3677+ROW()*0.000000001</f>
        <v>-6.02435488924789</v>
      </c>
      <c r="AG3677" s="55" t="n">
        <f aca="false">AE3677+ROW()*0.000000001</f>
        <v>42.160109671152</v>
      </c>
    </row>
    <row r="3678" customFormat="false" ht="15" hidden="false" customHeight="false" outlineLevel="0" collapsed="false">
      <c r="A3678" s="0" t="n">
        <v>5</v>
      </c>
      <c r="B3678" s="0" t="n">
        <v>0</v>
      </c>
      <c r="C3678" s="0" t="n">
        <v>3</v>
      </c>
      <c r="D3678" s="0" t="n">
        <v>1</v>
      </c>
      <c r="E3678" s="0" t="n">
        <f aca="false">-1+A3678*0.25</f>
        <v>0.25</v>
      </c>
      <c r="F3678" s="0" t="n">
        <f aca="false">-1+B3678*0.25</f>
        <v>-1</v>
      </c>
      <c r="G3678" s="0" t="n">
        <f aca="false">-1+C3678*0.25</f>
        <v>-0.25</v>
      </c>
      <c r="H3678" s="0" t="n">
        <f aca="false">-1+D3678*0.25</f>
        <v>-0.75</v>
      </c>
      <c r="I3678" s="0" t="n">
        <f aca="false">1</f>
        <v>1</v>
      </c>
      <c r="J3678" s="0" t="n">
        <f aca="false">E3678</f>
        <v>0.25</v>
      </c>
      <c r="K3678" s="0" t="n">
        <f aca="false">F3678</f>
        <v>-1</v>
      </c>
      <c r="L3678" s="0" t="n">
        <f aca="false">G3678</f>
        <v>-0.25</v>
      </c>
      <c r="M3678" s="0" t="n">
        <f aca="false">H3678</f>
        <v>-0.75</v>
      </c>
      <c r="N3678" s="0" t="n">
        <f aca="false">E3678*F3678</f>
        <v>-0.25</v>
      </c>
      <c r="O3678" s="0" t="n">
        <f aca="false">E3678*G3678</f>
        <v>-0.0625</v>
      </c>
      <c r="P3678" s="0" t="n">
        <f aca="false">E3678*H3678</f>
        <v>-0.1875</v>
      </c>
      <c r="Q3678" s="0" t="n">
        <f aca="false">F3678*G3678</f>
        <v>0.25</v>
      </c>
      <c r="R3678" s="0" t="n">
        <f aca="false">F3678*H3678</f>
        <v>0.75</v>
      </c>
      <c r="S3678" s="0" t="n">
        <f aca="false">G3678*H3678</f>
        <v>0.1875</v>
      </c>
      <c r="T3678" s="0" t="n">
        <f aca="false">E3678*E3678</f>
        <v>0.0625</v>
      </c>
      <c r="U3678" s="0" t="n">
        <f aca="false">F3678*F3678</f>
        <v>1</v>
      </c>
      <c r="V3678" s="0" t="n">
        <f aca="false">G3678*G3678</f>
        <v>0.0625</v>
      </c>
      <c r="W3678" s="0" t="n">
        <f aca="false">H3678*H3678</f>
        <v>0.5625</v>
      </c>
      <c r="X3678" s="0" t="n">
        <f aca="false">SUMPRODUCT(I3678:W3678,_XtX!$B$96:$P$96)</f>
        <v>42.4717881944444</v>
      </c>
      <c r="Y3678" s="0" t="n">
        <f aca="false">SUMPRODUCT(MMULT(I3678:W3678,_XtX!$B$78:$P$92),I3678:W3678)</f>
        <v>0.486409505208334</v>
      </c>
      <c r="Z3678" s="0" t="n">
        <f aca="false">04_回帰ANOVA!$K$19*04_回帰ANOVA!$K$14*SQRT(1+Y3678)</f>
        <v>1.58916001665498</v>
      </c>
      <c r="AA3678" s="0" t="n">
        <f aca="false">X3678-Z3678</f>
        <v>40.8826281777894</v>
      </c>
      <c r="AB3678" s="0" t="n">
        <f aca="false">X3678+Z3678</f>
        <v>44.0609482110994</v>
      </c>
      <c r="AC3678" s="54" t="b">
        <f aca="false">AND(E3678&gt;=01_因子設定!$L$5-0.000000001,E3678&lt;=01_因子設定!$M$5+0.000000001,F3678&gt;=01_因子設定!$L$6-0.000000001,F3678&lt;=01_因子設定!$M$6+0.000000001,G3678&gt;=01_因子設定!$L$7-0.000000001,G3678&lt;=01_因子設定!$M$7+0.000000001,H3678&gt;=01_因子設定!$L$8-0.000000001,H3678&lt;=01_因子設定!$M$8+0.000000001,IF(01_因子設定!$B$20="Box-Behnken",E3678^2+F3678^2+G3678^2+H3678^2&lt;=2+0.000000001,TRUE()))</f>
        <v>1</v>
      </c>
      <c r="AD3678" s="55" t="n">
        <f aca="false">IF(AC3678,IF(01_因子設定!$B$13="最大化",AA3678-01_因子設定!$B$14,IF(01_因子設定!$B$13="最小化",01_因子設定!$B$15-AB3678,MIN(AA3678-01_因子設定!$B$14,01_因子設定!$B$15-AB3678))),-1E+030)</f>
        <v>-5.61737182221057</v>
      </c>
      <c r="AE3678" s="55" t="n">
        <f aca="false">IF(AC3678,IF(01_因子設定!$B$13="最大化",X3678,IF(01_因子設定!$B$13="最小化",-X3678,-ABS(X3678-01_因子設定!$B$16))),-1E+030)</f>
        <v>42.4717881944444</v>
      </c>
      <c r="AF3678" s="55" t="n">
        <f aca="false">AD3678+ROW()*0.000000001</f>
        <v>-5.61736814421057</v>
      </c>
      <c r="AG3678" s="55" t="n">
        <f aca="false">AE3678+ROW()*0.000000001</f>
        <v>42.4717918724444</v>
      </c>
    </row>
    <row r="3679" customFormat="false" ht="15" hidden="false" customHeight="false" outlineLevel="0" collapsed="false">
      <c r="A3679" s="0" t="n">
        <v>5</v>
      </c>
      <c r="B3679" s="0" t="n">
        <v>0</v>
      </c>
      <c r="C3679" s="0" t="n">
        <v>3</v>
      </c>
      <c r="D3679" s="0" t="n">
        <v>2</v>
      </c>
      <c r="E3679" s="0" t="n">
        <f aca="false">-1+A3679*0.25</f>
        <v>0.25</v>
      </c>
      <c r="F3679" s="0" t="n">
        <f aca="false">-1+B3679*0.25</f>
        <v>-1</v>
      </c>
      <c r="G3679" s="0" t="n">
        <f aca="false">-1+C3679*0.25</f>
        <v>-0.25</v>
      </c>
      <c r="H3679" s="0" t="n">
        <f aca="false">-1+D3679*0.25</f>
        <v>-0.5</v>
      </c>
      <c r="I3679" s="0" t="n">
        <f aca="false">1</f>
        <v>1</v>
      </c>
      <c r="J3679" s="0" t="n">
        <f aca="false">E3679</f>
        <v>0.25</v>
      </c>
      <c r="K3679" s="0" t="n">
        <f aca="false">F3679</f>
        <v>-1</v>
      </c>
      <c r="L3679" s="0" t="n">
        <f aca="false">G3679</f>
        <v>-0.25</v>
      </c>
      <c r="M3679" s="0" t="n">
        <f aca="false">H3679</f>
        <v>-0.5</v>
      </c>
      <c r="N3679" s="0" t="n">
        <f aca="false">E3679*F3679</f>
        <v>-0.25</v>
      </c>
      <c r="O3679" s="0" t="n">
        <f aca="false">E3679*G3679</f>
        <v>-0.0625</v>
      </c>
      <c r="P3679" s="0" t="n">
        <f aca="false">E3679*H3679</f>
        <v>-0.125</v>
      </c>
      <c r="Q3679" s="0" t="n">
        <f aca="false">F3679*G3679</f>
        <v>0.25</v>
      </c>
      <c r="R3679" s="0" t="n">
        <f aca="false">F3679*H3679</f>
        <v>0.5</v>
      </c>
      <c r="S3679" s="0" t="n">
        <f aca="false">G3679*H3679</f>
        <v>0.125</v>
      </c>
      <c r="T3679" s="0" t="n">
        <f aca="false">E3679*E3679</f>
        <v>0.0625</v>
      </c>
      <c r="U3679" s="0" t="n">
        <f aca="false">F3679*F3679</f>
        <v>1</v>
      </c>
      <c r="V3679" s="0" t="n">
        <f aca="false">G3679*G3679</f>
        <v>0.0625</v>
      </c>
      <c r="W3679" s="0" t="n">
        <f aca="false">H3679*H3679</f>
        <v>0.25</v>
      </c>
      <c r="X3679" s="0" t="n">
        <f aca="false">SUMPRODUCT(I3679:W3679,_XtX!$B$96:$P$96)</f>
        <v>42.7356633771929</v>
      </c>
      <c r="Y3679" s="0" t="n">
        <f aca="false">SUMPRODUCT(MMULT(I3679:W3679,_XtX!$B$78:$P$92),I3679:W3679)</f>
        <v>0.445705123812135</v>
      </c>
      <c r="Z3679" s="0" t="n">
        <f aca="false">04_回帰ANOVA!$K$19*04_回帰ANOVA!$K$14*SQRT(1+Y3679)</f>
        <v>1.56724990734749</v>
      </c>
      <c r="AA3679" s="0" t="n">
        <f aca="false">X3679-Z3679</f>
        <v>41.1684134698454</v>
      </c>
      <c r="AB3679" s="0" t="n">
        <f aca="false">X3679+Z3679</f>
        <v>44.3029132845404</v>
      </c>
      <c r="AC3679" s="54" t="b">
        <f aca="false">AND(E3679&gt;=01_因子設定!$L$5-0.000000001,E3679&lt;=01_因子設定!$M$5+0.000000001,F3679&gt;=01_因子設定!$L$6-0.000000001,F3679&lt;=01_因子設定!$M$6+0.000000001,G3679&gt;=01_因子設定!$L$7-0.000000001,G3679&lt;=01_因子設定!$M$7+0.000000001,H3679&gt;=01_因子設定!$L$8-0.000000001,H3679&lt;=01_因子設定!$M$8+0.000000001,IF(01_因子設定!$B$20="Box-Behnken",E3679^2+F3679^2+G3679^2+H3679^2&lt;=2+0.000000001,TRUE()))</f>
        <v>1</v>
      </c>
      <c r="AD3679" s="55" t="n">
        <f aca="false">IF(AC3679,IF(01_因子設定!$B$13="最大化",AA3679-01_因子設定!$B$14,IF(01_因子設定!$B$13="最小化",01_因子設定!$B$15-AB3679,MIN(AA3679-01_因子設定!$B$14,01_因子設定!$B$15-AB3679))),-1E+030)</f>
        <v>-5.33158653015456</v>
      </c>
      <c r="AE3679" s="55" t="n">
        <f aca="false">IF(AC3679,IF(01_因子設定!$B$13="最大化",X3679,IF(01_因子設定!$B$13="最小化",-X3679,-ABS(X3679-01_因子設定!$B$16))),-1E+030)</f>
        <v>42.7356633771929</v>
      </c>
      <c r="AF3679" s="55" t="n">
        <f aca="false">AD3679+ROW()*0.000000001</f>
        <v>-5.33158285115456</v>
      </c>
      <c r="AG3679" s="55" t="n">
        <f aca="false">AE3679+ROW()*0.000000001</f>
        <v>42.7356670561929</v>
      </c>
    </row>
    <row r="3680" customFormat="false" ht="15" hidden="false" customHeight="false" outlineLevel="0" collapsed="false">
      <c r="A3680" s="0" t="n">
        <v>5</v>
      </c>
      <c r="B3680" s="0" t="n">
        <v>0</v>
      </c>
      <c r="C3680" s="0" t="n">
        <v>3</v>
      </c>
      <c r="D3680" s="0" t="n">
        <v>3</v>
      </c>
      <c r="E3680" s="0" t="n">
        <f aca="false">-1+A3680*0.25</f>
        <v>0.25</v>
      </c>
      <c r="F3680" s="0" t="n">
        <f aca="false">-1+B3680*0.25</f>
        <v>-1</v>
      </c>
      <c r="G3680" s="0" t="n">
        <f aca="false">-1+C3680*0.25</f>
        <v>-0.25</v>
      </c>
      <c r="H3680" s="0" t="n">
        <f aca="false">-1+D3680*0.25</f>
        <v>-0.25</v>
      </c>
      <c r="I3680" s="0" t="n">
        <f aca="false">1</f>
        <v>1</v>
      </c>
      <c r="J3680" s="0" t="n">
        <f aca="false">E3680</f>
        <v>0.25</v>
      </c>
      <c r="K3680" s="0" t="n">
        <f aca="false">F3680</f>
        <v>-1</v>
      </c>
      <c r="L3680" s="0" t="n">
        <f aca="false">G3680</f>
        <v>-0.25</v>
      </c>
      <c r="M3680" s="0" t="n">
        <f aca="false">H3680</f>
        <v>-0.25</v>
      </c>
      <c r="N3680" s="0" t="n">
        <f aca="false">E3680*F3680</f>
        <v>-0.25</v>
      </c>
      <c r="O3680" s="0" t="n">
        <f aca="false">E3680*G3680</f>
        <v>-0.0625</v>
      </c>
      <c r="P3680" s="0" t="n">
        <f aca="false">E3680*H3680</f>
        <v>-0.0625</v>
      </c>
      <c r="Q3680" s="0" t="n">
        <f aca="false">F3680*G3680</f>
        <v>0.25</v>
      </c>
      <c r="R3680" s="0" t="n">
        <f aca="false">F3680*H3680</f>
        <v>0.25</v>
      </c>
      <c r="S3680" s="0" t="n">
        <f aca="false">G3680*H3680</f>
        <v>0.0625</v>
      </c>
      <c r="T3680" s="0" t="n">
        <f aca="false">E3680*E3680</f>
        <v>0.0625</v>
      </c>
      <c r="U3680" s="0" t="n">
        <f aca="false">F3680*F3680</f>
        <v>1</v>
      </c>
      <c r="V3680" s="0" t="n">
        <f aca="false">G3680*G3680</f>
        <v>0.0625</v>
      </c>
      <c r="W3680" s="0" t="n">
        <f aca="false">H3680*H3680</f>
        <v>0.0625</v>
      </c>
      <c r="X3680" s="0" t="n">
        <f aca="false">SUMPRODUCT(I3680:W3680,_XtX!$B$96:$P$96)</f>
        <v>42.9517315423976</v>
      </c>
      <c r="Y3680" s="0" t="n">
        <f aca="false">SUMPRODUCT(MMULT(I3680:W3680,_XtX!$B$78:$P$92),I3680:W3680)</f>
        <v>0.457466705500731</v>
      </c>
      <c r="Z3680" s="0" t="n">
        <f aca="false">04_回帰ANOVA!$K$19*04_回帰ANOVA!$K$14*SQRT(1+Y3680)</f>
        <v>1.57361220003999</v>
      </c>
      <c r="AA3680" s="0" t="n">
        <f aca="false">X3680-Z3680</f>
        <v>41.3781193423576</v>
      </c>
      <c r="AB3680" s="0" t="n">
        <f aca="false">X3680+Z3680</f>
        <v>44.5253437424376</v>
      </c>
      <c r="AC3680" s="54" t="b">
        <f aca="false">AND(E3680&gt;=01_因子設定!$L$5-0.000000001,E3680&lt;=01_因子設定!$M$5+0.000000001,F3680&gt;=01_因子設定!$L$6-0.000000001,F3680&lt;=01_因子設定!$M$6+0.000000001,G3680&gt;=01_因子設定!$L$7-0.000000001,G3680&lt;=01_因子設定!$M$7+0.000000001,H3680&gt;=01_因子設定!$L$8-0.000000001,H3680&lt;=01_因子設定!$M$8+0.000000001,IF(01_因子設定!$B$20="Box-Behnken",E3680^2+F3680^2+G3680^2+H3680^2&lt;=2+0.000000001,TRUE()))</f>
        <v>1</v>
      </c>
      <c r="AD3680" s="55" t="n">
        <f aca="false">IF(AC3680,IF(01_因子設定!$B$13="最大化",AA3680-01_因子設定!$B$14,IF(01_因子設定!$B$13="最小化",01_因子設定!$B$15-AB3680,MIN(AA3680-01_因子設定!$B$14,01_因子設定!$B$15-AB3680))),-1E+030)</f>
        <v>-5.12188065764239</v>
      </c>
      <c r="AE3680" s="55" t="n">
        <f aca="false">IF(AC3680,IF(01_因子設定!$B$13="最大化",X3680,IF(01_因子設定!$B$13="最小化",-X3680,-ABS(X3680-01_因子設定!$B$16))),-1E+030)</f>
        <v>42.9517315423976</v>
      </c>
      <c r="AF3680" s="55" t="n">
        <f aca="false">AD3680+ROW()*0.000000001</f>
        <v>-5.12187697764239</v>
      </c>
      <c r="AG3680" s="55" t="n">
        <f aca="false">AE3680+ROW()*0.000000001</f>
        <v>42.9517352223976</v>
      </c>
    </row>
    <row r="3681" customFormat="false" ht="15" hidden="false" customHeight="false" outlineLevel="0" collapsed="false">
      <c r="A3681" s="0" t="n">
        <v>5</v>
      </c>
      <c r="B3681" s="0" t="n">
        <v>0</v>
      </c>
      <c r="C3681" s="0" t="n">
        <v>3</v>
      </c>
      <c r="D3681" s="0" t="n">
        <v>4</v>
      </c>
      <c r="E3681" s="0" t="n">
        <f aca="false">-1+A3681*0.25</f>
        <v>0.25</v>
      </c>
      <c r="F3681" s="0" t="n">
        <f aca="false">-1+B3681*0.25</f>
        <v>-1</v>
      </c>
      <c r="G3681" s="0" t="n">
        <f aca="false">-1+C3681*0.25</f>
        <v>-0.25</v>
      </c>
      <c r="H3681" s="0" t="n">
        <f aca="false">-1+D3681*0.25</f>
        <v>0</v>
      </c>
      <c r="I3681" s="0" t="n">
        <f aca="false">1</f>
        <v>1</v>
      </c>
      <c r="J3681" s="0" t="n">
        <f aca="false">E3681</f>
        <v>0.25</v>
      </c>
      <c r="K3681" s="0" t="n">
        <f aca="false">F3681</f>
        <v>-1</v>
      </c>
      <c r="L3681" s="0" t="n">
        <f aca="false">G3681</f>
        <v>-0.25</v>
      </c>
      <c r="M3681" s="0" t="n">
        <f aca="false">H3681</f>
        <v>0</v>
      </c>
      <c r="N3681" s="0" t="n">
        <f aca="false">E3681*F3681</f>
        <v>-0.25</v>
      </c>
      <c r="O3681" s="0" t="n">
        <f aca="false">E3681*G3681</f>
        <v>-0.0625</v>
      </c>
      <c r="P3681" s="0" t="n">
        <f aca="false">E3681*H3681</f>
        <v>0</v>
      </c>
      <c r="Q3681" s="0" t="n">
        <f aca="false">F3681*G3681</f>
        <v>0.25</v>
      </c>
      <c r="R3681" s="0" t="n">
        <f aca="false">F3681*H3681</f>
        <v>-0</v>
      </c>
      <c r="S3681" s="0" t="n">
        <f aca="false">G3681*H3681</f>
        <v>-0</v>
      </c>
      <c r="T3681" s="0" t="n">
        <f aca="false">E3681*E3681</f>
        <v>0.0625</v>
      </c>
      <c r="U3681" s="0" t="n">
        <f aca="false">F3681*F3681</f>
        <v>1</v>
      </c>
      <c r="V3681" s="0" t="n">
        <f aca="false">G3681*G3681</f>
        <v>0.0625</v>
      </c>
      <c r="W3681" s="0" t="n">
        <f aca="false">H3681*H3681</f>
        <v>0</v>
      </c>
      <c r="X3681" s="0" t="n">
        <f aca="false">SUMPRODUCT(I3681:W3681,_XtX!$B$96:$P$96)</f>
        <v>43.1199926900584</v>
      </c>
      <c r="Y3681" s="0" t="n">
        <f aca="false">SUMPRODUCT(MMULT(I3681:W3681,_XtX!$B$78:$P$92),I3681:W3681)</f>
        <v>0.467417934484649</v>
      </c>
      <c r="Z3681" s="0" t="n">
        <f aca="false">04_回帰ANOVA!$K$19*04_回帰ANOVA!$K$14*SQRT(1+Y3681)</f>
        <v>1.57897518244497</v>
      </c>
      <c r="AA3681" s="0" t="n">
        <f aca="false">X3681-Z3681</f>
        <v>41.5410175076135</v>
      </c>
      <c r="AB3681" s="0" t="n">
        <f aca="false">X3681+Z3681</f>
        <v>44.6989678725034</v>
      </c>
      <c r="AC3681" s="54" t="b">
        <f aca="false">AND(E3681&gt;=01_因子設定!$L$5-0.000000001,E3681&lt;=01_因子設定!$M$5+0.000000001,F3681&gt;=01_因子設定!$L$6-0.000000001,F3681&lt;=01_因子設定!$M$6+0.000000001,G3681&gt;=01_因子設定!$L$7-0.000000001,G3681&lt;=01_因子設定!$M$7+0.000000001,H3681&gt;=01_因子設定!$L$8-0.000000001,H3681&lt;=01_因子設定!$M$8+0.000000001,IF(01_因子設定!$B$20="Box-Behnken",E3681^2+F3681^2+G3681^2+H3681^2&lt;=2+0.000000001,TRUE()))</f>
        <v>1</v>
      </c>
      <c r="AD3681" s="55" t="n">
        <f aca="false">IF(AC3681,IF(01_因子設定!$B$13="最大化",AA3681-01_因子設定!$B$14,IF(01_因子設定!$B$13="最小化",01_因子設定!$B$15-AB3681,MIN(AA3681-01_因子設定!$B$14,01_因子設定!$B$15-AB3681))),-1E+030)</f>
        <v>-4.95898249238655</v>
      </c>
      <c r="AE3681" s="55" t="n">
        <f aca="false">IF(AC3681,IF(01_因子設定!$B$13="最大化",X3681,IF(01_因子設定!$B$13="最小化",-X3681,-ABS(X3681-01_因子設定!$B$16))),-1E+030)</f>
        <v>43.1199926900584</v>
      </c>
      <c r="AF3681" s="55" t="n">
        <f aca="false">AD3681+ROW()*0.000000001</f>
        <v>-4.95897881138655</v>
      </c>
      <c r="AG3681" s="55" t="n">
        <f aca="false">AE3681+ROW()*0.000000001</f>
        <v>43.1199963710584</v>
      </c>
    </row>
    <row r="3682" customFormat="false" ht="15" hidden="false" customHeight="false" outlineLevel="0" collapsed="false">
      <c r="A3682" s="0" t="n">
        <v>5</v>
      </c>
      <c r="B3682" s="0" t="n">
        <v>0</v>
      </c>
      <c r="C3682" s="0" t="n">
        <v>3</v>
      </c>
      <c r="D3682" s="0" t="n">
        <v>5</v>
      </c>
      <c r="E3682" s="0" t="n">
        <f aca="false">-1+A3682*0.25</f>
        <v>0.25</v>
      </c>
      <c r="F3682" s="0" t="n">
        <f aca="false">-1+B3682*0.25</f>
        <v>-1</v>
      </c>
      <c r="G3682" s="0" t="n">
        <f aca="false">-1+C3682*0.25</f>
        <v>-0.25</v>
      </c>
      <c r="H3682" s="0" t="n">
        <f aca="false">-1+D3682*0.25</f>
        <v>0.25</v>
      </c>
      <c r="I3682" s="0" t="n">
        <f aca="false">1</f>
        <v>1</v>
      </c>
      <c r="J3682" s="0" t="n">
        <f aca="false">E3682</f>
        <v>0.25</v>
      </c>
      <c r="K3682" s="0" t="n">
        <f aca="false">F3682</f>
        <v>-1</v>
      </c>
      <c r="L3682" s="0" t="n">
        <f aca="false">G3682</f>
        <v>-0.25</v>
      </c>
      <c r="M3682" s="0" t="n">
        <f aca="false">H3682</f>
        <v>0.25</v>
      </c>
      <c r="N3682" s="0" t="n">
        <f aca="false">E3682*F3682</f>
        <v>-0.25</v>
      </c>
      <c r="O3682" s="0" t="n">
        <f aca="false">E3682*G3682</f>
        <v>-0.0625</v>
      </c>
      <c r="P3682" s="0" t="n">
        <f aca="false">E3682*H3682</f>
        <v>0.0625</v>
      </c>
      <c r="Q3682" s="0" t="n">
        <f aca="false">F3682*G3682</f>
        <v>0.25</v>
      </c>
      <c r="R3682" s="0" t="n">
        <f aca="false">F3682*H3682</f>
        <v>-0.25</v>
      </c>
      <c r="S3682" s="0" t="n">
        <f aca="false">G3682*H3682</f>
        <v>-0.0625</v>
      </c>
      <c r="T3682" s="0" t="n">
        <f aca="false">E3682*E3682</f>
        <v>0.0625</v>
      </c>
      <c r="U3682" s="0" t="n">
        <f aca="false">F3682*F3682</f>
        <v>1</v>
      </c>
      <c r="V3682" s="0" t="n">
        <f aca="false">G3682*G3682</f>
        <v>0.0625</v>
      </c>
      <c r="W3682" s="0" t="n">
        <f aca="false">H3682*H3682</f>
        <v>0.0625</v>
      </c>
      <c r="X3682" s="0" t="n">
        <f aca="false">SUMPRODUCT(I3682:W3682,_XtX!$B$96:$P$96)</f>
        <v>43.2404468201754</v>
      </c>
      <c r="Y3682" s="0" t="n">
        <f aca="false">SUMPRODUCT(MMULT(I3682:W3682,_XtX!$B$78:$P$92),I3682:W3682)</f>
        <v>0.457466705500731</v>
      </c>
      <c r="Z3682" s="0" t="n">
        <f aca="false">04_回帰ANOVA!$K$19*04_回帰ANOVA!$K$14*SQRT(1+Y3682)</f>
        <v>1.57361220003999</v>
      </c>
      <c r="AA3682" s="0" t="n">
        <f aca="false">X3682-Z3682</f>
        <v>41.6668346201354</v>
      </c>
      <c r="AB3682" s="0" t="n">
        <f aca="false">X3682+Z3682</f>
        <v>44.8140590202154</v>
      </c>
      <c r="AC3682" s="54" t="b">
        <f aca="false">AND(E3682&gt;=01_因子設定!$L$5-0.000000001,E3682&lt;=01_因子設定!$M$5+0.000000001,F3682&gt;=01_因子設定!$L$6-0.000000001,F3682&lt;=01_因子設定!$M$6+0.000000001,G3682&gt;=01_因子設定!$L$7-0.000000001,G3682&lt;=01_因子設定!$M$7+0.000000001,H3682&gt;=01_因子設定!$L$8-0.000000001,H3682&lt;=01_因子設定!$M$8+0.000000001,IF(01_因子設定!$B$20="Box-Behnken",E3682^2+F3682^2+G3682^2+H3682^2&lt;=2+0.000000001,TRUE()))</f>
        <v>1</v>
      </c>
      <c r="AD3682" s="55" t="n">
        <f aca="false">IF(AC3682,IF(01_因子設定!$B$13="最大化",AA3682-01_因子設定!$B$14,IF(01_因子設定!$B$13="最小化",01_因子設定!$B$15-AB3682,MIN(AA3682-01_因子設定!$B$14,01_因子設定!$B$15-AB3682))),-1E+030)</f>
        <v>-4.83316537986462</v>
      </c>
      <c r="AE3682" s="55" t="n">
        <f aca="false">IF(AC3682,IF(01_因子設定!$B$13="最大化",X3682,IF(01_因子設定!$B$13="最小化",-X3682,-ABS(X3682-01_因子設定!$B$16))),-1E+030)</f>
        <v>43.2404468201754</v>
      </c>
      <c r="AF3682" s="55" t="n">
        <f aca="false">AD3682+ROW()*0.000000001</f>
        <v>-4.83316169786462</v>
      </c>
      <c r="AG3682" s="55" t="n">
        <f aca="false">AE3682+ROW()*0.000000001</f>
        <v>43.2404505021754</v>
      </c>
    </row>
    <row r="3683" customFormat="false" ht="15" hidden="false" customHeight="false" outlineLevel="0" collapsed="false">
      <c r="A3683" s="0" t="n">
        <v>5</v>
      </c>
      <c r="B3683" s="0" t="n">
        <v>0</v>
      </c>
      <c r="C3683" s="0" t="n">
        <v>3</v>
      </c>
      <c r="D3683" s="0" t="n">
        <v>6</v>
      </c>
      <c r="E3683" s="0" t="n">
        <f aca="false">-1+A3683*0.25</f>
        <v>0.25</v>
      </c>
      <c r="F3683" s="0" t="n">
        <f aca="false">-1+B3683*0.25</f>
        <v>-1</v>
      </c>
      <c r="G3683" s="0" t="n">
        <f aca="false">-1+C3683*0.25</f>
        <v>-0.25</v>
      </c>
      <c r="H3683" s="0" t="n">
        <f aca="false">-1+D3683*0.25</f>
        <v>0.5</v>
      </c>
      <c r="I3683" s="0" t="n">
        <f aca="false">1</f>
        <v>1</v>
      </c>
      <c r="J3683" s="0" t="n">
        <f aca="false">E3683</f>
        <v>0.25</v>
      </c>
      <c r="K3683" s="0" t="n">
        <f aca="false">F3683</f>
        <v>-1</v>
      </c>
      <c r="L3683" s="0" t="n">
        <f aca="false">G3683</f>
        <v>-0.25</v>
      </c>
      <c r="M3683" s="0" t="n">
        <f aca="false">H3683</f>
        <v>0.5</v>
      </c>
      <c r="N3683" s="0" t="n">
        <f aca="false">E3683*F3683</f>
        <v>-0.25</v>
      </c>
      <c r="O3683" s="0" t="n">
        <f aca="false">E3683*G3683</f>
        <v>-0.0625</v>
      </c>
      <c r="P3683" s="0" t="n">
        <f aca="false">E3683*H3683</f>
        <v>0.125</v>
      </c>
      <c r="Q3683" s="0" t="n">
        <f aca="false">F3683*G3683</f>
        <v>0.25</v>
      </c>
      <c r="R3683" s="0" t="n">
        <f aca="false">F3683*H3683</f>
        <v>-0.5</v>
      </c>
      <c r="S3683" s="0" t="n">
        <f aca="false">G3683*H3683</f>
        <v>-0.125</v>
      </c>
      <c r="T3683" s="0" t="n">
        <f aca="false">E3683*E3683</f>
        <v>0.0625</v>
      </c>
      <c r="U3683" s="0" t="n">
        <f aca="false">F3683*F3683</f>
        <v>1</v>
      </c>
      <c r="V3683" s="0" t="n">
        <f aca="false">G3683*G3683</f>
        <v>0.0625</v>
      </c>
      <c r="W3683" s="0" t="n">
        <f aca="false">H3683*H3683</f>
        <v>0.25</v>
      </c>
      <c r="X3683" s="0" t="n">
        <f aca="false">SUMPRODUCT(I3683:W3683,_XtX!$B$96:$P$96)</f>
        <v>43.3130939327485</v>
      </c>
      <c r="Y3683" s="0" t="n">
        <f aca="false">SUMPRODUCT(MMULT(I3683:W3683,_XtX!$B$78:$P$92),I3683:W3683)</f>
        <v>0.445705123812135</v>
      </c>
      <c r="Z3683" s="0" t="n">
        <f aca="false">04_回帰ANOVA!$K$19*04_回帰ANOVA!$K$14*SQRT(1+Y3683)</f>
        <v>1.56724990734749</v>
      </c>
      <c r="AA3683" s="0" t="n">
        <f aca="false">X3683-Z3683</f>
        <v>41.745844025401</v>
      </c>
      <c r="AB3683" s="0" t="n">
        <f aca="false">X3683+Z3683</f>
        <v>44.880343840096</v>
      </c>
      <c r="AC3683" s="54" t="b">
        <f aca="false">AND(E3683&gt;=01_因子設定!$L$5-0.000000001,E3683&lt;=01_因子設定!$M$5+0.000000001,F3683&gt;=01_因子設定!$L$6-0.000000001,F3683&lt;=01_因子設定!$M$6+0.000000001,G3683&gt;=01_因子設定!$L$7-0.000000001,G3683&lt;=01_因子設定!$M$7+0.000000001,H3683&gt;=01_因子設定!$L$8-0.000000001,H3683&lt;=01_因子設定!$M$8+0.000000001,IF(01_因子設定!$B$20="Box-Behnken",E3683^2+F3683^2+G3683^2+H3683^2&lt;=2+0.000000001,TRUE()))</f>
        <v>1</v>
      </c>
      <c r="AD3683" s="55" t="n">
        <f aca="false">IF(AC3683,IF(01_因子設定!$B$13="最大化",AA3683-01_因子設定!$B$14,IF(01_因子設定!$B$13="最小化",01_因子設定!$B$15-AB3683,MIN(AA3683-01_因子設定!$B$14,01_因子設定!$B$15-AB3683))),-1E+030)</f>
        <v>-4.754155974599</v>
      </c>
      <c r="AE3683" s="55" t="n">
        <f aca="false">IF(AC3683,IF(01_因子設定!$B$13="最大化",X3683,IF(01_因子設定!$B$13="最小化",-X3683,-ABS(X3683-01_因子設定!$B$16))),-1E+030)</f>
        <v>43.3130939327485</v>
      </c>
      <c r="AF3683" s="55" t="n">
        <f aca="false">AD3683+ROW()*0.000000001</f>
        <v>-4.754152291599</v>
      </c>
      <c r="AG3683" s="55" t="n">
        <f aca="false">AE3683+ROW()*0.000000001</f>
        <v>43.3130976157485</v>
      </c>
    </row>
    <row r="3684" customFormat="false" ht="15" hidden="false" customHeight="false" outlineLevel="0" collapsed="false">
      <c r="A3684" s="0" t="n">
        <v>5</v>
      </c>
      <c r="B3684" s="0" t="n">
        <v>0</v>
      </c>
      <c r="C3684" s="0" t="n">
        <v>3</v>
      </c>
      <c r="D3684" s="0" t="n">
        <v>7</v>
      </c>
      <c r="E3684" s="0" t="n">
        <f aca="false">-1+A3684*0.25</f>
        <v>0.25</v>
      </c>
      <c r="F3684" s="0" t="n">
        <f aca="false">-1+B3684*0.25</f>
        <v>-1</v>
      </c>
      <c r="G3684" s="0" t="n">
        <f aca="false">-1+C3684*0.25</f>
        <v>-0.25</v>
      </c>
      <c r="H3684" s="0" t="n">
        <f aca="false">-1+D3684*0.25</f>
        <v>0.75</v>
      </c>
      <c r="I3684" s="0" t="n">
        <f aca="false">1</f>
        <v>1</v>
      </c>
      <c r="J3684" s="0" t="n">
        <f aca="false">E3684</f>
        <v>0.25</v>
      </c>
      <c r="K3684" s="0" t="n">
        <f aca="false">F3684</f>
        <v>-1</v>
      </c>
      <c r="L3684" s="0" t="n">
        <f aca="false">G3684</f>
        <v>-0.25</v>
      </c>
      <c r="M3684" s="0" t="n">
        <f aca="false">H3684</f>
        <v>0.75</v>
      </c>
      <c r="N3684" s="0" t="n">
        <f aca="false">E3684*F3684</f>
        <v>-0.25</v>
      </c>
      <c r="O3684" s="0" t="n">
        <f aca="false">E3684*G3684</f>
        <v>-0.0625</v>
      </c>
      <c r="P3684" s="0" t="n">
        <f aca="false">E3684*H3684</f>
        <v>0.1875</v>
      </c>
      <c r="Q3684" s="0" t="n">
        <f aca="false">F3684*G3684</f>
        <v>0.25</v>
      </c>
      <c r="R3684" s="0" t="n">
        <f aca="false">F3684*H3684</f>
        <v>-0.75</v>
      </c>
      <c r="S3684" s="0" t="n">
        <f aca="false">G3684*H3684</f>
        <v>-0.1875</v>
      </c>
      <c r="T3684" s="0" t="n">
        <f aca="false">E3684*E3684</f>
        <v>0.0625</v>
      </c>
      <c r="U3684" s="0" t="n">
        <f aca="false">F3684*F3684</f>
        <v>1</v>
      </c>
      <c r="V3684" s="0" t="n">
        <f aca="false">G3684*G3684</f>
        <v>0.0625</v>
      </c>
      <c r="W3684" s="0" t="n">
        <f aca="false">H3684*H3684</f>
        <v>0.5625</v>
      </c>
      <c r="X3684" s="0" t="n">
        <f aca="false">SUMPRODUCT(I3684:W3684,_XtX!$B$96:$P$96)</f>
        <v>43.3379340277777</v>
      </c>
      <c r="Y3684" s="0" t="n">
        <f aca="false">SUMPRODUCT(MMULT(I3684:W3684,_XtX!$B$78:$P$92),I3684:W3684)</f>
        <v>0.486409505208334</v>
      </c>
      <c r="Z3684" s="0" t="n">
        <f aca="false">04_回帰ANOVA!$K$19*04_回帰ANOVA!$K$14*SQRT(1+Y3684)</f>
        <v>1.58916001665498</v>
      </c>
      <c r="AA3684" s="0" t="n">
        <f aca="false">X3684-Z3684</f>
        <v>41.7487740111228</v>
      </c>
      <c r="AB3684" s="0" t="n">
        <f aca="false">X3684+Z3684</f>
        <v>44.9270940444327</v>
      </c>
      <c r="AC3684" s="54" t="b">
        <f aca="false">AND(E3684&gt;=01_因子設定!$L$5-0.000000001,E3684&lt;=01_因子設定!$M$5+0.000000001,F3684&gt;=01_因子設定!$L$6-0.000000001,F3684&lt;=01_因子設定!$M$6+0.000000001,G3684&gt;=01_因子設定!$L$7-0.000000001,G3684&lt;=01_因子設定!$M$7+0.000000001,H3684&gt;=01_因子設定!$L$8-0.000000001,H3684&lt;=01_因子設定!$M$8+0.000000001,IF(01_因子設定!$B$20="Box-Behnken",E3684^2+F3684^2+G3684^2+H3684^2&lt;=2+0.000000001,TRUE()))</f>
        <v>1</v>
      </c>
      <c r="AD3684" s="55" t="n">
        <f aca="false">IF(AC3684,IF(01_因子設定!$B$13="最大化",AA3684-01_因子設定!$B$14,IF(01_因子設定!$B$13="最小化",01_因子設定!$B$15-AB3684,MIN(AA3684-01_因子設定!$B$14,01_因子設定!$B$15-AB3684))),-1E+030)</f>
        <v>-4.75122598887725</v>
      </c>
      <c r="AE3684" s="55" t="n">
        <f aca="false">IF(AC3684,IF(01_因子設定!$B$13="最大化",X3684,IF(01_因子設定!$B$13="最小化",-X3684,-ABS(X3684-01_因子設定!$B$16))),-1E+030)</f>
        <v>43.3379340277777</v>
      </c>
      <c r="AF3684" s="55" t="n">
        <f aca="false">AD3684+ROW()*0.000000001</f>
        <v>-4.75122230487725</v>
      </c>
      <c r="AG3684" s="55" t="n">
        <f aca="false">AE3684+ROW()*0.000000001</f>
        <v>43.3379377117777</v>
      </c>
    </row>
    <row r="3685" customFormat="false" ht="15" hidden="false" customHeight="false" outlineLevel="0" collapsed="false">
      <c r="A3685" s="0" t="n">
        <v>5</v>
      </c>
      <c r="B3685" s="0" t="n">
        <v>0</v>
      </c>
      <c r="C3685" s="0" t="n">
        <v>3</v>
      </c>
      <c r="D3685" s="0" t="n">
        <v>8</v>
      </c>
      <c r="E3685" s="0" t="n">
        <f aca="false">-1+A3685*0.25</f>
        <v>0.25</v>
      </c>
      <c r="F3685" s="0" t="n">
        <f aca="false">-1+B3685*0.25</f>
        <v>-1</v>
      </c>
      <c r="G3685" s="0" t="n">
        <f aca="false">-1+C3685*0.25</f>
        <v>-0.25</v>
      </c>
      <c r="H3685" s="0" t="n">
        <f aca="false">-1+D3685*0.25</f>
        <v>1</v>
      </c>
      <c r="I3685" s="0" t="n">
        <f aca="false">1</f>
        <v>1</v>
      </c>
      <c r="J3685" s="0" t="n">
        <f aca="false">E3685</f>
        <v>0.25</v>
      </c>
      <c r="K3685" s="0" t="n">
        <f aca="false">F3685</f>
        <v>-1</v>
      </c>
      <c r="L3685" s="0" t="n">
        <f aca="false">G3685</f>
        <v>-0.25</v>
      </c>
      <c r="M3685" s="0" t="n">
        <f aca="false">H3685</f>
        <v>1</v>
      </c>
      <c r="N3685" s="0" t="n">
        <f aca="false">E3685*F3685</f>
        <v>-0.25</v>
      </c>
      <c r="O3685" s="0" t="n">
        <f aca="false">E3685*G3685</f>
        <v>-0.0625</v>
      </c>
      <c r="P3685" s="0" t="n">
        <f aca="false">E3685*H3685</f>
        <v>0.25</v>
      </c>
      <c r="Q3685" s="0" t="n">
        <f aca="false">F3685*G3685</f>
        <v>0.25</v>
      </c>
      <c r="R3685" s="0" t="n">
        <f aca="false">F3685*H3685</f>
        <v>-1</v>
      </c>
      <c r="S3685" s="0" t="n">
        <f aca="false">G3685*H3685</f>
        <v>-0.25</v>
      </c>
      <c r="T3685" s="0" t="n">
        <f aca="false">E3685*E3685</f>
        <v>0.0625</v>
      </c>
      <c r="U3685" s="0" t="n">
        <f aca="false">F3685*F3685</f>
        <v>1</v>
      </c>
      <c r="V3685" s="0" t="n">
        <f aca="false">G3685*G3685</f>
        <v>0.0625</v>
      </c>
      <c r="W3685" s="0" t="n">
        <f aca="false">H3685*H3685</f>
        <v>1</v>
      </c>
      <c r="X3685" s="0" t="n">
        <f aca="false">SUMPRODUCT(I3685:W3685,_XtX!$B$96:$P$96)</f>
        <v>43.3149671052631</v>
      </c>
      <c r="Y3685" s="0" t="n">
        <f aca="false">SUMPRODUCT(MMULT(I3685:W3685,_XtX!$B$78:$P$92),I3685:W3685)</f>
        <v>0.670040376005117</v>
      </c>
      <c r="Z3685" s="0" t="n">
        <f aca="false">04_回帰ANOVA!$K$19*04_回帰ANOVA!$K$14*SQRT(1+Y3685)</f>
        <v>1.68446456039992</v>
      </c>
      <c r="AA3685" s="0" t="n">
        <f aca="false">X3685-Z3685</f>
        <v>41.6305025448632</v>
      </c>
      <c r="AB3685" s="0" t="n">
        <f aca="false">X3685+Z3685</f>
        <v>44.9994316656631</v>
      </c>
      <c r="AC3685" s="54" t="b">
        <f aca="false">AND(E3685&gt;=01_因子設定!$L$5-0.000000001,E3685&lt;=01_因子設定!$M$5+0.000000001,F3685&gt;=01_因子設定!$L$6-0.000000001,F3685&lt;=01_因子設定!$M$6+0.000000001,G3685&gt;=01_因子設定!$L$7-0.000000001,G3685&lt;=01_因子設定!$M$7+0.000000001,H3685&gt;=01_因子設定!$L$8-0.000000001,H3685&lt;=01_因子設定!$M$8+0.000000001,IF(01_因子設定!$B$20="Box-Behnken",E3685^2+F3685^2+G3685^2+H3685^2&lt;=2+0.000000001,TRUE()))</f>
        <v>1</v>
      </c>
      <c r="AD3685" s="55" t="n">
        <f aca="false">IF(AC3685,IF(01_因子設定!$B$13="最大化",AA3685-01_因子設定!$B$14,IF(01_因子設定!$B$13="最小化",01_因子設定!$B$15-AB3685,MIN(AA3685-01_因子設定!$B$14,01_因子設定!$B$15-AB3685))),-1E+030)</f>
        <v>-4.86949745513678</v>
      </c>
      <c r="AE3685" s="55" t="n">
        <f aca="false">IF(AC3685,IF(01_因子設定!$B$13="最大化",X3685,IF(01_因子設定!$B$13="最小化",-X3685,-ABS(X3685-01_因子設定!$B$16))),-1E+030)</f>
        <v>43.3149671052631</v>
      </c>
      <c r="AF3685" s="55" t="n">
        <f aca="false">AD3685+ROW()*0.000000001</f>
        <v>-4.86949377013678</v>
      </c>
      <c r="AG3685" s="55" t="n">
        <f aca="false">AE3685+ROW()*0.000000001</f>
        <v>43.3149707902631</v>
      </c>
    </row>
    <row r="3686" customFormat="false" ht="15" hidden="false" customHeight="false" outlineLevel="0" collapsed="false">
      <c r="A3686" s="0" t="n">
        <v>5</v>
      </c>
      <c r="B3686" s="0" t="n">
        <v>0</v>
      </c>
      <c r="C3686" s="0" t="n">
        <v>4</v>
      </c>
      <c r="D3686" s="0" t="n">
        <v>0</v>
      </c>
      <c r="E3686" s="0" t="n">
        <f aca="false">-1+A3686*0.25</f>
        <v>0.25</v>
      </c>
      <c r="F3686" s="0" t="n">
        <f aca="false">-1+B3686*0.25</f>
        <v>-1</v>
      </c>
      <c r="G3686" s="0" t="n">
        <f aca="false">-1+C3686*0.25</f>
        <v>0</v>
      </c>
      <c r="H3686" s="0" t="n">
        <f aca="false">-1+D3686*0.25</f>
        <v>-1</v>
      </c>
      <c r="I3686" s="0" t="n">
        <f aca="false">1</f>
        <v>1</v>
      </c>
      <c r="J3686" s="0" t="n">
        <f aca="false">E3686</f>
        <v>0.25</v>
      </c>
      <c r="K3686" s="0" t="n">
        <f aca="false">F3686</f>
        <v>-1</v>
      </c>
      <c r="L3686" s="0" t="n">
        <f aca="false">G3686</f>
        <v>0</v>
      </c>
      <c r="M3686" s="0" t="n">
        <f aca="false">H3686</f>
        <v>-1</v>
      </c>
      <c r="N3686" s="0" t="n">
        <f aca="false">E3686*F3686</f>
        <v>-0.25</v>
      </c>
      <c r="O3686" s="0" t="n">
        <f aca="false">E3686*G3686</f>
        <v>0</v>
      </c>
      <c r="P3686" s="0" t="n">
        <f aca="false">E3686*H3686</f>
        <v>-0.25</v>
      </c>
      <c r="Q3686" s="0" t="n">
        <f aca="false">F3686*G3686</f>
        <v>-0</v>
      </c>
      <c r="R3686" s="0" t="n">
        <f aca="false">F3686*H3686</f>
        <v>1</v>
      </c>
      <c r="S3686" s="0" t="n">
        <f aca="false">G3686*H3686</f>
        <v>-0</v>
      </c>
      <c r="T3686" s="0" t="n">
        <f aca="false">E3686*E3686</f>
        <v>0.0625</v>
      </c>
      <c r="U3686" s="0" t="n">
        <f aca="false">F3686*F3686</f>
        <v>1</v>
      </c>
      <c r="V3686" s="0" t="n">
        <f aca="false">G3686*G3686</f>
        <v>0</v>
      </c>
      <c r="W3686" s="0" t="n">
        <f aca="false">H3686*H3686</f>
        <v>1</v>
      </c>
      <c r="X3686" s="0" t="n">
        <f aca="false">SUMPRODUCT(I3686:W3686,_XtX!$B$96:$P$96)</f>
        <v>42.2579678362573</v>
      </c>
      <c r="Y3686" s="0" t="n">
        <f aca="false">SUMPRODUCT(MMULT(I3686:W3686,_XtX!$B$78:$P$92),I3686:W3686)</f>
        <v>0.689692982456141</v>
      </c>
      <c r="Z3686" s="0" t="n">
        <f aca="false">04_回帰ANOVA!$K$19*04_回帰ANOVA!$K$14*SQRT(1+Y3686)</f>
        <v>1.69434674594998</v>
      </c>
      <c r="AA3686" s="0" t="n">
        <f aca="false">X3686-Z3686</f>
        <v>40.5636210903073</v>
      </c>
      <c r="AB3686" s="0" t="n">
        <f aca="false">X3686+Z3686</f>
        <v>43.9523145822073</v>
      </c>
      <c r="AC3686" s="54" t="b">
        <f aca="false">AND(E3686&gt;=01_因子設定!$L$5-0.000000001,E3686&lt;=01_因子設定!$M$5+0.000000001,F3686&gt;=01_因子設定!$L$6-0.000000001,F3686&lt;=01_因子設定!$M$6+0.000000001,G3686&gt;=01_因子設定!$L$7-0.000000001,G3686&lt;=01_因子設定!$M$7+0.000000001,H3686&gt;=01_因子設定!$L$8-0.000000001,H3686&lt;=01_因子設定!$M$8+0.000000001,IF(01_因子設定!$B$20="Box-Behnken",E3686^2+F3686^2+G3686^2+H3686^2&lt;=2+0.000000001,TRUE()))</f>
        <v>1</v>
      </c>
      <c r="AD3686" s="55" t="n">
        <f aca="false">IF(AC3686,IF(01_因子設定!$B$13="最大化",AA3686-01_因子設定!$B$14,IF(01_因子設定!$B$13="最小化",01_因子設定!$B$15-AB3686,MIN(AA3686-01_因子設定!$B$14,01_因子設定!$B$15-AB3686))),-1E+030)</f>
        <v>-5.9363789096927</v>
      </c>
      <c r="AE3686" s="55" t="n">
        <f aca="false">IF(AC3686,IF(01_因子設定!$B$13="最大化",X3686,IF(01_因子設定!$B$13="最小化",-X3686,-ABS(X3686-01_因子設定!$B$16))),-1E+030)</f>
        <v>42.2579678362573</v>
      </c>
      <c r="AF3686" s="55" t="n">
        <f aca="false">AD3686+ROW()*0.000000001</f>
        <v>-5.9363752236927</v>
      </c>
      <c r="AG3686" s="55" t="n">
        <f aca="false">AE3686+ROW()*0.000000001</f>
        <v>42.2579715222573</v>
      </c>
    </row>
    <row r="3687" customFormat="false" ht="15" hidden="false" customHeight="false" outlineLevel="0" collapsed="false">
      <c r="A3687" s="0" t="n">
        <v>5</v>
      </c>
      <c r="B3687" s="0" t="n">
        <v>0</v>
      </c>
      <c r="C3687" s="0" t="n">
        <v>4</v>
      </c>
      <c r="D3687" s="0" t="n">
        <v>1</v>
      </c>
      <c r="E3687" s="0" t="n">
        <f aca="false">-1+A3687*0.25</f>
        <v>0.25</v>
      </c>
      <c r="F3687" s="0" t="n">
        <f aca="false">-1+B3687*0.25</f>
        <v>-1</v>
      </c>
      <c r="G3687" s="0" t="n">
        <f aca="false">-1+C3687*0.25</f>
        <v>0</v>
      </c>
      <c r="H3687" s="0" t="n">
        <f aca="false">-1+D3687*0.25</f>
        <v>-0.75</v>
      </c>
      <c r="I3687" s="0" t="n">
        <f aca="false">1</f>
        <v>1</v>
      </c>
      <c r="J3687" s="0" t="n">
        <f aca="false">E3687</f>
        <v>0.25</v>
      </c>
      <c r="K3687" s="0" t="n">
        <f aca="false">F3687</f>
        <v>-1</v>
      </c>
      <c r="L3687" s="0" t="n">
        <f aca="false">G3687</f>
        <v>0</v>
      </c>
      <c r="M3687" s="0" t="n">
        <f aca="false">H3687</f>
        <v>-0.75</v>
      </c>
      <c r="N3687" s="0" t="n">
        <f aca="false">E3687*F3687</f>
        <v>-0.25</v>
      </c>
      <c r="O3687" s="0" t="n">
        <f aca="false">E3687*G3687</f>
        <v>0</v>
      </c>
      <c r="P3687" s="0" t="n">
        <f aca="false">E3687*H3687</f>
        <v>-0.1875</v>
      </c>
      <c r="Q3687" s="0" t="n">
        <f aca="false">F3687*G3687</f>
        <v>-0</v>
      </c>
      <c r="R3687" s="0" t="n">
        <f aca="false">F3687*H3687</f>
        <v>0.75</v>
      </c>
      <c r="S3687" s="0" t="n">
        <f aca="false">G3687*H3687</f>
        <v>-0</v>
      </c>
      <c r="T3687" s="0" t="n">
        <f aca="false">E3687*E3687</f>
        <v>0.0625</v>
      </c>
      <c r="U3687" s="0" t="n">
        <f aca="false">F3687*F3687</f>
        <v>1</v>
      </c>
      <c r="V3687" s="0" t="n">
        <f aca="false">G3687*G3687</f>
        <v>0</v>
      </c>
      <c r="W3687" s="0" t="n">
        <f aca="false">H3687*H3687</f>
        <v>0.5625</v>
      </c>
      <c r="X3687" s="0" t="n">
        <f aca="false">SUMPRODUCT(I3687:W3687,_XtX!$B$96:$P$96)</f>
        <v>42.5876187865497</v>
      </c>
      <c r="Y3687" s="0" t="n">
        <f aca="false">SUMPRODUCT(MMULT(I3687:W3687,_XtX!$B$78:$P$92),I3687:W3687)</f>
        <v>0.501534802174708</v>
      </c>
      <c r="Z3687" s="0" t="n">
        <f aca="false">04_回帰ANOVA!$K$19*04_回帰ANOVA!$K$14*SQRT(1+Y3687)</f>
        <v>1.59722498091333</v>
      </c>
      <c r="AA3687" s="0" t="n">
        <f aca="false">X3687-Z3687</f>
        <v>40.9903938056363</v>
      </c>
      <c r="AB3687" s="0" t="n">
        <f aca="false">X3687+Z3687</f>
        <v>44.184843767463</v>
      </c>
      <c r="AC3687" s="54" t="b">
        <f aca="false">AND(E3687&gt;=01_因子設定!$L$5-0.000000001,E3687&lt;=01_因子設定!$M$5+0.000000001,F3687&gt;=01_因子設定!$L$6-0.000000001,F3687&lt;=01_因子設定!$M$6+0.000000001,G3687&gt;=01_因子設定!$L$7-0.000000001,G3687&lt;=01_因子設定!$M$7+0.000000001,H3687&gt;=01_因子設定!$L$8-0.000000001,H3687&lt;=01_因子設定!$M$8+0.000000001,IF(01_因子設定!$B$20="Box-Behnken",E3687^2+F3687^2+G3687^2+H3687^2&lt;=2+0.000000001,TRUE()))</f>
        <v>1</v>
      </c>
      <c r="AD3687" s="55" t="n">
        <f aca="false">IF(AC3687,IF(01_因子設定!$B$13="最大化",AA3687-01_因子設定!$B$14,IF(01_因子設定!$B$13="最小化",01_因子設定!$B$15-AB3687,MIN(AA3687-01_因子設定!$B$14,01_因子設定!$B$15-AB3687))),-1E+030)</f>
        <v>-5.50960619436366</v>
      </c>
      <c r="AE3687" s="55" t="n">
        <f aca="false">IF(AC3687,IF(01_因子設定!$B$13="最大化",X3687,IF(01_因子設定!$B$13="最小化",-X3687,-ABS(X3687-01_因子設定!$B$16))),-1E+030)</f>
        <v>42.5876187865497</v>
      </c>
      <c r="AF3687" s="55" t="n">
        <f aca="false">AD3687+ROW()*0.000000001</f>
        <v>-5.50960250736366</v>
      </c>
      <c r="AG3687" s="55" t="n">
        <f aca="false">AE3687+ROW()*0.000000001</f>
        <v>42.5876224735497</v>
      </c>
    </row>
    <row r="3688" customFormat="false" ht="15" hidden="false" customHeight="false" outlineLevel="0" collapsed="false">
      <c r="A3688" s="0" t="n">
        <v>5</v>
      </c>
      <c r="B3688" s="0" t="n">
        <v>0</v>
      </c>
      <c r="C3688" s="0" t="n">
        <v>4</v>
      </c>
      <c r="D3688" s="0" t="n">
        <v>2</v>
      </c>
      <c r="E3688" s="0" t="n">
        <f aca="false">-1+A3688*0.25</f>
        <v>0.25</v>
      </c>
      <c r="F3688" s="0" t="n">
        <f aca="false">-1+B3688*0.25</f>
        <v>-1</v>
      </c>
      <c r="G3688" s="0" t="n">
        <f aca="false">-1+C3688*0.25</f>
        <v>0</v>
      </c>
      <c r="H3688" s="0" t="n">
        <f aca="false">-1+D3688*0.25</f>
        <v>-0.5</v>
      </c>
      <c r="I3688" s="0" t="n">
        <f aca="false">1</f>
        <v>1</v>
      </c>
      <c r="J3688" s="0" t="n">
        <f aca="false">E3688</f>
        <v>0.25</v>
      </c>
      <c r="K3688" s="0" t="n">
        <f aca="false">F3688</f>
        <v>-1</v>
      </c>
      <c r="L3688" s="0" t="n">
        <f aca="false">G3688</f>
        <v>0</v>
      </c>
      <c r="M3688" s="0" t="n">
        <f aca="false">H3688</f>
        <v>-0.5</v>
      </c>
      <c r="N3688" s="0" t="n">
        <f aca="false">E3688*F3688</f>
        <v>-0.25</v>
      </c>
      <c r="O3688" s="0" t="n">
        <f aca="false">E3688*G3688</f>
        <v>0</v>
      </c>
      <c r="P3688" s="0" t="n">
        <f aca="false">E3688*H3688</f>
        <v>-0.125</v>
      </c>
      <c r="Q3688" s="0" t="n">
        <f aca="false">F3688*G3688</f>
        <v>-0</v>
      </c>
      <c r="R3688" s="0" t="n">
        <f aca="false">F3688*H3688</f>
        <v>0.5</v>
      </c>
      <c r="S3688" s="0" t="n">
        <f aca="false">G3688*H3688</f>
        <v>-0</v>
      </c>
      <c r="T3688" s="0" t="n">
        <f aca="false">E3688*E3688</f>
        <v>0.0625</v>
      </c>
      <c r="U3688" s="0" t="n">
        <f aca="false">F3688*F3688</f>
        <v>1</v>
      </c>
      <c r="V3688" s="0" t="n">
        <f aca="false">G3688*G3688</f>
        <v>0</v>
      </c>
      <c r="W3688" s="0" t="n">
        <f aca="false">H3688*H3688</f>
        <v>0.25</v>
      </c>
      <c r="X3688" s="0" t="n">
        <f aca="false">SUMPRODUCT(I3688:W3688,_XtX!$B$96:$P$96)</f>
        <v>42.8694627192982</v>
      </c>
      <c r="Y3688" s="0" t="n">
        <f aca="false">SUMPRODUCT(MMULT(I3688:W3688,_XtX!$B$78:$P$92),I3688:W3688)</f>
        <v>0.457596628289474</v>
      </c>
      <c r="Z3688" s="0" t="n">
        <f aca="false">04_回帰ANOVA!$K$19*04_回帰ANOVA!$K$14*SQRT(1+Y3688)</f>
        <v>1.57368233664366</v>
      </c>
      <c r="AA3688" s="0" t="n">
        <f aca="false">X3688-Z3688</f>
        <v>41.2957803826545</v>
      </c>
      <c r="AB3688" s="0" t="n">
        <f aca="false">X3688+Z3688</f>
        <v>44.4431450559419</v>
      </c>
      <c r="AC3688" s="54" t="b">
        <f aca="false">AND(E3688&gt;=01_因子設定!$L$5-0.000000001,E3688&lt;=01_因子設定!$M$5+0.000000001,F3688&gt;=01_因子設定!$L$6-0.000000001,F3688&lt;=01_因子設定!$M$6+0.000000001,G3688&gt;=01_因子設定!$L$7-0.000000001,G3688&lt;=01_因子設定!$M$7+0.000000001,H3688&gt;=01_因子設定!$L$8-0.000000001,H3688&lt;=01_因子設定!$M$8+0.000000001,IF(01_因子設定!$B$20="Box-Behnken",E3688^2+F3688^2+G3688^2+H3688^2&lt;=2+0.000000001,TRUE()))</f>
        <v>1</v>
      </c>
      <c r="AD3688" s="55" t="n">
        <f aca="false">IF(AC3688,IF(01_因子設定!$B$13="最大化",AA3688-01_因子設定!$B$14,IF(01_因子設定!$B$13="最小化",01_因子設定!$B$15-AB3688,MIN(AA3688-01_因子設定!$B$14,01_因子設定!$B$15-AB3688))),-1E+030)</f>
        <v>-5.20421961734547</v>
      </c>
      <c r="AE3688" s="55" t="n">
        <f aca="false">IF(AC3688,IF(01_因子設定!$B$13="最大化",X3688,IF(01_因子設定!$B$13="最小化",-X3688,-ABS(X3688-01_因子設定!$B$16))),-1E+030)</f>
        <v>42.8694627192982</v>
      </c>
      <c r="AF3688" s="55" t="n">
        <f aca="false">AD3688+ROW()*0.000000001</f>
        <v>-5.20421592934547</v>
      </c>
      <c r="AG3688" s="55" t="n">
        <f aca="false">AE3688+ROW()*0.000000001</f>
        <v>42.8694664072982</v>
      </c>
    </row>
    <row r="3689" customFormat="false" ht="15" hidden="false" customHeight="false" outlineLevel="0" collapsed="false">
      <c r="A3689" s="0" t="n">
        <v>5</v>
      </c>
      <c r="B3689" s="0" t="n">
        <v>0</v>
      </c>
      <c r="C3689" s="0" t="n">
        <v>4</v>
      </c>
      <c r="D3689" s="0" t="n">
        <v>3</v>
      </c>
      <c r="E3689" s="0" t="n">
        <f aca="false">-1+A3689*0.25</f>
        <v>0.25</v>
      </c>
      <c r="F3689" s="0" t="n">
        <f aca="false">-1+B3689*0.25</f>
        <v>-1</v>
      </c>
      <c r="G3689" s="0" t="n">
        <f aca="false">-1+C3689*0.25</f>
        <v>0</v>
      </c>
      <c r="H3689" s="0" t="n">
        <f aca="false">-1+D3689*0.25</f>
        <v>-0.25</v>
      </c>
      <c r="I3689" s="0" t="n">
        <f aca="false">1</f>
        <v>1</v>
      </c>
      <c r="J3689" s="0" t="n">
        <f aca="false">E3689</f>
        <v>0.25</v>
      </c>
      <c r="K3689" s="0" t="n">
        <f aca="false">F3689</f>
        <v>-1</v>
      </c>
      <c r="L3689" s="0" t="n">
        <f aca="false">G3689</f>
        <v>0</v>
      </c>
      <c r="M3689" s="0" t="n">
        <f aca="false">H3689</f>
        <v>-0.25</v>
      </c>
      <c r="N3689" s="0" t="n">
        <f aca="false">E3689*F3689</f>
        <v>-0.25</v>
      </c>
      <c r="O3689" s="0" t="n">
        <f aca="false">E3689*G3689</f>
        <v>0</v>
      </c>
      <c r="P3689" s="0" t="n">
        <f aca="false">E3689*H3689</f>
        <v>-0.0625</v>
      </c>
      <c r="Q3689" s="0" t="n">
        <f aca="false">F3689*G3689</f>
        <v>-0</v>
      </c>
      <c r="R3689" s="0" t="n">
        <f aca="false">F3689*H3689</f>
        <v>0.25</v>
      </c>
      <c r="S3689" s="0" t="n">
        <f aca="false">G3689*H3689</f>
        <v>-0</v>
      </c>
      <c r="T3689" s="0" t="n">
        <f aca="false">E3689*E3689</f>
        <v>0.0625</v>
      </c>
      <c r="U3689" s="0" t="n">
        <f aca="false">F3689*F3689</f>
        <v>1</v>
      </c>
      <c r="V3689" s="0" t="n">
        <f aca="false">G3689*G3689</f>
        <v>0</v>
      </c>
      <c r="W3689" s="0" t="n">
        <f aca="false">H3689*H3689</f>
        <v>0.0625</v>
      </c>
      <c r="X3689" s="0" t="n">
        <f aca="false">SUMPRODUCT(I3689:W3689,_XtX!$B$96:$P$96)</f>
        <v>43.1034996345029</v>
      </c>
      <c r="Y3689" s="0" t="n">
        <f aca="false">SUMPRODUCT(MMULT(I3689:W3689,_XtX!$B$78:$P$92),I3689:W3689)</f>
        <v>0.467417934484649</v>
      </c>
      <c r="Z3689" s="0" t="n">
        <f aca="false">04_回帰ANOVA!$K$19*04_回帰ANOVA!$K$14*SQRT(1+Y3689)</f>
        <v>1.57897518244497</v>
      </c>
      <c r="AA3689" s="0" t="n">
        <f aca="false">X3689-Z3689</f>
        <v>41.5245244520579</v>
      </c>
      <c r="AB3689" s="0" t="n">
        <f aca="false">X3689+Z3689</f>
        <v>44.6824748169478</v>
      </c>
      <c r="AC3689" s="54" t="b">
        <f aca="false">AND(E3689&gt;=01_因子設定!$L$5-0.000000001,E3689&lt;=01_因子設定!$M$5+0.000000001,F3689&gt;=01_因子設定!$L$6-0.000000001,F3689&lt;=01_因子設定!$M$6+0.000000001,G3689&gt;=01_因子設定!$L$7-0.000000001,G3689&lt;=01_因子設定!$M$7+0.000000001,H3689&gt;=01_因子設定!$L$8-0.000000001,H3689&lt;=01_因子設定!$M$8+0.000000001,IF(01_因子設定!$B$20="Box-Behnken",E3689^2+F3689^2+G3689^2+H3689^2&lt;=2+0.000000001,TRUE()))</f>
        <v>1</v>
      </c>
      <c r="AD3689" s="55" t="n">
        <f aca="false">IF(AC3689,IF(01_因子設定!$B$13="最大化",AA3689-01_因子設定!$B$14,IF(01_因子設定!$B$13="最小化",01_因子設定!$B$15-AB3689,MIN(AA3689-01_因子設定!$B$14,01_因子設定!$B$15-AB3689))),-1E+030)</f>
        <v>-4.9754755479421</v>
      </c>
      <c r="AE3689" s="55" t="n">
        <f aca="false">IF(AC3689,IF(01_因子設定!$B$13="最大化",X3689,IF(01_因子設定!$B$13="最小化",-X3689,-ABS(X3689-01_因子設定!$B$16))),-1E+030)</f>
        <v>43.1034996345029</v>
      </c>
      <c r="AF3689" s="55" t="n">
        <f aca="false">AD3689+ROW()*0.000000001</f>
        <v>-4.9754718589421</v>
      </c>
      <c r="AG3689" s="55" t="n">
        <f aca="false">AE3689+ROW()*0.000000001</f>
        <v>43.1035033235029</v>
      </c>
    </row>
    <row r="3690" customFormat="false" ht="15" hidden="false" customHeight="false" outlineLevel="0" collapsed="false">
      <c r="A3690" s="0" t="n">
        <v>5</v>
      </c>
      <c r="B3690" s="0" t="n">
        <v>0</v>
      </c>
      <c r="C3690" s="0" t="n">
        <v>4</v>
      </c>
      <c r="D3690" s="0" t="n">
        <v>4</v>
      </c>
      <c r="E3690" s="0" t="n">
        <f aca="false">-1+A3690*0.25</f>
        <v>0.25</v>
      </c>
      <c r="F3690" s="0" t="n">
        <f aca="false">-1+B3690*0.25</f>
        <v>-1</v>
      </c>
      <c r="G3690" s="0" t="n">
        <f aca="false">-1+C3690*0.25</f>
        <v>0</v>
      </c>
      <c r="H3690" s="0" t="n">
        <f aca="false">-1+D3690*0.25</f>
        <v>0</v>
      </c>
      <c r="I3690" s="0" t="n">
        <f aca="false">1</f>
        <v>1</v>
      </c>
      <c r="J3690" s="0" t="n">
        <f aca="false">E3690</f>
        <v>0.25</v>
      </c>
      <c r="K3690" s="0" t="n">
        <f aca="false">F3690</f>
        <v>-1</v>
      </c>
      <c r="L3690" s="0" t="n">
        <f aca="false">G3690</f>
        <v>0</v>
      </c>
      <c r="M3690" s="0" t="n">
        <f aca="false">H3690</f>
        <v>0</v>
      </c>
      <c r="N3690" s="0" t="n">
        <f aca="false">E3690*F3690</f>
        <v>-0.25</v>
      </c>
      <c r="O3690" s="0" t="n">
        <f aca="false">E3690*G3690</f>
        <v>0</v>
      </c>
      <c r="P3690" s="0" t="n">
        <f aca="false">E3690*H3690</f>
        <v>0</v>
      </c>
      <c r="Q3690" s="0" t="n">
        <f aca="false">F3690*G3690</f>
        <v>-0</v>
      </c>
      <c r="R3690" s="0" t="n">
        <f aca="false">F3690*H3690</f>
        <v>-0</v>
      </c>
      <c r="S3690" s="0" t="n">
        <f aca="false">G3690*H3690</f>
        <v>0</v>
      </c>
      <c r="T3690" s="0" t="n">
        <f aca="false">E3690*E3690</f>
        <v>0.0625</v>
      </c>
      <c r="U3690" s="0" t="n">
        <f aca="false">F3690*F3690</f>
        <v>1</v>
      </c>
      <c r="V3690" s="0" t="n">
        <f aca="false">G3690*G3690</f>
        <v>0</v>
      </c>
      <c r="W3690" s="0" t="n">
        <f aca="false">H3690*H3690</f>
        <v>0</v>
      </c>
      <c r="X3690" s="0" t="n">
        <f aca="false">SUMPRODUCT(I3690:W3690,_XtX!$B$96:$P$96)</f>
        <v>43.2897295321637</v>
      </c>
      <c r="Y3690" s="0" t="n">
        <f aca="false">SUMPRODUCT(MMULT(I3690:W3690,_XtX!$B$78:$P$92),I3690:W3690)</f>
        <v>0.47672240497076</v>
      </c>
      <c r="Z3690" s="0" t="n">
        <f aca="false">04_回帰ANOVA!$K$19*04_回帰ANOVA!$K$14*SQRT(1+Y3690)</f>
        <v>1.58397318352695</v>
      </c>
      <c r="AA3690" s="0" t="n">
        <f aca="false">X3690-Z3690</f>
        <v>41.7057563486367</v>
      </c>
      <c r="AB3690" s="0" t="n">
        <f aca="false">X3690+Z3690</f>
        <v>44.8737027156906</v>
      </c>
      <c r="AC3690" s="54" t="b">
        <f aca="false">AND(E3690&gt;=01_因子設定!$L$5-0.000000001,E3690&lt;=01_因子設定!$M$5+0.000000001,F3690&gt;=01_因子設定!$L$6-0.000000001,F3690&lt;=01_因子設定!$M$6+0.000000001,G3690&gt;=01_因子設定!$L$7-0.000000001,G3690&lt;=01_因子設定!$M$7+0.000000001,H3690&gt;=01_因子設定!$L$8-0.000000001,H3690&lt;=01_因子設定!$M$8+0.000000001,IF(01_因子設定!$B$20="Box-Behnken",E3690^2+F3690^2+G3690^2+H3690^2&lt;=2+0.000000001,TRUE()))</f>
        <v>1</v>
      </c>
      <c r="AD3690" s="55" t="n">
        <f aca="false">IF(AC3690,IF(01_因子設定!$B$13="最大化",AA3690-01_因子設定!$B$14,IF(01_因子設定!$B$13="最小化",01_因子設定!$B$15-AB3690,MIN(AA3690-01_因子設定!$B$14,01_因子設定!$B$15-AB3690))),-1E+030)</f>
        <v>-4.79424365136326</v>
      </c>
      <c r="AE3690" s="55" t="n">
        <f aca="false">IF(AC3690,IF(01_因子設定!$B$13="最大化",X3690,IF(01_因子設定!$B$13="最小化",-X3690,-ABS(X3690-01_因子設定!$B$16))),-1E+030)</f>
        <v>43.2897295321637</v>
      </c>
      <c r="AF3690" s="55" t="n">
        <f aca="false">AD3690+ROW()*0.000000001</f>
        <v>-4.79423996136326</v>
      </c>
      <c r="AG3690" s="55" t="n">
        <f aca="false">AE3690+ROW()*0.000000001</f>
        <v>43.2897332221637</v>
      </c>
    </row>
    <row r="3691" customFormat="false" ht="15" hidden="false" customHeight="false" outlineLevel="0" collapsed="false">
      <c r="A3691" s="0" t="n">
        <v>5</v>
      </c>
      <c r="B3691" s="0" t="n">
        <v>0</v>
      </c>
      <c r="C3691" s="0" t="n">
        <v>4</v>
      </c>
      <c r="D3691" s="0" t="n">
        <v>5</v>
      </c>
      <c r="E3691" s="0" t="n">
        <f aca="false">-1+A3691*0.25</f>
        <v>0.25</v>
      </c>
      <c r="F3691" s="0" t="n">
        <f aca="false">-1+B3691*0.25</f>
        <v>-1</v>
      </c>
      <c r="G3691" s="0" t="n">
        <f aca="false">-1+C3691*0.25</f>
        <v>0</v>
      </c>
      <c r="H3691" s="0" t="n">
        <f aca="false">-1+D3691*0.25</f>
        <v>0.25</v>
      </c>
      <c r="I3691" s="0" t="n">
        <f aca="false">1</f>
        <v>1</v>
      </c>
      <c r="J3691" s="0" t="n">
        <f aca="false">E3691</f>
        <v>0.25</v>
      </c>
      <c r="K3691" s="0" t="n">
        <f aca="false">F3691</f>
        <v>-1</v>
      </c>
      <c r="L3691" s="0" t="n">
        <f aca="false">G3691</f>
        <v>0</v>
      </c>
      <c r="M3691" s="0" t="n">
        <f aca="false">H3691</f>
        <v>0.25</v>
      </c>
      <c r="N3691" s="0" t="n">
        <f aca="false">E3691*F3691</f>
        <v>-0.25</v>
      </c>
      <c r="O3691" s="0" t="n">
        <f aca="false">E3691*G3691</f>
        <v>0</v>
      </c>
      <c r="P3691" s="0" t="n">
        <f aca="false">E3691*H3691</f>
        <v>0.0625</v>
      </c>
      <c r="Q3691" s="0" t="n">
        <f aca="false">F3691*G3691</f>
        <v>-0</v>
      </c>
      <c r="R3691" s="0" t="n">
        <f aca="false">F3691*H3691</f>
        <v>-0.25</v>
      </c>
      <c r="S3691" s="0" t="n">
        <f aca="false">G3691*H3691</f>
        <v>0</v>
      </c>
      <c r="T3691" s="0" t="n">
        <f aca="false">E3691*E3691</f>
        <v>0.0625</v>
      </c>
      <c r="U3691" s="0" t="n">
        <f aca="false">F3691*F3691</f>
        <v>1</v>
      </c>
      <c r="V3691" s="0" t="n">
        <f aca="false">G3691*G3691</f>
        <v>0</v>
      </c>
      <c r="W3691" s="0" t="n">
        <f aca="false">H3691*H3691</f>
        <v>0.0625</v>
      </c>
      <c r="X3691" s="0" t="n">
        <f aca="false">SUMPRODUCT(I3691:W3691,_XtX!$B$96:$P$96)</f>
        <v>43.4281524122806</v>
      </c>
      <c r="Y3691" s="0" t="n">
        <f aca="false">SUMPRODUCT(MMULT(I3691:W3691,_XtX!$B$78:$P$92),I3691:W3691)</f>
        <v>0.467417934484649</v>
      </c>
      <c r="Z3691" s="0" t="n">
        <f aca="false">04_回帰ANOVA!$K$19*04_回帰ANOVA!$K$14*SQRT(1+Y3691)</f>
        <v>1.57897518244497</v>
      </c>
      <c r="AA3691" s="0" t="n">
        <f aca="false">X3691-Z3691</f>
        <v>41.8491772298357</v>
      </c>
      <c r="AB3691" s="0" t="n">
        <f aca="false">X3691+Z3691</f>
        <v>45.0071275947256</v>
      </c>
      <c r="AC3691" s="54" t="b">
        <f aca="false">AND(E3691&gt;=01_因子設定!$L$5-0.000000001,E3691&lt;=01_因子設定!$M$5+0.000000001,F3691&gt;=01_因子設定!$L$6-0.000000001,F3691&lt;=01_因子設定!$M$6+0.000000001,G3691&gt;=01_因子設定!$L$7-0.000000001,G3691&lt;=01_因子設定!$M$7+0.000000001,H3691&gt;=01_因子設定!$L$8-0.000000001,H3691&lt;=01_因子設定!$M$8+0.000000001,IF(01_因子設定!$B$20="Box-Behnken",E3691^2+F3691^2+G3691^2+H3691^2&lt;=2+0.000000001,TRUE()))</f>
        <v>1</v>
      </c>
      <c r="AD3691" s="55" t="n">
        <f aca="false">IF(AC3691,IF(01_因子設定!$B$13="最大化",AA3691-01_因子設定!$B$14,IF(01_因子設定!$B$13="最小化",01_因子設定!$B$15-AB3691,MIN(AA3691-01_因子設定!$B$14,01_因子設定!$B$15-AB3691))),-1E+030)</f>
        <v>-4.65082277016433</v>
      </c>
      <c r="AE3691" s="55" t="n">
        <f aca="false">IF(AC3691,IF(01_因子設定!$B$13="最大化",X3691,IF(01_因子設定!$B$13="最小化",-X3691,-ABS(X3691-01_因子設定!$B$16))),-1E+030)</f>
        <v>43.4281524122806</v>
      </c>
      <c r="AF3691" s="55" t="n">
        <f aca="false">AD3691+ROW()*0.000000001</f>
        <v>-4.65081907916433</v>
      </c>
      <c r="AG3691" s="55" t="n">
        <f aca="false">AE3691+ROW()*0.000000001</f>
        <v>43.4281561032806</v>
      </c>
    </row>
    <row r="3692" customFormat="false" ht="15" hidden="false" customHeight="false" outlineLevel="0" collapsed="false">
      <c r="A3692" s="0" t="n">
        <v>5</v>
      </c>
      <c r="B3692" s="0" t="n">
        <v>0</v>
      </c>
      <c r="C3692" s="0" t="n">
        <v>4</v>
      </c>
      <c r="D3692" s="0" t="n">
        <v>6</v>
      </c>
      <c r="E3692" s="0" t="n">
        <f aca="false">-1+A3692*0.25</f>
        <v>0.25</v>
      </c>
      <c r="F3692" s="0" t="n">
        <f aca="false">-1+B3692*0.25</f>
        <v>-1</v>
      </c>
      <c r="G3692" s="0" t="n">
        <f aca="false">-1+C3692*0.25</f>
        <v>0</v>
      </c>
      <c r="H3692" s="0" t="n">
        <f aca="false">-1+D3692*0.25</f>
        <v>0.5</v>
      </c>
      <c r="I3692" s="0" t="n">
        <f aca="false">1</f>
        <v>1</v>
      </c>
      <c r="J3692" s="0" t="n">
        <f aca="false">E3692</f>
        <v>0.25</v>
      </c>
      <c r="K3692" s="0" t="n">
        <f aca="false">F3692</f>
        <v>-1</v>
      </c>
      <c r="L3692" s="0" t="n">
        <f aca="false">G3692</f>
        <v>0</v>
      </c>
      <c r="M3692" s="0" t="n">
        <f aca="false">H3692</f>
        <v>0.5</v>
      </c>
      <c r="N3692" s="0" t="n">
        <f aca="false">E3692*F3692</f>
        <v>-0.25</v>
      </c>
      <c r="O3692" s="0" t="n">
        <f aca="false">E3692*G3692</f>
        <v>0</v>
      </c>
      <c r="P3692" s="0" t="n">
        <f aca="false">E3692*H3692</f>
        <v>0.125</v>
      </c>
      <c r="Q3692" s="0" t="n">
        <f aca="false">F3692*G3692</f>
        <v>-0</v>
      </c>
      <c r="R3692" s="0" t="n">
        <f aca="false">F3692*H3692</f>
        <v>-0.5</v>
      </c>
      <c r="S3692" s="0" t="n">
        <f aca="false">G3692*H3692</f>
        <v>0</v>
      </c>
      <c r="T3692" s="0" t="n">
        <f aca="false">E3692*E3692</f>
        <v>0.0625</v>
      </c>
      <c r="U3692" s="0" t="n">
        <f aca="false">F3692*F3692</f>
        <v>1</v>
      </c>
      <c r="V3692" s="0" t="n">
        <f aca="false">G3692*G3692</f>
        <v>0</v>
      </c>
      <c r="W3692" s="0" t="n">
        <f aca="false">H3692*H3692</f>
        <v>0.25</v>
      </c>
      <c r="X3692" s="0" t="n">
        <f aca="false">SUMPRODUCT(I3692:W3692,_XtX!$B$96:$P$96)</f>
        <v>43.5187682748538</v>
      </c>
      <c r="Y3692" s="0" t="n">
        <f aca="false">SUMPRODUCT(MMULT(I3692:W3692,_XtX!$B$78:$P$92),I3692:W3692)</f>
        <v>0.457596628289474</v>
      </c>
      <c r="Z3692" s="0" t="n">
        <f aca="false">04_回帰ANOVA!$K$19*04_回帰ANOVA!$K$14*SQRT(1+Y3692)</f>
        <v>1.57368233664366</v>
      </c>
      <c r="AA3692" s="0" t="n">
        <f aca="false">X3692-Z3692</f>
        <v>41.9450859382101</v>
      </c>
      <c r="AB3692" s="0" t="n">
        <f aca="false">X3692+Z3692</f>
        <v>45.0924506114974</v>
      </c>
      <c r="AC3692" s="54" t="b">
        <f aca="false">AND(E3692&gt;=01_因子設定!$L$5-0.000000001,E3692&lt;=01_因子設定!$M$5+0.000000001,F3692&gt;=01_因子設定!$L$6-0.000000001,F3692&lt;=01_因子設定!$M$6+0.000000001,G3692&gt;=01_因子設定!$L$7-0.000000001,G3692&lt;=01_因子設定!$M$7+0.000000001,H3692&gt;=01_因子設定!$L$8-0.000000001,H3692&lt;=01_因子設定!$M$8+0.000000001,IF(01_因子設定!$B$20="Box-Behnken",E3692^2+F3692^2+G3692^2+H3692^2&lt;=2+0.000000001,TRUE()))</f>
        <v>1</v>
      </c>
      <c r="AD3692" s="55" t="n">
        <f aca="false">IF(AC3692,IF(01_因子設定!$B$13="最大化",AA3692-01_因子設定!$B$14,IF(01_因子設定!$B$13="最小化",01_因子設定!$B$15-AB3692,MIN(AA3692-01_因子設定!$B$14,01_因子設定!$B$15-AB3692))),-1E+030)</f>
        <v>-4.55491406178991</v>
      </c>
      <c r="AE3692" s="55" t="n">
        <f aca="false">IF(AC3692,IF(01_因子設定!$B$13="最大化",X3692,IF(01_因子設定!$B$13="最小化",-X3692,-ABS(X3692-01_因子設定!$B$16))),-1E+030)</f>
        <v>43.5187682748538</v>
      </c>
      <c r="AF3692" s="55" t="n">
        <f aca="false">AD3692+ROW()*0.000000001</f>
        <v>-4.55491036978991</v>
      </c>
      <c r="AG3692" s="55" t="n">
        <f aca="false">AE3692+ROW()*0.000000001</f>
        <v>43.5187719668538</v>
      </c>
    </row>
    <row r="3693" customFormat="false" ht="15" hidden="false" customHeight="false" outlineLevel="0" collapsed="false">
      <c r="A3693" s="0" t="n">
        <v>5</v>
      </c>
      <c r="B3693" s="0" t="n">
        <v>0</v>
      </c>
      <c r="C3693" s="0" t="n">
        <v>4</v>
      </c>
      <c r="D3693" s="0" t="n">
        <v>7</v>
      </c>
      <c r="E3693" s="0" t="n">
        <f aca="false">-1+A3693*0.25</f>
        <v>0.25</v>
      </c>
      <c r="F3693" s="0" t="n">
        <f aca="false">-1+B3693*0.25</f>
        <v>-1</v>
      </c>
      <c r="G3693" s="0" t="n">
        <f aca="false">-1+C3693*0.25</f>
        <v>0</v>
      </c>
      <c r="H3693" s="0" t="n">
        <f aca="false">-1+D3693*0.25</f>
        <v>0.75</v>
      </c>
      <c r="I3693" s="0" t="n">
        <f aca="false">1</f>
        <v>1</v>
      </c>
      <c r="J3693" s="0" t="n">
        <f aca="false">E3693</f>
        <v>0.25</v>
      </c>
      <c r="K3693" s="0" t="n">
        <f aca="false">F3693</f>
        <v>-1</v>
      </c>
      <c r="L3693" s="0" t="n">
        <f aca="false">G3693</f>
        <v>0</v>
      </c>
      <c r="M3693" s="0" t="n">
        <f aca="false">H3693</f>
        <v>0.75</v>
      </c>
      <c r="N3693" s="0" t="n">
        <f aca="false">E3693*F3693</f>
        <v>-0.25</v>
      </c>
      <c r="O3693" s="0" t="n">
        <f aca="false">E3693*G3693</f>
        <v>0</v>
      </c>
      <c r="P3693" s="0" t="n">
        <f aca="false">E3693*H3693</f>
        <v>0.1875</v>
      </c>
      <c r="Q3693" s="0" t="n">
        <f aca="false">F3693*G3693</f>
        <v>-0</v>
      </c>
      <c r="R3693" s="0" t="n">
        <f aca="false">F3693*H3693</f>
        <v>-0.75</v>
      </c>
      <c r="S3693" s="0" t="n">
        <f aca="false">G3693*H3693</f>
        <v>0</v>
      </c>
      <c r="T3693" s="0" t="n">
        <f aca="false">E3693*E3693</f>
        <v>0.0625</v>
      </c>
      <c r="U3693" s="0" t="n">
        <f aca="false">F3693*F3693</f>
        <v>1</v>
      </c>
      <c r="V3693" s="0" t="n">
        <f aca="false">G3693*G3693</f>
        <v>0</v>
      </c>
      <c r="W3693" s="0" t="n">
        <f aca="false">H3693*H3693</f>
        <v>0.5625</v>
      </c>
      <c r="X3693" s="0" t="n">
        <f aca="false">SUMPRODUCT(I3693:W3693,_XtX!$B$96:$P$96)</f>
        <v>43.561577119883</v>
      </c>
      <c r="Y3693" s="0" t="n">
        <f aca="false">SUMPRODUCT(MMULT(I3693:W3693,_XtX!$B$78:$P$92),I3693:W3693)</f>
        <v>0.501534802174708</v>
      </c>
      <c r="Z3693" s="0" t="n">
        <f aca="false">04_回帰ANOVA!$K$19*04_回帰ANOVA!$K$14*SQRT(1+Y3693)</f>
        <v>1.59722498091333</v>
      </c>
      <c r="AA3693" s="0" t="n">
        <f aca="false">X3693-Z3693</f>
        <v>41.9643521389697</v>
      </c>
      <c r="AB3693" s="0" t="n">
        <f aca="false">X3693+Z3693</f>
        <v>45.1588021007963</v>
      </c>
      <c r="AC3693" s="54" t="b">
        <f aca="false">AND(E3693&gt;=01_因子設定!$L$5-0.000000001,E3693&lt;=01_因子設定!$M$5+0.000000001,F3693&gt;=01_因子設定!$L$6-0.000000001,F3693&lt;=01_因子設定!$M$6+0.000000001,G3693&gt;=01_因子設定!$L$7-0.000000001,G3693&lt;=01_因子設定!$M$7+0.000000001,H3693&gt;=01_因子設定!$L$8-0.000000001,H3693&lt;=01_因子設定!$M$8+0.000000001,IF(01_因子設定!$B$20="Box-Behnken",E3693^2+F3693^2+G3693^2+H3693^2&lt;=2+0.000000001,TRUE()))</f>
        <v>1</v>
      </c>
      <c r="AD3693" s="55" t="n">
        <f aca="false">IF(AC3693,IF(01_因子設定!$B$13="最大化",AA3693-01_因子設定!$B$14,IF(01_因子設定!$B$13="最小化",01_因子設定!$B$15-AB3693,MIN(AA3693-01_因子設定!$B$14,01_因子設定!$B$15-AB3693))),-1E+030)</f>
        <v>-4.53564786103033</v>
      </c>
      <c r="AE3693" s="55" t="n">
        <f aca="false">IF(AC3693,IF(01_因子設定!$B$13="最大化",X3693,IF(01_因子設定!$B$13="最小化",-X3693,-ABS(X3693-01_因子設定!$B$16))),-1E+030)</f>
        <v>43.561577119883</v>
      </c>
      <c r="AF3693" s="55" t="n">
        <f aca="false">AD3693+ROW()*0.000000001</f>
        <v>-4.53564416803033</v>
      </c>
      <c r="AG3693" s="55" t="n">
        <f aca="false">AE3693+ROW()*0.000000001</f>
        <v>43.561580812883</v>
      </c>
    </row>
    <row r="3694" customFormat="false" ht="15" hidden="false" customHeight="false" outlineLevel="0" collapsed="false">
      <c r="A3694" s="0" t="n">
        <v>5</v>
      </c>
      <c r="B3694" s="0" t="n">
        <v>0</v>
      </c>
      <c r="C3694" s="0" t="n">
        <v>4</v>
      </c>
      <c r="D3694" s="0" t="n">
        <v>8</v>
      </c>
      <c r="E3694" s="0" t="n">
        <f aca="false">-1+A3694*0.25</f>
        <v>0.25</v>
      </c>
      <c r="F3694" s="0" t="n">
        <f aca="false">-1+B3694*0.25</f>
        <v>-1</v>
      </c>
      <c r="G3694" s="0" t="n">
        <f aca="false">-1+C3694*0.25</f>
        <v>0</v>
      </c>
      <c r="H3694" s="0" t="n">
        <f aca="false">-1+D3694*0.25</f>
        <v>1</v>
      </c>
      <c r="I3694" s="0" t="n">
        <f aca="false">1</f>
        <v>1</v>
      </c>
      <c r="J3694" s="0" t="n">
        <f aca="false">E3694</f>
        <v>0.25</v>
      </c>
      <c r="K3694" s="0" t="n">
        <f aca="false">F3694</f>
        <v>-1</v>
      </c>
      <c r="L3694" s="0" t="n">
        <f aca="false">G3694</f>
        <v>0</v>
      </c>
      <c r="M3694" s="0" t="n">
        <f aca="false">H3694</f>
        <v>1</v>
      </c>
      <c r="N3694" s="0" t="n">
        <f aca="false">E3694*F3694</f>
        <v>-0.25</v>
      </c>
      <c r="O3694" s="0" t="n">
        <f aca="false">E3694*G3694</f>
        <v>0</v>
      </c>
      <c r="P3694" s="0" t="n">
        <f aca="false">E3694*H3694</f>
        <v>0.25</v>
      </c>
      <c r="Q3694" s="0" t="n">
        <f aca="false">F3694*G3694</f>
        <v>-0</v>
      </c>
      <c r="R3694" s="0" t="n">
        <f aca="false">F3694*H3694</f>
        <v>-1</v>
      </c>
      <c r="S3694" s="0" t="n">
        <f aca="false">G3694*H3694</f>
        <v>0</v>
      </c>
      <c r="T3694" s="0" t="n">
        <f aca="false">E3694*E3694</f>
        <v>0.0625</v>
      </c>
      <c r="U3694" s="0" t="n">
        <f aca="false">F3694*F3694</f>
        <v>1</v>
      </c>
      <c r="V3694" s="0" t="n">
        <f aca="false">G3694*G3694</f>
        <v>0</v>
      </c>
      <c r="W3694" s="0" t="n">
        <f aca="false">H3694*H3694</f>
        <v>1</v>
      </c>
      <c r="X3694" s="0" t="n">
        <f aca="false">SUMPRODUCT(I3694:W3694,_XtX!$B$96:$P$96)</f>
        <v>43.5565789473684</v>
      </c>
      <c r="Y3694" s="0" t="n">
        <f aca="false">SUMPRODUCT(MMULT(I3694:W3694,_XtX!$B$78:$P$92),I3694:W3694)</f>
        <v>0.689692982456141</v>
      </c>
      <c r="Z3694" s="0" t="n">
        <f aca="false">04_回帰ANOVA!$K$19*04_回帰ANOVA!$K$14*SQRT(1+Y3694)</f>
        <v>1.69434674594998</v>
      </c>
      <c r="AA3694" s="0" t="n">
        <f aca="false">X3694-Z3694</f>
        <v>41.8622322014184</v>
      </c>
      <c r="AB3694" s="0" t="n">
        <f aca="false">X3694+Z3694</f>
        <v>45.2509256933184</v>
      </c>
      <c r="AC3694" s="54" t="b">
        <f aca="false">AND(E3694&gt;=01_因子設定!$L$5-0.000000001,E3694&lt;=01_因子設定!$M$5+0.000000001,F3694&gt;=01_因子設定!$L$6-0.000000001,F3694&lt;=01_因子設定!$M$6+0.000000001,G3694&gt;=01_因子設定!$L$7-0.000000001,G3694&lt;=01_因子設定!$M$7+0.000000001,H3694&gt;=01_因子設定!$L$8-0.000000001,H3694&lt;=01_因子設定!$M$8+0.000000001,IF(01_因子設定!$B$20="Box-Behnken",E3694^2+F3694^2+G3694^2+H3694^2&lt;=2+0.000000001,TRUE()))</f>
        <v>1</v>
      </c>
      <c r="AD3694" s="55" t="n">
        <f aca="false">IF(AC3694,IF(01_因子設定!$B$13="最大化",AA3694-01_因子設定!$B$14,IF(01_因子設定!$B$13="最小化",01_因子設定!$B$15-AB3694,MIN(AA3694-01_因子設定!$B$14,01_因子設定!$B$15-AB3694))),-1E+030)</f>
        <v>-4.63776779858159</v>
      </c>
      <c r="AE3694" s="55" t="n">
        <f aca="false">IF(AC3694,IF(01_因子設定!$B$13="最大化",X3694,IF(01_因子設定!$B$13="最小化",-X3694,-ABS(X3694-01_因子設定!$B$16))),-1E+030)</f>
        <v>43.5565789473684</v>
      </c>
      <c r="AF3694" s="55" t="n">
        <f aca="false">AD3694+ROW()*0.000000001</f>
        <v>-4.63776410458159</v>
      </c>
      <c r="AG3694" s="55" t="n">
        <f aca="false">AE3694+ROW()*0.000000001</f>
        <v>43.5565826413684</v>
      </c>
    </row>
    <row r="3695" customFormat="false" ht="15" hidden="false" customHeight="false" outlineLevel="0" collapsed="false">
      <c r="A3695" s="0" t="n">
        <v>5</v>
      </c>
      <c r="B3695" s="0" t="n">
        <v>0</v>
      </c>
      <c r="C3695" s="0" t="n">
        <v>5</v>
      </c>
      <c r="D3695" s="0" t="n">
        <v>0</v>
      </c>
      <c r="E3695" s="0" t="n">
        <f aca="false">-1+A3695*0.25</f>
        <v>0.25</v>
      </c>
      <c r="F3695" s="0" t="n">
        <f aca="false">-1+B3695*0.25</f>
        <v>-1</v>
      </c>
      <c r="G3695" s="0" t="n">
        <f aca="false">-1+C3695*0.25</f>
        <v>0.25</v>
      </c>
      <c r="H3695" s="0" t="n">
        <f aca="false">-1+D3695*0.25</f>
        <v>-1</v>
      </c>
      <c r="I3695" s="0" t="n">
        <f aca="false">1</f>
        <v>1</v>
      </c>
      <c r="J3695" s="0" t="n">
        <f aca="false">E3695</f>
        <v>0.25</v>
      </c>
      <c r="K3695" s="0" t="n">
        <f aca="false">F3695</f>
        <v>-1</v>
      </c>
      <c r="L3695" s="0" t="n">
        <f aca="false">G3695</f>
        <v>0.25</v>
      </c>
      <c r="M3695" s="0" t="n">
        <f aca="false">H3695</f>
        <v>-1</v>
      </c>
      <c r="N3695" s="0" t="n">
        <f aca="false">E3695*F3695</f>
        <v>-0.25</v>
      </c>
      <c r="O3695" s="0" t="n">
        <f aca="false">E3695*G3695</f>
        <v>0.0625</v>
      </c>
      <c r="P3695" s="0" t="n">
        <f aca="false">E3695*H3695</f>
        <v>-0.25</v>
      </c>
      <c r="Q3695" s="0" t="n">
        <f aca="false">F3695*G3695</f>
        <v>-0.25</v>
      </c>
      <c r="R3695" s="0" t="n">
        <f aca="false">F3695*H3695</f>
        <v>1</v>
      </c>
      <c r="S3695" s="0" t="n">
        <f aca="false">G3695*H3695</f>
        <v>-0.25</v>
      </c>
      <c r="T3695" s="0" t="n">
        <f aca="false">E3695*E3695</f>
        <v>0.0625</v>
      </c>
      <c r="U3695" s="0" t="n">
        <f aca="false">F3695*F3695</f>
        <v>1</v>
      </c>
      <c r="V3695" s="0" t="n">
        <f aca="false">G3695*G3695</f>
        <v>0.0625</v>
      </c>
      <c r="W3695" s="0" t="n">
        <f aca="false">H3695*H3695</f>
        <v>1</v>
      </c>
      <c r="X3695" s="0" t="n">
        <f aca="false">SUMPRODUCT(I3695:W3695,_XtX!$B$96:$P$96)</f>
        <v>42.2705226608187</v>
      </c>
      <c r="Y3695" s="0" t="n">
        <f aca="false">SUMPRODUCT(MMULT(I3695:W3695,_XtX!$B$78:$P$92),I3695:W3695)</f>
        <v>0.670040376005117</v>
      </c>
      <c r="Z3695" s="0" t="n">
        <f aca="false">04_回帰ANOVA!$K$19*04_回帰ANOVA!$K$14*SQRT(1+Y3695)</f>
        <v>1.68446456039992</v>
      </c>
      <c r="AA3695" s="0" t="n">
        <f aca="false">X3695-Z3695</f>
        <v>40.5860581004188</v>
      </c>
      <c r="AB3695" s="0" t="n">
        <f aca="false">X3695+Z3695</f>
        <v>43.9549872212186</v>
      </c>
      <c r="AC3695" s="54" t="b">
        <f aca="false">AND(E3695&gt;=01_因子設定!$L$5-0.000000001,E3695&lt;=01_因子設定!$M$5+0.000000001,F3695&gt;=01_因子設定!$L$6-0.000000001,F3695&lt;=01_因子設定!$M$6+0.000000001,G3695&gt;=01_因子設定!$L$7-0.000000001,G3695&lt;=01_因子設定!$M$7+0.000000001,H3695&gt;=01_因子設定!$L$8-0.000000001,H3695&lt;=01_因子設定!$M$8+0.000000001,IF(01_因子設定!$B$20="Box-Behnken",E3695^2+F3695^2+G3695^2+H3695^2&lt;=2+0.000000001,TRUE()))</f>
        <v>1</v>
      </c>
      <c r="AD3695" s="55" t="n">
        <f aca="false">IF(AC3695,IF(01_因子設定!$B$13="最大化",AA3695-01_因子設定!$B$14,IF(01_因子設定!$B$13="最小化",01_因子設定!$B$15-AB3695,MIN(AA3695-01_因子設定!$B$14,01_因子設定!$B$15-AB3695))),-1E+030)</f>
        <v>-5.91394189958123</v>
      </c>
      <c r="AE3695" s="55" t="n">
        <f aca="false">IF(AC3695,IF(01_因子設定!$B$13="最大化",X3695,IF(01_因子設定!$B$13="最小化",-X3695,-ABS(X3695-01_因子設定!$B$16))),-1E+030)</f>
        <v>42.2705226608187</v>
      </c>
      <c r="AF3695" s="55" t="n">
        <f aca="false">AD3695+ROW()*0.000000001</f>
        <v>-5.91393820458123</v>
      </c>
      <c r="AG3695" s="55" t="n">
        <f aca="false">AE3695+ROW()*0.000000001</f>
        <v>42.2705263558187</v>
      </c>
    </row>
    <row r="3696" customFormat="false" ht="15" hidden="false" customHeight="false" outlineLevel="0" collapsed="false">
      <c r="A3696" s="0" t="n">
        <v>5</v>
      </c>
      <c r="B3696" s="0" t="n">
        <v>0</v>
      </c>
      <c r="C3696" s="0" t="n">
        <v>5</v>
      </c>
      <c r="D3696" s="0" t="n">
        <v>1</v>
      </c>
      <c r="E3696" s="0" t="n">
        <f aca="false">-1+A3696*0.25</f>
        <v>0.25</v>
      </c>
      <c r="F3696" s="0" t="n">
        <f aca="false">-1+B3696*0.25</f>
        <v>-1</v>
      </c>
      <c r="G3696" s="0" t="n">
        <f aca="false">-1+C3696*0.25</f>
        <v>0.25</v>
      </c>
      <c r="H3696" s="0" t="n">
        <f aca="false">-1+D3696*0.25</f>
        <v>-0.75</v>
      </c>
      <c r="I3696" s="0" t="n">
        <f aca="false">1</f>
        <v>1</v>
      </c>
      <c r="J3696" s="0" t="n">
        <f aca="false">E3696</f>
        <v>0.25</v>
      </c>
      <c r="K3696" s="0" t="n">
        <f aca="false">F3696</f>
        <v>-1</v>
      </c>
      <c r="L3696" s="0" t="n">
        <f aca="false">G3696</f>
        <v>0.25</v>
      </c>
      <c r="M3696" s="0" t="n">
        <f aca="false">H3696</f>
        <v>-0.75</v>
      </c>
      <c r="N3696" s="0" t="n">
        <f aca="false">E3696*F3696</f>
        <v>-0.25</v>
      </c>
      <c r="O3696" s="0" t="n">
        <f aca="false">E3696*G3696</f>
        <v>0.0625</v>
      </c>
      <c r="P3696" s="0" t="n">
        <f aca="false">E3696*H3696</f>
        <v>-0.1875</v>
      </c>
      <c r="Q3696" s="0" t="n">
        <f aca="false">F3696*G3696</f>
        <v>-0.25</v>
      </c>
      <c r="R3696" s="0" t="n">
        <f aca="false">F3696*H3696</f>
        <v>0.75</v>
      </c>
      <c r="S3696" s="0" t="n">
        <f aca="false">G3696*H3696</f>
        <v>-0.1875</v>
      </c>
      <c r="T3696" s="0" t="n">
        <f aca="false">E3696*E3696</f>
        <v>0.0625</v>
      </c>
      <c r="U3696" s="0" t="n">
        <f aca="false">F3696*F3696</f>
        <v>1</v>
      </c>
      <c r="V3696" s="0" t="n">
        <f aca="false">G3696*G3696</f>
        <v>0.0625</v>
      </c>
      <c r="W3696" s="0" t="n">
        <f aca="false">H3696*H3696</f>
        <v>0.5625</v>
      </c>
      <c r="X3696" s="0" t="n">
        <f aca="false">SUMPRODUCT(I3696:W3696,_XtX!$B$96:$P$96)</f>
        <v>42.6181423611111</v>
      </c>
      <c r="Y3696" s="0" t="n">
        <f aca="false">SUMPRODUCT(MMULT(I3696:W3696,_XtX!$B$78:$P$92),I3696:W3696)</f>
        <v>0.486409505208334</v>
      </c>
      <c r="Z3696" s="0" t="n">
        <f aca="false">04_回帰ANOVA!$K$19*04_回帰ANOVA!$K$14*SQRT(1+Y3696)</f>
        <v>1.58916001665498</v>
      </c>
      <c r="AA3696" s="0" t="n">
        <f aca="false">X3696-Z3696</f>
        <v>41.0289823444561</v>
      </c>
      <c r="AB3696" s="0" t="n">
        <f aca="false">X3696+Z3696</f>
        <v>44.2073023777661</v>
      </c>
      <c r="AC3696" s="54" t="b">
        <f aca="false">AND(E3696&gt;=01_因子設定!$L$5-0.000000001,E3696&lt;=01_因子設定!$M$5+0.000000001,F3696&gt;=01_因子設定!$L$6-0.000000001,F3696&lt;=01_因子設定!$M$6+0.000000001,G3696&gt;=01_因子設定!$L$7-0.000000001,G3696&lt;=01_因子設定!$M$7+0.000000001,H3696&gt;=01_因子設定!$L$8-0.000000001,H3696&lt;=01_因子設定!$M$8+0.000000001,IF(01_因子設定!$B$20="Box-Behnken",E3696^2+F3696^2+G3696^2+H3696^2&lt;=2+0.000000001,TRUE()))</f>
        <v>1</v>
      </c>
      <c r="AD3696" s="55" t="n">
        <f aca="false">IF(AC3696,IF(01_因子設定!$B$13="最大化",AA3696-01_因子設定!$B$14,IF(01_因子設定!$B$13="最小化",01_因子設定!$B$15-AB3696,MIN(AA3696-01_因子設定!$B$14,01_因子設定!$B$15-AB3696))),-1E+030)</f>
        <v>-5.47101765554391</v>
      </c>
      <c r="AE3696" s="55" t="n">
        <f aca="false">IF(AC3696,IF(01_因子設定!$B$13="最大化",X3696,IF(01_因子設定!$B$13="最小化",-X3696,-ABS(X3696-01_因子設定!$B$16))),-1E+030)</f>
        <v>42.6181423611111</v>
      </c>
      <c r="AF3696" s="55" t="n">
        <f aca="false">AD3696+ROW()*0.000000001</f>
        <v>-5.47101395954391</v>
      </c>
      <c r="AG3696" s="55" t="n">
        <f aca="false">AE3696+ROW()*0.000000001</f>
        <v>42.6181460571111</v>
      </c>
    </row>
    <row r="3697" customFormat="false" ht="15" hidden="false" customHeight="false" outlineLevel="0" collapsed="false">
      <c r="A3697" s="0" t="n">
        <v>5</v>
      </c>
      <c r="B3697" s="0" t="n">
        <v>0</v>
      </c>
      <c r="C3697" s="0" t="n">
        <v>5</v>
      </c>
      <c r="D3697" s="0" t="n">
        <v>2</v>
      </c>
      <c r="E3697" s="0" t="n">
        <f aca="false">-1+A3697*0.25</f>
        <v>0.25</v>
      </c>
      <c r="F3697" s="0" t="n">
        <f aca="false">-1+B3697*0.25</f>
        <v>-1</v>
      </c>
      <c r="G3697" s="0" t="n">
        <f aca="false">-1+C3697*0.25</f>
        <v>0.25</v>
      </c>
      <c r="H3697" s="0" t="n">
        <f aca="false">-1+D3697*0.25</f>
        <v>-0.5</v>
      </c>
      <c r="I3697" s="0" t="n">
        <f aca="false">1</f>
        <v>1</v>
      </c>
      <c r="J3697" s="0" t="n">
        <f aca="false">E3697</f>
        <v>0.25</v>
      </c>
      <c r="K3697" s="0" t="n">
        <f aca="false">F3697</f>
        <v>-1</v>
      </c>
      <c r="L3697" s="0" t="n">
        <f aca="false">G3697</f>
        <v>0.25</v>
      </c>
      <c r="M3697" s="0" t="n">
        <f aca="false">H3697</f>
        <v>-0.5</v>
      </c>
      <c r="N3697" s="0" t="n">
        <f aca="false">E3697*F3697</f>
        <v>-0.25</v>
      </c>
      <c r="O3697" s="0" t="n">
        <f aca="false">E3697*G3697</f>
        <v>0.0625</v>
      </c>
      <c r="P3697" s="0" t="n">
        <f aca="false">E3697*H3697</f>
        <v>-0.125</v>
      </c>
      <c r="Q3697" s="0" t="n">
        <f aca="false">F3697*G3697</f>
        <v>-0.25</v>
      </c>
      <c r="R3697" s="0" t="n">
        <f aca="false">F3697*H3697</f>
        <v>0.5</v>
      </c>
      <c r="S3697" s="0" t="n">
        <f aca="false">G3697*H3697</f>
        <v>-0.125</v>
      </c>
      <c r="T3697" s="0" t="n">
        <f aca="false">E3697*E3697</f>
        <v>0.0625</v>
      </c>
      <c r="U3697" s="0" t="n">
        <f aca="false">F3697*F3697</f>
        <v>1</v>
      </c>
      <c r="V3697" s="0" t="n">
        <f aca="false">G3697*G3697</f>
        <v>0.0625</v>
      </c>
      <c r="W3697" s="0" t="n">
        <f aca="false">H3697*H3697</f>
        <v>0.25</v>
      </c>
      <c r="X3697" s="0" t="n">
        <f aca="false">SUMPRODUCT(I3697:W3697,_XtX!$B$96:$P$96)</f>
        <v>42.9179550438596</v>
      </c>
      <c r="Y3697" s="0" t="n">
        <f aca="false">SUMPRODUCT(MMULT(I3697:W3697,_XtX!$B$78:$P$92),I3697:W3697)</f>
        <v>0.445705123812135</v>
      </c>
      <c r="Z3697" s="0" t="n">
        <f aca="false">04_回帰ANOVA!$K$19*04_回帰ANOVA!$K$14*SQRT(1+Y3697)</f>
        <v>1.56724990734749</v>
      </c>
      <c r="AA3697" s="0" t="n">
        <f aca="false">X3697-Z3697</f>
        <v>41.3507051365121</v>
      </c>
      <c r="AB3697" s="0" t="n">
        <f aca="false">X3697+Z3697</f>
        <v>44.4852049512071</v>
      </c>
      <c r="AC3697" s="54" t="b">
        <f aca="false">AND(E3697&gt;=01_因子設定!$L$5-0.000000001,E3697&lt;=01_因子設定!$M$5+0.000000001,F3697&gt;=01_因子設定!$L$6-0.000000001,F3697&lt;=01_因子設定!$M$6+0.000000001,G3697&gt;=01_因子設定!$L$7-0.000000001,G3697&lt;=01_因子設定!$M$7+0.000000001,H3697&gt;=01_因子設定!$L$8-0.000000001,H3697&lt;=01_因子設定!$M$8+0.000000001,IF(01_因子設定!$B$20="Box-Behnken",E3697^2+F3697^2+G3697^2+H3697^2&lt;=2+0.000000001,TRUE()))</f>
        <v>1</v>
      </c>
      <c r="AD3697" s="55" t="n">
        <f aca="false">IF(AC3697,IF(01_因子設定!$B$13="最大化",AA3697-01_因子設定!$B$14,IF(01_因子設定!$B$13="最小化",01_因子設定!$B$15-AB3697,MIN(AA3697-01_因子設定!$B$14,01_因子設定!$B$15-AB3697))),-1E+030)</f>
        <v>-5.14929486348789</v>
      </c>
      <c r="AE3697" s="55" t="n">
        <f aca="false">IF(AC3697,IF(01_因子設定!$B$13="最大化",X3697,IF(01_因子設定!$B$13="最小化",-X3697,-ABS(X3697-01_因子設定!$B$16))),-1E+030)</f>
        <v>42.9179550438596</v>
      </c>
      <c r="AF3697" s="55" t="n">
        <f aca="false">AD3697+ROW()*0.000000001</f>
        <v>-5.14929116648789</v>
      </c>
      <c r="AG3697" s="55" t="n">
        <f aca="false">AE3697+ROW()*0.000000001</f>
        <v>42.9179587408596</v>
      </c>
    </row>
    <row r="3698" customFormat="false" ht="15" hidden="false" customHeight="false" outlineLevel="0" collapsed="false">
      <c r="A3698" s="0" t="n">
        <v>5</v>
      </c>
      <c r="B3698" s="0" t="n">
        <v>0</v>
      </c>
      <c r="C3698" s="0" t="n">
        <v>5</v>
      </c>
      <c r="D3698" s="0" t="n">
        <v>3</v>
      </c>
      <c r="E3698" s="0" t="n">
        <f aca="false">-1+A3698*0.25</f>
        <v>0.25</v>
      </c>
      <c r="F3698" s="0" t="n">
        <f aca="false">-1+B3698*0.25</f>
        <v>-1</v>
      </c>
      <c r="G3698" s="0" t="n">
        <f aca="false">-1+C3698*0.25</f>
        <v>0.25</v>
      </c>
      <c r="H3698" s="0" t="n">
        <f aca="false">-1+D3698*0.25</f>
        <v>-0.25</v>
      </c>
      <c r="I3698" s="0" t="n">
        <f aca="false">1</f>
        <v>1</v>
      </c>
      <c r="J3698" s="0" t="n">
        <f aca="false">E3698</f>
        <v>0.25</v>
      </c>
      <c r="K3698" s="0" t="n">
        <f aca="false">F3698</f>
        <v>-1</v>
      </c>
      <c r="L3698" s="0" t="n">
        <f aca="false">G3698</f>
        <v>0.25</v>
      </c>
      <c r="M3698" s="0" t="n">
        <f aca="false">H3698</f>
        <v>-0.25</v>
      </c>
      <c r="N3698" s="0" t="n">
        <f aca="false">E3698*F3698</f>
        <v>-0.25</v>
      </c>
      <c r="O3698" s="0" t="n">
        <f aca="false">E3698*G3698</f>
        <v>0.0625</v>
      </c>
      <c r="P3698" s="0" t="n">
        <f aca="false">E3698*H3698</f>
        <v>-0.0625</v>
      </c>
      <c r="Q3698" s="0" t="n">
        <f aca="false">F3698*G3698</f>
        <v>-0.25</v>
      </c>
      <c r="R3698" s="0" t="n">
        <f aca="false">F3698*H3698</f>
        <v>0.25</v>
      </c>
      <c r="S3698" s="0" t="n">
        <f aca="false">G3698*H3698</f>
        <v>-0.0625</v>
      </c>
      <c r="T3698" s="0" t="n">
        <f aca="false">E3698*E3698</f>
        <v>0.0625</v>
      </c>
      <c r="U3698" s="0" t="n">
        <f aca="false">F3698*F3698</f>
        <v>1</v>
      </c>
      <c r="V3698" s="0" t="n">
        <f aca="false">G3698*G3698</f>
        <v>0.0625</v>
      </c>
      <c r="W3698" s="0" t="n">
        <f aca="false">H3698*H3698</f>
        <v>0.0625</v>
      </c>
      <c r="X3698" s="0" t="n">
        <f aca="false">SUMPRODUCT(I3698:W3698,_XtX!$B$96:$P$96)</f>
        <v>43.1699607090643</v>
      </c>
      <c r="Y3698" s="0" t="n">
        <f aca="false">SUMPRODUCT(MMULT(I3698:W3698,_XtX!$B$78:$P$92),I3698:W3698)</f>
        <v>0.457466705500731</v>
      </c>
      <c r="Z3698" s="0" t="n">
        <f aca="false">04_回帰ANOVA!$K$19*04_回帰ANOVA!$K$14*SQRT(1+Y3698)</f>
        <v>1.57361220003999</v>
      </c>
      <c r="AA3698" s="0" t="n">
        <f aca="false">X3698-Z3698</f>
        <v>41.5963485090243</v>
      </c>
      <c r="AB3698" s="0" t="n">
        <f aca="false">X3698+Z3698</f>
        <v>44.7435729091043</v>
      </c>
      <c r="AC3698" s="54" t="b">
        <f aca="false">AND(E3698&gt;=01_因子設定!$L$5-0.000000001,E3698&lt;=01_因子設定!$M$5+0.000000001,F3698&gt;=01_因子設定!$L$6-0.000000001,F3698&lt;=01_因子設定!$M$6+0.000000001,G3698&gt;=01_因子設定!$L$7-0.000000001,G3698&lt;=01_因子設定!$M$7+0.000000001,H3698&gt;=01_因子設定!$L$8-0.000000001,H3698&lt;=01_因子設定!$M$8+0.000000001,IF(01_因子設定!$B$20="Box-Behnken",E3698^2+F3698^2+G3698^2+H3698^2&lt;=2+0.000000001,TRUE()))</f>
        <v>1</v>
      </c>
      <c r="AD3698" s="55" t="n">
        <f aca="false">IF(AC3698,IF(01_因子設定!$B$13="最大化",AA3698-01_因子設定!$B$14,IF(01_因子設定!$B$13="最小化",01_因子設定!$B$15-AB3698,MIN(AA3698-01_因子設定!$B$14,01_因子設定!$B$15-AB3698))),-1E+030)</f>
        <v>-4.90365149097573</v>
      </c>
      <c r="AE3698" s="55" t="n">
        <f aca="false">IF(AC3698,IF(01_因子設定!$B$13="最大化",X3698,IF(01_因子設定!$B$13="最小化",-X3698,-ABS(X3698-01_因子設定!$B$16))),-1E+030)</f>
        <v>43.1699607090643</v>
      </c>
      <c r="AF3698" s="55" t="n">
        <f aca="false">AD3698+ROW()*0.000000001</f>
        <v>-4.90364779297573</v>
      </c>
      <c r="AG3698" s="55" t="n">
        <f aca="false">AE3698+ROW()*0.000000001</f>
        <v>43.1699644070643</v>
      </c>
    </row>
    <row r="3699" customFormat="false" ht="15" hidden="false" customHeight="false" outlineLevel="0" collapsed="false">
      <c r="A3699" s="0" t="n">
        <v>5</v>
      </c>
      <c r="B3699" s="0" t="n">
        <v>0</v>
      </c>
      <c r="C3699" s="0" t="n">
        <v>5</v>
      </c>
      <c r="D3699" s="0" t="n">
        <v>4</v>
      </c>
      <c r="E3699" s="0" t="n">
        <f aca="false">-1+A3699*0.25</f>
        <v>0.25</v>
      </c>
      <c r="F3699" s="0" t="n">
        <f aca="false">-1+B3699*0.25</f>
        <v>-1</v>
      </c>
      <c r="G3699" s="0" t="n">
        <f aca="false">-1+C3699*0.25</f>
        <v>0.25</v>
      </c>
      <c r="H3699" s="0" t="n">
        <f aca="false">-1+D3699*0.25</f>
        <v>0</v>
      </c>
      <c r="I3699" s="0" t="n">
        <f aca="false">1</f>
        <v>1</v>
      </c>
      <c r="J3699" s="0" t="n">
        <f aca="false">E3699</f>
        <v>0.25</v>
      </c>
      <c r="K3699" s="0" t="n">
        <f aca="false">F3699</f>
        <v>-1</v>
      </c>
      <c r="L3699" s="0" t="n">
        <f aca="false">G3699</f>
        <v>0.25</v>
      </c>
      <c r="M3699" s="0" t="n">
        <f aca="false">H3699</f>
        <v>0</v>
      </c>
      <c r="N3699" s="0" t="n">
        <f aca="false">E3699*F3699</f>
        <v>-0.25</v>
      </c>
      <c r="O3699" s="0" t="n">
        <f aca="false">E3699*G3699</f>
        <v>0.0625</v>
      </c>
      <c r="P3699" s="0" t="n">
        <f aca="false">E3699*H3699</f>
        <v>0</v>
      </c>
      <c r="Q3699" s="0" t="n">
        <f aca="false">F3699*G3699</f>
        <v>-0.25</v>
      </c>
      <c r="R3699" s="0" t="n">
        <f aca="false">F3699*H3699</f>
        <v>-0</v>
      </c>
      <c r="S3699" s="0" t="n">
        <f aca="false">G3699*H3699</f>
        <v>0</v>
      </c>
      <c r="T3699" s="0" t="n">
        <f aca="false">E3699*E3699</f>
        <v>0.0625</v>
      </c>
      <c r="U3699" s="0" t="n">
        <f aca="false">F3699*F3699</f>
        <v>1</v>
      </c>
      <c r="V3699" s="0" t="n">
        <f aca="false">G3699*G3699</f>
        <v>0.0625</v>
      </c>
      <c r="W3699" s="0" t="n">
        <f aca="false">H3699*H3699</f>
        <v>0</v>
      </c>
      <c r="X3699" s="0" t="n">
        <f aca="false">SUMPRODUCT(I3699:W3699,_XtX!$B$96:$P$96)</f>
        <v>43.3741593567251</v>
      </c>
      <c r="Y3699" s="0" t="n">
        <f aca="false">SUMPRODUCT(MMULT(I3699:W3699,_XtX!$B$78:$P$92),I3699:W3699)</f>
        <v>0.467417934484649</v>
      </c>
      <c r="Z3699" s="0" t="n">
        <f aca="false">04_回帰ANOVA!$K$19*04_回帰ANOVA!$K$14*SQRT(1+Y3699)</f>
        <v>1.57897518244497</v>
      </c>
      <c r="AA3699" s="0" t="n">
        <f aca="false">X3699-Z3699</f>
        <v>41.7951841742801</v>
      </c>
      <c r="AB3699" s="0" t="n">
        <f aca="false">X3699+Z3699</f>
        <v>44.9531345391701</v>
      </c>
      <c r="AC3699" s="54" t="b">
        <f aca="false">AND(E3699&gt;=01_因子設定!$L$5-0.000000001,E3699&lt;=01_因子設定!$M$5+0.000000001,F3699&gt;=01_因子設定!$L$6-0.000000001,F3699&lt;=01_因子設定!$M$6+0.000000001,G3699&gt;=01_因子設定!$L$7-0.000000001,G3699&lt;=01_因子設定!$M$7+0.000000001,H3699&gt;=01_因子設定!$L$8-0.000000001,H3699&lt;=01_因子設定!$M$8+0.000000001,IF(01_因子設定!$B$20="Box-Behnken",E3699^2+F3699^2+G3699^2+H3699^2&lt;=2+0.000000001,TRUE()))</f>
        <v>1</v>
      </c>
      <c r="AD3699" s="55" t="n">
        <f aca="false">IF(AC3699,IF(01_因子設定!$B$13="最大化",AA3699-01_因子設定!$B$14,IF(01_因子設定!$B$13="最小化",01_因子設定!$B$15-AB3699,MIN(AA3699-01_因子設定!$B$14,01_因子設定!$B$15-AB3699))),-1E+030)</f>
        <v>-4.70481582571988</v>
      </c>
      <c r="AE3699" s="55" t="n">
        <f aca="false">IF(AC3699,IF(01_因子設定!$B$13="最大化",X3699,IF(01_因子設定!$B$13="最小化",-X3699,-ABS(X3699-01_因子設定!$B$16))),-1E+030)</f>
        <v>43.3741593567251</v>
      </c>
      <c r="AF3699" s="55" t="n">
        <f aca="false">AD3699+ROW()*0.000000001</f>
        <v>-4.70481212671988</v>
      </c>
      <c r="AG3699" s="55" t="n">
        <f aca="false">AE3699+ROW()*0.000000001</f>
        <v>43.3741630557251</v>
      </c>
    </row>
    <row r="3700" customFormat="false" ht="15" hidden="false" customHeight="false" outlineLevel="0" collapsed="false">
      <c r="A3700" s="0" t="n">
        <v>5</v>
      </c>
      <c r="B3700" s="0" t="n">
        <v>0</v>
      </c>
      <c r="C3700" s="0" t="n">
        <v>5</v>
      </c>
      <c r="D3700" s="0" t="n">
        <v>5</v>
      </c>
      <c r="E3700" s="0" t="n">
        <f aca="false">-1+A3700*0.25</f>
        <v>0.25</v>
      </c>
      <c r="F3700" s="0" t="n">
        <f aca="false">-1+B3700*0.25</f>
        <v>-1</v>
      </c>
      <c r="G3700" s="0" t="n">
        <f aca="false">-1+C3700*0.25</f>
        <v>0.25</v>
      </c>
      <c r="H3700" s="0" t="n">
        <f aca="false">-1+D3700*0.25</f>
        <v>0.25</v>
      </c>
      <c r="I3700" s="0" t="n">
        <f aca="false">1</f>
        <v>1</v>
      </c>
      <c r="J3700" s="0" t="n">
        <f aca="false">E3700</f>
        <v>0.25</v>
      </c>
      <c r="K3700" s="0" t="n">
        <f aca="false">F3700</f>
        <v>-1</v>
      </c>
      <c r="L3700" s="0" t="n">
        <f aca="false">G3700</f>
        <v>0.25</v>
      </c>
      <c r="M3700" s="0" t="n">
        <f aca="false">H3700</f>
        <v>0.25</v>
      </c>
      <c r="N3700" s="0" t="n">
        <f aca="false">E3700*F3700</f>
        <v>-0.25</v>
      </c>
      <c r="O3700" s="0" t="n">
        <f aca="false">E3700*G3700</f>
        <v>0.0625</v>
      </c>
      <c r="P3700" s="0" t="n">
        <f aca="false">E3700*H3700</f>
        <v>0.0625</v>
      </c>
      <c r="Q3700" s="0" t="n">
        <f aca="false">F3700*G3700</f>
        <v>-0.25</v>
      </c>
      <c r="R3700" s="0" t="n">
        <f aca="false">F3700*H3700</f>
        <v>-0.25</v>
      </c>
      <c r="S3700" s="0" t="n">
        <f aca="false">G3700*H3700</f>
        <v>0.0625</v>
      </c>
      <c r="T3700" s="0" t="n">
        <f aca="false">E3700*E3700</f>
        <v>0.0625</v>
      </c>
      <c r="U3700" s="0" t="n">
        <f aca="false">F3700*F3700</f>
        <v>1</v>
      </c>
      <c r="V3700" s="0" t="n">
        <f aca="false">G3700*G3700</f>
        <v>0.0625</v>
      </c>
      <c r="W3700" s="0" t="n">
        <f aca="false">H3700*H3700</f>
        <v>0.0625</v>
      </c>
      <c r="X3700" s="0" t="n">
        <f aca="false">SUMPRODUCT(I3700:W3700,_XtX!$B$96:$P$96)</f>
        <v>43.530550986842</v>
      </c>
      <c r="Y3700" s="0" t="n">
        <f aca="false">SUMPRODUCT(MMULT(I3700:W3700,_XtX!$B$78:$P$92),I3700:W3700)</f>
        <v>0.457466705500731</v>
      </c>
      <c r="Z3700" s="0" t="n">
        <f aca="false">04_回帰ANOVA!$K$19*04_回帰ANOVA!$K$14*SQRT(1+Y3700)</f>
        <v>1.57361220003999</v>
      </c>
      <c r="AA3700" s="0" t="n">
        <f aca="false">X3700-Z3700</f>
        <v>41.9569387868021</v>
      </c>
      <c r="AB3700" s="0" t="n">
        <f aca="false">X3700+Z3700</f>
        <v>45.104163186882</v>
      </c>
      <c r="AC3700" s="54" t="b">
        <f aca="false">AND(E3700&gt;=01_因子設定!$L$5-0.000000001,E3700&lt;=01_因子設定!$M$5+0.000000001,F3700&gt;=01_因子設定!$L$6-0.000000001,F3700&lt;=01_因子設定!$M$6+0.000000001,G3700&gt;=01_因子設定!$L$7-0.000000001,G3700&lt;=01_因子設定!$M$7+0.000000001,H3700&gt;=01_因子設定!$L$8-0.000000001,H3700&lt;=01_因子設定!$M$8+0.000000001,IF(01_因子設定!$B$20="Box-Behnken",E3700^2+F3700^2+G3700^2+H3700^2&lt;=2+0.000000001,TRUE()))</f>
        <v>1</v>
      </c>
      <c r="AD3700" s="55" t="n">
        <f aca="false">IF(AC3700,IF(01_因子設定!$B$13="最大化",AA3700-01_因子設定!$B$14,IF(01_因子設定!$B$13="最小化",01_因子設定!$B$15-AB3700,MIN(AA3700-01_因子設定!$B$14,01_因子設定!$B$15-AB3700))),-1E+030)</f>
        <v>-4.54306121319795</v>
      </c>
      <c r="AE3700" s="55" t="n">
        <f aca="false">IF(AC3700,IF(01_因子設定!$B$13="最大化",X3700,IF(01_因子設定!$B$13="最小化",-X3700,-ABS(X3700-01_因子設定!$B$16))),-1E+030)</f>
        <v>43.530550986842</v>
      </c>
      <c r="AF3700" s="55" t="n">
        <f aca="false">AD3700+ROW()*0.000000001</f>
        <v>-4.54305751319795</v>
      </c>
      <c r="AG3700" s="55" t="n">
        <f aca="false">AE3700+ROW()*0.000000001</f>
        <v>43.530554686842</v>
      </c>
    </row>
    <row r="3701" customFormat="false" ht="15" hidden="false" customHeight="false" outlineLevel="0" collapsed="false">
      <c r="A3701" s="0" t="n">
        <v>5</v>
      </c>
      <c r="B3701" s="0" t="n">
        <v>0</v>
      </c>
      <c r="C3701" s="0" t="n">
        <v>5</v>
      </c>
      <c r="D3701" s="0" t="n">
        <v>6</v>
      </c>
      <c r="E3701" s="0" t="n">
        <f aca="false">-1+A3701*0.25</f>
        <v>0.25</v>
      </c>
      <c r="F3701" s="0" t="n">
        <f aca="false">-1+B3701*0.25</f>
        <v>-1</v>
      </c>
      <c r="G3701" s="0" t="n">
        <f aca="false">-1+C3701*0.25</f>
        <v>0.25</v>
      </c>
      <c r="H3701" s="0" t="n">
        <f aca="false">-1+D3701*0.25</f>
        <v>0.5</v>
      </c>
      <c r="I3701" s="0" t="n">
        <f aca="false">1</f>
        <v>1</v>
      </c>
      <c r="J3701" s="0" t="n">
        <f aca="false">E3701</f>
        <v>0.25</v>
      </c>
      <c r="K3701" s="0" t="n">
        <f aca="false">F3701</f>
        <v>-1</v>
      </c>
      <c r="L3701" s="0" t="n">
        <f aca="false">G3701</f>
        <v>0.25</v>
      </c>
      <c r="M3701" s="0" t="n">
        <f aca="false">H3701</f>
        <v>0.5</v>
      </c>
      <c r="N3701" s="0" t="n">
        <f aca="false">E3701*F3701</f>
        <v>-0.25</v>
      </c>
      <c r="O3701" s="0" t="n">
        <f aca="false">E3701*G3701</f>
        <v>0.0625</v>
      </c>
      <c r="P3701" s="0" t="n">
        <f aca="false">E3701*H3701</f>
        <v>0.125</v>
      </c>
      <c r="Q3701" s="0" t="n">
        <f aca="false">F3701*G3701</f>
        <v>-0.25</v>
      </c>
      <c r="R3701" s="0" t="n">
        <f aca="false">F3701*H3701</f>
        <v>-0.5</v>
      </c>
      <c r="S3701" s="0" t="n">
        <f aca="false">G3701*H3701</f>
        <v>0.125</v>
      </c>
      <c r="T3701" s="0" t="n">
        <f aca="false">E3701*E3701</f>
        <v>0.0625</v>
      </c>
      <c r="U3701" s="0" t="n">
        <f aca="false">F3701*F3701</f>
        <v>1</v>
      </c>
      <c r="V3701" s="0" t="n">
        <f aca="false">G3701*G3701</f>
        <v>0.0625</v>
      </c>
      <c r="W3701" s="0" t="n">
        <f aca="false">H3701*H3701</f>
        <v>0.25</v>
      </c>
      <c r="X3701" s="0" t="n">
        <f aca="false">SUMPRODUCT(I3701:W3701,_XtX!$B$96:$P$96)</f>
        <v>43.6391355994152</v>
      </c>
      <c r="Y3701" s="0" t="n">
        <f aca="false">SUMPRODUCT(MMULT(I3701:W3701,_XtX!$B$78:$P$92),I3701:W3701)</f>
        <v>0.445705123812135</v>
      </c>
      <c r="Z3701" s="0" t="n">
        <f aca="false">04_回帰ANOVA!$K$19*04_回帰ANOVA!$K$14*SQRT(1+Y3701)</f>
        <v>1.56724990734749</v>
      </c>
      <c r="AA3701" s="0" t="n">
        <f aca="false">X3701-Z3701</f>
        <v>42.0718856920677</v>
      </c>
      <c r="AB3701" s="0" t="n">
        <f aca="false">X3701+Z3701</f>
        <v>45.2063855067626</v>
      </c>
      <c r="AC3701" s="54" t="b">
        <f aca="false">AND(E3701&gt;=01_因子設定!$L$5-0.000000001,E3701&lt;=01_因子設定!$M$5+0.000000001,F3701&gt;=01_因子設定!$L$6-0.000000001,F3701&lt;=01_因子設定!$M$6+0.000000001,G3701&gt;=01_因子設定!$L$7-0.000000001,G3701&lt;=01_因子設定!$M$7+0.000000001,H3701&gt;=01_因子設定!$L$8-0.000000001,H3701&lt;=01_因子設定!$M$8+0.000000001,IF(01_因子設定!$B$20="Box-Behnken",E3701^2+F3701^2+G3701^2+H3701^2&lt;=2+0.000000001,TRUE()))</f>
        <v>1</v>
      </c>
      <c r="AD3701" s="55" t="n">
        <f aca="false">IF(AC3701,IF(01_因子設定!$B$13="最大化",AA3701-01_因子設定!$B$14,IF(01_因子設定!$B$13="最小化",01_因子設定!$B$15-AB3701,MIN(AA3701-01_因子設定!$B$14,01_因子設定!$B$15-AB3701))),-1E+030)</f>
        <v>-4.42811430793233</v>
      </c>
      <c r="AE3701" s="55" t="n">
        <f aca="false">IF(AC3701,IF(01_因子設定!$B$13="最大化",X3701,IF(01_因子設定!$B$13="最小化",-X3701,-ABS(X3701-01_因子設定!$B$16))),-1E+030)</f>
        <v>43.6391355994152</v>
      </c>
      <c r="AF3701" s="55" t="n">
        <f aca="false">AD3701+ROW()*0.000000001</f>
        <v>-4.42811060693233</v>
      </c>
      <c r="AG3701" s="55" t="n">
        <f aca="false">AE3701+ROW()*0.000000001</f>
        <v>43.6391393004152</v>
      </c>
    </row>
    <row r="3702" customFormat="false" ht="15" hidden="false" customHeight="false" outlineLevel="0" collapsed="false">
      <c r="A3702" s="0" t="n">
        <v>5</v>
      </c>
      <c r="B3702" s="0" t="n">
        <v>0</v>
      </c>
      <c r="C3702" s="0" t="n">
        <v>5</v>
      </c>
      <c r="D3702" s="0" t="n">
        <v>7</v>
      </c>
      <c r="E3702" s="0" t="n">
        <f aca="false">-1+A3702*0.25</f>
        <v>0.25</v>
      </c>
      <c r="F3702" s="0" t="n">
        <f aca="false">-1+B3702*0.25</f>
        <v>-1</v>
      </c>
      <c r="G3702" s="0" t="n">
        <f aca="false">-1+C3702*0.25</f>
        <v>0.25</v>
      </c>
      <c r="H3702" s="0" t="n">
        <f aca="false">-1+D3702*0.25</f>
        <v>0.75</v>
      </c>
      <c r="I3702" s="0" t="n">
        <f aca="false">1</f>
        <v>1</v>
      </c>
      <c r="J3702" s="0" t="n">
        <f aca="false">E3702</f>
        <v>0.25</v>
      </c>
      <c r="K3702" s="0" t="n">
        <f aca="false">F3702</f>
        <v>-1</v>
      </c>
      <c r="L3702" s="0" t="n">
        <f aca="false">G3702</f>
        <v>0.25</v>
      </c>
      <c r="M3702" s="0" t="n">
        <f aca="false">H3702</f>
        <v>0.75</v>
      </c>
      <c r="N3702" s="0" t="n">
        <f aca="false">E3702*F3702</f>
        <v>-0.25</v>
      </c>
      <c r="O3702" s="0" t="n">
        <f aca="false">E3702*G3702</f>
        <v>0.0625</v>
      </c>
      <c r="P3702" s="0" t="n">
        <f aca="false">E3702*H3702</f>
        <v>0.1875</v>
      </c>
      <c r="Q3702" s="0" t="n">
        <f aca="false">F3702*G3702</f>
        <v>-0.25</v>
      </c>
      <c r="R3702" s="0" t="n">
        <f aca="false">F3702*H3702</f>
        <v>-0.75</v>
      </c>
      <c r="S3702" s="0" t="n">
        <f aca="false">G3702*H3702</f>
        <v>0.1875</v>
      </c>
      <c r="T3702" s="0" t="n">
        <f aca="false">E3702*E3702</f>
        <v>0.0625</v>
      </c>
      <c r="U3702" s="0" t="n">
        <f aca="false">F3702*F3702</f>
        <v>1</v>
      </c>
      <c r="V3702" s="0" t="n">
        <f aca="false">G3702*G3702</f>
        <v>0.0625</v>
      </c>
      <c r="W3702" s="0" t="n">
        <f aca="false">H3702*H3702</f>
        <v>0.5625</v>
      </c>
      <c r="X3702" s="0" t="n">
        <f aca="false">SUMPRODUCT(I3702:W3702,_XtX!$B$96:$P$96)</f>
        <v>43.6999131944444</v>
      </c>
      <c r="Y3702" s="0" t="n">
        <f aca="false">SUMPRODUCT(MMULT(I3702:W3702,_XtX!$B$78:$P$92),I3702:W3702)</f>
        <v>0.486409505208334</v>
      </c>
      <c r="Z3702" s="0" t="n">
        <f aca="false">04_回帰ANOVA!$K$19*04_回帰ANOVA!$K$14*SQRT(1+Y3702)</f>
        <v>1.58916001665498</v>
      </c>
      <c r="AA3702" s="0" t="n">
        <f aca="false">X3702-Z3702</f>
        <v>42.1107531777894</v>
      </c>
      <c r="AB3702" s="0" t="n">
        <f aca="false">X3702+Z3702</f>
        <v>45.2890732110994</v>
      </c>
      <c r="AC3702" s="54" t="b">
        <f aca="false">AND(E3702&gt;=01_因子設定!$L$5-0.000000001,E3702&lt;=01_因子設定!$M$5+0.000000001,F3702&gt;=01_因子設定!$L$6-0.000000001,F3702&lt;=01_因子設定!$M$6+0.000000001,G3702&gt;=01_因子設定!$L$7-0.000000001,G3702&lt;=01_因子設定!$M$7+0.000000001,H3702&gt;=01_因子設定!$L$8-0.000000001,H3702&lt;=01_因子設定!$M$8+0.000000001,IF(01_因子設定!$B$20="Box-Behnken",E3702^2+F3702^2+G3702^2+H3702^2&lt;=2+0.000000001,TRUE()))</f>
        <v>1</v>
      </c>
      <c r="AD3702" s="55" t="n">
        <f aca="false">IF(AC3702,IF(01_因子設定!$B$13="最大化",AA3702-01_因子設定!$B$14,IF(01_因子設定!$B$13="最小化",01_因子設定!$B$15-AB3702,MIN(AA3702-01_因子設定!$B$14,01_因子設定!$B$15-AB3702))),-1E+030)</f>
        <v>-4.38924682221057</v>
      </c>
      <c r="AE3702" s="55" t="n">
        <f aca="false">IF(AC3702,IF(01_因子設定!$B$13="最大化",X3702,IF(01_因子設定!$B$13="最小化",-X3702,-ABS(X3702-01_因子設定!$B$16))),-1E+030)</f>
        <v>43.6999131944444</v>
      </c>
      <c r="AF3702" s="55" t="n">
        <f aca="false">AD3702+ROW()*0.000000001</f>
        <v>-4.38924312021057</v>
      </c>
      <c r="AG3702" s="55" t="n">
        <f aca="false">AE3702+ROW()*0.000000001</f>
        <v>43.6999168964444</v>
      </c>
    </row>
    <row r="3703" customFormat="false" ht="15" hidden="false" customHeight="false" outlineLevel="0" collapsed="false">
      <c r="A3703" s="0" t="n">
        <v>5</v>
      </c>
      <c r="B3703" s="0" t="n">
        <v>0</v>
      </c>
      <c r="C3703" s="0" t="n">
        <v>5</v>
      </c>
      <c r="D3703" s="0" t="n">
        <v>8</v>
      </c>
      <c r="E3703" s="0" t="n">
        <f aca="false">-1+A3703*0.25</f>
        <v>0.25</v>
      </c>
      <c r="F3703" s="0" t="n">
        <f aca="false">-1+B3703*0.25</f>
        <v>-1</v>
      </c>
      <c r="G3703" s="0" t="n">
        <f aca="false">-1+C3703*0.25</f>
        <v>0.25</v>
      </c>
      <c r="H3703" s="0" t="n">
        <f aca="false">-1+D3703*0.25</f>
        <v>1</v>
      </c>
      <c r="I3703" s="0" t="n">
        <f aca="false">1</f>
        <v>1</v>
      </c>
      <c r="J3703" s="0" t="n">
        <f aca="false">E3703</f>
        <v>0.25</v>
      </c>
      <c r="K3703" s="0" t="n">
        <f aca="false">F3703</f>
        <v>-1</v>
      </c>
      <c r="L3703" s="0" t="n">
        <f aca="false">G3703</f>
        <v>0.25</v>
      </c>
      <c r="M3703" s="0" t="n">
        <f aca="false">H3703</f>
        <v>1</v>
      </c>
      <c r="N3703" s="0" t="n">
        <f aca="false">E3703*F3703</f>
        <v>-0.25</v>
      </c>
      <c r="O3703" s="0" t="n">
        <f aca="false">E3703*G3703</f>
        <v>0.0625</v>
      </c>
      <c r="P3703" s="0" t="n">
        <f aca="false">E3703*H3703</f>
        <v>0.25</v>
      </c>
      <c r="Q3703" s="0" t="n">
        <f aca="false">F3703*G3703</f>
        <v>-0.25</v>
      </c>
      <c r="R3703" s="0" t="n">
        <f aca="false">F3703*H3703</f>
        <v>-1</v>
      </c>
      <c r="S3703" s="0" t="n">
        <f aca="false">G3703*H3703</f>
        <v>0.25</v>
      </c>
      <c r="T3703" s="0" t="n">
        <f aca="false">E3703*E3703</f>
        <v>0.0625</v>
      </c>
      <c r="U3703" s="0" t="n">
        <f aca="false">F3703*F3703</f>
        <v>1</v>
      </c>
      <c r="V3703" s="0" t="n">
        <f aca="false">G3703*G3703</f>
        <v>0.0625</v>
      </c>
      <c r="W3703" s="0" t="n">
        <f aca="false">H3703*H3703</f>
        <v>1</v>
      </c>
      <c r="X3703" s="0" t="n">
        <f aca="false">SUMPRODUCT(I3703:W3703,_XtX!$B$96:$P$96)</f>
        <v>43.7128837719298</v>
      </c>
      <c r="Y3703" s="0" t="n">
        <f aca="false">SUMPRODUCT(MMULT(I3703:W3703,_XtX!$B$78:$P$92),I3703:W3703)</f>
        <v>0.670040376005117</v>
      </c>
      <c r="Z3703" s="0" t="n">
        <f aca="false">04_回帰ANOVA!$K$19*04_回帰ANOVA!$K$14*SQRT(1+Y3703)</f>
        <v>1.68446456039992</v>
      </c>
      <c r="AA3703" s="0" t="n">
        <f aca="false">X3703-Z3703</f>
        <v>42.0284192115299</v>
      </c>
      <c r="AB3703" s="0" t="n">
        <f aca="false">X3703+Z3703</f>
        <v>45.3973483323297</v>
      </c>
      <c r="AC3703" s="54" t="b">
        <f aca="false">AND(E3703&gt;=01_因子設定!$L$5-0.000000001,E3703&lt;=01_因子設定!$M$5+0.000000001,F3703&gt;=01_因子設定!$L$6-0.000000001,F3703&lt;=01_因子設定!$M$6+0.000000001,G3703&gt;=01_因子設定!$L$7-0.000000001,G3703&lt;=01_因子設定!$M$7+0.000000001,H3703&gt;=01_因子設定!$L$8-0.000000001,H3703&lt;=01_因子設定!$M$8+0.000000001,IF(01_因子設定!$B$20="Box-Behnken",E3703^2+F3703^2+G3703^2+H3703^2&lt;=2+0.000000001,TRUE()))</f>
        <v>1</v>
      </c>
      <c r="AD3703" s="55" t="n">
        <f aca="false">IF(AC3703,IF(01_因子設定!$B$13="最大化",AA3703-01_因子設定!$B$14,IF(01_因子設定!$B$13="最小化",01_因子設定!$B$15-AB3703,MIN(AA3703-01_因子設定!$B$14,01_因子設定!$B$15-AB3703))),-1E+030)</f>
        <v>-4.47158078847012</v>
      </c>
      <c r="AE3703" s="55" t="n">
        <f aca="false">IF(AC3703,IF(01_因子設定!$B$13="最大化",X3703,IF(01_因子設定!$B$13="最小化",-X3703,-ABS(X3703-01_因子設定!$B$16))),-1E+030)</f>
        <v>43.7128837719298</v>
      </c>
      <c r="AF3703" s="55" t="n">
        <f aca="false">AD3703+ROW()*0.000000001</f>
        <v>-4.47157708547012</v>
      </c>
      <c r="AG3703" s="55" t="n">
        <f aca="false">AE3703+ROW()*0.000000001</f>
        <v>43.7128874749298</v>
      </c>
    </row>
    <row r="3704" customFormat="false" ht="15" hidden="false" customHeight="false" outlineLevel="0" collapsed="false">
      <c r="A3704" s="0" t="n">
        <v>5</v>
      </c>
      <c r="B3704" s="0" t="n">
        <v>0</v>
      </c>
      <c r="C3704" s="0" t="n">
        <v>6</v>
      </c>
      <c r="D3704" s="0" t="n">
        <v>0</v>
      </c>
      <c r="E3704" s="0" t="n">
        <f aca="false">-1+A3704*0.25</f>
        <v>0.25</v>
      </c>
      <c r="F3704" s="0" t="n">
        <f aca="false">-1+B3704*0.25</f>
        <v>-1</v>
      </c>
      <c r="G3704" s="0" t="n">
        <f aca="false">-1+C3704*0.25</f>
        <v>0.5</v>
      </c>
      <c r="H3704" s="0" t="n">
        <f aca="false">-1+D3704*0.25</f>
        <v>-1</v>
      </c>
      <c r="I3704" s="0" t="n">
        <f aca="false">1</f>
        <v>1</v>
      </c>
      <c r="J3704" s="0" t="n">
        <f aca="false">E3704</f>
        <v>0.25</v>
      </c>
      <c r="K3704" s="0" t="n">
        <f aca="false">F3704</f>
        <v>-1</v>
      </c>
      <c r="L3704" s="0" t="n">
        <f aca="false">G3704</f>
        <v>0.5</v>
      </c>
      <c r="M3704" s="0" t="n">
        <f aca="false">H3704</f>
        <v>-1</v>
      </c>
      <c r="N3704" s="0" t="n">
        <f aca="false">E3704*F3704</f>
        <v>-0.25</v>
      </c>
      <c r="O3704" s="0" t="n">
        <f aca="false">E3704*G3704</f>
        <v>0.125</v>
      </c>
      <c r="P3704" s="0" t="n">
        <f aca="false">E3704*H3704</f>
        <v>-0.25</v>
      </c>
      <c r="Q3704" s="0" t="n">
        <f aca="false">F3704*G3704</f>
        <v>-0.5</v>
      </c>
      <c r="R3704" s="0" t="n">
        <f aca="false">F3704*H3704</f>
        <v>1</v>
      </c>
      <c r="S3704" s="0" t="n">
        <f aca="false">G3704*H3704</f>
        <v>-0.5</v>
      </c>
      <c r="T3704" s="0" t="n">
        <f aca="false">E3704*E3704</f>
        <v>0.0625</v>
      </c>
      <c r="U3704" s="0" t="n">
        <f aca="false">F3704*F3704</f>
        <v>1</v>
      </c>
      <c r="V3704" s="0" t="n">
        <f aca="false">G3704*G3704</f>
        <v>0.25</v>
      </c>
      <c r="W3704" s="0" t="n">
        <f aca="false">H3704*H3704</f>
        <v>1</v>
      </c>
      <c r="X3704" s="0" t="n">
        <f aca="false">SUMPRODUCT(I3704:W3704,_XtX!$B$96:$P$96)</f>
        <v>42.1977704678362</v>
      </c>
      <c r="Y3704" s="0" t="n">
        <f aca="false">SUMPRODUCT(MMULT(I3704:W3704,_XtX!$B$78:$P$92),I3704:W3704)</f>
        <v>0.629174661915205</v>
      </c>
      <c r="Z3704" s="0" t="n">
        <f aca="false">04_回帰ANOVA!$K$19*04_回帰ANOVA!$K$14*SQRT(1+Y3704)</f>
        <v>1.66372758058297</v>
      </c>
      <c r="AA3704" s="0" t="n">
        <f aca="false">X3704-Z3704</f>
        <v>40.5340428872533</v>
      </c>
      <c r="AB3704" s="0" t="n">
        <f aca="false">X3704+Z3704</f>
        <v>43.8614980484192</v>
      </c>
      <c r="AC3704" s="54" t="b">
        <f aca="false">AND(E3704&gt;=01_因子設定!$L$5-0.000000001,E3704&lt;=01_因子設定!$M$5+0.000000001,F3704&gt;=01_因子設定!$L$6-0.000000001,F3704&lt;=01_因子設定!$M$6+0.000000001,G3704&gt;=01_因子設定!$L$7-0.000000001,G3704&lt;=01_因子設定!$M$7+0.000000001,H3704&gt;=01_因子設定!$L$8-0.000000001,H3704&lt;=01_因子設定!$M$8+0.000000001,IF(01_因子設定!$B$20="Box-Behnken",E3704^2+F3704^2+G3704^2+H3704^2&lt;=2+0.000000001,TRUE()))</f>
        <v>1</v>
      </c>
      <c r="AD3704" s="55" t="n">
        <f aca="false">IF(AC3704,IF(01_因子設定!$B$13="最大化",AA3704-01_因子設定!$B$14,IF(01_因子設定!$B$13="最小化",01_因子設定!$B$15-AB3704,MIN(AA3704-01_因子設定!$B$14,01_因子設定!$B$15-AB3704))),-1E+030)</f>
        <v>-5.96595711274674</v>
      </c>
      <c r="AE3704" s="55" t="n">
        <f aca="false">IF(AC3704,IF(01_因子設定!$B$13="最大化",X3704,IF(01_因子設定!$B$13="最小化",-X3704,-ABS(X3704-01_因子設定!$B$16))),-1E+030)</f>
        <v>42.1977704678362</v>
      </c>
      <c r="AF3704" s="55" t="n">
        <f aca="false">AD3704+ROW()*0.000000001</f>
        <v>-5.96595340874674</v>
      </c>
      <c r="AG3704" s="55" t="n">
        <f aca="false">AE3704+ROW()*0.000000001</f>
        <v>42.1977741718362</v>
      </c>
    </row>
    <row r="3705" customFormat="false" ht="15" hidden="false" customHeight="false" outlineLevel="0" collapsed="false">
      <c r="A3705" s="0" t="n">
        <v>5</v>
      </c>
      <c r="B3705" s="0" t="n">
        <v>0</v>
      </c>
      <c r="C3705" s="0" t="n">
        <v>6</v>
      </c>
      <c r="D3705" s="0" t="n">
        <v>1</v>
      </c>
      <c r="E3705" s="0" t="n">
        <f aca="false">-1+A3705*0.25</f>
        <v>0.25</v>
      </c>
      <c r="F3705" s="0" t="n">
        <f aca="false">-1+B3705*0.25</f>
        <v>-1</v>
      </c>
      <c r="G3705" s="0" t="n">
        <f aca="false">-1+C3705*0.25</f>
        <v>0.5</v>
      </c>
      <c r="H3705" s="0" t="n">
        <f aca="false">-1+D3705*0.25</f>
        <v>-0.75</v>
      </c>
      <c r="I3705" s="0" t="n">
        <f aca="false">1</f>
        <v>1</v>
      </c>
      <c r="J3705" s="0" t="n">
        <f aca="false">E3705</f>
        <v>0.25</v>
      </c>
      <c r="K3705" s="0" t="n">
        <f aca="false">F3705</f>
        <v>-1</v>
      </c>
      <c r="L3705" s="0" t="n">
        <f aca="false">G3705</f>
        <v>0.5</v>
      </c>
      <c r="M3705" s="0" t="n">
        <f aca="false">H3705</f>
        <v>-0.75</v>
      </c>
      <c r="N3705" s="0" t="n">
        <f aca="false">E3705*F3705</f>
        <v>-0.25</v>
      </c>
      <c r="O3705" s="0" t="n">
        <f aca="false">E3705*G3705</f>
        <v>0.125</v>
      </c>
      <c r="P3705" s="0" t="n">
        <f aca="false">E3705*H3705</f>
        <v>-0.1875</v>
      </c>
      <c r="Q3705" s="0" t="n">
        <f aca="false">F3705*G3705</f>
        <v>-0.5</v>
      </c>
      <c r="R3705" s="0" t="n">
        <f aca="false">F3705*H3705</f>
        <v>0.75</v>
      </c>
      <c r="S3705" s="0" t="n">
        <f aca="false">G3705*H3705</f>
        <v>-0.375</v>
      </c>
      <c r="T3705" s="0" t="n">
        <f aca="false">E3705*E3705</f>
        <v>0.0625</v>
      </c>
      <c r="U3705" s="0" t="n">
        <f aca="false">F3705*F3705</f>
        <v>1</v>
      </c>
      <c r="V3705" s="0" t="n">
        <f aca="false">G3705*G3705</f>
        <v>0.25</v>
      </c>
      <c r="W3705" s="0" t="n">
        <f aca="false">H3705*H3705</f>
        <v>0.5625</v>
      </c>
      <c r="X3705" s="0" t="n">
        <f aca="false">SUMPRODUCT(I3705:W3705,_XtX!$B$96:$P$96)</f>
        <v>42.5633589181286</v>
      </c>
      <c r="Y3705" s="0" t="n">
        <f aca="false">SUMPRODUCT(MMULT(I3705:W3705,_XtX!$B$78:$P$92),I3705:W3705)</f>
        <v>0.459125719572369</v>
      </c>
      <c r="Z3705" s="0" t="n">
        <f aca="false">04_回帰ANOVA!$K$19*04_回帰ANOVA!$K$14*SQRT(1+Y3705)</f>
        <v>1.57450755575573</v>
      </c>
      <c r="AA3705" s="0" t="n">
        <f aca="false">X3705-Z3705</f>
        <v>40.9888513623729</v>
      </c>
      <c r="AB3705" s="0" t="n">
        <f aca="false">X3705+Z3705</f>
        <v>44.1378664738843</v>
      </c>
      <c r="AC3705" s="54" t="b">
        <f aca="false">AND(E3705&gt;=01_因子設定!$L$5-0.000000001,E3705&lt;=01_因子設定!$M$5+0.000000001,F3705&gt;=01_因子設定!$L$6-0.000000001,F3705&lt;=01_因子設定!$M$6+0.000000001,G3705&gt;=01_因子設定!$L$7-0.000000001,G3705&lt;=01_因子設定!$M$7+0.000000001,H3705&gt;=01_因子設定!$L$8-0.000000001,H3705&lt;=01_因子設定!$M$8+0.000000001,IF(01_因子設定!$B$20="Box-Behnken",E3705^2+F3705^2+G3705^2+H3705^2&lt;=2+0.000000001,TRUE()))</f>
        <v>1</v>
      </c>
      <c r="AD3705" s="55" t="n">
        <f aca="false">IF(AC3705,IF(01_因子設定!$B$13="最大化",AA3705-01_因子設定!$B$14,IF(01_因子設定!$B$13="最小化",01_因子設定!$B$15-AB3705,MIN(AA3705-01_因子設定!$B$14,01_因子設定!$B$15-AB3705))),-1E+030)</f>
        <v>-5.51114863762712</v>
      </c>
      <c r="AE3705" s="55" t="n">
        <f aca="false">IF(AC3705,IF(01_因子設定!$B$13="最大化",X3705,IF(01_因子設定!$B$13="最小化",-X3705,-ABS(X3705-01_因子設定!$B$16))),-1E+030)</f>
        <v>42.5633589181286</v>
      </c>
      <c r="AF3705" s="55" t="n">
        <f aca="false">AD3705+ROW()*0.000000001</f>
        <v>-5.51114493262712</v>
      </c>
      <c r="AG3705" s="55" t="n">
        <f aca="false">AE3705+ROW()*0.000000001</f>
        <v>42.5633626231286</v>
      </c>
    </row>
    <row r="3706" customFormat="false" ht="15" hidden="false" customHeight="false" outlineLevel="0" collapsed="false">
      <c r="A3706" s="0" t="n">
        <v>5</v>
      </c>
      <c r="B3706" s="0" t="n">
        <v>0</v>
      </c>
      <c r="C3706" s="0" t="n">
        <v>6</v>
      </c>
      <c r="D3706" s="0" t="n">
        <v>2</v>
      </c>
      <c r="E3706" s="0" t="n">
        <f aca="false">-1+A3706*0.25</f>
        <v>0.25</v>
      </c>
      <c r="F3706" s="0" t="n">
        <f aca="false">-1+B3706*0.25</f>
        <v>-1</v>
      </c>
      <c r="G3706" s="0" t="n">
        <f aca="false">-1+C3706*0.25</f>
        <v>0.5</v>
      </c>
      <c r="H3706" s="0" t="n">
        <f aca="false">-1+D3706*0.25</f>
        <v>-0.5</v>
      </c>
      <c r="I3706" s="0" t="n">
        <f aca="false">1</f>
        <v>1</v>
      </c>
      <c r="J3706" s="0" t="n">
        <f aca="false">E3706</f>
        <v>0.25</v>
      </c>
      <c r="K3706" s="0" t="n">
        <f aca="false">F3706</f>
        <v>-1</v>
      </c>
      <c r="L3706" s="0" t="n">
        <f aca="false">G3706</f>
        <v>0.5</v>
      </c>
      <c r="M3706" s="0" t="n">
        <f aca="false">H3706</f>
        <v>-0.5</v>
      </c>
      <c r="N3706" s="0" t="n">
        <f aca="false">E3706*F3706</f>
        <v>-0.25</v>
      </c>
      <c r="O3706" s="0" t="n">
        <f aca="false">E3706*G3706</f>
        <v>0.125</v>
      </c>
      <c r="P3706" s="0" t="n">
        <f aca="false">E3706*H3706</f>
        <v>-0.125</v>
      </c>
      <c r="Q3706" s="0" t="n">
        <f aca="false">F3706*G3706</f>
        <v>-0.5</v>
      </c>
      <c r="R3706" s="0" t="n">
        <f aca="false">F3706*H3706</f>
        <v>0.5</v>
      </c>
      <c r="S3706" s="0" t="n">
        <f aca="false">G3706*H3706</f>
        <v>-0.25</v>
      </c>
      <c r="T3706" s="0" t="n">
        <f aca="false">E3706*E3706</f>
        <v>0.0625</v>
      </c>
      <c r="U3706" s="0" t="n">
        <f aca="false">F3706*F3706</f>
        <v>1</v>
      </c>
      <c r="V3706" s="0" t="n">
        <f aca="false">G3706*G3706</f>
        <v>0.25</v>
      </c>
      <c r="W3706" s="0" t="n">
        <f aca="false">H3706*H3706</f>
        <v>0.25</v>
      </c>
      <c r="X3706" s="0" t="n">
        <f aca="false">SUMPRODUCT(I3706:W3706,_XtX!$B$96:$P$96)</f>
        <v>42.8811403508771</v>
      </c>
      <c r="Y3706" s="0" t="n">
        <f aca="false">SUMPRODUCT(MMULT(I3706:W3706,_XtX!$B$78:$P$92),I3706:W3706)</f>
        <v>0.428122715643275</v>
      </c>
      <c r="Z3706" s="0" t="n">
        <f aca="false">04_回帰ANOVA!$K$19*04_回帰ANOVA!$K$14*SQRT(1+Y3706)</f>
        <v>1.55769044623229</v>
      </c>
      <c r="AA3706" s="0" t="n">
        <f aca="false">X3706-Z3706</f>
        <v>41.3234499046448</v>
      </c>
      <c r="AB3706" s="0" t="n">
        <f aca="false">X3706+Z3706</f>
        <v>44.4388307971094</v>
      </c>
      <c r="AC3706" s="54" t="b">
        <f aca="false">AND(E3706&gt;=01_因子設定!$L$5-0.000000001,E3706&lt;=01_因子設定!$M$5+0.000000001,F3706&gt;=01_因子設定!$L$6-0.000000001,F3706&lt;=01_因子設定!$M$6+0.000000001,G3706&gt;=01_因子設定!$L$7-0.000000001,G3706&lt;=01_因子設定!$M$7+0.000000001,H3706&gt;=01_因子設定!$L$8-0.000000001,H3706&lt;=01_因子設定!$M$8+0.000000001,IF(01_因子設定!$B$20="Box-Behnken",E3706^2+F3706^2+G3706^2+H3706^2&lt;=2+0.000000001,TRUE()))</f>
        <v>1</v>
      </c>
      <c r="AD3706" s="55" t="n">
        <f aca="false">IF(AC3706,IF(01_因子設定!$B$13="最大化",AA3706-01_因子設定!$B$14,IF(01_因子設定!$B$13="最小化",01_因子設定!$B$15-AB3706,MIN(AA3706-01_因子設定!$B$14,01_因子設定!$B$15-AB3706))),-1E+030)</f>
        <v>-5.17655009535515</v>
      </c>
      <c r="AE3706" s="55" t="n">
        <f aca="false">IF(AC3706,IF(01_因子設定!$B$13="最大化",X3706,IF(01_因子設定!$B$13="最小化",-X3706,-ABS(X3706-01_因子設定!$B$16))),-1E+030)</f>
        <v>42.8811403508771</v>
      </c>
      <c r="AF3706" s="55" t="n">
        <f aca="false">AD3706+ROW()*0.000000001</f>
        <v>-5.17654638935515</v>
      </c>
      <c r="AG3706" s="55" t="n">
        <f aca="false">AE3706+ROW()*0.000000001</f>
        <v>42.8811440568771</v>
      </c>
    </row>
    <row r="3707" customFormat="false" ht="15" hidden="false" customHeight="false" outlineLevel="0" collapsed="false">
      <c r="A3707" s="0" t="n">
        <v>5</v>
      </c>
      <c r="B3707" s="0" t="n">
        <v>0</v>
      </c>
      <c r="C3707" s="0" t="n">
        <v>6</v>
      </c>
      <c r="D3707" s="0" t="n">
        <v>3</v>
      </c>
      <c r="E3707" s="0" t="n">
        <f aca="false">-1+A3707*0.25</f>
        <v>0.25</v>
      </c>
      <c r="F3707" s="0" t="n">
        <f aca="false">-1+B3707*0.25</f>
        <v>-1</v>
      </c>
      <c r="G3707" s="0" t="n">
        <f aca="false">-1+C3707*0.25</f>
        <v>0.5</v>
      </c>
      <c r="H3707" s="0" t="n">
        <f aca="false">-1+D3707*0.25</f>
        <v>-0.25</v>
      </c>
      <c r="I3707" s="0" t="n">
        <f aca="false">1</f>
        <v>1</v>
      </c>
      <c r="J3707" s="0" t="n">
        <f aca="false">E3707</f>
        <v>0.25</v>
      </c>
      <c r="K3707" s="0" t="n">
        <f aca="false">F3707</f>
        <v>-1</v>
      </c>
      <c r="L3707" s="0" t="n">
        <f aca="false">G3707</f>
        <v>0.5</v>
      </c>
      <c r="M3707" s="0" t="n">
        <f aca="false">H3707</f>
        <v>-0.25</v>
      </c>
      <c r="N3707" s="0" t="n">
        <f aca="false">E3707*F3707</f>
        <v>-0.25</v>
      </c>
      <c r="O3707" s="0" t="n">
        <f aca="false">E3707*G3707</f>
        <v>0.125</v>
      </c>
      <c r="P3707" s="0" t="n">
        <f aca="false">E3707*H3707</f>
        <v>-0.0625</v>
      </c>
      <c r="Q3707" s="0" t="n">
        <f aca="false">F3707*G3707</f>
        <v>-0.5</v>
      </c>
      <c r="R3707" s="0" t="n">
        <f aca="false">F3707*H3707</f>
        <v>0.25</v>
      </c>
      <c r="S3707" s="0" t="n">
        <f aca="false">G3707*H3707</f>
        <v>-0.125</v>
      </c>
      <c r="T3707" s="0" t="n">
        <f aca="false">E3707*E3707</f>
        <v>0.0625</v>
      </c>
      <c r="U3707" s="0" t="n">
        <f aca="false">F3707*F3707</f>
        <v>1</v>
      </c>
      <c r="V3707" s="0" t="n">
        <f aca="false">G3707*G3707</f>
        <v>0.25</v>
      </c>
      <c r="W3707" s="0" t="n">
        <f aca="false">H3707*H3707</f>
        <v>0.0625</v>
      </c>
      <c r="X3707" s="0" t="n">
        <f aca="false">SUMPRODUCT(I3707:W3707,_XtX!$B$96:$P$96)</f>
        <v>43.1511147660818</v>
      </c>
      <c r="Y3707" s="0" t="n">
        <f aca="false">SUMPRODUCT(MMULT(I3707:W3707,_XtX!$B$78:$P$92),I3707:W3707)</f>
        <v>0.445705123812135</v>
      </c>
      <c r="Z3707" s="0" t="n">
        <f aca="false">04_回帰ANOVA!$K$19*04_回帰ANOVA!$K$14*SQRT(1+Y3707)</f>
        <v>1.56724990734749</v>
      </c>
      <c r="AA3707" s="0" t="n">
        <f aca="false">X3707-Z3707</f>
        <v>41.5838648587343</v>
      </c>
      <c r="AB3707" s="0" t="n">
        <f aca="false">X3707+Z3707</f>
        <v>44.7183646734293</v>
      </c>
      <c r="AC3707" s="54" t="b">
        <f aca="false">AND(E3707&gt;=01_因子設定!$L$5-0.000000001,E3707&lt;=01_因子設定!$M$5+0.000000001,F3707&gt;=01_因子設定!$L$6-0.000000001,F3707&lt;=01_因子設定!$M$6+0.000000001,G3707&gt;=01_因子設定!$L$7-0.000000001,G3707&lt;=01_因子設定!$M$7+0.000000001,H3707&gt;=01_因子設定!$L$8-0.000000001,H3707&lt;=01_因子設定!$M$8+0.000000001,IF(01_因子設定!$B$20="Box-Behnken",E3707^2+F3707^2+G3707^2+H3707^2&lt;=2+0.000000001,TRUE()))</f>
        <v>1</v>
      </c>
      <c r="AD3707" s="55" t="n">
        <f aca="false">IF(AC3707,IF(01_因子設定!$B$13="最大化",AA3707-01_因子設定!$B$14,IF(01_因子設定!$B$13="最小化",01_因子設定!$B$15-AB3707,MIN(AA3707-01_因子設定!$B$14,01_因子設定!$B$15-AB3707))),-1E+030)</f>
        <v>-4.91613514126568</v>
      </c>
      <c r="AE3707" s="55" t="n">
        <f aca="false">IF(AC3707,IF(01_因子設定!$B$13="最大化",X3707,IF(01_因子設定!$B$13="最小化",-X3707,-ABS(X3707-01_因子設定!$B$16))),-1E+030)</f>
        <v>43.1511147660818</v>
      </c>
      <c r="AF3707" s="55" t="n">
        <f aca="false">AD3707+ROW()*0.000000001</f>
        <v>-4.91613143426568</v>
      </c>
      <c r="AG3707" s="55" t="n">
        <f aca="false">AE3707+ROW()*0.000000001</f>
        <v>43.1511184730818</v>
      </c>
    </row>
    <row r="3708" customFormat="false" ht="15" hidden="false" customHeight="false" outlineLevel="0" collapsed="false">
      <c r="A3708" s="0" t="n">
        <v>5</v>
      </c>
      <c r="B3708" s="0" t="n">
        <v>0</v>
      </c>
      <c r="C3708" s="0" t="n">
        <v>6</v>
      </c>
      <c r="D3708" s="0" t="n">
        <v>4</v>
      </c>
      <c r="E3708" s="0" t="n">
        <f aca="false">-1+A3708*0.25</f>
        <v>0.25</v>
      </c>
      <c r="F3708" s="0" t="n">
        <f aca="false">-1+B3708*0.25</f>
        <v>-1</v>
      </c>
      <c r="G3708" s="0" t="n">
        <f aca="false">-1+C3708*0.25</f>
        <v>0.5</v>
      </c>
      <c r="H3708" s="0" t="n">
        <f aca="false">-1+D3708*0.25</f>
        <v>0</v>
      </c>
      <c r="I3708" s="0" t="n">
        <f aca="false">1</f>
        <v>1</v>
      </c>
      <c r="J3708" s="0" t="n">
        <f aca="false">E3708</f>
        <v>0.25</v>
      </c>
      <c r="K3708" s="0" t="n">
        <f aca="false">F3708</f>
        <v>-1</v>
      </c>
      <c r="L3708" s="0" t="n">
        <f aca="false">G3708</f>
        <v>0.5</v>
      </c>
      <c r="M3708" s="0" t="n">
        <f aca="false">H3708</f>
        <v>0</v>
      </c>
      <c r="N3708" s="0" t="n">
        <f aca="false">E3708*F3708</f>
        <v>-0.25</v>
      </c>
      <c r="O3708" s="0" t="n">
        <f aca="false">E3708*G3708</f>
        <v>0.125</v>
      </c>
      <c r="P3708" s="0" t="n">
        <f aca="false">E3708*H3708</f>
        <v>0</v>
      </c>
      <c r="Q3708" s="0" t="n">
        <f aca="false">F3708*G3708</f>
        <v>-0.5</v>
      </c>
      <c r="R3708" s="0" t="n">
        <f aca="false">F3708*H3708</f>
        <v>-0</v>
      </c>
      <c r="S3708" s="0" t="n">
        <f aca="false">G3708*H3708</f>
        <v>0</v>
      </c>
      <c r="T3708" s="0" t="n">
        <f aca="false">E3708*E3708</f>
        <v>0.0625</v>
      </c>
      <c r="U3708" s="0" t="n">
        <f aca="false">F3708*F3708</f>
        <v>1</v>
      </c>
      <c r="V3708" s="0" t="n">
        <f aca="false">G3708*G3708</f>
        <v>0.25</v>
      </c>
      <c r="W3708" s="0" t="n">
        <f aca="false">H3708*H3708</f>
        <v>0</v>
      </c>
      <c r="X3708" s="0" t="n">
        <f aca="false">SUMPRODUCT(I3708:W3708,_XtX!$B$96:$P$96)</f>
        <v>43.3732821637426</v>
      </c>
      <c r="Y3708" s="0" t="n">
        <f aca="false">SUMPRODUCT(MMULT(I3708:W3708,_XtX!$B$78:$P$92),I3708:W3708)</f>
        <v>0.457596628289474</v>
      </c>
      <c r="Z3708" s="0" t="n">
        <f aca="false">04_回帰ANOVA!$K$19*04_回帰ANOVA!$K$14*SQRT(1+Y3708)</f>
        <v>1.57368233664366</v>
      </c>
      <c r="AA3708" s="0" t="n">
        <f aca="false">X3708-Z3708</f>
        <v>41.799599827099</v>
      </c>
      <c r="AB3708" s="0" t="n">
        <f aca="false">X3708+Z3708</f>
        <v>44.9469645003863</v>
      </c>
      <c r="AC3708" s="54" t="b">
        <f aca="false">AND(E3708&gt;=01_因子設定!$L$5-0.000000001,E3708&lt;=01_因子設定!$M$5+0.000000001,F3708&gt;=01_因子設定!$L$6-0.000000001,F3708&lt;=01_因子設定!$M$6+0.000000001,G3708&gt;=01_因子設定!$L$7-0.000000001,G3708&lt;=01_因子設定!$M$7+0.000000001,H3708&gt;=01_因子設定!$L$8-0.000000001,H3708&lt;=01_因子設定!$M$8+0.000000001,IF(01_因子設定!$B$20="Box-Behnken",E3708^2+F3708^2+G3708^2+H3708^2&lt;=2+0.000000001,TRUE()))</f>
        <v>1</v>
      </c>
      <c r="AD3708" s="55" t="n">
        <f aca="false">IF(AC3708,IF(01_因子設定!$B$13="最大化",AA3708-01_因子設定!$B$14,IF(01_因子設定!$B$13="最小化",01_因子設定!$B$15-AB3708,MIN(AA3708-01_因子設定!$B$14,01_因子設定!$B$15-AB3708))),-1E+030)</f>
        <v>-4.70040017290103</v>
      </c>
      <c r="AE3708" s="55" t="n">
        <f aca="false">IF(AC3708,IF(01_因子設定!$B$13="最大化",X3708,IF(01_因子設定!$B$13="最小化",-X3708,-ABS(X3708-01_因子設定!$B$16))),-1E+030)</f>
        <v>43.3732821637426</v>
      </c>
      <c r="AF3708" s="55" t="n">
        <f aca="false">AD3708+ROW()*0.000000001</f>
        <v>-4.70039646490103</v>
      </c>
      <c r="AG3708" s="55" t="n">
        <f aca="false">AE3708+ROW()*0.000000001</f>
        <v>43.3732858717426</v>
      </c>
    </row>
    <row r="3709" customFormat="false" ht="15" hidden="false" customHeight="false" outlineLevel="0" collapsed="false">
      <c r="A3709" s="0" t="n">
        <v>5</v>
      </c>
      <c r="B3709" s="0" t="n">
        <v>0</v>
      </c>
      <c r="C3709" s="0" t="n">
        <v>6</v>
      </c>
      <c r="D3709" s="0" t="n">
        <v>5</v>
      </c>
      <c r="E3709" s="0" t="n">
        <f aca="false">-1+A3709*0.25</f>
        <v>0.25</v>
      </c>
      <c r="F3709" s="0" t="n">
        <f aca="false">-1+B3709*0.25</f>
        <v>-1</v>
      </c>
      <c r="G3709" s="0" t="n">
        <f aca="false">-1+C3709*0.25</f>
        <v>0.5</v>
      </c>
      <c r="H3709" s="0" t="n">
        <f aca="false">-1+D3709*0.25</f>
        <v>0.25</v>
      </c>
      <c r="I3709" s="0" t="n">
        <f aca="false">1</f>
        <v>1</v>
      </c>
      <c r="J3709" s="0" t="n">
        <f aca="false">E3709</f>
        <v>0.25</v>
      </c>
      <c r="K3709" s="0" t="n">
        <f aca="false">F3709</f>
        <v>-1</v>
      </c>
      <c r="L3709" s="0" t="n">
        <f aca="false">G3709</f>
        <v>0.5</v>
      </c>
      <c r="M3709" s="0" t="n">
        <f aca="false">H3709</f>
        <v>0.25</v>
      </c>
      <c r="N3709" s="0" t="n">
        <f aca="false">E3709*F3709</f>
        <v>-0.25</v>
      </c>
      <c r="O3709" s="0" t="n">
        <f aca="false">E3709*G3709</f>
        <v>0.125</v>
      </c>
      <c r="P3709" s="0" t="n">
        <f aca="false">E3709*H3709</f>
        <v>0.0625</v>
      </c>
      <c r="Q3709" s="0" t="n">
        <f aca="false">F3709*G3709</f>
        <v>-0.5</v>
      </c>
      <c r="R3709" s="0" t="n">
        <f aca="false">F3709*H3709</f>
        <v>-0.25</v>
      </c>
      <c r="S3709" s="0" t="n">
        <f aca="false">G3709*H3709</f>
        <v>0.125</v>
      </c>
      <c r="T3709" s="0" t="n">
        <f aca="false">E3709*E3709</f>
        <v>0.0625</v>
      </c>
      <c r="U3709" s="0" t="n">
        <f aca="false">F3709*F3709</f>
        <v>1</v>
      </c>
      <c r="V3709" s="0" t="n">
        <f aca="false">G3709*G3709</f>
        <v>0.25</v>
      </c>
      <c r="W3709" s="0" t="n">
        <f aca="false">H3709*H3709</f>
        <v>0.0625</v>
      </c>
      <c r="X3709" s="0" t="n">
        <f aca="false">SUMPRODUCT(I3709:W3709,_XtX!$B$96:$P$96)</f>
        <v>43.5476425438596</v>
      </c>
      <c r="Y3709" s="0" t="n">
        <f aca="false">SUMPRODUCT(MMULT(I3709:W3709,_XtX!$B$78:$P$92),I3709:W3709)</f>
        <v>0.445705123812135</v>
      </c>
      <c r="Z3709" s="0" t="n">
        <f aca="false">04_回帰ANOVA!$K$19*04_回帰ANOVA!$K$14*SQRT(1+Y3709)</f>
        <v>1.56724990734749</v>
      </c>
      <c r="AA3709" s="0" t="n">
        <f aca="false">X3709-Z3709</f>
        <v>41.9803926365121</v>
      </c>
      <c r="AB3709" s="0" t="n">
        <f aca="false">X3709+Z3709</f>
        <v>45.1148924512071</v>
      </c>
      <c r="AC3709" s="54" t="b">
        <f aca="false">AND(E3709&gt;=01_因子設定!$L$5-0.000000001,E3709&lt;=01_因子設定!$M$5+0.000000001,F3709&gt;=01_因子設定!$L$6-0.000000001,F3709&lt;=01_因子設定!$M$6+0.000000001,G3709&gt;=01_因子設定!$L$7-0.000000001,G3709&lt;=01_因子設定!$M$7+0.000000001,H3709&gt;=01_因子設定!$L$8-0.000000001,H3709&lt;=01_因子設定!$M$8+0.000000001,IF(01_因子設定!$B$20="Box-Behnken",E3709^2+F3709^2+G3709^2+H3709^2&lt;=2+0.000000001,TRUE()))</f>
        <v>1</v>
      </c>
      <c r="AD3709" s="55" t="n">
        <f aca="false">IF(AC3709,IF(01_因子設定!$B$13="最大化",AA3709-01_因子設定!$B$14,IF(01_因子設定!$B$13="最小化",01_因子設定!$B$15-AB3709,MIN(AA3709-01_因子設定!$B$14,01_因子設定!$B$15-AB3709))),-1E+030)</f>
        <v>-4.5196073634879</v>
      </c>
      <c r="AE3709" s="55" t="n">
        <f aca="false">IF(AC3709,IF(01_因子設定!$B$13="最大化",X3709,IF(01_因子設定!$B$13="最小化",-X3709,-ABS(X3709-01_因子設定!$B$16))),-1E+030)</f>
        <v>43.5476425438596</v>
      </c>
      <c r="AF3709" s="55" t="n">
        <f aca="false">AD3709+ROW()*0.000000001</f>
        <v>-4.5196036544879</v>
      </c>
      <c r="AG3709" s="55" t="n">
        <f aca="false">AE3709+ROW()*0.000000001</f>
        <v>43.5476462528596</v>
      </c>
    </row>
    <row r="3710" customFormat="false" ht="15" hidden="false" customHeight="false" outlineLevel="0" collapsed="false">
      <c r="A3710" s="0" t="n">
        <v>5</v>
      </c>
      <c r="B3710" s="0" t="n">
        <v>0</v>
      </c>
      <c r="C3710" s="0" t="n">
        <v>6</v>
      </c>
      <c r="D3710" s="0" t="n">
        <v>6</v>
      </c>
      <c r="E3710" s="0" t="n">
        <f aca="false">-1+A3710*0.25</f>
        <v>0.25</v>
      </c>
      <c r="F3710" s="0" t="n">
        <f aca="false">-1+B3710*0.25</f>
        <v>-1</v>
      </c>
      <c r="G3710" s="0" t="n">
        <f aca="false">-1+C3710*0.25</f>
        <v>0.5</v>
      </c>
      <c r="H3710" s="0" t="n">
        <f aca="false">-1+D3710*0.25</f>
        <v>0.5</v>
      </c>
      <c r="I3710" s="0" t="n">
        <f aca="false">1</f>
        <v>1</v>
      </c>
      <c r="J3710" s="0" t="n">
        <f aca="false">E3710</f>
        <v>0.25</v>
      </c>
      <c r="K3710" s="0" t="n">
        <f aca="false">F3710</f>
        <v>-1</v>
      </c>
      <c r="L3710" s="0" t="n">
        <f aca="false">G3710</f>
        <v>0.5</v>
      </c>
      <c r="M3710" s="0" t="n">
        <f aca="false">H3710</f>
        <v>0.5</v>
      </c>
      <c r="N3710" s="0" t="n">
        <f aca="false">E3710*F3710</f>
        <v>-0.25</v>
      </c>
      <c r="O3710" s="0" t="n">
        <f aca="false">E3710*G3710</f>
        <v>0.125</v>
      </c>
      <c r="P3710" s="0" t="n">
        <f aca="false">E3710*H3710</f>
        <v>0.125</v>
      </c>
      <c r="Q3710" s="0" t="n">
        <f aca="false">F3710*G3710</f>
        <v>-0.5</v>
      </c>
      <c r="R3710" s="0" t="n">
        <f aca="false">F3710*H3710</f>
        <v>-0.5</v>
      </c>
      <c r="S3710" s="0" t="n">
        <f aca="false">G3710*H3710</f>
        <v>0.25</v>
      </c>
      <c r="T3710" s="0" t="n">
        <f aca="false">E3710*E3710</f>
        <v>0.0625</v>
      </c>
      <c r="U3710" s="0" t="n">
        <f aca="false">F3710*F3710</f>
        <v>1</v>
      </c>
      <c r="V3710" s="0" t="n">
        <f aca="false">G3710*G3710</f>
        <v>0.25</v>
      </c>
      <c r="W3710" s="0" t="n">
        <f aca="false">H3710*H3710</f>
        <v>0.25</v>
      </c>
      <c r="X3710" s="0" t="n">
        <f aca="false">SUMPRODUCT(I3710:W3710,_XtX!$B$96:$P$96)</f>
        <v>43.6741959064327</v>
      </c>
      <c r="Y3710" s="0" t="n">
        <f aca="false">SUMPRODUCT(MMULT(I3710:W3710,_XtX!$B$78:$P$92),I3710:W3710)</f>
        <v>0.428122715643275</v>
      </c>
      <c r="Z3710" s="0" t="n">
        <f aca="false">04_回帰ANOVA!$K$19*04_回帰ANOVA!$K$14*SQRT(1+Y3710)</f>
        <v>1.55769044623229</v>
      </c>
      <c r="AA3710" s="0" t="n">
        <f aca="false">X3710-Z3710</f>
        <v>42.1165054602004</v>
      </c>
      <c r="AB3710" s="0" t="n">
        <f aca="false">X3710+Z3710</f>
        <v>45.231886352665</v>
      </c>
      <c r="AC3710" s="54" t="b">
        <f aca="false">AND(E3710&gt;=01_因子設定!$L$5-0.000000001,E3710&lt;=01_因子設定!$M$5+0.000000001,F3710&gt;=01_因子設定!$L$6-0.000000001,F3710&lt;=01_因子設定!$M$6+0.000000001,G3710&gt;=01_因子設定!$L$7-0.000000001,G3710&lt;=01_因子設定!$M$7+0.000000001,H3710&gt;=01_因子設定!$L$8-0.000000001,H3710&lt;=01_因子設定!$M$8+0.000000001,IF(01_因子設定!$B$20="Box-Behnken",E3710^2+F3710^2+G3710^2+H3710^2&lt;=2+0.000000001,TRUE()))</f>
        <v>1</v>
      </c>
      <c r="AD3710" s="55" t="n">
        <f aca="false">IF(AC3710,IF(01_因子設定!$B$13="最大化",AA3710-01_因子設定!$B$14,IF(01_因子設定!$B$13="最小化",01_因子設定!$B$15-AB3710,MIN(AA3710-01_因子設定!$B$14,01_因子設定!$B$15-AB3710))),-1E+030)</f>
        <v>-4.3834945397996</v>
      </c>
      <c r="AE3710" s="55" t="n">
        <f aca="false">IF(AC3710,IF(01_因子設定!$B$13="最大化",X3710,IF(01_因子設定!$B$13="最小化",-X3710,-ABS(X3710-01_因子設定!$B$16))),-1E+030)</f>
        <v>43.6741959064327</v>
      </c>
      <c r="AF3710" s="55" t="n">
        <f aca="false">AD3710+ROW()*0.000000001</f>
        <v>-4.3834908297996</v>
      </c>
      <c r="AG3710" s="55" t="n">
        <f aca="false">AE3710+ROW()*0.000000001</f>
        <v>43.6741996164327</v>
      </c>
    </row>
    <row r="3711" customFormat="false" ht="15" hidden="false" customHeight="false" outlineLevel="0" collapsed="false">
      <c r="A3711" s="0" t="n">
        <v>5</v>
      </c>
      <c r="B3711" s="0" t="n">
        <v>0</v>
      </c>
      <c r="C3711" s="0" t="n">
        <v>6</v>
      </c>
      <c r="D3711" s="0" t="n">
        <v>7</v>
      </c>
      <c r="E3711" s="0" t="n">
        <f aca="false">-1+A3711*0.25</f>
        <v>0.25</v>
      </c>
      <c r="F3711" s="0" t="n">
        <f aca="false">-1+B3711*0.25</f>
        <v>-1</v>
      </c>
      <c r="G3711" s="0" t="n">
        <f aca="false">-1+C3711*0.25</f>
        <v>0.5</v>
      </c>
      <c r="H3711" s="0" t="n">
        <f aca="false">-1+D3711*0.25</f>
        <v>0.75</v>
      </c>
      <c r="I3711" s="0" t="n">
        <f aca="false">1</f>
        <v>1</v>
      </c>
      <c r="J3711" s="0" t="n">
        <f aca="false">E3711</f>
        <v>0.25</v>
      </c>
      <c r="K3711" s="0" t="n">
        <f aca="false">F3711</f>
        <v>-1</v>
      </c>
      <c r="L3711" s="0" t="n">
        <f aca="false">G3711</f>
        <v>0.5</v>
      </c>
      <c r="M3711" s="0" t="n">
        <f aca="false">H3711</f>
        <v>0.75</v>
      </c>
      <c r="N3711" s="0" t="n">
        <f aca="false">E3711*F3711</f>
        <v>-0.25</v>
      </c>
      <c r="O3711" s="0" t="n">
        <f aca="false">E3711*G3711</f>
        <v>0.125</v>
      </c>
      <c r="P3711" s="0" t="n">
        <f aca="false">E3711*H3711</f>
        <v>0.1875</v>
      </c>
      <c r="Q3711" s="0" t="n">
        <f aca="false">F3711*G3711</f>
        <v>-0.5</v>
      </c>
      <c r="R3711" s="0" t="n">
        <f aca="false">F3711*H3711</f>
        <v>-0.75</v>
      </c>
      <c r="S3711" s="0" t="n">
        <f aca="false">G3711*H3711</f>
        <v>0.375</v>
      </c>
      <c r="T3711" s="0" t="n">
        <f aca="false">E3711*E3711</f>
        <v>0.0625</v>
      </c>
      <c r="U3711" s="0" t="n">
        <f aca="false">F3711*F3711</f>
        <v>1</v>
      </c>
      <c r="V3711" s="0" t="n">
        <f aca="false">G3711*G3711</f>
        <v>0.25</v>
      </c>
      <c r="W3711" s="0" t="n">
        <f aca="false">H3711*H3711</f>
        <v>0.5625</v>
      </c>
      <c r="X3711" s="0" t="n">
        <f aca="false">SUMPRODUCT(I3711:W3711,_XtX!$B$96:$P$96)</f>
        <v>43.7529422514619</v>
      </c>
      <c r="Y3711" s="0" t="n">
        <f aca="false">SUMPRODUCT(MMULT(I3711:W3711,_XtX!$B$78:$P$92),I3711:W3711)</f>
        <v>0.459125719572369</v>
      </c>
      <c r="Z3711" s="0" t="n">
        <f aca="false">04_回帰ANOVA!$K$19*04_回帰ANOVA!$K$14*SQRT(1+Y3711)</f>
        <v>1.57450755575573</v>
      </c>
      <c r="AA3711" s="0" t="n">
        <f aca="false">X3711-Z3711</f>
        <v>42.1784346957062</v>
      </c>
      <c r="AB3711" s="0" t="n">
        <f aca="false">X3711+Z3711</f>
        <v>45.3274498072177</v>
      </c>
      <c r="AC3711" s="54" t="b">
        <f aca="false">AND(E3711&gt;=01_因子設定!$L$5-0.000000001,E3711&lt;=01_因子設定!$M$5+0.000000001,F3711&gt;=01_因子設定!$L$6-0.000000001,F3711&lt;=01_因子設定!$M$6+0.000000001,G3711&gt;=01_因子設定!$L$7-0.000000001,G3711&lt;=01_因子設定!$M$7+0.000000001,H3711&gt;=01_因子設定!$L$8-0.000000001,H3711&lt;=01_因子設定!$M$8+0.000000001,IF(01_因子設定!$B$20="Box-Behnken",E3711^2+F3711^2+G3711^2+H3711^2&lt;=2+0.000000001,TRUE()))</f>
        <v>1</v>
      </c>
      <c r="AD3711" s="55" t="n">
        <f aca="false">IF(AC3711,IF(01_因子設定!$B$13="最大化",AA3711-01_因子設定!$B$14,IF(01_因子設定!$B$13="最小化",01_因子設定!$B$15-AB3711,MIN(AA3711-01_因子設定!$B$14,01_因子設定!$B$15-AB3711))),-1E+030)</f>
        <v>-4.32156530429378</v>
      </c>
      <c r="AE3711" s="55" t="n">
        <f aca="false">IF(AC3711,IF(01_因子設定!$B$13="最大化",X3711,IF(01_因子設定!$B$13="最小化",-X3711,-ABS(X3711-01_因子設定!$B$16))),-1E+030)</f>
        <v>43.7529422514619</v>
      </c>
      <c r="AF3711" s="55" t="n">
        <f aca="false">AD3711+ROW()*0.000000001</f>
        <v>-4.32156159329379</v>
      </c>
      <c r="AG3711" s="55" t="n">
        <f aca="false">AE3711+ROW()*0.000000001</f>
        <v>43.7529459624619</v>
      </c>
    </row>
    <row r="3712" customFormat="false" ht="15" hidden="false" customHeight="false" outlineLevel="0" collapsed="false">
      <c r="A3712" s="0" t="n">
        <v>5</v>
      </c>
      <c r="B3712" s="0" t="n">
        <v>0</v>
      </c>
      <c r="C3712" s="0" t="n">
        <v>6</v>
      </c>
      <c r="D3712" s="0" t="n">
        <v>8</v>
      </c>
      <c r="E3712" s="0" t="n">
        <f aca="false">-1+A3712*0.25</f>
        <v>0.25</v>
      </c>
      <c r="F3712" s="0" t="n">
        <f aca="false">-1+B3712*0.25</f>
        <v>-1</v>
      </c>
      <c r="G3712" s="0" t="n">
        <f aca="false">-1+C3712*0.25</f>
        <v>0.5</v>
      </c>
      <c r="H3712" s="0" t="n">
        <f aca="false">-1+D3712*0.25</f>
        <v>1</v>
      </c>
      <c r="I3712" s="0" t="n">
        <f aca="false">1</f>
        <v>1</v>
      </c>
      <c r="J3712" s="0" t="n">
        <f aca="false">E3712</f>
        <v>0.25</v>
      </c>
      <c r="K3712" s="0" t="n">
        <f aca="false">F3712</f>
        <v>-1</v>
      </c>
      <c r="L3712" s="0" t="n">
        <f aca="false">G3712</f>
        <v>0.5</v>
      </c>
      <c r="M3712" s="0" t="n">
        <f aca="false">H3712</f>
        <v>1</v>
      </c>
      <c r="N3712" s="0" t="n">
        <f aca="false">E3712*F3712</f>
        <v>-0.25</v>
      </c>
      <c r="O3712" s="0" t="n">
        <f aca="false">E3712*G3712</f>
        <v>0.125</v>
      </c>
      <c r="P3712" s="0" t="n">
        <f aca="false">E3712*H3712</f>
        <v>0.25</v>
      </c>
      <c r="Q3712" s="0" t="n">
        <f aca="false">F3712*G3712</f>
        <v>-0.5</v>
      </c>
      <c r="R3712" s="0" t="n">
        <f aca="false">F3712*H3712</f>
        <v>-1</v>
      </c>
      <c r="S3712" s="0" t="n">
        <f aca="false">G3712*H3712</f>
        <v>0.5</v>
      </c>
      <c r="T3712" s="0" t="n">
        <f aca="false">E3712*E3712</f>
        <v>0.0625</v>
      </c>
      <c r="U3712" s="0" t="n">
        <f aca="false">F3712*F3712</f>
        <v>1</v>
      </c>
      <c r="V3712" s="0" t="n">
        <f aca="false">G3712*G3712</f>
        <v>0.25</v>
      </c>
      <c r="W3712" s="0" t="n">
        <f aca="false">H3712*H3712</f>
        <v>1</v>
      </c>
      <c r="X3712" s="0" t="n">
        <f aca="false">SUMPRODUCT(I3712:W3712,_XtX!$B$96:$P$96)</f>
        <v>43.7838815789473</v>
      </c>
      <c r="Y3712" s="0" t="n">
        <f aca="false">SUMPRODUCT(MMULT(I3712:W3712,_XtX!$B$78:$P$92),I3712:W3712)</f>
        <v>0.629174661915205</v>
      </c>
      <c r="Z3712" s="0" t="n">
        <f aca="false">04_回帰ANOVA!$K$19*04_回帰ANOVA!$K$14*SQRT(1+Y3712)</f>
        <v>1.66372758058297</v>
      </c>
      <c r="AA3712" s="0" t="n">
        <f aca="false">X3712-Z3712</f>
        <v>42.1201539983644</v>
      </c>
      <c r="AB3712" s="0" t="n">
        <f aca="false">X3712+Z3712</f>
        <v>45.4476091595303</v>
      </c>
      <c r="AC3712" s="54" t="b">
        <f aca="false">AND(E3712&gt;=01_因子設定!$L$5-0.000000001,E3712&lt;=01_因子設定!$M$5+0.000000001,F3712&gt;=01_因子設定!$L$6-0.000000001,F3712&lt;=01_因子設定!$M$6+0.000000001,G3712&gt;=01_因子設定!$L$7-0.000000001,G3712&lt;=01_因子設定!$M$7+0.000000001,H3712&gt;=01_因子設定!$L$8-0.000000001,H3712&lt;=01_因子設定!$M$8+0.000000001,IF(01_因子設定!$B$20="Box-Behnken",E3712^2+F3712^2+G3712^2+H3712^2&lt;=2+0.000000001,TRUE()))</f>
        <v>1</v>
      </c>
      <c r="AD3712" s="55" t="n">
        <f aca="false">IF(AC3712,IF(01_因子設定!$B$13="最大化",AA3712-01_因子設定!$B$14,IF(01_因子設定!$B$13="最小化",01_因子設定!$B$15-AB3712,MIN(AA3712-01_因子設定!$B$14,01_因子設定!$B$15-AB3712))),-1E+030)</f>
        <v>-4.37984600163563</v>
      </c>
      <c r="AE3712" s="55" t="n">
        <f aca="false">IF(AC3712,IF(01_因子設定!$B$13="最大化",X3712,IF(01_因子設定!$B$13="最小化",-X3712,-ABS(X3712-01_因子設定!$B$16))),-1E+030)</f>
        <v>43.7838815789473</v>
      </c>
      <c r="AF3712" s="55" t="n">
        <f aca="false">AD3712+ROW()*0.000000001</f>
        <v>-4.37984228963563</v>
      </c>
      <c r="AG3712" s="55" t="n">
        <f aca="false">AE3712+ROW()*0.000000001</f>
        <v>43.7838852909473</v>
      </c>
    </row>
    <row r="3713" customFormat="false" ht="15" hidden="false" customHeight="false" outlineLevel="0" collapsed="false">
      <c r="A3713" s="0" t="n">
        <v>5</v>
      </c>
      <c r="B3713" s="0" t="n">
        <v>0</v>
      </c>
      <c r="C3713" s="0" t="n">
        <v>7</v>
      </c>
      <c r="D3713" s="0" t="n">
        <v>0</v>
      </c>
      <c r="E3713" s="0" t="n">
        <f aca="false">-1+A3713*0.25</f>
        <v>0.25</v>
      </c>
      <c r="F3713" s="0" t="n">
        <f aca="false">-1+B3713*0.25</f>
        <v>-1</v>
      </c>
      <c r="G3713" s="0" t="n">
        <f aca="false">-1+C3713*0.25</f>
        <v>0.75</v>
      </c>
      <c r="H3713" s="0" t="n">
        <f aca="false">-1+D3713*0.25</f>
        <v>-1</v>
      </c>
      <c r="I3713" s="0" t="n">
        <f aca="false">1</f>
        <v>1</v>
      </c>
      <c r="J3713" s="0" t="n">
        <f aca="false">E3713</f>
        <v>0.25</v>
      </c>
      <c r="K3713" s="0" t="n">
        <f aca="false">F3713</f>
        <v>-1</v>
      </c>
      <c r="L3713" s="0" t="n">
        <f aca="false">G3713</f>
        <v>0.75</v>
      </c>
      <c r="M3713" s="0" t="n">
        <f aca="false">H3713</f>
        <v>-1</v>
      </c>
      <c r="N3713" s="0" t="n">
        <f aca="false">E3713*F3713</f>
        <v>-0.25</v>
      </c>
      <c r="O3713" s="0" t="n">
        <f aca="false">E3713*G3713</f>
        <v>0.1875</v>
      </c>
      <c r="P3713" s="0" t="n">
        <f aca="false">E3713*H3713</f>
        <v>-0.25</v>
      </c>
      <c r="Q3713" s="0" t="n">
        <f aca="false">F3713*G3713</f>
        <v>-0.75</v>
      </c>
      <c r="R3713" s="0" t="n">
        <f aca="false">F3713*H3713</f>
        <v>1</v>
      </c>
      <c r="S3713" s="0" t="n">
        <f aca="false">G3713*H3713</f>
        <v>-0.75</v>
      </c>
      <c r="T3713" s="0" t="n">
        <f aca="false">E3713*E3713</f>
        <v>0.0625</v>
      </c>
      <c r="U3713" s="0" t="n">
        <f aca="false">F3713*F3713</f>
        <v>1</v>
      </c>
      <c r="V3713" s="0" t="n">
        <f aca="false">G3713*G3713</f>
        <v>0.5625</v>
      </c>
      <c r="W3713" s="0" t="n">
        <f aca="false">H3713*H3713</f>
        <v>1</v>
      </c>
      <c r="X3713" s="0" t="n">
        <f aca="false">SUMPRODUCT(I3713:W3713,_XtX!$B$96:$P$96)</f>
        <v>42.0397112573099</v>
      </c>
      <c r="Y3713" s="0" t="n">
        <f aca="false">SUMPRODUCT(MMULT(I3713:W3713,_XtX!$B$78:$P$92),I3713:W3713)</f>
        <v>0.621372155975877</v>
      </c>
      <c r="Z3713" s="0" t="n">
        <f aca="false">04_回帰ANOVA!$K$19*04_回帰ANOVA!$K$14*SQRT(1+Y3713)</f>
        <v>1.65973880499872</v>
      </c>
      <c r="AA3713" s="0" t="n">
        <f aca="false">X3713-Z3713</f>
        <v>40.3799724523112</v>
      </c>
      <c r="AB3713" s="0" t="n">
        <f aca="false">X3713+Z3713</f>
        <v>43.6994500623086</v>
      </c>
      <c r="AC3713" s="54" t="b">
        <f aca="false">AND(E3713&gt;=01_因子設定!$L$5-0.000000001,E3713&lt;=01_因子設定!$M$5+0.000000001,F3713&gt;=01_因子設定!$L$6-0.000000001,F3713&lt;=01_因子設定!$M$6+0.000000001,G3713&gt;=01_因子設定!$L$7-0.000000001,G3713&lt;=01_因子設定!$M$7+0.000000001,H3713&gt;=01_因子設定!$L$8-0.000000001,H3713&lt;=01_因子設定!$M$8+0.000000001,IF(01_因子設定!$B$20="Box-Behnken",E3713^2+F3713^2+G3713^2+H3713^2&lt;=2+0.000000001,TRUE()))</f>
        <v>1</v>
      </c>
      <c r="AD3713" s="55" t="n">
        <f aca="false">IF(AC3713,IF(01_因子設定!$B$13="最大化",AA3713-01_因子設定!$B$14,IF(01_因子設定!$B$13="最小化",01_因子設定!$B$15-AB3713,MIN(AA3713-01_因子設定!$B$14,01_因子設定!$B$15-AB3713))),-1E+030)</f>
        <v>-6.1200275476888</v>
      </c>
      <c r="AE3713" s="55" t="n">
        <f aca="false">IF(AC3713,IF(01_因子設定!$B$13="最大化",X3713,IF(01_因子設定!$B$13="最小化",-X3713,-ABS(X3713-01_因子設定!$B$16))),-1E+030)</f>
        <v>42.0397112573099</v>
      </c>
      <c r="AF3713" s="55" t="n">
        <f aca="false">AD3713+ROW()*0.000000001</f>
        <v>-6.1200238346888</v>
      </c>
      <c r="AG3713" s="55" t="n">
        <f aca="false">AE3713+ROW()*0.000000001</f>
        <v>42.0397149703099</v>
      </c>
    </row>
    <row r="3714" customFormat="false" ht="15" hidden="false" customHeight="false" outlineLevel="0" collapsed="false">
      <c r="A3714" s="0" t="n">
        <v>5</v>
      </c>
      <c r="B3714" s="0" t="n">
        <v>0</v>
      </c>
      <c r="C3714" s="0" t="n">
        <v>7</v>
      </c>
      <c r="D3714" s="0" t="n">
        <v>1</v>
      </c>
      <c r="E3714" s="0" t="n">
        <f aca="false">-1+A3714*0.25</f>
        <v>0.25</v>
      </c>
      <c r="F3714" s="0" t="n">
        <f aca="false">-1+B3714*0.25</f>
        <v>-1</v>
      </c>
      <c r="G3714" s="0" t="n">
        <f aca="false">-1+C3714*0.25</f>
        <v>0.75</v>
      </c>
      <c r="H3714" s="0" t="n">
        <f aca="false">-1+D3714*0.25</f>
        <v>-0.75</v>
      </c>
      <c r="I3714" s="0" t="n">
        <f aca="false">1</f>
        <v>1</v>
      </c>
      <c r="J3714" s="0" t="n">
        <f aca="false">E3714</f>
        <v>0.25</v>
      </c>
      <c r="K3714" s="0" t="n">
        <f aca="false">F3714</f>
        <v>-1</v>
      </c>
      <c r="L3714" s="0" t="n">
        <f aca="false">G3714</f>
        <v>0.75</v>
      </c>
      <c r="M3714" s="0" t="n">
        <f aca="false">H3714</f>
        <v>-0.75</v>
      </c>
      <c r="N3714" s="0" t="n">
        <f aca="false">E3714*F3714</f>
        <v>-0.25</v>
      </c>
      <c r="O3714" s="0" t="n">
        <f aca="false">E3714*G3714</f>
        <v>0.1875</v>
      </c>
      <c r="P3714" s="0" t="n">
        <f aca="false">E3714*H3714</f>
        <v>-0.1875</v>
      </c>
      <c r="Q3714" s="0" t="n">
        <f aca="false">F3714*G3714</f>
        <v>-0.75</v>
      </c>
      <c r="R3714" s="0" t="n">
        <f aca="false">F3714*H3714</f>
        <v>0.75</v>
      </c>
      <c r="S3714" s="0" t="n">
        <f aca="false">G3714*H3714</f>
        <v>-0.5625</v>
      </c>
      <c r="T3714" s="0" t="n">
        <f aca="false">E3714*E3714</f>
        <v>0.0625</v>
      </c>
      <c r="U3714" s="0" t="n">
        <f aca="false">F3714*F3714</f>
        <v>1</v>
      </c>
      <c r="V3714" s="0" t="n">
        <f aca="false">G3714*G3714</f>
        <v>0.5625</v>
      </c>
      <c r="W3714" s="0" t="n">
        <f aca="false">H3714*H3714</f>
        <v>0.5625</v>
      </c>
      <c r="X3714" s="0" t="n">
        <f aca="false">SUMPRODUCT(I3714:W3714,_XtX!$B$96:$P$96)</f>
        <v>42.4232684576023</v>
      </c>
      <c r="Y3714" s="0" t="n">
        <f aca="false">SUMPRODUCT(MMULT(I3714:W3714,_XtX!$B$78:$P$92),I3714:W3714)</f>
        <v>0.473959761056287</v>
      </c>
      <c r="Z3714" s="0" t="n">
        <f aca="false">04_回帰ANOVA!$K$19*04_回帰ANOVA!$K$14*SQRT(1+Y3714)</f>
        <v>1.58249084588329</v>
      </c>
      <c r="AA3714" s="0" t="n">
        <f aca="false">X3714-Z3714</f>
        <v>40.840777611719</v>
      </c>
      <c r="AB3714" s="0" t="n">
        <f aca="false">X3714+Z3714</f>
        <v>44.0057593034856</v>
      </c>
      <c r="AC3714" s="54" t="b">
        <f aca="false">AND(E3714&gt;=01_因子設定!$L$5-0.000000001,E3714&lt;=01_因子設定!$M$5+0.000000001,F3714&gt;=01_因子設定!$L$6-0.000000001,F3714&lt;=01_因子設定!$M$6+0.000000001,G3714&gt;=01_因子設定!$L$7-0.000000001,G3714&lt;=01_因子設定!$M$7+0.000000001,H3714&gt;=01_因子設定!$L$8-0.000000001,H3714&lt;=01_因子設定!$M$8+0.000000001,IF(01_因子設定!$B$20="Box-Behnken",E3714^2+F3714^2+G3714^2+H3714^2&lt;=2+0.000000001,TRUE()))</f>
        <v>1</v>
      </c>
      <c r="AD3714" s="55" t="n">
        <f aca="false">IF(AC3714,IF(01_因子設定!$B$13="最大化",AA3714-01_因子設定!$B$14,IF(01_因子設定!$B$13="最小化",01_因子設定!$B$15-AB3714,MIN(AA3714-01_因子設定!$B$14,01_因子設定!$B$15-AB3714))),-1E+030)</f>
        <v>-5.65922238828098</v>
      </c>
      <c r="AE3714" s="55" t="n">
        <f aca="false">IF(AC3714,IF(01_因子設定!$B$13="最大化",X3714,IF(01_因子設定!$B$13="最小化",-X3714,-ABS(X3714-01_因子設定!$B$16))),-1E+030)</f>
        <v>42.4232684576023</v>
      </c>
      <c r="AF3714" s="55" t="n">
        <f aca="false">AD3714+ROW()*0.000000001</f>
        <v>-5.65921867428098</v>
      </c>
      <c r="AG3714" s="55" t="n">
        <f aca="false">AE3714+ROW()*0.000000001</f>
        <v>42.4232721716023</v>
      </c>
    </row>
    <row r="3715" customFormat="false" ht="15" hidden="false" customHeight="false" outlineLevel="0" collapsed="false">
      <c r="A3715" s="0" t="n">
        <v>5</v>
      </c>
      <c r="B3715" s="0" t="n">
        <v>0</v>
      </c>
      <c r="C3715" s="0" t="n">
        <v>7</v>
      </c>
      <c r="D3715" s="0" t="n">
        <v>2</v>
      </c>
      <c r="E3715" s="0" t="n">
        <f aca="false">-1+A3715*0.25</f>
        <v>0.25</v>
      </c>
      <c r="F3715" s="0" t="n">
        <f aca="false">-1+B3715*0.25</f>
        <v>-1</v>
      </c>
      <c r="G3715" s="0" t="n">
        <f aca="false">-1+C3715*0.25</f>
        <v>0.75</v>
      </c>
      <c r="H3715" s="0" t="n">
        <f aca="false">-1+D3715*0.25</f>
        <v>-0.5</v>
      </c>
      <c r="I3715" s="0" t="n">
        <f aca="false">1</f>
        <v>1</v>
      </c>
      <c r="J3715" s="0" t="n">
        <f aca="false">E3715</f>
        <v>0.25</v>
      </c>
      <c r="K3715" s="0" t="n">
        <f aca="false">F3715</f>
        <v>-1</v>
      </c>
      <c r="L3715" s="0" t="n">
        <f aca="false">G3715</f>
        <v>0.75</v>
      </c>
      <c r="M3715" s="0" t="n">
        <f aca="false">H3715</f>
        <v>-0.5</v>
      </c>
      <c r="N3715" s="0" t="n">
        <f aca="false">E3715*F3715</f>
        <v>-0.25</v>
      </c>
      <c r="O3715" s="0" t="n">
        <f aca="false">E3715*G3715</f>
        <v>0.1875</v>
      </c>
      <c r="P3715" s="0" t="n">
        <f aca="false">E3715*H3715</f>
        <v>-0.125</v>
      </c>
      <c r="Q3715" s="0" t="n">
        <f aca="false">F3715*G3715</f>
        <v>-0.75</v>
      </c>
      <c r="R3715" s="0" t="n">
        <f aca="false">F3715*H3715</f>
        <v>0.5</v>
      </c>
      <c r="S3715" s="0" t="n">
        <f aca="false">G3715*H3715</f>
        <v>-0.375</v>
      </c>
      <c r="T3715" s="0" t="n">
        <f aca="false">E3715*E3715</f>
        <v>0.0625</v>
      </c>
      <c r="U3715" s="0" t="n">
        <f aca="false">F3715*F3715</f>
        <v>1</v>
      </c>
      <c r="V3715" s="0" t="n">
        <f aca="false">G3715*G3715</f>
        <v>0.5625</v>
      </c>
      <c r="W3715" s="0" t="n">
        <f aca="false">H3715*H3715</f>
        <v>0.25</v>
      </c>
      <c r="X3715" s="0" t="n">
        <f aca="false">SUMPRODUCT(I3715:W3715,_XtX!$B$96:$P$96)</f>
        <v>42.7590186403508</v>
      </c>
      <c r="Y3715" s="0" t="n">
        <f aca="false">SUMPRODUCT(MMULT(I3715:W3715,_XtX!$B$78:$P$92),I3715:W3715)</f>
        <v>0.459125719572369</v>
      </c>
      <c r="Z3715" s="0" t="n">
        <f aca="false">04_回帰ANOVA!$K$19*04_回帰ANOVA!$K$14*SQRT(1+Y3715)</f>
        <v>1.57450755575573</v>
      </c>
      <c r="AA3715" s="0" t="n">
        <f aca="false">X3715-Z3715</f>
        <v>41.1845110845951</v>
      </c>
      <c r="AB3715" s="0" t="n">
        <f aca="false">X3715+Z3715</f>
        <v>44.3335261961066</v>
      </c>
      <c r="AC3715" s="54" t="b">
        <f aca="false">AND(E3715&gt;=01_因子設定!$L$5-0.000000001,E3715&lt;=01_因子設定!$M$5+0.000000001,F3715&gt;=01_因子設定!$L$6-0.000000001,F3715&lt;=01_因子設定!$M$6+0.000000001,G3715&gt;=01_因子設定!$L$7-0.000000001,G3715&lt;=01_因子設定!$M$7+0.000000001,H3715&gt;=01_因子設定!$L$8-0.000000001,H3715&lt;=01_因子設定!$M$8+0.000000001,IF(01_因子設定!$B$20="Box-Behnken",E3715^2+F3715^2+G3715^2+H3715^2&lt;=2+0.000000001,TRUE()))</f>
        <v>1</v>
      </c>
      <c r="AD3715" s="55" t="n">
        <f aca="false">IF(AC3715,IF(01_因子設定!$B$13="最大化",AA3715-01_因子設定!$B$14,IF(01_因子設定!$B$13="最小化",01_因子設定!$B$15-AB3715,MIN(AA3715-01_因子設定!$B$14,01_因子設定!$B$15-AB3715))),-1E+030)</f>
        <v>-5.31548891540491</v>
      </c>
      <c r="AE3715" s="55" t="n">
        <f aca="false">IF(AC3715,IF(01_因子設定!$B$13="最大化",X3715,IF(01_因子設定!$B$13="最小化",-X3715,-ABS(X3715-01_因子設定!$B$16))),-1E+030)</f>
        <v>42.7590186403508</v>
      </c>
      <c r="AF3715" s="55" t="n">
        <f aca="false">AD3715+ROW()*0.000000001</f>
        <v>-5.31548520040491</v>
      </c>
      <c r="AG3715" s="55" t="n">
        <f aca="false">AE3715+ROW()*0.000000001</f>
        <v>42.7590223553508</v>
      </c>
    </row>
    <row r="3716" customFormat="false" ht="15" hidden="false" customHeight="false" outlineLevel="0" collapsed="false">
      <c r="A3716" s="0" t="n">
        <v>5</v>
      </c>
      <c r="B3716" s="0" t="n">
        <v>0</v>
      </c>
      <c r="C3716" s="0" t="n">
        <v>7</v>
      </c>
      <c r="D3716" s="0" t="n">
        <v>3</v>
      </c>
      <c r="E3716" s="0" t="n">
        <f aca="false">-1+A3716*0.25</f>
        <v>0.25</v>
      </c>
      <c r="F3716" s="0" t="n">
        <f aca="false">-1+B3716*0.25</f>
        <v>-1</v>
      </c>
      <c r="G3716" s="0" t="n">
        <f aca="false">-1+C3716*0.25</f>
        <v>0.75</v>
      </c>
      <c r="H3716" s="0" t="n">
        <f aca="false">-1+D3716*0.25</f>
        <v>-0.25</v>
      </c>
      <c r="I3716" s="0" t="n">
        <f aca="false">1</f>
        <v>1</v>
      </c>
      <c r="J3716" s="0" t="n">
        <f aca="false">E3716</f>
        <v>0.25</v>
      </c>
      <c r="K3716" s="0" t="n">
        <f aca="false">F3716</f>
        <v>-1</v>
      </c>
      <c r="L3716" s="0" t="n">
        <f aca="false">G3716</f>
        <v>0.75</v>
      </c>
      <c r="M3716" s="0" t="n">
        <f aca="false">H3716</f>
        <v>-0.25</v>
      </c>
      <c r="N3716" s="0" t="n">
        <f aca="false">E3716*F3716</f>
        <v>-0.25</v>
      </c>
      <c r="O3716" s="0" t="n">
        <f aca="false">E3716*G3716</f>
        <v>0.1875</v>
      </c>
      <c r="P3716" s="0" t="n">
        <f aca="false">E3716*H3716</f>
        <v>-0.0625</v>
      </c>
      <c r="Q3716" s="0" t="n">
        <f aca="false">F3716*G3716</f>
        <v>-0.75</v>
      </c>
      <c r="R3716" s="0" t="n">
        <f aca="false">F3716*H3716</f>
        <v>0.25</v>
      </c>
      <c r="S3716" s="0" t="n">
        <f aca="false">G3716*H3716</f>
        <v>-0.1875</v>
      </c>
      <c r="T3716" s="0" t="n">
        <f aca="false">E3716*E3716</f>
        <v>0.0625</v>
      </c>
      <c r="U3716" s="0" t="n">
        <f aca="false">F3716*F3716</f>
        <v>1</v>
      </c>
      <c r="V3716" s="0" t="n">
        <f aca="false">G3716*G3716</f>
        <v>0.5625</v>
      </c>
      <c r="W3716" s="0" t="n">
        <f aca="false">H3716*H3716</f>
        <v>0.0625</v>
      </c>
      <c r="X3716" s="0" t="n">
        <f aca="false">SUMPRODUCT(I3716:W3716,_XtX!$B$96:$P$96)</f>
        <v>43.0469618055555</v>
      </c>
      <c r="Y3716" s="0" t="n">
        <f aca="false">SUMPRODUCT(MMULT(I3716:W3716,_XtX!$B$78:$P$92),I3716:W3716)</f>
        <v>0.486409505208334</v>
      </c>
      <c r="Z3716" s="0" t="n">
        <f aca="false">04_回帰ANOVA!$K$19*04_回帰ANOVA!$K$14*SQRT(1+Y3716)</f>
        <v>1.58916001665498</v>
      </c>
      <c r="AA3716" s="0" t="n">
        <f aca="false">X3716-Z3716</f>
        <v>41.4578017889005</v>
      </c>
      <c r="AB3716" s="0" t="n">
        <f aca="false">X3716+Z3716</f>
        <v>44.6361218222105</v>
      </c>
      <c r="AC3716" s="54" t="b">
        <f aca="false">AND(E3716&gt;=01_因子設定!$L$5-0.000000001,E3716&lt;=01_因子設定!$M$5+0.000000001,F3716&gt;=01_因子設定!$L$6-0.000000001,F3716&lt;=01_因子設定!$M$6+0.000000001,G3716&gt;=01_因子設定!$L$7-0.000000001,G3716&lt;=01_因子設定!$M$7+0.000000001,H3716&gt;=01_因子設定!$L$8-0.000000001,H3716&lt;=01_因子設定!$M$8+0.000000001,IF(01_因子設定!$B$20="Box-Behnken",E3716^2+F3716^2+G3716^2+H3716^2&lt;=2+0.000000001,TRUE()))</f>
        <v>1</v>
      </c>
      <c r="AD3716" s="55" t="n">
        <f aca="false">IF(AC3716,IF(01_因子設定!$B$13="最大化",AA3716-01_因子設定!$B$14,IF(01_因子設定!$B$13="最小化",01_因子設定!$B$15-AB3716,MIN(AA3716-01_因子設定!$B$14,01_因子設定!$B$15-AB3716))),-1E+030)</f>
        <v>-5.04219821109948</v>
      </c>
      <c r="AE3716" s="55" t="n">
        <f aca="false">IF(AC3716,IF(01_因子設定!$B$13="最大化",X3716,IF(01_因子設定!$B$13="最小化",-X3716,-ABS(X3716-01_因子設定!$B$16))),-1E+030)</f>
        <v>43.0469618055555</v>
      </c>
      <c r="AF3716" s="55" t="n">
        <f aca="false">AD3716+ROW()*0.000000001</f>
        <v>-5.04219449509948</v>
      </c>
      <c r="AG3716" s="55" t="n">
        <f aca="false">AE3716+ROW()*0.000000001</f>
        <v>43.0469655215555</v>
      </c>
    </row>
    <row r="3717" customFormat="false" ht="15" hidden="false" customHeight="false" outlineLevel="0" collapsed="false">
      <c r="A3717" s="0" t="n">
        <v>5</v>
      </c>
      <c r="B3717" s="0" t="n">
        <v>0</v>
      </c>
      <c r="C3717" s="0" t="n">
        <v>7</v>
      </c>
      <c r="D3717" s="0" t="n">
        <v>4</v>
      </c>
      <c r="E3717" s="0" t="n">
        <f aca="false">-1+A3717*0.25</f>
        <v>0.25</v>
      </c>
      <c r="F3717" s="0" t="n">
        <f aca="false">-1+B3717*0.25</f>
        <v>-1</v>
      </c>
      <c r="G3717" s="0" t="n">
        <f aca="false">-1+C3717*0.25</f>
        <v>0.75</v>
      </c>
      <c r="H3717" s="0" t="n">
        <f aca="false">-1+D3717*0.25</f>
        <v>0</v>
      </c>
      <c r="I3717" s="0" t="n">
        <f aca="false">1</f>
        <v>1</v>
      </c>
      <c r="J3717" s="0" t="n">
        <f aca="false">E3717</f>
        <v>0.25</v>
      </c>
      <c r="K3717" s="0" t="n">
        <f aca="false">F3717</f>
        <v>-1</v>
      </c>
      <c r="L3717" s="0" t="n">
        <f aca="false">G3717</f>
        <v>0.75</v>
      </c>
      <c r="M3717" s="0" t="n">
        <f aca="false">H3717</f>
        <v>0</v>
      </c>
      <c r="N3717" s="0" t="n">
        <f aca="false">E3717*F3717</f>
        <v>-0.25</v>
      </c>
      <c r="O3717" s="0" t="n">
        <f aca="false">E3717*G3717</f>
        <v>0.1875</v>
      </c>
      <c r="P3717" s="0" t="n">
        <f aca="false">E3717*H3717</f>
        <v>0</v>
      </c>
      <c r="Q3717" s="0" t="n">
        <f aca="false">F3717*G3717</f>
        <v>-0.75</v>
      </c>
      <c r="R3717" s="0" t="n">
        <f aca="false">F3717*H3717</f>
        <v>-0</v>
      </c>
      <c r="S3717" s="0" t="n">
        <f aca="false">G3717*H3717</f>
        <v>0</v>
      </c>
      <c r="T3717" s="0" t="n">
        <f aca="false">E3717*E3717</f>
        <v>0.0625</v>
      </c>
      <c r="U3717" s="0" t="n">
        <f aca="false">F3717*F3717</f>
        <v>1</v>
      </c>
      <c r="V3717" s="0" t="n">
        <f aca="false">G3717*G3717</f>
        <v>0.5625</v>
      </c>
      <c r="W3717" s="0" t="n">
        <f aca="false">H3717*H3717</f>
        <v>0</v>
      </c>
      <c r="X3717" s="0" t="n">
        <f aca="false">SUMPRODUCT(I3717:W3717,_XtX!$B$96:$P$96)</f>
        <v>43.2870979532163</v>
      </c>
      <c r="Y3717" s="0" t="n">
        <f aca="false">SUMPRODUCT(MMULT(I3717:W3717,_XtX!$B$78:$P$92),I3717:W3717)</f>
        <v>0.501534802174708</v>
      </c>
      <c r="Z3717" s="0" t="n">
        <f aca="false">04_回帰ANOVA!$K$19*04_回帰ANOVA!$K$14*SQRT(1+Y3717)</f>
        <v>1.59722498091333</v>
      </c>
      <c r="AA3717" s="0" t="n">
        <f aca="false">X3717-Z3717</f>
        <v>41.689872972303</v>
      </c>
      <c r="AB3717" s="0" t="n">
        <f aca="false">X3717+Z3717</f>
        <v>44.8843229341297</v>
      </c>
      <c r="AC3717" s="54" t="b">
        <f aca="false">AND(E3717&gt;=01_因子設定!$L$5-0.000000001,E3717&lt;=01_因子設定!$M$5+0.000000001,F3717&gt;=01_因子設定!$L$6-0.000000001,F3717&lt;=01_因子設定!$M$6+0.000000001,G3717&gt;=01_因子設定!$L$7-0.000000001,G3717&lt;=01_因子設定!$M$7+0.000000001,H3717&gt;=01_因子設定!$L$8-0.000000001,H3717&lt;=01_因子設定!$M$8+0.000000001,IF(01_因子設定!$B$20="Box-Behnken",E3717^2+F3717^2+G3717^2+H3717^2&lt;=2+0.000000001,TRUE()))</f>
        <v>1</v>
      </c>
      <c r="AD3717" s="55" t="n">
        <f aca="false">IF(AC3717,IF(01_因子設定!$B$13="最大化",AA3717-01_因子設定!$B$14,IF(01_因子設定!$B$13="最小化",01_因子設定!$B$15-AB3717,MIN(AA3717-01_因子設定!$B$14,01_因子設定!$B$15-AB3717))),-1E+030)</f>
        <v>-4.81012702769701</v>
      </c>
      <c r="AE3717" s="55" t="n">
        <f aca="false">IF(AC3717,IF(01_因子設定!$B$13="最大化",X3717,IF(01_因子設定!$B$13="最小化",-X3717,-ABS(X3717-01_因子設定!$B$16))),-1E+030)</f>
        <v>43.2870979532163</v>
      </c>
      <c r="AF3717" s="55" t="n">
        <f aca="false">AD3717+ROW()*0.000000001</f>
        <v>-4.81012331069701</v>
      </c>
      <c r="AG3717" s="55" t="n">
        <f aca="false">AE3717+ROW()*0.000000001</f>
        <v>43.2871016702163</v>
      </c>
    </row>
    <row r="3718" customFormat="false" ht="15" hidden="false" customHeight="false" outlineLevel="0" collapsed="false">
      <c r="A3718" s="0" t="n">
        <v>5</v>
      </c>
      <c r="B3718" s="0" t="n">
        <v>0</v>
      </c>
      <c r="C3718" s="0" t="n">
        <v>7</v>
      </c>
      <c r="D3718" s="0" t="n">
        <v>5</v>
      </c>
      <c r="E3718" s="0" t="n">
        <f aca="false">-1+A3718*0.25</f>
        <v>0.25</v>
      </c>
      <c r="F3718" s="0" t="n">
        <f aca="false">-1+B3718*0.25</f>
        <v>-1</v>
      </c>
      <c r="G3718" s="0" t="n">
        <f aca="false">-1+C3718*0.25</f>
        <v>0.75</v>
      </c>
      <c r="H3718" s="0" t="n">
        <f aca="false">-1+D3718*0.25</f>
        <v>0.25</v>
      </c>
      <c r="I3718" s="0" t="n">
        <f aca="false">1</f>
        <v>1</v>
      </c>
      <c r="J3718" s="0" t="n">
        <f aca="false">E3718</f>
        <v>0.25</v>
      </c>
      <c r="K3718" s="0" t="n">
        <f aca="false">F3718</f>
        <v>-1</v>
      </c>
      <c r="L3718" s="0" t="n">
        <f aca="false">G3718</f>
        <v>0.75</v>
      </c>
      <c r="M3718" s="0" t="n">
        <f aca="false">H3718</f>
        <v>0.25</v>
      </c>
      <c r="N3718" s="0" t="n">
        <f aca="false">E3718*F3718</f>
        <v>-0.25</v>
      </c>
      <c r="O3718" s="0" t="n">
        <f aca="false">E3718*G3718</f>
        <v>0.1875</v>
      </c>
      <c r="P3718" s="0" t="n">
        <f aca="false">E3718*H3718</f>
        <v>0.0625</v>
      </c>
      <c r="Q3718" s="0" t="n">
        <f aca="false">F3718*G3718</f>
        <v>-0.75</v>
      </c>
      <c r="R3718" s="0" t="n">
        <f aca="false">F3718*H3718</f>
        <v>-0.25</v>
      </c>
      <c r="S3718" s="0" t="n">
        <f aca="false">G3718*H3718</f>
        <v>0.1875</v>
      </c>
      <c r="T3718" s="0" t="n">
        <f aca="false">E3718*E3718</f>
        <v>0.0625</v>
      </c>
      <c r="U3718" s="0" t="n">
        <f aca="false">F3718*F3718</f>
        <v>1</v>
      </c>
      <c r="V3718" s="0" t="n">
        <f aca="false">G3718*G3718</f>
        <v>0.5625</v>
      </c>
      <c r="W3718" s="0" t="n">
        <f aca="false">H3718*H3718</f>
        <v>0.0625</v>
      </c>
      <c r="X3718" s="0" t="n">
        <f aca="false">SUMPRODUCT(I3718:W3718,_XtX!$B$96:$P$96)</f>
        <v>43.4794270833333</v>
      </c>
      <c r="Y3718" s="0" t="n">
        <f aca="false">SUMPRODUCT(MMULT(I3718:W3718,_XtX!$B$78:$P$92),I3718:W3718)</f>
        <v>0.486409505208334</v>
      </c>
      <c r="Z3718" s="0" t="n">
        <f aca="false">04_回帰ANOVA!$K$19*04_回帰ANOVA!$K$14*SQRT(1+Y3718)</f>
        <v>1.58916001665498</v>
      </c>
      <c r="AA3718" s="0" t="n">
        <f aca="false">X3718-Z3718</f>
        <v>41.8902670666783</v>
      </c>
      <c r="AB3718" s="0" t="n">
        <f aca="false">X3718+Z3718</f>
        <v>45.0685870999883</v>
      </c>
      <c r="AC3718" s="54" t="b">
        <f aca="false">AND(E3718&gt;=01_因子設定!$L$5-0.000000001,E3718&lt;=01_因子設定!$M$5+0.000000001,F3718&gt;=01_因子設定!$L$6-0.000000001,F3718&lt;=01_因子設定!$M$6+0.000000001,G3718&gt;=01_因子設定!$L$7-0.000000001,G3718&lt;=01_因子設定!$M$7+0.000000001,H3718&gt;=01_因子設定!$L$8-0.000000001,H3718&lt;=01_因子設定!$M$8+0.000000001,IF(01_因子設定!$B$20="Box-Behnken",E3718^2+F3718^2+G3718^2+H3718^2&lt;=2+0.000000001,TRUE()))</f>
        <v>1</v>
      </c>
      <c r="AD3718" s="55" t="n">
        <f aca="false">IF(AC3718,IF(01_因子設定!$B$13="最大化",AA3718-01_因子設定!$B$14,IF(01_因子設定!$B$13="最小化",01_因子設定!$B$15-AB3718,MIN(AA3718-01_因子設定!$B$14,01_因子設定!$B$15-AB3718))),-1E+030)</f>
        <v>-4.6097329333217</v>
      </c>
      <c r="AE3718" s="55" t="n">
        <f aca="false">IF(AC3718,IF(01_因子設定!$B$13="最大化",X3718,IF(01_因子設定!$B$13="最小化",-X3718,-ABS(X3718-01_因子設定!$B$16))),-1E+030)</f>
        <v>43.4794270833333</v>
      </c>
      <c r="AF3718" s="55" t="n">
        <f aca="false">AD3718+ROW()*0.000000001</f>
        <v>-4.6097292153217</v>
      </c>
      <c r="AG3718" s="55" t="n">
        <f aca="false">AE3718+ROW()*0.000000001</f>
        <v>43.4794308013333</v>
      </c>
    </row>
    <row r="3719" customFormat="false" ht="15" hidden="false" customHeight="false" outlineLevel="0" collapsed="false">
      <c r="A3719" s="0" t="n">
        <v>5</v>
      </c>
      <c r="B3719" s="0" t="n">
        <v>0</v>
      </c>
      <c r="C3719" s="0" t="n">
        <v>7</v>
      </c>
      <c r="D3719" s="0" t="n">
        <v>6</v>
      </c>
      <c r="E3719" s="0" t="n">
        <f aca="false">-1+A3719*0.25</f>
        <v>0.25</v>
      </c>
      <c r="F3719" s="0" t="n">
        <f aca="false">-1+B3719*0.25</f>
        <v>-1</v>
      </c>
      <c r="G3719" s="0" t="n">
        <f aca="false">-1+C3719*0.25</f>
        <v>0.75</v>
      </c>
      <c r="H3719" s="0" t="n">
        <f aca="false">-1+D3719*0.25</f>
        <v>0.5</v>
      </c>
      <c r="I3719" s="0" t="n">
        <f aca="false">1</f>
        <v>1</v>
      </c>
      <c r="J3719" s="0" t="n">
        <f aca="false">E3719</f>
        <v>0.25</v>
      </c>
      <c r="K3719" s="0" t="n">
        <f aca="false">F3719</f>
        <v>-1</v>
      </c>
      <c r="L3719" s="0" t="n">
        <f aca="false">G3719</f>
        <v>0.75</v>
      </c>
      <c r="M3719" s="0" t="n">
        <f aca="false">H3719</f>
        <v>0.5</v>
      </c>
      <c r="N3719" s="0" t="n">
        <f aca="false">E3719*F3719</f>
        <v>-0.25</v>
      </c>
      <c r="O3719" s="0" t="n">
        <f aca="false">E3719*G3719</f>
        <v>0.1875</v>
      </c>
      <c r="P3719" s="0" t="n">
        <f aca="false">E3719*H3719</f>
        <v>0.125</v>
      </c>
      <c r="Q3719" s="0" t="n">
        <f aca="false">F3719*G3719</f>
        <v>-0.75</v>
      </c>
      <c r="R3719" s="0" t="n">
        <f aca="false">F3719*H3719</f>
        <v>-0.5</v>
      </c>
      <c r="S3719" s="0" t="n">
        <f aca="false">G3719*H3719</f>
        <v>0.375</v>
      </c>
      <c r="T3719" s="0" t="n">
        <f aca="false">E3719*E3719</f>
        <v>0.0625</v>
      </c>
      <c r="U3719" s="0" t="n">
        <f aca="false">F3719*F3719</f>
        <v>1</v>
      </c>
      <c r="V3719" s="0" t="n">
        <f aca="false">G3719*G3719</f>
        <v>0.5625</v>
      </c>
      <c r="W3719" s="0" t="n">
        <f aca="false">H3719*H3719</f>
        <v>0.25</v>
      </c>
      <c r="X3719" s="0" t="n">
        <f aca="false">SUMPRODUCT(I3719:W3719,_XtX!$B$96:$P$96)</f>
        <v>43.6239491959064</v>
      </c>
      <c r="Y3719" s="0" t="n">
        <f aca="false">SUMPRODUCT(MMULT(I3719:W3719,_XtX!$B$78:$P$92),I3719:W3719)</f>
        <v>0.459125719572369</v>
      </c>
      <c r="Z3719" s="0" t="n">
        <f aca="false">04_回帰ANOVA!$K$19*04_回帰ANOVA!$K$14*SQRT(1+Y3719)</f>
        <v>1.57450755575573</v>
      </c>
      <c r="AA3719" s="0" t="n">
        <f aca="false">X3719-Z3719</f>
        <v>42.0494416401507</v>
      </c>
      <c r="AB3719" s="0" t="n">
        <f aca="false">X3719+Z3719</f>
        <v>45.1984567516621</v>
      </c>
      <c r="AC3719" s="54" t="b">
        <f aca="false">AND(E3719&gt;=01_因子設定!$L$5-0.000000001,E3719&lt;=01_因子設定!$M$5+0.000000001,F3719&gt;=01_因子設定!$L$6-0.000000001,F3719&lt;=01_因子設定!$M$6+0.000000001,G3719&gt;=01_因子設定!$L$7-0.000000001,G3719&lt;=01_因子設定!$M$7+0.000000001,H3719&gt;=01_因子設定!$L$8-0.000000001,H3719&lt;=01_因子設定!$M$8+0.000000001,IF(01_因子設定!$B$20="Box-Behnken",E3719^2+F3719^2+G3719^2+H3719^2&lt;=2+0.000000001,TRUE()))</f>
        <v>1</v>
      </c>
      <c r="AD3719" s="55" t="n">
        <f aca="false">IF(AC3719,IF(01_因子設定!$B$13="最大化",AA3719-01_因子設定!$B$14,IF(01_因子設定!$B$13="最小化",01_因子設定!$B$15-AB3719,MIN(AA3719-01_因子設定!$B$14,01_因子設定!$B$15-AB3719))),-1E+030)</f>
        <v>-4.45055835984935</v>
      </c>
      <c r="AE3719" s="55" t="n">
        <f aca="false">IF(AC3719,IF(01_因子設定!$B$13="最大化",X3719,IF(01_因子設定!$B$13="最小化",-X3719,-ABS(X3719-01_因子設定!$B$16))),-1E+030)</f>
        <v>43.6239491959064</v>
      </c>
      <c r="AF3719" s="55" t="n">
        <f aca="false">AD3719+ROW()*0.000000001</f>
        <v>-4.45055464084935</v>
      </c>
      <c r="AG3719" s="55" t="n">
        <f aca="false">AE3719+ROW()*0.000000001</f>
        <v>43.6239529149064</v>
      </c>
    </row>
    <row r="3720" customFormat="false" ht="15" hidden="false" customHeight="false" outlineLevel="0" collapsed="false">
      <c r="A3720" s="0" t="n">
        <v>5</v>
      </c>
      <c r="B3720" s="0" t="n">
        <v>0</v>
      </c>
      <c r="C3720" s="0" t="n">
        <v>7</v>
      </c>
      <c r="D3720" s="0" t="n">
        <v>7</v>
      </c>
      <c r="E3720" s="0" t="n">
        <f aca="false">-1+A3720*0.25</f>
        <v>0.25</v>
      </c>
      <c r="F3720" s="0" t="n">
        <f aca="false">-1+B3720*0.25</f>
        <v>-1</v>
      </c>
      <c r="G3720" s="0" t="n">
        <f aca="false">-1+C3720*0.25</f>
        <v>0.75</v>
      </c>
      <c r="H3720" s="0" t="n">
        <f aca="false">-1+D3720*0.25</f>
        <v>0.75</v>
      </c>
      <c r="I3720" s="0" t="n">
        <f aca="false">1</f>
        <v>1</v>
      </c>
      <c r="J3720" s="0" t="n">
        <f aca="false">E3720</f>
        <v>0.25</v>
      </c>
      <c r="K3720" s="0" t="n">
        <f aca="false">F3720</f>
        <v>-1</v>
      </c>
      <c r="L3720" s="0" t="n">
        <f aca="false">G3720</f>
        <v>0.75</v>
      </c>
      <c r="M3720" s="0" t="n">
        <f aca="false">H3720</f>
        <v>0.75</v>
      </c>
      <c r="N3720" s="0" t="n">
        <f aca="false">E3720*F3720</f>
        <v>-0.25</v>
      </c>
      <c r="O3720" s="0" t="n">
        <f aca="false">E3720*G3720</f>
        <v>0.1875</v>
      </c>
      <c r="P3720" s="0" t="n">
        <f aca="false">E3720*H3720</f>
        <v>0.1875</v>
      </c>
      <c r="Q3720" s="0" t="n">
        <f aca="false">F3720*G3720</f>
        <v>-0.75</v>
      </c>
      <c r="R3720" s="0" t="n">
        <f aca="false">F3720*H3720</f>
        <v>-0.75</v>
      </c>
      <c r="S3720" s="0" t="n">
        <f aca="false">G3720*H3720</f>
        <v>0.5625</v>
      </c>
      <c r="T3720" s="0" t="n">
        <f aca="false">E3720*E3720</f>
        <v>0.0625</v>
      </c>
      <c r="U3720" s="0" t="n">
        <f aca="false">F3720*F3720</f>
        <v>1</v>
      </c>
      <c r="V3720" s="0" t="n">
        <f aca="false">G3720*G3720</f>
        <v>0.5625</v>
      </c>
      <c r="W3720" s="0" t="n">
        <f aca="false">H3720*H3720</f>
        <v>0.5625</v>
      </c>
      <c r="X3720" s="0" t="n">
        <f aca="false">SUMPRODUCT(I3720:W3720,_XtX!$B$96:$P$96)</f>
        <v>43.7206642909356</v>
      </c>
      <c r="Y3720" s="0" t="n">
        <f aca="false">SUMPRODUCT(MMULT(I3720:W3720,_XtX!$B$78:$P$92),I3720:W3720)</f>
        <v>0.473959761056287</v>
      </c>
      <c r="Z3720" s="0" t="n">
        <f aca="false">04_回帰ANOVA!$K$19*04_回帰ANOVA!$K$14*SQRT(1+Y3720)</f>
        <v>1.58249084588329</v>
      </c>
      <c r="AA3720" s="0" t="n">
        <f aca="false">X3720-Z3720</f>
        <v>42.1381734450523</v>
      </c>
      <c r="AB3720" s="0" t="n">
        <f aca="false">X3720+Z3720</f>
        <v>45.3031551368189</v>
      </c>
      <c r="AC3720" s="54" t="b">
        <f aca="false">AND(E3720&gt;=01_因子設定!$L$5-0.000000001,E3720&lt;=01_因子設定!$M$5+0.000000001,F3720&gt;=01_因子設定!$L$6-0.000000001,F3720&lt;=01_因子設定!$M$6+0.000000001,G3720&gt;=01_因子設定!$L$7-0.000000001,G3720&lt;=01_因子設定!$M$7+0.000000001,H3720&gt;=01_因子設定!$L$8-0.000000001,H3720&lt;=01_因子設定!$M$8+0.000000001,IF(01_因子設定!$B$20="Box-Behnken",E3720^2+F3720^2+G3720^2+H3720^2&lt;=2+0.000000001,TRUE()))</f>
        <v>1</v>
      </c>
      <c r="AD3720" s="55" t="n">
        <f aca="false">IF(AC3720,IF(01_因子設定!$B$13="最大化",AA3720-01_因子設定!$B$14,IF(01_因子設定!$B$13="最小化",01_因子設定!$B$15-AB3720,MIN(AA3720-01_因子設定!$B$14,01_因子設定!$B$15-AB3720))),-1E+030)</f>
        <v>-4.36182655494766</v>
      </c>
      <c r="AE3720" s="55" t="n">
        <f aca="false">IF(AC3720,IF(01_因子設定!$B$13="最大化",X3720,IF(01_因子設定!$B$13="最小化",-X3720,-ABS(X3720-01_因子設定!$B$16))),-1E+030)</f>
        <v>43.7206642909356</v>
      </c>
      <c r="AF3720" s="55" t="n">
        <f aca="false">AD3720+ROW()*0.000000001</f>
        <v>-4.36182283494766</v>
      </c>
      <c r="AG3720" s="55" t="n">
        <f aca="false">AE3720+ROW()*0.000000001</f>
        <v>43.7206680109356</v>
      </c>
    </row>
    <row r="3721" customFormat="false" ht="15" hidden="false" customHeight="false" outlineLevel="0" collapsed="false">
      <c r="A3721" s="0" t="n">
        <v>5</v>
      </c>
      <c r="B3721" s="0" t="n">
        <v>0</v>
      </c>
      <c r="C3721" s="0" t="n">
        <v>7</v>
      </c>
      <c r="D3721" s="0" t="n">
        <v>8</v>
      </c>
      <c r="E3721" s="0" t="n">
        <f aca="false">-1+A3721*0.25</f>
        <v>0.25</v>
      </c>
      <c r="F3721" s="0" t="n">
        <f aca="false">-1+B3721*0.25</f>
        <v>-1</v>
      </c>
      <c r="G3721" s="0" t="n">
        <f aca="false">-1+C3721*0.25</f>
        <v>0.75</v>
      </c>
      <c r="H3721" s="0" t="n">
        <f aca="false">-1+D3721*0.25</f>
        <v>1</v>
      </c>
      <c r="I3721" s="0" t="n">
        <f aca="false">1</f>
        <v>1</v>
      </c>
      <c r="J3721" s="0" t="n">
        <f aca="false">E3721</f>
        <v>0.25</v>
      </c>
      <c r="K3721" s="0" t="n">
        <f aca="false">F3721</f>
        <v>-1</v>
      </c>
      <c r="L3721" s="0" t="n">
        <f aca="false">G3721</f>
        <v>0.75</v>
      </c>
      <c r="M3721" s="0" t="n">
        <f aca="false">H3721</f>
        <v>1</v>
      </c>
      <c r="N3721" s="0" t="n">
        <f aca="false">E3721*F3721</f>
        <v>-0.25</v>
      </c>
      <c r="O3721" s="0" t="n">
        <f aca="false">E3721*G3721</f>
        <v>0.1875</v>
      </c>
      <c r="P3721" s="0" t="n">
        <f aca="false">E3721*H3721</f>
        <v>0.25</v>
      </c>
      <c r="Q3721" s="0" t="n">
        <f aca="false">F3721*G3721</f>
        <v>-0.75</v>
      </c>
      <c r="R3721" s="0" t="n">
        <f aca="false">F3721*H3721</f>
        <v>-1</v>
      </c>
      <c r="S3721" s="0" t="n">
        <f aca="false">G3721*H3721</f>
        <v>0.75</v>
      </c>
      <c r="T3721" s="0" t="n">
        <f aca="false">E3721*E3721</f>
        <v>0.0625</v>
      </c>
      <c r="U3721" s="0" t="n">
        <f aca="false">F3721*F3721</f>
        <v>1</v>
      </c>
      <c r="V3721" s="0" t="n">
        <f aca="false">G3721*G3721</f>
        <v>0.5625</v>
      </c>
      <c r="W3721" s="0" t="n">
        <f aca="false">H3721*H3721</f>
        <v>1</v>
      </c>
      <c r="X3721" s="0" t="n">
        <f aca="false">SUMPRODUCT(I3721:W3721,_XtX!$B$96:$P$96)</f>
        <v>43.769572368421</v>
      </c>
      <c r="Y3721" s="0" t="n">
        <f aca="false">SUMPRODUCT(MMULT(I3721:W3721,_XtX!$B$78:$P$92),I3721:W3721)</f>
        <v>0.621372155975877</v>
      </c>
      <c r="Z3721" s="0" t="n">
        <f aca="false">04_回帰ANOVA!$K$19*04_回帰ANOVA!$K$14*SQRT(1+Y3721)</f>
        <v>1.65973880499872</v>
      </c>
      <c r="AA3721" s="0" t="n">
        <f aca="false">X3721-Z3721</f>
        <v>42.1098335634223</v>
      </c>
      <c r="AB3721" s="0" t="n">
        <f aca="false">X3721+Z3721</f>
        <v>45.4293111734198</v>
      </c>
      <c r="AC3721" s="54" t="b">
        <f aca="false">AND(E3721&gt;=01_因子設定!$L$5-0.000000001,E3721&lt;=01_因子設定!$M$5+0.000000001,F3721&gt;=01_因子設定!$L$6-0.000000001,F3721&lt;=01_因子設定!$M$6+0.000000001,G3721&gt;=01_因子設定!$L$7-0.000000001,G3721&lt;=01_因子設定!$M$7+0.000000001,H3721&gt;=01_因子設定!$L$8-0.000000001,H3721&lt;=01_因子設定!$M$8+0.000000001,IF(01_因子設定!$B$20="Box-Behnken",E3721^2+F3721^2+G3721^2+H3721^2&lt;=2+0.000000001,TRUE()))</f>
        <v>1</v>
      </c>
      <c r="AD3721" s="55" t="n">
        <f aca="false">IF(AC3721,IF(01_因子設定!$B$13="最大化",AA3721-01_因子設定!$B$14,IF(01_因子設定!$B$13="最小化",01_因子設定!$B$15-AB3721,MIN(AA3721-01_因子設定!$B$14,01_因子設定!$B$15-AB3721))),-1E+030)</f>
        <v>-4.39016643657769</v>
      </c>
      <c r="AE3721" s="55" t="n">
        <f aca="false">IF(AC3721,IF(01_因子設定!$B$13="最大化",X3721,IF(01_因子設定!$B$13="最小化",-X3721,-ABS(X3721-01_因子設定!$B$16))),-1E+030)</f>
        <v>43.769572368421</v>
      </c>
      <c r="AF3721" s="55" t="n">
        <f aca="false">AD3721+ROW()*0.000000001</f>
        <v>-4.39016271557769</v>
      </c>
      <c r="AG3721" s="55" t="n">
        <f aca="false">AE3721+ROW()*0.000000001</f>
        <v>43.769576089421</v>
      </c>
    </row>
    <row r="3722" customFormat="false" ht="15" hidden="false" customHeight="false" outlineLevel="0" collapsed="false">
      <c r="A3722" s="0" t="n">
        <v>5</v>
      </c>
      <c r="B3722" s="0" t="n">
        <v>0</v>
      </c>
      <c r="C3722" s="0" t="n">
        <v>8</v>
      </c>
      <c r="D3722" s="0" t="n">
        <v>0</v>
      </c>
      <c r="E3722" s="0" t="n">
        <f aca="false">-1+A3722*0.25</f>
        <v>0.25</v>
      </c>
      <c r="F3722" s="0" t="n">
        <f aca="false">-1+B3722*0.25</f>
        <v>-1</v>
      </c>
      <c r="G3722" s="0" t="n">
        <f aca="false">-1+C3722*0.25</f>
        <v>1</v>
      </c>
      <c r="H3722" s="0" t="n">
        <f aca="false">-1+D3722*0.25</f>
        <v>-1</v>
      </c>
      <c r="I3722" s="0" t="n">
        <f aca="false">1</f>
        <v>1</v>
      </c>
      <c r="J3722" s="0" t="n">
        <f aca="false">E3722</f>
        <v>0.25</v>
      </c>
      <c r="K3722" s="0" t="n">
        <f aca="false">F3722</f>
        <v>-1</v>
      </c>
      <c r="L3722" s="0" t="n">
        <f aca="false">G3722</f>
        <v>1</v>
      </c>
      <c r="M3722" s="0" t="n">
        <f aca="false">H3722</f>
        <v>-1</v>
      </c>
      <c r="N3722" s="0" t="n">
        <f aca="false">E3722*F3722</f>
        <v>-0.25</v>
      </c>
      <c r="O3722" s="0" t="n">
        <f aca="false">E3722*G3722</f>
        <v>0.25</v>
      </c>
      <c r="P3722" s="0" t="n">
        <f aca="false">E3722*H3722</f>
        <v>-0.25</v>
      </c>
      <c r="Q3722" s="0" t="n">
        <f aca="false">F3722*G3722</f>
        <v>-1</v>
      </c>
      <c r="R3722" s="0" t="n">
        <f aca="false">F3722*H3722</f>
        <v>1</v>
      </c>
      <c r="S3722" s="0" t="n">
        <f aca="false">G3722*H3722</f>
        <v>-1</v>
      </c>
      <c r="T3722" s="0" t="n">
        <f aca="false">E3722*E3722</f>
        <v>0.0625</v>
      </c>
      <c r="U3722" s="0" t="n">
        <f aca="false">F3722*F3722</f>
        <v>1</v>
      </c>
      <c r="V3722" s="0" t="n">
        <f aca="false">G3722*G3722</f>
        <v>1</v>
      </c>
      <c r="W3722" s="0" t="n">
        <f aca="false">H3722*H3722</f>
        <v>1</v>
      </c>
      <c r="X3722" s="0" t="n">
        <f aca="false">SUMPRODUCT(I3722:W3722,_XtX!$B$96:$P$96)</f>
        <v>41.7963450292397</v>
      </c>
      <c r="Y3722" s="0" t="n">
        <f aca="false">SUMPRODUCT(MMULT(I3722:W3722,_XtX!$B$78:$P$92),I3722:W3722)</f>
        <v>0.737093384502924</v>
      </c>
      <c r="Z3722" s="0" t="n">
        <f aca="false">04_回帰ANOVA!$K$19*04_回帰ANOVA!$K$14*SQRT(1+Y3722)</f>
        <v>1.71794784853551</v>
      </c>
      <c r="AA3722" s="0" t="n">
        <f aca="false">X3722-Z3722</f>
        <v>40.0783971807042</v>
      </c>
      <c r="AB3722" s="0" t="n">
        <f aca="false">X3722+Z3722</f>
        <v>43.5142928777753</v>
      </c>
      <c r="AC3722" s="54" t="b">
        <f aca="false">AND(E3722&gt;=01_因子設定!$L$5-0.000000001,E3722&lt;=01_因子設定!$M$5+0.000000001,F3722&gt;=01_因子設定!$L$6-0.000000001,F3722&lt;=01_因子設定!$M$6+0.000000001,G3722&gt;=01_因子設定!$L$7-0.000000001,G3722&lt;=01_因子設定!$M$7+0.000000001,H3722&gt;=01_因子設定!$L$8-0.000000001,H3722&lt;=01_因子設定!$M$8+0.000000001,IF(01_因子設定!$B$20="Box-Behnken",E3722^2+F3722^2+G3722^2+H3722^2&lt;=2+0.000000001,TRUE()))</f>
        <v>1</v>
      </c>
      <c r="AD3722" s="55" t="n">
        <f aca="false">IF(AC3722,IF(01_因子設定!$B$13="最大化",AA3722-01_因子設定!$B$14,IF(01_因子設定!$B$13="最小化",01_因子設定!$B$15-AB3722,MIN(AA3722-01_因子設定!$B$14,01_因子設定!$B$15-AB3722))),-1E+030)</f>
        <v>-6.42160281929576</v>
      </c>
      <c r="AE3722" s="55" t="n">
        <f aca="false">IF(AC3722,IF(01_因子設定!$B$13="最大化",X3722,IF(01_因子設定!$B$13="最小化",-X3722,-ABS(X3722-01_因子設定!$B$16))),-1E+030)</f>
        <v>41.7963450292397</v>
      </c>
      <c r="AF3722" s="55" t="n">
        <f aca="false">AD3722+ROW()*0.000000001</f>
        <v>-6.42159909729576</v>
      </c>
      <c r="AG3722" s="55" t="n">
        <f aca="false">AE3722+ROW()*0.000000001</f>
        <v>41.7963487512398</v>
      </c>
    </row>
    <row r="3723" customFormat="false" ht="15" hidden="false" customHeight="false" outlineLevel="0" collapsed="false">
      <c r="A3723" s="0" t="n">
        <v>5</v>
      </c>
      <c r="B3723" s="0" t="n">
        <v>0</v>
      </c>
      <c r="C3723" s="0" t="n">
        <v>8</v>
      </c>
      <c r="D3723" s="0" t="n">
        <v>1</v>
      </c>
      <c r="E3723" s="0" t="n">
        <f aca="false">-1+A3723*0.25</f>
        <v>0.25</v>
      </c>
      <c r="F3723" s="0" t="n">
        <f aca="false">-1+B3723*0.25</f>
        <v>-1</v>
      </c>
      <c r="G3723" s="0" t="n">
        <f aca="false">-1+C3723*0.25</f>
        <v>1</v>
      </c>
      <c r="H3723" s="0" t="n">
        <f aca="false">-1+D3723*0.25</f>
        <v>-0.75</v>
      </c>
      <c r="I3723" s="0" t="n">
        <f aca="false">1</f>
        <v>1</v>
      </c>
      <c r="J3723" s="0" t="n">
        <f aca="false">E3723</f>
        <v>0.25</v>
      </c>
      <c r="K3723" s="0" t="n">
        <f aca="false">F3723</f>
        <v>-1</v>
      </c>
      <c r="L3723" s="0" t="n">
        <f aca="false">G3723</f>
        <v>1</v>
      </c>
      <c r="M3723" s="0" t="n">
        <f aca="false">H3723</f>
        <v>-0.75</v>
      </c>
      <c r="N3723" s="0" t="n">
        <f aca="false">E3723*F3723</f>
        <v>-0.25</v>
      </c>
      <c r="O3723" s="0" t="n">
        <f aca="false">E3723*G3723</f>
        <v>0.25</v>
      </c>
      <c r="P3723" s="0" t="n">
        <f aca="false">E3723*H3723</f>
        <v>-0.1875</v>
      </c>
      <c r="Q3723" s="0" t="n">
        <f aca="false">F3723*G3723</f>
        <v>-1</v>
      </c>
      <c r="R3723" s="0" t="n">
        <f aca="false">F3723*H3723</f>
        <v>0.75</v>
      </c>
      <c r="S3723" s="0" t="n">
        <f aca="false">G3723*H3723</f>
        <v>-0.75</v>
      </c>
      <c r="T3723" s="0" t="n">
        <f aca="false">E3723*E3723</f>
        <v>0.0625</v>
      </c>
      <c r="U3723" s="0" t="n">
        <f aca="false">F3723*F3723</f>
        <v>1</v>
      </c>
      <c r="V3723" s="0" t="n">
        <f aca="false">G3723*G3723</f>
        <v>1</v>
      </c>
      <c r="W3723" s="0" t="n">
        <f aca="false">H3723*H3723</f>
        <v>0.5625</v>
      </c>
      <c r="X3723" s="0" t="n">
        <f aca="false">SUMPRODUCT(I3723:W3723,_XtX!$B$96:$P$96)</f>
        <v>42.1978709795321</v>
      </c>
      <c r="Y3723" s="0" t="n">
        <f aca="false">SUMPRODUCT(MMULT(I3723:W3723,_XtX!$B$78:$P$92),I3723:W3723)</f>
        <v>0.621372155975877</v>
      </c>
      <c r="Z3723" s="0" t="n">
        <f aca="false">04_回帰ANOVA!$K$19*04_回帰ANOVA!$K$14*SQRT(1+Y3723)</f>
        <v>1.65973880499872</v>
      </c>
      <c r="AA3723" s="0" t="n">
        <f aca="false">X3723-Z3723</f>
        <v>40.5381321745334</v>
      </c>
      <c r="AB3723" s="0" t="n">
        <f aca="false">X3723+Z3723</f>
        <v>43.8576097845308</v>
      </c>
      <c r="AC3723" s="54" t="b">
        <f aca="false">AND(E3723&gt;=01_因子設定!$L$5-0.000000001,E3723&lt;=01_因子設定!$M$5+0.000000001,F3723&gt;=01_因子設定!$L$6-0.000000001,F3723&lt;=01_因子設定!$M$6+0.000000001,G3723&gt;=01_因子設定!$L$7-0.000000001,G3723&lt;=01_因子設定!$M$7+0.000000001,H3723&gt;=01_因子設定!$L$8-0.000000001,H3723&lt;=01_因子設定!$M$8+0.000000001,IF(01_因子設定!$B$20="Box-Behnken",E3723^2+F3723^2+G3723^2+H3723^2&lt;=2+0.000000001,TRUE()))</f>
        <v>1</v>
      </c>
      <c r="AD3723" s="55" t="n">
        <f aca="false">IF(AC3723,IF(01_因子設定!$B$13="最大化",AA3723-01_因子設定!$B$14,IF(01_因子設定!$B$13="最小化",01_因子設定!$B$15-AB3723,MIN(AA3723-01_因子設定!$B$14,01_因子設定!$B$15-AB3723))),-1E+030)</f>
        <v>-5.96186782546659</v>
      </c>
      <c r="AE3723" s="55" t="n">
        <f aca="false">IF(AC3723,IF(01_因子設定!$B$13="最大化",X3723,IF(01_因子設定!$B$13="最小化",-X3723,-ABS(X3723-01_因子設定!$B$16))),-1E+030)</f>
        <v>42.1978709795321</v>
      </c>
      <c r="AF3723" s="55" t="n">
        <f aca="false">AD3723+ROW()*0.000000001</f>
        <v>-5.96186410246659</v>
      </c>
      <c r="AG3723" s="55" t="n">
        <f aca="false">AE3723+ROW()*0.000000001</f>
        <v>42.1978747025321</v>
      </c>
    </row>
    <row r="3724" customFormat="false" ht="15" hidden="false" customHeight="false" outlineLevel="0" collapsed="false">
      <c r="A3724" s="0" t="n">
        <v>5</v>
      </c>
      <c r="B3724" s="0" t="n">
        <v>0</v>
      </c>
      <c r="C3724" s="0" t="n">
        <v>8</v>
      </c>
      <c r="D3724" s="0" t="n">
        <v>2</v>
      </c>
      <c r="E3724" s="0" t="n">
        <f aca="false">-1+A3724*0.25</f>
        <v>0.25</v>
      </c>
      <c r="F3724" s="0" t="n">
        <f aca="false">-1+B3724*0.25</f>
        <v>-1</v>
      </c>
      <c r="G3724" s="0" t="n">
        <f aca="false">-1+C3724*0.25</f>
        <v>1</v>
      </c>
      <c r="H3724" s="0" t="n">
        <f aca="false">-1+D3724*0.25</f>
        <v>-0.5</v>
      </c>
      <c r="I3724" s="0" t="n">
        <f aca="false">1</f>
        <v>1</v>
      </c>
      <c r="J3724" s="0" t="n">
        <f aca="false">E3724</f>
        <v>0.25</v>
      </c>
      <c r="K3724" s="0" t="n">
        <f aca="false">F3724</f>
        <v>-1</v>
      </c>
      <c r="L3724" s="0" t="n">
        <f aca="false">G3724</f>
        <v>1</v>
      </c>
      <c r="M3724" s="0" t="n">
        <f aca="false">H3724</f>
        <v>-0.5</v>
      </c>
      <c r="N3724" s="0" t="n">
        <f aca="false">E3724*F3724</f>
        <v>-0.25</v>
      </c>
      <c r="O3724" s="0" t="n">
        <f aca="false">E3724*G3724</f>
        <v>0.25</v>
      </c>
      <c r="P3724" s="0" t="n">
        <f aca="false">E3724*H3724</f>
        <v>-0.125</v>
      </c>
      <c r="Q3724" s="0" t="n">
        <f aca="false">F3724*G3724</f>
        <v>-1</v>
      </c>
      <c r="R3724" s="0" t="n">
        <f aca="false">F3724*H3724</f>
        <v>0.5</v>
      </c>
      <c r="S3724" s="0" t="n">
        <f aca="false">G3724*H3724</f>
        <v>-0.5</v>
      </c>
      <c r="T3724" s="0" t="n">
        <f aca="false">E3724*E3724</f>
        <v>0.0625</v>
      </c>
      <c r="U3724" s="0" t="n">
        <f aca="false">F3724*F3724</f>
        <v>1</v>
      </c>
      <c r="V3724" s="0" t="n">
        <f aca="false">G3724*G3724</f>
        <v>1</v>
      </c>
      <c r="W3724" s="0" t="n">
        <f aca="false">H3724*H3724</f>
        <v>0.25</v>
      </c>
      <c r="X3724" s="0" t="n">
        <f aca="false">SUMPRODUCT(I3724:W3724,_XtX!$B$96:$P$96)</f>
        <v>42.5515899122807</v>
      </c>
      <c r="Y3724" s="0" t="n">
        <f aca="false">SUMPRODUCT(MMULT(I3724:W3724,_XtX!$B$78:$P$92),I3724:W3724)</f>
        <v>0.629174661915205</v>
      </c>
      <c r="Z3724" s="0" t="n">
        <f aca="false">04_回帰ANOVA!$K$19*04_回帰ANOVA!$K$14*SQRT(1+Y3724)</f>
        <v>1.66372758058297</v>
      </c>
      <c r="AA3724" s="0" t="n">
        <f aca="false">X3724-Z3724</f>
        <v>40.8878623316977</v>
      </c>
      <c r="AB3724" s="0" t="n">
        <f aca="false">X3724+Z3724</f>
        <v>44.2153174928636</v>
      </c>
      <c r="AC3724" s="54" t="b">
        <f aca="false">AND(E3724&gt;=01_因子設定!$L$5-0.000000001,E3724&lt;=01_因子設定!$M$5+0.000000001,F3724&gt;=01_因子設定!$L$6-0.000000001,F3724&lt;=01_因子設定!$M$6+0.000000001,G3724&gt;=01_因子設定!$L$7-0.000000001,G3724&lt;=01_因子設定!$M$7+0.000000001,H3724&gt;=01_因子設定!$L$8-0.000000001,H3724&lt;=01_因子設定!$M$8+0.000000001,IF(01_因子設定!$B$20="Box-Behnken",E3724^2+F3724^2+G3724^2+H3724^2&lt;=2+0.000000001,TRUE()))</f>
        <v>1</v>
      </c>
      <c r="AD3724" s="55" t="n">
        <f aca="false">IF(AC3724,IF(01_因子設定!$B$13="最大化",AA3724-01_因子設定!$B$14,IF(01_因子設定!$B$13="最小化",01_因子設定!$B$15-AB3724,MIN(AA3724-01_因子設定!$B$14,01_因子設定!$B$15-AB3724))),-1E+030)</f>
        <v>-5.61213766830232</v>
      </c>
      <c r="AE3724" s="55" t="n">
        <f aca="false">IF(AC3724,IF(01_因子設定!$B$13="最大化",X3724,IF(01_因子設定!$B$13="最小化",-X3724,-ABS(X3724-01_因子設定!$B$16))),-1E+030)</f>
        <v>42.5515899122807</v>
      </c>
      <c r="AF3724" s="55" t="n">
        <f aca="false">AD3724+ROW()*0.000000001</f>
        <v>-5.61213394430232</v>
      </c>
      <c r="AG3724" s="55" t="n">
        <f aca="false">AE3724+ROW()*0.000000001</f>
        <v>42.5515936362807</v>
      </c>
    </row>
    <row r="3725" customFormat="false" ht="15" hidden="false" customHeight="false" outlineLevel="0" collapsed="false">
      <c r="A3725" s="0" t="n">
        <v>5</v>
      </c>
      <c r="B3725" s="0" t="n">
        <v>0</v>
      </c>
      <c r="C3725" s="0" t="n">
        <v>8</v>
      </c>
      <c r="D3725" s="0" t="n">
        <v>3</v>
      </c>
      <c r="E3725" s="0" t="n">
        <f aca="false">-1+A3725*0.25</f>
        <v>0.25</v>
      </c>
      <c r="F3725" s="0" t="n">
        <f aca="false">-1+B3725*0.25</f>
        <v>-1</v>
      </c>
      <c r="G3725" s="0" t="n">
        <f aca="false">-1+C3725*0.25</f>
        <v>1</v>
      </c>
      <c r="H3725" s="0" t="n">
        <f aca="false">-1+D3725*0.25</f>
        <v>-0.25</v>
      </c>
      <c r="I3725" s="0" t="n">
        <f aca="false">1</f>
        <v>1</v>
      </c>
      <c r="J3725" s="0" t="n">
        <f aca="false">E3725</f>
        <v>0.25</v>
      </c>
      <c r="K3725" s="0" t="n">
        <f aca="false">F3725</f>
        <v>-1</v>
      </c>
      <c r="L3725" s="0" t="n">
        <f aca="false">G3725</f>
        <v>1</v>
      </c>
      <c r="M3725" s="0" t="n">
        <f aca="false">H3725</f>
        <v>-0.25</v>
      </c>
      <c r="N3725" s="0" t="n">
        <f aca="false">E3725*F3725</f>
        <v>-0.25</v>
      </c>
      <c r="O3725" s="0" t="n">
        <f aca="false">E3725*G3725</f>
        <v>0.25</v>
      </c>
      <c r="P3725" s="0" t="n">
        <f aca="false">E3725*H3725</f>
        <v>-0.0625</v>
      </c>
      <c r="Q3725" s="0" t="n">
        <f aca="false">F3725*G3725</f>
        <v>-1</v>
      </c>
      <c r="R3725" s="0" t="n">
        <f aca="false">F3725*H3725</f>
        <v>0.25</v>
      </c>
      <c r="S3725" s="0" t="n">
        <f aca="false">G3725*H3725</f>
        <v>-0.25</v>
      </c>
      <c r="T3725" s="0" t="n">
        <f aca="false">E3725*E3725</f>
        <v>0.0625</v>
      </c>
      <c r="U3725" s="0" t="n">
        <f aca="false">F3725*F3725</f>
        <v>1</v>
      </c>
      <c r="V3725" s="0" t="n">
        <f aca="false">G3725*G3725</f>
        <v>1</v>
      </c>
      <c r="W3725" s="0" t="n">
        <f aca="false">H3725*H3725</f>
        <v>0.0625</v>
      </c>
      <c r="X3725" s="0" t="n">
        <f aca="false">SUMPRODUCT(I3725:W3725,_XtX!$B$96:$P$96)</f>
        <v>42.8575018274853</v>
      </c>
      <c r="Y3725" s="0" t="n">
        <f aca="false">SUMPRODUCT(MMULT(I3725:W3725,_XtX!$B$78:$P$92),I3725:W3725)</f>
        <v>0.670040376005117</v>
      </c>
      <c r="Z3725" s="0" t="n">
        <f aca="false">04_回帰ANOVA!$K$19*04_回帰ANOVA!$K$14*SQRT(1+Y3725)</f>
        <v>1.68446456039992</v>
      </c>
      <c r="AA3725" s="0" t="n">
        <f aca="false">X3725-Z3725</f>
        <v>41.1730372670854</v>
      </c>
      <c r="AB3725" s="0" t="n">
        <f aca="false">X3725+Z3725</f>
        <v>44.5419663878852</v>
      </c>
      <c r="AC3725" s="54" t="b">
        <f aca="false">AND(E3725&gt;=01_因子設定!$L$5-0.000000001,E3725&lt;=01_因子設定!$M$5+0.000000001,F3725&gt;=01_因子設定!$L$6-0.000000001,F3725&lt;=01_因子設定!$M$6+0.000000001,G3725&gt;=01_因子設定!$L$7-0.000000001,G3725&lt;=01_因子設定!$M$7+0.000000001,H3725&gt;=01_因子設定!$L$8-0.000000001,H3725&lt;=01_因子設定!$M$8+0.000000001,IF(01_因子設定!$B$20="Box-Behnken",E3725^2+F3725^2+G3725^2+H3725^2&lt;=2+0.000000001,TRUE()))</f>
        <v>1</v>
      </c>
      <c r="AD3725" s="55" t="n">
        <f aca="false">IF(AC3725,IF(01_因子設定!$B$13="最大化",AA3725-01_因子設定!$B$14,IF(01_因子設定!$B$13="最小化",01_因子設定!$B$15-AB3725,MIN(AA3725-01_因子設定!$B$14,01_因子設定!$B$15-AB3725))),-1E+030)</f>
        <v>-5.3269627329146</v>
      </c>
      <c r="AE3725" s="55" t="n">
        <f aca="false">IF(AC3725,IF(01_因子設定!$B$13="最大化",X3725,IF(01_因子設定!$B$13="最小化",-X3725,-ABS(X3725-01_因子設定!$B$16))),-1E+030)</f>
        <v>42.8575018274853</v>
      </c>
      <c r="AF3725" s="55" t="n">
        <f aca="false">AD3725+ROW()*0.000000001</f>
        <v>-5.3269590079146</v>
      </c>
      <c r="AG3725" s="55" t="n">
        <f aca="false">AE3725+ROW()*0.000000001</f>
        <v>42.8575055524853</v>
      </c>
    </row>
    <row r="3726" customFormat="false" ht="15" hidden="false" customHeight="false" outlineLevel="0" collapsed="false">
      <c r="A3726" s="0" t="n">
        <v>5</v>
      </c>
      <c r="B3726" s="0" t="n">
        <v>0</v>
      </c>
      <c r="C3726" s="0" t="n">
        <v>8</v>
      </c>
      <c r="D3726" s="0" t="n">
        <v>4</v>
      </c>
      <c r="E3726" s="0" t="n">
        <f aca="false">-1+A3726*0.25</f>
        <v>0.25</v>
      </c>
      <c r="F3726" s="0" t="n">
        <f aca="false">-1+B3726*0.25</f>
        <v>-1</v>
      </c>
      <c r="G3726" s="0" t="n">
        <f aca="false">-1+C3726*0.25</f>
        <v>1</v>
      </c>
      <c r="H3726" s="0" t="n">
        <f aca="false">-1+D3726*0.25</f>
        <v>0</v>
      </c>
      <c r="I3726" s="0" t="n">
        <f aca="false">1</f>
        <v>1</v>
      </c>
      <c r="J3726" s="0" t="n">
        <f aca="false">E3726</f>
        <v>0.25</v>
      </c>
      <c r="K3726" s="0" t="n">
        <f aca="false">F3726</f>
        <v>-1</v>
      </c>
      <c r="L3726" s="0" t="n">
        <f aca="false">G3726</f>
        <v>1</v>
      </c>
      <c r="M3726" s="0" t="n">
        <f aca="false">H3726</f>
        <v>0</v>
      </c>
      <c r="N3726" s="0" t="n">
        <f aca="false">E3726*F3726</f>
        <v>-0.25</v>
      </c>
      <c r="O3726" s="0" t="n">
        <f aca="false">E3726*G3726</f>
        <v>0.25</v>
      </c>
      <c r="P3726" s="0" t="n">
        <f aca="false">E3726*H3726</f>
        <v>0</v>
      </c>
      <c r="Q3726" s="0" t="n">
        <f aca="false">F3726*G3726</f>
        <v>-1</v>
      </c>
      <c r="R3726" s="0" t="n">
        <f aca="false">F3726*H3726</f>
        <v>-0</v>
      </c>
      <c r="S3726" s="0" t="n">
        <f aca="false">G3726*H3726</f>
        <v>0</v>
      </c>
      <c r="T3726" s="0" t="n">
        <f aca="false">E3726*E3726</f>
        <v>0.0625</v>
      </c>
      <c r="U3726" s="0" t="n">
        <f aca="false">F3726*F3726</f>
        <v>1</v>
      </c>
      <c r="V3726" s="0" t="n">
        <f aca="false">G3726*G3726</f>
        <v>1</v>
      </c>
      <c r="W3726" s="0" t="n">
        <f aca="false">H3726*H3726</f>
        <v>0</v>
      </c>
      <c r="X3726" s="0" t="n">
        <f aca="false">SUMPRODUCT(I3726:W3726,_XtX!$B$96:$P$96)</f>
        <v>43.1156067251461</v>
      </c>
      <c r="Y3726" s="0" t="n">
        <f aca="false">SUMPRODUCT(MMULT(I3726:W3726,_XtX!$B$78:$P$92),I3726:W3726)</f>
        <v>0.689692982456141</v>
      </c>
      <c r="Z3726" s="0" t="n">
        <f aca="false">04_回帰ANOVA!$K$19*04_回帰ANOVA!$K$14*SQRT(1+Y3726)</f>
        <v>1.69434674594998</v>
      </c>
      <c r="AA3726" s="0" t="n">
        <f aca="false">X3726-Z3726</f>
        <v>41.4212599791962</v>
      </c>
      <c r="AB3726" s="0" t="n">
        <f aca="false">X3726+Z3726</f>
        <v>44.8099534710961</v>
      </c>
      <c r="AC3726" s="54" t="b">
        <f aca="false">AND(E3726&gt;=01_因子設定!$L$5-0.000000001,E3726&lt;=01_因子設定!$M$5+0.000000001,F3726&gt;=01_因子設定!$L$6-0.000000001,F3726&lt;=01_因子設定!$M$6+0.000000001,G3726&gt;=01_因子設定!$L$7-0.000000001,G3726&lt;=01_因子設定!$M$7+0.000000001,H3726&gt;=01_因子設定!$L$8-0.000000001,H3726&lt;=01_因子設定!$M$8+0.000000001,IF(01_因子設定!$B$20="Box-Behnken",E3726^2+F3726^2+G3726^2+H3726^2&lt;=2+0.000000001,TRUE()))</f>
        <v>1</v>
      </c>
      <c r="AD3726" s="55" t="n">
        <f aca="false">IF(AC3726,IF(01_因子設定!$B$13="最大化",AA3726-01_因子設定!$B$14,IF(01_因子設定!$B$13="最小化",01_因子設定!$B$15-AB3726,MIN(AA3726-01_因子設定!$B$14,01_因子設定!$B$15-AB3726))),-1E+030)</f>
        <v>-5.07874002080384</v>
      </c>
      <c r="AE3726" s="55" t="n">
        <f aca="false">IF(AC3726,IF(01_因子設定!$B$13="最大化",X3726,IF(01_因子設定!$B$13="最小化",-X3726,-ABS(X3726-01_因子設定!$B$16))),-1E+030)</f>
        <v>43.1156067251461</v>
      </c>
      <c r="AF3726" s="55" t="n">
        <f aca="false">AD3726+ROW()*0.000000001</f>
        <v>-5.07873629480384</v>
      </c>
      <c r="AG3726" s="55" t="n">
        <f aca="false">AE3726+ROW()*0.000000001</f>
        <v>43.1156104511461</v>
      </c>
    </row>
    <row r="3727" customFormat="false" ht="15" hidden="false" customHeight="false" outlineLevel="0" collapsed="false">
      <c r="A3727" s="0" t="n">
        <v>5</v>
      </c>
      <c r="B3727" s="0" t="n">
        <v>0</v>
      </c>
      <c r="C3727" s="0" t="n">
        <v>8</v>
      </c>
      <c r="D3727" s="0" t="n">
        <v>5</v>
      </c>
      <c r="E3727" s="0" t="n">
        <f aca="false">-1+A3727*0.25</f>
        <v>0.25</v>
      </c>
      <c r="F3727" s="0" t="n">
        <f aca="false">-1+B3727*0.25</f>
        <v>-1</v>
      </c>
      <c r="G3727" s="0" t="n">
        <f aca="false">-1+C3727*0.25</f>
        <v>1</v>
      </c>
      <c r="H3727" s="0" t="n">
        <f aca="false">-1+D3727*0.25</f>
        <v>0.25</v>
      </c>
      <c r="I3727" s="0" t="n">
        <f aca="false">1</f>
        <v>1</v>
      </c>
      <c r="J3727" s="0" t="n">
        <f aca="false">E3727</f>
        <v>0.25</v>
      </c>
      <c r="K3727" s="0" t="n">
        <f aca="false">F3727</f>
        <v>-1</v>
      </c>
      <c r="L3727" s="0" t="n">
        <f aca="false">G3727</f>
        <v>1</v>
      </c>
      <c r="M3727" s="0" t="n">
        <f aca="false">H3727</f>
        <v>0.25</v>
      </c>
      <c r="N3727" s="0" t="n">
        <f aca="false">E3727*F3727</f>
        <v>-0.25</v>
      </c>
      <c r="O3727" s="0" t="n">
        <f aca="false">E3727*G3727</f>
        <v>0.25</v>
      </c>
      <c r="P3727" s="0" t="n">
        <f aca="false">E3727*H3727</f>
        <v>0.0625</v>
      </c>
      <c r="Q3727" s="0" t="n">
        <f aca="false">F3727*G3727</f>
        <v>-1</v>
      </c>
      <c r="R3727" s="0" t="n">
        <f aca="false">F3727*H3727</f>
        <v>-0.25</v>
      </c>
      <c r="S3727" s="0" t="n">
        <f aca="false">G3727*H3727</f>
        <v>0.25</v>
      </c>
      <c r="T3727" s="0" t="n">
        <f aca="false">E3727*E3727</f>
        <v>0.0625</v>
      </c>
      <c r="U3727" s="0" t="n">
        <f aca="false">F3727*F3727</f>
        <v>1</v>
      </c>
      <c r="V3727" s="0" t="n">
        <f aca="false">G3727*G3727</f>
        <v>1</v>
      </c>
      <c r="W3727" s="0" t="n">
        <f aca="false">H3727*H3727</f>
        <v>0.0625</v>
      </c>
      <c r="X3727" s="0" t="n">
        <f aca="false">SUMPRODUCT(I3727:W3727,_XtX!$B$96:$P$96)</f>
        <v>43.3259046052631</v>
      </c>
      <c r="Y3727" s="0" t="n">
        <f aca="false">SUMPRODUCT(MMULT(I3727:W3727,_XtX!$B$78:$P$92),I3727:W3727)</f>
        <v>0.670040376005117</v>
      </c>
      <c r="Z3727" s="0" t="n">
        <f aca="false">04_回帰ANOVA!$K$19*04_回帰ANOVA!$K$14*SQRT(1+Y3727)</f>
        <v>1.68446456039992</v>
      </c>
      <c r="AA3727" s="0" t="n">
        <f aca="false">X3727-Z3727</f>
        <v>41.6414400448632</v>
      </c>
      <c r="AB3727" s="0" t="n">
        <f aca="false">X3727+Z3727</f>
        <v>45.010369165663</v>
      </c>
      <c r="AC3727" s="54" t="b">
        <f aca="false">AND(E3727&gt;=01_因子設定!$L$5-0.000000001,E3727&lt;=01_因子設定!$M$5+0.000000001,F3727&gt;=01_因子設定!$L$6-0.000000001,F3727&lt;=01_因子設定!$M$6+0.000000001,G3727&gt;=01_因子設定!$L$7-0.000000001,G3727&lt;=01_因子設定!$M$7+0.000000001,H3727&gt;=01_因子設定!$L$8-0.000000001,H3727&lt;=01_因子設定!$M$8+0.000000001,IF(01_因子設定!$B$20="Box-Behnken",E3727^2+F3727^2+G3727^2+H3727^2&lt;=2+0.000000001,TRUE()))</f>
        <v>1</v>
      </c>
      <c r="AD3727" s="55" t="n">
        <f aca="false">IF(AC3727,IF(01_因子設定!$B$13="最大化",AA3727-01_因子設定!$B$14,IF(01_因子設定!$B$13="最小化",01_因子設定!$B$15-AB3727,MIN(AA3727-01_因子設定!$B$14,01_因子設定!$B$15-AB3727))),-1E+030)</f>
        <v>-4.85855995513681</v>
      </c>
      <c r="AE3727" s="55" t="n">
        <f aca="false">IF(AC3727,IF(01_因子設定!$B$13="最大化",X3727,IF(01_因子設定!$B$13="最小化",-X3727,-ABS(X3727-01_因子設定!$B$16))),-1E+030)</f>
        <v>43.3259046052631</v>
      </c>
      <c r="AF3727" s="55" t="n">
        <f aca="false">AD3727+ROW()*0.000000001</f>
        <v>-4.85855622813681</v>
      </c>
      <c r="AG3727" s="55" t="n">
        <f aca="false">AE3727+ROW()*0.000000001</f>
        <v>43.3259083322631</v>
      </c>
    </row>
    <row r="3728" customFormat="false" ht="15" hidden="false" customHeight="false" outlineLevel="0" collapsed="false">
      <c r="A3728" s="0" t="n">
        <v>5</v>
      </c>
      <c r="B3728" s="0" t="n">
        <v>0</v>
      </c>
      <c r="C3728" s="0" t="n">
        <v>8</v>
      </c>
      <c r="D3728" s="0" t="n">
        <v>6</v>
      </c>
      <c r="E3728" s="0" t="n">
        <f aca="false">-1+A3728*0.25</f>
        <v>0.25</v>
      </c>
      <c r="F3728" s="0" t="n">
        <f aca="false">-1+B3728*0.25</f>
        <v>-1</v>
      </c>
      <c r="G3728" s="0" t="n">
        <f aca="false">-1+C3728*0.25</f>
        <v>1</v>
      </c>
      <c r="H3728" s="0" t="n">
        <f aca="false">-1+D3728*0.25</f>
        <v>0.5</v>
      </c>
      <c r="I3728" s="0" t="n">
        <f aca="false">1</f>
        <v>1</v>
      </c>
      <c r="J3728" s="0" t="n">
        <f aca="false">E3728</f>
        <v>0.25</v>
      </c>
      <c r="K3728" s="0" t="n">
        <f aca="false">F3728</f>
        <v>-1</v>
      </c>
      <c r="L3728" s="0" t="n">
        <f aca="false">G3728</f>
        <v>1</v>
      </c>
      <c r="M3728" s="0" t="n">
        <f aca="false">H3728</f>
        <v>0.5</v>
      </c>
      <c r="N3728" s="0" t="n">
        <f aca="false">E3728*F3728</f>
        <v>-0.25</v>
      </c>
      <c r="O3728" s="0" t="n">
        <f aca="false">E3728*G3728</f>
        <v>0.25</v>
      </c>
      <c r="P3728" s="0" t="n">
        <f aca="false">E3728*H3728</f>
        <v>0.125</v>
      </c>
      <c r="Q3728" s="0" t="n">
        <f aca="false">F3728*G3728</f>
        <v>-1</v>
      </c>
      <c r="R3728" s="0" t="n">
        <f aca="false">F3728*H3728</f>
        <v>-0.5</v>
      </c>
      <c r="S3728" s="0" t="n">
        <f aca="false">G3728*H3728</f>
        <v>0.5</v>
      </c>
      <c r="T3728" s="0" t="n">
        <f aca="false">E3728*E3728</f>
        <v>0.0625</v>
      </c>
      <c r="U3728" s="0" t="n">
        <f aca="false">F3728*F3728</f>
        <v>1</v>
      </c>
      <c r="V3728" s="0" t="n">
        <f aca="false">G3728*G3728</f>
        <v>1</v>
      </c>
      <c r="W3728" s="0" t="n">
        <f aca="false">H3728*H3728</f>
        <v>0.25</v>
      </c>
      <c r="X3728" s="0" t="n">
        <f aca="false">SUMPRODUCT(I3728:W3728,_XtX!$B$96:$P$96)</f>
        <v>43.4883954678362</v>
      </c>
      <c r="Y3728" s="0" t="n">
        <f aca="false">SUMPRODUCT(MMULT(I3728:W3728,_XtX!$B$78:$P$92),I3728:W3728)</f>
        <v>0.629174661915205</v>
      </c>
      <c r="Z3728" s="0" t="n">
        <f aca="false">04_回帰ANOVA!$K$19*04_回帰ANOVA!$K$14*SQRT(1+Y3728)</f>
        <v>1.66372758058297</v>
      </c>
      <c r="AA3728" s="0" t="n">
        <f aca="false">X3728-Z3728</f>
        <v>41.8246678872532</v>
      </c>
      <c r="AB3728" s="0" t="n">
        <f aca="false">X3728+Z3728</f>
        <v>45.1521230484192</v>
      </c>
      <c r="AC3728" s="54" t="b">
        <f aca="false">AND(E3728&gt;=01_因子設定!$L$5-0.000000001,E3728&lt;=01_因子設定!$M$5+0.000000001,F3728&gt;=01_因子設定!$L$6-0.000000001,F3728&lt;=01_因子設定!$M$6+0.000000001,G3728&gt;=01_因子設定!$L$7-0.000000001,G3728&lt;=01_因子設定!$M$7+0.000000001,H3728&gt;=01_因子設定!$L$8-0.000000001,H3728&lt;=01_因子設定!$M$8+0.000000001,IF(01_因子設定!$B$20="Box-Behnken",E3728^2+F3728^2+G3728^2+H3728^2&lt;=2+0.000000001,TRUE()))</f>
        <v>1</v>
      </c>
      <c r="AD3728" s="55" t="n">
        <f aca="false">IF(AC3728,IF(01_因子設定!$B$13="最大化",AA3728-01_因子設定!$B$14,IF(01_因子設定!$B$13="最小化",01_因子設定!$B$15-AB3728,MIN(AA3728-01_因子設定!$B$14,01_因子設定!$B$15-AB3728))),-1E+030)</f>
        <v>-4.67533211274677</v>
      </c>
      <c r="AE3728" s="55" t="n">
        <f aca="false">IF(AC3728,IF(01_因子設定!$B$13="最大化",X3728,IF(01_因子設定!$B$13="最小化",-X3728,-ABS(X3728-01_因子設定!$B$16))),-1E+030)</f>
        <v>43.4883954678362</v>
      </c>
      <c r="AF3728" s="55" t="n">
        <f aca="false">AD3728+ROW()*0.000000001</f>
        <v>-4.67532838474677</v>
      </c>
      <c r="AG3728" s="55" t="n">
        <f aca="false">AE3728+ROW()*0.000000001</f>
        <v>43.4883991958362</v>
      </c>
    </row>
    <row r="3729" customFormat="false" ht="15" hidden="false" customHeight="false" outlineLevel="0" collapsed="false">
      <c r="A3729" s="0" t="n">
        <v>5</v>
      </c>
      <c r="B3729" s="0" t="n">
        <v>0</v>
      </c>
      <c r="C3729" s="0" t="n">
        <v>8</v>
      </c>
      <c r="D3729" s="0" t="n">
        <v>7</v>
      </c>
      <c r="E3729" s="0" t="n">
        <f aca="false">-1+A3729*0.25</f>
        <v>0.25</v>
      </c>
      <c r="F3729" s="0" t="n">
        <f aca="false">-1+B3729*0.25</f>
        <v>-1</v>
      </c>
      <c r="G3729" s="0" t="n">
        <f aca="false">-1+C3729*0.25</f>
        <v>1</v>
      </c>
      <c r="H3729" s="0" t="n">
        <f aca="false">-1+D3729*0.25</f>
        <v>0.75</v>
      </c>
      <c r="I3729" s="0" t="n">
        <f aca="false">1</f>
        <v>1</v>
      </c>
      <c r="J3729" s="0" t="n">
        <f aca="false">E3729</f>
        <v>0.25</v>
      </c>
      <c r="K3729" s="0" t="n">
        <f aca="false">F3729</f>
        <v>-1</v>
      </c>
      <c r="L3729" s="0" t="n">
        <f aca="false">G3729</f>
        <v>1</v>
      </c>
      <c r="M3729" s="0" t="n">
        <f aca="false">H3729</f>
        <v>0.75</v>
      </c>
      <c r="N3729" s="0" t="n">
        <f aca="false">E3729*F3729</f>
        <v>-0.25</v>
      </c>
      <c r="O3729" s="0" t="n">
        <f aca="false">E3729*G3729</f>
        <v>0.25</v>
      </c>
      <c r="P3729" s="0" t="n">
        <f aca="false">E3729*H3729</f>
        <v>0.1875</v>
      </c>
      <c r="Q3729" s="0" t="n">
        <f aca="false">F3729*G3729</f>
        <v>-1</v>
      </c>
      <c r="R3729" s="0" t="n">
        <f aca="false">F3729*H3729</f>
        <v>-0.75</v>
      </c>
      <c r="S3729" s="0" t="n">
        <f aca="false">G3729*H3729</f>
        <v>0.75</v>
      </c>
      <c r="T3729" s="0" t="n">
        <f aca="false">E3729*E3729</f>
        <v>0.0625</v>
      </c>
      <c r="U3729" s="0" t="n">
        <f aca="false">F3729*F3729</f>
        <v>1</v>
      </c>
      <c r="V3729" s="0" t="n">
        <f aca="false">G3729*G3729</f>
        <v>1</v>
      </c>
      <c r="W3729" s="0" t="n">
        <f aca="false">H3729*H3729</f>
        <v>0.5625</v>
      </c>
      <c r="X3729" s="0" t="n">
        <f aca="false">SUMPRODUCT(I3729:W3729,_XtX!$B$96:$P$96)</f>
        <v>43.6030793128655</v>
      </c>
      <c r="Y3729" s="0" t="n">
        <f aca="false">SUMPRODUCT(MMULT(I3729:W3729,_XtX!$B$78:$P$92),I3729:W3729)</f>
        <v>0.621372155975877</v>
      </c>
      <c r="Z3729" s="0" t="n">
        <f aca="false">04_回帰ANOVA!$K$19*04_回帰ANOVA!$K$14*SQRT(1+Y3729)</f>
        <v>1.65973880499872</v>
      </c>
      <c r="AA3729" s="0" t="n">
        <f aca="false">X3729-Z3729</f>
        <v>41.9433405078667</v>
      </c>
      <c r="AB3729" s="0" t="n">
        <f aca="false">X3729+Z3729</f>
        <v>45.2628181178642</v>
      </c>
      <c r="AC3729" s="54" t="b">
        <f aca="false">AND(E3729&gt;=01_因子設定!$L$5-0.000000001,E3729&lt;=01_因子設定!$M$5+0.000000001,F3729&gt;=01_因子設定!$L$6-0.000000001,F3729&lt;=01_因子設定!$M$6+0.000000001,G3729&gt;=01_因子設定!$L$7-0.000000001,G3729&lt;=01_因子設定!$M$7+0.000000001,H3729&gt;=01_因子設定!$L$8-0.000000001,H3729&lt;=01_因子設定!$M$8+0.000000001,IF(01_因子設定!$B$20="Box-Behnken",E3729^2+F3729^2+G3729^2+H3729^2&lt;=2+0.000000001,TRUE()))</f>
        <v>1</v>
      </c>
      <c r="AD3729" s="55" t="n">
        <f aca="false">IF(AC3729,IF(01_因子設定!$B$13="最大化",AA3729-01_因子設定!$B$14,IF(01_因子設定!$B$13="最小化",01_因子設定!$B$15-AB3729,MIN(AA3729-01_因子設定!$B$14,01_因子設定!$B$15-AB3729))),-1E+030)</f>
        <v>-4.55665949213326</v>
      </c>
      <c r="AE3729" s="55" t="n">
        <f aca="false">IF(AC3729,IF(01_因子設定!$B$13="最大化",X3729,IF(01_因子設定!$B$13="最小化",-X3729,-ABS(X3729-01_因子設定!$B$16))),-1E+030)</f>
        <v>43.6030793128655</v>
      </c>
      <c r="AF3729" s="55" t="n">
        <f aca="false">AD3729+ROW()*0.000000001</f>
        <v>-4.55665576313326</v>
      </c>
      <c r="AG3729" s="55" t="n">
        <f aca="false">AE3729+ROW()*0.000000001</f>
        <v>43.6030830418655</v>
      </c>
    </row>
    <row r="3730" customFormat="false" ht="15" hidden="false" customHeight="false" outlineLevel="0" collapsed="false">
      <c r="A3730" s="0" t="n">
        <v>5</v>
      </c>
      <c r="B3730" s="0" t="n">
        <v>0</v>
      </c>
      <c r="C3730" s="0" t="n">
        <v>8</v>
      </c>
      <c r="D3730" s="0" t="n">
        <v>8</v>
      </c>
      <c r="E3730" s="0" t="n">
        <f aca="false">-1+A3730*0.25</f>
        <v>0.25</v>
      </c>
      <c r="F3730" s="0" t="n">
        <f aca="false">-1+B3730*0.25</f>
        <v>-1</v>
      </c>
      <c r="G3730" s="0" t="n">
        <f aca="false">-1+C3730*0.25</f>
        <v>1</v>
      </c>
      <c r="H3730" s="0" t="n">
        <f aca="false">-1+D3730*0.25</f>
        <v>1</v>
      </c>
      <c r="I3730" s="0" t="n">
        <f aca="false">1</f>
        <v>1</v>
      </c>
      <c r="J3730" s="0" t="n">
        <f aca="false">E3730</f>
        <v>0.25</v>
      </c>
      <c r="K3730" s="0" t="n">
        <f aca="false">F3730</f>
        <v>-1</v>
      </c>
      <c r="L3730" s="0" t="n">
        <f aca="false">G3730</f>
        <v>1</v>
      </c>
      <c r="M3730" s="0" t="n">
        <f aca="false">H3730</f>
        <v>1</v>
      </c>
      <c r="N3730" s="0" t="n">
        <f aca="false">E3730*F3730</f>
        <v>-0.25</v>
      </c>
      <c r="O3730" s="0" t="n">
        <f aca="false">E3730*G3730</f>
        <v>0.25</v>
      </c>
      <c r="P3730" s="0" t="n">
        <f aca="false">E3730*H3730</f>
        <v>0.25</v>
      </c>
      <c r="Q3730" s="0" t="n">
        <f aca="false">F3730*G3730</f>
        <v>-1</v>
      </c>
      <c r="R3730" s="0" t="n">
        <f aca="false">F3730*H3730</f>
        <v>-1</v>
      </c>
      <c r="S3730" s="0" t="n">
        <f aca="false">G3730*H3730</f>
        <v>1</v>
      </c>
      <c r="T3730" s="0" t="n">
        <f aca="false">E3730*E3730</f>
        <v>0.0625</v>
      </c>
      <c r="U3730" s="0" t="n">
        <f aca="false">F3730*F3730</f>
        <v>1</v>
      </c>
      <c r="V3730" s="0" t="n">
        <f aca="false">G3730*G3730</f>
        <v>1</v>
      </c>
      <c r="W3730" s="0" t="n">
        <f aca="false">H3730*H3730</f>
        <v>1</v>
      </c>
      <c r="X3730" s="0" t="n">
        <f aca="false">SUMPRODUCT(I3730:W3730,_XtX!$B$96:$P$96)</f>
        <v>43.6699561403509</v>
      </c>
      <c r="Y3730" s="0" t="n">
        <f aca="false">SUMPRODUCT(MMULT(I3730:W3730,_XtX!$B$78:$P$92),I3730:W3730)</f>
        <v>0.737093384502924</v>
      </c>
      <c r="Z3730" s="0" t="n">
        <f aca="false">04_回帰ANOVA!$K$19*04_回帰ANOVA!$K$14*SQRT(1+Y3730)</f>
        <v>1.71794784853551</v>
      </c>
      <c r="AA3730" s="0" t="n">
        <f aca="false">X3730-Z3730</f>
        <v>41.9520082918154</v>
      </c>
      <c r="AB3730" s="0" t="n">
        <f aca="false">X3730+Z3730</f>
        <v>45.3879039888864</v>
      </c>
      <c r="AC3730" s="54" t="b">
        <f aca="false">AND(E3730&gt;=01_因子設定!$L$5-0.000000001,E3730&lt;=01_因子設定!$M$5+0.000000001,F3730&gt;=01_因子設定!$L$6-0.000000001,F3730&lt;=01_因子設定!$M$6+0.000000001,G3730&gt;=01_因子設定!$L$7-0.000000001,G3730&lt;=01_因子設定!$M$7+0.000000001,H3730&gt;=01_因子設定!$L$8-0.000000001,H3730&lt;=01_因子設定!$M$8+0.000000001,IF(01_因子設定!$B$20="Box-Behnken",E3730^2+F3730^2+G3730^2+H3730^2&lt;=2+0.000000001,TRUE()))</f>
        <v>1</v>
      </c>
      <c r="AD3730" s="55" t="n">
        <f aca="false">IF(AC3730,IF(01_因子設定!$B$13="最大化",AA3730-01_因子設定!$B$14,IF(01_因子設定!$B$13="最小化",01_因子設定!$B$15-AB3730,MIN(AA3730-01_因子設定!$B$14,01_因子設定!$B$15-AB3730))),-1E+030)</f>
        <v>-4.54799170818465</v>
      </c>
      <c r="AE3730" s="55" t="n">
        <f aca="false">IF(AC3730,IF(01_因子設定!$B$13="最大化",X3730,IF(01_因子設定!$B$13="最小化",-X3730,-ABS(X3730-01_因子設定!$B$16))),-1E+030)</f>
        <v>43.6699561403509</v>
      </c>
      <c r="AF3730" s="55" t="n">
        <f aca="false">AD3730+ROW()*0.000000001</f>
        <v>-4.54798797818465</v>
      </c>
      <c r="AG3730" s="55" t="n">
        <f aca="false">AE3730+ROW()*0.000000001</f>
        <v>43.6699598703509</v>
      </c>
    </row>
    <row r="3731" customFormat="false" ht="15" hidden="false" customHeight="false" outlineLevel="0" collapsed="false">
      <c r="A3731" s="0" t="n">
        <v>5</v>
      </c>
      <c r="B3731" s="0" t="n">
        <v>1</v>
      </c>
      <c r="C3731" s="0" t="n">
        <v>0</v>
      </c>
      <c r="D3731" s="0" t="n">
        <v>0</v>
      </c>
      <c r="E3731" s="0" t="n">
        <f aca="false">-1+A3731*0.25</f>
        <v>0.25</v>
      </c>
      <c r="F3731" s="0" t="n">
        <f aca="false">-1+B3731*0.25</f>
        <v>-0.75</v>
      </c>
      <c r="G3731" s="0" t="n">
        <f aca="false">-1+C3731*0.25</f>
        <v>-1</v>
      </c>
      <c r="H3731" s="0" t="n">
        <f aca="false">-1+D3731*0.25</f>
        <v>-1</v>
      </c>
      <c r="I3731" s="0" t="n">
        <f aca="false">1</f>
        <v>1</v>
      </c>
      <c r="J3731" s="0" t="n">
        <f aca="false">E3731</f>
        <v>0.25</v>
      </c>
      <c r="K3731" s="0" t="n">
        <f aca="false">F3731</f>
        <v>-0.75</v>
      </c>
      <c r="L3731" s="0" t="n">
        <f aca="false">G3731</f>
        <v>-1</v>
      </c>
      <c r="M3731" s="0" t="n">
        <f aca="false">H3731</f>
        <v>-1</v>
      </c>
      <c r="N3731" s="0" t="n">
        <f aca="false">E3731*F3731</f>
        <v>-0.1875</v>
      </c>
      <c r="O3731" s="0" t="n">
        <f aca="false">E3731*G3731</f>
        <v>-0.25</v>
      </c>
      <c r="P3731" s="0" t="n">
        <f aca="false">E3731*H3731</f>
        <v>-0.25</v>
      </c>
      <c r="Q3731" s="0" t="n">
        <f aca="false">F3731*G3731</f>
        <v>0.75</v>
      </c>
      <c r="R3731" s="0" t="n">
        <f aca="false">F3731*H3731</f>
        <v>0.75</v>
      </c>
      <c r="S3731" s="0" t="n">
        <f aca="false">G3731*H3731</f>
        <v>1</v>
      </c>
      <c r="T3731" s="0" t="n">
        <f aca="false">E3731*E3731</f>
        <v>0.0625</v>
      </c>
      <c r="U3731" s="0" t="n">
        <f aca="false">F3731*F3731</f>
        <v>0.5625</v>
      </c>
      <c r="V3731" s="0" t="n">
        <f aca="false">G3731*G3731</f>
        <v>1</v>
      </c>
      <c r="W3731" s="0" t="n">
        <f aca="false">H3731*H3731</f>
        <v>1</v>
      </c>
      <c r="X3731" s="0" t="n">
        <f aca="false">SUMPRODUCT(I3731:W3731,_XtX!$B$96:$P$96)</f>
        <v>43.0534265350877</v>
      </c>
      <c r="Y3731" s="0" t="n">
        <f aca="false">SUMPRODUCT(MMULT(I3731:W3731,_XtX!$B$78:$P$92),I3731:W3731)</f>
        <v>0.621372155975877</v>
      </c>
      <c r="Z3731" s="0" t="n">
        <f aca="false">04_回帰ANOVA!$K$19*04_回帰ANOVA!$K$14*SQRT(1+Y3731)</f>
        <v>1.65973880499872</v>
      </c>
      <c r="AA3731" s="0" t="n">
        <f aca="false">X3731-Z3731</f>
        <v>41.393687730089</v>
      </c>
      <c r="AB3731" s="0" t="n">
        <f aca="false">X3731+Z3731</f>
        <v>44.7131653400864</v>
      </c>
      <c r="AC3731" s="54" t="b">
        <f aca="false">AND(E3731&gt;=01_因子設定!$L$5-0.000000001,E3731&lt;=01_因子設定!$M$5+0.000000001,F3731&gt;=01_因子設定!$L$6-0.000000001,F3731&lt;=01_因子設定!$M$6+0.000000001,G3731&gt;=01_因子設定!$L$7-0.000000001,G3731&lt;=01_因子設定!$M$7+0.000000001,H3731&gt;=01_因子設定!$L$8-0.000000001,H3731&lt;=01_因子設定!$M$8+0.000000001,IF(01_因子設定!$B$20="Box-Behnken",E3731^2+F3731^2+G3731^2+H3731^2&lt;=2+0.000000001,TRUE()))</f>
        <v>1</v>
      </c>
      <c r="AD3731" s="55" t="n">
        <f aca="false">IF(AC3731,IF(01_因子設定!$B$13="最大化",AA3731-01_因子設定!$B$14,IF(01_因子設定!$B$13="最小化",01_因子設定!$B$15-AB3731,MIN(AA3731-01_因子設定!$B$14,01_因子設定!$B$15-AB3731))),-1E+030)</f>
        <v>-5.10631226991102</v>
      </c>
      <c r="AE3731" s="55" t="n">
        <f aca="false">IF(AC3731,IF(01_因子設定!$B$13="最大化",X3731,IF(01_因子設定!$B$13="最小化",-X3731,-ABS(X3731-01_因子設定!$B$16))),-1E+030)</f>
        <v>43.0534265350877</v>
      </c>
      <c r="AF3731" s="55" t="n">
        <f aca="false">AD3731+ROW()*0.000000001</f>
        <v>-5.10630853891102</v>
      </c>
      <c r="AG3731" s="55" t="n">
        <f aca="false">AE3731+ROW()*0.000000001</f>
        <v>43.0534302660877</v>
      </c>
    </row>
    <row r="3732" customFormat="false" ht="15" hidden="false" customHeight="false" outlineLevel="0" collapsed="false">
      <c r="A3732" s="0" t="n">
        <v>5</v>
      </c>
      <c r="B3732" s="0" t="n">
        <v>1</v>
      </c>
      <c r="C3732" s="0" t="n">
        <v>0</v>
      </c>
      <c r="D3732" s="0" t="n">
        <v>1</v>
      </c>
      <c r="E3732" s="0" t="n">
        <f aca="false">-1+A3732*0.25</f>
        <v>0.25</v>
      </c>
      <c r="F3732" s="0" t="n">
        <f aca="false">-1+B3732*0.25</f>
        <v>-0.75</v>
      </c>
      <c r="G3732" s="0" t="n">
        <f aca="false">-1+C3732*0.25</f>
        <v>-1</v>
      </c>
      <c r="H3732" s="0" t="n">
        <f aca="false">-1+D3732*0.25</f>
        <v>-0.75</v>
      </c>
      <c r="I3732" s="0" t="n">
        <f aca="false">1</f>
        <v>1</v>
      </c>
      <c r="J3732" s="0" t="n">
        <f aca="false">E3732</f>
        <v>0.25</v>
      </c>
      <c r="K3732" s="0" t="n">
        <f aca="false">F3732</f>
        <v>-0.75</v>
      </c>
      <c r="L3732" s="0" t="n">
        <f aca="false">G3732</f>
        <v>-1</v>
      </c>
      <c r="M3732" s="0" t="n">
        <f aca="false">H3732</f>
        <v>-0.75</v>
      </c>
      <c r="N3732" s="0" t="n">
        <f aca="false">E3732*F3732</f>
        <v>-0.1875</v>
      </c>
      <c r="O3732" s="0" t="n">
        <f aca="false">E3732*G3732</f>
        <v>-0.25</v>
      </c>
      <c r="P3732" s="0" t="n">
        <f aca="false">E3732*H3732</f>
        <v>-0.1875</v>
      </c>
      <c r="Q3732" s="0" t="n">
        <f aca="false">F3732*G3732</f>
        <v>0.75</v>
      </c>
      <c r="R3732" s="0" t="n">
        <f aca="false">F3732*H3732</f>
        <v>0.5625</v>
      </c>
      <c r="S3732" s="0" t="n">
        <f aca="false">G3732*H3732</f>
        <v>0.75</v>
      </c>
      <c r="T3732" s="0" t="n">
        <f aca="false">E3732*E3732</f>
        <v>0.0625</v>
      </c>
      <c r="U3732" s="0" t="n">
        <f aca="false">F3732*F3732</f>
        <v>0.5625</v>
      </c>
      <c r="V3732" s="0" t="n">
        <f aca="false">G3732*G3732</f>
        <v>1</v>
      </c>
      <c r="W3732" s="0" t="n">
        <f aca="false">H3732*H3732</f>
        <v>0.5625</v>
      </c>
      <c r="X3732" s="0" t="n">
        <f aca="false">SUMPRODUCT(I3732:W3732,_XtX!$B$96:$P$96)</f>
        <v>43.2979212353801</v>
      </c>
      <c r="Y3732" s="0" t="n">
        <f aca="false">SUMPRODUCT(MMULT(I3732:W3732,_XtX!$B$78:$P$92),I3732:W3732)</f>
        <v>0.473959761056287</v>
      </c>
      <c r="Z3732" s="0" t="n">
        <f aca="false">04_回帰ANOVA!$K$19*04_回帰ANOVA!$K$14*SQRT(1+Y3732)</f>
        <v>1.58249084588329</v>
      </c>
      <c r="AA3732" s="0" t="n">
        <f aca="false">X3732-Z3732</f>
        <v>41.7154303894968</v>
      </c>
      <c r="AB3732" s="0" t="n">
        <f aca="false">X3732+Z3732</f>
        <v>44.8804120812634</v>
      </c>
      <c r="AC3732" s="54" t="b">
        <f aca="false">AND(E3732&gt;=01_因子設定!$L$5-0.000000001,E3732&lt;=01_因子設定!$M$5+0.000000001,F3732&gt;=01_因子設定!$L$6-0.000000001,F3732&lt;=01_因子設定!$M$6+0.000000001,G3732&gt;=01_因子設定!$L$7-0.000000001,G3732&lt;=01_因子設定!$M$7+0.000000001,H3732&gt;=01_因子設定!$L$8-0.000000001,H3732&lt;=01_因子設定!$M$8+0.000000001,IF(01_因子設定!$B$20="Box-Behnken",E3732^2+F3732^2+G3732^2+H3732^2&lt;=2+0.000000001,TRUE()))</f>
        <v>1</v>
      </c>
      <c r="AD3732" s="55" t="n">
        <f aca="false">IF(AC3732,IF(01_因子設定!$B$13="最大化",AA3732-01_因子設定!$B$14,IF(01_因子設定!$B$13="最小化",01_因子設定!$B$15-AB3732,MIN(AA3732-01_因子設定!$B$14,01_因子設定!$B$15-AB3732))),-1E+030)</f>
        <v>-4.78456961050321</v>
      </c>
      <c r="AE3732" s="55" t="n">
        <f aca="false">IF(AC3732,IF(01_因子設定!$B$13="最大化",X3732,IF(01_因子設定!$B$13="最小化",-X3732,-ABS(X3732-01_因子設定!$B$16))),-1E+030)</f>
        <v>43.2979212353801</v>
      </c>
      <c r="AF3732" s="55" t="n">
        <f aca="false">AD3732+ROW()*0.000000001</f>
        <v>-4.78456587850321</v>
      </c>
      <c r="AG3732" s="55" t="n">
        <f aca="false">AE3732+ROW()*0.000000001</f>
        <v>43.2979249673801</v>
      </c>
    </row>
    <row r="3733" customFormat="false" ht="15" hidden="false" customHeight="false" outlineLevel="0" collapsed="false">
      <c r="A3733" s="0" t="n">
        <v>5</v>
      </c>
      <c r="B3733" s="0" t="n">
        <v>1</v>
      </c>
      <c r="C3733" s="0" t="n">
        <v>0</v>
      </c>
      <c r="D3733" s="0" t="n">
        <v>2</v>
      </c>
      <c r="E3733" s="0" t="n">
        <f aca="false">-1+A3733*0.25</f>
        <v>0.25</v>
      </c>
      <c r="F3733" s="0" t="n">
        <f aca="false">-1+B3733*0.25</f>
        <v>-0.75</v>
      </c>
      <c r="G3733" s="0" t="n">
        <f aca="false">-1+C3733*0.25</f>
        <v>-1</v>
      </c>
      <c r="H3733" s="0" t="n">
        <f aca="false">-1+D3733*0.25</f>
        <v>-0.5</v>
      </c>
      <c r="I3733" s="0" t="n">
        <f aca="false">1</f>
        <v>1</v>
      </c>
      <c r="J3733" s="0" t="n">
        <f aca="false">E3733</f>
        <v>0.25</v>
      </c>
      <c r="K3733" s="0" t="n">
        <f aca="false">F3733</f>
        <v>-0.75</v>
      </c>
      <c r="L3733" s="0" t="n">
        <f aca="false">G3733</f>
        <v>-1</v>
      </c>
      <c r="M3733" s="0" t="n">
        <f aca="false">H3733</f>
        <v>-0.5</v>
      </c>
      <c r="N3733" s="0" t="n">
        <f aca="false">E3733*F3733</f>
        <v>-0.1875</v>
      </c>
      <c r="O3733" s="0" t="n">
        <f aca="false">E3733*G3733</f>
        <v>-0.25</v>
      </c>
      <c r="P3733" s="0" t="n">
        <f aca="false">E3733*H3733</f>
        <v>-0.125</v>
      </c>
      <c r="Q3733" s="0" t="n">
        <f aca="false">F3733*G3733</f>
        <v>0.75</v>
      </c>
      <c r="R3733" s="0" t="n">
        <f aca="false">F3733*H3733</f>
        <v>0.375</v>
      </c>
      <c r="S3733" s="0" t="n">
        <f aca="false">G3733*H3733</f>
        <v>0.5</v>
      </c>
      <c r="T3733" s="0" t="n">
        <f aca="false">E3733*E3733</f>
        <v>0.0625</v>
      </c>
      <c r="U3733" s="0" t="n">
        <f aca="false">F3733*F3733</f>
        <v>0.5625</v>
      </c>
      <c r="V3733" s="0" t="n">
        <f aca="false">G3733*G3733</f>
        <v>1</v>
      </c>
      <c r="W3733" s="0" t="n">
        <f aca="false">H3733*H3733</f>
        <v>0.25</v>
      </c>
      <c r="X3733" s="0" t="n">
        <f aca="false">SUMPRODUCT(I3733:W3733,_XtX!$B$96:$P$96)</f>
        <v>43.4946089181286</v>
      </c>
      <c r="Y3733" s="0" t="n">
        <f aca="false">SUMPRODUCT(MMULT(I3733:W3733,_XtX!$B$78:$P$92),I3733:W3733)</f>
        <v>0.459125719572369</v>
      </c>
      <c r="Z3733" s="0" t="n">
        <f aca="false">04_回帰ANOVA!$K$19*04_回帰ANOVA!$K$14*SQRT(1+Y3733)</f>
        <v>1.57450755575573</v>
      </c>
      <c r="AA3733" s="0" t="n">
        <f aca="false">X3733-Z3733</f>
        <v>41.9201013623729</v>
      </c>
      <c r="AB3733" s="0" t="n">
        <f aca="false">X3733+Z3733</f>
        <v>45.0691164738843</v>
      </c>
      <c r="AC3733" s="54" t="b">
        <f aca="false">AND(E3733&gt;=01_因子設定!$L$5-0.000000001,E3733&lt;=01_因子設定!$M$5+0.000000001,F3733&gt;=01_因子設定!$L$6-0.000000001,F3733&lt;=01_因子設定!$M$6+0.000000001,G3733&gt;=01_因子設定!$L$7-0.000000001,G3733&lt;=01_因子設定!$M$7+0.000000001,H3733&gt;=01_因子設定!$L$8-0.000000001,H3733&lt;=01_因子設定!$M$8+0.000000001,IF(01_因子設定!$B$20="Box-Behnken",E3733^2+F3733^2+G3733^2+H3733^2&lt;=2+0.000000001,TRUE()))</f>
        <v>1</v>
      </c>
      <c r="AD3733" s="55" t="n">
        <f aca="false">IF(AC3733,IF(01_因子設定!$B$13="最大化",AA3733-01_因子設定!$B$14,IF(01_因子設定!$B$13="最小化",01_因子設定!$B$15-AB3733,MIN(AA3733-01_因子設定!$B$14,01_因子設定!$B$15-AB3733))),-1E+030)</f>
        <v>-4.57989863762712</v>
      </c>
      <c r="AE3733" s="55" t="n">
        <f aca="false">IF(AC3733,IF(01_因子設定!$B$13="最大化",X3733,IF(01_因子設定!$B$13="最小化",-X3733,-ABS(X3733-01_因子設定!$B$16))),-1E+030)</f>
        <v>43.4946089181286</v>
      </c>
      <c r="AF3733" s="55" t="n">
        <f aca="false">AD3733+ROW()*0.000000001</f>
        <v>-4.57989490462713</v>
      </c>
      <c r="AG3733" s="55" t="n">
        <f aca="false">AE3733+ROW()*0.000000001</f>
        <v>43.4946126511286</v>
      </c>
    </row>
    <row r="3734" customFormat="false" ht="15" hidden="false" customHeight="false" outlineLevel="0" collapsed="false">
      <c r="A3734" s="0" t="n">
        <v>5</v>
      </c>
      <c r="B3734" s="0" t="n">
        <v>1</v>
      </c>
      <c r="C3734" s="0" t="n">
        <v>0</v>
      </c>
      <c r="D3734" s="0" t="n">
        <v>3</v>
      </c>
      <c r="E3734" s="0" t="n">
        <f aca="false">-1+A3734*0.25</f>
        <v>0.25</v>
      </c>
      <c r="F3734" s="0" t="n">
        <f aca="false">-1+B3734*0.25</f>
        <v>-0.75</v>
      </c>
      <c r="G3734" s="0" t="n">
        <f aca="false">-1+C3734*0.25</f>
        <v>-1</v>
      </c>
      <c r="H3734" s="0" t="n">
        <f aca="false">-1+D3734*0.25</f>
        <v>-0.25</v>
      </c>
      <c r="I3734" s="0" t="n">
        <f aca="false">1</f>
        <v>1</v>
      </c>
      <c r="J3734" s="0" t="n">
        <f aca="false">E3734</f>
        <v>0.25</v>
      </c>
      <c r="K3734" s="0" t="n">
        <f aca="false">F3734</f>
        <v>-0.75</v>
      </c>
      <c r="L3734" s="0" t="n">
        <f aca="false">G3734</f>
        <v>-1</v>
      </c>
      <c r="M3734" s="0" t="n">
        <f aca="false">H3734</f>
        <v>-0.25</v>
      </c>
      <c r="N3734" s="0" t="n">
        <f aca="false">E3734*F3734</f>
        <v>-0.1875</v>
      </c>
      <c r="O3734" s="0" t="n">
        <f aca="false">E3734*G3734</f>
        <v>-0.25</v>
      </c>
      <c r="P3734" s="0" t="n">
        <f aca="false">E3734*H3734</f>
        <v>-0.0625</v>
      </c>
      <c r="Q3734" s="0" t="n">
        <f aca="false">F3734*G3734</f>
        <v>0.75</v>
      </c>
      <c r="R3734" s="0" t="n">
        <f aca="false">F3734*H3734</f>
        <v>0.1875</v>
      </c>
      <c r="S3734" s="0" t="n">
        <f aca="false">G3734*H3734</f>
        <v>0.25</v>
      </c>
      <c r="T3734" s="0" t="n">
        <f aca="false">E3734*E3734</f>
        <v>0.0625</v>
      </c>
      <c r="U3734" s="0" t="n">
        <f aca="false">F3734*F3734</f>
        <v>0.5625</v>
      </c>
      <c r="V3734" s="0" t="n">
        <f aca="false">G3734*G3734</f>
        <v>1</v>
      </c>
      <c r="W3734" s="0" t="n">
        <f aca="false">H3734*H3734</f>
        <v>0.0625</v>
      </c>
      <c r="X3734" s="0" t="n">
        <f aca="false">SUMPRODUCT(I3734:W3734,_XtX!$B$96:$P$96)</f>
        <v>43.6434895833333</v>
      </c>
      <c r="Y3734" s="0" t="n">
        <f aca="false">SUMPRODUCT(MMULT(I3734:W3734,_XtX!$B$78:$P$92),I3734:W3734)</f>
        <v>0.486409505208334</v>
      </c>
      <c r="Z3734" s="0" t="n">
        <f aca="false">04_回帰ANOVA!$K$19*04_回帰ANOVA!$K$14*SQRT(1+Y3734)</f>
        <v>1.58916001665498</v>
      </c>
      <c r="AA3734" s="0" t="n">
        <f aca="false">X3734-Z3734</f>
        <v>42.0543295666783</v>
      </c>
      <c r="AB3734" s="0" t="n">
        <f aca="false">X3734+Z3734</f>
        <v>45.2326495999883</v>
      </c>
      <c r="AC3734" s="54" t="b">
        <f aca="false">AND(E3734&gt;=01_因子設定!$L$5-0.000000001,E3734&lt;=01_因子設定!$M$5+0.000000001,F3734&gt;=01_因子設定!$L$6-0.000000001,F3734&lt;=01_因子設定!$M$6+0.000000001,G3734&gt;=01_因子設定!$L$7-0.000000001,G3734&lt;=01_因子設定!$M$7+0.000000001,H3734&gt;=01_因子設定!$L$8-0.000000001,H3734&lt;=01_因子設定!$M$8+0.000000001,IF(01_因子設定!$B$20="Box-Behnken",E3734^2+F3734^2+G3734^2+H3734^2&lt;=2+0.000000001,TRUE()))</f>
        <v>1</v>
      </c>
      <c r="AD3734" s="55" t="n">
        <f aca="false">IF(AC3734,IF(01_因子設定!$B$13="最大化",AA3734-01_因子設定!$B$14,IF(01_因子設定!$B$13="最小化",01_因子設定!$B$15-AB3734,MIN(AA3734-01_因子設定!$B$14,01_因子設定!$B$15-AB3734))),-1E+030)</f>
        <v>-4.4456704333217</v>
      </c>
      <c r="AE3734" s="55" t="n">
        <f aca="false">IF(AC3734,IF(01_因子設定!$B$13="最大化",X3734,IF(01_因子設定!$B$13="最小化",-X3734,-ABS(X3734-01_因子設定!$B$16))),-1E+030)</f>
        <v>43.6434895833333</v>
      </c>
      <c r="AF3734" s="55" t="n">
        <f aca="false">AD3734+ROW()*0.000000001</f>
        <v>-4.4456666993217</v>
      </c>
      <c r="AG3734" s="55" t="n">
        <f aca="false">AE3734+ROW()*0.000000001</f>
        <v>43.6434933173333</v>
      </c>
    </row>
    <row r="3735" customFormat="false" ht="15" hidden="false" customHeight="false" outlineLevel="0" collapsed="false">
      <c r="A3735" s="0" t="n">
        <v>5</v>
      </c>
      <c r="B3735" s="0" t="n">
        <v>1</v>
      </c>
      <c r="C3735" s="0" t="n">
        <v>0</v>
      </c>
      <c r="D3735" s="0" t="n">
        <v>4</v>
      </c>
      <c r="E3735" s="0" t="n">
        <f aca="false">-1+A3735*0.25</f>
        <v>0.25</v>
      </c>
      <c r="F3735" s="0" t="n">
        <f aca="false">-1+B3735*0.25</f>
        <v>-0.75</v>
      </c>
      <c r="G3735" s="0" t="n">
        <f aca="false">-1+C3735*0.25</f>
        <v>-1</v>
      </c>
      <c r="H3735" s="0" t="n">
        <f aca="false">-1+D3735*0.25</f>
        <v>0</v>
      </c>
      <c r="I3735" s="0" t="n">
        <f aca="false">1</f>
        <v>1</v>
      </c>
      <c r="J3735" s="0" t="n">
        <f aca="false">E3735</f>
        <v>0.25</v>
      </c>
      <c r="K3735" s="0" t="n">
        <f aca="false">F3735</f>
        <v>-0.75</v>
      </c>
      <c r="L3735" s="0" t="n">
        <f aca="false">G3735</f>
        <v>-1</v>
      </c>
      <c r="M3735" s="0" t="n">
        <f aca="false">H3735</f>
        <v>0</v>
      </c>
      <c r="N3735" s="0" t="n">
        <f aca="false">E3735*F3735</f>
        <v>-0.1875</v>
      </c>
      <c r="O3735" s="0" t="n">
        <f aca="false">E3735*G3735</f>
        <v>-0.25</v>
      </c>
      <c r="P3735" s="0" t="n">
        <f aca="false">E3735*H3735</f>
        <v>0</v>
      </c>
      <c r="Q3735" s="0" t="n">
        <f aca="false">F3735*G3735</f>
        <v>0.75</v>
      </c>
      <c r="R3735" s="0" t="n">
        <f aca="false">F3735*H3735</f>
        <v>-0</v>
      </c>
      <c r="S3735" s="0" t="n">
        <f aca="false">G3735*H3735</f>
        <v>-0</v>
      </c>
      <c r="T3735" s="0" t="n">
        <f aca="false">E3735*E3735</f>
        <v>0.0625</v>
      </c>
      <c r="U3735" s="0" t="n">
        <f aca="false">F3735*F3735</f>
        <v>0.5625</v>
      </c>
      <c r="V3735" s="0" t="n">
        <f aca="false">G3735*G3735</f>
        <v>1</v>
      </c>
      <c r="W3735" s="0" t="n">
        <f aca="false">H3735*H3735</f>
        <v>0</v>
      </c>
      <c r="X3735" s="0" t="n">
        <f aca="false">SUMPRODUCT(I3735:W3735,_XtX!$B$96:$P$96)</f>
        <v>43.7445632309941</v>
      </c>
      <c r="Y3735" s="0" t="n">
        <f aca="false">SUMPRODUCT(MMULT(I3735:W3735,_XtX!$B$78:$P$92),I3735:W3735)</f>
        <v>0.501534802174708</v>
      </c>
      <c r="Z3735" s="0" t="n">
        <f aca="false">04_回帰ANOVA!$K$19*04_回帰ANOVA!$K$14*SQRT(1+Y3735)</f>
        <v>1.59722498091333</v>
      </c>
      <c r="AA3735" s="0" t="n">
        <f aca="false">X3735-Z3735</f>
        <v>42.1473382500808</v>
      </c>
      <c r="AB3735" s="0" t="n">
        <f aca="false">X3735+Z3735</f>
        <v>45.3417882119074</v>
      </c>
      <c r="AC3735" s="54" t="b">
        <f aca="false">AND(E3735&gt;=01_因子設定!$L$5-0.000000001,E3735&lt;=01_因子設定!$M$5+0.000000001,F3735&gt;=01_因子設定!$L$6-0.000000001,F3735&lt;=01_因子設定!$M$6+0.000000001,G3735&gt;=01_因子設定!$L$7-0.000000001,G3735&lt;=01_因子設定!$M$7+0.000000001,H3735&gt;=01_因子設定!$L$8-0.000000001,H3735&lt;=01_因子設定!$M$8+0.000000001,IF(01_因子設定!$B$20="Box-Behnken",E3735^2+F3735^2+G3735^2+H3735^2&lt;=2+0.000000001,TRUE()))</f>
        <v>1</v>
      </c>
      <c r="AD3735" s="55" t="n">
        <f aca="false">IF(AC3735,IF(01_因子設定!$B$13="最大化",AA3735-01_因子設定!$B$14,IF(01_因子設定!$B$13="最小化",01_因子設定!$B$15-AB3735,MIN(AA3735-01_因子設定!$B$14,01_因子設定!$B$15-AB3735))),-1E+030)</f>
        <v>-4.35266174991924</v>
      </c>
      <c r="AE3735" s="55" t="n">
        <f aca="false">IF(AC3735,IF(01_因子設定!$B$13="最大化",X3735,IF(01_因子設定!$B$13="最小化",-X3735,-ABS(X3735-01_因子設定!$B$16))),-1E+030)</f>
        <v>43.7445632309941</v>
      </c>
      <c r="AF3735" s="55" t="n">
        <f aca="false">AD3735+ROW()*0.000000001</f>
        <v>-4.35265801491924</v>
      </c>
      <c r="AG3735" s="55" t="n">
        <f aca="false">AE3735+ROW()*0.000000001</f>
        <v>43.7445669659941</v>
      </c>
    </row>
    <row r="3736" customFormat="false" ht="15" hidden="false" customHeight="false" outlineLevel="0" collapsed="false">
      <c r="A3736" s="0" t="n">
        <v>5</v>
      </c>
      <c r="B3736" s="0" t="n">
        <v>1</v>
      </c>
      <c r="C3736" s="0" t="n">
        <v>0</v>
      </c>
      <c r="D3736" s="0" t="n">
        <v>5</v>
      </c>
      <c r="E3736" s="0" t="n">
        <f aca="false">-1+A3736*0.25</f>
        <v>0.25</v>
      </c>
      <c r="F3736" s="0" t="n">
        <f aca="false">-1+B3736*0.25</f>
        <v>-0.75</v>
      </c>
      <c r="G3736" s="0" t="n">
        <f aca="false">-1+C3736*0.25</f>
        <v>-1</v>
      </c>
      <c r="H3736" s="0" t="n">
        <f aca="false">-1+D3736*0.25</f>
        <v>0.25</v>
      </c>
      <c r="I3736" s="0" t="n">
        <f aca="false">1</f>
        <v>1</v>
      </c>
      <c r="J3736" s="0" t="n">
        <f aca="false">E3736</f>
        <v>0.25</v>
      </c>
      <c r="K3736" s="0" t="n">
        <f aca="false">F3736</f>
        <v>-0.75</v>
      </c>
      <c r="L3736" s="0" t="n">
        <f aca="false">G3736</f>
        <v>-1</v>
      </c>
      <c r="M3736" s="0" t="n">
        <f aca="false">H3736</f>
        <v>0.25</v>
      </c>
      <c r="N3736" s="0" t="n">
        <f aca="false">E3736*F3736</f>
        <v>-0.1875</v>
      </c>
      <c r="O3736" s="0" t="n">
        <f aca="false">E3736*G3736</f>
        <v>-0.25</v>
      </c>
      <c r="P3736" s="0" t="n">
        <f aca="false">E3736*H3736</f>
        <v>0.0625</v>
      </c>
      <c r="Q3736" s="0" t="n">
        <f aca="false">F3736*G3736</f>
        <v>0.75</v>
      </c>
      <c r="R3736" s="0" t="n">
        <f aca="false">F3736*H3736</f>
        <v>-0.1875</v>
      </c>
      <c r="S3736" s="0" t="n">
        <f aca="false">G3736*H3736</f>
        <v>-0.25</v>
      </c>
      <c r="T3736" s="0" t="n">
        <f aca="false">E3736*E3736</f>
        <v>0.0625</v>
      </c>
      <c r="U3736" s="0" t="n">
        <f aca="false">F3736*F3736</f>
        <v>0.5625</v>
      </c>
      <c r="V3736" s="0" t="n">
        <f aca="false">G3736*G3736</f>
        <v>1</v>
      </c>
      <c r="W3736" s="0" t="n">
        <f aca="false">H3736*H3736</f>
        <v>0.0625</v>
      </c>
      <c r="X3736" s="0" t="n">
        <f aca="false">SUMPRODUCT(I3736:W3736,_XtX!$B$96:$P$96)</f>
        <v>43.7978298611111</v>
      </c>
      <c r="Y3736" s="0" t="n">
        <f aca="false">SUMPRODUCT(MMULT(I3736:W3736,_XtX!$B$78:$P$92),I3736:W3736)</f>
        <v>0.486409505208334</v>
      </c>
      <c r="Z3736" s="0" t="n">
        <f aca="false">04_回帰ANOVA!$K$19*04_回帰ANOVA!$K$14*SQRT(1+Y3736)</f>
        <v>1.58916001665498</v>
      </c>
      <c r="AA3736" s="0" t="n">
        <f aca="false">X3736-Z3736</f>
        <v>42.2086698444561</v>
      </c>
      <c r="AB3736" s="0" t="n">
        <f aca="false">X3736+Z3736</f>
        <v>45.386989877766</v>
      </c>
      <c r="AC3736" s="54" t="b">
        <f aca="false">AND(E3736&gt;=01_因子設定!$L$5-0.000000001,E3736&lt;=01_因子設定!$M$5+0.000000001,F3736&gt;=01_因子設定!$L$6-0.000000001,F3736&lt;=01_因子設定!$M$6+0.000000001,G3736&gt;=01_因子設定!$L$7-0.000000001,G3736&lt;=01_因子設定!$M$7+0.000000001,H3736&gt;=01_因子設定!$L$8-0.000000001,H3736&lt;=01_因子設定!$M$8+0.000000001,IF(01_因子設定!$B$20="Box-Behnken",E3736^2+F3736^2+G3736^2+H3736^2&lt;=2+0.000000001,TRUE()))</f>
        <v>1</v>
      </c>
      <c r="AD3736" s="55" t="n">
        <f aca="false">IF(AC3736,IF(01_因子設定!$B$13="最大化",AA3736-01_因子設定!$B$14,IF(01_因子設定!$B$13="最小化",01_因子設定!$B$15-AB3736,MIN(AA3736-01_因子設定!$B$14,01_因子設定!$B$15-AB3736))),-1E+030)</f>
        <v>-4.29133015554393</v>
      </c>
      <c r="AE3736" s="55" t="n">
        <f aca="false">IF(AC3736,IF(01_因子設定!$B$13="最大化",X3736,IF(01_因子設定!$B$13="最小化",-X3736,-ABS(X3736-01_因子設定!$B$16))),-1E+030)</f>
        <v>43.7978298611111</v>
      </c>
      <c r="AF3736" s="55" t="n">
        <f aca="false">AD3736+ROW()*0.000000001</f>
        <v>-4.29132641954393</v>
      </c>
      <c r="AG3736" s="55" t="n">
        <f aca="false">AE3736+ROW()*0.000000001</f>
        <v>43.7978335971111</v>
      </c>
    </row>
    <row r="3737" customFormat="false" ht="15" hidden="false" customHeight="false" outlineLevel="0" collapsed="false">
      <c r="A3737" s="0" t="n">
        <v>5</v>
      </c>
      <c r="B3737" s="0" t="n">
        <v>1</v>
      </c>
      <c r="C3737" s="0" t="n">
        <v>0</v>
      </c>
      <c r="D3737" s="0" t="n">
        <v>6</v>
      </c>
      <c r="E3737" s="0" t="n">
        <f aca="false">-1+A3737*0.25</f>
        <v>0.25</v>
      </c>
      <c r="F3737" s="0" t="n">
        <f aca="false">-1+B3737*0.25</f>
        <v>-0.75</v>
      </c>
      <c r="G3737" s="0" t="n">
        <f aca="false">-1+C3737*0.25</f>
        <v>-1</v>
      </c>
      <c r="H3737" s="0" t="n">
        <f aca="false">-1+D3737*0.25</f>
        <v>0.5</v>
      </c>
      <c r="I3737" s="0" t="n">
        <f aca="false">1</f>
        <v>1</v>
      </c>
      <c r="J3737" s="0" t="n">
        <f aca="false">E3737</f>
        <v>0.25</v>
      </c>
      <c r="K3737" s="0" t="n">
        <f aca="false">F3737</f>
        <v>-0.75</v>
      </c>
      <c r="L3737" s="0" t="n">
        <f aca="false">G3737</f>
        <v>-1</v>
      </c>
      <c r="M3737" s="0" t="n">
        <f aca="false">H3737</f>
        <v>0.5</v>
      </c>
      <c r="N3737" s="0" t="n">
        <f aca="false">E3737*F3737</f>
        <v>-0.1875</v>
      </c>
      <c r="O3737" s="0" t="n">
        <f aca="false">E3737*G3737</f>
        <v>-0.25</v>
      </c>
      <c r="P3737" s="0" t="n">
        <f aca="false">E3737*H3737</f>
        <v>0.125</v>
      </c>
      <c r="Q3737" s="0" t="n">
        <f aca="false">F3737*G3737</f>
        <v>0.75</v>
      </c>
      <c r="R3737" s="0" t="n">
        <f aca="false">F3737*H3737</f>
        <v>-0.375</v>
      </c>
      <c r="S3737" s="0" t="n">
        <f aca="false">G3737*H3737</f>
        <v>-0.5</v>
      </c>
      <c r="T3737" s="0" t="n">
        <f aca="false">E3737*E3737</f>
        <v>0.0625</v>
      </c>
      <c r="U3737" s="0" t="n">
        <f aca="false">F3737*F3737</f>
        <v>0.5625</v>
      </c>
      <c r="V3737" s="0" t="n">
        <f aca="false">G3737*G3737</f>
        <v>1</v>
      </c>
      <c r="W3737" s="0" t="n">
        <f aca="false">H3737*H3737</f>
        <v>0.25</v>
      </c>
      <c r="X3737" s="0" t="n">
        <f aca="false">SUMPRODUCT(I3737:W3737,_XtX!$B$96:$P$96)</f>
        <v>43.8032894736842</v>
      </c>
      <c r="Y3737" s="0" t="n">
        <f aca="false">SUMPRODUCT(MMULT(I3737:W3737,_XtX!$B$78:$P$92),I3737:W3737)</f>
        <v>0.459125719572369</v>
      </c>
      <c r="Z3737" s="0" t="n">
        <f aca="false">04_回帰ANOVA!$K$19*04_回帰ANOVA!$K$14*SQRT(1+Y3737)</f>
        <v>1.57450755575573</v>
      </c>
      <c r="AA3737" s="0" t="n">
        <f aca="false">X3737-Z3737</f>
        <v>42.2287819179284</v>
      </c>
      <c r="AB3737" s="0" t="n">
        <f aca="false">X3737+Z3737</f>
        <v>45.3777970294399</v>
      </c>
      <c r="AC3737" s="54" t="b">
        <f aca="false">AND(E3737&gt;=01_因子設定!$L$5-0.000000001,E3737&lt;=01_因子設定!$M$5+0.000000001,F3737&gt;=01_因子設定!$L$6-0.000000001,F3737&lt;=01_因子設定!$M$6+0.000000001,G3737&gt;=01_因子設定!$L$7-0.000000001,G3737&lt;=01_因子設定!$M$7+0.000000001,H3737&gt;=01_因子設定!$L$8-0.000000001,H3737&lt;=01_因子設定!$M$8+0.000000001,IF(01_因子設定!$B$20="Box-Behnken",E3737^2+F3737^2+G3737^2+H3737^2&lt;=2+0.000000001,TRUE()))</f>
        <v>1</v>
      </c>
      <c r="AD3737" s="55" t="n">
        <f aca="false">IF(AC3737,IF(01_因子設定!$B$13="最大化",AA3737-01_因子設定!$B$14,IF(01_因子設定!$B$13="最小化",01_因子設定!$B$15-AB3737,MIN(AA3737-01_因子設定!$B$14,01_因子設定!$B$15-AB3737))),-1E+030)</f>
        <v>-4.27121808207157</v>
      </c>
      <c r="AE3737" s="55" t="n">
        <f aca="false">IF(AC3737,IF(01_因子設定!$B$13="最大化",X3737,IF(01_因子設定!$B$13="最小化",-X3737,-ABS(X3737-01_因子設定!$B$16))),-1E+030)</f>
        <v>43.8032894736842</v>
      </c>
      <c r="AF3737" s="55" t="n">
        <f aca="false">AD3737+ROW()*0.000000001</f>
        <v>-4.27121434507157</v>
      </c>
      <c r="AG3737" s="55" t="n">
        <f aca="false">AE3737+ROW()*0.000000001</f>
        <v>43.8032932106842</v>
      </c>
    </row>
    <row r="3738" customFormat="false" ht="15" hidden="false" customHeight="false" outlineLevel="0" collapsed="false">
      <c r="A3738" s="0" t="n">
        <v>5</v>
      </c>
      <c r="B3738" s="0" t="n">
        <v>1</v>
      </c>
      <c r="C3738" s="0" t="n">
        <v>0</v>
      </c>
      <c r="D3738" s="0" t="n">
        <v>7</v>
      </c>
      <c r="E3738" s="0" t="n">
        <f aca="false">-1+A3738*0.25</f>
        <v>0.25</v>
      </c>
      <c r="F3738" s="0" t="n">
        <f aca="false">-1+B3738*0.25</f>
        <v>-0.75</v>
      </c>
      <c r="G3738" s="0" t="n">
        <f aca="false">-1+C3738*0.25</f>
        <v>-1</v>
      </c>
      <c r="H3738" s="0" t="n">
        <f aca="false">-1+D3738*0.25</f>
        <v>0.75</v>
      </c>
      <c r="I3738" s="0" t="n">
        <f aca="false">1</f>
        <v>1</v>
      </c>
      <c r="J3738" s="0" t="n">
        <f aca="false">E3738</f>
        <v>0.25</v>
      </c>
      <c r="K3738" s="0" t="n">
        <f aca="false">F3738</f>
        <v>-0.75</v>
      </c>
      <c r="L3738" s="0" t="n">
        <f aca="false">G3738</f>
        <v>-1</v>
      </c>
      <c r="M3738" s="0" t="n">
        <f aca="false">H3738</f>
        <v>0.75</v>
      </c>
      <c r="N3738" s="0" t="n">
        <f aca="false">E3738*F3738</f>
        <v>-0.1875</v>
      </c>
      <c r="O3738" s="0" t="n">
        <f aca="false">E3738*G3738</f>
        <v>-0.25</v>
      </c>
      <c r="P3738" s="0" t="n">
        <f aca="false">E3738*H3738</f>
        <v>0.1875</v>
      </c>
      <c r="Q3738" s="0" t="n">
        <f aca="false">F3738*G3738</f>
        <v>0.75</v>
      </c>
      <c r="R3738" s="0" t="n">
        <f aca="false">F3738*H3738</f>
        <v>-0.5625</v>
      </c>
      <c r="S3738" s="0" t="n">
        <f aca="false">G3738*H3738</f>
        <v>-0.75</v>
      </c>
      <c r="T3738" s="0" t="n">
        <f aca="false">E3738*E3738</f>
        <v>0.0625</v>
      </c>
      <c r="U3738" s="0" t="n">
        <f aca="false">F3738*F3738</f>
        <v>0.5625</v>
      </c>
      <c r="V3738" s="0" t="n">
        <f aca="false">G3738*G3738</f>
        <v>1</v>
      </c>
      <c r="W3738" s="0" t="n">
        <f aca="false">H3738*H3738</f>
        <v>0.5625</v>
      </c>
      <c r="X3738" s="0" t="n">
        <f aca="false">SUMPRODUCT(I3738:W3738,_XtX!$B$96:$P$96)</f>
        <v>43.7609420687134</v>
      </c>
      <c r="Y3738" s="0" t="n">
        <f aca="false">SUMPRODUCT(MMULT(I3738:W3738,_XtX!$B$78:$P$92),I3738:W3738)</f>
        <v>0.473959761056287</v>
      </c>
      <c r="Z3738" s="0" t="n">
        <f aca="false">04_回帰ANOVA!$K$19*04_回帰ANOVA!$K$14*SQRT(1+Y3738)</f>
        <v>1.58249084588329</v>
      </c>
      <c r="AA3738" s="0" t="n">
        <f aca="false">X3738-Z3738</f>
        <v>42.1784512228301</v>
      </c>
      <c r="AB3738" s="0" t="n">
        <f aca="false">X3738+Z3738</f>
        <v>45.3434329145967</v>
      </c>
      <c r="AC3738" s="54" t="b">
        <f aca="false">AND(E3738&gt;=01_因子設定!$L$5-0.000000001,E3738&lt;=01_因子設定!$M$5+0.000000001,F3738&gt;=01_因子設定!$L$6-0.000000001,F3738&lt;=01_因子設定!$M$6+0.000000001,G3738&gt;=01_因子設定!$L$7-0.000000001,G3738&lt;=01_因子設定!$M$7+0.000000001,H3738&gt;=01_因子設定!$L$8-0.000000001,H3738&lt;=01_因子設定!$M$8+0.000000001,IF(01_因子設定!$B$20="Box-Behnken",E3738^2+F3738^2+G3738^2+H3738^2&lt;=2+0.000000001,TRUE()))</f>
        <v>1</v>
      </c>
      <c r="AD3738" s="55" t="n">
        <f aca="false">IF(AC3738,IF(01_因子設定!$B$13="最大化",AA3738-01_因子設定!$B$14,IF(01_因子設定!$B$13="最小化",01_因子設定!$B$15-AB3738,MIN(AA3738-01_因子設定!$B$14,01_因子設定!$B$15-AB3738))),-1E+030)</f>
        <v>-4.32154877716987</v>
      </c>
      <c r="AE3738" s="55" t="n">
        <f aca="false">IF(AC3738,IF(01_因子設定!$B$13="最大化",X3738,IF(01_因子設定!$B$13="最小化",-X3738,-ABS(X3738-01_因子設定!$B$16))),-1E+030)</f>
        <v>43.7609420687134</v>
      </c>
      <c r="AF3738" s="55" t="n">
        <f aca="false">AD3738+ROW()*0.000000001</f>
        <v>-4.32154503916987</v>
      </c>
      <c r="AG3738" s="55" t="n">
        <f aca="false">AE3738+ROW()*0.000000001</f>
        <v>43.7609458067134</v>
      </c>
    </row>
    <row r="3739" customFormat="false" ht="15" hidden="false" customHeight="false" outlineLevel="0" collapsed="false">
      <c r="A3739" s="0" t="n">
        <v>5</v>
      </c>
      <c r="B3739" s="0" t="n">
        <v>1</v>
      </c>
      <c r="C3739" s="0" t="n">
        <v>0</v>
      </c>
      <c r="D3739" s="0" t="n">
        <v>8</v>
      </c>
      <c r="E3739" s="0" t="n">
        <f aca="false">-1+A3739*0.25</f>
        <v>0.25</v>
      </c>
      <c r="F3739" s="0" t="n">
        <f aca="false">-1+B3739*0.25</f>
        <v>-0.75</v>
      </c>
      <c r="G3739" s="0" t="n">
        <f aca="false">-1+C3739*0.25</f>
        <v>-1</v>
      </c>
      <c r="H3739" s="0" t="n">
        <f aca="false">-1+D3739*0.25</f>
        <v>1</v>
      </c>
      <c r="I3739" s="0" t="n">
        <f aca="false">1</f>
        <v>1</v>
      </c>
      <c r="J3739" s="0" t="n">
        <f aca="false">E3739</f>
        <v>0.25</v>
      </c>
      <c r="K3739" s="0" t="n">
        <f aca="false">F3739</f>
        <v>-0.75</v>
      </c>
      <c r="L3739" s="0" t="n">
        <f aca="false">G3739</f>
        <v>-1</v>
      </c>
      <c r="M3739" s="0" t="n">
        <f aca="false">H3739</f>
        <v>1</v>
      </c>
      <c r="N3739" s="0" t="n">
        <f aca="false">E3739*F3739</f>
        <v>-0.1875</v>
      </c>
      <c r="O3739" s="0" t="n">
        <f aca="false">E3739*G3739</f>
        <v>-0.25</v>
      </c>
      <c r="P3739" s="0" t="n">
        <f aca="false">E3739*H3739</f>
        <v>0.25</v>
      </c>
      <c r="Q3739" s="0" t="n">
        <f aca="false">F3739*G3739</f>
        <v>0.75</v>
      </c>
      <c r="R3739" s="0" t="n">
        <f aca="false">F3739*H3739</f>
        <v>-0.75</v>
      </c>
      <c r="S3739" s="0" t="n">
        <f aca="false">G3739*H3739</f>
        <v>-1</v>
      </c>
      <c r="T3739" s="0" t="n">
        <f aca="false">E3739*E3739</f>
        <v>0.0625</v>
      </c>
      <c r="U3739" s="0" t="n">
        <f aca="false">F3739*F3739</f>
        <v>0.5625</v>
      </c>
      <c r="V3739" s="0" t="n">
        <f aca="false">G3739*G3739</f>
        <v>1</v>
      </c>
      <c r="W3739" s="0" t="n">
        <f aca="false">H3739*H3739</f>
        <v>1</v>
      </c>
      <c r="X3739" s="0" t="n">
        <f aca="false">SUMPRODUCT(I3739:W3739,_XtX!$B$96:$P$96)</f>
        <v>43.6707876461988</v>
      </c>
      <c r="Y3739" s="0" t="n">
        <f aca="false">SUMPRODUCT(MMULT(I3739:W3739,_XtX!$B$78:$P$92),I3739:W3739)</f>
        <v>0.621372155975877</v>
      </c>
      <c r="Z3739" s="0" t="n">
        <f aca="false">04_回帰ANOVA!$K$19*04_回帰ANOVA!$K$14*SQRT(1+Y3739)</f>
        <v>1.65973880499872</v>
      </c>
      <c r="AA3739" s="0" t="n">
        <f aca="false">X3739-Z3739</f>
        <v>42.0110488412001</v>
      </c>
      <c r="AB3739" s="0" t="n">
        <f aca="false">X3739+Z3739</f>
        <v>45.3305264511975</v>
      </c>
      <c r="AC3739" s="54" t="b">
        <f aca="false">AND(E3739&gt;=01_因子設定!$L$5-0.000000001,E3739&lt;=01_因子設定!$M$5+0.000000001,F3739&gt;=01_因子設定!$L$6-0.000000001,F3739&lt;=01_因子設定!$M$6+0.000000001,G3739&gt;=01_因子設定!$L$7-0.000000001,G3739&lt;=01_因子設定!$M$7+0.000000001,H3739&gt;=01_因子設定!$L$8-0.000000001,H3739&lt;=01_因子設定!$M$8+0.000000001,IF(01_因子設定!$B$20="Box-Behnken",E3739^2+F3739^2+G3739^2+H3739^2&lt;=2+0.000000001,TRUE()))</f>
        <v>1</v>
      </c>
      <c r="AD3739" s="55" t="n">
        <f aca="false">IF(AC3739,IF(01_因子設定!$B$13="最大化",AA3739-01_因子設定!$B$14,IF(01_因子設定!$B$13="最小化",01_因子設定!$B$15-AB3739,MIN(AA3739-01_因子設定!$B$14,01_因子設定!$B$15-AB3739))),-1E+030)</f>
        <v>-4.48895115879991</v>
      </c>
      <c r="AE3739" s="55" t="n">
        <f aca="false">IF(AC3739,IF(01_因子設定!$B$13="最大化",X3739,IF(01_因子設定!$B$13="最小化",-X3739,-ABS(X3739-01_因子設定!$B$16))),-1E+030)</f>
        <v>43.6707876461988</v>
      </c>
      <c r="AF3739" s="55" t="n">
        <f aca="false">AD3739+ROW()*0.000000001</f>
        <v>-4.48894741979991</v>
      </c>
      <c r="AG3739" s="55" t="n">
        <f aca="false">AE3739+ROW()*0.000000001</f>
        <v>43.6707913851988</v>
      </c>
    </row>
    <row r="3740" customFormat="false" ht="15" hidden="false" customHeight="false" outlineLevel="0" collapsed="false">
      <c r="A3740" s="0" t="n">
        <v>5</v>
      </c>
      <c r="B3740" s="0" t="n">
        <v>1</v>
      </c>
      <c r="C3740" s="0" t="n">
        <v>1</v>
      </c>
      <c r="D3740" s="0" t="n">
        <v>0</v>
      </c>
      <c r="E3740" s="0" t="n">
        <f aca="false">-1+A3740*0.25</f>
        <v>0.25</v>
      </c>
      <c r="F3740" s="0" t="n">
        <f aca="false">-1+B3740*0.25</f>
        <v>-0.75</v>
      </c>
      <c r="G3740" s="0" t="n">
        <f aca="false">-1+C3740*0.25</f>
        <v>-0.75</v>
      </c>
      <c r="H3740" s="0" t="n">
        <f aca="false">-1+D3740*0.25</f>
        <v>-1</v>
      </c>
      <c r="I3740" s="0" t="n">
        <f aca="false">1</f>
        <v>1</v>
      </c>
      <c r="J3740" s="0" t="n">
        <f aca="false">E3740</f>
        <v>0.25</v>
      </c>
      <c r="K3740" s="0" t="n">
        <f aca="false">F3740</f>
        <v>-0.75</v>
      </c>
      <c r="L3740" s="0" t="n">
        <f aca="false">G3740</f>
        <v>-0.75</v>
      </c>
      <c r="M3740" s="0" t="n">
        <f aca="false">H3740</f>
        <v>-1</v>
      </c>
      <c r="N3740" s="0" t="n">
        <f aca="false">E3740*F3740</f>
        <v>-0.1875</v>
      </c>
      <c r="O3740" s="0" t="n">
        <f aca="false">E3740*G3740</f>
        <v>-0.1875</v>
      </c>
      <c r="P3740" s="0" t="n">
        <f aca="false">E3740*H3740</f>
        <v>-0.25</v>
      </c>
      <c r="Q3740" s="0" t="n">
        <f aca="false">F3740*G3740</f>
        <v>0.5625</v>
      </c>
      <c r="R3740" s="0" t="n">
        <f aca="false">F3740*H3740</f>
        <v>0.75</v>
      </c>
      <c r="S3740" s="0" t="n">
        <f aca="false">G3740*H3740</f>
        <v>0.75</v>
      </c>
      <c r="T3740" s="0" t="n">
        <f aca="false">E3740*E3740</f>
        <v>0.0625</v>
      </c>
      <c r="U3740" s="0" t="n">
        <f aca="false">F3740*F3740</f>
        <v>0.5625</v>
      </c>
      <c r="V3740" s="0" t="n">
        <f aca="false">G3740*G3740</f>
        <v>0.5625</v>
      </c>
      <c r="W3740" s="0" t="n">
        <f aca="false">H3740*H3740</f>
        <v>1</v>
      </c>
      <c r="X3740" s="0" t="n">
        <f aca="false">SUMPRODUCT(I3740:W3740,_XtX!$B$96:$P$96)</f>
        <v>43.4267406798245</v>
      </c>
      <c r="Y3740" s="0" t="n">
        <f aca="false">SUMPRODUCT(MMULT(I3740:W3740,_XtX!$B$78:$P$92),I3740:W3740)</f>
        <v>0.473959761056287</v>
      </c>
      <c r="Z3740" s="0" t="n">
        <f aca="false">04_回帰ANOVA!$K$19*04_回帰ANOVA!$K$14*SQRT(1+Y3740)</f>
        <v>1.58249084588329</v>
      </c>
      <c r="AA3740" s="0" t="n">
        <f aca="false">X3740-Z3740</f>
        <v>41.8442498339413</v>
      </c>
      <c r="AB3740" s="0" t="n">
        <f aca="false">X3740+Z3740</f>
        <v>45.0092315257078</v>
      </c>
      <c r="AC3740" s="54" t="b">
        <f aca="false">AND(E3740&gt;=01_因子設定!$L$5-0.000000001,E3740&lt;=01_因子設定!$M$5+0.000000001,F3740&gt;=01_因子設定!$L$6-0.000000001,F3740&lt;=01_因子設定!$M$6+0.000000001,G3740&gt;=01_因子設定!$L$7-0.000000001,G3740&lt;=01_因子設定!$M$7+0.000000001,H3740&gt;=01_因子設定!$L$8-0.000000001,H3740&lt;=01_因子設定!$M$8+0.000000001,IF(01_因子設定!$B$20="Box-Behnken",E3740^2+F3740^2+G3740^2+H3740^2&lt;=2+0.000000001,TRUE()))</f>
        <v>1</v>
      </c>
      <c r="AD3740" s="55" t="n">
        <f aca="false">IF(AC3740,IF(01_因子設定!$B$13="最大化",AA3740-01_因子設定!$B$14,IF(01_因子設定!$B$13="最小化",01_因子設定!$B$15-AB3740,MIN(AA3740-01_因子設定!$B$14,01_因子設定!$B$15-AB3740))),-1E+030)</f>
        <v>-4.65575016605875</v>
      </c>
      <c r="AE3740" s="55" t="n">
        <f aca="false">IF(AC3740,IF(01_因子設定!$B$13="最大化",X3740,IF(01_因子設定!$B$13="最小化",-X3740,-ABS(X3740-01_因子設定!$B$16))),-1E+030)</f>
        <v>43.4267406798245</v>
      </c>
      <c r="AF3740" s="55" t="n">
        <f aca="false">AD3740+ROW()*0.000000001</f>
        <v>-4.65574642605874</v>
      </c>
      <c r="AG3740" s="55" t="n">
        <f aca="false">AE3740+ROW()*0.000000001</f>
        <v>43.4267444198245</v>
      </c>
    </row>
    <row r="3741" customFormat="false" ht="15" hidden="false" customHeight="false" outlineLevel="0" collapsed="false">
      <c r="A3741" s="0" t="n">
        <v>5</v>
      </c>
      <c r="B3741" s="0" t="n">
        <v>1</v>
      </c>
      <c r="C3741" s="0" t="n">
        <v>1</v>
      </c>
      <c r="D3741" s="0" t="n">
        <v>1</v>
      </c>
      <c r="E3741" s="0" t="n">
        <f aca="false">-1+A3741*0.25</f>
        <v>0.25</v>
      </c>
      <c r="F3741" s="0" t="n">
        <f aca="false">-1+B3741*0.25</f>
        <v>-0.75</v>
      </c>
      <c r="G3741" s="0" t="n">
        <f aca="false">-1+C3741*0.25</f>
        <v>-0.75</v>
      </c>
      <c r="H3741" s="0" t="n">
        <f aca="false">-1+D3741*0.25</f>
        <v>-0.75</v>
      </c>
      <c r="I3741" s="0" t="n">
        <f aca="false">1</f>
        <v>1</v>
      </c>
      <c r="J3741" s="0" t="n">
        <f aca="false">E3741</f>
        <v>0.25</v>
      </c>
      <c r="K3741" s="0" t="n">
        <f aca="false">F3741</f>
        <v>-0.75</v>
      </c>
      <c r="L3741" s="0" t="n">
        <f aca="false">G3741</f>
        <v>-0.75</v>
      </c>
      <c r="M3741" s="0" t="n">
        <f aca="false">H3741</f>
        <v>-0.75</v>
      </c>
      <c r="N3741" s="0" t="n">
        <f aca="false">E3741*F3741</f>
        <v>-0.1875</v>
      </c>
      <c r="O3741" s="0" t="n">
        <f aca="false">E3741*G3741</f>
        <v>-0.1875</v>
      </c>
      <c r="P3741" s="0" t="n">
        <f aca="false">E3741*H3741</f>
        <v>-0.1875</v>
      </c>
      <c r="Q3741" s="0" t="n">
        <f aca="false">F3741*G3741</f>
        <v>0.5625</v>
      </c>
      <c r="R3741" s="0" t="n">
        <f aca="false">F3741*H3741</f>
        <v>0.5625</v>
      </c>
      <c r="S3741" s="0" t="n">
        <f aca="false">G3741*H3741</f>
        <v>0.5625</v>
      </c>
      <c r="T3741" s="0" t="n">
        <f aca="false">E3741*E3741</f>
        <v>0.0625</v>
      </c>
      <c r="U3741" s="0" t="n">
        <f aca="false">F3741*F3741</f>
        <v>0.5625</v>
      </c>
      <c r="V3741" s="0" t="n">
        <f aca="false">G3741*G3741</f>
        <v>0.5625</v>
      </c>
      <c r="W3741" s="0" t="n">
        <f aca="false">H3741*H3741</f>
        <v>0.5625</v>
      </c>
      <c r="X3741" s="0" t="n">
        <f aca="false">SUMPRODUCT(I3741:W3741,_XtX!$B$96:$P$96)</f>
        <v>43.6892041301169</v>
      </c>
      <c r="Y3741" s="0" t="n">
        <f aca="false">SUMPRODUCT(MMULT(I3741:W3741,_XtX!$B$78:$P$92),I3741:W3741)</f>
        <v>0.294856199744152</v>
      </c>
      <c r="Z3741" s="0" t="n">
        <f aca="false">04_回帰ANOVA!$K$19*04_回帰ANOVA!$K$14*SQRT(1+Y3741)</f>
        <v>1.48323226089013</v>
      </c>
      <c r="AA3741" s="0" t="n">
        <f aca="false">X3741-Z3741</f>
        <v>42.2059718692268</v>
      </c>
      <c r="AB3741" s="0" t="n">
        <f aca="false">X3741+Z3741</f>
        <v>45.1724363910071</v>
      </c>
      <c r="AC3741" s="54" t="b">
        <f aca="false">AND(E3741&gt;=01_因子設定!$L$5-0.000000001,E3741&lt;=01_因子設定!$M$5+0.000000001,F3741&gt;=01_因子設定!$L$6-0.000000001,F3741&lt;=01_因子設定!$M$6+0.000000001,G3741&gt;=01_因子設定!$L$7-0.000000001,G3741&lt;=01_因子設定!$M$7+0.000000001,H3741&gt;=01_因子設定!$L$8-0.000000001,H3741&lt;=01_因子設定!$M$8+0.000000001,IF(01_因子設定!$B$20="Box-Behnken",E3741^2+F3741^2+G3741^2+H3741^2&lt;=2+0.000000001,TRUE()))</f>
        <v>1</v>
      </c>
      <c r="AD3741" s="55" t="n">
        <f aca="false">IF(AC3741,IF(01_因子設定!$B$13="最大化",AA3741-01_因子設定!$B$14,IF(01_因子設定!$B$13="最小化",01_因子設定!$B$15-AB3741,MIN(AA3741-01_因子設定!$B$14,01_因子設定!$B$15-AB3741))),-1E+030)</f>
        <v>-4.29402813077321</v>
      </c>
      <c r="AE3741" s="55" t="n">
        <f aca="false">IF(AC3741,IF(01_因子設定!$B$13="最大化",X3741,IF(01_因子設定!$B$13="最小化",-X3741,-ABS(X3741-01_因子設定!$B$16))),-1E+030)</f>
        <v>43.6892041301169</v>
      </c>
      <c r="AF3741" s="55" t="n">
        <f aca="false">AD3741+ROW()*0.000000001</f>
        <v>-4.29402438977321</v>
      </c>
      <c r="AG3741" s="55" t="n">
        <f aca="false">AE3741+ROW()*0.000000001</f>
        <v>43.6892078711169</v>
      </c>
    </row>
    <row r="3742" customFormat="false" ht="15" hidden="false" customHeight="false" outlineLevel="0" collapsed="false">
      <c r="A3742" s="0" t="n">
        <v>5</v>
      </c>
      <c r="B3742" s="0" t="n">
        <v>1</v>
      </c>
      <c r="C3742" s="0" t="n">
        <v>1</v>
      </c>
      <c r="D3742" s="0" t="n">
        <v>2</v>
      </c>
      <c r="E3742" s="0" t="n">
        <f aca="false">-1+A3742*0.25</f>
        <v>0.25</v>
      </c>
      <c r="F3742" s="0" t="n">
        <f aca="false">-1+B3742*0.25</f>
        <v>-0.75</v>
      </c>
      <c r="G3742" s="0" t="n">
        <f aca="false">-1+C3742*0.25</f>
        <v>-0.75</v>
      </c>
      <c r="H3742" s="0" t="n">
        <f aca="false">-1+D3742*0.25</f>
        <v>-0.5</v>
      </c>
      <c r="I3742" s="0" t="n">
        <f aca="false">1</f>
        <v>1</v>
      </c>
      <c r="J3742" s="0" t="n">
        <f aca="false">E3742</f>
        <v>0.25</v>
      </c>
      <c r="K3742" s="0" t="n">
        <f aca="false">F3742</f>
        <v>-0.75</v>
      </c>
      <c r="L3742" s="0" t="n">
        <f aca="false">G3742</f>
        <v>-0.75</v>
      </c>
      <c r="M3742" s="0" t="n">
        <f aca="false">H3742</f>
        <v>-0.5</v>
      </c>
      <c r="N3742" s="0" t="n">
        <f aca="false">E3742*F3742</f>
        <v>-0.1875</v>
      </c>
      <c r="O3742" s="0" t="n">
        <f aca="false">E3742*G3742</f>
        <v>-0.1875</v>
      </c>
      <c r="P3742" s="0" t="n">
        <f aca="false">E3742*H3742</f>
        <v>-0.125</v>
      </c>
      <c r="Q3742" s="0" t="n">
        <f aca="false">F3742*G3742</f>
        <v>0.5625</v>
      </c>
      <c r="R3742" s="0" t="n">
        <f aca="false">F3742*H3742</f>
        <v>0.375</v>
      </c>
      <c r="S3742" s="0" t="n">
        <f aca="false">G3742*H3742</f>
        <v>0.375</v>
      </c>
      <c r="T3742" s="0" t="n">
        <f aca="false">E3742*E3742</f>
        <v>0.0625</v>
      </c>
      <c r="U3742" s="0" t="n">
        <f aca="false">F3742*F3742</f>
        <v>0.5625</v>
      </c>
      <c r="V3742" s="0" t="n">
        <f aca="false">G3742*G3742</f>
        <v>0.5625</v>
      </c>
      <c r="W3742" s="0" t="n">
        <f aca="false">H3742*H3742</f>
        <v>0.25</v>
      </c>
      <c r="X3742" s="0" t="n">
        <f aca="false">SUMPRODUCT(I3742:W3742,_XtX!$B$96:$P$96)</f>
        <v>43.9038605628655</v>
      </c>
      <c r="Y3742" s="0" t="n">
        <f aca="false">SUMPRODUCT(MMULT(I3742:W3742,_XtX!$B$78:$P$92),I3742:W3742)</f>
        <v>0.257385610836988</v>
      </c>
      <c r="Z3742" s="0" t="n">
        <f aca="false">04_回帰ANOVA!$K$19*04_回帰ANOVA!$K$14*SQRT(1+Y3742)</f>
        <v>1.46161380324158</v>
      </c>
      <c r="AA3742" s="0" t="n">
        <f aca="false">X3742-Z3742</f>
        <v>42.4422467596239</v>
      </c>
      <c r="AB3742" s="0" t="n">
        <f aca="false">X3742+Z3742</f>
        <v>45.365474366107</v>
      </c>
      <c r="AC3742" s="54" t="b">
        <f aca="false">AND(E3742&gt;=01_因子設定!$L$5-0.000000001,E3742&lt;=01_因子設定!$M$5+0.000000001,F3742&gt;=01_因子設定!$L$6-0.000000001,F3742&lt;=01_因子設定!$M$6+0.000000001,G3742&gt;=01_因子設定!$L$7-0.000000001,G3742&lt;=01_因子設定!$M$7+0.000000001,H3742&gt;=01_因子設定!$L$8-0.000000001,H3742&lt;=01_因子設定!$M$8+0.000000001,IF(01_因子設定!$B$20="Box-Behnken",E3742^2+F3742^2+G3742^2+H3742^2&lt;=2+0.000000001,TRUE()))</f>
        <v>1</v>
      </c>
      <c r="AD3742" s="55" t="n">
        <f aca="false">IF(AC3742,IF(01_因子設定!$B$13="最大化",AA3742-01_因子設定!$B$14,IF(01_因子設定!$B$13="最小化",01_因子設定!$B$15-AB3742,MIN(AA3742-01_因子設定!$B$14,01_因子設定!$B$15-AB3742))),-1E+030)</f>
        <v>-4.05775324037614</v>
      </c>
      <c r="AE3742" s="55" t="n">
        <f aca="false">IF(AC3742,IF(01_因子設定!$B$13="最大化",X3742,IF(01_因子設定!$B$13="最小化",-X3742,-ABS(X3742-01_因子設定!$B$16))),-1E+030)</f>
        <v>43.9038605628655</v>
      </c>
      <c r="AF3742" s="55" t="n">
        <f aca="false">AD3742+ROW()*0.000000001</f>
        <v>-4.05774949837614</v>
      </c>
      <c r="AG3742" s="55" t="n">
        <f aca="false">AE3742+ROW()*0.000000001</f>
        <v>43.9038643048654</v>
      </c>
    </row>
    <row r="3743" customFormat="false" ht="15" hidden="false" customHeight="false" outlineLevel="0" collapsed="false">
      <c r="A3743" s="0" t="n">
        <v>5</v>
      </c>
      <c r="B3743" s="0" t="n">
        <v>1</v>
      </c>
      <c r="C3743" s="0" t="n">
        <v>1</v>
      </c>
      <c r="D3743" s="0" t="n">
        <v>3</v>
      </c>
      <c r="E3743" s="0" t="n">
        <f aca="false">-1+A3743*0.25</f>
        <v>0.25</v>
      </c>
      <c r="F3743" s="0" t="n">
        <f aca="false">-1+B3743*0.25</f>
        <v>-0.75</v>
      </c>
      <c r="G3743" s="0" t="n">
        <f aca="false">-1+C3743*0.25</f>
        <v>-0.75</v>
      </c>
      <c r="H3743" s="0" t="n">
        <f aca="false">-1+D3743*0.25</f>
        <v>-0.25</v>
      </c>
      <c r="I3743" s="0" t="n">
        <f aca="false">1</f>
        <v>1</v>
      </c>
      <c r="J3743" s="0" t="n">
        <f aca="false">E3743</f>
        <v>0.25</v>
      </c>
      <c r="K3743" s="0" t="n">
        <f aca="false">F3743</f>
        <v>-0.75</v>
      </c>
      <c r="L3743" s="0" t="n">
        <f aca="false">G3743</f>
        <v>-0.75</v>
      </c>
      <c r="M3743" s="0" t="n">
        <f aca="false">H3743</f>
        <v>-0.25</v>
      </c>
      <c r="N3743" s="0" t="n">
        <f aca="false">E3743*F3743</f>
        <v>-0.1875</v>
      </c>
      <c r="O3743" s="0" t="n">
        <f aca="false">E3743*G3743</f>
        <v>-0.1875</v>
      </c>
      <c r="P3743" s="0" t="n">
        <f aca="false">E3743*H3743</f>
        <v>-0.0625</v>
      </c>
      <c r="Q3743" s="0" t="n">
        <f aca="false">F3743*G3743</f>
        <v>0.5625</v>
      </c>
      <c r="R3743" s="0" t="n">
        <f aca="false">F3743*H3743</f>
        <v>0.1875</v>
      </c>
      <c r="S3743" s="0" t="n">
        <f aca="false">G3743*H3743</f>
        <v>0.1875</v>
      </c>
      <c r="T3743" s="0" t="n">
        <f aca="false">E3743*E3743</f>
        <v>0.0625</v>
      </c>
      <c r="U3743" s="0" t="n">
        <f aca="false">F3743*F3743</f>
        <v>0.5625</v>
      </c>
      <c r="V3743" s="0" t="n">
        <f aca="false">G3743*G3743</f>
        <v>0.5625</v>
      </c>
      <c r="W3743" s="0" t="n">
        <f aca="false">H3743*H3743</f>
        <v>0.0625</v>
      </c>
      <c r="X3743" s="0" t="n">
        <f aca="false">SUMPRODUCT(I3743:W3743,_XtX!$B$96:$P$96)</f>
        <v>44.0707099780701</v>
      </c>
      <c r="Y3743" s="0" t="n">
        <f aca="false">SUMPRODUCT(MMULT(I3743:W3743,_XtX!$B$78:$P$92),I3743:W3743)</f>
        <v>0.271087468019006</v>
      </c>
      <c r="Z3743" s="0" t="n">
        <f aca="false">04_回帰ANOVA!$K$19*04_回帰ANOVA!$K$14*SQRT(1+Y3743)</f>
        <v>1.46955590155034</v>
      </c>
      <c r="AA3743" s="0" t="n">
        <f aca="false">X3743-Z3743</f>
        <v>42.6011540765198</v>
      </c>
      <c r="AB3743" s="0" t="n">
        <f aca="false">X3743+Z3743</f>
        <v>45.5402658796205</v>
      </c>
      <c r="AC3743" s="54" t="b">
        <f aca="false">AND(E3743&gt;=01_因子設定!$L$5-0.000000001,E3743&lt;=01_因子設定!$M$5+0.000000001,F3743&gt;=01_因子設定!$L$6-0.000000001,F3743&lt;=01_因子設定!$M$6+0.000000001,G3743&gt;=01_因子設定!$L$7-0.000000001,G3743&lt;=01_因子設定!$M$7+0.000000001,H3743&gt;=01_因子設定!$L$8-0.000000001,H3743&lt;=01_因子設定!$M$8+0.000000001,IF(01_因子設定!$B$20="Box-Behnken",E3743^2+F3743^2+G3743^2+H3743^2&lt;=2+0.000000001,TRUE()))</f>
        <v>1</v>
      </c>
      <c r="AD3743" s="55" t="n">
        <f aca="false">IF(AC3743,IF(01_因子設定!$B$13="最大化",AA3743-01_因子設定!$B$14,IF(01_因子設定!$B$13="最小化",01_因子設定!$B$15-AB3743,MIN(AA3743-01_因子設定!$B$14,01_因子設定!$B$15-AB3743))),-1E+030)</f>
        <v>-3.89884592348022</v>
      </c>
      <c r="AE3743" s="55" t="n">
        <f aca="false">IF(AC3743,IF(01_因子設定!$B$13="最大化",X3743,IF(01_因子設定!$B$13="最小化",-X3743,-ABS(X3743-01_因子設定!$B$16))),-1E+030)</f>
        <v>44.0707099780701</v>
      </c>
      <c r="AF3743" s="55" t="n">
        <f aca="false">AD3743+ROW()*0.000000001</f>
        <v>-3.89884218048022</v>
      </c>
      <c r="AG3743" s="55" t="n">
        <f aca="false">AE3743+ROW()*0.000000001</f>
        <v>44.0707137210701</v>
      </c>
    </row>
    <row r="3744" customFormat="false" ht="15" hidden="false" customHeight="false" outlineLevel="0" collapsed="false">
      <c r="A3744" s="0" t="n">
        <v>5</v>
      </c>
      <c r="B3744" s="0" t="n">
        <v>1</v>
      </c>
      <c r="C3744" s="0" t="n">
        <v>1</v>
      </c>
      <c r="D3744" s="0" t="n">
        <v>4</v>
      </c>
      <c r="E3744" s="0" t="n">
        <f aca="false">-1+A3744*0.25</f>
        <v>0.25</v>
      </c>
      <c r="F3744" s="0" t="n">
        <f aca="false">-1+B3744*0.25</f>
        <v>-0.75</v>
      </c>
      <c r="G3744" s="0" t="n">
        <f aca="false">-1+C3744*0.25</f>
        <v>-0.75</v>
      </c>
      <c r="H3744" s="0" t="n">
        <f aca="false">-1+D3744*0.25</f>
        <v>0</v>
      </c>
      <c r="I3744" s="0" t="n">
        <f aca="false">1</f>
        <v>1</v>
      </c>
      <c r="J3744" s="0" t="n">
        <f aca="false">E3744</f>
        <v>0.25</v>
      </c>
      <c r="K3744" s="0" t="n">
        <f aca="false">F3744</f>
        <v>-0.75</v>
      </c>
      <c r="L3744" s="0" t="n">
        <f aca="false">G3744</f>
        <v>-0.75</v>
      </c>
      <c r="M3744" s="0" t="n">
        <f aca="false">H3744</f>
        <v>0</v>
      </c>
      <c r="N3744" s="0" t="n">
        <f aca="false">E3744*F3744</f>
        <v>-0.1875</v>
      </c>
      <c r="O3744" s="0" t="n">
        <f aca="false">E3744*G3744</f>
        <v>-0.1875</v>
      </c>
      <c r="P3744" s="0" t="n">
        <f aca="false">E3744*H3744</f>
        <v>0</v>
      </c>
      <c r="Q3744" s="0" t="n">
        <f aca="false">F3744*G3744</f>
        <v>0.5625</v>
      </c>
      <c r="R3744" s="0" t="n">
        <f aca="false">F3744*H3744</f>
        <v>-0</v>
      </c>
      <c r="S3744" s="0" t="n">
        <f aca="false">G3744*H3744</f>
        <v>-0</v>
      </c>
      <c r="T3744" s="0" t="n">
        <f aca="false">E3744*E3744</f>
        <v>0.0625</v>
      </c>
      <c r="U3744" s="0" t="n">
        <f aca="false">F3744*F3744</f>
        <v>0.5625</v>
      </c>
      <c r="V3744" s="0" t="n">
        <f aca="false">G3744*G3744</f>
        <v>0.5625</v>
      </c>
      <c r="W3744" s="0" t="n">
        <f aca="false">H3744*H3744</f>
        <v>0</v>
      </c>
      <c r="X3744" s="0" t="n">
        <f aca="false">SUMPRODUCT(I3744:W3744,_XtX!$B$96:$P$96)</f>
        <v>44.1897523757309</v>
      </c>
      <c r="Y3744" s="0" t="n">
        <f aca="false">SUMPRODUCT(MMULT(I3744:W3744,_XtX!$B$78:$P$92),I3744:W3744)</f>
        <v>0.281685455500731</v>
      </c>
      <c r="Z3744" s="0" t="n">
        <f aca="false">04_回帰ANOVA!$K$19*04_回帰ANOVA!$K$14*SQRT(1+Y3744)</f>
        <v>1.47566956658694</v>
      </c>
      <c r="AA3744" s="0" t="n">
        <f aca="false">X3744-Z3744</f>
        <v>42.714082809144</v>
      </c>
      <c r="AB3744" s="0" t="n">
        <f aca="false">X3744+Z3744</f>
        <v>45.6654219423179</v>
      </c>
      <c r="AC3744" s="54" t="b">
        <f aca="false">AND(E3744&gt;=01_因子設定!$L$5-0.000000001,E3744&lt;=01_因子設定!$M$5+0.000000001,F3744&gt;=01_因子設定!$L$6-0.000000001,F3744&lt;=01_因子設定!$M$6+0.000000001,G3744&gt;=01_因子設定!$L$7-0.000000001,G3744&lt;=01_因子設定!$M$7+0.000000001,H3744&gt;=01_因子設定!$L$8-0.000000001,H3744&lt;=01_因子設定!$M$8+0.000000001,IF(01_因子設定!$B$20="Box-Behnken",E3744^2+F3744^2+G3744^2+H3744^2&lt;=2+0.000000001,TRUE()))</f>
        <v>1</v>
      </c>
      <c r="AD3744" s="55" t="n">
        <f aca="false">IF(AC3744,IF(01_因子設定!$B$13="最大化",AA3744-01_因子設定!$B$14,IF(01_因子設定!$B$13="最小化",01_因子設定!$B$15-AB3744,MIN(AA3744-01_因子設定!$B$14,01_因子設定!$B$15-AB3744))),-1E+030)</f>
        <v>-3.785917190856</v>
      </c>
      <c r="AE3744" s="55" t="n">
        <f aca="false">IF(AC3744,IF(01_因子設定!$B$13="最大化",X3744,IF(01_因子設定!$B$13="最小化",-X3744,-ABS(X3744-01_因子設定!$B$16))),-1E+030)</f>
        <v>44.1897523757309</v>
      </c>
      <c r="AF3744" s="55" t="n">
        <f aca="false">AD3744+ROW()*0.000000001</f>
        <v>-3.785913446856</v>
      </c>
      <c r="AG3744" s="55" t="n">
        <f aca="false">AE3744+ROW()*0.000000001</f>
        <v>44.1897561197309</v>
      </c>
    </row>
    <row r="3745" customFormat="false" ht="15" hidden="false" customHeight="false" outlineLevel="0" collapsed="false">
      <c r="A3745" s="0" t="n">
        <v>5</v>
      </c>
      <c r="B3745" s="0" t="n">
        <v>1</v>
      </c>
      <c r="C3745" s="0" t="n">
        <v>1</v>
      </c>
      <c r="D3745" s="0" t="n">
        <v>5</v>
      </c>
      <c r="E3745" s="0" t="n">
        <f aca="false">-1+A3745*0.25</f>
        <v>0.25</v>
      </c>
      <c r="F3745" s="0" t="n">
        <f aca="false">-1+B3745*0.25</f>
        <v>-0.75</v>
      </c>
      <c r="G3745" s="0" t="n">
        <f aca="false">-1+C3745*0.25</f>
        <v>-0.75</v>
      </c>
      <c r="H3745" s="0" t="n">
        <f aca="false">-1+D3745*0.25</f>
        <v>0.25</v>
      </c>
      <c r="I3745" s="0" t="n">
        <f aca="false">1</f>
        <v>1</v>
      </c>
      <c r="J3745" s="0" t="n">
        <f aca="false">E3745</f>
        <v>0.25</v>
      </c>
      <c r="K3745" s="0" t="n">
        <f aca="false">F3745</f>
        <v>-0.75</v>
      </c>
      <c r="L3745" s="0" t="n">
        <f aca="false">G3745</f>
        <v>-0.75</v>
      </c>
      <c r="M3745" s="0" t="n">
        <f aca="false">H3745</f>
        <v>0.25</v>
      </c>
      <c r="N3745" s="0" t="n">
        <f aca="false">E3745*F3745</f>
        <v>-0.1875</v>
      </c>
      <c r="O3745" s="0" t="n">
        <f aca="false">E3745*G3745</f>
        <v>-0.1875</v>
      </c>
      <c r="P3745" s="0" t="n">
        <f aca="false">E3745*H3745</f>
        <v>0.0625</v>
      </c>
      <c r="Q3745" s="0" t="n">
        <f aca="false">F3745*G3745</f>
        <v>0.5625</v>
      </c>
      <c r="R3745" s="0" t="n">
        <f aca="false">F3745*H3745</f>
        <v>-0.1875</v>
      </c>
      <c r="S3745" s="0" t="n">
        <f aca="false">G3745*H3745</f>
        <v>-0.1875</v>
      </c>
      <c r="T3745" s="0" t="n">
        <f aca="false">E3745*E3745</f>
        <v>0.0625</v>
      </c>
      <c r="U3745" s="0" t="n">
        <f aca="false">F3745*F3745</f>
        <v>0.5625</v>
      </c>
      <c r="V3745" s="0" t="n">
        <f aca="false">G3745*G3745</f>
        <v>0.5625</v>
      </c>
      <c r="W3745" s="0" t="n">
        <f aca="false">H3745*H3745</f>
        <v>0.0625</v>
      </c>
      <c r="X3745" s="0" t="n">
        <f aca="false">SUMPRODUCT(I3745:W3745,_XtX!$B$96:$P$96)</f>
        <v>44.2609877558479</v>
      </c>
      <c r="Y3745" s="0" t="n">
        <f aca="false">SUMPRODUCT(MMULT(I3745:W3745,_XtX!$B$78:$P$92),I3745:W3745)</f>
        <v>0.271087468019006</v>
      </c>
      <c r="Z3745" s="0" t="n">
        <f aca="false">04_回帰ANOVA!$K$19*04_回帰ANOVA!$K$14*SQRT(1+Y3745)</f>
        <v>1.46955590155034</v>
      </c>
      <c r="AA3745" s="0" t="n">
        <f aca="false">X3745-Z3745</f>
        <v>42.7914318542976</v>
      </c>
      <c r="AB3745" s="0" t="n">
        <f aca="false">X3745+Z3745</f>
        <v>45.7305436573982</v>
      </c>
      <c r="AC3745" s="54" t="b">
        <f aca="false">AND(E3745&gt;=01_因子設定!$L$5-0.000000001,E3745&lt;=01_因子設定!$M$5+0.000000001,F3745&gt;=01_因子設定!$L$6-0.000000001,F3745&lt;=01_因子設定!$M$6+0.000000001,G3745&gt;=01_因子設定!$L$7-0.000000001,G3745&lt;=01_因子設定!$M$7+0.000000001,H3745&gt;=01_因子設定!$L$8-0.000000001,H3745&lt;=01_因子設定!$M$8+0.000000001,IF(01_因子設定!$B$20="Box-Behnken",E3745^2+F3745^2+G3745^2+H3745^2&lt;=2+0.000000001,TRUE()))</f>
        <v>1</v>
      </c>
      <c r="AD3745" s="55" t="n">
        <f aca="false">IF(AC3745,IF(01_因子設定!$B$13="最大化",AA3745-01_因子設定!$B$14,IF(01_因子設定!$B$13="最小化",01_因子設定!$B$15-AB3745,MIN(AA3745-01_因子設定!$B$14,01_因子設定!$B$15-AB3745))),-1E+030)</f>
        <v>-3.70856814570244</v>
      </c>
      <c r="AE3745" s="55" t="n">
        <f aca="false">IF(AC3745,IF(01_因子設定!$B$13="最大化",X3745,IF(01_因子設定!$B$13="最小化",-X3745,-ABS(X3745-01_因子設定!$B$16))),-1E+030)</f>
        <v>44.2609877558479</v>
      </c>
      <c r="AF3745" s="55" t="n">
        <f aca="false">AD3745+ROW()*0.000000001</f>
        <v>-3.70856440070244</v>
      </c>
      <c r="AG3745" s="55" t="n">
        <f aca="false">AE3745+ROW()*0.000000001</f>
        <v>44.2609915008479</v>
      </c>
    </row>
    <row r="3746" customFormat="false" ht="15" hidden="false" customHeight="false" outlineLevel="0" collapsed="false">
      <c r="A3746" s="0" t="n">
        <v>5</v>
      </c>
      <c r="B3746" s="0" t="n">
        <v>1</v>
      </c>
      <c r="C3746" s="0" t="n">
        <v>1</v>
      </c>
      <c r="D3746" s="0" t="n">
        <v>6</v>
      </c>
      <c r="E3746" s="0" t="n">
        <f aca="false">-1+A3746*0.25</f>
        <v>0.25</v>
      </c>
      <c r="F3746" s="0" t="n">
        <f aca="false">-1+B3746*0.25</f>
        <v>-0.75</v>
      </c>
      <c r="G3746" s="0" t="n">
        <f aca="false">-1+C3746*0.25</f>
        <v>-0.75</v>
      </c>
      <c r="H3746" s="0" t="n">
        <f aca="false">-1+D3746*0.25</f>
        <v>0.5</v>
      </c>
      <c r="I3746" s="0" t="n">
        <f aca="false">1</f>
        <v>1</v>
      </c>
      <c r="J3746" s="0" t="n">
        <f aca="false">E3746</f>
        <v>0.25</v>
      </c>
      <c r="K3746" s="0" t="n">
        <f aca="false">F3746</f>
        <v>-0.75</v>
      </c>
      <c r="L3746" s="0" t="n">
        <f aca="false">G3746</f>
        <v>-0.75</v>
      </c>
      <c r="M3746" s="0" t="n">
        <f aca="false">H3746</f>
        <v>0.5</v>
      </c>
      <c r="N3746" s="0" t="n">
        <f aca="false">E3746*F3746</f>
        <v>-0.1875</v>
      </c>
      <c r="O3746" s="0" t="n">
        <f aca="false">E3746*G3746</f>
        <v>-0.1875</v>
      </c>
      <c r="P3746" s="0" t="n">
        <f aca="false">E3746*H3746</f>
        <v>0.125</v>
      </c>
      <c r="Q3746" s="0" t="n">
        <f aca="false">F3746*G3746</f>
        <v>0.5625</v>
      </c>
      <c r="R3746" s="0" t="n">
        <f aca="false">F3746*H3746</f>
        <v>-0.375</v>
      </c>
      <c r="S3746" s="0" t="n">
        <f aca="false">G3746*H3746</f>
        <v>-0.375</v>
      </c>
      <c r="T3746" s="0" t="n">
        <f aca="false">E3746*E3746</f>
        <v>0.0625</v>
      </c>
      <c r="U3746" s="0" t="n">
        <f aca="false">F3746*F3746</f>
        <v>0.5625</v>
      </c>
      <c r="V3746" s="0" t="n">
        <f aca="false">G3746*G3746</f>
        <v>0.5625</v>
      </c>
      <c r="W3746" s="0" t="n">
        <f aca="false">H3746*H3746</f>
        <v>0.25</v>
      </c>
      <c r="X3746" s="0" t="n">
        <f aca="false">SUMPRODUCT(I3746:W3746,_XtX!$B$96:$P$96)</f>
        <v>44.284416118421</v>
      </c>
      <c r="Y3746" s="0" t="n">
        <f aca="false">SUMPRODUCT(MMULT(I3746:W3746,_XtX!$B$78:$P$92),I3746:W3746)</f>
        <v>0.257385610836988</v>
      </c>
      <c r="Z3746" s="0" t="n">
        <f aca="false">04_回帰ANOVA!$K$19*04_回帰ANOVA!$K$14*SQRT(1+Y3746)</f>
        <v>1.46161380324158</v>
      </c>
      <c r="AA3746" s="0" t="n">
        <f aca="false">X3746-Z3746</f>
        <v>42.8228023151794</v>
      </c>
      <c r="AB3746" s="0" t="n">
        <f aca="false">X3746+Z3746</f>
        <v>45.7460299216626</v>
      </c>
      <c r="AC3746" s="54" t="b">
        <f aca="false">AND(E3746&gt;=01_因子設定!$L$5-0.000000001,E3746&lt;=01_因子設定!$M$5+0.000000001,F3746&gt;=01_因子設定!$L$6-0.000000001,F3746&lt;=01_因子設定!$M$6+0.000000001,G3746&gt;=01_因子設定!$L$7-0.000000001,G3746&lt;=01_因子設定!$M$7+0.000000001,H3746&gt;=01_因子設定!$L$8-0.000000001,H3746&lt;=01_因子設定!$M$8+0.000000001,IF(01_因子設定!$B$20="Box-Behnken",E3746^2+F3746^2+G3746^2+H3746^2&lt;=2+0.000000001,TRUE()))</f>
        <v>1</v>
      </c>
      <c r="AD3746" s="55" t="n">
        <f aca="false">IF(AC3746,IF(01_因子設定!$B$13="最大化",AA3746-01_因子設定!$B$14,IF(01_因子設定!$B$13="最小化",01_因子設定!$B$15-AB3746,MIN(AA3746-01_因子設定!$B$14,01_因子設定!$B$15-AB3746))),-1E+030)</f>
        <v>-3.67719768482058</v>
      </c>
      <c r="AE3746" s="55" t="n">
        <f aca="false">IF(AC3746,IF(01_因子設定!$B$13="最大化",X3746,IF(01_因子設定!$B$13="最小化",-X3746,-ABS(X3746-01_因子設定!$B$16))),-1E+030)</f>
        <v>44.284416118421</v>
      </c>
      <c r="AF3746" s="55" t="n">
        <f aca="false">AD3746+ROW()*0.000000001</f>
        <v>-3.67719393882058</v>
      </c>
      <c r="AG3746" s="55" t="n">
        <f aca="false">AE3746+ROW()*0.000000001</f>
        <v>44.284419864421</v>
      </c>
    </row>
    <row r="3747" customFormat="false" ht="15" hidden="false" customHeight="false" outlineLevel="0" collapsed="false">
      <c r="A3747" s="0" t="n">
        <v>5</v>
      </c>
      <c r="B3747" s="0" t="n">
        <v>1</v>
      </c>
      <c r="C3747" s="0" t="n">
        <v>1</v>
      </c>
      <c r="D3747" s="0" t="n">
        <v>7</v>
      </c>
      <c r="E3747" s="0" t="n">
        <f aca="false">-1+A3747*0.25</f>
        <v>0.25</v>
      </c>
      <c r="F3747" s="0" t="n">
        <f aca="false">-1+B3747*0.25</f>
        <v>-0.75</v>
      </c>
      <c r="G3747" s="0" t="n">
        <f aca="false">-1+C3747*0.25</f>
        <v>-0.75</v>
      </c>
      <c r="H3747" s="0" t="n">
        <f aca="false">-1+D3747*0.25</f>
        <v>0.75</v>
      </c>
      <c r="I3747" s="0" t="n">
        <f aca="false">1</f>
        <v>1</v>
      </c>
      <c r="J3747" s="0" t="n">
        <f aca="false">E3747</f>
        <v>0.25</v>
      </c>
      <c r="K3747" s="0" t="n">
        <f aca="false">F3747</f>
        <v>-0.75</v>
      </c>
      <c r="L3747" s="0" t="n">
        <f aca="false">G3747</f>
        <v>-0.75</v>
      </c>
      <c r="M3747" s="0" t="n">
        <f aca="false">H3747</f>
        <v>0.75</v>
      </c>
      <c r="N3747" s="0" t="n">
        <f aca="false">E3747*F3747</f>
        <v>-0.1875</v>
      </c>
      <c r="O3747" s="0" t="n">
        <f aca="false">E3747*G3747</f>
        <v>-0.1875</v>
      </c>
      <c r="P3747" s="0" t="n">
        <f aca="false">E3747*H3747</f>
        <v>0.1875</v>
      </c>
      <c r="Q3747" s="0" t="n">
        <f aca="false">F3747*G3747</f>
        <v>0.5625</v>
      </c>
      <c r="R3747" s="0" t="n">
        <f aca="false">F3747*H3747</f>
        <v>-0.5625</v>
      </c>
      <c r="S3747" s="0" t="n">
        <f aca="false">G3747*H3747</f>
        <v>-0.5625</v>
      </c>
      <c r="T3747" s="0" t="n">
        <f aca="false">E3747*E3747</f>
        <v>0.0625</v>
      </c>
      <c r="U3747" s="0" t="n">
        <f aca="false">F3747*F3747</f>
        <v>0.5625</v>
      </c>
      <c r="V3747" s="0" t="n">
        <f aca="false">G3747*G3747</f>
        <v>0.5625</v>
      </c>
      <c r="W3747" s="0" t="n">
        <f aca="false">H3747*H3747</f>
        <v>0.5625</v>
      </c>
      <c r="X3747" s="0" t="n">
        <f aca="false">SUMPRODUCT(I3747:W3747,_XtX!$B$96:$P$96)</f>
        <v>44.2600374634503</v>
      </c>
      <c r="Y3747" s="0" t="n">
        <f aca="false">SUMPRODUCT(MMULT(I3747:W3747,_XtX!$B$78:$P$92),I3747:W3747)</f>
        <v>0.294856199744152</v>
      </c>
      <c r="Z3747" s="0" t="n">
        <f aca="false">04_回帰ANOVA!$K$19*04_回帰ANOVA!$K$14*SQRT(1+Y3747)</f>
        <v>1.48323226089013</v>
      </c>
      <c r="AA3747" s="0" t="n">
        <f aca="false">X3747-Z3747</f>
        <v>42.7768052025601</v>
      </c>
      <c r="AB3747" s="0" t="n">
        <f aca="false">X3747+Z3747</f>
        <v>45.7432697243404</v>
      </c>
      <c r="AC3747" s="54" t="b">
        <f aca="false">AND(E3747&gt;=01_因子設定!$L$5-0.000000001,E3747&lt;=01_因子設定!$M$5+0.000000001,F3747&gt;=01_因子設定!$L$6-0.000000001,F3747&lt;=01_因子設定!$M$6+0.000000001,G3747&gt;=01_因子設定!$L$7-0.000000001,G3747&lt;=01_因子設定!$M$7+0.000000001,H3747&gt;=01_因子設定!$L$8-0.000000001,H3747&lt;=01_因子設定!$M$8+0.000000001,IF(01_因子設定!$B$20="Box-Behnken",E3747^2+F3747^2+G3747^2+H3747^2&lt;=2+0.000000001,TRUE()))</f>
        <v>1</v>
      </c>
      <c r="AD3747" s="55" t="n">
        <f aca="false">IF(AC3747,IF(01_因子設定!$B$13="最大化",AA3747-01_因子設定!$B$14,IF(01_因子設定!$B$13="最小化",01_因子設定!$B$15-AB3747,MIN(AA3747-01_因子設定!$B$14,01_因子設定!$B$15-AB3747))),-1E+030)</f>
        <v>-3.72319479743988</v>
      </c>
      <c r="AE3747" s="55" t="n">
        <f aca="false">IF(AC3747,IF(01_因子設定!$B$13="最大化",X3747,IF(01_因子設定!$B$13="最小化",-X3747,-ABS(X3747-01_因子設定!$B$16))),-1E+030)</f>
        <v>44.2600374634503</v>
      </c>
      <c r="AF3747" s="55" t="n">
        <f aca="false">AD3747+ROW()*0.000000001</f>
        <v>-3.72319105043988</v>
      </c>
      <c r="AG3747" s="55" t="n">
        <f aca="false">AE3747+ROW()*0.000000001</f>
        <v>44.2600412104503</v>
      </c>
    </row>
    <row r="3748" customFormat="false" ht="15" hidden="false" customHeight="false" outlineLevel="0" collapsed="false">
      <c r="A3748" s="0" t="n">
        <v>5</v>
      </c>
      <c r="B3748" s="0" t="n">
        <v>1</v>
      </c>
      <c r="C3748" s="0" t="n">
        <v>1</v>
      </c>
      <c r="D3748" s="0" t="n">
        <v>8</v>
      </c>
      <c r="E3748" s="0" t="n">
        <f aca="false">-1+A3748*0.25</f>
        <v>0.25</v>
      </c>
      <c r="F3748" s="0" t="n">
        <f aca="false">-1+B3748*0.25</f>
        <v>-0.75</v>
      </c>
      <c r="G3748" s="0" t="n">
        <f aca="false">-1+C3748*0.25</f>
        <v>-0.75</v>
      </c>
      <c r="H3748" s="0" t="n">
        <f aca="false">-1+D3748*0.25</f>
        <v>1</v>
      </c>
      <c r="I3748" s="0" t="n">
        <f aca="false">1</f>
        <v>1</v>
      </c>
      <c r="J3748" s="0" t="n">
        <f aca="false">E3748</f>
        <v>0.25</v>
      </c>
      <c r="K3748" s="0" t="n">
        <f aca="false">F3748</f>
        <v>-0.75</v>
      </c>
      <c r="L3748" s="0" t="n">
        <f aca="false">G3748</f>
        <v>-0.75</v>
      </c>
      <c r="M3748" s="0" t="n">
        <f aca="false">H3748</f>
        <v>1</v>
      </c>
      <c r="N3748" s="0" t="n">
        <f aca="false">E3748*F3748</f>
        <v>-0.1875</v>
      </c>
      <c r="O3748" s="0" t="n">
        <f aca="false">E3748*G3748</f>
        <v>-0.1875</v>
      </c>
      <c r="P3748" s="0" t="n">
        <f aca="false">E3748*H3748</f>
        <v>0.25</v>
      </c>
      <c r="Q3748" s="0" t="n">
        <f aca="false">F3748*G3748</f>
        <v>0.5625</v>
      </c>
      <c r="R3748" s="0" t="n">
        <f aca="false">F3748*H3748</f>
        <v>-0.75</v>
      </c>
      <c r="S3748" s="0" t="n">
        <f aca="false">G3748*H3748</f>
        <v>-0.75</v>
      </c>
      <c r="T3748" s="0" t="n">
        <f aca="false">E3748*E3748</f>
        <v>0.0625</v>
      </c>
      <c r="U3748" s="0" t="n">
        <f aca="false">F3748*F3748</f>
        <v>0.5625</v>
      </c>
      <c r="V3748" s="0" t="n">
        <f aca="false">G3748*G3748</f>
        <v>0.5625</v>
      </c>
      <c r="W3748" s="0" t="n">
        <f aca="false">H3748*H3748</f>
        <v>1</v>
      </c>
      <c r="X3748" s="0" t="n">
        <f aca="false">SUMPRODUCT(I3748:W3748,_XtX!$B$96:$P$96)</f>
        <v>44.1878517909357</v>
      </c>
      <c r="Y3748" s="0" t="n">
        <f aca="false">SUMPRODUCT(MMULT(I3748:W3748,_XtX!$B$78:$P$92),I3748:W3748)</f>
        <v>0.473959761056287</v>
      </c>
      <c r="Z3748" s="0" t="n">
        <f aca="false">04_回帰ANOVA!$K$19*04_回帰ANOVA!$K$14*SQRT(1+Y3748)</f>
        <v>1.58249084588329</v>
      </c>
      <c r="AA3748" s="0" t="n">
        <f aca="false">X3748-Z3748</f>
        <v>42.6053609450524</v>
      </c>
      <c r="AB3748" s="0" t="n">
        <f aca="false">X3748+Z3748</f>
        <v>45.7703426368189</v>
      </c>
      <c r="AC3748" s="54" t="b">
        <f aca="false">AND(E3748&gt;=01_因子設定!$L$5-0.000000001,E3748&lt;=01_因子設定!$M$5+0.000000001,F3748&gt;=01_因子設定!$L$6-0.000000001,F3748&lt;=01_因子設定!$M$6+0.000000001,G3748&gt;=01_因子設定!$L$7-0.000000001,G3748&lt;=01_因子設定!$M$7+0.000000001,H3748&gt;=01_因子設定!$L$8-0.000000001,H3748&lt;=01_因子設定!$M$8+0.000000001,IF(01_因子設定!$B$20="Box-Behnken",E3748^2+F3748^2+G3748^2+H3748^2&lt;=2+0.000000001,TRUE()))</f>
        <v>1</v>
      </c>
      <c r="AD3748" s="55" t="n">
        <f aca="false">IF(AC3748,IF(01_因子設定!$B$13="最大化",AA3748-01_因子設定!$B$14,IF(01_因子設定!$B$13="最小化",01_因子設定!$B$15-AB3748,MIN(AA3748-01_因子設定!$B$14,01_因子設定!$B$15-AB3748))),-1E+030)</f>
        <v>-3.89463905494763</v>
      </c>
      <c r="AE3748" s="55" t="n">
        <f aca="false">IF(AC3748,IF(01_因子設定!$B$13="最大化",X3748,IF(01_因子設定!$B$13="最小化",-X3748,-ABS(X3748-01_因子設定!$B$16))),-1E+030)</f>
        <v>44.1878517909357</v>
      </c>
      <c r="AF3748" s="55" t="n">
        <f aca="false">AD3748+ROW()*0.000000001</f>
        <v>-3.89463530694763</v>
      </c>
      <c r="AG3748" s="55" t="n">
        <f aca="false">AE3748+ROW()*0.000000001</f>
        <v>44.1878555389357</v>
      </c>
    </row>
    <row r="3749" customFormat="false" ht="15" hidden="false" customHeight="false" outlineLevel="0" collapsed="false">
      <c r="A3749" s="0" t="n">
        <v>5</v>
      </c>
      <c r="B3749" s="0" t="n">
        <v>1</v>
      </c>
      <c r="C3749" s="0" t="n">
        <v>2</v>
      </c>
      <c r="D3749" s="0" t="n">
        <v>0</v>
      </c>
      <c r="E3749" s="0" t="n">
        <f aca="false">-1+A3749*0.25</f>
        <v>0.25</v>
      </c>
      <c r="F3749" s="0" t="n">
        <f aca="false">-1+B3749*0.25</f>
        <v>-0.75</v>
      </c>
      <c r="G3749" s="0" t="n">
        <f aca="false">-1+C3749*0.25</f>
        <v>-0.5</v>
      </c>
      <c r="H3749" s="0" t="n">
        <f aca="false">-1+D3749*0.25</f>
        <v>-1</v>
      </c>
      <c r="I3749" s="0" t="n">
        <f aca="false">1</f>
        <v>1</v>
      </c>
      <c r="J3749" s="0" t="n">
        <f aca="false">E3749</f>
        <v>0.25</v>
      </c>
      <c r="K3749" s="0" t="n">
        <f aca="false">F3749</f>
        <v>-0.75</v>
      </c>
      <c r="L3749" s="0" t="n">
        <f aca="false">G3749</f>
        <v>-0.5</v>
      </c>
      <c r="M3749" s="0" t="n">
        <f aca="false">H3749</f>
        <v>-1</v>
      </c>
      <c r="N3749" s="0" t="n">
        <f aca="false">E3749*F3749</f>
        <v>-0.1875</v>
      </c>
      <c r="O3749" s="0" t="n">
        <f aca="false">E3749*G3749</f>
        <v>-0.125</v>
      </c>
      <c r="P3749" s="0" t="n">
        <f aca="false">E3749*H3749</f>
        <v>-0.25</v>
      </c>
      <c r="Q3749" s="0" t="n">
        <f aca="false">F3749*G3749</f>
        <v>0.375</v>
      </c>
      <c r="R3749" s="0" t="n">
        <f aca="false">F3749*H3749</f>
        <v>0.75</v>
      </c>
      <c r="S3749" s="0" t="n">
        <f aca="false">G3749*H3749</f>
        <v>0.5</v>
      </c>
      <c r="T3749" s="0" t="n">
        <f aca="false">E3749*E3749</f>
        <v>0.0625</v>
      </c>
      <c r="U3749" s="0" t="n">
        <f aca="false">F3749*F3749</f>
        <v>0.5625</v>
      </c>
      <c r="V3749" s="0" t="n">
        <f aca="false">G3749*G3749</f>
        <v>0.25</v>
      </c>
      <c r="W3749" s="0" t="n">
        <f aca="false">H3749*H3749</f>
        <v>1</v>
      </c>
      <c r="X3749" s="0" t="n">
        <f aca="false">SUMPRODUCT(I3749:W3749,_XtX!$B$96:$P$96)</f>
        <v>43.7147478070175</v>
      </c>
      <c r="Y3749" s="0" t="n">
        <f aca="false">SUMPRODUCT(MMULT(I3749:W3749,_XtX!$B$78:$P$92),I3749:W3749)</f>
        <v>0.459125719572369</v>
      </c>
      <c r="Z3749" s="0" t="n">
        <f aca="false">04_回帰ANOVA!$K$19*04_回帰ANOVA!$K$14*SQRT(1+Y3749)</f>
        <v>1.57450755575573</v>
      </c>
      <c r="AA3749" s="0" t="n">
        <f aca="false">X3749-Z3749</f>
        <v>42.1402402512618</v>
      </c>
      <c r="AB3749" s="0" t="n">
        <f aca="false">X3749+Z3749</f>
        <v>45.2892553627733</v>
      </c>
      <c r="AC3749" s="54" t="b">
        <f aca="false">AND(E3749&gt;=01_因子設定!$L$5-0.000000001,E3749&lt;=01_因子設定!$M$5+0.000000001,F3749&gt;=01_因子設定!$L$6-0.000000001,F3749&lt;=01_因子設定!$M$6+0.000000001,G3749&gt;=01_因子設定!$L$7-0.000000001,G3749&lt;=01_因子設定!$M$7+0.000000001,H3749&gt;=01_因子設定!$L$8-0.000000001,H3749&lt;=01_因子設定!$M$8+0.000000001,IF(01_因子設定!$B$20="Box-Behnken",E3749^2+F3749^2+G3749^2+H3749^2&lt;=2+0.000000001,TRUE()))</f>
        <v>1</v>
      </c>
      <c r="AD3749" s="55" t="n">
        <f aca="false">IF(AC3749,IF(01_因子設定!$B$13="最大化",AA3749-01_因子設定!$B$14,IF(01_因子設定!$B$13="最小化",01_因子設定!$B$15-AB3749,MIN(AA3749-01_因子設定!$B$14,01_因子設定!$B$15-AB3749))),-1E+030)</f>
        <v>-4.35975974873821</v>
      </c>
      <c r="AE3749" s="55" t="n">
        <f aca="false">IF(AC3749,IF(01_因子設定!$B$13="最大化",X3749,IF(01_因子設定!$B$13="最小化",-X3749,-ABS(X3749-01_因子設定!$B$16))),-1E+030)</f>
        <v>43.7147478070175</v>
      </c>
      <c r="AF3749" s="55" t="n">
        <f aca="false">AD3749+ROW()*0.000000001</f>
        <v>-4.35975599973821</v>
      </c>
      <c r="AG3749" s="55" t="n">
        <f aca="false">AE3749+ROW()*0.000000001</f>
        <v>43.7147515560175</v>
      </c>
    </row>
    <row r="3750" customFormat="false" ht="15" hidden="false" customHeight="false" outlineLevel="0" collapsed="false">
      <c r="A3750" s="0" t="n">
        <v>5</v>
      </c>
      <c r="B3750" s="0" t="n">
        <v>1</v>
      </c>
      <c r="C3750" s="0" t="n">
        <v>2</v>
      </c>
      <c r="D3750" s="0" t="n">
        <v>1</v>
      </c>
      <c r="E3750" s="0" t="n">
        <f aca="false">-1+A3750*0.25</f>
        <v>0.25</v>
      </c>
      <c r="F3750" s="0" t="n">
        <f aca="false">-1+B3750*0.25</f>
        <v>-0.75</v>
      </c>
      <c r="G3750" s="0" t="n">
        <f aca="false">-1+C3750*0.25</f>
        <v>-0.5</v>
      </c>
      <c r="H3750" s="0" t="n">
        <f aca="false">-1+D3750*0.25</f>
        <v>-0.75</v>
      </c>
      <c r="I3750" s="0" t="n">
        <f aca="false">1</f>
        <v>1</v>
      </c>
      <c r="J3750" s="0" t="n">
        <f aca="false">E3750</f>
        <v>0.25</v>
      </c>
      <c r="K3750" s="0" t="n">
        <f aca="false">F3750</f>
        <v>-0.75</v>
      </c>
      <c r="L3750" s="0" t="n">
        <f aca="false">G3750</f>
        <v>-0.5</v>
      </c>
      <c r="M3750" s="0" t="n">
        <f aca="false">H3750</f>
        <v>-0.75</v>
      </c>
      <c r="N3750" s="0" t="n">
        <f aca="false">E3750*F3750</f>
        <v>-0.1875</v>
      </c>
      <c r="O3750" s="0" t="n">
        <f aca="false">E3750*G3750</f>
        <v>-0.125</v>
      </c>
      <c r="P3750" s="0" t="n">
        <f aca="false">E3750*H3750</f>
        <v>-0.1875</v>
      </c>
      <c r="Q3750" s="0" t="n">
        <f aca="false">F3750*G3750</f>
        <v>0.375</v>
      </c>
      <c r="R3750" s="0" t="n">
        <f aca="false">F3750*H3750</f>
        <v>0.5625</v>
      </c>
      <c r="S3750" s="0" t="n">
        <f aca="false">G3750*H3750</f>
        <v>0.375</v>
      </c>
      <c r="T3750" s="0" t="n">
        <f aca="false">E3750*E3750</f>
        <v>0.0625</v>
      </c>
      <c r="U3750" s="0" t="n">
        <f aca="false">F3750*F3750</f>
        <v>0.5625</v>
      </c>
      <c r="V3750" s="0" t="n">
        <f aca="false">G3750*G3750</f>
        <v>0.25</v>
      </c>
      <c r="W3750" s="0" t="n">
        <f aca="false">H3750*H3750</f>
        <v>0.5625</v>
      </c>
      <c r="X3750" s="0" t="n">
        <f aca="false">SUMPRODUCT(I3750:W3750,_XtX!$B$96:$P$96)</f>
        <v>43.9951800073099</v>
      </c>
      <c r="Y3750" s="0" t="n">
        <f aca="false">SUMPRODUCT(MMULT(I3750:W3750,_XtX!$B$78:$P$92),I3750:W3750)</f>
        <v>0.257385610836988</v>
      </c>
      <c r="Z3750" s="0" t="n">
        <f aca="false">04_回帰ANOVA!$K$19*04_回帰ANOVA!$K$14*SQRT(1+Y3750)</f>
        <v>1.46161380324158</v>
      </c>
      <c r="AA3750" s="0" t="n">
        <f aca="false">X3750-Z3750</f>
        <v>42.5335662040683</v>
      </c>
      <c r="AB3750" s="0" t="n">
        <f aca="false">X3750+Z3750</f>
        <v>45.4567938105515</v>
      </c>
      <c r="AC3750" s="54" t="b">
        <f aca="false">AND(E3750&gt;=01_因子設定!$L$5-0.000000001,E3750&lt;=01_因子設定!$M$5+0.000000001,F3750&gt;=01_因子設定!$L$6-0.000000001,F3750&lt;=01_因子設定!$M$6+0.000000001,G3750&gt;=01_因子設定!$L$7-0.000000001,G3750&lt;=01_因子設定!$M$7+0.000000001,H3750&gt;=01_因子設定!$L$8-0.000000001,H3750&lt;=01_因子設定!$M$8+0.000000001,IF(01_因子設定!$B$20="Box-Behnken",E3750^2+F3750^2+G3750^2+H3750^2&lt;=2+0.000000001,TRUE()))</f>
        <v>1</v>
      </c>
      <c r="AD3750" s="55" t="n">
        <f aca="false">IF(AC3750,IF(01_因子設定!$B$13="最大化",AA3750-01_因子設定!$B$14,IF(01_因子設定!$B$13="最小化",01_因子設定!$B$15-AB3750,MIN(AA3750-01_因子設定!$B$14,01_因子設定!$B$15-AB3750))),-1E+030)</f>
        <v>-3.96643379593168</v>
      </c>
      <c r="AE3750" s="55" t="n">
        <f aca="false">IF(AC3750,IF(01_因子設定!$B$13="最大化",X3750,IF(01_因子設定!$B$13="最小化",-X3750,-ABS(X3750-01_因子設定!$B$16))),-1E+030)</f>
        <v>43.9951800073099</v>
      </c>
      <c r="AF3750" s="55" t="n">
        <f aca="false">AD3750+ROW()*0.000000001</f>
        <v>-3.96643004593168</v>
      </c>
      <c r="AG3750" s="55" t="n">
        <f aca="false">AE3750+ROW()*0.000000001</f>
        <v>43.9951837573099</v>
      </c>
    </row>
    <row r="3751" customFormat="false" ht="15" hidden="false" customHeight="false" outlineLevel="0" collapsed="false">
      <c r="A3751" s="0" t="n">
        <v>5</v>
      </c>
      <c r="B3751" s="0" t="n">
        <v>1</v>
      </c>
      <c r="C3751" s="0" t="n">
        <v>2</v>
      </c>
      <c r="D3751" s="0" t="n">
        <v>2</v>
      </c>
      <c r="E3751" s="0" t="n">
        <f aca="false">-1+A3751*0.25</f>
        <v>0.25</v>
      </c>
      <c r="F3751" s="0" t="n">
        <f aca="false">-1+B3751*0.25</f>
        <v>-0.75</v>
      </c>
      <c r="G3751" s="0" t="n">
        <f aca="false">-1+C3751*0.25</f>
        <v>-0.5</v>
      </c>
      <c r="H3751" s="0" t="n">
        <f aca="false">-1+D3751*0.25</f>
        <v>-0.5</v>
      </c>
      <c r="I3751" s="0" t="n">
        <f aca="false">1</f>
        <v>1</v>
      </c>
      <c r="J3751" s="0" t="n">
        <f aca="false">E3751</f>
        <v>0.25</v>
      </c>
      <c r="K3751" s="0" t="n">
        <f aca="false">F3751</f>
        <v>-0.75</v>
      </c>
      <c r="L3751" s="0" t="n">
        <f aca="false">G3751</f>
        <v>-0.5</v>
      </c>
      <c r="M3751" s="0" t="n">
        <f aca="false">H3751</f>
        <v>-0.5</v>
      </c>
      <c r="N3751" s="0" t="n">
        <f aca="false">E3751*F3751</f>
        <v>-0.1875</v>
      </c>
      <c r="O3751" s="0" t="n">
        <f aca="false">E3751*G3751</f>
        <v>-0.125</v>
      </c>
      <c r="P3751" s="0" t="n">
        <f aca="false">E3751*H3751</f>
        <v>-0.125</v>
      </c>
      <c r="Q3751" s="0" t="n">
        <f aca="false">F3751*G3751</f>
        <v>0.375</v>
      </c>
      <c r="R3751" s="0" t="n">
        <f aca="false">F3751*H3751</f>
        <v>0.375</v>
      </c>
      <c r="S3751" s="0" t="n">
        <f aca="false">G3751*H3751</f>
        <v>0.25</v>
      </c>
      <c r="T3751" s="0" t="n">
        <f aca="false">E3751*E3751</f>
        <v>0.0625</v>
      </c>
      <c r="U3751" s="0" t="n">
        <f aca="false">F3751*F3751</f>
        <v>0.5625</v>
      </c>
      <c r="V3751" s="0" t="n">
        <f aca="false">G3751*G3751</f>
        <v>0.25</v>
      </c>
      <c r="W3751" s="0" t="n">
        <f aca="false">H3751*H3751</f>
        <v>0.25</v>
      </c>
      <c r="X3751" s="0" t="n">
        <f aca="false">SUMPRODUCT(I3751:W3751,_XtX!$B$96:$P$96)</f>
        <v>44.2278051900584</v>
      </c>
      <c r="Y3751" s="0" t="n">
        <f aca="false">SUMPRODUCT(MMULT(I3751:W3751,_XtX!$B$78:$P$92),I3751:W3751)</f>
        <v>0.203746059484649</v>
      </c>
      <c r="Z3751" s="0" t="n">
        <f aca="false">04_回帰ANOVA!$K$19*04_回帰ANOVA!$K$14*SQRT(1+Y3751)</f>
        <v>1.43009810755465</v>
      </c>
      <c r="AA3751" s="0" t="n">
        <f aca="false">X3751-Z3751</f>
        <v>42.7977070825038</v>
      </c>
      <c r="AB3751" s="0" t="n">
        <f aca="false">X3751+Z3751</f>
        <v>45.6579032976131</v>
      </c>
      <c r="AC3751" s="54" t="b">
        <f aca="false">AND(E3751&gt;=01_因子設定!$L$5-0.000000001,E3751&lt;=01_因子設定!$M$5+0.000000001,F3751&gt;=01_因子設定!$L$6-0.000000001,F3751&lt;=01_因子設定!$M$6+0.000000001,G3751&gt;=01_因子設定!$L$7-0.000000001,G3751&lt;=01_因子設定!$M$7+0.000000001,H3751&gt;=01_因子設定!$L$8-0.000000001,H3751&lt;=01_因子設定!$M$8+0.000000001,IF(01_因子設定!$B$20="Box-Behnken",E3751^2+F3751^2+G3751^2+H3751^2&lt;=2+0.000000001,TRUE()))</f>
        <v>1</v>
      </c>
      <c r="AD3751" s="55" t="n">
        <f aca="false">IF(AC3751,IF(01_因子設定!$B$13="最大化",AA3751-01_因子設定!$B$14,IF(01_因子設定!$B$13="最小化",01_因子設定!$B$15-AB3751,MIN(AA3751-01_因子設定!$B$14,01_因子設定!$B$15-AB3751))),-1E+030)</f>
        <v>-3.70229291749622</v>
      </c>
      <c r="AE3751" s="55" t="n">
        <f aca="false">IF(AC3751,IF(01_因子設定!$B$13="最大化",X3751,IF(01_因子設定!$B$13="最小化",-X3751,-ABS(X3751-01_因子設定!$B$16))),-1E+030)</f>
        <v>44.2278051900584</v>
      </c>
      <c r="AF3751" s="55" t="n">
        <f aca="false">AD3751+ROW()*0.000000001</f>
        <v>-3.70228916649622</v>
      </c>
      <c r="AG3751" s="55" t="n">
        <f aca="false">AE3751+ROW()*0.000000001</f>
        <v>44.2278089410584</v>
      </c>
    </row>
    <row r="3752" customFormat="false" ht="15" hidden="false" customHeight="false" outlineLevel="0" collapsed="false">
      <c r="A3752" s="0" t="n">
        <v>5</v>
      </c>
      <c r="B3752" s="0" t="n">
        <v>1</v>
      </c>
      <c r="C3752" s="0" t="n">
        <v>2</v>
      </c>
      <c r="D3752" s="0" t="n">
        <v>3</v>
      </c>
      <c r="E3752" s="0" t="n">
        <f aca="false">-1+A3752*0.25</f>
        <v>0.25</v>
      </c>
      <c r="F3752" s="0" t="n">
        <f aca="false">-1+B3752*0.25</f>
        <v>-0.75</v>
      </c>
      <c r="G3752" s="0" t="n">
        <f aca="false">-1+C3752*0.25</f>
        <v>-0.5</v>
      </c>
      <c r="H3752" s="0" t="n">
        <f aca="false">-1+D3752*0.25</f>
        <v>-0.25</v>
      </c>
      <c r="I3752" s="0" t="n">
        <f aca="false">1</f>
        <v>1</v>
      </c>
      <c r="J3752" s="0" t="n">
        <f aca="false">E3752</f>
        <v>0.25</v>
      </c>
      <c r="K3752" s="0" t="n">
        <f aca="false">F3752</f>
        <v>-0.75</v>
      </c>
      <c r="L3752" s="0" t="n">
        <f aca="false">G3752</f>
        <v>-0.5</v>
      </c>
      <c r="M3752" s="0" t="n">
        <f aca="false">H3752</f>
        <v>-0.25</v>
      </c>
      <c r="N3752" s="0" t="n">
        <f aca="false">E3752*F3752</f>
        <v>-0.1875</v>
      </c>
      <c r="O3752" s="0" t="n">
        <f aca="false">E3752*G3752</f>
        <v>-0.125</v>
      </c>
      <c r="P3752" s="0" t="n">
        <f aca="false">E3752*H3752</f>
        <v>-0.0625</v>
      </c>
      <c r="Q3752" s="0" t="n">
        <f aca="false">F3752*G3752</f>
        <v>0.375</v>
      </c>
      <c r="R3752" s="0" t="n">
        <f aca="false">F3752*H3752</f>
        <v>0.1875</v>
      </c>
      <c r="S3752" s="0" t="n">
        <f aca="false">G3752*H3752</f>
        <v>0.125</v>
      </c>
      <c r="T3752" s="0" t="n">
        <f aca="false">E3752*E3752</f>
        <v>0.0625</v>
      </c>
      <c r="U3752" s="0" t="n">
        <f aca="false">F3752*F3752</f>
        <v>0.5625</v>
      </c>
      <c r="V3752" s="0" t="n">
        <f aca="false">G3752*G3752</f>
        <v>0.25</v>
      </c>
      <c r="W3752" s="0" t="n">
        <f aca="false">H3752*H3752</f>
        <v>0.0625</v>
      </c>
      <c r="X3752" s="0" t="n">
        <f aca="false">SUMPRODUCT(I3752:W3752,_XtX!$B$96:$P$96)</f>
        <v>44.4126233552631</v>
      </c>
      <c r="Y3752" s="0" t="n">
        <f aca="false">SUMPRODUCT(MMULT(I3752:W3752,_XtX!$B$78:$P$92),I3752:W3752)</f>
        <v>0.207746539199561</v>
      </c>
      <c r="Z3752" s="0" t="n">
        <f aca="false">04_回帰ANOVA!$K$19*04_回帰ANOVA!$K$14*SQRT(1+Y3752)</f>
        <v>1.43247250081141</v>
      </c>
      <c r="AA3752" s="0" t="n">
        <f aca="false">X3752-Z3752</f>
        <v>42.9801508544517</v>
      </c>
      <c r="AB3752" s="0" t="n">
        <f aca="false">X3752+Z3752</f>
        <v>45.8450958560745</v>
      </c>
      <c r="AC3752" s="54" t="b">
        <f aca="false">AND(E3752&gt;=01_因子設定!$L$5-0.000000001,E3752&lt;=01_因子設定!$M$5+0.000000001,F3752&gt;=01_因子設定!$L$6-0.000000001,F3752&lt;=01_因子設定!$M$6+0.000000001,G3752&gt;=01_因子設定!$L$7-0.000000001,G3752&lt;=01_因子設定!$M$7+0.000000001,H3752&gt;=01_因子設定!$L$8-0.000000001,H3752&lt;=01_因子設定!$M$8+0.000000001,IF(01_因子設定!$B$20="Box-Behnken",E3752^2+F3752^2+G3752^2+H3752^2&lt;=2+0.000000001,TRUE()))</f>
        <v>1</v>
      </c>
      <c r="AD3752" s="55" t="n">
        <f aca="false">IF(AC3752,IF(01_因子設定!$B$13="最大化",AA3752-01_因子設定!$B$14,IF(01_因子設定!$B$13="最小化",01_因子設定!$B$15-AB3752,MIN(AA3752-01_因子設定!$B$14,01_因子設定!$B$15-AB3752))),-1E+030)</f>
        <v>-3.51984914554831</v>
      </c>
      <c r="AE3752" s="55" t="n">
        <f aca="false">IF(AC3752,IF(01_因子設定!$B$13="最大化",X3752,IF(01_因子設定!$B$13="最小化",-X3752,-ABS(X3752-01_因子設定!$B$16))),-1E+030)</f>
        <v>44.4126233552631</v>
      </c>
      <c r="AF3752" s="55" t="n">
        <f aca="false">AD3752+ROW()*0.000000001</f>
        <v>-3.51984539354831</v>
      </c>
      <c r="AG3752" s="55" t="n">
        <f aca="false">AE3752+ROW()*0.000000001</f>
        <v>44.4126271072631</v>
      </c>
    </row>
    <row r="3753" customFormat="false" ht="15" hidden="false" customHeight="false" outlineLevel="0" collapsed="false">
      <c r="A3753" s="0" t="n">
        <v>5</v>
      </c>
      <c r="B3753" s="0" t="n">
        <v>1</v>
      </c>
      <c r="C3753" s="0" t="n">
        <v>2</v>
      </c>
      <c r="D3753" s="0" t="n">
        <v>4</v>
      </c>
      <c r="E3753" s="0" t="n">
        <f aca="false">-1+A3753*0.25</f>
        <v>0.25</v>
      </c>
      <c r="F3753" s="0" t="n">
        <f aca="false">-1+B3753*0.25</f>
        <v>-0.75</v>
      </c>
      <c r="G3753" s="0" t="n">
        <f aca="false">-1+C3753*0.25</f>
        <v>-0.5</v>
      </c>
      <c r="H3753" s="0" t="n">
        <f aca="false">-1+D3753*0.25</f>
        <v>0</v>
      </c>
      <c r="I3753" s="0" t="n">
        <f aca="false">1</f>
        <v>1</v>
      </c>
      <c r="J3753" s="0" t="n">
        <f aca="false">E3753</f>
        <v>0.25</v>
      </c>
      <c r="K3753" s="0" t="n">
        <f aca="false">F3753</f>
        <v>-0.75</v>
      </c>
      <c r="L3753" s="0" t="n">
        <f aca="false">G3753</f>
        <v>-0.5</v>
      </c>
      <c r="M3753" s="0" t="n">
        <f aca="false">H3753</f>
        <v>0</v>
      </c>
      <c r="N3753" s="0" t="n">
        <f aca="false">E3753*F3753</f>
        <v>-0.1875</v>
      </c>
      <c r="O3753" s="0" t="n">
        <f aca="false">E3753*G3753</f>
        <v>-0.125</v>
      </c>
      <c r="P3753" s="0" t="n">
        <f aca="false">E3753*H3753</f>
        <v>0</v>
      </c>
      <c r="Q3753" s="0" t="n">
        <f aca="false">F3753*G3753</f>
        <v>0.375</v>
      </c>
      <c r="R3753" s="0" t="n">
        <f aca="false">F3753*H3753</f>
        <v>-0</v>
      </c>
      <c r="S3753" s="0" t="n">
        <f aca="false">G3753*H3753</f>
        <v>-0</v>
      </c>
      <c r="T3753" s="0" t="n">
        <f aca="false">E3753*E3753</f>
        <v>0.0625</v>
      </c>
      <c r="U3753" s="0" t="n">
        <f aca="false">F3753*F3753</f>
        <v>0.5625</v>
      </c>
      <c r="V3753" s="0" t="n">
        <f aca="false">G3753*G3753</f>
        <v>0.25</v>
      </c>
      <c r="W3753" s="0" t="n">
        <f aca="false">H3753*H3753</f>
        <v>0</v>
      </c>
      <c r="X3753" s="0" t="n">
        <f aca="false">SUMPRODUCT(I3753:W3753,_XtX!$B$96:$P$96)</f>
        <v>44.5496345029239</v>
      </c>
      <c r="Y3753" s="0" t="n">
        <f aca="false">SUMPRODUCT(MMULT(I3753:W3753,_XtX!$B$78:$P$92),I3753:W3753)</f>
        <v>0.215110734192252</v>
      </c>
      <c r="Z3753" s="0" t="n">
        <f aca="false">04_回帰ANOVA!$K$19*04_回帰ANOVA!$K$14*SQRT(1+Y3753)</f>
        <v>1.43683309086864</v>
      </c>
      <c r="AA3753" s="0" t="n">
        <f aca="false">X3753-Z3753</f>
        <v>43.1128014120553</v>
      </c>
      <c r="AB3753" s="0" t="n">
        <f aca="false">X3753+Z3753</f>
        <v>45.9864675937926</v>
      </c>
      <c r="AC3753" s="54" t="b">
        <f aca="false">AND(E3753&gt;=01_因子設定!$L$5-0.000000001,E3753&lt;=01_因子設定!$M$5+0.000000001,F3753&gt;=01_因子設定!$L$6-0.000000001,F3753&lt;=01_因子設定!$M$6+0.000000001,G3753&gt;=01_因子設定!$L$7-0.000000001,G3753&lt;=01_因子設定!$M$7+0.000000001,H3753&gt;=01_因子設定!$L$8-0.000000001,H3753&lt;=01_因子設定!$M$8+0.000000001,IF(01_因子設定!$B$20="Box-Behnken",E3753^2+F3753^2+G3753^2+H3753^2&lt;=2+0.000000001,TRUE()))</f>
        <v>1</v>
      </c>
      <c r="AD3753" s="55" t="n">
        <f aca="false">IF(AC3753,IF(01_因子設定!$B$13="最大化",AA3753-01_因子設定!$B$14,IF(01_因子設定!$B$13="最小化",01_因子設定!$B$15-AB3753,MIN(AA3753-01_因子設定!$B$14,01_因子設定!$B$15-AB3753))),-1E+030)</f>
        <v>-3.38719858794473</v>
      </c>
      <c r="AE3753" s="55" t="n">
        <f aca="false">IF(AC3753,IF(01_因子設定!$B$13="最大化",X3753,IF(01_因子設定!$B$13="最小化",-X3753,-ABS(X3753-01_因子設定!$B$16))),-1E+030)</f>
        <v>44.5496345029239</v>
      </c>
      <c r="AF3753" s="55" t="n">
        <f aca="false">AD3753+ROW()*0.000000001</f>
        <v>-3.38719483494473</v>
      </c>
      <c r="AG3753" s="55" t="n">
        <f aca="false">AE3753+ROW()*0.000000001</f>
        <v>44.5496382559239</v>
      </c>
    </row>
    <row r="3754" customFormat="false" ht="15" hidden="false" customHeight="false" outlineLevel="0" collapsed="false">
      <c r="A3754" s="0" t="n">
        <v>5</v>
      </c>
      <c r="B3754" s="0" t="n">
        <v>1</v>
      </c>
      <c r="C3754" s="0" t="n">
        <v>2</v>
      </c>
      <c r="D3754" s="0" t="n">
        <v>5</v>
      </c>
      <c r="E3754" s="0" t="n">
        <f aca="false">-1+A3754*0.25</f>
        <v>0.25</v>
      </c>
      <c r="F3754" s="0" t="n">
        <f aca="false">-1+B3754*0.25</f>
        <v>-0.75</v>
      </c>
      <c r="G3754" s="0" t="n">
        <f aca="false">-1+C3754*0.25</f>
        <v>-0.5</v>
      </c>
      <c r="H3754" s="0" t="n">
        <f aca="false">-1+D3754*0.25</f>
        <v>0.25</v>
      </c>
      <c r="I3754" s="0" t="n">
        <f aca="false">1</f>
        <v>1</v>
      </c>
      <c r="J3754" s="0" t="n">
        <f aca="false">E3754</f>
        <v>0.25</v>
      </c>
      <c r="K3754" s="0" t="n">
        <f aca="false">F3754</f>
        <v>-0.75</v>
      </c>
      <c r="L3754" s="0" t="n">
        <f aca="false">G3754</f>
        <v>-0.5</v>
      </c>
      <c r="M3754" s="0" t="n">
        <f aca="false">H3754</f>
        <v>0.25</v>
      </c>
      <c r="N3754" s="0" t="n">
        <f aca="false">E3754*F3754</f>
        <v>-0.1875</v>
      </c>
      <c r="O3754" s="0" t="n">
        <f aca="false">E3754*G3754</f>
        <v>-0.125</v>
      </c>
      <c r="P3754" s="0" t="n">
        <f aca="false">E3754*H3754</f>
        <v>0.0625</v>
      </c>
      <c r="Q3754" s="0" t="n">
        <f aca="false">F3754*G3754</f>
        <v>0.375</v>
      </c>
      <c r="R3754" s="0" t="n">
        <f aca="false">F3754*H3754</f>
        <v>-0.1875</v>
      </c>
      <c r="S3754" s="0" t="n">
        <f aca="false">G3754*H3754</f>
        <v>-0.125</v>
      </c>
      <c r="T3754" s="0" t="n">
        <f aca="false">E3754*E3754</f>
        <v>0.0625</v>
      </c>
      <c r="U3754" s="0" t="n">
        <f aca="false">F3754*F3754</f>
        <v>0.5625</v>
      </c>
      <c r="V3754" s="0" t="n">
        <f aca="false">G3754*G3754</f>
        <v>0.25</v>
      </c>
      <c r="W3754" s="0" t="n">
        <f aca="false">H3754*H3754</f>
        <v>0.0625</v>
      </c>
      <c r="X3754" s="0" t="n">
        <f aca="false">SUMPRODUCT(I3754:W3754,_XtX!$B$96:$P$96)</f>
        <v>44.6388386330409</v>
      </c>
      <c r="Y3754" s="0" t="n">
        <f aca="false">SUMPRODUCT(MMULT(I3754:W3754,_XtX!$B$78:$P$92),I3754:W3754)</f>
        <v>0.207746539199561</v>
      </c>
      <c r="Z3754" s="0" t="n">
        <f aca="false">04_回帰ANOVA!$K$19*04_回帰ANOVA!$K$14*SQRT(1+Y3754)</f>
        <v>1.43247250081141</v>
      </c>
      <c r="AA3754" s="0" t="n">
        <f aca="false">X3754-Z3754</f>
        <v>43.2063661322295</v>
      </c>
      <c r="AB3754" s="0" t="n">
        <f aca="false">X3754+Z3754</f>
        <v>46.0713111338523</v>
      </c>
      <c r="AC3754" s="54" t="b">
        <f aca="false">AND(E3754&gt;=01_因子設定!$L$5-0.000000001,E3754&lt;=01_因子設定!$M$5+0.000000001,F3754&gt;=01_因子設定!$L$6-0.000000001,F3754&lt;=01_因子設定!$M$6+0.000000001,G3754&gt;=01_因子設定!$L$7-0.000000001,G3754&lt;=01_因子設定!$M$7+0.000000001,H3754&gt;=01_因子設定!$L$8-0.000000001,H3754&lt;=01_因子設定!$M$8+0.000000001,IF(01_因子設定!$B$20="Box-Behnken",E3754^2+F3754^2+G3754^2+H3754^2&lt;=2+0.000000001,TRUE()))</f>
        <v>1</v>
      </c>
      <c r="AD3754" s="55" t="n">
        <f aca="false">IF(AC3754,IF(01_因子設定!$B$13="最大化",AA3754-01_因子設定!$B$14,IF(01_因子設定!$B$13="最小化",01_因子設定!$B$15-AB3754,MIN(AA3754-01_因子設定!$B$14,01_因子設定!$B$15-AB3754))),-1E+030)</f>
        <v>-3.29363386777053</v>
      </c>
      <c r="AE3754" s="55" t="n">
        <f aca="false">IF(AC3754,IF(01_因子設定!$B$13="最大化",X3754,IF(01_因子設定!$B$13="最小化",-X3754,-ABS(X3754-01_因子設定!$B$16))),-1E+030)</f>
        <v>44.6388386330409</v>
      </c>
      <c r="AF3754" s="55" t="n">
        <f aca="false">AD3754+ROW()*0.000000001</f>
        <v>-3.29363011377053</v>
      </c>
      <c r="AG3754" s="55" t="n">
        <f aca="false">AE3754+ROW()*0.000000001</f>
        <v>44.6388423870409</v>
      </c>
    </row>
    <row r="3755" customFormat="false" ht="15" hidden="false" customHeight="false" outlineLevel="0" collapsed="false">
      <c r="A3755" s="0" t="n">
        <v>5</v>
      </c>
      <c r="B3755" s="0" t="n">
        <v>1</v>
      </c>
      <c r="C3755" s="0" t="n">
        <v>2</v>
      </c>
      <c r="D3755" s="0" t="n">
        <v>6</v>
      </c>
      <c r="E3755" s="0" t="n">
        <f aca="false">-1+A3755*0.25</f>
        <v>0.25</v>
      </c>
      <c r="F3755" s="0" t="n">
        <f aca="false">-1+B3755*0.25</f>
        <v>-0.75</v>
      </c>
      <c r="G3755" s="0" t="n">
        <f aca="false">-1+C3755*0.25</f>
        <v>-0.5</v>
      </c>
      <c r="H3755" s="0" t="n">
        <f aca="false">-1+D3755*0.25</f>
        <v>0.5</v>
      </c>
      <c r="I3755" s="0" t="n">
        <f aca="false">1</f>
        <v>1</v>
      </c>
      <c r="J3755" s="0" t="n">
        <f aca="false">E3755</f>
        <v>0.25</v>
      </c>
      <c r="K3755" s="0" t="n">
        <f aca="false">F3755</f>
        <v>-0.75</v>
      </c>
      <c r="L3755" s="0" t="n">
        <f aca="false">G3755</f>
        <v>-0.5</v>
      </c>
      <c r="M3755" s="0" t="n">
        <f aca="false">H3755</f>
        <v>0.5</v>
      </c>
      <c r="N3755" s="0" t="n">
        <f aca="false">E3755*F3755</f>
        <v>-0.1875</v>
      </c>
      <c r="O3755" s="0" t="n">
        <f aca="false">E3755*G3755</f>
        <v>-0.125</v>
      </c>
      <c r="P3755" s="0" t="n">
        <f aca="false">E3755*H3755</f>
        <v>0.125</v>
      </c>
      <c r="Q3755" s="0" t="n">
        <f aca="false">F3755*G3755</f>
        <v>0.375</v>
      </c>
      <c r="R3755" s="0" t="n">
        <f aca="false">F3755*H3755</f>
        <v>-0.375</v>
      </c>
      <c r="S3755" s="0" t="n">
        <f aca="false">G3755*H3755</f>
        <v>-0.25</v>
      </c>
      <c r="T3755" s="0" t="n">
        <f aca="false">E3755*E3755</f>
        <v>0.0625</v>
      </c>
      <c r="U3755" s="0" t="n">
        <f aca="false">F3755*F3755</f>
        <v>0.5625</v>
      </c>
      <c r="V3755" s="0" t="n">
        <f aca="false">G3755*G3755</f>
        <v>0.25</v>
      </c>
      <c r="W3755" s="0" t="n">
        <f aca="false">H3755*H3755</f>
        <v>0.25</v>
      </c>
      <c r="X3755" s="0" t="n">
        <f aca="false">SUMPRODUCT(I3755:W3755,_XtX!$B$96:$P$96)</f>
        <v>44.680235745614</v>
      </c>
      <c r="Y3755" s="0" t="n">
        <f aca="false">SUMPRODUCT(MMULT(I3755:W3755,_XtX!$B$78:$P$92),I3755:W3755)</f>
        <v>0.203746059484649</v>
      </c>
      <c r="Z3755" s="0" t="n">
        <f aca="false">04_回帰ANOVA!$K$19*04_回帰ANOVA!$K$14*SQRT(1+Y3755)</f>
        <v>1.43009810755465</v>
      </c>
      <c r="AA3755" s="0" t="n">
        <f aca="false">X3755-Z3755</f>
        <v>43.2501376380593</v>
      </c>
      <c r="AB3755" s="0" t="n">
        <f aca="false">X3755+Z3755</f>
        <v>46.1103338531686</v>
      </c>
      <c r="AC3755" s="54" t="b">
        <f aca="false">AND(E3755&gt;=01_因子設定!$L$5-0.000000001,E3755&lt;=01_因子設定!$M$5+0.000000001,F3755&gt;=01_因子設定!$L$6-0.000000001,F3755&lt;=01_因子設定!$M$6+0.000000001,G3755&gt;=01_因子設定!$L$7-0.000000001,G3755&lt;=01_因子設定!$M$7+0.000000001,H3755&gt;=01_因子設定!$L$8-0.000000001,H3755&lt;=01_因子設定!$M$8+0.000000001,IF(01_因子設定!$B$20="Box-Behnken",E3755^2+F3755^2+G3755^2+H3755^2&lt;=2+0.000000001,TRUE()))</f>
        <v>1</v>
      </c>
      <c r="AD3755" s="55" t="n">
        <f aca="false">IF(AC3755,IF(01_因子設定!$B$13="最大化",AA3755-01_因子設定!$B$14,IF(01_因子設定!$B$13="最小化",01_因子設定!$B$15-AB3755,MIN(AA3755-01_因子設定!$B$14,01_因子設定!$B$15-AB3755))),-1E+030)</f>
        <v>-3.24986236194066</v>
      </c>
      <c r="AE3755" s="55" t="n">
        <f aca="false">IF(AC3755,IF(01_因子設定!$B$13="最大化",X3755,IF(01_因子設定!$B$13="最小化",-X3755,-ABS(X3755-01_因子設定!$B$16))),-1E+030)</f>
        <v>44.680235745614</v>
      </c>
      <c r="AF3755" s="55" t="n">
        <f aca="false">AD3755+ROW()*0.000000001</f>
        <v>-3.24985860694066</v>
      </c>
      <c r="AG3755" s="55" t="n">
        <f aca="false">AE3755+ROW()*0.000000001</f>
        <v>44.680239500614</v>
      </c>
    </row>
    <row r="3756" customFormat="false" ht="15" hidden="false" customHeight="false" outlineLevel="0" collapsed="false">
      <c r="A3756" s="0" t="n">
        <v>5</v>
      </c>
      <c r="B3756" s="0" t="n">
        <v>1</v>
      </c>
      <c r="C3756" s="0" t="n">
        <v>2</v>
      </c>
      <c r="D3756" s="0" t="n">
        <v>7</v>
      </c>
      <c r="E3756" s="0" t="n">
        <f aca="false">-1+A3756*0.25</f>
        <v>0.25</v>
      </c>
      <c r="F3756" s="0" t="n">
        <f aca="false">-1+B3756*0.25</f>
        <v>-0.75</v>
      </c>
      <c r="G3756" s="0" t="n">
        <f aca="false">-1+C3756*0.25</f>
        <v>-0.5</v>
      </c>
      <c r="H3756" s="0" t="n">
        <f aca="false">-1+D3756*0.25</f>
        <v>0.75</v>
      </c>
      <c r="I3756" s="0" t="n">
        <f aca="false">1</f>
        <v>1</v>
      </c>
      <c r="J3756" s="0" t="n">
        <f aca="false">E3756</f>
        <v>0.25</v>
      </c>
      <c r="K3756" s="0" t="n">
        <f aca="false">F3756</f>
        <v>-0.75</v>
      </c>
      <c r="L3756" s="0" t="n">
        <f aca="false">G3756</f>
        <v>-0.5</v>
      </c>
      <c r="M3756" s="0" t="n">
        <f aca="false">H3756</f>
        <v>0.75</v>
      </c>
      <c r="N3756" s="0" t="n">
        <f aca="false">E3756*F3756</f>
        <v>-0.1875</v>
      </c>
      <c r="O3756" s="0" t="n">
        <f aca="false">E3756*G3756</f>
        <v>-0.125</v>
      </c>
      <c r="P3756" s="0" t="n">
        <f aca="false">E3756*H3756</f>
        <v>0.1875</v>
      </c>
      <c r="Q3756" s="0" t="n">
        <f aca="false">F3756*G3756</f>
        <v>0.375</v>
      </c>
      <c r="R3756" s="0" t="n">
        <f aca="false">F3756*H3756</f>
        <v>-0.5625</v>
      </c>
      <c r="S3756" s="0" t="n">
        <f aca="false">G3756*H3756</f>
        <v>-0.375</v>
      </c>
      <c r="T3756" s="0" t="n">
        <f aca="false">E3756*E3756</f>
        <v>0.0625</v>
      </c>
      <c r="U3756" s="0" t="n">
        <f aca="false">F3756*F3756</f>
        <v>0.5625</v>
      </c>
      <c r="V3756" s="0" t="n">
        <f aca="false">G3756*G3756</f>
        <v>0.25</v>
      </c>
      <c r="W3756" s="0" t="n">
        <f aca="false">H3756*H3756</f>
        <v>0.5625</v>
      </c>
      <c r="X3756" s="0" t="n">
        <f aca="false">SUMPRODUCT(I3756:W3756,_XtX!$B$96:$P$96)</f>
        <v>44.6738258406432</v>
      </c>
      <c r="Y3756" s="0" t="n">
        <f aca="false">SUMPRODUCT(MMULT(I3756:W3756,_XtX!$B$78:$P$92),I3756:W3756)</f>
        <v>0.257385610836988</v>
      </c>
      <c r="Z3756" s="0" t="n">
        <f aca="false">04_回帰ANOVA!$K$19*04_回帰ANOVA!$K$14*SQRT(1+Y3756)</f>
        <v>1.46161380324158</v>
      </c>
      <c r="AA3756" s="0" t="n">
        <f aca="false">X3756-Z3756</f>
        <v>43.2122120374017</v>
      </c>
      <c r="AB3756" s="0" t="n">
        <f aca="false">X3756+Z3756</f>
        <v>46.1354396438848</v>
      </c>
      <c r="AC3756" s="54" t="b">
        <f aca="false">AND(E3756&gt;=01_因子設定!$L$5-0.000000001,E3756&lt;=01_因子設定!$M$5+0.000000001,F3756&gt;=01_因子設定!$L$6-0.000000001,F3756&lt;=01_因子設定!$M$6+0.000000001,G3756&gt;=01_因子設定!$L$7-0.000000001,G3756&lt;=01_因子設定!$M$7+0.000000001,H3756&gt;=01_因子設定!$L$8-0.000000001,H3756&lt;=01_因子設定!$M$8+0.000000001,IF(01_因子設定!$B$20="Box-Behnken",E3756^2+F3756^2+G3756^2+H3756^2&lt;=2+0.000000001,TRUE()))</f>
        <v>1</v>
      </c>
      <c r="AD3756" s="55" t="n">
        <f aca="false">IF(AC3756,IF(01_因子設定!$B$13="最大化",AA3756-01_因子設定!$B$14,IF(01_因子設定!$B$13="最小化",01_因子設定!$B$15-AB3756,MIN(AA3756-01_因子設定!$B$14,01_因子設定!$B$15-AB3756))),-1E+030)</f>
        <v>-3.28778796259835</v>
      </c>
      <c r="AE3756" s="55" t="n">
        <f aca="false">IF(AC3756,IF(01_因子設定!$B$13="最大化",X3756,IF(01_因子設定!$B$13="最小化",-X3756,-ABS(X3756-01_因子設定!$B$16))),-1E+030)</f>
        <v>44.6738258406432</v>
      </c>
      <c r="AF3756" s="55" t="n">
        <f aca="false">AD3756+ROW()*0.000000001</f>
        <v>-3.28778420659835</v>
      </c>
      <c r="AG3756" s="55" t="n">
        <f aca="false">AE3756+ROW()*0.000000001</f>
        <v>44.6738295966432</v>
      </c>
    </row>
    <row r="3757" customFormat="false" ht="15" hidden="false" customHeight="false" outlineLevel="0" collapsed="false">
      <c r="A3757" s="0" t="n">
        <v>5</v>
      </c>
      <c r="B3757" s="0" t="n">
        <v>1</v>
      </c>
      <c r="C3757" s="0" t="n">
        <v>2</v>
      </c>
      <c r="D3757" s="0" t="n">
        <v>8</v>
      </c>
      <c r="E3757" s="0" t="n">
        <f aca="false">-1+A3757*0.25</f>
        <v>0.25</v>
      </c>
      <c r="F3757" s="0" t="n">
        <f aca="false">-1+B3757*0.25</f>
        <v>-0.75</v>
      </c>
      <c r="G3757" s="0" t="n">
        <f aca="false">-1+C3757*0.25</f>
        <v>-0.5</v>
      </c>
      <c r="H3757" s="0" t="n">
        <f aca="false">-1+D3757*0.25</f>
        <v>1</v>
      </c>
      <c r="I3757" s="0" t="n">
        <f aca="false">1</f>
        <v>1</v>
      </c>
      <c r="J3757" s="0" t="n">
        <f aca="false">E3757</f>
        <v>0.25</v>
      </c>
      <c r="K3757" s="0" t="n">
        <f aca="false">F3757</f>
        <v>-0.75</v>
      </c>
      <c r="L3757" s="0" t="n">
        <f aca="false">G3757</f>
        <v>-0.5</v>
      </c>
      <c r="M3757" s="0" t="n">
        <f aca="false">H3757</f>
        <v>1</v>
      </c>
      <c r="N3757" s="0" t="n">
        <f aca="false">E3757*F3757</f>
        <v>-0.1875</v>
      </c>
      <c r="O3757" s="0" t="n">
        <f aca="false">E3757*G3757</f>
        <v>-0.125</v>
      </c>
      <c r="P3757" s="0" t="n">
        <f aca="false">E3757*H3757</f>
        <v>0.25</v>
      </c>
      <c r="Q3757" s="0" t="n">
        <f aca="false">F3757*G3757</f>
        <v>0.375</v>
      </c>
      <c r="R3757" s="0" t="n">
        <f aca="false">F3757*H3757</f>
        <v>-0.75</v>
      </c>
      <c r="S3757" s="0" t="n">
        <f aca="false">G3757*H3757</f>
        <v>-0.5</v>
      </c>
      <c r="T3757" s="0" t="n">
        <f aca="false">E3757*E3757</f>
        <v>0.0625</v>
      </c>
      <c r="U3757" s="0" t="n">
        <f aca="false">F3757*F3757</f>
        <v>0.5625</v>
      </c>
      <c r="V3757" s="0" t="n">
        <f aca="false">G3757*G3757</f>
        <v>0.25</v>
      </c>
      <c r="W3757" s="0" t="n">
        <f aca="false">H3757*H3757</f>
        <v>1</v>
      </c>
      <c r="X3757" s="0" t="n">
        <f aca="false">SUMPRODUCT(I3757:W3757,_XtX!$B$96:$P$96)</f>
        <v>44.6196089181286</v>
      </c>
      <c r="Y3757" s="0" t="n">
        <f aca="false">SUMPRODUCT(MMULT(I3757:W3757,_XtX!$B$78:$P$92),I3757:W3757)</f>
        <v>0.459125719572369</v>
      </c>
      <c r="Z3757" s="0" t="n">
        <f aca="false">04_回帰ANOVA!$K$19*04_回帰ANOVA!$K$14*SQRT(1+Y3757)</f>
        <v>1.57450755575573</v>
      </c>
      <c r="AA3757" s="0" t="n">
        <f aca="false">X3757-Z3757</f>
        <v>43.0451013623729</v>
      </c>
      <c r="AB3757" s="0" t="n">
        <f aca="false">X3757+Z3757</f>
        <v>46.1941164738844</v>
      </c>
      <c r="AC3757" s="54" t="b">
        <f aca="false">AND(E3757&gt;=01_因子設定!$L$5-0.000000001,E3757&lt;=01_因子設定!$M$5+0.000000001,F3757&gt;=01_因子設定!$L$6-0.000000001,F3757&lt;=01_因子設定!$M$6+0.000000001,G3757&gt;=01_因子設定!$L$7-0.000000001,G3757&lt;=01_因子設定!$M$7+0.000000001,H3757&gt;=01_因子設定!$L$8-0.000000001,H3757&lt;=01_因子設定!$M$8+0.000000001,IF(01_因子設定!$B$20="Box-Behnken",E3757^2+F3757^2+G3757^2+H3757^2&lt;=2+0.000000001,TRUE()))</f>
        <v>1</v>
      </c>
      <c r="AD3757" s="55" t="n">
        <f aca="false">IF(AC3757,IF(01_因子設定!$B$13="最大化",AA3757-01_因子設定!$B$14,IF(01_因子設定!$B$13="最小化",01_因子設定!$B$15-AB3757,MIN(AA3757-01_因子設定!$B$14,01_因子設定!$B$15-AB3757))),-1E+030)</f>
        <v>-3.4548986376271</v>
      </c>
      <c r="AE3757" s="55" t="n">
        <f aca="false">IF(AC3757,IF(01_因子設定!$B$13="最大化",X3757,IF(01_因子設定!$B$13="最小化",-X3757,-ABS(X3757-01_因子設定!$B$16))),-1E+030)</f>
        <v>44.6196089181286</v>
      </c>
      <c r="AF3757" s="55" t="n">
        <f aca="false">AD3757+ROW()*0.000000001</f>
        <v>-3.4548948806271</v>
      </c>
      <c r="AG3757" s="55" t="n">
        <f aca="false">AE3757+ROW()*0.000000001</f>
        <v>44.6196126751286</v>
      </c>
    </row>
    <row r="3758" customFormat="false" ht="15" hidden="false" customHeight="false" outlineLevel="0" collapsed="false">
      <c r="A3758" s="0" t="n">
        <v>5</v>
      </c>
      <c r="B3758" s="0" t="n">
        <v>1</v>
      </c>
      <c r="C3758" s="0" t="n">
        <v>3</v>
      </c>
      <c r="D3758" s="0" t="n">
        <v>0</v>
      </c>
      <c r="E3758" s="0" t="n">
        <f aca="false">-1+A3758*0.25</f>
        <v>0.25</v>
      </c>
      <c r="F3758" s="0" t="n">
        <f aca="false">-1+B3758*0.25</f>
        <v>-0.75</v>
      </c>
      <c r="G3758" s="0" t="n">
        <f aca="false">-1+C3758*0.25</f>
        <v>-0.25</v>
      </c>
      <c r="H3758" s="0" t="n">
        <f aca="false">-1+D3758*0.25</f>
        <v>-1</v>
      </c>
      <c r="I3758" s="0" t="n">
        <f aca="false">1</f>
        <v>1</v>
      </c>
      <c r="J3758" s="0" t="n">
        <f aca="false">E3758</f>
        <v>0.25</v>
      </c>
      <c r="K3758" s="0" t="n">
        <f aca="false">F3758</f>
        <v>-0.75</v>
      </c>
      <c r="L3758" s="0" t="n">
        <f aca="false">G3758</f>
        <v>-0.25</v>
      </c>
      <c r="M3758" s="0" t="n">
        <f aca="false">H3758</f>
        <v>-1</v>
      </c>
      <c r="N3758" s="0" t="n">
        <f aca="false">E3758*F3758</f>
        <v>-0.1875</v>
      </c>
      <c r="O3758" s="0" t="n">
        <f aca="false">E3758*G3758</f>
        <v>-0.0625</v>
      </c>
      <c r="P3758" s="0" t="n">
        <f aca="false">E3758*H3758</f>
        <v>-0.25</v>
      </c>
      <c r="Q3758" s="0" t="n">
        <f aca="false">F3758*G3758</f>
        <v>0.1875</v>
      </c>
      <c r="R3758" s="0" t="n">
        <f aca="false">F3758*H3758</f>
        <v>0.75</v>
      </c>
      <c r="S3758" s="0" t="n">
        <f aca="false">G3758*H3758</f>
        <v>0.25</v>
      </c>
      <c r="T3758" s="0" t="n">
        <f aca="false">E3758*E3758</f>
        <v>0.0625</v>
      </c>
      <c r="U3758" s="0" t="n">
        <f aca="false">F3758*F3758</f>
        <v>0.5625</v>
      </c>
      <c r="V3758" s="0" t="n">
        <f aca="false">G3758*G3758</f>
        <v>0.0625</v>
      </c>
      <c r="W3758" s="0" t="n">
        <f aca="false">H3758*H3758</f>
        <v>1</v>
      </c>
      <c r="X3758" s="0" t="n">
        <f aca="false">SUMPRODUCT(I3758:W3758,_XtX!$B$96:$P$96)</f>
        <v>43.9174479166666</v>
      </c>
      <c r="Y3758" s="0" t="n">
        <f aca="false">SUMPRODUCT(MMULT(I3758:W3758,_XtX!$B$78:$P$92),I3758:W3758)</f>
        <v>0.486409505208333</v>
      </c>
      <c r="Z3758" s="0" t="n">
        <f aca="false">04_回帰ANOVA!$K$19*04_回帰ANOVA!$K$14*SQRT(1+Y3758)</f>
        <v>1.58916001665498</v>
      </c>
      <c r="AA3758" s="0" t="n">
        <f aca="false">X3758-Z3758</f>
        <v>42.3282879000117</v>
      </c>
      <c r="AB3758" s="0" t="n">
        <f aca="false">X3758+Z3758</f>
        <v>45.5066079333216</v>
      </c>
      <c r="AC3758" s="54" t="b">
        <f aca="false">AND(E3758&gt;=01_因子設定!$L$5-0.000000001,E3758&lt;=01_因子設定!$M$5+0.000000001,F3758&gt;=01_因子設定!$L$6-0.000000001,F3758&lt;=01_因子設定!$M$6+0.000000001,G3758&gt;=01_因子設定!$L$7-0.000000001,G3758&lt;=01_因子設定!$M$7+0.000000001,H3758&gt;=01_因子設定!$L$8-0.000000001,H3758&lt;=01_因子設定!$M$8+0.000000001,IF(01_因子設定!$B$20="Box-Behnken",E3758^2+F3758^2+G3758^2+H3758^2&lt;=2+0.000000001,TRUE()))</f>
        <v>1</v>
      </c>
      <c r="AD3758" s="55" t="n">
        <f aca="false">IF(AC3758,IF(01_因子設定!$B$13="最大化",AA3758-01_因子設定!$B$14,IF(01_因子設定!$B$13="最小化",01_因子設定!$B$15-AB3758,MIN(AA3758-01_因子設定!$B$14,01_因子設定!$B$15-AB3758))),-1E+030)</f>
        <v>-4.17171209998833</v>
      </c>
      <c r="AE3758" s="55" t="n">
        <f aca="false">IF(AC3758,IF(01_因子設定!$B$13="最大化",X3758,IF(01_因子設定!$B$13="最小化",-X3758,-ABS(X3758-01_因子設定!$B$16))),-1E+030)</f>
        <v>43.9174479166666</v>
      </c>
      <c r="AF3758" s="55" t="n">
        <f aca="false">AD3758+ROW()*0.000000001</f>
        <v>-4.17170834198833</v>
      </c>
      <c r="AG3758" s="55" t="n">
        <f aca="false">AE3758+ROW()*0.000000001</f>
        <v>43.9174516746666</v>
      </c>
    </row>
    <row r="3759" customFormat="false" ht="15" hidden="false" customHeight="false" outlineLevel="0" collapsed="false">
      <c r="A3759" s="0" t="n">
        <v>5</v>
      </c>
      <c r="B3759" s="0" t="n">
        <v>1</v>
      </c>
      <c r="C3759" s="0" t="n">
        <v>3</v>
      </c>
      <c r="D3759" s="0" t="n">
        <v>1</v>
      </c>
      <c r="E3759" s="0" t="n">
        <f aca="false">-1+A3759*0.25</f>
        <v>0.25</v>
      </c>
      <c r="F3759" s="0" t="n">
        <f aca="false">-1+B3759*0.25</f>
        <v>-0.75</v>
      </c>
      <c r="G3759" s="0" t="n">
        <f aca="false">-1+C3759*0.25</f>
        <v>-0.25</v>
      </c>
      <c r="H3759" s="0" t="n">
        <f aca="false">-1+D3759*0.25</f>
        <v>-0.75</v>
      </c>
      <c r="I3759" s="0" t="n">
        <f aca="false">1</f>
        <v>1</v>
      </c>
      <c r="J3759" s="0" t="n">
        <f aca="false">E3759</f>
        <v>0.25</v>
      </c>
      <c r="K3759" s="0" t="n">
        <f aca="false">F3759</f>
        <v>-0.75</v>
      </c>
      <c r="L3759" s="0" t="n">
        <f aca="false">G3759</f>
        <v>-0.25</v>
      </c>
      <c r="M3759" s="0" t="n">
        <f aca="false">H3759</f>
        <v>-0.75</v>
      </c>
      <c r="N3759" s="0" t="n">
        <f aca="false">E3759*F3759</f>
        <v>-0.1875</v>
      </c>
      <c r="O3759" s="0" t="n">
        <f aca="false">E3759*G3759</f>
        <v>-0.0625</v>
      </c>
      <c r="P3759" s="0" t="n">
        <f aca="false">E3759*H3759</f>
        <v>-0.1875</v>
      </c>
      <c r="Q3759" s="0" t="n">
        <f aca="false">F3759*G3759</f>
        <v>0.1875</v>
      </c>
      <c r="R3759" s="0" t="n">
        <f aca="false">F3759*H3759</f>
        <v>0.5625</v>
      </c>
      <c r="S3759" s="0" t="n">
        <f aca="false">G3759*H3759</f>
        <v>0.1875</v>
      </c>
      <c r="T3759" s="0" t="n">
        <f aca="false">E3759*E3759</f>
        <v>0.0625</v>
      </c>
      <c r="U3759" s="0" t="n">
        <f aca="false">F3759*F3759</f>
        <v>0.5625</v>
      </c>
      <c r="V3759" s="0" t="n">
        <f aca="false">G3759*G3759</f>
        <v>0.0625</v>
      </c>
      <c r="W3759" s="0" t="n">
        <f aca="false">H3759*H3759</f>
        <v>0.5625</v>
      </c>
      <c r="X3759" s="0" t="n">
        <f aca="false">SUMPRODUCT(I3759:W3759,_XtX!$B$96:$P$96)</f>
        <v>44.215848866959</v>
      </c>
      <c r="Y3759" s="0" t="n">
        <f aca="false">SUMPRODUCT(MMULT(I3759:W3759,_XtX!$B$78:$P$92),I3759:W3759)</f>
        <v>0.271087468019006</v>
      </c>
      <c r="Z3759" s="0" t="n">
        <f aca="false">04_回帰ANOVA!$K$19*04_回帰ANOVA!$K$14*SQRT(1+Y3759)</f>
        <v>1.46955590155034</v>
      </c>
      <c r="AA3759" s="0" t="n">
        <f aca="false">X3759-Z3759</f>
        <v>42.7462929654087</v>
      </c>
      <c r="AB3759" s="0" t="n">
        <f aca="false">X3759+Z3759</f>
        <v>45.6854047685094</v>
      </c>
      <c r="AC3759" s="54" t="b">
        <f aca="false">AND(E3759&gt;=01_因子設定!$L$5-0.000000001,E3759&lt;=01_因子設定!$M$5+0.000000001,F3759&gt;=01_因子設定!$L$6-0.000000001,F3759&lt;=01_因子設定!$M$6+0.000000001,G3759&gt;=01_因子設定!$L$7-0.000000001,G3759&lt;=01_因子設定!$M$7+0.000000001,H3759&gt;=01_因子設定!$L$8-0.000000001,H3759&lt;=01_因子設定!$M$8+0.000000001,IF(01_因子設定!$B$20="Box-Behnken",E3759^2+F3759^2+G3759^2+H3759^2&lt;=2+0.000000001,TRUE()))</f>
        <v>1</v>
      </c>
      <c r="AD3759" s="55" t="n">
        <f aca="false">IF(AC3759,IF(01_因子設定!$B$13="最大化",AA3759-01_因子設定!$B$14,IF(01_因子設定!$B$13="最小化",01_因子設定!$B$15-AB3759,MIN(AA3759-01_因子設定!$B$14,01_因子設定!$B$15-AB3759))),-1E+030)</f>
        <v>-3.75370703459132</v>
      </c>
      <c r="AE3759" s="55" t="n">
        <f aca="false">IF(AC3759,IF(01_因子設定!$B$13="最大化",X3759,IF(01_因子設定!$B$13="最小化",-X3759,-ABS(X3759-01_因子設定!$B$16))),-1E+030)</f>
        <v>44.215848866959</v>
      </c>
      <c r="AF3759" s="55" t="n">
        <f aca="false">AD3759+ROW()*0.000000001</f>
        <v>-3.75370327559132</v>
      </c>
      <c r="AG3759" s="55" t="n">
        <f aca="false">AE3759+ROW()*0.000000001</f>
        <v>44.215852625959</v>
      </c>
    </row>
    <row r="3760" customFormat="false" ht="15" hidden="false" customHeight="false" outlineLevel="0" collapsed="false">
      <c r="A3760" s="0" t="n">
        <v>5</v>
      </c>
      <c r="B3760" s="0" t="n">
        <v>1</v>
      </c>
      <c r="C3760" s="0" t="n">
        <v>3</v>
      </c>
      <c r="D3760" s="0" t="n">
        <v>2</v>
      </c>
      <c r="E3760" s="0" t="n">
        <f aca="false">-1+A3760*0.25</f>
        <v>0.25</v>
      </c>
      <c r="F3760" s="0" t="n">
        <f aca="false">-1+B3760*0.25</f>
        <v>-0.75</v>
      </c>
      <c r="G3760" s="0" t="n">
        <f aca="false">-1+C3760*0.25</f>
        <v>-0.25</v>
      </c>
      <c r="H3760" s="0" t="n">
        <f aca="false">-1+D3760*0.25</f>
        <v>-0.5</v>
      </c>
      <c r="I3760" s="0" t="n">
        <f aca="false">1</f>
        <v>1</v>
      </c>
      <c r="J3760" s="0" t="n">
        <f aca="false">E3760</f>
        <v>0.25</v>
      </c>
      <c r="K3760" s="0" t="n">
        <f aca="false">F3760</f>
        <v>-0.75</v>
      </c>
      <c r="L3760" s="0" t="n">
        <f aca="false">G3760</f>
        <v>-0.25</v>
      </c>
      <c r="M3760" s="0" t="n">
        <f aca="false">H3760</f>
        <v>-0.5</v>
      </c>
      <c r="N3760" s="0" t="n">
        <f aca="false">E3760*F3760</f>
        <v>-0.1875</v>
      </c>
      <c r="O3760" s="0" t="n">
        <f aca="false">E3760*G3760</f>
        <v>-0.0625</v>
      </c>
      <c r="P3760" s="0" t="n">
        <f aca="false">E3760*H3760</f>
        <v>-0.125</v>
      </c>
      <c r="Q3760" s="0" t="n">
        <f aca="false">F3760*G3760</f>
        <v>0.1875</v>
      </c>
      <c r="R3760" s="0" t="n">
        <f aca="false">F3760*H3760</f>
        <v>0.375</v>
      </c>
      <c r="S3760" s="0" t="n">
        <f aca="false">G3760*H3760</f>
        <v>0.125</v>
      </c>
      <c r="T3760" s="0" t="n">
        <f aca="false">E3760*E3760</f>
        <v>0.0625</v>
      </c>
      <c r="U3760" s="0" t="n">
        <f aca="false">F3760*F3760</f>
        <v>0.5625</v>
      </c>
      <c r="V3760" s="0" t="n">
        <f aca="false">G3760*G3760</f>
        <v>0.0625</v>
      </c>
      <c r="W3760" s="0" t="n">
        <f aca="false">H3760*H3760</f>
        <v>0.25</v>
      </c>
      <c r="X3760" s="0" t="n">
        <f aca="false">SUMPRODUCT(I3760:W3760,_XtX!$B$96:$P$96)</f>
        <v>44.4664427997076</v>
      </c>
      <c r="Y3760" s="0" t="n">
        <f aca="false">SUMPRODUCT(MMULT(I3760:W3760,_XtX!$B$78:$P$92),I3760:W3760)</f>
        <v>0.207746539199561</v>
      </c>
      <c r="Z3760" s="0" t="n">
        <f aca="false">04_回帰ANOVA!$K$19*04_回帰ANOVA!$K$14*SQRT(1+Y3760)</f>
        <v>1.43247250081141</v>
      </c>
      <c r="AA3760" s="0" t="n">
        <f aca="false">X3760-Z3760</f>
        <v>43.0339702988961</v>
      </c>
      <c r="AB3760" s="0" t="n">
        <f aca="false">X3760+Z3760</f>
        <v>45.898915300519</v>
      </c>
      <c r="AC3760" s="54" t="b">
        <f aca="false">AND(E3760&gt;=01_因子設定!$L$5-0.000000001,E3760&lt;=01_因子設定!$M$5+0.000000001,F3760&gt;=01_因子設定!$L$6-0.000000001,F3760&lt;=01_因子設定!$M$6+0.000000001,G3760&gt;=01_因子設定!$L$7-0.000000001,G3760&lt;=01_因子設定!$M$7+0.000000001,H3760&gt;=01_因子設定!$L$8-0.000000001,H3760&lt;=01_因子設定!$M$8+0.000000001,IF(01_因子設定!$B$20="Box-Behnken",E3760^2+F3760^2+G3760^2+H3760^2&lt;=2+0.000000001,TRUE()))</f>
        <v>1</v>
      </c>
      <c r="AD3760" s="55" t="n">
        <f aca="false">IF(AC3760,IF(01_因子設定!$B$13="最大化",AA3760-01_因子設定!$B$14,IF(01_因子設定!$B$13="最小化",01_因子設定!$B$15-AB3760,MIN(AA3760-01_因子設定!$B$14,01_因子設定!$B$15-AB3760))),-1E+030)</f>
        <v>-3.46602970110386</v>
      </c>
      <c r="AE3760" s="55" t="n">
        <f aca="false">IF(AC3760,IF(01_因子設定!$B$13="最大化",X3760,IF(01_因子設定!$B$13="最小化",-X3760,-ABS(X3760-01_因子設定!$B$16))),-1E+030)</f>
        <v>44.4664427997076</v>
      </c>
      <c r="AF3760" s="55" t="n">
        <f aca="false">AD3760+ROW()*0.000000001</f>
        <v>-3.46602594110386</v>
      </c>
      <c r="AG3760" s="55" t="n">
        <f aca="false">AE3760+ROW()*0.000000001</f>
        <v>44.4664465597076</v>
      </c>
    </row>
    <row r="3761" customFormat="false" ht="15" hidden="false" customHeight="false" outlineLevel="0" collapsed="false">
      <c r="A3761" s="0" t="n">
        <v>5</v>
      </c>
      <c r="B3761" s="0" t="n">
        <v>1</v>
      </c>
      <c r="C3761" s="0" t="n">
        <v>3</v>
      </c>
      <c r="D3761" s="0" t="n">
        <v>3</v>
      </c>
      <c r="E3761" s="0" t="n">
        <f aca="false">-1+A3761*0.25</f>
        <v>0.25</v>
      </c>
      <c r="F3761" s="0" t="n">
        <f aca="false">-1+B3761*0.25</f>
        <v>-0.75</v>
      </c>
      <c r="G3761" s="0" t="n">
        <f aca="false">-1+C3761*0.25</f>
        <v>-0.25</v>
      </c>
      <c r="H3761" s="0" t="n">
        <f aca="false">-1+D3761*0.25</f>
        <v>-0.25</v>
      </c>
      <c r="I3761" s="0" t="n">
        <f aca="false">1</f>
        <v>1</v>
      </c>
      <c r="J3761" s="0" t="n">
        <f aca="false">E3761</f>
        <v>0.25</v>
      </c>
      <c r="K3761" s="0" t="n">
        <f aca="false">F3761</f>
        <v>-0.75</v>
      </c>
      <c r="L3761" s="0" t="n">
        <f aca="false">G3761</f>
        <v>-0.25</v>
      </c>
      <c r="M3761" s="0" t="n">
        <f aca="false">H3761</f>
        <v>-0.25</v>
      </c>
      <c r="N3761" s="0" t="n">
        <f aca="false">E3761*F3761</f>
        <v>-0.1875</v>
      </c>
      <c r="O3761" s="0" t="n">
        <f aca="false">E3761*G3761</f>
        <v>-0.0625</v>
      </c>
      <c r="P3761" s="0" t="n">
        <f aca="false">E3761*H3761</f>
        <v>-0.0625</v>
      </c>
      <c r="Q3761" s="0" t="n">
        <f aca="false">F3761*G3761</f>
        <v>0.1875</v>
      </c>
      <c r="R3761" s="0" t="n">
        <f aca="false">F3761*H3761</f>
        <v>0.1875</v>
      </c>
      <c r="S3761" s="0" t="n">
        <f aca="false">G3761*H3761</f>
        <v>0.0625</v>
      </c>
      <c r="T3761" s="0" t="n">
        <f aca="false">E3761*E3761</f>
        <v>0.0625</v>
      </c>
      <c r="U3761" s="0" t="n">
        <f aca="false">F3761*F3761</f>
        <v>0.5625</v>
      </c>
      <c r="V3761" s="0" t="n">
        <f aca="false">G3761*G3761</f>
        <v>0.0625</v>
      </c>
      <c r="W3761" s="0" t="n">
        <f aca="false">H3761*H3761</f>
        <v>0.0625</v>
      </c>
      <c r="X3761" s="0" t="n">
        <f aca="false">SUMPRODUCT(I3761:W3761,_XtX!$B$96:$P$96)</f>
        <v>44.6692297149122</v>
      </c>
      <c r="Y3761" s="0" t="n">
        <f aca="false">SUMPRODUCT(MMULT(I3761:W3761,_XtX!$B$78:$P$92),I3761:W3761)</f>
        <v>0.205926192434211</v>
      </c>
      <c r="Z3761" s="0" t="n">
        <f aca="false">04_回帰ANOVA!$K$19*04_回帰ANOVA!$K$14*SQRT(1+Y3761)</f>
        <v>1.43139256396246</v>
      </c>
      <c r="AA3761" s="0" t="n">
        <f aca="false">X3761-Z3761</f>
        <v>43.2378371509498</v>
      </c>
      <c r="AB3761" s="0" t="n">
        <f aca="false">X3761+Z3761</f>
        <v>46.1006222788747</v>
      </c>
      <c r="AC3761" s="54" t="b">
        <f aca="false">AND(E3761&gt;=01_因子設定!$L$5-0.000000001,E3761&lt;=01_因子設定!$M$5+0.000000001,F3761&gt;=01_因子設定!$L$6-0.000000001,F3761&lt;=01_因子設定!$M$6+0.000000001,G3761&gt;=01_因子設定!$L$7-0.000000001,G3761&lt;=01_因子設定!$M$7+0.000000001,H3761&gt;=01_因子設定!$L$8-0.000000001,H3761&lt;=01_因子設定!$M$8+0.000000001,IF(01_因子設定!$B$20="Box-Behnken",E3761^2+F3761^2+G3761^2+H3761^2&lt;=2+0.000000001,TRUE()))</f>
        <v>1</v>
      </c>
      <c r="AD3761" s="55" t="n">
        <f aca="false">IF(AC3761,IF(01_因子設定!$B$13="最大化",AA3761-01_因子設定!$B$14,IF(01_因子設定!$B$13="最小化",01_因子設定!$B$15-AB3761,MIN(AA3761-01_因子設定!$B$14,01_因子設定!$B$15-AB3761))),-1E+030)</f>
        <v>-3.26216284905024</v>
      </c>
      <c r="AE3761" s="55" t="n">
        <f aca="false">IF(AC3761,IF(01_因子設定!$B$13="最大化",X3761,IF(01_因子設定!$B$13="最小化",-X3761,-ABS(X3761-01_因子設定!$B$16))),-1E+030)</f>
        <v>44.6692297149122</v>
      </c>
      <c r="AF3761" s="55" t="n">
        <f aca="false">AD3761+ROW()*0.000000001</f>
        <v>-3.26215908805024</v>
      </c>
      <c r="AG3761" s="55" t="n">
        <f aca="false">AE3761+ROW()*0.000000001</f>
        <v>44.6692334759122</v>
      </c>
    </row>
    <row r="3762" customFormat="false" ht="15" hidden="false" customHeight="false" outlineLevel="0" collapsed="false">
      <c r="A3762" s="0" t="n">
        <v>5</v>
      </c>
      <c r="B3762" s="0" t="n">
        <v>1</v>
      </c>
      <c r="C3762" s="0" t="n">
        <v>3</v>
      </c>
      <c r="D3762" s="0" t="n">
        <v>4</v>
      </c>
      <c r="E3762" s="0" t="n">
        <f aca="false">-1+A3762*0.25</f>
        <v>0.25</v>
      </c>
      <c r="F3762" s="0" t="n">
        <f aca="false">-1+B3762*0.25</f>
        <v>-0.75</v>
      </c>
      <c r="G3762" s="0" t="n">
        <f aca="false">-1+C3762*0.25</f>
        <v>-0.25</v>
      </c>
      <c r="H3762" s="0" t="n">
        <f aca="false">-1+D3762*0.25</f>
        <v>0</v>
      </c>
      <c r="I3762" s="0" t="n">
        <f aca="false">1</f>
        <v>1</v>
      </c>
      <c r="J3762" s="0" t="n">
        <f aca="false">E3762</f>
        <v>0.25</v>
      </c>
      <c r="K3762" s="0" t="n">
        <f aca="false">F3762</f>
        <v>-0.75</v>
      </c>
      <c r="L3762" s="0" t="n">
        <f aca="false">G3762</f>
        <v>-0.25</v>
      </c>
      <c r="M3762" s="0" t="n">
        <f aca="false">H3762</f>
        <v>0</v>
      </c>
      <c r="N3762" s="0" t="n">
        <f aca="false">E3762*F3762</f>
        <v>-0.1875</v>
      </c>
      <c r="O3762" s="0" t="n">
        <f aca="false">E3762*G3762</f>
        <v>-0.0625</v>
      </c>
      <c r="P3762" s="0" t="n">
        <f aca="false">E3762*H3762</f>
        <v>0</v>
      </c>
      <c r="Q3762" s="0" t="n">
        <f aca="false">F3762*G3762</f>
        <v>0.1875</v>
      </c>
      <c r="R3762" s="0" t="n">
        <f aca="false">F3762*H3762</f>
        <v>-0</v>
      </c>
      <c r="S3762" s="0" t="n">
        <f aca="false">G3762*H3762</f>
        <v>-0</v>
      </c>
      <c r="T3762" s="0" t="n">
        <f aca="false">E3762*E3762</f>
        <v>0.0625</v>
      </c>
      <c r="U3762" s="0" t="n">
        <f aca="false">F3762*F3762</f>
        <v>0.5625</v>
      </c>
      <c r="V3762" s="0" t="n">
        <f aca="false">G3762*G3762</f>
        <v>0.0625</v>
      </c>
      <c r="W3762" s="0" t="n">
        <f aca="false">H3762*H3762</f>
        <v>0</v>
      </c>
      <c r="X3762" s="0" t="n">
        <f aca="false">SUMPRODUCT(I3762:W3762,_XtX!$B$96:$P$96)</f>
        <v>44.824209612573</v>
      </c>
      <c r="Y3762" s="0" t="n">
        <f aca="false">SUMPRODUCT(MMULT(I3762:W3762,_XtX!$B$78:$P$92),I3762:W3762)</f>
        <v>0.21135011193348</v>
      </c>
      <c r="Z3762" s="0" t="n">
        <f aca="false">04_回帰ANOVA!$K$19*04_回帰ANOVA!$K$14*SQRT(1+Y3762)</f>
        <v>1.43460795469709</v>
      </c>
      <c r="AA3762" s="0" t="n">
        <f aca="false">X3762-Z3762</f>
        <v>43.389601657876</v>
      </c>
      <c r="AB3762" s="0" t="n">
        <f aca="false">X3762+Z3762</f>
        <v>46.2588175672701</v>
      </c>
      <c r="AC3762" s="54" t="b">
        <f aca="false">AND(E3762&gt;=01_因子設定!$L$5-0.000000001,E3762&lt;=01_因子設定!$M$5+0.000000001,F3762&gt;=01_因子設定!$L$6-0.000000001,F3762&lt;=01_因子設定!$M$6+0.000000001,G3762&gt;=01_因子設定!$L$7-0.000000001,G3762&lt;=01_因子設定!$M$7+0.000000001,H3762&gt;=01_因子設定!$L$8-0.000000001,H3762&lt;=01_因子設定!$M$8+0.000000001,IF(01_因子設定!$B$20="Box-Behnken",E3762^2+F3762^2+G3762^2+H3762^2&lt;=2+0.000000001,TRUE()))</f>
        <v>1</v>
      </c>
      <c r="AD3762" s="55" t="n">
        <f aca="false">IF(AC3762,IF(01_因子設定!$B$13="最大化",AA3762-01_因子設定!$B$14,IF(01_因子設定!$B$13="最小化",01_因子設定!$B$15-AB3762,MIN(AA3762-01_因子設定!$B$14,01_因子設定!$B$15-AB3762))),-1E+030)</f>
        <v>-3.11039834212405</v>
      </c>
      <c r="AE3762" s="55" t="n">
        <f aca="false">IF(AC3762,IF(01_因子設定!$B$13="最大化",X3762,IF(01_因子設定!$B$13="最小化",-X3762,-ABS(X3762-01_因子設定!$B$16))),-1E+030)</f>
        <v>44.824209612573</v>
      </c>
      <c r="AF3762" s="55" t="n">
        <f aca="false">AD3762+ROW()*0.000000001</f>
        <v>-3.11039458012405</v>
      </c>
      <c r="AG3762" s="55" t="n">
        <f aca="false">AE3762+ROW()*0.000000001</f>
        <v>44.824213374573</v>
      </c>
    </row>
    <row r="3763" customFormat="false" ht="15" hidden="false" customHeight="false" outlineLevel="0" collapsed="false">
      <c r="A3763" s="0" t="n">
        <v>5</v>
      </c>
      <c r="B3763" s="0" t="n">
        <v>1</v>
      </c>
      <c r="C3763" s="0" t="n">
        <v>3</v>
      </c>
      <c r="D3763" s="0" t="n">
        <v>5</v>
      </c>
      <c r="E3763" s="0" t="n">
        <f aca="false">-1+A3763*0.25</f>
        <v>0.25</v>
      </c>
      <c r="F3763" s="0" t="n">
        <f aca="false">-1+B3763*0.25</f>
        <v>-0.75</v>
      </c>
      <c r="G3763" s="0" t="n">
        <f aca="false">-1+C3763*0.25</f>
        <v>-0.25</v>
      </c>
      <c r="H3763" s="0" t="n">
        <f aca="false">-1+D3763*0.25</f>
        <v>0.25</v>
      </c>
      <c r="I3763" s="0" t="n">
        <f aca="false">1</f>
        <v>1</v>
      </c>
      <c r="J3763" s="0" t="n">
        <f aca="false">E3763</f>
        <v>0.25</v>
      </c>
      <c r="K3763" s="0" t="n">
        <f aca="false">F3763</f>
        <v>-0.75</v>
      </c>
      <c r="L3763" s="0" t="n">
        <f aca="false">G3763</f>
        <v>-0.25</v>
      </c>
      <c r="M3763" s="0" t="n">
        <f aca="false">H3763</f>
        <v>0.25</v>
      </c>
      <c r="N3763" s="0" t="n">
        <f aca="false">E3763*F3763</f>
        <v>-0.1875</v>
      </c>
      <c r="O3763" s="0" t="n">
        <f aca="false">E3763*G3763</f>
        <v>-0.0625</v>
      </c>
      <c r="P3763" s="0" t="n">
        <f aca="false">E3763*H3763</f>
        <v>0.0625</v>
      </c>
      <c r="Q3763" s="0" t="n">
        <f aca="false">F3763*G3763</f>
        <v>0.1875</v>
      </c>
      <c r="R3763" s="0" t="n">
        <f aca="false">F3763*H3763</f>
        <v>-0.1875</v>
      </c>
      <c r="S3763" s="0" t="n">
        <f aca="false">G3763*H3763</f>
        <v>-0.0625</v>
      </c>
      <c r="T3763" s="0" t="n">
        <f aca="false">E3763*E3763</f>
        <v>0.0625</v>
      </c>
      <c r="U3763" s="0" t="n">
        <f aca="false">F3763*F3763</f>
        <v>0.5625</v>
      </c>
      <c r="V3763" s="0" t="n">
        <f aca="false">G3763*G3763</f>
        <v>0.0625</v>
      </c>
      <c r="W3763" s="0" t="n">
        <f aca="false">H3763*H3763</f>
        <v>0.0625</v>
      </c>
      <c r="X3763" s="0" t="n">
        <f aca="false">SUMPRODUCT(I3763:W3763,_XtX!$B$96:$P$96)</f>
        <v>44.93138249269</v>
      </c>
      <c r="Y3763" s="0" t="n">
        <f aca="false">SUMPRODUCT(MMULT(I3763:W3763,_XtX!$B$78:$P$92),I3763:W3763)</f>
        <v>0.205926192434211</v>
      </c>
      <c r="Z3763" s="0" t="n">
        <f aca="false">04_回帰ANOVA!$K$19*04_回帰ANOVA!$K$14*SQRT(1+Y3763)</f>
        <v>1.43139256396246</v>
      </c>
      <c r="AA3763" s="0" t="n">
        <f aca="false">X3763-Z3763</f>
        <v>43.4999899287275</v>
      </c>
      <c r="AB3763" s="0" t="n">
        <f aca="false">X3763+Z3763</f>
        <v>46.3627750566525</v>
      </c>
      <c r="AC3763" s="54" t="b">
        <f aca="false">AND(E3763&gt;=01_因子設定!$L$5-0.000000001,E3763&lt;=01_因子設定!$M$5+0.000000001,F3763&gt;=01_因子設定!$L$6-0.000000001,F3763&lt;=01_因子設定!$M$6+0.000000001,G3763&gt;=01_因子設定!$L$7-0.000000001,G3763&lt;=01_因子設定!$M$7+0.000000001,H3763&gt;=01_因子設定!$L$8-0.000000001,H3763&lt;=01_因子設定!$M$8+0.000000001,IF(01_因子設定!$B$20="Box-Behnken",E3763^2+F3763^2+G3763^2+H3763^2&lt;=2+0.000000001,TRUE()))</f>
        <v>1</v>
      </c>
      <c r="AD3763" s="55" t="n">
        <f aca="false">IF(AC3763,IF(01_因子設定!$B$13="最大化",AA3763-01_因子設定!$B$14,IF(01_因子設定!$B$13="最小化",01_因子設定!$B$15-AB3763,MIN(AA3763-01_因子設定!$B$14,01_因子設定!$B$15-AB3763))),-1E+030)</f>
        <v>-3.00001007127246</v>
      </c>
      <c r="AE3763" s="55" t="n">
        <f aca="false">IF(AC3763,IF(01_因子設定!$B$13="最大化",X3763,IF(01_因子設定!$B$13="最小化",-X3763,-ABS(X3763-01_因子設定!$B$16))),-1E+030)</f>
        <v>44.93138249269</v>
      </c>
      <c r="AF3763" s="55" t="n">
        <f aca="false">AD3763+ROW()*0.000000001</f>
        <v>-3.00000630827246</v>
      </c>
      <c r="AG3763" s="55" t="n">
        <f aca="false">AE3763+ROW()*0.000000001</f>
        <v>44.93138625569</v>
      </c>
    </row>
    <row r="3764" customFormat="false" ht="15" hidden="false" customHeight="false" outlineLevel="0" collapsed="false">
      <c r="A3764" s="0" t="n">
        <v>5</v>
      </c>
      <c r="B3764" s="0" t="n">
        <v>1</v>
      </c>
      <c r="C3764" s="0" t="n">
        <v>3</v>
      </c>
      <c r="D3764" s="0" t="n">
        <v>6</v>
      </c>
      <c r="E3764" s="0" t="n">
        <f aca="false">-1+A3764*0.25</f>
        <v>0.25</v>
      </c>
      <c r="F3764" s="0" t="n">
        <f aca="false">-1+B3764*0.25</f>
        <v>-0.75</v>
      </c>
      <c r="G3764" s="0" t="n">
        <f aca="false">-1+C3764*0.25</f>
        <v>-0.25</v>
      </c>
      <c r="H3764" s="0" t="n">
        <f aca="false">-1+D3764*0.25</f>
        <v>0.5</v>
      </c>
      <c r="I3764" s="0" t="n">
        <f aca="false">1</f>
        <v>1</v>
      </c>
      <c r="J3764" s="0" t="n">
        <f aca="false">E3764</f>
        <v>0.25</v>
      </c>
      <c r="K3764" s="0" t="n">
        <f aca="false">F3764</f>
        <v>-0.75</v>
      </c>
      <c r="L3764" s="0" t="n">
        <f aca="false">G3764</f>
        <v>-0.25</v>
      </c>
      <c r="M3764" s="0" t="n">
        <f aca="false">H3764</f>
        <v>0.5</v>
      </c>
      <c r="N3764" s="0" t="n">
        <f aca="false">E3764*F3764</f>
        <v>-0.1875</v>
      </c>
      <c r="O3764" s="0" t="n">
        <f aca="false">E3764*G3764</f>
        <v>-0.0625</v>
      </c>
      <c r="P3764" s="0" t="n">
        <f aca="false">E3764*H3764</f>
        <v>0.125</v>
      </c>
      <c r="Q3764" s="0" t="n">
        <f aca="false">F3764*G3764</f>
        <v>0.1875</v>
      </c>
      <c r="R3764" s="0" t="n">
        <f aca="false">F3764*H3764</f>
        <v>-0.375</v>
      </c>
      <c r="S3764" s="0" t="n">
        <f aca="false">G3764*H3764</f>
        <v>-0.125</v>
      </c>
      <c r="T3764" s="0" t="n">
        <f aca="false">E3764*E3764</f>
        <v>0.0625</v>
      </c>
      <c r="U3764" s="0" t="n">
        <f aca="false">F3764*F3764</f>
        <v>0.5625</v>
      </c>
      <c r="V3764" s="0" t="n">
        <f aca="false">G3764*G3764</f>
        <v>0.0625</v>
      </c>
      <c r="W3764" s="0" t="n">
        <f aca="false">H3764*H3764</f>
        <v>0.25</v>
      </c>
      <c r="X3764" s="0" t="n">
        <f aca="false">SUMPRODUCT(I3764:W3764,_XtX!$B$96:$P$96)</f>
        <v>44.9907483552631</v>
      </c>
      <c r="Y3764" s="0" t="n">
        <f aca="false">SUMPRODUCT(MMULT(I3764:W3764,_XtX!$B$78:$P$92),I3764:W3764)</f>
        <v>0.207746539199561</v>
      </c>
      <c r="Z3764" s="0" t="n">
        <f aca="false">04_回帰ANOVA!$K$19*04_回帰ANOVA!$K$14*SQRT(1+Y3764)</f>
        <v>1.43247250081141</v>
      </c>
      <c r="AA3764" s="0" t="n">
        <f aca="false">X3764-Z3764</f>
        <v>43.5582758544517</v>
      </c>
      <c r="AB3764" s="0" t="n">
        <f aca="false">X3764+Z3764</f>
        <v>46.4232208560745</v>
      </c>
      <c r="AC3764" s="54" t="b">
        <f aca="false">AND(E3764&gt;=01_因子設定!$L$5-0.000000001,E3764&lt;=01_因子設定!$M$5+0.000000001,F3764&gt;=01_因子設定!$L$6-0.000000001,F3764&lt;=01_因子設定!$M$6+0.000000001,G3764&gt;=01_因子設定!$L$7-0.000000001,G3764&lt;=01_因子設定!$M$7+0.000000001,H3764&gt;=01_因子設定!$L$8-0.000000001,H3764&lt;=01_因子設定!$M$8+0.000000001,IF(01_因子設定!$B$20="Box-Behnken",E3764^2+F3764^2+G3764^2+H3764^2&lt;=2+0.000000001,TRUE()))</f>
        <v>1</v>
      </c>
      <c r="AD3764" s="55" t="n">
        <f aca="false">IF(AC3764,IF(01_因子設定!$B$13="最大化",AA3764-01_因子設定!$B$14,IF(01_因子設定!$B$13="最小化",01_因子設定!$B$15-AB3764,MIN(AA3764-01_因子設定!$B$14,01_因子設定!$B$15-AB3764))),-1E+030)</f>
        <v>-2.9417241455483</v>
      </c>
      <c r="AE3764" s="55" t="n">
        <f aca="false">IF(AC3764,IF(01_因子設定!$B$13="最大化",X3764,IF(01_因子設定!$B$13="最小化",-X3764,-ABS(X3764-01_因子設定!$B$16))),-1E+030)</f>
        <v>44.9907483552631</v>
      </c>
      <c r="AF3764" s="55" t="n">
        <f aca="false">AD3764+ROW()*0.000000001</f>
        <v>-2.9417203815483</v>
      </c>
      <c r="AG3764" s="55" t="n">
        <f aca="false">AE3764+ROW()*0.000000001</f>
        <v>44.9907521192631</v>
      </c>
    </row>
    <row r="3765" customFormat="false" ht="15" hidden="false" customHeight="false" outlineLevel="0" collapsed="false">
      <c r="A3765" s="0" t="n">
        <v>5</v>
      </c>
      <c r="B3765" s="0" t="n">
        <v>1</v>
      </c>
      <c r="C3765" s="0" t="n">
        <v>3</v>
      </c>
      <c r="D3765" s="0" t="n">
        <v>7</v>
      </c>
      <c r="E3765" s="0" t="n">
        <f aca="false">-1+A3765*0.25</f>
        <v>0.25</v>
      </c>
      <c r="F3765" s="0" t="n">
        <f aca="false">-1+B3765*0.25</f>
        <v>-0.75</v>
      </c>
      <c r="G3765" s="0" t="n">
        <f aca="false">-1+C3765*0.25</f>
        <v>-0.25</v>
      </c>
      <c r="H3765" s="0" t="n">
        <f aca="false">-1+D3765*0.25</f>
        <v>0.75</v>
      </c>
      <c r="I3765" s="0" t="n">
        <f aca="false">1</f>
        <v>1</v>
      </c>
      <c r="J3765" s="0" t="n">
        <f aca="false">E3765</f>
        <v>0.25</v>
      </c>
      <c r="K3765" s="0" t="n">
        <f aca="false">F3765</f>
        <v>-0.75</v>
      </c>
      <c r="L3765" s="0" t="n">
        <f aca="false">G3765</f>
        <v>-0.25</v>
      </c>
      <c r="M3765" s="0" t="n">
        <f aca="false">H3765</f>
        <v>0.75</v>
      </c>
      <c r="N3765" s="0" t="n">
        <f aca="false">E3765*F3765</f>
        <v>-0.1875</v>
      </c>
      <c r="O3765" s="0" t="n">
        <f aca="false">E3765*G3765</f>
        <v>-0.0625</v>
      </c>
      <c r="P3765" s="0" t="n">
        <f aca="false">E3765*H3765</f>
        <v>0.1875</v>
      </c>
      <c r="Q3765" s="0" t="n">
        <f aca="false">F3765*G3765</f>
        <v>0.1875</v>
      </c>
      <c r="R3765" s="0" t="n">
        <f aca="false">F3765*H3765</f>
        <v>-0.5625</v>
      </c>
      <c r="S3765" s="0" t="n">
        <f aca="false">G3765*H3765</f>
        <v>-0.1875</v>
      </c>
      <c r="T3765" s="0" t="n">
        <f aca="false">E3765*E3765</f>
        <v>0.0625</v>
      </c>
      <c r="U3765" s="0" t="n">
        <f aca="false">F3765*F3765</f>
        <v>0.5625</v>
      </c>
      <c r="V3765" s="0" t="n">
        <f aca="false">G3765*G3765</f>
        <v>0.0625</v>
      </c>
      <c r="W3765" s="0" t="n">
        <f aca="false">H3765*H3765</f>
        <v>0.5625</v>
      </c>
      <c r="X3765" s="0" t="n">
        <f aca="false">SUMPRODUCT(I3765:W3765,_XtX!$B$96:$P$96)</f>
        <v>45.0023072002924</v>
      </c>
      <c r="Y3765" s="0" t="n">
        <f aca="false">SUMPRODUCT(MMULT(I3765:W3765,_XtX!$B$78:$P$92),I3765:W3765)</f>
        <v>0.271087468019006</v>
      </c>
      <c r="Z3765" s="0" t="n">
        <f aca="false">04_回帰ANOVA!$K$19*04_回帰ANOVA!$K$14*SQRT(1+Y3765)</f>
        <v>1.46955590155034</v>
      </c>
      <c r="AA3765" s="0" t="n">
        <f aca="false">X3765-Z3765</f>
        <v>43.532751298742</v>
      </c>
      <c r="AB3765" s="0" t="n">
        <f aca="false">X3765+Z3765</f>
        <v>46.4718631018427</v>
      </c>
      <c r="AC3765" s="54" t="b">
        <f aca="false">AND(E3765&gt;=01_因子設定!$L$5-0.000000001,E3765&lt;=01_因子設定!$M$5+0.000000001,F3765&gt;=01_因子設定!$L$6-0.000000001,F3765&lt;=01_因子設定!$M$6+0.000000001,G3765&gt;=01_因子設定!$L$7-0.000000001,G3765&lt;=01_因子設定!$M$7+0.000000001,H3765&gt;=01_因子設定!$L$8-0.000000001,H3765&lt;=01_因子設定!$M$8+0.000000001,IF(01_因子設定!$B$20="Box-Behnken",E3765^2+F3765^2+G3765^2+H3765^2&lt;=2+0.000000001,TRUE()))</f>
        <v>1</v>
      </c>
      <c r="AD3765" s="55" t="n">
        <f aca="false">IF(AC3765,IF(01_因子設定!$B$13="最大化",AA3765-01_因子設定!$B$14,IF(01_因子設定!$B$13="最小化",01_因子設定!$B$15-AB3765,MIN(AA3765-01_因子設定!$B$14,01_因子設定!$B$15-AB3765))),-1E+030)</f>
        <v>-2.96724870125799</v>
      </c>
      <c r="AE3765" s="55" t="n">
        <f aca="false">IF(AC3765,IF(01_因子設定!$B$13="最大化",X3765,IF(01_因子設定!$B$13="最小化",-X3765,-ABS(X3765-01_因子設定!$B$16))),-1E+030)</f>
        <v>45.0023072002924</v>
      </c>
      <c r="AF3765" s="55" t="n">
        <f aca="false">AD3765+ROW()*0.000000001</f>
        <v>-2.96724493625799</v>
      </c>
      <c r="AG3765" s="55" t="n">
        <f aca="false">AE3765+ROW()*0.000000001</f>
        <v>45.0023109652924</v>
      </c>
    </row>
    <row r="3766" customFormat="false" ht="15" hidden="false" customHeight="false" outlineLevel="0" collapsed="false">
      <c r="A3766" s="0" t="n">
        <v>5</v>
      </c>
      <c r="B3766" s="0" t="n">
        <v>1</v>
      </c>
      <c r="C3766" s="0" t="n">
        <v>3</v>
      </c>
      <c r="D3766" s="0" t="n">
        <v>8</v>
      </c>
      <c r="E3766" s="0" t="n">
        <f aca="false">-1+A3766*0.25</f>
        <v>0.25</v>
      </c>
      <c r="F3766" s="0" t="n">
        <f aca="false">-1+B3766*0.25</f>
        <v>-0.75</v>
      </c>
      <c r="G3766" s="0" t="n">
        <f aca="false">-1+C3766*0.25</f>
        <v>-0.25</v>
      </c>
      <c r="H3766" s="0" t="n">
        <f aca="false">-1+D3766*0.25</f>
        <v>1</v>
      </c>
      <c r="I3766" s="0" t="n">
        <f aca="false">1</f>
        <v>1</v>
      </c>
      <c r="J3766" s="0" t="n">
        <f aca="false">E3766</f>
        <v>0.25</v>
      </c>
      <c r="K3766" s="0" t="n">
        <f aca="false">F3766</f>
        <v>-0.75</v>
      </c>
      <c r="L3766" s="0" t="n">
        <f aca="false">G3766</f>
        <v>-0.25</v>
      </c>
      <c r="M3766" s="0" t="n">
        <f aca="false">H3766</f>
        <v>1</v>
      </c>
      <c r="N3766" s="0" t="n">
        <f aca="false">E3766*F3766</f>
        <v>-0.1875</v>
      </c>
      <c r="O3766" s="0" t="n">
        <f aca="false">E3766*G3766</f>
        <v>-0.0625</v>
      </c>
      <c r="P3766" s="0" t="n">
        <f aca="false">E3766*H3766</f>
        <v>0.25</v>
      </c>
      <c r="Q3766" s="0" t="n">
        <f aca="false">F3766*G3766</f>
        <v>0.1875</v>
      </c>
      <c r="R3766" s="0" t="n">
        <f aca="false">F3766*H3766</f>
        <v>-0.75</v>
      </c>
      <c r="S3766" s="0" t="n">
        <f aca="false">G3766*H3766</f>
        <v>-0.25</v>
      </c>
      <c r="T3766" s="0" t="n">
        <f aca="false">E3766*E3766</f>
        <v>0.0625</v>
      </c>
      <c r="U3766" s="0" t="n">
        <f aca="false">F3766*F3766</f>
        <v>0.5625</v>
      </c>
      <c r="V3766" s="0" t="n">
        <f aca="false">G3766*G3766</f>
        <v>0.0625</v>
      </c>
      <c r="W3766" s="0" t="n">
        <f aca="false">H3766*H3766</f>
        <v>1</v>
      </c>
      <c r="X3766" s="0" t="n">
        <f aca="false">SUMPRODUCT(I3766:W3766,_XtX!$B$96:$P$96)</f>
        <v>44.9660590277778</v>
      </c>
      <c r="Y3766" s="0" t="n">
        <f aca="false">SUMPRODUCT(MMULT(I3766:W3766,_XtX!$B$78:$P$92),I3766:W3766)</f>
        <v>0.486409505208333</v>
      </c>
      <c r="Z3766" s="0" t="n">
        <f aca="false">04_回帰ANOVA!$K$19*04_回帰ANOVA!$K$14*SQRT(1+Y3766)</f>
        <v>1.58916001665498</v>
      </c>
      <c r="AA3766" s="0" t="n">
        <f aca="false">X3766-Z3766</f>
        <v>43.3768990111228</v>
      </c>
      <c r="AB3766" s="0" t="n">
        <f aca="false">X3766+Z3766</f>
        <v>46.5552190444327</v>
      </c>
      <c r="AC3766" s="54" t="b">
        <f aca="false">AND(E3766&gt;=01_因子設定!$L$5-0.000000001,E3766&lt;=01_因子設定!$M$5+0.000000001,F3766&gt;=01_因子設定!$L$6-0.000000001,F3766&lt;=01_因子設定!$M$6+0.000000001,G3766&gt;=01_因子設定!$L$7-0.000000001,G3766&lt;=01_因子設定!$M$7+0.000000001,H3766&gt;=01_因子設定!$L$8-0.000000001,H3766&lt;=01_因子設定!$M$8+0.000000001,IF(01_因子設定!$B$20="Box-Behnken",E3766^2+F3766^2+G3766^2+H3766^2&lt;=2+0.000000001,TRUE()))</f>
        <v>1</v>
      </c>
      <c r="AD3766" s="55" t="n">
        <f aca="false">IF(AC3766,IF(01_因子設定!$B$13="最大化",AA3766-01_因子設定!$B$14,IF(01_因子設定!$B$13="最小化",01_因子設定!$B$15-AB3766,MIN(AA3766-01_因子設定!$B$14,01_因子設定!$B$15-AB3766))),-1E+030)</f>
        <v>-3.12310098887723</v>
      </c>
      <c r="AE3766" s="55" t="n">
        <f aca="false">IF(AC3766,IF(01_因子設定!$B$13="最大化",X3766,IF(01_因子設定!$B$13="最小化",-X3766,-ABS(X3766-01_因子設定!$B$16))),-1E+030)</f>
        <v>44.9660590277778</v>
      </c>
      <c r="AF3766" s="55" t="n">
        <f aca="false">AD3766+ROW()*0.000000001</f>
        <v>-3.12309722287723</v>
      </c>
      <c r="AG3766" s="55" t="n">
        <f aca="false">AE3766+ROW()*0.000000001</f>
        <v>44.9660627937778</v>
      </c>
    </row>
    <row r="3767" customFormat="false" ht="15" hidden="false" customHeight="false" outlineLevel="0" collapsed="false">
      <c r="A3767" s="0" t="n">
        <v>5</v>
      </c>
      <c r="B3767" s="0" t="n">
        <v>1</v>
      </c>
      <c r="C3767" s="0" t="n">
        <v>4</v>
      </c>
      <c r="D3767" s="0" t="n">
        <v>0</v>
      </c>
      <c r="E3767" s="0" t="n">
        <f aca="false">-1+A3767*0.25</f>
        <v>0.25</v>
      </c>
      <c r="F3767" s="0" t="n">
        <f aca="false">-1+B3767*0.25</f>
        <v>-0.75</v>
      </c>
      <c r="G3767" s="0" t="n">
        <f aca="false">-1+C3767*0.25</f>
        <v>0</v>
      </c>
      <c r="H3767" s="0" t="n">
        <f aca="false">-1+D3767*0.25</f>
        <v>-1</v>
      </c>
      <c r="I3767" s="0" t="n">
        <f aca="false">1</f>
        <v>1</v>
      </c>
      <c r="J3767" s="0" t="n">
        <f aca="false">E3767</f>
        <v>0.25</v>
      </c>
      <c r="K3767" s="0" t="n">
        <f aca="false">F3767</f>
        <v>-0.75</v>
      </c>
      <c r="L3767" s="0" t="n">
        <f aca="false">G3767</f>
        <v>0</v>
      </c>
      <c r="M3767" s="0" t="n">
        <f aca="false">H3767</f>
        <v>-1</v>
      </c>
      <c r="N3767" s="0" t="n">
        <f aca="false">E3767*F3767</f>
        <v>-0.1875</v>
      </c>
      <c r="O3767" s="0" t="n">
        <f aca="false">E3767*G3767</f>
        <v>0</v>
      </c>
      <c r="P3767" s="0" t="n">
        <f aca="false">E3767*H3767</f>
        <v>-0.25</v>
      </c>
      <c r="Q3767" s="0" t="n">
        <f aca="false">F3767*G3767</f>
        <v>-0</v>
      </c>
      <c r="R3767" s="0" t="n">
        <f aca="false">F3767*H3767</f>
        <v>0.75</v>
      </c>
      <c r="S3767" s="0" t="n">
        <f aca="false">G3767*H3767</f>
        <v>-0</v>
      </c>
      <c r="T3767" s="0" t="n">
        <f aca="false">E3767*E3767</f>
        <v>0.0625</v>
      </c>
      <c r="U3767" s="0" t="n">
        <f aca="false">F3767*F3767</f>
        <v>0.5625</v>
      </c>
      <c r="V3767" s="0" t="n">
        <f aca="false">G3767*G3767</f>
        <v>0</v>
      </c>
      <c r="W3767" s="0" t="n">
        <f aca="false">H3767*H3767</f>
        <v>1</v>
      </c>
      <c r="X3767" s="0" t="n">
        <f aca="false">SUMPRODUCT(I3767:W3767,_XtX!$B$96:$P$96)</f>
        <v>44.0348410087719</v>
      </c>
      <c r="Y3767" s="0" t="n">
        <f aca="false">SUMPRODUCT(MMULT(I3767:W3767,_XtX!$B$78:$P$92),I3767:W3767)</f>
        <v>0.501534802174708</v>
      </c>
      <c r="Z3767" s="0" t="n">
        <f aca="false">04_回帰ANOVA!$K$19*04_回帰ANOVA!$K$14*SQRT(1+Y3767)</f>
        <v>1.59722498091333</v>
      </c>
      <c r="AA3767" s="0" t="n">
        <f aca="false">X3767-Z3767</f>
        <v>42.4376160278586</v>
      </c>
      <c r="AB3767" s="0" t="n">
        <f aca="false">X3767+Z3767</f>
        <v>45.6320659896852</v>
      </c>
      <c r="AC3767" s="54" t="b">
        <f aca="false">AND(E3767&gt;=01_因子設定!$L$5-0.000000001,E3767&lt;=01_因子設定!$M$5+0.000000001,F3767&gt;=01_因子設定!$L$6-0.000000001,F3767&lt;=01_因子設定!$M$6+0.000000001,G3767&gt;=01_因子設定!$L$7-0.000000001,G3767&lt;=01_因子設定!$M$7+0.000000001,H3767&gt;=01_因子設定!$L$8-0.000000001,H3767&lt;=01_因子設定!$M$8+0.000000001,IF(01_因子設定!$B$20="Box-Behnken",E3767^2+F3767^2+G3767^2+H3767^2&lt;=2+0.000000001,TRUE()))</f>
        <v>1</v>
      </c>
      <c r="AD3767" s="55" t="n">
        <f aca="false">IF(AC3767,IF(01_因子設定!$B$13="最大化",AA3767-01_因子設定!$B$14,IF(01_因子設定!$B$13="最小化",01_因子設定!$B$15-AB3767,MIN(AA3767-01_因子設定!$B$14,01_因子設定!$B$15-AB3767))),-1E+030)</f>
        <v>-4.06238397214143</v>
      </c>
      <c r="AE3767" s="55" t="n">
        <f aca="false">IF(AC3767,IF(01_因子設定!$B$13="最大化",X3767,IF(01_因子設定!$B$13="最小化",-X3767,-ABS(X3767-01_因子設定!$B$16))),-1E+030)</f>
        <v>44.0348410087719</v>
      </c>
      <c r="AF3767" s="55" t="n">
        <f aca="false">AD3767+ROW()*0.000000001</f>
        <v>-4.06238020514143</v>
      </c>
      <c r="AG3767" s="55" t="n">
        <f aca="false">AE3767+ROW()*0.000000001</f>
        <v>44.0348447757719</v>
      </c>
    </row>
    <row r="3768" customFormat="false" ht="15" hidden="false" customHeight="false" outlineLevel="0" collapsed="false">
      <c r="A3768" s="0" t="n">
        <v>5</v>
      </c>
      <c r="B3768" s="0" t="n">
        <v>1</v>
      </c>
      <c r="C3768" s="0" t="n">
        <v>4</v>
      </c>
      <c r="D3768" s="0" t="n">
        <v>1</v>
      </c>
      <c r="E3768" s="0" t="n">
        <f aca="false">-1+A3768*0.25</f>
        <v>0.25</v>
      </c>
      <c r="F3768" s="0" t="n">
        <f aca="false">-1+B3768*0.25</f>
        <v>-0.75</v>
      </c>
      <c r="G3768" s="0" t="n">
        <f aca="false">-1+C3768*0.25</f>
        <v>0</v>
      </c>
      <c r="H3768" s="0" t="n">
        <f aca="false">-1+D3768*0.25</f>
        <v>-0.75</v>
      </c>
      <c r="I3768" s="0" t="n">
        <f aca="false">1</f>
        <v>1</v>
      </c>
      <c r="J3768" s="0" t="n">
        <f aca="false">E3768</f>
        <v>0.25</v>
      </c>
      <c r="K3768" s="0" t="n">
        <f aca="false">F3768</f>
        <v>-0.75</v>
      </c>
      <c r="L3768" s="0" t="n">
        <f aca="false">G3768</f>
        <v>0</v>
      </c>
      <c r="M3768" s="0" t="n">
        <f aca="false">H3768</f>
        <v>-0.75</v>
      </c>
      <c r="N3768" s="0" t="n">
        <f aca="false">E3768*F3768</f>
        <v>-0.1875</v>
      </c>
      <c r="O3768" s="0" t="n">
        <f aca="false">E3768*G3768</f>
        <v>0</v>
      </c>
      <c r="P3768" s="0" t="n">
        <f aca="false">E3768*H3768</f>
        <v>-0.1875</v>
      </c>
      <c r="Q3768" s="0" t="n">
        <f aca="false">F3768*G3768</f>
        <v>-0</v>
      </c>
      <c r="R3768" s="0" t="n">
        <f aca="false">F3768*H3768</f>
        <v>0.5625</v>
      </c>
      <c r="S3768" s="0" t="n">
        <f aca="false">G3768*H3768</f>
        <v>-0</v>
      </c>
      <c r="T3768" s="0" t="n">
        <f aca="false">E3768*E3768</f>
        <v>0.0625</v>
      </c>
      <c r="U3768" s="0" t="n">
        <f aca="false">F3768*F3768</f>
        <v>0.5625</v>
      </c>
      <c r="V3768" s="0" t="n">
        <f aca="false">G3768*G3768</f>
        <v>0</v>
      </c>
      <c r="W3768" s="0" t="n">
        <f aca="false">H3768*H3768</f>
        <v>0.5625</v>
      </c>
      <c r="X3768" s="0" t="n">
        <f aca="false">SUMPRODUCT(I3768:W3768,_XtX!$B$96:$P$96)</f>
        <v>44.3512107090643</v>
      </c>
      <c r="Y3768" s="0" t="n">
        <f aca="false">SUMPRODUCT(MMULT(I3768:W3768,_XtX!$B$78:$P$92),I3768:W3768)</f>
        <v>0.281685455500731</v>
      </c>
      <c r="Z3768" s="0" t="n">
        <f aca="false">04_回帰ANOVA!$K$19*04_回帰ANOVA!$K$14*SQRT(1+Y3768)</f>
        <v>1.47566956658694</v>
      </c>
      <c r="AA3768" s="0" t="n">
        <f aca="false">X3768-Z3768</f>
        <v>42.8755411424774</v>
      </c>
      <c r="AB3768" s="0" t="n">
        <f aca="false">X3768+Z3768</f>
        <v>45.8268802756512</v>
      </c>
      <c r="AC3768" s="54" t="b">
        <f aca="false">AND(E3768&gt;=01_因子設定!$L$5-0.000000001,E3768&lt;=01_因子設定!$M$5+0.000000001,F3768&gt;=01_因子設定!$L$6-0.000000001,F3768&lt;=01_因子設定!$M$6+0.000000001,G3768&gt;=01_因子設定!$L$7-0.000000001,G3768&lt;=01_因子設定!$M$7+0.000000001,H3768&gt;=01_因子設定!$L$8-0.000000001,H3768&lt;=01_因子設定!$M$8+0.000000001,IF(01_因子設定!$B$20="Box-Behnken",E3768^2+F3768^2+G3768^2+H3768^2&lt;=2+0.000000001,TRUE()))</f>
        <v>1</v>
      </c>
      <c r="AD3768" s="55" t="n">
        <f aca="false">IF(AC3768,IF(01_因子設定!$B$13="最大化",AA3768-01_因子設定!$B$14,IF(01_因子設定!$B$13="最小化",01_因子設定!$B$15-AB3768,MIN(AA3768-01_因子設定!$B$14,01_因子設定!$B$15-AB3768))),-1E+030)</f>
        <v>-3.62445885752265</v>
      </c>
      <c r="AE3768" s="55" t="n">
        <f aca="false">IF(AC3768,IF(01_因子設定!$B$13="最大化",X3768,IF(01_因子設定!$B$13="最小化",-X3768,-ABS(X3768-01_因子設定!$B$16))),-1E+030)</f>
        <v>44.3512107090643</v>
      </c>
      <c r="AF3768" s="55" t="n">
        <f aca="false">AD3768+ROW()*0.000000001</f>
        <v>-3.62445508952265</v>
      </c>
      <c r="AG3768" s="55" t="n">
        <f aca="false">AE3768+ROW()*0.000000001</f>
        <v>44.3512144770643</v>
      </c>
    </row>
    <row r="3769" customFormat="false" ht="15" hidden="false" customHeight="false" outlineLevel="0" collapsed="false">
      <c r="A3769" s="0" t="n">
        <v>5</v>
      </c>
      <c r="B3769" s="0" t="n">
        <v>1</v>
      </c>
      <c r="C3769" s="0" t="n">
        <v>4</v>
      </c>
      <c r="D3769" s="0" t="n">
        <v>2</v>
      </c>
      <c r="E3769" s="0" t="n">
        <f aca="false">-1+A3769*0.25</f>
        <v>0.25</v>
      </c>
      <c r="F3769" s="0" t="n">
        <f aca="false">-1+B3769*0.25</f>
        <v>-0.75</v>
      </c>
      <c r="G3769" s="0" t="n">
        <f aca="false">-1+C3769*0.25</f>
        <v>0</v>
      </c>
      <c r="H3769" s="0" t="n">
        <f aca="false">-1+D3769*0.25</f>
        <v>-0.5</v>
      </c>
      <c r="I3769" s="0" t="n">
        <f aca="false">1</f>
        <v>1</v>
      </c>
      <c r="J3769" s="0" t="n">
        <f aca="false">E3769</f>
        <v>0.25</v>
      </c>
      <c r="K3769" s="0" t="n">
        <f aca="false">F3769</f>
        <v>-0.75</v>
      </c>
      <c r="L3769" s="0" t="n">
        <f aca="false">G3769</f>
        <v>0</v>
      </c>
      <c r="M3769" s="0" t="n">
        <f aca="false">H3769</f>
        <v>-0.5</v>
      </c>
      <c r="N3769" s="0" t="n">
        <f aca="false">E3769*F3769</f>
        <v>-0.1875</v>
      </c>
      <c r="O3769" s="0" t="n">
        <f aca="false">E3769*G3769</f>
        <v>0</v>
      </c>
      <c r="P3769" s="0" t="n">
        <f aca="false">E3769*H3769</f>
        <v>-0.125</v>
      </c>
      <c r="Q3769" s="0" t="n">
        <f aca="false">F3769*G3769</f>
        <v>-0</v>
      </c>
      <c r="R3769" s="0" t="n">
        <f aca="false">F3769*H3769</f>
        <v>0.375</v>
      </c>
      <c r="S3769" s="0" t="n">
        <f aca="false">G3769*H3769</f>
        <v>-0</v>
      </c>
      <c r="T3769" s="0" t="n">
        <f aca="false">E3769*E3769</f>
        <v>0.0625</v>
      </c>
      <c r="U3769" s="0" t="n">
        <f aca="false">F3769*F3769</f>
        <v>0.5625</v>
      </c>
      <c r="V3769" s="0" t="n">
        <f aca="false">G3769*G3769</f>
        <v>0</v>
      </c>
      <c r="W3769" s="0" t="n">
        <f aca="false">H3769*H3769</f>
        <v>0.25</v>
      </c>
      <c r="X3769" s="0" t="n">
        <f aca="false">SUMPRODUCT(I3769:W3769,_XtX!$B$96:$P$96)</f>
        <v>44.6197733918128</v>
      </c>
      <c r="Y3769" s="0" t="n">
        <f aca="false">SUMPRODUCT(MMULT(I3769:W3769,_XtX!$B$78:$P$92),I3769:W3769)</f>
        <v>0.215110734192252</v>
      </c>
      <c r="Z3769" s="0" t="n">
        <f aca="false">04_回帰ANOVA!$K$19*04_回帰ANOVA!$K$14*SQRT(1+Y3769)</f>
        <v>1.43683309086864</v>
      </c>
      <c r="AA3769" s="0" t="n">
        <f aca="false">X3769-Z3769</f>
        <v>43.1829403009442</v>
      </c>
      <c r="AB3769" s="0" t="n">
        <f aca="false">X3769+Z3769</f>
        <v>46.0566064826815</v>
      </c>
      <c r="AC3769" s="54" t="b">
        <f aca="false">AND(E3769&gt;=01_因子設定!$L$5-0.000000001,E3769&lt;=01_因子設定!$M$5+0.000000001,F3769&gt;=01_因子設定!$L$6-0.000000001,F3769&lt;=01_因子設定!$M$6+0.000000001,G3769&gt;=01_因子設定!$L$7-0.000000001,G3769&lt;=01_因子設定!$M$7+0.000000001,H3769&gt;=01_因子設定!$L$8-0.000000001,H3769&lt;=01_因子設定!$M$8+0.000000001,IF(01_因子設定!$B$20="Box-Behnken",E3769^2+F3769^2+G3769^2+H3769^2&lt;=2+0.000000001,TRUE()))</f>
        <v>1</v>
      </c>
      <c r="AD3769" s="55" t="n">
        <f aca="false">IF(AC3769,IF(01_因子設定!$B$13="最大化",AA3769-01_因子設定!$B$14,IF(01_因子設定!$B$13="最小化",01_因子設定!$B$15-AB3769,MIN(AA3769-01_因子設定!$B$14,01_因子設定!$B$15-AB3769))),-1E+030)</f>
        <v>-3.31705969905583</v>
      </c>
      <c r="AE3769" s="55" t="n">
        <f aca="false">IF(AC3769,IF(01_因子設定!$B$13="最大化",X3769,IF(01_因子設定!$B$13="最小化",-X3769,-ABS(X3769-01_因子設定!$B$16))),-1E+030)</f>
        <v>44.6197733918128</v>
      </c>
      <c r="AF3769" s="55" t="n">
        <f aca="false">AD3769+ROW()*0.000000001</f>
        <v>-3.31705593005583</v>
      </c>
      <c r="AG3769" s="55" t="n">
        <f aca="false">AE3769+ROW()*0.000000001</f>
        <v>44.6197771608128</v>
      </c>
    </row>
    <row r="3770" customFormat="false" ht="15" hidden="false" customHeight="false" outlineLevel="0" collapsed="false">
      <c r="A3770" s="0" t="n">
        <v>5</v>
      </c>
      <c r="B3770" s="0" t="n">
        <v>1</v>
      </c>
      <c r="C3770" s="0" t="n">
        <v>4</v>
      </c>
      <c r="D3770" s="0" t="n">
        <v>3</v>
      </c>
      <c r="E3770" s="0" t="n">
        <f aca="false">-1+A3770*0.25</f>
        <v>0.25</v>
      </c>
      <c r="F3770" s="0" t="n">
        <f aca="false">-1+B3770*0.25</f>
        <v>-0.75</v>
      </c>
      <c r="G3770" s="0" t="n">
        <f aca="false">-1+C3770*0.25</f>
        <v>0</v>
      </c>
      <c r="H3770" s="0" t="n">
        <f aca="false">-1+D3770*0.25</f>
        <v>-0.25</v>
      </c>
      <c r="I3770" s="0" t="n">
        <f aca="false">1</f>
        <v>1</v>
      </c>
      <c r="J3770" s="0" t="n">
        <f aca="false">E3770</f>
        <v>0.25</v>
      </c>
      <c r="K3770" s="0" t="n">
        <f aca="false">F3770</f>
        <v>-0.75</v>
      </c>
      <c r="L3770" s="0" t="n">
        <f aca="false">G3770</f>
        <v>0</v>
      </c>
      <c r="M3770" s="0" t="n">
        <f aca="false">H3770</f>
        <v>-0.25</v>
      </c>
      <c r="N3770" s="0" t="n">
        <f aca="false">E3770*F3770</f>
        <v>-0.1875</v>
      </c>
      <c r="O3770" s="0" t="n">
        <f aca="false">E3770*G3770</f>
        <v>0</v>
      </c>
      <c r="P3770" s="0" t="n">
        <f aca="false">E3770*H3770</f>
        <v>-0.0625</v>
      </c>
      <c r="Q3770" s="0" t="n">
        <f aca="false">F3770*G3770</f>
        <v>-0</v>
      </c>
      <c r="R3770" s="0" t="n">
        <f aca="false">F3770*H3770</f>
        <v>0.1875</v>
      </c>
      <c r="S3770" s="0" t="n">
        <f aca="false">G3770*H3770</f>
        <v>-0</v>
      </c>
      <c r="T3770" s="0" t="n">
        <f aca="false">E3770*E3770</f>
        <v>0.0625</v>
      </c>
      <c r="U3770" s="0" t="n">
        <f aca="false">F3770*F3770</f>
        <v>0.5625</v>
      </c>
      <c r="V3770" s="0" t="n">
        <f aca="false">G3770*G3770</f>
        <v>0</v>
      </c>
      <c r="W3770" s="0" t="n">
        <f aca="false">H3770*H3770</f>
        <v>0.0625</v>
      </c>
      <c r="X3770" s="0" t="n">
        <f aca="false">SUMPRODUCT(I3770:W3770,_XtX!$B$96:$P$96)</f>
        <v>44.8405290570175</v>
      </c>
      <c r="Y3770" s="0" t="n">
        <f aca="false">SUMPRODUCT(MMULT(I3770:W3770,_XtX!$B$78:$P$92),I3770:W3770)</f>
        <v>0.21135011193348</v>
      </c>
      <c r="Z3770" s="0" t="n">
        <f aca="false">04_回帰ANOVA!$K$19*04_回帰ANOVA!$K$14*SQRT(1+Y3770)</f>
        <v>1.43460795469709</v>
      </c>
      <c r="AA3770" s="0" t="n">
        <f aca="false">X3770-Z3770</f>
        <v>43.4059211023204</v>
      </c>
      <c r="AB3770" s="0" t="n">
        <f aca="false">X3770+Z3770</f>
        <v>46.2751370117146</v>
      </c>
      <c r="AC3770" s="54" t="b">
        <f aca="false">AND(E3770&gt;=01_因子設定!$L$5-0.000000001,E3770&lt;=01_因子設定!$M$5+0.000000001,F3770&gt;=01_因子設定!$L$6-0.000000001,F3770&lt;=01_因子設定!$M$6+0.000000001,G3770&gt;=01_因子設定!$L$7-0.000000001,G3770&lt;=01_因子設定!$M$7+0.000000001,H3770&gt;=01_因子設定!$L$8-0.000000001,H3770&lt;=01_因子設定!$M$8+0.000000001,IF(01_因子設定!$B$20="Box-Behnken",E3770^2+F3770^2+G3770^2+H3770^2&lt;=2+0.000000001,TRUE()))</f>
        <v>1</v>
      </c>
      <c r="AD3770" s="55" t="n">
        <f aca="false">IF(AC3770,IF(01_因子設定!$B$13="最大化",AA3770-01_因子設定!$B$14,IF(01_因子設定!$B$13="最小化",01_因子設定!$B$15-AB3770,MIN(AA3770-01_因子設定!$B$14,01_因子設定!$B$15-AB3770))),-1E+030)</f>
        <v>-3.0940788976796</v>
      </c>
      <c r="AE3770" s="55" t="n">
        <f aca="false">IF(AC3770,IF(01_因子設定!$B$13="最大化",X3770,IF(01_因子設定!$B$13="最小化",-X3770,-ABS(X3770-01_因子設定!$B$16))),-1E+030)</f>
        <v>44.8405290570175</v>
      </c>
      <c r="AF3770" s="55" t="n">
        <f aca="false">AD3770+ROW()*0.000000001</f>
        <v>-3.0940751276796</v>
      </c>
      <c r="AG3770" s="55" t="n">
        <f aca="false">AE3770+ROW()*0.000000001</f>
        <v>44.8405328270175</v>
      </c>
    </row>
    <row r="3771" customFormat="false" ht="15" hidden="false" customHeight="false" outlineLevel="0" collapsed="false">
      <c r="A3771" s="0" t="n">
        <v>5</v>
      </c>
      <c r="B3771" s="0" t="n">
        <v>1</v>
      </c>
      <c r="C3771" s="0" t="n">
        <v>4</v>
      </c>
      <c r="D3771" s="0" t="n">
        <v>4</v>
      </c>
      <c r="E3771" s="0" t="n">
        <f aca="false">-1+A3771*0.25</f>
        <v>0.25</v>
      </c>
      <c r="F3771" s="0" t="n">
        <f aca="false">-1+B3771*0.25</f>
        <v>-0.75</v>
      </c>
      <c r="G3771" s="0" t="n">
        <f aca="false">-1+C3771*0.25</f>
        <v>0</v>
      </c>
      <c r="H3771" s="0" t="n">
        <f aca="false">-1+D3771*0.25</f>
        <v>0</v>
      </c>
      <c r="I3771" s="0" t="n">
        <f aca="false">1</f>
        <v>1</v>
      </c>
      <c r="J3771" s="0" t="n">
        <f aca="false">E3771</f>
        <v>0.25</v>
      </c>
      <c r="K3771" s="0" t="n">
        <f aca="false">F3771</f>
        <v>-0.75</v>
      </c>
      <c r="L3771" s="0" t="n">
        <f aca="false">G3771</f>
        <v>0</v>
      </c>
      <c r="M3771" s="0" t="n">
        <f aca="false">H3771</f>
        <v>0</v>
      </c>
      <c r="N3771" s="0" t="n">
        <f aca="false">E3771*F3771</f>
        <v>-0.1875</v>
      </c>
      <c r="O3771" s="0" t="n">
        <f aca="false">E3771*G3771</f>
        <v>0</v>
      </c>
      <c r="P3771" s="0" t="n">
        <f aca="false">E3771*H3771</f>
        <v>0</v>
      </c>
      <c r="Q3771" s="0" t="n">
        <f aca="false">F3771*G3771</f>
        <v>-0</v>
      </c>
      <c r="R3771" s="0" t="n">
        <f aca="false">F3771*H3771</f>
        <v>-0</v>
      </c>
      <c r="S3771" s="0" t="n">
        <f aca="false">G3771*H3771</f>
        <v>0</v>
      </c>
      <c r="T3771" s="0" t="n">
        <f aca="false">E3771*E3771</f>
        <v>0.0625</v>
      </c>
      <c r="U3771" s="0" t="n">
        <f aca="false">F3771*F3771</f>
        <v>0.5625</v>
      </c>
      <c r="V3771" s="0" t="n">
        <f aca="false">G3771*G3771</f>
        <v>0</v>
      </c>
      <c r="W3771" s="0" t="n">
        <f aca="false">H3771*H3771</f>
        <v>0</v>
      </c>
      <c r="X3771" s="0" t="n">
        <f aca="false">SUMPRODUCT(I3771:W3771,_XtX!$B$96:$P$96)</f>
        <v>45.0134777046783</v>
      </c>
      <c r="Y3771" s="0" t="n">
        <f aca="false">SUMPRODUCT(MMULT(I3771:W3771,_XtX!$B$78:$P$92),I3771:W3771)</f>
        <v>0.216127272934942</v>
      </c>
      <c r="Z3771" s="0" t="n">
        <f aca="false">04_回帰ANOVA!$K$19*04_回帰ANOVA!$K$14*SQRT(1+Y3771)</f>
        <v>1.43743397896608</v>
      </c>
      <c r="AA3771" s="0" t="n">
        <f aca="false">X3771-Z3771</f>
        <v>43.5760437257122</v>
      </c>
      <c r="AB3771" s="0" t="n">
        <f aca="false">X3771+Z3771</f>
        <v>46.4509116836444</v>
      </c>
      <c r="AC3771" s="54" t="b">
        <f aca="false">AND(E3771&gt;=01_因子設定!$L$5-0.000000001,E3771&lt;=01_因子設定!$M$5+0.000000001,F3771&gt;=01_因子設定!$L$6-0.000000001,F3771&lt;=01_因子設定!$M$6+0.000000001,G3771&gt;=01_因子設定!$L$7-0.000000001,G3771&lt;=01_因子設定!$M$7+0.000000001,H3771&gt;=01_因子設定!$L$8-0.000000001,H3771&lt;=01_因子設定!$M$8+0.000000001,IF(01_因子設定!$B$20="Box-Behnken",E3771^2+F3771^2+G3771^2+H3771^2&lt;=2+0.000000001,TRUE()))</f>
        <v>1</v>
      </c>
      <c r="AD3771" s="55" t="n">
        <f aca="false">IF(AC3771,IF(01_因子設定!$B$13="最大化",AA3771-01_因子設定!$B$14,IF(01_因子設定!$B$13="最小化",01_因子設定!$B$15-AB3771,MIN(AA3771-01_因子設定!$B$14,01_因子設定!$B$15-AB3771))),-1E+030)</f>
        <v>-2.92395627428778</v>
      </c>
      <c r="AE3771" s="55" t="n">
        <f aca="false">IF(AC3771,IF(01_因子設定!$B$13="最大化",X3771,IF(01_因子設定!$B$13="最小化",-X3771,-ABS(X3771-01_因子設定!$B$16))),-1E+030)</f>
        <v>45.0134777046783</v>
      </c>
      <c r="AF3771" s="55" t="n">
        <f aca="false">AD3771+ROW()*0.000000001</f>
        <v>-2.92395250328778</v>
      </c>
      <c r="AG3771" s="55" t="n">
        <f aca="false">AE3771+ROW()*0.000000001</f>
        <v>45.0134814756783</v>
      </c>
    </row>
    <row r="3772" customFormat="false" ht="15" hidden="false" customHeight="false" outlineLevel="0" collapsed="false">
      <c r="A3772" s="0" t="n">
        <v>5</v>
      </c>
      <c r="B3772" s="0" t="n">
        <v>1</v>
      </c>
      <c r="C3772" s="0" t="n">
        <v>4</v>
      </c>
      <c r="D3772" s="0" t="n">
        <v>5</v>
      </c>
      <c r="E3772" s="0" t="n">
        <f aca="false">-1+A3772*0.25</f>
        <v>0.25</v>
      </c>
      <c r="F3772" s="0" t="n">
        <f aca="false">-1+B3772*0.25</f>
        <v>-0.75</v>
      </c>
      <c r="G3772" s="0" t="n">
        <f aca="false">-1+C3772*0.25</f>
        <v>0</v>
      </c>
      <c r="H3772" s="0" t="n">
        <f aca="false">-1+D3772*0.25</f>
        <v>0.25</v>
      </c>
      <c r="I3772" s="0" t="n">
        <f aca="false">1</f>
        <v>1</v>
      </c>
      <c r="J3772" s="0" t="n">
        <f aca="false">E3772</f>
        <v>0.25</v>
      </c>
      <c r="K3772" s="0" t="n">
        <f aca="false">F3772</f>
        <v>-0.75</v>
      </c>
      <c r="L3772" s="0" t="n">
        <f aca="false">G3772</f>
        <v>0</v>
      </c>
      <c r="M3772" s="0" t="n">
        <f aca="false">H3772</f>
        <v>0.25</v>
      </c>
      <c r="N3772" s="0" t="n">
        <f aca="false">E3772*F3772</f>
        <v>-0.1875</v>
      </c>
      <c r="O3772" s="0" t="n">
        <f aca="false">E3772*G3772</f>
        <v>0</v>
      </c>
      <c r="P3772" s="0" t="n">
        <f aca="false">E3772*H3772</f>
        <v>0.0625</v>
      </c>
      <c r="Q3772" s="0" t="n">
        <f aca="false">F3772*G3772</f>
        <v>-0</v>
      </c>
      <c r="R3772" s="0" t="n">
        <f aca="false">F3772*H3772</f>
        <v>-0.1875</v>
      </c>
      <c r="S3772" s="0" t="n">
        <f aca="false">G3772*H3772</f>
        <v>0</v>
      </c>
      <c r="T3772" s="0" t="n">
        <f aca="false">E3772*E3772</f>
        <v>0.0625</v>
      </c>
      <c r="U3772" s="0" t="n">
        <f aca="false">F3772*F3772</f>
        <v>0.5625</v>
      </c>
      <c r="V3772" s="0" t="n">
        <f aca="false">G3772*G3772</f>
        <v>0</v>
      </c>
      <c r="W3772" s="0" t="n">
        <f aca="false">H3772*H3772</f>
        <v>0.0625</v>
      </c>
      <c r="X3772" s="0" t="n">
        <f aca="false">SUMPRODUCT(I3772:W3772,_XtX!$B$96:$P$96)</f>
        <v>45.1386193347953</v>
      </c>
      <c r="Y3772" s="0" t="n">
        <f aca="false">SUMPRODUCT(MMULT(I3772:W3772,_XtX!$B$78:$P$92),I3772:W3772)</f>
        <v>0.21135011193348</v>
      </c>
      <c r="Z3772" s="0" t="n">
        <f aca="false">04_回帰ANOVA!$K$19*04_回帰ANOVA!$K$14*SQRT(1+Y3772)</f>
        <v>1.43460795469709</v>
      </c>
      <c r="AA3772" s="0" t="n">
        <f aca="false">X3772-Z3772</f>
        <v>43.7040113800982</v>
      </c>
      <c r="AB3772" s="0" t="n">
        <f aca="false">X3772+Z3772</f>
        <v>46.5732272894924</v>
      </c>
      <c r="AC3772" s="54" t="b">
        <f aca="false">AND(E3772&gt;=01_因子設定!$L$5-0.000000001,E3772&lt;=01_因子設定!$M$5+0.000000001,F3772&gt;=01_因子設定!$L$6-0.000000001,F3772&lt;=01_因子設定!$M$6+0.000000001,G3772&gt;=01_因子設定!$L$7-0.000000001,G3772&lt;=01_因子設定!$M$7+0.000000001,H3772&gt;=01_因子設定!$L$8-0.000000001,H3772&lt;=01_因子設定!$M$8+0.000000001,IF(01_因子設定!$B$20="Box-Behnken",E3772^2+F3772^2+G3772^2+H3772^2&lt;=2+0.000000001,TRUE()))</f>
        <v>1</v>
      </c>
      <c r="AD3772" s="55" t="n">
        <f aca="false">IF(AC3772,IF(01_因子設定!$B$13="最大化",AA3772-01_因子設定!$B$14,IF(01_因子設定!$B$13="最小化",01_因子設定!$B$15-AB3772,MIN(AA3772-01_因子設定!$B$14,01_因子設定!$B$15-AB3772))),-1E+030)</f>
        <v>-2.79598861990182</v>
      </c>
      <c r="AE3772" s="55" t="n">
        <f aca="false">IF(AC3772,IF(01_因子設定!$B$13="最大化",X3772,IF(01_因子設定!$B$13="最小化",-X3772,-ABS(X3772-01_因子設定!$B$16))),-1E+030)</f>
        <v>45.1386193347953</v>
      </c>
      <c r="AF3772" s="55" t="n">
        <f aca="false">AD3772+ROW()*0.000000001</f>
        <v>-2.79598484790182</v>
      </c>
      <c r="AG3772" s="55" t="n">
        <f aca="false">AE3772+ROW()*0.000000001</f>
        <v>45.1386231067953</v>
      </c>
    </row>
    <row r="3773" customFormat="false" ht="15" hidden="false" customHeight="false" outlineLevel="0" collapsed="false">
      <c r="A3773" s="0" t="n">
        <v>5</v>
      </c>
      <c r="B3773" s="0" t="n">
        <v>1</v>
      </c>
      <c r="C3773" s="0" t="n">
        <v>4</v>
      </c>
      <c r="D3773" s="0" t="n">
        <v>6</v>
      </c>
      <c r="E3773" s="0" t="n">
        <f aca="false">-1+A3773*0.25</f>
        <v>0.25</v>
      </c>
      <c r="F3773" s="0" t="n">
        <f aca="false">-1+B3773*0.25</f>
        <v>-0.75</v>
      </c>
      <c r="G3773" s="0" t="n">
        <f aca="false">-1+C3773*0.25</f>
        <v>0</v>
      </c>
      <c r="H3773" s="0" t="n">
        <f aca="false">-1+D3773*0.25</f>
        <v>0.5</v>
      </c>
      <c r="I3773" s="0" t="n">
        <f aca="false">1</f>
        <v>1</v>
      </c>
      <c r="J3773" s="0" t="n">
        <f aca="false">E3773</f>
        <v>0.25</v>
      </c>
      <c r="K3773" s="0" t="n">
        <f aca="false">F3773</f>
        <v>-0.75</v>
      </c>
      <c r="L3773" s="0" t="n">
        <f aca="false">G3773</f>
        <v>0</v>
      </c>
      <c r="M3773" s="0" t="n">
        <f aca="false">H3773</f>
        <v>0.5</v>
      </c>
      <c r="N3773" s="0" t="n">
        <f aca="false">E3773*F3773</f>
        <v>-0.1875</v>
      </c>
      <c r="O3773" s="0" t="n">
        <f aca="false">E3773*G3773</f>
        <v>0</v>
      </c>
      <c r="P3773" s="0" t="n">
        <f aca="false">E3773*H3773</f>
        <v>0.125</v>
      </c>
      <c r="Q3773" s="0" t="n">
        <f aca="false">F3773*G3773</f>
        <v>-0</v>
      </c>
      <c r="R3773" s="0" t="n">
        <f aca="false">F3773*H3773</f>
        <v>-0.375</v>
      </c>
      <c r="S3773" s="0" t="n">
        <f aca="false">G3773*H3773</f>
        <v>0</v>
      </c>
      <c r="T3773" s="0" t="n">
        <f aca="false">E3773*E3773</f>
        <v>0.0625</v>
      </c>
      <c r="U3773" s="0" t="n">
        <f aca="false">F3773*F3773</f>
        <v>0.5625</v>
      </c>
      <c r="V3773" s="0" t="n">
        <f aca="false">G3773*G3773</f>
        <v>0</v>
      </c>
      <c r="W3773" s="0" t="n">
        <f aca="false">H3773*H3773</f>
        <v>0.25</v>
      </c>
      <c r="X3773" s="0" t="n">
        <f aca="false">SUMPRODUCT(I3773:W3773,_XtX!$B$96:$P$96)</f>
        <v>45.2159539473684</v>
      </c>
      <c r="Y3773" s="0" t="n">
        <f aca="false">SUMPRODUCT(MMULT(I3773:W3773,_XtX!$B$78:$P$92),I3773:W3773)</f>
        <v>0.215110734192252</v>
      </c>
      <c r="Z3773" s="0" t="n">
        <f aca="false">04_回帰ANOVA!$K$19*04_回帰ANOVA!$K$14*SQRT(1+Y3773)</f>
        <v>1.43683309086864</v>
      </c>
      <c r="AA3773" s="0" t="n">
        <f aca="false">X3773-Z3773</f>
        <v>43.7791208564997</v>
      </c>
      <c r="AB3773" s="0" t="n">
        <f aca="false">X3773+Z3773</f>
        <v>46.652787038237</v>
      </c>
      <c r="AC3773" s="54" t="b">
        <f aca="false">AND(E3773&gt;=01_因子設定!$L$5-0.000000001,E3773&lt;=01_因子設定!$M$5+0.000000001,F3773&gt;=01_因子設定!$L$6-0.000000001,F3773&lt;=01_因子設定!$M$6+0.000000001,G3773&gt;=01_因子設定!$L$7-0.000000001,G3773&lt;=01_因子設定!$M$7+0.000000001,H3773&gt;=01_因子設定!$L$8-0.000000001,H3773&lt;=01_因子設定!$M$8+0.000000001,IF(01_因子設定!$B$20="Box-Behnken",E3773^2+F3773^2+G3773^2+H3773^2&lt;=2+0.000000001,TRUE()))</f>
        <v>1</v>
      </c>
      <c r="AD3773" s="55" t="n">
        <f aca="false">IF(AC3773,IF(01_因子設定!$B$13="最大化",AA3773-01_因子設定!$B$14,IF(01_因子設定!$B$13="最小化",01_因子設定!$B$15-AB3773,MIN(AA3773-01_因子設定!$B$14,01_因子設定!$B$15-AB3773))),-1E+030)</f>
        <v>-2.72087914350028</v>
      </c>
      <c r="AE3773" s="55" t="n">
        <f aca="false">IF(AC3773,IF(01_因子設定!$B$13="最大化",X3773,IF(01_因子設定!$B$13="最小化",-X3773,-ABS(X3773-01_因子設定!$B$16))),-1E+030)</f>
        <v>45.2159539473684</v>
      </c>
      <c r="AF3773" s="55" t="n">
        <f aca="false">AD3773+ROW()*0.000000001</f>
        <v>-2.72087537050028</v>
      </c>
      <c r="AG3773" s="55" t="n">
        <f aca="false">AE3773+ROW()*0.000000001</f>
        <v>45.2159577203684</v>
      </c>
    </row>
    <row r="3774" customFormat="false" ht="15" hidden="false" customHeight="false" outlineLevel="0" collapsed="false">
      <c r="A3774" s="0" t="n">
        <v>5</v>
      </c>
      <c r="B3774" s="0" t="n">
        <v>1</v>
      </c>
      <c r="C3774" s="0" t="n">
        <v>4</v>
      </c>
      <c r="D3774" s="0" t="n">
        <v>7</v>
      </c>
      <c r="E3774" s="0" t="n">
        <f aca="false">-1+A3774*0.25</f>
        <v>0.25</v>
      </c>
      <c r="F3774" s="0" t="n">
        <f aca="false">-1+B3774*0.25</f>
        <v>-0.75</v>
      </c>
      <c r="G3774" s="0" t="n">
        <f aca="false">-1+C3774*0.25</f>
        <v>0</v>
      </c>
      <c r="H3774" s="0" t="n">
        <f aca="false">-1+D3774*0.25</f>
        <v>0.75</v>
      </c>
      <c r="I3774" s="0" t="n">
        <f aca="false">1</f>
        <v>1</v>
      </c>
      <c r="J3774" s="0" t="n">
        <f aca="false">E3774</f>
        <v>0.25</v>
      </c>
      <c r="K3774" s="0" t="n">
        <f aca="false">F3774</f>
        <v>-0.75</v>
      </c>
      <c r="L3774" s="0" t="n">
        <f aca="false">G3774</f>
        <v>0</v>
      </c>
      <c r="M3774" s="0" t="n">
        <f aca="false">H3774</f>
        <v>0.75</v>
      </c>
      <c r="N3774" s="0" t="n">
        <f aca="false">E3774*F3774</f>
        <v>-0.1875</v>
      </c>
      <c r="O3774" s="0" t="n">
        <f aca="false">E3774*G3774</f>
        <v>0</v>
      </c>
      <c r="P3774" s="0" t="n">
        <f aca="false">E3774*H3774</f>
        <v>0.1875</v>
      </c>
      <c r="Q3774" s="0" t="n">
        <f aca="false">F3774*G3774</f>
        <v>-0</v>
      </c>
      <c r="R3774" s="0" t="n">
        <f aca="false">F3774*H3774</f>
        <v>-0.5625</v>
      </c>
      <c r="S3774" s="0" t="n">
        <f aca="false">G3774*H3774</f>
        <v>0</v>
      </c>
      <c r="T3774" s="0" t="n">
        <f aca="false">E3774*E3774</f>
        <v>0.0625</v>
      </c>
      <c r="U3774" s="0" t="n">
        <f aca="false">F3774*F3774</f>
        <v>0.5625</v>
      </c>
      <c r="V3774" s="0" t="n">
        <f aca="false">G3774*G3774</f>
        <v>0</v>
      </c>
      <c r="W3774" s="0" t="n">
        <f aca="false">H3774*H3774</f>
        <v>0.5625</v>
      </c>
      <c r="X3774" s="0" t="n">
        <f aca="false">SUMPRODUCT(I3774:W3774,_XtX!$B$96:$P$96)</f>
        <v>45.2454815423976</v>
      </c>
      <c r="Y3774" s="0" t="n">
        <f aca="false">SUMPRODUCT(MMULT(I3774:W3774,_XtX!$B$78:$P$92),I3774:W3774)</f>
        <v>0.281685455500731</v>
      </c>
      <c r="Z3774" s="0" t="n">
        <f aca="false">04_回帰ANOVA!$K$19*04_回帰ANOVA!$K$14*SQRT(1+Y3774)</f>
        <v>1.47566956658694</v>
      </c>
      <c r="AA3774" s="0" t="n">
        <f aca="false">X3774-Z3774</f>
        <v>43.7698119758107</v>
      </c>
      <c r="AB3774" s="0" t="n">
        <f aca="false">X3774+Z3774</f>
        <v>46.7211511089846</v>
      </c>
      <c r="AC3774" s="54" t="b">
        <f aca="false">AND(E3774&gt;=01_因子設定!$L$5-0.000000001,E3774&lt;=01_因子設定!$M$5+0.000000001,F3774&gt;=01_因子設定!$L$6-0.000000001,F3774&lt;=01_因子設定!$M$6+0.000000001,G3774&gt;=01_因子設定!$L$7-0.000000001,G3774&lt;=01_因子設定!$M$7+0.000000001,H3774&gt;=01_因子設定!$L$8-0.000000001,H3774&lt;=01_因子設定!$M$8+0.000000001,IF(01_因子設定!$B$20="Box-Behnken",E3774^2+F3774^2+G3774^2+H3774^2&lt;=2+0.000000001,TRUE()))</f>
        <v>1</v>
      </c>
      <c r="AD3774" s="55" t="n">
        <f aca="false">IF(AC3774,IF(01_因子設定!$B$13="最大化",AA3774-01_因子設定!$B$14,IF(01_因子設定!$B$13="最小化",01_因子設定!$B$15-AB3774,MIN(AA3774-01_因子設定!$B$14,01_因子設定!$B$15-AB3774))),-1E+030)</f>
        <v>-2.73018802418932</v>
      </c>
      <c r="AE3774" s="55" t="n">
        <f aca="false">IF(AC3774,IF(01_因子設定!$B$13="最大化",X3774,IF(01_因子設定!$B$13="最小化",-X3774,-ABS(X3774-01_因子設定!$B$16))),-1E+030)</f>
        <v>45.2454815423976</v>
      </c>
      <c r="AF3774" s="55" t="n">
        <f aca="false">AD3774+ROW()*0.000000001</f>
        <v>-2.73018425018932</v>
      </c>
      <c r="AG3774" s="55" t="n">
        <f aca="false">AE3774+ROW()*0.000000001</f>
        <v>45.2454853163976</v>
      </c>
    </row>
    <row r="3775" customFormat="false" ht="15" hidden="false" customHeight="false" outlineLevel="0" collapsed="false">
      <c r="A3775" s="0" t="n">
        <v>5</v>
      </c>
      <c r="B3775" s="0" t="n">
        <v>1</v>
      </c>
      <c r="C3775" s="0" t="n">
        <v>4</v>
      </c>
      <c r="D3775" s="0" t="n">
        <v>8</v>
      </c>
      <c r="E3775" s="0" t="n">
        <f aca="false">-1+A3775*0.25</f>
        <v>0.25</v>
      </c>
      <c r="F3775" s="0" t="n">
        <f aca="false">-1+B3775*0.25</f>
        <v>-0.75</v>
      </c>
      <c r="G3775" s="0" t="n">
        <f aca="false">-1+C3775*0.25</f>
        <v>0</v>
      </c>
      <c r="H3775" s="0" t="n">
        <f aca="false">-1+D3775*0.25</f>
        <v>1</v>
      </c>
      <c r="I3775" s="0" t="n">
        <f aca="false">1</f>
        <v>1</v>
      </c>
      <c r="J3775" s="0" t="n">
        <f aca="false">E3775</f>
        <v>0.25</v>
      </c>
      <c r="K3775" s="0" t="n">
        <f aca="false">F3775</f>
        <v>-0.75</v>
      </c>
      <c r="L3775" s="0" t="n">
        <f aca="false">G3775</f>
        <v>0</v>
      </c>
      <c r="M3775" s="0" t="n">
        <f aca="false">H3775</f>
        <v>1</v>
      </c>
      <c r="N3775" s="0" t="n">
        <f aca="false">E3775*F3775</f>
        <v>-0.1875</v>
      </c>
      <c r="O3775" s="0" t="n">
        <f aca="false">E3775*G3775</f>
        <v>0</v>
      </c>
      <c r="P3775" s="0" t="n">
        <f aca="false">E3775*H3775</f>
        <v>0.25</v>
      </c>
      <c r="Q3775" s="0" t="n">
        <f aca="false">F3775*G3775</f>
        <v>-0</v>
      </c>
      <c r="R3775" s="0" t="n">
        <f aca="false">F3775*H3775</f>
        <v>-0.75</v>
      </c>
      <c r="S3775" s="0" t="n">
        <f aca="false">G3775*H3775</f>
        <v>0</v>
      </c>
      <c r="T3775" s="0" t="n">
        <f aca="false">E3775*E3775</f>
        <v>0.0625</v>
      </c>
      <c r="U3775" s="0" t="n">
        <f aca="false">F3775*F3775</f>
        <v>0.5625</v>
      </c>
      <c r="V3775" s="0" t="n">
        <f aca="false">G3775*G3775</f>
        <v>0</v>
      </c>
      <c r="W3775" s="0" t="n">
        <f aca="false">H3775*H3775</f>
        <v>1</v>
      </c>
      <c r="X3775" s="0" t="n">
        <f aca="false">SUMPRODUCT(I3775:W3775,_XtX!$B$96:$P$96)</f>
        <v>45.227202119883</v>
      </c>
      <c r="Y3775" s="0" t="n">
        <f aca="false">SUMPRODUCT(MMULT(I3775:W3775,_XtX!$B$78:$P$92),I3775:W3775)</f>
        <v>0.501534802174708</v>
      </c>
      <c r="Z3775" s="0" t="n">
        <f aca="false">04_回帰ANOVA!$K$19*04_回帰ANOVA!$K$14*SQRT(1+Y3775)</f>
        <v>1.59722498091333</v>
      </c>
      <c r="AA3775" s="0" t="n">
        <f aca="false">X3775-Z3775</f>
        <v>43.6299771389697</v>
      </c>
      <c r="AB3775" s="0" t="n">
        <f aca="false">X3775+Z3775</f>
        <v>46.8244271007964</v>
      </c>
      <c r="AC3775" s="54" t="b">
        <f aca="false">AND(E3775&gt;=01_因子設定!$L$5-0.000000001,E3775&lt;=01_因子設定!$M$5+0.000000001,F3775&gt;=01_因子設定!$L$6-0.000000001,F3775&lt;=01_因子設定!$M$6+0.000000001,G3775&gt;=01_因子設定!$L$7-0.000000001,G3775&lt;=01_因子設定!$M$7+0.000000001,H3775&gt;=01_因子設定!$L$8-0.000000001,H3775&lt;=01_因子設定!$M$8+0.000000001,IF(01_因子設定!$B$20="Box-Behnken",E3775^2+F3775^2+G3775^2+H3775^2&lt;=2+0.000000001,TRUE()))</f>
        <v>1</v>
      </c>
      <c r="AD3775" s="55" t="n">
        <f aca="false">IF(AC3775,IF(01_因子設定!$B$13="最大化",AA3775-01_因子設定!$B$14,IF(01_因子設定!$B$13="最小化",01_因子設定!$B$15-AB3775,MIN(AA3775-01_因子設定!$B$14,01_因子設定!$B$15-AB3775))),-1E+030)</f>
        <v>-2.87002286103031</v>
      </c>
      <c r="AE3775" s="55" t="n">
        <f aca="false">IF(AC3775,IF(01_因子設定!$B$13="最大化",X3775,IF(01_因子設定!$B$13="最小化",-X3775,-ABS(X3775-01_因子設定!$B$16))),-1E+030)</f>
        <v>45.227202119883</v>
      </c>
      <c r="AF3775" s="55" t="n">
        <f aca="false">AD3775+ROW()*0.000000001</f>
        <v>-2.87001908603031</v>
      </c>
      <c r="AG3775" s="55" t="n">
        <f aca="false">AE3775+ROW()*0.000000001</f>
        <v>45.227205894883</v>
      </c>
    </row>
    <row r="3776" customFormat="false" ht="15" hidden="false" customHeight="false" outlineLevel="0" collapsed="false">
      <c r="A3776" s="0" t="n">
        <v>5</v>
      </c>
      <c r="B3776" s="0" t="n">
        <v>1</v>
      </c>
      <c r="C3776" s="0" t="n">
        <v>5</v>
      </c>
      <c r="D3776" s="0" t="n">
        <v>0</v>
      </c>
      <c r="E3776" s="0" t="n">
        <f aca="false">-1+A3776*0.25</f>
        <v>0.25</v>
      </c>
      <c r="F3776" s="0" t="n">
        <f aca="false">-1+B3776*0.25</f>
        <v>-0.75</v>
      </c>
      <c r="G3776" s="0" t="n">
        <f aca="false">-1+C3776*0.25</f>
        <v>0.25</v>
      </c>
      <c r="H3776" s="0" t="n">
        <f aca="false">-1+D3776*0.25</f>
        <v>-1</v>
      </c>
      <c r="I3776" s="0" t="n">
        <f aca="false">1</f>
        <v>1</v>
      </c>
      <c r="J3776" s="0" t="n">
        <f aca="false">E3776</f>
        <v>0.25</v>
      </c>
      <c r="K3776" s="0" t="n">
        <f aca="false">F3776</f>
        <v>-0.75</v>
      </c>
      <c r="L3776" s="0" t="n">
        <f aca="false">G3776</f>
        <v>0.25</v>
      </c>
      <c r="M3776" s="0" t="n">
        <f aca="false">H3776</f>
        <v>-1</v>
      </c>
      <c r="N3776" s="0" t="n">
        <f aca="false">E3776*F3776</f>
        <v>-0.1875</v>
      </c>
      <c r="O3776" s="0" t="n">
        <f aca="false">E3776*G3776</f>
        <v>0.0625</v>
      </c>
      <c r="P3776" s="0" t="n">
        <f aca="false">E3776*H3776</f>
        <v>-0.25</v>
      </c>
      <c r="Q3776" s="0" t="n">
        <f aca="false">F3776*G3776</f>
        <v>-0.1875</v>
      </c>
      <c r="R3776" s="0" t="n">
        <f aca="false">F3776*H3776</f>
        <v>0.75</v>
      </c>
      <c r="S3776" s="0" t="n">
        <f aca="false">G3776*H3776</f>
        <v>-0.25</v>
      </c>
      <c r="T3776" s="0" t="n">
        <f aca="false">E3776*E3776</f>
        <v>0.0625</v>
      </c>
      <c r="U3776" s="0" t="n">
        <f aca="false">F3776*F3776</f>
        <v>0.5625</v>
      </c>
      <c r="V3776" s="0" t="n">
        <f aca="false">G3776*G3776</f>
        <v>0.0625</v>
      </c>
      <c r="W3776" s="0" t="n">
        <f aca="false">H3776*H3776</f>
        <v>1</v>
      </c>
      <c r="X3776" s="0" t="n">
        <f aca="false">SUMPRODUCT(I3776:W3776,_XtX!$B$96:$P$96)</f>
        <v>44.0669270833333</v>
      </c>
      <c r="Y3776" s="0" t="n">
        <f aca="false">SUMPRODUCT(MMULT(I3776:W3776,_XtX!$B$78:$P$92),I3776:W3776)</f>
        <v>0.486409505208333</v>
      </c>
      <c r="Z3776" s="0" t="n">
        <f aca="false">04_回帰ANOVA!$K$19*04_回帰ANOVA!$K$14*SQRT(1+Y3776)</f>
        <v>1.58916001665498</v>
      </c>
      <c r="AA3776" s="0" t="n">
        <f aca="false">X3776-Z3776</f>
        <v>42.4777670666783</v>
      </c>
      <c r="AB3776" s="0" t="n">
        <f aca="false">X3776+Z3776</f>
        <v>45.6560870999883</v>
      </c>
      <c r="AC3776" s="54" t="b">
        <f aca="false">AND(E3776&gt;=01_因子設定!$L$5-0.000000001,E3776&lt;=01_因子設定!$M$5+0.000000001,F3776&gt;=01_因子設定!$L$6-0.000000001,F3776&lt;=01_因子設定!$M$6+0.000000001,G3776&gt;=01_因子設定!$L$7-0.000000001,G3776&lt;=01_因子設定!$M$7+0.000000001,H3776&gt;=01_因子設定!$L$8-0.000000001,H3776&lt;=01_因子設定!$M$8+0.000000001,IF(01_因子設定!$B$20="Box-Behnken",E3776^2+F3776^2+G3776^2+H3776^2&lt;=2+0.000000001,TRUE()))</f>
        <v>1</v>
      </c>
      <c r="AD3776" s="55" t="n">
        <f aca="false">IF(AC3776,IF(01_因子設定!$B$13="最大化",AA3776-01_因子設定!$B$14,IF(01_因子設定!$B$13="最小化",01_因子設定!$B$15-AB3776,MIN(AA3776-01_因子設定!$B$14,01_因子設定!$B$15-AB3776))),-1E+030)</f>
        <v>-4.02223293332167</v>
      </c>
      <c r="AE3776" s="55" t="n">
        <f aca="false">IF(AC3776,IF(01_因子設定!$B$13="最大化",X3776,IF(01_因子設定!$B$13="最小化",-X3776,-ABS(X3776-01_因子設定!$B$16))),-1E+030)</f>
        <v>44.0669270833333</v>
      </c>
      <c r="AF3776" s="55" t="n">
        <f aca="false">AD3776+ROW()*0.000000001</f>
        <v>-4.02222915732167</v>
      </c>
      <c r="AG3776" s="55" t="n">
        <f aca="false">AE3776+ROW()*0.000000001</f>
        <v>44.0669308593333</v>
      </c>
    </row>
    <row r="3777" customFormat="false" ht="15" hidden="false" customHeight="false" outlineLevel="0" collapsed="false">
      <c r="A3777" s="0" t="n">
        <v>5</v>
      </c>
      <c r="B3777" s="0" t="n">
        <v>1</v>
      </c>
      <c r="C3777" s="0" t="n">
        <v>5</v>
      </c>
      <c r="D3777" s="0" t="n">
        <v>1</v>
      </c>
      <c r="E3777" s="0" t="n">
        <f aca="false">-1+A3777*0.25</f>
        <v>0.25</v>
      </c>
      <c r="F3777" s="0" t="n">
        <f aca="false">-1+B3777*0.25</f>
        <v>-0.75</v>
      </c>
      <c r="G3777" s="0" t="n">
        <f aca="false">-1+C3777*0.25</f>
        <v>0.25</v>
      </c>
      <c r="H3777" s="0" t="n">
        <f aca="false">-1+D3777*0.25</f>
        <v>-0.75</v>
      </c>
      <c r="I3777" s="0" t="n">
        <f aca="false">1</f>
        <v>1</v>
      </c>
      <c r="J3777" s="0" t="n">
        <f aca="false">E3777</f>
        <v>0.25</v>
      </c>
      <c r="K3777" s="0" t="n">
        <f aca="false">F3777</f>
        <v>-0.75</v>
      </c>
      <c r="L3777" s="0" t="n">
        <f aca="false">G3777</f>
        <v>0.25</v>
      </c>
      <c r="M3777" s="0" t="n">
        <f aca="false">H3777</f>
        <v>-0.75</v>
      </c>
      <c r="N3777" s="0" t="n">
        <f aca="false">E3777*F3777</f>
        <v>-0.1875</v>
      </c>
      <c r="O3777" s="0" t="n">
        <f aca="false">E3777*G3777</f>
        <v>0.0625</v>
      </c>
      <c r="P3777" s="0" t="n">
        <f aca="false">E3777*H3777</f>
        <v>-0.1875</v>
      </c>
      <c r="Q3777" s="0" t="n">
        <f aca="false">F3777*G3777</f>
        <v>-0.1875</v>
      </c>
      <c r="R3777" s="0" t="n">
        <f aca="false">F3777*H3777</f>
        <v>0.5625</v>
      </c>
      <c r="S3777" s="0" t="n">
        <f aca="false">G3777*H3777</f>
        <v>-0.1875</v>
      </c>
      <c r="T3777" s="0" t="n">
        <f aca="false">E3777*E3777</f>
        <v>0.0625</v>
      </c>
      <c r="U3777" s="0" t="n">
        <f aca="false">F3777*F3777</f>
        <v>0.5625</v>
      </c>
      <c r="V3777" s="0" t="n">
        <f aca="false">G3777*G3777</f>
        <v>0.0625</v>
      </c>
      <c r="W3777" s="0" t="n">
        <f aca="false">H3777*H3777</f>
        <v>0.5625</v>
      </c>
      <c r="X3777" s="0" t="n">
        <f aca="false">SUMPRODUCT(I3777:W3777,_XtX!$B$96:$P$96)</f>
        <v>44.4012655336257</v>
      </c>
      <c r="Y3777" s="0" t="n">
        <f aca="false">SUMPRODUCT(MMULT(I3777:W3777,_XtX!$B$78:$P$92),I3777:W3777)</f>
        <v>0.271087468019006</v>
      </c>
      <c r="Z3777" s="0" t="n">
        <f aca="false">04_回帰ANOVA!$K$19*04_回帰ANOVA!$K$14*SQRT(1+Y3777)</f>
        <v>1.46955590155034</v>
      </c>
      <c r="AA3777" s="0" t="n">
        <f aca="false">X3777-Z3777</f>
        <v>42.9317096320753</v>
      </c>
      <c r="AB3777" s="0" t="n">
        <f aca="false">X3777+Z3777</f>
        <v>45.870821435176</v>
      </c>
      <c r="AC3777" s="54" t="b">
        <f aca="false">AND(E3777&gt;=01_因子設定!$L$5-0.000000001,E3777&lt;=01_因子設定!$M$5+0.000000001,F3777&gt;=01_因子設定!$L$6-0.000000001,F3777&lt;=01_因子設定!$M$6+0.000000001,G3777&gt;=01_因子設定!$L$7-0.000000001,G3777&lt;=01_因子設定!$M$7+0.000000001,H3777&gt;=01_因子設定!$L$8-0.000000001,H3777&lt;=01_因子設定!$M$8+0.000000001,IF(01_因子設定!$B$20="Box-Behnken",E3777^2+F3777^2+G3777^2+H3777^2&lt;=2+0.000000001,TRUE()))</f>
        <v>1</v>
      </c>
      <c r="AD3777" s="55" t="n">
        <f aca="false">IF(AC3777,IF(01_因子設定!$B$13="最大化",AA3777-01_因子設定!$B$14,IF(01_因子設定!$B$13="最小化",01_因子設定!$B$15-AB3777,MIN(AA3777-01_因子設定!$B$14,01_因子設定!$B$15-AB3777))),-1E+030)</f>
        <v>-3.56829036792465</v>
      </c>
      <c r="AE3777" s="55" t="n">
        <f aca="false">IF(AC3777,IF(01_因子設定!$B$13="最大化",X3777,IF(01_因子設定!$B$13="最小化",-X3777,-ABS(X3777-01_因子設定!$B$16))),-1E+030)</f>
        <v>44.4012655336257</v>
      </c>
      <c r="AF3777" s="55" t="n">
        <f aca="false">AD3777+ROW()*0.000000001</f>
        <v>-3.56828659092465</v>
      </c>
      <c r="AG3777" s="55" t="n">
        <f aca="false">AE3777+ROW()*0.000000001</f>
        <v>44.4012693106257</v>
      </c>
    </row>
    <row r="3778" customFormat="false" ht="15" hidden="false" customHeight="false" outlineLevel="0" collapsed="false">
      <c r="A3778" s="0" t="n">
        <v>5</v>
      </c>
      <c r="B3778" s="0" t="n">
        <v>1</v>
      </c>
      <c r="C3778" s="0" t="n">
        <v>5</v>
      </c>
      <c r="D3778" s="0" t="n">
        <v>2</v>
      </c>
      <c r="E3778" s="0" t="n">
        <f aca="false">-1+A3778*0.25</f>
        <v>0.25</v>
      </c>
      <c r="F3778" s="0" t="n">
        <f aca="false">-1+B3778*0.25</f>
        <v>-0.75</v>
      </c>
      <c r="G3778" s="0" t="n">
        <f aca="false">-1+C3778*0.25</f>
        <v>0.25</v>
      </c>
      <c r="H3778" s="0" t="n">
        <f aca="false">-1+D3778*0.25</f>
        <v>-0.5</v>
      </c>
      <c r="I3778" s="0" t="n">
        <f aca="false">1</f>
        <v>1</v>
      </c>
      <c r="J3778" s="0" t="n">
        <f aca="false">E3778</f>
        <v>0.25</v>
      </c>
      <c r="K3778" s="0" t="n">
        <f aca="false">F3778</f>
        <v>-0.75</v>
      </c>
      <c r="L3778" s="0" t="n">
        <f aca="false">G3778</f>
        <v>0.25</v>
      </c>
      <c r="M3778" s="0" t="n">
        <f aca="false">H3778</f>
        <v>-0.5</v>
      </c>
      <c r="N3778" s="0" t="n">
        <f aca="false">E3778*F3778</f>
        <v>-0.1875</v>
      </c>
      <c r="O3778" s="0" t="n">
        <f aca="false">E3778*G3778</f>
        <v>0.0625</v>
      </c>
      <c r="P3778" s="0" t="n">
        <f aca="false">E3778*H3778</f>
        <v>-0.125</v>
      </c>
      <c r="Q3778" s="0" t="n">
        <f aca="false">F3778*G3778</f>
        <v>-0.1875</v>
      </c>
      <c r="R3778" s="0" t="n">
        <f aca="false">F3778*H3778</f>
        <v>0.375</v>
      </c>
      <c r="S3778" s="0" t="n">
        <f aca="false">G3778*H3778</f>
        <v>-0.125</v>
      </c>
      <c r="T3778" s="0" t="n">
        <f aca="false">E3778*E3778</f>
        <v>0.0625</v>
      </c>
      <c r="U3778" s="0" t="n">
        <f aca="false">F3778*F3778</f>
        <v>0.5625</v>
      </c>
      <c r="V3778" s="0" t="n">
        <f aca="false">G3778*G3778</f>
        <v>0.0625</v>
      </c>
      <c r="W3778" s="0" t="n">
        <f aca="false">H3778*H3778</f>
        <v>0.25</v>
      </c>
      <c r="X3778" s="0" t="n">
        <f aca="false">SUMPRODUCT(I3778:W3778,_XtX!$B$96:$P$96)</f>
        <v>44.6877969663742</v>
      </c>
      <c r="Y3778" s="0" t="n">
        <f aca="false">SUMPRODUCT(MMULT(I3778:W3778,_XtX!$B$78:$P$92),I3778:W3778)</f>
        <v>0.207746539199561</v>
      </c>
      <c r="Z3778" s="0" t="n">
        <f aca="false">04_回帰ANOVA!$K$19*04_回帰ANOVA!$K$14*SQRT(1+Y3778)</f>
        <v>1.43247250081141</v>
      </c>
      <c r="AA3778" s="0" t="n">
        <f aca="false">X3778-Z3778</f>
        <v>43.2553244655628</v>
      </c>
      <c r="AB3778" s="0" t="n">
        <f aca="false">X3778+Z3778</f>
        <v>46.1202694671856</v>
      </c>
      <c r="AC3778" s="54" t="b">
        <f aca="false">AND(E3778&gt;=01_因子設定!$L$5-0.000000001,E3778&lt;=01_因子設定!$M$5+0.000000001,F3778&gt;=01_因子設定!$L$6-0.000000001,F3778&lt;=01_因子設定!$M$6+0.000000001,G3778&gt;=01_因子設定!$L$7-0.000000001,G3778&lt;=01_因子設定!$M$7+0.000000001,H3778&gt;=01_因子設定!$L$8-0.000000001,H3778&lt;=01_因子設定!$M$8+0.000000001,IF(01_因子設定!$B$20="Box-Behnken",E3778^2+F3778^2+G3778^2+H3778^2&lt;=2+0.000000001,TRUE()))</f>
        <v>1</v>
      </c>
      <c r="AD3778" s="55" t="n">
        <f aca="false">IF(AC3778,IF(01_因子設定!$B$13="最大化",AA3778-01_因子設定!$B$14,IF(01_因子設定!$B$13="最小化",01_因子設定!$B$15-AB3778,MIN(AA3778-01_因子設定!$B$14,01_因子設定!$B$15-AB3778))),-1E+030)</f>
        <v>-3.24467553443719</v>
      </c>
      <c r="AE3778" s="55" t="n">
        <f aca="false">IF(AC3778,IF(01_因子設定!$B$13="最大化",X3778,IF(01_因子設定!$B$13="最小化",-X3778,-ABS(X3778-01_因子設定!$B$16))),-1E+030)</f>
        <v>44.6877969663742</v>
      </c>
      <c r="AF3778" s="55" t="n">
        <f aca="false">AD3778+ROW()*0.000000001</f>
        <v>-3.24467175643719</v>
      </c>
      <c r="AG3778" s="55" t="n">
        <f aca="false">AE3778+ROW()*0.000000001</f>
        <v>44.6878007443742</v>
      </c>
    </row>
    <row r="3779" customFormat="false" ht="15" hidden="false" customHeight="false" outlineLevel="0" collapsed="false">
      <c r="A3779" s="0" t="n">
        <v>5</v>
      </c>
      <c r="B3779" s="0" t="n">
        <v>1</v>
      </c>
      <c r="C3779" s="0" t="n">
        <v>5</v>
      </c>
      <c r="D3779" s="0" t="n">
        <v>3</v>
      </c>
      <c r="E3779" s="0" t="n">
        <f aca="false">-1+A3779*0.25</f>
        <v>0.25</v>
      </c>
      <c r="F3779" s="0" t="n">
        <f aca="false">-1+B3779*0.25</f>
        <v>-0.75</v>
      </c>
      <c r="G3779" s="0" t="n">
        <f aca="false">-1+C3779*0.25</f>
        <v>0.25</v>
      </c>
      <c r="H3779" s="0" t="n">
        <f aca="false">-1+D3779*0.25</f>
        <v>-0.25</v>
      </c>
      <c r="I3779" s="0" t="n">
        <f aca="false">1</f>
        <v>1</v>
      </c>
      <c r="J3779" s="0" t="n">
        <f aca="false">E3779</f>
        <v>0.25</v>
      </c>
      <c r="K3779" s="0" t="n">
        <f aca="false">F3779</f>
        <v>-0.75</v>
      </c>
      <c r="L3779" s="0" t="n">
        <f aca="false">G3779</f>
        <v>0.25</v>
      </c>
      <c r="M3779" s="0" t="n">
        <f aca="false">H3779</f>
        <v>-0.25</v>
      </c>
      <c r="N3779" s="0" t="n">
        <f aca="false">E3779*F3779</f>
        <v>-0.1875</v>
      </c>
      <c r="O3779" s="0" t="n">
        <f aca="false">E3779*G3779</f>
        <v>0.0625</v>
      </c>
      <c r="P3779" s="0" t="n">
        <f aca="false">E3779*H3779</f>
        <v>-0.0625</v>
      </c>
      <c r="Q3779" s="0" t="n">
        <f aca="false">F3779*G3779</f>
        <v>-0.1875</v>
      </c>
      <c r="R3779" s="0" t="n">
        <f aca="false">F3779*H3779</f>
        <v>0.1875</v>
      </c>
      <c r="S3779" s="0" t="n">
        <f aca="false">G3779*H3779</f>
        <v>-0.0625</v>
      </c>
      <c r="T3779" s="0" t="n">
        <f aca="false">E3779*E3779</f>
        <v>0.0625</v>
      </c>
      <c r="U3779" s="0" t="n">
        <f aca="false">F3779*F3779</f>
        <v>0.5625</v>
      </c>
      <c r="V3779" s="0" t="n">
        <f aca="false">G3779*G3779</f>
        <v>0.0625</v>
      </c>
      <c r="W3779" s="0" t="n">
        <f aca="false">H3779*H3779</f>
        <v>0.0625</v>
      </c>
      <c r="X3779" s="0" t="n">
        <f aca="false">SUMPRODUCT(I3779:W3779,_XtX!$B$96:$P$96)</f>
        <v>44.9265213815789</v>
      </c>
      <c r="Y3779" s="0" t="n">
        <f aca="false">SUMPRODUCT(MMULT(I3779:W3779,_XtX!$B$78:$P$92),I3779:W3779)</f>
        <v>0.205926192434211</v>
      </c>
      <c r="Z3779" s="0" t="n">
        <f aca="false">04_回帰ANOVA!$K$19*04_回帰ANOVA!$K$14*SQRT(1+Y3779)</f>
        <v>1.43139256396246</v>
      </c>
      <c r="AA3779" s="0" t="n">
        <f aca="false">X3779-Z3779</f>
        <v>43.4951288176164</v>
      </c>
      <c r="AB3779" s="0" t="n">
        <f aca="false">X3779+Z3779</f>
        <v>46.3579139455414</v>
      </c>
      <c r="AC3779" s="54" t="b">
        <f aca="false">AND(E3779&gt;=01_因子設定!$L$5-0.000000001,E3779&lt;=01_因子設定!$M$5+0.000000001,F3779&gt;=01_因子設定!$L$6-0.000000001,F3779&lt;=01_因子設定!$M$6+0.000000001,G3779&gt;=01_因子設定!$L$7-0.000000001,G3779&lt;=01_因子設定!$M$7+0.000000001,H3779&gt;=01_因子設定!$L$8-0.000000001,H3779&lt;=01_因子設定!$M$8+0.000000001,IF(01_因子設定!$B$20="Box-Behnken",E3779^2+F3779^2+G3779^2+H3779^2&lt;=2+0.000000001,TRUE()))</f>
        <v>1</v>
      </c>
      <c r="AD3779" s="55" t="n">
        <f aca="false">IF(AC3779,IF(01_因子設定!$B$13="最大化",AA3779-01_因子設定!$B$14,IF(01_因子設定!$B$13="最小化",01_因子設定!$B$15-AB3779,MIN(AA3779-01_因子設定!$B$14,01_因子設定!$B$15-AB3779))),-1E+030)</f>
        <v>-3.00487118238357</v>
      </c>
      <c r="AE3779" s="55" t="n">
        <f aca="false">IF(AC3779,IF(01_因子設定!$B$13="最大化",X3779,IF(01_因子設定!$B$13="最小化",-X3779,-ABS(X3779-01_因子設定!$B$16))),-1E+030)</f>
        <v>44.9265213815789</v>
      </c>
      <c r="AF3779" s="55" t="n">
        <f aca="false">AD3779+ROW()*0.000000001</f>
        <v>-3.00486740338357</v>
      </c>
      <c r="AG3779" s="55" t="n">
        <f aca="false">AE3779+ROW()*0.000000001</f>
        <v>44.9265251605789</v>
      </c>
    </row>
    <row r="3780" customFormat="false" ht="15" hidden="false" customHeight="false" outlineLevel="0" collapsed="false">
      <c r="A3780" s="0" t="n">
        <v>5</v>
      </c>
      <c r="B3780" s="0" t="n">
        <v>1</v>
      </c>
      <c r="C3780" s="0" t="n">
        <v>5</v>
      </c>
      <c r="D3780" s="0" t="n">
        <v>4</v>
      </c>
      <c r="E3780" s="0" t="n">
        <f aca="false">-1+A3780*0.25</f>
        <v>0.25</v>
      </c>
      <c r="F3780" s="0" t="n">
        <f aca="false">-1+B3780*0.25</f>
        <v>-0.75</v>
      </c>
      <c r="G3780" s="0" t="n">
        <f aca="false">-1+C3780*0.25</f>
        <v>0.25</v>
      </c>
      <c r="H3780" s="0" t="n">
        <f aca="false">-1+D3780*0.25</f>
        <v>0</v>
      </c>
      <c r="I3780" s="0" t="n">
        <f aca="false">1</f>
        <v>1</v>
      </c>
      <c r="J3780" s="0" t="n">
        <f aca="false">E3780</f>
        <v>0.25</v>
      </c>
      <c r="K3780" s="0" t="n">
        <f aca="false">F3780</f>
        <v>-0.75</v>
      </c>
      <c r="L3780" s="0" t="n">
        <f aca="false">G3780</f>
        <v>0.25</v>
      </c>
      <c r="M3780" s="0" t="n">
        <f aca="false">H3780</f>
        <v>0</v>
      </c>
      <c r="N3780" s="0" t="n">
        <f aca="false">E3780*F3780</f>
        <v>-0.1875</v>
      </c>
      <c r="O3780" s="0" t="n">
        <f aca="false">E3780*G3780</f>
        <v>0.0625</v>
      </c>
      <c r="P3780" s="0" t="n">
        <f aca="false">E3780*H3780</f>
        <v>0</v>
      </c>
      <c r="Q3780" s="0" t="n">
        <f aca="false">F3780*G3780</f>
        <v>-0.1875</v>
      </c>
      <c r="R3780" s="0" t="n">
        <f aca="false">F3780*H3780</f>
        <v>-0</v>
      </c>
      <c r="S3780" s="0" t="n">
        <f aca="false">G3780*H3780</f>
        <v>0</v>
      </c>
      <c r="T3780" s="0" t="n">
        <f aca="false">E3780*E3780</f>
        <v>0.0625</v>
      </c>
      <c r="U3780" s="0" t="n">
        <f aca="false">F3780*F3780</f>
        <v>0.5625</v>
      </c>
      <c r="V3780" s="0" t="n">
        <f aca="false">G3780*G3780</f>
        <v>0.0625</v>
      </c>
      <c r="W3780" s="0" t="n">
        <f aca="false">H3780*H3780</f>
        <v>0</v>
      </c>
      <c r="X3780" s="0" t="n">
        <f aca="false">SUMPRODUCT(I3780:W3780,_XtX!$B$96:$P$96)</f>
        <v>45.1174387792397</v>
      </c>
      <c r="Y3780" s="0" t="n">
        <f aca="false">SUMPRODUCT(MMULT(I3780:W3780,_XtX!$B$78:$P$92),I3780:W3780)</f>
        <v>0.21135011193348</v>
      </c>
      <c r="Z3780" s="0" t="n">
        <f aca="false">04_回帰ANOVA!$K$19*04_回帰ANOVA!$K$14*SQRT(1+Y3780)</f>
        <v>1.43460795469709</v>
      </c>
      <c r="AA3780" s="0" t="n">
        <f aca="false">X3780-Z3780</f>
        <v>43.6828308245426</v>
      </c>
      <c r="AB3780" s="0" t="n">
        <f aca="false">X3780+Z3780</f>
        <v>46.5520467339368</v>
      </c>
      <c r="AC3780" s="54" t="b">
        <f aca="false">AND(E3780&gt;=01_因子設定!$L$5-0.000000001,E3780&lt;=01_因子設定!$M$5+0.000000001,F3780&gt;=01_因子設定!$L$6-0.000000001,F3780&lt;=01_因子設定!$M$6+0.000000001,G3780&gt;=01_因子設定!$L$7-0.000000001,G3780&lt;=01_因子設定!$M$7+0.000000001,H3780&gt;=01_因子設定!$L$8-0.000000001,H3780&lt;=01_因子設定!$M$8+0.000000001,IF(01_因子設定!$B$20="Box-Behnken",E3780^2+F3780^2+G3780^2+H3780^2&lt;=2+0.000000001,TRUE()))</f>
        <v>1</v>
      </c>
      <c r="AD3780" s="55" t="n">
        <f aca="false">IF(AC3780,IF(01_因子設定!$B$13="最大化",AA3780-01_因子設定!$B$14,IF(01_因子設定!$B$13="最小化",01_因子設定!$B$15-AB3780,MIN(AA3780-01_因子設定!$B$14,01_因子設定!$B$15-AB3780))),-1E+030)</f>
        <v>-2.81716917545738</v>
      </c>
      <c r="AE3780" s="55" t="n">
        <f aca="false">IF(AC3780,IF(01_因子設定!$B$13="最大化",X3780,IF(01_因子設定!$B$13="最小化",-X3780,-ABS(X3780-01_因子設定!$B$16))),-1E+030)</f>
        <v>45.1174387792397</v>
      </c>
      <c r="AF3780" s="55" t="n">
        <f aca="false">AD3780+ROW()*0.000000001</f>
        <v>-2.81716539545738</v>
      </c>
      <c r="AG3780" s="55" t="n">
        <f aca="false">AE3780+ROW()*0.000000001</f>
        <v>45.1174425592397</v>
      </c>
    </row>
    <row r="3781" customFormat="false" ht="15" hidden="false" customHeight="false" outlineLevel="0" collapsed="false">
      <c r="A3781" s="0" t="n">
        <v>5</v>
      </c>
      <c r="B3781" s="0" t="n">
        <v>1</v>
      </c>
      <c r="C3781" s="0" t="n">
        <v>5</v>
      </c>
      <c r="D3781" s="0" t="n">
        <v>5</v>
      </c>
      <c r="E3781" s="0" t="n">
        <f aca="false">-1+A3781*0.25</f>
        <v>0.25</v>
      </c>
      <c r="F3781" s="0" t="n">
        <f aca="false">-1+B3781*0.25</f>
        <v>-0.75</v>
      </c>
      <c r="G3781" s="0" t="n">
        <f aca="false">-1+C3781*0.25</f>
        <v>0.25</v>
      </c>
      <c r="H3781" s="0" t="n">
        <f aca="false">-1+D3781*0.25</f>
        <v>0.25</v>
      </c>
      <c r="I3781" s="0" t="n">
        <f aca="false">1</f>
        <v>1</v>
      </c>
      <c r="J3781" s="0" t="n">
        <f aca="false">E3781</f>
        <v>0.25</v>
      </c>
      <c r="K3781" s="0" t="n">
        <f aca="false">F3781</f>
        <v>-0.75</v>
      </c>
      <c r="L3781" s="0" t="n">
        <f aca="false">G3781</f>
        <v>0.25</v>
      </c>
      <c r="M3781" s="0" t="n">
        <f aca="false">H3781</f>
        <v>0.25</v>
      </c>
      <c r="N3781" s="0" t="n">
        <f aca="false">E3781*F3781</f>
        <v>-0.1875</v>
      </c>
      <c r="O3781" s="0" t="n">
        <f aca="false">E3781*G3781</f>
        <v>0.0625</v>
      </c>
      <c r="P3781" s="0" t="n">
        <f aca="false">E3781*H3781</f>
        <v>0.0625</v>
      </c>
      <c r="Q3781" s="0" t="n">
        <f aca="false">F3781*G3781</f>
        <v>-0.1875</v>
      </c>
      <c r="R3781" s="0" t="n">
        <f aca="false">F3781*H3781</f>
        <v>-0.1875</v>
      </c>
      <c r="S3781" s="0" t="n">
        <f aca="false">G3781*H3781</f>
        <v>0.0625</v>
      </c>
      <c r="T3781" s="0" t="n">
        <f aca="false">E3781*E3781</f>
        <v>0.0625</v>
      </c>
      <c r="U3781" s="0" t="n">
        <f aca="false">F3781*F3781</f>
        <v>0.5625</v>
      </c>
      <c r="V3781" s="0" t="n">
        <f aca="false">G3781*G3781</f>
        <v>0.0625</v>
      </c>
      <c r="W3781" s="0" t="n">
        <f aca="false">H3781*H3781</f>
        <v>0.0625</v>
      </c>
      <c r="X3781" s="0" t="n">
        <f aca="false">SUMPRODUCT(I3781:W3781,_XtX!$B$96:$P$96)</f>
        <v>45.2605491593567</v>
      </c>
      <c r="Y3781" s="0" t="n">
        <f aca="false">SUMPRODUCT(MMULT(I3781:W3781,_XtX!$B$78:$P$92),I3781:W3781)</f>
        <v>0.205926192434211</v>
      </c>
      <c r="Z3781" s="0" t="n">
        <f aca="false">04_回帰ANOVA!$K$19*04_回帰ANOVA!$K$14*SQRT(1+Y3781)</f>
        <v>1.43139256396246</v>
      </c>
      <c r="AA3781" s="0" t="n">
        <f aca="false">X3781-Z3781</f>
        <v>43.8291565953942</v>
      </c>
      <c r="AB3781" s="0" t="n">
        <f aca="false">X3781+Z3781</f>
        <v>46.6919417233191</v>
      </c>
      <c r="AC3781" s="54" t="b">
        <f aca="false">AND(E3781&gt;=01_因子設定!$L$5-0.000000001,E3781&lt;=01_因子設定!$M$5+0.000000001,F3781&gt;=01_因子設定!$L$6-0.000000001,F3781&lt;=01_因子設定!$M$6+0.000000001,G3781&gt;=01_因子設定!$L$7-0.000000001,G3781&lt;=01_因子設定!$M$7+0.000000001,H3781&gt;=01_因子設定!$L$8-0.000000001,H3781&lt;=01_因子設定!$M$8+0.000000001,IF(01_因子設定!$B$20="Box-Behnken",E3781^2+F3781^2+G3781^2+H3781^2&lt;=2+0.000000001,TRUE()))</f>
        <v>1</v>
      </c>
      <c r="AD3781" s="55" t="n">
        <f aca="false">IF(AC3781,IF(01_因子設定!$B$13="最大化",AA3781-01_因子設定!$B$14,IF(01_因子設定!$B$13="最小化",01_因子設定!$B$15-AB3781,MIN(AA3781-01_因子設定!$B$14,01_因子設定!$B$15-AB3781))),-1E+030)</f>
        <v>-2.6708434046058</v>
      </c>
      <c r="AE3781" s="55" t="n">
        <f aca="false">IF(AC3781,IF(01_因子設定!$B$13="最大化",X3781,IF(01_因子設定!$B$13="最小化",-X3781,-ABS(X3781-01_因子設定!$B$16))),-1E+030)</f>
        <v>45.2605491593567</v>
      </c>
      <c r="AF3781" s="55" t="n">
        <f aca="false">AD3781+ROW()*0.000000001</f>
        <v>-2.6708396236058</v>
      </c>
      <c r="AG3781" s="55" t="n">
        <f aca="false">AE3781+ROW()*0.000000001</f>
        <v>45.2605529403567</v>
      </c>
    </row>
    <row r="3782" customFormat="false" ht="15" hidden="false" customHeight="false" outlineLevel="0" collapsed="false">
      <c r="A3782" s="0" t="n">
        <v>5</v>
      </c>
      <c r="B3782" s="0" t="n">
        <v>1</v>
      </c>
      <c r="C3782" s="0" t="n">
        <v>5</v>
      </c>
      <c r="D3782" s="0" t="n">
        <v>6</v>
      </c>
      <c r="E3782" s="0" t="n">
        <f aca="false">-1+A3782*0.25</f>
        <v>0.25</v>
      </c>
      <c r="F3782" s="0" t="n">
        <f aca="false">-1+B3782*0.25</f>
        <v>-0.75</v>
      </c>
      <c r="G3782" s="0" t="n">
        <f aca="false">-1+C3782*0.25</f>
        <v>0.25</v>
      </c>
      <c r="H3782" s="0" t="n">
        <f aca="false">-1+D3782*0.25</f>
        <v>0.5</v>
      </c>
      <c r="I3782" s="0" t="n">
        <f aca="false">1</f>
        <v>1</v>
      </c>
      <c r="J3782" s="0" t="n">
        <f aca="false">E3782</f>
        <v>0.25</v>
      </c>
      <c r="K3782" s="0" t="n">
        <f aca="false">F3782</f>
        <v>-0.75</v>
      </c>
      <c r="L3782" s="0" t="n">
        <f aca="false">G3782</f>
        <v>0.25</v>
      </c>
      <c r="M3782" s="0" t="n">
        <f aca="false">H3782</f>
        <v>0.5</v>
      </c>
      <c r="N3782" s="0" t="n">
        <f aca="false">E3782*F3782</f>
        <v>-0.1875</v>
      </c>
      <c r="O3782" s="0" t="n">
        <f aca="false">E3782*G3782</f>
        <v>0.0625</v>
      </c>
      <c r="P3782" s="0" t="n">
        <f aca="false">E3782*H3782</f>
        <v>0.125</v>
      </c>
      <c r="Q3782" s="0" t="n">
        <f aca="false">F3782*G3782</f>
        <v>-0.1875</v>
      </c>
      <c r="R3782" s="0" t="n">
        <f aca="false">F3782*H3782</f>
        <v>-0.375</v>
      </c>
      <c r="S3782" s="0" t="n">
        <f aca="false">G3782*H3782</f>
        <v>0.125</v>
      </c>
      <c r="T3782" s="0" t="n">
        <f aca="false">E3782*E3782</f>
        <v>0.0625</v>
      </c>
      <c r="U3782" s="0" t="n">
        <f aca="false">F3782*F3782</f>
        <v>0.5625</v>
      </c>
      <c r="V3782" s="0" t="n">
        <f aca="false">G3782*G3782</f>
        <v>0.0625</v>
      </c>
      <c r="W3782" s="0" t="n">
        <f aca="false">H3782*H3782</f>
        <v>0.25</v>
      </c>
      <c r="X3782" s="0" t="n">
        <f aca="false">SUMPRODUCT(I3782:W3782,_XtX!$B$96:$P$96)</f>
        <v>45.3558525219298</v>
      </c>
      <c r="Y3782" s="0" t="n">
        <f aca="false">SUMPRODUCT(MMULT(I3782:W3782,_XtX!$B$78:$P$92),I3782:W3782)</f>
        <v>0.207746539199561</v>
      </c>
      <c r="Z3782" s="0" t="n">
        <f aca="false">04_回帰ANOVA!$K$19*04_回帰ANOVA!$K$14*SQRT(1+Y3782)</f>
        <v>1.43247250081141</v>
      </c>
      <c r="AA3782" s="0" t="n">
        <f aca="false">X3782-Z3782</f>
        <v>43.9233800211184</v>
      </c>
      <c r="AB3782" s="0" t="n">
        <f aca="false">X3782+Z3782</f>
        <v>46.7883250227412</v>
      </c>
      <c r="AC3782" s="54" t="b">
        <f aca="false">AND(E3782&gt;=01_因子設定!$L$5-0.000000001,E3782&lt;=01_因子設定!$M$5+0.000000001,F3782&gt;=01_因子設定!$L$6-0.000000001,F3782&lt;=01_因子設定!$M$6+0.000000001,G3782&gt;=01_因子設定!$L$7-0.000000001,G3782&lt;=01_因子設定!$M$7+0.000000001,H3782&gt;=01_因子設定!$L$8-0.000000001,H3782&lt;=01_因子設定!$M$8+0.000000001,IF(01_因子設定!$B$20="Box-Behnken",E3782^2+F3782^2+G3782^2+H3782^2&lt;=2+0.000000001,TRUE()))</f>
        <v>1</v>
      </c>
      <c r="AD3782" s="55" t="n">
        <f aca="false">IF(AC3782,IF(01_因子設定!$B$13="最大化",AA3782-01_因子設定!$B$14,IF(01_因子設定!$B$13="最小化",01_因子設定!$B$15-AB3782,MIN(AA3782-01_因子設定!$B$14,01_因子設定!$B$15-AB3782))),-1E+030)</f>
        <v>-2.57661997888164</v>
      </c>
      <c r="AE3782" s="55" t="n">
        <f aca="false">IF(AC3782,IF(01_因子設定!$B$13="最大化",X3782,IF(01_因子設定!$B$13="最小化",-X3782,-ABS(X3782-01_因子設定!$B$16))),-1E+030)</f>
        <v>45.3558525219298</v>
      </c>
      <c r="AF3782" s="55" t="n">
        <f aca="false">AD3782+ROW()*0.000000001</f>
        <v>-2.57661619688164</v>
      </c>
      <c r="AG3782" s="55" t="n">
        <f aca="false">AE3782+ROW()*0.000000001</f>
        <v>45.3558563039298</v>
      </c>
    </row>
    <row r="3783" customFormat="false" ht="15" hidden="false" customHeight="false" outlineLevel="0" collapsed="false">
      <c r="A3783" s="0" t="n">
        <v>5</v>
      </c>
      <c r="B3783" s="0" t="n">
        <v>1</v>
      </c>
      <c r="C3783" s="0" t="n">
        <v>5</v>
      </c>
      <c r="D3783" s="0" t="n">
        <v>7</v>
      </c>
      <c r="E3783" s="0" t="n">
        <f aca="false">-1+A3783*0.25</f>
        <v>0.25</v>
      </c>
      <c r="F3783" s="0" t="n">
        <f aca="false">-1+B3783*0.25</f>
        <v>-0.75</v>
      </c>
      <c r="G3783" s="0" t="n">
        <f aca="false">-1+C3783*0.25</f>
        <v>0.25</v>
      </c>
      <c r="H3783" s="0" t="n">
        <f aca="false">-1+D3783*0.25</f>
        <v>0.75</v>
      </c>
      <c r="I3783" s="0" t="n">
        <f aca="false">1</f>
        <v>1</v>
      </c>
      <c r="J3783" s="0" t="n">
        <f aca="false">E3783</f>
        <v>0.25</v>
      </c>
      <c r="K3783" s="0" t="n">
        <f aca="false">F3783</f>
        <v>-0.75</v>
      </c>
      <c r="L3783" s="0" t="n">
        <f aca="false">G3783</f>
        <v>0.25</v>
      </c>
      <c r="M3783" s="0" t="n">
        <f aca="false">H3783</f>
        <v>0.75</v>
      </c>
      <c r="N3783" s="0" t="n">
        <f aca="false">E3783*F3783</f>
        <v>-0.1875</v>
      </c>
      <c r="O3783" s="0" t="n">
        <f aca="false">E3783*G3783</f>
        <v>0.0625</v>
      </c>
      <c r="P3783" s="0" t="n">
        <f aca="false">E3783*H3783</f>
        <v>0.1875</v>
      </c>
      <c r="Q3783" s="0" t="n">
        <f aca="false">F3783*G3783</f>
        <v>-0.1875</v>
      </c>
      <c r="R3783" s="0" t="n">
        <f aca="false">F3783*H3783</f>
        <v>-0.5625</v>
      </c>
      <c r="S3783" s="0" t="n">
        <f aca="false">G3783*H3783</f>
        <v>0.1875</v>
      </c>
      <c r="T3783" s="0" t="n">
        <f aca="false">E3783*E3783</f>
        <v>0.0625</v>
      </c>
      <c r="U3783" s="0" t="n">
        <f aca="false">F3783*F3783</f>
        <v>0.5625</v>
      </c>
      <c r="V3783" s="0" t="n">
        <f aca="false">G3783*G3783</f>
        <v>0.0625</v>
      </c>
      <c r="W3783" s="0" t="n">
        <f aca="false">H3783*H3783</f>
        <v>0.5625</v>
      </c>
      <c r="X3783" s="0" t="n">
        <f aca="false">SUMPRODUCT(I3783:W3783,_XtX!$B$96:$P$96)</f>
        <v>45.403348866959</v>
      </c>
      <c r="Y3783" s="0" t="n">
        <f aca="false">SUMPRODUCT(MMULT(I3783:W3783,_XtX!$B$78:$P$92),I3783:W3783)</f>
        <v>0.271087468019006</v>
      </c>
      <c r="Z3783" s="0" t="n">
        <f aca="false">04_回帰ANOVA!$K$19*04_回帰ANOVA!$K$14*SQRT(1+Y3783)</f>
        <v>1.46955590155034</v>
      </c>
      <c r="AA3783" s="0" t="n">
        <f aca="false">X3783-Z3783</f>
        <v>43.9337929654087</v>
      </c>
      <c r="AB3783" s="0" t="n">
        <f aca="false">X3783+Z3783</f>
        <v>46.8729047685094</v>
      </c>
      <c r="AC3783" s="54" t="b">
        <f aca="false">AND(E3783&gt;=01_因子設定!$L$5-0.000000001,E3783&lt;=01_因子設定!$M$5+0.000000001,F3783&gt;=01_因子設定!$L$6-0.000000001,F3783&lt;=01_因子設定!$M$6+0.000000001,G3783&gt;=01_因子設定!$L$7-0.000000001,G3783&lt;=01_因子設定!$M$7+0.000000001,H3783&gt;=01_因子設定!$L$8-0.000000001,H3783&lt;=01_因子設定!$M$8+0.000000001,IF(01_因子設定!$B$20="Box-Behnken",E3783^2+F3783^2+G3783^2+H3783^2&lt;=2+0.000000001,TRUE()))</f>
        <v>1</v>
      </c>
      <c r="AD3783" s="55" t="n">
        <f aca="false">IF(AC3783,IF(01_因子設定!$B$13="最大化",AA3783-01_因子設定!$B$14,IF(01_因子設定!$B$13="最小化",01_因子設定!$B$15-AB3783,MIN(AA3783-01_因子設定!$B$14,01_因子設定!$B$15-AB3783))),-1E+030)</f>
        <v>-2.56620703459132</v>
      </c>
      <c r="AE3783" s="55" t="n">
        <f aca="false">IF(AC3783,IF(01_因子設定!$B$13="最大化",X3783,IF(01_因子設定!$B$13="最小化",-X3783,-ABS(X3783-01_因子設定!$B$16))),-1E+030)</f>
        <v>45.403348866959</v>
      </c>
      <c r="AF3783" s="55" t="n">
        <f aca="false">AD3783+ROW()*0.000000001</f>
        <v>-2.56620325159132</v>
      </c>
      <c r="AG3783" s="55" t="n">
        <f aca="false">AE3783+ROW()*0.000000001</f>
        <v>45.403352649959</v>
      </c>
    </row>
    <row r="3784" customFormat="false" ht="15" hidden="false" customHeight="false" outlineLevel="0" collapsed="false">
      <c r="A3784" s="0" t="n">
        <v>5</v>
      </c>
      <c r="B3784" s="0" t="n">
        <v>1</v>
      </c>
      <c r="C3784" s="0" t="n">
        <v>5</v>
      </c>
      <c r="D3784" s="0" t="n">
        <v>8</v>
      </c>
      <c r="E3784" s="0" t="n">
        <f aca="false">-1+A3784*0.25</f>
        <v>0.25</v>
      </c>
      <c r="F3784" s="0" t="n">
        <f aca="false">-1+B3784*0.25</f>
        <v>-0.75</v>
      </c>
      <c r="G3784" s="0" t="n">
        <f aca="false">-1+C3784*0.25</f>
        <v>0.25</v>
      </c>
      <c r="H3784" s="0" t="n">
        <f aca="false">-1+D3784*0.25</f>
        <v>1</v>
      </c>
      <c r="I3784" s="0" t="n">
        <f aca="false">1</f>
        <v>1</v>
      </c>
      <c r="J3784" s="0" t="n">
        <f aca="false">E3784</f>
        <v>0.25</v>
      </c>
      <c r="K3784" s="0" t="n">
        <f aca="false">F3784</f>
        <v>-0.75</v>
      </c>
      <c r="L3784" s="0" t="n">
        <f aca="false">G3784</f>
        <v>0.25</v>
      </c>
      <c r="M3784" s="0" t="n">
        <f aca="false">H3784</f>
        <v>1</v>
      </c>
      <c r="N3784" s="0" t="n">
        <f aca="false">E3784*F3784</f>
        <v>-0.1875</v>
      </c>
      <c r="O3784" s="0" t="n">
        <f aca="false">E3784*G3784</f>
        <v>0.0625</v>
      </c>
      <c r="P3784" s="0" t="n">
        <f aca="false">E3784*H3784</f>
        <v>0.25</v>
      </c>
      <c r="Q3784" s="0" t="n">
        <f aca="false">F3784*G3784</f>
        <v>-0.1875</v>
      </c>
      <c r="R3784" s="0" t="n">
        <f aca="false">F3784*H3784</f>
        <v>-0.75</v>
      </c>
      <c r="S3784" s="0" t="n">
        <f aca="false">G3784*H3784</f>
        <v>0.25</v>
      </c>
      <c r="T3784" s="0" t="n">
        <f aca="false">E3784*E3784</f>
        <v>0.0625</v>
      </c>
      <c r="U3784" s="0" t="n">
        <f aca="false">F3784*F3784</f>
        <v>0.5625</v>
      </c>
      <c r="V3784" s="0" t="n">
        <f aca="false">G3784*G3784</f>
        <v>0.0625</v>
      </c>
      <c r="W3784" s="0" t="n">
        <f aca="false">H3784*H3784</f>
        <v>1</v>
      </c>
      <c r="X3784" s="0" t="n">
        <f aca="false">SUMPRODUCT(I3784:W3784,_XtX!$B$96:$P$96)</f>
        <v>45.4030381944444</v>
      </c>
      <c r="Y3784" s="0" t="n">
        <f aca="false">SUMPRODUCT(MMULT(I3784:W3784,_XtX!$B$78:$P$92),I3784:W3784)</f>
        <v>0.486409505208333</v>
      </c>
      <c r="Z3784" s="0" t="n">
        <f aca="false">04_回帰ANOVA!$K$19*04_回帰ANOVA!$K$14*SQRT(1+Y3784)</f>
        <v>1.58916001665498</v>
      </c>
      <c r="AA3784" s="0" t="n">
        <f aca="false">X3784-Z3784</f>
        <v>43.8138781777894</v>
      </c>
      <c r="AB3784" s="0" t="n">
        <f aca="false">X3784+Z3784</f>
        <v>46.9921982110994</v>
      </c>
      <c r="AC3784" s="54" t="b">
        <f aca="false">AND(E3784&gt;=01_因子設定!$L$5-0.000000001,E3784&lt;=01_因子設定!$M$5+0.000000001,F3784&gt;=01_因子設定!$L$6-0.000000001,F3784&lt;=01_因子設定!$M$6+0.000000001,G3784&gt;=01_因子設定!$L$7-0.000000001,G3784&lt;=01_因子設定!$M$7+0.000000001,H3784&gt;=01_因子設定!$L$8-0.000000001,H3784&lt;=01_因子設定!$M$8+0.000000001,IF(01_因子設定!$B$20="Box-Behnken",E3784^2+F3784^2+G3784^2+H3784^2&lt;=2+0.000000001,TRUE()))</f>
        <v>1</v>
      </c>
      <c r="AD3784" s="55" t="n">
        <f aca="false">IF(AC3784,IF(01_因子設定!$B$13="最大化",AA3784-01_因子設定!$B$14,IF(01_因子設定!$B$13="最小化",01_因子設定!$B$15-AB3784,MIN(AA3784-01_因子設定!$B$14,01_因子設定!$B$15-AB3784))),-1E+030)</f>
        <v>-2.68612182221056</v>
      </c>
      <c r="AE3784" s="55" t="n">
        <f aca="false">IF(AC3784,IF(01_因子設定!$B$13="最大化",X3784,IF(01_因子設定!$B$13="最小化",-X3784,-ABS(X3784-01_因子設定!$B$16))),-1E+030)</f>
        <v>45.4030381944444</v>
      </c>
      <c r="AF3784" s="55" t="n">
        <f aca="false">AD3784+ROW()*0.000000001</f>
        <v>-2.68611803821056</v>
      </c>
      <c r="AG3784" s="55" t="n">
        <f aca="false">AE3784+ROW()*0.000000001</f>
        <v>45.4030419784444</v>
      </c>
    </row>
    <row r="3785" customFormat="false" ht="15" hidden="false" customHeight="false" outlineLevel="0" collapsed="false">
      <c r="A3785" s="0" t="n">
        <v>5</v>
      </c>
      <c r="B3785" s="0" t="n">
        <v>1</v>
      </c>
      <c r="C3785" s="0" t="n">
        <v>6</v>
      </c>
      <c r="D3785" s="0" t="n">
        <v>0</v>
      </c>
      <c r="E3785" s="0" t="n">
        <f aca="false">-1+A3785*0.25</f>
        <v>0.25</v>
      </c>
      <c r="F3785" s="0" t="n">
        <f aca="false">-1+B3785*0.25</f>
        <v>-0.75</v>
      </c>
      <c r="G3785" s="0" t="n">
        <f aca="false">-1+C3785*0.25</f>
        <v>0.5</v>
      </c>
      <c r="H3785" s="0" t="n">
        <f aca="false">-1+D3785*0.25</f>
        <v>-1</v>
      </c>
      <c r="I3785" s="0" t="n">
        <f aca="false">1</f>
        <v>1</v>
      </c>
      <c r="J3785" s="0" t="n">
        <f aca="false">E3785</f>
        <v>0.25</v>
      </c>
      <c r="K3785" s="0" t="n">
        <f aca="false">F3785</f>
        <v>-0.75</v>
      </c>
      <c r="L3785" s="0" t="n">
        <f aca="false">G3785</f>
        <v>0.5</v>
      </c>
      <c r="M3785" s="0" t="n">
        <f aca="false">H3785</f>
        <v>-1</v>
      </c>
      <c r="N3785" s="0" t="n">
        <f aca="false">E3785*F3785</f>
        <v>-0.1875</v>
      </c>
      <c r="O3785" s="0" t="n">
        <f aca="false">E3785*G3785</f>
        <v>0.125</v>
      </c>
      <c r="P3785" s="0" t="n">
        <f aca="false">E3785*H3785</f>
        <v>-0.25</v>
      </c>
      <c r="Q3785" s="0" t="n">
        <f aca="false">F3785*G3785</f>
        <v>-0.375</v>
      </c>
      <c r="R3785" s="0" t="n">
        <f aca="false">F3785*H3785</f>
        <v>0.75</v>
      </c>
      <c r="S3785" s="0" t="n">
        <f aca="false">G3785*H3785</f>
        <v>-0.5</v>
      </c>
      <c r="T3785" s="0" t="n">
        <f aca="false">E3785*E3785</f>
        <v>0.0625</v>
      </c>
      <c r="U3785" s="0" t="n">
        <f aca="false">F3785*F3785</f>
        <v>0.5625</v>
      </c>
      <c r="V3785" s="0" t="n">
        <f aca="false">G3785*G3785</f>
        <v>0.25</v>
      </c>
      <c r="W3785" s="0" t="n">
        <f aca="false">H3785*H3785</f>
        <v>1</v>
      </c>
      <c r="X3785" s="0" t="n">
        <f aca="false">SUMPRODUCT(I3785:W3785,_XtX!$B$96:$P$96)</f>
        <v>44.0137061403509</v>
      </c>
      <c r="Y3785" s="0" t="n">
        <f aca="false">SUMPRODUCT(MMULT(I3785:W3785,_XtX!$B$78:$P$92),I3785:W3785)</f>
        <v>0.459125719572369</v>
      </c>
      <c r="Z3785" s="0" t="n">
        <f aca="false">04_回帰ANOVA!$K$19*04_回帰ANOVA!$K$14*SQRT(1+Y3785)</f>
        <v>1.57450755575573</v>
      </c>
      <c r="AA3785" s="0" t="n">
        <f aca="false">X3785-Z3785</f>
        <v>42.4391985845951</v>
      </c>
      <c r="AB3785" s="0" t="n">
        <f aca="false">X3785+Z3785</f>
        <v>45.5882136961066</v>
      </c>
      <c r="AC3785" s="54" t="b">
        <f aca="false">AND(E3785&gt;=01_因子設定!$L$5-0.000000001,E3785&lt;=01_因子設定!$M$5+0.000000001,F3785&gt;=01_因子設定!$L$6-0.000000001,F3785&lt;=01_因子設定!$M$6+0.000000001,G3785&gt;=01_因子設定!$L$7-0.000000001,G3785&lt;=01_因子設定!$M$7+0.000000001,H3785&gt;=01_因子設定!$L$8-0.000000001,H3785&lt;=01_因子設定!$M$8+0.000000001,IF(01_因子設定!$B$20="Box-Behnken",E3785^2+F3785^2+G3785^2+H3785^2&lt;=2+0.000000001,TRUE()))</f>
        <v>1</v>
      </c>
      <c r="AD3785" s="55" t="n">
        <f aca="false">IF(AC3785,IF(01_因子設定!$B$13="最大化",AA3785-01_因子設定!$B$14,IF(01_因子設定!$B$13="最小化",01_因子設定!$B$15-AB3785,MIN(AA3785-01_因子設定!$B$14,01_因子設定!$B$15-AB3785))),-1E+030)</f>
        <v>-4.06080141540488</v>
      </c>
      <c r="AE3785" s="55" t="n">
        <f aca="false">IF(AC3785,IF(01_因子設定!$B$13="最大化",X3785,IF(01_因子設定!$B$13="最小化",-X3785,-ABS(X3785-01_因子設定!$B$16))),-1E+030)</f>
        <v>44.0137061403509</v>
      </c>
      <c r="AF3785" s="55" t="n">
        <f aca="false">AD3785+ROW()*0.000000001</f>
        <v>-4.06079763040488</v>
      </c>
      <c r="AG3785" s="55" t="n">
        <f aca="false">AE3785+ROW()*0.000000001</f>
        <v>44.0137099253509</v>
      </c>
    </row>
    <row r="3786" customFormat="false" ht="15" hidden="false" customHeight="false" outlineLevel="0" collapsed="false">
      <c r="A3786" s="0" t="n">
        <v>5</v>
      </c>
      <c r="B3786" s="0" t="n">
        <v>1</v>
      </c>
      <c r="C3786" s="0" t="n">
        <v>6</v>
      </c>
      <c r="D3786" s="0" t="n">
        <v>1</v>
      </c>
      <c r="E3786" s="0" t="n">
        <f aca="false">-1+A3786*0.25</f>
        <v>0.25</v>
      </c>
      <c r="F3786" s="0" t="n">
        <f aca="false">-1+B3786*0.25</f>
        <v>-0.75</v>
      </c>
      <c r="G3786" s="0" t="n">
        <f aca="false">-1+C3786*0.25</f>
        <v>0.5</v>
      </c>
      <c r="H3786" s="0" t="n">
        <f aca="false">-1+D3786*0.25</f>
        <v>-0.75</v>
      </c>
      <c r="I3786" s="0" t="n">
        <f aca="false">1</f>
        <v>1</v>
      </c>
      <c r="J3786" s="0" t="n">
        <f aca="false">E3786</f>
        <v>0.25</v>
      </c>
      <c r="K3786" s="0" t="n">
        <f aca="false">F3786</f>
        <v>-0.75</v>
      </c>
      <c r="L3786" s="0" t="n">
        <f aca="false">G3786</f>
        <v>0.5</v>
      </c>
      <c r="M3786" s="0" t="n">
        <f aca="false">H3786</f>
        <v>-0.75</v>
      </c>
      <c r="N3786" s="0" t="n">
        <f aca="false">E3786*F3786</f>
        <v>-0.1875</v>
      </c>
      <c r="O3786" s="0" t="n">
        <f aca="false">E3786*G3786</f>
        <v>0.125</v>
      </c>
      <c r="P3786" s="0" t="n">
        <f aca="false">E3786*H3786</f>
        <v>-0.1875</v>
      </c>
      <c r="Q3786" s="0" t="n">
        <f aca="false">F3786*G3786</f>
        <v>-0.375</v>
      </c>
      <c r="R3786" s="0" t="n">
        <f aca="false">F3786*H3786</f>
        <v>0.5625</v>
      </c>
      <c r="S3786" s="0" t="n">
        <f aca="false">G3786*H3786</f>
        <v>-0.375</v>
      </c>
      <c r="T3786" s="0" t="n">
        <f aca="false">E3786*E3786</f>
        <v>0.0625</v>
      </c>
      <c r="U3786" s="0" t="n">
        <f aca="false">F3786*F3786</f>
        <v>0.5625</v>
      </c>
      <c r="V3786" s="0" t="n">
        <f aca="false">G3786*G3786</f>
        <v>0.25</v>
      </c>
      <c r="W3786" s="0" t="n">
        <f aca="false">H3786*H3786</f>
        <v>0.5625</v>
      </c>
      <c r="X3786" s="0" t="n">
        <f aca="false">SUMPRODUCT(I3786:W3786,_XtX!$B$96:$P$96)</f>
        <v>44.3660133406432</v>
      </c>
      <c r="Y3786" s="0" t="n">
        <f aca="false">SUMPRODUCT(MMULT(I3786:W3786,_XtX!$B$78:$P$92),I3786:W3786)</f>
        <v>0.257385610836988</v>
      </c>
      <c r="Z3786" s="0" t="n">
        <f aca="false">04_回帰ANOVA!$K$19*04_回帰ANOVA!$K$14*SQRT(1+Y3786)</f>
        <v>1.46161380324158</v>
      </c>
      <c r="AA3786" s="0" t="n">
        <f aca="false">X3786-Z3786</f>
        <v>42.9043995374017</v>
      </c>
      <c r="AB3786" s="0" t="n">
        <f aca="false">X3786+Z3786</f>
        <v>45.8276271438848</v>
      </c>
      <c r="AC3786" s="54" t="b">
        <f aca="false">AND(E3786&gt;=01_因子設定!$L$5-0.000000001,E3786&lt;=01_因子設定!$M$5+0.000000001,F3786&gt;=01_因子設定!$L$6-0.000000001,F3786&lt;=01_因子設定!$M$6+0.000000001,G3786&gt;=01_因子設定!$L$7-0.000000001,G3786&lt;=01_因子設定!$M$7+0.000000001,H3786&gt;=01_因子設定!$L$8-0.000000001,H3786&lt;=01_因子設定!$M$8+0.000000001,IF(01_因子設定!$B$20="Box-Behnken",E3786^2+F3786^2+G3786^2+H3786^2&lt;=2+0.000000001,TRUE()))</f>
        <v>1</v>
      </c>
      <c r="AD3786" s="55" t="n">
        <f aca="false">IF(AC3786,IF(01_因子設定!$B$13="最大化",AA3786-01_因子設定!$B$14,IF(01_因子設定!$B$13="最小化",01_因子設定!$B$15-AB3786,MIN(AA3786-01_因子設定!$B$14,01_因子設定!$B$15-AB3786))),-1E+030)</f>
        <v>-3.59560046259835</v>
      </c>
      <c r="AE3786" s="55" t="n">
        <f aca="false">IF(AC3786,IF(01_因子設定!$B$13="最大化",X3786,IF(01_因子設定!$B$13="最小化",-X3786,-ABS(X3786-01_因子設定!$B$16))),-1E+030)</f>
        <v>44.3660133406432</v>
      </c>
      <c r="AF3786" s="55" t="n">
        <f aca="false">AD3786+ROW()*0.000000001</f>
        <v>-3.59559667659835</v>
      </c>
      <c r="AG3786" s="55" t="n">
        <f aca="false">AE3786+ROW()*0.000000001</f>
        <v>44.3660171266432</v>
      </c>
    </row>
    <row r="3787" customFormat="false" ht="15" hidden="false" customHeight="false" outlineLevel="0" collapsed="false">
      <c r="A3787" s="0" t="n">
        <v>5</v>
      </c>
      <c r="B3787" s="0" t="n">
        <v>1</v>
      </c>
      <c r="C3787" s="0" t="n">
        <v>6</v>
      </c>
      <c r="D3787" s="0" t="n">
        <v>2</v>
      </c>
      <c r="E3787" s="0" t="n">
        <f aca="false">-1+A3787*0.25</f>
        <v>0.25</v>
      </c>
      <c r="F3787" s="0" t="n">
        <f aca="false">-1+B3787*0.25</f>
        <v>-0.75</v>
      </c>
      <c r="G3787" s="0" t="n">
        <f aca="false">-1+C3787*0.25</f>
        <v>0.5</v>
      </c>
      <c r="H3787" s="0" t="n">
        <f aca="false">-1+D3787*0.25</f>
        <v>-0.5</v>
      </c>
      <c r="I3787" s="0" t="n">
        <f aca="false">1</f>
        <v>1</v>
      </c>
      <c r="J3787" s="0" t="n">
        <f aca="false">E3787</f>
        <v>0.25</v>
      </c>
      <c r="K3787" s="0" t="n">
        <f aca="false">F3787</f>
        <v>-0.75</v>
      </c>
      <c r="L3787" s="0" t="n">
        <f aca="false">G3787</f>
        <v>0.5</v>
      </c>
      <c r="M3787" s="0" t="n">
        <f aca="false">H3787</f>
        <v>-0.5</v>
      </c>
      <c r="N3787" s="0" t="n">
        <f aca="false">E3787*F3787</f>
        <v>-0.1875</v>
      </c>
      <c r="O3787" s="0" t="n">
        <f aca="false">E3787*G3787</f>
        <v>0.125</v>
      </c>
      <c r="P3787" s="0" t="n">
        <f aca="false">E3787*H3787</f>
        <v>-0.125</v>
      </c>
      <c r="Q3787" s="0" t="n">
        <f aca="false">F3787*G3787</f>
        <v>-0.375</v>
      </c>
      <c r="R3787" s="0" t="n">
        <f aca="false">F3787*H3787</f>
        <v>0.375</v>
      </c>
      <c r="S3787" s="0" t="n">
        <f aca="false">G3787*H3787</f>
        <v>-0.25</v>
      </c>
      <c r="T3787" s="0" t="n">
        <f aca="false">E3787*E3787</f>
        <v>0.0625</v>
      </c>
      <c r="U3787" s="0" t="n">
        <f aca="false">F3787*F3787</f>
        <v>0.5625</v>
      </c>
      <c r="V3787" s="0" t="n">
        <f aca="false">G3787*G3787</f>
        <v>0.25</v>
      </c>
      <c r="W3787" s="0" t="n">
        <f aca="false">H3787*H3787</f>
        <v>0.25</v>
      </c>
      <c r="X3787" s="0" t="n">
        <f aca="false">SUMPRODUCT(I3787:W3787,_XtX!$B$96:$P$96)</f>
        <v>44.6705135233918</v>
      </c>
      <c r="Y3787" s="0" t="n">
        <f aca="false">SUMPRODUCT(MMULT(I3787:W3787,_XtX!$B$78:$P$92),I3787:W3787)</f>
        <v>0.203746059484649</v>
      </c>
      <c r="Z3787" s="0" t="n">
        <f aca="false">04_回帰ANOVA!$K$19*04_回帰ANOVA!$K$14*SQRT(1+Y3787)</f>
        <v>1.43009810755465</v>
      </c>
      <c r="AA3787" s="0" t="n">
        <f aca="false">X3787-Z3787</f>
        <v>43.2404154158371</v>
      </c>
      <c r="AB3787" s="0" t="n">
        <f aca="false">X3787+Z3787</f>
        <v>46.1006116309464</v>
      </c>
      <c r="AC3787" s="54" t="b">
        <f aca="false">AND(E3787&gt;=01_因子設定!$L$5-0.000000001,E3787&lt;=01_因子設定!$M$5+0.000000001,F3787&gt;=01_因子設定!$L$6-0.000000001,F3787&lt;=01_因子設定!$M$6+0.000000001,G3787&gt;=01_因子設定!$L$7-0.000000001,G3787&lt;=01_因子設定!$M$7+0.000000001,H3787&gt;=01_因子設定!$L$8-0.000000001,H3787&lt;=01_因子設定!$M$8+0.000000001,IF(01_因子設定!$B$20="Box-Behnken",E3787^2+F3787^2+G3787^2+H3787^2&lt;=2+0.000000001,TRUE()))</f>
        <v>1</v>
      </c>
      <c r="AD3787" s="55" t="n">
        <f aca="false">IF(AC3787,IF(01_因子設定!$B$13="最大化",AA3787-01_因子設定!$B$14,IF(01_因子設定!$B$13="最小化",01_因子設定!$B$15-AB3787,MIN(AA3787-01_因子設定!$B$14,01_因子設定!$B$15-AB3787))),-1E+030)</f>
        <v>-3.25958458416289</v>
      </c>
      <c r="AE3787" s="55" t="n">
        <f aca="false">IF(AC3787,IF(01_因子設定!$B$13="最大化",X3787,IF(01_因子設定!$B$13="最小化",-X3787,-ABS(X3787-01_因子設定!$B$16))),-1E+030)</f>
        <v>44.6705135233918</v>
      </c>
      <c r="AF3787" s="55" t="n">
        <f aca="false">AD3787+ROW()*0.000000001</f>
        <v>-3.25958079716289</v>
      </c>
      <c r="AG3787" s="55" t="n">
        <f aca="false">AE3787+ROW()*0.000000001</f>
        <v>44.6705173103918</v>
      </c>
    </row>
    <row r="3788" customFormat="false" ht="15" hidden="false" customHeight="false" outlineLevel="0" collapsed="false">
      <c r="A3788" s="0" t="n">
        <v>5</v>
      </c>
      <c r="B3788" s="0" t="n">
        <v>1</v>
      </c>
      <c r="C3788" s="0" t="n">
        <v>6</v>
      </c>
      <c r="D3788" s="0" t="n">
        <v>3</v>
      </c>
      <c r="E3788" s="0" t="n">
        <f aca="false">-1+A3788*0.25</f>
        <v>0.25</v>
      </c>
      <c r="F3788" s="0" t="n">
        <f aca="false">-1+B3788*0.25</f>
        <v>-0.75</v>
      </c>
      <c r="G3788" s="0" t="n">
        <f aca="false">-1+C3788*0.25</f>
        <v>0.5</v>
      </c>
      <c r="H3788" s="0" t="n">
        <f aca="false">-1+D3788*0.25</f>
        <v>-0.25</v>
      </c>
      <c r="I3788" s="0" t="n">
        <f aca="false">1</f>
        <v>1</v>
      </c>
      <c r="J3788" s="0" t="n">
        <f aca="false">E3788</f>
        <v>0.25</v>
      </c>
      <c r="K3788" s="0" t="n">
        <f aca="false">F3788</f>
        <v>-0.75</v>
      </c>
      <c r="L3788" s="0" t="n">
        <f aca="false">G3788</f>
        <v>0.5</v>
      </c>
      <c r="M3788" s="0" t="n">
        <f aca="false">H3788</f>
        <v>-0.25</v>
      </c>
      <c r="N3788" s="0" t="n">
        <f aca="false">E3788*F3788</f>
        <v>-0.1875</v>
      </c>
      <c r="O3788" s="0" t="n">
        <f aca="false">E3788*G3788</f>
        <v>0.125</v>
      </c>
      <c r="P3788" s="0" t="n">
        <f aca="false">E3788*H3788</f>
        <v>-0.0625</v>
      </c>
      <c r="Q3788" s="0" t="n">
        <f aca="false">F3788*G3788</f>
        <v>-0.375</v>
      </c>
      <c r="R3788" s="0" t="n">
        <f aca="false">F3788*H3788</f>
        <v>0.1875</v>
      </c>
      <c r="S3788" s="0" t="n">
        <f aca="false">G3788*H3788</f>
        <v>-0.125</v>
      </c>
      <c r="T3788" s="0" t="n">
        <f aca="false">E3788*E3788</f>
        <v>0.0625</v>
      </c>
      <c r="U3788" s="0" t="n">
        <f aca="false">F3788*F3788</f>
        <v>0.5625</v>
      </c>
      <c r="V3788" s="0" t="n">
        <f aca="false">G3788*G3788</f>
        <v>0.25</v>
      </c>
      <c r="W3788" s="0" t="n">
        <f aca="false">H3788*H3788</f>
        <v>0.0625</v>
      </c>
      <c r="X3788" s="0" t="n">
        <f aca="false">SUMPRODUCT(I3788:W3788,_XtX!$B$96:$P$96)</f>
        <v>44.9272066885964</v>
      </c>
      <c r="Y3788" s="0" t="n">
        <f aca="false">SUMPRODUCT(MMULT(I3788:W3788,_XtX!$B$78:$P$92),I3788:W3788)</f>
        <v>0.207746539199561</v>
      </c>
      <c r="Z3788" s="0" t="n">
        <f aca="false">04_回帰ANOVA!$K$19*04_回帰ANOVA!$K$14*SQRT(1+Y3788)</f>
        <v>1.43247250081141</v>
      </c>
      <c r="AA3788" s="0" t="n">
        <f aca="false">X3788-Z3788</f>
        <v>43.494734187785</v>
      </c>
      <c r="AB3788" s="0" t="n">
        <f aca="false">X3788+Z3788</f>
        <v>46.3596791894078</v>
      </c>
      <c r="AC3788" s="54" t="b">
        <f aca="false">AND(E3788&gt;=01_因子設定!$L$5-0.000000001,E3788&lt;=01_因子設定!$M$5+0.000000001,F3788&gt;=01_因子設定!$L$6-0.000000001,F3788&lt;=01_因子設定!$M$6+0.000000001,G3788&gt;=01_因子設定!$L$7-0.000000001,G3788&lt;=01_因子設定!$M$7+0.000000001,H3788&gt;=01_因子設定!$L$8-0.000000001,H3788&lt;=01_因子設定!$M$8+0.000000001,IF(01_因子設定!$B$20="Box-Behnken",E3788^2+F3788^2+G3788^2+H3788^2&lt;=2+0.000000001,TRUE()))</f>
        <v>1</v>
      </c>
      <c r="AD3788" s="55" t="n">
        <f aca="false">IF(AC3788,IF(01_因子設定!$B$13="最大化",AA3788-01_因子設定!$B$14,IF(01_因子設定!$B$13="最小化",01_因子設定!$B$15-AB3788,MIN(AA3788-01_因子設定!$B$14,01_因子設定!$B$15-AB3788))),-1E+030)</f>
        <v>-3.00526581221497</v>
      </c>
      <c r="AE3788" s="55" t="n">
        <f aca="false">IF(AC3788,IF(01_因子設定!$B$13="最大化",X3788,IF(01_因子設定!$B$13="最小化",-X3788,-ABS(X3788-01_因子設定!$B$16))),-1E+030)</f>
        <v>44.9272066885964</v>
      </c>
      <c r="AF3788" s="55" t="n">
        <f aca="false">AD3788+ROW()*0.000000001</f>
        <v>-3.00526202421497</v>
      </c>
      <c r="AG3788" s="55" t="n">
        <f aca="false">AE3788+ROW()*0.000000001</f>
        <v>44.9272104765964</v>
      </c>
    </row>
    <row r="3789" customFormat="false" ht="15" hidden="false" customHeight="false" outlineLevel="0" collapsed="false">
      <c r="A3789" s="0" t="n">
        <v>5</v>
      </c>
      <c r="B3789" s="0" t="n">
        <v>1</v>
      </c>
      <c r="C3789" s="0" t="n">
        <v>6</v>
      </c>
      <c r="D3789" s="0" t="n">
        <v>4</v>
      </c>
      <c r="E3789" s="0" t="n">
        <f aca="false">-1+A3789*0.25</f>
        <v>0.25</v>
      </c>
      <c r="F3789" s="0" t="n">
        <f aca="false">-1+B3789*0.25</f>
        <v>-0.75</v>
      </c>
      <c r="G3789" s="0" t="n">
        <f aca="false">-1+C3789*0.25</f>
        <v>0.5</v>
      </c>
      <c r="H3789" s="0" t="n">
        <f aca="false">-1+D3789*0.25</f>
        <v>0</v>
      </c>
      <c r="I3789" s="0" t="n">
        <f aca="false">1</f>
        <v>1</v>
      </c>
      <c r="J3789" s="0" t="n">
        <f aca="false">E3789</f>
        <v>0.25</v>
      </c>
      <c r="K3789" s="0" t="n">
        <f aca="false">F3789</f>
        <v>-0.75</v>
      </c>
      <c r="L3789" s="0" t="n">
        <f aca="false">G3789</f>
        <v>0.5</v>
      </c>
      <c r="M3789" s="0" t="n">
        <f aca="false">H3789</f>
        <v>0</v>
      </c>
      <c r="N3789" s="0" t="n">
        <f aca="false">E3789*F3789</f>
        <v>-0.1875</v>
      </c>
      <c r="O3789" s="0" t="n">
        <f aca="false">E3789*G3789</f>
        <v>0.125</v>
      </c>
      <c r="P3789" s="0" t="n">
        <f aca="false">E3789*H3789</f>
        <v>0</v>
      </c>
      <c r="Q3789" s="0" t="n">
        <f aca="false">F3789*G3789</f>
        <v>-0.375</v>
      </c>
      <c r="R3789" s="0" t="n">
        <f aca="false">F3789*H3789</f>
        <v>-0</v>
      </c>
      <c r="S3789" s="0" t="n">
        <f aca="false">G3789*H3789</f>
        <v>0</v>
      </c>
      <c r="T3789" s="0" t="n">
        <f aca="false">E3789*E3789</f>
        <v>0.0625</v>
      </c>
      <c r="U3789" s="0" t="n">
        <f aca="false">F3789*F3789</f>
        <v>0.5625</v>
      </c>
      <c r="V3789" s="0" t="n">
        <f aca="false">G3789*G3789</f>
        <v>0.25</v>
      </c>
      <c r="W3789" s="0" t="n">
        <f aca="false">H3789*H3789</f>
        <v>0</v>
      </c>
      <c r="X3789" s="0" t="n">
        <f aca="false">SUMPRODUCT(I3789:W3789,_XtX!$B$96:$P$96)</f>
        <v>45.1360928362573</v>
      </c>
      <c r="Y3789" s="0" t="n">
        <f aca="false">SUMPRODUCT(MMULT(I3789:W3789,_XtX!$B$78:$P$92),I3789:W3789)</f>
        <v>0.215110734192252</v>
      </c>
      <c r="Z3789" s="0" t="n">
        <f aca="false">04_回帰ANOVA!$K$19*04_回帰ANOVA!$K$14*SQRT(1+Y3789)</f>
        <v>1.43683309086864</v>
      </c>
      <c r="AA3789" s="0" t="n">
        <f aca="false">X3789-Z3789</f>
        <v>43.6992597453886</v>
      </c>
      <c r="AB3789" s="0" t="n">
        <f aca="false">X3789+Z3789</f>
        <v>46.5729259271259</v>
      </c>
      <c r="AC3789" s="54" t="b">
        <f aca="false">AND(E3789&gt;=01_因子設定!$L$5-0.000000001,E3789&lt;=01_因子設定!$M$5+0.000000001,F3789&gt;=01_因子設定!$L$6-0.000000001,F3789&lt;=01_因子設定!$M$6+0.000000001,G3789&gt;=01_因子設定!$L$7-0.000000001,G3789&lt;=01_因子設定!$M$7+0.000000001,H3789&gt;=01_因子設定!$L$8-0.000000001,H3789&lt;=01_因子設定!$M$8+0.000000001,IF(01_因子設定!$B$20="Box-Behnken",E3789^2+F3789^2+G3789^2+H3789^2&lt;=2+0.000000001,TRUE()))</f>
        <v>1</v>
      </c>
      <c r="AD3789" s="55" t="n">
        <f aca="false">IF(AC3789,IF(01_因子設定!$B$13="最大化",AA3789-01_因子設定!$B$14,IF(01_因子設定!$B$13="最小化",01_因子設定!$B$15-AB3789,MIN(AA3789-01_因子設定!$B$14,01_因子設定!$B$15-AB3789))),-1E+030)</f>
        <v>-2.8007402546114</v>
      </c>
      <c r="AE3789" s="55" t="n">
        <f aca="false">IF(AC3789,IF(01_因子設定!$B$13="最大化",X3789,IF(01_因子設定!$B$13="最小化",-X3789,-ABS(X3789-01_因子設定!$B$16))),-1E+030)</f>
        <v>45.1360928362573</v>
      </c>
      <c r="AF3789" s="55" t="n">
        <f aca="false">AD3789+ROW()*0.000000001</f>
        <v>-2.8007364656114</v>
      </c>
      <c r="AG3789" s="55" t="n">
        <f aca="false">AE3789+ROW()*0.000000001</f>
        <v>45.1360966252572</v>
      </c>
    </row>
    <row r="3790" customFormat="false" ht="15" hidden="false" customHeight="false" outlineLevel="0" collapsed="false">
      <c r="A3790" s="0" t="n">
        <v>5</v>
      </c>
      <c r="B3790" s="0" t="n">
        <v>1</v>
      </c>
      <c r="C3790" s="0" t="n">
        <v>6</v>
      </c>
      <c r="D3790" s="0" t="n">
        <v>5</v>
      </c>
      <c r="E3790" s="0" t="n">
        <f aca="false">-1+A3790*0.25</f>
        <v>0.25</v>
      </c>
      <c r="F3790" s="0" t="n">
        <f aca="false">-1+B3790*0.25</f>
        <v>-0.75</v>
      </c>
      <c r="G3790" s="0" t="n">
        <f aca="false">-1+C3790*0.25</f>
        <v>0.5</v>
      </c>
      <c r="H3790" s="0" t="n">
        <f aca="false">-1+D3790*0.25</f>
        <v>0.25</v>
      </c>
      <c r="I3790" s="0" t="n">
        <f aca="false">1</f>
        <v>1</v>
      </c>
      <c r="J3790" s="0" t="n">
        <f aca="false">E3790</f>
        <v>0.25</v>
      </c>
      <c r="K3790" s="0" t="n">
        <f aca="false">F3790</f>
        <v>-0.75</v>
      </c>
      <c r="L3790" s="0" t="n">
        <f aca="false">G3790</f>
        <v>0.5</v>
      </c>
      <c r="M3790" s="0" t="n">
        <f aca="false">H3790</f>
        <v>0.25</v>
      </c>
      <c r="N3790" s="0" t="n">
        <f aca="false">E3790*F3790</f>
        <v>-0.1875</v>
      </c>
      <c r="O3790" s="0" t="n">
        <f aca="false">E3790*G3790</f>
        <v>0.125</v>
      </c>
      <c r="P3790" s="0" t="n">
        <f aca="false">E3790*H3790</f>
        <v>0.0625</v>
      </c>
      <c r="Q3790" s="0" t="n">
        <f aca="false">F3790*G3790</f>
        <v>-0.375</v>
      </c>
      <c r="R3790" s="0" t="n">
        <f aca="false">F3790*H3790</f>
        <v>-0.1875</v>
      </c>
      <c r="S3790" s="0" t="n">
        <f aca="false">G3790*H3790</f>
        <v>0.125</v>
      </c>
      <c r="T3790" s="0" t="n">
        <f aca="false">E3790*E3790</f>
        <v>0.0625</v>
      </c>
      <c r="U3790" s="0" t="n">
        <f aca="false">F3790*F3790</f>
        <v>0.5625</v>
      </c>
      <c r="V3790" s="0" t="n">
        <f aca="false">G3790*G3790</f>
        <v>0.25</v>
      </c>
      <c r="W3790" s="0" t="n">
        <f aca="false">H3790*H3790</f>
        <v>0.0625</v>
      </c>
      <c r="X3790" s="0" t="n">
        <f aca="false">SUMPRODUCT(I3790:W3790,_XtX!$B$96:$P$96)</f>
        <v>45.2971719663742</v>
      </c>
      <c r="Y3790" s="0" t="n">
        <f aca="false">SUMPRODUCT(MMULT(I3790:W3790,_XtX!$B$78:$P$92),I3790:W3790)</f>
        <v>0.207746539199561</v>
      </c>
      <c r="Z3790" s="0" t="n">
        <f aca="false">04_回帰ANOVA!$K$19*04_回帰ANOVA!$K$14*SQRT(1+Y3790)</f>
        <v>1.43247250081141</v>
      </c>
      <c r="AA3790" s="0" t="n">
        <f aca="false">X3790-Z3790</f>
        <v>43.8646994655628</v>
      </c>
      <c r="AB3790" s="0" t="n">
        <f aca="false">X3790+Z3790</f>
        <v>46.7296444671856</v>
      </c>
      <c r="AC3790" s="54" t="b">
        <f aca="false">AND(E3790&gt;=01_因子設定!$L$5-0.000000001,E3790&lt;=01_因子設定!$M$5+0.000000001,F3790&gt;=01_因子設定!$L$6-0.000000001,F3790&lt;=01_因子設定!$M$6+0.000000001,G3790&gt;=01_因子設定!$L$7-0.000000001,G3790&lt;=01_因子設定!$M$7+0.000000001,H3790&gt;=01_因子設定!$L$8-0.000000001,H3790&lt;=01_因子設定!$M$8+0.000000001,IF(01_因子設定!$B$20="Box-Behnken",E3790^2+F3790^2+G3790^2+H3790^2&lt;=2+0.000000001,TRUE()))</f>
        <v>1</v>
      </c>
      <c r="AD3790" s="55" t="n">
        <f aca="false">IF(AC3790,IF(01_因子設定!$B$13="最大化",AA3790-01_因子設定!$B$14,IF(01_因子設定!$B$13="最小化",01_因子設定!$B$15-AB3790,MIN(AA3790-01_因子設定!$B$14,01_因子設定!$B$15-AB3790))),-1E+030)</f>
        <v>-2.6353005344372</v>
      </c>
      <c r="AE3790" s="55" t="n">
        <f aca="false">IF(AC3790,IF(01_因子設定!$B$13="最大化",X3790,IF(01_因子設定!$B$13="最小化",-X3790,-ABS(X3790-01_因子設定!$B$16))),-1E+030)</f>
        <v>45.2971719663742</v>
      </c>
      <c r="AF3790" s="55" t="n">
        <f aca="false">AD3790+ROW()*0.000000001</f>
        <v>-2.6352967444372</v>
      </c>
      <c r="AG3790" s="55" t="n">
        <f aca="false">AE3790+ROW()*0.000000001</f>
        <v>45.2971757563742</v>
      </c>
    </row>
    <row r="3791" customFormat="false" ht="15" hidden="false" customHeight="false" outlineLevel="0" collapsed="false">
      <c r="A3791" s="0" t="n">
        <v>5</v>
      </c>
      <c r="B3791" s="0" t="n">
        <v>1</v>
      </c>
      <c r="C3791" s="0" t="n">
        <v>6</v>
      </c>
      <c r="D3791" s="0" t="n">
        <v>6</v>
      </c>
      <c r="E3791" s="0" t="n">
        <f aca="false">-1+A3791*0.25</f>
        <v>0.25</v>
      </c>
      <c r="F3791" s="0" t="n">
        <f aca="false">-1+B3791*0.25</f>
        <v>-0.75</v>
      </c>
      <c r="G3791" s="0" t="n">
        <f aca="false">-1+C3791*0.25</f>
        <v>0.5</v>
      </c>
      <c r="H3791" s="0" t="n">
        <f aca="false">-1+D3791*0.25</f>
        <v>0.5</v>
      </c>
      <c r="I3791" s="0" t="n">
        <f aca="false">1</f>
        <v>1</v>
      </c>
      <c r="J3791" s="0" t="n">
        <f aca="false">E3791</f>
        <v>0.25</v>
      </c>
      <c r="K3791" s="0" t="n">
        <f aca="false">F3791</f>
        <v>-0.75</v>
      </c>
      <c r="L3791" s="0" t="n">
        <f aca="false">G3791</f>
        <v>0.5</v>
      </c>
      <c r="M3791" s="0" t="n">
        <f aca="false">H3791</f>
        <v>0.5</v>
      </c>
      <c r="N3791" s="0" t="n">
        <f aca="false">E3791*F3791</f>
        <v>-0.1875</v>
      </c>
      <c r="O3791" s="0" t="n">
        <f aca="false">E3791*G3791</f>
        <v>0.125</v>
      </c>
      <c r="P3791" s="0" t="n">
        <f aca="false">E3791*H3791</f>
        <v>0.125</v>
      </c>
      <c r="Q3791" s="0" t="n">
        <f aca="false">F3791*G3791</f>
        <v>-0.375</v>
      </c>
      <c r="R3791" s="0" t="n">
        <f aca="false">F3791*H3791</f>
        <v>-0.375</v>
      </c>
      <c r="S3791" s="0" t="n">
        <f aca="false">G3791*H3791</f>
        <v>0.25</v>
      </c>
      <c r="T3791" s="0" t="n">
        <f aca="false">E3791*E3791</f>
        <v>0.0625</v>
      </c>
      <c r="U3791" s="0" t="n">
        <f aca="false">F3791*F3791</f>
        <v>0.5625</v>
      </c>
      <c r="V3791" s="0" t="n">
        <f aca="false">G3791*G3791</f>
        <v>0.25</v>
      </c>
      <c r="W3791" s="0" t="n">
        <f aca="false">H3791*H3791</f>
        <v>0.25</v>
      </c>
      <c r="X3791" s="0" t="n">
        <f aca="false">SUMPRODUCT(I3791:W3791,_XtX!$B$96:$P$96)</f>
        <v>45.4104440789473</v>
      </c>
      <c r="Y3791" s="0" t="n">
        <f aca="false">SUMPRODUCT(MMULT(I3791:W3791,_XtX!$B$78:$P$92),I3791:W3791)</f>
        <v>0.203746059484649</v>
      </c>
      <c r="Z3791" s="0" t="n">
        <f aca="false">04_回帰ANOVA!$K$19*04_回帰ANOVA!$K$14*SQRT(1+Y3791)</f>
        <v>1.43009810755465</v>
      </c>
      <c r="AA3791" s="0" t="n">
        <f aca="false">X3791-Z3791</f>
        <v>43.9803459713927</v>
      </c>
      <c r="AB3791" s="0" t="n">
        <f aca="false">X3791+Z3791</f>
        <v>46.840542186502</v>
      </c>
      <c r="AC3791" s="54" t="b">
        <f aca="false">AND(E3791&gt;=01_因子設定!$L$5-0.000000001,E3791&lt;=01_因子設定!$M$5+0.000000001,F3791&gt;=01_因子設定!$L$6-0.000000001,F3791&lt;=01_因子設定!$M$6+0.000000001,G3791&gt;=01_因子設定!$L$7-0.000000001,G3791&lt;=01_因子設定!$M$7+0.000000001,H3791&gt;=01_因子設定!$L$8-0.000000001,H3791&lt;=01_因子設定!$M$8+0.000000001,IF(01_因子設定!$B$20="Box-Behnken",E3791^2+F3791^2+G3791^2+H3791^2&lt;=2+0.000000001,TRUE()))</f>
        <v>1</v>
      </c>
      <c r="AD3791" s="55" t="n">
        <f aca="false">IF(AC3791,IF(01_因子設定!$B$13="最大化",AA3791-01_因子設定!$B$14,IF(01_因子設定!$B$13="最小化",01_因子設定!$B$15-AB3791,MIN(AA3791-01_因子設定!$B$14,01_因子設定!$B$15-AB3791))),-1E+030)</f>
        <v>-2.51965402860733</v>
      </c>
      <c r="AE3791" s="55" t="n">
        <f aca="false">IF(AC3791,IF(01_因子設定!$B$13="最大化",X3791,IF(01_因子設定!$B$13="最小化",-X3791,-ABS(X3791-01_因子設定!$B$16))),-1E+030)</f>
        <v>45.4104440789473</v>
      </c>
      <c r="AF3791" s="55" t="n">
        <f aca="false">AD3791+ROW()*0.000000001</f>
        <v>-2.51965023760733</v>
      </c>
      <c r="AG3791" s="55" t="n">
        <f aca="false">AE3791+ROW()*0.000000001</f>
        <v>45.4104478699473</v>
      </c>
    </row>
    <row r="3792" customFormat="false" ht="15" hidden="false" customHeight="false" outlineLevel="0" collapsed="false">
      <c r="A3792" s="0" t="n">
        <v>5</v>
      </c>
      <c r="B3792" s="0" t="n">
        <v>1</v>
      </c>
      <c r="C3792" s="0" t="n">
        <v>6</v>
      </c>
      <c r="D3792" s="0" t="n">
        <v>7</v>
      </c>
      <c r="E3792" s="0" t="n">
        <f aca="false">-1+A3792*0.25</f>
        <v>0.25</v>
      </c>
      <c r="F3792" s="0" t="n">
        <f aca="false">-1+B3792*0.25</f>
        <v>-0.75</v>
      </c>
      <c r="G3792" s="0" t="n">
        <f aca="false">-1+C3792*0.25</f>
        <v>0.5</v>
      </c>
      <c r="H3792" s="0" t="n">
        <f aca="false">-1+D3792*0.25</f>
        <v>0.75</v>
      </c>
      <c r="I3792" s="0" t="n">
        <f aca="false">1</f>
        <v>1</v>
      </c>
      <c r="J3792" s="0" t="n">
        <f aca="false">E3792</f>
        <v>0.25</v>
      </c>
      <c r="K3792" s="0" t="n">
        <f aca="false">F3792</f>
        <v>-0.75</v>
      </c>
      <c r="L3792" s="0" t="n">
        <f aca="false">G3792</f>
        <v>0.5</v>
      </c>
      <c r="M3792" s="0" t="n">
        <f aca="false">H3792</f>
        <v>0.75</v>
      </c>
      <c r="N3792" s="0" t="n">
        <f aca="false">E3792*F3792</f>
        <v>-0.1875</v>
      </c>
      <c r="O3792" s="0" t="n">
        <f aca="false">E3792*G3792</f>
        <v>0.125</v>
      </c>
      <c r="P3792" s="0" t="n">
        <f aca="false">E3792*H3792</f>
        <v>0.1875</v>
      </c>
      <c r="Q3792" s="0" t="n">
        <f aca="false">F3792*G3792</f>
        <v>-0.375</v>
      </c>
      <c r="R3792" s="0" t="n">
        <f aca="false">F3792*H3792</f>
        <v>-0.5625</v>
      </c>
      <c r="S3792" s="0" t="n">
        <f aca="false">G3792*H3792</f>
        <v>0.375</v>
      </c>
      <c r="T3792" s="0" t="n">
        <f aca="false">E3792*E3792</f>
        <v>0.0625</v>
      </c>
      <c r="U3792" s="0" t="n">
        <f aca="false">F3792*F3792</f>
        <v>0.5625</v>
      </c>
      <c r="V3792" s="0" t="n">
        <f aca="false">G3792*G3792</f>
        <v>0.25</v>
      </c>
      <c r="W3792" s="0" t="n">
        <f aca="false">H3792*H3792</f>
        <v>0.5625</v>
      </c>
      <c r="X3792" s="0" t="n">
        <f aca="false">SUMPRODUCT(I3792:W3792,_XtX!$B$96:$P$96)</f>
        <v>45.4759091739766</v>
      </c>
      <c r="Y3792" s="0" t="n">
        <f aca="false">SUMPRODUCT(MMULT(I3792:W3792,_XtX!$B$78:$P$92),I3792:W3792)</f>
        <v>0.257385610836988</v>
      </c>
      <c r="Z3792" s="0" t="n">
        <f aca="false">04_回帰ANOVA!$K$19*04_回帰ANOVA!$K$14*SQRT(1+Y3792)</f>
        <v>1.46161380324158</v>
      </c>
      <c r="AA3792" s="0" t="n">
        <f aca="false">X3792-Z3792</f>
        <v>44.014295370735</v>
      </c>
      <c r="AB3792" s="0" t="n">
        <f aca="false">X3792+Z3792</f>
        <v>46.9375229772182</v>
      </c>
      <c r="AC3792" s="54" t="b">
        <f aca="false">AND(E3792&gt;=01_因子設定!$L$5-0.000000001,E3792&lt;=01_因子設定!$M$5+0.000000001,F3792&gt;=01_因子設定!$L$6-0.000000001,F3792&lt;=01_因子設定!$M$6+0.000000001,G3792&gt;=01_因子設定!$L$7-0.000000001,G3792&lt;=01_因子設定!$M$7+0.000000001,H3792&gt;=01_因子設定!$L$8-0.000000001,H3792&lt;=01_因子設定!$M$8+0.000000001,IF(01_因子設定!$B$20="Box-Behnken",E3792^2+F3792^2+G3792^2+H3792^2&lt;=2+0.000000001,TRUE()))</f>
        <v>1</v>
      </c>
      <c r="AD3792" s="55" t="n">
        <f aca="false">IF(AC3792,IF(01_因子設定!$B$13="最大化",AA3792-01_因子設定!$B$14,IF(01_因子設定!$B$13="最小化",01_因子設定!$B$15-AB3792,MIN(AA3792-01_因子設定!$B$14,01_因子設定!$B$15-AB3792))),-1E+030)</f>
        <v>-2.48570462926502</v>
      </c>
      <c r="AE3792" s="55" t="n">
        <f aca="false">IF(AC3792,IF(01_因子設定!$B$13="最大化",X3792,IF(01_因子設定!$B$13="最小化",-X3792,-ABS(X3792-01_因子設定!$B$16))),-1E+030)</f>
        <v>45.4759091739766</v>
      </c>
      <c r="AF3792" s="55" t="n">
        <f aca="false">AD3792+ROW()*0.000000001</f>
        <v>-2.48570083726502</v>
      </c>
      <c r="AG3792" s="55" t="n">
        <f aca="false">AE3792+ROW()*0.000000001</f>
        <v>45.4759129659766</v>
      </c>
    </row>
    <row r="3793" customFormat="false" ht="15" hidden="false" customHeight="false" outlineLevel="0" collapsed="false">
      <c r="A3793" s="0" t="n">
        <v>5</v>
      </c>
      <c r="B3793" s="0" t="n">
        <v>1</v>
      </c>
      <c r="C3793" s="0" t="n">
        <v>6</v>
      </c>
      <c r="D3793" s="0" t="n">
        <v>8</v>
      </c>
      <c r="E3793" s="0" t="n">
        <f aca="false">-1+A3793*0.25</f>
        <v>0.25</v>
      </c>
      <c r="F3793" s="0" t="n">
        <f aca="false">-1+B3793*0.25</f>
        <v>-0.75</v>
      </c>
      <c r="G3793" s="0" t="n">
        <f aca="false">-1+C3793*0.25</f>
        <v>0.5</v>
      </c>
      <c r="H3793" s="0" t="n">
        <f aca="false">-1+D3793*0.25</f>
        <v>1</v>
      </c>
      <c r="I3793" s="0" t="n">
        <f aca="false">1</f>
        <v>1</v>
      </c>
      <c r="J3793" s="0" t="n">
        <f aca="false">E3793</f>
        <v>0.25</v>
      </c>
      <c r="K3793" s="0" t="n">
        <f aca="false">F3793</f>
        <v>-0.75</v>
      </c>
      <c r="L3793" s="0" t="n">
        <f aca="false">G3793</f>
        <v>0.5</v>
      </c>
      <c r="M3793" s="0" t="n">
        <f aca="false">H3793</f>
        <v>1</v>
      </c>
      <c r="N3793" s="0" t="n">
        <f aca="false">E3793*F3793</f>
        <v>-0.1875</v>
      </c>
      <c r="O3793" s="0" t="n">
        <f aca="false">E3793*G3793</f>
        <v>0.125</v>
      </c>
      <c r="P3793" s="0" t="n">
        <f aca="false">E3793*H3793</f>
        <v>0.25</v>
      </c>
      <c r="Q3793" s="0" t="n">
        <f aca="false">F3793*G3793</f>
        <v>-0.375</v>
      </c>
      <c r="R3793" s="0" t="n">
        <f aca="false">F3793*H3793</f>
        <v>-0.75</v>
      </c>
      <c r="S3793" s="0" t="n">
        <f aca="false">G3793*H3793</f>
        <v>0.5</v>
      </c>
      <c r="T3793" s="0" t="n">
        <f aca="false">E3793*E3793</f>
        <v>0.0625</v>
      </c>
      <c r="U3793" s="0" t="n">
        <f aca="false">F3793*F3793</f>
        <v>0.5625</v>
      </c>
      <c r="V3793" s="0" t="n">
        <f aca="false">G3793*G3793</f>
        <v>0.25</v>
      </c>
      <c r="W3793" s="0" t="n">
        <f aca="false">H3793*H3793</f>
        <v>1</v>
      </c>
      <c r="X3793" s="0" t="n">
        <f aca="false">SUMPRODUCT(I3793:W3793,_XtX!$B$96:$P$96)</f>
        <v>45.493567251462</v>
      </c>
      <c r="Y3793" s="0" t="n">
        <f aca="false">SUMPRODUCT(MMULT(I3793:W3793,_XtX!$B$78:$P$92),I3793:W3793)</f>
        <v>0.459125719572369</v>
      </c>
      <c r="Z3793" s="0" t="n">
        <f aca="false">04_回帰ANOVA!$K$19*04_回帰ANOVA!$K$14*SQRT(1+Y3793)</f>
        <v>1.57450755575573</v>
      </c>
      <c r="AA3793" s="0" t="n">
        <f aca="false">X3793-Z3793</f>
        <v>43.9190596957062</v>
      </c>
      <c r="AB3793" s="0" t="n">
        <f aca="false">X3793+Z3793</f>
        <v>47.0680748072177</v>
      </c>
      <c r="AC3793" s="54" t="b">
        <f aca="false">AND(E3793&gt;=01_因子設定!$L$5-0.000000001,E3793&lt;=01_因子設定!$M$5+0.000000001,F3793&gt;=01_因子設定!$L$6-0.000000001,F3793&lt;=01_因子設定!$M$6+0.000000001,G3793&gt;=01_因子設定!$L$7-0.000000001,G3793&lt;=01_因子設定!$M$7+0.000000001,H3793&gt;=01_因子設定!$L$8-0.000000001,H3793&lt;=01_因子設定!$M$8+0.000000001,IF(01_因子設定!$B$20="Box-Behnken",E3793^2+F3793^2+G3793^2+H3793^2&lt;=2+0.000000001,TRUE()))</f>
        <v>1</v>
      </c>
      <c r="AD3793" s="55" t="n">
        <f aca="false">IF(AC3793,IF(01_因子設定!$B$13="最大化",AA3793-01_因子設定!$B$14,IF(01_因子設定!$B$13="最小化",01_因子設定!$B$15-AB3793,MIN(AA3793-01_因子設定!$B$14,01_因子設定!$B$15-AB3793))),-1E+030)</f>
        <v>-2.58094030429377</v>
      </c>
      <c r="AE3793" s="55" t="n">
        <f aca="false">IF(AC3793,IF(01_因子設定!$B$13="最大化",X3793,IF(01_因子設定!$B$13="最小化",-X3793,-ABS(X3793-01_因子設定!$B$16))),-1E+030)</f>
        <v>45.493567251462</v>
      </c>
      <c r="AF3793" s="55" t="n">
        <f aca="false">AD3793+ROW()*0.000000001</f>
        <v>-2.58093651129377</v>
      </c>
      <c r="AG3793" s="55" t="n">
        <f aca="false">AE3793+ROW()*0.000000001</f>
        <v>45.493571044462</v>
      </c>
    </row>
    <row r="3794" customFormat="false" ht="15" hidden="false" customHeight="false" outlineLevel="0" collapsed="false">
      <c r="A3794" s="0" t="n">
        <v>5</v>
      </c>
      <c r="B3794" s="0" t="n">
        <v>1</v>
      </c>
      <c r="C3794" s="0" t="n">
        <v>7</v>
      </c>
      <c r="D3794" s="0" t="n">
        <v>0</v>
      </c>
      <c r="E3794" s="0" t="n">
        <f aca="false">-1+A3794*0.25</f>
        <v>0.25</v>
      </c>
      <c r="F3794" s="0" t="n">
        <f aca="false">-1+B3794*0.25</f>
        <v>-0.75</v>
      </c>
      <c r="G3794" s="0" t="n">
        <f aca="false">-1+C3794*0.25</f>
        <v>0.75</v>
      </c>
      <c r="H3794" s="0" t="n">
        <f aca="false">-1+D3794*0.25</f>
        <v>-1</v>
      </c>
      <c r="I3794" s="0" t="n">
        <f aca="false">1</f>
        <v>1</v>
      </c>
      <c r="J3794" s="0" t="n">
        <f aca="false">E3794</f>
        <v>0.25</v>
      </c>
      <c r="K3794" s="0" t="n">
        <f aca="false">F3794</f>
        <v>-0.75</v>
      </c>
      <c r="L3794" s="0" t="n">
        <f aca="false">G3794</f>
        <v>0.75</v>
      </c>
      <c r="M3794" s="0" t="n">
        <f aca="false">H3794</f>
        <v>-1</v>
      </c>
      <c r="N3794" s="0" t="n">
        <f aca="false">E3794*F3794</f>
        <v>-0.1875</v>
      </c>
      <c r="O3794" s="0" t="n">
        <f aca="false">E3794*G3794</f>
        <v>0.1875</v>
      </c>
      <c r="P3794" s="0" t="n">
        <f aca="false">E3794*H3794</f>
        <v>-0.25</v>
      </c>
      <c r="Q3794" s="0" t="n">
        <f aca="false">F3794*G3794</f>
        <v>-0.5625</v>
      </c>
      <c r="R3794" s="0" t="n">
        <f aca="false">F3794*H3794</f>
        <v>0.75</v>
      </c>
      <c r="S3794" s="0" t="n">
        <f aca="false">G3794*H3794</f>
        <v>-0.75</v>
      </c>
      <c r="T3794" s="0" t="n">
        <f aca="false">E3794*E3794</f>
        <v>0.0625</v>
      </c>
      <c r="U3794" s="0" t="n">
        <f aca="false">F3794*F3794</f>
        <v>0.5625</v>
      </c>
      <c r="V3794" s="0" t="n">
        <f aca="false">G3794*G3794</f>
        <v>0.5625</v>
      </c>
      <c r="W3794" s="0" t="n">
        <f aca="false">H3794*H3794</f>
        <v>1</v>
      </c>
      <c r="X3794" s="0" t="n">
        <f aca="false">SUMPRODUCT(I3794:W3794,_XtX!$B$96:$P$96)</f>
        <v>43.8751781798245</v>
      </c>
      <c r="Y3794" s="0" t="n">
        <f aca="false">SUMPRODUCT(MMULT(I3794:W3794,_XtX!$B$78:$P$92),I3794:W3794)</f>
        <v>0.473959761056287</v>
      </c>
      <c r="Z3794" s="0" t="n">
        <f aca="false">04_回帰ANOVA!$K$19*04_回帰ANOVA!$K$14*SQRT(1+Y3794)</f>
        <v>1.58249084588329</v>
      </c>
      <c r="AA3794" s="0" t="n">
        <f aca="false">X3794-Z3794</f>
        <v>42.2926873339413</v>
      </c>
      <c r="AB3794" s="0" t="n">
        <f aca="false">X3794+Z3794</f>
        <v>45.4576690257078</v>
      </c>
      <c r="AC3794" s="54" t="b">
        <f aca="false">AND(E3794&gt;=01_因子設定!$L$5-0.000000001,E3794&lt;=01_因子設定!$M$5+0.000000001,F3794&gt;=01_因子設定!$L$6-0.000000001,F3794&lt;=01_因子設定!$M$6+0.000000001,G3794&gt;=01_因子設定!$L$7-0.000000001,G3794&lt;=01_因子設定!$M$7+0.000000001,H3794&gt;=01_因子設定!$L$8-0.000000001,H3794&lt;=01_因子設定!$M$8+0.000000001,IF(01_因子設定!$B$20="Box-Behnken",E3794^2+F3794^2+G3794^2+H3794^2&lt;=2+0.000000001,TRUE()))</f>
        <v>1</v>
      </c>
      <c r="AD3794" s="55" t="n">
        <f aca="false">IF(AC3794,IF(01_因子設定!$B$13="最大化",AA3794-01_因子設定!$B$14,IF(01_因子設定!$B$13="最小化",01_因子設定!$B$15-AB3794,MIN(AA3794-01_因子設定!$B$14,01_因子設定!$B$15-AB3794))),-1E+030)</f>
        <v>-4.20731266605875</v>
      </c>
      <c r="AE3794" s="55" t="n">
        <f aca="false">IF(AC3794,IF(01_因子設定!$B$13="最大化",X3794,IF(01_因子設定!$B$13="最小化",-X3794,-ABS(X3794-01_因子設定!$B$16))),-1E+030)</f>
        <v>43.8751781798245</v>
      </c>
      <c r="AF3794" s="55" t="n">
        <f aca="false">AD3794+ROW()*0.000000001</f>
        <v>-4.20730887205875</v>
      </c>
      <c r="AG3794" s="55" t="n">
        <f aca="false">AE3794+ROW()*0.000000001</f>
        <v>43.8751819738245</v>
      </c>
    </row>
    <row r="3795" customFormat="false" ht="15" hidden="false" customHeight="false" outlineLevel="0" collapsed="false">
      <c r="A3795" s="0" t="n">
        <v>5</v>
      </c>
      <c r="B3795" s="0" t="n">
        <v>1</v>
      </c>
      <c r="C3795" s="0" t="n">
        <v>7</v>
      </c>
      <c r="D3795" s="0" t="n">
        <v>1</v>
      </c>
      <c r="E3795" s="0" t="n">
        <f aca="false">-1+A3795*0.25</f>
        <v>0.25</v>
      </c>
      <c r="F3795" s="0" t="n">
        <f aca="false">-1+B3795*0.25</f>
        <v>-0.75</v>
      </c>
      <c r="G3795" s="0" t="n">
        <f aca="false">-1+C3795*0.25</f>
        <v>0.75</v>
      </c>
      <c r="H3795" s="0" t="n">
        <f aca="false">-1+D3795*0.25</f>
        <v>-0.75</v>
      </c>
      <c r="I3795" s="0" t="n">
        <f aca="false">1</f>
        <v>1</v>
      </c>
      <c r="J3795" s="0" t="n">
        <f aca="false">E3795</f>
        <v>0.25</v>
      </c>
      <c r="K3795" s="0" t="n">
        <f aca="false">F3795</f>
        <v>-0.75</v>
      </c>
      <c r="L3795" s="0" t="n">
        <f aca="false">G3795</f>
        <v>0.75</v>
      </c>
      <c r="M3795" s="0" t="n">
        <f aca="false">H3795</f>
        <v>-0.75</v>
      </c>
      <c r="N3795" s="0" t="n">
        <f aca="false">E3795*F3795</f>
        <v>-0.1875</v>
      </c>
      <c r="O3795" s="0" t="n">
        <f aca="false">E3795*G3795</f>
        <v>0.1875</v>
      </c>
      <c r="P3795" s="0" t="n">
        <f aca="false">E3795*H3795</f>
        <v>-0.1875</v>
      </c>
      <c r="Q3795" s="0" t="n">
        <f aca="false">F3795*G3795</f>
        <v>-0.5625</v>
      </c>
      <c r="R3795" s="0" t="n">
        <f aca="false">F3795*H3795</f>
        <v>0.5625</v>
      </c>
      <c r="S3795" s="0" t="n">
        <f aca="false">G3795*H3795</f>
        <v>-0.5625</v>
      </c>
      <c r="T3795" s="0" t="n">
        <f aca="false">E3795*E3795</f>
        <v>0.0625</v>
      </c>
      <c r="U3795" s="0" t="n">
        <f aca="false">F3795*F3795</f>
        <v>0.5625</v>
      </c>
      <c r="V3795" s="0" t="n">
        <f aca="false">G3795*G3795</f>
        <v>0.5625</v>
      </c>
      <c r="W3795" s="0" t="n">
        <f aca="false">H3795*H3795</f>
        <v>0.5625</v>
      </c>
      <c r="X3795" s="0" t="n">
        <f aca="false">SUMPRODUCT(I3795:W3795,_XtX!$B$96:$P$96)</f>
        <v>44.2454541301169</v>
      </c>
      <c r="Y3795" s="0" t="n">
        <f aca="false">SUMPRODUCT(MMULT(I3795:W3795,_XtX!$B$78:$P$92),I3795:W3795)</f>
        <v>0.294856199744152</v>
      </c>
      <c r="Z3795" s="0" t="n">
        <f aca="false">04_回帰ANOVA!$K$19*04_回帰ANOVA!$K$14*SQRT(1+Y3795)</f>
        <v>1.48323226089013</v>
      </c>
      <c r="AA3795" s="0" t="n">
        <f aca="false">X3795-Z3795</f>
        <v>42.7622218692268</v>
      </c>
      <c r="AB3795" s="0" t="n">
        <f aca="false">X3795+Z3795</f>
        <v>45.7286863910071</v>
      </c>
      <c r="AC3795" s="54" t="b">
        <f aca="false">AND(E3795&gt;=01_因子設定!$L$5-0.000000001,E3795&lt;=01_因子設定!$M$5+0.000000001,F3795&gt;=01_因子設定!$L$6-0.000000001,F3795&lt;=01_因子設定!$M$6+0.000000001,G3795&gt;=01_因子設定!$L$7-0.000000001,G3795&lt;=01_因子設定!$M$7+0.000000001,H3795&gt;=01_因子設定!$L$8-0.000000001,H3795&lt;=01_因子設定!$M$8+0.000000001,IF(01_因子設定!$B$20="Box-Behnken",E3795^2+F3795^2+G3795^2+H3795^2&lt;=2+0.000000001,TRUE()))</f>
        <v>1</v>
      </c>
      <c r="AD3795" s="55" t="n">
        <f aca="false">IF(AC3795,IF(01_因子設定!$B$13="最大化",AA3795-01_因子設定!$B$14,IF(01_因子設定!$B$13="最小化",01_因子設定!$B$15-AB3795,MIN(AA3795-01_因子設定!$B$14,01_因子設定!$B$15-AB3795))),-1E+030)</f>
        <v>-3.73777813077322</v>
      </c>
      <c r="AE3795" s="55" t="n">
        <f aca="false">IF(AC3795,IF(01_因子設定!$B$13="最大化",X3795,IF(01_因子設定!$B$13="最小化",-X3795,-ABS(X3795-01_因子設定!$B$16))),-1E+030)</f>
        <v>44.2454541301169</v>
      </c>
      <c r="AF3795" s="55" t="n">
        <f aca="false">AD3795+ROW()*0.000000001</f>
        <v>-3.73777433577322</v>
      </c>
      <c r="AG3795" s="55" t="n">
        <f aca="false">AE3795+ROW()*0.000000001</f>
        <v>44.2454579251169</v>
      </c>
    </row>
    <row r="3796" customFormat="false" ht="15" hidden="false" customHeight="false" outlineLevel="0" collapsed="false">
      <c r="A3796" s="0" t="n">
        <v>5</v>
      </c>
      <c r="B3796" s="0" t="n">
        <v>1</v>
      </c>
      <c r="C3796" s="0" t="n">
        <v>7</v>
      </c>
      <c r="D3796" s="0" t="n">
        <v>2</v>
      </c>
      <c r="E3796" s="0" t="n">
        <f aca="false">-1+A3796*0.25</f>
        <v>0.25</v>
      </c>
      <c r="F3796" s="0" t="n">
        <f aca="false">-1+B3796*0.25</f>
        <v>-0.75</v>
      </c>
      <c r="G3796" s="0" t="n">
        <f aca="false">-1+C3796*0.25</f>
        <v>0.75</v>
      </c>
      <c r="H3796" s="0" t="n">
        <f aca="false">-1+D3796*0.25</f>
        <v>-0.5</v>
      </c>
      <c r="I3796" s="0" t="n">
        <f aca="false">1</f>
        <v>1</v>
      </c>
      <c r="J3796" s="0" t="n">
        <f aca="false">E3796</f>
        <v>0.25</v>
      </c>
      <c r="K3796" s="0" t="n">
        <f aca="false">F3796</f>
        <v>-0.75</v>
      </c>
      <c r="L3796" s="0" t="n">
        <f aca="false">G3796</f>
        <v>0.75</v>
      </c>
      <c r="M3796" s="0" t="n">
        <f aca="false">H3796</f>
        <v>-0.5</v>
      </c>
      <c r="N3796" s="0" t="n">
        <f aca="false">E3796*F3796</f>
        <v>-0.1875</v>
      </c>
      <c r="O3796" s="0" t="n">
        <f aca="false">E3796*G3796</f>
        <v>0.1875</v>
      </c>
      <c r="P3796" s="0" t="n">
        <f aca="false">E3796*H3796</f>
        <v>-0.125</v>
      </c>
      <c r="Q3796" s="0" t="n">
        <f aca="false">F3796*G3796</f>
        <v>-0.5625</v>
      </c>
      <c r="R3796" s="0" t="n">
        <f aca="false">F3796*H3796</f>
        <v>0.375</v>
      </c>
      <c r="S3796" s="0" t="n">
        <f aca="false">G3796*H3796</f>
        <v>-0.375</v>
      </c>
      <c r="T3796" s="0" t="n">
        <f aca="false">E3796*E3796</f>
        <v>0.0625</v>
      </c>
      <c r="U3796" s="0" t="n">
        <f aca="false">F3796*F3796</f>
        <v>0.5625</v>
      </c>
      <c r="V3796" s="0" t="n">
        <f aca="false">G3796*G3796</f>
        <v>0.5625</v>
      </c>
      <c r="W3796" s="0" t="n">
        <f aca="false">H3796*H3796</f>
        <v>0.25</v>
      </c>
      <c r="X3796" s="0" t="n">
        <f aca="false">SUMPRODUCT(I3796:W3796,_XtX!$B$96:$P$96)</f>
        <v>44.5679230628655</v>
      </c>
      <c r="Y3796" s="0" t="n">
        <f aca="false">SUMPRODUCT(MMULT(I3796:W3796,_XtX!$B$78:$P$92),I3796:W3796)</f>
        <v>0.257385610836988</v>
      </c>
      <c r="Z3796" s="0" t="n">
        <f aca="false">04_回帰ANOVA!$K$19*04_回帰ANOVA!$K$14*SQRT(1+Y3796)</f>
        <v>1.46161380324158</v>
      </c>
      <c r="AA3796" s="0" t="n">
        <f aca="false">X3796-Z3796</f>
        <v>43.1063092596239</v>
      </c>
      <c r="AB3796" s="0" t="n">
        <f aca="false">X3796+Z3796</f>
        <v>46.029536866107</v>
      </c>
      <c r="AC3796" s="54" t="b">
        <f aca="false">AND(E3796&gt;=01_因子設定!$L$5-0.000000001,E3796&lt;=01_因子設定!$M$5+0.000000001,F3796&gt;=01_因子設定!$L$6-0.000000001,F3796&lt;=01_因子設定!$M$6+0.000000001,G3796&gt;=01_因子設定!$L$7-0.000000001,G3796&lt;=01_因子設定!$M$7+0.000000001,H3796&gt;=01_因子設定!$L$8-0.000000001,H3796&lt;=01_因子設定!$M$8+0.000000001,IF(01_因子設定!$B$20="Box-Behnken",E3796^2+F3796^2+G3796^2+H3796^2&lt;=2+0.000000001,TRUE()))</f>
        <v>1</v>
      </c>
      <c r="AD3796" s="55" t="n">
        <f aca="false">IF(AC3796,IF(01_因子設定!$B$13="最大化",AA3796-01_因子設定!$B$14,IF(01_因子設定!$B$13="最小化",01_因子設定!$B$15-AB3796,MIN(AA3796-01_因子設定!$B$14,01_因子設定!$B$15-AB3796))),-1E+030)</f>
        <v>-3.39369074037614</v>
      </c>
      <c r="AE3796" s="55" t="n">
        <f aca="false">IF(AC3796,IF(01_因子設定!$B$13="最大化",X3796,IF(01_因子設定!$B$13="最小化",-X3796,-ABS(X3796-01_因子設定!$B$16))),-1E+030)</f>
        <v>44.5679230628655</v>
      </c>
      <c r="AF3796" s="55" t="n">
        <f aca="false">AD3796+ROW()*0.000000001</f>
        <v>-3.39368694437614</v>
      </c>
      <c r="AG3796" s="55" t="n">
        <f aca="false">AE3796+ROW()*0.000000001</f>
        <v>44.5679268588655</v>
      </c>
    </row>
    <row r="3797" customFormat="false" ht="15" hidden="false" customHeight="false" outlineLevel="0" collapsed="false">
      <c r="A3797" s="0" t="n">
        <v>5</v>
      </c>
      <c r="B3797" s="0" t="n">
        <v>1</v>
      </c>
      <c r="C3797" s="0" t="n">
        <v>7</v>
      </c>
      <c r="D3797" s="0" t="n">
        <v>3</v>
      </c>
      <c r="E3797" s="0" t="n">
        <f aca="false">-1+A3797*0.25</f>
        <v>0.25</v>
      </c>
      <c r="F3797" s="0" t="n">
        <f aca="false">-1+B3797*0.25</f>
        <v>-0.75</v>
      </c>
      <c r="G3797" s="0" t="n">
        <f aca="false">-1+C3797*0.25</f>
        <v>0.75</v>
      </c>
      <c r="H3797" s="0" t="n">
        <f aca="false">-1+D3797*0.25</f>
        <v>-0.25</v>
      </c>
      <c r="I3797" s="0" t="n">
        <f aca="false">1</f>
        <v>1</v>
      </c>
      <c r="J3797" s="0" t="n">
        <f aca="false">E3797</f>
        <v>0.25</v>
      </c>
      <c r="K3797" s="0" t="n">
        <f aca="false">F3797</f>
        <v>-0.75</v>
      </c>
      <c r="L3797" s="0" t="n">
        <f aca="false">G3797</f>
        <v>0.75</v>
      </c>
      <c r="M3797" s="0" t="n">
        <f aca="false">H3797</f>
        <v>-0.25</v>
      </c>
      <c r="N3797" s="0" t="n">
        <f aca="false">E3797*F3797</f>
        <v>-0.1875</v>
      </c>
      <c r="O3797" s="0" t="n">
        <f aca="false">E3797*G3797</f>
        <v>0.1875</v>
      </c>
      <c r="P3797" s="0" t="n">
        <f aca="false">E3797*H3797</f>
        <v>-0.0625</v>
      </c>
      <c r="Q3797" s="0" t="n">
        <f aca="false">F3797*G3797</f>
        <v>-0.5625</v>
      </c>
      <c r="R3797" s="0" t="n">
        <f aca="false">F3797*H3797</f>
        <v>0.1875</v>
      </c>
      <c r="S3797" s="0" t="n">
        <f aca="false">G3797*H3797</f>
        <v>-0.1875</v>
      </c>
      <c r="T3797" s="0" t="n">
        <f aca="false">E3797*E3797</f>
        <v>0.0625</v>
      </c>
      <c r="U3797" s="0" t="n">
        <f aca="false">F3797*F3797</f>
        <v>0.5625</v>
      </c>
      <c r="V3797" s="0" t="n">
        <f aca="false">G3797*G3797</f>
        <v>0.5625</v>
      </c>
      <c r="W3797" s="0" t="n">
        <f aca="false">H3797*H3797</f>
        <v>0.0625</v>
      </c>
      <c r="X3797" s="0" t="n">
        <f aca="false">SUMPRODUCT(I3797:W3797,_XtX!$B$96:$P$96)</f>
        <v>44.8425849780701</v>
      </c>
      <c r="Y3797" s="0" t="n">
        <f aca="false">SUMPRODUCT(MMULT(I3797:W3797,_XtX!$B$78:$P$92),I3797:W3797)</f>
        <v>0.271087468019006</v>
      </c>
      <c r="Z3797" s="0" t="n">
        <f aca="false">04_回帰ANOVA!$K$19*04_回帰ANOVA!$K$14*SQRT(1+Y3797)</f>
        <v>1.46955590155034</v>
      </c>
      <c r="AA3797" s="0" t="n">
        <f aca="false">X3797-Z3797</f>
        <v>43.3730290765198</v>
      </c>
      <c r="AB3797" s="0" t="n">
        <f aca="false">X3797+Z3797</f>
        <v>46.3121408796205</v>
      </c>
      <c r="AC3797" s="54" t="b">
        <f aca="false">AND(E3797&gt;=01_因子設定!$L$5-0.000000001,E3797&lt;=01_因子設定!$M$5+0.000000001,F3797&gt;=01_因子設定!$L$6-0.000000001,F3797&lt;=01_因子設定!$M$6+0.000000001,G3797&gt;=01_因子設定!$L$7-0.000000001,G3797&lt;=01_因子設定!$M$7+0.000000001,H3797&gt;=01_因子設定!$L$8-0.000000001,H3797&lt;=01_因子設定!$M$8+0.000000001,IF(01_因子設定!$B$20="Box-Behnken",E3797^2+F3797^2+G3797^2+H3797^2&lt;=2+0.000000001,TRUE()))</f>
        <v>1</v>
      </c>
      <c r="AD3797" s="55" t="n">
        <f aca="false">IF(AC3797,IF(01_因子設定!$B$13="最大化",AA3797-01_因子設定!$B$14,IF(01_因子設定!$B$13="最小化",01_因子設定!$B$15-AB3797,MIN(AA3797-01_因子設定!$B$14,01_因子設定!$B$15-AB3797))),-1E+030)</f>
        <v>-3.12697092348022</v>
      </c>
      <c r="AE3797" s="55" t="n">
        <f aca="false">IF(AC3797,IF(01_因子設定!$B$13="最大化",X3797,IF(01_因子設定!$B$13="最小化",-X3797,-ABS(X3797-01_因子設定!$B$16))),-1E+030)</f>
        <v>44.8425849780701</v>
      </c>
      <c r="AF3797" s="55" t="n">
        <f aca="false">AD3797+ROW()*0.000000001</f>
        <v>-3.12696712648022</v>
      </c>
      <c r="AG3797" s="55" t="n">
        <f aca="false">AE3797+ROW()*0.000000001</f>
        <v>44.8425887750701</v>
      </c>
    </row>
    <row r="3798" customFormat="false" ht="15" hidden="false" customHeight="false" outlineLevel="0" collapsed="false">
      <c r="A3798" s="0" t="n">
        <v>5</v>
      </c>
      <c r="B3798" s="0" t="n">
        <v>1</v>
      </c>
      <c r="C3798" s="0" t="n">
        <v>7</v>
      </c>
      <c r="D3798" s="0" t="n">
        <v>4</v>
      </c>
      <c r="E3798" s="0" t="n">
        <f aca="false">-1+A3798*0.25</f>
        <v>0.25</v>
      </c>
      <c r="F3798" s="0" t="n">
        <f aca="false">-1+B3798*0.25</f>
        <v>-0.75</v>
      </c>
      <c r="G3798" s="0" t="n">
        <f aca="false">-1+C3798*0.25</f>
        <v>0.75</v>
      </c>
      <c r="H3798" s="0" t="n">
        <f aca="false">-1+D3798*0.25</f>
        <v>0</v>
      </c>
      <c r="I3798" s="0" t="n">
        <f aca="false">1</f>
        <v>1</v>
      </c>
      <c r="J3798" s="0" t="n">
        <f aca="false">E3798</f>
        <v>0.25</v>
      </c>
      <c r="K3798" s="0" t="n">
        <f aca="false">F3798</f>
        <v>-0.75</v>
      </c>
      <c r="L3798" s="0" t="n">
        <f aca="false">G3798</f>
        <v>0.75</v>
      </c>
      <c r="M3798" s="0" t="n">
        <f aca="false">H3798</f>
        <v>0</v>
      </c>
      <c r="N3798" s="0" t="n">
        <f aca="false">E3798*F3798</f>
        <v>-0.1875</v>
      </c>
      <c r="O3798" s="0" t="n">
        <f aca="false">E3798*G3798</f>
        <v>0.1875</v>
      </c>
      <c r="P3798" s="0" t="n">
        <f aca="false">E3798*H3798</f>
        <v>0</v>
      </c>
      <c r="Q3798" s="0" t="n">
        <f aca="false">F3798*G3798</f>
        <v>-0.5625</v>
      </c>
      <c r="R3798" s="0" t="n">
        <f aca="false">F3798*H3798</f>
        <v>-0</v>
      </c>
      <c r="S3798" s="0" t="n">
        <f aca="false">G3798*H3798</f>
        <v>0</v>
      </c>
      <c r="T3798" s="0" t="n">
        <f aca="false">E3798*E3798</f>
        <v>0.0625</v>
      </c>
      <c r="U3798" s="0" t="n">
        <f aca="false">F3798*F3798</f>
        <v>0.5625</v>
      </c>
      <c r="V3798" s="0" t="n">
        <f aca="false">G3798*G3798</f>
        <v>0.5625</v>
      </c>
      <c r="W3798" s="0" t="n">
        <f aca="false">H3798*H3798</f>
        <v>0</v>
      </c>
      <c r="X3798" s="0" t="n">
        <f aca="false">SUMPRODUCT(I3798:W3798,_XtX!$B$96:$P$96)</f>
        <v>45.0694398757309</v>
      </c>
      <c r="Y3798" s="0" t="n">
        <f aca="false">SUMPRODUCT(MMULT(I3798:W3798,_XtX!$B$78:$P$92),I3798:W3798)</f>
        <v>0.281685455500731</v>
      </c>
      <c r="Z3798" s="0" t="n">
        <f aca="false">04_回帰ANOVA!$K$19*04_回帰ANOVA!$K$14*SQRT(1+Y3798)</f>
        <v>1.47566956658694</v>
      </c>
      <c r="AA3798" s="0" t="n">
        <f aca="false">X3798-Z3798</f>
        <v>43.593770309144</v>
      </c>
      <c r="AB3798" s="0" t="n">
        <f aca="false">X3798+Z3798</f>
        <v>46.5451094423179</v>
      </c>
      <c r="AC3798" s="54" t="b">
        <f aca="false">AND(E3798&gt;=01_因子設定!$L$5-0.000000001,E3798&lt;=01_因子設定!$M$5+0.000000001,F3798&gt;=01_因子設定!$L$6-0.000000001,F3798&lt;=01_因子設定!$M$6+0.000000001,G3798&gt;=01_因子設定!$L$7-0.000000001,G3798&lt;=01_因子設定!$M$7+0.000000001,H3798&gt;=01_因子設定!$L$8-0.000000001,H3798&lt;=01_因子設定!$M$8+0.000000001,IF(01_因子設定!$B$20="Box-Behnken",E3798^2+F3798^2+G3798^2+H3798^2&lt;=2+0.000000001,TRUE()))</f>
        <v>1</v>
      </c>
      <c r="AD3798" s="55" t="n">
        <f aca="false">IF(AC3798,IF(01_因子設定!$B$13="最大化",AA3798-01_因子設定!$B$14,IF(01_因子設定!$B$13="最小化",01_因子設定!$B$15-AB3798,MIN(AA3798-01_因子設定!$B$14,01_因子設定!$B$15-AB3798))),-1E+030)</f>
        <v>-2.906229690856</v>
      </c>
      <c r="AE3798" s="55" t="n">
        <f aca="false">IF(AC3798,IF(01_因子設定!$B$13="最大化",X3798,IF(01_因子設定!$B$13="最小化",-X3798,-ABS(X3798-01_因子設定!$B$16))),-1E+030)</f>
        <v>45.0694398757309</v>
      </c>
      <c r="AF3798" s="55" t="n">
        <f aca="false">AD3798+ROW()*0.000000001</f>
        <v>-2.906225892856</v>
      </c>
      <c r="AG3798" s="55" t="n">
        <f aca="false">AE3798+ROW()*0.000000001</f>
        <v>45.0694436737309</v>
      </c>
    </row>
    <row r="3799" customFormat="false" ht="15" hidden="false" customHeight="false" outlineLevel="0" collapsed="false">
      <c r="A3799" s="0" t="n">
        <v>5</v>
      </c>
      <c r="B3799" s="0" t="n">
        <v>1</v>
      </c>
      <c r="C3799" s="0" t="n">
        <v>7</v>
      </c>
      <c r="D3799" s="0" t="n">
        <v>5</v>
      </c>
      <c r="E3799" s="0" t="n">
        <f aca="false">-1+A3799*0.25</f>
        <v>0.25</v>
      </c>
      <c r="F3799" s="0" t="n">
        <f aca="false">-1+B3799*0.25</f>
        <v>-0.75</v>
      </c>
      <c r="G3799" s="0" t="n">
        <f aca="false">-1+C3799*0.25</f>
        <v>0.75</v>
      </c>
      <c r="H3799" s="0" t="n">
        <f aca="false">-1+D3799*0.25</f>
        <v>0.25</v>
      </c>
      <c r="I3799" s="0" t="n">
        <f aca="false">1</f>
        <v>1</v>
      </c>
      <c r="J3799" s="0" t="n">
        <f aca="false">E3799</f>
        <v>0.25</v>
      </c>
      <c r="K3799" s="0" t="n">
        <f aca="false">F3799</f>
        <v>-0.75</v>
      </c>
      <c r="L3799" s="0" t="n">
        <f aca="false">G3799</f>
        <v>0.75</v>
      </c>
      <c r="M3799" s="0" t="n">
        <f aca="false">H3799</f>
        <v>0.25</v>
      </c>
      <c r="N3799" s="0" t="n">
        <f aca="false">E3799*F3799</f>
        <v>-0.1875</v>
      </c>
      <c r="O3799" s="0" t="n">
        <f aca="false">E3799*G3799</f>
        <v>0.1875</v>
      </c>
      <c r="P3799" s="0" t="n">
        <f aca="false">E3799*H3799</f>
        <v>0.0625</v>
      </c>
      <c r="Q3799" s="0" t="n">
        <f aca="false">F3799*G3799</f>
        <v>-0.5625</v>
      </c>
      <c r="R3799" s="0" t="n">
        <f aca="false">F3799*H3799</f>
        <v>-0.1875</v>
      </c>
      <c r="S3799" s="0" t="n">
        <f aca="false">G3799*H3799</f>
        <v>0.1875</v>
      </c>
      <c r="T3799" s="0" t="n">
        <f aca="false">E3799*E3799</f>
        <v>0.0625</v>
      </c>
      <c r="U3799" s="0" t="n">
        <f aca="false">F3799*F3799</f>
        <v>0.5625</v>
      </c>
      <c r="V3799" s="0" t="n">
        <f aca="false">G3799*G3799</f>
        <v>0.5625</v>
      </c>
      <c r="W3799" s="0" t="n">
        <f aca="false">H3799*H3799</f>
        <v>0.0625</v>
      </c>
      <c r="X3799" s="0" t="n">
        <f aca="false">SUMPRODUCT(I3799:W3799,_XtX!$B$96:$P$96)</f>
        <v>45.2484877558479</v>
      </c>
      <c r="Y3799" s="0" t="n">
        <f aca="false">SUMPRODUCT(MMULT(I3799:W3799,_XtX!$B$78:$P$92),I3799:W3799)</f>
        <v>0.271087468019006</v>
      </c>
      <c r="Z3799" s="0" t="n">
        <f aca="false">04_回帰ANOVA!$K$19*04_回帰ANOVA!$K$14*SQRT(1+Y3799)</f>
        <v>1.46955590155034</v>
      </c>
      <c r="AA3799" s="0" t="n">
        <f aca="false">X3799-Z3799</f>
        <v>43.7789318542976</v>
      </c>
      <c r="AB3799" s="0" t="n">
        <f aca="false">X3799+Z3799</f>
        <v>46.7180436573982</v>
      </c>
      <c r="AC3799" s="54" t="b">
        <f aca="false">AND(E3799&gt;=01_因子設定!$L$5-0.000000001,E3799&lt;=01_因子設定!$M$5+0.000000001,F3799&gt;=01_因子設定!$L$6-0.000000001,F3799&lt;=01_因子設定!$M$6+0.000000001,G3799&gt;=01_因子設定!$L$7-0.000000001,G3799&lt;=01_因子設定!$M$7+0.000000001,H3799&gt;=01_因子設定!$L$8-0.000000001,H3799&lt;=01_因子設定!$M$8+0.000000001,IF(01_因子設定!$B$20="Box-Behnken",E3799^2+F3799^2+G3799^2+H3799^2&lt;=2+0.000000001,TRUE()))</f>
        <v>1</v>
      </c>
      <c r="AD3799" s="55" t="n">
        <f aca="false">IF(AC3799,IF(01_因子設定!$B$13="最大化",AA3799-01_因子設定!$B$14,IF(01_因子設定!$B$13="最小化",01_因子設定!$B$15-AB3799,MIN(AA3799-01_因子設定!$B$14,01_因子設定!$B$15-AB3799))),-1E+030)</f>
        <v>-2.72106814570245</v>
      </c>
      <c r="AE3799" s="55" t="n">
        <f aca="false">IF(AC3799,IF(01_因子設定!$B$13="最大化",X3799,IF(01_因子設定!$B$13="最小化",-X3799,-ABS(X3799-01_因子設定!$B$16))),-1E+030)</f>
        <v>45.2484877558479</v>
      </c>
      <c r="AF3799" s="55" t="n">
        <f aca="false">AD3799+ROW()*0.000000001</f>
        <v>-2.72106434670245</v>
      </c>
      <c r="AG3799" s="55" t="n">
        <f aca="false">AE3799+ROW()*0.000000001</f>
        <v>45.2484915548479</v>
      </c>
    </row>
    <row r="3800" customFormat="false" ht="15" hidden="false" customHeight="false" outlineLevel="0" collapsed="false">
      <c r="A3800" s="0" t="n">
        <v>5</v>
      </c>
      <c r="B3800" s="0" t="n">
        <v>1</v>
      </c>
      <c r="C3800" s="0" t="n">
        <v>7</v>
      </c>
      <c r="D3800" s="0" t="n">
        <v>6</v>
      </c>
      <c r="E3800" s="0" t="n">
        <f aca="false">-1+A3800*0.25</f>
        <v>0.25</v>
      </c>
      <c r="F3800" s="0" t="n">
        <f aca="false">-1+B3800*0.25</f>
        <v>-0.75</v>
      </c>
      <c r="G3800" s="0" t="n">
        <f aca="false">-1+C3800*0.25</f>
        <v>0.75</v>
      </c>
      <c r="H3800" s="0" t="n">
        <f aca="false">-1+D3800*0.25</f>
        <v>0.5</v>
      </c>
      <c r="I3800" s="0" t="n">
        <f aca="false">1</f>
        <v>1</v>
      </c>
      <c r="J3800" s="0" t="n">
        <f aca="false">E3800</f>
        <v>0.25</v>
      </c>
      <c r="K3800" s="0" t="n">
        <f aca="false">F3800</f>
        <v>-0.75</v>
      </c>
      <c r="L3800" s="0" t="n">
        <f aca="false">G3800</f>
        <v>0.75</v>
      </c>
      <c r="M3800" s="0" t="n">
        <f aca="false">H3800</f>
        <v>0.5</v>
      </c>
      <c r="N3800" s="0" t="n">
        <f aca="false">E3800*F3800</f>
        <v>-0.1875</v>
      </c>
      <c r="O3800" s="0" t="n">
        <f aca="false">E3800*G3800</f>
        <v>0.1875</v>
      </c>
      <c r="P3800" s="0" t="n">
        <f aca="false">E3800*H3800</f>
        <v>0.125</v>
      </c>
      <c r="Q3800" s="0" t="n">
        <f aca="false">F3800*G3800</f>
        <v>-0.5625</v>
      </c>
      <c r="R3800" s="0" t="n">
        <f aca="false">F3800*H3800</f>
        <v>-0.375</v>
      </c>
      <c r="S3800" s="0" t="n">
        <f aca="false">G3800*H3800</f>
        <v>0.375</v>
      </c>
      <c r="T3800" s="0" t="n">
        <f aca="false">E3800*E3800</f>
        <v>0.0625</v>
      </c>
      <c r="U3800" s="0" t="n">
        <f aca="false">F3800*F3800</f>
        <v>0.5625</v>
      </c>
      <c r="V3800" s="0" t="n">
        <f aca="false">G3800*G3800</f>
        <v>0.5625</v>
      </c>
      <c r="W3800" s="0" t="n">
        <f aca="false">H3800*H3800</f>
        <v>0.25</v>
      </c>
      <c r="X3800" s="0" t="n">
        <f aca="false">SUMPRODUCT(I3800:W3800,_XtX!$B$96:$P$96)</f>
        <v>45.379728618421</v>
      </c>
      <c r="Y3800" s="0" t="n">
        <f aca="false">SUMPRODUCT(MMULT(I3800:W3800,_XtX!$B$78:$P$92),I3800:W3800)</f>
        <v>0.257385610836988</v>
      </c>
      <c r="Z3800" s="0" t="n">
        <f aca="false">04_回帰ANOVA!$K$19*04_回帰ANOVA!$K$14*SQRT(1+Y3800)</f>
        <v>1.46161380324158</v>
      </c>
      <c r="AA3800" s="0" t="n">
        <f aca="false">X3800-Z3800</f>
        <v>43.9181148151794</v>
      </c>
      <c r="AB3800" s="0" t="n">
        <f aca="false">X3800+Z3800</f>
        <v>46.8413424216626</v>
      </c>
      <c r="AC3800" s="54" t="b">
        <f aca="false">AND(E3800&gt;=01_因子設定!$L$5-0.000000001,E3800&lt;=01_因子設定!$M$5+0.000000001,F3800&gt;=01_因子設定!$L$6-0.000000001,F3800&lt;=01_因子設定!$M$6+0.000000001,G3800&gt;=01_因子設定!$L$7-0.000000001,G3800&lt;=01_因子設定!$M$7+0.000000001,H3800&gt;=01_因子設定!$L$8-0.000000001,H3800&lt;=01_因子設定!$M$8+0.000000001,IF(01_因子設定!$B$20="Box-Behnken",E3800^2+F3800^2+G3800^2+H3800^2&lt;=2+0.000000001,TRUE()))</f>
        <v>1</v>
      </c>
      <c r="AD3800" s="55" t="n">
        <f aca="false">IF(AC3800,IF(01_因子設定!$B$13="最大化",AA3800-01_因子設定!$B$14,IF(01_因子設定!$B$13="最小化",01_因子設定!$B$15-AB3800,MIN(AA3800-01_因子設定!$B$14,01_因子設定!$B$15-AB3800))),-1E+030)</f>
        <v>-2.58188518482058</v>
      </c>
      <c r="AE3800" s="55" t="n">
        <f aca="false">IF(AC3800,IF(01_因子設定!$B$13="最大化",X3800,IF(01_因子設定!$B$13="最小化",-X3800,-ABS(X3800-01_因子設定!$B$16))),-1E+030)</f>
        <v>45.379728618421</v>
      </c>
      <c r="AF3800" s="55" t="n">
        <f aca="false">AD3800+ROW()*0.000000001</f>
        <v>-2.58188138482058</v>
      </c>
      <c r="AG3800" s="55" t="n">
        <f aca="false">AE3800+ROW()*0.000000001</f>
        <v>45.379732418421</v>
      </c>
    </row>
    <row r="3801" customFormat="false" ht="15" hidden="false" customHeight="false" outlineLevel="0" collapsed="false">
      <c r="A3801" s="0" t="n">
        <v>5</v>
      </c>
      <c r="B3801" s="0" t="n">
        <v>1</v>
      </c>
      <c r="C3801" s="0" t="n">
        <v>7</v>
      </c>
      <c r="D3801" s="0" t="n">
        <v>7</v>
      </c>
      <c r="E3801" s="0" t="n">
        <f aca="false">-1+A3801*0.25</f>
        <v>0.25</v>
      </c>
      <c r="F3801" s="0" t="n">
        <f aca="false">-1+B3801*0.25</f>
        <v>-0.75</v>
      </c>
      <c r="G3801" s="0" t="n">
        <f aca="false">-1+C3801*0.25</f>
        <v>0.75</v>
      </c>
      <c r="H3801" s="0" t="n">
        <f aca="false">-1+D3801*0.25</f>
        <v>0.75</v>
      </c>
      <c r="I3801" s="0" t="n">
        <f aca="false">1</f>
        <v>1</v>
      </c>
      <c r="J3801" s="0" t="n">
        <f aca="false">E3801</f>
        <v>0.25</v>
      </c>
      <c r="K3801" s="0" t="n">
        <f aca="false">F3801</f>
        <v>-0.75</v>
      </c>
      <c r="L3801" s="0" t="n">
        <f aca="false">G3801</f>
        <v>0.75</v>
      </c>
      <c r="M3801" s="0" t="n">
        <f aca="false">H3801</f>
        <v>0.75</v>
      </c>
      <c r="N3801" s="0" t="n">
        <f aca="false">E3801*F3801</f>
        <v>-0.1875</v>
      </c>
      <c r="O3801" s="0" t="n">
        <f aca="false">E3801*G3801</f>
        <v>0.1875</v>
      </c>
      <c r="P3801" s="0" t="n">
        <f aca="false">E3801*H3801</f>
        <v>0.1875</v>
      </c>
      <c r="Q3801" s="0" t="n">
        <f aca="false">F3801*G3801</f>
        <v>-0.5625</v>
      </c>
      <c r="R3801" s="0" t="n">
        <f aca="false">F3801*H3801</f>
        <v>-0.5625</v>
      </c>
      <c r="S3801" s="0" t="n">
        <f aca="false">G3801*H3801</f>
        <v>0.5625</v>
      </c>
      <c r="T3801" s="0" t="n">
        <f aca="false">E3801*E3801</f>
        <v>0.0625</v>
      </c>
      <c r="U3801" s="0" t="n">
        <f aca="false">F3801*F3801</f>
        <v>0.5625</v>
      </c>
      <c r="V3801" s="0" t="n">
        <f aca="false">G3801*G3801</f>
        <v>0.5625</v>
      </c>
      <c r="W3801" s="0" t="n">
        <f aca="false">H3801*H3801</f>
        <v>0.5625</v>
      </c>
      <c r="X3801" s="0" t="n">
        <f aca="false">SUMPRODUCT(I3801:W3801,_XtX!$B$96:$P$96)</f>
        <v>45.4631624634503</v>
      </c>
      <c r="Y3801" s="0" t="n">
        <f aca="false">SUMPRODUCT(MMULT(I3801:W3801,_XtX!$B$78:$P$92),I3801:W3801)</f>
        <v>0.294856199744152</v>
      </c>
      <c r="Z3801" s="0" t="n">
        <f aca="false">04_回帰ANOVA!$K$19*04_回帰ANOVA!$K$14*SQRT(1+Y3801)</f>
        <v>1.48323226089013</v>
      </c>
      <c r="AA3801" s="0" t="n">
        <f aca="false">X3801-Z3801</f>
        <v>43.9799302025601</v>
      </c>
      <c r="AB3801" s="0" t="n">
        <f aca="false">X3801+Z3801</f>
        <v>46.9463947243404</v>
      </c>
      <c r="AC3801" s="54" t="b">
        <f aca="false">AND(E3801&gt;=01_因子設定!$L$5-0.000000001,E3801&lt;=01_因子設定!$M$5+0.000000001,F3801&gt;=01_因子設定!$L$6-0.000000001,F3801&lt;=01_因子設定!$M$6+0.000000001,G3801&gt;=01_因子設定!$L$7-0.000000001,G3801&lt;=01_因子設定!$M$7+0.000000001,H3801&gt;=01_因子設定!$L$8-0.000000001,H3801&lt;=01_因子設定!$M$8+0.000000001,IF(01_因子設定!$B$20="Box-Behnken",E3801^2+F3801^2+G3801^2+H3801^2&lt;=2+0.000000001,TRUE()))</f>
        <v>1</v>
      </c>
      <c r="AD3801" s="55" t="n">
        <f aca="false">IF(AC3801,IF(01_因子設定!$B$13="最大化",AA3801-01_因子設定!$B$14,IF(01_因子設定!$B$13="最小化",01_因子設定!$B$15-AB3801,MIN(AA3801-01_因子設定!$B$14,01_因子設定!$B$15-AB3801))),-1E+030)</f>
        <v>-2.52006979743988</v>
      </c>
      <c r="AE3801" s="55" t="n">
        <f aca="false">IF(AC3801,IF(01_因子設定!$B$13="最大化",X3801,IF(01_因子設定!$B$13="最小化",-X3801,-ABS(X3801-01_因子設定!$B$16))),-1E+030)</f>
        <v>45.4631624634503</v>
      </c>
      <c r="AF3801" s="55" t="n">
        <f aca="false">AD3801+ROW()*0.000000001</f>
        <v>-2.52006599643988</v>
      </c>
      <c r="AG3801" s="55" t="n">
        <f aca="false">AE3801+ROW()*0.000000001</f>
        <v>45.4631662644503</v>
      </c>
    </row>
    <row r="3802" customFormat="false" ht="15" hidden="false" customHeight="false" outlineLevel="0" collapsed="false">
      <c r="A3802" s="0" t="n">
        <v>5</v>
      </c>
      <c r="B3802" s="0" t="n">
        <v>1</v>
      </c>
      <c r="C3802" s="0" t="n">
        <v>7</v>
      </c>
      <c r="D3802" s="0" t="n">
        <v>8</v>
      </c>
      <c r="E3802" s="0" t="n">
        <f aca="false">-1+A3802*0.25</f>
        <v>0.25</v>
      </c>
      <c r="F3802" s="0" t="n">
        <f aca="false">-1+B3802*0.25</f>
        <v>-0.75</v>
      </c>
      <c r="G3802" s="0" t="n">
        <f aca="false">-1+C3802*0.25</f>
        <v>0.75</v>
      </c>
      <c r="H3802" s="0" t="n">
        <f aca="false">-1+D3802*0.25</f>
        <v>1</v>
      </c>
      <c r="I3802" s="0" t="n">
        <f aca="false">1</f>
        <v>1</v>
      </c>
      <c r="J3802" s="0" t="n">
        <f aca="false">E3802</f>
        <v>0.25</v>
      </c>
      <c r="K3802" s="0" t="n">
        <f aca="false">F3802</f>
        <v>-0.75</v>
      </c>
      <c r="L3802" s="0" t="n">
        <f aca="false">G3802</f>
        <v>0.75</v>
      </c>
      <c r="M3802" s="0" t="n">
        <f aca="false">H3802</f>
        <v>1</v>
      </c>
      <c r="N3802" s="0" t="n">
        <f aca="false">E3802*F3802</f>
        <v>-0.1875</v>
      </c>
      <c r="O3802" s="0" t="n">
        <f aca="false">E3802*G3802</f>
        <v>0.1875</v>
      </c>
      <c r="P3802" s="0" t="n">
        <f aca="false">E3802*H3802</f>
        <v>0.25</v>
      </c>
      <c r="Q3802" s="0" t="n">
        <f aca="false">F3802*G3802</f>
        <v>-0.5625</v>
      </c>
      <c r="R3802" s="0" t="n">
        <f aca="false">F3802*H3802</f>
        <v>-0.75</v>
      </c>
      <c r="S3802" s="0" t="n">
        <f aca="false">G3802*H3802</f>
        <v>0.75</v>
      </c>
      <c r="T3802" s="0" t="n">
        <f aca="false">E3802*E3802</f>
        <v>0.0625</v>
      </c>
      <c r="U3802" s="0" t="n">
        <f aca="false">F3802*F3802</f>
        <v>0.5625</v>
      </c>
      <c r="V3802" s="0" t="n">
        <f aca="false">G3802*G3802</f>
        <v>0.5625</v>
      </c>
      <c r="W3802" s="0" t="n">
        <f aca="false">H3802*H3802</f>
        <v>1</v>
      </c>
      <c r="X3802" s="0" t="n">
        <f aca="false">SUMPRODUCT(I3802:W3802,_XtX!$B$96:$P$96)</f>
        <v>45.4987892909357</v>
      </c>
      <c r="Y3802" s="0" t="n">
        <f aca="false">SUMPRODUCT(MMULT(I3802:W3802,_XtX!$B$78:$P$92),I3802:W3802)</f>
        <v>0.473959761056287</v>
      </c>
      <c r="Z3802" s="0" t="n">
        <f aca="false">04_回帰ANOVA!$K$19*04_回帰ANOVA!$K$14*SQRT(1+Y3802)</f>
        <v>1.58249084588329</v>
      </c>
      <c r="AA3802" s="0" t="n">
        <f aca="false">X3802-Z3802</f>
        <v>43.9162984450524</v>
      </c>
      <c r="AB3802" s="0" t="n">
        <f aca="false">X3802+Z3802</f>
        <v>47.0812801368189</v>
      </c>
      <c r="AC3802" s="54" t="b">
        <f aca="false">AND(E3802&gt;=01_因子設定!$L$5-0.000000001,E3802&lt;=01_因子設定!$M$5+0.000000001,F3802&gt;=01_因子設定!$L$6-0.000000001,F3802&lt;=01_因子設定!$M$6+0.000000001,G3802&gt;=01_因子設定!$L$7-0.000000001,G3802&lt;=01_因子設定!$M$7+0.000000001,H3802&gt;=01_因子設定!$L$8-0.000000001,H3802&lt;=01_因子設定!$M$8+0.000000001,IF(01_因子設定!$B$20="Box-Behnken",E3802^2+F3802^2+G3802^2+H3802^2&lt;=2+0.000000001,TRUE()))</f>
        <v>1</v>
      </c>
      <c r="AD3802" s="55" t="n">
        <f aca="false">IF(AC3802,IF(01_因子設定!$B$13="最大化",AA3802-01_因子設定!$B$14,IF(01_因子設定!$B$13="最小化",01_因子設定!$B$15-AB3802,MIN(AA3802-01_因子設定!$B$14,01_因子設定!$B$15-AB3802))),-1E+030)</f>
        <v>-2.58370155494764</v>
      </c>
      <c r="AE3802" s="55" t="n">
        <f aca="false">IF(AC3802,IF(01_因子設定!$B$13="最大化",X3802,IF(01_因子設定!$B$13="最小化",-X3802,-ABS(X3802-01_因子設定!$B$16))),-1E+030)</f>
        <v>45.4987892909357</v>
      </c>
      <c r="AF3802" s="55" t="n">
        <f aca="false">AD3802+ROW()*0.000000001</f>
        <v>-2.58369775294764</v>
      </c>
      <c r="AG3802" s="55" t="n">
        <f aca="false">AE3802+ROW()*0.000000001</f>
        <v>45.4987930929357</v>
      </c>
    </row>
    <row r="3803" customFormat="false" ht="15" hidden="false" customHeight="false" outlineLevel="0" collapsed="false">
      <c r="A3803" s="0" t="n">
        <v>5</v>
      </c>
      <c r="B3803" s="0" t="n">
        <v>1</v>
      </c>
      <c r="C3803" s="0" t="n">
        <v>8</v>
      </c>
      <c r="D3803" s="0" t="n">
        <v>0</v>
      </c>
      <c r="E3803" s="0" t="n">
        <f aca="false">-1+A3803*0.25</f>
        <v>0.25</v>
      </c>
      <c r="F3803" s="0" t="n">
        <f aca="false">-1+B3803*0.25</f>
        <v>-0.75</v>
      </c>
      <c r="G3803" s="0" t="n">
        <f aca="false">-1+C3803*0.25</f>
        <v>1</v>
      </c>
      <c r="H3803" s="0" t="n">
        <f aca="false">-1+D3803*0.25</f>
        <v>-1</v>
      </c>
      <c r="I3803" s="0" t="n">
        <f aca="false">1</f>
        <v>1</v>
      </c>
      <c r="J3803" s="0" t="n">
        <f aca="false">E3803</f>
        <v>0.25</v>
      </c>
      <c r="K3803" s="0" t="n">
        <f aca="false">F3803</f>
        <v>-0.75</v>
      </c>
      <c r="L3803" s="0" t="n">
        <f aca="false">G3803</f>
        <v>1</v>
      </c>
      <c r="M3803" s="0" t="n">
        <f aca="false">H3803</f>
        <v>-1</v>
      </c>
      <c r="N3803" s="0" t="n">
        <f aca="false">E3803*F3803</f>
        <v>-0.1875</v>
      </c>
      <c r="O3803" s="0" t="n">
        <f aca="false">E3803*G3803</f>
        <v>0.25</v>
      </c>
      <c r="P3803" s="0" t="n">
        <f aca="false">E3803*H3803</f>
        <v>-0.25</v>
      </c>
      <c r="Q3803" s="0" t="n">
        <f aca="false">F3803*G3803</f>
        <v>-0.75</v>
      </c>
      <c r="R3803" s="0" t="n">
        <f aca="false">F3803*H3803</f>
        <v>0.75</v>
      </c>
      <c r="S3803" s="0" t="n">
        <f aca="false">G3803*H3803</f>
        <v>-1</v>
      </c>
      <c r="T3803" s="0" t="n">
        <f aca="false">E3803*E3803</f>
        <v>0.0625</v>
      </c>
      <c r="U3803" s="0" t="n">
        <f aca="false">F3803*F3803</f>
        <v>0.5625</v>
      </c>
      <c r="V3803" s="0" t="n">
        <f aca="false">G3803*G3803</f>
        <v>1</v>
      </c>
      <c r="W3803" s="0" t="n">
        <f aca="false">H3803*H3803</f>
        <v>1</v>
      </c>
      <c r="X3803" s="0" t="n">
        <f aca="false">SUMPRODUCT(I3803:W3803,_XtX!$B$96:$P$96)</f>
        <v>43.6513432017544</v>
      </c>
      <c r="Y3803" s="0" t="n">
        <f aca="false">SUMPRODUCT(MMULT(I3803:W3803,_XtX!$B$78:$P$92),I3803:W3803)</f>
        <v>0.621372155975877</v>
      </c>
      <c r="Z3803" s="0" t="n">
        <f aca="false">04_回帰ANOVA!$K$19*04_回帰ANOVA!$K$14*SQRT(1+Y3803)</f>
        <v>1.65973880499872</v>
      </c>
      <c r="AA3803" s="0" t="n">
        <f aca="false">X3803-Z3803</f>
        <v>41.9916043967557</v>
      </c>
      <c r="AB3803" s="0" t="n">
        <f aca="false">X3803+Z3803</f>
        <v>45.3110820067531</v>
      </c>
      <c r="AC3803" s="54" t="b">
        <f aca="false">AND(E3803&gt;=01_因子設定!$L$5-0.000000001,E3803&lt;=01_因子設定!$M$5+0.000000001,F3803&gt;=01_因子設定!$L$6-0.000000001,F3803&lt;=01_因子設定!$M$6+0.000000001,G3803&gt;=01_因子設定!$L$7-0.000000001,G3803&lt;=01_因子設定!$M$7+0.000000001,H3803&gt;=01_因子設定!$L$8-0.000000001,H3803&lt;=01_因子設定!$M$8+0.000000001,IF(01_因子設定!$B$20="Box-Behnken",E3803^2+F3803^2+G3803^2+H3803^2&lt;=2+0.000000001,TRUE()))</f>
        <v>1</v>
      </c>
      <c r="AD3803" s="55" t="n">
        <f aca="false">IF(AC3803,IF(01_因子設定!$B$13="最大化",AA3803-01_因子設定!$B$14,IF(01_因子設定!$B$13="最小化",01_因子設定!$B$15-AB3803,MIN(AA3803-01_因子設定!$B$14,01_因子設定!$B$15-AB3803))),-1E+030)</f>
        <v>-4.50839560324435</v>
      </c>
      <c r="AE3803" s="55" t="n">
        <f aca="false">IF(AC3803,IF(01_因子設定!$B$13="最大化",X3803,IF(01_因子設定!$B$13="最小化",-X3803,-ABS(X3803-01_因子設定!$B$16))),-1E+030)</f>
        <v>43.6513432017544</v>
      </c>
      <c r="AF3803" s="55" t="n">
        <f aca="false">AD3803+ROW()*0.000000001</f>
        <v>-4.50839180024435</v>
      </c>
      <c r="AG3803" s="55" t="n">
        <f aca="false">AE3803+ROW()*0.000000001</f>
        <v>43.6513470047544</v>
      </c>
    </row>
    <row r="3804" customFormat="false" ht="15" hidden="false" customHeight="false" outlineLevel="0" collapsed="false">
      <c r="A3804" s="0" t="n">
        <v>5</v>
      </c>
      <c r="B3804" s="0" t="n">
        <v>1</v>
      </c>
      <c r="C3804" s="0" t="n">
        <v>8</v>
      </c>
      <c r="D3804" s="0" t="n">
        <v>1</v>
      </c>
      <c r="E3804" s="0" t="n">
        <f aca="false">-1+A3804*0.25</f>
        <v>0.25</v>
      </c>
      <c r="F3804" s="0" t="n">
        <f aca="false">-1+B3804*0.25</f>
        <v>-0.75</v>
      </c>
      <c r="G3804" s="0" t="n">
        <f aca="false">-1+C3804*0.25</f>
        <v>1</v>
      </c>
      <c r="H3804" s="0" t="n">
        <f aca="false">-1+D3804*0.25</f>
        <v>-0.75</v>
      </c>
      <c r="I3804" s="0" t="n">
        <f aca="false">1</f>
        <v>1</v>
      </c>
      <c r="J3804" s="0" t="n">
        <f aca="false">E3804</f>
        <v>0.25</v>
      </c>
      <c r="K3804" s="0" t="n">
        <f aca="false">F3804</f>
        <v>-0.75</v>
      </c>
      <c r="L3804" s="0" t="n">
        <f aca="false">G3804</f>
        <v>1</v>
      </c>
      <c r="M3804" s="0" t="n">
        <f aca="false">H3804</f>
        <v>-0.75</v>
      </c>
      <c r="N3804" s="0" t="n">
        <f aca="false">E3804*F3804</f>
        <v>-0.1875</v>
      </c>
      <c r="O3804" s="0" t="n">
        <f aca="false">E3804*G3804</f>
        <v>0.25</v>
      </c>
      <c r="P3804" s="0" t="n">
        <f aca="false">E3804*H3804</f>
        <v>-0.1875</v>
      </c>
      <c r="Q3804" s="0" t="n">
        <f aca="false">F3804*G3804</f>
        <v>-0.75</v>
      </c>
      <c r="R3804" s="0" t="n">
        <f aca="false">F3804*H3804</f>
        <v>0.5625</v>
      </c>
      <c r="S3804" s="0" t="n">
        <f aca="false">G3804*H3804</f>
        <v>-0.75</v>
      </c>
      <c r="T3804" s="0" t="n">
        <f aca="false">E3804*E3804</f>
        <v>0.0625</v>
      </c>
      <c r="U3804" s="0" t="n">
        <f aca="false">F3804*F3804</f>
        <v>0.5625</v>
      </c>
      <c r="V3804" s="0" t="n">
        <f aca="false">G3804*G3804</f>
        <v>1</v>
      </c>
      <c r="W3804" s="0" t="n">
        <f aca="false">H3804*H3804</f>
        <v>0.5625</v>
      </c>
      <c r="X3804" s="0" t="n">
        <f aca="false">SUMPRODUCT(I3804:W3804,_XtX!$B$96:$P$96)</f>
        <v>44.0395879020468</v>
      </c>
      <c r="Y3804" s="0" t="n">
        <f aca="false">SUMPRODUCT(MMULT(I3804:W3804,_XtX!$B$78:$P$92),I3804:W3804)</f>
        <v>0.473959761056287</v>
      </c>
      <c r="Z3804" s="0" t="n">
        <f aca="false">04_回帰ANOVA!$K$19*04_回帰ANOVA!$K$14*SQRT(1+Y3804)</f>
        <v>1.58249084588329</v>
      </c>
      <c r="AA3804" s="0" t="n">
        <f aca="false">X3804-Z3804</f>
        <v>42.4570970561635</v>
      </c>
      <c r="AB3804" s="0" t="n">
        <f aca="false">X3804+Z3804</f>
        <v>45.62207874793</v>
      </c>
      <c r="AC3804" s="54" t="b">
        <f aca="false">AND(E3804&gt;=01_因子設定!$L$5-0.000000001,E3804&lt;=01_因子設定!$M$5+0.000000001,F3804&gt;=01_因子設定!$L$6-0.000000001,F3804&lt;=01_因子設定!$M$6+0.000000001,G3804&gt;=01_因子設定!$L$7-0.000000001,G3804&lt;=01_因子設定!$M$7+0.000000001,H3804&gt;=01_因子設定!$L$8-0.000000001,H3804&lt;=01_因子設定!$M$8+0.000000001,IF(01_因子設定!$B$20="Box-Behnken",E3804^2+F3804^2+G3804^2+H3804^2&lt;=2+0.000000001,TRUE()))</f>
        <v>1</v>
      </c>
      <c r="AD3804" s="55" t="n">
        <f aca="false">IF(AC3804,IF(01_因子設定!$B$13="最大化",AA3804-01_因子設定!$B$14,IF(01_因子設定!$B$13="最小化",01_因子設定!$B$15-AB3804,MIN(AA3804-01_因子設定!$B$14,01_因子設定!$B$15-AB3804))),-1E+030)</f>
        <v>-4.04290294383654</v>
      </c>
      <c r="AE3804" s="55" t="n">
        <f aca="false">IF(AC3804,IF(01_因子設定!$B$13="最大化",X3804,IF(01_因子設定!$B$13="最小化",-X3804,-ABS(X3804-01_因子設定!$B$16))),-1E+030)</f>
        <v>44.0395879020468</v>
      </c>
      <c r="AF3804" s="55" t="n">
        <f aca="false">AD3804+ROW()*0.000000001</f>
        <v>-4.04289913983654</v>
      </c>
      <c r="AG3804" s="55" t="n">
        <f aca="false">AE3804+ROW()*0.000000001</f>
        <v>44.0395917060468</v>
      </c>
    </row>
    <row r="3805" customFormat="false" ht="15" hidden="false" customHeight="false" outlineLevel="0" collapsed="false">
      <c r="A3805" s="0" t="n">
        <v>5</v>
      </c>
      <c r="B3805" s="0" t="n">
        <v>1</v>
      </c>
      <c r="C3805" s="0" t="n">
        <v>8</v>
      </c>
      <c r="D3805" s="0" t="n">
        <v>2</v>
      </c>
      <c r="E3805" s="0" t="n">
        <f aca="false">-1+A3805*0.25</f>
        <v>0.25</v>
      </c>
      <c r="F3805" s="0" t="n">
        <f aca="false">-1+B3805*0.25</f>
        <v>-0.75</v>
      </c>
      <c r="G3805" s="0" t="n">
        <f aca="false">-1+C3805*0.25</f>
        <v>1</v>
      </c>
      <c r="H3805" s="0" t="n">
        <f aca="false">-1+D3805*0.25</f>
        <v>-0.5</v>
      </c>
      <c r="I3805" s="0" t="n">
        <f aca="false">1</f>
        <v>1</v>
      </c>
      <c r="J3805" s="0" t="n">
        <f aca="false">E3805</f>
        <v>0.25</v>
      </c>
      <c r="K3805" s="0" t="n">
        <f aca="false">F3805</f>
        <v>-0.75</v>
      </c>
      <c r="L3805" s="0" t="n">
        <f aca="false">G3805</f>
        <v>1</v>
      </c>
      <c r="M3805" s="0" t="n">
        <f aca="false">H3805</f>
        <v>-0.5</v>
      </c>
      <c r="N3805" s="0" t="n">
        <f aca="false">E3805*F3805</f>
        <v>-0.1875</v>
      </c>
      <c r="O3805" s="0" t="n">
        <f aca="false">E3805*G3805</f>
        <v>0.25</v>
      </c>
      <c r="P3805" s="0" t="n">
        <f aca="false">E3805*H3805</f>
        <v>-0.125</v>
      </c>
      <c r="Q3805" s="0" t="n">
        <f aca="false">F3805*G3805</f>
        <v>-0.75</v>
      </c>
      <c r="R3805" s="0" t="n">
        <f aca="false">F3805*H3805</f>
        <v>0.375</v>
      </c>
      <c r="S3805" s="0" t="n">
        <f aca="false">G3805*H3805</f>
        <v>-0.5</v>
      </c>
      <c r="T3805" s="0" t="n">
        <f aca="false">E3805*E3805</f>
        <v>0.0625</v>
      </c>
      <c r="U3805" s="0" t="n">
        <f aca="false">F3805*F3805</f>
        <v>0.5625</v>
      </c>
      <c r="V3805" s="0" t="n">
        <f aca="false">G3805*G3805</f>
        <v>1</v>
      </c>
      <c r="W3805" s="0" t="n">
        <f aca="false">H3805*H3805</f>
        <v>0.25</v>
      </c>
      <c r="X3805" s="0" t="n">
        <f aca="false">SUMPRODUCT(I3805:W3805,_XtX!$B$96:$P$96)</f>
        <v>44.3800255847953</v>
      </c>
      <c r="Y3805" s="0" t="n">
        <f aca="false">SUMPRODUCT(MMULT(I3805:W3805,_XtX!$B$78:$P$92),I3805:W3805)</f>
        <v>0.459125719572369</v>
      </c>
      <c r="Z3805" s="0" t="n">
        <f aca="false">04_回帰ANOVA!$K$19*04_回帰ANOVA!$K$14*SQRT(1+Y3805)</f>
        <v>1.57450755575573</v>
      </c>
      <c r="AA3805" s="0" t="n">
        <f aca="false">X3805-Z3805</f>
        <v>42.8055180290396</v>
      </c>
      <c r="AB3805" s="0" t="n">
        <f aca="false">X3805+Z3805</f>
        <v>45.954533140551</v>
      </c>
      <c r="AC3805" s="54" t="b">
        <f aca="false">AND(E3805&gt;=01_因子設定!$L$5-0.000000001,E3805&lt;=01_因子設定!$M$5+0.000000001,F3805&gt;=01_因子設定!$L$6-0.000000001,F3805&lt;=01_因子設定!$M$6+0.000000001,G3805&gt;=01_因子設定!$L$7-0.000000001,G3805&lt;=01_因子設定!$M$7+0.000000001,H3805&gt;=01_因子設定!$L$8-0.000000001,H3805&lt;=01_因子設定!$M$8+0.000000001,IF(01_因子設定!$B$20="Box-Behnken",E3805^2+F3805^2+G3805^2+H3805^2&lt;=2+0.000000001,TRUE()))</f>
        <v>1</v>
      </c>
      <c r="AD3805" s="55" t="n">
        <f aca="false">IF(AC3805,IF(01_因子設定!$B$13="最大化",AA3805-01_因子設定!$B$14,IF(01_因子設定!$B$13="最小化",01_因子設定!$B$15-AB3805,MIN(AA3805-01_因子設定!$B$14,01_因子設定!$B$15-AB3805))),-1E+030)</f>
        <v>-3.69448197096045</v>
      </c>
      <c r="AE3805" s="55" t="n">
        <f aca="false">IF(AC3805,IF(01_因子設定!$B$13="最大化",X3805,IF(01_因子設定!$B$13="最小化",-X3805,-ABS(X3805-01_因子設定!$B$16))),-1E+030)</f>
        <v>44.3800255847953</v>
      </c>
      <c r="AF3805" s="55" t="n">
        <f aca="false">AD3805+ROW()*0.000000001</f>
        <v>-3.69447816596045</v>
      </c>
      <c r="AG3805" s="55" t="n">
        <f aca="false">AE3805+ROW()*0.000000001</f>
        <v>44.3800293897953</v>
      </c>
    </row>
    <row r="3806" customFormat="false" ht="15" hidden="false" customHeight="false" outlineLevel="0" collapsed="false">
      <c r="A3806" s="0" t="n">
        <v>5</v>
      </c>
      <c r="B3806" s="0" t="n">
        <v>1</v>
      </c>
      <c r="C3806" s="0" t="n">
        <v>8</v>
      </c>
      <c r="D3806" s="0" t="n">
        <v>3</v>
      </c>
      <c r="E3806" s="0" t="n">
        <f aca="false">-1+A3806*0.25</f>
        <v>0.25</v>
      </c>
      <c r="F3806" s="0" t="n">
        <f aca="false">-1+B3806*0.25</f>
        <v>-0.75</v>
      </c>
      <c r="G3806" s="0" t="n">
        <f aca="false">-1+C3806*0.25</f>
        <v>1</v>
      </c>
      <c r="H3806" s="0" t="n">
        <f aca="false">-1+D3806*0.25</f>
        <v>-0.25</v>
      </c>
      <c r="I3806" s="0" t="n">
        <f aca="false">1</f>
        <v>1</v>
      </c>
      <c r="J3806" s="0" t="n">
        <f aca="false">E3806</f>
        <v>0.25</v>
      </c>
      <c r="K3806" s="0" t="n">
        <f aca="false">F3806</f>
        <v>-0.75</v>
      </c>
      <c r="L3806" s="0" t="n">
        <f aca="false">G3806</f>
        <v>1</v>
      </c>
      <c r="M3806" s="0" t="n">
        <f aca="false">H3806</f>
        <v>-0.25</v>
      </c>
      <c r="N3806" s="0" t="n">
        <f aca="false">E3806*F3806</f>
        <v>-0.1875</v>
      </c>
      <c r="O3806" s="0" t="n">
        <f aca="false">E3806*G3806</f>
        <v>0.25</v>
      </c>
      <c r="P3806" s="0" t="n">
        <f aca="false">E3806*H3806</f>
        <v>-0.0625</v>
      </c>
      <c r="Q3806" s="0" t="n">
        <f aca="false">F3806*G3806</f>
        <v>-0.75</v>
      </c>
      <c r="R3806" s="0" t="n">
        <f aca="false">F3806*H3806</f>
        <v>0.1875</v>
      </c>
      <c r="S3806" s="0" t="n">
        <f aca="false">G3806*H3806</f>
        <v>-0.25</v>
      </c>
      <c r="T3806" s="0" t="n">
        <f aca="false">E3806*E3806</f>
        <v>0.0625</v>
      </c>
      <c r="U3806" s="0" t="n">
        <f aca="false">F3806*F3806</f>
        <v>0.5625</v>
      </c>
      <c r="V3806" s="0" t="n">
        <f aca="false">G3806*G3806</f>
        <v>1</v>
      </c>
      <c r="W3806" s="0" t="n">
        <f aca="false">H3806*H3806</f>
        <v>0.0625</v>
      </c>
      <c r="X3806" s="0" t="n">
        <f aca="false">SUMPRODUCT(I3806:W3806,_XtX!$B$96:$P$96)</f>
        <v>44.6726562499999</v>
      </c>
      <c r="Y3806" s="0" t="n">
        <f aca="false">SUMPRODUCT(MMULT(I3806:W3806,_XtX!$B$78:$P$92),I3806:W3806)</f>
        <v>0.486409505208334</v>
      </c>
      <c r="Z3806" s="0" t="n">
        <f aca="false">04_回帰ANOVA!$K$19*04_回帰ANOVA!$K$14*SQRT(1+Y3806)</f>
        <v>1.58916001665498</v>
      </c>
      <c r="AA3806" s="0" t="n">
        <f aca="false">X3806-Z3806</f>
        <v>43.083496233345</v>
      </c>
      <c r="AB3806" s="0" t="n">
        <f aca="false">X3806+Z3806</f>
        <v>46.2618162666549</v>
      </c>
      <c r="AC3806" s="54" t="b">
        <f aca="false">AND(E3806&gt;=01_因子設定!$L$5-0.000000001,E3806&lt;=01_因子設定!$M$5+0.000000001,F3806&gt;=01_因子設定!$L$6-0.000000001,F3806&lt;=01_因子設定!$M$6+0.000000001,G3806&gt;=01_因子設定!$L$7-0.000000001,G3806&lt;=01_因子設定!$M$7+0.000000001,H3806&gt;=01_因子設定!$L$8-0.000000001,H3806&lt;=01_因子設定!$M$8+0.000000001,IF(01_因子設定!$B$20="Box-Behnken",E3806^2+F3806^2+G3806^2+H3806^2&lt;=2+0.000000001,TRUE()))</f>
        <v>1</v>
      </c>
      <c r="AD3806" s="55" t="n">
        <f aca="false">IF(AC3806,IF(01_因子設定!$B$13="最大化",AA3806-01_因子設定!$B$14,IF(01_因子設定!$B$13="最小化",01_因子設定!$B$15-AB3806,MIN(AA3806-01_因子設定!$B$14,01_因子設定!$B$15-AB3806))),-1E+030)</f>
        <v>-3.41650376665503</v>
      </c>
      <c r="AE3806" s="55" t="n">
        <f aca="false">IF(AC3806,IF(01_因子設定!$B$13="最大化",X3806,IF(01_因子設定!$B$13="最小化",-X3806,-ABS(X3806-01_因子設定!$B$16))),-1E+030)</f>
        <v>44.6726562499999</v>
      </c>
      <c r="AF3806" s="55" t="n">
        <f aca="false">AD3806+ROW()*0.000000001</f>
        <v>-3.41649996065503</v>
      </c>
      <c r="AG3806" s="55" t="n">
        <f aca="false">AE3806+ROW()*0.000000001</f>
        <v>44.672660056</v>
      </c>
    </row>
    <row r="3807" customFormat="false" ht="15" hidden="false" customHeight="false" outlineLevel="0" collapsed="false">
      <c r="A3807" s="0" t="n">
        <v>5</v>
      </c>
      <c r="B3807" s="0" t="n">
        <v>1</v>
      </c>
      <c r="C3807" s="0" t="n">
        <v>8</v>
      </c>
      <c r="D3807" s="0" t="n">
        <v>4</v>
      </c>
      <c r="E3807" s="0" t="n">
        <f aca="false">-1+A3807*0.25</f>
        <v>0.25</v>
      </c>
      <c r="F3807" s="0" t="n">
        <f aca="false">-1+B3807*0.25</f>
        <v>-0.75</v>
      </c>
      <c r="G3807" s="0" t="n">
        <f aca="false">-1+C3807*0.25</f>
        <v>1</v>
      </c>
      <c r="H3807" s="0" t="n">
        <f aca="false">-1+D3807*0.25</f>
        <v>0</v>
      </c>
      <c r="I3807" s="0" t="n">
        <f aca="false">1</f>
        <v>1</v>
      </c>
      <c r="J3807" s="0" t="n">
        <f aca="false">E3807</f>
        <v>0.25</v>
      </c>
      <c r="K3807" s="0" t="n">
        <f aca="false">F3807</f>
        <v>-0.75</v>
      </c>
      <c r="L3807" s="0" t="n">
        <f aca="false">G3807</f>
        <v>1</v>
      </c>
      <c r="M3807" s="0" t="n">
        <f aca="false">H3807</f>
        <v>0</v>
      </c>
      <c r="N3807" s="0" t="n">
        <f aca="false">E3807*F3807</f>
        <v>-0.1875</v>
      </c>
      <c r="O3807" s="0" t="n">
        <f aca="false">E3807*G3807</f>
        <v>0.25</v>
      </c>
      <c r="P3807" s="0" t="n">
        <f aca="false">E3807*H3807</f>
        <v>0</v>
      </c>
      <c r="Q3807" s="0" t="n">
        <f aca="false">F3807*G3807</f>
        <v>-0.75</v>
      </c>
      <c r="R3807" s="0" t="n">
        <f aca="false">F3807*H3807</f>
        <v>-0</v>
      </c>
      <c r="S3807" s="0" t="n">
        <f aca="false">G3807*H3807</f>
        <v>0</v>
      </c>
      <c r="T3807" s="0" t="n">
        <f aca="false">E3807*E3807</f>
        <v>0.0625</v>
      </c>
      <c r="U3807" s="0" t="n">
        <f aca="false">F3807*F3807</f>
        <v>0.5625</v>
      </c>
      <c r="V3807" s="0" t="n">
        <f aca="false">G3807*G3807</f>
        <v>1</v>
      </c>
      <c r="W3807" s="0" t="n">
        <f aca="false">H3807*H3807</f>
        <v>0</v>
      </c>
      <c r="X3807" s="0" t="n">
        <f aca="false">SUMPRODUCT(I3807:W3807,_XtX!$B$96:$P$96)</f>
        <v>44.9174798976608</v>
      </c>
      <c r="Y3807" s="0" t="n">
        <f aca="false">SUMPRODUCT(MMULT(I3807:W3807,_XtX!$B$78:$P$92),I3807:W3807)</f>
        <v>0.501534802174708</v>
      </c>
      <c r="Z3807" s="0" t="n">
        <f aca="false">04_回帰ANOVA!$K$19*04_回帰ANOVA!$K$14*SQRT(1+Y3807)</f>
        <v>1.59722498091333</v>
      </c>
      <c r="AA3807" s="0" t="n">
        <f aca="false">X3807-Z3807</f>
        <v>43.3202549167474</v>
      </c>
      <c r="AB3807" s="0" t="n">
        <f aca="false">X3807+Z3807</f>
        <v>46.5147048785741</v>
      </c>
      <c r="AC3807" s="54" t="b">
        <f aca="false">AND(E3807&gt;=01_因子設定!$L$5-0.000000001,E3807&lt;=01_因子設定!$M$5+0.000000001,F3807&gt;=01_因子設定!$L$6-0.000000001,F3807&lt;=01_因子設定!$M$6+0.000000001,G3807&gt;=01_因子設定!$L$7-0.000000001,G3807&lt;=01_因子設定!$M$7+0.000000001,H3807&gt;=01_因子設定!$L$8-0.000000001,H3807&lt;=01_因子設定!$M$8+0.000000001,IF(01_因子設定!$B$20="Box-Behnken",E3807^2+F3807^2+G3807^2+H3807^2&lt;=2+0.000000001,TRUE()))</f>
        <v>1</v>
      </c>
      <c r="AD3807" s="55" t="n">
        <f aca="false">IF(AC3807,IF(01_因子設定!$B$13="最大化",AA3807-01_因子設定!$B$14,IF(01_因子設定!$B$13="最小化",01_因子設定!$B$15-AB3807,MIN(AA3807-01_因子設定!$B$14,01_因子設定!$B$15-AB3807))),-1E+030)</f>
        <v>-3.17974508325257</v>
      </c>
      <c r="AE3807" s="55" t="n">
        <f aca="false">IF(AC3807,IF(01_因子設定!$B$13="最大化",X3807,IF(01_因子設定!$B$13="最小化",-X3807,-ABS(X3807-01_因子設定!$B$16))),-1E+030)</f>
        <v>44.9174798976608</v>
      </c>
      <c r="AF3807" s="55" t="n">
        <f aca="false">AD3807+ROW()*0.000000001</f>
        <v>-3.17974127625257</v>
      </c>
      <c r="AG3807" s="55" t="n">
        <f aca="false">AE3807+ROW()*0.000000001</f>
        <v>44.9174837046608</v>
      </c>
    </row>
    <row r="3808" customFormat="false" ht="15" hidden="false" customHeight="false" outlineLevel="0" collapsed="false">
      <c r="A3808" s="0" t="n">
        <v>5</v>
      </c>
      <c r="B3808" s="0" t="n">
        <v>1</v>
      </c>
      <c r="C3808" s="0" t="n">
        <v>8</v>
      </c>
      <c r="D3808" s="0" t="n">
        <v>5</v>
      </c>
      <c r="E3808" s="0" t="n">
        <f aca="false">-1+A3808*0.25</f>
        <v>0.25</v>
      </c>
      <c r="F3808" s="0" t="n">
        <f aca="false">-1+B3808*0.25</f>
        <v>-0.75</v>
      </c>
      <c r="G3808" s="0" t="n">
        <f aca="false">-1+C3808*0.25</f>
        <v>1</v>
      </c>
      <c r="H3808" s="0" t="n">
        <f aca="false">-1+D3808*0.25</f>
        <v>0.25</v>
      </c>
      <c r="I3808" s="0" t="n">
        <f aca="false">1</f>
        <v>1</v>
      </c>
      <c r="J3808" s="0" t="n">
        <f aca="false">E3808</f>
        <v>0.25</v>
      </c>
      <c r="K3808" s="0" t="n">
        <f aca="false">F3808</f>
        <v>-0.75</v>
      </c>
      <c r="L3808" s="0" t="n">
        <f aca="false">G3808</f>
        <v>1</v>
      </c>
      <c r="M3808" s="0" t="n">
        <f aca="false">H3808</f>
        <v>0.25</v>
      </c>
      <c r="N3808" s="0" t="n">
        <f aca="false">E3808*F3808</f>
        <v>-0.1875</v>
      </c>
      <c r="O3808" s="0" t="n">
        <f aca="false">E3808*G3808</f>
        <v>0.25</v>
      </c>
      <c r="P3808" s="0" t="n">
        <f aca="false">E3808*H3808</f>
        <v>0.0625</v>
      </c>
      <c r="Q3808" s="0" t="n">
        <f aca="false">F3808*G3808</f>
        <v>-0.75</v>
      </c>
      <c r="R3808" s="0" t="n">
        <f aca="false">F3808*H3808</f>
        <v>-0.1875</v>
      </c>
      <c r="S3808" s="0" t="n">
        <f aca="false">G3808*H3808</f>
        <v>0.25</v>
      </c>
      <c r="T3808" s="0" t="n">
        <f aca="false">E3808*E3808</f>
        <v>0.0625</v>
      </c>
      <c r="U3808" s="0" t="n">
        <f aca="false">F3808*F3808</f>
        <v>0.5625</v>
      </c>
      <c r="V3808" s="0" t="n">
        <f aca="false">G3808*G3808</f>
        <v>1</v>
      </c>
      <c r="W3808" s="0" t="n">
        <f aca="false">H3808*H3808</f>
        <v>0.0625</v>
      </c>
      <c r="X3808" s="0" t="n">
        <f aca="false">SUMPRODUCT(I3808:W3808,_XtX!$B$96:$P$96)</f>
        <v>45.1144965277777</v>
      </c>
      <c r="Y3808" s="0" t="n">
        <f aca="false">SUMPRODUCT(MMULT(I3808:W3808,_XtX!$B$78:$P$92),I3808:W3808)</f>
        <v>0.486409505208334</v>
      </c>
      <c r="Z3808" s="0" t="n">
        <f aca="false">04_回帰ANOVA!$K$19*04_回帰ANOVA!$K$14*SQRT(1+Y3808)</f>
        <v>1.58916001665498</v>
      </c>
      <c r="AA3808" s="0" t="n">
        <f aca="false">X3808-Z3808</f>
        <v>43.5253365111227</v>
      </c>
      <c r="AB3808" s="0" t="n">
        <f aca="false">X3808+Z3808</f>
        <v>46.7036565444327</v>
      </c>
      <c r="AC3808" s="54" t="b">
        <f aca="false">AND(E3808&gt;=01_因子設定!$L$5-0.000000001,E3808&lt;=01_因子設定!$M$5+0.000000001,F3808&gt;=01_因子設定!$L$6-0.000000001,F3808&lt;=01_因子設定!$M$6+0.000000001,G3808&gt;=01_因子設定!$L$7-0.000000001,G3808&lt;=01_因子設定!$M$7+0.000000001,H3808&gt;=01_因子設定!$L$8-0.000000001,H3808&lt;=01_因子設定!$M$8+0.000000001,IF(01_因子設定!$B$20="Box-Behnken",E3808^2+F3808^2+G3808^2+H3808^2&lt;=2+0.000000001,TRUE()))</f>
        <v>1</v>
      </c>
      <c r="AD3808" s="55" t="n">
        <f aca="false">IF(AC3808,IF(01_因子設定!$B$13="最大化",AA3808-01_因子設定!$B$14,IF(01_因子設定!$B$13="最小化",01_因子設定!$B$15-AB3808,MIN(AA3808-01_因子設定!$B$14,01_因子設定!$B$15-AB3808))),-1E+030)</f>
        <v>-2.97466348887725</v>
      </c>
      <c r="AE3808" s="55" t="n">
        <f aca="false">IF(AC3808,IF(01_因子設定!$B$13="最大化",X3808,IF(01_因子設定!$B$13="最小化",-X3808,-ABS(X3808-01_因子設定!$B$16))),-1E+030)</f>
        <v>45.1144965277777</v>
      </c>
      <c r="AF3808" s="55" t="n">
        <f aca="false">AD3808+ROW()*0.000000001</f>
        <v>-2.97465968087725</v>
      </c>
      <c r="AG3808" s="55" t="n">
        <f aca="false">AE3808+ROW()*0.000000001</f>
        <v>45.1145003357777</v>
      </c>
    </row>
    <row r="3809" customFormat="false" ht="15" hidden="false" customHeight="false" outlineLevel="0" collapsed="false">
      <c r="A3809" s="0" t="n">
        <v>5</v>
      </c>
      <c r="B3809" s="0" t="n">
        <v>1</v>
      </c>
      <c r="C3809" s="0" t="n">
        <v>8</v>
      </c>
      <c r="D3809" s="0" t="n">
        <v>6</v>
      </c>
      <c r="E3809" s="0" t="n">
        <f aca="false">-1+A3809*0.25</f>
        <v>0.25</v>
      </c>
      <c r="F3809" s="0" t="n">
        <f aca="false">-1+B3809*0.25</f>
        <v>-0.75</v>
      </c>
      <c r="G3809" s="0" t="n">
        <f aca="false">-1+C3809*0.25</f>
        <v>1</v>
      </c>
      <c r="H3809" s="0" t="n">
        <f aca="false">-1+D3809*0.25</f>
        <v>0.5</v>
      </c>
      <c r="I3809" s="0" t="n">
        <f aca="false">1</f>
        <v>1</v>
      </c>
      <c r="J3809" s="0" t="n">
        <f aca="false">E3809</f>
        <v>0.25</v>
      </c>
      <c r="K3809" s="0" t="n">
        <f aca="false">F3809</f>
        <v>-0.75</v>
      </c>
      <c r="L3809" s="0" t="n">
        <f aca="false">G3809</f>
        <v>1</v>
      </c>
      <c r="M3809" s="0" t="n">
        <f aca="false">H3809</f>
        <v>0.5</v>
      </c>
      <c r="N3809" s="0" t="n">
        <f aca="false">E3809*F3809</f>
        <v>-0.1875</v>
      </c>
      <c r="O3809" s="0" t="n">
        <f aca="false">E3809*G3809</f>
        <v>0.25</v>
      </c>
      <c r="P3809" s="0" t="n">
        <f aca="false">E3809*H3809</f>
        <v>0.125</v>
      </c>
      <c r="Q3809" s="0" t="n">
        <f aca="false">F3809*G3809</f>
        <v>-0.75</v>
      </c>
      <c r="R3809" s="0" t="n">
        <f aca="false">F3809*H3809</f>
        <v>-0.375</v>
      </c>
      <c r="S3809" s="0" t="n">
        <f aca="false">G3809*H3809</f>
        <v>0.5</v>
      </c>
      <c r="T3809" s="0" t="n">
        <f aca="false">E3809*E3809</f>
        <v>0.0625</v>
      </c>
      <c r="U3809" s="0" t="n">
        <f aca="false">F3809*F3809</f>
        <v>0.5625</v>
      </c>
      <c r="V3809" s="0" t="n">
        <f aca="false">G3809*G3809</f>
        <v>1</v>
      </c>
      <c r="W3809" s="0" t="n">
        <f aca="false">H3809*H3809</f>
        <v>0.25</v>
      </c>
      <c r="X3809" s="0" t="n">
        <f aca="false">SUMPRODUCT(I3809:W3809,_XtX!$B$96:$P$96)</f>
        <v>45.2637061403508</v>
      </c>
      <c r="Y3809" s="0" t="n">
        <f aca="false">SUMPRODUCT(MMULT(I3809:W3809,_XtX!$B$78:$P$92),I3809:W3809)</f>
        <v>0.459125719572369</v>
      </c>
      <c r="Z3809" s="0" t="n">
        <f aca="false">04_回帰ANOVA!$K$19*04_回帰ANOVA!$K$14*SQRT(1+Y3809)</f>
        <v>1.57450755575573</v>
      </c>
      <c r="AA3809" s="0" t="n">
        <f aca="false">X3809-Z3809</f>
        <v>43.6891985845951</v>
      </c>
      <c r="AB3809" s="0" t="n">
        <f aca="false">X3809+Z3809</f>
        <v>46.8382136961066</v>
      </c>
      <c r="AC3809" s="54" t="b">
        <f aca="false">AND(E3809&gt;=01_因子設定!$L$5-0.000000001,E3809&lt;=01_因子設定!$M$5+0.000000001,F3809&gt;=01_因子設定!$L$6-0.000000001,F3809&lt;=01_因子設定!$M$6+0.000000001,G3809&gt;=01_因子設定!$L$7-0.000000001,G3809&lt;=01_因子設定!$M$7+0.000000001,H3809&gt;=01_因子設定!$L$8-0.000000001,H3809&lt;=01_因子設定!$M$8+0.000000001,IF(01_因子設定!$B$20="Box-Behnken",E3809^2+F3809^2+G3809^2+H3809^2&lt;=2+0.000000001,TRUE()))</f>
        <v>1</v>
      </c>
      <c r="AD3809" s="55" t="n">
        <f aca="false">IF(AC3809,IF(01_因子設定!$B$13="最大化",AA3809-01_因子設定!$B$14,IF(01_因子設定!$B$13="最小化",01_因子設定!$B$15-AB3809,MIN(AA3809-01_因子設定!$B$14,01_因子設定!$B$15-AB3809))),-1E+030)</f>
        <v>-2.8108014154049</v>
      </c>
      <c r="AE3809" s="55" t="n">
        <f aca="false">IF(AC3809,IF(01_因子設定!$B$13="最大化",X3809,IF(01_因子設定!$B$13="最小化",-X3809,-ABS(X3809-01_因子設定!$B$16))),-1E+030)</f>
        <v>45.2637061403508</v>
      </c>
      <c r="AF3809" s="55" t="n">
        <f aca="false">AD3809+ROW()*0.000000001</f>
        <v>-2.8107976064049</v>
      </c>
      <c r="AG3809" s="55" t="n">
        <f aca="false">AE3809+ROW()*0.000000001</f>
        <v>45.2637099493508</v>
      </c>
    </row>
    <row r="3810" customFormat="false" ht="15" hidden="false" customHeight="false" outlineLevel="0" collapsed="false">
      <c r="A3810" s="0" t="n">
        <v>5</v>
      </c>
      <c r="B3810" s="0" t="n">
        <v>1</v>
      </c>
      <c r="C3810" s="0" t="n">
        <v>8</v>
      </c>
      <c r="D3810" s="0" t="n">
        <v>7</v>
      </c>
      <c r="E3810" s="0" t="n">
        <f aca="false">-1+A3810*0.25</f>
        <v>0.25</v>
      </c>
      <c r="F3810" s="0" t="n">
        <f aca="false">-1+B3810*0.25</f>
        <v>-0.75</v>
      </c>
      <c r="G3810" s="0" t="n">
        <f aca="false">-1+C3810*0.25</f>
        <v>1</v>
      </c>
      <c r="H3810" s="0" t="n">
        <f aca="false">-1+D3810*0.25</f>
        <v>0.75</v>
      </c>
      <c r="I3810" s="0" t="n">
        <f aca="false">1</f>
        <v>1</v>
      </c>
      <c r="J3810" s="0" t="n">
        <f aca="false">E3810</f>
        <v>0.25</v>
      </c>
      <c r="K3810" s="0" t="n">
        <f aca="false">F3810</f>
        <v>-0.75</v>
      </c>
      <c r="L3810" s="0" t="n">
        <f aca="false">G3810</f>
        <v>1</v>
      </c>
      <c r="M3810" s="0" t="n">
        <f aca="false">H3810</f>
        <v>0.75</v>
      </c>
      <c r="N3810" s="0" t="n">
        <f aca="false">E3810*F3810</f>
        <v>-0.1875</v>
      </c>
      <c r="O3810" s="0" t="n">
        <f aca="false">E3810*G3810</f>
        <v>0.25</v>
      </c>
      <c r="P3810" s="0" t="n">
        <f aca="false">E3810*H3810</f>
        <v>0.1875</v>
      </c>
      <c r="Q3810" s="0" t="n">
        <f aca="false">F3810*G3810</f>
        <v>-0.75</v>
      </c>
      <c r="R3810" s="0" t="n">
        <f aca="false">F3810*H3810</f>
        <v>-0.5625</v>
      </c>
      <c r="S3810" s="0" t="n">
        <f aca="false">G3810*H3810</f>
        <v>0.75</v>
      </c>
      <c r="T3810" s="0" t="n">
        <f aca="false">E3810*E3810</f>
        <v>0.0625</v>
      </c>
      <c r="U3810" s="0" t="n">
        <f aca="false">F3810*F3810</f>
        <v>0.5625</v>
      </c>
      <c r="V3810" s="0" t="n">
        <f aca="false">G3810*G3810</f>
        <v>1</v>
      </c>
      <c r="W3810" s="0" t="n">
        <f aca="false">H3810*H3810</f>
        <v>0.5625</v>
      </c>
      <c r="X3810" s="0" t="n">
        <f aca="false">SUMPRODUCT(I3810:W3810,_XtX!$B$96:$P$96)</f>
        <v>45.3651087353801</v>
      </c>
      <c r="Y3810" s="0" t="n">
        <f aca="false">SUMPRODUCT(MMULT(I3810:W3810,_XtX!$B$78:$P$92),I3810:W3810)</f>
        <v>0.473959761056287</v>
      </c>
      <c r="Z3810" s="0" t="n">
        <f aca="false">04_回帰ANOVA!$K$19*04_回帰ANOVA!$K$14*SQRT(1+Y3810)</f>
        <v>1.58249084588329</v>
      </c>
      <c r="AA3810" s="0" t="n">
        <f aca="false">X3810-Z3810</f>
        <v>43.7826178894968</v>
      </c>
      <c r="AB3810" s="0" t="n">
        <f aca="false">X3810+Z3810</f>
        <v>46.9475995812634</v>
      </c>
      <c r="AC3810" s="54" t="b">
        <f aca="false">AND(E3810&gt;=01_因子設定!$L$5-0.000000001,E3810&lt;=01_因子設定!$M$5+0.000000001,F3810&gt;=01_因子設定!$L$6-0.000000001,F3810&lt;=01_因子設定!$M$6+0.000000001,G3810&gt;=01_因子設定!$L$7-0.000000001,G3810&lt;=01_因子設定!$M$7+0.000000001,H3810&gt;=01_因子設定!$L$8-0.000000001,H3810&lt;=01_因子設定!$M$8+0.000000001,IF(01_因子設定!$B$20="Box-Behnken",E3810^2+F3810^2+G3810^2+H3810^2&lt;=2+0.000000001,TRUE()))</f>
        <v>1</v>
      </c>
      <c r="AD3810" s="55" t="n">
        <f aca="false">IF(AC3810,IF(01_因子設定!$B$13="最大化",AA3810-01_因子設定!$B$14,IF(01_因子設定!$B$13="最小化",01_因子設定!$B$15-AB3810,MIN(AA3810-01_因子設定!$B$14,01_因子設定!$B$15-AB3810))),-1E+030)</f>
        <v>-2.7173821105032</v>
      </c>
      <c r="AE3810" s="55" t="n">
        <f aca="false">IF(AC3810,IF(01_因子設定!$B$13="最大化",X3810,IF(01_因子設定!$B$13="最小化",-X3810,-ABS(X3810-01_因子設定!$B$16))),-1E+030)</f>
        <v>45.3651087353801</v>
      </c>
      <c r="AF3810" s="55" t="n">
        <f aca="false">AD3810+ROW()*0.000000001</f>
        <v>-2.7173783005032</v>
      </c>
      <c r="AG3810" s="55" t="n">
        <f aca="false">AE3810+ROW()*0.000000001</f>
        <v>45.3651125453801</v>
      </c>
    </row>
    <row r="3811" customFormat="false" ht="15" hidden="false" customHeight="false" outlineLevel="0" collapsed="false">
      <c r="A3811" s="0" t="n">
        <v>5</v>
      </c>
      <c r="B3811" s="0" t="n">
        <v>1</v>
      </c>
      <c r="C3811" s="0" t="n">
        <v>8</v>
      </c>
      <c r="D3811" s="0" t="n">
        <v>8</v>
      </c>
      <c r="E3811" s="0" t="n">
        <f aca="false">-1+A3811*0.25</f>
        <v>0.25</v>
      </c>
      <c r="F3811" s="0" t="n">
        <f aca="false">-1+B3811*0.25</f>
        <v>-0.75</v>
      </c>
      <c r="G3811" s="0" t="n">
        <f aca="false">-1+C3811*0.25</f>
        <v>1</v>
      </c>
      <c r="H3811" s="0" t="n">
        <f aca="false">-1+D3811*0.25</f>
        <v>1</v>
      </c>
      <c r="I3811" s="0" t="n">
        <f aca="false">1</f>
        <v>1</v>
      </c>
      <c r="J3811" s="0" t="n">
        <f aca="false">E3811</f>
        <v>0.25</v>
      </c>
      <c r="K3811" s="0" t="n">
        <f aca="false">F3811</f>
        <v>-0.75</v>
      </c>
      <c r="L3811" s="0" t="n">
        <f aca="false">G3811</f>
        <v>1</v>
      </c>
      <c r="M3811" s="0" t="n">
        <f aca="false">H3811</f>
        <v>1</v>
      </c>
      <c r="N3811" s="0" t="n">
        <f aca="false">E3811*F3811</f>
        <v>-0.1875</v>
      </c>
      <c r="O3811" s="0" t="n">
        <f aca="false">E3811*G3811</f>
        <v>0.25</v>
      </c>
      <c r="P3811" s="0" t="n">
        <f aca="false">E3811*H3811</f>
        <v>0.25</v>
      </c>
      <c r="Q3811" s="0" t="n">
        <f aca="false">F3811*G3811</f>
        <v>-0.75</v>
      </c>
      <c r="R3811" s="0" t="n">
        <f aca="false">F3811*H3811</f>
        <v>-0.75</v>
      </c>
      <c r="S3811" s="0" t="n">
        <f aca="false">G3811*H3811</f>
        <v>1</v>
      </c>
      <c r="T3811" s="0" t="n">
        <f aca="false">E3811*E3811</f>
        <v>0.0625</v>
      </c>
      <c r="U3811" s="0" t="n">
        <f aca="false">F3811*F3811</f>
        <v>0.5625</v>
      </c>
      <c r="V3811" s="0" t="n">
        <f aca="false">G3811*G3811</f>
        <v>1</v>
      </c>
      <c r="W3811" s="0" t="n">
        <f aca="false">H3811*H3811</f>
        <v>1</v>
      </c>
      <c r="X3811" s="0" t="n">
        <f aca="false">SUMPRODUCT(I3811:W3811,_XtX!$B$96:$P$96)</f>
        <v>45.4187043128655</v>
      </c>
      <c r="Y3811" s="0" t="n">
        <f aca="false">SUMPRODUCT(MMULT(I3811:W3811,_XtX!$B$78:$P$92),I3811:W3811)</f>
        <v>0.621372155975877</v>
      </c>
      <c r="Z3811" s="0" t="n">
        <f aca="false">04_回帰ANOVA!$K$19*04_回帰ANOVA!$K$14*SQRT(1+Y3811)</f>
        <v>1.65973880499872</v>
      </c>
      <c r="AA3811" s="0" t="n">
        <f aca="false">X3811-Z3811</f>
        <v>43.7589655078668</v>
      </c>
      <c r="AB3811" s="0" t="n">
        <f aca="false">X3811+Z3811</f>
        <v>47.0784431178642</v>
      </c>
      <c r="AC3811" s="54" t="b">
        <f aca="false">AND(E3811&gt;=01_因子設定!$L$5-0.000000001,E3811&lt;=01_因子設定!$M$5+0.000000001,F3811&gt;=01_因子設定!$L$6-0.000000001,F3811&lt;=01_因子設定!$M$6+0.000000001,G3811&gt;=01_因子設定!$L$7-0.000000001,G3811&lt;=01_因子設定!$M$7+0.000000001,H3811&gt;=01_因子設定!$L$8-0.000000001,H3811&lt;=01_因子設定!$M$8+0.000000001,IF(01_因子設定!$B$20="Box-Behnken",E3811^2+F3811^2+G3811^2+H3811^2&lt;=2+0.000000001,TRUE()))</f>
        <v>1</v>
      </c>
      <c r="AD3811" s="55" t="n">
        <f aca="false">IF(AC3811,IF(01_因子設定!$B$13="最大化",AA3811-01_因子設定!$B$14,IF(01_因子設定!$B$13="最小化",01_因子設定!$B$15-AB3811,MIN(AA3811-01_因子設定!$B$14,01_因子設定!$B$15-AB3811))),-1E+030)</f>
        <v>-2.74103449213324</v>
      </c>
      <c r="AE3811" s="55" t="n">
        <f aca="false">IF(AC3811,IF(01_因子設定!$B$13="最大化",X3811,IF(01_因子設定!$B$13="最小化",-X3811,-ABS(X3811-01_因子設定!$B$16))),-1E+030)</f>
        <v>45.4187043128655</v>
      </c>
      <c r="AF3811" s="55" t="n">
        <f aca="false">AD3811+ROW()*0.000000001</f>
        <v>-2.74103068113324</v>
      </c>
      <c r="AG3811" s="55" t="n">
        <f aca="false">AE3811+ROW()*0.000000001</f>
        <v>45.4187081238655</v>
      </c>
    </row>
    <row r="3812" customFormat="false" ht="15" hidden="false" customHeight="false" outlineLevel="0" collapsed="false">
      <c r="A3812" s="0" t="n">
        <v>5</v>
      </c>
      <c r="B3812" s="0" t="n">
        <v>2</v>
      </c>
      <c r="C3812" s="0" t="n">
        <v>0</v>
      </c>
      <c r="D3812" s="0" t="n">
        <v>0</v>
      </c>
      <c r="E3812" s="0" t="n">
        <f aca="false">-1+A3812*0.25</f>
        <v>0.25</v>
      </c>
      <c r="F3812" s="0" t="n">
        <f aca="false">-1+B3812*0.25</f>
        <v>-0.5</v>
      </c>
      <c r="G3812" s="0" t="n">
        <f aca="false">-1+C3812*0.25</f>
        <v>-1</v>
      </c>
      <c r="H3812" s="0" t="n">
        <f aca="false">-1+D3812*0.25</f>
        <v>-1</v>
      </c>
      <c r="I3812" s="0" t="n">
        <f aca="false">1</f>
        <v>1</v>
      </c>
      <c r="J3812" s="0" t="n">
        <f aca="false">E3812</f>
        <v>0.25</v>
      </c>
      <c r="K3812" s="0" t="n">
        <f aca="false">F3812</f>
        <v>-0.5</v>
      </c>
      <c r="L3812" s="0" t="n">
        <f aca="false">G3812</f>
        <v>-1</v>
      </c>
      <c r="M3812" s="0" t="n">
        <f aca="false">H3812</f>
        <v>-1</v>
      </c>
      <c r="N3812" s="0" t="n">
        <f aca="false">E3812*F3812</f>
        <v>-0.125</v>
      </c>
      <c r="O3812" s="0" t="n">
        <f aca="false">E3812*G3812</f>
        <v>-0.25</v>
      </c>
      <c r="P3812" s="0" t="n">
        <f aca="false">E3812*H3812</f>
        <v>-0.25</v>
      </c>
      <c r="Q3812" s="0" t="n">
        <f aca="false">F3812*G3812</f>
        <v>0.5</v>
      </c>
      <c r="R3812" s="0" t="n">
        <f aca="false">F3812*H3812</f>
        <v>0.5</v>
      </c>
      <c r="S3812" s="0" t="n">
        <f aca="false">G3812*H3812</f>
        <v>1</v>
      </c>
      <c r="T3812" s="0" t="n">
        <f aca="false">E3812*E3812</f>
        <v>0.0625</v>
      </c>
      <c r="U3812" s="0" t="n">
        <f aca="false">F3812*F3812</f>
        <v>0.25</v>
      </c>
      <c r="V3812" s="0" t="n">
        <f aca="false">G3812*G3812</f>
        <v>1</v>
      </c>
      <c r="W3812" s="0" t="n">
        <f aca="false">H3812*H3812</f>
        <v>1</v>
      </c>
      <c r="X3812" s="0" t="n">
        <f aca="false">SUMPRODUCT(I3812:W3812,_XtX!$B$96:$P$96)</f>
        <v>44.4293676900585</v>
      </c>
      <c r="Y3812" s="0" t="n">
        <f aca="false">SUMPRODUCT(MMULT(I3812:W3812,_XtX!$B$78:$P$92),I3812:W3812)</f>
        <v>0.629174661915205</v>
      </c>
      <c r="Z3812" s="0" t="n">
        <f aca="false">04_回帰ANOVA!$K$19*04_回帰ANOVA!$K$14*SQRT(1+Y3812)</f>
        <v>1.66372758058297</v>
      </c>
      <c r="AA3812" s="0" t="n">
        <f aca="false">X3812-Z3812</f>
        <v>42.7656401094755</v>
      </c>
      <c r="AB3812" s="0" t="n">
        <f aca="false">X3812+Z3812</f>
        <v>46.0930952706414</v>
      </c>
      <c r="AC3812" s="54" t="b">
        <f aca="false">AND(E3812&gt;=01_因子設定!$L$5-0.000000001,E3812&lt;=01_因子設定!$M$5+0.000000001,F3812&gt;=01_因子設定!$L$6-0.000000001,F3812&lt;=01_因子設定!$M$6+0.000000001,G3812&gt;=01_因子設定!$L$7-0.000000001,G3812&lt;=01_因子設定!$M$7+0.000000001,H3812&gt;=01_因子設定!$L$8-0.000000001,H3812&lt;=01_因子設定!$M$8+0.000000001,IF(01_因子設定!$B$20="Box-Behnken",E3812^2+F3812^2+G3812^2+H3812^2&lt;=2+0.000000001,TRUE()))</f>
        <v>1</v>
      </c>
      <c r="AD3812" s="55" t="n">
        <f aca="false">IF(AC3812,IF(01_因子設定!$B$13="最大化",AA3812-01_因子設定!$B$14,IF(01_因子設定!$B$13="最小化",01_因子設定!$B$15-AB3812,MIN(AA3812-01_因子設定!$B$14,01_因子設定!$B$15-AB3812))),-1E+030)</f>
        <v>-3.73435989052451</v>
      </c>
      <c r="AE3812" s="55" t="n">
        <f aca="false">IF(AC3812,IF(01_因子設定!$B$13="最大化",X3812,IF(01_因子設定!$B$13="最小化",-X3812,-ABS(X3812-01_因子設定!$B$16))),-1E+030)</f>
        <v>44.4293676900585</v>
      </c>
      <c r="AF3812" s="55" t="n">
        <f aca="false">AD3812+ROW()*0.000000001</f>
        <v>-3.73435607852451</v>
      </c>
      <c r="AG3812" s="55" t="n">
        <f aca="false">AE3812+ROW()*0.000000001</f>
        <v>44.4293715020585</v>
      </c>
    </row>
    <row r="3813" customFormat="false" ht="15" hidden="false" customHeight="false" outlineLevel="0" collapsed="false">
      <c r="A3813" s="0" t="n">
        <v>5</v>
      </c>
      <c r="B3813" s="0" t="n">
        <v>2</v>
      </c>
      <c r="C3813" s="0" t="n">
        <v>0</v>
      </c>
      <c r="D3813" s="0" t="n">
        <v>1</v>
      </c>
      <c r="E3813" s="0" t="n">
        <f aca="false">-1+A3813*0.25</f>
        <v>0.25</v>
      </c>
      <c r="F3813" s="0" t="n">
        <f aca="false">-1+B3813*0.25</f>
        <v>-0.5</v>
      </c>
      <c r="G3813" s="0" t="n">
        <f aca="false">-1+C3813*0.25</f>
        <v>-1</v>
      </c>
      <c r="H3813" s="0" t="n">
        <f aca="false">-1+D3813*0.25</f>
        <v>-0.75</v>
      </c>
      <c r="I3813" s="0" t="n">
        <f aca="false">1</f>
        <v>1</v>
      </c>
      <c r="J3813" s="0" t="n">
        <f aca="false">E3813</f>
        <v>0.25</v>
      </c>
      <c r="K3813" s="0" t="n">
        <f aca="false">F3813</f>
        <v>-0.5</v>
      </c>
      <c r="L3813" s="0" t="n">
        <f aca="false">G3813</f>
        <v>-1</v>
      </c>
      <c r="M3813" s="0" t="n">
        <f aca="false">H3813</f>
        <v>-0.75</v>
      </c>
      <c r="N3813" s="0" t="n">
        <f aca="false">E3813*F3813</f>
        <v>-0.125</v>
      </c>
      <c r="O3813" s="0" t="n">
        <f aca="false">E3813*G3813</f>
        <v>-0.25</v>
      </c>
      <c r="P3813" s="0" t="n">
        <f aca="false">E3813*H3813</f>
        <v>-0.1875</v>
      </c>
      <c r="Q3813" s="0" t="n">
        <f aca="false">F3813*G3813</f>
        <v>0.5</v>
      </c>
      <c r="R3813" s="0" t="n">
        <f aca="false">F3813*H3813</f>
        <v>0.375</v>
      </c>
      <c r="S3813" s="0" t="n">
        <f aca="false">G3813*H3813</f>
        <v>0.75</v>
      </c>
      <c r="T3813" s="0" t="n">
        <f aca="false">E3813*E3813</f>
        <v>0.0625</v>
      </c>
      <c r="U3813" s="0" t="n">
        <f aca="false">F3813*F3813</f>
        <v>0.25</v>
      </c>
      <c r="V3813" s="0" t="n">
        <f aca="false">G3813*G3813</f>
        <v>1</v>
      </c>
      <c r="W3813" s="0" t="n">
        <f aca="false">H3813*H3813</f>
        <v>0.5625</v>
      </c>
      <c r="X3813" s="0" t="n">
        <f aca="false">SUMPRODUCT(I3813:W3813,_XtX!$B$96:$P$96)</f>
        <v>44.6605811403508</v>
      </c>
      <c r="Y3813" s="0" t="n">
        <f aca="false">SUMPRODUCT(MMULT(I3813:W3813,_XtX!$B$78:$P$92),I3813:W3813)</f>
        <v>0.459125719572369</v>
      </c>
      <c r="Z3813" s="0" t="n">
        <f aca="false">04_回帰ANOVA!$K$19*04_回帰ANOVA!$K$14*SQRT(1+Y3813)</f>
        <v>1.57450755575573</v>
      </c>
      <c r="AA3813" s="0" t="n">
        <f aca="false">X3813-Z3813</f>
        <v>43.0860735845951</v>
      </c>
      <c r="AB3813" s="0" t="n">
        <f aca="false">X3813+Z3813</f>
        <v>46.2350886961066</v>
      </c>
      <c r="AC3813" s="54" t="b">
        <f aca="false">AND(E3813&gt;=01_因子設定!$L$5-0.000000001,E3813&lt;=01_因子設定!$M$5+0.000000001,F3813&gt;=01_因子設定!$L$6-0.000000001,F3813&lt;=01_因子設定!$M$6+0.000000001,G3813&gt;=01_因子設定!$L$7-0.000000001,G3813&lt;=01_因子設定!$M$7+0.000000001,H3813&gt;=01_因子設定!$L$8-0.000000001,H3813&lt;=01_因子設定!$M$8+0.000000001,IF(01_因子設定!$B$20="Box-Behnken",E3813^2+F3813^2+G3813^2+H3813^2&lt;=2+0.000000001,TRUE()))</f>
        <v>1</v>
      </c>
      <c r="AD3813" s="55" t="n">
        <f aca="false">IF(AC3813,IF(01_因子設定!$B$13="最大化",AA3813-01_因子設定!$B$14,IF(01_因子設定!$B$13="最小化",01_因子設定!$B$15-AB3813,MIN(AA3813-01_因子設定!$B$14,01_因子設定!$B$15-AB3813))),-1E+030)</f>
        <v>-3.41392641540489</v>
      </c>
      <c r="AE3813" s="55" t="n">
        <f aca="false">IF(AC3813,IF(01_因子設定!$B$13="最大化",X3813,IF(01_因子設定!$B$13="最小化",-X3813,-ABS(X3813-01_因子設定!$B$16))),-1E+030)</f>
        <v>44.6605811403508</v>
      </c>
      <c r="AF3813" s="55" t="n">
        <f aca="false">AD3813+ROW()*0.000000001</f>
        <v>-3.41392260240489</v>
      </c>
      <c r="AG3813" s="55" t="n">
        <f aca="false">AE3813+ROW()*0.000000001</f>
        <v>44.6605849533508</v>
      </c>
    </row>
    <row r="3814" customFormat="false" ht="15" hidden="false" customHeight="false" outlineLevel="0" collapsed="false">
      <c r="A3814" s="0" t="n">
        <v>5</v>
      </c>
      <c r="B3814" s="0" t="n">
        <v>2</v>
      </c>
      <c r="C3814" s="0" t="n">
        <v>0</v>
      </c>
      <c r="D3814" s="0" t="n">
        <v>2</v>
      </c>
      <c r="E3814" s="0" t="n">
        <f aca="false">-1+A3814*0.25</f>
        <v>0.25</v>
      </c>
      <c r="F3814" s="0" t="n">
        <f aca="false">-1+B3814*0.25</f>
        <v>-0.5</v>
      </c>
      <c r="G3814" s="0" t="n">
        <f aca="false">-1+C3814*0.25</f>
        <v>-1</v>
      </c>
      <c r="H3814" s="0" t="n">
        <f aca="false">-1+D3814*0.25</f>
        <v>-0.5</v>
      </c>
      <c r="I3814" s="0" t="n">
        <f aca="false">1</f>
        <v>1</v>
      </c>
      <c r="J3814" s="0" t="n">
        <f aca="false">E3814</f>
        <v>0.25</v>
      </c>
      <c r="K3814" s="0" t="n">
        <f aca="false">F3814</f>
        <v>-0.5</v>
      </c>
      <c r="L3814" s="0" t="n">
        <f aca="false">G3814</f>
        <v>-1</v>
      </c>
      <c r="M3814" s="0" t="n">
        <f aca="false">H3814</f>
        <v>-0.5</v>
      </c>
      <c r="N3814" s="0" t="n">
        <f aca="false">E3814*F3814</f>
        <v>-0.125</v>
      </c>
      <c r="O3814" s="0" t="n">
        <f aca="false">E3814*G3814</f>
        <v>-0.25</v>
      </c>
      <c r="P3814" s="0" t="n">
        <f aca="false">E3814*H3814</f>
        <v>-0.125</v>
      </c>
      <c r="Q3814" s="0" t="n">
        <f aca="false">F3814*G3814</f>
        <v>0.5</v>
      </c>
      <c r="R3814" s="0" t="n">
        <f aca="false">F3814*H3814</f>
        <v>0.25</v>
      </c>
      <c r="S3814" s="0" t="n">
        <f aca="false">G3814*H3814</f>
        <v>0.5</v>
      </c>
      <c r="T3814" s="0" t="n">
        <f aca="false">E3814*E3814</f>
        <v>0.0625</v>
      </c>
      <c r="U3814" s="0" t="n">
        <f aca="false">F3814*F3814</f>
        <v>0.25</v>
      </c>
      <c r="V3814" s="0" t="n">
        <f aca="false">G3814*G3814</f>
        <v>1</v>
      </c>
      <c r="W3814" s="0" t="n">
        <f aca="false">H3814*H3814</f>
        <v>0.25</v>
      </c>
      <c r="X3814" s="0" t="n">
        <f aca="false">SUMPRODUCT(I3814:W3814,_XtX!$B$96:$P$96)</f>
        <v>44.8439875730994</v>
      </c>
      <c r="Y3814" s="0" t="n">
        <f aca="false">SUMPRODUCT(MMULT(I3814:W3814,_XtX!$B$78:$P$92),I3814:W3814)</f>
        <v>0.428122715643275</v>
      </c>
      <c r="Z3814" s="0" t="n">
        <f aca="false">04_回帰ANOVA!$K$19*04_回帰ANOVA!$K$14*SQRT(1+Y3814)</f>
        <v>1.55769044623229</v>
      </c>
      <c r="AA3814" s="0" t="n">
        <f aca="false">X3814-Z3814</f>
        <v>43.2862971268671</v>
      </c>
      <c r="AB3814" s="0" t="n">
        <f aca="false">X3814+Z3814</f>
        <v>46.4016780193317</v>
      </c>
      <c r="AC3814" s="54" t="b">
        <f aca="false">AND(E3814&gt;=01_因子設定!$L$5-0.000000001,E3814&lt;=01_因子設定!$M$5+0.000000001,F3814&gt;=01_因子設定!$L$6-0.000000001,F3814&lt;=01_因子設定!$M$6+0.000000001,G3814&gt;=01_因子設定!$L$7-0.000000001,G3814&lt;=01_因子設定!$M$7+0.000000001,H3814&gt;=01_因子設定!$L$8-0.000000001,H3814&lt;=01_因子設定!$M$8+0.000000001,IF(01_因子設定!$B$20="Box-Behnken",E3814^2+F3814^2+G3814^2+H3814^2&lt;=2+0.000000001,TRUE()))</f>
        <v>1</v>
      </c>
      <c r="AD3814" s="55" t="n">
        <f aca="false">IF(AC3814,IF(01_因子設定!$B$13="最大化",AA3814-01_因子設定!$B$14,IF(01_因子設定!$B$13="最小化",01_因子設定!$B$15-AB3814,MIN(AA3814-01_因子設定!$B$14,01_因子設定!$B$15-AB3814))),-1E+030)</f>
        <v>-3.21370287313292</v>
      </c>
      <c r="AE3814" s="55" t="n">
        <f aca="false">IF(AC3814,IF(01_因子設定!$B$13="最大化",X3814,IF(01_因子設定!$B$13="最小化",-X3814,-ABS(X3814-01_因子設定!$B$16))),-1E+030)</f>
        <v>44.8439875730994</v>
      </c>
      <c r="AF3814" s="55" t="n">
        <f aca="false">AD3814+ROW()*0.000000001</f>
        <v>-3.21369905913292</v>
      </c>
      <c r="AG3814" s="55" t="n">
        <f aca="false">AE3814+ROW()*0.000000001</f>
        <v>44.8439913870994</v>
      </c>
    </row>
    <row r="3815" customFormat="false" ht="15" hidden="false" customHeight="false" outlineLevel="0" collapsed="false">
      <c r="A3815" s="0" t="n">
        <v>5</v>
      </c>
      <c r="B3815" s="0" t="n">
        <v>2</v>
      </c>
      <c r="C3815" s="0" t="n">
        <v>0</v>
      </c>
      <c r="D3815" s="0" t="n">
        <v>3</v>
      </c>
      <c r="E3815" s="0" t="n">
        <f aca="false">-1+A3815*0.25</f>
        <v>0.25</v>
      </c>
      <c r="F3815" s="0" t="n">
        <f aca="false">-1+B3815*0.25</f>
        <v>-0.5</v>
      </c>
      <c r="G3815" s="0" t="n">
        <f aca="false">-1+C3815*0.25</f>
        <v>-1</v>
      </c>
      <c r="H3815" s="0" t="n">
        <f aca="false">-1+D3815*0.25</f>
        <v>-0.25</v>
      </c>
      <c r="I3815" s="0" t="n">
        <f aca="false">1</f>
        <v>1</v>
      </c>
      <c r="J3815" s="0" t="n">
        <f aca="false">E3815</f>
        <v>0.25</v>
      </c>
      <c r="K3815" s="0" t="n">
        <f aca="false">F3815</f>
        <v>-0.5</v>
      </c>
      <c r="L3815" s="0" t="n">
        <f aca="false">G3815</f>
        <v>-1</v>
      </c>
      <c r="M3815" s="0" t="n">
        <f aca="false">H3815</f>
        <v>-0.25</v>
      </c>
      <c r="N3815" s="0" t="n">
        <f aca="false">E3815*F3815</f>
        <v>-0.125</v>
      </c>
      <c r="O3815" s="0" t="n">
        <f aca="false">E3815*G3815</f>
        <v>-0.25</v>
      </c>
      <c r="P3815" s="0" t="n">
        <f aca="false">E3815*H3815</f>
        <v>-0.0625</v>
      </c>
      <c r="Q3815" s="0" t="n">
        <f aca="false">F3815*G3815</f>
        <v>0.5</v>
      </c>
      <c r="R3815" s="0" t="n">
        <f aca="false">F3815*H3815</f>
        <v>0.125</v>
      </c>
      <c r="S3815" s="0" t="n">
        <f aca="false">G3815*H3815</f>
        <v>0.25</v>
      </c>
      <c r="T3815" s="0" t="n">
        <f aca="false">E3815*E3815</f>
        <v>0.0625</v>
      </c>
      <c r="U3815" s="0" t="n">
        <f aca="false">F3815*F3815</f>
        <v>0.25</v>
      </c>
      <c r="V3815" s="0" t="n">
        <f aca="false">G3815*G3815</f>
        <v>1</v>
      </c>
      <c r="W3815" s="0" t="n">
        <f aca="false">H3815*H3815</f>
        <v>0.0625</v>
      </c>
      <c r="X3815" s="0" t="n">
        <f aca="false">SUMPRODUCT(I3815:W3815,_XtX!$B$96:$P$96)</f>
        <v>44.979586988304</v>
      </c>
      <c r="Y3815" s="0" t="n">
        <f aca="false">SUMPRODUCT(MMULT(I3815:W3815,_XtX!$B$78:$P$92),I3815:W3815)</f>
        <v>0.445705123812135</v>
      </c>
      <c r="Z3815" s="0" t="n">
        <f aca="false">04_回帰ANOVA!$K$19*04_回帰ANOVA!$K$14*SQRT(1+Y3815)</f>
        <v>1.56724990734749</v>
      </c>
      <c r="AA3815" s="0" t="n">
        <f aca="false">X3815-Z3815</f>
        <v>43.4123370809566</v>
      </c>
      <c r="AB3815" s="0" t="n">
        <f aca="false">X3815+Z3815</f>
        <v>46.5468368956515</v>
      </c>
      <c r="AC3815" s="54" t="b">
        <f aca="false">AND(E3815&gt;=01_因子設定!$L$5-0.000000001,E3815&lt;=01_因子設定!$M$5+0.000000001,F3815&gt;=01_因子設定!$L$6-0.000000001,F3815&lt;=01_因子設定!$M$6+0.000000001,G3815&gt;=01_因子設定!$L$7-0.000000001,G3815&lt;=01_因子設定!$M$7+0.000000001,H3815&gt;=01_因子設定!$L$8-0.000000001,H3815&lt;=01_因子設定!$M$8+0.000000001,IF(01_因子設定!$B$20="Box-Behnken",E3815^2+F3815^2+G3815^2+H3815^2&lt;=2+0.000000001,TRUE()))</f>
        <v>1</v>
      </c>
      <c r="AD3815" s="55" t="n">
        <f aca="false">IF(AC3815,IF(01_因子設定!$B$13="最大化",AA3815-01_因子設定!$B$14,IF(01_因子設定!$B$13="最小化",01_因子設定!$B$15-AB3815,MIN(AA3815-01_因子設定!$B$14,01_因子設定!$B$15-AB3815))),-1E+030)</f>
        <v>-3.08766291904345</v>
      </c>
      <c r="AE3815" s="55" t="n">
        <f aca="false">IF(AC3815,IF(01_因子設定!$B$13="最大化",X3815,IF(01_因子設定!$B$13="最小化",-X3815,-ABS(X3815-01_因子設定!$B$16))),-1E+030)</f>
        <v>44.979586988304</v>
      </c>
      <c r="AF3815" s="55" t="n">
        <f aca="false">AD3815+ROW()*0.000000001</f>
        <v>-3.08765910404345</v>
      </c>
      <c r="AG3815" s="55" t="n">
        <f aca="false">AE3815+ROW()*0.000000001</f>
        <v>44.979590803304</v>
      </c>
    </row>
    <row r="3816" customFormat="false" ht="15" hidden="false" customHeight="false" outlineLevel="0" collapsed="false">
      <c r="A3816" s="0" t="n">
        <v>5</v>
      </c>
      <c r="B3816" s="0" t="n">
        <v>2</v>
      </c>
      <c r="C3816" s="0" t="n">
        <v>0</v>
      </c>
      <c r="D3816" s="0" t="n">
        <v>4</v>
      </c>
      <c r="E3816" s="0" t="n">
        <f aca="false">-1+A3816*0.25</f>
        <v>0.25</v>
      </c>
      <c r="F3816" s="0" t="n">
        <f aca="false">-1+B3816*0.25</f>
        <v>-0.5</v>
      </c>
      <c r="G3816" s="0" t="n">
        <f aca="false">-1+C3816*0.25</f>
        <v>-1</v>
      </c>
      <c r="H3816" s="0" t="n">
        <f aca="false">-1+D3816*0.25</f>
        <v>0</v>
      </c>
      <c r="I3816" s="0" t="n">
        <f aca="false">1</f>
        <v>1</v>
      </c>
      <c r="J3816" s="0" t="n">
        <f aca="false">E3816</f>
        <v>0.25</v>
      </c>
      <c r="K3816" s="0" t="n">
        <f aca="false">F3816</f>
        <v>-0.5</v>
      </c>
      <c r="L3816" s="0" t="n">
        <f aca="false">G3816</f>
        <v>-1</v>
      </c>
      <c r="M3816" s="0" t="n">
        <f aca="false">H3816</f>
        <v>0</v>
      </c>
      <c r="N3816" s="0" t="n">
        <f aca="false">E3816*F3816</f>
        <v>-0.125</v>
      </c>
      <c r="O3816" s="0" t="n">
        <f aca="false">E3816*G3816</f>
        <v>-0.25</v>
      </c>
      <c r="P3816" s="0" t="n">
        <f aca="false">E3816*H3816</f>
        <v>0</v>
      </c>
      <c r="Q3816" s="0" t="n">
        <f aca="false">F3816*G3816</f>
        <v>0.5</v>
      </c>
      <c r="R3816" s="0" t="n">
        <f aca="false">F3816*H3816</f>
        <v>-0</v>
      </c>
      <c r="S3816" s="0" t="n">
        <f aca="false">G3816*H3816</f>
        <v>-0</v>
      </c>
      <c r="T3816" s="0" t="n">
        <f aca="false">E3816*E3816</f>
        <v>0.0625</v>
      </c>
      <c r="U3816" s="0" t="n">
        <f aca="false">F3816*F3816</f>
        <v>0.25</v>
      </c>
      <c r="V3816" s="0" t="n">
        <f aca="false">G3816*G3816</f>
        <v>1</v>
      </c>
      <c r="W3816" s="0" t="n">
        <f aca="false">H3816*H3816</f>
        <v>0</v>
      </c>
      <c r="X3816" s="0" t="n">
        <f aca="false">SUMPRODUCT(I3816:W3816,_XtX!$B$96:$P$96)</f>
        <v>45.0673793859649</v>
      </c>
      <c r="Y3816" s="0" t="n">
        <f aca="false">SUMPRODUCT(MMULT(I3816:W3816,_XtX!$B$78:$P$92),I3816:W3816)</f>
        <v>0.457596628289474</v>
      </c>
      <c r="Z3816" s="0" t="n">
        <f aca="false">04_回帰ANOVA!$K$19*04_回帰ANOVA!$K$14*SQRT(1+Y3816)</f>
        <v>1.57368233664366</v>
      </c>
      <c r="AA3816" s="0" t="n">
        <f aca="false">X3816-Z3816</f>
        <v>43.4936970493212</v>
      </c>
      <c r="AB3816" s="0" t="n">
        <f aca="false">X3816+Z3816</f>
        <v>46.6410617226085</v>
      </c>
      <c r="AC3816" s="54" t="b">
        <f aca="false">AND(E3816&gt;=01_因子設定!$L$5-0.000000001,E3816&lt;=01_因子設定!$M$5+0.000000001,F3816&gt;=01_因子設定!$L$6-0.000000001,F3816&lt;=01_因子設定!$M$6+0.000000001,G3816&gt;=01_因子設定!$L$7-0.000000001,G3816&lt;=01_因子設定!$M$7+0.000000001,H3816&gt;=01_因子設定!$L$8-0.000000001,H3816&lt;=01_因子設定!$M$8+0.000000001,IF(01_因子設定!$B$20="Box-Behnken",E3816^2+F3816^2+G3816^2+H3816^2&lt;=2+0.000000001,TRUE()))</f>
        <v>1</v>
      </c>
      <c r="AD3816" s="55" t="n">
        <f aca="false">IF(AC3816,IF(01_因子設定!$B$13="最大化",AA3816-01_因子設定!$B$14,IF(01_因子設定!$B$13="最小化",01_因子設定!$B$15-AB3816,MIN(AA3816-01_因子設定!$B$14,01_因子設定!$B$15-AB3816))),-1E+030)</f>
        <v>-3.0063029506788</v>
      </c>
      <c r="AE3816" s="55" t="n">
        <f aca="false">IF(AC3816,IF(01_因子設定!$B$13="最大化",X3816,IF(01_因子設定!$B$13="最小化",-X3816,-ABS(X3816-01_因子設定!$B$16))),-1E+030)</f>
        <v>45.0673793859649</v>
      </c>
      <c r="AF3816" s="55" t="n">
        <f aca="false">AD3816+ROW()*0.000000001</f>
        <v>-3.0062991346788</v>
      </c>
      <c r="AG3816" s="55" t="n">
        <f aca="false">AE3816+ROW()*0.000000001</f>
        <v>45.0673832019649</v>
      </c>
    </row>
    <row r="3817" customFormat="false" ht="15" hidden="false" customHeight="false" outlineLevel="0" collapsed="false">
      <c r="A3817" s="0" t="n">
        <v>5</v>
      </c>
      <c r="B3817" s="0" t="n">
        <v>2</v>
      </c>
      <c r="C3817" s="0" t="n">
        <v>0</v>
      </c>
      <c r="D3817" s="0" t="n">
        <v>5</v>
      </c>
      <c r="E3817" s="0" t="n">
        <f aca="false">-1+A3817*0.25</f>
        <v>0.25</v>
      </c>
      <c r="F3817" s="0" t="n">
        <f aca="false">-1+B3817*0.25</f>
        <v>-0.5</v>
      </c>
      <c r="G3817" s="0" t="n">
        <f aca="false">-1+C3817*0.25</f>
        <v>-1</v>
      </c>
      <c r="H3817" s="0" t="n">
        <f aca="false">-1+D3817*0.25</f>
        <v>0.25</v>
      </c>
      <c r="I3817" s="0" t="n">
        <f aca="false">1</f>
        <v>1</v>
      </c>
      <c r="J3817" s="0" t="n">
        <f aca="false">E3817</f>
        <v>0.25</v>
      </c>
      <c r="K3817" s="0" t="n">
        <f aca="false">F3817</f>
        <v>-0.5</v>
      </c>
      <c r="L3817" s="0" t="n">
        <f aca="false">G3817</f>
        <v>-1</v>
      </c>
      <c r="M3817" s="0" t="n">
        <f aca="false">H3817</f>
        <v>0.25</v>
      </c>
      <c r="N3817" s="0" t="n">
        <f aca="false">E3817*F3817</f>
        <v>-0.125</v>
      </c>
      <c r="O3817" s="0" t="n">
        <f aca="false">E3817*G3817</f>
        <v>-0.25</v>
      </c>
      <c r="P3817" s="0" t="n">
        <f aca="false">E3817*H3817</f>
        <v>0.0625</v>
      </c>
      <c r="Q3817" s="0" t="n">
        <f aca="false">F3817*G3817</f>
        <v>0.5</v>
      </c>
      <c r="R3817" s="0" t="n">
        <f aca="false">F3817*H3817</f>
        <v>-0.125</v>
      </c>
      <c r="S3817" s="0" t="n">
        <f aca="false">G3817*H3817</f>
        <v>-0.25</v>
      </c>
      <c r="T3817" s="0" t="n">
        <f aca="false">E3817*E3817</f>
        <v>0.0625</v>
      </c>
      <c r="U3817" s="0" t="n">
        <f aca="false">F3817*F3817</f>
        <v>0.25</v>
      </c>
      <c r="V3817" s="0" t="n">
        <f aca="false">G3817*G3817</f>
        <v>1</v>
      </c>
      <c r="W3817" s="0" t="n">
        <f aca="false">H3817*H3817</f>
        <v>0.0625</v>
      </c>
      <c r="X3817" s="0" t="n">
        <f aca="false">SUMPRODUCT(I3817:W3817,_XtX!$B$96:$P$96)</f>
        <v>45.1073647660818</v>
      </c>
      <c r="Y3817" s="0" t="n">
        <f aca="false">SUMPRODUCT(MMULT(I3817:W3817,_XtX!$B$78:$P$92),I3817:W3817)</f>
        <v>0.445705123812135</v>
      </c>
      <c r="Z3817" s="0" t="n">
        <f aca="false">04_回帰ANOVA!$K$19*04_回帰ANOVA!$K$14*SQRT(1+Y3817)</f>
        <v>1.56724990734749</v>
      </c>
      <c r="AA3817" s="0" t="n">
        <f aca="false">X3817-Z3817</f>
        <v>43.5401148587343</v>
      </c>
      <c r="AB3817" s="0" t="n">
        <f aca="false">X3817+Z3817</f>
        <v>46.6746146734293</v>
      </c>
      <c r="AC3817" s="54" t="b">
        <f aca="false">AND(E3817&gt;=01_因子設定!$L$5-0.000000001,E3817&lt;=01_因子設定!$M$5+0.000000001,F3817&gt;=01_因子設定!$L$6-0.000000001,F3817&lt;=01_因子設定!$M$6+0.000000001,G3817&gt;=01_因子設定!$L$7-0.000000001,G3817&lt;=01_因子設定!$M$7+0.000000001,H3817&gt;=01_因子設定!$L$8-0.000000001,H3817&lt;=01_因子設定!$M$8+0.000000001,IF(01_因子設定!$B$20="Box-Behnken",E3817^2+F3817^2+G3817^2+H3817^2&lt;=2+0.000000001,TRUE()))</f>
        <v>1</v>
      </c>
      <c r="AD3817" s="55" t="n">
        <f aca="false">IF(AC3817,IF(01_因子設定!$B$13="最大化",AA3817-01_因子設定!$B$14,IF(01_因子設定!$B$13="最小化",01_因子設定!$B$15-AB3817,MIN(AA3817-01_因子設定!$B$14,01_因子設定!$B$15-AB3817))),-1E+030)</f>
        <v>-2.95988514126567</v>
      </c>
      <c r="AE3817" s="55" t="n">
        <f aca="false">IF(AC3817,IF(01_因子設定!$B$13="最大化",X3817,IF(01_因子設定!$B$13="最小化",-X3817,-ABS(X3817-01_因子設定!$B$16))),-1E+030)</f>
        <v>45.1073647660818</v>
      </c>
      <c r="AF3817" s="55" t="n">
        <f aca="false">AD3817+ROW()*0.000000001</f>
        <v>-2.95988132426567</v>
      </c>
      <c r="AG3817" s="55" t="n">
        <f aca="false">AE3817+ROW()*0.000000001</f>
        <v>45.1073685830818</v>
      </c>
    </row>
    <row r="3818" customFormat="false" ht="15" hidden="false" customHeight="false" outlineLevel="0" collapsed="false">
      <c r="A3818" s="0" t="n">
        <v>5</v>
      </c>
      <c r="B3818" s="0" t="n">
        <v>2</v>
      </c>
      <c r="C3818" s="0" t="n">
        <v>0</v>
      </c>
      <c r="D3818" s="0" t="n">
        <v>6</v>
      </c>
      <c r="E3818" s="0" t="n">
        <f aca="false">-1+A3818*0.25</f>
        <v>0.25</v>
      </c>
      <c r="F3818" s="0" t="n">
        <f aca="false">-1+B3818*0.25</f>
        <v>-0.5</v>
      </c>
      <c r="G3818" s="0" t="n">
        <f aca="false">-1+C3818*0.25</f>
        <v>-1</v>
      </c>
      <c r="H3818" s="0" t="n">
        <f aca="false">-1+D3818*0.25</f>
        <v>0.5</v>
      </c>
      <c r="I3818" s="0" t="n">
        <f aca="false">1</f>
        <v>1</v>
      </c>
      <c r="J3818" s="0" t="n">
        <f aca="false">E3818</f>
        <v>0.25</v>
      </c>
      <c r="K3818" s="0" t="n">
        <f aca="false">F3818</f>
        <v>-0.5</v>
      </c>
      <c r="L3818" s="0" t="n">
        <f aca="false">G3818</f>
        <v>-1</v>
      </c>
      <c r="M3818" s="0" t="n">
        <f aca="false">H3818</f>
        <v>0.5</v>
      </c>
      <c r="N3818" s="0" t="n">
        <f aca="false">E3818*F3818</f>
        <v>-0.125</v>
      </c>
      <c r="O3818" s="0" t="n">
        <f aca="false">E3818*G3818</f>
        <v>-0.25</v>
      </c>
      <c r="P3818" s="0" t="n">
        <f aca="false">E3818*H3818</f>
        <v>0.125</v>
      </c>
      <c r="Q3818" s="0" t="n">
        <f aca="false">F3818*G3818</f>
        <v>0.5</v>
      </c>
      <c r="R3818" s="0" t="n">
        <f aca="false">F3818*H3818</f>
        <v>-0.25</v>
      </c>
      <c r="S3818" s="0" t="n">
        <f aca="false">G3818*H3818</f>
        <v>-0.5</v>
      </c>
      <c r="T3818" s="0" t="n">
        <f aca="false">E3818*E3818</f>
        <v>0.0625</v>
      </c>
      <c r="U3818" s="0" t="n">
        <f aca="false">F3818*F3818</f>
        <v>0.25</v>
      </c>
      <c r="V3818" s="0" t="n">
        <f aca="false">G3818*G3818</f>
        <v>1</v>
      </c>
      <c r="W3818" s="0" t="n">
        <f aca="false">H3818*H3818</f>
        <v>0.25</v>
      </c>
      <c r="X3818" s="0" t="n">
        <f aca="false">SUMPRODUCT(I3818:W3818,_XtX!$B$96:$P$96)</f>
        <v>45.0995431286549</v>
      </c>
      <c r="Y3818" s="0" t="n">
        <f aca="false">SUMPRODUCT(MMULT(I3818:W3818,_XtX!$B$78:$P$92),I3818:W3818)</f>
        <v>0.428122715643275</v>
      </c>
      <c r="Z3818" s="0" t="n">
        <f aca="false">04_回帰ANOVA!$K$19*04_回帰ANOVA!$K$14*SQRT(1+Y3818)</f>
        <v>1.55769044623229</v>
      </c>
      <c r="AA3818" s="0" t="n">
        <f aca="false">X3818-Z3818</f>
        <v>43.5418526824226</v>
      </c>
      <c r="AB3818" s="0" t="n">
        <f aca="false">X3818+Z3818</f>
        <v>46.6572335748872</v>
      </c>
      <c r="AC3818" s="54" t="b">
        <f aca="false">AND(E3818&gt;=01_因子設定!$L$5-0.000000001,E3818&lt;=01_因子設定!$M$5+0.000000001,F3818&gt;=01_因子設定!$L$6-0.000000001,F3818&lt;=01_因子設定!$M$6+0.000000001,G3818&gt;=01_因子設定!$L$7-0.000000001,G3818&lt;=01_因子設定!$M$7+0.000000001,H3818&gt;=01_因子設定!$L$8-0.000000001,H3818&lt;=01_因子設定!$M$8+0.000000001,IF(01_因子設定!$B$20="Box-Behnken",E3818^2+F3818^2+G3818^2+H3818^2&lt;=2+0.000000001,TRUE()))</f>
        <v>1</v>
      </c>
      <c r="AD3818" s="55" t="n">
        <f aca="false">IF(AC3818,IF(01_因子設定!$B$13="最大化",AA3818-01_因子設定!$B$14,IF(01_因子設定!$B$13="最小化",01_因子設定!$B$15-AB3818,MIN(AA3818-01_因子設定!$B$14,01_因子設定!$B$15-AB3818))),-1E+030)</f>
        <v>-2.95814731757737</v>
      </c>
      <c r="AE3818" s="55" t="n">
        <f aca="false">IF(AC3818,IF(01_因子設定!$B$13="最大化",X3818,IF(01_因子設定!$B$13="最小化",-X3818,-ABS(X3818-01_因子設定!$B$16))),-1E+030)</f>
        <v>45.0995431286549</v>
      </c>
      <c r="AF3818" s="55" t="n">
        <f aca="false">AD3818+ROW()*0.000000001</f>
        <v>-2.95814349957737</v>
      </c>
      <c r="AG3818" s="55" t="n">
        <f aca="false">AE3818+ROW()*0.000000001</f>
        <v>45.0995469466549</v>
      </c>
    </row>
    <row r="3819" customFormat="false" ht="15" hidden="false" customHeight="false" outlineLevel="0" collapsed="false">
      <c r="A3819" s="0" t="n">
        <v>5</v>
      </c>
      <c r="B3819" s="0" t="n">
        <v>2</v>
      </c>
      <c r="C3819" s="0" t="n">
        <v>0</v>
      </c>
      <c r="D3819" s="0" t="n">
        <v>7</v>
      </c>
      <c r="E3819" s="0" t="n">
        <f aca="false">-1+A3819*0.25</f>
        <v>0.25</v>
      </c>
      <c r="F3819" s="0" t="n">
        <f aca="false">-1+B3819*0.25</f>
        <v>-0.5</v>
      </c>
      <c r="G3819" s="0" t="n">
        <f aca="false">-1+C3819*0.25</f>
        <v>-1</v>
      </c>
      <c r="H3819" s="0" t="n">
        <f aca="false">-1+D3819*0.25</f>
        <v>0.75</v>
      </c>
      <c r="I3819" s="0" t="n">
        <f aca="false">1</f>
        <v>1</v>
      </c>
      <c r="J3819" s="0" t="n">
        <f aca="false">E3819</f>
        <v>0.25</v>
      </c>
      <c r="K3819" s="0" t="n">
        <f aca="false">F3819</f>
        <v>-0.5</v>
      </c>
      <c r="L3819" s="0" t="n">
        <f aca="false">G3819</f>
        <v>-1</v>
      </c>
      <c r="M3819" s="0" t="n">
        <f aca="false">H3819</f>
        <v>0.75</v>
      </c>
      <c r="N3819" s="0" t="n">
        <f aca="false">E3819*F3819</f>
        <v>-0.125</v>
      </c>
      <c r="O3819" s="0" t="n">
        <f aca="false">E3819*G3819</f>
        <v>-0.25</v>
      </c>
      <c r="P3819" s="0" t="n">
        <f aca="false">E3819*H3819</f>
        <v>0.1875</v>
      </c>
      <c r="Q3819" s="0" t="n">
        <f aca="false">F3819*G3819</f>
        <v>0.5</v>
      </c>
      <c r="R3819" s="0" t="n">
        <f aca="false">F3819*H3819</f>
        <v>-0.375</v>
      </c>
      <c r="S3819" s="0" t="n">
        <f aca="false">G3819*H3819</f>
        <v>-0.75</v>
      </c>
      <c r="T3819" s="0" t="n">
        <f aca="false">E3819*E3819</f>
        <v>0.0625</v>
      </c>
      <c r="U3819" s="0" t="n">
        <f aca="false">F3819*F3819</f>
        <v>0.25</v>
      </c>
      <c r="V3819" s="0" t="n">
        <f aca="false">G3819*G3819</f>
        <v>1</v>
      </c>
      <c r="W3819" s="0" t="n">
        <f aca="false">H3819*H3819</f>
        <v>0.5625</v>
      </c>
      <c r="X3819" s="0" t="n">
        <f aca="false">SUMPRODUCT(I3819:W3819,_XtX!$B$96:$P$96)</f>
        <v>45.0439144736842</v>
      </c>
      <c r="Y3819" s="0" t="n">
        <f aca="false">SUMPRODUCT(MMULT(I3819:W3819,_XtX!$B$78:$P$92),I3819:W3819)</f>
        <v>0.459125719572369</v>
      </c>
      <c r="Z3819" s="0" t="n">
        <f aca="false">04_回帰ANOVA!$K$19*04_回帰ANOVA!$K$14*SQRT(1+Y3819)</f>
        <v>1.57450755575573</v>
      </c>
      <c r="AA3819" s="0" t="n">
        <f aca="false">X3819-Z3819</f>
        <v>43.4694069179284</v>
      </c>
      <c r="AB3819" s="0" t="n">
        <f aca="false">X3819+Z3819</f>
        <v>46.6184220294399</v>
      </c>
      <c r="AC3819" s="54" t="b">
        <f aca="false">AND(E3819&gt;=01_因子設定!$L$5-0.000000001,E3819&lt;=01_因子設定!$M$5+0.000000001,F3819&gt;=01_因子設定!$L$6-0.000000001,F3819&lt;=01_因子設定!$M$6+0.000000001,G3819&gt;=01_因子設定!$L$7-0.000000001,G3819&lt;=01_因子設定!$M$7+0.000000001,H3819&gt;=01_因子設定!$L$8-0.000000001,H3819&lt;=01_因子設定!$M$8+0.000000001,IF(01_因子設定!$B$20="Box-Behnken",E3819^2+F3819^2+G3819^2+H3819^2&lt;=2+0.000000001,TRUE()))</f>
        <v>1</v>
      </c>
      <c r="AD3819" s="55" t="n">
        <f aca="false">IF(AC3819,IF(01_因子設定!$B$13="最大化",AA3819-01_因子設定!$B$14,IF(01_因子設定!$B$13="最小化",01_因子設定!$B$15-AB3819,MIN(AA3819-01_因子設定!$B$14,01_因子設定!$B$15-AB3819))),-1E+030)</f>
        <v>-3.03059308207155</v>
      </c>
      <c r="AE3819" s="55" t="n">
        <f aca="false">IF(AC3819,IF(01_因子設定!$B$13="最大化",X3819,IF(01_因子設定!$B$13="最小化",-X3819,-ABS(X3819-01_因子設定!$B$16))),-1E+030)</f>
        <v>45.0439144736842</v>
      </c>
      <c r="AF3819" s="55" t="n">
        <f aca="false">AD3819+ROW()*0.000000001</f>
        <v>-3.03058926307155</v>
      </c>
      <c r="AG3819" s="55" t="n">
        <f aca="false">AE3819+ROW()*0.000000001</f>
        <v>45.0439182926842</v>
      </c>
    </row>
    <row r="3820" customFormat="false" ht="15" hidden="false" customHeight="false" outlineLevel="0" collapsed="false">
      <c r="A3820" s="0" t="n">
        <v>5</v>
      </c>
      <c r="B3820" s="0" t="n">
        <v>2</v>
      </c>
      <c r="C3820" s="0" t="n">
        <v>0</v>
      </c>
      <c r="D3820" s="0" t="n">
        <v>8</v>
      </c>
      <c r="E3820" s="0" t="n">
        <f aca="false">-1+A3820*0.25</f>
        <v>0.25</v>
      </c>
      <c r="F3820" s="0" t="n">
        <f aca="false">-1+B3820*0.25</f>
        <v>-0.5</v>
      </c>
      <c r="G3820" s="0" t="n">
        <f aca="false">-1+C3820*0.25</f>
        <v>-1</v>
      </c>
      <c r="H3820" s="0" t="n">
        <f aca="false">-1+D3820*0.25</f>
        <v>1</v>
      </c>
      <c r="I3820" s="0" t="n">
        <f aca="false">1</f>
        <v>1</v>
      </c>
      <c r="J3820" s="0" t="n">
        <f aca="false">E3820</f>
        <v>0.25</v>
      </c>
      <c r="K3820" s="0" t="n">
        <f aca="false">F3820</f>
        <v>-0.5</v>
      </c>
      <c r="L3820" s="0" t="n">
        <f aca="false">G3820</f>
        <v>-1</v>
      </c>
      <c r="M3820" s="0" t="n">
        <f aca="false">H3820</f>
        <v>1</v>
      </c>
      <c r="N3820" s="0" t="n">
        <f aca="false">E3820*F3820</f>
        <v>-0.125</v>
      </c>
      <c r="O3820" s="0" t="n">
        <f aca="false">E3820*G3820</f>
        <v>-0.25</v>
      </c>
      <c r="P3820" s="0" t="n">
        <f aca="false">E3820*H3820</f>
        <v>0.25</v>
      </c>
      <c r="Q3820" s="0" t="n">
        <f aca="false">F3820*G3820</f>
        <v>0.5</v>
      </c>
      <c r="R3820" s="0" t="n">
        <f aca="false">F3820*H3820</f>
        <v>-0.5</v>
      </c>
      <c r="S3820" s="0" t="n">
        <f aca="false">G3820*H3820</f>
        <v>-1</v>
      </c>
      <c r="T3820" s="0" t="n">
        <f aca="false">E3820*E3820</f>
        <v>0.0625</v>
      </c>
      <c r="U3820" s="0" t="n">
        <f aca="false">F3820*F3820</f>
        <v>0.25</v>
      </c>
      <c r="V3820" s="0" t="n">
        <f aca="false">G3820*G3820</f>
        <v>1</v>
      </c>
      <c r="W3820" s="0" t="n">
        <f aca="false">H3820*H3820</f>
        <v>1</v>
      </c>
      <c r="X3820" s="0" t="n">
        <f aca="false">SUMPRODUCT(I3820:W3820,_XtX!$B$96:$P$96)</f>
        <v>44.9404788011696</v>
      </c>
      <c r="Y3820" s="0" t="n">
        <f aca="false">SUMPRODUCT(MMULT(I3820:W3820,_XtX!$B$78:$P$92),I3820:W3820)</f>
        <v>0.629174661915205</v>
      </c>
      <c r="Z3820" s="0" t="n">
        <f aca="false">04_回帰ANOVA!$K$19*04_回帰ANOVA!$K$14*SQRT(1+Y3820)</f>
        <v>1.66372758058297</v>
      </c>
      <c r="AA3820" s="0" t="n">
        <f aca="false">X3820-Z3820</f>
        <v>43.2767512205866</v>
      </c>
      <c r="AB3820" s="0" t="n">
        <f aca="false">X3820+Z3820</f>
        <v>46.6042063817525</v>
      </c>
      <c r="AC3820" s="54" t="b">
        <f aca="false">AND(E3820&gt;=01_因子設定!$L$5-0.000000001,E3820&lt;=01_因子設定!$M$5+0.000000001,F3820&gt;=01_因子設定!$L$6-0.000000001,F3820&lt;=01_因子設定!$M$6+0.000000001,G3820&gt;=01_因子設定!$L$7-0.000000001,G3820&lt;=01_因子設定!$M$7+0.000000001,H3820&gt;=01_因子設定!$L$8-0.000000001,H3820&lt;=01_因子設定!$M$8+0.000000001,IF(01_因子設定!$B$20="Box-Behnken",E3820^2+F3820^2+G3820^2+H3820^2&lt;=2+0.000000001,TRUE()))</f>
        <v>1</v>
      </c>
      <c r="AD3820" s="55" t="n">
        <f aca="false">IF(AC3820,IF(01_因子設定!$B$13="最大化",AA3820-01_因子設定!$B$14,IF(01_因子設定!$B$13="最小化",01_因子設定!$B$15-AB3820,MIN(AA3820-01_因子設定!$B$14,01_因子設定!$B$15-AB3820))),-1E+030)</f>
        <v>-3.2232487794134</v>
      </c>
      <c r="AE3820" s="55" t="n">
        <f aca="false">IF(AC3820,IF(01_因子設定!$B$13="最大化",X3820,IF(01_因子設定!$B$13="最小化",-X3820,-ABS(X3820-01_因子設定!$B$16))),-1E+030)</f>
        <v>44.9404788011696</v>
      </c>
      <c r="AF3820" s="55" t="n">
        <f aca="false">AD3820+ROW()*0.000000001</f>
        <v>-3.2232449594134</v>
      </c>
      <c r="AG3820" s="55" t="n">
        <f aca="false">AE3820+ROW()*0.000000001</f>
        <v>44.9404826211696</v>
      </c>
    </row>
    <row r="3821" customFormat="false" ht="15" hidden="false" customHeight="false" outlineLevel="0" collapsed="false">
      <c r="A3821" s="0" t="n">
        <v>5</v>
      </c>
      <c r="B3821" s="0" t="n">
        <v>2</v>
      </c>
      <c r="C3821" s="0" t="n">
        <v>1</v>
      </c>
      <c r="D3821" s="0" t="n">
        <v>0</v>
      </c>
      <c r="E3821" s="0" t="n">
        <f aca="false">-1+A3821*0.25</f>
        <v>0.25</v>
      </c>
      <c r="F3821" s="0" t="n">
        <f aca="false">-1+B3821*0.25</f>
        <v>-0.5</v>
      </c>
      <c r="G3821" s="0" t="n">
        <f aca="false">-1+C3821*0.25</f>
        <v>-0.75</v>
      </c>
      <c r="H3821" s="0" t="n">
        <f aca="false">-1+D3821*0.25</f>
        <v>-1</v>
      </c>
      <c r="I3821" s="0" t="n">
        <f aca="false">1</f>
        <v>1</v>
      </c>
      <c r="J3821" s="0" t="n">
        <f aca="false">E3821</f>
        <v>0.25</v>
      </c>
      <c r="K3821" s="0" t="n">
        <f aca="false">F3821</f>
        <v>-0.5</v>
      </c>
      <c r="L3821" s="0" t="n">
        <f aca="false">G3821</f>
        <v>-0.75</v>
      </c>
      <c r="M3821" s="0" t="n">
        <f aca="false">H3821</f>
        <v>-1</v>
      </c>
      <c r="N3821" s="0" t="n">
        <f aca="false">E3821*F3821</f>
        <v>-0.125</v>
      </c>
      <c r="O3821" s="0" t="n">
        <f aca="false">E3821*G3821</f>
        <v>-0.1875</v>
      </c>
      <c r="P3821" s="0" t="n">
        <f aca="false">E3821*H3821</f>
        <v>-0.25</v>
      </c>
      <c r="Q3821" s="0" t="n">
        <f aca="false">F3821*G3821</f>
        <v>0.375</v>
      </c>
      <c r="R3821" s="0" t="n">
        <f aca="false">F3821*H3821</f>
        <v>0.5</v>
      </c>
      <c r="S3821" s="0" t="n">
        <f aca="false">G3821*H3821</f>
        <v>0.75</v>
      </c>
      <c r="T3821" s="0" t="n">
        <f aca="false">E3821*E3821</f>
        <v>0.0625</v>
      </c>
      <c r="U3821" s="0" t="n">
        <f aca="false">F3821*F3821</f>
        <v>0.25</v>
      </c>
      <c r="V3821" s="0" t="n">
        <f aca="false">G3821*G3821</f>
        <v>0.5625</v>
      </c>
      <c r="W3821" s="0" t="n">
        <f aca="false">H3821*H3821</f>
        <v>1</v>
      </c>
      <c r="X3821" s="0" t="n">
        <f aca="false">SUMPRODUCT(I3821:W3821,_XtX!$B$96:$P$96)</f>
        <v>44.8222130847953</v>
      </c>
      <c r="Y3821" s="0" t="n">
        <f aca="false">SUMPRODUCT(MMULT(I3821:W3821,_XtX!$B$78:$P$92),I3821:W3821)</f>
        <v>0.459125719572369</v>
      </c>
      <c r="Z3821" s="0" t="n">
        <f aca="false">04_回帰ANOVA!$K$19*04_回帰ANOVA!$K$14*SQRT(1+Y3821)</f>
        <v>1.57450755575573</v>
      </c>
      <c r="AA3821" s="0" t="n">
        <f aca="false">X3821-Z3821</f>
        <v>43.2477055290396</v>
      </c>
      <c r="AB3821" s="0" t="n">
        <f aca="false">X3821+Z3821</f>
        <v>46.396720640551</v>
      </c>
      <c r="AC3821" s="54" t="b">
        <f aca="false">AND(E3821&gt;=01_因子設定!$L$5-0.000000001,E3821&lt;=01_因子設定!$M$5+0.000000001,F3821&gt;=01_因子設定!$L$6-0.000000001,F3821&lt;=01_因子設定!$M$6+0.000000001,G3821&gt;=01_因子設定!$L$7-0.000000001,G3821&lt;=01_因子設定!$M$7+0.000000001,H3821&gt;=01_因子設定!$L$8-0.000000001,H3821&lt;=01_因子設定!$M$8+0.000000001,IF(01_因子設定!$B$20="Box-Behnken",E3821^2+F3821^2+G3821^2+H3821^2&lt;=2+0.000000001,TRUE()))</f>
        <v>1</v>
      </c>
      <c r="AD3821" s="55" t="n">
        <f aca="false">IF(AC3821,IF(01_因子設定!$B$13="最大化",AA3821-01_因子設定!$B$14,IF(01_因子設定!$B$13="最小化",01_因子設定!$B$15-AB3821,MIN(AA3821-01_因子設定!$B$14,01_因子設定!$B$15-AB3821))),-1E+030)</f>
        <v>-3.25229447096043</v>
      </c>
      <c r="AE3821" s="55" t="n">
        <f aca="false">IF(AC3821,IF(01_因子設定!$B$13="最大化",X3821,IF(01_因子設定!$B$13="最小化",-X3821,-ABS(X3821-01_因子設定!$B$16))),-1E+030)</f>
        <v>44.8222130847953</v>
      </c>
      <c r="AF3821" s="55" t="n">
        <f aca="false">AD3821+ROW()*0.000000001</f>
        <v>-3.25229064996043</v>
      </c>
      <c r="AG3821" s="55" t="n">
        <f aca="false">AE3821+ROW()*0.000000001</f>
        <v>44.8222169057953</v>
      </c>
    </row>
    <row r="3822" customFormat="false" ht="15" hidden="false" customHeight="false" outlineLevel="0" collapsed="false">
      <c r="A3822" s="0" t="n">
        <v>5</v>
      </c>
      <c r="B3822" s="0" t="n">
        <v>2</v>
      </c>
      <c r="C3822" s="0" t="n">
        <v>1</v>
      </c>
      <c r="D3822" s="0" t="n">
        <v>1</v>
      </c>
      <c r="E3822" s="0" t="n">
        <f aca="false">-1+A3822*0.25</f>
        <v>0.25</v>
      </c>
      <c r="F3822" s="0" t="n">
        <f aca="false">-1+B3822*0.25</f>
        <v>-0.5</v>
      </c>
      <c r="G3822" s="0" t="n">
        <f aca="false">-1+C3822*0.25</f>
        <v>-0.75</v>
      </c>
      <c r="H3822" s="0" t="n">
        <f aca="false">-1+D3822*0.25</f>
        <v>-0.75</v>
      </c>
      <c r="I3822" s="0" t="n">
        <f aca="false">1</f>
        <v>1</v>
      </c>
      <c r="J3822" s="0" t="n">
        <f aca="false">E3822</f>
        <v>0.25</v>
      </c>
      <c r="K3822" s="0" t="n">
        <f aca="false">F3822</f>
        <v>-0.5</v>
      </c>
      <c r="L3822" s="0" t="n">
        <f aca="false">G3822</f>
        <v>-0.75</v>
      </c>
      <c r="M3822" s="0" t="n">
        <f aca="false">H3822</f>
        <v>-0.75</v>
      </c>
      <c r="N3822" s="0" t="n">
        <f aca="false">E3822*F3822</f>
        <v>-0.125</v>
      </c>
      <c r="O3822" s="0" t="n">
        <f aca="false">E3822*G3822</f>
        <v>-0.1875</v>
      </c>
      <c r="P3822" s="0" t="n">
        <f aca="false">E3822*H3822</f>
        <v>-0.1875</v>
      </c>
      <c r="Q3822" s="0" t="n">
        <f aca="false">F3822*G3822</f>
        <v>0.375</v>
      </c>
      <c r="R3822" s="0" t="n">
        <f aca="false">F3822*H3822</f>
        <v>0.375</v>
      </c>
      <c r="S3822" s="0" t="n">
        <f aca="false">G3822*H3822</f>
        <v>0.5625</v>
      </c>
      <c r="T3822" s="0" t="n">
        <f aca="false">E3822*E3822</f>
        <v>0.0625</v>
      </c>
      <c r="U3822" s="0" t="n">
        <f aca="false">F3822*F3822</f>
        <v>0.25</v>
      </c>
      <c r="V3822" s="0" t="n">
        <f aca="false">G3822*G3822</f>
        <v>0.5625</v>
      </c>
      <c r="W3822" s="0" t="n">
        <f aca="false">H3822*H3822</f>
        <v>0.5625</v>
      </c>
      <c r="X3822" s="0" t="n">
        <f aca="false">SUMPRODUCT(I3822:W3822,_XtX!$B$96:$P$96)</f>
        <v>45.0713952850877</v>
      </c>
      <c r="Y3822" s="0" t="n">
        <f aca="false">SUMPRODUCT(MMULT(I3822:W3822,_XtX!$B$78:$P$92),I3822:W3822)</f>
        <v>0.257385610836988</v>
      </c>
      <c r="Z3822" s="0" t="n">
        <f aca="false">04_回帰ANOVA!$K$19*04_回帰ANOVA!$K$14*SQRT(1+Y3822)</f>
        <v>1.46161380324158</v>
      </c>
      <c r="AA3822" s="0" t="n">
        <f aca="false">X3822-Z3822</f>
        <v>43.6097814818461</v>
      </c>
      <c r="AB3822" s="0" t="n">
        <f aca="false">X3822+Z3822</f>
        <v>46.5330090883293</v>
      </c>
      <c r="AC3822" s="54" t="b">
        <f aca="false">AND(E3822&gt;=01_因子設定!$L$5-0.000000001,E3822&lt;=01_因子設定!$M$5+0.000000001,F3822&gt;=01_因子設定!$L$6-0.000000001,F3822&lt;=01_因子設定!$M$6+0.000000001,G3822&gt;=01_因子設定!$L$7-0.000000001,G3822&lt;=01_因子設定!$M$7+0.000000001,H3822&gt;=01_因子設定!$L$8-0.000000001,H3822&lt;=01_因子設定!$M$8+0.000000001,IF(01_因子設定!$B$20="Box-Behnken",E3822^2+F3822^2+G3822^2+H3822^2&lt;=2+0.000000001,TRUE()))</f>
        <v>1</v>
      </c>
      <c r="AD3822" s="55" t="n">
        <f aca="false">IF(AC3822,IF(01_因子設定!$B$13="最大化",AA3822-01_因子設定!$B$14,IF(01_因子設定!$B$13="最小化",01_因子設定!$B$15-AB3822,MIN(AA3822-01_因子設定!$B$14,01_因子設定!$B$15-AB3822))),-1E+030)</f>
        <v>-2.8902185181539</v>
      </c>
      <c r="AE3822" s="55" t="n">
        <f aca="false">IF(AC3822,IF(01_因子設定!$B$13="最大化",X3822,IF(01_因子設定!$B$13="最小化",-X3822,-ABS(X3822-01_因子設定!$B$16))),-1E+030)</f>
        <v>45.0713952850877</v>
      </c>
      <c r="AF3822" s="55" t="n">
        <f aca="false">AD3822+ROW()*0.000000001</f>
        <v>-2.8902146961539</v>
      </c>
      <c r="AG3822" s="55" t="n">
        <f aca="false">AE3822+ROW()*0.000000001</f>
        <v>45.0713991070877</v>
      </c>
    </row>
    <row r="3823" customFormat="false" ht="15" hidden="false" customHeight="false" outlineLevel="0" collapsed="false">
      <c r="A3823" s="0" t="n">
        <v>5</v>
      </c>
      <c r="B3823" s="0" t="n">
        <v>2</v>
      </c>
      <c r="C3823" s="0" t="n">
        <v>1</v>
      </c>
      <c r="D3823" s="0" t="n">
        <v>2</v>
      </c>
      <c r="E3823" s="0" t="n">
        <f aca="false">-1+A3823*0.25</f>
        <v>0.25</v>
      </c>
      <c r="F3823" s="0" t="n">
        <f aca="false">-1+B3823*0.25</f>
        <v>-0.5</v>
      </c>
      <c r="G3823" s="0" t="n">
        <f aca="false">-1+C3823*0.25</f>
        <v>-0.75</v>
      </c>
      <c r="H3823" s="0" t="n">
        <f aca="false">-1+D3823*0.25</f>
        <v>-0.5</v>
      </c>
      <c r="I3823" s="0" t="n">
        <f aca="false">1</f>
        <v>1</v>
      </c>
      <c r="J3823" s="0" t="n">
        <f aca="false">E3823</f>
        <v>0.25</v>
      </c>
      <c r="K3823" s="0" t="n">
        <f aca="false">F3823</f>
        <v>-0.5</v>
      </c>
      <c r="L3823" s="0" t="n">
        <f aca="false">G3823</f>
        <v>-0.75</v>
      </c>
      <c r="M3823" s="0" t="n">
        <f aca="false">H3823</f>
        <v>-0.5</v>
      </c>
      <c r="N3823" s="0" t="n">
        <f aca="false">E3823*F3823</f>
        <v>-0.125</v>
      </c>
      <c r="O3823" s="0" t="n">
        <f aca="false">E3823*G3823</f>
        <v>-0.1875</v>
      </c>
      <c r="P3823" s="0" t="n">
        <f aca="false">E3823*H3823</f>
        <v>-0.125</v>
      </c>
      <c r="Q3823" s="0" t="n">
        <f aca="false">F3823*G3823</f>
        <v>0.375</v>
      </c>
      <c r="R3823" s="0" t="n">
        <f aca="false">F3823*H3823</f>
        <v>0.25</v>
      </c>
      <c r="S3823" s="0" t="n">
        <f aca="false">G3823*H3823</f>
        <v>0.375</v>
      </c>
      <c r="T3823" s="0" t="n">
        <f aca="false">E3823*E3823</f>
        <v>0.0625</v>
      </c>
      <c r="U3823" s="0" t="n">
        <f aca="false">F3823*F3823</f>
        <v>0.25</v>
      </c>
      <c r="V3823" s="0" t="n">
        <f aca="false">G3823*G3823</f>
        <v>0.5625</v>
      </c>
      <c r="W3823" s="0" t="n">
        <f aca="false">H3823*H3823</f>
        <v>0.25</v>
      </c>
      <c r="X3823" s="0" t="n">
        <f aca="false">SUMPRODUCT(I3823:W3823,_XtX!$B$96:$P$96)</f>
        <v>45.2727704678362</v>
      </c>
      <c r="Y3823" s="0" t="n">
        <f aca="false">SUMPRODUCT(MMULT(I3823:W3823,_XtX!$B$78:$P$92),I3823:W3823)</f>
        <v>0.203746059484649</v>
      </c>
      <c r="Z3823" s="0" t="n">
        <f aca="false">04_回帰ANOVA!$K$19*04_回帰ANOVA!$K$14*SQRT(1+Y3823)</f>
        <v>1.43009810755465</v>
      </c>
      <c r="AA3823" s="0" t="n">
        <f aca="false">X3823-Z3823</f>
        <v>43.8426723602816</v>
      </c>
      <c r="AB3823" s="0" t="n">
        <f aca="false">X3823+Z3823</f>
        <v>46.7028685753909</v>
      </c>
      <c r="AC3823" s="54" t="b">
        <f aca="false">AND(E3823&gt;=01_因子設定!$L$5-0.000000001,E3823&lt;=01_因子設定!$M$5+0.000000001,F3823&gt;=01_因子設定!$L$6-0.000000001,F3823&lt;=01_因子設定!$M$6+0.000000001,G3823&gt;=01_因子設定!$L$7-0.000000001,G3823&lt;=01_因子設定!$M$7+0.000000001,H3823&gt;=01_因子設定!$L$8-0.000000001,H3823&lt;=01_因子設定!$M$8+0.000000001,IF(01_因子設定!$B$20="Box-Behnken",E3823^2+F3823^2+G3823^2+H3823^2&lt;=2+0.000000001,TRUE()))</f>
        <v>1</v>
      </c>
      <c r="AD3823" s="55" t="n">
        <f aca="false">IF(AC3823,IF(01_因子設定!$B$13="最大化",AA3823-01_因子設定!$B$14,IF(01_因子設定!$B$13="最小化",01_因子設定!$B$15-AB3823,MIN(AA3823-01_因子設定!$B$14,01_因子設定!$B$15-AB3823))),-1E+030)</f>
        <v>-2.65732763971844</v>
      </c>
      <c r="AE3823" s="55" t="n">
        <f aca="false">IF(AC3823,IF(01_因子設定!$B$13="最大化",X3823,IF(01_因子設定!$B$13="最小化",-X3823,-ABS(X3823-01_因子設定!$B$16))),-1E+030)</f>
        <v>45.2727704678362</v>
      </c>
      <c r="AF3823" s="55" t="n">
        <f aca="false">AD3823+ROW()*0.000000001</f>
        <v>-2.65732381671844</v>
      </c>
      <c r="AG3823" s="55" t="n">
        <f aca="false">AE3823+ROW()*0.000000001</f>
        <v>45.2727742908362</v>
      </c>
    </row>
    <row r="3824" customFormat="false" ht="15" hidden="false" customHeight="false" outlineLevel="0" collapsed="false">
      <c r="A3824" s="0" t="n">
        <v>5</v>
      </c>
      <c r="B3824" s="0" t="n">
        <v>2</v>
      </c>
      <c r="C3824" s="0" t="n">
        <v>1</v>
      </c>
      <c r="D3824" s="0" t="n">
        <v>3</v>
      </c>
      <c r="E3824" s="0" t="n">
        <f aca="false">-1+A3824*0.25</f>
        <v>0.25</v>
      </c>
      <c r="F3824" s="0" t="n">
        <f aca="false">-1+B3824*0.25</f>
        <v>-0.5</v>
      </c>
      <c r="G3824" s="0" t="n">
        <f aca="false">-1+C3824*0.25</f>
        <v>-0.75</v>
      </c>
      <c r="H3824" s="0" t="n">
        <f aca="false">-1+D3824*0.25</f>
        <v>-0.25</v>
      </c>
      <c r="I3824" s="0" t="n">
        <f aca="false">1</f>
        <v>1</v>
      </c>
      <c r="J3824" s="0" t="n">
        <f aca="false">E3824</f>
        <v>0.25</v>
      </c>
      <c r="K3824" s="0" t="n">
        <f aca="false">F3824</f>
        <v>-0.5</v>
      </c>
      <c r="L3824" s="0" t="n">
        <f aca="false">G3824</f>
        <v>-0.75</v>
      </c>
      <c r="M3824" s="0" t="n">
        <f aca="false">H3824</f>
        <v>-0.25</v>
      </c>
      <c r="N3824" s="0" t="n">
        <f aca="false">E3824*F3824</f>
        <v>-0.125</v>
      </c>
      <c r="O3824" s="0" t="n">
        <f aca="false">E3824*G3824</f>
        <v>-0.1875</v>
      </c>
      <c r="P3824" s="0" t="n">
        <f aca="false">E3824*H3824</f>
        <v>-0.0625</v>
      </c>
      <c r="Q3824" s="0" t="n">
        <f aca="false">F3824*G3824</f>
        <v>0.375</v>
      </c>
      <c r="R3824" s="0" t="n">
        <f aca="false">F3824*H3824</f>
        <v>0.125</v>
      </c>
      <c r="S3824" s="0" t="n">
        <f aca="false">G3824*H3824</f>
        <v>0.1875</v>
      </c>
      <c r="T3824" s="0" t="n">
        <f aca="false">E3824*E3824</f>
        <v>0.0625</v>
      </c>
      <c r="U3824" s="0" t="n">
        <f aca="false">F3824*F3824</f>
        <v>0.25</v>
      </c>
      <c r="V3824" s="0" t="n">
        <f aca="false">G3824*G3824</f>
        <v>0.5625</v>
      </c>
      <c r="W3824" s="0" t="n">
        <f aca="false">H3824*H3824</f>
        <v>0.0625</v>
      </c>
      <c r="X3824" s="0" t="n">
        <f aca="false">SUMPRODUCT(I3824:W3824,_XtX!$B$96:$P$96)</f>
        <v>45.4263386330409</v>
      </c>
      <c r="Y3824" s="0" t="n">
        <f aca="false">SUMPRODUCT(MMULT(I3824:W3824,_XtX!$B$78:$P$92),I3824:W3824)</f>
        <v>0.207746539199561</v>
      </c>
      <c r="Z3824" s="0" t="n">
        <f aca="false">04_回帰ANOVA!$K$19*04_回帰ANOVA!$K$14*SQRT(1+Y3824)</f>
        <v>1.43247250081141</v>
      </c>
      <c r="AA3824" s="0" t="n">
        <f aca="false">X3824-Z3824</f>
        <v>43.9938661322295</v>
      </c>
      <c r="AB3824" s="0" t="n">
        <f aca="false">X3824+Z3824</f>
        <v>46.8588111338523</v>
      </c>
      <c r="AC3824" s="54" t="b">
        <f aca="false">AND(E3824&gt;=01_因子設定!$L$5-0.000000001,E3824&lt;=01_因子設定!$M$5+0.000000001,F3824&gt;=01_因子設定!$L$6-0.000000001,F3824&lt;=01_因子設定!$M$6+0.000000001,G3824&gt;=01_因子設定!$L$7-0.000000001,G3824&lt;=01_因子設定!$M$7+0.000000001,H3824&gt;=01_因子設定!$L$8-0.000000001,H3824&lt;=01_因子設定!$M$8+0.000000001,IF(01_因子設定!$B$20="Box-Behnken",E3824^2+F3824^2+G3824^2+H3824^2&lt;=2+0.000000001,TRUE()))</f>
        <v>1</v>
      </c>
      <c r="AD3824" s="55" t="n">
        <f aca="false">IF(AC3824,IF(01_因子設定!$B$13="最大化",AA3824-01_因子設定!$B$14,IF(01_因子設定!$B$13="最小化",01_因子設定!$B$15-AB3824,MIN(AA3824-01_因子設定!$B$14,01_因子設定!$B$15-AB3824))),-1E+030)</f>
        <v>-2.50613386777053</v>
      </c>
      <c r="AE3824" s="55" t="n">
        <f aca="false">IF(AC3824,IF(01_因子設定!$B$13="最大化",X3824,IF(01_因子設定!$B$13="最小化",-X3824,-ABS(X3824-01_因子設定!$B$16))),-1E+030)</f>
        <v>45.4263386330409</v>
      </c>
      <c r="AF3824" s="55" t="n">
        <f aca="false">AD3824+ROW()*0.000000001</f>
        <v>-2.50613004377053</v>
      </c>
      <c r="AG3824" s="55" t="n">
        <f aca="false">AE3824+ROW()*0.000000001</f>
        <v>45.4263424570409</v>
      </c>
    </row>
    <row r="3825" customFormat="false" ht="15" hidden="false" customHeight="false" outlineLevel="0" collapsed="false">
      <c r="A3825" s="0" t="n">
        <v>5</v>
      </c>
      <c r="B3825" s="0" t="n">
        <v>2</v>
      </c>
      <c r="C3825" s="0" t="n">
        <v>1</v>
      </c>
      <c r="D3825" s="0" t="n">
        <v>4</v>
      </c>
      <c r="E3825" s="0" t="n">
        <f aca="false">-1+A3825*0.25</f>
        <v>0.25</v>
      </c>
      <c r="F3825" s="0" t="n">
        <f aca="false">-1+B3825*0.25</f>
        <v>-0.5</v>
      </c>
      <c r="G3825" s="0" t="n">
        <f aca="false">-1+C3825*0.25</f>
        <v>-0.75</v>
      </c>
      <c r="H3825" s="0" t="n">
        <f aca="false">-1+D3825*0.25</f>
        <v>0</v>
      </c>
      <c r="I3825" s="0" t="n">
        <f aca="false">1</f>
        <v>1</v>
      </c>
      <c r="J3825" s="0" t="n">
        <f aca="false">E3825</f>
        <v>0.25</v>
      </c>
      <c r="K3825" s="0" t="n">
        <f aca="false">F3825</f>
        <v>-0.5</v>
      </c>
      <c r="L3825" s="0" t="n">
        <f aca="false">G3825</f>
        <v>-0.75</v>
      </c>
      <c r="M3825" s="0" t="n">
        <f aca="false">H3825</f>
        <v>0</v>
      </c>
      <c r="N3825" s="0" t="n">
        <f aca="false">E3825*F3825</f>
        <v>-0.125</v>
      </c>
      <c r="O3825" s="0" t="n">
        <f aca="false">E3825*G3825</f>
        <v>-0.1875</v>
      </c>
      <c r="P3825" s="0" t="n">
        <f aca="false">E3825*H3825</f>
        <v>0</v>
      </c>
      <c r="Q3825" s="0" t="n">
        <f aca="false">F3825*G3825</f>
        <v>0.375</v>
      </c>
      <c r="R3825" s="0" t="n">
        <f aca="false">F3825*H3825</f>
        <v>-0</v>
      </c>
      <c r="S3825" s="0" t="n">
        <f aca="false">G3825*H3825</f>
        <v>-0</v>
      </c>
      <c r="T3825" s="0" t="n">
        <f aca="false">E3825*E3825</f>
        <v>0.0625</v>
      </c>
      <c r="U3825" s="0" t="n">
        <f aca="false">F3825*F3825</f>
        <v>0.25</v>
      </c>
      <c r="V3825" s="0" t="n">
        <f aca="false">G3825*G3825</f>
        <v>0.5625</v>
      </c>
      <c r="W3825" s="0" t="n">
        <f aca="false">H3825*H3825</f>
        <v>0</v>
      </c>
      <c r="X3825" s="0" t="n">
        <f aca="false">SUMPRODUCT(I3825:W3825,_XtX!$B$96:$P$96)</f>
        <v>45.5320997807017</v>
      </c>
      <c r="Y3825" s="0" t="n">
        <f aca="false">SUMPRODUCT(MMULT(I3825:W3825,_XtX!$B$78:$P$92),I3825:W3825)</f>
        <v>0.215110734192252</v>
      </c>
      <c r="Z3825" s="0" t="n">
        <f aca="false">04_回帰ANOVA!$K$19*04_回帰ANOVA!$K$14*SQRT(1+Y3825)</f>
        <v>1.43683309086864</v>
      </c>
      <c r="AA3825" s="0" t="n">
        <f aca="false">X3825-Z3825</f>
        <v>44.095266689833</v>
      </c>
      <c r="AB3825" s="0" t="n">
        <f aca="false">X3825+Z3825</f>
        <v>46.9689328715703</v>
      </c>
      <c r="AC3825" s="54" t="b">
        <f aca="false">AND(E3825&gt;=01_因子設定!$L$5-0.000000001,E3825&lt;=01_因子設定!$M$5+0.000000001,F3825&gt;=01_因子設定!$L$6-0.000000001,F3825&lt;=01_因子設定!$M$6+0.000000001,G3825&gt;=01_因子設定!$L$7-0.000000001,G3825&lt;=01_因子設定!$M$7+0.000000001,H3825&gt;=01_因子設定!$L$8-0.000000001,H3825&lt;=01_因子設定!$M$8+0.000000001,IF(01_因子設定!$B$20="Box-Behnken",E3825^2+F3825^2+G3825^2+H3825^2&lt;=2+0.000000001,TRUE()))</f>
        <v>1</v>
      </c>
      <c r="AD3825" s="55" t="n">
        <f aca="false">IF(AC3825,IF(01_因子設定!$B$13="最大化",AA3825-01_因子設定!$B$14,IF(01_因子設定!$B$13="最小化",01_因子設定!$B$15-AB3825,MIN(AA3825-01_因子設定!$B$14,01_因子設定!$B$15-AB3825))),-1E+030)</f>
        <v>-2.40473331016695</v>
      </c>
      <c r="AE3825" s="55" t="n">
        <f aca="false">IF(AC3825,IF(01_因子設定!$B$13="最大化",X3825,IF(01_因子設定!$B$13="最小化",-X3825,-ABS(X3825-01_因子設定!$B$16))),-1E+030)</f>
        <v>45.5320997807017</v>
      </c>
      <c r="AF3825" s="55" t="n">
        <f aca="false">AD3825+ROW()*0.000000001</f>
        <v>-2.40472948516695</v>
      </c>
      <c r="AG3825" s="55" t="n">
        <f aca="false">AE3825+ROW()*0.000000001</f>
        <v>45.5321036057017</v>
      </c>
    </row>
    <row r="3826" customFormat="false" ht="15" hidden="false" customHeight="false" outlineLevel="0" collapsed="false">
      <c r="A3826" s="0" t="n">
        <v>5</v>
      </c>
      <c r="B3826" s="0" t="n">
        <v>2</v>
      </c>
      <c r="C3826" s="0" t="n">
        <v>1</v>
      </c>
      <c r="D3826" s="0" t="n">
        <v>5</v>
      </c>
      <c r="E3826" s="0" t="n">
        <f aca="false">-1+A3826*0.25</f>
        <v>0.25</v>
      </c>
      <c r="F3826" s="0" t="n">
        <f aca="false">-1+B3826*0.25</f>
        <v>-0.5</v>
      </c>
      <c r="G3826" s="0" t="n">
        <f aca="false">-1+C3826*0.25</f>
        <v>-0.75</v>
      </c>
      <c r="H3826" s="0" t="n">
        <f aca="false">-1+D3826*0.25</f>
        <v>0.25</v>
      </c>
      <c r="I3826" s="0" t="n">
        <f aca="false">1</f>
        <v>1</v>
      </c>
      <c r="J3826" s="0" t="n">
        <f aca="false">E3826</f>
        <v>0.25</v>
      </c>
      <c r="K3826" s="0" t="n">
        <f aca="false">F3826</f>
        <v>-0.5</v>
      </c>
      <c r="L3826" s="0" t="n">
        <f aca="false">G3826</f>
        <v>-0.75</v>
      </c>
      <c r="M3826" s="0" t="n">
        <f aca="false">H3826</f>
        <v>0.25</v>
      </c>
      <c r="N3826" s="0" t="n">
        <f aca="false">E3826*F3826</f>
        <v>-0.125</v>
      </c>
      <c r="O3826" s="0" t="n">
        <f aca="false">E3826*G3826</f>
        <v>-0.1875</v>
      </c>
      <c r="P3826" s="0" t="n">
        <f aca="false">E3826*H3826</f>
        <v>0.0625</v>
      </c>
      <c r="Q3826" s="0" t="n">
        <f aca="false">F3826*G3826</f>
        <v>0.375</v>
      </c>
      <c r="R3826" s="0" t="n">
        <f aca="false">F3826*H3826</f>
        <v>-0.125</v>
      </c>
      <c r="S3826" s="0" t="n">
        <f aca="false">G3826*H3826</f>
        <v>-0.1875</v>
      </c>
      <c r="T3826" s="0" t="n">
        <f aca="false">E3826*E3826</f>
        <v>0.0625</v>
      </c>
      <c r="U3826" s="0" t="n">
        <f aca="false">F3826*F3826</f>
        <v>0.25</v>
      </c>
      <c r="V3826" s="0" t="n">
        <f aca="false">G3826*G3826</f>
        <v>0.5625</v>
      </c>
      <c r="W3826" s="0" t="n">
        <f aca="false">H3826*H3826</f>
        <v>0.0625</v>
      </c>
      <c r="X3826" s="0" t="n">
        <f aca="false">SUMPRODUCT(I3826:W3826,_XtX!$B$96:$P$96)</f>
        <v>45.5900539108187</v>
      </c>
      <c r="Y3826" s="0" t="n">
        <f aca="false">SUMPRODUCT(MMULT(I3826:W3826,_XtX!$B$78:$P$92),I3826:W3826)</f>
        <v>0.207746539199561</v>
      </c>
      <c r="Z3826" s="0" t="n">
        <f aca="false">04_回帰ANOVA!$K$19*04_回帰ANOVA!$K$14*SQRT(1+Y3826)</f>
        <v>1.43247250081141</v>
      </c>
      <c r="AA3826" s="0" t="n">
        <f aca="false">X3826-Z3826</f>
        <v>44.1575814100072</v>
      </c>
      <c r="AB3826" s="0" t="n">
        <f aca="false">X3826+Z3826</f>
        <v>47.0225264116301</v>
      </c>
      <c r="AC3826" s="54" t="b">
        <f aca="false">AND(E3826&gt;=01_因子設定!$L$5-0.000000001,E3826&lt;=01_因子設定!$M$5+0.000000001,F3826&gt;=01_因子設定!$L$6-0.000000001,F3826&lt;=01_因子設定!$M$6+0.000000001,G3826&gt;=01_因子設定!$L$7-0.000000001,G3826&lt;=01_因子設定!$M$7+0.000000001,H3826&gt;=01_因子設定!$L$8-0.000000001,H3826&lt;=01_因子設定!$M$8+0.000000001,IF(01_因子設定!$B$20="Box-Behnken",E3826^2+F3826^2+G3826^2+H3826^2&lt;=2+0.000000001,TRUE()))</f>
        <v>1</v>
      </c>
      <c r="AD3826" s="55" t="n">
        <f aca="false">IF(AC3826,IF(01_因子設定!$B$13="最大化",AA3826-01_因子設定!$B$14,IF(01_因子設定!$B$13="最小化",01_因子設定!$B$15-AB3826,MIN(AA3826-01_因子設定!$B$14,01_因子設定!$B$15-AB3826))),-1E+030)</f>
        <v>-2.34241858999275</v>
      </c>
      <c r="AE3826" s="55" t="n">
        <f aca="false">IF(AC3826,IF(01_因子設定!$B$13="最大化",X3826,IF(01_因子設定!$B$13="最小化",-X3826,-ABS(X3826-01_因子設定!$B$16))),-1E+030)</f>
        <v>45.5900539108187</v>
      </c>
      <c r="AF3826" s="55" t="n">
        <f aca="false">AD3826+ROW()*0.000000001</f>
        <v>-2.34241476399275</v>
      </c>
      <c r="AG3826" s="55" t="n">
        <f aca="false">AE3826+ROW()*0.000000001</f>
        <v>45.5900577368187</v>
      </c>
    </row>
    <row r="3827" customFormat="false" ht="15" hidden="false" customHeight="false" outlineLevel="0" collapsed="false">
      <c r="A3827" s="0" t="n">
        <v>5</v>
      </c>
      <c r="B3827" s="0" t="n">
        <v>2</v>
      </c>
      <c r="C3827" s="0" t="n">
        <v>1</v>
      </c>
      <c r="D3827" s="0" t="n">
        <v>6</v>
      </c>
      <c r="E3827" s="0" t="n">
        <f aca="false">-1+A3827*0.25</f>
        <v>0.25</v>
      </c>
      <c r="F3827" s="0" t="n">
        <f aca="false">-1+B3827*0.25</f>
        <v>-0.5</v>
      </c>
      <c r="G3827" s="0" t="n">
        <f aca="false">-1+C3827*0.25</f>
        <v>-0.75</v>
      </c>
      <c r="H3827" s="0" t="n">
        <f aca="false">-1+D3827*0.25</f>
        <v>0.5</v>
      </c>
      <c r="I3827" s="0" t="n">
        <f aca="false">1</f>
        <v>1</v>
      </c>
      <c r="J3827" s="0" t="n">
        <f aca="false">E3827</f>
        <v>0.25</v>
      </c>
      <c r="K3827" s="0" t="n">
        <f aca="false">F3827</f>
        <v>-0.5</v>
      </c>
      <c r="L3827" s="0" t="n">
        <f aca="false">G3827</f>
        <v>-0.75</v>
      </c>
      <c r="M3827" s="0" t="n">
        <f aca="false">H3827</f>
        <v>0.5</v>
      </c>
      <c r="N3827" s="0" t="n">
        <f aca="false">E3827*F3827</f>
        <v>-0.125</v>
      </c>
      <c r="O3827" s="0" t="n">
        <f aca="false">E3827*G3827</f>
        <v>-0.1875</v>
      </c>
      <c r="P3827" s="0" t="n">
        <f aca="false">E3827*H3827</f>
        <v>0.125</v>
      </c>
      <c r="Q3827" s="0" t="n">
        <f aca="false">F3827*G3827</f>
        <v>0.375</v>
      </c>
      <c r="R3827" s="0" t="n">
        <f aca="false">F3827*H3827</f>
        <v>-0.25</v>
      </c>
      <c r="S3827" s="0" t="n">
        <f aca="false">G3827*H3827</f>
        <v>-0.375</v>
      </c>
      <c r="T3827" s="0" t="n">
        <f aca="false">E3827*E3827</f>
        <v>0.0625</v>
      </c>
      <c r="U3827" s="0" t="n">
        <f aca="false">F3827*F3827</f>
        <v>0.25</v>
      </c>
      <c r="V3827" s="0" t="n">
        <f aca="false">G3827*G3827</f>
        <v>0.5625</v>
      </c>
      <c r="W3827" s="0" t="n">
        <f aca="false">H3827*H3827</f>
        <v>0.25</v>
      </c>
      <c r="X3827" s="0" t="n">
        <f aca="false">SUMPRODUCT(I3827:W3827,_XtX!$B$96:$P$96)</f>
        <v>45.6002010233918</v>
      </c>
      <c r="Y3827" s="0" t="n">
        <f aca="false">SUMPRODUCT(MMULT(I3827:W3827,_XtX!$B$78:$P$92),I3827:W3827)</f>
        <v>0.203746059484649</v>
      </c>
      <c r="Z3827" s="0" t="n">
        <f aca="false">04_回帰ANOVA!$K$19*04_回帰ANOVA!$K$14*SQRT(1+Y3827)</f>
        <v>1.43009810755465</v>
      </c>
      <c r="AA3827" s="0" t="n">
        <f aca="false">X3827-Z3827</f>
        <v>44.1701029158371</v>
      </c>
      <c r="AB3827" s="0" t="n">
        <f aca="false">X3827+Z3827</f>
        <v>47.0302991309464</v>
      </c>
      <c r="AC3827" s="54" t="b">
        <f aca="false">AND(E3827&gt;=01_因子設定!$L$5-0.000000001,E3827&lt;=01_因子設定!$M$5+0.000000001,F3827&gt;=01_因子設定!$L$6-0.000000001,F3827&lt;=01_因子設定!$M$6+0.000000001,G3827&gt;=01_因子設定!$L$7-0.000000001,G3827&lt;=01_因子設定!$M$7+0.000000001,H3827&gt;=01_因子設定!$L$8-0.000000001,H3827&lt;=01_因子設定!$M$8+0.000000001,IF(01_因子設定!$B$20="Box-Behnken",E3827^2+F3827^2+G3827^2+H3827^2&lt;=2+0.000000001,TRUE()))</f>
        <v>1</v>
      </c>
      <c r="AD3827" s="55" t="n">
        <f aca="false">IF(AC3827,IF(01_因子設定!$B$13="最大化",AA3827-01_因子設定!$B$14,IF(01_因子設定!$B$13="最小化",01_因子設定!$B$15-AB3827,MIN(AA3827-01_因子設定!$B$14,01_因子設定!$B$15-AB3827))),-1E+030)</f>
        <v>-2.32989708416289</v>
      </c>
      <c r="AE3827" s="55" t="n">
        <f aca="false">IF(AC3827,IF(01_因子設定!$B$13="最大化",X3827,IF(01_因子設定!$B$13="最小化",-X3827,-ABS(X3827-01_因子設定!$B$16))),-1E+030)</f>
        <v>45.6002010233918</v>
      </c>
      <c r="AF3827" s="55" t="n">
        <f aca="false">AD3827+ROW()*0.000000001</f>
        <v>-2.32989325716289</v>
      </c>
      <c r="AG3827" s="55" t="n">
        <f aca="false">AE3827+ROW()*0.000000001</f>
        <v>45.6002048503918</v>
      </c>
    </row>
    <row r="3828" customFormat="false" ht="15" hidden="false" customHeight="false" outlineLevel="0" collapsed="false">
      <c r="A3828" s="0" t="n">
        <v>5</v>
      </c>
      <c r="B3828" s="0" t="n">
        <v>2</v>
      </c>
      <c r="C3828" s="0" t="n">
        <v>1</v>
      </c>
      <c r="D3828" s="0" t="n">
        <v>7</v>
      </c>
      <c r="E3828" s="0" t="n">
        <f aca="false">-1+A3828*0.25</f>
        <v>0.25</v>
      </c>
      <c r="F3828" s="0" t="n">
        <f aca="false">-1+B3828*0.25</f>
        <v>-0.5</v>
      </c>
      <c r="G3828" s="0" t="n">
        <f aca="false">-1+C3828*0.25</f>
        <v>-0.75</v>
      </c>
      <c r="H3828" s="0" t="n">
        <f aca="false">-1+D3828*0.25</f>
        <v>0.75</v>
      </c>
      <c r="I3828" s="0" t="n">
        <f aca="false">1</f>
        <v>1</v>
      </c>
      <c r="J3828" s="0" t="n">
        <f aca="false">E3828</f>
        <v>0.25</v>
      </c>
      <c r="K3828" s="0" t="n">
        <f aca="false">F3828</f>
        <v>-0.5</v>
      </c>
      <c r="L3828" s="0" t="n">
        <f aca="false">G3828</f>
        <v>-0.75</v>
      </c>
      <c r="M3828" s="0" t="n">
        <f aca="false">H3828</f>
        <v>0.75</v>
      </c>
      <c r="N3828" s="0" t="n">
        <f aca="false">E3828*F3828</f>
        <v>-0.125</v>
      </c>
      <c r="O3828" s="0" t="n">
        <f aca="false">E3828*G3828</f>
        <v>-0.1875</v>
      </c>
      <c r="P3828" s="0" t="n">
        <f aca="false">E3828*H3828</f>
        <v>0.1875</v>
      </c>
      <c r="Q3828" s="0" t="n">
        <f aca="false">F3828*G3828</f>
        <v>0.375</v>
      </c>
      <c r="R3828" s="0" t="n">
        <f aca="false">F3828*H3828</f>
        <v>-0.375</v>
      </c>
      <c r="S3828" s="0" t="n">
        <f aca="false">G3828*H3828</f>
        <v>-0.5625</v>
      </c>
      <c r="T3828" s="0" t="n">
        <f aca="false">E3828*E3828</f>
        <v>0.0625</v>
      </c>
      <c r="U3828" s="0" t="n">
        <f aca="false">F3828*F3828</f>
        <v>0.25</v>
      </c>
      <c r="V3828" s="0" t="n">
        <f aca="false">G3828*G3828</f>
        <v>0.5625</v>
      </c>
      <c r="W3828" s="0" t="n">
        <f aca="false">H3828*H3828</f>
        <v>0.5625</v>
      </c>
      <c r="X3828" s="0" t="n">
        <f aca="false">SUMPRODUCT(I3828:W3828,_XtX!$B$96:$P$96)</f>
        <v>45.562541118421</v>
      </c>
      <c r="Y3828" s="0" t="n">
        <f aca="false">SUMPRODUCT(MMULT(I3828:W3828,_XtX!$B$78:$P$92),I3828:W3828)</f>
        <v>0.257385610836988</v>
      </c>
      <c r="Z3828" s="0" t="n">
        <f aca="false">04_回帰ANOVA!$K$19*04_回帰ANOVA!$K$14*SQRT(1+Y3828)</f>
        <v>1.46161380324158</v>
      </c>
      <c r="AA3828" s="0" t="n">
        <f aca="false">X3828-Z3828</f>
        <v>44.1009273151794</v>
      </c>
      <c r="AB3828" s="0" t="n">
        <f aca="false">X3828+Z3828</f>
        <v>47.0241549216626</v>
      </c>
      <c r="AC3828" s="54" t="b">
        <f aca="false">AND(E3828&gt;=01_因子設定!$L$5-0.000000001,E3828&lt;=01_因子設定!$M$5+0.000000001,F3828&gt;=01_因子設定!$L$6-0.000000001,F3828&lt;=01_因子設定!$M$6+0.000000001,G3828&gt;=01_因子設定!$L$7-0.000000001,G3828&lt;=01_因子設定!$M$7+0.000000001,H3828&gt;=01_因子設定!$L$8-0.000000001,H3828&lt;=01_因子設定!$M$8+0.000000001,IF(01_因子設定!$B$20="Box-Behnken",E3828^2+F3828^2+G3828^2+H3828^2&lt;=2+0.000000001,TRUE()))</f>
        <v>1</v>
      </c>
      <c r="AD3828" s="55" t="n">
        <f aca="false">IF(AC3828,IF(01_因子設定!$B$13="最大化",AA3828-01_因子設定!$B$14,IF(01_因子設定!$B$13="最小化",01_因子設定!$B$15-AB3828,MIN(AA3828-01_因子設定!$B$14,01_因子設定!$B$15-AB3828))),-1E+030)</f>
        <v>-2.39907268482057</v>
      </c>
      <c r="AE3828" s="55" t="n">
        <f aca="false">IF(AC3828,IF(01_因子設定!$B$13="最大化",X3828,IF(01_因子設定!$B$13="最小化",-X3828,-ABS(X3828-01_因子設定!$B$16))),-1E+030)</f>
        <v>45.562541118421</v>
      </c>
      <c r="AF3828" s="55" t="n">
        <f aca="false">AD3828+ROW()*0.000000001</f>
        <v>-2.39906885682057</v>
      </c>
      <c r="AG3828" s="55" t="n">
        <f aca="false">AE3828+ROW()*0.000000001</f>
        <v>45.562544946421</v>
      </c>
    </row>
    <row r="3829" customFormat="false" ht="15" hidden="false" customHeight="false" outlineLevel="0" collapsed="false">
      <c r="A3829" s="0" t="n">
        <v>5</v>
      </c>
      <c r="B3829" s="0" t="n">
        <v>2</v>
      </c>
      <c r="C3829" s="0" t="n">
        <v>1</v>
      </c>
      <c r="D3829" s="0" t="n">
        <v>8</v>
      </c>
      <c r="E3829" s="0" t="n">
        <f aca="false">-1+A3829*0.25</f>
        <v>0.25</v>
      </c>
      <c r="F3829" s="0" t="n">
        <f aca="false">-1+B3829*0.25</f>
        <v>-0.5</v>
      </c>
      <c r="G3829" s="0" t="n">
        <f aca="false">-1+C3829*0.25</f>
        <v>-0.75</v>
      </c>
      <c r="H3829" s="0" t="n">
        <f aca="false">-1+D3829*0.25</f>
        <v>1</v>
      </c>
      <c r="I3829" s="0" t="n">
        <f aca="false">1</f>
        <v>1</v>
      </c>
      <c r="J3829" s="0" t="n">
        <f aca="false">E3829</f>
        <v>0.25</v>
      </c>
      <c r="K3829" s="0" t="n">
        <f aca="false">F3829</f>
        <v>-0.5</v>
      </c>
      <c r="L3829" s="0" t="n">
        <f aca="false">G3829</f>
        <v>-0.75</v>
      </c>
      <c r="M3829" s="0" t="n">
        <f aca="false">H3829</f>
        <v>1</v>
      </c>
      <c r="N3829" s="0" t="n">
        <f aca="false">E3829*F3829</f>
        <v>-0.125</v>
      </c>
      <c r="O3829" s="0" t="n">
        <f aca="false">E3829*G3829</f>
        <v>-0.1875</v>
      </c>
      <c r="P3829" s="0" t="n">
        <f aca="false">E3829*H3829</f>
        <v>0.25</v>
      </c>
      <c r="Q3829" s="0" t="n">
        <f aca="false">F3829*G3829</f>
        <v>0.375</v>
      </c>
      <c r="R3829" s="0" t="n">
        <f aca="false">F3829*H3829</f>
        <v>-0.5</v>
      </c>
      <c r="S3829" s="0" t="n">
        <f aca="false">G3829*H3829</f>
        <v>-0.75</v>
      </c>
      <c r="T3829" s="0" t="n">
        <f aca="false">E3829*E3829</f>
        <v>0.0625</v>
      </c>
      <c r="U3829" s="0" t="n">
        <f aca="false">F3829*F3829</f>
        <v>0.25</v>
      </c>
      <c r="V3829" s="0" t="n">
        <f aca="false">G3829*G3829</f>
        <v>0.5625</v>
      </c>
      <c r="W3829" s="0" t="n">
        <f aca="false">H3829*H3829</f>
        <v>1</v>
      </c>
      <c r="X3829" s="0" t="n">
        <f aca="false">SUMPRODUCT(I3829:W3829,_XtX!$B$96:$P$96)</f>
        <v>45.4770741959064</v>
      </c>
      <c r="Y3829" s="0" t="n">
        <f aca="false">SUMPRODUCT(MMULT(I3829:W3829,_XtX!$B$78:$P$92),I3829:W3829)</f>
        <v>0.459125719572369</v>
      </c>
      <c r="Z3829" s="0" t="n">
        <f aca="false">04_回帰ANOVA!$K$19*04_回帰ANOVA!$K$14*SQRT(1+Y3829)</f>
        <v>1.57450755575573</v>
      </c>
      <c r="AA3829" s="0" t="n">
        <f aca="false">X3829-Z3829</f>
        <v>43.9025666401507</v>
      </c>
      <c r="AB3829" s="0" t="n">
        <f aca="false">X3829+Z3829</f>
        <v>47.0515817516621</v>
      </c>
      <c r="AC3829" s="54" t="b">
        <f aca="false">AND(E3829&gt;=01_因子設定!$L$5-0.000000001,E3829&lt;=01_因子設定!$M$5+0.000000001,F3829&gt;=01_因子設定!$L$6-0.000000001,F3829&lt;=01_因子設定!$M$6+0.000000001,G3829&gt;=01_因子設定!$L$7-0.000000001,G3829&lt;=01_因子設定!$M$7+0.000000001,H3829&gt;=01_因子設定!$L$8-0.000000001,H3829&lt;=01_因子設定!$M$8+0.000000001,IF(01_因子設定!$B$20="Box-Behnken",E3829^2+F3829^2+G3829^2+H3829^2&lt;=2+0.000000001,TRUE()))</f>
        <v>1</v>
      </c>
      <c r="AD3829" s="55" t="n">
        <f aca="false">IF(AC3829,IF(01_因子設定!$B$13="最大化",AA3829-01_因子設定!$B$14,IF(01_因子設定!$B$13="最小化",01_因子設定!$B$15-AB3829,MIN(AA3829-01_因子設定!$B$14,01_因子設定!$B$15-AB3829))),-1E+030)</f>
        <v>-2.59743335984932</v>
      </c>
      <c r="AE3829" s="55" t="n">
        <f aca="false">IF(AC3829,IF(01_因子設定!$B$13="最大化",X3829,IF(01_因子設定!$B$13="最小化",-X3829,-ABS(X3829-01_因子設定!$B$16))),-1E+030)</f>
        <v>45.4770741959064</v>
      </c>
      <c r="AF3829" s="55" t="n">
        <f aca="false">AD3829+ROW()*0.000000001</f>
        <v>-2.59742953084932</v>
      </c>
      <c r="AG3829" s="55" t="n">
        <f aca="false">AE3829+ROW()*0.000000001</f>
        <v>45.4770780249064</v>
      </c>
    </row>
    <row r="3830" customFormat="false" ht="15" hidden="false" customHeight="false" outlineLevel="0" collapsed="false">
      <c r="A3830" s="0" t="n">
        <v>5</v>
      </c>
      <c r="B3830" s="0" t="n">
        <v>2</v>
      </c>
      <c r="C3830" s="0" t="n">
        <v>2</v>
      </c>
      <c r="D3830" s="0" t="n">
        <v>0</v>
      </c>
      <c r="E3830" s="0" t="n">
        <f aca="false">-1+A3830*0.25</f>
        <v>0.25</v>
      </c>
      <c r="F3830" s="0" t="n">
        <f aca="false">-1+B3830*0.25</f>
        <v>-0.5</v>
      </c>
      <c r="G3830" s="0" t="n">
        <f aca="false">-1+C3830*0.25</f>
        <v>-0.5</v>
      </c>
      <c r="H3830" s="0" t="n">
        <f aca="false">-1+D3830*0.25</f>
        <v>-1</v>
      </c>
      <c r="I3830" s="0" t="n">
        <f aca="false">1</f>
        <v>1</v>
      </c>
      <c r="J3830" s="0" t="n">
        <f aca="false">E3830</f>
        <v>0.25</v>
      </c>
      <c r="K3830" s="0" t="n">
        <f aca="false">F3830</f>
        <v>-0.5</v>
      </c>
      <c r="L3830" s="0" t="n">
        <f aca="false">G3830</f>
        <v>-0.5</v>
      </c>
      <c r="M3830" s="0" t="n">
        <f aca="false">H3830</f>
        <v>-1</v>
      </c>
      <c r="N3830" s="0" t="n">
        <f aca="false">E3830*F3830</f>
        <v>-0.125</v>
      </c>
      <c r="O3830" s="0" t="n">
        <f aca="false">E3830*G3830</f>
        <v>-0.125</v>
      </c>
      <c r="P3830" s="0" t="n">
        <f aca="false">E3830*H3830</f>
        <v>-0.25</v>
      </c>
      <c r="Q3830" s="0" t="n">
        <f aca="false">F3830*G3830</f>
        <v>0.25</v>
      </c>
      <c r="R3830" s="0" t="n">
        <f aca="false">F3830*H3830</f>
        <v>0.5</v>
      </c>
      <c r="S3830" s="0" t="n">
        <f aca="false">G3830*H3830</f>
        <v>0.5</v>
      </c>
      <c r="T3830" s="0" t="n">
        <f aca="false">E3830*E3830</f>
        <v>0.0625</v>
      </c>
      <c r="U3830" s="0" t="n">
        <f aca="false">F3830*F3830</f>
        <v>0.25</v>
      </c>
      <c r="V3830" s="0" t="n">
        <f aca="false">G3830*G3830</f>
        <v>0.25</v>
      </c>
      <c r="W3830" s="0" t="n">
        <f aca="false">H3830*H3830</f>
        <v>1</v>
      </c>
      <c r="X3830" s="0" t="n">
        <f aca="false">SUMPRODUCT(I3830:W3830,_XtX!$B$96:$P$96)</f>
        <v>45.1297514619883</v>
      </c>
      <c r="Y3830" s="0" t="n">
        <f aca="false">SUMPRODUCT(MMULT(I3830:W3830,_XtX!$B$78:$P$92),I3830:W3830)</f>
        <v>0.428122715643275</v>
      </c>
      <c r="Z3830" s="0" t="n">
        <f aca="false">04_回帰ANOVA!$K$19*04_回帰ANOVA!$K$14*SQRT(1+Y3830)</f>
        <v>1.55769044623229</v>
      </c>
      <c r="AA3830" s="0" t="n">
        <f aca="false">X3830-Z3830</f>
        <v>43.572061015756</v>
      </c>
      <c r="AB3830" s="0" t="n">
        <f aca="false">X3830+Z3830</f>
        <v>46.6874419082206</v>
      </c>
      <c r="AC3830" s="54" t="b">
        <f aca="false">AND(E3830&gt;=01_因子設定!$L$5-0.000000001,E3830&lt;=01_因子設定!$M$5+0.000000001,F3830&gt;=01_因子設定!$L$6-0.000000001,F3830&lt;=01_因子設定!$M$6+0.000000001,G3830&gt;=01_因子設定!$L$7-0.000000001,G3830&lt;=01_因子設定!$M$7+0.000000001,H3830&gt;=01_因子設定!$L$8-0.000000001,H3830&lt;=01_因子設定!$M$8+0.000000001,IF(01_因子設定!$B$20="Box-Behnken",E3830^2+F3830^2+G3830^2+H3830^2&lt;=2+0.000000001,TRUE()))</f>
        <v>1</v>
      </c>
      <c r="AD3830" s="55" t="n">
        <f aca="false">IF(AC3830,IF(01_因子設定!$B$13="最大化",AA3830-01_因子設定!$B$14,IF(01_因子設定!$B$13="最小化",01_因子設定!$B$15-AB3830,MIN(AA3830-01_因子設定!$B$14,01_因子設定!$B$15-AB3830))),-1E+030)</f>
        <v>-2.92793898424401</v>
      </c>
      <c r="AE3830" s="55" t="n">
        <f aca="false">IF(AC3830,IF(01_因子設定!$B$13="最大化",X3830,IF(01_因子設定!$B$13="最小化",-X3830,-ABS(X3830-01_因子設定!$B$16))),-1E+030)</f>
        <v>45.1297514619883</v>
      </c>
      <c r="AF3830" s="55" t="n">
        <f aca="false">AD3830+ROW()*0.000000001</f>
        <v>-2.92793515424401</v>
      </c>
      <c r="AG3830" s="55" t="n">
        <f aca="false">AE3830+ROW()*0.000000001</f>
        <v>45.1297552919883</v>
      </c>
    </row>
    <row r="3831" customFormat="false" ht="15" hidden="false" customHeight="false" outlineLevel="0" collapsed="false">
      <c r="A3831" s="0" t="n">
        <v>5</v>
      </c>
      <c r="B3831" s="0" t="n">
        <v>2</v>
      </c>
      <c r="C3831" s="0" t="n">
        <v>2</v>
      </c>
      <c r="D3831" s="0" t="n">
        <v>1</v>
      </c>
      <c r="E3831" s="0" t="n">
        <f aca="false">-1+A3831*0.25</f>
        <v>0.25</v>
      </c>
      <c r="F3831" s="0" t="n">
        <f aca="false">-1+B3831*0.25</f>
        <v>-0.5</v>
      </c>
      <c r="G3831" s="0" t="n">
        <f aca="false">-1+C3831*0.25</f>
        <v>-0.5</v>
      </c>
      <c r="H3831" s="0" t="n">
        <f aca="false">-1+D3831*0.25</f>
        <v>-0.75</v>
      </c>
      <c r="I3831" s="0" t="n">
        <f aca="false">1</f>
        <v>1</v>
      </c>
      <c r="J3831" s="0" t="n">
        <f aca="false">E3831</f>
        <v>0.25</v>
      </c>
      <c r="K3831" s="0" t="n">
        <f aca="false">F3831</f>
        <v>-0.5</v>
      </c>
      <c r="L3831" s="0" t="n">
        <f aca="false">G3831</f>
        <v>-0.5</v>
      </c>
      <c r="M3831" s="0" t="n">
        <f aca="false">H3831</f>
        <v>-0.75</v>
      </c>
      <c r="N3831" s="0" t="n">
        <f aca="false">E3831*F3831</f>
        <v>-0.125</v>
      </c>
      <c r="O3831" s="0" t="n">
        <f aca="false">E3831*G3831</f>
        <v>-0.125</v>
      </c>
      <c r="P3831" s="0" t="n">
        <f aca="false">E3831*H3831</f>
        <v>-0.1875</v>
      </c>
      <c r="Q3831" s="0" t="n">
        <f aca="false">F3831*G3831</f>
        <v>0.25</v>
      </c>
      <c r="R3831" s="0" t="n">
        <f aca="false">F3831*H3831</f>
        <v>0.375</v>
      </c>
      <c r="S3831" s="0" t="n">
        <f aca="false">G3831*H3831</f>
        <v>0.375</v>
      </c>
      <c r="T3831" s="0" t="n">
        <f aca="false">E3831*E3831</f>
        <v>0.0625</v>
      </c>
      <c r="U3831" s="0" t="n">
        <f aca="false">F3831*F3831</f>
        <v>0.25</v>
      </c>
      <c r="V3831" s="0" t="n">
        <f aca="false">G3831*G3831</f>
        <v>0.25</v>
      </c>
      <c r="W3831" s="0" t="n">
        <f aca="false">H3831*H3831</f>
        <v>0.5625</v>
      </c>
      <c r="X3831" s="0" t="n">
        <f aca="false">SUMPRODUCT(I3831:W3831,_XtX!$B$96:$P$96)</f>
        <v>45.3969024122807</v>
      </c>
      <c r="Y3831" s="0" t="n">
        <f aca="false">SUMPRODUCT(MMULT(I3831:W3831,_XtX!$B$78:$P$92),I3831:W3831)</f>
        <v>0.203746059484649</v>
      </c>
      <c r="Z3831" s="0" t="n">
        <f aca="false">04_回帰ANOVA!$K$19*04_回帰ANOVA!$K$14*SQRT(1+Y3831)</f>
        <v>1.43009810755465</v>
      </c>
      <c r="AA3831" s="0" t="n">
        <f aca="false">X3831-Z3831</f>
        <v>43.966804304726</v>
      </c>
      <c r="AB3831" s="0" t="n">
        <f aca="false">X3831+Z3831</f>
        <v>46.8270005198353</v>
      </c>
      <c r="AC3831" s="54" t="b">
        <f aca="false">AND(E3831&gt;=01_因子設定!$L$5-0.000000001,E3831&lt;=01_因子設定!$M$5+0.000000001,F3831&gt;=01_因子設定!$L$6-0.000000001,F3831&lt;=01_因子設定!$M$6+0.000000001,G3831&gt;=01_因子設定!$L$7-0.000000001,G3831&lt;=01_因子設定!$M$7+0.000000001,H3831&gt;=01_因子設定!$L$8-0.000000001,H3831&lt;=01_因子設定!$M$8+0.000000001,IF(01_因子設定!$B$20="Box-Behnken",E3831^2+F3831^2+G3831^2+H3831^2&lt;=2+0.000000001,TRUE()))</f>
        <v>1</v>
      </c>
      <c r="AD3831" s="55" t="n">
        <f aca="false">IF(AC3831,IF(01_因子設定!$B$13="最大化",AA3831-01_因子設定!$B$14,IF(01_因子設定!$B$13="最小化",01_因子設定!$B$15-AB3831,MIN(AA3831-01_因子設定!$B$14,01_因子設定!$B$15-AB3831))),-1E+030)</f>
        <v>-2.53319569527399</v>
      </c>
      <c r="AE3831" s="55" t="n">
        <f aca="false">IF(AC3831,IF(01_因子設定!$B$13="最大化",X3831,IF(01_因子設定!$B$13="最小化",-X3831,-ABS(X3831-01_因子設定!$B$16))),-1E+030)</f>
        <v>45.3969024122807</v>
      </c>
      <c r="AF3831" s="55" t="n">
        <f aca="false">AD3831+ROW()*0.000000001</f>
        <v>-2.53319186427399</v>
      </c>
      <c r="AG3831" s="55" t="n">
        <f aca="false">AE3831+ROW()*0.000000001</f>
        <v>45.3969062432807</v>
      </c>
    </row>
    <row r="3832" customFormat="false" ht="15" hidden="false" customHeight="false" outlineLevel="0" collapsed="false">
      <c r="A3832" s="0" t="n">
        <v>5</v>
      </c>
      <c r="B3832" s="0" t="n">
        <v>2</v>
      </c>
      <c r="C3832" s="0" t="n">
        <v>2</v>
      </c>
      <c r="D3832" s="0" t="n">
        <v>2</v>
      </c>
      <c r="E3832" s="0" t="n">
        <f aca="false">-1+A3832*0.25</f>
        <v>0.25</v>
      </c>
      <c r="F3832" s="0" t="n">
        <f aca="false">-1+B3832*0.25</f>
        <v>-0.5</v>
      </c>
      <c r="G3832" s="0" t="n">
        <f aca="false">-1+C3832*0.25</f>
        <v>-0.5</v>
      </c>
      <c r="H3832" s="0" t="n">
        <f aca="false">-1+D3832*0.25</f>
        <v>-0.5</v>
      </c>
      <c r="I3832" s="0" t="n">
        <f aca="false">1</f>
        <v>1</v>
      </c>
      <c r="J3832" s="0" t="n">
        <f aca="false">E3832</f>
        <v>0.25</v>
      </c>
      <c r="K3832" s="0" t="n">
        <f aca="false">F3832</f>
        <v>-0.5</v>
      </c>
      <c r="L3832" s="0" t="n">
        <f aca="false">G3832</f>
        <v>-0.5</v>
      </c>
      <c r="M3832" s="0" t="n">
        <f aca="false">H3832</f>
        <v>-0.5</v>
      </c>
      <c r="N3832" s="0" t="n">
        <f aca="false">E3832*F3832</f>
        <v>-0.125</v>
      </c>
      <c r="O3832" s="0" t="n">
        <f aca="false">E3832*G3832</f>
        <v>-0.125</v>
      </c>
      <c r="P3832" s="0" t="n">
        <f aca="false">E3832*H3832</f>
        <v>-0.125</v>
      </c>
      <c r="Q3832" s="0" t="n">
        <f aca="false">F3832*G3832</f>
        <v>0.25</v>
      </c>
      <c r="R3832" s="0" t="n">
        <f aca="false">F3832*H3832</f>
        <v>0.25</v>
      </c>
      <c r="S3832" s="0" t="n">
        <f aca="false">G3832*H3832</f>
        <v>0.25</v>
      </c>
      <c r="T3832" s="0" t="n">
        <f aca="false">E3832*E3832</f>
        <v>0.0625</v>
      </c>
      <c r="U3832" s="0" t="n">
        <f aca="false">F3832*F3832</f>
        <v>0.25</v>
      </c>
      <c r="V3832" s="0" t="n">
        <f aca="false">G3832*G3832</f>
        <v>0.25</v>
      </c>
      <c r="W3832" s="0" t="n">
        <f aca="false">H3832*H3832</f>
        <v>0.25</v>
      </c>
      <c r="X3832" s="0" t="n">
        <f aca="false">SUMPRODUCT(I3832:W3832,_XtX!$B$96:$P$96)</f>
        <v>45.6162463450292</v>
      </c>
      <c r="Y3832" s="0" t="n">
        <f aca="false">SUMPRODUCT(MMULT(I3832:W3832,_XtX!$B$78:$P$92),I3832:W3832)</f>
        <v>0.133937545687135</v>
      </c>
      <c r="Z3832" s="0" t="n">
        <f aca="false">04_回帰ANOVA!$K$19*04_回帰ANOVA!$K$14*SQRT(1+Y3832)</f>
        <v>1.38801116780825</v>
      </c>
      <c r="AA3832" s="0" t="n">
        <f aca="false">X3832-Z3832</f>
        <v>44.2282351772209</v>
      </c>
      <c r="AB3832" s="0" t="n">
        <f aca="false">X3832+Z3832</f>
        <v>47.0042575128374</v>
      </c>
      <c r="AC3832" s="54" t="b">
        <f aca="false">AND(E3832&gt;=01_因子設定!$L$5-0.000000001,E3832&lt;=01_因子設定!$M$5+0.000000001,F3832&gt;=01_因子設定!$L$6-0.000000001,F3832&lt;=01_因子設定!$M$6+0.000000001,G3832&gt;=01_因子設定!$L$7-0.000000001,G3832&lt;=01_因子設定!$M$7+0.000000001,H3832&gt;=01_因子設定!$L$8-0.000000001,H3832&lt;=01_因子設定!$M$8+0.000000001,IF(01_因子設定!$B$20="Box-Behnken",E3832^2+F3832^2+G3832^2+H3832^2&lt;=2+0.000000001,TRUE()))</f>
        <v>1</v>
      </c>
      <c r="AD3832" s="55" t="n">
        <f aca="false">IF(AC3832,IF(01_因子設定!$B$13="最大化",AA3832-01_因子設定!$B$14,IF(01_因子設定!$B$13="最小化",01_因子設定!$B$15-AB3832,MIN(AA3832-01_因子設定!$B$14,01_因子設定!$B$15-AB3832))),-1E+030)</f>
        <v>-2.27176482277906</v>
      </c>
      <c r="AE3832" s="55" t="n">
        <f aca="false">IF(AC3832,IF(01_因子設定!$B$13="最大化",X3832,IF(01_因子設定!$B$13="最小化",-X3832,-ABS(X3832-01_因子設定!$B$16))),-1E+030)</f>
        <v>45.6162463450292</v>
      </c>
      <c r="AF3832" s="55" t="n">
        <f aca="false">AD3832+ROW()*0.000000001</f>
        <v>-2.27176099077906</v>
      </c>
      <c r="AG3832" s="55" t="n">
        <f aca="false">AE3832+ROW()*0.000000001</f>
        <v>45.6162501770292</v>
      </c>
    </row>
    <row r="3833" customFormat="false" ht="15" hidden="false" customHeight="false" outlineLevel="0" collapsed="false">
      <c r="A3833" s="0" t="n">
        <v>5</v>
      </c>
      <c r="B3833" s="0" t="n">
        <v>2</v>
      </c>
      <c r="C3833" s="0" t="n">
        <v>2</v>
      </c>
      <c r="D3833" s="0" t="n">
        <v>3</v>
      </c>
      <c r="E3833" s="0" t="n">
        <f aca="false">-1+A3833*0.25</f>
        <v>0.25</v>
      </c>
      <c r="F3833" s="0" t="n">
        <f aca="false">-1+B3833*0.25</f>
        <v>-0.5</v>
      </c>
      <c r="G3833" s="0" t="n">
        <f aca="false">-1+C3833*0.25</f>
        <v>-0.5</v>
      </c>
      <c r="H3833" s="0" t="n">
        <f aca="false">-1+D3833*0.25</f>
        <v>-0.25</v>
      </c>
      <c r="I3833" s="0" t="n">
        <f aca="false">1</f>
        <v>1</v>
      </c>
      <c r="J3833" s="0" t="n">
        <f aca="false">E3833</f>
        <v>0.25</v>
      </c>
      <c r="K3833" s="0" t="n">
        <f aca="false">F3833</f>
        <v>-0.5</v>
      </c>
      <c r="L3833" s="0" t="n">
        <f aca="false">G3833</f>
        <v>-0.5</v>
      </c>
      <c r="M3833" s="0" t="n">
        <f aca="false">H3833</f>
        <v>-0.25</v>
      </c>
      <c r="N3833" s="0" t="n">
        <f aca="false">E3833*F3833</f>
        <v>-0.125</v>
      </c>
      <c r="O3833" s="0" t="n">
        <f aca="false">E3833*G3833</f>
        <v>-0.125</v>
      </c>
      <c r="P3833" s="0" t="n">
        <f aca="false">E3833*H3833</f>
        <v>-0.0625</v>
      </c>
      <c r="Q3833" s="0" t="n">
        <f aca="false">F3833*G3833</f>
        <v>0.25</v>
      </c>
      <c r="R3833" s="0" t="n">
        <f aca="false">F3833*H3833</f>
        <v>0.125</v>
      </c>
      <c r="S3833" s="0" t="n">
        <f aca="false">G3833*H3833</f>
        <v>0.125</v>
      </c>
      <c r="T3833" s="0" t="n">
        <f aca="false">E3833*E3833</f>
        <v>0.0625</v>
      </c>
      <c r="U3833" s="0" t="n">
        <f aca="false">F3833*F3833</f>
        <v>0.25</v>
      </c>
      <c r="V3833" s="0" t="n">
        <f aca="false">G3833*G3833</f>
        <v>0.25</v>
      </c>
      <c r="W3833" s="0" t="n">
        <f aca="false">H3833*H3833</f>
        <v>0.0625</v>
      </c>
      <c r="X3833" s="0" t="n">
        <f aca="false">SUMPRODUCT(I3833:W3833,_XtX!$B$96:$P$96)</f>
        <v>45.7877832602339</v>
      </c>
      <c r="Y3833" s="0" t="n">
        <f aca="false">SUMPRODUCT(MMULT(I3833:W3833,_XtX!$B$78:$P$92),I3833:W3833)</f>
        <v>0.128236647934942</v>
      </c>
      <c r="Z3833" s="0" t="n">
        <f aca="false">04_回帰ANOVA!$K$19*04_回帰ANOVA!$K$14*SQRT(1+Y3833)</f>
        <v>1.38451764188989</v>
      </c>
      <c r="AA3833" s="0" t="n">
        <f aca="false">X3833-Z3833</f>
        <v>44.403265618344</v>
      </c>
      <c r="AB3833" s="0" t="n">
        <f aca="false">X3833+Z3833</f>
        <v>47.1723009021237</v>
      </c>
      <c r="AC3833" s="54" t="b">
        <f aca="false">AND(E3833&gt;=01_因子設定!$L$5-0.000000001,E3833&lt;=01_因子設定!$M$5+0.000000001,F3833&gt;=01_因子設定!$L$6-0.000000001,F3833&lt;=01_因子設定!$M$6+0.000000001,G3833&gt;=01_因子設定!$L$7-0.000000001,G3833&lt;=01_因子設定!$M$7+0.000000001,H3833&gt;=01_因子設定!$L$8-0.000000001,H3833&lt;=01_因子設定!$M$8+0.000000001,IF(01_因子設定!$B$20="Box-Behnken",E3833^2+F3833^2+G3833^2+H3833^2&lt;=2+0.000000001,TRUE()))</f>
        <v>1</v>
      </c>
      <c r="AD3833" s="55" t="n">
        <f aca="false">IF(AC3833,IF(01_因子設定!$B$13="最大化",AA3833-01_因子設定!$B$14,IF(01_因子設定!$B$13="最小化",01_因子設定!$B$15-AB3833,MIN(AA3833-01_因子設定!$B$14,01_因子設定!$B$15-AB3833))),-1E+030)</f>
        <v>-2.09673438165603</v>
      </c>
      <c r="AE3833" s="55" t="n">
        <f aca="false">IF(AC3833,IF(01_因子設定!$B$13="最大化",X3833,IF(01_因子設定!$B$13="最小化",-X3833,-ABS(X3833-01_因子設定!$B$16))),-1E+030)</f>
        <v>45.7877832602339</v>
      </c>
      <c r="AF3833" s="55" t="n">
        <f aca="false">AD3833+ROW()*0.000000001</f>
        <v>-2.09673054865603</v>
      </c>
      <c r="AG3833" s="55" t="n">
        <f aca="false">AE3833+ROW()*0.000000001</f>
        <v>45.7877870932339</v>
      </c>
    </row>
    <row r="3834" customFormat="false" ht="15" hidden="false" customHeight="false" outlineLevel="0" collapsed="false">
      <c r="A3834" s="0" t="n">
        <v>5</v>
      </c>
      <c r="B3834" s="0" t="n">
        <v>2</v>
      </c>
      <c r="C3834" s="0" t="n">
        <v>2</v>
      </c>
      <c r="D3834" s="0" t="n">
        <v>4</v>
      </c>
      <c r="E3834" s="0" t="n">
        <f aca="false">-1+A3834*0.25</f>
        <v>0.25</v>
      </c>
      <c r="F3834" s="0" t="n">
        <f aca="false">-1+B3834*0.25</f>
        <v>-0.5</v>
      </c>
      <c r="G3834" s="0" t="n">
        <f aca="false">-1+C3834*0.25</f>
        <v>-0.5</v>
      </c>
      <c r="H3834" s="0" t="n">
        <f aca="false">-1+D3834*0.25</f>
        <v>0</v>
      </c>
      <c r="I3834" s="0" t="n">
        <f aca="false">1</f>
        <v>1</v>
      </c>
      <c r="J3834" s="0" t="n">
        <f aca="false">E3834</f>
        <v>0.25</v>
      </c>
      <c r="K3834" s="0" t="n">
        <f aca="false">F3834</f>
        <v>-0.5</v>
      </c>
      <c r="L3834" s="0" t="n">
        <f aca="false">G3834</f>
        <v>-0.5</v>
      </c>
      <c r="M3834" s="0" t="n">
        <f aca="false">H3834</f>
        <v>0</v>
      </c>
      <c r="N3834" s="0" t="n">
        <f aca="false">E3834*F3834</f>
        <v>-0.125</v>
      </c>
      <c r="O3834" s="0" t="n">
        <f aca="false">E3834*G3834</f>
        <v>-0.125</v>
      </c>
      <c r="P3834" s="0" t="n">
        <f aca="false">E3834*H3834</f>
        <v>0</v>
      </c>
      <c r="Q3834" s="0" t="n">
        <f aca="false">F3834*G3834</f>
        <v>0.25</v>
      </c>
      <c r="R3834" s="0" t="n">
        <f aca="false">F3834*H3834</f>
        <v>-0</v>
      </c>
      <c r="S3834" s="0" t="n">
        <f aca="false">G3834*H3834</f>
        <v>-0</v>
      </c>
      <c r="T3834" s="0" t="n">
        <f aca="false">E3834*E3834</f>
        <v>0.0625</v>
      </c>
      <c r="U3834" s="0" t="n">
        <f aca="false">F3834*F3834</f>
        <v>0.25</v>
      </c>
      <c r="V3834" s="0" t="n">
        <f aca="false">G3834*G3834</f>
        <v>0.25</v>
      </c>
      <c r="W3834" s="0" t="n">
        <f aca="false">H3834*H3834</f>
        <v>0</v>
      </c>
      <c r="X3834" s="0" t="n">
        <f aca="false">SUMPRODUCT(I3834:W3834,_XtX!$B$96:$P$96)</f>
        <v>45.9115131578947</v>
      </c>
      <c r="Y3834" s="0" t="n">
        <f aca="false">SUMPRODUCT(MMULT(I3834:W3834,_XtX!$B$78:$P$92),I3834:W3834)</f>
        <v>0.132367050438597</v>
      </c>
      <c r="Z3834" s="0" t="n">
        <f aca="false">04_回帰ANOVA!$K$19*04_回帰ANOVA!$K$14*SQRT(1+Y3834)</f>
        <v>1.38704964208329</v>
      </c>
      <c r="AA3834" s="0" t="n">
        <f aca="false">X3834-Z3834</f>
        <v>44.5244635158114</v>
      </c>
      <c r="AB3834" s="0" t="n">
        <f aca="false">X3834+Z3834</f>
        <v>47.298562799978</v>
      </c>
      <c r="AC3834" s="54" t="b">
        <f aca="false">AND(E3834&gt;=01_因子設定!$L$5-0.000000001,E3834&lt;=01_因子設定!$M$5+0.000000001,F3834&gt;=01_因子設定!$L$6-0.000000001,F3834&lt;=01_因子設定!$M$6+0.000000001,G3834&gt;=01_因子設定!$L$7-0.000000001,G3834&lt;=01_因子設定!$M$7+0.000000001,H3834&gt;=01_因子設定!$L$8-0.000000001,H3834&lt;=01_因子設定!$M$8+0.000000001,IF(01_因子設定!$B$20="Box-Behnken",E3834^2+F3834^2+G3834^2+H3834^2&lt;=2+0.000000001,TRUE()))</f>
        <v>1</v>
      </c>
      <c r="AD3834" s="55" t="n">
        <f aca="false">IF(AC3834,IF(01_因子設定!$B$13="最大化",AA3834-01_因子設定!$B$14,IF(01_因子設定!$B$13="最小化",01_因子設定!$B$15-AB3834,MIN(AA3834-01_因子設定!$B$14,01_因子設定!$B$15-AB3834))),-1E+030)</f>
        <v>-1.97553648418862</v>
      </c>
      <c r="AE3834" s="55" t="n">
        <f aca="false">IF(AC3834,IF(01_因子設定!$B$13="最大化",X3834,IF(01_因子設定!$B$13="最小化",-X3834,-ABS(X3834-01_因子設定!$B$16))),-1E+030)</f>
        <v>45.9115131578947</v>
      </c>
      <c r="AF3834" s="55" t="n">
        <f aca="false">AD3834+ROW()*0.000000001</f>
        <v>-1.97553265018862</v>
      </c>
      <c r="AG3834" s="55" t="n">
        <f aca="false">AE3834+ROW()*0.000000001</f>
        <v>45.9115169918947</v>
      </c>
    </row>
    <row r="3835" customFormat="false" ht="15" hidden="false" customHeight="false" outlineLevel="0" collapsed="false">
      <c r="A3835" s="0" t="n">
        <v>5</v>
      </c>
      <c r="B3835" s="0" t="n">
        <v>2</v>
      </c>
      <c r="C3835" s="0" t="n">
        <v>2</v>
      </c>
      <c r="D3835" s="0" t="n">
        <v>5</v>
      </c>
      <c r="E3835" s="0" t="n">
        <f aca="false">-1+A3835*0.25</f>
        <v>0.25</v>
      </c>
      <c r="F3835" s="0" t="n">
        <f aca="false">-1+B3835*0.25</f>
        <v>-0.5</v>
      </c>
      <c r="G3835" s="0" t="n">
        <f aca="false">-1+C3835*0.25</f>
        <v>-0.5</v>
      </c>
      <c r="H3835" s="0" t="n">
        <f aca="false">-1+D3835*0.25</f>
        <v>0.25</v>
      </c>
      <c r="I3835" s="0" t="n">
        <f aca="false">1</f>
        <v>1</v>
      </c>
      <c r="J3835" s="0" t="n">
        <f aca="false">E3835</f>
        <v>0.25</v>
      </c>
      <c r="K3835" s="0" t="n">
        <f aca="false">F3835</f>
        <v>-0.5</v>
      </c>
      <c r="L3835" s="0" t="n">
        <f aca="false">G3835</f>
        <v>-0.5</v>
      </c>
      <c r="M3835" s="0" t="n">
        <f aca="false">H3835</f>
        <v>0.25</v>
      </c>
      <c r="N3835" s="0" t="n">
        <f aca="false">E3835*F3835</f>
        <v>-0.125</v>
      </c>
      <c r="O3835" s="0" t="n">
        <f aca="false">E3835*G3835</f>
        <v>-0.125</v>
      </c>
      <c r="P3835" s="0" t="n">
        <f aca="false">E3835*H3835</f>
        <v>0.0625</v>
      </c>
      <c r="Q3835" s="0" t="n">
        <f aca="false">F3835*G3835</f>
        <v>0.25</v>
      </c>
      <c r="R3835" s="0" t="n">
        <f aca="false">F3835*H3835</f>
        <v>-0.125</v>
      </c>
      <c r="S3835" s="0" t="n">
        <f aca="false">G3835*H3835</f>
        <v>-0.125</v>
      </c>
      <c r="T3835" s="0" t="n">
        <f aca="false">E3835*E3835</f>
        <v>0.0625</v>
      </c>
      <c r="U3835" s="0" t="n">
        <f aca="false">F3835*F3835</f>
        <v>0.25</v>
      </c>
      <c r="V3835" s="0" t="n">
        <f aca="false">G3835*G3835</f>
        <v>0.25</v>
      </c>
      <c r="W3835" s="0" t="n">
        <f aca="false">H3835*H3835</f>
        <v>0.0625</v>
      </c>
      <c r="X3835" s="0" t="n">
        <f aca="false">SUMPRODUCT(I3835:W3835,_XtX!$B$96:$P$96)</f>
        <v>45.9874360380116</v>
      </c>
      <c r="Y3835" s="0" t="n">
        <f aca="false">SUMPRODUCT(MMULT(I3835:W3835,_XtX!$B$78:$P$92),I3835:W3835)</f>
        <v>0.128236647934942</v>
      </c>
      <c r="Z3835" s="0" t="n">
        <f aca="false">04_回帰ANOVA!$K$19*04_回帰ANOVA!$K$14*SQRT(1+Y3835)</f>
        <v>1.38451764188989</v>
      </c>
      <c r="AA3835" s="0" t="n">
        <f aca="false">X3835-Z3835</f>
        <v>44.6029183961218</v>
      </c>
      <c r="AB3835" s="0" t="n">
        <f aca="false">X3835+Z3835</f>
        <v>47.3719536799015</v>
      </c>
      <c r="AC3835" s="54" t="b">
        <f aca="false">AND(E3835&gt;=01_因子設定!$L$5-0.000000001,E3835&lt;=01_因子設定!$M$5+0.000000001,F3835&gt;=01_因子設定!$L$6-0.000000001,F3835&lt;=01_因子設定!$M$6+0.000000001,G3835&gt;=01_因子設定!$L$7-0.000000001,G3835&lt;=01_因子設定!$M$7+0.000000001,H3835&gt;=01_因子設定!$L$8-0.000000001,H3835&lt;=01_因子設定!$M$8+0.000000001,IF(01_因子設定!$B$20="Box-Behnken",E3835^2+F3835^2+G3835^2+H3835^2&lt;=2+0.000000001,TRUE()))</f>
        <v>1</v>
      </c>
      <c r="AD3835" s="55" t="n">
        <f aca="false">IF(AC3835,IF(01_因子設定!$B$13="最大化",AA3835-01_因子設定!$B$14,IF(01_因子設定!$B$13="最小化",01_因子設定!$B$15-AB3835,MIN(AA3835-01_因子設定!$B$14,01_因子設定!$B$15-AB3835))),-1E+030)</f>
        <v>-1.89708160387825</v>
      </c>
      <c r="AE3835" s="55" t="n">
        <f aca="false">IF(AC3835,IF(01_因子設定!$B$13="最大化",X3835,IF(01_因子設定!$B$13="最小化",-X3835,-ABS(X3835-01_因子設定!$B$16))),-1E+030)</f>
        <v>45.9874360380116</v>
      </c>
      <c r="AF3835" s="55" t="n">
        <f aca="false">AD3835+ROW()*0.000000001</f>
        <v>-1.89707776887825</v>
      </c>
      <c r="AG3835" s="55" t="n">
        <f aca="false">AE3835+ROW()*0.000000001</f>
        <v>45.9874398730116</v>
      </c>
    </row>
    <row r="3836" customFormat="false" ht="15" hidden="false" customHeight="false" outlineLevel="0" collapsed="false">
      <c r="A3836" s="0" t="n">
        <v>5</v>
      </c>
      <c r="B3836" s="0" t="n">
        <v>2</v>
      </c>
      <c r="C3836" s="0" t="n">
        <v>2</v>
      </c>
      <c r="D3836" s="0" t="n">
        <v>6</v>
      </c>
      <c r="E3836" s="0" t="n">
        <f aca="false">-1+A3836*0.25</f>
        <v>0.25</v>
      </c>
      <c r="F3836" s="0" t="n">
        <f aca="false">-1+B3836*0.25</f>
        <v>-0.5</v>
      </c>
      <c r="G3836" s="0" t="n">
        <f aca="false">-1+C3836*0.25</f>
        <v>-0.5</v>
      </c>
      <c r="H3836" s="0" t="n">
        <f aca="false">-1+D3836*0.25</f>
        <v>0.5</v>
      </c>
      <c r="I3836" s="0" t="n">
        <f aca="false">1</f>
        <v>1</v>
      </c>
      <c r="J3836" s="0" t="n">
        <f aca="false">E3836</f>
        <v>0.25</v>
      </c>
      <c r="K3836" s="0" t="n">
        <f aca="false">F3836</f>
        <v>-0.5</v>
      </c>
      <c r="L3836" s="0" t="n">
        <f aca="false">G3836</f>
        <v>-0.5</v>
      </c>
      <c r="M3836" s="0" t="n">
        <f aca="false">H3836</f>
        <v>0.5</v>
      </c>
      <c r="N3836" s="0" t="n">
        <f aca="false">E3836*F3836</f>
        <v>-0.125</v>
      </c>
      <c r="O3836" s="0" t="n">
        <f aca="false">E3836*G3836</f>
        <v>-0.125</v>
      </c>
      <c r="P3836" s="0" t="n">
        <f aca="false">E3836*H3836</f>
        <v>0.125</v>
      </c>
      <c r="Q3836" s="0" t="n">
        <f aca="false">F3836*G3836</f>
        <v>0.25</v>
      </c>
      <c r="R3836" s="0" t="n">
        <f aca="false">F3836*H3836</f>
        <v>-0.25</v>
      </c>
      <c r="S3836" s="0" t="n">
        <f aca="false">G3836*H3836</f>
        <v>-0.25</v>
      </c>
      <c r="T3836" s="0" t="n">
        <f aca="false">E3836*E3836</f>
        <v>0.0625</v>
      </c>
      <c r="U3836" s="0" t="n">
        <f aca="false">F3836*F3836</f>
        <v>0.25</v>
      </c>
      <c r="V3836" s="0" t="n">
        <f aca="false">G3836*G3836</f>
        <v>0.25</v>
      </c>
      <c r="W3836" s="0" t="n">
        <f aca="false">H3836*H3836</f>
        <v>0.25</v>
      </c>
      <c r="X3836" s="0" t="n">
        <f aca="false">SUMPRODUCT(I3836:W3836,_XtX!$B$96:$P$96)</f>
        <v>46.0155519005848</v>
      </c>
      <c r="Y3836" s="0" t="n">
        <f aca="false">SUMPRODUCT(MMULT(I3836:W3836,_XtX!$B$78:$P$92),I3836:W3836)</f>
        <v>0.133937545687135</v>
      </c>
      <c r="Z3836" s="0" t="n">
        <f aca="false">04_回帰ANOVA!$K$19*04_回帰ANOVA!$K$14*SQRT(1+Y3836)</f>
        <v>1.38801116780825</v>
      </c>
      <c r="AA3836" s="0" t="n">
        <f aca="false">X3836-Z3836</f>
        <v>44.6275407327765</v>
      </c>
      <c r="AB3836" s="0" t="n">
        <f aca="false">X3836+Z3836</f>
        <v>47.403563068393</v>
      </c>
      <c r="AC3836" s="54" t="b">
        <f aca="false">AND(E3836&gt;=01_因子設定!$L$5-0.000000001,E3836&lt;=01_因子設定!$M$5+0.000000001,F3836&gt;=01_因子設定!$L$6-0.000000001,F3836&lt;=01_因子設定!$M$6+0.000000001,G3836&gt;=01_因子設定!$L$7-0.000000001,G3836&lt;=01_因子設定!$M$7+0.000000001,H3836&gt;=01_因子設定!$L$8-0.000000001,H3836&lt;=01_因子設定!$M$8+0.000000001,IF(01_因子設定!$B$20="Box-Behnken",E3836^2+F3836^2+G3836^2+H3836^2&lt;=2+0.000000001,TRUE()))</f>
        <v>1</v>
      </c>
      <c r="AD3836" s="55" t="n">
        <f aca="false">IF(AC3836,IF(01_因子設定!$B$13="最大化",AA3836-01_因子設定!$B$14,IF(01_因子設定!$B$13="最小化",01_因子設定!$B$15-AB3836,MIN(AA3836-01_因子設定!$B$14,01_因子設定!$B$15-AB3836))),-1E+030)</f>
        <v>-1.8724592672235</v>
      </c>
      <c r="AE3836" s="55" t="n">
        <f aca="false">IF(AC3836,IF(01_因子設定!$B$13="最大化",X3836,IF(01_因子設定!$B$13="最小化",-X3836,-ABS(X3836-01_因子設定!$B$16))),-1E+030)</f>
        <v>46.0155519005848</v>
      </c>
      <c r="AF3836" s="55" t="n">
        <f aca="false">AD3836+ROW()*0.000000001</f>
        <v>-1.8724554312235</v>
      </c>
      <c r="AG3836" s="55" t="n">
        <f aca="false">AE3836+ROW()*0.000000001</f>
        <v>46.0155557365847</v>
      </c>
    </row>
    <row r="3837" customFormat="false" ht="15" hidden="false" customHeight="false" outlineLevel="0" collapsed="false">
      <c r="A3837" s="0" t="n">
        <v>5</v>
      </c>
      <c r="B3837" s="0" t="n">
        <v>2</v>
      </c>
      <c r="C3837" s="0" t="n">
        <v>2</v>
      </c>
      <c r="D3837" s="0" t="n">
        <v>7</v>
      </c>
      <c r="E3837" s="0" t="n">
        <f aca="false">-1+A3837*0.25</f>
        <v>0.25</v>
      </c>
      <c r="F3837" s="0" t="n">
        <f aca="false">-1+B3837*0.25</f>
        <v>-0.5</v>
      </c>
      <c r="G3837" s="0" t="n">
        <f aca="false">-1+C3837*0.25</f>
        <v>-0.5</v>
      </c>
      <c r="H3837" s="0" t="n">
        <f aca="false">-1+D3837*0.25</f>
        <v>0.75</v>
      </c>
      <c r="I3837" s="0" t="n">
        <f aca="false">1</f>
        <v>1</v>
      </c>
      <c r="J3837" s="0" t="n">
        <f aca="false">E3837</f>
        <v>0.25</v>
      </c>
      <c r="K3837" s="0" t="n">
        <f aca="false">F3837</f>
        <v>-0.5</v>
      </c>
      <c r="L3837" s="0" t="n">
        <f aca="false">G3837</f>
        <v>-0.5</v>
      </c>
      <c r="M3837" s="0" t="n">
        <f aca="false">H3837</f>
        <v>0.75</v>
      </c>
      <c r="N3837" s="0" t="n">
        <f aca="false">E3837*F3837</f>
        <v>-0.125</v>
      </c>
      <c r="O3837" s="0" t="n">
        <f aca="false">E3837*G3837</f>
        <v>-0.125</v>
      </c>
      <c r="P3837" s="0" t="n">
        <f aca="false">E3837*H3837</f>
        <v>0.1875</v>
      </c>
      <c r="Q3837" s="0" t="n">
        <f aca="false">F3837*G3837</f>
        <v>0.25</v>
      </c>
      <c r="R3837" s="0" t="n">
        <f aca="false">F3837*H3837</f>
        <v>-0.375</v>
      </c>
      <c r="S3837" s="0" t="n">
        <f aca="false">G3837*H3837</f>
        <v>-0.375</v>
      </c>
      <c r="T3837" s="0" t="n">
        <f aca="false">E3837*E3837</f>
        <v>0.0625</v>
      </c>
      <c r="U3837" s="0" t="n">
        <f aca="false">F3837*F3837</f>
        <v>0.25</v>
      </c>
      <c r="V3837" s="0" t="n">
        <f aca="false">G3837*G3837</f>
        <v>0.25</v>
      </c>
      <c r="W3837" s="0" t="n">
        <f aca="false">H3837*H3837</f>
        <v>0.5625</v>
      </c>
      <c r="X3837" s="0" t="n">
        <f aca="false">SUMPRODUCT(I3837:W3837,_XtX!$B$96:$P$96)</f>
        <v>45.995860745614</v>
      </c>
      <c r="Y3837" s="0" t="n">
        <f aca="false">SUMPRODUCT(MMULT(I3837:W3837,_XtX!$B$78:$P$92),I3837:W3837)</f>
        <v>0.203746059484649</v>
      </c>
      <c r="Z3837" s="0" t="n">
        <f aca="false">04_回帰ANOVA!$K$19*04_回帰ANOVA!$K$14*SQRT(1+Y3837)</f>
        <v>1.43009810755465</v>
      </c>
      <c r="AA3837" s="0" t="n">
        <f aca="false">X3837-Z3837</f>
        <v>44.5657626380594</v>
      </c>
      <c r="AB3837" s="0" t="n">
        <f aca="false">X3837+Z3837</f>
        <v>47.4259588531686</v>
      </c>
      <c r="AC3837" s="54" t="b">
        <f aca="false">AND(E3837&gt;=01_因子設定!$L$5-0.000000001,E3837&lt;=01_因子設定!$M$5+0.000000001,F3837&gt;=01_因子設定!$L$6-0.000000001,F3837&lt;=01_因子設定!$M$6+0.000000001,G3837&gt;=01_因子設定!$L$7-0.000000001,G3837&lt;=01_因子設定!$M$7+0.000000001,H3837&gt;=01_因子設定!$L$8-0.000000001,H3837&lt;=01_因子設定!$M$8+0.000000001,IF(01_因子設定!$B$20="Box-Behnken",E3837^2+F3837^2+G3837^2+H3837^2&lt;=2+0.000000001,TRUE()))</f>
        <v>1</v>
      </c>
      <c r="AD3837" s="55" t="n">
        <f aca="false">IF(AC3837,IF(01_因子設定!$B$13="最大化",AA3837-01_因子設定!$B$14,IF(01_因子設定!$B$13="最小化",01_因子設定!$B$15-AB3837,MIN(AA3837-01_因子設定!$B$14,01_因子設定!$B$15-AB3837))),-1E+030)</f>
        <v>-1.93423736194065</v>
      </c>
      <c r="AE3837" s="55" t="n">
        <f aca="false">IF(AC3837,IF(01_因子設定!$B$13="最大化",X3837,IF(01_因子設定!$B$13="最小化",-X3837,-ABS(X3837-01_因子設定!$B$16))),-1E+030)</f>
        <v>45.995860745614</v>
      </c>
      <c r="AF3837" s="55" t="n">
        <f aca="false">AD3837+ROW()*0.000000001</f>
        <v>-1.93423352494065</v>
      </c>
      <c r="AG3837" s="55" t="n">
        <f aca="false">AE3837+ROW()*0.000000001</f>
        <v>45.995864582614</v>
      </c>
    </row>
    <row r="3838" customFormat="false" ht="15" hidden="false" customHeight="false" outlineLevel="0" collapsed="false">
      <c r="A3838" s="0" t="n">
        <v>5</v>
      </c>
      <c r="B3838" s="0" t="n">
        <v>2</v>
      </c>
      <c r="C3838" s="0" t="n">
        <v>2</v>
      </c>
      <c r="D3838" s="0" t="n">
        <v>8</v>
      </c>
      <c r="E3838" s="0" t="n">
        <f aca="false">-1+A3838*0.25</f>
        <v>0.25</v>
      </c>
      <c r="F3838" s="0" t="n">
        <f aca="false">-1+B3838*0.25</f>
        <v>-0.5</v>
      </c>
      <c r="G3838" s="0" t="n">
        <f aca="false">-1+C3838*0.25</f>
        <v>-0.5</v>
      </c>
      <c r="H3838" s="0" t="n">
        <f aca="false">-1+D3838*0.25</f>
        <v>1</v>
      </c>
      <c r="I3838" s="0" t="n">
        <f aca="false">1</f>
        <v>1</v>
      </c>
      <c r="J3838" s="0" t="n">
        <f aca="false">E3838</f>
        <v>0.25</v>
      </c>
      <c r="K3838" s="0" t="n">
        <f aca="false">F3838</f>
        <v>-0.5</v>
      </c>
      <c r="L3838" s="0" t="n">
        <f aca="false">G3838</f>
        <v>-0.5</v>
      </c>
      <c r="M3838" s="0" t="n">
        <f aca="false">H3838</f>
        <v>1</v>
      </c>
      <c r="N3838" s="0" t="n">
        <f aca="false">E3838*F3838</f>
        <v>-0.125</v>
      </c>
      <c r="O3838" s="0" t="n">
        <f aca="false">E3838*G3838</f>
        <v>-0.125</v>
      </c>
      <c r="P3838" s="0" t="n">
        <f aca="false">E3838*H3838</f>
        <v>0.25</v>
      </c>
      <c r="Q3838" s="0" t="n">
        <f aca="false">F3838*G3838</f>
        <v>0.25</v>
      </c>
      <c r="R3838" s="0" t="n">
        <f aca="false">F3838*H3838</f>
        <v>-0.5</v>
      </c>
      <c r="S3838" s="0" t="n">
        <f aca="false">G3838*H3838</f>
        <v>-0.5</v>
      </c>
      <c r="T3838" s="0" t="n">
        <f aca="false">E3838*E3838</f>
        <v>0.0625</v>
      </c>
      <c r="U3838" s="0" t="n">
        <f aca="false">F3838*F3838</f>
        <v>0.25</v>
      </c>
      <c r="V3838" s="0" t="n">
        <f aca="false">G3838*G3838</f>
        <v>0.25</v>
      </c>
      <c r="W3838" s="0" t="n">
        <f aca="false">H3838*H3838</f>
        <v>1</v>
      </c>
      <c r="X3838" s="0" t="n">
        <f aca="false">SUMPRODUCT(I3838:W3838,_XtX!$B$96:$P$96)</f>
        <v>45.9283625730994</v>
      </c>
      <c r="Y3838" s="0" t="n">
        <f aca="false">SUMPRODUCT(MMULT(I3838:W3838,_XtX!$B$78:$P$92),I3838:W3838)</f>
        <v>0.428122715643275</v>
      </c>
      <c r="Z3838" s="0" t="n">
        <f aca="false">04_回帰ANOVA!$K$19*04_回帰ANOVA!$K$14*SQRT(1+Y3838)</f>
        <v>1.55769044623229</v>
      </c>
      <c r="AA3838" s="0" t="n">
        <f aca="false">X3838-Z3838</f>
        <v>44.3706721268671</v>
      </c>
      <c r="AB3838" s="0" t="n">
        <f aca="false">X3838+Z3838</f>
        <v>47.4860530193317</v>
      </c>
      <c r="AC3838" s="54" t="b">
        <f aca="false">AND(E3838&gt;=01_因子設定!$L$5-0.000000001,E3838&lt;=01_因子設定!$M$5+0.000000001,F3838&gt;=01_因子設定!$L$6-0.000000001,F3838&lt;=01_因子設定!$M$6+0.000000001,G3838&gt;=01_因子設定!$L$7-0.000000001,G3838&lt;=01_因子設定!$M$7+0.000000001,H3838&gt;=01_因子設定!$L$8-0.000000001,H3838&lt;=01_因子設定!$M$8+0.000000001,IF(01_因子設定!$B$20="Box-Behnken",E3838^2+F3838^2+G3838^2+H3838^2&lt;=2+0.000000001,TRUE()))</f>
        <v>1</v>
      </c>
      <c r="AD3838" s="55" t="n">
        <f aca="false">IF(AC3838,IF(01_因子設定!$B$13="最大化",AA3838-01_因子設定!$B$14,IF(01_因子設定!$B$13="最小化",01_因子設定!$B$15-AB3838,MIN(AA3838-01_因子設定!$B$14,01_因子設定!$B$15-AB3838))),-1E+030)</f>
        <v>-2.1293278731329</v>
      </c>
      <c r="AE3838" s="55" t="n">
        <f aca="false">IF(AC3838,IF(01_因子設定!$B$13="最大化",X3838,IF(01_因子設定!$B$13="最小化",-X3838,-ABS(X3838-01_因子設定!$B$16))),-1E+030)</f>
        <v>45.9283625730994</v>
      </c>
      <c r="AF3838" s="55" t="n">
        <f aca="false">AD3838+ROW()*0.000000001</f>
        <v>-2.1293240351329</v>
      </c>
      <c r="AG3838" s="55" t="n">
        <f aca="false">AE3838+ROW()*0.000000001</f>
        <v>45.9283664110994</v>
      </c>
    </row>
    <row r="3839" customFormat="false" ht="15" hidden="false" customHeight="false" outlineLevel="0" collapsed="false">
      <c r="A3839" s="0" t="n">
        <v>5</v>
      </c>
      <c r="B3839" s="0" t="n">
        <v>2</v>
      </c>
      <c r="C3839" s="0" t="n">
        <v>3</v>
      </c>
      <c r="D3839" s="0" t="n">
        <v>0</v>
      </c>
      <c r="E3839" s="0" t="n">
        <f aca="false">-1+A3839*0.25</f>
        <v>0.25</v>
      </c>
      <c r="F3839" s="0" t="n">
        <f aca="false">-1+B3839*0.25</f>
        <v>-0.5</v>
      </c>
      <c r="G3839" s="0" t="n">
        <f aca="false">-1+C3839*0.25</f>
        <v>-0.25</v>
      </c>
      <c r="H3839" s="0" t="n">
        <f aca="false">-1+D3839*0.25</f>
        <v>-1</v>
      </c>
      <c r="I3839" s="0" t="n">
        <f aca="false">1</f>
        <v>1</v>
      </c>
      <c r="J3839" s="0" t="n">
        <f aca="false">E3839</f>
        <v>0.25</v>
      </c>
      <c r="K3839" s="0" t="n">
        <f aca="false">F3839</f>
        <v>-0.5</v>
      </c>
      <c r="L3839" s="0" t="n">
        <f aca="false">G3839</f>
        <v>-0.25</v>
      </c>
      <c r="M3839" s="0" t="n">
        <f aca="false">H3839</f>
        <v>-1</v>
      </c>
      <c r="N3839" s="0" t="n">
        <f aca="false">E3839*F3839</f>
        <v>-0.125</v>
      </c>
      <c r="O3839" s="0" t="n">
        <f aca="false">E3839*G3839</f>
        <v>-0.0625</v>
      </c>
      <c r="P3839" s="0" t="n">
        <f aca="false">E3839*H3839</f>
        <v>-0.25</v>
      </c>
      <c r="Q3839" s="0" t="n">
        <f aca="false">F3839*G3839</f>
        <v>0.125</v>
      </c>
      <c r="R3839" s="0" t="n">
        <f aca="false">F3839*H3839</f>
        <v>0.5</v>
      </c>
      <c r="S3839" s="0" t="n">
        <f aca="false">G3839*H3839</f>
        <v>0.25</v>
      </c>
      <c r="T3839" s="0" t="n">
        <f aca="false">E3839*E3839</f>
        <v>0.0625</v>
      </c>
      <c r="U3839" s="0" t="n">
        <f aca="false">F3839*F3839</f>
        <v>0.25</v>
      </c>
      <c r="V3839" s="0" t="n">
        <f aca="false">G3839*G3839</f>
        <v>0.0625</v>
      </c>
      <c r="W3839" s="0" t="n">
        <f aca="false">H3839*H3839</f>
        <v>1</v>
      </c>
      <c r="X3839" s="0" t="n">
        <f aca="false">SUMPRODUCT(I3839:W3839,_XtX!$B$96:$P$96)</f>
        <v>45.3519828216374</v>
      </c>
      <c r="Y3839" s="0" t="n">
        <f aca="false">SUMPRODUCT(MMULT(I3839:W3839,_XtX!$B$78:$P$92),I3839:W3839)</f>
        <v>0.445705123812135</v>
      </c>
      <c r="Z3839" s="0" t="n">
        <f aca="false">04_回帰ANOVA!$K$19*04_回帰ANOVA!$K$14*SQRT(1+Y3839)</f>
        <v>1.56724990734749</v>
      </c>
      <c r="AA3839" s="0" t="n">
        <f aca="false">X3839-Z3839</f>
        <v>43.7847329142899</v>
      </c>
      <c r="AB3839" s="0" t="n">
        <f aca="false">X3839+Z3839</f>
        <v>46.9192327289849</v>
      </c>
      <c r="AC3839" s="54" t="b">
        <f aca="false">AND(E3839&gt;=01_因子設定!$L$5-0.000000001,E3839&lt;=01_因子設定!$M$5+0.000000001,F3839&gt;=01_因子設定!$L$6-0.000000001,F3839&lt;=01_因子設定!$M$6+0.000000001,G3839&gt;=01_因子設定!$L$7-0.000000001,G3839&lt;=01_因子設定!$M$7+0.000000001,H3839&gt;=01_因子設定!$L$8-0.000000001,H3839&lt;=01_因子設定!$M$8+0.000000001,IF(01_因子設定!$B$20="Box-Behnken",E3839^2+F3839^2+G3839^2+H3839^2&lt;=2+0.000000001,TRUE()))</f>
        <v>1</v>
      </c>
      <c r="AD3839" s="55" t="n">
        <f aca="false">IF(AC3839,IF(01_因子設定!$B$13="最大化",AA3839-01_因子設定!$B$14,IF(01_因子設定!$B$13="最小化",01_因子設定!$B$15-AB3839,MIN(AA3839-01_因子設定!$B$14,01_因子設定!$B$15-AB3839))),-1E+030)</f>
        <v>-2.71526708571008</v>
      </c>
      <c r="AE3839" s="55" t="n">
        <f aca="false">IF(AC3839,IF(01_因子設定!$B$13="最大化",X3839,IF(01_因子設定!$B$13="最小化",-X3839,-ABS(X3839-01_因子設定!$B$16))),-1E+030)</f>
        <v>45.3519828216374</v>
      </c>
      <c r="AF3839" s="55" t="n">
        <f aca="false">AD3839+ROW()*0.000000001</f>
        <v>-2.71526324671008</v>
      </c>
      <c r="AG3839" s="55" t="n">
        <f aca="false">AE3839+ROW()*0.000000001</f>
        <v>45.3519866606374</v>
      </c>
    </row>
    <row r="3840" customFormat="false" ht="15" hidden="false" customHeight="false" outlineLevel="0" collapsed="false">
      <c r="A3840" s="0" t="n">
        <v>5</v>
      </c>
      <c r="B3840" s="0" t="n">
        <v>2</v>
      </c>
      <c r="C3840" s="0" t="n">
        <v>3</v>
      </c>
      <c r="D3840" s="0" t="n">
        <v>1</v>
      </c>
      <c r="E3840" s="0" t="n">
        <f aca="false">-1+A3840*0.25</f>
        <v>0.25</v>
      </c>
      <c r="F3840" s="0" t="n">
        <f aca="false">-1+B3840*0.25</f>
        <v>-0.5</v>
      </c>
      <c r="G3840" s="0" t="n">
        <f aca="false">-1+C3840*0.25</f>
        <v>-0.25</v>
      </c>
      <c r="H3840" s="0" t="n">
        <f aca="false">-1+D3840*0.25</f>
        <v>-0.75</v>
      </c>
      <c r="I3840" s="0" t="n">
        <f aca="false">1</f>
        <v>1</v>
      </c>
      <c r="J3840" s="0" t="n">
        <f aca="false">E3840</f>
        <v>0.25</v>
      </c>
      <c r="K3840" s="0" t="n">
        <f aca="false">F3840</f>
        <v>-0.5</v>
      </c>
      <c r="L3840" s="0" t="n">
        <f aca="false">G3840</f>
        <v>-0.25</v>
      </c>
      <c r="M3840" s="0" t="n">
        <f aca="false">H3840</f>
        <v>-0.75</v>
      </c>
      <c r="N3840" s="0" t="n">
        <f aca="false">E3840*F3840</f>
        <v>-0.125</v>
      </c>
      <c r="O3840" s="0" t="n">
        <f aca="false">E3840*G3840</f>
        <v>-0.0625</v>
      </c>
      <c r="P3840" s="0" t="n">
        <f aca="false">E3840*H3840</f>
        <v>-0.1875</v>
      </c>
      <c r="Q3840" s="0" t="n">
        <f aca="false">F3840*G3840</f>
        <v>0.125</v>
      </c>
      <c r="R3840" s="0" t="n">
        <f aca="false">F3840*H3840</f>
        <v>0.375</v>
      </c>
      <c r="S3840" s="0" t="n">
        <f aca="false">G3840*H3840</f>
        <v>0.1875</v>
      </c>
      <c r="T3840" s="0" t="n">
        <f aca="false">E3840*E3840</f>
        <v>0.0625</v>
      </c>
      <c r="U3840" s="0" t="n">
        <f aca="false">F3840*F3840</f>
        <v>0.25</v>
      </c>
      <c r="V3840" s="0" t="n">
        <f aca="false">G3840*G3840</f>
        <v>0.0625</v>
      </c>
      <c r="W3840" s="0" t="n">
        <f aca="false">H3840*H3840</f>
        <v>0.5625</v>
      </c>
      <c r="X3840" s="0" t="n">
        <f aca="false">SUMPRODUCT(I3840:W3840,_XtX!$B$96:$P$96)</f>
        <v>45.6371025219298</v>
      </c>
      <c r="Y3840" s="0" t="n">
        <f aca="false">SUMPRODUCT(MMULT(I3840:W3840,_XtX!$B$78:$P$92),I3840:W3840)</f>
        <v>0.207746539199561</v>
      </c>
      <c r="Z3840" s="0" t="n">
        <f aca="false">04_回帰ANOVA!$K$19*04_回帰ANOVA!$K$14*SQRT(1+Y3840)</f>
        <v>1.43247250081141</v>
      </c>
      <c r="AA3840" s="0" t="n">
        <f aca="false">X3840-Z3840</f>
        <v>44.2046300211184</v>
      </c>
      <c r="AB3840" s="0" t="n">
        <f aca="false">X3840+Z3840</f>
        <v>47.0695750227412</v>
      </c>
      <c r="AC3840" s="54" t="b">
        <f aca="false">AND(E3840&gt;=01_因子設定!$L$5-0.000000001,E3840&lt;=01_因子設定!$M$5+0.000000001,F3840&gt;=01_因子設定!$L$6-0.000000001,F3840&lt;=01_因子設定!$M$6+0.000000001,G3840&gt;=01_因子設定!$L$7-0.000000001,G3840&lt;=01_因子設定!$M$7+0.000000001,H3840&gt;=01_因子設定!$L$8-0.000000001,H3840&lt;=01_因子設定!$M$8+0.000000001,IF(01_因子設定!$B$20="Box-Behnken",E3840^2+F3840^2+G3840^2+H3840^2&lt;=2+0.000000001,TRUE()))</f>
        <v>1</v>
      </c>
      <c r="AD3840" s="55" t="n">
        <f aca="false">IF(AC3840,IF(01_因子設定!$B$13="最大化",AA3840-01_因子設定!$B$14,IF(01_因子設定!$B$13="最小化",01_因子設定!$B$15-AB3840,MIN(AA3840-01_因子設定!$B$14,01_因子設定!$B$15-AB3840))),-1E+030)</f>
        <v>-2.29536997888162</v>
      </c>
      <c r="AE3840" s="55" t="n">
        <f aca="false">IF(AC3840,IF(01_因子設定!$B$13="最大化",X3840,IF(01_因子設定!$B$13="最小化",-X3840,-ABS(X3840-01_因子設定!$B$16))),-1E+030)</f>
        <v>45.6371025219298</v>
      </c>
      <c r="AF3840" s="55" t="n">
        <f aca="false">AD3840+ROW()*0.000000001</f>
        <v>-2.29536613888162</v>
      </c>
      <c r="AG3840" s="55" t="n">
        <f aca="false">AE3840+ROW()*0.000000001</f>
        <v>45.6371063619298</v>
      </c>
    </row>
    <row r="3841" customFormat="false" ht="15" hidden="false" customHeight="false" outlineLevel="0" collapsed="false">
      <c r="A3841" s="0" t="n">
        <v>5</v>
      </c>
      <c r="B3841" s="0" t="n">
        <v>2</v>
      </c>
      <c r="C3841" s="0" t="n">
        <v>3</v>
      </c>
      <c r="D3841" s="0" t="n">
        <v>2</v>
      </c>
      <c r="E3841" s="0" t="n">
        <f aca="false">-1+A3841*0.25</f>
        <v>0.25</v>
      </c>
      <c r="F3841" s="0" t="n">
        <f aca="false">-1+B3841*0.25</f>
        <v>-0.5</v>
      </c>
      <c r="G3841" s="0" t="n">
        <f aca="false">-1+C3841*0.25</f>
        <v>-0.25</v>
      </c>
      <c r="H3841" s="0" t="n">
        <f aca="false">-1+D3841*0.25</f>
        <v>-0.5</v>
      </c>
      <c r="I3841" s="0" t="n">
        <f aca="false">1</f>
        <v>1</v>
      </c>
      <c r="J3841" s="0" t="n">
        <f aca="false">E3841</f>
        <v>0.25</v>
      </c>
      <c r="K3841" s="0" t="n">
        <f aca="false">F3841</f>
        <v>-0.5</v>
      </c>
      <c r="L3841" s="0" t="n">
        <f aca="false">G3841</f>
        <v>-0.25</v>
      </c>
      <c r="M3841" s="0" t="n">
        <f aca="false">H3841</f>
        <v>-0.5</v>
      </c>
      <c r="N3841" s="0" t="n">
        <f aca="false">E3841*F3841</f>
        <v>-0.125</v>
      </c>
      <c r="O3841" s="0" t="n">
        <f aca="false">E3841*G3841</f>
        <v>-0.0625</v>
      </c>
      <c r="P3841" s="0" t="n">
        <f aca="false">E3841*H3841</f>
        <v>-0.125</v>
      </c>
      <c r="Q3841" s="0" t="n">
        <f aca="false">F3841*G3841</f>
        <v>0.125</v>
      </c>
      <c r="R3841" s="0" t="n">
        <f aca="false">F3841*H3841</f>
        <v>0.25</v>
      </c>
      <c r="S3841" s="0" t="n">
        <f aca="false">G3841*H3841</f>
        <v>0.125</v>
      </c>
      <c r="T3841" s="0" t="n">
        <f aca="false">E3841*E3841</f>
        <v>0.0625</v>
      </c>
      <c r="U3841" s="0" t="n">
        <f aca="false">F3841*F3841</f>
        <v>0.25</v>
      </c>
      <c r="V3841" s="0" t="n">
        <f aca="false">G3841*G3841</f>
        <v>0.0625</v>
      </c>
      <c r="W3841" s="0" t="n">
        <f aca="false">H3841*H3841</f>
        <v>0.25</v>
      </c>
      <c r="X3841" s="0" t="n">
        <f aca="false">SUMPRODUCT(I3841:W3841,_XtX!$B$96:$P$96)</f>
        <v>45.8744152046783</v>
      </c>
      <c r="Y3841" s="0" t="n">
        <f aca="false">SUMPRODUCT(MMULT(I3841:W3841,_XtX!$B$78:$P$92),I3841:W3841)</f>
        <v>0.128236647934942</v>
      </c>
      <c r="Z3841" s="0" t="n">
        <f aca="false">04_回帰ANOVA!$K$19*04_回帰ANOVA!$K$14*SQRT(1+Y3841)</f>
        <v>1.38451764188989</v>
      </c>
      <c r="AA3841" s="0" t="n">
        <f aca="false">X3841-Z3841</f>
        <v>44.4898975627884</v>
      </c>
      <c r="AB3841" s="0" t="n">
        <f aca="false">X3841+Z3841</f>
        <v>47.2589328465682</v>
      </c>
      <c r="AC3841" s="54" t="b">
        <f aca="false">AND(E3841&gt;=01_因子設定!$L$5-0.000000001,E3841&lt;=01_因子設定!$M$5+0.000000001,F3841&gt;=01_因子設定!$L$6-0.000000001,F3841&lt;=01_因子設定!$M$6+0.000000001,G3841&gt;=01_因子設定!$L$7-0.000000001,G3841&lt;=01_因子設定!$M$7+0.000000001,H3841&gt;=01_因子設定!$L$8-0.000000001,H3841&lt;=01_因子設定!$M$8+0.000000001,IF(01_因子設定!$B$20="Box-Behnken",E3841^2+F3841^2+G3841^2+H3841^2&lt;=2+0.000000001,TRUE()))</f>
        <v>1</v>
      </c>
      <c r="AD3841" s="55" t="n">
        <f aca="false">IF(AC3841,IF(01_因子設定!$B$13="最大化",AA3841-01_因子設定!$B$14,IF(01_因子設定!$B$13="最小化",01_因子設定!$B$15-AB3841,MIN(AA3841-01_因子設定!$B$14,01_因子設定!$B$15-AB3841))),-1E+030)</f>
        <v>-2.01010243721157</v>
      </c>
      <c r="AE3841" s="55" t="n">
        <f aca="false">IF(AC3841,IF(01_因子設定!$B$13="最大化",X3841,IF(01_因子設定!$B$13="最小化",-X3841,-ABS(X3841-01_因子設定!$B$16))),-1E+030)</f>
        <v>45.8744152046783</v>
      </c>
      <c r="AF3841" s="55" t="n">
        <f aca="false">AD3841+ROW()*0.000000001</f>
        <v>-2.01009859621157</v>
      </c>
      <c r="AG3841" s="55" t="n">
        <f aca="false">AE3841+ROW()*0.000000001</f>
        <v>45.8744190456783</v>
      </c>
    </row>
    <row r="3842" customFormat="false" ht="15" hidden="false" customHeight="false" outlineLevel="0" collapsed="false">
      <c r="A3842" s="0" t="n">
        <v>5</v>
      </c>
      <c r="B3842" s="0" t="n">
        <v>2</v>
      </c>
      <c r="C3842" s="0" t="n">
        <v>3</v>
      </c>
      <c r="D3842" s="0" t="n">
        <v>3</v>
      </c>
      <c r="E3842" s="0" t="n">
        <f aca="false">-1+A3842*0.25</f>
        <v>0.25</v>
      </c>
      <c r="F3842" s="0" t="n">
        <f aca="false">-1+B3842*0.25</f>
        <v>-0.5</v>
      </c>
      <c r="G3842" s="0" t="n">
        <f aca="false">-1+C3842*0.25</f>
        <v>-0.25</v>
      </c>
      <c r="H3842" s="0" t="n">
        <f aca="false">-1+D3842*0.25</f>
        <v>-0.25</v>
      </c>
      <c r="I3842" s="0" t="n">
        <f aca="false">1</f>
        <v>1</v>
      </c>
      <c r="J3842" s="0" t="n">
        <f aca="false">E3842</f>
        <v>0.25</v>
      </c>
      <c r="K3842" s="0" t="n">
        <f aca="false">F3842</f>
        <v>-0.5</v>
      </c>
      <c r="L3842" s="0" t="n">
        <f aca="false">G3842</f>
        <v>-0.25</v>
      </c>
      <c r="M3842" s="0" t="n">
        <f aca="false">H3842</f>
        <v>-0.25</v>
      </c>
      <c r="N3842" s="0" t="n">
        <f aca="false">E3842*F3842</f>
        <v>-0.125</v>
      </c>
      <c r="O3842" s="0" t="n">
        <f aca="false">E3842*G3842</f>
        <v>-0.0625</v>
      </c>
      <c r="P3842" s="0" t="n">
        <f aca="false">E3842*H3842</f>
        <v>-0.0625</v>
      </c>
      <c r="Q3842" s="0" t="n">
        <f aca="false">F3842*G3842</f>
        <v>0.125</v>
      </c>
      <c r="R3842" s="0" t="n">
        <f aca="false">F3842*H3842</f>
        <v>0.125</v>
      </c>
      <c r="S3842" s="0" t="n">
        <f aca="false">G3842*H3842</f>
        <v>0.0625</v>
      </c>
      <c r="T3842" s="0" t="n">
        <f aca="false">E3842*E3842</f>
        <v>0.0625</v>
      </c>
      <c r="U3842" s="0" t="n">
        <f aca="false">F3842*F3842</f>
        <v>0.25</v>
      </c>
      <c r="V3842" s="0" t="n">
        <f aca="false">G3842*G3842</f>
        <v>0.0625</v>
      </c>
      <c r="W3842" s="0" t="n">
        <f aca="false">H3842*H3842</f>
        <v>0.0625</v>
      </c>
      <c r="X3842" s="0" t="n">
        <f aca="false">SUMPRODUCT(I3842:W3842,_XtX!$B$96:$P$96)</f>
        <v>46.063920869883</v>
      </c>
      <c r="Y3842" s="0" t="n">
        <f aca="false">SUMPRODUCT(MMULT(I3842:W3842,_XtX!$B$78:$P$92),I3842:W3842)</f>
        <v>0.116714923702485</v>
      </c>
      <c r="Z3842" s="0" t="n">
        <f aca="false">04_回帰ANOVA!$K$19*04_回帰ANOVA!$K$14*SQRT(1+Y3842)</f>
        <v>1.37743004820023</v>
      </c>
      <c r="AA3842" s="0" t="n">
        <f aca="false">X3842-Z3842</f>
        <v>44.6864908216828</v>
      </c>
      <c r="AB3842" s="0" t="n">
        <f aca="false">X3842+Z3842</f>
        <v>47.4413509180832</v>
      </c>
      <c r="AC3842" s="54" t="b">
        <f aca="false">AND(E3842&gt;=01_因子設定!$L$5-0.000000001,E3842&lt;=01_因子設定!$M$5+0.000000001,F3842&gt;=01_因子設定!$L$6-0.000000001,F3842&lt;=01_因子設定!$M$6+0.000000001,G3842&gt;=01_因子設定!$L$7-0.000000001,G3842&lt;=01_因子設定!$M$7+0.000000001,H3842&gt;=01_因子設定!$L$8-0.000000001,H3842&lt;=01_因子設定!$M$8+0.000000001,IF(01_因子設定!$B$20="Box-Behnken",E3842^2+F3842^2+G3842^2+H3842^2&lt;=2+0.000000001,TRUE()))</f>
        <v>1</v>
      </c>
      <c r="AD3842" s="55" t="n">
        <f aca="false">IF(AC3842,IF(01_因子設定!$B$13="最大化",AA3842-01_因子設定!$B$14,IF(01_因子設定!$B$13="最小化",01_因子設定!$B$15-AB3842,MIN(AA3842-01_因子設定!$B$14,01_因子設定!$B$15-AB3842))),-1E+030)</f>
        <v>-1.81350917831724</v>
      </c>
      <c r="AE3842" s="55" t="n">
        <f aca="false">IF(AC3842,IF(01_因子設定!$B$13="最大化",X3842,IF(01_因子設定!$B$13="最小化",-X3842,-ABS(X3842-01_因子設定!$B$16))),-1E+030)</f>
        <v>46.063920869883</v>
      </c>
      <c r="AF3842" s="55" t="n">
        <f aca="false">AD3842+ROW()*0.000000001</f>
        <v>-1.81350533631724</v>
      </c>
      <c r="AG3842" s="55" t="n">
        <f aca="false">AE3842+ROW()*0.000000001</f>
        <v>46.063924711883</v>
      </c>
    </row>
    <row r="3843" customFormat="false" ht="15" hidden="false" customHeight="false" outlineLevel="0" collapsed="false">
      <c r="A3843" s="0" t="n">
        <v>5</v>
      </c>
      <c r="B3843" s="0" t="n">
        <v>2</v>
      </c>
      <c r="C3843" s="0" t="n">
        <v>3</v>
      </c>
      <c r="D3843" s="0" t="n">
        <v>4</v>
      </c>
      <c r="E3843" s="0" t="n">
        <f aca="false">-1+A3843*0.25</f>
        <v>0.25</v>
      </c>
      <c r="F3843" s="0" t="n">
        <f aca="false">-1+B3843*0.25</f>
        <v>-0.5</v>
      </c>
      <c r="G3843" s="0" t="n">
        <f aca="false">-1+C3843*0.25</f>
        <v>-0.25</v>
      </c>
      <c r="H3843" s="0" t="n">
        <f aca="false">-1+D3843*0.25</f>
        <v>0</v>
      </c>
      <c r="I3843" s="0" t="n">
        <f aca="false">1</f>
        <v>1</v>
      </c>
      <c r="J3843" s="0" t="n">
        <f aca="false">E3843</f>
        <v>0.25</v>
      </c>
      <c r="K3843" s="0" t="n">
        <f aca="false">F3843</f>
        <v>-0.5</v>
      </c>
      <c r="L3843" s="0" t="n">
        <f aca="false">G3843</f>
        <v>-0.25</v>
      </c>
      <c r="M3843" s="0" t="n">
        <f aca="false">H3843</f>
        <v>0</v>
      </c>
      <c r="N3843" s="0" t="n">
        <f aca="false">E3843*F3843</f>
        <v>-0.125</v>
      </c>
      <c r="O3843" s="0" t="n">
        <f aca="false">E3843*G3843</f>
        <v>-0.0625</v>
      </c>
      <c r="P3843" s="0" t="n">
        <f aca="false">E3843*H3843</f>
        <v>0</v>
      </c>
      <c r="Q3843" s="0" t="n">
        <f aca="false">F3843*G3843</f>
        <v>0.125</v>
      </c>
      <c r="R3843" s="0" t="n">
        <f aca="false">F3843*H3843</f>
        <v>-0</v>
      </c>
      <c r="S3843" s="0" t="n">
        <f aca="false">G3843*H3843</f>
        <v>-0</v>
      </c>
      <c r="T3843" s="0" t="n">
        <f aca="false">E3843*E3843</f>
        <v>0.0625</v>
      </c>
      <c r="U3843" s="0" t="n">
        <f aca="false">F3843*F3843</f>
        <v>0.25</v>
      </c>
      <c r="V3843" s="0" t="n">
        <f aca="false">G3843*G3843</f>
        <v>0.0625</v>
      </c>
      <c r="W3843" s="0" t="n">
        <f aca="false">H3843*H3843</f>
        <v>0</v>
      </c>
      <c r="X3843" s="0" t="n">
        <f aca="false">SUMPRODUCT(I3843:W3843,_XtX!$B$96:$P$96)</f>
        <v>46.2056195175438</v>
      </c>
      <c r="Y3843" s="0" t="n">
        <f aca="false">SUMPRODUCT(MMULT(I3843:W3843,_XtX!$B$78:$P$92),I3843:W3843)</f>
        <v>0.118905050712719</v>
      </c>
      <c r="Z3843" s="0" t="n">
        <f aca="false">04_回帰ANOVA!$K$19*04_回帰ANOVA!$K$14*SQRT(1+Y3843)</f>
        <v>1.37878011033769</v>
      </c>
      <c r="AA3843" s="0" t="n">
        <f aca="false">X3843-Z3843</f>
        <v>44.8268394072061</v>
      </c>
      <c r="AB3843" s="0" t="n">
        <f aca="false">X3843+Z3843</f>
        <v>47.5843996278815</v>
      </c>
      <c r="AC3843" s="54" t="b">
        <f aca="false">AND(E3843&gt;=01_因子設定!$L$5-0.000000001,E3843&lt;=01_因子設定!$M$5+0.000000001,F3843&gt;=01_因子設定!$L$6-0.000000001,F3843&lt;=01_因子設定!$M$6+0.000000001,G3843&gt;=01_因子設定!$L$7-0.000000001,G3843&lt;=01_因子設定!$M$7+0.000000001,H3843&gt;=01_因子設定!$L$8-0.000000001,H3843&lt;=01_因子設定!$M$8+0.000000001,IF(01_因子設定!$B$20="Box-Behnken",E3843^2+F3843^2+G3843^2+H3843^2&lt;=2+0.000000001,TRUE()))</f>
        <v>1</v>
      </c>
      <c r="AD3843" s="55" t="n">
        <f aca="false">IF(AC3843,IF(01_因子設定!$B$13="最大化",AA3843-01_因子設定!$B$14,IF(01_因子設定!$B$13="最小化",01_因子設定!$B$15-AB3843,MIN(AA3843-01_因子設定!$B$14,01_因子設定!$B$15-AB3843))),-1E+030)</f>
        <v>-1.67316059279388</v>
      </c>
      <c r="AE3843" s="55" t="n">
        <f aca="false">IF(AC3843,IF(01_因子設定!$B$13="最大化",X3843,IF(01_因子設定!$B$13="最小化",-X3843,-ABS(X3843-01_因子設定!$B$16))),-1E+030)</f>
        <v>46.2056195175438</v>
      </c>
      <c r="AF3843" s="55" t="n">
        <f aca="false">AD3843+ROW()*0.000000001</f>
        <v>-1.67315674979388</v>
      </c>
      <c r="AG3843" s="55" t="n">
        <f aca="false">AE3843+ROW()*0.000000001</f>
        <v>46.2056233605438</v>
      </c>
    </row>
    <row r="3844" customFormat="false" ht="15" hidden="false" customHeight="false" outlineLevel="0" collapsed="false">
      <c r="A3844" s="0" t="n">
        <v>5</v>
      </c>
      <c r="B3844" s="0" t="n">
        <v>2</v>
      </c>
      <c r="C3844" s="0" t="n">
        <v>3</v>
      </c>
      <c r="D3844" s="0" t="n">
        <v>5</v>
      </c>
      <c r="E3844" s="0" t="n">
        <f aca="false">-1+A3844*0.25</f>
        <v>0.25</v>
      </c>
      <c r="F3844" s="0" t="n">
        <f aca="false">-1+B3844*0.25</f>
        <v>-0.5</v>
      </c>
      <c r="G3844" s="0" t="n">
        <f aca="false">-1+C3844*0.25</f>
        <v>-0.25</v>
      </c>
      <c r="H3844" s="0" t="n">
        <f aca="false">-1+D3844*0.25</f>
        <v>0.25</v>
      </c>
      <c r="I3844" s="0" t="n">
        <f aca="false">1</f>
        <v>1</v>
      </c>
      <c r="J3844" s="0" t="n">
        <f aca="false">E3844</f>
        <v>0.25</v>
      </c>
      <c r="K3844" s="0" t="n">
        <f aca="false">F3844</f>
        <v>-0.5</v>
      </c>
      <c r="L3844" s="0" t="n">
        <f aca="false">G3844</f>
        <v>-0.25</v>
      </c>
      <c r="M3844" s="0" t="n">
        <f aca="false">H3844</f>
        <v>0.25</v>
      </c>
      <c r="N3844" s="0" t="n">
        <f aca="false">E3844*F3844</f>
        <v>-0.125</v>
      </c>
      <c r="O3844" s="0" t="n">
        <f aca="false">E3844*G3844</f>
        <v>-0.0625</v>
      </c>
      <c r="P3844" s="0" t="n">
        <f aca="false">E3844*H3844</f>
        <v>0.0625</v>
      </c>
      <c r="Q3844" s="0" t="n">
        <f aca="false">F3844*G3844</f>
        <v>0.125</v>
      </c>
      <c r="R3844" s="0" t="n">
        <f aca="false">F3844*H3844</f>
        <v>-0.125</v>
      </c>
      <c r="S3844" s="0" t="n">
        <f aca="false">G3844*H3844</f>
        <v>-0.0625</v>
      </c>
      <c r="T3844" s="0" t="n">
        <f aca="false">E3844*E3844</f>
        <v>0.0625</v>
      </c>
      <c r="U3844" s="0" t="n">
        <f aca="false">F3844*F3844</f>
        <v>0.25</v>
      </c>
      <c r="V3844" s="0" t="n">
        <f aca="false">G3844*G3844</f>
        <v>0.0625</v>
      </c>
      <c r="W3844" s="0" t="n">
        <f aca="false">H3844*H3844</f>
        <v>0.0625</v>
      </c>
      <c r="X3844" s="0" t="n">
        <f aca="false">SUMPRODUCT(I3844:W3844,_XtX!$B$96:$P$96)</f>
        <v>46.2995111476608</v>
      </c>
      <c r="Y3844" s="0" t="n">
        <f aca="false">SUMPRODUCT(MMULT(I3844:W3844,_XtX!$B$78:$P$92),I3844:W3844)</f>
        <v>0.116714923702485</v>
      </c>
      <c r="Z3844" s="0" t="n">
        <f aca="false">04_回帰ANOVA!$K$19*04_回帰ANOVA!$K$14*SQRT(1+Y3844)</f>
        <v>1.37743004820023</v>
      </c>
      <c r="AA3844" s="0" t="n">
        <f aca="false">X3844-Z3844</f>
        <v>44.9220810994605</v>
      </c>
      <c r="AB3844" s="0" t="n">
        <f aca="false">X3844+Z3844</f>
        <v>47.676941195861</v>
      </c>
      <c r="AC3844" s="54" t="b">
        <f aca="false">AND(E3844&gt;=01_因子設定!$L$5-0.000000001,E3844&lt;=01_因子設定!$M$5+0.000000001,F3844&gt;=01_因子設定!$L$6-0.000000001,F3844&lt;=01_因子設定!$M$6+0.000000001,G3844&gt;=01_因子設定!$L$7-0.000000001,G3844&lt;=01_因子設定!$M$7+0.000000001,H3844&gt;=01_因子設定!$L$8-0.000000001,H3844&lt;=01_因子設定!$M$8+0.000000001,IF(01_因子設定!$B$20="Box-Behnken",E3844^2+F3844^2+G3844^2+H3844^2&lt;=2+0.000000001,TRUE()))</f>
        <v>1</v>
      </c>
      <c r="AD3844" s="55" t="n">
        <f aca="false">IF(AC3844,IF(01_因子設定!$B$13="最大化",AA3844-01_因子設定!$B$14,IF(01_因子設定!$B$13="最小化",01_因子設定!$B$15-AB3844,MIN(AA3844-01_因子設定!$B$14,01_因子設定!$B$15-AB3844))),-1E+030)</f>
        <v>-1.57791890053947</v>
      </c>
      <c r="AE3844" s="55" t="n">
        <f aca="false">IF(AC3844,IF(01_因子設定!$B$13="最大化",X3844,IF(01_因子設定!$B$13="最小化",-X3844,-ABS(X3844-01_因子設定!$B$16))),-1E+030)</f>
        <v>46.2995111476608</v>
      </c>
      <c r="AF3844" s="55" t="n">
        <f aca="false">AD3844+ROW()*0.000000001</f>
        <v>-1.57791505653947</v>
      </c>
      <c r="AG3844" s="55" t="n">
        <f aca="false">AE3844+ROW()*0.000000001</f>
        <v>46.2995149916608</v>
      </c>
    </row>
    <row r="3845" customFormat="false" ht="15" hidden="false" customHeight="false" outlineLevel="0" collapsed="false">
      <c r="A3845" s="0" t="n">
        <v>5</v>
      </c>
      <c r="B3845" s="0" t="n">
        <v>2</v>
      </c>
      <c r="C3845" s="0" t="n">
        <v>3</v>
      </c>
      <c r="D3845" s="0" t="n">
        <v>6</v>
      </c>
      <c r="E3845" s="0" t="n">
        <f aca="false">-1+A3845*0.25</f>
        <v>0.25</v>
      </c>
      <c r="F3845" s="0" t="n">
        <f aca="false">-1+B3845*0.25</f>
        <v>-0.5</v>
      </c>
      <c r="G3845" s="0" t="n">
        <f aca="false">-1+C3845*0.25</f>
        <v>-0.25</v>
      </c>
      <c r="H3845" s="0" t="n">
        <f aca="false">-1+D3845*0.25</f>
        <v>0.5</v>
      </c>
      <c r="I3845" s="0" t="n">
        <f aca="false">1</f>
        <v>1</v>
      </c>
      <c r="J3845" s="0" t="n">
        <f aca="false">E3845</f>
        <v>0.25</v>
      </c>
      <c r="K3845" s="0" t="n">
        <f aca="false">F3845</f>
        <v>-0.5</v>
      </c>
      <c r="L3845" s="0" t="n">
        <f aca="false">G3845</f>
        <v>-0.25</v>
      </c>
      <c r="M3845" s="0" t="n">
        <f aca="false">H3845</f>
        <v>0.5</v>
      </c>
      <c r="N3845" s="0" t="n">
        <f aca="false">E3845*F3845</f>
        <v>-0.125</v>
      </c>
      <c r="O3845" s="0" t="n">
        <f aca="false">E3845*G3845</f>
        <v>-0.0625</v>
      </c>
      <c r="P3845" s="0" t="n">
        <f aca="false">E3845*H3845</f>
        <v>0.125</v>
      </c>
      <c r="Q3845" s="0" t="n">
        <f aca="false">F3845*G3845</f>
        <v>0.125</v>
      </c>
      <c r="R3845" s="0" t="n">
        <f aca="false">F3845*H3845</f>
        <v>-0.25</v>
      </c>
      <c r="S3845" s="0" t="n">
        <f aca="false">G3845*H3845</f>
        <v>-0.125</v>
      </c>
      <c r="T3845" s="0" t="n">
        <f aca="false">E3845*E3845</f>
        <v>0.0625</v>
      </c>
      <c r="U3845" s="0" t="n">
        <f aca="false">F3845*F3845</f>
        <v>0.25</v>
      </c>
      <c r="V3845" s="0" t="n">
        <f aca="false">G3845*G3845</f>
        <v>0.0625</v>
      </c>
      <c r="W3845" s="0" t="n">
        <f aca="false">H3845*H3845</f>
        <v>0.25</v>
      </c>
      <c r="X3845" s="0" t="n">
        <f aca="false">SUMPRODUCT(I3845:W3845,_XtX!$B$96:$P$96)</f>
        <v>46.3455957602339</v>
      </c>
      <c r="Y3845" s="0" t="n">
        <f aca="false">SUMPRODUCT(MMULT(I3845:W3845,_XtX!$B$78:$P$92),I3845:W3845)</f>
        <v>0.128236647934942</v>
      </c>
      <c r="Z3845" s="0" t="n">
        <f aca="false">04_回帰ANOVA!$K$19*04_回帰ANOVA!$K$14*SQRT(1+Y3845)</f>
        <v>1.38451764188989</v>
      </c>
      <c r="AA3845" s="0" t="n">
        <f aca="false">X3845-Z3845</f>
        <v>44.961078118344</v>
      </c>
      <c r="AB3845" s="0" t="n">
        <f aca="false">X3845+Z3845</f>
        <v>47.7301134021238</v>
      </c>
      <c r="AC3845" s="54" t="b">
        <f aca="false">AND(E3845&gt;=01_因子設定!$L$5-0.000000001,E3845&lt;=01_因子設定!$M$5+0.000000001,F3845&gt;=01_因子設定!$L$6-0.000000001,F3845&lt;=01_因子設定!$M$6+0.000000001,G3845&gt;=01_因子設定!$L$7-0.000000001,G3845&lt;=01_因子設定!$M$7+0.000000001,H3845&gt;=01_因子設定!$L$8-0.000000001,H3845&lt;=01_因子設定!$M$8+0.000000001,IF(01_因子設定!$B$20="Box-Behnken",E3845^2+F3845^2+G3845^2+H3845^2&lt;=2+0.000000001,TRUE()))</f>
        <v>1</v>
      </c>
      <c r="AD3845" s="55" t="n">
        <f aca="false">IF(AC3845,IF(01_因子設定!$B$13="最大化",AA3845-01_因子設定!$B$14,IF(01_因子設定!$B$13="最小化",01_因子設定!$B$15-AB3845,MIN(AA3845-01_因子設定!$B$14,01_因子設定!$B$15-AB3845))),-1E+030)</f>
        <v>-1.53892188165602</v>
      </c>
      <c r="AE3845" s="55" t="n">
        <f aca="false">IF(AC3845,IF(01_因子設定!$B$13="最大化",X3845,IF(01_因子設定!$B$13="最小化",-X3845,-ABS(X3845-01_因子設定!$B$16))),-1E+030)</f>
        <v>46.3455957602339</v>
      </c>
      <c r="AF3845" s="55" t="n">
        <f aca="false">AD3845+ROW()*0.000000001</f>
        <v>-1.53891803665602</v>
      </c>
      <c r="AG3845" s="55" t="n">
        <f aca="false">AE3845+ROW()*0.000000001</f>
        <v>46.3455996052339</v>
      </c>
    </row>
    <row r="3846" customFormat="false" ht="15" hidden="false" customHeight="false" outlineLevel="0" collapsed="false">
      <c r="A3846" s="0" t="n">
        <v>5</v>
      </c>
      <c r="B3846" s="0" t="n">
        <v>2</v>
      </c>
      <c r="C3846" s="0" t="n">
        <v>3</v>
      </c>
      <c r="D3846" s="0" t="n">
        <v>7</v>
      </c>
      <c r="E3846" s="0" t="n">
        <f aca="false">-1+A3846*0.25</f>
        <v>0.25</v>
      </c>
      <c r="F3846" s="0" t="n">
        <f aca="false">-1+B3846*0.25</f>
        <v>-0.5</v>
      </c>
      <c r="G3846" s="0" t="n">
        <f aca="false">-1+C3846*0.25</f>
        <v>-0.25</v>
      </c>
      <c r="H3846" s="0" t="n">
        <f aca="false">-1+D3846*0.25</f>
        <v>0.75</v>
      </c>
      <c r="I3846" s="0" t="n">
        <f aca="false">1</f>
        <v>1</v>
      </c>
      <c r="J3846" s="0" t="n">
        <f aca="false">E3846</f>
        <v>0.25</v>
      </c>
      <c r="K3846" s="0" t="n">
        <f aca="false">F3846</f>
        <v>-0.5</v>
      </c>
      <c r="L3846" s="0" t="n">
        <f aca="false">G3846</f>
        <v>-0.25</v>
      </c>
      <c r="M3846" s="0" t="n">
        <f aca="false">H3846</f>
        <v>0.75</v>
      </c>
      <c r="N3846" s="0" t="n">
        <f aca="false">E3846*F3846</f>
        <v>-0.125</v>
      </c>
      <c r="O3846" s="0" t="n">
        <f aca="false">E3846*G3846</f>
        <v>-0.0625</v>
      </c>
      <c r="P3846" s="0" t="n">
        <f aca="false">E3846*H3846</f>
        <v>0.1875</v>
      </c>
      <c r="Q3846" s="0" t="n">
        <f aca="false">F3846*G3846</f>
        <v>0.125</v>
      </c>
      <c r="R3846" s="0" t="n">
        <f aca="false">F3846*H3846</f>
        <v>-0.375</v>
      </c>
      <c r="S3846" s="0" t="n">
        <f aca="false">G3846*H3846</f>
        <v>-0.1875</v>
      </c>
      <c r="T3846" s="0" t="n">
        <f aca="false">E3846*E3846</f>
        <v>0.0625</v>
      </c>
      <c r="U3846" s="0" t="n">
        <f aca="false">F3846*F3846</f>
        <v>0.25</v>
      </c>
      <c r="V3846" s="0" t="n">
        <f aca="false">G3846*G3846</f>
        <v>0.0625</v>
      </c>
      <c r="W3846" s="0" t="n">
        <f aca="false">H3846*H3846</f>
        <v>0.5625</v>
      </c>
      <c r="X3846" s="0" t="n">
        <f aca="false">SUMPRODUCT(I3846:W3846,_XtX!$B$96:$P$96)</f>
        <v>46.3438733552631</v>
      </c>
      <c r="Y3846" s="0" t="n">
        <f aca="false">SUMPRODUCT(MMULT(I3846:W3846,_XtX!$B$78:$P$92),I3846:W3846)</f>
        <v>0.207746539199561</v>
      </c>
      <c r="Z3846" s="0" t="n">
        <f aca="false">04_回帰ANOVA!$K$19*04_回帰ANOVA!$K$14*SQRT(1+Y3846)</f>
        <v>1.43247250081141</v>
      </c>
      <c r="AA3846" s="0" t="n">
        <f aca="false">X3846-Z3846</f>
        <v>44.9114008544517</v>
      </c>
      <c r="AB3846" s="0" t="n">
        <f aca="false">X3846+Z3846</f>
        <v>47.7763458560745</v>
      </c>
      <c r="AC3846" s="54" t="b">
        <f aca="false">AND(E3846&gt;=01_因子設定!$L$5-0.000000001,E3846&lt;=01_因子設定!$M$5+0.000000001,F3846&gt;=01_因子設定!$L$6-0.000000001,F3846&lt;=01_因子設定!$M$6+0.000000001,G3846&gt;=01_因子設定!$L$7-0.000000001,G3846&lt;=01_因子設定!$M$7+0.000000001,H3846&gt;=01_因子設定!$L$8-0.000000001,H3846&lt;=01_因子設定!$M$8+0.000000001,IF(01_因子設定!$B$20="Box-Behnken",E3846^2+F3846^2+G3846^2+H3846^2&lt;=2+0.000000001,TRUE()))</f>
        <v>1</v>
      </c>
      <c r="AD3846" s="55" t="n">
        <f aca="false">IF(AC3846,IF(01_因子設定!$B$13="最大化",AA3846-01_因子設定!$B$14,IF(01_因子設定!$B$13="最小化",01_因子設定!$B$15-AB3846,MIN(AA3846-01_因子設定!$B$14,01_因子設定!$B$15-AB3846))),-1E+030)</f>
        <v>-1.58859914554829</v>
      </c>
      <c r="AE3846" s="55" t="n">
        <f aca="false">IF(AC3846,IF(01_因子設定!$B$13="最大化",X3846,IF(01_因子設定!$B$13="最小化",-X3846,-ABS(X3846-01_因子設定!$B$16))),-1E+030)</f>
        <v>46.3438733552631</v>
      </c>
      <c r="AF3846" s="55" t="n">
        <f aca="false">AD3846+ROW()*0.000000001</f>
        <v>-1.58859529954829</v>
      </c>
      <c r="AG3846" s="55" t="n">
        <f aca="false">AE3846+ROW()*0.000000001</f>
        <v>46.3438772012631</v>
      </c>
    </row>
    <row r="3847" customFormat="false" ht="15" hidden="false" customHeight="false" outlineLevel="0" collapsed="false">
      <c r="A3847" s="0" t="n">
        <v>5</v>
      </c>
      <c r="B3847" s="0" t="n">
        <v>2</v>
      </c>
      <c r="C3847" s="0" t="n">
        <v>3</v>
      </c>
      <c r="D3847" s="0" t="n">
        <v>8</v>
      </c>
      <c r="E3847" s="0" t="n">
        <f aca="false">-1+A3847*0.25</f>
        <v>0.25</v>
      </c>
      <c r="F3847" s="0" t="n">
        <f aca="false">-1+B3847*0.25</f>
        <v>-0.5</v>
      </c>
      <c r="G3847" s="0" t="n">
        <f aca="false">-1+C3847*0.25</f>
        <v>-0.25</v>
      </c>
      <c r="H3847" s="0" t="n">
        <f aca="false">-1+D3847*0.25</f>
        <v>1</v>
      </c>
      <c r="I3847" s="0" t="n">
        <f aca="false">1</f>
        <v>1</v>
      </c>
      <c r="J3847" s="0" t="n">
        <f aca="false">E3847</f>
        <v>0.25</v>
      </c>
      <c r="K3847" s="0" t="n">
        <f aca="false">F3847</f>
        <v>-0.5</v>
      </c>
      <c r="L3847" s="0" t="n">
        <f aca="false">G3847</f>
        <v>-0.25</v>
      </c>
      <c r="M3847" s="0" t="n">
        <f aca="false">H3847</f>
        <v>1</v>
      </c>
      <c r="N3847" s="0" t="n">
        <f aca="false">E3847*F3847</f>
        <v>-0.125</v>
      </c>
      <c r="O3847" s="0" t="n">
        <f aca="false">E3847*G3847</f>
        <v>-0.0625</v>
      </c>
      <c r="P3847" s="0" t="n">
        <f aca="false">E3847*H3847</f>
        <v>0.25</v>
      </c>
      <c r="Q3847" s="0" t="n">
        <f aca="false">F3847*G3847</f>
        <v>0.125</v>
      </c>
      <c r="R3847" s="0" t="n">
        <f aca="false">F3847*H3847</f>
        <v>-0.5</v>
      </c>
      <c r="S3847" s="0" t="n">
        <f aca="false">G3847*H3847</f>
        <v>-0.25</v>
      </c>
      <c r="T3847" s="0" t="n">
        <f aca="false">E3847*E3847</f>
        <v>0.0625</v>
      </c>
      <c r="U3847" s="0" t="n">
        <f aca="false">F3847*F3847</f>
        <v>0.25</v>
      </c>
      <c r="V3847" s="0" t="n">
        <f aca="false">G3847*G3847</f>
        <v>0.0625</v>
      </c>
      <c r="W3847" s="0" t="n">
        <f aca="false">H3847*H3847</f>
        <v>1</v>
      </c>
      <c r="X3847" s="0" t="n">
        <f aca="false">SUMPRODUCT(I3847:W3847,_XtX!$B$96:$P$96)</f>
        <v>46.2943439327485</v>
      </c>
      <c r="Y3847" s="0" t="n">
        <f aca="false">SUMPRODUCT(MMULT(I3847:W3847,_XtX!$B$78:$P$92),I3847:W3847)</f>
        <v>0.445705123812135</v>
      </c>
      <c r="Z3847" s="0" t="n">
        <f aca="false">04_回帰ANOVA!$K$19*04_回帰ANOVA!$K$14*SQRT(1+Y3847)</f>
        <v>1.56724990734749</v>
      </c>
      <c r="AA3847" s="0" t="n">
        <f aca="false">X3847-Z3847</f>
        <v>44.727094025401</v>
      </c>
      <c r="AB3847" s="0" t="n">
        <f aca="false">X3847+Z3847</f>
        <v>47.861593840096</v>
      </c>
      <c r="AC3847" s="54" t="b">
        <f aca="false">AND(E3847&gt;=01_因子設定!$L$5-0.000000001,E3847&lt;=01_因子設定!$M$5+0.000000001,F3847&gt;=01_因子設定!$L$6-0.000000001,F3847&lt;=01_因子設定!$M$6+0.000000001,G3847&gt;=01_因子設定!$L$7-0.000000001,G3847&lt;=01_因子設定!$M$7+0.000000001,H3847&gt;=01_因子設定!$L$8-0.000000001,H3847&lt;=01_因子設定!$M$8+0.000000001,IF(01_因子設定!$B$20="Box-Behnken",E3847^2+F3847^2+G3847^2+H3847^2&lt;=2+0.000000001,TRUE()))</f>
        <v>1</v>
      </c>
      <c r="AD3847" s="55" t="n">
        <f aca="false">IF(AC3847,IF(01_因子設定!$B$13="最大化",AA3847-01_因子設定!$B$14,IF(01_因子設定!$B$13="最小化",01_因子設定!$B$15-AB3847,MIN(AA3847-01_因子設定!$B$14,01_因子設定!$B$15-AB3847))),-1E+030)</f>
        <v>-1.77290597459898</v>
      </c>
      <c r="AE3847" s="55" t="n">
        <f aca="false">IF(AC3847,IF(01_因子設定!$B$13="最大化",X3847,IF(01_因子設定!$B$13="最小化",-X3847,-ABS(X3847-01_因子設定!$B$16))),-1E+030)</f>
        <v>46.2943439327485</v>
      </c>
      <c r="AF3847" s="55" t="n">
        <f aca="false">AD3847+ROW()*0.000000001</f>
        <v>-1.77290212759898</v>
      </c>
      <c r="AG3847" s="55" t="n">
        <f aca="false">AE3847+ROW()*0.000000001</f>
        <v>46.2943477797485</v>
      </c>
    </row>
    <row r="3848" customFormat="false" ht="15" hidden="false" customHeight="false" outlineLevel="0" collapsed="false">
      <c r="A3848" s="0" t="n">
        <v>5</v>
      </c>
      <c r="B3848" s="0" t="n">
        <v>2</v>
      </c>
      <c r="C3848" s="0" t="n">
        <v>4</v>
      </c>
      <c r="D3848" s="0" t="n">
        <v>0</v>
      </c>
      <c r="E3848" s="0" t="n">
        <f aca="false">-1+A3848*0.25</f>
        <v>0.25</v>
      </c>
      <c r="F3848" s="0" t="n">
        <f aca="false">-1+B3848*0.25</f>
        <v>-0.5</v>
      </c>
      <c r="G3848" s="0" t="n">
        <f aca="false">-1+C3848*0.25</f>
        <v>0</v>
      </c>
      <c r="H3848" s="0" t="n">
        <f aca="false">-1+D3848*0.25</f>
        <v>-1</v>
      </c>
      <c r="I3848" s="0" t="n">
        <f aca="false">1</f>
        <v>1</v>
      </c>
      <c r="J3848" s="0" t="n">
        <f aca="false">E3848</f>
        <v>0.25</v>
      </c>
      <c r="K3848" s="0" t="n">
        <f aca="false">F3848</f>
        <v>-0.5</v>
      </c>
      <c r="L3848" s="0" t="n">
        <f aca="false">G3848</f>
        <v>0</v>
      </c>
      <c r="M3848" s="0" t="n">
        <f aca="false">H3848</f>
        <v>-1</v>
      </c>
      <c r="N3848" s="0" t="n">
        <f aca="false">E3848*F3848</f>
        <v>-0.125</v>
      </c>
      <c r="O3848" s="0" t="n">
        <f aca="false">E3848*G3848</f>
        <v>0</v>
      </c>
      <c r="P3848" s="0" t="n">
        <f aca="false">E3848*H3848</f>
        <v>-0.25</v>
      </c>
      <c r="Q3848" s="0" t="n">
        <f aca="false">F3848*G3848</f>
        <v>-0</v>
      </c>
      <c r="R3848" s="0" t="n">
        <f aca="false">F3848*H3848</f>
        <v>0.5</v>
      </c>
      <c r="S3848" s="0" t="n">
        <f aca="false">G3848*H3848</f>
        <v>-0</v>
      </c>
      <c r="T3848" s="0" t="n">
        <f aca="false">E3848*E3848</f>
        <v>0.0625</v>
      </c>
      <c r="U3848" s="0" t="n">
        <f aca="false">F3848*F3848</f>
        <v>0.25</v>
      </c>
      <c r="V3848" s="0" t="n">
        <f aca="false">G3848*G3848</f>
        <v>0</v>
      </c>
      <c r="W3848" s="0" t="n">
        <f aca="false">H3848*H3848</f>
        <v>1</v>
      </c>
      <c r="X3848" s="0" t="n">
        <f aca="false">SUMPRODUCT(I3848:W3848,_XtX!$B$96:$P$96)</f>
        <v>45.4889071637427</v>
      </c>
      <c r="Y3848" s="0" t="n">
        <f aca="false">SUMPRODUCT(MMULT(I3848:W3848,_XtX!$B$78:$P$92),I3848:W3848)</f>
        <v>0.457596628289474</v>
      </c>
      <c r="Z3848" s="0" t="n">
        <f aca="false">04_回帰ANOVA!$K$19*04_回帰ANOVA!$K$14*SQRT(1+Y3848)</f>
        <v>1.57368233664366</v>
      </c>
      <c r="AA3848" s="0" t="n">
        <f aca="false">X3848-Z3848</f>
        <v>43.915224827099</v>
      </c>
      <c r="AB3848" s="0" t="n">
        <f aca="false">X3848+Z3848</f>
        <v>47.0625895003863</v>
      </c>
      <c r="AC3848" s="54" t="b">
        <f aca="false">AND(E3848&gt;=01_因子設定!$L$5-0.000000001,E3848&lt;=01_因子設定!$M$5+0.000000001,F3848&gt;=01_因子設定!$L$6-0.000000001,F3848&lt;=01_因子設定!$M$6+0.000000001,G3848&gt;=01_因子設定!$L$7-0.000000001,G3848&lt;=01_因子設定!$M$7+0.000000001,H3848&gt;=01_因子設定!$L$8-0.000000001,H3848&lt;=01_因子設定!$M$8+0.000000001,IF(01_因子設定!$B$20="Box-Behnken",E3848^2+F3848^2+G3848^2+H3848^2&lt;=2+0.000000001,TRUE()))</f>
        <v>1</v>
      </c>
      <c r="AD3848" s="55" t="n">
        <f aca="false">IF(AC3848,IF(01_因子設定!$B$13="最大化",AA3848-01_因子設定!$B$14,IF(01_因子設定!$B$13="最小化",01_因子設定!$B$15-AB3848,MIN(AA3848-01_因子設定!$B$14,01_因子設定!$B$15-AB3848))),-1E+030)</f>
        <v>-2.58477517290099</v>
      </c>
      <c r="AE3848" s="55" t="n">
        <f aca="false">IF(AC3848,IF(01_因子設定!$B$13="最大化",X3848,IF(01_因子設定!$B$13="最小化",-X3848,-ABS(X3848-01_因子設定!$B$16))),-1E+030)</f>
        <v>45.4889071637427</v>
      </c>
      <c r="AF3848" s="55" t="n">
        <f aca="false">AD3848+ROW()*0.000000001</f>
        <v>-2.58477132490099</v>
      </c>
      <c r="AG3848" s="55" t="n">
        <f aca="false">AE3848+ROW()*0.000000001</f>
        <v>45.4889110117427</v>
      </c>
    </row>
    <row r="3849" customFormat="false" ht="15" hidden="false" customHeight="false" outlineLevel="0" collapsed="false">
      <c r="A3849" s="0" t="n">
        <v>5</v>
      </c>
      <c r="B3849" s="0" t="n">
        <v>2</v>
      </c>
      <c r="C3849" s="0" t="n">
        <v>4</v>
      </c>
      <c r="D3849" s="0" t="n">
        <v>1</v>
      </c>
      <c r="E3849" s="0" t="n">
        <f aca="false">-1+A3849*0.25</f>
        <v>0.25</v>
      </c>
      <c r="F3849" s="0" t="n">
        <f aca="false">-1+B3849*0.25</f>
        <v>-0.5</v>
      </c>
      <c r="G3849" s="0" t="n">
        <f aca="false">-1+C3849*0.25</f>
        <v>0</v>
      </c>
      <c r="H3849" s="0" t="n">
        <f aca="false">-1+D3849*0.25</f>
        <v>-0.75</v>
      </c>
      <c r="I3849" s="0" t="n">
        <f aca="false">1</f>
        <v>1</v>
      </c>
      <c r="J3849" s="0" t="n">
        <f aca="false">E3849</f>
        <v>0.25</v>
      </c>
      <c r="K3849" s="0" t="n">
        <f aca="false">F3849</f>
        <v>-0.5</v>
      </c>
      <c r="L3849" s="0" t="n">
        <f aca="false">G3849</f>
        <v>0</v>
      </c>
      <c r="M3849" s="0" t="n">
        <f aca="false">H3849</f>
        <v>-0.75</v>
      </c>
      <c r="N3849" s="0" t="n">
        <f aca="false">E3849*F3849</f>
        <v>-0.125</v>
      </c>
      <c r="O3849" s="0" t="n">
        <f aca="false">E3849*G3849</f>
        <v>0</v>
      </c>
      <c r="P3849" s="0" t="n">
        <f aca="false">E3849*H3849</f>
        <v>-0.1875</v>
      </c>
      <c r="Q3849" s="0" t="n">
        <f aca="false">F3849*G3849</f>
        <v>-0</v>
      </c>
      <c r="R3849" s="0" t="n">
        <f aca="false">F3849*H3849</f>
        <v>0.375</v>
      </c>
      <c r="S3849" s="0" t="n">
        <f aca="false">G3849*H3849</f>
        <v>-0</v>
      </c>
      <c r="T3849" s="0" t="n">
        <f aca="false">E3849*E3849</f>
        <v>0.0625</v>
      </c>
      <c r="U3849" s="0" t="n">
        <f aca="false">F3849*F3849</f>
        <v>0.25</v>
      </c>
      <c r="V3849" s="0" t="n">
        <f aca="false">G3849*G3849</f>
        <v>0</v>
      </c>
      <c r="W3849" s="0" t="n">
        <f aca="false">H3849*H3849</f>
        <v>0.5625</v>
      </c>
      <c r="X3849" s="0" t="n">
        <f aca="false">SUMPRODUCT(I3849:W3849,_XtX!$B$96:$P$96)</f>
        <v>45.791995614035</v>
      </c>
      <c r="Y3849" s="0" t="n">
        <f aca="false">SUMPRODUCT(MMULT(I3849:W3849,_XtX!$B$78:$P$92),I3849:W3849)</f>
        <v>0.215110734192252</v>
      </c>
      <c r="Z3849" s="0" t="n">
        <f aca="false">04_回帰ANOVA!$K$19*04_回帰ANOVA!$K$14*SQRT(1+Y3849)</f>
        <v>1.43683309086864</v>
      </c>
      <c r="AA3849" s="0" t="n">
        <f aca="false">X3849-Z3849</f>
        <v>44.3551625231664</v>
      </c>
      <c r="AB3849" s="0" t="n">
        <f aca="false">X3849+Z3849</f>
        <v>47.2288287049037</v>
      </c>
      <c r="AC3849" s="54" t="b">
        <f aca="false">AND(E3849&gt;=01_因子設定!$L$5-0.000000001,E3849&lt;=01_因子設定!$M$5+0.000000001,F3849&gt;=01_因子設定!$L$6-0.000000001,F3849&lt;=01_因子設定!$M$6+0.000000001,G3849&gt;=01_因子設定!$L$7-0.000000001,G3849&lt;=01_因子設定!$M$7+0.000000001,H3849&gt;=01_因子設定!$L$8-0.000000001,H3849&lt;=01_因子設定!$M$8+0.000000001,IF(01_因子設定!$B$20="Box-Behnken",E3849^2+F3849^2+G3849^2+H3849^2&lt;=2+0.000000001,TRUE()))</f>
        <v>1</v>
      </c>
      <c r="AD3849" s="55" t="n">
        <f aca="false">IF(AC3849,IF(01_因子設定!$B$13="最大化",AA3849-01_因子設定!$B$14,IF(01_因子設定!$B$13="最小化",01_因子設定!$B$15-AB3849,MIN(AA3849-01_因子設定!$B$14,01_因子設定!$B$15-AB3849))),-1E+030)</f>
        <v>-2.1448374768336</v>
      </c>
      <c r="AE3849" s="55" t="n">
        <f aca="false">IF(AC3849,IF(01_因子設定!$B$13="最大化",X3849,IF(01_因子設定!$B$13="最小化",-X3849,-ABS(X3849-01_因子設定!$B$16))),-1E+030)</f>
        <v>45.791995614035</v>
      </c>
      <c r="AF3849" s="55" t="n">
        <f aca="false">AD3849+ROW()*0.000000001</f>
        <v>-2.1448336278336</v>
      </c>
      <c r="AG3849" s="55" t="n">
        <f aca="false">AE3849+ROW()*0.000000001</f>
        <v>45.7919994630351</v>
      </c>
    </row>
    <row r="3850" customFormat="false" ht="15" hidden="false" customHeight="false" outlineLevel="0" collapsed="false">
      <c r="A3850" s="0" t="n">
        <v>5</v>
      </c>
      <c r="B3850" s="0" t="n">
        <v>2</v>
      </c>
      <c r="C3850" s="0" t="n">
        <v>4</v>
      </c>
      <c r="D3850" s="0" t="n">
        <v>2</v>
      </c>
      <c r="E3850" s="0" t="n">
        <f aca="false">-1+A3850*0.25</f>
        <v>0.25</v>
      </c>
      <c r="F3850" s="0" t="n">
        <f aca="false">-1+B3850*0.25</f>
        <v>-0.5</v>
      </c>
      <c r="G3850" s="0" t="n">
        <f aca="false">-1+C3850*0.25</f>
        <v>0</v>
      </c>
      <c r="H3850" s="0" t="n">
        <f aca="false">-1+D3850*0.25</f>
        <v>-0.5</v>
      </c>
      <c r="I3850" s="0" t="n">
        <f aca="false">1</f>
        <v>1</v>
      </c>
      <c r="J3850" s="0" t="n">
        <f aca="false">E3850</f>
        <v>0.25</v>
      </c>
      <c r="K3850" s="0" t="n">
        <f aca="false">F3850</f>
        <v>-0.5</v>
      </c>
      <c r="L3850" s="0" t="n">
        <f aca="false">G3850</f>
        <v>0</v>
      </c>
      <c r="M3850" s="0" t="n">
        <f aca="false">H3850</f>
        <v>-0.5</v>
      </c>
      <c r="N3850" s="0" t="n">
        <f aca="false">E3850*F3850</f>
        <v>-0.125</v>
      </c>
      <c r="O3850" s="0" t="n">
        <f aca="false">E3850*G3850</f>
        <v>0</v>
      </c>
      <c r="P3850" s="0" t="n">
        <f aca="false">E3850*H3850</f>
        <v>-0.125</v>
      </c>
      <c r="Q3850" s="0" t="n">
        <f aca="false">F3850*G3850</f>
        <v>-0</v>
      </c>
      <c r="R3850" s="0" t="n">
        <f aca="false">F3850*H3850</f>
        <v>0.25</v>
      </c>
      <c r="S3850" s="0" t="n">
        <f aca="false">G3850*H3850</f>
        <v>-0</v>
      </c>
      <c r="T3850" s="0" t="n">
        <f aca="false">E3850*E3850</f>
        <v>0.0625</v>
      </c>
      <c r="U3850" s="0" t="n">
        <f aca="false">F3850*F3850</f>
        <v>0.25</v>
      </c>
      <c r="V3850" s="0" t="n">
        <f aca="false">G3850*G3850</f>
        <v>0</v>
      </c>
      <c r="W3850" s="0" t="n">
        <f aca="false">H3850*H3850</f>
        <v>0.25</v>
      </c>
      <c r="X3850" s="0" t="n">
        <f aca="false">SUMPRODUCT(I3850:W3850,_XtX!$B$96:$P$96)</f>
        <v>46.0472770467836</v>
      </c>
      <c r="Y3850" s="0" t="n">
        <f aca="false">SUMPRODUCT(MMULT(I3850:W3850,_XtX!$B$78:$P$92),I3850:W3850)</f>
        <v>0.132367050438597</v>
      </c>
      <c r="Z3850" s="0" t="n">
        <f aca="false">04_回帰ANOVA!$K$19*04_回帰ANOVA!$K$14*SQRT(1+Y3850)</f>
        <v>1.38704964208329</v>
      </c>
      <c r="AA3850" s="0" t="n">
        <f aca="false">X3850-Z3850</f>
        <v>44.6602274047003</v>
      </c>
      <c r="AB3850" s="0" t="n">
        <f aca="false">X3850+Z3850</f>
        <v>47.4343266888669</v>
      </c>
      <c r="AC3850" s="54" t="b">
        <f aca="false">AND(E3850&gt;=01_因子設定!$L$5-0.000000001,E3850&lt;=01_因子設定!$M$5+0.000000001,F3850&gt;=01_因子設定!$L$6-0.000000001,F3850&lt;=01_因子設定!$M$6+0.000000001,G3850&gt;=01_因子設定!$L$7-0.000000001,G3850&lt;=01_因子設定!$M$7+0.000000001,H3850&gt;=01_因子設定!$L$8-0.000000001,H3850&lt;=01_因子設定!$M$8+0.000000001,IF(01_因子設定!$B$20="Box-Behnken",E3850^2+F3850^2+G3850^2+H3850^2&lt;=2+0.000000001,TRUE()))</f>
        <v>1</v>
      </c>
      <c r="AD3850" s="55" t="n">
        <f aca="false">IF(AC3850,IF(01_因子設定!$B$13="最大化",AA3850-01_因子設定!$B$14,IF(01_因子設定!$B$13="最小化",01_因子設定!$B$15-AB3850,MIN(AA3850-01_因子設定!$B$14,01_因子設定!$B$15-AB3850))),-1E+030)</f>
        <v>-1.83977259529971</v>
      </c>
      <c r="AE3850" s="55" t="n">
        <f aca="false">IF(AC3850,IF(01_因子設定!$B$13="最大化",X3850,IF(01_因子設定!$B$13="最小化",-X3850,-ABS(X3850-01_因子設定!$B$16))),-1E+030)</f>
        <v>46.0472770467836</v>
      </c>
      <c r="AF3850" s="55" t="n">
        <f aca="false">AD3850+ROW()*0.000000001</f>
        <v>-1.83976874529971</v>
      </c>
      <c r="AG3850" s="55" t="n">
        <f aca="false">AE3850+ROW()*0.000000001</f>
        <v>46.0472808967836</v>
      </c>
    </row>
    <row r="3851" customFormat="false" ht="15" hidden="false" customHeight="false" outlineLevel="0" collapsed="false">
      <c r="A3851" s="0" t="n">
        <v>5</v>
      </c>
      <c r="B3851" s="0" t="n">
        <v>2</v>
      </c>
      <c r="C3851" s="0" t="n">
        <v>4</v>
      </c>
      <c r="D3851" s="0" t="n">
        <v>3</v>
      </c>
      <c r="E3851" s="0" t="n">
        <f aca="false">-1+A3851*0.25</f>
        <v>0.25</v>
      </c>
      <c r="F3851" s="0" t="n">
        <f aca="false">-1+B3851*0.25</f>
        <v>-0.5</v>
      </c>
      <c r="G3851" s="0" t="n">
        <f aca="false">-1+C3851*0.25</f>
        <v>0</v>
      </c>
      <c r="H3851" s="0" t="n">
        <f aca="false">-1+D3851*0.25</f>
        <v>-0.25</v>
      </c>
      <c r="I3851" s="0" t="n">
        <f aca="false">1</f>
        <v>1</v>
      </c>
      <c r="J3851" s="0" t="n">
        <f aca="false">E3851</f>
        <v>0.25</v>
      </c>
      <c r="K3851" s="0" t="n">
        <f aca="false">F3851</f>
        <v>-0.5</v>
      </c>
      <c r="L3851" s="0" t="n">
        <f aca="false">G3851</f>
        <v>0</v>
      </c>
      <c r="M3851" s="0" t="n">
        <f aca="false">H3851</f>
        <v>-0.25</v>
      </c>
      <c r="N3851" s="0" t="n">
        <f aca="false">E3851*F3851</f>
        <v>-0.125</v>
      </c>
      <c r="O3851" s="0" t="n">
        <f aca="false">E3851*G3851</f>
        <v>0</v>
      </c>
      <c r="P3851" s="0" t="n">
        <f aca="false">E3851*H3851</f>
        <v>-0.0625</v>
      </c>
      <c r="Q3851" s="0" t="n">
        <f aca="false">F3851*G3851</f>
        <v>-0</v>
      </c>
      <c r="R3851" s="0" t="n">
        <f aca="false">F3851*H3851</f>
        <v>0.125</v>
      </c>
      <c r="S3851" s="0" t="n">
        <f aca="false">G3851*H3851</f>
        <v>-0</v>
      </c>
      <c r="T3851" s="0" t="n">
        <f aca="false">E3851*E3851</f>
        <v>0.0625</v>
      </c>
      <c r="U3851" s="0" t="n">
        <f aca="false">F3851*F3851</f>
        <v>0.25</v>
      </c>
      <c r="V3851" s="0" t="n">
        <f aca="false">G3851*G3851</f>
        <v>0</v>
      </c>
      <c r="W3851" s="0" t="n">
        <f aca="false">H3851*H3851</f>
        <v>0.0625</v>
      </c>
      <c r="X3851" s="0" t="n">
        <f aca="false">SUMPRODUCT(I3851:W3851,_XtX!$B$96:$P$96)</f>
        <v>46.2547514619882</v>
      </c>
      <c r="Y3851" s="0" t="n">
        <f aca="false">SUMPRODUCT(MMULT(I3851:W3851,_XtX!$B$78:$P$92),I3851:W3851)</f>
        <v>0.118905050712719</v>
      </c>
      <c r="Z3851" s="0" t="n">
        <f aca="false">04_回帰ANOVA!$K$19*04_回帰ANOVA!$K$14*SQRT(1+Y3851)</f>
        <v>1.37878011033769</v>
      </c>
      <c r="AA3851" s="0" t="n">
        <f aca="false">X3851-Z3851</f>
        <v>44.8759713516506</v>
      </c>
      <c r="AB3851" s="0" t="n">
        <f aca="false">X3851+Z3851</f>
        <v>47.6335315723259</v>
      </c>
      <c r="AC3851" s="54" t="b">
        <f aca="false">AND(E3851&gt;=01_因子設定!$L$5-0.000000001,E3851&lt;=01_因子設定!$M$5+0.000000001,F3851&gt;=01_因子設定!$L$6-0.000000001,F3851&lt;=01_因子設定!$M$6+0.000000001,G3851&gt;=01_因子設定!$L$7-0.000000001,G3851&lt;=01_因子設定!$M$7+0.000000001,H3851&gt;=01_因子設定!$L$8-0.000000001,H3851&lt;=01_因子設定!$M$8+0.000000001,IF(01_因子設定!$B$20="Box-Behnken",E3851^2+F3851^2+G3851^2+H3851^2&lt;=2+0.000000001,TRUE()))</f>
        <v>1</v>
      </c>
      <c r="AD3851" s="55" t="n">
        <f aca="false">IF(AC3851,IF(01_因子設定!$B$13="最大化",AA3851-01_因子設定!$B$14,IF(01_因子設定!$B$13="最小化",01_因子設定!$B$15-AB3851,MIN(AA3851-01_因子設定!$B$14,01_因子設定!$B$15-AB3851))),-1E+030)</f>
        <v>-1.62402864834944</v>
      </c>
      <c r="AE3851" s="55" t="n">
        <f aca="false">IF(AC3851,IF(01_因子設定!$B$13="最大化",X3851,IF(01_因子設定!$B$13="最小化",-X3851,-ABS(X3851-01_因子設定!$B$16))),-1E+030)</f>
        <v>46.2547514619882</v>
      </c>
      <c r="AF3851" s="55" t="n">
        <f aca="false">AD3851+ROW()*0.000000001</f>
        <v>-1.62402479734944</v>
      </c>
      <c r="AG3851" s="55" t="n">
        <f aca="false">AE3851+ROW()*0.000000001</f>
        <v>46.2547553129882</v>
      </c>
    </row>
    <row r="3852" customFormat="false" ht="15" hidden="false" customHeight="false" outlineLevel="0" collapsed="false">
      <c r="A3852" s="0" t="n">
        <v>5</v>
      </c>
      <c r="B3852" s="0" t="n">
        <v>2</v>
      </c>
      <c r="C3852" s="0" t="n">
        <v>4</v>
      </c>
      <c r="D3852" s="0" t="n">
        <v>4</v>
      </c>
      <c r="E3852" s="0" t="n">
        <f aca="false">-1+A3852*0.25</f>
        <v>0.25</v>
      </c>
      <c r="F3852" s="0" t="n">
        <f aca="false">-1+B3852*0.25</f>
        <v>-0.5</v>
      </c>
      <c r="G3852" s="0" t="n">
        <f aca="false">-1+C3852*0.25</f>
        <v>0</v>
      </c>
      <c r="H3852" s="0" t="n">
        <f aca="false">-1+D3852*0.25</f>
        <v>0</v>
      </c>
      <c r="I3852" s="0" t="n">
        <f aca="false">1</f>
        <v>1</v>
      </c>
      <c r="J3852" s="0" t="n">
        <f aca="false">E3852</f>
        <v>0.25</v>
      </c>
      <c r="K3852" s="0" t="n">
        <f aca="false">F3852</f>
        <v>-0.5</v>
      </c>
      <c r="L3852" s="0" t="n">
        <f aca="false">G3852</f>
        <v>0</v>
      </c>
      <c r="M3852" s="0" t="n">
        <f aca="false">H3852</f>
        <v>0</v>
      </c>
      <c r="N3852" s="0" t="n">
        <f aca="false">E3852*F3852</f>
        <v>-0.125</v>
      </c>
      <c r="O3852" s="0" t="n">
        <f aca="false">E3852*G3852</f>
        <v>0</v>
      </c>
      <c r="P3852" s="0" t="n">
        <f aca="false">E3852*H3852</f>
        <v>0</v>
      </c>
      <c r="Q3852" s="0" t="n">
        <f aca="false">F3852*G3852</f>
        <v>-0</v>
      </c>
      <c r="R3852" s="0" t="n">
        <f aca="false">F3852*H3852</f>
        <v>-0</v>
      </c>
      <c r="S3852" s="0" t="n">
        <f aca="false">G3852*H3852</f>
        <v>0</v>
      </c>
      <c r="T3852" s="0" t="n">
        <f aca="false">E3852*E3852</f>
        <v>0.0625</v>
      </c>
      <c r="U3852" s="0" t="n">
        <f aca="false">F3852*F3852</f>
        <v>0.25</v>
      </c>
      <c r="V3852" s="0" t="n">
        <f aca="false">G3852*G3852</f>
        <v>0</v>
      </c>
      <c r="W3852" s="0" t="n">
        <f aca="false">H3852*H3852</f>
        <v>0</v>
      </c>
      <c r="X3852" s="0" t="n">
        <f aca="false">SUMPRODUCT(I3852:W3852,_XtX!$B$96:$P$96)</f>
        <v>46.4144188596491</v>
      </c>
      <c r="Y3852" s="0" t="n">
        <f aca="false">SUMPRODUCT(MMULT(I3852:W3852,_XtX!$B$78:$P$92),I3852:W3852)</f>
        <v>0.120448419225146</v>
      </c>
      <c r="Z3852" s="0" t="n">
        <f aca="false">04_回帰ANOVA!$K$19*04_回帰ANOVA!$K$14*SQRT(1+Y3852)</f>
        <v>1.37973069703246</v>
      </c>
      <c r="AA3852" s="0" t="n">
        <f aca="false">X3852-Z3852</f>
        <v>45.0346881626166</v>
      </c>
      <c r="AB3852" s="0" t="n">
        <f aca="false">X3852+Z3852</f>
        <v>47.7941495566815</v>
      </c>
      <c r="AC3852" s="54" t="b">
        <f aca="false">AND(E3852&gt;=01_因子設定!$L$5-0.000000001,E3852&lt;=01_因子設定!$M$5+0.000000001,F3852&gt;=01_因子設定!$L$6-0.000000001,F3852&lt;=01_因子設定!$M$6+0.000000001,G3852&gt;=01_因子設定!$L$7-0.000000001,G3852&lt;=01_因子設定!$M$7+0.000000001,H3852&gt;=01_因子設定!$L$8-0.000000001,H3852&lt;=01_因子設定!$M$8+0.000000001,IF(01_因子設定!$B$20="Box-Behnken",E3852^2+F3852^2+G3852^2+H3852^2&lt;=2+0.000000001,TRUE()))</f>
        <v>1</v>
      </c>
      <c r="AD3852" s="55" t="n">
        <f aca="false">IF(AC3852,IF(01_因子設定!$B$13="最大化",AA3852-01_因子設定!$B$14,IF(01_因子設定!$B$13="最小化",01_因子設定!$B$15-AB3852,MIN(AA3852-01_因子設定!$B$14,01_因子設定!$B$15-AB3852))),-1E+030)</f>
        <v>-1.4653118373834</v>
      </c>
      <c r="AE3852" s="55" t="n">
        <f aca="false">IF(AC3852,IF(01_因子設定!$B$13="最大化",X3852,IF(01_因子設定!$B$13="最小化",-X3852,-ABS(X3852-01_因子設定!$B$16))),-1E+030)</f>
        <v>46.4144188596491</v>
      </c>
      <c r="AF3852" s="55" t="n">
        <f aca="false">AD3852+ROW()*0.000000001</f>
        <v>-1.4653079853834</v>
      </c>
      <c r="AG3852" s="55" t="n">
        <f aca="false">AE3852+ROW()*0.000000001</f>
        <v>46.4144227116491</v>
      </c>
    </row>
    <row r="3853" customFormat="false" ht="15" hidden="false" customHeight="false" outlineLevel="0" collapsed="false">
      <c r="A3853" s="0" t="n">
        <v>5</v>
      </c>
      <c r="B3853" s="0" t="n">
        <v>2</v>
      </c>
      <c r="C3853" s="0" t="n">
        <v>4</v>
      </c>
      <c r="D3853" s="0" t="n">
        <v>5</v>
      </c>
      <c r="E3853" s="0" t="n">
        <f aca="false">-1+A3853*0.25</f>
        <v>0.25</v>
      </c>
      <c r="F3853" s="0" t="n">
        <f aca="false">-1+B3853*0.25</f>
        <v>-0.5</v>
      </c>
      <c r="G3853" s="0" t="n">
        <f aca="false">-1+C3853*0.25</f>
        <v>0</v>
      </c>
      <c r="H3853" s="0" t="n">
        <f aca="false">-1+D3853*0.25</f>
        <v>0.25</v>
      </c>
      <c r="I3853" s="0" t="n">
        <f aca="false">1</f>
        <v>1</v>
      </c>
      <c r="J3853" s="0" t="n">
        <f aca="false">E3853</f>
        <v>0.25</v>
      </c>
      <c r="K3853" s="0" t="n">
        <f aca="false">F3853</f>
        <v>-0.5</v>
      </c>
      <c r="L3853" s="0" t="n">
        <f aca="false">G3853</f>
        <v>0</v>
      </c>
      <c r="M3853" s="0" t="n">
        <f aca="false">H3853</f>
        <v>0.25</v>
      </c>
      <c r="N3853" s="0" t="n">
        <f aca="false">E3853*F3853</f>
        <v>-0.125</v>
      </c>
      <c r="O3853" s="0" t="n">
        <f aca="false">E3853*G3853</f>
        <v>0</v>
      </c>
      <c r="P3853" s="0" t="n">
        <f aca="false">E3853*H3853</f>
        <v>0.0625</v>
      </c>
      <c r="Q3853" s="0" t="n">
        <f aca="false">F3853*G3853</f>
        <v>-0</v>
      </c>
      <c r="R3853" s="0" t="n">
        <f aca="false">F3853*H3853</f>
        <v>-0.125</v>
      </c>
      <c r="S3853" s="0" t="n">
        <f aca="false">G3853*H3853</f>
        <v>0</v>
      </c>
      <c r="T3853" s="0" t="n">
        <f aca="false">E3853*E3853</f>
        <v>0.0625</v>
      </c>
      <c r="U3853" s="0" t="n">
        <f aca="false">F3853*F3853</f>
        <v>0.25</v>
      </c>
      <c r="V3853" s="0" t="n">
        <f aca="false">G3853*G3853</f>
        <v>0</v>
      </c>
      <c r="W3853" s="0" t="n">
        <f aca="false">H3853*H3853</f>
        <v>0.0625</v>
      </c>
      <c r="X3853" s="0" t="n">
        <f aca="false">SUMPRODUCT(I3853:W3853,_XtX!$B$96:$P$96)</f>
        <v>46.526279239766</v>
      </c>
      <c r="Y3853" s="0" t="n">
        <f aca="false">SUMPRODUCT(MMULT(I3853:W3853,_XtX!$B$78:$P$92),I3853:W3853)</f>
        <v>0.118905050712719</v>
      </c>
      <c r="Z3853" s="0" t="n">
        <f aca="false">04_回帰ANOVA!$K$19*04_回帰ANOVA!$K$14*SQRT(1+Y3853)</f>
        <v>1.37878011033769</v>
      </c>
      <c r="AA3853" s="0" t="n">
        <f aca="false">X3853-Z3853</f>
        <v>45.1474991294283</v>
      </c>
      <c r="AB3853" s="0" t="n">
        <f aca="false">X3853+Z3853</f>
        <v>47.9050593501037</v>
      </c>
      <c r="AC3853" s="54" t="b">
        <f aca="false">AND(E3853&gt;=01_因子設定!$L$5-0.000000001,E3853&lt;=01_因子設定!$M$5+0.000000001,F3853&gt;=01_因子設定!$L$6-0.000000001,F3853&lt;=01_因子設定!$M$6+0.000000001,G3853&gt;=01_因子設定!$L$7-0.000000001,G3853&lt;=01_因子設定!$M$7+0.000000001,H3853&gt;=01_因子設定!$L$8-0.000000001,H3853&lt;=01_因子設定!$M$8+0.000000001,IF(01_因子設定!$B$20="Box-Behnken",E3853^2+F3853^2+G3853^2+H3853^2&lt;=2+0.000000001,TRUE()))</f>
        <v>1</v>
      </c>
      <c r="AD3853" s="55" t="n">
        <f aca="false">IF(AC3853,IF(01_因子設定!$B$13="最大化",AA3853-01_因子設定!$B$14,IF(01_因子設定!$B$13="最小化",01_因子設定!$B$15-AB3853,MIN(AA3853-01_因子設定!$B$14,01_因子設定!$B$15-AB3853))),-1E+030)</f>
        <v>-1.35250087057167</v>
      </c>
      <c r="AE3853" s="55" t="n">
        <f aca="false">IF(AC3853,IF(01_因子設定!$B$13="最大化",X3853,IF(01_因子設定!$B$13="最小化",-X3853,-ABS(X3853-01_因子設定!$B$16))),-1E+030)</f>
        <v>46.526279239766</v>
      </c>
      <c r="AF3853" s="55" t="n">
        <f aca="false">AD3853+ROW()*0.000000001</f>
        <v>-1.35249701757167</v>
      </c>
      <c r="AG3853" s="55" t="n">
        <f aca="false">AE3853+ROW()*0.000000001</f>
        <v>46.526283092766</v>
      </c>
    </row>
    <row r="3854" customFormat="false" ht="15" hidden="false" customHeight="false" outlineLevel="0" collapsed="false">
      <c r="A3854" s="0" t="n">
        <v>5</v>
      </c>
      <c r="B3854" s="0" t="n">
        <v>2</v>
      </c>
      <c r="C3854" s="0" t="n">
        <v>4</v>
      </c>
      <c r="D3854" s="0" t="n">
        <v>6</v>
      </c>
      <c r="E3854" s="0" t="n">
        <f aca="false">-1+A3854*0.25</f>
        <v>0.25</v>
      </c>
      <c r="F3854" s="0" t="n">
        <f aca="false">-1+B3854*0.25</f>
        <v>-0.5</v>
      </c>
      <c r="G3854" s="0" t="n">
        <f aca="false">-1+C3854*0.25</f>
        <v>0</v>
      </c>
      <c r="H3854" s="0" t="n">
        <f aca="false">-1+D3854*0.25</f>
        <v>0.5</v>
      </c>
      <c r="I3854" s="0" t="n">
        <f aca="false">1</f>
        <v>1</v>
      </c>
      <c r="J3854" s="0" t="n">
        <f aca="false">E3854</f>
        <v>0.25</v>
      </c>
      <c r="K3854" s="0" t="n">
        <f aca="false">F3854</f>
        <v>-0.5</v>
      </c>
      <c r="L3854" s="0" t="n">
        <f aca="false">G3854</f>
        <v>0</v>
      </c>
      <c r="M3854" s="0" t="n">
        <f aca="false">H3854</f>
        <v>0.5</v>
      </c>
      <c r="N3854" s="0" t="n">
        <f aca="false">E3854*F3854</f>
        <v>-0.125</v>
      </c>
      <c r="O3854" s="0" t="n">
        <f aca="false">E3854*G3854</f>
        <v>0</v>
      </c>
      <c r="P3854" s="0" t="n">
        <f aca="false">E3854*H3854</f>
        <v>0.125</v>
      </c>
      <c r="Q3854" s="0" t="n">
        <f aca="false">F3854*G3854</f>
        <v>-0</v>
      </c>
      <c r="R3854" s="0" t="n">
        <f aca="false">F3854*H3854</f>
        <v>-0.25</v>
      </c>
      <c r="S3854" s="0" t="n">
        <f aca="false">G3854*H3854</f>
        <v>0</v>
      </c>
      <c r="T3854" s="0" t="n">
        <f aca="false">E3854*E3854</f>
        <v>0.0625</v>
      </c>
      <c r="U3854" s="0" t="n">
        <f aca="false">F3854*F3854</f>
        <v>0.25</v>
      </c>
      <c r="V3854" s="0" t="n">
        <f aca="false">G3854*G3854</f>
        <v>0</v>
      </c>
      <c r="W3854" s="0" t="n">
        <f aca="false">H3854*H3854</f>
        <v>0.25</v>
      </c>
      <c r="X3854" s="0" t="n">
        <f aca="false">SUMPRODUCT(I3854:W3854,_XtX!$B$96:$P$96)</f>
        <v>46.5903326023391</v>
      </c>
      <c r="Y3854" s="0" t="n">
        <f aca="false">SUMPRODUCT(MMULT(I3854:W3854,_XtX!$B$78:$P$92),I3854:W3854)</f>
        <v>0.132367050438597</v>
      </c>
      <c r="Z3854" s="0" t="n">
        <f aca="false">04_回帰ANOVA!$K$19*04_回帰ANOVA!$K$14*SQRT(1+Y3854)</f>
        <v>1.38704964208329</v>
      </c>
      <c r="AA3854" s="0" t="n">
        <f aca="false">X3854-Z3854</f>
        <v>45.2032829602558</v>
      </c>
      <c r="AB3854" s="0" t="n">
        <f aca="false">X3854+Z3854</f>
        <v>47.9773822444224</v>
      </c>
      <c r="AC3854" s="54" t="b">
        <f aca="false">AND(E3854&gt;=01_因子設定!$L$5-0.000000001,E3854&lt;=01_因子設定!$M$5+0.000000001,F3854&gt;=01_因子設定!$L$6-0.000000001,F3854&lt;=01_因子設定!$M$6+0.000000001,G3854&gt;=01_因子設定!$L$7-0.000000001,G3854&lt;=01_因子設定!$M$7+0.000000001,H3854&gt;=01_因子設定!$L$8-0.000000001,H3854&lt;=01_因子設定!$M$8+0.000000001,IF(01_因子設定!$B$20="Box-Behnken",E3854^2+F3854^2+G3854^2+H3854^2&lt;=2+0.000000001,TRUE()))</f>
        <v>1</v>
      </c>
      <c r="AD3854" s="55" t="n">
        <f aca="false">IF(AC3854,IF(01_因子設定!$B$13="最大化",AA3854-01_因子設定!$B$14,IF(01_因子設定!$B$13="最小化",01_因子設定!$B$15-AB3854,MIN(AA3854-01_因子設定!$B$14,01_因子設定!$B$15-AB3854))),-1E+030)</f>
        <v>-1.29671703974416</v>
      </c>
      <c r="AE3854" s="55" t="n">
        <f aca="false">IF(AC3854,IF(01_因子設定!$B$13="最大化",X3854,IF(01_因子設定!$B$13="最小化",-X3854,-ABS(X3854-01_因子設定!$B$16))),-1E+030)</f>
        <v>46.5903326023391</v>
      </c>
      <c r="AF3854" s="55" t="n">
        <f aca="false">AD3854+ROW()*0.000000001</f>
        <v>-1.29671318574416</v>
      </c>
      <c r="AG3854" s="55" t="n">
        <f aca="false">AE3854+ROW()*0.000000001</f>
        <v>46.5903364563391</v>
      </c>
    </row>
    <row r="3855" customFormat="false" ht="15" hidden="false" customHeight="false" outlineLevel="0" collapsed="false">
      <c r="A3855" s="0" t="n">
        <v>5</v>
      </c>
      <c r="B3855" s="0" t="n">
        <v>2</v>
      </c>
      <c r="C3855" s="0" t="n">
        <v>4</v>
      </c>
      <c r="D3855" s="0" t="n">
        <v>7</v>
      </c>
      <c r="E3855" s="0" t="n">
        <f aca="false">-1+A3855*0.25</f>
        <v>0.25</v>
      </c>
      <c r="F3855" s="0" t="n">
        <f aca="false">-1+B3855*0.25</f>
        <v>-0.5</v>
      </c>
      <c r="G3855" s="0" t="n">
        <f aca="false">-1+C3855*0.25</f>
        <v>0</v>
      </c>
      <c r="H3855" s="0" t="n">
        <f aca="false">-1+D3855*0.25</f>
        <v>0.75</v>
      </c>
      <c r="I3855" s="0" t="n">
        <f aca="false">1</f>
        <v>1</v>
      </c>
      <c r="J3855" s="0" t="n">
        <f aca="false">E3855</f>
        <v>0.25</v>
      </c>
      <c r="K3855" s="0" t="n">
        <f aca="false">F3855</f>
        <v>-0.5</v>
      </c>
      <c r="L3855" s="0" t="n">
        <f aca="false">G3855</f>
        <v>0</v>
      </c>
      <c r="M3855" s="0" t="n">
        <f aca="false">H3855</f>
        <v>0.75</v>
      </c>
      <c r="N3855" s="0" t="n">
        <f aca="false">E3855*F3855</f>
        <v>-0.125</v>
      </c>
      <c r="O3855" s="0" t="n">
        <f aca="false">E3855*G3855</f>
        <v>0</v>
      </c>
      <c r="P3855" s="0" t="n">
        <f aca="false">E3855*H3855</f>
        <v>0.1875</v>
      </c>
      <c r="Q3855" s="0" t="n">
        <f aca="false">F3855*G3855</f>
        <v>-0</v>
      </c>
      <c r="R3855" s="0" t="n">
        <f aca="false">F3855*H3855</f>
        <v>-0.375</v>
      </c>
      <c r="S3855" s="0" t="n">
        <f aca="false">G3855*H3855</f>
        <v>0</v>
      </c>
      <c r="T3855" s="0" t="n">
        <f aca="false">E3855*E3855</f>
        <v>0.0625</v>
      </c>
      <c r="U3855" s="0" t="n">
        <f aca="false">F3855*F3855</f>
        <v>0.25</v>
      </c>
      <c r="V3855" s="0" t="n">
        <f aca="false">G3855*G3855</f>
        <v>0</v>
      </c>
      <c r="W3855" s="0" t="n">
        <f aca="false">H3855*H3855</f>
        <v>0.5625</v>
      </c>
      <c r="X3855" s="0" t="n">
        <f aca="false">SUMPRODUCT(I3855:W3855,_XtX!$B$96:$P$96)</f>
        <v>46.6065789473684</v>
      </c>
      <c r="Y3855" s="0" t="n">
        <f aca="false">SUMPRODUCT(MMULT(I3855:W3855,_XtX!$B$78:$P$92),I3855:W3855)</f>
        <v>0.215110734192252</v>
      </c>
      <c r="Z3855" s="0" t="n">
        <f aca="false">04_回帰ANOVA!$K$19*04_回帰ANOVA!$K$14*SQRT(1+Y3855)</f>
        <v>1.43683309086864</v>
      </c>
      <c r="AA3855" s="0" t="n">
        <f aca="false">X3855-Z3855</f>
        <v>45.1697458564997</v>
      </c>
      <c r="AB3855" s="0" t="n">
        <f aca="false">X3855+Z3855</f>
        <v>48.043412038237</v>
      </c>
      <c r="AC3855" s="54" t="b">
        <f aca="false">AND(E3855&gt;=01_因子設定!$L$5-0.000000001,E3855&lt;=01_因子設定!$M$5+0.000000001,F3855&gt;=01_因子設定!$L$6-0.000000001,F3855&lt;=01_因子設定!$M$6+0.000000001,G3855&gt;=01_因子設定!$L$7-0.000000001,G3855&lt;=01_因子設定!$M$7+0.000000001,H3855&gt;=01_因子設定!$L$8-0.000000001,H3855&lt;=01_因子設定!$M$8+0.000000001,IF(01_因子設定!$B$20="Box-Behnken",E3855^2+F3855^2+G3855^2+H3855^2&lt;=2+0.000000001,TRUE()))</f>
        <v>1</v>
      </c>
      <c r="AD3855" s="55" t="n">
        <f aca="false">IF(AC3855,IF(01_因子設定!$B$13="最大化",AA3855-01_因子設定!$B$14,IF(01_因子設定!$B$13="最小化",01_因子設定!$B$15-AB3855,MIN(AA3855-01_因子設定!$B$14,01_因子設定!$B$15-AB3855))),-1E+030)</f>
        <v>-1.33025414350026</v>
      </c>
      <c r="AE3855" s="55" t="n">
        <f aca="false">IF(AC3855,IF(01_因子設定!$B$13="最大化",X3855,IF(01_因子設定!$B$13="最小化",-X3855,-ABS(X3855-01_因子設定!$B$16))),-1E+030)</f>
        <v>46.6065789473684</v>
      </c>
      <c r="AF3855" s="55" t="n">
        <f aca="false">AD3855+ROW()*0.000000001</f>
        <v>-1.33025028850026</v>
      </c>
      <c r="AG3855" s="55" t="n">
        <f aca="false">AE3855+ROW()*0.000000001</f>
        <v>46.6065828023684</v>
      </c>
    </row>
    <row r="3856" customFormat="false" ht="15" hidden="false" customHeight="false" outlineLevel="0" collapsed="false">
      <c r="A3856" s="0" t="n">
        <v>5</v>
      </c>
      <c r="B3856" s="0" t="n">
        <v>2</v>
      </c>
      <c r="C3856" s="0" t="n">
        <v>4</v>
      </c>
      <c r="D3856" s="0" t="n">
        <v>8</v>
      </c>
      <c r="E3856" s="0" t="n">
        <f aca="false">-1+A3856*0.25</f>
        <v>0.25</v>
      </c>
      <c r="F3856" s="0" t="n">
        <f aca="false">-1+B3856*0.25</f>
        <v>-0.5</v>
      </c>
      <c r="G3856" s="0" t="n">
        <f aca="false">-1+C3856*0.25</f>
        <v>0</v>
      </c>
      <c r="H3856" s="0" t="n">
        <f aca="false">-1+D3856*0.25</f>
        <v>1</v>
      </c>
      <c r="I3856" s="0" t="n">
        <f aca="false">1</f>
        <v>1</v>
      </c>
      <c r="J3856" s="0" t="n">
        <f aca="false">E3856</f>
        <v>0.25</v>
      </c>
      <c r="K3856" s="0" t="n">
        <f aca="false">F3856</f>
        <v>-0.5</v>
      </c>
      <c r="L3856" s="0" t="n">
        <f aca="false">G3856</f>
        <v>0</v>
      </c>
      <c r="M3856" s="0" t="n">
        <f aca="false">H3856</f>
        <v>1</v>
      </c>
      <c r="N3856" s="0" t="n">
        <f aca="false">E3856*F3856</f>
        <v>-0.125</v>
      </c>
      <c r="O3856" s="0" t="n">
        <f aca="false">E3856*G3856</f>
        <v>0</v>
      </c>
      <c r="P3856" s="0" t="n">
        <f aca="false">E3856*H3856</f>
        <v>0.25</v>
      </c>
      <c r="Q3856" s="0" t="n">
        <f aca="false">F3856*G3856</f>
        <v>-0</v>
      </c>
      <c r="R3856" s="0" t="n">
        <f aca="false">F3856*H3856</f>
        <v>-0.5</v>
      </c>
      <c r="S3856" s="0" t="n">
        <f aca="false">G3856*H3856</f>
        <v>0</v>
      </c>
      <c r="T3856" s="0" t="n">
        <f aca="false">E3856*E3856</f>
        <v>0.0625</v>
      </c>
      <c r="U3856" s="0" t="n">
        <f aca="false">F3856*F3856</f>
        <v>0.25</v>
      </c>
      <c r="V3856" s="0" t="n">
        <f aca="false">G3856*G3856</f>
        <v>0</v>
      </c>
      <c r="W3856" s="0" t="n">
        <f aca="false">H3856*H3856</f>
        <v>1</v>
      </c>
      <c r="X3856" s="0" t="n">
        <f aca="false">SUMPRODUCT(I3856:W3856,_XtX!$B$96:$P$96)</f>
        <v>46.5750182748538</v>
      </c>
      <c r="Y3856" s="0" t="n">
        <f aca="false">SUMPRODUCT(MMULT(I3856:W3856,_XtX!$B$78:$P$92),I3856:W3856)</f>
        <v>0.457596628289474</v>
      </c>
      <c r="Z3856" s="0" t="n">
        <f aca="false">04_回帰ANOVA!$K$19*04_回帰ANOVA!$K$14*SQRT(1+Y3856)</f>
        <v>1.57368233664366</v>
      </c>
      <c r="AA3856" s="0" t="n">
        <f aca="false">X3856-Z3856</f>
        <v>45.0013359382101</v>
      </c>
      <c r="AB3856" s="0" t="n">
        <f aca="false">X3856+Z3856</f>
        <v>48.1487006114974</v>
      </c>
      <c r="AC3856" s="54" t="b">
        <f aca="false">AND(E3856&gt;=01_因子設定!$L$5-0.000000001,E3856&lt;=01_因子設定!$M$5+0.000000001,F3856&gt;=01_因子設定!$L$6-0.000000001,F3856&lt;=01_因子設定!$M$6+0.000000001,G3856&gt;=01_因子設定!$L$7-0.000000001,G3856&lt;=01_因子設定!$M$7+0.000000001,H3856&gt;=01_因子設定!$L$8-0.000000001,H3856&lt;=01_因子設定!$M$8+0.000000001,IF(01_因子設定!$B$20="Box-Behnken",E3856^2+F3856^2+G3856^2+H3856^2&lt;=2+0.000000001,TRUE()))</f>
        <v>1</v>
      </c>
      <c r="AD3856" s="55" t="n">
        <f aca="false">IF(AC3856,IF(01_因子設定!$B$13="最大化",AA3856-01_因子設定!$B$14,IF(01_因子設定!$B$13="最小化",01_因子設定!$B$15-AB3856,MIN(AA3856-01_因子設定!$B$14,01_因子設定!$B$15-AB3856))),-1E+030)</f>
        <v>-1.49866406178988</v>
      </c>
      <c r="AE3856" s="55" t="n">
        <f aca="false">IF(AC3856,IF(01_因子設定!$B$13="最大化",X3856,IF(01_因子設定!$B$13="最小化",-X3856,-ABS(X3856-01_因子設定!$B$16))),-1E+030)</f>
        <v>46.5750182748538</v>
      </c>
      <c r="AF3856" s="55" t="n">
        <f aca="false">AD3856+ROW()*0.000000001</f>
        <v>-1.49866020578988</v>
      </c>
      <c r="AG3856" s="55" t="n">
        <f aca="false">AE3856+ROW()*0.000000001</f>
        <v>46.5750221308538</v>
      </c>
    </row>
    <row r="3857" customFormat="false" ht="15" hidden="false" customHeight="false" outlineLevel="0" collapsed="false">
      <c r="A3857" s="0" t="n">
        <v>5</v>
      </c>
      <c r="B3857" s="0" t="n">
        <v>2</v>
      </c>
      <c r="C3857" s="0" t="n">
        <v>5</v>
      </c>
      <c r="D3857" s="0" t="n">
        <v>0</v>
      </c>
      <c r="E3857" s="0" t="n">
        <f aca="false">-1+A3857*0.25</f>
        <v>0.25</v>
      </c>
      <c r="F3857" s="0" t="n">
        <f aca="false">-1+B3857*0.25</f>
        <v>-0.5</v>
      </c>
      <c r="G3857" s="0" t="n">
        <f aca="false">-1+C3857*0.25</f>
        <v>0.25</v>
      </c>
      <c r="H3857" s="0" t="n">
        <f aca="false">-1+D3857*0.25</f>
        <v>-1</v>
      </c>
      <c r="I3857" s="0" t="n">
        <f aca="false">1</f>
        <v>1</v>
      </c>
      <c r="J3857" s="0" t="n">
        <f aca="false">E3857</f>
        <v>0.25</v>
      </c>
      <c r="K3857" s="0" t="n">
        <f aca="false">F3857</f>
        <v>-0.5</v>
      </c>
      <c r="L3857" s="0" t="n">
        <f aca="false">G3857</f>
        <v>0.25</v>
      </c>
      <c r="M3857" s="0" t="n">
        <f aca="false">H3857</f>
        <v>-1</v>
      </c>
      <c r="N3857" s="0" t="n">
        <f aca="false">E3857*F3857</f>
        <v>-0.125</v>
      </c>
      <c r="O3857" s="0" t="n">
        <f aca="false">E3857*G3857</f>
        <v>0.0625</v>
      </c>
      <c r="P3857" s="0" t="n">
        <f aca="false">E3857*H3857</f>
        <v>-0.25</v>
      </c>
      <c r="Q3857" s="0" t="n">
        <f aca="false">F3857*G3857</f>
        <v>-0.125</v>
      </c>
      <c r="R3857" s="0" t="n">
        <f aca="false">F3857*H3857</f>
        <v>0.5</v>
      </c>
      <c r="S3857" s="0" t="n">
        <f aca="false">G3857*H3857</f>
        <v>-0.25</v>
      </c>
      <c r="T3857" s="0" t="n">
        <f aca="false">E3857*E3857</f>
        <v>0.0625</v>
      </c>
      <c r="U3857" s="0" t="n">
        <f aca="false">F3857*F3857</f>
        <v>0.25</v>
      </c>
      <c r="V3857" s="0" t="n">
        <f aca="false">G3857*G3857</f>
        <v>0.0625</v>
      </c>
      <c r="W3857" s="0" t="n">
        <f aca="false">H3857*H3857</f>
        <v>1</v>
      </c>
      <c r="X3857" s="0" t="n">
        <f aca="false">SUMPRODUCT(I3857:W3857,_XtX!$B$96:$P$96)</f>
        <v>45.5405244883041</v>
      </c>
      <c r="Y3857" s="0" t="n">
        <f aca="false">SUMPRODUCT(MMULT(I3857:W3857,_XtX!$B$78:$P$92),I3857:W3857)</f>
        <v>0.445705123812135</v>
      </c>
      <c r="Z3857" s="0" t="n">
        <f aca="false">04_回帰ANOVA!$K$19*04_回帰ANOVA!$K$14*SQRT(1+Y3857)</f>
        <v>1.56724990734749</v>
      </c>
      <c r="AA3857" s="0" t="n">
        <f aca="false">X3857-Z3857</f>
        <v>43.9732745809566</v>
      </c>
      <c r="AB3857" s="0" t="n">
        <f aca="false">X3857+Z3857</f>
        <v>47.1077743956516</v>
      </c>
      <c r="AC3857" s="54" t="b">
        <f aca="false">AND(E3857&gt;=01_因子設定!$L$5-0.000000001,E3857&lt;=01_因子設定!$M$5+0.000000001,F3857&gt;=01_因子設定!$L$6-0.000000001,F3857&lt;=01_因子設定!$M$6+0.000000001,G3857&gt;=01_因子設定!$L$7-0.000000001,G3857&lt;=01_因子設定!$M$7+0.000000001,H3857&gt;=01_因子設定!$L$8-0.000000001,H3857&lt;=01_因子設定!$M$8+0.000000001,IF(01_因子設定!$B$20="Box-Behnken",E3857^2+F3857^2+G3857^2+H3857^2&lt;=2+0.000000001,TRUE()))</f>
        <v>1</v>
      </c>
      <c r="AD3857" s="55" t="n">
        <f aca="false">IF(AC3857,IF(01_因子設定!$B$13="最大化",AA3857-01_因子設定!$B$14,IF(01_因子設定!$B$13="最小化",01_因子設定!$B$15-AB3857,MIN(AA3857-01_因子設定!$B$14,01_因子設定!$B$15-AB3857))),-1E+030)</f>
        <v>-2.52672541904342</v>
      </c>
      <c r="AE3857" s="55" t="n">
        <f aca="false">IF(AC3857,IF(01_因子設定!$B$13="最大化",X3857,IF(01_因子設定!$B$13="最小化",-X3857,-ABS(X3857-01_因子設定!$B$16))),-1E+030)</f>
        <v>45.5405244883041</v>
      </c>
      <c r="AF3857" s="55" t="n">
        <f aca="false">AD3857+ROW()*0.000000001</f>
        <v>-2.52672156204342</v>
      </c>
      <c r="AG3857" s="55" t="n">
        <f aca="false">AE3857+ROW()*0.000000001</f>
        <v>45.5405283453041</v>
      </c>
    </row>
    <row r="3858" customFormat="false" ht="15" hidden="false" customHeight="false" outlineLevel="0" collapsed="false">
      <c r="A3858" s="0" t="n">
        <v>5</v>
      </c>
      <c r="B3858" s="0" t="n">
        <v>2</v>
      </c>
      <c r="C3858" s="0" t="n">
        <v>5</v>
      </c>
      <c r="D3858" s="0" t="n">
        <v>1</v>
      </c>
      <c r="E3858" s="0" t="n">
        <f aca="false">-1+A3858*0.25</f>
        <v>0.25</v>
      </c>
      <c r="F3858" s="0" t="n">
        <f aca="false">-1+B3858*0.25</f>
        <v>-0.5</v>
      </c>
      <c r="G3858" s="0" t="n">
        <f aca="false">-1+C3858*0.25</f>
        <v>0.25</v>
      </c>
      <c r="H3858" s="0" t="n">
        <f aca="false">-1+D3858*0.25</f>
        <v>-0.75</v>
      </c>
      <c r="I3858" s="0" t="n">
        <f aca="false">1</f>
        <v>1</v>
      </c>
      <c r="J3858" s="0" t="n">
        <f aca="false">E3858</f>
        <v>0.25</v>
      </c>
      <c r="K3858" s="0" t="n">
        <f aca="false">F3858</f>
        <v>-0.5</v>
      </c>
      <c r="L3858" s="0" t="n">
        <f aca="false">G3858</f>
        <v>0.25</v>
      </c>
      <c r="M3858" s="0" t="n">
        <f aca="false">H3858</f>
        <v>-0.75</v>
      </c>
      <c r="N3858" s="0" t="n">
        <f aca="false">E3858*F3858</f>
        <v>-0.125</v>
      </c>
      <c r="O3858" s="0" t="n">
        <f aca="false">E3858*G3858</f>
        <v>0.0625</v>
      </c>
      <c r="P3858" s="0" t="n">
        <f aca="false">E3858*H3858</f>
        <v>-0.1875</v>
      </c>
      <c r="Q3858" s="0" t="n">
        <f aca="false">F3858*G3858</f>
        <v>-0.125</v>
      </c>
      <c r="R3858" s="0" t="n">
        <f aca="false">F3858*H3858</f>
        <v>0.375</v>
      </c>
      <c r="S3858" s="0" t="n">
        <f aca="false">G3858*H3858</f>
        <v>-0.1875</v>
      </c>
      <c r="T3858" s="0" t="n">
        <f aca="false">E3858*E3858</f>
        <v>0.0625</v>
      </c>
      <c r="U3858" s="0" t="n">
        <f aca="false">F3858*F3858</f>
        <v>0.25</v>
      </c>
      <c r="V3858" s="0" t="n">
        <f aca="false">G3858*G3858</f>
        <v>0.0625</v>
      </c>
      <c r="W3858" s="0" t="n">
        <f aca="false">H3858*H3858</f>
        <v>0.5625</v>
      </c>
      <c r="X3858" s="0" t="n">
        <f aca="false">SUMPRODUCT(I3858:W3858,_XtX!$B$96:$P$96)</f>
        <v>45.8615816885965</v>
      </c>
      <c r="Y3858" s="0" t="n">
        <f aca="false">SUMPRODUCT(MMULT(I3858:W3858,_XtX!$B$78:$P$92),I3858:W3858)</f>
        <v>0.207746539199561</v>
      </c>
      <c r="Z3858" s="0" t="n">
        <f aca="false">04_回帰ANOVA!$K$19*04_回帰ANOVA!$K$14*SQRT(1+Y3858)</f>
        <v>1.43247250081141</v>
      </c>
      <c r="AA3858" s="0" t="n">
        <f aca="false">X3858-Z3858</f>
        <v>44.429109187785</v>
      </c>
      <c r="AB3858" s="0" t="n">
        <f aca="false">X3858+Z3858</f>
        <v>47.2940541894079</v>
      </c>
      <c r="AC3858" s="54" t="b">
        <f aca="false">AND(E3858&gt;=01_因子設定!$L$5-0.000000001,E3858&lt;=01_因子設定!$M$5+0.000000001,F3858&gt;=01_因子設定!$L$6-0.000000001,F3858&lt;=01_因子設定!$M$6+0.000000001,G3858&gt;=01_因子設定!$L$7-0.000000001,G3858&lt;=01_因子設定!$M$7+0.000000001,H3858&gt;=01_因子設定!$L$8-0.000000001,H3858&lt;=01_因子設定!$M$8+0.000000001,IF(01_因子設定!$B$20="Box-Behnken",E3858^2+F3858^2+G3858^2+H3858^2&lt;=2+0.000000001,TRUE()))</f>
        <v>1</v>
      </c>
      <c r="AD3858" s="55" t="n">
        <f aca="false">IF(AC3858,IF(01_因子設定!$B$13="最大化",AA3858-01_因子設定!$B$14,IF(01_因子設定!$B$13="最小化",01_因子設定!$B$15-AB3858,MIN(AA3858-01_因子設定!$B$14,01_因子設定!$B$15-AB3858))),-1E+030)</f>
        <v>-2.07089081221496</v>
      </c>
      <c r="AE3858" s="55" t="n">
        <f aca="false">IF(AC3858,IF(01_因子設定!$B$13="最大化",X3858,IF(01_因子設定!$B$13="最小化",-X3858,-ABS(X3858-01_因子設定!$B$16))),-1E+030)</f>
        <v>45.8615816885965</v>
      </c>
      <c r="AF3858" s="55" t="n">
        <f aca="false">AD3858+ROW()*0.000000001</f>
        <v>-2.07088695421496</v>
      </c>
      <c r="AG3858" s="55" t="n">
        <f aca="false">AE3858+ROW()*0.000000001</f>
        <v>45.8615855465965</v>
      </c>
    </row>
    <row r="3859" customFormat="false" ht="15" hidden="false" customHeight="false" outlineLevel="0" collapsed="false">
      <c r="A3859" s="0" t="n">
        <v>5</v>
      </c>
      <c r="B3859" s="0" t="n">
        <v>2</v>
      </c>
      <c r="C3859" s="0" t="n">
        <v>5</v>
      </c>
      <c r="D3859" s="0" t="n">
        <v>2</v>
      </c>
      <c r="E3859" s="0" t="n">
        <f aca="false">-1+A3859*0.25</f>
        <v>0.25</v>
      </c>
      <c r="F3859" s="0" t="n">
        <f aca="false">-1+B3859*0.25</f>
        <v>-0.5</v>
      </c>
      <c r="G3859" s="0" t="n">
        <f aca="false">-1+C3859*0.25</f>
        <v>0.25</v>
      </c>
      <c r="H3859" s="0" t="n">
        <f aca="false">-1+D3859*0.25</f>
        <v>-0.5</v>
      </c>
      <c r="I3859" s="0" t="n">
        <f aca="false">1</f>
        <v>1</v>
      </c>
      <c r="J3859" s="0" t="n">
        <f aca="false">E3859</f>
        <v>0.25</v>
      </c>
      <c r="K3859" s="0" t="n">
        <f aca="false">F3859</f>
        <v>-0.5</v>
      </c>
      <c r="L3859" s="0" t="n">
        <f aca="false">G3859</f>
        <v>0.25</v>
      </c>
      <c r="M3859" s="0" t="n">
        <f aca="false">H3859</f>
        <v>-0.5</v>
      </c>
      <c r="N3859" s="0" t="n">
        <f aca="false">E3859*F3859</f>
        <v>-0.125</v>
      </c>
      <c r="O3859" s="0" t="n">
        <f aca="false">E3859*G3859</f>
        <v>0.0625</v>
      </c>
      <c r="P3859" s="0" t="n">
        <f aca="false">E3859*H3859</f>
        <v>-0.125</v>
      </c>
      <c r="Q3859" s="0" t="n">
        <f aca="false">F3859*G3859</f>
        <v>-0.125</v>
      </c>
      <c r="R3859" s="0" t="n">
        <f aca="false">F3859*H3859</f>
        <v>0.25</v>
      </c>
      <c r="S3859" s="0" t="n">
        <f aca="false">G3859*H3859</f>
        <v>-0.125</v>
      </c>
      <c r="T3859" s="0" t="n">
        <f aca="false">E3859*E3859</f>
        <v>0.0625</v>
      </c>
      <c r="U3859" s="0" t="n">
        <f aca="false">F3859*F3859</f>
        <v>0.25</v>
      </c>
      <c r="V3859" s="0" t="n">
        <f aca="false">G3859*G3859</f>
        <v>0.0625</v>
      </c>
      <c r="W3859" s="0" t="n">
        <f aca="false">H3859*H3859</f>
        <v>0.25</v>
      </c>
      <c r="X3859" s="0" t="n">
        <f aca="false">SUMPRODUCT(I3859:W3859,_XtX!$B$96:$P$96)</f>
        <v>46.134831871345</v>
      </c>
      <c r="Y3859" s="0" t="n">
        <f aca="false">SUMPRODUCT(MMULT(I3859:W3859,_XtX!$B$78:$P$92),I3859:W3859)</f>
        <v>0.128236647934942</v>
      </c>
      <c r="Z3859" s="0" t="n">
        <f aca="false">04_回帰ANOVA!$K$19*04_回帰ANOVA!$K$14*SQRT(1+Y3859)</f>
        <v>1.38451764188989</v>
      </c>
      <c r="AA3859" s="0" t="n">
        <f aca="false">X3859-Z3859</f>
        <v>44.7503142294551</v>
      </c>
      <c r="AB3859" s="0" t="n">
        <f aca="false">X3859+Z3859</f>
        <v>47.5193495132349</v>
      </c>
      <c r="AC3859" s="54" t="b">
        <f aca="false">AND(E3859&gt;=01_因子設定!$L$5-0.000000001,E3859&lt;=01_因子設定!$M$5+0.000000001,F3859&gt;=01_因子設定!$L$6-0.000000001,F3859&lt;=01_因子設定!$M$6+0.000000001,G3859&gt;=01_因子設定!$L$7-0.000000001,G3859&lt;=01_因子設定!$M$7+0.000000001,H3859&gt;=01_因子設定!$L$8-0.000000001,H3859&lt;=01_因子設定!$M$8+0.000000001,IF(01_因子設定!$B$20="Box-Behnken",E3859^2+F3859^2+G3859^2+H3859^2&lt;=2+0.000000001,TRUE()))</f>
        <v>1</v>
      </c>
      <c r="AD3859" s="55" t="n">
        <f aca="false">IF(AC3859,IF(01_因子設定!$B$13="最大化",AA3859-01_因子設定!$B$14,IF(01_因子設定!$B$13="最小化",01_因子設定!$B$15-AB3859,MIN(AA3859-01_因子設定!$B$14,01_因子設定!$B$15-AB3859))),-1E+030)</f>
        <v>-1.74968577054491</v>
      </c>
      <c r="AE3859" s="55" t="n">
        <f aca="false">IF(AC3859,IF(01_因子設定!$B$13="最大化",X3859,IF(01_因子設定!$B$13="最小化",-X3859,-ABS(X3859-01_因子設定!$B$16))),-1E+030)</f>
        <v>46.134831871345</v>
      </c>
      <c r="AF3859" s="55" t="n">
        <f aca="false">AD3859+ROW()*0.000000001</f>
        <v>-1.74968191154491</v>
      </c>
      <c r="AG3859" s="55" t="n">
        <f aca="false">AE3859+ROW()*0.000000001</f>
        <v>46.134835730345</v>
      </c>
    </row>
    <row r="3860" customFormat="false" ht="15" hidden="false" customHeight="false" outlineLevel="0" collapsed="false">
      <c r="A3860" s="0" t="n">
        <v>5</v>
      </c>
      <c r="B3860" s="0" t="n">
        <v>2</v>
      </c>
      <c r="C3860" s="0" t="n">
        <v>5</v>
      </c>
      <c r="D3860" s="0" t="n">
        <v>3</v>
      </c>
      <c r="E3860" s="0" t="n">
        <f aca="false">-1+A3860*0.25</f>
        <v>0.25</v>
      </c>
      <c r="F3860" s="0" t="n">
        <f aca="false">-1+B3860*0.25</f>
        <v>-0.5</v>
      </c>
      <c r="G3860" s="0" t="n">
        <f aca="false">-1+C3860*0.25</f>
        <v>0.25</v>
      </c>
      <c r="H3860" s="0" t="n">
        <f aca="false">-1+D3860*0.25</f>
        <v>-0.25</v>
      </c>
      <c r="I3860" s="0" t="n">
        <f aca="false">1</f>
        <v>1</v>
      </c>
      <c r="J3860" s="0" t="n">
        <f aca="false">E3860</f>
        <v>0.25</v>
      </c>
      <c r="K3860" s="0" t="n">
        <f aca="false">F3860</f>
        <v>-0.5</v>
      </c>
      <c r="L3860" s="0" t="n">
        <f aca="false">G3860</f>
        <v>0.25</v>
      </c>
      <c r="M3860" s="0" t="n">
        <f aca="false">H3860</f>
        <v>-0.25</v>
      </c>
      <c r="N3860" s="0" t="n">
        <f aca="false">E3860*F3860</f>
        <v>-0.125</v>
      </c>
      <c r="O3860" s="0" t="n">
        <f aca="false">E3860*G3860</f>
        <v>0.0625</v>
      </c>
      <c r="P3860" s="0" t="n">
        <f aca="false">E3860*H3860</f>
        <v>-0.0625</v>
      </c>
      <c r="Q3860" s="0" t="n">
        <f aca="false">F3860*G3860</f>
        <v>-0.125</v>
      </c>
      <c r="R3860" s="0" t="n">
        <f aca="false">F3860*H3860</f>
        <v>0.125</v>
      </c>
      <c r="S3860" s="0" t="n">
        <f aca="false">G3860*H3860</f>
        <v>-0.0625</v>
      </c>
      <c r="T3860" s="0" t="n">
        <f aca="false">E3860*E3860</f>
        <v>0.0625</v>
      </c>
      <c r="U3860" s="0" t="n">
        <f aca="false">F3860*F3860</f>
        <v>0.25</v>
      </c>
      <c r="V3860" s="0" t="n">
        <f aca="false">G3860*G3860</f>
        <v>0.0625</v>
      </c>
      <c r="W3860" s="0" t="n">
        <f aca="false">H3860*H3860</f>
        <v>0.0625</v>
      </c>
      <c r="X3860" s="0" t="n">
        <f aca="false">SUMPRODUCT(I3860:W3860,_XtX!$B$96:$P$96)</f>
        <v>46.3602750365497</v>
      </c>
      <c r="Y3860" s="0" t="n">
        <f aca="false">SUMPRODUCT(MMULT(I3860:W3860,_XtX!$B$78:$P$92),I3860:W3860)</f>
        <v>0.116714923702485</v>
      </c>
      <c r="Z3860" s="0" t="n">
        <f aca="false">04_回帰ANOVA!$K$19*04_回帰ANOVA!$K$14*SQRT(1+Y3860)</f>
        <v>1.37743004820023</v>
      </c>
      <c r="AA3860" s="0" t="n">
        <f aca="false">X3860-Z3860</f>
        <v>44.9828449883494</v>
      </c>
      <c r="AB3860" s="0" t="n">
        <f aca="false">X3860+Z3860</f>
        <v>47.7377050847499</v>
      </c>
      <c r="AC3860" s="54" t="b">
        <f aca="false">AND(E3860&gt;=01_因子設定!$L$5-0.000000001,E3860&lt;=01_因子設定!$M$5+0.000000001,F3860&gt;=01_因子設定!$L$6-0.000000001,F3860&lt;=01_因子設定!$M$6+0.000000001,G3860&gt;=01_因子設定!$L$7-0.000000001,G3860&lt;=01_因子設定!$M$7+0.000000001,H3860&gt;=01_因子設定!$L$8-0.000000001,H3860&lt;=01_因子設定!$M$8+0.000000001,IF(01_因子設定!$B$20="Box-Behnken",E3860^2+F3860^2+G3860^2+H3860^2&lt;=2+0.000000001,TRUE()))</f>
        <v>1</v>
      </c>
      <c r="AD3860" s="55" t="n">
        <f aca="false">IF(AC3860,IF(01_因子設定!$B$13="最大化",AA3860-01_因子設定!$B$14,IF(01_因子設定!$B$13="最小化",01_因子設定!$B$15-AB3860,MIN(AA3860-01_因子設定!$B$14,01_因子設定!$B$15-AB3860))),-1E+030)</f>
        <v>-1.51715501165057</v>
      </c>
      <c r="AE3860" s="55" t="n">
        <f aca="false">IF(AC3860,IF(01_因子設定!$B$13="最大化",X3860,IF(01_因子設定!$B$13="最小化",-X3860,-ABS(X3860-01_因子設定!$B$16))),-1E+030)</f>
        <v>46.3602750365497</v>
      </c>
      <c r="AF3860" s="55" t="n">
        <f aca="false">AD3860+ROW()*0.000000001</f>
        <v>-1.51715115165057</v>
      </c>
      <c r="AG3860" s="55" t="n">
        <f aca="false">AE3860+ROW()*0.000000001</f>
        <v>46.3602788965497</v>
      </c>
    </row>
    <row r="3861" customFormat="false" ht="15" hidden="false" customHeight="false" outlineLevel="0" collapsed="false">
      <c r="A3861" s="0" t="n">
        <v>5</v>
      </c>
      <c r="B3861" s="0" t="n">
        <v>2</v>
      </c>
      <c r="C3861" s="0" t="n">
        <v>5</v>
      </c>
      <c r="D3861" s="0" t="n">
        <v>4</v>
      </c>
      <c r="E3861" s="0" t="n">
        <f aca="false">-1+A3861*0.25</f>
        <v>0.25</v>
      </c>
      <c r="F3861" s="0" t="n">
        <f aca="false">-1+B3861*0.25</f>
        <v>-0.5</v>
      </c>
      <c r="G3861" s="0" t="n">
        <f aca="false">-1+C3861*0.25</f>
        <v>0.25</v>
      </c>
      <c r="H3861" s="0" t="n">
        <f aca="false">-1+D3861*0.25</f>
        <v>0</v>
      </c>
      <c r="I3861" s="0" t="n">
        <f aca="false">1</f>
        <v>1</v>
      </c>
      <c r="J3861" s="0" t="n">
        <f aca="false">E3861</f>
        <v>0.25</v>
      </c>
      <c r="K3861" s="0" t="n">
        <f aca="false">F3861</f>
        <v>-0.5</v>
      </c>
      <c r="L3861" s="0" t="n">
        <f aca="false">G3861</f>
        <v>0.25</v>
      </c>
      <c r="M3861" s="0" t="n">
        <f aca="false">H3861</f>
        <v>0</v>
      </c>
      <c r="N3861" s="0" t="n">
        <f aca="false">E3861*F3861</f>
        <v>-0.125</v>
      </c>
      <c r="O3861" s="0" t="n">
        <f aca="false">E3861*G3861</f>
        <v>0.0625</v>
      </c>
      <c r="P3861" s="0" t="n">
        <f aca="false">E3861*H3861</f>
        <v>0</v>
      </c>
      <c r="Q3861" s="0" t="n">
        <f aca="false">F3861*G3861</f>
        <v>-0.125</v>
      </c>
      <c r="R3861" s="0" t="n">
        <f aca="false">F3861*H3861</f>
        <v>-0</v>
      </c>
      <c r="S3861" s="0" t="n">
        <f aca="false">G3861*H3861</f>
        <v>0</v>
      </c>
      <c r="T3861" s="0" t="n">
        <f aca="false">E3861*E3861</f>
        <v>0.0625</v>
      </c>
      <c r="U3861" s="0" t="n">
        <f aca="false">F3861*F3861</f>
        <v>0.25</v>
      </c>
      <c r="V3861" s="0" t="n">
        <f aca="false">G3861*G3861</f>
        <v>0.0625</v>
      </c>
      <c r="W3861" s="0" t="n">
        <f aca="false">H3861*H3861</f>
        <v>0</v>
      </c>
      <c r="X3861" s="0" t="n">
        <f aca="false">SUMPRODUCT(I3861:W3861,_XtX!$B$96:$P$96)</f>
        <v>46.5379111842105</v>
      </c>
      <c r="Y3861" s="0" t="n">
        <f aca="false">SUMPRODUCT(MMULT(I3861:W3861,_XtX!$B$78:$P$92),I3861:W3861)</f>
        <v>0.118905050712719</v>
      </c>
      <c r="Z3861" s="0" t="n">
        <f aca="false">04_回帰ANOVA!$K$19*04_回帰ANOVA!$K$14*SQRT(1+Y3861)</f>
        <v>1.37878011033769</v>
      </c>
      <c r="AA3861" s="0" t="n">
        <f aca="false">X3861-Z3861</f>
        <v>45.1591310738728</v>
      </c>
      <c r="AB3861" s="0" t="n">
        <f aca="false">X3861+Z3861</f>
        <v>47.9166912945482</v>
      </c>
      <c r="AC3861" s="54" t="b">
        <f aca="false">AND(E3861&gt;=01_因子設定!$L$5-0.000000001,E3861&lt;=01_因子設定!$M$5+0.000000001,F3861&gt;=01_因子設定!$L$6-0.000000001,F3861&lt;=01_因子設定!$M$6+0.000000001,G3861&gt;=01_因子設定!$L$7-0.000000001,G3861&lt;=01_因子設定!$M$7+0.000000001,H3861&gt;=01_因子設定!$L$8-0.000000001,H3861&lt;=01_因子設定!$M$8+0.000000001,IF(01_因子設定!$B$20="Box-Behnken",E3861^2+F3861^2+G3861^2+H3861^2&lt;=2+0.000000001,TRUE()))</f>
        <v>1</v>
      </c>
      <c r="AD3861" s="55" t="n">
        <f aca="false">IF(AC3861,IF(01_因子設定!$B$13="最大化",AA3861-01_因子設定!$B$14,IF(01_因子設定!$B$13="最小化",01_因子設定!$B$15-AB3861,MIN(AA3861-01_因子設定!$B$14,01_因子設定!$B$15-AB3861))),-1E+030)</f>
        <v>-1.34086892612722</v>
      </c>
      <c r="AE3861" s="55" t="n">
        <f aca="false">IF(AC3861,IF(01_因子設定!$B$13="最大化",X3861,IF(01_因子設定!$B$13="最小化",-X3861,-ABS(X3861-01_因子設定!$B$16))),-1E+030)</f>
        <v>46.5379111842105</v>
      </c>
      <c r="AF3861" s="55" t="n">
        <f aca="false">AD3861+ROW()*0.000000001</f>
        <v>-1.34086506512722</v>
      </c>
      <c r="AG3861" s="55" t="n">
        <f aca="false">AE3861+ROW()*0.000000001</f>
        <v>46.5379150452105</v>
      </c>
    </row>
    <row r="3862" customFormat="false" ht="15" hidden="false" customHeight="false" outlineLevel="0" collapsed="false">
      <c r="A3862" s="0" t="n">
        <v>5</v>
      </c>
      <c r="B3862" s="0" t="n">
        <v>2</v>
      </c>
      <c r="C3862" s="0" t="n">
        <v>5</v>
      </c>
      <c r="D3862" s="0" t="n">
        <v>5</v>
      </c>
      <c r="E3862" s="0" t="n">
        <f aca="false">-1+A3862*0.25</f>
        <v>0.25</v>
      </c>
      <c r="F3862" s="0" t="n">
        <f aca="false">-1+B3862*0.25</f>
        <v>-0.5</v>
      </c>
      <c r="G3862" s="0" t="n">
        <f aca="false">-1+C3862*0.25</f>
        <v>0.25</v>
      </c>
      <c r="H3862" s="0" t="n">
        <f aca="false">-1+D3862*0.25</f>
        <v>0.25</v>
      </c>
      <c r="I3862" s="0" t="n">
        <f aca="false">1</f>
        <v>1</v>
      </c>
      <c r="J3862" s="0" t="n">
        <f aca="false">E3862</f>
        <v>0.25</v>
      </c>
      <c r="K3862" s="0" t="n">
        <f aca="false">F3862</f>
        <v>-0.5</v>
      </c>
      <c r="L3862" s="0" t="n">
        <f aca="false">G3862</f>
        <v>0.25</v>
      </c>
      <c r="M3862" s="0" t="n">
        <f aca="false">H3862</f>
        <v>0.25</v>
      </c>
      <c r="N3862" s="0" t="n">
        <f aca="false">E3862*F3862</f>
        <v>-0.125</v>
      </c>
      <c r="O3862" s="0" t="n">
        <f aca="false">E3862*G3862</f>
        <v>0.0625</v>
      </c>
      <c r="P3862" s="0" t="n">
        <f aca="false">E3862*H3862</f>
        <v>0.0625</v>
      </c>
      <c r="Q3862" s="0" t="n">
        <f aca="false">F3862*G3862</f>
        <v>-0.125</v>
      </c>
      <c r="R3862" s="0" t="n">
        <f aca="false">F3862*H3862</f>
        <v>-0.125</v>
      </c>
      <c r="S3862" s="0" t="n">
        <f aca="false">G3862*H3862</f>
        <v>0.0625</v>
      </c>
      <c r="T3862" s="0" t="n">
        <f aca="false">E3862*E3862</f>
        <v>0.0625</v>
      </c>
      <c r="U3862" s="0" t="n">
        <f aca="false">F3862*F3862</f>
        <v>0.25</v>
      </c>
      <c r="V3862" s="0" t="n">
        <f aca="false">G3862*G3862</f>
        <v>0.0625</v>
      </c>
      <c r="W3862" s="0" t="n">
        <f aca="false">H3862*H3862</f>
        <v>0.0625</v>
      </c>
      <c r="X3862" s="0" t="n">
        <f aca="false">SUMPRODUCT(I3862:W3862,_XtX!$B$96:$P$96)</f>
        <v>46.6677403143274</v>
      </c>
      <c r="Y3862" s="0" t="n">
        <f aca="false">SUMPRODUCT(MMULT(I3862:W3862,_XtX!$B$78:$P$92),I3862:W3862)</f>
        <v>0.116714923702485</v>
      </c>
      <c r="Z3862" s="0" t="n">
        <f aca="false">04_回帰ANOVA!$K$19*04_回帰ANOVA!$K$14*SQRT(1+Y3862)</f>
        <v>1.37743004820023</v>
      </c>
      <c r="AA3862" s="0" t="n">
        <f aca="false">X3862-Z3862</f>
        <v>45.2903102661272</v>
      </c>
      <c r="AB3862" s="0" t="n">
        <f aca="false">X3862+Z3862</f>
        <v>48.0451703625277</v>
      </c>
      <c r="AC3862" s="54" t="b">
        <f aca="false">AND(E3862&gt;=01_因子設定!$L$5-0.000000001,E3862&lt;=01_因子設定!$M$5+0.000000001,F3862&gt;=01_因子設定!$L$6-0.000000001,F3862&lt;=01_因子設定!$M$6+0.000000001,G3862&gt;=01_因子設定!$L$7-0.000000001,G3862&lt;=01_因子設定!$M$7+0.000000001,H3862&gt;=01_因子設定!$L$8-0.000000001,H3862&lt;=01_因子設定!$M$8+0.000000001,IF(01_因子設定!$B$20="Box-Behnken",E3862^2+F3862^2+G3862^2+H3862^2&lt;=2+0.000000001,TRUE()))</f>
        <v>1</v>
      </c>
      <c r="AD3862" s="55" t="n">
        <f aca="false">IF(AC3862,IF(01_因子設定!$B$13="最大化",AA3862-01_因子設定!$B$14,IF(01_因子設定!$B$13="最小化",01_因子設定!$B$15-AB3862,MIN(AA3862-01_因子設定!$B$14,01_因子設定!$B$15-AB3862))),-1E+030)</f>
        <v>-1.2096897338728</v>
      </c>
      <c r="AE3862" s="55" t="n">
        <f aca="false">IF(AC3862,IF(01_因子設定!$B$13="最大化",X3862,IF(01_因子設定!$B$13="最小化",-X3862,-ABS(X3862-01_因子設定!$B$16))),-1E+030)</f>
        <v>46.6677403143274</v>
      </c>
      <c r="AF3862" s="55" t="n">
        <f aca="false">AD3862+ROW()*0.000000001</f>
        <v>-1.2096858718728</v>
      </c>
      <c r="AG3862" s="55" t="n">
        <f aca="false">AE3862+ROW()*0.000000001</f>
        <v>46.6677441763274</v>
      </c>
    </row>
    <row r="3863" customFormat="false" ht="15" hidden="false" customHeight="false" outlineLevel="0" collapsed="false">
      <c r="A3863" s="0" t="n">
        <v>5</v>
      </c>
      <c r="B3863" s="0" t="n">
        <v>2</v>
      </c>
      <c r="C3863" s="0" t="n">
        <v>5</v>
      </c>
      <c r="D3863" s="0" t="n">
        <v>6</v>
      </c>
      <c r="E3863" s="0" t="n">
        <f aca="false">-1+A3863*0.25</f>
        <v>0.25</v>
      </c>
      <c r="F3863" s="0" t="n">
        <f aca="false">-1+B3863*0.25</f>
        <v>-0.5</v>
      </c>
      <c r="G3863" s="0" t="n">
        <f aca="false">-1+C3863*0.25</f>
        <v>0.25</v>
      </c>
      <c r="H3863" s="0" t="n">
        <f aca="false">-1+D3863*0.25</f>
        <v>0.5</v>
      </c>
      <c r="I3863" s="0" t="n">
        <f aca="false">1</f>
        <v>1</v>
      </c>
      <c r="J3863" s="0" t="n">
        <f aca="false">E3863</f>
        <v>0.25</v>
      </c>
      <c r="K3863" s="0" t="n">
        <f aca="false">F3863</f>
        <v>-0.5</v>
      </c>
      <c r="L3863" s="0" t="n">
        <f aca="false">G3863</f>
        <v>0.25</v>
      </c>
      <c r="M3863" s="0" t="n">
        <f aca="false">H3863</f>
        <v>0.5</v>
      </c>
      <c r="N3863" s="0" t="n">
        <f aca="false">E3863*F3863</f>
        <v>-0.125</v>
      </c>
      <c r="O3863" s="0" t="n">
        <f aca="false">E3863*G3863</f>
        <v>0.0625</v>
      </c>
      <c r="P3863" s="0" t="n">
        <f aca="false">E3863*H3863</f>
        <v>0.125</v>
      </c>
      <c r="Q3863" s="0" t="n">
        <f aca="false">F3863*G3863</f>
        <v>-0.125</v>
      </c>
      <c r="R3863" s="0" t="n">
        <f aca="false">F3863*H3863</f>
        <v>-0.25</v>
      </c>
      <c r="S3863" s="0" t="n">
        <f aca="false">G3863*H3863</f>
        <v>0.125</v>
      </c>
      <c r="T3863" s="0" t="n">
        <f aca="false">E3863*E3863</f>
        <v>0.0625</v>
      </c>
      <c r="U3863" s="0" t="n">
        <f aca="false">F3863*F3863</f>
        <v>0.25</v>
      </c>
      <c r="V3863" s="0" t="n">
        <f aca="false">G3863*G3863</f>
        <v>0.0625</v>
      </c>
      <c r="W3863" s="0" t="n">
        <f aca="false">H3863*H3863</f>
        <v>0.25</v>
      </c>
      <c r="X3863" s="0" t="n">
        <f aca="false">SUMPRODUCT(I3863:W3863,_XtX!$B$96:$P$96)</f>
        <v>46.7497624269005</v>
      </c>
      <c r="Y3863" s="0" t="n">
        <f aca="false">SUMPRODUCT(MMULT(I3863:W3863,_XtX!$B$78:$P$92),I3863:W3863)</f>
        <v>0.128236647934942</v>
      </c>
      <c r="Z3863" s="0" t="n">
        <f aca="false">04_回帰ANOVA!$K$19*04_回帰ANOVA!$K$14*SQRT(1+Y3863)</f>
        <v>1.38451764188989</v>
      </c>
      <c r="AA3863" s="0" t="n">
        <f aca="false">X3863-Z3863</f>
        <v>45.3652447850106</v>
      </c>
      <c r="AB3863" s="0" t="n">
        <f aca="false">X3863+Z3863</f>
        <v>48.1342800687904</v>
      </c>
      <c r="AC3863" s="54" t="b">
        <f aca="false">AND(E3863&gt;=01_因子設定!$L$5-0.000000001,E3863&lt;=01_因子設定!$M$5+0.000000001,F3863&gt;=01_因子設定!$L$6-0.000000001,F3863&lt;=01_因子設定!$M$6+0.000000001,G3863&gt;=01_因子設定!$L$7-0.000000001,G3863&lt;=01_因子設定!$M$7+0.000000001,H3863&gt;=01_因子設定!$L$8-0.000000001,H3863&lt;=01_因子設定!$M$8+0.000000001,IF(01_因子設定!$B$20="Box-Behnken",E3863^2+F3863^2+G3863^2+H3863^2&lt;=2+0.000000001,TRUE()))</f>
        <v>1</v>
      </c>
      <c r="AD3863" s="55" t="n">
        <f aca="false">IF(AC3863,IF(01_因子設定!$B$13="最大化",AA3863-01_因子設定!$B$14,IF(01_因子設定!$B$13="最小化",01_因子設定!$B$15-AB3863,MIN(AA3863-01_因子設定!$B$14,01_因子設定!$B$15-AB3863))),-1E+030)</f>
        <v>-1.13475521498935</v>
      </c>
      <c r="AE3863" s="55" t="n">
        <f aca="false">IF(AC3863,IF(01_因子設定!$B$13="最大化",X3863,IF(01_因子設定!$B$13="最小化",-X3863,-ABS(X3863-01_因子設定!$B$16))),-1E+030)</f>
        <v>46.7497624269005</v>
      </c>
      <c r="AF3863" s="55" t="n">
        <f aca="false">AD3863+ROW()*0.000000001</f>
        <v>-1.13475135198935</v>
      </c>
      <c r="AG3863" s="55" t="n">
        <f aca="false">AE3863+ROW()*0.000000001</f>
        <v>46.7497662899005</v>
      </c>
    </row>
    <row r="3864" customFormat="false" ht="15" hidden="false" customHeight="false" outlineLevel="0" collapsed="false">
      <c r="A3864" s="0" t="n">
        <v>5</v>
      </c>
      <c r="B3864" s="0" t="n">
        <v>2</v>
      </c>
      <c r="C3864" s="0" t="n">
        <v>5</v>
      </c>
      <c r="D3864" s="0" t="n">
        <v>7</v>
      </c>
      <c r="E3864" s="0" t="n">
        <f aca="false">-1+A3864*0.25</f>
        <v>0.25</v>
      </c>
      <c r="F3864" s="0" t="n">
        <f aca="false">-1+B3864*0.25</f>
        <v>-0.5</v>
      </c>
      <c r="G3864" s="0" t="n">
        <f aca="false">-1+C3864*0.25</f>
        <v>0.25</v>
      </c>
      <c r="H3864" s="0" t="n">
        <f aca="false">-1+D3864*0.25</f>
        <v>0.75</v>
      </c>
      <c r="I3864" s="0" t="n">
        <f aca="false">1</f>
        <v>1</v>
      </c>
      <c r="J3864" s="0" t="n">
        <f aca="false">E3864</f>
        <v>0.25</v>
      </c>
      <c r="K3864" s="0" t="n">
        <f aca="false">F3864</f>
        <v>-0.5</v>
      </c>
      <c r="L3864" s="0" t="n">
        <f aca="false">G3864</f>
        <v>0.25</v>
      </c>
      <c r="M3864" s="0" t="n">
        <f aca="false">H3864</f>
        <v>0.75</v>
      </c>
      <c r="N3864" s="0" t="n">
        <f aca="false">E3864*F3864</f>
        <v>-0.125</v>
      </c>
      <c r="O3864" s="0" t="n">
        <f aca="false">E3864*G3864</f>
        <v>0.0625</v>
      </c>
      <c r="P3864" s="0" t="n">
        <f aca="false">E3864*H3864</f>
        <v>0.1875</v>
      </c>
      <c r="Q3864" s="0" t="n">
        <f aca="false">F3864*G3864</f>
        <v>-0.125</v>
      </c>
      <c r="R3864" s="0" t="n">
        <f aca="false">F3864*H3864</f>
        <v>-0.375</v>
      </c>
      <c r="S3864" s="0" t="n">
        <f aca="false">G3864*H3864</f>
        <v>0.1875</v>
      </c>
      <c r="T3864" s="0" t="n">
        <f aca="false">E3864*E3864</f>
        <v>0.0625</v>
      </c>
      <c r="U3864" s="0" t="n">
        <f aca="false">F3864*F3864</f>
        <v>0.25</v>
      </c>
      <c r="V3864" s="0" t="n">
        <f aca="false">G3864*G3864</f>
        <v>0.0625</v>
      </c>
      <c r="W3864" s="0" t="n">
        <f aca="false">H3864*H3864</f>
        <v>0.5625</v>
      </c>
      <c r="X3864" s="0" t="n">
        <f aca="false">SUMPRODUCT(I3864:W3864,_XtX!$B$96:$P$96)</f>
        <v>46.7839775219298</v>
      </c>
      <c r="Y3864" s="0" t="n">
        <f aca="false">SUMPRODUCT(MMULT(I3864:W3864,_XtX!$B$78:$P$92),I3864:W3864)</f>
        <v>0.207746539199561</v>
      </c>
      <c r="Z3864" s="0" t="n">
        <f aca="false">04_回帰ANOVA!$K$19*04_回帰ANOVA!$K$14*SQRT(1+Y3864)</f>
        <v>1.43247250081141</v>
      </c>
      <c r="AA3864" s="0" t="n">
        <f aca="false">X3864-Z3864</f>
        <v>45.3515050211184</v>
      </c>
      <c r="AB3864" s="0" t="n">
        <f aca="false">X3864+Z3864</f>
        <v>48.2164500227412</v>
      </c>
      <c r="AC3864" s="54" t="b">
        <f aca="false">AND(E3864&gt;=01_因子設定!$L$5-0.000000001,E3864&lt;=01_因子設定!$M$5+0.000000001,F3864&gt;=01_因子設定!$L$6-0.000000001,F3864&lt;=01_因子設定!$M$6+0.000000001,G3864&gt;=01_因子設定!$L$7-0.000000001,G3864&lt;=01_因子設定!$M$7+0.000000001,H3864&gt;=01_因子設定!$L$8-0.000000001,H3864&lt;=01_因子設定!$M$8+0.000000001,IF(01_因子設定!$B$20="Box-Behnken",E3864^2+F3864^2+G3864^2+H3864^2&lt;=2+0.000000001,TRUE()))</f>
        <v>1</v>
      </c>
      <c r="AD3864" s="55" t="n">
        <f aca="false">IF(AC3864,IF(01_因子設定!$B$13="最大化",AA3864-01_因子設定!$B$14,IF(01_因子設定!$B$13="最小化",01_因子設定!$B$15-AB3864,MIN(AA3864-01_因子設定!$B$14,01_因子設定!$B$15-AB3864))),-1E+030)</f>
        <v>-1.14849497888162</v>
      </c>
      <c r="AE3864" s="55" t="n">
        <f aca="false">IF(AC3864,IF(01_因子設定!$B$13="最大化",X3864,IF(01_因子設定!$B$13="最小化",-X3864,-ABS(X3864-01_因子設定!$B$16))),-1E+030)</f>
        <v>46.7839775219298</v>
      </c>
      <c r="AF3864" s="55" t="n">
        <f aca="false">AD3864+ROW()*0.000000001</f>
        <v>-1.14849111488162</v>
      </c>
      <c r="AG3864" s="55" t="n">
        <f aca="false">AE3864+ROW()*0.000000001</f>
        <v>46.7839813859298</v>
      </c>
    </row>
    <row r="3865" customFormat="false" ht="15" hidden="false" customHeight="false" outlineLevel="0" collapsed="false">
      <c r="A3865" s="0" t="n">
        <v>5</v>
      </c>
      <c r="B3865" s="0" t="n">
        <v>2</v>
      </c>
      <c r="C3865" s="0" t="n">
        <v>5</v>
      </c>
      <c r="D3865" s="0" t="n">
        <v>8</v>
      </c>
      <c r="E3865" s="0" t="n">
        <f aca="false">-1+A3865*0.25</f>
        <v>0.25</v>
      </c>
      <c r="F3865" s="0" t="n">
        <f aca="false">-1+B3865*0.25</f>
        <v>-0.5</v>
      </c>
      <c r="G3865" s="0" t="n">
        <f aca="false">-1+C3865*0.25</f>
        <v>0.25</v>
      </c>
      <c r="H3865" s="0" t="n">
        <f aca="false">-1+D3865*0.25</f>
        <v>1</v>
      </c>
      <c r="I3865" s="0" t="n">
        <f aca="false">1</f>
        <v>1</v>
      </c>
      <c r="J3865" s="0" t="n">
        <f aca="false">E3865</f>
        <v>0.25</v>
      </c>
      <c r="K3865" s="0" t="n">
        <f aca="false">F3865</f>
        <v>-0.5</v>
      </c>
      <c r="L3865" s="0" t="n">
        <f aca="false">G3865</f>
        <v>0.25</v>
      </c>
      <c r="M3865" s="0" t="n">
        <f aca="false">H3865</f>
        <v>1</v>
      </c>
      <c r="N3865" s="0" t="n">
        <f aca="false">E3865*F3865</f>
        <v>-0.125</v>
      </c>
      <c r="O3865" s="0" t="n">
        <f aca="false">E3865*G3865</f>
        <v>0.0625</v>
      </c>
      <c r="P3865" s="0" t="n">
        <f aca="false">E3865*H3865</f>
        <v>0.25</v>
      </c>
      <c r="Q3865" s="0" t="n">
        <f aca="false">F3865*G3865</f>
        <v>-0.125</v>
      </c>
      <c r="R3865" s="0" t="n">
        <f aca="false">F3865*H3865</f>
        <v>-0.5</v>
      </c>
      <c r="S3865" s="0" t="n">
        <f aca="false">G3865*H3865</f>
        <v>0.25</v>
      </c>
      <c r="T3865" s="0" t="n">
        <f aca="false">E3865*E3865</f>
        <v>0.0625</v>
      </c>
      <c r="U3865" s="0" t="n">
        <f aca="false">F3865*F3865</f>
        <v>0.25</v>
      </c>
      <c r="V3865" s="0" t="n">
        <f aca="false">G3865*G3865</f>
        <v>0.0625</v>
      </c>
      <c r="W3865" s="0" t="n">
        <f aca="false">H3865*H3865</f>
        <v>1</v>
      </c>
      <c r="X3865" s="0" t="n">
        <f aca="false">SUMPRODUCT(I3865:W3865,_XtX!$B$96:$P$96)</f>
        <v>46.7703855994152</v>
      </c>
      <c r="Y3865" s="0" t="n">
        <f aca="false">SUMPRODUCT(MMULT(I3865:W3865,_XtX!$B$78:$P$92),I3865:W3865)</f>
        <v>0.445705123812135</v>
      </c>
      <c r="Z3865" s="0" t="n">
        <f aca="false">04_回帰ANOVA!$K$19*04_回帰ANOVA!$K$14*SQRT(1+Y3865)</f>
        <v>1.56724990734749</v>
      </c>
      <c r="AA3865" s="0" t="n">
        <f aca="false">X3865-Z3865</f>
        <v>45.2031356920677</v>
      </c>
      <c r="AB3865" s="0" t="n">
        <f aca="false">X3865+Z3865</f>
        <v>48.3376355067627</v>
      </c>
      <c r="AC3865" s="54" t="b">
        <f aca="false">AND(E3865&gt;=01_因子設定!$L$5-0.000000001,E3865&lt;=01_因子設定!$M$5+0.000000001,F3865&gt;=01_因子設定!$L$6-0.000000001,F3865&lt;=01_因子設定!$M$6+0.000000001,G3865&gt;=01_因子設定!$L$7-0.000000001,G3865&lt;=01_因子設定!$M$7+0.000000001,H3865&gt;=01_因子設定!$L$8-0.000000001,H3865&lt;=01_因子設定!$M$8+0.000000001,IF(01_因子設定!$B$20="Box-Behnken",E3865^2+F3865^2+G3865^2+H3865^2&lt;=2+0.000000001,TRUE()))</f>
        <v>1</v>
      </c>
      <c r="AD3865" s="55" t="n">
        <f aca="false">IF(AC3865,IF(01_因子設定!$B$13="最大化",AA3865-01_因子設定!$B$14,IF(01_因子設定!$B$13="最小化",01_因子設定!$B$15-AB3865,MIN(AA3865-01_因子設定!$B$14,01_因子設定!$B$15-AB3865))),-1E+030)</f>
        <v>-1.29686430793231</v>
      </c>
      <c r="AE3865" s="55" t="n">
        <f aca="false">IF(AC3865,IF(01_因子設定!$B$13="最大化",X3865,IF(01_因子設定!$B$13="最小化",-X3865,-ABS(X3865-01_因子設定!$B$16))),-1E+030)</f>
        <v>46.7703855994152</v>
      </c>
      <c r="AF3865" s="55" t="n">
        <f aca="false">AD3865+ROW()*0.000000001</f>
        <v>-1.29686044293231</v>
      </c>
      <c r="AG3865" s="55" t="n">
        <f aca="false">AE3865+ROW()*0.000000001</f>
        <v>46.7703894644152</v>
      </c>
    </row>
    <row r="3866" customFormat="false" ht="15" hidden="false" customHeight="false" outlineLevel="0" collapsed="false">
      <c r="A3866" s="0" t="n">
        <v>5</v>
      </c>
      <c r="B3866" s="0" t="n">
        <v>2</v>
      </c>
      <c r="C3866" s="0" t="n">
        <v>6</v>
      </c>
      <c r="D3866" s="0" t="n">
        <v>0</v>
      </c>
      <c r="E3866" s="0" t="n">
        <f aca="false">-1+A3866*0.25</f>
        <v>0.25</v>
      </c>
      <c r="F3866" s="0" t="n">
        <f aca="false">-1+B3866*0.25</f>
        <v>-0.5</v>
      </c>
      <c r="G3866" s="0" t="n">
        <f aca="false">-1+C3866*0.25</f>
        <v>0.5</v>
      </c>
      <c r="H3866" s="0" t="n">
        <f aca="false">-1+D3866*0.25</f>
        <v>-1</v>
      </c>
      <c r="I3866" s="0" t="n">
        <f aca="false">1</f>
        <v>1</v>
      </c>
      <c r="J3866" s="0" t="n">
        <f aca="false">E3866</f>
        <v>0.25</v>
      </c>
      <c r="K3866" s="0" t="n">
        <f aca="false">F3866</f>
        <v>-0.5</v>
      </c>
      <c r="L3866" s="0" t="n">
        <f aca="false">G3866</f>
        <v>0.5</v>
      </c>
      <c r="M3866" s="0" t="n">
        <f aca="false">H3866</f>
        <v>-1</v>
      </c>
      <c r="N3866" s="0" t="n">
        <f aca="false">E3866*F3866</f>
        <v>-0.125</v>
      </c>
      <c r="O3866" s="0" t="n">
        <f aca="false">E3866*G3866</f>
        <v>0.125</v>
      </c>
      <c r="P3866" s="0" t="n">
        <f aca="false">E3866*H3866</f>
        <v>-0.25</v>
      </c>
      <c r="Q3866" s="0" t="n">
        <f aca="false">F3866*G3866</f>
        <v>-0.25</v>
      </c>
      <c r="R3866" s="0" t="n">
        <f aca="false">F3866*H3866</f>
        <v>0.5</v>
      </c>
      <c r="S3866" s="0" t="n">
        <f aca="false">G3866*H3866</f>
        <v>-0.5</v>
      </c>
      <c r="T3866" s="0" t="n">
        <f aca="false">E3866*E3866</f>
        <v>0.0625</v>
      </c>
      <c r="U3866" s="0" t="n">
        <f aca="false">F3866*F3866</f>
        <v>0.25</v>
      </c>
      <c r="V3866" s="0" t="n">
        <f aca="false">G3866*G3866</f>
        <v>0.25</v>
      </c>
      <c r="W3866" s="0" t="n">
        <f aca="false">H3866*H3866</f>
        <v>1</v>
      </c>
      <c r="X3866" s="0" t="n">
        <f aca="false">SUMPRODUCT(I3866:W3866,_XtX!$B$96:$P$96)</f>
        <v>45.5068347953216</v>
      </c>
      <c r="Y3866" s="0" t="n">
        <f aca="false">SUMPRODUCT(MMULT(I3866:W3866,_XtX!$B$78:$P$92),I3866:W3866)</f>
        <v>0.428122715643275</v>
      </c>
      <c r="Z3866" s="0" t="n">
        <f aca="false">04_回帰ANOVA!$K$19*04_回帰ANOVA!$K$14*SQRT(1+Y3866)</f>
        <v>1.55769044623229</v>
      </c>
      <c r="AA3866" s="0" t="n">
        <f aca="false">X3866-Z3866</f>
        <v>43.9491443490893</v>
      </c>
      <c r="AB3866" s="0" t="n">
        <f aca="false">X3866+Z3866</f>
        <v>47.0645252415539</v>
      </c>
      <c r="AC3866" s="54" t="b">
        <f aca="false">AND(E3866&gt;=01_因子設定!$L$5-0.000000001,E3866&lt;=01_因子設定!$M$5+0.000000001,F3866&gt;=01_因子設定!$L$6-0.000000001,F3866&lt;=01_因子設定!$M$6+0.000000001,G3866&gt;=01_因子設定!$L$7-0.000000001,G3866&lt;=01_因子設定!$M$7+0.000000001,H3866&gt;=01_因子設定!$L$8-0.000000001,H3866&lt;=01_因子設定!$M$8+0.000000001,IF(01_因子設定!$B$20="Box-Behnken",E3866^2+F3866^2+G3866^2+H3866^2&lt;=2+0.000000001,TRUE()))</f>
        <v>1</v>
      </c>
      <c r="AD3866" s="55" t="n">
        <f aca="false">IF(AC3866,IF(01_因子設定!$B$13="最大化",AA3866-01_因子設定!$B$14,IF(01_因子設定!$B$13="最小化",01_因子設定!$B$15-AB3866,MIN(AA3866-01_因子設定!$B$14,01_因子設定!$B$15-AB3866))),-1E+030)</f>
        <v>-2.55085565091068</v>
      </c>
      <c r="AE3866" s="55" t="n">
        <f aca="false">IF(AC3866,IF(01_因子設定!$B$13="最大化",X3866,IF(01_因子設定!$B$13="最小化",-X3866,-ABS(X3866-01_因子設定!$B$16))),-1E+030)</f>
        <v>45.5068347953216</v>
      </c>
      <c r="AF3866" s="55" t="n">
        <f aca="false">AD3866+ROW()*0.000000001</f>
        <v>-2.55085178491068</v>
      </c>
      <c r="AG3866" s="55" t="n">
        <f aca="false">AE3866+ROW()*0.000000001</f>
        <v>45.5068386613216</v>
      </c>
    </row>
    <row r="3867" customFormat="false" ht="15" hidden="false" customHeight="false" outlineLevel="0" collapsed="false">
      <c r="A3867" s="0" t="n">
        <v>5</v>
      </c>
      <c r="B3867" s="0" t="n">
        <v>2</v>
      </c>
      <c r="C3867" s="0" t="n">
        <v>6</v>
      </c>
      <c r="D3867" s="0" t="n">
        <v>1</v>
      </c>
      <c r="E3867" s="0" t="n">
        <f aca="false">-1+A3867*0.25</f>
        <v>0.25</v>
      </c>
      <c r="F3867" s="0" t="n">
        <f aca="false">-1+B3867*0.25</f>
        <v>-0.5</v>
      </c>
      <c r="G3867" s="0" t="n">
        <f aca="false">-1+C3867*0.25</f>
        <v>0.5</v>
      </c>
      <c r="H3867" s="0" t="n">
        <f aca="false">-1+D3867*0.25</f>
        <v>-0.75</v>
      </c>
      <c r="I3867" s="0" t="n">
        <f aca="false">1</f>
        <v>1</v>
      </c>
      <c r="J3867" s="0" t="n">
        <f aca="false">E3867</f>
        <v>0.25</v>
      </c>
      <c r="K3867" s="0" t="n">
        <f aca="false">F3867</f>
        <v>-0.5</v>
      </c>
      <c r="L3867" s="0" t="n">
        <f aca="false">G3867</f>
        <v>0.5</v>
      </c>
      <c r="M3867" s="0" t="n">
        <f aca="false">H3867</f>
        <v>-0.75</v>
      </c>
      <c r="N3867" s="0" t="n">
        <f aca="false">E3867*F3867</f>
        <v>-0.125</v>
      </c>
      <c r="O3867" s="0" t="n">
        <f aca="false">E3867*G3867</f>
        <v>0.125</v>
      </c>
      <c r="P3867" s="0" t="n">
        <f aca="false">E3867*H3867</f>
        <v>-0.1875</v>
      </c>
      <c r="Q3867" s="0" t="n">
        <f aca="false">F3867*G3867</f>
        <v>-0.25</v>
      </c>
      <c r="R3867" s="0" t="n">
        <f aca="false">F3867*H3867</f>
        <v>0.375</v>
      </c>
      <c r="S3867" s="0" t="n">
        <f aca="false">G3867*H3867</f>
        <v>-0.375</v>
      </c>
      <c r="T3867" s="0" t="n">
        <f aca="false">E3867*E3867</f>
        <v>0.0625</v>
      </c>
      <c r="U3867" s="0" t="n">
        <f aca="false">F3867*F3867</f>
        <v>0.25</v>
      </c>
      <c r="V3867" s="0" t="n">
        <f aca="false">G3867*G3867</f>
        <v>0.25</v>
      </c>
      <c r="W3867" s="0" t="n">
        <f aca="false">H3867*H3867</f>
        <v>0.5625</v>
      </c>
      <c r="X3867" s="0" t="n">
        <f aca="false">SUMPRODUCT(I3867:W3867,_XtX!$B$96:$P$96)</f>
        <v>45.845860745614</v>
      </c>
      <c r="Y3867" s="0" t="n">
        <f aca="false">SUMPRODUCT(MMULT(I3867:W3867,_XtX!$B$78:$P$92),I3867:W3867)</f>
        <v>0.203746059484649</v>
      </c>
      <c r="Z3867" s="0" t="n">
        <f aca="false">04_回帰ANOVA!$K$19*04_回帰ANOVA!$K$14*SQRT(1+Y3867)</f>
        <v>1.43009810755465</v>
      </c>
      <c r="AA3867" s="0" t="n">
        <f aca="false">X3867-Z3867</f>
        <v>44.4157626380594</v>
      </c>
      <c r="AB3867" s="0" t="n">
        <f aca="false">X3867+Z3867</f>
        <v>47.2759588531686</v>
      </c>
      <c r="AC3867" s="54" t="b">
        <f aca="false">AND(E3867&gt;=01_因子設定!$L$5-0.000000001,E3867&lt;=01_因子設定!$M$5+0.000000001,F3867&gt;=01_因子設定!$L$6-0.000000001,F3867&lt;=01_因子設定!$M$6+0.000000001,G3867&gt;=01_因子設定!$L$7-0.000000001,G3867&lt;=01_因子設定!$M$7+0.000000001,H3867&gt;=01_因子設定!$L$8-0.000000001,H3867&lt;=01_因子設定!$M$8+0.000000001,IF(01_因子設定!$B$20="Box-Behnken",E3867^2+F3867^2+G3867^2+H3867^2&lt;=2+0.000000001,TRUE()))</f>
        <v>1</v>
      </c>
      <c r="AD3867" s="55" t="n">
        <f aca="false">IF(AC3867,IF(01_因子設定!$B$13="最大化",AA3867-01_因子設定!$B$14,IF(01_因子設定!$B$13="最小化",01_因子設定!$B$15-AB3867,MIN(AA3867-01_因子設定!$B$14,01_因子設定!$B$15-AB3867))),-1E+030)</f>
        <v>-2.08423736194065</v>
      </c>
      <c r="AE3867" s="55" t="n">
        <f aca="false">IF(AC3867,IF(01_因子設定!$B$13="最大化",X3867,IF(01_因子設定!$B$13="最小化",-X3867,-ABS(X3867-01_因子設定!$B$16))),-1E+030)</f>
        <v>45.845860745614</v>
      </c>
      <c r="AF3867" s="55" t="n">
        <f aca="false">AD3867+ROW()*0.000000001</f>
        <v>-2.08423349494065</v>
      </c>
      <c r="AG3867" s="55" t="n">
        <f aca="false">AE3867+ROW()*0.000000001</f>
        <v>45.845864612614</v>
      </c>
    </row>
    <row r="3868" customFormat="false" ht="15" hidden="false" customHeight="false" outlineLevel="0" collapsed="false">
      <c r="A3868" s="0" t="n">
        <v>5</v>
      </c>
      <c r="B3868" s="0" t="n">
        <v>2</v>
      </c>
      <c r="C3868" s="0" t="n">
        <v>6</v>
      </c>
      <c r="D3868" s="0" t="n">
        <v>2</v>
      </c>
      <c r="E3868" s="0" t="n">
        <f aca="false">-1+A3868*0.25</f>
        <v>0.25</v>
      </c>
      <c r="F3868" s="0" t="n">
        <f aca="false">-1+B3868*0.25</f>
        <v>-0.5</v>
      </c>
      <c r="G3868" s="0" t="n">
        <f aca="false">-1+C3868*0.25</f>
        <v>0.5</v>
      </c>
      <c r="H3868" s="0" t="n">
        <f aca="false">-1+D3868*0.25</f>
        <v>-0.5</v>
      </c>
      <c r="I3868" s="0" t="n">
        <f aca="false">1</f>
        <v>1</v>
      </c>
      <c r="J3868" s="0" t="n">
        <f aca="false">E3868</f>
        <v>0.25</v>
      </c>
      <c r="K3868" s="0" t="n">
        <f aca="false">F3868</f>
        <v>-0.5</v>
      </c>
      <c r="L3868" s="0" t="n">
        <f aca="false">G3868</f>
        <v>0.5</v>
      </c>
      <c r="M3868" s="0" t="n">
        <f aca="false">H3868</f>
        <v>-0.5</v>
      </c>
      <c r="N3868" s="0" t="n">
        <f aca="false">E3868*F3868</f>
        <v>-0.125</v>
      </c>
      <c r="O3868" s="0" t="n">
        <f aca="false">E3868*G3868</f>
        <v>0.125</v>
      </c>
      <c r="P3868" s="0" t="n">
        <f aca="false">E3868*H3868</f>
        <v>-0.125</v>
      </c>
      <c r="Q3868" s="0" t="n">
        <f aca="false">F3868*G3868</f>
        <v>-0.25</v>
      </c>
      <c r="R3868" s="0" t="n">
        <f aca="false">F3868*H3868</f>
        <v>0.25</v>
      </c>
      <c r="S3868" s="0" t="n">
        <f aca="false">G3868*H3868</f>
        <v>-0.25</v>
      </c>
      <c r="T3868" s="0" t="n">
        <f aca="false">E3868*E3868</f>
        <v>0.0625</v>
      </c>
      <c r="U3868" s="0" t="n">
        <f aca="false">F3868*F3868</f>
        <v>0.25</v>
      </c>
      <c r="V3868" s="0" t="n">
        <f aca="false">G3868*G3868</f>
        <v>0.25</v>
      </c>
      <c r="W3868" s="0" t="n">
        <f aca="false">H3868*H3868</f>
        <v>0.25</v>
      </c>
      <c r="X3868" s="0" t="n">
        <f aca="false">SUMPRODUCT(I3868:W3868,_XtX!$B$96:$P$96)</f>
        <v>46.1370796783625</v>
      </c>
      <c r="Y3868" s="0" t="n">
        <f aca="false">SUMPRODUCT(MMULT(I3868:W3868,_XtX!$B$78:$P$92),I3868:W3868)</f>
        <v>0.133937545687135</v>
      </c>
      <c r="Z3868" s="0" t="n">
        <f aca="false">04_回帰ANOVA!$K$19*04_回帰ANOVA!$K$14*SQRT(1+Y3868)</f>
        <v>1.38801116780825</v>
      </c>
      <c r="AA3868" s="0" t="n">
        <f aca="false">X3868-Z3868</f>
        <v>44.7490685105543</v>
      </c>
      <c r="AB3868" s="0" t="n">
        <f aca="false">X3868+Z3868</f>
        <v>47.5250908461708</v>
      </c>
      <c r="AC3868" s="54" t="b">
        <f aca="false">AND(E3868&gt;=01_因子設定!$L$5-0.000000001,E3868&lt;=01_因子設定!$M$5+0.000000001,F3868&gt;=01_因子設定!$L$6-0.000000001,F3868&lt;=01_因子設定!$M$6+0.000000001,G3868&gt;=01_因子設定!$L$7-0.000000001,G3868&lt;=01_因子設定!$M$7+0.000000001,H3868&gt;=01_因子設定!$L$8-0.000000001,H3868&lt;=01_因子設定!$M$8+0.000000001,IF(01_因子設定!$B$20="Box-Behnken",E3868^2+F3868^2+G3868^2+H3868^2&lt;=2+0.000000001,TRUE()))</f>
        <v>1</v>
      </c>
      <c r="AD3868" s="55" t="n">
        <f aca="false">IF(AC3868,IF(01_因子設定!$B$13="最大化",AA3868-01_因子設定!$B$14,IF(01_因子設定!$B$13="最小化",01_因子設定!$B$15-AB3868,MIN(AA3868-01_因子設定!$B$14,01_因子設定!$B$15-AB3868))),-1E+030)</f>
        <v>-1.75093148944573</v>
      </c>
      <c r="AE3868" s="55" t="n">
        <f aca="false">IF(AC3868,IF(01_因子設定!$B$13="最大化",X3868,IF(01_因子設定!$B$13="最小化",-X3868,-ABS(X3868-01_因子設定!$B$16))),-1E+030)</f>
        <v>46.1370796783625</v>
      </c>
      <c r="AF3868" s="55" t="n">
        <f aca="false">AD3868+ROW()*0.000000001</f>
        <v>-1.75092762144573</v>
      </c>
      <c r="AG3868" s="55" t="n">
        <f aca="false">AE3868+ROW()*0.000000001</f>
        <v>46.1370835463625</v>
      </c>
    </row>
    <row r="3869" customFormat="false" ht="15" hidden="false" customHeight="false" outlineLevel="0" collapsed="false">
      <c r="A3869" s="0" t="n">
        <v>5</v>
      </c>
      <c r="B3869" s="0" t="n">
        <v>2</v>
      </c>
      <c r="C3869" s="0" t="n">
        <v>6</v>
      </c>
      <c r="D3869" s="0" t="n">
        <v>3</v>
      </c>
      <c r="E3869" s="0" t="n">
        <f aca="false">-1+A3869*0.25</f>
        <v>0.25</v>
      </c>
      <c r="F3869" s="0" t="n">
        <f aca="false">-1+B3869*0.25</f>
        <v>-0.5</v>
      </c>
      <c r="G3869" s="0" t="n">
        <f aca="false">-1+C3869*0.25</f>
        <v>0.5</v>
      </c>
      <c r="H3869" s="0" t="n">
        <f aca="false">-1+D3869*0.25</f>
        <v>-0.25</v>
      </c>
      <c r="I3869" s="0" t="n">
        <f aca="false">1</f>
        <v>1</v>
      </c>
      <c r="J3869" s="0" t="n">
        <f aca="false">E3869</f>
        <v>0.25</v>
      </c>
      <c r="K3869" s="0" t="n">
        <f aca="false">F3869</f>
        <v>-0.5</v>
      </c>
      <c r="L3869" s="0" t="n">
        <f aca="false">G3869</f>
        <v>0.5</v>
      </c>
      <c r="M3869" s="0" t="n">
        <f aca="false">H3869</f>
        <v>-0.25</v>
      </c>
      <c r="N3869" s="0" t="n">
        <f aca="false">E3869*F3869</f>
        <v>-0.125</v>
      </c>
      <c r="O3869" s="0" t="n">
        <f aca="false">E3869*G3869</f>
        <v>0.125</v>
      </c>
      <c r="P3869" s="0" t="n">
        <f aca="false">E3869*H3869</f>
        <v>-0.0625</v>
      </c>
      <c r="Q3869" s="0" t="n">
        <f aca="false">F3869*G3869</f>
        <v>-0.25</v>
      </c>
      <c r="R3869" s="0" t="n">
        <f aca="false">F3869*H3869</f>
        <v>0.125</v>
      </c>
      <c r="S3869" s="0" t="n">
        <f aca="false">G3869*H3869</f>
        <v>-0.125</v>
      </c>
      <c r="T3869" s="0" t="n">
        <f aca="false">E3869*E3869</f>
        <v>0.0625</v>
      </c>
      <c r="U3869" s="0" t="n">
        <f aca="false">F3869*F3869</f>
        <v>0.25</v>
      </c>
      <c r="V3869" s="0" t="n">
        <f aca="false">G3869*G3869</f>
        <v>0.25</v>
      </c>
      <c r="W3869" s="0" t="n">
        <f aca="false">H3869*H3869</f>
        <v>0.0625</v>
      </c>
      <c r="X3869" s="0" t="n">
        <f aca="false">SUMPRODUCT(I3869:W3869,_XtX!$B$96:$P$96)</f>
        <v>46.3804915935672</v>
      </c>
      <c r="Y3869" s="0" t="n">
        <f aca="false">SUMPRODUCT(MMULT(I3869:W3869,_XtX!$B$78:$P$92),I3869:W3869)</f>
        <v>0.128236647934942</v>
      </c>
      <c r="Z3869" s="0" t="n">
        <f aca="false">04_回帰ANOVA!$K$19*04_回帰ANOVA!$K$14*SQRT(1+Y3869)</f>
        <v>1.38451764188989</v>
      </c>
      <c r="AA3869" s="0" t="n">
        <f aca="false">X3869-Z3869</f>
        <v>44.9959739516773</v>
      </c>
      <c r="AB3869" s="0" t="n">
        <f aca="false">X3869+Z3869</f>
        <v>47.7650092354571</v>
      </c>
      <c r="AC3869" s="54" t="b">
        <f aca="false">AND(E3869&gt;=01_因子設定!$L$5-0.000000001,E3869&lt;=01_因子設定!$M$5+0.000000001,F3869&gt;=01_因子設定!$L$6-0.000000001,F3869&lt;=01_因子設定!$M$6+0.000000001,G3869&gt;=01_因子設定!$L$7-0.000000001,G3869&lt;=01_因子設定!$M$7+0.000000001,H3869&gt;=01_因子設定!$L$8-0.000000001,H3869&lt;=01_因子設定!$M$8+0.000000001,IF(01_因子設定!$B$20="Box-Behnken",E3869^2+F3869^2+G3869^2+H3869^2&lt;=2+0.000000001,TRUE()))</f>
        <v>1</v>
      </c>
      <c r="AD3869" s="55" t="n">
        <f aca="false">IF(AC3869,IF(01_因子設定!$B$13="最大化",AA3869-01_因子設定!$B$14,IF(01_因子設定!$B$13="最小化",01_因子設定!$B$15-AB3869,MIN(AA3869-01_因子設定!$B$14,01_因子設定!$B$15-AB3869))),-1E+030)</f>
        <v>-1.50402604832269</v>
      </c>
      <c r="AE3869" s="55" t="n">
        <f aca="false">IF(AC3869,IF(01_因子設定!$B$13="最大化",X3869,IF(01_因子設定!$B$13="最小化",-X3869,-ABS(X3869-01_因子設定!$B$16))),-1E+030)</f>
        <v>46.3804915935672</v>
      </c>
      <c r="AF3869" s="55" t="n">
        <f aca="false">AD3869+ROW()*0.000000001</f>
        <v>-1.50402217932269</v>
      </c>
      <c r="AG3869" s="55" t="n">
        <f aca="false">AE3869+ROW()*0.000000001</f>
        <v>46.3804954625672</v>
      </c>
    </row>
    <row r="3870" customFormat="false" ht="15" hidden="false" customHeight="false" outlineLevel="0" collapsed="false">
      <c r="A3870" s="0" t="n">
        <v>5</v>
      </c>
      <c r="B3870" s="0" t="n">
        <v>2</v>
      </c>
      <c r="C3870" s="0" t="n">
        <v>6</v>
      </c>
      <c r="D3870" s="0" t="n">
        <v>4</v>
      </c>
      <c r="E3870" s="0" t="n">
        <f aca="false">-1+A3870*0.25</f>
        <v>0.25</v>
      </c>
      <c r="F3870" s="0" t="n">
        <f aca="false">-1+B3870*0.25</f>
        <v>-0.5</v>
      </c>
      <c r="G3870" s="0" t="n">
        <f aca="false">-1+C3870*0.25</f>
        <v>0.5</v>
      </c>
      <c r="H3870" s="0" t="n">
        <f aca="false">-1+D3870*0.25</f>
        <v>0</v>
      </c>
      <c r="I3870" s="0" t="n">
        <f aca="false">1</f>
        <v>1</v>
      </c>
      <c r="J3870" s="0" t="n">
        <f aca="false">E3870</f>
        <v>0.25</v>
      </c>
      <c r="K3870" s="0" t="n">
        <f aca="false">F3870</f>
        <v>-0.5</v>
      </c>
      <c r="L3870" s="0" t="n">
        <f aca="false">G3870</f>
        <v>0.5</v>
      </c>
      <c r="M3870" s="0" t="n">
        <f aca="false">H3870</f>
        <v>0</v>
      </c>
      <c r="N3870" s="0" t="n">
        <f aca="false">E3870*F3870</f>
        <v>-0.125</v>
      </c>
      <c r="O3870" s="0" t="n">
        <f aca="false">E3870*G3870</f>
        <v>0.125</v>
      </c>
      <c r="P3870" s="0" t="n">
        <f aca="false">E3870*H3870</f>
        <v>0</v>
      </c>
      <c r="Q3870" s="0" t="n">
        <f aca="false">F3870*G3870</f>
        <v>-0.25</v>
      </c>
      <c r="R3870" s="0" t="n">
        <f aca="false">F3870*H3870</f>
        <v>-0</v>
      </c>
      <c r="S3870" s="0" t="n">
        <f aca="false">G3870*H3870</f>
        <v>0</v>
      </c>
      <c r="T3870" s="0" t="n">
        <f aca="false">E3870*E3870</f>
        <v>0.0625</v>
      </c>
      <c r="U3870" s="0" t="n">
        <f aca="false">F3870*F3870</f>
        <v>0.25</v>
      </c>
      <c r="V3870" s="0" t="n">
        <f aca="false">G3870*G3870</f>
        <v>0.25</v>
      </c>
      <c r="W3870" s="0" t="n">
        <f aca="false">H3870*H3870</f>
        <v>0</v>
      </c>
      <c r="X3870" s="0" t="n">
        <f aca="false">SUMPRODUCT(I3870:W3870,_XtX!$B$96:$P$96)</f>
        <v>46.576096491228</v>
      </c>
      <c r="Y3870" s="0" t="n">
        <f aca="false">SUMPRODUCT(MMULT(I3870:W3870,_XtX!$B$78:$P$92),I3870:W3870)</f>
        <v>0.132367050438597</v>
      </c>
      <c r="Z3870" s="0" t="n">
        <f aca="false">04_回帰ANOVA!$K$19*04_回帰ANOVA!$K$14*SQRT(1+Y3870)</f>
        <v>1.38704964208329</v>
      </c>
      <c r="AA3870" s="0" t="n">
        <f aca="false">X3870-Z3870</f>
        <v>45.1890468491447</v>
      </c>
      <c r="AB3870" s="0" t="n">
        <f aca="false">X3870+Z3870</f>
        <v>47.9631461333113</v>
      </c>
      <c r="AC3870" s="54" t="b">
        <f aca="false">AND(E3870&gt;=01_因子設定!$L$5-0.000000001,E3870&lt;=01_因子設定!$M$5+0.000000001,F3870&gt;=01_因子設定!$L$6-0.000000001,F3870&lt;=01_因子設定!$M$6+0.000000001,G3870&gt;=01_因子設定!$L$7-0.000000001,G3870&lt;=01_因子設定!$M$7+0.000000001,H3870&gt;=01_因子設定!$L$8-0.000000001,H3870&lt;=01_因子設定!$M$8+0.000000001,IF(01_因子設定!$B$20="Box-Behnken",E3870^2+F3870^2+G3870^2+H3870^2&lt;=2+0.000000001,TRUE()))</f>
        <v>1</v>
      </c>
      <c r="AD3870" s="55" t="n">
        <f aca="false">IF(AC3870,IF(01_因子設定!$B$13="最大化",AA3870-01_因子設定!$B$14,IF(01_因子設定!$B$13="最小化",01_因子設定!$B$15-AB3870,MIN(AA3870-01_因子設定!$B$14,01_因子設定!$B$15-AB3870))),-1E+030)</f>
        <v>-1.31095315085528</v>
      </c>
      <c r="AE3870" s="55" t="n">
        <f aca="false">IF(AC3870,IF(01_因子設定!$B$13="最大化",X3870,IF(01_因子設定!$B$13="最小化",-X3870,-ABS(X3870-01_因子設定!$B$16))),-1E+030)</f>
        <v>46.576096491228</v>
      </c>
      <c r="AF3870" s="55" t="n">
        <f aca="false">AD3870+ROW()*0.000000001</f>
        <v>-1.31094928085528</v>
      </c>
      <c r="AG3870" s="55" t="n">
        <f aca="false">AE3870+ROW()*0.000000001</f>
        <v>46.576100361228</v>
      </c>
    </row>
    <row r="3871" customFormat="false" ht="15" hidden="false" customHeight="false" outlineLevel="0" collapsed="false">
      <c r="A3871" s="0" t="n">
        <v>5</v>
      </c>
      <c r="B3871" s="0" t="n">
        <v>2</v>
      </c>
      <c r="C3871" s="0" t="n">
        <v>6</v>
      </c>
      <c r="D3871" s="0" t="n">
        <v>5</v>
      </c>
      <c r="E3871" s="0" t="n">
        <f aca="false">-1+A3871*0.25</f>
        <v>0.25</v>
      </c>
      <c r="F3871" s="0" t="n">
        <f aca="false">-1+B3871*0.25</f>
        <v>-0.5</v>
      </c>
      <c r="G3871" s="0" t="n">
        <f aca="false">-1+C3871*0.25</f>
        <v>0.5</v>
      </c>
      <c r="H3871" s="0" t="n">
        <f aca="false">-1+D3871*0.25</f>
        <v>0.25</v>
      </c>
      <c r="I3871" s="0" t="n">
        <f aca="false">1</f>
        <v>1</v>
      </c>
      <c r="J3871" s="0" t="n">
        <f aca="false">E3871</f>
        <v>0.25</v>
      </c>
      <c r="K3871" s="0" t="n">
        <f aca="false">F3871</f>
        <v>-0.5</v>
      </c>
      <c r="L3871" s="0" t="n">
        <f aca="false">G3871</f>
        <v>0.5</v>
      </c>
      <c r="M3871" s="0" t="n">
        <f aca="false">H3871</f>
        <v>0.25</v>
      </c>
      <c r="N3871" s="0" t="n">
        <f aca="false">E3871*F3871</f>
        <v>-0.125</v>
      </c>
      <c r="O3871" s="0" t="n">
        <f aca="false">E3871*G3871</f>
        <v>0.125</v>
      </c>
      <c r="P3871" s="0" t="n">
        <f aca="false">E3871*H3871</f>
        <v>0.0625</v>
      </c>
      <c r="Q3871" s="0" t="n">
        <f aca="false">F3871*G3871</f>
        <v>-0.25</v>
      </c>
      <c r="R3871" s="0" t="n">
        <f aca="false">F3871*H3871</f>
        <v>-0.125</v>
      </c>
      <c r="S3871" s="0" t="n">
        <f aca="false">G3871*H3871</f>
        <v>0.125</v>
      </c>
      <c r="T3871" s="0" t="n">
        <f aca="false">E3871*E3871</f>
        <v>0.0625</v>
      </c>
      <c r="U3871" s="0" t="n">
        <f aca="false">F3871*F3871</f>
        <v>0.25</v>
      </c>
      <c r="V3871" s="0" t="n">
        <f aca="false">G3871*G3871</f>
        <v>0.25</v>
      </c>
      <c r="W3871" s="0" t="n">
        <f aca="false">H3871*H3871</f>
        <v>0.0625</v>
      </c>
      <c r="X3871" s="0" t="n">
        <f aca="false">SUMPRODUCT(I3871:W3871,_XtX!$B$96:$P$96)</f>
        <v>46.723894371345</v>
      </c>
      <c r="Y3871" s="0" t="n">
        <f aca="false">SUMPRODUCT(MMULT(I3871:W3871,_XtX!$B$78:$P$92),I3871:W3871)</f>
        <v>0.128236647934942</v>
      </c>
      <c r="Z3871" s="0" t="n">
        <f aca="false">04_回帰ANOVA!$K$19*04_回帰ANOVA!$K$14*SQRT(1+Y3871)</f>
        <v>1.38451764188989</v>
      </c>
      <c r="AA3871" s="0" t="n">
        <f aca="false">X3871-Z3871</f>
        <v>45.3393767294551</v>
      </c>
      <c r="AB3871" s="0" t="n">
        <f aca="false">X3871+Z3871</f>
        <v>48.1084120132349</v>
      </c>
      <c r="AC3871" s="54" t="b">
        <f aca="false">AND(E3871&gt;=01_因子設定!$L$5-0.000000001,E3871&lt;=01_因子設定!$M$5+0.000000001,F3871&gt;=01_因子設定!$L$6-0.000000001,F3871&lt;=01_因子設定!$M$6+0.000000001,G3871&gt;=01_因子設定!$L$7-0.000000001,G3871&lt;=01_因子設定!$M$7+0.000000001,H3871&gt;=01_因子設定!$L$8-0.000000001,H3871&lt;=01_因子設定!$M$8+0.000000001,IF(01_因子設定!$B$20="Box-Behnken",E3871^2+F3871^2+G3871^2+H3871^2&lt;=2+0.000000001,TRUE()))</f>
        <v>1</v>
      </c>
      <c r="AD3871" s="55" t="n">
        <f aca="false">IF(AC3871,IF(01_因子設定!$B$13="最大化",AA3871-01_因子設定!$B$14,IF(01_因子設定!$B$13="最小化",01_因子設定!$B$15-AB3871,MIN(AA3871-01_因子設定!$B$14,01_因子設定!$B$15-AB3871))),-1E+030)</f>
        <v>-1.16062327054492</v>
      </c>
      <c r="AE3871" s="55" t="n">
        <f aca="false">IF(AC3871,IF(01_因子設定!$B$13="最大化",X3871,IF(01_因子設定!$B$13="最小化",-X3871,-ABS(X3871-01_因子設定!$B$16))),-1E+030)</f>
        <v>46.723894371345</v>
      </c>
      <c r="AF3871" s="55" t="n">
        <f aca="false">AD3871+ROW()*0.000000001</f>
        <v>-1.16061939954492</v>
      </c>
      <c r="AG3871" s="55" t="n">
        <f aca="false">AE3871+ROW()*0.000000001</f>
        <v>46.723898242345</v>
      </c>
    </row>
    <row r="3872" customFormat="false" ht="15" hidden="false" customHeight="false" outlineLevel="0" collapsed="false">
      <c r="A3872" s="0" t="n">
        <v>5</v>
      </c>
      <c r="B3872" s="0" t="n">
        <v>2</v>
      </c>
      <c r="C3872" s="0" t="n">
        <v>6</v>
      </c>
      <c r="D3872" s="0" t="n">
        <v>6</v>
      </c>
      <c r="E3872" s="0" t="n">
        <f aca="false">-1+A3872*0.25</f>
        <v>0.25</v>
      </c>
      <c r="F3872" s="0" t="n">
        <f aca="false">-1+B3872*0.25</f>
        <v>-0.5</v>
      </c>
      <c r="G3872" s="0" t="n">
        <f aca="false">-1+C3872*0.25</f>
        <v>0.5</v>
      </c>
      <c r="H3872" s="0" t="n">
        <f aca="false">-1+D3872*0.25</f>
        <v>0.5</v>
      </c>
      <c r="I3872" s="0" t="n">
        <f aca="false">1</f>
        <v>1</v>
      </c>
      <c r="J3872" s="0" t="n">
        <f aca="false">E3872</f>
        <v>0.25</v>
      </c>
      <c r="K3872" s="0" t="n">
        <f aca="false">F3872</f>
        <v>-0.5</v>
      </c>
      <c r="L3872" s="0" t="n">
        <f aca="false">G3872</f>
        <v>0.5</v>
      </c>
      <c r="M3872" s="0" t="n">
        <f aca="false">H3872</f>
        <v>0.5</v>
      </c>
      <c r="N3872" s="0" t="n">
        <f aca="false">E3872*F3872</f>
        <v>-0.125</v>
      </c>
      <c r="O3872" s="0" t="n">
        <f aca="false">E3872*G3872</f>
        <v>0.125</v>
      </c>
      <c r="P3872" s="0" t="n">
        <f aca="false">E3872*H3872</f>
        <v>0.125</v>
      </c>
      <c r="Q3872" s="0" t="n">
        <f aca="false">F3872*G3872</f>
        <v>-0.25</v>
      </c>
      <c r="R3872" s="0" t="n">
        <f aca="false">F3872*H3872</f>
        <v>-0.25</v>
      </c>
      <c r="S3872" s="0" t="n">
        <f aca="false">G3872*H3872</f>
        <v>0.25</v>
      </c>
      <c r="T3872" s="0" t="n">
        <f aca="false">E3872*E3872</f>
        <v>0.0625</v>
      </c>
      <c r="U3872" s="0" t="n">
        <f aca="false">F3872*F3872</f>
        <v>0.25</v>
      </c>
      <c r="V3872" s="0" t="n">
        <f aca="false">G3872*G3872</f>
        <v>0.25</v>
      </c>
      <c r="W3872" s="0" t="n">
        <f aca="false">H3872*H3872</f>
        <v>0.25</v>
      </c>
      <c r="X3872" s="0" t="n">
        <f aca="false">SUMPRODUCT(I3872:W3872,_XtX!$B$96:$P$96)</f>
        <v>46.8238852339181</v>
      </c>
      <c r="Y3872" s="0" t="n">
        <f aca="false">SUMPRODUCT(MMULT(I3872:W3872,_XtX!$B$78:$P$92),I3872:W3872)</f>
        <v>0.133937545687135</v>
      </c>
      <c r="Z3872" s="0" t="n">
        <f aca="false">04_回帰ANOVA!$K$19*04_回帰ANOVA!$K$14*SQRT(1+Y3872)</f>
        <v>1.38801116780825</v>
      </c>
      <c r="AA3872" s="0" t="n">
        <f aca="false">X3872-Z3872</f>
        <v>45.4358740661098</v>
      </c>
      <c r="AB3872" s="0" t="n">
        <f aca="false">X3872+Z3872</f>
        <v>48.2118964017263</v>
      </c>
      <c r="AC3872" s="54" t="b">
        <f aca="false">AND(E3872&gt;=01_因子設定!$L$5-0.000000001,E3872&lt;=01_因子設定!$M$5+0.000000001,F3872&gt;=01_因子設定!$L$6-0.000000001,F3872&lt;=01_因子設定!$M$6+0.000000001,G3872&gt;=01_因子設定!$L$7-0.000000001,G3872&lt;=01_因子設定!$M$7+0.000000001,H3872&gt;=01_因子設定!$L$8-0.000000001,H3872&lt;=01_因子設定!$M$8+0.000000001,IF(01_因子設定!$B$20="Box-Behnken",E3872^2+F3872^2+G3872^2+H3872^2&lt;=2+0.000000001,TRUE()))</f>
        <v>1</v>
      </c>
      <c r="AD3872" s="55" t="n">
        <f aca="false">IF(AC3872,IF(01_因子設定!$B$13="最大化",AA3872-01_因子設定!$B$14,IF(01_因子設定!$B$13="最小化",01_因子設定!$B$15-AB3872,MIN(AA3872-01_因子設定!$B$14,01_因子設定!$B$15-AB3872))),-1E+030)</f>
        <v>-1.06412593389017</v>
      </c>
      <c r="AE3872" s="55" t="n">
        <f aca="false">IF(AC3872,IF(01_因子設定!$B$13="最大化",X3872,IF(01_因子設定!$B$13="最小化",-X3872,-ABS(X3872-01_因子設定!$B$16))),-1E+030)</f>
        <v>46.8238852339181</v>
      </c>
      <c r="AF3872" s="55" t="n">
        <f aca="false">AD3872+ROW()*0.000000001</f>
        <v>-1.06412206189017</v>
      </c>
      <c r="AG3872" s="55" t="n">
        <f aca="false">AE3872+ROW()*0.000000001</f>
        <v>46.8238891059181</v>
      </c>
    </row>
    <row r="3873" customFormat="false" ht="15" hidden="false" customHeight="false" outlineLevel="0" collapsed="false">
      <c r="A3873" s="0" t="n">
        <v>5</v>
      </c>
      <c r="B3873" s="0" t="n">
        <v>2</v>
      </c>
      <c r="C3873" s="0" t="n">
        <v>6</v>
      </c>
      <c r="D3873" s="0" t="n">
        <v>7</v>
      </c>
      <c r="E3873" s="0" t="n">
        <f aca="false">-1+A3873*0.25</f>
        <v>0.25</v>
      </c>
      <c r="F3873" s="0" t="n">
        <f aca="false">-1+B3873*0.25</f>
        <v>-0.5</v>
      </c>
      <c r="G3873" s="0" t="n">
        <f aca="false">-1+C3873*0.25</f>
        <v>0.5</v>
      </c>
      <c r="H3873" s="0" t="n">
        <f aca="false">-1+D3873*0.25</f>
        <v>0.75</v>
      </c>
      <c r="I3873" s="0" t="n">
        <f aca="false">1</f>
        <v>1</v>
      </c>
      <c r="J3873" s="0" t="n">
        <f aca="false">E3873</f>
        <v>0.25</v>
      </c>
      <c r="K3873" s="0" t="n">
        <f aca="false">F3873</f>
        <v>-0.5</v>
      </c>
      <c r="L3873" s="0" t="n">
        <f aca="false">G3873</f>
        <v>0.5</v>
      </c>
      <c r="M3873" s="0" t="n">
        <f aca="false">H3873</f>
        <v>0.75</v>
      </c>
      <c r="N3873" s="0" t="n">
        <f aca="false">E3873*F3873</f>
        <v>-0.125</v>
      </c>
      <c r="O3873" s="0" t="n">
        <f aca="false">E3873*G3873</f>
        <v>0.125</v>
      </c>
      <c r="P3873" s="0" t="n">
        <f aca="false">E3873*H3873</f>
        <v>0.1875</v>
      </c>
      <c r="Q3873" s="0" t="n">
        <f aca="false">F3873*G3873</f>
        <v>-0.25</v>
      </c>
      <c r="R3873" s="0" t="n">
        <f aca="false">F3873*H3873</f>
        <v>-0.375</v>
      </c>
      <c r="S3873" s="0" t="n">
        <f aca="false">G3873*H3873</f>
        <v>0.375</v>
      </c>
      <c r="T3873" s="0" t="n">
        <f aca="false">E3873*E3873</f>
        <v>0.0625</v>
      </c>
      <c r="U3873" s="0" t="n">
        <f aca="false">F3873*F3873</f>
        <v>0.25</v>
      </c>
      <c r="V3873" s="0" t="n">
        <f aca="false">G3873*G3873</f>
        <v>0.25</v>
      </c>
      <c r="W3873" s="0" t="n">
        <f aca="false">H3873*H3873</f>
        <v>0.5625</v>
      </c>
      <c r="X3873" s="0" t="n">
        <f aca="false">SUMPRODUCT(I3873:W3873,_XtX!$B$96:$P$96)</f>
        <v>46.8760690789473</v>
      </c>
      <c r="Y3873" s="0" t="n">
        <f aca="false">SUMPRODUCT(MMULT(I3873:W3873,_XtX!$B$78:$P$92),I3873:W3873)</f>
        <v>0.203746059484649</v>
      </c>
      <c r="Z3873" s="0" t="n">
        <f aca="false">04_回帰ANOVA!$K$19*04_回帰ANOVA!$K$14*SQRT(1+Y3873)</f>
        <v>1.43009810755465</v>
      </c>
      <c r="AA3873" s="0" t="n">
        <f aca="false">X3873-Z3873</f>
        <v>45.4459709713927</v>
      </c>
      <c r="AB3873" s="0" t="n">
        <f aca="false">X3873+Z3873</f>
        <v>48.306167186502</v>
      </c>
      <c r="AC3873" s="54" t="b">
        <f aca="false">AND(E3873&gt;=01_因子設定!$L$5-0.000000001,E3873&lt;=01_因子設定!$M$5+0.000000001,F3873&gt;=01_因子設定!$L$6-0.000000001,F3873&lt;=01_因子設定!$M$6+0.000000001,G3873&gt;=01_因子設定!$L$7-0.000000001,G3873&lt;=01_因子設定!$M$7+0.000000001,H3873&gt;=01_因子設定!$L$8-0.000000001,H3873&lt;=01_因子設定!$M$8+0.000000001,IF(01_因子設定!$B$20="Box-Behnken",E3873^2+F3873^2+G3873^2+H3873^2&lt;=2+0.000000001,TRUE()))</f>
        <v>1</v>
      </c>
      <c r="AD3873" s="55" t="n">
        <f aca="false">IF(AC3873,IF(01_因子設定!$B$13="最大化",AA3873-01_因子設定!$B$14,IF(01_因子設定!$B$13="最小化",01_因子設定!$B$15-AB3873,MIN(AA3873-01_因子設定!$B$14,01_因子設定!$B$15-AB3873))),-1E+030)</f>
        <v>-1.05402902860732</v>
      </c>
      <c r="AE3873" s="55" t="n">
        <f aca="false">IF(AC3873,IF(01_因子設定!$B$13="最大化",X3873,IF(01_因子設定!$B$13="最小化",-X3873,-ABS(X3873-01_因子設定!$B$16))),-1E+030)</f>
        <v>46.8760690789473</v>
      </c>
      <c r="AF3873" s="55" t="n">
        <f aca="false">AD3873+ROW()*0.000000001</f>
        <v>-1.05402515560732</v>
      </c>
      <c r="AG3873" s="55" t="n">
        <f aca="false">AE3873+ROW()*0.000000001</f>
        <v>46.8760729519473</v>
      </c>
    </row>
    <row r="3874" customFormat="false" ht="15" hidden="false" customHeight="false" outlineLevel="0" collapsed="false">
      <c r="A3874" s="0" t="n">
        <v>5</v>
      </c>
      <c r="B3874" s="0" t="n">
        <v>2</v>
      </c>
      <c r="C3874" s="0" t="n">
        <v>6</v>
      </c>
      <c r="D3874" s="0" t="n">
        <v>8</v>
      </c>
      <c r="E3874" s="0" t="n">
        <f aca="false">-1+A3874*0.25</f>
        <v>0.25</v>
      </c>
      <c r="F3874" s="0" t="n">
        <f aca="false">-1+B3874*0.25</f>
        <v>-0.5</v>
      </c>
      <c r="G3874" s="0" t="n">
        <f aca="false">-1+C3874*0.25</f>
        <v>0.5</v>
      </c>
      <c r="H3874" s="0" t="n">
        <f aca="false">-1+D3874*0.25</f>
        <v>1</v>
      </c>
      <c r="I3874" s="0" t="n">
        <f aca="false">1</f>
        <v>1</v>
      </c>
      <c r="J3874" s="0" t="n">
        <f aca="false">E3874</f>
        <v>0.25</v>
      </c>
      <c r="K3874" s="0" t="n">
        <f aca="false">F3874</f>
        <v>-0.5</v>
      </c>
      <c r="L3874" s="0" t="n">
        <f aca="false">G3874</f>
        <v>0.5</v>
      </c>
      <c r="M3874" s="0" t="n">
        <f aca="false">H3874</f>
        <v>1</v>
      </c>
      <c r="N3874" s="0" t="n">
        <f aca="false">E3874*F3874</f>
        <v>-0.125</v>
      </c>
      <c r="O3874" s="0" t="n">
        <f aca="false">E3874*G3874</f>
        <v>0.125</v>
      </c>
      <c r="P3874" s="0" t="n">
        <f aca="false">E3874*H3874</f>
        <v>0.25</v>
      </c>
      <c r="Q3874" s="0" t="n">
        <f aca="false">F3874*G3874</f>
        <v>-0.25</v>
      </c>
      <c r="R3874" s="0" t="n">
        <f aca="false">F3874*H3874</f>
        <v>-0.5</v>
      </c>
      <c r="S3874" s="0" t="n">
        <f aca="false">G3874*H3874</f>
        <v>0.5</v>
      </c>
      <c r="T3874" s="0" t="n">
        <f aca="false">E3874*E3874</f>
        <v>0.0625</v>
      </c>
      <c r="U3874" s="0" t="n">
        <f aca="false">F3874*F3874</f>
        <v>0.25</v>
      </c>
      <c r="V3874" s="0" t="n">
        <f aca="false">G3874*G3874</f>
        <v>0.25</v>
      </c>
      <c r="W3874" s="0" t="n">
        <f aca="false">H3874*H3874</f>
        <v>1</v>
      </c>
      <c r="X3874" s="0" t="n">
        <f aca="false">SUMPRODUCT(I3874:W3874,_XtX!$B$96:$P$96)</f>
        <v>46.8804459064327</v>
      </c>
      <c r="Y3874" s="0" t="n">
        <f aca="false">SUMPRODUCT(MMULT(I3874:W3874,_XtX!$B$78:$P$92),I3874:W3874)</f>
        <v>0.428122715643275</v>
      </c>
      <c r="Z3874" s="0" t="n">
        <f aca="false">04_回帰ANOVA!$K$19*04_回帰ANOVA!$K$14*SQRT(1+Y3874)</f>
        <v>1.55769044623229</v>
      </c>
      <c r="AA3874" s="0" t="n">
        <f aca="false">X3874-Z3874</f>
        <v>45.3227554602004</v>
      </c>
      <c r="AB3874" s="0" t="n">
        <f aca="false">X3874+Z3874</f>
        <v>48.438136352665</v>
      </c>
      <c r="AC3874" s="54" t="b">
        <f aca="false">AND(E3874&gt;=01_因子設定!$L$5-0.000000001,E3874&lt;=01_因子設定!$M$5+0.000000001,F3874&gt;=01_因子設定!$L$6-0.000000001,F3874&lt;=01_因子設定!$M$6+0.000000001,G3874&gt;=01_因子設定!$L$7-0.000000001,G3874&lt;=01_因子設定!$M$7+0.000000001,H3874&gt;=01_因子設定!$L$8-0.000000001,H3874&lt;=01_因子設定!$M$8+0.000000001,IF(01_因子設定!$B$20="Box-Behnken",E3874^2+F3874^2+G3874^2+H3874^2&lt;=2+0.000000001,TRUE()))</f>
        <v>1</v>
      </c>
      <c r="AD3874" s="55" t="n">
        <f aca="false">IF(AC3874,IF(01_因子設定!$B$13="最大化",AA3874-01_因子設定!$B$14,IF(01_因子設定!$B$13="最小化",01_因子設定!$B$15-AB3874,MIN(AA3874-01_因子設定!$B$14,01_因子設定!$B$15-AB3874))),-1E+030)</f>
        <v>-1.17724453979957</v>
      </c>
      <c r="AE3874" s="55" t="n">
        <f aca="false">IF(AC3874,IF(01_因子設定!$B$13="最大化",X3874,IF(01_因子設定!$B$13="最小化",-X3874,-ABS(X3874-01_因子設定!$B$16))),-1E+030)</f>
        <v>46.8804459064327</v>
      </c>
      <c r="AF3874" s="55" t="n">
        <f aca="false">AD3874+ROW()*0.000000001</f>
        <v>-1.17724066579957</v>
      </c>
      <c r="AG3874" s="55" t="n">
        <f aca="false">AE3874+ROW()*0.000000001</f>
        <v>46.8804497804327</v>
      </c>
    </row>
    <row r="3875" customFormat="false" ht="15" hidden="false" customHeight="false" outlineLevel="0" collapsed="false">
      <c r="A3875" s="0" t="n">
        <v>5</v>
      </c>
      <c r="B3875" s="0" t="n">
        <v>2</v>
      </c>
      <c r="C3875" s="0" t="n">
        <v>7</v>
      </c>
      <c r="D3875" s="0" t="n">
        <v>0</v>
      </c>
      <c r="E3875" s="0" t="n">
        <f aca="false">-1+A3875*0.25</f>
        <v>0.25</v>
      </c>
      <c r="F3875" s="0" t="n">
        <f aca="false">-1+B3875*0.25</f>
        <v>-0.5</v>
      </c>
      <c r="G3875" s="0" t="n">
        <f aca="false">-1+C3875*0.25</f>
        <v>0.75</v>
      </c>
      <c r="H3875" s="0" t="n">
        <f aca="false">-1+D3875*0.25</f>
        <v>-1</v>
      </c>
      <c r="I3875" s="0" t="n">
        <f aca="false">1</f>
        <v>1</v>
      </c>
      <c r="J3875" s="0" t="n">
        <f aca="false">E3875</f>
        <v>0.25</v>
      </c>
      <c r="K3875" s="0" t="n">
        <f aca="false">F3875</f>
        <v>-0.5</v>
      </c>
      <c r="L3875" s="0" t="n">
        <f aca="false">G3875</f>
        <v>0.75</v>
      </c>
      <c r="M3875" s="0" t="n">
        <f aca="false">H3875</f>
        <v>-1</v>
      </c>
      <c r="N3875" s="0" t="n">
        <f aca="false">E3875*F3875</f>
        <v>-0.125</v>
      </c>
      <c r="O3875" s="0" t="n">
        <f aca="false">E3875*G3875</f>
        <v>0.1875</v>
      </c>
      <c r="P3875" s="0" t="n">
        <f aca="false">E3875*H3875</f>
        <v>-0.25</v>
      </c>
      <c r="Q3875" s="0" t="n">
        <f aca="false">F3875*G3875</f>
        <v>-0.375</v>
      </c>
      <c r="R3875" s="0" t="n">
        <f aca="false">F3875*H3875</f>
        <v>0.5</v>
      </c>
      <c r="S3875" s="0" t="n">
        <f aca="false">G3875*H3875</f>
        <v>-0.75</v>
      </c>
      <c r="T3875" s="0" t="n">
        <f aca="false">E3875*E3875</f>
        <v>0.0625</v>
      </c>
      <c r="U3875" s="0" t="n">
        <f aca="false">F3875*F3875</f>
        <v>0.25</v>
      </c>
      <c r="V3875" s="0" t="n">
        <f aca="false">G3875*G3875</f>
        <v>0.5625</v>
      </c>
      <c r="W3875" s="0" t="n">
        <f aca="false">H3875*H3875</f>
        <v>1</v>
      </c>
      <c r="X3875" s="0" t="n">
        <f aca="false">SUMPRODUCT(I3875:W3875,_XtX!$B$96:$P$96)</f>
        <v>45.3878380847953</v>
      </c>
      <c r="Y3875" s="0" t="n">
        <f aca="false">SUMPRODUCT(MMULT(I3875:W3875,_XtX!$B$78:$P$92),I3875:W3875)</f>
        <v>0.459125719572369</v>
      </c>
      <c r="Z3875" s="0" t="n">
        <f aca="false">04_回帰ANOVA!$K$19*04_回帰ANOVA!$K$14*SQRT(1+Y3875)</f>
        <v>1.57450755575573</v>
      </c>
      <c r="AA3875" s="0" t="n">
        <f aca="false">X3875-Z3875</f>
        <v>43.8133305290396</v>
      </c>
      <c r="AB3875" s="0" t="n">
        <f aca="false">X3875+Z3875</f>
        <v>46.962345640551</v>
      </c>
      <c r="AC3875" s="54" t="b">
        <f aca="false">AND(E3875&gt;=01_因子設定!$L$5-0.000000001,E3875&lt;=01_因子設定!$M$5+0.000000001,F3875&gt;=01_因子設定!$L$6-0.000000001,F3875&lt;=01_因子設定!$M$6+0.000000001,G3875&gt;=01_因子設定!$L$7-0.000000001,G3875&lt;=01_因子設定!$M$7+0.000000001,H3875&gt;=01_因子設定!$L$8-0.000000001,H3875&lt;=01_因子設定!$M$8+0.000000001,IF(01_因子設定!$B$20="Box-Behnken",E3875^2+F3875^2+G3875^2+H3875^2&lt;=2+0.000000001,TRUE()))</f>
        <v>1</v>
      </c>
      <c r="AD3875" s="55" t="n">
        <f aca="false">IF(AC3875,IF(01_因子設定!$B$13="最大化",AA3875-01_因子設定!$B$14,IF(01_因子設定!$B$13="最小化",01_因子設定!$B$15-AB3875,MIN(AA3875-01_因子設定!$B$14,01_因子設定!$B$15-AB3875))),-1E+030)</f>
        <v>-2.68666947096043</v>
      </c>
      <c r="AE3875" s="55" t="n">
        <f aca="false">IF(AC3875,IF(01_因子設定!$B$13="最大化",X3875,IF(01_因子設定!$B$13="最小化",-X3875,-ABS(X3875-01_因子設定!$B$16))),-1E+030)</f>
        <v>45.3878380847953</v>
      </c>
      <c r="AF3875" s="55" t="n">
        <f aca="false">AD3875+ROW()*0.000000001</f>
        <v>-2.68666559596043</v>
      </c>
      <c r="AG3875" s="55" t="n">
        <f aca="false">AE3875+ROW()*0.000000001</f>
        <v>45.3878419597953</v>
      </c>
    </row>
    <row r="3876" customFormat="false" ht="15" hidden="false" customHeight="false" outlineLevel="0" collapsed="false">
      <c r="A3876" s="0" t="n">
        <v>5</v>
      </c>
      <c r="B3876" s="0" t="n">
        <v>2</v>
      </c>
      <c r="C3876" s="0" t="n">
        <v>7</v>
      </c>
      <c r="D3876" s="0" t="n">
        <v>1</v>
      </c>
      <c r="E3876" s="0" t="n">
        <f aca="false">-1+A3876*0.25</f>
        <v>0.25</v>
      </c>
      <c r="F3876" s="0" t="n">
        <f aca="false">-1+B3876*0.25</f>
        <v>-0.5</v>
      </c>
      <c r="G3876" s="0" t="n">
        <f aca="false">-1+C3876*0.25</f>
        <v>0.75</v>
      </c>
      <c r="H3876" s="0" t="n">
        <f aca="false">-1+D3876*0.25</f>
        <v>-0.75</v>
      </c>
      <c r="I3876" s="0" t="n">
        <f aca="false">1</f>
        <v>1</v>
      </c>
      <c r="J3876" s="0" t="n">
        <f aca="false">E3876</f>
        <v>0.25</v>
      </c>
      <c r="K3876" s="0" t="n">
        <f aca="false">F3876</f>
        <v>-0.5</v>
      </c>
      <c r="L3876" s="0" t="n">
        <f aca="false">G3876</f>
        <v>0.75</v>
      </c>
      <c r="M3876" s="0" t="n">
        <f aca="false">H3876</f>
        <v>-0.75</v>
      </c>
      <c r="N3876" s="0" t="n">
        <f aca="false">E3876*F3876</f>
        <v>-0.125</v>
      </c>
      <c r="O3876" s="0" t="n">
        <f aca="false">E3876*G3876</f>
        <v>0.1875</v>
      </c>
      <c r="P3876" s="0" t="n">
        <f aca="false">E3876*H3876</f>
        <v>-0.1875</v>
      </c>
      <c r="Q3876" s="0" t="n">
        <f aca="false">F3876*G3876</f>
        <v>-0.375</v>
      </c>
      <c r="R3876" s="0" t="n">
        <f aca="false">F3876*H3876</f>
        <v>0.375</v>
      </c>
      <c r="S3876" s="0" t="n">
        <f aca="false">G3876*H3876</f>
        <v>-0.5625</v>
      </c>
      <c r="T3876" s="0" t="n">
        <f aca="false">E3876*E3876</f>
        <v>0.0625</v>
      </c>
      <c r="U3876" s="0" t="n">
        <f aca="false">F3876*F3876</f>
        <v>0.25</v>
      </c>
      <c r="V3876" s="0" t="n">
        <f aca="false">G3876*G3876</f>
        <v>0.5625</v>
      </c>
      <c r="W3876" s="0" t="n">
        <f aca="false">H3876*H3876</f>
        <v>0.5625</v>
      </c>
      <c r="X3876" s="0" t="n">
        <f aca="false">SUMPRODUCT(I3876:W3876,_XtX!$B$96:$P$96)</f>
        <v>45.7448327850877</v>
      </c>
      <c r="Y3876" s="0" t="n">
        <f aca="false">SUMPRODUCT(MMULT(I3876:W3876,_XtX!$B$78:$P$92),I3876:W3876)</f>
        <v>0.257385610836988</v>
      </c>
      <c r="Z3876" s="0" t="n">
        <f aca="false">04_回帰ANOVA!$K$19*04_回帰ANOVA!$K$14*SQRT(1+Y3876)</f>
        <v>1.46161380324158</v>
      </c>
      <c r="AA3876" s="0" t="n">
        <f aca="false">X3876-Z3876</f>
        <v>44.2832189818461</v>
      </c>
      <c r="AB3876" s="0" t="n">
        <f aca="false">X3876+Z3876</f>
        <v>47.2064465883293</v>
      </c>
      <c r="AC3876" s="54" t="b">
        <f aca="false">AND(E3876&gt;=01_因子設定!$L$5-0.000000001,E3876&lt;=01_因子設定!$M$5+0.000000001,F3876&gt;=01_因子設定!$L$6-0.000000001,F3876&lt;=01_因子設定!$M$6+0.000000001,G3876&gt;=01_因子設定!$L$7-0.000000001,G3876&lt;=01_因子設定!$M$7+0.000000001,H3876&gt;=01_因子設定!$L$8-0.000000001,H3876&lt;=01_因子設定!$M$8+0.000000001,IF(01_因子設定!$B$20="Box-Behnken",E3876^2+F3876^2+G3876^2+H3876^2&lt;=2+0.000000001,TRUE()))</f>
        <v>1</v>
      </c>
      <c r="AD3876" s="55" t="n">
        <f aca="false">IF(AC3876,IF(01_因子設定!$B$13="最大化",AA3876-01_因子設定!$B$14,IF(01_因子設定!$B$13="最小化",01_因子設定!$B$15-AB3876,MIN(AA3876-01_因子設定!$B$14,01_因子設定!$B$15-AB3876))),-1E+030)</f>
        <v>-2.2167810181539</v>
      </c>
      <c r="AE3876" s="55" t="n">
        <f aca="false">IF(AC3876,IF(01_因子設定!$B$13="最大化",X3876,IF(01_因子設定!$B$13="最小化",-X3876,-ABS(X3876-01_因子設定!$B$16))),-1E+030)</f>
        <v>45.7448327850877</v>
      </c>
      <c r="AF3876" s="55" t="n">
        <f aca="false">AD3876+ROW()*0.000000001</f>
        <v>-2.2167771421539</v>
      </c>
      <c r="AG3876" s="55" t="n">
        <f aca="false">AE3876+ROW()*0.000000001</f>
        <v>45.7448366610877</v>
      </c>
    </row>
    <row r="3877" customFormat="false" ht="15" hidden="false" customHeight="false" outlineLevel="0" collapsed="false">
      <c r="A3877" s="0" t="n">
        <v>5</v>
      </c>
      <c r="B3877" s="0" t="n">
        <v>2</v>
      </c>
      <c r="C3877" s="0" t="n">
        <v>7</v>
      </c>
      <c r="D3877" s="0" t="n">
        <v>2</v>
      </c>
      <c r="E3877" s="0" t="n">
        <f aca="false">-1+A3877*0.25</f>
        <v>0.25</v>
      </c>
      <c r="F3877" s="0" t="n">
        <f aca="false">-1+B3877*0.25</f>
        <v>-0.5</v>
      </c>
      <c r="G3877" s="0" t="n">
        <f aca="false">-1+C3877*0.25</f>
        <v>0.75</v>
      </c>
      <c r="H3877" s="0" t="n">
        <f aca="false">-1+D3877*0.25</f>
        <v>-0.5</v>
      </c>
      <c r="I3877" s="0" t="n">
        <f aca="false">1</f>
        <v>1</v>
      </c>
      <c r="J3877" s="0" t="n">
        <f aca="false">E3877</f>
        <v>0.25</v>
      </c>
      <c r="K3877" s="0" t="n">
        <f aca="false">F3877</f>
        <v>-0.5</v>
      </c>
      <c r="L3877" s="0" t="n">
        <f aca="false">G3877</f>
        <v>0.75</v>
      </c>
      <c r="M3877" s="0" t="n">
        <f aca="false">H3877</f>
        <v>-0.5</v>
      </c>
      <c r="N3877" s="0" t="n">
        <f aca="false">E3877*F3877</f>
        <v>-0.125</v>
      </c>
      <c r="O3877" s="0" t="n">
        <f aca="false">E3877*G3877</f>
        <v>0.1875</v>
      </c>
      <c r="P3877" s="0" t="n">
        <f aca="false">E3877*H3877</f>
        <v>-0.125</v>
      </c>
      <c r="Q3877" s="0" t="n">
        <f aca="false">F3877*G3877</f>
        <v>-0.375</v>
      </c>
      <c r="R3877" s="0" t="n">
        <f aca="false">F3877*H3877</f>
        <v>0.25</v>
      </c>
      <c r="S3877" s="0" t="n">
        <f aca="false">G3877*H3877</f>
        <v>-0.375</v>
      </c>
      <c r="T3877" s="0" t="n">
        <f aca="false">E3877*E3877</f>
        <v>0.0625</v>
      </c>
      <c r="U3877" s="0" t="n">
        <f aca="false">F3877*F3877</f>
        <v>0.25</v>
      </c>
      <c r="V3877" s="0" t="n">
        <f aca="false">G3877*G3877</f>
        <v>0.5625</v>
      </c>
      <c r="W3877" s="0" t="n">
        <f aca="false">H3877*H3877</f>
        <v>0.25</v>
      </c>
      <c r="X3877" s="0" t="n">
        <f aca="false">SUMPRODUCT(I3877:W3877,_XtX!$B$96:$P$96)</f>
        <v>46.0540204678362</v>
      </c>
      <c r="Y3877" s="0" t="n">
        <f aca="false">SUMPRODUCT(MMULT(I3877:W3877,_XtX!$B$78:$P$92),I3877:W3877)</f>
        <v>0.203746059484649</v>
      </c>
      <c r="Z3877" s="0" t="n">
        <f aca="false">04_回帰ANOVA!$K$19*04_回帰ANOVA!$K$14*SQRT(1+Y3877)</f>
        <v>1.43009810755465</v>
      </c>
      <c r="AA3877" s="0" t="n">
        <f aca="false">X3877-Z3877</f>
        <v>44.6239223602816</v>
      </c>
      <c r="AB3877" s="0" t="n">
        <f aca="false">X3877+Z3877</f>
        <v>47.4841185753909</v>
      </c>
      <c r="AC3877" s="54" t="b">
        <f aca="false">AND(E3877&gt;=01_因子設定!$L$5-0.000000001,E3877&lt;=01_因子設定!$M$5+0.000000001,F3877&gt;=01_因子設定!$L$6-0.000000001,F3877&lt;=01_因子設定!$M$6+0.000000001,G3877&gt;=01_因子設定!$L$7-0.000000001,G3877&lt;=01_因子設定!$M$7+0.000000001,H3877&gt;=01_因子設定!$L$8-0.000000001,H3877&lt;=01_因子設定!$M$8+0.000000001,IF(01_因子設定!$B$20="Box-Behnken",E3877^2+F3877^2+G3877^2+H3877^2&lt;=2+0.000000001,TRUE()))</f>
        <v>1</v>
      </c>
      <c r="AD3877" s="55" t="n">
        <f aca="false">IF(AC3877,IF(01_因子設定!$B$13="最大化",AA3877-01_因子設定!$B$14,IF(01_因子設定!$B$13="最小化",01_因子設定!$B$15-AB3877,MIN(AA3877-01_因子設定!$B$14,01_因子設定!$B$15-AB3877))),-1E+030)</f>
        <v>-1.87607763971844</v>
      </c>
      <c r="AE3877" s="55" t="n">
        <f aca="false">IF(AC3877,IF(01_因子設定!$B$13="最大化",X3877,IF(01_因子設定!$B$13="最小化",-X3877,-ABS(X3877-01_因子設定!$B$16))),-1E+030)</f>
        <v>46.0540204678362</v>
      </c>
      <c r="AF3877" s="55" t="n">
        <f aca="false">AD3877+ROW()*0.000000001</f>
        <v>-1.87607376271844</v>
      </c>
      <c r="AG3877" s="55" t="n">
        <f aca="false">AE3877+ROW()*0.000000001</f>
        <v>46.0540243448362</v>
      </c>
    </row>
    <row r="3878" customFormat="false" ht="15" hidden="false" customHeight="false" outlineLevel="0" collapsed="false">
      <c r="A3878" s="0" t="n">
        <v>5</v>
      </c>
      <c r="B3878" s="0" t="n">
        <v>2</v>
      </c>
      <c r="C3878" s="0" t="n">
        <v>7</v>
      </c>
      <c r="D3878" s="0" t="n">
        <v>3</v>
      </c>
      <c r="E3878" s="0" t="n">
        <f aca="false">-1+A3878*0.25</f>
        <v>0.25</v>
      </c>
      <c r="F3878" s="0" t="n">
        <f aca="false">-1+B3878*0.25</f>
        <v>-0.5</v>
      </c>
      <c r="G3878" s="0" t="n">
        <f aca="false">-1+C3878*0.25</f>
        <v>0.75</v>
      </c>
      <c r="H3878" s="0" t="n">
        <f aca="false">-1+D3878*0.25</f>
        <v>-0.25</v>
      </c>
      <c r="I3878" s="0" t="n">
        <f aca="false">1</f>
        <v>1</v>
      </c>
      <c r="J3878" s="0" t="n">
        <f aca="false">E3878</f>
        <v>0.25</v>
      </c>
      <c r="K3878" s="0" t="n">
        <f aca="false">F3878</f>
        <v>-0.5</v>
      </c>
      <c r="L3878" s="0" t="n">
        <f aca="false">G3878</f>
        <v>0.75</v>
      </c>
      <c r="M3878" s="0" t="n">
        <f aca="false">H3878</f>
        <v>-0.25</v>
      </c>
      <c r="N3878" s="0" t="n">
        <f aca="false">E3878*F3878</f>
        <v>-0.125</v>
      </c>
      <c r="O3878" s="0" t="n">
        <f aca="false">E3878*G3878</f>
        <v>0.1875</v>
      </c>
      <c r="P3878" s="0" t="n">
        <f aca="false">E3878*H3878</f>
        <v>-0.0625</v>
      </c>
      <c r="Q3878" s="0" t="n">
        <f aca="false">F3878*G3878</f>
        <v>-0.375</v>
      </c>
      <c r="R3878" s="0" t="n">
        <f aca="false">F3878*H3878</f>
        <v>0.125</v>
      </c>
      <c r="S3878" s="0" t="n">
        <f aca="false">G3878*H3878</f>
        <v>-0.1875</v>
      </c>
      <c r="T3878" s="0" t="n">
        <f aca="false">E3878*E3878</f>
        <v>0.0625</v>
      </c>
      <c r="U3878" s="0" t="n">
        <f aca="false">F3878*F3878</f>
        <v>0.25</v>
      </c>
      <c r="V3878" s="0" t="n">
        <f aca="false">G3878*G3878</f>
        <v>0.5625</v>
      </c>
      <c r="W3878" s="0" t="n">
        <f aca="false">H3878*H3878</f>
        <v>0.0625</v>
      </c>
      <c r="X3878" s="0" t="n">
        <f aca="false">SUMPRODUCT(I3878:W3878,_XtX!$B$96:$P$96)</f>
        <v>46.3154011330409</v>
      </c>
      <c r="Y3878" s="0" t="n">
        <f aca="false">SUMPRODUCT(MMULT(I3878:W3878,_XtX!$B$78:$P$92),I3878:W3878)</f>
        <v>0.207746539199561</v>
      </c>
      <c r="Z3878" s="0" t="n">
        <f aca="false">04_回帰ANOVA!$K$19*04_回帰ANOVA!$K$14*SQRT(1+Y3878)</f>
        <v>1.43247250081141</v>
      </c>
      <c r="AA3878" s="0" t="n">
        <f aca="false">X3878-Z3878</f>
        <v>44.8829286322295</v>
      </c>
      <c r="AB3878" s="0" t="n">
        <f aca="false">X3878+Z3878</f>
        <v>47.7478736338523</v>
      </c>
      <c r="AC3878" s="54" t="b">
        <f aca="false">AND(E3878&gt;=01_因子設定!$L$5-0.000000001,E3878&lt;=01_因子設定!$M$5+0.000000001,F3878&gt;=01_因子設定!$L$6-0.000000001,F3878&lt;=01_因子設定!$M$6+0.000000001,G3878&gt;=01_因子設定!$L$7-0.000000001,G3878&lt;=01_因子設定!$M$7+0.000000001,H3878&gt;=01_因子設定!$L$8-0.000000001,H3878&lt;=01_因子設定!$M$8+0.000000001,IF(01_因子設定!$B$20="Box-Behnken",E3878^2+F3878^2+G3878^2+H3878^2&lt;=2+0.000000001,TRUE()))</f>
        <v>1</v>
      </c>
      <c r="AD3878" s="55" t="n">
        <f aca="false">IF(AC3878,IF(01_因子設定!$B$13="最大化",AA3878-01_因子設定!$B$14,IF(01_因子設定!$B$13="最小化",01_因子設定!$B$15-AB3878,MIN(AA3878-01_因子設定!$B$14,01_因子設定!$B$15-AB3878))),-1E+030)</f>
        <v>-1.61707136777053</v>
      </c>
      <c r="AE3878" s="55" t="n">
        <f aca="false">IF(AC3878,IF(01_因子設定!$B$13="最大化",X3878,IF(01_因子設定!$B$13="最小化",-X3878,-ABS(X3878-01_因子設定!$B$16))),-1E+030)</f>
        <v>46.3154011330409</v>
      </c>
      <c r="AF3878" s="55" t="n">
        <f aca="false">AD3878+ROW()*0.000000001</f>
        <v>-1.61706748977053</v>
      </c>
      <c r="AG3878" s="55" t="n">
        <f aca="false">AE3878+ROW()*0.000000001</f>
        <v>46.3154050110409</v>
      </c>
    </row>
    <row r="3879" customFormat="false" ht="15" hidden="false" customHeight="false" outlineLevel="0" collapsed="false">
      <c r="A3879" s="0" t="n">
        <v>5</v>
      </c>
      <c r="B3879" s="0" t="n">
        <v>2</v>
      </c>
      <c r="C3879" s="0" t="n">
        <v>7</v>
      </c>
      <c r="D3879" s="0" t="n">
        <v>4</v>
      </c>
      <c r="E3879" s="0" t="n">
        <f aca="false">-1+A3879*0.25</f>
        <v>0.25</v>
      </c>
      <c r="F3879" s="0" t="n">
        <f aca="false">-1+B3879*0.25</f>
        <v>-0.5</v>
      </c>
      <c r="G3879" s="0" t="n">
        <f aca="false">-1+C3879*0.25</f>
        <v>0.75</v>
      </c>
      <c r="H3879" s="0" t="n">
        <f aca="false">-1+D3879*0.25</f>
        <v>0</v>
      </c>
      <c r="I3879" s="0" t="n">
        <f aca="false">1</f>
        <v>1</v>
      </c>
      <c r="J3879" s="0" t="n">
        <f aca="false">E3879</f>
        <v>0.25</v>
      </c>
      <c r="K3879" s="0" t="n">
        <f aca="false">F3879</f>
        <v>-0.5</v>
      </c>
      <c r="L3879" s="0" t="n">
        <f aca="false">G3879</f>
        <v>0.75</v>
      </c>
      <c r="M3879" s="0" t="n">
        <f aca="false">H3879</f>
        <v>0</v>
      </c>
      <c r="N3879" s="0" t="n">
        <f aca="false">E3879*F3879</f>
        <v>-0.125</v>
      </c>
      <c r="O3879" s="0" t="n">
        <f aca="false">E3879*G3879</f>
        <v>0.1875</v>
      </c>
      <c r="P3879" s="0" t="n">
        <f aca="false">E3879*H3879</f>
        <v>0</v>
      </c>
      <c r="Q3879" s="0" t="n">
        <f aca="false">F3879*G3879</f>
        <v>-0.375</v>
      </c>
      <c r="R3879" s="0" t="n">
        <f aca="false">F3879*H3879</f>
        <v>-0</v>
      </c>
      <c r="S3879" s="0" t="n">
        <f aca="false">G3879*H3879</f>
        <v>0</v>
      </c>
      <c r="T3879" s="0" t="n">
        <f aca="false">E3879*E3879</f>
        <v>0.0625</v>
      </c>
      <c r="U3879" s="0" t="n">
        <f aca="false">F3879*F3879</f>
        <v>0.25</v>
      </c>
      <c r="V3879" s="0" t="n">
        <f aca="false">G3879*G3879</f>
        <v>0.5625</v>
      </c>
      <c r="W3879" s="0" t="n">
        <f aca="false">H3879*H3879</f>
        <v>0</v>
      </c>
      <c r="X3879" s="0" t="n">
        <f aca="false">SUMPRODUCT(I3879:W3879,_XtX!$B$96:$P$96)</f>
        <v>46.5289747807017</v>
      </c>
      <c r="Y3879" s="0" t="n">
        <f aca="false">SUMPRODUCT(MMULT(I3879:W3879,_XtX!$B$78:$P$92),I3879:W3879)</f>
        <v>0.215110734192252</v>
      </c>
      <c r="Z3879" s="0" t="n">
        <f aca="false">04_回帰ANOVA!$K$19*04_回帰ANOVA!$K$14*SQRT(1+Y3879)</f>
        <v>1.43683309086864</v>
      </c>
      <c r="AA3879" s="0" t="n">
        <f aca="false">X3879-Z3879</f>
        <v>45.0921416898331</v>
      </c>
      <c r="AB3879" s="0" t="n">
        <f aca="false">X3879+Z3879</f>
        <v>47.9658078715703</v>
      </c>
      <c r="AC3879" s="54" t="b">
        <f aca="false">AND(E3879&gt;=01_因子設定!$L$5-0.000000001,E3879&lt;=01_因子設定!$M$5+0.000000001,F3879&gt;=01_因子設定!$L$6-0.000000001,F3879&lt;=01_因子設定!$M$6+0.000000001,G3879&gt;=01_因子設定!$L$7-0.000000001,G3879&lt;=01_因子設定!$M$7+0.000000001,H3879&gt;=01_因子設定!$L$8-0.000000001,H3879&lt;=01_因子設定!$M$8+0.000000001,IF(01_因子設定!$B$20="Box-Behnken",E3879^2+F3879^2+G3879^2+H3879^2&lt;=2+0.000000001,TRUE()))</f>
        <v>1</v>
      </c>
      <c r="AD3879" s="55" t="n">
        <f aca="false">IF(AC3879,IF(01_因子設定!$B$13="最大化",AA3879-01_因子設定!$B$14,IF(01_因子設定!$B$13="最小化",01_因子設定!$B$15-AB3879,MIN(AA3879-01_因子設定!$B$14,01_因子設定!$B$15-AB3879))),-1E+030)</f>
        <v>-1.40785831016695</v>
      </c>
      <c r="AE3879" s="55" t="n">
        <f aca="false">IF(AC3879,IF(01_因子設定!$B$13="最大化",X3879,IF(01_因子設定!$B$13="最小化",-X3879,-ABS(X3879-01_因子設定!$B$16))),-1E+030)</f>
        <v>46.5289747807017</v>
      </c>
      <c r="AF3879" s="55" t="n">
        <f aca="false">AD3879+ROW()*0.000000001</f>
        <v>-1.40785443116695</v>
      </c>
      <c r="AG3879" s="55" t="n">
        <f aca="false">AE3879+ROW()*0.000000001</f>
        <v>46.5289786597017</v>
      </c>
    </row>
    <row r="3880" customFormat="false" ht="15" hidden="false" customHeight="false" outlineLevel="0" collapsed="false">
      <c r="A3880" s="0" t="n">
        <v>5</v>
      </c>
      <c r="B3880" s="0" t="n">
        <v>2</v>
      </c>
      <c r="C3880" s="0" t="n">
        <v>7</v>
      </c>
      <c r="D3880" s="0" t="n">
        <v>5</v>
      </c>
      <c r="E3880" s="0" t="n">
        <f aca="false">-1+A3880*0.25</f>
        <v>0.25</v>
      </c>
      <c r="F3880" s="0" t="n">
        <f aca="false">-1+B3880*0.25</f>
        <v>-0.5</v>
      </c>
      <c r="G3880" s="0" t="n">
        <f aca="false">-1+C3880*0.25</f>
        <v>0.75</v>
      </c>
      <c r="H3880" s="0" t="n">
        <f aca="false">-1+D3880*0.25</f>
        <v>0.25</v>
      </c>
      <c r="I3880" s="0" t="n">
        <f aca="false">1</f>
        <v>1</v>
      </c>
      <c r="J3880" s="0" t="n">
        <f aca="false">E3880</f>
        <v>0.25</v>
      </c>
      <c r="K3880" s="0" t="n">
        <f aca="false">F3880</f>
        <v>-0.5</v>
      </c>
      <c r="L3880" s="0" t="n">
        <f aca="false">G3880</f>
        <v>0.75</v>
      </c>
      <c r="M3880" s="0" t="n">
        <f aca="false">H3880</f>
        <v>0.25</v>
      </c>
      <c r="N3880" s="0" t="n">
        <f aca="false">E3880*F3880</f>
        <v>-0.125</v>
      </c>
      <c r="O3880" s="0" t="n">
        <f aca="false">E3880*G3880</f>
        <v>0.1875</v>
      </c>
      <c r="P3880" s="0" t="n">
        <f aca="false">E3880*H3880</f>
        <v>0.0625</v>
      </c>
      <c r="Q3880" s="0" t="n">
        <f aca="false">F3880*G3880</f>
        <v>-0.375</v>
      </c>
      <c r="R3880" s="0" t="n">
        <f aca="false">F3880*H3880</f>
        <v>-0.125</v>
      </c>
      <c r="S3880" s="0" t="n">
        <f aca="false">G3880*H3880</f>
        <v>0.1875</v>
      </c>
      <c r="T3880" s="0" t="n">
        <f aca="false">E3880*E3880</f>
        <v>0.0625</v>
      </c>
      <c r="U3880" s="0" t="n">
        <f aca="false">F3880*F3880</f>
        <v>0.25</v>
      </c>
      <c r="V3880" s="0" t="n">
        <f aca="false">G3880*G3880</f>
        <v>0.5625</v>
      </c>
      <c r="W3880" s="0" t="n">
        <f aca="false">H3880*H3880</f>
        <v>0.0625</v>
      </c>
      <c r="X3880" s="0" t="n">
        <f aca="false">SUMPRODUCT(I3880:W3880,_XtX!$B$96:$P$96)</f>
        <v>46.6947414108187</v>
      </c>
      <c r="Y3880" s="0" t="n">
        <f aca="false">SUMPRODUCT(MMULT(I3880:W3880,_XtX!$B$78:$P$92),I3880:W3880)</f>
        <v>0.207746539199561</v>
      </c>
      <c r="Z3880" s="0" t="n">
        <f aca="false">04_回帰ANOVA!$K$19*04_回帰ANOVA!$K$14*SQRT(1+Y3880)</f>
        <v>1.43247250081141</v>
      </c>
      <c r="AA3880" s="0" t="n">
        <f aca="false">X3880-Z3880</f>
        <v>45.2622689100073</v>
      </c>
      <c r="AB3880" s="0" t="n">
        <f aca="false">X3880+Z3880</f>
        <v>48.1272139116301</v>
      </c>
      <c r="AC3880" s="54" t="b">
        <f aca="false">AND(E3880&gt;=01_因子設定!$L$5-0.000000001,E3880&lt;=01_因子設定!$M$5+0.000000001,F3880&gt;=01_因子設定!$L$6-0.000000001,F3880&lt;=01_因子設定!$M$6+0.000000001,G3880&gt;=01_因子設定!$L$7-0.000000001,G3880&lt;=01_因子設定!$M$7+0.000000001,H3880&gt;=01_因子設定!$L$8-0.000000001,H3880&lt;=01_因子設定!$M$8+0.000000001,IF(01_因子設定!$B$20="Box-Behnken",E3880^2+F3880^2+G3880^2+H3880^2&lt;=2+0.000000001,TRUE()))</f>
        <v>1</v>
      </c>
      <c r="AD3880" s="55" t="n">
        <f aca="false">IF(AC3880,IF(01_因子設定!$B$13="最大化",AA3880-01_因子設定!$B$14,IF(01_因子設定!$B$13="最小化",01_因子設定!$B$15-AB3880,MIN(AA3880-01_因子設定!$B$14,01_因子設定!$B$15-AB3880))),-1E+030)</f>
        <v>-1.23773108999275</v>
      </c>
      <c r="AE3880" s="55" t="n">
        <f aca="false">IF(AC3880,IF(01_因子設定!$B$13="最大化",X3880,IF(01_因子設定!$B$13="最小化",-X3880,-ABS(X3880-01_因子設定!$B$16))),-1E+030)</f>
        <v>46.6947414108187</v>
      </c>
      <c r="AF3880" s="55" t="n">
        <f aca="false">AD3880+ROW()*0.000000001</f>
        <v>-1.23772720999275</v>
      </c>
      <c r="AG3880" s="55" t="n">
        <f aca="false">AE3880+ROW()*0.000000001</f>
        <v>46.6947452908187</v>
      </c>
    </row>
    <row r="3881" customFormat="false" ht="15" hidden="false" customHeight="false" outlineLevel="0" collapsed="false">
      <c r="A3881" s="0" t="n">
        <v>5</v>
      </c>
      <c r="B3881" s="0" t="n">
        <v>2</v>
      </c>
      <c r="C3881" s="0" t="n">
        <v>7</v>
      </c>
      <c r="D3881" s="0" t="n">
        <v>6</v>
      </c>
      <c r="E3881" s="0" t="n">
        <f aca="false">-1+A3881*0.25</f>
        <v>0.25</v>
      </c>
      <c r="F3881" s="0" t="n">
        <f aca="false">-1+B3881*0.25</f>
        <v>-0.5</v>
      </c>
      <c r="G3881" s="0" t="n">
        <f aca="false">-1+C3881*0.25</f>
        <v>0.75</v>
      </c>
      <c r="H3881" s="0" t="n">
        <f aca="false">-1+D3881*0.25</f>
        <v>0.5</v>
      </c>
      <c r="I3881" s="0" t="n">
        <f aca="false">1</f>
        <v>1</v>
      </c>
      <c r="J3881" s="0" t="n">
        <f aca="false">E3881</f>
        <v>0.25</v>
      </c>
      <c r="K3881" s="0" t="n">
        <f aca="false">F3881</f>
        <v>-0.5</v>
      </c>
      <c r="L3881" s="0" t="n">
        <f aca="false">G3881</f>
        <v>0.75</v>
      </c>
      <c r="M3881" s="0" t="n">
        <f aca="false">H3881</f>
        <v>0.5</v>
      </c>
      <c r="N3881" s="0" t="n">
        <f aca="false">E3881*F3881</f>
        <v>-0.125</v>
      </c>
      <c r="O3881" s="0" t="n">
        <f aca="false">E3881*G3881</f>
        <v>0.1875</v>
      </c>
      <c r="P3881" s="0" t="n">
        <f aca="false">E3881*H3881</f>
        <v>0.125</v>
      </c>
      <c r="Q3881" s="0" t="n">
        <f aca="false">F3881*G3881</f>
        <v>-0.375</v>
      </c>
      <c r="R3881" s="0" t="n">
        <f aca="false">F3881*H3881</f>
        <v>-0.25</v>
      </c>
      <c r="S3881" s="0" t="n">
        <f aca="false">G3881*H3881</f>
        <v>0.375</v>
      </c>
      <c r="T3881" s="0" t="n">
        <f aca="false">E3881*E3881</f>
        <v>0.0625</v>
      </c>
      <c r="U3881" s="0" t="n">
        <f aca="false">F3881*F3881</f>
        <v>0.25</v>
      </c>
      <c r="V3881" s="0" t="n">
        <f aca="false">G3881*G3881</f>
        <v>0.5625</v>
      </c>
      <c r="W3881" s="0" t="n">
        <f aca="false">H3881*H3881</f>
        <v>0.25</v>
      </c>
      <c r="X3881" s="0" t="n">
        <f aca="false">SUMPRODUCT(I3881:W3881,_XtX!$B$96:$P$96)</f>
        <v>46.8127010233918</v>
      </c>
      <c r="Y3881" s="0" t="n">
        <f aca="false">SUMPRODUCT(MMULT(I3881:W3881,_XtX!$B$78:$P$92),I3881:W3881)</f>
        <v>0.203746059484649</v>
      </c>
      <c r="Z3881" s="0" t="n">
        <f aca="false">04_回帰ANOVA!$K$19*04_回帰ANOVA!$K$14*SQRT(1+Y3881)</f>
        <v>1.43009810755465</v>
      </c>
      <c r="AA3881" s="0" t="n">
        <f aca="false">X3881-Z3881</f>
        <v>45.3826029158371</v>
      </c>
      <c r="AB3881" s="0" t="n">
        <f aca="false">X3881+Z3881</f>
        <v>48.2427991309464</v>
      </c>
      <c r="AC3881" s="54" t="b">
        <f aca="false">AND(E3881&gt;=01_因子設定!$L$5-0.000000001,E3881&lt;=01_因子設定!$M$5+0.000000001,F3881&gt;=01_因子設定!$L$6-0.000000001,F3881&lt;=01_因子設定!$M$6+0.000000001,G3881&gt;=01_因子設定!$L$7-0.000000001,G3881&lt;=01_因子設定!$M$7+0.000000001,H3881&gt;=01_因子設定!$L$8-0.000000001,H3881&lt;=01_因子設定!$M$8+0.000000001,IF(01_因子設定!$B$20="Box-Behnken",E3881^2+F3881^2+G3881^2+H3881^2&lt;=2+0.000000001,TRUE()))</f>
        <v>1</v>
      </c>
      <c r="AD3881" s="55" t="n">
        <f aca="false">IF(AC3881,IF(01_因子設定!$B$13="最大化",AA3881-01_因子設定!$B$14,IF(01_因子設定!$B$13="最小化",01_因子設定!$B$15-AB3881,MIN(AA3881-01_因子設定!$B$14,01_因子設定!$B$15-AB3881))),-1E+030)</f>
        <v>-1.11739708416289</v>
      </c>
      <c r="AE3881" s="55" t="n">
        <f aca="false">IF(AC3881,IF(01_因子設定!$B$13="最大化",X3881,IF(01_因子設定!$B$13="最小化",-X3881,-ABS(X3881-01_因子設定!$B$16))),-1E+030)</f>
        <v>46.8127010233918</v>
      </c>
      <c r="AF3881" s="55" t="n">
        <f aca="false">AD3881+ROW()*0.000000001</f>
        <v>-1.11739320316289</v>
      </c>
      <c r="AG3881" s="55" t="n">
        <f aca="false">AE3881+ROW()*0.000000001</f>
        <v>46.8127049043918</v>
      </c>
    </row>
    <row r="3882" customFormat="false" ht="15" hidden="false" customHeight="false" outlineLevel="0" collapsed="false">
      <c r="A3882" s="0" t="n">
        <v>5</v>
      </c>
      <c r="B3882" s="0" t="n">
        <v>2</v>
      </c>
      <c r="C3882" s="0" t="n">
        <v>7</v>
      </c>
      <c r="D3882" s="0" t="n">
        <v>7</v>
      </c>
      <c r="E3882" s="0" t="n">
        <f aca="false">-1+A3882*0.25</f>
        <v>0.25</v>
      </c>
      <c r="F3882" s="0" t="n">
        <f aca="false">-1+B3882*0.25</f>
        <v>-0.5</v>
      </c>
      <c r="G3882" s="0" t="n">
        <f aca="false">-1+C3882*0.25</f>
        <v>0.75</v>
      </c>
      <c r="H3882" s="0" t="n">
        <f aca="false">-1+D3882*0.25</f>
        <v>0.75</v>
      </c>
      <c r="I3882" s="0" t="n">
        <f aca="false">1</f>
        <v>1</v>
      </c>
      <c r="J3882" s="0" t="n">
        <f aca="false">E3882</f>
        <v>0.25</v>
      </c>
      <c r="K3882" s="0" t="n">
        <f aca="false">F3882</f>
        <v>-0.5</v>
      </c>
      <c r="L3882" s="0" t="n">
        <f aca="false">G3882</f>
        <v>0.75</v>
      </c>
      <c r="M3882" s="0" t="n">
        <f aca="false">H3882</f>
        <v>0.75</v>
      </c>
      <c r="N3882" s="0" t="n">
        <f aca="false">E3882*F3882</f>
        <v>-0.125</v>
      </c>
      <c r="O3882" s="0" t="n">
        <f aca="false">E3882*G3882</f>
        <v>0.1875</v>
      </c>
      <c r="P3882" s="0" t="n">
        <f aca="false">E3882*H3882</f>
        <v>0.1875</v>
      </c>
      <c r="Q3882" s="0" t="n">
        <f aca="false">F3882*G3882</f>
        <v>-0.375</v>
      </c>
      <c r="R3882" s="0" t="n">
        <f aca="false">F3882*H3882</f>
        <v>-0.375</v>
      </c>
      <c r="S3882" s="0" t="n">
        <f aca="false">G3882*H3882</f>
        <v>0.5625</v>
      </c>
      <c r="T3882" s="0" t="n">
        <f aca="false">E3882*E3882</f>
        <v>0.0625</v>
      </c>
      <c r="U3882" s="0" t="n">
        <f aca="false">F3882*F3882</f>
        <v>0.25</v>
      </c>
      <c r="V3882" s="0" t="n">
        <f aca="false">G3882*G3882</f>
        <v>0.5625</v>
      </c>
      <c r="W3882" s="0" t="n">
        <f aca="false">H3882*H3882</f>
        <v>0.5625</v>
      </c>
      <c r="X3882" s="0" t="n">
        <f aca="false">SUMPRODUCT(I3882:W3882,_XtX!$B$96:$P$96)</f>
        <v>46.882853618421</v>
      </c>
      <c r="Y3882" s="0" t="n">
        <f aca="false">SUMPRODUCT(MMULT(I3882:W3882,_XtX!$B$78:$P$92),I3882:W3882)</f>
        <v>0.257385610836988</v>
      </c>
      <c r="Z3882" s="0" t="n">
        <f aca="false">04_回帰ANOVA!$K$19*04_回帰ANOVA!$K$14*SQRT(1+Y3882)</f>
        <v>1.46161380324158</v>
      </c>
      <c r="AA3882" s="0" t="n">
        <f aca="false">X3882-Z3882</f>
        <v>45.4212398151794</v>
      </c>
      <c r="AB3882" s="0" t="n">
        <f aca="false">X3882+Z3882</f>
        <v>48.3444674216626</v>
      </c>
      <c r="AC3882" s="54" t="b">
        <f aca="false">AND(E3882&gt;=01_因子設定!$L$5-0.000000001,E3882&lt;=01_因子設定!$M$5+0.000000001,F3882&gt;=01_因子設定!$L$6-0.000000001,F3882&lt;=01_因子設定!$M$6+0.000000001,G3882&gt;=01_因子設定!$L$7-0.000000001,G3882&lt;=01_因子設定!$M$7+0.000000001,H3882&gt;=01_因子設定!$L$8-0.000000001,H3882&lt;=01_因子設定!$M$8+0.000000001,IF(01_因子設定!$B$20="Box-Behnken",E3882^2+F3882^2+G3882^2+H3882^2&lt;=2+0.000000001,TRUE()))</f>
        <v>1</v>
      </c>
      <c r="AD3882" s="55" t="n">
        <f aca="false">IF(AC3882,IF(01_因子設定!$B$13="最大化",AA3882-01_因子設定!$B$14,IF(01_因子設定!$B$13="最小化",01_因子設定!$B$15-AB3882,MIN(AA3882-01_因子設定!$B$14,01_因子設定!$B$15-AB3882))),-1E+030)</f>
        <v>-1.07876018482057</v>
      </c>
      <c r="AE3882" s="55" t="n">
        <f aca="false">IF(AC3882,IF(01_因子設定!$B$13="最大化",X3882,IF(01_因子設定!$B$13="最小化",-X3882,-ABS(X3882-01_因子設定!$B$16))),-1E+030)</f>
        <v>46.882853618421</v>
      </c>
      <c r="AF3882" s="55" t="n">
        <f aca="false">AD3882+ROW()*0.000000001</f>
        <v>-1.07875630282057</v>
      </c>
      <c r="AG3882" s="55" t="n">
        <f aca="false">AE3882+ROW()*0.000000001</f>
        <v>46.882857500421</v>
      </c>
    </row>
    <row r="3883" customFormat="false" ht="15" hidden="false" customHeight="false" outlineLevel="0" collapsed="false">
      <c r="A3883" s="0" t="n">
        <v>5</v>
      </c>
      <c r="B3883" s="0" t="n">
        <v>2</v>
      </c>
      <c r="C3883" s="0" t="n">
        <v>7</v>
      </c>
      <c r="D3883" s="0" t="n">
        <v>8</v>
      </c>
      <c r="E3883" s="0" t="n">
        <f aca="false">-1+A3883*0.25</f>
        <v>0.25</v>
      </c>
      <c r="F3883" s="0" t="n">
        <f aca="false">-1+B3883*0.25</f>
        <v>-0.5</v>
      </c>
      <c r="G3883" s="0" t="n">
        <f aca="false">-1+C3883*0.25</f>
        <v>0.75</v>
      </c>
      <c r="H3883" s="0" t="n">
        <f aca="false">-1+D3883*0.25</f>
        <v>1</v>
      </c>
      <c r="I3883" s="0" t="n">
        <f aca="false">1</f>
        <v>1</v>
      </c>
      <c r="J3883" s="0" t="n">
        <f aca="false">E3883</f>
        <v>0.25</v>
      </c>
      <c r="K3883" s="0" t="n">
        <f aca="false">F3883</f>
        <v>-0.5</v>
      </c>
      <c r="L3883" s="0" t="n">
        <f aca="false">G3883</f>
        <v>0.75</v>
      </c>
      <c r="M3883" s="0" t="n">
        <f aca="false">H3883</f>
        <v>1</v>
      </c>
      <c r="N3883" s="0" t="n">
        <f aca="false">E3883*F3883</f>
        <v>-0.125</v>
      </c>
      <c r="O3883" s="0" t="n">
        <f aca="false">E3883*G3883</f>
        <v>0.1875</v>
      </c>
      <c r="P3883" s="0" t="n">
        <f aca="false">E3883*H3883</f>
        <v>0.25</v>
      </c>
      <c r="Q3883" s="0" t="n">
        <f aca="false">F3883*G3883</f>
        <v>-0.375</v>
      </c>
      <c r="R3883" s="0" t="n">
        <f aca="false">F3883*H3883</f>
        <v>-0.5</v>
      </c>
      <c r="S3883" s="0" t="n">
        <f aca="false">G3883*H3883</f>
        <v>0.75</v>
      </c>
      <c r="T3883" s="0" t="n">
        <f aca="false">E3883*E3883</f>
        <v>0.0625</v>
      </c>
      <c r="U3883" s="0" t="n">
        <f aca="false">F3883*F3883</f>
        <v>0.25</v>
      </c>
      <c r="V3883" s="0" t="n">
        <f aca="false">G3883*G3883</f>
        <v>0.5625</v>
      </c>
      <c r="W3883" s="0" t="n">
        <f aca="false">H3883*H3883</f>
        <v>1</v>
      </c>
      <c r="X3883" s="0" t="n">
        <f aca="false">SUMPRODUCT(I3883:W3883,_XtX!$B$96:$P$96)</f>
        <v>46.9051991959064</v>
      </c>
      <c r="Y3883" s="0" t="n">
        <f aca="false">SUMPRODUCT(MMULT(I3883:W3883,_XtX!$B$78:$P$92),I3883:W3883)</f>
        <v>0.459125719572369</v>
      </c>
      <c r="Z3883" s="0" t="n">
        <f aca="false">04_回帰ANOVA!$K$19*04_回帰ANOVA!$K$14*SQRT(1+Y3883)</f>
        <v>1.57450755575573</v>
      </c>
      <c r="AA3883" s="0" t="n">
        <f aca="false">X3883-Z3883</f>
        <v>45.3306916401507</v>
      </c>
      <c r="AB3883" s="0" t="n">
        <f aca="false">X3883+Z3883</f>
        <v>48.4797067516621</v>
      </c>
      <c r="AC3883" s="54" t="b">
        <f aca="false">AND(E3883&gt;=01_因子設定!$L$5-0.000000001,E3883&lt;=01_因子設定!$M$5+0.000000001,F3883&gt;=01_因子設定!$L$6-0.000000001,F3883&lt;=01_因子設定!$M$6+0.000000001,G3883&gt;=01_因子設定!$L$7-0.000000001,G3883&lt;=01_因子設定!$M$7+0.000000001,H3883&gt;=01_因子設定!$L$8-0.000000001,H3883&lt;=01_因子設定!$M$8+0.000000001,IF(01_因子設定!$B$20="Box-Behnken",E3883^2+F3883^2+G3883^2+H3883^2&lt;=2+0.000000001,TRUE()))</f>
        <v>1</v>
      </c>
      <c r="AD3883" s="55" t="n">
        <f aca="false">IF(AC3883,IF(01_因子設定!$B$13="最大化",AA3883-01_因子設定!$B$14,IF(01_因子設定!$B$13="最小化",01_因子設定!$B$15-AB3883,MIN(AA3883-01_因子設定!$B$14,01_因子設定!$B$15-AB3883))),-1E+030)</f>
        <v>-1.16930835984932</v>
      </c>
      <c r="AE3883" s="55" t="n">
        <f aca="false">IF(AC3883,IF(01_因子設定!$B$13="最大化",X3883,IF(01_因子設定!$B$13="最小化",-X3883,-ABS(X3883-01_因子設定!$B$16))),-1E+030)</f>
        <v>46.9051991959064</v>
      </c>
      <c r="AF3883" s="55" t="n">
        <f aca="false">AD3883+ROW()*0.000000001</f>
        <v>-1.16930447684932</v>
      </c>
      <c r="AG3883" s="55" t="n">
        <f aca="false">AE3883+ROW()*0.000000001</f>
        <v>46.9052030789064</v>
      </c>
    </row>
    <row r="3884" customFormat="false" ht="15" hidden="false" customHeight="false" outlineLevel="0" collapsed="false">
      <c r="A3884" s="0" t="n">
        <v>5</v>
      </c>
      <c r="B3884" s="0" t="n">
        <v>2</v>
      </c>
      <c r="C3884" s="0" t="n">
        <v>8</v>
      </c>
      <c r="D3884" s="0" t="n">
        <v>0</v>
      </c>
      <c r="E3884" s="0" t="n">
        <f aca="false">-1+A3884*0.25</f>
        <v>0.25</v>
      </c>
      <c r="F3884" s="0" t="n">
        <f aca="false">-1+B3884*0.25</f>
        <v>-0.5</v>
      </c>
      <c r="G3884" s="0" t="n">
        <f aca="false">-1+C3884*0.25</f>
        <v>1</v>
      </c>
      <c r="H3884" s="0" t="n">
        <f aca="false">-1+D3884*0.25</f>
        <v>-1</v>
      </c>
      <c r="I3884" s="0" t="n">
        <f aca="false">1</f>
        <v>1</v>
      </c>
      <c r="J3884" s="0" t="n">
        <f aca="false">E3884</f>
        <v>0.25</v>
      </c>
      <c r="K3884" s="0" t="n">
        <f aca="false">F3884</f>
        <v>-0.5</v>
      </c>
      <c r="L3884" s="0" t="n">
        <f aca="false">G3884</f>
        <v>1</v>
      </c>
      <c r="M3884" s="0" t="n">
        <f aca="false">H3884</f>
        <v>-1</v>
      </c>
      <c r="N3884" s="0" t="n">
        <f aca="false">E3884*F3884</f>
        <v>-0.125</v>
      </c>
      <c r="O3884" s="0" t="n">
        <f aca="false">E3884*G3884</f>
        <v>0.25</v>
      </c>
      <c r="P3884" s="0" t="n">
        <f aca="false">E3884*H3884</f>
        <v>-0.25</v>
      </c>
      <c r="Q3884" s="0" t="n">
        <f aca="false">F3884*G3884</f>
        <v>-0.5</v>
      </c>
      <c r="R3884" s="0" t="n">
        <f aca="false">F3884*H3884</f>
        <v>0.5</v>
      </c>
      <c r="S3884" s="0" t="n">
        <f aca="false">G3884*H3884</f>
        <v>-1</v>
      </c>
      <c r="T3884" s="0" t="n">
        <f aca="false">E3884*E3884</f>
        <v>0.0625</v>
      </c>
      <c r="U3884" s="0" t="n">
        <f aca="false">F3884*F3884</f>
        <v>0.25</v>
      </c>
      <c r="V3884" s="0" t="n">
        <f aca="false">G3884*G3884</f>
        <v>1</v>
      </c>
      <c r="W3884" s="0" t="n">
        <f aca="false">H3884*H3884</f>
        <v>1</v>
      </c>
      <c r="X3884" s="0" t="n">
        <f aca="false">SUMPRODUCT(I3884:W3884,_XtX!$B$96:$P$96)</f>
        <v>45.1835343567251</v>
      </c>
      <c r="Y3884" s="0" t="n">
        <f aca="false">SUMPRODUCT(MMULT(I3884:W3884,_XtX!$B$78:$P$92),I3884:W3884)</f>
        <v>0.629174661915205</v>
      </c>
      <c r="Z3884" s="0" t="n">
        <f aca="false">04_回帰ANOVA!$K$19*04_回帰ANOVA!$K$14*SQRT(1+Y3884)</f>
        <v>1.66372758058297</v>
      </c>
      <c r="AA3884" s="0" t="n">
        <f aca="false">X3884-Z3884</f>
        <v>43.5198067761422</v>
      </c>
      <c r="AB3884" s="0" t="n">
        <f aca="false">X3884+Z3884</f>
        <v>46.8472619373081</v>
      </c>
      <c r="AC3884" s="54" t="b">
        <f aca="false">AND(E3884&gt;=01_因子設定!$L$5-0.000000001,E3884&lt;=01_因子設定!$M$5+0.000000001,F3884&gt;=01_因子設定!$L$6-0.000000001,F3884&lt;=01_因子設定!$M$6+0.000000001,G3884&gt;=01_因子設定!$L$7-0.000000001,G3884&lt;=01_因子設定!$M$7+0.000000001,H3884&gt;=01_因子設定!$L$8-0.000000001,H3884&lt;=01_因子設定!$M$8+0.000000001,IF(01_因子設定!$B$20="Box-Behnken",E3884^2+F3884^2+G3884^2+H3884^2&lt;=2+0.000000001,TRUE()))</f>
        <v>1</v>
      </c>
      <c r="AD3884" s="55" t="n">
        <f aca="false">IF(AC3884,IF(01_因子設定!$B$13="最大化",AA3884-01_因子設定!$B$14,IF(01_因子設定!$B$13="最小化",01_因子設定!$B$15-AB3884,MIN(AA3884-01_因子設定!$B$14,01_因子設定!$B$15-AB3884))),-1E+030)</f>
        <v>-2.98019322385785</v>
      </c>
      <c r="AE3884" s="55" t="n">
        <f aca="false">IF(AC3884,IF(01_因子設定!$B$13="最大化",X3884,IF(01_因子設定!$B$13="最小化",-X3884,-ABS(X3884-01_因子設定!$B$16))),-1E+030)</f>
        <v>45.1835343567251</v>
      </c>
      <c r="AF3884" s="55" t="n">
        <f aca="false">AD3884+ROW()*0.000000001</f>
        <v>-2.98018933985785</v>
      </c>
      <c r="AG3884" s="55" t="n">
        <f aca="false">AE3884+ROW()*0.000000001</f>
        <v>45.1835382407251</v>
      </c>
    </row>
    <row r="3885" customFormat="false" ht="15" hidden="false" customHeight="false" outlineLevel="0" collapsed="false">
      <c r="A3885" s="0" t="n">
        <v>5</v>
      </c>
      <c r="B3885" s="0" t="n">
        <v>2</v>
      </c>
      <c r="C3885" s="0" t="n">
        <v>8</v>
      </c>
      <c r="D3885" s="0" t="n">
        <v>1</v>
      </c>
      <c r="E3885" s="0" t="n">
        <f aca="false">-1+A3885*0.25</f>
        <v>0.25</v>
      </c>
      <c r="F3885" s="0" t="n">
        <f aca="false">-1+B3885*0.25</f>
        <v>-0.5</v>
      </c>
      <c r="G3885" s="0" t="n">
        <f aca="false">-1+C3885*0.25</f>
        <v>1</v>
      </c>
      <c r="H3885" s="0" t="n">
        <f aca="false">-1+D3885*0.25</f>
        <v>-0.75</v>
      </c>
      <c r="I3885" s="0" t="n">
        <f aca="false">1</f>
        <v>1</v>
      </c>
      <c r="J3885" s="0" t="n">
        <f aca="false">E3885</f>
        <v>0.25</v>
      </c>
      <c r="K3885" s="0" t="n">
        <f aca="false">F3885</f>
        <v>-0.5</v>
      </c>
      <c r="L3885" s="0" t="n">
        <f aca="false">G3885</f>
        <v>1</v>
      </c>
      <c r="M3885" s="0" t="n">
        <f aca="false">H3885</f>
        <v>-0.75</v>
      </c>
      <c r="N3885" s="0" t="n">
        <f aca="false">E3885*F3885</f>
        <v>-0.125</v>
      </c>
      <c r="O3885" s="0" t="n">
        <f aca="false">E3885*G3885</f>
        <v>0.25</v>
      </c>
      <c r="P3885" s="0" t="n">
        <f aca="false">E3885*H3885</f>
        <v>-0.1875</v>
      </c>
      <c r="Q3885" s="0" t="n">
        <f aca="false">F3885*G3885</f>
        <v>-0.5</v>
      </c>
      <c r="R3885" s="0" t="n">
        <f aca="false">F3885*H3885</f>
        <v>0.375</v>
      </c>
      <c r="S3885" s="0" t="n">
        <f aca="false">G3885*H3885</f>
        <v>-0.75</v>
      </c>
      <c r="T3885" s="0" t="n">
        <f aca="false">E3885*E3885</f>
        <v>0.0625</v>
      </c>
      <c r="U3885" s="0" t="n">
        <f aca="false">F3885*F3885</f>
        <v>0.25</v>
      </c>
      <c r="V3885" s="0" t="n">
        <f aca="false">G3885*G3885</f>
        <v>1</v>
      </c>
      <c r="W3885" s="0" t="n">
        <f aca="false">H3885*H3885</f>
        <v>0.5625</v>
      </c>
      <c r="X3885" s="0" t="n">
        <f aca="false">SUMPRODUCT(I3885:W3885,_XtX!$B$96:$P$96)</f>
        <v>45.5584978070175</v>
      </c>
      <c r="Y3885" s="0" t="n">
        <f aca="false">SUMPRODUCT(MMULT(I3885:W3885,_XtX!$B$78:$P$92),I3885:W3885)</f>
        <v>0.459125719572369</v>
      </c>
      <c r="Z3885" s="0" t="n">
        <f aca="false">04_回帰ANOVA!$K$19*04_回帰ANOVA!$K$14*SQRT(1+Y3885)</f>
        <v>1.57450755575573</v>
      </c>
      <c r="AA3885" s="0" t="n">
        <f aca="false">X3885-Z3885</f>
        <v>43.9839902512618</v>
      </c>
      <c r="AB3885" s="0" t="n">
        <f aca="false">X3885+Z3885</f>
        <v>47.1330053627732</v>
      </c>
      <c r="AC3885" s="54" t="b">
        <f aca="false">AND(E3885&gt;=01_因子設定!$L$5-0.000000001,E3885&lt;=01_因子設定!$M$5+0.000000001,F3885&gt;=01_因子設定!$L$6-0.000000001,F3885&lt;=01_因子設定!$M$6+0.000000001,G3885&gt;=01_因子設定!$L$7-0.000000001,G3885&lt;=01_因子設定!$M$7+0.000000001,H3885&gt;=01_因子設定!$L$8-0.000000001,H3885&lt;=01_因子設定!$M$8+0.000000001,IF(01_因子設定!$B$20="Box-Behnken",E3885^2+F3885^2+G3885^2+H3885^2&lt;=2+0.000000001,TRUE()))</f>
        <v>1</v>
      </c>
      <c r="AD3885" s="55" t="n">
        <f aca="false">IF(AC3885,IF(01_因子設定!$B$13="最大化",AA3885-01_因子設定!$B$14,IF(01_因子設定!$B$13="最小化",01_因子設定!$B$15-AB3885,MIN(AA3885-01_因子設定!$B$14,01_因子設定!$B$15-AB3885))),-1E+030)</f>
        <v>-2.51600974873822</v>
      </c>
      <c r="AE3885" s="55" t="n">
        <f aca="false">IF(AC3885,IF(01_因子設定!$B$13="最大化",X3885,IF(01_因子設定!$B$13="最小化",-X3885,-ABS(X3885-01_因子設定!$B$16))),-1E+030)</f>
        <v>45.5584978070175</v>
      </c>
      <c r="AF3885" s="55" t="n">
        <f aca="false">AD3885+ROW()*0.000000001</f>
        <v>-2.51600586373822</v>
      </c>
      <c r="AG3885" s="55" t="n">
        <f aca="false">AE3885+ROW()*0.000000001</f>
        <v>45.5585016920175</v>
      </c>
    </row>
    <row r="3886" customFormat="false" ht="15" hidden="false" customHeight="false" outlineLevel="0" collapsed="false">
      <c r="A3886" s="0" t="n">
        <v>5</v>
      </c>
      <c r="B3886" s="0" t="n">
        <v>2</v>
      </c>
      <c r="C3886" s="0" t="n">
        <v>8</v>
      </c>
      <c r="D3886" s="0" t="n">
        <v>2</v>
      </c>
      <c r="E3886" s="0" t="n">
        <f aca="false">-1+A3886*0.25</f>
        <v>0.25</v>
      </c>
      <c r="F3886" s="0" t="n">
        <f aca="false">-1+B3886*0.25</f>
        <v>-0.5</v>
      </c>
      <c r="G3886" s="0" t="n">
        <f aca="false">-1+C3886*0.25</f>
        <v>1</v>
      </c>
      <c r="H3886" s="0" t="n">
        <f aca="false">-1+D3886*0.25</f>
        <v>-0.5</v>
      </c>
      <c r="I3886" s="0" t="n">
        <f aca="false">1</f>
        <v>1</v>
      </c>
      <c r="J3886" s="0" t="n">
        <f aca="false">E3886</f>
        <v>0.25</v>
      </c>
      <c r="K3886" s="0" t="n">
        <f aca="false">F3886</f>
        <v>-0.5</v>
      </c>
      <c r="L3886" s="0" t="n">
        <f aca="false">G3886</f>
        <v>1</v>
      </c>
      <c r="M3886" s="0" t="n">
        <f aca="false">H3886</f>
        <v>-0.5</v>
      </c>
      <c r="N3886" s="0" t="n">
        <f aca="false">E3886*F3886</f>
        <v>-0.125</v>
      </c>
      <c r="O3886" s="0" t="n">
        <f aca="false">E3886*G3886</f>
        <v>0.25</v>
      </c>
      <c r="P3886" s="0" t="n">
        <f aca="false">E3886*H3886</f>
        <v>-0.125</v>
      </c>
      <c r="Q3886" s="0" t="n">
        <f aca="false">F3886*G3886</f>
        <v>-0.5</v>
      </c>
      <c r="R3886" s="0" t="n">
        <f aca="false">F3886*H3886</f>
        <v>0.25</v>
      </c>
      <c r="S3886" s="0" t="n">
        <f aca="false">G3886*H3886</f>
        <v>-0.5</v>
      </c>
      <c r="T3886" s="0" t="n">
        <f aca="false">E3886*E3886</f>
        <v>0.0625</v>
      </c>
      <c r="U3886" s="0" t="n">
        <f aca="false">F3886*F3886</f>
        <v>0.25</v>
      </c>
      <c r="V3886" s="0" t="n">
        <f aca="false">G3886*G3886</f>
        <v>1</v>
      </c>
      <c r="W3886" s="0" t="n">
        <f aca="false">H3886*H3886</f>
        <v>0.25</v>
      </c>
      <c r="X3886" s="0" t="n">
        <f aca="false">SUMPRODUCT(I3886:W3886,_XtX!$B$96:$P$96)</f>
        <v>45.885654239766</v>
      </c>
      <c r="Y3886" s="0" t="n">
        <f aca="false">SUMPRODUCT(MMULT(I3886:W3886,_XtX!$B$78:$P$92),I3886:W3886)</f>
        <v>0.428122715643275</v>
      </c>
      <c r="Z3886" s="0" t="n">
        <f aca="false">04_回帰ANOVA!$K$19*04_回帰ANOVA!$K$14*SQRT(1+Y3886)</f>
        <v>1.55769044623229</v>
      </c>
      <c r="AA3886" s="0" t="n">
        <f aca="false">X3886-Z3886</f>
        <v>44.3279637935337</v>
      </c>
      <c r="AB3886" s="0" t="n">
        <f aca="false">X3886+Z3886</f>
        <v>47.4433446859983</v>
      </c>
      <c r="AC3886" s="54" t="b">
        <f aca="false">AND(E3886&gt;=01_因子設定!$L$5-0.000000001,E3886&lt;=01_因子設定!$M$5+0.000000001,F3886&gt;=01_因子設定!$L$6-0.000000001,F3886&lt;=01_因子設定!$M$6+0.000000001,G3886&gt;=01_因子設定!$L$7-0.000000001,G3886&lt;=01_因子設定!$M$7+0.000000001,H3886&gt;=01_因子設定!$L$8-0.000000001,H3886&lt;=01_因子設定!$M$8+0.000000001,IF(01_因子設定!$B$20="Box-Behnken",E3886^2+F3886^2+G3886^2+H3886^2&lt;=2+0.000000001,TRUE()))</f>
        <v>1</v>
      </c>
      <c r="AD3886" s="55" t="n">
        <f aca="false">IF(AC3886,IF(01_因子設定!$B$13="最大化",AA3886-01_因子設定!$B$14,IF(01_因子設定!$B$13="最小化",01_因子設定!$B$15-AB3886,MIN(AA3886-01_因子設定!$B$14,01_因子設定!$B$15-AB3886))),-1E+030)</f>
        <v>-2.17203620646626</v>
      </c>
      <c r="AE3886" s="55" t="n">
        <f aca="false">IF(AC3886,IF(01_因子設定!$B$13="最大化",X3886,IF(01_因子設定!$B$13="最小化",-X3886,-ABS(X3886-01_因子設定!$B$16))),-1E+030)</f>
        <v>45.885654239766</v>
      </c>
      <c r="AF3886" s="55" t="n">
        <f aca="false">AD3886+ROW()*0.000000001</f>
        <v>-2.17203232046626</v>
      </c>
      <c r="AG3886" s="55" t="n">
        <f aca="false">AE3886+ROW()*0.000000001</f>
        <v>45.885658125766</v>
      </c>
    </row>
    <row r="3887" customFormat="false" ht="15" hidden="false" customHeight="false" outlineLevel="0" collapsed="false">
      <c r="A3887" s="0" t="n">
        <v>5</v>
      </c>
      <c r="B3887" s="0" t="n">
        <v>2</v>
      </c>
      <c r="C3887" s="0" t="n">
        <v>8</v>
      </c>
      <c r="D3887" s="0" t="n">
        <v>3</v>
      </c>
      <c r="E3887" s="0" t="n">
        <f aca="false">-1+A3887*0.25</f>
        <v>0.25</v>
      </c>
      <c r="F3887" s="0" t="n">
        <f aca="false">-1+B3887*0.25</f>
        <v>-0.5</v>
      </c>
      <c r="G3887" s="0" t="n">
        <f aca="false">-1+C3887*0.25</f>
        <v>1</v>
      </c>
      <c r="H3887" s="0" t="n">
        <f aca="false">-1+D3887*0.25</f>
        <v>-0.25</v>
      </c>
      <c r="I3887" s="0" t="n">
        <f aca="false">1</f>
        <v>1</v>
      </c>
      <c r="J3887" s="0" t="n">
        <f aca="false">E3887</f>
        <v>0.25</v>
      </c>
      <c r="K3887" s="0" t="n">
        <f aca="false">F3887</f>
        <v>-0.5</v>
      </c>
      <c r="L3887" s="0" t="n">
        <f aca="false">G3887</f>
        <v>1</v>
      </c>
      <c r="M3887" s="0" t="n">
        <f aca="false">H3887</f>
        <v>-0.25</v>
      </c>
      <c r="N3887" s="0" t="n">
        <f aca="false">E3887*F3887</f>
        <v>-0.125</v>
      </c>
      <c r="O3887" s="0" t="n">
        <f aca="false">E3887*G3887</f>
        <v>0.25</v>
      </c>
      <c r="P3887" s="0" t="n">
        <f aca="false">E3887*H3887</f>
        <v>-0.0625</v>
      </c>
      <c r="Q3887" s="0" t="n">
        <f aca="false">F3887*G3887</f>
        <v>-0.5</v>
      </c>
      <c r="R3887" s="0" t="n">
        <f aca="false">F3887*H3887</f>
        <v>0.125</v>
      </c>
      <c r="S3887" s="0" t="n">
        <f aca="false">G3887*H3887</f>
        <v>-0.25</v>
      </c>
      <c r="T3887" s="0" t="n">
        <f aca="false">E3887*E3887</f>
        <v>0.0625</v>
      </c>
      <c r="U3887" s="0" t="n">
        <f aca="false">F3887*F3887</f>
        <v>0.25</v>
      </c>
      <c r="V3887" s="0" t="n">
        <f aca="false">G3887*G3887</f>
        <v>1</v>
      </c>
      <c r="W3887" s="0" t="n">
        <f aca="false">H3887*H3887</f>
        <v>0.0625</v>
      </c>
      <c r="X3887" s="0" t="n">
        <f aca="false">SUMPRODUCT(I3887:W3887,_XtX!$B$96:$P$96)</f>
        <v>46.1650036549707</v>
      </c>
      <c r="Y3887" s="0" t="n">
        <f aca="false">SUMPRODUCT(MMULT(I3887:W3887,_XtX!$B$78:$P$92),I3887:W3887)</f>
        <v>0.445705123812135</v>
      </c>
      <c r="Z3887" s="0" t="n">
        <f aca="false">04_回帰ANOVA!$K$19*04_回帰ANOVA!$K$14*SQRT(1+Y3887)</f>
        <v>1.56724990734749</v>
      </c>
      <c r="AA3887" s="0" t="n">
        <f aca="false">X3887-Z3887</f>
        <v>44.5977537476232</v>
      </c>
      <c r="AB3887" s="0" t="n">
        <f aca="false">X3887+Z3887</f>
        <v>47.7322535623182</v>
      </c>
      <c r="AC3887" s="54" t="b">
        <f aca="false">AND(E3887&gt;=01_因子設定!$L$5-0.000000001,E3887&lt;=01_因子設定!$M$5+0.000000001,F3887&gt;=01_因子設定!$L$6-0.000000001,F3887&lt;=01_因子設定!$M$6+0.000000001,G3887&gt;=01_因子設定!$L$7-0.000000001,G3887&lt;=01_因子設定!$M$7+0.000000001,H3887&gt;=01_因子設定!$L$8-0.000000001,H3887&lt;=01_因子設定!$M$8+0.000000001,IF(01_因子設定!$B$20="Box-Behnken",E3887^2+F3887^2+G3887^2+H3887^2&lt;=2+0.000000001,TRUE()))</f>
        <v>1</v>
      </c>
      <c r="AD3887" s="55" t="n">
        <f aca="false">IF(AC3887,IF(01_因子設定!$B$13="最大化",AA3887-01_因子設定!$B$14,IF(01_因子設定!$B$13="最小化",01_因子設定!$B$15-AB3887,MIN(AA3887-01_因子設定!$B$14,01_因子設定!$B$15-AB3887))),-1E+030)</f>
        <v>-1.90224625237678</v>
      </c>
      <c r="AE3887" s="55" t="n">
        <f aca="false">IF(AC3887,IF(01_因子設定!$B$13="最大化",X3887,IF(01_因子設定!$B$13="最小化",-X3887,-ABS(X3887-01_因子設定!$B$16))),-1E+030)</f>
        <v>46.1650036549707</v>
      </c>
      <c r="AF3887" s="55" t="n">
        <f aca="false">AD3887+ROW()*0.000000001</f>
        <v>-1.90224236537678</v>
      </c>
      <c r="AG3887" s="55" t="n">
        <f aca="false">AE3887+ROW()*0.000000001</f>
        <v>46.1650075419707</v>
      </c>
    </row>
    <row r="3888" customFormat="false" ht="15" hidden="false" customHeight="false" outlineLevel="0" collapsed="false">
      <c r="A3888" s="0" t="n">
        <v>5</v>
      </c>
      <c r="B3888" s="0" t="n">
        <v>2</v>
      </c>
      <c r="C3888" s="0" t="n">
        <v>8</v>
      </c>
      <c r="D3888" s="0" t="n">
        <v>4</v>
      </c>
      <c r="E3888" s="0" t="n">
        <f aca="false">-1+A3888*0.25</f>
        <v>0.25</v>
      </c>
      <c r="F3888" s="0" t="n">
        <f aca="false">-1+B3888*0.25</f>
        <v>-0.5</v>
      </c>
      <c r="G3888" s="0" t="n">
        <f aca="false">-1+C3888*0.25</f>
        <v>1</v>
      </c>
      <c r="H3888" s="0" t="n">
        <f aca="false">-1+D3888*0.25</f>
        <v>0</v>
      </c>
      <c r="I3888" s="0" t="n">
        <f aca="false">1</f>
        <v>1</v>
      </c>
      <c r="J3888" s="0" t="n">
        <f aca="false">E3888</f>
        <v>0.25</v>
      </c>
      <c r="K3888" s="0" t="n">
        <f aca="false">F3888</f>
        <v>-0.5</v>
      </c>
      <c r="L3888" s="0" t="n">
        <f aca="false">G3888</f>
        <v>1</v>
      </c>
      <c r="M3888" s="0" t="n">
        <f aca="false">H3888</f>
        <v>0</v>
      </c>
      <c r="N3888" s="0" t="n">
        <f aca="false">E3888*F3888</f>
        <v>-0.125</v>
      </c>
      <c r="O3888" s="0" t="n">
        <f aca="false">E3888*G3888</f>
        <v>0.25</v>
      </c>
      <c r="P3888" s="0" t="n">
        <f aca="false">E3888*H3888</f>
        <v>0</v>
      </c>
      <c r="Q3888" s="0" t="n">
        <f aca="false">F3888*G3888</f>
        <v>-0.5</v>
      </c>
      <c r="R3888" s="0" t="n">
        <f aca="false">F3888*H3888</f>
        <v>-0</v>
      </c>
      <c r="S3888" s="0" t="n">
        <f aca="false">G3888*H3888</f>
        <v>0</v>
      </c>
      <c r="T3888" s="0" t="n">
        <f aca="false">E3888*E3888</f>
        <v>0.0625</v>
      </c>
      <c r="U3888" s="0" t="n">
        <f aca="false">F3888*F3888</f>
        <v>0.25</v>
      </c>
      <c r="V3888" s="0" t="n">
        <f aca="false">G3888*G3888</f>
        <v>1</v>
      </c>
      <c r="W3888" s="0" t="n">
        <f aca="false">H3888*H3888</f>
        <v>0</v>
      </c>
      <c r="X3888" s="0" t="n">
        <f aca="false">SUMPRODUCT(I3888:W3888,_XtX!$B$96:$P$96)</f>
        <v>46.3965460526315</v>
      </c>
      <c r="Y3888" s="0" t="n">
        <f aca="false">SUMPRODUCT(MMULT(I3888:W3888,_XtX!$B$78:$P$92),I3888:W3888)</f>
        <v>0.457596628289474</v>
      </c>
      <c r="Z3888" s="0" t="n">
        <f aca="false">04_回帰ANOVA!$K$19*04_回帰ANOVA!$K$14*SQRT(1+Y3888)</f>
        <v>1.57368233664366</v>
      </c>
      <c r="AA3888" s="0" t="n">
        <f aca="false">X3888-Z3888</f>
        <v>44.8228637159879</v>
      </c>
      <c r="AB3888" s="0" t="n">
        <f aca="false">X3888+Z3888</f>
        <v>47.9702283892752</v>
      </c>
      <c r="AC3888" s="54" t="b">
        <f aca="false">AND(E3888&gt;=01_因子設定!$L$5-0.000000001,E3888&lt;=01_因子設定!$M$5+0.000000001,F3888&gt;=01_因子設定!$L$6-0.000000001,F3888&lt;=01_因子設定!$M$6+0.000000001,G3888&gt;=01_因子設定!$L$7-0.000000001,G3888&lt;=01_因子設定!$M$7+0.000000001,H3888&gt;=01_因子設定!$L$8-0.000000001,H3888&lt;=01_因子設定!$M$8+0.000000001,IF(01_因子設定!$B$20="Box-Behnken",E3888^2+F3888^2+G3888^2+H3888^2&lt;=2+0.000000001,TRUE()))</f>
        <v>1</v>
      </c>
      <c r="AD3888" s="55" t="n">
        <f aca="false">IF(AC3888,IF(01_因子設定!$B$13="最大化",AA3888-01_因子設定!$B$14,IF(01_因子設定!$B$13="最小化",01_因子設定!$B$15-AB3888,MIN(AA3888-01_因子設定!$B$14,01_因子設定!$B$15-AB3888))),-1E+030)</f>
        <v>-1.67713628401214</v>
      </c>
      <c r="AE3888" s="55" t="n">
        <f aca="false">IF(AC3888,IF(01_因子設定!$B$13="最大化",X3888,IF(01_因子設定!$B$13="最小化",-X3888,-ABS(X3888-01_因子設定!$B$16))),-1E+030)</f>
        <v>46.3965460526315</v>
      </c>
      <c r="AF3888" s="55" t="n">
        <f aca="false">AD3888+ROW()*0.000000001</f>
        <v>-1.67713239601214</v>
      </c>
      <c r="AG3888" s="55" t="n">
        <f aca="false">AE3888+ROW()*0.000000001</f>
        <v>46.3965499406315</v>
      </c>
    </row>
    <row r="3889" customFormat="false" ht="15" hidden="false" customHeight="false" outlineLevel="0" collapsed="false">
      <c r="A3889" s="0" t="n">
        <v>5</v>
      </c>
      <c r="B3889" s="0" t="n">
        <v>2</v>
      </c>
      <c r="C3889" s="0" t="n">
        <v>8</v>
      </c>
      <c r="D3889" s="0" t="n">
        <v>5</v>
      </c>
      <c r="E3889" s="0" t="n">
        <f aca="false">-1+A3889*0.25</f>
        <v>0.25</v>
      </c>
      <c r="F3889" s="0" t="n">
        <f aca="false">-1+B3889*0.25</f>
        <v>-0.5</v>
      </c>
      <c r="G3889" s="0" t="n">
        <f aca="false">-1+C3889*0.25</f>
        <v>1</v>
      </c>
      <c r="H3889" s="0" t="n">
        <f aca="false">-1+D3889*0.25</f>
        <v>0.25</v>
      </c>
      <c r="I3889" s="0" t="n">
        <f aca="false">1</f>
        <v>1</v>
      </c>
      <c r="J3889" s="0" t="n">
        <f aca="false">E3889</f>
        <v>0.25</v>
      </c>
      <c r="K3889" s="0" t="n">
        <f aca="false">F3889</f>
        <v>-0.5</v>
      </c>
      <c r="L3889" s="0" t="n">
        <f aca="false">G3889</f>
        <v>1</v>
      </c>
      <c r="M3889" s="0" t="n">
        <f aca="false">H3889</f>
        <v>0.25</v>
      </c>
      <c r="N3889" s="0" t="n">
        <f aca="false">E3889*F3889</f>
        <v>-0.125</v>
      </c>
      <c r="O3889" s="0" t="n">
        <f aca="false">E3889*G3889</f>
        <v>0.25</v>
      </c>
      <c r="P3889" s="0" t="n">
        <f aca="false">E3889*H3889</f>
        <v>0.0625</v>
      </c>
      <c r="Q3889" s="0" t="n">
        <f aca="false">F3889*G3889</f>
        <v>-0.5</v>
      </c>
      <c r="R3889" s="0" t="n">
        <f aca="false">F3889*H3889</f>
        <v>-0.125</v>
      </c>
      <c r="S3889" s="0" t="n">
        <f aca="false">G3889*H3889</f>
        <v>0.25</v>
      </c>
      <c r="T3889" s="0" t="n">
        <f aca="false">E3889*E3889</f>
        <v>0.0625</v>
      </c>
      <c r="U3889" s="0" t="n">
        <f aca="false">F3889*F3889</f>
        <v>0.25</v>
      </c>
      <c r="V3889" s="0" t="n">
        <f aca="false">G3889*G3889</f>
        <v>1</v>
      </c>
      <c r="W3889" s="0" t="n">
        <f aca="false">H3889*H3889</f>
        <v>0.0625</v>
      </c>
      <c r="X3889" s="0" t="n">
        <f aca="false">SUMPRODUCT(I3889:W3889,_XtX!$B$96:$P$96)</f>
        <v>46.5802814327485</v>
      </c>
      <c r="Y3889" s="0" t="n">
        <f aca="false">SUMPRODUCT(MMULT(I3889:W3889,_XtX!$B$78:$P$92),I3889:W3889)</f>
        <v>0.445705123812135</v>
      </c>
      <c r="Z3889" s="0" t="n">
        <f aca="false">04_回帰ANOVA!$K$19*04_回帰ANOVA!$K$14*SQRT(1+Y3889)</f>
        <v>1.56724990734749</v>
      </c>
      <c r="AA3889" s="0" t="n">
        <f aca="false">X3889-Z3889</f>
        <v>45.013031525401</v>
      </c>
      <c r="AB3889" s="0" t="n">
        <f aca="false">X3889+Z3889</f>
        <v>48.147531340096</v>
      </c>
      <c r="AC3889" s="54" t="b">
        <f aca="false">AND(E3889&gt;=01_因子設定!$L$5-0.000000001,E3889&lt;=01_因子設定!$M$5+0.000000001,F3889&gt;=01_因子設定!$L$6-0.000000001,F3889&lt;=01_因子設定!$M$6+0.000000001,G3889&gt;=01_因子設定!$L$7-0.000000001,G3889&lt;=01_因子設定!$M$7+0.000000001,H3889&gt;=01_因子設定!$L$8-0.000000001,H3889&lt;=01_因子設定!$M$8+0.000000001,IF(01_因子設定!$B$20="Box-Behnken",E3889^2+F3889^2+G3889^2+H3889^2&lt;=2+0.000000001,TRUE()))</f>
        <v>1</v>
      </c>
      <c r="AD3889" s="55" t="n">
        <f aca="false">IF(AC3889,IF(01_因子設定!$B$13="最大化",AA3889-01_因子設定!$B$14,IF(01_因子設定!$B$13="最小化",01_因子設定!$B$15-AB3889,MIN(AA3889-01_因子設定!$B$14,01_因子設定!$B$15-AB3889))),-1E+030)</f>
        <v>-1.486968474599</v>
      </c>
      <c r="AE3889" s="55" t="n">
        <f aca="false">IF(AC3889,IF(01_因子設定!$B$13="最大化",X3889,IF(01_因子設定!$B$13="最小化",-X3889,-ABS(X3889-01_因子設定!$B$16))),-1E+030)</f>
        <v>46.5802814327485</v>
      </c>
      <c r="AF3889" s="55" t="n">
        <f aca="false">AD3889+ROW()*0.000000001</f>
        <v>-1.486964585599</v>
      </c>
      <c r="AG3889" s="55" t="n">
        <f aca="false">AE3889+ROW()*0.000000001</f>
        <v>46.5802853217485</v>
      </c>
    </row>
    <row r="3890" customFormat="false" ht="15" hidden="false" customHeight="false" outlineLevel="0" collapsed="false">
      <c r="A3890" s="0" t="n">
        <v>5</v>
      </c>
      <c r="B3890" s="0" t="n">
        <v>2</v>
      </c>
      <c r="C3890" s="0" t="n">
        <v>8</v>
      </c>
      <c r="D3890" s="0" t="n">
        <v>6</v>
      </c>
      <c r="E3890" s="0" t="n">
        <f aca="false">-1+A3890*0.25</f>
        <v>0.25</v>
      </c>
      <c r="F3890" s="0" t="n">
        <f aca="false">-1+B3890*0.25</f>
        <v>-0.5</v>
      </c>
      <c r="G3890" s="0" t="n">
        <f aca="false">-1+C3890*0.25</f>
        <v>1</v>
      </c>
      <c r="H3890" s="0" t="n">
        <f aca="false">-1+D3890*0.25</f>
        <v>0.5</v>
      </c>
      <c r="I3890" s="0" t="n">
        <f aca="false">1</f>
        <v>1</v>
      </c>
      <c r="J3890" s="0" t="n">
        <f aca="false">E3890</f>
        <v>0.25</v>
      </c>
      <c r="K3890" s="0" t="n">
        <f aca="false">F3890</f>
        <v>-0.5</v>
      </c>
      <c r="L3890" s="0" t="n">
        <f aca="false">G3890</f>
        <v>1</v>
      </c>
      <c r="M3890" s="0" t="n">
        <f aca="false">H3890</f>
        <v>0.5</v>
      </c>
      <c r="N3890" s="0" t="n">
        <f aca="false">E3890*F3890</f>
        <v>-0.125</v>
      </c>
      <c r="O3890" s="0" t="n">
        <f aca="false">E3890*G3890</f>
        <v>0.25</v>
      </c>
      <c r="P3890" s="0" t="n">
        <f aca="false">E3890*H3890</f>
        <v>0.125</v>
      </c>
      <c r="Q3890" s="0" t="n">
        <f aca="false">F3890*G3890</f>
        <v>-0.5</v>
      </c>
      <c r="R3890" s="0" t="n">
        <f aca="false">F3890*H3890</f>
        <v>-0.25</v>
      </c>
      <c r="S3890" s="0" t="n">
        <f aca="false">G3890*H3890</f>
        <v>0.5</v>
      </c>
      <c r="T3890" s="0" t="n">
        <f aca="false">E3890*E3890</f>
        <v>0.0625</v>
      </c>
      <c r="U3890" s="0" t="n">
        <f aca="false">F3890*F3890</f>
        <v>0.25</v>
      </c>
      <c r="V3890" s="0" t="n">
        <f aca="false">G3890*G3890</f>
        <v>1</v>
      </c>
      <c r="W3890" s="0" t="n">
        <f aca="false">H3890*H3890</f>
        <v>0.25</v>
      </c>
      <c r="X3890" s="0" t="n">
        <f aca="false">SUMPRODUCT(I3890:W3890,_XtX!$B$96:$P$96)</f>
        <v>46.7162097953216</v>
      </c>
      <c r="Y3890" s="0" t="n">
        <f aca="false">SUMPRODUCT(MMULT(I3890:W3890,_XtX!$B$78:$P$92),I3890:W3890)</f>
        <v>0.428122715643275</v>
      </c>
      <c r="Z3890" s="0" t="n">
        <f aca="false">04_回帰ANOVA!$K$19*04_回帰ANOVA!$K$14*SQRT(1+Y3890)</f>
        <v>1.55769044623229</v>
      </c>
      <c r="AA3890" s="0" t="n">
        <f aca="false">X3890-Z3890</f>
        <v>45.1585193490893</v>
      </c>
      <c r="AB3890" s="0" t="n">
        <f aca="false">X3890+Z3890</f>
        <v>48.2739002415539</v>
      </c>
      <c r="AC3890" s="54" t="b">
        <f aca="false">AND(E3890&gt;=01_因子設定!$L$5-0.000000001,E3890&lt;=01_因子設定!$M$5+0.000000001,F3890&gt;=01_因子設定!$L$6-0.000000001,F3890&lt;=01_因子設定!$M$6+0.000000001,G3890&gt;=01_因子設定!$L$7-0.000000001,G3890&lt;=01_因子設定!$M$7+0.000000001,H3890&gt;=01_因子設定!$L$8-0.000000001,H3890&lt;=01_因子設定!$M$8+0.000000001,IF(01_因子設定!$B$20="Box-Behnken",E3890^2+F3890^2+G3890^2+H3890^2&lt;=2+0.000000001,TRUE()))</f>
        <v>1</v>
      </c>
      <c r="AD3890" s="55" t="n">
        <f aca="false">IF(AC3890,IF(01_因子設定!$B$13="最大化",AA3890-01_因子設定!$B$14,IF(01_因子設定!$B$13="最小化",01_因子設定!$B$15-AB3890,MIN(AA3890-01_因子設定!$B$14,01_因子設定!$B$15-AB3890))),-1E+030)</f>
        <v>-1.3414806509107</v>
      </c>
      <c r="AE3890" s="55" t="n">
        <f aca="false">IF(AC3890,IF(01_因子設定!$B$13="最大化",X3890,IF(01_因子設定!$B$13="最小化",-X3890,-ABS(X3890-01_因子設定!$B$16))),-1E+030)</f>
        <v>46.7162097953216</v>
      </c>
      <c r="AF3890" s="55" t="n">
        <f aca="false">AD3890+ROW()*0.000000001</f>
        <v>-1.3414767609107</v>
      </c>
      <c r="AG3890" s="55" t="n">
        <f aca="false">AE3890+ROW()*0.000000001</f>
        <v>46.7162136853216</v>
      </c>
    </row>
    <row r="3891" customFormat="false" ht="15" hidden="false" customHeight="false" outlineLevel="0" collapsed="false">
      <c r="A3891" s="0" t="n">
        <v>5</v>
      </c>
      <c r="B3891" s="0" t="n">
        <v>2</v>
      </c>
      <c r="C3891" s="0" t="n">
        <v>8</v>
      </c>
      <c r="D3891" s="0" t="n">
        <v>7</v>
      </c>
      <c r="E3891" s="0" t="n">
        <f aca="false">-1+A3891*0.25</f>
        <v>0.25</v>
      </c>
      <c r="F3891" s="0" t="n">
        <f aca="false">-1+B3891*0.25</f>
        <v>-0.5</v>
      </c>
      <c r="G3891" s="0" t="n">
        <f aca="false">-1+C3891*0.25</f>
        <v>1</v>
      </c>
      <c r="H3891" s="0" t="n">
        <f aca="false">-1+D3891*0.25</f>
        <v>0.75</v>
      </c>
      <c r="I3891" s="0" t="n">
        <f aca="false">1</f>
        <v>1</v>
      </c>
      <c r="J3891" s="0" t="n">
        <f aca="false">E3891</f>
        <v>0.25</v>
      </c>
      <c r="K3891" s="0" t="n">
        <f aca="false">F3891</f>
        <v>-0.5</v>
      </c>
      <c r="L3891" s="0" t="n">
        <f aca="false">G3891</f>
        <v>1</v>
      </c>
      <c r="M3891" s="0" t="n">
        <f aca="false">H3891</f>
        <v>0.75</v>
      </c>
      <c r="N3891" s="0" t="n">
        <f aca="false">E3891*F3891</f>
        <v>-0.125</v>
      </c>
      <c r="O3891" s="0" t="n">
        <f aca="false">E3891*G3891</f>
        <v>0.25</v>
      </c>
      <c r="P3891" s="0" t="n">
        <f aca="false">E3891*H3891</f>
        <v>0.1875</v>
      </c>
      <c r="Q3891" s="0" t="n">
        <f aca="false">F3891*G3891</f>
        <v>-0.5</v>
      </c>
      <c r="R3891" s="0" t="n">
        <f aca="false">F3891*H3891</f>
        <v>-0.375</v>
      </c>
      <c r="S3891" s="0" t="n">
        <f aca="false">G3891*H3891</f>
        <v>0.75</v>
      </c>
      <c r="T3891" s="0" t="n">
        <f aca="false">E3891*E3891</f>
        <v>0.0625</v>
      </c>
      <c r="U3891" s="0" t="n">
        <f aca="false">F3891*F3891</f>
        <v>0.25</v>
      </c>
      <c r="V3891" s="0" t="n">
        <f aca="false">G3891*G3891</f>
        <v>1</v>
      </c>
      <c r="W3891" s="0" t="n">
        <f aca="false">H3891*H3891</f>
        <v>0.5625</v>
      </c>
      <c r="X3891" s="0" t="n">
        <f aca="false">SUMPRODUCT(I3891:W3891,_XtX!$B$96:$P$96)</f>
        <v>46.8043311403508</v>
      </c>
      <c r="Y3891" s="0" t="n">
        <f aca="false">SUMPRODUCT(MMULT(I3891:W3891,_XtX!$B$78:$P$92),I3891:W3891)</f>
        <v>0.459125719572369</v>
      </c>
      <c r="Z3891" s="0" t="n">
        <f aca="false">04_回帰ANOVA!$K$19*04_回帰ANOVA!$K$14*SQRT(1+Y3891)</f>
        <v>1.57450755575573</v>
      </c>
      <c r="AA3891" s="0" t="n">
        <f aca="false">X3891-Z3891</f>
        <v>45.2298235845951</v>
      </c>
      <c r="AB3891" s="0" t="n">
        <f aca="false">X3891+Z3891</f>
        <v>48.3788386961066</v>
      </c>
      <c r="AC3891" s="54" t="b">
        <f aca="false">AND(E3891&gt;=01_因子設定!$L$5-0.000000001,E3891&lt;=01_因子設定!$M$5+0.000000001,F3891&gt;=01_因子設定!$L$6-0.000000001,F3891&lt;=01_因子設定!$M$6+0.000000001,G3891&gt;=01_因子設定!$L$7-0.000000001,G3891&lt;=01_因子設定!$M$7+0.000000001,H3891&gt;=01_因子設定!$L$8-0.000000001,H3891&lt;=01_因子設定!$M$8+0.000000001,IF(01_因子設定!$B$20="Box-Behnken",E3891^2+F3891^2+G3891^2+H3891^2&lt;=2+0.000000001,TRUE()))</f>
        <v>1</v>
      </c>
      <c r="AD3891" s="55" t="n">
        <f aca="false">IF(AC3891,IF(01_因子設定!$B$13="最大化",AA3891-01_因子設定!$B$14,IF(01_因子設定!$B$13="最小化",01_因子設定!$B$15-AB3891,MIN(AA3891-01_因子設定!$B$14,01_因子設定!$B$15-AB3891))),-1E+030)</f>
        <v>-1.27017641540489</v>
      </c>
      <c r="AE3891" s="55" t="n">
        <f aca="false">IF(AC3891,IF(01_因子設定!$B$13="最大化",X3891,IF(01_因子設定!$B$13="最小化",-X3891,-ABS(X3891-01_因子設定!$B$16))),-1E+030)</f>
        <v>46.8043311403508</v>
      </c>
      <c r="AF3891" s="55" t="n">
        <f aca="false">AD3891+ROW()*0.000000001</f>
        <v>-1.27017252440489</v>
      </c>
      <c r="AG3891" s="55" t="n">
        <f aca="false">AE3891+ROW()*0.000000001</f>
        <v>46.8043350313508</v>
      </c>
    </row>
    <row r="3892" customFormat="false" ht="15" hidden="false" customHeight="false" outlineLevel="0" collapsed="false">
      <c r="A3892" s="0" t="n">
        <v>5</v>
      </c>
      <c r="B3892" s="0" t="n">
        <v>2</v>
      </c>
      <c r="C3892" s="0" t="n">
        <v>8</v>
      </c>
      <c r="D3892" s="0" t="n">
        <v>8</v>
      </c>
      <c r="E3892" s="0" t="n">
        <f aca="false">-1+A3892*0.25</f>
        <v>0.25</v>
      </c>
      <c r="F3892" s="0" t="n">
        <f aca="false">-1+B3892*0.25</f>
        <v>-0.5</v>
      </c>
      <c r="G3892" s="0" t="n">
        <f aca="false">-1+C3892*0.25</f>
        <v>1</v>
      </c>
      <c r="H3892" s="0" t="n">
        <f aca="false">-1+D3892*0.25</f>
        <v>1</v>
      </c>
      <c r="I3892" s="0" t="n">
        <f aca="false">1</f>
        <v>1</v>
      </c>
      <c r="J3892" s="0" t="n">
        <f aca="false">E3892</f>
        <v>0.25</v>
      </c>
      <c r="K3892" s="0" t="n">
        <f aca="false">F3892</f>
        <v>-0.5</v>
      </c>
      <c r="L3892" s="0" t="n">
        <f aca="false">G3892</f>
        <v>1</v>
      </c>
      <c r="M3892" s="0" t="n">
        <f aca="false">H3892</f>
        <v>1</v>
      </c>
      <c r="N3892" s="0" t="n">
        <f aca="false">E3892*F3892</f>
        <v>-0.125</v>
      </c>
      <c r="O3892" s="0" t="n">
        <f aca="false">E3892*G3892</f>
        <v>0.25</v>
      </c>
      <c r="P3892" s="0" t="n">
        <f aca="false">E3892*H3892</f>
        <v>0.25</v>
      </c>
      <c r="Q3892" s="0" t="n">
        <f aca="false">F3892*G3892</f>
        <v>-0.5</v>
      </c>
      <c r="R3892" s="0" t="n">
        <f aca="false">F3892*H3892</f>
        <v>-0.5</v>
      </c>
      <c r="S3892" s="0" t="n">
        <f aca="false">G3892*H3892</f>
        <v>1</v>
      </c>
      <c r="T3892" s="0" t="n">
        <f aca="false">E3892*E3892</f>
        <v>0.0625</v>
      </c>
      <c r="U3892" s="0" t="n">
        <f aca="false">F3892*F3892</f>
        <v>0.25</v>
      </c>
      <c r="V3892" s="0" t="n">
        <f aca="false">G3892*G3892</f>
        <v>1</v>
      </c>
      <c r="W3892" s="0" t="n">
        <f aca="false">H3892*H3892</f>
        <v>1</v>
      </c>
      <c r="X3892" s="0" t="n">
        <f aca="false">SUMPRODUCT(I3892:W3892,_XtX!$B$96:$P$96)</f>
        <v>46.8446454678362</v>
      </c>
      <c r="Y3892" s="0" t="n">
        <f aca="false">SUMPRODUCT(MMULT(I3892:W3892,_XtX!$B$78:$P$92),I3892:W3892)</f>
        <v>0.629174661915205</v>
      </c>
      <c r="Z3892" s="0" t="n">
        <f aca="false">04_回帰ANOVA!$K$19*04_回帰ANOVA!$K$14*SQRT(1+Y3892)</f>
        <v>1.66372758058297</v>
      </c>
      <c r="AA3892" s="0" t="n">
        <f aca="false">X3892-Z3892</f>
        <v>45.1809178872533</v>
      </c>
      <c r="AB3892" s="0" t="n">
        <f aca="false">X3892+Z3892</f>
        <v>48.5083730484192</v>
      </c>
      <c r="AC3892" s="54" t="b">
        <f aca="false">AND(E3892&gt;=01_因子設定!$L$5-0.000000001,E3892&lt;=01_因子設定!$M$5+0.000000001,F3892&gt;=01_因子設定!$L$6-0.000000001,F3892&lt;=01_因子設定!$M$6+0.000000001,G3892&gt;=01_因子設定!$L$7-0.000000001,G3892&lt;=01_因子設定!$M$7+0.000000001,H3892&gt;=01_因子設定!$L$8-0.000000001,H3892&lt;=01_因子設定!$M$8+0.000000001,IF(01_因子設定!$B$20="Box-Behnken",E3892^2+F3892^2+G3892^2+H3892^2&lt;=2+0.000000001,TRUE()))</f>
        <v>1</v>
      </c>
      <c r="AD3892" s="55" t="n">
        <f aca="false">IF(AC3892,IF(01_因子設定!$B$13="最大化",AA3892-01_因子設定!$B$14,IF(01_因子設定!$B$13="最小化",01_因子設定!$B$15-AB3892,MIN(AA3892-01_因子設定!$B$14,01_因子設定!$B$15-AB3892))),-1E+030)</f>
        <v>-1.31908211274673</v>
      </c>
      <c r="AE3892" s="55" t="n">
        <f aca="false">IF(AC3892,IF(01_因子設定!$B$13="最大化",X3892,IF(01_因子設定!$B$13="最小化",-X3892,-ABS(X3892-01_因子設定!$B$16))),-1E+030)</f>
        <v>46.8446454678362</v>
      </c>
      <c r="AF3892" s="55" t="n">
        <f aca="false">AD3892+ROW()*0.000000001</f>
        <v>-1.31907822074673</v>
      </c>
      <c r="AG3892" s="55" t="n">
        <f aca="false">AE3892+ROW()*0.000000001</f>
        <v>46.8446493598362</v>
      </c>
    </row>
    <row r="3893" customFormat="false" ht="15" hidden="false" customHeight="false" outlineLevel="0" collapsed="false">
      <c r="A3893" s="0" t="n">
        <v>5</v>
      </c>
      <c r="B3893" s="0" t="n">
        <v>3</v>
      </c>
      <c r="C3893" s="0" t="n">
        <v>0</v>
      </c>
      <c r="D3893" s="0" t="n">
        <v>0</v>
      </c>
      <c r="E3893" s="0" t="n">
        <f aca="false">-1+A3893*0.25</f>
        <v>0.25</v>
      </c>
      <c r="F3893" s="0" t="n">
        <f aca="false">-1+B3893*0.25</f>
        <v>-0.25</v>
      </c>
      <c r="G3893" s="0" t="n">
        <f aca="false">-1+C3893*0.25</f>
        <v>-1</v>
      </c>
      <c r="H3893" s="0" t="n">
        <f aca="false">-1+D3893*0.25</f>
        <v>-1</v>
      </c>
      <c r="I3893" s="0" t="n">
        <f aca="false">1</f>
        <v>1</v>
      </c>
      <c r="J3893" s="0" t="n">
        <f aca="false">E3893</f>
        <v>0.25</v>
      </c>
      <c r="K3893" s="0" t="n">
        <f aca="false">F3893</f>
        <v>-0.25</v>
      </c>
      <c r="L3893" s="0" t="n">
        <f aca="false">G3893</f>
        <v>-1</v>
      </c>
      <c r="M3893" s="0" t="n">
        <f aca="false">H3893</f>
        <v>-1</v>
      </c>
      <c r="N3893" s="0" t="n">
        <f aca="false">E3893*F3893</f>
        <v>-0.0625</v>
      </c>
      <c r="O3893" s="0" t="n">
        <f aca="false">E3893*G3893</f>
        <v>-0.25</v>
      </c>
      <c r="P3893" s="0" t="n">
        <f aca="false">E3893*H3893</f>
        <v>-0.25</v>
      </c>
      <c r="Q3893" s="0" t="n">
        <f aca="false">F3893*G3893</f>
        <v>0.25</v>
      </c>
      <c r="R3893" s="0" t="n">
        <f aca="false">F3893*H3893</f>
        <v>0.25</v>
      </c>
      <c r="S3893" s="0" t="n">
        <f aca="false">G3893*H3893</f>
        <v>1</v>
      </c>
      <c r="T3893" s="0" t="n">
        <f aca="false">E3893*E3893</f>
        <v>0.0625</v>
      </c>
      <c r="U3893" s="0" t="n">
        <f aca="false">F3893*F3893</f>
        <v>0.0625</v>
      </c>
      <c r="V3893" s="0" t="n">
        <f aca="false">G3893*G3893</f>
        <v>1</v>
      </c>
      <c r="W3893" s="0" t="n">
        <f aca="false">H3893*H3893</f>
        <v>1</v>
      </c>
      <c r="X3893" s="0" t="n">
        <f aca="false">SUMPRODUCT(I3893:W3893,_XtX!$B$96:$P$96)</f>
        <v>45.4825018274854</v>
      </c>
      <c r="Y3893" s="0" t="n">
        <f aca="false">SUMPRODUCT(MMULT(I3893:W3893,_XtX!$B$78:$P$92),I3893:W3893)</f>
        <v>0.670040376005117</v>
      </c>
      <c r="Z3893" s="0" t="n">
        <f aca="false">04_回帰ANOVA!$K$19*04_回帰ANOVA!$K$14*SQRT(1+Y3893)</f>
        <v>1.68446456039992</v>
      </c>
      <c r="AA3893" s="0" t="n">
        <f aca="false">X3893-Z3893</f>
        <v>43.7980372670855</v>
      </c>
      <c r="AB3893" s="0" t="n">
        <f aca="false">X3893+Z3893</f>
        <v>47.1669663878853</v>
      </c>
      <c r="AC3893" s="54" t="b">
        <f aca="false">AND(E3893&gt;=01_因子設定!$L$5-0.000000001,E3893&lt;=01_因子設定!$M$5+0.000000001,F3893&gt;=01_因子設定!$L$6-0.000000001,F3893&lt;=01_因子設定!$M$6+0.000000001,G3893&gt;=01_因子設定!$L$7-0.000000001,G3893&lt;=01_因子設定!$M$7+0.000000001,H3893&gt;=01_因子設定!$L$8-0.000000001,H3893&lt;=01_因子設定!$M$8+0.000000001,IF(01_因子設定!$B$20="Box-Behnken",E3893^2+F3893^2+G3893^2+H3893^2&lt;=2+0.000000001,TRUE()))</f>
        <v>1</v>
      </c>
      <c r="AD3893" s="55" t="n">
        <f aca="false">IF(AC3893,IF(01_因子設定!$B$13="最大化",AA3893-01_因子設定!$B$14,IF(01_因子設定!$B$13="最小化",01_因子設定!$B$15-AB3893,MIN(AA3893-01_因子設定!$B$14,01_因子設定!$B$15-AB3893))),-1E+030)</f>
        <v>-2.70196273291455</v>
      </c>
      <c r="AE3893" s="55" t="n">
        <f aca="false">IF(AC3893,IF(01_因子設定!$B$13="最大化",X3893,IF(01_因子設定!$B$13="最小化",-X3893,-ABS(X3893-01_因子設定!$B$16))),-1E+030)</f>
        <v>45.4825018274854</v>
      </c>
      <c r="AF3893" s="55" t="n">
        <f aca="false">AD3893+ROW()*0.000000001</f>
        <v>-2.70195883991455</v>
      </c>
      <c r="AG3893" s="55" t="n">
        <f aca="false">AE3893+ROW()*0.000000001</f>
        <v>45.4825057204854</v>
      </c>
    </row>
    <row r="3894" customFormat="false" ht="15" hidden="false" customHeight="false" outlineLevel="0" collapsed="false">
      <c r="A3894" s="0" t="n">
        <v>5</v>
      </c>
      <c r="B3894" s="0" t="n">
        <v>3</v>
      </c>
      <c r="C3894" s="0" t="n">
        <v>0</v>
      </c>
      <c r="D3894" s="0" t="n">
        <v>1</v>
      </c>
      <c r="E3894" s="0" t="n">
        <f aca="false">-1+A3894*0.25</f>
        <v>0.25</v>
      </c>
      <c r="F3894" s="0" t="n">
        <f aca="false">-1+B3894*0.25</f>
        <v>-0.25</v>
      </c>
      <c r="G3894" s="0" t="n">
        <f aca="false">-1+C3894*0.25</f>
        <v>-1</v>
      </c>
      <c r="H3894" s="0" t="n">
        <f aca="false">-1+D3894*0.25</f>
        <v>-0.75</v>
      </c>
      <c r="I3894" s="0" t="n">
        <f aca="false">1</f>
        <v>1</v>
      </c>
      <c r="J3894" s="0" t="n">
        <f aca="false">E3894</f>
        <v>0.25</v>
      </c>
      <c r="K3894" s="0" t="n">
        <f aca="false">F3894</f>
        <v>-0.25</v>
      </c>
      <c r="L3894" s="0" t="n">
        <f aca="false">G3894</f>
        <v>-1</v>
      </c>
      <c r="M3894" s="0" t="n">
        <f aca="false">H3894</f>
        <v>-0.75</v>
      </c>
      <c r="N3894" s="0" t="n">
        <f aca="false">E3894*F3894</f>
        <v>-0.0625</v>
      </c>
      <c r="O3894" s="0" t="n">
        <f aca="false">E3894*G3894</f>
        <v>-0.25</v>
      </c>
      <c r="P3894" s="0" t="n">
        <f aca="false">E3894*H3894</f>
        <v>-0.1875</v>
      </c>
      <c r="Q3894" s="0" t="n">
        <f aca="false">F3894*G3894</f>
        <v>0.25</v>
      </c>
      <c r="R3894" s="0" t="n">
        <f aca="false">F3894*H3894</f>
        <v>0.1875</v>
      </c>
      <c r="S3894" s="0" t="n">
        <f aca="false">G3894*H3894</f>
        <v>0.75</v>
      </c>
      <c r="T3894" s="0" t="n">
        <f aca="false">E3894*E3894</f>
        <v>0.0625</v>
      </c>
      <c r="U3894" s="0" t="n">
        <f aca="false">F3894*F3894</f>
        <v>0.0625</v>
      </c>
      <c r="V3894" s="0" t="n">
        <f aca="false">G3894*G3894</f>
        <v>1</v>
      </c>
      <c r="W3894" s="0" t="n">
        <f aca="false">H3894*H3894</f>
        <v>0.5625</v>
      </c>
      <c r="X3894" s="0" t="n">
        <f aca="false">SUMPRODUCT(I3894:W3894,_XtX!$B$96:$P$96)</f>
        <v>45.7004340277777</v>
      </c>
      <c r="Y3894" s="0" t="n">
        <f aca="false">SUMPRODUCT(MMULT(I3894:W3894,_XtX!$B$78:$P$92),I3894:W3894)</f>
        <v>0.486409505208334</v>
      </c>
      <c r="Z3894" s="0" t="n">
        <f aca="false">04_回帰ANOVA!$K$19*04_回帰ANOVA!$K$14*SQRT(1+Y3894)</f>
        <v>1.58916001665498</v>
      </c>
      <c r="AA3894" s="0" t="n">
        <f aca="false">X3894-Z3894</f>
        <v>44.1112740111228</v>
      </c>
      <c r="AB3894" s="0" t="n">
        <f aca="false">X3894+Z3894</f>
        <v>47.2895940444327</v>
      </c>
      <c r="AC3894" s="54" t="b">
        <f aca="false">AND(E3894&gt;=01_因子設定!$L$5-0.000000001,E3894&lt;=01_因子設定!$M$5+0.000000001,F3894&gt;=01_因子設定!$L$6-0.000000001,F3894&lt;=01_因子設定!$M$6+0.000000001,G3894&gt;=01_因子設定!$L$7-0.000000001,G3894&lt;=01_因子設定!$M$7+0.000000001,H3894&gt;=01_因子設定!$L$8-0.000000001,H3894&lt;=01_因子設定!$M$8+0.000000001,IF(01_因子設定!$B$20="Box-Behnken",E3894^2+F3894^2+G3894^2+H3894^2&lt;=2+0.000000001,TRUE()))</f>
        <v>1</v>
      </c>
      <c r="AD3894" s="55" t="n">
        <f aca="false">IF(AC3894,IF(01_因子設定!$B$13="最大化",AA3894-01_因子設定!$B$14,IF(01_因子設定!$B$13="最小化",01_因子設定!$B$15-AB3894,MIN(AA3894-01_因子設定!$B$14,01_因子設定!$B$15-AB3894))),-1E+030)</f>
        <v>-2.38872598887723</v>
      </c>
      <c r="AE3894" s="55" t="n">
        <f aca="false">IF(AC3894,IF(01_因子設定!$B$13="最大化",X3894,IF(01_因子設定!$B$13="最小化",-X3894,-ABS(X3894-01_因子設定!$B$16))),-1E+030)</f>
        <v>45.7004340277777</v>
      </c>
      <c r="AF3894" s="55" t="n">
        <f aca="false">AD3894+ROW()*0.000000001</f>
        <v>-2.38872209487723</v>
      </c>
      <c r="AG3894" s="55" t="n">
        <f aca="false">AE3894+ROW()*0.000000001</f>
        <v>45.7004379217778</v>
      </c>
    </row>
    <row r="3895" customFormat="false" ht="15" hidden="false" customHeight="false" outlineLevel="0" collapsed="false">
      <c r="A3895" s="0" t="n">
        <v>5</v>
      </c>
      <c r="B3895" s="0" t="n">
        <v>3</v>
      </c>
      <c r="C3895" s="0" t="n">
        <v>0</v>
      </c>
      <c r="D3895" s="0" t="n">
        <v>2</v>
      </c>
      <c r="E3895" s="0" t="n">
        <f aca="false">-1+A3895*0.25</f>
        <v>0.25</v>
      </c>
      <c r="F3895" s="0" t="n">
        <f aca="false">-1+B3895*0.25</f>
        <v>-0.25</v>
      </c>
      <c r="G3895" s="0" t="n">
        <f aca="false">-1+C3895*0.25</f>
        <v>-1</v>
      </c>
      <c r="H3895" s="0" t="n">
        <f aca="false">-1+D3895*0.25</f>
        <v>-0.5</v>
      </c>
      <c r="I3895" s="0" t="n">
        <f aca="false">1</f>
        <v>1</v>
      </c>
      <c r="J3895" s="0" t="n">
        <f aca="false">E3895</f>
        <v>0.25</v>
      </c>
      <c r="K3895" s="0" t="n">
        <f aca="false">F3895</f>
        <v>-0.25</v>
      </c>
      <c r="L3895" s="0" t="n">
        <f aca="false">G3895</f>
        <v>-1</v>
      </c>
      <c r="M3895" s="0" t="n">
        <f aca="false">H3895</f>
        <v>-0.5</v>
      </c>
      <c r="N3895" s="0" t="n">
        <f aca="false">E3895*F3895</f>
        <v>-0.0625</v>
      </c>
      <c r="O3895" s="0" t="n">
        <f aca="false">E3895*G3895</f>
        <v>-0.25</v>
      </c>
      <c r="P3895" s="0" t="n">
        <f aca="false">E3895*H3895</f>
        <v>-0.125</v>
      </c>
      <c r="Q3895" s="0" t="n">
        <f aca="false">F3895*G3895</f>
        <v>0.25</v>
      </c>
      <c r="R3895" s="0" t="n">
        <f aca="false">F3895*H3895</f>
        <v>0.125</v>
      </c>
      <c r="S3895" s="0" t="n">
        <f aca="false">G3895*H3895</f>
        <v>0.5</v>
      </c>
      <c r="T3895" s="0" t="n">
        <f aca="false">E3895*E3895</f>
        <v>0.0625</v>
      </c>
      <c r="U3895" s="0" t="n">
        <f aca="false">F3895*F3895</f>
        <v>0.0625</v>
      </c>
      <c r="V3895" s="0" t="n">
        <f aca="false">G3895*G3895</f>
        <v>1</v>
      </c>
      <c r="W3895" s="0" t="n">
        <f aca="false">H3895*H3895</f>
        <v>0.25</v>
      </c>
      <c r="X3895" s="0" t="n">
        <f aca="false">SUMPRODUCT(I3895:W3895,_XtX!$B$96:$P$96)</f>
        <v>45.8705592105263</v>
      </c>
      <c r="Y3895" s="0" t="n">
        <f aca="false">SUMPRODUCT(MMULT(I3895:W3895,_XtX!$B$78:$P$92),I3895:W3895)</f>
        <v>0.445705123812135</v>
      </c>
      <c r="Z3895" s="0" t="n">
        <f aca="false">04_回帰ANOVA!$K$19*04_回帰ANOVA!$K$14*SQRT(1+Y3895)</f>
        <v>1.56724990734749</v>
      </c>
      <c r="AA3895" s="0" t="n">
        <f aca="false">X3895-Z3895</f>
        <v>44.3033093031788</v>
      </c>
      <c r="AB3895" s="0" t="n">
        <f aca="false">X3895+Z3895</f>
        <v>47.4378091178738</v>
      </c>
      <c r="AC3895" s="54" t="b">
        <f aca="false">AND(E3895&gt;=01_因子設定!$L$5-0.000000001,E3895&lt;=01_因子設定!$M$5+0.000000001,F3895&gt;=01_因子設定!$L$6-0.000000001,F3895&lt;=01_因子設定!$M$6+0.000000001,G3895&gt;=01_因子設定!$L$7-0.000000001,G3895&lt;=01_因子設定!$M$7+0.000000001,H3895&gt;=01_因子設定!$L$8-0.000000001,H3895&lt;=01_因子設定!$M$8+0.000000001,IF(01_因子設定!$B$20="Box-Behnken",E3895^2+F3895^2+G3895^2+H3895^2&lt;=2+0.000000001,TRUE()))</f>
        <v>1</v>
      </c>
      <c r="AD3895" s="55" t="n">
        <f aca="false">IF(AC3895,IF(01_因子設定!$B$13="最大化",AA3895-01_因子設定!$B$14,IF(01_因子設定!$B$13="最小化",01_因子設定!$B$15-AB3895,MIN(AA3895-01_因子設定!$B$14,01_因子設定!$B$15-AB3895))),-1E+030)</f>
        <v>-2.19669069682122</v>
      </c>
      <c r="AE3895" s="55" t="n">
        <f aca="false">IF(AC3895,IF(01_因子設定!$B$13="最大化",X3895,IF(01_因子設定!$B$13="最小化",-X3895,-ABS(X3895-01_因子設定!$B$16))),-1E+030)</f>
        <v>45.8705592105263</v>
      </c>
      <c r="AF3895" s="55" t="n">
        <f aca="false">AD3895+ROW()*0.000000001</f>
        <v>-2.19668680182122</v>
      </c>
      <c r="AG3895" s="55" t="n">
        <f aca="false">AE3895+ROW()*0.000000001</f>
        <v>45.8705631055263</v>
      </c>
    </row>
    <row r="3896" customFormat="false" ht="15" hidden="false" customHeight="false" outlineLevel="0" collapsed="false">
      <c r="A3896" s="0" t="n">
        <v>5</v>
      </c>
      <c r="B3896" s="0" t="n">
        <v>3</v>
      </c>
      <c r="C3896" s="0" t="n">
        <v>0</v>
      </c>
      <c r="D3896" s="0" t="n">
        <v>3</v>
      </c>
      <c r="E3896" s="0" t="n">
        <f aca="false">-1+A3896*0.25</f>
        <v>0.25</v>
      </c>
      <c r="F3896" s="0" t="n">
        <f aca="false">-1+B3896*0.25</f>
        <v>-0.25</v>
      </c>
      <c r="G3896" s="0" t="n">
        <f aca="false">-1+C3896*0.25</f>
        <v>-1</v>
      </c>
      <c r="H3896" s="0" t="n">
        <f aca="false">-1+D3896*0.25</f>
        <v>-0.25</v>
      </c>
      <c r="I3896" s="0" t="n">
        <f aca="false">1</f>
        <v>1</v>
      </c>
      <c r="J3896" s="0" t="n">
        <f aca="false">E3896</f>
        <v>0.25</v>
      </c>
      <c r="K3896" s="0" t="n">
        <f aca="false">F3896</f>
        <v>-0.25</v>
      </c>
      <c r="L3896" s="0" t="n">
        <f aca="false">G3896</f>
        <v>-1</v>
      </c>
      <c r="M3896" s="0" t="n">
        <f aca="false">H3896</f>
        <v>-0.25</v>
      </c>
      <c r="N3896" s="0" t="n">
        <f aca="false">E3896*F3896</f>
        <v>-0.0625</v>
      </c>
      <c r="O3896" s="0" t="n">
        <f aca="false">E3896*G3896</f>
        <v>-0.25</v>
      </c>
      <c r="P3896" s="0" t="n">
        <f aca="false">E3896*H3896</f>
        <v>-0.0625</v>
      </c>
      <c r="Q3896" s="0" t="n">
        <f aca="false">F3896*G3896</f>
        <v>0.25</v>
      </c>
      <c r="R3896" s="0" t="n">
        <f aca="false">F3896*H3896</f>
        <v>0.0625</v>
      </c>
      <c r="S3896" s="0" t="n">
        <f aca="false">G3896*H3896</f>
        <v>0.25</v>
      </c>
      <c r="T3896" s="0" t="n">
        <f aca="false">E3896*E3896</f>
        <v>0.0625</v>
      </c>
      <c r="U3896" s="0" t="n">
        <f aca="false">F3896*F3896</f>
        <v>0.0625</v>
      </c>
      <c r="V3896" s="0" t="n">
        <f aca="false">G3896*G3896</f>
        <v>1</v>
      </c>
      <c r="W3896" s="0" t="n">
        <f aca="false">H3896*H3896</f>
        <v>0.0625</v>
      </c>
      <c r="X3896" s="0" t="n">
        <f aca="false">SUMPRODUCT(I3896:W3896,_XtX!$B$96:$P$96)</f>
        <v>45.9928773757309</v>
      </c>
      <c r="Y3896" s="0" t="n">
        <f aca="false">SUMPRODUCT(MMULT(I3896:W3896,_XtX!$B$78:$P$92),I3896:W3896)</f>
        <v>0.457466705500731</v>
      </c>
      <c r="Z3896" s="0" t="n">
        <f aca="false">04_回帰ANOVA!$K$19*04_回帰ANOVA!$K$14*SQRT(1+Y3896)</f>
        <v>1.57361220003999</v>
      </c>
      <c r="AA3896" s="0" t="n">
        <f aca="false">X3896-Z3896</f>
        <v>44.4192651756909</v>
      </c>
      <c r="AB3896" s="0" t="n">
        <f aca="false">X3896+Z3896</f>
        <v>47.5664895757709</v>
      </c>
      <c r="AC3896" s="54" t="b">
        <f aca="false">AND(E3896&gt;=01_因子設定!$L$5-0.000000001,E3896&lt;=01_因子設定!$M$5+0.000000001,F3896&gt;=01_因子設定!$L$6-0.000000001,F3896&lt;=01_因子設定!$M$6+0.000000001,G3896&gt;=01_因子設定!$L$7-0.000000001,G3896&lt;=01_因子設定!$M$7+0.000000001,H3896&gt;=01_因子設定!$L$8-0.000000001,H3896&lt;=01_因子設定!$M$8+0.000000001,IF(01_因子設定!$B$20="Box-Behnken",E3896^2+F3896^2+G3896^2+H3896^2&lt;=2+0.000000001,TRUE()))</f>
        <v>1</v>
      </c>
      <c r="AD3896" s="55" t="n">
        <f aca="false">IF(AC3896,IF(01_因子設定!$B$13="最大化",AA3896-01_因子設定!$B$14,IF(01_因子設定!$B$13="最小化",01_因子設定!$B$15-AB3896,MIN(AA3896-01_因子設定!$B$14,01_因子設定!$B$15-AB3896))),-1E+030)</f>
        <v>-2.08073482430905</v>
      </c>
      <c r="AE3896" s="55" t="n">
        <f aca="false">IF(AC3896,IF(01_因子設定!$B$13="最大化",X3896,IF(01_因子設定!$B$13="最小化",-X3896,-ABS(X3896-01_因子設定!$B$16))),-1E+030)</f>
        <v>45.9928773757309</v>
      </c>
      <c r="AF3896" s="55" t="n">
        <f aca="false">AD3896+ROW()*0.000000001</f>
        <v>-2.08073092830905</v>
      </c>
      <c r="AG3896" s="55" t="n">
        <f aca="false">AE3896+ROW()*0.000000001</f>
        <v>45.9928812717309</v>
      </c>
    </row>
    <row r="3897" customFormat="false" ht="15" hidden="false" customHeight="false" outlineLevel="0" collapsed="false">
      <c r="A3897" s="0" t="n">
        <v>5</v>
      </c>
      <c r="B3897" s="0" t="n">
        <v>3</v>
      </c>
      <c r="C3897" s="0" t="n">
        <v>0</v>
      </c>
      <c r="D3897" s="0" t="n">
        <v>4</v>
      </c>
      <c r="E3897" s="0" t="n">
        <f aca="false">-1+A3897*0.25</f>
        <v>0.25</v>
      </c>
      <c r="F3897" s="0" t="n">
        <f aca="false">-1+B3897*0.25</f>
        <v>-0.25</v>
      </c>
      <c r="G3897" s="0" t="n">
        <f aca="false">-1+C3897*0.25</f>
        <v>-1</v>
      </c>
      <c r="H3897" s="0" t="n">
        <f aca="false">-1+D3897*0.25</f>
        <v>0</v>
      </c>
      <c r="I3897" s="0" t="n">
        <f aca="false">1</f>
        <v>1</v>
      </c>
      <c r="J3897" s="0" t="n">
        <f aca="false">E3897</f>
        <v>0.25</v>
      </c>
      <c r="K3897" s="0" t="n">
        <f aca="false">F3897</f>
        <v>-0.25</v>
      </c>
      <c r="L3897" s="0" t="n">
        <f aca="false">G3897</f>
        <v>-1</v>
      </c>
      <c r="M3897" s="0" t="n">
        <f aca="false">H3897</f>
        <v>0</v>
      </c>
      <c r="N3897" s="0" t="n">
        <f aca="false">E3897*F3897</f>
        <v>-0.0625</v>
      </c>
      <c r="O3897" s="0" t="n">
        <f aca="false">E3897*G3897</f>
        <v>-0.25</v>
      </c>
      <c r="P3897" s="0" t="n">
        <f aca="false">E3897*H3897</f>
        <v>0</v>
      </c>
      <c r="Q3897" s="0" t="n">
        <f aca="false">F3897*G3897</f>
        <v>0.25</v>
      </c>
      <c r="R3897" s="0" t="n">
        <f aca="false">F3897*H3897</f>
        <v>-0</v>
      </c>
      <c r="S3897" s="0" t="n">
        <f aca="false">G3897*H3897</f>
        <v>-0</v>
      </c>
      <c r="T3897" s="0" t="n">
        <f aca="false">E3897*E3897</f>
        <v>0.0625</v>
      </c>
      <c r="U3897" s="0" t="n">
        <f aca="false">F3897*F3897</f>
        <v>0.0625</v>
      </c>
      <c r="V3897" s="0" t="n">
        <f aca="false">G3897*G3897</f>
        <v>1</v>
      </c>
      <c r="W3897" s="0" t="n">
        <f aca="false">H3897*H3897</f>
        <v>0</v>
      </c>
      <c r="X3897" s="0" t="n">
        <f aca="false">SUMPRODUCT(I3897:W3897,_XtX!$B$96:$P$96)</f>
        <v>46.0673885233918</v>
      </c>
      <c r="Y3897" s="0" t="n">
        <f aca="false">SUMPRODUCT(MMULT(I3897:W3897,_XtX!$B$78:$P$92),I3897:W3897)</f>
        <v>0.467417934484649</v>
      </c>
      <c r="Z3897" s="0" t="n">
        <f aca="false">04_回帰ANOVA!$K$19*04_回帰ANOVA!$K$14*SQRT(1+Y3897)</f>
        <v>1.57897518244497</v>
      </c>
      <c r="AA3897" s="0" t="n">
        <f aca="false">X3897-Z3897</f>
        <v>44.4884133409468</v>
      </c>
      <c r="AB3897" s="0" t="n">
        <f aca="false">X3897+Z3897</f>
        <v>47.6463637058367</v>
      </c>
      <c r="AC3897" s="54" t="b">
        <f aca="false">AND(E3897&gt;=01_因子設定!$L$5-0.000000001,E3897&lt;=01_因子設定!$M$5+0.000000001,F3897&gt;=01_因子設定!$L$6-0.000000001,F3897&lt;=01_因子設定!$M$6+0.000000001,G3897&gt;=01_因子設定!$L$7-0.000000001,G3897&lt;=01_因子設定!$M$7+0.000000001,H3897&gt;=01_因子設定!$L$8-0.000000001,H3897&lt;=01_因子設定!$M$8+0.000000001,IF(01_因子設定!$B$20="Box-Behnken",E3897^2+F3897^2+G3897^2+H3897^2&lt;=2+0.000000001,TRUE()))</f>
        <v>1</v>
      </c>
      <c r="AD3897" s="55" t="n">
        <f aca="false">IF(AC3897,IF(01_因子設定!$B$13="最大化",AA3897-01_因子設定!$B$14,IF(01_因子設定!$B$13="最小化",01_因子設定!$B$15-AB3897,MIN(AA3897-01_因子設定!$B$14,01_因子設定!$B$15-AB3897))),-1E+030)</f>
        <v>-2.01158665905322</v>
      </c>
      <c r="AE3897" s="55" t="n">
        <f aca="false">IF(AC3897,IF(01_因子設定!$B$13="最大化",X3897,IF(01_因子設定!$B$13="最小化",-X3897,-ABS(X3897-01_因子設定!$B$16))),-1E+030)</f>
        <v>46.0673885233918</v>
      </c>
      <c r="AF3897" s="55" t="n">
        <f aca="false">AD3897+ROW()*0.000000001</f>
        <v>-2.01158276205322</v>
      </c>
      <c r="AG3897" s="55" t="n">
        <f aca="false">AE3897+ROW()*0.000000001</f>
        <v>46.0673924203918</v>
      </c>
    </row>
    <row r="3898" customFormat="false" ht="15" hidden="false" customHeight="false" outlineLevel="0" collapsed="false">
      <c r="A3898" s="0" t="n">
        <v>5</v>
      </c>
      <c r="B3898" s="0" t="n">
        <v>3</v>
      </c>
      <c r="C3898" s="0" t="n">
        <v>0</v>
      </c>
      <c r="D3898" s="0" t="n">
        <v>5</v>
      </c>
      <c r="E3898" s="0" t="n">
        <f aca="false">-1+A3898*0.25</f>
        <v>0.25</v>
      </c>
      <c r="F3898" s="0" t="n">
        <f aca="false">-1+B3898*0.25</f>
        <v>-0.25</v>
      </c>
      <c r="G3898" s="0" t="n">
        <f aca="false">-1+C3898*0.25</f>
        <v>-1</v>
      </c>
      <c r="H3898" s="0" t="n">
        <f aca="false">-1+D3898*0.25</f>
        <v>0.25</v>
      </c>
      <c r="I3898" s="0" t="n">
        <f aca="false">1</f>
        <v>1</v>
      </c>
      <c r="J3898" s="0" t="n">
        <f aca="false">E3898</f>
        <v>0.25</v>
      </c>
      <c r="K3898" s="0" t="n">
        <f aca="false">F3898</f>
        <v>-0.25</v>
      </c>
      <c r="L3898" s="0" t="n">
        <f aca="false">G3898</f>
        <v>-1</v>
      </c>
      <c r="M3898" s="0" t="n">
        <f aca="false">H3898</f>
        <v>0.25</v>
      </c>
      <c r="N3898" s="0" t="n">
        <f aca="false">E3898*F3898</f>
        <v>-0.0625</v>
      </c>
      <c r="O3898" s="0" t="n">
        <f aca="false">E3898*G3898</f>
        <v>-0.25</v>
      </c>
      <c r="P3898" s="0" t="n">
        <f aca="false">E3898*H3898</f>
        <v>0.0625</v>
      </c>
      <c r="Q3898" s="0" t="n">
        <f aca="false">F3898*G3898</f>
        <v>0.25</v>
      </c>
      <c r="R3898" s="0" t="n">
        <f aca="false">F3898*H3898</f>
        <v>-0.0625</v>
      </c>
      <c r="S3898" s="0" t="n">
        <f aca="false">G3898*H3898</f>
        <v>-0.25</v>
      </c>
      <c r="T3898" s="0" t="n">
        <f aca="false">E3898*E3898</f>
        <v>0.0625</v>
      </c>
      <c r="U3898" s="0" t="n">
        <f aca="false">F3898*F3898</f>
        <v>0.0625</v>
      </c>
      <c r="V3898" s="0" t="n">
        <f aca="false">G3898*G3898</f>
        <v>1</v>
      </c>
      <c r="W3898" s="0" t="n">
        <f aca="false">H3898*H3898</f>
        <v>0.0625</v>
      </c>
      <c r="X3898" s="0" t="n">
        <f aca="false">SUMPRODUCT(I3898:W3898,_XtX!$B$96:$P$96)</f>
        <v>46.0940926535087</v>
      </c>
      <c r="Y3898" s="0" t="n">
        <f aca="false">SUMPRODUCT(MMULT(I3898:W3898,_XtX!$B$78:$P$92),I3898:W3898)</f>
        <v>0.457466705500731</v>
      </c>
      <c r="Z3898" s="0" t="n">
        <f aca="false">04_回帰ANOVA!$K$19*04_回帰ANOVA!$K$14*SQRT(1+Y3898)</f>
        <v>1.57361220003999</v>
      </c>
      <c r="AA3898" s="0" t="n">
        <f aca="false">X3898-Z3898</f>
        <v>44.5204804534687</v>
      </c>
      <c r="AB3898" s="0" t="n">
        <f aca="false">X3898+Z3898</f>
        <v>47.6677048535487</v>
      </c>
      <c r="AC3898" s="54" t="b">
        <f aca="false">AND(E3898&gt;=01_因子設定!$L$5-0.000000001,E3898&lt;=01_因子設定!$M$5+0.000000001,F3898&gt;=01_因子設定!$L$6-0.000000001,F3898&lt;=01_因子設定!$M$6+0.000000001,G3898&gt;=01_因子設定!$L$7-0.000000001,G3898&lt;=01_因子設定!$M$7+0.000000001,H3898&gt;=01_因子設定!$L$8-0.000000001,H3898&lt;=01_因子設定!$M$8+0.000000001,IF(01_因子設定!$B$20="Box-Behnken",E3898^2+F3898^2+G3898^2+H3898^2&lt;=2+0.000000001,TRUE()))</f>
        <v>1</v>
      </c>
      <c r="AD3898" s="55" t="n">
        <f aca="false">IF(AC3898,IF(01_因子設定!$B$13="最大化",AA3898-01_因子設定!$B$14,IF(01_因子設定!$B$13="最小化",01_因子設定!$B$15-AB3898,MIN(AA3898-01_因子設定!$B$14,01_因子設定!$B$15-AB3898))),-1E+030)</f>
        <v>-1.97951954653128</v>
      </c>
      <c r="AE3898" s="55" t="n">
        <f aca="false">IF(AC3898,IF(01_因子設定!$B$13="最大化",X3898,IF(01_因子設定!$B$13="最小化",-X3898,-ABS(X3898-01_因子設定!$B$16))),-1E+030)</f>
        <v>46.0940926535087</v>
      </c>
      <c r="AF3898" s="55" t="n">
        <f aca="false">AD3898+ROW()*0.000000001</f>
        <v>-1.97951564853128</v>
      </c>
      <c r="AG3898" s="55" t="n">
        <f aca="false">AE3898+ROW()*0.000000001</f>
        <v>46.0940965515087</v>
      </c>
    </row>
    <row r="3899" customFormat="false" ht="15" hidden="false" customHeight="false" outlineLevel="0" collapsed="false">
      <c r="A3899" s="0" t="n">
        <v>5</v>
      </c>
      <c r="B3899" s="0" t="n">
        <v>3</v>
      </c>
      <c r="C3899" s="0" t="n">
        <v>0</v>
      </c>
      <c r="D3899" s="0" t="n">
        <v>6</v>
      </c>
      <c r="E3899" s="0" t="n">
        <f aca="false">-1+A3899*0.25</f>
        <v>0.25</v>
      </c>
      <c r="F3899" s="0" t="n">
        <f aca="false">-1+B3899*0.25</f>
        <v>-0.25</v>
      </c>
      <c r="G3899" s="0" t="n">
        <f aca="false">-1+C3899*0.25</f>
        <v>-1</v>
      </c>
      <c r="H3899" s="0" t="n">
        <f aca="false">-1+D3899*0.25</f>
        <v>0.5</v>
      </c>
      <c r="I3899" s="0" t="n">
        <f aca="false">1</f>
        <v>1</v>
      </c>
      <c r="J3899" s="0" t="n">
        <f aca="false">E3899</f>
        <v>0.25</v>
      </c>
      <c r="K3899" s="0" t="n">
        <f aca="false">F3899</f>
        <v>-0.25</v>
      </c>
      <c r="L3899" s="0" t="n">
        <f aca="false">G3899</f>
        <v>-1</v>
      </c>
      <c r="M3899" s="0" t="n">
        <f aca="false">H3899</f>
        <v>0.5</v>
      </c>
      <c r="N3899" s="0" t="n">
        <f aca="false">E3899*F3899</f>
        <v>-0.0625</v>
      </c>
      <c r="O3899" s="0" t="n">
        <f aca="false">E3899*G3899</f>
        <v>-0.25</v>
      </c>
      <c r="P3899" s="0" t="n">
        <f aca="false">E3899*H3899</f>
        <v>0.125</v>
      </c>
      <c r="Q3899" s="0" t="n">
        <f aca="false">F3899*G3899</f>
        <v>0.25</v>
      </c>
      <c r="R3899" s="0" t="n">
        <f aca="false">F3899*H3899</f>
        <v>-0.125</v>
      </c>
      <c r="S3899" s="0" t="n">
        <f aca="false">G3899*H3899</f>
        <v>-0.5</v>
      </c>
      <c r="T3899" s="0" t="n">
        <f aca="false">E3899*E3899</f>
        <v>0.0625</v>
      </c>
      <c r="U3899" s="0" t="n">
        <f aca="false">F3899*F3899</f>
        <v>0.0625</v>
      </c>
      <c r="V3899" s="0" t="n">
        <f aca="false">G3899*G3899</f>
        <v>1</v>
      </c>
      <c r="W3899" s="0" t="n">
        <f aca="false">H3899*H3899</f>
        <v>0.25</v>
      </c>
      <c r="X3899" s="0" t="n">
        <f aca="false">SUMPRODUCT(I3899:W3899,_XtX!$B$96:$P$96)</f>
        <v>46.0729897660818</v>
      </c>
      <c r="Y3899" s="0" t="n">
        <f aca="false">SUMPRODUCT(MMULT(I3899:W3899,_XtX!$B$78:$P$92),I3899:W3899)</f>
        <v>0.445705123812135</v>
      </c>
      <c r="Z3899" s="0" t="n">
        <f aca="false">04_回帰ANOVA!$K$19*04_回帰ANOVA!$K$14*SQRT(1+Y3899)</f>
        <v>1.56724990734749</v>
      </c>
      <c r="AA3899" s="0" t="n">
        <f aca="false">X3899-Z3899</f>
        <v>44.5057398587343</v>
      </c>
      <c r="AB3899" s="0" t="n">
        <f aca="false">X3899+Z3899</f>
        <v>47.6402396734293</v>
      </c>
      <c r="AC3899" s="54" t="b">
        <f aca="false">AND(E3899&gt;=01_因子設定!$L$5-0.000000001,E3899&lt;=01_因子設定!$M$5+0.000000001,F3899&gt;=01_因子設定!$L$6-0.000000001,F3899&lt;=01_因子設定!$M$6+0.000000001,G3899&gt;=01_因子設定!$L$7-0.000000001,G3899&lt;=01_因子設定!$M$7+0.000000001,H3899&gt;=01_因子設定!$L$8-0.000000001,H3899&lt;=01_因子設定!$M$8+0.000000001,IF(01_因子設定!$B$20="Box-Behnken",E3899^2+F3899^2+G3899^2+H3899^2&lt;=2+0.000000001,TRUE()))</f>
        <v>1</v>
      </c>
      <c r="AD3899" s="55" t="n">
        <f aca="false">IF(AC3899,IF(01_因子設定!$B$13="最大化",AA3899-01_因子設定!$B$14,IF(01_因子設定!$B$13="最小化",01_因子設定!$B$15-AB3899,MIN(AA3899-01_因子設定!$B$14,01_因子設定!$B$15-AB3899))),-1E+030)</f>
        <v>-1.99426014126566</v>
      </c>
      <c r="AE3899" s="55" t="n">
        <f aca="false">IF(AC3899,IF(01_因子設定!$B$13="最大化",X3899,IF(01_因子設定!$B$13="最小化",-X3899,-ABS(X3899-01_因子設定!$B$16))),-1E+030)</f>
        <v>46.0729897660818</v>
      </c>
      <c r="AF3899" s="55" t="n">
        <f aca="false">AD3899+ROW()*0.000000001</f>
        <v>-1.99425624226566</v>
      </c>
      <c r="AG3899" s="55" t="n">
        <f aca="false">AE3899+ROW()*0.000000001</f>
        <v>46.0729936650818</v>
      </c>
    </row>
    <row r="3900" customFormat="false" ht="15" hidden="false" customHeight="false" outlineLevel="0" collapsed="false">
      <c r="A3900" s="0" t="n">
        <v>5</v>
      </c>
      <c r="B3900" s="0" t="n">
        <v>3</v>
      </c>
      <c r="C3900" s="0" t="n">
        <v>0</v>
      </c>
      <c r="D3900" s="0" t="n">
        <v>7</v>
      </c>
      <c r="E3900" s="0" t="n">
        <f aca="false">-1+A3900*0.25</f>
        <v>0.25</v>
      </c>
      <c r="F3900" s="0" t="n">
        <f aca="false">-1+B3900*0.25</f>
        <v>-0.25</v>
      </c>
      <c r="G3900" s="0" t="n">
        <f aca="false">-1+C3900*0.25</f>
        <v>-1</v>
      </c>
      <c r="H3900" s="0" t="n">
        <f aca="false">-1+D3900*0.25</f>
        <v>0.75</v>
      </c>
      <c r="I3900" s="0" t="n">
        <f aca="false">1</f>
        <v>1</v>
      </c>
      <c r="J3900" s="0" t="n">
        <f aca="false">E3900</f>
        <v>0.25</v>
      </c>
      <c r="K3900" s="0" t="n">
        <f aca="false">F3900</f>
        <v>-0.25</v>
      </c>
      <c r="L3900" s="0" t="n">
        <f aca="false">G3900</f>
        <v>-1</v>
      </c>
      <c r="M3900" s="0" t="n">
        <f aca="false">H3900</f>
        <v>0.75</v>
      </c>
      <c r="N3900" s="0" t="n">
        <f aca="false">E3900*F3900</f>
        <v>-0.0625</v>
      </c>
      <c r="O3900" s="0" t="n">
        <f aca="false">E3900*G3900</f>
        <v>-0.25</v>
      </c>
      <c r="P3900" s="0" t="n">
        <f aca="false">E3900*H3900</f>
        <v>0.1875</v>
      </c>
      <c r="Q3900" s="0" t="n">
        <f aca="false">F3900*G3900</f>
        <v>0.25</v>
      </c>
      <c r="R3900" s="0" t="n">
        <f aca="false">F3900*H3900</f>
        <v>-0.1875</v>
      </c>
      <c r="S3900" s="0" t="n">
        <f aca="false">G3900*H3900</f>
        <v>-0.75</v>
      </c>
      <c r="T3900" s="0" t="n">
        <f aca="false">E3900*E3900</f>
        <v>0.0625</v>
      </c>
      <c r="U3900" s="0" t="n">
        <f aca="false">F3900*F3900</f>
        <v>0.0625</v>
      </c>
      <c r="V3900" s="0" t="n">
        <f aca="false">G3900*G3900</f>
        <v>1</v>
      </c>
      <c r="W3900" s="0" t="n">
        <f aca="false">H3900*H3900</f>
        <v>0.5625</v>
      </c>
      <c r="X3900" s="0" t="n">
        <f aca="false">SUMPRODUCT(I3900:W3900,_XtX!$B$96:$P$96)</f>
        <v>46.0040798611111</v>
      </c>
      <c r="Y3900" s="0" t="n">
        <f aca="false">SUMPRODUCT(MMULT(I3900:W3900,_XtX!$B$78:$P$92),I3900:W3900)</f>
        <v>0.486409505208334</v>
      </c>
      <c r="Z3900" s="0" t="n">
        <f aca="false">04_回帰ANOVA!$K$19*04_回帰ANOVA!$K$14*SQRT(1+Y3900)</f>
        <v>1.58916001665498</v>
      </c>
      <c r="AA3900" s="0" t="n">
        <f aca="false">X3900-Z3900</f>
        <v>44.4149198444561</v>
      </c>
      <c r="AB3900" s="0" t="n">
        <f aca="false">X3900+Z3900</f>
        <v>47.5932398777661</v>
      </c>
      <c r="AC3900" s="54" t="b">
        <f aca="false">AND(E3900&gt;=01_因子設定!$L$5-0.000000001,E3900&lt;=01_因子設定!$M$5+0.000000001,F3900&gt;=01_因子設定!$L$6-0.000000001,F3900&lt;=01_因子設定!$M$6+0.000000001,G3900&gt;=01_因子設定!$L$7-0.000000001,G3900&lt;=01_因子設定!$M$7+0.000000001,H3900&gt;=01_因子設定!$L$8-0.000000001,H3900&lt;=01_因子設定!$M$8+0.000000001,IF(01_因子設定!$B$20="Box-Behnken",E3900^2+F3900^2+G3900^2+H3900^2&lt;=2+0.000000001,TRUE()))</f>
        <v>1</v>
      </c>
      <c r="AD3900" s="55" t="n">
        <f aca="false">IF(AC3900,IF(01_因子設定!$B$13="最大化",AA3900-01_因子設定!$B$14,IF(01_因子設定!$B$13="最小化",01_因子設定!$B$15-AB3900,MIN(AA3900-01_因子設定!$B$14,01_因子設定!$B$15-AB3900))),-1E+030)</f>
        <v>-2.08508015554391</v>
      </c>
      <c r="AE3900" s="55" t="n">
        <f aca="false">IF(AC3900,IF(01_因子設定!$B$13="最大化",X3900,IF(01_因子設定!$B$13="最小化",-X3900,-ABS(X3900-01_因子設定!$B$16))),-1E+030)</f>
        <v>46.0040798611111</v>
      </c>
      <c r="AF3900" s="55" t="n">
        <f aca="false">AD3900+ROW()*0.000000001</f>
        <v>-2.08507625554391</v>
      </c>
      <c r="AG3900" s="55" t="n">
        <f aca="false">AE3900+ROW()*0.000000001</f>
        <v>46.0040837611111</v>
      </c>
    </row>
    <row r="3901" customFormat="false" ht="15" hidden="false" customHeight="false" outlineLevel="0" collapsed="false">
      <c r="A3901" s="0" t="n">
        <v>5</v>
      </c>
      <c r="B3901" s="0" t="n">
        <v>3</v>
      </c>
      <c r="C3901" s="0" t="n">
        <v>0</v>
      </c>
      <c r="D3901" s="0" t="n">
        <v>8</v>
      </c>
      <c r="E3901" s="0" t="n">
        <f aca="false">-1+A3901*0.25</f>
        <v>0.25</v>
      </c>
      <c r="F3901" s="0" t="n">
        <f aca="false">-1+B3901*0.25</f>
        <v>-0.25</v>
      </c>
      <c r="G3901" s="0" t="n">
        <f aca="false">-1+C3901*0.25</f>
        <v>-1</v>
      </c>
      <c r="H3901" s="0" t="n">
        <f aca="false">-1+D3901*0.25</f>
        <v>1</v>
      </c>
      <c r="I3901" s="0" t="n">
        <f aca="false">1</f>
        <v>1</v>
      </c>
      <c r="J3901" s="0" t="n">
        <f aca="false">E3901</f>
        <v>0.25</v>
      </c>
      <c r="K3901" s="0" t="n">
        <f aca="false">F3901</f>
        <v>-0.25</v>
      </c>
      <c r="L3901" s="0" t="n">
        <f aca="false">G3901</f>
        <v>-1</v>
      </c>
      <c r="M3901" s="0" t="n">
        <f aca="false">H3901</f>
        <v>1</v>
      </c>
      <c r="N3901" s="0" t="n">
        <f aca="false">E3901*F3901</f>
        <v>-0.0625</v>
      </c>
      <c r="O3901" s="0" t="n">
        <f aca="false">E3901*G3901</f>
        <v>-0.25</v>
      </c>
      <c r="P3901" s="0" t="n">
        <f aca="false">E3901*H3901</f>
        <v>0.25</v>
      </c>
      <c r="Q3901" s="0" t="n">
        <f aca="false">F3901*G3901</f>
        <v>0.25</v>
      </c>
      <c r="R3901" s="0" t="n">
        <f aca="false">F3901*H3901</f>
        <v>-0.25</v>
      </c>
      <c r="S3901" s="0" t="n">
        <f aca="false">G3901*H3901</f>
        <v>-1</v>
      </c>
      <c r="T3901" s="0" t="n">
        <f aca="false">E3901*E3901</f>
        <v>0.0625</v>
      </c>
      <c r="U3901" s="0" t="n">
        <f aca="false">F3901*F3901</f>
        <v>0.0625</v>
      </c>
      <c r="V3901" s="0" t="n">
        <f aca="false">G3901*G3901</f>
        <v>1</v>
      </c>
      <c r="W3901" s="0" t="n">
        <f aca="false">H3901*H3901</f>
        <v>1</v>
      </c>
      <c r="X3901" s="0" t="n">
        <f aca="false">SUMPRODUCT(I3901:W3901,_XtX!$B$96:$P$96)</f>
        <v>45.8873629385965</v>
      </c>
      <c r="Y3901" s="0" t="n">
        <f aca="false">SUMPRODUCT(MMULT(I3901:W3901,_XtX!$B$78:$P$92),I3901:W3901)</f>
        <v>0.670040376005117</v>
      </c>
      <c r="Z3901" s="0" t="n">
        <f aca="false">04_回帰ANOVA!$K$19*04_回帰ANOVA!$K$14*SQRT(1+Y3901)</f>
        <v>1.68446456039992</v>
      </c>
      <c r="AA3901" s="0" t="n">
        <f aca="false">X3901-Z3901</f>
        <v>44.2028983781966</v>
      </c>
      <c r="AB3901" s="0" t="n">
        <f aca="false">X3901+Z3901</f>
        <v>47.5718274989964</v>
      </c>
      <c r="AC3901" s="54" t="b">
        <f aca="false">AND(E3901&gt;=01_因子設定!$L$5-0.000000001,E3901&lt;=01_因子設定!$M$5+0.000000001,F3901&gt;=01_因子設定!$L$6-0.000000001,F3901&lt;=01_因子設定!$M$6+0.000000001,G3901&gt;=01_因子設定!$L$7-0.000000001,G3901&lt;=01_因子設定!$M$7+0.000000001,H3901&gt;=01_因子設定!$L$8-0.000000001,H3901&lt;=01_因子設定!$M$8+0.000000001,IF(01_因子設定!$B$20="Box-Behnken",E3901^2+F3901^2+G3901^2+H3901^2&lt;=2+0.000000001,TRUE()))</f>
        <v>1</v>
      </c>
      <c r="AD3901" s="55" t="n">
        <f aca="false">IF(AC3901,IF(01_因子設定!$B$13="最大化",AA3901-01_因子設定!$B$14,IF(01_因子設定!$B$13="最小化",01_因子設定!$B$15-AB3901,MIN(AA3901-01_因子設定!$B$14,01_因子設定!$B$15-AB3901))),-1E+030)</f>
        <v>-2.29710162180344</v>
      </c>
      <c r="AE3901" s="55" t="n">
        <f aca="false">IF(AC3901,IF(01_因子設定!$B$13="最大化",X3901,IF(01_因子設定!$B$13="最小化",-X3901,-ABS(X3901-01_因子設定!$B$16))),-1E+030)</f>
        <v>45.8873629385965</v>
      </c>
      <c r="AF3901" s="55" t="n">
        <f aca="false">AD3901+ROW()*0.000000001</f>
        <v>-2.29709772080344</v>
      </c>
      <c r="AG3901" s="55" t="n">
        <f aca="false">AE3901+ROW()*0.000000001</f>
        <v>45.8873668395965</v>
      </c>
    </row>
    <row r="3902" customFormat="false" ht="15" hidden="false" customHeight="false" outlineLevel="0" collapsed="false">
      <c r="A3902" s="0" t="n">
        <v>5</v>
      </c>
      <c r="B3902" s="0" t="n">
        <v>3</v>
      </c>
      <c r="C3902" s="0" t="n">
        <v>1</v>
      </c>
      <c r="D3902" s="0" t="n">
        <v>0</v>
      </c>
      <c r="E3902" s="0" t="n">
        <f aca="false">-1+A3902*0.25</f>
        <v>0.25</v>
      </c>
      <c r="F3902" s="0" t="n">
        <f aca="false">-1+B3902*0.25</f>
        <v>-0.25</v>
      </c>
      <c r="G3902" s="0" t="n">
        <f aca="false">-1+C3902*0.25</f>
        <v>-0.75</v>
      </c>
      <c r="H3902" s="0" t="n">
        <f aca="false">-1+D3902*0.25</f>
        <v>-1</v>
      </c>
      <c r="I3902" s="0" t="n">
        <f aca="false">1</f>
        <v>1</v>
      </c>
      <c r="J3902" s="0" t="n">
        <f aca="false">E3902</f>
        <v>0.25</v>
      </c>
      <c r="K3902" s="0" t="n">
        <f aca="false">F3902</f>
        <v>-0.25</v>
      </c>
      <c r="L3902" s="0" t="n">
        <f aca="false">G3902</f>
        <v>-0.75</v>
      </c>
      <c r="M3902" s="0" t="n">
        <f aca="false">H3902</f>
        <v>-1</v>
      </c>
      <c r="N3902" s="0" t="n">
        <f aca="false">E3902*F3902</f>
        <v>-0.0625</v>
      </c>
      <c r="O3902" s="0" t="n">
        <f aca="false">E3902*G3902</f>
        <v>-0.1875</v>
      </c>
      <c r="P3902" s="0" t="n">
        <f aca="false">E3902*H3902</f>
        <v>-0.25</v>
      </c>
      <c r="Q3902" s="0" t="n">
        <f aca="false">F3902*G3902</f>
        <v>0.1875</v>
      </c>
      <c r="R3902" s="0" t="n">
        <f aca="false">F3902*H3902</f>
        <v>0.25</v>
      </c>
      <c r="S3902" s="0" t="n">
        <f aca="false">G3902*H3902</f>
        <v>0.75</v>
      </c>
      <c r="T3902" s="0" t="n">
        <f aca="false">E3902*E3902</f>
        <v>0.0625</v>
      </c>
      <c r="U3902" s="0" t="n">
        <f aca="false">F3902*F3902</f>
        <v>0.0625</v>
      </c>
      <c r="V3902" s="0" t="n">
        <f aca="false">G3902*G3902</f>
        <v>0.5625</v>
      </c>
      <c r="W3902" s="0" t="n">
        <f aca="false">H3902*H3902</f>
        <v>1</v>
      </c>
      <c r="X3902" s="0" t="n">
        <f aca="false">SUMPRODUCT(I3902:W3902,_XtX!$B$96:$P$96)</f>
        <v>45.8948784722222</v>
      </c>
      <c r="Y3902" s="0" t="n">
        <f aca="false">SUMPRODUCT(MMULT(I3902:W3902,_XtX!$B$78:$P$92),I3902:W3902)</f>
        <v>0.486409505208334</v>
      </c>
      <c r="Z3902" s="0" t="n">
        <f aca="false">04_回帰ANOVA!$K$19*04_回帰ANOVA!$K$14*SQRT(1+Y3902)</f>
        <v>1.58916001665498</v>
      </c>
      <c r="AA3902" s="0" t="n">
        <f aca="false">X3902-Z3902</f>
        <v>44.3057184555672</v>
      </c>
      <c r="AB3902" s="0" t="n">
        <f aca="false">X3902+Z3902</f>
        <v>47.4840384888772</v>
      </c>
      <c r="AC3902" s="54" t="b">
        <f aca="false">AND(E3902&gt;=01_因子設定!$L$5-0.000000001,E3902&lt;=01_因子設定!$M$5+0.000000001,F3902&gt;=01_因子設定!$L$6-0.000000001,F3902&lt;=01_因子設定!$M$6+0.000000001,G3902&gt;=01_因子設定!$L$7-0.000000001,G3902&lt;=01_因子設定!$M$7+0.000000001,H3902&gt;=01_因子設定!$L$8-0.000000001,H3902&lt;=01_因子設定!$M$8+0.000000001,IF(01_因子設定!$B$20="Box-Behnken",E3902^2+F3902^2+G3902^2+H3902^2&lt;=2+0.000000001,TRUE()))</f>
        <v>1</v>
      </c>
      <c r="AD3902" s="55" t="n">
        <f aca="false">IF(AC3902,IF(01_因子設定!$B$13="最大化",AA3902-01_因子設定!$B$14,IF(01_因子設定!$B$13="最小化",01_因子設定!$B$15-AB3902,MIN(AA3902-01_因子設定!$B$14,01_因子設定!$B$15-AB3902))),-1E+030)</f>
        <v>-2.19428154443278</v>
      </c>
      <c r="AE3902" s="55" t="n">
        <f aca="false">IF(AC3902,IF(01_因子設定!$B$13="最大化",X3902,IF(01_因子設定!$B$13="最小化",-X3902,-ABS(X3902-01_因子設定!$B$16))),-1E+030)</f>
        <v>45.8948784722222</v>
      </c>
      <c r="AF3902" s="55" t="n">
        <f aca="false">AD3902+ROW()*0.000000001</f>
        <v>-2.19427764243278</v>
      </c>
      <c r="AG3902" s="55" t="n">
        <f aca="false">AE3902+ROW()*0.000000001</f>
        <v>45.8948823742222</v>
      </c>
    </row>
    <row r="3903" customFormat="false" ht="15" hidden="false" customHeight="false" outlineLevel="0" collapsed="false">
      <c r="A3903" s="0" t="n">
        <v>5</v>
      </c>
      <c r="B3903" s="0" t="n">
        <v>3</v>
      </c>
      <c r="C3903" s="0" t="n">
        <v>1</v>
      </c>
      <c r="D3903" s="0" t="n">
        <v>1</v>
      </c>
      <c r="E3903" s="0" t="n">
        <f aca="false">-1+A3903*0.25</f>
        <v>0.25</v>
      </c>
      <c r="F3903" s="0" t="n">
        <f aca="false">-1+B3903*0.25</f>
        <v>-0.25</v>
      </c>
      <c r="G3903" s="0" t="n">
        <f aca="false">-1+C3903*0.25</f>
        <v>-0.75</v>
      </c>
      <c r="H3903" s="0" t="n">
        <f aca="false">-1+D3903*0.25</f>
        <v>-0.75</v>
      </c>
      <c r="I3903" s="0" t="n">
        <f aca="false">1</f>
        <v>1</v>
      </c>
      <c r="J3903" s="0" t="n">
        <f aca="false">E3903</f>
        <v>0.25</v>
      </c>
      <c r="K3903" s="0" t="n">
        <f aca="false">F3903</f>
        <v>-0.25</v>
      </c>
      <c r="L3903" s="0" t="n">
        <f aca="false">G3903</f>
        <v>-0.75</v>
      </c>
      <c r="M3903" s="0" t="n">
        <f aca="false">H3903</f>
        <v>-0.75</v>
      </c>
      <c r="N3903" s="0" t="n">
        <f aca="false">E3903*F3903</f>
        <v>-0.0625</v>
      </c>
      <c r="O3903" s="0" t="n">
        <f aca="false">E3903*G3903</f>
        <v>-0.1875</v>
      </c>
      <c r="P3903" s="0" t="n">
        <f aca="false">E3903*H3903</f>
        <v>-0.1875</v>
      </c>
      <c r="Q3903" s="0" t="n">
        <f aca="false">F3903*G3903</f>
        <v>0.1875</v>
      </c>
      <c r="R3903" s="0" t="n">
        <f aca="false">F3903*H3903</f>
        <v>0.1875</v>
      </c>
      <c r="S3903" s="0" t="n">
        <f aca="false">G3903*H3903</f>
        <v>0.5625</v>
      </c>
      <c r="T3903" s="0" t="n">
        <f aca="false">E3903*E3903</f>
        <v>0.0625</v>
      </c>
      <c r="U3903" s="0" t="n">
        <f aca="false">F3903*F3903</f>
        <v>0.0625</v>
      </c>
      <c r="V3903" s="0" t="n">
        <f aca="false">G3903*G3903</f>
        <v>0.5625</v>
      </c>
      <c r="W3903" s="0" t="n">
        <f aca="false">H3903*H3903</f>
        <v>0.5625</v>
      </c>
      <c r="X3903" s="0" t="n">
        <f aca="false">SUMPRODUCT(I3903:W3903,_XtX!$B$96:$P$96)</f>
        <v>46.1307794225146</v>
      </c>
      <c r="Y3903" s="0" t="n">
        <f aca="false">SUMPRODUCT(MMULT(I3903:W3903,_XtX!$B$78:$P$92),I3903:W3903)</f>
        <v>0.271087468019006</v>
      </c>
      <c r="Z3903" s="0" t="n">
        <f aca="false">04_回帰ANOVA!$K$19*04_回帰ANOVA!$K$14*SQRT(1+Y3903)</f>
        <v>1.46955590155034</v>
      </c>
      <c r="AA3903" s="0" t="n">
        <f aca="false">X3903-Z3903</f>
        <v>44.6612235209642</v>
      </c>
      <c r="AB3903" s="0" t="n">
        <f aca="false">X3903+Z3903</f>
        <v>47.6003353240649</v>
      </c>
      <c r="AC3903" s="54" t="b">
        <f aca="false">AND(E3903&gt;=01_因子設定!$L$5-0.000000001,E3903&lt;=01_因子設定!$M$5+0.000000001,F3903&gt;=01_因子設定!$L$6-0.000000001,F3903&lt;=01_因子設定!$M$6+0.000000001,G3903&gt;=01_因子設定!$L$7-0.000000001,G3903&lt;=01_因子設定!$M$7+0.000000001,H3903&gt;=01_因子設定!$L$8-0.000000001,H3903&lt;=01_因子設定!$M$8+0.000000001,IF(01_因子設定!$B$20="Box-Behnken",E3903^2+F3903^2+G3903^2+H3903^2&lt;=2+0.000000001,TRUE()))</f>
        <v>1</v>
      </c>
      <c r="AD3903" s="55" t="n">
        <f aca="false">IF(AC3903,IF(01_因子設定!$B$13="最大化",AA3903-01_因子設定!$B$14,IF(01_因子設定!$B$13="最小化",01_因子設定!$B$15-AB3903,MIN(AA3903-01_因子設定!$B$14,01_因子設定!$B$15-AB3903))),-1E+030)</f>
        <v>-1.83877647903576</v>
      </c>
      <c r="AE3903" s="55" t="n">
        <f aca="false">IF(AC3903,IF(01_因子設定!$B$13="最大化",X3903,IF(01_因子設定!$B$13="最小化",-X3903,-ABS(X3903-01_因子設定!$B$16))),-1E+030)</f>
        <v>46.1307794225146</v>
      </c>
      <c r="AF3903" s="55" t="n">
        <f aca="false">AD3903+ROW()*0.000000001</f>
        <v>-1.83877257603576</v>
      </c>
      <c r="AG3903" s="55" t="n">
        <f aca="false">AE3903+ROW()*0.000000001</f>
        <v>46.1307833255146</v>
      </c>
    </row>
    <row r="3904" customFormat="false" ht="15" hidden="false" customHeight="false" outlineLevel="0" collapsed="false">
      <c r="A3904" s="0" t="n">
        <v>5</v>
      </c>
      <c r="B3904" s="0" t="n">
        <v>3</v>
      </c>
      <c r="C3904" s="0" t="n">
        <v>1</v>
      </c>
      <c r="D3904" s="0" t="n">
        <v>2</v>
      </c>
      <c r="E3904" s="0" t="n">
        <f aca="false">-1+A3904*0.25</f>
        <v>0.25</v>
      </c>
      <c r="F3904" s="0" t="n">
        <f aca="false">-1+B3904*0.25</f>
        <v>-0.25</v>
      </c>
      <c r="G3904" s="0" t="n">
        <f aca="false">-1+C3904*0.25</f>
        <v>-0.75</v>
      </c>
      <c r="H3904" s="0" t="n">
        <f aca="false">-1+D3904*0.25</f>
        <v>-0.5</v>
      </c>
      <c r="I3904" s="0" t="n">
        <f aca="false">1</f>
        <v>1</v>
      </c>
      <c r="J3904" s="0" t="n">
        <f aca="false">E3904</f>
        <v>0.25</v>
      </c>
      <c r="K3904" s="0" t="n">
        <f aca="false">F3904</f>
        <v>-0.25</v>
      </c>
      <c r="L3904" s="0" t="n">
        <f aca="false">G3904</f>
        <v>-0.75</v>
      </c>
      <c r="M3904" s="0" t="n">
        <f aca="false">H3904</f>
        <v>-0.5</v>
      </c>
      <c r="N3904" s="0" t="n">
        <f aca="false">E3904*F3904</f>
        <v>-0.0625</v>
      </c>
      <c r="O3904" s="0" t="n">
        <f aca="false">E3904*G3904</f>
        <v>-0.1875</v>
      </c>
      <c r="P3904" s="0" t="n">
        <f aca="false">E3904*H3904</f>
        <v>-0.125</v>
      </c>
      <c r="Q3904" s="0" t="n">
        <f aca="false">F3904*G3904</f>
        <v>0.1875</v>
      </c>
      <c r="R3904" s="0" t="n">
        <f aca="false">F3904*H3904</f>
        <v>0.125</v>
      </c>
      <c r="S3904" s="0" t="n">
        <f aca="false">G3904*H3904</f>
        <v>0.375</v>
      </c>
      <c r="T3904" s="0" t="n">
        <f aca="false">E3904*E3904</f>
        <v>0.0625</v>
      </c>
      <c r="U3904" s="0" t="n">
        <f aca="false">F3904*F3904</f>
        <v>0.0625</v>
      </c>
      <c r="V3904" s="0" t="n">
        <f aca="false">G3904*G3904</f>
        <v>0.5625</v>
      </c>
      <c r="W3904" s="0" t="n">
        <f aca="false">H3904*H3904</f>
        <v>0.25</v>
      </c>
      <c r="X3904" s="0" t="n">
        <f aca="false">SUMPRODUCT(I3904:W3904,_XtX!$B$96:$P$96)</f>
        <v>46.3188733552631</v>
      </c>
      <c r="Y3904" s="0" t="n">
        <f aca="false">SUMPRODUCT(MMULT(I3904:W3904,_XtX!$B$78:$P$92),I3904:W3904)</f>
        <v>0.207746539199561</v>
      </c>
      <c r="Z3904" s="0" t="n">
        <f aca="false">04_回帰ANOVA!$K$19*04_回帰ANOVA!$K$14*SQRT(1+Y3904)</f>
        <v>1.43247250081141</v>
      </c>
      <c r="AA3904" s="0" t="n">
        <f aca="false">X3904-Z3904</f>
        <v>44.8864008544517</v>
      </c>
      <c r="AB3904" s="0" t="n">
        <f aca="false">X3904+Z3904</f>
        <v>47.7513458560745</v>
      </c>
      <c r="AC3904" s="54" t="b">
        <f aca="false">AND(E3904&gt;=01_因子設定!$L$5-0.000000001,E3904&lt;=01_因子設定!$M$5+0.000000001,F3904&gt;=01_因子設定!$L$6-0.000000001,F3904&lt;=01_因子設定!$M$6+0.000000001,G3904&gt;=01_因子設定!$L$7-0.000000001,G3904&lt;=01_因子設定!$M$7+0.000000001,H3904&gt;=01_因子設定!$L$8-0.000000001,H3904&lt;=01_因子設定!$M$8+0.000000001,IF(01_因子設定!$B$20="Box-Behnken",E3904^2+F3904^2+G3904^2+H3904^2&lt;=2+0.000000001,TRUE()))</f>
        <v>1</v>
      </c>
      <c r="AD3904" s="55" t="n">
        <f aca="false">IF(AC3904,IF(01_因子設定!$B$13="最大化",AA3904-01_因子設定!$B$14,IF(01_因子設定!$B$13="最小化",01_因子設定!$B$15-AB3904,MIN(AA3904-01_因子設定!$B$14,01_因子設定!$B$15-AB3904))),-1E+030)</f>
        <v>-1.6135991455483</v>
      </c>
      <c r="AE3904" s="55" t="n">
        <f aca="false">IF(AC3904,IF(01_因子設定!$B$13="最大化",X3904,IF(01_因子設定!$B$13="最小化",-X3904,-ABS(X3904-01_因子設定!$B$16))),-1E+030)</f>
        <v>46.3188733552631</v>
      </c>
      <c r="AF3904" s="55" t="n">
        <f aca="false">AD3904+ROW()*0.000000001</f>
        <v>-1.6135952415483</v>
      </c>
      <c r="AG3904" s="55" t="n">
        <f aca="false">AE3904+ROW()*0.000000001</f>
        <v>46.3188772592631</v>
      </c>
    </row>
    <row r="3905" customFormat="false" ht="15" hidden="false" customHeight="false" outlineLevel="0" collapsed="false">
      <c r="A3905" s="0" t="n">
        <v>5</v>
      </c>
      <c r="B3905" s="0" t="n">
        <v>3</v>
      </c>
      <c r="C3905" s="0" t="n">
        <v>1</v>
      </c>
      <c r="D3905" s="0" t="n">
        <v>3</v>
      </c>
      <c r="E3905" s="0" t="n">
        <f aca="false">-1+A3905*0.25</f>
        <v>0.25</v>
      </c>
      <c r="F3905" s="0" t="n">
        <f aca="false">-1+B3905*0.25</f>
        <v>-0.25</v>
      </c>
      <c r="G3905" s="0" t="n">
        <f aca="false">-1+C3905*0.25</f>
        <v>-0.75</v>
      </c>
      <c r="H3905" s="0" t="n">
        <f aca="false">-1+D3905*0.25</f>
        <v>-0.25</v>
      </c>
      <c r="I3905" s="0" t="n">
        <f aca="false">1</f>
        <v>1</v>
      </c>
      <c r="J3905" s="0" t="n">
        <f aca="false">E3905</f>
        <v>0.25</v>
      </c>
      <c r="K3905" s="0" t="n">
        <f aca="false">F3905</f>
        <v>-0.25</v>
      </c>
      <c r="L3905" s="0" t="n">
        <f aca="false">G3905</f>
        <v>-0.75</v>
      </c>
      <c r="M3905" s="0" t="n">
        <f aca="false">H3905</f>
        <v>-0.25</v>
      </c>
      <c r="N3905" s="0" t="n">
        <f aca="false">E3905*F3905</f>
        <v>-0.0625</v>
      </c>
      <c r="O3905" s="0" t="n">
        <f aca="false">E3905*G3905</f>
        <v>-0.1875</v>
      </c>
      <c r="P3905" s="0" t="n">
        <f aca="false">E3905*H3905</f>
        <v>-0.0625</v>
      </c>
      <c r="Q3905" s="0" t="n">
        <f aca="false">F3905*G3905</f>
        <v>0.1875</v>
      </c>
      <c r="R3905" s="0" t="n">
        <f aca="false">F3905*H3905</f>
        <v>0.0625</v>
      </c>
      <c r="S3905" s="0" t="n">
        <f aca="false">G3905*H3905</f>
        <v>0.1875</v>
      </c>
      <c r="T3905" s="0" t="n">
        <f aca="false">E3905*E3905</f>
        <v>0.0625</v>
      </c>
      <c r="U3905" s="0" t="n">
        <f aca="false">F3905*F3905</f>
        <v>0.0625</v>
      </c>
      <c r="V3905" s="0" t="n">
        <f aca="false">G3905*G3905</f>
        <v>0.5625</v>
      </c>
      <c r="W3905" s="0" t="n">
        <f aca="false">H3905*H3905</f>
        <v>0.0625</v>
      </c>
      <c r="X3905" s="0" t="n">
        <f aca="false">SUMPRODUCT(I3905:W3905,_XtX!$B$96:$P$96)</f>
        <v>46.4591602704678</v>
      </c>
      <c r="Y3905" s="0" t="n">
        <f aca="false">SUMPRODUCT(MMULT(I3905:W3905,_XtX!$B$78:$P$92),I3905:W3905)</f>
        <v>0.205926192434211</v>
      </c>
      <c r="Z3905" s="0" t="n">
        <f aca="false">04_回帰ANOVA!$K$19*04_回帰ANOVA!$K$14*SQRT(1+Y3905)</f>
        <v>1.43139256396246</v>
      </c>
      <c r="AA3905" s="0" t="n">
        <f aca="false">X3905-Z3905</f>
        <v>45.0277677065053</v>
      </c>
      <c r="AB3905" s="0" t="n">
        <f aca="false">X3905+Z3905</f>
        <v>47.8905528344302</v>
      </c>
      <c r="AC3905" s="54" t="b">
        <f aca="false">AND(E3905&gt;=01_因子設定!$L$5-0.000000001,E3905&lt;=01_因子設定!$M$5+0.000000001,F3905&gt;=01_因子設定!$L$6-0.000000001,F3905&lt;=01_因子設定!$M$6+0.000000001,G3905&gt;=01_因子設定!$L$7-0.000000001,G3905&lt;=01_因子設定!$M$7+0.000000001,H3905&gt;=01_因子設定!$L$8-0.000000001,H3905&lt;=01_因子設定!$M$8+0.000000001,IF(01_因子設定!$B$20="Box-Behnken",E3905^2+F3905^2+G3905^2+H3905^2&lt;=2+0.000000001,TRUE()))</f>
        <v>1</v>
      </c>
      <c r="AD3905" s="55" t="n">
        <f aca="false">IF(AC3905,IF(01_因子設定!$B$13="最大化",AA3905-01_因子設定!$B$14,IF(01_因子設定!$B$13="最小化",01_因子設定!$B$15-AB3905,MIN(AA3905-01_因子設定!$B$14,01_因子設定!$B$15-AB3905))),-1E+030)</f>
        <v>-1.47223229349468</v>
      </c>
      <c r="AE3905" s="55" t="n">
        <f aca="false">IF(AC3905,IF(01_因子設定!$B$13="最大化",X3905,IF(01_因子設定!$B$13="最小化",-X3905,-ABS(X3905-01_因子設定!$B$16))),-1E+030)</f>
        <v>46.4591602704678</v>
      </c>
      <c r="AF3905" s="55" t="n">
        <f aca="false">AD3905+ROW()*0.000000001</f>
        <v>-1.47222838849468</v>
      </c>
      <c r="AG3905" s="55" t="n">
        <f aca="false">AE3905+ROW()*0.000000001</f>
        <v>46.4591641754678</v>
      </c>
    </row>
    <row r="3906" customFormat="false" ht="15" hidden="false" customHeight="false" outlineLevel="0" collapsed="false">
      <c r="A3906" s="0" t="n">
        <v>5</v>
      </c>
      <c r="B3906" s="0" t="n">
        <v>3</v>
      </c>
      <c r="C3906" s="0" t="n">
        <v>1</v>
      </c>
      <c r="D3906" s="0" t="n">
        <v>4</v>
      </c>
      <c r="E3906" s="0" t="n">
        <f aca="false">-1+A3906*0.25</f>
        <v>0.25</v>
      </c>
      <c r="F3906" s="0" t="n">
        <f aca="false">-1+B3906*0.25</f>
        <v>-0.25</v>
      </c>
      <c r="G3906" s="0" t="n">
        <f aca="false">-1+C3906*0.25</f>
        <v>-0.75</v>
      </c>
      <c r="H3906" s="0" t="n">
        <f aca="false">-1+D3906*0.25</f>
        <v>0</v>
      </c>
      <c r="I3906" s="0" t="n">
        <f aca="false">1</f>
        <v>1</v>
      </c>
      <c r="J3906" s="0" t="n">
        <f aca="false">E3906</f>
        <v>0.25</v>
      </c>
      <c r="K3906" s="0" t="n">
        <f aca="false">F3906</f>
        <v>-0.25</v>
      </c>
      <c r="L3906" s="0" t="n">
        <f aca="false">G3906</f>
        <v>-0.75</v>
      </c>
      <c r="M3906" s="0" t="n">
        <f aca="false">H3906</f>
        <v>0</v>
      </c>
      <c r="N3906" s="0" t="n">
        <f aca="false">E3906*F3906</f>
        <v>-0.0625</v>
      </c>
      <c r="O3906" s="0" t="n">
        <f aca="false">E3906*G3906</f>
        <v>-0.1875</v>
      </c>
      <c r="P3906" s="0" t="n">
        <f aca="false">E3906*H3906</f>
        <v>0</v>
      </c>
      <c r="Q3906" s="0" t="n">
        <f aca="false">F3906*G3906</f>
        <v>0.1875</v>
      </c>
      <c r="R3906" s="0" t="n">
        <f aca="false">F3906*H3906</f>
        <v>-0</v>
      </c>
      <c r="S3906" s="0" t="n">
        <f aca="false">G3906*H3906</f>
        <v>-0</v>
      </c>
      <c r="T3906" s="0" t="n">
        <f aca="false">E3906*E3906</f>
        <v>0.0625</v>
      </c>
      <c r="U3906" s="0" t="n">
        <f aca="false">F3906*F3906</f>
        <v>0.0625</v>
      </c>
      <c r="V3906" s="0" t="n">
        <f aca="false">G3906*G3906</f>
        <v>0.5625</v>
      </c>
      <c r="W3906" s="0" t="n">
        <f aca="false">H3906*H3906</f>
        <v>0</v>
      </c>
      <c r="X3906" s="0" t="n">
        <f aca="false">SUMPRODUCT(I3906:W3906,_XtX!$B$96:$P$96)</f>
        <v>46.5516401681286</v>
      </c>
      <c r="Y3906" s="0" t="n">
        <f aca="false">SUMPRODUCT(MMULT(I3906:W3906,_XtX!$B$78:$P$92),I3906:W3906)</f>
        <v>0.21135011193348</v>
      </c>
      <c r="Z3906" s="0" t="n">
        <f aca="false">04_回帰ANOVA!$K$19*04_回帰ANOVA!$K$14*SQRT(1+Y3906)</f>
        <v>1.43460795469709</v>
      </c>
      <c r="AA3906" s="0" t="n">
        <f aca="false">X3906-Z3906</f>
        <v>45.1170322134315</v>
      </c>
      <c r="AB3906" s="0" t="n">
        <f aca="false">X3906+Z3906</f>
        <v>47.9862481228257</v>
      </c>
      <c r="AC3906" s="54" t="b">
        <f aca="false">AND(E3906&gt;=01_因子設定!$L$5-0.000000001,E3906&lt;=01_因子設定!$M$5+0.000000001,F3906&gt;=01_因子設定!$L$6-0.000000001,F3906&lt;=01_因子設定!$M$6+0.000000001,G3906&gt;=01_因子設定!$L$7-0.000000001,G3906&lt;=01_因子設定!$M$7+0.000000001,H3906&gt;=01_因子設定!$L$8-0.000000001,H3906&lt;=01_因子設定!$M$8+0.000000001,IF(01_因子設定!$B$20="Box-Behnken",E3906^2+F3906^2+G3906^2+H3906^2&lt;=2+0.000000001,TRUE()))</f>
        <v>1</v>
      </c>
      <c r="AD3906" s="55" t="n">
        <f aca="false">IF(AC3906,IF(01_因子設定!$B$13="最大化",AA3906-01_因子設定!$B$14,IF(01_因子設定!$B$13="最小化",01_因子設定!$B$15-AB3906,MIN(AA3906-01_因子設定!$B$14,01_因子設定!$B$15-AB3906))),-1E+030)</f>
        <v>-1.38296778656849</v>
      </c>
      <c r="AE3906" s="55" t="n">
        <f aca="false">IF(AC3906,IF(01_因子設定!$B$13="最大化",X3906,IF(01_因子設定!$B$13="最小化",-X3906,-ABS(X3906-01_因子設定!$B$16))),-1E+030)</f>
        <v>46.5516401681286</v>
      </c>
      <c r="AF3906" s="55" t="n">
        <f aca="false">AD3906+ROW()*0.000000001</f>
        <v>-1.38296388056849</v>
      </c>
      <c r="AG3906" s="55" t="n">
        <f aca="false">AE3906+ROW()*0.000000001</f>
        <v>46.5516440741286</v>
      </c>
    </row>
    <row r="3907" customFormat="false" ht="15" hidden="false" customHeight="false" outlineLevel="0" collapsed="false">
      <c r="A3907" s="0" t="n">
        <v>5</v>
      </c>
      <c r="B3907" s="0" t="n">
        <v>3</v>
      </c>
      <c r="C3907" s="0" t="n">
        <v>1</v>
      </c>
      <c r="D3907" s="0" t="n">
        <v>5</v>
      </c>
      <c r="E3907" s="0" t="n">
        <f aca="false">-1+A3907*0.25</f>
        <v>0.25</v>
      </c>
      <c r="F3907" s="0" t="n">
        <f aca="false">-1+B3907*0.25</f>
        <v>-0.25</v>
      </c>
      <c r="G3907" s="0" t="n">
        <f aca="false">-1+C3907*0.25</f>
        <v>-0.75</v>
      </c>
      <c r="H3907" s="0" t="n">
        <f aca="false">-1+D3907*0.25</f>
        <v>0.25</v>
      </c>
      <c r="I3907" s="0" t="n">
        <f aca="false">1</f>
        <v>1</v>
      </c>
      <c r="J3907" s="0" t="n">
        <f aca="false">E3907</f>
        <v>0.25</v>
      </c>
      <c r="K3907" s="0" t="n">
        <f aca="false">F3907</f>
        <v>-0.25</v>
      </c>
      <c r="L3907" s="0" t="n">
        <f aca="false">G3907</f>
        <v>-0.75</v>
      </c>
      <c r="M3907" s="0" t="n">
        <f aca="false">H3907</f>
        <v>0.25</v>
      </c>
      <c r="N3907" s="0" t="n">
        <f aca="false">E3907*F3907</f>
        <v>-0.0625</v>
      </c>
      <c r="O3907" s="0" t="n">
        <f aca="false">E3907*G3907</f>
        <v>-0.1875</v>
      </c>
      <c r="P3907" s="0" t="n">
        <f aca="false">E3907*H3907</f>
        <v>0.0625</v>
      </c>
      <c r="Q3907" s="0" t="n">
        <f aca="false">F3907*G3907</f>
        <v>0.1875</v>
      </c>
      <c r="R3907" s="0" t="n">
        <f aca="false">F3907*H3907</f>
        <v>-0.0625</v>
      </c>
      <c r="S3907" s="0" t="n">
        <f aca="false">G3907*H3907</f>
        <v>-0.1875</v>
      </c>
      <c r="T3907" s="0" t="n">
        <f aca="false">E3907*E3907</f>
        <v>0.0625</v>
      </c>
      <c r="U3907" s="0" t="n">
        <f aca="false">F3907*F3907</f>
        <v>0.0625</v>
      </c>
      <c r="V3907" s="0" t="n">
        <f aca="false">G3907*G3907</f>
        <v>0.5625</v>
      </c>
      <c r="W3907" s="0" t="n">
        <f aca="false">H3907*H3907</f>
        <v>0.0625</v>
      </c>
      <c r="X3907" s="0" t="n">
        <f aca="false">SUMPRODUCT(I3907:W3907,_XtX!$B$96:$P$96)</f>
        <v>46.5963130482456</v>
      </c>
      <c r="Y3907" s="0" t="n">
        <f aca="false">SUMPRODUCT(MMULT(I3907:W3907,_XtX!$B$78:$P$92),I3907:W3907)</f>
        <v>0.205926192434211</v>
      </c>
      <c r="Z3907" s="0" t="n">
        <f aca="false">04_回帰ANOVA!$K$19*04_回帰ANOVA!$K$14*SQRT(1+Y3907)</f>
        <v>1.43139256396246</v>
      </c>
      <c r="AA3907" s="0" t="n">
        <f aca="false">X3907-Z3907</f>
        <v>45.1649204842831</v>
      </c>
      <c r="AB3907" s="0" t="n">
        <f aca="false">X3907+Z3907</f>
        <v>48.027705612208</v>
      </c>
      <c r="AC3907" s="54" t="b">
        <f aca="false">AND(E3907&gt;=01_因子設定!$L$5-0.000000001,E3907&lt;=01_因子設定!$M$5+0.000000001,F3907&gt;=01_因子設定!$L$6-0.000000001,F3907&lt;=01_因子設定!$M$6+0.000000001,G3907&gt;=01_因子設定!$L$7-0.000000001,G3907&lt;=01_因子設定!$M$7+0.000000001,H3907&gt;=01_因子設定!$L$8-0.000000001,H3907&lt;=01_因子設定!$M$8+0.000000001,IF(01_因子設定!$B$20="Box-Behnken",E3907^2+F3907^2+G3907^2+H3907^2&lt;=2+0.000000001,TRUE()))</f>
        <v>1</v>
      </c>
      <c r="AD3907" s="55" t="n">
        <f aca="false">IF(AC3907,IF(01_因子設定!$B$13="最大化",AA3907-01_因子設定!$B$14,IF(01_因子設定!$B$13="最小化",01_因子設定!$B$15-AB3907,MIN(AA3907-01_因子設定!$B$14,01_因子設定!$B$15-AB3907))),-1E+030)</f>
        <v>-1.33507951571691</v>
      </c>
      <c r="AE3907" s="55" t="n">
        <f aca="false">IF(AC3907,IF(01_因子設定!$B$13="最大化",X3907,IF(01_因子設定!$B$13="最小化",-X3907,-ABS(X3907-01_因子設定!$B$16))),-1E+030)</f>
        <v>46.5963130482456</v>
      </c>
      <c r="AF3907" s="55" t="n">
        <f aca="false">AD3907+ROW()*0.000000001</f>
        <v>-1.33507560871691</v>
      </c>
      <c r="AG3907" s="55" t="n">
        <f aca="false">AE3907+ROW()*0.000000001</f>
        <v>46.5963169552456</v>
      </c>
    </row>
    <row r="3908" customFormat="false" ht="15" hidden="false" customHeight="false" outlineLevel="0" collapsed="false">
      <c r="A3908" s="0" t="n">
        <v>5</v>
      </c>
      <c r="B3908" s="0" t="n">
        <v>3</v>
      </c>
      <c r="C3908" s="0" t="n">
        <v>1</v>
      </c>
      <c r="D3908" s="0" t="n">
        <v>6</v>
      </c>
      <c r="E3908" s="0" t="n">
        <f aca="false">-1+A3908*0.25</f>
        <v>0.25</v>
      </c>
      <c r="F3908" s="0" t="n">
        <f aca="false">-1+B3908*0.25</f>
        <v>-0.25</v>
      </c>
      <c r="G3908" s="0" t="n">
        <f aca="false">-1+C3908*0.25</f>
        <v>-0.75</v>
      </c>
      <c r="H3908" s="0" t="n">
        <f aca="false">-1+D3908*0.25</f>
        <v>0.5</v>
      </c>
      <c r="I3908" s="0" t="n">
        <f aca="false">1</f>
        <v>1</v>
      </c>
      <c r="J3908" s="0" t="n">
        <f aca="false">E3908</f>
        <v>0.25</v>
      </c>
      <c r="K3908" s="0" t="n">
        <f aca="false">F3908</f>
        <v>-0.25</v>
      </c>
      <c r="L3908" s="0" t="n">
        <f aca="false">G3908</f>
        <v>-0.75</v>
      </c>
      <c r="M3908" s="0" t="n">
        <f aca="false">H3908</f>
        <v>0.5</v>
      </c>
      <c r="N3908" s="0" t="n">
        <f aca="false">E3908*F3908</f>
        <v>-0.0625</v>
      </c>
      <c r="O3908" s="0" t="n">
        <f aca="false">E3908*G3908</f>
        <v>-0.1875</v>
      </c>
      <c r="P3908" s="0" t="n">
        <f aca="false">E3908*H3908</f>
        <v>0.125</v>
      </c>
      <c r="Q3908" s="0" t="n">
        <f aca="false">F3908*G3908</f>
        <v>0.1875</v>
      </c>
      <c r="R3908" s="0" t="n">
        <f aca="false">F3908*H3908</f>
        <v>-0.125</v>
      </c>
      <c r="S3908" s="0" t="n">
        <f aca="false">G3908*H3908</f>
        <v>-0.375</v>
      </c>
      <c r="T3908" s="0" t="n">
        <f aca="false">E3908*E3908</f>
        <v>0.0625</v>
      </c>
      <c r="U3908" s="0" t="n">
        <f aca="false">F3908*F3908</f>
        <v>0.0625</v>
      </c>
      <c r="V3908" s="0" t="n">
        <f aca="false">G3908*G3908</f>
        <v>0.5625</v>
      </c>
      <c r="W3908" s="0" t="n">
        <f aca="false">H3908*H3908</f>
        <v>0.25</v>
      </c>
      <c r="X3908" s="0" t="n">
        <f aca="false">SUMPRODUCT(I3908:W3908,_XtX!$B$96:$P$96)</f>
        <v>46.5931789108187</v>
      </c>
      <c r="Y3908" s="0" t="n">
        <f aca="false">SUMPRODUCT(MMULT(I3908:W3908,_XtX!$B$78:$P$92),I3908:W3908)</f>
        <v>0.207746539199561</v>
      </c>
      <c r="Z3908" s="0" t="n">
        <f aca="false">04_回帰ANOVA!$K$19*04_回帰ANOVA!$K$14*SQRT(1+Y3908)</f>
        <v>1.43247250081141</v>
      </c>
      <c r="AA3908" s="0" t="n">
        <f aca="false">X3908-Z3908</f>
        <v>45.1607064100073</v>
      </c>
      <c r="AB3908" s="0" t="n">
        <f aca="false">X3908+Z3908</f>
        <v>48.0256514116301</v>
      </c>
      <c r="AC3908" s="54" t="b">
        <f aca="false">AND(E3908&gt;=01_因子設定!$L$5-0.000000001,E3908&lt;=01_因子設定!$M$5+0.000000001,F3908&gt;=01_因子設定!$L$6-0.000000001,F3908&lt;=01_因子設定!$M$6+0.000000001,G3908&gt;=01_因子設定!$L$7-0.000000001,G3908&lt;=01_因子設定!$M$7+0.000000001,H3908&gt;=01_因子設定!$L$8-0.000000001,H3908&lt;=01_因子設定!$M$8+0.000000001,IF(01_因子設定!$B$20="Box-Behnken",E3908^2+F3908^2+G3908^2+H3908^2&lt;=2+0.000000001,TRUE()))</f>
        <v>1</v>
      </c>
      <c r="AD3908" s="55" t="n">
        <f aca="false">IF(AC3908,IF(01_因子設定!$B$13="最大化",AA3908-01_因子設定!$B$14,IF(01_因子設定!$B$13="最小化",01_因子設定!$B$15-AB3908,MIN(AA3908-01_因子設定!$B$14,01_因子設定!$B$15-AB3908))),-1E+030)</f>
        <v>-1.33929358999274</v>
      </c>
      <c r="AE3908" s="55" t="n">
        <f aca="false">IF(AC3908,IF(01_因子設定!$B$13="最大化",X3908,IF(01_因子設定!$B$13="最小化",-X3908,-ABS(X3908-01_因子設定!$B$16))),-1E+030)</f>
        <v>46.5931789108187</v>
      </c>
      <c r="AF3908" s="55" t="n">
        <f aca="false">AD3908+ROW()*0.000000001</f>
        <v>-1.33928968199274</v>
      </c>
      <c r="AG3908" s="55" t="n">
        <f aca="false">AE3908+ROW()*0.000000001</f>
        <v>46.5931828188187</v>
      </c>
    </row>
    <row r="3909" customFormat="false" ht="15" hidden="false" customHeight="false" outlineLevel="0" collapsed="false">
      <c r="A3909" s="0" t="n">
        <v>5</v>
      </c>
      <c r="B3909" s="0" t="n">
        <v>3</v>
      </c>
      <c r="C3909" s="0" t="n">
        <v>1</v>
      </c>
      <c r="D3909" s="0" t="n">
        <v>7</v>
      </c>
      <c r="E3909" s="0" t="n">
        <f aca="false">-1+A3909*0.25</f>
        <v>0.25</v>
      </c>
      <c r="F3909" s="0" t="n">
        <f aca="false">-1+B3909*0.25</f>
        <v>-0.25</v>
      </c>
      <c r="G3909" s="0" t="n">
        <f aca="false">-1+C3909*0.25</f>
        <v>-0.75</v>
      </c>
      <c r="H3909" s="0" t="n">
        <f aca="false">-1+D3909*0.25</f>
        <v>0.75</v>
      </c>
      <c r="I3909" s="0" t="n">
        <f aca="false">1</f>
        <v>1</v>
      </c>
      <c r="J3909" s="0" t="n">
        <f aca="false">E3909</f>
        <v>0.25</v>
      </c>
      <c r="K3909" s="0" t="n">
        <f aca="false">F3909</f>
        <v>-0.25</v>
      </c>
      <c r="L3909" s="0" t="n">
        <f aca="false">G3909</f>
        <v>-0.75</v>
      </c>
      <c r="M3909" s="0" t="n">
        <f aca="false">H3909</f>
        <v>0.75</v>
      </c>
      <c r="N3909" s="0" t="n">
        <f aca="false">E3909*F3909</f>
        <v>-0.0625</v>
      </c>
      <c r="O3909" s="0" t="n">
        <f aca="false">E3909*G3909</f>
        <v>-0.1875</v>
      </c>
      <c r="P3909" s="0" t="n">
        <f aca="false">E3909*H3909</f>
        <v>0.1875</v>
      </c>
      <c r="Q3909" s="0" t="n">
        <f aca="false">F3909*G3909</f>
        <v>0.1875</v>
      </c>
      <c r="R3909" s="0" t="n">
        <f aca="false">F3909*H3909</f>
        <v>-0.1875</v>
      </c>
      <c r="S3909" s="0" t="n">
        <f aca="false">G3909*H3909</f>
        <v>-0.5625</v>
      </c>
      <c r="T3909" s="0" t="n">
        <f aca="false">E3909*E3909</f>
        <v>0.0625</v>
      </c>
      <c r="U3909" s="0" t="n">
        <f aca="false">F3909*F3909</f>
        <v>0.0625</v>
      </c>
      <c r="V3909" s="0" t="n">
        <f aca="false">G3909*G3909</f>
        <v>0.5625</v>
      </c>
      <c r="W3909" s="0" t="n">
        <f aca="false">H3909*H3909</f>
        <v>0.5625</v>
      </c>
      <c r="X3909" s="0" t="n">
        <f aca="false">SUMPRODUCT(I3909:W3909,_XtX!$B$96:$P$96)</f>
        <v>46.5422377558479</v>
      </c>
      <c r="Y3909" s="0" t="n">
        <f aca="false">SUMPRODUCT(MMULT(I3909:W3909,_XtX!$B$78:$P$92),I3909:W3909)</f>
        <v>0.271087468019006</v>
      </c>
      <c r="Z3909" s="0" t="n">
        <f aca="false">04_回帰ANOVA!$K$19*04_回帰ANOVA!$K$14*SQRT(1+Y3909)</f>
        <v>1.46955590155034</v>
      </c>
      <c r="AA3909" s="0" t="n">
        <f aca="false">X3909-Z3909</f>
        <v>45.0726818542976</v>
      </c>
      <c r="AB3909" s="0" t="n">
        <f aca="false">X3909+Z3909</f>
        <v>48.0117936573983</v>
      </c>
      <c r="AC3909" s="54" t="b">
        <f aca="false">AND(E3909&gt;=01_因子設定!$L$5-0.000000001,E3909&lt;=01_因子設定!$M$5+0.000000001,F3909&gt;=01_因子設定!$L$6-0.000000001,F3909&lt;=01_因子設定!$M$6+0.000000001,G3909&gt;=01_因子設定!$L$7-0.000000001,G3909&lt;=01_因子設定!$M$7+0.000000001,H3909&gt;=01_因子設定!$L$8-0.000000001,H3909&lt;=01_因子設定!$M$8+0.000000001,IF(01_因子設定!$B$20="Box-Behnken",E3909^2+F3909^2+G3909^2+H3909^2&lt;=2+0.000000001,TRUE()))</f>
        <v>1</v>
      </c>
      <c r="AD3909" s="55" t="n">
        <f aca="false">IF(AC3909,IF(01_因子設定!$B$13="最大化",AA3909-01_因子設定!$B$14,IF(01_因子設定!$B$13="最小化",01_因子設定!$B$15-AB3909,MIN(AA3909-01_因子設定!$B$14,01_因子設定!$B$15-AB3909))),-1E+030)</f>
        <v>-1.42731814570243</v>
      </c>
      <c r="AE3909" s="55" t="n">
        <f aca="false">IF(AC3909,IF(01_因子設定!$B$13="最大化",X3909,IF(01_因子設定!$B$13="最小化",-X3909,-ABS(X3909-01_因子設定!$B$16))),-1E+030)</f>
        <v>46.5422377558479</v>
      </c>
      <c r="AF3909" s="55" t="n">
        <f aca="false">AD3909+ROW()*0.000000001</f>
        <v>-1.42731423670243</v>
      </c>
      <c r="AG3909" s="55" t="n">
        <f aca="false">AE3909+ROW()*0.000000001</f>
        <v>46.5422416648479</v>
      </c>
    </row>
    <row r="3910" customFormat="false" ht="15" hidden="false" customHeight="false" outlineLevel="0" collapsed="false">
      <c r="A3910" s="0" t="n">
        <v>5</v>
      </c>
      <c r="B3910" s="0" t="n">
        <v>3</v>
      </c>
      <c r="C3910" s="0" t="n">
        <v>1</v>
      </c>
      <c r="D3910" s="0" t="n">
        <v>8</v>
      </c>
      <c r="E3910" s="0" t="n">
        <f aca="false">-1+A3910*0.25</f>
        <v>0.25</v>
      </c>
      <c r="F3910" s="0" t="n">
        <f aca="false">-1+B3910*0.25</f>
        <v>-0.25</v>
      </c>
      <c r="G3910" s="0" t="n">
        <f aca="false">-1+C3910*0.25</f>
        <v>-0.75</v>
      </c>
      <c r="H3910" s="0" t="n">
        <f aca="false">-1+D3910*0.25</f>
        <v>1</v>
      </c>
      <c r="I3910" s="0" t="n">
        <f aca="false">1</f>
        <v>1</v>
      </c>
      <c r="J3910" s="0" t="n">
        <f aca="false">E3910</f>
        <v>0.25</v>
      </c>
      <c r="K3910" s="0" t="n">
        <f aca="false">F3910</f>
        <v>-0.25</v>
      </c>
      <c r="L3910" s="0" t="n">
        <f aca="false">G3910</f>
        <v>-0.75</v>
      </c>
      <c r="M3910" s="0" t="n">
        <f aca="false">H3910</f>
        <v>1</v>
      </c>
      <c r="N3910" s="0" t="n">
        <f aca="false">E3910*F3910</f>
        <v>-0.0625</v>
      </c>
      <c r="O3910" s="0" t="n">
        <f aca="false">E3910*G3910</f>
        <v>-0.1875</v>
      </c>
      <c r="P3910" s="0" t="n">
        <f aca="false">E3910*H3910</f>
        <v>0.25</v>
      </c>
      <c r="Q3910" s="0" t="n">
        <f aca="false">F3910*G3910</f>
        <v>0.1875</v>
      </c>
      <c r="R3910" s="0" t="n">
        <f aca="false">F3910*H3910</f>
        <v>-0.25</v>
      </c>
      <c r="S3910" s="0" t="n">
        <f aca="false">G3910*H3910</f>
        <v>-0.75</v>
      </c>
      <c r="T3910" s="0" t="n">
        <f aca="false">E3910*E3910</f>
        <v>0.0625</v>
      </c>
      <c r="U3910" s="0" t="n">
        <f aca="false">F3910*F3910</f>
        <v>0.0625</v>
      </c>
      <c r="V3910" s="0" t="n">
        <f aca="false">G3910*G3910</f>
        <v>0.5625</v>
      </c>
      <c r="W3910" s="0" t="n">
        <f aca="false">H3910*H3910</f>
        <v>1</v>
      </c>
      <c r="X3910" s="0" t="n">
        <f aca="false">SUMPRODUCT(I3910:W3910,_XtX!$B$96:$P$96)</f>
        <v>46.4434895833333</v>
      </c>
      <c r="Y3910" s="0" t="n">
        <f aca="false">SUMPRODUCT(MMULT(I3910:W3910,_XtX!$B$78:$P$92),I3910:W3910)</f>
        <v>0.486409505208334</v>
      </c>
      <c r="Z3910" s="0" t="n">
        <f aca="false">04_回帰ANOVA!$K$19*04_回帰ANOVA!$K$14*SQRT(1+Y3910)</f>
        <v>1.58916001665498</v>
      </c>
      <c r="AA3910" s="0" t="n">
        <f aca="false">X3910-Z3910</f>
        <v>44.8543295666783</v>
      </c>
      <c r="AB3910" s="0" t="n">
        <f aca="false">X3910+Z3910</f>
        <v>48.0326495999883</v>
      </c>
      <c r="AC3910" s="54" t="b">
        <f aca="false">AND(E3910&gt;=01_因子設定!$L$5-0.000000001,E3910&lt;=01_因子設定!$M$5+0.000000001,F3910&gt;=01_因子設定!$L$6-0.000000001,F3910&lt;=01_因子設定!$M$6+0.000000001,G3910&gt;=01_因子設定!$L$7-0.000000001,G3910&lt;=01_因子設定!$M$7+0.000000001,H3910&gt;=01_因子設定!$L$8-0.000000001,H3910&lt;=01_因子設定!$M$8+0.000000001,IF(01_因子設定!$B$20="Box-Behnken",E3910^2+F3910^2+G3910^2+H3910^2&lt;=2+0.000000001,TRUE()))</f>
        <v>1</v>
      </c>
      <c r="AD3910" s="55" t="n">
        <f aca="false">IF(AC3910,IF(01_因子設定!$B$13="最大化",AA3910-01_因子設定!$B$14,IF(01_因子設定!$B$13="最小化",01_因子設定!$B$15-AB3910,MIN(AA3910-01_因子設定!$B$14,01_因子設定!$B$15-AB3910))),-1E+030)</f>
        <v>-1.64567043332167</v>
      </c>
      <c r="AE3910" s="55" t="n">
        <f aca="false">IF(AC3910,IF(01_因子設定!$B$13="最大化",X3910,IF(01_因子設定!$B$13="最小化",-X3910,-ABS(X3910-01_因子設定!$B$16))),-1E+030)</f>
        <v>46.4434895833333</v>
      </c>
      <c r="AF3910" s="55" t="n">
        <f aca="false">AD3910+ROW()*0.000000001</f>
        <v>-1.64566652332167</v>
      </c>
      <c r="AG3910" s="55" t="n">
        <f aca="false">AE3910+ROW()*0.000000001</f>
        <v>46.4434934933333</v>
      </c>
    </row>
    <row r="3911" customFormat="false" ht="15" hidden="false" customHeight="false" outlineLevel="0" collapsed="false">
      <c r="A3911" s="0" t="n">
        <v>5</v>
      </c>
      <c r="B3911" s="0" t="n">
        <v>3</v>
      </c>
      <c r="C3911" s="0" t="n">
        <v>2</v>
      </c>
      <c r="D3911" s="0" t="n">
        <v>0</v>
      </c>
      <c r="E3911" s="0" t="n">
        <f aca="false">-1+A3911*0.25</f>
        <v>0.25</v>
      </c>
      <c r="F3911" s="0" t="n">
        <f aca="false">-1+B3911*0.25</f>
        <v>-0.25</v>
      </c>
      <c r="G3911" s="0" t="n">
        <f aca="false">-1+C3911*0.25</f>
        <v>-0.5</v>
      </c>
      <c r="H3911" s="0" t="n">
        <f aca="false">-1+D3911*0.25</f>
        <v>-1</v>
      </c>
      <c r="I3911" s="0" t="n">
        <f aca="false">1</f>
        <v>1</v>
      </c>
      <c r="J3911" s="0" t="n">
        <f aca="false">E3911</f>
        <v>0.25</v>
      </c>
      <c r="K3911" s="0" t="n">
        <f aca="false">F3911</f>
        <v>-0.25</v>
      </c>
      <c r="L3911" s="0" t="n">
        <f aca="false">G3911</f>
        <v>-0.5</v>
      </c>
      <c r="M3911" s="0" t="n">
        <f aca="false">H3911</f>
        <v>-1</v>
      </c>
      <c r="N3911" s="0" t="n">
        <f aca="false">E3911*F3911</f>
        <v>-0.0625</v>
      </c>
      <c r="O3911" s="0" t="n">
        <f aca="false">E3911*G3911</f>
        <v>-0.125</v>
      </c>
      <c r="P3911" s="0" t="n">
        <f aca="false">E3911*H3911</f>
        <v>-0.25</v>
      </c>
      <c r="Q3911" s="0" t="n">
        <f aca="false">F3911*G3911</f>
        <v>0.125</v>
      </c>
      <c r="R3911" s="0" t="n">
        <f aca="false">F3911*H3911</f>
        <v>0.25</v>
      </c>
      <c r="S3911" s="0" t="n">
        <f aca="false">G3911*H3911</f>
        <v>0.5</v>
      </c>
      <c r="T3911" s="0" t="n">
        <f aca="false">E3911*E3911</f>
        <v>0.0625</v>
      </c>
      <c r="U3911" s="0" t="n">
        <f aca="false">F3911*F3911</f>
        <v>0.0625</v>
      </c>
      <c r="V3911" s="0" t="n">
        <f aca="false">G3911*G3911</f>
        <v>0.25</v>
      </c>
      <c r="W3911" s="0" t="n">
        <f aca="false">H3911*H3911</f>
        <v>1</v>
      </c>
      <c r="X3911" s="0" t="n">
        <f aca="false">SUMPRODUCT(I3911:W3911,_XtX!$B$96:$P$96)</f>
        <v>46.2219480994152</v>
      </c>
      <c r="Y3911" s="0" t="n">
        <f aca="false">SUMPRODUCT(MMULT(I3911:W3911,_XtX!$B$78:$P$92),I3911:W3911)</f>
        <v>0.445705123812135</v>
      </c>
      <c r="Z3911" s="0" t="n">
        <f aca="false">04_回帰ANOVA!$K$19*04_回帰ANOVA!$K$14*SQRT(1+Y3911)</f>
        <v>1.56724990734749</v>
      </c>
      <c r="AA3911" s="0" t="n">
        <f aca="false">X3911-Z3911</f>
        <v>44.6546981920677</v>
      </c>
      <c r="AB3911" s="0" t="n">
        <f aca="false">X3911+Z3911</f>
        <v>47.7891980067627</v>
      </c>
      <c r="AC3911" s="54" t="b">
        <f aca="false">AND(E3911&gt;=01_因子設定!$L$5-0.000000001,E3911&lt;=01_因子設定!$M$5+0.000000001,F3911&gt;=01_因子設定!$L$6-0.000000001,F3911&lt;=01_因子設定!$M$6+0.000000001,G3911&gt;=01_因子設定!$L$7-0.000000001,G3911&lt;=01_因子設定!$M$7+0.000000001,H3911&gt;=01_因子設定!$L$8-0.000000001,H3911&lt;=01_因子設定!$M$8+0.000000001,IF(01_因子設定!$B$20="Box-Behnken",E3911^2+F3911^2+G3911^2+H3911^2&lt;=2+0.000000001,TRUE()))</f>
        <v>1</v>
      </c>
      <c r="AD3911" s="55" t="n">
        <f aca="false">IF(AC3911,IF(01_因子設定!$B$13="最大化",AA3911-01_因子設定!$B$14,IF(01_因子設定!$B$13="最小化",01_因子設定!$B$15-AB3911,MIN(AA3911-01_因子設定!$B$14,01_因子設定!$B$15-AB3911))),-1E+030)</f>
        <v>-1.84530180793231</v>
      </c>
      <c r="AE3911" s="55" t="n">
        <f aca="false">IF(AC3911,IF(01_因子設定!$B$13="最大化",X3911,IF(01_因子設定!$B$13="最小化",-X3911,-ABS(X3911-01_因子設定!$B$16))),-1E+030)</f>
        <v>46.2219480994152</v>
      </c>
      <c r="AF3911" s="55" t="n">
        <f aca="false">AD3911+ROW()*0.000000001</f>
        <v>-1.84529789693231</v>
      </c>
      <c r="AG3911" s="55" t="n">
        <f aca="false">AE3911+ROW()*0.000000001</f>
        <v>46.2219520104152</v>
      </c>
    </row>
    <row r="3912" customFormat="false" ht="15" hidden="false" customHeight="false" outlineLevel="0" collapsed="false">
      <c r="A3912" s="0" t="n">
        <v>5</v>
      </c>
      <c r="B3912" s="0" t="n">
        <v>3</v>
      </c>
      <c r="C3912" s="0" t="n">
        <v>2</v>
      </c>
      <c r="D3912" s="0" t="n">
        <v>1</v>
      </c>
      <c r="E3912" s="0" t="n">
        <f aca="false">-1+A3912*0.25</f>
        <v>0.25</v>
      </c>
      <c r="F3912" s="0" t="n">
        <f aca="false">-1+B3912*0.25</f>
        <v>-0.25</v>
      </c>
      <c r="G3912" s="0" t="n">
        <f aca="false">-1+C3912*0.25</f>
        <v>-0.5</v>
      </c>
      <c r="H3912" s="0" t="n">
        <f aca="false">-1+D3912*0.25</f>
        <v>-0.75</v>
      </c>
      <c r="I3912" s="0" t="n">
        <f aca="false">1</f>
        <v>1</v>
      </c>
      <c r="J3912" s="0" t="n">
        <f aca="false">E3912</f>
        <v>0.25</v>
      </c>
      <c r="K3912" s="0" t="n">
        <f aca="false">F3912</f>
        <v>-0.25</v>
      </c>
      <c r="L3912" s="0" t="n">
        <f aca="false">G3912</f>
        <v>-0.5</v>
      </c>
      <c r="M3912" s="0" t="n">
        <f aca="false">H3912</f>
        <v>-0.75</v>
      </c>
      <c r="N3912" s="0" t="n">
        <f aca="false">E3912*F3912</f>
        <v>-0.0625</v>
      </c>
      <c r="O3912" s="0" t="n">
        <f aca="false">E3912*G3912</f>
        <v>-0.125</v>
      </c>
      <c r="P3912" s="0" t="n">
        <f aca="false">E3912*H3912</f>
        <v>-0.1875</v>
      </c>
      <c r="Q3912" s="0" t="n">
        <f aca="false">F3912*G3912</f>
        <v>0.125</v>
      </c>
      <c r="R3912" s="0" t="n">
        <f aca="false">F3912*H3912</f>
        <v>0.1875</v>
      </c>
      <c r="S3912" s="0" t="n">
        <f aca="false">G3912*H3912</f>
        <v>0.375</v>
      </c>
      <c r="T3912" s="0" t="n">
        <f aca="false">E3912*E3912</f>
        <v>0.0625</v>
      </c>
      <c r="U3912" s="0" t="n">
        <f aca="false">F3912*F3912</f>
        <v>0.0625</v>
      </c>
      <c r="V3912" s="0" t="n">
        <f aca="false">G3912*G3912</f>
        <v>0.25</v>
      </c>
      <c r="W3912" s="0" t="n">
        <f aca="false">H3912*H3912</f>
        <v>0.5625</v>
      </c>
      <c r="X3912" s="0" t="n">
        <f aca="false">SUMPRODUCT(I3912:W3912,_XtX!$B$96:$P$96)</f>
        <v>46.4758177997076</v>
      </c>
      <c r="Y3912" s="0" t="n">
        <f aca="false">SUMPRODUCT(MMULT(I3912:W3912,_XtX!$B$78:$P$92),I3912:W3912)</f>
        <v>0.207746539199561</v>
      </c>
      <c r="Z3912" s="0" t="n">
        <f aca="false">04_回帰ANOVA!$K$19*04_回帰ANOVA!$K$14*SQRT(1+Y3912)</f>
        <v>1.43247250081141</v>
      </c>
      <c r="AA3912" s="0" t="n">
        <f aca="false">X3912-Z3912</f>
        <v>45.0433452988962</v>
      </c>
      <c r="AB3912" s="0" t="n">
        <f aca="false">X3912+Z3912</f>
        <v>47.908290300519</v>
      </c>
      <c r="AC3912" s="54" t="b">
        <f aca="false">AND(E3912&gt;=01_因子設定!$L$5-0.000000001,E3912&lt;=01_因子設定!$M$5+0.000000001,F3912&gt;=01_因子設定!$L$6-0.000000001,F3912&lt;=01_因子設定!$M$6+0.000000001,G3912&gt;=01_因子設定!$L$7-0.000000001,G3912&lt;=01_因子設定!$M$7+0.000000001,H3912&gt;=01_因子設定!$L$8-0.000000001,H3912&lt;=01_因子設定!$M$8+0.000000001,IF(01_因子設定!$B$20="Box-Behnken",E3912^2+F3912^2+G3912^2+H3912^2&lt;=2+0.000000001,TRUE()))</f>
        <v>1</v>
      </c>
      <c r="AD3912" s="55" t="n">
        <f aca="false">IF(AC3912,IF(01_因子設定!$B$13="最大化",AA3912-01_因子設定!$B$14,IF(01_因子設定!$B$13="最小化",01_因子設定!$B$15-AB3912,MIN(AA3912-01_因子設定!$B$14,01_因子設定!$B$15-AB3912))),-1E+030)</f>
        <v>-1.45665470110384</v>
      </c>
      <c r="AE3912" s="55" t="n">
        <f aca="false">IF(AC3912,IF(01_因子設定!$B$13="最大化",X3912,IF(01_因子設定!$B$13="最小化",-X3912,-ABS(X3912-01_因子設定!$B$16))),-1E+030)</f>
        <v>46.4758177997076</v>
      </c>
      <c r="AF3912" s="55" t="n">
        <f aca="false">AD3912+ROW()*0.000000001</f>
        <v>-1.45665078910384</v>
      </c>
      <c r="AG3912" s="55" t="n">
        <f aca="false">AE3912+ROW()*0.000000001</f>
        <v>46.4758217117076</v>
      </c>
    </row>
    <row r="3913" customFormat="false" ht="15" hidden="false" customHeight="false" outlineLevel="0" collapsed="false">
      <c r="A3913" s="0" t="n">
        <v>5</v>
      </c>
      <c r="B3913" s="0" t="n">
        <v>3</v>
      </c>
      <c r="C3913" s="0" t="n">
        <v>2</v>
      </c>
      <c r="D3913" s="0" t="n">
        <v>2</v>
      </c>
      <c r="E3913" s="0" t="n">
        <f aca="false">-1+A3913*0.25</f>
        <v>0.25</v>
      </c>
      <c r="F3913" s="0" t="n">
        <f aca="false">-1+B3913*0.25</f>
        <v>-0.25</v>
      </c>
      <c r="G3913" s="0" t="n">
        <f aca="false">-1+C3913*0.25</f>
        <v>-0.5</v>
      </c>
      <c r="H3913" s="0" t="n">
        <f aca="false">-1+D3913*0.25</f>
        <v>-0.5</v>
      </c>
      <c r="I3913" s="0" t="n">
        <f aca="false">1</f>
        <v>1</v>
      </c>
      <c r="J3913" s="0" t="n">
        <f aca="false">E3913</f>
        <v>0.25</v>
      </c>
      <c r="K3913" s="0" t="n">
        <f aca="false">F3913</f>
        <v>-0.25</v>
      </c>
      <c r="L3913" s="0" t="n">
        <f aca="false">G3913</f>
        <v>-0.5</v>
      </c>
      <c r="M3913" s="0" t="n">
        <f aca="false">H3913</f>
        <v>-0.5</v>
      </c>
      <c r="N3913" s="0" t="n">
        <f aca="false">E3913*F3913</f>
        <v>-0.0625</v>
      </c>
      <c r="O3913" s="0" t="n">
        <f aca="false">E3913*G3913</f>
        <v>-0.125</v>
      </c>
      <c r="P3913" s="0" t="n">
        <f aca="false">E3913*H3913</f>
        <v>-0.125</v>
      </c>
      <c r="Q3913" s="0" t="n">
        <f aca="false">F3913*G3913</f>
        <v>0.125</v>
      </c>
      <c r="R3913" s="0" t="n">
        <f aca="false">F3913*H3913</f>
        <v>0.125</v>
      </c>
      <c r="S3913" s="0" t="n">
        <f aca="false">G3913*H3913</f>
        <v>0.25</v>
      </c>
      <c r="T3913" s="0" t="n">
        <f aca="false">E3913*E3913</f>
        <v>0.0625</v>
      </c>
      <c r="U3913" s="0" t="n">
        <f aca="false">F3913*F3913</f>
        <v>0.0625</v>
      </c>
      <c r="V3913" s="0" t="n">
        <f aca="false">G3913*G3913</f>
        <v>0.25</v>
      </c>
      <c r="W3913" s="0" t="n">
        <f aca="false">H3913*H3913</f>
        <v>0.25</v>
      </c>
      <c r="X3913" s="0" t="n">
        <f aca="false">SUMPRODUCT(I3913:W3913,_XtX!$B$96:$P$96)</f>
        <v>46.6818804824561</v>
      </c>
      <c r="Y3913" s="0" t="n">
        <f aca="false">SUMPRODUCT(MMULT(I3913:W3913,_XtX!$B$78:$P$92),I3913:W3913)</f>
        <v>0.128236647934942</v>
      </c>
      <c r="Z3913" s="0" t="n">
        <f aca="false">04_回帰ANOVA!$K$19*04_回帰ANOVA!$K$14*SQRT(1+Y3913)</f>
        <v>1.38451764188989</v>
      </c>
      <c r="AA3913" s="0" t="n">
        <f aca="false">X3913-Z3913</f>
        <v>45.2973628405662</v>
      </c>
      <c r="AB3913" s="0" t="n">
        <f aca="false">X3913+Z3913</f>
        <v>48.066398124346</v>
      </c>
      <c r="AC3913" s="54" t="b">
        <f aca="false">AND(E3913&gt;=01_因子設定!$L$5-0.000000001,E3913&lt;=01_因子設定!$M$5+0.000000001,F3913&gt;=01_因子設定!$L$6-0.000000001,F3913&lt;=01_因子設定!$M$6+0.000000001,G3913&gt;=01_因子設定!$L$7-0.000000001,G3913&lt;=01_因子設定!$M$7+0.000000001,H3913&gt;=01_因子設定!$L$8-0.000000001,H3913&lt;=01_因子設定!$M$8+0.000000001,IF(01_因子設定!$B$20="Box-Behnken",E3913^2+F3913^2+G3913^2+H3913^2&lt;=2+0.000000001,TRUE()))</f>
        <v>1</v>
      </c>
      <c r="AD3913" s="55" t="n">
        <f aca="false">IF(AC3913,IF(01_因子設定!$B$13="最大化",AA3913-01_因子設定!$B$14,IF(01_因子設定!$B$13="最小化",01_因子設定!$B$15-AB3913,MIN(AA3913-01_因子設定!$B$14,01_因子設定!$B$15-AB3913))),-1E+030)</f>
        <v>-1.2026371594338</v>
      </c>
      <c r="AE3913" s="55" t="n">
        <f aca="false">IF(AC3913,IF(01_因子設定!$B$13="最大化",X3913,IF(01_因子設定!$B$13="最小化",-X3913,-ABS(X3913-01_因子設定!$B$16))),-1E+030)</f>
        <v>46.6818804824561</v>
      </c>
      <c r="AF3913" s="55" t="n">
        <f aca="false">AD3913+ROW()*0.000000001</f>
        <v>-1.2026332464338</v>
      </c>
      <c r="AG3913" s="55" t="n">
        <f aca="false">AE3913+ROW()*0.000000001</f>
        <v>46.6818843954561</v>
      </c>
    </row>
    <row r="3914" customFormat="false" ht="15" hidden="false" customHeight="false" outlineLevel="0" collapsed="false">
      <c r="A3914" s="0" t="n">
        <v>5</v>
      </c>
      <c r="B3914" s="0" t="n">
        <v>3</v>
      </c>
      <c r="C3914" s="0" t="n">
        <v>2</v>
      </c>
      <c r="D3914" s="0" t="n">
        <v>3</v>
      </c>
      <c r="E3914" s="0" t="n">
        <f aca="false">-1+A3914*0.25</f>
        <v>0.25</v>
      </c>
      <c r="F3914" s="0" t="n">
        <f aca="false">-1+B3914*0.25</f>
        <v>-0.25</v>
      </c>
      <c r="G3914" s="0" t="n">
        <f aca="false">-1+C3914*0.25</f>
        <v>-0.5</v>
      </c>
      <c r="H3914" s="0" t="n">
        <f aca="false">-1+D3914*0.25</f>
        <v>-0.25</v>
      </c>
      <c r="I3914" s="0" t="n">
        <f aca="false">1</f>
        <v>1</v>
      </c>
      <c r="J3914" s="0" t="n">
        <f aca="false">E3914</f>
        <v>0.25</v>
      </c>
      <c r="K3914" s="0" t="n">
        <f aca="false">F3914</f>
        <v>-0.25</v>
      </c>
      <c r="L3914" s="0" t="n">
        <f aca="false">G3914</f>
        <v>-0.5</v>
      </c>
      <c r="M3914" s="0" t="n">
        <f aca="false">H3914</f>
        <v>-0.25</v>
      </c>
      <c r="N3914" s="0" t="n">
        <f aca="false">E3914*F3914</f>
        <v>-0.0625</v>
      </c>
      <c r="O3914" s="0" t="n">
        <f aca="false">E3914*G3914</f>
        <v>-0.125</v>
      </c>
      <c r="P3914" s="0" t="n">
        <f aca="false">E3914*H3914</f>
        <v>-0.0625</v>
      </c>
      <c r="Q3914" s="0" t="n">
        <f aca="false">F3914*G3914</f>
        <v>0.125</v>
      </c>
      <c r="R3914" s="0" t="n">
        <f aca="false">F3914*H3914</f>
        <v>0.0625</v>
      </c>
      <c r="S3914" s="0" t="n">
        <f aca="false">G3914*H3914</f>
        <v>0.125</v>
      </c>
      <c r="T3914" s="0" t="n">
        <f aca="false">E3914*E3914</f>
        <v>0.0625</v>
      </c>
      <c r="U3914" s="0" t="n">
        <f aca="false">F3914*F3914</f>
        <v>0.0625</v>
      </c>
      <c r="V3914" s="0" t="n">
        <f aca="false">G3914*G3914</f>
        <v>0.25</v>
      </c>
      <c r="W3914" s="0" t="n">
        <f aca="false">H3914*H3914</f>
        <v>0.0625</v>
      </c>
      <c r="X3914" s="0" t="n">
        <f aca="false">SUMPRODUCT(I3914:W3914,_XtX!$B$96:$P$96)</f>
        <v>46.8401361476608</v>
      </c>
      <c r="Y3914" s="0" t="n">
        <f aca="false">SUMPRODUCT(MMULT(I3914:W3914,_XtX!$B$78:$P$92),I3914:W3914)</f>
        <v>0.116714923702485</v>
      </c>
      <c r="Z3914" s="0" t="n">
        <f aca="false">04_回帰ANOVA!$K$19*04_回帰ANOVA!$K$14*SQRT(1+Y3914)</f>
        <v>1.37743004820023</v>
      </c>
      <c r="AA3914" s="0" t="n">
        <f aca="false">X3914-Z3914</f>
        <v>45.4627060994605</v>
      </c>
      <c r="AB3914" s="0" t="n">
        <f aca="false">X3914+Z3914</f>
        <v>48.217566195861</v>
      </c>
      <c r="AC3914" s="54" t="b">
        <f aca="false">AND(E3914&gt;=01_因子設定!$L$5-0.000000001,E3914&lt;=01_因子設定!$M$5+0.000000001,F3914&gt;=01_因子設定!$L$6-0.000000001,F3914&lt;=01_因子設定!$M$6+0.000000001,G3914&gt;=01_因子設定!$L$7-0.000000001,G3914&lt;=01_因子設定!$M$7+0.000000001,H3914&gt;=01_因子設定!$L$8-0.000000001,H3914&lt;=01_因子設定!$M$8+0.000000001,IF(01_因子設定!$B$20="Box-Behnken",E3914^2+F3914^2+G3914^2+H3914^2&lt;=2+0.000000001,TRUE()))</f>
        <v>1</v>
      </c>
      <c r="AD3914" s="55" t="n">
        <f aca="false">IF(AC3914,IF(01_因子設定!$B$13="最大化",AA3914-01_因子設定!$B$14,IF(01_因子設定!$B$13="最小化",01_因子設定!$B$15-AB3914,MIN(AA3914-01_因子設定!$B$14,01_因子設定!$B$15-AB3914))),-1E+030)</f>
        <v>-1.03729390053946</v>
      </c>
      <c r="AE3914" s="55" t="n">
        <f aca="false">IF(AC3914,IF(01_因子設定!$B$13="最大化",X3914,IF(01_因子設定!$B$13="最小化",-X3914,-ABS(X3914-01_因子設定!$B$16))),-1E+030)</f>
        <v>46.8401361476608</v>
      </c>
      <c r="AF3914" s="55" t="n">
        <f aca="false">AD3914+ROW()*0.000000001</f>
        <v>-1.03728998653946</v>
      </c>
      <c r="AG3914" s="55" t="n">
        <f aca="false">AE3914+ROW()*0.000000001</f>
        <v>46.8401400616608</v>
      </c>
    </row>
    <row r="3915" customFormat="false" ht="15" hidden="false" customHeight="false" outlineLevel="0" collapsed="false">
      <c r="A3915" s="0" t="n">
        <v>5</v>
      </c>
      <c r="B3915" s="0" t="n">
        <v>3</v>
      </c>
      <c r="C3915" s="0" t="n">
        <v>2</v>
      </c>
      <c r="D3915" s="0" t="n">
        <v>4</v>
      </c>
      <c r="E3915" s="0" t="n">
        <f aca="false">-1+A3915*0.25</f>
        <v>0.25</v>
      </c>
      <c r="F3915" s="0" t="n">
        <f aca="false">-1+B3915*0.25</f>
        <v>-0.25</v>
      </c>
      <c r="G3915" s="0" t="n">
        <f aca="false">-1+C3915*0.25</f>
        <v>-0.5</v>
      </c>
      <c r="H3915" s="0" t="n">
        <f aca="false">-1+D3915*0.25</f>
        <v>0</v>
      </c>
      <c r="I3915" s="0" t="n">
        <f aca="false">1</f>
        <v>1</v>
      </c>
      <c r="J3915" s="0" t="n">
        <f aca="false">E3915</f>
        <v>0.25</v>
      </c>
      <c r="K3915" s="0" t="n">
        <f aca="false">F3915</f>
        <v>-0.25</v>
      </c>
      <c r="L3915" s="0" t="n">
        <f aca="false">G3915</f>
        <v>-0.5</v>
      </c>
      <c r="M3915" s="0" t="n">
        <f aca="false">H3915</f>
        <v>0</v>
      </c>
      <c r="N3915" s="0" t="n">
        <f aca="false">E3915*F3915</f>
        <v>-0.0625</v>
      </c>
      <c r="O3915" s="0" t="n">
        <f aca="false">E3915*G3915</f>
        <v>-0.125</v>
      </c>
      <c r="P3915" s="0" t="n">
        <f aca="false">E3915*H3915</f>
        <v>0</v>
      </c>
      <c r="Q3915" s="0" t="n">
        <f aca="false">F3915*G3915</f>
        <v>0.125</v>
      </c>
      <c r="R3915" s="0" t="n">
        <f aca="false">F3915*H3915</f>
        <v>-0</v>
      </c>
      <c r="S3915" s="0" t="n">
        <f aca="false">G3915*H3915</f>
        <v>-0</v>
      </c>
      <c r="T3915" s="0" t="n">
        <f aca="false">E3915*E3915</f>
        <v>0.0625</v>
      </c>
      <c r="U3915" s="0" t="n">
        <f aca="false">F3915*F3915</f>
        <v>0.0625</v>
      </c>
      <c r="V3915" s="0" t="n">
        <f aca="false">G3915*G3915</f>
        <v>0.25</v>
      </c>
      <c r="W3915" s="0" t="n">
        <f aca="false">H3915*H3915</f>
        <v>0</v>
      </c>
      <c r="X3915" s="0" t="n">
        <f aca="false">SUMPRODUCT(I3915:W3915,_XtX!$B$96:$P$96)</f>
        <v>46.9505847953216</v>
      </c>
      <c r="Y3915" s="0" t="n">
        <f aca="false">SUMPRODUCT(MMULT(I3915:W3915,_XtX!$B$78:$P$92),I3915:W3915)</f>
        <v>0.118905050712719</v>
      </c>
      <c r="Z3915" s="0" t="n">
        <f aca="false">04_回帰ANOVA!$K$19*04_回帰ANOVA!$K$14*SQRT(1+Y3915)</f>
        <v>1.37878011033769</v>
      </c>
      <c r="AA3915" s="0" t="n">
        <f aca="false">X3915-Z3915</f>
        <v>45.5718046849839</v>
      </c>
      <c r="AB3915" s="0" t="n">
        <f aca="false">X3915+Z3915</f>
        <v>48.3293649056593</v>
      </c>
      <c r="AC3915" s="54" t="b">
        <f aca="false">AND(E3915&gt;=01_因子設定!$L$5-0.000000001,E3915&lt;=01_因子設定!$M$5+0.000000001,F3915&gt;=01_因子設定!$L$6-0.000000001,F3915&lt;=01_因子設定!$M$6+0.000000001,G3915&gt;=01_因子設定!$L$7-0.000000001,G3915&lt;=01_因子設定!$M$7+0.000000001,H3915&gt;=01_因子設定!$L$8-0.000000001,H3915&lt;=01_因子設定!$M$8+0.000000001,IF(01_因子設定!$B$20="Box-Behnken",E3915^2+F3915^2+G3915^2+H3915^2&lt;=2+0.000000001,TRUE()))</f>
        <v>1</v>
      </c>
      <c r="AD3915" s="55" t="n">
        <f aca="false">IF(AC3915,IF(01_因子設定!$B$13="最大化",AA3915-01_因子設定!$B$14,IF(01_因子設定!$B$13="最小化",01_因子設定!$B$15-AB3915,MIN(AA3915-01_因子設定!$B$14,01_因子設定!$B$15-AB3915))),-1E+030)</f>
        <v>-0.928195315016112</v>
      </c>
      <c r="AE3915" s="55" t="n">
        <f aca="false">IF(AC3915,IF(01_因子設定!$B$13="最大化",X3915,IF(01_因子設定!$B$13="最小化",-X3915,-ABS(X3915-01_因子設定!$B$16))),-1E+030)</f>
        <v>46.9505847953216</v>
      </c>
      <c r="AF3915" s="55" t="n">
        <f aca="false">AD3915+ROW()*0.000000001</f>
        <v>-0.928191400016112</v>
      </c>
      <c r="AG3915" s="55" t="n">
        <f aca="false">AE3915+ROW()*0.000000001</f>
        <v>46.9505887103216</v>
      </c>
    </row>
    <row r="3916" customFormat="false" ht="15" hidden="false" customHeight="false" outlineLevel="0" collapsed="false">
      <c r="A3916" s="0" t="n">
        <v>5</v>
      </c>
      <c r="B3916" s="0" t="n">
        <v>3</v>
      </c>
      <c r="C3916" s="0" t="n">
        <v>2</v>
      </c>
      <c r="D3916" s="0" t="n">
        <v>5</v>
      </c>
      <c r="E3916" s="0" t="n">
        <f aca="false">-1+A3916*0.25</f>
        <v>0.25</v>
      </c>
      <c r="F3916" s="0" t="n">
        <f aca="false">-1+B3916*0.25</f>
        <v>-0.25</v>
      </c>
      <c r="G3916" s="0" t="n">
        <f aca="false">-1+C3916*0.25</f>
        <v>-0.5</v>
      </c>
      <c r="H3916" s="0" t="n">
        <f aca="false">-1+D3916*0.25</f>
        <v>0.25</v>
      </c>
      <c r="I3916" s="0" t="n">
        <f aca="false">1</f>
        <v>1</v>
      </c>
      <c r="J3916" s="0" t="n">
        <f aca="false">E3916</f>
        <v>0.25</v>
      </c>
      <c r="K3916" s="0" t="n">
        <f aca="false">F3916</f>
        <v>-0.25</v>
      </c>
      <c r="L3916" s="0" t="n">
        <f aca="false">G3916</f>
        <v>-0.5</v>
      </c>
      <c r="M3916" s="0" t="n">
        <f aca="false">H3916</f>
        <v>0.25</v>
      </c>
      <c r="N3916" s="0" t="n">
        <f aca="false">E3916*F3916</f>
        <v>-0.0625</v>
      </c>
      <c r="O3916" s="0" t="n">
        <f aca="false">E3916*G3916</f>
        <v>-0.125</v>
      </c>
      <c r="P3916" s="0" t="n">
        <f aca="false">E3916*H3916</f>
        <v>0.0625</v>
      </c>
      <c r="Q3916" s="0" t="n">
        <f aca="false">F3916*G3916</f>
        <v>0.125</v>
      </c>
      <c r="R3916" s="0" t="n">
        <f aca="false">F3916*H3916</f>
        <v>-0.0625</v>
      </c>
      <c r="S3916" s="0" t="n">
        <f aca="false">G3916*H3916</f>
        <v>-0.125</v>
      </c>
      <c r="T3916" s="0" t="n">
        <f aca="false">E3916*E3916</f>
        <v>0.0625</v>
      </c>
      <c r="U3916" s="0" t="n">
        <f aca="false">F3916*F3916</f>
        <v>0.0625</v>
      </c>
      <c r="V3916" s="0" t="n">
        <f aca="false">G3916*G3916</f>
        <v>0.25</v>
      </c>
      <c r="W3916" s="0" t="n">
        <f aca="false">H3916*H3916</f>
        <v>0.0625</v>
      </c>
      <c r="X3916" s="0" t="n">
        <f aca="false">SUMPRODUCT(I3916:W3916,_XtX!$B$96:$P$96)</f>
        <v>47.0132264254385</v>
      </c>
      <c r="Y3916" s="0" t="n">
        <f aca="false">SUMPRODUCT(MMULT(I3916:W3916,_XtX!$B$78:$P$92),I3916:W3916)</f>
        <v>0.116714923702485</v>
      </c>
      <c r="Z3916" s="0" t="n">
        <f aca="false">04_回帰ANOVA!$K$19*04_回帰ANOVA!$K$14*SQRT(1+Y3916)</f>
        <v>1.37743004820023</v>
      </c>
      <c r="AA3916" s="0" t="n">
        <f aca="false">X3916-Z3916</f>
        <v>45.6357963772383</v>
      </c>
      <c r="AB3916" s="0" t="n">
        <f aca="false">X3916+Z3916</f>
        <v>48.3906564736388</v>
      </c>
      <c r="AC3916" s="54" t="b">
        <f aca="false">AND(E3916&gt;=01_因子設定!$L$5-0.000000001,E3916&lt;=01_因子設定!$M$5+0.000000001,F3916&gt;=01_因子設定!$L$6-0.000000001,F3916&lt;=01_因子設定!$M$6+0.000000001,G3916&gt;=01_因子設定!$L$7-0.000000001,G3916&lt;=01_因子設定!$M$7+0.000000001,H3916&gt;=01_因子設定!$L$8-0.000000001,H3916&lt;=01_因子設定!$M$8+0.000000001,IF(01_因子設定!$B$20="Box-Behnken",E3916^2+F3916^2+G3916^2+H3916^2&lt;=2+0.000000001,TRUE()))</f>
        <v>1</v>
      </c>
      <c r="AD3916" s="55" t="n">
        <f aca="false">IF(AC3916,IF(01_因子設定!$B$13="最大化",AA3916-01_因子設定!$B$14,IF(01_因子設定!$B$13="最小化",01_因子設定!$B$15-AB3916,MIN(AA3916-01_因子設定!$B$14,01_因子設定!$B$15-AB3916))),-1E+030)</f>
        <v>-0.864203622761686</v>
      </c>
      <c r="AE3916" s="55" t="n">
        <f aca="false">IF(AC3916,IF(01_因子設定!$B$13="最大化",X3916,IF(01_因子設定!$B$13="最小化",-X3916,-ABS(X3916-01_因子設定!$B$16))),-1E+030)</f>
        <v>47.0132264254385</v>
      </c>
      <c r="AF3916" s="55" t="n">
        <f aca="false">AD3916+ROW()*0.000000001</f>
        <v>-0.864199706761686</v>
      </c>
      <c r="AG3916" s="55" t="n">
        <f aca="false">AE3916+ROW()*0.000000001</f>
        <v>47.0132303414385</v>
      </c>
    </row>
    <row r="3917" customFormat="false" ht="15" hidden="false" customHeight="false" outlineLevel="0" collapsed="false">
      <c r="A3917" s="0" t="n">
        <v>5</v>
      </c>
      <c r="B3917" s="0" t="n">
        <v>3</v>
      </c>
      <c r="C3917" s="0" t="n">
        <v>2</v>
      </c>
      <c r="D3917" s="0" t="n">
        <v>6</v>
      </c>
      <c r="E3917" s="0" t="n">
        <f aca="false">-1+A3917*0.25</f>
        <v>0.25</v>
      </c>
      <c r="F3917" s="0" t="n">
        <f aca="false">-1+B3917*0.25</f>
        <v>-0.25</v>
      </c>
      <c r="G3917" s="0" t="n">
        <f aca="false">-1+C3917*0.25</f>
        <v>-0.5</v>
      </c>
      <c r="H3917" s="0" t="n">
        <f aca="false">-1+D3917*0.25</f>
        <v>0.5</v>
      </c>
      <c r="I3917" s="0" t="n">
        <f aca="false">1</f>
        <v>1</v>
      </c>
      <c r="J3917" s="0" t="n">
        <f aca="false">E3917</f>
        <v>0.25</v>
      </c>
      <c r="K3917" s="0" t="n">
        <f aca="false">F3917</f>
        <v>-0.25</v>
      </c>
      <c r="L3917" s="0" t="n">
        <f aca="false">G3917</f>
        <v>-0.5</v>
      </c>
      <c r="M3917" s="0" t="n">
        <f aca="false">H3917</f>
        <v>0.5</v>
      </c>
      <c r="N3917" s="0" t="n">
        <f aca="false">E3917*F3917</f>
        <v>-0.0625</v>
      </c>
      <c r="O3917" s="0" t="n">
        <f aca="false">E3917*G3917</f>
        <v>-0.125</v>
      </c>
      <c r="P3917" s="0" t="n">
        <f aca="false">E3917*H3917</f>
        <v>0.125</v>
      </c>
      <c r="Q3917" s="0" t="n">
        <f aca="false">F3917*G3917</f>
        <v>0.125</v>
      </c>
      <c r="R3917" s="0" t="n">
        <f aca="false">F3917*H3917</f>
        <v>-0.125</v>
      </c>
      <c r="S3917" s="0" t="n">
        <f aca="false">G3917*H3917</f>
        <v>-0.25</v>
      </c>
      <c r="T3917" s="0" t="n">
        <f aca="false">E3917*E3917</f>
        <v>0.0625</v>
      </c>
      <c r="U3917" s="0" t="n">
        <f aca="false">F3917*F3917</f>
        <v>0.0625</v>
      </c>
      <c r="V3917" s="0" t="n">
        <f aca="false">G3917*G3917</f>
        <v>0.25</v>
      </c>
      <c r="W3917" s="0" t="n">
        <f aca="false">H3917*H3917</f>
        <v>0.25</v>
      </c>
      <c r="X3917" s="0" t="n">
        <f aca="false">SUMPRODUCT(I3917:W3917,_XtX!$B$96:$P$96)</f>
        <v>47.0280610380116</v>
      </c>
      <c r="Y3917" s="0" t="n">
        <f aca="false">SUMPRODUCT(MMULT(I3917:W3917,_XtX!$B$78:$P$92),I3917:W3917)</f>
        <v>0.128236647934942</v>
      </c>
      <c r="Z3917" s="0" t="n">
        <f aca="false">04_回帰ANOVA!$K$19*04_回帰ANOVA!$K$14*SQRT(1+Y3917)</f>
        <v>1.38451764188989</v>
      </c>
      <c r="AA3917" s="0" t="n">
        <f aca="false">X3917-Z3917</f>
        <v>45.6435433961218</v>
      </c>
      <c r="AB3917" s="0" t="n">
        <f aca="false">X3917+Z3917</f>
        <v>48.4125786799015</v>
      </c>
      <c r="AC3917" s="54" t="b">
        <f aca="false">AND(E3917&gt;=01_因子設定!$L$5-0.000000001,E3917&lt;=01_因子設定!$M$5+0.000000001,F3917&gt;=01_因子設定!$L$6-0.000000001,F3917&lt;=01_因子設定!$M$6+0.000000001,G3917&gt;=01_因子設定!$L$7-0.000000001,G3917&lt;=01_因子設定!$M$7+0.000000001,H3917&gt;=01_因子設定!$L$8-0.000000001,H3917&lt;=01_因子設定!$M$8+0.000000001,IF(01_因子設定!$B$20="Box-Behnken",E3917^2+F3917^2+G3917^2+H3917^2&lt;=2+0.000000001,TRUE()))</f>
        <v>1</v>
      </c>
      <c r="AD3917" s="55" t="n">
        <f aca="false">IF(AC3917,IF(01_因子設定!$B$13="最大化",AA3917-01_因子設定!$B$14,IF(01_因子設定!$B$13="最小化",01_因子設定!$B$15-AB3917,MIN(AA3917-01_因子設定!$B$14,01_因子設定!$B$15-AB3917))),-1E+030)</f>
        <v>-0.856456603878243</v>
      </c>
      <c r="AE3917" s="55" t="n">
        <f aca="false">IF(AC3917,IF(01_因子設定!$B$13="最大化",X3917,IF(01_因子設定!$B$13="最小化",-X3917,-ABS(X3917-01_因子設定!$B$16))),-1E+030)</f>
        <v>47.0280610380116</v>
      </c>
      <c r="AF3917" s="55" t="n">
        <f aca="false">AD3917+ROW()*0.000000001</f>
        <v>-0.856452686878243</v>
      </c>
      <c r="AG3917" s="55" t="n">
        <f aca="false">AE3917+ROW()*0.000000001</f>
        <v>47.0280649550116</v>
      </c>
    </row>
    <row r="3918" customFormat="false" ht="15" hidden="false" customHeight="false" outlineLevel="0" collapsed="false">
      <c r="A3918" s="0" t="n">
        <v>5</v>
      </c>
      <c r="B3918" s="0" t="n">
        <v>3</v>
      </c>
      <c r="C3918" s="0" t="n">
        <v>2</v>
      </c>
      <c r="D3918" s="0" t="n">
        <v>7</v>
      </c>
      <c r="E3918" s="0" t="n">
        <f aca="false">-1+A3918*0.25</f>
        <v>0.25</v>
      </c>
      <c r="F3918" s="0" t="n">
        <f aca="false">-1+B3918*0.25</f>
        <v>-0.25</v>
      </c>
      <c r="G3918" s="0" t="n">
        <f aca="false">-1+C3918*0.25</f>
        <v>-0.5</v>
      </c>
      <c r="H3918" s="0" t="n">
        <f aca="false">-1+D3918*0.25</f>
        <v>0.75</v>
      </c>
      <c r="I3918" s="0" t="n">
        <f aca="false">1</f>
        <v>1</v>
      </c>
      <c r="J3918" s="0" t="n">
        <f aca="false">E3918</f>
        <v>0.25</v>
      </c>
      <c r="K3918" s="0" t="n">
        <f aca="false">F3918</f>
        <v>-0.25</v>
      </c>
      <c r="L3918" s="0" t="n">
        <f aca="false">G3918</f>
        <v>-0.5</v>
      </c>
      <c r="M3918" s="0" t="n">
        <f aca="false">H3918</f>
        <v>0.75</v>
      </c>
      <c r="N3918" s="0" t="n">
        <f aca="false">E3918*F3918</f>
        <v>-0.0625</v>
      </c>
      <c r="O3918" s="0" t="n">
        <f aca="false">E3918*G3918</f>
        <v>-0.125</v>
      </c>
      <c r="P3918" s="0" t="n">
        <f aca="false">E3918*H3918</f>
        <v>0.1875</v>
      </c>
      <c r="Q3918" s="0" t="n">
        <f aca="false">F3918*G3918</f>
        <v>0.125</v>
      </c>
      <c r="R3918" s="0" t="n">
        <f aca="false">F3918*H3918</f>
        <v>-0.1875</v>
      </c>
      <c r="S3918" s="0" t="n">
        <f aca="false">G3918*H3918</f>
        <v>-0.375</v>
      </c>
      <c r="T3918" s="0" t="n">
        <f aca="false">E3918*E3918</f>
        <v>0.0625</v>
      </c>
      <c r="U3918" s="0" t="n">
        <f aca="false">F3918*F3918</f>
        <v>0.0625</v>
      </c>
      <c r="V3918" s="0" t="n">
        <f aca="false">G3918*G3918</f>
        <v>0.25</v>
      </c>
      <c r="W3918" s="0" t="n">
        <f aca="false">H3918*H3918</f>
        <v>0.5625</v>
      </c>
      <c r="X3918" s="0" t="n">
        <f aca="false">SUMPRODUCT(I3918:W3918,_XtX!$B$96:$P$96)</f>
        <v>46.9950886330409</v>
      </c>
      <c r="Y3918" s="0" t="n">
        <f aca="false">SUMPRODUCT(MMULT(I3918:W3918,_XtX!$B$78:$P$92),I3918:W3918)</f>
        <v>0.207746539199561</v>
      </c>
      <c r="Z3918" s="0" t="n">
        <f aca="false">04_回帰ANOVA!$K$19*04_回帰ANOVA!$K$14*SQRT(1+Y3918)</f>
        <v>1.43247250081141</v>
      </c>
      <c r="AA3918" s="0" t="n">
        <f aca="false">X3918-Z3918</f>
        <v>45.5626161322295</v>
      </c>
      <c r="AB3918" s="0" t="n">
        <f aca="false">X3918+Z3918</f>
        <v>48.4275611338523</v>
      </c>
      <c r="AC3918" s="54" t="b">
        <f aca="false">AND(E3918&gt;=01_因子設定!$L$5-0.000000001,E3918&lt;=01_因子設定!$M$5+0.000000001,F3918&gt;=01_因子設定!$L$6-0.000000001,F3918&lt;=01_因子設定!$M$6+0.000000001,G3918&gt;=01_因子設定!$L$7-0.000000001,G3918&lt;=01_因子設定!$M$7+0.000000001,H3918&gt;=01_因子設定!$L$8-0.000000001,H3918&lt;=01_因子設定!$M$8+0.000000001,IF(01_因子設定!$B$20="Box-Behnken",E3918^2+F3918^2+G3918^2+H3918^2&lt;=2+0.000000001,TRUE()))</f>
        <v>1</v>
      </c>
      <c r="AD3918" s="55" t="n">
        <f aca="false">IF(AC3918,IF(01_因子設定!$B$13="最大化",AA3918-01_因子設定!$B$14,IF(01_因子設定!$B$13="最小化",01_因子設定!$B$15-AB3918,MIN(AA3918-01_因子設定!$B$14,01_因子設定!$B$15-AB3918))),-1E+030)</f>
        <v>-0.937383867770514</v>
      </c>
      <c r="AE3918" s="55" t="n">
        <f aca="false">IF(AC3918,IF(01_因子設定!$B$13="最大化",X3918,IF(01_因子設定!$B$13="最小化",-X3918,-ABS(X3918-01_因子設定!$B$16))),-1E+030)</f>
        <v>46.9950886330409</v>
      </c>
      <c r="AF3918" s="55" t="n">
        <f aca="false">AD3918+ROW()*0.000000001</f>
        <v>-0.937379949770514</v>
      </c>
      <c r="AG3918" s="55" t="n">
        <f aca="false">AE3918+ROW()*0.000000001</f>
        <v>46.9950925510409</v>
      </c>
    </row>
    <row r="3919" customFormat="false" ht="15" hidden="false" customHeight="false" outlineLevel="0" collapsed="false">
      <c r="A3919" s="0" t="n">
        <v>5</v>
      </c>
      <c r="B3919" s="0" t="n">
        <v>3</v>
      </c>
      <c r="C3919" s="0" t="n">
        <v>2</v>
      </c>
      <c r="D3919" s="0" t="n">
        <v>8</v>
      </c>
      <c r="E3919" s="0" t="n">
        <f aca="false">-1+A3919*0.25</f>
        <v>0.25</v>
      </c>
      <c r="F3919" s="0" t="n">
        <f aca="false">-1+B3919*0.25</f>
        <v>-0.25</v>
      </c>
      <c r="G3919" s="0" t="n">
        <f aca="false">-1+C3919*0.25</f>
        <v>-0.5</v>
      </c>
      <c r="H3919" s="0" t="n">
        <f aca="false">-1+D3919*0.25</f>
        <v>1</v>
      </c>
      <c r="I3919" s="0" t="n">
        <f aca="false">1</f>
        <v>1</v>
      </c>
      <c r="J3919" s="0" t="n">
        <f aca="false">E3919</f>
        <v>0.25</v>
      </c>
      <c r="K3919" s="0" t="n">
        <f aca="false">F3919</f>
        <v>-0.25</v>
      </c>
      <c r="L3919" s="0" t="n">
        <f aca="false">G3919</f>
        <v>-0.5</v>
      </c>
      <c r="M3919" s="0" t="n">
        <f aca="false">H3919</f>
        <v>1</v>
      </c>
      <c r="N3919" s="0" t="n">
        <f aca="false">E3919*F3919</f>
        <v>-0.0625</v>
      </c>
      <c r="O3919" s="0" t="n">
        <f aca="false">E3919*G3919</f>
        <v>-0.125</v>
      </c>
      <c r="P3919" s="0" t="n">
        <f aca="false">E3919*H3919</f>
        <v>0.25</v>
      </c>
      <c r="Q3919" s="0" t="n">
        <f aca="false">F3919*G3919</f>
        <v>0.125</v>
      </c>
      <c r="R3919" s="0" t="n">
        <f aca="false">F3919*H3919</f>
        <v>-0.25</v>
      </c>
      <c r="S3919" s="0" t="n">
        <f aca="false">G3919*H3919</f>
        <v>-0.5</v>
      </c>
      <c r="T3919" s="0" t="n">
        <f aca="false">E3919*E3919</f>
        <v>0.0625</v>
      </c>
      <c r="U3919" s="0" t="n">
        <f aca="false">F3919*F3919</f>
        <v>0.0625</v>
      </c>
      <c r="V3919" s="0" t="n">
        <f aca="false">G3919*G3919</f>
        <v>0.25</v>
      </c>
      <c r="W3919" s="0" t="n">
        <f aca="false">H3919*H3919</f>
        <v>1</v>
      </c>
      <c r="X3919" s="0" t="n">
        <f aca="false">SUMPRODUCT(I3919:W3919,_XtX!$B$96:$P$96)</f>
        <v>46.9143092105263</v>
      </c>
      <c r="Y3919" s="0" t="n">
        <f aca="false">SUMPRODUCT(MMULT(I3919:W3919,_XtX!$B$78:$P$92),I3919:W3919)</f>
        <v>0.445705123812135</v>
      </c>
      <c r="Z3919" s="0" t="n">
        <f aca="false">04_回帰ANOVA!$K$19*04_回帰ANOVA!$K$14*SQRT(1+Y3919)</f>
        <v>1.56724990734749</v>
      </c>
      <c r="AA3919" s="0" t="n">
        <f aca="false">X3919-Z3919</f>
        <v>45.3470593031788</v>
      </c>
      <c r="AB3919" s="0" t="n">
        <f aca="false">X3919+Z3919</f>
        <v>48.4815591178738</v>
      </c>
      <c r="AC3919" s="54" t="b">
        <f aca="false">AND(E3919&gt;=01_因子設定!$L$5-0.000000001,E3919&lt;=01_因子設定!$M$5+0.000000001,F3919&gt;=01_因子設定!$L$6-0.000000001,F3919&lt;=01_因子設定!$M$6+0.000000001,G3919&gt;=01_因子設定!$L$7-0.000000001,G3919&lt;=01_因子設定!$M$7+0.000000001,H3919&gt;=01_因子設定!$L$8-0.000000001,H3919&lt;=01_因子設定!$M$8+0.000000001,IF(01_因子設定!$B$20="Box-Behnken",E3919^2+F3919^2+G3919^2+H3919^2&lt;=2+0.000000001,TRUE()))</f>
        <v>1</v>
      </c>
      <c r="AD3919" s="55" t="n">
        <f aca="false">IF(AC3919,IF(01_因子設定!$B$13="最大化",AA3919-01_因子設定!$B$14,IF(01_因子設定!$B$13="最小化",01_因子設定!$B$15-AB3919,MIN(AA3919-01_因子設定!$B$14,01_因子設定!$B$15-AB3919))),-1E+030)</f>
        <v>-1.1529406968212</v>
      </c>
      <c r="AE3919" s="55" t="n">
        <f aca="false">IF(AC3919,IF(01_因子設定!$B$13="最大化",X3919,IF(01_因子設定!$B$13="最小化",-X3919,-ABS(X3919-01_因子設定!$B$16))),-1E+030)</f>
        <v>46.9143092105263</v>
      </c>
      <c r="AF3919" s="55" t="n">
        <f aca="false">AD3919+ROW()*0.000000001</f>
        <v>-1.1529367778212</v>
      </c>
      <c r="AG3919" s="55" t="n">
        <f aca="false">AE3919+ROW()*0.000000001</f>
        <v>46.9143131295263</v>
      </c>
    </row>
    <row r="3920" customFormat="false" ht="15" hidden="false" customHeight="false" outlineLevel="0" collapsed="false">
      <c r="A3920" s="0" t="n">
        <v>5</v>
      </c>
      <c r="B3920" s="0" t="n">
        <v>3</v>
      </c>
      <c r="C3920" s="0" t="n">
        <v>3</v>
      </c>
      <c r="D3920" s="0" t="n">
        <v>0</v>
      </c>
      <c r="E3920" s="0" t="n">
        <f aca="false">-1+A3920*0.25</f>
        <v>0.25</v>
      </c>
      <c r="F3920" s="0" t="n">
        <f aca="false">-1+B3920*0.25</f>
        <v>-0.25</v>
      </c>
      <c r="G3920" s="0" t="n">
        <f aca="false">-1+C3920*0.25</f>
        <v>-0.25</v>
      </c>
      <c r="H3920" s="0" t="n">
        <f aca="false">-1+D3920*0.25</f>
        <v>-1</v>
      </c>
      <c r="I3920" s="0" t="n">
        <f aca="false">1</f>
        <v>1</v>
      </c>
      <c r="J3920" s="0" t="n">
        <f aca="false">E3920</f>
        <v>0.25</v>
      </c>
      <c r="K3920" s="0" t="n">
        <f aca="false">F3920</f>
        <v>-0.25</v>
      </c>
      <c r="L3920" s="0" t="n">
        <f aca="false">G3920</f>
        <v>-0.25</v>
      </c>
      <c r="M3920" s="0" t="n">
        <f aca="false">H3920</f>
        <v>-1</v>
      </c>
      <c r="N3920" s="0" t="n">
        <f aca="false">E3920*F3920</f>
        <v>-0.0625</v>
      </c>
      <c r="O3920" s="0" t="n">
        <f aca="false">E3920*G3920</f>
        <v>-0.0625</v>
      </c>
      <c r="P3920" s="0" t="n">
        <f aca="false">E3920*H3920</f>
        <v>-0.25</v>
      </c>
      <c r="Q3920" s="0" t="n">
        <f aca="false">F3920*G3920</f>
        <v>0.0625</v>
      </c>
      <c r="R3920" s="0" t="n">
        <f aca="false">F3920*H3920</f>
        <v>0.25</v>
      </c>
      <c r="S3920" s="0" t="n">
        <f aca="false">G3920*H3920</f>
        <v>0.25</v>
      </c>
      <c r="T3920" s="0" t="n">
        <f aca="false">E3920*E3920</f>
        <v>0.0625</v>
      </c>
      <c r="U3920" s="0" t="n">
        <f aca="false">F3920*F3920</f>
        <v>0.0625</v>
      </c>
      <c r="V3920" s="0" t="n">
        <f aca="false">G3920*G3920</f>
        <v>0.0625</v>
      </c>
      <c r="W3920" s="0" t="n">
        <f aca="false">H3920*H3920</f>
        <v>1</v>
      </c>
      <c r="X3920" s="0" t="n">
        <f aca="false">SUMPRODUCT(I3920:W3920,_XtX!$B$96:$P$96)</f>
        <v>46.4637107090643</v>
      </c>
      <c r="Y3920" s="0" t="n">
        <f aca="false">SUMPRODUCT(MMULT(I3920:W3920,_XtX!$B$78:$P$92),I3920:W3920)</f>
        <v>0.457466705500731</v>
      </c>
      <c r="Z3920" s="0" t="n">
        <f aca="false">04_回帰ANOVA!$K$19*04_回帰ANOVA!$K$14*SQRT(1+Y3920)</f>
        <v>1.57361220003999</v>
      </c>
      <c r="AA3920" s="0" t="n">
        <f aca="false">X3920-Z3920</f>
        <v>44.8900985090243</v>
      </c>
      <c r="AB3920" s="0" t="n">
        <f aca="false">X3920+Z3920</f>
        <v>48.0373229091043</v>
      </c>
      <c r="AC3920" s="54" t="b">
        <f aca="false">AND(E3920&gt;=01_因子設定!$L$5-0.000000001,E3920&lt;=01_因子設定!$M$5+0.000000001,F3920&gt;=01_因子設定!$L$6-0.000000001,F3920&lt;=01_因子設定!$M$6+0.000000001,G3920&gt;=01_因子設定!$L$7-0.000000001,G3920&lt;=01_因子設定!$M$7+0.000000001,H3920&gt;=01_因子設定!$L$8-0.000000001,H3920&lt;=01_因子設定!$M$8+0.000000001,IF(01_因子設定!$B$20="Box-Behnken",E3920^2+F3920^2+G3920^2+H3920^2&lt;=2+0.000000001,TRUE()))</f>
        <v>1</v>
      </c>
      <c r="AD3920" s="55" t="n">
        <f aca="false">IF(AC3920,IF(01_因子設定!$B$13="最大化",AA3920-01_因子設定!$B$14,IF(01_因子設定!$B$13="最小化",01_因子設定!$B$15-AB3920,MIN(AA3920-01_因子設定!$B$14,01_因子設定!$B$15-AB3920))),-1E+030)</f>
        <v>-1.60990149097569</v>
      </c>
      <c r="AE3920" s="55" t="n">
        <f aca="false">IF(AC3920,IF(01_因子設定!$B$13="最大化",X3920,IF(01_因子設定!$B$13="最小化",-X3920,-ABS(X3920-01_因子設定!$B$16))),-1E+030)</f>
        <v>46.4637107090643</v>
      </c>
      <c r="AF3920" s="55" t="n">
        <f aca="false">AD3920+ROW()*0.000000001</f>
        <v>-1.60989757097569</v>
      </c>
      <c r="AG3920" s="55" t="n">
        <f aca="false">AE3920+ROW()*0.000000001</f>
        <v>46.4637146290643</v>
      </c>
    </row>
    <row r="3921" customFormat="false" ht="15" hidden="false" customHeight="false" outlineLevel="0" collapsed="false">
      <c r="A3921" s="0" t="n">
        <v>5</v>
      </c>
      <c r="B3921" s="0" t="n">
        <v>3</v>
      </c>
      <c r="C3921" s="0" t="n">
        <v>3</v>
      </c>
      <c r="D3921" s="0" t="n">
        <v>1</v>
      </c>
      <c r="E3921" s="0" t="n">
        <f aca="false">-1+A3921*0.25</f>
        <v>0.25</v>
      </c>
      <c r="F3921" s="0" t="n">
        <f aca="false">-1+B3921*0.25</f>
        <v>-0.25</v>
      </c>
      <c r="G3921" s="0" t="n">
        <f aca="false">-1+C3921*0.25</f>
        <v>-0.25</v>
      </c>
      <c r="H3921" s="0" t="n">
        <f aca="false">-1+D3921*0.25</f>
        <v>-0.75</v>
      </c>
      <c r="I3921" s="0" t="n">
        <f aca="false">1</f>
        <v>1</v>
      </c>
      <c r="J3921" s="0" t="n">
        <f aca="false">E3921</f>
        <v>0.25</v>
      </c>
      <c r="K3921" s="0" t="n">
        <f aca="false">F3921</f>
        <v>-0.25</v>
      </c>
      <c r="L3921" s="0" t="n">
        <f aca="false">G3921</f>
        <v>-0.25</v>
      </c>
      <c r="M3921" s="0" t="n">
        <f aca="false">H3921</f>
        <v>-0.75</v>
      </c>
      <c r="N3921" s="0" t="n">
        <f aca="false">E3921*F3921</f>
        <v>-0.0625</v>
      </c>
      <c r="O3921" s="0" t="n">
        <f aca="false">E3921*G3921</f>
        <v>-0.0625</v>
      </c>
      <c r="P3921" s="0" t="n">
        <f aca="false">E3921*H3921</f>
        <v>-0.1875</v>
      </c>
      <c r="Q3921" s="0" t="n">
        <f aca="false">F3921*G3921</f>
        <v>0.0625</v>
      </c>
      <c r="R3921" s="0" t="n">
        <f aca="false">F3921*H3921</f>
        <v>0.1875</v>
      </c>
      <c r="S3921" s="0" t="n">
        <f aca="false">G3921*H3921</f>
        <v>0.1875</v>
      </c>
      <c r="T3921" s="0" t="n">
        <f aca="false">E3921*E3921</f>
        <v>0.0625</v>
      </c>
      <c r="U3921" s="0" t="n">
        <f aca="false">F3921*F3921</f>
        <v>0.0625</v>
      </c>
      <c r="V3921" s="0" t="n">
        <f aca="false">G3921*G3921</f>
        <v>0.0625</v>
      </c>
      <c r="W3921" s="0" t="n">
        <f aca="false">H3921*H3921</f>
        <v>0.5625</v>
      </c>
      <c r="X3921" s="0" t="n">
        <f aca="false">SUMPRODUCT(I3921:W3921,_XtX!$B$96:$P$96)</f>
        <v>46.7355491593567</v>
      </c>
      <c r="Y3921" s="0" t="n">
        <f aca="false">SUMPRODUCT(MMULT(I3921:W3921,_XtX!$B$78:$P$92),I3921:W3921)</f>
        <v>0.205926192434211</v>
      </c>
      <c r="Z3921" s="0" t="n">
        <f aca="false">04_回帰ANOVA!$K$19*04_回帰ANOVA!$K$14*SQRT(1+Y3921)</f>
        <v>1.43139256396246</v>
      </c>
      <c r="AA3921" s="0" t="n">
        <f aca="false">X3921-Z3921</f>
        <v>45.3041565953942</v>
      </c>
      <c r="AB3921" s="0" t="n">
        <f aca="false">X3921+Z3921</f>
        <v>48.1669417233192</v>
      </c>
      <c r="AC3921" s="54" t="b">
        <f aca="false">AND(E3921&gt;=01_因子設定!$L$5-0.000000001,E3921&lt;=01_因子設定!$M$5+0.000000001,F3921&gt;=01_因子設定!$L$6-0.000000001,F3921&lt;=01_因子設定!$M$6+0.000000001,G3921&gt;=01_因子設定!$L$7-0.000000001,G3921&lt;=01_因子設定!$M$7+0.000000001,H3921&gt;=01_因子設定!$L$8-0.000000001,H3921&lt;=01_因子設定!$M$8+0.000000001,IF(01_因子設定!$B$20="Box-Behnken",E3921^2+F3921^2+G3921^2+H3921^2&lt;=2+0.000000001,TRUE()))</f>
        <v>1</v>
      </c>
      <c r="AD3921" s="55" t="n">
        <f aca="false">IF(AC3921,IF(01_因子設定!$B$13="最大化",AA3921-01_因子設定!$B$14,IF(01_因子設定!$B$13="最小化",01_因子設定!$B$15-AB3921,MIN(AA3921-01_因子設定!$B$14,01_因子設定!$B$15-AB3921))),-1E+030)</f>
        <v>-1.19584340460577</v>
      </c>
      <c r="AE3921" s="55" t="n">
        <f aca="false">IF(AC3921,IF(01_因子設定!$B$13="最大化",X3921,IF(01_因子設定!$B$13="最小化",-X3921,-ABS(X3921-01_因子設定!$B$16))),-1E+030)</f>
        <v>46.7355491593567</v>
      </c>
      <c r="AF3921" s="55" t="n">
        <f aca="false">AD3921+ROW()*0.000000001</f>
        <v>-1.19583948360577</v>
      </c>
      <c r="AG3921" s="55" t="n">
        <f aca="false">AE3921+ROW()*0.000000001</f>
        <v>46.7355530803567</v>
      </c>
    </row>
    <row r="3922" customFormat="false" ht="15" hidden="false" customHeight="false" outlineLevel="0" collapsed="false">
      <c r="A3922" s="0" t="n">
        <v>5</v>
      </c>
      <c r="B3922" s="0" t="n">
        <v>3</v>
      </c>
      <c r="C3922" s="0" t="n">
        <v>3</v>
      </c>
      <c r="D3922" s="0" t="n">
        <v>2</v>
      </c>
      <c r="E3922" s="0" t="n">
        <f aca="false">-1+A3922*0.25</f>
        <v>0.25</v>
      </c>
      <c r="F3922" s="0" t="n">
        <f aca="false">-1+B3922*0.25</f>
        <v>-0.25</v>
      </c>
      <c r="G3922" s="0" t="n">
        <f aca="false">-1+C3922*0.25</f>
        <v>-0.25</v>
      </c>
      <c r="H3922" s="0" t="n">
        <f aca="false">-1+D3922*0.25</f>
        <v>-0.5</v>
      </c>
      <c r="I3922" s="0" t="n">
        <f aca="false">1</f>
        <v>1</v>
      </c>
      <c r="J3922" s="0" t="n">
        <f aca="false">E3922</f>
        <v>0.25</v>
      </c>
      <c r="K3922" s="0" t="n">
        <f aca="false">F3922</f>
        <v>-0.25</v>
      </c>
      <c r="L3922" s="0" t="n">
        <f aca="false">G3922</f>
        <v>-0.25</v>
      </c>
      <c r="M3922" s="0" t="n">
        <f aca="false">H3922</f>
        <v>-0.5</v>
      </c>
      <c r="N3922" s="0" t="n">
        <f aca="false">E3922*F3922</f>
        <v>-0.0625</v>
      </c>
      <c r="O3922" s="0" t="n">
        <f aca="false">E3922*G3922</f>
        <v>-0.0625</v>
      </c>
      <c r="P3922" s="0" t="n">
        <f aca="false">E3922*H3922</f>
        <v>-0.125</v>
      </c>
      <c r="Q3922" s="0" t="n">
        <f aca="false">F3922*G3922</f>
        <v>0.0625</v>
      </c>
      <c r="R3922" s="0" t="n">
        <f aca="false">F3922*H3922</f>
        <v>0.125</v>
      </c>
      <c r="S3922" s="0" t="n">
        <f aca="false">G3922*H3922</f>
        <v>0.125</v>
      </c>
      <c r="T3922" s="0" t="n">
        <f aca="false">E3922*E3922</f>
        <v>0.0625</v>
      </c>
      <c r="U3922" s="0" t="n">
        <f aca="false">F3922*F3922</f>
        <v>0.0625</v>
      </c>
      <c r="V3922" s="0" t="n">
        <f aca="false">G3922*G3922</f>
        <v>0.0625</v>
      </c>
      <c r="W3922" s="0" t="n">
        <f aca="false">H3922*H3922</f>
        <v>0.25</v>
      </c>
      <c r="X3922" s="0" t="n">
        <f aca="false">SUMPRODUCT(I3922:W3922,_XtX!$B$96:$P$96)</f>
        <v>46.9595805921052</v>
      </c>
      <c r="Y3922" s="0" t="n">
        <f aca="false">SUMPRODUCT(MMULT(I3922:W3922,_XtX!$B$78:$P$92),I3922:W3922)</f>
        <v>0.116714923702485</v>
      </c>
      <c r="Z3922" s="0" t="n">
        <f aca="false">04_回帰ANOVA!$K$19*04_回帰ANOVA!$K$14*SQRT(1+Y3922)</f>
        <v>1.37743004820023</v>
      </c>
      <c r="AA3922" s="0" t="n">
        <f aca="false">X3922-Z3922</f>
        <v>45.582150543905</v>
      </c>
      <c r="AB3922" s="0" t="n">
        <f aca="false">X3922+Z3922</f>
        <v>48.3370106403054</v>
      </c>
      <c r="AC3922" s="54" t="b">
        <f aca="false">AND(E3922&gt;=01_因子設定!$L$5-0.000000001,E3922&lt;=01_因子設定!$M$5+0.000000001,F3922&gt;=01_因子設定!$L$6-0.000000001,F3922&lt;=01_因子設定!$M$6+0.000000001,G3922&gt;=01_因子設定!$L$7-0.000000001,G3922&lt;=01_因子設定!$M$7+0.000000001,H3922&gt;=01_因子設定!$L$8-0.000000001,H3922&lt;=01_因子設定!$M$8+0.000000001,IF(01_因子設定!$B$20="Box-Behnken",E3922^2+F3922^2+G3922^2+H3922^2&lt;=2+0.000000001,TRUE()))</f>
        <v>1</v>
      </c>
      <c r="AD3922" s="55" t="n">
        <f aca="false">IF(AC3922,IF(01_因子設定!$B$13="最大化",AA3922-01_因子設定!$B$14,IF(01_因子設定!$B$13="最小化",01_因子設定!$B$15-AB3922,MIN(AA3922-01_因子設定!$B$14,01_因子設定!$B$15-AB3922))),-1E+030)</f>
        <v>-0.917849456095013</v>
      </c>
      <c r="AE3922" s="55" t="n">
        <f aca="false">IF(AC3922,IF(01_因子設定!$B$13="最大化",X3922,IF(01_因子設定!$B$13="最小化",-X3922,-ABS(X3922-01_因子設定!$B$16))),-1E+030)</f>
        <v>46.9595805921052</v>
      </c>
      <c r="AF3922" s="55" t="n">
        <f aca="false">AD3922+ROW()*0.000000001</f>
        <v>-0.917845534095013</v>
      </c>
      <c r="AG3922" s="55" t="n">
        <f aca="false">AE3922+ROW()*0.000000001</f>
        <v>46.9595845141052</v>
      </c>
    </row>
    <row r="3923" customFormat="false" ht="15" hidden="false" customHeight="false" outlineLevel="0" collapsed="false">
      <c r="A3923" s="0" t="n">
        <v>5</v>
      </c>
      <c r="B3923" s="0" t="n">
        <v>3</v>
      </c>
      <c r="C3923" s="0" t="n">
        <v>3</v>
      </c>
      <c r="D3923" s="0" t="n">
        <v>3</v>
      </c>
      <c r="E3923" s="0" t="n">
        <f aca="false">-1+A3923*0.25</f>
        <v>0.25</v>
      </c>
      <c r="F3923" s="0" t="n">
        <f aca="false">-1+B3923*0.25</f>
        <v>-0.25</v>
      </c>
      <c r="G3923" s="0" t="n">
        <f aca="false">-1+C3923*0.25</f>
        <v>-0.25</v>
      </c>
      <c r="H3923" s="0" t="n">
        <f aca="false">-1+D3923*0.25</f>
        <v>-0.25</v>
      </c>
      <c r="I3923" s="0" t="n">
        <f aca="false">1</f>
        <v>1</v>
      </c>
      <c r="J3923" s="0" t="n">
        <f aca="false">E3923</f>
        <v>0.25</v>
      </c>
      <c r="K3923" s="0" t="n">
        <f aca="false">F3923</f>
        <v>-0.25</v>
      </c>
      <c r="L3923" s="0" t="n">
        <f aca="false">G3923</f>
        <v>-0.25</v>
      </c>
      <c r="M3923" s="0" t="n">
        <f aca="false">H3923</f>
        <v>-0.25</v>
      </c>
      <c r="N3923" s="0" t="n">
        <f aca="false">E3923*F3923</f>
        <v>-0.0625</v>
      </c>
      <c r="O3923" s="0" t="n">
        <f aca="false">E3923*G3923</f>
        <v>-0.0625</v>
      </c>
      <c r="P3923" s="0" t="n">
        <f aca="false">E3923*H3923</f>
        <v>-0.0625</v>
      </c>
      <c r="Q3923" s="0" t="n">
        <f aca="false">F3923*G3923</f>
        <v>0.0625</v>
      </c>
      <c r="R3923" s="0" t="n">
        <f aca="false">F3923*H3923</f>
        <v>0.0625</v>
      </c>
      <c r="S3923" s="0" t="n">
        <f aca="false">G3923*H3923</f>
        <v>0.0625</v>
      </c>
      <c r="T3923" s="0" t="n">
        <f aca="false">E3923*E3923</f>
        <v>0.0625</v>
      </c>
      <c r="U3923" s="0" t="n">
        <f aca="false">F3923*F3923</f>
        <v>0.0625</v>
      </c>
      <c r="V3923" s="0" t="n">
        <f aca="false">G3923*G3923</f>
        <v>0.0625</v>
      </c>
      <c r="W3923" s="0" t="n">
        <f aca="false">H3923*H3923</f>
        <v>0.0625</v>
      </c>
      <c r="X3923" s="0" t="n">
        <f aca="false">SUMPRODUCT(I3923:W3923,_XtX!$B$96:$P$96)</f>
        <v>47.1358050073099</v>
      </c>
      <c r="Y3923" s="0" t="n">
        <f aca="false">SUMPRODUCT(MMULT(I3923:W3923,_XtX!$B$78:$P$92),I3923:W3923)</f>
        <v>0.0993723729897661</v>
      </c>
      <c r="Z3923" s="0" t="n">
        <f aca="false">04_回帰ANOVA!$K$19*04_回帰ANOVA!$K$14*SQRT(1+Y3923)</f>
        <v>1.36669247195631</v>
      </c>
      <c r="AA3923" s="0" t="n">
        <f aca="false">X3923-Z3923</f>
        <v>45.7691125353536</v>
      </c>
      <c r="AB3923" s="0" t="n">
        <f aca="false">X3923+Z3923</f>
        <v>48.5024974792662</v>
      </c>
      <c r="AC3923" s="54" t="b">
        <f aca="false">AND(E3923&gt;=01_因子設定!$L$5-0.000000001,E3923&lt;=01_因子設定!$M$5+0.000000001,F3923&gt;=01_因子設定!$L$6-0.000000001,F3923&lt;=01_因子設定!$M$6+0.000000001,G3923&gt;=01_因子設定!$L$7-0.000000001,G3923&lt;=01_因子設定!$M$7+0.000000001,H3923&gt;=01_因子設定!$L$8-0.000000001,H3923&lt;=01_因子設定!$M$8+0.000000001,IF(01_因子設定!$B$20="Box-Behnken",E3923^2+F3923^2+G3923^2+H3923^2&lt;=2+0.000000001,TRUE()))</f>
        <v>1</v>
      </c>
      <c r="AD3923" s="55" t="n">
        <f aca="false">IF(AC3923,IF(01_因子設定!$B$13="最大化",AA3923-01_因子設定!$B$14,IF(01_因子設定!$B$13="最小化",01_因子設定!$B$15-AB3923,MIN(AA3923-01_因子設定!$B$14,01_因子設定!$B$15-AB3923))),-1E+030)</f>
        <v>-0.730887464646429</v>
      </c>
      <c r="AE3923" s="55" t="n">
        <f aca="false">IF(AC3923,IF(01_因子設定!$B$13="最大化",X3923,IF(01_因子設定!$B$13="最小化",-X3923,-ABS(X3923-01_因子設定!$B$16))),-1E+030)</f>
        <v>47.1358050073099</v>
      </c>
      <c r="AF3923" s="55" t="n">
        <f aca="false">AD3923+ROW()*0.000000001</f>
        <v>-0.730883541646429</v>
      </c>
      <c r="AG3923" s="55" t="n">
        <f aca="false">AE3923+ROW()*0.000000001</f>
        <v>47.1358089303099</v>
      </c>
    </row>
    <row r="3924" customFormat="false" ht="15" hidden="false" customHeight="false" outlineLevel="0" collapsed="false">
      <c r="A3924" s="0" t="n">
        <v>5</v>
      </c>
      <c r="B3924" s="0" t="n">
        <v>3</v>
      </c>
      <c r="C3924" s="0" t="n">
        <v>3</v>
      </c>
      <c r="D3924" s="0" t="n">
        <v>4</v>
      </c>
      <c r="E3924" s="0" t="n">
        <f aca="false">-1+A3924*0.25</f>
        <v>0.25</v>
      </c>
      <c r="F3924" s="0" t="n">
        <f aca="false">-1+B3924*0.25</f>
        <v>-0.25</v>
      </c>
      <c r="G3924" s="0" t="n">
        <f aca="false">-1+C3924*0.25</f>
        <v>-0.25</v>
      </c>
      <c r="H3924" s="0" t="n">
        <f aca="false">-1+D3924*0.25</f>
        <v>0</v>
      </c>
      <c r="I3924" s="0" t="n">
        <f aca="false">1</f>
        <v>1</v>
      </c>
      <c r="J3924" s="0" t="n">
        <f aca="false">E3924</f>
        <v>0.25</v>
      </c>
      <c r="K3924" s="0" t="n">
        <f aca="false">F3924</f>
        <v>-0.25</v>
      </c>
      <c r="L3924" s="0" t="n">
        <f aca="false">G3924</f>
        <v>-0.25</v>
      </c>
      <c r="M3924" s="0" t="n">
        <f aca="false">H3924</f>
        <v>0</v>
      </c>
      <c r="N3924" s="0" t="n">
        <f aca="false">E3924*F3924</f>
        <v>-0.0625</v>
      </c>
      <c r="O3924" s="0" t="n">
        <f aca="false">E3924*G3924</f>
        <v>-0.0625</v>
      </c>
      <c r="P3924" s="0" t="n">
        <f aca="false">E3924*H3924</f>
        <v>0</v>
      </c>
      <c r="Q3924" s="0" t="n">
        <f aca="false">F3924*G3924</f>
        <v>0.0625</v>
      </c>
      <c r="R3924" s="0" t="n">
        <f aca="false">F3924*H3924</f>
        <v>-0</v>
      </c>
      <c r="S3924" s="0" t="n">
        <f aca="false">G3924*H3924</f>
        <v>-0</v>
      </c>
      <c r="T3924" s="0" t="n">
        <f aca="false">E3924*E3924</f>
        <v>0.0625</v>
      </c>
      <c r="U3924" s="0" t="n">
        <f aca="false">F3924*F3924</f>
        <v>0.0625</v>
      </c>
      <c r="V3924" s="0" t="n">
        <f aca="false">G3924*G3924</f>
        <v>0.0625</v>
      </c>
      <c r="W3924" s="0" t="n">
        <f aca="false">H3924*H3924</f>
        <v>0</v>
      </c>
      <c r="X3924" s="0" t="n">
        <f aca="false">SUMPRODUCT(I3924:W3924,_XtX!$B$96:$P$96)</f>
        <v>47.2642224049707</v>
      </c>
      <c r="Y3924" s="0" t="n">
        <f aca="false">SUMPRODUCT(MMULT(I3924:W3924,_XtX!$B$78:$P$92),I3924:W3924)</f>
        <v>0.099622224506579</v>
      </c>
      <c r="Z3924" s="0" t="n">
        <f aca="false">04_回帰ANOVA!$K$19*04_回帰ANOVA!$K$14*SQRT(1+Y3924)</f>
        <v>1.3668477654658</v>
      </c>
      <c r="AA3924" s="0" t="n">
        <f aca="false">X3924-Z3924</f>
        <v>45.8973746395049</v>
      </c>
      <c r="AB3924" s="0" t="n">
        <f aca="false">X3924+Z3924</f>
        <v>48.6310701704365</v>
      </c>
      <c r="AC3924" s="54" t="b">
        <f aca="false">AND(E3924&gt;=01_因子設定!$L$5-0.000000001,E3924&lt;=01_因子設定!$M$5+0.000000001,F3924&gt;=01_因子設定!$L$6-0.000000001,F3924&lt;=01_因子設定!$M$6+0.000000001,G3924&gt;=01_因子設定!$L$7-0.000000001,G3924&lt;=01_因子設定!$M$7+0.000000001,H3924&gt;=01_因子設定!$L$8-0.000000001,H3924&lt;=01_因子設定!$M$8+0.000000001,IF(01_因子設定!$B$20="Box-Behnken",E3924^2+F3924^2+G3924^2+H3924^2&lt;=2+0.000000001,TRUE()))</f>
        <v>1</v>
      </c>
      <c r="AD3924" s="55" t="n">
        <f aca="false">IF(AC3924,IF(01_因子設定!$B$13="最大化",AA3924-01_因子設定!$B$14,IF(01_因子設定!$B$13="最小化",01_因子設定!$B$15-AB3924,MIN(AA3924-01_因子設定!$B$14,01_因子設定!$B$15-AB3924))),-1E+030)</f>
        <v>-0.602625360495097</v>
      </c>
      <c r="AE3924" s="55" t="n">
        <f aca="false">IF(AC3924,IF(01_因子設定!$B$13="最大化",X3924,IF(01_因子設定!$B$13="最小化",-X3924,-ABS(X3924-01_因子設定!$B$16))),-1E+030)</f>
        <v>47.2642224049707</v>
      </c>
      <c r="AF3924" s="55" t="n">
        <f aca="false">AD3924+ROW()*0.000000001</f>
        <v>-0.602621436495097</v>
      </c>
      <c r="AG3924" s="55" t="n">
        <f aca="false">AE3924+ROW()*0.000000001</f>
        <v>47.2642263289707</v>
      </c>
    </row>
    <row r="3925" customFormat="false" ht="15" hidden="false" customHeight="false" outlineLevel="0" collapsed="false">
      <c r="A3925" s="0" t="n">
        <v>5</v>
      </c>
      <c r="B3925" s="0" t="n">
        <v>3</v>
      </c>
      <c r="C3925" s="0" t="n">
        <v>3</v>
      </c>
      <c r="D3925" s="0" t="n">
        <v>5</v>
      </c>
      <c r="E3925" s="0" t="n">
        <f aca="false">-1+A3925*0.25</f>
        <v>0.25</v>
      </c>
      <c r="F3925" s="0" t="n">
        <f aca="false">-1+B3925*0.25</f>
        <v>-0.25</v>
      </c>
      <c r="G3925" s="0" t="n">
        <f aca="false">-1+C3925*0.25</f>
        <v>-0.25</v>
      </c>
      <c r="H3925" s="0" t="n">
        <f aca="false">-1+D3925*0.25</f>
        <v>0.25</v>
      </c>
      <c r="I3925" s="0" t="n">
        <f aca="false">1</f>
        <v>1</v>
      </c>
      <c r="J3925" s="0" t="n">
        <f aca="false">E3925</f>
        <v>0.25</v>
      </c>
      <c r="K3925" s="0" t="n">
        <f aca="false">F3925</f>
        <v>-0.25</v>
      </c>
      <c r="L3925" s="0" t="n">
        <f aca="false">G3925</f>
        <v>-0.25</v>
      </c>
      <c r="M3925" s="0" t="n">
        <f aca="false">H3925</f>
        <v>0.25</v>
      </c>
      <c r="N3925" s="0" t="n">
        <f aca="false">E3925*F3925</f>
        <v>-0.0625</v>
      </c>
      <c r="O3925" s="0" t="n">
        <f aca="false">E3925*G3925</f>
        <v>-0.0625</v>
      </c>
      <c r="P3925" s="0" t="n">
        <f aca="false">E3925*H3925</f>
        <v>0.0625</v>
      </c>
      <c r="Q3925" s="0" t="n">
        <f aca="false">F3925*G3925</f>
        <v>0.0625</v>
      </c>
      <c r="R3925" s="0" t="n">
        <f aca="false">F3925*H3925</f>
        <v>-0.0625</v>
      </c>
      <c r="S3925" s="0" t="n">
        <f aca="false">G3925*H3925</f>
        <v>-0.0625</v>
      </c>
      <c r="T3925" s="0" t="n">
        <f aca="false">E3925*E3925</f>
        <v>0.0625</v>
      </c>
      <c r="U3925" s="0" t="n">
        <f aca="false">F3925*F3925</f>
        <v>0.0625</v>
      </c>
      <c r="V3925" s="0" t="n">
        <f aca="false">G3925*G3925</f>
        <v>0.0625</v>
      </c>
      <c r="W3925" s="0" t="n">
        <f aca="false">H3925*H3925</f>
        <v>0.0625</v>
      </c>
      <c r="X3925" s="0" t="n">
        <f aca="false">SUMPRODUCT(I3925:W3925,_XtX!$B$96:$P$96)</f>
        <v>47.3448327850877</v>
      </c>
      <c r="Y3925" s="0" t="n">
        <f aca="false">SUMPRODUCT(MMULT(I3925:W3925,_XtX!$B$78:$P$92),I3925:W3925)</f>
        <v>0.0993723729897661</v>
      </c>
      <c r="Z3925" s="0" t="n">
        <f aca="false">04_回帰ANOVA!$K$19*04_回帰ANOVA!$K$14*SQRT(1+Y3925)</f>
        <v>1.36669247195631</v>
      </c>
      <c r="AA3925" s="0" t="n">
        <f aca="false">X3925-Z3925</f>
        <v>45.9781403131314</v>
      </c>
      <c r="AB3925" s="0" t="n">
        <f aca="false">X3925+Z3925</f>
        <v>48.711525257044</v>
      </c>
      <c r="AC3925" s="54" t="b">
        <f aca="false">AND(E3925&gt;=01_因子設定!$L$5-0.000000001,E3925&lt;=01_因子設定!$M$5+0.000000001,F3925&gt;=01_因子設定!$L$6-0.000000001,F3925&lt;=01_因子設定!$M$6+0.000000001,G3925&gt;=01_因子設定!$L$7-0.000000001,G3925&lt;=01_因子設定!$M$7+0.000000001,H3925&gt;=01_因子設定!$L$8-0.000000001,H3925&lt;=01_因子設定!$M$8+0.000000001,IF(01_因子設定!$B$20="Box-Behnken",E3925^2+F3925^2+G3925^2+H3925^2&lt;=2+0.000000001,TRUE()))</f>
        <v>1</v>
      </c>
      <c r="AD3925" s="55" t="n">
        <f aca="false">IF(AC3925,IF(01_因子設定!$B$13="最大化",AA3925-01_因子設定!$B$14,IF(01_因子設定!$B$13="最小化",01_因子設定!$B$15-AB3925,MIN(AA3925-01_因子設定!$B$14,01_因子設定!$B$15-AB3925))),-1E+030)</f>
        <v>-0.521859686868652</v>
      </c>
      <c r="AE3925" s="55" t="n">
        <f aca="false">IF(AC3925,IF(01_因子設定!$B$13="最大化",X3925,IF(01_因子設定!$B$13="最小化",-X3925,-ABS(X3925-01_因子設定!$B$16))),-1E+030)</f>
        <v>47.3448327850877</v>
      </c>
      <c r="AF3925" s="55" t="n">
        <f aca="false">AD3925+ROW()*0.000000001</f>
        <v>-0.521855761868652</v>
      </c>
      <c r="AG3925" s="55" t="n">
        <f aca="false">AE3925+ROW()*0.000000001</f>
        <v>47.3448367100877</v>
      </c>
    </row>
    <row r="3926" customFormat="false" ht="15" hidden="false" customHeight="false" outlineLevel="0" collapsed="false">
      <c r="A3926" s="0" t="n">
        <v>5</v>
      </c>
      <c r="B3926" s="0" t="n">
        <v>3</v>
      </c>
      <c r="C3926" s="0" t="n">
        <v>3</v>
      </c>
      <c r="D3926" s="0" t="n">
        <v>6</v>
      </c>
      <c r="E3926" s="0" t="n">
        <f aca="false">-1+A3926*0.25</f>
        <v>0.25</v>
      </c>
      <c r="F3926" s="0" t="n">
        <f aca="false">-1+B3926*0.25</f>
        <v>-0.25</v>
      </c>
      <c r="G3926" s="0" t="n">
        <f aca="false">-1+C3926*0.25</f>
        <v>-0.25</v>
      </c>
      <c r="H3926" s="0" t="n">
        <f aca="false">-1+D3926*0.25</f>
        <v>0.5</v>
      </c>
      <c r="I3926" s="0" t="n">
        <f aca="false">1</f>
        <v>1</v>
      </c>
      <c r="J3926" s="0" t="n">
        <f aca="false">E3926</f>
        <v>0.25</v>
      </c>
      <c r="K3926" s="0" t="n">
        <f aca="false">F3926</f>
        <v>-0.25</v>
      </c>
      <c r="L3926" s="0" t="n">
        <f aca="false">G3926</f>
        <v>-0.25</v>
      </c>
      <c r="M3926" s="0" t="n">
        <f aca="false">H3926</f>
        <v>0.5</v>
      </c>
      <c r="N3926" s="0" t="n">
        <f aca="false">E3926*F3926</f>
        <v>-0.0625</v>
      </c>
      <c r="O3926" s="0" t="n">
        <f aca="false">E3926*G3926</f>
        <v>-0.0625</v>
      </c>
      <c r="P3926" s="0" t="n">
        <f aca="false">E3926*H3926</f>
        <v>0.125</v>
      </c>
      <c r="Q3926" s="0" t="n">
        <f aca="false">F3926*G3926</f>
        <v>0.0625</v>
      </c>
      <c r="R3926" s="0" t="n">
        <f aca="false">F3926*H3926</f>
        <v>-0.125</v>
      </c>
      <c r="S3926" s="0" t="n">
        <f aca="false">G3926*H3926</f>
        <v>-0.125</v>
      </c>
      <c r="T3926" s="0" t="n">
        <f aca="false">E3926*E3926</f>
        <v>0.0625</v>
      </c>
      <c r="U3926" s="0" t="n">
        <f aca="false">F3926*F3926</f>
        <v>0.0625</v>
      </c>
      <c r="V3926" s="0" t="n">
        <f aca="false">G3926*G3926</f>
        <v>0.0625</v>
      </c>
      <c r="W3926" s="0" t="n">
        <f aca="false">H3926*H3926</f>
        <v>0.25</v>
      </c>
      <c r="X3926" s="0" t="n">
        <f aca="false">SUMPRODUCT(I3926:W3926,_XtX!$B$96:$P$96)</f>
        <v>47.3776361476608</v>
      </c>
      <c r="Y3926" s="0" t="n">
        <f aca="false">SUMPRODUCT(MMULT(I3926:W3926,_XtX!$B$78:$P$92),I3926:W3926)</f>
        <v>0.116714923702485</v>
      </c>
      <c r="Z3926" s="0" t="n">
        <f aca="false">04_回帰ANOVA!$K$19*04_回帰ANOVA!$K$14*SQRT(1+Y3926)</f>
        <v>1.37743004820023</v>
      </c>
      <c r="AA3926" s="0" t="n">
        <f aca="false">X3926-Z3926</f>
        <v>46.0002060994605</v>
      </c>
      <c r="AB3926" s="0" t="n">
        <f aca="false">X3926+Z3926</f>
        <v>48.755066195861</v>
      </c>
      <c r="AC3926" s="54" t="b">
        <f aca="false">AND(E3926&gt;=01_因子設定!$L$5-0.000000001,E3926&lt;=01_因子設定!$M$5+0.000000001,F3926&gt;=01_因子設定!$L$6-0.000000001,F3926&lt;=01_因子設定!$M$6+0.000000001,G3926&gt;=01_因子設定!$L$7-0.000000001,G3926&lt;=01_因子設定!$M$7+0.000000001,H3926&gt;=01_因子設定!$L$8-0.000000001,H3926&lt;=01_因子設定!$M$8+0.000000001,IF(01_因子設定!$B$20="Box-Behnken",E3926^2+F3926^2+G3926^2+H3926^2&lt;=2+0.000000001,TRUE()))</f>
        <v>1</v>
      </c>
      <c r="AD3926" s="55" t="n">
        <f aca="false">IF(AC3926,IF(01_因子設定!$B$13="最大化",AA3926-01_因子設定!$B$14,IF(01_因子設定!$B$13="最小化",01_因子設定!$B$15-AB3926,MIN(AA3926-01_因子設定!$B$14,01_因子設定!$B$15-AB3926))),-1E+030)</f>
        <v>-0.499793900539459</v>
      </c>
      <c r="AE3926" s="55" t="n">
        <f aca="false">IF(AC3926,IF(01_因子設定!$B$13="最大化",X3926,IF(01_因子設定!$B$13="最小化",-X3926,-ABS(X3926-01_因子設定!$B$16))),-1E+030)</f>
        <v>47.3776361476608</v>
      </c>
      <c r="AF3926" s="55" t="n">
        <f aca="false">AD3926+ROW()*0.000000001</f>
        <v>-0.499789974539459</v>
      </c>
      <c r="AG3926" s="55" t="n">
        <f aca="false">AE3926+ROW()*0.000000001</f>
        <v>47.3776400736608</v>
      </c>
    </row>
    <row r="3927" customFormat="false" ht="15" hidden="false" customHeight="false" outlineLevel="0" collapsed="false">
      <c r="A3927" s="0" t="n">
        <v>5</v>
      </c>
      <c r="B3927" s="0" t="n">
        <v>3</v>
      </c>
      <c r="C3927" s="0" t="n">
        <v>3</v>
      </c>
      <c r="D3927" s="0" t="n">
        <v>7</v>
      </c>
      <c r="E3927" s="0" t="n">
        <f aca="false">-1+A3927*0.25</f>
        <v>0.25</v>
      </c>
      <c r="F3927" s="0" t="n">
        <f aca="false">-1+B3927*0.25</f>
        <v>-0.25</v>
      </c>
      <c r="G3927" s="0" t="n">
        <f aca="false">-1+C3927*0.25</f>
        <v>-0.25</v>
      </c>
      <c r="H3927" s="0" t="n">
        <f aca="false">-1+D3927*0.25</f>
        <v>0.75</v>
      </c>
      <c r="I3927" s="0" t="n">
        <f aca="false">1</f>
        <v>1</v>
      </c>
      <c r="J3927" s="0" t="n">
        <f aca="false">E3927</f>
        <v>0.25</v>
      </c>
      <c r="K3927" s="0" t="n">
        <f aca="false">F3927</f>
        <v>-0.25</v>
      </c>
      <c r="L3927" s="0" t="n">
        <f aca="false">G3927</f>
        <v>-0.25</v>
      </c>
      <c r="M3927" s="0" t="n">
        <f aca="false">H3927</f>
        <v>0.75</v>
      </c>
      <c r="N3927" s="0" t="n">
        <f aca="false">E3927*F3927</f>
        <v>-0.0625</v>
      </c>
      <c r="O3927" s="0" t="n">
        <f aca="false">E3927*G3927</f>
        <v>-0.0625</v>
      </c>
      <c r="P3927" s="0" t="n">
        <f aca="false">E3927*H3927</f>
        <v>0.1875</v>
      </c>
      <c r="Q3927" s="0" t="n">
        <f aca="false">F3927*G3927</f>
        <v>0.0625</v>
      </c>
      <c r="R3927" s="0" t="n">
        <f aca="false">F3927*H3927</f>
        <v>-0.1875</v>
      </c>
      <c r="S3927" s="0" t="n">
        <f aca="false">G3927*H3927</f>
        <v>-0.1875</v>
      </c>
      <c r="T3927" s="0" t="n">
        <f aca="false">E3927*E3927</f>
        <v>0.0625</v>
      </c>
      <c r="U3927" s="0" t="n">
        <f aca="false">F3927*F3927</f>
        <v>0.0625</v>
      </c>
      <c r="V3927" s="0" t="n">
        <f aca="false">G3927*G3927</f>
        <v>0.0625</v>
      </c>
      <c r="W3927" s="0" t="n">
        <f aca="false">H3927*H3927</f>
        <v>0.5625</v>
      </c>
      <c r="X3927" s="0" t="n">
        <f aca="false">SUMPRODUCT(I3927:W3927,_XtX!$B$96:$P$96)</f>
        <v>47.36263249269</v>
      </c>
      <c r="Y3927" s="0" t="n">
        <f aca="false">SUMPRODUCT(MMULT(I3927:W3927,_XtX!$B$78:$P$92),I3927:W3927)</f>
        <v>0.205926192434211</v>
      </c>
      <c r="Z3927" s="0" t="n">
        <f aca="false">04_回帰ANOVA!$K$19*04_回帰ANOVA!$K$14*SQRT(1+Y3927)</f>
        <v>1.43139256396246</v>
      </c>
      <c r="AA3927" s="0" t="n">
        <f aca="false">X3927-Z3927</f>
        <v>45.9312399287276</v>
      </c>
      <c r="AB3927" s="0" t="n">
        <f aca="false">X3927+Z3927</f>
        <v>48.7940250566525</v>
      </c>
      <c r="AC3927" s="54" t="b">
        <f aca="false">AND(E3927&gt;=01_因子設定!$L$5-0.000000001,E3927&lt;=01_因子設定!$M$5+0.000000001,F3927&gt;=01_因子設定!$L$6-0.000000001,F3927&lt;=01_因子設定!$M$6+0.000000001,G3927&gt;=01_因子設定!$L$7-0.000000001,G3927&lt;=01_因子設定!$M$7+0.000000001,H3927&gt;=01_因子設定!$L$8-0.000000001,H3927&lt;=01_因子設定!$M$8+0.000000001,IF(01_因子設定!$B$20="Box-Behnken",E3927^2+F3927^2+G3927^2+H3927^2&lt;=2+0.000000001,TRUE()))</f>
        <v>1</v>
      </c>
      <c r="AD3927" s="55" t="n">
        <f aca="false">IF(AC3927,IF(01_因子設定!$B$13="最大化",AA3927-01_因子設定!$B$14,IF(01_因子設定!$B$13="最小化",01_因子設定!$B$15-AB3927,MIN(AA3927-01_因子設定!$B$14,01_因子設定!$B$15-AB3927))),-1E+030)</f>
        <v>-0.568760071272443</v>
      </c>
      <c r="AE3927" s="55" t="n">
        <f aca="false">IF(AC3927,IF(01_因子設定!$B$13="最大化",X3927,IF(01_因子設定!$B$13="最小化",-X3927,-ABS(X3927-01_因子設定!$B$16))),-1E+030)</f>
        <v>47.36263249269</v>
      </c>
      <c r="AF3927" s="55" t="n">
        <f aca="false">AD3927+ROW()*0.000000001</f>
        <v>-0.568756144272443</v>
      </c>
      <c r="AG3927" s="55" t="n">
        <f aca="false">AE3927+ROW()*0.000000001</f>
        <v>47.36263641969</v>
      </c>
    </row>
    <row r="3928" customFormat="false" ht="15" hidden="false" customHeight="false" outlineLevel="0" collapsed="false">
      <c r="A3928" s="0" t="n">
        <v>5</v>
      </c>
      <c r="B3928" s="0" t="n">
        <v>3</v>
      </c>
      <c r="C3928" s="0" t="n">
        <v>3</v>
      </c>
      <c r="D3928" s="0" t="n">
        <v>8</v>
      </c>
      <c r="E3928" s="0" t="n">
        <f aca="false">-1+A3928*0.25</f>
        <v>0.25</v>
      </c>
      <c r="F3928" s="0" t="n">
        <f aca="false">-1+B3928*0.25</f>
        <v>-0.25</v>
      </c>
      <c r="G3928" s="0" t="n">
        <f aca="false">-1+C3928*0.25</f>
        <v>-0.25</v>
      </c>
      <c r="H3928" s="0" t="n">
        <f aca="false">-1+D3928*0.25</f>
        <v>1</v>
      </c>
      <c r="I3928" s="0" t="n">
        <f aca="false">1</f>
        <v>1</v>
      </c>
      <c r="J3928" s="0" t="n">
        <f aca="false">E3928</f>
        <v>0.25</v>
      </c>
      <c r="K3928" s="0" t="n">
        <f aca="false">F3928</f>
        <v>-0.25</v>
      </c>
      <c r="L3928" s="0" t="n">
        <f aca="false">G3928</f>
        <v>-0.25</v>
      </c>
      <c r="M3928" s="0" t="n">
        <f aca="false">H3928</f>
        <v>1</v>
      </c>
      <c r="N3928" s="0" t="n">
        <f aca="false">E3928*F3928</f>
        <v>-0.0625</v>
      </c>
      <c r="O3928" s="0" t="n">
        <f aca="false">E3928*G3928</f>
        <v>-0.0625</v>
      </c>
      <c r="P3928" s="0" t="n">
        <f aca="false">E3928*H3928</f>
        <v>0.25</v>
      </c>
      <c r="Q3928" s="0" t="n">
        <f aca="false">F3928*G3928</f>
        <v>0.0625</v>
      </c>
      <c r="R3928" s="0" t="n">
        <f aca="false">F3928*H3928</f>
        <v>-0.25</v>
      </c>
      <c r="S3928" s="0" t="n">
        <f aca="false">G3928*H3928</f>
        <v>-0.25</v>
      </c>
      <c r="T3928" s="0" t="n">
        <f aca="false">E3928*E3928</f>
        <v>0.0625</v>
      </c>
      <c r="U3928" s="0" t="n">
        <f aca="false">F3928*F3928</f>
        <v>0.0625</v>
      </c>
      <c r="V3928" s="0" t="n">
        <f aca="false">G3928*G3928</f>
        <v>0.0625</v>
      </c>
      <c r="W3928" s="0" t="n">
        <f aca="false">H3928*H3928</f>
        <v>1</v>
      </c>
      <c r="X3928" s="0" t="n">
        <f aca="false">SUMPRODUCT(I3928:W3928,_XtX!$B$96:$P$96)</f>
        <v>47.2998218201754</v>
      </c>
      <c r="Y3928" s="0" t="n">
        <f aca="false">SUMPRODUCT(MMULT(I3928:W3928,_XtX!$B$78:$P$92),I3928:W3928)</f>
        <v>0.457466705500731</v>
      </c>
      <c r="Z3928" s="0" t="n">
        <f aca="false">04_回帰ANOVA!$K$19*04_回帰ANOVA!$K$14*SQRT(1+Y3928)</f>
        <v>1.57361220003999</v>
      </c>
      <c r="AA3928" s="0" t="n">
        <f aca="false">X3928-Z3928</f>
        <v>45.7262096201354</v>
      </c>
      <c r="AB3928" s="0" t="n">
        <f aca="false">X3928+Z3928</f>
        <v>48.8734340202154</v>
      </c>
      <c r="AC3928" s="54" t="b">
        <f aca="false">AND(E3928&gt;=01_因子設定!$L$5-0.000000001,E3928&lt;=01_因子設定!$M$5+0.000000001,F3928&gt;=01_因子設定!$L$6-0.000000001,F3928&lt;=01_因子設定!$M$6+0.000000001,G3928&gt;=01_因子設定!$L$7-0.000000001,G3928&lt;=01_因子設定!$M$7+0.000000001,H3928&gt;=01_因子設定!$L$8-0.000000001,H3928&lt;=01_因子設定!$M$8+0.000000001,IF(01_因子設定!$B$20="Box-Behnken",E3928^2+F3928^2+G3928^2+H3928^2&lt;=2+0.000000001,TRUE()))</f>
        <v>1</v>
      </c>
      <c r="AD3928" s="55" t="n">
        <f aca="false">IF(AC3928,IF(01_因子設定!$B$13="最大化",AA3928-01_因子設定!$B$14,IF(01_因子設定!$B$13="最小化",01_因子設定!$B$15-AB3928,MIN(AA3928-01_因子設定!$B$14,01_因子設定!$B$15-AB3928))),-1E+030)</f>
        <v>-0.773790379864579</v>
      </c>
      <c r="AE3928" s="55" t="n">
        <f aca="false">IF(AC3928,IF(01_因子設定!$B$13="最大化",X3928,IF(01_因子設定!$B$13="最小化",-X3928,-ABS(X3928-01_因子設定!$B$16))),-1E+030)</f>
        <v>47.2998218201754</v>
      </c>
      <c r="AF3928" s="55" t="n">
        <f aca="false">AD3928+ROW()*0.000000001</f>
        <v>-0.773786451864579</v>
      </c>
      <c r="AG3928" s="55" t="n">
        <f aca="false">AE3928+ROW()*0.000000001</f>
        <v>47.2998257481754</v>
      </c>
    </row>
    <row r="3929" customFormat="false" ht="15" hidden="false" customHeight="false" outlineLevel="0" collapsed="false">
      <c r="A3929" s="0" t="n">
        <v>5</v>
      </c>
      <c r="B3929" s="0" t="n">
        <v>3</v>
      </c>
      <c r="C3929" s="0" t="n">
        <v>4</v>
      </c>
      <c r="D3929" s="0" t="n">
        <v>0</v>
      </c>
      <c r="E3929" s="0" t="n">
        <f aca="false">-1+A3929*0.25</f>
        <v>0.25</v>
      </c>
      <c r="F3929" s="0" t="n">
        <f aca="false">-1+B3929*0.25</f>
        <v>-0.25</v>
      </c>
      <c r="G3929" s="0" t="n">
        <f aca="false">-1+C3929*0.25</f>
        <v>0</v>
      </c>
      <c r="H3929" s="0" t="n">
        <f aca="false">-1+D3929*0.25</f>
        <v>-1</v>
      </c>
      <c r="I3929" s="0" t="n">
        <f aca="false">1</f>
        <v>1</v>
      </c>
      <c r="J3929" s="0" t="n">
        <f aca="false">E3929</f>
        <v>0.25</v>
      </c>
      <c r="K3929" s="0" t="n">
        <f aca="false">F3929</f>
        <v>-0.25</v>
      </c>
      <c r="L3929" s="0" t="n">
        <f aca="false">G3929</f>
        <v>0</v>
      </c>
      <c r="M3929" s="0" t="n">
        <f aca="false">H3929</f>
        <v>-1</v>
      </c>
      <c r="N3929" s="0" t="n">
        <f aca="false">E3929*F3929</f>
        <v>-0.0625</v>
      </c>
      <c r="O3929" s="0" t="n">
        <f aca="false">E3929*G3929</f>
        <v>0</v>
      </c>
      <c r="P3929" s="0" t="n">
        <f aca="false">E3929*H3929</f>
        <v>-0.25</v>
      </c>
      <c r="Q3929" s="0" t="n">
        <f aca="false">F3929*G3929</f>
        <v>-0</v>
      </c>
      <c r="R3929" s="0" t="n">
        <f aca="false">F3929*H3929</f>
        <v>0.25</v>
      </c>
      <c r="S3929" s="0" t="n">
        <f aca="false">G3929*H3929</f>
        <v>-0</v>
      </c>
      <c r="T3929" s="0" t="n">
        <f aca="false">E3929*E3929</f>
        <v>0.0625</v>
      </c>
      <c r="U3929" s="0" t="n">
        <f aca="false">F3929*F3929</f>
        <v>0.0625</v>
      </c>
      <c r="V3929" s="0" t="n">
        <f aca="false">G3929*G3929</f>
        <v>0</v>
      </c>
      <c r="W3929" s="0" t="n">
        <f aca="false">H3929*H3929</f>
        <v>1</v>
      </c>
      <c r="X3929" s="0" t="n">
        <f aca="false">SUMPRODUCT(I3929:W3929,_XtX!$B$96:$P$96)</f>
        <v>46.6201663011696</v>
      </c>
      <c r="Y3929" s="0" t="n">
        <f aca="false">SUMPRODUCT(MMULT(I3929:W3929,_XtX!$B$78:$P$92),I3929:W3929)</f>
        <v>0.467417934484649</v>
      </c>
      <c r="Z3929" s="0" t="n">
        <f aca="false">04_回帰ANOVA!$K$19*04_回帰ANOVA!$K$14*SQRT(1+Y3929)</f>
        <v>1.57897518244497</v>
      </c>
      <c r="AA3929" s="0" t="n">
        <f aca="false">X3929-Z3929</f>
        <v>45.0411911187246</v>
      </c>
      <c r="AB3929" s="0" t="n">
        <f aca="false">X3929+Z3929</f>
        <v>48.1991414836145</v>
      </c>
      <c r="AC3929" s="54" t="b">
        <f aca="false">AND(E3929&gt;=01_因子設定!$L$5-0.000000001,E3929&lt;=01_因子設定!$M$5+0.000000001,F3929&gt;=01_因子設定!$L$6-0.000000001,F3929&lt;=01_因子設定!$M$6+0.000000001,G3929&gt;=01_因子設定!$L$7-0.000000001,G3929&lt;=01_因子設定!$M$7+0.000000001,H3929&gt;=01_因子設定!$L$8-0.000000001,H3929&lt;=01_因子設定!$M$8+0.000000001,IF(01_因子設定!$B$20="Box-Behnken",E3929^2+F3929^2+G3929^2+H3929^2&lt;=2+0.000000001,TRUE()))</f>
        <v>1</v>
      </c>
      <c r="AD3929" s="55" t="n">
        <f aca="false">IF(AC3929,IF(01_因子設定!$B$13="最大化",AA3929-01_因子設定!$B$14,IF(01_因子設定!$B$13="最小化",01_因子設定!$B$15-AB3929,MIN(AA3929-01_因子設定!$B$14,01_因子設定!$B$15-AB3929))),-1E+030)</f>
        <v>-1.4588088812754</v>
      </c>
      <c r="AE3929" s="55" t="n">
        <f aca="false">IF(AC3929,IF(01_因子設定!$B$13="最大化",X3929,IF(01_因子設定!$B$13="最小化",-X3929,-ABS(X3929-01_因子設定!$B$16))),-1E+030)</f>
        <v>46.6201663011696</v>
      </c>
      <c r="AF3929" s="55" t="n">
        <f aca="false">AD3929+ROW()*0.000000001</f>
        <v>-1.4588049522754</v>
      </c>
      <c r="AG3929" s="55" t="n">
        <f aca="false">AE3929+ROW()*0.000000001</f>
        <v>46.6201702301696</v>
      </c>
    </row>
    <row r="3930" customFormat="false" ht="15" hidden="false" customHeight="false" outlineLevel="0" collapsed="false">
      <c r="A3930" s="0" t="n">
        <v>5</v>
      </c>
      <c r="B3930" s="0" t="n">
        <v>3</v>
      </c>
      <c r="C3930" s="0" t="n">
        <v>4</v>
      </c>
      <c r="D3930" s="0" t="n">
        <v>1</v>
      </c>
      <c r="E3930" s="0" t="n">
        <f aca="false">-1+A3930*0.25</f>
        <v>0.25</v>
      </c>
      <c r="F3930" s="0" t="n">
        <f aca="false">-1+B3930*0.25</f>
        <v>-0.25</v>
      </c>
      <c r="G3930" s="0" t="n">
        <f aca="false">-1+C3930*0.25</f>
        <v>0</v>
      </c>
      <c r="H3930" s="0" t="n">
        <f aca="false">-1+D3930*0.25</f>
        <v>-0.75</v>
      </c>
      <c r="I3930" s="0" t="n">
        <f aca="false">1</f>
        <v>1</v>
      </c>
      <c r="J3930" s="0" t="n">
        <f aca="false">E3930</f>
        <v>0.25</v>
      </c>
      <c r="K3930" s="0" t="n">
        <f aca="false">F3930</f>
        <v>-0.25</v>
      </c>
      <c r="L3930" s="0" t="n">
        <f aca="false">G3930</f>
        <v>0</v>
      </c>
      <c r="M3930" s="0" t="n">
        <f aca="false">H3930</f>
        <v>-0.75</v>
      </c>
      <c r="N3930" s="0" t="n">
        <f aca="false">E3930*F3930</f>
        <v>-0.0625</v>
      </c>
      <c r="O3930" s="0" t="n">
        <f aca="false">E3930*G3930</f>
        <v>0</v>
      </c>
      <c r="P3930" s="0" t="n">
        <f aca="false">E3930*H3930</f>
        <v>-0.1875</v>
      </c>
      <c r="Q3930" s="0" t="n">
        <f aca="false">F3930*G3930</f>
        <v>-0</v>
      </c>
      <c r="R3930" s="0" t="n">
        <f aca="false">F3930*H3930</f>
        <v>0.1875</v>
      </c>
      <c r="S3930" s="0" t="n">
        <f aca="false">G3930*H3930</f>
        <v>-0</v>
      </c>
      <c r="T3930" s="0" t="n">
        <f aca="false">E3930*E3930</f>
        <v>0.0625</v>
      </c>
      <c r="U3930" s="0" t="n">
        <f aca="false">F3930*F3930</f>
        <v>0.0625</v>
      </c>
      <c r="V3930" s="0" t="n">
        <f aca="false">G3930*G3930</f>
        <v>0</v>
      </c>
      <c r="W3930" s="0" t="n">
        <f aca="false">H3930*H3930</f>
        <v>0.5625</v>
      </c>
      <c r="X3930" s="0" t="n">
        <f aca="false">SUMPRODUCT(I3930:W3930,_XtX!$B$96:$P$96)</f>
        <v>46.909973501462</v>
      </c>
      <c r="Y3930" s="0" t="n">
        <f aca="false">SUMPRODUCT(MMULT(I3930:W3930,_XtX!$B$78:$P$92),I3930:W3930)</f>
        <v>0.21135011193348</v>
      </c>
      <c r="Z3930" s="0" t="n">
        <f aca="false">04_回帰ANOVA!$K$19*04_回帰ANOVA!$K$14*SQRT(1+Y3930)</f>
        <v>1.43460795469709</v>
      </c>
      <c r="AA3930" s="0" t="n">
        <f aca="false">X3930-Z3930</f>
        <v>45.4753655467649</v>
      </c>
      <c r="AB3930" s="0" t="n">
        <f aca="false">X3930+Z3930</f>
        <v>48.344581456159</v>
      </c>
      <c r="AC3930" s="54" t="b">
        <f aca="false">AND(E3930&gt;=01_因子設定!$L$5-0.000000001,E3930&lt;=01_因子設定!$M$5+0.000000001,F3930&gt;=01_因子設定!$L$6-0.000000001,F3930&lt;=01_因子設定!$M$6+0.000000001,G3930&gt;=01_因子設定!$L$7-0.000000001,G3930&lt;=01_因子設定!$M$7+0.000000001,H3930&gt;=01_因子設定!$L$8-0.000000001,H3930&lt;=01_因子設定!$M$8+0.000000001,IF(01_因子設定!$B$20="Box-Behnken",E3930^2+F3930^2+G3930^2+H3930^2&lt;=2+0.000000001,TRUE()))</f>
        <v>1</v>
      </c>
      <c r="AD3930" s="55" t="n">
        <f aca="false">IF(AC3930,IF(01_因子設定!$B$13="最大化",AA3930-01_因子設定!$B$14,IF(01_因子設定!$B$13="最小化",01_因子設定!$B$15-AB3930,MIN(AA3930-01_因子設定!$B$14,01_因子設定!$B$15-AB3930))),-1E+030)</f>
        <v>-1.02463445323514</v>
      </c>
      <c r="AE3930" s="55" t="n">
        <f aca="false">IF(AC3930,IF(01_因子設定!$B$13="最大化",X3930,IF(01_因子設定!$B$13="最小化",-X3930,-ABS(X3930-01_因子設定!$B$16))),-1E+030)</f>
        <v>46.909973501462</v>
      </c>
      <c r="AF3930" s="55" t="n">
        <f aca="false">AD3930+ROW()*0.000000001</f>
        <v>-1.02463052323514</v>
      </c>
      <c r="AG3930" s="55" t="n">
        <f aca="false">AE3930+ROW()*0.000000001</f>
        <v>46.909977431462</v>
      </c>
    </row>
    <row r="3931" customFormat="false" ht="15" hidden="false" customHeight="false" outlineLevel="0" collapsed="false">
      <c r="A3931" s="0" t="n">
        <v>5</v>
      </c>
      <c r="B3931" s="0" t="n">
        <v>3</v>
      </c>
      <c r="C3931" s="0" t="n">
        <v>4</v>
      </c>
      <c r="D3931" s="0" t="n">
        <v>2</v>
      </c>
      <c r="E3931" s="0" t="n">
        <f aca="false">-1+A3931*0.25</f>
        <v>0.25</v>
      </c>
      <c r="F3931" s="0" t="n">
        <f aca="false">-1+B3931*0.25</f>
        <v>-0.25</v>
      </c>
      <c r="G3931" s="0" t="n">
        <f aca="false">-1+C3931*0.25</f>
        <v>0</v>
      </c>
      <c r="H3931" s="0" t="n">
        <f aca="false">-1+D3931*0.25</f>
        <v>-0.5</v>
      </c>
      <c r="I3931" s="0" t="n">
        <f aca="false">1</f>
        <v>1</v>
      </c>
      <c r="J3931" s="0" t="n">
        <f aca="false">E3931</f>
        <v>0.25</v>
      </c>
      <c r="K3931" s="0" t="n">
        <f aca="false">F3931</f>
        <v>-0.25</v>
      </c>
      <c r="L3931" s="0" t="n">
        <f aca="false">G3931</f>
        <v>0</v>
      </c>
      <c r="M3931" s="0" t="n">
        <f aca="false">H3931</f>
        <v>-0.5</v>
      </c>
      <c r="N3931" s="0" t="n">
        <f aca="false">E3931*F3931</f>
        <v>-0.0625</v>
      </c>
      <c r="O3931" s="0" t="n">
        <f aca="false">E3931*G3931</f>
        <v>0</v>
      </c>
      <c r="P3931" s="0" t="n">
        <f aca="false">E3931*H3931</f>
        <v>-0.125</v>
      </c>
      <c r="Q3931" s="0" t="n">
        <f aca="false">F3931*G3931</f>
        <v>-0</v>
      </c>
      <c r="R3931" s="0" t="n">
        <f aca="false">F3931*H3931</f>
        <v>0.125</v>
      </c>
      <c r="S3931" s="0" t="n">
        <f aca="false">G3931*H3931</f>
        <v>-0</v>
      </c>
      <c r="T3931" s="0" t="n">
        <f aca="false">E3931*E3931</f>
        <v>0.0625</v>
      </c>
      <c r="U3931" s="0" t="n">
        <f aca="false">F3931*F3931</f>
        <v>0.0625</v>
      </c>
      <c r="V3931" s="0" t="n">
        <f aca="false">G3931*G3931</f>
        <v>0</v>
      </c>
      <c r="W3931" s="0" t="n">
        <f aca="false">H3931*H3931</f>
        <v>0.25</v>
      </c>
      <c r="X3931" s="0" t="n">
        <f aca="false">SUMPRODUCT(I3931:W3931,_XtX!$B$96:$P$96)</f>
        <v>47.1519736842105</v>
      </c>
      <c r="Y3931" s="0" t="n">
        <f aca="false">SUMPRODUCT(MMULT(I3931:W3931,_XtX!$B$78:$P$92),I3931:W3931)</f>
        <v>0.118905050712719</v>
      </c>
      <c r="Z3931" s="0" t="n">
        <f aca="false">04_回帰ANOVA!$K$19*04_回帰ANOVA!$K$14*SQRT(1+Y3931)</f>
        <v>1.37878011033769</v>
      </c>
      <c r="AA3931" s="0" t="n">
        <f aca="false">X3931-Z3931</f>
        <v>45.7731935738728</v>
      </c>
      <c r="AB3931" s="0" t="n">
        <f aca="false">X3931+Z3931</f>
        <v>48.5307537945482</v>
      </c>
      <c r="AC3931" s="54" t="b">
        <f aca="false">AND(E3931&gt;=01_因子設定!$L$5-0.000000001,E3931&lt;=01_因子設定!$M$5+0.000000001,F3931&gt;=01_因子設定!$L$6-0.000000001,F3931&lt;=01_因子設定!$M$6+0.000000001,G3931&gt;=01_因子設定!$L$7-0.000000001,G3931&lt;=01_因子設定!$M$7+0.000000001,H3931&gt;=01_因子設定!$L$8-0.000000001,H3931&lt;=01_因子設定!$M$8+0.000000001,IF(01_因子設定!$B$20="Box-Behnken",E3931^2+F3931^2+G3931^2+H3931^2&lt;=2+0.000000001,TRUE()))</f>
        <v>1</v>
      </c>
      <c r="AD3931" s="55" t="n">
        <f aca="false">IF(AC3931,IF(01_因子設定!$B$13="最大化",AA3931-01_因子設定!$B$14,IF(01_因子設定!$B$13="最小化",01_因子設定!$B$15-AB3931,MIN(AA3931-01_因子設定!$B$14,01_因子設定!$B$15-AB3931))),-1E+030)</f>
        <v>-0.726806426127212</v>
      </c>
      <c r="AE3931" s="55" t="n">
        <f aca="false">IF(AC3931,IF(01_因子設定!$B$13="最大化",X3931,IF(01_因子設定!$B$13="最小化",-X3931,-ABS(X3931-01_因子設定!$B$16))),-1E+030)</f>
        <v>47.1519736842105</v>
      </c>
      <c r="AF3931" s="55" t="n">
        <f aca="false">AD3931+ROW()*0.000000001</f>
        <v>-0.726802495127212</v>
      </c>
      <c r="AG3931" s="55" t="n">
        <f aca="false">AE3931+ROW()*0.000000001</f>
        <v>47.1519776152105</v>
      </c>
    </row>
    <row r="3932" customFormat="false" ht="15" hidden="false" customHeight="false" outlineLevel="0" collapsed="false">
      <c r="A3932" s="0" t="n">
        <v>5</v>
      </c>
      <c r="B3932" s="0" t="n">
        <v>3</v>
      </c>
      <c r="C3932" s="0" t="n">
        <v>4</v>
      </c>
      <c r="D3932" s="0" t="n">
        <v>3</v>
      </c>
      <c r="E3932" s="0" t="n">
        <f aca="false">-1+A3932*0.25</f>
        <v>0.25</v>
      </c>
      <c r="F3932" s="0" t="n">
        <f aca="false">-1+B3932*0.25</f>
        <v>-0.25</v>
      </c>
      <c r="G3932" s="0" t="n">
        <f aca="false">-1+C3932*0.25</f>
        <v>0</v>
      </c>
      <c r="H3932" s="0" t="n">
        <f aca="false">-1+D3932*0.25</f>
        <v>-0.25</v>
      </c>
      <c r="I3932" s="0" t="n">
        <f aca="false">1</f>
        <v>1</v>
      </c>
      <c r="J3932" s="0" t="n">
        <f aca="false">E3932</f>
        <v>0.25</v>
      </c>
      <c r="K3932" s="0" t="n">
        <f aca="false">F3932</f>
        <v>-0.25</v>
      </c>
      <c r="L3932" s="0" t="n">
        <f aca="false">G3932</f>
        <v>0</v>
      </c>
      <c r="M3932" s="0" t="n">
        <f aca="false">H3932</f>
        <v>-0.25</v>
      </c>
      <c r="N3932" s="0" t="n">
        <f aca="false">E3932*F3932</f>
        <v>-0.0625</v>
      </c>
      <c r="O3932" s="0" t="n">
        <f aca="false">E3932*G3932</f>
        <v>0</v>
      </c>
      <c r="P3932" s="0" t="n">
        <f aca="false">E3932*H3932</f>
        <v>-0.0625</v>
      </c>
      <c r="Q3932" s="0" t="n">
        <f aca="false">F3932*G3932</f>
        <v>-0</v>
      </c>
      <c r="R3932" s="0" t="n">
        <f aca="false">F3932*H3932</f>
        <v>0.0625</v>
      </c>
      <c r="S3932" s="0" t="n">
        <f aca="false">G3932*H3932</f>
        <v>-0</v>
      </c>
      <c r="T3932" s="0" t="n">
        <f aca="false">E3932*E3932</f>
        <v>0.0625</v>
      </c>
      <c r="U3932" s="0" t="n">
        <f aca="false">F3932*F3932</f>
        <v>0.0625</v>
      </c>
      <c r="V3932" s="0" t="n">
        <f aca="false">G3932*G3932</f>
        <v>0</v>
      </c>
      <c r="W3932" s="0" t="n">
        <f aca="false">H3932*H3932</f>
        <v>0.0625</v>
      </c>
      <c r="X3932" s="0" t="n">
        <f aca="false">SUMPRODUCT(I3932:W3932,_XtX!$B$96:$P$96)</f>
        <v>47.3461668494152</v>
      </c>
      <c r="Y3932" s="0" t="n">
        <f aca="false">SUMPRODUCT(MMULT(I3932:W3932,_XtX!$B$78:$P$92),I3932:W3932)</f>
        <v>0.099622224506579</v>
      </c>
      <c r="Z3932" s="0" t="n">
        <f aca="false">04_回帰ANOVA!$K$19*04_回帰ANOVA!$K$14*SQRT(1+Y3932)</f>
        <v>1.3668477654658</v>
      </c>
      <c r="AA3932" s="0" t="n">
        <f aca="false">X3932-Z3932</f>
        <v>45.9793190839494</v>
      </c>
      <c r="AB3932" s="0" t="n">
        <f aca="false">X3932+Z3932</f>
        <v>48.713014614881</v>
      </c>
      <c r="AC3932" s="54" t="b">
        <f aca="false">AND(E3932&gt;=01_因子設定!$L$5-0.000000001,E3932&lt;=01_因子設定!$M$5+0.000000001,F3932&gt;=01_因子設定!$L$6-0.000000001,F3932&lt;=01_因子設定!$M$6+0.000000001,G3932&gt;=01_因子設定!$L$7-0.000000001,G3932&lt;=01_因子設定!$M$7+0.000000001,H3932&gt;=01_因子設定!$L$8-0.000000001,H3932&lt;=01_因子設定!$M$8+0.000000001,IF(01_因子設定!$B$20="Box-Behnken",E3932^2+F3932^2+G3932^2+H3932^2&lt;=2+0.000000001,TRUE()))</f>
        <v>1</v>
      </c>
      <c r="AD3932" s="55" t="n">
        <f aca="false">IF(AC3932,IF(01_因子設定!$B$13="最大化",AA3932-01_因子設定!$B$14,IF(01_因子設定!$B$13="最小化",01_因子設定!$B$15-AB3932,MIN(AA3932-01_因子設定!$B$14,01_因子設定!$B$15-AB3932))),-1E+030)</f>
        <v>-0.520680916050651</v>
      </c>
      <c r="AE3932" s="55" t="n">
        <f aca="false">IF(AC3932,IF(01_因子設定!$B$13="最大化",X3932,IF(01_因子設定!$B$13="最小化",-X3932,-ABS(X3932-01_因子設定!$B$16))),-1E+030)</f>
        <v>47.3461668494152</v>
      </c>
      <c r="AF3932" s="55" t="n">
        <f aca="false">AD3932+ROW()*0.000000001</f>
        <v>-0.520676984050651</v>
      </c>
      <c r="AG3932" s="55" t="n">
        <f aca="false">AE3932+ROW()*0.000000001</f>
        <v>47.3461707814152</v>
      </c>
    </row>
    <row r="3933" customFormat="false" ht="15" hidden="false" customHeight="false" outlineLevel="0" collapsed="false">
      <c r="A3933" s="0" t="n">
        <v>5</v>
      </c>
      <c r="B3933" s="0" t="n">
        <v>3</v>
      </c>
      <c r="C3933" s="0" t="n">
        <v>4</v>
      </c>
      <c r="D3933" s="0" t="n">
        <v>4</v>
      </c>
      <c r="E3933" s="0" t="n">
        <f aca="false">-1+A3933*0.25</f>
        <v>0.25</v>
      </c>
      <c r="F3933" s="0" t="n">
        <f aca="false">-1+B3933*0.25</f>
        <v>-0.25</v>
      </c>
      <c r="G3933" s="0" t="n">
        <f aca="false">-1+C3933*0.25</f>
        <v>0</v>
      </c>
      <c r="H3933" s="0" t="n">
        <f aca="false">-1+D3933*0.25</f>
        <v>0</v>
      </c>
      <c r="I3933" s="0" t="n">
        <f aca="false">1</f>
        <v>1</v>
      </c>
      <c r="J3933" s="0" t="n">
        <f aca="false">E3933</f>
        <v>0.25</v>
      </c>
      <c r="K3933" s="0" t="n">
        <f aca="false">F3933</f>
        <v>-0.25</v>
      </c>
      <c r="L3933" s="0" t="n">
        <f aca="false">G3933</f>
        <v>0</v>
      </c>
      <c r="M3933" s="0" t="n">
        <f aca="false">H3933</f>
        <v>0</v>
      </c>
      <c r="N3933" s="0" t="n">
        <f aca="false">E3933*F3933</f>
        <v>-0.0625</v>
      </c>
      <c r="O3933" s="0" t="n">
        <f aca="false">E3933*G3933</f>
        <v>0</v>
      </c>
      <c r="P3933" s="0" t="n">
        <f aca="false">E3933*H3933</f>
        <v>0</v>
      </c>
      <c r="Q3933" s="0" t="n">
        <f aca="false">F3933*G3933</f>
        <v>-0</v>
      </c>
      <c r="R3933" s="0" t="n">
        <f aca="false">F3933*H3933</f>
        <v>-0</v>
      </c>
      <c r="S3933" s="0" t="n">
        <f aca="false">G3933*H3933</f>
        <v>0</v>
      </c>
      <c r="T3933" s="0" t="n">
        <f aca="false">E3933*E3933</f>
        <v>0.0625</v>
      </c>
      <c r="U3933" s="0" t="n">
        <f aca="false">F3933*F3933</f>
        <v>0.0625</v>
      </c>
      <c r="V3933" s="0" t="n">
        <f aca="false">G3933*G3933</f>
        <v>0</v>
      </c>
      <c r="W3933" s="0" t="n">
        <f aca="false">H3933*H3933</f>
        <v>0</v>
      </c>
      <c r="X3933" s="0" t="n">
        <f aca="false">SUMPRODUCT(I3933:W3933,_XtX!$B$96:$P$96)</f>
        <v>47.492552997076</v>
      </c>
      <c r="Y3933" s="0" t="n">
        <f aca="false">SUMPRODUCT(MMULT(I3933:W3933,_XtX!$B$78:$P$92),I3933:W3933)</f>
        <v>0.0992253175255848</v>
      </c>
      <c r="Z3933" s="0" t="n">
        <f aca="false">04_回帰ANOVA!$K$19*04_回帰ANOVA!$K$14*SQRT(1+Y3933)</f>
        <v>1.36660106238383</v>
      </c>
      <c r="AA3933" s="0" t="n">
        <f aca="false">X3933-Z3933</f>
        <v>46.1259519346921</v>
      </c>
      <c r="AB3933" s="0" t="n">
        <f aca="false">X3933+Z3933</f>
        <v>48.8591540594598</v>
      </c>
      <c r="AC3933" s="54" t="b">
        <f aca="false">AND(E3933&gt;=01_因子設定!$L$5-0.000000001,E3933&lt;=01_因子設定!$M$5+0.000000001,F3933&gt;=01_因子設定!$L$6-0.000000001,F3933&lt;=01_因子設定!$M$6+0.000000001,G3933&gt;=01_因子設定!$L$7-0.000000001,G3933&lt;=01_因子設定!$M$7+0.000000001,H3933&gt;=01_因子設定!$L$8-0.000000001,H3933&lt;=01_因子設定!$M$8+0.000000001,IF(01_因子設定!$B$20="Box-Behnken",E3933^2+F3933^2+G3933^2+H3933^2&lt;=2+0.000000001,TRUE()))</f>
        <v>1</v>
      </c>
      <c r="AD3933" s="55" t="n">
        <f aca="false">IF(AC3933,IF(01_因子設定!$B$13="最大化",AA3933-01_因子設定!$B$14,IF(01_因子設定!$B$13="最小化",01_因子設定!$B$15-AB3933,MIN(AA3933-01_因子設定!$B$14,01_因子設定!$B$15-AB3933))),-1E+030)</f>
        <v>-0.374048065307868</v>
      </c>
      <c r="AE3933" s="55" t="n">
        <f aca="false">IF(AC3933,IF(01_因子設定!$B$13="最大化",X3933,IF(01_因子設定!$B$13="最小化",-X3933,-ABS(X3933-01_因子設定!$B$16))),-1E+030)</f>
        <v>47.492552997076</v>
      </c>
      <c r="AF3933" s="55" t="n">
        <f aca="false">AD3933+ROW()*0.000000001</f>
        <v>-0.374044132307868</v>
      </c>
      <c r="AG3933" s="55" t="n">
        <f aca="false">AE3933+ROW()*0.000000001</f>
        <v>47.492556930076</v>
      </c>
    </row>
    <row r="3934" customFormat="false" ht="15" hidden="false" customHeight="false" outlineLevel="0" collapsed="false">
      <c r="A3934" s="0" t="n">
        <v>5</v>
      </c>
      <c r="B3934" s="0" t="n">
        <v>3</v>
      </c>
      <c r="C3934" s="0" t="n">
        <v>4</v>
      </c>
      <c r="D3934" s="0" t="n">
        <v>5</v>
      </c>
      <c r="E3934" s="0" t="n">
        <f aca="false">-1+A3934*0.25</f>
        <v>0.25</v>
      </c>
      <c r="F3934" s="0" t="n">
        <f aca="false">-1+B3934*0.25</f>
        <v>-0.25</v>
      </c>
      <c r="G3934" s="0" t="n">
        <f aca="false">-1+C3934*0.25</f>
        <v>0</v>
      </c>
      <c r="H3934" s="0" t="n">
        <f aca="false">-1+D3934*0.25</f>
        <v>0.25</v>
      </c>
      <c r="I3934" s="0" t="n">
        <f aca="false">1</f>
        <v>1</v>
      </c>
      <c r="J3934" s="0" t="n">
        <f aca="false">E3934</f>
        <v>0.25</v>
      </c>
      <c r="K3934" s="0" t="n">
        <f aca="false">F3934</f>
        <v>-0.25</v>
      </c>
      <c r="L3934" s="0" t="n">
        <f aca="false">G3934</f>
        <v>0</v>
      </c>
      <c r="M3934" s="0" t="n">
        <f aca="false">H3934</f>
        <v>0.25</v>
      </c>
      <c r="N3934" s="0" t="n">
        <f aca="false">E3934*F3934</f>
        <v>-0.0625</v>
      </c>
      <c r="O3934" s="0" t="n">
        <f aca="false">E3934*G3934</f>
        <v>0</v>
      </c>
      <c r="P3934" s="0" t="n">
        <f aca="false">E3934*H3934</f>
        <v>0.0625</v>
      </c>
      <c r="Q3934" s="0" t="n">
        <f aca="false">F3934*G3934</f>
        <v>-0</v>
      </c>
      <c r="R3934" s="0" t="n">
        <f aca="false">F3934*H3934</f>
        <v>-0.0625</v>
      </c>
      <c r="S3934" s="0" t="n">
        <f aca="false">G3934*H3934</f>
        <v>0</v>
      </c>
      <c r="T3934" s="0" t="n">
        <f aca="false">E3934*E3934</f>
        <v>0.0625</v>
      </c>
      <c r="U3934" s="0" t="n">
        <f aca="false">F3934*F3934</f>
        <v>0.0625</v>
      </c>
      <c r="V3934" s="0" t="n">
        <f aca="false">G3934*G3934</f>
        <v>0</v>
      </c>
      <c r="W3934" s="0" t="n">
        <f aca="false">H3934*H3934</f>
        <v>0.0625</v>
      </c>
      <c r="X3934" s="0" t="n">
        <f aca="false">SUMPRODUCT(I3934:W3934,_XtX!$B$96:$P$96)</f>
        <v>47.5911321271929</v>
      </c>
      <c r="Y3934" s="0" t="n">
        <f aca="false">SUMPRODUCT(MMULT(I3934:W3934,_XtX!$B$78:$P$92),I3934:W3934)</f>
        <v>0.099622224506579</v>
      </c>
      <c r="Z3934" s="0" t="n">
        <f aca="false">04_回帰ANOVA!$K$19*04_回帰ANOVA!$K$14*SQRT(1+Y3934)</f>
        <v>1.3668477654658</v>
      </c>
      <c r="AA3934" s="0" t="n">
        <f aca="false">X3934-Z3934</f>
        <v>46.2242843617271</v>
      </c>
      <c r="AB3934" s="0" t="n">
        <f aca="false">X3934+Z3934</f>
        <v>48.9579798926587</v>
      </c>
      <c r="AC3934" s="54" t="b">
        <f aca="false">AND(E3934&gt;=01_因子設定!$L$5-0.000000001,E3934&lt;=01_因子設定!$M$5+0.000000001,F3934&gt;=01_因子設定!$L$6-0.000000001,F3934&lt;=01_因子設定!$M$6+0.000000001,G3934&gt;=01_因子設定!$L$7-0.000000001,G3934&lt;=01_因子設定!$M$7+0.000000001,H3934&gt;=01_因子設定!$L$8-0.000000001,H3934&lt;=01_因子設定!$M$8+0.000000001,IF(01_因子設定!$B$20="Box-Behnken",E3934^2+F3934^2+G3934^2+H3934^2&lt;=2+0.000000001,TRUE()))</f>
        <v>1</v>
      </c>
      <c r="AD3934" s="55" t="n">
        <f aca="false">IF(AC3934,IF(01_因子設定!$B$13="最大化",AA3934-01_因子設定!$B$14,IF(01_因子設定!$B$13="最小化",01_因子設定!$B$15-AB3934,MIN(AA3934-01_因子設定!$B$14,01_因子設定!$B$15-AB3934))),-1E+030)</f>
        <v>-0.275715638272878</v>
      </c>
      <c r="AE3934" s="55" t="n">
        <f aca="false">IF(AC3934,IF(01_因子設定!$B$13="最大化",X3934,IF(01_因子設定!$B$13="最小化",-X3934,-ABS(X3934-01_因子設定!$B$16))),-1E+030)</f>
        <v>47.5911321271929</v>
      </c>
      <c r="AF3934" s="55" t="n">
        <f aca="false">AD3934+ROW()*0.000000001</f>
        <v>-0.275711704272878</v>
      </c>
      <c r="AG3934" s="55" t="n">
        <f aca="false">AE3934+ROW()*0.000000001</f>
        <v>47.5911360611929</v>
      </c>
    </row>
    <row r="3935" customFormat="false" ht="15" hidden="false" customHeight="false" outlineLevel="0" collapsed="false">
      <c r="A3935" s="0" t="n">
        <v>5</v>
      </c>
      <c r="B3935" s="0" t="n">
        <v>3</v>
      </c>
      <c r="C3935" s="0" t="n">
        <v>4</v>
      </c>
      <c r="D3935" s="0" t="n">
        <v>6</v>
      </c>
      <c r="E3935" s="0" t="n">
        <f aca="false">-1+A3935*0.25</f>
        <v>0.25</v>
      </c>
      <c r="F3935" s="0" t="n">
        <f aca="false">-1+B3935*0.25</f>
        <v>-0.25</v>
      </c>
      <c r="G3935" s="0" t="n">
        <f aca="false">-1+C3935*0.25</f>
        <v>0</v>
      </c>
      <c r="H3935" s="0" t="n">
        <f aca="false">-1+D3935*0.25</f>
        <v>0.5</v>
      </c>
      <c r="I3935" s="0" t="n">
        <f aca="false">1</f>
        <v>1</v>
      </c>
      <c r="J3935" s="0" t="n">
        <f aca="false">E3935</f>
        <v>0.25</v>
      </c>
      <c r="K3935" s="0" t="n">
        <f aca="false">F3935</f>
        <v>-0.25</v>
      </c>
      <c r="L3935" s="0" t="n">
        <f aca="false">G3935</f>
        <v>0</v>
      </c>
      <c r="M3935" s="0" t="n">
        <f aca="false">H3935</f>
        <v>0.5</v>
      </c>
      <c r="N3935" s="0" t="n">
        <f aca="false">E3935*F3935</f>
        <v>-0.0625</v>
      </c>
      <c r="O3935" s="0" t="n">
        <f aca="false">E3935*G3935</f>
        <v>0</v>
      </c>
      <c r="P3935" s="0" t="n">
        <f aca="false">E3935*H3935</f>
        <v>0.125</v>
      </c>
      <c r="Q3935" s="0" t="n">
        <f aca="false">F3935*G3935</f>
        <v>-0</v>
      </c>
      <c r="R3935" s="0" t="n">
        <f aca="false">F3935*H3935</f>
        <v>-0.125</v>
      </c>
      <c r="S3935" s="0" t="n">
        <f aca="false">G3935*H3935</f>
        <v>0</v>
      </c>
      <c r="T3935" s="0" t="n">
        <f aca="false">E3935*E3935</f>
        <v>0.0625</v>
      </c>
      <c r="U3935" s="0" t="n">
        <f aca="false">F3935*F3935</f>
        <v>0.0625</v>
      </c>
      <c r="V3935" s="0" t="n">
        <f aca="false">G3935*G3935</f>
        <v>0</v>
      </c>
      <c r="W3935" s="0" t="n">
        <f aca="false">H3935*H3935</f>
        <v>0.25</v>
      </c>
      <c r="X3935" s="0" t="n">
        <f aca="false">SUMPRODUCT(I3935:W3935,_XtX!$B$96:$P$96)</f>
        <v>47.641904239766</v>
      </c>
      <c r="Y3935" s="0" t="n">
        <f aca="false">SUMPRODUCT(MMULT(I3935:W3935,_XtX!$B$78:$P$92),I3935:W3935)</f>
        <v>0.118905050712719</v>
      </c>
      <c r="Z3935" s="0" t="n">
        <f aca="false">04_回帰ANOVA!$K$19*04_回帰ANOVA!$K$14*SQRT(1+Y3935)</f>
        <v>1.37878011033769</v>
      </c>
      <c r="AA3935" s="0" t="n">
        <f aca="false">X3935-Z3935</f>
        <v>46.2631241294283</v>
      </c>
      <c r="AB3935" s="0" t="n">
        <f aca="false">X3935+Z3935</f>
        <v>49.0206843501037</v>
      </c>
      <c r="AC3935" s="54" t="b">
        <f aca="false">AND(E3935&gt;=01_因子設定!$L$5-0.000000001,E3935&lt;=01_因子設定!$M$5+0.000000001,F3935&gt;=01_因子設定!$L$6-0.000000001,F3935&lt;=01_因子設定!$M$6+0.000000001,G3935&gt;=01_因子設定!$L$7-0.000000001,G3935&lt;=01_因子設定!$M$7+0.000000001,H3935&gt;=01_因子設定!$L$8-0.000000001,H3935&lt;=01_因子設定!$M$8+0.000000001,IF(01_因子設定!$B$20="Box-Behnken",E3935^2+F3935^2+G3935^2+H3935^2&lt;=2+0.000000001,TRUE()))</f>
        <v>1</v>
      </c>
      <c r="AD3935" s="55" t="n">
        <f aca="false">IF(AC3935,IF(01_因子設定!$B$13="最大化",AA3935-01_因子設定!$B$14,IF(01_因子設定!$B$13="最小化",01_因子設定!$B$15-AB3935,MIN(AA3935-01_因子設定!$B$14,01_因子設定!$B$15-AB3935))),-1E+030)</f>
        <v>-0.236875870571659</v>
      </c>
      <c r="AE3935" s="55" t="n">
        <f aca="false">IF(AC3935,IF(01_因子設定!$B$13="最大化",X3935,IF(01_因子設定!$B$13="最小化",-X3935,-ABS(X3935-01_因子設定!$B$16))),-1E+030)</f>
        <v>47.641904239766</v>
      </c>
      <c r="AF3935" s="55" t="n">
        <f aca="false">AD3935+ROW()*0.000000001</f>
        <v>-0.236871935571659</v>
      </c>
      <c r="AG3935" s="55" t="n">
        <f aca="false">AE3935+ROW()*0.000000001</f>
        <v>47.641908174766</v>
      </c>
    </row>
    <row r="3936" customFormat="false" ht="15" hidden="false" customHeight="false" outlineLevel="0" collapsed="false">
      <c r="A3936" s="0" t="n">
        <v>5</v>
      </c>
      <c r="B3936" s="0" t="n">
        <v>3</v>
      </c>
      <c r="C3936" s="0" t="n">
        <v>4</v>
      </c>
      <c r="D3936" s="0" t="n">
        <v>7</v>
      </c>
      <c r="E3936" s="0" t="n">
        <f aca="false">-1+A3936*0.25</f>
        <v>0.25</v>
      </c>
      <c r="F3936" s="0" t="n">
        <f aca="false">-1+B3936*0.25</f>
        <v>-0.25</v>
      </c>
      <c r="G3936" s="0" t="n">
        <f aca="false">-1+C3936*0.25</f>
        <v>0</v>
      </c>
      <c r="H3936" s="0" t="n">
        <f aca="false">-1+D3936*0.25</f>
        <v>0.75</v>
      </c>
      <c r="I3936" s="0" t="n">
        <f aca="false">1</f>
        <v>1</v>
      </c>
      <c r="J3936" s="0" t="n">
        <f aca="false">E3936</f>
        <v>0.25</v>
      </c>
      <c r="K3936" s="0" t="n">
        <f aca="false">F3936</f>
        <v>-0.25</v>
      </c>
      <c r="L3936" s="0" t="n">
        <f aca="false">G3936</f>
        <v>0</v>
      </c>
      <c r="M3936" s="0" t="n">
        <f aca="false">H3936</f>
        <v>0.75</v>
      </c>
      <c r="N3936" s="0" t="n">
        <f aca="false">E3936*F3936</f>
        <v>-0.0625</v>
      </c>
      <c r="O3936" s="0" t="n">
        <f aca="false">E3936*G3936</f>
        <v>0</v>
      </c>
      <c r="P3936" s="0" t="n">
        <f aca="false">E3936*H3936</f>
        <v>0.1875</v>
      </c>
      <c r="Q3936" s="0" t="n">
        <f aca="false">F3936*G3936</f>
        <v>-0</v>
      </c>
      <c r="R3936" s="0" t="n">
        <f aca="false">F3936*H3936</f>
        <v>-0.1875</v>
      </c>
      <c r="S3936" s="0" t="n">
        <f aca="false">G3936*H3936</f>
        <v>0</v>
      </c>
      <c r="T3936" s="0" t="n">
        <f aca="false">E3936*E3936</f>
        <v>0.0625</v>
      </c>
      <c r="U3936" s="0" t="n">
        <f aca="false">F3936*F3936</f>
        <v>0.0625</v>
      </c>
      <c r="V3936" s="0" t="n">
        <f aca="false">G3936*G3936</f>
        <v>0</v>
      </c>
      <c r="W3936" s="0" t="n">
        <f aca="false">H3936*H3936</f>
        <v>0.5625</v>
      </c>
      <c r="X3936" s="0" t="n">
        <f aca="false">SUMPRODUCT(I3936:W3936,_XtX!$B$96:$P$96)</f>
        <v>47.6448693347953</v>
      </c>
      <c r="Y3936" s="0" t="n">
        <f aca="false">SUMPRODUCT(MMULT(I3936:W3936,_XtX!$B$78:$P$92),I3936:W3936)</f>
        <v>0.21135011193348</v>
      </c>
      <c r="Z3936" s="0" t="n">
        <f aca="false">04_回帰ANOVA!$K$19*04_回帰ANOVA!$K$14*SQRT(1+Y3936)</f>
        <v>1.43460795469709</v>
      </c>
      <c r="AA3936" s="0" t="n">
        <f aca="false">X3936-Z3936</f>
        <v>46.2102613800982</v>
      </c>
      <c r="AB3936" s="0" t="n">
        <f aca="false">X3936+Z3936</f>
        <v>49.0794772894924</v>
      </c>
      <c r="AC3936" s="54" t="b">
        <f aca="false">AND(E3936&gt;=01_因子設定!$L$5-0.000000001,E3936&lt;=01_因子設定!$M$5+0.000000001,F3936&gt;=01_因子設定!$L$6-0.000000001,F3936&lt;=01_因子設定!$M$6+0.000000001,G3936&gt;=01_因子設定!$L$7-0.000000001,G3936&lt;=01_因子設定!$M$7+0.000000001,H3936&gt;=01_因子設定!$L$8-0.000000001,H3936&lt;=01_因子設定!$M$8+0.000000001,IF(01_因子設定!$B$20="Box-Behnken",E3936^2+F3936^2+G3936^2+H3936^2&lt;=2+0.000000001,TRUE()))</f>
        <v>1</v>
      </c>
      <c r="AD3936" s="55" t="n">
        <f aca="false">IF(AC3936,IF(01_因子設定!$B$13="最大化",AA3936-01_因子設定!$B$14,IF(01_因子設定!$B$13="最小化",01_因子設定!$B$15-AB3936,MIN(AA3936-01_因子設定!$B$14,01_因子設定!$B$15-AB3936))),-1E+030)</f>
        <v>-0.289738619901804</v>
      </c>
      <c r="AE3936" s="55" t="n">
        <f aca="false">IF(AC3936,IF(01_因子設定!$B$13="最大化",X3936,IF(01_因子設定!$B$13="最小化",-X3936,-ABS(X3936-01_因子設定!$B$16))),-1E+030)</f>
        <v>47.6448693347953</v>
      </c>
      <c r="AF3936" s="55" t="n">
        <f aca="false">AD3936+ROW()*0.000000001</f>
        <v>-0.289734683901804</v>
      </c>
      <c r="AG3936" s="55" t="n">
        <f aca="false">AE3936+ROW()*0.000000001</f>
        <v>47.6448732707953</v>
      </c>
    </row>
    <row r="3937" customFormat="false" ht="15" hidden="false" customHeight="false" outlineLevel="0" collapsed="false">
      <c r="A3937" s="0" t="n">
        <v>5</v>
      </c>
      <c r="B3937" s="0" t="n">
        <v>3</v>
      </c>
      <c r="C3937" s="0" t="n">
        <v>4</v>
      </c>
      <c r="D3937" s="0" t="n">
        <v>8</v>
      </c>
      <c r="E3937" s="0" t="n">
        <f aca="false">-1+A3937*0.25</f>
        <v>0.25</v>
      </c>
      <c r="F3937" s="0" t="n">
        <f aca="false">-1+B3937*0.25</f>
        <v>-0.25</v>
      </c>
      <c r="G3937" s="0" t="n">
        <f aca="false">-1+C3937*0.25</f>
        <v>0</v>
      </c>
      <c r="H3937" s="0" t="n">
        <f aca="false">-1+D3937*0.25</f>
        <v>1</v>
      </c>
      <c r="I3937" s="0" t="n">
        <f aca="false">1</f>
        <v>1</v>
      </c>
      <c r="J3937" s="0" t="n">
        <f aca="false">E3937</f>
        <v>0.25</v>
      </c>
      <c r="K3937" s="0" t="n">
        <f aca="false">F3937</f>
        <v>-0.25</v>
      </c>
      <c r="L3937" s="0" t="n">
        <f aca="false">G3937</f>
        <v>0</v>
      </c>
      <c r="M3937" s="0" t="n">
        <f aca="false">H3937</f>
        <v>1</v>
      </c>
      <c r="N3937" s="0" t="n">
        <f aca="false">E3937*F3937</f>
        <v>-0.0625</v>
      </c>
      <c r="O3937" s="0" t="n">
        <f aca="false">E3937*G3937</f>
        <v>0</v>
      </c>
      <c r="P3937" s="0" t="n">
        <f aca="false">E3937*H3937</f>
        <v>0.25</v>
      </c>
      <c r="Q3937" s="0" t="n">
        <f aca="false">F3937*G3937</f>
        <v>-0</v>
      </c>
      <c r="R3937" s="0" t="n">
        <f aca="false">F3937*H3937</f>
        <v>-0.25</v>
      </c>
      <c r="S3937" s="0" t="n">
        <f aca="false">G3937*H3937</f>
        <v>0</v>
      </c>
      <c r="T3937" s="0" t="n">
        <f aca="false">E3937*E3937</f>
        <v>0.0625</v>
      </c>
      <c r="U3937" s="0" t="n">
        <f aca="false">F3937*F3937</f>
        <v>0.0625</v>
      </c>
      <c r="V3937" s="0" t="n">
        <f aca="false">G3937*G3937</f>
        <v>0</v>
      </c>
      <c r="W3937" s="0" t="n">
        <f aca="false">H3937*H3937</f>
        <v>1</v>
      </c>
      <c r="X3937" s="0" t="n">
        <f aca="false">SUMPRODUCT(I3937:W3937,_XtX!$B$96:$P$96)</f>
        <v>47.6000274122807</v>
      </c>
      <c r="Y3937" s="0" t="n">
        <f aca="false">SUMPRODUCT(MMULT(I3937:W3937,_XtX!$B$78:$P$92),I3937:W3937)</f>
        <v>0.467417934484649</v>
      </c>
      <c r="Z3937" s="0" t="n">
        <f aca="false">04_回帰ANOVA!$K$19*04_回帰ANOVA!$K$14*SQRT(1+Y3937)</f>
        <v>1.57897518244497</v>
      </c>
      <c r="AA3937" s="0" t="n">
        <f aca="false">X3937-Z3937</f>
        <v>46.0210522298357</v>
      </c>
      <c r="AB3937" s="0" t="n">
        <f aca="false">X3937+Z3937</f>
        <v>49.1790025947256</v>
      </c>
      <c r="AC3937" s="54" t="b">
        <f aca="false">AND(E3937&gt;=01_因子設定!$L$5-0.000000001,E3937&lt;=01_因子設定!$M$5+0.000000001,F3937&gt;=01_因子設定!$L$6-0.000000001,F3937&lt;=01_因子設定!$M$6+0.000000001,G3937&gt;=01_因子設定!$L$7-0.000000001,G3937&lt;=01_因子設定!$M$7+0.000000001,H3937&gt;=01_因子設定!$L$8-0.000000001,H3937&lt;=01_因子設定!$M$8+0.000000001,IF(01_因子設定!$B$20="Box-Behnken",E3937^2+F3937^2+G3937^2+H3937^2&lt;=2+0.000000001,TRUE()))</f>
        <v>1</v>
      </c>
      <c r="AD3937" s="55" t="n">
        <f aca="false">IF(AC3937,IF(01_因子設定!$B$13="最大化",AA3937-01_因子設定!$B$14,IF(01_因子設定!$B$13="最小化",01_因子設定!$B$15-AB3937,MIN(AA3937-01_因子設定!$B$14,01_因子設定!$B$15-AB3937))),-1E+030)</f>
        <v>-0.478947770164297</v>
      </c>
      <c r="AE3937" s="55" t="n">
        <f aca="false">IF(AC3937,IF(01_因子設定!$B$13="最大化",X3937,IF(01_因子設定!$B$13="最小化",-X3937,-ABS(X3937-01_因子設定!$B$16))),-1E+030)</f>
        <v>47.6000274122807</v>
      </c>
      <c r="AF3937" s="55" t="n">
        <f aca="false">AD3937+ROW()*0.000000001</f>
        <v>-0.478943833164297</v>
      </c>
      <c r="AG3937" s="55" t="n">
        <f aca="false">AE3937+ROW()*0.000000001</f>
        <v>47.6000313492807</v>
      </c>
    </row>
    <row r="3938" customFormat="false" ht="15" hidden="false" customHeight="false" outlineLevel="0" collapsed="false">
      <c r="A3938" s="0" t="n">
        <v>5</v>
      </c>
      <c r="B3938" s="0" t="n">
        <v>3</v>
      </c>
      <c r="C3938" s="0" t="n">
        <v>5</v>
      </c>
      <c r="D3938" s="0" t="n">
        <v>0</v>
      </c>
      <c r="E3938" s="0" t="n">
        <f aca="false">-1+A3938*0.25</f>
        <v>0.25</v>
      </c>
      <c r="F3938" s="0" t="n">
        <f aca="false">-1+B3938*0.25</f>
        <v>-0.25</v>
      </c>
      <c r="G3938" s="0" t="n">
        <f aca="false">-1+C3938*0.25</f>
        <v>0.25</v>
      </c>
      <c r="H3938" s="0" t="n">
        <f aca="false">-1+D3938*0.25</f>
        <v>-1</v>
      </c>
      <c r="I3938" s="0" t="n">
        <f aca="false">1</f>
        <v>1</v>
      </c>
      <c r="J3938" s="0" t="n">
        <f aca="false">E3938</f>
        <v>0.25</v>
      </c>
      <c r="K3938" s="0" t="n">
        <f aca="false">F3938</f>
        <v>-0.25</v>
      </c>
      <c r="L3938" s="0" t="n">
        <f aca="false">G3938</f>
        <v>0.25</v>
      </c>
      <c r="M3938" s="0" t="n">
        <f aca="false">H3938</f>
        <v>-1</v>
      </c>
      <c r="N3938" s="0" t="n">
        <f aca="false">E3938*F3938</f>
        <v>-0.0625</v>
      </c>
      <c r="O3938" s="0" t="n">
        <f aca="false">E3938*G3938</f>
        <v>0.0625</v>
      </c>
      <c r="P3938" s="0" t="n">
        <f aca="false">E3938*H3938</f>
        <v>-0.25</v>
      </c>
      <c r="Q3938" s="0" t="n">
        <f aca="false">F3938*G3938</f>
        <v>-0.0625</v>
      </c>
      <c r="R3938" s="0" t="n">
        <f aca="false">F3938*H3938</f>
        <v>0.25</v>
      </c>
      <c r="S3938" s="0" t="n">
        <f aca="false">G3938*H3938</f>
        <v>-0.25</v>
      </c>
      <c r="T3938" s="0" t="n">
        <f aca="false">E3938*E3938</f>
        <v>0.0625</v>
      </c>
      <c r="U3938" s="0" t="n">
        <f aca="false">F3938*F3938</f>
        <v>0.0625</v>
      </c>
      <c r="V3938" s="0" t="n">
        <f aca="false">G3938*G3938</f>
        <v>0.0625</v>
      </c>
      <c r="W3938" s="0" t="n">
        <f aca="false">H3938*H3938</f>
        <v>1</v>
      </c>
      <c r="X3938" s="0" t="n">
        <f aca="false">SUMPRODUCT(I3938:W3938,_XtX!$B$96:$P$96)</f>
        <v>46.691314875731</v>
      </c>
      <c r="Y3938" s="0" t="n">
        <f aca="false">SUMPRODUCT(MMULT(I3938:W3938,_XtX!$B$78:$P$92),I3938:W3938)</f>
        <v>0.457466705500731</v>
      </c>
      <c r="Z3938" s="0" t="n">
        <f aca="false">04_回帰ANOVA!$K$19*04_回帰ANOVA!$K$14*SQRT(1+Y3938)</f>
        <v>1.57361220003999</v>
      </c>
      <c r="AA3938" s="0" t="n">
        <f aca="false">X3938-Z3938</f>
        <v>45.117702675691</v>
      </c>
      <c r="AB3938" s="0" t="n">
        <f aca="false">X3938+Z3938</f>
        <v>48.264927075771</v>
      </c>
      <c r="AC3938" s="54" t="b">
        <f aca="false">AND(E3938&gt;=01_因子設定!$L$5-0.000000001,E3938&lt;=01_因子設定!$M$5+0.000000001,F3938&gt;=01_因子設定!$L$6-0.000000001,F3938&lt;=01_因子設定!$M$6+0.000000001,G3938&gt;=01_因子設定!$L$7-0.000000001,G3938&lt;=01_因子設定!$M$7+0.000000001,H3938&gt;=01_因子設定!$L$8-0.000000001,H3938&lt;=01_因子設定!$M$8+0.000000001,IF(01_因子設定!$B$20="Box-Behnken",E3938^2+F3938^2+G3938^2+H3938^2&lt;=2+0.000000001,TRUE()))</f>
        <v>1</v>
      </c>
      <c r="AD3938" s="55" t="n">
        <f aca="false">IF(AC3938,IF(01_因子設定!$B$13="最大化",AA3938-01_因子設定!$B$14,IF(01_因子設定!$B$13="最小化",01_因子設定!$B$15-AB3938,MIN(AA3938-01_因子設定!$B$14,01_因子設定!$B$15-AB3938))),-1E+030)</f>
        <v>-1.38229732430902</v>
      </c>
      <c r="AE3938" s="55" t="n">
        <f aca="false">IF(AC3938,IF(01_因子設定!$B$13="最大化",X3938,IF(01_因子設定!$B$13="最小化",-X3938,-ABS(X3938-01_因子設定!$B$16))),-1E+030)</f>
        <v>46.691314875731</v>
      </c>
      <c r="AF3938" s="55" t="n">
        <f aca="false">AD3938+ROW()*0.000000001</f>
        <v>-1.38229338630902</v>
      </c>
      <c r="AG3938" s="55" t="n">
        <f aca="false">AE3938+ROW()*0.000000001</f>
        <v>46.691318813731</v>
      </c>
    </row>
    <row r="3939" customFormat="false" ht="15" hidden="false" customHeight="false" outlineLevel="0" collapsed="false">
      <c r="A3939" s="0" t="n">
        <v>5</v>
      </c>
      <c r="B3939" s="0" t="n">
        <v>3</v>
      </c>
      <c r="C3939" s="0" t="n">
        <v>5</v>
      </c>
      <c r="D3939" s="0" t="n">
        <v>1</v>
      </c>
      <c r="E3939" s="0" t="n">
        <f aca="false">-1+A3939*0.25</f>
        <v>0.25</v>
      </c>
      <c r="F3939" s="0" t="n">
        <f aca="false">-1+B3939*0.25</f>
        <v>-0.25</v>
      </c>
      <c r="G3939" s="0" t="n">
        <f aca="false">-1+C3939*0.25</f>
        <v>0.25</v>
      </c>
      <c r="H3939" s="0" t="n">
        <f aca="false">-1+D3939*0.25</f>
        <v>-0.75</v>
      </c>
      <c r="I3939" s="0" t="n">
        <f aca="false">1</f>
        <v>1</v>
      </c>
      <c r="J3939" s="0" t="n">
        <f aca="false">E3939</f>
        <v>0.25</v>
      </c>
      <c r="K3939" s="0" t="n">
        <f aca="false">F3939</f>
        <v>-0.25</v>
      </c>
      <c r="L3939" s="0" t="n">
        <f aca="false">G3939</f>
        <v>0.25</v>
      </c>
      <c r="M3939" s="0" t="n">
        <f aca="false">H3939</f>
        <v>-0.75</v>
      </c>
      <c r="N3939" s="0" t="n">
        <f aca="false">E3939*F3939</f>
        <v>-0.0625</v>
      </c>
      <c r="O3939" s="0" t="n">
        <f aca="false">E3939*G3939</f>
        <v>0.0625</v>
      </c>
      <c r="P3939" s="0" t="n">
        <f aca="false">E3939*H3939</f>
        <v>-0.1875</v>
      </c>
      <c r="Q3939" s="0" t="n">
        <f aca="false">F3939*G3939</f>
        <v>-0.0625</v>
      </c>
      <c r="R3939" s="0" t="n">
        <f aca="false">F3939*H3939</f>
        <v>0.1875</v>
      </c>
      <c r="S3939" s="0" t="n">
        <f aca="false">G3939*H3939</f>
        <v>-0.1875</v>
      </c>
      <c r="T3939" s="0" t="n">
        <f aca="false">E3939*E3939</f>
        <v>0.0625</v>
      </c>
      <c r="U3939" s="0" t="n">
        <f aca="false">F3939*F3939</f>
        <v>0.0625</v>
      </c>
      <c r="V3939" s="0" t="n">
        <f aca="false">G3939*G3939</f>
        <v>0.0625</v>
      </c>
      <c r="W3939" s="0" t="n">
        <f aca="false">H3939*H3939</f>
        <v>0.5625</v>
      </c>
      <c r="X3939" s="0" t="n">
        <f aca="false">SUMPRODUCT(I3939:W3939,_XtX!$B$96:$P$96)</f>
        <v>46.9990908260234</v>
      </c>
      <c r="Y3939" s="0" t="n">
        <f aca="false">SUMPRODUCT(MMULT(I3939:W3939,_XtX!$B$78:$P$92),I3939:W3939)</f>
        <v>0.205926192434211</v>
      </c>
      <c r="Z3939" s="0" t="n">
        <f aca="false">04_回帰ANOVA!$K$19*04_回帰ANOVA!$K$14*SQRT(1+Y3939)</f>
        <v>1.43139256396246</v>
      </c>
      <c r="AA3939" s="0" t="n">
        <f aca="false">X3939-Z3939</f>
        <v>45.5676982620609</v>
      </c>
      <c r="AB3939" s="0" t="n">
        <f aca="false">X3939+Z3939</f>
        <v>48.4304833899858</v>
      </c>
      <c r="AC3939" s="54" t="b">
        <f aca="false">AND(E3939&gt;=01_因子設定!$L$5-0.000000001,E3939&lt;=01_因子設定!$M$5+0.000000001,F3939&gt;=01_因子設定!$L$6-0.000000001,F3939&lt;=01_因子設定!$M$6+0.000000001,G3939&gt;=01_因子設定!$L$7-0.000000001,G3939&lt;=01_因子設定!$M$7+0.000000001,H3939&gt;=01_因子設定!$L$8-0.000000001,H3939&lt;=01_因子設定!$M$8+0.000000001,IF(01_因子設定!$B$20="Box-Behnken",E3939^2+F3939^2+G3939^2+H3939^2&lt;=2+0.000000001,TRUE()))</f>
        <v>1</v>
      </c>
      <c r="AD3939" s="55" t="n">
        <f aca="false">IF(AC3939,IF(01_因子設定!$B$13="最大化",AA3939-01_因子設定!$B$14,IF(01_因子設定!$B$13="最小化",01_因子設定!$B$15-AB3939,MIN(AA3939-01_因子設定!$B$14,01_因子設定!$B$15-AB3939))),-1E+030)</f>
        <v>-0.932301737939106</v>
      </c>
      <c r="AE3939" s="55" t="n">
        <f aca="false">IF(AC3939,IF(01_因子設定!$B$13="最大化",X3939,IF(01_因子設定!$B$13="最小化",-X3939,-ABS(X3939-01_因子設定!$B$16))),-1E+030)</f>
        <v>46.9990908260234</v>
      </c>
      <c r="AF3939" s="55" t="n">
        <f aca="false">AD3939+ROW()*0.000000001</f>
        <v>-0.932297798939106</v>
      </c>
      <c r="AG3939" s="55" t="n">
        <f aca="false">AE3939+ROW()*0.000000001</f>
        <v>46.9990947650234</v>
      </c>
    </row>
    <row r="3940" customFormat="false" ht="15" hidden="false" customHeight="false" outlineLevel="0" collapsed="false">
      <c r="A3940" s="0" t="n">
        <v>5</v>
      </c>
      <c r="B3940" s="0" t="n">
        <v>3</v>
      </c>
      <c r="C3940" s="0" t="n">
        <v>5</v>
      </c>
      <c r="D3940" s="0" t="n">
        <v>2</v>
      </c>
      <c r="E3940" s="0" t="n">
        <f aca="false">-1+A3940*0.25</f>
        <v>0.25</v>
      </c>
      <c r="F3940" s="0" t="n">
        <f aca="false">-1+B3940*0.25</f>
        <v>-0.25</v>
      </c>
      <c r="G3940" s="0" t="n">
        <f aca="false">-1+C3940*0.25</f>
        <v>0.25</v>
      </c>
      <c r="H3940" s="0" t="n">
        <f aca="false">-1+D3940*0.25</f>
        <v>-0.5</v>
      </c>
      <c r="I3940" s="0" t="n">
        <f aca="false">1</f>
        <v>1</v>
      </c>
      <c r="J3940" s="0" t="n">
        <f aca="false">E3940</f>
        <v>0.25</v>
      </c>
      <c r="K3940" s="0" t="n">
        <f aca="false">F3940</f>
        <v>-0.25</v>
      </c>
      <c r="L3940" s="0" t="n">
        <f aca="false">G3940</f>
        <v>0.25</v>
      </c>
      <c r="M3940" s="0" t="n">
        <f aca="false">H3940</f>
        <v>-0.5</v>
      </c>
      <c r="N3940" s="0" t="n">
        <f aca="false">E3940*F3940</f>
        <v>-0.0625</v>
      </c>
      <c r="O3940" s="0" t="n">
        <f aca="false">E3940*G3940</f>
        <v>0.0625</v>
      </c>
      <c r="P3940" s="0" t="n">
        <f aca="false">E3940*H3940</f>
        <v>-0.125</v>
      </c>
      <c r="Q3940" s="0" t="n">
        <f aca="false">F3940*G3940</f>
        <v>-0.0625</v>
      </c>
      <c r="R3940" s="0" t="n">
        <f aca="false">F3940*H3940</f>
        <v>0.125</v>
      </c>
      <c r="S3940" s="0" t="n">
        <f aca="false">G3940*H3940</f>
        <v>-0.125</v>
      </c>
      <c r="T3940" s="0" t="n">
        <f aca="false">E3940*E3940</f>
        <v>0.0625</v>
      </c>
      <c r="U3940" s="0" t="n">
        <f aca="false">F3940*F3940</f>
        <v>0.0625</v>
      </c>
      <c r="V3940" s="0" t="n">
        <f aca="false">G3940*G3940</f>
        <v>0.0625</v>
      </c>
      <c r="W3940" s="0" t="n">
        <f aca="false">H3940*H3940</f>
        <v>0.25</v>
      </c>
      <c r="X3940" s="0" t="n">
        <f aca="false">SUMPRODUCT(I3940:W3940,_XtX!$B$96:$P$96)</f>
        <v>47.2590597587719</v>
      </c>
      <c r="Y3940" s="0" t="n">
        <f aca="false">SUMPRODUCT(MMULT(I3940:W3940,_XtX!$B$78:$P$92),I3940:W3940)</f>
        <v>0.116714923702485</v>
      </c>
      <c r="Z3940" s="0" t="n">
        <f aca="false">04_回帰ANOVA!$K$19*04_回帰ANOVA!$K$14*SQRT(1+Y3940)</f>
        <v>1.37743004820023</v>
      </c>
      <c r="AA3940" s="0" t="n">
        <f aca="false">X3940-Z3940</f>
        <v>45.8816297105717</v>
      </c>
      <c r="AB3940" s="0" t="n">
        <f aca="false">X3940+Z3940</f>
        <v>48.6364898069721</v>
      </c>
      <c r="AC3940" s="54" t="b">
        <f aca="false">AND(E3940&gt;=01_因子設定!$L$5-0.000000001,E3940&lt;=01_因子設定!$M$5+0.000000001,F3940&gt;=01_因子設定!$L$6-0.000000001,F3940&lt;=01_因子設定!$M$6+0.000000001,G3940&gt;=01_因子設定!$L$7-0.000000001,G3940&lt;=01_因子設定!$M$7+0.000000001,H3940&gt;=01_因子設定!$L$8-0.000000001,H3940&lt;=01_因子設定!$M$8+0.000000001,IF(01_因子設定!$B$20="Box-Behnken",E3940^2+F3940^2+G3940^2+H3940^2&lt;=2+0.000000001,TRUE()))</f>
        <v>1</v>
      </c>
      <c r="AD3940" s="55" t="n">
        <f aca="false">IF(AC3940,IF(01_因子設定!$B$13="最大化",AA3940-01_因子設定!$B$14,IF(01_因子設定!$B$13="最小化",01_因子設定!$B$15-AB3940,MIN(AA3940-01_因子設定!$B$14,01_因子設定!$B$15-AB3940))),-1E+030)</f>
        <v>-0.618370289428349</v>
      </c>
      <c r="AE3940" s="55" t="n">
        <f aca="false">IF(AC3940,IF(01_因子設定!$B$13="最大化",X3940,IF(01_因子設定!$B$13="最小化",-X3940,-ABS(X3940-01_因子設定!$B$16))),-1E+030)</f>
        <v>47.2590597587719</v>
      </c>
      <c r="AF3940" s="55" t="n">
        <f aca="false">AD3940+ROW()*0.000000001</f>
        <v>-0.618366349428348</v>
      </c>
      <c r="AG3940" s="55" t="n">
        <f aca="false">AE3940+ROW()*0.000000001</f>
        <v>47.2590636987719</v>
      </c>
    </row>
    <row r="3941" customFormat="false" ht="15" hidden="false" customHeight="false" outlineLevel="0" collapsed="false">
      <c r="A3941" s="0" t="n">
        <v>5</v>
      </c>
      <c r="B3941" s="0" t="n">
        <v>3</v>
      </c>
      <c r="C3941" s="0" t="n">
        <v>5</v>
      </c>
      <c r="D3941" s="0" t="n">
        <v>3</v>
      </c>
      <c r="E3941" s="0" t="n">
        <f aca="false">-1+A3941*0.25</f>
        <v>0.25</v>
      </c>
      <c r="F3941" s="0" t="n">
        <f aca="false">-1+B3941*0.25</f>
        <v>-0.25</v>
      </c>
      <c r="G3941" s="0" t="n">
        <f aca="false">-1+C3941*0.25</f>
        <v>0.25</v>
      </c>
      <c r="H3941" s="0" t="n">
        <f aca="false">-1+D3941*0.25</f>
        <v>-0.25</v>
      </c>
      <c r="I3941" s="0" t="n">
        <f aca="false">1</f>
        <v>1</v>
      </c>
      <c r="J3941" s="0" t="n">
        <f aca="false">E3941</f>
        <v>0.25</v>
      </c>
      <c r="K3941" s="0" t="n">
        <f aca="false">F3941</f>
        <v>-0.25</v>
      </c>
      <c r="L3941" s="0" t="n">
        <f aca="false">G3941</f>
        <v>0.25</v>
      </c>
      <c r="M3941" s="0" t="n">
        <f aca="false">H3941</f>
        <v>-0.25</v>
      </c>
      <c r="N3941" s="0" t="n">
        <f aca="false">E3941*F3941</f>
        <v>-0.0625</v>
      </c>
      <c r="O3941" s="0" t="n">
        <f aca="false">E3941*G3941</f>
        <v>0.0625</v>
      </c>
      <c r="P3941" s="0" t="n">
        <f aca="false">E3941*H3941</f>
        <v>-0.0625</v>
      </c>
      <c r="Q3941" s="0" t="n">
        <f aca="false">F3941*G3941</f>
        <v>-0.0625</v>
      </c>
      <c r="R3941" s="0" t="n">
        <f aca="false">F3941*H3941</f>
        <v>0.0625</v>
      </c>
      <c r="S3941" s="0" t="n">
        <f aca="false">G3941*H3941</f>
        <v>-0.0625</v>
      </c>
      <c r="T3941" s="0" t="n">
        <f aca="false">E3941*E3941</f>
        <v>0.0625</v>
      </c>
      <c r="U3941" s="0" t="n">
        <f aca="false">F3941*F3941</f>
        <v>0.0625</v>
      </c>
      <c r="V3941" s="0" t="n">
        <f aca="false">G3941*G3941</f>
        <v>0.0625</v>
      </c>
      <c r="W3941" s="0" t="n">
        <f aca="false">H3941*H3941</f>
        <v>0.0625</v>
      </c>
      <c r="X3941" s="0" t="n">
        <f aca="false">SUMPRODUCT(I3941:W3941,_XtX!$B$96:$P$96)</f>
        <v>47.4712216739766</v>
      </c>
      <c r="Y3941" s="0" t="n">
        <f aca="false">SUMPRODUCT(MMULT(I3941:W3941,_XtX!$B$78:$P$92),I3941:W3941)</f>
        <v>0.0993723729897661</v>
      </c>
      <c r="Z3941" s="0" t="n">
        <f aca="false">04_回帰ANOVA!$K$19*04_回帰ANOVA!$K$14*SQRT(1+Y3941)</f>
        <v>1.36669247195631</v>
      </c>
      <c r="AA3941" s="0" t="n">
        <f aca="false">X3941-Z3941</f>
        <v>46.1045292020202</v>
      </c>
      <c r="AB3941" s="0" t="n">
        <f aca="false">X3941+Z3941</f>
        <v>48.8379141459329</v>
      </c>
      <c r="AC3941" s="54" t="b">
        <f aca="false">AND(E3941&gt;=01_因子設定!$L$5-0.000000001,E3941&lt;=01_因子設定!$M$5+0.000000001,F3941&gt;=01_因子設定!$L$6-0.000000001,F3941&lt;=01_因子設定!$M$6+0.000000001,G3941&gt;=01_因子設定!$L$7-0.000000001,G3941&lt;=01_因子設定!$M$7+0.000000001,H3941&gt;=01_因子設定!$L$8-0.000000001,H3941&lt;=01_因子設定!$M$8+0.000000001,IF(01_因子設定!$B$20="Box-Behnken",E3941^2+F3941^2+G3941^2+H3941^2&lt;=2+0.000000001,TRUE()))</f>
        <v>1</v>
      </c>
      <c r="AD3941" s="55" t="n">
        <f aca="false">IF(AC3941,IF(01_因子設定!$B$13="最大化",AA3941-01_因子設定!$B$14,IF(01_因子設定!$B$13="最小化",01_因子設定!$B$15-AB3941,MIN(AA3941-01_因子設定!$B$14,01_因子設定!$B$15-AB3941))),-1E+030)</f>
        <v>-0.395470797979762</v>
      </c>
      <c r="AE3941" s="55" t="n">
        <f aca="false">IF(AC3941,IF(01_因子設定!$B$13="最大化",X3941,IF(01_因子設定!$B$13="最小化",-X3941,-ABS(X3941-01_因子設定!$B$16))),-1E+030)</f>
        <v>47.4712216739766</v>
      </c>
      <c r="AF3941" s="55" t="n">
        <f aca="false">AD3941+ROW()*0.000000001</f>
        <v>-0.395466856979762</v>
      </c>
      <c r="AG3941" s="55" t="n">
        <f aca="false">AE3941+ROW()*0.000000001</f>
        <v>47.4712256149766</v>
      </c>
    </row>
    <row r="3942" customFormat="false" ht="15" hidden="false" customHeight="false" outlineLevel="0" collapsed="false">
      <c r="A3942" s="0" t="n">
        <v>5</v>
      </c>
      <c r="B3942" s="0" t="n">
        <v>3</v>
      </c>
      <c r="C3942" s="0" t="n">
        <v>5</v>
      </c>
      <c r="D3942" s="0" t="n">
        <v>4</v>
      </c>
      <c r="E3942" s="0" t="n">
        <f aca="false">-1+A3942*0.25</f>
        <v>0.25</v>
      </c>
      <c r="F3942" s="0" t="n">
        <f aca="false">-1+B3942*0.25</f>
        <v>-0.25</v>
      </c>
      <c r="G3942" s="0" t="n">
        <f aca="false">-1+C3942*0.25</f>
        <v>0.25</v>
      </c>
      <c r="H3942" s="0" t="n">
        <f aca="false">-1+D3942*0.25</f>
        <v>0</v>
      </c>
      <c r="I3942" s="0" t="n">
        <f aca="false">1</f>
        <v>1</v>
      </c>
      <c r="J3942" s="0" t="n">
        <f aca="false">E3942</f>
        <v>0.25</v>
      </c>
      <c r="K3942" s="0" t="n">
        <f aca="false">F3942</f>
        <v>-0.25</v>
      </c>
      <c r="L3942" s="0" t="n">
        <f aca="false">G3942</f>
        <v>0.25</v>
      </c>
      <c r="M3942" s="0" t="n">
        <f aca="false">H3942</f>
        <v>0</v>
      </c>
      <c r="N3942" s="0" t="n">
        <f aca="false">E3942*F3942</f>
        <v>-0.0625</v>
      </c>
      <c r="O3942" s="0" t="n">
        <f aca="false">E3942*G3942</f>
        <v>0.0625</v>
      </c>
      <c r="P3942" s="0" t="n">
        <f aca="false">E3942*H3942</f>
        <v>0</v>
      </c>
      <c r="Q3942" s="0" t="n">
        <f aca="false">F3942*G3942</f>
        <v>-0.0625</v>
      </c>
      <c r="R3942" s="0" t="n">
        <f aca="false">F3942*H3942</f>
        <v>-0</v>
      </c>
      <c r="S3942" s="0" t="n">
        <f aca="false">G3942*H3942</f>
        <v>0</v>
      </c>
      <c r="T3942" s="0" t="n">
        <f aca="false">E3942*E3942</f>
        <v>0.0625</v>
      </c>
      <c r="U3942" s="0" t="n">
        <f aca="false">F3942*F3942</f>
        <v>0.0625</v>
      </c>
      <c r="V3942" s="0" t="n">
        <f aca="false">G3942*G3942</f>
        <v>0.0625</v>
      </c>
      <c r="W3942" s="0" t="n">
        <f aca="false">H3942*H3942</f>
        <v>0</v>
      </c>
      <c r="X3942" s="0" t="n">
        <f aca="false">SUMPRODUCT(I3942:W3942,_XtX!$B$96:$P$96)</f>
        <v>47.6355765716374</v>
      </c>
      <c r="Y3942" s="0" t="n">
        <f aca="false">SUMPRODUCT(MMULT(I3942:W3942,_XtX!$B$78:$P$92),I3942:W3942)</f>
        <v>0.099622224506579</v>
      </c>
      <c r="Z3942" s="0" t="n">
        <f aca="false">04_回帰ANOVA!$K$19*04_回帰ANOVA!$K$14*SQRT(1+Y3942)</f>
        <v>1.3668477654658</v>
      </c>
      <c r="AA3942" s="0" t="n">
        <f aca="false">X3942-Z3942</f>
        <v>46.2687288061716</v>
      </c>
      <c r="AB3942" s="0" t="n">
        <f aca="false">X3942+Z3942</f>
        <v>49.0024243371032</v>
      </c>
      <c r="AC3942" s="54" t="b">
        <f aca="false">AND(E3942&gt;=01_因子設定!$L$5-0.000000001,E3942&lt;=01_因子設定!$M$5+0.000000001,F3942&gt;=01_因子設定!$L$6-0.000000001,F3942&lt;=01_因子設定!$M$6+0.000000001,G3942&gt;=01_因子設定!$L$7-0.000000001,G3942&lt;=01_因子設定!$M$7+0.000000001,H3942&gt;=01_因子設定!$L$8-0.000000001,H3942&lt;=01_因子設定!$M$8+0.000000001,IF(01_因子設定!$B$20="Box-Behnken",E3942^2+F3942^2+G3942^2+H3942^2&lt;=2+0.000000001,TRUE()))</f>
        <v>1</v>
      </c>
      <c r="AD3942" s="55" t="n">
        <f aca="false">IF(AC3942,IF(01_因子設定!$B$13="最大化",AA3942-01_因子設定!$B$14,IF(01_因子設定!$B$13="最小化",01_因子設定!$B$15-AB3942,MIN(AA3942-01_因子設定!$B$14,01_因子設定!$B$15-AB3942))),-1E+030)</f>
        <v>-0.231271193828434</v>
      </c>
      <c r="AE3942" s="55" t="n">
        <f aca="false">IF(AC3942,IF(01_因子設定!$B$13="最大化",X3942,IF(01_因子設定!$B$13="最小化",-X3942,-ABS(X3942-01_因子設定!$B$16))),-1E+030)</f>
        <v>47.6355765716374</v>
      </c>
      <c r="AF3942" s="55" t="n">
        <f aca="false">AD3942+ROW()*0.000000001</f>
        <v>-0.231267251828434</v>
      </c>
      <c r="AG3942" s="55" t="n">
        <f aca="false">AE3942+ROW()*0.000000001</f>
        <v>47.6355805136374</v>
      </c>
    </row>
    <row r="3943" customFormat="false" ht="15" hidden="false" customHeight="false" outlineLevel="0" collapsed="false">
      <c r="A3943" s="0" t="n">
        <v>5</v>
      </c>
      <c r="B3943" s="0" t="n">
        <v>3</v>
      </c>
      <c r="C3943" s="0" t="n">
        <v>5</v>
      </c>
      <c r="D3943" s="0" t="n">
        <v>5</v>
      </c>
      <c r="E3943" s="0" t="n">
        <f aca="false">-1+A3943*0.25</f>
        <v>0.25</v>
      </c>
      <c r="F3943" s="0" t="n">
        <f aca="false">-1+B3943*0.25</f>
        <v>-0.25</v>
      </c>
      <c r="G3943" s="0" t="n">
        <f aca="false">-1+C3943*0.25</f>
        <v>0.25</v>
      </c>
      <c r="H3943" s="0" t="n">
        <f aca="false">-1+D3943*0.25</f>
        <v>0.25</v>
      </c>
      <c r="I3943" s="0" t="n">
        <f aca="false">1</f>
        <v>1</v>
      </c>
      <c r="J3943" s="0" t="n">
        <f aca="false">E3943</f>
        <v>0.25</v>
      </c>
      <c r="K3943" s="0" t="n">
        <f aca="false">F3943</f>
        <v>-0.25</v>
      </c>
      <c r="L3943" s="0" t="n">
        <f aca="false">G3943</f>
        <v>0.25</v>
      </c>
      <c r="M3943" s="0" t="n">
        <f aca="false">H3943</f>
        <v>0.25</v>
      </c>
      <c r="N3943" s="0" t="n">
        <f aca="false">E3943*F3943</f>
        <v>-0.0625</v>
      </c>
      <c r="O3943" s="0" t="n">
        <f aca="false">E3943*G3943</f>
        <v>0.0625</v>
      </c>
      <c r="P3943" s="0" t="n">
        <f aca="false">E3943*H3943</f>
        <v>0.0625</v>
      </c>
      <c r="Q3943" s="0" t="n">
        <f aca="false">F3943*G3943</f>
        <v>-0.0625</v>
      </c>
      <c r="R3943" s="0" t="n">
        <f aca="false">F3943*H3943</f>
        <v>-0.0625</v>
      </c>
      <c r="S3943" s="0" t="n">
        <f aca="false">G3943*H3943</f>
        <v>0.0625</v>
      </c>
      <c r="T3943" s="0" t="n">
        <f aca="false">E3943*E3943</f>
        <v>0.0625</v>
      </c>
      <c r="U3943" s="0" t="n">
        <f aca="false">F3943*F3943</f>
        <v>0.0625</v>
      </c>
      <c r="V3943" s="0" t="n">
        <f aca="false">G3943*G3943</f>
        <v>0.0625</v>
      </c>
      <c r="W3943" s="0" t="n">
        <f aca="false">H3943*H3943</f>
        <v>0.0625</v>
      </c>
      <c r="X3943" s="0" t="n">
        <f aca="false">SUMPRODUCT(I3943:W3943,_XtX!$B$96:$P$96)</f>
        <v>47.7521244517543</v>
      </c>
      <c r="Y3943" s="0" t="n">
        <f aca="false">SUMPRODUCT(MMULT(I3943:W3943,_XtX!$B$78:$P$92),I3943:W3943)</f>
        <v>0.0993723729897661</v>
      </c>
      <c r="Z3943" s="0" t="n">
        <f aca="false">04_回帰ANOVA!$K$19*04_回帰ANOVA!$K$14*SQRT(1+Y3943)</f>
        <v>1.36669247195631</v>
      </c>
      <c r="AA3943" s="0" t="n">
        <f aca="false">X3943-Z3943</f>
        <v>46.385431979798</v>
      </c>
      <c r="AB3943" s="0" t="n">
        <f aca="false">X3943+Z3943</f>
        <v>49.1188169237106</v>
      </c>
      <c r="AC3943" s="54" t="b">
        <f aca="false">AND(E3943&gt;=01_因子設定!$L$5-0.000000001,E3943&lt;=01_因子設定!$M$5+0.000000001,F3943&gt;=01_因子設定!$L$6-0.000000001,F3943&lt;=01_因子設定!$M$6+0.000000001,G3943&gt;=01_因子設定!$L$7-0.000000001,G3943&lt;=01_因子設定!$M$7+0.000000001,H3943&gt;=01_因子設定!$L$8-0.000000001,H3943&lt;=01_因子設定!$M$8+0.000000001,IF(01_因子設定!$B$20="Box-Behnken",E3943^2+F3943^2+G3943^2+H3943^2&lt;=2+0.000000001,TRUE()))</f>
        <v>1</v>
      </c>
      <c r="AD3943" s="55" t="n">
        <f aca="false">IF(AC3943,IF(01_因子設定!$B$13="最大化",AA3943-01_因子設定!$B$14,IF(01_因子設定!$B$13="最小化",01_因子設定!$B$15-AB3943,MIN(AA3943-01_因子設定!$B$14,01_因子設定!$B$15-AB3943))),-1E+030)</f>
        <v>-0.114568020201986</v>
      </c>
      <c r="AE3943" s="55" t="n">
        <f aca="false">IF(AC3943,IF(01_因子設定!$B$13="最大化",X3943,IF(01_因子設定!$B$13="最小化",-X3943,-ABS(X3943-01_因子設定!$B$16))),-1E+030)</f>
        <v>47.7521244517543</v>
      </c>
      <c r="AF3943" s="55" t="n">
        <f aca="false">AD3943+ROW()*0.000000001</f>
        <v>-0.114564077201986</v>
      </c>
      <c r="AG3943" s="55" t="n">
        <f aca="false">AE3943+ROW()*0.000000001</f>
        <v>47.7521283947543</v>
      </c>
    </row>
    <row r="3944" customFormat="false" ht="15" hidden="false" customHeight="false" outlineLevel="0" collapsed="false">
      <c r="A3944" s="0" t="n">
        <v>5</v>
      </c>
      <c r="B3944" s="0" t="n">
        <v>3</v>
      </c>
      <c r="C3944" s="0" t="n">
        <v>5</v>
      </c>
      <c r="D3944" s="0" t="n">
        <v>6</v>
      </c>
      <c r="E3944" s="0" t="n">
        <f aca="false">-1+A3944*0.25</f>
        <v>0.25</v>
      </c>
      <c r="F3944" s="0" t="n">
        <f aca="false">-1+B3944*0.25</f>
        <v>-0.25</v>
      </c>
      <c r="G3944" s="0" t="n">
        <f aca="false">-1+C3944*0.25</f>
        <v>0.25</v>
      </c>
      <c r="H3944" s="0" t="n">
        <f aca="false">-1+D3944*0.25</f>
        <v>0.5</v>
      </c>
      <c r="I3944" s="0" t="n">
        <f aca="false">1</f>
        <v>1</v>
      </c>
      <c r="J3944" s="0" t="n">
        <f aca="false">E3944</f>
        <v>0.25</v>
      </c>
      <c r="K3944" s="0" t="n">
        <f aca="false">F3944</f>
        <v>-0.25</v>
      </c>
      <c r="L3944" s="0" t="n">
        <f aca="false">G3944</f>
        <v>0.25</v>
      </c>
      <c r="M3944" s="0" t="n">
        <f aca="false">H3944</f>
        <v>0.5</v>
      </c>
      <c r="N3944" s="0" t="n">
        <f aca="false">E3944*F3944</f>
        <v>-0.0625</v>
      </c>
      <c r="O3944" s="0" t="n">
        <f aca="false">E3944*G3944</f>
        <v>0.0625</v>
      </c>
      <c r="P3944" s="0" t="n">
        <f aca="false">E3944*H3944</f>
        <v>0.125</v>
      </c>
      <c r="Q3944" s="0" t="n">
        <f aca="false">F3944*G3944</f>
        <v>-0.0625</v>
      </c>
      <c r="R3944" s="0" t="n">
        <f aca="false">F3944*H3944</f>
        <v>-0.125</v>
      </c>
      <c r="S3944" s="0" t="n">
        <f aca="false">G3944*H3944</f>
        <v>0.125</v>
      </c>
      <c r="T3944" s="0" t="n">
        <f aca="false">E3944*E3944</f>
        <v>0.0625</v>
      </c>
      <c r="U3944" s="0" t="n">
        <f aca="false">F3944*F3944</f>
        <v>0.0625</v>
      </c>
      <c r="V3944" s="0" t="n">
        <f aca="false">G3944*G3944</f>
        <v>0.0625</v>
      </c>
      <c r="W3944" s="0" t="n">
        <f aca="false">H3944*H3944</f>
        <v>0.25</v>
      </c>
      <c r="X3944" s="0" t="n">
        <f aca="false">SUMPRODUCT(I3944:W3944,_XtX!$B$96:$P$96)</f>
        <v>47.8208653143274</v>
      </c>
      <c r="Y3944" s="0" t="n">
        <f aca="false">SUMPRODUCT(MMULT(I3944:W3944,_XtX!$B$78:$P$92),I3944:W3944)</f>
        <v>0.116714923702485</v>
      </c>
      <c r="Z3944" s="0" t="n">
        <f aca="false">04_回帰ANOVA!$K$19*04_回帰ANOVA!$K$14*SQRT(1+Y3944)</f>
        <v>1.37743004820023</v>
      </c>
      <c r="AA3944" s="0" t="n">
        <f aca="false">X3944-Z3944</f>
        <v>46.4434352661272</v>
      </c>
      <c r="AB3944" s="0" t="n">
        <f aca="false">X3944+Z3944</f>
        <v>49.1982953625277</v>
      </c>
      <c r="AC3944" s="54" t="b">
        <f aca="false">AND(E3944&gt;=01_因子設定!$L$5-0.000000001,E3944&lt;=01_因子設定!$M$5+0.000000001,F3944&gt;=01_因子設定!$L$6-0.000000001,F3944&lt;=01_因子設定!$M$6+0.000000001,G3944&gt;=01_因子設定!$L$7-0.000000001,G3944&lt;=01_因子設定!$M$7+0.000000001,H3944&gt;=01_因子設定!$L$8-0.000000001,H3944&lt;=01_因子設定!$M$8+0.000000001,IF(01_因子設定!$B$20="Box-Behnken",E3944^2+F3944^2+G3944^2+H3944^2&lt;=2+0.000000001,TRUE()))</f>
        <v>1</v>
      </c>
      <c r="AD3944" s="55" t="n">
        <f aca="false">IF(AC3944,IF(01_因子設定!$B$13="最大化",AA3944-01_因子設定!$B$14,IF(01_因子設定!$B$13="最小化",01_因子設定!$B$15-AB3944,MIN(AA3944-01_因子設定!$B$14,01_因子設定!$B$15-AB3944))),-1E+030)</f>
        <v>-0.0565647338727899</v>
      </c>
      <c r="AE3944" s="55" t="n">
        <f aca="false">IF(AC3944,IF(01_因子設定!$B$13="最大化",X3944,IF(01_因子設定!$B$13="最小化",-X3944,-ABS(X3944-01_因子設定!$B$16))),-1E+030)</f>
        <v>47.8208653143274</v>
      </c>
      <c r="AF3944" s="55" t="n">
        <f aca="false">AD3944+ROW()*0.000000001</f>
        <v>-0.0565607898727899</v>
      </c>
      <c r="AG3944" s="55" t="n">
        <f aca="false">AE3944+ROW()*0.000000001</f>
        <v>47.8208692583274</v>
      </c>
    </row>
    <row r="3945" customFormat="false" ht="15" hidden="false" customHeight="false" outlineLevel="0" collapsed="false">
      <c r="A3945" s="0" t="n">
        <v>5</v>
      </c>
      <c r="B3945" s="0" t="n">
        <v>3</v>
      </c>
      <c r="C3945" s="0" t="n">
        <v>5</v>
      </c>
      <c r="D3945" s="0" t="n">
        <v>7</v>
      </c>
      <c r="E3945" s="0" t="n">
        <f aca="false">-1+A3945*0.25</f>
        <v>0.25</v>
      </c>
      <c r="F3945" s="0" t="n">
        <f aca="false">-1+B3945*0.25</f>
        <v>-0.25</v>
      </c>
      <c r="G3945" s="0" t="n">
        <f aca="false">-1+C3945*0.25</f>
        <v>0.25</v>
      </c>
      <c r="H3945" s="0" t="n">
        <f aca="false">-1+D3945*0.25</f>
        <v>0.75</v>
      </c>
      <c r="I3945" s="0" t="n">
        <f aca="false">1</f>
        <v>1</v>
      </c>
      <c r="J3945" s="0" t="n">
        <f aca="false">E3945</f>
        <v>0.25</v>
      </c>
      <c r="K3945" s="0" t="n">
        <f aca="false">F3945</f>
        <v>-0.25</v>
      </c>
      <c r="L3945" s="0" t="n">
        <f aca="false">G3945</f>
        <v>0.25</v>
      </c>
      <c r="M3945" s="0" t="n">
        <f aca="false">H3945</f>
        <v>0.75</v>
      </c>
      <c r="N3945" s="0" t="n">
        <f aca="false">E3945*F3945</f>
        <v>-0.0625</v>
      </c>
      <c r="O3945" s="0" t="n">
        <f aca="false">E3945*G3945</f>
        <v>0.0625</v>
      </c>
      <c r="P3945" s="0" t="n">
        <f aca="false">E3945*H3945</f>
        <v>0.1875</v>
      </c>
      <c r="Q3945" s="0" t="n">
        <f aca="false">F3945*G3945</f>
        <v>-0.0625</v>
      </c>
      <c r="R3945" s="0" t="n">
        <f aca="false">F3945*H3945</f>
        <v>-0.1875</v>
      </c>
      <c r="S3945" s="0" t="n">
        <f aca="false">G3945*H3945</f>
        <v>0.1875</v>
      </c>
      <c r="T3945" s="0" t="n">
        <f aca="false">E3945*E3945</f>
        <v>0.0625</v>
      </c>
      <c r="U3945" s="0" t="n">
        <f aca="false">F3945*F3945</f>
        <v>0.0625</v>
      </c>
      <c r="V3945" s="0" t="n">
        <f aca="false">G3945*G3945</f>
        <v>0.0625</v>
      </c>
      <c r="W3945" s="0" t="n">
        <f aca="false">H3945*H3945</f>
        <v>0.5625</v>
      </c>
      <c r="X3945" s="0" t="n">
        <f aca="false">SUMPRODUCT(I3945:W3945,_XtX!$B$96:$P$96)</f>
        <v>47.8417991593567</v>
      </c>
      <c r="Y3945" s="0" t="n">
        <f aca="false">SUMPRODUCT(MMULT(I3945:W3945,_XtX!$B$78:$P$92),I3945:W3945)</f>
        <v>0.205926192434211</v>
      </c>
      <c r="Z3945" s="0" t="n">
        <f aca="false">04_回帰ANOVA!$K$19*04_回帰ANOVA!$K$14*SQRT(1+Y3945)</f>
        <v>1.43139256396246</v>
      </c>
      <c r="AA3945" s="0" t="n">
        <f aca="false">X3945-Z3945</f>
        <v>46.4104065953942</v>
      </c>
      <c r="AB3945" s="0" t="n">
        <f aca="false">X3945+Z3945</f>
        <v>49.2731917233191</v>
      </c>
      <c r="AC3945" s="54" t="b">
        <f aca="false">AND(E3945&gt;=01_因子設定!$L$5-0.000000001,E3945&lt;=01_因子設定!$M$5+0.000000001,F3945&gt;=01_因子設定!$L$6-0.000000001,F3945&lt;=01_因子設定!$M$6+0.000000001,G3945&gt;=01_因子設定!$L$7-0.000000001,G3945&lt;=01_因子設定!$M$7+0.000000001,H3945&gt;=01_因子設定!$L$8-0.000000001,H3945&lt;=01_因子設定!$M$8+0.000000001,IF(01_因子設定!$B$20="Box-Behnken",E3945^2+F3945^2+G3945^2+H3945^2&lt;=2+0.000000001,TRUE()))</f>
        <v>1</v>
      </c>
      <c r="AD3945" s="55" t="n">
        <f aca="false">IF(AC3945,IF(01_因子設定!$B$13="最大化",AA3945-01_因子設定!$B$14,IF(01_因子設定!$B$13="最小化",01_因子設定!$B$15-AB3945,MIN(AA3945-01_因子設定!$B$14,01_因子設定!$B$15-AB3945))),-1E+030)</f>
        <v>-0.0895934046057789</v>
      </c>
      <c r="AE3945" s="55" t="n">
        <f aca="false">IF(AC3945,IF(01_因子設定!$B$13="最大化",X3945,IF(01_因子設定!$B$13="最小化",-X3945,-ABS(X3945-01_因子設定!$B$16))),-1E+030)</f>
        <v>47.8417991593567</v>
      </c>
      <c r="AF3945" s="55" t="n">
        <f aca="false">AD3945+ROW()*0.000000001</f>
        <v>-0.0895894596057789</v>
      </c>
      <c r="AG3945" s="55" t="n">
        <f aca="false">AE3945+ROW()*0.000000001</f>
        <v>47.8418031043567</v>
      </c>
    </row>
    <row r="3946" customFormat="false" ht="15" hidden="false" customHeight="false" outlineLevel="0" collapsed="false">
      <c r="A3946" s="0" t="n">
        <v>5</v>
      </c>
      <c r="B3946" s="0" t="n">
        <v>3</v>
      </c>
      <c r="C3946" s="0" t="n">
        <v>5</v>
      </c>
      <c r="D3946" s="0" t="n">
        <v>8</v>
      </c>
      <c r="E3946" s="0" t="n">
        <f aca="false">-1+A3946*0.25</f>
        <v>0.25</v>
      </c>
      <c r="F3946" s="0" t="n">
        <f aca="false">-1+B3946*0.25</f>
        <v>-0.25</v>
      </c>
      <c r="G3946" s="0" t="n">
        <f aca="false">-1+C3946*0.25</f>
        <v>0.25</v>
      </c>
      <c r="H3946" s="0" t="n">
        <f aca="false">-1+D3946*0.25</f>
        <v>1</v>
      </c>
      <c r="I3946" s="0" t="n">
        <f aca="false">1</f>
        <v>1</v>
      </c>
      <c r="J3946" s="0" t="n">
        <f aca="false">E3946</f>
        <v>0.25</v>
      </c>
      <c r="K3946" s="0" t="n">
        <f aca="false">F3946</f>
        <v>-0.25</v>
      </c>
      <c r="L3946" s="0" t="n">
        <f aca="false">G3946</f>
        <v>0.25</v>
      </c>
      <c r="M3946" s="0" t="n">
        <f aca="false">H3946</f>
        <v>1</v>
      </c>
      <c r="N3946" s="0" t="n">
        <f aca="false">E3946*F3946</f>
        <v>-0.0625</v>
      </c>
      <c r="O3946" s="0" t="n">
        <f aca="false">E3946*G3946</f>
        <v>0.0625</v>
      </c>
      <c r="P3946" s="0" t="n">
        <f aca="false">E3946*H3946</f>
        <v>0.25</v>
      </c>
      <c r="Q3946" s="0" t="n">
        <f aca="false">F3946*G3946</f>
        <v>-0.0625</v>
      </c>
      <c r="R3946" s="0" t="n">
        <f aca="false">F3946*H3946</f>
        <v>-0.25</v>
      </c>
      <c r="S3946" s="0" t="n">
        <f aca="false">G3946*H3946</f>
        <v>0.25</v>
      </c>
      <c r="T3946" s="0" t="n">
        <f aca="false">E3946*E3946</f>
        <v>0.0625</v>
      </c>
      <c r="U3946" s="0" t="n">
        <f aca="false">F3946*F3946</f>
        <v>0.0625</v>
      </c>
      <c r="V3946" s="0" t="n">
        <f aca="false">G3946*G3946</f>
        <v>0.0625</v>
      </c>
      <c r="W3946" s="0" t="n">
        <f aca="false">H3946*H3946</f>
        <v>1</v>
      </c>
      <c r="X3946" s="0" t="n">
        <f aca="false">SUMPRODUCT(I3946:W3946,_XtX!$B$96:$P$96)</f>
        <v>47.8149259868421</v>
      </c>
      <c r="Y3946" s="0" t="n">
        <f aca="false">SUMPRODUCT(MMULT(I3946:W3946,_XtX!$B$78:$P$92),I3946:W3946)</f>
        <v>0.457466705500731</v>
      </c>
      <c r="Z3946" s="0" t="n">
        <f aca="false">04_回帰ANOVA!$K$19*04_回帰ANOVA!$K$14*SQRT(1+Y3946)</f>
        <v>1.57361220003999</v>
      </c>
      <c r="AA3946" s="0" t="n">
        <f aca="false">X3946-Z3946</f>
        <v>46.2413137868021</v>
      </c>
      <c r="AB3946" s="0" t="n">
        <f aca="false">X3946+Z3946</f>
        <v>49.3885381868821</v>
      </c>
      <c r="AC3946" s="54" t="b">
        <f aca="false">AND(E3946&gt;=01_因子設定!$L$5-0.000000001,E3946&lt;=01_因子設定!$M$5+0.000000001,F3946&gt;=01_因子設定!$L$6-0.000000001,F3946&lt;=01_因子設定!$M$6+0.000000001,G3946&gt;=01_因子設定!$L$7-0.000000001,G3946&lt;=01_因子設定!$M$7+0.000000001,H3946&gt;=01_因子設定!$L$8-0.000000001,H3946&lt;=01_因子設定!$M$8+0.000000001,IF(01_因子設定!$B$20="Box-Behnken",E3946^2+F3946^2+G3946^2+H3946^2&lt;=2+0.000000001,TRUE()))</f>
        <v>1</v>
      </c>
      <c r="AD3946" s="55" t="n">
        <f aca="false">IF(AC3946,IF(01_因子設定!$B$13="最大化",AA3946-01_因子設定!$B$14,IF(01_因子設定!$B$13="最小化",01_因子設定!$B$15-AB3946,MIN(AA3946-01_因子設定!$B$14,01_因子設定!$B$15-AB3946))),-1E+030)</f>
        <v>-0.258686213197912</v>
      </c>
      <c r="AE3946" s="55" t="n">
        <f aca="false">IF(AC3946,IF(01_因子設定!$B$13="最大化",X3946,IF(01_因子設定!$B$13="最小化",-X3946,-ABS(X3946-01_因子設定!$B$16))),-1E+030)</f>
        <v>47.8149259868421</v>
      </c>
      <c r="AF3946" s="55" t="n">
        <f aca="false">AD3946+ROW()*0.000000001</f>
        <v>-0.258682267197912</v>
      </c>
      <c r="AG3946" s="55" t="n">
        <f aca="false">AE3946+ROW()*0.000000001</f>
        <v>47.8149299328421</v>
      </c>
    </row>
    <row r="3947" customFormat="false" ht="15" hidden="false" customHeight="false" outlineLevel="0" collapsed="false">
      <c r="A3947" s="0" t="n">
        <v>5</v>
      </c>
      <c r="B3947" s="0" t="n">
        <v>3</v>
      </c>
      <c r="C3947" s="0" t="n">
        <v>6</v>
      </c>
      <c r="D3947" s="0" t="n">
        <v>0</v>
      </c>
      <c r="E3947" s="0" t="n">
        <f aca="false">-1+A3947*0.25</f>
        <v>0.25</v>
      </c>
      <c r="F3947" s="0" t="n">
        <f aca="false">-1+B3947*0.25</f>
        <v>-0.25</v>
      </c>
      <c r="G3947" s="0" t="n">
        <f aca="false">-1+C3947*0.25</f>
        <v>0.5</v>
      </c>
      <c r="H3947" s="0" t="n">
        <f aca="false">-1+D3947*0.25</f>
        <v>-1</v>
      </c>
      <c r="I3947" s="0" t="n">
        <f aca="false">1</f>
        <v>1</v>
      </c>
      <c r="J3947" s="0" t="n">
        <f aca="false">E3947</f>
        <v>0.25</v>
      </c>
      <c r="K3947" s="0" t="n">
        <f aca="false">F3947</f>
        <v>-0.25</v>
      </c>
      <c r="L3947" s="0" t="n">
        <f aca="false">G3947</f>
        <v>0.5</v>
      </c>
      <c r="M3947" s="0" t="n">
        <f aca="false">H3947</f>
        <v>-1</v>
      </c>
      <c r="N3947" s="0" t="n">
        <f aca="false">E3947*F3947</f>
        <v>-0.0625</v>
      </c>
      <c r="O3947" s="0" t="n">
        <f aca="false">E3947*G3947</f>
        <v>0.125</v>
      </c>
      <c r="P3947" s="0" t="n">
        <f aca="false">E3947*H3947</f>
        <v>-0.25</v>
      </c>
      <c r="Q3947" s="0" t="n">
        <f aca="false">F3947*G3947</f>
        <v>-0.125</v>
      </c>
      <c r="R3947" s="0" t="n">
        <f aca="false">F3947*H3947</f>
        <v>0.25</v>
      </c>
      <c r="S3947" s="0" t="n">
        <f aca="false">G3947*H3947</f>
        <v>-0.5</v>
      </c>
      <c r="T3947" s="0" t="n">
        <f aca="false">E3947*E3947</f>
        <v>0.0625</v>
      </c>
      <c r="U3947" s="0" t="n">
        <f aca="false">F3947*F3947</f>
        <v>0.0625</v>
      </c>
      <c r="V3947" s="0" t="n">
        <f aca="false">G3947*G3947</f>
        <v>0.25</v>
      </c>
      <c r="W3947" s="0" t="n">
        <f aca="false">H3947*H3947</f>
        <v>1</v>
      </c>
      <c r="X3947" s="0" t="n">
        <f aca="false">SUMPRODUCT(I3947:W3947,_XtX!$B$96:$P$96)</f>
        <v>46.6771564327485</v>
      </c>
      <c r="Y3947" s="0" t="n">
        <f aca="false">SUMPRODUCT(MMULT(I3947:W3947,_XtX!$B$78:$P$92),I3947:W3947)</f>
        <v>0.445705123812135</v>
      </c>
      <c r="Z3947" s="0" t="n">
        <f aca="false">04_回帰ANOVA!$K$19*04_回帰ANOVA!$K$14*SQRT(1+Y3947)</f>
        <v>1.56724990734749</v>
      </c>
      <c r="AA3947" s="0" t="n">
        <f aca="false">X3947-Z3947</f>
        <v>45.109906525401</v>
      </c>
      <c r="AB3947" s="0" t="n">
        <f aca="false">X3947+Z3947</f>
        <v>48.244406340096</v>
      </c>
      <c r="AC3947" s="54" t="b">
        <f aca="false">AND(E3947&gt;=01_因子設定!$L$5-0.000000001,E3947&lt;=01_因子設定!$M$5+0.000000001,F3947&gt;=01_因子設定!$L$6-0.000000001,F3947&lt;=01_因子設定!$M$6+0.000000001,G3947&gt;=01_因子設定!$L$7-0.000000001,G3947&lt;=01_因子設定!$M$7+0.000000001,H3947&gt;=01_因子設定!$L$8-0.000000001,H3947&lt;=01_因子設定!$M$8+0.000000001,IF(01_因子設定!$B$20="Box-Behnken",E3947^2+F3947^2+G3947^2+H3947^2&lt;=2+0.000000001,TRUE()))</f>
        <v>1</v>
      </c>
      <c r="AD3947" s="55" t="n">
        <f aca="false">IF(AC3947,IF(01_因子設定!$B$13="最大化",AA3947-01_因子設定!$B$14,IF(01_因子設定!$B$13="最小化",01_因子設定!$B$15-AB3947,MIN(AA3947-01_因子設定!$B$14,01_因子設定!$B$15-AB3947))),-1E+030)</f>
        <v>-1.39009347459897</v>
      </c>
      <c r="AE3947" s="55" t="n">
        <f aca="false">IF(AC3947,IF(01_因子設定!$B$13="最大化",X3947,IF(01_因子設定!$B$13="最小化",-X3947,-ABS(X3947-01_因子設定!$B$16))),-1E+030)</f>
        <v>46.6771564327485</v>
      </c>
      <c r="AF3947" s="55" t="n">
        <f aca="false">AD3947+ROW()*0.000000001</f>
        <v>-1.39008952759897</v>
      </c>
      <c r="AG3947" s="55" t="n">
        <f aca="false">AE3947+ROW()*0.000000001</f>
        <v>46.6771603797485</v>
      </c>
    </row>
    <row r="3948" customFormat="false" ht="15" hidden="false" customHeight="false" outlineLevel="0" collapsed="false">
      <c r="A3948" s="0" t="n">
        <v>5</v>
      </c>
      <c r="B3948" s="0" t="n">
        <v>3</v>
      </c>
      <c r="C3948" s="0" t="n">
        <v>6</v>
      </c>
      <c r="D3948" s="0" t="n">
        <v>1</v>
      </c>
      <c r="E3948" s="0" t="n">
        <f aca="false">-1+A3948*0.25</f>
        <v>0.25</v>
      </c>
      <c r="F3948" s="0" t="n">
        <f aca="false">-1+B3948*0.25</f>
        <v>-0.25</v>
      </c>
      <c r="G3948" s="0" t="n">
        <f aca="false">-1+C3948*0.25</f>
        <v>0.5</v>
      </c>
      <c r="H3948" s="0" t="n">
        <f aca="false">-1+D3948*0.25</f>
        <v>-0.75</v>
      </c>
      <c r="I3948" s="0" t="n">
        <f aca="false">1</f>
        <v>1</v>
      </c>
      <c r="J3948" s="0" t="n">
        <f aca="false">E3948</f>
        <v>0.25</v>
      </c>
      <c r="K3948" s="0" t="n">
        <f aca="false">F3948</f>
        <v>-0.25</v>
      </c>
      <c r="L3948" s="0" t="n">
        <f aca="false">G3948</f>
        <v>0.5</v>
      </c>
      <c r="M3948" s="0" t="n">
        <f aca="false">H3948</f>
        <v>-0.75</v>
      </c>
      <c r="N3948" s="0" t="n">
        <f aca="false">E3948*F3948</f>
        <v>-0.0625</v>
      </c>
      <c r="O3948" s="0" t="n">
        <f aca="false">E3948*G3948</f>
        <v>0.125</v>
      </c>
      <c r="P3948" s="0" t="n">
        <f aca="false">E3948*H3948</f>
        <v>-0.1875</v>
      </c>
      <c r="Q3948" s="0" t="n">
        <f aca="false">F3948*G3948</f>
        <v>-0.125</v>
      </c>
      <c r="R3948" s="0" t="n">
        <f aca="false">F3948*H3948</f>
        <v>0.1875</v>
      </c>
      <c r="S3948" s="0" t="n">
        <f aca="false">G3948*H3948</f>
        <v>-0.375</v>
      </c>
      <c r="T3948" s="0" t="n">
        <f aca="false">E3948*E3948</f>
        <v>0.0625</v>
      </c>
      <c r="U3948" s="0" t="n">
        <f aca="false">F3948*F3948</f>
        <v>0.0625</v>
      </c>
      <c r="V3948" s="0" t="n">
        <f aca="false">G3948*G3948</f>
        <v>0.25</v>
      </c>
      <c r="W3948" s="0" t="n">
        <f aca="false">H3948*H3948</f>
        <v>0.5625</v>
      </c>
      <c r="X3948" s="0" t="n">
        <f aca="false">SUMPRODUCT(I3948:W3948,_XtX!$B$96:$P$96)</f>
        <v>47.0029011330409</v>
      </c>
      <c r="Y3948" s="0" t="n">
        <f aca="false">SUMPRODUCT(MMULT(I3948:W3948,_XtX!$B$78:$P$92),I3948:W3948)</f>
        <v>0.207746539199561</v>
      </c>
      <c r="Z3948" s="0" t="n">
        <f aca="false">04_回帰ANOVA!$K$19*04_回帰ANOVA!$K$14*SQRT(1+Y3948)</f>
        <v>1.43247250081141</v>
      </c>
      <c r="AA3948" s="0" t="n">
        <f aca="false">X3948-Z3948</f>
        <v>45.5704286322295</v>
      </c>
      <c r="AB3948" s="0" t="n">
        <f aca="false">X3948+Z3948</f>
        <v>48.4353736338523</v>
      </c>
      <c r="AC3948" s="54" t="b">
        <f aca="false">AND(E3948&gt;=01_因子設定!$L$5-0.000000001,E3948&lt;=01_因子設定!$M$5+0.000000001,F3948&gt;=01_因子設定!$L$6-0.000000001,F3948&lt;=01_因子設定!$M$6+0.000000001,G3948&gt;=01_因子設定!$L$7-0.000000001,G3948&lt;=01_因子設定!$M$7+0.000000001,H3948&gt;=01_因子設定!$L$8-0.000000001,H3948&lt;=01_因子設定!$M$8+0.000000001,IF(01_因子設定!$B$20="Box-Behnken",E3948^2+F3948^2+G3948^2+H3948^2&lt;=2+0.000000001,TRUE()))</f>
        <v>1</v>
      </c>
      <c r="AD3948" s="55" t="n">
        <f aca="false">IF(AC3948,IF(01_因子設定!$B$13="最大化",AA3948-01_因子設定!$B$14,IF(01_因子設定!$B$13="最小化",01_因子設定!$B$15-AB3948,MIN(AA3948-01_因子設定!$B$14,01_因子設定!$B$15-AB3948))),-1E+030)</f>
        <v>-0.929571367770507</v>
      </c>
      <c r="AE3948" s="55" t="n">
        <f aca="false">IF(AC3948,IF(01_因子設定!$B$13="最大化",X3948,IF(01_因子設定!$B$13="最小化",-X3948,-ABS(X3948-01_因子設定!$B$16))),-1E+030)</f>
        <v>47.0029011330409</v>
      </c>
      <c r="AF3948" s="55" t="n">
        <f aca="false">AD3948+ROW()*0.000000001</f>
        <v>-0.929567419770507</v>
      </c>
      <c r="AG3948" s="55" t="n">
        <f aca="false">AE3948+ROW()*0.000000001</f>
        <v>47.0029050810409</v>
      </c>
    </row>
    <row r="3949" customFormat="false" ht="15" hidden="false" customHeight="false" outlineLevel="0" collapsed="false">
      <c r="A3949" s="0" t="n">
        <v>5</v>
      </c>
      <c r="B3949" s="0" t="n">
        <v>3</v>
      </c>
      <c r="C3949" s="0" t="n">
        <v>6</v>
      </c>
      <c r="D3949" s="0" t="n">
        <v>2</v>
      </c>
      <c r="E3949" s="0" t="n">
        <f aca="false">-1+A3949*0.25</f>
        <v>0.25</v>
      </c>
      <c r="F3949" s="0" t="n">
        <f aca="false">-1+B3949*0.25</f>
        <v>-0.25</v>
      </c>
      <c r="G3949" s="0" t="n">
        <f aca="false">-1+C3949*0.25</f>
        <v>0.5</v>
      </c>
      <c r="H3949" s="0" t="n">
        <f aca="false">-1+D3949*0.25</f>
        <v>-0.5</v>
      </c>
      <c r="I3949" s="0" t="n">
        <f aca="false">1</f>
        <v>1</v>
      </c>
      <c r="J3949" s="0" t="n">
        <f aca="false">E3949</f>
        <v>0.25</v>
      </c>
      <c r="K3949" s="0" t="n">
        <f aca="false">F3949</f>
        <v>-0.25</v>
      </c>
      <c r="L3949" s="0" t="n">
        <f aca="false">G3949</f>
        <v>0.5</v>
      </c>
      <c r="M3949" s="0" t="n">
        <f aca="false">H3949</f>
        <v>-0.5</v>
      </c>
      <c r="N3949" s="0" t="n">
        <f aca="false">E3949*F3949</f>
        <v>-0.0625</v>
      </c>
      <c r="O3949" s="0" t="n">
        <f aca="false">E3949*G3949</f>
        <v>0.125</v>
      </c>
      <c r="P3949" s="0" t="n">
        <f aca="false">E3949*H3949</f>
        <v>-0.125</v>
      </c>
      <c r="Q3949" s="0" t="n">
        <f aca="false">F3949*G3949</f>
        <v>-0.125</v>
      </c>
      <c r="R3949" s="0" t="n">
        <f aca="false">F3949*H3949</f>
        <v>0.125</v>
      </c>
      <c r="S3949" s="0" t="n">
        <f aca="false">G3949*H3949</f>
        <v>-0.25</v>
      </c>
      <c r="T3949" s="0" t="n">
        <f aca="false">E3949*E3949</f>
        <v>0.0625</v>
      </c>
      <c r="U3949" s="0" t="n">
        <f aca="false">F3949*F3949</f>
        <v>0.0625</v>
      </c>
      <c r="V3949" s="0" t="n">
        <f aca="false">G3949*G3949</f>
        <v>0.25</v>
      </c>
      <c r="W3949" s="0" t="n">
        <f aca="false">H3949*H3949</f>
        <v>0.25</v>
      </c>
      <c r="X3949" s="0" t="n">
        <f aca="false">SUMPRODUCT(I3949:W3949,_XtX!$B$96:$P$96)</f>
        <v>47.2808388157894</v>
      </c>
      <c r="Y3949" s="0" t="n">
        <f aca="false">SUMPRODUCT(MMULT(I3949:W3949,_XtX!$B$78:$P$92),I3949:W3949)</f>
        <v>0.128236647934942</v>
      </c>
      <c r="Z3949" s="0" t="n">
        <f aca="false">04_回帰ANOVA!$K$19*04_回帰ANOVA!$K$14*SQRT(1+Y3949)</f>
        <v>1.38451764188989</v>
      </c>
      <c r="AA3949" s="0" t="n">
        <f aca="false">X3949-Z3949</f>
        <v>45.8963211738995</v>
      </c>
      <c r="AB3949" s="0" t="n">
        <f aca="false">X3949+Z3949</f>
        <v>48.6653564576793</v>
      </c>
      <c r="AC3949" s="54" t="b">
        <f aca="false">AND(E3949&gt;=01_因子設定!$L$5-0.000000001,E3949&lt;=01_因子設定!$M$5+0.000000001,F3949&gt;=01_因子設定!$L$6-0.000000001,F3949&lt;=01_因子設定!$M$6+0.000000001,G3949&gt;=01_因子設定!$L$7-0.000000001,G3949&lt;=01_因子設定!$M$7+0.000000001,H3949&gt;=01_因子設定!$L$8-0.000000001,H3949&lt;=01_因子設定!$M$8+0.000000001,IF(01_因子設定!$B$20="Box-Behnken",E3949^2+F3949^2+G3949^2+H3949^2&lt;=2+0.000000001,TRUE()))</f>
        <v>1</v>
      </c>
      <c r="AD3949" s="55" t="n">
        <f aca="false">IF(AC3949,IF(01_因子設定!$B$13="最大化",AA3949-01_因子設定!$B$14,IF(01_因子設定!$B$13="最小化",01_因子設定!$B$15-AB3949,MIN(AA3949-01_因子設定!$B$14,01_因子設定!$B$15-AB3949))),-1E+030)</f>
        <v>-0.603678826100463</v>
      </c>
      <c r="AE3949" s="55" t="n">
        <f aca="false">IF(AC3949,IF(01_因子設定!$B$13="最大化",X3949,IF(01_因子設定!$B$13="最小化",-X3949,-ABS(X3949-01_因子設定!$B$16))),-1E+030)</f>
        <v>47.2808388157894</v>
      </c>
      <c r="AF3949" s="55" t="n">
        <f aca="false">AD3949+ROW()*0.000000001</f>
        <v>-0.603674877100463</v>
      </c>
      <c r="AG3949" s="55" t="n">
        <f aca="false">AE3949+ROW()*0.000000001</f>
        <v>47.2808427647894</v>
      </c>
    </row>
    <row r="3950" customFormat="false" ht="15" hidden="false" customHeight="false" outlineLevel="0" collapsed="false">
      <c r="A3950" s="0" t="n">
        <v>5</v>
      </c>
      <c r="B3950" s="0" t="n">
        <v>3</v>
      </c>
      <c r="C3950" s="0" t="n">
        <v>6</v>
      </c>
      <c r="D3950" s="0" t="n">
        <v>3</v>
      </c>
      <c r="E3950" s="0" t="n">
        <f aca="false">-1+A3950*0.25</f>
        <v>0.25</v>
      </c>
      <c r="F3950" s="0" t="n">
        <f aca="false">-1+B3950*0.25</f>
        <v>-0.25</v>
      </c>
      <c r="G3950" s="0" t="n">
        <f aca="false">-1+C3950*0.25</f>
        <v>0.5</v>
      </c>
      <c r="H3950" s="0" t="n">
        <f aca="false">-1+D3950*0.25</f>
        <v>-0.25</v>
      </c>
      <c r="I3950" s="0" t="n">
        <f aca="false">1</f>
        <v>1</v>
      </c>
      <c r="J3950" s="0" t="n">
        <f aca="false">E3950</f>
        <v>0.25</v>
      </c>
      <c r="K3950" s="0" t="n">
        <f aca="false">F3950</f>
        <v>-0.25</v>
      </c>
      <c r="L3950" s="0" t="n">
        <f aca="false">G3950</f>
        <v>0.5</v>
      </c>
      <c r="M3950" s="0" t="n">
        <f aca="false">H3950</f>
        <v>-0.25</v>
      </c>
      <c r="N3950" s="0" t="n">
        <f aca="false">E3950*F3950</f>
        <v>-0.0625</v>
      </c>
      <c r="O3950" s="0" t="n">
        <f aca="false">E3950*G3950</f>
        <v>0.125</v>
      </c>
      <c r="P3950" s="0" t="n">
        <f aca="false">E3950*H3950</f>
        <v>-0.0625</v>
      </c>
      <c r="Q3950" s="0" t="n">
        <f aca="false">F3950*G3950</f>
        <v>-0.125</v>
      </c>
      <c r="R3950" s="0" t="n">
        <f aca="false">F3950*H3950</f>
        <v>0.0625</v>
      </c>
      <c r="S3950" s="0" t="n">
        <f aca="false">G3950*H3950</f>
        <v>-0.125</v>
      </c>
      <c r="T3950" s="0" t="n">
        <f aca="false">E3950*E3950</f>
        <v>0.0625</v>
      </c>
      <c r="U3950" s="0" t="n">
        <f aca="false">F3950*F3950</f>
        <v>0.0625</v>
      </c>
      <c r="V3950" s="0" t="n">
        <f aca="false">G3950*G3950</f>
        <v>0.25</v>
      </c>
      <c r="W3950" s="0" t="n">
        <f aca="false">H3950*H3950</f>
        <v>0.0625</v>
      </c>
      <c r="X3950" s="0" t="n">
        <f aca="false">SUMPRODUCT(I3950:W3950,_XtX!$B$96:$P$96)</f>
        <v>47.5109694809941</v>
      </c>
      <c r="Y3950" s="0" t="n">
        <f aca="false">SUMPRODUCT(MMULT(I3950:W3950,_XtX!$B$78:$P$92),I3950:W3950)</f>
        <v>0.116714923702485</v>
      </c>
      <c r="Z3950" s="0" t="n">
        <f aca="false">04_回帰ANOVA!$K$19*04_回帰ANOVA!$K$14*SQRT(1+Y3950)</f>
        <v>1.37743004820023</v>
      </c>
      <c r="AA3950" s="0" t="n">
        <f aca="false">X3950-Z3950</f>
        <v>46.1335394327939</v>
      </c>
      <c r="AB3950" s="0" t="n">
        <f aca="false">X3950+Z3950</f>
        <v>48.8883995291943</v>
      </c>
      <c r="AC3950" s="54" t="b">
        <f aca="false">AND(E3950&gt;=01_因子設定!$L$5-0.000000001,E3950&lt;=01_因子設定!$M$5+0.000000001,F3950&gt;=01_因子設定!$L$6-0.000000001,F3950&lt;=01_因子設定!$M$6+0.000000001,G3950&gt;=01_因子設定!$L$7-0.000000001,G3950&lt;=01_因子設定!$M$7+0.000000001,H3950&gt;=01_因子設定!$L$8-0.000000001,H3950&lt;=01_因子設定!$M$8+0.000000001,IF(01_因子設定!$B$20="Box-Behnken",E3950^2+F3950^2+G3950^2+H3950^2&lt;=2+0.000000001,TRUE()))</f>
        <v>1</v>
      </c>
      <c r="AD3950" s="55" t="n">
        <f aca="false">IF(AC3950,IF(01_因子設定!$B$13="最大化",AA3950-01_因子設定!$B$14,IF(01_因子設定!$B$13="最小化",01_因子設定!$B$15-AB3950,MIN(AA3950-01_因子設定!$B$14,01_因子設定!$B$15-AB3950))),-1E+030)</f>
        <v>-0.366460567206133</v>
      </c>
      <c r="AE3950" s="55" t="n">
        <f aca="false">IF(AC3950,IF(01_因子設定!$B$13="最大化",X3950,IF(01_因子設定!$B$13="最小化",-X3950,-ABS(X3950-01_因子設定!$B$16))),-1E+030)</f>
        <v>47.5109694809941</v>
      </c>
      <c r="AF3950" s="55" t="n">
        <f aca="false">AD3950+ROW()*0.000000001</f>
        <v>-0.366456617206133</v>
      </c>
      <c r="AG3950" s="55" t="n">
        <f aca="false">AE3950+ROW()*0.000000001</f>
        <v>47.5109734309941</v>
      </c>
    </row>
    <row r="3951" customFormat="false" ht="15" hidden="false" customHeight="false" outlineLevel="0" collapsed="false">
      <c r="A3951" s="0" t="n">
        <v>5</v>
      </c>
      <c r="B3951" s="0" t="n">
        <v>3</v>
      </c>
      <c r="C3951" s="0" t="n">
        <v>6</v>
      </c>
      <c r="D3951" s="0" t="n">
        <v>4</v>
      </c>
      <c r="E3951" s="0" t="n">
        <f aca="false">-1+A3951*0.25</f>
        <v>0.25</v>
      </c>
      <c r="F3951" s="0" t="n">
        <f aca="false">-1+B3951*0.25</f>
        <v>-0.25</v>
      </c>
      <c r="G3951" s="0" t="n">
        <f aca="false">-1+C3951*0.25</f>
        <v>0.5</v>
      </c>
      <c r="H3951" s="0" t="n">
        <f aca="false">-1+D3951*0.25</f>
        <v>0</v>
      </c>
      <c r="I3951" s="0" t="n">
        <f aca="false">1</f>
        <v>1</v>
      </c>
      <c r="J3951" s="0" t="n">
        <f aca="false">E3951</f>
        <v>0.25</v>
      </c>
      <c r="K3951" s="0" t="n">
        <f aca="false">F3951</f>
        <v>-0.25</v>
      </c>
      <c r="L3951" s="0" t="n">
        <f aca="false">G3951</f>
        <v>0.5</v>
      </c>
      <c r="M3951" s="0" t="n">
        <f aca="false">H3951</f>
        <v>0</v>
      </c>
      <c r="N3951" s="0" t="n">
        <f aca="false">E3951*F3951</f>
        <v>-0.0625</v>
      </c>
      <c r="O3951" s="0" t="n">
        <f aca="false">E3951*G3951</f>
        <v>0.125</v>
      </c>
      <c r="P3951" s="0" t="n">
        <f aca="false">E3951*H3951</f>
        <v>0</v>
      </c>
      <c r="Q3951" s="0" t="n">
        <f aca="false">F3951*G3951</f>
        <v>-0.125</v>
      </c>
      <c r="R3951" s="0" t="n">
        <f aca="false">F3951*H3951</f>
        <v>-0</v>
      </c>
      <c r="S3951" s="0" t="n">
        <f aca="false">G3951*H3951</f>
        <v>0</v>
      </c>
      <c r="T3951" s="0" t="n">
        <f aca="false">E3951*E3951</f>
        <v>0.0625</v>
      </c>
      <c r="U3951" s="0" t="n">
        <f aca="false">F3951*F3951</f>
        <v>0.0625</v>
      </c>
      <c r="V3951" s="0" t="n">
        <f aca="false">G3951*G3951</f>
        <v>0.25</v>
      </c>
      <c r="W3951" s="0" t="n">
        <f aca="false">H3951*H3951</f>
        <v>0</v>
      </c>
      <c r="X3951" s="0" t="n">
        <f aca="false">SUMPRODUCT(I3951:W3951,_XtX!$B$96:$P$96)</f>
        <v>47.6932931286549</v>
      </c>
      <c r="Y3951" s="0" t="n">
        <f aca="false">SUMPRODUCT(MMULT(I3951:W3951,_XtX!$B$78:$P$92),I3951:W3951)</f>
        <v>0.118905050712719</v>
      </c>
      <c r="Z3951" s="0" t="n">
        <f aca="false">04_回帰ANOVA!$K$19*04_回帰ANOVA!$K$14*SQRT(1+Y3951)</f>
        <v>1.37878011033769</v>
      </c>
      <c r="AA3951" s="0" t="n">
        <f aca="false">X3951-Z3951</f>
        <v>46.3145130183172</v>
      </c>
      <c r="AB3951" s="0" t="n">
        <f aca="false">X3951+Z3951</f>
        <v>49.0720732389926</v>
      </c>
      <c r="AC3951" s="54" t="b">
        <f aca="false">AND(E3951&gt;=01_因子設定!$L$5-0.000000001,E3951&lt;=01_因子設定!$M$5+0.000000001,F3951&gt;=01_因子設定!$L$6-0.000000001,F3951&lt;=01_因子設定!$M$6+0.000000001,G3951&gt;=01_因子設定!$L$7-0.000000001,G3951&lt;=01_因子設定!$M$7+0.000000001,H3951&gt;=01_因子設定!$L$8-0.000000001,H3951&lt;=01_因子設定!$M$8+0.000000001,IF(01_因子設定!$B$20="Box-Behnken",E3951^2+F3951^2+G3951^2+H3951^2&lt;=2+0.000000001,TRUE()))</f>
        <v>1</v>
      </c>
      <c r="AD3951" s="55" t="n">
        <f aca="false">IF(AC3951,IF(01_因子設定!$B$13="最大化",AA3951-01_因子設定!$B$14,IF(01_因子設定!$B$13="最小化",01_因子設定!$B$15-AB3951,MIN(AA3951-01_因子設定!$B$14,01_因子設定!$B$15-AB3951))),-1E+030)</f>
        <v>-0.185486981682779</v>
      </c>
      <c r="AE3951" s="55" t="n">
        <f aca="false">IF(AC3951,IF(01_因子設定!$B$13="最大化",X3951,IF(01_因子設定!$B$13="最小化",-X3951,-ABS(X3951-01_因子設定!$B$16))),-1E+030)</f>
        <v>47.6932931286549</v>
      </c>
      <c r="AF3951" s="55" t="n">
        <f aca="false">AD3951+ROW()*0.000000001</f>
        <v>-0.185483030682779</v>
      </c>
      <c r="AG3951" s="55" t="n">
        <f aca="false">AE3951+ROW()*0.000000001</f>
        <v>47.6932970796549</v>
      </c>
    </row>
    <row r="3952" customFormat="false" ht="15" hidden="false" customHeight="false" outlineLevel="0" collapsed="false">
      <c r="A3952" s="0" t="n">
        <v>5</v>
      </c>
      <c r="B3952" s="0" t="n">
        <v>3</v>
      </c>
      <c r="C3952" s="0" t="n">
        <v>6</v>
      </c>
      <c r="D3952" s="0" t="n">
        <v>5</v>
      </c>
      <c r="E3952" s="0" t="n">
        <f aca="false">-1+A3952*0.25</f>
        <v>0.25</v>
      </c>
      <c r="F3952" s="0" t="n">
        <f aca="false">-1+B3952*0.25</f>
        <v>-0.25</v>
      </c>
      <c r="G3952" s="0" t="n">
        <f aca="false">-1+C3952*0.25</f>
        <v>0.5</v>
      </c>
      <c r="H3952" s="0" t="n">
        <f aca="false">-1+D3952*0.25</f>
        <v>0.25</v>
      </c>
      <c r="I3952" s="0" t="n">
        <f aca="false">1</f>
        <v>1</v>
      </c>
      <c r="J3952" s="0" t="n">
        <f aca="false">E3952</f>
        <v>0.25</v>
      </c>
      <c r="K3952" s="0" t="n">
        <f aca="false">F3952</f>
        <v>-0.25</v>
      </c>
      <c r="L3952" s="0" t="n">
        <f aca="false">G3952</f>
        <v>0.5</v>
      </c>
      <c r="M3952" s="0" t="n">
        <f aca="false">H3952</f>
        <v>0.25</v>
      </c>
      <c r="N3952" s="0" t="n">
        <f aca="false">E3952*F3952</f>
        <v>-0.0625</v>
      </c>
      <c r="O3952" s="0" t="n">
        <f aca="false">E3952*G3952</f>
        <v>0.125</v>
      </c>
      <c r="P3952" s="0" t="n">
        <f aca="false">E3952*H3952</f>
        <v>0.0625</v>
      </c>
      <c r="Q3952" s="0" t="n">
        <f aca="false">F3952*G3952</f>
        <v>-0.125</v>
      </c>
      <c r="R3952" s="0" t="n">
        <f aca="false">F3952*H3952</f>
        <v>-0.0625</v>
      </c>
      <c r="S3952" s="0" t="n">
        <f aca="false">G3952*H3952</f>
        <v>0.125</v>
      </c>
      <c r="T3952" s="0" t="n">
        <f aca="false">E3952*E3952</f>
        <v>0.0625</v>
      </c>
      <c r="U3952" s="0" t="n">
        <f aca="false">F3952*F3952</f>
        <v>0.0625</v>
      </c>
      <c r="V3952" s="0" t="n">
        <f aca="false">G3952*G3952</f>
        <v>0.25</v>
      </c>
      <c r="W3952" s="0" t="n">
        <f aca="false">H3952*H3952</f>
        <v>0.0625</v>
      </c>
      <c r="X3952" s="0" t="n">
        <f aca="false">SUMPRODUCT(I3952:W3952,_XtX!$B$96:$P$96)</f>
        <v>47.8278097587719</v>
      </c>
      <c r="Y3952" s="0" t="n">
        <f aca="false">SUMPRODUCT(MMULT(I3952:W3952,_XtX!$B$78:$P$92),I3952:W3952)</f>
        <v>0.116714923702485</v>
      </c>
      <c r="Z3952" s="0" t="n">
        <f aca="false">04_回帰ANOVA!$K$19*04_回帰ANOVA!$K$14*SQRT(1+Y3952)</f>
        <v>1.37743004820023</v>
      </c>
      <c r="AA3952" s="0" t="n">
        <f aca="false">X3952-Z3952</f>
        <v>46.4503797105716</v>
      </c>
      <c r="AB3952" s="0" t="n">
        <f aca="false">X3952+Z3952</f>
        <v>49.2052398069721</v>
      </c>
      <c r="AC3952" s="54" t="b">
        <f aca="false">AND(E3952&gt;=01_因子設定!$L$5-0.000000001,E3952&lt;=01_因子設定!$M$5+0.000000001,F3952&gt;=01_因子設定!$L$6-0.000000001,F3952&lt;=01_因子設定!$M$6+0.000000001,G3952&gt;=01_因子設定!$L$7-0.000000001,G3952&lt;=01_因子設定!$M$7+0.000000001,H3952&gt;=01_因子設定!$L$8-0.000000001,H3952&lt;=01_因子設定!$M$8+0.000000001,IF(01_因子設定!$B$20="Box-Behnken",E3952^2+F3952^2+G3952^2+H3952^2&lt;=2+0.000000001,TRUE()))</f>
        <v>1</v>
      </c>
      <c r="AD3952" s="55" t="n">
        <f aca="false">IF(AC3952,IF(01_因子設定!$B$13="最大化",AA3952-01_因子設定!$B$14,IF(01_因子設定!$B$13="最小化",01_因子設定!$B$15-AB3952,MIN(AA3952-01_因子設定!$B$14,01_因子設定!$B$15-AB3952))),-1E+030)</f>
        <v>-0.0496202894283542</v>
      </c>
      <c r="AE3952" s="55" t="n">
        <f aca="false">IF(AC3952,IF(01_因子設定!$B$13="最大化",X3952,IF(01_因子設定!$B$13="最小化",-X3952,-ABS(X3952-01_因子設定!$B$16))),-1E+030)</f>
        <v>47.8278097587719</v>
      </c>
      <c r="AF3952" s="55" t="n">
        <f aca="false">AD3952+ROW()*0.000000001</f>
        <v>-0.0496163374283542</v>
      </c>
      <c r="AG3952" s="55" t="n">
        <f aca="false">AE3952+ROW()*0.000000001</f>
        <v>47.8278137107719</v>
      </c>
    </row>
    <row r="3953" customFormat="false" ht="15" hidden="false" customHeight="false" outlineLevel="0" collapsed="false">
      <c r="A3953" s="0" t="n">
        <v>5</v>
      </c>
      <c r="B3953" s="0" t="n">
        <v>3</v>
      </c>
      <c r="C3953" s="0" t="n">
        <v>6</v>
      </c>
      <c r="D3953" s="0" t="n">
        <v>6</v>
      </c>
      <c r="E3953" s="0" t="n">
        <f aca="false">-1+A3953*0.25</f>
        <v>0.25</v>
      </c>
      <c r="F3953" s="0" t="n">
        <f aca="false">-1+B3953*0.25</f>
        <v>-0.25</v>
      </c>
      <c r="G3953" s="0" t="n">
        <f aca="false">-1+C3953*0.25</f>
        <v>0.5</v>
      </c>
      <c r="H3953" s="0" t="n">
        <f aca="false">-1+D3953*0.25</f>
        <v>0.5</v>
      </c>
      <c r="I3953" s="0" t="n">
        <f aca="false">1</f>
        <v>1</v>
      </c>
      <c r="J3953" s="0" t="n">
        <f aca="false">E3953</f>
        <v>0.25</v>
      </c>
      <c r="K3953" s="0" t="n">
        <f aca="false">F3953</f>
        <v>-0.25</v>
      </c>
      <c r="L3953" s="0" t="n">
        <f aca="false">G3953</f>
        <v>0.5</v>
      </c>
      <c r="M3953" s="0" t="n">
        <f aca="false">H3953</f>
        <v>0.5</v>
      </c>
      <c r="N3953" s="0" t="n">
        <f aca="false">E3953*F3953</f>
        <v>-0.0625</v>
      </c>
      <c r="O3953" s="0" t="n">
        <f aca="false">E3953*G3953</f>
        <v>0.125</v>
      </c>
      <c r="P3953" s="0" t="n">
        <f aca="false">E3953*H3953</f>
        <v>0.125</v>
      </c>
      <c r="Q3953" s="0" t="n">
        <f aca="false">F3953*G3953</f>
        <v>-0.125</v>
      </c>
      <c r="R3953" s="0" t="n">
        <f aca="false">F3953*H3953</f>
        <v>-0.125</v>
      </c>
      <c r="S3953" s="0" t="n">
        <f aca="false">G3953*H3953</f>
        <v>0.25</v>
      </c>
      <c r="T3953" s="0" t="n">
        <f aca="false">E3953*E3953</f>
        <v>0.0625</v>
      </c>
      <c r="U3953" s="0" t="n">
        <f aca="false">F3953*F3953</f>
        <v>0.0625</v>
      </c>
      <c r="V3953" s="0" t="n">
        <f aca="false">G3953*G3953</f>
        <v>0.25</v>
      </c>
      <c r="W3953" s="0" t="n">
        <f aca="false">H3953*H3953</f>
        <v>0.25</v>
      </c>
      <c r="X3953" s="0" t="n">
        <f aca="false">SUMPRODUCT(I3953:W3953,_XtX!$B$96:$P$96)</f>
        <v>47.914519371345</v>
      </c>
      <c r="Y3953" s="0" t="n">
        <f aca="false">SUMPRODUCT(MMULT(I3953:W3953,_XtX!$B$78:$P$92),I3953:W3953)</f>
        <v>0.128236647934942</v>
      </c>
      <c r="Z3953" s="0" t="n">
        <f aca="false">04_回帰ANOVA!$K$19*04_回帰ANOVA!$K$14*SQRT(1+Y3953)</f>
        <v>1.38451764188989</v>
      </c>
      <c r="AA3953" s="0" t="n">
        <f aca="false">X3953-Z3953</f>
        <v>46.5300017294551</v>
      </c>
      <c r="AB3953" s="0" t="n">
        <f aca="false">X3953+Z3953</f>
        <v>49.2990370132349</v>
      </c>
      <c r="AC3953" s="54" t="b">
        <f aca="false">AND(E3953&gt;=01_因子設定!$L$5-0.000000001,E3953&lt;=01_因子設定!$M$5+0.000000001,F3953&gt;=01_因子設定!$L$6-0.000000001,F3953&lt;=01_因子設定!$M$6+0.000000001,G3953&gt;=01_因子設定!$L$7-0.000000001,G3953&lt;=01_因子設定!$M$7+0.000000001,H3953&gt;=01_因子設定!$L$8-0.000000001,H3953&lt;=01_因子設定!$M$8+0.000000001,IF(01_因子設定!$B$20="Box-Behnken",E3953^2+F3953^2+G3953^2+H3953^2&lt;=2+0.000000001,TRUE()))</f>
        <v>1</v>
      </c>
      <c r="AD3953" s="55" t="n">
        <f aca="false">IF(AC3953,IF(01_因子設定!$B$13="最大化",AA3953-01_因子設定!$B$14,IF(01_因子設定!$B$13="最小化",01_因子設定!$B$15-AB3953,MIN(AA3953-01_因子設定!$B$14,01_因子設定!$B$15-AB3953))),-1E+030)</f>
        <v>0.0300017294550941</v>
      </c>
      <c r="AE3953" s="55" t="n">
        <f aca="false">IF(AC3953,IF(01_因子設定!$B$13="最大化",X3953,IF(01_因子設定!$B$13="最小化",-X3953,-ABS(X3953-01_因子設定!$B$16))),-1E+030)</f>
        <v>47.914519371345</v>
      </c>
      <c r="AF3953" s="55" t="n">
        <f aca="false">AD3953+ROW()*0.000000001</f>
        <v>0.0300056824550941</v>
      </c>
      <c r="AG3953" s="55" t="n">
        <f aca="false">AE3953+ROW()*0.000000001</f>
        <v>47.914523324345</v>
      </c>
    </row>
    <row r="3954" customFormat="false" ht="15" hidden="false" customHeight="false" outlineLevel="0" collapsed="false">
      <c r="A3954" s="0" t="n">
        <v>5</v>
      </c>
      <c r="B3954" s="0" t="n">
        <v>3</v>
      </c>
      <c r="C3954" s="0" t="n">
        <v>6</v>
      </c>
      <c r="D3954" s="0" t="n">
        <v>7</v>
      </c>
      <c r="E3954" s="0" t="n">
        <f aca="false">-1+A3954*0.25</f>
        <v>0.25</v>
      </c>
      <c r="F3954" s="0" t="n">
        <f aca="false">-1+B3954*0.25</f>
        <v>-0.25</v>
      </c>
      <c r="G3954" s="0" t="n">
        <f aca="false">-1+C3954*0.25</f>
        <v>0.5</v>
      </c>
      <c r="H3954" s="0" t="n">
        <f aca="false">-1+D3954*0.25</f>
        <v>0.75</v>
      </c>
      <c r="I3954" s="0" t="n">
        <f aca="false">1</f>
        <v>1</v>
      </c>
      <c r="J3954" s="0" t="n">
        <f aca="false">E3954</f>
        <v>0.25</v>
      </c>
      <c r="K3954" s="0" t="n">
        <f aca="false">F3954</f>
        <v>-0.25</v>
      </c>
      <c r="L3954" s="0" t="n">
        <f aca="false">G3954</f>
        <v>0.5</v>
      </c>
      <c r="M3954" s="0" t="n">
        <f aca="false">H3954</f>
        <v>0.75</v>
      </c>
      <c r="N3954" s="0" t="n">
        <f aca="false">E3954*F3954</f>
        <v>-0.0625</v>
      </c>
      <c r="O3954" s="0" t="n">
        <f aca="false">E3954*G3954</f>
        <v>0.125</v>
      </c>
      <c r="P3954" s="0" t="n">
        <f aca="false">E3954*H3954</f>
        <v>0.1875</v>
      </c>
      <c r="Q3954" s="0" t="n">
        <f aca="false">F3954*G3954</f>
        <v>-0.125</v>
      </c>
      <c r="R3954" s="0" t="n">
        <f aca="false">F3954*H3954</f>
        <v>-0.1875</v>
      </c>
      <c r="S3954" s="0" t="n">
        <f aca="false">G3954*H3954</f>
        <v>0.375</v>
      </c>
      <c r="T3954" s="0" t="n">
        <f aca="false">E3954*E3954</f>
        <v>0.0625</v>
      </c>
      <c r="U3954" s="0" t="n">
        <f aca="false">F3954*F3954</f>
        <v>0.0625</v>
      </c>
      <c r="V3954" s="0" t="n">
        <f aca="false">G3954*G3954</f>
        <v>0.25</v>
      </c>
      <c r="W3954" s="0" t="n">
        <f aca="false">H3954*H3954</f>
        <v>0.5625</v>
      </c>
      <c r="X3954" s="0" t="n">
        <f aca="false">SUMPRODUCT(I3954:W3954,_XtX!$B$96:$P$96)</f>
        <v>47.9534219663742</v>
      </c>
      <c r="Y3954" s="0" t="n">
        <f aca="false">SUMPRODUCT(MMULT(I3954:W3954,_XtX!$B$78:$P$92),I3954:W3954)</f>
        <v>0.207746539199561</v>
      </c>
      <c r="Z3954" s="0" t="n">
        <f aca="false">04_回帰ANOVA!$K$19*04_回帰ANOVA!$K$14*SQRT(1+Y3954)</f>
        <v>1.43247250081141</v>
      </c>
      <c r="AA3954" s="0" t="n">
        <f aca="false">X3954-Z3954</f>
        <v>46.5209494655628</v>
      </c>
      <c r="AB3954" s="0" t="n">
        <f aca="false">X3954+Z3954</f>
        <v>49.3858944671856</v>
      </c>
      <c r="AC3954" s="54" t="b">
        <f aca="false">AND(E3954&gt;=01_因子設定!$L$5-0.000000001,E3954&lt;=01_因子設定!$M$5+0.000000001,F3954&gt;=01_因子設定!$L$6-0.000000001,F3954&lt;=01_因子設定!$M$6+0.000000001,G3954&gt;=01_因子設定!$L$7-0.000000001,G3954&lt;=01_因子設定!$M$7+0.000000001,H3954&gt;=01_因子設定!$L$8-0.000000001,H3954&lt;=01_因子設定!$M$8+0.000000001,IF(01_因子設定!$B$20="Box-Behnken",E3954^2+F3954^2+G3954^2+H3954^2&lt;=2+0.000000001,TRUE()))</f>
        <v>1</v>
      </c>
      <c r="AD3954" s="55" t="n">
        <f aca="false">IF(AC3954,IF(01_因子設定!$B$13="最大化",AA3954-01_因子設定!$B$14,IF(01_因子設定!$B$13="最小化",01_因子設定!$B$15-AB3954,MIN(AA3954-01_因子設定!$B$14,01_因子設定!$B$15-AB3954))),-1E+030)</f>
        <v>0.020949465562822</v>
      </c>
      <c r="AE3954" s="55" t="n">
        <f aca="false">IF(AC3954,IF(01_因子設定!$B$13="最大化",X3954,IF(01_因子設定!$B$13="最小化",-X3954,-ABS(X3954-01_因子設定!$B$16))),-1E+030)</f>
        <v>47.9534219663742</v>
      </c>
      <c r="AF3954" s="55" t="n">
        <f aca="false">AD3954+ROW()*0.000000001</f>
        <v>0.020953419562822</v>
      </c>
      <c r="AG3954" s="55" t="n">
        <f aca="false">AE3954+ROW()*0.000000001</f>
        <v>47.9534259203742</v>
      </c>
    </row>
    <row r="3955" customFormat="false" ht="15" hidden="false" customHeight="false" outlineLevel="0" collapsed="false">
      <c r="A3955" s="0" t="n">
        <v>5</v>
      </c>
      <c r="B3955" s="0" t="n">
        <v>3</v>
      </c>
      <c r="C3955" s="0" t="n">
        <v>6</v>
      </c>
      <c r="D3955" s="0" t="n">
        <v>8</v>
      </c>
      <c r="E3955" s="0" t="n">
        <f aca="false">-1+A3955*0.25</f>
        <v>0.25</v>
      </c>
      <c r="F3955" s="0" t="n">
        <f aca="false">-1+B3955*0.25</f>
        <v>-0.25</v>
      </c>
      <c r="G3955" s="0" t="n">
        <f aca="false">-1+C3955*0.25</f>
        <v>0.5</v>
      </c>
      <c r="H3955" s="0" t="n">
        <f aca="false">-1+D3955*0.25</f>
        <v>1</v>
      </c>
      <c r="I3955" s="0" t="n">
        <f aca="false">1</f>
        <v>1</v>
      </c>
      <c r="J3955" s="0" t="n">
        <f aca="false">E3955</f>
        <v>0.25</v>
      </c>
      <c r="K3955" s="0" t="n">
        <f aca="false">F3955</f>
        <v>-0.25</v>
      </c>
      <c r="L3955" s="0" t="n">
        <f aca="false">G3955</f>
        <v>0.5</v>
      </c>
      <c r="M3955" s="0" t="n">
        <f aca="false">H3955</f>
        <v>1</v>
      </c>
      <c r="N3955" s="0" t="n">
        <f aca="false">E3955*F3955</f>
        <v>-0.0625</v>
      </c>
      <c r="O3955" s="0" t="n">
        <f aca="false">E3955*G3955</f>
        <v>0.125</v>
      </c>
      <c r="P3955" s="0" t="n">
        <f aca="false">E3955*H3955</f>
        <v>0.25</v>
      </c>
      <c r="Q3955" s="0" t="n">
        <f aca="false">F3955*G3955</f>
        <v>-0.125</v>
      </c>
      <c r="R3955" s="0" t="n">
        <f aca="false">F3955*H3955</f>
        <v>-0.25</v>
      </c>
      <c r="S3955" s="0" t="n">
        <f aca="false">G3955*H3955</f>
        <v>0.5</v>
      </c>
      <c r="T3955" s="0" t="n">
        <f aca="false">E3955*E3955</f>
        <v>0.0625</v>
      </c>
      <c r="U3955" s="0" t="n">
        <f aca="false">F3955*F3955</f>
        <v>0.0625</v>
      </c>
      <c r="V3955" s="0" t="n">
        <f aca="false">G3955*G3955</f>
        <v>0.25</v>
      </c>
      <c r="W3955" s="0" t="n">
        <f aca="false">H3955*H3955</f>
        <v>1</v>
      </c>
      <c r="X3955" s="0" t="n">
        <f aca="false">SUMPRODUCT(I3955:W3955,_XtX!$B$96:$P$96)</f>
        <v>47.9445175438596</v>
      </c>
      <c r="Y3955" s="0" t="n">
        <f aca="false">SUMPRODUCT(MMULT(I3955:W3955,_XtX!$B$78:$P$92),I3955:W3955)</f>
        <v>0.445705123812135</v>
      </c>
      <c r="Z3955" s="0" t="n">
        <f aca="false">04_回帰ANOVA!$K$19*04_回帰ANOVA!$K$14*SQRT(1+Y3955)</f>
        <v>1.56724990734749</v>
      </c>
      <c r="AA3955" s="0" t="n">
        <f aca="false">X3955-Z3955</f>
        <v>46.3772676365121</v>
      </c>
      <c r="AB3955" s="0" t="n">
        <f aca="false">X3955+Z3955</f>
        <v>49.5117674512071</v>
      </c>
      <c r="AC3955" s="54" t="b">
        <f aca="false">AND(E3955&gt;=01_因子設定!$L$5-0.000000001,E3955&lt;=01_因子設定!$M$5+0.000000001,F3955&gt;=01_因子設定!$L$6-0.000000001,F3955&lt;=01_因子設定!$M$6+0.000000001,G3955&gt;=01_因子設定!$L$7-0.000000001,G3955&lt;=01_因子設定!$M$7+0.000000001,H3955&gt;=01_因子設定!$L$8-0.000000001,H3955&lt;=01_因子設定!$M$8+0.000000001,IF(01_因子設定!$B$20="Box-Behnken",E3955^2+F3955^2+G3955^2+H3955^2&lt;=2+0.000000001,TRUE()))</f>
        <v>1</v>
      </c>
      <c r="AD3955" s="55" t="n">
        <f aca="false">IF(AC3955,IF(01_因子設定!$B$13="最大化",AA3955-01_因子設定!$B$14,IF(01_因子設定!$B$13="最小化",01_因子設定!$B$15-AB3955,MIN(AA3955-01_因子設定!$B$14,01_因子設定!$B$15-AB3955))),-1E+030)</f>
        <v>-0.122732363487863</v>
      </c>
      <c r="AE3955" s="55" t="n">
        <f aca="false">IF(AC3955,IF(01_因子設定!$B$13="最大化",X3955,IF(01_因子設定!$B$13="最小化",-X3955,-ABS(X3955-01_因子設定!$B$16))),-1E+030)</f>
        <v>47.9445175438596</v>
      </c>
      <c r="AF3955" s="55" t="n">
        <f aca="false">AD3955+ROW()*0.000000001</f>
        <v>-0.122728408487863</v>
      </c>
      <c r="AG3955" s="55" t="n">
        <f aca="false">AE3955+ROW()*0.000000001</f>
        <v>47.9445214988596</v>
      </c>
    </row>
    <row r="3956" customFormat="false" ht="15" hidden="false" customHeight="false" outlineLevel="0" collapsed="false">
      <c r="A3956" s="0" t="n">
        <v>5</v>
      </c>
      <c r="B3956" s="0" t="n">
        <v>3</v>
      </c>
      <c r="C3956" s="0" t="n">
        <v>7</v>
      </c>
      <c r="D3956" s="0" t="n">
        <v>0</v>
      </c>
      <c r="E3956" s="0" t="n">
        <f aca="false">-1+A3956*0.25</f>
        <v>0.25</v>
      </c>
      <c r="F3956" s="0" t="n">
        <f aca="false">-1+B3956*0.25</f>
        <v>-0.25</v>
      </c>
      <c r="G3956" s="0" t="n">
        <f aca="false">-1+C3956*0.25</f>
        <v>0.75</v>
      </c>
      <c r="H3956" s="0" t="n">
        <f aca="false">-1+D3956*0.25</f>
        <v>-1</v>
      </c>
      <c r="I3956" s="0" t="n">
        <f aca="false">1</f>
        <v>1</v>
      </c>
      <c r="J3956" s="0" t="n">
        <f aca="false">E3956</f>
        <v>0.25</v>
      </c>
      <c r="K3956" s="0" t="n">
        <f aca="false">F3956</f>
        <v>-0.25</v>
      </c>
      <c r="L3956" s="0" t="n">
        <f aca="false">G3956</f>
        <v>0.75</v>
      </c>
      <c r="M3956" s="0" t="n">
        <f aca="false">H3956</f>
        <v>-1</v>
      </c>
      <c r="N3956" s="0" t="n">
        <f aca="false">E3956*F3956</f>
        <v>-0.0625</v>
      </c>
      <c r="O3956" s="0" t="n">
        <f aca="false">E3956*G3956</f>
        <v>0.1875</v>
      </c>
      <c r="P3956" s="0" t="n">
        <f aca="false">E3956*H3956</f>
        <v>-0.25</v>
      </c>
      <c r="Q3956" s="0" t="n">
        <f aca="false">F3956*G3956</f>
        <v>-0.1875</v>
      </c>
      <c r="R3956" s="0" t="n">
        <f aca="false">F3956*H3956</f>
        <v>0.25</v>
      </c>
      <c r="S3956" s="0" t="n">
        <f aca="false">G3956*H3956</f>
        <v>-0.75</v>
      </c>
      <c r="T3956" s="0" t="n">
        <f aca="false">E3956*E3956</f>
        <v>0.0625</v>
      </c>
      <c r="U3956" s="0" t="n">
        <f aca="false">F3956*F3956</f>
        <v>0.0625</v>
      </c>
      <c r="V3956" s="0" t="n">
        <f aca="false">G3956*G3956</f>
        <v>0.5625</v>
      </c>
      <c r="W3956" s="0" t="n">
        <f aca="false">H3956*H3956</f>
        <v>1</v>
      </c>
      <c r="X3956" s="0" t="n">
        <f aca="false">SUMPRODUCT(I3956:W3956,_XtX!$B$96:$P$96)</f>
        <v>46.5776909722222</v>
      </c>
      <c r="Y3956" s="0" t="n">
        <f aca="false">SUMPRODUCT(MMULT(I3956:W3956,_XtX!$B$78:$P$92),I3956:W3956)</f>
        <v>0.486409505208334</v>
      </c>
      <c r="Z3956" s="0" t="n">
        <f aca="false">04_回帰ANOVA!$K$19*04_回帰ANOVA!$K$14*SQRT(1+Y3956)</f>
        <v>1.58916001665498</v>
      </c>
      <c r="AA3956" s="0" t="n">
        <f aca="false">X3956-Z3956</f>
        <v>44.9885309555672</v>
      </c>
      <c r="AB3956" s="0" t="n">
        <f aca="false">X3956+Z3956</f>
        <v>48.1668509888772</v>
      </c>
      <c r="AC3956" s="54" t="b">
        <f aca="false">AND(E3956&gt;=01_因子設定!$L$5-0.000000001,E3956&lt;=01_因子設定!$M$5+0.000000001,F3956&gt;=01_因子設定!$L$6-0.000000001,F3956&lt;=01_因子設定!$M$6+0.000000001,G3956&gt;=01_因子設定!$L$7-0.000000001,G3956&lt;=01_因子設定!$M$7+0.000000001,H3956&gt;=01_因子設定!$L$8-0.000000001,H3956&lt;=01_因子設定!$M$8+0.000000001,IF(01_因子設定!$B$20="Box-Behnken",E3956^2+F3956^2+G3956^2+H3956^2&lt;=2+0.000000001,TRUE()))</f>
        <v>1</v>
      </c>
      <c r="AD3956" s="55" t="n">
        <f aca="false">IF(AC3956,IF(01_因子設定!$B$13="最大化",AA3956-01_因子設定!$B$14,IF(01_因子設定!$B$13="最小化",01_因子設定!$B$15-AB3956,MIN(AA3956-01_因子設定!$B$14,01_因子設定!$B$15-AB3956))),-1E+030)</f>
        <v>-1.51146904443278</v>
      </c>
      <c r="AE3956" s="55" t="n">
        <f aca="false">IF(AC3956,IF(01_因子設定!$B$13="最大化",X3956,IF(01_因子設定!$B$13="最小化",-X3956,-ABS(X3956-01_因子設定!$B$16))),-1E+030)</f>
        <v>46.5776909722222</v>
      </c>
      <c r="AF3956" s="55" t="n">
        <f aca="false">AD3956+ROW()*0.000000001</f>
        <v>-1.51146508843278</v>
      </c>
      <c r="AG3956" s="55" t="n">
        <f aca="false">AE3956+ROW()*0.000000001</f>
        <v>46.5776949282222</v>
      </c>
    </row>
    <row r="3957" customFormat="false" ht="15" hidden="false" customHeight="false" outlineLevel="0" collapsed="false">
      <c r="A3957" s="0" t="n">
        <v>5</v>
      </c>
      <c r="B3957" s="0" t="n">
        <v>3</v>
      </c>
      <c r="C3957" s="0" t="n">
        <v>7</v>
      </c>
      <c r="D3957" s="0" t="n">
        <v>1</v>
      </c>
      <c r="E3957" s="0" t="n">
        <f aca="false">-1+A3957*0.25</f>
        <v>0.25</v>
      </c>
      <c r="F3957" s="0" t="n">
        <f aca="false">-1+B3957*0.25</f>
        <v>-0.25</v>
      </c>
      <c r="G3957" s="0" t="n">
        <f aca="false">-1+C3957*0.25</f>
        <v>0.75</v>
      </c>
      <c r="H3957" s="0" t="n">
        <f aca="false">-1+D3957*0.25</f>
        <v>-0.75</v>
      </c>
      <c r="I3957" s="0" t="n">
        <f aca="false">1</f>
        <v>1</v>
      </c>
      <c r="J3957" s="0" t="n">
        <f aca="false">E3957</f>
        <v>0.25</v>
      </c>
      <c r="K3957" s="0" t="n">
        <f aca="false">F3957</f>
        <v>-0.25</v>
      </c>
      <c r="L3957" s="0" t="n">
        <f aca="false">G3957</f>
        <v>0.75</v>
      </c>
      <c r="M3957" s="0" t="n">
        <f aca="false">H3957</f>
        <v>-0.75</v>
      </c>
      <c r="N3957" s="0" t="n">
        <f aca="false">E3957*F3957</f>
        <v>-0.0625</v>
      </c>
      <c r="O3957" s="0" t="n">
        <f aca="false">E3957*G3957</f>
        <v>0.1875</v>
      </c>
      <c r="P3957" s="0" t="n">
        <f aca="false">E3957*H3957</f>
        <v>-0.1875</v>
      </c>
      <c r="Q3957" s="0" t="n">
        <f aca="false">F3957*G3957</f>
        <v>-0.1875</v>
      </c>
      <c r="R3957" s="0" t="n">
        <f aca="false">F3957*H3957</f>
        <v>0.1875</v>
      </c>
      <c r="S3957" s="0" t="n">
        <f aca="false">G3957*H3957</f>
        <v>-0.5625</v>
      </c>
      <c r="T3957" s="0" t="n">
        <f aca="false">E3957*E3957</f>
        <v>0.0625</v>
      </c>
      <c r="U3957" s="0" t="n">
        <f aca="false">F3957*F3957</f>
        <v>0.0625</v>
      </c>
      <c r="V3957" s="0" t="n">
        <f aca="false">G3957*G3957</f>
        <v>0.5625</v>
      </c>
      <c r="W3957" s="0" t="n">
        <f aca="false">H3957*H3957</f>
        <v>0.5625</v>
      </c>
      <c r="X3957" s="0" t="n">
        <f aca="false">SUMPRODUCT(I3957:W3957,_XtX!$B$96:$P$96)</f>
        <v>46.9214044225146</v>
      </c>
      <c r="Y3957" s="0" t="n">
        <f aca="false">SUMPRODUCT(MMULT(I3957:W3957,_XtX!$B$78:$P$92),I3957:W3957)</f>
        <v>0.271087468019006</v>
      </c>
      <c r="Z3957" s="0" t="n">
        <f aca="false">04_回帰ANOVA!$K$19*04_回帰ANOVA!$K$14*SQRT(1+Y3957)</f>
        <v>1.46955590155034</v>
      </c>
      <c r="AA3957" s="0" t="n">
        <f aca="false">X3957-Z3957</f>
        <v>45.4518485209642</v>
      </c>
      <c r="AB3957" s="0" t="n">
        <f aca="false">X3957+Z3957</f>
        <v>48.3909603240649</v>
      </c>
      <c r="AC3957" s="54" t="b">
        <f aca="false">AND(E3957&gt;=01_因子設定!$L$5-0.000000001,E3957&lt;=01_因子設定!$M$5+0.000000001,F3957&gt;=01_因子設定!$L$6-0.000000001,F3957&lt;=01_因子設定!$M$6+0.000000001,G3957&gt;=01_因子設定!$L$7-0.000000001,G3957&lt;=01_因子設定!$M$7+0.000000001,H3957&gt;=01_因子設定!$L$8-0.000000001,H3957&lt;=01_因子設定!$M$8+0.000000001,IF(01_因子設定!$B$20="Box-Behnken",E3957^2+F3957^2+G3957^2+H3957^2&lt;=2+0.000000001,TRUE()))</f>
        <v>1</v>
      </c>
      <c r="AD3957" s="55" t="n">
        <f aca="false">IF(AC3957,IF(01_因子設定!$B$13="最大化",AA3957-01_因子設定!$B$14,IF(01_因子設定!$B$13="最小化",01_因子設定!$B$15-AB3957,MIN(AA3957-01_因子設定!$B$14,01_因子設定!$B$15-AB3957))),-1E+030)</f>
        <v>-1.04815147903576</v>
      </c>
      <c r="AE3957" s="55" t="n">
        <f aca="false">IF(AC3957,IF(01_因子設定!$B$13="最大化",X3957,IF(01_因子設定!$B$13="最小化",-X3957,-ABS(X3957-01_因子設定!$B$16))),-1E+030)</f>
        <v>46.9214044225146</v>
      </c>
      <c r="AF3957" s="55" t="n">
        <f aca="false">AD3957+ROW()*0.000000001</f>
        <v>-1.04814752203576</v>
      </c>
      <c r="AG3957" s="55" t="n">
        <f aca="false">AE3957+ROW()*0.000000001</f>
        <v>46.9214083795146</v>
      </c>
    </row>
    <row r="3958" customFormat="false" ht="15" hidden="false" customHeight="false" outlineLevel="0" collapsed="false">
      <c r="A3958" s="0" t="n">
        <v>5</v>
      </c>
      <c r="B3958" s="0" t="n">
        <v>3</v>
      </c>
      <c r="C3958" s="0" t="n">
        <v>7</v>
      </c>
      <c r="D3958" s="0" t="n">
        <v>2</v>
      </c>
      <c r="E3958" s="0" t="n">
        <f aca="false">-1+A3958*0.25</f>
        <v>0.25</v>
      </c>
      <c r="F3958" s="0" t="n">
        <f aca="false">-1+B3958*0.25</f>
        <v>-0.25</v>
      </c>
      <c r="G3958" s="0" t="n">
        <f aca="false">-1+C3958*0.25</f>
        <v>0.75</v>
      </c>
      <c r="H3958" s="0" t="n">
        <f aca="false">-1+D3958*0.25</f>
        <v>-0.5</v>
      </c>
      <c r="I3958" s="0" t="n">
        <f aca="false">1</f>
        <v>1</v>
      </c>
      <c r="J3958" s="0" t="n">
        <f aca="false">E3958</f>
        <v>0.25</v>
      </c>
      <c r="K3958" s="0" t="n">
        <f aca="false">F3958</f>
        <v>-0.25</v>
      </c>
      <c r="L3958" s="0" t="n">
        <f aca="false">G3958</f>
        <v>0.75</v>
      </c>
      <c r="M3958" s="0" t="n">
        <f aca="false">H3958</f>
        <v>-0.5</v>
      </c>
      <c r="N3958" s="0" t="n">
        <f aca="false">E3958*F3958</f>
        <v>-0.0625</v>
      </c>
      <c r="O3958" s="0" t="n">
        <f aca="false">E3958*G3958</f>
        <v>0.1875</v>
      </c>
      <c r="P3958" s="0" t="n">
        <f aca="false">E3958*H3958</f>
        <v>-0.125</v>
      </c>
      <c r="Q3958" s="0" t="n">
        <f aca="false">F3958*G3958</f>
        <v>-0.1875</v>
      </c>
      <c r="R3958" s="0" t="n">
        <f aca="false">F3958*H3958</f>
        <v>0.125</v>
      </c>
      <c r="S3958" s="0" t="n">
        <f aca="false">G3958*H3958</f>
        <v>-0.375</v>
      </c>
      <c r="T3958" s="0" t="n">
        <f aca="false">E3958*E3958</f>
        <v>0.0625</v>
      </c>
      <c r="U3958" s="0" t="n">
        <f aca="false">F3958*F3958</f>
        <v>0.0625</v>
      </c>
      <c r="V3958" s="0" t="n">
        <f aca="false">G3958*G3958</f>
        <v>0.5625</v>
      </c>
      <c r="W3958" s="0" t="n">
        <f aca="false">H3958*H3958</f>
        <v>0.25</v>
      </c>
      <c r="X3958" s="0" t="n">
        <f aca="false">SUMPRODUCT(I3958:W3958,_XtX!$B$96:$P$96)</f>
        <v>47.2173108552631</v>
      </c>
      <c r="Y3958" s="0" t="n">
        <f aca="false">SUMPRODUCT(MMULT(I3958:W3958,_XtX!$B$78:$P$92),I3958:W3958)</f>
        <v>0.207746539199561</v>
      </c>
      <c r="Z3958" s="0" t="n">
        <f aca="false">04_回帰ANOVA!$K$19*04_回帰ANOVA!$K$14*SQRT(1+Y3958)</f>
        <v>1.43247250081141</v>
      </c>
      <c r="AA3958" s="0" t="n">
        <f aca="false">X3958-Z3958</f>
        <v>45.7848383544517</v>
      </c>
      <c r="AB3958" s="0" t="n">
        <f aca="false">X3958+Z3958</f>
        <v>48.6497833560745</v>
      </c>
      <c r="AC3958" s="54" t="b">
        <f aca="false">AND(E3958&gt;=01_因子設定!$L$5-0.000000001,E3958&lt;=01_因子設定!$M$5+0.000000001,F3958&gt;=01_因子設定!$L$6-0.000000001,F3958&lt;=01_因子設定!$M$6+0.000000001,G3958&gt;=01_因子設定!$L$7-0.000000001,G3958&lt;=01_因子設定!$M$7+0.000000001,H3958&gt;=01_因子設定!$L$8-0.000000001,H3958&lt;=01_因子設定!$M$8+0.000000001,IF(01_因子設定!$B$20="Box-Behnken",E3958^2+F3958^2+G3958^2+H3958^2&lt;=2+0.000000001,TRUE()))</f>
        <v>1</v>
      </c>
      <c r="AD3958" s="55" t="n">
        <f aca="false">IF(AC3958,IF(01_因子設定!$B$13="最大化",AA3958-01_因子設定!$B$14,IF(01_因子設定!$B$13="最小化",01_因子設定!$B$15-AB3958,MIN(AA3958-01_因子設定!$B$14,01_因子設定!$B$15-AB3958))),-1E+030)</f>
        <v>-0.715161645548299</v>
      </c>
      <c r="AE3958" s="55" t="n">
        <f aca="false">IF(AC3958,IF(01_因子設定!$B$13="最大化",X3958,IF(01_因子設定!$B$13="最小化",-X3958,-ABS(X3958-01_因子設定!$B$16))),-1E+030)</f>
        <v>47.2173108552631</v>
      </c>
      <c r="AF3958" s="55" t="n">
        <f aca="false">AD3958+ROW()*0.000000001</f>
        <v>-0.715157687548299</v>
      </c>
      <c r="AG3958" s="55" t="n">
        <f aca="false">AE3958+ROW()*0.000000001</f>
        <v>47.2173148132631</v>
      </c>
    </row>
    <row r="3959" customFormat="false" ht="15" hidden="false" customHeight="false" outlineLevel="0" collapsed="false">
      <c r="A3959" s="0" t="n">
        <v>5</v>
      </c>
      <c r="B3959" s="0" t="n">
        <v>3</v>
      </c>
      <c r="C3959" s="0" t="n">
        <v>7</v>
      </c>
      <c r="D3959" s="0" t="n">
        <v>3</v>
      </c>
      <c r="E3959" s="0" t="n">
        <f aca="false">-1+A3959*0.25</f>
        <v>0.25</v>
      </c>
      <c r="F3959" s="0" t="n">
        <f aca="false">-1+B3959*0.25</f>
        <v>-0.25</v>
      </c>
      <c r="G3959" s="0" t="n">
        <f aca="false">-1+C3959*0.25</f>
        <v>0.75</v>
      </c>
      <c r="H3959" s="0" t="n">
        <f aca="false">-1+D3959*0.25</f>
        <v>-0.25</v>
      </c>
      <c r="I3959" s="0" t="n">
        <f aca="false">1</f>
        <v>1</v>
      </c>
      <c r="J3959" s="0" t="n">
        <f aca="false">E3959</f>
        <v>0.25</v>
      </c>
      <c r="K3959" s="0" t="n">
        <f aca="false">F3959</f>
        <v>-0.25</v>
      </c>
      <c r="L3959" s="0" t="n">
        <f aca="false">G3959</f>
        <v>0.75</v>
      </c>
      <c r="M3959" s="0" t="n">
        <f aca="false">H3959</f>
        <v>-0.25</v>
      </c>
      <c r="N3959" s="0" t="n">
        <f aca="false">E3959*F3959</f>
        <v>-0.0625</v>
      </c>
      <c r="O3959" s="0" t="n">
        <f aca="false">E3959*G3959</f>
        <v>0.1875</v>
      </c>
      <c r="P3959" s="0" t="n">
        <f aca="false">E3959*H3959</f>
        <v>-0.0625</v>
      </c>
      <c r="Q3959" s="0" t="n">
        <f aca="false">F3959*G3959</f>
        <v>-0.1875</v>
      </c>
      <c r="R3959" s="0" t="n">
        <f aca="false">F3959*H3959</f>
        <v>0.0625</v>
      </c>
      <c r="S3959" s="0" t="n">
        <f aca="false">G3959*H3959</f>
        <v>-0.1875</v>
      </c>
      <c r="T3959" s="0" t="n">
        <f aca="false">E3959*E3959</f>
        <v>0.0625</v>
      </c>
      <c r="U3959" s="0" t="n">
        <f aca="false">F3959*F3959</f>
        <v>0.0625</v>
      </c>
      <c r="V3959" s="0" t="n">
        <f aca="false">G3959*G3959</f>
        <v>0.5625</v>
      </c>
      <c r="W3959" s="0" t="n">
        <f aca="false">H3959*H3959</f>
        <v>0.0625</v>
      </c>
      <c r="X3959" s="0" t="n">
        <f aca="false">SUMPRODUCT(I3959:W3959,_XtX!$B$96:$P$96)</f>
        <v>47.4654102704678</v>
      </c>
      <c r="Y3959" s="0" t="n">
        <f aca="false">SUMPRODUCT(MMULT(I3959:W3959,_XtX!$B$78:$P$92),I3959:W3959)</f>
        <v>0.205926192434211</v>
      </c>
      <c r="Z3959" s="0" t="n">
        <f aca="false">04_回帰ANOVA!$K$19*04_回帰ANOVA!$K$14*SQRT(1+Y3959)</f>
        <v>1.43139256396246</v>
      </c>
      <c r="AA3959" s="0" t="n">
        <f aca="false">X3959-Z3959</f>
        <v>46.0340177065053</v>
      </c>
      <c r="AB3959" s="0" t="n">
        <f aca="false">X3959+Z3959</f>
        <v>48.8968028344302</v>
      </c>
      <c r="AC3959" s="54" t="b">
        <f aca="false">AND(E3959&gt;=01_因子設定!$L$5-0.000000001,E3959&lt;=01_因子設定!$M$5+0.000000001,F3959&gt;=01_因子設定!$L$6-0.000000001,F3959&lt;=01_因子設定!$M$6+0.000000001,G3959&gt;=01_因子設定!$L$7-0.000000001,G3959&lt;=01_因子設定!$M$7+0.000000001,H3959&gt;=01_因子設定!$L$8-0.000000001,H3959&lt;=01_因子設定!$M$8+0.000000001,IF(01_因子設定!$B$20="Box-Behnken",E3959^2+F3959^2+G3959^2+H3959^2&lt;=2+0.000000001,TRUE()))</f>
        <v>1</v>
      </c>
      <c r="AD3959" s="55" t="n">
        <f aca="false">IF(AC3959,IF(01_因子設定!$B$13="最大化",AA3959-01_因子設定!$B$14,IF(01_因子設定!$B$13="最小化",01_因子設定!$B$15-AB3959,MIN(AA3959-01_因子設定!$B$14,01_因子設定!$B$15-AB3959))),-1E+030)</f>
        <v>-0.465982293494683</v>
      </c>
      <c r="AE3959" s="55" t="n">
        <f aca="false">IF(AC3959,IF(01_因子設定!$B$13="最大化",X3959,IF(01_因子設定!$B$13="最小化",-X3959,-ABS(X3959-01_因子設定!$B$16))),-1E+030)</f>
        <v>47.4654102704678</v>
      </c>
      <c r="AF3959" s="55" t="n">
        <f aca="false">AD3959+ROW()*0.000000001</f>
        <v>-0.465978334494683</v>
      </c>
      <c r="AG3959" s="55" t="n">
        <f aca="false">AE3959+ROW()*0.000000001</f>
        <v>47.4654142294678</v>
      </c>
    </row>
    <row r="3960" customFormat="false" ht="15" hidden="false" customHeight="false" outlineLevel="0" collapsed="false">
      <c r="A3960" s="0" t="n">
        <v>5</v>
      </c>
      <c r="B3960" s="0" t="n">
        <v>3</v>
      </c>
      <c r="C3960" s="0" t="n">
        <v>7</v>
      </c>
      <c r="D3960" s="0" t="n">
        <v>4</v>
      </c>
      <c r="E3960" s="0" t="n">
        <f aca="false">-1+A3960*0.25</f>
        <v>0.25</v>
      </c>
      <c r="F3960" s="0" t="n">
        <f aca="false">-1+B3960*0.25</f>
        <v>-0.25</v>
      </c>
      <c r="G3960" s="0" t="n">
        <f aca="false">-1+C3960*0.25</f>
        <v>0.75</v>
      </c>
      <c r="H3960" s="0" t="n">
        <f aca="false">-1+D3960*0.25</f>
        <v>0</v>
      </c>
      <c r="I3960" s="0" t="n">
        <f aca="false">1</f>
        <v>1</v>
      </c>
      <c r="J3960" s="0" t="n">
        <f aca="false">E3960</f>
        <v>0.25</v>
      </c>
      <c r="K3960" s="0" t="n">
        <f aca="false">F3960</f>
        <v>-0.25</v>
      </c>
      <c r="L3960" s="0" t="n">
        <f aca="false">G3960</f>
        <v>0.75</v>
      </c>
      <c r="M3960" s="0" t="n">
        <f aca="false">H3960</f>
        <v>0</v>
      </c>
      <c r="N3960" s="0" t="n">
        <f aca="false">E3960*F3960</f>
        <v>-0.0625</v>
      </c>
      <c r="O3960" s="0" t="n">
        <f aca="false">E3960*G3960</f>
        <v>0.1875</v>
      </c>
      <c r="P3960" s="0" t="n">
        <f aca="false">E3960*H3960</f>
        <v>0</v>
      </c>
      <c r="Q3960" s="0" t="n">
        <f aca="false">F3960*G3960</f>
        <v>-0.1875</v>
      </c>
      <c r="R3960" s="0" t="n">
        <f aca="false">F3960*H3960</f>
        <v>-0</v>
      </c>
      <c r="S3960" s="0" t="n">
        <f aca="false">G3960*H3960</f>
        <v>0</v>
      </c>
      <c r="T3960" s="0" t="n">
        <f aca="false">E3960*E3960</f>
        <v>0.0625</v>
      </c>
      <c r="U3960" s="0" t="n">
        <f aca="false">F3960*F3960</f>
        <v>0.0625</v>
      </c>
      <c r="V3960" s="0" t="n">
        <f aca="false">G3960*G3960</f>
        <v>0.5625</v>
      </c>
      <c r="W3960" s="0" t="n">
        <f aca="false">H3960*H3960</f>
        <v>0</v>
      </c>
      <c r="X3960" s="0" t="n">
        <f aca="false">SUMPRODUCT(I3960:W3960,_XtX!$B$96:$P$96)</f>
        <v>47.6657026681286</v>
      </c>
      <c r="Y3960" s="0" t="n">
        <f aca="false">SUMPRODUCT(MMULT(I3960:W3960,_XtX!$B$78:$P$92),I3960:W3960)</f>
        <v>0.21135011193348</v>
      </c>
      <c r="Z3960" s="0" t="n">
        <f aca="false">04_回帰ANOVA!$K$19*04_回帰ANOVA!$K$14*SQRT(1+Y3960)</f>
        <v>1.43460795469709</v>
      </c>
      <c r="AA3960" s="0" t="n">
        <f aca="false">X3960-Z3960</f>
        <v>46.2310947134315</v>
      </c>
      <c r="AB3960" s="0" t="n">
        <f aca="false">X3960+Z3960</f>
        <v>49.1003106228257</v>
      </c>
      <c r="AC3960" s="54" t="b">
        <f aca="false">AND(E3960&gt;=01_因子設定!$L$5-0.000000001,E3960&lt;=01_因子設定!$M$5+0.000000001,F3960&gt;=01_因子設定!$L$6-0.000000001,F3960&lt;=01_因子設定!$M$6+0.000000001,G3960&gt;=01_因子設定!$L$7-0.000000001,G3960&lt;=01_因子設定!$M$7+0.000000001,H3960&gt;=01_因子設定!$L$8-0.000000001,H3960&lt;=01_因子設定!$M$8+0.000000001,IF(01_因子設定!$B$20="Box-Behnken",E3960^2+F3960^2+G3960^2+H3960^2&lt;=2+0.000000001,TRUE()))</f>
        <v>1</v>
      </c>
      <c r="AD3960" s="55" t="n">
        <f aca="false">IF(AC3960,IF(01_因子設定!$B$13="最大化",AA3960-01_因子設定!$B$14,IF(01_因子設定!$B$13="最小化",01_因子設定!$B$15-AB3960,MIN(AA3960-01_因子設定!$B$14,01_因子設定!$B$15-AB3960))),-1E+030)</f>
        <v>-0.26890528656849</v>
      </c>
      <c r="AE3960" s="55" t="n">
        <f aca="false">IF(AC3960,IF(01_因子設定!$B$13="最大化",X3960,IF(01_因子設定!$B$13="最小化",-X3960,-ABS(X3960-01_因子設定!$B$16))),-1E+030)</f>
        <v>47.6657026681286</v>
      </c>
      <c r="AF3960" s="55" t="n">
        <f aca="false">AD3960+ROW()*0.000000001</f>
        <v>-0.26890132656849</v>
      </c>
      <c r="AG3960" s="55" t="n">
        <f aca="false">AE3960+ROW()*0.000000001</f>
        <v>47.6657066281286</v>
      </c>
    </row>
    <row r="3961" customFormat="false" ht="15" hidden="false" customHeight="false" outlineLevel="0" collapsed="false">
      <c r="A3961" s="0" t="n">
        <v>5</v>
      </c>
      <c r="B3961" s="0" t="n">
        <v>3</v>
      </c>
      <c r="C3961" s="0" t="n">
        <v>7</v>
      </c>
      <c r="D3961" s="0" t="n">
        <v>5</v>
      </c>
      <c r="E3961" s="0" t="n">
        <f aca="false">-1+A3961*0.25</f>
        <v>0.25</v>
      </c>
      <c r="F3961" s="0" t="n">
        <f aca="false">-1+B3961*0.25</f>
        <v>-0.25</v>
      </c>
      <c r="G3961" s="0" t="n">
        <f aca="false">-1+C3961*0.25</f>
        <v>0.75</v>
      </c>
      <c r="H3961" s="0" t="n">
        <f aca="false">-1+D3961*0.25</f>
        <v>0.25</v>
      </c>
      <c r="I3961" s="0" t="n">
        <f aca="false">1</f>
        <v>1</v>
      </c>
      <c r="J3961" s="0" t="n">
        <f aca="false">E3961</f>
        <v>0.25</v>
      </c>
      <c r="K3961" s="0" t="n">
        <f aca="false">F3961</f>
        <v>-0.25</v>
      </c>
      <c r="L3961" s="0" t="n">
        <f aca="false">G3961</f>
        <v>0.75</v>
      </c>
      <c r="M3961" s="0" t="n">
        <f aca="false">H3961</f>
        <v>0.25</v>
      </c>
      <c r="N3961" s="0" t="n">
        <f aca="false">E3961*F3961</f>
        <v>-0.0625</v>
      </c>
      <c r="O3961" s="0" t="n">
        <f aca="false">E3961*G3961</f>
        <v>0.1875</v>
      </c>
      <c r="P3961" s="0" t="n">
        <f aca="false">E3961*H3961</f>
        <v>0.0625</v>
      </c>
      <c r="Q3961" s="0" t="n">
        <f aca="false">F3961*G3961</f>
        <v>-0.1875</v>
      </c>
      <c r="R3961" s="0" t="n">
        <f aca="false">F3961*H3961</f>
        <v>-0.0625</v>
      </c>
      <c r="S3961" s="0" t="n">
        <f aca="false">G3961*H3961</f>
        <v>0.1875</v>
      </c>
      <c r="T3961" s="0" t="n">
        <f aca="false">E3961*E3961</f>
        <v>0.0625</v>
      </c>
      <c r="U3961" s="0" t="n">
        <f aca="false">F3961*F3961</f>
        <v>0.0625</v>
      </c>
      <c r="V3961" s="0" t="n">
        <f aca="false">G3961*G3961</f>
        <v>0.5625</v>
      </c>
      <c r="W3961" s="0" t="n">
        <f aca="false">H3961*H3961</f>
        <v>0.0625</v>
      </c>
      <c r="X3961" s="0" t="n">
        <f aca="false">SUMPRODUCT(I3961:W3961,_XtX!$B$96:$P$96)</f>
        <v>47.8181880482456</v>
      </c>
      <c r="Y3961" s="0" t="n">
        <f aca="false">SUMPRODUCT(MMULT(I3961:W3961,_XtX!$B$78:$P$92),I3961:W3961)</f>
        <v>0.205926192434211</v>
      </c>
      <c r="Z3961" s="0" t="n">
        <f aca="false">04_回帰ANOVA!$K$19*04_回帰ANOVA!$K$14*SQRT(1+Y3961)</f>
        <v>1.43139256396246</v>
      </c>
      <c r="AA3961" s="0" t="n">
        <f aca="false">X3961-Z3961</f>
        <v>46.3867954842831</v>
      </c>
      <c r="AB3961" s="0" t="n">
        <f aca="false">X3961+Z3961</f>
        <v>49.249580612208</v>
      </c>
      <c r="AC3961" s="54" t="b">
        <f aca="false">AND(E3961&gt;=01_因子設定!$L$5-0.000000001,E3961&lt;=01_因子設定!$M$5+0.000000001,F3961&gt;=01_因子設定!$L$6-0.000000001,F3961&lt;=01_因子設定!$M$6+0.000000001,G3961&gt;=01_因子設定!$L$7-0.000000001,G3961&lt;=01_因子設定!$M$7+0.000000001,H3961&gt;=01_因子設定!$L$8-0.000000001,H3961&lt;=01_因子設定!$M$8+0.000000001,IF(01_因子設定!$B$20="Box-Behnken",E3961^2+F3961^2+G3961^2+H3961^2&lt;=2+0.000000001,TRUE()))</f>
        <v>1</v>
      </c>
      <c r="AD3961" s="55" t="n">
        <f aca="false">IF(AC3961,IF(01_因子設定!$B$13="最大化",AA3961-01_因子設定!$B$14,IF(01_因子設定!$B$13="最小化",01_因子設定!$B$15-AB3961,MIN(AA3961-01_因子設定!$B$14,01_因子設定!$B$15-AB3961))),-1E+030)</f>
        <v>-0.113204515716902</v>
      </c>
      <c r="AE3961" s="55" t="n">
        <f aca="false">IF(AC3961,IF(01_因子設定!$B$13="最大化",X3961,IF(01_因子設定!$B$13="最小化",-X3961,-ABS(X3961-01_因子設定!$B$16))),-1E+030)</f>
        <v>47.8181880482456</v>
      </c>
      <c r="AF3961" s="55" t="n">
        <f aca="false">AD3961+ROW()*0.000000001</f>
        <v>-0.113200554716902</v>
      </c>
      <c r="AG3961" s="55" t="n">
        <f aca="false">AE3961+ROW()*0.000000001</f>
        <v>47.8181920092456</v>
      </c>
    </row>
    <row r="3962" customFormat="false" ht="15" hidden="false" customHeight="false" outlineLevel="0" collapsed="false">
      <c r="A3962" s="0" t="n">
        <v>5</v>
      </c>
      <c r="B3962" s="0" t="n">
        <v>3</v>
      </c>
      <c r="C3962" s="0" t="n">
        <v>7</v>
      </c>
      <c r="D3962" s="0" t="n">
        <v>6</v>
      </c>
      <c r="E3962" s="0" t="n">
        <f aca="false">-1+A3962*0.25</f>
        <v>0.25</v>
      </c>
      <c r="F3962" s="0" t="n">
        <f aca="false">-1+B3962*0.25</f>
        <v>-0.25</v>
      </c>
      <c r="G3962" s="0" t="n">
        <f aca="false">-1+C3962*0.25</f>
        <v>0.75</v>
      </c>
      <c r="H3962" s="0" t="n">
        <f aca="false">-1+D3962*0.25</f>
        <v>0.5</v>
      </c>
      <c r="I3962" s="0" t="n">
        <f aca="false">1</f>
        <v>1</v>
      </c>
      <c r="J3962" s="0" t="n">
        <f aca="false">E3962</f>
        <v>0.25</v>
      </c>
      <c r="K3962" s="0" t="n">
        <f aca="false">F3962</f>
        <v>-0.25</v>
      </c>
      <c r="L3962" s="0" t="n">
        <f aca="false">G3962</f>
        <v>0.75</v>
      </c>
      <c r="M3962" s="0" t="n">
        <f aca="false">H3962</f>
        <v>0.5</v>
      </c>
      <c r="N3962" s="0" t="n">
        <f aca="false">E3962*F3962</f>
        <v>-0.0625</v>
      </c>
      <c r="O3962" s="0" t="n">
        <f aca="false">E3962*G3962</f>
        <v>0.1875</v>
      </c>
      <c r="P3962" s="0" t="n">
        <f aca="false">E3962*H3962</f>
        <v>0.125</v>
      </c>
      <c r="Q3962" s="0" t="n">
        <f aca="false">F3962*G3962</f>
        <v>-0.1875</v>
      </c>
      <c r="R3962" s="0" t="n">
        <f aca="false">F3962*H3962</f>
        <v>-0.125</v>
      </c>
      <c r="S3962" s="0" t="n">
        <f aca="false">G3962*H3962</f>
        <v>0.375</v>
      </c>
      <c r="T3962" s="0" t="n">
        <f aca="false">E3962*E3962</f>
        <v>0.0625</v>
      </c>
      <c r="U3962" s="0" t="n">
        <f aca="false">F3962*F3962</f>
        <v>0.0625</v>
      </c>
      <c r="V3962" s="0" t="n">
        <f aca="false">G3962*G3962</f>
        <v>0.5625</v>
      </c>
      <c r="W3962" s="0" t="n">
        <f aca="false">H3962*H3962</f>
        <v>0.25</v>
      </c>
      <c r="X3962" s="0" t="n">
        <f aca="false">SUMPRODUCT(I3962:W3962,_XtX!$B$96:$P$96)</f>
        <v>47.9228664108187</v>
      </c>
      <c r="Y3962" s="0" t="n">
        <f aca="false">SUMPRODUCT(MMULT(I3962:W3962,_XtX!$B$78:$P$92),I3962:W3962)</f>
        <v>0.207746539199561</v>
      </c>
      <c r="Z3962" s="0" t="n">
        <f aca="false">04_回帰ANOVA!$K$19*04_回帰ANOVA!$K$14*SQRT(1+Y3962)</f>
        <v>1.43247250081141</v>
      </c>
      <c r="AA3962" s="0" t="n">
        <f aca="false">X3962-Z3962</f>
        <v>46.4903939100073</v>
      </c>
      <c r="AB3962" s="0" t="n">
        <f aca="false">X3962+Z3962</f>
        <v>49.3553389116301</v>
      </c>
      <c r="AC3962" s="54" t="b">
        <f aca="false">AND(E3962&gt;=01_因子設定!$L$5-0.000000001,E3962&lt;=01_因子設定!$M$5+0.000000001,F3962&gt;=01_因子設定!$L$6-0.000000001,F3962&lt;=01_因子設定!$M$6+0.000000001,G3962&gt;=01_因子設定!$L$7-0.000000001,G3962&lt;=01_因子設定!$M$7+0.000000001,H3962&gt;=01_因子設定!$L$8-0.000000001,H3962&lt;=01_因子設定!$M$8+0.000000001,IF(01_因子設定!$B$20="Box-Behnken",E3962^2+F3962^2+G3962^2+H3962^2&lt;=2+0.000000001,TRUE()))</f>
        <v>1</v>
      </c>
      <c r="AD3962" s="55" t="n">
        <f aca="false">IF(AC3962,IF(01_因子設定!$B$13="最大化",AA3962-01_因子設定!$B$14,IF(01_因子設定!$B$13="最小化",01_因子設定!$B$15-AB3962,MIN(AA3962-01_因子設定!$B$14,01_因子設定!$B$15-AB3962))),-1E+030)</f>
        <v>-0.00960608999274371</v>
      </c>
      <c r="AE3962" s="55" t="n">
        <f aca="false">IF(AC3962,IF(01_因子設定!$B$13="最大化",X3962,IF(01_因子設定!$B$13="最小化",-X3962,-ABS(X3962-01_因子設定!$B$16))),-1E+030)</f>
        <v>47.9228664108187</v>
      </c>
      <c r="AF3962" s="55" t="n">
        <f aca="false">AD3962+ROW()*0.000000001</f>
        <v>-0.00960212799274371</v>
      </c>
      <c r="AG3962" s="55" t="n">
        <f aca="false">AE3962+ROW()*0.000000001</f>
        <v>47.9228703728187</v>
      </c>
    </row>
    <row r="3963" customFormat="false" ht="15" hidden="false" customHeight="false" outlineLevel="0" collapsed="false">
      <c r="A3963" s="0" t="n">
        <v>5</v>
      </c>
      <c r="B3963" s="0" t="n">
        <v>3</v>
      </c>
      <c r="C3963" s="0" t="n">
        <v>7</v>
      </c>
      <c r="D3963" s="0" t="n">
        <v>7</v>
      </c>
      <c r="E3963" s="0" t="n">
        <f aca="false">-1+A3963*0.25</f>
        <v>0.25</v>
      </c>
      <c r="F3963" s="0" t="n">
        <f aca="false">-1+B3963*0.25</f>
        <v>-0.25</v>
      </c>
      <c r="G3963" s="0" t="n">
        <f aca="false">-1+C3963*0.25</f>
        <v>0.75</v>
      </c>
      <c r="H3963" s="0" t="n">
        <f aca="false">-1+D3963*0.25</f>
        <v>0.75</v>
      </c>
      <c r="I3963" s="0" t="n">
        <f aca="false">1</f>
        <v>1</v>
      </c>
      <c r="J3963" s="0" t="n">
        <f aca="false">E3963</f>
        <v>0.25</v>
      </c>
      <c r="K3963" s="0" t="n">
        <f aca="false">F3963</f>
        <v>-0.25</v>
      </c>
      <c r="L3963" s="0" t="n">
        <f aca="false">G3963</f>
        <v>0.75</v>
      </c>
      <c r="M3963" s="0" t="n">
        <f aca="false">H3963</f>
        <v>0.75</v>
      </c>
      <c r="N3963" s="0" t="n">
        <f aca="false">E3963*F3963</f>
        <v>-0.0625</v>
      </c>
      <c r="O3963" s="0" t="n">
        <f aca="false">E3963*G3963</f>
        <v>0.1875</v>
      </c>
      <c r="P3963" s="0" t="n">
        <f aca="false">E3963*H3963</f>
        <v>0.1875</v>
      </c>
      <c r="Q3963" s="0" t="n">
        <f aca="false">F3963*G3963</f>
        <v>-0.1875</v>
      </c>
      <c r="R3963" s="0" t="n">
        <f aca="false">F3963*H3963</f>
        <v>-0.1875</v>
      </c>
      <c r="S3963" s="0" t="n">
        <f aca="false">G3963*H3963</f>
        <v>0.5625</v>
      </c>
      <c r="T3963" s="0" t="n">
        <f aca="false">E3963*E3963</f>
        <v>0.0625</v>
      </c>
      <c r="U3963" s="0" t="n">
        <f aca="false">F3963*F3963</f>
        <v>0.0625</v>
      </c>
      <c r="V3963" s="0" t="n">
        <f aca="false">G3963*G3963</f>
        <v>0.5625</v>
      </c>
      <c r="W3963" s="0" t="n">
        <f aca="false">H3963*H3963</f>
        <v>0.5625</v>
      </c>
      <c r="X3963" s="0" t="n">
        <f aca="false">SUMPRODUCT(I3963:W3963,_XtX!$B$96:$P$96)</f>
        <v>47.9797377558479</v>
      </c>
      <c r="Y3963" s="0" t="n">
        <f aca="false">SUMPRODUCT(MMULT(I3963:W3963,_XtX!$B$78:$P$92),I3963:W3963)</f>
        <v>0.271087468019006</v>
      </c>
      <c r="Z3963" s="0" t="n">
        <f aca="false">04_回帰ANOVA!$K$19*04_回帰ANOVA!$K$14*SQRT(1+Y3963)</f>
        <v>1.46955590155034</v>
      </c>
      <c r="AA3963" s="0" t="n">
        <f aca="false">X3963-Z3963</f>
        <v>46.5101818542976</v>
      </c>
      <c r="AB3963" s="0" t="n">
        <f aca="false">X3963+Z3963</f>
        <v>49.4492936573983</v>
      </c>
      <c r="AC3963" s="54" t="b">
        <f aca="false">AND(E3963&gt;=01_因子設定!$L$5-0.000000001,E3963&lt;=01_因子設定!$M$5+0.000000001,F3963&gt;=01_因子設定!$L$6-0.000000001,F3963&lt;=01_因子設定!$M$6+0.000000001,G3963&gt;=01_因子設定!$L$7-0.000000001,G3963&lt;=01_因子設定!$M$7+0.000000001,H3963&gt;=01_因子設定!$L$8-0.000000001,H3963&lt;=01_因子設定!$M$8+0.000000001,IF(01_因子設定!$B$20="Box-Behnken",E3963^2+F3963^2+G3963^2+H3963^2&lt;=2+0.000000001,TRUE()))</f>
        <v>1</v>
      </c>
      <c r="AD3963" s="55" t="n">
        <f aca="false">IF(AC3963,IF(01_因子設定!$B$13="最大化",AA3963-01_因子設定!$B$14,IF(01_因子設定!$B$13="最小化",01_因子設定!$B$15-AB3963,MIN(AA3963-01_因子設定!$B$14,01_因子設定!$B$15-AB3963))),-1E+030)</f>
        <v>0.0101818542975707</v>
      </c>
      <c r="AE3963" s="55" t="n">
        <f aca="false">IF(AC3963,IF(01_因子設定!$B$13="最大化",X3963,IF(01_因子設定!$B$13="最小化",-X3963,-ABS(X3963-01_因子設定!$B$16))),-1E+030)</f>
        <v>47.9797377558479</v>
      </c>
      <c r="AF3963" s="55" t="n">
        <f aca="false">AD3963+ROW()*0.000000001</f>
        <v>0.0101858172975707</v>
      </c>
      <c r="AG3963" s="55" t="n">
        <f aca="false">AE3963+ROW()*0.000000001</f>
        <v>47.9797417188479</v>
      </c>
    </row>
    <row r="3964" customFormat="false" ht="15" hidden="false" customHeight="false" outlineLevel="0" collapsed="false">
      <c r="A3964" s="0" t="n">
        <v>5</v>
      </c>
      <c r="B3964" s="0" t="n">
        <v>3</v>
      </c>
      <c r="C3964" s="0" t="n">
        <v>7</v>
      </c>
      <c r="D3964" s="0" t="n">
        <v>8</v>
      </c>
      <c r="E3964" s="0" t="n">
        <f aca="false">-1+A3964*0.25</f>
        <v>0.25</v>
      </c>
      <c r="F3964" s="0" t="n">
        <f aca="false">-1+B3964*0.25</f>
        <v>-0.25</v>
      </c>
      <c r="G3964" s="0" t="n">
        <f aca="false">-1+C3964*0.25</f>
        <v>0.75</v>
      </c>
      <c r="H3964" s="0" t="n">
        <f aca="false">-1+D3964*0.25</f>
        <v>1</v>
      </c>
      <c r="I3964" s="0" t="n">
        <f aca="false">1</f>
        <v>1</v>
      </c>
      <c r="J3964" s="0" t="n">
        <f aca="false">E3964</f>
        <v>0.25</v>
      </c>
      <c r="K3964" s="0" t="n">
        <f aca="false">F3964</f>
        <v>-0.25</v>
      </c>
      <c r="L3964" s="0" t="n">
        <f aca="false">G3964</f>
        <v>0.75</v>
      </c>
      <c r="M3964" s="0" t="n">
        <f aca="false">H3964</f>
        <v>1</v>
      </c>
      <c r="N3964" s="0" t="n">
        <f aca="false">E3964*F3964</f>
        <v>-0.0625</v>
      </c>
      <c r="O3964" s="0" t="n">
        <f aca="false">E3964*G3964</f>
        <v>0.1875</v>
      </c>
      <c r="P3964" s="0" t="n">
        <f aca="false">E3964*H3964</f>
        <v>0.25</v>
      </c>
      <c r="Q3964" s="0" t="n">
        <f aca="false">F3964*G3964</f>
        <v>-0.1875</v>
      </c>
      <c r="R3964" s="0" t="n">
        <f aca="false">F3964*H3964</f>
        <v>-0.25</v>
      </c>
      <c r="S3964" s="0" t="n">
        <f aca="false">G3964*H3964</f>
        <v>0.75</v>
      </c>
      <c r="T3964" s="0" t="n">
        <f aca="false">E3964*E3964</f>
        <v>0.0625</v>
      </c>
      <c r="U3964" s="0" t="n">
        <f aca="false">F3964*F3964</f>
        <v>0.0625</v>
      </c>
      <c r="V3964" s="0" t="n">
        <f aca="false">G3964*G3964</f>
        <v>0.5625</v>
      </c>
      <c r="W3964" s="0" t="n">
        <f aca="false">H3964*H3964</f>
        <v>1</v>
      </c>
      <c r="X3964" s="0" t="n">
        <f aca="false">SUMPRODUCT(I3964:W3964,_XtX!$B$96:$P$96)</f>
        <v>47.9888020833333</v>
      </c>
      <c r="Y3964" s="0" t="n">
        <f aca="false">SUMPRODUCT(MMULT(I3964:W3964,_XtX!$B$78:$P$92),I3964:W3964)</f>
        <v>0.486409505208334</v>
      </c>
      <c r="Z3964" s="0" t="n">
        <f aca="false">04_回帰ANOVA!$K$19*04_回帰ANOVA!$K$14*SQRT(1+Y3964)</f>
        <v>1.58916001665498</v>
      </c>
      <c r="AA3964" s="0" t="n">
        <f aca="false">X3964-Z3964</f>
        <v>46.3996420666783</v>
      </c>
      <c r="AB3964" s="0" t="n">
        <f aca="false">X3964+Z3964</f>
        <v>49.5779620999883</v>
      </c>
      <c r="AC3964" s="54" t="b">
        <f aca="false">AND(E3964&gt;=01_因子設定!$L$5-0.000000001,E3964&lt;=01_因子設定!$M$5+0.000000001,F3964&gt;=01_因子設定!$L$6-0.000000001,F3964&lt;=01_因子設定!$M$6+0.000000001,G3964&gt;=01_因子設定!$L$7-0.000000001,G3964&lt;=01_因子設定!$M$7+0.000000001,H3964&gt;=01_因子設定!$L$8-0.000000001,H3964&lt;=01_因子設定!$M$8+0.000000001,IF(01_因子設定!$B$20="Box-Behnken",E3964^2+F3964^2+G3964^2+H3964^2&lt;=2+0.000000001,TRUE()))</f>
        <v>1</v>
      </c>
      <c r="AD3964" s="55" t="n">
        <f aca="false">IF(AC3964,IF(01_因子設定!$B$13="最大化",AA3964-01_因子設定!$B$14,IF(01_因子設定!$B$13="最小化",01_因子設定!$B$15-AB3964,MIN(AA3964-01_因子設定!$B$14,01_因子設定!$B$15-AB3964))),-1E+030)</f>
        <v>-0.100357933321668</v>
      </c>
      <c r="AE3964" s="55" t="n">
        <f aca="false">IF(AC3964,IF(01_因子設定!$B$13="最大化",X3964,IF(01_因子設定!$B$13="最小化",-X3964,-ABS(X3964-01_因子設定!$B$16))),-1E+030)</f>
        <v>47.9888020833333</v>
      </c>
      <c r="AF3964" s="55" t="n">
        <f aca="false">AD3964+ROW()*0.000000001</f>
        <v>-0.100353969321668</v>
      </c>
      <c r="AG3964" s="55" t="n">
        <f aca="false">AE3964+ROW()*0.000000001</f>
        <v>47.9888060473333</v>
      </c>
    </row>
    <row r="3965" customFormat="false" ht="15" hidden="false" customHeight="false" outlineLevel="0" collapsed="false">
      <c r="A3965" s="0" t="n">
        <v>5</v>
      </c>
      <c r="B3965" s="0" t="n">
        <v>3</v>
      </c>
      <c r="C3965" s="0" t="n">
        <v>8</v>
      </c>
      <c r="D3965" s="0" t="n">
        <v>0</v>
      </c>
      <c r="E3965" s="0" t="n">
        <f aca="false">-1+A3965*0.25</f>
        <v>0.25</v>
      </c>
      <c r="F3965" s="0" t="n">
        <f aca="false">-1+B3965*0.25</f>
        <v>-0.25</v>
      </c>
      <c r="G3965" s="0" t="n">
        <f aca="false">-1+C3965*0.25</f>
        <v>1</v>
      </c>
      <c r="H3965" s="0" t="n">
        <f aca="false">-1+D3965*0.25</f>
        <v>-1</v>
      </c>
      <c r="I3965" s="0" t="n">
        <f aca="false">1</f>
        <v>1</v>
      </c>
      <c r="J3965" s="0" t="n">
        <f aca="false">E3965</f>
        <v>0.25</v>
      </c>
      <c r="K3965" s="0" t="n">
        <f aca="false">F3965</f>
        <v>-0.25</v>
      </c>
      <c r="L3965" s="0" t="n">
        <f aca="false">G3965</f>
        <v>1</v>
      </c>
      <c r="M3965" s="0" t="n">
        <f aca="false">H3965</f>
        <v>-1</v>
      </c>
      <c r="N3965" s="0" t="n">
        <f aca="false">E3965*F3965</f>
        <v>-0.0625</v>
      </c>
      <c r="O3965" s="0" t="n">
        <f aca="false">E3965*G3965</f>
        <v>0.25</v>
      </c>
      <c r="P3965" s="0" t="n">
        <f aca="false">E3965*H3965</f>
        <v>-0.25</v>
      </c>
      <c r="Q3965" s="0" t="n">
        <f aca="false">F3965*G3965</f>
        <v>-0.25</v>
      </c>
      <c r="R3965" s="0" t="n">
        <f aca="false">F3965*H3965</f>
        <v>0.25</v>
      </c>
      <c r="S3965" s="0" t="n">
        <f aca="false">G3965*H3965</f>
        <v>-1</v>
      </c>
      <c r="T3965" s="0" t="n">
        <f aca="false">E3965*E3965</f>
        <v>0.0625</v>
      </c>
      <c r="U3965" s="0" t="n">
        <f aca="false">F3965*F3965</f>
        <v>0.0625</v>
      </c>
      <c r="V3965" s="0" t="n">
        <f aca="false">G3965*G3965</f>
        <v>1</v>
      </c>
      <c r="W3965" s="0" t="n">
        <f aca="false">H3965*H3965</f>
        <v>1</v>
      </c>
      <c r="X3965" s="0" t="n">
        <f aca="false">SUMPRODUCT(I3965:W3965,_XtX!$B$96:$P$96)</f>
        <v>46.392918494152</v>
      </c>
      <c r="Y3965" s="0" t="n">
        <f aca="false">SUMPRODUCT(MMULT(I3965:W3965,_XtX!$B$78:$P$92),I3965:W3965)</f>
        <v>0.670040376005117</v>
      </c>
      <c r="Z3965" s="0" t="n">
        <f aca="false">04_回帰ANOVA!$K$19*04_回帰ANOVA!$K$14*SQRT(1+Y3965)</f>
        <v>1.68446456039992</v>
      </c>
      <c r="AA3965" s="0" t="n">
        <f aca="false">X3965-Z3965</f>
        <v>44.7084539337521</v>
      </c>
      <c r="AB3965" s="0" t="n">
        <f aca="false">X3965+Z3965</f>
        <v>48.0773830545519</v>
      </c>
      <c r="AC3965" s="54" t="b">
        <f aca="false">AND(E3965&gt;=01_因子設定!$L$5-0.000000001,E3965&lt;=01_因子設定!$M$5+0.000000001,F3965&gt;=01_因子設定!$L$6-0.000000001,F3965&lt;=01_因子設定!$M$6+0.000000001,G3965&gt;=01_因子設定!$L$7-0.000000001,G3965&lt;=01_因子設定!$M$7+0.000000001,H3965&gt;=01_因子設定!$L$8-0.000000001,H3965&lt;=01_因子設定!$M$8+0.000000001,IF(01_因子設定!$B$20="Box-Behnken",E3965^2+F3965^2+G3965^2+H3965^2&lt;=2+0.000000001,TRUE()))</f>
        <v>1</v>
      </c>
      <c r="AD3965" s="55" t="n">
        <f aca="false">IF(AC3965,IF(01_因子設定!$B$13="最大化",AA3965-01_因子設定!$B$14,IF(01_因子設定!$B$13="最小化",01_因子設定!$B$15-AB3965,MIN(AA3965-01_因子設定!$B$14,01_因子設定!$B$15-AB3965))),-1E+030)</f>
        <v>-1.79154606624789</v>
      </c>
      <c r="AE3965" s="55" t="n">
        <f aca="false">IF(AC3965,IF(01_因子設定!$B$13="最大化",X3965,IF(01_因子設定!$B$13="最小化",-X3965,-ABS(X3965-01_因子設定!$B$16))),-1E+030)</f>
        <v>46.392918494152</v>
      </c>
      <c r="AF3965" s="55" t="n">
        <f aca="false">AD3965+ROW()*0.000000001</f>
        <v>-1.79154210124789</v>
      </c>
      <c r="AG3965" s="55" t="n">
        <f aca="false">AE3965+ROW()*0.000000001</f>
        <v>46.392922459152</v>
      </c>
    </row>
    <row r="3966" customFormat="false" ht="15" hidden="false" customHeight="false" outlineLevel="0" collapsed="false">
      <c r="A3966" s="0" t="n">
        <v>5</v>
      </c>
      <c r="B3966" s="0" t="n">
        <v>3</v>
      </c>
      <c r="C3966" s="0" t="n">
        <v>8</v>
      </c>
      <c r="D3966" s="0" t="n">
        <v>1</v>
      </c>
      <c r="E3966" s="0" t="n">
        <f aca="false">-1+A3966*0.25</f>
        <v>0.25</v>
      </c>
      <c r="F3966" s="0" t="n">
        <f aca="false">-1+B3966*0.25</f>
        <v>-0.25</v>
      </c>
      <c r="G3966" s="0" t="n">
        <f aca="false">-1+C3966*0.25</f>
        <v>1</v>
      </c>
      <c r="H3966" s="0" t="n">
        <f aca="false">-1+D3966*0.25</f>
        <v>-0.75</v>
      </c>
      <c r="I3966" s="0" t="n">
        <f aca="false">1</f>
        <v>1</v>
      </c>
      <c r="J3966" s="0" t="n">
        <f aca="false">E3966</f>
        <v>0.25</v>
      </c>
      <c r="K3966" s="0" t="n">
        <f aca="false">F3966</f>
        <v>-0.25</v>
      </c>
      <c r="L3966" s="0" t="n">
        <f aca="false">G3966</f>
        <v>1</v>
      </c>
      <c r="M3966" s="0" t="n">
        <f aca="false">H3966</f>
        <v>-0.75</v>
      </c>
      <c r="N3966" s="0" t="n">
        <f aca="false">E3966*F3966</f>
        <v>-0.0625</v>
      </c>
      <c r="O3966" s="0" t="n">
        <f aca="false">E3966*G3966</f>
        <v>0.25</v>
      </c>
      <c r="P3966" s="0" t="n">
        <f aca="false">E3966*H3966</f>
        <v>-0.1875</v>
      </c>
      <c r="Q3966" s="0" t="n">
        <f aca="false">F3966*G3966</f>
        <v>-0.25</v>
      </c>
      <c r="R3966" s="0" t="n">
        <f aca="false">F3966*H3966</f>
        <v>0.1875</v>
      </c>
      <c r="S3966" s="0" t="n">
        <f aca="false">G3966*H3966</f>
        <v>-0.75</v>
      </c>
      <c r="T3966" s="0" t="n">
        <f aca="false">E3966*E3966</f>
        <v>0.0625</v>
      </c>
      <c r="U3966" s="0" t="n">
        <f aca="false">F3966*F3966</f>
        <v>0.0625</v>
      </c>
      <c r="V3966" s="0" t="n">
        <f aca="false">G3966*G3966</f>
        <v>1</v>
      </c>
      <c r="W3966" s="0" t="n">
        <f aca="false">H3966*H3966</f>
        <v>0.5625</v>
      </c>
      <c r="X3966" s="0" t="n">
        <f aca="false">SUMPRODUCT(I3966:W3966,_XtX!$B$96:$P$96)</f>
        <v>46.7546006944444</v>
      </c>
      <c r="Y3966" s="0" t="n">
        <f aca="false">SUMPRODUCT(MMULT(I3966:W3966,_XtX!$B$78:$P$92),I3966:W3966)</f>
        <v>0.486409505208334</v>
      </c>
      <c r="Z3966" s="0" t="n">
        <f aca="false">04_回帰ANOVA!$K$19*04_回帰ANOVA!$K$14*SQRT(1+Y3966)</f>
        <v>1.58916001665498</v>
      </c>
      <c r="AA3966" s="0" t="n">
        <f aca="false">X3966-Z3966</f>
        <v>45.1654406777894</v>
      </c>
      <c r="AB3966" s="0" t="n">
        <f aca="false">X3966+Z3966</f>
        <v>48.3437607110994</v>
      </c>
      <c r="AC3966" s="54" t="b">
        <f aca="false">AND(E3966&gt;=01_因子設定!$L$5-0.000000001,E3966&lt;=01_因子設定!$M$5+0.000000001,F3966&gt;=01_因子設定!$L$6-0.000000001,F3966&lt;=01_因子設定!$M$6+0.000000001,G3966&gt;=01_因子設定!$L$7-0.000000001,G3966&lt;=01_因子設定!$M$7+0.000000001,H3966&gt;=01_因子設定!$L$8-0.000000001,H3966&lt;=01_因子設定!$M$8+0.000000001,IF(01_因子設定!$B$20="Box-Behnken",E3966^2+F3966^2+G3966^2+H3966^2&lt;=2+0.000000001,TRUE()))</f>
        <v>1</v>
      </c>
      <c r="AD3966" s="55" t="n">
        <f aca="false">IF(AC3966,IF(01_因子設定!$B$13="最大化",AA3966-01_因子設定!$B$14,IF(01_因子設定!$B$13="最小化",01_因子設定!$B$15-AB3966,MIN(AA3966-01_因子設定!$B$14,01_因子設定!$B$15-AB3966))),-1E+030)</f>
        <v>-1.33455932221057</v>
      </c>
      <c r="AE3966" s="55" t="n">
        <f aca="false">IF(AC3966,IF(01_因子設定!$B$13="最大化",X3966,IF(01_因子設定!$B$13="最小化",-X3966,-ABS(X3966-01_因子設定!$B$16))),-1E+030)</f>
        <v>46.7546006944444</v>
      </c>
      <c r="AF3966" s="55" t="n">
        <f aca="false">AD3966+ROW()*0.000000001</f>
        <v>-1.33455535621057</v>
      </c>
      <c r="AG3966" s="55" t="n">
        <f aca="false">AE3966+ROW()*0.000000001</f>
        <v>46.7546046604444</v>
      </c>
    </row>
    <row r="3967" customFormat="false" ht="15" hidden="false" customHeight="false" outlineLevel="0" collapsed="false">
      <c r="A3967" s="0" t="n">
        <v>5</v>
      </c>
      <c r="B3967" s="0" t="n">
        <v>3</v>
      </c>
      <c r="C3967" s="0" t="n">
        <v>8</v>
      </c>
      <c r="D3967" s="0" t="n">
        <v>2</v>
      </c>
      <c r="E3967" s="0" t="n">
        <f aca="false">-1+A3967*0.25</f>
        <v>0.25</v>
      </c>
      <c r="F3967" s="0" t="n">
        <f aca="false">-1+B3967*0.25</f>
        <v>-0.25</v>
      </c>
      <c r="G3967" s="0" t="n">
        <f aca="false">-1+C3967*0.25</f>
        <v>1</v>
      </c>
      <c r="H3967" s="0" t="n">
        <f aca="false">-1+D3967*0.25</f>
        <v>-0.5</v>
      </c>
      <c r="I3967" s="0" t="n">
        <f aca="false">1</f>
        <v>1</v>
      </c>
      <c r="J3967" s="0" t="n">
        <f aca="false">E3967</f>
        <v>0.25</v>
      </c>
      <c r="K3967" s="0" t="n">
        <f aca="false">F3967</f>
        <v>-0.25</v>
      </c>
      <c r="L3967" s="0" t="n">
        <f aca="false">G3967</f>
        <v>1</v>
      </c>
      <c r="M3967" s="0" t="n">
        <f aca="false">H3967</f>
        <v>-0.5</v>
      </c>
      <c r="N3967" s="0" t="n">
        <f aca="false">E3967*F3967</f>
        <v>-0.0625</v>
      </c>
      <c r="O3967" s="0" t="n">
        <f aca="false">E3967*G3967</f>
        <v>0.25</v>
      </c>
      <c r="P3967" s="0" t="n">
        <f aca="false">E3967*H3967</f>
        <v>-0.125</v>
      </c>
      <c r="Q3967" s="0" t="n">
        <f aca="false">F3967*G3967</f>
        <v>-0.25</v>
      </c>
      <c r="R3967" s="0" t="n">
        <f aca="false">F3967*H3967</f>
        <v>0.125</v>
      </c>
      <c r="S3967" s="0" t="n">
        <f aca="false">G3967*H3967</f>
        <v>-0.5</v>
      </c>
      <c r="T3967" s="0" t="n">
        <f aca="false">E3967*E3967</f>
        <v>0.0625</v>
      </c>
      <c r="U3967" s="0" t="n">
        <f aca="false">F3967*F3967</f>
        <v>0.0625</v>
      </c>
      <c r="V3967" s="0" t="n">
        <f aca="false">G3967*G3967</f>
        <v>1</v>
      </c>
      <c r="W3967" s="0" t="n">
        <f aca="false">H3967*H3967</f>
        <v>0.25</v>
      </c>
      <c r="X3967" s="0" t="n">
        <f aca="false">SUMPRODUCT(I3967:W3967,_XtX!$B$96:$P$96)</f>
        <v>47.0684758771929</v>
      </c>
      <c r="Y3967" s="0" t="n">
        <f aca="false">SUMPRODUCT(MMULT(I3967:W3967,_XtX!$B$78:$P$92),I3967:W3967)</f>
        <v>0.445705123812135</v>
      </c>
      <c r="Z3967" s="0" t="n">
        <f aca="false">04_回帰ANOVA!$K$19*04_回帰ANOVA!$K$14*SQRT(1+Y3967)</f>
        <v>1.56724990734749</v>
      </c>
      <c r="AA3967" s="0" t="n">
        <f aca="false">X3967-Z3967</f>
        <v>45.5012259698455</v>
      </c>
      <c r="AB3967" s="0" t="n">
        <f aca="false">X3967+Z3967</f>
        <v>48.6357257845404</v>
      </c>
      <c r="AC3967" s="54" t="b">
        <f aca="false">AND(E3967&gt;=01_因子設定!$L$5-0.000000001,E3967&lt;=01_因子設定!$M$5+0.000000001,F3967&gt;=01_因子設定!$L$6-0.000000001,F3967&lt;=01_因子設定!$M$6+0.000000001,G3967&gt;=01_因子設定!$L$7-0.000000001,G3967&lt;=01_因子設定!$M$7+0.000000001,H3967&gt;=01_因子設定!$L$8-0.000000001,H3967&lt;=01_因子設定!$M$8+0.000000001,IF(01_因子設定!$B$20="Box-Behnken",E3967^2+F3967^2+G3967^2+H3967^2&lt;=2+0.000000001,TRUE()))</f>
        <v>1</v>
      </c>
      <c r="AD3967" s="55" t="n">
        <f aca="false">IF(AC3967,IF(01_因子設定!$B$13="最大化",AA3967-01_因子設定!$B$14,IF(01_因子設定!$B$13="最小化",01_因子設定!$B$15-AB3967,MIN(AA3967-01_因子設定!$B$14,01_因子設定!$B$15-AB3967))),-1E+030)</f>
        <v>-0.99877403015455</v>
      </c>
      <c r="AE3967" s="55" t="n">
        <f aca="false">IF(AC3967,IF(01_因子設定!$B$13="最大化",X3967,IF(01_因子設定!$B$13="最小化",-X3967,-ABS(X3967-01_因子設定!$B$16))),-1E+030)</f>
        <v>47.0684758771929</v>
      </c>
      <c r="AF3967" s="55" t="n">
        <f aca="false">AD3967+ROW()*0.000000001</f>
        <v>-0.99877006315455</v>
      </c>
      <c r="AG3967" s="55" t="n">
        <f aca="false">AE3967+ROW()*0.000000001</f>
        <v>47.0684798441929</v>
      </c>
    </row>
    <row r="3968" customFormat="false" ht="15" hidden="false" customHeight="false" outlineLevel="0" collapsed="false">
      <c r="A3968" s="0" t="n">
        <v>5</v>
      </c>
      <c r="B3968" s="0" t="n">
        <v>3</v>
      </c>
      <c r="C3968" s="0" t="n">
        <v>8</v>
      </c>
      <c r="D3968" s="0" t="n">
        <v>3</v>
      </c>
      <c r="E3968" s="0" t="n">
        <f aca="false">-1+A3968*0.25</f>
        <v>0.25</v>
      </c>
      <c r="F3968" s="0" t="n">
        <f aca="false">-1+B3968*0.25</f>
        <v>-0.25</v>
      </c>
      <c r="G3968" s="0" t="n">
        <f aca="false">-1+C3968*0.25</f>
        <v>1</v>
      </c>
      <c r="H3968" s="0" t="n">
        <f aca="false">-1+D3968*0.25</f>
        <v>-0.25</v>
      </c>
      <c r="I3968" s="0" t="n">
        <f aca="false">1</f>
        <v>1</v>
      </c>
      <c r="J3968" s="0" t="n">
        <f aca="false">E3968</f>
        <v>0.25</v>
      </c>
      <c r="K3968" s="0" t="n">
        <f aca="false">F3968</f>
        <v>-0.25</v>
      </c>
      <c r="L3968" s="0" t="n">
        <f aca="false">G3968</f>
        <v>1</v>
      </c>
      <c r="M3968" s="0" t="n">
        <f aca="false">H3968</f>
        <v>-0.25</v>
      </c>
      <c r="N3968" s="0" t="n">
        <f aca="false">E3968*F3968</f>
        <v>-0.0625</v>
      </c>
      <c r="O3968" s="0" t="n">
        <f aca="false">E3968*G3968</f>
        <v>0.25</v>
      </c>
      <c r="P3968" s="0" t="n">
        <f aca="false">E3968*H3968</f>
        <v>-0.0625</v>
      </c>
      <c r="Q3968" s="0" t="n">
        <f aca="false">F3968*G3968</f>
        <v>-0.25</v>
      </c>
      <c r="R3968" s="0" t="n">
        <f aca="false">F3968*H3968</f>
        <v>0.0625</v>
      </c>
      <c r="S3968" s="0" t="n">
        <f aca="false">G3968*H3968</f>
        <v>-0.25</v>
      </c>
      <c r="T3968" s="0" t="n">
        <f aca="false">E3968*E3968</f>
        <v>0.0625</v>
      </c>
      <c r="U3968" s="0" t="n">
        <f aca="false">F3968*F3968</f>
        <v>0.0625</v>
      </c>
      <c r="V3968" s="0" t="n">
        <f aca="false">G3968*G3968</f>
        <v>1</v>
      </c>
      <c r="W3968" s="0" t="n">
        <f aca="false">H3968*H3968</f>
        <v>0.0625</v>
      </c>
      <c r="X3968" s="0" t="n">
        <f aca="false">SUMPRODUCT(I3968:W3968,_XtX!$B$96:$P$96)</f>
        <v>47.3345440423976</v>
      </c>
      <c r="Y3968" s="0" t="n">
        <f aca="false">SUMPRODUCT(MMULT(I3968:W3968,_XtX!$B$78:$P$92),I3968:W3968)</f>
        <v>0.457466705500731</v>
      </c>
      <c r="Z3968" s="0" t="n">
        <f aca="false">04_回帰ANOVA!$K$19*04_回帰ANOVA!$K$14*SQRT(1+Y3968)</f>
        <v>1.57361220003999</v>
      </c>
      <c r="AA3968" s="0" t="n">
        <f aca="false">X3968-Z3968</f>
        <v>45.7609318423576</v>
      </c>
      <c r="AB3968" s="0" t="n">
        <f aca="false">X3968+Z3968</f>
        <v>48.9081562424376</v>
      </c>
      <c r="AC3968" s="54" t="b">
        <f aca="false">AND(E3968&gt;=01_因子設定!$L$5-0.000000001,E3968&lt;=01_因子設定!$M$5+0.000000001,F3968&gt;=01_因子設定!$L$6-0.000000001,F3968&lt;=01_因子設定!$M$6+0.000000001,G3968&gt;=01_因子設定!$L$7-0.000000001,G3968&lt;=01_因子設定!$M$7+0.000000001,H3968&gt;=01_因子設定!$L$8-0.000000001,H3968&lt;=01_因子設定!$M$8+0.000000001,IF(01_因子設定!$B$20="Box-Behnken",E3968^2+F3968^2+G3968^2+H3968^2&lt;=2+0.000000001,TRUE()))</f>
        <v>1</v>
      </c>
      <c r="AD3968" s="55" t="n">
        <f aca="false">IF(AC3968,IF(01_因子設定!$B$13="最大化",AA3968-01_因子設定!$B$14,IF(01_因子設定!$B$13="最小化",01_因子設定!$B$15-AB3968,MIN(AA3968-01_因子設定!$B$14,01_因子設定!$B$15-AB3968))),-1E+030)</f>
        <v>-0.739068157642386</v>
      </c>
      <c r="AE3968" s="55" t="n">
        <f aca="false">IF(AC3968,IF(01_因子設定!$B$13="最大化",X3968,IF(01_因子設定!$B$13="最小化",-X3968,-ABS(X3968-01_因子設定!$B$16))),-1E+030)</f>
        <v>47.3345440423976</v>
      </c>
      <c r="AF3968" s="55" t="n">
        <f aca="false">AD3968+ROW()*0.000000001</f>
        <v>-0.739064189642386</v>
      </c>
      <c r="AG3968" s="55" t="n">
        <f aca="false">AE3968+ROW()*0.000000001</f>
        <v>47.3345480103976</v>
      </c>
    </row>
    <row r="3969" customFormat="false" ht="15" hidden="false" customHeight="false" outlineLevel="0" collapsed="false">
      <c r="A3969" s="0" t="n">
        <v>5</v>
      </c>
      <c r="B3969" s="0" t="n">
        <v>3</v>
      </c>
      <c r="C3969" s="0" t="n">
        <v>8</v>
      </c>
      <c r="D3969" s="0" t="n">
        <v>4</v>
      </c>
      <c r="E3969" s="0" t="n">
        <f aca="false">-1+A3969*0.25</f>
        <v>0.25</v>
      </c>
      <c r="F3969" s="0" t="n">
        <f aca="false">-1+B3969*0.25</f>
        <v>-0.25</v>
      </c>
      <c r="G3969" s="0" t="n">
        <f aca="false">-1+C3969*0.25</f>
        <v>1</v>
      </c>
      <c r="H3969" s="0" t="n">
        <f aca="false">-1+D3969*0.25</f>
        <v>0</v>
      </c>
      <c r="I3969" s="0" t="n">
        <f aca="false">1</f>
        <v>1</v>
      </c>
      <c r="J3969" s="0" t="n">
        <f aca="false">E3969</f>
        <v>0.25</v>
      </c>
      <c r="K3969" s="0" t="n">
        <f aca="false">F3969</f>
        <v>-0.25</v>
      </c>
      <c r="L3969" s="0" t="n">
        <f aca="false">G3969</f>
        <v>1</v>
      </c>
      <c r="M3969" s="0" t="n">
        <f aca="false">H3969</f>
        <v>0</v>
      </c>
      <c r="N3969" s="0" t="n">
        <f aca="false">E3969*F3969</f>
        <v>-0.0625</v>
      </c>
      <c r="O3969" s="0" t="n">
        <f aca="false">E3969*G3969</f>
        <v>0.25</v>
      </c>
      <c r="P3969" s="0" t="n">
        <f aca="false">E3969*H3969</f>
        <v>0</v>
      </c>
      <c r="Q3969" s="0" t="n">
        <f aca="false">F3969*G3969</f>
        <v>-0.25</v>
      </c>
      <c r="R3969" s="0" t="n">
        <f aca="false">F3969*H3969</f>
        <v>-0</v>
      </c>
      <c r="S3969" s="0" t="n">
        <f aca="false">G3969*H3969</f>
        <v>0</v>
      </c>
      <c r="T3969" s="0" t="n">
        <f aca="false">E3969*E3969</f>
        <v>0.0625</v>
      </c>
      <c r="U3969" s="0" t="n">
        <f aca="false">F3969*F3969</f>
        <v>0.0625</v>
      </c>
      <c r="V3969" s="0" t="n">
        <f aca="false">G3969*G3969</f>
        <v>1</v>
      </c>
      <c r="W3969" s="0" t="n">
        <f aca="false">H3969*H3969</f>
        <v>0</v>
      </c>
      <c r="X3969" s="0" t="n">
        <f aca="false">SUMPRODUCT(I3969:W3969,_XtX!$B$96:$P$96)</f>
        <v>47.5528051900584</v>
      </c>
      <c r="Y3969" s="0" t="n">
        <f aca="false">SUMPRODUCT(MMULT(I3969:W3969,_XtX!$B$78:$P$92),I3969:W3969)</f>
        <v>0.467417934484649</v>
      </c>
      <c r="Z3969" s="0" t="n">
        <f aca="false">04_回帰ANOVA!$K$19*04_回帰ANOVA!$K$14*SQRT(1+Y3969)</f>
        <v>1.57897518244497</v>
      </c>
      <c r="AA3969" s="0" t="n">
        <f aca="false">X3969-Z3969</f>
        <v>45.9738300076135</v>
      </c>
      <c r="AB3969" s="0" t="n">
        <f aca="false">X3969+Z3969</f>
        <v>49.1317803725034</v>
      </c>
      <c r="AC3969" s="54" t="b">
        <f aca="false">AND(E3969&gt;=01_因子設定!$L$5-0.000000001,E3969&lt;=01_因子設定!$M$5+0.000000001,F3969&gt;=01_因子設定!$L$6-0.000000001,F3969&lt;=01_因子設定!$M$6+0.000000001,G3969&gt;=01_因子設定!$L$7-0.000000001,G3969&lt;=01_因子設定!$M$7+0.000000001,H3969&gt;=01_因子設定!$L$8-0.000000001,H3969&lt;=01_因子設定!$M$8+0.000000001,IF(01_因子設定!$B$20="Box-Behnken",E3969^2+F3969^2+G3969^2+H3969^2&lt;=2+0.000000001,TRUE()))</f>
        <v>1</v>
      </c>
      <c r="AD3969" s="55" t="n">
        <f aca="false">IF(AC3969,IF(01_因子設定!$B$13="最大化",AA3969-01_因子設定!$B$14,IF(01_因子設定!$B$13="最小化",01_因子設定!$B$15-AB3969,MIN(AA3969-01_因子設定!$B$14,01_因子設定!$B$15-AB3969))),-1E+030)</f>
        <v>-0.526169992386549</v>
      </c>
      <c r="AE3969" s="55" t="n">
        <f aca="false">IF(AC3969,IF(01_因子設定!$B$13="最大化",X3969,IF(01_因子設定!$B$13="最小化",-X3969,-ABS(X3969-01_因子設定!$B$16))),-1E+030)</f>
        <v>47.5528051900584</v>
      </c>
      <c r="AF3969" s="55" t="n">
        <f aca="false">AD3969+ROW()*0.000000001</f>
        <v>-0.526166023386549</v>
      </c>
      <c r="AG3969" s="55" t="n">
        <f aca="false">AE3969+ROW()*0.000000001</f>
        <v>47.5528091590584</v>
      </c>
    </row>
    <row r="3970" customFormat="false" ht="15" hidden="false" customHeight="false" outlineLevel="0" collapsed="false">
      <c r="A3970" s="0" t="n">
        <v>5</v>
      </c>
      <c r="B3970" s="0" t="n">
        <v>3</v>
      </c>
      <c r="C3970" s="0" t="n">
        <v>8</v>
      </c>
      <c r="D3970" s="0" t="n">
        <v>5</v>
      </c>
      <c r="E3970" s="0" t="n">
        <f aca="false">-1+A3970*0.25</f>
        <v>0.25</v>
      </c>
      <c r="F3970" s="0" t="n">
        <f aca="false">-1+B3970*0.25</f>
        <v>-0.25</v>
      </c>
      <c r="G3970" s="0" t="n">
        <f aca="false">-1+C3970*0.25</f>
        <v>1</v>
      </c>
      <c r="H3970" s="0" t="n">
        <f aca="false">-1+D3970*0.25</f>
        <v>0.25</v>
      </c>
      <c r="I3970" s="0" t="n">
        <f aca="false">1</f>
        <v>1</v>
      </c>
      <c r="J3970" s="0" t="n">
        <f aca="false">E3970</f>
        <v>0.25</v>
      </c>
      <c r="K3970" s="0" t="n">
        <f aca="false">F3970</f>
        <v>-0.25</v>
      </c>
      <c r="L3970" s="0" t="n">
        <f aca="false">G3970</f>
        <v>1</v>
      </c>
      <c r="M3970" s="0" t="n">
        <f aca="false">H3970</f>
        <v>0.25</v>
      </c>
      <c r="N3970" s="0" t="n">
        <f aca="false">E3970*F3970</f>
        <v>-0.0625</v>
      </c>
      <c r="O3970" s="0" t="n">
        <f aca="false">E3970*G3970</f>
        <v>0.25</v>
      </c>
      <c r="P3970" s="0" t="n">
        <f aca="false">E3970*H3970</f>
        <v>0.0625</v>
      </c>
      <c r="Q3970" s="0" t="n">
        <f aca="false">F3970*G3970</f>
        <v>-0.25</v>
      </c>
      <c r="R3970" s="0" t="n">
        <f aca="false">F3970*H3970</f>
        <v>-0.0625</v>
      </c>
      <c r="S3970" s="0" t="n">
        <f aca="false">G3970*H3970</f>
        <v>0.25</v>
      </c>
      <c r="T3970" s="0" t="n">
        <f aca="false">E3970*E3970</f>
        <v>0.0625</v>
      </c>
      <c r="U3970" s="0" t="n">
        <f aca="false">F3970*F3970</f>
        <v>0.0625</v>
      </c>
      <c r="V3970" s="0" t="n">
        <f aca="false">G3970*G3970</f>
        <v>1</v>
      </c>
      <c r="W3970" s="0" t="n">
        <f aca="false">H3970*H3970</f>
        <v>0.0625</v>
      </c>
      <c r="X3970" s="0" t="n">
        <f aca="false">SUMPRODUCT(I3970:W3970,_XtX!$B$96:$P$96)</f>
        <v>47.7232593201754</v>
      </c>
      <c r="Y3970" s="0" t="n">
        <f aca="false">SUMPRODUCT(MMULT(I3970:W3970,_XtX!$B$78:$P$92),I3970:W3970)</f>
        <v>0.457466705500731</v>
      </c>
      <c r="Z3970" s="0" t="n">
        <f aca="false">04_回帰ANOVA!$K$19*04_回帰ANOVA!$K$14*SQRT(1+Y3970)</f>
        <v>1.57361220003999</v>
      </c>
      <c r="AA3970" s="0" t="n">
        <f aca="false">X3970-Z3970</f>
        <v>46.1496471201354</v>
      </c>
      <c r="AB3970" s="0" t="n">
        <f aca="false">X3970+Z3970</f>
        <v>49.2968715202154</v>
      </c>
      <c r="AC3970" s="54" t="b">
        <f aca="false">AND(E3970&gt;=01_因子設定!$L$5-0.000000001,E3970&lt;=01_因子設定!$M$5+0.000000001,F3970&gt;=01_因子設定!$L$6-0.000000001,F3970&lt;=01_因子設定!$M$6+0.000000001,G3970&gt;=01_因子設定!$L$7-0.000000001,G3970&lt;=01_因子設定!$M$7+0.000000001,H3970&gt;=01_因子設定!$L$8-0.000000001,H3970&lt;=01_因子設定!$M$8+0.000000001,IF(01_因子設定!$B$20="Box-Behnken",E3970^2+F3970^2+G3970^2+H3970^2&lt;=2+0.000000001,TRUE()))</f>
        <v>1</v>
      </c>
      <c r="AD3970" s="55" t="n">
        <f aca="false">IF(AC3970,IF(01_因子設定!$B$13="最大化",AA3970-01_因子設定!$B$14,IF(01_因子設定!$B$13="最小化",01_因子設定!$B$15-AB3970,MIN(AA3970-01_因子設定!$B$14,01_因子設定!$B$15-AB3970))),-1E+030)</f>
        <v>-0.350352879864609</v>
      </c>
      <c r="AE3970" s="55" t="n">
        <f aca="false">IF(AC3970,IF(01_因子設定!$B$13="最大化",X3970,IF(01_因子設定!$B$13="最小化",-X3970,-ABS(X3970-01_因子設定!$B$16))),-1E+030)</f>
        <v>47.7232593201754</v>
      </c>
      <c r="AF3970" s="55" t="n">
        <f aca="false">AD3970+ROW()*0.000000001</f>
        <v>-0.350348909864609</v>
      </c>
      <c r="AG3970" s="55" t="n">
        <f aca="false">AE3970+ROW()*0.000000001</f>
        <v>47.7232632901754</v>
      </c>
    </row>
    <row r="3971" customFormat="false" ht="15" hidden="false" customHeight="false" outlineLevel="0" collapsed="false">
      <c r="A3971" s="0" t="n">
        <v>5</v>
      </c>
      <c r="B3971" s="0" t="n">
        <v>3</v>
      </c>
      <c r="C3971" s="0" t="n">
        <v>8</v>
      </c>
      <c r="D3971" s="0" t="n">
        <v>6</v>
      </c>
      <c r="E3971" s="0" t="n">
        <f aca="false">-1+A3971*0.25</f>
        <v>0.25</v>
      </c>
      <c r="F3971" s="0" t="n">
        <f aca="false">-1+B3971*0.25</f>
        <v>-0.25</v>
      </c>
      <c r="G3971" s="0" t="n">
        <f aca="false">-1+C3971*0.25</f>
        <v>1</v>
      </c>
      <c r="H3971" s="0" t="n">
        <f aca="false">-1+D3971*0.25</f>
        <v>0.5</v>
      </c>
      <c r="I3971" s="0" t="n">
        <f aca="false">1</f>
        <v>1</v>
      </c>
      <c r="J3971" s="0" t="n">
        <f aca="false">E3971</f>
        <v>0.25</v>
      </c>
      <c r="K3971" s="0" t="n">
        <f aca="false">F3971</f>
        <v>-0.25</v>
      </c>
      <c r="L3971" s="0" t="n">
        <f aca="false">G3971</f>
        <v>1</v>
      </c>
      <c r="M3971" s="0" t="n">
        <f aca="false">H3971</f>
        <v>0.5</v>
      </c>
      <c r="N3971" s="0" t="n">
        <f aca="false">E3971*F3971</f>
        <v>-0.0625</v>
      </c>
      <c r="O3971" s="0" t="n">
        <f aca="false">E3971*G3971</f>
        <v>0.25</v>
      </c>
      <c r="P3971" s="0" t="n">
        <f aca="false">E3971*H3971</f>
        <v>0.125</v>
      </c>
      <c r="Q3971" s="0" t="n">
        <f aca="false">F3971*G3971</f>
        <v>-0.25</v>
      </c>
      <c r="R3971" s="0" t="n">
        <f aca="false">F3971*H3971</f>
        <v>-0.125</v>
      </c>
      <c r="S3971" s="0" t="n">
        <f aca="false">G3971*H3971</f>
        <v>0.5</v>
      </c>
      <c r="T3971" s="0" t="n">
        <f aca="false">E3971*E3971</f>
        <v>0.0625</v>
      </c>
      <c r="U3971" s="0" t="n">
        <f aca="false">F3971*F3971</f>
        <v>0.0625</v>
      </c>
      <c r="V3971" s="0" t="n">
        <f aca="false">G3971*G3971</f>
        <v>1</v>
      </c>
      <c r="W3971" s="0" t="n">
        <f aca="false">H3971*H3971</f>
        <v>0.25</v>
      </c>
      <c r="X3971" s="0" t="n">
        <f aca="false">SUMPRODUCT(I3971:W3971,_XtX!$B$96:$P$96)</f>
        <v>47.8459064327485</v>
      </c>
      <c r="Y3971" s="0" t="n">
        <f aca="false">SUMPRODUCT(MMULT(I3971:W3971,_XtX!$B$78:$P$92),I3971:W3971)</f>
        <v>0.445705123812135</v>
      </c>
      <c r="Z3971" s="0" t="n">
        <f aca="false">04_回帰ANOVA!$K$19*04_回帰ANOVA!$K$14*SQRT(1+Y3971)</f>
        <v>1.56724990734749</v>
      </c>
      <c r="AA3971" s="0" t="n">
        <f aca="false">X3971-Z3971</f>
        <v>46.278656525401</v>
      </c>
      <c r="AB3971" s="0" t="n">
        <f aca="false">X3971+Z3971</f>
        <v>49.413156340096</v>
      </c>
      <c r="AC3971" s="54" t="b">
        <f aca="false">AND(E3971&gt;=01_因子設定!$L$5-0.000000001,E3971&lt;=01_因子設定!$M$5+0.000000001,F3971&gt;=01_因子設定!$L$6-0.000000001,F3971&lt;=01_因子設定!$M$6+0.000000001,G3971&gt;=01_因子設定!$L$7-0.000000001,G3971&lt;=01_因子設定!$M$7+0.000000001,H3971&gt;=01_因子設定!$L$8-0.000000001,H3971&lt;=01_因子設定!$M$8+0.000000001,IF(01_因子設定!$B$20="Box-Behnken",E3971^2+F3971^2+G3971^2+H3971^2&lt;=2+0.000000001,TRUE()))</f>
        <v>1</v>
      </c>
      <c r="AD3971" s="55" t="n">
        <f aca="false">IF(AC3971,IF(01_因子設定!$B$13="最大化",AA3971-01_因子設定!$B$14,IF(01_因子設定!$B$13="最小化",01_因子設定!$B$15-AB3971,MIN(AA3971-01_因子設定!$B$14,01_因子設定!$B$15-AB3971))),-1E+030)</f>
        <v>-0.221343474598996</v>
      </c>
      <c r="AE3971" s="55" t="n">
        <f aca="false">IF(AC3971,IF(01_因子設定!$B$13="最大化",X3971,IF(01_因子設定!$B$13="最小化",-X3971,-ABS(X3971-01_因子設定!$B$16))),-1E+030)</f>
        <v>47.8459064327485</v>
      </c>
      <c r="AF3971" s="55" t="n">
        <f aca="false">AD3971+ROW()*0.000000001</f>
        <v>-0.221339503598996</v>
      </c>
      <c r="AG3971" s="55" t="n">
        <f aca="false">AE3971+ROW()*0.000000001</f>
        <v>47.8459104037485</v>
      </c>
    </row>
    <row r="3972" customFormat="false" ht="15" hidden="false" customHeight="false" outlineLevel="0" collapsed="false">
      <c r="A3972" s="0" t="n">
        <v>5</v>
      </c>
      <c r="B3972" s="0" t="n">
        <v>3</v>
      </c>
      <c r="C3972" s="0" t="n">
        <v>8</v>
      </c>
      <c r="D3972" s="0" t="n">
        <v>7</v>
      </c>
      <c r="E3972" s="0" t="n">
        <f aca="false">-1+A3972*0.25</f>
        <v>0.25</v>
      </c>
      <c r="F3972" s="0" t="n">
        <f aca="false">-1+B3972*0.25</f>
        <v>-0.25</v>
      </c>
      <c r="G3972" s="0" t="n">
        <f aca="false">-1+C3972*0.25</f>
        <v>1</v>
      </c>
      <c r="H3972" s="0" t="n">
        <f aca="false">-1+D3972*0.25</f>
        <v>0.75</v>
      </c>
      <c r="I3972" s="0" t="n">
        <f aca="false">1</f>
        <v>1</v>
      </c>
      <c r="J3972" s="0" t="n">
        <f aca="false">E3972</f>
        <v>0.25</v>
      </c>
      <c r="K3972" s="0" t="n">
        <f aca="false">F3972</f>
        <v>-0.25</v>
      </c>
      <c r="L3972" s="0" t="n">
        <f aca="false">G3972</f>
        <v>1</v>
      </c>
      <c r="M3972" s="0" t="n">
        <f aca="false">H3972</f>
        <v>0.75</v>
      </c>
      <c r="N3972" s="0" t="n">
        <f aca="false">E3972*F3972</f>
        <v>-0.0625</v>
      </c>
      <c r="O3972" s="0" t="n">
        <f aca="false">E3972*G3972</f>
        <v>0.25</v>
      </c>
      <c r="P3972" s="0" t="n">
        <f aca="false">E3972*H3972</f>
        <v>0.1875</v>
      </c>
      <c r="Q3972" s="0" t="n">
        <f aca="false">F3972*G3972</f>
        <v>-0.25</v>
      </c>
      <c r="R3972" s="0" t="n">
        <f aca="false">F3972*H3972</f>
        <v>-0.1875</v>
      </c>
      <c r="S3972" s="0" t="n">
        <f aca="false">G3972*H3972</f>
        <v>0.75</v>
      </c>
      <c r="T3972" s="0" t="n">
        <f aca="false">E3972*E3972</f>
        <v>0.0625</v>
      </c>
      <c r="U3972" s="0" t="n">
        <f aca="false">F3972*F3972</f>
        <v>0.0625</v>
      </c>
      <c r="V3972" s="0" t="n">
        <f aca="false">G3972*G3972</f>
        <v>1</v>
      </c>
      <c r="W3972" s="0" t="n">
        <f aca="false">H3972*H3972</f>
        <v>0.5625</v>
      </c>
      <c r="X3972" s="0" t="n">
        <f aca="false">SUMPRODUCT(I3972:W3972,_XtX!$B$96:$P$96)</f>
        <v>47.9207465277777</v>
      </c>
      <c r="Y3972" s="0" t="n">
        <f aca="false">SUMPRODUCT(MMULT(I3972:W3972,_XtX!$B$78:$P$92),I3972:W3972)</f>
        <v>0.486409505208334</v>
      </c>
      <c r="Z3972" s="0" t="n">
        <f aca="false">04_回帰ANOVA!$K$19*04_回帰ANOVA!$K$14*SQRT(1+Y3972)</f>
        <v>1.58916001665498</v>
      </c>
      <c r="AA3972" s="0" t="n">
        <f aca="false">X3972-Z3972</f>
        <v>46.3315865111228</v>
      </c>
      <c r="AB3972" s="0" t="n">
        <f aca="false">X3972+Z3972</f>
        <v>49.5099065444327</v>
      </c>
      <c r="AC3972" s="54" t="b">
        <f aca="false">AND(E3972&gt;=01_因子設定!$L$5-0.000000001,E3972&lt;=01_因子設定!$M$5+0.000000001,F3972&gt;=01_因子設定!$L$6-0.000000001,F3972&lt;=01_因子設定!$M$6+0.000000001,G3972&gt;=01_因子設定!$L$7-0.000000001,G3972&lt;=01_因子設定!$M$7+0.000000001,H3972&gt;=01_因子設定!$L$8-0.000000001,H3972&lt;=01_因子設定!$M$8+0.000000001,IF(01_因子設定!$B$20="Box-Behnken",E3972^2+F3972^2+G3972^2+H3972^2&lt;=2+0.000000001,TRUE()))</f>
        <v>1</v>
      </c>
      <c r="AD3972" s="55" t="n">
        <f aca="false">IF(AC3972,IF(01_因子設定!$B$13="最大化",AA3972-01_因子設定!$B$14,IF(01_因子設定!$B$13="最小化",01_因子設定!$B$15-AB3972,MIN(AA3972-01_因子設定!$B$14,01_因子設定!$B$15-AB3972))),-1E+030)</f>
        <v>-0.168413488877235</v>
      </c>
      <c r="AE3972" s="55" t="n">
        <f aca="false">IF(AC3972,IF(01_因子設定!$B$13="最大化",X3972,IF(01_因子設定!$B$13="最小化",-X3972,-ABS(X3972-01_因子設定!$B$16))),-1E+030)</f>
        <v>47.9207465277777</v>
      </c>
      <c r="AF3972" s="55" t="n">
        <f aca="false">AD3972+ROW()*0.000000001</f>
        <v>-0.168409516877235</v>
      </c>
      <c r="AG3972" s="55" t="n">
        <f aca="false">AE3972+ROW()*0.000000001</f>
        <v>47.9207504997777</v>
      </c>
    </row>
    <row r="3973" customFormat="false" ht="15" hidden="false" customHeight="false" outlineLevel="0" collapsed="false">
      <c r="A3973" s="0" t="n">
        <v>5</v>
      </c>
      <c r="B3973" s="0" t="n">
        <v>3</v>
      </c>
      <c r="C3973" s="0" t="n">
        <v>8</v>
      </c>
      <c r="D3973" s="0" t="n">
        <v>8</v>
      </c>
      <c r="E3973" s="0" t="n">
        <f aca="false">-1+A3973*0.25</f>
        <v>0.25</v>
      </c>
      <c r="F3973" s="0" t="n">
        <f aca="false">-1+B3973*0.25</f>
        <v>-0.25</v>
      </c>
      <c r="G3973" s="0" t="n">
        <f aca="false">-1+C3973*0.25</f>
        <v>1</v>
      </c>
      <c r="H3973" s="0" t="n">
        <f aca="false">-1+D3973*0.25</f>
        <v>1</v>
      </c>
      <c r="I3973" s="0" t="n">
        <f aca="false">1</f>
        <v>1</v>
      </c>
      <c r="J3973" s="0" t="n">
        <f aca="false">E3973</f>
        <v>0.25</v>
      </c>
      <c r="K3973" s="0" t="n">
        <f aca="false">F3973</f>
        <v>-0.25</v>
      </c>
      <c r="L3973" s="0" t="n">
        <f aca="false">G3973</f>
        <v>1</v>
      </c>
      <c r="M3973" s="0" t="n">
        <f aca="false">H3973</f>
        <v>1</v>
      </c>
      <c r="N3973" s="0" t="n">
        <f aca="false">E3973*F3973</f>
        <v>-0.0625</v>
      </c>
      <c r="O3973" s="0" t="n">
        <f aca="false">E3973*G3973</f>
        <v>0.25</v>
      </c>
      <c r="P3973" s="0" t="n">
        <f aca="false">E3973*H3973</f>
        <v>0.25</v>
      </c>
      <c r="Q3973" s="0" t="n">
        <f aca="false">F3973*G3973</f>
        <v>-0.25</v>
      </c>
      <c r="R3973" s="0" t="n">
        <f aca="false">F3973*H3973</f>
        <v>-0.25</v>
      </c>
      <c r="S3973" s="0" t="n">
        <f aca="false">G3973*H3973</f>
        <v>1</v>
      </c>
      <c r="T3973" s="0" t="n">
        <f aca="false">E3973*E3973</f>
        <v>0.0625</v>
      </c>
      <c r="U3973" s="0" t="n">
        <f aca="false">F3973*F3973</f>
        <v>0.0625</v>
      </c>
      <c r="V3973" s="0" t="n">
        <f aca="false">G3973*G3973</f>
        <v>1</v>
      </c>
      <c r="W3973" s="0" t="n">
        <f aca="false">H3973*H3973</f>
        <v>1</v>
      </c>
      <c r="X3973" s="0" t="n">
        <f aca="false">SUMPRODUCT(I3973:W3973,_XtX!$B$96:$P$96)</f>
        <v>47.9477796052631</v>
      </c>
      <c r="Y3973" s="0" t="n">
        <f aca="false">SUMPRODUCT(MMULT(I3973:W3973,_XtX!$B$78:$P$92),I3973:W3973)</f>
        <v>0.670040376005117</v>
      </c>
      <c r="Z3973" s="0" t="n">
        <f aca="false">04_回帰ANOVA!$K$19*04_回帰ANOVA!$K$14*SQRT(1+Y3973)</f>
        <v>1.68446456039992</v>
      </c>
      <c r="AA3973" s="0" t="n">
        <f aca="false">X3973-Z3973</f>
        <v>46.2633150448632</v>
      </c>
      <c r="AB3973" s="0" t="n">
        <f aca="false">X3973+Z3973</f>
        <v>49.6322441656631</v>
      </c>
      <c r="AC3973" s="54" t="b">
        <f aca="false">AND(E3973&gt;=01_因子設定!$L$5-0.000000001,E3973&lt;=01_因子設定!$M$5+0.000000001,F3973&gt;=01_因子設定!$L$6-0.000000001,F3973&lt;=01_因子設定!$M$6+0.000000001,G3973&gt;=01_因子設定!$L$7-0.000000001,G3973&lt;=01_因子設定!$M$7+0.000000001,H3973&gt;=01_因子設定!$L$8-0.000000001,H3973&lt;=01_因子設定!$M$8+0.000000001,IF(01_因子設定!$B$20="Box-Behnken",E3973^2+F3973^2+G3973^2+H3973^2&lt;=2+0.000000001,TRUE()))</f>
        <v>1</v>
      </c>
      <c r="AD3973" s="55" t="n">
        <f aca="false">IF(AC3973,IF(01_因子設定!$B$13="最大化",AA3973-01_因子設定!$B$14,IF(01_因子設定!$B$13="最小化",01_因子設定!$B$15-AB3973,MIN(AA3973-01_因子設定!$B$14,01_因子設定!$B$15-AB3973))),-1E+030)</f>
        <v>-0.236684955136781</v>
      </c>
      <c r="AE3973" s="55" t="n">
        <f aca="false">IF(AC3973,IF(01_因子設定!$B$13="最大化",X3973,IF(01_因子設定!$B$13="最小化",-X3973,-ABS(X3973-01_因子設定!$B$16))),-1E+030)</f>
        <v>47.9477796052631</v>
      </c>
      <c r="AF3973" s="55" t="n">
        <f aca="false">AD3973+ROW()*0.000000001</f>
        <v>-0.236680982136781</v>
      </c>
      <c r="AG3973" s="55" t="n">
        <f aca="false">AE3973+ROW()*0.000000001</f>
        <v>47.9477835782631</v>
      </c>
    </row>
    <row r="3974" customFormat="false" ht="15" hidden="false" customHeight="false" outlineLevel="0" collapsed="false">
      <c r="A3974" s="0" t="n">
        <v>5</v>
      </c>
      <c r="B3974" s="0" t="n">
        <v>4</v>
      </c>
      <c r="C3974" s="0" t="n">
        <v>0</v>
      </c>
      <c r="D3974" s="0" t="n">
        <v>0</v>
      </c>
      <c r="E3974" s="0" t="n">
        <f aca="false">-1+A3974*0.25</f>
        <v>0.25</v>
      </c>
      <c r="F3974" s="0" t="n">
        <f aca="false">-1+B3974*0.25</f>
        <v>0</v>
      </c>
      <c r="G3974" s="0" t="n">
        <f aca="false">-1+C3974*0.25</f>
        <v>-1</v>
      </c>
      <c r="H3974" s="0" t="n">
        <f aca="false">-1+D3974*0.25</f>
        <v>-1</v>
      </c>
      <c r="I3974" s="0" t="n">
        <f aca="false">1</f>
        <v>1</v>
      </c>
      <c r="J3974" s="0" t="n">
        <f aca="false">E3974</f>
        <v>0.25</v>
      </c>
      <c r="K3974" s="0" t="n">
        <f aca="false">F3974</f>
        <v>0</v>
      </c>
      <c r="L3974" s="0" t="n">
        <f aca="false">G3974</f>
        <v>-1</v>
      </c>
      <c r="M3974" s="0" t="n">
        <f aca="false">H3974</f>
        <v>-1</v>
      </c>
      <c r="N3974" s="0" t="n">
        <f aca="false">E3974*F3974</f>
        <v>0</v>
      </c>
      <c r="O3974" s="0" t="n">
        <f aca="false">E3974*G3974</f>
        <v>-0.25</v>
      </c>
      <c r="P3974" s="0" t="n">
        <f aca="false">E3974*H3974</f>
        <v>-0.25</v>
      </c>
      <c r="Q3974" s="0" t="n">
        <f aca="false">F3974*G3974</f>
        <v>-0</v>
      </c>
      <c r="R3974" s="0" t="n">
        <f aca="false">F3974*H3974</f>
        <v>-0</v>
      </c>
      <c r="S3974" s="0" t="n">
        <f aca="false">G3974*H3974</f>
        <v>1</v>
      </c>
      <c r="T3974" s="0" t="n">
        <f aca="false">E3974*E3974</f>
        <v>0.0625</v>
      </c>
      <c r="U3974" s="0" t="n">
        <f aca="false">F3974*F3974</f>
        <v>0</v>
      </c>
      <c r="V3974" s="0" t="n">
        <f aca="false">G3974*G3974</f>
        <v>1</v>
      </c>
      <c r="W3974" s="0" t="n">
        <f aca="false">H3974*H3974</f>
        <v>1</v>
      </c>
      <c r="X3974" s="0" t="n">
        <f aca="false">SUMPRODUCT(I3974:W3974,_XtX!$B$96:$P$96)</f>
        <v>46.2128289473684</v>
      </c>
      <c r="Y3974" s="0" t="n">
        <f aca="false">SUMPRODUCT(MMULT(I3974:W3974,_XtX!$B$78:$P$92),I3974:W3974)</f>
        <v>0.689692982456141</v>
      </c>
      <c r="Z3974" s="0" t="n">
        <f aca="false">04_回帰ANOVA!$K$19*04_回帰ANOVA!$K$14*SQRT(1+Y3974)</f>
        <v>1.69434674594998</v>
      </c>
      <c r="AA3974" s="0" t="n">
        <f aca="false">X3974-Z3974</f>
        <v>44.5184822014184</v>
      </c>
      <c r="AB3974" s="0" t="n">
        <f aca="false">X3974+Z3974</f>
        <v>47.9071756933184</v>
      </c>
      <c r="AC3974" s="54" t="b">
        <f aca="false">AND(E3974&gt;=01_因子設定!$L$5-0.000000001,E3974&lt;=01_因子設定!$M$5+0.000000001,F3974&gt;=01_因子設定!$L$6-0.000000001,F3974&lt;=01_因子設定!$M$6+0.000000001,G3974&gt;=01_因子設定!$L$7-0.000000001,G3974&lt;=01_因子設定!$M$7+0.000000001,H3974&gt;=01_因子設定!$L$8-0.000000001,H3974&lt;=01_因子設定!$M$8+0.000000001,IF(01_因子設定!$B$20="Box-Behnken",E3974^2+F3974^2+G3974^2+H3974^2&lt;=2+0.000000001,TRUE()))</f>
        <v>1</v>
      </c>
      <c r="AD3974" s="55" t="n">
        <f aca="false">IF(AC3974,IF(01_因子設定!$B$13="最大化",AA3974-01_因子設定!$B$14,IF(01_因子設定!$B$13="最小化",01_因子設定!$B$15-AB3974,MIN(AA3974-01_因子設定!$B$14,01_因子設定!$B$15-AB3974))),-1E+030)</f>
        <v>-1.98151779858159</v>
      </c>
      <c r="AE3974" s="55" t="n">
        <f aca="false">IF(AC3974,IF(01_因子設定!$B$13="最大化",X3974,IF(01_因子設定!$B$13="最小化",-X3974,-ABS(X3974-01_因子設定!$B$16))),-1E+030)</f>
        <v>46.2128289473684</v>
      </c>
      <c r="AF3974" s="55" t="n">
        <f aca="false">AD3974+ROW()*0.000000001</f>
        <v>-1.98151382458159</v>
      </c>
      <c r="AG3974" s="55" t="n">
        <f aca="false">AE3974+ROW()*0.000000001</f>
        <v>46.2128329213684</v>
      </c>
    </row>
    <row r="3975" customFormat="false" ht="15" hidden="false" customHeight="false" outlineLevel="0" collapsed="false">
      <c r="A3975" s="0" t="n">
        <v>5</v>
      </c>
      <c r="B3975" s="0" t="n">
        <v>4</v>
      </c>
      <c r="C3975" s="0" t="n">
        <v>0</v>
      </c>
      <c r="D3975" s="0" t="n">
        <v>1</v>
      </c>
      <c r="E3975" s="0" t="n">
        <f aca="false">-1+A3975*0.25</f>
        <v>0.25</v>
      </c>
      <c r="F3975" s="0" t="n">
        <f aca="false">-1+B3975*0.25</f>
        <v>0</v>
      </c>
      <c r="G3975" s="0" t="n">
        <f aca="false">-1+C3975*0.25</f>
        <v>-1</v>
      </c>
      <c r="H3975" s="0" t="n">
        <f aca="false">-1+D3975*0.25</f>
        <v>-0.75</v>
      </c>
      <c r="I3975" s="0" t="n">
        <f aca="false">1</f>
        <v>1</v>
      </c>
      <c r="J3975" s="0" t="n">
        <f aca="false">E3975</f>
        <v>0.25</v>
      </c>
      <c r="K3975" s="0" t="n">
        <f aca="false">F3975</f>
        <v>0</v>
      </c>
      <c r="L3975" s="0" t="n">
        <f aca="false">G3975</f>
        <v>-1</v>
      </c>
      <c r="M3975" s="0" t="n">
        <f aca="false">H3975</f>
        <v>-0.75</v>
      </c>
      <c r="N3975" s="0" t="n">
        <f aca="false">E3975*F3975</f>
        <v>0</v>
      </c>
      <c r="O3975" s="0" t="n">
        <f aca="false">E3975*G3975</f>
        <v>-0.25</v>
      </c>
      <c r="P3975" s="0" t="n">
        <f aca="false">E3975*H3975</f>
        <v>-0.1875</v>
      </c>
      <c r="Q3975" s="0" t="n">
        <f aca="false">F3975*G3975</f>
        <v>-0</v>
      </c>
      <c r="R3975" s="0" t="n">
        <f aca="false">F3975*H3975</f>
        <v>-0</v>
      </c>
      <c r="S3975" s="0" t="n">
        <f aca="false">G3975*H3975</f>
        <v>0.75</v>
      </c>
      <c r="T3975" s="0" t="n">
        <f aca="false">E3975*E3975</f>
        <v>0.0625</v>
      </c>
      <c r="U3975" s="0" t="n">
        <f aca="false">F3975*F3975</f>
        <v>0</v>
      </c>
      <c r="V3975" s="0" t="n">
        <f aca="false">G3975*G3975</f>
        <v>1</v>
      </c>
      <c r="W3975" s="0" t="n">
        <f aca="false">H3975*H3975</f>
        <v>0.5625</v>
      </c>
      <c r="X3975" s="0" t="n">
        <f aca="false">SUMPRODUCT(I3975:W3975,_XtX!$B$96:$P$96)</f>
        <v>46.4174798976608</v>
      </c>
      <c r="Y3975" s="0" t="n">
        <f aca="false">SUMPRODUCT(MMULT(I3975:W3975,_XtX!$B$78:$P$92),I3975:W3975)</f>
        <v>0.501534802174708</v>
      </c>
      <c r="Z3975" s="0" t="n">
        <f aca="false">04_回帰ANOVA!$K$19*04_回帰ANOVA!$K$14*SQRT(1+Y3975)</f>
        <v>1.59722498091333</v>
      </c>
      <c r="AA3975" s="0" t="n">
        <f aca="false">X3975-Z3975</f>
        <v>44.8202549167475</v>
      </c>
      <c r="AB3975" s="0" t="n">
        <f aca="false">X3975+Z3975</f>
        <v>48.0147048785741</v>
      </c>
      <c r="AC3975" s="54" t="b">
        <f aca="false">AND(E3975&gt;=01_因子設定!$L$5-0.000000001,E3975&lt;=01_因子設定!$M$5+0.000000001,F3975&gt;=01_因子設定!$L$6-0.000000001,F3975&lt;=01_因子設定!$M$6+0.000000001,G3975&gt;=01_因子設定!$L$7-0.000000001,G3975&lt;=01_因子設定!$M$7+0.000000001,H3975&gt;=01_因子設定!$L$8-0.000000001,H3975&lt;=01_因子設定!$M$8+0.000000001,IF(01_因子設定!$B$20="Box-Behnken",E3975^2+F3975^2+G3975^2+H3975^2&lt;=2+0.000000001,TRUE()))</f>
        <v>1</v>
      </c>
      <c r="AD3975" s="55" t="n">
        <f aca="false">IF(AC3975,IF(01_因子設定!$B$13="最大化",AA3975-01_因子設定!$B$14,IF(01_因子設定!$B$13="最小化",01_因子設定!$B$15-AB3975,MIN(AA3975-01_因子設定!$B$14,01_因子設定!$B$15-AB3975))),-1E+030)</f>
        <v>-1.67974508325255</v>
      </c>
      <c r="AE3975" s="55" t="n">
        <f aca="false">IF(AC3975,IF(01_因子設定!$B$13="最大化",X3975,IF(01_因子設定!$B$13="最小化",-X3975,-ABS(X3975-01_因子設定!$B$16))),-1E+030)</f>
        <v>46.4174798976608</v>
      </c>
      <c r="AF3975" s="55" t="n">
        <f aca="false">AD3975+ROW()*0.000000001</f>
        <v>-1.67974110825255</v>
      </c>
      <c r="AG3975" s="55" t="n">
        <f aca="false">AE3975+ROW()*0.000000001</f>
        <v>46.4174838726608</v>
      </c>
    </row>
    <row r="3976" customFormat="false" ht="15" hidden="false" customHeight="false" outlineLevel="0" collapsed="false">
      <c r="A3976" s="0" t="n">
        <v>5</v>
      </c>
      <c r="B3976" s="0" t="n">
        <v>4</v>
      </c>
      <c r="C3976" s="0" t="n">
        <v>0</v>
      </c>
      <c r="D3976" s="0" t="n">
        <v>2</v>
      </c>
      <c r="E3976" s="0" t="n">
        <f aca="false">-1+A3976*0.25</f>
        <v>0.25</v>
      </c>
      <c r="F3976" s="0" t="n">
        <f aca="false">-1+B3976*0.25</f>
        <v>0</v>
      </c>
      <c r="G3976" s="0" t="n">
        <f aca="false">-1+C3976*0.25</f>
        <v>-1</v>
      </c>
      <c r="H3976" s="0" t="n">
        <f aca="false">-1+D3976*0.25</f>
        <v>-0.5</v>
      </c>
      <c r="I3976" s="0" t="n">
        <f aca="false">1</f>
        <v>1</v>
      </c>
      <c r="J3976" s="0" t="n">
        <f aca="false">E3976</f>
        <v>0.25</v>
      </c>
      <c r="K3976" s="0" t="n">
        <f aca="false">F3976</f>
        <v>0</v>
      </c>
      <c r="L3976" s="0" t="n">
        <f aca="false">G3976</f>
        <v>-1</v>
      </c>
      <c r="M3976" s="0" t="n">
        <f aca="false">H3976</f>
        <v>-0.5</v>
      </c>
      <c r="N3976" s="0" t="n">
        <f aca="false">E3976*F3976</f>
        <v>0</v>
      </c>
      <c r="O3976" s="0" t="n">
        <f aca="false">E3976*G3976</f>
        <v>-0.25</v>
      </c>
      <c r="P3976" s="0" t="n">
        <f aca="false">E3976*H3976</f>
        <v>-0.125</v>
      </c>
      <c r="Q3976" s="0" t="n">
        <f aca="false">F3976*G3976</f>
        <v>-0</v>
      </c>
      <c r="R3976" s="0" t="n">
        <f aca="false">F3976*H3976</f>
        <v>-0</v>
      </c>
      <c r="S3976" s="0" t="n">
        <f aca="false">G3976*H3976</f>
        <v>0.5</v>
      </c>
      <c r="T3976" s="0" t="n">
        <f aca="false">E3976*E3976</f>
        <v>0.0625</v>
      </c>
      <c r="U3976" s="0" t="n">
        <f aca="false">F3976*F3976</f>
        <v>0</v>
      </c>
      <c r="V3976" s="0" t="n">
        <f aca="false">G3976*G3976</f>
        <v>1</v>
      </c>
      <c r="W3976" s="0" t="n">
        <f aca="false">H3976*H3976</f>
        <v>0.25</v>
      </c>
      <c r="X3976" s="0" t="n">
        <f aca="false">SUMPRODUCT(I3976:W3976,_XtX!$B$96:$P$96)</f>
        <v>46.5743238304093</v>
      </c>
      <c r="Y3976" s="0" t="n">
        <f aca="false">SUMPRODUCT(MMULT(I3976:W3976,_XtX!$B$78:$P$92),I3976:W3976)</f>
        <v>0.457596628289474</v>
      </c>
      <c r="Z3976" s="0" t="n">
        <f aca="false">04_回帰ANOVA!$K$19*04_回帰ANOVA!$K$14*SQRT(1+Y3976)</f>
        <v>1.57368233664366</v>
      </c>
      <c r="AA3976" s="0" t="n">
        <f aca="false">X3976-Z3976</f>
        <v>45.0006414937657</v>
      </c>
      <c r="AB3976" s="0" t="n">
        <f aca="false">X3976+Z3976</f>
        <v>48.148006167053</v>
      </c>
      <c r="AC3976" s="54" t="b">
        <f aca="false">AND(E3976&gt;=01_因子設定!$L$5-0.000000001,E3976&lt;=01_因子設定!$M$5+0.000000001,F3976&gt;=01_因子設定!$L$6-0.000000001,F3976&lt;=01_因子設定!$M$6+0.000000001,G3976&gt;=01_因子設定!$L$7-0.000000001,G3976&lt;=01_因子設定!$M$7+0.000000001,H3976&gt;=01_因子設定!$L$8-0.000000001,H3976&lt;=01_因子設定!$M$8+0.000000001,IF(01_因子設定!$B$20="Box-Behnken",E3976^2+F3976^2+G3976^2+H3976^2&lt;=2+0.000000001,TRUE()))</f>
        <v>1</v>
      </c>
      <c r="AD3976" s="55" t="n">
        <f aca="false">IF(AC3976,IF(01_因子設定!$B$13="最大化",AA3976-01_因子設定!$B$14,IF(01_因子設定!$B$13="最小化",01_因子設定!$B$15-AB3976,MIN(AA3976-01_因子設定!$B$14,01_因子設定!$B$15-AB3976))),-1E+030)</f>
        <v>-1.49935850623434</v>
      </c>
      <c r="AE3976" s="55" t="n">
        <f aca="false">IF(AC3976,IF(01_因子設定!$B$13="最大化",X3976,IF(01_因子設定!$B$13="最小化",-X3976,-ABS(X3976-01_因子設定!$B$16))),-1E+030)</f>
        <v>46.5743238304093</v>
      </c>
      <c r="AF3976" s="55" t="n">
        <f aca="false">AD3976+ROW()*0.000000001</f>
        <v>-1.49935453023434</v>
      </c>
      <c r="AG3976" s="55" t="n">
        <f aca="false">AE3976+ROW()*0.000000001</f>
        <v>46.5743278064093</v>
      </c>
    </row>
    <row r="3977" customFormat="false" ht="15" hidden="false" customHeight="false" outlineLevel="0" collapsed="false">
      <c r="A3977" s="0" t="n">
        <v>5</v>
      </c>
      <c r="B3977" s="0" t="n">
        <v>4</v>
      </c>
      <c r="C3977" s="0" t="n">
        <v>0</v>
      </c>
      <c r="D3977" s="0" t="n">
        <v>3</v>
      </c>
      <c r="E3977" s="0" t="n">
        <f aca="false">-1+A3977*0.25</f>
        <v>0.25</v>
      </c>
      <c r="F3977" s="0" t="n">
        <f aca="false">-1+B3977*0.25</f>
        <v>0</v>
      </c>
      <c r="G3977" s="0" t="n">
        <f aca="false">-1+C3977*0.25</f>
        <v>-1</v>
      </c>
      <c r="H3977" s="0" t="n">
        <f aca="false">-1+D3977*0.25</f>
        <v>-0.25</v>
      </c>
      <c r="I3977" s="0" t="n">
        <f aca="false">1</f>
        <v>1</v>
      </c>
      <c r="J3977" s="0" t="n">
        <f aca="false">E3977</f>
        <v>0.25</v>
      </c>
      <c r="K3977" s="0" t="n">
        <f aca="false">F3977</f>
        <v>0</v>
      </c>
      <c r="L3977" s="0" t="n">
        <f aca="false">G3977</f>
        <v>-1</v>
      </c>
      <c r="M3977" s="0" t="n">
        <f aca="false">H3977</f>
        <v>-0.25</v>
      </c>
      <c r="N3977" s="0" t="n">
        <f aca="false">E3977*F3977</f>
        <v>0</v>
      </c>
      <c r="O3977" s="0" t="n">
        <f aca="false">E3977*G3977</f>
        <v>-0.25</v>
      </c>
      <c r="P3977" s="0" t="n">
        <f aca="false">E3977*H3977</f>
        <v>-0.0625</v>
      </c>
      <c r="Q3977" s="0" t="n">
        <f aca="false">F3977*G3977</f>
        <v>-0</v>
      </c>
      <c r="R3977" s="0" t="n">
        <f aca="false">F3977*H3977</f>
        <v>-0</v>
      </c>
      <c r="S3977" s="0" t="n">
        <f aca="false">G3977*H3977</f>
        <v>0.25</v>
      </c>
      <c r="T3977" s="0" t="n">
        <f aca="false">E3977*E3977</f>
        <v>0.0625</v>
      </c>
      <c r="U3977" s="0" t="n">
        <f aca="false">F3977*F3977</f>
        <v>0</v>
      </c>
      <c r="V3977" s="0" t="n">
        <f aca="false">G3977*G3977</f>
        <v>1</v>
      </c>
      <c r="W3977" s="0" t="n">
        <f aca="false">H3977*H3977</f>
        <v>0.0625</v>
      </c>
      <c r="X3977" s="0" t="n">
        <f aca="false">SUMPRODUCT(I3977:W3977,_XtX!$B$96:$P$96)</f>
        <v>46.683360745614</v>
      </c>
      <c r="Y3977" s="0" t="n">
        <f aca="false">SUMPRODUCT(MMULT(I3977:W3977,_XtX!$B$78:$P$92),I3977:W3977)</f>
        <v>0.467417934484649</v>
      </c>
      <c r="Z3977" s="0" t="n">
        <f aca="false">04_回帰ANOVA!$K$19*04_回帰ANOVA!$K$14*SQRT(1+Y3977)</f>
        <v>1.57897518244497</v>
      </c>
      <c r="AA3977" s="0" t="n">
        <f aca="false">X3977-Z3977</f>
        <v>45.104385563169</v>
      </c>
      <c r="AB3977" s="0" t="n">
        <f aca="false">X3977+Z3977</f>
        <v>48.262335928059</v>
      </c>
      <c r="AC3977" s="54" t="b">
        <f aca="false">AND(E3977&gt;=01_因子設定!$L$5-0.000000001,E3977&lt;=01_因子設定!$M$5+0.000000001,F3977&gt;=01_因子設定!$L$6-0.000000001,F3977&lt;=01_因子設定!$M$6+0.000000001,G3977&gt;=01_因子設定!$L$7-0.000000001,G3977&lt;=01_因子設定!$M$7+0.000000001,H3977&gt;=01_因子設定!$L$8-0.000000001,H3977&lt;=01_因子設定!$M$8+0.000000001,IF(01_因子設定!$B$20="Box-Behnken",E3977^2+F3977^2+G3977^2+H3977^2&lt;=2+0.000000001,TRUE()))</f>
        <v>1</v>
      </c>
      <c r="AD3977" s="55" t="n">
        <f aca="false">IF(AC3977,IF(01_因子設定!$B$13="最大化",AA3977-01_因子設定!$B$14,IF(01_因子設定!$B$13="最小化",01_因子設定!$B$15-AB3977,MIN(AA3977-01_因子設定!$B$14,01_因子設定!$B$15-AB3977))),-1E+030)</f>
        <v>-1.39561443683099</v>
      </c>
      <c r="AE3977" s="55" t="n">
        <f aca="false">IF(AC3977,IF(01_因子設定!$B$13="最大化",X3977,IF(01_因子設定!$B$13="最小化",-X3977,-ABS(X3977-01_因子設定!$B$16))),-1E+030)</f>
        <v>46.683360745614</v>
      </c>
      <c r="AF3977" s="55" t="n">
        <f aca="false">AD3977+ROW()*0.000000001</f>
        <v>-1.39561045983099</v>
      </c>
      <c r="AG3977" s="55" t="n">
        <f aca="false">AE3977+ROW()*0.000000001</f>
        <v>46.683364722614</v>
      </c>
    </row>
    <row r="3978" customFormat="false" ht="15" hidden="false" customHeight="false" outlineLevel="0" collapsed="false">
      <c r="A3978" s="0" t="n">
        <v>5</v>
      </c>
      <c r="B3978" s="0" t="n">
        <v>4</v>
      </c>
      <c r="C3978" s="0" t="n">
        <v>0</v>
      </c>
      <c r="D3978" s="0" t="n">
        <v>4</v>
      </c>
      <c r="E3978" s="0" t="n">
        <f aca="false">-1+A3978*0.25</f>
        <v>0.25</v>
      </c>
      <c r="F3978" s="0" t="n">
        <f aca="false">-1+B3978*0.25</f>
        <v>0</v>
      </c>
      <c r="G3978" s="0" t="n">
        <f aca="false">-1+C3978*0.25</f>
        <v>-1</v>
      </c>
      <c r="H3978" s="0" t="n">
        <f aca="false">-1+D3978*0.25</f>
        <v>0</v>
      </c>
      <c r="I3978" s="0" t="n">
        <f aca="false">1</f>
        <v>1</v>
      </c>
      <c r="J3978" s="0" t="n">
        <f aca="false">E3978</f>
        <v>0.25</v>
      </c>
      <c r="K3978" s="0" t="n">
        <f aca="false">F3978</f>
        <v>0</v>
      </c>
      <c r="L3978" s="0" t="n">
        <f aca="false">G3978</f>
        <v>-1</v>
      </c>
      <c r="M3978" s="0" t="n">
        <f aca="false">H3978</f>
        <v>0</v>
      </c>
      <c r="N3978" s="0" t="n">
        <f aca="false">E3978*F3978</f>
        <v>0</v>
      </c>
      <c r="O3978" s="0" t="n">
        <f aca="false">E3978*G3978</f>
        <v>-0.25</v>
      </c>
      <c r="P3978" s="0" t="n">
        <f aca="false">E3978*H3978</f>
        <v>0</v>
      </c>
      <c r="Q3978" s="0" t="n">
        <f aca="false">F3978*G3978</f>
        <v>-0</v>
      </c>
      <c r="R3978" s="0" t="n">
        <f aca="false">F3978*H3978</f>
        <v>0</v>
      </c>
      <c r="S3978" s="0" t="n">
        <f aca="false">G3978*H3978</f>
        <v>-0</v>
      </c>
      <c r="T3978" s="0" t="n">
        <f aca="false">E3978*E3978</f>
        <v>0.0625</v>
      </c>
      <c r="U3978" s="0" t="n">
        <f aca="false">F3978*F3978</f>
        <v>0</v>
      </c>
      <c r="V3978" s="0" t="n">
        <f aca="false">G3978*G3978</f>
        <v>1</v>
      </c>
      <c r="W3978" s="0" t="n">
        <f aca="false">H3978*H3978</f>
        <v>0</v>
      </c>
      <c r="X3978" s="0" t="n">
        <f aca="false">SUMPRODUCT(I3978:W3978,_XtX!$B$96:$P$96)</f>
        <v>46.7445906432748</v>
      </c>
      <c r="Y3978" s="0" t="n">
        <f aca="false">SUMPRODUCT(MMULT(I3978:W3978,_XtX!$B$78:$P$92),I3978:W3978)</f>
        <v>0.476722404970761</v>
      </c>
      <c r="Z3978" s="0" t="n">
        <f aca="false">04_回帰ANOVA!$K$19*04_回帰ANOVA!$K$14*SQRT(1+Y3978)</f>
        <v>1.58397318352695</v>
      </c>
      <c r="AA3978" s="0" t="n">
        <f aca="false">X3978-Z3978</f>
        <v>45.1606174597479</v>
      </c>
      <c r="AB3978" s="0" t="n">
        <f aca="false">X3978+Z3978</f>
        <v>48.3285638268017</v>
      </c>
      <c r="AC3978" s="54" t="b">
        <f aca="false">AND(E3978&gt;=01_因子設定!$L$5-0.000000001,E3978&lt;=01_因子設定!$M$5+0.000000001,F3978&gt;=01_因子設定!$L$6-0.000000001,F3978&lt;=01_因子設定!$M$6+0.000000001,G3978&gt;=01_因子設定!$L$7-0.000000001,G3978&lt;=01_因子設定!$M$7+0.000000001,H3978&gt;=01_因子設定!$L$8-0.000000001,H3978&lt;=01_因子設定!$M$8+0.000000001,IF(01_因子設定!$B$20="Box-Behnken",E3978^2+F3978^2+G3978^2+H3978^2&lt;=2+0.000000001,TRUE()))</f>
        <v>1</v>
      </c>
      <c r="AD3978" s="55" t="n">
        <f aca="false">IF(AC3978,IF(01_因子設定!$B$13="最大化",AA3978-01_因子設定!$B$14,IF(01_因子設定!$B$13="最小化",01_因子設定!$B$15-AB3978,MIN(AA3978-01_因子設定!$B$14,01_因子設定!$B$15-AB3978))),-1E+030)</f>
        <v>-1.33938254025215</v>
      </c>
      <c r="AE3978" s="55" t="n">
        <f aca="false">IF(AC3978,IF(01_因子設定!$B$13="最大化",X3978,IF(01_因子設定!$B$13="最小化",-X3978,-ABS(X3978-01_因子設定!$B$16))),-1E+030)</f>
        <v>46.7445906432748</v>
      </c>
      <c r="AF3978" s="55" t="n">
        <f aca="false">AD3978+ROW()*0.000000001</f>
        <v>-1.33937856225215</v>
      </c>
      <c r="AG3978" s="55" t="n">
        <f aca="false">AE3978+ROW()*0.000000001</f>
        <v>46.7445946212748</v>
      </c>
    </row>
    <row r="3979" customFormat="false" ht="15" hidden="false" customHeight="false" outlineLevel="0" collapsed="false">
      <c r="A3979" s="0" t="n">
        <v>5</v>
      </c>
      <c r="B3979" s="0" t="n">
        <v>4</v>
      </c>
      <c r="C3979" s="0" t="n">
        <v>0</v>
      </c>
      <c r="D3979" s="0" t="n">
        <v>5</v>
      </c>
      <c r="E3979" s="0" t="n">
        <f aca="false">-1+A3979*0.25</f>
        <v>0.25</v>
      </c>
      <c r="F3979" s="0" t="n">
        <f aca="false">-1+B3979*0.25</f>
        <v>0</v>
      </c>
      <c r="G3979" s="0" t="n">
        <f aca="false">-1+C3979*0.25</f>
        <v>-1</v>
      </c>
      <c r="H3979" s="0" t="n">
        <f aca="false">-1+D3979*0.25</f>
        <v>0.25</v>
      </c>
      <c r="I3979" s="0" t="n">
        <f aca="false">1</f>
        <v>1</v>
      </c>
      <c r="J3979" s="0" t="n">
        <f aca="false">E3979</f>
        <v>0.25</v>
      </c>
      <c r="K3979" s="0" t="n">
        <f aca="false">F3979</f>
        <v>0</v>
      </c>
      <c r="L3979" s="0" t="n">
        <f aca="false">G3979</f>
        <v>-1</v>
      </c>
      <c r="M3979" s="0" t="n">
        <f aca="false">H3979</f>
        <v>0.25</v>
      </c>
      <c r="N3979" s="0" t="n">
        <f aca="false">E3979*F3979</f>
        <v>0</v>
      </c>
      <c r="O3979" s="0" t="n">
        <f aca="false">E3979*G3979</f>
        <v>-0.25</v>
      </c>
      <c r="P3979" s="0" t="n">
        <f aca="false">E3979*H3979</f>
        <v>0.0625</v>
      </c>
      <c r="Q3979" s="0" t="n">
        <f aca="false">F3979*G3979</f>
        <v>-0</v>
      </c>
      <c r="R3979" s="0" t="n">
        <f aca="false">F3979*H3979</f>
        <v>0</v>
      </c>
      <c r="S3979" s="0" t="n">
        <f aca="false">G3979*H3979</f>
        <v>-0.25</v>
      </c>
      <c r="T3979" s="0" t="n">
        <f aca="false">E3979*E3979</f>
        <v>0.0625</v>
      </c>
      <c r="U3979" s="0" t="n">
        <f aca="false">F3979*F3979</f>
        <v>0</v>
      </c>
      <c r="V3979" s="0" t="n">
        <f aca="false">G3979*G3979</f>
        <v>1</v>
      </c>
      <c r="W3979" s="0" t="n">
        <f aca="false">H3979*H3979</f>
        <v>0.0625</v>
      </c>
      <c r="X3979" s="0" t="n">
        <f aca="false">SUMPRODUCT(I3979:W3979,_XtX!$B$96:$P$96)</f>
        <v>46.7580135233918</v>
      </c>
      <c r="Y3979" s="0" t="n">
        <f aca="false">SUMPRODUCT(MMULT(I3979:W3979,_XtX!$B$78:$P$92),I3979:W3979)</f>
        <v>0.467417934484649</v>
      </c>
      <c r="Z3979" s="0" t="n">
        <f aca="false">04_回帰ANOVA!$K$19*04_回帰ANOVA!$K$14*SQRT(1+Y3979)</f>
        <v>1.57897518244497</v>
      </c>
      <c r="AA3979" s="0" t="n">
        <f aca="false">X3979-Z3979</f>
        <v>45.1790383409468</v>
      </c>
      <c r="AB3979" s="0" t="n">
        <f aca="false">X3979+Z3979</f>
        <v>48.3369887058367</v>
      </c>
      <c r="AC3979" s="54" t="b">
        <f aca="false">AND(E3979&gt;=01_因子設定!$L$5-0.000000001,E3979&lt;=01_因子設定!$M$5+0.000000001,F3979&gt;=01_因子設定!$L$6-0.000000001,F3979&lt;=01_因子設定!$M$6+0.000000001,G3979&gt;=01_因子設定!$L$7-0.000000001,G3979&lt;=01_因子設定!$M$7+0.000000001,H3979&gt;=01_因子設定!$L$8-0.000000001,H3979&lt;=01_因子設定!$M$8+0.000000001,IF(01_因子設定!$B$20="Box-Behnken",E3979^2+F3979^2+G3979^2+H3979^2&lt;=2+0.000000001,TRUE()))</f>
        <v>1</v>
      </c>
      <c r="AD3979" s="55" t="n">
        <f aca="false">IF(AC3979,IF(01_因子設定!$B$13="最大化",AA3979-01_因子設定!$B$14,IF(01_因子設定!$B$13="最小化",01_因子設定!$B$15-AB3979,MIN(AA3979-01_因子設定!$B$14,01_因子設定!$B$15-AB3979))),-1E+030)</f>
        <v>-1.32096165905321</v>
      </c>
      <c r="AE3979" s="55" t="n">
        <f aca="false">IF(AC3979,IF(01_因子設定!$B$13="最大化",X3979,IF(01_因子設定!$B$13="最小化",-X3979,-ABS(X3979-01_因子設定!$B$16))),-1E+030)</f>
        <v>46.7580135233918</v>
      </c>
      <c r="AF3979" s="55" t="n">
        <f aca="false">AD3979+ROW()*0.000000001</f>
        <v>-1.32095768005321</v>
      </c>
      <c r="AG3979" s="55" t="n">
        <f aca="false">AE3979+ROW()*0.000000001</f>
        <v>46.7580175023918</v>
      </c>
    </row>
    <row r="3980" customFormat="false" ht="15" hidden="false" customHeight="false" outlineLevel="0" collapsed="false">
      <c r="A3980" s="0" t="n">
        <v>5</v>
      </c>
      <c r="B3980" s="0" t="n">
        <v>4</v>
      </c>
      <c r="C3980" s="0" t="n">
        <v>0</v>
      </c>
      <c r="D3980" s="0" t="n">
        <v>6</v>
      </c>
      <c r="E3980" s="0" t="n">
        <f aca="false">-1+A3980*0.25</f>
        <v>0.25</v>
      </c>
      <c r="F3980" s="0" t="n">
        <f aca="false">-1+B3980*0.25</f>
        <v>0</v>
      </c>
      <c r="G3980" s="0" t="n">
        <f aca="false">-1+C3980*0.25</f>
        <v>-1</v>
      </c>
      <c r="H3980" s="0" t="n">
        <f aca="false">-1+D3980*0.25</f>
        <v>0.5</v>
      </c>
      <c r="I3980" s="0" t="n">
        <f aca="false">1</f>
        <v>1</v>
      </c>
      <c r="J3980" s="0" t="n">
        <f aca="false">E3980</f>
        <v>0.25</v>
      </c>
      <c r="K3980" s="0" t="n">
        <f aca="false">F3980</f>
        <v>0</v>
      </c>
      <c r="L3980" s="0" t="n">
        <f aca="false">G3980</f>
        <v>-1</v>
      </c>
      <c r="M3980" s="0" t="n">
        <f aca="false">H3980</f>
        <v>0.5</v>
      </c>
      <c r="N3980" s="0" t="n">
        <f aca="false">E3980*F3980</f>
        <v>0</v>
      </c>
      <c r="O3980" s="0" t="n">
        <f aca="false">E3980*G3980</f>
        <v>-0.25</v>
      </c>
      <c r="P3980" s="0" t="n">
        <f aca="false">E3980*H3980</f>
        <v>0.125</v>
      </c>
      <c r="Q3980" s="0" t="n">
        <f aca="false">F3980*G3980</f>
        <v>-0</v>
      </c>
      <c r="R3980" s="0" t="n">
        <f aca="false">F3980*H3980</f>
        <v>0</v>
      </c>
      <c r="S3980" s="0" t="n">
        <f aca="false">G3980*H3980</f>
        <v>-0.5</v>
      </c>
      <c r="T3980" s="0" t="n">
        <f aca="false">E3980*E3980</f>
        <v>0.0625</v>
      </c>
      <c r="U3980" s="0" t="n">
        <f aca="false">F3980*F3980</f>
        <v>0</v>
      </c>
      <c r="V3980" s="0" t="n">
        <f aca="false">G3980*G3980</f>
        <v>1</v>
      </c>
      <c r="W3980" s="0" t="n">
        <f aca="false">H3980*H3980</f>
        <v>0.25</v>
      </c>
      <c r="X3980" s="0" t="n">
        <f aca="false">SUMPRODUCT(I3980:W3980,_XtX!$B$96:$P$96)</f>
        <v>46.7236293859649</v>
      </c>
      <c r="Y3980" s="0" t="n">
        <f aca="false">SUMPRODUCT(MMULT(I3980:W3980,_XtX!$B$78:$P$92),I3980:W3980)</f>
        <v>0.457596628289474</v>
      </c>
      <c r="Z3980" s="0" t="n">
        <f aca="false">04_回帰ANOVA!$K$19*04_回帰ANOVA!$K$14*SQRT(1+Y3980)</f>
        <v>1.57368233664366</v>
      </c>
      <c r="AA3980" s="0" t="n">
        <f aca="false">X3980-Z3980</f>
        <v>45.1499470493212</v>
      </c>
      <c r="AB3980" s="0" t="n">
        <f aca="false">X3980+Z3980</f>
        <v>48.2973117226085</v>
      </c>
      <c r="AC3980" s="54" t="b">
        <f aca="false">AND(E3980&gt;=01_因子設定!$L$5-0.000000001,E3980&lt;=01_因子設定!$M$5+0.000000001,F3980&gt;=01_因子設定!$L$6-0.000000001,F3980&lt;=01_因子設定!$M$6+0.000000001,G3980&gt;=01_因子設定!$L$7-0.000000001,G3980&lt;=01_因子設定!$M$7+0.000000001,H3980&gt;=01_因子設定!$L$8-0.000000001,H3980&lt;=01_因子設定!$M$8+0.000000001,IF(01_因子設定!$B$20="Box-Behnken",E3980^2+F3980^2+G3980^2+H3980^2&lt;=2+0.000000001,TRUE()))</f>
        <v>1</v>
      </c>
      <c r="AD3980" s="55" t="n">
        <f aca="false">IF(AC3980,IF(01_因子設定!$B$13="最大化",AA3980-01_因子設定!$B$14,IF(01_因子設定!$B$13="最小化",01_因子設定!$B$15-AB3980,MIN(AA3980-01_因子設定!$B$14,01_因子設定!$B$15-AB3980))),-1E+030)</f>
        <v>-1.35005295067879</v>
      </c>
      <c r="AE3980" s="55" t="n">
        <f aca="false">IF(AC3980,IF(01_因子設定!$B$13="最大化",X3980,IF(01_因子設定!$B$13="最小化",-X3980,-ABS(X3980-01_因子設定!$B$16))),-1E+030)</f>
        <v>46.7236293859649</v>
      </c>
      <c r="AF3980" s="55" t="n">
        <f aca="false">AD3980+ROW()*0.000000001</f>
        <v>-1.35004897067879</v>
      </c>
      <c r="AG3980" s="55" t="n">
        <f aca="false">AE3980+ROW()*0.000000001</f>
        <v>46.7236333659649</v>
      </c>
    </row>
    <row r="3981" customFormat="false" ht="15" hidden="false" customHeight="false" outlineLevel="0" collapsed="false">
      <c r="A3981" s="0" t="n">
        <v>5</v>
      </c>
      <c r="B3981" s="0" t="n">
        <v>4</v>
      </c>
      <c r="C3981" s="0" t="n">
        <v>0</v>
      </c>
      <c r="D3981" s="0" t="n">
        <v>7</v>
      </c>
      <c r="E3981" s="0" t="n">
        <f aca="false">-1+A3981*0.25</f>
        <v>0.25</v>
      </c>
      <c r="F3981" s="0" t="n">
        <f aca="false">-1+B3981*0.25</f>
        <v>0</v>
      </c>
      <c r="G3981" s="0" t="n">
        <f aca="false">-1+C3981*0.25</f>
        <v>-1</v>
      </c>
      <c r="H3981" s="0" t="n">
        <f aca="false">-1+D3981*0.25</f>
        <v>0.75</v>
      </c>
      <c r="I3981" s="0" t="n">
        <f aca="false">1</f>
        <v>1</v>
      </c>
      <c r="J3981" s="0" t="n">
        <f aca="false">E3981</f>
        <v>0.25</v>
      </c>
      <c r="K3981" s="0" t="n">
        <f aca="false">F3981</f>
        <v>0</v>
      </c>
      <c r="L3981" s="0" t="n">
        <f aca="false">G3981</f>
        <v>-1</v>
      </c>
      <c r="M3981" s="0" t="n">
        <f aca="false">H3981</f>
        <v>0.75</v>
      </c>
      <c r="N3981" s="0" t="n">
        <f aca="false">E3981*F3981</f>
        <v>0</v>
      </c>
      <c r="O3981" s="0" t="n">
        <f aca="false">E3981*G3981</f>
        <v>-0.25</v>
      </c>
      <c r="P3981" s="0" t="n">
        <f aca="false">E3981*H3981</f>
        <v>0.1875</v>
      </c>
      <c r="Q3981" s="0" t="n">
        <f aca="false">F3981*G3981</f>
        <v>-0</v>
      </c>
      <c r="R3981" s="0" t="n">
        <f aca="false">F3981*H3981</f>
        <v>0</v>
      </c>
      <c r="S3981" s="0" t="n">
        <f aca="false">G3981*H3981</f>
        <v>-0.75</v>
      </c>
      <c r="T3981" s="0" t="n">
        <f aca="false">E3981*E3981</f>
        <v>0.0625</v>
      </c>
      <c r="U3981" s="0" t="n">
        <f aca="false">F3981*F3981</f>
        <v>0</v>
      </c>
      <c r="V3981" s="0" t="n">
        <f aca="false">G3981*G3981</f>
        <v>1</v>
      </c>
      <c r="W3981" s="0" t="n">
        <f aca="false">H3981*H3981</f>
        <v>0.5625</v>
      </c>
      <c r="X3981" s="0" t="n">
        <f aca="false">SUMPRODUCT(I3981:W3981,_XtX!$B$96:$P$96)</f>
        <v>46.6414382309941</v>
      </c>
      <c r="Y3981" s="0" t="n">
        <f aca="false">SUMPRODUCT(MMULT(I3981:W3981,_XtX!$B$78:$P$92),I3981:W3981)</f>
        <v>0.501534802174708</v>
      </c>
      <c r="Z3981" s="0" t="n">
        <f aca="false">04_回帰ANOVA!$K$19*04_回帰ANOVA!$K$14*SQRT(1+Y3981)</f>
        <v>1.59722498091333</v>
      </c>
      <c r="AA3981" s="0" t="n">
        <f aca="false">X3981-Z3981</f>
        <v>45.0442132500808</v>
      </c>
      <c r="AB3981" s="0" t="n">
        <f aca="false">X3981+Z3981</f>
        <v>48.2386632119075</v>
      </c>
      <c r="AC3981" s="54" t="b">
        <f aca="false">AND(E3981&gt;=01_因子設定!$L$5-0.000000001,E3981&lt;=01_因子設定!$M$5+0.000000001,F3981&gt;=01_因子設定!$L$6-0.000000001,F3981&lt;=01_因子設定!$M$6+0.000000001,G3981&gt;=01_因子設定!$L$7-0.000000001,G3981&lt;=01_因子設定!$M$7+0.000000001,H3981&gt;=01_因子設定!$L$8-0.000000001,H3981&lt;=01_因子設定!$M$8+0.000000001,IF(01_因子設定!$B$20="Box-Behnken",E3981^2+F3981^2+G3981^2+H3981^2&lt;=2+0.000000001,TRUE()))</f>
        <v>1</v>
      </c>
      <c r="AD3981" s="55" t="n">
        <f aca="false">IF(AC3981,IF(01_因子設定!$B$13="最大化",AA3981-01_因子設定!$B$14,IF(01_因子設定!$B$13="最小化",01_因子設定!$B$15-AB3981,MIN(AA3981-01_因子設定!$B$14,01_因子設定!$B$15-AB3981))),-1E+030)</f>
        <v>-1.45578674991921</v>
      </c>
      <c r="AE3981" s="55" t="n">
        <f aca="false">IF(AC3981,IF(01_因子設定!$B$13="最大化",X3981,IF(01_因子設定!$B$13="最小化",-X3981,-ABS(X3981-01_因子設定!$B$16))),-1E+030)</f>
        <v>46.6414382309941</v>
      </c>
      <c r="AF3981" s="55" t="n">
        <f aca="false">AD3981+ROW()*0.000000001</f>
        <v>-1.45578276891921</v>
      </c>
      <c r="AG3981" s="55" t="n">
        <f aca="false">AE3981+ROW()*0.000000001</f>
        <v>46.6414422119941</v>
      </c>
    </row>
    <row r="3982" customFormat="false" ht="15" hidden="false" customHeight="false" outlineLevel="0" collapsed="false">
      <c r="A3982" s="0" t="n">
        <v>5</v>
      </c>
      <c r="B3982" s="0" t="n">
        <v>4</v>
      </c>
      <c r="C3982" s="0" t="n">
        <v>0</v>
      </c>
      <c r="D3982" s="0" t="n">
        <v>8</v>
      </c>
      <c r="E3982" s="0" t="n">
        <f aca="false">-1+A3982*0.25</f>
        <v>0.25</v>
      </c>
      <c r="F3982" s="0" t="n">
        <f aca="false">-1+B3982*0.25</f>
        <v>0</v>
      </c>
      <c r="G3982" s="0" t="n">
        <f aca="false">-1+C3982*0.25</f>
        <v>-1</v>
      </c>
      <c r="H3982" s="0" t="n">
        <f aca="false">-1+D3982*0.25</f>
        <v>1</v>
      </c>
      <c r="I3982" s="0" t="n">
        <f aca="false">1</f>
        <v>1</v>
      </c>
      <c r="J3982" s="0" t="n">
        <f aca="false">E3982</f>
        <v>0.25</v>
      </c>
      <c r="K3982" s="0" t="n">
        <f aca="false">F3982</f>
        <v>0</v>
      </c>
      <c r="L3982" s="0" t="n">
        <f aca="false">G3982</f>
        <v>-1</v>
      </c>
      <c r="M3982" s="0" t="n">
        <f aca="false">H3982</f>
        <v>1</v>
      </c>
      <c r="N3982" s="0" t="n">
        <f aca="false">E3982*F3982</f>
        <v>0</v>
      </c>
      <c r="O3982" s="0" t="n">
        <f aca="false">E3982*G3982</f>
        <v>-0.25</v>
      </c>
      <c r="P3982" s="0" t="n">
        <f aca="false">E3982*H3982</f>
        <v>0.25</v>
      </c>
      <c r="Q3982" s="0" t="n">
        <f aca="false">F3982*G3982</f>
        <v>-0</v>
      </c>
      <c r="R3982" s="0" t="n">
        <f aca="false">F3982*H3982</f>
        <v>0</v>
      </c>
      <c r="S3982" s="0" t="n">
        <f aca="false">G3982*H3982</f>
        <v>-1</v>
      </c>
      <c r="T3982" s="0" t="n">
        <f aca="false">E3982*E3982</f>
        <v>0.0625</v>
      </c>
      <c r="U3982" s="0" t="n">
        <f aca="false">F3982*F3982</f>
        <v>0</v>
      </c>
      <c r="V3982" s="0" t="n">
        <f aca="false">G3982*G3982</f>
        <v>1</v>
      </c>
      <c r="W3982" s="0" t="n">
        <f aca="false">H3982*H3982</f>
        <v>1</v>
      </c>
      <c r="X3982" s="0" t="n">
        <f aca="false">SUMPRODUCT(I3982:W3982,_XtX!$B$96:$P$96)</f>
        <v>46.5114400584795</v>
      </c>
      <c r="Y3982" s="0" t="n">
        <f aca="false">SUMPRODUCT(MMULT(I3982:W3982,_XtX!$B$78:$P$92),I3982:W3982)</f>
        <v>0.689692982456141</v>
      </c>
      <c r="Z3982" s="0" t="n">
        <f aca="false">04_回帰ANOVA!$K$19*04_回帰ANOVA!$K$14*SQRT(1+Y3982)</f>
        <v>1.69434674594998</v>
      </c>
      <c r="AA3982" s="0" t="n">
        <f aca="false">X3982-Z3982</f>
        <v>44.8170933125295</v>
      </c>
      <c r="AB3982" s="0" t="n">
        <f aca="false">X3982+Z3982</f>
        <v>48.2057868044295</v>
      </c>
      <c r="AC3982" s="54" t="b">
        <f aca="false">AND(E3982&gt;=01_因子設定!$L$5-0.000000001,E3982&lt;=01_因子設定!$M$5+0.000000001,F3982&gt;=01_因子設定!$L$6-0.000000001,F3982&lt;=01_因子設定!$M$6+0.000000001,G3982&gt;=01_因子設定!$L$7-0.000000001,G3982&lt;=01_因子設定!$M$7+0.000000001,H3982&gt;=01_因子設定!$L$8-0.000000001,H3982&lt;=01_因子設定!$M$8+0.000000001,IF(01_因子設定!$B$20="Box-Behnken",E3982^2+F3982^2+G3982^2+H3982^2&lt;=2+0.000000001,TRUE()))</f>
        <v>1</v>
      </c>
      <c r="AD3982" s="55" t="n">
        <f aca="false">IF(AC3982,IF(01_因子設定!$B$13="最大化",AA3982-01_因子設定!$B$14,IF(01_因子設定!$B$13="最小化",01_因子設定!$B$15-AB3982,MIN(AA3982-01_因子設定!$B$14,01_因子設定!$B$15-AB3982))),-1E+030)</f>
        <v>-1.68290668747047</v>
      </c>
      <c r="AE3982" s="55" t="n">
        <f aca="false">IF(AC3982,IF(01_因子設定!$B$13="最大化",X3982,IF(01_因子設定!$B$13="最小化",-X3982,-ABS(X3982-01_因子設定!$B$16))),-1E+030)</f>
        <v>46.5114400584795</v>
      </c>
      <c r="AF3982" s="55" t="n">
        <f aca="false">AD3982+ROW()*0.000000001</f>
        <v>-1.68290270547047</v>
      </c>
      <c r="AG3982" s="55" t="n">
        <f aca="false">AE3982+ROW()*0.000000001</f>
        <v>46.5114440404795</v>
      </c>
    </row>
    <row r="3983" customFormat="false" ht="15" hidden="false" customHeight="false" outlineLevel="0" collapsed="false">
      <c r="A3983" s="0" t="n">
        <v>5</v>
      </c>
      <c r="B3983" s="0" t="n">
        <v>4</v>
      </c>
      <c r="C3983" s="0" t="n">
        <v>1</v>
      </c>
      <c r="D3983" s="0" t="n">
        <v>0</v>
      </c>
      <c r="E3983" s="0" t="n">
        <f aca="false">-1+A3983*0.25</f>
        <v>0.25</v>
      </c>
      <c r="F3983" s="0" t="n">
        <f aca="false">-1+B3983*0.25</f>
        <v>0</v>
      </c>
      <c r="G3983" s="0" t="n">
        <f aca="false">-1+C3983*0.25</f>
        <v>-0.75</v>
      </c>
      <c r="H3983" s="0" t="n">
        <f aca="false">-1+D3983*0.25</f>
        <v>-1</v>
      </c>
      <c r="I3983" s="0" t="n">
        <f aca="false">1</f>
        <v>1</v>
      </c>
      <c r="J3983" s="0" t="n">
        <f aca="false">E3983</f>
        <v>0.25</v>
      </c>
      <c r="K3983" s="0" t="n">
        <f aca="false">F3983</f>
        <v>0</v>
      </c>
      <c r="L3983" s="0" t="n">
        <f aca="false">G3983</f>
        <v>-0.75</v>
      </c>
      <c r="M3983" s="0" t="n">
        <f aca="false">H3983</f>
        <v>-1</v>
      </c>
      <c r="N3983" s="0" t="n">
        <f aca="false">E3983*F3983</f>
        <v>0</v>
      </c>
      <c r="O3983" s="0" t="n">
        <f aca="false">E3983*G3983</f>
        <v>-0.1875</v>
      </c>
      <c r="P3983" s="0" t="n">
        <f aca="false">E3983*H3983</f>
        <v>-0.25</v>
      </c>
      <c r="Q3983" s="0" t="n">
        <f aca="false">F3983*G3983</f>
        <v>-0</v>
      </c>
      <c r="R3983" s="0" t="n">
        <f aca="false">F3983*H3983</f>
        <v>-0</v>
      </c>
      <c r="S3983" s="0" t="n">
        <f aca="false">G3983*H3983</f>
        <v>0.75</v>
      </c>
      <c r="T3983" s="0" t="n">
        <f aca="false">E3983*E3983</f>
        <v>0.0625</v>
      </c>
      <c r="U3983" s="0" t="n">
        <f aca="false">F3983*F3983</f>
        <v>0</v>
      </c>
      <c r="V3983" s="0" t="n">
        <f aca="false">G3983*G3983</f>
        <v>0.5625</v>
      </c>
      <c r="W3983" s="0" t="n">
        <f aca="false">H3983*H3983</f>
        <v>1</v>
      </c>
      <c r="X3983" s="0" t="n">
        <f aca="false">SUMPRODUCT(I3983:W3983,_XtX!$B$96:$P$96)</f>
        <v>46.6447368421052</v>
      </c>
      <c r="Y3983" s="0" t="n">
        <f aca="false">SUMPRODUCT(MMULT(I3983:W3983,_XtX!$B$78:$P$92),I3983:W3983)</f>
        <v>0.501534802174708</v>
      </c>
      <c r="Z3983" s="0" t="n">
        <f aca="false">04_回帰ANOVA!$K$19*04_回帰ANOVA!$K$14*SQRT(1+Y3983)</f>
        <v>1.59722498091333</v>
      </c>
      <c r="AA3983" s="0" t="n">
        <f aca="false">X3983-Z3983</f>
        <v>45.0475118611919</v>
      </c>
      <c r="AB3983" s="0" t="n">
        <f aca="false">X3983+Z3983</f>
        <v>48.2419618230186</v>
      </c>
      <c r="AC3983" s="54" t="b">
        <f aca="false">AND(E3983&gt;=01_因子設定!$L$5-0.000000001,E3983&lt;=01_因子設定!$M$5+0.000000001,F3983&gt;=01_因子設定!$L$6-0.000000001,F3983&lt;=01_因子設定!$M$6+0.000000001,G3983&gt;=01_因子設定!$L$7-0.000000001,G3983&lt;=01_因子設定!$M$7+0.000000001,H3983&gt;=01_因子設定!$L$8-0.000000001,H3983&lt;=01_因子設定!$M$8+0.000000001,IF(01_因子設定!$B$20="Box-Behnken",E3983^2+F3983^2+G3983^2+H3983^2&lt;=2+0.000000001,TRUE()))</f>
        <v>1</v>
      </c>
      <c r="AD3983" s="55" t="n">
        <f aca="false">IF(AC3983,IF(01_因子設定!$B$13="最大化",AA3983-01_因子設定!$B$14,IF(01_因子設定!$B$13="最小化",01_因子設定!$B$15-AB3983,MIN(AA3983-01_因子設定!$B$14,01_因子設定!$B$15-AB3983))),-1E+030)</f>
        <v>-1.45248813880809</v>
      </c>
      <c r="AE3983" s="55" t="n">
        <f aca="false">IF(AC3983,IF(01_因子設定!$B$13="最大化",X3983,IF(01_因子設定!$B$13="最小化",-X3983,-ABS(X3983-01_因子設定!$B$16))),-1E+030)</f>
        <v>46.6447368421052</v>
      </c>
      <c r="AF3983" s="55" t="n">
        <f aca="false">AD3983+ROW()*0.000000001</f>
        <v>-1.45248415580809</v>
      </c>
      <c r="AG3983" s="55" t="n">
        <f aca="false">AE3983+ROW()*0.000000001</f>
        <v>46.6447408251052</v>
      </c>
    </row>
    <row r="3984" customFormat="false" ht="15" hidden="false" customHeight="false" outlineLevel="0" collapsed="false">
      <c r="A3984" s="0" t="n">
        <v>5</v>
      </c>
      <c r="B3984" s="0" t="n">
        <v>4</v>
      </c>
      <c r="C3984" s="0" t="n">
        <v>1</v>
      </c>
      <c r="D3984" s="0" t="n">
        <v>1</v>
      </c>
      <c r="E3984" s="0" t="n">
        <f aca="false">-1+A3984*0.25</f>
        <v>0.25</v>
      </c>
      <c r="F3984" s="0" t="n">
        <f aca="false">-1+B3984*0.25</f>
        <v>0</v>
      </c>
      <c r="G3984" s="0" t="n">
        <f aca="false">-1+C3984*0.25</f>
        <v>-0.75</v>
      </c>
      <c r="H3984" s="0" t="n">
        <f aca="false">-1+D3984*0.25</f>
        <v>-0.75</v>
      </c>
      <c r="I3984" s="0" t="n">
        <f aca="false">1</f>
        <v>1</v>
      </c>
      <c r="J3984" s="0" t="n">
        <f aca="false">E3984</f>
        <v>0.25</v>
      </c>
      <c r="K3984" s="0" t="n">
        <f aca="false">F3984</f>
        <v>0</v>
      </c>
      <c r="L3984" s="0" t="n">
        <f aca="false">G3984</f>
        <v>-0.75</v>
      </c>
      <c r="M3984" s="0" t="n">
        <f aca="false">H3984</f>
        <v>-0.75</v>
      </c>
      <c r="N3984" s="0" t="n">
        <f aca="false">E3984*F3984</f>
        <v>0</v>
      </c>
      <c r="O3984" s="0" t="n">
        <f aca="false">E3984*G3984</f>
        <v>-0.1875</v>
      </c>
      <c r="P3984" s="0" t="n">
        <f aca="false">E3984*H3984</f>
        <v>-0.1875</v>
      </c>
      <c r="Q3984" s="0" t="n">
        <f aca="false">F3984*G3984</f>
        <v>-0</v>
      </c>
      <c r="R3984" s="0" t="n">
        <f aca="false">F3984*H3984</f>
        <v>-0</v>
      </c>
      <c r="S3984" s="0" t="n">
        <f aca="false">G3984*H3984</f>
        <v>0.5625</v>
      </c>
      <c r="T3984" s="0" t="n">
        <f aca="false">E3984*E3984</f>
        <v>0.0625</v>
      </c>
      <c r="U3984" s="0" t="n">
        <f aca="false">F3984*F3984</f>
        <v>0</v>
      </c>
      <c r="V3984" s="0" t="n">
        <f aca="false">G3984*G3984</f>
        <v>0.5625</v>
      </c>
      <c r="W3984" s="0" t="n">
        <f aca="false">H3984*H3984</f>
        <v>0.5625</v>
      </c>
      <c r="X3984" s="0" t="n">
        <f aca="false">SUMPRODUCT(I3984:W3984,_XtX!$B$96:$P$96)</f>
        <v>46.8673565423976</v>
      </c>
      <c r="Y3984" s="0" t="n">
        <f aca="false">SUMPRODUCT(MMULT(I3984:W3984,_XtX!$B$78:$P$92),I3984:W3984)</f>
        <v>0.281685455500731</v>
      </c>
      <c r="Z3984" s="0" t="n">
        <f aca="false">04_回帰ANOVA!$K$19*04_回帰ANOVA!$K$14*SQRT(1+Y3984)</f>
        <v>1.47566956658694</v>
      </c>
      <c r="AA3984" s="0" t="n">
        <f aca="false">X3984-Z3984</f>
        <v>45.3916869758107</v>
      </c>
      <c r="AB3984" s="0" t="n">
        <f aca="false">X3984+Z3984</f>
        <v>48.3430261089846</v>
      </c>
      <c r="AC3984" s="54" t="b">
        <f aca="false">AND(E3984&gt;=01_因子設定!$L$5-0.000000001,E3984&lt;=01_因子設定!$M$5+0.000000001,F3984&gt;=01_因子設定!$L$6-0.000000001,F3984&lt;=01_因子設定!$M$6+0.000000001,G3984&gt;=01_因子設定!$L$7-0.000000001,G3984&lt;=01_因子設定!$M$7+0.000000001,H3984&gt;=01_因子設定!$L$8-0.000000001,H3984&lt;=01_因子設定!$M$8+0.000000001,IF(01_因子設定!$B$20="Box-Behnken",E3984^2+F3984^2+G3984^2+H3984^2&lt;=2+0.000000001,TRUE()))</f>
        <v>1</v>
      </c>
      <c r="AD3984" s="55" t="n">
        <f aca="false">IF(AC3984,IF(01_因子設定!$B$13="最大化",AA3984-01_因子設定!$B$14,IF(01_因子設定!$B$13="最小化",01_因子設定!$B$15-AB3984,MIN(AA3984-01_因子設定!$B$14,01_因子設定!$B$15-AB3984))),-1E+030)</f>
        <v>-1.10831302418931</v>
      </c>
      <c r="AE3984" s="55" t="n">
        <f aca="false">IF(AC3984,IF(01_因子設定!$B$13="最大化",X3984,IF(01_因子設定!$B$13="最小化",-X3984,-ABS(X3984-01_因子設定!$B$16))),-1E+030)</f>
        <v>46.8673565423976</v>
      </c>
      <c r="AF3984" s="55" t="n">
        <f aca="false">AD3984+ROW()*0.000000001</f>
        <v>-1.10830904018931</v>
      </c>
      <c r="AG3984" s="55" t="n">
        <f aca="false">AE3984+ROW()*0.000000001</f>
        <v>46.8673605263976</v>
      </c>
    </row>
    <row r="3985" customFormat="false" ht="15" hidden="false" customHeight="false" outlineLevel="0" collapsed="false">
      <c r="A3985" s="0" t="n">
        <v>5</v>
      </c>
      <c r="B3985" s="0" t="n">
        <v>4</v>
      </c>
      <c r="C3985" s="0" t="n">
        <v>1</v>
      </c>
      <c r="D3985" s="0" t="n">
        <v>2</v>
      </c>
      <c r="E3985" s="0" t="n">
        <f aca="false">-1+A3985*0.25</f>
        <v>0.25</v>
      </c>
      <c r="F3985" s="0" t="n">
        <f aca="false">-1+B3985*0.25</f>
        <v>0</v>
      </c>
      <c r="G3985" s="0" t="n">
        <f aca="false">-1+C3985*0.25</f>
        <v>-0.75</v>
      </c>
      <c r="H3985" s="0" t="n">
        <f aca="false">-1+D3985*0.25</f>
        <v>-0.5</v>
      </c>
      <c r="I3985" s="0" t="n">
        <f aca="false">1</f>
        <v>1</v>
      </c>
      <c r="J3985" s="0" t="n">
        <f aca="false">E3985</f>
        <v>0.25</v>
      </c>
      <c r="K3985" s="0" t="n">
        <f aca="false">F3985</f>
        <v>0</v>
      </c>
      <c r="L3985" s="0" t="n">
        <f aca="false">G3985</f>
        <v>-0.75</v>
      </c>
      <c r="M3985" s="0" t="n">
        <f aca="false">H3985</f>
        <v>-0.5</v>
      </c>
      <c r="N3985" s="0" t="n">
        <f aca="false">E3985*F3985</f>
        <v>0</v>
      </c>
      <c r="O3985" s="0" t="n">
        <f aca="false">E3985*G3985</f>
        <v>-0.1875</v>
      </c>
      <c r="P3985" s="0" t="n">
        <f aca="false">E3985*H3985</f>
        <v>-0.125</v>
      </c>
      <c r="Q3985" s="0" t="n">
        <f aca="false">F3985*G3985</f>
        <v>-0</v>
      </c>
      <c r="R3985" s="0" t="n">
        <f aca="false">F3985*H3985</f>
        <v>-0</v>
      </c>
      <c r="S3985" s="0" t="n">
        <f aca="false">G3985*H3985</f>
        <v>0.375</v>
      </c>
      <c r="T3985" s="0" t="n">
        <f aca="false">E3985*E3985</f>
        <v>0.0625</v>
      </c>
      <c r="U3985" s="0" t="n">
        <f aca="false">F3985*F3985</f>
        <v>0</v>
      </c>
      <c r="V3985" s="0" t="n">
        <f aca="false">G3985*G3985</f>
        <v>0.5625</v>
      </c>
      <c r="W3985" s="0" t="n">
        <f aca="false">H3985*H3985</f>
        <v>0.25</v>
      </c>
      <c r="X3985" s="0" t="n">
        <f aca="false">SUMPRODUCT(I3985:W3985,_XtX!$B$96:$P$96)</f>
        <v>47.0421692251462</v>
      </c>
      <c r="Y3985" s="0" t="n">
        <f aca="false">SUMPRODUCT(MMULT(I3985:W3985,_XtX!$B$78:$P$92),I3985:W3985)</f>
        <v>0.215110734192252</v>
      </c>
      <c r="Z3985" s="0" t="n">
        <f aca="false">04_回帰ANOVA!$K$19*04_回帰ANOVA!$K$14*SQRT(1+Y3985)</f>
        <v>1.43683309086864</v>
      </c>
      <c r="AA3985" s="0" t="n">
        <f aca="false">X3985-Z3985</f>
        <v>45.6053361342775</v>
      </c>
      <c r="AB3985" s="0" t="n">
        <f aca="false">X3985+Z3985</f>
        <v>48.4790023160148</v>
      </c>
      <c r="AC3985" s="54" t="b">
        <f aca="false">AND(E3985&gt;=01_因子設定!$L$5-0.000000001,E3985&lt;=01_因子設定!$M$5+0.000000001,F3985&gt;=01_因子設定!$L$6-0.000000001,F3985&lt;=01_因子設定!$M$6+0.000000001,G3985&gt;=01_因子設定!$L$7-0.000000001,G3985&lt;=01_因子設定!$M$7+0.000000001,H3985&gt;=01_因子設定!$L$8-0.000000001,H3985&lt;=01_因子設定!$M$8+0.000000001,IF(01_因子設定!$B$20="Box-Behnken",E3985^2+F3985^2+G3985^2+H3985^2&lt;=2+0.000000001,TRUE()))</f>
        <v>1</v>
      </c>
      <c r="AD3985" s="55" t="n">
        <f aca="false">IF(AC3985,IF(01_因子設定!$B$13="最大化",AA3985-01_因子設定!$B$14,IF(01_因子設定!$B$13="最小化",01_因子設定!$B$15-AB3985,MIN(AA3985-01_因子設定!$B$14,01_因子設定!$B$15-AB3985))),-1E+030)</f>
        <v>-0.894663865722492</v>
      </c>
      <c r="AE3985" s="55" t="n">
        <f aca="false">IF(AC3985,IF(01_因子設定!$B$13="最大化",X3985,IF(01_因子設定!$B$13="最小化",-X3985,-ABS(X3985-01_因子設定!$B$16))),-1E+030)</f>
        <v>47.0421692251462</v>
      </c>
      <c r="AF3985" s="55" t="n">
        <f aca="false">AD3985+ROW()*0.000000001</f>
        <v>-0.894659880722492</v>
      </c>
      <c r="AG3985" s="55" t="n">
        <f aca="false">AE3985+ROW()*0.000000001</f>
        <v>47.0421732101462</v>
      </c>
    </row>
    <row r="3986" customFormat="false" ht="15" hidden="false" customHeight="false" outlineLevel="0" collapsed="false">
      <c r="A3986" s="0" t="n">
        <v>5</v>
      </c>
      <c r="B3986" s="0" t="n">
        <v>4</v>
      </c>
      <c r="C3986" s="0" t="n">
        <v>1</v>
      </c>
      <c r="D3986" s="0" t="n">
        <v>3</v>
      </c>
      <c r="E3986" s="0" t="n">
        <f aca="false">-1+A3986*0.25</f>
        <v>0.25</v>
      </c>
      <c r="F3986" s="0" t="n">
        <f aca="false">-1+B3986*0.25</f>
        <v>0</v>
      </c>
      <c r="G3986" s="0" t="n">
        <f aca="false">-1+C3986*0.25</f>
        <v>-0.75</v>
      </c>
      <c r="H3986" s="0" t="n">
        <f aca="false">-1+D3986*0.25</f>
        <v>-0.25</v>
      </c>
      <c r="I3986" s="0" t="n">
        <f aca="false">1</f>
        <v>1</v>
      </c>
      <c r="J3986" s="0" t="n">
        <f aca="false">E3986</f>
        <v>0.25</v>
      </c>
      <c r="K3986" s="0" t="n">
        <f aca="false">F3986</f>
        <v>0</v>
      </c>
      <c r="L3986" s="0" t="n">
        <f aca="false">G3986</f>
        <v>-0.75</v>
      </c>
      <c r="M3986" s="0" t="n">
        <f aca="false">H3986</f>
        <v>-0.25</v>
      </c>
      <c r="N3986" s="0" t="n">
        <f aca="false">E3986*F3986</f>
        <v>0</v>
      </c>
      <c r="O3986" s="0" t="n">
        <f aca="false">E3986*G3986</f>
        <v>-0.1875</v>
      </c>
      <c r="P3986" s="0" t="n">
        <f aca="false">E3986*H3986</f>
        <v>-0.0625</v>
      </c>
      <c r="Q3986" s="0" t="n">
        <f aca="false">F3986*G3986</f>
        <v>-0</v>
      </c>
      <c r="R3986" s="0" t="n">
        <f aca="false">F3986*H3986</f>
        <v>-0</v>
      </c>
      <c r="S3986" s="0" t="n">
        <f aca="false">G3986*H3986</f>
        <v>0.1875</v>
      </c>
      <c r="T3986" s="0" t="n">
        <f aca="false">E3986*E3986</f>
        <v>0.0625</v>
      </c>
      <c r="U3986" s="0" t="n">
        <f aca="false">F3986*F3986</f>
        <v>0</v>
      </c>
      <c r="V3986" s="0" t="n">
        <f aca="false">G3986*G3986</f>
        <v>0.5625</v>
      </c>
      <c r="W3986" s="0" t="n">
        <f aca="false">H3986*H3986</f>
        <v>0.0625</v>
      </c>
      <c r="X3986" s="0" t="n">
        <f aca="false">SUMPRODUCT(I3986:W3986,_XtX!$B$96:$P$96)</f>
        <v>47.1691748903508</v>
      </c>
      <c r="Y3986" s="0" t="n">
        <f aca="false">SUMPRODUCT(MMULT(I3986:W3986,_XtX!$B$78:$P$92),I3986:W3986)</f>
        <v>0.21135011193348</v>
      </c>
      <c r="Z3986" s="0" t="n">
        <f aca="false">04_回帰ANOVA!$K$19*04_回帰ANOVA!$K$14*SQRT(1+Y3986)</f>
        <v>1.43460795469709</v>
      </c>
      <c r="AA3986" s="0" t="n">
        <f aca="false">X3986-Z3986</f>
        <v>45.7345669356537</v>
      </c>
      <c r="AB3986" s="0" t="n">
        <f aca="false">X3986+Z3986</f>
        <v>48.6037828450479</v>
      </c>
      <c r="AC3986" s="54" t="b">
        <f aca="false">AND(E3986&gt;=01_因子設定!$L$5-0.000000001,E3986&lt;=01_因子設定!$M$5+0.000000001,F3986&gt;=01_因子設定!$L$6-0.000000001,F3986&lt;=01_因子設定!$M$6+0.000000001,G3986&gt;=01_因子設定!$L$7-0.000000001,G3986&lt;=01_因子設定!$M$7+0.000000001,H3986&gt;=01_因子設定!$L$8-0.000000001,H3986&lt;=01_因子設定!$M$8+0.000000001,IF(01_因子設定!$B$20="Box-Behnken",E3986^2+F3986^2+G3986^2+H3986^2&lt;=2+0.000000001,TRUE()))</f>
        <v>1</v>
      </c>
      <c r="AD3986" s="55" t="n">
        <f aca="false">IF(AC3986,IF(01_因子設定!$B$13="最大化",AA3986-01_因子設定!$B$14,IF(01_因子設定!$B$13="最小化",01_因子設定!$B$15-AB3986,MIN(AA3986-01_因子設定!$B$14,01_因子設定!$B$15-AB3986))),-1E+030)</f>
        <v>-0.765433064346262</v>
      </c>
      <c r="AE3986" s="55" t="n">
        <f aca="false">IF(AC3986,IF(01_因子設定!$B$13="最大化",X3986,IF(01_因子設定!$B$13="最小化",-X3986,-ABS(X3986-01_因子設定!$B$16))),-1E+030)</f>
        <v>47.1691748903508</v>
      </c>
      <c r="AF3986" s="55" t="n">
        <f aca="false">AD3986+ROW()*0.000000001</f>
        <v>-0.765429078346262</v>
      </c>
      <c r="AG3986" s="55" t="n">
        <f aca="false">AE3986+ROW()*0.000000001</f>
        <v>47.1691788763508</v>
      </c>
    </row>
    <row r="3987" customFormat="false" ht="15" hidden="false" customHeight="false" outlineLevel="0" collapsed="false">
      <c r="A3987" s="0" t="n">
        <v>5</v>
      </c>
      <c r="B3987" s="0" t="n">
        <v>4</v>
      </c>
      <c r="C3987" s="0" t="n">
        <v>1</v>
      </c>
      <c r="D3987" s="0" t="n">
        <v>4</v>
      </c>
      <c r="E3987" s="0" t="n">
        <f aca="false">-1+A3987*0.25</f>
        <v>0.25</v>
      </c>
      <c r="F3987" s="0" t="n">
        <f aca="false">-1+B3987*0.25</f>
        <v>0</v>
      </c>
      <c r="G3987" s="0" t="n">
        <f aca="false">-1+C3987*0.25</f>
        <v>-0.75</v>
      </c>
      <c r="H3987" s="0" t="n">
        <f aca="false">-1+D3987*0.25</f>
        <v>0</v>
      </c>
      <c r="I3987" s="0" t="n">
        <f aca="false">1</f>
        <v>1</v>
      </c>
      <c r="J3987" s="0" t="n">
        <f aca="false">E3987</f>
        <v>0.25</v>
      </c>
      <c r="K3987" s="0" t="n">
        <f aca="false">F3987</f>
        <v>0</v>
      </c>
      <c r="L3987" s="0" t="n">
        <f aca="false">G3987</f>
        <v>-0.75</v>
      </c>
      <c r="M3987" s="0" t="n">
        <f aca="false">H3987</f>
        <v>0</v>
      </c>
      <c r="N3987" s="0" t="n">
        <f aca="false">E3987*F3987</f>
        <v>0</v>
      </c>
      <c r="O3987" s="0" t="n">
        <f aca="false">E3987*G3987</f>
        <v>-0.1875</v>
      </c>
      <c r="P3987" s="0" t="n">
        <f aca="false">E3987*H3987</f>
        <v>0</v>
      </c>
      <c r="Q3987" s="0" t="n">
        <f aca="false">F3987*G3987</f>
        <v>-0</v>
      </c>
      <c r="R3987" s="0" t="n">
        <f aca="false">F3987*H3987</f>
        <v>0</v>
      </c>
      <c r="S3987" s="0" t="n">
        <f aca="false">G3987*H3987</f>
        <v>-0</v>
      </c>
      <c r="T3987" s="0" t="n">
        <f aca="false">E3987*E3987</f>
        <v>0.0625</v>
      </c>
      <c r="U3987" s="0" t="n">
        <f aca="false">F3987*F3987</f>
        <v>0</v>
      </c>
      <c r="V3987" s="0" t="n">
        <f aca="false">G3987*G3987</f>
        <v>0.5625</v>
      </c>
      <c r="W3987" s="0" t="n">
        <f aca="false">H3987*H3987</f>
        <v>0</v>
      </c>
      <c r="X3987" s="0" t="n">
        <f aca="false">SUMPRODUCT(I3987:W3987,_XtX!$B$96:$P$96)</f>
        <v>47.2483735380116</v>
      </c>
      <c r="Y3987" s="0" t="n">
        <f aca="false">SUMPRODUCT(MMULT(I3987:W3987,_XtX!$B$78:$P$92),I3987:W3987)</f>
        <v>0.216127272934942</v>
      </c>
      <c r="Z3987" s="0" t="n">
        <f aca="false">04_回帰ANOVA!$K$19*04_回帰ANOVA!$K$14*SQRT(1+Y3987)</f>
        <v>1.43743397896608</v>
      </c>
      <c r="AA3987" s="0" t="n">
        <f aca="false">X3987-Z3987</f>
        <v>45.8109395590456</v>
      </c>
      <c r="AB3987" s="0" t="n">
        <f aca="false">X3987+Z3987</f>
        <v>48.6858075169777</v>
      </c>
      <c r="AC3987" s="54" t="b">
        <f aca="false">AND(E3987&gt;=01_因子設定!$L$5-0.000000001,E3987&lt;=01_因子設定!$M$5+0.000000001,F3987&gt;=01_因子設定!$L$6-0.000000001,F3987&lt;=01_因子設定!$M$6+0.000000001,G3987&gt;=01_因子設定!$L$7-0.000000001,G3987&lt;=01_因子設定!$M$7+0.000000001,H3987&gt;=01_因子設定!$L$8-0.000000001,H3987&lt;=01_因子設定!$M$8+0.000000001,IF(01_因子設定!$B$20="Box-Behnken",E3987^2+F3987^2+G3987^2+H3987^2&lt;=2+0.000000001,TRUE()))</f>
        <v>1</v>
      </c>
      <c r="AD3987" s="55" t="n">
        <f aca="false">IF(AC3987,IF(01_因子設定!$B$13="最大化",AA3987-01_因子設定!$B$14,IF(01_因子設定!$B$13="最小化",01_因子設定!$B$15-AB3987,MIN(AA3987-01_因子設定!$B$14,01_因子設定!$B$15-AB3987))),-1E+030)</f>
        <v>-0.689060440954442</v>
      </c>
      <c r="AE3987" s="55" t="n">
        <f aca="false">IF(AC3987,IF(01_因子設定!$B$13="最大化",X3987,IF(01_因子設定!$B$13="最小化",-X3987,-ABS(X3987-01_因子設定!$B$16))),-1E+030)</f>
        <v>47.2483735380116</v>
      </c>
      <c r="AF3987" s="55" t="n">
        <f aca="false">AD3987+ROW()*0.000000001</f>
        <v>-0.689056453954442</v>
      </c>
      <c r="AG3987" s="55" t="n">
        <f aca="false">AE3987+ROW()*0.000000001</f>
        <v>47.2483775250116</v>
      </c>
    </row>
    <row r="3988" customFormat="false" ht="15" hidden="false" customHeight="false" outlineLevel="0" collapsed="false">
      <c r="A3988" s="0" t="n">
        <v>5</v>
      </c>
      <c r="B3988" s="0" t="n">
        <v>4</v>
      </c>
      <c r="C3988" s="0" t="n">
        <v>1</v>
      </c>
      <c r="D3988" s="0" t="n">
        <v>5</v>
      </c>
      <c r="E3988" s="0" t="n">
        <f aca="false">-1+A3988*0.25</f>
        <v>0.25</v>
      </c>
      <c r="F3988" s="0" t="n">
        <f aca="false">-1+B3988*0.25</f>
        <v>0</v>
      </c>
      <c r="G3988" s="0" t="n">
        <f aca="false">-1+C3988*0.25</f>
        <v>-0.75</v>
      </c>
      <c r="H3988" s="0" t="n">
        <f aca="false">-1+D3988*0.25</f>
        <v>0.25</v>
      </c>
      <c r="I3988" s="0" t="n">
        <f aca="false">1</f>
        <v>1</v>
      </c>
      <c r="J3988" s="0" t="n">
        <f aca="false">E3988</f>
        <v>0.25</v>
      </c>
      <c r="K3988" s="0" t="n">
        <f aca="false">F3988</f>
        <v>0</v>
      </c>
      <c r="L3988" s="0" t="n">
        <f aca="false">G3988</f>
        <v>-0.75</v>
      </c>
      <c r="M3988" s="0" t="n">
        <f aca="false">H3988</f>
        <v>0.25</v>
      </c>
      <c r="N3988" s="0" t="n">
        <f aca="false">E3988*F3988</f>
        <v>0</v>
      </c>
      <c r="O3988" s="0" t="n">
        <f aca="false">E3988*G3988</f>
        <v>-0.1875</v>
      </c>
      <c r="P3988" s="0" t="n">
        <f aca="false">E3988*H3988</f>
        <v>0.0625</v>
      </c>
      <c r="Q3988" s="0" t="n">
        <f aca="false">F3988*G3988</f>
        <v>-0</v>
      </c>
      <c r="R3988" s="0" t="n">
        <f aca="false">F3988*H3988</f>
        <v>0</v>
      </c>
      <c r="S3988" s="0" t="n">
        <f aca="false">G3988*H3988</f>
        <v>-0.1875</v>
      </c>
      <c r="T3988" s="0" t="n">
        <f aca="false">E3988*E3988</f>
        <v>0.0625</v>
      </c>
      <c r="U3988" s="0" t="n">
        <f aca="false">F3988*F3988</f>
        <v>0</v>
      </c>
      <c r="V3988" s="0" t="n">
        <f aca="false">G3988*G3988</f>
        <v>0.5625</v>
      </c>
      <c r="W3988" s="0" t="n">
        <f aca="false">H3988*H3988</f>
        <v>0.0625</v>
      </c>
      <c r="X3988" s="0" t="n">
        <f aca="false">SUMPRODUCT(I3988:W3988,_XtX!$B$96:$P$96)</f>
        <v>47.2797651681286</v>
      </c>
      <c r="Y3988" s="0" t="n">
        <f aca="false">SUMPRODUCT(MMULT(I3988:W3988,_XtX!$B$78:$P$92),I3988:W3988)</f>
        <v>0.21135011193348</v>
      </c>
      <c r="Z3988" s="0" t="n">
        <f aca="false">04_回帰ANOVA!$K$19*04_回帰ANOVA!$K$14*SQRT(1+Y3988)</f>
        <v>1.43460795469709</v>
      </c>
      <c r="AA3988" s="0" t="n">
        <f aca="false">X3988-Z3988</f>
        <v>45.8451572134315</v>
      </c>
      <c r="AB3988" s="0" t="n">
        <f aca="false">X3988+Z3988</f>
        <v>48.7143731228257</v>
      </c>
      <c r="AC3988" s="54" t="b">
        <f aca="false">AND(E3988&gt;=01_因子設定!$L$5-0.000000001,E3988&lt;=01_因子設定!$M$5+0.000000001,F3988&gt;=01_因子設定!$L$6-0.000000001,F3988&lt;=01_因子設定!$M$6+0.000000001,G3988&gt;=01_因子設定!$L$7-0.000000001,G3988&lt;=01_因子設定!$M$7+0.000000001,H3988&gt;=01_因子設定!$L$8-0.000000001,H3988&lt;=01_因子設定!$M$8+0.000000001,IF(01_因子設定!$B$20="Box-Behnken",E3988^2+F3988^2+G3988^2+H3988^2&lt;=2+0.000000001,TRUE()))</f>
        <v>1</v>
      </c>
      <c r="AD3988" s="55" t="n">
        <f aca="false">IF(AC3988,IF(01_因子設定!$B$13="最大化",AA3988-01_因子設定!$B$14,IF(01_因子設定!$B$13="最小化",01_因子設定!$B$15-AB3988,MIN(AA3988-01_因子設定!$B$14,01_因子設定!$B$15-AB3988))),-1E+030)</f>
        <v>-0.654842786568487</v>
      </c>
      <c r="AE3988" s="55" t="n">
        <f aca="false">IF(AC3988,IF(01_因子設定!$B$13="最大化",X3988,IF(01_因子設定!$B$13="最小化",-X3988,-ABS(X3988-01_因子設定!$B$16))),-1E+030)</f>
        <v>47.2797651681286</v>
      </c>
      <c r="AF3988" s="55" t="n">
        <f aca="false">AD3988+ROW()*0.000000001</f>
        <v>-0.654838798568487</v>
      </c>
      <c r="AG3988" s="55" t="n">
        <f aca="false">AE3988+ROW()*0.000000001</f>
        <v>47.2797691561286</v>
      </c>
    </row>
    <row r="3989" customFormat="false" ht="15" hidden="false" customHeight="false" outlineLevel="0" collapsed="false">
      <c r="A3989" s="0" t="n">
        <v>5</v>
      </c>
      <c r="B3989" s="0" t="n">
        <v>4</v>
      </c>
      <c r="C3989" s="0" t="n">
        <v>1</v>
      </c>
      <c r="D3989" s="0" t="n">
        <v>6</v>
      </c>
      <c r="E3989" s="0" t="n">
        <f aca="false">-1+A3989*0.25</f>
        <v>0.25</v>
      </c>
      <c r="F3989" s="0" t="n">
        <f aca="false">-1+B3989*0.25</f>
        <v>0</v>
      </c>
      <c r="G3989" s="0" t="n">
        <f aca="false">-1+C3989*0.25</f>
        <v>-0.75</v>
      </c>
      <c r="H3989" s="0" t="n">
        <f aca="false">-1+D3989*0.25</f>
        <v>0.5</v>
      </c>
      <c r="I3989" s="0" t="n">
        <f aca="false">1</f>
        <v>1</v>
      </c>
      <c r="J3989" s="0" t="n">
        <f aca="false">E3989</f>
        <v>0.25</v>
      </c>
      <c r="K3989" s="0" t="n">
        <f aca="false">F3989</f>
        <v>0</v>
      </c>
      <c r="L3989" s="0" t="n">
        <f aca="false">G3989</f>
        <v>-0.75</v>
      </c>
      <c r="M3989" s="0" t="n">
        <f aca="false">H3989</f>
        <v>0.5</v>
      </c>
      <c r="N3989" s="0" t="n">
        <f aca="false">E3989*F3989</f>
        <v>0</v>
      </c>
      <c r="O3989" s="0" t="n">
        <f aca="false">E3989*G3989</f>
        <v>-0.1875</v>
      </c>
      <c r="P3989" s="0" t="n">
        <f aca="false">E3989*H3989</f>
        <v>0.125</v>
      </c>
      <c r="Q3989" s="0" t="n">
        <f aca="false">F3989*G3989</f>
        <v>-0</v>
      </c>
      <c r="R3989" s="0" t="n">
        <f aca="false">F3989*H3989</f>
        <v>0</v>
      </c>
      <c r="S3989" s="0" t="n">
        <f aca="false">G3989*H3989</f>
        <v>-0.375</v>
      </c>
      <c r="T3989" s="0" t="n">
        <f aca="false">E3989*E3989</f>
        <v>0.0625</v>
      </c>
      <c r="U3989" s="0" t="n">
        <f aca="false">F3989*F3989</f>
        <v>0</v>
      </c>
      <c r="V3989" s="0" t="n">
        <f aca="false">G3989*G3989</f>
        <v>0.5625</v>
      </c>
      <c r="W3989" s="0" t="n">
        <f aca="false">H3989*H3989</f>
        <v>0.25</v>
      </c>
      <c r="X3989" s="0" t="n">
        <f aca="false">SUMPRODUCT(I3989:W3989,_XtX!$B$96:$P$96)</f>
        <v>47.2633497807017</v>
      </c>
      <c r="Y3989" s="0" t="n">
        <f aca="false">SUMPRODUCT(MMULT(I3989:W3989,_XtX!$B$78:$P$92),I3989:W3989)</f>
        <v>0.215110734192252</v>
      </c>
      <c r="Z3989" s="0" t="n">
        <f aca="false">04_回帰ANOVA!$K$19*04_回帰ANOVA!$K$14*SQRT(1+Y3989)</f>
        <v>1.43683309086864</v>
      </c>
      <c r="AA3989" s="0" t="n">
        <f aca="false">X3989-Z3989</f>
        <v>45.8265166898331</v>
      </c>
      <c r="AB3989" s="0" t="n">
        <f aca="false">X3989+Z3989</f>
        <v>48.7001828715704</v>
      </c>
      <c r="AC3989" s="54" t="b">
        <f aca="false">AND(E3989&gt;=01_因子設定!$L$5-0.000000001,E3989&lt;=01_因子設定!$M$5+0.000000001,F3989&gt;=01_因子設定!$L$6-0.000000001,F3989&lt;=01_因子設定!$M$6+0.000000001,G3989&gt;=01_因子設定!$L$7-0.000000001,G3989&lt;=01_因子設定!$M$7+0.000000001,H3989&gt;=01_因子設定!$L$8-0.000000001,H3989&lt;=01_因子設定!$M$8+0.000000001,IF(01_因子設定!$B$20="Box-Behnken",E3989^2+F3989^2+G3989^2+H3989^2&lt;=2+0.000000001,TRUE()))</f>
        <v>1</v>
      </c>
      <c r="AD3989" s="55" t="n">
        <f aca="false">IF(AC3989,IF(01_因子設定!$B$13="最大化",AA3989-01_因子設定!$B$14,IF(01_因子設定!$B$13="最小化",01_因子設定!$B$15-AB3989,MIN(AA3989-01_因子設定!$B$14,01_因子設定!$B$15-AB3989))),-1E+030)</f>
        <v>-0.673483310166944</v>
      </c>
      <c r="AE3989" s="55" t="n">
        <f aca="false">IF(AC3989,IF(01_因子設定!$B$13="最大化",X3989,IF(01_因子設定!$B$13="最小化",-X3989,-ABS(X3989-01_因子設定!$B$16))),-1E+030)</f>
        <v>47.2633497807017</v>
      </c>
      <c r="AF3989" s="55" t="n">
        <f aca="false">AD3989+ROW()*0.000000001</f>
        <v>-0.673479321166944</v>
      </c>
      <c r="AG3989" s="55" t="n">
        <f aca="false">AE3989+ROW()*0.000000001</f>
        <v>47.2633537697017</v>
      </c>
    </row>
    <row r="3990" customFormat="false" ht="15" hidden="false" customHeight="false" outlineLevel="0" collapsed="false">
      <c r="A3990" s="0" t="n">
        <v>5</v>
      </c>
      <c r="B3990" s="0" t="n">
        <v>4</v>
      </c>
      <c r="C3990" s="0" t="n">
        <v>1</v>
      </c>
      <c r="D3990" s="0" t="n">
        <v>7</v>
      </c>
      <c r="E3990" s="0" t="n">
        <f aca="false">-1+A3990*0.25</f>
        <v>0.25</v>
      </c>
      <c r="F3990" s="0" t="n">
        <f aca="false">-1+B3990*0.25</f>
        <v>0</v>
      </c>
      <c r="G3990" s="0" t="n">
        <f aca="false">-1+C3990*0.25</f>
        <v>-0.75</v>
      </c>
      <c r="H3990" s="0" t="n">
        <f aca="false">-1+D3990*0.25</f>
        <v>0.75</v>
      </c>
      <c r="I3990" s="0" t="n">
        <f aca="false">1</f>
        <v>1</v>
      </c>
      <c r="J3990" s="0" t="n">
        <f aca="false">E3990</f>
        <v>0.25</v>
      </c>
      <c r="K3990" s="0" t="n">
        <f aca="false">F3990</f>
        <v>0</v>
      </c>
      <c r="L3990" s="0" t="n">
        <f aca="false">G3990</f>
        <v>-0.75</v>
      </c>
      <c r="M3990" s="0" t="n">
        <f aca="false">H3990</f>
        <v>0.75</v>
      </c>
      <c r="N3990" s="0" t="n">
        <f aca="false">E3990*F3990</f>
        <v>0</v>
      </c>
      <c r="O3990" s="0" t="n">
        <f aca="false">E3990*G3990</f>
        <v>-0.1875</v>
      </c>
      <c r="P3990" s="0" t="n">
        <f aca="false">E3990*H3990</f>
        <v>0.1875</v>
      </c>
      <c r="Q3990" s="0" t="n">
        <f aca="false">F3990*G3990</f>
        <v>-0</v>
      </c>
      <c r="R3990" s="0" t="n">
        <f aca="false">F3990*H3990</f>
        <v>0</v>
      </c>
      <c r="S3990" s="0" t="n">
        <f aca="false">G3990*H3990</f>
        <v>-0.5625</v>
      </c>
      <c r="T3990" s="0" t="n">
        <f aca="false">E3990*E3990</f>
        <v>0.0625</v>
      </c>
      <c r="U3990" s="0" t="n">
        <f aca="false">F3990*F3990</f>
        <v>0</v>
      </c>
      <c r="V3990" s="0" t="n">
        <f aca="false">G3990*G3990</f>
        <v>0.5625</v>
      </c>
      <c r="W3990" s="0" t="n">
        <f aca="false">H3990*H3990</f>
        <v>0.5625</v>
      </c>
      <c r="X3990" s="0" t="n">
        <f aca="false">SUMPRODUCT(I3990:W3990,_XtX!$B$96:$P$96)</f>
        <v>47.199127375731</v>
      </c>
      <c r="Y3990" s="0" t="n">
        <f aca="false">SUMPRODUCT(MMULT(I3990:W3990,_XtX!$B$78:$P$92),I3990:W3990)</f>
        <v>0.281685455500731</v>
      </c>
      <c r="Z3990" s="0" t="n">
        <f aca="false">04_回帰ANOVA!$K$19*04_回帰ANOVA!$K$14*SQRT(1+Y3990)</f>
        <v>1.47566956658694</v>
      </c>
      <c r="AA3990" s="0" t="n">
        <f aca="false">X3990-Z3990</f>
        <v>45.723457809144</v>
      </c>
      <c r="AB3990" s="0" t="n">
        <f aca="false">X3990+Z3990</f>
        <v>48.6747969423179</v>
      </c>
      <c r="AC3990" s="54" t="b">
        <f aca="false">AND(E3990&gt;=01_因子設定!$L$5-0.000000001,E3990&lt;=01_因子設定!$M$5+0.000000001,F3990&gt;=01_因子設定!$L$6-0.000000001,F3990&lt;=01_因子設定!$M$6+0.000000001,G3990&gt;=01_因子設定!$L$7-0.000000001,G3990&lt;=01_因子設定!$M$7+0.000000001,H3990&gt;=01_因子設定!$L$8-0.000000001,H3990&lt;=01_因子設定!$M$8+0.000000001,IF(01_因子設定!$B$20="Box-Behnken",E3990^2+F3990^2+G3990^2+H3990^2&lt;=2+0.000000001,TRUE()))</f>
        <v>1</v>
      </c>
      <c r="AD3990" s="55" t="n">
        <f aca="false">IF(AC3990,IF(01_因子設定!$B$13="最大化",AA3990-01_因子設定!$B$14,IF(01_因子設定!$B$13="最小化",01_因子設定!$B$15-AB3990,MIN(AA3990-01_因子設定!$B$14,01_因子設定!$B$15-AB3990))),-1E+030)</f>
        <v>-0.776542190855984</v>
      </c>
      <c r="AE3990" s="55" t="n">
        <f aca="false">IF(AC3990,IF(01_因子設定!$B$13="最大化",X3990,IF(01_因子設定!$B$13="最小化",-X3990,-ABS(X3990-01_因子設定!$B$16))),-1E+030)</f>
        <v>47.199127375731</v>
      </c>
      <c r="AF3990" s="55" t="n">
        <f aca="false">AD3990+ROW()*0.000000001</f>
        <v>-0.776538200855985</v>
      </c>
      <c r="AG3990" s="55" t="n">
        <f aca="false">AE3990+ROW()*0.000000001</f>
        <v>47.199131365731</v>
      </c>
    </row>
    <row r="3991" customFormat="false" ht="15" hidden="false" customHeight="false" outlineLevel="0" collapsed="false">
      <c r="A3991" s="0" t="n">
        <v>5</v>
      </c>
      <c r="B3991" s="0" t="n">
        <v>4</v>
      </c>
      <c r="C3991" s="0" t="n">
        <v>1</v>
      </c>
      <c r="D3991" s="0" t="n">
        <v>8</v>
      </c>
      <c r="E3991" s="0" t="n">
        <f aca="false">-1+A3991*0.25</f>
        <v>0.25</v>
      </c>
      <c r="F3991" s="0" t="n">
        <f aca="false">-1+B3991*0.25</f>
        <v>0</v>
      </c>
      <c r="G3991" s="0" t="n">
        <f aca="false">-1+C3991*0.25</f>
        <v>-0.75</v>
      </c>
      <c r="H3991" s="0" t="n">
        <f aca="false">-1+D3991*0.25</f>
        <v>1</v>
      </c>
      <c r="I3991" s="0" t="n">
        <f aca="false">1</f>
        <v>1</v>
      </c>
      <c r="J3991" s="0" t="n">
        <f aca="false">E3991</f>
        <v>0.25</v>
      </c>
      <c r="K3991" s="0" t="n">
        <f aca="false">F3991</f>
        <v>0</v>
      </c>
      <c r="L3991" s="0" t="n">
        <f aca="false">G3991</f>
        <v>-0.75</v>
      </c>
      <c r="M3991" s="0" t="n">
        <f aca="false">H3991</f>
        <v>1</v>
      </c>
      <c r="N3991" s="0" t="n">
        <f aca="false">E3991*F3991</f>
        <v>0</v>
      </c>
      <c r="O3991" s="0" t="n">
        <f aca="false">E3991*G3991</f>
        <v>-0.1875</v>
      </c>
      <c r="P3991" s="0" t="n">
        <f aca="false">E3991*H3991</f>
        <v>0.25</v>
      </c>
      <c r="Q3991" s="0" t="n">
        <f aca="false">F3991*G3991</f>
        <v>-0</v>
      </c>
      <c r="R3991" s="0" t="n">
        <f aca="false">F3991*H3991</f>
        <v>0</v>
      </c>
      <c r="S3991" s="0" t="n">
        <f aca="false">G3991*H3991</f>
        <v>-0.75</v>
      </c>
      <c r="T3991" s="0" t="n">
        <f aca="false">E3991*E3991</f>
        <v>0.0625</v>
      </c>
      <c r="U3991" s="0" t="n">
        <f aca="false">F3991*F3991</f>
        <v>0</v>
      </c>
      <c r="V3991" s="0" t="n">
        <f aca="false">G3991*G3991</f>
        <v>0.5625</v>
      </c>
      <c r="W3991" s="0" t="n">
        <f aca="false">H3991*H3991</f>
        <v>1</v>
      </c>
      <c r="X3991" s="0" t="n">
        <f aca="false">SUMPRODUCT(I3991:W3991,_XtX!$B$96:$P$96)</f>
        <v>47.0870979532164</v>
      </c>
      <c r="Y3991" s="0" t="n">
        <f aca="false">SUMPRODUCT(MMULT(I3991:W3991,_XtX!$B$78:$P$92),I3991:W3991)</f>
        <v>0.501534802174708</v>
      </c>
      <c r="Z3991" s="0" t="n">
        <f aca="false">04_回帰ANOVA!$K$19*04_回帰ANOVA!$K$14*SQRT(1+Y3991)</f>
        <v>1.59722498091333</v>
      </c>
      <c r="AA3991" s="0" t="n">
        <f aca="false">X3991-Z3991</f>
        <v>45.489872972303</v>
      </c>
      <c r="AB3991" s="0" t="n">
        <f aca="false">X3991+Z3991</f>
        <v>48.6843229341297</v>
      </c>
      <c r="AC3991" s="54" t="b">
        <f aca="false">AND(E3991&gt;=01_因子設定!$L$5-0.000000001,E3991&lt;=01_因子設定!$M$5+0.000000001,F3991&gt;=01_因子設定!$L$6-0.000000001,F3991&lt;=01_因子設定!$M$6+0.000000001,G3991&gt;=01_因子設定!$L$7-0.000000001,G3991&lt;=01_因子設定!$M$7+0.000000001,H3991&gt;=01_因子設定!$L$8-0.000000001,H3991&lt;=01_因子設定!$M$8+0.000000001,IF(01_因子設定!$B$20="Box-Behnken",E3991^2+F3991^2+G3991^2+H3991^2&lt;=2+0.000000001,TRUE()))</f>
        <v>1</v>
      </c>
      <c r="AD3991" s="55" t="n">
        <f aca="false">IF(AC3991,IF(01_因子設定!$B$13="最大化",AA3991-01_因子設定!$B$14,IF(01_因子設定!$B$13="最小化",01_因子設定!$B$15-AB3991,MIN(AA3991-01_因子設定!$B$14,01_因子設定!$B$15-AB3991))),-1E+030)</f>
        <v>-1.01012702769698</v>
      </c>
      <c r="AE3991" s="55" t="n">
        <f aca="false">IF(AC3991,IF(01_因子設定!$B$13="最大化",X3991,IF(01_因子設定!$B$13="最小化",-X3991,-ABS(X3991-01_因子設定!$B$16))),-1E+030)</f>
        <v>47.0870979532164</v>
      </c>
      <c r="AF3991" s="55" t="n">
        <f aca="false">AD3991+ROW()*0.000000001</f>
        <v>-1.01012303669698</v>
      </c>
      <c r="AG3991" s="55" t="n">
        <f aca="false">AE3991+ROW()*0.000000001</f>
        <v>47.0871019442164</v>
      </c>
    </row>
    <row r="3992" customFormat="false" ht="15" hidden="false" customHeight="false" outlineLevel="0" collapsed="false">
      <c r="A3992" s="0" t="n">
        <v>5</v>
      </c>
      <c r="B3992" s="0" t="n">
        <v>4</v>
      </c>
      <c r="C3992" s="0" t="n">
        <v>2</v>
      </c>
      <c r="D3992" s="0" t="n">
        <v>0</v>
      </c>
      <c r="E3992" s="0" t="n">
        <f aca="false">-1+A3992*0.25</f>
        <v>0.25</v>
      </c>
      <c r="F3992" s="0" t="n">
        <f aca="false">-1+B3992*0.25</f>
        <v>0</v>
      </c>
      <c r="G3992" s="0" t="n">
        <f aca="false">-1+C3992*0.25</f>
        <v>-0.5</v>
      </c>
      <c r="H3992" s="0" t="n">
        <f aca="false">-1+D3992*0.25</f>
        <v>-1</v>
      </c>
      <c r="I3992" s="0" t="n">
        <f aca="false">1</f>
        <v>1</v>
      </c>
      <c r="J3992" s="0" t="n">
        <f aca="false">E3992</f>
        <v>0.25</v>
      </c>
      <c r="K3992" s="0" t="n">
        <f aca="false">F3992</f>
        <v>0</v>
      </c>
      <c r="L3992" s="0" t="n">
        <f aca="false">G3992</f>
        <v>-0.5</v>
      </c>
      <c r="M3992" s="0" t="n">
        <f aca="false">H3992</f>
        <v>-1</v>
      </c>
      <c r="N3992" s="0" t="n">
        <f aca="false">E3992*F3992</f>
        <v>0</v>
      </c>
      <c r="O3992" s="0" t="n">
        <f aca="false">E3992*G3992</f>
        <v>-0.125</v>
      </c>
      <c r="P3992" s="0" t="n">
        <f aca="false">E3992*H3992</f>
        <v>-0.25</v>
      </c>
      <c r="Q3992" s="0" t="n">
        <f aca="false">F3992*G3992</f>
        <v>-0</v>
      </c>
      <c r="R3992" s="0" t="n">
        <f aca="false">F3992*H3992</f>
        <v>-0</v>
      </c>
      <c r="S3992" s="0" t="n">
        <f aca="false">G3992*H3992</f>
        <v>0.5</v>
      </c>
      <c r="T3992" s="0" t="n">
        <f aca="false">E3992*E3992</f>
        <v>0.0625</v>
      </c>
      <c r="U3992" s="0" t="n">
        <f aca="false">F3992*F3992</f>
        <v>0</v>
      </c>
      <c r="V3992" s="0" t="n">
        <f aca="false">G3992*G3992</f>
        <v>0.25</v>
      </c>
      <c r="W3992" s="0" t="n">
        <f aca="false">H3992*H3992</f>
        <v>1</v>
      </c>
      <c r="X3992" s="0" t="n">
        <f aca="false">SUMPRODUCT(I3992:W3992,_XtX!$B$96:$P$96)</f>
        <v>46.9913377192982</v>
      </c>
      <c r="Y3992" s="0" t="n">
        <f aca="false">SUMPRODUCT(MMULT(I3992:W3992,_XtX!$B$78:$P$92),I3992:W3992)</f>
        <v>0.457596628289474</v>
      </c>
      <c r="Z3992" s="0" t="n">
        <f aca="false">04_回帰ANOVA!$K$19*04_回帰ANOVA!$K$14*SQRT(1+Y3992)</f>
        <v>1.57368233664366</v>
      </c>
      <c r="AA3992" s="0" t="n">
        <f aca="false">X3992-Z3992</f>
        <v>45.4176553826546</v>
      </c>
      <c r="AB3992" s="0" t="n">
        <f aca="false">X3992+Z3992</f>
        <v>48.5650200559419</v>
      </c>
      <c r="AC3992" s="54" t="b">
        <f aca="false">AND(E3992&gt;=01_因子設定!$L$5-0.000000001,E3992&lt;=01_因子設定!$M$5+0.000000001,F3992&gt;=01_因子設定!$L$6-0.000000001,F3992&lt;=01_因子設定!$M$6+0.000000001,G3992&gt;=01_因子設定!$L$7-0.000000001,G3992&lt;=01_因子設定!$M$7+0.000000001,H3992&gt;=01_因子設定!$L$8-0.000000001,H3992&lt;=01_因子設定!$M$8+0.000000001,IF(01_因子設定!$B$20="Box-Behnken",E3992^2+F3992^2+G3992^2+H3992^2&lt;=2+0.000000001,TRUE()))</f>
        <v>1</v>
      </c>
      <c r="AD3992" s="55" t="n">
        <f aca="false">IF(AC3992,IF(01_因子設定!$B$13="最大化",AA3992-01_因子設定!$B$14,IF(01_因子設定!$B$13="最小化",01_因子設定!$B$15-AB3992,MIN(AA3992-01_因子設定!$B$14,01_因子設定!$B$15-AB3992))),-1E+030)</f>
        <v>-1.08234461734543</v>
      </c>
      <c r="AE3992" s="55" t="n">
        <f aca="false">IF(AC3992,IF(01_因子設定!$B$13="最大化",X3992,IF(01_因子設定!$B$13="最小化",-X3992,-ABS(X3992-01_因子設定!$B$16))),-1E+030)</f>
        <v>46.9913377192982</v>
      </c>
      <c r="AF3992" s="55" t="n">
        <f aca="false">AD3992+ROW()*0.000000001</f>
        <v>-1.08234062534543</v>
      </c>
      <c r="AG3992" s="55" t="n">
        <f aca="false">AE3992+ROW()*0.000000001</f>
        <v>46.9913417112982</v>
      </c>
    </row>
    <row r="3993" customFormat="false" ht="15" hidden="false" customHeight="false" outlineLevel="0" collapsed="false">
      <c r="A3993" s="0" t="n">
        <v>5</v>
      </c>
      <c r="B3993" s="0" t="n">
        <v>4</v>
      </c>
      <c r="C3993" s="0" t="n">
        <v>2</v>
      </c>
      <c r="D3993" s="0" t="n">
        <v>1</v>
      </c>
      <c r="E3993" s="0" t="n">
        <f aca="false">-1+A3993*0.25</f>
        <v>0.25</v>
      </c>
      <c r="F3993" s="0" t="n">
        <f aca="false">-1+B3993*0.25</f>
        <v>0</v>
      </c>
      <c r="G3993" s="0" t="n">
        <f aca="false">-1+C3993*0.25</f>
        <v>-0.5</v>
      </c>
      <c r="H3993" s="0" t="n">
        <f aca="false">-1+D3993*0.25</f>
        <v>-0.75</v>
      </c>
      <c r="I3993" s="0" t="n">
        <f aca="false">1</f>
        <v>1</v>
      </c>
      <c r="J3993" s="0" t="n">
        <f aca="false">E3993</f>
        <v>0.25</v>
      </c>
      <c r="K3993" s="0" t="n">
        <f aca="false">F3993</f>
        <v>0</v>
      </c>
      <c r="L3993" s="0" t="n">
        <f aca="false">G3993</f>
        <v>-0.5</v>
      </c>
      <c r="M3993" s="0" t="n">
        <f aca="false">H3993</f>
        <v>-0.75</v>
      </c>
      <c r="N3993" s="0" t="n">
        <f aca="false">E3993*F3993</f>
        <v>0</v>
      </c>
      <c r="O3993" s="0" t="n">
        <f aca="false">E3993*G3993</f>
        <v>-0.125</v>
      </c>
      <c r="P3993" s="0" t="n">
        <f aca="false">E3993*H3993</f>
        <v>-0.1875</v>
      </c>
      <c r="Q3993" s="0" t="n">
        <f aca="false">F3993*G3993</f>
        <v>-0</v>
      </c>
      <c r="R3993" s="0" t="n">
        <f aca="false">F3993*H3993</f>
        <v>-0</v>
      </c>
      <c r="S3993" s="0" t="n">
        <f aca="false">G3993*H3993</f>
        <v>0.375</v>
      </c>
      <c r="T3993" s="0" t="n">
        <f aca="false">E3993*E3993</f>
        <v>0.0625</v>
      </c>
      <c r="U3993" s="0" t="n">
        <f aca="false">F3993*F3993</f>
        <v>0</v>
      </c>
      <c r="V3993" s="0" t="n">
        <f aca="false">G3993*G3993</f>
        <v>0.25</v>
      </c>
      <c r="W3993" s="0" t="n">
        <f aca="false">H3993*H3993</f>
        <v>0.5625</v>
      </c>
      <c r="X3993" s="0" t="n">
        <f aca="false">SUMPRODUCT(I3993:W3993,_XtX!$B$96:$P$96)</f>
        <v>47.2319261695906</v>
      </c>
      <c r="Y3993" s="0" t="n">
        <f aca="false">SUMPRODUCT(MMULT(I3993:W3993,_XtX!$B$78:$P$92),I3993:W3993)</f>
        <v>0.215110734192252</v>
      </c>
      <c r="Z3993" s="0" t="n">
        <f aca="false">04_回帰ANOVA!$K$19*04_回帰ANOVA!$K$14*SQRT(1+Y3993)</f>
        <v>1.43683309086864</v>
      </c>
      <c r="AA3993" s="0" t="n">
        <f aca="false">X3993-Z3993</f>
        <v>45.795093078722</v>
      </c>
      <c r="AB3993" s="0" t="n">
        <f aca="false">X3993+Z3993</f>
        <v>48.6687592604593</v>
      </c>
      <c r="AC3993" s="54" t="b">
        <f aca="false">AND(E3993&gt;=01_因子設定!$L$5-0.000000001,E3993&lt;=01_因子設定!$M$5+0.000000001,F3993&gt;=01_因子設定!$L$6-0.000000001,F3993&lt;=01_因子設定!$M$6+0.000000001,G3993&gt;=01_因子設定!$L$7-0.000000001,G3993&lt;=01_因子設定!$M$7+0.000000001,H3993&gt;=01_因子設定!$L$8-0.000000001,H3993&lt;=01_因子設定!$M$8+0.000000001,IF(01_因子設定!$B$20="Box-Behnken",E3993^2+F3993^2+G3993^2+H3993^2&lt;=2+0.000000001,TRUE()))</f>
        <v>1</v>
      </c>
      <c r="AD3993" s="55" t="n">
        <f aca="false">IF(AC3993,IF(01_因子設定!$B$13="最大化",AA3993-01_因子設定!$B$14,IF(01_因子設定!$B$13="最小化",01_因子設定!$B$15-AB3993,MIN(AA3993-01_因子設定!$B$14,01_因子設定!$B$15-AB3993))),-1E+030)</f>
        <v>-0.704906921278038</v>
      </c>
      <c r="AE3993" s="55" t="n">
        <f aca="false">IF(AC3993,IF(01_因子設定!$B$13="最大化",X3993,IF(01_因子設定!$B$13="最小化",-X3993,-ABS(X3993-01_因子設定!$B$16))),-1E+030)</f>
        <v>47.2319261695906</v>
      </c>
      <c r="AF3993" s="55" t="n">
        <f aca="false">AD3993+ROW()*0.000000001</f>
        <v>-0.704902928278038</v>
      </c>
      <c r="AG3993" s="55" t="n">
        <f aca="false">AE3993+ROW()*0.000000001</f>
        <v>47.2319301625906</v>
      </c>
    </row>
    <row r="3994" customFormat="false" ht="15" hidden="false" customHeight="false" outlineLevel="0" collapsed="false">
      <c r="A3994" s="0" t="n">
        <v>5</v>
      </c>
      <c r="B3994" s="0" t="n">
        <v>4</v>
      </c>
      <c r="C3994" s="0" t="n">
        <v>2</v>
      </c>
      <c r="D3994" s="0" t="n">
        <v>2</v>
      </c>
      <c r="E3994" s="0" t="n">
        <f aca="false">-1+A3994*0.25</f>
        <v>0.25</v>
      </c>
      <c r="F3994" s="0" t="n">
        <f aca="false">-1+B3994*0.25</f>
        <v>0</v>
      </c>
      <c r="G3994" s="0" t="n">
        <f aca="false">-1+C3994*0.25</f>
        <v>-0.5</v>
      </c>
      <c r="H3994" s="0" t="n">
        <f aca="false">-1+D3994*0.25</f>
        <v>-0.5</v>
      </c>
      <c r="I3994" s="0" t="n">
        <f aca="false">1</f>
        <v>1</v>
      </c>
      <c r="J3994" s="0" t="n">
        <f aca="false">E3994</f>
        <v>0.25</v>
      </c>
      <c r="K3994" s="0" t="n">
        <f aca="false">F3994</f>
        <v>0</v>
      </c>
      <c r="L3994" s="0" t="n">
        <f aca="false">G3994</f>
        <v>-0.5</v>
      </c>
      <c r="M3994" s="0" t="n">
        <f aca="false">H3994</f>
        <v>-0.5</v>
      </c>
      <c r="N3994" s="0" t="n">
        <f aca="false">E3994*F3994</f>
        <v>0</v>
      </c>
      <c r="O3994" s="0" t="n">
        <f aca="false">E3994*G3994</f>
        <v>-0.125</v>
      </c>
      <c r="P3994" s="0" t="n">
        <f aca="false">E3994*H3994</f>
        <v>-0.125</v>
      </c>
      <c r="Q3994" s="0" t="n">
        <f aca="false">F3994*G3994</f>
        <v>-0</v>
      </c>
      <c r="R3994" s="0" t="n">
        <f aca="false">F3994*H3994</f>
        <v>-0</v>
      </c>
      <c r="S3994" s="0" t="n">
        <f aca="false">G3994*H3994</f>
        <v>0.25</v>
      </c>
      <c r="T3994" s="0" t="n">
        <f aca="false">E3994*E3994</f>
        <v>0.0625</v>
      </c>
      <c r="U3994" s="0" t="n">
        <f aca="false">F3994*F3994</f>
        <v>0</v>
      </c>
      <c r="V3994" s="0" t="n">
        <f aca="false">G3994*G3994</f>
        <v>0.25</v>
      </c>
      <c r="W3994" s="0" t="n">
        <f aca="false">H3994*H3994</f>
        <v>0.25</v>
      </c>
      <c r="X3994" s="0" t="n">
        <f aca="false">SUMPRODUCT(I3994:W3994,_XtX!$B$96:$P$96)</f>
        <v>47.4247076023391</v>
      </c>
      <c r="Y3994" s="0" t="n">
        <f aca="false">SUMPRODUCT(MMULT(I3994:W3994,_XtX!$B$78:$P$92),I3994:W3994)</f>
        <v>0.132367050438597</v>
      </c>
      <c r="Z3994" s="0" t="n">
        <f aca="false">04_回帰ANOVA!$K$19*04_回帰ANOVA!$K$14*SQRT(1+Y3994)</f>
        <v>1.38704964208329</v>
      </c>
      <c r="AA3994" s="0" t="n">
        <f aca="false">X3994-Z3994</f>
        <v>46.0376579602558</v>
      </c>
      <c r="AB3994" s="0" t="n">
        <f aca="false">X3994+Z3994</f>
        <v>48.8117572444224</v>
      </c>
      <c r="AC3994" s="54" t="b">
        <f aca="false">AND(E3994&gt;=01_因子設定!$L$5-0.000000001,E3994&lt;=01_因子設定!$M$5+0.000000001,F3994&gt;=01_因子設定!$L$6-0.000000001,F3994&lt;=01_因子設定!$M$6+0.000000001,G3994&gt;=01_因子設定!$L$7-0.000000001,G3994&lt;=01_因子設定!$M$7+0.000000001,H3994&gt;=01_因子設定!$L$8-0.000000001,H3994&lt;=01_因子設定!$M$8+0.000000001,IF(01_因子設定!$B$20="Box-Behnken",E3994^2+F3994^2+G3994^2+H3994^2&lt;=2+0.000000001,TRUE()))</f>
        <v>1</v>
      </c>
      <c r="AD3994" s="55" t="n">
        <f aca="false">IF(AC3994,IF(01_因子設定!$B$13="最大化",AA3994-01_因子設定!$B$14,IF(01_因子設定!$B$13="最小化",01_因子設定!$B$15-AB3994,MIN(AA3994-01_因子設定!$B$14,01_因子設定!$B$15-AB3994))),-1E+030)</f>
        <v>-0.462342039744158</v>
      </c>
      <c r="AE3994" s="55" t="n">
        <f aca="false">IF(AC3994,IF(01_因子設定!$B$13="最大化",X3994,IF(01_因子設定!$B$13="最小化",-X3994,-ABS(X3994-01_因子設定!$B$16))),-1E+030)</f>
        <v>47.4247076023391</v>
      </c>
      <c r="AF3994" s="55" t="n">
        <f aca="false">AD3994+ROW()*0.000000001</f>
        <v>-0.462338045744158</v>
      </c>
      <c r="AG3994" s="55" t="n">
        <f aca="false">AE3994+ROW()*0.000000001</f>
        <v>47.4247115963391</v>
      </c>
    </row>
    <row r="3995" customFormat="false" ht="15" hidden="false" customHeight="false" outlineLevel="0" collapsed="false">
      <c r="A3995" s="0" t="n">
        <v>5</v>
      </c>
      <c r="B3995" s="0" t="n">
        <v>4</v>
      </c>
      <c r="C3995" s="0" t="n">
        <v>2</v>
      </c>
      <c r="D3995" s="0" t="n">
        <v>3</v>
      </c>
      <c r="E3995" s="0" t="n">
        <f aca="false">-1+A3995*0.25</f>
        <v>0.25</v>
      </c>
      <c r="F3995" s="0" t="n">
        <f aca="false">-1+B3995*0.25</f>
        <v>0</v>
      </c>
      <c r="G3995" s="0" t="n">
        <f aca="false">-1+C3995*0.25</f>
        <v>-0.5</v>
      </c>
      <c r="H3995" s="0" t="n">
        <f aca="false">-1+D3995*0.25</f>
        <v>-0.25</v>
      </c>
      <c r="I3995" s="0" t="n">
        <f aca="false">1</f>
        <v>1</v>
      </c>
      <c r="J3995" s="0" t="n">
        <f aca="false">E3995</f>
        <v>0.25</v>
      </c>
      <c r="K3995" s="0" t="n">
        <f aca="false">F3995</f>
        <v>0</v>
      </c>
      <c r="L3995" s="0" t="n">
        <f aca="false">G3995</f>
        <v>-0.5</v>
      </c>
      <c r="M3995" s="0" t="n">
        <f aca="false">H3995</f>
        <v>-0.25</v>
      </c>
      <c r="N3995" s="0" t="n">
        <f aca="false">E3995*F3995</f>
        <v>0</v>
      </c>
      <c r="O3995" s="0" t="n">
        <f aca="false">E3995*G3995</f>
        <v>-0.125</v>
      </c>
      <c r="P3995" s="0" t="n">
        <f aca="false">E3995*H3995</f>
        <v>-0.0625</v>
      </c>
      <c r="Q3995" s="0" t="n">
        <f aca="false">F3995*G3995</f>
        <v>-0</v>
      </c>
      <c r="R3995" s="0" t="n">
        <f aca="false">F3995*H3995</f>
        <v>-0</v>
      </c>
      <c r="S3995" s="0" t="n">
        <f aca="false">G3995*H3995</f>
        <v>0.125</v>
      </c>
      <c r="T3995" s="0" t="n">
        <f aca="false">E3995*E3995</f>
        <v>0.0625</v>
      </c>
      <c r="U3995" s="0" t="n">
        <f aca="false">F3995*F3995</f>
        <v>0</v>
      </c>
      <c r="V3995" s="0" t="n">
        <f aca="false">G3995*G3995</f>
        <v>0.25</v>
      </c>
      <c r="W3995" s="0" t="n">
        <f aca="false">H3995*H3995</f>
        <v>0.0625</v>
      </c>
      <c r="X3995" s="0" t="n">
        <f aca="false">SUMPRODUCT(I3995:W3995,_XtX!$B$96:$P$96)</f>
        <v>47.5696820175438</v>
      </c>
      <c r="Y3995" s="0" t="n">
        <f aca="false">SUMPRODUCT(MMULT(I3995:W3995,_XtX!$B$78:$P$92),I3995:W3995)</f>
        <v>0.118905050712719</v>
      </c>
      <c r="Z3995" s="0" t="n">
        <f aca="false">04_回帰ANOVA!$K$19*04_回帰ANOVA!$K$14*SQRT(1+Y3995)</f>
        <v>1.37878011033769</v>
      </c>
      <c r="AA3995" s="0" t="n">
        <f aca="false">X3995-Z3995</f>
        <v>46.1909019072061</v>
      </c>
      <c r="AB3995" s="0" t="n">
        <f aca="false">X3995+Z3995</f>
        <v>48.9484621278815</v>
      </c>
      <c r="AC3995" s="54" t="b">
        <f aca="false">AND(E3995&gt;=01_因子設定!$L$5-0.000000001,E3995&lt;=01_因子設定!$M$5+0.000000001,F3995&gt;=01_因子設定!$L$6-0.000000001,F3995&lt;=01_因子設定!$M$6+0.000000001,G3995&gt;=01_因子設定!$L$7-0.000000001,G3995&lt;=01_因子設定!$M$7+0.000000001,H3995&gt;=01_因子設定!$L$8-0.000000001,H3995&lt;=01_因子設定!$M$8+0.000000001,IF(01_因子設定!$B$20="Box-Behnken",E3995^2+F3995^2+G3995^2+H3995^2&lt;=2+0.000000001,TRUE()))</f>
        <v>1</v>
      </c>
      <c r="AD3995" s="55" t="n">
        <f aca="false">IF(AC3995,IF(01_因子設定!$B$13="最大化",AA3995-01_因子設定!$B$14,IF(01_因子設定!$B$13="最小化",01_因子設定!$B$15-AB3995,MIN(AA3995-01_因子設定!$B$14,01_因子設定!$B$15-AB3995))),-1E+030)</f>
        <v>-0.309098092793882</v>
      </c>
      <c r="AE3995" s="55" t="n">
        <f aca="false">IF(AC3995,IF(01_因子設定!$B$13="最大化",X3995,IF(01_因子設定!$B$13="最小化",-X3995,-ABS(X3995-01_因子設定!$B$16))),-1E+030)</f>
        <v>47.5696820175438</v>
      </c>
      <c r="AF3995" s="55" t="n">
        <f aca="false">AD3995+ROW()*0.000000001</f>
        <v>-0.309094097793882</v>
      </c>
      <c r="AG3995" s="55" t="n">
        <f aca="false">AE3995+ROW()*0.000000001</f>
        <v>47.5696860125438</v>
      </c>
    </row>
    <row r="3996" customFormat="false" ht="15" hidden="false" customHeight="false" outlineLevel="0" collapsed="false">
      <c r="A3996" s="0" t="n">
        <v>5</v>
      </c>
      <c r="B3996" s="0" t="n">
        <v>4</v>
      </c>
      <c r="C3996" s="0" t="n">
        <v>2</v>
      </c>
      <c r="D3996" s="0" t="n">
        <v>4</v>
      </c>
      <c r="E3996" s="0" t="n">
        <f aca="false">-1+A3996*0.25</f>
        <v>0.25</v>
      </c>
      <c r="F3996" s="0" t="n">
        <f aca="false">-1+B3996*0.25</f>
        <v>0</v>
      </c>
      <c r="G3996" s="0" t="n">
        <f aca="false">-1+C3996*0.25</f>
        <v>-0.5</v>
      </c>
      <c r="H3996" s="0" t="n">
        <f aca="false">-1+D3996*0.25</f>
        <v>0</v>
      </c>
      <c r="I3996" s="0" t="n">
        <f aca="false">1</f>
        <v>1</v>
      </c>
      <c r="J3996" s="0" t="n">
        <f aca="false">E3996</f>
        <v>0.25</v>
      </c>
      <c r="K3996" s="0" t="n">
        <f aca="false">F3996</f>
        <v>0</v>
      </c>
      <c r="L3996" s="0" t="n">
        <f aca="false">G3996</f>
        <v>-0.5</v>
      </c>
      <c r="M3996" s="0" t="n">
        <f aca="false">H3996</f>
        <v>0</v>
      </c>
      <c r="N3996" s="0" t="n">
        <f aca="false">E3996*F3996</f>
        <v>0</v>
      </c>
      <c r="O3996" s="0" t="n">
        <f aca="false">E3996*G3996</f>
        <v>-0.125</v>
      </c>
      <c r="P3996" s="0" t="n">
        <f aca="false">E3996*H3996</f>
        <v>0</v>
      </c>
      <c r="Q3996" s="0" t="n">
        <f aca="false">F3996*G3996</f>
        <v>-0</v>
      </c>
      <c r="R3996" s="0" t="n">
        <f aca="false">F3996*H3996</f>
        <v>0</v>
      </c>
      <c r="S3996" s="0" t="n">
        <f aca="false">G3996*H3996</f>
        <v>-0</v>
      </c>
      <c r="T3996" s="0" t="n">
        <f aca="false">E3996*E3996</f>
        <v>0.0625</v>
      </c>
      <c r="U3996" s="0" t="n">
        <f aca="false">F3996*F3996</f>
        <v>0</v>
      </c>
      <c r="V3996" s="0" t="n">
        <f aca="false">G3996*G3996</f>
        <v>0.25</v>
      </c>
      <c r="W3996" s="0" t="n">
        <f aca="false">H3996*H3996</f>
        <v>0</v>
      </c>
      <c r="X3996" s="0" t="n">
        <f aca="false">SUMPRODUCT(I3996:W3996,_XtX!$B$96:$P$96)</f>
        <v>47.6668494152046</v>
      </c>
      <c r="Y3996" s="0" t="n">
        <f aca="false">SUMPRODUCT(MMULT(I3996:W3996,_XtX!$B$78:$P$92),I3996:W3996)</f>
        <v>0.120448419225146</v>
      </c>
      <c r="Z3996" s="0" t="n">
        <f aca="false">04_回帰ANOVA!$K$19*04_回帰ANOVA!$K$14*SQRT(1+Y3996)</f>
        <v>1.37973069703246</v>
      </c>
      <c r="AA3996" s="0" t="n">
        <f aca="false">X3996-Z3996</f>
        <v>46.2871187181722</v>
      </c>
      <c r="AB3996" s="0" t="n">
        <f aca="false">X3996+Z3996</f>
        <v>49.0465801122371</v>
      </c>
      <c r="AC3996" s="54" t="b">
        <f aca="false">AND(E3996&gt;=01_因子設定!$L$5-0.000000001,E3996&lt;=01_因子設定!$M$5+0.000000001,F3996&gt;=01_因子設定!$L$6-0.000000001,F3996&lt;=01_因子設定!$M$6+0.000000001,G3996&gt;=01_因子設定!$L$7-0.000000001,G3996&lt;=01_因子設定!$M$7+0.000000001,H3996&gt;=01_因子設定!$L$8-0.000000001,H3996&lt;=01_因子設定!$M$8+0.000000001,IF(01_因子設定!$B$20="Box-Behnken",E3996^2+F3996^2+G3996^2+H3996^2&lt;=2+0.000000001,TRUE()))</f>
        <v>1</v>
      </c>
      <c r="AD3996" s="55" t="n">
        <f aca="false">IF(AC3996,IF(01_因子設定!$B$13="最大化",AA3996-01_因子設定!$B$14,IF(01_因子設定!$B$13="最小化",01_因子設定!$B$15-AB3996,MIN(AA3996-01_因子設定!$B$14,01_因子設定!$B$15-AB3996))),-1E+030)</f>
        <v>-0.212881281827848</v>
      </c>
      <c r="AE3996" s="55" t="n">
        <f aca="false">IF(AC3996,IF(01_因子設定!$B$13="最大化",X3996,IF(01_因子設定!$B$13="最小化",-X3996,-ABS(X3996-01_因子設定!$B$16))),-1E+030)</f>
        <v>47.6668494152046</v>
      </c>
      <c r="AF3996" s="55" t="n">
        <f aca="false">AD3996+ROW()*0.000000001</f>
        <v>-0.212877285827848</v>
      </c>
      <c r="AG3996" s="55" t="n">
        <f aca="false">AE3996+ROW()*0.000000001</f>
        <v>47.6668534112046</v>
      </c>
    </row>
    <row r="3997" customFormat="false" ht="15" hidden="false" customHeight="false" outlineLevel="0" collapsed="false">
      <c r="A3997" s="0" t="n">
        <v>5</v>
      </c>
      <c r="B3997" s="0" t="n">
        <v>4</v>
      </c>
      <c r="C3997" s="0" t="n">
        <v>2</v>
      </c>
      <c r="D3997" s="0" t="n">
        <v>5</v>
      </c>
      <c r="E3997" s="0" t="n">
        <f aca="false">-1+A3997*0.25</f>
        <v>0.25</v>
      </c>
      <c r="F3997" s="0" t="n">
        <f aca="false">-1+B3997*0.25</f>
        <v>0</v>
      </c>
      <c r="G3997" s="0" t="n">
        <f aca="false">-1+C3997*0.25</f>
        <v>-0.5</v>
      </c>
      <c r="H3997" s="0" t="n">
        <f aca="false">-1+D3997*0.25</f>
        <v>0.25</v>
      </c>
      <c r="I3997" s="0" t="n">
        <f aca="false">1</f>
        <v>1</v>
      </c>
      <c r="J3997" s="0" t="n">
        <f aca="false">E3997</f>
        <v>0.25</v>
      </c>
      <c r="K3997" s="0" t="n">
        <f aca="false">F3997</f>
        <v>0</v>
      </c>
      <c r="L3997" s="0" t="n">
        <f aca="false">G3997</f>
        <v>-0.5</v>
      </c>
      <c r="M3997" s="0" t="n">
        <f aca="false">H3997</f>
        <v>0.25</v>
      </c>
      <c r="N3997" s="0" t="n">
        <f aca="false">E3997*F3997</f>
        <v>0</v>
      </c>
      <c r="O3997" s="0" t="n">
        <f aca="false">E3997*G3997</f>
        <v>-0.125</v>
      </c>
      <c r="P3997" s="0" t="n">
        <f aca="false">E3997*H3997</f>
        <v>0.0625</v>
      </c>
      <c r="Q3997" s="0" t="n">
        <f aca="false">F3997*G3997</f>
        <v>-0</v>
      </c>
      <c r="R3997" s="0" t="n">
        <f aca="false">F3997*H3997</f>
        <v>0</v>
      </c>
      <c r="S3997" s="0" t="n">
        <f aca="false">G3997*H3997</f>
        <v>-0.125</v>
      </c>
      <c r="T3997" s="0" t="n">
        <f aca="false">E3997*E3997</f>
        <v>0.0625</v>
      </c>
      <c r="U3997" s="0" t="n">
        <f aca="false">F3997*F3997</f>
        <v>0</v>
      </c>
      <c r="V3997" s="0" t="n">
        <f aca="false">G3997*G3997</f>
        <v>0.25</v>
      </c>
      <c r="W3997" s="0" t="n">
        <f aca="false">H3997*H3997</f>
        <v>0.0625</v>
      </c>
      <c r="X3997" s="0" t="n">
        <f aca="false">SUMPRODUCT(I3997:W3997,_XtX!$B$96:$P$96)</f>
        <v>47.7162097953216</v>
      </c>
      <c r="Y3997" s="0" t="n">
        <f aca="false">SUMPRODUCT(MMULT(I3997:W3997,_XtX!$B$78:$P$92),I3997:W3997)</f>
        <v>0.118905050712719</v>
      </c>
      <c r="Z3997" s="0" t="n">
        <f aca="false">04_回帰ANOVA!$K$19*04_回帰ANOVA!$K$14*SQRT(1+Y3997)</f>
        <v>1.37878011033769</v>
      </c>
      <c r="AA3997" s="0" t="n">
        <f aca="false">X3997-Z3997</f>
        <v>46.3374296849839</v>
      </c>
      <c r="AB3997" s="0" t="n">
        <f aca="false">X3997+Z3997</f>
        <v>49.0949899056593</v>
      </c>
      <c r="AC3997" s="54" t="b">
        <f aca="false">AND(E3997&gt;=01_因子設定!$L$5-0.000000001,E3997&lt;=01_因子設定!$M$5+0.000000001,F3997&gt;=01_因子設定!$L$6-0.000000001,F3997&lt;=01_因子設定!$M$6+0.000000001,G3997&gt;=01_因子設定!$L$7-0.000000001,G3997&lt;=01_因子設定!$M$7+0.000000001,H3997&gt;=01_因子設定!$L$8-0.000000001,H3997&lt;=01_因子設定!$M$8+0.000000001,IF(01_因子設定!$B$20="Box-Behnken",E3997^2+F3997^2+G3997^2+H3997^2&lt;=2+0.000000001,TRUE()))</f>
        <v>1</v>
      </c>
      <c r="AD3997" s="55" t="n">
        <f aca="false">IF(AC3997,IF(01_因子設定!$B$13="最大化",AA3997-01_因子設定!$B$14,IF(01_因子設定!$B$13="最小化",01_因子設定!$B$15-AB3997,MIN(AA3997-01_因子設定!$B$14,01_因子設定!$B$15-AB3997))),-1E+030)</f>
        <v>-0.162570315016104</v>
      </c>
      <c r="AE3997" s="55" t="n">
        <f aca="false">IF(AC3997,IF(01_因子設定!$B$13="最大化",X3997,IF(01_因子設定!$B$13="最小化",-X3997,-ABS(X3997-01_因子設定!$B$16))),-1E+030)</f>
        <v>47.7162097953216</v>
      </c>
      <c r="AF3997" s="55" t="n">
        <f aca="false">AD3997+ROW()*0.000000001</f>
        <v>-0.162566318016104</v>
      </c>
      <c r="AG3997" s="55" t="n">
        <f aca="false">AE3997+ROW()*0.000000001</f>
        <v>47.7162137923216</v>
      </c>
    </row>
    <row r="3998" customFormat="false" ht="15" hidden="false" customHeight="false" outlineLevel="0" collapsed="false">
      <c r="A3998" s="0" t="n">
        <v>5</v>
      </c>
      <c r="B3998" s="0" t="n">
        <v>4</v>
      </c>
      <c r="C3998" s="0" t="n">
        <v>2</v>
      </c>
      <c r="D3998" s="0" t="n">
        <v>6</v>
      </c>
      <c r="E3998" s="0" t="n">
        <f aca="false">-1+A3998*0.25</f>
        <v>0.25</v>
      </c>
      <c r="F3998" s="0" t="n">
        <f aca="false">-1+B3998*0.25</f>
        <v>0</v>
      </c>
      <c r="G3998" s="0" t="n">
        <f aca="false">-1+C3998*0.25</f>
        <v>-0.5</v>
      </c>
      <c r="H3998" s="0" t="n">
        <f aca="false">-1+D3998*0.25</f>
        <v>0.5</v>
      </c>
      <c r="I3998" s="0" t="n">
        <f aca="false">1</f>
        <v>1</v>
      </c>
      <c r="J3998" s="0" t="n">
        <f aca="false">E3998</f>
        <v>0.25</v>
      </c>
      <c r="K3998" s="0" t="n">
        <f aca="false">F3998</f>
        <v>0</v>
      </c>
      <c r="L3998" s="0" t="n">
        <f aca="false">G3998</f>
        <v>-0.5</v>
      </c>
      <c r="M3998" s="0" t="n">
        <f aca="false">H3998</f>
        <v>0.5</v>
      </c>
      <c r="N3998" s="0" t="n">
        <f aca="false">E3998*F3998</f>
        <v>0</v>
      </c>
      <c r="O3998" s="0" t="n">
        <f aca="false">E3998*G3998</f>
        <v>-0.125</v>
      </c>
      <c r="P3998" s="0" t="n">
        <f aca="false">E3998*H3998</f>
        <v>0.125</v>
      </c>
      <c r="Q3998" s="0" t="n">
        <f aca="false">F3998*G3998</f>
        <v>-0</v>
      </c>
      <c r="R3998" s="0" t="n">
        <f aca="false">F3998*H3998</f>
        <v>0</v>
      </c>
      <c r="S3998" s="0" t="n">
        <f aca="false">G3998*H3998</f>
        <v>-0.25</v>
      </c>
      <c r="T3998" s="0" t="n">
        <f aca="false">E3998*E3998</f>
        <v>0.0625</v>
      </c>
      <c r="U3998" s="0" t="n">
        <f aca="false">F3998*F3998</f>
        <v>0</v>
      </c>
      <c r="V3998" s="0" t="n">
        <f aca="false">G3998*G3998</f>
        <v>0.25</v>
      </c>
      <c r="W3998" s="0" t="n">
        <f aca="false">H3998*H3998</f>
        <v>0.25</v>
      </c>
      <c r="X3998" s="0" t="n">
        <f aca="false">SUMPRODUCT(I3998:W3998,_XtX!$B$96:$P$96)</f>
        <v>47.7177631578947</v>
      </c>
      <c r="Y3998" s="0" t="n">
        <f aca="false">SUMPRODUCT(MMULT(I3998:W3998,_XtX!$B$78:$P$92),I3998:W3998)</f>
        <v>0.132367050438597</v>
      </c>
      <c r="Z3998" s="0" t="n">
        <f aca="false">04_回帰ANOVA!$K$19*04_回帰ANOVA!$K$14*SQRT(1+Y3998)</f>
        <v>1.38704964208329</v>
      </c>
      <c r="AA3998" s="0" t="n">
        <f aca="false">X3998-Z3998</f>
        <v>46.3307135158114</v>
      </c>
      <c r="AB3998" s="0" t="n">
        <f aca="false">X3998+Z3998</f>
        <v>49.104812799978</v>
      </c>
      <c r="AC3998" s="54" t="b">
        <f aca="false">AND(E3998&gt;=01_因子設定!$L$5-0.000000001,E3998&lt;=01_因子設定!$M$5+0.000000001,F3998&gt;=01_因子設定!$L$6-0.000000001,F3998&lt;=01_因子設定!$M$6+0.000000001,G3998&gt;=01_因子設定!$L$7-0.000000001,G3998&lt;=01_因子設定!$M$7+0.000000001,H3998&gt;=01_因子設定!$L$8-0.000000001,H3998&lt;=01_因子設定!$M$8+0.000000001,IF(01_因子設定!$B$20="Box-Behnken",E3998^2+F3998^2+G3998^2+H3998^2&lt;=2+0.000000001,TRUE()))</f>
        <v>1</v>
      </c>
      <c r="AD3998" s="55" t="n">
        <f aca="false">IF(AC3998,IF(01_因子設定!$B$13="最大化",AA3998-01_因子設定!$B$14,IF(01_因子設定!$B$13="最小化",01_因子設定!$B$15-AB3998,MIN(AA3998-01_因子設定!$B$14,01_因子設定!$B$15-AB3998))),-1E+030)</f>
        <v>-0.169286484188603</v>
      </c>
      <c r="AE3998" s="55" t="n">
        <f aca="false">IF(AC3998,IF(01_因子設定!$B$13="最大化",X3998,IF(01_因子設定!$B$13="最小化",-X3998,-ABS(X3998-01_因子設定!$B$16))),-1E+030)</f>
        <v>47.7177631578947</v>
      </c>
      <c r="AF3998" s="55" t="n">
        <f aca="false">AD3998+ROW()*0.000000001</f>
        <v>-0.169282486188603</v>
      </c>
      <c r="AG3998" s="55" t="n">
        <f aca="false">AE3998+ROW()*0.000000001</f>
        <v>47.7177671558947</v>
      </c>
    </row>
    <row r="3999" customFormat="false" ht="15" hidden="false" customHeight="false" outlineLevel="0" collapsed="false">
      <c r="A3999" s="0" t="n">
        <v>5</v>
      </c>
      <c r="B3999" s="0" t="n">
        <v>4</v>
      </c>
      <c r="C3999" s="0" t="n">
        <v>2</v>
      </c>
      <c r="D3999" s="0" t="n">
        <v>7</v>
      </c>
      <c r="E3999" s="0" t="n">
        <f aca="false">-1+A3999*0.25</f>
        <v>0.25</v>
      </c>
      <c r="F3999" s="0" t="n">
        <f aca="false">-1+B3999*0.25</f>
        <v>0</v>
      </c>
      <c r="G3999" s="0" t="n">
        <f aca="false">-1+C3999*0.25</f>
        <v>-0.5</v>
      </c>
      <c r="H3999" s="0" t="n">
        <f aca="false">-1+D3999*0.25</f>
        <v>0.75</v>
      </c>
      <c r="I3999" s="0" t="n">
        <f aca="false">1</f>
        <v>1</v>
      </c>
      <c r="J3999" s="0" t="n">
        <f aca="false">E3999</f>
        <v>0.25</v>
      </c>
      <c r="K3999" s="0" t="n">
        <f aca="false">F3999</f>
        <v>0</v>
      </c>
      <c r="L3999" s="0" t="n">
        <f aca="false">G3999</f>
        <v>-0.5</v>
      </c>
      <c r="M3999" s="0" t="n">
        <f aca="false">H3999</f>
        <v>0.75</v>
      </c>
      <c r="N3999" s="0" t="n">
        <f aca="false">E3999*F3999</f>
        <v>0</v>
      </c>
      <c r="O3999" s="0" t="n">
        <f aca="false">E3999*G3999</f>
        <v>-0.125</v>
      </c>
      <c r="P3999" s="0" t="n">
        <f aca="false">E3999*H3999</f>
        <v>0.1875</v>
      </c>
      <c r="Q3999" s="0" t="n">
        <f aca="false">F3999*G3999</f>
        <v>-0</v>
      </c>
      <c r="R3999" s="0" t="n">
        <f aca="false">F3999*H3999</f>
        <v>0</v>
      </c>
      <c r="S3999" s="0" t="n">
        <f aca="false">G3999*H3999</f>
        <v>-0.375</v>
      </c>
      <c r="T3999" s="0" t="n">
        <f aca="false">E3999*E3999</f>
        <v>0.0625</v>
      </c>
      <c r="U3999" s="0" t="n">
        <f aca="false">F3999*F3999</f>
        <v>0</v>
      </c>
      <c r="V3999" s="0" t="n">
        <f aca="false">G3999*G3999</f>
        <v>0.25</v>
      </c>
      <c r="W3999" s="0" t="n">
        <f aca="false">H3999*H3999</f>
        <v>0.5625</v>
      </c>
      <c r="X3999" s="0" t="n">
        <f aca="false">SUMPRODUCT(I3999:W3999,_XtX!$B$96:$P$96)</f>
        <v>47.6715095029239</v>
      </c>
      <c r="Y3999" s="0" t="n">
        <f aca="false">SUMPRODUCT(MMULT(I3999:W3999,_XtX!$B$78:$P$92),I3999:W3999)</f>
        <v>0.215110734192252</v>
      </c>
      <c r="Z3999" s="0" t="n">
        <f aca="false">04_回帰ANOVA!$K$19*04_回帰ANOVA!$K$14*SQRT(1+Y3999)</f>
        <v>1.43683309086864</v>
      </c>
      <c r="AA3999" s="0" t="n">
        <f aca="false">X3999-Z3999</f>
        <v>46.2346764120553</v>
      </c>
      <c r="AB3999" s="0" t="n">
        <f aca="false">X3999+Z3999</f>
        <v>49.1083425937926</v>
      </c>
      <c r="AC3999" s="54" t="b">
        <f aca="false">AND(E3999&gt;=01_因子設定!$L$5-0.000000001,E3999&lt;=01_因子設定!$M$5+0.000000001,F3999&gt;=01_因子設定!$L$6-0.000000001,F3999&lt;=01_因子設定!$M$6+0.000000001,G3999&gt;=01_因子設定!$L$7-0.000000001,G3999&lt;=01_因子設定!$M$7+0.000000001,H3999&gt;=01_因子設定!$L$8-0.000000001,H3999&lt;=01_因子設定!$M$8+0.000000001,IF(01_因子設定!$B$20="Box-Behnken",E3999^2+F3999^2+G3999^2+H3999^2&lt;=2+0.000000001,TRUE()))</f>
        <v>1</v>
      </c>
      <c r="AD3999" s="55" t="n">
        <f aca="false">IF(AC3999,IF(01_因子設定!$B$13="最大化",AA3999-01_因子設定!$B$14,IF(01_因子設定!$B$13="最小化",01_因子設定!$B$15-AB3999,MIN(AA3999-01_因子設定!$B$14,01_因子設定!$B$15-AB3999))),-1E+030)</f>
        <v>-0.265323587944707</v>
      </c>
      <c r="AE3999" s="55" t="n">
        <f aca="false">IF(AC3999,IF(01_因子設定!$B$13="最大化",X3999,IF(01_因子設定!$B$13="最小化",-X3999,-ABS(X3999-01_因子設定!$B$16))),-1E+030)</f>
        <v>47.6715095029239</v>
      </c>
      <c r="AF3999" s="55" t="n">
        <f aca="false">AD3999+ROW()*0.000000001</f>
        <v>-0.265319588944707</v>
      </c>
      <c r="AG3999" s="55" t="n">
        <f aca="false">AE3999+ROW()*0.000000001</f>
        <v>47.6715135019239</v>
      </c>
    </row>
    <row r="4000" customFormat="false" ht="15" hidden="false" customHeight="false" outlineLevel="0" collapsed="false">
      <c r="A4000" s="0" t="n">
        <v>5</v>
      </c>
      <c r="B4000" s="0" t="n">
        <v>4</v>
      </c>
      <c r="C4000" s="0" t="n">
        <v>2</v>
      </c>
      <c r="D4000" s="0" t="n">
        <v>8</v>
      </c>
      <c r="E4000" s="0" t="n">
        <f aca="false">-1+A4000*0.25</f>
        <v>0.25</v>
      </c>
      <c r="F4000" s="0" t="n">
        <f aca="false">-1+B4000*0.25</f>
        <v>0</v>
      </c>
      <c r="G4000" s="0" t="n">
        <f aca="false">-1+C4000*0.25</f>
        <v>-0.5</v>
      </c>
      <c r="H4000" s="0" t="n">
        <f aca="false">-1+D4000*0.25</f>
        <v>1</v>
      </c>
      <c r="I4000" s="0" t="n">
        <f aca="false">1</f>
        <v>1</v>
      </c>
      <c r="J4000" s="0" t="n">
        <f aca="false">E4000</f>
        <v>0.25</v>
      </c>
      <c r="K4000" s="0" t="n">
        <f aca="false">F4000</f>
        <v>0</v>
      </c>
      <c r="L4000" s="0" t="n">
        <f aca="false">G4000</f>
        <v>-0.5</v>
      </c>
      <c r="M4000" s="0" t="n">
        <f aca="false">H4000</f>
        <v>1</v>
      </c>
      <c r="N4000" s="0" t="n">
        <f aca="false">E4000*F4000</f>
        <v>0</v>
      </c>
      <c r="O4000" s="0" t="n">
        <f aca="false">E4000*G4000</f>
        <v>-0.125</v>
      </c>
      <c r="P4000" s="0" t="n">
        <f aca="false">E4000*H4000</f>
        <v>0.25</v>
      </c>
      <c r="Q4000" s="0" t="n">
        <f aca="false">F4000*G4000</f>
        <v>-0</v>
      </c>
      <c r="R4000" s="0" t="n">
        <f aca="false">F4000*H4000</f>
        <v>0</v>
      </c>
      <c r="S4000" s="0" t="n">
        <f aca="false">G4000*H4000</f>
        <v>-0.5</v>
      </c>
      <c r="T4000" s="0" t="n">
        <f aca="false">E4000*E4000</f>
        <v>0.0625</v>
      </c>
      <c r="U4000" s="0" t="n">
        <f aca="false">F4000*F4000</f>
        <v>0</v>
      </c>
      <c r="V4000" s="0" t="n">
        <f aca="false">G4000*G4000</f>
        <v>0.25</v>
      </c>
      <c r="W4000" s="0" t="n">
        <f aca="false">H4000*H4000</f>
        <v>1</v>
      </c>
      <c r="X4000" s="0" t="n">
        <f aca="false">SUMPRODUCT(I4000:W4000,_XtX!$B$96:$P$96)</f>
        <v>47.5774488304093</v>
      </c>
      <c r="Y4000" s="0" t="n">
        <f aca="false">SUMPRODUCT(MMULT(I4000:W4000,_XtX!$B$78:$P$92),I4000:W4000)</f>
        <v>0.457596628289474</v>
      </c>
      <c r="Z4000" s="0" t="n">
        <f aca="false">04_回帰ANOVA!$K$19*04_回帰ANOVA!$K$14*SQRT(1+Y4000)</f>
        <v>1.57368233664366</v>
      </c>
      <c r="AA4000" s="0" t="n">
        <f aca="false">X4000-Z4000</f>
        <v>46.0037664937657</v>
      </c>
      <c r="AB4000" s="0" t="n">
        <f aca="false">X4000+Z4000</f>
        <v>49.151131167053</v>
      </c>
      <c r="AC4000" s="54" t="b">
        <f aca="false">AND(E4000&gt;=01_因子設定!$L$5-0.000000001,E4000&lt;=01_因子設定!$M$5+0.000000001,F4000&gt;=01_因子設定!$L$6-0.000000001,F4000&lt;=01_因子設定!$M$6+0.000000001,G4000&gt;=01_因子設定!$L$7-0.000000001,G4000&lt;=01_因子設定!$M$7+0.000000001,H4000&gt;=01_因子設定!$L$8-0.000000001,H4000&lt;=01_因子設定!$M$8+0.000000001,IF(01_因子設定!$B$20="Box-Behnken",E4000^2+F4000^2+G4000^2+H4000^2&lt;=2+0.000000001,TRUE()))</f>
        <v>1</v>
      </c>
      <c r="AD4000" s="55" t="n">
        <f aca="false">IF(AC4000,IF(01_因子設定!$B$13="最大化",AA4000-01_因子設定!$B$14,IF(01_因子設定!$B$13="最小化",01_因子設定!$B$15-AB4000,MIN(AA4000-01_因子設定!$B$14,01_因子設定!$B$15-AB4000))),-1E+030)</f>
        <v>-0.496233506234326</v>
      </c>
      <c r="AE4000" s="55" t="n">
        <f aca="false">IF(AC4000,IF(01_因子設定!$B$13="最大化",X4000,IF(01_因子設定!$B$13="最小化",-X4000,-ABS(X4000-01_因子設定!$B$16))),-1E+030)</f>
        <v>47.5774488304093</v>
      </c>
      <c r="AF4000" s="55" t="n">
        <f aca="false">AD4000+ROW()*0.000000001</f>
        <v>-0.496229506234326</v>
      </c>
      <c r="AG4000" s="55" t="n">
        <f aca="false">AE4000+ROW()*0.000000001</f>
        <v>47.5774528304093</v>
      </c>
    </row>
    <row r="4001" customFormat="false" ht="15" hidden="false" customHeight="false" outlineLevel="0" collapsed="false">
      <c r="A4001" s="0" t="n">
        <v>5</v>
      </c>
      <c r="B4001" s="0" t="n">
        <v>4</v>
      </c>
      <c r="C4001" s="0" t="n">
        <v>3</v>
      </c>
      <c r="D4001" s="0" t="n">
        <v>0</v>
      </c>
      <c r="E4001" s="0" t="n">
        <f aca="false">-1+A4001*0.25</f>
        <v>0.25</v>
      </c>
      <c r="F4001" s="0" t="n">
        <f aca="false">-1+B4001*0.25</f>
        <v>0</v>
      </c>
      <c r="G4001" s="0" t="n">
        <f aca="false">-1+C4001*0.25</f>
        <v>-0.25</v>
      </c>
      <c r="H4001" s="0" t="n">
        <f aca="false">-1+D4001*0.25</f>
        <v>-1</v>
      </c>
      <c r="I4001" s="0" t="n">
        <f aca="false">1</f>
        <v>1</v>
      </c>
      <c r="J4001" s="0" t="n">
        <f aca="false">E4001</f>
        <v>0.25</v>
      </c>
      <c r="K4001" s="0" t="n">
        <f aca="false">F4001</f>
        <v>0</v>
      </c>
      <c r="L4001" s="0" t="n">
        <f aca="false">G4001</f>
        <v>-0.25</v>
      </c>
      <c r="M4001" s="0" t="n">
        <f aca="false">H4001</f>
        <v>-1</v>
      </c>
      <c r="N4001" s="0" t="n">
        <f aca="false">E4001*F4001</f>
        <v>0</v>
      </c>
      <c r="O4001" s="0" t="n">
        <f aca="false">E4001*G4001</f>
        <v>-0.0625</v>
      </c>
      <c r="P4001" s="0" t="n">
        <f aca="false">E4001*H4001</f>
        <v>-0.25</v>
      </c>
      <c r="Q4001" s="0" t="n">
        <f aca="false">F4001*G4001</f>
        <v>-0</v>
      </c>
      <c r="R4001" s="0" t="n">
        <f aca="false">F4001*H4001</f>
        <v>-0</v>
      </c>
      <c r="S4001" s="0" t="n">
        <f aca="false">G4001*H4001</f>
        <v>0.25</v>
      </c>
      <c r="T4001" s="0" t="n">
        <f aca="false">E4001*E4001</f>
        <v>0.0625</v>
      </c>
      <c r="U4001" s="0" t="n">
        <f aca="false">F4001*F4001</f>
        <v>0</v>
      </c>
      <c r="V4001" s="0" t="n">
        <f aca="false">G4001*G4001</f>
        <v>0.0625</v>
      </c>
      <c r="W4001" s="0" t="n">
        <f aca="false">H4001*H4001</f>
        <v>1</v>
      </c>
      <c r="X4001" s="0" t="n">
        <f aca="false">SUMPRODUCT(I4001:W4001,_XtX!$B$96:$P$96)</f>
        <v>47.2526315789473</v>
      </c>
      <c r="Y4001" s="0" t="n">
        <f aca="false">SUMPRODUCT(MMULT(I4001:W4001,_XtX!$B$78:$P$92),I4001:W4001)</f>
        <v>0.467417934484649</v>
      </c>
      <c r="Z4001" s="0" t="n">
        <f aca="false">04_回帰ANOVA!$K$19*04_回帰ANOVA!$K$14*SQRT(1+Y4001)</f>
        <v>1.57897518244497</v>
      </c>
      <c r="AA4001" s="0" t="n">
        <f aca="false">X4001-Z4001</f>
        <v>45.6736563965024</v>
      </c>
      <c r="AB4001" s="0" t="n">
        <f aca="false">X4001+Z4001</f>
        <v>48.8316067613923</v>
      </c>
      <c r="AC4001" s="54" t="b">
        <f aca="false">AND(E4001&gt;=01_因子設定!$L$5-0.000000001,E4001&lt;=01_因子設定!$M$5+0.000000001,F4001&gt;=01_因子設定!$L$6-0.000000001,F4001&lt;=01_因子設定!$M$6+0.000000001,G4001&gt;=01_因子設定!$L$7-0.000000001,G4001&lt;=01_因子設定!$M$7+0.000000001,H4001&gt;=01_因子設定!$L$8-0.000000001,H4001&lt;=01_因子設定!$M$8+0.000000001,IF(01_因子設定!$B$20="Box-Behnken",E4001^2+F4001^2+G4001^2+H4001^2&lt;=2+0.000000001,TRUE()))</f>
        <v>1</v>
      </c>
      <c r="AD4001" s="55" t="n">
        <f aca="false">IF(AC4001,IF(01_因子設定!$B$13="最大化",AA4001-01_因子設定!$B$14,IF(01_因子設定!$B$13="最小化",01_因子設定!$B$15-AB4001,MIN(AA4001-01_因子設定!$B$14,01_因子設定!$B$15-AB4001))),-1E+030)</f>
        <v>-0.826343603497627</v>
      </c>
      <c r="AE4001" s="55" t="n">
        <f aca="false">IF(AC4001,IF(01_因子設定!$B$13="最大化",X4001,IF(01_因子設定!$B$13="最小化",-X4001,-ABS(X4001-01_因子設定!$B$16))),-1E+030)</f>
        <v>47.2526315789473</v>
      </c>
      <c r="AF4001" s="55" t="n">
        <f aca="false">AD4001+ROW()*0.000000001</f>
        <v>-0.826339602497627</v>
      </c>
      <c r="AG4001" s="55" t="n">
        <f aca="false">AE4001+ROW()*0.000000001</f>
        <v>47.2526355799473</v>
      </c>
    </row>
    <row r="4002" customFormat="false" ht="15" hidden="false" customHeight="false" outlineLevel="0" collapsed="false">
      <c r="A4002" s="0" t="n">
        <v>5</v>
      </c>
      <c r="B4002" s="0" t="n">
        <v>4</v>
      </c>
      <c r="C4002" s="0" t="n">
        <v>3</v>
      </c>
      <c r="D4002" s="0" t="n">
        <v>1</v>
      </c>
      <c r="E4002" s="0" t="n">
        <f aca="false">-1+A4002*0.25</f>
        <v>0.25</v>
      </c>
      <c r="F4002" s="0" t="n">
        <f aca="false">-1+B4002*0.25</f>
        <v>0</v>
      </c>
      <c r="G4002" s="0" t="n">
        <f aca="false">-1+C4002*0.25</f>
        <v>-0.25</v>
      </c>
      <c r="H4002" s="0" t="n">
        <f aca="false">-1+D4002*0.25</f>
        <v>-0.75</v>
      </c>
      <c r="I4002" s="0" t="n">
        <f aca="false">1</f>
        <v>1</v>
      </c>
      <c r="J4002" s="0" t="n">
        <f aca="false">E4002</f>
        <v>0.25</v>
      </c>
      <c r="K4002" s="0" t="n">
        <f aca="false">F4002</f>
        <v>0</v>
      </c>
      <c r="L4002" s="0" t="n">
        <f aca="false">G4002</f>
        <v>-0.25</v>
      </c>
      <c r="M4002" s="0" t="n">
        <f aca="false">H4002</f>
        <v>-0.75</v>
      </c>
      <c r="N4002" s="0" t="n">
        <f aca="false">E4002*F4002</f>
        <v>0</v>
      </c>
      <c r="O4002" s="0" t="n">
        <f aca="false">E4002*G4002</f>
        <v>-0.0625</v>
      </c>
      <c r="P4002" s="0" t="n">
        <f aca="false">E4002*H4002</f>
        <v>-0.1875</v>
      </c>
      <c r="Q4002" s="0" t="n">
        <f aca="false">F4002*G4002</f>
        <v>-0</v>
      </c>
      <c r="R4002" s="0" t="n">
        <f aca="false">F4002*H4002</f>
        <v>-0</v>
      </c>
      <c r="S4002" s="0" t="n">
        <f aca="false">G4002*H4002</f>
        <v>0.1875</v>
      </c>
      <c r="T4002" s="0" t="n">
        <f aca="false">E4002*E4002</f>
        <v>0.0625</v>
      </c>
      <c r="U4002" s="0" t="n">
        <f aca="false">F4002*F4002</f>
        <v>0</v>
      </c>
      <c r="V4002" s="0" t="n">
        <f aca="false">G4002*G4002</f>
        <v>0.0625</v>
      </c>
      <c r="W4002" s="0" t="n">
        <f aca="false">H4002*H4002</f>
        <v>0.5625</v>
      </c>
      <c r="X4002" s="0" t="n">
        <f aca="false">SUMPRODUCT(I4002:W4002,_XtX!$B$96:$P$96)</f>
        <v>47.5111887792397</v>
      </c>
      <c r="Y4002" s="0" t="n">
        <f aca="false">SUMPRODUCT(MMULT(I4002:W4002,_XtX!$B$78:$P$92),I4002:W4002)</f>
        <v>0.21135011193348</v>
      </c>
      <c r="Z4002" s="0" t="n">
        <f aca="false">04_回帰ANOVA!$K$19*04_回帰ANOVA!$K$14*SQRT(1+Y4002)</f>
        <v>1.43460795469709</v>
      </c>
      <c r="AA4002" s="0" t="n">
        <f aca="false">X4002-Z4002</f>
        <v>46.0765808245426</v>
      </c>
      <c r="AB4002" s="0" t="n">
        <f aca="false">X4002+Z4002</f>
        <v>48.9457967339368</v>
      </c>
      <c r="AC4002" s="54" t="b">
        <f aca="false">AND(E4002&gt;=01_因子設定!$L$5-0.000000001,E4002&lt;=01_因子設定!$M$5+0.000000001,F4002&gt;=01_因子設定!$L$6-0.000000001,F4002&lt;=01_因子設定!$M$6+0.000000001,G4002&gt;=01_因子設定!$L$7-0.000000001,G4002&lt;=01_因子設定!$M$7+0.000000001,H4002&gt;=01_因子設定!$L$8-0.000000001,H4002&lt;=01_因子設定!$M$8+0.000000001,IF(01_因子設定!$B$20="Box-Behnken",E4002^2+F4002^2+G4002^2+H4002^2&lt;=2+0.000000001,TRUE()))</f>
        <v>1</v>
      </c>
      <c r="AD4002" s="55" t="n">
        <f aca="false">IF(AC4002,IF(01_因子設定!$B$13="最大化",AA4002-01_因子設定!$B$14,IF(01_因子設定!$B$13="最小化",01_因子設定!$B$15-AB4002,MIN(AA4002-01_因子設定!$B$14,01_因子設定!$B$15-AB4002))),-1E+030)</f>
        <v>-0.423419175457362</v>
      </c>
      <c r="AE4002" s="55" t="n">
        <f aca="false">IF(AC4002,IF(01_因子設定!$B$13="最大化",X4002,IF(01_因子設定!$B$13="最小化",-X4002,-ABS(X4002-01_因子設定!$B$16))),-1E+030)</f>
        <v>47.5111887792397</v>
      </c>
      <c r="AF4002" s="55" t="n">
        <f aca="false">AD4002+ROW()*0.000000001</f>
        <v>-0.423415173457362</v>
      </c>
      <c r="AG4002" s="55" t="n">
        <f aca="false">AE4002+ROW()*0.000000001</f>
        <v>47.5111927812397</v>
      </c>
    </row>
    <row r="4003" customFormat="false" ht="15" hidden="false" customHeight="false" outlineLevel="0" collapsed="false">
      <c r="A4003" s="0" t="n">
        <v>5</v>
      </c>
      <c r="B4003" s="0" t="n">
        <v>4</v>
      </c>
      <c r="C4003" s="0" t="n">
        <v>3</v>
      </c>
      <c r="D4003" s="0" t="n">
        <v>2</v>
      </c>
      <c r="E4003" s="0" t="n">
        <f aca="false">-1+A4003*0.25</f>
        <v>0.25</v>
      </c>
      <c r="F4003" s="0" t="n">
        <f aca="false">-1+B4003*0.25</f>
        <v>0</v>
      </c>
      <c r="G4003" s="0" t="n">
        <f aca="false">-1+C4003*0.25</f>
        <v>-0.25</v>
      </c>
      <c r="H4003" s="0" t="n">
        <f aca="false">-1+D4003*0.25</f>
        <v>-0.5</v>
      </c>
      <c r="I4003" s="0" t="n">
        <f aca="false">1</f>
        <v>1</v>
      </c>
      <c r="J4003" s="0" t="n">
        <f aca="false">E4003</f>
        <v>0.25</v>
      </c>
      <c r="K4003" s="0" t="n">
        <f aca="false">F4003</f>
        <v>0</v>
      </c>
      <c r="L4003" s="0" t="n">
        <f aca="false">G4003</f>
        <v>-0.25</v>
      </c>
      <c r="M4003" s="0" t="n">
        <f aca="false">H4003</f>
        <v>-0.5</v>
      </c>
      <c r="N4003" s="0" t="n">
        <f aca="false">E4003*F4003</f>
        <v>0</v>
      </c>
      <c r="O4003" s="0" t="n">
        <f aca="false">E4003*G4003</f>
        <v>-0.0625</v>
      </c>
      <c r="P4003" s="0" t="n">
        <f aca="false">E4003*H4003</f>
        <v>-0.125</v>
      </c>
      <c r="Q4003" s="0" t="n">
        <f aca="false">F4003*G4003</f>
        <v>-0</v>
      </c>
      <c r="R4003" s="0" t="n">
        <f aca="false">F4003*H4003</f>
        <v>-0</v>
      </c>
      <c r="S4003" s="0" t="n">
        <f aca="false">G4003*H4003</f>
        <v>0.125</v>
      </c>
      <c r="T4003" s="0" t="n">
        <f aca="false">E4003*E4003</f>
        <v>0.0625</v>
      </c>
      <c r="U4003" s="0" t="n">
        <f aca="false">F4003*F4003</f>
        <v>0</v>
      </c>
      <c r="V4003" s="0" t="n">
        <f aca="false">G4003*G4003</f>
        <v>0.0625</v>
      </c>
      <c r="W4003" s="0" t="n">
        <f aca="false">H4003*H4003</f>
        <v>0.25</v>
      </c>
      <c r="X4003" s="0" t="n">
        <f aca="false">SUMPRODUCT(I4003:W4003,_XtX!$B$96:$P$96)</f>
        <v>47.7219389619883</v>
      </c>
      <c r="Y4003" s="0" t="n">
        <f aca="false">SUMPRODUCT(MMULT(I4003:W4003,_XtX!$B$78:$P$92),I4003:W4003)</f>
        <v>0.118905050712719</v>
      </c>
      <c r="Z4003" s="0" t="n">
        <f aca="false">04_回帰ANOVA!$K$19*04_回帰ANOVA!$K$14*SQRT(1+Y4003)</f>
        <v>1.37878011033769</v>
      </c>
      <c r="AA4003" s="0" t="n">
        <f aca="false">X4003-Z4003</f>
        <v>46.3431588516506</v>
      </c>
      <c r="AB4003" s="0" t="n">
        <f aca="false">X4003+Z4003</f>
        <v>49.1007190723259</v>
      </c>
      <c r="AC4003" s="54" t="b">
        <f aca="false">AND(E4003&gt;=01_因子設定!$L$5-0.000000001,E4003&lt;=01_因子設定!$M$5+0.000000001,F4003&gt;=01_因子設定!$L$6-0.000000001,F4003&lt;=01_因子設定!$M$6+0.000000001,G4003&gt;=01_因子設定!$L$7-0.000000001,G4003&lt;=01_因子設定!$M$7+0.000000001,H4003&gt;=01_因子設定!$L$8-0.000000001,H4003&lt;=01_因子設定!$M$8+0.000000001,IF(01_因子設定!$B$20="Box-Behnken",E4003^2+F4003^2+G4003^2+H4003^2&lt;=2+0.000000001,TRUE()))</f>
        <v>1</v>
      </c>
      <c r="AD4003" s="55" t="n">
        <f aca="false">IF(AC4003,IF(01_因子設定!$B$13="最大化",AA4003-01_因子設定!$B$14,IF(01_因子設定!$B$13="最小化",01_因子設定!$B$15-AB4003,MIN(AA4003-01_因子設定!$B$14,01_因子設定!$B$15-AB4003))),-1E+030)</f>
        <v>-0.156841148349436</v>
      </c>
      <c r="AE4003" s="55" t="n">
        <f aca="false">IF(AC4003,IF(01_因子設定!$B$13="最大化",X4003,IF(01_因子設定!$B$13="最小化",-X4003,-ABS(X4003-01_因子設定!$B$16))),-1E+030)</f>
        <v>47.7219389619883</v>
      </c>
      <c r="AF4003" s="55" t="n">
        <f aca="false">AD4003+ROW()*0.000000001</f>
        <v>-0.156837145349436</v>
      </c>
      <c r="AG4003" s="55" t="n">
        <f aca="false">AE4003+ROW()*0.000000001</f>
        <v>47.7219429649883</v>
      </c>
    </row>
    <row r="4004" customFormat="false" ht="15" hidden="false" customHeight="false" outlineLevel="0" collapsed="false">
      <c r="A4004" s="0" t="n">
        <v>5</v>
      </c>
      <c r="B4004" s="0" t="n">
        <v>4</v>
      </c>
      <c r="C4004" s="0" t="n">
        <v>3</v>
      </c>
      <c r="D4004" s="0" t="n">
        <v>3</v>
      </c>
      <c r="E4004" s="0" t="n">
        <f aca="false">-1+A4004*0.25</f>
        <v>0.25</v>
      </c>
      <c r="F4004" s="0" t="n">
        <f aca="false">-1+B4004*0.25</f>
        <v>0</v>
      </c>
      <c r="G4004" s="0" t="n">
        <f aca="false">-1+C4004*0.25</f>
        <v>-0.25</v>
      </c>
      <c r="H4004" s="0" t="n">
        <f aca="false">-1+D4004*0.25</f>
        <v>-0.25</v>
      </c>
      <c r="I4004" s="0" t="n">
        <f aca="false">1</f>
        <v>1</v>
      </c>
      <c r="J4004" s="0" t="n">
        <f aca="false">E4004</f>
        <v>0.25</v>
      </c>
      <c r="K4004" s="0" t="n">
        <f aca="false">F4004</f>
        <v>0</v>
      </c>
      <c r="L4004" s="0" t="n">
        <f aca="false">G4004</f>
        <v>-0.25</v>
      </c>
      <c r="M4004" s="0" t="n">
        <f aca="false">H4004</f>
        <v>-0.25</v>
      </c>
      <c r="N4004" s="0" t="n">
        <f aca="false">E4004*F4004</f>
        <v>0</v>
      </c>
      <c r="O4004" s="0" t="n">
        <f aca="false">E4004*G4004</f>
        <v>-0.0625</v>
      </c>
      <c r="P4004" s="0" t="n">
        <f aca="false">E4004*H4004</f>
        <v>-0.0625</v>
      </c>
      <c r="Q4004" s="0" t="n">
        <f aca="false">F4004*G4004</f>
        <v>-0</v>
      </c>
      <c r="R4004" s="0" t="n">
        <f aca="false">F4004*H4004</f>
        <v>-0</v>
      </c>
      <c r="S4004" s="0" t="n">
        <f aca="false">G4004*H4004</f>
        <v>0.0625</v>
      </c>
      <c r="T4004" s="0" t="n">
        <f aca="false">E4004*E4004</f>
        <v>0.0625</v>
      </c>
      <c r="U4004" s="0" t="n">
        <f aca="false">F4004*F4004</f>
        <v>0</v>
      </c>
      <c r="V4004" s="0" t="n">
        <f aca="false">G4004*G4004</f>
        <v>0.0625</v>
      </c>
      <c r="W4004" s="0" t="n">
        <f aca="false">H4004*H4004</f>
        <v>0.0625</v>
      </c>
      <c r="X4004" s="0" t="n">
        <f aca="false">SUMPRODUCT(I4004:W4004,_XtX!$B$96:$P$96)</f>
        <v>47.8848821271929</v>
      </c>
      <c r="Y4004" s="0" t="n">
        <f aca="false">SUMPRODUCT(MMULT(I4004:W4004,_XtX!$B$78:$P$92),I4004:W4004)</f>
        <v>0.099622224506579</v>
      </c>
      <c r="Z4004" s="0" t="n">
        <f aca="false">04_回帰ANOVA!$K$19*04_回帰ANOVA!$K$14*SQRT(1+Y4004)</f>
        <v>1.3668477654658</v>
      </c>
      <c r="AA4004" s="0" t="n">
        <f aca="false">X4004-Z4004</f>
        <v>46.5180343617271</v>
      </c>
      <c r="AB4004" s="0" t="n">
        <f aca="false">X4004+Z4004</f>
        <v>49.2517298926587</v>
      </c>
      <c r="AC4004" s="54" t="b">
        <f aca="false">AND(E4004&gt;=01_因子設定!$L$5-0.000000001,E4004&lt;=01_因子設定!$M$5+0.000000001,F4004&gt;=01_因子設定!$L$6-0.000000001,F4004&lt;=01_因子設定!$M$6+0.000000001,G4004&gt;=01_因子設定!$L$7-0.000000001,G4004&lt;=01_因子設定!$M$7+0.000000001,H4004&gt;=01_因子設定!$L$8-0.000000001,H4004&lt;=01_因子設定!$M$8+0.000000001,IF(01_因子設定!$B$20="Box-Behnken",E4004^2+F4004^2+G4004^2+H4004^2&lt;=2+0.000000001,TRUE()))</f>
        <v>1</v>
      </c>
      <c r="AD4004" s="55" t="n">
        <f aca="false">IF(AC4004,IF(01_因子設定!$B$13="最大化",AA4004-01_因子設定!$B$14,IF(01_因子設定!$B$13="最小化",01_因子設定!$B$15-AB4004,MIN(AA4004-01_因子設定!$B$14,01_因子設定!$B$15-AB4004))),-1E+030)</f>
        <v>0.0180343617271248</v>
      </c>
      <c r="AE4004" s="55" t="n">
        <f aca="false">IF(AC4004,IF(01_因子設定!$B$13="最大化",X4004,IF(01_因子設定!$B$13="最小化",-X4004,-ABS(X4004-01_因子設定!$B$16))),-1E+030)</f>
        <v>47.8848821271929</v>
      </c>
      <c r="AF4004" s="55" t="n">
        <f aca="false">AD4004+ROW()*0.000000001</f>
        <v>0.0180383657271248</v>
      </c>
      <c r="AG4004" s="55" t="n">
        <f aca="false">AE4004+ROW()*0.000000001</f>
        <v>47.8848861311929</v>
      </c>
    </row>
    <row r="4005" customFormat="false" ht="15" hidden="false" customHeight="false" outlineLevel="0" collapsed="false">
      <c r="A4005" s="0" t="n">
        <v>5</v>
      </c>
      <c r="B4005" s="0" t="n">
        <v>4</v>
      </c>
      <c r="C4005" s="0" t="n">
        <v>3</v>
      </c>
      <c r="D4005" s="0" t="n">
        <v>4</v>
      </c>
      <c r="E4005" s="0" t="n">
        <f aca="false">-1+A4005*0.25</f>
        <v>0.25</v>
      </c>
      <c r="F4005" s="0" t="n">
        <f aca="false">-1+B4005*0.25</f>
        <v>0</v>
      </c>
      <c r="G4005" s="0" t="n">
        <f aca="false">-1+C4005*0.25</f>
        <v>-0.25</v>
      </c>
      <c r="H4005" s="0" t="n">
        <f aca="false">-1+D4005*0.25</f>
        <v>0</v>
      </c>
      <c r="I4005" s="0" t="n">
        <f aca="false">1</f>
        <v>1</v>
      </c>
      <c r="J4005" s="0" t="n">
        <f aca="false">E4005</f>
        <v>0.25</v>
      </c>
      <c r="K4005" s="0" t="n">
        <f aca="false">F4005</f>
        <v>0</v>
      </c>
      <c r="L4005" s="0" t="n">
        <f aca="false">G4005</f>
        <v>-0.25</v>
      </c>
      <c r="M4005" s="0" t="n">
        <f aca="false">H4005</f>
        <v>0</v>
      </c>
      <c r="N4005" s="0" t="n">
        <f aca="false">E4005*F4005</f>
        <v>0</v>
      </c>
      <c r="O4005" s="0" t="n">
        <f aca="false">E4005*G4005</f>
        <v>-0.0625</v>
      </c>
      <c r="P4005" s="0" t="n">
        <f aca="false">E4005*H4005</f>
        <v>0</v>
      </c>
      <c r="Q4005" s="0" t="n">
        <f aca="false">F4005*G4005</f>
        <v>-0</v>
      </c>
      <c r="R4005" s="0" t="n">
        <f aca="false">F4005*H4005</f>
        <v>0</v>
      </c>
      <c r="S4005" s="0" t="n">
        <f aca="false">G4005*H4005</f>
        <v>-0</v>
      </c>
      <c r="T4005" s="0" t="n">
        <f aca="false">E4005*E4005</f>
        <v>0.0625</v>
      </c>
      <c r="U4005" s="0" t="n">
        <f aca="false">F4005*F4005</f>
        <v>0</v>
      </c>
      <c r="V4005" s="0" t="n">
        <f aca="false">G4005*G4005</f>
        <v>0.0625</v>
      </c>
      <c r="W4005" s="0" t="n">
        <f aca="false">H4005*H4005</f>
        <v>0</v>
      </c>
      <c r="X4005" s="0" t="n">
        <f aca="false">SUMPRODUCT(I4005:W4005,_XtX!$B$96:$P$96)</f>
        <v>48.0000182748537</v>
      </c>
      <c r="Y4005" s="0" t="n">
        <f aca="false">SUMPRODUCT(MMULT(I4005:W4005,_XtX!$B$78:$P$92),I4005:W4005)</f>
        <v>0.0992253175255848</v>
      </c>
      <c r="Z4005" s="0" t="n">
        <f aca="false">04_回帰ANOVA!$K$19*04_回帰ANOVA!$K$14*SQRT(1+Y4005)</f>
        <v>1.36660106238383</v>
      </c>
      <c r="AA4005" s="0" t="n">
        <f aca="false">X4005-Z4005</f>
        <v>46.6334172124699</v>
      </c>
      <c r="AB4005" s="0" t="n">
        <f aca="false">X4005+Z4005</f>
        <v>49.3666193372376</v>
      </c>
      <c r="AC4005" s="54" t="b">
        <f aca="false">AND(E4005&gt;=01_因子設定!$L$5-0.000000001,E4005&lt;=01_因子設定!$M$5+0.000000001,F4005&gt;=01_因子設定!$L$6-0.000000001,F4005&lt;=01_因子設定!$M$6+0.000000001,G4005&gt;=01_因子設定!$L$7-0.000000001,G4005&lt;=01_因子設定!$M$7+0.000000001,H4005&gt;=01_因子設定!$L$8-0.000000001,H4005&lt;=01_因子設定!$M$8+0.000000001,IF(01_因子設定!$B$20="Box-Behnken",E4005^2+F4005^2+G4005^2+H4005^2&lt;=2+0.000000001,TRUE()))</f>
        <v>1</v>
      </c>
      <c r="AD4005" s="55" t="n">
        <f aca="false">IF(AC4005,IF(01_因子設定!$B$13="最大化",AA4005-01_因子設定!$B$14,IF(01_因子設定!$B$13="最小化",01_因子設定!$B$15-AB4005,MIN(AA4005-01_因子設定!$B$14,01_因子設定!$B$15-AB4005))),-1E+030)</f>
        <v>0.133417212469908</v>
      </c>
      <c r="AE4005" s="55" t="n">
        <f aca="false">IF(AC4005,IF(01_因子設定!$B$13="最大化",X4005,IF(01_因子設定!$B$13="最小化",-X4005,-ABS(X4005-01_因子設定!$B$16))),-1E+030)</f>
        <v>48.0000182748537</v>
      </c>
      <c r="AF4005" s="55" t="n">
        <f aca="false">AD4005+ROW()*0.000000001</f>
        <v>0.133421217469908</v>
      </c>
      <c r="AG4005" s="55" t="n">
        <f aca="false">AE4005+ROW()*0.000000001</f>
        <v>48.0000222798537</v>
      </c>
    </row>
    <row r="4006" customFormat="false" ht="15" hidden="false" customHeight="false" outlineLevel="0" collapsed="false">
      <c r="A4006" s="0" t="n">
        <v>5</v>
      </c>
      <c r="B4006" s="0" t="n">
        <v>4</v>
      </c>
      <c r="C4006" s="0" t="n">
        <v>3</v>
      </c>
      <c r="D4006" s="0" t="n">
        <v>5</v>
      </c>
      <c r="E4006" s="0" t="n">
        <f aca="false">-1+A4006*0.25</f>
        <v>0.25</v>
      </c>
      <c r="F4006" s="0" t="n">
        <f aca="false">-1+B4006*0.25</f>
        <v>0</v>
      </c>
      <c r="G4006" s="0" t="n">
        <f aca="false">-1+C4006*0.25</f>
        <v>-0.25</v>
      </c>
      <c r="H4006" s="0" t="n">
        <f aca="false">-1+D4006*0.25</f>
        <v>0.25</v>
      </c>
      <c r="I4006" s="0" t="n">
        <f aca="false">1</f>
        <v>1</v>
      </c>
      <c r="J4006" s="0" t="n">
        <f aca="false">E4006</f>
        <v>0.25</v>
      </c>
      <c r="K4006" s="0" t="n">
        <f aca="false">F4006</f>
        <v>0</v>
      </c>
      <c r="L4006" s="0" t="n">
        <f aca="false">G4006</f>
        <v>-0.25</v>
      </c>
      <c r="M4006" s="0" t="n">
        <f aca="false">H4006</f>
        <v>0.25</v>
      </c>
      <c r="N4006" s="0" t="n">
        <f aca="false">E4006*F4006</f>
        <v>0</v>
      </c>
      <c r="O4006" s="0" t="n">
        <f aca="false">E4006*G4006</f>
        <v>-0.0625</v>
      </c>
      <c r="P4006" s="0" t="n">
        <f aca="false">E4006*H4006</f>
        <v>0.0625</v>
      </c>
      <c r="Q4006" s="0" t="n">
        <f aca="false">F4006*G4006</f>
        <v>-0</v>
      </c>
      <c r="R4006" s="0" t="n">
        <f aca="false">F4006*H4006</f>
        <v>0</v>
      </c>
      <c r="S4006" s="0" t="n">
        <f aca="false">G4006*H4006</f>
        <v>-0.0625</v>
      </c>
      <c r="T4006" s="0" t="n">
        <f aca="false">E4006*E4006</f>
        <v>0.0625</v>
      </c>
      <c r="U4006" s="0" t="n">
        <f aca="false">F4006*F4006</f>
        <v>0</v>
      </c>
      <c r="V4006" s="0" t="n">
        <f aca="false">G4006*G4006</f>
        <v>0.0625</v>
      </c>
      <c r="W4006" s="0" t="n">
        <f aca="false">H4006*H4006</f>
        <v>0.0625</v>
      </c>
      <c r="X4006" s="0" t="n">
        <f aca="false">SUMPRODUCT(I4006:W4006,_XtX!$B$96:$P$96)</f>
        <v>48.0673474049707</v>
      </c>
      <c r="Y4006" s="0" t="n">
        <f aca="false">SUMPRODUCT(MMULT(I4006:W4006,_XtX!$B$78:$P$92),I4006:W4006)</f>
        <v>0.099622224506579</v>
      </c>
      <c r="Z4006" s="0" t="n">
        <f aca="false">04_回帰ANOVA!$K$19*04_回帰ANOVA!$K$14*SQRT(1+Y4006)</f>
        <v>1.3668477654658</v>
      </c>
      <c r="AA4006" s="0" t="n">
        <f aca="false">X4006-Z4006</f>
        <v>46.7004996395049</v>
      </c>
      <c r="AB4006" s="0" t="n">
        <f aca="false">X4006+Z4006</f>
        <v>49.4341951704365</v>
      </c>
      <c r="AC4006" s="54" t="b">
        <f aca="false">AND(E4006&gt;=01_因子設定!$L$5-0.000000001,E4006&lt;=01_因子設定!$M$5+0.000000001,F4006&gt;=01_因子設定!$L$6-0.000000001,F4006&lt;=01_因子設定!$M$6+0.000000001,G4006&gt;=01_因子設定!$L$7-0.000000001,G4006&lt;=01_因子設定!$M$7+0.000000001,H4006&gt;=01_因子設定!$L$8-0.000000001,H4006&lt;=01_因子設定!$M$8+0.000000001,IF(01_因子設定!$B$20="Box-Behnken",E4006^2+F4006^2+G4006^2+H4006^2&lt;=2+0.000000001,TRUE()))</f>
        <v>1</v>
      </c>
      <c r="AD4006" s="55" t="n">
        <f aca="false">IF(AC4006,IF(01_因子設定!$B$13="最大化",AA4006-01_因子設定!$B$14,IF(01_因子設定!$B$13="最小化",01_因子設定!$B$15-AB4006,MIN(AA4006-01_因子設定!$B$14,01_因子設定!$B$15-AB4006))),-1E+030)</f>
        <v>0.200499639504905</v>
      </c>
      <c r="AE4006" s="55" t="n">
        <f aca="false">IF(AC4006,IF(01_因子設定!$B$13="最大化",X4006,IF(01_因子設定!$B$13="最小化",-X4006,-ABS(X4006-01_因子設定!$B$16))),-1E+030)</f>
        <v>48.0673474049707</v>
      </c>
      <c r="AF4006" s="55" t="n">
        <f aca="false">AD4006+ROW()*0.000000001</f>
        <v>0.200503645504905</v>
      </c>
      <c r="AG4006" s="55" t="n">
        <f aca="false">AE4006+ROW()*0.000000001</f>
        <v>48.0673514109707</v>
      </c>
    </row>
    <row r="4007" customFormat="false" ht="15" hidden="false" customHeight="false" outlineLevel="0" collapsed="false">
      <c r="A4007" s="0" t="n">
        <v>5</v>
      </c>
      <c r="B4007" s="0" t="n">
        <v>4</v>
      </c>
      <c r="C4007" s="0" t="n">
        <v>3</v>
      </c>
      <c r="D4007" s="0" t="n">
        <v>6</v>
      </c>
      <c r="E4007" s="0" t="n">
        <f aca="false">-1+A4007*0.25</f>
        <v>0.25</v>
      </c>
      <c r="F4007" s="0" t="n">
        <f aca="false">-1+B4007*0.25</f>
        <v>0</v>
      </c>
      <c r="G4007" s="0" t="n">
        <f aca="false">-1+C4007*0.25</f>
        <v>-0.25</v>
      </c>
      <c r="H4007" s="0" t="n">
        <f aca="false">-1+D4007*0.25</f>
        <v>0.5</v>
      </c>
      <c r="I4007" s="0" t="n">
        <f aca="false">1</f>
        <v>1</v>
      </c>
      <c r="J4007" s="0" t="n">
        <f aca="false">E4007</f>
        <v>0.25</v>
      </c>
      <c r="K4007" s="0" t="n">
        <f aca="false">F4007</f>
        <v>0</v>
      </c>
      <c r="L4007" s="0" t="n">
        <f aca="false">G4007</f>
        <v>-0.25</v>
      </c>
      <c r="M4007" s="0" t="n">
        <f aca="false">H4007</f>
        <v>0.5</v>
      </c>
      <c r="N4007" s="0" t="n">
        <f aca="false">E4007*F4007</f>
        <v>0</v>
      </c>
      <c r="O4007" s="0" t="n">
        <f aca="false">E4007*G4007</f>
        <v>-0.0625</v>
      </c>
      <c r="P4007" s="0" t="n">
        <f aca="false">E4007*H4007</f>
        <v>0.125</v>
      </c>
      <c r="Q4007" s="0" t="n">
        <f aca="false">F4007*G4007</f>
        <v>-0</v>
      </c>
      <c r="R4007" s="0" t="n">
        <f aca="false">F4007*H4007</f>
        <v>0</v>
      </c>
      <c r="S4007" s="0" t="n">
        <f aca="false">G4007*H4007</f>
        <v>-0.125</v>
      </c>
      <c r="T4007" s="0" t="n">
        <f aca="false">E4007*E4007</f>
        <v>0.0625</v>
      </c>
      <c r="U4007" s="0" t="n">
        <f aca="false">F4007*F4007</f>
        <v>0</v>
      </c>
      <c r="V4007" s="0" t="n">
        <f aca="false">G4007*G4007</f>
        <v>0.0625</v>
      </c>
      <c r="W4007" s="0" t="n">
        <f aca="false">H4007*H4007</f>
        <v>0.25</v>
      </c>
      <c r="X4007" s="0" t="n">
        <f aca="false">SUMPRODUCT(I4007:W4007,_XtX!$B$96:$P$96)</f>
        <v>48.0868695175438</v>
      </c>
      <c r="Y4007" s="0" t="n">
        <f aca="false">SUMPRODUCT(MMULT(I4007:W4007,_XtX!$B$78:$P$92),I4007:W4007)</f>
        <v>0.118905050712719</v>
      </c>
      <c r="Z4007" s="0" t="n">
        <f aca="false">04_回帰ANOVA!$K$19*04_回帰ANOVA!$K$14*SQRT(1+Y4007)</f>
        <v>1.37878011033769</v>
      </c>
      <c r="AA4007" s="0" t="n">
        <f aca="false">X4007-Z4007</f>
        <v>46.7080894072061</v>
      </c>
      <c r="AB4007" s="0" t="n">
        <f aca="false">X4007+Z4007</f>
        <v>49.4656496278815</v>
      </c>
      <c r="AC4007" s="54" t="b">
        <f aca="false">AND(E4007&gt;=01_因子設定!$L$5-0.000000001,E4007&lt;=01_因子設定!$M$5+0.000000001,F4007&gt;=01_因子設定!$L$6-0.000000001,F4007&lt;=01_因子設定!$M$6+0.000000001,G4007&gt;=01_因子設定!$L$7-0.000000001,G4007&lt;=01_因子設定!$M$7+0.000000001,H4007&gt;=01_因子設定!$L$8-0.000000001,H4007&lt;=01_因子設定!$M$8+0.000000001,IF(01_因子設定!$B$20="Box-Behnken",E4007^2+F4007^2+G4007^2+H4007^2&lt;=2+0.000000001,TRUE()))</f>
        <v>1</v>
      </c>
      <c r="AD4007" s="55" t="n">
        <f aca="false">IF(AC4007,IF(01_因子設定!$B$13="最大化",AA4007-01_因子設定!$B$14,IF(01_因子設定!$B$13="最小化",01_因子設定!$B$15-AB4007,MIN(AA4007-01_因子設定!$B$14,01_因子設定!$B$15-AB4007))),-1E+030)</f>
        <v>0.208089407206124</v>
      </c>
      <c r="AE4007" s="55" t="n">
        <f aca="false">IF(AC4007,IF(01_因子設定!$B$13="最大化",X4007,IF(01_因子設定!$B$13="最小化",-X4007,-ABS(X4007-01_因子設定!$B$16))),-1E+030)</f>
        <v>48.0868695175438</v>
      </c>
      <c r="AF4007" s="55" t="n">
        <f aca="false">AD4007+ROW()*0.000000001</f>
        <v>0.208093414206124</v>
      </c>
      <c r="AG4007" s="55" t="n">
        <f aca="false">AE4007+ROW()*0.000000001</f>
        <v>48.0868735245438</v>
      </c>
    </row>
    <row r="4008" customFormat="false" ht="15" hidden="false" customHeight="false" outlineLevel="0" collapsed="false">
      <c r="A4008" s="0" t="n">
        <v>5</v>
      </c>
      <c r="B4008" s="0" t="n">
        <v>4</v>
      </c>
      <c r="C4008" s="0" t="n">
        <v>3</v>
      </c>
      <c r="D4008" s="0" t="n">
        <v>7</v>
      </c>
      <c r="E4008" s="0" t="n">
        <f aca="false">-1+A4008*0.25</f>
        <v>0.25</v>
      </c>
      <c r="F4008" s="0" t="n">
        <f aca="false">-1+B4008*0.25</f>
        <v>0</v>
      </c>
      <c r="G4008" s="0" t="n">
        <f aca="false">-1+C4008*0.25</f>
        <v>-0.25</v>
      </c>
      <c r="H4008" s="0" t="n">
        <f aca="false">-1+D4008*0.25</f>
        <v>0.75</v>
      </c>
      <c r="I4008" s="0" t="n">
        <f aca="false">1</f>
        <v>1</v>
      </c>
      <c r="J4008" s="0" t="n">
        <f aca="false">E4008</f>
        <v>0.25</v>
      </c>
      <c r="K4008" s="0" t="n">
        <f aca="false">F4008</f>
        <v>0</v>
      </c>
      <c r="L4008" s="0" t="n">
        <f aca="false">G4008</f>
        <v>-0.25</v>
      </c>
      <c r="M4008" s="0" t="n">
        <f aca="false">H4008</f>
        <v>0.75</v>
      </c>
      <c r="N4008" s="0" t="n">
        <f aca="false">E4008*F4008</f>
        <v>0</v>
      </c>
      <c r="O4008" s="0" t="n">
        <f aca="false">E4008*G4008</f>
        <v>-0.0625</v>
      </c>
      <c r="P4008" s="0" t="n">
        <f aca="false">E4008*H4008</f>
        <v>0.1875</v>
      </c>
      <c r="Q4008" s="0" t="n">
        <f aca="false">F4008*G4008</f>
        <v>-0</v>
      </c>
      <c r="R4008" s="0" t="n">
        <f aca="false">F4008*H4008</f>
        <v>0</v>
      </c>
      <c r="S4008" s="0" t="n">
        <f aca="false">G4008*H4008</f>
        <v>-0.1875</v>
      </c>
      <c r="T4008" s="0" t="n">
        <f aca="false">E4008*E4008</f>
        <v>0.0625</v>
      </c>
      <c r="U4008" s="0" t="n">
        <f aca="false">F4008*F4008</f>
        <v>0</v>
      </c>
      <c r="V4008" s="0" t="n">
        <f aca="false">G4008*G4008</f>
        <v>0.0625</v>
      </c>
      <c r="W4008" s="0" t="n">
        <f aca="false">H4008*H4008</f>
        <v>0.5625</v>
      </c>
      <c r="X4008" s="0" t="n">
        <f aca="false">SUMPRODUCT(I4008:W4008,_XtX!$B$96:$P$96)</f>
        <v>48.0585846125731</v>
      </c>
      <c r="Y4008" s="0" t="n">
        <f aca="false">SUMPRODUCT(MMULT(I4008:W4008,_XtX!$B$78:$P$92),I4008:W4008)</f>
        <v>0.21135011193348</v>
      </c>
      <c r="Z4008" s="0" t="n">
        <f aca="false">04_回帰ANOVA!$K$19*04_回帰ANOVA!$K$14*SQRT(1+Y4008)</f>
        <v>1.43460795469709</v>
      </c>
      <c r="AA4008" s="0" t="n">
        <f aca="false">X4008-Z4008</f>
        <v>46.623976657876</v>
      </c>
      <c r="AB4008" s="0" t="n">
        <f aca="false">X4008+Z4008</f>
        <v>49.4931925672701</v>
      </c>
      <c r="AC4008" s="54" t="b">
        <f aca="false">AND(E4008&gt;=01_因子設定!$L$5-0.000000001,E4008&lt;=01_因子設定!$M$5+0.000000001,F4008&gt;=01_因子設定!$L$6-0.000000001,F4008&lt;=01_因子設定!$M$6+0.000000001,G4008&gt;=01_因子設定!$L$7-0.000000001,G4008&lt;=01_因子設定!$M$7+0.000000001,H4008&gt;=01_因子設定!$L$8-0.000000001,H4008&lt;=01_因子設定!$M$8+0.000000001,IF(01_因子設定!$B$20="Box-Behnken",E4008^2+F4008^2+G4008^2+H4008^2&lt;=2+0.000000001,TRUE()))</f>
        <v>1</v>
      </c>
      <c r="AD4008" s="55" t="n">
        <f aca="false">IF(AC4008,IF(01_因子設定!$B$13="最大化",AA4008-01_因子設定!$B$14,IF(01_因子設定!$B$13="最小化",01_因子設定!$B$15-AB4008,MIN(AA4008-01_因子設定!$B$14,01_因子設定!$B$15-AB4008))),-1E+030)</f>
        <v>0.123976657875971</v>
      </c>
      <c r="AE4008" s="55" t="n">
        <f aca="false">IF(AC4008,IF(01_因子設定!$B$13="最大化",X4008,IF(01_因子設定!$B$13="最小化",-X4008,-ABS(X4008-01_因子設定!$B$16))),-1E+030)</f>
        <v>48.0585846125731</v>
      </c>
      <c r="AF4008" s="55" t="n">
        <f aca="false">AD4008+ROW()*0.000000001</f>
        <v>0.123980665875971</v>
      </c>
      <c r="AG4008" s="55" t="n">
        <f aca="false">AE4008+ROW()*0.000000001</f>
        <v>48.0585886205731</v>
      </c>
    </row>
    <row r="4009" customFormat="false" ht="15" hidden="false" customHeight="false" outlineLevel="0" collapsed="false">
      <c r="A4009" s="0" t="n">
        <v>5</v>
      </c>
      <c r="B4009" s="0" t="n">
        <v>4</v>
      </c>
      <c r="C4009" s="0" t="n">
        <v>3</v>
      </c>
      <c r="D4009" s="0" t="n">
        <v>8</v>
      </c>
      <c r="E4009" s="0" t="n">
        <f aca="false">-1+A4009*0.25</f>
        <v>0.25</v>
      </c>
      <c r="F4009" s="0" t="n">
        <f aca="false">-1+B4009*0.25</f>
        <v>0</v>
      </c>
      <c r="G4009" s="0" t="n">
        <f aca="false">-1+C4009*0.25</f>
        <v>-0.25</v>
      </c>
      <c r="H4009" s="0" t="n">
        <f aca="false">-1+D4009*0.25</f>
        <v>1</v>
      </c>
      <c r="I4009" s="0" t="n">
        <f aca="false">1</f>
        <v>1</v>
      </c>
      <c r="J4009" s="0" t="n">
        <f aca="false">E4009</f>
        <v>0.25</v>
      </c>
      <c r="K4009" s="0" t="n">
        <f aca="false">F4009</f>
        <v>0</v>
      </c>
      <c r="L4009" s="0" t="n">
        <f aca="false">G4009</f>
        <v>-0.25</v>
      </c>
      <c r="M4009" s="0" t="n">
        <f aca="false">H4009</f>
        <v>1</v>
      </c>
      <c r="N4009" s="0" t="n">
        <f aca="false">E4009*F4009</f>
        <v>0</v>
      </c>
      <c r="O4009" s="0" t="n">
        <f aca="false">E4009*G4009</f>
        <v>-0.0625</v>
      </c>
      <c r="P4009" s="0" t="n">
        <f aca="false">E4009*H4009</f>
        <v>0.25</v>
      </c>
      <c r="Q4009" s="0" t="n">
        <f aca="false">F4009*G4009</f>
        <v>-0</v>
      </c>
      <c r="R4009" s="0" t="n">
        <f aca="false">F4009*H4009</f>
        <v>0</v>
      </c>
      <c r="S4009" s="0" t="n">
        <f aca="false">G4009*H4009</f>
        <v>-0.25</v>
      </c>
      <c r="T4009" s="0" t="n">
        <f aca="false">E4009*E4009</f>
        <v>0.0625</v>
      </c>
      <c r="U4009" s="0" t="n">
        <f aca="false">F4009*F4009</f>
        <v>0</v>
      </c>
      <c r="V4009" s="0" t="n">
        <f aca="false">G4009*G4009</f>
        <v>0.0625</v>
      </c>
      <c r="W4009" s="0" t="n">
        <f aca="false">H4009*H4009</f>
        <v>1</v>
      </c>
      <c r="X4009" s="0" t="n">
        <f aca="false">SUMPRODUCT(I4009:W4009,_XtX!$B$96:$P$96)</f>
        <v>47.9824926900585</v>
      </c>
      <c r="Y4009" s="0" t="n">
        <f aca="false">SUMPRODUCT(MMULT(I4009:W4009,_XtX!$B$78:$P$92),I4009:W4009)</f>
        <v>0.467417934484649</v>
      </c>
      <c r="Z4009" s="0" t="n">
        <f aca="false">04_回帰ANOVA!$K$19*04_回帰ANOVA!$K$14*SQRT(1+Y4009)</f>
        <v>1.57897518244497</v>
      </c>
      <c r="AA4009" s="0" t="n">
        <f aca="false">X4009-Z4009</f>
        <v>46.4035175076135</v>
      </c>
      <c r="AB4009" s="0" t="n">
        <f aca="false">X4009+Z4009</f>
        <v>49.5614678725034</v>
      </c>
      <c r="AC4009" s="54" t="b">
        <f aca="false">AND(E4009&gt;=01_因子設定!$L$5-0.000000001,E4009&lt;=01_因子設定!$M$5+0.000000001,F4009&gt;=01_因子設定!$L$6-0.000000001,F4009&lt;=01_因子設定!$M$6+0.000000001,G4009&gt;=01_因子設定!$L$7-0.000000001,G4009&lt;=01_因子設定!$M$7+0.000000001,H4009&gt;=01_因子設定!$L$8-0.000000001,H4009&lt;=01_因子設定!$M$8+0.000000001,IF(01_因子設定!$B$20="Box-Behnken",E4009^2+F4009^2+G4009^2+H4009^2&lt;=2+0.000000001,TRUE()))</f>
        <v>1</v>
      </c>
      <c r="AD4009" s="55" t="n">
        <f aca="false">IF(AC4009,IF(01_因子設定!$B$13="最大化",AA4009-01_因子設定!$B$14,IF(01_因子設定!$B$13="最小化",01_因子設定!$B$15-AB4009,MIN(AA4009-01_因子設定!$B$14,01_因子設定!$B$15-AB4009))),-1E+030)</f>
        <v>-0.0964824923865137</v>
      </c>
      <c r="AE4009" s="55" t="n">
        <f aca="false">IF(AC4009,IF(01_因子設定!$B$13="最大化",X4009,IF(01_因子設定!$B$13="最小化",-X4009,-ABS(X4009-01_因子設定!$B$16))),-1E+030)</f>
        <v>47.9824926900585</v>
      </c>
      <c r="AF4009" s="55" t="n">
        <f aca="false">AD4009+ROW()*0.000000001</f>
        <v>-0.0964784833865137</v>
      </c>
      <c r="AG4009" s="55" t="n">
        <f aca="false">AE4009+ROW()*0.000000001</f>
        <v>47.9824966990585</v>
      </c>
    </row>
    <row r="4010" customFormat="false" ht="15" hidden="false" customHeight="false" outlineLevel="0" collapsed="false">
      <c r="A4010" s="0" t="n">
        <v>5</v>
      </c>
      <c r="B4010" s="0" t="n">
        <v>4</v>
      </c>
      <c r="C4010" s="0" t="n">
        <v>4</v>
      </c>
      <c r="D4010" s="0" t="n">
        <v>0</v>
      </c>
      <c r="E4010" s="0" t="n">
        <f aca="false">-1+A4010*0.25</f>
        <v>0.25</v>
      </c>
      <c r="F4010" s="0" t="n">
        <f aca="false">-1+B4010*0.25</f>
        <v>0</v>
      </c>
      <c r="G4010" s="0" t="n">
        <f aca="false">-1+C4010*0.25</f>
        <v>0</v>
      </c>
      <c r="H4010" s="0" t="n">
        <f aca="false">-1+D4010*0.25</f>
        <v>-1</v>
      </c>
      <c r="I4010" s="0" t="n">
        <f aca="false">1</f>
        <v>1</v>
      </c>
      <c r="J4010" s="0" t="n">
        <f aca="false">E4010</f>
        <v>0.25</v>
      </c>
      <c r="K4010" s="0" t="n">
        <f aca="false">F4010</f>
        <v>0</v>
      </c>
      <c r="L4010" s="0" t="n">
        <f aca="false">G4010</f>
        <v>0</v>
      </c>
      <c r="M4010" s="0" t="n">
        <f aca="false">H4010</f>
        <v>-1</v>
      </c>
      <c r="N4010" s="0" t="n">
        <f aca="false">E4010*F4010</f>
        <v>0</v>
      </c>
      <c r="O4010" s="0" t="n">
        <f aca="false">E4010*G4010</f>
        <v>0</v>
      </c>
      <c r="P4010" s="0" t="n">
        <f aca="false">E4010*H4010</f>
        <v>-0.25</v>
      </c>
      <c r="Q4010" s="0" t="n">
        <f aca="false">F4010*G4010</f>
        <v>0</v>
      </c>
      <c r="R4010" s="0" t="n">
        <f aca="false">F4010*H4010</f>
        <v>-0</v>
      </c>
      <c r="S4010" s="0" t="n">
        <f aca="false">G4010*H4010</f>
        <v>-0</v>
      </c>
      <c r="T4010" s="0" t="n">
        <f aca="false">E4010*E4010</f>
        <v>0.0625</v>
      </c>
      <c r="U4010" s="0" t="n">
        <f aca="false">F4010*F4010</f>
        <v>0</v>
      </c>
      <c r="V4010" s="0" t="n">
        <f aca="false">G4010*G4010</f>
        <v>0</v>
      </c>
      <c r="W4010" s="0" t="n">
        <f aca="false">H4010*H4010</f>
        <v>1</v>
      </c>
      <c r="X4010" s="0" t="n">
        <f aca="false">SUMPRODUCT(I4010:W4010,_XtX!$B$96:$P$96)</f>
        <v>47.4286184210526</v>
      </c>
      <c r="Y4010" s="0" t="n">
        <f aca="false">SUMPRODUCT(MMULT(I4010:W4010,_XtX!$B$78:$P$92),I4010:W4010)</f>
        <v>0.47672240497076</v>
      </c>
      <c r="Z4010" s="0" t="n">
        <f aca="false">04_回帰ANOVA!$K$19*04_回帰ANOVA!$K$14*SQRT(1+Y4010)</f>
        <v>1.58397318352695</v>
      </c>
      <c r="AA4010" s="0" t="n">
        <f aca="false">X4010-Z4010</f>
        <v>45.8446452375257</v>
      </c>
      <c r="AB4010" s="0" t="n">
        <f aca="false">X4010+Z4010</f>
        <v>49.0125916045796</v>
      </c>
      <c r="AC4010" s="54" t="b">
        <f aca="false">AND(E4010&gt;=01_因子設定!$L$5-0.000000001,E4010&lt;=01_因子設定!$M$5+0.000000001,F4010&gt;=01_因子設定!$L$6-0.000000001,F4010&lt;=01_因子設定!$M$6+0.000000001,G4010&gt;=01_因子設定!$L$7-0.000000001,G4010&lt;=01_因子設定!$M$7+0.000000001,H4010&gt;=01_因子設定!$L$8-0.000000001,H4010&lt;=01_因子設定!$M$8+0.000000001,IF(01_因子設定!$B$20="Box-Behnken",E4010^2+F4010^2+G4010^2+H4010^2&lt;=2+0.000000001,TRUE()))</f>
        <v>1</v>
      </c>
      <c r="AD4010" s="55" t="n">
        <f aca="false">IF(AC4010,IF(01_因子設定!$B$13="最大化",AA4010-01_因子設定!$B$14,IF(01_因子設定!$B$13="最小化",01_因子設定!$B$15-AB4010,MIN(AA4010-01_因子設定!$B$14,01_因子設定!$B$15-AB4010))),-1E+030)</f>
        <v>-0.655354762474332</v>
      </c>
      <c r="AE4010" s="55" t="n">
        <f aca="false">IF(AC4010,IF(01_因子設定!$B$13="最大化",X4010,IF(01_因子設定!$B$13="最小化",-X4010,-ABS(X4010-01_因子設定!$B$16))),-1E+030)</f>
        <v>47.4286184210526</v>
      </c>
      <c r="AF4010" s="55" t="n">
        <f aca="false">AD4010+ROW()*0.000000001</f>
        <v>-0.655350752474332</v>
      </c>
      <c r="AG4010" s="55" t="n">
        <f aca="false">AE4010+ROW()*0.000000001</f>
        <v>47.4286224310526</v>
      </c>
    </row>
    <row r="4011" customFormat="false" ht="15" hidden="false" customHeight="false" outlineLevel="0" collapsed="false">
      <c r="A4011" s="0" t="n">
        <v>5</v>
      </c>
      <c r="B4011" s="0" t="n">
        <v>4</v>
      </c>
      <c r="C4011" s="0" t="n">
        <v>4</v>
      </c>
      <c r="D4011" s="0" t="n">
        <v>1</v>
      </c>
      <c r="E4011" s="0" t="n">
        <f aca="false">-1+A4011*0.25</f>
        <v>0.25</v>
      </c>
      <c r="F4011" s="0" t="n">
        <f aca="false">-1+B4011*0.25</f>
        <v>0</v>
      </c>
      <c r="G4011" s="0" t="n">
        <f aca="false">-1+C4011*0.25</f>
        <v>0</v>
      </c>
      <c r="H4011" s="0" t="n">
        <f aca="false">-1+D4011*0.25</f>
        <v>-0.75</v>
      </c>
      <c r="I4011" s="0" t="n">
        <f aca="false">1</f>
        <v>1</v>
      </c>
      <c r="J4011" s="0" t="n">
        <f aca="false">E4011</f>
        <v>0.25</v>
      </c>
      <c r="K4011" s="0" t="n">
        <f aca="false">F4011</f>
        <v>0</v>
      </c>
      <c r="L4011" s="0" t="n">
        <f aca="false">G4011</f>
        <v>0</v>
      </c>
      <c r="M4011" s="0" t="n">
        <f aca="false">H4011</f>
        <v>-0.75</v>
      </c>
      <c r="N4011" s="0" t="n">
        <f aca="false">E4011*F4011</f>
        <v>0</v>
      </c>
      <c r="O4011" s="0" t="n">
        <f aca="false">E4011*G4011</f>
        <v>0</v>
      </c>
      <c r="P4011" s="0" t="n">
        <f aca="false">E4011*H4011</f>
        <v>-0.1875</v>
      </c>
      <c r="Q4011" s="0" t="n">
        <f aca="false">F4011*G4011</f>
        <v>0</v>
      </c>
      <c r="R4011" s="0" t="n">
        <f aca="false">F4011*H4011</f>
        <v>-0</v>
      </c>
      <c r="S4011" s="0" t="n">
        <f aca="false">G4011*H4011</f>
        <v>-0</v>
      </c>
      <c r="T4011" s="0" t="n">
        <f aca="false">E4011*E4011</f>
        <v>0.0625</v>
      </c>
      <c r="U4011" s="0" t="n">
        <f aca="false">F4011*F4011</f>
        <v>0</v>
      </c>
      <c r="V4011" s="0" t="n">
        <f aca="false">G4011*G4011</f>
        <v>0</v>
      </c>
      <c r="W4011" s="0" t="n">
        <f aca="false">H4011*H4011</f>
        <v>0.5625</v>
      </c>
      <c r="X4011" s="0" t="n">
        <f aca="false">SUMPRODUCT(I4011:W4011,_XtX!$B$96:$P$96)</f>
        <v>47.705144371345</v>
      </c>
      <c r="Y4011" s="0" t="n">
        <f aca="false">SUMPRODUCT(MMULT(I4011:W4011,_XtX!$B$78:$P$92),I4011:W4011)</f>
        <v>0.216127272934942</v>
      </c>
      <c r="Z4011" s="0" t="n">
        <f aca="false">04_回帰ANOVA!$K$19*04_回帰ANOVA!$K$14*SQRT(1+Y4011)</f>
        <v>1.43743397896608</v>
      </c>
      <c r="AA4011" s="0" t="n">
        <f aca="false">X4011-Z4011</f>
        <v>46.2677103923789</v>
      </c>
      <c r="AB4011" s="0" t="n">
        <f aca="false">X4011+Z4011</f>
        <v>49.1425783503111</v>
      </c>
      <c r="AC4011" s="54" t="b">
        <f aca="false">AND(E4011&gt;=01_因子設定!$L$5-0.000000001,E4011&lt;=01_因子設定!$M$5+0.000000001,F4011&gt;=01_因子設定!$L$6-0.000000001,F4011&lt;=01_因子設定!$M$6+0.000000001,G4011&gt;=01_因子設定!$L$7-0.000000001,G4011&lt;=01_因子設定!$M$7+0.000000001,H4011&gt;=01_因子設定!$L$8-0.000000001,H4011&lt;=01_因子設定!$M$8+0.000000001,IF(01_因子設定!$B$20="Box-Behnken",E4011^2+F4011^2+G4011^2+H4011^2&lt;=2+0.000000001,TRUE()))</f>
        <v>1</v>
      </c>
      <c r="AD4011" s="55" t="n">
        <f aca="false">IF(AC4011,IF(01_因子設定!$B$13="最大化",AA4011-01_因子設定!$B$14,IF(01_因子設定!$B$13="最小化",01_因子設定!$B$15-AB4011,MIN(AA4011-01_因子設定!$B$14,01_因子設定!$B$15-AB4011))),-1E+030)</f>
        <v>-0.232289607621084</v>
      </c>
      <c r="AE4011" s="55" t="n">
        <f aca="false">IF(AC4011,IF(01_因子設定!$B$13="最大化",X4011,IF(01_因子設定!$B$13="最小化",-X4011,-ABS(X4011-01_因子設定!$B$16))),-1E+030)</f>
        <v>47.705144371345</v>
      </c>
      <c r="AF4011" s="55" t="n">
        <f aca="false">AD4011+ROW()*0.000000001</f>
        <v>-0.232285596621084</v>
      </c>
      <c r="AG4011" s="55" t="n">
        <f aca="false">AE4011+ROW()*0.000000001</f>
        <v>47.705148382345</v>
      </c>
    </row>
    <row r="4012" customFormat="false" ht="15" hidden="false" customHeight="false" outlineLevel="0" collapsed="false">
      <c r="A4012" s="0" t="n">
        <v>5</v>
      </c>
      <c r="B4012" s="0" t="n">
        <v>4</v>
      </c>
      <c r="C4012" s="0" t="n">
        <v>4</v>
      </c>
      <c r="D4012" s="0" t="n">
        <v>2</v>
      </c>
      <c r="E4012" s="0" t="n">
        <f aca="false">-1+A4012*0.25</f>
        <v>0.25</v>
      </c>
      <c r="F4012" s="0" t="n">
        <f aca="false">-1+B4012*0.25</f>
        <v>0</v>
      </c>
      <c r="G4012" s="0" t="n">
        <f aca="false">-1+C4012*0.25</f>
        <v>0</v>
      </c>
      <c r="H4012" s="0" t="n">
        <f aca="false">-1+D4012*0.25</f>
        <v>-0.5</v>
      </c>
      <c r="I4012" s="0" t="n">
        <f aca="false">1</f>
        <v>1</v>
      </c>
      <c r="J4012" s="0" t="n">
        <f aca="false">E4012</f>
        <v>0.25</v>
      </c>
      <c r="K4012" s="0" t="n">
        <f aca="false">F4012</f>
        <v>0</v>
      </c>
      <c r="L4012" s="0" t="n">
        <f aca="false">G4012</f>
        <v>0</v>
      </c>
      <c r="M4012" s="0" t="n">
        <f aca="false">H4012</f>
        <v>-0.5</v>
      </c>
      <c r="N4012" s="0" t="n">
        <f aca="false">E4012*F4012</f>
        <v>0</v>
      </c>
      <c r="O4012" s="0" t="n">
        <f aca="false">E4012*G4012</f>
        <v>0</v>
      </c>
      <c r="P4012" s="0" t="n">
        <f aca="false">E4012*H4012</f>
        <v>-0.125</v>
      </c>
      <c r="Q4012" s="0" t="n">
        <f aca="false">F4012*G4012</f>
        <v>0</v>
      </c>
      <c r="R4012" s="0" t="n">
        <f aca="false">F4012*H4012</f>
        <v>-0</v>
      </c>
      <c r="S4012" s="0" t="n">
        <f aca="false">G4012*H4012</f>
        <v>-0</v>
      </c>
      <c r="T4012" s="0" t="n">
        <f aca="false">E4012*E4012</f>
        <v>0.0625</v>
      </c>
      <c r="U4012" s="0" t="n">
        <f aca="false">F4012*F4012</f>
        <v>0</v>
      </c>
      <c r="V4012" s="0" t="n">
        <f aca="false">G4012*G4012</f>
        <v>0</v>
      </c>
      <c r="W4012" s="0" t="n">
        <f aca="false">H4012*H4012</f>
        <v>0.25</v>
      </c>
      <c r="X4012" s="0" t="n">
        <f aca="false">SUMPRODUCT(I4012:W4012,_XtX!$B$96:$P$96)</f>
        <v>47.9338633040935</v>
      </c>
      <c r="Y4012" s="0" t="n">
        <f aca="false">SUMPRODUCT(MMULT(I4012:W4012,_XtX!$B$78:$P$92),I4012:W4012)</f>
        <v>0.120448419225146</v>
      </c>
      <c r="Z4012" s="0" t="n">
        <f aca="false">04_回帰ANOVA!$K$19*04_回帰ANOVA!$K$14*SQRT(1+Y4012)</f>
        <v>1.37973069703246</v>
      </c>
      <c r="AA4012" s="0" t="n">
        <f aca="false">X4012-Z4012</f>
        <v>46.5541326070611</v>
      </c>
      <c r="AB4012" s="0" t="n">
        <f aca="false">X4012+Z4012</f>
        <v>49.313594001126</v>
      </c>
      <c r="AC4012" s="54" t="b">
        <f aca="false">AND(E4012&gt;=01_因子設定!$L$5-0.000000001,E4012&lt;=01_因子設定!$M$5+0.000000001,F4012&gt;=01_因子設定!$L$6-0.000000001,F4012&lt;=01_因子設定!$M$6+0.000000001,G4012&gt;=01_因子設定!$L$7-0.000000001,G4012&lt;=01_因子設定!$M$7+0.000000001,H4012&gt;=01_因子設定!$L$8-0.000000001,H4012&lt;=01_因子設定!$M$8+0.000000001,IF(01_因子設定!$B$20="Box-Behnken",E4012^2+F4012^2+G4012^2+H4012^2&lt;=2+0.000000001,TRUE()))</f>
        <v>1</v>
      </c>
      <c r="AD4012" s="55" t="n">
        <f aca="false">IF(AC4012,IF(01_因子設定!$B$13="最大化",AA4012-01_因子設定!$B$14,IF(01_因子設定!$B$13="最小化",01_因子設定!$B$15-AB4012,MIN(AA4012-01_因子設定!$B$14,01_因子設定!$B$15-AB4012))),-1E+030)</f>
        <v>0.0541326070610495</v>
      </c>
      <c r="AE4012" s="55" t="n">
        <f aca="false">IF(AC4012,IF(01_因子設定!$B$13="最大化",X4012,IF(01_因子設定!$B$13="最小化",-X4012,-ABS(X4012-01_因子設定!$B$16))),-1E+030)</f>
        <v>47.9338633040935</v>
      </c>
      <c r="AF4012" s="55" t="n">
        <f aca="false">AD4012+ROW()*0.000000001</f>
        <v>0.0541366190610495</v>
      </c>
      <c r="AG4012" s="55" t="n">
        <f aca="false">AE4012+ROW()*0.000000001</f>
        <v>47.9338673160935</v>
      </c>
    </row>
    <row r="4013" customFormat="false" ht="15" hidden="false" customHeight="false" outlineLevel="0" collapsed="false">
      <c r="A4013" s="0" t="n">
        <v>5</v>
      </c>
      <c r="B4013" s="0" t="n">
        <v>4</v>
      </c>
      <c r="C4013" s="0" t="n">
        <v>4</v>
      </c>
      <c r="D4013" s="0" t="n">
        <v>3</v>
      </c>
      <c r="E4013" s="0" t="n">
        <f aca="false">-1+A4013*0.25</f>
        <v>0.25</v>
      </c>
      <c r="F4013" s="0" t="n">
        <f aca="false">-1+B4013*0.25</f>
        <v>0</v>
      </c>
      <c r="G4013" s="0" t="n">
        <f aca="false">-1+C4013*0.25</f>
        <v>0</v>
      </c>
      <c r="H4013" s="0" t="n">
        <f aca="false">-1+D4013*0.25</f>
        <v>-0.25</v>
      </c>
      <c r="I4013" s="0" t="n">
        <f aca="false">1</f>
        <v>1</v>
      </c>
      <c r="J4013" s="0" t="n">
        <f aca="false">E4013</f>
        <v>0.25</v>
      </c>
      <c r="K4013" s="0" t="n">
        <f aca="false">F4013</f>
        <v>0</v>
      </c>
      <c r="L4013" s="0" t="n">
        <f aca="false">G4013</f>
        <v>0</v>
      </c>
      <c r="M4013" s="0" t="n">
        <f aca="false">H4013</f>
        <v>-0.25</v>
      </c>
      <c r="N4013" s="0" t="n">
        <f aca="false">E4013*F4013</f>
        <v>0</v>
      </c>
      <c r="O4013" s="0" t="n">
        <f aca="false">E4013*G4013</f>
        <v>0</v>
      </c>
      <c r="P4013" s="0" t="n">
        <f aca="false">E4013*H4013</f>
        <v>-0.0625</v>
      </c>
      <c r="Q4013" s="0" t="n">
        <f aca="false">F4013*G4013</f>
        <v>0</v>
      </c>
      <c r="R4013" s="0" t="n">
        <f aca="false">F4013*H4013</f>
        <v>-0</v>
      </c>
      <c r="S4013" s="0" t="n">
        <f aca="false">G4013*H4013</f>
        <v>-0</v>
      </c>
      <c r="T4013" s="0" t="n">
        <f aca="false">E4013*E4013</f>
        <v>0.0625</v>
      </c>
      <c r="U4013" s="0" t="n">
        <f aca="false">F4013*F4013</f>
        <v>0</v>
      </c>
      <c r="V4013" s="0" t="n">
        <f aca="false">G4013*G4013</f>
        <v>0</v>
      </c>
      <c r="W4013" s="0" t="n">
        <f aca="false">H4013*H4013</f>
        <v>0.0625</v>
      </c>
      <c r="X4013" s="0" t="n">
        <f aca="false">SUMPRODUCT(I4013:W4013,_XtX!$B$96:$P$96)</f>
        <v>48.1147752192982</v>
      </c>
      <c r="Y4013" s="0" t="n">
        <f aca="false">SUMPRODUCT(MMULT(I4013:W4013,_XtX!$B$78:$P$92),I4013:W4013)</f>
        <v>0.0992253175255848</v>
      </c>
      <c r="Z4013" s="0" t="n">
        <f aca="false">04_回帰ANOVA!$K$19*04_回帰ANOVA!$K$14*SQRT(1+Y4013)</f>
        <v>1.36660106238383</v>
      </c>
      <c r="AA4013" s="0" t="n">
        <f aca="false">X4013-Z4013</f>
        <v>46.7481741569144</v>
      </c>
      <c r="AB4013" s="0" t="n">
        <f aca="false">X4013+Z4013</f>
        <v>49.481376281682</v>
      </c>
      <c r="AC4013" s="54" t="b">
        <f aca="false">AND(E4013&gt;=01_因子設定!$L$5-0.000000001,E4013&lt;=01_因子設定!$M$5+0.000000001,F4013&gt;=01_因子設定!$L$6-0.000000001,F4013&lt;=01_因子設定!$M$6+0.000000001,G4013&gt;=01_因子設定!$L$7-0.000000001,G4013&lt;=01_因子設定!$M$7+0.000000001,H4013&gt;=01_因子設定!$L$8-0.000000001,H4013&lt;=01_因子設定!$M$8+0.000000001,IF(01_因子設定!$B$20="Box-Behnken",E4013^2+F4013^2+G4013^2+H4013^2&lt;=2+0.000000001,TRUE()))</f>
        <v>1</v>
      </c>
      <c r="AD4013" s="55" t="n">
        <f aca="false">IF(AC4013,IF(01_因子設定!$B$13="最大化",AA4013-01_因子設定!$B$14,IF(01_因子設定!$B$13="最小化",01_因子設定!$B$15-AB4013,MIN(AA4013-01_因子設定!$B$14,01_因子設定!$B$15-AB4013))),-1E+030)</f>
        <v>0.248174156914359</v>
      </c>
      <c r="AE4013" s="55" t="n">
        <f aca="false">IF(AC4013,IF(01_因子設定!$B$13="最大化",X4013,IF(01_因子設定!$B$13="最小化",-X4013,-ABS(X4013-01_因子設定!$B$16))),-1E+030)</f>
        <v>48.1147752192982</v>
      </c>
      <c r="AF4013" s="55" t="n">
        <f aca="false">AD4013+ROW()*0.000000001</f>
        <v>0.248178169914359</v>
      </c>
      <c r="AG4013" s="55" t="n">
        <f aca="false">AE4013+ROW()*0.000000001</f>
        <v>48.1147792322982</v>
      </c>
    </row>
    <row r="4014" customFormat="false" ht="15" hidden="false" customHeight="false" outlineLevel="0" collapsed="false">
      <c r="A4014" s="0" t="n">
        <v>5</v>
      </c>
      <c r="B4014" s="0" t="n">
        <v>4</v>
      </c>
      <c r="C4014" s="0" t="n">
        <v>4</v>
      </c>
      <c r="D4014" s="0" t="n">
        <v>4</v>
      </c>
      <c r="E4014" s="0" t="n">
        <f aca="false">-1+A4014*0.25</f>
        <v>0.25</v>
      </c>
      <c r="F4014" s="0" t="n">
        <f aca="false">-1+B4014*0.25</f>
        <v>0</v>
      </c>
      <c r="G4014" s="0" t="n">
        <f aca="false">-1+C4014*0.25</f>
        <v>0</v>
      </c>
      <c r="H4014" s="0" t="n">
        <f aca="false">-1+D4014*0.25</f>
        <v>0</v>
      </c>
      <c r="I4014" s="0" t="n">
        <f aca="false">1</f>
        <v>1</v>
      </c>
      <c r="J4014" s="0" t="n">
        <f aca="false">E4014</f>
        <v>0.25</v>
      </c>
      <c r="K4014" s="0" t="n">
        <f aca="false">F4014</f>
        <v>0</v>
      </c>
      <c r="L4014" s="0" t="n">
        <f aca="false">G4014</f>
        <v>0</v>
      </c>
      <c r="M4014" s="0" t="n">
        <f aca="false">H4014</f>
        <v>0</v>
      </c>
      <c r="N4014" s="0" t="n">
        <f aca="false">E4014*F4014</f>
        <v>0</v>
      </c>
      <c r="O4014" s="0" t="n">
        <f aca="false">E4014*G4014</f>
        <v>0</v>
      </c>
      <c r="P4014" s="0" t="n">
        <f aca="false">E4014*H4014</f>
        <v>0</v>
      </c>
      <c r="Q4014" s="0" t="n">
        <f aca="false">F4014*G4014</f>
        <v>0</v>
      </c>
      <c r="R4014" s="0" t="n">
        <f aca="false">F4014*H4014</f>
        <v>0</v>
      </c>
      <c r="S4014" s="0" t="n">
        <f aca="false">G4014*H4014</f>
        <v>0</v>
      </c>
      <c r="T4014" s="0" t="n">
        <f aca="false">E4014*E4014</f>
        <v>0.0625</v>
      </c>
      <c r="U4014" s="0" t="n">
        <f aca="false">F4014*F4014</f>
        <v>0</v>
      </c>
      <c r="V4014" s="0" t="n">
        <f aca="false">G4014*G4014</f>
        <v>0</v>
      </c>
      <c r="W4014" s="0" t="n">
        <f aca="false">H4014*H4014</f>
        <v>0</v>
      </c>
      <c r="X4014" s="0" t="n">
        <f aca="false">SUMPRODUCT(I4014:W4014,_XtX!$B$96:$P$96)</f>
        <v>48.247880116959</v>
      </c>
      <c r="Y4014" s="0" t="n">
        <f aca="false">SUMPRODUCT(MMULT(I4014:W4014,_XtX!$B$78:$P$92),I4014:W4014)</f>
        <v>0.0981816520467836</v>
      </c>
      <c r="Z4014" s="0" t="n">
        <f aca="false">04_回帰ANOVA!$K$19*04_回帰ANOVA!$K$14*SQRT(1+Y4014)</f>
        <v>1.36595214489796</v>
      </c>
      <c r="AA4014" s="0" t="n">
        <f aca="false">X4014-Z4014</f>
        <v>46.881927972061</v>
      </c>
      <c r="AB4014" s="0" t="n">
        <f aca="false">X4014+Z4014</f>
        <v>49.613832261857</v>
      </c>
      <c r="AC4014" s="54" t="b">
        <f aca="false">AND(E4014&gt;=01_因子設定!$L$5-0.000000001,E4014&lt;=01_因子設定!$M$5+0.000000001,F4014&gt;=01_因子設定!$L$6-0.000000001,F4014&lt;=01_因子設定!$M$6+0.000000001,G4014&gt;=01_因子設定!$L$7-0.000000001,G4014&lt;=01_因子設定!$M$7+0.000000001,H4014&gt;=01_因子設定!$L$8-0.000000001,H4014&lt;=01_因子設定!$M$8+0.000000001,IF(01_因子設定!$B$20="Box-Behnken",E4014^2+F4014^2+G4014^2+H4014^2&lt;=2+0.000000001,TRUE()))</f>
        <v>1</v>
      </c>
      <c r="AD4014" s="55" t="n">
        <f aca="false">IF(AC4014,IF(01_因子設定!$B$13="最大化",AA4014-01_因子設定!$B$14,IF(01_因子設定!$B$13="最小化",01_因子設定!$B$15-AB4014,MIN(AA4014-01_因子設定!$B$14,01_因子設定!$B$15-AB4014))),-1E+030)</f>
        <v>0.381927972061042</v>
      </c>
      <c r="AE4014" s="55" t="n">
        <f aca="false">IF(AC4014,IF(01_因子設定!$B$13="最大化",X4014,IF(01_因子設定!$B$13="最小化",-X4014,-ABS(X4014-01_因子設定!$B$16))),-1E+030)</f>
        <v>48.247880116959</v>
      </c>
      <c r="AF4014" s="55" t="n">
        <f aca="false">AD4014+ROW()*0.000000001</f>
        <v>0.381931986061042</v>
      </c>
      <c r="AG4014" s="55" t="n">
        <f aca="false">AE4014+ROW()*0.000000001</f>
        <v>48.247884130959</v>
      </c>
    </row>
    <row r="4015" customFormat="false" ht="15" hidden="false" customHeight="false" outlineLevel="0" collapsed="false">
      <c r="A4015" s="0" t="n">
        <v>5</v>
      </c>
      <c r="B4015" s="0" t="n">
        <v>4</v>
      </c>
      <c r="C4015" s="0" t="n">
        <v>4</v>
      </c>
      <c r="D4015" s="0" t="n">
        <v>5</v>
      </c>
      <c r="E4015" s="0" t="n">
        <f aca="false">-1+A4015*0.25</f>
        <v>0.25</v>
      </c>
      <c r="F4015" s="0" t="n">
        <f aca="false">-1+B4015*0.25</f>
        <v>0</v>
      </c>
      <c r="G4015" s="0" t="n">
        <f aca="false">-1+C4015*0.25</f>
        <v>0</v>
      </c>
      <c r="H4015" s="0" t="n">
        <f aca="false">-1+D4015*0.25</f>
        <v>0.25</v>
      </c>
      <c r="I4015" s="0" t="n">
        <f aca="false">1</f>
        <v>1</v>
      </c>
      <c r="J4015" s="0" t="n">
        <f aca="false">E4015</f>
        <v>0.25</v>
      </c>
      <c r="K4015" s="0" t="n">
        <f aca="false">F4015</f>
        <v>0</v>
      </c>
      <c r="L4015" s="0" t="n">
        <f aca="false">G4015</f>
        <v>0</v>
      </c>
      <c r="M4015" s="0" t="n">
        <f aca="false">H4015</f>
        <v>0.25</v>
      </c>
      <c r="N4015" s="0" t="n">
        <f aca="false">E4015*F4015</f>
        <v>0</v>
      </c>
      <c r="O4015" s="0" t="n">
        <f aca="false">E4015*G4015</f>
        <v>0</v>
      </c>
      <c r="P4015" s="0" t="n">
        <f aca="false">E4015*H4015</f>
        <v>0.0625</v>
      </c>
      <c r="Q4015" s="0" t="n">
        <f aca="false">F4015*G4015</f>
        <v>0</v>
      </c>
      <c r="R4015" s="0" t="n">
        <f aca="false">F4015*H4015</f>
        <v>0</v>
      </c>
      <c r="S4015" s="0" t="n">
        <f aca="false">G4015*H4015</f>
        <v>0</v>
      </c>
      <c r="T4015" s="0" t="n">
        <f aca="false">E4015*E4015</f>
        <v>0.0625</v>
      </c>
      <c r="U4015" s="0" t="n">
        <f aca="false">F4015*F4015</f>
        <v>0</v>
      </c>
      <c r="V4015" s="0" t="n">
        <f aca="false">G4015*G4015</f>
        <v>0</v>
      </c>
      <c r="W4015" s="0" t="n">
        <f aca="false">H4015*H4015</f>
        <v>0.0625</v>
      </c>
      <c r="X4015" s="0" t="n">
        <f aca="false">SUMPRODUCT(I4015:W4015,_XtX!$B$96:$P$96)</f>
        <v>48.333177997076</v>
      </c>
      <c r="Y4015" s="0" t="n">
        <f aca="false">SUMPRODUCT(MMULT(I4015:W4015,_XtX!$B$78:$P$92),I4015:W4015)</f>
        <v>0.0992253175255848</v>
      </c>
      <c r="Z4015" s="0" t="n">
        <f aca="false">04_回帰ANOVA!$K$19*04_回帰ANOVA!$K$14*SQRT(1+Y4015)</f>
        <v>1.36660106238383</v>
      </c>
      <c r="AA4015" s="0" t="n">
        <f aca="false">X4015-Z4015</f>
        <v>46.9665769346921</v>
      </c>
      <c r="AB4015" s="0" t="n">
        <f aca="false">X4015+Z4015</f>
        <v>49.6997790594598</v>
      </c>
      <c r="AC4015" s="54" t="b">
        <f aca="false">AND(E4015&gt;=01_因子設定!$L$5-0.000000001,E4015&lt;=01_因子設定!$M$5+0.000000001,F4015&gt;=01_因子設定!$L$6-0.000000001,F4015&lt;=01_因子設定!$M$6+0.000000001,G4015&gt;=01_因子設定!$L$7-0.000000001,G4015&lt;=01_因子設定!$M$7+0.000000001,H4015&gt;=01_因子設定!$L$8-0.000000001,H4015&lt;=01_因子設定!$M$8+0.000000001,IF(01_因子設定!$B$20="Box-Behnken",E4015^2+F4015^2+G4015^2+H4015^2&lt;=2+0.000000001,TRUE()))</f>
        <v>1</v>
      </c>
      <c r="AD4015" s="55" t="n">
        <f aca="false">IF(AC4015,IF(01_因子設定!$B$13="最大化",AA4015-01_因子設定!$B$14,IF(01_因子設定!$B$13="最小化",01_因子設定!$B$15-AB4015,MIN(AA4015-01_因子設定!$B$14,01_因子設定!$B$15-AB4015))),-1E+030)</f>
        <v>0.466576934692135</v>
      </c>
      <c r="AE4015" s="55" t="n">
        <f aca="false">IF(AC4015,IF(01_因子設定!$B$13="最大化",X4015,IF(01_因子設定!$B$13="最小化",-X4015,-ABS(X4015-01_因子設定!$B$16))),-1E+030)</f>
        <v>48.333177997076</v>
      </c>
      <c r="AF4015" s="55" t="n">
        <f aca="false">AD4015+ROW()*0.000000001</f>
        <v>0.466580949692135</v>
      </c>
      <c r="AG4015" s="55" t="n">
        <f aca="false">AE4015+ROW()*0.000000001</f>
        <v>48.333182012076</v>
      </c>
    </row>
    <row r="4016" customFormat="false" ht="15" hidden="false" customHeight="false" outlineLevel="0" collapsed="false">
      <c r="A4016" s="0" t="n">
        <v>5</v>
      </c>
      <c r="B4016" s="0" t="n">
        <v>4</v>
      </c>
      <c r="C4016" s="0" t="n">
        <v>4</v>
      </c>
      <c r="D4016" s="0" t="n">
        <v>6</v>
      </c>
      <c r="E4016" s="0" t="n">
        <f aca="false">-1+A4016*0.25</f>
        <v>0.25</v>
      </c>
      <c r="F4016" s="0" t="n">
        <f aca="false">-1+B4016*0.25</f>
        <v>0</v>
      </c>
      <c r="G4016" s="0" t="n">
        <f aca="false">-1+C4016*0.25</f>
        <v>0</v>
      </c>
      <c r="H4016" s="0" t="n">
        <f aca="false">-1+D4016*0.25</f>
        <v>0.5</v>
      </c>
      <c r="I4016" s="0" t="n">
        <f aca="false">1</f>
        <v>1</v>
      </c>
      <c r="J4016" s="0" t="n">
        <f aca="false">E4016</f>
        <v>0.25</v>
      </c>
      <c r="K4016" s="0" t="n">
        <f aca="false">F4016</f>
        <v>0</v>
      </c>
      <c r="L4016" s="0" t="n">
        <f aca="false">G4016</f>
        <v>0</v>
      </c>
      <c r="M4016" s="0" t="n">
        <f aca="false">H4016</f>
        <v>0.5</v>
      </c>
      <c r="N4016" s="0" t="n">
        <f aca="false">E4016*F4016</f>
        <v>0</v>
      </c>
      <c r="O4016" s="0" t="n">
        <f aca="false">E4016*G4016</f>
        <v>0</v>
      </c>
      <c r="P4016" s="0" t="n">
        <f aca="false">E4016*H4016</f>
        <v>0.125</v>
      </c>
      <c r="Q4016" s="0" t="n">
        <f aca="false">F4016*G4016</f>
        <v>0</v>
      </c>
      <c r="R4016" s="0" t="n">
        <f aca="false">F4016*H4016</f>
        <v>0</v>
      </c>
      <c r="S4016" s="0" t="n">
        <f aca="false">G4016*H4016</f>
        <v>0</v>
      </c>
      <c r="T4016" s="0" t="n">
        <f aca="false">E4016*E4016</f>
        <v>0.0625</v>
      </c>
      <c r="U4016" s="0" t="n">
        <f aca="false">F4016*F4016</f>
        <v>0</v>
      </c>
      <c r="V4016" s="0" t="n">
        <f aca="false">G4016*G4016</f>
        <v>0</v>
      </c>
      <c r="W4016" s="0" t="n">
        <f aca="false">H4016*H4016</f>
        <v>0.25</v>
      </c>
      <c r="X4016" s="0" t="n">
        <f aca="false">SUMPRODUCT(I4016:W4016,_XtX!$B$96:$P$96)</f>
        <v>48.3706688596491</v>
      </c>
      <c r="Y4016" s="0" t="n">
        <f aca="false">SUMPRODUCT(MMULT(I4016:W4016,_XtX!$B$78:$P$92),I4016:W4016)</f>
        <v>0.120448419225146</v>
      </c>
      <c r="Z4016" s="0" t="n">
        <f aca="false">04_回帰ANOVA!$K$19*04_回帰ANOVA!$K$14*SQRT(1+Y4016)</f>
        <v>1.37973069703246</v>
      </c>
      <c r="AA4016" s="0" t="n">
        <f aca="false">X4016-Z4016</f>
        <v>46.9909381626166</v>
      </c>
      <c r="AB4016" s="0" t="n">
        <f aca="false">X4016+Z4016</f>
        <v>49.7503995566815</v>
      </c>
      <c r="AC4016" s="54" t="b">
        <f aca="false">AND(E4016&gt;=01_因子設定!$L$5-0.000000001,E4016&lt;=01_因子設定!$M$5+0.000000001,F4016&gt;=01_因子設定!$L$6-0.000000001,F4016&lt;=01_因子設定!$M$6+0.000000001,G4016&gt;=01_因子設定!$L$7-0.000000001,G4016&lt;=01_因子設定!$M$7+0.000000001,H4016&gt;=01_因子設定!$L$8-0.000000001,H4016&lt;=01_因子設定!$M$8+0.000000001,IF(01_因子設定!$B$20="Box-Behnken",E4016^2+F4016^2+G4016^2+H4016^2&lt;=2+0.000000001,TRUE()))</f>
        <v>1</v>
      </c>
      <c r="AD4016" s="55" t="n">
        <f aca="false">IF(AC4016,IF(01_因子設定!$B$13="最大化",AA4016-01_因子設定!$B$14,IF(01_因子設定!$B$13="最小化",01_因子設定!$B$15-AB4016,MIN(AA4016-01_因子設定!$B$14,01_因子設定!$B$15-AB4016))),-1E+030)</f>
        <v>0.490938162616608</v>
      </c>
      <c r="AE4016" s="55" t="n">
        <f aca="false">IF(AC4016,IF(01_因子設定!$B$13="最大化",X4016,IF(01_因子設定!$B$13="最小化",-X4016,-ABS(X4016-01_因子設定!$B$16))),-1E+030)</f>
        <v>48.3706688596491</v>
      </c>
      <c r="AF4016" s="55" t="n">
        <f aca="false">AD4016+ROW()*0.000000001</f>
        <v>0.490942178616608</v>
      </c>
      <c r="AG4016" s="55" t="n">
        <f aca="false">AE4016+ROW()*0.000000001</f>
        <v>48.3706728756491</v>
      </c>
    </row>
    <row r="4017" customFormat="false" ht="15" hidden="false" customHeight="false" outlineLevel="0" collapsed="false">
      <c r="A4017" s="0" t="n">
        <v>5</v>
      </c>
      <c r="B4017" s="0" t="n">
        <v>4</v>
      </c>
      <c r="C4017" s="0" t="n">
        <v>4</v>
      </c>
      <c r="D4017" s="0" t="n">
        <v>7</v>
      </c>
      <c r="E4017" s="0" t="n">
        <f aca="false">-1+A4017*0.25</f>
        <v>0.25</v>
      </c>
      <c r="F4017" s="0" t="n">
        <f aca="false">-1+B4017*0.25</f>
        <v>0</v>
      </c>
      <c r="G4017" s="0" t="n">
        <f aca="false">-1+C4017*0.25</f>
        <v>0</v>
      </c>
      <c r="H4017" s="0" t="n">
        <f aca="false">-1+D4017*0.25</f>
        <v>0.75</v>
      </c>
      <c r="I4017" s="0" t="n">
        <f aca="false">1</f>
        <v>1</v>
      </c>
      <c r="J4017" s="0" t="n">
        <f aca="false">E4017</f>
        <v>0.25</v>
      </c>
      <c r="K4017" s="0" t="n">
        <f aca="false">F4017</f>
        <v>0</v>
      </c>
      <c r="L4017" s="0" t="n">
        <f aca="false">G4017</f>
        <v>0</v>
      </c>
      <c r="M4017" s="0" t="n">
        <f aca="false">H4017</f>
        <v>0.75</v>
      </c>
      <c r="N4017" s="0" t="n">
        <f aca="false">E4017*F4017</f>
        <v>0</v>
      </c>
      <c r="O4017" s="0" t="n">
        <f aca="false">E4017*G4017</f>
        <v>0</v>
      </c>
      <c r="P4017" s="0" t="n">
        <f aca="false">E4017*H4017</f>
        <v>0.1875</v>
      </c>
      <c r="Q4017" s="0" t="n">
        <f aca="false">F4017*G4017</f>
        <v>0</v>
      </c>
      <c r="R4017" s="0" t="n">
        <f aca="false">F4017*H4017</f>
        <v>0</v>
      </c>
      <c r="S4017" s="0" t="n">
        <f aca="false">G4017*H4017</f>
        <v>0</v>
      </c>
      <c r="T4017" s="0" t="n">
        <f aca="false">E4017*E4017</f>
        <v>0.0625</v>
      </c>
      <c r="U4017" s="0" t="n">
        <f aca="false">F4017*F4017</f>
        <v>0</v>
      </c>
      <c r="V4017" s="0" t="n">
        <f aca="false">G4017*G4017</f>
        <v>0</v>
      </c>
      <c r="W4017" s="0" t="n">
        <f aca="false">H4017*H4017</f>
        <v>0.5625</v>
      </c>
      <c r="X4017" s="0" t="n">
        <f aca="false">SUMPRODUCT(I4017:W4017,_XtX!$B$96:$P$96)</f>
        <v>48.3603527046783</v>
      </c>
      <c r="Y4017" s="0" t="n">
        <f aca="false">SUMPRODUCT(MMULT(I4017:W4017,_XtX!$B$78:$P$92),I4017:W4017)</f>
        <v>0.216127272934942</v>
      </c>
      <c r="Z4017" s="0" t="n">
        <f aca="false">04_回帰ANOVA!$K$19*04_回帰ANOVA!$K$14*SQRT(1+Y4017)</f>
        <v>1.43743397896608</v>
      </c>
      <c r="AA4017" s="0" t="n">
        <f aca="false">X4017-Z4017</f>
        <v>46.9229187257122</v>
      </c>
      <c r="AB4017" s="0" t="n">
        <f aca="false">X4017+Z4017</f>
        <v>49.7977866836444</v>
      </c>
      <c r="AC4017" s="54" t="b">
        <f aca="false">AND(E4017&gt;=01_因子設定!$L$5-0.000000001,E4017&lt;=01_因子設定!$M$5+0.000000001,F4017&gt;=01_因子設定!$L$6-0.000000001,F4017&lt;=01_因子設定!$M$6+0.000000001,G4017&gt;=01_因子設定!$L$7-0.000000001,G4017&lt;=01_因子設定!$M$7+0.000000001,H4017&gt;=01_因子設定!$L$8-0.000000001,H4017&lt;=01_因子設定!$M$8+0.000000001,IF(01_因子設定!$B$20="Box-Behnken",E4017^2+F4017^2+G4017^2+H4017^2&lt;=2+0.000000001,TRUE()))</f>
        <v>1</v>
      </c>
      <c r="AD4017" s="55" t="n">
        <f aca="false">IF(AC4017,IF(01_因子設定!$B$13="最大化",AA4017-01_因子設定!$B$14,IF(01_因子設定!$B$13="最小化",01_因子設定!$B$15-AB4017,MIN(AA4017-01_因子設定!$B$14,01_因子設定!$B$15-AB4017))),-1E+030)</f>
        <v>0.422918725712243</v>
      </c>
      <c r="AE4017" s="55" t="n">
        <f aca="false">IF(AC4017,IF(01_因子設定!$B$13="最大化",X4017,IF(01_因子設定!$B$13="最小化",-X4017,-ABS(X4017-01_因子設定!$B$16))),-1E+030)</f>
        <v>48.3603527046783</v>
      </c>
      <c r="AF4017" s="55" t="n">
        <f aca="false">AD4017+ROW()*0.000000001</f>
        <v>0.422922742712243</v>
      </c>
      <c r="AG4017" s="55" t="n">
        <f aca="false">AE4017+ROW()*0.000000001</f>
        <v>48.3603567216783</v>
      </c>
    </row>
    <row r="4018" customFormat="false" ht="15" hidden="false" customHeight="false" outlineLevel="0" collapsed="false">
      <c r="A4018" s="0" t="n">
        <v>5</v>
      </c>
      <c r="B4018" s="0" t="n">
        <v>4</v>
      </c>
      <c r="C4018" s="0" t="n">
        <v>4</v>
      </c>
      <c r="D4018" s="0" t="n">
        <v>8</v>
      </c>
      <c r="E4018" s="0" t="n">
        <f aca="false">-1+A4018*0.25</f>
        <v>0.25</v>
      </c>
      <c r="F4018" s="0" t="n">
        <f aca="false">-1+B4018*0.25</f>
        <v>0</v>
      </c>
      <c r="G4018" s="0" t="n">
        <f aca="false">-1+C4018*0.25</f>
        <v>0</v>
      </c>
      <c r="H4018" s="0" t="n">
        <f aca="false">-1+D4018*0.25</f>
        <v>1</v>
      </c>
      <c r="I4018" s="0" t="n">
        <f aca="false">1</f>
        <v>1</v>
      </c>
      <c r="J4018" s="0" t="n">
        <f aca="false">E4018</f>
        <v>0.25</v>
      </c>
      <c r="K4018" s="0" t="n">
        <f aca="false">F4018</f>
        <v>0</v>
      </c>
      <c r="L4018" s="0" t="n">
        <f aca="false">G4018</f>
        <v>0</v>
      </c>
      <c r="M4018" s="0" t="n">
        <f aca="false">H4018</f>
        <v>1</v>
      </c>
      <c r="N4018" s="0" t="n">
        <f aca="false">E4018*F4018</f>
        <v>0</v>
      </c>
      <c r="O4018" s="0" t="n">
        <f aca="false">E4018*G4018</f>
        <v>0</v>
      </c>
      <c r="P4018" s="0" t="n">
        <f aca="false">E4018*H4018</f>
        <v>0.25</v>
      </c>
      <c r="Q4018" s="0" t="n">
        <f aca="false">F4018*G4018</f>
        <v>0</v>
      </c>
      <c r="R4018" s="0" t="n">
        <f aca="false">F4018*H4018</f>
        <v>0</v>
      </c>
      <c r="S4018" s="0" t="n">
        <f aca="false">G4018*H4018</f>
        <v>0</v>
      </c>
      <c r="T4018" s="0" t="n">
        <f aca="false">E4018*E4018</f>
        <v>0.0625</v>
      </c>
      <c r="U4018" s="0" t="n">
        <f aca="false">F4018*F4018</f>
        <v>0</v>
      </c>
      <c r="V4018" s="0" t="n">
        <f aca="false">G4018*G4018</f>
        <v>0</v>
      </c>
      <c r="W4018" s="0" t="n">
        <f aca="false">H4018*H4018</f>
        <v>1</v>
      </c>
      <c r="X4018" s="0" t="n">
        <f aca="false">SUMPRODUCT(I4018:W4018,_XtX!$B$96:$P$96)</f>
        <v>48.3022295321637</v>
      </c>
      <c r="Y4018" s="0" t="n">
        <f aca="false">SUMPRODUCT(MMULT(I4018:W4018,_XtX!$B$78:$P$92),I4018:W4018)</f>
        <v>0.47672240497076</v>
      </c>
      <c r="Z4018" s="0" t="n">
        <f aca="false">04_回帰ANOVA!$K$19*04_回帰ANOVA!$K$14*SQRT(1+Y4018)</f>
        <v>1.58397318352695</v>
      </c>
      <c r="AA4018" s="0" t="n">
        <f aca="false">X4018-Z4018</f>
        <v>46.7182563486368</v>
      </c>
      <c r="AB4018" s="0" t="n">
        <f aca="false">X4018+Z4018</f>
        <v>49.8862027156907</v>
      </c>
      <c r="AC4018" s="54" t="b">
        <f aca="false">AND(E4018&gt;=01_因子設定!$L$5-0.000000001,E4018&lt;=01_因子設定!$M$5+0.000000001,F4018&gt;=01_因子設定!$L$6-0.000000001,F4018&lt;=01_因子設定!$M$6+0.000000001,G4018&gt;=01_因子設定!$L$7-0.000000001,G4018&lt;=01_因子設定!$M$7+0.000000001,H4018&gt;=01_因子設定!$L$8-0.000000001,H4018&lt;=01_因子設定!$M$8+0.000000001,IF(01_因子設定!$B$20="Box-Behnken",E4018^2+F4018^2+G4018^2+H4018^2&lt;=2+0.000000001,TRUE()))</f>
        <v>1</v>
      </c>
      <c r="AD4018" s="55" t="n">
        <f aca="false">IF(AC4018,IF(01_因子設定!$B$13="最大化",AA4018-01_因子設定!$B$14,IF(01_因子設定!$B$13="最小化",01_因子設定!$B$15-AB4018,MIN(AA4018-01_因子設定!$B$14,01_因子設定!$B$15-AB4018))),-1E+030)</f>
        <v>0.218256348636778</v>
      </c>
      <c r="AE4018" s="55" t="n">
        <f aca="false">IF(AC4018,IF(01_因子設定!$B$13="最大化",X4018,IF(01_因子設定!$B$13="最小化",-X4018,-ABS(X4018-01_因子設定!$B$16))),-1E+030)</f>
        <v>48.3022295321637</v>
      </c>
      <c r="AF4018" s="55" t="n">
        <f aca="false">AD4018+ROW()*0.000000001</f>
        <v>0.218260366636778</v>
      </c>
      <c r="AG4018" s="55" t="n">
        <f aca="false">AE4018+ROW()*0.000000001</f>
        <v>48.3022335501637</v>
      </c>
    </row>
    <row r="4019" customFormat="false" ht="15" hidden="false" customHeight="false" outlineLevel="0" collapsed="false">
      <c r="A4019" s="0" t="n">
        <v>5</v>
      </c>
      <c r="B4019" s="0" t="n">
        <v>4</v>
      </c>
      <c r="C4019" s="0" t="n">
        <v>5</v>
      </c>
      <c r="D4019" s="0" t="n">
        <v>0</v>
      </c>
      <c r="E4019" s="0" t="n">
        <f aca="false">-1+A4019*0.25</f>
        <v>0.25</v>
      </c>
      <c r="F4019" s="0" t="n">
        <f aca="false">-1+B4019*0.25</f>
        <v>0</v>
      </c>
      <c r="G4019" s="0" t="n">
        <f aca="false">-1+C4019*0.25</f>
        <v>0.25</v>
      </c>
      <c r="H4019" s="0" t="n">
        <f aca="false">-1+D4019*0.25</f>
        <v>-1</v>
      </c>
      <c r="I4019" s="0" t="n">
        <f aca="false">1</f>
        <v>1</v>
      </c>
      <c r="J4019" s="0" t="n">
        <f aca="false">E4019</f>
        <v>0.25</v>
      </c>
      <c r="K4019" s="0" t="n">
        <f aca="false">F4019</f>
        <v>0</v>
      </c>
      <c r="L4019" s="0" t="n">
        <f aca="false">G4019</f>
        <v>0.25</v>
      </c>
      <c r="M4019" s="0" t="n">
        <f aca="false">H4019</f>
        <v>-1</v>
      </c>
      <c r="N4019" s="0" t="n">
        <f aca="false">E4019*F4019</f>
        <v>0</v>
      </c>
      <c r="O4019" s="0" t="n">
        <f aca="false">E4019*G4019</f>
        <v>0.0625</v>
      </c>
      <c r="P4019" s="0" t="n">
        <f aca="false">E4019*H4019</f>
        <v>-0.25</v>
      </c>
      <c r="Q4019" s="0" t="n">
        <f aca="false">F4019*G4019</f>
        <v>0</v>
      </c>
      <c r="R4019" s="0" t="n">
        <f aca="false">F4019*H4019</f>
        <v>-0</v>
      </c>
      <c r="S4019" s="0" t="n">
        <f aca="false">G4019*H4019</f>
        <v>-0.25</v>
      </c>
      <c r="T4019" s="0" t="n">
        <f aca="false">E4019*E4019</f>
        <v>0.0625</v>
      </c>
      <c r="U4019" s="0" t="n">
        <f aca="false">F4019*F4019</f>
        <v>0</v>
      </c>
      <c r="V4019" s="0" t="n">
        <f aca="false">G4019*G4019</f>
        <v>0.0625</v>
      </c>
      <c r="W4019" s="0" t="n">
        <f aca="false">H4019*H4019</f>
        <v>1</v>
      </c>
      <c r="X4019" s="0" t="n">
        <f aca="false">SUMPRODUCT(I4019:W4019,_XtX!$B$96:$P$96)</f>
        <v>47.519298245614</v>
      </c>
      <c r="Y4019" s="0" t="n">
        <f aca="false">SUMPRODUCT(MMULT(I4019:W4019,_XtX!$B$78:$P$92),I4019:W4019)</f>
        <v>0.467417934484649</v>
      </c>
      <c r="Z4019" s="0" t="n">
        <f aca="false">04_回帰ANOVA!$K$19*04_回帰ANOVA!$K$14*SQRT(1+Y4019)</f>
        <v>1.57897518244497</v>
      </c>
      <c r="AA4019" s="0" t="n">
        <f aca="false">X4019-Z4019</f>
        <v>45.940323063169</v>
      </c>
      <c r="AB4019" s="0" t="n">
        <f aca="false">X4019+Z4019</f>
        <v>49.098273428059</v>
      </c>
      <c r="AC4019" s="54" t="b">
        <f aca="false">AND(E4019&gt;=01_因子設定!$L$5-0.000000001,E4019&lt;=01_因子設定!$M$5+0.000000001,F4019&gt;=01_因子設定!$L$6-0.000000001,F4019&lt;=01_因子設定!$M$6+0.000000001,G4019&gt;=01_因子設定!$L$7-0.000000001,G4019&lt;=01_因子設定!$M$7+0.000000001,H4019&gt;=01_因子設定!$L$8-0.000000001,H4019&lt;=01_因子設定!$M$8+0.000000001,IF(01_因子設定!$B$20="Box-Behnken",E4019^2+F4019^2+G4019^2+H4019^2&lt;=2+0.000000001,TRUE()))</f>
        <v>1</v>
      </c>
      <c r="AD4019" s="55" t="n">
        <f aca="false">IF(AC4019,IF(01_因子設定!$B$13="最大化",AA4019-01_因子設定!$B$14,IF(01_因子設定!$B$13="最小化",01_因子設定!$B$15-AB4019,MIN(AA4019-01_因子設定!$B$14,01_因子設定!$B$15-AB4019))),-1E+030)</f>
        <v>-0.559676936830961</v>
      </c>
      <c r="AE4019" s="55" t="n">
        <f aca="false">IF(AC4019,IF(01_因子設定!$B$13="最大化",X4019,IF(01_因子設定!$B$13="最小化",-X4019,-ABS(X4019-01_因子設定!$B$16))),-1E+030)</f>
        <v>47.519298245614</v>
      </c>
      <c r="AF4019" s="55" t="n">
        <f aca="false">AD4019+ROW()*0.000000001</f>
        <v>-0.559672917830961</v>
      </c>
      <c r="AG4019" s="55" t="n">
        <f aca="false">AE4019+ROW()*0.000000001</f>
        <v>47.519302264614</v>
      </c>
    </row>
    <row r="4020" customFormat="false" ht="15" hidden="false" customHeight="false" outlineLevel="0" collapsed="false">
      <c r="A4020" s="0" t="n">
        <v>5</v>
      </c>
      <c r="B4020" s="0" t="n">
        <v>4</v>
      </c>
      <c r="C4020" s="0" t="n">
        <v>5</v>
      </c>
      <c r="D4020" s="0" t="n">
        <v>1</v>
      </c>
      <c r="E4020" s="0" t="n">
        <f aca="false">-1+A4020*0.25</f>
        <v>0.25</v>
      </c>
      <c r="F4020" s="0" t="n">
        <f aca="false">-1+B4020*0.25</f>
        <v>0</v>
      </c>
      <c r="G4020" s="0" t="n">
        <f aca="false">-1+C4020*0.25</f>
        <v>0.25</v>
      </c>
      <c r="H4020" s="0" t="n">
        <f aca="false">-1+D4020*0.25</f>
        <v>-0.75</v>
      </c>
      <c r="I4020" s="0" t="n">
        <f aca="false">1</f>
        <v>1</v>
      </c>
      <c r="J4020" s="0" t="n">
        <f aca="false">E4020</f>
        <v>0.25</v>
      </c>
      <c r="K4020" s="0" t="n">
        <f aca="false">F4020</f>
        <v>0</v>
      </c>
      <c r="L4020" s="0" t="n">
        <f aca="false">G4020</f>
        <v>0.25</v>
      </c>
      <c r="M4020" s="0" t="n">
        <f aca="false">H4020</f>
        <v>-0.75</v>
      </c>
      <c r="N4020" s="0" t="n">
        <f aca="false">E4020*F4020</f>
        <v>0</v>
      </c>
      <c r="O4020" s="0" t="n">
        <f aca="false">E4020*G4020</f>
        <v>0.0625</v>
      </c>
      <c r="P4020" s="0" t="n">
        <f aca="false">E4020*H4020</f>
        <v>-0.1875</v>
      </c>
      <c r="Q4020" s="0" t="n">
        <f aca="false">F4020*G4020</f>
        <v>0</v>
      </c>
      <c r="R4020" s="0" t="n">
        <f aca="false">F4020*H4020</f>
        <v>-0</v>
      </c>
      <c r="S4020" s="0" t="n">
        <f aca="false">G4020*H4020</f>
        <v>-0.1875</v>
      </c>
      <c r="T4020" s="0" t="n">
        <f aca="false">E4020*E4020</f>
        <v>0.0625</v>
      </c>
      <c r="U4020" s="0" t="n">
        <f aca="false">F4020*F4020</f>
        <v>0</v>
      </c>
      <c r="V4020" s="0" t="n">
        <f aca="false">G4020*G4020</f>
        <v>0.0625</v>
      </c>
      <c r="W4020" s="0" t="n">
        <f aca="false">H4020*H4020</f>
        <v>0.5625</v>
      </c>
      <c r="X4020" s="0" t="n">
        <f aca="false">SUMPRODUCT(I4020:W4020,_XtX!$B$96:$P$96)</f>
        <v>47.8137929459064</v>
      </c>
      <c r="Y4020" s="0" t="n">
        <f aca="false">SUMPRODUCT(MMULT(I4020:W4020,_XtX!$B$78:$P$92),I4020:W4020)</f>
        <v>0.21135011193348</v>
      </c>
      <c r="Z4020" s="0" t="n">
        <f aca="false">04_回帰ANOVA!$K$19*04_回帰ANOVA!$K$14*SQRT(1+Y4020)</f>
        <v>1.43460795469709</v>
      </c>
      <c r="AA4020" s="0" t="n">
        <f aca="false">X4020-Z4020</f>
        <v>46.3791849912093</v>
      </c>
      <c r="AB4020" s="0" t="n">
        <f aca="false">X4020+Z4020</f>
        <v>49.2484009006035</v>
      </c>
      <c r="AC4020" s="54" t="b">
        <f aca="false">AND(E4020&gt;=01_因子設定!$L$5-0.000000001,E4020&lt;=01_因子設定!$M$5+0.000000001,F4020&gt;=01_因子設定!$L$6-0.000000001,F4020&lt;=01_因子設定!$M$6+0.000000001,G4020&gt;=01_因子設定!$L$7-0.000000001,G4020&lt;=01_因子設定!$M$7+0.000000001,H4020&gt;=01_因子設定!$L$8-0.000000001,H4020&lt;=01_因子設定!$M$8+0.000000001,IF(01_因子設定!$B$20="Box-Behnken",E4020^2+F4020^2+G4020^2+H4020^2&lt;=2+0.000000001,TRUE()))</f>
        <v>1</v>
      </c>
      <c r="AD4020" s="55" t="n">
        <f aca="false">IF(AC4020,IF(01_因子設定!$B$13="最大化",AA4020-01_因子設定!$B$14,IF(01_因子設定!$B$13="最小化",01_因子設定!$B$15-AB4020,MIN(AA4020-01_因子設定!$B$14,01_因子設定!$B$15-AB4020))),-1E+030)</f>
        <v>-0.120815008790693</v>
      </c>
      <c r="AE4020" s="55" t="n">
        <f aca="false">IF(AC4020,IF(01_因子設定!$B$13="最大化",X4020,IF(01_因子設定!$B$13="最小化",-X4020,-ABS(X4020-01_因子設定!$B$16))),-1E+030)</f>
        <v>47.8137929459064</v>
      </c>
      <c r="AF4020" s="55" t="n">
        <f aca="false">AD4020+ROW()*0.000000001</f>
        <v>-0.120810988790693</v>
      </c>
      <c r="AG4020" s="55" t="n">
        <f aca="false">AE4020+ROW()*0.000000001</f>
        <v>47.8137969659064</v>
      </c>
    </row>
    <row r="4021" customFormat="false" ht="15" hidden="false" customHeight="false" outlineLevel="0" collapsed="false">
      <c r="A4021" s="0" t="n">
        <v>5</v>
      </c>
      <c r="B4021" s="0" t="n">
        <v>4</v>
      </c>
      <c r="C4021" s="0" t="n">
        <v>5</v>
      </c>
      <c r="D4021" s="0" t="n">
        <v>2</v>
      </c>
      <c r="E4021" s="0" t="n">
        <f aca="false">-1+A4021*0.25</f>
        <v>0.25</v>
      </c>
      <c r="F4021" s="0" t="n">
        <f aca="false">-1+B4021*0.25</f>
        <v>0</v>
      </c>
      <c r="G4021" s="0" t="n">
        <f aca="false">-1+C4021*0.25</f>
        <v>0.25</v>
      </c>
      <c r="H4021" s="0" t="n">
        <f aca="false">-1+D4021*0.25</f>
        <v>-0.5</v>
      </c>
      <c r="I4021" s="0" t="n">
        <f aca="false">1</f>
        <v>1</v>
      </c>
      <c r="J4021" s="0" t="n">
        <f aca="false">E4021</f>
        <v>0.25</v>
      </c>
      <c r="K4021" s="0" t="n">
        <f aca="false">F4021</f>
        <v>0</v>
      </c>
      <c r="L4021" s="0" t="n">
        <f aca="false">G4021</f>
        <v>0.25</v>
      </c>
      <c r="M4021" s="0" t="n">
        <f aca="false">H4021</f>
        <v>-0.5</v>
      </c>
      <c r="N4021" s="0" t="n">
        <f aca="false">E4021*F4021</f>
        <v>0</v>
      </c>
      <c r="O4021" s="0" t="n">
        <f aca="false">E4021*G4021</f>
        <v>0.0625</v>
      </c>
      <c r="P4021" s="0" t="n">
        <f aca="false">E4021*H4021</f>
        <v>-0.125</v>
      </c>
      <c r="Q4021" s="0" t="n">
        <f aca="false">F4021*G4021</f>
        <v>0</v>
      </c>
      <c r="R4021" s="0" t="n">
        <f aca="false">F4021*H4021</f>
        <v>-0</v>
      </c>
      <c r="S4021" s="0" t="n">
        <f aca="false">G4021*H4021</f>
        <v>-0.125</v>
      </c>
      <c r="T4021" s="0" t="n">
        <f aca="false">E4021*E4021</f>
        <v>0.0625</v>
      </c>
      <c r="U4021" s="0" t="n">
        <f aca="false">F4021*F4021</f>
        <v>0</v>
      </c>
      <c r="V4021" s="0" t="n">
        <f aca="false">G4021*G4021</f>
        <v>0.0625</v>
      </c>
      <c r="W4021" s="0" t="n">
        <f aca="false">H4021*H4021</f>
        <v>0.25</v>
      </c>
      <c r="X4021" s="0" t="n">
        <f aca="false">SUMPRODUCT(I4021:W4021,_XtX!$B$96:$P$96)</f>
        <v>48.0604806286549</v>
      </c>
      <c r="Y4021" s="0" t="n">
        <f aca="false">SUMPRODUCT(MMULT(I4021:W4021,_XtX!$B$78:$P$92),I4021:W4021)</f>
        <v>0.118905050712719</v>
      </c>
      <c r="Z4021" s="0" t="n">
        <f aca="false">04_回帰ANOVA!$K$19*04_回帰ANOVA!$K$14*SQRT(1+Y4021)</f>
        <v>1.37878011033769</v>
      </c>
      <c r="AA4021" s="0" t="n">
        <f aca="false">X4021-Z4021</f>
        <v>46.6817005183172</v>
      </c>
      <c r="AB4021" s="0" t="n">
        <f aca="false">X4021+Z4021</f>
        <v>49.4392607389926</v>
      </c>
      <c r="AC4021" s="54" t="b">
        <f aca="false">AND(E4021&gt;=01_因子設定!$L$5-0.000000001,E4021&lt;=01_因子設定!$M$5+0.000000001,F4021&gt;=01_因子設定!$L$6-0.000000001,F4021&lt;=01_因子設定!$M$6+0.000000001,G4021&gt;=01_因子設定!$L$7-0.000000001,G4021&lt;=01_因子設定!$M$7+0.000000001,H4021&gt;=01_因子設定!$L$8-0.000000001,H4021&lt;=01_因子設定!$M$8+0.000000001,IF(01_因子設定!$B$20="Box-Behnken",E4021^2+F4021^2+G4021^2+H4021^2&lt;=2+0.000000001,TRUE()))</f>
        <v>1</v>
      </c>
      <c r="AD4021" s="55" t="n">
        <f aca="false">IF(AC4021,IF(01_因子設定!$B$13="最大化",AA4021-01_因子設定!$B$14,IF(01_因子設定!$B$13="最小化",01_因子設定!$B$15-AB4021,MIN(AA4021-01_因子設定!$B$14,01_因子設定!$B$15-AB4021))),-1E+030)</f>
        <v>0.181700518317236</v>
      </c>
      <c r="AE4021" s="55" t="n">
        <f aca="false">IF(AC4021,IF(01_因子設定!$B$13="最大化",X4021,IF(01_因子設定!$B$13="最小化",-X4021,-ABS(X4021-01_因子設定!$B$16))),-1E+030)</f>
        <v>48.0604806286549</v>
      </c>
      <c r="AF4021" s="55" t="n">
        <f aca="false">AD4021+ROW()*0.000000001</f>
        <v>0.181704539317236</v>
      </c>
      <c r="AG4021" s="55" t="n">
        <f aca="false">AE4021+ROW()*0.000000001</f>
        <v>48.0604846496549</v>
      </c>
    </row>
    <row r="4022" customFormat="false" ht="15" hidden="false" customHeight="false" outlineLevel="0" collapsed="false">
      <c r="A4022" s="0" t="n">
        <v>5</v>
      </c>
      <c r="B4022" s="0" t="n">
        <v>4</v>
      </c>
      <c r="C4022" s="0" t="n">
        <v>5</v>
      </c>
      <c r="D4022" s="0" t="n">
        <v>3</v>
      </c>
      <c r="E4022" s="0" t="n">
        <f aca="false">-1+A4022*0.25</f>
        <v>0.25</v>
      </c>
      <c r="F4022" s="0" t="n">
        <f aca="false">-1+B4022*0.25</f>
        <v>0</v>
      </c>
      <c r="G4022" s="0" t="n">
        <f aca="false">-1+C4022*0.25</f>
        <v>0.25</v>
      </c>
      <c r="H4022" s="0" t="n">
        <f aca="false">-1+D4022*0.25</f>
        <v>-0.25</v>
      </c>
      <c r="I4022" s="0" t="n">
        <f aca="false">1</f>
        <v>1</v>
      </c>
      <c r="J4022" s="0" t="n">
        <f aca="false">E4022</f>
        <v>0.25</v>
      </c>
      <c r="K4022" s="0" t="n">
        <f aca="false">F4022</f>
        <v>0</v>
      </c>
      <c r="L4022" s="0" t="n">
        <f aca="false">G4022</f>
        <v>0.25</v>
      </c>
      <c r="M4022" s="0" t="n">
        <f aca="false">H4022</f>
        <v>-0.25</v>
      </c>
      <c r="N4022" s="0" t="n">
        <f aca="false">E4022*F4022</f>
        <v>0</v>
      </c>
      <c r="O4022" s="0" t="n">
        <f aca="false">E4022*G4022</f>
        <v>0.0625</v>
      </c>
      <c r="P4022" s="0" t="n">
        <f aca="false">E4022*H4022</f>
        <v>-0.0625</v>
      </c>
      <c r="Q4022" s="0" t="n">
        <f aca="false">F4022*G4022</f>
        <v>0</v>
      </c>
      <c r="R4022" s="0" t="n">
        <f aca="false">F4022*H4022</f>
        <v>-0</v>
      </c>
      <c r="S4022" s="0" t="n">
        <f aca="false">G4022*H4022</f>
        <v>-0.0625</v>
      </c>
      <c r="T4022" s="0" t="n">
        <f aca="false">E4022*E4022</f>
        <v>0.0625</v>
      </c>
      <c r="U4022" s="0" t="n">
        <f aca="false">F4022*F4022</f>
        <v>0</v>
      </c>
      <c r="V4022" s="0" t="n">
        <f aca="false">G4022*G4022</f>
        <v>0.0625</v>
      </c>
      <c r="W4022" s="0" t="n">
        <f aca="false">H4022*H4022</f>
        <v>0.0625</v>
      </c>
      <c r="X4022" s="0" t="n">
        <f aca="false">SUMPRODUCT(I4022:W4022,_XtX!$B$96:$P$96)</f>
        <v>48.2593612938596</v>
      </c>
      <c r="Y4022" s="0" t="n">
        <f aca="false">SUMPRODUCT(MMULT(I4022:W4022,_XtX!$B$78:$P$92),I4022:W4022)</f>
        <v>0.099622224506579</v>
      </c>
      <c r="Z4022" s="0" t="n">
        <f aca="false">04_回帰ANOVA!$K$19*04_回帰ANOVA!$K$14*SQRT(1+Y4022)</f>
        <v>1.3668477654658</v>
      </c>
      <c r="AA4022" s="0" t="n">
        <f aca="false">X4022-Z4022</f>
        <v>46.8925135283938</v>
      </c>
      <c r="AB4022" s="0" t="n">
        <f aca="false">X4022+Z4022</f>
        <v>49.6262090593254</v>
      </c>
      <c r="AC4022" s="54" t="b">
        <f aca="false">AND(E4022&gt;=01_因子設定!$L$5-0.000000001,E4022&lt;=01_因子設定!$M$5+0.000000001,F4022&gt;=01_因子設定!$L$6-0.000000001,F4022&lt;=01_因子設定!$M$6+0.000000001,G4022&gt;=01_因子設定!$L$7-0.000000001,G4022&lt;=01_因子設定!$M$7+0.000000001,H4022&gt;=01_因子設定!$L$8-0.000000001,H4022&lt;=01_因子設定!$M$8+0.000000001,IF(01_因子設定!$B$20="Box-Behnken",E4022^2+F4022^2+G4022^2+H4022^2&lt;=2+0.000000001,TRUE()))</f>
        <v>1</v>
      </c>
      <c r="AD4022" s="55" t="n">
        <f aca="false">IF(AC4022,IF(01_因子設定!$B$13="最大化",AA4022-01_因子設定!$B$14,IF(01_因子設定!$B$13="最小化",01_因子設定!$B$15-AB4022,MIN(AA4022-01_因子設定!$B$14,01_因子設定!$B$15-AB4022))),-1E+030)</f>
        <v>0.392513528393792</v>
      </c>
      <c r="AE4022" s="55" t="n">
        <f aca="false">IF(AC4022,IF(01_因子設定!$B$13="最大化",X4022,IF(01_因子設定!$B$13="最小化",-X4022,-ABS(X4022-01_因子設定!$B$16))),-1E+030)</f>
        <v>48.2593612938596</v>
      </c>
      <c r="AF4022" s="55" t="n">
        <f aca="false">AD4022+ROW()*0.000000001</f>
        <v>0.392517550393792</v>
      </c>
      <c r="AG4022" s="55" t="n">
        <f aca="false">AE4022+ROW()*0.000000001</f>
        <v>48.2593653158596</v>
      </c>
    </row>
    <row r="4023" customFormat="false" ht="15" hidden="false" customHeight="false" outlineLevel="0" collapsed="false">
      <c r="A4023" s="0" t="n">
        <v>5</v>
      </c>
      <c r="B4023" s="0" t="n">
        <v>4</v>
      </c>
      <c r="C4023" s="0" t="n">
        <v>5</v>
      </c>
      <c r="D4023" s="0" t="n">
        <v>4</v>
      </c>
      <c r="E4023" s="0" t="n">
        <f aca="false">-1+A4023*0.25</f>
        <v>0.25</v>
      </c>
      <c r="F4023" s="0" t="n">
        <f aca="false">-1+B4023*0.25</f>
        <v>0</v>
      </c>
      <c r="G4023" s="0" t="n">
        <f aca="false">-1+C4023*0.25</f>
        <v>0.25</v>
      </c>
      <c r="H4023" s="0" t="n">
        <f aca="false">-1+D4023*0.25</f>
        <v>0</v>
      </c>
      <c r="I4023" s="0" t="n">
        <f aca="false">1</f>
        <v>1</v>
      </c>
      <c r="J4023" s="0" t="n">
        <f aca="false">E4023</f>
        <v>0.25</v>
      </c>
      <c r="K4023" s="0" t="n">
        <f aca="false">F4023</f>
        <v>0</v>
      </c>
      <c r="L4023" s="0" t="n">
        <f aca="false">G4023</f>
        <v>0.25</v>
      </c>
      <c r="M4023" s="0" t="n">
        <f aca="false">H4023</f>
        <v>0</v>
      </c>
      <c r="N4023" s="0" t="n">
        <f aca="false">E4023*F4023</f>
        <v>0</v>
      </c>
      <c r="O4023" s="0" t="n">
        <f aca="false">E4023*G4023</f>
        <v>0.0625</v>
      </c>
      <c r="P4023" s="0" t="n">
        <f aca="false">E4023*H4023</f>
        <v>0</v>
      </c>
      <c r="Q4023" s="0" t="n">
        <f aca="false">F4023*G4023</f>
        <v>0</v>
      </c>
      <c r="R4023" s="0" t="n">
        <f aca="false">F4023*H4023</f>
        <v>0</v>
      </c>
      <c r="S4023" s="0" t="n">
        <f aca="false">G4023*H4023</f>
        <v>0</v>
      </c>
      <c r="T4023" s="0" t="n">
        <f aca="false">E4023*E4023</f>
        <v>0.0625</v>
      </c>
      <c r="U4023" s="0" t="n">
        <f aca="false">F4023*F4023</f>
        <v>0</v>
      </c>
      <c r="V4023" s="0" t="n">
        <f aca="false">G4023*G4023</f>
        <v>0.0625</v>
      </c>
      <c r="W4023" s="0" t="n">
        <f aca="false">H4023*H4023</f>
        <v>0</v>
      </c>
      <c r="X4023" s="0" t="n">
        <f aca="false">SUMPRODUCT(I4023:W4023,_XtX!$B$96:$P$96)</f>
        <v>48.4104349415204</v>
      </c>
      <c r="Y4023" s="0" t="n">
        <f aca="false">SUMPRODUCT(MMULT(I4023:W4023,_XtX!$B$78:$P$92),I4023:W4023)</f>
        <v>0.0992253175255848</v>
      </c>
      <c r="Z4023" s="0" t="n">
        <f aca="false">04_回帰ANOVA!$K$19*04_回帰ANOVA!$K$14*SQRT(1+Y4023)</f>
        <v>1.36660106238383</v>
      </c>
      <c r="AA4023" s="0" t="n">
        <f aca="false">X4023-Z4023</f>
        <v>47.0438338791366</v>
      </c>
      <c r="AB4023" s="0" t="n">
        <f aca="false">X4023+Z4023</f>
        <v>49.7770360039042</v>
      </c>
      <c r="AC4023" s="54" t="b">
        <f aca="false">AND(E4023&gt;=01_因子設定!$L$5-0.000000001,E4023&lt;=01_因子設定!$M$5+0.000000001,F4023&gt;=01_因子設定!$L$6-0.000000001,F4023&lt;=01_因子設定!$M$6+0.000000001,G4023&gt;=01_因子設定!$L$7-0.000000001,G4023&lt;=01_因子設定!$M$7+0.000000001,H4023&gt;=01_因子設定!$L$8-0.000000001,H4023&lt;=01_因子設定!$M$8+0.000000001,IF(01_因子設定!$B$20="Box-Behnken",E4023^2+F4023^2+G4023^2+H4023^2&lt;=2+0.000000001,TRUE()))</f>
        <v>1</v>
      </c>
      <c r="AD4023" s="55" t="n">
        <f aca="false">IF(AC4023,IF(01_因子設定!$B$13="最大化",AA4023-01_因子設定!$B$14,IF(01_因子設定!$B$13="最小化",01_因子設定!$B$15-AB4023,MIN(AA4023-01_因子設定!$B$14,01_因子設定!$B$15-AB4023))),-1E+030)</f>
        <v>0.543833879136578</v>
      </c>
      <c r="AE4023" s="55" t="n">
        <f aca="false">IF(AC4023,IF(01_因子設定!$B$13="最大化",X4023,IF(01_因子設定!$B$13="最小化",-X4023,-ABS(X4023-01_因子設定!$B$16))),-1E+030)</f>
        <v>48.4104349415204</v>
      </c>
      <c r="AF4023" s="55" t="n">
        <f aca="false">AD4023+ROW()*0.000000001</f>
        <v>0.543837902136578</v>
      </c>
      <c r="AG4023" s="55" t="n">
        <f aca="false">AE4023+ROW()*0.000000001</f>
        <v>48.4104389645204</v>
      </c>
    </row>
    <row r="4024" customFormat="false" ht="15" hidden="false" customHeight="false" outlineLevel="0" collapsed="false">
      <c r="A4024" s="0" t="n">
        <v>5</v>
      </c>
      <c r="B4024" s="0" t="n">
        <v>4</v>
      </c>
      <c r="C4024" s="0" t="n">
        <v>5</v>
      </c>
      <c r="D4024" s="0" t="n">
        <v>5</v>
      </c>
      <c r="E4024" s="0" t="n">
        <f aca="false">-1+A4024*0.25</f>
        <v>0.25</v>
      </c>
      <c r="F4024" s="0" t="n">
        <f aca="false">-1+B4024*0.25</f>
        <v>0</v>
      </c>
      <c r="G4024" s="0" t="n">
        <f aca="false">-1+C4024*0.25</f>
        <v>0.25</v>
      </c>
      <c r="H4024" s="0" t="n">
        <f aca="false">-1+D4024*0.25</f>
        <v>0.25</v>
      </c>
      <c r="I4024" s="0" t="n">
        <f aca="false">1</f>
        <v>1</v>
      </c>
      <c r="J4024" s="0" t="n">
        <f aca="false">E4024</f>
        <v>0.25</v>
      </c>
      <c r="K4024" s="0" t="n">
        <f aca="false">F4024</f>
        <v>0</v>
      </c>
      <c r="L4024" s="0" t="n">
        <f aca="false">G4024</f>
        <v>0.25</v>
      </c>
      <c r="M4024" s="0" t="n">
        <f aca="false">H4024</f>
        <v>0.25</v>
      </c>
      <c r="N4024" s="0" t="n">
        <f aca="false">E4024*F4024</f>
        <v>0</v>
      </c>
      <c r="O4024" s="0" t="n">
        <f aca="false">E4024*G4024</f>
        <v>0.0625</v>
      </c>
      <c r="P4024" s="0" t="n">
        <f aca="false">E4024*H4024</f>
        <v>0.0625</v>
      </c>
      <c r="Q4024" s="0" t="n">
        <f aca="false">F4024*G4024</f>
        <v>0</v>
      </c>
      <c r="R4024" s="0" t="n">
        <f aca="false">F4024*H4024</f>
        <v>0</v>
      </c>
      <c r="S4024" s="0" t="n">
        <f aca="false">G4024*H4024</f>
        <v>0.0625</v>
      </c>
      <c r="T4024" s="0" t="n">
        <f aca="false">E4024*E4024</f>
        <v>0.0625</v>
      </c>
      <c r="U4024" s="0" t="n">
        <f aca="false">F4024*F4024</f>
        <v>0</v>
      </c>
      <c r="V4024" s="0" t="n">
        <f aca="false">G4024*G4024</f>
        <v>0.0625</v>
      </c>
      <c r="W4024" s="0" t="n">
        <f aca="false">H4024*H4024</f>
        <v>0.0625</v>
      </c>
      <c r="X4024" s="0" t="n">
        <f aca="false">SUMPRODUCT(I4024:W4024,_XtX!$B$96:$P$96)</f>
        <v>48.5137015716374</v>
      </c>
      <c r="Y4024" s="0" t="n">
        <f aca="false">SUMPRODUCT(MMULT(I4024:W4024,_XtX!$B$78:$P$92),I4024:W4024)</f>
        <v>0.099622224506579</v>
      </c>
      <c r="Z4024" s="0" t="n">
        <f aca="false">04_回帰ANOVA!$K$19*04_回帰ANOVA!$K$14*SQRT(1+Y4024)</f>
        <v>1.3668477654658</v>
      </c>
      <c r="AA4024" s="0" t="n">
        <f aca="false">X4024-Z4024</f>
        <v>47.1468538061716</v>
      </c>
      <c r="AB4024" s="0" t="n">
        <f aca="false">X4024+Z4024</f>
        <v>49.8805493371032</v>
      </c>
      <c r="AC4024" s="54" t="b">
        <f aca="false">AND(E4024&gt;=01_因子設定!$L$5-0.000000001,E4024&lt;=01_因子設定!$M$5+0.000000001,F4024&gt;=01_因子設定!$L$6-0.000000001,F4024&lt;=01_因子設定!$M$6+0.000000001,G4024&gt;=01_因子設定!$L$7-0.000000001,G4024&lt;=01_因子設定!$M$7+0.000000001,H4024&gt;=01_因子設定!$L$8-0.000000001,H4024&lt;=01_因子設定!$M$8+0.000000001,IF(01_因子設定!$B$20="Box-Behnken",E4024^2+F4024^2+G4024^2+H4024^2&lt;=2+0.000000001,TRUE()))</f>
        <v>1</v>
      </c>
      <c r="AD4024" s="55" t="n">
        <f aca="false">IF(AC4024,IF(01_因子設定!$B$13="最大化",AA4024-01_因子設定!$B$14,IF(01_因子設定!$B$13="最小化",01_因子設定!$B$15-AB4024,MIN(AA4024-01_因子設定!$B$14,01_因子設定!$B$15-AB4024))),-1E+030)</f>
        <v>0.646853806171571</v>
      </c>
      <c r="AE4024" s="55" t="n">
        <f aca="false">IF(AC4024,IF(01_因子設定!$B$13="最大化",X4024,IF(01_因子設定!$B$13="最小化",-X4024,-ABS(X4024-01_因子設定!$B$16))),-1E+030)</f>
        <v>48.5137015716374</v>
      </c>
      <c r="AF4024" s="55" t="n">
        <f aca="false">AD4024+ROW()*0.000000001</f>
        <v>0.646857830171571</v>
      </c>
      <c r="AG4024" s="55" t="n">
        <f aca="false">AE4024+ROW()*0.000000001</f>
        <v>48.5137055956374</v>
      </c>
    </row>
    <row r="4025" customFormat="false" ht="15" hidden="false" customHeight="false" outlineLevel="0" collapsed="false">
      <c r="A4025" s="0" t="n">
        <v>5</v>
      </c>
      <c r="B4025" s="0" t="n">
        <v>4</v>
      </c>
      <c r="C4025" s="0" t="n">
        <v>5</v>
      </c>
      <c r="D4025" s="0" t="n">
        <v>6</v>
      </c>
      <c r="E4025" s="0" t="n">
        <f aca="false">-1+A4025*0.25</f>
        <v>0.25</v>
      </c>
      <c r="F4025" s="0" t="n">
        <f aca="false">-1+B4025*0.25</f>
        <v>0</v>
      </c>
      <c r="G4025" s="0" t="n">
        <f aca="false">-1+C4025*0.25</f>
        <v>0.25</v>
      </c>
      <c r="H4025" s="0" t="n">
        <f aca="false">-1+D4025*0.25</f>
        <v>0.5</v>
      </c>
      <c r="I4025" s="0" t="n">
        <f aca="false">1</f>
        <v>1</v>
      </c>
      <c r="J4025" s="0" t="n">
        <f aca="false">E4025</f>
        <v>0.25</v>
      </c>
      <c r="K4025" s="0" t="n">
        <f aca="false">F4025</f>
        <v>0</v>
      </c>
      <c r="L4025" s="0" t="n">
        <f aca="false">G4025</f>
        <v>0.25</v>
      </c>
      <c r="M4025" s="0" t="n">
        <f aca="false">H4025</f>
        <v>0.5</v>
      </c>
      <c r="N4025" s="0" t="n">
        <f aca="false">E4025*F4025</f>
        <v>0</v>
      </c>
      <c r="O4025" s="0" t="n">
        <f aca="false">E4025*G4025</f>
        <v>0.0625</v>
      </c>
      <c r="P4025" s="0" t="n">
        <f aca="false">E4025*H4025</f>
        <v>0.125</v>
      </c>
      <c r="Q4025" s="0" t="n">
        <f aca="false">F4025*G4025</f>
        <v>0</v>
      </c>
      <c r="R4025" s="0" t="n">
        <f aca="false">F4025*H4025</f>
        <v>0</v>
      </c>
      <c r="S4025" s="0" t="n">
        <f aca="false">G4025*H4025</f>
        <v>0.125</v>
      </c>
      <c r="T4025" s="0" t="n">
        <f aca="false">E4025*E4025</f>
        <v>0.0625</v>
      </c>
      <c r="U4025" s="0" t="n">
        <f aca="false">F4025*F4025</f>
        <v>0</v>
      </c>
      <c r="V4025" s="0" t="n">
        <f aca="false">G4025*G4025</f>
        <v>0.0625</v>
      </c>
      <c r="W4025" s="0" t="n">
        <f aca="false">H4025*H4025</f>
        <v>0.25</v>
      </c>
      <c r="X4025" s="0" t="n">
        <f aca="false">SUMPRODUCT(I4025:W4025,_XtX!$B$96:$P$96)</f>
        <v>48.5691611842105</v>
      </c>
      <c r="Y4025" s="0" t="n">
        <f aca="false">SUMPRODUCT(MMULT(I4025:W4025,_XtX!$B$78:$P$92),I4025:W4025)</f>
        <v>0.118905050712719</v>
      </c>
      <c r="Z4025" s="0" t="n">
        <f aca="false">04_回帰ANOVA!$K$19*04_回帰ANOVA!$K$14*SQRT(1+Y4025)</f>
        <v>1.37878011033769</v>
      </c>
      <c r="AA4025" s="0" t="n">
        <f aca="false">X4025-Z4025</f>
        <v>47.1903810738728</v>
      </c>
      <c r="AB4025" s="0" t="n">
        <f aca="false">X4025+Z4025</f>
        <v>49.9479412945482</v>
      </c>
      <c r="AC4025" s="54" t="b">
        <f aca="false">AND(E4025&gt;=01_因子設定!$L$5-0.000000001,E4025&lt;=01_因子設定!$M$5+0.000000001,F4025&gt;=01_因子設定!$L$6-0.000000001,F4025&lt;=01_因子設定!$M$6+0.000000001,G4025&gt;=01_因子設定!$L$7-0.000000001,G4025&lt;=01_因子設定!$M$7+0.000000001,H4025&gt;=01_因子設定!$L$8-0.000000001,H4025&lt;=01_因子設定!$M$8+0.000000001,IF(01_因子設定!$B$20="Box-Behnken",E4025^2+F4025^2+G4025^2+H4025^2&lt;=2+0.000000001,TRUE()))</f>
        <v>1</v>
      </c>
      <c r="AD4025" s="55" t="n">
        <f aca="false">IF(AC4025,IF(01_因子設定!$B$13="最大化",AA4025-01_因子設定!$B$14,IF(01_因子設定!$B$13="最小化",01_因子設定!$B$15-AB4025,MIN(AA4025-01_因子設定!$B$14,01_因子設定!$B$15-AB4025))),-1E+030)</f>
        <v>0.690381073872786</v>
      </c>
      <c r="AE4025" s="55" t="n">
        <f aca="false">IF(AC4025,IF(01_因子設定!$B$13="最大化",X4025,IF(01_因子設定!$B$13="最小化",-X4025,-ABS(X4025-01_因子設定!$B$16))),-1E+030)</f>
        <v>48.5691611842105</v>
      </c>
      <c r="AF4025" s="55" t="n">
        <f aca="false">AD4025+ROW()*0.000000001</f>
        <v>0.690385098872786</v>
      </c>
      <c r="AG4025" s="55" t="n">
        <f aca="false">AE4025+ROW()*0.000000001</f>
        <v>48.5691652092105</v>
      </c>
    </row>
    <row r="4026" customFormat="false" ht="15" hidden="false" customHeight="false" outlineLevel="0" collapsed="false">
      <c r="A4026" s="0" t="n">
        <v>5</v>
      </c>
      <c r="B4026" s="0" t="n">
        <v>4</v>
      </c>
      <c r="C4026" s="0" t="n">
        <v>5</v>
      </c>
      <c r="D4026" s="0" t="n">
        <v>7</v>
      </c>
      <c r="E4026" s="0" t="n">
        <f aca="false">-1+A4026*0.25</f>
        <v>0.25</v>
      </c>
      <c r="F4026" s="0" t="n">
        <f aca="false">-1+B4026*0.25</f>
        <v>0</v>
      </c>
      <c r="G4026" s="0" t="n">
        <f aca="false">-1+C4026*0.25</f>
        <v>0.25</v>
      </c>
      <c r="H4026" s="0" t="n">
        <f aca="false">-1+D4026*0.25</f>
        <v>0.75</v>
      </c>
      <c r="I4026" s="0" t="n">
        <f aca="false">1</f>
        <v>1</v>
      </c>
      <c r="J4026" s="0" t="n">
        <f aca="false">E4026</f>
        <v>0.25</v>
      </c>
      <c r="K4026" s="0" t="n">
        <f aca="false">F4026</f>
        <v>0</v>
      </c>
      <c r="L4026" s="0" t="n">
        <f aca="false">G4026</f>
        <v>0.25</v>
      </c>
      <c r="M4026" s="0" t="n">
        <f aca="false">H4026</f>
        <v>0.75</v>
      </c>
      <c r="N4026" s="0" t="n">
        <f aca="false">E4026*F4026</f>
        <v>0</v>
      </c>
      <c r="O4026" s="0" t="n">
        <f aca="false">E4026*G4026</f>
        <v>0.0625</v>
      </c>
      <c r="P4026" s="0" t="n">
        <f aca="false">E4026*H4026</f>
        <v>0.1875</v>
      </c>
      <c r="Q4026" s="0" t="n">
        <f aca="false">F4026*G4026</f>
        <v>0</v>
      </c>
      <c r="R4026" s="0" t="n">
        <f aca="false">F4026*H4026</f>
        <v>0</v>
      </c>
      <c r="S4026" s="0" t="n">
        <f aca="false">G4026*H4026</f>
        <v>0.1875</v>
      </c>
      <c r="T4026" s="0" t="n">
        <f aca="false">E4026*E4026</f>
        <v>0.0625</v>
      </c>
      <c r="U4026" s="0" t="n">
        <f aca="false">F4026*F4026</f>
        <v>0</v>
      </c>
      <c r="V4026" s="0" t="n">
        <f aca="false">G4026*G4026</f>
        <v>0.0625</v>
      </c>
      <c r="W4026" s="0" t="n">
        <f aca="false">H4026*H4026</f>
        <v>0.5625</v>
      </c>
      <c r="X4026" s="0" t="n">
        <f aca="false">SUMPRODUCT(I4026:W4026,_XtX!$B$96:$P$96)</f>
        <v>48.5768137792397</v>
      </c>
      <c r="Y4026" s="0" t="n">
        <f aca="false">SUMPRODUCT(MMULT(I4026:W4026,_XtX!$B$78:$P$92),I4026:W4026)</f>
        <v>0.21135011193348</v>
      </c>
      <c r="Z4026" s="0" t="n">
        <f aca="false">04_回帰ANOVA!$K$19*04_回帰ANOVA!$K$14*SQRT(1+Y4026)</f>
        <v>1.43460795469709</v>
      </c>
      <c r="AA4026" s="0" t="n">
        <f aca="false">X4026-Z4026</f>
        <v>47.1422058245426</v>
      </c>
      <c r="AB4026" s="0" t="n">
        <f aca="false">X4026+Z4026</f>
        <v>50.0114217339368</v>
      </c>
      <c r="AC4026" s="54" t="b">
        <f aca="false">AND(E4026&gt;=01_因子設定!$L$5-0.000000001,E4026&lt;=01_因子設定!$M$5+0.000000001,F4026&gt;=01_因子設定!$L$6-0.000000001,F4026&lt;=01_因子設定!$M$6+0.000000001,G4026&gt;=01_因子設定!$L$7-0.000000001,G4026&lt;=01_因子設定!$M$7+0.000000001,H4026&gt;=01_因子設定!$L$8-0.000000001,H4026&lt;=01_因子設定!$M$8+0.000000001,IF(01_因子設定!$B$20="Box-Behnken",E4026^2+F4026^2+G4026^2+H4026^2&lt;=2+0.000000001,TRUE()))</f>
        <v>1</v>
      </c>
      <c r="AD4026" s="55" t="n">
        <f aca="false">IF(AC4026,IF(01_因子設定!$B$13="最大化",AA4026-01_因子設定!$B$14,IF(01_因子設定!$B$13="最小化",01_因子設定!$B$15-AB4026,MIN(AA4026-01_因子設定!$B$14,01_因子設定!$B$15-AB4026))),-1E+030)</f>
        <v>0.642205824542643</v>
      </c>
      <c r="AE4026" s="55" t="n">
        <f aca="false">IF(AC4026,IF(01_因子設定!$B$13="最大化",X4026,IF(01_因子設定!$B$13="最小化",-X4026,-ABS(X4026-01_因子設定!$B$16))),-1E+030)</f>
        <v>48.5768137792397</v>
      </c>
      <c r="AF4026" s="55" t="n">
        <f aca="false">AD4026+ROW()*0.000000001</f>
        <v>0.642209850542643</v>
      </c>
      <c r="AG4026" s="55" t="n">
        <f aca="false">AE4026+ROW()*0.000000001</f>
        <v>48.5768178052397</v>
      </c>
    </row>
    <row r="4027" customFormat="false" ht="15" hidden="false" customHeight="false" outlineLevel="0" collapsed="false">
      <c r="A4027" s="0" t="n">
        <v>5</v>
      </c>
      <c r="B4027" s="0" t="n">
        <v>4</v>
      </c>
      <c r="C4027" s="0" t="n">
        <v>5</v>
      </c>
      <c r="D4027" s="0" t="n">
        <v>8</v>
      </c>
      <c r="E4027" s="0" t="n">
        <f aca="false">-1+A4027*0.25</f>
        <v>0.25</v>
      </c>
      <c r="F4027" s="0" t="n">
        <f aca="false">-1+B4027*0.25</f>
        <v>0</v>
      </c>
      <c r="G4027" s="0" t="n">
        <f aca="false">-1+C4027*0.25</f>
        <v>0.25</v>
      </c>
      <c r="H4027" s="0" t="n">
        <f aca="false">-1+D4027*0.25</f>
        <v>1</v>
      </c>
      <c r="I4027" s="0" t="n">
        <f aca="false">1</f>
        <v>1</v>
      </c>
      <c r="J4027" s="0" t="n">
        <f aca="false">E4027</f>
        <v>0.25</v>
      </c>
      <c r="K4027" s="0" t="n">
        <f aca="false">F4027</f>
        <v>0</v>
      </c>
      <c r="L4027" s="0" t="n">
        <f aca="false">G4027</f>
        <v>0.25</v>
      </c>
      <c r="M4027" s="0" t="n">
        <f aca="false">H4027</f>
        <v>1</v>
      </c>
      <c r="N4027" s="0" t="n">
        <f aca="false">E4027*F4027</f>
        <v>0</v>
      </c>
      <c r="O4027" s="0" t="n">
        <f aca="false">E4027*G4027</f>
        <v>0.0625</v>
      </c>
      <c r="P4027" s="0" t="n">
        <f aca="false">E4027*H4027</f>
        <v>0.25</v>
      </c>
      <c r="Q4027" s="0" t="n">
        <f aca="false">F4027*G4027</f>
        <v>0</v>
      </c>
      <c r="R4027" s="0" t="n">
        <f aca="false">F4027*H4027</f>
        <v>0</v>
      </c>
      <c r="S4027" s="0" t="n">
        <f aca="false">G4027*H4027</f>
        <v>0.25</v>
      </c>
      <c r="T4027" s="0" t="n">
        <f aca="false">E4027*E4027</f>
        <v>0.0625</v>
      </c>
      <c r="U4027" s="0" t="n">
        <f aca="false">F4027*F4027</f>
        <v>0</v>
      </c>
      <c r="V4027" s="0" t="n">
        <f aca="false">G4027*G4027</f>
        <v>0.0625</v>
      </c>
      <c r="W4027" s="0" t="n">
        <f aca="false">H4027*H4027</f>
        <v>1</v>
      </c>
      <c r="X4027" s="0" t="n">
        <f aca="false">SUMPRODUCT(I4027:W4027,_XtX!$B$96:$P$96)</f>
        <v>48.5366593567251</v>
      </c>
      <c r="Y4027" s="0" t="n">
        <f aca="false">SUMPRODUCT(MMULT(I4027:W4027,_XtX!$B$78:$P$92),I4027:W4027)</f>
        <v>0.467417934484649</v>
      </c>
      <c r="Z4027" s="0" t="n">
        <f aca="false">04_回帰ANOVA!$K$19*04_回帰ANOVA!$K$14*SQRT(1+Y4027)</f>
        <v>1.57897518244497</v>
      </c>
      <c r="AA4027" s="0" t="n">
        <f aca="false">X4027-Z4027</f>
        <v>46.9576841742802</v>
      </c>
      <c r="AB4027" s="0" t="n">
        <f aca="false">X4027+Z4027</f>
        <v>50.1156345391701</v>
      </c>
      <c r="AC4027" s="54" t="b">
        <f aca="false">AND(E4027&gt;=01_因子設定!$L$5-0.000000001,E4027&lt;=01_因子設定!$M$5+0.000000001,F4027&gt;=01_因子設定!$L$6-0.000000001,F4027&lt;=01_因子設定!$M$6+0.000000001,G4027&gt;=01_因子設定!$L$7-0.000000001,G4027&lt;=01_因子設定!$M$7+0.000000001,H4027&gt;=01_因子設定!$L$8-0.000000001,H4027&lt;=01_因子設定!$M$8+0.000000001,IF(01_因子設定!$B$20="Box-Behnken",E4027^2+F4027^2+G4027^2+H4027^2&lt;=2+0.000000001,TRUE()))</f>
        <v>1</v>
      </c>
      <c r="AD4027" s="55" t="n">
        <f aca="false">IF(AC4027,IF(01_因子設定!$B$13="最大化",AA4027-01_因子設定!$B$14,IF(01_因子設定!$B$13="最小化",01_因子設定!$B$15-AB4027,MIN(AA4027-01_因子設定!$B$14,01_因子設定!$B$15-AB4027))),-1E+030)</f>
        <v>0.457684174280153</v>
      </c>
      <c r="AE4027" s="55" t="n">
        <f aca="false">IF(AC4027,IF(01_因子設定!$B$13="最大化",X4027,IF(01_因子設定!$B$13="最小化",-X4027,-ABS(X4027-01_因子設定!$B$16))),-1E+030)</f>
        <v>48.5366593567251</v>
      </c>
      <c r="AF4027" s="55" t="n">
        <f aca="false">AD4027+ROW()*0.000000001</f>
        <v>0.457688201280153</v>
      </c>
      <c r="AG4027" s="55" t="n">
        <f aca="false">AE4027+ROW()*0.000000001</f>
        <v>48.5366633837251</v>
      </c>
    </row>
    <row r="4028" customFormat="false" ht="15" hidden="false" customHeight="false" outlineLevel="0" collapsed="false">
      <c r="A4028" s="0" t="n">
        <v>5</v>
      </c>
      <c r="B4028" s="0" t="n">
        <v>4</v>
      </c>
      <c r="C4028" s="0" t="n">
        <v>6</v>
      </c>
      <c r="D4028" s="0" t="n">
        <v>0</v>
      </c>
      <c r="E4028" s="0" t="n">
        <f aca="false">-1+A4028*0.25</f>
        <v>0.25</v>
      </c>
      <c r="F4028" s="0" t="n">
        <f aca="false">-1+B4028*0.25</f>
        <v>0</v>
      </c>
      <c r="G4028" s="0" t="n">
        <f aca="false">-1+C4028*0.25</f>
        <v>0.5</v>
      </c>
      <c r="H4028" s="0" t="n">
        <f aca="false">-1+D4028*0.25</f>
        <v>-1</v>
      </c>
      <c r="I4028" s="0" t="n">
        <f aca="false">1</f>
        <v>1</v>
      </c>
      <c r="J4028" s="0" t="n">
        <f aca="false">E4028</f>
        <v>0.25</v>
      </c>
      <c r="K4028" s="0" t="n">
        <f aca="false">F4028</f>
        <v>0</v>
      </c>
      <c r="L4028" s="0" t="n">
        <f aca="false">G4028</f>
        <v>0.5</v>
      </c>
      <c r="M4028" s="0" t="n">
        <f aca="false">H4028</f>
        <v>-1</v>
      </c>
      <c r="N4028" s="0" t="n">
        <f aca="false">E4028*F4028</f>
        <v>0</v>
      </c>
      <c r="O4028" s="0" t="n">
        <f aca="false">E4028*G4028</f>
        <v>0.125</v>
      </c>
      <c r="P4028" s="0" t="n">
        <f aca="false">E4028*H4028</f>
        <v>-0.25</v>
      </c>
      <c r="Q4028" s="0" t="n">
        <f aca="false">F4028*G4028</f>
        <v>0</v>
      </c>
      <c r="R4028" s="0" t="n">
        <f aca="false">F4028*H4028</f>
        <v>-0</v>
      </c>
      <c r="S4028" s="0" t="n">
        <f aca="false">G4028*H4028</f>
        <v>-0.5</v>
      </c>
      <c r="T4028" s="0" t="n">
        <f aca="false">E4028*E4028</f>
        <v>0.0625</v>
      </c>
      <c r="U4028" s="0" t="n">
        <f aca="false">F4028*F4028</f>
        <v>0</v>
      </c>
      <c r="V4028" s="0" t="n">
        <f aca="false">G4028*G4028</f>
        <v>0.25</v>
      </c>
      <c r="W4028" s="0" t="n">
        <f aca="false">H4028*H4028</f>
        <v>1</v>
      </c>
      <c r="X4028" s="0" t="n">
        <f aca="false">SUMPRODUCT(I4028:W4028,_XtX!$B$96:$P$96)</f>
        <v>47.5246710526316</v>
      </c>
      <c r="Y4028" s="0" t="n">
        <f aca="false">SUMPRODUCT(MMULT(I4028:W4028,_XtX!$B$78:$P$92),I4028:W4028)</f>
        <v>0.457596628289474</v>
      </c>
      <c r="Z4028" s="0" t="n">
        <f aca="false">04_回帰ANOVA!$K$19*04_回帰ANOVA!$K$14*SQRT(1+Y4028)</f>
        <v>1.57368233664366</v>
      </c>
      <c r="AA4028" s="0" t="n">
        <f aca="false">X4028-Z4028</f>
        <v>45.9509887159879</v>
      </c>
      <c r="AB4028" s="0" t="n">
        <f aca="false">X4028+Z4028</f>
        <v>49.0983533892752</v>
      </c>
      <c r="AC4028" s="54" t="b">
        <f aca="false">AND(E4028&gt;=01_因子設定!$L$5-0.000000001,E4028&lt;=01_因子設定!$M$5+0.000000001,F4028&gt;=01_因子設定!$L$6-0.000000001,F4028&lt;=01_因子設定!$M$6+0.000000001,G4028&gt;=01_因子設定!$L$7-0.000000001,G4028&lt;=01_因子設定!$M$7+0.000000001,H4028&gt;=01_因子設定!$L$8-0.000000001,H4028&lt;=01_因子設定!$M$8+0.000000001,IF(01_因子設定!$B$20="Box-Behnken",E4028^2+F4028^2+G4028^2+H4028^2&lt;=2+0.000000001,TRUE()))</f>
        <v>1</v>
      </c>
      <c r="AD4028" s="55" t="n">
        <f aca="false">IF(AC4028,IF(01_因子設定!$B$13="最大化",AA4028-01_因子設定!$B$14,IF(01_因子設定!$B$13="最小化",01_因子設定!$B$15-AB4028,MIN(AA4028-01_因子設定!$B$14,01_因子設定!$B$15-AB4028))),-1E+030)</f>
        <v>-0.549011284012096</v>
      </c>
      <c r="AE4028" s="55" t="n">
        <f aca="false">IF(AC4028,IF(01_因子設定!$B$13="最大化",X4028,IF(01_因子設定!$B$13="最小化",-X4028,-ABS(X4028-01_因子設定!$B$16))),-1E+030)</f>
        <v>47.5246710526316</v>
      </c>
      <c r="AF4028" s="55" t="n">
        <f aca="false">AD4028+ROW()*0.000000001</f>
        <v>-0.549007256012096</v>
      </c>
      <c r="AG4028" s="55" t="n">
        <f aca="false">AE4028+ROW()*0.000000001</f>
        <v>47.5246750806316</v>
      </c>
    </row>
    <row r="4029" customFormat="false" ht="15" hidden="false" customHeight="false" outlineLevel="0" collapsed="false">
      <c r="A4029" s="0" t="n">
        <v>5</v>
      </c>
      <c r="B4029" s="0" t="n">
        <v>4</v>
      </c>
      <c r="C4029" s="0" t="n">
        <v>6</v>
      </c>
      <c r="D4029" s="0" t="n">
        <v>1</v>
      </c>
      <c r="E4029" s="0" t="n">
        <f aca="false">-1+A4029*0.25</f>
        <v>0.25</v>
      </c>
      <c r="F4029" s="0" t="n">
        <f aca="false">-1+B4029*0.25</f>
        <v>0</v>
      </c>
      <c r="G4029" s="0" t="n">
        <f aca="false">-1+C4029*0.25</f>
        <v>0.5</v>
      </c>
      <c r="H4029" s="0" t="n">
        <f aca="false">-1+D4029*0.25</f>
        <v>-0.75</v>
      </c>
      <c r="I4029" s="0" t="n">
        <f aca="false">1</f>
        <v>1</v>
      </c>
      <c r="J4029" s="0" t="n">
        <f aca="false">E4029</f>
        <v>0.25</v>
      </c>
      <c r="K4029" s="0" t="n">
        <f aca="false">F4029</f>
        <v>0</v>
      </c>
      <c r="L4029" s="0" t="n">
        <f aca="false">G4029</f>
        <v>0.5</v>
      </c>
      <c r="M4029" s="0" t="n">
        <f aca="false">H4029</f>
        <v>-0.75</v>
      </c>
      <c r="N4029" s="0" t="n">
        <f aca="false">E4029*F4029</f>
        <v>0</v>
      </c>
      <c r="O4029" s="0" t="n">
        <f aca="false">E4029*G4029</f>
        <v>0.125</v>
      </c>
      <c r="P4029" s="0" t="n">
        <f aca="false">E4029*H4029</f>
        <v>-0.1875</v>
      </c>
      <c r="Q4029" s="0" t="n">
        <f aca="false">F4029*G4029</f>
        <v>0</v>
      </c>
      <c r="R4029" s="0" t="n">
        <f aca="false">F4029*H4029</f>
        <v>-0</v>
      </c>
      <c r="S4029" s="0" t="n">
        <f aca="false">G4029*H4029</f>
        <v>-0.375</v>
      </c>
      <c r="T4029" s="0" t="n">
        <f aca="false">E4029*E4029</f>
        <v>0.0625</v>
      </c>
      <c r="U4029" s="0" t="n">
        <f aca="false">F4029*F4029</f>
        <v>0</v>
      </c>
      <c r="V4029" s="0" t="n">
        <f aca="false">G4029*G4029</f>
        <v>0.25</v>
      </c>
      <c r="W4029" s="0" t="n">
        <f aca="false">H4029*H4029</f>
        <v>0.5625</v>
      </c>
      <c r="X4029" s="0" t="n">
        <f aca="false">SUMPRODUCT(I4029:W4029,_XtX!$B$96:$P$96)</f>
        <v>47.8371345029239</v>
      </c>
      <c r="Y4029" s="0" t="n">
        <f aca="false">SUMPRODUCT(MMULT(I4029:W4029,_XtX!$B$78:$P$92),I4029:W4029)</f>
        <v>0.215110734192252</v>
      </c>
      <c r="Z4029" s="0" t="n">
        <f aca="false">04_回帰ANOVA!$K$19*04_回帰ANOVA!$K$14*SQRT(1+Y4029)</f>
        <v>1.43683309086864</v>
      </c>
      <c r="AA4029" s="0" t="n">
        <f aca="false">X4029-Z4029</f>
        <v>46.4003014120553</v>
      </c>
      <c r="AB4029" s="0" t="n">
        <f aca="false">X4029+Z4029</f>
        <v>49.2739675937926</v>
      </c>
      <c r="AC4029" s="54" t="b">
        <f aca="false">AND(E4029&gt;=01_因子設定!$L$5-0.000000001,E4029&lt;=01_因子設定!$M$5+0.000000001,F4029&gt;=01_因子設定!$L$6-0.000000001,F4029&lt;=01_因子設定!$M$6+0.000000001,G4029&gt;=01_因子設定!$L$7-0.000000001,G4029&lt;=01_因子設定!$M$7+0.000000001,H4029&gt;=01_因子設定!$L$8-0.000000001,H4029&lt;=01_因子設定!$M$8+0.000000001,IF(01_因子設定!$B$20="Box-Behnken",E4029^2+F4029^2+G4029^2+H4029^2&lt;=2+0.000000001,TRUE()))</f>
        <v>1</v>
      </c>
      <c r="AD4029" s="55" t="n">
        <f aca="false">IF(AC4029,IF(01_因子設定!$B$13="最大化",AA4029-01_因子設定!$B$14,IF(01_因子設定!$B$13="最小化",01_因子設定!$B$15-AB4029,MIN(AA4029-01_因子設定!$B$14,01_因子設定!$B$15-AB4029))),-1E+030)</f>
        <v>-0.0996985879447081</v>
      </c>
      <c r="AE4029" s="55" t="n">
        <f aca="false">IF(AC4029,IF(01_因子設定!$B$13="最大化",X4029,IF(01_因子設定!$B$13="最小化",-X4029,-ABS(X4029-01_因子設定!$B$16))),-1E+030)</f>
        <v>47.8371345029239</v>
      </c>
      <c r="AF4029" s="55" t="n">
        <f aca="false">AD4029+ROW()*0.000000001</f>
        <v>-0.0996945589447081</v>
      </c>
      <c r="AG4029" s="55" t="n">
        <f aca="false">AE4029+ROW()*0.000000001</f>
        <v>47.8371385319239</v>
      </c>
    </row>
    <row r="4030" customFormat="false" ht="15" hidden="false" customHeight="false" outlineLevel="0" collapsed="false">
      <c r="A4030" s="0" t="n">
        <v>5</v>
      </c>
      <c r="B4030" s="0" t="n">
        <v>4</v>
      </c>
      <c r="C4030" s="0" t="n">
        <v>6</v>
      </c>
      <c r="D4030" s="0" t="n">
        <v>2</v>
      </c>
      <c r="E4030" s="0" t="n">
        <f aca="false">-1+A4030*0.25</f>
        <v>0.25</v>
      </c>
      <c r="F4030" s="0" t="n">
        <f aca="false">-1+B4030*0.25</f>
        <v>0</v>
      </c>
      <c r="G4030" s="0" t="n">
        <f aca="false">-1+C4030*0.25</f>
        <v>0.5</v>
      </c>
      <c r="H4030" s="0" t="n">
        <f aca="false">-1+D4030*0.25</f>
        <v>-0.5</v>
      </c>
      <c r="I4030" s="0" t="n">
        <f aca="false">1</f>
        <v>1</v>
      </c>
      <c r="J4030" s="0" t="n">
        <f aca="false">E4030</f>
        <v>0.25</v>
      </c>
      <c r="K4030" s="0" t="n">
        <f aca="false">F4030</f>
        <v>0</v>
      </c>
      <c r="L4030" s="0" t="n">
        <f aca="false">G4030</f>
        <v>0.5</v>
      </c>
      <c r="M4030" s="0" t="n">
        <f aca="false">H4030</f>
        <v>-0.5</v>
      </c>
      <c r="N4030" s="0" t="n">
        <f aca="false">E4030*F4030</f>
        <v>0</v>
      </c>
      <c r="O4030" s="0" t="n">
        <f aca="false">E4030*G4030</f>
        <v>0.125</v>
      </c>
      <c r="P4030" s="0" t="n">
        <f aca="false">E4030*H4030</f>
        <v>-0.125</v>
      </c>
      <c r="Q4030" s="0" t="n">
        <f aca="false">F4030*G4030</f>
        <v>0</v>
      </c>
      <c r="R4030" s="0" t="n">
        <f aca="false">F4030*H4030</f>
        <v>-0</v>
      </c>
      <c r="S4030" s="0" t="n">
        <f aca="false">G4030*H4030</f>
        <v>-0.25</v>
      </c>
      <c r="T4030" s="0" t="n">
        <f aca="false">E4030*E4030</f>
        <v>0.0625</v>
      </c>
      <c r="U4030" s="0" t="n">
        <f aca="false">F4030*F4030</f>
        <v>0</v>
      </c>
      <c r="V4030" s="0" t="n">
        <f aca="false">G4030*G4030</f>
        <v>0.25</v>
      </c>
      <c r="W4030" s="0" t="n">
        <f aca="false">H4030*H4030</f>
        <v>0.25</v>
      </c>
      <c r="X4030" s="0" t="n">
        <f aca="false">SUMPRODUCT(I4030:W4030,_XtX!$B$96:$P$96)</f>
        <v>48.1017909356725</v>
      </c>
      <c r="Y4030" s="0" t="n">
        <f aca="false">SUMPRODUCT(MMULT(I4030:W4030,_XtX!$B$78:$P$92),I4030:W4030)</f>
        <v>0.132367050438597</v>
      </c>
      <c r="Z4030" s="0" t="n">
        <f aca="false">04_回帰ANOVA!$K$19*04_回帰ANOVA!$K$14*SQRT(1+Y4030)</f>
        <v>1.38704964208329</v>
      </c>
      <c r="AA4030" s="0" t="n">
        <f aca="false">X4030-Z4030</f>
        <v>46.7147412935892</v>
      </c>
      <c r="AB4030" s="0" t="n">
        <f aca="false">X4030+Z4030</f>
        <v>49.4888405777558</v>
      </c>
      <c r="AC4030" s="54" t="b">
        <f aca="false">AND(E4030&gt;=01_因子設定!$L$5-0.000000001,E4030&lt;=01_因子設定!$M$5+0.000000001,F4030&gt;=01_因子設定!$L$6-0.000000001,F4030&lt;=01_因子設定!$M$6+0.000000001,G4030&gt;=01_因子設定!$L$7-0.000000001,G4030&lt;=01_因子設定!$M$7+0.000000001,H4030&gt;=01_因子設定!$L$8-0.000000001,H4030&lt;=01_因子設定!$M$8+0.000000001,IF(01_因子設定!$B$20="Box-Behnken",E4030^2+F4030^2+G4030^2+H4030^2&lt;=2+0.000000001,TRUE()))</f>
        <v>1</v>
      </c>
      <c r="AD4030" s="55" t="n">
        <f aca="false">IF(AC4030,IF(01_因子設定!$B$13="最大化",AA4030-01_因子設定!$B$14,IF(01_因子設定!$B$13="最小化",01_因子設定!$B$15-AB4030,MIN(AA4030-01_因子設定!$B$14,01_因子設定!$B$15-AB4030))),-1E+030)</f>
        <v>0.214741293589171</v>
      </c>
      <c r="AE4030" s="55" t="n">
        <f aca="false">IF(AC4030,IF(01_因子設定!$B$13="最大化",X4030,IF(01_因子設定!$B$13="最小化",-X4030,-ABS(X4030-01_因子設定!$B$16))),-1E+030)</f>
        <v>48.1017909356725</v>
      </c>
      <c r="AF4030" s="55" t="n">
        <f aca="false">AD4030+ROW()*0.000000001</f>
        <v>0.214745323589171</v>
      </c>
      <c r="AG4030" s="55" t="n">
        <f aca="false">AE4030+ROW()*0.000000001</f>
        <v>48.1017949656725</v>
      </c>
    </row>
    <row r="4031" customFormat="false" ht="15" hidden="false" customHeight="false" outlineLevel="0" collapsed="false">
      <c r="A4031" s="0" t="n">
        <v>5</v>
      </c>
      <c r="B4031" s="0" t="n">
        <v>4</v>
      </c>
      <c r="C4031" s="0" t="n">
        <v>6</v>
      </c>
      <c r="D4031" s="0" t="n">
        <v>3</v>
      </c>
      <c r="E4031" s="0" t="n">
        <f aca="false">-1+A4031*0.25</f>
        <v>0.25</v>
      </c>
      <c r="F4031" s="0" t="n">
        <f aca="false">-1+B4031*0.25</f>
        <v>0</v>
      </c>
      <c r="G4031" s="0" t="n">
        <f aca="false">-1+C4031*0.25</f>
        <v>0.5</v>
      </c>
      <c r="H4031" s="0" t="n">
        <f aca="false">-1+D4031*0.25</f>
        <v>-0.25</v>
      </c>
      <c r="I4031" s="0" t="n">
        <f aca="false">1</f>
        <v>1</v>
      </c>
      <c r="J4031" s="0" t="n">
        <f aca="false">E4031</f>
        <v>0.25</v>
      </c>
      <c r="K4031" s="0" t="n">
        <f aca="false">F4031</f>
        <v>0</v>
      </c>
      <c r="L4031" s="0" t="n">
        <f aca="false">G4031</f>
        <v>0.5</v>
      </c>
      <c r="M4031" s="0" t="n">
        <f aca="false">H4031</f>
        <v>-0.25</v>
      </c>
      <c r="N4031" s="0" t="n">
        <f aca="false">E4031*F4031</f>
        <v>0</v>
      </c>
      <c r="O4031" s="0" t="n">
        <f aca="false">E4031*G4031</f>
        <v>0.125</v>
      </c>
      <c r="P4031" s="0" t="n">
        <f aca="false">E4031*H4031</f>
        <v>-0.0625</v>
      </c>
      <c r="Q4031" s="0" t="n">
        <f aca="false">F4031*G4031</f>
        <v>0</v>
      </c>
      <c r="R4031" s="0" t="n">
        <f aca="false">F4031*H4031</f>
        <v>-0</v>
      </c>
      <c r="S4031" s="0" t="n">
        <f aca="false">G4031*H4031</f>
        <v>-0.125</v>
      </c>
      <c r="T4031" s="0" t="n">
        <f aca="false">E4031*E4031</f>
        <v>0.0625</v>
      </c>
      <c r="U4031" s="0" t="n">
        <f aca="false">F4031*F4031</f>
        <v>0</v>
      </c>
      <c r="V4031" s="0" t="n">
        <f aca="false">G4031*G4031</f>
        <v>0.25</v>
      </c>
      <c r="W4031" s="0" t="n">
        <f aca="false">H4031*H4031</f>
        <v>0.0625</v>
      </c>
      <c r="X4031" s="0" t="n">
        <f aca="false">SUMPRODUCT(I4031:W4031,_XtX!$B$96:$P$96)</f>
        <v>48.3186403508771</v>
      </c>
      <c r="Y4031" s="0" t="n">
        <f aca="false">SUMPRODUCT(MMULT(I4031:W4031,_XtX!$B$78:$P$92),I4031:W4031)</f>
        <v>0.118905050712719</v>
      </c>
      <c r="Z4031" s="0" t="n">
        <f aca="false">04_回帰ANOVA!$K$19*04_回帰ANOVA!$K$14*SQRT(1+Y4031)</f>
        <v>1.37878011033769</v>
      </c>
      <c r="AA4031" s="0" t="n">
        <f aca="false">X4031-Z4031</f>
        <v>46.9398602405395</v>
      </c>
      <c r="AB4031" s="0" t="n">
        <f aca="false">X4031+Z4031</f>
        <v>49.6974204612148</v>
      </c>
      <c r="AC4031" s="54" t="b">
        <f aca="false">AND(E4031&gt;=01_因子設定!$L$5-0.000000001,E4031&lt;=01_因子設定!$M$5+0.000000001,F4031&gt;=01_因子設定!$L$6-0.000000001,F4031&lt;=01_因子設定!$M$6+0.000000001,G4031&gt;=01_因子設定!$L$7-0.000000001,G4031&lt;=01_因子設定!$M$7+0.000000001,H4031&gt;=01_因子設定!$L$8-0.000000001,H4031&lt;=01_因子設定!$M$8+0.000000001,IF(01_因子設定!$B$20="Box-Behnken",E4031^2+F4031^2+G4031^2+H4031^2&lt;=2+0.000000001,TRUE()))</f>
        <v>1</v>
      </c>
      <c r="AD4031" s="55" t="n">
        <f aca="false">IF(AC4031,IF(01_因子設定!$B$13="最大化",AA4031-01_因子設定!$B$14,IF(01_因子設定!$B$13="最小化",01_因子設定!$B$15-AB4031,MIN(AA4031-01_因子設定!$B$14,01_因子設定!$B$15-AB4031))),-1E+030)</f>
        <v>0.439860240539453</v>
      </c>
      <c r="AE4031" s="55" t="n">
        <f aca="false">IF(AC4031,IF(01_因子設定!$B$13="最大化",X4031,IF(01_因子設定!$B$13="最小化",-X4031,-ABS(X4031-01_因子設定!$B$16))),-1E+030)</f>
        <v>48.3186403508771</v>
      </c>
      <c r="AF4031" s="55" t="n">
        <f aca="false">AD4031+ROW()*0.000000001</f>
        <v>0.439864271539453</v>
      </c>
      <c r="AG4031" s="55" t="n">
        <f aca="false">AE4031+ROW()*0.000000001</f>
        <v>48.3186443818771</v>
      </c>
    </row>
    <row r="4032" customFormat="false" ht="15" hidden="false" customHeight="false" outlineLevel="0" collapsed="false">
      <c r="A4032" s="0" t="n">
        <v>5</v>
      </c>
      <c r="B4032" s="0" t="n">
        <v>4</v>
      </c>
      <c r="C4032" s="0" t="n">
        <v>6</v>
      </c>
      <c r="D4032" s="0" t="n">
        <v>4</v>
      </c>
      <c r="E4032" s="0" t="n">
        <f aca="false">-1+A4032*0.25</f>
        <v>0.25</v>
      </c>
      <c r="F4032" s="0" t="n">
        <f aca="false">-1+B4032*0.25</f>
        <v>0</v>
      </c>
      <c r="G4032" s="0" t="n">
        <f aca="false">-1+C4032*0.25</f>
        <v>0.5</v>
      </c>
      <c r="H4032" s="0" t="n">
        <f aca="false">-1+D4032*0.25</f>
        <v>0</v>
      </c>
      <c r="I4032" s="0" t="n">
        <f aca="false">1</f>
        <v>1</v>
      </c>
      <c r="J4032" s="0" t="n">
        <f aca="false">E4032</f>
        <v>0.25</v>
      </c>
      <c r="K4032" s="0" t="n">
        <f aca="false">F4032</f>
        <v>0</v>
      </c>
      <c r="L4032" s="0" t="n">
        <f aca="false">G4032</f>
        <v>0.5</v>
      </c>
      <c r="M4032" s="0" t="n">
        <f aca="false">H4032</f>
        <v>0</v>
      </c>
      <c r="N4032" s="0" t="n">
        <f aca="false">E4032*F4032</f>
        <v>0</v>
      </c>
      <c r="O4032" s="0" t="n">
        <f aca="false">E4032*G4032</f>
        <v>0.125</v>
      </c>
      <c r="P4032" s="0" t="n">
        <f aca="false">E4032*H4032</f>
        <v>0</v>
      </c>
      <c r="Q4032" s="0" t="n">
        <f aca="false">F4032*G4032</f>
        <v>0</v>
      </c>
      <c r="R4032" s="0" t="n">
        <f aca="false">F4032*H4032</f>
        <v>0</v>
      </c>
      <c r="S4032" s="0" t="n">
        <f aca="false">G4032*H4032</f>
        <v>0</v>
      </c>
      <c r="T4032" s="0" t="n">
        <f aca="false">E4032*E4032</f>
        <v>0.0625</v>
      </c>
      <c r="U4032" s="0" t="n">
        <f aca="false">F4032*F4032</f>
        <v>0</v>
      </c>
      <c r="V4032" s="0" t="n">
        <f aca="false">G4032*G4032</f>
        <v>0.25</v>
      </c>
      <c r="W4032" s="0" t="n">
        <f aca="false">H4032*H4032</f>
        <v>0</v>
      </c>
      <c r="X4032" s="0" t="n">
        <f aca="false">SUMPRODUCT(I4032:W4032,_XtX!$B$96:$P$96)</f>
        <v>48.487682748538</v>
      </c>
      <c r="Y4032" s="0" t="n">
        <f aca="false">SUMPRODUCT(MMULT(I4032:W4032,_XtX!$B$78:$P$92),I4032:W4032)</f>
        <v>0.120448419225146</v>
      </c>
      <c r="Z4032" s="0" t="n">
        <f aca="false">04_回帰ANOVA!$K$19*04_回帰ANOVA!$K$14*SQRT(1+Y4032)</f>
        <v>1.37973069703246</v>
      </c>
      <c r="AA4032" s="0" t="n">
        <f aca="false">X4032-Z4032</f>
        <v>47.1079520515055</v>
      </c>
      <c r="AB4032" s="0" t="n">
        <f aca="false">X4032+Z4032</f>
        <v>49.8674134455704</v>
      </c>
      <c r="AC4032" s="54" t="b">
        <f aca="false">AND(E4032&gt;=01_因子設定!$L$5-0.000000001,E4032&lt;=01_因子設定!$M$5+0.000000001,F4032&gt;=01_因子設定!$L$6-0.000000001,F4032&lt;=01_因子設定!$M$6+0.000000001,G4032&gt;=01_因子設定!$L$7-0.000000001,G4032&lt;=01_因子設定!$M$7+0.000000001,H4032&gt;=01_因子設定!$L$8-0.000000001,H4032&lt;=01_因子設定!$M$8+0.000000001,IF(01_因子設定!$B$20="Box-Behnken",E4032^2+F4032^2+G4032^2+H4032^2&lt;=2+0.000000001,TRUE()))</f>
        <v>1</v>
      </c>
      <c r="AD4032" s="55" t="n">
        <f aca="false">IF(AC4032,IF(01_因子設定!$B$13="最大化",AA4032-01_因子設定!$B$14,IF(01_因子設定!$B$13="最小化",01_因子設定!$B$15-AB4032,MIN(AA4032-01_因子設定!$B$14,01_因子設定!$B$15-AB4032))),-1E+030)</f>
        <v>0.607952051505485</v>
      </c>
      <c r="AE4032" s="55" t="n">
        <f aca="false">IF(AC4032,IF(01_因子設定!$B$13="最大化",X4032,IF(01_因子設定!$B$13="最小化",-X4032,-ABS(X4032-01_因子設定!$B$16))),-1E+030)</f>
        <v>48.487682748538</v>
      </c>
      <c r="AF4032" s="55" t="n">
        <f aca="false">AD4032+ROW()*0.000000001</f>
        <v>0.607956083505485</v>
      </c>
      <c r="AG4032" s="55" t="n">
        <f aca="false">AE4032+ROW()*0.000000001</f>
        <v>48.487686780538</v>
      </c>
    </row>
    <row r="4033" customFormat="false" ht="15" hidden="false" customHeight="false" outlineLevel="0" collapsed="false">
      <c r="A4033" s="0" t="n">
        <v>5</v>
      </c>
      <c r="B4033" s="0" t="n">
        <v>4</v>
      </c>
      <c r="C4033" s="0" t="n">
        <v>6</v>
      </c>
      <c r="D4033" s="0" t="n">
        <v>5</v>
      </c>
      <c r="E4033" s="0" t="n">
        <f aca="false">-1+A4033*0.25</f>
        <v>0.25</v>
      </c>
      <c r="F4033" s="0" t="n">
        <f aca="false">-1+B4033*0.25</f>
        <v>0</v>
      </c>
      <c r="G4033" s="0" t="n">
        <f aca="false">-1+C4033*0.25</f>
        <v>0.5</v>
      </c>
      <c r="H4033" s="0" t="n">
        <f aca="false">-1+D4033*0.25</f>
        <v>0.25</v>
      </c>
      <c r="I4033" s="0" t="n">
        <f aca="false">1</f>
        <v>1</v>
      </c>
      <c r="J4033" s="0" t="n">
        <f aca="false">E4033</f>
        <v>0.25</v>
      </c>
      <c r="K4033" s="0" t="n">
        <f aca="false">F4033</f>
        <v>0</v>
      </c>
      <c r="L4033" s="0" t="n">
        <f aca="false">G4033</f>
        <v>0.5</v>
      </c>
      <c r="M4033" s="0" t="n">
        <f aca="false">H4033</f>
        <v>0.25</v>
      </c>
      <c r="N4033" s="0" t="n">
        <f aca="false">E4033*F4033</f>
        <v>0</v>
      </c>
      <c r="O4033" s="0" t="n">
        <f aca="false">E4033*G4033</f>
        <v>0.125</v>
      </c>
      <c r="P4033" s="0" t="n">
        <f aca="false">E4033*H4033</f>
        <v>0.0625</v>
      </c>
      <c r="Q4033" s="0" t="n">
        <f aca="false">F4033*G4033</f>
        <v>0</v>
      </c>
      <c r="R4033" s="0" t="n">
        <f aca="false">F4033*H4033</f>
        <v>0</v>
      </c>
      <c r="S4033" s="0" t="n">
        <f aca="false">G4033*H4033</f>
        <v>0.125</v>
      </c>
      <c r="T4033" s="0" t="n">
        <f aca="false">E4033*E4033</f>
        <v>0.0625</v>
      </c>
      <c r="U4033" s="0" t="n">
        <f aca="false">F4033*F4033</f>
        <v>0</v>
      </c>
      <c r="V4033" s="0" t="n">
        <f aca="false">G4033*G4033</f>
        <v>0.25</v>
      </c>
      <c r="W4033" s="0" t="n">
        <f aca="false">H4033*H4033</f>
        <v>0.0625</v>
      </c>
      <c r="X4033" s="0" t="n">
        <f aca="false">SUMPRODUCT(I4033:W4033,_XtX!$B$96:$P$96)</f>
        <v>48.6089181286549</v>
      </c>
      <c r="Y4033" s="0" t="n">
        <f aca="false">SUMPRODUCT(MMULT(I4033:W4033,_XtX!$B$78:$P$92),I4033:W4033)</f>
        <v>0.118905050712719</v>
      </c>
      <c r="Z4033" s="0" t="n">
        <f aca="false">04_回帰ANOVA!$K$19*04_回帰ANOVA!$K$14*SQRT(1+Y4033)</f>
        <v>1.37878011033769</v>
      </c>
      <c r="AA4033" s="0" t="n">
        <f aca="false">X4033-Z4033</f>
        <v>47.2301380183172</v>
      </c>
      <c r="AB4033" s="0" t="n">
        <f aca="false">X4033+Z4033</f>
        <v>49.9876982389926</v>
      </c>
      <c r="AC4033" s="54" t="b">
        <f aca="false">AND(E4033&gt;=01_因子設定!$L$5-0.000000001,E4033&lt;=01_因子設定!$M$5+0.000000001,F4033&gt;=01_因子設定!$L$6-0.000000001,F4033&lt;=01_因子設定!$M$6+0.000000001,G4033&gt;=01_因子設定!$L$7-0.000000001,G4033&lt;=01_因子設定!$M$7+0.000000001,H4033&gt;=01_因子設定!$L$8-0.000000001,H4033&lt;=01_因子設定!$M$8+0.000000001,IF(01_因子設定!$B$20="Box-Behnken",E4033^2+F4033^2+G4033^2+H4033^2&lt;=2+0.000000001,TRUE()))</f>
        <v>1</v>
      </c>
      <c r="AD4033" s="55" t="n">
        <f aca="false">IF(AC4033,IF(01_因子設定!$B$13="最大化",AA4033-01_因子設定!$B$14,IF(01_因子設定!$B$13="最小化",01_因子設定!$B$15-AB4033,MIN(AA4033-01_因子設定!$B$14,01_因子設定!$B$15-AB4033))),-1E+030)</f>
        <v>0.730138018317227</v>
      </c>
      <c r="AE4033" s="55" t="n">
        <f aca="false">IF(AC4033,IF(01_因子設定!$B$13="最大化",X4033,IF(01_因子設定!$B$13="最小化",-X4033,-ABS(X4033-01_因子設定!$B$16))),-1E+030)</f>
        <v>48.6089181286549</v>
      </c>
      <c r="AF4033" s="55" t="n">
        <f aca="false">AD4033+ROW()*0.000000001</f>
        <v>0.730142051317227</v>
      </c>
      <c r="AG4033" s="55" t="n">
        <f aca="false">AE4033+ROW()*0.000000001</f>
        <v>48.6089221616549</v>
      </c>
    </row>
    <row r="4034" customFormat="false" ht="15" hidden="false" customHeight="false" outlineLevel="0" collapsed="false">
      <c r="A4034" s="0" t="n">
        <v>5</v>
      </c>
      <c r="B4034" s="0" t="n">
        <v>4</v>
      </c>
      <c r="C4034" s="0" t="n">
        <v>6</v>
      </c>
      <c r="D4034" s="0" t="n">
        <v>6</v>
      </c>
      <c r="E4034" s="0" t="n">
        <f aca="false">-1+A4034*0.25</f>
        <v>0.25</v>
      </c>
      <c r="F4034" s="0" t="n">
        <f aca="false">-1+B4034*0.25</f>
        <v>0</v>
      </c>
      <c r="G4034" s="0" t="n">
        <f aca="false">-1+C4034*0.25</f>
        <v>0.5</v>
      </c>
      <c r="H4034" s="0" t="n">
        <f aca="false">-1+D4034*0.25</f>
        <v>0.5</v>
      </c>
      <c r="I4034" s="0" t="n">
        <f aca="false">1</f>
        <v>1</v>
      </c>
      <c r="J4034" s="0" t="n">
        <f aca="false">E4034</f>
        <v>0.25</v>
      </c>
      <c r="K4034" s="0" t="n">
        <f aca="false">F4034</f>
        <v>0</v>
      </c>
      <c r="L4034" s="0" t="n">
        <f aca="false">G4034</f>
        <v>0.5</v>
      </c>
      <c r="M4034" s="0" t="n">
        <f aca="false">H4034</f>
        <v>0.5</v>
      </c>
      <c r="N4034" s="0" t="n">
        <f aca="false">E4034*F4034</f>
        <v>0</v>
      </c>
      <c r="O4034" s="0" t="n">
        <f aca="false">E4034*G4034</f>
        <v>0.125</v>
      </c>
      <c r="P4034" s="0" t="n">
        <f aca="false">E4034*H4034</f>
        <v>0.125</v>
      </c>
      <c r="Q4034" s="0" t="n">
        <f aca="false">F4034*G4034</f>
        <v>0</v>
      </c>
      <c r="R4034" s="0" t="n">
        <f aca="false">F4034*H4034</f>
        <v>0</v>
      </c>
      <c r="S4034" s="0" t="n">
        <f aca="false">G4034*H4034</f>
        <v>0.25</v>
      </c>
      <c r="T4034" s="0" t="n">
        <f aca="false">E4034*E4034</f>
        <v>0.0625</v>
      </c>
      <c r="U4034" s="0" t="n">
        <f aca="false">F4034*F4034</f>
        <v>0</v>
      </c>
      <c r="V4034" s="0" t="n">
        <f aca="false">G4034*G4034</f>
        <v>0.25</v>
      </c>
      <c r="W4034" s="0" t="n">
        <f aca="false">H4034*H4034</f>
        <v>0.25</v>
      </c>
      <c r="X4034" s="0" t="n">
        <f aca="false">SUMPRODUCT(I4034:W4034,_XtX!$B$96:$P$96)</f>
        <v>48.682346491228</v>
      </c>
      <c r="Y4034" s="0" t="n">
        <f aca="false">SUMPRODUCT(MMULT(I4034:W4034,_XtX!$B$78:$P$92),I4034:W4034)</f>
        <v>0.132367050438597</v>
      </c>
      <c r="Z4034" s="0" t="n">
        <f aca="false">04_回帰ANOVA!$K$19*04_回帰ANOVA!$K$14*SQRT(1+Y4034)</f>
        <v>1.38704964208329</v>
      </c>
      <c r="AA4034" s="0" t="n">
        <f aca="false">X4034-Z4034</f>
        <v>47.2952968491447</v>
      </c>
      <c r="AB4034" s="0" t="n">
        <f aca="false">X4034+Z4034</f>
        <v>50.0693961333113</v>
      </c>
      <c r="AC4034" s="54" t="b">
        <f aca="false">AND(E4034&gt;=01_因子設定!$L$5-0.000000001,E4034&lt;=01_因子設定!$M$5+0.000000001,F4034&gt;=01_因子設定!$L$6-0.000000001,F4034&lt;=01_因子設定!$M$6+0.000000001,G4034&gt;=01_因子設定!$L$7-0.000000001,G4034&lt;=01_因子設定!$M$7+0.000000001,H4034&gt;=01_因子設定!$L$8-0.000000001,H4034&lt;=01_因子設定!$M$8+0.000000001,IF(01_因子設定!$B$20="Box-Behnken",E4034^2+F4034^2+G4034^2+H4034^2&lt;=2+0.000000001,TRUE()))</f>
        <v>1</v>
      </c>
      <c r="AD4034" s="55" t="n">
        <f aca="false">IF(AC4034,IF(01_因子設定!$B$13="最大化",AA4034-01_因子設定!$B$14,IF(01_因子設定!$B$13="最小化",01_因子設定!$B$15-AB4034,MIN(AA4034-01_因子設定!$B$14,01_因子設定!$B$15-AB4034))),-1E+030)</f>
        <v>0.795296849144727</v>
      </c>
      <c r="AE4034" s="55" t="n">
        <f aca="false">IF(AC4034,IF(01_因子設定!$B$13="最大化",X4034,IF(01_因子設定!$B$13="最小化",-X4034,-ABS(X4034-01_因子設定!$B$16))),-1E+030)</f>
        <v>48.682346491228</v>
      </c>
      <c r="AF4034" s="55" t="n">
        <f aca="false">AD4034+ROW()*0.000000001</f>
        <v>0.795300883144727</v>
      </c>
      <c r="AG4034" s="55" t="n">
        <f aca="false">AE4034+ROW()*0.000000001</f>
        <v>48.682350525228</v>
      </c>
    </row>
    <row r="4035" customFormat="false" ht="15" hidden="false" customHeight="false" outlineLevel="0" collapsed="false">
      <c r="A4035" s="0" t="n">
        <v>5</v>
      </c>
      <c r="B4035" s="0" t="n">
        <v>4</v>
      </c>
      <c r="C4035" s="0" t="n">
        <v>6</v>
      </c>
      <c r="D4035" s="0" t="n">
        <v>7</v>
      </c>
      <c r="E4035" s="0" t="n">
        <f aca="false">-1+A4035*0.25</f>
        <v>0.25</v>
      </c>
      <c r="F4035" s="0" t="n">
        <f aca="false">-1+B4035*0.25</f>
        <v>0</v>
      </c>
      <c r="G4035" s="0" t="n">
        <f aca="false">-1+C4035*0.25</f>
        <v>0.5</v>
      </c>
      <c r="H4035" s="0" t="n">
        <f aca="false">-1+D4035*0.25</f>
        <v>0.75</v>
      </c>
      <c r="I4035" s="0" t="n">
        <f aca="false">1</f>
        <v>1</v>
      </c>
      <c r="J4035" s="0" t="n">
        <f aca="false">E4035</f>
        <v>0.25</v>
      </c>
      <c r="K4035" s="0" t="n">
        <f aca="false">F4035</f>
        <v>0</v>
      </c>
      <c r="L4035" s="0" t="n">
        <f aca="false">G4035</f>
        <v>0.5</v>
      </c>
      <c r="M4035" s="0" t="n">
        <f aca="false">H4035</f>
        <v>0.75</v>
      </c>
      <c r="N4035" s="0" t="n">
        <f aca="false">E4035*F4035</f>
        <v>0</v>
      </c>
      <c r="O4035" s="0" t="n">
        <f aca="false">E4035*G4035</f>
        <v>0.125</v>
      </c>
      <c r="P4035" s="0" t="n">
        <f aca="false">E4035*H4035</f>
        <v>0.1875</v>
      </c>
      <c r="Q4035" s="0" t="n">
        <f aca="false">F4035*G4035</f>
        <v>0</v>
      </c>
      <c r="R4035" s="0" t="n">
        <f aca="false">F4035*H4035</f>
        <v>0</v>
      </c>
      <c r="S4035" s="0" t="n">
        <f aca="false">G4035*H4035</f>
        <v>0.375</v>
      </c>
      <c r="T4035" s="0" t="n">
        <f aca="false">E4035*E4035</f>
        <v>0.0625</v>
      </c>
      <c r="U4035" s="0" t="n">
        <f aca="false">F4035*F4035</f>
        <v>0</v>
      </c>
      <c r="V4035" s="0" t="n">
        <f aca="false">G4035*G4035</f>
        <v>0.25</v>
      </c>
      <c r="W4035" s="0" t="n">
        <f aca="false">H4035*H4035</f>
        <v>0.5625</v>
      </c>
      <c r="X4035" s="0" t="n">
        <f aca="false">SUMPRODUCT(I4035:W4035,_XtX!$B$96:$P$96)</f>
        <v>48.7079678362573</v>
      </c>
      <c r="Y4035" s="0" t="n">
        <f aca="false">SUMPRODUCT(MMULT(I4035:W4035,_XtX!$B$78:$P$92),I4035:W4035)</f>
        <v>0.215110734192252</v>
      </c>
      <c r="Z4035" s="0" t="n">
        <f aca="false">04_回帰ANOVA!$K$19*04_回帰ANOVA!$K$14*SQRT(1+Y4035)</f>
        <v>1.43683309086864</v>
      </c>
      <c r="AA4035" s="0" t="n">
        <f aca="false">X4035-Z4035</f>
        <v>47.2711347453886</v>
      </c>
      <c r="AB4035" s="0" t="n">
        <f aca="false">X4035+Z4035</f>
        <v>50.1448009271259</v>
      </c>
      <c r="AC4035" s="54" t="b">
        <f aca="false">AND(E4035&gt;=01_因子設定!$L$5-0.000000001,E4035&lt;=01_因子設定!$M$5+0.000000001,F4035&gt;=01_因子設定!$L$6-0.000000001,F4035&lt;=01_因子設定!$M$6+0.000000001,G4035&gt;=01_因子設定!$L$7-0.000000001,G4035&lt;=01_因子設定!$M$7+0.000000001,H4035&gt;=01_因子設定!$L$8-0.000000001,H4035&lt;=01_因子設定!$M$8+0.000000001,IF(01_因子設定!$B$20="Box-Behnken",E4035^2+F4035^2+G4035^2+H4035^2&lt;=2+0.000000001,TRUE()))</f>
        <v>1</v>
      </c>
      <c r="AD4035" s="55" t="n">
        <f aca="false">IF(AC4035,IF(01_因子設定!$B$13="最大化",AA4035-01_因子設定!$B$14,IF(01_因子設定!$B$13="最小化",01_因子設定!$B$15-AB4035,MIN(AA4035-01_因子設定!$B$14,01_因子設定!$B$15-AB4035))),-1E+030)</f>
        <v>0.771134745388622</v>
      </c>
      <c r="AE4035" s="55" t="n">
        <f aca="false">IF(AC4035,IF(01_因子設定!$B$13="最大化",X4035,IF(01_因子設定!$B$13="最小化",-X4035,-ABS(X4035-01_因子設定!$B$16))),-1E+030)</f>
        <v>48.7079678362573</v>
      </c>
      <c r="AF4035" s="55" t="n">
        <f aca="false">AD4035+ROW()*0.000000001</f>
        <v>0.771138780388622</v>
      </c>
      <c r="AG4035" s="55" t="n">
        <f aca="false">AE4035+ROW()*0.000000001</f>
        <v>48.7079718712573</v>
      </c>
    </row>
    <row r="4036" customFormat="false" ht="15" hidden="false" customHeight="false" outlineLevel="0" collapsed="false">
      <c r="A4036" s="0" t="n">
        <v>5</v>
      </c>
      <c r="B4036" s="0" t="n">
        <v>4</v>
      </c>
      <c r="C4036" s="0" t="n">
        <v>6</v>
      </c>
      <c r="D4036" s="0" t="n">
        <v>8</v>
      </c>
      <c r="E4036" s="0" t="n">
        <f aca="false">-1+A4036*0.25</f>
        <v>0.25</v>
      </c>
      <c r="F4036" s="0" t="n">
        <f aca="false">-1+B4036*0.25</f>
        <v>0</v>
      </c>
      <c r="G4036" s="0" t="n">
        <f aca="false">-1+C4036*0.25</f>
        <v>0.5</v>
      </c>
      <c r="H4036" s="0" t="n">
        <f aca="false">-1+D4036*0.25</f>
        <v>1</v>
      </c>
      <c r="I4036" s="0" t="n">
        <f aca="false">1</f>
        <v>1</v>
      </c>
      <c r="J4036" s="0" t="n">
        <f aca="false">E4036</f>
        <v>0.25</v>
      </c>
      <c r="K4036" s="0" t="n">
        <f aca="false">F4036</f>
        <v>0</v>
      </c>
      <c r="L4036" s="0" t="n">
        <f aca="false">G4036</f>
        <v>0.5</v>
      </c>
      <c r="M4036" s="0" t="n">
        <f aca="false">H4036</f>
        <v>1</v>
      </c>
      <c r="N4036" s="0" t="n">
        <f aca="false">E4036*F4036</f>
        <v>0</v>
      </c>
      <c r="O4036" s="0" t="n">
        <f aca="false">E4036*G4036</f>
        <v>0.125</v>
      </c>
      <c r="P4036" s="0" t="n">
        <f aca="false">E4036*H4036</f>
        <v>0.25</v>
      </c>
      <c r="Q4036" s="0" t="n">
        <f aca="false">F4036*G4036</f>
        <v>0</v>
      </c>
      <c r="R4036" s="0" t="n">
        <f aca="false">F4036*H4036</f>
        <v>0</v>
      </c>
      <c r="S4036" s="0" t="n">
        <f aca="false">G4036*H4036</f>
        <v>0.5</v>
      </c>
      <c r="T4036" s="0" t="n">
        <f aca="false">E4036*E4036</f>
        <v>0.0625</v>
      </c>
      <c r="U4036" s="0" t="n">
        <f aca="false">F4036*F4036</f>
        <v>0</v>
      </c>
      <c r="V4036" s="0" t="n">
        <f aca="false">G4036*G4036</f>
        <v>0.25</v>
      </c>
      <c r="W4036" s="0" t="n">
        <f aca="false">H4036*H4036</f>
        <v>1</v>
      </c>
      <c r="X4036" s="0" t="n">
        <f aca="false">SUMPRODUCT(I4036:W4036,_XtX!$B$96:$P$96)</f>
        <v>48.6857821637427</v>
      </c>
      <c r="Y4036" s="0" t="n">
        <f aca="false">SUMPRODUCT(MMULT(I4036:W4036,_XtX!$B$78:$P$92),I4036:W4036)</f>
        <v>0.457596628289474</v>
      </c>
      <c r="Z4036" s="0" t="n">
        <f aca="false">04_回帰ANOVA!$K$19*04_回帰ANOVA!$K$14*SQRT(1+Y4036)</f>
        <v>1.57368233664366</v>
      </c>
      <c r="AA4036" s="0" t="n">
        <f aca="false">X4036-Z4036</f>
        <v>47.112099827099</v>
      </c>
      <c r="AB4036" s="0" t="n">
        <f aca="false">X4036+Z4036</f>
        <v>50.2594645003863</v>
      </c>
      <c r="AC4036" s="54" t="b">
        <f aca="false">AND(E4036&gt;=01_因子設定!$L$5-0.000000001,E4036&lt;=01_因子設定!$M$5+0.000000001,F4036&gt;=01_因子設定!$L$6-0.000000001,F4036&lt;=01_因子設定!$M$6+0.000000001,G4036&gt;=01_因子設定!$L$7-0.000000001,G4036&lt;=01_因子設定!$M$7+0.000000001,H4036&gt;=01_因子設定!$L$8-0.000000001,H4036&lt;=01_因子設定!$M$8+0.000000001,IF(01_因子設定!$B$20="Box-Behnken",E4036^2+F4036^2+G4036^2+H4036^2&lt;=2+0.000000001,TRUE()))</f>
        <v>1</v>
      </c>
      <c r="AD4036" s="55" t="n">
        <f aca="false">IF(AC4036,IF(01_因子設定!$B$13="最大化",AA4036-01_因子設定!$B$14,IF(01_因子設定!$B$13="最小化",01_因子設定!$B$15-AB4036,MIN(AA4036-01_因子設定!$B$14,01_因子設定!$B$15-AB4036))),-1E+030)</f>
        <v>0.612099827099009</v>
      </c>
      <c r="AE4036" s="55" t="n">
        <f aca="false">IF(AC4036,IF(01_因子設定!$B$13="最大化",X4036,IF(01_因子設定!$B$13="最小化",-X4036,-ABS(X4036-01_因子設定!$B$16))),-1E+030)</f>
        <v>48.6857821637427</v>
      </c>
      <c r="AF4036" s="55" t="n">
        <f aca="false">AD4036+ROW()*0.000000001</f>
        <v>0.612103863099009</v>
      </c>
      <c r="AG4036" s="55" t="n">
        <f aca="false">AE4036+ROW()*0.000000001</f>
        <v>48.6857861997427</v>
      </c>
    </row>
    <row r="4037" customFormat="false" ht="15" hidden="false" customHeight="false" outlineLevel="0" collapsed="false">
      <c r="A4037" s="0" t="n">
        <v>5</v>
      </c>
      <c r="B4037" s="0" t="n">
        <v>4</v>
      </c>
      <c r="C4037" s="0" t="n">
        <v>7</v>
      </c>
      <c r="D4037" s="0" t="n">
        <v>0</v>
      </c>
      <c r="E4037" s="0" t="n">
        <f aca="false">-1+A4037*0.25</f>
        <v>0.25</v>
      </c>
      <c r="F4037" s="0" t="n">
        <f aca="false">-1+B4037*0.25</f>
        <v>0</v>
      </c>
      <c r="G4037" s="0" t="n">
        <f aca="false">-1+C4037*0.25</f>
        <v>0.75</v>
      </c>
      <c r="H4037" s="0" t="n">
        <f aca="false">-1+D4037*0.25</f>
        <v>-1</v>
      </c>
      <c r="I4037" s="0" t="n">
        <f aca="false">1</f>
        <v>1</v>
      </c>
      <c r="J4037" s="0" t="n">
        <f aca="false">E4037</f>
        <v>0.25</v>
      </c>
      <c r="K4037" s="0" t="n">
        <f aca="false">F4037</f>
        <v>0</v>
      </c>
      <c r="L4037" s="0" t="n">
        <f aca="false">G4037</f>
        <v>0.75</v>
      </c>
      <c r="M4037" s="0" t="n">
        <f aca="false">H4037</f>
        <v>-1</v>
      </c>
      <c r="N4037" s="0" t="n">
        <f aca="false">E4037*F4037</f>
        <v>0</v>
      </c>
      <c r="O4037" s="0" t="n">
        <f aca="false">E4037*G4037</f>
        <v>0.1875</v>
      </c>
      <c r="P4037" s="0" t="n">
        <f aca="false">E4037*H4037</f>
        <v>-0.25</v>
      </c>
      <c r="Q4037" s="0" t="n">
        <f aca="false">F4037*G4037</f>
        <v>0</v>
      </c>
      <c r="R4037" s="0" t="n">
        <f aca="false">F4037*H4037</f>
        <v>-0</v>
      </c>
      <c r="S4037" s="0" t="n">
        <f aca="false">G4037*H4037</f>
        <v>-0.75</v>
      </c>
      <c r="T4037" s="0" t="n">
        <f aca="false">E4037*E4037</f>
        <v>0.0625</v>
      </c>
      <c r="U4037" s="0" t="n">
        <f aca="false">F4037*F4037</f>
        <v>0</v>
      </c>
      <c r="V4037" s="0" t="n">
        <f aca="false">G4037*G4037</f>
        <v>0.5625</v>
      </c>
      <c r="W4037" s="0" t="n">
        <f aca="false">H4037*H4037</f>
        <v>1</v>
      </c>
      <c r="X4037" s="0" t="n">
        <f aca="false">SUMPRODUCT(I4037:W4037,_XtX!$B$96:$P$96)</f>
        <v>47.4447368421052</v>
      </c>
      <c r="Y4037" s="0" t="n">
        <f aca="false">SUMPRODUCT(MMULT(I4037:W4037,_XtX!$B$78:$P$92),I4037:W4037)</f>
        <v>0.501534802174708</v>
      </c>
      <c r="Z4037" s="0" t="n">
        <f aca="false">04_回帰ANOVA!$K$19*04_回帰ANOVA!$K$14*SQRT(1+Y4037)</f>
        <v>1.59722498091333</v>
      </c>
      <c r="AA4037" s="0" t="n">
        <f aca="false">X4037-Z4037</f>
        <v>45.8475118611919</v>
      </c>
      <c r="AB4037" s="0" t="n">
        <f aca="false">X4037+Z4037</f>
        <v>49.0419618230186</v>
      </c>
      <c r="AC4037" s="54" t="b">
        <f aca="false">AND(E4037&gt;=01_因子設定!$L$5-0.000000001,E4037&lt;=01_因子設定!$M$5+0.000000001,F4037&gt;=01_因子設定!$L$6-0.000000001,F4037&lt;=01_因子設定!$M$6+0.000000001,G4037&gt;=01_因子設定!$L$7-0.000000001,G4037&lt;=01_因子設定!$M$7+0.000000001,H4037&gt;=01_因子設定!$L$8-0.000000001,H4037&lt;=01_因子設定!$M$8+0.000000001,IF(01_因子設定!$B$20="Box-Behnken",E4037^2+F4037^2+G4037^2+H4037^2&lt;=2+0.000000001,TRUE()))</f>
        <v>1</v>
      </c>
      <c r="AD4037" s="55" t="n">
        <f aca="false">IF(AC4037,IF(01_因子設定!$B$13="最大化",AA4037-01_因子設定!$B$14,IF(01_因子設定!$B$13="最小化",01_因子設定!$B$15-AB4037,MIN(AA4037-01_因子設定!$B$14,01_因子設定!$B$15-AB4037))),-1E+030)</f>
        <v>-0.652488138808089</v>
      </c>
      <c r="AE4037" s="55" t="n">
        <f aca="false">IF(AC4037,IF(01_因子設定!$B$13="最大化",X4037,IF(01_因子設定!$B$13="最小化",-X4037,-ABS(X4037-01_因子設定!$B$16))),-1E+030)</f>
        <v>47.4447368421052</v>
      </c>
      <c r="AF4037" s="55" t="n">
        <f aca="false">AD4037+ROW()*0.000000001</f>
        <v>-0.652484101808089</v>
      </c>
      <c r="AG4037" s="55" t="n">
        <f aca="false">AE4037+ROW()*0.000000001</f>
        <v>47.4447408791052</v>
      </c>
    </row>
    <row r="4038" customFormat="false" ht="15" hidden="false" customHeight="false" outlineLevel="0" collapsed="false">
      <c r="A4038" s="0" t="n">
        <v>5</v>
      </c>
      <c r="B4038" s="0" t="n">
        <v>4</v>
      </c>
      <c r="C4038" s="0" t="n">
        <v>7</v>
      </c>
      <c r="D4038" s="0" t="n">
        <v>1</v>
      </c>
      <c r="E4038" s="0" t="n">
        <f aca="false">-1+A4038*0.25</f>
        <v>0.25</v>
      </c>
      <c r="F4038" s="0" t="n">
        <f aca="false">-1+B4038*0.25</f>
        <v>0</v>
      </c>
      <c r="G4038" s="0" t="n">
        <f aca="false">-1+C4038*0.25</f>
        <v>0.75</v>
      </c>
      <c r="H4038" s="0" t="n">
        <f aca="false">-1+D4038*0.25</f>
        <v>-0.75</v>
      </c>
      <c r="I4038" s="0" t="n">
        <f aca="false">1</f>
        <v>1</v>
      </c>
      <c r="J4038" s="0" t="n">
        <f aca="false">E4038</f>
        <v>0.25</v>
      </c>
      <c r="K4038" s="0" t="n">
        <f aca="false">F4038</f>
        <v>0</v>
      </c>
      <c r="L4038" s="0" t="n">
        <f aca="false">G4038</f>
        <v>0.75</v>
      </c>
      <c r="M4038" s="0" t="n">
        <f aca="false">H4038</f>
        <v>-0.75</v>
      </c>
      <c r="N4038" s="0" t="n">
        <f aca="false">E4038*F4038</f>
        <v>0</v>
      </c>
      <c r="O4038" s="0" t="n">
        <f aca="false">E4038*G4038</f>
        <v>0.1875</v>
      </c>
      <c r="P4038" s="0" t="n">
        <f aca="false">E4038*H4038</f>
        <v>-0.1875</v>
      </c>
      <c r="Q4038" s="0" t="n">
        <f aca="false">F4038*G4038</f>
        <v>0</v>
      </c>
      <c r="R4038" s="0" t="n">
        <f aca="false">F4038*H4038</f>
        <v>-0</v>
      </c>
      <c r="S4038" s="0" t="n">
        <f aca="false">G4038*H4038</f>
        <v>-0.5625</v>
      </c>
      <c r="T4038" s="0" t="n">
        <f aca="false">E4038*E4038</f>
        <v>0.0625</v>
      </c>
      <c r="U4038" s="0" t="n">
        <f aca="false">F4038*F4038</f>
        <v>0</v>
      </c>
      <c r="V4038" s="0" t="n">
        <f aca="false">G4038*G4038</f>
        <v>0.5625</v>
      </c>
      <c r="W4038" s="0" t="n">
        <f aca="false">H4038*H4038</f>
        <v>0.5625</v>
      </c>
      <c r="X4038" s="0" t="n">
        <f aca="false">SUMPRODUCT(I4038:W4038,_XtX!$B$96:$P$96)</f>
        <v>47.7751690423976</v>
      </c>
      <c r="Y4038" s="0" t="n">
        <f aca="false">SUMPRODUCT(MMULT(I4038:W4038,_XtX!$B$78:$P$92),I4038:W4038)</f>
        <v>0.281685455500731</v>
      </c>
      <c r="Z4038" s="0" t="n">
        <f aca="false">04_回帰ANOVA!$K$19*04_回帰ANOVA!$K$14*SQRT(1+Y4038)</f>
        <v>1.47566956658694</v>
      </c>
      <c r="AA4038" s="0" t="n">
        <f aca="false">X4038-Z4038</f>
        <v>46.2994994758107</v>
      </c>
      <c r="AB4038" s="0" t="n">
        <f aca="false">X4038+Z4038</f>
        <v>49.2508386089846</v>
      </c>
      <c r="AC4038" s="54" t="b">
        <f aca="false">AND(E4038&gt;=01_因子設定!$L$5-0.000000001,E4038&lt;=01_因子設定!$M$5+0.000000001,F4038&gt;=01_因子設定!$L$6-0.000000001,F4038&lt;=01_因子設定!$M$6+0.000000001,G4038&gt;=01_因子設定!$L$7-0.000000001,G4038&lt;=01_因子設定!$M$7+0.000000001,H4038&gt;=01_因子設定!$L$8-0.000000001,H4038&lt;=01_因子設定!$M$8+0.000000001,IF(01_因子設定!$B$20="Box-Behnken",E4038^2+F4038^2+G4038^2+H4038^2&lt;=2+0.000000001,TRUE()))</f>
        <v>1</v>
      </c>
      <c r="AD4038" s="55" t="n">
        <f aca="false">IF(AC4038,IF(01_因子設定!$B$13="最大化",AA4038-01_因子設定!$B$14,IF(01_因子設定!$B$13="最小化",01_因子設定!$B$15-AB4038,MIN(AA4038-01_因子設定!$B$14,01_因子設定!$B$15-AB4038))),-1E+030)</f>
        <v>-0.200500524189316</v>
      </c>
      <c r="AE4038" s="55" t="n">
        <f aca="false">IF(AC4038,IF(01_因子設定!$B$13="最大化",X4038,IF(01_因子設定!$B$13="最小化",-X4038,-ABS(X4038-01_因子設定!$B$16))),-1E+030)</f>
        <v>47.7751690423976</v>
      </c>
      <c r="AF4038" s="55" t="n">
        <f aca="false">AD4038+ROW()*0.000000001</f>
        <v>-0.200496486189316</v>
      </c>
      <c r="AG4038" s="55" t="n">
        <f aca="false">AE4038+ROW()*0.000000001</f>
        <v>47.7751730803976</v>
      </c>
    </row>
    <row r="4039" customFormat="false" ht="15" hidden="false" customHeight="false" outlineLevel="0" collapsed="false">
      <c r="A4039" s="0" t="n">
        <v>5</v>
      </c>
      <c r="B4039" s="0" t="n">
        <v>4</v>
      </c>
      <c r="C4039" s="0" t="n">
        <v>7</v>
      </c>
      <c r="D4039" s="0" t="n">
        <v>2</v>
      </c>
      <c r="E4039" s="0" t="n">
        <f aca="false">-1+A4039*0.25</f>
        <v>0.25</v>
      </c>
      <c r="F4039" s="0" t="n">
        <f aca="false">-1+B4039*0.25</f>
        <v>0</v>
      </c>
      <c r="G4039" s="0" t="n">
        <f aca="false">-1+C4039*0.25</f>
        <v>0.75</v>
      </c>
      <c r="H4039" s="0" t="n">
        <f aca="false">-1+D4039*0.25</f>
        <v>-0.5</v>
      </c>
      <c r="I4039" s="0" t="n">
        <f aca="false">1</f>
        <v>1</v>
      </c>
      <c r="J4039" s="0" t="n">
        <f aca="false">E4039</f>
        <v>0.25</v>
      </c>
      <c r="K4039" s="0" t="n">
        <f aca="false">F4039</f>
        <v>0</v>
      </c>
      <c r="L4039" s="0" t="n">
        <f aca="false">G4039</f>
        <v>0.75</v>
      </c>
      <c r="M4039" s="0" t="n">
        <f aca="false">H4039</f>
        <v>-0.5</v>
      </c>
      <c r="N4039" s="0" t="n">
        <f aca="false">E4039*F4039</f>
        <v>0</v>
      </c>
      <c r="O4039" s="0" t="n">
        <f aca="false">E4039*G4039</f>
        <v>0.1875</v>
      </c>
      <c r="P4039" s="0" t="n">
        <f aca="false">E4039*H4039</f>
        <v>-0.125</v>
      </c>
      <c r="Q4039" s="0" t="n">
        <f aca="false">F4039*G4039</f>
        <v>0</v>
      </c>
      <c r="R4039" s="0" t="n">
        <f aca="false">F4039*H4039</f>
        <v>-0</v>
      </c>
      <c r="S4039" s="0" t="n">
        <f aca="false">G4039*H4039</f>
        <v>-0.375</v>
      </c>
      <c r="T4039" s="0" t="n">
        <f aca="false">E4039*E4039</f>
        <v>0.0625</v>
      </c>
      <c r="U4039" s="0" t="n">
        <f aca="false">F4039*F4039</f>
        <v>0</v>
      </c>
      <c r="V4039" s="0" t="n">
        <f aca="false">G4039*G4039</f>
        <v>0.5625</v>
      </c>
      <c r="W4039" s="0" t="n">
        <f aca="false">H4039*H4039</f>
        <v>0.25</v>
      </c>
      <c r="X4039" s="0" t="n">
        <f aca="false">SUMPRODUCT(I4039:W4039,_XtX!$B$96:$P$96)</f>
        <v>48.0577942251462</v>
      </c>
      <c r="Y4039" s="0" t="n">
        <f aca="false">SUMPRODUCT(MMULT(I4039:W4039,_XtX!$B$78:$P$92),I4039:W4039)</f>
        <v>0.215110734192252</v>
      </c>
      <c r="Z4039" s="0" t="n">
        <f aca="false">04_回帰ANOVA!$K$19*04_回帰ANOVA!$K$14*SQRT(1+Y4039)</f>
        <v>1.43683309086864</v>
      </c>
      <c r="AA4039" s="0" t="n">
        <f aca="false">X4039-Z4039</f>
        <v>46.6209611342775</v>
      </c>
      <c r="AB4039" s="0" t="n">
        <f aca="false">X4039+Z4039</f>
        <v>49.4946273160148</v>
      </c>
      <c r="AC4039" s="54" t="b">
        <f aca="false">AND(E4039&gt;=01_因子設定!$L$5-0.000000001,E4039&lt;=01_因子設定!$M$5+0.000000001,F4039&gt;=01_因子設定!$L$6-0.000000001,F4039&lt;=01_因子設定!$M$6+0.000000001,G4039&gt;=01_因子設定!$L$7-0.000000001,G4039&lt;=01_因子設定!$M$7+0.000000001,H4039&gt;=01_因子設定!$L$8-0.000000001,H4039&lt;=01_因子設定!$M$8+0.000000001,IF(01_因子設定!$B$20="Box-Behnken",E4039^2+F4039^2+G4039^2+H4039^2&lt;=2+0.000000001,TRUE()))</f>
        <v>1</v>
      </c>
      <c r="AD4039" s="55" t="n">
        <f aca="false">IF(AC4039,IF(01_因子設定!$B$13="最大化",AA4039-01_因子設定!$B$14,IF(01_因子設定!$B$13="最小化",01_因子設定!$B$15-AB4039,MIN(AA4039-01_因子設定!$B$14,01_因子設定!$B$15-AB4039))),-1E+030)</f>
        <v>0.120961134277508</v>
      </c>
      <c r="AE4039" s="55" t="n">
        <f aca="false">IF(AC4039,IF(01_因子設定!$B$13="最大化",X4039,IF(01_因子設定!$B$13="最小化",-X4039,-ABS(X4039-01_因子設定!$B$16))),-1E+030)</f>
        <v>48.0577942251462</v>
      </c>
      <c r="AF4039" s="55" t="n">
        <f aca="false">AD4039+ROW()*0.000000001</f>
        <v>0.120965173277508</v>
      </c>
      <c r="AG4039" s="55" t="n">
        <f aca="false">AE4039+ROW()*0.000000001</f>
        <v>48.0577982641462</v>
      </c>
    </row>
    <row r="4040" customFormat="false" ht="15" hidden="false" customHeight="false" outlineLevel="0" collapsed="false">
      <c r="A4040" s="0" t="n">
        <v>5</v>
      </c>
      <c r="B4040" s="0" t="n">
        <v>4</v>
      </c>
      <c r="C4040" s="0" t="n">
        <v>7</v>
      </c>
      <c r="D4040" s="0" t="n">
        <v>3</v>
      </c>
      <c r="E4040" s="0" t="n">
        <f aca="false">-1+A4040*0.25</f>
        <v>0.25</v>
      </c>
      <c r="F4040" s="0" t="n">
        <f aca="false">-1+B4040*0.25</f>
        <v>0</v>
      </c>
      <c r="G4040" s="0" t="n">
        <f aca="false">-1+C4040*0.25</f>
        <v>0.75</v>
      </c>
      <c r="H4040" s="0" t="n">
        <f aca="false">-1+D4040*0.25</f>
        <v>-0.25</v>
      </c>
      <c r="I4040" s="0" t="n">
        <f aca="false">1</f>
        <v>1</v>
      </c>
      <c r="J4040" s="0" t="n">
        <f aca="false">E4040</f>
        <v>0.25</v>
      </c>
      <c r="K4040" s="0" t="n">
        <f aca="false">F4040</f>
        <v>0</v>
      </c>
      <c r="L4040" s="0" t="n">
        <f aca="false">G4040</f>
        <v>0.75</v>
      </c>
      <c r="M4040" s="0" t="n">
        <f aca="false">H4040</f>
        <v>-0.25</v>
      </c>
      <c r="N4040" s="0" t="n">
        <f aca="false">E4040*F4040</f>
        <v>0</v>
      </c>
      <c r="O4040" s="0" t="n">
        <f aca="false">E4040*G4040</f>
        <v>0.1875</v>
      </c>
      <c r="P4040" s="0" t="n">
        <f aca="false">E4040*H4040</f>
        <v>-0.0625</v>
      </c>
      <c r="Q4040" s="0" t="n">
        <f aca="false">F4040*G4040</f>
        <v>0</v>
      </c>
      <c r="R4040" s="0" t="n">
        <f aca="false">F4040*H4040</f>
        <v>-0</v>
      </c>
      <c r="S4040" s="0" t="n">
        <f aca="false">G4040*H4040</f>
        <v>-0.1875</v>
      </c>
      <c r="T4040" s="0" t="n">
        <f aca="false">E4040*E4040</f>
        <v>0.0625</v>
      </c>
      <c r="U4040" s="0" t="n">
        <f aca="false">F4040*F4040</f>
        <v>0</v>
      </c>
      <c r="V4040" s="0" t="n">
        <f aca="false">G4040*G4040</f>
        <v>0.5625</v>
      </c>
      <c r="W4040" s="0" t="n">
        <f aca="false">H4040*H4040</f>
        <v>0.0625</v>
      </c>
      <c r="X4040" s="0" t="n">
        <f aca="false">SUMPRODUCT(I4040:W4040,_XtX!$B$96:$P$96)</f>
        <v>48.2926123903508</v>
      </c>
      <c r="Y4040" s="0" t="n">
        <f aca="false">SUMPRODUCT(MMULT(I4040:W4040,_XtX!$B$78:$P$92),I4040:W4040)</f>
        <v>0.21135011193348</v>
      </c>
      <c r="Z4040" s="0" t="n">
        <f aca="false">04_回帰ANOVA!$K$19*04_回帰ANOVA!$K$14*SQRT(1+Y4040)</f>
        <v>1.43460795469709</v>
      </c>
      <c r="AA4040" s="0" t="n">
        <f aca="false">X4040-Z4040</f>
        <v>46.8580044356537</v>
      </c>
      <c r="AB4040" s="0" t="n">
        <f aca="false">X4040+Z4040</f>
        <v>49.7272203450479</v>
      </c>
      <c r="AC4040" s="54" t="b">
        <f aca="false">AND(E4040&gt;=01_因子設定!$L$5-0.000000001,E4040&lt;=01_因子設定!$M$5+0.000000001,F4040&gt;=01_因子設定!$L$6-0.000000001,F4040&lt;=01_因子設定!$M$6+0.000000001,G4040&gt;=01_因子設定!$L$7-0.000000001,G4040&lt;=01_因子設定!$M$7+0.000000001,H4040&gt;=01_因子設定!$L$8-0.000000001,H4040&lt;=01_因子設定!$M$8+0.000000001,IF(01_因子設定!$B$20="Box-Behnken",E4040^2+F4040^2+G4040^2+H4040^2&lt;=2+0.000000001,TRUE()))</f>
        <v>1</v>
      </c>
      <c r="AD4040" s="55" t="n">
        <f aca="false">IF(AC4040,IF(01_因子設定!$B$13="最大化",AA4040-01_因子設定!$B$14,IF(01_因子設定!$B$13="最小化",01_因子設定!$B$15-AB4040,MIN(AA4040-01_因子設定!$B$14,01_因子設定!$B$15-AB4040))),-1E+030)</f>
        <v>0.358004435653733</v>
      </c>
      <c r="AE4040" s="55" t="n">
        <f aca="false">IF(AC4040,IF(01_因子設定!$B$13="最大化",X4040,IF(01_因子設定!$B$13="最小化",-X4040,-ABS(X4040-01_因子設定!$B$16))),-1E+030)</f>
        <v>48.2926123903508</v>
      </c>
      <c r="AF4040" s="55" t="n">
        <f aca="false">AD4040+ROW()*0.000000001</f>
        <v>0.358008475653733</v>
      </c>
      <c r="AG4040" s="55" t="n">
        <f aca="false">AE4040+ROW()*0.000000001</f>
        <v>48.2926164303508</v>
      </c>
    </row>
    <row r="4041" customFormat="false" ht="15" hidden="false" customHeight="false" outlineLevel="0" collapsed="false">
      <c r="A4041" s="0" t="n">
        <v>5</v>
      </c>
      <c r="B4041" s="0" t="n">
        <v>4</v>
      </c>
      <c r="C4041" s="0" t="n">
        <v>7</v>
      </c>
      <c r="D4041" s="0" t="n">
        <v>4</v>
      </c>
      <c r="E4041" s="0" t="n">
        <f aca="false">-1+A4041*0.25</f>
        <v>0.25</v>
      </c>
      <c r="F4041" s="0" t="n">
        <f aca="false">-1+B4041*0.25</f>
        <v>0</v>
      </c>
      <c r="G4041" s="0" t="n">
        <f aca="false">-1+C4041*0.25</f>
        <v>0.75</v>
      </c>
      <c r="H4041" s="0" t="n">
        <f aca="false">-1+D4041*0.25</f>
        <v>0</v>
      </c>
      <c r="I4041" s="0" t="n">
        <f aca="false">1</f>
        <v>1</v>
      </c>
      <c r="J4041" s="0" t="n">
        <f aca="false">E4041</f>
        <v>0.25</v>
      </c>
      <c r="K4041" s="0" t="n">
        <f aca="false">F4041</f>
        <v>0</v>
      </c>
      <c r="L4041" s="0" t="n">
        <f aca="false">G4041</f>
        <v>0.75</v>
      </c>
      <c r="M4041" s="0" t="n">
        <f aca="false">H4041</f>
        <v>0</v>
      </c>
      <c r="N4041" s="0" t="n">
        <f aca="false">E4041*F4041</f>
        <v>0</v>
      </c>
      <c r="O4041" s="0" t="n">
        <f aca="false">E4041*G4041</f>
        <v>0.1875</v>
      </c>
      <c r="P4041" s="0" t="n">
        <f aca="false">E4041*H4041</f>
        <v>0</v>
      </c>
      <c r="Q4041" s="0" t="n">
        <f aca="false">F4041*G4041</f>
        <v>0</v>
      </c>
      <c r="R4041" s="0" t="n">
        <f aca="false">F4041*H4041</f>
        <v>0</v>
      </c>
      <c r="S4041" s="0" t="n">
        <f aca="false">G4041*H4041</f>
        <v>0</v>
      </c>
      <c r="T4041" s="0" t="n">
        <f aca="false">E4041*E4041</f>
        <v>0.0625</v>
      </c>
      <c r="U4041" s="0" t="n">
        <f aca="false">F4041*F4041</f>
        <v>0</v>
      </c>
      <c r="V4041" s="0" t="n">
        <f aca="false">G4041*G4041</f>
        <v>0.5625</v>
      </c>
      <c r="W4041" s="0" t="n">
        <f aca="false">H4041*H4041</f>
        <v>0</v>
      </c>
      <c r="X4041" s="0" t="n">
        <f aca="false">SUMPRODUCT(I4041:W4041,_XtX!$B$96:$P$96)</f>
        <v>48.4796235380116</v>
      </c>
      <c r="Y4041" s="0" t="n">
        <f aca="false">SUMPRODUCT(MMULT(I4041:W4041,_XtX!$B$78:$P$92),I4041:W4041)</f>
        <v>0.216127272934942</v>
      </c>
      <c r="Z4041" s="0" t="n">
        <f aca="false">04_回帰ANOVA!$K$19*04_回帰ANOVA!$K$14*SQRT(1+Y4041)</f>
        <v>1.43743397896608</v>
      </c>
      <c r="AA4041" s="0" t="n">
        <f aca="false">X4041-Z4041</f>
        <v>47.0421895590456</v>
      </c>
      <c r="AB4041" s="0" t="n">
        <f aca="false">X4041+Z4041</f>
        <v>49.9170575169777</v>
      </c>
      <c r="AC4041" s="54" t="b">
        <f aca="false">AND(E4041&gt;=01_因子設定!$L$5-0.000000001,E4041&lt;=01_因子設定!$M$5+0.000000001,F4041&gt;=01_因子設定!$L$6-0.000000001,F4041&lt;=01_因子設定!$M$6+0.000000001,G4041&gt;=01_因子設定!$L$7-0.000000001,G4041&lt;=01_因子設定!$M$7+0.000000001,H4041&gt;=01_因子設定!$L$8-0.000000001,H4041&lt;=01_因子設定!$M$8+0.000000001,IF(01_因子設定!$B$20="Box-Behnken",E4041^2+F4041^2+G4041^2+H4041^2&lt;=2+0.000000001,TRUE()))</f>
        <v>1</v>
      </c>
      <c r="AD4041" s="55" t="n">
        <f aca="false">IF(AC4041,IF(01_因子設定!$B$13="最大化",AA4041-01_因子設定!$B$14,IF(01_因子設定!$B$13="最小化",01_因子設定!$B$15-AB4041,MIN(AA4041-01_因子設定!$B$14,01_因子設定!$B$15-AB4041))),-1E+030)</f>
        <v>0.542189559045561</v>
      </c>
      <c r="AE4041" s="55" t="n">
        <f aca="false">IF(AC4041,IF(01_因子設定!$B$13="最大化",X4041,IF(01_因子設定!$B$13="最小化",-X4041,-ABS(X4041-01_因子設定!$B$16))),-1E+030)</f>
        <v>48.4796235380116</v>
      </c>
      <c r="AF4041" s="55" t="n">
        <f aca="false">AD4041+ROW()*0.000000001</f>
        <v>0.542193600045561</v>
      </c>
      <c r="AG4041" s="55" t="n">
        <f aca="false">AE4041+ROW()*0.000000001</f>
        <v>48.4796275790116</v>
      </c>
    </row>
    <row r="4042" customFormat="false" ht="15" hidden="false" customHeight="false" outlineLevel="0" collapsed="false">
      <c r="A4042" s="0" t="n">
        <v>5</v>
      </c>
      <c r="B4042" s="0" t="n">
        <v>4</v>
      </c>
      <c r="C4042" s="0" t="n">
        <v>7</v>
      </c>
      <c r="D4042" s="0" t="n">
        <v>5</v>
      </c>
      <c r="E4042" s="0" t="n">
        <f aca="false">-1+A4042*0.25</f>
        <v>0.25</v>
      </c>
      <c r="F4042" s="0" t="n">
        <f aca="false">-1+B4042*0.25</f>
        <v>0</v>
      </c>
      <c r="G4042" s="0" t="n">
        <f aca="false">-1+C4042*0.25</f>
        <v>0.75</v>
      </c>
      <c r="H4042" s="0" t="n">
        <f aca="false">-1+D4042*0.25</f>
        <v>0.25</v>
      </c>
      <c r="I4042" s="0" t="n">
        <f aca="false">1</f>
        <v>1</v>
      </c>
      <c r="J4042" s="0" t="n">
        <f aca="false">E4042</f>
        <v>0.25</v>
      </c>
      <c r="K4042" s="0" t="n">
        <f aca="false">F4042</f>
        <v>0</v>
      </c>
      <c r="L4042" s="0" t="n">
        <f aca="false">G4042</f>
        <v>0.75</v>
      </c>
      <c r="M4042" s="0" t="n">
        <f aca="false">H4042</f>
        <v>0.25</v>
      </c>
      <c r="N4042" s="0" t="n">
        <f aca="false">E4042*F4042</f>
        <v>0</v>
      </c>
      <c r="O4042" s="0" t="n">
        <f aca="false">E4042*G4042</f>
        <v>0.1875</v>
      </c>
      <c r="P4042" s="0" t="n">
        <f aca="false">E4042*H4042</f>
        <v>0.0625</v>
      </c>
      <c r="Q4042" s="0" t="n">
        <f aca="false">F4042*G4042</f>
        <v>0</v>
      </c>
      <c r="R4042" s="0" t="n">
        <f aca="false">F4042*H4042</f>
        <v>0</v>
      </c>
      <c r="S4042" s="0" t="n">
        <f aca="false">G4042*H4042</f>
        <v>0.1875</v>
      </c>
      <c r="T4042" s="0" t="n">
        <f aca="false">E4042*E4042</f>
        <v>0.0625</v>
      </c>
      <c r="U4042" s="0" t="n">
        <f aca="false">F4042*F4042</f>
        <v>0</v>
      </c>
      <c r="V4042" s="0" t="n">
        <f aca="false">G4042*G4042</f>
        <v>0.5625</v>
      </c>
      <c r="W4042" s="0" t="n">
        <f aca="false">H4042*H4042</f>
        <v>0.0625</v>
      </c>
      <c r="X4042" s="0" t="n">
        <f aca="false">SUMPRODUCT(I4042:W4042,_XtX!$B$96:$P$96)</f>
        <v>48.6188276681286</v>
      </c>
      <c r="Y4042" s="0" t="n">
        <f aca="false">SUMPRODUCT(MMULT(I4042:W4042,_XtX!$B$78:$P$92),I4042:W4042)</f>
        <v>0.21135011193348</v>
      </c>
      <c r="Z4042" s="0" t="n">
        <f aca="false">04_回帰ANOVA!$K$19*04_回帰ANOVA!$K$14*SQRT(1+Y4042)</f>
        <v>1.43460795469709</v>
      </c>
      <c r="AA4042" s="0" t="n">
        <f aca="false">X4042-Z4042</f>
        <v>47.1842197134315</v>
      </c>
      <c r="AB4042" s="0" t="n">
        <f aca="false">X4042+Z4042</f>
        <v>50.0534356228257</v>
      </c>
      <c r="AC4042" s="54" t="b">
        <f aca="false">AND(E4042&gt;=01_因子設定!$L$5-0.000000001,E4042&lt;=01_因子設定!$M$5+0.000000001,F4042&gt;=01_因子設定!$L$6-0.000000001,F4042&lt;=01_因子設定!$M$6+0.000000001,G4042&gt;=01_因子設定!$L$7-0.000000001,G4042&lt;=01_因子設定!$M$7+0.000000001,H4042&gt;=01_因子設定!$L$8-0.000000001,H4042&lt;=01_因子設定!$M$8+0.000000001,IF(01_因子設定!$B$20="Box-Behnken",E4042^2+F4042^2+G4042^2+H4042^2&lt;=2+0.000000001,TRUE()))</f>
        <v>1</v>
      </c>
      <c r="AD4042" s="55" t="n">
        <f aca="false">IF(AC4042,IF(01_因子設定!$B$13="最大化",AA4042-01_因子設定!$B$14,IF(01_因子設定!$B$13="最小化",01_因子設定!$B$15-AB4042,MIN(AA4042-01_因子設定!$B$14,01_因子設定!$B$15-AB4042))),-1E+030)</f>
        <v>0.68421971343151</v>
      </c>
      <c r="AE4042" s="55" t="n">
        <f aca="false">IF(AC4042,IF(01_因子設定!$B$13="最大化",X4042,IF(01_因子設定!$B$13="最小化",-X4042,-ABS(X4042-01_因子設定!$B$16))),-1E+030)</f>
        <v>48.6188276681286</v>
      </c>
      <c r="AF4042" s="55" t="n">
        <f aca="false">AD4042+ROW()*0.000000001</f>
        <v>0.68422375543151</v>
      </c>
      <c r="AG4042" s="55" t="n">
        <f aca="false">AE4042+ROW()*0.000000001</f>
        <v>48.6188317101286</v>
      </c>
    </row>
    <row r="4043" customFormat="false" ht="15" hidden="false" customHeight="false" outlineLevel="0" collapsed="false">
      <c r="A4043" s="0" t="n">
        <v>5</v>
      </c>
      <c r="B4043" s="0" t="n">
        <v>4</v>
      </c>
      <c r="C4043" s="0" t="n">
        <v>7</v>
      </c>
      <c r="D4043" s="0" t="n">
        <v>6</v>
      </c>
      <c r="E4043" s="0" t="n">
        <f aca="false">-1+A4043*0.25</f>
        <v>0.25</v>
      </c>
      <c r="F4043" s="0" t="n">
        <f aca="false">-1+B4043*0.25</f>
        <v>0</v>
      </c>
      <c r="G4043" s="0" t="n">
        <f aca="false">-1+C4043*0.25</f>
        <v>0.75</v>
      </c>
      <c r="H4043" s="0" t="n">
        <f aca="false">-1+D4043*0.25</f>
        <v>0.5</v>
      </c>
      <c r="I4043" s="0" t="n">
        <f aca="false">1</f>
        <v>1</v>
      </c>
      <c r="J4043" s="0" t="n">
        <f aca="false">E4043</f>
        <v>0.25</v>
      </c>
      <c r="K4043" s="0" t="n">
        <f aca="false">F4043</f>
        <v>0</v>
      </c>
      <c r="L4043" s="0" t="n">
        <f aca="false">G4043</f>
        <v>0.75</v>
      </c>
      <c r="M4043" s="0" t="n">
        <f aca="false">H4043</f>
        <v>0.5</v>
      </c>
      <c r="N4043" s="0" t="n">
        <f aca="false">E4043*F4043</f>
        <v>0</v>
      </c>
      <c r="O4043" s="0" t="n">
        <f aca="false">E4043*G4043</f>
        <v>0.1875</v>
      </c>
      <c r="P4043" s="0" t="n">
        <f aca="false">E4043*H4043</f>
        <v>0.125</v>
      </c>
      <c r="Q4043" s="0" t="n">
        <f aca="false">F4043*G4043</f>
        <v>0</v>
      </c>
      <c r="R4043" s="0" t="n">
        <f aca="false">F4043*H4043</f>
        <v>0</v>
      </c>
      <c r="S4043" s="0" t="n">
        <f aca="false">G4043*H4043</f>
        <v>0.375</v>
      </c>
      <c r="T4043" s="0" t="n">
        <f aca="false">E4043*E4043</f>
        <v>0.0625</v>
      </c>
      <c r="U4043" s="0" t="n">
        <f aca="false">F4043*F4043</f>
        <v>0</v>
      </c>
      <c r="V4043" s="0" t="n">
        <f aca="false">G4043*G4043</f>
        <v>0.5625</v>
      </c>
      <c r="W4043" s="0" t="n">
        <f aca="false">H4043*H4043</f>
        <v>0.25</v>
      </c>
      <c r="X4043" s="0" t="n">
        <f aca="false">SUMPRODUCT(I4043:W4043,_XtX!$B$96:$P$96)</f>
        <v>48.7102247807017</v>
      </c>
      <c r="Y4043" s="0" t="n">
        <f aca="false">SUMPRODUCT(MMULT(I4043:W4043,_XtX!$B$78:$P$92),I4043:W4043)</f>
        <v>0.215110734192252</v>
      </c>
      <c r="Z4043" s="0" t="n">
        <f aca="false">04_回帰ANOVA!$K$19*04_回帰ANOVA!$K$14*SQRT(1+Y4043)</f>
        <v>1.43683309086864</v>
      </c>
      <c r="AA4043" s="0" t="n">
        <f aca="false">X4043-Z4043</f>
        <v>47.2733916898331</v>
      </c>
      <c r="AB4043" s="0" t="n">
        <f aca="false">X4043+Z4043</f>
        <v>50.1470578715704</v>
      </c>
      <c r="AC4043" s="54" t="b">
        <f aca="false">AND(E4043&gt;=01_因子設定!$L$5-0.000000001,E4043&lt;=01_因子設定!$M$5+0.000000001,F4043&gt;=01_因子設定!$L$6-0.000000001,F4043&lt;=01_因子設定!$M$6+0.000000001,G4043&gt;=01_因子設定!$L$7-0.000000001,G4043&lt;=01_因子設定!$M$7+0.000000001,H4043&gt;=01_因子設定!$L$8-0.000000001,H4043&lt;=01_因子設定!$M$8+0.000000001,IF(01_因子設定!$B$20="Box-Behnken",E4043^2+F4043^2+G4043^2+H4043^2&lt;=2+0.000000001,TRUE()))</f>
        <v>1</v>
      </c>
      <c r="AD4043" s="55" t="n">
        <f aca="false">IF(AC4043,IF(01_因子設定!$B$13="最大化",AA4043-01_因子設定!$B$14,IF(01_因子設定!$B$13="最小化",01_因子設定!$B$15-AB4043,MIN(AA4043-01_因子設定!$B$14,01_因子設定!$B$15-AB4043))),-1E+030)</f>
        <v>0.773391689833062</v>
      </c>
      <c r="AE4043" s="55" t="n">
        <f aca="false">IF(AC4043,IF(01_因子設定!$B$13="最大化",X4043,IF(01_因子設定!$B$13="最小化",-X4043,-ABS(X4043-01_因子設定!$B$16))),-1E+030)</f>
        <v>48.7102247807017</v>
      </c>
      <c r="AF4043" s="55" t="n">
        <f aca="false">AD4043+ROW()*0.000000001</f>
        <v>0.773395732833062</v>
      </c>
      <c r="AG4043" s="55" t="n">
        <f aca="false">AE4043+ROW()*0.000000001</f>
        <v>48.7102288237017</v>
      </c>
    </row>
    <row r="4044" customFormat="false" ht="15" hidden="false" customHeight="false" outlineLevel="0" collapsed="false">
      <c r="A4044" s="0" t="n">
        <v>5</v>
      </c>
      <c r="B4044" s="0" t="n">
        <v>4</v>
      </c>
      <c r="C4044" s="0" t="n">
        <v>7</v>
      </c>
      <c r="D4044" s="0" t="n">
        <v>7</v>
      </c>
      <c r="E4044" s="0" t="n">
        <f aca="false">-1+A4044*0.25</f>
        <v>0.25</v>
      </c>
      <c r="F4044" s="0" t="n">
        <f aca="false">-1+B4044*0.25</f>
        <v>0</v>
      </c>
      <c r="G4044" s="0" t="n">
        <f aca="false">-1+C4044*0.25</f>
        <v>0.75</v>
      </c>
      <c r="H4044" s="0" t="n">
        <f aca="false">-1+D4044*0.25</f>
        <v>0.75</v>
      </c>
      <c r="I4044" s="0" t="n">
        <f aca="false">1</f>
        <v>1</v>
      </c>
      <c r="J4044" s="0" t="n">
        <f aca="false">E4044</f>
        <v>0.25</v>
      </c>
      <c r="K4044" s="0" t="n">
        <f aca="false">F4044</f>
        <v>0</v>
      </c>
      <c r="L4044" s="0" t="n">
        <f aca="false">G4044</f>
        <v>0.75</v>
      </c>
      <c r="M4044" s="0" t="n">
        <f aca="false">H4044</f>
        <v>0.75</v>
      </c>
      <c r="N4044" s="0" t="n">
        <f aca="false">E4044*F4044</f>
        <v>0</v>
      </c>
      <c r="O4044" s="0" t="n">
        <f aca="false">E4044*G4044</f>
        <v>0.1875</v>
      </c>
      <c r="P4044" s="0" t="n">
        <f aca="false">E4044*H4044</f>
        <v>0.1875</v>
      </c>
      <c r="Q4044" s="0" t="n">
        <f aca="false">F4044*G4044</f>
        <v>0</v>
      </c>
      <c r="R4044" s="0" t="n">
        <f aca="false">F4044*H4044</f>
        <v>0</v>
      </c>
      <c r="S4044" s="0" t="n">
        <f aca="false">G4044*H4044</f>
        <v>0.5625</v>
      </c>
      <c r="T4044" s="0" t="n">
        <f aca="false">E4044*E4044</f>
        <v>0.0625</v>
      </c>
      <c r="U4044" s="0" t="n">
        <f aca="false">F4044*F4044</f>
        <v>0</v>
      </c>
      <c r="V4044" s="0" t="n">
        <f aca="false">G4044*G4044</f>
        <v>0.5625</v>
      </c>
      <c r="W4044" s="0" t="n">
        <f aca="false">H4044*H4044</f>
        <v>0.5625</v>
      </c>
      <c r="X4044" s="0" t="n">
        <f aca="false">SUMPRODUCT(I4044:W4044,_XtX!$B$96:$P$96)</f>
        <v>48.753814875731</v>
      </c>
      <c r="Y4044" s="0" t="n">
        <f aca="false">SUMPRODUCT(MMULT(I4044:W4044,_XtX!$B$78:$P$92),I4044:W4044)</f>
        <v>0.281685455500731</v>
      </c>
      <c r="Z4044" s="0" t="n">
        <f aca="false">04_回帰ANOVA!$K$19*04_回帰ANOVA!$K$14*SQRT(1+Y4044)</f>
        <v>1.47566956658694</v>
      </c>
      <c r="AA4044" s="0" t="n">
        <f aca="false">X4044-Z4044</f>
        <v>47.278145309144</v>
      </c>
      <c r="AB4044" s="0" t="n">
        <f aca="false">X4044+Z4044</f>
        <v>50.2294844423179</v>
      </c>
      <c r="AC4044" s="54" t="b">
        <f aca="false">AND(E4044&gt;=01_因子設定!$L$5-0.000000001,E4044&lt;=01_因子設定!$M$5+0.000000001,F4044&gt;=01_因子設定!$L$6-0.000000001,F4044&lt;=01_因子設定!$M$6+0.000000001,G4044&gt;=01_因子設定!$L$7-0.000000001,G4044&lt;=01_因子設定!$M$7+0.000000001,H4044&gt;=01_因子設定!$L$8-0.000000001,H4044&lt;=01_因子設定!$M$8+0.000000001,IF(01_因子設定!$B$20="Box-Behnken",E4044^2+F4044^2+G4044^2+H4044^2&lt;=2+0.000000001,TRUE()))</f>
        <v>1</v>
      </c>
      <c r="AD4044" s="55" t="n">
        <f aca="false">IF(AC4044,IF(01_因子設定!$B$13="最大化",AA4044-01_因子設定!$B$14,IF(01_因子設定!$B$13="最小化",01_因子設定!$B$15-AB4044,MIN(AA4044-01_因子設定!$B$14,01_因子設定!$B$15-AB4044))),-1E+030)</f>
        <v>0.778145309144016</v>
      </c>
      <c r="AE4044" s="55" t="n">
        <f aca="false">IF(AC4044,IF(01_因子設定!$B$13="最大化",X4044,IF(01_因子設定!$B$13="最小化",-X4044,-ABS(X4044-01_因子設定!$B$16))),-1E+030)</f>
        <v>48.753814875731</v>
      </c>
      <c r="AF4044" s="55" t="n">
        <f aca="false">AD4044+ROW()*0.000000001</f>
        <v>0.778149353144016</v>
      </c>
      <c r="AG4044" s="55" t="n">
        <f aca="false">AE4044+ROW()*0.000000001</f>
        <v>48.753818919731</v>
      </c>
    </row>
    <row r="4045" customFormat="false" ht="15" hidden="false" customHeight="false" outlineLevel="0" collapsed="false">
      <c r="A4045" s="0" t="n">
        <v>5</v>
      </c>
      <c r="B4045" s="0" t="n">
        <v>4</v>
      </c>
      <c r="C4045" s="0" t="n">
        <v>7</v>
      </c>
      <c r="D4045" s="0" t="n">
        <v>8</v>
      </c>
      <c r="E4045" s="0" t="n">
        <f aca="false">-1+A4045*0.25</f>
        <v>0.25</v>
      </c>
      <c r="F4045" s="0" t="n">
        <f aca="false">-1+B4045*0.25</f>
        <v>0</v>
      </c>
      <c r="G4045" s="0" t="n">
        <f aca="false">-1+C4045*0.25</f>
        <v>0.75</v>
      </c>
      <c r="H4045" s="0" t="n">
        <f aca="false">-1+D4045*0.25</f>
        <v>1</v>
      </c>
      <c r="I4045" s="0" t="n">
        <f aca="false">1</f>
        <v>1</v>
      </c>
      <c r="J4045" s="0" t="n">
        <f aca="false">E4045</f>
        <v>0.25</v>
      </c>
      <c r="K4045" s="0" t="n">
        <f aca="false">F4045</f>
        <v>0</v>
      </c>
      <c r="L4045" s="0" t="n">
        <f aca="false">G4045</f>
        <v>0.75</v>
      </c>
      <c r="M4045" s="0" t="n">
        <f aca="false">H4045</f>
        <v>1</v>
      </c>
      <c r="N4045" s="0" t="n">
        <f aca="false">E4045*F4045</f>
        <v>0</v>
      </c>
      <c r="O4045" s="0" t="n">
        <f aca="false">E4045*G4045</f>
        <v>0.1875</v>
      </c>
      <c r="P4045" s="0" t="n">
        <f aca="false">E4045*H4045</f>
        <v>0.25</v>
      </c>
      <c r="Q4045" s="0" t="n">
        <f aca="false">F4045*G4045</f>
        <v>0</v>
      </c>
      <c r="R4045" s="0" t="n">
        <f aca="false">F4045*H4045</f>
        <v>0</v>
      </c>
      <c r="S4045" s="0" t="n">
        <f aca="false">G4045*H4045</f>
        <v>0.75</v>
      </c>
      <c r="T4045" s="0" t="n">
        <f aca="false">E4045*E4045</f>
        <v>0.0625</v>
      </c>
      <c r="U4045" s="0" t="n">
        <f aca="false">F4045*F4045</f>
        <v>0</v>
      </c>
      <c r="V4045" s="0" t="n">
        <f aca="false">G4045*G4045</f>
        <v>0.5625</v>
      </c>
      <c r="W4045" s="0" t="n">
        <f aca="false">H4045*H4045</f>
        <v>1</v>
      </c>
      <c r="X4045" s="0" t="n">
        <f aca="false">SUMPRODUCT(I4045:W4045,_XtX!$B$96:$P$96)</f>
        <v>48.7495979532164</v>
      </c>
      <c r="Y4045" s="0" t="n">
        <f aca="false">SUMPRODUCT(MMULT(I4045:W4045,_XtX!$B$78:$P$92),I4045:W4045)</f>
        <v>0.501534802174708</v>
      </c>
      <c r="Z4045" s="0" t="n">
        <f aca="false">04_回帰ANOVA!$K$19*04_回帰ANOVA!$K$14*SQRT(1+Y4045)</f>
        <v>1.59722498091333</v>
      </c>
      <c r="AA4045" s="0" t="n">
        <f aca="false">X4045-Z4045</f>
        <v>47.152372972303</v>
      </c>
      <c r="AB4045" s="0" t="n">
        <f aca="false">X4045+Z4045</f>
        <v>50.3468229341297</v>
      </c>
      <c r="AC4045" s="54" t="b">
        <f aca="false">AND(E4045&gt;=01_因子設定!$L$5-0.000000001,E4045&lt;=01_因子設定!$M$5+0.000000001,F4045&gt;=01_因子設定!$L$6-0.000000001,F4045&lt;=01_因子設定!$M$6+0.000000001,G4045&gt;=01_因子設定!$L$7-0.000000001,G4045&lt;=01_因子設定!$M$7+0.000000001,H4045&gt;=01_因子設定!$L$8-0.000000001,H4045&lt;=01_因子設定!$M$8+0.000000001,IF(01_因子設定!$B$20="Box-Behnken",E4045^2+F4045^2+G4045^2+H4045^2&lt;=2+0.000000001,TRUE()))</f>
        <v>1</v>
      </c>
      <c r="AD4045" s="55" t="n">
        <f aca="false">IF(AC4045,IF(01_因子設定!$B$13="最大化",AA4045-01_因子設定!$B$14,IF(01_因子設定!$B$13="最小化",01_因子設定!$B$15-AB4045,MIN(AA4045-01_因子設定!$B$14,01_因子設定!$B$15-AB4045))),-1E+030)</f>
        <v>0.65237297230302</v>
      </c>
      <c r="AE4045" s="55" t="n">
        <f aca="false">IF(AC4045,IF(01_因子設定!$B$13="最大化",X4045,IF(01_因子設定!$B$13="最小化",-X4045,-ABS(X4045-01_因子設定!$B$16))),-1E+030)</f>
        <v>48.7495979532164</v>
      </c>
      <c r="AF4045" s="55" t="n">
        <f aca="false">AD4045+ROW()*0.000000001</f>
        <v>0.65237701730302</v>
      </c>
      <c r="AG4045" s="55" t="n">
        <f aca="false">AE4045+ROW()*0.000000001</f>
        <v>48.7496019982164</v>
      </c>
    </row>
    <row r="4046" customFormat="false" ht="15" hidden="false" customHeight="false" outlineLevel="0" collapsed="false">
      <c r="A4046" s="0" t="n">
        <v>5</v>
      </c>
      <c r="B4046" s="0" t="n">
        <v>4</v>
      </c>
      <c r="C4046" s="0" t="n">
        <v>8</v>
      </c>
      <c r="D4046" s="0" t="n">
        <v>0</v>
      </c>
      <c r="E4046" s="0" t="n">
        <f aca="false">-1+A4046*0.25</f>
        <v>0.25</v>
      </c>
      <c r="F4046" s="0" t="n">
        <f aca="false">-1+B4046*0.25</f>
        <v>0</v>
      </c>
      <c r="G4046" s="0" t="n">
        <f aca="false">-1+C4046*0.25</f>
        <v>1</v>
      </c>
      <c r="H4046" s="0" t="n">
        <f aca="false">-1+D4046*0.25</f>
        <v>-1</v>
      </c>
      <c r="I4046" s="0" t="n">
        <f aca="false">1</f>
        <v>1</v>
      </c>
      <c r="J4046" s="0" t="n">
        <f aca="false">E4046</f>
        <v>0.25</v>
      </c>
      <c r="K4046" s="0" t="n">
        <f aca="false">F4046</f>
        <v>0</v>
      </c>
      <c r="L4046" s="0" t="n">
        <f aca="false">G4046</f>
        <v>1</v>
      </c>
      <c r="M4046" s="0" t="n">
        <f aca="false">H4046</f>
        <v>-1</v>
      </c>
      <c r="N4046" s="0" t="n">
        <f aca="false">E4046*F4046</f>
        <v>0</v>
      </c>
      <c r="O4046" s="0" t="n">
        <f aca="false">E4046*G4046</f>
        <v>0.25</v>
      </c>
      <c r="P4046" s="0" t="n">
        <f aca="false">E4046*H4046</f>
        <v>-0.25</v>
      </c>
      <c r="Q4046" s="0" t="n">
        <f aca="false">F4046*G4046</f>
        <v>0</v>
      </c>
      <c r="R4046" s="0" t="n">
        <f aca="false">F4046*H4046</f>
        <v>-0</v>
      </c>
      <c r="S4046" s="0" t="n">
        <f aca="false">G4046*H4046</f>
        <v>-1</v>
      </c>
      <c r="T4046" s="0" t="n">
        <f aca="false">E4046*E4046</f>
        <v>0.0625</v>
      </c>
      <c r="U4046" s="0" t="n">
        <f aca="false">F4046*F4046</f>
        <v>0</v>
      </c>
      <c r="V4046" s="0" t="n">
        <f aca="false">G4046*G4046</f>
        <v>1</v>
      </c>
      <c r="W4046" s="0" t="n">
        <f aca="false">H4046*H4046</f>
        <v>1</v>
      </c>
      <c r="X4046" s="0" t="n">
        <f aca="false">SUMPRODUCT(I4046:W4046,_XtX!$B$96:$P$96)</f>
        <v>47.2794956140351</v>
      </c>
      <c r="Y4046" s="0" t="n">
        <f aca="false">SUMPRODUCT(MMULT(I4046:W4046,_XtX!$B$78:$P$92),I4046:W4046)</f>
        <v>0.689692982456141</v>
      </c>
      <c r="Z4046" s="0" t="n">
        <f aca="false">04_回帰ANOVA!$K$19*04_回帰ANOVA!$K$14*SQRT(1+Y4046)</f>
        <v>1.69434674594998</v>
      </c>
      <c r="AA4046" s="0" t="n">
        <f aca="false">X4046-Z4046</f>
        <v>45.5851488680851</v>
      </c>
      <c r="AB4046" s="0" t="n">
        <f aca="false">X4046+Z4046</f>
        <v>48.9738423599851</v>
      </c>
      <c r="AC4046" s="54" t="b">
        <f aca="false">AND(E4046&gt;=01_因子設定!$L$5-0.000000001,E4046&lt;=01_因子設定!$M$5+0.000000001,F4046&gt;=01_因子設定!$L$6-0.000000001,F4046&lt;=01_因子設定!$M$6+0.000000001,G4046&gt;=01_因子設定!$L$7-0.000000001,G4046&lt;=01_因子設定!$M$7+0.000000001,H4046&gt;=01_因子設定!$L$8-0.000000001,H4046&lt;=01_因子設定!$M$8+0.000000001,IF(01_因子設定!$B$20="Box-Behnken",E4046^2+F4046^2+G4046^2+H4046^2&lt;=2+0.000000001,TRUE()))</f>
        <v>1</v>
      </c>
      <c r="AD4046" s="55" t="n">
        <f aca="false">IF(AC4046,IF(01_因子設定!$B$13="最大化",AA4046-01_因子設定!$B$14,IF(01_因子設定!$B$13="最小化",01_因子設定!$B$15-AB4046,MIN(AA4046-01_因子設定!$B$14,01_因子設定!$B$15-AB4046))),-1E+030)</f>
        <v>-0.914851131914915</v>
      </c>
      <c r="AE4046" s="55" t="n">
        <f aca="false">IF(AC4046,IF(01_因子設定!$B$13="最大化",X4046,IF(01_因子設定!$B$13="最小化",-X4046,-ABS(X4046-01_因子設定!$B$16))),-1E+030)</f>
        <v>47.2794956140351</v>
      </c>
      <c r="AF4046" s="55" t="n">
        <f aca="false">AD4046+ROW()*0.000000001</f>
        <v>-0.914847085914915</v>
      </c>
      <c r="AG4046" s="55" t="n">
        <f aca="false">AE4046+ROW()*0.000000001</f>
        <v>47.2794996600351</v>
      </c>
    </row>
    <row r="4047" customFormat="false" ht="15" hidden="false" customHeight="false" outlineLevel="0" collapsed="false">
      <c r="A4047" s="0" t="n">
        <v>5</v>
      </c>
      <c r="B4047" s="0" t="n">
        <v>4</v>
      </c>
      <c r="C4047" s="0" t="n">
        <v>8</v>
      </c>
      <c r="D4047" s="0" t="n">
        <v>1</v>
      </c>
      <c r="E4047" s="0" t="n">
        <f aca="false">-1+A4047*0.25</f>
        <v>0.25</v>
      </c>
      <c r="F4047" s="0" t="n">
        <f aca="false">-1+B4047*0.25</f>
        <v>0</v>
      </c>
      <c r="G4047" s="0" t="n">
        <f aca="false">-1+C4047*0.25</f>
        <v>1</v>
      </c>
      <c r="H4047" s="0" t="n">
        <f aca="false">-1+D4047*0.25</f>
        <v>-0.75</v>
      </c>
      <c r="I4047" s="0" t="n">
        <f aca="false">1</f>
        <v>1</v>
      </c>
      <c r="J4047" s="0" t="n">
        <f aca="false">E4047</f>
        <v>0.25</v>
      </c>
      <c r="K4047" s="0" t="n">
        <f aca="false">F4047</f>
        <v>0</v>
      </c>
      <c r="L4047" s="0" t="n">
        <f aca="false">G4047</f>
        <v>1</v>
      </c>
      <c r="M4047" s="0" t="n">
        <f aca="false">H4047</f>
        <v>-0.75</v>
      </c>
      <c r="N4047" s="0" t="n">
        <f aca="false">E4047*F4047</f>
        <v>0</v>
      </c>
      <c r="O4047" s="0" t="n">
        <f aca="false">E4047*G4047</f>
        <v>0.25</v>
      </c>
      <c r="P4047" s="0" t="n">
        <f aca="false">E4047*H4047</f>
        <v>-0.1875</v>
      </c>
      <c r="Q4047" s="0" t="n">
        <f aca="false">F4047*G4047</f>
        <v>0</v>
      </c>
      <c r="R4047" s="0" t="n">
        <f aca="false">F4047*H4047</f>
        <v>-0</v>
      </c>
      <c r="S4047" s="0" t="n">
        <f aca="false">G4047*H4047</f>
        <v>-0.75</v>
      </c>
      <c r="T4047" s="0" t="n">
        <f aca="false">E4047*E4047</f>
        <v>0.0625</v>
      </c>
      <c r="U4047" s="0" t="n">
        <f aca="false">F4047*F4047</f>
        <v>0</v>
      </c>
      <c r="V4047" s="0" t="n">
        <f aca="false">G4047*G4047</f>
        <v>1</v>
      </c>
      <c r="W4047" s="0" t="n">
        <f aca="false">H4047*H4047</f>
        <v>0.5625</v>
      </c>
      <c r="X4047" s="0" t="n">
        <f aca="false">SUMPRODUCT(I4047:W4047,_XtX!$B$96:$P$96)</f>
        <v>47.6278965643275</v>
      </c>
      <c r="Y4047" s="0" t="n">
        <f aca="false">SUMPRODUCT(MMULT(I4047:W4047,_XtX!$B$78:$P$92),I4047:W4047)</f>
        <v>0.501534802174708</v>
      </c>
      <c r="Z4047" s="0" t="n">
        <f aca="false">04_回帰ANOVA!$K$19*04_回帰ANOVA!$K$14*SQRT(1+Y4047)</f>
        <v>1.59722498091333</v>
      </c>
      <c r="AA4047" s="0" t="n">
        <f aca="false">X4047-Z4047</f>
        <v>46.0306715834141</v>
      </c>
      <c r="AB4047" s="0" t="n">
        <f aca="false">X4047+Z4047</f>
        <v>49.2251215452408</v>
      </c>
      <c r="AC4047" s="54" t="b">
        <f aca="false">AND(E4047&gt;=01_因子設定!$L$5-0.000000001,E4047&lt;=01_因子設定!$M$5+0.000000001,F4047&gt;=01_因子設定!$L$6-0.000000001,F4047&lt;=01_因子設定!$M$6+0.000000001,G4047&gt;=01_因子設定!$L$7-0.000000001,G4047&lt;=01_因子設定!$M$7+0.000000001,H4047&gt;=01_因子設定!$L$8-0.000000001,H4047&lt;=01_因子設定!$M$8+0.000000001,IF(01_因子設定!$B$20="Box-Behnken",E4047^2+F4047^2+G4047^2+H4047^2&lt;=2+0.000000001,TRUE()))</f>
        <v>1</v>
      </c>
      <c r="AD4047" s="55" t="n">
        <f aca="false">IF(AC4047,IF(01_因子設定!$B$13="最大化",AA4047-01_因子設定!$B$14,IF(01_因子設定!$B$13="最小化",01_因子設定!$B$15-AB4047,MIN(AA4047-01_因子設定!$B$14,01_因子設定!$B$15-AB4047))),-1E+030)</f>
        <v>-0.469328416585881</v>
      </c>
      <c r="AE4047" s="55" t="n">
        <f aca="false">IF(AC4047,IF(01_因子設定!$B$13="最大化",X4047,IF(01_因子設定!$B$13="最小化",-X4047,-ABS(X4047-01_因子設定!$B$16))),-1E+030)</f>
        <v>47.6278965643275</v>
      </c>
      <c r="AF4047" s="55" t="n">
        <f aca="false">AD4047+ROW()*0.000000001</f>
        <v>-0.469324369585881</v>
      </c>
      <c r="AG4047" s="55" t="n">
        <f aca="false">AE4047+ROW()*0.000000001</f>
        <v>47.6279006113275</v>
      </c>
    </row>
    <row r="4048" customFormat="false" ht="15" hidden="false" customHeight="false" outlineLevel="0" collapsed="false">
      <c r="A4048" s="0" t="n">
        <v>5</v>
      </c>
      <c r="B4048" s="0" t="n">
        <v>4</v>
      </c>
      <c r="C4048" s="0" t="n">
        <v>8</v>
      </c>
      <c r="D4048" s="0" t="n">
        <v>2</v>
      </c>
      <c r="E4048" s="0" t="n">
        <f aca="false">-1+A4048*0.25</f>
        <v>0.25</v>
      </c>
      <c r="F4048" s="0" t="n">
        <f aca="false">-1+B4048*0.25</f>
        <v>0</v>
      </c>
      <c r="G4048" s="0" t="n">
        <f aca="false">-1+C4048*0.25</f>
        <v>1</v>
      </c>
      <c r="H4048" s="0" t="n">
        <f aca="false">-1+D4048*0.25</f>
        <v>-0.5</v>
      </c>
      <c r="I4048" s="0" t="n">
        <f aca="false">1</f>
        <v>1</v>
      </c>
      <c r="J4048" s="0" t="n">
        <f aca="false">E4048</f>
        <v>0.25</v>
      </c>
      <c r="K4048" s="0" t="n">
        <f aca="false">F4048</f>
        <v>0</v>
      </c>
      <c r="L4048" s="0" t="n">
        <f aca="false">G4048</f>
        <v>1</v>
      </c>
      <c r="M4048" s="0" t="n">
        <f aca="false">H4048</f>
        <v>-0.5</v>
      </c>
      <c r="N4048" s="0" t="n">
        <f aca="false">E4048*F4048</f>
        <v>0</v>
      </c>
      <c r="O4048" s="0" t="n">
        <f aca="false">E4048*G4048</f>
        <v>0.25</v>
      </c>
      <c r="P4048" s="0" t="n">
        <f aca="false">E4048*H4048</f>
        <v>-0.125</v>
      </c>
      <c r="Q4048" s="0" t="n">
        <f aca="false">F4048*G4048</f>
        <v>0</v>
      </c>
      <c r="R4048" s="0" t="n">
        <f aca="false">F4048*H4048</f>
        <v>-0</v>
      </c>
      <c r="S4048" s="0" t="n">
        <f aca="false">G4048*H4048</f>
        <v>-0.5</v>
      </c>
      <c r="T4048" s="0" t="n">
        <f aca="false">E4048*E4048</f>
        <v>0.0625</v>
      </c>
      <c r="U4048" s="0" t="n">
        <f aca="false">F4048*F4048</f>
        <v>0</v>
      </c>
      <c r="V4048" s="0" t="n">
        <f aca="false">G4048*G4048</f>
        <v>1</v>
      </c>
      <c r="W4048" s="0" t="n">
        <f aca="false">H4048*H4048</f>
        <v>0.25</v>
      </c>
      <c r="X4048" s="0" t="n">
        <f aca="false">SUMPRODUCT(I4048:W4048,_XtX!$B$96:$P$96)</f>
        <v>47.928490497076</v>
      </c>
      <c r="Y4048" s="0" t="n">
        <f aca="false">SUMPRODUCT(MMULT(I4048:W4048,_XtX!$B$78:$P$92),I4048:W4048)</f>
        <v>0.457596628289474</v>
      </c>
      <c r="Z4048" s="0" t="n">
        <f aca="false">04_回帰ANOVA!$K$19*04_回帰ANOVA!$K$14*SQRT(1+Y4048)</f>
        <v>1.57368233664366</v>
      </c>
      <c r="AA4048" s="0" t="n">
        <f aca="false">X4048-Z4048</f>
        <v>46.3548081604323</v>
      </c>
      <c r="AB4048" s="0" t="n">
        <f aca="false">X4048+Z4048</f>
        <v>49.5021728337196</v>
      </c>
      <c r="AC4048" s="54" t="b">
        <f aca="false">AND(E4048&gt;=01_因子設定!$L$5-0.000000001,E4048&lt;=01_因子設定!$M$5+0.000000001,F4048&gt;=01_因子設定!$L$6-0.000000001,F4048&lt;=01_因子設定!$M$6+0.000000001,G4048&gt;=01_因子設定!$L$7-0.000000001,G4048&lt;=01_因子設定!$M$7+0.000000001,H4048&gt;=01_因子設定!$L$8-0.000000001,H4048&lt;=01_因子設定!$M$8+0.000000001,IF(01_因子設定!$B$20="Box-Behnken",E4048^2+F4048^2+G4048^2+H4048^2&lt;=2+0.000000001,TRUE()))</f>
        <v>1</v>
      </c>
      <c r="AD4048" s="55" t="n">
        <f aca="false">IF(AC4048,IF(01_因子設定!$B$13="最大化",AA4048-01_因子設定!$B$14,IF(01_因子設定!$B$13="最小化",01_因子設定!$B$15-AB4048,MIN(AA4048-01_因子設定!$B$14,01_因子設定!$B$15-AB4048))),-1E+030)</f>
        <v>-0.14519183956768</v>
      </c>
      <c r="AE4048" s="55" t="n">
        <f aca="false">IF(AC4048,IF(01_因子設定!$B$13="最大化",X4048,IF(01_因子設定!$B$13="最小化",-X4048,-ABS(X4048-01_因子設定!$B$16))),-1E+030)</f>
        <v>47.928490497076</v>
      </c>
      <c r="AF4048" s="55" t="n">
        <f aca="false">AD4048+ROW()*0.000000001</f>
        <v>-0.14518779156768</v>
      </c>
      <c r="AG4048" s="55" t="n">
        <f aca="false">AE4048+ROW()*0.000000001</f>
        <v>47.928494545076</v>
      </c>
    </row>
    <row r="4049" customFormat="false" ht="15" hidden="false" customHeight="false" outlineLevel="0" collapsed="false">
      <c r="A4049" s="0" t="n">
        <v>5</v>
      </c>
      <c r="B4049" s="0" t="n">
        <v>4</v>
      </c>
      <c r="C4049" s="0" t="n">
        <v>8</v>
      </c>
      <c r="D4049" s="0" t="n">
        <v>3</v>
      </c>
      <c r="E4049" s="0" t="n">
        <f aca="false">-1+A4049*0.25</f>
        <v>0.25</v>
      </c>
      <c r="F4049" s="0" t="n">
        <f aca="false">-1+B4049*0.25</f>
        <v>0</v>
      </c>
      <c r="G4049" s="0" t="n">
        <f aca="false">-1+C4049*0.25</f>
        <v>1</v>
      </c>
      <c r="H4049" s="0" t="n">
        <f aca="false">-1+D4049*0.25</f>
        <v>-0.25</v>
      </c>
      <c r="I4049" s="0" t="n">
        <f aca="false">1</f>
        <v>1</v>
      </c>
      <c r="J4049" s="0" t="n">
        <f aca="false">E4049</f>
        <v>0.25</v>
      </c>
      <c r="K4049" s="0" t="n">
        <f aca="false">F4049</f>
        <v>0</v>
      </c>
      <c r="L4049" s="0" t="n">
        <f aca="false">G4049</f>
        <v>1</v>
      </c>
      <c r="M4049" s="0" t="n">
        <f aca="false">H4049</f>
        <v>-0.25</v>
      </c>
      <c r="N4049" s="0" t="n">
        <f aca="false">E4049*F4049</f>
        <v>0</v>
      </c>
      <c r="O4049" s="0" t="n">
        <f aca="false">E4049*G4049</f>
        <v>0.25</v>
      </c>
      <c r="P4049" s="0" t="n">
        <f aca="false">E4049*H4049</f>
        <v>-0.0625</v>
      </c>
      <c r="Q4049" s="0" t="n">
        <f aca="false">F4049*G4049</f>
        <v>0</v>
      </c>
      <c r="R4049" s="0" t="n">
        <f aca="false">F4049*H4049</f>
        <v>-0</v>
      </c>
      <c r="S4049" s="0" t="n">
        <f aca="false">G4049*H4049</f>
        <v>-0.25</v>
      </c>
      <c r="T4049" s="0" t="n">
        <f aca="false">E4049*E4049</f>
        <v>0.0625</v>
      </c>
      <c r="U4049" s="0" t="n">
        <f aca="false">F4049*F4049</f>
        <v>0</v>
      </c>
      <c r="V4049" s="0" t="n">
        <f aca="false">G4049*G4049</f>
        <v>1</v>
      </c>
      <c r="W4049" s="0" t="n">
        <f aca="false">H4049*H4049</f>
        <v>0.0625</v>
      </c>
      <c r="X4049" s="0" t="n">
        <f aca="false">SUMPRODUCT(I4049:W4049,_XtX!$B$96:$P$96)</f>
        <v>48.1812774122807</v>
      </c>
      <c r="Y4049" s="0" t="n">
        <f aca="false">SUMPRODUCT(MMULT(I4049:W4049,_XtX!$B$78:$P$92),I4049:W4049)</f>
        <v>0.467417934484649</v>
      </c>
      <c r="Z4049" s="0" t="n">
        <f aca="false">04_回帰ANOVA!$K$19*04_回帰ANOVA!$K$14*SQRT(1+Y4049)</f>
        <v>1.57897518244497</v>
      </c>
      <c r="AA4049" s="0" t="n">
        <f aca="false">X4049-Z4049</f>
        <v>46.6023022298357</v>
      </c>
      <c r="AB4049" s="0" t="n">
        <f aca="false">X4049+Z4049</f>
        <v>49.7602525947256</v>
      </c>
      <c r="AC4049" s="54" t="b">
        <f aca="false">AND(E4049&gt;=01_因子設定!$L$5-0.000000001,E4049&lt;=01_因子設定!$M$5+0.000000001,F4049&gt;=01_因子設定!$L$6-0.000000001,F4049&lt;=01_因子設定!$M$6+0.000000001,G4049&gt;=01_因子設定!$L$7-0.000000001,G4049&lt;=01_因子設定!$M$7+0.000000001,H4049&gt;=01_因子設定!$L$8-0.000000001,H4049&lt;=01_因子設定!$M$8+0.000000001,IF(01_因子設定!$B$20="Box-Behnken",E4049^2+F4049^2+G4049^2+H4049^2&lt;=2+0.000000001,TRUE()))</f>
        <v>1</v>
      </c>
      <c r="AD4049" s="55" t="n">
        <f aca="false">IF(AC4049,IF(01_因子設定!$B$13="最大化",AA4049-01_因子設定!$B$14,IF(01_因子設定!$B$13="最小化",01_因子設定!$B$15-AB4049,MIN(AA4049-01_因子設定!$B$14,01_因子設定!$B$15-AB4049))),-1E+030)</f>
        <v>0.102302229835679</v>
      </c>
      <c r="AE4049" s="55" t="n">
        <f aca="false">IF(AC4049,IF(01_因子設定!$B$13="最大化",X4049,IF(01_因子設定!$B$13="最小化",-X4049,-ABS(X4049-01_因子設定!$B$16))),-1E+030)</f>
        <v>48.1812774122807</v>
      </c>
      <c r="AF4049" s="55" t="n">
        <f aca="false">AD4049+ROW()*0.000000001</f>
        <v>0.102306278835679</v>
      </c>
      <c r="AG4049" s="55" t="n">
        <f aca="false">AE4049+ROW()*0.000000001</f>
        <v>48.1812814612807</v>
      </c>
    </row>
    <row r="4050" customFormat="false" ht="15" hidden="false" customHeight="false" outlineLevel="0" collapsed="false">
      <c r="A4050" s="0" t="n">
        <v>5</v>
      </c>
      <c r="B4050" s="0" t="n">
        <v>4</v>
      </c>
      <c r="C4050" s="0" t="n">
        <v>8</v>
      </c>
      <c r="D4050" s="0" t="n">
        <v>4</v>
      </c>
      <c r="E4050" s="0" t="n">
        <f aca="false">-1+A4050*0.25</f>
        <v>0.25</v>
      </c>
      <c r="F4050" s="0" t="n">
        <f aca="false">-1+B4050*0.25</f>
        <v>0</v>
      </c>
      <c r="G4050" s="0" t="n">
        <f aca="false">-1+C4050*0.25</f>
        <v>1</v>
      </c>
      <c r="H4050" s="0" t="n">
        <f aca="false">-1+D4050*0.25</f>
        <v>0</v>
      </c>
      <c r="I4050" s="0" t="n">
        <f aca="false">1</f>
        <v>1</v>
      </c>
      <c r="J4050" s="0" t="n">
        <f aca="false">E4050</f>
        <v>0.25</v>
      </c>
      <c r="K4050" s="0" t="n">
        <f aca="false">F4050</f>
        <v>0</v>
      </c>
      <c r="L4050" s="0" t="n">
        <f aca="false">G4050</f>
        <v>1</v>
      </c>
      <c r="M4050" s="0" t="n">
        <f aca="false">H4050</f>
        <v>0</v>
      </c>
      <c r="N4050" s="0" t="n">
        <f aca="false">E4050*F4050</f>
        <v>0</v>
      </c>
      <c r="O4050" s="0" t="n">
        <f aca="false">E4050*G4050</f>
        <v>0.25</v>
      </c>
      <c r="P4050" s="0" t="n">
        <f aca="false">E4050*H4050</f>
        <v>0</v>
      </c>
      <c r="Q4050" s="0" t="n">
        <f aca="false">F4050*G4050</f>
        <v>0</v>
      </c>
      <c r="R4050" s="0" t="n">
        <f aca="false">F4050*H4050</f>
        <v>0</v>
      </c>
      <c r="S4050" s="0" t="n">
        <f aca="false">G4050*H4050</f>
        <v>0</v>
      </c>
      <c r="T4050" s="0" t="n">
        <f aca="false">E4050*E4050</f>
        <v>0.0625</v>
      </c>
      <c r="U4050" s="0" t="n">
        <f aca="false">F4050*F4050</f>
        <v>0</v>
      </c>
      <c r="V4050" s="0" t="n">
        <f aca="false">G4050*G4050</f>
        <v>1</v>
      </c>
      <c r="W4050" s="0" t="n">
        <f aca="false">H4050*H4050</f>
        <v>0</v>
      </c>
      <c r="X4050" s="0" t="n">
        <f aca="false">SUMPRODUCT(I4050:W4050,_XtX!$B$96:$P$96)</f>
        <v>48.3862573099415</v>
      </c>
      <c r="Y4050" s="0" t="n">
        <f aca="false">SUMPRODUCT(MMULT(I4050:W4050,_XtX!$B$78:$P$92),I4050:W4050)</f>
        <v>0.476722404970761</v>
      </c>
      <c r="Z4050" s="0" t="n">
        <f aca="false">04_回帰ANOVA!$K$19*04_回帰ANOVA!$K$14*SQRT(1+Y4050)</f>
        <v>1.58397318352695</v>
      </c>
      <c r="AA4050" s="0" t="n">
        <f aca="false">X4050-Z4050</f>
        <v>46.8022841264145</v>
      </c>
      <c r="AB4050" s="0" t="n">
        <f aca="false">X4050+Z4050</f>
        <v>49.9702304934684</v>
      </c>
      <c r="AC4050" s="54" t="b">
        <f aca="false">AND(E4050&gt;=01_因子設定!$L$5-0.000000001,E4050&lt;=01_因子設定!$M$5+0.000000001,F4050&gt;=01_因子設定!$L$6-0.000000001,F4050&lt;=01_因子設定!$M$6+0.000000001,G4050&gt;=01_因子設定!$L$7-0.000000001,G4050&lt;=01_因子設定!$M$7+0.000000001,H4050&gt;=01_因子設定!$L$8-0.000000001,H4050&lt;=01_因子設定!$M$8+0.000000001,IF(01_因子設定!$B$20="Box-Behnken",E4050^2+F4050^2+G4050^2+H4050^2&lt;=2+0.000000001,TRUE()))</f>
        <v>1</v>
      </c>
      <c r="AD4050" s="55" t="n">
        <f aca="false">IF(AC4050,IF(01_因子設定!$B$13="最大化",AA4050-01_因子設定!$B$14,IF(01_因子設定!$B$13="最小化",01_因子設定!$B$15-AB4050,MIN(AA4050-01_因子設定!$B$14,01_因子設定!$B$15-AB4050))),-1E+030)</f>
        <v>0.30228412641452</v>
      </c>
      <c r="AE4050" s="55" t="n">
        <f aca="false">IF(AC4050,IF(01_因子設定!$B$13="最大化",X4050,IF(01_因子設定!$B$13="最小化",-X4050,-ABS(X4050-01_因子設定!$B$16))),-1E+030)</f>
        <v>48.3862573099415</v>
      </c>
      <c r="AF4050" s="55" t="n">
        <f aca="false">AD4050+ROW()*0.000000001</f>
        <v>0.30228817641452</v>
      </c>
      <c r="AG4050" s="55" t="n">
        <f aca="false">AE4050+ROW()*0.000000001</f>
        <v>48.3862613599415</v>
      </c>
    </row>
    <row r="4051" customFormat="false" ht="15" hidden="false" customHeight="false" outlineLevel="0" collapsed="false">
      <c r="A4051" s="0" t="n">
        <v>5</v>
      </c>
      <c r="B4051" s="0" t="n">
        <v>4</v>
      </c>
      <c r="C4051" s="0" t="n">
        <v>8</v>
      </c>
      <c r="D4051" s="0" t="n">
        <v>5</v>
      </c>
      <c r="E4051" s="0" t="n">
        <f aca="false">-1+A4051*0.25</f>
        <v>0.25</v>
      </c>
      <c r="F4051" s="0" t="n">
        <f aca="false">-1+B4051*0.25</f>
        <v>0</v>
      </c>
      <c r="G4051" s="0" t="n">
        <f aca="false">-1+C4051*0.25</f>
        <v>1</v>
      </c>
      <c r="H4051" s="0" t="n">
        <f aca="false">-1+D4051*0.25</f>
        <v>0.25</v>
      </c>
      <c r="I4051" s="0" t="n">
        <f aca="false">1</f>
        <v>1</v>
      </c>
      <c r="J4051" s="0" t="n">
        <f aca="false">E4051</f>
        <v>0.25</v>
      </c>
      <c r="K4051" s="0" t="n">
        <f aca="false">F4051</f>
        <v>0</v>
      </c>
      <c r="L4051" s="0" t="n">
        <f aca="false">G4051</f>
        <v>1</v>
      </c>
      <c r="M4051" s="0" t="n">
        <f aca="false">H4051</f>
        <v>0.25</v>
      </c>
      <c r="N4051" s="0" t="n">
        <f aca="false">E4051*F4051</f>
        <v>0</v>
      </c>
      <c r="O4051" s="0" t="n">
        <f aca="false">E4051*G4051</f>
        <v>0.25</v>
      </c>
      <c r="P4051" s="0" t="n">
        <f aca="false">E4051*H4051</f>
        <v>0.0625</v>
      </c>
      <c r="Q4051" s="0" t="n">
        <f aca="false">F4051*G4051</f>
        <v>0</v>
      </c>
      <c r="R4051" s="0" t="n">
        <f aca="false">F4051*H4051</f>
        <v>0</v>
      </c>
      <c r="S4051" s="0" t="n">
        <f aca="false">G4051*H4051</f>
        <v>0.25</v>
      </c>
      <c r="T4051" s="0" t="n">
        <f aca="false">E4051*E4051</f>
        <v>0.0625</v>
      </c>
      <c r="U4051" s="0" t="n">
        <f aca="false">F4051*F4051</f>
        <v>0</v>
      </c>
      <c r="V4051" s="0" t="n">
        <f aca="false">G4051*G4051</f>
        <v>1</v>
      </c>
      <c r="W4051" s="0" t="n">
        <f aca="false">H4051*H4051</f>
        <v>0.0625</v>
      </c>
      <c r="X4051" s="0" t="n">
        <f aca="false">SUMPRODUCT(I4051:W4051,_XtX!$B$96:$P$96)</f>
        <v>48.5434301900584</v>
      </c>
      <c r="Y4051" s="0" t="n">
        <f aca="false">SUMPRODUCT(MMULT(I4051:W4051,_XtX!$B$78:$P$92),I4051:W4051)</f>
        <v>0.467417934484649</v>
      </c>
      <c r="Z4051" s="0" t="n">
        <f aca="false">04_回帰ANOVA!$K$19*04_回帰ANOVA!$K$14*SQRT(1+Y4051)</f>
        <v>1.57897518244497</v>
      </c>
      <c r="AA4051" s="0" t="n">
        <f aca="false">X4051-Z4051</f>
        <v>46.9644550076135</v>
      </c>
      <c r="AB4051" s="0" t="n">
        <f aca="false">X4051+Z4051</f>
        <v>50.1224053725034</v>
      </c>
      <c r="AC4051" s="54" t="b">
        <f aca="false">AND(E4051&gt;=01_因子設定!$L$5-0.000000001,E4051&lt;=01_因子設定!$M$5+0.000000001,F4051&gt;=01_因子設定!$L$6-0.000000001,F4051&lt;=01_因子設定!$M$6+0.000000001,G4051&gt;=01_因子設定!$L$7-0.000000001,G4051&lt;=01_因子設定!$M$7+0.000000001,H4051&gt;=01_因子設定!$L$8-0.000000001,H4051&lt;=01_因子設定!$M$8+0.000000001,IF(01_因子設定!$B$20="Box-Behnken",E4051^2+F4051^2+G4051^2+H4051^2&lt;=2+0.000000001,TRUE()))</f>
        <v>1</v>
      </c>
      <c r="AD4051" s="55" t="n">
        <f aca="false">IF(AC4051,IF(01_因子設定!$B$13="最大化",AA4051-01_因子設定!$B$14,IF(01_因子設定!$B$13="最小化",01_因子設定!$B$15-AB4051,MIN(AA4051-01_因子設定!$B$14,01_因子設定!$B$15-AB4051))),-1E+030)</f>
        <v>0.464455007613452</v>
      </c>
      <c r="AE4051" s="55" t="n">
        <f aca="false">IF(AC4051,IF(01_因子設定!$B$13="最大化",X4051,IF(01_因子設定!$B$13="最小化",-X4051,-ABS(X4051-01_因子設定!$B$16))),-1E+030)</f>
        <v>48.5434301900584</v>
      </c>
      <c r="AF4051" s="55" t="n">
        <f aca="false">AD4051+ROW()*0.000000001</f>
        <v>0.464459058613452</v>
      </c>
      <c r="AG4051" s="55" t="n">
        <f aca="false">AE4051+ROW()*0.000000001</f>
        <v>48.5434342410584</v>
      </c>
    </row>
    <row r="4052" customFormat="false" ht="15" hidden="false" customHeight="false" outlineLevel="0" collapsed="false">
      <c r="A4052" s="0" t="n">
        <v>5</v>
      </c>
      <c r="B4052" s="0" t="n">
        <v>4</v>
      </c>
      <c r="C4052" s="0" t="n">
        <v>8</v>
      </c>
      <c r="D4052" s="0" t="n">
        <v>6</v>
      </c>
      <c r="E4052" s="0" t="n">
        <f aca="false">-1+A4052*0.25</f>
        <v>0.25</v>
      </c>
      <c r="F4052" s="0" t="n">
        <f aca="false">-1+B4052*0.25</f>
        <v>0</v>
      </c>
      <c r="G4052" s="0" t="n">
        <f aca="false">-1+C4052*0.25</f>
        <v>1</v>
      </c>
      <c r="H4052" s="0" t="n">
        <f aca="false">-1+D4052*0.25</f>
        <v>0.5</v>
      </c>
      <c r="I4052" s="0" t="n">
        <f aca="false">1</f>
        <v>1</v>
      </c>
      <c r="J4052" s="0" t="n">
        <f aca="false">E4052</f>
        <v>0.25</v>
      </c>
      <c r="K4052" s="0" t="n">
        <f aca="false">F4052</f>
        <v>0</v>
      </c>
      <c r="L4052" s="0" t="n">
        <f aca="false">G4052</f>
        <v>1</v>
      </c>
      <c r="M4052" s="0" t="n">
        <f aca="false">H4052</f>
        <v>0.5</v>
      </c>
      <c r="N4052" s="0" t="n">
        <f aca="false">E4052*F4052</f>
        <v>0</v>
      </c>
      <c r="O4052" s="0" t="n">
        <f aca="false">E4052*G4052</f>
        <v>0.25</v>
      </c>
      <c r="P4052" s="0" t="n">
        <f aca="false">E4052*H4052</f>
        <v>0.125</v>
      </c>
      <c r="Q4052" s="0" t="n">
        <f aca="false">F4052*G4052</f>
        <v>0</v>
      </c>
      <c r="R4052" s="0" t="n">
        <f aca="false">F4052*H4052</f>
        <v>0</v>
      </c>
      <c r="S4052" s="0" t="n">
        <f aca="false">G4052*H4052</f>
        <v>0.5</v>
      </c>
      <c r="T4052" s="0" t="n">
        <f aca="false">E4052*E4052</f>
        <v>0.0625</v>
      </c>
      <c r="U4052" s="0" t="n">
        <f aca="false">F4052*F4052</f>
        <v>0</v>
      </c>
      <c r="V4052" s="0" t="n">
        <f aca="false">G4052*G4052</f>
        <v>1</v>
      </c>
      <c r="W4052" s="0" t="n">
        <f aca="false">H4052*H4052</f>
        <v>0.25</v>
      </c>
      <c r="X4052" s="0" t="n">
        <f aca="false">SUMPRODUCT(I4052:W4052,_XtX!$B$96:$P$96)</f>
        <v>48.6527960526315</v>
      </c>
      <c r="Y4052" s="0" t="n">
        <f aca="false">SUMPRODUCT(MMULT(I4052:W4052,_XtX!$B$78:$P$92),I4052:W4052)</f>
        <v>0.457596628289474</v>
      </c>
      <c r="Z4052" s="0" t="n">
        <f aca="false">04_回帰ANOVA!$K$19*04_回帰ANOVA!$K$14*SQRT(1+Y4052)</f>
        <v>1.57368233664366</v>
      </c>
      <c r="AA4052" s="0" t="n">
        <f aca="false">X4052-Z4052</f>
        <v>47.0791137159879</v>
      </c>
      <c r="AB4052" s="0" t="n">
        <f aca="false">X4052+Z4052</f>
        <v>50.2264783892752</v>
      </c>
      <c r="AC4052" s="54" t="b">
        <f aca="false">AND(E4052&gt;=01_因子設定!$L$5-0.000000001,E4052&lt;=01_因子設定!$M$5+0.000000001,F4052&gt;=01_因子設定!$L$6-0.000000001,F4052&lt;=01_因子設定!$M$6+0.000000001,G4052&gt;=01_因子設定!$L$7-0.000000001,G4052&lt;=01_因子設定!$M$7+0.000000001,H4052&gt;=01_因子設定!$L$8-0.000000001,H4052&lt;=01_因子設定!$M$8+0.000000001,IF(01_因子設定!$B$20="Box-Behnken",E4052^2+F4052^2+G4052^2+H4052^2&lt;=2+0.000000001,TRUE()))</f>
        <v>1</v>
      </c>
      <c r="AD4052" s="55" t="n">
        <f aca="false">IF(AC4052,IF(01_因子設定!$B$13="最大化",AA4052-01_因子設定!$B$14,IF(01_因子設定!$B$13="最小化",01_因子設定!$B$15-AB4052,MIN(AA4052-01_因子設定!$B$14,01_因子設定!$B$15-AB4052))),-1E+030)</f>
        <v>0.579113715987873</v>
      </c>
      <c r="AE4052" s="55" t="n">
        <f aca="false">IF(AC4052,IF(01_因子設定!$B$13="最大化",X4052,IF(01_因子設定!$B$13="最小化",-X4052,-ABS(X4052-01_因子設定!$B$16))),-1E+030)</f>
        <v>48.6527960526315</v>
      </c>
      <c r="AF4052" s="55" t="n">
        <f aca="false">AD4052+ROW()*0.000000001</f>
        <v>0.579117767987873</v>
      </c>
      <c r="AG4052" s="55" t="n">
        <f aca="false">AE4052+ROW()*0.000000001</f>
        <v>48.6528001046315</v>
      </c>
    </row>
    <row r="4053" customFormat="false" ht="15" hidden="false" customHeight="false" outlineLevel="0" collapsed="false">
      <c r="A4053" s="0" t="n">
        <v>5</v>
      </c>
      <c r="B4053" s="0" t="n">
        <v>4</v>
      </c>
      <c r="C4053" s="0" t="n">
        <v>8</v>
      </c>
      <c r="D4053" s="0" t="n">
        <v>7</v>
      </c>
      <c r="E4053" s="0" t="n">
        <f aca="false">-1+A4053*0.25</f>
        <v>0.25</v>
      </c>
      <c r="F4053" s="0" t="n">
        <f aca="false">-1+B4053*0.25</f>
        <v>0</v>
      </c>
      <c r="G4053" s="0" t="n">
        <f aca="false">-1+C4053*0.25</f>
        <v>1</v>
      </c>
      <c r="H4053" s="0" t="n">
        <f aca="false">-1+D4053*0.25</f>
        <v>0.75</v>
      </c>
      <c r="I4053" s="0" t="n">
        <f aca="false">1</f>
        <v>1</v>
      </c>
      <c r="J4053" s="0" t="n">
        <f aca="false">E4053</f>
        <v>0.25</v>
      </c>
      <c r="K4053" s="0" t="n">
        <f aca="false">F4053</f>
        <v>0</v>
      </c>
      <c r="L4053" s="0" t="n">
        <f aca="false">G4053</f>
        <v>1</v>
      </c>
      <c r="M4053" s="0" t="n">
        <f aca="false">H4053</f>
        <v>0.75</v>
      </c>
      <c r="N4053" s="0" t="n">
        <f aca="false">E4053*F4053</f>
        <v>0</v>
      </c>
      <c r="O4053" s="0" t="n">
        <f aca="false">E4053*G4053</f>
        <v>0.25</v>
      </c>
      <c r="P4053" s="0" t="n">
        <f aca="false">E4053*H4053</f>
        <v>0.1875</v>
      </c>
      <c r="Q4053" s="0" t="n">
        <f aca="false">F4053*G4053</f>
        <v>0</v>
      </c>
      <c r="R4053" s="0" t="n">
        <f aca="false">F4053*H4053</f>
        <v>0</v>
      </c>
      <c r="S4053" s="0" t="n">
        <f aca="false">G4053*H4053</f>
        <v>0.75</v>
      </c>
      <c r="T4053" s="0" t="n">
        <f aca="false">E4053*E4053</f>
        <v>0.0625</v>
      </c>
      <c r="U4053" s="0" t="n">
        <f aca="false">F4053*F4053</f>
        <v>0</v>
      </c>
      <c r="V4053" s="0" t="n">
        <f aca="false">G4053*G4053</f>
        <v>1</v>
      </c>
      <c r="W4053" s="0" t="n">
        <f aca="false">H4053*H4053</f>
        <v>0.5625</v>
      </c>
      <c r="X4053" s="0" t="n">
        <f aca="false">SUMPRODUCT(I4053:W4053,_XtX!$B$96:$P$96)</f>
        <v>48.7143548976608</v>
      </c>
      <c r="Y4053" s="0" t="n">
        <f aca="false">SUMPRODUCT(MMULT(I4053:W4053,_XtX!$B$78:$P$92),I4053:W4053)</f>
        <v>0.501534802174708</v>
      </c>
      <c r="Z4053" s="0" t="n">
        <f aca="false">04_回帰ANOVA!$K$19*04_回帰ANOVA!$K$14*SQRT(1+Y4053)</f>
        <v>1.59722498091333</v>
      </c>
      <c r="AA4053" s="0" t="n">
        <f aca="false">X4053-Z4053</f>
        <v>47.1171299167475</v>
      </c>
      <c r="AB4053" s="0" t="n">
        <f aca="false">X4053+Z4053</f>
        <v>50.3115798785741</v>
      </c>
      <c r="AC4053" s="54" t="b">
        <f aca="false">AND(E4053&gt;=01_因子設定!$L$5-0.000000001,E4053&lt;=01_因子設定!$M$5+0.000000001,F4053&gt;=01_因子設定!$L$6-0.000000001,F4053&lt;=01_因子設定!$M$6+0.000000001,G4053&gt;=01_因子設定!$L$7-0.000000001,G4053&lt;=01_因子設定!$M$7+0.000000001,H4053&gt;=01_因子設定!$L$8-0.000000001,H4053&lt;=01_因子設定!$M$8+0.000000001,IF(01_因子設定!$B$20="Box-Behnken",E4053^2+F4053^2+G4053^2+H4053^2&lt;=2+0.000000001,TRUE()))</f>
        <v>1</v>
      </c>
      <c r="AD4053" s="55" t="n">
        <f aca="false">IF(AC4053,IF(01_因子設定!$B$13="最大化",AA4053-01_因子設定!$B$14,IF(01_因子設定!$B$13="最小化",01_因子設定!$B$15-AB4053,MIN(AA4053-01_因子設定!$B$14,01_因子設定!$B$15-AB4053))),-1E+030)</f>
        <v>0.617129916747452</v>
      </c>
      <c r="AE4053" s="55" t="n">
        <f aca="false">IF(AC4053,IF(01_因子設定!$B$13="最大化",X4053,IF(01_因子設定!$B$13="最小化",-X4053,-ABS(X4053-01_因子設定!$B$16))),-1E+030)</f>
        <v>48.7143548976608</v>
      </c>
      <c r="AF4053" s="55" t="n">
        <f aca="false">AD4053+ROW()*0.000000001</f>
        <v>0.617133969747452</v>
      </c>
      <c r="AG4053" s="55" t="n">
        <f aca="false">AE4053+ROW()*0.000000001</f>
        <v>48.7143589506608</v>
      </c>
    </row>
    <row r="4054" customFormat="false" ht="15" hidden="false" customHeight="false" outlineLevel="0" collapsed="false">
      <c r="A4054" s="0" t="n">
        <v>5</v>
      </c>
      <c r="B4054" s="0" t="n">
        <v>4</v>
      </c>
      <c r="C4054" s="0" t="n">
        <v>8</v>
      </c>
      <c r="D4054" s="0" t="n">
        <v>8</v>
      </c>
      <c r="E4054" s="0" t="n">
        <f aca="false">-1+A4054*0.25</f>
        <v>0.25</v>
      </c>
      <c r="F4054" s="0" t="n">
        <f aca="false">-1+B4054*0.25</f>
        <v>0</v>
      </c>
      <c r="G4054" s="0" t="n">
        <f aca="false">-1+C4054*0.25</f>
        <v>1</v>
      </c>
      <c r="H4054" s="0" t="n">
        <f aca="false">-1+D4054*0.25</f>
        <v>1</v>
      </c>
      <c r="I4054" s="0" t="n">
        <f aca="false">1</f>
        <v>1</v>
      </c>
      <c r="J4054" s="0" t="n">
        <f aca="false">E4054</f>
        <v>0.25</v>
      </c>
      <c r="K4054" s="0" t="n">
        <f aca="false">F4054</f>
        <v>0</v>
      </c>
      <c r="L4054" s="0" t="n">
        <f aca="false">G4054</f>
        <v>1</v>
      </c>
      <c r="M4054" s="0" t="n">
        <f aca="false">H4054</f>
        <v>1</v>
      </c>
      <c r="N4054" s="0" t="n">
        <f aca="false">E4054*F4054</f>
        <v>0</v>
      </c>
      <c r="O4054" s="0" t="n">
        <f aca="false">E4054*G4054</f>
        <v>0.25</v>
      </c>
      <c r="P4054" s="0" t="n">
        <f aca="false">E4054*H4054</f>
        <v>0.25</v>
      </c>
      <c r="Q4054" s="0" t="n">
        <f aca="false">F4054*G4054</f>
        <v>0</v>
      </c>
      <c r="R4054" s="0" t="n">
        <f aca="false">F4054*H4054</f>
        <v>0</v>
      </c>
      <c r="S4054" s="0" t="n">
        <f aca="false">G4054*H4054</f>
        <v>1</v>
      </c>
      <c r="T4054" s="0" t="n">
        <f aca="false">E4054*E4054</f>
        <v>0.0625</v>
      </c>
      <c r="U4054" s="0" t="n">
        <f aca="false">F4054*F4054</f>
        <v>0</v>
      </c>
      <c r="V4054" s="0" t="n">
        <f aca="false">G4054*G4054</f>
        <v>1</v>
      </c>
      <c r="W4054" s="0" t="n">
        <f aca="false">H4054*H4054</f>
        <v>1</v>
      </c>
      <c r="X4054" s="0" t="n">
        <f aca="false">SUMPRODUCT(I4054:W4054,_XtX!$B$96:$P$96)</f>
        <v>48.7281067251462</v>
      </c>
      <c r="Y4054" s="0" t="n">
        <f aca="false">SUMPRODUCT(MMULT(I4054:W4054,_XtX!$B$78:$P$92),I4054:W4054)</f>
        <v>0.689692982456141</v>
      </c>
      <c r="Z4054" s="0" t="n">
        <f aca="false">04_回帰ANOVA!$K$19*04_回帰ANOVA!$K$14*SQRT(1+Y4054)</f>
        <v>1.69434674594998</v>
      </c>
      <c r="AA4054" s="0" t="n">
        <f aca="false">X4054-Z4054</f>
        <v>47.0337599791962</v>
      </c>
      <c r="AB4054" s="0" t="n">
        <f aca="false">X4054+Z4054</f>
        <v>50.4224534710962</v>
      </c>
      <c r="AC4054" s="54" t="b">
        <f aca="false">AND(E4054&gt;=01_因子設定!$L$5-0.000000001,E4054&lt;=01_因子設定!$M$5+0.000000001,F4054&gt;=01_因子設定!$L$6-0.000000001,F4054&lt;=01_因子設定!$M$6+0.000000001,G4054&gt;=01_因子設定!$L$7-0.000000001,G4054&lt;=01_因子設定!$M$7+0.000000001,H4054&gt;=01_因子設定!$L$8-0.000000001,H4054&lt;=01_因子設定!$M$8+0.000000001,IF(01_因子設定!$B$20="Box-Behnken",E4054^2+F4054^2+G4054^2+H4054^2&lt;=2+0.000000001,TRUE()))</f>
        <v>1</v>
      </c>
      <c r="AD4054" s="55" t="n">
        <f aca="false">IF(AC4054,IF(01_因子設定!$B$13="最大化",AA4054-01_因子設定!$B$14,IF(01_因子設定!$B$13="最小化",01_因子設定!$B$15-AB4054,MIN(AA4054-01_因子設定!$B$14,01_因子設定!$B$15-AB4054))),-1E+030)</f>
        <v>0.533759979196191</v>
      </c>
      <c r="AE4054" s="55" t="n">
        <f aca="false">IF(AC4054,IF(01_因子設定!$B$13="最大化",X4054,IF(01_因子設定!$B$13="最小化",-X4054,-ABS(X4054-01_因子設定!$B$16))),-1E+030)</f>
        <v>48.7281067251462</v>
      </c>
      <c r="AF4054" s="55" t="n">
        <f aca="false">AD4054+ROW()*0.000000001</f>
        <v>0.533764033196191</v>
      </c>
      <c r="AG4054" s="55" t="n">
        <f aca="false">AE4054+ROW()*0.000000001</f>
        <v>48.7281107791462</v>
      </c>
    </row>
    <row r="4055" customFormat="false" ht="15" hidden="false" customHeight="false" outlineLevel="0" collapsed="false">
      <c r="A4055" s="0" t="n">
        <v>5</v>
      </c>
      <c r="B4055" s="0" t="n">
        <v>5</v>
      </c>
      <c r="C4055" s="0" t="n">
        <v>0</v>
      </c>
      <c r="D4055" s="0" t="n">
        <v>0</v>
      </c>
      <c r="E4055" s="0" t="n">
        <f aca="false">-1+A4055*0.25</f>
        <v>0.25</v>
      </c>
      <c r="F4055" s="0" t="n">
        <f aca="false">-1+B4055*0.25</f>
        <v>0.25</v>
      </c>
      <c r="G4055" s="0" t="n">
        <f aca="false">-1+C4055*0.25</f>
        <v>-1</v>
      </c>
      <c r="H4055" s="0" t="n">
        <f aca="false">-1+D4055*0.25</f>
        <v>-1</v>
      </c>
      <c r="I4055" s="0" t="n">
        <f aca="false">1</f>
        <v>1</v>
      </c>
      <c r="J4055" s="0" t="n">
        <f aca="false">E4055</f>
        <v>0.25</v>
      </c>
      <c r="K4055" s="0" t="n">
        <f aca="false">F4055</f>
        <v>0.25</v>
      </c>
      <c r="L4055" s="0" t="n">
        <f aca="false">G4055</f>
        <v>-1</v>
      </c>
      <c r="M4055" s="0" t="n">
        <f aca="false">H4055</f>
        <v>-1</v>
      </c>
      <c r="N4055" s="0" t="n">
        <f aca="false">E4055*F4055</f>
        <v>0.0625</v>
      </c>
      <c r="O4055" s="0" t="n">
        <f aca="false">E4055*G4055</f>
        <v>-0.25</v>
      </c>
      <c r="P4055" s="0" t="n">
        <f aca="false">E4055*H4055</f>
        <v>-0.25</v>
      </c>
      <c r="Q4055" s="0" t="n">
        <f aca="false">F4055*G4055</f>
        <v>-0.25</v>
      </c>
      <c r="R4055" s="0" t="n">
        <f aca="false">F4055*H4055</f>
        <v>-0.25</v>
      </c>
      <c r="S4055" s="0" t="n">
        <f aca="false">G4055*H4055</f>
        <v>1</v>
      </c>
      <c r="T4055" s="0" t="n">
        <f aca="false">E4055*E4055</f>
        <v>0.0625</v>
      </c>
      <c r="U4055" s="0" t="n">
        <f aca="false">F4055*F4055</f>
        <v>0.0625</v>
      </c>
      <c r="V4055" s="0" t="n">
        <f aca="false">G4055*G4055</f>
        <v>1</v>
      </c>
      <c r="W4055" s="0" t="n">
        <f aca="false">H4055*H4055</f>
        <v>1</v>
      </c>
      <c r="X4055" s="0" t="n">
        <f aca="false">SUMPRODUCT(I4055:W4055,_XtX!$B$96:$P$96)</f>
        <v>46.6203490497076</v>
      </c>
      <c r="Y4055" s="0" t="n">
        <f aca="false">SUMPRODUCT(MMULT(I4055:W4055,_XtX!$B$78:$P$92),I4055:W4055)</f>
        <v>0.670040376005117</v>
      </c>
      <c r="Z4055" s="0" t="n">
        <f aca="false">04_回帰ANOVA!$K$19*04_回帰ANOVA!$K$14*SQRT(1+Y4055)</f>
        <v>1.68446456039992</v>
      </c>
      <c r="AA4055" s="0" t="n">
        <f aca="false">X4055-Z4055</f>
        <v>44.9358844893077</v>
      </c>
      <c r="AB4055" s="0" t="n">
        <f aca="false">X4055+Z4055</f>
        <v>48.3048136101075</v>
      </c>
      <c r="AC4055" s="54" t="b">
        <f aca="false">AND(E4055&gt;=01_因子設定!$L$5-0.000000001,E4055&lt;=01_因子設定!$M$5+0.000000001,F4055&gt;=01_因子設定!$L$6-0.000000001,F4055&lt;=01_因子設定!$M$6+0.000000001,G4055&gt;=01_因子設定!$L$7-0.000000001,G4055&lt;=01_因子設定!$M$7+0.000000001,H4055&gt;=01_因子設定!$L$8-0.000000001,H4055&lt;=01_因子設定!$M$8+0.000000001,IF(01_因子設定!$B$20="Box-Behnken",E4055^2+F4055^2+G4055^2+H4055^2&lt;=2+0.000000001,TRUE()))</f>
        <v>1</v>
      </c>
      <c r="AD4055" s="55" t="n">
        <f aca="false">IF(AC4055,IF(01_因子設定!$B$13="最大化",AA4055-01_因子設定!$B$14,IF(01_因子設定!$B$13="最小化",01_因子設定!$B$15-AB4055,MIN(AA4055-01_因子設定!$B$14,01_因子設定!$B$15-AB4055))),-1E+030)</f>
        <v>-1.56411551069233</v>
      </c>
      <c r="AE4055" s="55" t="n">
        <f aca="false">IF(AC4055,IF(01_因子設定!$B$13="最大化",X4055,IF(01_因子設定!$B$13="最小化",-X4055,-ABS(X4055-01_因子設定!$B$16))),-1E+030)</f>
        <v>46.6203490497076</v>
      </c>
      <c r="AF4055" s="55" t="n">
        <f aca="false">AD4055+ROW()*0.000000001</f>
        <v>-1.56411145569233</v>
      </c>
      <c r="AG4055" s="55" t="n">
        <f aca="false">AE4055+ROW()*0.000000001</f>
        <v>46.6203531047076</v>
      </c>
    </row>
    <row r="4056" customFormat="false" ht="15" hidden="false" customHeight="false" outlineLevel="0" collapsed="false">
      <c r="A4056" s="0" t="n">
        <v>5</v>
      </c>
      <c r="B4056" s="0" t="n">
        <v>5</v>
      </c>
      <c r="C4056" s="0" t="n">
        <v>0</v>
      </c>
      <c r="D4056" s="0" t="n">
        <v>1</v>
      </c>
      <c r="E4056" s="0" t="n">
        <f aca="false">-1+A4056*0.25</f>
        <v>0.25</v>
      </c>
      <c r="F4056" s="0" t="n">
        <f aca="false">-1+B4056*0.25</f>
        <v>0.25</v>
      </c>
      <c r="G4056" s="0" t="n">
        <f aca="false">-1+C4056*0.25</f>
        <v>-1</v>
      </c>
      <c r="H4056" s="0" t="n">
        <f aca="false">-1+D4056*0.25</f>
        <v>-0.75</v>
      </c>
      <c r="I4056" s="0" t="n">
        <f aca="false">1</f>
        <v>1</v>
      </c>
      <c r="J4056" s="0" t="n">
        <f aca="false">E4056</f>
        <v>0.25</v>
      </c>
      <c r="K4056" s="0" t="n">
        <f aca="false">F4056</f>
        <v>0.25</v>
      </c>
      <c r="L4056" s="0" t="n">
        <f aca="false">G4056</f>
        <v>-1</v>
      </c>
      <c r="M4056" s="0" t="n">
        <f aca="false">H4056</f>
        <v>-0.75</v>
      </c>
      <c r="N4056" s="0" t="n">
        <f aca="false">E4056*F4056</f>
        <v>0.0625</v>
      </c>
      <c r="O4056" s="0" t="n">
        <f aca="false">E4056*G4056</f>
        <v>-0.25</v>
      </c>
      <c r="P4056" s="0" t="n">
        <f aca="false">E4056*H4056</f>
        <v>-0.1875</v>
      </c>
      <c r="Q4056" s="0" t="n">
        <f aca="false">F4056*G4056</f>
        <v>-0.25</v>
      </c>
      <c r="R4056" s="0" t="n">
        <f aca="false">F4056*H4056</f>
        <v>-0.1875</v>
      </c>
      <c r="S4056" s="0" t="n">
        <f aca="false">G4056*H4056</f>
        <v>0.75</v>
      </c>
      <c r="T4056" s="0" t="n">
        <f aca="false">E4056*E4056</f>
        <v>0.0625</v>
      </c>
      <c r="U4056" s="0" t="n">
        <f aca="false">F4056*F4056</f>
        <v>0.0625</v>
      </c>
      <c r="V4056" s="0" t="n">
        <f aca="false">G4056*G4056</f>
        <v>1</v>
      </c>
      <c r="W4056" s="0" t="n">
        <f aca="false">H4056*H4056</f>
        <v>0.5625</v>
      </c>
      <c r="X4056" s="0" t="n">
        <f aca="false">SUMPRODUCT(I4056:W4056,_XtX!$B$96:$P$96)</f>
        <v>46.81171875</v>
      </c>
      <c r="Y4056" s="0" t="n">
        <f aca="false">SUMPRODUCT(MMULT(I4056:W4056,_XtX!$B$78:$P$92),I4056:W4056)</f>
        <v>0.486409505208334</v>
      </c>
      <c r="Z4056" s="0" t="n">
        <f aca="false">04_回帰ANOVA!$K$19*04_回帰ANOVA!$K$14*SQRT(1+Y4056)</f>
        <v>1.58916001665498</v>
      </c>
      <c r="AA4056" s="0" t="n">
        <f aca="false">X4056-Z4056</f>
        <v>45.222558733345</v>
      </c>
      <c r="AB4056" s="0" t="n">
        <f aca="false">X4056+Z4056</f>
        <v>48.400878766655</v>
      </c>
      <c r="AC4056" s="54" t="b">
        <f aca="false">AND(E4056&gt;=01_因子設定!$L$5-0.000000001,E4056&lt;=01_因子設定!$M$5+0.000000001,F4056&gt;=01_因子設定!$L$6-0.000000001,F4056&lt;=01_因子設定!$M$6+0.000000001,G4056&gt;=01_因子設定!$L$7-0.000000001,G4056&lt;=01_因子設定!$M$7+0.000000001,H4056&gt;=01_因子設定!$L$8-0.000000001,H4056&lt;=01_因子設定!$M$8+0.000000001,IF(01_因子設定!$B$20="Box-Behnken",E4056^2+F4056^2+G4056^2+H4056^2&lt;=2+0.000000001,TRUE()))</f>
        <v>1</v>
      </c>
      <c r="AD4056" s="55" t="n">
        <f aca="false">IF(AC4056,IF(01_因子設定!$B$13="最大化",AA4056-01_因子設定!$B$14,IF(01_因子設定!$B$13="最小化",01_因子設定!$B$15-AB4056,MIN(AA4056-01_因子設定!$B$14,01_因子設定!$B$15-AB4056))),-1E+030)</f>
        <v>-1.27744126665501</v>
      </c>
      <c r="AE4056" s="55" t="n">
        <f aca="false">IF(AC4056,IF(01_因子設定!$B$13="最大化",X4056,IF(01_因子設定!$B$13="最小化",-X4056,-ABS(X4056-01_因子設定!$B$16))),-1E+030)</f>
        <v>46.81171875</v>
      </c>
      <c r="AF4056" s="55" t="n">
        <f aca="false">AD4056+ROW()*0.000000001</f>
        <v>-1.27743721065501</v>
      </c>
      <c r="AG4056" s="55" t="n">
        <f aca="false">AE4056+ROW()*0.000000001</f>
        <v>46.811722806</v>
      </c>
    </row>
    <row r="4057" customFormat="false" ht="15" hidden="false" customHeight="false" outlineLevel="0" collapsed="false">
      <c r="A4057" s="0" t="n">
        <v>5</v>
      </c>
      <c r="B4057" s="0" t="n">
        <v>5</v>
      </c>
      <c r="C4057" s="0" t="n">
        <v>0</v>
      </c>
      <c r="D4057" s="0" t="n">
        <v>2</v>
      </c>
      <c r="E4057" s="0" t="n">
        <f aca="false">-1+A4057*0.25</f>
        <v>0.25</v>
      </c>
      <c r="F4057" s="0" t="n">
        <f aca="false">-1+B4057*0.25</f>
        <v>0.25</v>
      </c>
      <c r="G4057" s="0" t="n">
        <f aca="false">-1+C4057*0.25</f>
        <v>-1</v>
      </c>
      <c r="H4057" s="0" t="n">
        <f aca="false">-1+D4057*0.25</f>
        <v>-0.5</v>
      </c>
      <c r="I4057" s="0" t="n">
        <f aca="false">1</f>
        <v>1</v>
      </c>
      <c r="J4057" s="0" t="n">
        <f aca="false">E4057</f>
        <v>0.25</v>
      </c>
      <c r="K4057" s="0" t="n">
        <f aca="false">F4057</f>
        <v>0.25</v>
      </c>
      <c r="L4057" s="0" t="n">
        <f aca="false">G4057</f>
        <v>-1</v>
      </c>
      <c r="M4057" s="0" t="n">
        <f aca="false">H4057</f>
        <v>-0.5</v>
      </c>
      <c r="N4057" s="0" t="n">
        <f aca="false">E4057*F4057</f>
        <v>0.0625</v>
      </c>
      <c r="O4057" s="0" t="n">
        <f aca="false">E4057*G4057</f>
        <v>-0.25</v>
      </c>
      <c r="P4057" s="0" t="n">
        <f aca="false">E4057*H4057</f>
        <v>-0.125</v>
      </c>
      <c r="Q4057" s="0" t="n">
        <f aca="false">F4057*G4057</f>
        <v>-0.25</v>
      </c>
      <c r="R4057" s="0" t="n">
        <f aca="false">F4057*H4057</f>
        <v>-0.125</v>
      </c>
      <c r="S4057" s="0" t="n">
        <f aca="false">G4057*H4057</f>
        <v>0.5</v>
      </c>
      <c r="T4057" s="0" t="n">
        <f aca="false">E4057*E4057</f>
        <v>0.0625</v>
      </c>
      <c r="U4057" s="0" t="n">
        <f aca="false">F4057*F4057</f>
        <v>0.0625</v>
      </c>
      <c r="V4057" s="0" t="n">
        <f aca="false">G4057*G4057</f>
        <v>1</v>
      </c>
      <c r="W4057" s="0" t="n">
        <f aca="false">H4057*H4057</f>
        <v>0.25</v>
      </c>
      <c r="X4057" s="0" t="n">
        <f aca="false">SUMPRODUCT(I4057:W4057,_XtX!$B$96:$P$96)</f>
        <v>46.9552814327485</v>
      </c>
      <c r="Y4057" s="0" t="n">
        <f aca="false">SUMPRODUCT(MMULT(I4057:W4057,_XtX!$B$78:$P$92),I4057:W4057)</f>
        <v>0.445705123812135</v>
      </c>
      <c r="Z4057" s="0" t="n">
        <f aca="false">04_回帰ANOVA!$K$19*04_回帰ANOVA!$K$14*SQRT(1+Y4057)</f>
        <v>1.56724990734749</v>
      </c>
      <c r="AA4057" s="0" t="n">
        <f aca="false">X4057-Z4057</f>
        <v>45.388031525401</v>
      </c>
      <c r="AB4057" s="0" t="n">
        <f aca="false">X4057+Z4057</f>
        <v>48.522531340096</v>
      </c>
      <c r="AC4057" s="54" t="b">
        <f aca="false">AND(E4057&gt;=01_因子設定!$L$5-0.000000001,E4057&lt;=01_因子設定!$M$5+0.000000001,F4057&gt;=01_因子設定!$L$6-0.000000001,F4057&lt;=01_因子設定!$M$6+0.000000001,G4057&gt;=01_因子設定!$L$7-0.000000001,G4057&lt;=01_因子設定!$M$7+0.000000001,H4057&gt;=01_因子設定!$L$8-0.000000001,H4057&lt;=01_因子設定!$M$8+0.000000001,IF(01_因子設定!$B$20="Box-Behnken",E4057^2+F4057^2+G4057^2+H4057^2&lt;=2+0.000000001,TRUE()))</f>
        <v>1</v>
      </c>
      <c r="AD4057" s="55" t="n">
        <f aca="false">IF(AC4057,IF(01_因子設定!$B$13="最大化",AA4057-01_因子設定!$B$14,IF(01_因子設定!$B$13="最小化",01_因子設定!$B$15-AB4057,MIN(AA4057-01_因子設定!$B$14,01_因子設定!$B$15-AB4057))),-1E+030)</f>
        <v>-1.111968474599</v>
      </c>
      <c r="AE4057" s="55" t="n">
        <f aca="false">IF(AC4057,IF(01_因子設定!$B$13="最大化",X4057,IF(01_因子設定!$B$13="最小化",-X4057,-ABS(X4057-01_因子設定!$B$16))),-1E+030)</f>
        <v>46.9552814327485</v>
      </c>
      <c r="AF4057" s="55" t="n">
        <f aca="false">AD4057+ROW()*0.000000001</f>
        <v>-1.111964417599</v>
      </c>
      <c r="AG4057" s="55" t="n">
        <f aca="false">AE4057+ROW()*0.000000001</f>
        <v>46.9552854897485</v>
      </c>
    </row>
    <row r="4058" customFormat="false" ht="15" hidden="false" customHeight="false" outlineLevel="0" collapsed="false">
      <c r="A4058" s="0" t="n">
        <v>5</v>
      </c>
      <c r="B4058" s="0" t="n">
        <v>5</v>
      </c>
      <c r="C4058" s="0" t="n">
        <v>0</v>
      </c>
      <c r="D4058" s="0" t="n">
        <v>3</v>
      </c>
      <c r="E4058" s="0" t="n">
        <f aca="false">-1+A4058*0.25</f>
        <v>0.25</v>
      </c>
      <c r="F4058" s="0" t="n">
        <f aca="false">-1+B4058*0.25</f>
        <v>0.25</v>
      </c>
      <c r="G4058" s="0" t="n">
        <f aca="false">-1+C4058*0.25</f>
        <v>-1</v>
      </c>
      <c r="H4058" s="0" t="n">
        <f aca="false">-1+D4058*0.25</f>
        <v>-0.25</v>
      </c>
      <c r="I4058" s="0" t="n">
        <f aca="false">1</f>
        <v>1</v>
      </c>
      <c r="J4058" s="0" t="n">
        <f aca="false">E4058</f>
        <v>0.25</v>
      </c>
      <c r="K4058" s="0" t="n">
        <f aca="false">F4058</f>
        <v>0.25</v>
      </c>
      <c r="L4058" s="0" t="n">
        <f aca="false">G4058</f>
        <v>-1</v>
      </c>
      <c r="M4058" s="0" t="n">
        <f aca="false">H4058</f>
        <v>-0.25</v>
      </c>
      <c r="N4058" s="0" t="n">
        <f aca="false">E4058*F4058</f>
        <v>0.0625</v>
      </c>
      <c r="O4058" s="0" t="n">
        <f aca="false">E4058*G4058</f>
        <v>-0.25</v>
      </c>
      <c r="P4058" s="0" t="n">
        <f aca="false">E4058*H4058</f>
        <v>-0.0625</v>
      </c>
      <c r="Q4058" s="0" t="n">
        <f aca="false">F4058*G4058</f>
        <v>-0.25</v>
      </c>
      <c r="R4058" s="0" t="n">
        <f aca="false">F4058*H4058</f>
        <v>-0.0625</v>
      </c>
      <c r="S4058" s="0" t="n">
        <f aca="false">G4058*H4058</f>
        <v>0.25</v>
      </c>
      <c r="T4058" s="0" t="n">
        <f aca="false">E4058*E4058</f>
        <v>0.0625</v>
      </c>
      <c r="U4058" s="0" t="n">
        <f aca="false">F4058*F4058</f>
        <v>0.0625</v>
      </c>
      <c r="V4058" s="0" t="n">
        <f aca="false">G4058*G4058</f>
        <v>1</v>
      </c>
      <c r="W4058" s="0" t="n">
        <f aca="false">H4058*H4058</f>
        <v>0.0625</v>
      </c>
      <c r="X4058" s="0" t="n">
        <f aca="false">SUMPRODUCT(I4058:W4058,_XtX!$B$96:$P$96)</f>
        <v>47.0510370979532</v>
      </c>
      <c r="Y4058" s="0" t="n">
        <f aca="false">SUMPRODUCT(MMULT(I4058:W4058,_XtX!$B$78:$P$92),I4058:W4058)</f>
        <v>0.457466705500731</v>
      </c>
      <c r="Z4058" s="0" t="n">
        <f aca="false">04_回帰ANOVA!$K$19*04_回帰ANOVA!$K$14*SQRT(1+Y4058)</f>
        <v>1.57361220003999</v>
      </c>
      <c r="AA4058" s="0" t="n">
        <f aca="false">X4058-Z4058</f>
        <v>45.4774248979132</v>
      </c>
      <c r="AB4058" s="0" t="n">
        <f aca="false">X4058+Z4058</f>
        <v>48.6246492979932</v>
      </c>
      <c r="AC4058" s="54" t="b">
        <f aca="false">AND(E4058&gt;=01_因子設定!$L$5-0.000000001,E4058&lt;=01_因子設定!$M$5+0.000000001,F4058&gt;=01_因子設定!$L$6-0.000000001,F4058&lt;=01_因子設定!$M$6+0.000000001,G4058&gt;=01_因子設定!$L$7-0.000000001,G4058&lt;=01_因子設定!$M$7+0.000000001,H4058&gt;=01_因子設定!$L$8-0.000000001,H4058&lt;=01_因子設定!$M$8+0.000000001,IF(01_因子設定!$B$20="Box-Behnken",E4058^2+F4058^2+G4058^2+H4058^2&lt;=2+0.000000001,TRUE()))</f>
        <v>1</v>
      </c>
      <c r="AD4058" s="55" t="n">
        <f aca="false">IF(AC4058,IF(01_因子設定!$B$13="最大化",AA4058-01_因子設定!$B$14,IF(01_因子設定!$B$13="最小化",01_因子設定!$B$15-AB4058,MIN(AA4058-01_因子設定!$B$14,01_因子設定!$B$15-AB4058))),-1E+030)</f>
        <v>-1.02257510208683</v>
      </c>
      <c r="AE4058" s="55" t="n">
        <f aca="false">IF(AC4058,IF(01_因子設定!$B$13="最大化",X4058,IF(01_因子設定!$B$13="最小化",-X4058,-ABS(X4058-01_因子設定!$B$16))),-1E+030)</f>
        <v>47.0510370979532</v>
      </c>
      <c r="AF4058" s="55" t="n">
        <f aca="false">AD4058+ROW()*0.000000001</f>
        <v>-1.02257104408683</v>
      </c>
      <c r="AG4058" s="55" t="n">
        <f aca="false">AE4058+ROW()*0.000000001</f>
        <v>47.0510411559532</v>
      </c>
    </row>
    <row r="4059" customFormat="false" ht="15" hidden="false" customHeight="false" outlineLevel="0" collapsed="false">
      <c r="A4059" s="0" t="n">
        <v>5</v>
      </c>
      <c r="B4059" s="0" t="n">
        <v>5</v>
      </c>
      <c r="C4059" s="0" t="n">
        <v>0</v>
      </c>
      <c r="D4059" s="0" t="n">
        <v>4</v>
      </c>
      <c r="E4059" s="0" t="n">
        <f aca="false">-1+A4059*0.25</f>
        <v>0.25</v>
      </c>
      <c r="F4059" s="0" t="n">
        <f aca="false">-1+B4059*0.25</f>
        <v>0.25</v>
      </c>
      <c r="G4059" s="0" t="n">
        <f aca="false">-1+C4059*0.25</f>
        <v>-1</v>
      </c>
      <c r="H4059" s="0" t="n">
        <f aca="false">-1+D4059*0.25</f>
        <v>0</v>
      </c>
      <c r="I4059" s="0" t="n">
        <f aca="false">1</f>
        <v>1</v>
      </c>
      <c r="J4059" s="0" t="n">
        <f aca="false">E4059</f>
        <v>0.25</v>
      </c>
      <c r="K4059" s="0" t="n">
        <f aca="false">F4059</f>
        <v>0.25</v>
      </c>
      <c r="L4059" s="0" t="n">
        <f aca="false">G4059</f>
        <v>-1</v>
      </c>
      <c r="M4059" s="0" t="n">
        <f aca="false">H4059</f>
        <v>0</v>
      </c>
      <c r="N4059" s="0" t="n">
        <f aca="false">E4059*F4059</f>
        <v>0.0625</v>
      </c>
      <c r="O4059" s="0" t="n">
        <f aca="false">E4059*G4059</f>
        <v>-0.25</v>
      </c>
      <c r="P4059" s="0" t="n">
        <f aca="false">E4059*H4059</f>
        <v>0</v>
      </c>
      <c r="Q4059" s="0" t="n">
        <f aca="false">F4059*G4059</f>
        <v>-0.25</v>
      </c>
      <c r="R4059" s="0" t="n">
        <f aca="false">F4059*H4059</f>
        <v>0</v>
      </c>
      <c r="S4059" s="0" t="n">
        <f aca="false">G4059*H4059</f>
        <v>-0</v>
      </c>
      <c r="T4059" s="0" t="n">
        <f aca="false">E4059*E4059</f>
        <v>0.0625</v>
      </c>
      <c r="U4059" s="0" t="n">
        <f aca="false">F4059*F4059</f>
        <v>0.0625</v>
      </c>
      <c r="V4059" s="0" t="n">
        <f aca="false">G4059*G4059</f>
        <v>1</v>
      </c>
      <c r="W4059" s="0" t="n">
        <f aca="false">H4059*H4059</f>
        <v>0</v>
      </c>
      <c r="X4059" s="0" t="n">
        <f aca="false">SUMPRODUCT(I4059:W4059,_XtX!$B$96:$P$96)</f>
        <v>47.098985745614</v>
      </c>
      <c r="Y4059" s="0" t="n">
        <f aca="false">SUMPRODUCT(MMULT(I4059:W4059,_XtX!$B$78:$P$92),I4059:W4059)</f>
        <v>0.467417934484649</v>
      </c>
      <c r="Z4059" s="0" t="n">
        <f aca="false">04_回帰ANOVA!$K$19*04_回帰ANOVA!$K$14*SQRT(1+Y4059)</f>
        <v>1.57897518244497</v>
      </c>
      <c r="AA4059" s="0" t="n">
        <f aca="false">X4059-Z4059</f>
        <v>45.520010563169</v>
      </c>
      <c r="AB4059" s="0" t="n">
        <f aca="false">X4059+Z4059</f>
        <v>48.677960928059</v>
      </c>
      <c r="AC4059" s="54" t="b">
        <f aca="false">AND(E4059&gt;=01_因子設定!$L$5-0.000000001,E4059&lt;=01_因子設定!$M$5+0.000000001,F4059&gt;=01_因子設定!$L$6-0.000000001,F4059&lt;=01_因子設定!$M$6+0.000000001,G4059&gt;=01_因子設定!$L$7-0.000000001,G4059&lt;=01_因子設定!$M$7+0.000000001,H4059&gt;=01_因子設定!$L$8-0.000000001,H4059&lt;=01_因子設定!$M$8+0.000000001,IF(01_因子設定!$B$20="Box-Behnken",E4059^2+F4059^2+G4059^2+H4059^2&lt;=2+0.000000001,TRUE()))</f>
        <v>1</v>
      </c>
      <c r="AD4059" s="55" t="n">
        <f aca="false">IF(AC4059,IF(01_因子設定!$B$13="最大化",AA4059-01_因子設定!$B$14,IF(01_因子設定!$B$13="最小化",01_因子設定!$B$15-AB4059,MIN(AA4059-01_因子設定!$B$14,01_因子設定!$B$15-AB4059))),-1E+030)</f>
        <v>-0.979989436830991</v>
      </c>
      <c r="AE4059" s="55" t="n">
        <f aca="false">IF(AC4059,IF(01_因子設定!$B$13="最大化",X4059,IF(01_因子設定!$B$13="最小化",-X4059,-ABS(X4059-01_因子設定!$B$16))),-1E+030)</f>
        <v>47.098985745614</v>
      </c>
      <c r="AF4059" s="55" t="n">
        <f aca="false">AD4059+ROW()*0.000000001</f>
        <v>-0.979985377830991</v>
      </c>
      <c r="AG4059" s="55" t="n">
        <f aca="false">AE4059+ROW()*0.000000001</f>
        <v>47.098989804614</v>
      </c>
    </row>
    <row r="4060" customFormat="false" ht="15" hidden="false" customHeight="false" outlineLevel="0" collapsed="false">
      <c r="A4060" s="0" t="n">
        <v>5</v>
      </c>
      <c r="B4060" s="0" t="n">
        <v>5</v>
      </c>
      <c r="C4060" s="0" t="n">
        <v>0</v>
      </c>
      <c r="D4060" s="0" t="n">
        <v>5</v>
      </c>
      <c r="E4060" s="0" t="n">
        <f aca="false">-1+A4060*0.25</f>
        <v>0.25</v>
      </c>
      <c r="F4060" s="0" t="n">
        <f aca="false">-1+B4060*0.25</f>
        <v>0.25</v>
      </c>
      <c r="G4060" s="0" t="n">
        <f aca="false">-1+C4060*0.25</f>
        <v>-1</v>
      </c>
      <c r="H4060" s="0" t="n">
        <f aca="false">-1+D4060*0.25</f>
        <v>0.25</v>
      </c>
      <c r="I4060" s="0" t="n">
        <f aca="false">1</f>
        <v>1</v>
      </c>
      <c r="J4060" s="0" t="n">
        <f aca="false">E4060</f>
        <v>0.25</v>
      </c>
      <c r="K4060" s="0" t="n">
        <f aca="false">F4060</f>
        <v>0.25</v>
      </c>
      <c r="L4060" s="0" t="n">
        <f aca="false">G4060</f>
        <v>-1</v>
      </c>
      <c r="M4060" s="0" t="n">
        <f aca="false">H4060</f>
        <v>0.25</v>
      </c>
      <c r="N4060" s="0" t="n">
        <f aca="false">E4060*F4060</f>
        <v>0.0625</v>
      </c>
      <c r="O4060" s="0" t="n">
        <f aca="false">E4060*G4060</f>
        <v>-0.25</v>
      </c>
      <c r="P4060" s="0" t="n">
        <f aca="false">E4060*H4060</f>
        <v>0.0625</v>
      </c>
      <c r="Q4060" s="0" t="n">
        <f aca="false">F4060*G4060</f>
        <v>-0.25</v>
      </c>
      <c r="R4060" s="0" t="n">
        <f aca="false">F4060*H4060</f>
        <v>0.0625</v>
      </c>
      <c r="S4060" s="0" t="n">
        <f aca="false">G4060*H4060</f>
        <v>-0.25</v>
      </c>
      <c r="T4060" s="0" t="n">
        <f aca="false">E4060*E4060</f>
        <v>0.0625</v>
      </c>
      <c r="U4060" s="0" t="n">
        <f aca="false">F4060*F4060</f>
        <v>0.0625</v>
      </c>
      <c r="V4060" s="0" t="n">
        <f aca="false">G4060*G4060</f>
        <v>1</v>
      </c>
      <c r="W4060" s="0" t="n">
        <f aca="false">H4060*H4060</f>
        <v>0.0625</v>
      </c>
      <c r="X4060" s="0" t="n">
        <f aca="false">SUMPRODUCT(I4060:W4060,_XtX!$B$96:$P$96)</f>
        <v>47.0991273757309</v>
      </c>
      <c r="Y4060" s="0" t="n">
        <f aca="false">SUMPRODUCT(MMULT(I4060:W4060,_XtX!$B$78:$P$92),I4060:W4060)</f>
        <v>0.457466705500731</v>
      </c>
      <c r="Z4060" s="0" t="n">
        <f aca="false">04_回帰ANOVA!$K$19*04_回帰ANOVA!$K$14*SQRT(1+Y4060)</f>
        <v>1.57361220003999</v>
      </c>
      <c r="AA4060" s="0" t="n">
        <f aca="false">X4060-Z4060</f>
        <v>45.5255151756909</v>
      </c>
      <c r="AB4060" s="0" t="n">
        <f aca="false">X4060+Z4060</f>
        <v>48.6727395757709</v>
      </c>
      <c r="AC4060" s="54" t="b">
        <f aca="false">AND(E4060&gt;=01_因子設定!$L$5-0.000000001,E4060&lt;=01_因子設定!$M$5+0.000000001,F4060&gt;=01_因子設定!$L$6-0.000000001,F4060&lt;=01_因子設定!$M$6+0.000000001,G4060&gt;=01_因子設定!$L$7-0.000000001,G4060&lt;=01_因子設定!$M$7+0.000000001,H4060&gt;=01_因子設定!$L$8-0.000000001,H4060&lt;=01_因子設定!$M$8+0.000000001,IF(01_因子設定!$B$20="Box-Behnken",E4060^2+F4060^2+G4060^2+H4060^2&lt;=2+0.000000001,TRUE()))</f>
        <v>1</v>
      </c>
      <c r="AD4060" s="55" t="n">
        <f aca="false">IF(AC4060,IF(01_因子設定!$B$13="最大化",AA4060-01_因子設定!$B$14,IF(01_因子設定!$B$13="最小化",01_因子設定!$B$15-AB4060,MIN(AA4060-01_因子設定!$B$14,01_因子設定!$B$15-AB4060))),-1E+030)</f>
        <v>-0.974484824309059</v>
      </c>
      <c r="AE4060" s="55" t="n">
        <f aca="false">IF(AC4060,IF(01_因子設定!$B$13="最大化",X4060,IF(01_因子設定!$B$13="最小化",-X4060,-ABS(X4060-01_因子設定!$B$16))),-1E+030)</f>
        <v>47.0991273757309</v>
      </c>
      <c r="AF4060" s="55" t="n">
        <f aca="false">AD4060+ROW()*0.000000001</f>
        <v>-0.974480764309059</v>
      </c>
      <c r="AG4060" s="55" t="n">
        <f aca="false">AE4060+ROW()*0.000000001</f>
        <v>47.0991314357309</v>
      </c>
    </row>
    <row r="4061" customFormat="false" ht="15" hidden="false" customHeight="false" outlineLevel="0" collapsed="false">
      <c r="A4061" s="0" t="n">
        <v>5</v>
      </c>
      <c r="B4061" s="0" t="n">
        <v>5</v>
      </c>
      <c r="C4061" s="0" t="n">
        <v>0</v>
      </c>
      <c r="D4061" s="0" t="n">
        <v>6</v>
      </c>
      <c r="E4061" s="0" t="n">
        <f aca="false">-1+A4061*0.25</f>
        <v>0.25</v>
      </c>
      <c r="F4061" s="0" t="n">
        <f aca="false">-1+B4061*0.25</f>
        <v>0.25</v>
      </c>
      <c r="G4061" s="0" t="n">
        <f aca="false">-1+C4061*0.25</f>
        <v>-1</v>
      </c>
      <c r="H4061" s="0" t="n">
        <f aca="false">-1+D4061*0.25</f>
        <v>0.5</v>
      </c>
      <c r="I4061" s="0" t="n">
        <f aca="false">1</f>
        <v>1</v>
      </c>
      <c r="J4061" s="0" t="n">
        <f aca="false">E4061</f>
        <v>0.25</v>
      </c>
      <c r="K4061" s="0" t="n">
        <f aca="false">F4061</f>
        <v>0.25</v>
      </c>
      <c r="L4061" s="0" t="n">
        <f aca="false">G4061</f>
        <v>-1</v>
      </c>
      <c r="M4061" s="0" t="n">
        <f aca="false">H4061</f>
        <v>0.5</v>
      </c>
      <c r="N4061" s="0" t="n">
        <f aca="false">E4061*F4061</f>
        <v>0.0625</v>
      </c>
      <c r="O4061" s="0" t="n">
        <f aca="false">E4061*G4061</f>
        <v>-0.25</v>
      </c>
      <c r="P4061" s="0" t="n">
        <f aca="false">E4061*H4061</f>
        <v>0.125</v>
      </c>
      <c r="Q4061" s="0" t="n">
        <f aca="false">F4061*G4061</f>
        <v>-0.25</v>
      </c>
      <c r="R4061" s="0" t="n">
        <f aca="false">F4061*H4061</f>
        <v>0.125</v>
      </c>
      <c r="S4061" s="0" t="n">
        <f aca="false">G4061*H4061</f>
        <v>-0.5</v>
      </c>
      <c r="T4061" s="0" t="n">
        <f aca="false">E4061*E4061</f>
        <v>0.0625</v>
      </c>
      <c r="U4061" s="0" t="n">
        <f aca="false">F4061*F4061</f>
        <v>0.0625</v>
      </c>
      <c r="V4061" s="0" t="n">
        <f aca="false">G4061*G4061</f>
        <v>1</v>
      </c>
      <c r="W4061" s="0" t="n">
        <f aca="false">H4061*H4061</f>
        <v>0.25</v>
      </c>
      <c r="X4061" s="0" t="n">
        <f aca="false">SUMPRODUCT(I4061:W4061,_XtX!$B$96:$P$96)</f>
        <v>47.0514619883041</v>
      </c>
      <c r="Y4061" s="0" t="n">
        <f aca="false">SUMPRODUCT(MMULT(I4061:W4061,_XtX!$B$78:$P$92),I4061:W4061)</f>
        <v>0.445705123812135</v>
      </c>
      <c r="Z4061" s="0" t="n">
        <f aca="false">04_回帰ANOVA!$K$19*04_回帰ANOVA!$K$14*SQRT(1+Y4061)</f>
        <v>1.56724990734749</v>
      </c>
      <c r="AA4061" s="0" t="n">
        <f aca="false">X4061-Z4061</f>
        <v>45.4842120809566</v>
      </c>
      <c r="AB4061" s="0" t="n">
        <f aca="false">X4061+Z4061</f>
        <v>48.6187118956515</v>
      </c>
      <c r="AC4061" s="54" t="b">
        <f aca="false">AND(E4061&gt;=01_因子設定!$L$5-0.000000001,E4061&lt;=01_因子設定!$M$5+0.000000001,F4061&gt;=01_因子設定!$L$6-0.000000001,F4061&lt;=01_因子設定!$M$6+0.000000001,G4061&gt;=01_因子設定!$L$7-0.000000001,G4061&lt;=01_因子設定!$M$7+0.000000001,H4061&gt;=01_因子設定!$L$8-0.000000001,H4061&lt;=01_因子設定!$M$8+0.000000001,IF(01_因子設定!$B$20="Box-Behnken",E4061^2+F4061^2+G4061^2+H4061^2&lt;=2+0.000000001,TRUE()))</f>
        <v>1</v>
      </c>
      <c r="AD4061" s="55" t="n">
        <f aca="false">IF(AC4061,IF(01_因子設定!$B$13="最大化",AA4061-01_因子設定!$B$14,IF(01_因子設定!$B$13="最小化",01_因子設定!$B$15-AB4061,MIN(AA4061-01_因子設定!$B$14,01_因子設定!$B$15-AB4061))),-1E+030)</f>
        <v>-1.01578791904344</v>
      </c>
      <c r="AE4061" s="55" t="n">
        <f aca="false">IF(AC4061,IF(01_因子設定!$B$13="最大化",X4061,IF(01_因子設定!$B$13="最小化",-X4061,-ABS(X4061-01_因子設定!$B$16))),-1E+030)</f>
        <v>47.0514619883041</v>
      </c>
      <c r="AF4061" s="55" t="n">
        <f aca="false">AD4061+ROW()*0.000000001</f>
        <v>-1.01578385804344</v>
      </c>
      <c r="AG4061" s="55" t="n">
        <f aca="false">AE4061+ROW()*0.000000001</f>
        <v>47.0514660493041</v>
      </c>
    </row>
    <row r="4062" customFormat="false" ht="15" hidden="false" customHeight="false" outlineLevel="0" collapsed="false">
      <c r="A4062" s="0" t="n">
        <v>5</v>
      </c>
      <c r="B4062" s="0" t="n">
        <v>5</v>
      </c>
      <c r="C4062" s="0" t="n">
        <v>0</v>
      </c>
      <c r="D4062" s="0" t="n">
        <v>7</v>
      </c>
      <c r="E4062" s="0" t="n">
        <f aca="false">-1+A4062*0.25</f>
        <v>0.25</v>
      </c>
      <c r="F4062" s="0" t="n">
        <f aca="false">-1+B4062*0.25</f>
        <v>0.25</v>
      </c>
      <c r="G4062" s="0" t="n">
        <f aca="false">-1+C4062*0.25</f>
        <v>-1</v>
      </c>
      <c r="H4062" s="0" t="n">
        <f aca="false">-1+D4062*0.25</f>
        <v>0.75</v>
      </c>
      <c r="I4062" s="0" t="n">
        <f aca="false">1</f>
        <v>1</v>
      </c>
      <c r="J4062" s="0" t="n">
        <f aca="false">E4062</f>
        <v>0.25</v>
      </c>
      <c r="K4062" s="0" t="n">
        <f aca="false">F4062</f>
        <v>0.25</v>
      </c>
      <c r="L4062" s="0" t="n">
        <f aca="false">G4062</f>
        <v>-1</v>
      </c>
      <c r="M4062" s="0" t="n">
        <f aca="false">H4062</f>
        <v>0.75</v>
      </c>
      <c r="N4062" s="0" t="n">
        <f aca="false">E4062*F4062</f>
        <v>0.0625</v>
      </c>
      <c r="O4062" s="0" t="n">
        <f aca="false">E4062*G4062</f>
        <v>-0.25</v>
      </c>
      <c r="P4062" s="0" t="n">
        <f aca="false">E4062*H4062</f>
        <v>0.1875</v>
      </c>
      <c r="Q4062" s="0" t="n">
        <f aca="false">F4062*G4062</f>
        <v>-0.25</v>
      </c>
      <c r="R4062" s="0" t="n">
        <f aca="false">F4062*H4062</f>
        <v>0.1875</v>
      </c>
      <c r="S4062" s="0" t="n">
        <f aca="false">G4062*H4062</f>
        <v>-0.75</v>
      </c>
      <c r="T4062" s="0" t="n">
        <f aca="false">E4062*E4062</f>
        <v>0.0625</v>
      </c>
      <c r="U4062" s="0" t="n">
        <f aca="false">F4062*F4062</f>
        <v>0.0625</v>
      </c>
      <c r="V4062" s="0" t="n">
        <f aca="false">G4062*G4062</f>
        <v>1</v>
      </c>
      <c r="W4062" s="0" t="n">
        <f aca="false">H4062*H4062</f>
        <v>0.5625</v>
      </c>
      <c r="X4062" s="0" t="n">
        <f aca="false">SUMPRODUCT(I4062:W4062,_XtX!$B$96:$P$96)</f>
        <v>46.9559895833333</v>
      </c>
      <c r="Y4062" s="0" t="n">
        <f aca="false">SUMPRODUCT(MMULT(I4062:W4062,_XtX!$B$78:$P$92),I4062:W4062)</f>
        <v>0.486409505208334</v>
      </c>
      <c r="Z4062" s="0" t="n">
        <f aca="false">04_回帰ANOVA!$K$19*04_回帰ANOVA!$K$14*SQRT(1+Y4062)</f>
        <v>1.58916001665498</v>
      </c>
      <c r="AA4062" s="0" t="n">
        <f aca="false">X4062-Z4062</f>
        <v>45.3668295666783</v>
      </c>
      <c r="AB4062" s="0" t="n">
        <f aca="false">X4062+Z4062</f>
        <v>48.5451495999883</v>
      </c>
      <c r="AC4062" s="54" t="b">
        <f aca="false">AND(E4062&gt;=01_因子設定!$L$5-0.000000001,E4062&lt;=01_因子設定!$M$5+0.000000001,F4062&gt;=01_因子設定!$L$6-0.000000001,F4062&lt;=01_因子設定!$M$6+0.000000001,G4062&gt;=01_因子設定!$L$7-0.000000001,G4062&lt;=01_因子設定!$M$7+0.000000001,H4062&gt;=01_因子設定!$L$8-0.000000001,H4062&lt;=01_因子設定!$M$8+0.000000001,IF(01_因子設定!$B$20="Box-Behnken",E4062^2+F4062^2+G4062^2+H4062^2&lt;=2+0.000000001,TRUE()))</f>
        <v>1</v>
      </c>
      <c r="AD4062" s="55" t="n">
        <f aca="false">IF(AC4062,IF(01_因子設定!$B$13="最大化",AA4062-01_因子設定!$B$14,IF(01_因子設定!$B$13="最小化",01_因子設定!$B$15-AB4062,MIN(AA4062-01_因子設定!$B$14,01_因子設定!$B$15-AB4062))),-1E+030)</f>
        <v>-1.13317043332168</v>
      </c>
      <c r="AE4062" s="55" t="n">
        <f aca="false">IF(AC4062,IF(01_因子設定!$B$13="最大化",X4062,IF(01_因子設定!$B$13="最小化",-X4062,-ABS(X4062-01_因子設定!$B$16))),-1E+030)</f>
        <v>46.9559895833333</v>
      </c>
      <c r="AF4062" s="55" t="n">
        <f aca="false">AD4062+ROW()*0.000000001</f>
        <v>-1.13316637132168</v>
      </c>
      <c r="AG4062" s="55" t="n">
        <f aca="false">AE4062+ROW()*0.000000001</f>
        <v>46.9559936453333</v>
      </c>
    </row>
    <row r="4063" customFormat="false" ht="15" hidden="false" customHeight="false" outlineLevel="0" collapsed="false">
      <c r="A4063" s="0" t="n">
        <v>5</v>
      </c>
      <c r="B4063" s="0" t="n">
        <v>5</v>
      </c>
      <c r="C4063" s="0" t="n">
        <v>0</v>
      </c>
      <c r="D4063" s="0" t="n">
        <v>8</v>
      </c>
      <c r="E4063" s="0" t="n">
        <f aca="false">-1+A4063*0.25</f>
        <v>0.25</v>
      </c>
      <c r="F4063" s="0" t="n">
        <f aca="false">-1+B4063*0.25</f>
        <v>0.25</v>
      </c>
      <c r="G4063" s="0" t="n">
        <f aca="false">-1+C4063*0.25</f>
        <v>-1</v>
      </c>
      <c r="H4063" s="0" t="n">
        <f aca="false">-1+D4063*0.25</f>
        <v>1</v>
      </c>
      <c r="I4063" s="0" t="n">
        <f aca="false">1</f>
        <v>1</v>
      </c>
      <c r="J4063" s="0" t="n">
        <f aca="false">E4063</f>
        <v>0.25</v>
      </c>
      <c r="K4063" s="0" t="n">
        <f aca="false">F4063</f>
        <v>0.25</v>
      </c>
      <c r="L4063" s="0" t="n">
        <f aca="false">G4063</f>
        <v>-1</v>
      </c>
      <c r="M4063" s="0" t="n">
        <f aca="false">H4063</f>
        <v>1</v>
      </c>
      <c r="N4063" s="0" t="n">
        <f aca="false">E4063*F4063</f>
        <v>0.0625</v>
      </c>
      <c r="O4063" s="0" t="n">
        <f aca="false">E4063*G4063</f>
        <v>-0.25</v>
      </c>
      <c r="P4063" s="0" t="n">
        <f aca="false">E4063*H4063</f>
        <v>0.25</v>
      </c>
      <c r="Q4063" s="0" t="n">
        <f aca="false">F4063*G4063</f>
        <v>-0.25</v>
      </c>
      <c r="R4063" s="0" t="n">
        <f aca="false">F4063*H4063</f>
        <v>0.25</v>
      </c>
      <c r="S4063" s="0" t="n">
        <f aca="false">G4063*H4063</f>
        <v>-1</v>
      </c>
      <c r="T4063" s="0" t="n">
        <f aca="false">E4063*E4063</f>
        <v>0.0625</v>
      </c>
      <c r="U4063" s="0" t="n">
        <f aca="false">F4063*F4063</f>
        <v>0.0625</v>
      </c>
      <c r="V4063" s="0" t="n">
        <f aca="false">G4063*G4063</f>
        <v>1</v>
      </c>
      <c r="W4063" s="0" t="n">
        <f aca="false">H4063*H4063</f>
        <v>1</v>
      </c>
      <c r="X4063" s="0" t="n">
        <f aca="false">SUMPRODUCT(I4063:W4063,_XtX!$B$96:$P$96)</f>
        <v>46.8127101608187</v>
      </c>
      <c r="Y4063" s="0" t="n">
        <f aca="false">SUMPRODUCT(MMULT(I4063:W4063,_XtX!$B$78:$P$92),I4063:W4063)</f>
        <v>0.670040376005117</v>
      </c>
      <c r="Z4063" s="0" t="n">
        <f aca="false">04_回帰ANOVA!$K$19*04_回帰ANOVA!$K$14*SQRT(1+Y4063)</f>
        <v>1.68446456039992</v>
      </c>
      <c r="AA4063" s="0" t="n">
        <f aca="false">X4063-Z4063</f>
        <v>45.1282456004188</v>
      </c>
      <c r="AB4063" s="0" t="n">
        <f aca="false">X4063+Z4063</f>
        <v>48.4971747212186</v>
      </c>
      <c r="AC4063" s="54" t="b">
        <f aca="false">AND(E4063&gt;=01_因子設定!$L$5-0.000000001,E4063&lt;=01_因子設定!$M$5+0.000000001,F4063&gt;=01_因子設定!$L$6-0.000000001,F4063&lt;=01_因子設定!$M$6+0.000000001,G4063&gt;=01_因子設定!$L$7-0.000000001,G4063&lt;=01_因子設定!$M$7+0.000000001,H4063&gt;=01_因子設定!$L$8-0.000000001,H4063&lt;=01_因子設定!$M$8+0.000000001,IF(01_因子設定!$B$20="Box-Behnken",E4063^2+F4063^2+G4063^2+H4063^2&lt;=2+0.000000001,TRUE()))</f>
        <v>1</v>
      </c>
      <c r="AD4063" s="55" t="n">
        <f aca="false">IF(AC4063,IF(01_因子設定!$B$13="最大化",AA4063-01_因子設定!$B$14,IF(01_因子設定!$B$13="最小化",01_因子設定!$B$15-AB4063,MIN(AA4063-01_因子設定!$B$14,01_因子設定!$B$15-AB4063))),-1E+030)</f>
        <v>-1.37175439958122</v>
      </c>
      <c r="AE4063" s="55" t="n">
        <f aca="false">IF(AC4063,IF(01_因子設定!$B$13="最大化",X4063,IF(01_因子設定!$B$13="最小化",-X4063,-ABS(X4063-01_因子設定!$B$16))),-1E+030)</f>
        <v>46.8127101608187</v>
      </c>
      <c r="AF4063" s="55" t="n">
        <f aca="false">AD4063+ROW()*0.000000001</f>
        <v>-1.37175033658122</v>
      </c>
      <c r="AG4063" s="55" t="n">
        <f aca="false">AE4063+ROW()*0.000000001</f>
        <v>46.8127142238187</v>
      </c>
    </row>
    <row r="4064" customFormat="false" ht="15" hidden="false" customHeight="false" outlineLevel="0" collapsed="false">
      <c r="A4064" s="0" t="n">
        <v>5</v>
      </c>
      <c r="B4064" s="0" t="n">
        <v>5</v>
      </c>
      <c r="C4064" s="0" t="n">
        <v>1</v>
      </c>
      <c r="D4064" s="0" t="n">
        <v>0</v>
      </c>
      <c r="E4064" s="0" t="n">
        <f aca="false">-1+A4064*0.25</f>
        <v>0.25</v>
      </c>
      <c r="F4064" s="0" t="n">
        <f aca="false">-1+B4064*0.25</f>
        <v>0.25</v>
      </c>
      <c r="G4064" s="0" t="n">
        <f aca="false">-1+C4064*0.25</f>
        <v>-0.75</v>
      </c>
      <c r="H4064" s="0" t="n">
        <f aca="false">-1+D4064*0.25</f>
        <v>-1</v>
      </c>
      <c r="I4064" s="0" t="n">
        <f aca="false">1</f>
        <v>1</v>
      </c>
      <c r="J4064" s="0" t="n">
        <f aca="false">E4064</f>
        <v>0.25</v>
      </c>
      <c r="K4064" s="0" t="n">
        <f aca="false">F4064</f>
        <v>0.25</v>
      </c>
      <c r="L4064" s="0" t="n">
        <f aca="false">G4064</f>
        <v>-0.75</v>
      </c>
      <c r="M4064" s="0" t="n">
        <f aca="false">H4064</f>
        <v>-1</v>
      </c>
      <c r="N4064" s="0" t="n">
        <f aca="false">E4064*F4064</f>
        <v>0.0625</v>
      </c>
      <c r="O4064" s="0" t="n">
        <f aca="false">E4064*G4064</f>
        <v>-0.1875</v>
      </c>
      <c r="P4064" s="0" t="n">
        <f aca="false">E4064*H4064</f>
        <v>-0.25</v>
      </c>
      <c r="Q4064" s="0" t="n">
        <f aca="false">F4064*G4064</f>
        <v>-0.1875</v>
      </c>
      <c r="R4064" s="0" t="n">
        <f aca="false">F4064*H4064</f>
        <v>-0.25</v>
      </c>
      <c r="S4064" s="0" t="n">
        <f aca="false">G4064*H4064</f>
        <v>0.75</v>
      </c>
      <c r="T4064" s="0" t="n">
        <f aca="false">E4064*E4064</f>
        <v>0.0625</v>
      </c>
      <c r="U4064" s="0" t="n">
        <f aca="false">F4064*F4064</f>
        <v>0.0625</v>
      </c>
      <c r="V4064" s="0" t="n">
        <f aca="false">G4064*G4064</f>
        <v>0.5625</v>
      </c>
      <c r="W4064" s="0" t="n">
        <f aca="false">H4064*H4064</f>
        <v>1</v>
      </c>
      <c r="X4064" s="0" t="n">
        <f aca="false">SUMPRODUCT(I4064:W4064,_XtX!$B$96:$P$96)</f>
        <v>47.0717881944444</v>
      </c>
      <c r="Y4064" s="0" t="n">
        <f aca="false">SUMPRODUCT(MMULT(I4064:W4064,_XtX!$B$78:$P$92),I4064:W4064)</f>
        <v>0.486409505208334</v>
      </c>
      <c r="Z4064" s="0" t="n">
        <f aca="false">04_回帰ANOVA!$K$19*04_回帰ANOVA!$K$14*SQRT(1+Y4064)</f>
        <v>1.58916001665498</v>
      </c>
      <c r="AA4064" s="0" t="n">
        <f aca="false">X4064-Z4064</f>
        <v>45.4826281777894</v>
      </c>
      <c r="AB4064" s="0" t="n">
        <f aca="false">X4064+Z4064</f>
        <v>48.6609482110994</v>
      </c>
      <c r="AC4064" s="54" t="b">
        <f aca="false">AND(E4064&gt;=01_因子設定!$L$5-0.000000001,E4064&lt;=01_因子設定!$M$5+0.000000001,F4064&gt;=01_因子設定!$L$6-0.000000001,F4064&lt;=01_因子設定!$M$6+0.000000001,G4064&gt;=01_因子設定!$L$7-0.000000001,G4064&lt;=01_因子設定!$M$7+0.000000001,H4064&gt;=01_因子設定!$L$8-0.000000001,H4064&lt;=01_因子設定!$M$8+0.000000001,IF(01_因子設定!$B$20="Box-Behnken",E4064^2+F4064^2+G4064^2+H4064^2&lt;=2+0.000000001,TRUE()))</f>
        <v>1</v>
      </c>
      <c r="AD4064" s="55" t="n">
        <f aca="false">IF(AC4064,IF(01_因子設定!$B$13="最大化",AA4064-01_因子設定!$B$14,IF(01_因子設定!$B$13="最小化",01_因子設定!$B$15-AB4064,MIN(AA4064-01_因子設定!$B$14,01_因子設定!$B$15-AB4064))),-1E+030)</f>
        <v>-1.01737182221056</v>
      </c>
      <c r="AE4064" s="55" t="n">
        <f aca="false">IF(AC4064,IF(01_因子設定!$B$13="最大化",X4064,IF(01_因子設定!$B$13="最小化",-X4064,-ABS(X4064-01_因子設定!$B$16))),-1E+030)</f>
        <v>47.0717881944444</v>
      </c>
      <c r="AF4064" s="55" t="n">
        <f aca="false">AD4064+ROW()*0.000000001</f>
        <v>-1.01736775821056</v>
      </c>
      <c r="AG4064" s="55" t="n">
        <f aca="false">AE4064+ROW()*0.000000001</f>
        <v>47.0717922584444</v>
      </c>
    </row>
    <row r="4065" customFormat="false" ht="15" hidden="false" customHeight="false" outlineLevel="0" collapsed="false">
      <c r="A4065" s="0" t="n">
        <v>5</v>
      </c>
      <c r="B4065" s="0" t="n">
        <v>5</v>
      </c>
      <c r="C4065" s="0" t="n">
        <v>1</v>
      </c>
      <c r="D4065" s="0" t="n">
        <v>1</v>
      </c>
      <c r="E4065" s="0" t="n">
        <f aca="false">-1+A4065*0.25</f>
        <v>0.25</v>
      </c>
      <c r="F4065" s="0" t="n">
        <f aca="false">-1+B4065*0.25</f>
        <v>0.25</v>
      </c>
      <c r="G4065" s="0" t="n">
        <f aca="false">-1+C4065*0.25</f>
        <v>-0.75</v>
      </c>
      <c r="H4065" s="0" t="n">
        <f aca="false">-1+D4065*0.25</f>
        <v>-0.75</v>
      </c>
      <c r="I4065" s="0" t="n">
        <f aca="false">1</f>
        <v>1</v>
      </c>
      <c r="J4065" s="0" t="n">
        <f aca="false">E4065</f>
        <v>0.25</v>
      </c>
      <c r="K4065" s="0" t="n">
        <f aca="false">F4065</f>
        <v>0.25</v>
      </c>
      <c r="L4065" s="0" t="n">
        <f aca="false">G4065</f>
        <v>-0.75</v>
      </c>
      <c r="M4065" s="0" t="n">
        <f aca="false">H4065</f>
        <v>-0.75</v>
      </c>
      <c r="N4065" s="0" t="n">
        <f aca="false">E4065*F4065</f>
        <v>0.0625</v>
      </c>
      <c r="O4065" s="0" t="n">
        <f aca="false">E4065*G4065</f>
        <v>-0.1875</v>
      </c>
      <c r="P4065" s="0" t="n">
        <f aca="false">E4065*H4065</f>
        <v>-0.1875</v>
      </c>
      <c r="Q4065" s="0" t="n">
        <f aca="false">F4065*G4065</f>
        <v>-0.1875</v>
      </c>
      <c r="R4065" s="0" t="n">
        <f aca="false">F4065*H4065</f>
        <v>-0.1875</v>
      </c>
      <c r="S4065" s="0" t="n">
        <f aca="false">G4065*H4065</f>
        <v>0.5625</v>
      </c>
      <c r="T4065" s="0" t="n">
        <f aca="false">E4065*E4065</f>
        <v>0.0625</v>
      </c>
      <c r="U4065" s="0" t="n">
        <f aca="false">F4065*F4065</f>
        <v>0.0625</v>
      </c>
      <c r="V4065" s="0" t="n">
        <f aca="false">G4065*G4065</f>
        <v>0.5625</v>
      </c>
      <c r="W4065" s="0" t="n">
        <f aca="false">H4065*H4065</f>
        <v>0.5625</v>
      </c>
      <c r="X4065" s="0" t="n">
        <f aca="false">SUMPRODUCT(I4065:W4065,_XtX!$B$96:$P$96)</f>
        <v>47.2811266447368</v>
      </c>
      <c r="Y4065" s="0" t="n">
        <f aca="false">SUMPRODUCT(MMULT(I4065:W4065,_XtX!$B$78:$P$92),I4065:W4065)</f>
        <v>0.271087468019006</v>
      </c>
      <c r="Z4065" s="0" t="n">
        <f aca="false">04_回帰ANOVA!$K$19*04_回帰ANOVA!$K$14*SQRT(1+Y4065)</f>
        <v>1.46955590155034</v>
      </c>
      <c r="AA4065" s="0" t="n">
        <f aca="false">X4065-Z4065</f>
        <v>45.8115707431865</v>
      </c>
      <c r="AB4065" s="0" t="n">
        <f aca="false">X4065+Z4065</f>
        <v>48.7506825462872</v>
      </c>
      <c r="AC4065" s="54" t="b">
        <f aca="false">AND(E4065&gt;=01_因子設定!$L$5-0.000000001,E4065&lt;=01_因子設定!$M$5+0.000000001,F4065&gt;=01_因子設定!$L$6-0.000000001,F4065&lt;=01_因子設定!$M$6+0.000000001,G4065&gt;=01_因子設定!$L$7-0.000000001,G4065&lt;=01_因子設定!$M$7+0.000000001,H4065&gt;=01_因子設定!$L$8-0.000000001,H4065&lt;=01_因子設定!$M$8+0.000000001,IF(01_因子設定!$B$20="Box-Behnken",E4065^2+F4065^2+G4065^2+H4065^2&lt;=2+0.000000001,TRUE()))</f>
        <v>1</v>
      </c>
      <c r="AD4065" s="55" t="n">
        <f aca="false">IF(AC4065,IF(01_因子設定!$B$13="最大化",AA4065-01_因子設定!$B$14,IF(01_因子設定!$B$13="最小化",01_因子設定!$B$15-AB4065,MIN(AA4065-01_因子設定!$B$14,01_因子設定!$B$15-AB4065))),-1E+030)</f>
        <v>-0.688429256813535</v>
      </c>
      <c r="AE4065" s="55" t="n">
        <f aca="false">IF(AC4065,IF(01_因子設定!$B$13="最大化",X4065,IF(01_因子設定!$B$13="最小化",-X4065,-ABS(X4065-01_因子設定!$B$16))),-1E+030)</f>
        <v>47.2811266447368</v>
      </c>
      <c r="AF4065" s="55" t="n">
        <f aca="false">AD4065+ROW()*0.000000001</f>
        <v>-0.688425191813535</v>
      </c>
      <c r="AG4065" s="55" t="n">
        <f aca="false">AE4065+ROW()*0.000000001</f>
        <v>47.2811307097368</v>
      </c>
    </row>
    <row r="4066" customFormat="false" ht="15" hidden="false" customHeight="false" outlineLevel="0" collapsed="false">
      <c r="A4066" s="0" t="n">
        <v>5</v>
      </c>
      <c r="B4066" s="0" t="n">
        <v>5</v>
      </c>
      <c r="C4066" s="0" t="n">
        <v>1</v>
      </c>
      <c r="D4066" s="0" t="n">
        <v>2</v>
      </c>
      <c r="E4066" s="0" t="n">
        <f aca="false">-1+A4066*0.25</f>
        <v>0.25</v>
      </c>
      <c r="F4066" s="0" t="n">
        <f aca="false">-1+B4066*0.25</f>
        <v>0.25</v>
      </c>
      <c r="G4066" s="0" t="n">
        <f aca="false">-1+C4066*0.25</f>
        <v>-0.75</v>
      </c>
      <c r="H4066" s="0" t="n">
        <f aca="false">-1+D4066*0.25</f>
        <v>-0.5</v>
      </c>
      <c r="I4066" s="0" t="n">
        <f aca="false">1</f>
        <v>1</v>
      </c>
      <c r="J4066" s="0" t="n">
        <f aca="false">E4066</f>
        <v>0.25</v>
      </c>
      <c r="K4066" s="0" t="n">
        <f aca="false">F4066</f>
        <v>0.25</v>
      </c>
      <c r="L4066" s="0" t="n">
        <f aca="false">G4066</f>
        <v>-0.75</v>
      </c>
      <c r="M4066" s="0" t="n">
        <f aca="false">H4066</f>
        <v>-0.5</v>
      </c>
      <c r="N4066" s="0" t="n">
        <f aca="false">E4066*F4066</f>
        <v>0.0625</v>
      </c>
      <c r="O4066" s="0" t="n">
        <f aca="false">E4066*G4066</f>
        <v>-0.1875</v>
      </c>
      <c r="P4066" s="0" t="n">
        <f aca="false">E4066*H4066</f>
        <v>-0.125</v>
      </c>
      <c r="Q4066" s="0" t="n">
        <f aca="false">F4066*G4066</f>
        <v>-0.1875</v>
      </c>
      <c r="R4066" s="0" t="n">
        <f aca="false">F4066*H4066</f>
        <v>-0.125</v>
      </c>
      <c r="S4066" s="0" t="n">
        <f aca="false">G4066*H4066</f>
        <v>0.375</v>
      </c>
      <c r="T4066" s="0" t="n">
        <f aca="false">E4066*E4066</f>
        <v>0.0625</v>
      </c>
      <c r="U4066" s="0" t="n">
        <f aca="false">F4066*F4066</f>
        <v>0.0625</v>
      </c>
      <c r="V4066" s="0" t="n">
        <f aca="false">G4066*G4066</f>
        <v>0.5625</v>
      </c>
      <c r="W4066" s="0" t="n">
        <f aca="false">H4066*H4066</f>
        <v>0.25</v>
      </c>
      <c r="X4066" s="0" t="n">
        <f aca="false">SUMPRODUCT(I4066:W4066,_XtX!$B$96:$P$96)</f>
        <v>47.4426580774853</v>
      </c>
      <c r="Y4066" s="0" t="n">
        <f aca="false">SUMPRODUCT(MMULT(I4066:W4066,_XtX!$B$78:$P$92),I4066:W4066)</f>
        <v>0.207746539199561</v>
      </c>
      <c r="Z4066" s="0" t="n">
        <f aca="false">04_回帰ANOVA!$K$19*04_回帰ANOVA!$K$14*SQRT(1+Y4066)</f>
        <v>1.43247250081141</v>
      </c>
      <c r="AA4066" s="0" t="n">
        <f aca="false">X4066-Z4066</f>
        <v>46.0101855766739</v>
      </c>
      <c r="AB4066" s="0" t="n">
        <f aca="false">X4066+Z4066</f>
        <v>48.8751305782967</v>
      </c>
      <c r="AC4066" s="54" t="b">
        <f aca="false">AND(E4066&gt;=01_因子設定!$L$5-0.000000001,E4066&lt;=01_因子設定!$M$5+0.000000001,F4066&gt;=01_因子設定!$L$6-0.000000001,F4066&lt;=01_因子設定!$M$6+0.000000001,G4066&gt;=01_因子設定!$L$7-0.000000001,G4066&lt;=01_因子設定!$M$7+0.000000001,H4066&gt;=01_因子設定!$L$8-0.000000001,H4066&lt;=01_因子設定!$M$8+0.000000001,IF(01_因子設定!$B$20="Box-Behnken",E4066^2+F4066^2+G4066^2+H4066^2&lt;=2+0.000000001,TRUE()))</f>
        <v>1</v>
      </c>
      <c r="AD4066" s="55" t="n">
        <f aca="false">IF(AC4066,IF(01_因子設定!$B$13="最大化",AA4066-01_因子設定!$B$14,IF(01_因子設定!$B$13="最小化",01_因子設定!$B$15-AB4066,MIN(AA4066-01_因子設定!$B$14,01_因子設定!$B$15-AB4066))),-1E+030)</f>
        <v>-0.489814423326074</v>
      </c>
      <c r="AE4066" s="55" t="n">
        <f aca="false">IF(AC4066,IF(01_因子設定!$B$13="最大化",X4066,IF(01_因子設定!$B$13="最小化",-X4066,-ABS(X4066-01_因子設定!$B$16))),-1E+030)</f>
        <v>47.4426580774853</v>
      </c>
      <c r="AF4066" s="55" t="n">
        <f aca="false">AD4066+ROW()*0.000000001</f>
        <v>-0.489810357326074</v>
      </c>
      <c r="AG4066" s="55" t="n">
        <f aca="false">AE4066+ROW()*0.000000001</f>
        <v>47.4426621434853</v>
      </c>
    </row>
    <row r="4067" customFormat="false" ht="15" hidden="false" customHeight="false" outlineLevel="0" collapsed="false">
      <c r="A4067" s="0" t="n">
        <v>5</v>
      </c>
      <c r="B4067" s="0" t="n">
        <v>5</v>
      </c>
      <c r="C4067" s="0" t="n">
        <v>1</v>
      </c>
      <c r="D4067" s="0" t="n">
        <v>3</v>
      </c>
      <c r="E4067" s="0" t="n">
        <f aca="false">-1+A4067*0.25</f>
        <v>0.25</v>
      </c>
      <c r="F4067" s="0" t="n">
        <f aca="false">-1+B4067*0.25</f>
        <v>0.25</v>
      </c>
      <c r="G4067" s="0" t="n">
        <f aca="false">-1+C4067*0.25</f>
        <v>-0.75</v>
      </c>
      <c r="H4067" s="0" t="n">
        <f aca="false">-1+D4067*0.25</f>
        <v>-0.25</v>
      </c>
      <c r="I4067" s="0" t="n">
        <f aca="false">1</f>
        <v>1</v>
      </c>
      <c r="J4067" s="0" t="n">
        <f aca="false">E4067</f>
        <v>0.25</v>
      </c>
      <c r="K4067" s="0" t="n">
        <f aca="false">F4067</f>
        <v>0.25</v>
      </c>
      <c r="L4067" s="0" t="n">
        <f aca="false">G4067</f>
        <v>-0.75</v>
      </c>
      <c r="M4067" s="0" t="n">
        <f aca="false">H4067</f>
        <v>-0.25</v>
      </c>
      <c r="N4067" s="0" t="n">
        <f aca="false">E4067*F4067</f>
        <v>0.0625</v>
      </c>
      <c r="O4067" s="0" t="n">
        <f aca="false">E4067*G4067</f>
        <v>-0.1875</v>
      </c>
      <c r="P4067" s="0" t="n">
        <f aca="false">E4067*H4067</f>
        <v>-0.0625</v>
      </c>
      <c r="Q4067" s="0" t="n">
        <f aca="false">F4067*G4067</f>
        <v>-0.1875</v>
      </c>
      <c r="R4067" s="0" t="n">
        <f aca="false">F4067*H4067</f>
        <v>-0.0625</v>
      </c>
      <c r="S4067" s="0" t="n">
        <f aca="false">G4067*H4067</f>
        <v>0.1875</v>
      </c>
      <c r="T4067" s="0" t="n">
        <f aca="false">E4067*E4067</f>
        <v>0.0625</v>
      </c>
      <c r="U4067" s="0" t="n">
        <f aca="false">F4067*F4067</f>
        <v>0.0625</v>
      </c>
      <c r="V4067" s="0" t="n">
        <f aca="false">G4067*G4067</f>
        <v>0.5625</v>
      </c>
      <c r="W4067" s="0" t="n">
        <f aca="false">H4067*H4067</f>
        <v>0.0625</v>
      </c>
      <c r="X4067" s="0" t="n">
        <f aca="false">SUMPRODUCT(I4067:W4067,_XtX!$B$96:$P$96)</f>
        <v>47.55638249269</v>
      </c>
      <c r="Y4067" s="0" t="n">
        <f aca="false">SUMPRODUCT(MMULT(I4067:W4067,_XtX!$B$78:$P$92),I4067:W4067)</f>
        <v>0.205926192434211</v>
      </c>
      <c r="Z4067" s="0" t="n">
        <f aca="false">04_回帰ANOVA!$K$19*04_回帰ANOVA!$K$14*SQRT(1+Y4067)</f>
        <v>1.43139256396246</v>
      </c>
      <c r="AA4067" s="0" t="n">
        <f aca="false">X4067-Z4067</f>
        <v>46.1249899287275</v>
      </c>
      <c r="AB4067" s="0" t="n">
        <f aca="false">X4067+Z4067</f>
        <v>48.9877750566525</v>
      </c>
      <c r="AC4067" s="54" t="b">
        <f aca="false">AND(E4067&gt;=01_因子設定!$L$5-0.000000001,E4067&lt;=01_因子設定!$M$5+0.000000001,F4067&gt;=01_因子設定!$L$6-0.000000001,F4067&lt;=01_因子設定!$M$6+0.000000001,G4067&gt;=01_因子設定!$L$7-0.000000001,G4067&lt;=01_因子設定!$M$7+0.000000001,H4067&gt;=01_因子設定!$L$8-0.000000001,H4067&lt;=01_因子設定!$M$8+0.000000001,IF(01_因子設定!$B$20="Box-Behnken",E4067^2+F4067^2+G4067^2+H4067^2&lt;=2+0.000000001,TRUE()))</f>
        <v>1</v>
      </c>
      <c r="AD4067" s="55" t="n">
        <f aca="false">IF(AC4067,IF(01_因子設定!$B$13="最大化",AA4067-01_因子設定!$B$14,IF(01_因子設定!$B$13="最小化",01_因子設定!$B$15-AB4067,MIN(AA4067-01_因子設定!$B$14,01_因子設定!$B$15-AB4067))),-1E+030)</f>
        <v>-0.375010071272456</v>
      </c>
      <c r="AE4067" s="55" t="n">
        <f aca="false">IF(AC4067,IF(01_因子設定!$B$13="最大化",X4067,IF(01_因子設定!$B$13="最小化",-X4067,-ABS(X4067-01_因子設定!$B$16))),-1E+030)</f>
        <v>47.55638249269</v>
      </c>
      <c r="AF4067" s="55" t="n">
        <f aca="false">AD4067+ROW()*0.000000001</f>
        <v>-0.375006004272456</v>
      </c>
      <c r="AG4067" s="55" t="n">
        <f aca="false">AE4067+ROW()*0.000000001</f>
        <v>47.55638655969</v>
      </c>
    </row>
    <row r="4068" customFormat="false" ht="15" hidden="false" customHeight="false" outlineLevel="0" collapsed="false">
      <c r="A4068" s="0" t="n">
        <v>5</v>
      </c>
      <c r="B4068" s="0" t="n">
        <v>5</v>
      </c>
      <c r="C4068" s="0" t="n">
        <v>1</v>
      </c>
      <c r="D4068" s="0" t="n">
        <v>4</v>
      </c>
      <c r="E4068" s="0" t="n">
        <f aca="false">-1+A4068*0.25</f>
        <v>0.25</v>
      </c>
      <c r="F4068" s="0" t="n">
        <f aca="false">-1+B4068*0.25</f>
        <v>0.25</v>
      </c>
      <c r="G4068" s="0" t="n">
        <f aca="false">-1+C4068*0.25</f>
        <v>-0.75</v>
      </c>
      <c r="H4068" s="0" t="n">
        <f aca="false">-1+D4068*0.25</f>
        <v>0</v>
      </c>
      <c r="I4068" s="0" t="n">
        <f aca="false">1</f>
        <v>1</v>
      </c>
      <c r="J4068" s="0" t="n">
        <f aca="false">E4068</f>
        <v>0.25</v>
      </c>
      <c r="K4068" s="0" t="n">
        <f aca="false">F4068</f>
        <v>0.25</v>
      </c>
      <c r="L4068" s="0" t="n">
        <f aca="false">G4068</f>
        <v>-0.75</v>
      </c>
      <c r="M4068" s="0" t="n">
        <f aca="false">H4068</f>
        <v>0</v>
      </c>
      <c r="N4068" s="0" t="n">
        <f aca="false">E4068*F4068</f>
        <v>0.0625</v>
      </c>
      <c r="O4068" s="0" t="n">
        <f aca="false">E4068*G4068</f>
        <v>-0.1875</v>
      </c>
      <c r="P4068" s="0" t="n">
        <f aca="false">E4068*H4068</f>
        <v>0</v>
      </c>
      <c r="Q4068" s="0" t="n">
        <f aca="false">F4068*G4068</f>
        <v>-0.1875</v>
      </c>
      <c r="R4068" s="0" t="n">
        <f aca="false">F4068*H4068</f>
        <v>0</v>
      </c>
      <c r="S4068" s="0" t="n">
        <f aca="false">G4068*H4068</f>
        <v>-0</v>
      </c>
      <c r="T4068" s="0" t="n">
        <f aca="false">E4068*E4068</f>
        <v>0.0625</v>
      </c>
      <c r="U4068" s="0" t="n">
        <f aca="false">F4068*F4068</f>
        <v>0.0625</v>
      </c>
      <c r="V4068" s="0" t="n">
        <f aca="false">G4068*G4068</f>
        <v>0.5625</v>
      </c>
      <c r="W4068" s="0" t="n">
        <f aca="false">H4068*H4068</f>
        <v>0</v>
      </c>
      <c r="X4068" s="0" t="n">
        <f aca="false">SUMPRODUCT(I4068:W4068,_XtX!$B$96:$P$96)</f>
        <v>47.6222998903508</v>
      </c>
      <c r="Y4068" s="0" t="n">
        <f aca="false">SUMPRODUCT(MMULT(I4068:W4068,_XtX!$B$78:$P$92),I4068:W4068)</f>
        <v>0.21135011193348</v>
      </c>
      <c r="Z4068" s="0" t="n">
        <f aca="false">04_回帰ANOVA!$K$19*04_回帰ANOVA!$K$14*SQRT(1+Y4068)</f>
        <v>1.43460795469709</v>
      </c>
      <c r="AA4068" s="0" t="n">
        <f aca="false">X4068-Z4068</f>
        <v>46.1876919356537</v>
      </c>
      <c r="AB4068" s="0" t="n">
        <f aca="false">X4068+Z4068</f>
        <v>49.0569078450479</v>
      </c>
      <c r="AC4068" s="54" t="b">
        <f aca="false">AND(E4068&gt;=01_因子設定!$L$5-0.000000001,E4068&lt;=01_因子設定!$M$5+0.000000001,F4068&gt;=01_因子設定!$L$6-0.000000001,F4068&lt;=01_因子設定!$M$6+0.000000001,G4068&gt;=01_因子設定!$L$7-0.000000001,G4068&lt;=01_因子設定!$M$7+0.000000001,H4068&gt;=01_因子設定!$L$8-0.000000001,H4068&lt;=01_因子設定!$M$8+0.000000001,IF(01_因子設定!$B$20="Box-Behnken",E4068^2+F4068^2+G4068^2+H4068^2&lt;=2+0.000000001,TRUE()))</f>
        <v>1</v>
      </c>
      <c r="AD4068" s="55" t="n">
        <f aca="false">IF(AC4068,IF(01_因子設定!$B$13="最大化",AA4068-01_因子設定!$B$14,IF(01_因子設定!$B$13="最小化",01_因子設定!$B$15-AB4068,MIN(AA4068-01_因子設定!$B$14,01_因子設定!$B$15-AB4068))),-1E+030)</f>
        <v>-0.312308064346269</v>
      </c>
      <c r="AE4068" s="55" t="n">
        <f aca="false">IF(AC4068,IF(01_因子設定!$B$13="最大化",X4068,IF(01_因子設定!$B$13="最小化",-X4068,-ABS(X4068-01_因子設定!$B$16))),-1E+030)</f>
        <v>47.6222998903508</v>
      </c>
      <c r="AF4068" s="55" t="n">
        <f aca="false">AD4068+ROW()*0.000000001</f>
        <v>-0.312303996346269</v>
      </c>
      <c r="AG4068" s="55" t="n">
        <f aca="false">AE4068+ROW()*0.000000001</f>
        <v>47.6223039583508</v>
      </c>
    </row>
    <row r="4069" customFormat="false" ht="15" hidden="false" customHeight="false" outlineLevel="0" collapsed="false">
      <c r="A4069" s="0" t="n">
        <v>5</v>
      </c>
      <c r="B4069" s="0" t="n">
        <v>5</v>
      </c>
      <c r="C4069" s="0" t="n">
        <v>1</v>
      </c>
      <c r="D4069" s="0" t="n">
        <v>5</v>
      </c>
      <c r="E4069" s="0" t="n">
        <f aca="false">-1+A4069*0.25</f>
        <v>0.25</v>
      </c>
      <c r="F4069" s="0" t="n">
        <f aca="false">-1+B4069*0.25</f>
        <v>0.25</v>
      </c>
      <c r="G4069" s="0" t="n">
        <f aca="false">-1+C4069*0.25</f>
        <v>-0.75</v>
      </c>
      <c r="H4069" s="0" t="n">
        <f aca="false">-1+D4069*0.25</f>
        <v>0.25</v>
      </c>
      <c r="I4069" s="0" t="n">
        <f aca="false">1</f>
        <v>1</v>
      </c>
      <c r="J4069" s="0" t="n">
        <f aca="false">E4069</f>
        <v>0.25</v>
      </c>
      <c r="K4069" s="0" t="n">
        <f aca="false">F4069</f>
        <v>0.25</v>
      </c>
      <c r="L4069" s="0" t="n">
        <f aca="false">G4069</f>
        <v>-0.75</v>
      </c>
      <c r="M4069" s="0" t="n">
        <f aca="false">H4069</f>
        <v>0.25</v>
      </c>
      <c r="N4069" s="0" t="n">
        <f aca="false">E4069*F4069</f>
        <v>0.0625</v>
      </c>
      <c r="O4069" s="0" t="n">
        <f aca="false">E4069*G4069</f>
        <v>-0.1875</v>
      </c>
      <c r="P4069" s="0" t="n">
        <f aca="false">E4069*H4069</f>
        <v>0.0625</v>
      </c>
      <c r="Q4069" s="0" t="n">
        <f aca="false">F4069*G4069</f>
        <v>-0.1875</v>
      </c>
      <c r="R4069" s="0" t="n">
        <f aca="false">F4069*H4069</f>
        <v>0.0625</v>
      </c>
      <c r="S4069" s="0" t="n">
        <f aca="false">G4069*H4069</f>
        <v>-0.1875</v>
      </c>
      <c r="T4069" s="0" t="n">
        <f aca="false">E4069*E4069</f>
        <v>0.0625</v>
      </c>
      <c r="U4069" s="0" t="n">
        <f aca="false">F4069*F4069</f>
        <v>0.0625</v>
      </c>
      <c r="V4069" s="0" t="n">
        <f aca="false">G4069*G4069</f>
        <v>0.5625</v>
      </c>
      <c r="W4069" s="0" t="n">
        <f aca="false">H4069*H4069</f>
        <v>0.0625</v>
      </c>
      <c r="X4069" s="0" t="n">
        <f aca="false">SUMPRODUCT(I4069:W4069,_XtX!$B$96:$P$96)</f>
        <v>47.6404102704678</v>
      </c>
      <c r="Y4069" s="0" t="n">
        <f aca="false">SUMPRODUCT(MMULT(I4069:W4069,_XtX!$B$78:$P$92),I4069:W4069)</f>
        <v>0.205926192434211</v>
      </c>
      <c r="Z4069" s="0" t="n">
        <f aca="false">04_回帰ANOVA!$K$19*04_回帰ANOVA!$K$14*SQRT(1+Y4069)</f>
        <v>1.43139256396246</v>
      </c>
      <c r="AA4069" s="0" t="n">
        <f aca="false">X4069-Z4069</f>
        <v>46.2090177065053</v>
      </c>
      <c r="AB4069" s="0" t="n">
        <f aca="false">X4069+Z4069</f>
        <v>49.0718028344302</v>
      </c>
      <c r="AC4069" s="54" t="b">
        <f aca="false">AND(E4069&gt;=01_因子設定!$L$5-0.000000001,E4069&lt;=01_因子設定!$M$5+0.000000001,F4069&gt;=01_因子設定!$L$6-0.000000001,F4069&lt;=01_因子設定!$M$6+0.000000001,G4069&gt;=01_因子設定!$L$7-0.000000001,G4069&lt;=01_因子設定!$M$7+0.000000001,H4069&gt;=01_因子設定!$L$8-0.000000001,H4069&lt;=01_因子設定!$M$8+0.000000001,IF(01_因子設定!$B$20="Box-Behnken",E4069^2+F4069^2+G4069^2+H4069^2&lt;=2+0.000000001,TRUE()))</f>
        <v>1</v>
      </c>
      <c r="AD4069" s="55" t="n">
        <f aca="false">IF(AC4069,IF(01_因子設定!$B$13="最大化",AA4069-01_因子設定!$B$14,IF(01_因子設定!$B$13="最小化",01_因子設定!$B$15-AB4069,MIN(AA4069-01_因子設定!$B$14,01_因子設定!$B$15-AB4069))),-1E+030)</f>
        <v>-0.290982293494679</v>
      </c>
      <c r="AE4069" s="55" t="n">
        <f aca="false">IF(AC4069,IF(01_因子設定!$B$13="最大化",X4069,IF(01_因子設定!$B$13="最小化",-X4069,-ABS(X4069-01_因子設定!$B$16))),-1E+030)</f>
        <v>47.6404102704678</v>
      </c>
      <c r="AF4069" s="55" t="n">
        <f aca="false">AD4069+ROW()*0.000000001</f>
        <v>-0.290978224494679</v>
      </c>
      <c r="AG4069" s="55" t="n">
        <f aca="false">AE4069+ROW()*0.000000001</f>
        <v>47.6404143394678</v>
      </c>
    </row>
    <row r="4070" customFormat="false" ht="15" hidden="false" customHeight="false" outlineLevel="0" collapsed="false">
      <c r="A4070" s="0" t="n">
        <v>5</v>
      </c>
      <c r="B4070" s="0" t="n">
        <v>5</v>
      </c>
      <c r="C4070" s="0" t="n">
        <v>1</v>
      </c>
      <c r="D4070" s="0" t="n">
        <v>6</v>
      </c>
      <c r="E4070" s="0" t="n">
        <f aca="false">-1+A4070*0.25</f>
        <v>0.25</v>
      </c>
      <c r="F4070" s="0" t="n">
        <f aca="false">-1+B4070*0.25</f>
        <v>0.25</v>
      </c>
      <c r="G4070" s="0" t="n">
        <f aca="false">-1+C4070*0.25</f>
        <v>-0.75</v>
      </c>
      <c r="H4070" s="0" t="n">
        <f aca="false">-1+D4070*0.25</f>
        <v>0.5</v>
      </c>
      <c r="I4070" s="0" t="n">
        <f aca="false">1</f>
        <v>1</v>
      </c>
      <c r="J4070" s="0" t="n">
        <f aca="false">E4070</f>
        <v>0.25</v>
      </c>
      <c r="K4070" s="0" t="n">
        <f aca="false">F4070</f>
        <v>0.25</v>
      </c>
      <c r="L4070" s="0" t="n">
        <f aca="false">G4070</f>
        <v>-0.75</v>
      </c>
      <c r="M4070" s="0" t="n">
        <f aca="false">H4070</f>
        <v>0.5</v>
      </c>
      <c r="N4070" s="0" t="n">
        <f aca="false">E4070*F4070</f>
        <v>0.0625</v>
      </c>
      <c r="O4070" s="0" t="n">
        <f aca="false">E4070*G4070</f>
        <v>-0.1875</v>
      </c>
      <c r="P4070" s="0" t="n">
        <f aca="false">E4070*H4070</f>
        <v>0.125</v>
      </c>
      <c r="Q4070" s="0" t="n">
        <f aca="false">F4070*G4070</f>
        <v>-0.1875</v>
      </c>
      <c r="R4070" s="0" t="n">
        <f aca="false">F4070*H4070</f>
        <v>0.125</v>
      </c>
      <c r="S4070" s="0" t="n">
        <f aca="false">G4070*H4070</f>
        <v>-0.375</v>
      </c>
      <c r="T4070" s="0" t="n">
        <f aca="false">E4070*E4070</f>
        <v>0.0625</v>
      </c>
      <c r="U4070" s="0" t="n">
        <f aca="false">F4070*F4070</f>
        <v>0.0625</v>
      </c>
      <c r="V4070" s="0" t="n">
        <f aca="false">G4070*G4070</f>
        <v>0.5625</v>
      </c>
      <c r="W4070" s="0" t="n">
        <f aca="false">H4070*H4070</f>
        <v>0.25</v>
      </c>
      <c r="X4070" s="0" t="n">
        <f aca="false">SUMPRODUCT(I4070:W4070,_XtX!$B$96:$P$96)</f>
        <v>47.6107136330409</v>
      </c>
      <c r="Y4070" s="0" t="n">
        <f aca="false">SUMPRODUCT(MMULT(I4070:W4070,_XtX!$B$78:$P$92),I4070:W4070)</f>
        <v>0.207746539199561</v>
      </c>
      <c r="Z4070" s="0" t="n">
        <f aca="false">04_回帰ANOVA!$K$19*04_回帰ANOVA!$K$14*SQRT(1+Y4070)</f>
        <v>1.43247250081141</v>
      </c>
      <c r="AA4070" s="0" t="n">
        <f aca="false">X4070-Z4070</f>
        <v>46.1782411322295</v>
      </c>
      <c r="AB4070" s="0" t="n">
        <f aca="false">X4070+Z4070</f>
        <v>49.0431861338523</v>
      </c>
      <c r="AC4070" s="54" t="b">
        <f aca="false">AND(E4070&gt;=01_因子設定!$L$5-0.000000001,E4070&lt;=01_因子設定!$M$5+0.000000001,F4070&gt;=01_因子設定!$L$6-0.000000001,F4070&lt;=01_因子設定!$M$6+0.000000001,G4070&gt;=01_因子設定!$L$7-0.000000001,G4070&lt;=01_因子設定!$M$7+0.000000001,H4070&gt;=01_因子設定!$L$8-0.000000001,H4070&lt;=01_因子設定!$M$8+0.000000001,IF(01_因子設定!$B$20="Box-Behnken",E4070^2+F4070^2+G4070^2+H4070^2&lt;=2+0.000000001,TRUE()))</f>
        <v>1</v>
      </c>
      <c r="AD4070" s="55" t="n">
        <f aca="false">IF(AC4070,IF(01_因子設定!$B$13="最大化",AA4070-01_因子設定!$B$14,IF(01_因子設定!$B$13="最小化",01_因子設定!$B$15-AB4070,MIN(AA4070-01_因子設定!$B$14,01_因子設定!$B$15-AB4070))),-1E+030)</f>
        <v>-0.321758867770519</v>
      </c>
      <c r="AE4070" s="55" t="n">
        <f aca="false">IF(AC4070,IF(01_因子設定!$B$13="最大化",X4070,IF(01_因子設定!$B$13="最小化",-X4070,-ABS(X4070-01_因子設定!$B$16))),-1E+030)</f>
        <v>47.6107136330409</v>
      </c>
      <c r="AF4070" s="55" t="n">
        <f aca="false">AD4070+ROW()*0.000000001</f>
        <v>-0.321754797770519</v>
      </c>
      <c r="AG4070" s="55" t="n">
        <f aca="false">AE4070+ROW()*0.000000001</f>
        <v>47.6107177030409</v>
      </c>
    </row>
    <row r="4071" customFormat="false" ht="15" hidden="false" customHeight="false" outlineLevel="0" collapsed="false">
      <c r="A4071" s="0" t="n">
        <v>5</v>
      </c>
      <c r="B4071" s="0" t="n">
        <v>5</v>
      </c>
      <c r="C4071" s="0" t="n">
        <v>1</v>
      </c>
      <c r="D4071" s="0" t="n">
        <v>7</v>
      </c>
      <c r="E4071" s="0" t="n">
        <f aca="false">-1+A4071*0.25</f>
        <v>0.25</v>
      </c>
      <c r="F4071" s="0" t="n">
        <f aca="false">-1+B4071*0.25</f>
        <v>0.25</v>
      </c>
      <c r="G4071" s="0" t="n">
        <f aca="false">-1+C4071*0.25</f>
        <v>-0.75</v>
      </c>
      <c r="H4071" s="0" t="n">
        <f aca="false">-1+D4071*0.25</f>
        <v>0.75</v>
      </c>
      <c r="I4071" s="0" t="n">
        <f aca="false">1</f>
        <v>1</v>
      </c>
      <c r="J4071" s="0" t="n">
        <f aca="false">E4071</f>
        <v>0.25</v>
      </c>
      <c r="K4071" s="0" t="n">
        <f aca="false">F4071</f>
        <v>0.25</v>
      </c>
      <c r="L4071" s="0" t="n">
        <f aca="false">G4071</f>
        <v>-0.75</v>
      </c>
      <c r="M4071" s="0" t="n">
        <f aca="false">H4071</f>
        <v>0.75</v>
      </c>
      <c r="N4071" s="0" t="n">
        <f aca="false">E4071*F4071</f>
        <v>0.0625</v>
      </c>
      <c r="O4071" s="0" t="n">
        <f aca="false">E4071*G4071</f>
        <v>-0.1875</v>
      </c>
      <c r="P4071" s="0" t="n">
        <f aca="false">E4071*H4071</f>
        <v>0.1875</v>
      </c>
      <c r="Q4071" s="0" t="n">
        <f aca="false">F4071*G4071</f>
        <v>-0.1875</v>
      </c>
      <c r="R4071" s="0" t="n">
        <f aca="false">F4071*H4071</f>
        <v>0.1875</v>
      </c>
      <c r="S4071" s="0" t="n">
        <f aca="false">G4071*H4071</f>
        <v>-0.5625</v>
      </c>
      <c r="T4071" s="0" t="n">
        <f aca="false">E4071*E4071</f>
        <v>0.0625</v>
      </c>
      <c r="U4071" s="0" t="n">
        <f aca="false">F4071*F4071</f>
        <v>0.0625</v>
      </c>
      <c r="V4071" s="0" t="n">
        <f aca="false">G4071*G4071</f>
        <v>0.5625</v>
      </c>
      <c r="W4071" s="0" t="n">
        <f aca="false">H4071*H4071</f>
        <v>0.5625</v>
      </c>
      <c r="X4071" s="0" t="n">
        <f aca="false">SUMPRODUCT(I4071:W4071,_XtX!$B$96:$P$96)</f>
        <v>47.5332099780701</v>
      </c>
      <c r="Y4071" s="0" t="n">
        <f aca="false">SUMPRODUCT(MMULT(I4071:W4071,_XtX!$B$78:$P$92),I4071:W4071)</f>
        <v>0.271087468019006</v>
      </c>
      <c r="Z4071" s="0" t="n">
        <f aca="false">04_回帰ANOVA!$K$19*04_回帰ANOVA!$K$14*SQRT(1+Y4071)</f>
        <v>1.46955590155034</v>
      </c>
      <c r="AA4071" s="0" t="n">
        <f aca="false">X4071-Z4071</f>
        <v>46.0636540765198</v>
      </c>
      <c r="AB4071" s="0" t="n">
        <f aca="false">X4071+Z4071</f>
        <v>49.0027658796205</v>
      </c>
      <c r="AC4071" s="54" t="b">
        <f aca="false">AND(E4071&gt;=01_因子設定!$L$5-0.000000001,E4071&lt;=01_因子設定!$M$5+0.000000001,F4071&gt;=01_因子設定!$L$6-0.000000001,F4071&lt;=01_因子設定!$M$6+0.000000001,G4071&gt;=01_因子設定!$L$7-0.000000001,G4071&lt;=01_因子設定!$M$7+0.000000001,H4071&gt;=01_因子設定!$L$8-0.000000001,H4071&lt;=01_因子設定!$M$8+0.000000001,IF(01_因子設定!$B$20="Box-Behnken",E4071^2+F4071^2+G4071^2+H4071^2&lt;=2+0.000000001,TRUE()))</f>
        <v>1</v>
      </c>
      <c r="AD4071" s="55" t="n">
        <f aca="false">IF(AC4071,IF(01_因子設定!$B$13="最大化",AA4071-01_因子設定!$B$14,IF(01_因子設定!$B$13="最小化",01_因子設定!$B$15-AB4071,MIN(AA4071-01_因子設定!$B$14,01_因子設定!$B$15-AB4071))),-1E+030)</f>
        <v>-0.436345923480204</v>
      </c>
      <c r="AE4071" s="55" t="n">
        <f aca="false">IF(AC4071,IF(01_因子設定!$B$13="最大化",X4071,IF(01_因子設定!$B$13="最小化",-X4071,-ABS(X4071-01_因子設定!$B$16))),-1E+030)</f>
        <v>47.5332099780701</v>
      </c>
      <c r="AF4071" s="55" t="n">
        <f aca="false">AD4071+ROW()*0.000000001</f>
        <v>-0.436341852480204</v>
      </c>
      <c r="AG4071" s="55" t="n">
        <f aca="false">AE4071+ROW()*0.000000001</f>
        <v>47.5332140490701</v>
      </c>
    </row>
    <row r="4072" customFormat="false" ht="15" hidden="false" customHeight="false" outlineLevel="0" collapsed="false">
      <c r="A4072" s="0" t="n">
        <v>5</v>
      </c>
      <c r="B4072" s="0" t="n">
        <v>5</v>
      </c>
      <c r="C4072" s="0" t="n">
        <v>1</v>
      </c>
      <c r="D4072" s="0" t="n">
        <v>8</v>
      </c>
      <c r="E4072" s="0" t="n">
        <f aca="false">-1+A4072*0.25</f>
        <v>0.25</v>
      </c>
      <c r="F4072" s="0" t="n">
        <f aca="false">-1+B4072*0.25</f>
        <v>0.25</v>
      </c>
      <c r="G4072" s="0" t="n">
        <f aca="false">-1+C4072*0.25</f>
        <v>-0.75</v>
      </c>
      <c r="H4072" s="0" t="n">
        <f aca="false">-1+D4072*0.25</f>
        <v>1</v>
      </c>
      <c r="I4072" s="0" t="n">
        <f aca="false">1</f>
        <v>1</v>
      </c>
      <c r="J4072" s="0" t="n">
        <f aca="false">E4072</f>
        <v>0.25</v>
      </c>
      <c r="K4072" s="0" t="n">
        <f aca="false">F4072</f>
        <v>0.25</v>
      </c>
      <c r="L4072" s="0" t="n">
        <f aca="false">G4072</f>
        <v>-0.75</v>
      </c>
      <c r="M4072" s="0" t="n">
        <f aca="false">H4072</f>
        <v>1</v>
      </c>
      <c r="N4072" s="0" t="n">
        <f aca="false">E4072*F4072</f>
        <v>0.0625</v>
      </c>
      <c r="O4072" s="0" t="n">
        <f aca="false">E4072*G4072</f>
        <v>-0.1875</v>
      </c>
      <c r="P4072" s="0" t="n">
        <f aca="false">E4072*H4072</f>
        <v>0.25</v>
      </c>
      <c r="Q4072" s="0" t="n">
        <f aca="false">F4072*G4072</f>
        <v>-0.1875</v>
      </c>
      <c r="R4072" s="0" t="n">
        <f aca="false">F4072*H4072</f>
        <v>0.25</v>
      </c>
      <c r="S4072" s="0" t="n">
        <f aca="false">G4072*H4072</f>
        <v>-0.75</v>
      </c>
      <c r="T4072" s="0" t="n">
        <f aca="false">E4072*E4072</f>
        <v>0.0625</v>
      </c>
      <c r="U4072" s="0" t="n">
        <f aca="false">F4072*F4072</f>
        <v>0.0625</v>
      </c>
      <c r="V4072" s="0" t="n">
        <f aca="false">G4072*G4072</f>
        <v>0.5625</v>
      </c>
      <c r="W4072" s="0" t="n">
        <f aca="false">H4072*H4072</f>
        <v>1</v>
      </c>
      <c r="X4072" s="0" t="n">
        <f aca="false">SUMPRODUCT(I4072:W4072,_XtX!$B$96:$P$96)</f>
        <v>47.4078993055555</v>
      </c>
      <c r="Y4072" s="0" t="n">
        <f aca="false">SUMPRODUCT(MMULT(I4072:W4072,_XtX!$B$78:$P$92),I4072:W4072)</f>
        <v>0.486409505208334</v>
      </c>
      <c r="Z4072" s="0" t="n">
        <f aca="false">04_回帰ANOVA!$K$19*04_回帰ANOVA!$K$14*SQRT(1+Y4072)</f>
        <v>1.58916001665498</v>
      </c>
      <c r="AA4072" s="0" t="n">
        <f aca="false">X4072-Z4072</f>
        <v>45.8187392889006</v>
      </c>
      <c r="AB4072" s="0" t="n">
        <f aca="false">X4072+Z4072</f>
        <v>48.9970593222105</v>
      </c>
      <c r="AC4072" s="54" t="b">
        <f aca="false">AND(E4072&gt;=01_因子設定!$L$5-0.000000001,E4072&lt;=01_因子設定!$M$5+0.000000001,F4072&gt;=01_因子設定!$L$6-0.000000001,F4072&lt;=01_因子設定!$M$6+0.000000001,G4072&gt;=01_因子設定!$L$7-0.000000001,G4072&lt;=01_因子設定!$M$7+0.000000001,H4072&gt;=01_因子設定!$L$8-0.000000001,H4072&lt;=01_因子設定!$M$8+0.000000001,IF(01_因子設定!$B$20="Box-Behnken",E4072^2+F4072^2+G4072^2+H4072^2&lt;=2+0.000000001,TRUE()))</f>
        <v>1</v>
      </c>
      <c r="AD4072" s="55" t="n">
        <f aca="false">IF(AC4072,IF(01_因子設定!$B$13="最大化",AA4072-01_因子設定!$B$14,IF(01_因子設定!$B$13="最小化",01_因子設定!$B$15-AB4072,MIN(AA4072-01_因子設定!$B$14,01_因子設定!$B$15-AB4072))),-1E+030)</f>
        <v>-0.681260711099448</v>
      </c>
      <c r="AE4072" s="55" t="n">
        <f aca="false">IF(AC4072,IF(01_因子設定!$B$13="最大化",X4072,IF(01_因子設定!$B$13="最小化",-X4072,-ABS(X4072-01_因子設定!$B$16))),-1E+030)</f>
        <v>47.4078993055555</v>
      </c>
      <c r="AF4072" s="55" t="n">
        <f aca="false">AD4072+ROW()*0.000000001</f>
        <v>-0.681256639099448</v>
      </c>
      <c r="AG4072" s="55" t="n">
        <f aca="false">AE4072+ROW()*0.000000001</f>
        <v>47.4079033775555</v>
      </c>
    </row>
    <row r="4073" customFormat="false" ht="15" hidden="false" customHeight="false" outlineLevel="0" collapsed="false">
      <c r="A4073" s="0" t="n">
        <v>5</v>
      </c>
      <c r="B4073" s="0" t="n">
        <v>5</v>
      </c>
      <c r="C4073" s="0" t="n">
        <v>2</v>
      </c>
      <c r="D4073" s="0" t="n">
        <v>0</v>
      </c>
      <c r="E4073" s="0" t="n">
        <f aca="false">-1+A4073*0.25</f>
        <v>0.25</v>
      </c>
      <c r="F4073" s="0" t="n">
        <f aca="false">-1+B4073*0.25</f>
        <v>0.25</v>
      </c>
      <c r="G4073" s="0" t="n">
        <f aca="false">-1+C4073*0.25</f>
        <v>-0.5</v>
      </c>
      <c r="H4073" s="0" t="n">
        <f aca="false">-1+D4073*0.25</f>
        <v>-1</v>
      </c>
      <c r="I4073" s="0" t="n">
        <f aca="false">1</f>
        <v>1</v>
      </c>
      <c r="J4073" s="0" t="n">
        <f aca="false">E4073</f>
        <v>0.25</v>
      </c>
      <c r="K4073" s="0" t="n">
        <f aca="false">F4073</f>
        <v>0.25</v>
      </c>
      <c r="L4073" s="0" t="n">
        <f aca="false">G4073</f>
        <v>-0.5</v>
      </c>
      <c r="M4073" s="0" t="n">
        <f aca="false">H4073</f>
        <v>-1</v>
      </c>
      <c r="N4073" s="0" t="n">
        <f aca="false">E4073*F4073</f>
        <v>0.0625</v>
      </c>
      <c r="O4073" s="0" t="n">
        <f aca="false">E4073*G4073</f>
        <v>-0.125</v>
      </c>
      <c r="P4073" s="0" t="n">
        <f aca="false">E4073*H4073</f>
        <v>-0.25</v>
      </c>
      <c r="Q4073" s="0" t="n">
        <f aca="false">F4073*G4073</f>
        <v>-0.125</v>
      </c>
      <c r="R4073" s="0" t="n">
        <f aca="false">F4073*H4073</f>
        <v>-0.25</v>
      </c>
      <c r="S4073" s="0" t="n">
        <f aca="false">G4073*H4073</f>
        <v>0.5</v>
      </c>
      <c r="T4073" s="0" t="n">
        <f aca="false">E4073*E4073</f>
        <v>0.0625</v>
      </c>
      <c r="U4073" s="0" t="n">
        <f aca="false">F4073*F4073</f>
        <v>0.0625</v>
      </c>
      <c r="V4073" s="0" t="n">
        <f aca="false">G4073*G4073</f>
        <v>0.25</v>
      </c>
      <c r="W4073" s="0" t="n">
        <f aca="false">H4073*H4073</f>
        <v>1</v>
      </c>
      <c r="X4073" s="0" t="n">
        <f aca="false">SUMPRODUCT(I4073:W4073,_XtX!$B$96:$P$96)</f>
        <v>47.4379203216374</v>
      </c>
      <c r="Y4073" s="0" t="n">
        <f aca="false">SUMPRODUCT(MMULT(I4073:W4073,_XtX!$B$78:$P$92),I4073:W4073)</f>
        <v>0.445705123812135</v>
      </c>
      <c r="Z4073" s="0" t="n">
        <f aca="false">04_回帰ANOVA!$K$19*04_回帰ANOVA!$K$14*SQRT(1+Y4073)</f>
        <v>1.56724990734749</v>
      </c>
      <c r="AA4073" s="0" t="n">
        <f aca="false">X4073-Z4073</f>
        <v>45.8706704142899</v>
      </c>
      <c r="AB4073" s="0" t="n">
        <f aca="false">X4073+Z4073</f>
        <v>49.0051702289849</v>
      </c>
      <c r="AC4073" s="54" t="b">
        <f aca="false">AND(E4073&gt;=01_因子設定!$L$5-0.000000001,E4073&lt;=01_因子設定!$M$5+0.000000001,F4073&gt;=01_因子設定!$L$6-0.000000001,F4073&lt;=01_因子設定!$M$6+0.000000001,G4073&gt;=01_因子設定!$L$7-0.000000001,G4073&lt;=01_因子設定!$M$7+0.000000001,H4073&gt;=01_因子設定!$L$8-0.000000001,H4073&lt;=01_因子設定!$M$8+0.000000001,IF(01_因子設定!$B$20="Box-Behnken",E4073^2+F4073^2+G4073^2+H4073^2&lt;=2+0.000000001,TRUE()))</f>
        <v>1</v>
      </c>
      <c r="AD4073" s="55" t="n">
        <f aca="false">IF(AC4073,IF(01_因子設定!$B$13="最大化",AA4073-01_因子設定!$B$14,IF(01_因子設定!$B$13="最小化",01_因子設定!$B$15-AB4073,MIN(AA4073-01_因子設定!$B$14,01_因子設定!$B$15-AB4073))),-1E+030)</f>
        <v>-0.629329585710082</v>
      </c>
      <c r="AE4073" s="55" t="n">
        <f aca="false">IF(AC4073,IF(01_因子設定!$B$13="最大化",X4073,IF(01_因子設定!$B$13="最小化",-X4073,-ABS(X4073-01_因子設定!$B$16))),-1E+030)</f>
        <v>47.4379203216374</v>
      </c>
      <c r="AF4073" s="55" t="n">
        <f aca="false">AD4073+ROW()*0.000000001</f>
        <v>-0.629325512710082</v>
      </c>
      <c r="AG4073" s="55" t="n">
        <f aca="false">AE4073+ROW()*0.000000001</f>
        <v>47.4379243946374</v>
      </c>
    </row>
    <row r="4074" customFormat="false" ht="15" hidden="false" customHeight="false" outlineLevel="0" collapsed="false">
      <c r="A4074" s="0" t="n">
        <v>5</v>
      </c>
      <c r="B4074" s="0" t="n">
        <v>5</v>
      </c>
      <c r="C4074" s="0" t="n">
        <v>2</v>
      </c>
      <c r="D4074" s="0" t="n">
        <v>1</v>
      </c>
      <c r="E4074" s="0" t="n">
        <f aca="false">-1+A4074*0.25</f>
        <v>0.25</v>
      </c>
      <c r="F4074" s="0" t="n">
        <f aca="false">-1+B4074*0.25</f>
        <v>0.25</v>
      </c>
      <c r="G4074" s="0" t="n">
        <f aca="false">-1+C4074*0.25</f>
        <v>-0.5</v>
      </c>
      <c r="H4074" s="0" t="n">
        <f aca="false">-1+D4074*0.25</f>
        <v>-0.75</v>
      </c>
      <c r="I4074" s="0" t="n">
        <f aca="false">1</f>
        <v>1</v>
      </c>
      <c r="J4074" s="0" t="n">
        <f aca="false">E4074</f>
        <v>0.25</v>
      </c>
      <c r="K4074" s="0" t="n">
        <f aca="false">F4074</f>
        <v>0.25</v>
      </c>
      <c r="L4074" s="0" t="n">
        <f aca="false">G4074</f>
        <v>-0.5</v>
      </c>
      <c r="M4074" s="0" t="n">
        <f aca="false">H4074</f>
        <v>-0.75</v>
      </c>
      <c r="N4074" s="0" t="n">
        <f aca="false">E4074*F4074</f>
        <v>0.0625</v>
      </c>
      <c r="O4074" s="0" t="n">
        <f aca="false">E4074*G4074</f>
        <v>-0.125</v>
      </c>
      <c r="P4074" s="0" t="n">
        <f aca="false">E4074*H4074</f>
        <v>-0.1875</v>
      </c>
      <c r="Q4074" s="0" t="n">
        <f aca="false">F4074*G4074</f>
        <v>-0.125</v>
      </c>
      <c r="R4074" s="0" t="n">
        <f aca="false">F4074*H4074</f>
        <v>-0.1875</v>
      </c>
      <c r="S4074" s="0" t="n">
        <f aca="false">G4074*H4074</f>
        <v>0.375</v>
      </c>
      <c r="T4074" s="0" t="n">
        <f aca="false">E4074*E4074</f>
        <v>0.0625</v>
      </c>
      <c r="U4074" s="0" t="n">
        <f aca="false">F4074*F4074</f>
        <v>0.0625</v>
      </c>
      <c r="V4074" s="0" t="n">
        <f aca="false">G4074*G4074</f>
        <v>0.25</v>
      </c>
      <c r="W4074" s="0" t="n">
        <f aca="false">H4074*H4074</f>
        <v>0.5625</v>
      </c>
      <c r="X4074" s="0" t="n">
        <f aca="false">SUMPRODUCT(I4074:W4074,_XtX!$B$96:$P$96)</f>
        <v>47.6652275219298</v>
      </c>
      <c r="Y4074" s="0" t="n">
        <f aca="false">SUMPRODUCT(MMULT(I4074:W4074,_XtX!$B$78:$P$92),I4074:W4074)</f>
        <v>0.207746539199561</v>
      </c>
      <c r="Z4074" s="0" t="n">
        <f aca="false">04_回帰ANOVA!$K$19*04_回帰ANOVA!$K$14*SQRT(1+Y4074)</f>
        <v>1.43247250081141</v>
      </c>
      <c r="AA4074" s="0" t="n">
        <f aca="false">X4074-Z4074</f>
        <v>46.2327550211184</v>
      </c>
      <c r="AB4074" s="0" t="n">
        <f aca="false">X4074+Z4074</f>
        <v>49.0977000227412</v>
      </c>
      <c r="AC4074" s="54" t="b">
        <f aca="false">AND(E4074&gt;=01_因子設定!$L$5-0.000000001,E4074&lt;=01_因子設定!$M$5+0.000000001,F4074&gt;=01_因子設定!$L$6-0.000000001,F4074&lt;=01_因子設定!$M$6+0.000000001,G4074&gt;=01_因子設定!$L$7-0.000000001,G4074&lt;=01_因子設定!$M$7+0.000000001,H4074&gt;=01_因子設定!$L$8-0.000000001,H4074&lt;=01_因子設定!$M$8+0.000000001,IF(01_因子設定!$B$20="Box-Behnken",E4074^2+F4074^2+G4074^2+H4074^2&lt;=2+0.000000001,TRUE()))</f>
        <v>1</v>
      </c>
      <c r="AD4074" s="55" t="n">
        <f aca="false">IF(AC4074,IF(01_因子設定!$B$13="最大化",AA4074-01_因子設定!$B$14,IF(01_因子設定!$B$13="最小化",01_因子設定!$B$15-AB4074,MIN(AA4074-01_因子設定!$B$14,01_因子設定!$B$15-AB4074))),-1E+030)</f>
        <v>-0.267244978881621</v>
      </c>
      <c r="AE4074" s="55" t="n">
        <f aca="false">IF(AC4074,IF(01_因子設定!$B$13="最大化",X4074,IF(01_因子設定!$B$13="最小化",-X4074,-ABS(X4074-01_因子設定!$B$16))),-1E+030)</f>
        <v>47.6652275219298</v>
      </c>
      <c r="AF4074" s="55" t="n">
        <f aca="false">AD4074+ROW()*0.000000001</f>
        <v>-0.267240904881621</v>
      </c>
      <c r="AG4074" s="55" t="n">
        <f aca="false">AE4074+ROW()*0.000000001</f>
        <v>47.6652315959298</v>
      </c>
    </row>
    <row r="4075" customFormat="false" ht="15" hidden="false" customHeight="false" outlineLevel="0" collapsed="false">
      <c r="A4075" s="0" t="n">
        <v>5</v>
      </c>
      <c r="B4075" s="0" t="n">
        <v>5</v>
      </c>
      <c r="C4075" s="0" t="n">
        <v>2</v>
      </c>
      <c r="D4075" s="0" t="n">
        <v>2</v>
      </c>
      <c r="E4075" s="0" t="n">
        <f aca="false">-1+A4075*0.25</f>
        <v>0.25</v>
      </c>
      <c r="F4075" s="0" t="n">
        <f aca="false">-1+B4075*0.25</f>
        <v>0.25</v>
      </c>
      <c r="G4075" s="0" t="n">
        <f aca="false">-1+C4075*0.25</f>
        <v>-0.5</v>
      </c>
      <c r="H4075" s="0" t="n">
        <f aca="false">-1+D4075*0.25</f>
        <v>-0.5</v>
      </c>
      <c r="I4075" s="0" t="n">
        <f aca="false">1</f>
        <v>1</v>
      </c>
      <c r="J4075" s="0" t="n">
        <f aca="false">E4075</f>
        <v>0.25</v>
      </c>
      <c r="K4075" s="0" t="n">
        <f aca="false">F4075</f>
        <v>0.25</v>
      </c>
      <c r="L4075" s="0" t="n">
        <f aca="false">G4075</f>
        <v>-0.5</v>
      </c>
      <c r="M4075" s="0" t="n">
        <f aca="false">H4075</f>
        <v>-0.5</v>
      </c>
      <c r="N4075" s="0" t="n">
        <f aca="false">E4075*F4075</f>
        <v>0.0625</v>
      </c>
      <c r="O4075" s="0" t="n">
        <f aca="false">E4075*G4075</f>
        <v>-0.125</v>
      </c>
      <c r="P4075" s="0" t="n">
        <f aca="false">E4075*H4075</f>
        <v>-0.125</v>
      </c>
      <c r="Q4075" s="0" t="n">
        <f aca="false">F4075*G4075</f>
        <v>-0.125</v>
      </c>
      <c r="R4075" s="0" t="n">
        <f aca="false">F4075*H4075</f>
        <v>-0.125</v>
      </c>
      <c r="S4075" s="0" t="n">
        <f aca="false">G4075*H4075</f>
        <v>0.25</v>
      </c>
      <c r="T4075" s="0" t="n">
        <f aca="false">E4075*E4075</f>
        <v>0.0625</v>
      </c>
      <c r="U4075" s="0" t="n">
        <f aca="false">F4075*F4075</f>
        <v>0.0625</v>
      </c>
      <c r="V4075" s="0" t="n">
        <f aca="false">G4075*G4075</f>
        <v>0.25</v>
      </c>
      <c r="W4075" s="0" t="n">
        <f aca="false">H4075*H4075</f>
        <v>0.25</v>
      </c>
      <c r="X4075" s="0" t="n">
        <f aca="false">SUMPRODUCT(I4075:W4075,_XtX!$B$96:$P$96)</f>
        <v>47.8447277046783</v>
      </c>
      <c r="Y4075" s="0" t="n">
        <f aca="false">SUMPRODUCT(MMULT(I4075:W4075,_XtX!$B$78:$P$92),I4075:W4075)</f>
        <v>0.128236647934942</v>
      </c>
      <c r="Z4075" s="0" t="n">
        <f aca="false">04_回帰ANOVA!$K$19*04_回帰ANOVA!$K$14*SQRT(1+Y4075)</f>
        <v>1.38451764188989</v>
      </c>
      <c r="AA4075" s="0" t="n">
        <f aca="false">X4075-Z4075</f>
        <v>46.4602100627884</v>
      </c>
      <c r="AB4075" s="0" t="n">
        <f aca="false">X4075+Z4075</f>
        <v>49.2292453465682</v>
      </c>
      <c r="AC4075" s="54" t="b">
        <f aca="false">AND(E4075&gt;=01_因子設定!$L$5-0.000000001,E4075&lt;=01_因子設定!$M$5+0.000000001,F4075&gt;=01_因子設定!$L$6-0.000000001,F4075&lt;=01_因子設定!$M$6+0.000000001,G4075&gt;=01_因子設定!$L$7-0.000000001,G4075&lt;=01_因子設定!$M$7+0.000000001,H4075&gt;=01_因子設定!$L$8-0.000000001,H4075&lt;=01_因子設定!$M$8+0.000000001,IF(01_因子設定!$B$20="Box-Behnken",E4075^2+F4075^2+G4075^2+H4075^2&lt;=2+0.000000001,TRUE()))</f>
        <v>1</v>
      </c>
      <c r="AD4075" s="55" t="n">
        <f aca="false">IF(AC4075,IF(01_因子設定!$B$13="最大化",AA4075-01_因子設定!$B$14,IF(01_因子設定!$B$13="最小化",01_因子設定!$B$15-AB4075,MIN(AA4075-01_因子設定!$B$14,01_因子設定!$B$15-AB4075))),-1E+030)</f>
        <v>-0.0397899372115731</v>
      </c>
      <c r="AE4075" s="55" t="n">
        <f aca="false">IF(AC4075,IF(01_因子設定!$B$13="最大化",X4075,IF(01_因子設定!$B$13="最小化",-X4075,-ABS(X4075-01_因子設定!$B$16))),-1E+030)</f>
        <v>47.8447277046783</v>
      </c>
      <c r="AF4075" s="55" t="n">
        <f aca="false">AD4075+ROW()*0.000000001</f>
        <v>-0.0397858622115731</v>
      </c>
      <c r="AG4075" s="55" t="n">
        <f aca="false">AE4075+ROW()*0.000000001</f>
        <v>47.8447317796783</v>
      </c>
    </row>
    <row r="4076" customFormat="false" ht="15" hidden="false" customHeight="false" outlineLevel="0" collapsed="false">
      <c r="A4076" s="0" t="n">
        <v>5</v>
      </c>
      <c r="B4076" s="0" t="n">
        <v>5</v>
      </c>
      <c r="C4076" s="0" t="n">
        <v>2</v>
      </c>
      <c r="D4076" s="0" t="n">
        <v>3</v>
      </c>
      <c r="E4076" s="0" t="n">
        <f aca="false">-1+A4076*0.25</f>
        <v>0.25</v>
      </c>
      <c r="F4076" s="0" t="n">
        <f aca="false">-1+B4076*0.25</f>
        <v>0.25</v>
      </c>
      <c r="G4076" s="0" t="n">
        <f aca="false">-1+C4076*0.25</f>
        <v>-0.5</v>
      </c>
      <c r="H4076" s="0" t="n">
        <f aca="false">-1+D4076*0.25</f>
        <v>-0.25</v>
      </c>
      <c r="I4076" s="0" t="n">
        <f aca="false">1</f>
        <v>1</v>
      </c>
      <c r="J4076" s="0" t="n">
        <f aca="false">E4076</f>
        <v>0.25</v>
      </c>
      <c r="K4076" s="0" t="n">
        <f aca="false">F4076</f>
        <v>0.25</v>
      </c>
      <c r="L4076" s="0" t="n">
        <f aca="false">G4076</f>
        <v>-0.5</v>
      </c>
      <c r="M4076" s="0" t="n">
        <f aca="false">H4076</f>
        <v>-0.25</v>
      </c>
      <c r="N4076" s="0" t="n">
        <f aca="false">E4076*F4076</f>
        <v>0.0625</v>
      </c>
      <c r="O4076" s="0" t="n">
        <f aca="false">E4076*G4076</f>
        <v>-0.125</v>
      </c>
      <c r="P4076" s="0" t="n">
        <f aca="false">E4076*H4076</f>
        <v>-0.0625</v>
      </c>
      <c r="Q4076" s="0" t="n">
        <f aca="false">F4076*G4076</f>
        <v>-0.125</v>
      </c>
      <c r="R4076" s="0" t="n">
        <f aca="false">F4076*H4076</f>
        <v>-0.0625</v>
      </c>
      <c r="S4076" s="0" t="n">
        <f aca="false">G4076*H4076</f>
        <v>0.125</v>
      </c>
      <c r="T4076" s="0" t="n">
        <f aca="false">E4076*E4076</f>
        <v>0.0625</v>
      </c>
      <c r="U4076" s="0" t="n">
        <f aca="false">F4076*F4076</f>
        <v>0.0625</v>
      </c>
      <c r="V4076" s="0" t="n">
        <f aca="false">G4076*G4076</f>
        <v>0.25</v>
      </c>
      <c r="W4076" s="0" t="n">
        <f aca="false">H4076*H4076</f>
        <v>0.0625</v>
      </c>
      <c r="X4076" s="0" t="n">
        <f aca="false">SUMPRODUCT(I4076:W4076,_XtX!$B$96:$P$96)</f>
        <v>47.976420869883</v>
      </c>
      <c r="Y4076" s="0" t="n">
        <f aca="false">SUMPRODUCT(MMULT(I4076:W4076,_XtX!$B$78:$P$92),I4076:W4076)</f>
        <v>0.116714923702485</v>
      </c>
      <c r="Z4076" s="0" t="n">
        <f aca="false">04_回帰ANOVA!$K$19*04_回帰ANOVA!$K$14*SQRT(1+Y4076)</f>
        <v>1.37743004820023</v>
      </c>
      <c r="AA4076" s="0" t="n">
        <f aca="false">X4076-Z4076</f>
        <v>46.5989908216828</v>
      </c>
      <c r="AB4076" s="0" t="n">
        <f aca="false">X4076+Z4076</f>
        <v>49.3538509180832</v>
      </c>
      <c r="AC4076" s="54" t="b">
        <f aca="false">AND(E4076&gt;=01_因子設定!$L$5-0.000000001,E4076&lt;=01_因子設定!$M$5+0.000000001,F4076&gt;=01_因子設定!$L$6-0.000000001,F4076&lt;=01_因子設定!$M$6+0.000000001,G4076&gt;=01_因子設定!$L$7-0.000000001,G4076&lt;=01_因子設定!$M$7+0.000000001,H4076&gt;=01_因子設定!$L$8-0.000000001,H4076&lt;=01_因子設定!$M$8+0.000000001,IF(01_因子設定!$B$20="Box-Behnken",E4076^2+F4076^2+G4076^2+H4076^2&lt;=2+0.000000001,TRUE()))</f>
        <v>1</v>
      </c>
      <c r="AD4076" s="55" t="n">
        <f aca="false">IF(AC4076,IF(01_因子設定!$B$13="最大化",AA4076-01_因子設定!$B$14,IF(01_因子設定!$B$13="最小化",01_因子設定!$B$15-AB4076,MIN(AA4076-01_因子設定!$B$14,01_因子設定!$B$15-AB4076))),-1E+030)</f>
        <v>0.0989908216827615</v>
      </c>
      <c r="AE4076" s="55" t="n">
        <f aca="false">IF(AC4076,IF(01_因子設定!$B$13="最大化",X4076,IF(01_因子設定!$B$13="最小化",-X4076,-ABS(X4076-01_因子設定!$B$16))),-1E+030)</f>
        <v>47.976420869883</v>
      </c>
      <c r="AF4076" s="55" t="n">
        <f aca="false">AD4076+ROW()*0.000000001</f>
        <v>0.0989948976827615</v>
      </c>
      <c r="AG4076" s="55" t="n">
        <f aca="false">AE4076+ROW()*0.000000001</f>
        <v>47.976424945883</v>
      </c>
    </row>
    <row r="4077" customFormat="false" ht="15" hidden="false" customHeight="false" outlineLevel="0" collapsed="false">
      <c r="A4077" s="0" t="n">
        <v>5</v>
      </c>
      <c r="B4077" s="0" t="n">
        <v>5</v>
      </c>
      <c r="C4077" s="0" t="n">
        <v>2</v>
      </c>
      <c r="D4077" s="0" t="n">
        <v>4</v>
      </c>
      <c r="E4077" s="0" t="n">
        <f aca="false">-1+A4077*0.25</f>
        <v>0.25</v>
      </c>
      <c r="F4077" s="0" t="n">
        <f aca="false">-1+B4077*0.25</f>
        <v>0.25</v>
      </c>
      <c r="G4077" s="0" t="n">
        <f aca="false">-1+C4077*0.25</f>
        <v>-0.5</v>
      </c>
      <c r="H4077" s="0" t="n">
        <f aca="false">-1+D4077*0.25</f>
        <v>0</v>
      </c>
      <c r="I4077" s="0" t="n">
        <f aca="false">1</f>
        <v>1</v>
      </c>
      <c r="J4077" s="0" t="n">
        <f aca="false">E4077</f>
        <v>0.25</v>
      </c>
      <c r="K4077" s="0" t="n">
        <f aca="false">F4077</f>
        <v>0.25</v>
      </c>
      <c r="L4077" s="0" t="n">
        <f aca="false">G4077</f>
        <v>-0.5</v>
      </c>
      <c r="M4077" s="0" t="n">
        <f aca="false">H4077</f>
        <v>0</v>
      </c>
      <c r="N4077" s="0" t="n">
        <f aca="false">E4077*F4077</f>
        <v>0.0625</v>
      </c>
      <c r="O4077" s="0" t="n">
        <f aca="false">E4077*G4077</f>
        <v>-0.125</v>
      </c>
      <c r="P4077" s="0" t="n">
        <f aca="false">E4077*H4077</f>
        <v>0</v>
      </c>
      <c r="Q4077" s="0" t="n">
        <f aca="false">F4077*G4077</f>
        <v>-0.125</v>
      </c>
      <c r="R4077" s="0" t="n">
        <f aca="false">F4077*H4077</f>
        <v>0</v>
      </c>
      <c r="S4077" s="0" t="n">
        <f aca="false">G4077*H4077</f>
        <v>-0</v>
      </c>
      <c r="T4077" s="0" t="n">
        <f aca="false">E4077*E4077</f>
        <v>0.0625</v>
      </c>
      <c r="U4077" s="0" t="n">
        <f aca="false">F4077*F4077</f>
        <v>0.0625</v>
      </c>
      <c r="V4077" s="0" t="n">
        <f aca="false">G4077*G4077</f>
        <v>0.25</v>
      </c>
      <c r="W4077" s="0" t="n">
        <f aca="false">H4077*H4077</f>
        <v>0</v>
      </c>
      <c r="X4077" s="0" t="n">
        <f aca="false">SUMPRODUCT(I4077:W4077,_XtX!$B$96:$P$96)</f>
        <v>48.0603070175438</v>
      </c>
      <c r="Y4077" s="0" t="n">
        <f aca="false">SUMPRODUCT(MMULT(I4077:W4077,_XtX!$B$78:$P$92),I4077:W4077)</f>
        <v>0.118905050712719</v>
      </c>
      <c r="Z4077" s="0" t="n">
        <f aca="false">04_回帰ANOVA!$K$19*04_回帰ANOVA!$K$14*SQRT(1+Y4077)</f>
        <v>1.37878011033769</v>
      </c>
      <c r="AA4077" s="0" t="n">
        <f aca="false">X4077-Z4077</f>
        <v>46.6815269072061</v>
      </c>
      <c r="AB4077" s="0" t="n">
        <f aca="false">X4077+Z4077</f>
        <v>49.4390871278815</v>
      </c>
      <c r="AC4077" s="54" t="b">
        <f aca="false">AND(E4077&gt;=01_因子設定!$L$5-0.000000001,E4077&lt;=01_因子設定!$M$5+0.000000001,F4077&gt;=01_因子設定!$L$6-0.000000001,F4077&lt;=01_因子設定!$M$6+0.000000001,G4077&gt;=01_因子設定!$L$7-0.000000001,G4077&lt;=01_因子設定!$M$7+0.000000001,H4077&gt;=01_因子設定!$L$8-0.000000001,H4077&lt;=01_因子設定!$M$8+0.000000001,IF(01_因子設定!$B$20="Box-Behnken",E4077^2+F4077^2+G4077^2+H4077^2&lt;=2+0.000000001,TRUE()))</f>
        <v>1</v>
      </c>
      <c r="AD4077" s="55" t="n">
        <f aca="false">IF(AC4077,IF(01_因子設定!$B$13="最大化",AA4077-01_因子設定!$B$14,IF(01_因子設定!$B$13="最小化",01_因子設定!$B$15-AB4077,MIN(AA4077-01_因子設定!$B$14,01_因子設定!$B$15-AB4077))),-1E+030)</f>
        <v>0.181526907206113</v>
      </c>
      <c r="AE4077" s="55" t="n">
        <f aca="false">IF(AC4077,IF(01_因子設定!$B$13="最大化",X4077,IF(01_因子設定!$B$13="最小化",-X4077,-ABS(X4077-01_因子設定!$B$16))),-1E+030)</f>
        <v>48.0603070175438</v>
      </c>
      <c r="AF4077" s="55" t="n">
        <f aca="false">AD4077+ROW()*0.000000001</f>
        <v>0.181530984206113</v>
      </c>
      <c r="AG4077" s="55" t="n">
        <f aca="false">AE4077+ROW()*0.000000001</f>
        <v>48.0603110945438</v>
      </c>
    </row>
    <row r="4078" customFormat="false" ht="15" hidden="false" customHeight="false" outlineLevel="0" collapsed="false">
      <c r="A4078" s="0" t="n">
        <v>5</v>
      </c>
      <c r="B4078" s="0" t="n">
        <v>5</v>
      </c>
      <c r="C4078" s="0" t="n">
        <v>2</v>
      </c>
      <c r="D4078" s="0" t="n">
        <v>5</v>
      </c>
      <c r="E4078" s="0" t="n">
        <f aca="false">-1+A4078*0.25</f>
        <v>0.25</v>
      </c>
      <c r="F4078" s="0" t="n">
        <f aca="false">-1+B4078*0.25</f>
        <v>0.25</v>
      </c>
      <c r="G4078" s="0" t="n">
        <f aca="false">-1+C4078*0.25</f>
        <v>-0.5</v>
      </c>
      <c r="H4078" s="0" t="n">
        <f aca="false">-1+D4078*0.25</f>
        <v>0.25</v>
      </c>
      <c r="I4078" s="0" t="n">
        <f aca="false">1</f>
        <v>1</v>
      </c>
      <c r="J4078" s="0" t="n">
        <f aca="false">E4078</f>
        <v>0.25</v>
      </c>
      <c r="K4078" s="0" t="n">
        <f aca="false">F4078</f>
        <v>0.25</v>
      </c>
      <c r="L4078" s="0" t="n">
        <f aca="false">G4078</f>
        <v>-0.5</v>
      </c>
      <c r="M4078" s="0" t="n">
        <f aca="false">H4078</f>
        <v>0.25</v>
      </c>
      <c r="N4078" s="0" t="n">
        <f aca="false">E4078*F4078</f>
        <v>0.0625</v>
      </c>
      <c r="O4078" s="0" t="n">
        <f aca="false">E4078*G4078</f>
        <v>-0.125</v>
      </c>
      <c r="P4078" s="0" t="n">
        <f aca="false">E4078*H4078</f>
        <v>0.0625</v>
      </c>
      <c r="Q4078" s="0" t="n">
        <f aca="false">F4078*G4078</f>
        <v>-0.125</v>
      </c>
      <c r="R4078" s="0" t="n">
        <f aca="false">F4078*H4078</f>
        <v>0.0625</v>
      </c>
      <c r="S4078" s="0" t="n">
        <f aca="false">G4078*H4078</f>
        <v>-0.125</v>
      </c>
      <c r="T4078" s="0" t="n">
        <f aca="false">E4078*E4078</f>
        <v>0.0625</v>
      </c>
      <c r="U4078" s="0" t="n">
        <f aca="false">F4078*F4078</f>
        <v>0.0625</v>
      </c>
      <c r="V4078" s="0" t="n">
        <f aca="false">G4078*G4078</f>
        <v>0.25</v>
      </c>
      <c r="W4078" s="0" t="n">
        <f aca="false">H4078*H4078</f>
        <v>0.0625</v>
      </c>
      <c r="X4078" s="0" t="n">
        <f aca="false">SUMPRODUCT(I4078:W4078,_XtX!$B$96:$P$96)</f>
        <v>48.0963861476608</v>
      </c>
      <c r="Y4078" s="0" t="n">
        <f aca="false">SUMPRODUCT(MMULT(I4078:W4078,_XtX!$B$78:$P$92),I4078:W4078)</f>
        <v>0.116714923702485</v>
      </c>
      <c r="Z4078" s="0" t="n">
        <f aca="false">04_回帰ANOVA!$K$19*04_回帰ANOVA!$K$14*SQRT(1+Y4078)</f>
        <v>1.37743004820023</v>
      </c>
      <c r="AA4078" s="0" t="n">
        <f aca="false">X4078-Z4078</f>
        <v>46.7189560994605</v>
      </c>
      <c r="AB4078" s="0" t="n">
        <f aca="false">X4078+Z4078</f>
        <v>49.473816195861</v>
      </c>
      <c r="AC4078" s="54" t="b">
        <f aca="false">AND(E4078&gt;=01_因子設定!$L$5-0.000000001,E4078&lt;=01_因子設定!$M$5+0.000000001,F4078&gt;=01_因子設定!$L$6-0.000000001,F4078&lt;=01_因子設定!$M$6+0.000000001,G4078&gt;=01_因子設定!$L$7-0.000000001,G4078&lt;=01_因子設定!$M$7+0.000000001,H4078&gt;=01_因子設定!$L$8-0.000000001,H4078&lt;=01_因子設定!$M$8+0.000000001,IF(01_因子設定!$B$20="Box-Behnken",E4078^2+F4078^2+G4078^2+H4078^2&lt;=2+0.000000001,TRUE()))</f>
        <v>1</v>
      </c>
      <c r="AD4078" s="55" t="n">
        <f aca="false">IF(AC4078,IF(01_因子設定!$B$13="最大化",AA4078-01_因子設定!$B$14,IF(01_因子設定!$B$13="最小化",01_因子設定!$B$15-AB4078,MIN(AA4078-01_因子設定!$B$14,01_因子設定!$B$15-AB4078))),-1E+030)</f>
        <v>0.218956099460534</v>
      </c>
      <c r="AE4078" s="55" t="n">
        <f aca="false">IF(AC4078,IF(01_因子設定!$B$13="最大化",X4078,IF(01_因子設定!$B$13="最小化",-X4078,-ABS(X4078-01_因子設定!$B$16))),-1E+030)</f>
        <v>48.0963861476608</v>
      </c>
      <c r="AF4078" s="55" t="n">
        <f aca="false">AD4078+ROW()*0.000000001</f>
        <v>0.218960177460534</v>
      </c>
      <c r="AG4078" s="55" t="n">
        <f aca="false">AE4078+ROW()*0.000000001</f>
        <v>48.0963902256608</v>
      </c>
    </row>
    <row r="4079" customFormat="false" ht="15" hidden="false" customHeight="false" outlineLevel="0" collapsed="false">
      <c r="A4079" s="0" t="n">
        <v>5</v>
      </c>
      <c r="B4079" s="0" t="n">
        <v>5</v>
      </c>
      <c r="C4079" s="0" t="n">
        <v>2</v>
      </c>
      <c r="D4079" s="0" t="n">
        <v>6</v>
      </c>
      <c r="E4079" s="0" t="n">
        <f aca="false">-1+A4079*0.25</f>
        <v>0.25</v>
      </c>
      <c r="F4079" s="0" t="n">
        <f aca="false">-1+B4079*0.25</f>
        <v>0.25</v>
      </c>
      <c r="G4079" s="0" t="n">
        <f aca="false">-1+C4079*0.25</f>
        <v>-0.5</v>
      </c>
      <c r="H4079" s="0" t="n">
        <f aca="false">-1+D4079*0.25</f>
        <v>0.5</v>
      </c>
      <c r="I4079" s="0" t="n">
        <f aca="false">1</f>
        <v>1</v>
      </c>
      <c r="J4079" s="0" t="n">
        <f aca="false">E4079</f>
        <v>0.25</v>
      </c>
      <c r="K4079" s="0" t="n">
        <f aca="false">F4079</f>
        <v>0.25</v>
      </c>
      <c r="L4079" s="0" t="n">
        <f aca="false">G4079</f>
        <v>-0.5</v>
      </c>
      <c r="M4079" s="0" t="n">
        <f aca="false">H4079</f>
        <v>0.5</v>
      </c>
      <c r="N4079" s="0" t="n">
        <f aca="false">E4079*F4079</f>
        <v>0.0625</v>
      </c>
      <c r="O4079" s="0" t="n">
        <f aca="false">E4079*G4079</f>
        <v>-0.125</v>
      </c>
      <c r="P4079" s="0" t="n">
        <f aca="false">E4079*H4079</f>
        <v>0.125</v>
      </c>
      <c r="Q4079" s="0" t="n">
        <f aca="false">F4079*G4079</f>
        <v>-0.125</v>
      </c>
      <c r="R4079" s="0" t="n">
        <f aca="false">F4079*H4079</f>
        <v>0.125</v>
      </c>
      <c r="S4079" s="0" t="n">
        <f aca="false">G4079*H4079</f>
        <v>-0.25</v>
      </c>
      <c r="T4079" s="0" t="n">
        <f aca="false">E4079*E4079</f>
        <v>0.0625</v>
      </c>
      <c r="U4079" s="0" t="n">
        <f aca="false">F4079*F4079</f>
        <v>0.0625</v>
      </c>
      <c r="V4079" s="0" t="n">
        <f aca="false">G4079*G4079</f>
        <v>0.25</v>
      </c>
      <c r="W4079" s="0" t="n">
        <f aca="false">H4079*H4079</f>
        <v>0.25</v>
      </c>
      <c r="X4079" s="0" t="n">
        <f aca="false">SUMPRODUCT(I4079:W4079,_XtX!$B$96:$P$96)</f>
        <v>48.0846582602339</v>
      </c>
      <c r="Y4079" s="0" t="n">
        <f aca="false">SUMPRODUCT(MMULT(I4079:W4079,_XtX!$B$78:$P$92),I4079:W4079)</f>
        <v>0.128236647934942</v>
      </c>
      <c r="Z4079" s="0" t="n">
        <f aca="false">04_回帰ANOVA!$K$19*04_回帰ANOVA!$K$14*SQRT(1+Y4079)</f>
        <v>1.38451764188989</v>
      </c>
      <c r="AA4079" s="0" t="n">
        <f aca="false">X4079-Z4079</f>
        <v>46.700140618344</v>
      </c>
      <c r="AB4079" s="0" t="n">
        <f aca="false">X4079+Z4079</f>
        <v>49.4691759021238</v>
      </c>
      <c r="AC4079" s="54" t="b">
        <f aca="false">AND(E4079&gt;=01_因子設定!$L$5-0.000000001,E4079&lt;=01_因子設定!$M$5+0.000000001,F4079&gt;=01_因子設定!$L$6-0.000000001,F4079&lt;=01_因子設定!$M$6+0.000000001,G4079&gt;=01_因子設定!$L$7-0.000000001,G4079&lt;=01_因子設定!$M$7+0.000000001,H4079&gt;=01_因子設定!$L$8-0.000000001,H4079&lt;=01_因子設定!$M$8+0.000000001,IF(01_因子設定!$B$20="Box-Behnken",E4079^2+F4079^2+G4079^2+H4079^2&lt;=2+0.000000001,TRUE()))</f>
        <v>1</v>
      </c>
      <c r="AD4079" s="55" t="n">
        <f aca="false">IF(AC4079,IF(01_因子設定!$B$13="最大化",AA4079-01_因子設定!$B$14,IF(01_因子設定!$B$13="最小化",01_因子設定!$B$15-AB4079,MIN(AA4079-01_因子設定!$B$14,01_因子設定!$B$15-AB4079))),-1E+030)</f>
        <v>0.20014061834398</v>
      </c>
      <c r="AE4079" s="55" t="n">
        <f aca="false">IF(AC4079,IF(01_因子設定!$B$13="最大化",X4079,IF(01_因子設定!$B$13="最小化",-X4079,-ABS(X4079-01_因子設定!$B$16))),-1E+030)</f>
        <v>48.0846582602339</v>
      </c>
      <c r="AF4079" s="55" t="n">
        <f aca="false">AD4079+ROW()*0.000000001</f>
        <v>0.20014469734398</v>
      </c>
      <c r="AG4079" s="55" t="n">
        <f aca="false">AE4079+ROW()*0.000000001</f>
        <v>48.0846623392339</v>
      </c>
    </row>
    <row r="4080" customFormat="false" ht="15" hidden="false" customHeight="false" outlineLevel="0" collapsed="false">
      <c r="A4080" s="0" t="n">
        <v>5</v>
      </c>
      <c r="B4080" s="0" t="n">
        <v>5</v>
      </c>
      <c r="C4080" s="0" t="n">
        <v>2</v>
      </c>
      <c r="D4080" s="0" t="n">
        <v>7</v>
      </c>
      <c r="E4080" s="0" t="n">
        <f aca="false">-1+A4080*0.25</f>
        <v>0.25</v>
      </c>
      <c r="F4080" s="0" t="n">
        <f aca="false">-1+B4080*0.25</f>
        <v>0.25</v>
      </c>
      <c r="G4080" s="0" t="n">
        <f aca="false">-1+C4080*0.25</f>
        <v>-0.5</v>
      </c>
      <c r="H4080" s="0" t="n">
        <f aca="false">-1+D4080*0.25</f>
        <v>0.75</v>
      </c>
      <c r="I4080" s="0" t="n">
        <f aca="false">1</f>
        <v>1</v>
      </c>
      <c r="J4080" s="0" t="n">
        <f aca="false">E4080</f>
        <v>0.25</v>
      </c>
      <c r="K4080" s="0" t="n">
        <f aca="false">F4080</f>
        <v>0.25</v>
      </c>
      <c r="L4080" s="0" t="n">
        <f aca="false">G4080</f>
        <v>-0.5</v>
      </c>
      <c r="M4080" s="0" t="n">
        <f aca="false">H4080</f>
        <v>0.75</v>
      </c>
      <c r="N4080" s="0" t="n">
        <f aca="false">E4080*F4080</f>
        <v>0.0625</v>
      </c>
      <c r="O4080" s="0" t="n">
        <f aca="false">E4080*G4080</f>
        <v>-0.125</v>
      </c>
      <c r="P4080" s="0" t="n">
        <f aca="false">E4080*H4080</f>
        <v>0.1875</v>
      </c>
      <c r="Q4080" s="0" t="n">
        <f aca="false">F4080*G4080</f>
        <v>-0.125</v>
      </c>
      <c r="R4080" s="0" t="n">
        <f aca="false">F4080*H4080</f>
        <v>0.1875</v>
      </c>
      <c r="S4080" s="0" t="n">
        <f aca="false">G4080*H4080</f>
        <v>-0.375</v>
      </c>
      <c r="T4080" s="0" t="n">
        <f aca="false">E4080*E4080</f>
        <v>0.0625</v>
      </c>
      <c r="U4080" s="0" t="n">
        <f aca="false">F4080*F4080</f>
        <v>0.0625</v>
      </c>
      <c r="V4080" s="0" t="n">
        <f aca="false">G4080*G4080</f>
        <v>0.25</v>
      </c>
      <c r="W4080" s="0" t="n">
        <f aca="false">H4080*H4080</f>
        <v>0.5625</v>
      </c>
      <c r="X4080" s="0" t="n">
        <f aca="false">SUMPRODUCT(I4080:W4080,_XtX!$B$96:$P$96)</f>
        <v>48.0251233552631</v>
      </c>
      <c r="Y4080" s="0" t="n">
        <f aca="false">SUMPRODUCT(MMULT(I4080:W4080,_XtX!$B$78:$P$92),I4080:W4080)</f>
        <v>0.207746539199561</v>
      </c>
      <c r="Z4080" s="0" t="n">
        <f aca="false">04_回帰ANOVA!$K$19*04_回帰ANOVA!$K$14*SQRT(1+Y4080)</f>
        <v>1.43247250081141</v>
      </c>
      <c r="AA4080" s="0" t="n">
        <f aca="false">X4080-Z4080</f>
        <v>46.5926508544517</v>
      </c>
      <c r="AB4080" s="0" t="n">
        <f aca="false">X4080+Z4080</f>
        <v>49.4575958560745</v>
      </c>
      <c r="AC4080" s="54" t="b">
        <f aca="false">AND(E4080&gt;=01_因子設定!$L$5-0.000000001,E4080&lt;=01_因子設定!$M$5+0.000000001,F4080&gt;=01_因子設定!$L$6-0.000000001,F4080&lt;=01_因子設定!$M$6+0.000000001,G4080&gt;=01_因子設定!$L$7-0.000000001,G4080&lt;=01_因子設定!$M$7+0.000000001,H4080&gt;=01_因子設定!$L$8-0.000000001,H4080&lt;=01_因子設定!$M$8+0.000000001,IF(01_因子設定!$B$20="Box-Behnken",E4080^2+F4080^2+G4080^2+H4080^2&lt;=2+0.000000001,TRUE()))</f>
        <v>1</v>
      </c>
      <c r="AD4080" s="55" t="n">
        <f aca="false">IF(AC4080,IF(01_因子設定!$B$13="最大化",AA4080-01_因子設定!$B$14,IF(01_因子設定!$B$13="最小化",01_因子設定!$B$15-AB4080,MIN(AA4080-01_因子設定!$B$14,01_因子設定!$B$15-AB4080))),-1E+030)</f>
        <v>0.092650854451712</v>
      </c>
      <c r="AE4080" s="55" t="n">
        <f aca="false">IF(AC4080,IF(01_因子設定!$B$13="最大化",X4080,IF(01_因子設定!$B$13="最小化",-X4080,-ABS(X4080-01_因子設定!$B$16))),-1E+030)</f>
        <v>48.0251233552631</v>
      </c>
      <c r="AF4080" s="55" t="n">
        <f aca="false">AD4080+ROW()*0.000000001</f>
        <v>0.092654934451712</v>
      </c>
      <c r="AG4080" s="55" t="n">
        <f aca="false">AE4080+ROW()*0.000000001</f>
        <v>48.0251274352631</v>
      </c>
    </row>
    <row r="4081" customFormat="false" ht="15" hidden="false" customHeight="false" outlineLevel="0" collapsed="false">
      <c r="A4081" s="0" t="n">
        <v>5</v>
      </c>
      <c r="B4081" s="0" t="n">
        <v>5</v>
      </c>
      <c r="C4081" s="0" t="n">
        <v>2</v>
      </c>
      <c r="D4081" s="0" t="n">
        <v>8</v>
      </c>
      <c r="E4081" s="0" t="n">
        <f aca="false">-1+A4081*0.25</f>
        <v>0.25</v>
      </c>
      <c r="F4081" s="0" t="n">
        <f aca="false">-1+B4081*0.25</f>
        <v>0.25</v>
      </c>
      <c r="G4081" s="0" t="n">
        <f aca="false">-1+C4081*0.25</f>
        <v>-0.5</v>
      </c>
      <c r="H4081" s="0" t="n">
        <f aca="false">-1+D4081*0.25</f>
        <v>1</v>
      </c>
      <c r="I4081" s="0" t="n">
        <f aca="false">1</f>
        <v>1</v>
      </c>
      <c r="J4081" s="0" t="n">
        <f aca="false">E4081</f>
        <v>0.25</v>
      </c>
      <c r="K4081" s="0" t="n">
        <f aca="false">F4081</f>
        <v>0.25</v>
      </c>
      <c r="L4081" s="0" t="n">
        <f aca="false">G4081</f>
        <v>-0.5</v>
      </c>
      <c r="M4081" s="0" t="n">
        <f aca="false">H4081</f>
        <v>1</v>
      </c>
      <c r="N4081" s="0" t="n">
        <f aca="false">E4081*F4081</f>
        <v>0.0625</v>
      </c>
      <c r="O4081" s="0" t="n">
        <f aca="false">E4081*G4081</f>
        <v>-0.125</v>
      </c>
      <c r="P4081" s="0" t="n">
        <f aca="false">E4081*H4081</f>
        <v>0.25</v>
      </c>
      <c r="Q4081" s="0" t="n">
        <f aca="false">F4081*G4081</f>
        <v>-0.125</v>
      </c>
      <c r="R4081" s="0" t="n">
        <f aca="false">F4081*H4081</f>
        <v>0.25</v>
      </c>
      <c r="S4081" s="0" t="n">
        <f aca="false">G4081*H4081</f>
        <v>-0.5</v>
      </c>
      <c r="T4081" s="0" t="n">
        <f aca="false">E4081*E4081</f>
        <v>0.0625</v>
      </c>
      <c r="U4081" s="0" t="n">
        <f aca="false">F4081*F4081</f>
        <v>0.0625</v>
      </c>
      <c r="V4081" s="0" t="n">
        <f aca="false">G4081*G4081</f>
        <v>0.25</v>
      </c>
      <c r="W4081" s="0" t="n">
        <f aca="false">H4081*H4081</f>
        <v>1</v>
      </c>
      <c r="X4081" s="0" t="n">
        <f aca="false">SUMPRODUCT(I4081:W4081,_XtX!$B$96:$P$96)</f>
        <v>47.9177814327485</v>
      </c>
      <c r="Y4081" s="0" t="n">
        <f aca="false">SUMPRODUCT(MMULT(I4081:W4081,_XtX!$B$78:$P$92),I4081:W4081)</f>
        <v>0.445705123812135</v>
      </c>
      <c r="Z4081" s="0" t="n">
        <f aca="false">04_回帰ANOVA!$K$19*04_回帰ANOVA!$K$14*SQRT(1+Y4081)</f>
        <v>1.56724990734749</v>
      </c>
      <c r="AA4081" s="0" t="n">
        <f aca="false">X4081-Z4081</f>
        <v>46.350531525401</v>
      </c>
      <c r="AB4081" s="0" t="n">
        <f aca="false">X4081+Z4081</f>
        <v>49.485031340096</v>
      </c>
      <c r="AC4081" s="54" t="b">
        <f aca="false">AND(E4081&gt;=01_因子設定!$L$5-0.000000001,E4081&lt;=01_因子設定!$M$5+0.000000001,F4081&gt;=01_因子設定!$L$6-0.000000001,F4081&lt;=01_因子設定!$M$6+0.000000001,G4081&gt;=01_因子設定!$L$7-0.000000001,G4081&lt;=01_因子設定!$M$7+0.000000001,H4081&gt;=01_因子設定!$L$8-0.000000001,H4081&lt;=01_因子設定!$M$8+0.000000001,IF(01_因子設定!$B$20="Box-Behnken",E4081^2+F4081^2+G4081^2+H4081^2&lt;=2+0.000000001,TRUE()))</f>
        <v>1</v>
      </c>
      <c r="AD4081" s="55" t="n">
        <f aca="false">IF(AC4081,IF(01_因子設定!$B$13="最大化",AA4081-01_因子設定!$B$14,IF(01_因子設定!$B$13="最小化",01_因子設定!$B$15-AB4081,MIN(AA4081-01_因子設定!$B$14,01_因子設定!$B$15-AB4081))),-1E+030)</f>
        <v>-0.149468474598976</v>
      </c>
      <c r="AE4081" s="55" t="n">
        <f aca="false">IF(AC4081,IF(01_因子設定!$B$13="最大化",X4081,IF(01_因子設定!$B$13="最小化",-X4081,-ABS(X4081-01_因子設定!$B$16))),-1E+030)</f>
        <v>47.9177814327485</v>
      </c>
      <c r="AF4081" s="55" t="n">
        <f aca="false">AD4081+ROW()*0.000000001</f>
        <v>-0.149464393598976</v>
      </c>
      <c r="AG4081" s="55" t="n">
        <f aca="false">AE4081+ROW()*0.000000001</f>
        <v>47.9177855137485</v>
      </c>
    </row>
    <row r="4082" customFormat="false" ht="15" hidden="false" customHeight="false" outlineLevel="0" collapsed="false">
      <c r="A4082" s="0" t="n">
        <v>5</v>
      </c>
      <c r="B4082" s="0" t="n">
        <v>5</v>
      </c>
      <c r="C4082" s="0" t="n">
        <v>3</v>
      </c>
      <c r="D4082" s="0" t="n">
        <v>0</v>
      </c>
      <c r="E4082" s="0" t="n">
        <f aca="false">-1+A4082*0.25</f>
        <v>0.25</v>
      </c>
      <c r="F4082" s="0" t="n">
        <f aca="false">-1+B4082*0.25</f>
        <v>0.25</v>
      </c>
      <c r="G4082" s="0" t="n">
        <f aca="false">-1+C4082*0.25</f>
        <v>-0.25</v>
      </c>
      <c r="H4082" s="0" t="n">
        <f aca="false">-1+D4082*0.25</f>
        <v>-1</v>
      </c>
      <c r="I4082" s="0" t="n">
        <f aca="false">1</f>
        <v>1</v>
      </c>
      <c r="J4082" s="0" t="n">
        <f aca="false">E4082</f>
        <v>0.25</v>
      </c>
      <c r="K4082" s="0" t="n">
        <f aca="false">F4082</f>
        <v>0.25</v>
      </c>
      <c r="L4082" s="0" t="n">
        <f aca="false">G4082</f>
        <v>-0.25</v>
      </c>
      <c r="M4082" s="0" t="n">
        <f aca="false">H4082</f>
        <v>-1</v>
      </c>
      <c r="N4082" s="0" t="n">
        <f aca="false">E4082*F4082</f>
        <v>0.0625</v>
      </c>
      <c r="O4082" s="0" t="n">
        <f aca="false">E4082*G4082</f>
        <v>-0.0625</v>
      </c>
      <c r="P4082" s="0" t="n">
        <f aca="false">E4082*H4082</f>
        <v>-0.25</v>
      </c>
      <c r="Q4082" s="0" t="n">
        <f aca="false">F4082*G4082</f>
        <v>-0.0625</v>
      </c>
      <c r="R4082" s="0" t="n">
        <f aca="false">F4082*H4082</f>
        <v>-0.25</v>
      </c>
      <c r="S4082" s="0" t="n">
        <f aca="false">G4082*H4082</f>
        <v>0.25</v>
      </c>
      <c r="T4082" s="0" t="n">
        <f aca="false">E4082*E4082</f>
        <v>0.0625</v>
      </c>
      <c r="U4082" s="0" t="n">
        <f aca="false">F4082*F4082</f>
        <v>0.0625</v>
      </c>
      <c r="V4082" s="0" t="n">
        <f aca="false">G4082*G4082</f>
        <v>0.0625</v>
      </c>
      <c r="W4082" s="0" t="n">
        <f aca="false">H4082*H4082</f>
        <v>1</v>
      </c>
      <c r="X4082" s="0" t="n">
        <f aca="false">SUMPRODUCT(I4082:W4082,_XtX!$B$96:$P$96)</f>
        <v>47.7187454312865</v>
      </c>
      <c r="Y4082" s="0" t="n">
        <f aca="false">SUMPRODUCT(MMULT(I4082:W4082,_XtX!$B$78:$P$92),I4082:W4082)</f>
        <v>0.457466705500731</v>
      </c>
      <c r="Z4082" s="0" t="n">
        <f aca="false">04_回帰ANOVA!$K$19*04_回帰ANOVA!$K$14*SQRT(1+Y4082)</f>
        <v>1.57361220003999</v>
      </c>
      <c r="AA4082" s="0" t="n">
        <f aca="false">X4082-Z4082</f>
        <v>46.1451332312465</v>
      </c>
      <c r="AB4082" s="0" t="n">
        <f aca="false">X4082+Z4082</f>
        <v>49.2923576313265</v>
      </c>
      <c r="AC4082" s="54" t="b">
        <f aca="false">AND(E4082&gt;=01_因子設定!$L$5-0.000000001,E4082&lt;=01_因子設定!$M$5+0.000000001,F4082&gt;=01_因子設定!$L$6-0.000000001,F4082&lt;=01_因子設定!$M$6+0.000000001,G4082&gt;=01_因子設定!$L$7-0.000000001,G4082&lt;=01_因子設定!$M$7+0.000000001,H4082&gt;=01_因子設定!$L$8-0.000000001,H4082&lt;=01_因子設定!$M$8+0.000000001,IF(01_因子設定!$B$20="Box-Behnken",E4082^2+F4082^2+G4082^2+H4082^2&lt;=2+0.000000001,TRUE()))</f>
        <v>1</v>
      </c>
      <c r="AD4082" s="55" t="n">
        <f aca="false">IF(AC4082,IF(01_因子設定!$B$13="最大化",AA4082-01_因子設定!$B$14,IF(01_因子設定!$B$13="最小化",01_因子設定!$B$15-AB4082,MIN(AA4082-01_因子設定!$B$14,01_因子設定!$B$15-AB4082))),-1E+030)</f>
        <v>-0.354866768753467</v>
      </c>
      <c r="AE4082" s="55" t="n">
        <f aca="false">IF(AC4082,IF(01_因子設定!$B$13="最大化",X4082,IF(01_因子設定!$B$13="最小化",-X4082,-ABS(X4082-01_因子設定!$B$16))),-1E+030)</f>
        <v>47.7187454312865</v>
      </c>
      <c r="AF4082" s="55" t="n">
        <f aca="false">AD4082+ROW()*0.000000001</f>
        <v>-0.354862686753467</v>
      </c>
      <c r="AG4082" s="55" t="n">
        <f aca="false">AE4082+ROW()*0.000000001</f>
        <v>47.7187495132865</v>
      </c>
    </row>
    <row r="4083" customFormat="false" ht="15" hidden="false" customHeight="false" outlineLevel="0" collapsed="false">
      <c r="A4083" s="0" t="n">
        <v>5</v>
      </c>
      <c r="B4083" s="0" t="n">
        <v>5</v>
      </c>
      <c r="C4083" s="0" t="n">
        <v>3</v>
      </c>
      <c r="D4083" s="0" t="n">
        <v>1</v>
      </c>
      <c r="E4083" s="0" t="n">
        <f aca="false">-1+A4083*0.25</f>
        <v>0.25</v>
      </c>
      <c r="F4083" s="0" t="n">
        <f aca="false">-1+B4083*0.25</f>
        <v>0.25</v>
      </c>
      <c r="G4083" s="0" t="n">
        <f aca="false">-1+C4083*0.25</f>
        <v>-0.25</v>
      </c>
      <c r="H4083" s="0" t="n">
        <f aca="false">-1+D4083*0.25</f>
        <v>-0.75</v>
      </c>
      <c r="I4083" s="0" t="n">
        <f aca="false">1</f>
        <v>1</v>
      </c>
      <c r="J4083" s="0" t="n">
        <f aca="false">E4083</f>
        <v>0.25</v>
      </c>
      <c r="K4083" s="0" t="n">
        <f aca="false">F4083</f>
        <v>0.25</v>
      </c>
      <c r="L4083" s="0" t="n">
        <f aca="false">G4083</f>
        <v>-0.25</v>
      </c>
      <c r="M4083" s="0" t="n">
        <f aca="false">H4083</f>
        <v>-0.75</v>
      </c>
      <c r="N4083" s="0" t="n">
        <f aca="false">E4083*F4083</f>
        <v>0.0625</v>
      </c>
      <c r="O4083" s="0" t="n">
        <f aca="false">E4083*G4083</f>
        <v>-0.0625</v>
      </c>
      <c r="P4083" s="0" t="n">
        <f aca="false">E4083*H4083</f>
        <v>-0.1875</v>
      </c>
      <c r="Q4083" s="0" t="n">
        <f aca="false">F4083*G4083</f>
        <v>-0.0625</v>
      </c>
      <c r="R4083" s="0" t="n">
        <f aca="false">F4083*H4083</f>
        <v>-0.1875</v>
      </c>
      <c r="S4083" s="0" t="n">
        <f aca="false">G4083*H4083</f>
        <v>0.1875</v>
      </c>
      <c r="T4083" s="0" t="n">
        <f aca="false">E4083*E4083</f>
        <v>0.0625</v>
      </c>
      <c r="U4083" s="0" t="n">
        <f aca="false">F4083*F4083</f>
        <v>0.0625</v>
      </c>
      <c r="V4083" s="0" t="n">
        <f aca="false">G4083*G4083</f>
        <v>0.0625</v>
      </c>
      <c r="W4083" s="0" t="n">
        <f aca="false">H4083*H4083</f>
        <v>0.5625</v>
      </c>
      <c r="X4083" s="0" t="n">
        <f aca="false">SUMPRODUCT(I4083:W4083,_XtX!$B$96:$P$96)</f>
        <v>47.9640213815789</v>
      </c>
      <c r="Y4083" s="0" t="n">
        <f aca="false">SUMPRODUCT(MMULT(I4083:W4083,_XtX!$B$78:$P$92),I4083:W4083)</f>
        <v>0.205926192434211</v>
      </c>
      <c r="Z4083" s="0" t="n">
        <f aca="false">04_回帰ANOVA!$K$19*04_回帰ANOVA!$K$14*SQRT(1+Y4083)</f>
        <v>1.43139256396246</v>
      </c>
      <c r="AA4083" s="0" t="n">
        <f aca="false">X4083-Z4083</f>
        <v>46.5326288176165</v>
      </c>
      <c r="AB4083" s="0" t="n">
        <f aca="false">X4083+Z4083</f>
        <v>49.3954139455414</v>
      </c>
      <c r="AC4083" s="54" t="b">
        <f aca="false">AND(E4083&gt;=01_因子設定!$L$5-0.000000001,E4083&lt;=01_因子設定!$M$5+0.000000001,F4083&gt;=01_因子設定!$L$6-0.000000001,F4083&lt;=01_因子設定!$M$6+0.000000001,G4083&gt;=01_因子設定!$L$7-0.000000001,G4083&lt;=01_因子設定!$M$7+0.000000001,H4083&gt;=01_因子設定!$L$8-0.000000001,H4083&lt;=01_因子設定!$M$8+0.000000001,IF(01_因子設定!$B$20="Box-Behnken",E4083^2+F4083^2+G4083^2+H4083^2&lt;=2+0.000000001,TRUE()))</f>
        <v>1</v>
      </c>
      <c r="AD4083" s="55" t="n">
        <f aca="false">IF(AC4083,IF(01_因子設定!$B$13="最大化",AA4083-01_因子設定!$B$14,IF(01_因子設定!$B$13="最小化",01_因子設定!$B$15-AB4083,MIN(AA4083-01_因子設定!$B$14,01_因子設定!$B$15-AB4083))),-1E+030)</f>
        <v>0.0326288176164482</v>
      </c>
      <c r="AE4083" s="55" t="n">
        <f aca="false">IF(AC4083,IF(01_因子設定!$B$13="最大化",X4083,IF(01_因子設定!$B$13="最小化",-X4083,-ABS(X4083-01_因子設定!$B$16))),-1E+030)</f>
        <v>47.9640213815789</v>
      </c>
      <c r="AF4083" s="55" t="n">
        <f aca="false">AD4083+ROW()*0.000000001</f>
        <v>0.0326329006164482</v>
      </c>
      <c r="AG4083" s="55" t="n">
        <f aca="false">AE4083+ROW()*0.000000001</f>
        <v>47.9640254645789</v>
      </c>
    </row>
    <row r="4084" customFormat="false" ht="15" hidden="false" customHeight="false" outlineLevel="0" collapsed="false">
      <c r="A4084" s="0" t="n">
        <v>5</v>
      </c>
      <c r="B4084" s="0" t="n">
        <v>5</v>
      </c>
      <c r="C4084" s="0" t="n">
        <v>3</v>
      </c>
      <c r="D4084" s="0" t="n">
        <v>2</v>
      </c>
      <c r="E4084" s="0" t="n">
        <f aca="false">-1+A4084*0.25</f>
        <v>0.25</v>
      </c>
      <c r="F4084" s="0" t="n">
        <f aca="false">-1+B4084*0.25</f>
        <v>0.25</v>
      </c>
      <c r="G4084" s="0" t="n">
        <f aca="false">-1+C4084*0.25</f>
        <v>-0.25</v>
      </c>
      <c r="H4084" s="0" t="n">
        <f aca="false">-1+D4084*0.25</f>
        <v>-0.5</v>
      </c>
      <c r="I4084" s="0" t="n">
        <f aca="false">1</f>
        <v>1</v>
      </c>
      <c r="J4084" s="0" t="n">
        <f aca="false">E4084</f>
        <v>0.25</v>
      </c>
      <c r="K4084" s="0" t="n">
        <f aca="false">F4084</f>
        <v>0.25</v>
      </c>
      <c r="L4084" s="0" t="n">
        <f aca="false">G4084</f>
        <v>-0.25</v>
      </c>
      <c r="M4084" s="0" t="n">
        <f aca="false">H4084</f>
        <v>-0.5</v>
      </c>
      <c r="N4084" s="0" t="n">
        <f aca="false">E4084*F4084</f>
        <v>0.0625</v>
      </c>
      <c r="O4084" s="0" t="n">
        <f aca="false">E4084*G4084</f>
        <v>-0.0625</v>
      </c>
      <c r="P4084" s="0" t="n">
        <f aca="false">E4084*H4084</f>
        <v>-0.125</v>
      </c>
      <c r="Q4084" s="0" t="n">
        <f aca="false">F4084*G4084</f>
        <v>-0.0625</v>
      </c>
      <c r="R4084" s="0" t="n">
        <f aca="false">F4084*H4084</f>
        <v>-0.125</v>
      </c>
      <c r="S4084" s="0" t="n">
        <f aca="false">G4084*H4084</f>
        <v>0.125</v>
      </c>
      <c r="T4084" s="0" t="n">
        <f aca="false">E4084*E4084</f>
        <v>0.0625</v>
      </c>
      <c r="U4084" s="0" t="n">
        <f aca="false">F4084*F4084</f>
        <v>0.0625</v>
      </c>
      <c r="V4084" s="0" t="n">
        <f aca="false">G4084*G4084</f>
        <v>0.0625</v>
      </c>
      <c r="W4084" s="0" t="n">
        <f aca="false">H4084*H4084</f>
        <v>0.25</v>
      </c>
      <c r="X4084" s="0" t="n">
        <f aca="false">SUMPRODUCT(I4084:W4084,_XtX!$B$96:$P$96)</f>
        <v>48.1614903143274</v>
      </c>
      <c r="Y4084" s="0" t="n">
        <f aca="false">SUMPRODUCT(MMULT(I4084:W4084,_XtX!$B$78:$P$92),I4084:W4084)</f>
        <v>0.116714923702485</v>
      </c>
      <c r="Z4084" s="0" t="n">
        <f aca="false">04_回帰ANOVA!$K$19*04_回帰ANOVA!$K$14*SQRT(1+Y4084)</f>
        <v>1.37743004820023</v>
      </c>
      <c r="AA4084" s="0" t="n">
        <f aca="false">X4084-Z4084</f>
        <v>46.7840602661272</v>
      </c>
      <c r="AB4084" s="0" t="n">
        <f aca="false">X4084+Z4084</f>
        <v>49.5389203625277</v>
      </c>
      <c r="AC4084" s="54" t="b">
        <f aca="false">AND(E4084&gt;=01_因子設定!$L$5-0.000000001,E4084&lt;=01_因子設定!$M$5+0.000000001,F4084&gt;=01_因子設定!$L$6-0.000000001,F4084&lt;=01_因子設定!$M$6+0.000000001,G4084&gt;=01_因子設定!$L$7-0.000000001,G4084&lt;=01_因子設定!$M$7+0.000000001,H4084&gt;=01_因子設定!$L$8-0.000000001,H4084&lt;=01_因子設定!$M$8+0.000000001,IF(01_因子設定!$B$20="Box-Behnken",E4084^2+F4084^2+G4084^2+H4084^2&lt;=2+0.000000001,TRUE()))</f>
        <v>1</v>
      </c>
      <c r="AD4084" s="55" t="n">
        <f aca="false">IF(AC4084,IF(01_因子設定!$B$13="最大化",AA4084-01_因子設定!$B$14,IF(01_因子設定!$B$13="最小化",01_因子設定!$B$15-AB4084,MIN(AA4084-01_因子設定!$B$14,01_因子設定!$B$15-AB4084))),-1E+030)</f>
        <v>0.284060266127213</v>
      </c>
      <c r="AE4084" s="55" t="n">
        <f aca="false">IF(AC4084,IF(01_因子設定!$B$13="最大化",X4084,IF(01_因子設定!$B$13="最小化",-X4084,-ABS(X4084-01_因子設定!$B$16))),-1E+030)</f>
        <v>48.1614903143274</v>
      </c>
      <c r="AF4084" s="55" t="n">
        <f aca="false">AD4084+ROW()*0.000000001</f>
        <v>0.284064350127213</v>
      </c>
      <c r="AG4084" s="55" t="n">
        <f aca="false">AE4084+ROW()*0.000000001</f>
        <v>48.1614943983274</v>
      </c>
    </row>
    <row r="4085" customFormat="false" ht="15" hidden="false" customHeight="false" outlineLevel="0" collapsed="false">
      <c r="A4085" s="0" t="n">
        <v>5</v>
      </c>
      <c r="B4085" s="0" t="n">
        <v>5</v>
      </c>
      <c r="C4085" s="0" t="n">
        <v>3</v>
      </c>
      <c r="D4085" s="0" t="n">
        <v>3</v>
      </c>
      <c r="E4085" s="0" t="n">
        <f aca="false">-1+A4085*0.25</f>
        <v>0.25</v>
      </c>
      <c r="F4085" s="0" t="n">
        <f aca="false">-1+B4085*0.25</f>
        <v>0.25</v>
      </c>
      <c r="G4085" s="0" t="n">
        <f aca="false">-1+C4085*0.25</f>
        <v>-0.25</v>
      </c>
      <c r="H4085" s="0" t="n">
        <f aca="false">-1+D4085*0.25</f>
        <v>-0.25</v>
      </c>
      <c r="I4085" s="0" t="n">
        <f aca="false">1</f>
        <v>1</v>
      </c>
      <c r="J4085" s="0" t="n">
        <f aca="false">E4085</f>
        <v>0.25</v>
      </c>
      <c r="K4085" s="0" t="n">
        <f aca="false">F4085</f>
        <v>0.25</v>
      </c>
      <c r="L4085" s="0" t="n">
        <f aca="false">G4085</f>
        <v>-0.25</v>
      </c>
      <c r="M4085" s="0" t="n">
        <f aca="false">H4085</f>
        <v>-0.25</v>
      </c>
      <c r="N4085" s="0" t="n">
        <f aca="false">E4085*F4085</f>
        <v>0.0625</v>
      </c>
      <c r="O4085" s="0" t="n">
        <f aca="false">E4085*G4085</f>
        <v>-0.0625</v>
      </c>
      <c r="P4085" s="0" t="n">
        <f aca="false">E4085*H4085</f>
        <v>-0.0625</v>
      </c>
      <c r="Q4085" s="0" t="n">
        <f aca="false">F4085*G4085</f>
        <v>-0.0625</v>
      </c>
      <c r="R4085" s="0" t="n">
        <f aca="false">F4085*H4085</f>
        <v>-0.0625</v>
      </c>
      <c r="S4085" s="0" t="n">
        <f aca="false">G4085*H4085</f>
        <v>0.0625</v>
      </c>
      <c r="T4085" s="0" t="n">
        <f aca="false">E4085*E4085</f>
        <v>0.0625</v>
      </c>
      <c r="U4085" s="0" t="n">
        <f aca="false">F4085*F4085</f>
        <v>0.0625</v>
      </c>
      <c r="V4085" s="0" t="n">
        <f aca="false">G4085*G4085</f>
        <v>0.0625</v>
      </c>
      <c r="W4085" s="0" t="n">
        <f aca="false">H4085*H4085</f>
        <v>0.0625</v>
      </c>
      <c r="X4085" s="0" t="n">
        <f aca="false">SUMPRODUCT(I4085:W4085,_XtX!$B$96:$P$96)</f>
        <v>48.3111522295321</v>
      </c>
      <c r="Y4085" s="0" t="n">
        <f aca="false">SUMPRODUCT(MMULT(I4085:W4085,_XtX!$B$78:$P$92),I4085:W4085)</f>
        <v>0.0993723729897661</v>
      </c>
      <c r="Z4085" s="0" t="n">
        <f aca="false">04_回帰ANOVA!$K$19*04_回帰ANOVA!$K$14*SQRT(1+Y4085)</f>
        <v>1.36669247195631</v>
      </c>
      <c r="AA4085" s="0" t="n">
        <f aca="false">X4085-Z4085</f>
        <v>46.9444597575758</v>
      </c>
      <c r="AB4085" s="0" t="n">
        <f aca="false">X4085+Z4085</f>
        <v>49.6778447014884</v>
      </c>
      <c r="AC4085" s="54" t="b">
        <f aca="false">AND(E4085&gt;=01_因子設定!$L$5-0.000000001,E4085&lt;=01_因子設定!$M$5+0.000000001,F4085&gt;=01_因子設定!$L$6-0.000000001,F4085&lt;=01_因子設定!$M$6+0.000000001,G4085&gt;=01_因子設定!$L$7-0.000000001,G4085&lt;=01_因子設定!$M$7+0.000000001,H4085&gt;=01_因子設定!$L$8-0.000000001,H4085&lt;=01_因子設定!$M$8+0.000000001,IF(01_因子設定!$B$20="Box-Behnken",E4085^2+F4085^2+G4085^2+H4085^2&lt;=2+0.000000001,TRUE()))</f>
        <v>1</v>
      </c>
      <c r="AD4085" s="55" t="n">
        <f aca="false">IF(AC4085,IF(01_因子設定!$B$13="最大化",AA4085-01_因子設定!$B$14,IF(01_因子設定!$B$13="最小化",01_因子設定!$B$15-AB4085,MIN(AA4085-01_因子設定!$B$14,01_因子設定!$B$15-AB4085))),-1E+030)</f>
        <v>0.444459757575793</v>
      </c>
      <c r="AE4085" s="55" t="n">
        <f aca="false">IF(AC4085,IF(01_因子設定!$B$13="最大化",X4085,IF(01_因子設定!$B$13="最小化",-X4085,-ABS(X4085-01_因子設定!$B$16))),-1E+030)</f>
        <v>48.3111522295321</v>
      </c>
      <c r="AF4085" s="55" t="n">
        <f aca="false">AD4085+ROW()*0.000000001</f>
        <v>0.444463842575792</v>
      </c>
      <c r="AG4085" s="55" t="n">
        <f aca="false">AE4085+ROW()*0.000000001</f>
        <v>48.3111563145321</v>
      </c>
    </row>
    <row r="4086" customFormat="false" ht="15" hidden="false" customHeight="false" outlineLevel="0" collapsed="false">
      <c r="A4086" s="0" t="n">
        <v>5</v>
      </c>
      <c r="B4086" s="0" t="n">
        <v>5</v>
      </c>
      <c r="C4086" s="0" t="n">
        <v>3</v>
      </c>
      <c r="D4086" s="0" t="n">
        <v>4</v>
      </c>
      <c r="E4086" s="0" t="n">
        <f aca="false">-1+A4086*0.25</f>
        <v>0.25</v>
      </c>
      <c r="F4086" s="0" t="n">
        <f aca="false">-1+B4086*0.25</f>
        <v>0.25</v>
      </c>
      <c r="G4086" s="0" t="n">
        <f aca="false">-1+C4086*0.25</f>
        <v>-0.25</v>
      </c>
      <c r="H4086" s="0" t="n">
        <f aca="false">-1+D4086*0.25</f>
        <v>0</v>
      </c>
      <c r="I4086" s="0" t="n">
        <f aca="false">1</f>
        <v>1</v>
      </c>
      <c r="J4086" s="0" t="n">
        <f aca="false">E4086</f>
        <v>0.25</v>
      </c>
      <c r="K4086" s="0" t="n">
        <f aca="false">F4086</f>
        <v>0.25</v>
      </c>
      <c r="L4086" s="0" t="n">
        <f aca="false">G4086</f>
        <v>-0.25</v>
      </c>
      <c r="M4086" s="0" t="n">
        <f aca="false">H4086</f>
        <v>0</v>
      </c>
      <c r="N4086" s="0" t="n">
        <f aca="false">E4086*F4086</f>
        <v>0.0625</v>
      </c>
      <c r="O4086" s="0" t="n">
        <f aca="false">E4086*G4086</f>
        <v>-0.0625</v>
      </c>
      <c r="P4086" s="0" t="n">
        <f aca="false">E4086*H4086</f>
        <v>0</v>
      </c>
      <c r="Q4086" s="0" t="n">
        <f aca="false">F4086*G4086</f>
        <v>-0.0625</v>
      </c>
      <c r="R4086" s="0" t="n">
        <f aca="false">F4086*H4086</f>
        <v>0</v>
      </c>
      <c r="S4086" s="0" t="n">
        <f aca="false">G4086*H4086</f>
        <v>-0</v>
      </c>
      <c r="T4086" s="0" t="n">
        <f aca="false">E4086*E4086</f>
        <v>0.0625</v>
      </c>
      <c r="U4086" s="0" t="n">
        <f aca="false">F4086*F4086</f>
        <v>0.0625</v>
      </c>
      <c r="V4086" s="0" t="n">
        <f aca="false">G4086*G4086</f>
        <v>0.0625</v>
      </c>
      <c r="W4086" s="0" t="n">
        <f aca="false">H4086*H4086</f>
        <v>0</v>
      </c>
      <c r="X4086" s="0" t="n">
        <f aca="false">SUMPRODUCT(I4086:W4086,_XtX!$B$96:$P$96)</f>
        <v>48.4130071271929</v>
      </c>
      <c r="Y4086" s="0" t="n">
        <f aca="false">SUMPRODUCT(MMULT(I4086:W4086,_XtX!$B$78:$P$92),I4086:W4086)</f>
        <v>0.099622224506579</v>
      </c>
      <c r="Z4086" s="0" t="n">
        <f aca="false">04_回帰ANOVA!$K$19*04_回帰ANOVA!$K$14*SQRT(1+Y4086)</f>
        <v>1.3668477654658</v>
      </c>
      <c r="AA4086" s="0" t="n">
        <f aca="false">X4086-Z4086</f>
        <v>47.0461593617271</v>
      </c>
      <c r="AB4086" s="0" t="n">
        <f aca="false">X4086+Z4086</f>
        <v>49.7798548926587</v>
      </c>
      <c r="AC4086" s="54" t="b">
        <f aca="false">AND(E4086&gt;=01_因子設定!$L$5-0.000000001,E4086&lt;=01_因子設定!$M$5+0.000000001,F4086&gt;=01_因子設定!$L$6-0.000000001,F4086&lt;=01_因子設定!$M$6+0.000000001,G4086&gt;=01_因子設定!$L$7-0.000000001,G4086&lt;=01_因子設定!$M$7+0.000000001,H4086&gt;=01_因子設定!$L$8-0.000000001,H4086&lt;=01_因子設定!$M$8+0.000000001,IF(01_因子設定!$B$20="Box-Behnken",E4086^2+F4086^2+G4086^2+H4086^2&lt;=2+0.000000001,TRUE()))</f>
        <v>1</v>
      </c>
      <c r="AD4086" s="55" t="n">
        <f aca="false">IF(AC4086,IF(01_因子設定!$B$13="最大化",AA4086-01_因子設定!$B$14,IF(01_因子設定!$B$13="最小化",01_因子設定!$B$15-AB4086,MIN(AA4086-01_因子設定!$B$14,01_因子設定!$B$15-AB4086))),-1E+030)</f>
        <v>0.546159361727121</v>
      </c>
      <c r="AE4086" s="55" t="n">
        <f aca="false">IF(AC4086,IF(01_因子設定!$B$13="最大化",X4086,IF(01_因子設定!$B$13="最小化",-X4086,-ABS(X4086-01_因子設定!$B$16))),-1E+030)</f>
        <v>48.4130071271929</v>
      </c>
      <c r="AF4086" s="55" t="n">
        <f aca="false">AD4086+ROW()*0.000000001</f>
        <v>0.546163447727121</v>
      </c>
      <c r="AG4086" s="55" t="n">
        <f aca="false">AE4086+ROW()*0.000000001</f>
        <v>48.4130112131929</v>
      </c>
    </row>
    <row r="4087" customFormat="false" ht="15" hidden="false" customHeight="false" outlineLevel="0" collapsed="false">
      <c r="A4087" s="0" t="n">
        <v>5</v>
      </c>
      <c r="B4087" s="0" t="n">
        <v>5</v>
      </c>
      <c r="C4087" s="0" t="n">
        <v>3</v>
      </c>
      <c r="D4087" s="0" t="n">
        <v>5</v>
      </c>
      <c r="E4087" s="0" t="n">
        <f aca="false">-1+A4087*0.25</f>
        <v>0.25</v>
      </c>
      <c r="F4087" s="0" t="n">
        <f aca="false">-1+B4087*0.25</f>
        <v>0.25</v>
      </c>
      <c r="G4087" s="0" t="n">
        <f aca="false">-1+C4087*0.25</f>
        <v>-0.25</v>
      </c>
      <c r="H4087" s="0" t="n">
        <f aca="false">-1+D4087*0.25</f>
        <v>0.25</v>
      </c>
      <c r="I4087" s="0" t="n">
        <f aca="false">1</f>
        <v>1</v>
      </c>
      <c r="J4087" s="0" t="n">
        <f aca="false">E4087</f>
        <v>0.25</v>
      </c>
      <c r="K4087" s="0" t="n">
        <f aca="false">F4087</f>
        <v>0.25</v>
      </c>
      <c r="L4087" s="0" t="n">
        <f aca="false">G4087</f>
        <v>-0.25</v>
      </c>
      <c r="M4087" s="0" t="n">
        <f aca="false">H4087</f>
        <v>0.25</v>
      </c>
      <c r="N4087" s="0" t="n">
        <f aca="false">E4087*F4087</f>
        <v>0.0625</v>
      </c>
      <c r="O4087" s="0" t="n">
        <f aca="false">E4087*G4087</f>
        <v>-0.0625</v>
      </c>
      <c r="P4087" s="0" t="n">
        <f aca="false">E4087*H4087</f>
        <v>0.0625</v>
      </c>
      <c r="Q4087" s="0" t="n">
        <f aca="false">F4087*G4087</f>
        <v>-0.0625</v>
      </c>
      <c r="R4087" s="0" t="n">
        <f aca="false">F4087*H4087</f>
        <v>0.0625</v>
      </c>
      <c r="S4087" s="0" t="n">
        <f aca="false">G4087*H4087</f>
        <v>-0.0625</v>
      </c>
      <c r="T4087" s="0" t="n">
        <f aca="false">E4087*E4087</f>
        <v>0.0625</v>
      </c>
      <c r="U4087" s="0" t="n">
        <f aca="false">F4087*F4087</f>
        <v>0.0625</v>
      </c>
      <c r="V4087" s="0" t="n">
        <f aca="false">G4087*G4087</f>
        <v>0.0625</v>
      </c>
      <c r="W4087" s="0" t="n">
        <f aca="false">H4087*H4087</f>
        <v>0.0625</v>
      </c>
      <c r="X4087" s="0" t="n">
        <f aca="false">SUMPRODUCT(I4087:W4087,_XtX!$B$96:$P$96)</f>
        <v>48.4670550073099</v>
      </c>
      <c r="Y4087" s="0" t="n">
        <f aca="false">SUMPRODUCT(MMULT(I4087:W4087,_XtX!$B$78:$P$92),I4087:W4087)</f>
        <v>0.0993723729897661</v>
      </c>
      <c r="Z4087" s="0" t="n">
        <f aca="false">04_回帰ANOVA!$K$19*04_回帰ANOVA!$K$14*SQRT(1+Y4087)</f>
        <v>1.36669247195631</v>
      </c>
      <c r="AA4087" s="0" t="n">
        <f aca="false">X4087-Z4087</f>
        <v>47.1003625353536</v>
      </c>
      <c r="AB4087" s="0" t="n">
        <f aca="false">X4087+Z4087</f>
        <v>49.8337474792662</v>
      </c>
      <c r="AC4087" s="54" t="b">
        <f aca="false">AND(E4087&gt;=01_因子設定!$L$5-0.000000001,E4087&lt;=01_因子設定!$M$5+0.000000001,F4087&gt;=01_因子設定!$L$6-0.000000001,F4087&lt;=01_因子設定!$M$6+0.000000001,G4087&gt;=01_因子設定!$L$7-0.000000001,G4087&lt;=01_因子設定!$M$7+0.000000001,H4087&gt;=01_因子設定!$L$8-0.000000001,H4087&lt;=01_因子設定!$M$8+0.000000001,IF(01_因子設定!$B$20="Box-Behnken",E4087^2+F4087^2+G4087^2+H4087^2&lt;=2+0.000000001,TRUE()))</f>
        <v>1</v>
      </c>
      <c r="AD4087" s="55" t="n">
        <f aca="false">IF(AC4087,IF(01_因子設定!$B$13="最大化",AA4087-01_因子設定!$B$14,IF(01_因子設定!$B$13="最小化",01_因子設定!$B$15-AB4087,MIN(AA4087-01_因子設定!$B$14,01_因子設定!$B$15-AB4087))),-1E+030)</f>
        <v>0.600362535353568</v>
      </c>
      <c r="AE4087" s="55" t="n">
        <f aca="false">IF(AC4087,IF(01_因子設定!$B$13="最大化",X4087,IF(01_因子設定!$B$13="最小化",-X4087,-ABS(X4087-01_因子設定!$B$16))),-1E+030)</f>
        <v>48.4670550073099</v>
      </c>
      <c r="AF4087" s="55" t="n">
        <f aca="false">AD4087+ROW()*0.000000001</f>
        <v>0.600366622353568</v>
      </c>
      <c r="AG4087" s="55" t="n">
        <f aca="false">AE4087+ROW()*0.000000001</f>
        <v>48.4670590943099</v>
      </c>
    </row>
    <row r="4088" customFormat="false" ht="15" hidden="false" customHeight="false" outlineLevel="0" collapsed="false">
      <c r="A4088" s="0" t="n">
        <v>5</v>
      </c>
      <c r="B4088" s="0" t="n">
        <v>5</v>
      </c>
      <c r="C4088" s="0" t="n">
        <v>3</v>
      </c>
      <c r="D4088" s="0" t="n">
        <v>6</v>
      </c>
      <c r="E4088" s="0" t="n">
        <f aca="false">-1+A4088*0.25</f>
        <v>0.25</v>
      </c>
      <c r="F4088" s="0" t="n">
        <f aca="false">-1+B4088*0.25</f>
        <v>0.25</v>
      </c>
      <c r="G4088" s="0" t="n">
        <f aca="false">-1+C4088*0.25</f>
        <v>-0.25</v>
      </c>
      <c r="H4088" s="0" t="n">
        <f aca="false">-1+D4088*0.25</f>
        <v>0.5</v>
      </c>
      <c r="I4088" s="0" t="n">
        <f aca="false">1</f>
        <v>1</v>
      </c>
      <c r="J4088" s="0" t="n">
        <f aca="false">E4088</f>
        <v>0.25</v>
      </c>
      <c r="K4088" s="0" t="n">
        <f aca="false">F4088</f>
        <v>0.25</v>
      </c>
      <c r="L4088" s="0" t="n">
        <f aca="false">G4088</f>
        <v>-0.25</v>
      </c>
      <c r="M4088" s="0" t="n">
        <f aca="false">H4088</f>
        <v>0.5</v>
      </c>
      <c r="N4088" s="0" t="n">
        <f aca="false">E4088*F4088</f>
        <v>0.0625</v>
      </c>
      <c r="O4088" s="0" t="n">
        <f aca="false">E4088*G4088</f>
        <v>-0.0625</v>
      </c>
      <c r="P4088" s="0" t="n">
        <f aca="false">E4088*H4088</f>
        <v>0.125</v>
      </c>
      <c r="Q4088" s="0" t="n">
        <f aca="false">F4088*G4088</f>
        <v>-0.0625</v>
      </c>
      <c r="R4088" s="0" t="n">
        <f aca="false">F4088*H4088</f>
        <v>0.125</v>
      </c>
      <c r="S4088" s="0" t="n">
        <f aca="false">G4088*H4088</f>
        <v>-0.125</v>
      </c>
      <c r="T4088" s="0" t="n">
        <f aca="false">E4088*E4088</f>
        <v>0.0625</v>
      </c>
      <c r="U4088" s="0" t="n">
        <f aca="false">F4088*F4088</f>
        <v>0.0625</v>
      </c>
      <c r="V4088" s="0" t="n">
        <f aca="false">G4088*G4088</f>
        <v>0.0625</v>
      </c>
      <c r="W4088" s="0" t="n">
        <f aca="false">H4088*H4088</f>
        <v>0.25</v>
      </c>
      <c r="X4088" s="0" t="n">
        <f aca="false">SUMPRODUCT(I4088:W4088,_XtX!$B$96:$P$96)</f>
        <v>48.473295869883</v>
      </c>
      <c r="Y4088" s="0" t="n">
        <f aca="false">SUMPRODUCT(MMULT(I4088:W4088,_XtX!$B$78:$P$92),I4088:W4088)</f>
        <v>0.116714923702485</v>
      </c>
      <c r="Z4088" s="0" t="n">
        <f aca="false">04_回帰ANOVA!$K$19*04_回帰ANOVA!$K$14*SQRT(1+Y4088)</f>
        <v>1.37743004820023</v>
      </c>
      <c r="AA4088" s="0" t="n">
        <f aca="false">X4088-Z4088</f>
        <v>47.0958658216828</v>
      </c>
      <c r="AB4088" s="0" t="n">
        <f aca="false">X4088+Z4088</f>
        <v>49.8507259180832</v>
      </c>
      <c r="AC4088" s="54" t="b">
        <f aca="false">AND(E4088&gt;=01_因子設定!$L$5-0.000000001,E4088&lt;=01_因子設定!$M$5+0.000000001,F4088&gt;=01_因子設定!$L$6-0.000000001,F4088&lt;=01_因子設定!$M$6+0.000000001,G4088&gt;=01_因子設定!$L$7-0.000000001,G4088&lt;=01_因子設定!$M$7+0.000000001,H4088&gt;=01_因子設定!$L$8-0.000000001,H4088&lt;=01_因子設定!$M$8+0.000000001,IF(01_因子設定!$B$20="Box-Behnken",E4088^2+F4088^2+G4088^2+H4088^2&lt;=2+0.000000001,TRUE()))</f>
        <v>1</v>
      </c>
      <c r="AD4088" s="55" t="n">
        <f aca="false">IF(AC4088,IF(01_因子設定!$B$13="最大化",AA4088-01_因子設定!$B$14,IF(01_因子設定!$B$13="最小化",01_因子設定!$B$15-AB4088,MIN(AA4088-01_因子設定!$B$14,01_因子設定!$B$15-AB4088))),-1E+030)</f>
        <v>0.595865821682764</v>
      </c>
      <c r="AE4088" s="55" t="n">
        <f aca="false">IF(AC4088,IF(01_因子設定!$B$13="最大化",X4088,IF(01_因子設定!$B$13="最小化",-X4088,-ABS(X4088-01_因子設定!$B$16))),-1E+030)</f>
        <v>48.473295869883</v>
      </c>
      <c r="AF4088" s="55" t="n">
        <f aca="false">AD4088+ROW()*0.000000001</f>
        <v>0.595869909682764</v>
      </c>
      <c r="AG4088" s="55" t="n">
        <f aca="false">AE4088+ROW()*0.000000001</f>
        <v>48.473299957883</v>
      </c>
    </row>
    <row r="4089" customFormat="false" ht="15" hidden="false" customHeight="false" outlineLevel="0" collapsed="false">
      <c r="A4089" s="0" t="n">
        <v>5</v>
      </c>
      <c r="B4089" s="0" t="n">
        <v>5</v>
      </c>
      <c r="C4089" s="0" t="n">
        <v>3</v>
      </c>
      <c r="D4089" s="0" t="n">
        <v>7</v>
      </c>
      <c r="E4089" s="0" t="n">
        <f aca="false">-1+A4089*0.25</f>
        <v>0.25</v>
      </c>
      <c r="F4089" s="0" t="n">
        <f aca="false">-1+B4089*0.25</f>
        <v>0.25</v>
      </c>
      <c r="G4089" s="0" t="n">
        <f aca="false">-1+C4089*0.25</f>
        <v>-0.25</v>
      </c>
      <c r="H4089" s="0" t="n">
        <f aca="false">-1+D4089*0.25</f>
        <v>0.75</v>
      </c>
      <c r="I4089" s="0" t="n">
        <f aca="false">1</f>
        <v>1</v>
      </c>
      <c r="J4089" s="0" t="n">
        <f aca="false">E4089</f>
        <v>0.25</v>
      </c>
      <c r="K4089" s="0" t="n">
        <f aca="false">F4089</f>
        <v>0.25</v>
      </c>
      <c r="L4089" s="0" t="n">
        <f aca="false">G4089</f>
        <v>-0.25</v>
      </c>
      <c r="M4089" s="0" t="n">
        <f aca="false">H4089</f>
        <v>0.75</v>
      </c>
      <c r="N4089" s="0" t="n">
        <f aca="false">E4089*F4089</f>
        <v>0.0625</v>
      </c>
      <c r="O4089" s="0" t="n">
        <f aca="false">E4089*G4089</f>
        <v>-0.0625</v>
      </c>
      <c r="P4089" s="0" t="n">
        <f aca="false">E4089*H4089</f>
        <v>0.1875</v>
      </c>
      <c r="Q4089" s="0" t="n">
        <f aca="false">F4089*G4089</f>
        <v>-0.0625</v>
      </c>
      <c r="R4089" s="0" t="n">
        <f aca="false">F4089*H4089</f>
        <v>0.1875</v>
      </c>
      <c r="S4089" s="0" t="n">
        <f aca="false">G4089*H4089</f>
        <v>-0.1875</v>
      </c>
      <c r="T4089" s="0" t="n">
        <f aca="false">E4089*E4089</f>
        <v>0.0625</v>
      </c>
      <c r="U4089" s="0" t="n">
        <f aca="false">F4089*F4089</f>
        <v>0.0625</v>
      </c>
      <c r="V4089" s="0" t="n">
        <f aca="false">G4089*G4089</f>
        <v>0.0625</v>
      </c>
      <c r="W4089" s="0" t="n">
        <f aca="false">H4089*H4089</f>
        <v>0.5625</v>
      </c>
      <c r="X4089" s="0" t="n">
        <f aca="false">SUMPRODUCT(I4089:W4089,_XtX!$B$96:$P$96)</f>
        <v>48.4317297149122</v>
      </c>
      <c r="Y4089" s="0" t="n">
        <f aca="false">SUMPRODUCT(MMULT(I4089:W4089,_XtX!$B$78:$P$92),I4089:W4089)</f>
        <v>0.205926192434211</v>
      </c>
      <c r="Z4089" s="0" t="n">
        <f aca="false">04_回帰ANOVA!$K$19*04_回帰ANOVA!$K$14*SQRT(1+Y4089)</f>
        <v>1.43139256396246</v>
      </c>
      <c r="AA4089" s="0" t="n">
        <f aca="false">X4089-Z4089</f>
        <v>47.0003371509498</v>
      </c>
      <c r="AB4089" s="0" t="n">
        <f aca="false">X4089+Z4089</f>
        <v>49.8631222788747</v>
      </c>
      <c r="AC4089" s="54" t="b">
        <f aca="false">AND(E4089&gt;=01_因子設定!$L$5-0.000000001,E4089&lt;=01_因子設定!$M$5+0.000000001,F4089&gt;=01_因子設定!$L$6-0.000000001,F4089&lt;=01_因子設定!$M$6+0.000000001,G4089&gt;=01_因子設定!$L$7-0.000000001,G4089&lt;=01_因子設定!$M$7+0.000000001,H4089&gt;=01_因子設定!$L$8-0.000000001,H4089&lt;=01_因子設定!$M$8+0.000000001,IF(01_因子設定!$B$20="Box-Behnken",E4089^2+F4089^2+G4089^2+H4089^2&lt;=2+0.000000001,TRUE()))</f>
        <v>1</v>
      </c>
      <c r="AD4089" s="55" t="n">
        <f aca="false">IF(AC4089,IF(01_因子設定!$B$13="最大化",AA4089-01_因子設定!$B$14,IF(01_因子設定!$B$13="最小化",01_因子設定!$B$15-AB4089,MIN(AA4089-01_因子設定!$B$14,01_因子設定!$B$15-AB4089))),-1E+030)</f>
        <v>0.500337150949775</v>
      </c>
      <c r="AE4089" s="55" t="n">
        <f aca="false">IF(AC4089,IF(01_因子設定!$B$13="最大化",X4089,IF(01_因子設定!$B$13="最小化",-X4089,-ABS(X4089-01_因子設定!$B$16))),-1E+030)</f>
        <v>48.4317297149122</v>
      </c>
      <c r="AF4089" s="55" t="n">
        <f aca="false">AD4089+ROW()*0.000000001</f>
        <v>0.500341239949775</v>
      </c>
      <c r="AG4089" s="55" t="n">
        <f aca="false">AE4089+ROW()*0.000000001</f>
        <v>48.4317338039122</v>
      </c>
    </row>
    <row r="4090" customFormat="false" ht="15" hidden="false" customHeight="false" outlineLevel="0" collapsed="false">
      <c r="A4090" s="0" t="n">
        <v>5</v>
      </c>
      <c r="B4090" s="0" t="n">
        <v>5</v>
      </c>
      <c r="C4090" s="0" t="n">
        <v>3</v>
      </c>
      <c r="D4090" s="0" t="n">
        <v>8</v>
      </c>
      <c r="E4090" s="0" t="n">
        <f aca="false">-1+A4090*0.25</f>
        <v>0.25</v>
      </c>
      <c r="F4090" s="0" t="n">
        <f aca="false">-1+B4090*0.25</f>
        <v>0.25</v>
      </c>
      <c r="G4090" s="0" t="n">
        <f aca="false">-1+C4090*0.25</f>
        <v>-0.25</v>
      </c>
      <c r="H4090" s="0" t="n">
        <f aca="false">-1+D4090*0.25</f>
        <v>1</v>
      </c>
      <c r="I4090" s="0" t="n">
        <f aca="false">1</f>
        <v>1</v>
      </c>
      <c r="J4090" s="0" t="n">
        <f aca="false">E4090</f>
        <v>0.25</v>
      </c>
      <c r="K4090" s="0" t="n">
        <f aca="false">F4090</f>
        <v>0.25</v>
      </c>
      <c r="L4090" s="0" t="n">
        <f aca="false">G4090</f>
        <v>-0.25</v>
      </c>
      <c r="M4090" s="0" t="n">
        <f aca="false">H4090</f>
        <v>1</v>
      </c>
      <c r="N4090" s="0" t="n">
        <f aca="false">E4090*F4090</f>
        <v>0.0625</v>
      </c>
      <c r="O4090" s="0" t="n">
        <f aca="false">E4090*G4090</f>
        <v>-0.0625</v>
      </c>
      <c r="P4090" s="0" t="n">
        <f aca="false">E4090*H4090</f>
        <v>0.25</v>
      </c>
      <c r="Q4090" s="0" t="n">
        <f aca="false">F4090*G4090</f>
        <v>-0.0625</v>
      </c>
      <c r="R4090" s="0" t="n">
        <f aca="false">F4090*H4090</f>
        <v>0.25</v>
      </c>
      <c r="S4090" s="0" t="n">
        <f aca="false">G4090*H4090</f>
        <v>-0.25</v>
      </c>
      <c r="T4090" s="0" t="n">
        <f aca="false">E4090*E4090</f>
        <v>0.0625</v>
      </c>
      <c r="U4090" s="0" t="n">
        <f aca="false">F4090*F4090</f>
        <v>0.0625</v>
      </c>
      <c r="V4090" s="0" t="n">
        <f aca="false">G4090*G4090</f>
        <v>0.0625</v>
      </c>
      <c r="W4090" s="0" t="n">
        <f aca="false">H4090*H4090</f>
        <v>1</v>
      </c>
      <c r="X4090" s="0" t="n">
        <f aca="false">SUMPRODUCT(I4090:W4090,_XtX!$B$96:$P$96)</f>
        <v>48.3423565423976</v>
      </c>
      <c r="Y4090" s="0" t="n">
        <f aca="false">SUMPRODUCT(MMULT(I4090:W4090,_XtX!$B$78:$P$92),I4090:W4090)</f>
        <v>0.457466705500731</v>
      </c>
      <c r="Z4090" s="0" t="n">
        <f aca="false">04_回帰ANOVA!$K$19*04_回帰ANOVA!$K$14*SQRT(1+Y4090)</f>
        <v>1.57361220003999</v>
      </c>
      <c r="AA4090" s="0" t="n">
        <f aca="false">X4090-Z4090</f>
        <v>46.7687443423576</v>
      </c>
      <c r="AB4090" s="0" t="n">
        <f aca="false">X4090+Z4090</f>
        <v>49.9159687424376</v>
      </c>
      <c r="AC4090" s="54" t="b">
        <f aca="false">AND(E4090&gt;=01_因子設定!$L$5-0.000000001,E4090&lt;=01_因子設定!$M$5+0.000000001,F4090&gt;=01_因子設定!$L$6-0.000000001,F4090&lt;=01_因子設定!$M$6+0.000000001,G4090&gt;=01_因子設定!$L$7-0.000000001,G4090&lt;=01_因子設定!$M$7+0.000000001,H4090&gt;=01_因子設定!$L$8-0.000000001,H4090&lt;=01_因子設定!$M$8+0.000000001,IF(01_因子設定!$B$20="Box-Behnken",E4090^2+F4090^2+G4090^2+H4090^2&lt;=2+0.000000001,TRUE()))</f>
        <v>1</v>
      </c>
      <c r="AD4090" s="55" t="n">
        <f aca="false">IF(AC4090,IF(01_因子設定!$B$13="最大化",AA4090-01_因子設定!$B$14,IF(01_因子設定!$B$13="最小化",01_因子設定!$B$15-AB4090,MIN(AA4090-01_因子設定!$B$14,01_因子設定!$B$15-AB4090))),-1E+030)</f>
        <v>0.268744342357643</v>
      </c>
      <c r="AE4090" s="55" t="n">
        <f aca="false">IF(AC4090,IF(01_因子設定!$B$13="最大化",X4090,IF(01_因子設定!$B$13="最小化",-X4090,-ABS(X4090-01_因子設定!$B$16))),-1E+030)</f>
        <v>48.3423565423976</v>
      </c>
      <c r="AF4090" s="55" t="n">
        <f aca="false">AD4090+ROW()*0.000000001</f>
        <v>0.268748432357643</v>
      </c>
      <c r="AG4090" s="55" t="n">
        <f aca="false">AE4090+ROW()*0.000000001</f>
        <v>48.3423606323976</v>
      </c>
    </row>
    <row r="4091" customFormat="false" ht="15" hidden="false" customHeight="false" outlineLevel="0" collapsed="false">
      <c r="A4091" s="0" t="n">
        <v>5</v>
      </c>
      <c r="B4091" s="0" t="n">
        <v>5</v>
      </c>
      <c r="C4091" s="0" t="n">
        <v>4</v>
      </c>
      <c r="D4091" s="0" t="n">
        <v>0</v>
      </c>
      <c r="E4091" s="0" t="n">
        <f aca="false">-1+A4091*0.25</f>
        <v>0.25</v>
      </c>
      <c r="F4091" s="0" t="n">
        <f aca="false">-1+B4091*0.25</f>
        <v>0.25</v>
      </c>
      <c r="G4091" s="0" t="n">
        <f aca="false">-1+C4091*0.25</f>
        <v>0</v>
      </c>
      <c r="H4091" s="0" t="n">
        <f aca="false">-1+D4091*0.25</f>
        <v>-1</v>
      </c>
      <c r="I4091" s="0" t="n">
        <f aca="false">1</f>
        <v>1</v>
      </c>
      <c r="J4091" s="0" t="n">
        <f aca="false">E4091</f>
        <v>0.25</v>
      </c>
      <c r="K4091" s="0" t="n">
        <f aca="false">F4091</f>
        <v>0.25</v>
      </c>
      <c r="L4091" s="0" t="n">
        <f aca="false">G4091</f>
        <v>0</v>
      </c>
      <c r="M4091" s="0" t="n">
        <f aca="false">H4091</f>
        <v>-1</v>
      </c>
      <c r="N4091" s="0" t="n">
        <f aca="false">E4091*F4091</f>
        <v>0.0625</v>
      </c>
      <c r="O4091" s="0" t="n">
        <f aca="false">E4091*G4091</f>
        <v>0</v>
      </c>
      <c r="P4091" s="0" t="n">
        <f aca="false">E4091*H4091</f>
        <v>-0.25</v>
      </c>
      <c r="Q4091" s="0" t="n">
        <f aca="false">F4091*G4091</f>
        <v>0</v>
      </c>
      <c r="R4091" s="0" t="n">
        <f aca="false">F4091*H4091</f>
        <v>-0.25</v>
      </c>
      <c r="S4091" s="0" t="n">
        <f aca="false">G4091*H4091</f>
        <v>-0</v>
      </c>
      <c r="T4091" s="0" t="n">
        <f aca="false">E4091*E4091</f>
        <v>0.0625</v>
      </c>
      <c r="U4091" s="0" t="n">
        <f aca="false">F4091*F4091</f>
        <v>0.0625</v>
      </c>
      <c r="V4091" s="0" t="n">
        <f aca="false">G4091*G4091</f>
        <v>0</v>
      </c>
      <c r="W4091" s="0" t="n">
        <f aca="false">H4091*H4091</f>
        <v>1</v>
      </c>
      <c r="X4091" s="0" t="n">
        <f aca="false">SUMPRODUCT(I4091:W4091,_XtX!$B$96:$P$96)</f>
        <v>47.9142635233918</v>
      </c>
      <c r="Y4091" s="0" t="n">
        <f aca="false">SUMPRODUCT(MMULT(I4091:W4091,_XtX!$B$78:$P$92),I4091:W4091)</f>
        <v>0.467417934484649</v>
      </c>
      <c r="Z4091" s="0" t="n">
        <f aca="false">04_回帰ANOVA!$K$19*04_回帰ANOVA!$K$14*SQRT(1+Y4091)</f>
        <v>1.57897518244497</v>
      </c>
      <c r="AA4091" s="0" t="n">
        <f aca="false">X4091-Z4091</f>
        <v>46.3352883409468</v>
      </c>
      <c r="AB4091" s="0" t="n">
        <f aca="false">X4091+Z4091</f>
        <v>49.4932387058368</v>
      </c>
      <c r="AC4091" s="54" t="b">
        <f aca="false">AND(E4091&gt;=01_因子設定!$L$5-0.000000001,E4091&lt;=01_因子設定!$M$5+0.000000001,F4091&gt;=01_因子設定!$L$6-0.000000001,F4091&lt;=01_因子設定!$M$6+0.000000001,G4091&gt;=01_因子設定!$L$7-0.000000001,G4091&lt;=01_因子設定!$M$7+0.000000001,H4091&gt;=01_因子設定!$L$8-0.000000001,H4091&lt;=01_因子設定!$M$8+0.000000001,IF(01_因子設定!$B$20="Box-Behnken",E4091^2+F4091^2+G4091^2+H4091^2&lt;=2+0.000000001,TRUE()))</f>
        <v>1</v>
      </c>
      <c r="AD4091" s="55" t="n">
        <f aca="false">IF(AC4091,IF(01_因子設定!$B$13="最大化",AA4091-01_因子設定!$B$14,IF(01_因子設定!$B$13="最小化",01_因子設定!$B$15-AB4091,MIN(AA4091-01_因子設定!$B$14,01_因子設定!$B$15-AB4091))),-1E+030)</f>
        <v>-0.164711659053182</v>
      </c>
      <c r="AE4091" s="55" t="n">
        <f aca="false">IF(AC4091,IF(01_因子設定!$B$13="最大化",X4091,IF(01_因子設定!$B$13="最小化",-X4091,-ABS(X4091-01_因子設定!$B$16))),-1E+030)</f>
        <v>47.9142635233918</v>
      </c>
      <c r="AF4091" s="55" t="n">
        <f aca="false">AD4091+ROW()*0.000000001</f>
        <v>-0.164707568053182</v>
      </c>
      <c r="AG4091" s="55" t="n">
        <f aca="false">AE4091+ROW()*0.000000001</f>
        <v>47.9142676143918</v>
      </c>
    </row>
    <row r="4092" customFormat="false" ht="15" hidden="false" customHeight="false" outlineLevel="0" collapsed="false">
      <c r="A4092" s="0" t="n">
        <v>5</v>
      </c>
      <c r="B4092" s="0" t="n">
        <v>5</v>
      </c>
      <c r="C4092" s="0" t="n">
        <v>4</v>
      </c>
      <c r="D4092" s="0" t="n">
        <v>1</v>
      </c>
      <c r="E4092" s="0" t="n">
        <f aca="false">-1+A4092*0.25</f>
        <v>0.25</v>
      </c>
      <c r="F4092" s="0" t="n">
        <f aca="false">-1+B4092*0.25</f>
        <v>0.25</v>
      </c>
      <c r="G4092" s="0" t="n">
        <f aca="false">-1+C4092*0.25</f>
        <v>0</v>
      </c>
      <c r="H4092" s="0" t="n">
        <f aca="false">-1+D4092*0.25</f>
        <v>-0.75</v>
      </c>
      <c r="I4092" s="0" t="n">
        <f aca="false">1</f>
        <v>1</v>
      </c>
      <c r="J4092" s="0" t="n">
        <f aca="false">E4092</f>
        <v>0.25</v>
      </c>
      <c r="K4092" s="0" t="n">
        <f aca="false">F4092</f>
        <v>0.25</v>
      </c>
      <c r="L4092" s="0" t="n">
        <f aca="false">G4092</f>
        <v>0</v>
      </c>
      <c r="M4092" s="0" t="n">
        <f aca="false">H4092</f>
        <v>-0.75</v>
      </c>
      <c r="N4092" s="0" t="n">
        <f aca="false">E4092*F4092</f>
        <v>0.0625</v>
      </c>
      <c r="O4092" s="0" t="n">
        <f aca="false">E4092*G4092</f>
        <v>0</v>
      </c>
      <c r="P4092" s="0" t="n">
        <f aca="false">E4092*H4092</f>
        <v>-0.1875</v>
      </c>
      <c r="Q4092" s="0" t="n">
        <f aca="false">F4092*G4092</f>
        <v>0</v>
      </c>
      <c r="R4092" s="0" t="n">
        <f aca="false">F4092*H4092</f>
        <v>-0.1875</v>
      </c>
      <c r="S4092" s="0" t="n">
        <f aca="false">G4092*H4092</f>
        <v>-0</v>
      </c>
      <c r="T4092" s="0" t="n">
        <f aca="false">E4092*E4092</f>
        <v>0.0625</v>
      </c>
      <c r="U4092" s="0" t="n">
        <f aca="false">F4092*F4092</f>
        <v>0.0625</v>
      </c>
      <c r="V4092" s="0" t="n">
        <f aca="false">G4092*G4092</f>
        <v>0</v>
      </c>
      <c r="W4092" s="0" t="n">
        <f aca="false">H4092*H4092</f>
        <v>0.5625</v>
      </c>
      <c r="X4092" s="0" t="n">
        <f aca="false">SUMPRODUCT(I4092:W4092,_XtX!$B$96:$P$96)</f>
        <v>48.1775082236842</v>
      </c>
      <c r="Y4092" s="0" t="n">
        <f aca="false">SUMPRODUCT(MMULT(I4092:W4092,_XtX!$B$78:$P$92),I4092:W4092)</f>
        <v>0.21135011193348</v>
      </c>
      <c r="Z4092" s="0" t="n">
        <f aca="false">04_回帰ANOVA!$K$19*04_回帰ANOVA!$K$14*SQRT(1+Y4092)</f>
        <v>1.43460795469709</v>
      </c>
      <c r="AA4092" s="0" t="n">
        <f aca="false">X4092-Z4092</f>
        <v>46.7429002689871</v>
      </c>
      <c r="AB4092" s="0" t="n">
        <f aca="false">X4092+Z4092</f>
        <v>49.6121161783813</v>
      </c>
      <c r="AC4092" s="54" t="b">
        <f aca="false">AND(E4092&gt;=01_因子設定!$L$5-0.000000001,E4092&lt;=01_因子設定!$M$5+0.000000001,F4092&gt;=01_因子設定!$L$6-0.000000001,F4092&lt;=01_因子設定!$M$6+0.000000001,G4092&gt;=01_因子設定!$L$7-0.000000001,G4092&lt;=01_因子設定!$M$7+0.000000001,H4092&gt;=01_因子設定!$L$8-0.000000001,H4092&lt;=01_因子設定!$M$8+0.000000001,IF(01_因子設定!$B$20="Box-Behnken",E4092^2+F4092^2+G4092^2+H4092^2&lt;=2+0.000000001,TRUE()))</f>
        <v>1</v>
      </c>
      <c r="AD4092" s="55" t="n">
        <f aca="false">IF(AC4092,IF(01_因子設定!$B$13="最大化",AA4092-01_因子設定!$B$14,IF(01_因子設定!$B$13="最小化",01_因子設定!$B$15-AB4092,MIN(AA4092-01_因子設定!$B$14,01_因子設定!$B$15-AB4092))),-1E+030)</f>
        <v>0.242900268987086</v>
      </c>
      <c r="AE4092" s="55" t="n">
        <f aca="false">IF(AC4092,IF(01_因子設定!$B$13="最大化",X4092,IF(01_因子設定!$B$13="最小化",-X4092,-ABS(X4092-01_因子設定!$B$16))),-1E+030)</f>
        <v>48.1775082236842</v>
      </c>
      <c r="AF4092" s="55" t="n">
        <f aca="false">AD4092+ROW()*0.000000001</f>
        <v>0.242904360987086</v>
      </c>
      <c r="AG4092" s="55" t="n">
        <f aca="false">AE4092+ROW()*0.000000001</f>
        <v>48.1775123156842</v>
      </c>
    </row>
    <row r="4093" customFormat="false" ht="15" hidden="false" customHeight="false" outlineLevel="0" collapsed="false">
      <c r="A4093" s="0" t="n">
        <v>5</v>
      </c>
      <c r="B4093" s="0" t="n">
        <v>5</v>
      </c>
      <c r="C4093" s="0" t="n">
        <v>4</v>
      </c>
      <c r="D4093" s="0" t="n">
        <v>2</v>
      </c>
      <c r="E4093" s="0" t="n">
        <f aca="false">-1+A4093*0.25</f>
        <v>0.25</v>
      </c>
      <c r="F4093" s="0" t="n">
        <f aca="false">-1+B4093*0.25</f>
        <v>0.25</v>
      </c>
      <c r="G4093" s="0" t="n">
        <f aca="false">-1+C4093*0.25</f>
        <v>0</v>
      </c>
      <c r="H4093" s="0" t="n">
        <f aca="false">-1+D4093*0.25</f>
        <v>-0.5</v>
      </c>
      <c r="I4093" s="0" t="n">
        <f aca="false">1</f>
        <v>1</v>
      </c>
      <c r="J4093" s="0" t="n">
        <f aca="false">E4093</f>
        <v>0.25</v>
      </c>
      <c r="K4093" s="0" t="n">
        <f aca="false">F4093</f>
        <v>0.25</v>
      </c>
      <c r="L4093" s="0" t="n">
        <f aca="false">G4093</f>
        <v>0</v>
      </c>
      <c r="M4093" s="0" t="n">
        <f aca="false">H4093</f>
        <v>-0.5</v>
      </c>
      <c r="N4093" s="0" t="n">
        <f aca="false">E4093*F4093</f>
        <v>0.0625</v>
      </c>
      <c r="O4093" s="0" t="n">
        <f aca="false">E4093*G4093</f>
        <v>0</v>
      </c>
      <c r="P4093" s="0" t="n">
        <f aca="false">E4093*H4093</f>
        <v>-0.125</v>
      </c>
      <c r="Q4093" s="0" t="n">
        <f aca="false">F4093*G4093</f>
        <v>0</v>
      </c>
      <c r="R4093" s="0" t="n">
        <f aca="false">F4093*H4093</f>
        <v>-0.125</v>
      </c>
      <c r="S4093" s="0" t="n">
        <f aca="false">G4093*H4093</f>
        <v>-0</v>
      </c>
      <c r="T4093" s="0" t="n">
        <f aca="false">E4093*E4093</f>
        <v>0.0625</v>
      </c>
      <c r="U4093" s="0" t="n">
        <f aca="false">F4093*F4093</f>
        <v>0.0625</v>
      </c>
      <c r="V4093" s="0" t="n">
        <f aca="false">G4093*G4093</f>
        <v>0</v>
      </c>
      <c r="W4093" s="0" t="n">
        <f aca="false">H4093*H4093</f>
        <v>0.25</v>
      </c>
      <c r="X4093" s="0" t="n">
        <f aca="false">SUMPRODUCT(I4093:W4093,_XtX!$B$96:$P$96)</f>
        <v>48.3929459064327</v>
      </c>
      <c r="Y4093" s="0" t="n">
        <f aca="false">SUMPRODUCT(MMULT(I4093:W4093,_XtX!$B$78:$P$92),I4093:W4093)</f>
        <v>0.118905050712719</v>
      </c>
      <c r="Z4093" s="0" t="n">
        <f aca="false">04_回帰ANOVA!$K$19*04_回帰ANOVA!$K$14*SQRT(1+Y4093)</f>
        <v>1.37878011033769</v>
      </c>
      <c r="AA4093" s="0" t="n">
        <f aca="false">X4093-Z4093</f>
        <v>47.014165796095</v>
      </c>
      <c r="AB4093" s="0" t="n">
        <f aca="false">X4093+Z4093</f>
        <v>49.7717260167704</v>
      </c>
      <c r="AC4093" s="54" t="b">
        <f aca="false">AND(E4093&gt;=01_因子設定!$L$5-0.000000001,E4093&lt;=01_因子設定!$M$5+0.000000001,F4093&gt;=01_因子設定!$L$6-0.000000001,F4093&lt;=01_因子設定!$M$6+0.000000001,G4093&gt;=01_因子設定!$L$7-0.000000001,G4093&lt;=01_因子設定!$M$7+0.000000001,H4093&gt;=01_因子設定!$L$8-0.000000001,H4093&lt;=01_因子設定!$M$8+0.000000001,IF(01_因子設定!$B$20="Box-Behnken",E4093^2+F4093^2+G4093^2+H4093^2&lt;=2+0.000000001,TRUE()))</f>
        <v>1</v>
      </c>
      <c r="AD4093" s="55" t="n">
        <f aca="false">IF(AC4093,IF(01_因子設定!$B$13="最大化",AA4093-01_因子設定!$B$14,IF(01_因子設定!$B$13="最小化",01_因子設定!$B$15-AB4093,MIN(AA4093-01_因子設定!$B$14,01_因子設定!$B$15-AB4093))),-1E+030)</f>
        <v>0.514165796095014</v>
      </c>
      <c r="AE4093" s="55" t="n">
        <f aca="false">IF(AC4093,IF(01_因子設定!$B$13="最大化",X4093,IF(01_因子設定!$B$13="最小化",-X4093,-ABS(X4093-01_因子設定!$B$16))),-1E+030)</f>
        <v>48.3929459064327</v>
      </c>
      <c r="AF4093" s="55" t="n">
        <f aca="false">AD4093+ROW()*0.000000001</f>
        <v>0.514169889095014</v>
      </c>
      <c r="AG4093" s="55" t="n">
        <f aca="false">AE4093+ROW()*0.000000001</f>
        <v>48.3929499994327</v>
      </c>
    </row>
    <row r="4094" customFormat="false" ht="15" hidden="false" customHeight="false" outlineLevel="0" collapsed="false">
      <c r="A4094" s="0" t="n">
        <v>5</v>
      </c>
      <c r="B4094" s="0" t="n">
        <v>5</v>
      </c>
      <c r="C4094" s="0" t="n">
        <v>4</v>
      </c>
      <c r="D4094" s="0" t="n">
        <v>3</v>
      </c>
      <c r="E4094" s="0" t="n">
        <f aca="false">-1+A4094*0.25</f>
        <v>0.25</v>
      </c>
      <c r="F4094" s="0" t="n">
        <f aca="false">-1+B4094*0.25</f>
        <v>0.25</v>
      </c>
      <c r="G4094" s="0" t="n">
        <f aca="false">-1+C4094*0.25</f>
        <v>0</v>
      </c>
      <c r="H4094" s="0" t="n">
        <f aca="false">-1+D4094*0.25</f>
        <v>-0.25</v>
      </c>
      <c r="I4094" s="0" t="n">
        <f aca="false">1</f>
        <v>1</v>
      </c>
      <c r="J4094" s="0" t="n">
        <f aca="false">E4094</f>
        <v>0.25</v>
      </c>
      <c r="K4094" s="0" t="n">
        <f aca="false">F4094</f>
        <v>0.25</v>
      </c>
      <c r="L4094" s="0" t="n">
        <f aca="false">G4094</f>
        <v>0</v>
      </c>
      <c r="M4094" s="0" t="n">
        <f aca="false">H4094</f>
        <v>-0.25</v>
      </c>
      <c r="N4094" s="0" t="n">
        <f aca="false">E4094*F4094</f>
        <v>0.0625</v>
      </c>
      <c r="O4094" s="0" t="n">
        <f aca="false">E4094*G4094</f>
        <v>0</v>
      </c>
      <c r="P4094" s="0" t="n">
        <f aca="false">E4094*H4094</f>
        <v>-0.0625</v>
      </c>
      <c r="Q4094" s="0" t="n">
        <f aca="false">F4094*G4094</f>
        <v>0</v>
      </c>
      <c r="R4094" s="0" t="n">
        <f aca="false">F4094*H4094</f>
        <v>-0.0625</v>
      </c>
      <c r="S4094" s="0" t="n">
        <f aca="false">G4094*H4094</f>
        <v>-0</v>
      </c>
      <c r="T4094" s="0" t="n">
        <f aca="false">E4094*E4094</f>
        <v>0.0625</v>
      </c>
      <c r="U4094" s="0" t="n">
        <f aca="false">F4094*F4094</f>
        <v>0.0625</v>
      </c>
      <c r="V4094" s="0" t="n">
        <f aca="false">G4094*G4094</f>
        <v>0</v>
      </c>
      <c r="W4094" s="0" t="n">
        <f aca="false">H4094*H4094</f>
        <v>0.0625</v>
      </c>
      <c r="X4094" s="0" t="n">
        <f aca="false">SUMPRODUCT(I4094:W4094,_XtX!$B$96:$P$96)</f>
        <v>48.5605765716374</v>
      </c>
      <c r="Y4094" s="0" t="n">
        <f aca="false">SUMPRODUCT(MMULT(I4094:W4094,_XtX!$B$78:$P$92),I4094:W4094)</f>
        <v>0.099622224506579</v>
      </c>
      <c r="Z4094" s="0" t="n">
        <f aca="false">04_回帰ANOVA!$K$19*04_回帰ANOVA!$K$14*SQRT(1+Y4094)</f>
        <v>1.3668477654658</v>
      </c>
      <c r="AA4094" s="0" t="n">
        <f aca="false">X4094-Z4094</f>
        <v>47.1937288061716</v>
      </c>
      <c r="AB4094" s="0" t="n">
        <f aca="false">X4094+Z4094</f>
        <v>49.9274243371032</v>
      </c>
      <c r="AC4094" s="54" t="b">
        <f aca="false">AND(E4094&gt;=01_因子設定!$L$5-0.000000001,E4094&lt;=01_因子設定!$M$5+0.000000001,F4094&gt;=01_因子設定!$L$6-0.000000001,F4094&lt;=01_因子設定!$M$6+0.000000001,G4094&gt;=01_因子設定!$L$7-0.000000001,G4094&lt;=01_因子設定!$M$7+0.000000001,H4094&gt;=01_因子設定!$L$8-0.000000001,H4094&lt;=01_因子設定!$M$8+0.000000001,IF(01_因子設定!$B$20="Box-Behnken",E4094^2+F4094^2+G4094^2+H4094^2&lt;=2+0.000000001,TRUE()))</f>
        <v>1</v>
      </c>
      <c r="AD4094" s="55" t="n">
        <f aca="false">IF(AC4094,IF(01_因子設定!$B$13="最大化",AA4094-01_因子設定!$B$14,IF(01_因子設定!$B$13="最小化",01_因子設定!$B$15-AB4094,MIN(AA4094-01_因子設定!$B$14,01_因子設定!$B$15-AB4094))),-1E+030)</f>
        <v>0.693728806171571</v>
      </c>
      <c r="AE4094" s="55" t="n">
        <f aca="false">IF(AC4094,IF(01_因子設定!$B$13="最大化",X4094,IF(01_因子設定!$B$13="最小化",-X4094,-ABS(X4094-01_因子設定!$B$16))),-1E+030)</f>
        <v>48.5605765716374</v>
      </c>
      <c r="AF4094" s="55" t="n">
        <f aca="false">AD4094+ROW()*0.000000001</f>
        <v>0.693732900171571</v>
      </c>
      <c r="AG4094" s="55" t="n">
        <f aca="false">AE4094+ROW()*0.000000001</f>
        <v>48.5605806656374</v>
      </c>
    </row>
    <row r="4095" customFormat="false" ht="15" hidden="false" customHeight="false" outlineLevel="0" collapsed="false">
      <c r="A4095" s="0" t="n">
        <v>5</v>
      </c>
      <c r="B4095" s="0" t="n">
        <v>5</v>
      </c>
      <c r="C4095" s="0" t="n">
        <v>4</v>
      </c>
      <c r="D4095" s="0" t="n">
        <v>4</v>
      </c>
      <c r="E4095" s="0" t="n">
        <f aca="false">-1+A4095*0.25</f>
        <v>0.25</v>
      </c>
      <c r="F4095" s="0" t="n">
        <f aca="false">-1+B4095*0.25</f>
        <v>0.25</v>
      </c>
      <c r="G4095" s="0" t="n">
        <f aca="false">-1+C4095*0.25</f>
        <v>0</v>
      </c>
      <c r="H4095" s="0" t="n">
        <f aca="false">-1+D4095*0.25</f>
        <v>0</v>
      </c>
      <c r="I4095" s="0" t="n">
        <f aca="false">1</f>
        <v>1</v>
      </c>
      <c r="J4095" s="0" t="n">
        <f aca="false">E4095</f>
        <v>0.25</v>
      </c>
      <c r="K4095" s="0" t="n">
        <f aca="false">F4095</f>
        <v>0.25</v>
      </c>
      <c r="L4095" s="0" t="n">
        <f aca="false">G4095</f>
        <v>0</v>
      </c>
      <c r="M4095" s="0" t="n">
        <f aca="false">H4095</f>
        <v>0</v>
      </c>
      <c r="N4095" s="0" t="n">
        <f aca="false">E4095*F4095</f>
        <v>0.0625</v>
      </c>
      <c r="O4095" s="0" t="n">
        <f aca="false">E4095*G4095</f>
        <v>0</v>
      </c>
      <c r="P4095" s="0" t="n">
        <f aca="false">E4095*H4095</f>
        <v>0</v>
      </c>
      <c r="Q4095" s="0" t="n">
        <f aca="false">F4095*G4095</f>
        <v>0</v>
      </c>
      <c r="R4095" s="0" t="n">
        <f aca="false">F4095*H4095</f>
        <v>0</v>
      </c>
      <c r="S4095" s="0" t="n">
        <f aca="false">G4095*H4095</f>
        <v>0</v>
      </c>
      <c r="T4095" s="0" t="n">
        <f aca="false">E4095*E4095</f>
        <v>0.0625</v>
      </c>
      <c r="U4095" s="0" t="n">
        <f aca="false">F4095*F4095</f>
        <v>0.0625</v>
      </c>
      <c r="V4095" s="0" t="n">
        <f aca="false">G4095*G4095</f>
        <v>0</v>
      </c>
      <c r="W4095" s="0" t="n">
        <f aca="false">H4095*H4095</f>
        <v>0</v>
      </c>
      <c r="X4095" s="0" t="n">
        <f aca="false">SUMPRODUCT(I4095:W4095,_XtX!$B$96:$P$96)</f>
        <v>48.6804002192982</v>
      </c>
      <c r="Y4095" s="0" t="n">
        <f aca="false">SUMPRODUCT(MMULT(I4095:W4095,_XtX!$B$78:$P$92),I4095:W4095)</f>
        <v>0.0992253175255848</v>
      </c>
      <c r="Z4095" s="0" t="n">
        <f aca="false">04_回帰ANOVA!$K$19*04_回帰ANOVA!$K$14*SQRT(1+Y4095)</f>
        <v>1.36660106238383</v>
      </c>
      <c r="AA4095" s="0" t="n">
        <f aca="false">X4095-Z4095</f>
        <v>47.3137991569144</v>
      </c>
      <c r="AB4095" s="0" t="n">
        <f aca="false">X4095+Z4095</f>
        <v>50.047001281682</v>
      </c>
      <c r="AC4095" s="54" t="b">
        <f aca="false">AND(E4095&gt;=01_因子設定!$L$5-0.000000001,E4095&lt;=01_因子設定!$M$5+0.000000001,F4095&gt;=01_因子設定!$L$6-0.000000001,F4095&lt;=01_因子設定!$M$6+0.000000001,G4095&gt;=01_因子設定!$L$7-0.000000001,G4095&lt;=01_因子設定!$M$7+0.000000001,H4095&gt;=01_因子設定!$L$8-0.000000001,H4095&lt;=01_因子設定!$M$8+0.000000001,IF(01_因子設定!$B$20="Box-Behnken",E4095^2+F4095^2+G4095^2+H4095^2&lt;=2+0.000000001,TRUE()))</f>
        <v>1</v>
      </c>
      <c r="AD4095" s="55" t="n">
        <f aca="false">IF(AC4095,IF(01_因子設定!$B$13="最大化",AA4095-01_因子設定!$B$14,IF(01_因子設定!$B$13="最小化",01_因子設定!$B$15-AB4095,MIN(AA4095-01_因子設定!$B$14,01_因子設定!$B$15-AB4095))),-1E+030)</f>
        <v>0.813799156914357</v>
      </c>
      <c r="AE4095" s="55" t="n">
        <f aca="false">IF(AC4095,IF(01_因子設定!$B$13="最大化",X4095,IF(01_因子設定!$B$13="最小化",-X4095,-ABS(X4095-01_因子設定!$B$16))),-1E+030)</f>
        <v>48.6804002192982</v>
      </c>
      <c r="AF4095" s="55" t="n">
        <f aca="false">AD4095+ROW()*0.000000001</f>
        <v>0.813803251914357</v>
      </c>
      <c r="AG4095" s="55" t="n">
        <f aca="false">AE4095+ROW()*0.000000001</f>
        <v>48.6804043142982</v>
      </c>
    </row>
    <row r="4096" customFormat="false" ht="15" hidden="false" customHeight="false" outlineLevel="0" collapsed="false">
      <c r="A4096" s="0" t="n">
        <v>5</v>
      </c>
      <c r="B4096" s="0" t="n">
        <v>5</v>
      </c>
      <c r="C4096" s="0" t="n">
        <v>4</v>
      </c>
      <c r="D4096" s="0" t="n">
        <v>5</v>
      </c>
      <c r="E4096" s="0" t="n">
        <f aca="false">-1+A4096*0.25</f>
        <v>0.25</v>
      </c>
      <c r="F4096" s="0" t="n">
        <f aca="false">-1+B4096*0.25</f>
        <v>0.25</v>
      </c>
      <c r="G4096" s="0" t="n">
        <f aca="false">-1+C4096*0.25</f>
        <v>0</v>
      </c>
      <c r="H4096" s="0" t="n">
        <f aca="false">-1+D4096*0.25</f>
        <v>0.25</v>
      </c>
      <c r="I4096" s="0" t="n">
        <f aca="false">1</f>
        <v>1</v>
      </c>
      <c r="J4096" s="0" t="n">
        <f aca="false">E4096</f>
        <v>0.25</v>
      </c>
      <c r="K4096" s="0" t="n">
        <f aca="false">F4096</f>
        <v>0.25</v>
      </c>
      <c r="L4096" s="0" t="n">
        <f aca="false">G4096</f>
        <v>0</v>
      </c>
      <c r="M4096" s="0" t="n">
        <f aca="false">H4096</f>
        <v>0.25</v>
      </c>
      <c r="N4096" s="0" t="n">
        <f aca="false">E4096*F4096</f>
        <v>0.0625</v>
      </c>
      <c r="O4096" s="0" t="n">
        <f aca="false">E4096*G4096</f>
        <v>0</v>
      </c>
      <c r="P4096" s="0" t="n">
        <f aca="false">E4096*H4096</f>
        <v>0.0625</v>
      </c>
      <c r="Q4096" s="0" t="n">
        <f aca="false">F4096*G4096</f>
        <v>0</v>
      </c>
      <c r="R4096" s="0" t="n">
        <f aca="false">F4096*H4096</f>
        <v>0.0625</v>
      </c>
      <c r="S4096" s="0" t="n">
        <f aca="false">G4096*H4096</f>
        <v>0</v>
      </c>
      <c r="T4096" s="0" t="n">
        <f aca="false">E4096*E4096</f>
        <v>0.0625</v>
      </c>
      <c r="U4096" s="0" t="n">
        <f aca="false">F4096*F4096</f>
        <v>0.0625</v>
      </c>
      <c r="V4096" s="0" t="n">
        <f aca="false">G4096*G4096</f>
        <v>0</v>
      </c>
      <c r="W4096" s="0" t="n">
        <f aca="false">H4096*H4096</f>
        <v>0.0625</v>
      </c>
      <c r="X4096" s="0" t="n">
        <f aca="false">SUMPRODUCT(I4096:W4096,_XtX!$B$96:$P$96)</f>
        <v>48.7524168494152</v>
      </c>
      <c r="Y4096" s="0" t="n">
        <f aca="false">SUMPRODUCT(MMULT(I4096:W4096,_XtX!$B$78:$P$92),I4096:W4096)</f>
        <v>0.099622224506579</v>
      </c>
      <c r="Z4096" s="0" t="n">
        <f aca="false">04_回帰ANOVA!$K$19*04_回帰ANOVA!$K$14*SQRT(1+Y4096)</f>
        <v>1.3668477654658</v>
      </c>
      <c r="AA4096" s="0" t="n">
        <f aca="false">X4096-Z4096</f>
        <v>47.3855690839494</v>
      </c>
      <c r="AB4096" s="0" t="n">
        <f aca="false">X4096+Z4096</f>
        <v>50.119264614881</v>
      </c>
      <c r="AC4096" s="54" t="b">
        <f aca="false">AND(E4096&gt;=01_因子設定!$L$5-0.000000001,E4096&lt;=01_因子設定!$M$5+0.000000001,F4096&gt;=01_因子設定!$L$6-0.000000001,F4096&lt;=01_因子設定!$M$6+0.000000001,G4096&gt;=01_因子設定!$L$7-0.000000001,G4096&lt;=01_因子設定!$M$7+0.000000001,H4096&gt;=01_因子設定!$L$8-0.000000001,H4096&lt;=01_因子設定!$M$8+0.000000001,IF(01_因子設定!$B$20="Box-Behnken",E4096^2+F4096^2+G4096^2+H4096^2&lt;=2+0.000000001,TRUE()))</f>
        <v>1</v>
      </c>
      <c r="AD4096" s="55" t="n">
        <f aca="false">IF(AC4096,IF(01_因子設定!$B$13="最大化",AA4096-01_因子設定!$B$14,IF(01_因子設定!$B$13="最小化",01_因子設定!$B$15-AB4096,MIN(AA4096-01_因子設定!$B$14,01_因子設定!$B$15-AB4096))),-1E+030)</f>
        <v>0.885569083949349</v>
      </c>
      <c r="AE4096" s="55" t="n">
        <f aca="false">IF(AC4096,IF(01_因子設定!$B$13="最大化",X4096,IF(01_因子設定!$B$13="最小化",-X4096,-ABS(X4096-01_因子設定!$B$16))),-1E+030)</f>
        <v>48.7524168494152</v>
      </c>
      <c r="AF4096" s="55" t="n">
        <f aca="false">AD4096+ROW()*0.000000001</f>
        <v>0.885573179949349</v>
      </c>
      <c r="AG4096" s="55" t="n">
        <f aca="false">AE4096+ROW()*0.000000001</f>
        <v>48.7524209454151</v>
      </c>
    </row>
    <row r="4097" customFormat="false" ht="15" hidden="false" customHeight="false" outlineLevel="0" collapsed="false">
      <c r="A4097" s="0" t="n">
        <v>5</v>
      </c>
      <c r="B4097" s="0" t="n">
        <v>5</v>
      </c>
      <c r="C4097" s="0" t="n">
        <v>4</v>
      </c>
      <c r="D4097" s="0" t="n">
        <v>6</v>
      </c>
      <c r="E4097" s="0" t="n">
        <f aca="false">-1+A4097*0.25</f>
        <v>0.25</v>
      </c>
      <c r="F4097" s="0" t="n">
        <f aca="false">-1+B4097*0.25</f>
        <v>0.25</v>
      </c>
      <c r="G4097" s="0" t="n">
        <f aca="false">-1+C4097*0.25</f>
        <v>0</v>
      </c>
      <c r="H4097" s="0" t="n">
        <f aca="false">-1+D4097*0.25</f>
        <v>0.5</v>
      </c>
      <c r="I4097" s="0" t="n">
        <f aca="false">1</f>
        <v>1</v>
      </c>
      <c r="J4097" s="0" t="n">
        <f aca="false">E4097</f>
        <v>0.25</v>
      </c>
      <c r="K4097" s="0" t="n">
        <f aca="false">F4097</f>
        <v>0.25</v>
      </c>
      <c r="L4097" s="0" t="n">
        <f aca="false">G4097</f>
        <v>0</v>
      </c>
      <c r="M4097" s="0" t="n">
        <f aca="false">H4097</f>
        <v>0.5</v>
      </c>
      <c r="N4097" s="0" t="n">
        <f aca="false">E4097*F4097</f>
        <v>0.0625</v>
      </c>
      <c r="O4097" s="0" t="n">
        <f aca="false">E4097*G4097</f>
        <v>0</v>
      </c>
      <c r="P4097" s="0" t="n">
        <f aca="false">E4097*H4097</f>
        <v>0.125</v>
      </c>
      <c r="Q4097" s="0" t="n">
        <f aca="false">F4097*G4097</f>
        <v>0</v>
      </c>
      <c r="R4097" s="0" t="n">
        <f aca="false">F4097*H4097</f>
        <v>0.125</v>
      </c>
      <c r="S4097" s="0" t="n">
        <f aca="false">G4097*H4097</f>
        <v>0</v>
      </c>
      <c r="T4097" s="0" t="n">
        <f aca="false">E4097*E4097</f>
        <v>0.0625</v>
      </c>
      <c r="U4097" s="0" t="n">
        <f aca="false">F4097*F4097</f>
        <v>0.0625</v>
      </c>
      <c r="V4097" s="0" t="n">
        <f aca="false">G4097*G4097</f>
        <v>0</v>
      </c>
      <c r="W4097" s="0" t="n">
        <f aca="false">H4097*H4097</f>
        <v>0.25</v>
      </c>
      <c r="X4097" s="0" t="n">
        <f aca="false">SUMPRODUCT(I4097:W4097,_XtX!$B$96:$P$96)</f>
        <v>48.7766264619883</v>
      </c>
      <c r="Y4097" s="0" t="n">
        <f aca="false">SUMPRODUCT(MMULT(I4097:W4097,_XtX!$B$78:$P$92),I4097:W4097)</f>
        <v>0.118905050712719</v>
      </c>
      <c r="Z4097" s="0" t="n">
        <f aca="false">04_回帰ANOVA!$K$19*04_回帰ANOVA!$K$14*SQRT(1+Y4097)</f>
        <v>1.37878011033769</v>
      </c>
      <c r="AA4097" s="0" t="n">
        <f aca="false">X4097-Z4097</f>
        <v>47.3978463516506</v>
      </c>
      <c r="AB4097" s="0" t="n">
        <f aca="false">X4097+Z4097</f>
        <v>50.1554065723259</v>
      </c>
      <c r="AC4097" s="54" t="b">
        <f aca="false">AND(E4097&gt;=01_因子設定!$L$5-0.000000001,E4097&lt;=01_因子設定!$M$5+0.000000001,F4097&gt;=01_因子設定!$L$6-0.000000001,F4097&lt;=01_因子設定!$M$6+0.000000001,G4097&gt;=01_因子設定!$L$7-0.000000001,G4097&lt;=01_因子設定!$M$7+0.000000001,H4097&gt;=01_因子設定!$L$8-0.000000001,H4097&lt;=01_因子設定!$M$8+0.000000001,IF(01_因子設定!$B$20="Box-Behnken",E4097^2+F4097^2+G4097^2+H4097^2&lt;=2+0.000000001,TRUE()))</f>
        <v>1</v>
      </c>
      <c r="AD4097" s="55" t="n">
        <f aca="false">IF(AC4097,IF(01_因子設定!$B$13="最大化",AA4097-01_因子設定!$B$14,IF(01_因子設定!$B$13="最小化",01_因子設定!$B$15-AB4097,MIN(AA4097-01_因子設定!$B$14,01_因子設定!$B$15-AB4097))),-1E+030)</f>
        <v>0.897846351650564</v>
      </c>
      <c r="AE4097" s="55" t="n">
        <f aca="false">IF(AC4097,IF(01_因子設定!$B$13="最大化",X4097,IF(01_因子設定!$B$13="最小化",-X4097,-ABS(X4097-01_因子設定!$B$16))),-1E+030)</f>
        <v>48.7766264619883</v>
      </c>
      <c r="AF4097" s="55" t="n">
        <f aca="false">AD4097+ROW()*0.000000001</f>
        <v>0.897850448650564</v>
      </c>
      <c r="AG4097" s="55" t="n">
        <f aca="false">AE4097+ROW()*0.000000001</f>
        <v>48.7766305589883</v>
      </c>
    </row>
    <row r="4098" customFormat="false" ht="15" hidden="false" customHeight="false" outlineLevel="0" collapsed="false">
      <c r="A4098" s="0" t="n">
        <v>5</v>
      </c>
      <c r="B4098" s="0" t="n">
        <v>5</v>
      </c>
      <c r="C4098" s="0" t="n">
        <v>4</v>
      </c>
      <c r="D4098" s="0" t="n">
        <v>7</v>
      </c>
      <c r="E4098" s="0" t="n">
        <f aca="false">-1+A4098*0.25</f>
        <v>0.25</v>
      </c>
      <c r="F4098" s="0" t="n">
        <f aca="false">-1+B4098*0.25</f>
        <v>0.25</v>
      </c>
      <c r="G4098" s="0" t="n">
        <f aca="false">-1+C4098*0.25</f>
        <v>0</v>
      </c>
      <c r="H4098" s="0" t="n">
        <f aca="false">-1+D4098*0.25</f>
        <v>0.75</v>
      </c>
      <c r="I4098" s="0" t="n">
        <f aca="false">1</f>
        <v>1</v>
      </c>
      <c r="J4098" s="0" t="n">
        <f aca="false">E4098</f>
        <v>0.25</v>
      </c>
      <c r="K4098" s="0" t="n">
        <f aca="false">F4098</f>
        <v>0.25</v>
      </c>
      <c r="L4098" s="0" t="n">
        <f aca="false">G4098</f>
        <v>0</v>
      </c>
      <c r="M4098" s="0" t="n">
        <f aca="false">H4098</f>
        <v>0.75</v>
      </c>
      <c r="N4098" s="0" t="n">
        <f aca="false">E4098*F4098</f>
        <v>0.0625</v>
      </c>
      <c r="O4098" s="0" t="n">
        <f aca="false">E4098*G4098</f>
        <v>0</v>
      </c>
      <c r="P4098" s="0" t="n">
        <f aca="false">E4098*H4098</f>
        <v>0.1875</v>
      </c>
      <c r="Q4098" s="0" t="n">
        <f aca="false">F4098*G4098</f>
        <v>0</v>
      </c>
      <c r="R4098" s="0" t="n">
        <f aca="false">F4098*H4098</f>
        <v>0.1875</v>
      </c>
      <c r="S4098" s="0" t="n">
        <f aca="false">G4098*H4098</f>
        <v>0</v>
      </c>
      <c r="T4098" s="0" t="n">
        <f aca="false">E4098*E4098</f>
        <v>0.0625</v>
      </c>
      <c r="U4098" s="0" t="n">
        <f aca="false">F4098*F4098</f>
        <v>0.0625</v>
      </c>
      <c r="V4098" s="0" t="n">
        <f aca="false">G4098*G4098</f>
        <v>0</v>
      </c>
      <c r="W4098" s="0" t="n">
        <f aca="false">H4098*H4098</f>
        <v>0.5625</v>
      </c>
      <c r="X4098" s="0" t="n">
        <f aca="false">SUMPRODUCT(I4098:W4098,_XtX!$B$96:$P$96)</f>
        <v>48.7530290570175</v>
      </c>
      <c r="Y4098" s="0" t="n">
        <f aca="false">SUMPRODUCT(MMULT(I4098:W4098,_XtX!$B$78:$P$92),I4098:W4098)</f>
        <v>0.21135011193348</v>
      </c>
      <c r="Z4098" s="0" t="n">
        <f aca="false">04_回帰ANOVA!$K$19*04_回帰ANOVA!$K$14*SQRT(1+Y4098)</f>
        <v>1.43460795469709</v>
      </c>
      <c r="AA4098" s="0" t="n">
        <f aca="false">X4098-Z4098</f>
        <v>47.3184211023204</v>
      </c>
      <c r="AB4098" s="0" t="n">
        <f aca="false">X4098+Z4098</f>
        <v>50.1876370117146</v>
      </c>
      <c r="AC4098" s="54" t="b">
        <f aca="false">AND(E4098&gt;=01_因子設定!$L$5-0.000000001,E4098&lt;=01_因子設定!$M$5+0.000000001,F4098&gt;=01_因子設定!$L$6-0.000000001,F4098&lt;=01_因子設定!$M$6+0.000000001,G4098&gt;=01_因子設定!$L$7-0.000000001,G4098&lt;=01_因子設定!$M$7+0.000000001,H4098&gt;=01_因子設定!$L$8-0.000000001,H4098&lt;=01_因子設定!$M$8+0.000000001,IF(01_因子設定!$B$20="Box-Behnken",E4098^2+F4098^2+G4098^2+H4098^2&lt;=2+0.000000001,TRUE()))</f>
        <v>1</v>
      </c>
      <c r="AD4098" s="55" t="n">
        <f aca="false">IF(AC4098,IF(01_因子設定!$B$13="最大化",AA4098-01_因子設定!$B$14,IF(01_因子設定!$B$13="最小化",01_因子設定!$B$15-AB4098,MIN(AA4098-01_因子設定!$B$14,01_因子設定!$B$15-AB4098))),-1E+030)</f>
        <v>0.818421102320414</v>
      </c>
      <c r="AE4098" s="55" t="n">
        <f aca="false">IF(AC4098,IF(01_因子設定!$B$13="最大化",X4098,IF(01_因子設定!$B$13="最小化",-X4098,-ABS(X4098-01_因子設定!$B$16))),-1E+030)</f>
        <v>48.7530290570175</v>
      </c>
      <c r="AF4098" s="55" t="n">
        <f aca="false">AD4098+ROW()*0.000000001</f>
        <v>0.818425200320414</v>
      </c>
      <c r="AG4098" s="55" t="n">
        <f aca="false">AE4098+ROW()*0.000000001</f>
        <v>48.7530331550175</v>
      </c>
    </row>
    <row r="4099" customFormat="false" ht="15" hidden="false" customHeight="false" outlineLevel="0" collapsed="false">
      <c r="A4099" s="0" t="n">
        <v>5</v>
      </c>
      <c r="B4099" s="0" t="n">
        <v>5</v>
      </c>
      <c r="C4099" s="0" t="n">
        <v>4</v>
      </c>
      <c r="D4099" s="0" t="n">
        <v>8</v>
      </c>
      <c r="E4099" s="0" t="n">
        <f aca="false">-1+A4099*0.25</f>
        <v>0.25</v>
      </c>
      <c r="F4099" s="0" t="n">
        <f aca="false">-1+B4099*0.25</f>
        <v>0.25</v>
      </c>
      <c r="G4099" s="0" t="n">
        <f aca="false">-1+C4099*0.25</f>
        <v>0</v>
      </c>
      <c r="H4099" s="0" t="n">
        <f aca="false">-1+D4099*0.25</f>
        <v>1</v>
      </c>
      <c r="I4099" s="0" t="n">
        <f aca="false">1</f>
        <v>1</v>
      </c>
      <c r="J4099" s="0" t="n">
        <f aca="false">E4099</f>
        <v>0.25</v>
      </c>
      <c r="K4099" s="0" t="n">
        <f aca="false">F4099</f>
        <v>0.25</v>
      </c>
      <c r="L4099" s="0" t="n">
        <f aca="false">G4099</f>
        <v>0</v>
      </c>
      <c r="M4099" s="0" t="n">
        <f aca="false">H4099</f>
        <v>1</v>
      </c>
      <c r="N4099" s="0" t="n">
        <f aca="false">E4099*F4099</f>
        <v>0.0625</v>
      </c>
      <c r="O4099" s="0" t="n">
        <f aca="false">E4099*G4099</f>
        <v>0</v>
      </c>
      <c r="P4099" s="0" t="n">
        <f aca="false">E4099*H4099</f>
        <v>0.25</v>
      </c>
      <c r="Q4099" s="0" t="n">
        <f aca="false">F4099*G4099</f>
        <v>0</v>
      </c>
      <c r="R4099" s="0" t="n">
        <f aca="false">F4099*H4099</f>
        <v>0.25</v>
      </c>
      <c r="S4099" s="0" t="n">
        <f aca="false">G4099*H4099</f>
        <v>0</v>
      </c>
      <c r="T4099" s="0" t="n">
        <f aca="false">E4099*E4099</f>
        <v>0.0625</v>
      </c>
      <c r="U4099" s="0" t="n">
        <f aca="false">F4099*F4099</f>
        <v>0.0625</v>
      </c>
      <c r="V4099" s="0" t="n">
        <f aca="false">G4099*G4099</f>
        <v>0</v>
      </c>
      <c r="W4099" s="0" t="n">
        <f aca="false">H4099*H4099</f>
        <v>1</v>
      </c>
      <c r="X4099" s="0" t="n">
        <f aca="false">SUMPRODUCT(I4099:W4099,_XtX!$B$96:$P$96)</f>
        <v>48.6816246345029</v>
      </c>
      <c r="Y4099" s="0" t="n">
        <f aca="false">SUMPRODUCT(MMULT(I4099:W4099,_XtX!$B$78:$P$92),I4099:W4099)</f>
        <v>0.467417934484649</v>
      </c>
      <c r="Z4099" s="0" t="n">
        <f aca="false">04_回帰ANOVA!$K$19*04_回帰ANOVA!$K$14*SQRT(1+Y4099)</f>
        <v>1.57897518244497</v>
      </c>
      <c r="AA4099" s="0" t="n">
        <f aca="false">X4099-Z4099</f>
        <v>47.1026494520579</v>
      </c>
      <c r="AB4099" s="0" t="n">
        <f aca="false">X4099+Z4099</f>
        <v>50.2605998169479</v>
      </c>
      <c r="AC4099" s="54" t="b">
        <f aca="false">AND(E4099&gt;=01_因子設定!$L$5-0.000000001,E4099&lt;=01_因子設定!$M$5+0.000000001,F4099&gt;=01_因子設定!$L$6-0.000000001,F4099&lt;=01_因子設定!$M$6+0.000000001,G4099&gt;=01_因子設定!$L$7-0.000000001,G4099&lt;=01_因子設定!$M$7+0.000000001,H4099&gt;=01_因子設定!$L$8-0.000000001,H4099&lt;=01_因子設定!$M$8+0.000000001,IF(01_因子設定!$B$20="Box-Behnken",E4099^2+F4099^2+G4099^2+H4099^2&lt;=2+0.000000001,TRUE()))</f>
        <v>1</v>
      </c>
      <c r="AD4099" s="55" t="n">
        <f aca="false">IF(AC4099,IF(01_因子設定!$B$13="最大化",AA4099-01_因子設定!$B$14,IF(01_因子設定!$B$13="最小化",01_因子設定!$B$15-AB4099,MIN(AA4099-01_因子設定!$B$14,01_因子設定!$B$15-AB4099))),-1E+030)</f>
        <v>0.602649452057925</v>
      </c>
      <c r="AE4099" s="55" t="n">
        <f aca="false">IF(AC4099,IF(01_因子設定!$B$13="最大化",X4099,IF(01_因子設定!$B$13="最小化",-X4099,-ABS(X4099-01_因子設定!$B$16))),-1E+030)</f>
        <v>48.6816246345029</v>
      </c>
      <c r="AF4099" s="55" t="n">
        <f aca="false">AD4099+ROW()*0.000000001</f>
        <v>0.602653551057925</v>
      </c>
      <c r="AG4099" s="55" t="n">
        <f aca="false">AE4099+ROW()*0.000000001</f>
        <v>48.6816287335029</v>
      </c>
    </row>
    <row r="4100" customFormat="false" ht="15" hidden="false" customHeight="false" outlineLevel="0" collapsed="false">
      <c r="A4100" s="0" t="n">
        <v>5</v>
      </c>
      <c r="B4100" s="0" t="n">
        <v>5</v>
      </c>
      <c r="C4100" s="0" t="n">
        <v>5</v>
      </c>
      <c r="D4100" s="0" t="n">
        <v>0</v>
      </c>
      <c r="E4100" s="0" t="n">
        <f aca="false">-1+A4100*0.25</f>
        <v>0.25</v>
      </c>
      <c r="F4100" s="0" t="n">
        <f aca="false">-1+B4100*0.25</f>
        <v>0.25</v>
      </c>
      <c r="G4100" s="0" t="n">
        <f aca="false">-1+C4100*0.25</f>
        <v>0.25</v>
      </c>
      <c r="H4100" s="0" t="n">
        <f aca="false">-1+D4100*0.25</f>
        <v>-1</v>
      </c>
      <c r="I4100" s="0" t="n">
        <f aca="false">1</f>
        <v>1</v>
      </c>
      <c r="J4100" s="0" t="n">
        <f aca="false">E4100</f>
        <v>0.25</v>
      </c>
      <c r="K4100" s="0" t="n">
        <f aca="false">F4100</f>
        <v>0.25</v>
      </c>
      <c r="L4100" s="0" t="n">
        <f aca="false">G4100</f>
        <v>0.25</v>
      </c>
      <c r="M4100" s="0" t="n">
        <f aca="false">H4100</f>
        <v>-1</v>
      </c>
      <c r="N4100" s="0" t="n">
        <f aca="false">E4100*F4100</f>
        <v>0.0625</v>
      </c>
      <c r="O4100" s="0" t="n">
        <f aca="false">E4100*G4100</f>
        <v>0.0625</v>
      </c>
      <c r="P4100" s="0" t="n">
        <f aca="false">E4100*H4100</f>
        <v>-0.25</v>
      </c>
      <c r="Q4100" s="0" t="n">
        <f aca="false">F4100*G4100</f>
        <v>0.0625</v>
      </c>
      <c r="R4100" s="0" t="n">
        <f aca="false">F4100*H4100</f>
        <v>-0.25</v>
      </c>
      <c r="S4100" s="0" t="n">
        <f aca="false">G4100*H4100</f>
        <v>-0.25</v>
      </c>
      <c r="T4100" s="0" t="n">
        <f aca="false">E4100*E4100</f>
        <v>0.0625</v>
      </c>
      <c r="U4100" s="0" t="n">
        <f aca="false">F4100*F4100</f>
        <v>0.0625</v>
      </c>
      <c r="V4100" s="0" t="n">
        <f aca="false">G4100*G4100</f>
        <v>0.0625</v>
      </c>
      <c r="W4100" s="0" t="n">
        <f aca="false">H4100*H4100</f>
        <v>1</v>
      </c>
      <c r="X4100" s="0" t="n">
        <f aca="false">SUMPRODUCT(I4100:W4100,_XtX!$B$96:$P$96)</f>
        <v>48.0244745979532</v>
      </c>
      <c r="Y4100" s="0" t="n">
        <f aca="false">SUMPRODUCT(MMULT(I4100:W4100,_XtX!$B$78:$P$92),I4100:W4100)</f>
        <v>0.457466705500731</v>
      </c>
      <c r="Z4100" s="0" t="n">
        <f aca="false">04_回帰ANOVA!$K$19*04_回帰ANOVA!$K$14*SQRT(1+Y4100)</f>
        <v>1.57361220003999</v>
      </c>
      <c r="AA4100" s="0" t="n">
        <f aca="false">X4100-Z4100</f>
        <v>46.4508623979132</v>
      </c>
      <c r="AB4100" s="0" t="n">
        <f aca="false">X4100+Z4100</f>
        <v>49.5980867979932</v>
      </c>
      <c r="AC4100" s="54" t="b">
        <f aca="false">AND(E4100&gt;=01_因子設定!$L$5-0.000000001,E4100&lt;=01_因子設定!$M$5+0.000000001,F4100&gt;=01_因子設定!$L$6-0.000000001,F4100&lt;=01_因子設定!$M$6+0.000000001,G4100&gt;=01_因子設定!$L$7-0.000000001,G4100&lt;=01_因子設定!$M$7+0.000000001,H4100&gt;=01_因子設定!$L$8-0.000000001,H4100&lt;=01_因子設定!$M$8+0.000000001,IF(01_因子設定!$B$20="Box-Behnken",E4100^2+F4100^2+G4100^2+H4100^2&lt;=2+0.000000001,TRUE()))</f>
        <v>1</v>
      </c>
      <c r="AD4100" s="55" t="n">
        <f aca="false">IF(AC4100,IF(01_因子設定!$B$13="最大化",AA4100-01_因子設定!$B$14,IF(01_因子設定!$B$13="最小化",01_因子設定!$B$15-AB4100,MIN(AA4100-01_因子設定!$B$14,01_因子設定!$B$15-AB4100))),-1E+030)</f>
        <v>-0.0491376020868017</v>
      </c>
      <c r="AE4100" s="55" t="n">
        <f aca="false">IF(AC4100,IF(01_因子設定!$B$13="最大化",X4100,IF(01_因子設定!$B$13="最小化",-X4100,-ABS(X4100-01_因子設定!$B$16))),-1E+030)</f>
        <v>48.0244745979532</v>
      </c>
      <c r="AF4100" s="55" t="n">
        <f aca="false">AD4100+ROW()*0.000000001</f>
        <v>-0.0491335020868017</v>
      </c>
      <c r="AG4100" s="55" t="n">
        <f aca="false">AE4100+ROW()*0.000000001</f>
        <v>48.0244786979532</v>
      </c>
    </row>
    <row r="4101" customFormat="false" ht="15" hidden="false" customHeight="false" outlineLevel="0" collapsed="false">
      <c r="A4101" s="0" t="n">
        <v>5</v>
      </c>
      <c r="B4101" s="0" t="n">
        <v>5</v>
      </c>
      <c r="C4101" s="0" t="n">
        <v>5</v>
      </c>
      <c r="D4101" s="0" t="n">
        <v>1</v>
      </c>
      <c r="E4101" s="0" t="n">
        <f aca="false">-1+A4101*0.25</f>
        <v>0.25</v>
      </c>
      <c r="F4101" s="0" t="n">
        <f aca="false">-1+B4101*0.25</f>
        <v>0.25</v>
      </c>
      <c r="G4101" s="0" t="n">
        <f aca="false">-1+C4101*0.25</f>
        <v>0.25</v>
      </c>
      <c r="H4101" s="0" t="n">
        <f aca="false">-1+D4101*0.25</f>
        <v>-0.75</v>
      </c>
      <c r="I4101" s="0" t="n">
        <f aca="false">1</f>
        <v>1</v>
      </c>
      <c r="J4101" s="0" t="n">
        <f aca="false">E4101</f>
        <v>0.25</v>
      </c>
      <c r="K4101" s="0" t="n">
        <f aca="false">F4101</f>
        <v>0.25</v>
      </c>
      <c r="L4101" s="0" t="n">
        <f aca="false">G4101</f>
        <v>0.25</v>
      </c>
      <c r="M4101" s="0" t="n">
        <f aca="false">H4101</f>
        <v>-0.75</v>
      </c>
      <c r="N4101" s="0" t="n">
        <f aca="false">E4101*F4101</f>
        <v>0.0625</v>
      </c>
      <c r="O4101" s="0" t="n">
        <f aca="false">E4101*G4101</f>
        <v>0.0625</v>
      </c>
      <c r="P4101" s="0" t="n">
        <f aca="false">E4101*H4101</f>
        <v>-0.1875</v>
      </c>
      <c r="Q4101" s="0" t="n">
        <f aca="false">F4101*G4101</f>
        <v>0.0625</v>
      </c>
      <c r="R4101" s="0" t="n">
        <f aca="false">F4101*H4101</f>
        <v>-0.1875</v>
      </c>
      <c r="S4101" s="0" t="n">
        <f aca="false">G4101*H4101</f>
        <v>-0.1875</v>
      </c>
      <c r="T4101" s="0" t="n">
        <f aca="false">E4101*E4101</f>
        <v>0.0625</v>
      </c>
      <c r="U4101" s="0" t="n">
        <f aca="false">F4101*F4101</f>
        <v>0.0625</v>
      </c>
      <c r="V4101" s="0" t="n">
        <f aca="false">G4101*G4101</f>
        <v>0.0625</v>
      </c>
      <c r="W4101" s="0" t="n">
        <f aca="false">H4101*H4101</f>
        <v>0.5625</v>
      </c>
      <c r="X4101" s="0" t="n">
        <f aca="false">SUMPRODUCT(I4101:W4101,_XtX!$B$96:$P$96)</f>
        <v>48.3056880482456</v>
      </c>
      <c r="Y4101" s="0" t="n">
        <f aca="false">SUMPRODUCT(MMULT(I4101:W4101,_XtX!$B$78:$P$92),I4101:W4101)</f>
        <v>0.205926192434211</v>
      </c>
      <c r="Z4101" s="0" t="n">
        <f aca="false">04_回帰ANOVA!$K$19*04_回帰ANOVA!$K$14*SQRT(1+Y4101)</f>
        <v>1.43139256396246</v>
      </c>
      <c r="AA4101" s="0" t="n">
        <f aca="false">X4101-Z4101</f>
        <v>46.8742954842831</v>
      </c>
      <c r="AB4101" s="0" t="n">
        <f aca="false">X4101+Z4101</f>
        <v>49.737080612208</v>
      </c>
      <c r="AC4101" s="54" t="b">
        <f aca="false">AND(E4101&gt;=01_因子設定!$L$5-0.000000001,E4101&lt;=01_因子設定!$M$5+0.000000001,F4101&gt;=01_因子設定!$L$6-0.000000001,F4101&lt;=01_因子設定!$M$6+0.000000001,G4101&gt;=01_因子設定!$L$7-0.000000001,G4101&lt;=01_因子設定!$M$7+0.000000001,H4101&gt;=01_因子設定!$L$8-0.000000001,H4101&lt;=01_因子設定!$M$8+0.000000001,IF(01_因子設定!$B$20="Box-Behnken",E4101^2+F4101^2+G4101^2+H4101^2&lt;=2+0.000000001,TRUE()))</f>
        <v>1</v>
      </c>
      <c r="AD4101" s="55" t="n">
        <f aca="false">IF(AC4101,IF(01_因子設定!$B$13="最大化",AA4101-01_因子設定!$B$14,IF(01_因子設定!$B$13="最小化",01_因子設定!$B$15-AB4101,MIN(AA4101-01_因子設定!$B$14,01_因子設定!$B$15-AB4101))),-1E+030)</f>
        <v>0.374295484283117</v>
      </c>
      <c r="AE4101" s="55" t="n">
        <f aca="false">IF(AC4101,IF(01_因子設定!$B$13="最大化",X4101,IF(01_因子設定!$B$13="最小化",-X4101,-ABS(X4101-01_因子設定!$B$16))),-1E+030)</f>
        <v>48.3056880482456</v>
      </c>
      <c r="AF4101" s="55" t="n">
        <f aca="false">AD4101+ROW()*0.000000001</f>
        <v>0.374299585283117</v>
      </c>
      <c r="AG4101" s="55" t="n">
        <f aca="false">AE4101+ROW()*0.000000001</f>
        <v>48.3056921492456</v>
      </c>
    </row>
    <row r="4102" customFormat="false" ht="15" hidden="false" customHeight="false" outlineLevel="0" collapsed="false">
      <c r="A4102" s="0" t="n">
        <v>5</v>
      </c>
      <c r="B4102" s="0" t="n">
        <v>5</v>
      </c>
      <c r="C4102" s="0" t="n">
        <v>5</v>
      </c>
      <c r="D4102" s="0" t="n">
        <v>2</v>
      </c>
      <c r="E4102" s="0" t="n">
        <f aca="false">-1+A4102*0.25</f>
        <v>0.25</v>
      </c>
      <c r="F4102" s="0" t="n">
        <f aca="false">-1+B4102*0.25</f>
        <v>0.25</v>
      </c>
      <c r="G4102" s="0" t="n">
        <f aca="false">-1+C4102*0.25</f>
        <v>0.25</v>
      </c>
      <c r="H4102" s="0" t="n">
        <f aca="false">-1+D4102*0.25</f>
        <v>-0.5</v>
      </c>
      <c r="I4102" s="0" t="n">
        <f aca="false">1</f>
        <v>1</v>
      </c>
      <c r="J4102" s="0" t="n">
        <f aca="false">E4102</f>
        <v>0.25</v>
      </c>
      <c r="K4102" s="0" t="n">
        <f aca="false">F4102</f>
        <v>0.25</v>
      </c>
      <c r="L4102" s="0" t="n">
        <f aca="false">G4102</f>
        <v>0.25</v>
      </c>
      <c r="M4102" s="0" t="n">
        <f aca="false">H4102</f>
        <v>-0.5</v>
      </c>
      <c r="N4102" s="0" t="n">
        <f aca="false">E4102*F4102</f>
        <v>0.0625</v>
      </c>
      <c r="O4102" s="0" t="n">
        <f aca="false">E4102*G4102</f>
        <v>0.0625</v>
      </c>
      <c r="P4102" s="0" t="n">
        <f aca="false">E4102*H4102</f>
        <v>-0.125</v>
      </c>
      <c r="Q4102" s="0" t="n">
        <f aca="false">F4102*G4102</f>
        <v>0.0625</v>
      </c>
      <c r="R4102" s="0" t="n">
        <f aca="false">F4102*H4102</f>
        <v>-0.125</v>
      </c>
      <c r="S4102" s="0" t="n">
        <f aca="false">G4102*H4102</f>
        <v>-0.125</v>
      </c>
      <c r="T4102" s="0" t="n">
        <f aca="false">E4102*E4102</f>
        <v>0.0625</v>
      </c>
      <c r="U4102" s="0" t="n">
        <f aca="false">F4102*F4102</f>
        <v>0.0625</v>
      </c>
      <c r="V4102" s="0" t="n">
        <f aca="false">G4102*G4102</f>
        <v>0.0625</v>
      </c>
      <c r="W4102" s="0" t="n">
        <f aca="false">H4102*H4102</f>
        <v>0.25</v>
      </c>
      <c r="X4102" s="0" t="n">
        <f aca="false">SUMPRODUCT(I4102:W4102,_XtX!$B$96:$P$96)</f>
        <v>48.5390944809941</v>
      </c>
      <c r="Y4102" s="0" t="n">
        <f aca="false">SUMPRODUCT(MMULT(I4102:W4102,_XtX!$B$78:$P$92),I4102:W4102)</f>
        <v>0.116714923702485</v>
      </c>
      <c r="Z4102" s="0" t="n">
        <f aca="false">04_回帰ANOVA!$K$19*04_回帰ANOVA!$K$14*SQRT(1+Y4102)</f>
        <v>1.37743004820023</v>
      </c>
      <c r="AA4102" s="0" t="n">
        <f aca="false">X4102-Z4102</f>
        <v>47.1616644327939</v>
      </c>
      <c r="AB4102" s="0" t="n">
        <f aca="false">X4102+Z4102</f>
        <v>49.9165245291943</v>
      </c>
      <c r="AC4102" s="54" t="b">
        <f aca="false">AND(E4102&gt;=01_因子設定!$L$5-0.000000001,E4102&lt;=01_因子設定!$M$5+0.000000001,F4102&gt;=01_因子設定!$L$6-0.000000001,F4102&lt;=01_因子設定!$M$6+0.000000001,G4102&gt;=01_因子設定!$L$7-0.000000001,G4102&lt;=01_因子設定!$M$7+0.000000001,H4102&gt;=01_因子設定!$L$8-0.000000001,H4102&lt;=01_因子設定!$M$8+0.000000001,IF(01_因子設定!$B$20="Box-Behnken",E4102^2+F4102^2+G4102^2+H4102^2&lt;=2+0.000000001,TRUE()))</f>
        <v>1</v>
      </c>
      <c r="AD4102" s="55" t="n">
        <f aca="false">IF(AC4102,IF(01_因子設定!$B$13="最大化",AA4102-01_因子設定!$B$14,IF(01_因子設定!$B$13="最小化",01_因子設定!$B$15-AB4102,MIN(AA4102-01_因子設定!$B$14,01_因子設定!$B$15-AB4102))),-1E+030)</f>
        <v>0.661664432793877</v>
      </c>
      <c r="AE4102" s="55" t="n">
        <f aca="false">IF(AC4102,IF(01_因子設定!$B$13="最大化",X4102,IF(01_因子設定!$B$13="最小化",-X4102,-ABS(X4102-01_因子設定!$B$16))),-1E+030)</f>
        <v>48.5390944809941</v>
      </c>
      <c r="AF4102" s="55" t="n">
        <f aca="false">AD4102+ROW()*0.000000001</f>
        <v>0.661668534793877</v>
      </c>
      <c r="AG4102" s="55" t="n">
        <f aca="false">AE4102+ROW()*0.000000001</f>
        <v>48.5390985829941</v>
      </c>
    </row>
    <row r="4103" customFormat="false" ht="15" hidden="false" customHeight="false" outlineLevel="0" collapsed="false">
      <c r="A4103" s="0" t="n">
        <v>5</v>
      </c>
      <c r="B4103" s="0" t="n">
        <v>5</v>
      </c>
      <c r="C4103" s="0" t="n">
        <v>5</v>
      </c>
      <c r="D4103" s="0" t="n">
        <v>3</v>
      </c>
      <c r="E4103" s="0" t="n">
        <f aca="false">-1+A4103*0.25</f>
        <v>0.25</v>
      </c>
      <c r="F4103" s="0" t="n">
        <f aca="false">-1+B4103*0.25</f>
        <v>0.25</v>
      </c>
      <c r="G4103" s="0" t="n">
        <f aca="false">-1+C4103*0.25</f>
        <v>0.25</v>
      </c>
      <c r="H4103" s="0" t="n">
        <f aca="false">-1+D4103*0.25</f>
        <v>-0.25</v>
      </c>
      <c r="I4103" s="0" t="n">
        <f aca="false">1</f>
        <v>1</v>
      </c>
      <c r="J4103" s="0" t="n">
        <f aca="false">E4103</f>
        <v>0.25</v>
      </c>
      <c r="K4103" s="0" t="n">
        <f aca="false">F4103</f>
        <v>0.25</v>
      </c>
      <c r="L4103" s="0" t="n">
        <f aca="false">G4103</f>
        <v>0.25</v>
      </c>
      <c r="M4103" s="0" t="n">
        <f aca="false">H4103</f>
        <v>-0.25</v>
      </c>
      <c r="N4103" s="0" t="n">
        <f aca="false">E4103*F4103</f>
        <v>0.0625</v>
      </c>
      <c r="O4103" s="0" t="n">
        <f aca="false">E4103*G4103</f>
        <v>0.0625</v>
      </c>
      <c r="P4103" s="0" t="n">
        <f aca="false">E4103*H4103</f>
        <v>-0.0625</v>
      </c>
      <c r="Q4103" s="0" t="n">
        <f aca="false">F4103*G4103</f>
        <v>0.0625</v>
      </c>
      <c r="R4103" s="0" t="n">
        <f aca="false">F4103*H4103</f>
        <v>-0.0625</v>
      </c>
      <c r="S4103" s="0" t="n">
        <f aca="false">G4103*H4103</f>
        <v>-0.0625</v>
      </c>
      <c r="T4103" s="0" t="n">
        <f aca="false">E4103*E4103</f>
        <v>0.0625</v>
      </c>
      <c r="U4103" s="0" t="n">
        <f aca="false">F4103*F4103</f>
        <v>0.0625</v>
      </c>
      <c r="V4103" s="0" t="n">
        <f aca="false">G4103*G4103</f>
        <v>0.0625</v>
      </c>
      <c r="W4103" s="0" t="n">
        <f aca="false">H4103*H4103</f>
        <v>0.0625</v>
      </c>
      <c r="X4103" s="0" t="n">
        <f aca="false">SUMPRODUCT(I4103:W4103,_XtX!$B$96:$P$96)</f>
        <v>48.7246938961988</v>
      </c>
      <c r="Y4103" s="0" t="n">
        <f aca="false">SUMPRODUCT(MMULT(I4103:W4103,_XtX!$B$78:$P$92),I4103:W4103)</f>
        <v>0.0993723729897661</v>
      </c>
      <c r="Z4103" s="0" t="n">
        <f aca="false">04_回帰ANOVA!$K$19*04_回帰ANOVA!$K$14*SQRT(1+Y4103)</f>
        <v>1.36669247195631</v>
      </c>
      <c r="AA4103" s="0" t="n">
        <f aca="false">X4103-Z4103</f>
        <v>47.3580014242425</v>
      </c>
      <c r="AB4103" s="0" t="n">
        <f aca="false">X4103+Z4103</f>
        <v>50.0913863681551</v>
      </c>
      <c r="AC4103" s="54" t="b">
        <f aca="false">AND(E4103&gt;=01_因子設定!$L$5-0.000000001,E4103&lt;=01_因子設定!$M$5+0.000000001,F4103&gt;=01_因子設定!$L$6-0.000000001,F4103&lt;=01_因子設定!$M$6+0.000000001,G4103&gt;=01_因子設定!$L$7-0.000000001,G4103&lt;=01_因子設定!$M$7+0.000000001,H4103&gt;=01_因子設定!$L$8-0.000000001,H4103&lt;=01_因子設定!$M$8+0.000000001,IF(01_因子設定!$B$20="Box-Behnken",E4103^2+F4103^2+G4103^2+H4103^2&lt;=2+0.000000001,TRUE()))</f>
        <v>1</v>
      </c>
      <c r="AD4103" s="55" t="n">
        <f aca="false">IF(AC4103,IF(01_因子設定!$B$13="最大化",AA4103-01_因子設定!$B$14,IF(01_因子設定!$B$13="最小化",01_因子設定!$B$15-AB4103,MIN(AA4103-01_因子設定!$B$14,01_因子設定!$B$15-AB4103))),-1E+030)</f>
        <v>0.85800142424246</v>
      </c>
      <c r="AE4103" s="55" t="n">
        <f aca="false">IF(AC4103,IF(01_因子設定!$B$13="最大化",X4103,IF(01_因子設定!$B$13="最小化",-X4103,-ABS(X4103-01_因子設定!$B$16))),-1E+030)</f>
        <v>48.7246938961988</v>
      </c>
      <c r="AF4103" s="55" t="n">
        <f aca="false">AD4103+ROW()*0.000000001</f>
        <v>0.85800552724246</v>
      </c>
      <c r="AG4103" s="55" t="n">
        <f aca="false">AE4103+ROW()*0.000000001</f>
        <v>48.7246979991988</v>
      </c>
    </row>
    <row r="4104" customFormat="false" ht="15" hidden="false" customHeight="false" outlineLevel="0" collapsed="false">
      <c r="A4104" s="0" t="n">
        <v>5</v>
      </c>
      <c r="B4104" s="0" t="n">
        <v>5</v>
      </c>
      <c r="C4104" s="0" t="n">
        <v>5</v>
      </c>
      <c r="D4104" s="0" t="n">
        <v>4</v>
      </c>
      <c r="E4104" s="0" t="n">
        <f aca="false">-1+A4104*0.25</f>
        <v>0.25</v>
      </c>
      <c r="F4104" s="0" t="n">
        <f aca="false">-1+B4104*0.25</f>
        <v>0.25</v>
      </c>
      <c r="G4104" s="0" t="n">
        <f aca="false">-1+C4104*0.25</f>
        <v>0.25</v>
      </c>
      <c r="H4104" s="0" t="n">
        <f aca="false">-1+D4104*0.25</f>
        <v>0</v>
      </c>
      <c r="I4104" s="0" t="n">
        <f aca="false">1</f>
        <v>1</v>
      </c>
      <c r="J4104" s="0" t="n">
        <f aca="false">E4104</f>
        <v>0.25</v>
      </c>
      <c r="K4104" s="0" t="n">
        <f aca="false">F4104</f>
        <v>0.25</v>
      </c>
      <c r="L4104" s="0" t="n">
        <f aca="false">G4104</f>
        <v>0.25</v>
      </c>
      <c r="M4104" s="0" t="n">
        <f aca="false">H4104</f>
        <v>0</v>
      </c>
      <c r="N4104" s="0" t="n">
        <f aca="false">E4104*F4104</f>
        <v>0.0625</v>
      </c>
      <c r="O4104" s="0" t="n">
        <f aca="false">E4104*G4104</f>
        <v>0.0625</v>
      </c>
      <c r="P4104" s="0" t="n">
        <f aca="false">E4104*H4104</f>
        <v>0</v>
      </c>
      <c r="Q4104" s="0" t="n">
        <f aca="false">F4104*G4104</f>
        <v>0.0625</v>
      </c>
      <c r="R4104" s="0" t="n">
        <f aca="false">F4104*H4104</f>
        <v>0</v>
      </c>
      <c r="S4104" s="0" t="n">
        <f aca="false">G4104*H4104</f>
        <v>0</v>
      </c>
      <c r="T4104" s="0" t="n">
        <f aca="false">E4104*E4104</f>
        <v>0.0625</v>
      </c>
      <c r="U4104" s="0" t="n">
        <f aca="false">F4104*F4104</f>
        <v>0.0625</v>
      </c>
      <c r="V4104" s="0" t="n">
        <f aca="false">G4104*G4104</f>
        <v>0.0625</v>
      </c>
      <c r="W4104" s="0" t="n">
        <f aca="false">H4104*H4104</f>
        <v>0</v>
      </c>
      <c r="X4104" s="0" t="n">
        <f aca="false">SUMPRODUCT(I4104:W4104,_XtX!$B$96:$P$96)</f>
        <v>48.8624862938596</v>
      </c>
      <c r="Y4104" s="0" t="n">
        <f aca="false">SUMPRODUCT(MMULT(I4104:W4104,_XtX!$B$78:$P$92),I4104:W4104)</f>
        <v>0.099622224506579</v>
      </c>
      <c r="Z4104" s="0" t="n">
        <f aca="false">04_回帰ANOVA!$K$19*04_回帰ANOVA!$K$14*SQRT(1+Y4104)</f>
        <v>1.3668477654658</v>
      </c>
      <c r="AA4104" s="0" t="n">
        <f aca="false">X4104-Z4104</f>
        <v>47.4956385283938</v>
      </c>
      <c r="AB4104" s="0" t="n">
        <f aca="false">X4104+Z4104</f>
        <v>50.2293340593254</v>
      </c>
      <c r="AC4104" s="54" t="b">
        <f aca="false">AND(E4104&gt;=01_因子設定!$L$5-0.000000001,E4104&lt;=01_因子設定!$M$5+0.000000001,F4104&gt;=01_因子設定!$L$6-0.000000001,F4104&lt;=01_因子設定!$M$6+0.000000001,G4104&gt;=01_因子設定!$L$7-0.000000001,G4104&lt;=01_因子設定!$M$7+0.000000001,H4104&gt;=01_因子設定!$L$8-0.000000001,H4104&lt;=01_因子設定!$M$8+0.000000001,IF(01_因子設定!$B$20="Box-Behnken",E4104^2+F4104^2+G4104^2+H4104^2&lt;=2+0.000000001,TRUE()))</f>
        <v>1</v>
      </c>
      <c r="AD4104" s="55" t="n">
        <f aca="false">IF(AC4104,IF(01_因子設定!$B$13="最大化",AA4104-01_因子設定!$B$14,IF(01_因子設定!$B$13="最小化",01_因子設定!$B$15-AB4104,MIN(AA4104-01_因子設定!$B$14,01_因子設定!$B$15-AB4104))),-1E+030)</f>
        <v>0.995638528393791</v>
      </c>
      <c r="AE4104" s="55" t="n">
        <f aca="false">IF(AC4104,IF(01_因子設定!$B$13="最大化",X4104,IF(01_因子設定!$B$13="最小化",-X4104,-ABS(X4104-01_因子設定!$B$16))),-1E+030)</f>
        <v>48.8624862938596</v>
      </c>
      <c r="AF4104" s="55" t="n">
        <f aca="false">AD4104+ROW()*0.000000001</f>
        <v>0.995642632393791</v>
      </c>
      <c r="AG4104" s="55" t="n">
        <f aca="false">AE4104+ROW()*0.000000001</f>
        <v>48.8624903978596</v>
      </c>
    </row>
    <row r="4105" customFormat="false" ht="15" hidden="false" customHeight="false" outlineLevel="0" collapsed="false">
      <c r="A4105" s="0" t="n">
        <v>5</v>
      </c>
      <c r="B4105" s="0" t="n">
        <v>5</v>
      </c>
      <c r="C4105" s="0" t="n">
        <v>5</v>
      </c>
      <c r="D4105" s="0" t="n">
        <v>5</v>
      </c>
      <c r="E4105" s="0" t="n">
        <f aca="false">-1+A4105*0.25</f>
        <v>0.25</v>
      </c>
      <c r="F4105" s="0" t="n">
        <f aca="false">-1+B4105*0.25</f>
        <v>0.25</v>
      </c>
      <c r="G4105" s="0" t="n">
        <f aca="false">-1+C4105*0.25</f>
        <v>0.25</v>
      </c>
      <c r="H4105" s="0" t="n">
        <f aca="false">-1+D4105*0.25</f>
        <v>0.25</v>
      </c>
      <c r="I4105" s="0" t="n">
        <f aca="false">1</f>
        <v>1</v>
      </c>
      <c r="J4105" s="0" t="n">
        <f aca="false">E4105</f>
        <v>0.25</v>
      </c>
      <c r="K4105" s="0" t="n">
        <f aca="false">F4105</f>
        <v>0.25</v>
      </c>
      <c r="L4105" s="0" t="n">
        <f aca="false">G4105</f>
        <v>0.25</v>
      </c>
      <c r="M4105" s="0" t="n">
        <f aca="false">H4105</f>
        <v>0.25</v>
      </c>
      <c r="N4105" s="0" t="n">
        <f aca="false">E4105*F4105</f>
        <v>0.0625</v>
      </c>
      <c r="O4105" s="0" t="n">
        <f aca="false">E4105*G4105</f>
        <v>0.0625</v>
      </c>
      <c r="P4105" s="0" t="n">
        <f aca="false">E4105*H4105</f>
        <v>0.0625</v>
      </c>
      <c r="Q4105" s="0" t="n">
        <f aca="false">F4105*G4105</f>
        <v>0.0625</v>
      </c>
      <c r="R4105" s="0" t="n">
        <f aca="false">F4105*H4105</f>
        <v>0.0625</v>
      </c>
      <c r="S4105" s="0" t="n">
        <f aca="false">G4105*H4105</f>
        <v>0.0625</v>
      </c>
      <c r="T4105" s="0" t="n">
        <f aca="false">E4105*E4105</f>
        <v>0.0625</v>
      </c>
      <c r="U4105" s="0" t="n">
        <f aca="false">F4105*F4105</f>
        <v>0.0625</v>
      </c>
      <c r="V4105" s="0" t="n">
        <f aca="false">G4105*G4105</f>
        <v>0.0625</v>
      </c>
      <c r="W4105" s="0" t="n">
        <f aca="false">H4105*H4105</f>
        <v>0.0625</v>
      </c>
      <c r="X4105" s="0" t="n">
        <f aca="false">SUMPRODUCT(I4105:W4105,_XtX!$B$96:$P$96)</f>
        <v>48.9524716739766</v>
      </c>
      <c r="Y4105" s="0" t="n">
        <f aca="false">SUMPRODUCT(MMULT(I4105:W4105,_XtX!$B$78:$P$92),I4105:W4105)</f>
        <v>0.0993723729897661</v>
      </c>
      <c r="Z4105" s="0" t="n">
        <f aca="false">04_回帰ANOVA!$K$19*04_回帰ANOVA!$K$14*SQRT(1+Y4105)</f>
        <v>1.36669247195631</v>
      </c>
      <c r="AA4105" s="0" t="n">
        <f aca="false">X4105-Z4105</f>
        <v>47.5857792020202</v>
      </c>
      <c r="AB4105" s="0" t="n">
        <f aca="false">X4105+Z4105</f>
        <v>50.3191641459329</v>
      </c>
      <c r="AC4105" s="54" t="b">
        <f aca="false">AND(E4105&gt;=01_因子設定!$L$5-0.000000001,E4105&lt;=01_因子設定!$M$5+0.000000001,F4105&gt;=01_因子設定!$L$6-0.000000001,F4105&lt;=01_因子設定!$M$6+0.000000001,G4105&gt;=01_因子設定!$L$7-0.000000001,G4105&lt;=01_因子設定!$M$7+0.000000001,H4105&gt;=01_因子設定!$L$8-0.000000001,H4105&lt;=01_因子設定!$M$8+0.000000001,IF(01_因子設定!$B$20="Box-Behnken",E4105^2+F4105^2+G4105^2+H4105^2&lt;=2+0.000000001,TRUE()))</f>
        <v>1</v>
      </c>
      <c r="AD4105" s="55" t="n">
        <f aca="false">IF(AC4105,IF(01_因子設定!$B$13="最大化",AA4105-01_因子設定!$B$14,IF(01_因子設定!$B$13="最小化",01_因子設定!$B$15-AB4105,MIN(AA4105-01_因子設定!$B$14,01_因子設定!$B$15-AB4105))),-1E+030)</f>
        <v>1.08577920202023</v>
      </c>
      <c r="AE4105" s="55" t="n">
        <f aca="false">IF(AC4105,IF(01_因子設定!$B$13="最大化",X4105,IF(01_因子設定!$B$13="最小化",-X4105,-ABS(X4105-01_因子設定!$B$16))),-1E+030)</f>
        <v>48.9524716739766</v>
      </c>
      <c r="AF4105" s="55" t="n">
        <f aca="false">AD4105+ROW()*0.000000001</f>
        <v>1.08578330702023</v>
      </c>
      <c r="AG4105" s="55" t="n">
        <f aca="false">AE4105+ROW()*0.000000001</f>
        <v>48.9524757789766</v>
      </c>
    </row>
    <row r="4106" customFormat="false" ht="15" hidden="false" customHeight="false" outlineLevel="0" collapsed="false">
      <c r="A4106" s="0" t="n">
        <v>5</v>
      </c>
      <c r="B4106" s="0" t="n">
        <v>5</v>
      </c>
      <c r="C4106" s="0" t="n">
        <v>5</v>
      </c>
      <c r="D4106" s="0" t="n">
        <v>6</v>
      </c>
      <c r="E4106" s="0" t="n">
        <f aca="false">-1+A4106*0.25</f>
        <v>0.25</v>
      </c>
      <c r="F4106" s="0" t="n">
        <f aca="false">-1+B4106*0.25</f>
        <v>0.25</v>
      </c>
      <c r="G4106" s="0" t="n">
        <f aca="false">-1+C4106*0.25</f>
        <v>0.25</v>
      </c>
      <c r="H4106" s="0" t="n">
        <f aca="false">-1+D4106*0.25</f>
        <v>0.5</v>
      </c>
      <c r="I4106" s="0" t="n">
        <f aca="false">1</f>
        <v>1</v>
      </c>
      <c r="J4106" s="0" t="n">
        <f aca="false">E4106</f>
        <v>0.25</v>
      </c>
      <c r="K4106" s="0" t="n">
        <f aca="false">F4106</f>
        <v>0.25</v>
      </c>
      <c r="L4106" s="0" t="n">
        <f aca="false">G4106</f>
        <v>0.25</v>
      </c>
      <c r="M4106" s="0" t="n">
        <f aca="false">H4106</f>
        <v>0.5</v>
      </c>
      <c r="N4106" s="0" t="n">
        <f aca="false">E4106*F4106</f>
        <v>0.0625</v>
      </c>
      <c r="O4106" s="0" t="n">
        <f aca="false">E4106*G4106</f>
        <v>0.0625</v>
      </c>
      <c r="P4106" s="0" t="n">
        <f aca="false">E4106*H4106</f>
        <v>0.125</v>
      </c>
      <c r="Q4106" s="0" t="n">
        <f aca="false">F4106*G4106</f>
        <v>0.0625</v>
      </c>
      <c r="R4106" s="0" t="n">
        <f aca="false">F4106*H4106</f>
        <v>0.125</v>
      </c>
      <c r="S4106" s="0" t="n">
        <f aca="false">G4106*H4106</f>
        <v>0.125</v>
      </c>
      <c r="T4106" s="0" t="n">
        <f aca="false">E4106*E4106</f>
        <v>0.0625</v>
      </c>
      <c r="U4106" s="0" t="n">
        <f aca="false">F4106*F4106</f>
        <v>0.0625</v>
      </c>
      <c r="V4106" s="0" t="n">
        <f aca="false">G4106*G4106</f>
        <v>0.0625</v>
      </c>
      <c r="W4106" s="0" t="n">
        <f aca="false">H4106*H4106</f>
        <v>0.25</v>
      </c>
      <c r="X4106" s="0" t="n">
        <f aca="false">SUMPRODUCT(I4106:W4106,_XtX!$B$96:$P$96)</f>
        <v>48.9946500365497</v>
      </c>
      <c r="Y4106" s="0" t="n">
        <f aca="false">SUMPRODUCT(MMULT(I4106:W4106,_XtX!$B$78:$P$92),I4106:W4106)</f>
        <v>0.116714923702485</v>
      </c>
      <c r="Z4106" s="0" t="n">
        <f aca="false">04_回帰ANOVA!$K$19*04_回帰ANOVA!$K$14*SQRT(1+Y4106)</f>
        <v>1.37743004820023</v>
      </c>
      <c r="AA4106" s="0" t="n">
        <f aca="false">X4106-Z4106</f>
        <v>47.6172199883494</v>
      </c>
      <c r="AB4106" s="0" t="n">
        <f aca="false">X4106+Z4106</f>
        <v>50.3720800847499</v>
      </c>
      <c r="AC4106" s="54" t="b">
        <f aca="false">AND(E4106&gt;=01_因子設定!$L$5-0.000000001,E4106&lt;=01_因子設定!$M$5+0.000000001,F4106&gt;=01_因子設定!$L$6-0.000000001,F4106&lt;=01_因子設定!$M$6+0.000000001,G4106&gt;=01_因子設定!$L$7-0.000000001,G4106&lt;=01_因子設定!$M$7+0.000000001,H4106&gt;=01_因子設定!$L$8-0.000000001,H4106&lt;=01_因子設定!$M$8+0.000000001,IF(01_因子設定!$B$20="Box-Behnken",E4106^2+F4106^2+G4106^2+H4106^2&lt;=2+0.000000001,TRUE()))</f>
        <v>1</v>
      </c>
      <c r="AD4106" s="55" t="n">
        <f aca="false">IF(AC4106,IF(01_因子設定!$B$13="最大化",AA4106-01_因子設定!$B$14,IF(01_因子設定!$B$13="最小化",01_因子設定!$B$15-AB4106,MIN(AA4106-01_因子設定!$B$14,01_因子設定!$B$15-AB4106))),-1E+030)</f>
        <v>1.11721998834943</v>
      </c>
      <c r="AE4106" s="55" t="n">
        <f aca="false">IF(AC4106,IF(01_因子設定!$B$13="最大化",X4106,IF(01_因子設定!$B$13="最小化",-X4106,-ABS(X4106-01_因子設定!$B$16))),-1E+030)</f>
        <v>48.9946500365497</v>
      </c>
      <c r="AF4106" s="55" t="n">
        <f aca="false">AD4106+ROW()*0.000000001</f>
        <v>1.11722409434943</v>
      </c>
      <c r="AG4106" s="55" t="n">
        <f aca="false">AE4106+ROW()*0.000000001</f>
        <v>48.9946541425497</v>
      </c>
    </row>
    <row r="4107" customFormat="false" ht="15" hidden="false" customHeight="false" outlineLevel="0" collapsed="false">
      <c r="A4107" s="0" t="n">
        <v>5</v>
      </c>
      <c r="B4107" s="0" t="n">
        <v>5</v>
      </c>
      <c r="C4107" s="0" t="n">
        <v>5</v>
      </c>
      <c r="D4107" s="0" t="n">
        <v>7</v>
      </c>
      <c r="E4107" s="0" t="n">
        <f aca="false">-1+A4107*0.25</f>
        <v>0.25</v>
      </c>
      <c r="F4107" s="0" t="n">
        <f aca="false">-1+B4107*0.25</f>
        <v>0.25</v>
      </c>
      <c r="G4107" s="0" t="n">
        <f aca="false">-1+C4107*0.25</f>
        <v>0.25</v>
      </c>
      <c r="H4107" s="0" t="n">
        <f aca="false">-1+D4107*0.25</f>
        <v>0.75</v>
      </c>
      <c r="I4107" s="0" t="n">
        <f aca="false">1</f>
        <v>1</v>
      </c>
      <c r="J4107" s="0" t="n">
        <f aca="false">E4107</f>
        <v>0.25</v>
      </c>
      <c r="K4107" s="0" t="n">
        <f aca="false">F4107</f>
        <v>0.25</v>
      </c>
      <c r="L4107" s="0" t="n">
        <f aca="false">G4107</f>
        <v>0.25</v>
      </c>
      <c r="M4107" s="0" t="n">
        <f aca="false">H4107</f>
        <v>0.75</v>
      </c>
      <c r="N4107" s="0" t="n">
        <f aca="false">E4107*F4107</f>
        <v>0.0625</v>
      </c>
      <c r="O4107" s="0" t="n">
        <f aca="false">E4107*G4107</f>
        <v>0.0625</v>
      </c>
      <c r="P4107" s="0" t="n">
        <f aca="false">E4107*H4107</f>
        <v>0.1875</v>
      </c>
      <c r="Q4107" s="0" t="n">
        <f aca="false">F4107*G4107</f>
        <v>0.0625</v>
      </c>
      <c r="R4107" s="0" t="n">
        <f aca="false">F4107*H4107</f>
        <v>0.1875</v>
      </c>
      <c r="S4107" s="0" t="n">
        <f aca="false">G4107*H4107</f>
        <v>0.1875</v>
      </c>
      <c r="T4107" s="0" t="n">
        <f aca="false">E4107*E4107</f>
        <v>0.0625</v>
      </c>
      <c r="U4107" s="0" t="n">
        <f aca="false">F4107*F4107</f>
        <v>0.0625</v>
      </c>
      <c r="V4107" s="0" t="n">
        <f aca="false">G4107*G4107</f>
        <v>0.0625</v>
      </c>
      <c r="W4107" s="0" t="n">
        <f aca="false">H4107*H4107</f>
        <v>0.5625</v>
      </c>
      <c r="X4107" s="0" t="n">
        <f aca="false">SUMPRODUCT(I4107:W4107,_XtX!$B$96:$P$96)</f>
        <v>48.9890213815789</v>
      </c>
      <c r="Y4107" s="0" t="n">
        <f aca="false">SUMPRODUCT(MMULT(I4107:W4107,_XtX!$B$78:$P$92),I4107:W4107)</f>
        <v>0.205926192434211</v>
      </c>
      <c r="Z4107" s="0" t="n">
        <f aca="false">04_回帰ANOVA!$K$19*04_回帰ANOVA!$K$14*SQRT(1+Y4107)</f>
        <v>1.43139256396246</v>
      </c>
      <c r="AA4107" s="0" t="n">
        <f aca="false">X4107-Z4107</f>
        <v>47.5576288176165</v>
      </c>
      <c r="AB4107" s="0" t="n">
        <f aca="false">X4107+Z4107</f>
        <v>50.4204139455414</v>
      </c>
      <c r="AC4107" s="54" t="b">
        <f aca="false">AND(E4107&gt;=01_因子設定!$L$5-0.000000001,E4107&lt;=01_因子設定!$M$5+0.000000001,F4107&gt;=01_因子設定!$L$6-0.000000001,F4107&lt;=01_因子設定!$M$6+0.000000001,G4107&gt;=01_因子設定!$L$7-0.000000001,G4107&lt;=01_因子設定!$M$7+0.000000001,H4107&gt;=01_因子設定!$L$8-0.000000001,H4107&lt;=01_因子設定!$M$8+0.000000001,IF(01_因子設定!$B$20="Box-Behnken",E4107^2+F4107^2+G4107^2+H4107^2&lt;=2+0.000000001,TRUE()))</f>
        <v>1</v>
      </c>
      <c r="AD4107" s="55" t="n">
        <f aca="false">IF(AC4107,IF(01_因子設定!$B$13="最大化",AA4107-01_因子設定!$B$14,IF(01_因子設定!$B$13="最小化",01_因子設定!$B$15-AB4107,MIN(AA4107-01_因子設定!$B$14,01_因子設定!$B$15-AB4107))),-1E+030)</f>
        <v>1.05762881761645</v>
      </c>
      <c r="AE4107" s="55" t="n">
        <f aca="false">IF(AC4107,IF(01_因子設定!$B$13="最大化",X4107,IF(01_因子設定!$B$13="最小化",-X4107,-ABS(X4107-01_因子設定!$B$16))),-1E+030)</f>
        <v>48.9890213815789</v>
      </c>
      <c r="AF4107" s="55" t="n">
        <f aca="false">AD4107+ROW()*0.000000001</f>
        <v>1.05763292461645</v>
      </c>
      <c r="AG4107" s="55" t="n">
        <f aca="false">AE4107+ROW()*0.000000001</f>
        <v>48.9890254885789</v>
      </c>
    </row>
    <row r="4108" customFormat="false" ht="15" hidden="false" customHeight="false" outlineLevel="0" collapsed="false">
      <c r="A4108" s="0" t="n">
        <v>5</v>
      </c>
      <c r="B4108" s="0" t="n">
        <v>5</v>
      </c>
      <c r="C4108" s="0" t="n">
        <v>5</v>
      </c>
      <c r="D4108" s="0" t="n">
        <v>8</v>
      </c>
      <c r="E4108" s="0" t="n">
        <f aca="false">-1+A4108*0.25</f>
        <v>0.25</v>
      </c>
      <c r="F4108" s="0" t="n">
        <f aca="false">-1+B4108*0.25</f>
        <v>0.25</v>
      </c>
      <c r="G4108" s="0" t="n">
        <f aca="false">-1+C4108*0.25</f>
        <v>0.25</v>
      </c>
      <c r="H4108" s="0" t="n">
        <f aca="false">-1+D4108*0.25</f>
        <v>1</v>
      </c>
      <c r="I4108" s="0" t="n">
        <f aca="false">1</f>
        <v>1</v>
      </c>
      <c r="J4108" s="0" t="n">
        <f aca="false">E4108</f>
        <v>0.25</v>
      </c>
      <c r="K4108" s="0" t="n">
        <f aca="false">F4108</f>
        <v>0.25</v>
      </c>
      <c r="L4108" s="0" t="n">
        <f aca="false">G4108</f>
        <v>0.25</v>
      </c>
      <c r="M4108" s="0" t="n">
        <f aca="false">H4108</f>
        <v>1</v>
      </c>
      <c r="N4108" s="0" t="n">
        <f aca="false">E4108*F4108</f>
        <v>0.0625</v>
      </c>
      <c r="O4108" s="0" t="n">
        <f aca="false">E4108*G4108</f>
        <v>0.0625</v>
      </c>
      <c r="P4108" s="0" t="n">
        <f aca="false">E4108*H4108</f>
        <v>0.25</v>
      </c>
      <c r="Q4108" s="0" t="n">
        <f aca="false">F4108*G4108</f>
        <v>0.0625</v>
      </c>
      <c r="R4108" s="0" t="n">
        <f aca="false">F4108*H4108</f>
        <v>0.25</v>
      </c>
      <c r="S4108" s="0" t="n">
        <f aca="false">G4108*H4108</f>
        <v>0.25</v>
      </c>
      <c r="T4108" s="0" t="n">
        <f aca="false">E4108*E4108</f>
        <v>0.0625</v>
      </c>
      <c r="U4108" s="0" t="n">
        <f aca="false">F4108*F4108</f>
        <v>0.0625</v>
      </c>
      <c r="V4108" s="0" t="n">
        <f aca="false">G4108*G4108</f>
        <v>0.0625</v>
      </c>
      <c r="W4108" s="0" t="n">
        <f aca="false">H4108*H4108</f>
        <v>1</v>
      </c>
      <c r="X4108" s="0" t="n">
        <f aca="false">SUMPRODUCT(I4108:W4108,_XtX!$B$96:$P$96)</f>
        <v>48.9355857090643</v>
      </c>
      <c r="Y4108" s="0" t="n">
        <f aca="false">SUMPRODUCT(MMULT(I4108:W4108,_XtX!$B$78:$P$92),I4108:W4108)</f>
        <v>0.457466705500731</v>
      </c>
      <c r="Z4108" s="0" t="n">
        <f aca="false">04_回帰ANOVA!$K$19*04_回帰ANOVA!$K$14*SQRT(1+Y4108)</f>
        <v>1.57361220003999</v>
      </c>
      <c r="AA4108" s="0" t="n">
        <f aca="false">X4108-Z4108</f>
        <v>47.3619735090243</v>
      </c>
      <c r="AB4108" s="0" t="n">
        <f aca="false">X4108+Z4108</f>
        <v>50.5091979091043</v>
      </c>
      <c r="AC4108" s="54" t="b">
        <f aca="false">AND(E4108&gt;=01_因子設定!$L$5-0.000000001,E4108&lt;=01_因子設定!$M$5+0.000000001,F4108&gt;=01_因子設定!$L$6-0.000000001,F4108&lt;=01_因子設定!$M$6+0.000000001,G4108&gt;=01_因子設定!$L$7-0.000000001,G4108&lt;=01_因子設定!$M$7+0.000000001,H4108&gt;=01_因子設定!$L$8-0.000000001,H4108&lt;=01_因子設定!$M$8+0.000000001,IF(01_因子設定!$B$20="Box-Behnken",E4108^2+F4108^2+G4108^2+H4108^2&lt;=2+0.000000001,TRUE()))</f>
        <v>1</v>
      </c>
      <c r="AD4108" s="55" t="n">
        <f aca="false">IF(AC4108,IF(01_因子設定!$B$13="最大化",AA4108-01_因子設定!$B$14,IF(01_因子設定!$B$13="最小化",01_因子設定!$B$15-AB4108,MIN(AA4108-01_因子設定!$B$14,01_因子設定!$B$15-AB4108))),-1E+030)</f>
        <v>0.86197350902431</v>
      </c>
      <c r="AE4108" s="55" t="n">
        <f aca="false">IF(AC4108,IF(01_因子設定!$B$13="最大化",X4108,IF(01_因子設定!$B$13="最小化",-X4108,-ABS(X4108-01_因子設定!$B$16))),-1E+030)</f>
        <v>48.9355857090643</v>
      </c>
      <c r="AF4108" s="55" t="n">
        <f aca="false">AD4108+ROW()*0.000000001</f>
        <v>0.86197761702431</v>
      </c>
      <c r="AG4108" s="55" t="n">
        <f aca="false">AE4108+ROW()*0.000000001</f>
        <v>48.9355898170643</v>
      </c>
    </row>
    <row r="4109" customFormat="false" ht="15" hidden="false" customHeight="false" outlineLevel="0" collapsed="false">
      <c r="A4109" s="0" t="n">
        <v>5</v>
      </c>
      <c r="B4109" s="0" t="n">
        <v>5</v>
      </c>
      <c r="C4109" s="0" t="n">
        <v>6</v>
      </c>
      <c r="D4109" s="0" t="n">
        <v>0</v>
      </c>
      <c r="E4109" s="0" t="n">
        <f aca="false">-1+A4109*0.25</f>
        <v>0.25</v>
      </c>
      <c r="F4109" s="0" t="n">
        <f aca="false">-1+B4109*0.25</f>
        <v>0.25</v>
      </c>
      <c r="G4109" s="0" t="n">
        <f aca="false">-1+C4109*0.25</f>
        <v>0.5</v>
      </c>
      <c r="H4109" s="0" t="n">
        <f aca="false">-1+D4109*0.25</f>
        <v>-1</v>
      </c>
      <c r="I4109" s="0" t="n">
        <f aca="false">1</f>
        <v>1</v>
      </c>
      <c r="J4109" s="0" t="n">
        <f aca="false">E4109</f>
        <v>0.25</v>
      </c>
      <c r="K4109" s="0" t="n">
        <f aca="false">F4109</f>
        <v>0.25</v>
      </c>
      <c r="L4109" s="0" t="n">
        <f aca="false">G4109</f>
        <v>0.5</v>
      </c>
      <c r="M4109" s="0" t="n">
        <f aca="false">H4109</f>
        <v>-1</v>
      </c>
      <c r="N4109" s="0" t="n">
        <f aca="false">E4109*F4109</f>
        <v>0.0625</v>
      </c>
      <c r="O4109" s="0" t="n">
        <f aca="false">E4109*G4109</f>
        <v>0.125</v>
      </c>
      <c r="P4109" s="0" t="n">
        <f aca="false">E4109*H4109</f>
        <v>-0.25</v>
      </c>
      <c r="Q4109" s="0" t="n">
        <f aca="false">F4109*G4109</f>
        <v>0.125</v>
      </c>
      <c r="R4109" s="0" t="n">
        <f aca="false">F4109*H4109</f>
        <v>-0.25</v>
      </c>
      <c r="S4109" s="0" t="n">
        <f aca="false">G4109*H4109</f>
        <v>-0.5</v>
      </c>
      <c r="T4109" s="0" t="n">
        <f aca="false">E4109*E4109</f>
        <v>0.0625</v>
      </c>
      <c r="U4109" s="0" t="n">
        <f aca="false">F4109*F4109</f>
        <v>0.0625</v>
      </c>
      <c r="V4109" s="0" t="n">
        <f aca="false">G4109*G4109</f>
        <v>0.25</v>
      </c>
      <c r="W4109" s="0" t="n">
        <f aca="false">H4109*H4109</f>
        <v>1</v>
      </c>
      <c r="X4109" s="0" t="n">
        <f aca="false">SUMPRODUCT(I4109:W4109,_XtX!$B$96:$P$96)</f>
        <v>48.0493786549707</v>
      </c>
      <c r="Y4109" s="0" t="n">
        <f aca="false">SUMPRODUCT(MMULT(I4109:W4109,_XtX!$B$78:$P$92),I4109:W4109)</f>
        <v>0.445705123812135</v>
      </c>
      <c r="Z4109" s="0" t="n">
        <f aca="false">04_回帰ANOVA!$K$19*04_回帰ANOVA!$K$14*SQRT(1+Y4109)</f>
        <v>1.56724990734749</v>
      </c>
      <c r="AA4109" s="0" t="n">
        <f aca="false">X4109-Z4109</f>
        <v>46.4821287476233</v>
      </c>
      <c r="AB4109" s="0" t="n">
        <f aca="false">X4109+Z4109</f>
        <v>49.6166285623182</v>
      </c>
      <c r="AC4109" s="54" t="b">
        <f aca="false">AND(E4109&gt;=01_因子設定!$L$5-0.000000001,E4109&lt;=01_因子設定!$M$5+0.000000001,F4109&gt;=01_因子設定!$L$6-0.000000001,F4109&lt;=01_因子設定!$M$6+0.000000001,G4109&gt;=01_因子設定!$L$7-0.000000001,G4109&lt;=01_因子設定!$M$7+0.000000001,H4109&gt;=01_因子設定!$L$8-0.000000001,H4109&lt;=01_因子設定!$M$8+0.000000001,IF(01_因子設定!$B$20="Box-Behnken",E4109^2+F4109^2+G4109^2+H4109^2&lt;=2+0.000000001,TRUE()))</f>
        <v>1</v>
      </c>
      <c r="AD4109" s="55" t="n">
        <f aca="false">IF(AC4109,IF(01_因子設定!$B$13="最大化",AA4109-01_因子設定!$B$14,IF(01_因子設定!$B$13="最小化",01_因子設定!$B$15-AB4109,MIN(AA4109-01_因子設定!$B$14,01_因子設定!$B$15-AB4109))),-1E+030)</f>
        <v>-0.0178712523767501</v>
      </c>
      <c r="AE4109" s="55" t="n">
        <f aca="false">IF(AC4109,IF(01_因子設定!$B$13="最大化",X4109,IF(01_因子設定!$B$13="最小化",-X4109,-ABS(X4109-01_因子設定!$B$16))),-1E+030)</f>
        <v>48.0493786549707</v>
      </c>
      <c r="AF4109" s="55" t="n">
        <f aca="false">AD4109+ROW()*0.000000001</f>
        <v>-0.0178671433767501</v>
      </c>
      <c r="AG4109" s="55" t="n">
        <f aca="false">AE4109+ROW()*0.000000001</f>
        <v>48.0493827639707</v>
      </c>
    </row>
    <row r="4110" customFormat="false" ht="15" hidden="false" customHeight="false" outlineLevel="0" collapsed="false">
      <c r="A4110" s="0" t="n">
        <v>5</v>
      </c>
      <c r="B4110" s="0" t="n">
        <v>5</v>
      </c>
      <c r="C4110" s="0" t="n">
        <v>6</v>
      </c>
      <c r="D4110" s="0" t="n">
        <v>1</v>
      </c>
      <c r="E4110" s="0" t="n">
        <f aca="false">-1+A4110*0.25</f>
        <v>0.25</v>
      </c>
      <c r="F4110" s="0" t="n">
        <f aca="false">-1+B4110*0.25</f>
        <v>0.25</v>
      </c>
      <c r="G4110" s="0" t="n">
        <f aca="false">-1+C4110*0.25</f>
        <v>0.5</v>
      </c>
      <c r="H4110" s="0" t="n">
        <f aca="false">-1+D4110*0.25</f>
        <v>-0.75</v>
      </c>
      <c r="I4110" s="0" t="n">
        <f aca="false">1</f>
        <v>1</v>
      </c>
      <c r="J4110" s="0" t="n">
        <f aca="false">E4110</f>
        <v>0.25</v>
      </c>
      <c r="K4110" s="0" t="n">
        <f aca="false">F4110</f>
        <v>0.25</v>
      </c>
      <c r="L4110" s="0" t="n">
        <f aca="false">G4110</f>
        <v>0.5</v>
      </c>
      <c r="M4110" s="0" t="n">
        <f aca="false">H4110</f>
        <v>-0.75</v>
      </c>
      <c r="N4110" s="0" t="n">
        <f aca="false">E4110*F4110</f>
        <v>0.0625</v>
      </c>
      <c r="O4110" s="0" t="n">
        <f aca="false">E4110*G4110</f>
        <v>0.125</v>
      </c>
      <c r="P4110" s="0" t="n">
        <f aca="false">E4110*H4110</f>
        <v>-0.1875</v>
      </c>
      <c r="Q4110" s="0" t="n">
        <f aca="false">F4110*G4110</f>
        <v>0.125</v>
      </c>
      <c r="R4110" s="0" t="n">
        <f aca="false">F4110*H4110</f>
        <v>-0.1875</v>
      </c>
      <c r="S4110" s="0" t="n">
        <f aca="false">G4110*H4110</f>
        <v>-0.375</v>
      </c>
      <c r="T4110" s="0" t="n">
        <f aca="false">E4110*E4110</f>
        <v>0.0625</v>
      </c>
      <c r="U4110" s="0" t="n">
        <f aca="false">F4110*F4110</f>
        <v>0.0625</v>
      </c>
      <c r="V4110" s="0" t="n">
        <f aca="false">G4110*G4110</f>
        <v>0.25</v>
      </c>
      <c r="W4110" s="0" t="n">
        <f aca="false">H4110*H4110</f>
        <v>0.5625</v>
      </c>
      <c r="X4110" s="0" t="n">
        <f aca="false">SUMPRODUCT(I4110:W4110,_XtX!$B$96:$P$96)</f>
        <v>48.3485608552631</v>
      </c>
      <c r="Y4110" s="0" t="n">
        <f aca="false">SUMPRODUCT(MMULT(I4110:W4110,_XtX!$B$78:$P$92),I4110:W4110)</f>
        <v>0.207746539199561</v>
      </c>
      <c r="Z4110" s="0" t="n">
        <f aca="false">04_回帰ANOVA!$K$19*04_回帰ANOVA!$K$14*SQRT(1+Y4110)</f>
        <v>1.43247250081141</v>
      </c>
      <c r="AA4110" s="0" t="n">
        <f aca="false">X4110-Z4110</f>
        <v>46.9160883544517</v>
      </c>
      <c r="AB4110" s="0" t="n">
        <f aca="false">X4110+Z4110</f>
        <v>49.7810333560745</v>
      </c>
      <c r="AC4110" s="54" t="b">
        <f aca="false">AND(E4110&gt;=01_因子設定!$L$5-0.000000001,E4110&lt;=01_因子設定!$M$5+0.000000001,F4110&gt;=01_因子設定!$L$6-0.000000001,F4110&lt;=01_因子設定!$M$6+0.000000001,G4110&gt;=01_因子設定!$L$7-0.000000001,G4110&lt;=01_因子設定!$M$7+0.000000001,H4110&gt;=01_因子設定!$L$8-0.000000001,H4110&lt;=01_因子設定!$M$8+0.000000001,IF(01_因子設定!$B$20="Box-Behnken",E4110^2+F4110^2+G4110^2+H4110^2&lt;=2+0.000000001,TRUE()))</f>
        <v>1</v>
      </c>
      <c r="AD4110" s="55" t="n">
        <f aca="false">IF(AC4110,IF(01_因子設定!$B$13="最大化",AA4110-01_因子設定!$B$14,IF(01_因子設定!$B$13="最小化",01_因子設定!$B$15-AB4110,MIN(AA4110-01_因子設定!$B$14,01_因子設定!$B$15-AB4110))),-1E+030)</f>
        <v>0.416088354451716</v>
      </c>
      <c r="AE4110" s="55" t="n">
        <f aca="false">IF(AC4110,IF(01_因子設定!$B$13="最大化",X4110,IF(01_因子設定!$B$13="最小化",-X4110,-ABS(X4110-01_因子設定!$B$16))),-1E+030)</f>
        <v>48.3485608552631</v>
      </c>
      <c r="AF4110" s="55" t="n">
        <f aca="false">AD4110+ROW()*0.000000001</f>
        <v>0.416092464451716</v>
      </c>
      <c r="AG4110" s="55" t="n">
        <f aca="false">AE4110+ROW()*0.000000001</f>
        <v>48.3485649652631</v>
      </c>
    </row>
    <row r="4111" customFormat="false" ht="15" hidden="false" customHeight="false" outlineLevel="0" collapsed="false">
      <c r="A4111" s="0" t="n">
        <v>5</v>
      </c>
      <c r="B4111" s="0" t="n">
        <v>5</v>
      </c>
      <c r="C4111" s="0" t="n">
        <v>6</v>
      </c>
      <c r="D4111" s="0" t="n">
        <v>2</v>
      </c>
      <c r="E4111" s="0" t="n">
        <f aca="false">-1+A4111*0.25</f>
        <v>0.25</v>
      </c>
      <c r="F4111" s="0" t="n">
        <f aca="false">-1+B4111*0.25</f>
        <v>0.25</v>
      </c>
      <c r="G4111" s="0" t="n">
        <f aca="false">-1+C4111*0.25</f>
        <v>0.5</v>
      </c>
      <c r="H4111" s="0" t="n">
        <f aca="false">-1+D4111*0.25</f>
        <v>-0.5</v>
      </c>
      <c r="I4111" s="0" t="n">
        <f aca="false">1</f>
        <v>1</v>
      </c>
      <c r="J4111" s="0" t="n">
        <f aca="false">E4111</f>
        <v>0.25</v>
      </c>
      <c r="K4111" s="0" t="n">
        <f aca="false">F4111</f>
        <v>0.25</v>
      </c>
      <c r="L4111" s="0" t="n">
        <f aca="false">G4111</f>
        <v>0.5</v>
      </c>
      <c r="M4111" s="0" t="n">
        <f aca="false">H4111</f>
        <v>-0.5</v>
      </c>
      <c r="N4111" s="0" t="n">
        <f aca="false">E4111*F4111</f>
        <v>0.0625</v>
      </c>
      <c r="O4111" s="0" t="n">
        <f aca="false">E4111*G4111</f>
        <v>0.125</v>
      </c>
      <c r="P4111" s="0" t="n">
        <f aca="false">E4111*H4111</f>
        <v>-0.125</v>
      </c>
      <c r="Q4111" s="0" t="n">
        <f aca="false">F4111*G4111</f>
        <v>0.125</v>
      </c>
      <c r="R4111" s="0" t="n">
        <f aca="false">F4111*H4111</f>
        <v>-0.125</v>
      </c>
      <c r="S4111" s="0" t="n">
        <f aca="false">G4111*H4111</f>
        <v>-0.25</v>
      </c>
      <c r="T4111" s="0" t="n">
        <f aca="false">E4111*E4111</f>
        <v>0.0625</v>
      </c>
      <c r="U4111" s="0" t="n">
        <f aca="false">F4111*F4111</f>
        <v>0.0625</v>
      </c>
      <c r="V4111" s="0" t="n">
        <f aca="false">G4111*G4111</f>
        <v>0.25</v>
      </c>
      <c r="W4111" s="0" t="n">
        <f aca="false">H4111*H4111</f>
        <v>0.25</v>
      </c>
      <c r="X4111" s="0" t="n">
        <f aca="false">SUMPRODUCT(I4111:W4111,_XtX!$B$96:$P$96)</f>
        <v>48.5999360380117</v>
      </c>
      <c r="Y4111" s="0" t="n">
        <f aca="false">SUMPRODUCT(MMULT(I4111:W4111,_XtX!$B$78:$P$92),I4111:W4111)</f>
        <v>0.128236647934942</v>
      </c>
      <c r="Z4111" s="0" t="n">
        <f aca="false">04_回帰ANOVA!$K$19*04_回帰ANOVA!$K$14*SQRT(1+Y4111)</f>
        <v>1.38451764188989</v>
      </c>
      <c r="AA4111" s="0" t="n">
        <f aca="false">X4111-Z4111</f>
        <v>47.2154183961218</v>
      </c>
      <c r="AB4111" s="0" t="n">
        <f aca="false">X4111+Z4111</f>
        <v>49.9844536799015</v>
      </c>
      <c r="AC4111" s="54" t="b">
        <f aca="false">AND(E4111&gt;=01_因子設定!$L$5-0.000000001,E4111&lt;=01_因子設定!$M$5+0.000000001,F4111&gt;=01_因子設定!$L$6-0.000000001,F4111&lt;=01_因子設定!$M$6+0.000000001,G4111&gt;=01_因子設定!$L$7-0.000000001,G4111&lt;=01_因子設定!$M$7+0.000000001,H4111&gt;=01_因子設定!$L$8-0.000000001,H4111&lt;=01_因子設定!$M$8+0.000000001,IF(01_因子設定!$B$20="Box-Behnken",E4111^2+F4111^2+G4111^2+H4111^2&lt;=2+0.000000001,TRUE()))</f>
        <v>1</v>
      </c>
      <c r="AD4111" s="55" t="n">
        <f aca="false">IF(AC4111,IF(01_因子設定!$B$13="最大化",AA4111-01_因子設定!$B$14,IF(01_因子設定!$B$13="最小化",01_因子設定!$B$15-AB4111,MIN(AA4111-01_因子設定!$B$14,01_因子設定!$B$15-AB4111))),-1E+030)</f>
        <v>0.715418396121763</v>
      </c>
      <c r="AE4111" s="55" t="n">
        <f aca="false">IF(AC4111,IF(01_因子設定!$B$13="最大化",X4111,IF(01_因子設定!$B$13="最小化",-X4111,-ABS(X4111-01_因子設定!$B$16))),-1E+030)</f>
        <v>48.5999360380117</v>
      </c>
      <c r="AF4111" s="55" t="n">
        <f aca="false">AD4111+ROW()*0.000000001</f>
        <v>0.715422507121763</v>
      </c>
      <c r="AG4111" s="55" t="n">
        <f aca="false">AE4111+ROW()*0.000000001</f>
        <v>48.5999401490117</v>
      </c>
    </row>
    <row r="4112" customFormat="false" ht="15" hidden="false" customHeight="false" outlineLevel="0" collapsed="false">
      <c r="A4112" s="0" t="n">
        <v>5</v>
      </c>
      <c r="B4112" s="0" t="n">
        <v>5</v>
      </c>
      <c r="C4112" s="0" t="n">
        <v>6</v>
      </c>
      <c r="D4112" s="0" t="n">
        <v>3</v>
      </c>
      <c r="E4112" s="0" t="n">
        <f aca="false">-1+A4112*0.25</f>
        <v>0.25</v>
      </c>
      <c r="F4112" s="0" t="n">
        <f aca="false">-1+B4112*0.25</f>
        <v>0.25</v>
      </c>
      <c r="G4112" s="0" t="n">
        <f aca="false">-1+C4112*0.25</f>
        <v>0.5</v>
      </c>
      <c r="H4112" s="0" t="n">
        <f aca="false">-1+D4112*0.25</f>
        <v>-0.25</v>
      </c>
      <c r="I4112" s="0" t="n">
        <f aca="false">1</f>
        <v>1</v>
      </c>
      <c r="J4112" s="0" t="n">
        <f aca="false">E4112</f>
        <v>0.25</v>
      </c>
      <c r="K4112" s="0" t="n">
        <f aca="false">F4112</f>
        <v>0.25</v>
      </c>
      <c r="L4112" s="0" t="n">
        <f aca="false">G4112</f>
        <v>0.5</v>
      </c>
      <c r="M4112" s="0" t="n">
        <f aca="false">H4112</f>
        <v>-0.25</v>
      </c>
      <c r="N4112" s="0" t="n">
        <f aca="false">E4112*F4112</f>
        <v>0.0625</v>
      </c>
      <c r="O4112" s="0" t="n">
        <f aca="false">E4112*G4112</f>
        <v>0.125</v>
      </c>
      <c r="P4112" s="0" t="n">
        <f aca="false">E4112*H4112</f>
        <v>-0.0625</v>
      </c>
      <c r="Q4112" s="0" t="n">
        <f aca="false">F4112*G4112</f>
        <v>0.125</v>
      </c>
      <c r="R4112" s="0" t="n">
        <f aca="false">F4112*H4112</f>
        <v>-0.0625</v>
      </c>
      <c r="S4112" s="0" t="n">
        <f aca="false">G4112*H4112</f>
        <v>-0.125</v>
      </c>
      <c r="T4112" s="0" t="n">
        <f aca="false">E4112*E4112</f>
        <v>0.0625</v>
      </c>
      <c r="U4112" s="0" t="n">
        <f aca="false">F4112*F4112</f>
        <v>0.0625</v>
      </c>
      <c r="V4112" s="0" t="n">
        <f aca="false">G4112*G4112</f>
        <v>0.25</v>
      </c>
      <c r="W4112" s="0" t="n">
        <f aca="false">H4112*H4112</f>
        <v>0.0625</v>
      </c>
      <c r="X4112" s="0" t="n">
        <f aca="false">SUMPRODUCT(I4112:W4112,_XtX!$B$96:$P$96)</f>
        <v>48.8035042032163</v>
      </c>
      <c r="Y4112" s="0" t="n">
        <f aca="false">SUMPRODUCT(MMULT(I4112:W4112,_XtX!$B$78:$P$92),I4112:W4112)</f>
        <v>0.116714923702485</v>
      </c>
      <c r="Z4112" s="0" t="n">
        <f aca="false">04_回帰ANOVA!$K$19*04_回帰ANOVA!$K$14*SQRT(1+Y4112)</f>
        <v>1.37743004820023</v>
      </c>
      <c r="AA4112" s="0" t="n">
        <f aca="false">X4112-Z4112</f>
        <v>47.4260741550161</v>
      </c>
      <c r="AB4112" s="0" t="n">
        <f aca="false">X4112+Z4112</f>
        <v>50.1809342514165</v>
      </c>
      <c r="AC4112" s="54" t="b">
        <f aca="false">AND(E4112&gt;=01_因子設定!$L$5-0.000000001,E4112&lt;=01_因子設定!$M$5+0.000000001,F4112&gt;=01_因子設定!$L$6-0.000000001,F4112&lt;=01_因子設定!$M$6+0.000000001,G4112&gt;=01_因子設定!$L$7-0.000000001,G4112&lt;=01_因子設定!$M$7+0.000000001,H4112&gt;=01_因子設定!$L$8-0.000000001,H4112&lt;=01_因子設定!$M$8+0.000000001,IF(01_因子設定!$B$20="Box-Behnken",E4112^2+F4112^2+G4112^2+H4112^2&lt;=2+0.000000001,TRUE()))</f>
        <v>1</v>
      </c>
      <c r="AD4112" s="55" t="n">
        <f aca="false">IF(AC4112,IF(01_因子設定!$B$13="最大化",AA4112-01_因子設定!$B$14,IF(01_因子設定!$B$13="最小化",01_因子設定!$B$15-AB4112,MIN(AA4112-01_因子設定!$B$14,01_因子設定!$B$15-AB4112))),-1E+030)</f>
        <v>0.926074155016096</v>
      </c>
      <c r="AE4112" s="55" t="n">
        <f aca="false">IF(AC4112,IF(01_因子設定!$B$13="最大化",X4112,IF(01_因子設定!$B$13="最小化",-X4112,-ABS(X4112-01_因子設定!$B$16))),-1E+030)</f>
        <v>48.8035042032163</v>
      </c>
      <c r="AF4112" s="55" t="n">
        <f aca="false">AD4112+ROW()*0.000000001</f>
        <v>0.926078267016096</v>
      </c>
      <c r="AG4112" s="55" t="n">
        <f aca="false">AE4112+ROW()*0.000000001</f>
        <v>48.8035083152163</v>
      </c>
    </row>
    <row r="4113" customFormat="false" ht="15" hidden="false" customHeight="false" outlineLevel="0" collapsed="false">
      <c r="A4113" s="0" t="n">
        <v>5</v>
      </c>
      <c r="B4113" s="0" t="n">
        <v>5</v>
      </c>
      <c r="C4113" s="0" t="n">
        <v>6</v>
      </c>
      <c r="D4113" s="0" t="n">
        <v>4</v>
      </c>
      <c r="E4113" s="0" t="n">
        <f aca="false">-1+A4113*0.25</f>
        <v>0.25</v>
      </c>
      <c r="F4113" s="0" t="n">
        <f aca="false">-1+B4113*0.25</f>
        <v>0.25</v>
      </c>
      <c r="G4113" s="0" t="n">
        <f aca="false">-1+C4113*0.25</f>
        <v>0.5</v>
      </c>
      <c r="H4113" s="0" t="n">
        <f aca="false">-1+D4113*0.25</f>
        <v>0</v>
      </c>
      <c r="I4113" s="0" t="n">
        <f aca="false">1</f>
        <v>1</v>
      </c>
      <c r="J4113" s="0" t="n">
        <f aca="false">E4113</f>
        <v>0.25</v>
      </c>
      <c r="K4113" s="0" t="n">
        <f aca="false">F4113</f>
        <v>0.25</v>
      </c>
      <c r="L4113" s="0" t="n">
        <f aca="false">G4113</f>
        <v>0.5</v>
      </c>
      <c r="M4113" s="0" t="n">
        <f aca="false">H4113</f>
        <v>0</v>
      </c>
      <c r="N4113" s="0" t="n">
        <f aca="false">E4113*F4113</f>
        <v>0.0625</v>
      </c>
      <c r="O4113" s="0" t="n">
        <f aca="false">E4113*G4113</f>
        <v>0.125</v>
      </c>
      <c r="P4113" s="0" t="n">
        <f aca="false">E4113*H4113</f>
        <v>0</v>
      </c>
      <c r="Q4113" s="0" t="n">
        <f aca="false">F4113*G4113</f>
        <v>0.125</v>
      </c>
      <c r="R4113" s="0" t="n">
        <f aca="false">F4113*H4113</f>
        <v>0</v>
      </c>
      <c r="S4113" s="0" t="n">
        <f aca="false">G4113*H4113</f>
        <v>0</v>
      </c>
      <c r="T4113" s="0" t="n">
        <f aca="false">E4113*E4113</f>
        <v>0.0625</v>
      </c>
      <c r="U4113" s="0" t="n">
        <f aca="false">F4113*F4113</f>
        <v>0.0625</v>
      </c>
      <c r="V4113" s="0" t="n">
        <f aca="false">G4113*G4113</f>
        <v>0.25</v>
      </c>
      <c r="W4113" s="0" t="n">
        <f aca="false">H4113*H4113</f>
        <v>0</v>
      </c>
      <c r="X4113" s="0" t="n">
        <f aca="false">SUMPRODUCT(I4113:W4113,_XtX!$B$96:$P$96)</f>
        <v>48.9592653508771</v>
      </c>
      <c r="Y4113" s="0" t="n">
        <f aca="false">SUMPRODUCT(MMULT(I4113:W4113,_XtX!$B$78:$P$92),I4113:W4113)</f>
        <v>0.118905050712719</v>
      </c>
      <c r="Z4113" s="0" t="n">
        <f aca="false">04_回帰ANOVA!$K$19*04_回帰ANOVA!$K$14*SQRT(1+Y4113)</f>
        <v>1.37878011033769</v>
      </c>
      <c r="AA4113" s="0" t="n">
        <f aca="false">X4113-Z4113</f>
        <v>47.5804852405394</v>
      </c>
      <c r="AB4113" s="0" t="n">
        <f aca="false">X4113+Z4113</f>
        <v>50.3380454612148</v>
      </c>
      <c r="AC4113" s="54" t="b">
        <f aca="false">AND(E4113&gt;=01_因子設定!$L$5-0.000000001,E4113&lt;=01_因子設定!$M$5+0.000000001,F4113&gt;=01_因子設定!$L$6-0.000000001,F4113&lt;=01_因子設定!$M$6+0.000000001,G4113&gt;=01_因子設定!$L$7-0.000000001,G4113&lt;=01_因子設定!$M$7+0.000000001,H4113&gt;=01_因子設定!$L$8-0.000000001,H4113&lt;=01_因子設定!$M$8+0.000000001,IF(01_因子設定!$B$20="Box-Behnken",E4113^2+F4113^2+G4113^2+H4113^2&lt;=2+0.000000001,TRUE()))</f>
        <v>1</v>
      </c>
      <c r="AD4113" s="55" t="n">
        <f aca="false">IF(AC4113,IF(01_因子設定!$B$13="最大化",AA4113-01_因子設定!$B$14,IF(01_因子設定!$B$13="最小化",01_因子設定!$B$15-AB4113,MIN(AA4113-01_因子設定!$B$14,01_因子設定!$B$15-AB4113))),-1E+030)</f>
        <v>1.08048524053945</v>
      </c>
      <c r="AE4113" s="55" t="n">
        <f aca="false">IF(AC4113,IF(01_因子設定!$B$13="最大化",X4113,IF(01_因子設定!$B$13="最小化",-X4113,-ABS(X4113-01_因子設定!$B$16))),-1E+030)</f>
        <v>48.9592653508771</v>
      </c>
      <c r="AF4113" s="55" t="n">
        <f aca="false">AD4113+ROW()*0.000000001</f>
        <v>1.08048935353945</v>
      </c>
      <c r="AG4113" s="55" t="n">
        <f aca="false">AE4113+ROW()*0.000000001</f>
        <v>48.9592694638771</v>
      </c>
    </row>
    <row r="4114" customFormat="false" ht="15" hidden="false" customHeight="false" outlineLevel="0" collapsed="false">
      <c r="A4114" s="0" t="n">
        <v>5</v>
      </c>
      <c r="B4114" s="0" t="n">
        <v>5</v>
      </c>
      <c r="C4114" s="0" t="n">
        <v>6</v>
      </c>
      <c r="D4114" s="0" t="n">
        <v>5</v>
      </c>
      <c r="E4114" s="0" t="n">
        <f aca="false">-1+A4114*0.25</f>
        <v>0.25</v>
      </c>
      <c r="F4114" s="0" t="n">
        <f aca="false">-1+B4114*0.25</f>
        <v>0.25</v>
      </c>
      <c r="G4114" s="0" t="n">
        <f aca="false">-1+C4114*0.25</f>
        <v>0.5</v>
      </c>
      <c r="H4114" s="0" t="n">
        <f aca="false">-1+D4114*0.25</f>
        <v>0.25</v>
      </c>
      <c r="I4114" s="0" t="n">
        <f aca="false">1</f>
        <v>1</v>
      </c>
      <c r="J4114" s="0" t="n">
        <f aca="false">E4114</f>
        <v>0.25</v>
      </c>
      <c r="K4114" s="0" t="n">
        <f aca="false">F4114</f>
        <v>0.25</v>
      </c>
      <c r="L4114" s="0" t="n">
        <f aca="false">G4114</f>
        <v>0.5</v>
      </c>
      <c r="M4114" s="0" t="n">
        <f aca="false">H4114</f>
        <v>0.25</v>
      </c>
      <c r="N4114" s="0" t="n">
        <f aca="false">E4114*F4114</f>
        <v>0.0625</v>
      </c>
      <c r="O4114" s="0" t="n">
        <f aca="false">E4114*G4114</f>
        <v>0.125</v>
      </c>
      <c r="P4114" s="0" t="n">
        <f aca="false">E4114*H4114</f>
        <v>0.0625</v>
      </c>
      <c r="Q4114" s="0" t="n">
        <f aca="false">F4114*G4114</f>
        <v>0.125</v>
      </c>
      <c r="R4114" s="0" t="n">
        <f aca="false">F4114*H4114</f>
        <v>0.0625</v>
      </c>
      <c r="S4114" s="0" t="n">
        <f aca="false">G4114*H4114</f>
        <v>0.125</v>
      </c>
      <c r="T4114" s="0" t="n">
        <f aca="false">E4114*E4114</f>
        <v>0.0625</v>
      </c>
      <c r="U4114" s="0" t="n">
        <f aca="false">F4114*F4114</f>
        <v>0.0625</v>
      </c>
      <c r="V4114" s="0" t="n">
        <f aca="false">G4114*G4114</f>
        <v>0.25</v>
      </c>
      <c r="W4114" s="0" t="n">
        <f aca="false">H4114*H4114</f>
        <v>0.0625</v>
      </c>
      <c r="X4114" s="0" t="n">
        <f aca="false">SUMPRODUCT(I4114:W4114,_XtX!$B$96:$P$96)</f>
        <v>49.0672194809941</v>
      </c>
      <c r="Y4114" s="0" t="n">
        <f aca="false">SUMPRODUCT(MMULT(I4114:W4114,_XtX!$B$78:$P$92),I4114:W4114)</f>
        <v>0.116714923702485</v>
      </c>
      <c r="Z4114" s="0" t="n">
        <f aca="false">04_回帰ANOVA!$K$19*04_回帰ANOVA!$K$14*SQRT(1+Y4114)</f>
        <v>1.37743004820023</v>
      </c>
      <c r="AA4114" s="0" t="n">
        <f aca="false">X4114-Z4114</f>
        <v>47.6897894327939</v>
      </c>
      <c r="AB4114" s="0" t="n">
        <f aca="false">X4114+Z4114</f>
        <v>50.4446495291943</v>
      </c>
      <c r="AC4114" s="54" t="b">
        <f aca="false">AND(E4114&gt;=01_因子設定!$L$5-0.000000001,E4114&lt;=01_因子設定!$M$5+0.000000001,F4114&gt;=01_因子設定!$L$6-0.000000001,F4114&lt;=01_因子設定!$M$6+0.000000001,G4114&gt;=01_因子設定!$L$7-0.000000001,G4114&lt;=01_因子設定!$M$7+0.000000001,H4114&gt;=01_因子設定!$L$8-0.000000001,H4114&lt;=01_因子設定!$M$8+0.000000001,IF(01_因子設定!$B$20="Box-Behnken",E4114^2+F4114^2+G4114^2+H4114^2&lt;=2+0.000000001,TRUE()))</f>
        <v>1</v>
      </c>
      <c r="AD4114" s="55" t="n">
        <f aca="false">IF(AC4114,IF(01_因子設定!$B$13="最大化",AA4114-01_因子設定!$B$14,IF(01_因子設定!$B$13="最小化",01_因子設定!$B$15-AB4114,MIN(AA4114-01_因子設定!$B$14,01_因子設定!$B$15-AB4114))),-1E+030)</f>
        <v>1.18978943279387</v>
      </c>
      <c r="AE4114" s="55" t="n">
        <f aca="false">IF(AC4114,IF(01_因子設定!$B$13="最大化",X4114,IF(01_因子設定!$B$13="最小化",-X4114,-ABS(X4114-01_因子設定!$B$16))),-1E+030)</f>
        <v>49.0672194809941</v>
      </c>
      <c r="AF4114" s="55" t="n">
        <f aca="false">AD4114+ROW()*0.000000001</f>
        <v>1.18979354679387</v>
      </c>
      <c r="AG4114" s="55" t="n">
        <f aca="false">AE4114+ROW()*0.000000001</f>
        <v>49.0672235949941</v>
      </c>
    </row>
    <row r="4115" customFormat="false" ht="15" hidden="false" customHeight="false" outlineLevel="0" collapsed="false">
      <c r="A4115" s="0" t="n">
        <v>5</v>
      </c>
      <c r="B4115" s="0" t="n">
        <v>5</v>
      </c>
      <c r="C4115" s="0" t="n">
        <v>6</v>
      </c>
      <c r="D4115" s="0" t="n">
        <v>6</v>
      </c>
      <c r="E4115" s="0" t="n">
        <f aca="false">-1+A4115*0.25</f>
        <v>0.25</v>
      </c>
      <c r="F4115" s="0" t="n">
        <f aca="false">-1+B4115*0.25</f>
        <v>0.25</v>
      </c>
      <c r="G4115" s="0" t="n">
        <f aca="false">-1+C4115*0.25</f>
        <v>0.5</v>
      </c>
      <c r="H4115" s="0" t="n">
        <f aca="false">-1+D4115*0.25</f>
        <v>0.5</v>
      </c>
      <c r="I4115" s="0" t="n">
        <f aca="false">1</f>
        <v>1</v>
      </c>
      <c r="J4115" s="0" t="n">
        <f aca="false">E4115</f>
        <v>0.25</v>
      </c>
      <c r="K4115" s="0" t="n">
        <f aca="false">F4115</f>
        <v>0.25</v>
      </c>
      <c r="L4115" s="0" t="n">
        <f aca="false">G4115</f>
        <v>0.5</v>
      </c>
      <c r="M4115" s="0" t="n">
        <f aca="false">H4115</f>
        <v>0.5</v>
      </c>
      <c r="N4115" s="0" t="n">
        <f aca="false">E4115*F4115</f>
        <v>0.0625</v>
      </c>
      <c r="O4115" s="0" t="n">
        <f aca="false">E4115*G4115</f>
        <v>0.125</v>
      </c>
      <c r="P4115" s="0" t="n">
        <f aca="false">E4115*H4115</f>
        <v>0.125</v>
      </c>
      <c r="Q4115" s="0" t="n">
        <f aca="false">F4115*G4115</f>
        <v>0.125</v>
      </c>
      <c r="R4115" s="0" t="n">
        <f aca="false">F4115*H4115</f>
        <v>0.125</v>
      </c>
      <c r="S4115" s="0" t="n">
        <f aca="false">G4115*H4115</f>
        <v>0.25</v>
      </c>
      <c r="T4115" s="0" t="n">
        <f aca="false">E4115*E4115</f>
        <v>0.0625</v>
      </c>
      <c r="U4115" s="0" t="n">
        <f aca="false">F4115*F4115</f>
        <v>0.0625</v>
      </c>
      <c r="V4115" s="0" t="n">
        <f aca="false">G4115*G4115</f>
        <v>0.25</v>
      </c>
      <c r="W4115" s="0" t="n">
        <f aca="false">H4115*H4115</f>
        <v>0.25</v>
      </c>
      <c r="X4115" s="0" t="n">
        <f aca="false">SUMPRODUCT(I4115:W4115,_XtX!$B$96:$P$96)</f>
        <v>49.1273665935672</v>
      </c>
      <c r="Y4115" s="0" t="n">
        <f aca="false">SUMPRODUCT(MMULT(I4115:W4115,_XtX!$B$78:$P$92),I4115:W4115)</f>
        <v>0.128236647934942</v>
      </c>
      <c r="Z4115" s="0" t="n">
        <f aca="false">04_回帰ANOVA!$K$19*04_回帰ANOVA!$K$14*SQRT(1+Y4115)</f>
        <v>1.38451764188989</v>
      </c>
      <c r="AA4115" s="0" t="n">
        <f aca="false">X4115-Z4115</f>
        <v>47.7428489516773</v>
      </c>
      <c r="AB4115" s="0" t="n">
        <f aca="false">X4115+Z4115</f>
        <v>50.5118842354571</v>
      </c>
      <c r="AC4115" s="54" t="b">
        <f aca="false">AND(E4115&gt;=01_因子設定!$L$5-0.000000001,E4115&lt;=01_因子設定!$M$5+0.000000001,F4115&gt;=01_因子設定!$L$6-0.000000001,F4115&lt;=01_因子設定!$M$6+0.000000001,G4115&gt;=01_因子設定!$L$7-0.000000001,G4115&lt;=01_因子設定!$M$7+0.000000001,H4115&gt;=01_因子設定!$L$8-0.000000001,H4115&lt;=01_因子設定!$M$8+0.000000001,IF(01_因子設定!$B$20="Box-Behnken",E4115^2+F4115^2+G4115^2+H4115^2&lt;=2+0.000000001,TRUE()))</f>
        <v>1</v>
      </c>
      <c r="AD4115" s="55" t="n">
        <f aca="false">IF(AC4115,IF(01_因子設定!$B$13="最大化",AA4115-01_因子設定!$B$14,IF(01_因子設定!$B$13="最小化",01_因子設定!$B$15-AB4115,MIN(AA4115-01_因子設定!$B$14,01_因子設定!$B$15-AB4115))),-1E+030)</f>
        <v>1.24284895167732</v>
      </c>
      <c r="AE4115" s="55" t="n">
        <f aca="false">IF(AC4115,IF(01_因子設定!$B$13="最大化",X4115,IF(01_因子設定!$B$13="最小化",-X4115,-ABS(X4115-01_因子設定!$B$16))),-1E+030)</f>
        <v>49.1273665935672</v>
      </c>
      <c r="AF4115" s="55" t="n">
        <f aca="false">AD4115+ROW()*0.000000001</f>
        <v>1.24285306667732</v>
      </c>
      <c r="AG4115" s="55" t="n">
        <f aca="false">AE4115+ROW()*0.000000001</f>
        <v>49.1273707085672</v>
      </c>
    </row>
    <row r="4116" customFormat="false" ht="15" hidden="false" customHeight="false" outlineLevel="0" collapsed="false">
      <c r="A4116" s="0" t="n">
        <v>5</v>
      </c>
      <c r="B4116" s="0" t="n">
        <v>5</v>
      </c>
      <c r="C4116" s="0" t="n">
        <v>6</v>
      </c>
      <c r="D4116" s="0" t="n">
        <v>7</v>
      </c>
      <c r="E4116" s="0" t="n">
        <f aca="false">-1+A4116*0.25</f>
        <v>0.25</v>
      </c>
      <c r="F4116" s="0" t="n">
        <f aca="false">-1+B4116*0.25</f>
        <v>0.25</v>
      </c>
      <c r="G4116" s="0" t="n">
        <f aca="false">-1+C4116*0.25</f>
        <v>0.5</v>
      </c>
      <c r="H4116" s="0" t="n">
        <f aca="false">-1+D4116*0.25</f>
        <v>0.75</v>
      </c>
      <c r="I4116" s="0" t="n">
        <f aca="false">1</f>
        <v>1</v>
      </c>
      <c r="J4116" s="0" t="n">
        <f aca="false">E4116</f>
        <v>0.25</v>
      </c>
      <c r="K4116" s="0" t="n">
        <f aca="false">F4116</f>
        <v>0.25</v>
      </c>
      <c r="L4116" s="0" t="n">
        <f aca="false">G4116</f>
        <v>0.5</v>
      </c>
      <c r="M4116" s="0" t="n">
        <f aca="false">H4116</f>
        <v>0.75</v>
      </c>
      <c r="N4116" s="0" t="n">
        <f aca="false">E4116*F4116</f>
        <v>0.0625</v>
      </c>
      <c r="O4116" s="0" t="n">
        <f aca="false">E4116*G4116</f>
        <v>0.125</v>
      </c>
      <c r="P4116" s="0" t="n">
        <f aca="false">E4116*H4116</f>
        <v>0.1875</v>
      </c>
      <c r="Q4116" s="0" t="n">
        <f aca="false">F4116*G4116</f>
        <v>0.125</v>
      </c>
      <c r="R4116" s="0" t="n">
        <f aca="false">F4116*H4116</f>
        <v>0.1875</v>
      </c>
      <c r="S4116" s="0" t="n">
        <f aca="false">G4116*H4116</f>
        <v>0.375</v>
      </c>
      <c r="T4116" s="0" t="n">
        <f aca="false">E4116*E4116</f>
        <v>0.0625</v>
      </c>
      <c r="U4116" s="0" t="n">
        <f aca="false">F4116*F4116</f>
        <v>0.0625</v>
      </c>
      <c r="V4116" s="0" t="n">
        <f aca="false">G4116*G4116</f>
        <v>0.25</v>
      </c>
      <c r="W4116" s="0" t="n">
        <f aca="false">H4116*H4116</f>
        <v>0.5625</v>
      </c>
      <c r="X4116" s="0" t="n">
        <f aca="false">SUMPRODUCT(I4116:W4116,_XtX!$B$96:$P$96)</f>
        <v>49.1397066885965</v>
      </c>
      <c r="Y4116" s="0" t="n">
        <f aca="false">SUMPRODUCT(MMULT(I4116:W4116,_XtX!$B$78:$P$92),I4116:W4116)</f>
        <v>0.207746539199561</v>
      </c>
      <c r="Z4116" s="0" t="n">
        <f aca="false">04_回帰ANOVA!$K$19*04_回帰ANOVA!$K$14*SQRT(1+Y4116)</f>
        <v>1.43247250081141</v>
      </c>
      <c r="AA4116" s="0" t="n">
        <f aca="false">X4116-Z4116</f>
        <v>47.7072341877851</v>
      </c>
      <c r="AB4116" s="0" t="n">
        <f aca="false">X4116+Z4116</f>
        <v>50.5721791894079</v>
      </c>
      <c r="AC4116" s="54" t="b">
        <f aca="false">AND(E4116&gt;=01_因子設定!$L$5-0.000000001,E4116&lt;=01_因子設定!$M$5+0.000000001,F4116&gt;=01_因子設定!$L$6-0.000000001,F4116&lt;=01_因子設定!$M$6+0.000000001,G4116&gt;=01_因子設定!$L$7-0.000000001,G4116&lt;=01_因子設定!$M$7+0.000000001,H4116&gt;=01_因子設定!$L$8-0.000000001,H4116&lt;=01_因子設定!$M$8+0.000000001,IF(01_因子設定!$B$20="Box-Behnken",E4116^2+F4116^2+G4116^2+H4116^2&lt;=2+0.000000001,TRUE()))</f>
        <v>1</v>
      </c>
      <c r="AD4116" s="55" t="n">
        <f aca="false">IF(AC4116,IF(01_因子設定!$B$13="最大化",AA4116-01_因子設定!$B$14,IF(01_因子設定!$B$13="最小化",01_因子設定!$B$15-AB4116,MIN(AA4116-01_因子設定!$B$14,01_因子設定!$B$15-AB4116))),-1E+030)</f>
        <v>1.20723418778505</v>
      </c>
      <c r="AE4116" s="55" t="n">
        <f aca="false">IF(AC4116,IF(01_因子設定!$B$13="最大化",X4116,IF(01_因子設定!$B$13="最小化",-X4116,-ABS(X4116-01_因子設定!$B$16))),-1E+030)</f>
        <v>49.1397066885965</v>
      </c>
      <c r="AF4116" s="55" t="n">
        <f aca="false">AD4116+ROW()*0.000000001</f>
        <v>1.20723830378505</v>
      </c>
      <c r="AG4116" s="55" t="n">
        <f aca="false">AE4116+ROW()*0.000000001</f>
        <v>49.1397108045965</v>
      </c>
    </row>
    <row r="4117" customFormat="false" ht="15" hidden="false" customHeight="false" outlineLevel="0" collapsed="false">
      <c r="A4117" s="0" t="n">
        <v>5</v>
      </c>
      <c r="B4117" s="0" t="n">
        <v>5</v>
      </c>
      <c r="C4117" s="0" t="n">
        <v>6</v>
      </c>
      <c r="D4117" s="0" t="n">
        <v>8</v>
      </c>
      <c r="E4117" s="0" t="n">
        <f aca="false">-1+A4117*0.25</f>
        <v>0.25</v>
      </c>
      <c r="F4117" s="0" t="n">
        <f aca="false">-1+B4117*0.25</f>
        <v>0.25</v>
      </c>
      <c r="G4117" s="0" t="n">
        <f aca="false">-1+C4117*0.25</f>
        <v>0.5</v>
      </c>
      <c r="H4117" s="0" t="n">
        <f aca="false">-1+D4117*0.25</f>
        <v>1</v>
      </c>
      <c r="I4117" s="0" t="n">
        <f aca="false">1</f>
        <v>1</v>
      </c>
      <c r="J4117" s="0" t="n">
        <f aca="false">E4117</f>
        <v>0.25</v>
      </c>
      <c r="K4117" s="0" t="n">
        <f aca="false">F4117</f>
        <v>0.25</v>
      </c>
      <c r="L4117" s="0" t="n">
        <f aca="false">G4117</f>
        <v>0.5</v>
      </c>
      <c r="M4117" s="0" t="n">
        <f aca="false">H4117</f>
        <v>1</v>
      </c>
      <c r="N4117" s="0" t="n">
        <f aca="false">E4117*F4117</f>
        <v>0.0625</v>
      </c>
      <c r="O4117" s="0" t="n">
        <f aca="false">E4117*G4117</f>
        <v>0.125</v>
      </c>
      <c r="P4117" s="0" t="n">
        <f aca="false">E4117*H4117</f>
        <v>0.25</v>
      </c>
      <c r="Q4117" s="0" t="n">
        <f aca="false">F4117*G4117</f>
        <v>0.125</v>
      </c>
      <c r="R4117" s="0" t="n">
        <f aca="false">F4117*H4117</f>
        <v>0.25</v>
      </c>
      <c r="S4117" s="0" t="n">
        <f aca="false">G4117*H4117</f>
        <v>0.5</v>
      </c>
      <c r="T4117" s="0" t="n">
        <f aca="false">E4117*E4117</f>
        <v>0.0625</v>
      </c>
      <c r="U4117" s="0" t="n">
        <f aca="false">F4117*F4117</f>
        <v>0.0625</v>
      </c>
      <c r="V4117" s="0" t="n">
        <f aca="false">G4117*G4117</f>
        <v>0.25</v>
      </c>
      <c r="W4117" s="0" t="n">
        <f aca="false">H4117*H4117</f>
        <v>1</v>
      </c>
      <c r="X4117" s="0" t="n">
        <f aca="false">SUMPRODUCT(I4117:W4117,_XtX!$B$96:$P$96)</f>
        <v>49.1042397660819</v>
      </c>
      <c r="Y4117" s="0" t="n">
        <f aca="false">SUMPRODUCT(MMULT(I4117:W4117,_XtX!$B$78:$P$92),I4117:W4117)</f>
        <v>0.445705123812135</v>
      </c>
      <c r="Z4117" s="0" t="n">
        <f aca="false">04_回帰ANOVA!$K$19*04_回帰ANOVA!$K$14*SQRT(1+Y4117)</f>
        <v>1.56724990734749</v>
      </c>
      <c r="AA4117" s="0" t="n">
        <f aca="false">X4117-Z4117</f>
        <v>47.5369898587344</v>
      </c>
      <c r="AB4117" s="0" t="n">
        <f aca="false">X4117+Z4117</f>
        <v>50.6714896734293</v>
      </c>
      <c r="AC4117" s="54" t="b">
        <f aca="false">AND(E4117&gt;=01_因子設定!$L$5-0.000000001,E4117&lt;=01_因子設定!$M$5+0.000000001,F4117&gt;=01_因子設定!$L$6-0.000000001,F4117&lt;=01_因子設定!$M$6+0.000000001,G4117&gt;=01_因子設定!$L$7-0.000000001,G4117&lt;=01_因子設定!$M$7+0.000000001,H4117&gt;=01_因子設定!$L$8-0.000000001,H4117&lt;=01_因子設定!$M$8+0.000000001,IF(01_因子設定!$B$20="Box-Behnken",E4117^2+F4117^2+G4117^2+H4117^2&lt;=2+0.000000001,TRUE()))</f>
        <v>1</v>
      </c>
      <c r="AD4117" s="55" t="n">
        <f aca="false">IF(AC4117,IF(01_因子設定!$B$13="最大化",AA4117-01_因子設定!$B$14,IF(01_因子設定!$B$13="最小化",01_因子設定!$B$15-AB4117,MIN(AA4117-01_因子設定!$B$14,01_因子設定!$B$15-AB4117))),-1E+030)</f>
        <v>1.03698985873436</v>
      </c>
      <c r="AE4117" s="55" t="n">
        <f aca="false">IF(AC4117,IF(01_因子設定!$B$13="最大化",X4117,IF(01_因子設定!$B$13="最小化",-X4117,-ABS(X4117-01_因子設定!$B$16))),-1E+030)</f>
        <v>49.1042397660819</v>
      </c>
      <c r="AF4117" s="55" t="n">
        <f aca="false">AD4117+ROW()*0.000000001</f>
        <v>1.03699397573436</v>
      </c>
      <c r="AG4117" s="55" t="n">
        <f aca="false">AE4117+ROW()*0.000000001</f>
        <v>49.1042438830819</v>
      </c>
    </row>
    <row r="4118" customFormat="false" ht="15" hidden="false" customHeight="false" outlineLevel="0" collapsed="false">
      <c r="A4118" s="0" t="n">
        <v>5</v>
      </c>
      <c r="B4118" s="0" t="n">
        <v>5</v>
      </c>
      <c r="C4118" s="0" t="n">
        <v>7</v>
      </c>
      <c r="D4118" s="0" t="n">
        <v>0</v>
      </c>
      <c r="E4118" s="0" t="n">
        <f aca="false">-1+A4118*0.25</f>
        <v>0.25</v>
      </c>
      <c r="F4118" s="0" t="n">
        <f aca="false">-1+B4118*0.25</f>
        <v>0.25</v>
      </c>
      <c r="G4118" s="0" t="n">
        <f aca="false">-1+C4118*0.25</f>
        <v>0.75</v>
      </c>
      <c r="H4118" s="0" t="n">
        <f aca="false">-1+D4118*0.25</f>
        <v>-1</v>
      </c>
      <c r="I4118" s="0" t="n">
        <f aca="false">1</f>
        <v>1</v>
      </c>
      <c r="J4118" s="0" t="n">
        <f aca="false">E4118</f>
        <v>0.25</v>
      </c>
      <c r="K4118" s="0" t="n">
        <f aca="false">F4118</f>
        <v>0.25</v>
      </c>
      <c r="L4118" s="0" t="n">
        <f aca="false">G4118</f>
        <v>0.75</v>
      </c>
      <c r="M4118" s="0" t="n">
        <f aca="false">H4118</f>
        <v>-1</v>
      </c>
      <c r="N4118" s="0" t="n">
        <f aca="false">E4118*F4118</f>
        <v>0.0625</v>
      </c>
      <c r="O4118" s="0" t="n">
        <f aca="false">E4118*G4118</f>
        <v>0.1875</v>
      </c>
      <c r="P4118" s="0" t="n">
        <f aca="false">E4118*H4118</f>
        <v>-0.25</v>
      </c>
      <c r="Q4118" s="0" t="n">
        <f aca="false">F4118*G4118</f>
        <v>0.1875</v>
      </c>
      <c r="R4118" s="0" t="n">
        <f aca="false">F4118*H4118</f>
        <v>-0.25</v>
      </c>
      <c r="S4118" s="0" t="n">
        <f aca="false">G4118*H4118</f>
        <v>-0.75</v>
      </c>
      <c r="T4118" s="0" t="n">
        <f aca="false">E4118*E4118</f>
        <v>0.0625</v>
      </c>
      <c r="U4118" s="0" t="n">
        <f aca="false">F4118*F4118</f>
        <v>0.0625</v>
      </c>
      <c r="V4118" s="0" t="n">
        <f aca="false">G4118*G4118</f>
        <v>0.5625</v>
      </c>
      <c r="W4118" s="0" t="n">
        <f aca="false">H4118*H4118</f>
        <v>1</v>
      </c>
      <c r="X4118" s="0" t="n">
        <f aca="false">SUMPRODUCT(I4118:W4118,_XtX!$B$96:$P$96)</f>
        <v>47.9889756944444</v>
      </c>
      <c r="Y4118" s="0" t="n">
        <f aca="false">SUMPRODUCT(MMULT(I4118:W4118,_XtX!$B$78:$P$92),I4118:W4118)</f>
        <v>0.486409505208334</v>
      </c>
      <c r="Z4118" s="0" t="n">
        <f aca="false">04_回帰ANOVA!$K$19*04_回帰ANOVA!$K$14*SQRT(1+Y4118)</f>
        <v>1.58916001665498</v>
      </c>
      <c r="AA4118" s="0" t="n">
        <f aca="false">X4118-Z4118</f>
        <v>46.3998156777895</v>
      </c>
      <c r="AB4118" s="0" t="n">
        <f aca="false">X4118+Z4118</f>
        <v>49.5781357110994</v>
      </c>
      <c r="AC4118" s="54" t="b">
        <f aca="false">AND(E4118&gt;=01_因子設定!$L$5-0.000000001,E4118&lt;=01_因子設定!$M$5+0.000000001,F4118&gt;=01_因子設定!$L$6-0.000000001,F4118&lt;=01_因子設定!$M$6+0.000000001,G4118&gt;=01_因子設定!$L$7-0.000000001,G4118&lt;=01_因子設定!$M$7+0.000000001,H4118&gt;=01_因子設定!$L$8-0.000000001,H4118&lt;=01_因子設定!$M$8+0.000000001,IF(01_因子設定!$B$20="Box-Behnken",E4118^2+F4118^2+G4118^2+H4118^2&lt;=2+0.000000001,TRUE()))</f>
        <v>1</v>
      </c>
      <c r="AD4118" s="55" t="n">
        <f aca="false">IF(AC4118,IF(01_因子設定!$B$13="最大化",AA4118-01_因子設定!$B$14,IF(01_因子設定!$B$13="最小化",01_因子設定!$B$15-AB4118,MIN(AA4118-01_因子設定!$B$14,01_因子設定!$B$15-AB4118))),-1E+030)</f>
        <v>-0.100184322210552</v>
      </c>
      <c r="AE4118" s="55" t="n">
        <f aca="false">IF(AC4118,IF(01_因子設定!$B$13="最大化",X4118,IF(01_因子設定!$B$13="最小化",-X4118,-ABS(X4118-01_因子設定!$B$16))),-1E+030)</f>
        <v>47.9889756944444</v>
      </c>
      <c r="AF4118" s="55" t="n">
        <f aca="false">AD4118+ROW()*0.000000001</f>
        <v>-0.100180204210552</v>
      </c>
      <c r="AG4118" s="55" t="n">
        <f aca="false">AE4118+ROW()*0.000000001</f>
        <v>47.9889798124444</v>
      </c>
    </row>
    <row r="4119" customFormat="false" ht="15" hidden="false" customHeight="false" outlineLevel="0" collapsed="false">
      <c r="A4119" s="0" t="n">
        <v>5</v>
      </c>
      <c r="B4119" s="0" t="n">
        <v>5</v>
      </c>
      <c r="C4119" s="0" t="n">
        <v>7</v>
      </c>
      <c r="D4119" s="0" t="n">
        <v>1</v>
      </c>
      <c r="E4119" s="0" t="n">
        <f aca="false">-1+A4119*0.25</f>
        <v>0.25</v>
      </c>
      <c r="F4119" s="0" t="n">
        <f aca="false">-1+B4119*0.25</f>
        <v>0.25</v>
      </c>
      <c r="G4119" s="0" t="n">
        <f aca="false">-1+C4119*0.25</f>
        <v>0.75</v>
      </c>
      <c r="H4119" s="0" t="n">
        <f aca="false">-1+D4119*0.25</f>
        <v>-0.75</v>
      </c>
      <c r="I4119" s="0" t="n">
        <f aca="false">1</f>
        <v>1</v>
      </c>
      <c r="J4119" s="0" t="n">
        <f aca="false">E4119</f>
        <v>0.25</v>
      </c>
      <c r="K4119" s="0" t="n">
        <f aca="false">F4119</f>
        <v>0.25</v>
      </c>
      <c r="L4119" s="0" t="n">
        <f aca="false">G4119</f>
        <v>0.75</v>
      </c>
      <c r="M4119" s="0" t="n">
        <f aca="false">H4119</f>
        <v>-0.75</v>
      </c>
      <c r="N4119" s="0" t="n">
        <f aca="false">E4119*F4119</f>
        <v>0.0625</v>
      </c>
      <c r="O4119" s="0" t="n">
        <f aca="false">E4119*G4119</f>
        <v>0.1875</v>
      </c>
      <c r="P4119" s="0" t="n">
        <f aca="false">E4119*H4119</f>
        <v>-0.1875</v>
      </c>
      <c r="Q4119" s="0" t="n">
        <f aca="false">F4119*G4119</f>
        <v>0.1875</v>
      </c>
      <c r="R4119" s="0" t="n">
        <f aca="false">F4119*H4119</f>
        <v>-0.1875</v>
      </c>
      <c r="S4119" s="0" t="n">
        <f aca="false">G4119*H4119</f>
        <v>-0.5625</v>
      </c>
      <c r="T4119" s="0" t="n">
        <f aca="false">E4119*E4119</f>
        <v>0.0625</v>
      </c>
      <c r="U4119" s="0" t="n">
        <f aca="false">F4119*F4119</f>
        <v>0.0625</v>
      </c>
      <c r="V4119" s="0" t="n">
        <f aca="false">G4119*G4119</f>
        <v>0.5625</v>
      </c>
      <c r="W4119" s="0" t="n">
        <f aca="false">H4119*H4119</f>
        <v>0.5625</v>
      </c>
      <c r="X4119" s="0" t="n">
        <f aca="false">SUMPRODUCT(I4119:W4119,_XtX!$B$96:$P$96)</f>
        <v>48.3061266447368</v>
      </c>
      <c r="Y4119" s="0" t="n">
        <f aca="false">SUMPRODUCT(MMULT(I4119:W4119,_XtX!$B$78:$P$92),I4119:W4119)</f>
        <v>0.271087468019006</v>
      </c>
      <c r="Z4119" s="0" t="n">
        <f aca="false">04_回帰ANOVA!$K$19*04_回帰ANOVA!$K$14*SQRT(1+Y4119)</f>
        <v>1.46955590155034</v>
      </c>
      <c r="AA4119" s="0" t="n">
        <f aca="false">X4119-Z4119</f>
        <v>46.8365707431865</v>
      </c>
      <c r="AB4119" s="0" t="n">
        <f aca="false">X4119+Z4119</f>
        <v>49.7756825462872</v>
      </c>
      <c r="AC4119" s="54" t="b">
        <f aca="false">AND(E4119&gt;=01_因子設定!$L$5-0.000000001,E4119&lt;=01_因子設定!$M$5+0.000000001,F4119&gt;=01_因子設定!$L$6-0.000000001,F4119&lt;=01_因子設定!$M$6+0.000000001,G4119&gt;=01_因子設定!$L$7-0.000000001,G4119&lt;=01_因子設定!$M$7+0.000000001,H4119&gt;=01_因子設定!$L$8-0.000000001,H4119&lt;=01_因子設定!$M$8+0.000000001,IF(01_因子設定!$B$20="Box-Behnken",E4119^2+F4119^2+G4119^2+H4119^2&lt;=2+0.000000001,TRUE()))</f>
        <v>1</v>
      </c>
      <c r="AD4119" s="55" t="n">
        <f aca="false">IF(AC4119,IF(01_因子設定!$B$13="最大化",AA4119-01_因子設定!$B$14,IF(01_因子設定!$B$13="最小化",01_因子設定!$B$15-AB4119,MIN(AA4119-01_因子設定!$B$14,01_因子設定!$B$15-AB4119))),-1E+030)</f>
        <v>0.336570743186464</v>
      </c>
      <c r="AE4119" s="55" t="n">
        <f aca="false">IF(AC4119,IF(01_因子設定!$B$13="最大化",X4119,IF(01_因子設定!$B$13="最小化",-X4119,-ABS(X4119-01_因子設定!$B$16))),-1E+030)</f>
        <v>48.3061266447368</v>
      </c>
      <c r="AF4119" s="55" t="n">
        <f aca="false">AD4119+ROW()*0.000000001</f>
        <v>0.336574862186464</v>
      </c>
      <c r="AG4119" s="55" t="n">
        <f aca="false">AE4119+ROW()*0.000000001</f>
        <v>48.3061307637368</v>
      </c>
    </row>
    <row r="4120" customFormat="false" ht="15" hidden="false" customHeight="false" outlineLevel="0" collapsed="false">
      <c r="A4120" s="0" t="n">
        <v>5</v>
      </c>
      <c r="B4120" s="0" t="n">
        <v>5</v>
      </c>
      <c r="C4120" s="0" t="n">
        <v>7</v>
      </c>
      <c r="D4120" s="0" t="n">
        <v>2</v>
      </c>
      <c r="E4120" s="0" t="n">
        <f aca="false">-1+A4120*0.25</f>
        <v>0.25</v>
      </c>
      <c r="F4120" s="0" t="n">
        <f aca="false">-1+B4120*0.25</f>
        <v>0.25</v>
      </c>
      <c r="G4120" s="0" t="n">
        <f aca="false">-1+C4120*0.25</f>
        <v>0.75</v>
      </c>
      <c r="H4120" s="0" t="n">
        <f aca="false">-1+D4120*0.25</f>
        <v>-0.5</v>
      </c>
      <c r="I4120" s="0" t="n">
        <f aca="false">1</f>
        <v>1</v>
      </c>
      <c r="J4120" s="0" t="n">
        <f aca="false">E4120</f>
        <v>0.25</v>
      </c>
      <c r="K4120" s="0" t="n">
        <f aca="false">F4120</f>
        <v>0.25</v>
      </c>
      <c r="L4120" s="0" t="n">
        <f aca="false">G4120</f>
        <v>0.75</v>
      </c>
      <c r="M4120" s="0" t="n">
        <f aca="false">H4120</f>
        <v>-0.5</v>
      </c>
      <c r="N4120" s="0" t="n">
        <f aca="false">E4120*F4120</f>
        <v>0.0625</v>
      </c>
      <c r="O4120" s="0" t="n">
        <f aca="false">E4120*G4120</f>
        <v>0.1875</v>
      </c>
      <c r="P4120" s="0" t="n">
        <f aca="false">E4120*H4120</f>
        <v>-0.125</v>
      </c>
      <c r="Q4120" s="0" t="n">
        <f aca="false">F4120*G4120</f>
        <v>0.1875</v>
      </c>
      <c r="R4120" s="0" t="n">
        <f aca="false">F4120*H4120</f>
        <v>-0.125</v>
      </c>
      <c r="S4120" s="0" t="n">
        <f aca="false">G4120*H4120</f>
        <v>-0.375</v>
      </c>
      <c r="T4120" s="0" t="n">
        <f aca="false">E4120*E4120</f>
        <v>0.0625</v>
      </c>
      <c r="U4120" s="0" t="n">
        <f aca="false">F4120*F4120</f>
        <v>0.0625</v>
      </c>
      <c r="V4120" s="0" t="n">
        <f aca="false">G4120*G4120</f>
        <v>0.5625</v>
      </c>
      <c r="W4120" s="0" t="n">
        <f aca="false">H4120*H4120</f>
        <v>0.25</v>
      </c>
      <c r="X4120" s="0" t="n">
        <f aca="false">SUMPRODUCT(I4120:W4120,_XtX!$B$96:$P$96)</f>
        <v>48.5754705774853</v>
      </c>
      <c r="Y4120" s="0" t="n">
        <f aca="false">SUMPRODUCT(MMULT(I4120:W4120,_XtX!$B$78:$P$92),I4120:W4120)</f>
        <v>0.207746539199561</v>
      </c>
      <c r="Z4120" s="0" t="n">
        <f aca="false">04_回帰ANOVA!$K$19*04_回帰ANOVA!$K$14*SQRT(1+Y4120)</f>
        <v>1.43247250081141</v>
      </c>
      <c r="AA4120" s="0" t="n">
        <f aca="false">X4120-Z4120</f>
        <v>47.1429980766739</v>
      </c>
      <c r="AB4120" s="0" t="n">
        <f aca="false">X4120+Z4120</f>
        <v>50.0079430782967</v>
      </c>
      <c r="AC4120" s="54" t="b">
        <f aca="false">AND(E4120&gt;=01_因子設定!$L$5-0.000000001,E4120&lt;=01_因子設定!$M$5+0.000000001,F4120&gt;=01_因子設定!$L$6-0.000000001,F4120&lt;=01_因子設定!$M$6+0.000000001,G4120&gt;=01_因子設定!$L$7-0.000000001,G4120&lt;=01_因子設定!$M$7+0.000000001,H4120&gt;=01_因子設定!$L$8-0.000000001,H4120&lt;=01_因子設定!$M$8+0.000000001,IF(01_因子設定!$B$20="Box-Behnken",E4120^2+F4120^2+G4120^2+H4120^2&lt;=2+0.000000001,TRUE()))</f>
        <v>1</v>
      </c>
      <c r="AD4120" s="55" t="n">
        <f aca="false">IF(AC4120,IF(01_因子設定!$B$13="最大化",AA4120-01_因子設定!$B$14,IF(01_因子設定!$B$13="最小化",01_因子設定!$B$15-AB4120,MIN(AA4120-01_因子設定!$B$14,01_因子設定!$B$15-AB4120))),-1E+030)</f>
        <v>0.642998076673926</v>
      </c>
      <c r="AE4120" s="55" t="n">
        <f aca="false">IF(AC4120,IF(01_因子設定!$B$13="最大化",X4120,IF(01_因子設定!$B$13="最小化",-X4120,-ABS(X4120-01_因子設定!$B$16))),-1E+030)</f>
        <v>48.5754705774853</v>
      </c>
      <c r="AF4120" s="55" t="n">
        <f aca="false">AD4120+ROW()*0.000000001</f>
        <v>0.643002196673926</v>
      </c>
      <c r="AG4120" s="55" t="n">
        <f aca="false">AE4120+ROW()*0.000000001</f>
        <v>48.5754746974853</v>
      </c>
    </row>
    <row r="4121" customFormat="false" ht="15" hidden="false" customHeight="false" outlineLevel="0" collapsed="false">
      <c r="A4121" s="0" t="n">
        <v>5</v>
      </c>
      <c r="B4121" s="0" t="n">
        <v>5</v>
      </c>
      <c r="C4121" s="0" t="n">
        <v>7</v>
      </c>
      <c r="D4121" s="0" t="n">
        <v>3</v>
      </c>
      <c r="E4121" s="0" t="n">
        <f aca="false">-1+A4121*0.25</f>
        <v>0.25</v>
      </c>
      <c r="F4121" s="0" t="n">
        <f aca="false">-1+B4121*0.25</f>
        <v>0.25</v>
      </c>
      <c r="G4121" s="0" t="n">
        <f aca="false">-1+C4121*0.25</f>
        <v>0.75</v>
      </c>
      <c r="H4121" s="0" t="n">
        <f aca="false">-1+D4121*0.25</f>
        <v>-0.25</v>
      </c>
      <c r="I4121" s="0" t="n">
        <f aca="false">1</f>
        <v>1</v>
      </c>
      <c r="J4121" s="0" t="n">
        <f aca="false">E4121</f>
        <v>0.25</v>
      </c>
      <c r="K4121" s="0" t="n">
        <f aca="false">F4121</f>
        <v>0.25</v>
      </c>
      <c r="L4121" s="0" t="n">
        <f aca="false">G4121</f>
        <v>0.75</v>
      </c>
      <c r="M4121" s="0" t="n">
        <f aca="false">H4121</f>
        <v>-0.25</v>
      </c>
      <c r="N4121" s="0" t="n">
        <f aca="false">E4121*F4121</f>
        <v>0.0625</v>
      </c>
      <c r="O4121" s="0" t="n">
        <f aca="false">E4121*G4121</f>
        <v>0.1875</v>
      </c>
      <c r="P4121" s="0" t="n">
        <f aca="false">E4121*H4121</f>
        <v>-0.0625</v>
      </c>
      <c r="Q4121" s="0" t="n">
        <f aca="false">F4121*G4121</f>
        <v>0.1875</v>
      </c>
      <c r="R4121" s="0" t="n">
        <f aca="false">F4121*H4121</f>
        <v>-0.0625</v>
      </c>
      <c r="S4121" s="0" t="n">
        <f aca="false">G4121*H4121</f>
        <v>-0.1875</v>
      </c>
      <c r="T4121" s="0" t="n">
        <f aca="false">E4121*E4121</f>
        <v>0.0625</v>
      </c>
      <c r="U4121" s="0" t="n">
        <f aca="false">F4121*F4121</f>
        <v>0.0625</v>
      </c>
      <c r="V4121" s="0" t="n">
        <f aca="false">G4121*G4121</f>
        <v>0.5625</v>
      </c>
      <c r="W4121" s="0" t="n">
        <f aca="false">H4121*H4121</f>
        <v>0.0625</v>
      </c>
      <c r="X4121" s="0" t="n">
        <f aca="false">SUMPRODUCT(I4121:W4121,_XtX!$B$96:$P$96)</f>
        <v>48.79700749269</v>
      </c>
      <c r="Y4121" s="0" t="n">
        <f aca="false">SUMPRODUCT(MMULT(I4121:W4121,_XtX!$B$78:$P$92),I4121:W4121)</f>
        <v>0.205926192434211</v>
      </c>
      <c r="Z4121" s="0" t="n">
        <f aca="false">04_回帰ANOVA!$K$19*04_回帰ANOVA!$K$14*SQRT(1+Y4121)</f>
        <v>1.43139256396246</v>
      </c>
      <c r="AA4121" s="0" t="n">
        <f aca="false">X4121-Z4121</f>
        <v>47.3656149287275</v>
      </c>
      <c r="AB4121" s="0" t="n">
        <f aca="false">X4121+Z4121</f>
        <v>50.2284000566525</v>
      </c>
      <c r="AC4121" s="54" t="b">
        <f aca="false">AND(E4121&gt;=01_因子設定!$L$5-0.000000001,E4121&lt;=01_因子設定!$M$5+0.000000001,F4121&gt;=01_因子設定!$L$6-0.000000001,F4121&lt;=01_因子設定!$M$6+0.000000001,G4121&gt;=01_因子設定!$L$7-0.000000001,G4121&lt;=01_因子設定!$M$7+0.000000001,H4121&gt;=01_因子設定!$L$8-0.000000001,H4121&lt;=01_因子設定!$M$8+0.000000001,IF(01_因子設定!$B$20="Box-Behnken",E4121^2+F4121^2+G4121^2+H4121^2&lt;=2+0.000000001,TRUE()))</f>
        <v>1</v>
      </c>
      <c r="AD4121" s="55" t="n">
        <f aca="false">IF(AC4121,IF(01_因子設定!$B$13="最大化",AA4121-01_因子設定!$B$14,IF(01_因子設定!$B$13="最小化",01_因子設定!$B$15-AB4121,MIN(AA4121-01_因子設定!$B$14,01_因子設定!$B$15-AB4121))),-1E+030)</f>
        <v>0.865614928727538</v>
      </c>
      <c r="AE4121" s="55" t="n">
        <f aca="false">IF(AC4121,IF(01_因子設定!$B$13="最大化",X4121,IF(01_因子設定!$B$13="最小化",-X4121,-ABS(X4121-01_因子設定!$B$16))),-1E+030)</f>
        <v>48.79700749269</v>
      </c>
      <c r="AF4121" s="55" t="n">
        <f aca="false">AD4121+ROW()*0.000000001</f>
        <v>0.865619049727538</v>
      </c>
      <c r="AG4121" s="55" t="n">
        <f aca="false">AE4121+ROW()*0.000000001</f>
        <v>48.79701161369</v>
      </c>
    </row>
    <row r="4122" customFormat="false" ht="15" hidden="false" customHeight="false" outlineLevel="0" collapsed="false">
      <c r="A4122" s="0" t="n">
        <v>5</v>
      </c>
      <c r="B4122" s="0" t="n">
        <v>5</v>
      </c>
      <c r="C4122" s="0" t="n">
        <v>7</v>
      </c>
      <c r="D4122" s="0" t="n">
        <v>4</v>
      </c>
      <c r="E4122" s="0" t="n">
        <f aca="false">-1+A4122*0.25</f>
        <v>0.25</v>
      </c>
      <c r="F4122" s="0" t="n">
        <f aca="false">-1+B4122*0.25</f>
        <v>0.25</v>
      </c>
      <c r="G4122" s="0" t="n">
        <f aca="false">-1+C4122*0.25</f>
        <v>0.75</v>
      </c>
      <c r="H4122" s="0" t="n">
        <f aca="false">-1+D4122*0.25</f>
        <v>0</v>
      </c>
      <c r="I4122" s="0" t="n">
        <f aca="false">1</f>
        <v>1</v>
      </c>
      <c r="J4122" s="0" t="n">
        <f aca="false">E4122</f>
        <v>0.25</v>
      </c>
      <c r="K4122" s="0" t="n">
        <f aca="false">F4122</f>
        <v>0.25</v>
      </c>
      <c r="L4122" s="0" t="n">
        <f aca="false">G4122</f>
        <v>0.75</v>
      </c>
      <c r="M4122" s="0" t="n">
        <f aca="false">H4122</f>
        <v>0</v>
      </c>
      <c r="N4122" s="0" t="n">
        <f aca="false">E4122*F4122</f>
        <v>0.0625</v>
      </c>
      <c r="O4122" s="0" t="n">
        <f aca="false">E4122*G4122</f>
        <v>0.1875</v>
      </c>
      <c r="P4122" s="0" t="n">
        <f aca="false">E4122*H4122</f>
        <v>0</v>
      </c>
      <c r="Q4122" s="0" t="n">
        <f aca="false">F4122*G4122</f>
        <v>0.1875</v>
      </c>
      <c r="R4122" s="0" t="n">
        <f aca="false">F4122*H4122</f>
        <v>0</v>
      </c>
      <c r="S4122" s="0" t="n">
        <f aca="false">G4122*H4122</f>
        <v>0</v>
      </c>
      <c r="T4122" s="0" t="n">
        <f aca="false">E4122*E4122</f>
        <v>0.0625</v>
      </c>
      <c r="U4122" s="0" t="n">
        <f aca="false">F4122*F4122</f>
        <v>0.0625</v>
      </c>
      <c r="V4122" s="0" t="n">
        <f aca="false">G4122*G4122</f>
        <v>0.5625</v>
      </c>
      <c r="W4122" s="0" t="n">
        <f aca="false">H4122*H4122</f>
        <v>0</v>
      </c>
      <c r="X4122" s="0" t="n">
        <f aca="false">SUMPRODUCT(I4122:W4122,_XtX!$B$96:$P$96)</f>
        <v>48.9707373903508</v>
      </c>
      <c r="Y4122" s="0" t="n">
        <f aca="false">SUMPRODUCT(MMULT(I4122:W4122,_XtX!$B$78:$P$92),I4122:W4122)</f>
        <v>0.21135011193348</v>
      </c>
      <c r="Z4122" s="0" t="n">
        <f aca="false">04_回帰ANOVA!$K$19*04_回帰ANOVA!$K$14*SQRT(1+Y4122)</f>
        <v>1.43460795469709</v>
      </c>
      <c r="AA4122" s="0" t="n">
        <f aca="false">X4122-Z4122</f>
        <v>47.5361294356537</v>
      </c>
      <c r="AB4122" s="0" t="n">
        <f aca="false">X4122+Z4122</f>
        <v>50.4053453450479</v>
      </c>
      <c r="AC4122" s="54" t="b">
        <f aca="false">AND(E4122&gt;=01_因子設定!$L$5-0.000000001,E4122&lt;=01_因子設定!$M$5+0.000000001,F4122&gt;=01_因子設定!$L$6-0.000000001,F4122&lt;=01_因子設定!$M$6+0.000000001,G4122&gt;=01_因子設定!$L$7-0.000000001,G4122&lt;=01_因子設定!$M$7+0.000000001,H4122&gt;=01_因子設定!$L$8-0.000000001,H4122&lt;=01_因子設定!$M$8+0.000000001,IF(01_因子設定!$B$20="Box-Behnken",E4122^2+F4122^2+G4122^2+H4122^2&lt;=2+0.000000001,TRUE()))</f>
        <v>1</v>
      </c>
      <c r="AD4122" s="55" t="n">
        <f aca="false">IF(AC4122,IF(01_因子設定!$B$13="最大化",AA4122-01_因子設定!$B$14,IF(01_因子設定!$B$13="最小化",01_因子設定!$B$15-AB4122,MIN(AA4122-01_因子設定!$B$14,01_因子設定!$B$15-AB4122))),-1E+030)</f>
        <v>1.03612943565373</v>
      </c>
      <c r="AE4122" s="55" t="n">
        <f aca="false">IF(AC4122,IF(01_因子設定!$B$13="最大化",X4122,IF(01_因子設定!$B$13="最小化",-X4122,-ABS(X4122-01_因子設定!$B$16))),-1E+030)</f>
        <v>48.9707373903508</v>
      </c>
      <c r="AF4122" s="55" t="n">
        <f aca="false">AD4122+ROW()*0.000000001</f>
        <v>1.03613355765373</v>
      </c>
      <c r="AG4122" s="55" t="n">
        <f aca="false">AE4122+ROW()*0.000000001</f>
        <v>48.9707415123508</v>
      </c>
    </row>
    <row r="4123" customFormat="false" ht="15" hidden="false" customHeight="false" outlineLevel="0" collapsed="false">
      <c r="A4123" s="0" t="n">
        <v>5</v>
      </c>
      <c r="B4123" s="0" t="n">
        <v>5</v>
      </c>
      <c r="C4123" s="0" t="n">
        <v>7</v>
      </c>
      <c r="D4123" s="0" t="n">
        <v>5</v>
      </c>
      <c r="E4123" s="0" t="n">
        <f aca="false">-1+A4123*0.25</f>
        <v>0.25</v>
      </c>
      <c r="F4123" s="0" t="n">
        <f aca="false">-1+B4123*0.25</f>
        <v>0.25</v>
      </c>
      <c r="G4123" s="0" t="n">
        <f aca="false">-1+C4123*0.25</f>
        <v>0.75</v>
      </c>
      <c r="H4123" s="0" t="n">
        <f aca="false">-1+D4123*0.25</f>
        <v>0.25</v>
      </c>
      <c r="I4123" s="0" t="n">
        <f aca="false">1</f>
        <v>1</v>
      </c>
      <c r="J4123" s="0" t="n">
        <f aca="false">E4123</f>
        <v>0.25</v>
      </c>
      <c r="K4123" s="0" t="n">
        <f aca="false">F4123</f>
        <v>0.25</v>
      </c>
      <c r="L4123" s="0" t="n">
        <f aca="false">G4123</f>
        <v>0.75</v>
      </c>
      <c r="M4123" s="0" t="n">
        <f aca="false">H4123</f>
        <v>0.25</v>
      </c>
      <c r="N4123" s="0" t="n">
        <f aca="false">E4123*F4123</f>
        <v>0.0625</v>
      </c>
      <c r="O4123" s="0" t="n">
        <f aca="false">E4123*G4123</f>
        <v>0.1875</v>
      </c>
      <c r="P4123" s="0" t="n">
        <f aca="false">E4123*H4123</f>
        <v>0.0625</v>
      </c>
      <c r="Q4123" s="0" t="n">
        <f aca="false">F4123*G4123</f>
        <v>0.1875</v>
      </c>
      <c r="R4123" s="0" t="n">
        <f aca="false">F4123*H4123</f>
        <v>0.0625</v>
      </c>
      <c r="S4123" s="0" t="n">
        <f aca="false">G4123*H4123</f>
        <v>0.1875</v>
      </c>
      <c r="T4123" s="0" t="n">
        <f aca="false">E4123*E4123</f>
        <v>0.0625</v>
      </c>
      <c r="U4123" s="0" t="n">
        <f aca="false">F4123*F4123</f>
        <v>0.0625</v>
      </c>
      <c r="V4123" s="0" t="n">
        <f aca="false">G4123*G4123</f>
        <v>0.5625</v>
      </c>
      <c r="W4123" s="0" t="n">
        <f aca="false">H4123*H4123</f>
        <v>0.0625</v>
      </c>
      <c r="X4123" s="0" t="n">
        <f aca="false">SUMPRODUCT(I4123:W4123,_XtX!$B$96:$P$96)</f>
        <v>49.0966602704678</v>
      </c>
      <c r="Y4123" s="0" t="n">
        <f aca="false">SUMPRODUCT(MMULT(I4123:W4123,_XtX!$B$78:$P$92),I4123:W4123)</f>
        <v>0.205926192434211</v>
      </c>
      <c r="Z4123" s="0" t="n">
        <f aca="false">04_回帰ANOVA!$K$19*04_回帰ANOVA!$K$14*SQRT(1+Y4123)</f>
        <v>1.43139256396246</v>
      </c>
      <c r="AA4123" s="0" t="n">
        <f aca="false">X4123-Z4123</f>
        <v>47.6652677065053</v>
      </c>
      <c r="AB4123" s="0" t="n">
        <f aca="false">X4123+Z4123</f>
        <v>50.5280528344302</v>
      </c>
      <c r="AC4123" s="54" t="b">
        <f aca="false">AND(E4123&gt;=01_因子設定!$L$5-0.000000001,E4123&lt;=01_因子設定!$M$5+0.000000001,F4123&gt;=01_因子設定!$L$6-0.000000001,F4123&lt;=01_因子設定!$M$6+0.000000001,G4123&gt;=01_因子設定!$L$7-0.000000001,G4123&lt;=01_因子設定!$M$7+0.000000001,H4123&gt;=01_因子設定!$L$8-0.000000001,H4123&lt;=01_因子設定!$M$8+0.000000001,IF(01_因子設定!$B$20="Box-Behnken",E4123^2+F4123^2+G4123^2+H4123^2&lt;=2+0.000000001,TRUE()))</f>
        <v>1</v>
      </c>
      <c r="AD4123" s="55" t="n">
        <f aca="false">IF(AC4123,IF(01_因子設定!$B$13="最大化",AA4123-01_因子設定!$B$14,IF(01_因子設定!$B$13="最小化",01_因子設定!$B$15-AB4123,MIN(AA4123-01_因子設定!$B$14,01_因子設定!$B$15-AB4123))),-1E+030)</f>
        <v>1.16526770650532</v>
      </c>
      <c r="AE4123" s="55" t="n">
        <f aca="false">IF(AC4123,IF(01_因子設定!$B$13="最大化",X4123,IF(01_因子設定!$B$13="最小化",-X4123,-ABS(X4123-01_因子設定!$B$16))),-1E+030)</f>
        <v>49.0966602704678</v>
      </c>
      <c r="AF4123" s="55" t="n">
        <f aca="false">AD4123+ROW()*0.000000001</f>
        <v>1.16527182950532</v>
      </c>
      <c r="AG4123" s="55" t="n">
        <f aca="false">AE4123+ROW()*0.000000001</f>
        <v>49.0966643934678</v>
      </c>
    </row>
    <row r="4124" customFormat="false" ht="15" hidden="false" customHeight="false" outlineLevel="0" collapsed="false">
      <c r="A4124" s="0" t="n">
        <v>5</v>
      </c>
      <c r="B4124" s="0" t="n">
        <v>5</v>
      </c>
      <c r="C4124" s="0" t="n">
        <v>7</v>
      </c>
      <c r="D4124" s="0" t="n">
        <v>6</v>
      </c>
      <c r="E4124" s="0" t="n">
        <f aca="false">-1+A4124*0.25</f>
        <v>0.25</v>
      </c>
      <c r="F4124" s="0" t="n">
        <f aca="false">-1+B4124*0.25</f>
        <v>0.25</v>
      </c>
      <c r="G4124" s="0" t="n">
        <f aca="false">-1+C4124*0.25</f>
        <v>0.75</v>
      </c>
      <c r="H4124" s="0" t="n">
        <f aca="false">-1+D4124*0.25</f>
        <v>0.5</v>
      </c>
      <c r="I4124" s="0" t="n">
        <f aca="false">1</f>
        <v>1</v>
      </c>
      <c r="J4124" s="0" t="n">
        <f aca="false">E4124</f>
        <v>0.25</v>
      </c>
      <c r="K4124" s="0" t="n">
        <f aca="false">F4124</f>
        <v>0.25</v>
      </c>
      <c r="L4124" s="0" t="n">
        <f aca="false">G4124</f>
        <v>0.75</v>
      </c>
      <c r="M4124" s="0" t="n">
        <f aca="false">H4124</f>
        <v>0.5</v>
      </c>
      <c r="N4124" s="0" t="n">
        <f aca="false">E4124*F4124</f>
        <v>0.0625</v>
      </c>
      <c r="O4124" s="0" t="n">
        <f aca="false">E4124*G4124</f>
        <v>0.1875</v>
      </c>
      <c r="P4124" s="0" t="n">
        <f aca="false">E4124*H4124</f>
        <v>0.125</v>
      </c>
      <c r="Q4124" s="0" t="n">
        <f aca="false">F4124*G4124</f>
        <v>0.1875</v>
      </c>
      <c r="R4124" s="0" t="n">
        <f aca="false">F4124*H4124</f>
        <v>0.125</v>
      </c>
      <c r="S4124" s="0" t="n">
        <f aca="false">G4124*H4124</f>
        <v>0.375</v>
      </c>
      <c r="T4124" s="0" t="n">
        <f aca="false">E4124*E4124</f>
        <v>0.0625</v>
      </c>
      <c r="U4124" s="0" t="n">
        <f aca="false">F4124*F4124</f>
        <v>0.0625</v>
      </c>
      <c r="V4124" s="0" t="n">
        <f aca="false">G4124*G4124</f>
        <v>0.5625</v>
      </c>
      <c r="W4124" s="0" t="n">
        <f aca="false">H4124*H4124</f>
        <v>0.25</v>
      </c>
      <c r="X4124" s="0" t="n">
        <f aca="false">SUMPRODUCT(I4124:W4124,_XtX!$B$96:$P$96)</f>
        <v>49.1747761330409</v>
      </c>
      <c r="Y4124" s="0" t="n">
        <f aca="false">SUMPRODUCT(MMULT(I4124:W4124,_XtX!$B$78:$P$92),I4124:W4124)</f>
        <v>0.207746539199561</v>
      </c>
      <c r="Z4124" s="0" t="n">
        <f aca="false">04_回帰ANOVA!$K$19*04_回帰ANOVA!$K$14*SQRT(1+Y4124)</f>
        <v>1.43247250081141</v>
      </c>
      <c r="AA4124" s="0" t="n">
        <f aca="false">X4124-Z4124</f>
        <v>47.7423036322295</v>
      </c>
      <c r="AB4124" s="0" t="n">
        <f aca="false">X4124+Z4124</f>
        <v>50.6072486338523</v>
      </c>
      <c r="AC4124" s="54" t="b">
        <f aca="false">AND(E4124&gt;=01_因子設定!$L$5-0.000000001,E4124&lt;=01_因子設定!$M$5+0.000000001,F4124&gt;=01_因子設定!$L$6-0.000000001,F4124&lt;=01_因子設定!$M$6+0.000000001,G4124&gt;=01_因子設定!$L$7-0.000000001,G4124&lt;=01_因子設定!$M$7+0.000000001,H4124&gt;=01_因子設定!$L$8-0.000000001,H4124&lt;=01_因子設定!$M$8+0.000000001,IF(01_因子設定!$B$20="Box-Behnken",E4124^2+F4124^2+G4124^2+H4124^2&lt;=2+0.000000001,TRUE()))</f>
        <v>1</v>
      </c>
      <c r="AD4124" s="55" t="n">
        <f aca="false">IF(AC4124,IF(01_因子設定!$B$13="最大化",AA4124-01_因子設定!$B$14,IF(01_因子設定!$B$13="最小化",01_因子設定!$B$15-AB4124,MIN(AA4124-01_因子設定!$B$14,01_因子設定!$B$15-AB4124))),-1E+030)</f>
        <v>1.24230363222948</v>
      </c>
      <c r="AE4124" s="55" t="n">
        <f aca="false">IF(AC4124,IF(01_因子設定!$B$13="最大化",X4124,IF(01_因子設定!$B$13="最小化",-X4124,-ABS(X4124-01_因子設定!$B$16))),-1E+030)</f>
        <v>49.1747761330409</v>
      </c>
      <c r="AF4124" s="55" t="n">
        <f aca="false">AD4124+ROW()*0.000000001</f>
        <v>1.24230775622948</v>
      </c>
      <c r="AG4124" s="55" t="n">
        <f aca="false">AE4124+ROW()*0.000000001</f>
        <v>49.1747802570409</v>
      </c>
    </row>
    <row r="4125" customFormat="false" ht="15" hidden="false" customHeight="false" outlineLevel="0" collapsed="false">
      <c r="A4125" s="0" t="n">
        <v>5</v>
      </c>
      <c r="B4125" s="0" t="n">
        <v>5</v>
      </c>
      <c r="C4125" s="0" t="n">
        <v>7</v>
      </c>
      <c r="D4125" s="0" t="n">
        <v>7</v>
      </c>
      <c r="E4125" s="0" t="n">
        <f aca="false">-1+A4125*0.25</f>
        <v>0.25</v>
      </c>
      <c r="F4125" s="0" t="n">
        <f aca="false">-1+B4125*0.25</f>
        <v>0.25</v>
      </c>
      <c r="G4125" s="0" t="n">
        <f aca="false">-1+C4125*0.25</f>
        <v>0.75</v>
      </c>
      <c r="H4125" s="0" t="n">
        <f aca="false">-1+D4125*0.25</f>
        <v>0.75</v>
      </c>
      <c r="I4125" s="0" t="n">
        <f aca="false">1</f>
        <v>1</v>
      </c>
      <c r="J4125" s="0" t="n">
        <f aca="false">E4125</f>
        <v>0.25</v>
      </c>
      <c r="K4125" s="0" t="n">
        <f aca="false">F4125</f>
        <v>0.25</v>
      </c>
      <c r="L4125" s="0" t="n">
        <f aca="false">G4125</f>
        <v>0.75</v>
      </c>
      <c r="M4125" s="0" t="n">
        <f aca="false">H4125</f>
        <v>0.75</v>
      </c>
      <c r="N4125" s="0" t="n">
        <f aca="false">E4125*F4125</f>
        <v>0.0625</v>
      </c>
      <c r="O4125" s="0" t="n">
        <f aca="false">E4125*G4125</f>
        <v>0.1875</v>
      </c>
      <c r="P4125" s="0" t="n">
        <f aca="false">E4125*H4125</f>
        <v>0.1875</v>
      </c>
      <c r="Q4125" s="0" t="n">
        <f aca="false">F4125*G4125</f>
        <v>0.1875</v>
      </c>
      <c r="R4125" s="0" t="n">
        <f aca="false">F4125*H4125</f>
        <v>0.1875</v>
      </c>
      <c r="S4125" s="0" t="n">
        <f aca="false">G4125*H4125</f>
        <v>0.5625</v>
      </c>
      <c r="T4125" s="0" t="n">
        <f aca="false">E4125*E4125</f>
        <v>0.0625</v>
      </c>
      <c r="U4125" s="0" t="n">
        <f aca="false">F4125*F4125</f>
        <v>0.0625</v>
      </c>
      <c r="V4125" s="0" t="n">
        <f aca="false">G4125*G4125</f>
        <v>0.5625</v>
      </c>
      <c r="W4125" s="0" t="n">
        <f aca="false">H4125*H4125</f>
        <v>0.5625</v>
      </c>
      <c r="X4125" s="0" t="n">
        <f aca="false">SUMPRODUCT(I4125:W4125,_XtX!$B$96:$P$96)</f>
        <v>49.2050849780701</v>
      </c>
      <c r="Y4125" s="0" t="n">
        <f aca="false">SUMPRODUCT(MMULT(I4125:W4125,_XtX!$B$78:$P$92),I4125:W4125)</f>
        <v>0.271087468019006</v>
      </c>
      <c r="Z4125" s="0" t="n">
        <f aca="false">04_回帰ANOVA!$K$19*04_回帰ANOVA!$K$14*SQRT(1+Y4125)</f>
        <v>1.46955590155034</v>
      </c>
      <c r="AA4125" s="0" t="n">
        <f aca="false">X4125-Z4125</f>
        <v>47.7355290765198</v>
      </c>
      <c r="AB4125" s="0" t="n">
        <f aca="false">X4125+Z4125</f>
        <v>50.6746408796205</v>
      </c>
      <c r="AC4125" s="54" t="b">
        <f aca="false">AND(E4125&gt;=01_因子設定!$L$5-0.000000001,E4125&lt;=01_因子設定!$M$5+0.000000001,F4125&gt;=01_因子設定!$L$6-0.000000001,F4125&lt;=01_因子設定!$M$6+0.000000001,G4125&gt;=01_因子設定!$L$7-0.000000001,G4125&lt;=01_因子設定!$M$7+0.000000001,H4125&gt;=01_因子設定!$L$8-0.000000001,H4125&lt;=01_因子設定!$M$8+0.000000001,IF(01_因子設定!$B$20="Box-Behnken",E4125^2+F4125^2+G4125^2+H4125^2&lt;=2+0.000000001,TRUE()))</f>
        <v>1</v>
      </c>
      <c r="AD4125" s="55" t="n">
        <f aca="false">IF(AC4125,IF(01_因子設定!$B$13="最大化",AA4125-01_因子設定!$B$14,IF(01_因子設定!$B$13="最小化",01_因子設定!$B$15-AB4125,MIN(AA4125-01_因子設定!$B$14,01_因子設定!$B$15-AB4125))),-1E+030)</f>
        <v>1.2355290765198</v>
      </c>
      <c r="AE4125" s="55" t="n">
        <f aca="false">IF(AC4125,IF(01_因子設定!$B$13="最大化",X4125,IF(01_因子設定!$B$13="最小化",-X4125,-ABS(X4125-01_因子設定!$B$16))),-1E+030)</f>
        <v>49.2050849780701</v>
      </c>
      <c r="AF4125" s="55" t="n">
        <f aca="false">AD4125+ROW()*0.000000001</f>
        <v>1.2355332015198</v>
      </c>
      <c r="AG4125" s="55" t="n">
        <f aca="false">AE4125+ROW()*0.000000001</f>
        <v>49.2050891030701</v>
      </c>
    </row>
    <row r="4126" customFormat="false" ht="15" hidden="false" customHeight="false" outlineLevel="0" collapsed="false">
      <c r="A4126" s="0" t="n">
        <v>5</v>
      </c>
      <c r="B4126" s="0" t="n">
        <v>5</v>
      </c>
      <c r="C4126" s="0" t="n">
        <v>7</v>
      </c>
      <c r="D4126" s="0" t="n">
        <v>8</v>
      </c>
      <c r="E4126" s="0" t="n">
        <f aca="false">-1+A4126*0.25</f>
        <v>0.25</v>
      </c>
      <c r="F4126" s="0" t="n">
        <f aca="false">-1+B4126*0.25</f>
        <v>0.25</v>
      </c>
      <c r="G4126" s="0" t="n">
        <f aca="false">-1+C4126*0.25</f>
        <v>0.75</v>
      </c>
      <c r="H4126" s="0" t="n">
        <f aca="false">-1+D4126*0.25</f>
        <v>1</v>
      </c>
      <c r="I4126" s="0" t="n">
        <f aca="false">1</f>
        <v>1</v>
      </c>
      <c r="J4126" s="0" t="n">
        <f aca="false">E4126</f>
        <v>0.25</v>
      </c>
      <c r="K4126" s="0" t="n">
        <f aca="false">F4126</f>
        <v>0.25</v>
      </c>
      <c r="L4126" s="0" t="n">
        <f aca="false">G4126</f>
        <v>0.75</v>
      </c>
      <c r="M4126" s="0" t="n">
        <f aca="false">H4126</f>
        <v>1</v>
      </c>
      <c r="N4126" s="0" t="n">
        <f aca="false">E4126*F4126</f>
        <v>0.0625</v>
      </c>
      <c r="O4126" s="0" t="n">
        <f aca="false">E4126*G4126</f>
        <v>0.1875</v>
      </c>
      <c r="P4126" s="0" t="n">
        <f aca="false">E4126*H4126</f>
        <v>0.25</v>
      </c>
      <c r="Q4126" s="0" t="n">
        <f aca="false">F4126*G4126</f>
        <v>0.1875</v>
      </c>
      <c r="R4126" s="0" t="n">
        <f aca="false">F4126*H4126</f>
        <v>0.25</v>
      </c>
      <c r="S4126" s="0" t="n">
        <f aca="false">G4126*H4126</f>
        <v>0.75</v>
      </c>
      <c r="T4126" s="0" t="n">
        <f aca="false">E4126*E4126</f>
        <v>0.0625</v>
      </c>
      <c r="U4126" s="0" t="n">
        <f aca="false">F4126*F4126</f>
        <v>0.0625</v>
      </c>
      <c r="V4126" s="0" t="n">
        <f aca="false">G4126*G4126</f>
        <v>0.5625</v>
      </c>
      <c r="W4126" s="0" t="n">
        <f aca="false">H4126*H4126</f>
        <v>1</v>
      </c>
      <c r="X4126" s="0" t="n">
        <f aca="false">SUMPRODUCT(I4126:W4126,_XtX!$B$96:$P$96)</f>
        <v>49.1875868055555</v>
      </c>
      <c r="Y4126" s="0" t="n">
        <f aca="false">SUMPRODUCT(MMULT(I4126:W4126,_XtX!$B$78:$P$92),I4126:W4126)</f>
        <v>0.486409505208334</v>
      </c>
      <c r="Z4126" s="0" t="n">
        <f aca="false">04_回帰ANOVA!$K$19*04_回帰ANOVA!$K$14*SQRT(1+Y4126)</f>
        <v>1.58916001665498</v>
      </c>
      <c r="AA4126" s="0" t="n">
        <f aca="false">X4126-Z4126</f>
        <v>47.5984267889006</v>
      </c>
      <c r="AB4126" s="0" t="n">
        <f aca="false">X4126+Z4126</f>
        <v>50.7767468222105</v>
      </c>
      <c r="AC4126" s="54" t="b">
        <f aca="false">AND(E4126&gt;=01_因子設定!$L$5-0.000000001,E4126&lt;=01_因子設定!$M$5+0.000000001,F4126&gt;=01_因子設定!$L$6-0.000000001,F4126&lt;=01_因子設定!$M$6+0.000000001,G4126&gt;=01_因子設定!$L$7-0.000000001,G4126&lt;=01_因子設定!$M$7+0.000000001,H4126&gt;=01_因子設定!$L$8-0.000000001,H4126&lt;=01_因子設定!$M$8+0.000000001,IF(01_因子設定!$B$20="Box-Behnken",E4126^2+F4126^2+G4126^2+H4126^2&lt;=2+0.000000001,TRUE()))</f>
        <v>1</v>
      </c>
      <c r="AD4126" s="55" t="n">
        <f aca="false">IF(AC4126,IF(01_因子設定!$B$13="最大化",AA4126-01_因子設定!$B$14,IF(01_因子設定!$B$13="最小化",01_因子設定!$B$15-AB4126,MIN(AA4126-01_因子設定!$B$14,01_因子設定!$B$15-AB4126))),-1E+030)</f>
        <v>1.09842678890055</v>
      </c>
      <c r="AE4126" s="55" t="n">
        <f aca="false">IF(AC4126,IF(01_因子設定!$B$13="最大化",X4126,IF(01_因子設定!$B$13="最小化",-X4126,-ABS(X4126-01_因子設定!$B$16))),-1E+030)</f>
        <v>49.1875868055555</v>
      </c>
      <c r="AF4126" s="55" t="n">
        <f aca="false">AD4126+ROW()*0.000000001</f>
        <v>1.09843091490055</v>
      </c>
      <c r="AG4126" s="55" t="n">
        <f aca="false">AE4126+ROW()*0.000000001</f>
        <v>49.1875909315555</v>
      </c>
    </row>
    <row r="4127" customFormat="false" ht="15" hidden="false" customHeight="false" outlineLevel="0" collapsed="false">
      <c r="A4127" s="0" t="n">
        <v>5</v>
      </c>
      <c r="B4127" s="0" t="n">
        <v>5</v>
      </c>
      <c r="C4127" s="0" t="n">
        <v>8</v>
      </c>
      <c r="D4127" s="0" t="n">
        <v>0</v>
      </c>
      <c r="E4127" s="0" t="n">
        <f aca="false">-1+A4127*0.25</f>
        <v>0.25</v>
      </c>
      <c r="F4127" s="0" t="n">
        <f aca="false">-1+B4127*0.25</f>
        <v>0.25</v>
      </c>
      <c r="G4127" s="0" t="n">
        <f aca="false">-1+C4127*0.25</f>
        <v>1</v>
      </c>
      <c r="H4127" s="0" t="n">
        <f aca="false">-1+D4127*0.25</f>
        <v>-1</v>
      </c>
      <c r="I4127" s="0" t="n">
        <f aca="false">1</f>
        <v>1</v>
      </c>
      <c r="J4127" s="0" t="n">
        <f aca="false">E4127</f>
        <v>0.25</v>
      </c>
      <c r="K4127" s="0" t="n">
        <f aca="false">F4127</f>
        <v>0.25</v>
      </c>
      <c r="L4127" s="0" t="n">
        <f aca="false">G4127</f>
        <v>1</v>
      </c>
      <c r="M4127" s="0" t="n">
        <f aca="false">H4127</f>
        <v>-1</v>
      </c>
      <c r="N4127" s="0" t="n">
        <f aca="false">E4127*F4127</f>
        <v>0.0625</v>
      </c>
      <c r="O4127" s="0" t="n">
        <f aca="false">E4127*G4127</f>
        <v>0.25</v>
      </c>
      <c r="P4127" s="0" t="n">
        <f aca="false">E4127*H4127</f>
        <v>-0.25</v>
      </c>
      <c r="Q4127" s="0" t="n">
        <f aca="false">F4127*G4127</f>
        <v>0.25</v>
      </c>
      <c r="R4127" s="0" t="n">
        <f aca="false">F4127*H4127</f>
        <v>-0.25</v>
      </c>
      <c r="S4127" s="0" t="n">
        <f aca="false">G4127*H4127</f>
        <v>-1</v>
      </c>
      <c r="T4127" s="0" t="n">
        <f aca="false">E4127*E4127</f>
        <v>0.0625</v>
      </c>
      <c r="U4127" s="0" t="n">
        <f aca="false">F4127*F4127</f>
        <v>0.0625</v>
      </c>
      <c r="V4127" s="0" t="n">
        <f aca="false">G4127*G4127</f>
        <v>1</v>
      </c>
      <c r="W4127" s="0" t="n">
        <f aca="false">H4127*H4127</f>
        <v>1</v>
      </c>
      <c r="X4127" s="0" t="n">
        <f aca="false">SUMPRODUCT(I4127:W4127,_XtX!$B$96:$P$96)</f>
        <v>47.8432657163743</v>
      </c>
      <c r="Y4127" s="0" t="n">
        <f aca="false">SUMPRODUCT(MMULT(I4127:W4127,_XtX!$B$78:$P$92),I4127:W4127)</f>
        <v>0.670040376005117</v>
      </c>
      <c r="Z4127" s="0" t="n">
        <f aca="false">04_回帰ANOVA!$K$19*04_回帰ANOVA!$K$14*SQRT(1+Y4127)</f>
        <v>1.68446456039992</v>
      </c>
      <c r="AA4127" s="0" t="n">
        <f aca="false">X4127-Z4127</f>
        <v>46.1588011559743</v>
      </c>
      <c r="AB4127" s="0" t="n">
        <f aca="false">X4127+Z4127</f>
        <v>49.5277302767742</v>
      </c>
      <c r="AC4127" s="54" t="b">
        <f aca="false">AND(E4127&gt;=01_因子設定!$L$5-0.000000001,E4127&lt;=01_因子設定!$M$5+0.000000001,F4127&gt;=01_因子設定!$L$6-0.000000001,F4127&lt;=01_因子設定!$M$6+0.000000001,G4127&gt;=01_因子設定!$L$7-0.000000001,G4127&lt;=01_因子設定!$M$7+0.000000001,H4127&gt;=01_因子設定!$L$8-0.000000001,H4127&lt;=01_因子設定!$M$8+0.000000001,IF(01_因子設定!$B$20="Box-Behnken",E4127^2+F4127^2+G4127^2+H4127^2&lt;=2+0.000000001,TRUE()))</f>
        <v>1</v>
      </c>
      <c r="AD4127" s="55" t="n">
        <f aca="false">IF(AC4127,IF(01_因子設定!$B$13="最大化",AA4127-01_因子設定!$B$14,IF(01_因子設定!$B$13="最小化",01_因子設定!$B$15-AB4127,MIN(AA4127-01_因子設定!$B$14,01_因子設定!$B$15-AB4127))),-1E+030)</f>
        <v>-0.341198844025662</v>
      </c>
      <c r="AE4127" s="55" t="n">
        <f aca="false">IF(AC4127,IF(01_因子設定!$B$13="最大化",X4127,IF(01_因子設定!$B$13="最小化",-X4127,-ABS(X4127-01_因子設定!$B$16))),-1E+030)</f>
        <v>47.8432657163743</v>
      </c>
      <c r="AF4127" s="55" t="n">
        <f aca="false">AD4127+ROW()*0.000000001</f>
        <v>-0.341194717025662</v>
      </c>
      <c r="AG4127" s="55" t="n">
        <f aca="false">AE4127+ROW()*0.000000001</f>
        <v>47.8432698433743</v>
      </c>
    </row>
    <row r="4128" customFormat="false" ht="15" hidden="false" customHeight="false" outlineLevel="0" collapsed="false">
      <c r="A4128" s="0" t="n">
        <v>5</v>
      </c>
      <c r="B4128" s="0" t="n">
        <v>5</v>
      </c>
      <c r="C4128" s="0" t="n">
        <v>8</v>
      </c>
      <c r="D4128" s="0" t="n">
        <v>1</v>
      </c>
      <c r="E4128" s="0" t="n">
        <f aca="false">-1+A4128*0.25</f>
        <v>0.25</v>
      </c>
      <c r="F4128" s="0" t="n">
        <f aca="false">-1+B4128*0.25</f>
        <v>0.25</v>
      </c>
      <c r="G4128" s="0" t="n">
        <f aca="false">-1+C4128*0.25</f>
        <v>1</v>
      </c>
      <c r="H4128" s="0" t="n">
        <f aca="false">-1+D4128*0.25</f>
        <v>-0.75</v>
      </c>
      <c r="I4128" s="0" t="n">
        <f aca="false">1</f>
        <v>1</v>
      </c>
      <c r="J4128" s="0" t="n">
        <f aca="false">E4128</f>
        <v>0.25</v>
      </c>
      <c r="K4128" s="0" t="n">
        <f aca="false">F4128</f>
        <v>0.25</v>
      </c>
      <c r="L4128" s="0" t="n">
        <f aca="false">G4128</f>
        <v>1</v>
      </c>
      <c r="M4128" s="0" t="n">
        <f aca="false">H4128</f>
        <v>-0.75</v>
      </c>
      <c r="N4128" s="0" t="n">
        <f aca="false">E4128*F4128</f>
        <v>0.0625</v>
      </c>
      <c r="O4128" s="0" t="n">
        <f aca="false">E4128*G4128</f>
        <v>0.25</v>
      </c>
      <c r="P4128" s="0" t="n">
        <f aca="false">E4128*H4128</f>
        <v>-0.1875</v>
      </c>
      <c r="Q4128" s="0" t="n">
        <f aca="false">F4128*G4128</f>
        <v>0.25</v>
      </c>
      <c r="R4128" s="0" t="n">
        <f aca="false">F4128*H4128</f>
        <v>-0.1875</v>
      </c>
      <c r="S4128" s="0" t="n">
        <f aca="false">G4128*H4128</f>
        <v>-0.75</v>
      </c>
      <c r="T4128" s="0" t="n">
        <f aca="false">E4128*E4128</f>
        <v>0.0625</v>
      </c>
      <c r="U4128" s="0" t="n">
        <f aca="false">F4128*F4128</f>
        <v>0.0625</v>
      </c>
      <c r="V4128" s="0" t="n">
        <f aca="false">G4128*G4128</f>
        <v>1</v>
      </c>
      <c r="W4128" s="0" t="n">
        <f aca="false">H4128*H4128</f>
        <v>0.5625</v>
      </c>
      <c r="X4128" s="0" t="n">
        <f aca="false">SUMPRODUCT(I4128:W4128,_XtX!$B$96:$P$96)</f>
        <v>48.1783854166666</v>
      </c>
      <c r="Y4128" s="0" t="n">
        <f aca="false">SUMPRODUCT(MMULT(I4128:W4128,_XtX!$B$78:$P$92),I4128:W4128)</f>
        <v>0.486409505208334</v>
      </c>
      <c r="Z4128" s="0" t="n">
        <f aca="false">04_回帰ANOVA!$K$19*04_回帰ANOVA!$K$14*SQRT(1+Y4128)</f>
        <v>1.58916001665498</v>
      </c>
      <c r="AA4128" s="0" t="n">
        <f aca="false">X4128-Z4128</f>
        <v>46.5892254000117</v>
      </c>
      <c r="AB4128" s="0" t="n">
        <f aca="false">X4128+Z4128</f>
        <v>49.7675454333216</v>
      </c>
      <c r="AC4128" s="54" t="b">
        <f aca="false">AND(E4128&gt;=01_因子設定!$L$5-0.000000001,E4128&lt;=01_因子設定!$M$5+0.000000001,F4128&gt;=01_因子設定!$L$6-0.000000001,F4128&lt;=01_因子設定!$M$6+0.000000001,G4128&gt;=01_因子設定!$L$7-0.000000001,G4128&lt;=01_因子設定!$M$7+0.000000001,H4128&gt;=01_因子設定!$L$8-0.000000001,H4128&lt;=01_因子設定!$M$8+0.000000001,IF(01_因子設定!$B$20="Box-Behnken",E4128^2+F4128^2+G4128^2+H4128^2&lt;=2+0.000000001,TRUE()))</f>
        <v>1</v>
      </c>
      <c r="AD4128" s="55" t="n">
        <f aca="false">IF(AC4128,IF(01_因子設定!$B$13="最大化",AA4128-01_因子設定!$B$14,IF(01_因子設定!$B$13="最小化",01_因子設定!$B$15-AB4128,MIN(AA4128-01_因子設定!$B$14,01_因子設定!$B$15-AB4128))),-1E+030)</f>
        <v>0.0892254000116566</v>
      </c>
      <c r="AE4128" s="55" t="n">
        <f aca="false">IF(AC4128,IF(01_因子設定!$B$13="最大化",X4128,IF(01_因子設定!$B$13="最小化",-X4128,-ABS(X4128-01_因子設定!$B$16))),-1E+030)</f>
        <v>48.1783854166666</v>
      </c>
      <c r="AF4128" s="55" t="n">
        <f aca="false">AD4128+ROW()*0.000000001</f>
        <v>0.0892295280116566</v>
      </c>
      <c r="AG4128" s="55" t="n">
        <f aca="false">AE4128+ROW()*0.000000001</f>
        <v>48.1783895446666</v>
      </c>
    </row>
    <row r="4129" customFormat="false" ht="15" hidden="false" customHeight="false" outlineLevel="0" collapsed="false">
      <c r="A4129" s="0" t="n">
        <v>5</v>
      </c>
      <c r="B4129" s="0" t="n">
        <v>5</v>
      </c>
      <c r="C4129" s="0" t="n">
        <v>8</v>
      </c>
      <c r="D4129" s="0" t="n">
        <v>2</v>
      </c>
      <c r="E4129" s="0" t="n">
        <f aca="false">-1+A4129*0.25</f>
        <v>0.25</v>
      </c>
      <c r="F4129" s="0" t="n">
        <f aca="false">-1+B4129*0.25</f>
        <v>0.25</v>
      </c>
      <c r="G4129" s="0" t="n">
        <f aca="false">-1+C4129*0.25</f>
        <v>1</v>
      </c>
      <c r="H4129" s="0" t="n">
        <f aca="false">-1+D4129*0.25</f>
        <v>-0.5</v>
      </c>
      <c r="I4129" s="0" t="n">
        <f aca="false">1</f>
        <v>1</v>
      </c>
      <c r="J4129" s="0" t="n">
        <f aca="false">E4129</f>
        <v>0.25</v>
      </c>
      <c r="K4129" s="0" t="n">
        <f aca="false">F4129</f>
        <v>0.25</v>
      </c>
      <c r="L4129" s="0" t="n">
        <f aca="false">G4129</f>
        <v>1</v>
      </c>
      <c r="M4129" s="0" t="n">
        <f aca="false">H4129</f>
        <v>-0.5</v>
      </c>
      <c r="N4129" s="0" t="n">
        <f aca="false">E4129*F4129</f>
        <v>0.0625</v>
      </c>
      <c r="O4129" s="0" t="n">
        <f aca="false">E4129*G4129</f>
        <v>0.25</v>
      </c>
      <c r="P4129" s="0" t="n">
        <f aca="false">E4129*H4129</f>
        <v>-0.125</v>
      </c>
      <c r="Q4129" s="0" t="n">
        <f aca="false">F4129*G4129</f>
        <v>0.25</v>
      </c>
      <c r="R4129" s="0" t="n">
        <f aca="false">F4129*H4129</f>
        <v>-0.125</v>
      </c>
      <c r="S4129" s="0" t="n">
        <f aca="false">G4129*H4129</f>
        <v>-0.5</v>
      </c>
      <c r="T4129" s="0" t="n">
        <f aca="false">E4129*E4129</f>
        <v>0.0625</v>
      </c>
      <c r="U4129" s="0" t="n">
        <f aca="false">F4129*F4129</f>
        <v>0.0625</v>
      </c>
      <c r="V4129" s="0" t="n">
        <f aca="false">G4129*G4129</f>
        <v>1</v>
      </c>
      <c r="W4129" s="0" t="n">
        <f aca="false">H4129*H4129</f>
        <v>0.25</v>
      </c>
      <c r="X4129" s="0" t="n">
        <f aca="false">SUMPRODUCT(I4129:W4129,_XtX!$B$96:$P$96)</f>
        <v>48.4656980994152</v>
      </c>
      <c r="Y4129" s="0" t="n">
        <f aca="false">SUMPRODUCT(MMULT(I4129:W4129,_XtX!$B$78:$P$92),I4129:W4129)</f>
        <v>0.445705123812135</v>
      </c>
      <c r="Z4129" s="0" t="n">
        <f aca="false">04_回帰ANOVA!$K$19*04_回帰ANOVA!$K$14*SQRT(1+Y4129)</f>
        <v>1.56724990734749</v>
      </c>
      <c r="AA4129" s="0" t="n">
        <f aca="false">X4129-Z4129</f>
        <v>46.8984481920677</v>
      </c>
      <c r="AB4129" s="0" t="n">
        <f aca="false">X4129+Z4129</f>
        <v>50.0329480067626</v>
      </c>
      <c r="AC4129" s="54" t="b">
        <f aca="false">AND(E4129&gt;=01_因子設定!$L$5-0.000000001,E4129&lt;=01_因子設定!$M$5+0.000000001,F4129&gt;=01_因子設定!$L$6-0.000000001,F4129&lt;=01_因子設定!$M$6+0.000000001,G4129&gt;=01_因子設定!$L$7-0.000000001,G4129&lt;=01_因子設定!$M$7+0.000000001,H4129&gt;=01_因子設定!$L$8-0.000000001,H4129&lt;=01_因子設定!$M$8+0.000000001,IF(01_因子設定!$B$20="Box-Behnken",E4129^2+F4129^2+G4129^2+H4129^2&lt;=2+0.000000001,TRUE()))</f>
        <v>1</v>
      </c>
      <c r="AD4129" s="55" t="n">
        <f aca="false">IF(AC4129,IF(01_因子設定!$B$13="最大化",AA4129-01_因子設定!$B$14,IF(01_因子設定!$B$13="最小化",01_因子設定!$B$15-AB4129,MIN(AA4129-01_因子設定!$B$14,01_因子設定!$B$15-AB4129))),-1E+030)</f>
        <v>0.398448192067669</v>
      </c>
      <c r="AE4129" s="55" t="n">
        <f aca="false">IF(AC4129,IF(01_因子設定!$B$13="最大化",X4129,IF(01_因子設定!$B$13="最小化",-X4129,-ABS(X4129-01_因子設定!$B$16))),-1E+030)</f>
        <v>48.4656980994152</v>
      </c>
      <c r="AF4129" s="55" t="n">
        <f aca="false">AD4129+ROW()*0.000000001</f>
        <v>0.398452321067669</v>
      </c>
      <c r="AG4129" s="55" t="n">
        <f aca="false">AE4129+ROW()*0.000000001</f>
        <v>48.4657022284152</v>
      </c>
    </row>
    <row r="4130" customFormat="false" ht="15" hidden="false" customHeight="false" outlineLevel="0" collapsed="false">
      <c r="A4130" s="0" t="n">
        <v>5</v>
      </c>
      <c r="B4130" s="0" t="n">
        <v>5</v>
      </c>
      <c r="C4130" s="0" t="n">
        <v>8</v>
      </c>
      <c r="D4130" s="0" t="n">
        <v>3</v>
      </c>
      <c r="E4130" s="0" t="n">
        <f aca="false">-1+A4130*0.25</f>
        <v>0.25</v>
      </c>
      <c r="F4130" s="0" t="n">
        <f aca="false">-1+B4130*0.25</f>
        <v>0.25</v>
      </c>
      <c r="G4130" s="0" t="n">
        <f aca="false">-1+C4130*0.25</f>
        <v>1</v>
      </c>
      <c r="H4130" s="0" t="n">
        <f aca="false">-1+D4130*0.25</f>
        <v>-0.25</v>
      </c>
      <c r="I4130" s="0" t="n">
        <f aca="false">1</f>
        <v>1</v>
      </c>
      <c r="J4130" s="0" t="n">
        <f aca="false">E4130</f>
        <v>0.25</v>
      </c>
      <c r="K4130" s="0" t="n">
        <f aca="false">F4130</f>
        <v>0.25</v>
      </c>
      <c r="L4130" s="0" t="n">
        <f aca="false">G4130</f>
        <v>1</v>
      </c>
      <c r="M4130" s="0" t="n">
        <f aca="false">H4130</f>
        <v>-0.25</v>
      </c>
      <c r="N4130" s="0" t="n">
        <f aca="false">E4130*F4130</f>
        <v>0.0625</v>
      </c>
      <c r="O4130" s="0" t="n">
        <f aca="false">E4130*G4130</f>
        <v>0.25</v>
      </c>
      <c r="P4130" s="0" t="n">
        <f aca="false">E4130*H4130</f>
        <v>-0.0625</v>
      </c>
      <c r="Q4130" s="0" t="n">
        <f aca="false">F4130*G4130</f>
        <v>0.25</v>
      </c>
      <c r="R4130" s="0" t="n">
        <f aca="false">F4130*H4130</f>
        <v>-0.0625</v>
      </c>
      <c r="S4130" s="0" t="n">
        <f aca="false">G4130*H4130</f>
        <v>-0.25</v>
      </c>
      <c r="T4130" s="0" t="n">
        <f aca="false">E4130*E4130</f>
        <v>0.0625</v>
      </c>
      <c r="U4130" s="0" t="n">
        <f aca="false">F4130*F4130</f>
        <v>0.0625</v>
      </c>
      <c r="V4130" s="0" t="n">
        <f aca="false">G4130*G4130</f>
        <v>1</v>
      </c>
      <c r="W4130" s="0" t="n">
        <f aca="false">H4130*H4130</f>
        <v>0.0625</v>
      </c>
      <c r="X4130" s="0" t="n">
        <f aca="false">SUMPRODUCT(I4130:W4130,_XtX!$B$96:$P$96)</f>
        <v>48.7052037646198</v>
      </c>
      <c r="Y4130" s="0" t="n">
        <f aca="false">SUMPRODUCT(MMULT(I4130:W4130,_XtX!$B$78:$P$92),I4130:W4130)</f>
        <v>0.457466705500731</v>
      </c>
      <c r="Z4130" s="0" t="n">
        <f aca="false">04_回帰ANOVA!$K$19*04_回帰ANOVA!$K$14*SQRT(1+Y4130)</f>
        <v>1.57361220003999</v>
      </c>
      <c r="AA4130" s="0" t="n">
        <f aca="false">X4130-Z4130</f>
        <v>47.1315915645798</v>
      </c>
      <c r="AB4130" s="0" t="n">
        <f aca="false">X4130+Z4130</f>
        <v>50.2788159646598</v>
      </c>
      <c r="AC4130" s="54" t="b">
        <f aca="false">AND(E4130&gt;=01_因子設定!$L$5-0.000000001,E4130&lt;=01_因子設定!$M$5+0.000000001,F4130&gt;=01_因子設定!$L$6-0.000000001,F4130&lt;=01_因子設定!$M$6+0.000000001,G4130&gt;=01_因子設定!$L$7-0.000000001,G4130&lt;=01_因子設定!$M$7+0.000000001,H4130&gt;=01_因子設定!$L$8-0.000000001,H4130&lt;=01_因子設定!$M$8+0.000000001,IF(01_因子設定!$B$20="Box-Behnken",E4130^2+F4130^2+G4130^2+H4130^2&lt;=2+0.000000001,TRUE()))</f>
        <v>1</v>
      </c>
      <c r="AD4130" s="55" t="n">
        <f aca="false">IF(AC4130,IF(01_因子設定!$B$13="最大化",AA4130-01_因子設定!$B$14,IF(01_因子設定!$B$13="最小化",01_因子設定!$B$15-AB4130,MIN(AA4130-01_因子設定!$B$14,01_因子設定!$B$15-AB4130))),-1E+030)</f>
        <v>0.631591564579836</v>
      </c>
      <c r="AE4130" s="55" t="n">
        <f aca="false">IF(AC4130,IF(01_因子設定!$B$13="最大化",X4130,IF(01_因子設定!$B$13="最小化",-X4130,-ABS(X4130-01_因子設定!$B$16))),-1E+030)</f>
        <v>48.7052037646198</v>
      </c>
      <c r="AF4130" s="55" t="n">
        <f aca="false">AD4130+ROW()*0.000000001</f>
        <v>0.631595694579836</v>
      </c>
      <c r="AG4130" s="55" t="n">
        <f aca="false">AE4130+ROW()*0.000000001</f>
        <v>48.7052078946198</v>
      </c>
    </row>
    <row r="4131" customFormat="false" ht="15" hidden="false" customHeight="false" outlineLevel="0" collapsed="false">
      <c r="A4131" s="0" t="n">
        <v>5</v>
      </c>
      <c r="B4131" s="0" t="n">
        <v>5</v>
      </c>
      <c r="C4131" s="0" t="n">
        <v>8</v>
      </c>
      <c r="D4131" s="0" t="n">
        <v>4</v>
      </c>
      <c r="E4131" s="0" t="n">
        <f aca="false">-1+A4131*0.25</f>
        <v>0.25</v>
      </c>
      <c r="F4131" s="0" t="n">
        <f aca="false">-1+B4131*0.25</f>
        <v>0.25</v>
      </c>
      <c r="G4131" s="0" t="n">
        <f aca="false">-1+C4131*0.25</f>
        <v>1</v>
      </c>
      <c r="H4131" s="0" t="n">
        <f aca="false">-1+D4131*0.25</f>
        <v>0</v>
      </c>
      <c r="I4131" s="0" t="n">
        <f aca="false">1</f>
        <v>1</v>
      </c>
      <c r="J4131" s="0" t="n">
        <f aca="false">E4131</f>
        <v>0.25</v>
      </c>
      <c r="K4131" s="0" t="n">
        <f aca="false">F4131</f>
        <v>0.25</v>
      </c>
      <c r="L4131" s="0" t="n">
        <f aca="false">G4131</f>
        <v>1</v>
      </c>
      <c r="M4131" s="0" t="n">
        <f aca="false">H4131</f>
        <v>0</v>
      </c>
      <c r="N4131" s="0" t="n">
        <f aca="false">E4131*F4131</f>
        <v>0.0625</v>
      </c>
      <c r="O4131" s="0" t="n">
        <f aca="false">E4131*G4131</f>
        <v>0.25</v>
      </c>
      <c r="P4131" s="0" t="n">
        <f aca="false">E4131*H4131</f>
        <v>0</v>
      </c>
      <c r="Q4131" s="0" t="n">
        <f aca="false">F4131*G4131</f>
        <v>0.25</v>
      </c>
      <c r="R4131" s="0" t="n">
        <f aca="false">F4131*H4131</f>
        <v>0</v>
      </c>
      <c r="S4131" s="0" t="n">
        <f aca="false">G4131*H4131</f>
        <v>0</v>
      </c>
      <c r="T4131" s="0" t="n">
        <f aca="false">E4131*E4131</f>
        <v>0.0625</v>
      </c>
      <c r="U4131" s="0" t="n">
        <f aca="false">F4131*F4131</f>
        <v>0.0625</v>
      </c>
      <c r="V4131" s="0" t="n">
        <f aca="false">G4131*G4131</f>
        <v>1</v>
      </c>
      <c r="W4131" s="0" t="n">
        <f aca="false">H4131*H4131</f>
        <v>0</v>
      </c>
      <c r="X4131" s="0" t="n">
        <f aca="false">SUMPRODUCT(I4131:W4131,_XtX!$B$96:$P$96)</f>
        <v>48.8969024122806</v>
      </c>
      <c r="Y4131" s="0" t="n">
        <f aca="false">SUMPRODUCT(MMULT(I4131:W4131,_XtX!$B$78:$P$92),I4131:W4131)</f>
        <v>0.467417934484649</v>
      </c>
      <c r="Z4131" s="0" t="n">
        <f aca="false">04_回帰ANOVA!$K$19*04_回帰ANOVA!$K$14*SQRT(1+Y4131)</f>
        <v>1.57897518244497</v>
      </c>
      <c r="AA4131" s="0" t="n">
        <f aca="false">X4131-Z4131</f>
        <v>47.3179272298357</v>
      </c>
      <c r="AB4131" s="0" t="n">
        <f aca="false">X4131+Z4131</f>
        <v>50.4758775947256</v>
      </c>
      <c r="AC4131" s="54" t="b">
        <f aca="false">AND(E4131&gt;=01_因子設定!$L$5-0.000000001,E4131&lt;=01_因子設定!$M$5+0.000000001,F4131&gt;=01_因子設定!$L$6-0.000000001,F4131&lt;=01_因子設定!$M$6+0.000000001,G4131&gt;=01_因子設定!$L$7-0.000000001,G4131&lt;=01_因子設定!$M$7+0.000000001,H4131&gt;=01_因子設定!$L$8-0.000000001,H4131&lt;=01_因子設定!$M$8+0.000000001,IF(01_因子設定!$B$20="Box-Behnken",E4131^2+F4131^2+G4131^2+H4131^2&lt;=2+0.000000001,TRUE()))</f>
        <v>1</v>
      </c>
      <c r="AD4131" s="55" t="n">
        <f aca="false">IF(AC4131,IF(01_因子設定!$B$13="最大化",AA4131-01_因子設定!$B$14,IF(01_因子設定!$B$13="最小化",01_因子設定!$B$15-AB4131,MIN(AA4131-01_因子設定!$B$14,01_因子設定!$B$15-AB4131))),-1E+030)</f>
        <v>0.817927229835675</v>
      </c>
      <c r="AE4131" s="55" t="n">
        <f aca="false">IF(AC4131,IF(01_因子設定!$B$13="最大化",X4131,IF(01_因子設定!$B$13="最小化",-X4131,-ABS(X4131-01_因子設定!$B$16))),-1E+030)</f>
        <v>48.8969024122806</v>
      </c>
      <c r="AF4131" s="55" t="n">
        <f aca="false">AD4131+ROW()*0.000000001</f>
        <v>0.817931360835675</v>
      </c>
      <c r="AG4131" s="55" t="n">
        <f aca="false">AE4131+ROW()*0.000000001</f>
        <v>48.8969065432806</v>
      </c>
    </row>
    <row r="4132" customFormat="false" ht="15" hidden="false" customHeight="false" outlineLevel="0" collapsed="false">
      <c r="A4132" s="0" t="n">
        <v>5</v>
      </c>
      <c r="B4132" s="0" t="n">
        <v>5</v>
      </c>
      <c r="C4132" s="0" t="n">
        <v>8</v>
      </c>
      <c r="D4132" s="0" t="n">
        <v>5</v>
      </c>
      <c r="E4132" s="0" t="n">
        <f aca="false">-1+A4132*0.25</f>
        <v>0.25</v>
      </c>
      <c r="F4132" s="0" t="n">
        <f aca="false">-1+B4132*0.25</f>
        <v>0.25</v>
      </c>
      <c r="G4132" s="0" t="n">
        <f aca="false">-1+C4132*0.25</f>
        <v>1</v>
      </c>
      <c r="H4132" s="0" t="n">
        <f aca="false">-1+D4132*0.25</f>
        <v>0.25</v>
      </c>
      <c r="I4132" s="0" t="n">
        <f aca="false">1</f>
        <v>1</v>
      </c>
      <c r="J4132" s="0" t="n">
        <f aca="false">E4132</f>
        <v>0.25</v>
      </c>
      <c r="K4132" s="0" t="n">
        <f aca="false">F4132</f>
        <v>0.25</v>
      </c>
      <c r="L4132" s="0" t="n">
        <f aca="false">G4132</f>
        <v>1</v>
      </c>
      <c r="M4132" s="0" t="n">
        <f aca="false">H4132</f>
        <v>0.25</v>
      </c>
      <c r="N4132" s="0" t="n">
        <f aca="false">E4132*F4132</f>
        <v>0.0625</v>
      </c>
      <c r="O4132" s="0" t="n">
        <f aca="false">E4132*G4132</f>
        <v>0.25</v>
      </c>
      <c r="P4132" s="0" t="n">
        <f aca="false">E4132*H4132</f>
        <v>0.0625</v>
      </c>
      <c r="Q4132" s="0" t="n">
        <f aca="false">F4132*G4132</f>
        <v>0.25</v>
      </c>
      <c r="R4132" s="0" t="n">
        <f aca="false">F4132*H4132</f>
        <v>0.0625</v>
      </c>
      <c r="S4132" s="0" t="n">
        <f aca="false">G4132*H4132</f>
        <v>0.25</v>
      </c>
      <c r="T4132" s="0" t="n">
        <f aca="false">E4132*E4132</f>
        <v>0.0625</v>
      </c>
      <c r="U4132" s="0" t="n">
        <f aca="false">F4132*F4132</f>
        <v>0.0625</v>
      </c>
      <c r="V4132" s="0" t="n">
        <f aca="false">G4132*G4132</f>
        <v>1</v>
      </c>
      <c r="W4132" s="0" t="n">
        <f aca="false">H4132*H4132</f>
        <v>0.0625</v>
      </c>
      <c r="X4132" s="0" t="n">
        <f aca="false">SUMPRODUCT(I4132:W4132,_XtX!$B$96:$P$96)</f>
        <v>49.0407940423976</v>
      </c>
      <c r="Y4132" s="0" t="n">
        <f aca="false">SUMPRODUCT(MMULT(I4132:W4132,_XtX!$B$78:$P$92),I4132:W4132)</f>
        <v>0.457466705500731</v>
      </c>
      <c r="Z4132" s="0" t="n">
        <f aca="false">04_回帰ANOVA!$K$19*04_回帰ANOVA!$K$14*SQRT(1+Y4132)</f>
        <v>1.57361220003999</v>
      </c>
      <c r="AA4132" s="0" t="n">
        <f aca="false">X4132-Z4132</f>
        <v>47.4671818423576</v>
      </c>
      <c r="AB4132" s="0" t="n">
        <f aca="false">X4132+Z4132</f>
        <v>50.6144062424376</v>
      </c>
      <c r="AC4132" s="54" t="b">
        <f aca="false">AND(E4132&gt;=01_因子設定!$L$5-0.000000001,E4132&lt;=01_因子設定!$M$5+0.000000001,F4132&gt;=01_因子設定!$L$6-0.000000001,F4132&lt;=01_因子設定!$M$6+0.000000001,G4132&gt;=01_因子設定!$L$7-0.000000001,G4132&lt;=01_因子設定!$M$7+0.000000001,H4132&gt;=01_因子設定!$L$8-0.000000001,H4132&lt;=01_因子設定!$M$8+0.000000001,IF(01_因子設定!$B$20="Box-Behnken",E4132^2+F4132^2+G4132^2+H4132^2&lt;=2+0.000000001,TRUE()))</f>
        <v>1</v>
      </c>
      <c r="AD4132" s="55" t="n">
        <f aca="false">IF(AC4132,IF(01_因子設定!$B$13="最大化",AA4132-01_因子設定!$B$14,IF(01_因子設定!$B$13="最小化",01_因子設定!$B$15-AB4132,MIN(AA4132-01_因子設定!$B$14,01_因子設定!$B$15-AB4132))),-1E+030)</f>
        <v>0.967181842357611</v>
      </c>
      <c r="AE4132" s="55" t="n">
        <f aca="false">IF(AC4132,IF(01_因子設定!$B$13="最大化",X4132,IF(01_因子設定!$B$13="最小化",-X4132,-ABS(X4132-01_因子設定!$B$16))),-1E+030)</f>
        <v>49.0407940423976</v>
      </c>
      <c r="AF4132" s="55" t="n">
        <f aca="false">AD4132+ROW()*0.000000001</f>
        <v>0.967185974357611</v>
      </c>
      <c r="AG4132" s="55" t="n">
        <f aca="false">AE4132+ROW()*0.000000001</f>
        <v>49.0407981743976</v>
      </c>
    </row>
    <row r="4133" customFormat="false" ht="15" hidden="false" customHeight="false" outlineLevel="0" collapsed="false">
      <c r="A4133" s="0" t="n">
        <v>5</v>
      </c>
      <c r="B4133" s="0" t="n">
        <v>5</v>
      </c>
      <c r="C4133" s="0" t="n">
        <v>8</v>
      </c>
      <c r="D4133" s="0" t="n">
        <v>6</v>
      </c>
      <c r="E4133" s="0" t="n">
        <f aca="false">-1+A4133*0.25</f>
        <v>0.25</v>
      </c>
      <c r="F4133" s="0" t="n">
        <f aca="false">-1+B4133*0.25</f>
        <v>0.25</v>
      </c>
      <c r="G4133" s="0" t="n">
        <f aca="false">-1+C4133*0.25</f>
        <v>1</v>
      </c>
      <c r="H4133" s="0" t="n">
        <f aca="false">-1+D4133*0.25</f>
        <v>0.5</v>
      </c>
      <c r="I4133" s="0" t="n">
        <f aca="false">1</f>
        <v>1</v>
      </c>
      <c r="J4133" s="0" t="n">
        <f aca="false">E4133</f>
        <v>0.25</v>
      </c>
      <c r="K4133" s="0" t="n">
        <f aca="false">F4133</f>
        <v>0.25</v>
      </c>
      <c r="L4133" s="0" t="n">
        <f aca="false">G4133</f>
        <v>1</v>
      </c>
      <c r="M4133" s="0" t="n">
        <f aca="false">H4133</f>
        <v>0.5</v>
      </c>
      <c r="N4133" s="0" t="n">
        <f aca="false">E4133*F4133</f>
        <v>0.0625</v>
      </c>
      <c r="O4133" s="0" t="n">
        <f aca="false">E4133*G4133</f>
        <v>0.25</v>
      </c>
      <c r="P4133" s="0" t="n">
        <f aca="false">E4133*H4133</f>
        <v>0.125</v>
      </c>
      <c r="Q4133" s="0" t="n">
        <f aca="false">F4133*G4133</f>
        <v>0.25</v>
      </c>
      <c r="R4133" s="0" t="n">
        <f aca="false">F4133*H4133</f>
        <v>0.125</v>
      </c>
      <c r="S4133" s="0" t="n">
        <f aca="false">G4133*H4133</f>
        <v>0.5</v>
      </c>
      <c r="T4133" s="0" t="n">
        <f aca="false">E4133*E4133</f>
        <v>0.0625</v>
      </c>
      <c r="U4133" s="0" t="n">
        <f aca="false">F4133*F4133</f>
        <v>0.0625</v>
      </c>
      <c r="V4133" s="0" t="n">
        <f aca="false">G4133*G4133</f>
        <v>1</v>
      </c>
      <c r="W4133" s="0" t="n">
        <f aca="false">H4133*H4133</f>
        <v>0.25</v>
      </c>
      <c r="X4133" s="0" t="n">
        <f aca="false">SUMPRODUCT(I4133:W4133,_XtX!$B$96:$P$96)</f>
        <v>49.1368786549707</v>
      </c>
      <c r="Y4133" s="0" t="n">
        <f aca="false">SUMPRODUCT(MMULT(I4133:W4133,_XtX!$B$78:$P$92),I4133:W4133)</f>
        <v>0.445705123812135</v>
      </c>
      <c r="Z4133" s="0" t="n">
        <f aca="false">04_回帰ANOVA!$K$19*04_回帰ANOVA!$K$14*SQRT(1+Y4133)</f>
        <v>1.56724990734749</v>
      </c>
      <c r="AA4133" s="0" t="n">
        <f aca="false">X4133-Z4133</f>
        <v>47.5696287476232</v>
      </c>
      <c r="AB4133" s="0" t="n">
        <f aca="false">X4133+Z4133</f>
        <v>50.7041285623182</v>
      </c>
      <c r="AC4133" s="54" t="b">
        <f aca="false">AND(E4133&gt;=01_因子設定!$L$5-0.000000001,E4133&lt;=01_因子設定!$M$5+0.000000001,F4133&gt;=01_因子設定!$L$6-0.000000001,F4133&lt;=01_因子設定!$M$6+0.000000001,G4133&gt;=01_因子設定!$L$7-0.000000001,G4133&lt;=01_因子設定!$M$7+0.000000001,H4133&gt;=01_因子設定!$L$8-0.000000001,H4133&lt;=01_因子設定!$M$8+0.000000001,IF(01_因子設定!$B$20="Box-Behnken",E4133^2+F4133^2+G4133^2+H4133^2&lt;=2+0.000000001,TRUE()))</f>
        <v>1</v>
      </c>
      <c r="AD4133" s="55" t="n">
        <f aca="false">IF(AC4133,IF(01_因子設定!$B$13="最大化",AA4133-01_因子設定!$B$14,IF(01_因子設定!$B$13="最小化",01_因子設定!$B$15-AB4133,MIN(AA4133-01_因子設定!$B$14,01_因子設定!$B$15-AB4133))),-1E+030)</f>
        <v>1.06962874762323</v>
      </c>
      <c r="AE4133" s="55" t="n">
        <f aca="false">IF(AC4133,IF(01_因子設定!$B$13="最大化",X4133,IF(01_因子設定!$B$13="最小化",-X4133,-ABS(X4133-01_因子設定!$B$16))),-1E+030)</f>
        <v>49.1368786549707</v>
      </c>
      <c r="AF4133" s="55" t="n">
        <f aca="false">AD4133+ROW()*0.000000001</f>
        <v>1.06963288062323</v>
      </c>
      <c r="AG4133" s="55" t="n">
        <f aca="false">AE4133+ROW()*0.000000001</f>
        <v>49.1368827879707</v>
      </c>
    </row>
    <row r="4134" customFormat="false" ht="15" hidden="false" customHeight="false" outlineLevel="0" collapsed="false">
      <c r="A4134" s="0" t="n">
        <v>5</v>
      </c>
      <c r="B4134" s="0" t="n">
        <v>5</v>
      </c>
      <c r="C4134" s="0" t="n">
        <v>8</v>
      </c>
      <c r="D4134" s="0" t="n">
        <v>7</v>
      </c>
      <c r="E4134" s="0" t="n">
        <f aca="false">-1+A4134*0.25</f>
        <v>0.25</v>
      </c>
      <c r="F4134" s="0" t="n">
        <f aca="false">-1+B4134*0.25</f>
        <v>0.25</v>
      </c>
      <c r="G4134" s="0" t="n">
        <f aca="false">-1+C4134*0.25</f>
        <v>1</v>
      </c>
      <c r="H4134" s="0" t="n">
        <f aca="false">-1+D4134*0.25</f>
        <v>0.75</v>
      </c>
      <c r="I4134" s="0" t="n">
        <f aca="false">1</f>
        <v>1</v>
      </c>
      <c r="J4134" s="0" t="n">
        <f aca="false">E4134</f>
        <v>0.25</v>
      </c>
      <c r="K4134" s="0" t="n">
        <f aca="false">F4134</f>
        <v>0.25</v>
      </c>
      <c r="L4134" s="0" t="n">
        <f aca="false">G4134</f>
        <v>1</v>
      </c>
      <c r="M4134" s="0" t="n">
        <f aca="false">H4134</f>
        <v>0.75</v>
      </c>
      <c r="N4134" s="0" t="n">
        <f aca="false">E4134*F4134</f>
        <v>0.0625</v>
      </c>
      <c r="O4134" s="0" t="n">
        <f aca="false">E4134*G4134</f>
        <v>0.25</v>
      </c>
      <c r="P4134" s="0" t="n">
        <f aca="false">E4134*H4134</f>
        <v>0.1875</v>
      </c>
      <c r="Q4134" s="0" t="n">
        <f aca="false">F4134*G4134</f>
        <v>0.25</v>
      </c>
      <c r="R4134" s="0" t="n">
        <f aca="false">F4134*H4134</f>
        <v>0.1875</v>
      </c>
      <c r="S4134" s="0" t="n">
        <f aca="false">G4134*H4134</f>
        <v>0.75</v>
      </c>
      <c r="T4134" s="0" t="n">
        <f aca="false">E4134*E4134</f>
        <v>0.0625</v>
      </c>
      <c r="U4134" s="0" t="n">
        <f aca="false">F4134*F4134</f>
        <v>0.0625</v>
      </c>
      <c r="V4134" s="0" t="n">
        <f aca="false">G4134*G4134</f>
        <v>1</v>
      </c>
      <c r="W4134" s="0" t="n">
        <f aca="false">H4134*H4134</f>
        <v>0.5625</v>
      </c>
      <c r="X4134" s="0" t="n">
        <f aca="false">SUMPRODUCT(I4134:W4134,_XtX!$B$96:$P$96)</f>
        <v>49.18515625</v>
      </c>
      <c r="Y4134" s="0" t="n">
        <f aca="false">SUMPRODUCT(MMULT(I4134:W4134,_XtX!$B$78:$P$92),I4134:W4134)</f>
        <v>0.486409505208334</v>
      </c>
      <c r="Z4134" s="0" t="n">
        <f aca="false">04_回帰ANOVA!$K$19*04_回帰ANOVA!$K$14*SQRT(1+Y4134)</f>
        <v>1.58916001665498</v>
      </c>
      <c r="AA4134" s="0" t="n">
        <f aca="false">X4134-Z4134</f>
        <v>47.595996233345</v>
      </c>
      <c r="AB4134" s="0" t="n">
        <f aca="false">X4134+Z4134</f>
        <v>50.7743162666549</v>
      </c>
      <c r="AC4134" s="54" t="b">
        <f aca="false">AND(E4134&gt;=01_因子設定!$L$5-0.000000001,E4134&lt;=01_因子設定!$M$5+0.000000001,F4134&gt;=01_因子設定!$L$6-0.000000001,F4134&lt;=01_因子設定!$M$6+0.000000001,G4134&gt;=01_因子設定!$L$7-0.000000001,G4134&lt;=01_因子設定!$M$7+0.000000001,H4134&gt;=01_因子設定!$L$8-0.000000001,H4134&lt;=01_因子設定!$M$8+0.000000001,IF(01_因子設定!$B$20="Box-Behnken",E4134^2+F4134^2+G4134^2+H4134^2&lt;=2+0.000000001,TRUE()))</f>
        <v>1</v>
      </c>
      <c r="AD4134" s="55" t="n">
        <f aca="false">IF(AC4134,IF(01_因子設定!$B$13="最大化",AA4134-01_因子設定!$B$14,IF(01_因子設定!$B$13="最小化",01_因子設定!$B$15-AB4134,MIN(AA4134-01_因子設定!$B$14,01_因子設定!$B$15-AB4134))),-1E+030)</f>
        <v>1.09599623334498</v>
      </c>
      <c r="AE4134" s="55" t="n">
        <f aca="false">IF(AC4134,IF(01_因子設定!$B$13="最大化",X4134,IF(01_因子設定!$B$13="最小化",-X4134,-ABS(X4134-01_因子設定!$B$16))),-1E+030)</f>
        <v>49.18515625</v>
      </c>
      <c r="AF4134" s="55" t="n">
        <f aca="false">AD4134+ROW()*0.000000001</f>
        <v>1.09600036734498</v>
      </c>
      <c r="AG4134" s="55" t="n">
        <f aca="false">AE4134+ROW()*0.000000001</f>
        <v>49.185160384</v>
      </c>
    </row>
    <row r="4135" customFormat="false" ht="15" hidden="false" customHeight="false" outlineLevel="0" collapsed="false">
      <c r="A4135" s="0" t="n">
        <v>5</v>
      </c>
      <c r="B4135" s="0" t="n">
        <v>5</v>
      </c>
      <c r="C4135" s="0" t="n">
        <v>8</v>
      </c>
      <c r="D4135" s="0" t="n">
        <v>8</v>
      </c>
      <c r="E4135" s="0" t="n">
        <f aca="false">-1+A4135*0.25</f>
        <v>0.25</v>
      </c>
      <c r="F4135" s="0" t="n">
        <f aca="false">-1+B4135*0.25</f>
        <v>0.25</v>
      </c>
      <c r="G4135" s="0" t="n">
        <f aca="false">-1+C4135*0.25</f>
        <v>1</v>
      </c>
      <c r="H4135" s="0" t="n">
        <f aca="false">-1+D4135*0.25</f>
        <v>1</v>
      </c>
      <c r="I4135" s="0" t="n">
        <f aca="false">1</f>
        <v>1</v>
      </c>
      <c r="J4135" s="0" t="n">
        <f aca="false">E4135</f>
        <v>0.25</v>
      </c>
      <c r="K4135" s="0" t="n">
        <f aca="false">F4135</f>
        <v>0.25</v>
      </c>
      <c r="L4135" s="0" t="n">
        <f aca="false">G4135</f>
        <v>1</v>
      </c>
      <c r="M4135" s="0" t="n">
        <f aca="false">H4135</f>
        <v>1</v>
      </c>
      <c r="N4135" s="0" t="n">
        <f aca="false">E4135*F4135</f>
        <v>0.0625</v>
      </c>
      <c r="O4135" s="0" t="n">
        <f aca="false">E4135*G4135</f>
        <v>0.25</v>
      </c>
      <c r="P4135" s="0" t="n">
        <f aca="false">E4135*H4135</f>
        <v>0.25</v>
      </c>
      <c r="Q4135" s="0" t="n">
        <f aca="false">F4135*G4135</f>
        <v>0.25</v>
      </c>
      <c r="R4135" s="0" t="n">
        <f aca="false">F4135*H4135</f>
        <v>0.25</v>
      </c>
      <c r="S4135" s="0" t="n">
        <f aca="false">G4135*H4135</f>
        <v>1</v>
      </c>
      <c r="T4135" s="0" t="n">
        <f aca="false">E4135*E4135</f>
        <v>0.0625</v>
      </c>
      <c r="U4135" s="0" t="n">
        <f aca="false">F4135*F4135</f>
        <v>0.0625</v>
      </c>
      <c r="V4135" s="0" t="n">
        <f aca="false">G4135*G4135</f>
        <v>1</v>
      </c>
      <c r="W4135" s="0" t="n">
        <f aca="false">H4135*H4135</f>
        <v>1</v>
      </c>
      <c r="X4135" s="0" t="n">
        <f aca="false">SUMPRODUCT(I4135:W4135,_XtX!$B$96:$P$96)</f>
        <v>49.1856268274854</v>
      </c>
      <c r="Y4135" s="0" t="n">
        <f aca="false">SUMPRODUCT(MMULT(I4135:W4135,_XtX!$B$78:$P$92),I4135:W4135)</f>
        <v>0.670040376005117</v>
      </c>
      <c r="Z4135" s="0" t="n">
        <f aca="false">04_回帰ANOVA!$K$19*04_回帰ANOVA!$K$14*SQRT(1+Y4135)</f>
        <v>1.68446456039992</v>
      </c>
      <c r="AA4135" s="0" t="n">
        <f aca="false">X4135-Z4135</f>
        <v>47.5011622670854</v>
      </c>
      <c r="AB4135" s="0" t="n">
        <f aca="false">X4135+Z4135</f>
        <v>50.8700913878853</v>
      </c>
      <c r="AC4135" s="54" t="b">
        <f aca="false">AND(E4135&gt;=01_因子設定!$L$5-0.000000001,E4135&lt;=01_因子設定!$M$5+0.000000001,F4135&gt;=01_因子設定!$L$6-0.000000001,F4135&lt;=01_因子設定!$M$6+0.000000001,G4135&gt;=01_因子設定!$L$7-0.000000001,G4135&lt;=01_因子設定!$M$7+0.000000001,H4135&gt;=01_因子設定!$L$8-0.000000001,H4135&lt;=01_因子設定!$M$8+0.000000001,IF(01_因子設定!$B$20="Box-Behnken",E4135^2+F4135^2+G4135^2+H4135^2&lt;=2+0.000000001,TRUE()))</f>
        <v>1</v>
      </c>
      <c r="AD4135" s="55" t="n">
        <f aca="false">IF(AC4135,IF(01_因子設定!$B$13="最大化",AA4135-01_因子設定!$B$14,IF(01_因子設定!$B$13="最小化",01_因子設定!$B$15-AB4135,MIN(AA4135-01_因子設定!$B$14,01_因子設定!$B$15-AB4135))),-1E+030)</f>
        <v>1.00116226708544</v>
      </c>
      <c r="AE4135" s="55" t="n">
        <f aca="false">IF(AC4135,IF(01_因子設定!$B$13="最大化",X4135,IF(01_因子設定!$B$13="最小化",-X4135,-ABS(X4135-01_因子設定!$B$16))),-1E+030)</f>
        <v>49.1856268274854</v>
      </c>
      <c r="AF4135" s="55" t="n">
        <f aca="false">AD4135+ROW()*0.000000001</f>
        <v>1.00116640208544</v>
      </c>
      <c r="AG4135" s="55" t="n">
        <f aca="false">AE4135+ROW()*0.000000001</f>
        <v>49.1856309624854</v>
      </c>
    </row>
    <row r="4136" customFormat="false" ht="15" hidden="false" customHeight="false" outlineLevel="0" collapsed="false">
      <c r="A4136" s="0" t="n">
        <v>5</v>
      </c>
      <c r="B4136" s="0" t="n">
        <v>6</v>
      </c>
      <c r="C4136" s="0" t="n">
        <v>0</v>
      </c>
      <c r="D4136" s="0" t="n">
        <v>0</v>
      </c>
      <c r="E4136" s="0" t="n">
        <f aca="false">-1+A4136*0.25</f>
        <v>0.25</v>
      </c>
      <c r="F4136" s="0" t="n">
        <f aca="false">-1+B4136*0.25</f>
        <v>0.5</v>
      </c>
      <c r="G4136" s="0" t="n">
        <f aca="false">-1+C4136*0.25</f>
        <v>-1</v>
      </c>
      <c r="H4136" s="0" t="n">
        <f aca="false">-1+D4136*0.25</f>
        <v>-1</v>
      </c>
      <c r="I4136" s="0" t="n">
        <f aca="false">1</f>
        <v>1</v>
      </c>
      <c r="J4136" s="0" t="n">
        <f aca="false">E4136</f>
        <v>0.25</v>
      </c>
      <c r="K4136" s="0" t="n">
        <f aca="false">F4136</f>
        <v>0.5</v>
      </c>
      <c r="L4136" s="0" t="n">
        <f aca="false">G4136</f>
        <v>-1</v>
      </c>
      <c r="M4136" s="0" t="n">
        <f aca="false">H4136</f>
        <v>-1</v>
      </c>
      <c r="N4136" s="0" t="n">
        <f aca="false">E4136*F4136</f>
        <v>0.125</v>
      </c>
      <c r="O4136" s="0" t="n">
        <f aca="false">E4136*G4136</f>
        <v>-0.25</v>
      </c>
      <c r="P4136" s="0" t="n">
        <f aca="false">E4136*H4136</f>
        <v>-0.25</v>
      </c>
      <c r="Q4136" s="0" t="n">
        <f aca="false">F4136*G4136</f>
        <v>-0.5</v>
      </c>
      <c r="R4136" s="0" t="n">
        <f aca="false">F4136*H4136</f>
        <v>-0.5</v>
      </c>
      <c r="S4136" s="0" t="n">
        <f aca="false">G4136*H4136</f>
        <v>1</v>
      </c>
      <c r="T4136" s="0" t="n">
        <f aca="false">E4136*E4136</f>
        <v>0.0625</v>
      </c>
      <c r="U4136" s="0" t="n">
        <f aca="false">F4136*F4136</f>
        <v>0.25</v>
      </c>
      <c r="V4136" s="0" t="n">
        <f aca="false">G4136*G4136</f>
        <v>1</v>
      </c>
      <c r="W4136" s="0" t="n">
        <f aca="false">H4136*H4136</f>
        <v>1</v>
      </c>
      <c r="X4136" s="0" t="n">
        <f aca="false">SUMPRODUCT(I4136:W4136,_XtX!$B$96:$P$96)</f>
        <v>46.7050621345029</v>
      </c>
      <c r="Y4136" s="0" t="n">
        <f aca="false">SUMPRODUCT(MMULT(I4136:W4136,_XtX!$B$78:$P$92),I4136:W4136)</f>
        <v>0.629174661915205</v>
      </c>
      <c r="Z4136" s="0" t="n">
        <f aca="false">04_回帰ANOVA!$K$19*04_回帰ANOVA!$K$14*SQRT(1+Y4136)</f>
        <v>1.66372758058297</v>
      </c>
      <c r="AA4136" s="0" t="n">
        <f aca="false">X4136-Z4136</f>
        <v>45.0413345539199</v>
      </c>
      <c r="AB4136" s="0" t="n">
        <f aca="false">X4136+Z4136</f>
        <v>48.3687897150859</v>
      </c>
      <c r="AC4136" s="54" t="b">
        <f aca="false">AND(E4136&gt;=01_因子設定!$L$5-0.000000001,E4136&lt;=01_因子設定!$M$5+0.000000001,F4136&gt;=01_因子設定!$L$6-0.000000001,F4136&lt;=01_因子設定!$M$6+0.000000001,G4136&gt;=01_因子設定!$L$7-0.000000001,G4136&lt;=01_因子設定!$M$7+0.000000001,H4136&gt;=01_因子設定!$L$8-0.000000001,H4136&lt;=01_因子設定!$M$8+0.000000001,IF(01_因子設定!$B$20="Box-Behnken",E4136^2+F4136^2+G4136^2+H4136^2&lt;=2+0.000000001,TRUE()))</f>
        <v>1</v>
      </c>
      <c r="AD4136" s="55" t="n">
        <f aca="false">IF(AC4136,IF(01_因子設定!$B$13="最大化",AA4136-01_因子設定!$B$14,IF(01_因子設定!$B$13="最小化",01_因子設定!$B$15-AB4136,MIN(AA4136-01_因子設定!$B$14,01_因子設定!$B$15-AB4136))),-1E+030)</f>
        <v>-1.45866544608007</v>
      </c>
      <c r="AE4136" s="55" t="n">
        <f aca="false">IF(AC4136,IF(01_因子設定!$B$13="最大化",X4136,IF(01_因子設定!$B$13="最小化",-X4136,-ABS(X4136-01_因子設定!$B$16))),-1E+030)</f>
        <v>46.7050621345029</v>
      </c>
      <c r="AF4136" s="55" t="n">
        <f aca="false">AD4136+ROW()*0.000000001</f>
        <v>-1.45866131008007</v>
      </c>
      <c r="AG4136" s="55" t="n">
        <f aca="false">AE4136+ROW()*0.000000001</f>
        <v>46.7050662705029</v>
      </c>
    </row>
    <row r="4137" customFormat="false" ht="15" hidden="false" customHeight="false" outlineLevel="0" collapsed="false">
      <c r="A4137" s="0" t="n">
        <v>5</v>
      </c>
      <c r="B4137" s="0" t="n">
        <v>6</v>
      </c>
      <c r="C4137" s="0" t="n">
        <v>0</v>
      </c>
      <c r="D4137" s="0" t="n">
        <v>1</v>
      </c>
      <c r="E4137" s="0" t="n">
        <f aca="false">-1+A4137*0.25</f>
        <v>0.25</v>
      </c>
      <c r="F4137" s="0" t="n">
        <f aca="false">-1+B4137*0.25</f>
        <v>0.5</v>
      </c>
      <c r="G4137" s="0" t="n">
        <f aca="false">-1+C4137*0.25</f>
        <v>-1</v>
      </c>
      <c r="H4137" s="0" t="n">
        <f aca="false">-1+D4137*0.25</f>
        <v>-0.75</v>
      </c>
      <c r="I4137" s="0" t="n">
        <f aca="false">1</f>
        <v>1</v>
      </c>
      <c r="J4137" s="0" t="n">
        <f aca="false">E4137</f>
        <v>0.25</v>
      </c>
      <c r="K4137" s="0" t="n">
        <f aca="false">F4137</f>
        <v>0.5</v>
      </c>
      <c r="L4137" s="0" t="n">
        <f aca="false">G4137</f>
        <v>-1</v>
      </c>
      <c r="M4137" s="0" t="n">
        <f aca="false">H4137</f>
        <v>-0.75</v>
      </c>
      <c r="N4137" s="0" t="n">
        <f aca="false">E4137*F4137</f>
        <v>0.125</v>
      </c>
      <c r="O4137" s="0" t="n">
        <f aca="false">E4137*G4137</f>
        <v>-0.25</v>
      </c>
      <c r="P4137" s="0" t="n">
        <f aca="false">E4137*H4137</f>
        <v>-0.1875</v>
      </c>
      <c r="Q4137" s="0" t="n">
        <f aca="false">F4137*G4137</f>
        <v>-0.5</v>
      </c>
      <c r="R4137" s="0" t="n">
        <f aca="false">F4137*H4137</f>
        <v>-0.375</v>
      </c>
      <c r="S4137" s="0" t="n">
        <f aca="false">G4137*H4137</f>
        <v>0.75</v>
      </c>
      <c r="T4137" s="0" t="n">
        <f aca="false">E4137*E4137</f>
        <v>0.0625</v>
      </c>
      <c r="U4137" s="0" t="n">
        <f aca="false">F4137*F4137</f>
        <v>0.25</v>
      </c>
      <c r="V4137" s="0" t="n">
        <f aca="false">G4137*G4137</f>
        <v>1</v>
      </c>
      <c r="W4137" s="0" t="n">
        <f aca="false">H4137*H4137</f>
        <v>0.5625</v>
      </c>
      <c r="X4137" s="0" t="n">
        <f aca="false">SUMPRODUCT(I4137:W4137,_XtX!$B$96:$P$96)</f>
        <v>46.8831505847953</v>
      </c>
      <c r="Y4137" s="0" t="n">
        <f aca="false">SUMPRODUCT(MMULT(I4137:W4137,_XtX!$B$78:$P$92),I4137:W4137)</f>
        <v>0.459125719572369</v>
      </c>
      <c r="Z4137" s="0" t="n">
        <f aca="false">04_回帰ANOVA!$K$19*04_回帰ANOVA!$K$14*SQRT(1+Y4137)</f>
        <v>1.57450755575573</v>
      </c>
      <c r="AA4137" s="0" t="n">
        <f aca="false">X4137-Z4137</f>
        <v>45.3086430290396</v>
      </c>
      <c r="AB4137" s="0" t="n">
        <f aca="false">X4137+Z4137</f>
        <v>48.457658140551</v>
      </c>
      <c r="AC4137" s="54" t="b">
        <f aca="false">AND(E4137&gt;=01_因子設定!$L$5-0.000000001,E4137&lt;=01_因子設定!$M$5+0.000000001,F4137&gt;=01_因子設定!$L$6-0.000000001,F4137&lt;=01_因子設定!$M$6+0.000000001,G4137&gt;=01_因子設定!$L$7-0.000000001,G4137&lt;=01_因子設定!$M$7+0.000000001,H4137&gt;=01_因子設定!$L$8-0.000000001,H4137&lt;=01_因子設定!$M$8+0.000000001,IF(01_因子設定!$B$20="Box-Behnken",E4137^2+F4137^2+G4137^2+H4137^2&lt;=2+0.000000001,TRUE()))</f>
        <v>1</v>
      </c>
      <c r="AD4137" s="55" t="n">
        <f aca="false">IF(AC4137,IF(01_因子設定!$B$13="最大化",AA4137-01_因子設定!$B$14,IF(01_因子設定!$B$13="最小化",01_因子設定!$B$15-AB4137,MIN(AA4137-01_因子設定!$B$14,01_因子設定!$B$15-AB4137))),-1E+030)</f>
        <v>-1.19135697096044</v>
      </c>
      <c r="AE4137" s="55" t="n">
        <f aca="false">IF(AC4137,IF(01_因子設定!$B$13="最大化",X4137,IF(01_因子設定!$B$13="最小化",-X4137,-ABS(X4137-01_因子設定!$B$16))),-1E+030)</f>
        <v>46.8831505847953</v>
      </c>
      <c r="AF4137" s="55" t="n">
        <f aca="false">AD4137+ROW()*0.000000001</f>
        <v>-1.19135283396044</v>
      </c>
      <c r="AG4137" s="55" t="n">
        <f aca="false">AE4137+ROW()*0.000000001</f>
        <v>46.8831547217953</v>
      </c>
    </row>
    <row r="4138" customFormat="false" ht="15" hidden="false" customHeight="false" outlineLevel="0" collapsed="false">
      <c r="A4138" s="0" t="n">
        <v>5</v>
      </c>
      <c r="B4138" s="0" t="n">
        <v>6</v>
      </c>
      <c r="C4138" s="0" t="n">
        <v>0</v>
      </c>
      <c r="D4138" s="0" t="n">
        <v>2</v>
      </c>
      <c r="E4138" s="0" t="n">
        <f aca="false">-1+A4138*0.25</f>
        <v>0.25</v>
      </c>
      <c r="F4138" s="0" t="n">
        <f aca="false">-1+B4138*0.25</f>
        <v>0.5</v>
      </c>
      <c r="G4138" s="0" t="n">
        <f aca="false">-1+C4138*0.25</f>
        <v>-1</v>
      </c>
      <c r="H4138" s="0" t="n">
        <f aca="false">-1+D4138*0.25</f>
        <v>-0.5</v>
      </c>
      <c r="I4138" s="0" t="n">
        <f aca="false">1</f>
        <v>1</v>
      </c>
      <c r="J4138" s="0" t="n">
        <f aca="false">E4138</f>
        <v>0.25</v>
      </c>
      <c r="K4138" s="0" t="n">
        <f aca="false">F4138</f>
        <v>0.5</v>
      </c>
      <c r="L4138" s="0" t="n">
        <f aca="false">G4138</f>
        <v>-1</v>
      </c>
      <c r="M4138" s="0" t="n">
        <f aca="false">H4138</f>
        <v>-0.5</v>
      </c>
      <c r="N4138" s="0" t="n">
        <f aca="false">E4138*F4138</f>
        <v>0.125</v>
      </c>
      <c r="O4138" s="0" t="n">
        <f aca="false">E4138*G4138</f>
        <v>-0.25</v>
      </c>
      <c r="P4138" s="0" t="n">
        <f aca="false">E4138*H4138</f>
        <v>-0.125</v>
      </c>
      <c r="Q4138" s="0" t="n">
        <f aca="false">F4138*G4138</f>
        <v>-0.5</v>
      </c>
      <c r="R4138" s="0" t="n">
        <f aca="false">F4138*H4138</f>
        <v>-0.25</v>
      </c>
      <c r="S4138" s="0" t="n">
        <f aca="false">G4138*H4138</f>
        <v>0.5</v>
      </c>
      <c r="T4138" s="0" t="n">
        <f aca="false">E4138*E4138</f>
        <v>0.0625</v>
      </c>
      <c r="U4138" s="0" t="n">
        <f aca="false">F4138*F4138</f>
        <v>0.25</v>
      </c>
      <c r="V4138" s="0" t="n">
        <f aca="false">G4138*G4138</f>
        <v>1</v>
      </c>
      <c r="W4138" s="0" t="n">
        <f aca="false">H4138*H4138</f>
        <v>0.25</v>
      </c>
      <c r="X4138" s="0" t="n">
        <f aca="false">SUMPRODUCT(I4138:W4138,_XtX!$B$96:$P$96)</f>
        <v>47.0134320175438</v>
      </c>
      <c r="Y4138" s="0" t="n">
        <f aca="false">SUMPRODUCT(MMULT(I4138:W4138,_XtX!$B$78:$P$92),I4138:W4138)</f>
        <v>0.428122715643275</v>
      </c>
      <c r="Z4138" s="0" t="n">
        <f aca="false">04_回帰ANOVA!$K$19*04_回帰ANOVA!$K$14*SQRT(1+Y4138)</f>
        <v>1.55769044623229</v>
      </c>
      <c r="AA4138" s="0" t="n">
        <f aca="false">X4138-Z4138</f>
        <v>45.4557415713115</v>
      </c>
      <c r="AB4138" s="0" t="n">
        <f aca="false">X4138+Z4138</f>
        <v>48.5711224637761</v>
      </c>
      <c r="AC4138" s="54" t="b">
        <f aca="false">AND(E4138&gt;=01_因子設定!$L$5-0.000000001,E4138&lt;=01_因子設定!$M$5+0.000000001,F4138&gt;=01_因子設定!$L$6-0.000000001,F4138&lt;=01_因子設定!$M$6+0.000000001,G4138&gt;=01_因子設定!$L$7-0.000000001,G4138&lt;=01_因子設定!$M$7+0.000000001,H4138&gt;=01_因子設定!$L$8-0.000000001,H4138&lt;=01_因子設定!$M$8+0.000000001,IF(01_因子設定!$B$20="Box-Behnken",E4138^2+F4138^2+G4138^2+H4138^2&lt;=2+0.000000001,TRUE()))</f>
        <v>1</v>
      </c>
      <c r="AD4138" s="55" t="n">
        <f aca="false">IF(AC4138,IF(01_因子設定!$B$13="最大化",AA4138-01_因子設定!$B$14,IF(01_因子設定!$B$13="最小化",01_因子設定!$B$15-AB4138,MIN(AA4138-01_因子設定!$B$14,01_因子設定!$B$15-AB4138))),-1E+030)</f>
        <v>-1.04425842868848</v>
      </c>
      <c r="AE4138" s="55" t="n">
        <f aca="false">IF(AC4138,IF(01_因子設定!$B$13="最大化",X4138,IF(01_因子設定!$B$13="最小化",-X4138,-ABS(X4138-01_因子設定!$B$16))),-1E+030)</f>
        <v>47.0134320175438</v>
      </c>
      <c r="AF4138" s="55" t="n">
        <f aca="false">AD4138+ROW()*0.000000001</f>
        <v>-1.04425429068848</v>
      </c>
      <c r="AG4138" s="55" t="n">
        <f aca="false">AE4138+ROW()*0.000000001</f>
        <v>47.0134361555438</v>
      </c>
    </row>
    <row r="4139" customFormat="false" ht="15" hidden="false" customHeight="false" outlineLevel="0" collapsed="false">
      <c r="A4139" s="0" t="n">
        <v>5</v>
      </c>
      <c r="B4139" s="0" t="n">
        <v>6</v>
      </c>
      <c r="C4139" s="0" t="n">
        <v>0</v>
      </c>
      <c r="D4139" s="0" t="n">
        <v>3</v>
      </c>
      <c r="E4139" s="0" t="n">
        <f aca="false">-1+A4139*0.25</f>
        <v>0.25</v>
      </c>
      <c r="F4139" s="0" t="n">
        <f aca="false">-1+B4139*0.25</f>
        <v>0.5</v>
      </c>
      <c r="G4139" s="0" t="n">
        <f aca="false">-1+C4139*0.25</f>
        <v>-1</v>
      </c>
      <c r="H4139" s="0" t="n">
        <f aca="false">-1+D4139*0.25</f>
        <v>-0.25</v>
      </c>
      <c r="I4139" s="0" t="n">
        <f aca="false">1</f>
        <v>1</v>
      </c>
      <c r="J4139" s="0" t="n">
        <f aca="false">E4139</f>
        <v>0.25</v>
      </c>
      <c r="K4139" s="0" t="n">
        <f aca="false">F4139</f>
        <v>0.5</v>
      </c>
      <c r="L4139" s="0" t="n">
        <f aca="false">G4139</f>
        <v>-1</v>
      </c>
      <c r="M4139" s="0" t="n">
        <f aca="false">H4139</f>
        <v>-0.25</v>
      </c>
      <c r="N4139" s="0" t="n">
        <f aca="false">E4139*F4139</f>
        <v>0.125</v>
      </c>
      <c r="O4139" s="0" t="n">
        <f aca="false">E4139*G4139</f>
        <v>-0.25</v>
      </c>
      <c r="P4139" s="0" t="n">
        <f aca="false">E4139*H4139</f>
        <v>-0.0625</v>
      </c>
      <c r="Q4139" s="0" t="n">
        <f aca="false">F4139*G4139</f>
        <v>-0.5</v>
      </c>
      <c r="R4139" s="0" t="n">
        <f aca="false">F4139*H4139</f>
        <v>-0.125</v>
      </c>
      <c r="S4139" s="0" t="n">
        <f aca="false">G4139*H4139</f>
        <v>0.25</v>
      </c>
      <c r="T4139" s="0" t="n">
        <f aca="false">E4139*E4139</f>
        <v>0.0625</v>
      </c>
      <c r="U4139" s="0" t="n">
        <f aca="false">F4139*F4139</f>
        <v>0.25</v>
      </c>
      <c r="V4139" s="0" t="n">
        <f aca="false">G4139*G4139</f>
        <v>1</v>
      </c>
      <c r="W4139" s="0" t="n">
        <f aca="false">H4139*H4139</f>
        <v>0.0625</v>
      </c>
      <c r="X4139" s="0" t="n">
        <f aca="false">SUMPRODUCT(I4139:W4139,_XtX!$B$96:$P$96)</f>
        <v>47.0959064327485</v>
      </c>
      <c r="Y4139" s="0" t="n">
        <f aca="false">SUMPRODUCT(MMULT(I4139:W4139,_XtX!$B$78:$P$92),I4139:W4139)</f>
        <v>0.445705123812135</v>
      </c>
      <c r="Z4139" s="0" t="n">
        <f aca="false">04_回帰ANOVA!$K$19*04_回帰ANOVA!$K$14*SQRT(1+Y4139)</f>
        <v>1.56724990734749</v>
      </c>
      <c r="AA4139" s="0" t="n">
        <f aca="false">X4139-Z4139</f>
        <v>45.528656525401</v>
      </c>
      <c r="AB4139" s="0" t="n">
        <f aca="false">X4139+Z4139</f>
        <v>48.663156340096</v>
      </c>
      <c r="AC4139" s="54" t="b">
        <f aca="false">AND(E4139&gt;=01_因子設定!$L$5-0.000000001,E4139&lt;=01_因子設定!$M$5+0.000000001,F4139&gt;=01_因子設定!$L$6-0.000000001,F4139&lt;=01_因子設定!$M$6+0.000000001,G4139&gt;=01_因子設定!$L$7-0.000000001,G4139&lt;=01_因子設定!$M$7+0.000000001,H4139&gt;=01_因子設定!$L$8-0.000000001,H4139&lt;=01_因子設定!$M$8+0.000000001,IF(01_因子設定!$B$20="Box-Behnken",E4139^2+F4139^2+G4139^2+H4139^2&lt;=2+0.000000001,TRUE()))</f>
        <v>1</v>
      </c>
      <c r="AD4139" s="55" t="n">
        <f aca="false">IF(AC4139,IF(01_因子設定!$B$13="最大化",AA4139-01_因子設定!$B$14,IF(01_因子設定!$B$13="最小化",01_因子設定!$B$15-AB4139,MIN(AA4139-01_因子設定!$B$14,01_因子設定!$B$15-AB4139))),-1E+030)</f>
        <v>-0.971343474599003</v>
      </c>
      <c r="AE4139" s="55" t="n">
        <f aca="false">IF(AC4139,IF(01_因子設定!$B$13="最大化",X4139,IF(01_因子設定!$B$13="最小化",-X4139,-ABS(X4139-01_因子設定!$B$16))),-1E+030)</f>
        <v>47.0959064327485</v>
      </c>
      <c r="AF4139" s="55" t="n">
        <f aca="false">AD4139+ROW()*0.000000001</f>
        <v>-0.971339335599003</v>
      </c>
      <c r="AG4139" s="55" t="n">
        <f aca="false">AE4139+ROW()*0.000000001</f>
        <v>47.0959105717485</v>
      </c>
    </row>
    <row r="4140" customFormat="false" ht="15" hidden="false" customHeight="false" outlineLevel="0" collapsed="false">
      <c r="A4140" s="0" t="n">
        <v>5</v>
      </c>
      <c r="B4140" s="0" t="n">
        <v>6</v>
      </c>
      <c r="C4140" s="0" t="n">
        <v>0</v>
      </c>
      <c r="D4140" s="0" t="n">
        <v>4</v>
      </c>
      <c r="E4140" s="0" t="n">
        <f aca="false">-1+A4140*0.25</f>
        <v>0.25</v>
      </c>
      <c r="F4140" s="0" t="n">
        <f aca="false">-1+B4140*0.25</f>
        <v>0.5</v>
      </c>
      <c r="G4140" s="0" t="n">
        <f aca="false">-1+C4140*0.25</f>
        <v>-1</v>
      </c>
      <c r="H4140" s="0" t="n">
        <f aca="false">-1+D4140*0.25</f>
        <v>0</v>
      </c>
      <c r="I4140" s="0" t="n">
        <f aca="false">1</f>
        <v>1</v>
      </c>
      <c r="J4140" s="0" t="n">
        <f aca="false">E4140</f>
        <v>0.25</v>
      </c>
      <c r="K4140" s="0" t="n">
        <f aca="false">F4140</f>
        <v>0.5</v>
      </c>
      <c r="L4140" s="0" t="n">
        <f aca="false">G4140</f>
        <v>-1</v>
      </c>
      <c r="M4140" s="0" t="n">
        <f aca="false">H4140</f>
        <v>0</v>
      </c>
      <c r="N4140" s="0" t="n">
        <f aca="false">E4140*F4140</f>
        <v>0.125</v>
      </c>
      <c r="O4140" s="0" t="n">
        <f aca="false">E4140*G4140</f>
        <v>-0.25</v>
      </c>
      <c r="P4140" s="0" t="n">
        <f aca="false">E4140*H4140</f>
        <v>0</v>
      </c>
      <c r="Q4140" s="0" t="n">
        <f aca="false">F4140*G4140</f>
        <v>-0.5</v>
      </c>
      <c r="R4140" s="0" t="n">
        <f aca="false">F4140*H4140</f>
        <v>0</v>
      </c>
      <c r="S4140" s="0" t="n">
        <f aca="false">G4140*H4140</f>
        <v>-0</v>
      </c>
      <c r="T4140" s="0" t="n">
        <f aca="false">E4140*E4140</f>
        <v>0.0625</v>
      </c>
      <c r="U4140" s="0" t="n">
        <f aca="false">F4140*F4140</f>
        <v>0.25</v>
      </c>
      <c r="V4140" s="0" t="n">
        <f aca="false">G4140*G4140</f>
        <v>1</v>
      </c>
      <c r="W4140" s="0" t="n">
        <f aca="false">H4140*H4140</f>
        <v>0</v>
      </c>
      <c r="X4140" s="0" t="n">
        <f aca="false">SUMPRODUCT(I4140:W4140,_XtX!$B$96:$P$96)</f>
        <v>47.1305738304093</v>
      </c>
      <c r="Y4140" s="0" t="n">
        <f aca="false">SUMPRODUCT(MMULT(I4140:W4140,_XtX!$B$78:$P$92),I4140:W4140)</f>
        <v>0.457596628289474</v>
      </c>
      <c r="Z4140" s="0" t="n">
        <f aca="false">04_回帰ANOVA!$K$19*04_回帰ANOVA!$K$14*SQRT(1+Y4140)</f>
        <v>1.57368233664366</v>
      </c>
      <c r="AA4140" s="0" t="n">
        <f aca="false">X4140-Z4140</f>
        <v>45.5568914937656</v>
      </c>
      <c r="AB4140" s="0" t="n">
        <f aca="false">X4140+Z4140</f>
        <v>48.704256167053</v>
      </c>
      <c r="AC4140" s="54" t="b">
        <f aca="false">AND(E4140&gt;=01_因子設定!$L$5-0.000000001,E4140&lt;=01_因子設定!$M$5+0.000000001,F4140&gt;=01_因子設定!$L$6-0.000000001,F4140&lt;=01_因子設定!$M$6+0.000000001,G4140&gt;=01_因子設定!$L$7-0.000000001,G4140&lt;=01_因子設定!$M$7+0.000000001,H4140&gt;=01_因子設定!$L$8-0.000000001,H4140&lt;=01_因子設定!$M$8+0.000000001,IF(01_因子設定!$B$20="Box-Behnken",E4140^2+F4140^2+G4140^2+H4140^2&lt;=2+0.000000001,TRUE()))</f>
        <v>1</v>
      </c>
      <c r="AD4140" s="55" t="n">
        <f aca="false">IF(AC4140,IF(01_因子設定!$B$13="最大化",AA4140-01_因子設定!$B$14,IF(01_因子設定!$B$13="最小化",01_因子設定!$B$15-AB4140,MIN(AA4140-01_因子設定!$B$14,01_因子設定!$B$15-AB4140))),-1E+030)</f>
        <v>-0.94310850623436</v>
      </c>
      <c r="AE4140" s="55" t="n">
        <f aca="false">IF(AC4140,IF(01_因子設定!$B$13="最大化",X4140,IF(01_因子設定!$B$13="最小化",-X4140,-ABS(X4140-01_因子設定!$B$16))),-1E+030)</f>
        <v>47.1305738304093</v>
      </c>
      <c r="AF4140" s="55" t="n">
        <f aca="false">AD4140+ROW()*0.000000001</f>
        <v>-0.94310436623436</v>
      </c>
      <c r="AG4140" s="55" t="n">
        <f aca="false">AE4140+ROW()*0.000000001</f>
        <v>47.1305779704093</v>
      </c>
    </row>
    <row r="4141" customFormat="false" ht="15" hidden="false" customHeight="false" outlineLevel="0" collapsed="false">
      <c r="A4141" s="0" t="n">
        <v>5</v>
      </c>
      <c r="B4141" s="0" t="n">
        <v>6</v>
      </c>
      <c r="C4141" s="0" t="n">
        <v>0</v>
      </c>
      <c r="D4141" s="0" t="n">
        <v>5</v>
      </c>
      <c r="E4141" s="0" t="n">
        <f aca="false">-1+A4141*0.25</f>
        <v>0.25</v>
      </c>
      <c r="F4141" s="0" t="n">
        <f aca="false">-1+B4141*0.25</f>
        <v>0.5</v>
      </c>
      <c r="G4141" s="0" t="n">
        <f aca="false">-1+C4141*0.25</f>
        <v>-1</v>
      </c>
      <c r="H4141" s="0" t="n">
        <f aca="false">-1+D4141*0.25</f>
        <v>0.25</v>
      </c>
      <c r="I4141" s="0" t="n">
        <f aca="false">1</f>
        <v>1</v>
      </c>
      <c r="J4141" s="0" t="n">
        <f aca="false">E4141</f>
        <v>0.25</v>
      </c>
      <c r="K4141" s="0" t="n">
        <f aca="false">F4141</f>
        <v>0.5</v>
      </c>
      <c r="L4141" s="0" t="n">
        <f aca="false">G4141</f>
        <v>-1</v>
      </c>
      <c r="M4141" s="0" t="n">
        <f aca="false">H4141</f>
        <v>0.25</v>
      </c>
      <c r="N4141" s="0" t="n">
        <f aca="false">E4141*F4141</f>
        <v>0.125</v>
      </c>
      <c r="O4141" s="0" t="n">
        <f aca="false">E4141*G4141</f>
        <v>-0.25</v>
      </c>
      <c r="P4141" s="0" t="n">
        <f aca="false">E4141*H4141</f>
        <v>0.0625</v>
      </c>
      <c r="Q4141" s="0" t="n">
        <f aca="false">F4141*G4141</f>
        <v>-0.5</v>
      </c>
      <c r="R4141" s="0" t="n">
        <f aca="false">F4141*H4141</f>
        <v>0.125</v>
      </c>
      <c r="S4141" s="0" t="n">
        <f aca="false">G4141*H4141</f>
        <v>-0.25</v>
      </c>
      <c r="T4141" s="0" t="n">
        <f aca="false">E4141*E4141</f>
        <v>0.0625</v>
      </c>
      <c r="U4141" s="0" t="n">
        <f aca="false">F4141*F4141</f>
        <v>0.25</v>
      </c>
      <c r="V4141" s="0" t="n">
        <f aca="false">G4141*G4141</f>
        <v>1</v>
      </c>
      <c r="W4141" s="0" t="n">
        <f aca="false">H4141*H4141</f>
        <v>0.0625</v>
      </c>
      <c r="X4141" s="0" t="n">
        <f aca="false">SUMPRODUCT(I4141:W4141,_XtX!$B$96:$P$96)</f>
        <v>47.1174342105263</v>
      </c>
      <c r="Y4141" s="0" t="n">
        <f aca="false">SUMPRODUCT(MMULT(I4141:W4141,_XtX!$B$78:$P$92),I4141:W4141)</f>
        <v>0.445705123812135</v>
      </c>
      <c r="Z4141" s="0" t="n">
        <f aca="false">04_回帰ANOVA!$K$19*04_回帰ANOVA!$K$14*SQRT(1+Y4141)</f>
        <v>1.56724990734749</v>
      </c>
      <c r="AA4141" s="0" t="n">
        <f aca="false">X4141-Z4141</f>
        <v>45.5501843031788</v>
      </c>
      <c r="AB4141" s="0" t="n">
        <f aca="false">X4141+Z4141</f>
        <v>48.6846841178738</v>
      </c>
      <c r="AC4141" s="54" t="b">
        <f aca="false">AND(E4141&gt;=01_因子設定!$L$5-0.000000001,E4141&lt;=01_因子設定!$M$5+0.000000001,F4141&gt;=01_因子設定!$L$6-0.000000001,F4141&lt;=01_因子設定!$M$6+0.000000001,G4141&gt;=01_因子設定!$L$7-0.000000001,G4141&lt;=01_因子設定!$M$7+0.000000001,H4141&gt;=01_因子設定!$L$8-0.000000001,H4141&lt;=01_因子設定!$M$8+0.000000001,IF(01_因子設定!$B$20="Box-Behnken",E4141^2+F4141^2+G4141^2+H4141^2&lt;=2+0.000000001,TRUE()))</f>
        <v>1</v>
      </c>
      <c r="AD4141" s="55" t="n">
        <f aca="false">IF(AC4141,IF(01_因子設定!$B$13="最大化",AA4141-01_因子設定!$B$14,IF(01_因子設定!$B$13="最小化",01_因子設定!$B$15-AB4141,MIN(AA4141-01_因子設定!$B$14,01_因子設定!$B$15-AB4141))),-1E+030)</f>
        <v>-0.949815696821226</v>
      </c>
      <c r="AE4141" s="55" t="n">
        <f aca="false">IF(AC4141,IF(01_因子設定!$B$13="最大化",X4141,IF(01_因子設定!$B$13="最小化",-X4141,-ABS(X4141-01_因子設定!$B$16))),-1E+030)</f>
        <v>47.1174342105263</v>
      </c>
      <c r="AF4141" s="55" t="n">
        <f aca="false">AD4141+ROW()*0.000000001</f>
        <v>-0.949811555821226</v>
      </c>
      <c r="AG4141" s="55" t="n">
        <f aca="false">AE4141+ROW()*0.000000001</f>
        <v>47.1174383515263</v>
      </c>
    </row>
    <row r="4142" customFormat="false" ht="15" hidden="false" customHeight="false" outlineLevel="0" collapsed="false">
      <c r="A4142" s="0" t="n">
        <v>5</v>
      </c>
      <c r="B4142" s="0" t="n">
        <v>6</v>
      </c>
      <c r="C4142" s="0" t="n">
        <v>0</v>
      </c>
      <c r="D4142" s="0" t="n">
        <v>6</v>
      </c>
      <c r="E4142" s="0" t="n">
        <f aca="false">-1+A4142*0.25</f>
        <v>0.25</v>
      </c>
      <c r="F4142" s="0" t="n">
        <f aca="false">-1+B4142*0.25</f>
        <v>0.5</v>
      </c>
      <c r="G4142" s="0" t="n">
        <f aca="false">-1+C4142*0.25</f>
        <v>-1</v>
      </c>
      <c r="H4142" s="0" t="n">
        <f aca="false">-1+D4142*0.25</f>
        <v>0.5</v>
      </c>
      <c r="I4142" s="0" t="n">
        <f aca="false">1</f>
        <v>1</v>
      </c>
      <c r="J4142" s="0" t="n">
        <f aca="false">E4142</f>
        <v>0.25</v>
      </c>
      <c r="K4142" s="0" t="n">
        <f aca="false">F4142</f>
        <v>0.5</v>
      </c>
      <c r="L4142" s="0" t="n">
        <f aca="false">G4142</f>
        <v>-1</v>
      </c>
      <c r="M4142" s="0" t="n">
        <f aca="false">H4142</f>
        <v>0.5</v>
      </c>
      <c r="N4142" s="0" t="n">
        <f aca="false">E4142*F4142</f>
        <v>0.125</v>
      </c>
      <c r="O4142" s="0" t="n">
        <f aca="false">E4142*G4142</f>
        <v>-0.25</v>
      </c>
      <c r="P4142" s="0" t="n">
        <f aca="false">E4142*H4142</f>
        <v>0.125</v>
      </c>
      <c r="Q4142" s="0" t="n">
        <f aca="false">F4142*G4142</f>
        <v>-0.5</v>
      </c>
      <c r="R4142" s="0" t="n">
        <f aca="false">F4142*H4142</f>
        <v>0.25</v>
      </c>
      <c r="S4142" s="0" t="n">
        <f aca="false">G4142*H4142</f>
        <v>-0.5</v>
      </c>
      <c r="T4142" s="0" t="n">
        <f aca="false">E4142*E4142</f>
        <v>0.0625</v>
      </c>
      <c r="U4142" s="0" t="n">
        <f aca="false">F4142*F4142</f>
        <v>0.25</v>
      </c>
      <c r="V4142" s="0" t="n">
        <f aca="false">G4142*G4142</f>
        <v>1</v>
      </c>
      <c r="W4142" s="0" t="n">
        <f aca="false">H4142*H4142</f>
        <v>0.25</v>
      </c>
      <c r="X4142" s="0" t="n">
        <f aca="false">SUMPRODUCT(I4142:W4142,_XtX!$B$96:$P$96)</f>
        <v>47.0564875730994</v>
      </c>
      <c r="Y4142" s="0" t="n">
        <f aca="false">SUMPRODUCT(MMULT(I4142:W4142,_XtX!$B$78:$P$92),I4142:W4142)</f>
        <v>0.428122715643275</v>
      </c>
      <c r="Z4142" s="0" t="n">
        <f aca="false">04_回帰ANOVA!$K$19*04_回帰ANOVA!$K$14*SQRT(1+Y4142)</f>
        <v>1.55769044623229</v>
      </c>
      <c r="AA4142" s="0" t="n">
        <f aca="false">X4142-Z4142</f>
        <v>45.4987971268671</v>
      </c>
      <c r="AB4142" s="0" t="n">
        <f aca="false">X4142+Z4142</f>
        <v>48.6141780193317</v>
      </c>
      <c r="AC4142" s="54" t="b">
        <f aca="false">AND(E4142&gt;=01_因子設定!$L$5-0.000000001,E4142&lt;=01_因子設定!$M$5+0.000000001,F4142&gt;=01_因子設定!$L$6-0.000000001,F4142&lt;=01_因子設定!$M$6+0.000000001,G4142&gt;=01_因子設定!$L$7-0.000000001,G4142&lt;=01_因子設定!$M$7+0.000000001,H4142&gt;=01_因子設定!$L$8-0.000000001,H4142&lt;=01_因子設定!$M$8+0.000000001,IF(01_因子設定!$B$20="Box-Behnken",E4142^2+F4142^2+G4142^2+H4142^2&lt;=2+0.000000001,TRUE()))</f>
        <v>1</v>
      </c>
      <c r="AD4142" s="55" t="n">
        <f aca="false">IF(AC4142,IF(01_因子設定!$B$13="最大化",AA4142-01_因子設定!$B$14,IF(01_因子設定!$B$13="最小化",01_因子設定!$B$15-AB4142,MIN(AA4142-01_因子設定!$B$14,01_因子設定!$B$15-AB4142))),-1E+030)</f>
        <v>-1.00120287313293</v>
      </c>
      <c r="AE4142" s="55" t="n">
        <f aca="false">IF(AC4142,IF(01_因子設定!$B$13="最大化",X4142,IF(01_因子設定!$B$13="最小化",-X4142,-ABS(X4142-01_因子設定!$B$16))),-1E+030)</f>
        <v>47.0564875730994</v>
      </c>
      <c r="AF4142" s="55" t="n">
        <f aca="false">AD4142+ROW()*0.000000001</f>
        <v>-1.00119873113293</v>
      </c>
      <c r="AG4142" s="55" t="n">
        <f aca="false">AE4142+ROW()*0.000000001</f>
        <v>47.0564917150994</v>
      </c>
    </row>
    <row r="4143" customFormat="false" ht="15" hidden="false" customHeight="false" outlineLevel="0" collapsed="false">
      <c r="A4143" s="0" t="n">
        <v>5</v>
      </c>
      <c r="B4143" s="0" t="n">
        <v>6</v>
      </c>
      <c r="C4143" s="0" t="n">
        <v>0</v>
      </c>
      <c r="D4143" s="0" t="n">
        <v>7</v>
      </c>
      <c r="E4143" s="0" t="n">
        <f aca="false">-1+A4143*0.25</f>
        <v>0.25</v>
      </c>
      <c r="F4143" s="0" t="n">
        <f aca="false">-1+B4143*0.25</f>
        <v>0.5</v>
      </c>
      <c r="G4143" s="0" t="n">
        <f aca="false">-1+C4143*0.25</f>
        <v>-1</v>
      </c>
      <c r="H4143" s="0" t="n">
        <f aca="false">-1+D4143*0.25</f>
        <v>0.75</v>
      </c>
      <c r="I4143" s="0" t="n">
        <f aca="false">1</f>
        <v>1</v>
      </c>
      <c r="J4143" s="0" t="n">
        <f aca="false">E4143</f>
        <v>0.25</v>
      </c>
      <c r="K4143" s="0" t="n">
        <f aca="false">F4143</f>
        <v>0.5</v>
      </c>
      <c r="L4143" s="0" t="n">
        <f aca="false">G4143</f>
        <v>-1</v>
      </c>
      <c r="M4143" s="0" t="n">
        <f aca="false">H4143</f>
        <v>0.75</v>
      </c>
      <c r="N4143" s="0" t="n">
        <f aca="false">E4143*F4143</f>
        <v>0.125</v>
      </c>
      <c r="O4143" s="0" t="n">
        <f aca="false">E4143*G4143</f>
        <v>-0.25</v>
      </c>
      <c r="P4143" s="0" t="n">
        <f aca="false">E4143*H4143</f>
        <v>0.1875</v>
      </c>
      <c r="Q4143" s="0" t="n">
        <f aca="false">F4143*G4143</f>
        <v>-0.5</v>
      </c>
      <c r="R4143" s="0" t="n">
        <f aca="false">F4143*H4143</f>
        <v>0.375</v>
      </c>
      <c r="S4143" s="0" t="n">
        <f aca="false">G4143*H4143</f>
        <v>-0.75</v>
      </c>
      <c r="T4143" s="0" t="n">
        <f aca="false">E4143*E4143</f>
        <v>0.0625</v>
      </c>
      <c r="U4143" s="0" t="n">
        <f aca="false">F4143*F4143</f>
        <v>0.25</v>
      </c>
      <c r="V4143" s="0" t="n">
        <f aca="false">G4143*G4143</f>
        <v>1</v>
      </c>
      <c r="W4143" s="0" t="n">
        <f aca="false">H4143*H4143</f>
        <v>0.5625</v>
      </c>
      <c r="X4143" s="0" t="n">
        <f aca="false">SUMPRODUCT(I4143:W4143,_XtX!$B$96:$P$96)</f>
        <v>46.9477339181286</v>
      </c>
      <c r="Y4143" s="0" t="n">
        <f aca="false">SUMPRODUCT(MMULT(I4143:W4143,_XtX!$B$78:$P$92),I4143:W4143)</f>
        <v>0.459125719572369</v>
      </c>
      <c r="Z4143" s="0" t="n">
        <f aca="false">04_回帰ANOVA!$K$19*04_回帰ANOVA!$K$14*SQRT(1+Y4143)</f>
        <v>1.57450755575573</v>
      </c>
      <c r="AA4143" s="0" t="n">
        <f aca="false">X4143-Z4143</f>
        <v>45.3732263623729</v>
      </c>
      <c r="AB4143" s="0" t="n">
        <f aca="false">X4143+Z4143</f>
        <v>48.5222414738844</v>
      </c>
      <c r="AC4143" s="54" t="b">
        <f aca="false">AND(E4143&gt;=01_因子設定!$L$5-0.000000001,E4143&lt;=01_因子設定!$M$5+0.000000001,F4143&gt;=01_因子設定!$L$6-0.000000001,F4143&lt;=01_因子設定!$M$6+0.000000001,G4143&gt;=01_因子設定!$L$7-0.000000001,G4143&lt;=01_因子設定!$M$7+0.000000001,H4143&gt;=01_因子設定!$L$8-0.000000001,H4143&lt;=01_因子設定!$M$8+0.000000001,IF(01_因子設定!$B$20="Box-Behnken",E4143^2+F4143^2+G4143^2+H4143^2&lt;=2+0.000000001,TRUE()))</f>
        <v>1</v>
      </c>
      <c r="AD4143" s="55" t="n">
        <f aca="false">IF(AC4143,IF(01_因子設定!$B$13="最大化",AA4143-01_因子設定!$B$14,IF(01_因子設定!$B$13="最小化",01_因子設定!$B$15-AB4143,MIN(AA4143-01_因子設定!$B$14,01_因子設定!$B$15-AB4143))),-1E+030)</f>
        <v>-1.12677363762711</v>
      </c>
      <c r="AE4143" s="55" t="n">
        <f aca="false">IF(AC4143,IF(01_因子設定!$B$13="最大化",X4143,IF(01_因子設定!$B$13="最小化",-X4143,-ABS(X4143-01_因子設定!$B$16))),-1E+030)</f>
        <v>46.9477339181286</v>
      </c>
      <c r="AF4143" s="55" t="n">
        <f aca="false">AD4143+ROW()*0.000000001</f>
        <v>-1.12676949462711</v>
      </c>
      <c r="AG4143" s="55" t="n">
        <f aca="false">AE4143+ROW()*0.000000001</f>
        <v>46.9477380611286</v>
      </c>
    </row>
    <row r="4144" customFormat="false" ht="15" hidden="false" customHeight="false" outlineLevel="0" collapsed="false">
      <c r="A4144" s="0" t="n">
        <v>5</v>
      </c>
      <c r="B4144" s="0" t="n">
        <v>6</v>
      </c>
      <c r="C4144" s="0" t="n">
        <v>0</v>
      </c>
      <c r="D4144" s="0" t="n">
        <v>8</v>
      </c>
      <c r="E4144" s="0" t="n">
        <f aca="false">-1+A4144*0.25</f>
        <v>0.25</v>
      </c>
      <c r="F4144" s="0" t="n">
        <f aca="false">-1+B4144*0.25</f>
        <v>0.5</v>
      </c>
      <c r="G4144" s="0" t="n">
        <f aca="false">-1+C4144*0.25</f>
        <v>-1</v>
      </c>
      <c r="H4144" s="0" t="n">
        <f aca="false">-1+D4144*0.25</f>
        <v>1</v>
      </c>
      <c r="I4144" s="0" t="n">
        <f aca="false">1</f>
        <v>1</v>
      </c>
      <c r="J4144" s="0" t="n">
        <f aca="false">E4144</f>
        <v>0.25</v>
      </c>
      <c r="K4144" s="0" t="n">
        <f aca="false">F4144</f>
        <v>0.5</v>
      </c>
      <c r="L4144" s="0" t="n">
        <f aca="false">G4144</f>
        <v>-1</v>
      </c>
      <c r="M4144" s="0" t="n">
        <f aca="false">H4144</f>
        <v>1</v>
      </c>
      <c r="N4144" s="0" t="n">
        <f aca="false">E4144*F4144</f>
        <v>0.125</v>
      </c>
      <c r="O4144" s="0" t="n">
        <f aca="false">E4144*G4144</f>
        <v>-0.25</v>
      </c>
      <c r="P4144" s="0" t="n">
        <f aca="false">E4144*H4144</f>
        <v>0.25</v>
      </c>
      <c r="Q4144" s="0" t="n">
        <f aca="false">F4144*G4144</f>
        <v>-0.5</v>
      </c>
      <c r="R4144" s="0" t="n">
        <f aca="false">F4144*H4144</f>
        <v>0.5</v>
      </c>
      <c r="S4144" s="0" t="n">
        <f aca="false">G4144*H4144</f>
        <v>-1</v>
      </c>
      <c r="T4144" s="0" t="n">
        <f aca="false">E4144*E4144</f>
        <v>0.0625</v>
      </c>
      <c r="U4144" s="0" t="n">
        <f aca="false">F4144*F4144</f>
        <v>0.25</v>
      </c>
      <c r="V4144" s="0" t="n">
        <f aca="false">G4144*G4144</f>
        <v>1</v>
      </c>
      <c r="W4144" s="0" t="n">
        <f aca="false">H4144*H4144</f>
        <v>1</v>
      </c>
      <c r="X4144" s="0" t="n">
        <f aca="false">SUMPRODUCT(I4144:W4144,_XtX!$B$96:$P$96)</f>
        <v>46.791173245614</v>
      </c>
      <c r="Y4144" s="0" t="n">
        <f aca="false">SUMPRODUCT(MMULT(I4144:W4144,_XtX!$B$78:$P$92),I4144:W4144)</f>
        <v>0.629174661915205</v>
      </c>
      <c r="Z4144" s="0" t="n">
        <f aca="false">04_回帰ANOVA!$K$19*04_回帰ANOVA!$K$14*SQRT(1+Y4144)</f>
        <v>1.66372758058297</v>
      </c>
      <c r="AA4144" s="0" t="n">
        <f aca="false">X4144-Z4144</f>
        <v>45.1274456650311</v>
      </c>
      <c r="AB4144" s="0" t="n">
        <f aca="false">X4144+Z4144</f>
        <v>48.454900826197</v>
      </c>
      <c r="AC4144" s="54" t="b">
        <f aca="false">AND(E4144&gt;=01_因子設定!$L$5-0.000000001,E4144&lt;=01_因子設定!$M$5+0.000000001,F4144&gt;=01_因子設定!$L$6-0.000000001,F4144&lt;=01_因子設定!$M$6+0.000000001,G4144&gt;=01_因子設定!$L$7-0.000000001,G4144&lt;=01_因子設定!$M$7+0.000000001,H4144&gt;=01_因子設定!$L$8-0.000000001,H4144&lt;=01_因子設定!$M$8+0.000000001,IF(01_因子設定!$B$20="Box-Behnken",E4144^2+F4144^2+G4144^2+H4144^2&lt;=2+0.000000001,TRUE()))</f>
        <v>1</v>
      </c>
      <c r="AD4144" s="55" t="n">
        <f aca="false">IF(AC4144,IF(01_因子設定!$B$13="最大化",AA4144-01_因子設定!$B$14,IF(01_因子設定!$B$13="最小化",01_因子設定!$B$15-AB4144,MIN(AA4144-01_因子設定!$B$14,01_因子設定!$B$15-AB4144))),-1E+030)</f>
        <v>-1.37255433496895</v>
      </c>
      <c r="AE4144" s="55" t="n">
        <f aca="false">IF(AC4144,IF(01_因子設定!$B$13="最大化",X4144,IF(01_因子設定!$B$13="最小化",-X4144,-ABS(X4144-01_因子設定!$B$16))),-1E+030)</f>
        <v>46.791173245614</v>
      </c>
      <c r="AF4144" s="55" t="n">
        <f aca="false">AD4144+ROW()*0.000000001</f>
        <v>-1.37255019096895</v>
      </c>
      <c r="AG4144" s="55" t="n">
        <f aca="false">AE4144+ROW()*0.000000001</f>
        <v>46.791177389614</v>
      </c>
    </row>
    <row r="4145" customFormat="false" ht="15" hidden="false" customHeight="false" outlineLevel="0" collapsed="false">
      <c r="A4145" s="0" t="n">
        <v>5</v>
      </c>
      <c r="B4145" s="0" t="n">
        <v>6</v>
      </c>
      <c r="C4145" s="0" t="n">
        <v>1</v>
      </c>
      <c r="D4145" s="0" t="n">
        <v>0</v>
      </c>
      <c r="E4145" s="0" t="n">
        <f aca="false">-1+A4145*0.25</f>
        <v>0.25</v>
      </c>
      <c r="F4145" s="0" t="n">
        <f aca="false">-1+B4145*0.25</f>
        <v>0.5</v>
      </c>
      <c r="G4145" s="0" t="n">
        <f aca="false">-1+C4145*0.25</f>
        <v>-0.75</v>
      </c>
      <c r="H4145" s="0" t="n">
        <f aca="false">-1+D4145*0.25</f>
        <v>-1</v>
      </c>
      <c r="I4145" s="0" t="n">
        <f aca="false">1</f>
        <v>1</v>
      </c>
      <c r="J4145" s="0" t="n">
        <f aca="false">E4145</f>
        <v>0.25</v>
      </c>
      <c r="K4145" s="0" t="n">
        <f aca="false">F4145</f>
        <v>0.5</v>
      </c>
      <c r="L4145" s="0" t="n">
        <f aca="false">G4145</f>
        <v>-0.75</v>
      </c>
      <c r="M4145" s="0" t="n">
        <f aca="false">H4145</f>
        <v>-1</v>
      </c>
      <c r="N4145" s="0" t="n">
        <f aca="false">E4145*F4145</f>
        <v>0.125</v>
      </c>
      <c r="O4145" s="0" t="n">
        <f aca="false">E4145*G4145</f>
        <v>-0.1875</v>
      </c>
      <c r="P4145" s="0" t="n">
        <f aca="false">E4145*H4145</f>
        <v>-0.25</v>
      </c>
      <c r="Q4145" s="0" t="n">
        <f aca="false">F4145*G4145</f>
        <v>-0.375</v>
      </c>
      <c r="R4145" s="0" t="n">
        <f aca="false">F4145*H4145</f>
        <v>-0.5</v>
      </c>
      <c r="S4145" s="0" t="n">
        <f aca="false">G4145*H4145</f>
        <v>0.75</v>
      </c>
      <c r="T4145" s="0" t="n">
        <f aca="false">E4145*E4145</f>
        <v>0.0625</v>
      </c>
      <c r="U4145" s="0" t="n">
        <f aca="false">F4145*F4145</f>
        <v>0.25</v>
      </c>
      <c r="V4145" s="0" t="n">
        <f aca="false">G4145*G4145</f>
        <v>0.5625</v>
      </c>
      <c r="W4145" s="0" t="n">
        <f aca="false">H4145*H4145</f>
        <v>1</v>
      </c>
      <c r="X4145" s="0" t="n">
        <f aca="false">SUMPRODUCT(I4145:W4145,_XtX!$B$96:$P$96)</f>
        <v>47.1760325292398</v>
      </c>
      <c r="Y4145" s="0" t="n">
        <f aca="false">SUMPRODUCT(MMULT(I4145:W4145,_XtX!$B$78:$P$92),I4145:W4145)</f>
        <v>0.459125719572369</v>
      </c>
      <c r="Z4145" s="0" t="n">
        <f aca="false">04_回帰ANOVA!$K$19*04_回帰ANOVA!$K$14*SQRT(1+Y4145)</f>
        <v>1.57450755575573</v>
      </c>
      <c r="AA4145" s="0" t="n">
        <f aca="false">X4145-Z4145</f>
        <v>45.601524973484</v>
      </c>
      <c r="AB4145" s="0" t="n">
        <f aca="false">X4145+Z4145</f>
        <v>48.7505400849955</v>
      </c>
      <c r="AC4145" s="54" t="b">
        <f aca="false">AND(E4145&gt;=01_因子設定!$L$5-0.000000001,E4145&lt;=01_因子設定!$M$5+0.000000001,F4145&gt;=01_因子設定!$L$6-0.000000001,F4145&lt;=01_因子設定!$M$6+0.000000001,G4145&gt;=01_因子設定!$L$7-0.000000001,G4145&lt;=01_因子設定!$M$7+0.000000001,H4145&gt;=01_因子設定!$L$8-0.000000001,H4145&lt;=01_因子設定!$M$8+0.000000001,IF(01_因子設定!$B$20="Box-Behnken",E4145^2+F4145^2+G4145^2+H4145^2&lt;=2+0.000000001,TRUE()))</f>
        <v>1</v>
      </c>
      <c r="AD4145" s="55" t="n">
        <f aca="false">IF(AC4145,IF(01_因子設定!$B$13="最大化",AA4145-01_因子設定!$B$14,IF(01_因子設定!$B$13="最小化",01_因子設定!$B$15-AB4145,MIN(AA4145-01_因子設定!$B$14,01_因子設定!$B$15-AB4145))),-1E+030)</f>
        <v>-0.898475026515982</v>
      </c>
      <c r="AE4145" s="55" t="n">
        <f aca="false">IF(AC4145,IF(01_因子設定!$B$13="最大化",X4145,IF(01_因子設定!$B$13="最小化",-X4145,-ABS(X4145-01_因子設定!$B$16))),-1E+030)</f>
        <v>47.1760325292398</v>
      </c>
      <c r="AF4145" s="55" t="n">
        <f aca="false">AD4145+ROW()*0.000000001</f>
        <v>-0.898470881515982</v>
      </c>
      <c r="AG4145" s="55" t="n">
        <f aca="false">AE4145+ROW()*0.000000001</f>
        <v>47.1760366742398</v>
      </c>
    </row>
    <row r="4146" customFormat="false" ht="15" hidden="false" customHeight="false" outlineLevel="0" collapsed="false">
      <c r="A4146" s="0" t="n">
        <v>5</v>
      </c>
      <c r="B4146" s="0" t="n">
        <v>6</v>
      </c>
      <c r="C4146" s="0" t="n">
        <v>1</v>
      </c>
      <c r="D4146" s="0" t="n">
        <v>1</v>
      </c>
      <c r="E4146" s="0" t="n">
        <f aca="false">-1+A4146*0.25</f>
        <v>0.25</v>
      </c>
      <c r="F4146" s="0" t="n">
        <f aca="false">-1+B4146*0.25</f>
        <v>0.5</v>
      </c>
      <c r="G4146" s="0" t="n">
        <f aca="false">-1+C4146*0.25</f>
        <v>-0.75</v>
      </c>
      <c r="H4146" s="0" t="n">
        <f aca="false">-1+D4146*0.25</f>
        <v>-0.75</v>
      </c>
      <c r="I4146" s="0" t="n">
        <f aca="false">1</f>
        <v>1</v>
      </c>
      <c r="J4146" s="0" t="n">
        <f aca="false">E4146</f>
        <v>0.25</v>
      </c>
      <c r="K4146" s="0" t="n">
        <f aca="false">F4146</f>
        <v>0.5</v>
      </c>
      <c r="L4146" s="0" t="n">
        <f aca="false">G4146</f>
        <v>-0.75</v>
      </c>
      <c r="M4146" s="0" t="n">
        <f aca="false">H4146</f>
        <v>-0.75</v>
      </c>
      <c r="N4146" s="0" t="n">
        <f aca="false">E4146*F4146</f>
        <v>0.125</v>
      </c>
      <c r="O4146" s="0" t="n">
        <f aca="false">E4146*G4146</f>
        <v>-0.1875</v>
      </c>
      <c r="P4146" s="0" t="n">
        <f aca="false">E4146*H4146</f>
        <v>-0.1875</v>
      </c>
      <c r="Q4146" s="0" t="n">
        <f aca="false">F4146*G4146</f>
        <v>-0.375</v>
      </c>
      <c r="R4146" s="0" t="n">
        <f aca="false">F4146*H4146</f>
        <v>-0.375</v>
      </c>
      <c r="S4146" s="0" t="n">
        <f aca="false">G4146*H4146</f>
        <v>0.5625</v>
      </c>
      <c r="T4146" s="0" t="n">
        <f aca="false">E4146*E4146</f>
        <v>0.0625</v>
      </c>
      <c r="U4146" s="0" t="n">
        <f aca="false">F4146*F4146</f>
        <v>0.25</v>
      </c>
      <c r="V4146" s="0" t="n">
        <f aca="false">G4146*G4146</f>
        <v>0.5625</v>
      </c>
      <c r="W4146" s="0" t="n">
        <f aca="false">H4146*H4146</f>
        <v>0.5625</v>
      </c>
      <c r="X4146" s="0" t="n">
        <f aca="false">SUMPRODUCT(I4146:W4146,_XtX!$B$96:$P$96)</f>
        <v>47.3720897295321</v>
      </c>
      <c r="Y4146" s="0" t="n">
        <f aca="false">SUMPRODUCT(MMULT(I4146:W4146,_XtX!$B$78:$P$92),I4146:W4146)</f>
        <v>0.257385610836988</v>
      </c>
      <c r="Z4146" s="0" t="n">
        <f aca="false">04_回帰ANOVA!$K$19*04_回帰ANOVA!$K$14*SQRT(1+Y4146)</f>
        <v>1.46161380324158</v>
      </c>
      <c r="AA4146" s="0" t="n">
        <f aca="false">X4146-Z4146</f>
        <v>45.9104759262905</v>
      </c>
      <c r="AB4146" s="0" t="n">
        <f aca="false">X4146+Z4146</f>
        <v>48.8337035327737</v>
      </c>
      <c r="AC4146" s="54" t="b">
        <f aca="false">AND(E4146&gt;=01_因子設定!$L$5-0.000000001,E4146&lt;=01_因子設定!$M$5+0.000000001,F4146&gt;=01_因子設定!$L$6-0.000000001,F4146&lt;=01_因子設定!$M$6+0.000000001,G4146&gt;=01_因子設定!$L$7-0.000000001,G4146&lt;=01_因子設定!$M$7+0.000000001,H4146&gt;=01_因子設定!$L$8-0.000000001,H4146&lt;=01_因子設定!$M$8+0.000000001,IF(01_因子設定!$B$20="Box-Behnken",E4146^2+F4146^2+G4146^2+H4146^2&lt;=2+0.000000001,TRUE()))</f>
        <v>1</v>
      </c>
      <c r="AD4146" s="55" t="n">
        <f aca="false">IF(AC4146,IF(01_因子設定!$B$13="最大化",AA4146-01_因子設定!$B$14,IF(01_因子設定!$B$13="最小化",01_因子設定!$B$15-AB4146,MIN(AA4146-01_因子設定!$B$14,01_因子設定!$B$15-AB4146))),-1E+030)</f>
        <v>-0.589524073709455</v>
      </c>
      <c r="AE4146" s="55" t="n">
        <f aca="false">IF(AC4146,IF(01_因子設定!$B$13="最大化",X4146,IF(01_因子設定!$B$13="最小化",-X4146,-ABS(X4146-01_因子設定!$B$16))),-1E+030)</f>
        <v>47.3720897295321</v>
      </c>
      <c r="AF4146" s="55" t="n">
        <f aca="false">AD4146+ROW()*0.000000001</f>
        <v>-0.589519927709455</v>
      </c>
      <c r="AG4146" s="55" t="n">
        <f aca="false">AE4146+ROW()*0.000000001</f>
        <v>47.3720938755321</v>
      </c>
    </row>
    <row r="4147" customFormat="false" ht="15" hidden="false" customHeight="false" outlineLevel="0" collapsed="false">
      <c r="A4147" s="0" t="n">
        <v>5</v>
      </c>
      <c r="B4147" s="0" t="n">
        <v>6</v>
      </c>
      <c r="C4147" s="0" t="n">
        <v>1</v>
      </c>
      <c r="D4147" s="0" t="n">
        <v>2</v>
      </c>
      <c r="E4147" s="0" t="n">
        <f aca="false">-1+A4147*0.25</f>
        <v>0.25</v>
      </c>
      <c r="F4147" s="0" t="n">
        <f aca="false">-1+B4147*0.25</f>
        <v>0.5</v>
      </c>
      <c r="G4147" s="0" t="n">
        <f aca="false">-1+C4147*0.25</f>
        <v>-0.75</v>
      </c>
      <c r="H4147" s="0" t="n">
        <f aca="false">-1+D4147*0.25</f>
        <v>-0.5</v>
      </c>
      <c r="I4147" s="0" t="n">
        <f aca="false">1</f>
        <v>1</v>
      </c>
      <c r="J4147" s="0" t="n">
        <f aca="false">E4147</f>
        <v>0.25</v>
      </c>
      <c r="K4147" s="0" t="n">
        <f aca="false">F4147</f>
        <v>0.5</v>
      </c>
      <c r="L4147" s="0" t="n">
        <f aca="false">G4147</f>
        <v>-0.75</v>
      </c>
      <c r="M4147" s="0" t="n">
        <f aca="false">H4147</f>
        <v>-0.5</v>
      </c>
      <c r="N4147" s="0" t="n">
        <f aca="false">E4147*F4147</f>
        <v>0.125</v>
      </c>
      <c r="O4147" s="0" t="n">
        <f aca="false">E4147*G4147</f>
        <v>-0.1875</v>
      </c>
      <c r="P4147" s="0" t="n">
        <f aca="false">E4147*H4147</f>
        <v>-0.125</v>
      </c>
      <c r="Q4147" s="0" t="n">
        <f aca="false">F4147*G4147</f>
        <v>-0.375</v>
      </c>
      <c r="R4147" s="0" t="n">
        <f aca="false">F4147*H4147</f>
        <v>-0.25</v>
      </c>
      <c r="S4147" s="0" t="n">
        <f aca="false">G4147*H4147</f>
        <v>0.375</v>
      </c>
      <c r="T4147" s="0" t="n">
        <f aca="false">E4147*E4147</f>
        <v>0.0625</v>
      </c>
      <c r="U4147" s="0" t="n">
        <f aca="false">F4147*F4147</f>
        <v>0.25</v>
      </c>
      <c r="V4147" s="0" t="n">
        <f aca="false">G4147*G4147</f>
        <v>0.5625</v>
      </c>
      <c r="W4147" s="0" t="n">
        <f aca="false">H4147*H4147</f>
        <v>0.25</v>
      </c>
      <c r="X4147" s="0" t="n">
        <f aca="false">SUMPRODUCT(I4147:W4147,_XtX!$B$96:$P$96)</f>
        <v>47.5203399122807</v>
      </c>
      <c r="Y4147" s="0" t="n">
        <f aca="false">SUMPRODUCT(MMULT(I4147:W4147,_XtX!$B$78:$P$92),I4147:W4147)</f>
        <v>0.203746059484649</v>
      </c>
      <c r="Z4147" s="0" t="n">
        <f aca="false">04_回帰ANOVA!$K$19*04_回帰ANOVA!$K$14*SQRT(1+Y4147)</f>
        <v>1.43009810755465</v>
      </c>
      <c r="AA4147" s="0" t="n">
        <f aca="false">X4147-Z4147</f>
        <v>46.090241804726</v>
      </c>
      <c r="AB4147" s="0" t="n">
        <f aca="false">X4147+Z4147</f>
        <v>48.9504380198353</v>
      </c>
      <c r="AC4147" s="54" t="b">
        <f aca="false">AND(E4147&gt;=01_因子設定!$L$5-0.000000001,E4147&lt;=01_因子設定!$M$5+0.000000001,F4147&gt;=01_因子設定!$L$6-0.000000001,F4147&lt;=01_因子設定!$M$6+0.000000001,G4147&gt;=01_因子設定!$L$7-0.000000001,G4147&lt;=01_因子設定!$M$7+0.000000001,H4147&gt;=01_因子設定!$L$8-0.000000001,H4147&lt;=01_因子設定!$M$8+0.000000001,IF(01_因子設定!$B$20="Box-Behnken",E4147^2+F4147^2+G4147^2+H4147^2&lt;=2+0.000000001,TRUE()))</f>
        <v>1</v>
      </c>
      <c r="AD4147" s="55" t="n">
        <f aca="false">IF(AC4147,IF(01_因子設定!$B$13="最大化",AA4147-01_因子設定!$B$14,IF(01_因子設定!$B$13="最小化",01_因子設定!$B$15-AB4147,MIN(AA4147-01_因子設定!$B$14,01_因子設定!$B$15-AB4147))),-1E+030)</f>
        <v>-0.409758195273994</v>
      </c>
      <c r="AE4147" s="55" t="n">
        <f aca="false">IF(AC4147,IF(01_因子設定!$B$13="最大化",X4147,IF(01_因子設定!$B$13="最小化",-X4147,-ABS(X4147-01_因子設定!$B$16))),-1E+030)</f>
        <v>47.5203399122807</v>
      </c>
      <c r="AF4147" s="55" t="n">
        <f aca="false">AD4147+ROW()*0.000000001</f>
        <v>-0.409754048273994</v>
      </c>
      <c r="AG4147" s="55" t="n">
        <f aca="false">AE4147+ROW()*0.000000001</f>
        <v>47.5203440592807</v>
      </c>
    </row>
    <row r="4148" customFormat="false" ht="15" hidden="false" customHeight="false" outlineLevel="0" collapsed="false">
      <c r="A4148" s="0" t="n">
        <v>5</v>
      </c>
      <c r="B4148" s="0" t="n">
        <v>6</v>
      </c>
      <c r="C4148" s="0" t="n">
        <v>1</v>
      </c>
      <c r="D4148" s="0" t="n">
        <v>3</v>
      </c>
      <c r="E4148" s="0" t="n">
        <f aca="false">-1+A4148*0.25</f>
        <v>0.25</v>
      </c>
      <c r="F4148" s="0" t="n">
        <f aca="false">-1+B4148*0.25</f>
        <v>0.5</v>
      </c>
      <c r="G4148" s="0" t="n">
        <f aca="false">-1+C4148*0.25</f>
        <v>-0.75</v>
      </c>
      <c r="H4148" s="0" t="n">
        <f aca="false">-1+D4148*0.25</f>
        <v>-0.25</v>
      </c>
      <c r="I4148" s="0" t="n">
        <f aca="false">1</f>
        <v>1</v>
      </c>
      <c r="J4148" s="0" t="n">
        <f aca="false">E4148</f>
        <v>0.25</v>
      </c>
      <c r="K4148" s="0" t="n">
        <f aca="false">F4148</f>
        <v>0.5</v>
      </c>
      <c r="L4148" s="0" t="n">
        <f aca="false">G4148</f>
        <v>-0.75</v>
      </c>
      <c r="M4148" s="0" t="n">
        <f aca="false">H4148</f>
        <v>-0.25</v>
      </c>
      <c r="N4148" s="0" t="n">
        <f aca="false">E4148*F4148</f>
        <v>0.125</v>
      </c>
      <c r="O4148" s="0" t="n">
        <f aca="false">E4148*G4148</f>
        <v>-0.1875</v>
      </c>
      <c r="P4148" s="0" t="n">
        <f aca="false">E4148*H4148</f>
        <v>-0.0625</v>
      </c>
      <c r="Q4148" s="0" t="n">
        <f aca="false">F4148*G4148</f>
        <v>-0.375</v>
      </c>
      <c r="R4148" s="0" t="n">
        <f aca="false">F4148*H4148</f>
        <v>-0.125</v>
      </c>
      <c r="S4148" s="0" t="n">
        <f aca="false">G4148*H4148</f>
        <v>0.1875</v>
      </c>
      <c r="T4148" s="0" t="n">
        <f aca="false">E4148*E4148</f>
        <v>0.0625</v>
      </c>
      <c r="U4148" s="0" t="n">
        <f aca="false">F4148*F4148</f>
        <v>0.25</v>
      </c>
      <c r="V4148" s="0" t="n">
        <f aca="false">G4148*G4148</f>
        <v>0.5625</v>
      </c>
      <c r="W4148" s="0" t="n">
        <f aca="false">H4148*H4148</f>
        <v>0.0625</v>
      </c>
      <c r="X4148" s="0" t="n">
        <f aca="false">SUMPRODUCT(I4148:W4148,_XtX!$B$96:$P$96)</f>
        <v>47.6207830774853</v>
      </c>
      <c r="Y4148" s="0" t="n">
        <f aca="false">SUMPRODUCT(MMULT(I4148:W4148,_XtX!$B$78:$P$92),I4148:W4148)</f>
        <v>0.207746539199561</v>
      </c>
      <c r="Z4148" s="0" t="n">
        <f aca="false">04_回帰ANOVA!$K$19*04_回帰ANOVA!$K$14*SQRT(1+Y4148)</f>
        <v>1.43247250081141</v>
      </c>
      <c r="AA4148" s="0" t="n">
        <f aca="false">X4148-Z4148</f>
        <v>46.1883105766739</v>
      </c>
      <c r="AB4148" s="0" t="n">
        <f aca="false">X4148+Z4148</f>
        <v>49.0532555782967</v>
      </c>
      <c r="AC4148" s="54" t="b">
        <f aca="false">AND(E4148&gt;=01_因子設定!$L$5-0.000000001,E4148&lt;=01_因子設定!$M$5+0.000000001,F4148&gt;=01_因子設定!$L$6-0.000000001,F4148&lt;=01_因子設定!$M$6+0.000000001,G4148&gt;=01_因子設定!$L$7-0.000000001,G4148&lt;=01_因子設定!$M$7+0.000000001,H4148&gt;=01_因子設定!$L$8-0.000000001,H4148&lt;=01_因子設定!$M$8+0.000000001,IF(01_因子設定!$B$20="Box-Behnken",E4148^2+F4148^2+G4148^2+H4148^2&lt;=2+0.000000001,TRUE()))</f>
        <v>1</v>
      </c>
      <c r="AD4148" s="55" t="n">
        <f aca="false">IF(AC4148,IF(01_因子設定!$B$13="最大化",AA4148-01_因子設定!$B$14,IF(01_因子設定!$B$13="最小化",01_因子設定!$B$15-AB4148,MIN(AA4148-01_因子設定!$B$14,01_因子設定!$B$15-AB4148))),-1E+030)</f>
        <v>-0.311689423326087</v>
      </c>
      <c r="AE4148" s="55" t="n">
        <f aca="false">IF(AC4148,IF(01_因子設定!$B$13="最大化",X4148,IF(01_因子設定!$B$13="最小化",-X4148,-ABS(X4148-01_因子設定!$B$16))),-1E+030)</f>
        <v>47.6207830774853</v>
      </c>
      <c r="AF4148" s="55" t="n">
        <f aca="false">AD4148+ROW()*0.000000001</f>
        <v>-0.311685275326087</v>
      </c>
      <c r="AG4148" s="55" t="n">
        <f aca="false">AE4148+ROW()*0.000000001</f>
        <v>47.6207872254853</v>
      </c>
    </row>
    <row r="4149" customFormat="false" ht="15" hidden="false" customHeight="false" outlineLevel="0" collapsed="false">
      <c r="A4149" s="0" t="n">
        <v>5</v>
      </c>
      <c r="B4149" s="0" t="n">
        <v>6</v>
      </c>
      <c r="C4149" s="0" t="n">
        <v>1</v>
      </c>
      <c r="D4149" s="0" t="n">
        <v>4</v>
      </c>
      <c r="E4149" s="0" t="n">
        <f aca="false">-1+A4149*0.25</f>
        <v>0.25</v>
      </c>
      <c r="F4149" s="0" t="n">
        <f aca="false">-1+B4149*0.25</f>
        <v>0.5</v>
      </c>
      <c r="G4149" s="0" t="n">
        <f aca="false">-1+C4149*0.25</f>
        <v>-0.75</v>
      </c>
      <c r="H4149" s="0" t="n">
        <f aca="false">-1+D4149*0.25</f>
        <v>0</v>
      </c>
      <c r="I4149" s="0" t="n">
        <f aca="false">1</f>
        <v>1</v>
      </c>
      <c r="J4149" s="0" t="n">
        <f aca="false">E4149</f>
        <v>0.25</v>
      </c>
      <c r="K4149" s="0" t="n">
        <f aca="false">F4149</f>
        <v>0.5</v>
      </c>
      <c r="L4149" s="0" t="n">
        <f aca="false">G4149</f>
        <v>-0.75</v>
      </c>
      <c r="M4149" s="0" t="n">
        <f aca="false">H4149</f>
        <v>0</v>
      </c>
      <c r="N4149" s="0" t="n">
        <f aca="false">E4149*F4149</f>
        <v>0.125</v>
      </c>
      <c r="O4149" s="0" t="n">
        <f aca="false">E4149*G4149</f>
        <v>-0.1875</v>
      </c>
      <c r="P4149" s="0" t="n">
        <f aca="false">E4149*H4149</f>
        <v>0</v>
      </c>
      <c r="Q4149" s="0" t="n">
        <f aca="false">F4149*G4149</f>
        <v>-0.375</v>
      </c>
      <c r="R4149" s="0" t="n">
        <f aca="false">F4149*H4149</f>
        <v>0</v>
      </c>
      <c r="S4149" s="0" t="n">
        <f aca="false">G4149*H4149</f>
        <v>-0</v>
      </c>
      <c r="T4149" s="0" t="n">
        <f aca="false">E4149*E4149</f>
        <v>0.0625</v>
      </c>
      <c r="U4149" s="0" t="n">
        <f aca="false">F4149*F4149</f>
        <v>0.25</v>
      </c>
      <c r="V4149" s="0" t="n">
        <f aca="false">G4149*G4149</f>
        <v>0.5625</v>
      </c>
      <c r="W4149" s="0" t="n">
        <f aca="false">H4149*H4149</f>
        <v>0</v>
      </c>
      <c r="X4149" s="0" t="n">
        <f aca="false">SUMPRODUCT(I4149:W4149,_XtX!$B$96:$P$96)</f>
        <v>47.6734192251461</v>
      </c>
      <c r="Y4149" s="0" t="n">
        <f aca="false">SUMPRODUCT(MMULT(I4149:W4149,_XtX!$B$78:$P$92),I4149:W4149)</f>
        <v>0.215110734192252</v>
      </c>
      <c r="Z4149" s="0" t="n">
        <f aca="false">04_回帰ANOVA!$K$19*04_回帰ANOVA!$K$14*SQRT(1+Y4149)</f>
        <v>1.43683309086864</v>
      </c>
      <c r="AA4149" s="0" t="n">
        <f aca="false">X4149-Z4149</f>
        <v>46.2365861342775</v>
      </c>
      <c r="AB4149" s="0" t="n">
        <f aca="false">X4149+Z4149</f>
        <v>49.1102523160148</v>
      </c>
      <c r="AC4149" s="54" t="b">
        <f aca="false">AND(E4149&gt;=01_因子設定!$L$5-0.000000001,E4149&lt;=01_因子設定!$M$5+0.000000001,F4149&gt;=01_因子設定!$L$6-0.000000001,F4149&lt;=01_因子設定!$M$6+0.000000001,G4149&gt;=01_因子設定!$L$7-0.000000001,G4149&lt;=01_因子設定!$M$7+0.000000001,H4149&gt;=01_因子設定!$L$8-0.000000001,H4149&lt;=01_因子設定!$M$8+0.000000001,IF(01_因子設定!$B$20="Box-Behnken",E4149^2+F4149^2+G4149^2+H4149^2&lt;=2+0.000000001,TRUE()))</f>
        <v>1</v>
      </c>
      <c r="AD4149" s="55" t="n">
        <f aca="false">IF(AC4149,IF(01_因子設定!$B$13="最大化",AA4149-01_因子設定!$B$14,IF(01_因子設定!$B$13="最小化",01_因子設定!$B$15-AB4149,MIN(AA4149-01_因子設定!$B$14,01_因子設定!$B$15-AB4149))),-1E+030)</f>
        <v>-0.263413865722505</v>
      </c>
      <c r="AE4149" s="55" t="n">
        <f aca="false">IF(AC4149,IF(01_因子設定!$B$13="最大化",X4149,IF(01_因子設定!$B$13="最小化",-X4149,-ABS(X4149-01_因子設定!$B$16))),-1E+030)</f>
        <v>47.6734192251461</v>
      </c>
      <c r="AF4149" s="55" t="n">
        <f aca="false">AD4149+ROW()*0.000000001</f>
        <v>-0.263409716722505</v>
      </c>
      <c r="AG4149" s="55" t="n">
        <f aca="false">AE4149+ROW()*0.000000001</f>
        <v>47.6734233741461</v>
      </c>
    </row>
    <row r="4150" customFormat="false" ht="15" hidden="false" customHeight="false" outlineLevel="0" collapsed="false">
      <c r="A4150" s="0" t="n">
        <v>5</v>
      </c>
      <c r="B4150" s="0" t="n">
        <v>6</v>
      </c>
      <c r="C4150" s="0" t="n">
        <v>1</v>
      </c>
      <c r="D4150" s="0" t="n">
        <v>5</v>
      </c>
      <c r="E4150" s="0" t="n">
        <f aca="false">-1+A4150*0.25</f>
        <v>0.25</v>
      </c>
      <c r="F4150" s="0" t="n">
        <f aca="false">-1+B4150*0.25</f>
        <v>0.5</v>
      </c>
      <c r="G4150" s="0" t="n">
        <f aca="false">-1+C4150*0.25</f>
        <v>-0.75</v>
      </c>
      <c r="H4150" s="0" t="n">
        <f aca="false">-1+D4150*0.25</f>
        <v>0.25</v>
      </c>
      <c r="I4150" s="0" t="n">
        <f aca="false">1</f>
        <v>1</v>
      </c>
      <c r="J4150" s="0" t="n">
        <f aca="false">E4150</f>
        <v>0.25</v>
      </c>
      <c r="K4150" s="0" t="n">
        <f aca="false">F4150</f>
        <v>0.5</v>
      </c>
      <c r="L4150" s="0" t="n">
        <f aca="false">G4150</f>
        <v>-0.75</v>
      </c>
      <c r="M4150" s="0" t="n">
        <f aca="false">H4150</f>
        <v>0.25</v>
      </c>
      <c r="N4150" s="0" t="n">
        <f aca="false">E4150*F4150</f>
        <v>0.125</v>
      </c>
      <c r="O4150" s="0" t="n">
        <f aca="false">E4150*G4150</f>
        <v>-0.1875</v>
      </c>
      <c r="P4150" s="0" t="n">
        <f aca="false">E4150*H4150</f>
        <v>0.0625</v>
      </c>
      <c r="Q4150" s="0" t="n">
        <f aca="false">F4150*G4150</f>
        <v>-0.375</v>
      </c>
      <c r="R4150" s="0" t="n">
        <f aca="false">F4150*H4150</f>
        <v>0.125</v>
      </c>
      <c r="S4150" s="0" t="n">
        <f aca="false">G4150*H4150</f>
        <v>-0.1875</v>
      </c>
      <c r="T4150" s="0" t="n">
        <f aca="false">E4150*E4150</f>
        <v>0.0625</v>
      </c>
      <c r="U4150" s="0" t="n">
        <f aca="false">F4150*F4150</f>
        <v>0.25</v>
      </c>
      <c r="V4150" s="0" t="n">
        <f aca="false">G4150*G4150</f>
        <v>0.5625</v>
      </c>
      <c r="W4150" s="0" t="n">
        <f aca="false">H4150*H4150</f>
        <v>0.0625</v>
      </c>
      <c r="X4150" s="0" t="n">
        <f aca="false">SUMPRODUCT(I4150:W4150,_XtX!$B$96:$P$96)</f>
        <v>47.6782483552631</v>
      </c>
      <c r="Y4150" s="0" t="n">
        <f aca="false">SUMPRODUCT(MMULT(I4150:W4150,_XtX!$B$78:$P$92),I4150:W4150)</f>
        <v>0.207746539199561</v>
      </c>
      <c r="Z4150" s="0" t="n">
        <f aca="false">04_回帰ANOVA!$K$19*04_回帰ANOVA!$K$14*SQRT(1+Y4150)</f>
        <v>1.43247250081141</v>
      </c>
      <c r="AA4150" s="0" t="n">
        <f aca="false">X4150-Z4150</f>
        <v>46.2457758544517</v>
      </c>
      <c r="AB4150" s="0" t="n">
        <f aca="false">X4150+Z4150</f>
        <v>49.1107208560745</v>
      </c>
      <c r="AC4150" s="54" t="b">
        <f aca="false">AND(E4150&gt;=01_因子設定!$L$5-0.000000001,E4150&lt;=01_因子設定!$M$5+0.000000001,F4150&gt;=01_因子設定!$L$6-0.000000001,F4150&lt;=01_因子設定!$M$6+0.000000001,G4150&gt;=01_因子設定!$L$7-0.000000001,G4150&lt;=01_因子設定!$M$7+0.000000001,H4150&gt;=01_因子設定!$L$8-0.000000001,H4150&lt;=01_因子設定!$M$8+0.000000001,IF(01_因子設定!$B$20="Box-Behnken",E4150^2+F4150^2+G4150^2+H4150^2&lt;=2+0.000000001,TRUE()))</f>
        <v>1</v>
      </c>
      <c r="AD4150" s="55" t="n">
        <f aca="false">IF(AC4150,IF(01_因子設定!$B$13="最大化",AA4150-01_因子設定!$B$14,IF(01_因子設定!$B$13="最小化",01_因子設定!$B$15-AB4150,MIN(AA4150-01_因子設定!$B$14,01_因子設定!$B$15-AB4150))),-1E+030)</f>
        <v>-0.254224145548307</v>
      </c>
      <c r="AE4150" s="55" t="n">
        <f aca="false">IF(AC4150,IF(01_因子設定!$B$13="最大化",X4150,IF(01_因子設定!$B$13="最小化",-X4150,-ABS(X4150-01_因子設定!$B$16))),-1E+030)</f>
        <v>47.6782483552631</v>
      </c>
      <c r="AF4150" s="55" t="n">
        <f aca="false">AD4150+ROW()*0.000000001</f>
        <v>-0.254219995548307</v>
      </c>
      <c r="AG4150" s="55" t="n">
        <f aca="false">AE4150+ROW()*0.000000001</f>
        <v>47.6782525052631</v>
      </c>
    </row>
    <row r="4151" customFormat="false" ht="15" hidden="false" customHeight="false" outlineLevel="0" collapsed="false">
      <c r="A4151" s="0" t="n">
        <v>5</v>
      </c>
      <c r="B4151" s="0" t="n">
        <v>6</v>
      </c>
      <c r="C4151" s="0" t="n">
        <v>1</v>
      </c>
      <c r="D4151" s="0" t="n">
        <v>6</v>
      </c>
      <c r="E4151" s="0" t="n">
        <f aca="false">-1+A4151*0.25</f>
        <v>0.25</v>
      </c>
      <c r="F4151" s="0" t="n">
        <f aca="false">-1+B4151*0.25</f>
        <v>0.5</v>
      </c>
      <c r="G4151" s="0" t="n">
        <f aca="false">-1+C4151*0.25</f>
        <v>-0.75</v>
      </c>
      <c r="H4151" s="0" t="n">
        <f aca="false">-1+D4151*0.25</f>
        <v>0.5</v>
      </c>
      <c r="I4151" s="0" t="n">
        <f aca="false">1</f>
        <v>1</v>
      </c>
      <c r="J4151" s="0" t="n">
        <f aca="false">E4151</f>
        <v>0.25</v>
      </c>
      <c r="K4151" s="0" t="n">
        <f aca="false">F4151</f>
        <v>0.5</v>
      </c>
      <c r="L4151" s="0" t="n">
        <f aca="false">G4151</f>
        <v>-0.75</v>
      </c>
      <c r="M4151" s="0" t="n">
        <f aca="false">H4151</f>
        <v>0.5</v>
      </c>
      <c r="N4151" s="0" t="n">
        <f aca="false">E4151*F4151</f>
        <v>0.125</v>
      </c>
      <c r="O4151" s="0" t="n">
        <f aca="false">E4151*G4151</f>
        <v>-0.1875</v>
      </c>
      <c r="P4151" s="0" t="n">
        <f aca="false">E4151*H4151</f>
        <v>0.125</v>
      </c>
      <c r="Q4151" s="0" t="n">
        <f aca="false">F4151*G4151</f>
        <v>-0.375</v>
      </c>
      <c r="R4151" s="0" t="n">
        <f aca="false">F4151*H4151</f>
        <v>0.25</v>
      </c>
      <c r="S4151" s="0" t="n">
        <f aca="false">G4151*H4151</f>
        <v>-0.375</v>
      </c>
      <c r="T4151" s="0" t="n">
        <f aca="false">E4151*E4151</f>
        <v>0.0625</v>
      </c>
      <c r="U4151" s="0" t="n">
        <f aca="false">F4151*F4151</f>
        <v>0.25</v>
      </c>
      <c r="V4151" s="0" t="n">
        <f aca="false">G4151*G4151</f>
        <v>0.5625</v>
      </c>
      <c r="W4151" s="0" t="n">
        <f aca="false">H4151*H4151</f>
        <v>0.25</v>
      </c>
      <c r="X4151" s="0" t="n">
        <f aca="false">SUMPRODUCT(I4151:W4151,_XtX!$B$96:$P$96)</f>
        <v>47.6352704678362</v>
      </c>
      <c r="Y4151" s="0" t="n">
        <f aca="false">SUMPRODUCT(MMULT(I4151:W4151,_XtX!$B$78:$P$92),I4151:W4151)</f>
        <v>0.203746059484649</v>
      </c>
      <c r="Z4151" s="0" t="n">
        <f aca="false">04_回帰ANOVA!$K$19*04_回帰ANOVA!$K$14*SQRT(1+Y4151)</f>
        <v>1.43009810755465</v>
      </c>
      <c r="AA4151" s="0" t="n">
        <f aca="false">X4151-Z4151</f>
        <v>46.2051723602816</v>
      </c>
      <c r="AB4151" s="0" t="n">
        <f aca="false">X4151+Z4151</f>
        <v>49.0653685753909</v>
      </c>
      <c r="AC4151" s="54" t="b">
        <f aca="false">AND(E4151&gt;=01_因子設定!$L$5-0.000000001,E4151&lt;=01_因子設定!$M$5+0.000000001,F4151&gt;=01_因子設定!$L$6-0.000000001,F4151&lt;=01_因子設定!$M$6+0.000000001,G4151&gt;=01_因子設定!$L$7-0.000000001,G4151&lt;=01_因子設定!$M$7+0.000000001,H4151&gt;=01_因子設定!$L$8-0.000000001,H4151&lt;=01_因子設定!$M$8+0.000000001,IF(01_因子設定!$B$20="Box-Behnken",E4151^2+F4151^2+G4151^2+H4151^2&lt;=2+0.000000001,TRUE()))</f>
        <v>1</v>
      </c>
      <c r="AD4151" s="55" t="n">
        <f aca="false">IF(AC4151,IF(01_因子設定!$B$13="最大化",AA4151-01_因子設定!$B$14,IF(01_因子設定!$B$13="最小化",01_因子設定!$B$15-AB4151,MIN(AA4151-01_因子設定!$B$14,01_因子設定!$B$15-AB4151))),-1E+030)</f>
        <v>-0.294827639718442</v>
      </c>
      <c r="AE4151" s="55" t="n">
        <f aca="false">IF(AC4151,IF(01_因子設定!$B$13="最大化",X4151,IF(01_因子設定!$B$13="最小化",-X4151,-ABS(X4151-01_因子設定!$B$16))),-1E+030)</f>
        <v>47.6352704678362</v>
      </c>
      <c r="AF4151" s="55" t="n">
        <f aca="false">AD4151+ROW()*0.000000001</f>
        <v>-0.294823488718442</v>
      </c>
      <c r="AG4151" s="55" t="n">
        <f aca="false">AE4151+ROW()*0.000000001</f>
        <v>47.6352746188362</v>
      </c>
    </row>
    <row r="4152" customFormat="false" ht="15" hidden="false" customHeight="false" outlineLevel="0" collapsed="false">
      <c r="A4152" s="0" t="n">
        <v>5</v>
      </c>
      <c r="B4152" s="0" t="n">
        <v>6</v>
      </c>
      <c r="C4152" s="0" t="n">
        <v>1</v>
      </c>
      <c r="D4152" s="0" t="n">
        <v>7</v>
      </c>
      <c r="E4152" s="0" t="n">
        <f aca="false">-1+A4152*0.25</f>
        <v>0.25</v>
      </c>
      <c r="F4152" s="0" t="n">
        <f aca="false">-1+B4152*0.25</f>
        <v>0.5</v>
      </c>
      <c r="G4152" s="0" t="n">
        <f aca="false">-1+C4152*0.25</f>
        <v>-0.75</v>
      </c>
      <c r="H4152" s="0" t="n">
        <f aca="false">-1+D4152*0.25</f>
        <v>0.75</v>
      </c>
      <c r="I4152" s="0" t="n">
        <f aca="false">1</f>
        <v>1</v>
      </c>
      <c r="J4152" s="0" t="n">
        <f aca="false">E4152</f>
        <v>0.25</v>
      </c>
      <c r="K4152" s="0" t="n">
        <f aca="false">F4152</f>
        <v>0.5</v>
      </c>
      <c r="L4152" s="0" t="n">
        <f aca="false">G4152</f>
        <v>-0.75</v>
      </c>
      <c r="M4152" s="0" t="n">
        <f aca="false">H4152</f>
        <v>0.75</v>
      </c>
      <c r="N4152" s="0" t="n">
        <f aca="false">E4152*F4152</f>
        <v>0.125</v>
      </c>
      <c r="O4152" s="0" t="n">
        <f aca="false">E4152*G4152</f>
        <v>-0.1875</v>
      </c>
      <c r="P4152" s="0" t="n">
        <f aca="false">E4152*H4152</f>
        <v>0.1875</v>
      </c>
      <c r="Q4152" s="0" t="n">
        <f aca="false">F4152*G4152</f>
        <v>-0.375</v>
      </c>
      <c r="R4152" s="0" t="n">
        <f aca="false">F4152*H4152</f>
        <v>0.375</v>
      </c>
      <c r="S4152" s="0" t="n">
        <f aca="false">G4152*H4152</f>
        <v>-0.5625</v>
      </c>
      <c r="T4152" s="0" t="n">
        <f aca="false">E4152*E4152</f>
        <v>0.0625</v>
      </c>
      <c r="U4152" s="0" t="n">
        <f aca="false">F4152*F4152</f>
        <v>0.25</v>
      </c>
      <c r="V4152" s="0" t="n">
        <f aca="false">G4152*G4152</f>
        <v>0.5625</v>
      </c>
      <c r="W4152" s="0" t="n">
        <f aca="false">H4152*H4152</f>
        <v>0.5625</v>
      </c>
      <c r="X4152" s="0" t="n">
        <f aca="false">SUMPRODUCT(I4152:W4152,_XtX!$B$96:$P$96)</f>
        <v>47.5444855628655</v>
      </c>
      <c r="Y4152" s="0" t="n">
        <f aca="false">SUMPRODUCT(MMULT(I4152:W4152,_XtX!$B$78:$P$92),I4152:W4152)</f>
        <v>0.257385610836988</v>
      </c>
      <c r="Z4152" s="0" t="n">
        <f aca="false">04_回帰ANOVA!$K$19*04_回帰ANOVA!$K$14*SQRT(1+Y4152)</f>
        <v>1.46161380324158</v>
      </c>
      <c r="AA4152" s="0" t="n">
        <f aca="false">X4152-Z4152</f>
        <v>46.0828717596239</v>
      </c>
      <c r="AB4152" s="0" t="n">
        <f aca="false">X4152+Z4152</f>
        <v>49.006099366107</v>
      </c>
      <c r="AC4152" s="54" t="b">
        <f aca="false">AND(E4152&gt;=01_因子設定!$L$5-0.000000001,E4152&lt;=01_因子設定!$M$5+0.000000001,F4152&gt;=01_因子設定!$L$6-0.000000001,F4152&lt;=01_因子設定!$M$6+0.000000001,G4152&gt;=01_因子設定!$L$7-0.000000001,G4152&lt;=01_因子設定!$M$7+0.000000001,H4152&gt;=01_因子設定!$L$8-0.000000001,H4152&lt;=01_因子設定!$M$8+0.000000001,IF(01_因子設定!$B$20="Box-Behnken",E4152^2+F4152^2+G4152^2+H4152^2&lt;=2+0.000000001,TRUE()))</f>
        <v>1</v>
      </c>
      <c r="AD4152" s="55" t="n">
        <f aca="false">IF(AC4152,IF(01_因子設定!$B$13="最大化",AA4152-01_因子設定!$B$14,IF(01_因子設定!$B$13="最小化",01_因子設定!$B$15-AB4152,MIN(AA4152-01_因子設定!$B$14,01_因子設定!$B$15-AB4152))),-1E+030)</f>
        <v>-0.417128240376123</v>
      </c>
      <c r="AE4152" s="55" t="n">
        <f aca="false">IF(AC4152,IF(01_因子設定!$B$13="最大化",X4152,IF(01_因子設定!$B$13="最小化",-X4152,-ABS(X4152-01_因子設定!$B$16))),-1E+030)</f>
        <v>47.5444855628655</v>
      </c>
      <c r="AF4152" s="55" t="n">
        <f aca="false">AD4152+ROW()*0.000000001</f>
        <v>-0.417124088376123</v>
      </c>
      <c r="AG4152" s="55" t="n">
        <f aca="false">AE4152+ROW()*0.000000001</f>
        <v>47.5444897148655</v>
      </c>
    </row>
    <row r="4153" customFormat="false" ht="15" hidden="false" customHeight="false" outlineLevel="0" collapsed="false">
      <c r="A4153" s="0" t="n">
        <v>5</v>
      </c>
      <c r="B4153" s="0" t="n">
        <v>6</v>
      </c>
      <c r="C4153" s="0" t="n">
        <v>1</v>
      </c>
      <c r="D4153" s="0" t="n">
        <v>8</v>
      </c>
      <c r="E4153" s="0" t="n">
        <f aca="false">-1+A4153*0.25</f>
        <v>0.25</v>
      </c>
      <c r="F4153" s="0" t="n">
        <f aca="false">-1+B4153*0.25</f>
        <v>0.5</v>
      </c>
      <c r="G4153" s="0" t="n">
        <f aca="false">-1+C4153*0.25</f>
        <v>-0.75</v>
      </c>
      <c r="H4153" s="0" t="n">
        <f aca="false">-1+D4153*0.25</f>
        <v>1</v>
      </c>
      <c r="I4153" s="0" t="n">
        <f aca="false">1</f>
        <v>1</v>
      </c>
      <c r="J4153" s="0" t="n">
        <f aca="false">E4153</f>
        <v>0.25</v>
      </c>
      <c r="K4153" s="0" t="n">
        <f aca="false">F4153</f>
        <v>0.5</v>
      </c>
      <c r="L4153" s="0" t="n">
        <f aca="false">G4153</f>
        <v>-0.75</v>
      </c>
      <c r="M4153" s="0" t="n">
        <f aca="false">H4153</f>
        <v>1</v>
      </c>
      <c r="N4153" s="0" t="n">
        <f aca="false">E4153*F4153</f>
        <v>0.125</v>
      </c>
      <c r="O4153" s="0" t="n">
        <f aca="false">E4153*G4153</f>
        <v>-0.1875</v>
      </c>
      <c r="P4153" s="0" t="n">
        <f aca="false">E4153*H4153</f>
        <v>0.25</v>
      </c>
      <c r="Q4153" s="0" t="n">
        <f aca="false">F4153*G4153</f>
        <v>-0.375</v>
      </c>
      <c r="R4153" s="0" t="n">
        <f aca="false">F4153*H4153</f>
        <v>0.5</v>
      </c>
      <c r="S4153" s="0" t="n">
        <f aca="false">G4153*H4153</f>
        <v>-0.75</v>
      </c>
      <c r="T4153" s="0" t="n">
        <f aca="false">E4153*E4153</f>
        <v>0.0625</v>
      </c>
      <c r="U4153" s="0" t="n">
        <f aca="false">F4153*F4153</f>
        <v>0.25</v>
      </c>
      <c r="V4153" s="0" t="n">
        <f aca="false">G4153*G4153</f>
        <v>0.5625</v>
      </c>
      <c r="W4153" s="0" t="n">
        <f aca="false">H4153*H4153</f>
        <v>1</v>
      </c>
      <c r="X4153" s="0" t="n">
        <f aca="false">SUMPRODUCT(I4153:W4153,_XtX!$B$96:$P$96)</f>
        <v>47.4058936403509</v>
      </c>
      <c r="Y4153" s="0" t="n">
        <f aca="false">SUMPRODUCT(MMULT(I4153:W4153,_XtX!$B$78:$P$92),I4153:W4153)</f>
        <v>0.459125719572369</v>
      </c>
      <c r="Z4153" s="0" t="n">
        <f aca="false">04_回帰ANOVA!$K$19*04_回帰ANOVA!$K$14*SQRT(1+Y4153)</f>
        <v>1.57450755575573</v>
      </c>
      <c r="AA4153" s="0" t="n">
        <f aca="false">X4153-Z4153</f>
        <v>45.8313860845951</v>
      </c>
      <c r="AB4153" s="0" t="n">
        <f aca="false">X4153+Z4153</f>
        <v>48.9804011961066</v>
      </c>
      <c r="AC4153" s="54" t="b">
        <f aca="false">AND(E4153&gt;=01_因子設定!$L$5-0.000000001,E4153&lt;=01_因子設定!$M$5+0.000000001,F4153&gt;=01_因子設定!$L$6-0.000000001,F4153&lt;=01_因子設定!$M$6+0.000000001,G4153&gt;=01_因子設定!$L$7-0.000000001,G4153&lt;=01_因子設定!$M$7+0.000000001,H4153&gt;=01_因子設定!$L$8-0.000000001,H4153&lt;=01_因子設定!$M$8+0.000000001,IF(01_因子設定!$B$20="Box-Behnken",E4153^2+F4153^2+G4153^2+H4153^2&lt;=2+0.000000001,TRUE()))</f>
        <v>1</v>
      </c>
      <c r="AD4153" s="55" t="n">
        <f aca="false">IF(AC4153,IF(01_因子設定!$B$13="最大化",AA4153-01_因子設定!$B$14,IF(01_因子設定!$B$13="最小化",01_因子設定!$B$15-AB4153,MIN(AA4153-01_因子設定!$B$14,01_因子設定!$B$15-AB4153))),-1E+030)</f>
        <v>-0.668613915404876</v>
      </c>
      <c r="AE4153" s="55" t="n">
        <f aca="false">IF(AC4153,IF(01_因子設定!$B$13="最大化",X4153,IF(01_因子設定!$B$13="最小化",-X4153,-ABS(X4153-01_因子設定!$B$16))),-1E+030)</f>
        <v>47.4058936403509</v>
      </c>
      <c r="AF4153" s="55" t="n">
        <f aca="false">AD4153+ROW()*0.000000001</f>
        <v>-0.668609762404876</v>
      </c>
      <c r="AG4153" s="55" t="n">
        <f aca="false">AE4153+ROW()*0.000000001</f>
        <v>47.4058977933509</v>
      </c>
    </row>
    <row r="4154" customFormat="false" ht="15" hidden="false" customHeight="false" outlineLevel="0" collapsed="false">
      <c r="A4154" s="0" t="n">
        <v>5</v>
      </c>
      <c r="B4154" s="0" t="n">
        <v>6</v>
      </c>
      <c r="C4154" s="0" t="n">
        <v>2</v>
      </c>
      <c r="D4154" s="0" t="n">
        <v>0</v>
      </c>
      <c r="E4154" s="0" t="n">
        <f aca="false">-1+A4154*0.25</f>
        <v>0.25</v>
      </c>
      <c r="F4154" s="0" t="n">
        <f aca="false">-1+B4154*0.25</f>
        <v>0.5</v>
      </c>
      <c r="G4154" s="0" t="n">
        <f aca="false">-1+C4154*0.25</f>
        <v>-0.5</v>
      </c>
      <c r="H4154" s="0" t="n">
        <f aca="false">-1+D4154*0.25</f>
        <v>-1</v>
      </c>
      <c r="I4154" s="0" t="n">
        <f aca="false">1</f>
        <v>1</v>
      </c>
      <c r="J4154" s="0" t="n">
        <f aca="false">E4154</f>
        <v>0.25</v>
      </c>
      <c r="K4154" s="0" t="n">
        <f aca="false">F4154</f>
        <v>0.5</v>
      </c>
      <c r="L4154" s="0" t="n">
        <f aca="false">G4154</f>
        <v>-0.5</v>
      </c>
      <c r="M4154" s="0" t="n">
        <f aca="false">H4154</f>
        <v>-1</v>
      </c>
      <c r="N4154" s="0" t="n">
        <f aca="false">E4154*F4154</f>
        <v>0.125</v>
      </c>
      <c r="O4154" s="0" t="n">
        <f aca="false">E4154*G4154</f>
        <v>-0.125</v>
      </c>
      <c r="P4154" s="0" t="n">
        <f aca="false">E4154*H4154</f>
        <v>-0.25</v>
      </c>
      <c r="Q4154" s="0" t="n">
        <f aca="false">F4154*G4154</f>
        <v>-0.25</v>
      </c>
      <c r="R4154" s="0" t="n">
        <f aca="false">F4154*H4154</f>
        <v>-0.5</v>
      </c>
      <c r="S4154" s="0" t="n">
        <f aca="false">G4154*H4154</f>
        <v>0.5</v>
      </c>
      <c r="T4154" s="0" t="n">
        <f aca="false">E4154*E4154</f>
        <v>0.0625</v>
      </c>
      <c r="U4154" s="0" t="n">
        <f aca="false">F4154*F4154</f>
        <v>0.25</v>
      </c>
      <c r="V4154" s="0" t="n">
        <f aca="false">G4154*G4154</f>
        <v>0.25</v>
      </c>
      <c r="W4154" s="0" t="n">
        <f aca="false">H4154*H4154</f>
        <v>1</v>
      </c>
      <c r="X4154" s="0" t="n">
        <f aca="false">SUMPRODUCT(I4154:W4154,_XtX!$B$96:$P$96)</f>
        <v>47.5616959064327</v>
      </c>
      <c r="Y4154" s="0" t="n">
        <f aca="false">SUMPRODUCT(MMULT(I4154:W4154,_XtX!$B$78:$P$92),I4154:W4154)</f>
        <v>0.428122715643275</v>
      </c>
      <c r="Z4154" s="0" t="n">
        <f aca="false">04_回帰ANOVA!$K$19*04_回帰ANOVA!$K$14*SQRT(1+Y4154)</f>
        <v>1.55769044623229</v>
      </c>
      <c r="AA4154" s="0" t="n">
        <f aca="false">X4154-Z4154</f>
        <v>46.0040054602004</v>
      </c>
      <c r="AB4154" s="0" t="n">
        <f aca="false">X4154+Z4154</f>
        <v>49.119386352665</v>
      </c>
      <c r="AC4154" s="54" t="b">
        <f aca="false">AND(E4154&gt;=01_因子設定!$L$5-0.000000001,E4154&lt;=01_因子設定!$M$5+0.000000001,F4154&gt;=01_因子設定!$L$6-0.000000001,F4154&lt;=01_因子設定!$M$6+0.000000001,G4154&gt;=01_因子設定!$L$7-0.000000001,G4154&lt;=01_因子設定!$M$7+0.000000001,H4154&gt;=01_因子設定!$L$8-0.000000001,H4154&lt;=01_因子設定!$M$8+0.000000001,IF(01_因子設定!$B$20="Box-Behnken",E4154^2+F4154^2+G4154^2+H4154^2&lt;=2+0.000000001,TRUE()))</f>
        <v>1</v>
      </c>
      <c r="AD4154" s="55" t="n">
        <f aca="false">IF(AC4154,IF(01_因子設定!$B$13="最大化",AA4154-01_因子設定!$B$14,IF(01_因子設定!$B$13="最小化",01_因子設定!$B$15-AB4154,MIN(AA4154-01_因子設定!$B$14,01_因子設定!$B$15-AB4154))),-1E+030)</f>
        <v>-0.495994539799568</v>
      </c>
      <c r="AE4154" s="55" t="n">
        <f aca="false">IF(AC4154,IF(01_因子設定!$B$13="最大化",X4154,IF(01_因子設定!$B$13="最小化",-X4154,-ABS(X4154-01_因子設定!$B$16))),-1E+030)</f>
        <v>47.5616959064327</v>
      </c>
      <c r="AF4154" s="55" t="n">
        <f aca="false">AD4154+ROW()*0.000000001</f>
        <v>-0.495990385799568</v>
      </c>
      <c r="AG4154" s="55" t="n">
        <f aca="false">AE4154+ROW()*0.000000001</f>
        <v>47.5617000604327</v>
      </c>
    </row>
    <row r="4155" customFormat="false" ht="15" hidden="false" customHeight="false" outlineLevel="0" collapsed="false">
      <c r="A4155" s="0" t="n">
        <v>5</v>
      </c>
      <c r="B4155" s="0" t="n">
        <v>6</v>
      </c>
      <c r="C4155" s="0" t="n">
        <v>2</v>
      </c>
      <c r="D4155" s="0" t="n">
        <v>1</v>
      </c>
      <c r="E4155" s="0" t="n">
        <f aca="false">-1+A4155*0.25</f>
        <v>0.25</v>
      </c>
      <c r="F4155" s="0" t="n">
        <f aca="false">-1+B4155*0.25</f>
        <v>0.5</v>
      </c>
      <c r="G4155" s="0" t="n">
        <f aca="false">-1+C4155*0.25</f>
        <v>-0.5</v>
      </c>
      <c r="H4155" s="0" t="n">
        <f aca="false">-1+D4155*0.25</f>
        <v>-0.75</v>
      </c>
      <c r="I4155" s="0" t="n">
        <f aca="false">1</f>
        <v>1</v>
      </c>
      <c r="J4155" s="0" t="n">
        <f aca="false">E4155</f>
        <v>0.25</v>
      </c>
      <c r="K4155" s="0" t="n">
        <f aca="false">F4155</f>
        <v>0.5</v>
      </c>
      <c r="L4155" s="0" t="n">
        <f aca="false">G4155</f>
        <v>-0.5</v>
      </c>
      <c r="M4155" s="0" t="n">
        <f aca="false">H4155</f>
        <v>-0.75</v>
      </c>
      <c r="N4155" s="0" t="n">
        <f aca="false">E4155*F4155</f>
        <v>0.125</v>
      </c>
      <c r="O4155" s="0" t="n">
        <f aca="false">E4155*G4155</f>
        <v>-0.125</v>
      </c>
      <c r="P4155" s="0" t="n">
        <f aca="false">E4155*H4155</f>
        <v>-0.1875</v>
      </c>
      <c r="Q4155" s="0" t="n">
        <f aca="false">F4155*G4155</f>
        <v>-0.25</v>
      </c>
      <c r="R4155" s="0" t="n">
        <f aca="false">F4155*H4155</f>
        <v>-0.375</v>
      </c>
      <c r="S4155" s="0" t="n">
        <f aca="false">G4155*H4155</f>
        <v>0.375</v>
      </c>
      <c r="T4155" s="0" t="n">
        <f aca="false">E4155*E4155</f>
        <v>0.0625</v>
      </c>
      <c r="U4155" s="0" t="n">
        <f aca="false">F4155*F4155</f>
        <v>0.25</v>
      </c>
      <c r="V4155" s="0" t="n">
        <f aca="false">G4155*G4155</f>
        <v>0.25</v>
      </c>
      <c r="W4155" s="0" t="n">
        <f aca="false">H4155*H4155</f>
        <v>0.5625</v>
      </c>
      <c r="X4155" s="0" t="n">
        <f aca="false">SUMPRODUCT(I4155:W4155,_XtX!$B$96:$P$96)</f>
        <v>47.7757218567251</v>
      </c>
      <c r="Y4155" s="0" t="n">
        <f aca="false">SUMPRODUCT(MMULT(I4155:W4155,_XtX!$B$78:$P$92),I4155:W4155)</f>
        <v>0.203746059484649</v>
      </c>
      <c r="Z4155" s="0" t="n">
        <f aca="false">04_回帰ANOVA!$K$19*04_回帰ANOVA!$K$14*SQRT(1+Y4155)</f>
        <v>1.43009810755465</v>
      </c>
      <c r="AA4155" s="0" t="n">
        <f aca="false">X4155-Z4155</f>
        <v>46.3456237491705</v>
      </c>
      <c r="AB4155" s="0" t="n">
        <f aca="false">X4155+Z4155</f>
        <v>49.2058199642798</v>
      </c>
      <c r="AC4155" s="54" t="b">
        <f aca="false">AND(E4155&gt;=01_因子設定!$L$5-0.000000001,E4155&lt;=01_因子設定!$M$5+0.000000001,F4155&gt;=01_因子設定!$L$6-0.000000001,F4155&lt;=01_因子設定!$M$6+0.000000001,G4155&gt;=01_因子設定!$L$7-0.000000001,G4155&lt;=01_因子設定!$M$7+0.000000001,H4155&gt;=01_因子設定!$L$8-0.000000001,H4155&lt;=01_因子設定!$M$8+0.000000001,IF(01_因子設定!$B$20="Box-Behnken",E4155^2+F4155^2+G4155^2+H4155^2&lt;=2+0.000000001,TRUE()))</f>
        <v>1</v>
      </c>
      <c r="AD4155" s="55" t="n">
        <f aca="false">IF(AC4155,IF(01_因子設定!$B$13="最大化",AA4155-01_因子設定!$B$14,IF(01_因子設定!$B$13="最小化",01_因子設定!$B$15-AB4155,MIN(AA4155-01_因子設定!$B$14,01_因子設定!$B$15-AB4155))),-1E+030)</f>
        <v>-0.154376250829543</v>
      </c>
      <c r="AE4155" s="55" t="n">
        <f aca="false">IF(AC4155,IF(01_因子設定!$B$13="最大化",X4155,IF(01_因子設定!$B$13="最小化",-X4155,-ABS(X4155-01_因子設定!$B$16))),-1E+030)</f>
        <v>47.7757218567251</v>
      </c>
      <c r="AF4155" s="55" t="n">
        <f aca="false">AD4155+ROW()*0.000000001</f>
        <v>-0.154372095829543</v>
      </c>
      <c r="AG4155" s="55" t="n">
        <f aca="false">AE4155+ROW()*0.000000001</f>
        <v>47.7757260117251</v>
      </c>
    </row>
    <row r="4156" customFormat="false" ht="15" hidden="false" customHeight="false" outlineLevel="0" collapsed="false">
      <c r="A4156" s="0" t="n">
        <v>5</v>
      </c>
      <c r="B4156" s="0" t="n">
        <v>6</v>
      </c>
      <c r="C4156" s="0" t="n">
        <v>2</v>
      </c>
      <c r="D4156" s="0" t="n">
        <v>2</v>
      </c>
      <c r="E4156" s="0" t="n">
        <f aca="false">-1+A4156*0.25</f>
        <v>0.25</v>
      </c>
      <c r="F4156" s="0" t="n">
        <f aca="false">-1+B4156*0.25</f>
        <v>0.5</v>
      </c>
      <c r="G4156" s="0" t="n">
        <f aca="false">-1+C4156*0.25</f>
        <v>-0.5</v>
      </c>
      <c r="H4156" s="0" t="n">
        <f aca="false">-1+D4156*0.25</f>
        <v>-0.5</v>
      </c>
      <c r="I4156" s="0" t="n">
        <f aca="false">1</f>
        <v>1</v>
      </c>
      <c r="J4156" s="0" t="n">
        <f aca="false">E4156</f>
        <v>0.25</v>
      </c>
      <c r="K4156" s="0" t="n">
        <f aca="false">F4156</f>
        <v>0.5</v>
      </c>
      <c r="L4156" s="0" t="n">
        <f aca="false">G4156</f>
        <v>-0.5</v>
      </c>
      <c r="M4156" s="0" t="n">
        <f aca="false">H4156</f>
        <v>-0.5</v>
      </c>
      <c r="N4156" s="0" t="n">
        <f aca="false">E4156*F4156</f>
        <v>0.125</v>
      </c>
      <c r="O4156" s="0" t="n">
        <f aca="false">E4156*G4156</f>
        <v>-0.125</v>
      </c>
      <c r="P4156" s="0" t="n">
        <f aca="false">E4156*H4156</f>
        <v>-0.125</v>
      </c>
      <c r="Q4156" s="0" t="n">
        <f aca="false">F4156*G4156</f>
        <v>-0.25</v>
      </c>
      <c r="R4156" s="0" t="n">
        <f aca="false">F4156*H4156</f>
        <v>-0.25</v>
      </c>
      <c r="S4156" s="0" t="n">
        <f aca="false">G4156*H4156</f>
        <v>0.25</v>
      </c>
      <c r="T4156" s="0" t="n">
        <f aca="false">E4156*E4156</f>
        <v>0.0625</v>
      </c>
      <c r="U4156" s="0" t="n">
        <f aca="false">F4156*F4156</f>
        <v>0.25</v>
      </c>
      <c r="V4156" s="0" t="n">
        <f aca="false">G4156*G4156</f>
        <v>0.25</v>
      </c>
      <c r="W4156" s="0" t="n">
        <f aca="false">H4156*H4156</f>
        <v>0.25</v>
      </c>
      <c r="X4156" s="0" t="n">
        <f aca="false">SUMPRODUCT(I4156:W4156,_XtX!$B$96:$P$96)</f>
        <v>47.9419407894736</v>
      </c>
      <c r="Y4156" s="0" t="n">
        <f aca="false">SUMPRODUCT(MMULT(I4156:W4156,_XtX!$B$78:$P$92),I4156:W4156)</f>
        <v>0.133937545687135</v>
      </c>
      <c r="Z4156" s="0" t="n">
        <f aca="false">04_回帰ANOVA!$K$19*04_回帰ANOVA!$K$14*SQRT(1+Y4156)</f>
        <v>1.38801116780825</v>
      </c>
      <c r="AA4156" s="0" t="n">
        <f aca="false">X4156-Z4156</f>
        <v>46.5539296216654</v>
      </c>
      <c r="AB4156" s="0" t="n">
        <f aca="false">X4156+Z4156</f>
        <v>49.3299519572819</v>
      </c>
      <c r="AC4156" s="54" t="b">
        <f aca="false">AND(E4156&gt;=01_因子設定!$L$5-0.000000001,E4156&lt;=01_因子設定!$M$5+0.000000001,F4156&gt;=01_因子設定!$L$6-0.000000001,F4156&lt;=01_因子設定!$M$6+0.000000001,G4156&gt;=01_因子設定!$L$7-0.000000001,G4156&lt;=01_因子設定!$M$7+0.000000001,H4156&gt;=01_因子設定!$L$8-0.000000001,H4156&lt;=01_因子設定!$M$8+0.000000001,IF(01_因子設定!$B$20="Box-Behnken",E4156^2+F4156^2+G4156^2+H4156^2&lt;=2+0.000000001,TRUE()))</f>
        <v>1</v>
      </c>
      <c r="AD4156" s="55" t="n">
        <f aca="false">IF(AC4156,IF(01_因子設定!$B$13="最大化",AA4156-01_因子設定!$B$14,IF(01_因子設定!$B$13="最小化",01_因子設定!$B$15-AB4156,MIN(AA4156-01_因子設定!$B$14,01_因子設定!$B$15-AB4156))),-1E+030)</f>
        <v>0.0539296216653824</v>
      </c>
      <c r="AE4156" s="55" t="n">
        <f aca="false">IF(AC4156,IF(01_因子設定!$B$13="最大化",X4156,IF(01_因子設定!$B$13="最小化",-X4156,-ABS(X4156-01_因子設定!$B$16))),-1E+030)</f>
        <v>47.9419407894736</v>
      </c>
      <c r="AF4156" s="55" t="n">
        <f aca="false">AD4156+ROW()*0.000000001</f>
        <v>0.0539337776653824</v>
      </c>
      <c r="AG4156" s="55" t="n">
        <f aca="false">AE4156+ROW()*0.000000001</f>
        <v>47.9419449454736</v>
      </c>
    </row>
    <row r="4157" customFormat="false" ht="15" hidden="false" customHeight="false" outlineLevel="0" collapsed="false">
      <c r="A4157" s="0" t="n">
        <v>5</v>
      </c>
      <c r="B4157" s="0" t="n">
        <v>6</v>
      </c>
      <c r="C4157" s="0" t="n">
        <v>2</v>
      </c>
      <c r="D4157" s="0" t="n">
        <v>3</v>
      </c>
      <c r="E4157" s="0" t="n">
        <f aca="false">-1+A4157*0.25</f>
        <v>0.25</v>
      </c>
      <c r="F4157" s="0" t="n">
        <f aca="false">-1+B4157*0.25</f>
        <v>0.5</v>
      </c>
      <c r="G4157" s="0" t="n">
        <f aca="false">-1+C4157*0.25</f>
        <v>-0.5</v>
      </c>
      <c r="H4157" s="0" t="n">
        <f aca="false">-1+D4157*0.25</f>
        <v>-0.25</v>
      </c>
      <c r="I4157" s="0" t="n">
        <f aca="false">1</f>
        <v>1</v>
      </c>
      <c r="J4157" s="0" t="n">
        <f aca="false">E4157</f>
        <v>0.25</v>
      </c>
      <c r="K4157" s="0" t="n">
        <f aca="false">F4157</f>
        <v>0.5</v>
      </c>
      <c r="L4157" s="0" t="n">
        <f aca="false">G4157</f>
        <v>-0.5</v>
      </c>
      <c r="M4157" s="0" t="n">
        <f aca="false">H4157</f>
        <v>-0.25</v>
      </c>
      <c r="N4157" s="0" t="n">
        <f aca="false">E4157*F4157</f>
        <v>0.125</v>
      </c>
      <c r="O4157" s="0" t="n">
        <f aca="false">E4157*G4157</f>
        <v>-0.125</v>
      </c>
      <c r="P4157" s="0" t="n">
        <f aca="false">E4157*H4157</f>
        <v>-0.0625</v>
      </c>
      <c r="Q4157" s="0" t="n">
        <f aca="false">F4157*G4157</f>
        <v>-0.25</v>
      </c>
      <c r="R4157" s="0" t="n">
        <f aca="false">F4157*H4157</f>
        <v>-0.125</v>
      </c>
      <c r="S4157" s="0" t="n">
        <f aca="false">G4157*H4157</f>
        <v>0.125</v>
      </c>
      <c r="T4157" s="0" t="n">
        <f aca="false">E4157*E4157</f>
        <v>0.0625</v>
      </c>
      <c r="U4157" s="0" t="n">
        <f aca="false">F4157*F4157</f>
        <v>0.25</v>
      </c>
      <c r="V4157" s="0" t="n">
        <f aca="false">G4157*G4157</f>
        <v>0.25</v>
      </c>
      <c r="W4157" s="0" t="n">
        <f aca="false">H4157*H4157</f>
        <v>0.0625</v>
      </c>
      <c r="X4157" s="0" t="n">
        <f aca="false">SUMPRODUCT(I4157:W4157,_XtX!$B$96:$P$96)</f>
        <v>48.0603527046783</v>
      </c>
      <c r="Y4157" s="0" t="n">
        <f aca="false">SUMPRODUCT(MMULT(I4157:W4157,_XtX!$B$78:$P$92),I4157:W4157)</f>
        <v>0.128236647934942</v>
      </c>
      <c r="Z4157" s="0" t="n">
        <f aca="false">04_回帰ANOVA!$K$19*04_回帰ANOVA!$K$14*SQRT(1+Y4157)</f>
        <v>1.38451764188989</v>
      </c>
      <c r="AA4157" s="0" t="n">
        <f aca="false">X4157-Z4157</f>
        <v>46.6758350627884</v>
      </c>
      <c r="AB4157" s="0" t="n">
        <f aca="false">X4157+Z4157</f>
        <v>49.4448703465682</v>
      </c>
      <c r="AC4157" s="54" t="b">
        <f aca="false">AND(E4157&gt;=01_因子設定!$L$5-0.000000001,E4157&lt;=01_因子設定!$M$5+0.000000001,F4157&gt;=01_因子設定!$L$6-0.000000001,F4157&lt;=01_因子設定!$M$6+0.000000001,G4157&gt;=01_因子設定!$L$7-0.000000001,G4157&lt;=01_因子設定!$M$7+0.000000001,H4157&gt;=01_因子設定!$L$8-0.000000001,H4157&lt;=01_因子設定!$M$8+0.000000001,IF(01_因子設定!$B$20="Box-Behnken",E4157^2+F4157^2+G4157^2+H4157^2&lt;=2+0.000000001,TRUE()))</f>
        <v>1</v>
      </c>
      <c r="AD4157" s="55" t="n">
        <f aca="false">IF(AC4157,IF(01_因子設定!$B$13="最大化",AA4157-01_因子設定!$B$14,IF(01_因子設定!$B$13="最小化",01_因子設定!$B$15-AB4157,MIN(AA4157-01_因子設定!$B$14,01_因子設定!$B$15-AB4157))),-1E+030)</f>
        <v>0.175835062788423</v>
      </c>
      <c r="AE4157" s="55" t="n">
        <f aca="false">IF(AC4157,IF(01_因子設定!$B$13="最大化",X4157,IF(01_因子設定!$B$13="最小化",-X4157,-ABS(X4157-01_因子設定!$B$16))),-1E+030)</f>
        <v>48.0603527046783</v>
      </c>
      <c r="AF4157" s="55" t="n">
        <f aca="false">AD4157+ROW()*0.000000001</f>
        <v>0.175839219788423</v>
      </c>
      <c r="AG4157" s="55" t="n">
        <f aca="false">AE4157+ROW()*0.000000001</f>
        <v>48.0603568616783</v>
      </c>
    </row>
    <row r="4158" customFormat="false" ht="15" hidden="false" customHeight="false" outlineLevel="0" collapsed="false">
      <c r="A4158" s="0" t="n">
        <v>5</v>
      </c>
      <c r="B4158" s="0" t="n">
        <v>6</v>
      </c>
      <c r="C4158" s="0" t="n">
        <v>2</v>
      </c>
      <c r="D4158" s="0" t="n">
        <v>4</v>
      </c>
      <c r="E4158" s="0" t="n">
        <f aca="false">-1+A4158*0.25</f>
        <v>0.25</v>
      </c>
      <c r="F4158" s="0" t="n">
        <f aca="false">-1+B4158*0.25</f>
        <v>0.5</v>
      </c>
      <c r="G4158" s="0" t="n">
        <f aca="false">-1+C4158*0.25</f>
        <v>-0.5</v>
      </c>
      <c r="H4158" s="0" t="n">
        <f aca="false">-1+D4158*0.25</f>
        <v>0</v>
      </c>
      <c r="I4158" s="0" t="n">
        <f aca="false">1</f>
        <v>1</v>
      </c>
      <c r="J4158" s="0" t="n">
        <f aca="false">E4158</f>
        <v>0.25</v>
      </c>
      <c r="K4158" s="0" t="n">
        <f aca="false">F4158</f>
        <v>0.5</v>
      </c>
      <c r="L4158" s="0" t="n">
        <f aca="false">G4158</f>
        <v>-0.5</v>
      </c>
      <c r="M4158" s="0" t="n">
        <f aca="false">H4158</f>
        <v>0</v>
      </c>
      <c r="N4158" s="0" t="n">
        <f aca="false">E4158*F4158</f>
        <v>0.125</v>
      </c>
      <c r="O4158" s="0" t="n">
        <f aca="false">E4158*G4158</f>
        <v>-0.125</v>
      </c>
      <c r="P4158" s="0" t="n">
        <f aca="false">E4158*H4158</f>
        <v>0</v>
      </c>
      <c r="Q4158" s="0" t="n">
        <f aca="false">F4158*G4158</f>
        <v>-0.25</v>
      </c>
      <c r="R4158" s="0" t="n">
        <f aca="false">F4158*H4158</f>
        <v>0</v>
      </c>
      <c r="S4158" s="0" t="n">
        <f aca="false">G4158*H4158</f>
        <v>-0</v>
      </c>
      <c r="T4158" s="0" t="n">
        <f aca="false">E4158*E4158</f>
        <v>0.0625</v>
      </c>
      <c r="U4158" s="0" t="n">
        <f aca="false">F4158*F4158</f>
        <v>0.25</v>
      </c>
      <c r="V4158" s="0" t="n">
        <f aca="false">G4158*G4158</f>
        <v>0.25</v>
      </c>
      <c r="W4158" s="0" t="n">
        <f aca="false">H4158*H4158</f>
        <v>0</v>
      </c>
      <c r="X4158" s="0" t="n">
        <f aca="false">SUMPRODUCT(I4158:W4158,_XtX!$B$96:$P$96)</f>
        <v>48.1309576023391</v>
      </c>
      <c r="Y4158" s="0" t="n">
        <f aca="false">SUMPRODUCT(MMULT(I4158:W4158,_XtX!$B$78:$P$92),I4158:W4158)</f>
        <v>0.132367050438597</v>
      </c>
      <c r="Z4158" s="0" t="n">
        <f aca="false">04_回帰ANOVA!$K$19*04_回帰ANOVA!$K$14*SQRT(1+Y4158)</f>
        <v>1.38704964208329</v>
      </c>
      <c r="AA4158" s="0" t="n">
        <f aca="false">X4158-Z4158</f>
        <v>46.7439079602558</v>
      </c>
      <c r="AB4158" s="0" t="n">
        <f aca="false">X4158+Z4158</f>
        <v>49.5180072444224</v>
      </c>
      <c r="AC4158" s="54" t="b">
        <f aca="false">AND(E4158&gt;=01_因子設定!$L$5-0.000000001,E4158&lt;=01_因子設定!$M$5+0.000000001,F4158&gt;=01_因子設定!$L$6-0.000000001,F4158&lt;=01_因子設定!$M$6+0.000000001,G4158&gt;=01_因子設定!$L$7-0.000000001,G4158&lt;=01_因子設定!$M$7+0.000000001,H4158&gt;=01_因子設定!$L$8-0.000000001,H4158&lt;=01_因子設定!$M$8+0.000000001,IF(01_因子設定!$B$20="Box-Behnken",E4158^2+F4158^2+G4158^2+H4158^2&lt;=2+0.000000001,TRUE()))</f>
        <v>1</v>
      </c>
      <c r="AD4158" s="55" t="n">
        <f aca="false">IF(AC4158,IF(01_因子設定!$B$13="最大化",AA4158-01_因子設定!$B$14,IF(01_因子設定!$B$13="最小化",01_因子設定!$B$15-AB4158,MIN(AA4158-01_因子設定!$B$14,01_因子設定!$B$15-AB4158))),-1E+030)</f>
        <v>0.243907960255832</v>
      </c>
      <c r="AE4158" s="55" t="n">
        <f aca="false">IF(AC4158,IF(01_因子設定!$B$13="最大化",X4158,IF(01_因子設定!$B$13="最小化",-X4158,-ABS(X4158-01_因子設定!$B$16))),-1E+030)</f>
        <v>48.1309576023391</v>
      </c>
      <c r="AF4158" s="55" t="n">
        <f aca="false">AD4158+ROW()*0.000000001</f>
        <v>0.243912118255832</v>
      </c>
      <c r="AG4158" s="55" t="n">
        <f aca="false">AE4158+ROW()*0.000000001</f>
        <v>48.1309617603391</v>
      </c>
    </row>
    <row r="4159" customFormat="false" ht="15" hidden="false" customHeight="false" outlineLevel="0" collapsed="false">
      <c r="A4159" s="0" t="n">
        <v>5</v>
      </c>
      <c r="B4159" s="0" t="n">
        <v>6</v>
      </c>
      <c r="C4159" s="0" t="n">
        <v>2</v>
      </c>
      <c r="D4159" s="0" t="n">
        <v>5</v>
      </c>
      <c r="E4159" s="0" t="n">
        <f aca="false">-1+A4159*0.25</f>
        <v>0.25</v>
      </c>
      <c r="F4159" s="0" t="n">
        <f aca="false">-1+B4159*0.25</f>
        <v>0.5</v>
      </c>
      <c r="G4159" s="0" t="n">
        <f aca="false">-1+C4159*0.25</f>
        <v>-0.5</v>
      </c>
      <c r="H4159" s="0" t="n">
        <f aca="false">-1+D4159*0.25</f>
        <v>0.25</v>
      </c>
      <c r="I4159" s="0" t="n">
        <f aca="false">1</f>
        <v>1</v>
      </c>
      <c r="J4159" s="0" t="n">
        <f aca="false">E4159</f>
        <v>0.25</v>
      </c>
      <c r="K4159" s="0" t="n">
        <f aca="false">F4159</f>
        <v>0.5</v>
      </c>
      <c r="L4159" s="0" t="n">
        <f aca="false">G4159</f>
        <v>-0.5</v>
      </c>
      <c r="M4159" s="0" t="n">
        <f aca="false">H4159</f>
        <v>0.25</v>
      </c>
      <c r="N4159" s="0" t="n">
        <f aca="false">E4159*F4159</f>
        <v>0.125</v>
      </c>
      <c r="O4159" s="0" t="n">
        <f aca="false">E4159*G4159</f>
        <v>-0.125</v>
      </c>
      <c r="P4159" s="0" t="n">
        <f aca="false">E4159*H4159</f>
        <v>0.0625</v>
      </c>
      <c r="Q4159" s="0" t="n">
        <f aca="false">F4159*G4159</f>
        <v>-0.25</v>
      </c>
      <c r="R4159" s="0" t="n">
        <f aca="false">F4159*H4159</f>
        <v>0.125</v>
      </c>
      <c r="S4159" s="0" t="n">
        <f aca="false">G4159*H4159</f>
        <v>-0.125</v>
      </c>
      <c r="T4159" s="0" t="n">
        <f aca="false">E4159*E4159</f>
        <v>0.0625</v>
      </c>
      <c r="U4159" s="0" t="n">
        <f aca="false">F4159*F4159</f>
        <v>0.25</v>
      </c>
      <c r="V4159" s="0" t="n">
        <f aca="false">G4159*G4159</f>
        <v>0.25</v>
      </c>
      <c r="W4159" s="0" t="n">
        <f aca="false">H4159*H4159</f>
        <v>0.0625</v>
      </c>
      <c r="X4159" s="0" t="n">
        <f aca="false">SUMPRODUCT(I4159:W4159,_XtX!$B$96:$P$96)</f>
        <v>48.1537554824561</v>
      </c>
      <c r="Y4159" s="0" t="n">
        <f aca="false">SUMPRODUCT(MMULT(I4159:W4159,_XtX!$B$78:$P$92),I4159:W4159)</f>
        <v>0.128236647934942</v>
      </c>
      <c r="Z4159" s="0" t="n">
        <f aca="false">04_回帰ANOVA!$K$19*04_回帰ANOVA!$K$14*SQRT(1+Y4159)</f>
        <v>1.38451764188989</v>
      </c>
      <c r="AA4159" s="0" t="n">
        <f aca="false">X4159-Z4159</f>
        <v>46.7692378405662</v>
      </c>
      <c r="AB4159" s="0" t="n">
        <f aca="false">X4159+Z4159</f>
        <v>49.538273124346</v>
      </c>
      <c r="AC4159" s="54" t="b">
        <f aca="false">AND(E4159&gt;=01_因子設定!$L$5-0.000000001,E4159&lt;=01_因子設定!$M$5+0.000000001,F4159&gt;=01_因子設定!$L$6-0.000000001,F4159&lt;=01_因子設定!$M$6+0.000000001,G4159&gt;=01_因子設定!$L$7-0.000000001,G4159&lt;=01_因子設定!$M$7+0.000000001,H4159&gt;=01_因子設定!$L$8-0.000000001,H4159&lt;=01_因子設定!$M$8+0.000000001,IF(01_因子設定!$B$20="Box-Behnken",E4159^2+F4159^2+G4159^2+H4159^2&lt;=2+0.000000001,TRUE()))</f>
        <v>1</v>
      </c>
      <c r="AD4159" s="55" t="n">
        <f aca="false">IF(AC4159,IF(01_因子設定!$B$13="最大化",AA4159-01_因子設定!$B$14,IF(01_因子設定!$B$13="最小化",01_因子設定!$B$15-AB4159,MIN(AA4159-01_因子設定!$B$14,01_因子設定!$B$15-AB4159))),-1E+030)</f>
        <v>0.269237840566198</v>
      </c>
      <c r="AE4159" s="55" t="n">
        <f aca="false">IF(AC4159,IF(01_因子設定!$B$13="最大化",X4159,IF(01_因子設定!$B$13="最小化",-X4159,-ABS(X4159-01_因子設定!$B$16))),-1E+030)</f>
        <v>48.1537554824561</v>
      </c>
      <c r="AF4159" s="55" t="n">
        <f aca="false">AD4159+ROW()*0.000000001</f>
        <v>0.269241999566198</v>
      </c>
      <c r="AG4159" s="55" t="n">
        <f aca="false">AE4159+ROW()*0.000000001</f>
        <v>48.1537596414561</v>
      </c>
    </row>
    <row r="4160" customFormat="false" ht="15" hidden="false" customHeight="false" outlineLevel="0" collapsed="false">
      <c r="A4160" s="0" t="n">
        <v>5</v>
      </c>
      <c r="B4160" s="0" t="n">
        <v>6</v>
      </c>
      <c r="C4160" s="0" t="n">
        <v>2</v>
      </c>
      <c r="D4160" s="0" t="n">
        <v>6</v>
      </c>
      <c r="E4160" s="0" t="n">
        <f aca="false">-1+A4160*0.25</f>
        <v>0.25</v>
      </c>
      <c r="F4160" s="0" t="n">
        <f aca="false">-1+B4160*0.25</f>
        <v>0.5</v>
      </c>
      <c r="G4160" s="0" t="n">
        <f aca="false">-1+C4160*0.25</f>
        <v>-0.5</v>
      </c>
      <c r="H4160" s="0" t="n">
        <f aca="false">-1+D4160*0.25</f>
        <v>0.5</v>
      </c>
      <c r="I4160" s="0" t="n">
        <f aca="false">1</f>
        <v>1</v>
      </c>
      <c r="J4160" s="0" t="n">
        <f aca="false">E4160</f>
        <v>0.25</v>
      </c>
      <c r="K4160" s="0" t="n">
        <f aca="false">F4160</f>
        <v>0.5</v>
      </c>
      <c r="L4160" s="0" t="n">
        <f aca="false">G4160</f>
        <v>-0.5</v>
      </c>
      <c r="M4160" s="0" t="n">
        <f aca="false">H4160</f>
        <v>0.5</v>
      </c>
      <c r="N4160" s="0" t="n">
        <f aca="false">E4160*F4160</f>
        <v>0.125</v>
      </c>
      <c r="O4160" s="0" t="n">
        <f aca="false">E4160*G4160</f>
        <v>-0.125</v>
      </c>
      <c r="P4160" s="0" t="n">
        <f aca="false">E4160*H4160</f>
        <v>0.125</v>
      </c>
      <c r="Q4160" s="0" t="n">
        <f aca="false">F4160*G4160</f>
        <v>-0.25</v>
      </c>
      <c r="R4160" s="0" t="n">
        <f aca="false">F4160*H4160</f>
        <v>0.25</v>
      </c>
      <c r="S4160" s="0" t="n">
        <f aca="false">G4160*H4160</f>
        <v>-0.25</v>
      </c>
      <c r="T4160" s="0" t="n">
        <f aca="false">E4160*E4160</f>
        <v>0.0625</v>
      </c>
      <c r="U4160" s="0" t="n">
        <f aca="false">F4160*F4160</f>
        <v>0.25</v>
      </c>
      <c r="V4160" s="0" t="n">
        <f aca="false">G4160*G4160</f>
        <v>0.25</v>
      </c>
      <c r="W4160" s="0" t="n">
        <f aca="false">H4160*H4160</f>
        <v>0.25</v>
      </c>
      <c r="X4160" s="0" t="n">
        <f aca="false">SUMPRODUCT(I4160:W4160,_XtX!$B$96:$P$96)</f>
        <v>48.1287463450292</v>
      </c>
      <c r="Y4160" s="0" t="n">
        <f aca="false">SUMPRODUCT(MMULT(I4160:W4160,_XtX!$B$78:$P$92),I4160:W4160)</f>
        <v>0.133937545687135</v>
      </c>
      <c r="Z4160" s="0" t="n">
        <f aca="false">04_回帰ANOVA!$K$19*04_回帰ANOVA!$K$14*SQRT(1+Y4160)</f>
        <v>1.38801116780825</v>
      </c>
      <c r="AA4160" s="0" t="n">
        <f aca="false">X4160-Z4160</f>
        <v>46.7407351772209</v>
      </c>
      <c r="AB4160" s="0" t="n">
        <f aca="false">X4160+Z4160</f>
        <v>49.5167575128374</v>
      </c>
      <c r="AC4160" s="54" t="b">
        <f aca="false">AND(E4160&gt;=01_因子設定!$L$5-0.000000001,E4160&lt;=01_因子設定!$M$5+0.000000001,F4160&gt;=01_因子設定!$L$6-0.000000001,F4160&lt;=01_因子設定!$M$6+0.000000001,G4160&gt;=01_因子設定!$L$7-0.000000001,G4160&lt;=01_因子設定!$M$7+0.000000001,H4160&gt;=01_因子設定!$L$8-0.000000001,H4160&lt;=01_因子設定!$M$8+0.000000001,IF(01_因子設定!$B$20="Box-Behnken",E4160^2+F4160^2+G4160^2+H4160^2&lt;=2+0.000000001,TRUE()))</f>
        <v>1</v>
      </c>
      <c r="AD4160" s="55" t="n">
        <f aca="false">IF(AC4160,IF(01_因子設定!$B$13="最大化",AA4160-01_因子設定!$B$14,IF(01_因子設定!$B$13="最小化",01_因子設定!$B$15-AB4160,MIN(AA4160-01_因子設定!$B$14,01_因子設定!$B$15-AB4160))),-1E+030)</f>
        <v>0.240735177220934</v>
      </c>
      <c r="AE4160" s="55" t="n">
        <f aca="false">IF(AC4160,IF(01_因子設定!$B$13="最大化",X4160,IF(01_因子設定!$B$13="最小化",-X4160,-ABS(X4160-01_因子設定!$B$16))),-1E+030)</f>
        <v>48.1287463450292</v>
      </c>
      <c r="AF4160" s="55" t="n">
        <f aca="false">AD4160+ROW()*0.000000001</f>
        <v>0.240739337220934</v>
      </c>
      <c r="AG4160" s="55" t="n">
        <f aca="false">AE4160+ROW()*0.000000001</f>
        <v>48.1287505050292</v>
      </c>
    </row>
    <row r="4161" customFormat="false" ht="15" hidden="false" customHeight="false" outlineLevel="0" collapsed="false">
      <c r="A4161" s="0" t="n">
        <v>5</v>
      </c>
      <c r="B4161" s="0" t="n">
        <v>6</v>
      </c>
      <c r="C4161" s="0" t="n">
        <v>2</v>
      </c>
      <c r="D4161" s="0" t="n">
        <v>7</v>
      </c>
      <c r="E4161" s="0" t="n">
        <f aca="false">-1+A4161*0.25</f>
        <v>0.25</v>
      </c>
      <c r="F4161" s="0" t="n">
        <f aca="false">-1+B4161*0.25</f>
        <v>0.5</v>
      </c>
      <c r="G4161" s="0" t="n">
        <f aca="false">-1+C4161*0.25</f>
        <v>-0.5</v>
      </c>
      <c r="H4161" s="0" t="n">
        <f aca="false">-1+D4161*0.25</f>
        <v>0.75</v>
      </c>
      <c r="I4161" s="0" t="n">
        <f aca="false">1</f>
        <v>1</v>
      </c>
      <c r="J4161" s="0" t="n">
        <f aca="false">E4161</f>
        <v>0.25</v>
      </c>
      <c r="K4161" s="0" t="n">
        <f aca="false">F4161</f>
        <v>0.5</v>
      </c>
      <c r="L4161" s="0" t="n">
        <f aca="false">G4161</f>
        <v>-0.5</v>
      </c>
      <c r="M4161" s="0" t="n">
        <f aca="false">H4161</f>
        <v>0.75</v>
      </c>
      <c r="N4161" s="0" t="n">
        <f aca="false">E4161*F4161</f>
        <v>0.125</v>
      </c>
      <c r="O4161" s="0" t="n">
        <f aca="false">E4161*G4161</f>
        <v>-0.125</v>
      </c>
      <c r="P4161" s="0" t="n">
        <f aca="false">E4161*H4161</f>
        <v>0.1875</v>
      </c>
      <c r="Q4161" s="0" t="n">
        <f aca="false">F4161*G4161</f>
        <v>-0.25</v>
      </c>
      <c r="R4161" s="0" t="n">
        <f aca="false">F4161*H4161</f>
        <v>0.375</v>
      </c>
      <c r="S4161" s="0" t="n">
        <f aca="false">G4161*H4161</f>
        <v>-0.375</v>
      </c>
      <c r="T4161" s="0" t="n">
        <f aca="false">E4161*E4161</f>
        <v>0.0625</v>
      </c>
      <c r="U4161" s="0" t="n">
        <f aca="false">F4161*F4161</f>
        <v>0.25</v>
      </c>
      <c r="V4161" s="0" t="n">
        <f aca="false">G4161*G4161</f>
        <v>0.25</v>
      </c>
      <c r="W4161" s="0" t="n">
        <f aca="false">H4161*H4161</f>
        <v>0.5625</v>
      </c>
      <c r="X4161" s="0" t="n">
        <f aca="false">SUMPRODUCT(I4161:W4161,_XtX!$B$96:$P$96)</f>
        <v>48.0559301900584</v>
      </c>
      <c r="Y4161" s="0" t="n">
        <f aca="false">SUMPRODUCT(MMULT(I4161:W4161,_XtX!$B$78:$P$92),I4161:W4161)</f>
        <v>0.203746059484649</v>
      </c>
      <c r="Z4161" s="0" t="n">
        <f aca="false">04_回帰ANOVA!$K$19*04_回帰ANOVA!$K$14*SQRT(1+Y4161)</f>
        <v>1.43009810755465</v>
      </c>
      <c r="AA4161" s="0" t="n">
        <f aca="false">X4161-Z4161</f>
        <v>46.6258320825038</v>
      </c>
      <c r="AB4161" s="0" t="n">
        <f aca="false">X4161+Z4161</f>
        <v>49.4860282976131</v>
      </c>
      <c r="AC4161" s="54" t="b">
        <f aca="false">AND(E4161&gt;=01_因子設定!$L$5-0.000000001,E4161&lt;=01_因子設定!$M$5+0.000000001,F4161&gt;=01_因子設定!$L$6-0.000000001,F4161&lt;=01_因子設定!$M$6+0.000000001,G4161&gt;=01_因子設定!$L$7-0.000000001,G4161&lt;=01_因子設定!$M$7+0.000000001,H4161&gt;=01_因子設定!$L$8-0.000000001,H4161&lt;=01_因子設定!$M$8+0.000000001,IF(01_因子設定!$B$20="Box-Behnken",E4161^2+F4161^2+G4161^2+H4161^2&lt;=2+0.000000001,TRUE()))</f>
        <v>1</v>
      </c>
      <c r="AD4161" s="55" t="n">
        <f aca="false">IF(AC4161,IF(01_因子設定!$B$13="最大化",AA4161-01_因子設定!$B$14,IF(01_因子設定!$B$13="最小化",01_因子設定!$B$15-AB4161,MIN(AA4161-01_因子設定!$B$14,01_因子設定!$B$15-AB4161))),-1E+030)</f>
        <v>0.125832082503791</v>
      </c>
      <c r="AE4161" s="55" t="n">
        <f aca="false">IF(AC4161,IF(01_因子設定!$B$13="最大化",X4161,IF(01_因子設定!$B$13="最小化",-X4161,-ABS(X4161-01_因子設定!$B$16))),-1E+030)</f>
        <v>48.0559301900584</v>
      </c>
      <c r="AF4161" s="55" t="n">
        <f aca="false">AD4161+ROW()*0.000000001</f>
        <v>0.125836243503791</v>
      </c>
      <c r="AG4161" s="55" t="n">
        <f aca="false">AE4161+ROW()*0.000000001</f>
        <v>48.0559343510584</v>
      </c>
    </row>
    <row r="4162" customFormat="false" ht="15" hidden="false" customHeight="false" outlineLevel="0" collapsed="false">
      <c r="A4162" s="0" t="n">
        <v>5</v>
      </c>
      <c r="B4162" s="0" t="n">
        <v>6</v>
      </c>
      <c r="C4162" s="0" t="n">
        <v>2</v>
      </c>
      <c r="D4162" s="0" t="n">
        <v>8</v>
      </c>
      <c r="E4162" s="0" t="n">
        <f aca="false">-1+A4162*0.25</f>
        <v>0.25</v>
      </c>
      <c r="F4162" s="0" t="n">
        <f aca="false">-1+B4162*0.25</f>
        <v>0.5</v>
      </c>
      <c r="G4162" s="0" t="n">
        <f aca="false">-1+C4162*0.25</f>
        <v>-0.5</v>
      </c>
      <c r="H4162" s="0" t="n">
        <f aca="false">-1+D4162*0.25</f>
        <v>1</v>
      </c>
      <c r="I4162" s="0" t="n">
        <f aca="false">1</f>
        <v>1</v>
      </c>
      <c r="J4162" s="0" t="n">
        <f aca="false">E4162</f>
        <v>0.25</v>
      </c>
      <c r="K4162" s="0" t="n">
        <f aca="false">F4162</f>
        <v>0.5</v>
      </c>
      <c r="L4162" s="0" t="n">
        <f aca="false">G4162</f>
        <v>-0.5</v>
      </c>
      <c r="M4162" s="0" t="n">
        <f aca="false">H4162</f>
        <v>1</v>
      </c>
      <c r="N4162" s="0" t="n">
        <f aca="false">E4162*F4162</f>
        <v>0.125</v>
      </c>
      <c r="O4162" s="0" t="n">
        <f aca="false">E4162*G4162</f>
        <v>-0.125</v>
      </c>
      <c r="P4162" s="0" t="n">
        <f aca="false">E4162*H4162</f>
        <v>0.25</v>
      </c>
      <c r="Q4162" s="0" t="n">
        <f aca="false">F4162*G4162</f>
        <v>-0.25</v>
      </c>
      <c r="R4162" s="0" t="n">
        <f aca="false">F4162*H4162</f>
        <v>0.5</v>
      </c>
      <c r="S4162" s="0" t="n">
        <f aca="false">G4162*H4162</f>
        <v>-0.5</v>
      </c>
      <c r="T4162" s="0" t="n">
        <f aca="false">E4162*E4162</f>
        <v>0.0625</v>
      </c>
      <c r="U4162" s="0" t="n">
        <f aca="false">F4162*F4162</f>
        <v>0.25</v>
      </c>
      <c r="V4162" s="0" t="n">
        <f aca="false">G4162*G4162</f>
        <v>0.25</v>
      </c>
      <c r="W4162" s="0" t="n">
        <f aca="false">H4162*H4162</f>
        <v>1</v>
      </c>
      <c r="X4162" s="0" t="n">
        <f aca="false">SUMPRODUCT(I4162:W4162,_XtX!$B$96:$P$96)</f>
        <v>47.9353070175438</v>
      </c>
      <c r="Y4162" s="0" t="n">
        <f aca="false">SUMPRODUCT(MMULT(I4162:W4162,_XtX!$B$78:$P$92),I4162:W4162)</f>
        <v>0.428122715643275</v>
      </c>
      <c r="Z4162" s="0" t="n">
        <f aca="false">04_回帰ANOVA!$K$19*04_回帰ANOVA!$K$14*SQRT(1+Y4162)</f>
        <v>1.55769044623229</v>
      </c>
      <c r="AA4162" s="0" t="n">
        <f aca="false">X4162-Z4162</f>
        <v>46.3776165713115</v>
      </c>
      <c r="AB4162" s="0" t="n">
        <f aca="false">X4162+Z4162</f>
        <v>49.4929974637761</v>
      </c>
      <c r="AC4162" s="54" t="b">
        <f aca="false">AND(E4162&gt;=01_因子設定!$L$5-0.000000001,E4162&lt;=01_因子設定!$M$5+0.000000001,F4162&gt;=01_因子設定!$L$6-0.000000001,F4162&lt;=01_因子設定!$M$6+0.000000001,G4162&gt;=01_因子設定!$L$7-0.000000001,G4162&lt;=01_因子設定!$M$7+0.000000001,H4162&gt;=01_因子設定!$L$8-0.000000001,H4162&lt;=01_因子設定!$M$8+0.000000001,IF(01_因子設定!$B$20="Box-Behnken",E4162^2+F4162^2+G4162^2+H4162^2&lt;=2+0.000000001,TRUE()))</f>
        <v>1</v>
      </c>
      <c r="AD4162" s="55" t="n">
        <f aca="false">IF(AC4162,IF(01_因子設定!$B$13="最大化",AA4162-01_因子設定!$B$14,IF(01_因子設定!$B$13="最小化",01_因子設定!$B$15-AB4162,MIN(AA4162-01_因子設定!$B$14,01_因子設定!$B$15-AB4162))),-1E+030)</f>
        <v>-0.122383428688458</v>
      </c>
      <c r="AE4162" s="55" t="n">
        <f aca="false">IF(AC4162,IF(01_因子設定!$B$13="最大化",X4162,IF(01_因子設定!$B$13="最小化",-X4162,-ABS(X4162-01_因子設定!$B$16))),-1E+030)</f>
        <v>47.9353070175438</v>
      </c>
      <c r="AF4162" s="55" t="n">
        <f aca="false">AD4162+ROW()*0.000000001</f>
        <v>-0.122379266688458</v>
      </c>
      <c r="AG4162" s="55" t="n">
        <f aca="false">AE4162+ROW()*0.000000001</f>
        <v>47.9353111795438</v>
      </c>
    </row>
    <row r="4163" customFormat="false" ht="15" hidden="false" customHeight="false" outlineLevel="0" collapsed="false">
      <c r="A4163" s="0" t="n">
        <v>5</v>
      </c>
      <c r="B4163" s="0" t="n">
        <v>6</v>
      </c>
      <c r="C4163" s="0" t="n">
        <v>3</v>
      </c>
      <c r="D4163" s="0" t="n">
        <v>0</v>
      </c>
      <c r="E4163" s="0" t="n">
        <f aca="false">-1+A4163*0.25</f>
        <v>0.25</v>
      </c>
      <c r="F4163" s="0" t="n">
        <f aca="false">-1+B4163*0.25</f>
        <v>0.5</v>
      </c>
      <c r="G4163" s="0" t="n">
        <f aca="false">-1+C4163*0.25</f>
        <v>-0.25</v>
      </c>
      <c r="H4163" s="0" t="n">
        <f aca="false">-1+D4163*0.25</f>
        <v>-1</v>
      </c>
      <c r="I4163" s="0" t="n">
        <f aca="false">1</f>
        <v>1</v>
      </c>
      <c r="J4163" s="0" t="n">
        <f aca="false">E4163</f>
        <v>0.25</v>
      </c>
      <c r="K4163" s="0" t="n">
        <f aca="false">F4163</f>
        <v>0.5</v>
      </c>
      <c r="L4163" s="0" t="n">
        <f aca="false">G4163</f>
        <v>-0.25</v>
      </c>
      <c r="M4163" s="0" t="n">
        <f aca="false">H4163</f>
        <v>-1</v>
      </c>
      <c r="N4163" s="0" t="n">
        <f aca="false">E4163*F4163</f>
        <v>0.125</v>
      </c>
      <c r="O4163" s="0" t="n">
        <f aca="false">E4163*G4163</f>
        <v>-0.0625</v>
      </c>
      <c r="P4163" s="0" t="n">
        <f aca="false">E4163*H4163</f>
        <v>-0.25</v>
      </c>
      <c r="Q4163" s="0" t="n">
        <f aca="false">F4163*G4163</f>
        <v>-0.125</v>
      </c>
      <c r="R4163" s="0" t="n">
        <f aca="false">F4163*H4163</f>
        <v>-0.5</v>
      </c>
      <c r="S4163" s="0" t="n">
        <f aca="false">G4163*H4163</f>
        <v>0.25</v>
      </c>
      <c r="T4163" s="0" t="n">
        <f aca="false">E4163*E4163</f>
        <v>0.0625</v>
      </c>
      <c r="U4163" s="0" t="n">
        <f aca="false">F4163*F4163</f>
        <v>0.25</v>
      </c>
      <c r="V4163" s="0" t="n">
        <f aca="false">G4163*G4163</f>
        <v>0.0625</v>
      </c>
      <c r="W4163" s="0" t="n">
        <f aca="false">H4163*H4163</f>
        <v>1</v>
      </c>
      <c r="X4163" s="0" t="n">
        <f aca="false">SUMPRODUCT(I4163:W4163,_XtX!$B$96:$P$96)</f>
        <v>47.8620522660819</v>
      </c>
      <c r="Y4163" s="0" t="n">
        <f aca="false">SUMPRODUCT(MMULT(I4163:W4163,_XtX!$B$78:$P$92),I4163:W4163)</f>
        <v>0.445705123812135</v>
      </c>
      <c r="Z4163" s="0" t="n">
        <f aca="false">04_回帰ANOVA!$K$19*04_回帰ANOVA!$K$14*SQRT(1+Y4163)</f>
        <v>1.56724990734749</v>
      </c>
      <c r="AA4163" s="0" t="n">
        <f aca="false">X4163-Z4163</f>
        <v>46.2948023587344</v>
      </c>
      <c r="AB4163" s="0" t="n">
        <f aca="false">X4163+Z4163</f>
        <v>49.4293021734293</v>
      </c>
      <c r="AC4163" s="54" t="b">
        <f aca="false">AND(E4163&gt;=01_因子設定!$L$5-0.000000001,E4163&lt;=01_因子設定!$M$5+0.000000001,F4163&gt;=01_因子設定!$L$6-0.000000001,F4163&lt;=01_因子設定!$M$6+0.000000001,G4163&gt;=01_因子設定!$L$7-0.000000001,G4163&lt;=01_因子設定!$M$7+0.000000001,H4163&gt;=01_因子設定!$L$8-0.000000001,H4163&lt;=01_因子設定!$M$8+0.000000001,IF(01_因子設定!$B$20="Box-Behnken",E4163^2+F4163^2+G4163^2+H4163^2&lt;=2+0.000000001,TRUE()))</f>
        <v>1</v>
      </c>
      <c r="AD4163" s="55" t="n">
        <f aca="false">IF(AC4163,IF(01_因子設定!$B$13="最大化",AA4163-01_因子設定!$B$14,IF(01_因子設定!$B$13="最小化",01_因子設定!$B$15-AB4163,MIN(AA4163-01_因子設定!$B$14,01_因子設定!$B$15-AB4163))),-1E+030)</f>
        <v>-0.205197641265642</v>
      </c>
      <c r="AE4163" s="55" t="n">
        <f aca="false">IF(AC4163,IF(01_因子設定!$B$13="最大化",X4163,IF(01_因子設定!$B$13="最小化",-X4163,-ABS(X4163-01_因子設定!$B$16))),-1E+030)</f>
        <v>47.8620522660819</v>
      </c>
      <c r="AF4163" s="55" t="n">
        <f aca="false">AD4163+ROW()*0.000000001</f>
        <v>-0.205193478265642</v>
      </c>
      <c r="AG4163" s="55" t="n">
        <f aca="false">AE4163+ROW()*0.000000001</f>
        <v>47.8620564290818</v>
      </c>
    </row>
    <row r="4164" customFormat="false" ht="15" hidden="false" customHeight="false" outlineLevel="0" collapsed="false">
      <c r="A4164" s="0" t="n">
        <v>5</v>
      </c>
      <c r="B4164" s="0" t="n">
        <v>6</v>
      </c>
      <c r="C4164" s="0" t="n">
        <v>3</v>
      </c>
      <c r="D4164" s="0" t="n">
        <v>1</v>
      </c>
      <c r="E4164" s="0" t="n">
        <f aca="false">-1+A4164*0.25</f>
        <v>0.25</v>
      </c>
      <c r="F4164" s="0" t="n">
        <f aca="false">-1+B4164*0.25</f>
        <v>0.5</v>
      </c>
      <c r="G4164" s="0" t="n">
        <f aca="false">-1+C4164*0.25</f>
        <v>-0.25</v>
      </c>
      <c r="H4164" s="0" t="n">
        <f aca="false">-1+D4164*0.25</f>
        <v>-0.75</v>
      </c>
      <c r="I4164" s="0" t="n">
        <f aca="false">1</f>
        <v>1</v>
      </c>
      <c r="J4164" s="0" t="n">
        <f aca="false">E4164</f>
        <v>0.25</v>
      </c>
      <c r="K4164" s="0" t="n">
        <f aca="false">F4164</f>
        <v>0.5</v>
      </c>
      <c r="L4164" s="0" t="n">
        <f aca="false">G4164</f>
        <v>-0.25</v>
      </c>
      <c r="M4164" s="0" t="n">
        <f aca="false">H4164</f>
        <v>-0.75</v>
      </c>
      <c r="N4164" s="0" t="n">
        <f aca="false">E4164*F4164</f>
        <v>0.125</v>
      </c>
      <c r="O4164" s="0" t="n">
        <f aca="false">E4164*G4164</f>
        <v>-0.0625</v>
      </c>
      <c r="P4164" s="0" t="n">
        <f aca="false">E4164*H4164</f>
        <v>-0.1875</v>
      </c>
      <c r="Q4164" s="0" t="n">
        <f aca="false">F4164*G4164</f>
        <v>-0.125</v>
      </c>
      <c r="R4164" s="0" t="n">
        <f aca="false">F4164*H4164</f>
        <v>-0.375</v>
      </c>
      <c r="S4164" s="0" t="n">
        <f aca="false">G4164*H4164</f>
        <v>0.1875</v>
      </c>
      <c r="T4164" s="0" t="n">
        <f aca="false">E4164*E4164</f>
        <v>0.0625</v>
      </c>
      <c r="U4164" s="0" t="n">
        <f aca="false">F4164*F4164</f>
        <v>0.25</v>
      </c>
      <c r="V4164" s="0" t="n">
        <f aca="false">G4164*G4164</f>
        <v>0.0625</v>
      </c>
      <c r="W4164" s="0" t="n">
        <f aca="false">H4164*H4164</f>
        <v>0.5625</v>
      </c>
      <c r="X4164" s="0" t="n">
        <f aca="false">SUMPRODUCT(I4164:W4164,_XtX!$B$96:$P$96)</f>
        <v>48.0940469663742</v>
      </c>
      <c r="Y4164" s="0" t="n">
        <f aca="false">SUMPRODUCT(MMULT(I4164:W4164,_XtX!$B$78:$P$92),I4164:W4164)</f>
        <v>0.207746539199561</v>
      </c>
      <c r="Z4164" s="0" t="n">
        <f aca="false">04_回帰ANOVA!$K$19*04_回帰ANOVA!$K$14*SQRT(1+Y4164)</f>
        <v>1.43247250081141</v>
      </c>
      <c r="AA4164" s="0" t="n">
        <f aca="false">X4164-Z4164</f>
        <v>46.6615744655628</v>
      </c>
      <c r="AB4164" s="0" t="n">
        <f aca="false">X4164+Z4164</f>
        <v>49.5265194671856</v>
      </c>
      <c r="AC4164" s="54" t="b">
        <f aca="false">AND(E4164&gt;=01_因子設定!$L$5-0.000000001,E4164&lt;=01_因子設定!$M$5+0.000000001,F4164&gt;=01_因子設定!$L$6-0.000000001,F4164&lt;=01_因子設定!$M$6+0.000000001,G4164&gt;=01_因子設定!$L$7-0.000000001,G4164&lt;=01_因子設定!$M$7+0.000000001,H4164&gt;=01_因子設定!$L$8-0.000000001,H4164&lt;=01_因子設定!$M$8+0.000000001,IF(01_因子設定!$B$20="Box-Behnken",E4164^2+F4164^2+G4164^2+H4164^2&lt;=2+0.000000001,TRUE()))</f>
        <v>1</v>
      </c>
      <c r="AD4164" s="55" t="n">
        <f aca="false">IF(AC4164,IF(01_因子設定!$B$13="最大化",AA4164-01_因子設定!$B$14,IF(01_因子設定!$B$13="最小化",01_因子設定!$B$15-AB4164,MIN(AA4164-01_因子設定!$B$14,01_因子設定!$B$15-AB4164))),-1E+030)</f>
        <v>0.161574465562822</v>
      </c>
      <c r="AE4164" s="55" t="n">
        <f aca="false">IF(AC4164,IF(01_因子設定!$B$13="最大化",X4164,IF(01_因子設定!$B$13="最小化",-X4164,-ABS(X4164-01_因子設定!$B$16))),-1E+030)</f>
        <v>48.0940469663742</v>
      </c>
      <c r="AF4164" s="55" t="n">
        <f aca="false">AD4164+ROW()*0.000000001</f>
        <v>0.161578629562822</v>
      </c>
      <c r="AG4164" s="55" t="n">
        <f aca="false">AE4164+ROW()*0.000000001</f>
        <v>48.0940511303742</v>
      </c>
    </row>
    <row r="4165" customFormat="false" ht="15" hidden="false" customHeight="false" outlineLevel="0" collapsed="false">
      <c r="A4165" s="0" t="n">
        <v>5</v>
      </c>
      <c r="B4165" s="0" t="n">
        <v>6</v>
      </c>
      <c r="C4165" s="0" t="n">
        <v>3</v>
      </c>
      <c r="D4165" s="0" t="n">
        <v>2</v>
      </c>
      <c r="E4165" s="0" t="n">
        <f aca="false">-1+A4165*0.25</f>
        <v>0.25</v>
      </c>
      <c r="F4165" s="0" t="n">
        <f aca="false">-1+B4165*0.25</f>
        <v>0.5</v>
      </c>
      <c r="G4165" s="0" t="n">
        <f aca="false">-1+C4165*0.25</f>
        <v>-0.25</v>
      </c>
      <c r="H4165" s="0" t="n">
        <f aca="false">-1+D4165*0.25</f>
        <v>-0.5</v>
      </c>
      <c r="I4165" s="0" t="n">
        <f aca="false">1</f>
        <v>1</v>
      </c>
      <c r="J4165" s="0" t="n">
        <f aca="false">E4165</f>
        <v>0.25</v>
      </c>
      <c r="K4165" s="0" t="n">
        <f aca="false">F4165</f>
        <v>0.5</v>
      </c>
      <c r="L4165" s="0" t="n">
        <f aca="false">G4165</f>
        <v>-0.25</v>
      </c>
      <c r="M4165" s="0" t="n">
        <f aca="false">H4165</f>
        <v>-0.5</v>
      </c>
      <c r="N4165" s="0" t="n">
        <f aca="false">E4165*F4165</f>
        <v>0.125</v>
      </c>
      <c r="O4165" s="0" t="n">
        <f aca="false">E4165*G4165</f>
        <v>-0.0625</v>
      </c>
      <c r="P4165" s="0" t="n">
        <f aca="false">E4165*H4165</f>
        <v>-0.125</v>
      </c>
      <c r="Q4165" s="0" t="n">
        <f aca="false">F4165*G4165</f>
        <v>-0.125</v>
      </c>
      <c r="R4165" s="0" t="n">
        <f aca="false">F4165*H4165</f>
        <v>-0.25</v>
      </c>
      <c r="S4165" s="0" t="n">
        <f aca="false">G4165*H4165</f>
        <v>0.125</v>
      </c>
      <c r="T4165" s="0" t="n">
        <f aca="false">E4165*E4165</f>
        <v>0.0625</v>
      </c>
      <c r="U4165" s="0" t="n">
        <f aca="false">F4165*F4165</f>
        <v>0.25</v>
      </c>
      <c r="V4165" s="0" t="n">
        <f aca="false">G4165*G4165</f>
        <v>0.0625</v>
      </c>
      <c r="W4165" s="0" t="n">
        <f aca="false">H4165*H4165</f>
        <v>0.25</v>
      </c>
      <c r="X4165" s="0" t="n">
        <f aca="false">SUMPRODUCT(I4165:W4165,_XtX!$B$96:$P$96)</f>
        <v>48.2782346491228</v>
      </c>
      <c r="Y4165" s="0" t="n">
        <f aca="false">SUMPRODUCT(MMULT(I4165:W4165,_XtX!$B$78:$P$92),I4165:W4165)</f>
        <v>0.128236647934942</v>
      </c>
      <c r="Z4165" s="0" t="n">
        <f aca="false">04_回帰ANOVA!$K$19*04_回帰ANOVA!$K$14*SQRT(1+Y4165)</f>
        <v>1.38451764188989</v>
      </c>
      <c r="AA4165" s="0" t="n">
        <f aca="false">X4165-Z4165</f>
        <v>46.8937170072329</v>
      </c>
      <c r="AB4165" s="0" t="n">
        <f aca="false">X4165+Z4165</f>
        <v>49.6627522910126</v>
      </c>
      <c r="AC4165" s="54" t="b">
        <f aca="false">AND(E4165&gt;=01_因子設定!$L$5-0.000000001,E4165&lt;=01_因子設定!$M$5+0.000000001,F4165&gt;=01_因子設定!$L$6-0.000000001,F4165&lt;=01_因子設定!$M$6+0.000000001,G4165&gt;=01_因子設定!$L$7-0.000000001,G4165&lt;=01_因子設定!$M$7+0.000000001,H4165&gt;=01_因子設定!$L$8-0.000000001,H4165&lt;=01_因子設定!$M$8+0.000000001,IF(01_因子設定!$B$20="Box-Behnken",E4165^2+F4165^2+G4165^2+H4165^2&lt;=2+0.000000001,TRUE()))</f>
        <v>1</v>
      </c>
      <c r="AD4165" s="55" t="n">
        <f aca="false">IF(AC4165,IF(01_因子設定!$B$13="最大化",AA4165-01_因子設定!$B$14,IF(01_因子設定!$B$13="最小化",01_因子設定!$B$15-AB4165,MIN(AA4165-01_因子設定!$B$14,01_因子設定!$B$15-AB4165))),-1E+030)</f>
        <v>0.393717007232873</v>
      </c>
      <c r="AE4165" s="55" t="n">
        <f aca="false">IF(AC4165,IF(01_因子設定!$B$13="最大化",X4165,IF(01_因子設定!$B$13="最小化",-X4165,-ABS(X4165-01_因子設定!$B$16))),-1E+030)</f>
        <v>48.2782346491228</v>
      </c>
      <c r="AF4165" s="55" t="n">
        <f aca="false">AD4165+ROW()*0.000000001</f>
        <v>0.393721172232873</v>
      </c>
      <c r="AG4165" s="55" t="n">
        <f aca="false">AE4165+ROW()*0.000000001</f>
        <v>48.2782388141228</v>
      </c>
    </row>
    <row r="4166" customFormat="false" ht="15" hidden="false" customHeight="false" outlineLevel="0" collapsed="false">
      <c r="A4166" s="0" t="n">
        <v>5</v>
      </c>
      <c r="B4166" s="0" t="n">
        <v>6</v>
      </c>
      <c r="C4166" s="0" t="n">
        <v>3</v>
      </c>
      <c r="D4166" s="0" t="n">
        <v>3</v>
      </c>
      <c r="E4166" s="0" t="n">
        <f aca="false">-1+A4166*0.25</f>
        <v>0.25</v>
      </c>
      <c r="F4166" s="0" t="n">
        <f aca="false">-1+B4166*0.25</f>
        <v>0.5</v>
      </c>
      <c r="G4166" s="0" t="n">
        <f aca="false">-1+C4166*0.25</f>
        <v>-0.25</v>
      </c>
      <c r="H4166" s="0" t="n">
        <f aca="false">-1+D4166*0.25</f>
        <v>-0.25</v>
      </c>
      <c r="I4166" s="0" t="n">
        <f aca="false">1</f>
        <v>1</v>
      </c>
      <c r="J4166" s="0" t="n">
        <f aca="false">E4166</f>
        <v>0.25</v>
      </c>
      <c r="K4166" s="0" t="n">
        <f aca="false">F4166</f>
        <v>0.5</v>
      </c>
      <c r="L4166" s="0" t="n">
        <f aca="false">G4166</f>
        <v>-0.25</v>
      </c>
      <c r="M4166" s="0" t="n">
        <f aca="false">H4166</f>
        <v>-0.25</v>
      </c>
      <c r="N4166" s="0" t="n">
        <f aca="false">E4166*F4166</f>
        <v>0.125</v>
      </c>
      <c r="O4166" s="0" t="n">
        <f aca="false">E4166*G4166</f>
        <v>-0.0625</v>
      </c>
      <c r="P4166" s="0" t="n">
        <f aca="false">E4166*H4166</f>
        <v>-0.0625</v>
      </c>
      <c r="Q4166" s="0" t="n">
        <f aca="false">F4166*G4166</f>
        <v>-0.125</v>
      </c>
      <c r="R4166" s="0" t="n">
        <f aca="false">F4166*H4166</f>
        <v>-0.125</v>
      </c>
      <c r="S4166" s="0" t="n">
        <f aca="false">G4166*H4166</f>
        <v>0.0625</v>
      </c>
      <c r="T4166" s="0" t="n">
        <f aca="false">E4166*E4166</f>
        <v>0.0625</v>
      </c>
      <c r="U4166" s="0" t="n">
        <f aca="false">F4166*F4166</f>
        <v>0.25</v>
      </c>
      <c r="V4166" s="0" t="n">
        <f aca="false">G4166*G4166</f>
        <v>0.0625</v>
      </c>
      <c r="W4166" s="0" t="n">
        <f aca="false">H4166*H4166</f>
        <v>0.0625</v>
      </c>
      <c r="X4166" s="0" t="n">
        <f aca="false">SUMPRODUCT(I4166:W4166,_XtX!$B$96:$P$96)</f>
        <v>48.4146153143274</v>
      </c>
      <c r="Y4166" s="0" t="n">
        <f aca="false">SUMPRODUCT(MMULT(I4166:W4166,_XtX!$B$78:$P$92),I4166:W4166)</f>
        <v>0.116714923702485</v>
      </c>
      <c r="Z4166" s="0" t="n">
        <f aca="false">04_回帰ANOVA!$K$19*04_回帰ANOVA!$K$14*SQRT(1+Y4166)</f>
        <v>1.37743004820023</v>
      </c>
      <c r="AA4166" s="0" t="n">
        <f aca="false">X4166-Z4166</f>
        <v>47.0371852661272</v>
      </c>
      <c r="AB4166" s="0" t="n">
        <f aca="false">X4166+Z4166</f>
        <v>49.7920453625277</v>
      </c>
      <c r="AC4166" s="54" t="b">
        <f aca="false">AND(E4166&gt;=01_因子設定!$L$5-0.000000001,E4166&lt;=01_因子設定!$M$5+0.000000001,F4166&gt;=01_因子設定!$L$6-0.000000001,F4166&lt;=01_因子設定!$M$6+0.000000001,G4166&gt;=01_因子設定!$L$7-0.000000001,G4166&lt;=01_因子設定!$M$7+0.000000001,H4166&gt;=01_因子設定!$L$8-0.000000001,H4166&lt;=01_因子設定!$M$8+0.000000001,IF(01_因子設定!$B$20="Box-Behnken",E4166^2+F4166^2+G4166^2+H4166^2&lt;=2+0.000000001,TRUE()))</f>
        <v>1</v>
      </c>
      <c r="AD4166" s="55" t="n">
        <f aca="false">IF(AC4166,IF(01_因子設定!$B$13="最大化",AA4166-01_因子設定!$B$14,IF(01_因子設定!$B$13="最小化",01_因子設定!$B$15-AB4166,MIN(AA4166-01_因子設定!$B$14,01_因子設定!$B$15-AB4166))),-1E+030)</f>
        <v>0.537185266127203</v>
      </c>
      <c r="AE4166" s="55" t="n">
        <f aca="false">IF(AC4166,IF(01_因子設定!$B$13="最大化",X4166,IF(01_因子設定!$B$13="最小化",-X4166,-ABS(X4166-01_因子設定!$B$16))),-1E+030)</f>
        <v>48.4146153143274</v>
      </c>
      <c r="AF4166" s="55" t="n">
        <f aca="false">AD4166+ROW()*0.000000001</f>
        <v>0.537189432127203</v>
      </c>
      <c r="AG4166" s="55" t="n">
        <f aca="false">AE4166+ROW()*0.000000001</f>
        <v>48.4146194803274</v>
      </c>
    </row>
    <row r="4167" customFormat="false" ht="15" hidden="false" customHeight="false" outlineLevel="0" collapsed="false">
      <c r="A4167" s="0" t="n">
        <v>5</v>
      </c>
      <c r="B4167" s="0" t="n">
        <v>6</v>
      </c>
      <c r="C4167" s="0" t="n">
        <v>3</v>
      </c>
      <c r="D4167" s="0" t="n">
        <v>4</v>
      </c>
      <c r="E4167" s="0" t="n">
        <f aca="false">-1+A4167*0.25</f>
        <v>0.25</v>
      </c>
      <c r="F4167" s="0" t="n">
        <f aca="false">-1+B4167*0.25</f>
        <v>0.5</v>
      </c>
      <c r="G4167" s="0" t="n">
        <f aca="false">-1+C4167*0.25</f>
        <v>-0.25</v>
      </c>
      <c r="H4167" s="0" t="n">
        <f aca="false">-1+D4167*0.25</f>
        <v>0</v>
      </c>
      <c r="I4167" s="0" t="n">
        <f aca="false">1</f>
        <v>1</v>
      </c>
      <c r="J4167" s="0" t="n">
        <f aca="false">E4167</f>
        <v>0.25</v>
      </c>
      <c r="K4167" s="0" t="n">
        <f aca="false">F4167</f>
        <v>0.5</v>
      </c>
      <c r="L4167" s="0" t="n">
        <f aca="false">G4167</f>
        <v>-0.25</v>
      </c>
      <c r="M4167" s="0" t="n">
        <f aca="false">H4167</f>
        <v>0</v>
      </c>
      <c r="N4167" s="0" t="n">
        <f aca="false">E4167*F4167</f>
        <v>0.125</v>
      </c>
      <c r="O4167" s="0" t="n">
        <f aca="false">E4167*G4167</f>
        <v>-0.0625</v>
      </c>
      <c r="P4167" s="0" t="n">
        <f aca="false">E4167*H4167</f>
        <v>0</v>
      </c>
      <c r="Q4167" s="0" t="n">
        <f aca="false">F4167*G4167</f>
        <v>-0.125</v>
      </c>
      <c r="R4167" s="0" t="n">
        <f aca="false">F4167*H4167</f>
        <v>0</v>
      </c>
      <c r="S4167" s="0" t="n">
        <f aca="false">G4167*H4167</f>
        <v>-0</v>
      </c>
      <c r="T4167" s="0" t="n">
        <f aca="false">E4167*E4167</f>
        <v>0.0625</v>
      </c>
      <c r="U4167" s="0" t="n">
        <f aca="false">F4167*F4167</f>
        <v>0.25</v>
      </c>
      <c r="V4167" s="0" t="n">
        <f aca="false">G4167*G4167</f>
        <v>0.0625</v>
      </c>
      <c r="W4167" s="0" t="n">
        <f aca="false">H4167*H4167</f>
        <v>0</v>
      </c>
      <c r="X4167" s="0" t="n">
        <f aca="false">SUMPRODUCT(I4167:W4167,_XtX!$B$96:$P$96)</f>
        <v>48.5031889619882</v>
      </c>
      <c r="Y4167" s="0" t="n">
        <f aca="false">SUMPRODUCT(MMULT(I4167:W4167,_XtX!$B$78:$P$92),I4167:W4167)</f>
        <v>0.118905050712719</v>
      </c>
      <c r="Z4167" s="0" t="n">
        <f aca="false">04_回帰ANOVA!$K$19*04_回帰ANOVA!$K$14*SQRT(1+Y4167)</f>
        <v>1.37878011033769</v>
      </c>
      <c r="AA4167" s="0" t="n">
        <f aca="false">X4167-Z4167</f>
        <v>47.1244088516506</v>
      </c>
      <c r="AB4167" s="0" t="n">
        <f aca="false">X4167+Z4167</f>
        <v>49.8819690723259</v>
      </c>
      <c r="AC4167" s="54" t="b">
        <f aca="false">AND(E4167&gt;=01_因子設定!$L$5-0.000000001,E4167&lt;=01_因子設定!$M$5+0.000000001,F4167&gt;=01_因子設定!$L$6-0.000000001,F4167&lt;=01_因子設定!$M$6+0.000000001,G4167&gt;=01_因子設定!$L$7-0.000000001,G4167&lt;=01_因子設定!$M$7+0.000000001,H4167&gt;=01_因子設定!$L$8-0.000000001,H4167&lt;=01_因子設定!$M$8+0.000000001,IF(01_因子設定!$B$20="Box-Behnken",E4167^2+F4167^2+G4167^2+H4167^2&lt;=2+0.000000001,TRUE()))</f>
        <v>1</v>
      </c>
      <c r="AD4167" s="55" t="n">
        <f aca="false">IF(AC4167,IF(01_因子設定!$B$13="最大化",AA4167-01_因子設定!$B$14,IF(01_因子設定!$B$13="最小化",01_因子設定!$B$15-AB4167,MIN(AA4167-01_因子設定!$B$14,01_因子設定!$B$15-AB4167))),-1E+030)</f>
        <v>0.624408851650557</v>
      </c>
      <c r="AE4167" s="55" t="n">
        <f aca="false">IF(AC4167,IF(01_因子設定!$B$13="最大化",X4167,IF(01_因子設定!$B$13="最小化",-X4167,-ABS(X4167-01_因子設定!$B$16))),-1E+030)</f>
        <v>48.5031889619882</v>
      </c>
      <c r="AF4167" s="55" t="n">
        <f aca="false">AD4167+ROW()*0.000000001</f>
        <v>0.624413018650557</v>
      </c>
      <c r="AG4167" s="55" t="n">
        <f aca="false">AE4167+ROW()*0.000000001</f>
        <v>48.5031931289882</v>
      </c>
    </row>
    <row r="4168" customFormat="false" ht="15" hidden="false" customHeight="false" outlineLevel="0" collapsed="false">
      <c r="A4168" s="0" t="n">
        <v>5</v>
      </c>
      <c r="B4168" s="0" t="n">
        <v>6</v>
      </c>
      <c r="C4168" s="0" t="n">
        <v>3</v>
      </c>
      <c r="D4168" s="0" t="n">
        <v>5</v>
      </c>
      <c r="E4168" s="0" t="n">
        <f aca="false">-1+A4168*0.25</f>
        <v>0.25</v>
      </c>
      <c r="F4168" s="0" t="n">
        <f aca="false">-1+B4168*0.25</f>
        <v>0.5</v>
      </c>
      <c r="G4168" s="0" t="n">
        <f aca="false">-1+C4168*0.25</f>
        <v>-0.25</v>
      </c>
      <c r="H4168" s="0" t="n">
        <f aca="false">-1+D4168*0.25</f>
        <v>0.25</v>
      </c>
      <c r="I4168" s="0" t="n">
        <f aca="false">1</f>
        <v>1</v>
      </c>
      <c r="J4168" s="0" t="n">
        <f aca="false">E4168</f>
        <v>0.25</v>
      </c>
      <c r="K4168" s="0" t="n">
        <f aca="false">F4168</f>
        <v>0.5</v>
      </c>
      <c r="L4168" s="0" t="n">
        <f aca="false">G4168</f>
        <v>-0.25</v>
      </c>
      <c r="M4168" s="0" t="n">
        <f aca="false">H4168</f>
        <v>0.25</v>
      </c>
      <c r="N4168" s="0" t="n">
        <f aca="false">E4168*F4168</f>
        <v>0.125</v>
      </c>
      <c r="O4168" s="0" t="n">
        <f aca="false">E4168*G4168</f>
        <v>-0.0625</v>
      </c>
      <c r="P4168" s="0" t="n">
        <f aca="false">E4168*H4168</f>
        <v>0.0625</v>
      </c>
      <c r="Q4168" s="0" t="n">
        <f aca="false">F4168*G4168</f>
        <v>-0.125</v>
      </c>
      <c r="R4168" s="0" t="n">
        <f aca="false">F4168*H4168</f>
        <v>0.125</v>
      </c>
      <c r="S4168" s="0" t="n">
        <f aca="false">G4168*H4168</f>
        <v>-0.0625</v>
      </c>
      <c r="T4168" s="0" t="n">
        <f aca="false">E4168*E4168</f>
        <v>0.0625</v>
      </c>
      <c r="U4168" s="0" t="n">
        <f aca="false">F4168*F4168</f>
        <v>0.25</v>
      </c>
      <c r="V4168" s="0" t="n">
        <f aca="false">G4168*G4168</f>
        <v>0.0625</v>
      </c>
      <c r="W4168" s="0" t="n">
        <f aca="false">H4168*H4168</f>
        <v>0.0625</v>
      </c>
      <c r="X4168" s="0" t="n">
        <f aca="false">SUMPRODUCT(I4168:W4168,_XtX!$B$96:$P$96)</f>
        <v>48.5439555921052</v>
      </c>
      <c r="Y4168" s="0" t="n">
        <f aca="false">SUMPRODUCT(MMULT(I4168:W4168,_XtX!$B$78:$P$92),I4168:W4168)</f>
        <v>0.116714923702485</v>
      </c>
      <c r="Z4168" s="0" t="n">
        <f aca="false">04_回帰ANOVA!$K$19*04_回帰ANOVA!$K$14*SQRT(1+Y4168)</f>
        <v>1.37743004820023</v>
      </c>
      <c r="AA4168" s="0" t="n">
        <f aca="false">X4168-Z4168</f>
        <v>47.166525543905</v>
      </c>
      <c r="AB4168" s="0" t="n">
        <f aca="false">X4168+Z4168</f>
        <v>49.9213856403054</v>
      </c>
      <c r="AC4168" s="54" t="b">
        <f aca="false">AND(E4168&gt;=01_因子設定!$L$5-0.000000001,E4168&lt;=01_因子設定!$M$5+0.000000001,F4168&gt;=01_因子設定!$L$6-0.000000001,F4168&lt;=01_因子設定!$M$6+0.000000001,G4168&gt;=01_因子設定!$L$7-0.000000001,G4168&lt;=01_因子設定!$M$7+0.000000001,H4168&gt;=01_因子設定!$L$8-0.000000001,H4168&lt;=01_因子設定!$M$8+0.000000001,IF(01_因子設定!$B$20="Box-Behnken",E4168^2+F4168^2+G4168^2+H4168^2&lt;=2+0.000000001,TRUE()))</f>
        <v>1</v>
      </c>
      <c r="AD4168" s="55" t="n">
        <f aca="false">IF(AC4168,IF(01_因子設定!$B$13="最大化",AA4168-01_因子設定!$B$14,IF(01_因子設定!$B$13="最小化",01_因子設定!$B$15-AB4168,MIN(AA4168-01_因子設定!$B$14,01_因子設定!$B$15-AB4168))),-1E+030)</f>
        <v>0.666525543904982</v>
      </c>
      <c r="AE4168" s="55" t="n">
        <f aca="false">IF(AC4168,IF(01_因子設定!$B$13="最大化",X4168,IF(01_因子設定!$B$13="最小化",-X4168,-ABS(X4168-01_因子設定!$B$16))),-1E+030)</f>
        <v>48.5439555921052</v>
      </c>
      <c r="AF4168" s="55" t="n">
        <f aca="false">AD4168+ROW()*0.000000001</f>
        <v>0.666529711904982</v>
      </c>
      <c r="AG4168" s="55" t="n">
        <f aca="false">AE4168+ROW()*0.000000001</f>
        <v>48.5439597601052</v>
      </c>
    </row>
    <row r="4169" customFormat="false" ht="15" hidden="false" customHeight="false" outlineLevel="0" collapsed="false">
      <c r="A4169" s="0" t="n">
        <v>5</v>
      </c>
      <c r="B4169" s="0" t="n">
        <v>6</v>
      </c>
      <c r="C4169" s="0" t="n">
        <v>3</v>
      </c>
      <c r="D4169" s="0" t="n">
        <v>6</v>
      </c>
      <c r="E4169" s="0" t="n">
        <f aca="false">-1+A4169*0.25</f>
        <v>0.25</v>
      </c>
      <c r="F4169" s="0" t="n">
        <f aca="false">-1+B4169*0.25</f>
        <v>0.5</v>
      </c>
      <c r="G4169" s="0" t="n">
        <f aca="false">-1+C4169*0.25</f>
        <v>-0.25</v>
      </c>
      <c r="H4169" s="0" t="n">
        <f aca="false">-1+D4169*0.25</f>
        <v>0.5</v>
      </c>
      <c r="I4169" s="0" t="n">
        <f aca="false">1</f>
        <v>1</v>
      </c>
      <c r="J4169" s="0" t="n">
        <f aca="false">E4169</f>
        <v>0.25</v>
      </c>
      <c r="K4169" s="0" t="n">
        <f aca="false">F4169</f>
        <v>0.5</v>
      </c>
      <c r="L4169" s="0" t="n">
        <f aca="false">G4169</f>
        <v>-0.25</v>
      </c>
      <c r="M4169" s="0" t="n">
        <f aca="false">H4169</f>
        <v>0.5</v>
      </c>
      <c r="N4169" s="0" t="n">
        <f aca="false">E4169*F4169</f>
        <v>0.125</v>
      </c>
      <c r="O4169" s="0" t="n">
        <f aca="false">E4169*G4169</f>
        <v>-0.0625</v>
      </c>
      <c r="P4169" s="0" t="n">
        <f aca="false">E4169*H4169</f>
        <v>0.125</v>
      </c>
      <c r="Q4169" s="0" t="n">
        <f aca="false">F4169*G4169</f>
        <v>-0.125</v>
      </c>
      <c r="R4169" s="0" t="n">
        <f aca="false">F4169*H4169</f>
        <v>0.25</v>
      </c>
      <c r="S4169" s="0" t="n">
        <f aca="false">G4169*H4169</f>
        <v>-0.125</v>
      </c>
      <c r="T4169" s="0" t="n">
        <f aca="false">E4169*E4169</f>
        <v>0.0625</v>
      </c>
      <c r="U4169" s="0" t="n">
        <f aca="false">F4169*F4169</f>
        <v>0.25</v>
      </c>
      <c r="V4169" s="0" t="n">
        <f aca="false">G4169*G4169</f>
        <v>0.0625</v>
      </c>
      <c r="W4169" s="0" t="n">
        <f aca="false">H4169*H4169</f>
        <v>0.25</v>
      </c>
      <c r="X4169" s="0" t="n">
        <f aca="false">SUMPRODUCT(I4169:W4169,_XtX!$B$96:$P$96)</f>
        <v>48.5369152046783</v>
      </c>
      <c r="Y4169" s="0" t="n">
        <f aca="false">SUMPRODUCT(MMULT(I4169:W4169,_XtX!$B$78:$P$92),I4169:W4169)</f>
        <v>0.128236647934942</v>
      </c>
      <c r="Z4169" s="0" t="n">
        <f aca="false">04_回帰ANOVA!$K$19*04_回帰ANOVA!$K$14*SQRT(1+Y4169)</f>
        <v>1.38451764188989</v>
      </c>
      <c r="AA4169" s="0" t="n">
        <f aca="false">X4169-Z4169</f>
        <v>47.1523975627884</v>
      </c>
      <c r="AB4169" s="0" t="n">
        <f aca="false">X4169+Z4169</f>
        <v>49.9214328465682</v>
      </c>
      <c r="AC4169" s="54" t="b">
        <f aca="false">AND(E4169&gt;=01_因子設定!$L$5-0.000000001,E4169&lt;=01_因子設定!$M$5+0.000000001,F4169&gt;=01_因子設定!$L$6-0.000000001,F4169&lt;=01_因子設定!$M$6+0.000000001,G4169&gt;=01_因子設定!$L$7-0.000000001,G4169&lt;=01_因子設定!$M$7+0.000000001,H4169&gt;=01_因子設定!$L$8-0.000000001,H4169&lt;=01_因子設定!$M$8+0.000000001,IF(01_因子設定!$B$20="Box-Behnken",E4169^2+F4169^2+G4169^2+H4169^2&lt;=2+0.000000001,TRUE()))</f>
        <v>1</v>
      </c>
      <c r="AD4169" s="55" t="n">
        <f aca="false">IF(AC4169,IF(01_因子設定!$B$13="最大化",AA4169-01_因子設定!$B$14,IF(01_因子設定!$B$13="最小化",01_因子設定!$B$15-AB4169,MIN(AA4169-01_因子設定!$B$14,01_因子設定!$B$15-AB4169))),-1E+030)</f>
        <v>0.652397562788423</v>
      </c>
      <c r="AE4169" s="55" t="n">
        <f aca="false">IF(AC4169,IF(01_因子設定!$B$13="最大化",X4169,IF(01_因子設定!$B$13="最小化",-X4169,-ABS(X4169-01_因子設定!$B$16))),-1E+030)</f>
        <v>48.5369152046783</v>
      </c>
      <c r="AF4169" s="55" t="n">
        <f aca="false">AD4169+ROW()*0.000000001</f>
        <v>0.652401731788423</v>
      </c>
      <c r="AG4169" s="55" t="n">
        <f aca="false">AE4169+ROW()*0.000000001</f>
        <v>48.5369193736783</v>
      </c>
    </row>
    <row r="4170" customFormat="false" ht="15" hidden="false" customHeight="false" outlineLevel="0" collapsed="false">
      <c r="A4170" s="0" t="n">
        <v>5</v>
      </c>
      <c r="B4170" s="0" t="n">
        <v>6</v>
      </c>
      <c r="C4170" s="0" t="n">
        <v>3</v>
      </c>
      <c r="D4170" s="0" t="n">
        <v>7</v>
      </c>
      <c r="E4170" s="0" t="n">
        <f aca="false">-1+A4170*0.25</f>
        <v>0.25</v>
      </c>
      <c r="F4170" s="0" t="n">
        <f aca="false">-1+B4170*0.25</f>
        <v>0.5</v>
      </c>
      <c r="G4170" s="0" t="n">
        <f aca="false">-1+C4170*0.25</f>
        <v>-0.25</v>
      </c>
      <c r="H4170" s="0" t="n">
        <f aca="false">-1+D4170*0.25</f>
        <v>0.75</v>
      </c>
      <c r="I4170" s="0" t="n">
        <f aca="false">1</f>
        <v>1</v>
      </c>
      <c r="J4170" s="0" t="n">
        <f aca="false">E4170</f>
        <v>0.25</v>
      </c>
      <c r="K4170" s="0" t="n">
        <f aca="false">F4170</f>
        <v>0.5</v>
      </c>
      <c r="L4170" s="0" t="n">
        <f aca="false">G4170</f>
        <v>-0.25</v>
      </c>
      <c r="M4170" s="0" t="n">
        <f aca="false">H4170</f>
        <v>0.75</v>
      </c>
      <c r="N4170" s="0" t="n">
        <f aca="false">E4170*F4170</f>
        <v>0.125</v>
      </c>
      <c r="O4170" s="0" t="n">
        <f aca="false">E4170*G4170</f>
        <v>-0.0625</v>
      </c>
      <c r="P4170" s="0" t="n">
        <f aca="false">E4170*H4170</f>
        <v>0.1875</v>
      </c>
      <c r="Q4170" s="0" t="n">
        <f aca="false">F4170*G4170</f>
        <v>-0.125</v>
      </c>
      <c r="R4170" s="0" t="n">
        <f aca="false">F4170*H4170</f>
        <v>0.375</v>
      </c>
      <c r="S4170" s="0" t="n">
        <f aca="false">G4170*H4170</f>
        <v>-0.1875</v>
      </c>
      <c r="T4170" s="0" t="n">
        <f aca="false">E4170*E4170</f>
        <v>0.0625</v>
      </c>
      <c r="U4170" s="0" t="n">
        <f aca="false">F4170*F4170</f>
        <v>0.25</v>
      </c>
      <c r="V4170" s="0" t="n">
        <f aca="false">G4170*G4170</f>
        <v>0.0625</v>
      </c>
      <c r="W4170" s="0" t="n">
        <f aca="false">H4170*H4170</f>
        <v>0.5625</v>
      </c>
      <c r="X4170" s="0" t="n">
        <f aca="false">SUMPRODUCT(I4170:W4170,_XtX!$B$96:$P$96)</f>
        <v>48.4820677997076</v>
      </c>
      <c r="Y4170" s="0" t="n">
        <f aca="false">SUMPRODUCT(MMULT(I4170:W4170,_XtX!$B$78:$P$92),I4170:W4170)</f>
        <v>0.207746539199561</v>
      </c>
      <c r="Z4170" s="0" t="n">
        <f aca="false">04_回帰ANOVA!$K$19*04_回帰ANOVA!$K$14*SQRT(1+Y4170)</f>
        <v>1.43247250081141</v>
      </c>
      <c r="AA4170" s="0" t="n">
        <f aca="false">X4170-Z4170</f>
        <v>47.0495952988962</v>
      </c>
      <c r="AB4170" s="0" t="n">
        <f aca="false">X4170+Z4170</f>
        <v>49.914540300519</v>
      </c>
      <c r="AC4170" s="54" t="b">
        <f aca="false">AND(E4170&gt;=01_因子設定!$L$5-0.000000001,E4170&lt;=01_因子設定!$M$5+0.000000001,F4170&gt;=01_因子設定!$L$6-0.000000001,F4170&lt;=01_因子設定!$M$6+0.000000001,G4170&gt;=01_因子設定!$L$7-0.000000001,G4170&lt;=01_因子設定!$M$7+0.000000001,H4170&gt;=01_因子設定!$L$8-0.000000001,H4170&lt;=01_因子設定!$M$8+0.000000001,IF(01_因子設定!$B$20="Box-Behnken",E4170^2+F4170^2+G4170^2+H4170^2&lt;=2+0.000000001,TRUE()))</f>
        <v>1</v>
      </c>
      <c r="AD4170" s="55" t="n">
        <f aca="false">IF(AC4170,IF(01_因子設定!$B$13="最大化",AA4170-01_因子設定!$B$14,IF(01_因子設定!$B$13="最小化",01_因子設定!$B$15-AB4170,MIN(AA4170-01_因子設定!$B$14,01_因子設定!$B$15-AB4170))),-1E+030)</f>
        <v>0.549595298896158</v>
      </c>
      <c r="AE4170" s="55" t="n">
        <f aca="false">IF(AC4170,IF(01_因子設定!$B$13="最大化",X4170,IF(01_因子設定!$B$13="最小化",-X4170,-ABS(X4170-01_因子設定!$B$16))),-1E+030)</f>
        <v>48.4820677997076</v>
      </c>
      <c r="AF4170" s="55" t="n">
        <f aca="false">AD4170+ROW()*0.000000001</f>
        <v>0.549599468896158</v>
      </c>
      <c r="AG4170" s="55" t="n">
        <f aca="false">AE4170+ROW()*0.000000001</f>
        <v>48.4820719697076</v>
      </c>
    </row>
    <row r="4171" customFormat="false" ht="15" hidden="false" customHeight="false" outlineLevel="0" collapsed="false">
      <c r="A4171" s="0" t="n">
        <v>5</v>
      </c>
      <c r="B4171" s="0" t="n">
        <v>6</v>
      </c>
      <c r="C4171" s="0" t="n">
        <v>3</v>
      </c>
      <c r="D4171" s="0" t="n">
        <v>8</v>
      </c>
      <c r="E4171" s="0" t="n">
        <f aca="false">-1+A4171*0.25</f>
        <v>0.25</v>
      </c>
      <c r="F4171" s="0" t="n">
        <f aca="false">-1+B4171*0.25</f>
        <v>0.5</v>
      </c>
      <c r="G4171" s="0" t="n">
        <f aca="false">-1+C4171*0.25</f>
        <v>-0.25</v>
      </c>
      <c r="H4171" s="0" t="n">
        <f aca="false">-1+D4171*0.25</f>
        <v>1</v>
      </c>
      <c r="I4171" s="0" t="n">
        <f aca="false">1</f>
        <v>1</v>
      </c>
      <c r="J4171" s="0" t="n">
        <f aca="false">E4171</f>
        <v>0.25</v>
      </c>
      <c r="K4171" s="0" t="n">
        <f aca="false">F4171</f>
        <v>0.5</v>
      </c>
      <c r="L4171" s="0" t="n">
        <f aca="false">G4171</f>
        <v>-0.25</v>
      </c>
      <c r="M4171" s="0" t="n">
        <f aca="false">H4171</f>
        <v>1</v>
      </c>
      <c r="N4171" s="0" t="n">
        <f aca="false">E4171*F4171</f>
        <v>0.125</v>
      </c>
      <c r="O4171" s="0" t="n">
        <f aca="false">E4171*G4171</f>
        <v>-0.0625</v>
      </c>
      <c r="P4171" s="0" t="n">
        <f aca="false">E4171*H4171</f>
        <v>0.25</v>
      </c>
      <c r="Q4171" s="0" t="n">
        <f aca="false">F4171*G4171</f>
        <v>-0.125</v>
      </c>
      <c r="R4171" s="0" t="n">
        <f aca="false">F4171*H4171</f>
        <v>0.5</v>
      </c>
      <c r="S4171" s="0" t="n">
        <f aca="false">G4171*H4171</f>
        <v>-0.25</v>
      </c>
      <c r="T4171" s="0" t="n">
        <f aca="false">E4171*E4171</f>
        <v>0.0625</v>
      </c>
      <c r="U4171" s="0" t="n">
        <f aca="false">F4171*F4171</f>
        <v>0.25</v>
      </c>
      <c r="V4171" s="0" t="n">
        <f aca="false">G4171*G4171</f>
        <v>0.0625</v>
      </c>
      <c r="W4171" s="0" t="n">
        <f aca="false">H4171*H4171</f>
        <v>1</v>
      </c>
      <c r="X4171" s="0" t="n">
        <f aca="false">SUMPRODUCT(I4171:W4171,_XtX!$B$96:$P$96)</f>
        <v>48.379413377193</v>
      </c>
      <c r="Y4171" s="0" t="n">
        <f aca="false">SUMPRODUCT(MMULT(I4171:W4171,_XtX!$B$78:$P$92),I4171:W4171)</f>
        <v>0.445705123812135</v>
      </c>
      <c r="Z4171" s="0" t="n">
        <f aca="false">04_回帰ANOVA!$K$19*04_回帰ANOVA!$K$14*SQRT(1+Y4171)</f>
        <v>1.56724990734749</v>
      </c>
      <c r="AA4171" s="0" t="n">
        <f aca="false">X4171-Z4171</f>
        <v>46.8121634698455</v>
      </c>
      <c r="AB4171" s="0" t="n">
        <f aca="false">X4171+Z4171</f>
        <v>49.9466632845405</v>
      </c>
      <c r="AC4171" s="54" t="b">
        <f aca="false">AND(E4171&gt;=01_因子設定!$L$5-0.000000001,E4171&lt;=01_因子設定!$M$5+0.000000001,F4171&gt;=01_因子設定!$L$6-0.000000001,F4171&lt;=01_因子設定!$M$6+0.000000001,G4171&gt;=01_因子設定!$L$7-0.000000001,G4171&lt;=01_因子設定!$M$7+0.000000001,H4171&gt;=01_因子設定!$L$8-0.000000001,H4171&lt;=01_因子設定!$M$8+0.000000001,IF(01_因子設定!$B$20="Box-Behnken",E4171^2+F4171^2+G4171^2+H4171^2&lt;=2+0.000000001,TRUE()))</f>
        <v>1</v>
      </c>
      <c r="AD4171" s="55" t="n">
        <f aca="false">IF(AC4171,IF(01_因子設定!$B$13="最大化",AA4171-01_因子設定!$B$14,IF(01_因子設定!$B$13="最小化",01_因子設定!$B$15-AB4171,MIN(AA4171-01_因子設定!$B$14,01_因子設定!$B$15-AB4171))),-1E+030)</f>
        <v>0.312163469845473</v>
      </c>
      <c r="AE4171" s="55" t="n">
        <f aca="false">IF(AC4171,IF(01_因子設定!$B$13="最大化",X4171,IF(01_因子設定!$B$13="最小化",-X4171,-ABS(X4171-01_因子設定!$B$16))),-1E+030)</f>
        <v>48.379413377193</v>
      </c>
      <c r="AF4171" s="55" t="n">
        <f aca="false">AD4171+ROW()*0.000000001</f>
        <v>0.312167640845473</v>
      </c>
      <c r="AG4171" s="55" t="n">
        <f aca="false">AE4171+ROW()*0.000000001</f>
        <v>48.379417548193</v>
      </c>
    </row>
    <row r="4172" customFormat="false" ht="15" hidden="false" customHeight="false" outlineLevel="0" collapsed="false">
      <c r="A4172" s="0" t="n">
        <v>5</v>
      </c>
      <c r="B4172" s="0" t="n">
        <v>6</v>
      </c>
      <c r="C4172" s="0" t="n">
        <v>4</v>
      </c>
      <c r="D4172" s="0" t="n">
        <v>0</v>
      </c>
      <c r="E4172" s="0" t="n">
        <f aca="false">-1+A4172*0.25</f>
        <v>0.25</v>
      </c>
      <c r="F4172" s="0" t="n">
        <f aca="false">-1+B4172*0.25</f>
        <v>0.5</v>
      </c>
      <c r="G4172" s="0" t="n">
        <f aca="false">-1+C4172*0.25</f>
        <v>0</v>
      </c>
      <c r="H4172" s="0" t="n">
        <f aca="false">-1+D4172*0.25</f>
        <v>-1</v>
      </c>
      <c r="I4172" s="0" t="n">
        <f aca="false">1</f>
        <v>1</v>
      </c>
      <c r="J4172" s="0" t="n">
        <f aca="false">E4172</f>
        <v>0.25</v>
      </c>
      <c r="K4172" s="0" t="n">
        <f aca="false">F4172</f>
        <v>0.5</v>
      </c>
      <c r="L4172" s="0" t="n">
        <f aca="false">G4172</f>
        <v>0</v>
      </c>
      <c r="M4172" s="0" t="n">
        <f aca="false">H4172</f>
        <v>-1</v>
      </c>
      <c r="N4172" s="0" t="n">
        <f aca="false">E4172*F4172</f>
        <v>0.125</v>
      </c>
      <c r="O4172" s="0" t="n">
        <f aca="false">E4172*G4172</f>
        <v>0</v>
      </c>
      <c r="P4172" s="0" t="n">
        <f aca="false">E4172*H4172</f>
        <v>-0.25</v>
      </c>
      <c r="Q4172" s="0" t="n">
        <f aca="false">F4172*G4172</f>
        <v>0</v>
      </c>
      <c r="R4172" s="0" t="n">
        <f aca="false">F4172*H4172</f>
        <v>-0.5</v>
      </c>
      <c r="S4172" s="0" t="n">
        <f aca="false">G4172*H4172</f>
        <v>-0</v>
      </c>
      <c r="T4172" s="0" t="n">
        <f aca="false">E4172*E4172</f>
        <v>0.0625</v>
      </c>
      <c r="U4172" s="0" t="n">
        <f aca="false">F4172*F4172</f>
        <v>0.25</v>
      </c>
      <c r="V4172" s="0" t="n">
        <f aca="false">G4172*G4172</f>
        <v>0</v>
      </c>
      <c r="W4172" s="0" t="n">
        <f aca="false">H4172*H4172</f>
        <v>1</v>
      </c>
      <c r="X4172" s="0" t="n">
        <f aca="false">SUMPRODUCT(I4172:W4172,_XtX!$B$96:$P$96)</f>
        <v>48.0771016081871</v>
      </c>
      <c r="Y4172" s="0" t="n">
        <f aca="false">SUMPRODUCT(MMULT(I4172:W4172,_XtX!$B$78:$P$92),I4172:W4172)</f>
        <v>0.457596628289474</v>
      </c>
      <c r="Z4172" s="0" t="n">
        <f aca="false">04_回帰ANOVA!$K$19*04_回帰ANOVA!$K$14*SQRT(1+Y4172)</f>
        <v>1.57368233664366</v>
      </c>
      <c r="AA4172" s="0" t="n">
        <f aca="false">X4172-Z4172</f>
        <v>46.5034192715435</v>
      </c>
      <c r="AB4172" s="0" t="n">
        <f aca="false">X4172+Z4172</f>
        <v>49.6507839448308</v>
      </c>
      <c r="AC4172" s="54" t="b">
        <f aca="false">AND(E4172&gt;=01_因子設定!$L$5-0.000000001,E4172&lt;=01_因子設定!$M$5+0.000000001,F4172&gt;=01_因子設定!$L$6-0.000000001,F4172&lt;=01_因子設定!$M$6+0.000000001,G4172&gt;=01_因子設定!$L$7-0.000000001,G4172&lt;=01_因子設定!$M$7+0.000000001,H4172&gt;=01_因子設定!$L$8-0.000000001,H4172&lt;=01_因子設定!$M$8+0.000000001,IF(01_因子設定!$B$20="Box-Behnken",E4172^2+F4172^2+G4172^2+H4172^2&lt;=2+0.000000001,TRUE()))</f>
        <v>1</v>
      </c>
      <c r="AD4172" s="55" t="n">
        <f aca="false">IF(AC4172,IF(01_因子設定!$B$13="最大化",AA4172-01_因子設定!$B$14,IF(01_因子設定!$B$13="最小化",01_因子設定!$B$15-AB4172,MIN(AA4172-01_因子設定!$B$14,01_因子設定!$B$15-AB4172))),-1E+030)</f>
        <v>0.00341927154345711</v>
      </c>
      <c r="AE4172" s="55" t="n">
        <f aca="false">IF(AC4172,IF(01_因子設定!$B$13="最大化",X4172,IF(01_因子設定!$B$13="最小化",-X4172,-ABS(X4172-01_因子設定!$B$16))),-1E+030)</f>
        <v>48.0771016081871</v>
      </c>
      <c r="AF4172" s="55" t="n">
        <f aca="false">AD4172+ROW()*0.000000001</f>
        <v>0.00342344354345711</v>
      </c>
      <c r="AG4172" s="55" t="n">
        <f aca="false">AE4172+ROW()*0.000000001</f>
        <v>48.0771057801871</v>
      </c>
    </row>
    <row r="4173" customFormat="false" ht="15" hidden="false" customHeight="false" outlineLevel="0" collapsed="false">
      <c r="A4173" s="0" t="n">
        <v>5</v>
      </c>
      <c r="B4173" s="0" t="n">
        <v>6</v>
      </c>
      <c r="C4173" s="0" t="n">
        <v>4</v>
      </c>
      <c r="D4173" s="0" t="n">
        <v>1</v>
      </c>
      <c r="E4173" s="0" t="n">
        <f aca="false">-1+A4173*0.25</f>
        <v>0.25</v>
      </c>
      <c r="F4173" s="0" t="n">
        <f aca="false">-1+B4173*0.25</f>
        <v>0.5</v>
      </c>
      <c r="G4173" s="0" t="n">
        <f aca="false">-1+C4173*0.25</f>
        <v>0</v>
      </c>
      <c r="H4173" s="0" t="n">
        <f aca="false">-1+D4173*0.25</f>
        <v>-0.75</v>
      </c>
      <c r="I4173" s="0" t="n">
        <f aca="false">1</f>
        <v>1</v>
      </c>
      <c r="J4173" s="0" t="n">
        <f aca="false">E4173</f>
        <v>0.25</v>
      </c>
      <c r="K4173" s="0" t="n">
        <f aca="false">F4173</f>
        <v>0.5</v>
      </c>
      <c r="L4173" s="0" t="n">
        <f aca="false">G4173</f>
        <v>0</v>
      </c>
      <c r="M4173" s="0" t="n">
        <f aca="false">H4173</f>
        <v>-0.75</v>
      </c>
      <c r="N4173" s="0" t="n">
        <f aca="false">E4173*F4173</f>
        <v>0.125</v>
      </c>
      <c r="O4173" s="0" t="n">
        <f aca="false">E4173*G4173</f>
        <v>0</v>
      </c>
      <c r="P4173" s="0" t="n">
        <f aca="false">E4173*H4173</f>
        <v>-0.1875</v>
      </c>
      <c r="Q4173" s="0" t="n">
        <f aca="false">F4173*G4173</f>
        <v>0</v>
      </c>
      <c r="R4173" s="0" t="n">
        <f aca="false">F4173*H4173</f>
        <v>-0.375</v>
      </c>
      <c r="S4173" s="0" t="n">
        <f aca="false">G4173*H4173</f>
        <v>-0</v>
      </c>
      <c r="T4173" s="0" t="n">
        <f aca="false">E4173*E4173</f>
        <v>0.0625</v>
      </c>
      <c r="U4173" s="0" t="n">
        <f aca="false">F4173*F4173</f>
        <v>0.25</v>
      </c>
      <c r="V4173" s="0" t="n">
        <f aca="false">G4173*G4173</f>
        <v>0</v>
      </c>
      <c r="W4173" s="0" t="n">
        <f aca="false">H4173*H4173</f>
        <v>0.5625</v>
      </c>
      <c r="X4173" s="0" t="n">
        <f aca="false">SUMPRODUCT(I4173:W4173,_XtX!$B$96:$P$96)</f>
        <v>48.3270650584795</v>
      </c>
      <c r="Y4173" s="0" t="n">
        <f aca="false">SUMPRODUCT(MMULT(I4173:W4173,_XtX!$B$78:$P$92),I4173:W4173)</f>
        <v>0.215110734192252</v>
      </c>
      <c r="Z4173" s="0" t="n">
        <f aca="false">04_回帰ANOVA!$K$19*04_回帰ANOVA!$K$14*SQRT(1+Y4173)</f>
        <v>1.43683309086864</v>
      </c>
      <c r="AA4173" s="0" t="n">
        <f aca="false">X4173-Z4173</f>
        <v>46.8902319676108</v>
      </c>
      <c r="AB4173" s="0" t="n">
        <f aca="false">X4173+Z4173</f>
        <v>49.7638981493481</v>
      </c>
      <c r="AC4173" s="54" t="b">
        <f aca="false">AND(E4173&gt;=01_因子設定!$L$5-0.000000001,E4173&lt;=01_因子設定!$M$5+0.000000001,F4173&gt;=01_因子設定!$L$6-0.000000001,F4173&lt;=01_因子設定!$M$6+0.000000001,G4173&gt;=01_因子設定!$L$7-0.000000001,G4173&lt;=01_因子設定!$M$7+0.000000001,H4173&gt;=01_因子設定!$L$8-0.000000001,H4173&lt;=01_因子設定!$M$8+0.000000001,IF(01_因子設定!$B$20="Box-Behnken",E4173^2+F4173^2+G4173^2+H4173^2&lt;=2+0.000000001,TRUE()))</f>
        <v>1</v>
      </c>
      <c r="AD4173" s="55" t="n">
        <f aca="false">IF(AC4173,IF(01_因子設定!$B$13="最大化",AA4173-01_因子設定!$B$14,IF(01_因子設定!$B$13="最小化",01_因子設定!$B$15-AB4173,MIN(AA4173-01_因子設定!$B$14,01_因子設定!$B$15-AB4173))),-1E+030)</f>
        <v>0.390231967610845</v>
      </c>
      <c r="AE4173" s="55" t="n">
        <f aca="false">IF(AC4173,IF(01_因子設定!$B$13="最大化",X4173,IF(01_因子設定!$B$13="最小化",-X4173,-ABS(X4173-01_因子設定!$B$16))),-1E+030)</f>
        <v>48.3270650584795</v>
      </c>
      <c r="AF4173" s="55" t="n">
        <f aca="false">AD4173+ROW()*0.000000001</f>
        <v>0.390236140610845</v>
      </c>
      <c r="AG4173" s="55" t="n">
        <f aca="false">AE4173+ROW()*0.000000001</f>
        <v>48.3270692314795</v>
      </c>
    </row>
    <row r="4174" customFormat="false" ht="15" hidden="false" customHeight="false" outlineLevel="0" collapsed="false">
      <c r="A4174" s="0" t="n">
        <v>5</v>
      </c>
      <c r="B4174" s="0" t="n">
        <v>6</v>
      </c>
      <c r="C4174" s="0" t="n">
        <v>4</v>
      </c>
      <c r="D4174" s="0" t="n">
        <v>2</v>
      </c>
      <c r="E4174" s="0" t="n">
        <f aca="false">-1+A4174*0.25</f>
        <v>0.25</v>
      </c>
      <c r="F4174" s="0" t="n">
        <f aca="false">-1+B4174*0.25</f>
        <v>0.5</v>
      </c>
      <c r="G4174" s="0" t="n">
        <f aca="false">-1+C4174*0.25</f>
        <v>0</v>
      </c>
      <c r="H4174" s="0" t="n">
        <f aca="false">-1+D4174*0.25</f>
        <v>-0.5</v>
      </c>
      <c r="I4174" s="0" t="n">
        <f aca="false">1</f>
        <v>1</v>
      </c>
      <c r="J4174" s="0" t="n">
        <f aca="false">E4174</f>
        <v>0.25</v>
      </c>
      <c r="K4174" s="0" t="n">
        <f aca="false">F4174</f>
        <v>0.5</v>
      </c>
      <c r="L4174" s="0" t="n">
        <f aca="false">G4174</f>
        <v>0</v>
      </c>
      <c r="M4174" s="0" t="n">
        <f aca="false">H4174</f>
        <v>-0.5</v>
      </c>
      <c r="N4174" s="0" t="n">
        <f aca="false">E4174*F4174</f>
        <v>0.125</v>
      </c>
      <c r="O4174" s="0" t="n">
        <f aca="false">E4174*G4174</f>
        <v>0</v>
      </c>
      <c r="P4174" s="0" t="n">
        <f aca="false">E4174*H4174</f>
        <v>-0.125</v>
      </c>
      <c r="Q4174" s="0" t="n">
        <f aca="false">F4174*G4174</f>
        <v>0</v>
      </c>
      <c r="R4174" s="0" t="n">
        <f aca="false">F4174*H4174</f>
        <v>-0.25</v>
      </c>
      <c r="S4174" s="0" t="n">
        <f aca="false">G4174*H4174</f>
        <v>-0</v>
      </c>
      <c r="T4174" s="0" t="n">
        <f aca="false">E4174*E4174</f>
        <v>0.0625</v>
      </c>
      <c r="U4174" s="0" t="n">
        <f aca="false">F4174*F4174</f>
        <v>0.25</v>
      </c>
      <c r="V4174" s="0" t="n">
        <f aca="false">G4174*G4174</f>
        <v>0</v>
      </c>
      <c r="W4174" s="0" t="n">
        <f aca="false">H4174*H4174</f>
        <v>0.25</v>
      </c>
      <c r="X4174" s="0" t="n">
        <f aca="false">SUMPRODUCT(I4174:W4174,_XtX!$B$96:$P$96)</f>
        <v>48.529221491228</v>
      </c>
      <c r="Y4174" s="0" t="n">
        <f aca="false">SUMPRODUCT(MMULT(I4174:W4174,_XtX!$B$78:$P$92),I4174:W4174)</f>
        <v>0.132367050438597</v>
      </c>
      <c r="Z4174" s="0" t="n">
        <f aca="false">04_回帰ANOVA!$K$19*04_回帰ANOVA!$K$14*SQRT(1+Y4174)</f>
        <v>1.38704964208329</v>
      </c>
      <c r="AA4174" s="0" t="n">
        <f aca="false">X4174-Z4174</f>
        <v>47.1421718491447</v>
      </c>
      <c r="AB4174" s="0" t="n">
        <f aca="false">X4174+Z4174</f>
        <v>49.9162711333113</v>
      </c>
      <c r="AC4174" s="54" t="b">
        <f aca="false">AND(E4174&gt;=01_因子設定!$L$5-0.000000001,E4174&lt;=01_因子設定!$M$5+0.000000001,F4174&gt;=01_因子設定!$L$6-0.000000001,F4174&lt;=01_因子設定!$M$6+0.000000001,G4174&gt;=01_因子設定!$L$7-0.000000001,G4174&lt;=01_因子設定!$M$7+0.000000001,H4174&gt;=01_因子設定!$L$8-0.000000001,H4174&lt;=01_因子設定!$M$8+0.000000001,IF(01_因子設定!$B$20="Box-Behnken",E4174^2+F4174^2+G4174^2+H4174^2&lt;=2+0.000000001,TRUE()))</f>
        <v>1</v>
      </c>
      <c r="AD4174" s="55" t="n">
        <f aca="false">IF(AC4174,IF(01_因子設定!$B$13="最大化",AA4174-01_因子設定!$B$14,IF(01_因子設定!$B$13="最小化",01_因子設定!$B$15-AB4174,MIN(AA4174-01_因子設定!$B$14,01_因子設定!$B$15-AB4174))),-1E+030)</f>
        <v>0.642171849144731</v>
      </c>
      <c r="AE4174" s="55" t="n">
        <f aca="false">IF(AC4174,IF(01_因子設定!$B$13="最大化",X4174,IF(01_因子設定!$B$13="最小化",-X4174,-ABS(X4174-01_因子設定!$B$16))),-1E+030)</f>
        <v>48.529221491228</v>
      </c>
      <c r="AF4174" s="55" t="n">
        <f aca="false">AD4174+ROW()*0.000000001</f>
        <v>0.642176023144731</v>
      </c>
      <c r="AG4174" s="55" t="n">
        <f aca="false">AE4174+ROW()*0.000000001</f>
        <v>48.529225665228</v>
      </c>
    </row>
    <row r="4175" customFormat="false" ht="15" hidden="false" customHeight="false" outlineLevel="0" collapsed="false">
      <c r="A4175" s="0" t="n">
        <v>5</v>
      </c>
      <c r="B4175" s="0" t="n">
        <v>6</v>
      </c>
      <c r="C4175" s="0" t="n">
        <v>4</v>
      </c>
      <c r="D4175" s="0" t="n">
        <v>3</v>
      </c>
      <c r="E4175" s="0" t="n">
        <f aca="false">-1+A4175*0.25</f>
        <v>0.25</v>
      </c>
      <c r="F4175" s="0" t="n">
        <f aca="false">-1+B4175*0.25</f>
        <v>0.5</v>
      </c>
      <c r="G4175" s="0" t="n">
        <f aca="false">-1+C4175*0.25</f>
        <v>0</v>
      </c>
      <c r="H4175" s="0" t="n">
        <f aca="false">-1+D4175*0.25</f>
        <v>-0.25</v>
      </c>
      <c r="I4175" s="0" t="n">
        <f aca="false">1</f>
        <v>1</v>
      </c>
      <c r="J4175" s="0" t="n">
        <f aca="false">E4175</f>
        <v>0.25</v>
      </c>
      <c r="K4175" s="0" t="n">
        <f aca="false">F4175</f>
        <v>0.5</v>
      </c>
      <c r="L4175" s="0" t="n">
        <f aca="false">G4175</f>
        <v>0</v>
      </c>
      <c r="M4175" s="0" t="n">
        <f aca="false">H4175</f>
        <v>-0.25</v>
      </c>
      <c r="N4175" s="0" t="n">
        <f aca="false">E4175*F4175</f>
        <v>0.125</v>
      </c>
      <c r="O4175" s="0" t="n">
        <f aca="false">E4175*G4175</f>
        <v>0</v>
      </c>
      <c r="P4175" s="0" t="n">
        <f aca="false">E4175*H4175</f>
        <v>-0.0625</v>
      </c>
      <c r="Q4175" s="0" t="n">
        <f aca="false">F4175*G4175</f>
        <v>0</v>
      </c>
      <c r="R4175" s="0" t="n">
        <f aca="false">F4175*H4175</f>
        <v>-0.125</v>
      </c>
      <c r="S4175" s="0" t="n">
        <f aca="false">G4175*H4175</f>
        <v>-0</v>
      </c>
      <c r="T4175" s="0" t="n">
        <f aca="false">E4175*E4175</f>
        <v>0.0625</v>
      </c>
      <c r="U4175" s="0" t="n">
        <f aca="false">F4175*F4175</f>
        <v>0.25</v>
      </c>
      <c r="V4175" s="0" t="n">
        <f aca="false">G4175*G4175</f>
        <v>0</v>
      </c>
      <c r="W4175" s="0" t="n">
        <f aca="false">H4175*H4175</f>
        <v>0.0625</v>
      </c>
      <c r="X4175" s="0" t="n">
        <f aca="false">SUMPRODUCT(I4175:W4175,_XtX!$B$96:$P$96)</f>
        <v>48.6835709064327</v>
      </c>
      <c r="Y4175" s="0" t="n">
        <f aca="false">SUMPRODUCT(MMULT(I4175:W4175,_XtX!$B$78:$P$92),I4175:W4175)</f>
        <v>0.118905050712719</v>
      </c>
      <c r="Z4175" s="0" t="n">
        <f aca="false">04_回帰ANOVA!$K$19*04_回帰ANOVA!$K$14*SQRT(1+Y4175)</f>
        <v>1.37878011033769</v>
      </c>
      <c r="AA4175" s="0" t="n">
        <f aca="false">X4175-Z4175</f>
        <v>47.304790796095</v>
      </c>
      <c r="AB4175" s="0" t="n">
        <f aca="false">X4175+Z4175</f>
        <v>50.0623510167704</v>
      </c>
      <c r="AC4175" s="54" t="b">
        <f aca="false">AND(E4175&gt;=01_因子設定!$L$5-0.000000001,E4175&lt;=01_因子設定!$M$5+0.000000001,F4175&gt;=01_因子設定!$L$6-0.000000001,F4175&lt;=01_因子設定!$M$6+0.000000001,G4175&gt;=01_因子設定!$L$7-0.000000001,G4175&lt;=01_因子設定!$M$7+0.000000001,H4175&gt;=01_因子設定!$L$8-0.000000001,H4175&lt;=01_因子設定!$M$8+0.000000001,IF(01_因子設定!$B$20="Box-Behnken",E4175^2+F4175^2+G4175^2+H4175^2&lt;=2+0.000000001,TRUE()))</f>
        <v>1</v>
      </c>
      <c r="AD4175" s="55" t="n">
        <f aca="false">IF(AC4175,IF(01_因子設定!$B$13="最大化",AA4175-01_因子設定!$B$14,IF(01_因子設定!$B$13="最小化",01_因子設定!$B$15-AB4175,MIN(AA4175-01_因子設定!$B$14,01_因子設定!$B$15-AB4175))),-1E+030)</f>
        <v>0.804790796095006</v>
      </c>
      <c r="AE4175" s="55" t="n">
        <f aca="false">IF(AC4175,IF(01_因子設定!$B$13="最大化",X4175,IF(01_因子設定!$B$13="最小化",-X4175,-ABS(X4175-01_因子設定!$B$16))),-1E+030)</f>
        <v>48.6835709064327</v>
      </c>
      <c r="AF4175" s="55" t="n">
        <f aca="false">AD4175+ROW()*0.000000001</f>
        <v>0.804794971095006</v>
      </c>
      <c r="AG4175" s="55" t="n">
        <f aca="false">AE4175+ROW()*0.000000001</f>
        <v>48.6835750814327</v>
      </c>
    </row>
    <row r="4176" customFormat="false" ht="15" hidden="false" customHeight="false" outlineLevel="0" collapsed="false">
      <c r="A4176" s="0" t="n">
        <v>5</v>
      </c>
      <c r="B4176" s="0" t="n">
        <v>6</v>
      </c>
      <c r="C4176" s="0" t="n">
        <v>4</v>
      </c>
      <c r="D4176" s="0" t="n">
        <v>4</v>
      </c>
      <c r="E4176" s="0" t="n">
        <f aca="false">-1+A4176*0.25</f>
        <v>0.25</v>
      </c>
      <c r="F4176" s="0" t="n">
        <f aca="false">-1+B4176*0.25</f>
        <v>0.5</v>
      </c>
      <c r="G4176" s="0" t="n">
        <f aca="false">-1+C4176*0.25</f>
        <v>0</v>
      </c>
      <c r="H4176" s="0" t="n">
        <f aca="false">-1+D4176*0.25</f>
        <v>0</v>
      </c>
      <c r="I4176" s="0" t="n">
        <f aca="false">1</f>
        <v>1</v>
      </c>
      <c r="J4176" s="0" t="n">
        <f aca="false">E4176</f>
        <v>0.25</v>
      </c>
      <c r="K4176" s="0" t="n">
        <f aca="false">F4176</f>
        <v>0.5</v>
      </c>
      <c r="L4176" s="0" t="n">
        <f aca="false">G4176</f>
        <v>0</v>
      </c>
      <c r="M4176" s="0" t="n">
        <f aca="false">H4176</f>
        <v>0</v>
      </c>
      <c r="N4176" s="0" t="n">
        <f aca="false">E4176*F4176</f>
        <v>0.125</v>
      </c>
      <c r="O4176" s="0" t="n">
        <f aca="false">E4176*G4176</f>
        <v>0</v>
      </c>
      <c r="P4176" s="0" t="n">
        <f aca="false">E4176*H4176</f>
        <v>0</v>
      </c>
      <c r="Q4176" s="0" t="n">
        <f aca="false">F4176*G4176</f>
        <v>0</v>
      </c>
      <c r="R4176" s="0" t="n">
        <f aca="false">F4176*H4176</f>
        <v>0</v>
      </c>
      <c r="S4176" s="0" t="n">
        <f aca="false">G4176*H4176</f>
        <v>0</v>
      </c>
      <c r="T4176" s="0" t="n">
        <f aca="false">E4176*E4176</f>
        <v>0.0625</v>
      </c>
      <c r="U4176" s="0" t="n">
        <f aca="false">F4176*F4176</f>
        <v>0.25</v>
      </c>
      <c r="V4176" s="0" t="n">
        <f aca="false">G4176*G4176</f>
        <v>0</v>
      </c>
      <c r="W4176" s="0" t="n">
        <f aca="false">H4176*H4176</f>
        <v>0</v>
      </c>
      <c r="X4176" s="0" t="n">
        <f aca="false">SUMPRODUCT(I4176:W4176,_XtX!$B$96:$P$96)</f>
        <v>48.7901133040935</v>
      </c>
      <c r="Y4176" s="0" t="n">
        <f aca="false">SUMPRODUCT(MMULT(I4176:W4176,_XtX!$B$78:$P$92),I4176:W4176)</f>
        <v>0.120448419225146</v>
      </c>
      <c r="Z4176" s="0" t="n">
        <f aca="false">04_回帰ANOVA!$K$19*04_回帰ANOVA!$K$14*SQRT(1+Y4176)</f>
        <v>1.37973069703246</v>
      </c>
      <c r="AA4176" s="0" t="n">
        <f aca="false">X4176-Z4176</f>
        <v>47.410382607061</v>
      </c>
      <c r="AB4176" s="0" t="n">
        <f aca="false">X4176+Z4176</f>
        <v>50.169844001126</v>
      </c>
      <c r="AC4176" s="54" t="b">
        <f aca="false">AND(E4176&gt;=01_因子設定!$L$5-0.000000001,E4176&lt;=01_因子設定!$M$5+0.000000001,F4176&gt;=01_因子設定!$L$6-0.000000001,F4176&lt;=01_因子設定!$M$6+0.000000001,G4176&gt;=01_因子設定!$L$7-0.000000001,G4176&lt;=01_因子設定!$M$7+0.000000001,H4176&gt;=01_因子設定!$L$8-0.000000001,H4176&lt;=01_因子設定!$M$8+0.000000001,IF(01_因子設定!$B$20="Box-Behnken",E4176^2+F4176^2+G4176^2+H4176^2&lt;=2+0.000000001,TRUE()))</f>
        <v>1</v>
      </c>
      <c r="AD4176" s="55" t="n">
        <f aca="false">IF(AC4176,IF(01_因子設定!$B$13="最大化",AA4176-01_因子設定!$B$14,IF(01_因子設定!$B$13="最小化",01_因子設定!$B$15-AB4176,MIN(AA4176-01_因子設定!$B$14,01_因子設定!$B$15-AB4176))),-1E+030)</f>
        <v>0.910382607061045</v>
      </c>
      <c r="AE4176" s="55" t="n">
        <f aca="false">IF(AC4176,IF(01_因子設定!$B$13="最大化",X4176,IF(01_因子設定!$B$13="最小化",-X4176,-ABS(X4176-01_因子設定!$B$16))),-1E+030)</f>
        <v>48.7901133040935</v>
      </c>
      <c r="AF4176" s="55" t="n">
        <f aca="false">AD4176+ROW()*0.000000001</f>
        <v>0.910386783061045</v>
      </c>
      <c r="AG4176" s="55" t="n">
        <f aca="false">AE4176+ROW()*0.000000001</f>
        <v>48.7901174800935</v>
      </c>
    </row>
    <row r="4177" customFormat="false" ht="15" hidden="false" customHeight="false" outlineLevel="0" collapsed="false">
      <c r="A4177" s="0" t="n">
        <v>5</v>
      </c>
      <c r="B4177" s="0" t="n">
        <v>6</v>
      </c>
      <c r="C4177" s="0" t="n">
        <v>4</v>
      </c>
      <c r="D4177" s="0" t="n">
        <v>5</v>
      </c>
      <c r="E4177" s="0" t="n">
        <f aca="false">-1+A4177*0.25</f>
        <v>0.25</v>
      </c>
      <c r="F4177" s="0" t="n">
        <f aca="false">-1+B4177*0.25</f>
        <v>0.5</v>
      </c>
      <c r="G4177" s="0" t="n">
        <f aca="false">-1+C4177*0.25</f>
        <v>0</v>
      </c>
      <c r="H4177" s="0" t="n">
        <f aca="false">-1+D4177*0.25</f>
        <v>0.25</v>
      </c>
      <c r="I4177" s="0" t="n">
        <f aca="false">1</f>
        <v>1</v>
      </c>
      <c r="J4177" s="0" t="n">
        <f aca="false">E4177</f>
        <v>0.25</v>
      </c>
      <c r="K4177" s="0" t="n">
        <f aca="false">F4177</f>
        <v>0.5</v>
      </c>
      <c r="L4177" s="0" t="n">
        <f aca="false">G4177</f>
        <v>0</v>
      </c>
      <c r="M4177" s="0" t="n">
        <f aca="false">H4177</f>
        <v>0.25</v>
      </c>
      <c r="N4177" s="0" t="n">
        <f aca="false">E4177*F4177</f>
        <v>0.125</v>
      </c>
      <c r="O4177" s="0" t="n">
        <f aca="false">E4177*G4177</f>
        <v>0</v>
      </c>
      <c r="P4177" s="0" t="n">
        <f aca="false">E4177*H4177</f>
        <v>0.0625</v>
      </c>
      <c r="Q4177" s="0" t="n">
        <f aca="false">F4177*G4177</f>
        <v>0</v>
      </c>
      <c r="R4177" s="0" t="n">
        <f aca="false">F4177*H4177</f>
        <v>0.125</v>
      </c>
      <c r="S4177" s="0" t="n">
        <f aca="false">G4177*H4177</f>
        <v>0</v>
      </c>
      <c r="T4177" s="0" t="n">
        <f aca="false">E4177*E4177</f>
        <v>0.0625</v>
      </c>
      <c r="U4177" s="0" t="n">
        <f aca="false">F4177*F4177</f>
        <v>0.25</v>
      </c>
      <c r="V4177" s="0" t="n">
        <f aca="false">G4177*G4177</f>
        <v>0</v>
      </c>
      <c r="W4177" s="0" t="n">
        <f aca="false">H4177*H4177</f>
        <v>0.0625</v>
      </c>
      <c r="X4177" s="0" t="n">
        <f aca="false">SUMPRODUCT(I4177:W4177,_XtX!$B$96:$P$96)</f>
        <v>48.8488486842105</v>
      </c>
      <c r="Y4177" s="0" t="n">
        <f aca="false">SUMPRODUCT(MMULT(I4177:W4177,_XtX!$B$78:$P$92),I4177:W4177)</f>
        <v>0.118905050712719</v>
      </c>
      <c r="Z4177" s="0" t="n">
        <f aca="false">04_回帰ANOVA!$K$19*04_回帰ANOVA!$K$14*SQRT(1+Y4177)</f>
        <v>1.37878011033769</v>
      </c>
      <c r="AA4177" s="0" t="n">
        <f aca="false">X4177-Z4177</f>
        <v>47.4700685738728</v>
      </c>
      <c r="AB4177" s="0" t="n">
        <f aca="false">X4177+Z4177</f>
        <v>50.2276287945482</v>
      </c>
      <c r="AC4177" s="54" t="b">
        <f aca="false">AND(E4177&gt;=01_因子設定!$L$5-0.000000001,E4177&lt;=01_因子設定!$M$5+0.000000001,F4177&gt;=01_因子設定!$L$6-0.000000001,F4177&lt;=01_因子設定!$M$6+0.000000001,G4177&gt;=01_因子設定!$L$7-0.000000001,G4177&lt;=01_因子設定!$M$7+0.000000001,H4177&gt;=01_因子設定!$L$8-0.000000001,H4177&lt;=01_因子設定!$M$8+0.000000001,IF(01_因子設定!$B$20="Box-Behnken",E4177^2+F4177^2+G4177^2+H4177^2&lt;=2+0.000000001,TRUE()))</f>
        <v>1</v>
      </c>
      <c r="AD4177" s="55" t="n">
        <f aca="false">IF(AC4177,IF(01_因子設定!$B$13="最大化",AA4177-01_因子設定!$B$14,IF(01_因子設定!$B$13="最小化",01_因子設定!$B$15-AB4177,MIN(AA4177-01_因子設定!$B$14,01_因子設定!$B$15-AB4177))),-1E+030)</f>
        <v>0.97006857387278</v>
      </c>
      <c r="AE4177" s="55" t="n">
        <f aca="false">IF(AC4177,IF(01_因子設定!$B$13="最大化",X4177,IF(01_因子設定!$B$13="最小化",-X4177,-ABS(X4177-01_因子設定!$B$16))),-1E+030)</f>
        <v>48.8488486842105</v>
      </c>
      <c r="AF4177" s="55" t="n">
        <f aca="false">AD4177+ROW()*0.000000001</f>
        <v>0.97007275087278</v>
      </c>
      <c r="AG4177" s="55" t="n">
        <f aca="false">AE4177+ROW()*0.000000001</f>
        <v>48.8488528612105</v>
      </c>
    </row>
    <row r="4178" customFormat="false" ht="15" hidden="false" customHeight="false" outlineLevel="0" collapsed="false">
      <c r="A4178" s="0" t="n">
        <v>5</v>
      </c>
      <c r="B4178" s="0" t="n">
        <v>6</v>
      </c>
      <c r="C4178" s="0" t="n">
        <v>4</v>
      </c>
      <c r="D4178" s="0" t="n">
        <v>6</v>
      </c>
      <c r="E4178" s="0" t="n">
        <f aca="false">-1+A4178*0.25</f>
        <v>0.25</v>
      </c>
      <c r="F4178" s="0" t="n">
        <f aca="false">-1+B4178*0.25</f>
        <v>0.5</v>
      </c>
      <c r="G4178" s="0" t="n">
        <f aca="false">-1+C4178*0.25</f>
        <v>0</v>
      </c>
      <c r="H4178" s="0" t="n">
        <f aca="false">-1+D4178*0.25</f>
        <v>0.5</v>
      </c>
      <c r="I4178" s="0" t="n">
        <f aca="false">1</f>
        <v>1</v>
      </c>
      <c r="J4178" s="0" t="n">
        <f aca="false">E4178</f>
        <v>0.25</v>
      </c>
      <c r="K4178" s="0" t="n">
        <f aca="false">F4178</f>
        <v>0.5</v>
      </c>
      <c r="L4178" s="0" t="n">
        <f aca="false">G4178</f>
        <v>0</v>
      </c>
      <c r="M4178" s="0" t="n">
        <f aca="false">H4178</f>
        <v>0.5</v>
      </c>
      <c r="N4178" s="0" t="n">
        <f aca="false">E4178*F4178</f>
        <v>0.125</v>
      </c>
      <c r="O4178" s="0" t="n">
        <f aca="false">E4178*G4178</f>
        <v>0</v>
      </c>
      <c r="P4178" s="0" t="n">
        <f aca="false">E4178*H4178</f>
        <v>0.125</v>
      </c>
      <c r="Q4178" s="0" t="n">
        <f aca="false">F4178*G4178</f>
        <v>0</v>
      </c>
      <c r="R4178" s="0" t="n">
        <f aca="false">F4178*H4178</f>
        <v>0.25</v>
      </c>
      <c r="S4178" s="0" t="n">
        <f aca="false">G4178*H4178</f>
        <v>0</v>
      </c>
      <c r="T4178" s="0" t="n">
        <f aca="false">E4178*E4178</f>
        <v>0.0625</v>
      </c>
      <c r="U4178" s="0" t="n">
        <f aca="false">F4178*F4178</f>
        <v>0.25</v>
      </c>
      <c r="V4178" s="0" t="n">
        <f aca="false">G4178*G4178</f>
        <v>0</v>
      </c>
      <c r="W4178" s="0" t="n">
        <f aca="false">H4178*H4178</f>
        <v>0.25</v>
      </c>
      <c r="X4178" s="0" t="n">
        <f aca="false">SUMPRODUCT(I4178:W4178,_XtX!$B$96:$P$96)</f>
        <v>48.8597770467836</v>
      </c>
      <c r="Y4178" s="0" t="n">
        <f aca="false">SUMPRODUCT(MMULT(I4178:W4178,_XtX!$B$78:$P$92),I4178:W4178)</f>
        <v>0.132367050438597</v>
      </c>
      <c r="Z4178" s="0" t="n">
        <f aca="false">04_回帰ANOVA!$K$19*04_回帰ANOVA!$K$14*SQRT(1+Y4178)</f>
        <v>1.38704964208329</v>
      </c>
      <c r="AA4178" s="0" t="n">
        <f aca="false">X4178-Z4178</f>
        <v>47.4727274047003</v>
      </c>
      <c r="AB4178" s="0" t="n">
        <f aca="false">X4178+Z4178</f>
        <v>50.2468266888669</v>
      </c>
      <c r="AC4178" s="54" t="b">
        <f aca="false">AND(E4178&gt;=01_因子設定!$L$5-0.000000001,E4178&lt;=01_因子設定!$M$5+0.000000001,F4178&gt;=01_因子設定!$L$6-0.000000001,F4178&lt;=01_因子設定!$M$6+0.000000001,G4178&gt;=01_因子設定!$L$7-0.000000001,G4178&lt;=01_因子設定!$M$7+0.000000001,H4178&gt;=01_因子設定!$L$8-0.000000001,H4178&lt;=01_因子設定!$M$8+0.000000001,IF(01_因子設定!$B$20="Box-Behnken",E4178^2+F4178^2+G4178^2+H4178^2&lt;=2+0.000000001,TRUE()))</f>
        <v>1</v>
      </c>
      <c r="AD4178" s="55" t="n">
        <f aca="false">IF(AC4178,IF(01_因子設定!$B$13="最大化",AA4178-01_因子設定!$B$14,IF(01_因子設定!$B$13="最小化",01_因子設定!$B$15-AB4178,MIN(AA4178-01_因子設定!$B$14,01_因子設定!$B$15-AB4178))),-1E+030)</f>
        <v>0.972727404700279</v>
      </c>
      <c r="AE4178" s="55" t="n">
        <f aca="false">IF(AC4178,IF(01_因子設定!$B$13="最大化",X4178,IF(01_因子設定!$B$13="最小化",-X4178,-ABS(X4178-01_因子設定!$B$16))),-1E+030)</f>
        <v>48.8597770467836</v>
      </c>
      <c r="AF4178" s="55" t="n">
        <f aca="false">AD4178+ROW()*0.000000001</f>
        <v>0.972731582700279</v>
      </c>
      <c r="AG4178" s="55" t="n">
        <f aca="false">AE4178+ROW()*0.000000001</f>
        <v>48.8597812247836</v>
      </c>
    </row>
    <row r="4179" customFormat="false" ht="15" hidden="false" customHeight="false" outlineLevel="0" collapsed="false">
      <c r="A4179" s="0" t="n">
        <v>5</v>
      </c>
      <c r="B4179" s="0" t="n">
        <v>6</v>
      </c>
      <c r="C4179" s="0" t="n">
        <v>4</v>
      </c>
      <c r="D4179" s="0" t="n">
        <v>7</v>
      </c>
      <c r="E4179" s="0" t="n">
        <f aca="false">-1+A4179*0.25</f>
        <v>0.25</v>
      </c>
      <c r="F4179" s="0" t="n">
        <f aca="false">-1+B4179*0.25</f>
        <v>0.5</v>
      </c>
      <c r="G4179" s="0" t="n">
        <f aca="false">-1+C4179*0.25</f>
        <v>0</v>
      </c>
      <c r="H4179" s="0" t="n">
        <f aca="false">-1+D4179*0.25</f>
        <v>0.75</v>
      </c>
      <c r="I4179" s="0" t="n">
        <f aca="false">1</f>
        <v>1</v>
      </c>
      <c r="J4179" s="0" t="n">
        <f aca="false">E4179</f>
        <v>0.25</v>
      </c>
      <c r="K4179" s="0" t="n">
        <f aca="false">F4179</f>
        <v>0.5</v>
      </c>
      <c r="L4179" s="0" t="n">
        <f aca="false">G4179</f>
        <v>0</v>
      </c>
      <c r="M4179" s="0" t="n">
        <f aca="false">H4179</f>
        <v>0.75</v>
      </c>
      <c r="N4179" s="0" t="n">
        <f aca="false">E4179*F4179</f>
        <v>0.125</v>
      </c>
      <c r="O4179" s="0" t="n">
        <f aca="false">E4179*G4179</f>
        <v>0</v>
      </c>
      <c r="P4179" s="0" t="n">
        <f aca="false">E4179*H4179</f>
        <v>0.1875</v>
      </c>
      <c r="Q4179" s="0" t="n">
        <f aca="false">F4179*G4179</f>
        <v>0</v>
      </c>
      <c r="R4179" s="0" t="n">
        <f aca="false">F4179*H4179</f>
        <v>0.375</v>
      </c>
      <c r="S4179" s="0" t="n">
        <f aca="false">G4179*H4179</f>
        <v>0</v>
      </c>
      <c r="T4179" s="0" t="n">
        <f aca="false">E4179*E4179</f>
        <v>0.0625</v>
      </c>
      <c r="U4179" s="0" t="n">
        <f aca="false">F4179*F4179</f>
        <v>0.25</v>
      </c>
      <c r="V4179" s="0" t="n">
        <f aca="false">G4179*G4179</f>
        <v>0</v>
      </c>
      <c r="W4179" s="0" t="n">
        <f aca="false">H4179*H4179</f>
        <v>0.5625</v>
      </c>
      <c r="X4179" s="0" t="n">
        <f aca="false">SUMPRODUCT(I4179:W4179,_XtX!$B$96:$P$96)</f>
        <v>48.8228983918128</v>
      </c>
      <c r="Y4179" s="0" t="n">
        <f aca="false">SUMPRODUCT(MMULT(I4179:W4179,_XtX!$B$78:$P$92),I4179:W4179)</f>
        <v>0.215110734192252</v>
      </c>
      <c r="Z4179" s="0" t="n">
        <f aca="false">04_回帰ANOVA!$K$19*04_回帰ANOVA!$K$14*SQRT(1+Y4179)</f>
        <v>1.43683309086864</v>
      </c>
      <c r="AA4179" s="0" t="n">
        <f aca="false">X4179-Z4179</f>
        <v>47.3860653009442</v>
      </c>
      <c r="AB4179" s="0" t="n">
        <f aca="false">X4179+Z4179</f>
        <v>50.2597314826815</v>
      </c>
      <c r="AC4179" s="54" t="b">
        <f aca="false">AND(E4179&gt;=01_因子設定!$L$5-0.000000001,E4179&lt;=01_因子設定!$M$5+0.000000001,F4179&gt;=01_因子設定!$L$6-0.000000001,F4179&lt;=01_因子設定!$M$6+0.000000001,G4179&gt;=01_因子設定!$L$7-0.000000001,G4179&lt;=01_因子設定!$M$7+0.000000001,H4179&gt;=01_因子設定!$L$8-0.000000001,H4179&lt;=01_因子設定!$M$8+0.000000001,IF(01_因子設定!$B$20="Box-Behnken",E4179^2+F4179^2+G4179^2+H4179^2&lt;=2+0.000000001,TRUE()))</f>
        <v>1</v>
      </c>
      <c r="AD4179" s="55" t="n">
        <f aca="false">IF(AC4179,IF(01_因子設定!$B$13="最大化",AA4179-01_因子設定!$B$14,IF(01_因子設定!$B$13="最小化",01_因子設定!$B$15-AB4179,MIN(AA4179-01_因子設定!$B$14,01_因子設定!$B$15-AB4179))),-1E+030)</f>
        <v>0.886065300944182</v>
      </c>
      <c r="AE4179" s="55" t="n">
        <f aca="false">IF(AC4179,IF(01_因子設定!$B$13="最大化",X4179,IF(01_因子設定!$B$13="最小化",-X4179,-ABS(X4179-01_因子設定!$B$16))),-1E+030)</f>
        <v>48.8228983918128</v>
      </c>
      <c r="AF4179" s="55" t="n">
        <f aca="false">AD4179+ROW()*0.000000001</f>
        <v>0.886069479944182</v>
      </c>
      <c r="AG4179" s="55" t="n">
        <f aca="false">AE4179+ROW()*0.000000001</f>
        <v>48.8229025708128</v>
      </c>
    </row>
    <row r="4180" customFormat="false" ht="15" hidden="false" customHeight="false" outlineLevel="0" collapsed="false">
      <c r="A4180" s="0" t="n">
        <v>5</v>
      </c>
      <c r="B4180" s="0" t="n">
        <v>6</v>
      </c>
      <c r="C4180" s="0" t="n">
        <v>4</v>
      </c>
      <c r="D4180" s="0" t="n">
        <v>8</v>
      </c>
      <c r="E4180" s="0" t="n">
        <f aca="false">-1+A4180*0.25</f>
        <v>0.25</v>
      </c>
      <c r="F4180" s="0" t="n">
        <f aca="false">-1+B4180*0.25</f>
        <v>0.5</v>
      </c>
      <c r="G4180" s="0" t="n">
        <f aca="false">-1+C4180*0.25</f>
        <v>0</v>
      </c>
      <c r="H4180" s="0" t="n">
        <f aca="false">-1+D4180*0.25</f>
        <v>1</v>
      </c>
      <c r="I4180" s="0" t="n">
        <f aca="false">1</f>
        <v>1</v>
      </c>
      <c r="J4180" s="0" t="n">
        <f aca="false">E4180</f>
        <v>0.25</v>
      </c>
      <c r="K4180" s="0" t="n">
        <f aca="false">F4180</f>
        <v>0.5</v>
      </c>
      <c r="L4180" s="0" t="n">
        <f aca="false">G4180</f>
        <v>0</v>
      </c>
      <c r="M4180" s="0" t="n">
        <f aca="false">H4180</f>
        <v>1</v>
      </c>
      <c r="N4180" s="0" t="n">
        <f aca="false">E4180*F4180</f>
        <v>0.125</v>
      </c>
      <c r="O4180" s="0" t="n">
        <f aca="false">E4180*G4180</f>
        <v>0</v>
      </c>
      <c r="P4180" s="0" t="n">
        <f aca="false">E4180*H4180</f>
        <v>0.25</v>
      </c>
      <c r="Q4180" s="0" t="n">
        <f aca="false">F4180*G4180</f>
        <v>0</v>
      </c>
      <c r="R4180" s="0" t="n">
        <f aca="false">F4180*H4180</f>
        <v>0.5</v>
      </c>
      <c r="S4180" s="0" t="n">
        <f aca="false">G4180*H4180</f>
        <v>0</v>
      </c>
      <c r="T4180" s="0" t="n">
        <f aca="false">E4180*E4180</f>
        <v>0.0625</v>
      </c>
      <c r="U4180" s="0" t="n">
        <f aca="false">F4180*F4180</f>
        <v>0.25</v>
      </c>
      <c r="V4180" s="0" t="n">
        <f aca="false">G4180*G4180</f>
        <v>0</v>
      </c>
      <c r="W4180" s="0" t="n">
        <f aca="false">H4180*H4180</f>
        <v>1</v>
      </c>
      <c r="X4180" s="0" t="n">
        <f aca="false">SUMPRODUCT(I4180:W4180,_XtX!$B$96:$P$96)</f>
        <v>48.7382127192982</v>
      </c>
      <c r="Y4180" s="0" t="n">
        <f aca="false">SUMPRODUCT(MMULT(I4180:W4180,_XtX!$B$78:$P$92),I4180:W4180)</f>
        <v>0.457596628289474</v>
      </c>
      <c r="Z4180" s="0" t="n">
        <f aca="false">04_回帰ANOVA!$K$19*04_回帰ANOVA!$K$14*SQRT(1+Y4180)</f>
        <v>1.57368233664366</v>
      </c>
      <c r="AA4180" s="0" t="n">
        <f aca="false">X4180-Z4180</f>
        <v>47.1645303826546</v>
      </c>
      <c r="AB4180" s="0" t="n">
        <f aca="false">X4180+Z4180</f>
        <v>50.3118950559419</v>
      </c>
      <c r="AC4180" s="54" t="b">
        <f aca="false">AND(E4180&gt;=01_因子設定!$L$5-0.000000001,E4180&lt;=01_因子設定!$M$5+0.000000001,F4180&gt;=01_因子設定!$L$6-0.000000001,F4180&lt;=01_因子設定!$M$6+0.000000001,G4180&gt;=01_因子設定!$L$7-0.000000001,G4180&lt;=01_因子設定!$M$7+0.000000001,H4180&gt;=01_因子設定!$L$8-0.000000001,H4180&lt;=01_因子設定!$M$8+0.000000001,IF(01_因子設定!$B$20="Box-Behnken",E4180^2+F4180^2+G4180^2+H4180^2&lt;=2+0.000000001,TRUE()))</f>
        <v>1</v>
      </c>
      <c r="AD4180" s="55" t="n">
        <f aca="false">IF(AC4180,IF(01_因子設定!$B$13="最大化",AA4180-01_因子設定!$B$14,IF(01_因子設定!$B$13="最小化",01_因子設定!$B$15-AB4180,MIN(AA4180-01_因子設定!$B$14,01_因子設定!$B$15-AB4180))),-1E+030)</f>
        <v>0.664530382654561</v>
      </c>
      <c r="AE4180" s="55" t="n">
        <f aca="false">IF(AC4180,IF(01_因子設定!$B$13="最大化",X4180,IF(01_因子設定!$B$13="最小化",-X4180,-ABS(X4180-01_因子設定!$B$16))),-1E+030)</f>
        <v>48.7382127192982</v>
      </c>
      <c r="AF4180" s="55" t="n">
        <f aca="false">AD4180+ROW()*0.000000001</f>
        <v>0.664534562654562</v>
      </c>
      <c r="AG4180" s="55" t="n">
        <f aca="false">AE4180+ROW()*0.000000001</f>
        <v>48.7382168992982</v>
      </c>
    </row>
    <row r="4181" customFormat="false" ht="15" hidden="false" customHeight="false" outlineLevel="0" collapsed="false">
      <c r="A4181" s="0" t="n">
        <v>5</v>
      </c>
      <c r="B4181" s="0" t="n">
        <v>6</v>
      </c>
      <c r="C4181" s="0" t="n">
        <v>5</v>
      </c>
      <c r="D4181" s="0" t="n">
        <v>0</v>
      </c>
      <c r="E4181" s="0" t="n">
        <f aca="false">-1+A4181*0.25</f>
        <v>0.25</v>
      </c>
      <c r="F4181" s="0" t="n">
        <f aca="false">-1+B4181*0.25</f>
        <v>0.5</v>
      </c>
      <c r="G4181" s="0" t="n">
        <f aca="false">-1+C4181*0.25</f>
        <v>0.25</v>
      </c>
      <c r="H4181" s="0" t="n">
        <f aca="false">-1+D4181*0.25</f>
        <v>-1</v>
      </c>
      <c r="I4181" s="0" t="n">
        <f aca="false">1</f>
        <v>1</v>
      </c>
      <c r="J4181" s="0" t="n">
        <f aca="false">E4181</f>
        <v>0.25</v>
      </c>
      <c r="K4181" s="0" t="n">
        <f aca="false">F4181</f>
        <v>0.5</v>
      </c>
      <c r="L4181" s="0" t="n">
        <f aca="false">G4181</f>
        <v>0.25</v>
      </c>
      <c r="M4181" s="0" t="n">
        <f aca="false">H4181</f>
        <v>-1</v>
      </c>
      <c r="N4181" s="0" t="n">
        <f aca="false">E4181*F4181</f>
        <v>0.125</v>
      </c>
      <c r="O4181" s="0" t="n">
        <f aca="false">E4181*G4181</f>
        <v>0.0625</v>
      </c>
      <c r="P4181" s="0" t="n">
        <f aca="false">E4181*H4181</f>
        <v>-0.25</v>
      </c>
      <c r="Q4181" s="0" t="n">
        <f aca="false">F4181*G4181</f>
        <v>0.125</v>
      </c>
      <c r="R4181" s="0" t="n">
        <f aca="false">F4181*H4181</f>
        <v>-0.5</v>
      </c>
      <c r="S4181" s="0" t="n">
        <f aca="false">G4181*H4181</f>
        <v>-0.25</v>
      </c>
      <c r="T4181" s="0" t="n">
        <f aca="false">E4181*E4181</f>
        <v>0.0625</v>
      </c>
      <c r="U4181" s="0" t="n">
        <f aca="false">F4181*F4181</f>
        <v>0.25</v>
      </c>
      <c r="V4181" s="0" t="n">
        <f aca="false">G4181*G4181</f>
        <v>0.0625</v>
      </c>
      <c r="W4181" s="0" t="n">
        <f aca="false">H4181*H4181</f>
        <v>1</v>
      </c>
      <c r="X4181" s="0" t="n">
        <f aca="false">SUMPRODUCT(I4181:W4181,_XtX!$B$96:$P$96)</f>
        <v>48.2068439327485</v>
      </c>
      <c r="Y4181" s="0" t="n">
        <f aca="false">SUMPRODUCT(MMULT(I4181:W4181,_XtX!$B$78:$P$92),I4181:W4181)</f>
        <v>0.445705123812135</v>
      </c>
      <c r="Z4181" s="0" t="n">
        <f aca="false">04_回帰ANOVA!$K$19*04_回帰ANOVA!$K$14*SQRT(1+Y4181)</f>
        <v>1.56724990734749</v>
      </c>
      <c r="AA4181" s="0" t="n">
        <f aca="false">X4181-Z4181</f>
        <v>46.639594025401</v>
      </c>
      <c r="AB4181" s="0" t="n">
        <f aca="false">X4181+Z4181</f>
        <v>49.774093840096</v>
      </c>
      <c r="AC4181" s="54" t="b">
        <f aca="false">AND(E4181&gt;=01_因子設定!$L$5-0.000000001,E4181&lt;=01_因子設定!$M$5+0.000000001,F4181&gt;=01_因子設定!$L$6-0.000000001,F4181&lt;=01_因子設定!$M$6+0.000000001,G4181&gt;=01_因子設定!$L$7-0.000000001,G4181&lt;=01_因子設定!$M$7+0.000000001,H4181&gt;=01_因子設定!$L$8-0.000000001,H4181&lt;=01_因子設定!$M$8+0.000000001,IF(01_因子設定!$B$20="Box-Behnken",E4181^2+F4181^2+G4181^2+H4181^2&lt;=2+0.000000001,TRUE()))</f>
        <v>1</v>
      </c>
      <c r="AD4181" s="55" t="n">
        <f aca="false">IF(AC4181,IF(01_因子設定!$B$13="最大化",AA4181-01_因子設定!$B$14,IF(01_因子設定!$B$13="最小化",01_因子設定!$B$15-AB4181,MIN(AA4181-01_因子設定!$B$14,01_因子設定!$B$15-AB4181))),-1E+030)</f>
        <v>0.139594025401024</v>
      </c>
      <c r="AE4181" s="55" t="n">
        <f aca="false">IF(AC4181,IF(01_因子設定!$B$13="最大化",X4181,IF(01_因子設定!$B$13="最小化",-X4181,-ABS(X4181-01_因子設定!$B$16))),-1E+030)</f>
        <v>48.2068439327485</v>
      </c>
      <c r="AF4181" s="55" t="n">
        <f aca="false">AD4181+ROW()*0.000000001</f>
        <v>0.139598206401024</v>
      </c>
      <c r="AG4181" s="55" t="n">
        <f aca="false">AE4181+ROW()*0.000000001</f>
        <v>48.2068481137485</v>
      </c>
    </row>
    <row r="4182" customFormat="false" ht="15" hidden="false" customHeight="false" outlineLevel="0" collapsed="false">
      <c r="A4182" s="0" t="n">
        <v>5</v>
      </c>
      <c r="B4182" s="0" t="n">
        <v>6</v>
      </c>
      <c r="C4182" s="0" t="n">
        <v>5</v>
      </c>
      <c r="D4182" s="0" t="n">
        <v>1</v>
      </c>
      <c r="E4182" s="0" t="n">
        <f aca="false">-1+A4182*0.25</f>
        <v>0.25</v>
      </c>
      <c r="F4182" s="0" t="n">
        <f aca="false">-1+B4182*0.25</f>
        <v>0.5</v>
      </c>
      <c r="G4182" s="0" t="n">
        <f aca="false">-1+C4182*0.25</f>
        <v>0.25</v>
      </c>
      <c r="H4182" s="0" t="n">
        <f aca="false">-1+D4182*0.25</f>
        <v>-0.75</v>
      </c>
      <c r="I4182" s="0" t="n">
        <f aca="false">1</f>
        <v>1</v>
      </c>
      <c r="J4182" s="0" t="n">
        <f aca="false">E4182</f>
        <v>0.25</v>
      </c>
      <c r="K4182" s="0" t="n">
        <f aca="false">F4182</f>
        <v>0.5</v>
      </c>
      <c r="L4182" s="0" t="n">
        <f aca="false">G4182</f>
        <v>0.25</v>
      </c>
      <c r="M4182" s="0" t="n">
        <f aca="false">H4182</f>
        <v>-0.75</v>
      </c>
      <c r="N4182" s="0" t="n">
        <f aca="false">E4182*F4182</f>
        <v>0.125</v>
      </c>
      <c r="O4182" s="0" t="n">
        <f aca="false">E4182*G4182</f>
        <v>0.0625</v>
      </c>
      <c r="P4182" s="0" t="n">
        <f aca="false">E4182*H4182</f>
        <v>-0.1875</v>
      </c>
      <c r="Q4182" s="0" t="n">
        <f aca="false">F4182*G4182</f>
        <v>0.125</v>
      </c>
      <c r="R4182" s="0" t="n">
        <f aca="false">F4182*H4182</f>
        <v>-0.375</v>
      </c>
      <c r="S4182" s="0" t="n">
        <f aca="false">G4182*H4182</f>
        <v>-0.1875</v>
      </c>
      <c r="T4182" s="0" t="n">
        <f aca="false">E4182*E4182</f>
        <v>0.0625</v>
      </c>
      <c r="U4182" s="0" t="n">
        <f aca="false">F4182*F4182</f>
        <v>0.25</v>
      </c>
      <c r="V4182" s="0" t="n">
        <f aca="false">G4182*G4182</f>
        <v>0.0625</v>
      </c>
      <c r="W4182" s="0" t="n">
        <f aca="false">H4182*H4182</f>
        <v>0.5625</v>
      </c>
      <c r="X4182" s="0" t="n">
        <f aca="false">SUMPRODUCT(I4182:W4182,_XtX!$B$96:$P$96)</f>
        <v>48.4747761330409</v>
      </c>
      <c r="Y4182" s="0" t="n">
        <f aca="false">SUMPRODUCT(MMULT(I4182:W4182,_XtX!$B$78:$P$92),I4182:W4182)</f>
        <v>0.207746539199561</v>
      </c>
      <c r="Z4182" s="0" t="n">
        <f aca="false">04_回帰ANOVA!$K$19*04_回帰ANOVA!$K$14*SQRT(1+Y4182)</f>
        <v>1.43247250081141</v>
      </c>
      <c r="AA4182" s="0" t="n">
        <f aca="false">X4182-Z4182</f>
        <v>47.0423036322295</v>
      </c>
      <c r="AB4182" s="0" t="n">
        <f aca="false">X4182+Z4182</f>
        <v>49.9072486338523</v>
      </c>
      <c r="AC4182" s="54" t="b">
        <f aca="false">AND(E4182&gt;=01_因子設定!$L$5-0.000000001,E4182&lt;=01_因子設定!$M$5+0.000000001,F4182&gt;=01_因子設定!$L$6-0.000000001,F4182&lt;=01_因子設定!$M$6+0.000000001,G4182&gt;=01_因子設定!$L$7-0.000000001,G4182&lt;=01_因子設定!$M$7+0.000000001,H4182&gt;=01_因子設定!$L$8-0.000000001,H4182&lt;=01_因子設定!$M$8+0.000000001,IF(01_因子設定!$B$20="Box-Behnken",E4182^2+F4182^2+G4182^2+H4182^2&lt;=2+0.000000001,TRUE()))</f>
        <v>1</v>
      </c>
      <c r="AD4182" s="55" t="n">
        <f aca="false">IF(AC4182,IF(01_因子設定!$B$13="最大化",AA4182-01_因子設定!$B$14,IF(01_因子設定!$B$13="最小化",01_因子設定!$B$15-AB4182,MIN(AA4182-01_因子設定!$B$14,01_因子設定!$B$15-AB4182))),-1E+030)</f>
        <v>0.542303632229491</v>
      </c>
      <c r="AE4182" s="55" t="n">
        <f aca="false">IF(AC4182,IF(01_因子設定!$B$13="最大化",X4182,IF(01_因子設定!$B$13="最小化",-X4182,-ABS(X4182-01_因子設定!$B$16))),-1E+030)</f>
        <v>48.4747761330409</v>
      </c>
      <c r="AF4182" s="55" t="n">
        <f aca="false">AD4182+ROW()*0.000000001</f>
        <v>0.542307814229491</v>
      </c>
      <c r="AG4182" s="55" t="n">
        <f aca="false">AE4182+ROW()*0.000000001</f>
        <v>48.4747803150409</v>
      </c>
    </row>
    <row r="4183" customFormat="false" ht="15" hidden="false" customHeight="false" outlineLevel="0" collapsed="false">
      <c r="A4183" s="0" t="n">
        <v>5</v>
      </c>
      <c r="B4183" s="0" t="n">
        <v>6</v>
      </c>
      <c r="C4183" s="0" t="n">
        <v>5</v>
      </c>
      <c r="D4183" s="0" t="n">
        <v>2</v>
      </c>
      <c r="E4183" s="0" t="n">
        <f aca="false">-1+A4183*0.25</f>
        <v>0.25</v>
      </c>
      <c r="F4183" s="0" t="n">
        <f aca="false">-1+B4183*0.25</f>
        <v>0.5</v>
      </c>
      <c r="G4183" s="0" t="n">
        <f aca="false">-1+C4183*0.25</f>
        <v>0.25</v>
      </c>
      <c r="H4183" s="0" t="n">
        <f aca="false">-1+D4183*0.25</f>
        <v>-0.5</v>
      </c>
      <c r="I4183" s="0" t="n">
        <f aca="false">1</f>
        <v>1</v>
      </c>
      <c r="J4183" s="0" t="n">
        <f aca="false">E4183</f>
        <v>0.25</v>
      </c>
      <c r="K4183" s="0" t="n">
        <f aca="false">F4183</f>
        <v>0.5</v>
      </c>
      <c r="L4183" s="0" t="n">
        <f aca="false">G4183</f>
        <v>0.25</v>
      </c>
      <c r="M4183" s="0" t="n">
        <f aca="false">H4183</f>
        <v>-0.5</v>
      </c>
      <c r="N4183" s="0" t="n">
        <f aca="false">E4183*F4183</f>
        <v>0.125</v>
      </c>
      <c r="O4183" s="0" t="n">
        <f aca="false">E4183*G4183</f>
        <v>0.0625</v>
      </c>
      <c r="P4183" s="0" t="n">
        <f aca="false">E4183*H4183</f>
        <v>-0.125</v>
      </c>
      <c r="Q4183" s="0" t="n">
        <f aca="false">F4183*G4183</f>
        <v>0.125</v>
      </c>
      <c r="R4183" s="0" t="n">
        <f aca="false">F4183*H4183</f>
        <v>-0.25</v>
      </c>
      <c r="S4183" s="0" t="n">
        <f aca="false">G4183*H4183</f>
        <v>-0.125</v>
      </c>
      <c r="T4183" s="0" t="n">
        <f aca="false">E4183*E4183</f>
        <v>0.0625</v>
      </c>
      <c r="U4183" s="0" t="n">
        <f aca="false">F4183*F4183</f>
        <v>0.25</v>
      </c>
      <c r="V4183" s="0" t="n">
        <f aca="false">G4183*G4183</f>
        <v>0.0625</v>
      </c>
      <c r="W4183" s="0" t="n">
        <f aca="false">H4183*H4183</f>
        <v>0.25</v>
      </c>
      <c r="X4183" s="0" t="n">
        <f aca="false">SUMPRODUCT(I4183:W4183,_XtX!$B$96:$P$96)</f>
        <v>48.6949013157894</v>
      </c>
      <c r="Y4183" s="0" t="n">
        <f aca="false">SUMPRODUCT(MMULT(I4183:W4183,_XtX!$B$78:$P$92),I4183:W4183)</f>
        <v>0.128236647934942</v>
      </c>
      <c r="Z4183" s="0" t="n">
        <f aca="false">04_回帰ANOVA!$K$19*04_回帰ANOVA!$K$14*SQRT(1+Y4183)</f>
        <v>1.38451764188989</v>
      </c>
      <c r="AA4183" s="0" t="n">
        <f aca="false">X4183-Z4183</f>
        <v>47.3103836738995</v>
      </c>
      <c r="AB4183" s="0" t="n">
        <f aca="false">X4183+Z4183</f>
        <v>50.0794189576793</v>
      </c>
      <c r="AC4183" s="54" t="b">
        <f aca="false">AND(E4183&gt;=01_因子設定!$L$5-0.000000001,E4183&lt;=01_因子設定!$M$5+0.000000001,F4183&gt;=01_因子設定!$L$6-0.000000001,F4183&lt;=01_因子設定!$M$6+0.000000001,G4183&gt;=01_因子設定!$L$7-0.000000001,G4183&lt;=01_因子設定!$M$7+0.000000001,H4183&gt;=01_因子設定!$L$8-0.000000001,H4183&lt;=01_因子設定!$M$8+0.000000001,IF(01_因子設定!$B$20="Box-Behnken",E4183^2+F4183^2+G4183^2+H4183^2&lt;=2+0.000000001,TRUE()))</f>
        <v>1</v>
      </c>
      <c r="AD4183" s="55" t="n">
        <f aca="false">IF(AC4183,IF(01_因子設定!$B$13="最大化",AA4183-01_因子設定!$B$14,IF(01_因子設定!$B$13="最小化",01_因子設定!$B$15-AB4183,MIN(AA4183-01_因子設定!$B$14,01_因子設定!$B$15-AB4183))),-1E+030)</f>
        <v>0.810383673899537</v>
      </c>
      <c r="AE4183" s="55" t="n">
        <f aca="false">IF(AC4183,IF(01_因子設定!$B$13="最大化",X4183,IF(01_因子設定!$B$13="最小化",-X4183,-ABS(X4183-01_因子設定!$B$16))),-1E+030)</f>
        <v>48.6949013157894</v>
      </c>
      <c r="AF4183" s="55" t="n">
        <f aca="false">AD4183+ROW()*0.000000001</f>
        <v>0.810387856899537</v>
      </c>
      <c r="AG4183" s="55" t="n">
        <f aca="false">AE4183+ROW()*0.000000001</f>
        <v>48.6949054987894</v>
      </c>
    </row>
    <row r="4184" customFormat="false" ht="15" hidden="false" customHeight="false" outlineLevel="0" collapsed="false">
      <c r="A4184" s="0" t="n">
        <v>5</v>
      </c>
      <c r="B4184" s="0" t="n">
        <v>6</v>
      </c>
      <c r="C4184" s="0" t="n">
        <v>5</v>
      </c>
      <c r="D4184" s="0" t="n">
        <v>3</v>
      </c>
      <c r="E4184" s="0" t="n">
        <f aca="false">-1+A4184*0.25</f>
        <v>0.25</v>
      </c>
      <c r="F4184" s="0" t="n">
        <f aca="false">-1+B4184*0.25</f>
        <v>0.5</v>
      </c>
      <c r="G4184" s="0" t="n">
        <f aca="false">-1+C4184*0.25</f>
        <v>0.25</v>
      </c>
      <c r="H4184" s="0" t="n">
        <f aca="false">-1+D4184*0.25</f>
        <v>-0.25</v>
      </c>
      <c r="I4184" s="0" t="n">
        <f aca="false">1</f>
        <v>1</v>
      </c>
      <c r="J4184" s="0" t="n">
        <f aca="false">E4184</f>
        <v>0.25</v>
      </c>
      <c r="K4184" s="0" t="n">
        <f aca="false">F4184</f>
        <v>0.5</v>
      </c>
      <c r="L4184" s="0" t="n">
        <f aca="false">G4184</f>
        <v>0.25</v>
      </c>
      <c r="M4184" s="0" t="n">
        <f aca="false">H4184</f>
        <v>-0.25</v>
      </c>
      <c r="N4184" s="0" t="n">
        <f aca="false">E4184*F4184</f>
        <v>0.125</v>
      </c>
      <c r="O4184" s="0" t="n">
        <f aca="false">E4184*G4184</f>
        <v>0.0625</v>
      </c>
      <c r="P4184" s="0" t="n">
        <f aca="false">E4184*H4184</f>
        <v>-0.0625</v>
      </c>
      <c r="Q4184" s="0" t="n">
        <f aca="false">F4184*G4184</f>
        <v>0.125</v>
      </c>
      <c r="R4184" s="0" t="n">
        <f aca="false">F4184*H4184</f>
        <v>-0.125</v>
      </c>
      <c r="S4184" s="0" t="n">
        <f aca="false">G4184*H4184</f>
        <v>-0.0625</v>
      </c>
      <c r="T4184" s="0" t="n">
        <f aca="false">E4184*E4184</f>
        <v>0.0625</v>
      </c>
      <c r="U4184" s="0" t="n">
        <f aca="false">F4184*F4184</f>
        <v>0.25</v>
      </c>
      <c r="V4184" s="0" t="n">
        <f aca="false">G4184*G4184</f>
        <v>0.0625</v>
      </c>
      <c r="W4184" s="0" t="n">
        <f aca="false">H4184*H4184</f>
        <v>0.0625</v>
      </c>
      <c r="X4184" s="0" t="n">
        <f aca="false">SUMPRODUCT(I4184:W4184,_XtX!$B$96:$P$96)</f>
        <v>48.8672194809941</v>
      </c>
      <c r="Y4184" s="0" t="n">
        <f aca="false">SUMPRODUCT(MMULT(I4184:W4184,_XtX!$B$78:$P$92),I4184:W4184)</f>
        <v>0.116714923702485</v>
      </c>
      <c r="Z4184" s="0" t="n">
        <f aca="false">04_回帰ANOVA!$K$19*04_回帰ANOVA!$K$14*SQRT(1+Y4184)</f>
        <v>1.37743004820023</v>
      </c>
      <c r="AA4184" s="0" t="n">
        <f aca="false">X4184-Z4184</f>
        <v>47.4897894327939</v>
      </c>
      <c r="AB4184" s="0" t="n">
        <f aca="false">X4184+Z4184</f>
        <v>50.2446495291943</v>
      </c>
      <c r="AC4184" s="54" t="b">
        <f aca="false">AND(E4184&gt;=01_因子設定!$L$5-0.000000001,E4184&lt;=01_因子設定!$M$5+0.000000001,F4184&gt;=01_因子設定!$L$6-0.000000001,F4184&lt;=01_因子設定!$M$6+0.000000001,G4184&gt;=01_因子設定!$L$7-0.000000001,G4184&lt;=01_因子設定!$M$7+0.000000001,H4184&gt;=01_因子設定!$L$8-0.000000001,H4184&lt;=01_因子設定!$M$8+0.000000001,IF(01_因子設定!$B$20="Box-Behnken",E4184^2+F4184^2+G4184^2+H4184^2&lt;=2+0.000000001,TRUE()))</f>
        <v>1</v>
      </c>
      <c r="AD4184" s="55" t="n">
        <f aca="false">IF(AC4184,IF(01_因子設定!$B$13="最大化",AA4184-01_因子設定!$B$14,IF(01_因子設定!$B$13="最小化",01_因子設定!$B$15-AB4184,MIN(AA4184-01_因子設定!$B$14,01_因子設定!$B$15-AB4184))),-1E+030)</f>
        <v>0.98978943279387</v>
      </c>
      <c r="AE4184" s="55" t="n">
        <f aca="false">IF(AC4184,IF(01_因子設定!$B$13="最大化",X4184,IF(01_因子設定!$B$13="最小化",-X4184,-ABS(X4184-01_因子設定!$B$16))),-1E+030)</f>
        <v>48.8672194809941</v>
      </c>
      <c r="AF4184" s="55" t="n">
        <f aca="false">AD4184+ROW()*0.000000001</f>
        <v>0.98979361679387</v>
      </c>
      <c r="AG4184" s="55" t="n">
        <f aca="false">AE4184+ROW()*0.000000001</f>
        <v>48.8672236649941</v>
      </c>
    </row>
    <row r="4185" customFormat="false" ht="15" hidden="false" customHeight="false" outlineLevel="0" collapsed="false">
      <c r="A4185" s="0" t="n">
        <v>5</v>
      </c>
      <c r="B4185" s="0" t="n">
        <v>6</v>
      </c>
      <c r="C4185" s="0" t="n">
        <v>5</v>
      </c>
      <c r="D4185" s="0" t="n">
        <v>4</v>
      </c>
      <c r="E4185" s="0" t="n">
        <f aca="false">-1+A4185*0.25</f>
        <v>0.25</v>
      </c>
      <c r="F4185" s="0" t="n">
        <f aca="false">-1+B4185*0.25</f>
        <v>0.5</v>
      </c>
      <c r="G4185" s="0" t="n">
        <f aca="false">-1+C4185*0.25</f>
        <v>0.25</v>
      </c>
      <c r="H4185" s="0" t="n">
        <f aca="false">-1+D4185*0.25</f>
        <v>0</v>
      </c>
      <c r="I4185" s="0" t="n">
        <f aca="false">1</f>
        <v>1</v>
      </c>
      <c r="J4185" s="0" t="n">
        <f aca="false">E4185</f>
        <v>0.25</v>
      </c>
      <c r="K4185" s="0" t="n">
        <f aca="false">F4185</f>
        <v>0.5</v>
      </c>
      <c r="L4185" s="0" t="n">
        <f aca="false">G4185</f>
        <v>0.25</v>
      </c>
      <c r="M4185" s="0" t="n">
        <f aca="false">H4185</f>
        <v>0</v>
      </c>
      <c r="N4185" s="0" t="n">
        <f aca="false">E4185*F4185</f>
        <v>0.125</v>
      </c>
      <c r="O4185" s="0" t="n">
        <f aca="false">E4185*G4185</f>
        <v>0.0625</v>
      </c>
      <c r="P4185" s="0" t="n">
        <f aca="false">E4185*H4185</f>
        <v>0</v>
      </c>
      <c r="Q4185" s="0" t="n">
        <f aca="false">F4185*G4185</f>
        <v>0.125</v>
      </c>
      <c r="R4185" s="0" t="n">
        <f aca="false">F4185*H4185</f>
        <v>0</v>
      </c>
      <c r="S4185" s="0" t="n">
        <f aca="false">G4185*H4185</f>
        <v>0</v>
      </c>
      <c r="T4185" s="0" t="n">
        <f aca="false">E4185*E4185</f>
        <v>0.0625</v>
      </c>
      <c r="U4185" s="0" t="n">
        <f aca="false">F4185*F4185</f>
        <v>0.25</v>
      </c>
      <c r="V4185" s="0" t="n">
        <f aca="false">G4185*G4185</f>
        <v>0.0625</v>
      </c>
      <c r="W4185" s="0" t="n">
        <f aca="false">H4185*H4185</f>
        <v>0</v>
      </c>
      <c r="X4185" s="0" t="n">
        <f aca="false">SUMPRODUCT(I4185:W4185,_XtX!$B$96:$P$96)</f>
        <v>48.9917306286549</v>
      </c>
      <c r="Y4185" s="0" t="n">
        <f aca="false">SUMPRODUCT(MMULT(I4185:W4185,_XtX!$B$78:$P$92),I4185:W4185)</f>
        <v>0.118905050712719</v>
      </c>
      <c r="Z4185" s="0" t="n">
        <f aca="false">04_回帰ANOVA!$K$19*04_回帰ANOVA!$K$14*SQRT(1+Y4185)</f>
        <v>1.37878011033769</v>
      </c>
      <c r="AA4185" s="0" t="n">
        <f aca="false">X4185-Z4185</f>
        <v>47.6129505183172</v>
      </c>
      <c r="AB4185" s="0" t="n">
        <f aca="false">X4185+Z4185</f>
        <v>50.3705107389926</v>
      </c>
      <c r="AC4185" s="54" t="b">
        <f aca="false">AND(E4185&gt;=01_因子設定!$L$5-0.000000001,E4185&lt;=01_因子設定!$M$5+0.000000001,F4185&gt;=01_因子設定!$L$6-0.000000001,F4185&lt;=01_因子設定!$M$6+0.000000001,G4185&gt;=01_因子設定!$L$7-0.000000001,G4185&lt;=01_因子設定!$M$7+0.000000001,H4185&gt;=01_因子設定!$L$8-0.000000001,H4185&lt;=01_因子設定!$M$8+0.000000001,IF(01_因子設定!$B$20="Box-Behnken",E4185^2+F4185^2+G4185^2+H4185^2&lt;=2+0.000000001,TRUE()))</f>
        <v>1</v>
      </c>
      <c r="AD4185" s="55" t="n">
        <f aca="false">IF(AC4185,IF(01_因子設定!$B$13="最大化",AA4185-01_因子設定!$B$14,IF(01_因子設定!$B$13="最小化",01_因子設定!$B$15-AB4185,MIN(AA4185-01_因子設定!$B$14,01_因子設定!$B$15-AB4185))),-1E+030)</f>
        <v>1.11295051831722</v>
      </c>
      <c r="AE4185" s="55" t="n">
        <f aca="false">IF(AC4185,IF(01_因子設定!$B$13="最大化",X4185,IF(01_因子設定!$B$13="最小化",-X4185,-ABS(X4185-01_因子設定!$B$16))),-1E+030)</f>
        <v>48.9917306286549</v>
      </c>
      <c r="AF4185" s="55" t="n">
        <f aca="false">AD4185+ROW()*0.000000001</f>
        <v>1.11295470331722</v>
      </c>
      <c r="AG4185" s="55" t="n">
        <f aca="false">AE4185+ROW()*0.000000001</f>
        <v>48.9917348136549</v>
      </c>
    </row>
    <row r="4186" customFormat="false" ht="15" hidden="false" customHeight="false" outlineLevel="0" collapsed="false">
      <c r="A4186" s="0" t="n">
        <v>5</v>
      </c>
      <c r="B4186" s="0" t="n">
        <v>6</v>
      </c>
      <c r="C4186" s="0" t="n">
        <v>5</v>
      </c>
      <c r="D4186" s="0" t="n">
        <v>5</v>
      </c>
      <c r="E4186" s="0" t="n">
        <f aca="false">-1+A4186*0.25</f>
        <v>0.25</v>
      </c>
      <c r="F4186" s="0" t="n">
        <f aca="false">-1+B4186*0.25</f>
        <v>0.5</v>
      </c>
      <c r="G4186" s="0" t="n">
        <f aca="false">-1+C4186*0.25</f>
        <v>0.25</v>
      </c>
      <c r="H4186" s="0" t="n">
        <f aca="false">-1+D4186*0.25</f>
        <v>0.25</v>
      </c>
      <c r="I4186" s="0" t="n">
        <f aca="false">1</f>
        <v>1</v>
      </c>
      <c r="J4186" s="0" t="n">
        <f aca="false">E4186</f>
        <v>0.25</v>
      </c>
      <c r="K4186" s="0" t="n">
        <f aca="false">F4186</f>
        <v>0.5</v>
      </c>
      <c r="L4186" s="0" t="n">
        <f aca="false">G4186</f>
        <v>0.25</v>
      </c>
      <c r="M4186" s="0" t="n">
        <f aca="false">H4186</f>
        <v>0.25</v>
      </c>
      <c r="N4186" s="0" t="n">
        <f aca="false">E4186*F4186</f>
        <v>0.125</v>
      </c>
      <c r="O4186" s="0" t="n">
        <f aca="false">E4186*G4186</f>
        <v>0.0625</v>
      </c>
      <c r="P4186" s="0" t="n">
        <f aca="false">E4186*H4186</f>
        <v>0.0625</v>
      </c>
      <c r="Q4186" s="0" t="n">
        <f aca="false">F4186*G4186</f>
        <v>0.125</v>
      </c>
      <c r="R4186" s="0" t="n">
        <f aca="false">F4186*H4186</f>
        <v>0.125</v>
      </c>
      <c r="S4186" s="0" t="n">
        <f aca="false">G4186*H4186</f>
        <v>0.0625</v>
      </c>
      <c r="T4186" s="0" t="n">
        <f aca="false">E4186*E4186</f>
        <v>0.0625</v>
      </c>
      <c r="U4186" s="0" t="n">
        <f aca="false">F4186*F4186</f>
        <v>0.25</v>
      </c>
      <c r="V4186" s="0" t="n">
        <f aca="false">G4186*G4186</f>
        <v>0.0625</v>
      </c>
      <c r="W4186" s="0" t="n">
        <f aca="false">H4186*H4186</f>
        <v>0.0625</v>
      </c>
      <c r="X4186" s="0" t="n">
        <f aca="false">SUMPRODUCT(I4186:W4186,_XtX!$B$96:$P$96)</f>
        <v>49.0684347587719</v>
      </c>
      <c r="Y4186" s="0" t="n">
        <f aca="false">SUMPRODUCT(MMULT(I4186:W4186,_XtX!$B$78:$P$92),I4186:W4186)</f>
        <v>0.116714923702485</v>
      </c>
      <c r="Z4186" s="0" t="n">
        <f aca="false">04_回帰ANOVA!$K$19*04_回帰ANOVA!$K$14*SQRT(1+Y4186)</f>
        <v>1.37743004820023</v>
      </c>
      <c r="AA4186" s="0" t="n">
        <f aca="false">X4186-Z4186</f>
        <v>47.6910047105717</v>
      </c>
      <c r="AB4186" s="0" t="n">
        <f aca="false">X4186+Z4186</f>
        <v>50.4458648069721</v>
      </c>
      <c r="AC4186" s="54" t="b">
        <f aca="false">AND(E4186&gt;=01_因子設定!$L$5-0.000000001,E4186&lt;=01_因子設定!$M$5+0.000000001,F4186&gt;=01_因子設定!$L$6-0.000000001,F4186&lt;=01_因子設定!$M$6+0.000000001,G4186&gt;=01_因子設定!$L$7-0.000000001,G4186&lt;=01_因子設定!$M$7+0.000000001,H4186&gt;=01_因子設定!$L$8-0.000000001,H4186&lt;=01_因子設定!$M$8+0.000000001,IF(01_因子設定!$B$20="Box-Behnken",E4186^2+F4186^2+G4186^2+H4186^2&lt;=2+0.000000001,TRUE()))</f>
        <v>1</v>
      </c>
      <c r="AD4186" s="55" t="n">
        <f aca="false">IF(AC4186,IF(01_因子設定!$B$13="最大化",AA4186-01_因子設定!$B$14,IF(01_因子設定!$B$13="最小化",01_因子設定!$B$15-AB4186,MIN(AA4186-01_因子設定!$B$14,01_因子設定!$B$15-AB4186))),-1E+030)</f>
        <v>1.19100471057165</v>
      </c>
      <c r="AE4186" s="55" t="n">
        <f aca="false">IF(AC4186,IF(01_因子設定!$B$13="最大化",X4186,IF(01_因子設定!$B$13="最小化",-X4186,-ABS(X4186-01_因子設定!$B$16))),-1E+030)</f>
        <v>49.0684347587719</v>
      </c>
      <c r="AF4186" s="55" t="n">
        <f aca="false">AD4186+ROW()*0.000000001</f>
        <v>1.19100889657165</v>
      </c>
      <c r="AG4186" s="55" t="n">
        <f aca="false">AE4186+ROW()*0.000000001</f>
        <v>49.0684389447719</v>
      </c>
    </row>
    <row r="4187" customFormat="false" ht="15" hidden="false" customHeight="false" outlineLevel="0" collapsed="false">
      <c r="A4187" s="0" t="n">
        <v>5</v>
      </c>
      <c r="B4187" s="0" t="n">
        <v>6</v>
      </c>
      <c r="C4187" s="0" t="n">
        <v>5</v>
      </c>
      <c r="D4187" s="0" t="n">
        <v>6</v>
      </c>
      <c r="E4187" s="0" t="n">
        <f aca="false">-1+A4187*0.25</f>
        <v>0.25</v>
      </c>
      <c r="F4187" s="0" t="n">
        <f aca="false">-1+B4187*0.25</f>
        <v>0.5</v>
      </c>
      <c r="G4187" s="0" t="n">
        <f aca="false">-1+C4187*0.25</f>
        <v>0.25</v>
      </c>
      <c r="H4187" s="0" t="n">
        <f aca="false">-1+D4187*0.25</f>
        <v>0.5</v>
      </c>
      <c r="I4187" s="0" t="n">
        <f aca="false">1</f>
        <v>1</v>
      </c>
      <c r="J4187" s="0" t="n">
        <f aca="false">E4187</f>
        <v>0.25</v>
      </c>
      <c r="K4187" s="0" t="n">
        <f aca="false">F4187</f>
        <v>0.5</v>
      </c>
      <c r="L4187" s="0" t="n">
        <f aca="false">G4187</f>
        <v>0.25</v>
      </c>
      <c r="M4187" s="0" t="n">
        <f aca="false">H4187</f>
        <v>0.5</v>
      </c>
      <c r="N4187" s="0" t="n">
        <f aca="false">E4187*F4187</f>
        <v>0.125</v>
      </c>
      <c r="O4187" s="0" t="n">
        <f aca="false">E4187*G4187</f>
        <v>0.0625</v>
      </c>
      <c r="P4187" s="0" t="n">
        <f aca="false">E4187*H4187</f>
        <v>0.125</v>
      </c>
      <c r="Q4187" s="0" t="n">
        <f aca="false">F4187*G4187</f>
        <v>0.125</v>
      </c>
      <c r="R4187" s="0" t="n">
        <f aca="false">F4187*H4187</f>
        <v>0.25</v>
      </c>
      <c r="S4187" s="0" t="n">
        <f aca="false">G4187*H4187</f>
        <v>0.125</v>
      </c>
      <c r="T4187" s="0" t="n">
        <f aca="false">E4187*E4187</f>
        <v>0.0625</v>
      </c>
      <c r="U4187" s="0" t="n">
        <f aca="false">F4187*F4187</f>
        <v>0.25</v>
      </c>
      <c r="V4187" s="0" t="n">
        <f aca="false">G4187*G4187</f>
        <v>0.0625</v>
      </c>
      <c r="W4187" s="0" t="n">
        <f aca="false">H4187*H4187</f>
        <v>0.25</v>
      </c>
      <c r="X4187" s="0" t="n">
        <f aca="false">SUMPRODUCT(I4187:W4187,_XtX!$B$96:$P$96)</f>
        <v>49.097331871345</v>
      </c>
      <c r="Y4187" s="0" t="n">
        <f aca="false">SUMPRODUCT(MMULT(I4187:W4187,_XtX!$B$78:$P$92),I4187:W4187)</f>
        <v>0.128236647934942</v>
      </c>
      <c r="Z4187" s="0" t="n">
        <f aca="false">04_回帰ANOVA!$K$19*04_回帰ANOVA!$K$14*SQRT(1+Y4187)</f>
        <v>1.38451764188989</v>
      </c>
      <c r="AA4187" s="0" t="n">
        <f aca="false">X4187-Z4187</f>
        <v>47.7128142294551</v>
      </c>
      <c r="AB4187" s="0" t="n">
        <f aca="false">X4187+Z4187</f>
        <v>50.4818495132349</v>
      </c>
      <c r="AC4187" s="54" t="b">
        <f aca="false">AND(E4187&gt;=01_因子設定!$L$5-0.000000001,E4187&lt;=01_因子設定!$M$5+0.000000001,F4187&gt;=01_因子設定!$L$6-0.000000001,F4187&lt;=01_因子設定!$M$6+0.000000001,G4187&gt;=01_因子設定!$L$7-0.000000001,G4187&lt;=01_因子設定!$M$7+0.000000001,H4187&gt;=01_因子設定!$L$8-0.000000001,H4187&lt;=01_因子設定!$M$8+0.000000001,IF(01_因子設定!$B$20="Box-Behnken",E4187^2+F4187^2+G4187^2+H4187^2&lt;=2+0.000000001,TRUE()))</f>
        <v>1</v>
      </c>
      <c r="AD4187" s="55" t="n">
        <f aca="false">IF(AC4187,IF(01_因子設定!$B$13="最大化",AA4187-01_因子設定!$B$14,IF(01_因子設定!$B$13="最小化",01_因子設定!$B$15-AB4187,MIN(AA4187-01_因子設定!$B$14,01_因子設定!$B$15-AB4187))),-1E+030)</f>
        <v>1.21281422945509</v>
      </c>
      <c r="AE4187" s="55" t="n">
        <f aca="false">IF(AC4187,IF(01_因子設定!$B$13="最大化",X4187,IF(01_因子設定!$B$13="最小化",-X4187,-ABS(X4187-01_因子設定!$B$16))),-1E+030)</f>
        <v>49.097331871345</v>
      </c>
      <c r="AF4187" s="55" t="n">
        <f aca="false">AD4187+ROW()*0.000000001</f>
        <v>1.21281841645509</v>
      </c>
      <c r="AG4187" s="55" t="n">
        <f aca="false">AE4187+ROW()*0.000000001</f>
        <v>49.097336058345</v>
      </c>
    </row>
    <row r="4188" customFormat="false" ht="15" hidden="false" customHeight="false" outlineLevel="0" collapsed="false">
      <c r="A4188" s="0" t="n">
        <v>5</v>
      </c>
      <c r="B4188" s="0" t="n">
        <v>6</v>
      </c>
      <c r="C4188" s="0" t="n">
        <v>5</v>
      </c>
      <c r="D4188" s="0" t="n">
        <v>7</v>
      </c>
      <c r="E4188" s="0" t="n">
        <f aca="false">-1+A4188*0.25</f>
        <v>0.25</v>
      </c>
      <c r="F4188" s="0" t="n">
        <f aca="false">-1+B4188*0.25</f>
        <v>0.5</v>
      </c>
      <c r="G4188" s="0" t="n">
        <f aca="false">-1+C4188*0.25</f>
        <v>0.25</v>
      </c>
      <c r="H4188" s="0" t="n">
        <f aca="false">-1+D4188*0.25</f>
        <v>0.75</v>
      </c>
      <c r="I4188" s="0" t="n">
        <f aca="false">1</f>
        <v>1</v>
      </c>
      <c r="J4188" s="0" t="n">
        <f aca="false">E4188</f>
        <v>0.25</v>
      </c>
      <c r="K4188" s="0" t="n">
        <f aca="false">F4188</f>
        <v>0.5</v>
      </c>
      <c r="L4188" s="0" t="n">
        <f aca="false">G4188</f>
        <v>0.25</v>
      </c>
      <c r="M4188" s="0" t="n">
        <f aca="false">H4188</f>
        <v>0.75</v>
      </c>
      <c r="N4188" s="0" t="n">
        <f aca="false">E4188*F4188</f>
        <v>0.125</v>
      </c>
      <c r="O4188" s="0" t="n">
        <f aca="false">E4188*G4188</f>
        <v>0.0625</v>
      </c>
      <c r="P4188" s="0" t="n">
        <f aca="false">E4188*H4188</f>
        <v>0.1875</v>
      </c>
      <c r="Q4188" s="0" t="n">
        <f aca="false">F4188*G4188</f>
        <v>0.125</v>
      </c>
      <c r="R4188" s="0" t="n">
        <f aca="false">F4188*H4188</f>
        <v>0.375</v>
      </c>
      <c r="S4188" s="0" t="n">
        <f aca="false">G4188*H4188</f>
        <v>0.1875</v>
      </c>
      <c r="T4188" s="0" t="n">
        <f aca="false">E4188*E4188</f>
        <v>0.0625</v>
      </c>
      <c r="U4188" s="0" t="n">
        <f aca="false">F4188*F4188</f>
        <v>0.25</v>
      </c>
      <c r="V4188" s="0" t="n">
        <f aca="false">G4188*G4188</f>
        <v>0.0625</v>
      </c>
      <c r="W4188" s="0" t="n">
        <f aca="false">H4188*H4188</f>
        <v>0.5625</v>
      </c>
      <c r="X4188" s="0" t="n">
        <f aca="false">SUMPRODUCT(I4188:W4188,_XtX!$B$96:$P$96)</f>
        <v>49.0784219663742</v>
      </c>
      <c r="Y4188" s="0" t="n">
        <f aca="false">SUMPRODUCT(MMULT(I4188:W4188,_XtX!$B$78:$P$92),I4188:W4188)</f>
        <v>0.207746539199561</v>
      </c>
      <c r="Z4188" s="0" t="n">
        <f aca="false">04_回帰ANOVA!$K$19*04_回帰ANOVA!$K$14*SQRT(1+Y4188)</f>
        <v>1.43247250081141</v>
      </c>
      <c r="AA4188" s="0" t="n">
        <f aca="false">X4188-Z4188</f>
        <v>47.6459494655628</v>
      </c>
      <c r="AB4188" s="0" t="n">
        <f aca="false">X4188+Z4188</f>
        <v>50.5108944671856</v>
      </c>
      <c r="AC4188" s="54" t="b">
        <f aca="false">AND(E4188&gt;=01_因子設定!$L$5-0.000000001,E4188&lt;=01_因子設定!$M$5+0.000000001,F4188&gt;=01_因子設定!$L$6-0.000000001,F4188&lt;=01_因子設定!$M$6+0.000000001,G4188&gt;=01_因子設定!$L$7-0.000000001,G4188&lt;=01_因子設定!$M$7+0.000000001,H4188&gt;=01_因子設定!$L$8-0.000000001,H4188&lt;=01_因子設定!$M$8+0.000000001,IF(01_因子設定!$B$20="Box-Behnken",E4188^2+F4188^2+G4188^2+H4188^2&lt;=2+0.000000001,TRUE()))</f>
        <v>1</v>
      </c>
      <c r="AD4188" s="55" t="n">
        <f aca="false">IF(AC4188,IF(01_因子設定!$B$13="最大化",AA4188-01_因子設定!$B$14,IF(01_因子設定!$B$13="最小化",01_因子設定!$B$15-AB4188,MIN(AA4188-01_因子設定!$B$14,01_因子設定!$B$15-AB4188))),-1E+030)</f>
        <v>1.14594946556282</v>
      </c>
      <c r="AE4188" s="55" t="n">
        <f aca="false">IF(AC4188,IF(01_因子設定!$B$13="最大化",X4188,IF(01_因子設定!$B$13="最小化",-X4188,-ABS(X4188-01_因子設定!$B$16))),-1E+030)</f>
        <v>49.0784219663742</v>
      </c>
      <c r="AF4188" s="55" t="n">
        <f aca="false">AD4188+ROW()*0.000000001</f>
        <v>1.14595365356282</v>
      </c>
      <c r="AG4188" s="55" t="n">
        <f aca="false">AE4188+ROW()*0.000000001</f>
        <v>49.0784261543742</v>
      </c>
    </row>
    <row r="4189" customFormat="false" ht="15" hidden="false" customHeight="false" outlineLevel="0" collapsed="false">
      <c r="A4189" s="0" t="n">
        <v>5</v>
      </c>
      <c r="B4189" s="0" t="n">
        <v>6</v>
      </c>
      <c r="C4189" s="0" t="n">
        <v>5</v>
      </c>
      <c r="D4189" s="0" t="n">
        <v>8</v>
      </c>
      <c r="E4189" s="0" t="n">
        <f aca="false">-1+A4189*0.25</f>
        <v>0.25</v>
      </c>
      <c r="F4189" s="0" t="n">
        <f aca="false">-1+B4189*0.25</f>
        <v>0.5</v>
      </c>
      <c r="G4189" s="0" t="n">
        <f aca="false">-1+C4189*0.25</f>
        <v>0.25</v>
      </c>
      <c r="H4189" s="0" t="n">
        <f aca="false">-1+D4189*0.25</f>
        <v>1</v>
      </c>
      <c r="I4189" s="0" t="n">
        <f aca="false">1</f>
        <v>1</v>
      </c>
      <c r="J4189" s="0" t="n">
        <f aca="false">E4189</f>
        <v>0.25</v>
      </c>
      <c r="K4189" s="0" t="n">
        <f aca="false">F4189</f>
        <v>0.5</v>
      </c>
      <c r="L4189" s="0" t="n">
        <f aca="false">G4189</f>
        <v>0.25</v>
      </c>
      <c r="M4189" s="0" t="n">
        <f aca="false">H4189</f>
        <v>1</v>
      </c>
      <c r="N4189" s="0" t="n">
        <f aca="false">E4189*F4189</f>
        <v>0.125</v>
      </c>
      <c r="O4189" s="0" t="n">
        <f aca="false">E4189*G4189</f>
        <v>0.0625</v>
      </c>
      <c r="P4189" s="0" t="n">
        <f aca="false">E4189*H4189</f>
        <v>0.25</v>
      </c>
      <c r="Q4189" s="0" t="n">
        <f aca="false">F4189*G4189</f>
        <v>0.125</v>
      </c>
      <c r="R4189" s="0" t="n">
        <f aca="false">F4189*H4189</f>
        <v>0.5</v>
      </c>
      <c r="S4189" s="0" t="n">
        <f aca="false">G4189*H4189</f>
        <v>0.25</v>
      </c>
      <c r="T4189" s="0" t="n">
        <f aca="false">E4189*E4189</f>
        <v>0.0625</v>
      </c>
      <c r="U4189" s="0" t="n">
        <f aca="false">F4189*F4189</f>
        <v>0.25</v>
      </c>
      <c r="V4189" s="0" t="n">
        <f aca="false">G4189*G4189</f>
        <v>0.0625</v>
      </c>
      <c r="W4189" s="0" t="n">
        <f aca="false">H4189*H4189</f>
        <v>1</v>
      </c>
      <c r="X4189" s="0" t="n">
        <f aca="false">SUMPRODUCT(I4189:W4189,_XtX!$B$96:$P$96)</f>
        <v>49.0117050438596</v>
      </c>
      <c r="Y4189" s="0" t="n">
        <f aca="false">SUMPRODUCT(MMULT(I4189:W4189,_XtX!$B$78:$P$92),I4189:W4189)</f>
        <v>0.445705123812135</v>
      </c>
      <c r="Z4189" s="0" t="n">
        <f aca="false">04_回帰ANOVA!$K$19*04_回帰ANOVA!$K$14*SQRT(1+Y4189)</f>
        <v>1.56724990734749</v>
      </c>
      <c r="AA4189" s="0" t="n">
        <f aca="false">X4189-Z4189</f>
        <v>47.4444551365121</v>
      </c>
      <c r="AB4189" s="0" t="n">
        <f aca="false">X4189+Z4189</f>
        <v>50.5789549512071</v>
      </c>
      <c r="AC4189" s="54" t="b">
        <f aca="false">AND(E4189&gt;=01_因子設定!$L$5-0.000000001,E4189&lt;=01_因子設定!$M$5+0.000000001,F4189&gt;=01_因子設定!$L$6-0.000000001,F4189&lt;=01_因子設定!$M$6+0.000000001,G4189&gt;=01_因子設定!$L$7-0.000000001,G4189&lt;=01_因子設定!$M$7+0.000000001,H4189&gt;=01_因子設定!$L$8-0.000000001,H4189&lt;=01_因子設定!$M$8+0.000000001,IF(01_因子設定!$B$20="Box-Behnken",E4189^2+F4189^2+G4189^2+H4189^2&lt;=2+0.000000001,TRUE()))</f>
        <v>1</v>
      </c>
      <c r="AD4189" s="55" t="n">
        <f aca="false">IF(AC4189,IF(01_因子設定!$B$13="最大化",AA4189-01_因子設定!$B$14,IF(01_因子設定!$B$13="最小化",01_因子設定!$B$15-AB4189,MIN(AA4189-01_因子設定!$B$14,01_因子設定!$B$15-AB4189))),-1E+030)</f>
        <v>0.944455136512133</v>
      </c>
      <c r="AE4189" s="55" t="n">
        <f aca="false">IF(AC4189,IF(01_因子設定!$B$13="最大化",X4189,IF(01_因子設定!$B$13="最小化",-X4189,-ABS(X4189-01_因子設定!$B$16))),-1E+030)</f>
        <v>49.0117050438596</v>
      </c>
      <c r="AF4189" s="55" t="n">
        <f aca="false">AD4189+ROW()*0.000000001</f>
        <v>0.944459325512133</v>
      </c>
      <c r="AG4189" s="55" t="n">
        <f aca="false">AE4189+ROW()*0.000000001</f>
        <v>49.0117092328596</v>
      </c>
    </row>
    <row r="4190" customFormat="false" ht="15" hidden="false" customHeight="false" outlineLevel="0" collapsed="false">
      <c r="A4190" s="0" t="n">
        <v>5</v>
      </c>
      <c r="B4190" s="0" t="n">
        <v>6</v>
      </c>
      <c r="C4190" s="0" t="n">
        <v>6</v>
      </c>
      <c r="D4190" s="0" t="n">
        <v>0</v>
      </c>
      <c r="E4190" s="0" t="n">
        <f aca="false">-1+A4190*0.25</f>
        <v>0.25</v>
      </c>
      <c r="F4190" s="0" t="n">
        <f aca="false">-1+B4190*0.25</f>
        <v>0.5</v>
      </c>
      <c r="G4190" s="0" t="n">
        <f aca="false">-1+C4190*0.25</f>
        <v>0.5</v>
      </c>
      <c r="H4190" s="0" t="n">
        <f aca="false">-1+D4190*0.25</f>
        <v>-1</v>
      </c>
      <c r="I4190" s="0" t="n">
        <f aca="false">1</f>
        <v>1</v>
      </c>
      <c r="J4190" s="0" t="n">
        <f aca="false">E4190</f>
        <v>0.25</v>
      </c>
      <c r="K4190" s="0" t="n">
        <f aca="false">F4190</f>
        <v>0.5</v>
      </c>
      <c r="L4190" s="0" t="n">
        <f aca="false">G4190</f>
        <v>0.5</v>
      </c>
      <c r="M4190" s="0" t="n">
        <f aca="false">H4190</f>
        <v>-1</v>
      </c>
      <c r="N4190" s="0" t="n">
        <f aca="false">E4190*F4190</f>
        <v>0.125</v>
      </c>
      <c r="O4190" s="0" t="n">
        <f aca="false">E4190*G4190</f>
        <v>0.125</v>
      </c>
      <c r="P4190" s="0" t="n">
        <f aca="false">E4190*H4190</f>
        <v>-0.25</v>
      </c>
      <c r="Q4190" s="0" t="n">
        <f aca="false">F4190*G4190</f>
        <v>0.25</v>
      </c>
      <c r="R4190" s="0" t="n">
        <f aca="false">F4190*H4190</f>
        <v>-0.5</v>
      </c>
      <c r="S4190" s="0" t="n">
        <f aca="false">G4190*H4190</f>
        <v>-0.5</v>
      </c>
      <c r="T4190" s="0" t="n">
        <f aca="false">E4190*E4190</f>
        <v>0.0625</v>
      </c>
      <c r="U4190" s="0" t="n">
        <f aca="false">F4190*F4190</f>
        <v>0.25</v>
      </c>
      <c r="V4190" s="0" t="n">
        <f aca="false">G4190*G4190</f>
        <v>0.25</v>
      </c>
      <c r="W4190" s="0" t="n">
        <f aca="false">H4190*H4190</f>
        <v>1</v>
      </c>
      <c r="X4190" s="0" t="n">
        <f aca="false">SUMPRODUCT(I4190:W4190,_XtX!$B$96:$P$96)</f>
        <v>48.2512792397661</v>
      </c>
      <c r="Y4190" s="0" t="n">
        <f aca="false">SUMPRODUCT(MMULT(I4190:W4190,_XtX!$B$78:$P$92),I4190:W4190)</f>
        <v>0.428122715643275</v>
      </c>
      <c r="Z4190" s="0" t="n">
        <f aca="false">04_回帰ANOVA!$K$19*04_回帰ANOVA!$K$14*SQRT(1+Y4190)</f>
        <v>1.55769044623229</v>
      </c>
      <c r="AA4190" s="0" t="n">
        <f aca="false">X4190-Z4190</f>
        <v>46.6935887935338</v>
      </c>
      <c r="AB4190" s="0" t="n">
        <f aca="false">X4190+Z4190</f>
        <v>49.8089696859984</v>
      </c>
      <c r="AC4190" s="54" t="b">
        <f aca="false">AND(E4190&gt;=01_因子設定!$L$5-0.000000001,E4190&lt;=01_因子設定!$M$5+0.000000001,F4190&gt;=01_因子設定!$L$6-0.000000001,F4190&lt;=01_因子設定!$M$6+0.000000001,G4190&gt;=01_因子設定!$L$7-0.000000001,G4190&lt;=01_因子設定!$M$7+0.000000001,H4190&gt;=01_因子設定!$L$8-0.000000001,H4190&lt;=01_因子設定!$M$8+0.000000001,IF(01_因子設定!$B$20="Box-Behnken",E4190^2+F4190^2+G4190^2+H4190^2&lt;=2+0.000000001,TRUE()))</f>
        <v>1</v>
      </c>
      <c r="AD4190" s="55" t="n">
        <f aca="false">IF(AC4190,IF(01_因子設定!$B$13="最大化",AA4190-01_因子設定!$B$14,IF(01_因子設定!$B$13="最小化",01_因子設定!$B$15-AB4190,MIN(AA4190-01_因子設定!$B$14,01_因子設定!$B$15-AB4190))),-1E+030)</f>
        <v>0.19358879353377</v>
      </c>
      <c r="AE4190" s="55" t="n">
        <f aca="false">IF(AC4190,IF(01_因子設定!$B$13="最大化",X4190,IF(01_因子設定!$B$13="最小化",-X4190,-ABS(X4190-01_因子設定!$B$16))),-1E+030)</f>
        <v>48.2512792397661</v>
      </c>
      <c r="AF4190" s="55" t="n">
        <f aca="false">AD4190+ROW()*0.000000001</f>
        <v>0.19359298353377</v>
      </c>
      <c r="AG4190" s="55" t="n">
        <f aca="false">AE4190+ROW()*0.000000001</f>
        <v>48.2512834297661</v>
      </c>
    </row>
    <row r="4191" customFormat="false" ht="15" hidden="false" customHeight="false" outlineLevel="0" collapsed="false">
      <c r="A4191" s="0" t="n">
        <v>5</v>
      </c>
      <c r="B4191" s="0" t="n">
        <v>6</v>
      </c>
      <c r="C4191" s="0" t="n">
        <v>6</v>
      </c>
      <c r="D4191" s="0" t="n">
        <v>1</v>
      </c>
      <c r="E4191" s="0" t="n">
        <f aca="false">-1+A4191*0.25</f>
        <v>0.25</v>
      </c>
      <c r="F4191" s="0" t="n">
        <f aca="false">-1+B4191*0.25</f>
        <v>0.5</v>
      </c>
      <c r="G4191" s="0" t="n">
        <f aca="false">-1+C4191*0.25</f>
        <v>0.5</v>
      </c>
      <c r="H4191" s="0" t="n">
        <f aca="false">-1+D4191*0.25</f>
        <v>-0.75</v>
      </c>
      <c r="I4191" s="0" t="n">
        <f aca="false">1</f>
        <v>1</v>
      </c>
      <c r="J4191" s="0" t="n">
        <f aca="false">E4191</f>
        <v>0.25</v>
      </c>
      <c r="K4191" s="0" t="n">
        <f aca="false">F4191</f>
        <v>0.5</v>
      </c>
      <c r="L4191" s="0" t="n">
        <f aca="false">G4191</f>
        <v>0.5</v>
      </c>
      <c r="M4191" s="0" t="n">
        <f aca="false">H4191</f>
        <v>-0.75</v>
      </c>
      <c r="N4191" s="0" t="n">
        <f aca="false">E4191*F4191</f>
        <v>0.125</v>
      </c>
      <c r="O4191" s="0" t="n">
        <f aca="false">E4191*G4191</f>
        <v>0.125</v>
      </c>
      <c r="P4191" s="0" t="n">
        <f aca="false">E4191*H4191</f>
        <v>-0.1875</v>
      </c>
      <c r="Q4191" s="0" t="n">
        <f aca="false">F4191*G4191</f>
        <v>0.25</v>
      </c>
      <c r="R4191" s="0" t="n">
        <f aca="false">F4191*H4191</f>
        <v>-0.375</v>
      </c>
      <c r="S4191" s="0" t="n">
        <f aca="false">G4191*H4191</f>
        <v>-0.375</v>
      </c>
      <c r="T4191" s="0" t="n">
        <f aca="false">E4191*E4191</f>
        <v>0.0625</v>
      </c>
      <c r="U4191" s="0" t="n">
        <f aca="false">F4191*F4191</f>
        <v>0.25</v>
      </c>
      <c r="V4191" s="0" t="n">
        <f aca="false">G4191*G4191</f>
        <v>0.25</v>
      </c>
      <c r="W4191" s="0" t="n">
        <f aca="false">H4191*H4191</f>
        <v>0.5625</v>
      </c>
      <c r="X4191" s="0" t="n">
        <f aca="false">SUMPRODUCT(I4191:W4191,_XtX!$B$96:$P$96)</f>
        <v>48.5371801900584</v>
      </c>
      <c r="Y4191" s="0" t="n">
        <f aca="false">SUMPRODUCT(MMULT(I4191:W4191,_XtX!$B$78:$P$92),I4191:W4191)</f>
        <v>0.203746059484649</v>
      </c>
      <c r="Z4191" s="0" t="n">
        <f aca="false">04_回帰ANOVA!$K$19*04_回帰ANOVA!$K$14*SQRT(1+Y4191)</f>
        <v>1.43009810755465</v>
      </c>
      <c r="AA4191" s="0" t="n">
        <f aca="false">X4191-Z4191</f>
        <v>47.1070820825038</v>
      </c>
      <c r="AB4191" s="0" t="n">
        <f aca="false">X4191+Z4191</f>
        <v>49.9672782976131</v>
      </c>
      <c r="AC4191" s="54" t="b">
        <f aca="false">AND(E4191&gt;=01_因子設定!$L$5-0.000000001,E4191&lt;=01_因子設定!$M$5+0.000000001,F4191&gt;=01_因子設定!$L$6-0.000000001,F4191&lt;=01_因子設定!$M$6+0.000000001,G4191&gt;=01_因子設定!$L$7-0.000000001,G4191&lt;=01_因子設定!$M$7+0.000000001,H4191&gt;=01_因子設定!$L$8-0.000000001,H4191&lt;=01_因子設定!$M$8+0.000000001,IF(01_因子設定!$B$20="Box-Behnken",E4191^2+F4191^2+G4191^2+H4191^2&lt;=2+0.000000001,TRUE()))</f>
        <v>1</v>
      </c>
      <c r="AD4191" s="55" t="n">
        <f aca="false">IF(AC4191,IF(01_因子設定!$B$13="最大化",AA4191-01_因子設定!$B$14,IF(01_因子設定!$B$13="最小化",01_因子設定!$B$15-AB4191,MIN(AA4191-01_因子設定!$B$14,01_因子設定!$B$15-AB4191))),-1E+030)</f>
        <v>0.607082082503794</v>
      </c>
      <c r="AE4191" s="55" t="n">
        <f aca="false">IF(AC4191,IF(01_因子設定!$B$13="最大化",X4191,IF(01_因子設定!$B$13="最小化",-X4191,-ABS(X4191-01_因子設定!$B$16))),-1E+030)</f>
        <v>48.5371801900584</v>
      </c>
      <c r="AF4191" s="55" t="n">
        <f aca="false">AD4191+ROW()*0.000000001</f>
        <v>0.607086273503794</v>
      </c>
      <c r="AG4191" s="55" t="n">
        <f aca="false">AE4191+ROW()*0.000000001</f>
        <v>48.5371843810584</v>
      </c>
    </row>
    <row r="4192" customFormat="false" ht="15" hidden="false" customHeight="false" outlineLevel="0" collapsed="false">
      <c r="A4192" s="0" t="n">
        <v>5</v>
      </c>
      <c r="B4192" s="0" t="n">
        <v>6</v>
      </c>
      <c r="C4192" s="0" t="n">
        <v>6</v>
      </c>
      <c r="D4192" s="0" t="n">
        <v>2</v>
      </c>
      <c r="E4192" s="0" t="n">
        <f aca="false">-1+A4192*0.25</f>
        <v>0.25</v>
      </c>
      <c r="F4192" s="0" t="n">
        <f aca="false">-1+B4192*0.25</f>
        <v>0.5</v>
      </c>
      <c r="G4192" s="0" t="n">
        <f aca="false">-1+C4192*0.25</f>
        <v>0.5</v>
      </c>
      <c r="H4192" s="0" t="n">
        <f aca="false">-1+D4192*0.25</f>
        <v>-0.5</v>
      </c>
      <c r="I4192" s="0" t="n">
        <f aca="false">1</f>
        <v>1</v>
      </c>
      <c r="J4192" s="0" t="n">
        <f aca="false">E4192</f>
        <v>0.25</v>
      </c>
      <c r="K4192" s="0" t="n">
        <f aca="false">F4192</f>
        <v>0.5</v>
      </c>
      <c r="L4192" s="0" t="n">
        <f aca="false">G4192</f>
        <v>0.5</v>
      </c>
      <c r="M4192" s="0" t="n">
        <f aca="false">H4192</f>
        <v>-0.5</v>
      </c>
      <c r="N4192" s="0" t="n">
        <f aca="false">E4192*F4192</f>
        <v>0.125</v>
      </c>
      <c r="O4192" s="0" t="n">
        <f aca="false">E4192*G4192</f>
        <v>0.125</v>
      </c>
      <c r="P4192" s="0" t="n">
        <f aca="false">E4192*H4192</f>
        <v>-0.125</v>
      </c>
      <c r="Q4192" s="0" t="n">
        <f aca="false">F4192*G4192</f>
        <v>0.25</v>
      </c>
      <c r="R4192" s="0" t="n">
        <f aca="false">F4192*H4192</f>
        <v>-0.25</v>
      </c>
      <c r="S4192" s="0" t="n">
        <f aca="false">G4192*H4192</f>
        <v>-0.25</v>
      </c>
      <c r="T4192" s="0" t="n">
        <f aca="false">E4192*E4192</f>
        <v>0.0625</v>
      </c>
      <c r="U4192" s="0" t="n">
        <f aca="false">F4192*F4192</f>
        <v>0.25</v>
      </c>
      <c r="V4192" s="0" t="n">
        <f aca="false">G4192*G4192</f>
        <v>0.25</v>
      </c>
      <c r="W4192" s="0" t="n">
        <f aca="false">H4192*H4192</f>
        <v>0.25</v>
      </c>
      <c r="X4192" s="0" t="n">
        <f aca="false">SUMPRODUCT(I4192:W4192,_XtX!$B$96:$P$96)</f>
        <v>48.775274122807</v>
      </c>
      <c r="Y4192" s="0" t="n">
        <f aca="false">SUMPRODUCT(MMULT(I4192:W4192,_XtX!$B$78:$P$92),I4192:W4192)</f>
        <v>0.133937545687135</v>
      </c>
      <c r="Z4192" s="0" t="n">
        <f aca="false">04_回帰ANOVA!$K$19*04_回帰ANOVA!$K$14*SQRT(1+Y4192)</f>
        <v>1.38801116780825</v>
      </c>
      <c r="AA4192" s="0" t="n">
        <f aca="false">X4192-Z4192</f>
        <v>47.3872629549987</v>
      </c>
      <c r="AB4192" s="0" t="n">
        <f aca="false">X4192+Z4192</f>
        <v>50.1632852906152</v>
      </c>
      <c r="AC4192" s="54" t="b">
        <f aca="false">AND(E4192&gt;=01_因子設定!$L$5-0.000000001,E4192&lt;=01_因子設定!$M$5+0.000000001,F4192&gt;=01_因子設定!$L$6-0.000000001,F4192&lt;=01_因子設定!$M$6+0.000000001,G4192&gt;=01_因子設定!$L$7-0.000000001,G4192&lt;=01_因子設定!$M$7+0.000000001,H4192&gt;=01_因子設定!$L$8-0.000000001,H4192&lt;=01_因子設定!$M$8+0.000000001,IF(01_因子設定!$B$20="Box-Behnken",E4192^2+F4192^2+G4192^2+H4192^2&lt;=2+0.000000001,TRUE()))</f>
        <v>1</v>
      </c>
      <c r="AD4192" s="55" t="n">
        <f aca="false">IF(AC4192,IF(01_因子設定!$B$13="最大化",AA4192-01_因子設定!$B$14,IF(01_因子設定!$B$13="最小化",01_因子設定!$B$15-AB4192,MIN(AA4192-01_因子設定!$B$14,01_因子設定!$B$15-AB4192))),-1E+030)</f>
        <v>0.887262954998718</v>
      </c>
      <c r="AE4192" s="55" t="n">
        <f aca="false">IF(AC4192,IF(01_因子設定!$B$13="最大化",X4192,IF(01_因子設定!$B$13="最小化",-X4192,-ABS(X4192-01_因子設定!$B$16))),-1E+030)</f>
        <v>48.775274122807</v>
      </c>
      <c r="AF4192" s="55" t="n">
        <f aca="false">AD4192+ROW()*0.000000001</f>
        <v>0.887267146998718</v>
      </c>
      <c r="AG4192" s="55" t="n">
        <f aca="false">AE4192+ROW()*0.000000001</f>
        <v>48.775278314807</v>
      </c>
    </row>
    <row r="4193" customFormat="false" ht="15" hidden="false" customHeight="false" outlineLevel="0" collapsed="false">
      <c r="A4193" s="0" t="n">
        <v>5</v>
      </c>
      <c r="B4193" s="0" t="n">
        <v>6</v>
      </c>
      <c r="C4193" s="0" t="n">
        <v>6</v>
      </c>
      <c r="D4193" s="0" t="n">
        <v>3</v>
      </c>
      <c r="E4193" s="0" t="n">
        <f aca="false">-1+A4193*0.25</f>
        <v>0.25</v>
      </c>
      <c r="F4193" s="0" t="n">
        <f aca="false">-1+B4193*0.25</f>
        <v>0.5</v>
      </c>
      <c r="G4193" s="0" t="n">
        <f aca="false">-1+C4193*0.25</f>
        <v>0.5</v>
      </c>
      <c r="H4193" s="0" t="n">
        <f aca="false">-1+D4193*0.25</f>
        <v>-0.25</v>
      </c>
      <c r="I4193" s="0" t="n">
        <f aca="false">1</f>
        <v>1</v>
      </c>
      <c r="J4193" s="0" t="n">
        <f aca="false">E4193</f>
        <v>0.25</v>
      </c>
      <c r="K4193" s="0" t="n">
        <f aca="false">F4193</f>
        <v>0.5</v>
      </c>
      <c r="L4193" s="0" t="n">
        <f aca="false">G4193</f>
        <v>0.5</v>
      </c>
      <c r="M4193" s="0" t="n">
        <f aca="false">H4193</f>
        <v>-0.25</v>
      </c>
      <c r="N4193" s="0" t="n">
        <f aca="false">E4193*F4193</f>
        <v>0.125</v>
      </c>
      <c r="O4193" s="0" t="n">
        <f aca="false">E4193*G4193</f>
        <v>0.125</v>
      </c>
      <c r="P4193" s="0" t="n">
        <f aca="false">E4193*H4193</f>
        <v>-0.0625</v>
      </c>
      <c r="Q4193" s="0" t="n">
        <f aca="false">F4193*G4193</f>
        <v>0.25</v>
      </c>
      <c r="R4193" s="0" t="n">
        <f aca="false">F4193*H4193</f>
        <v>-0.125</v>
      </c>
      <c r="S4193" s="0" t="n">
        <f aca="false">G4193*H4193</f>
        <v>-0.125</v>
      </c>
      <c r="T4193" s="0" t="n">
        <f aca="false">E4193*E4193</f>
        <v>0.0625</v>
      </c>
      <c r="U4193" s="0" t="n">
        <f aca="false">F4193*F4193</f>
        <v>0.25</v>
      </c>
      <c r="V4193" s="0" t="n">
        <f aca="false">G4193*G4193</f>
        <v>0.25</v>
      </c>
      <c r="W4193" s="0" t="n">
        <f aca="false">H4193*H4193</f>
        <v>0.0625</v>
      </c>
      <c r="X4193" s="0" t="n">
        <f aca="false">SUMPRODUCT(I4193:W4193,_XtX!$B$96:$P$96)</f>
        <v>48.9655610380116</v>
      </c>
      <c r="Y4193" s="0" t="n">
        <f aca="false">SUMPRODUCT(MMULT(I4193:W4193,_XtX!$B$78:$P$92),I4193:W4193)</f>
        <v>0.128236647934942</v>
      </c>
      <c r="Z4193" s="0" t="n">
        <f aca="false">04_回帰ANOVA!$K$19*04_回帰ANOVA!$K$14*SQRT(1+Y4193)</f>
        <v>1.38451764188989</v>
      </c>
      <c r="AA4193" s="0" t="n">
        <f aca="false">X4193-Z4193</f>
        <v>47.5810433961218</v>
      </c>
      <c r="AB4193" s="0" t="n">
        <f aca="false">X4193+Z4193</f>
        <v>50.3500786799015</v>
      </c>
      <c r="AC4193" s="54" t="b">
        <f aca="false">AND(E4193&gt;=01_因子設定!$L$5-0.000000001,E4193&lt;=01_因子設定!$M$5+0.000000001,F4193&gt;=01_因子設定!$L$6-0.000000001,F4193&lt;=01_因子設定!$M$6+0.000000001,G4193&gt;=01_因子設定!$L$7-0.000000001,G4193&lt;=01_因子設定!$M$7+0.000000001,H4193&gt;=01_因子設定!$L$8-0.000000001,H4193&lt;=01_因子設定!$M$8+0.000000001,IF(01_因子設定!$B$20="Box-Behnken",E4193^2+F4193^2+G4193^2+H4193^2&lt;=2+0.000000001,TRUE()))</f>
        <v>1</v>
      </c>
      <c r="AD4193" s="55" t="n">
        <f aca="false">IF(AC4193,IF(01_因子設定!$B$13="最大化",AA4193-01_因子設定!$B$14,IF(01_因子設定!$B$13="最小化",01_因子設定!$B$15-AB4193,MIN(AA4193-01_因子設定!$B$14,01_因子設定!$B$15-AB4193))),-1E+030)</f>
        <v>1.08104339612175</v>
      </c>
      <c r="AE4193" s="55" t="n">
        <f aca="false">IF(AC4193,IF(01_因子設定!$B$13="最大化",X4193,IF(01_因子設定!$B$13="最小化",-X4193,-ABS(X4193-01_因子設定!$B$16))),-1E+030)</f>
        <v>48.9655610380116</v>
      </c>
      <c r="AF4193" s="55" t="n">
        <f aca="false">AD4193+ROW()*0.000000001</f>
        <v>1.08104758912175</v>
      </c>
      <c r="AG4193" s="55" t="n">
        <f aca="false">AE4193+ROW()*0.000000001</f>
        <v>48.9655652310116</v>
      </c>
    </row>
    <row r="4194" customFormat="false" ht="15" hidden="false" customHeight="false" outlineLevel="0" collapsed="false">
      <c r="A4194" s="0" t="n">
        <v>5</v>
      </c>
      <c r="B4194" s="0" t="n">
        <v>6</v>
      </c>
      <c r="C4194" s="0" t="n">
        <v>6</v>
      </c>
      <c r="D4194" s="0" t="n">
        <v>4</v>
      </c>
      <c r="E4194" s="0" t="n">
        <f aca="false">-1+A4194*0.25</f>
        <v>0.25</v>
      </c>
      <c r="F4194" s="0" t="n">
        <f aca="false">-1+B4194*0.25</f>
        <v>0.5</v>
      </c>
      <c r="G4194" s="0" t="n">
        <f aca="false">-1+C4194*0.25</f>
        <v>0.5</v>
      </c>
      <c r="H4194" s="0" t="n">
        <f aca="false">-1+D4194*0.25</f>
        <v>0</v>
      </c>
      <c r="I4194" s="0" t="n">
        <f aca="false">1</f>
        <v>1</v>
      </c>
      <c r="J4194" s="0" t="n">
        <f aca="false">E4194</f>
        <v>0.25</v>
      </c>
      <c r="K4194" s="0" t="n">
        <f aca="false">F4194</f>
        <v>0.5</v>
      </c>
      <c r="L4194" s="0" t="n">
        <f aca="false">G4194</f>
        <v>0.5</v>
      </c>
      <c r="M4194" s="0" t="n">
        <f aca="false">H4194</f>
        <v>0</v>
      </c>
      <c r="N4194" s="0" t="n">
        <f aca="false">E4194*F4194</f>
        <v>0.125</v>
      </c>
      <c r="O4194" s="0" t="n">
        <f aca="false">E4194*G4194</f>
        <v>0.125</v>
      </c>
      <c r="P4194" s="0" t="n">
        <f aca="false">E4194*H4194</f>
        <v>0</v>
      </c>
      <c r="Q4194" s="0" t="n">
        <f aca="false">F4194*G4194</f>
        <v>0.25</v>
      </c>
      <c r="R4194" s="0" t="n">
        <f aca="false">F4194*H4194</f>
        <v>0</v>
      </c>
      <c r="S4194" s="0" t="n">
        <f aca="false">G4194*H4194</f>
        <v>0</v>
      </c>
      <c r="T4194" s="0" t="n">
        <f aca="false">E4194*E4194</f>
        <v>0.0625</v>
      </c>
      <c r="U4194" s="0" t="n">
        <f aca="false">F4194*F4194</f>
        <v>0.25</v>
      </c>
      <c r="V4194" s="0" t="n">
        <f aca="false">G4194*G4194</f>
        <v>0.25</v>
      </c>
      <c r="W4194" s="0" t="n">
        <f aca="false">H4194*H4194</f>
        <v>0</v>
      </c>
      <c r="X4194" s="0" t="n">
        <f aca="false">SUMPRODUCT(I4194:W4194,_XtX!$B$96:$P$96)</f>
        <v>49.1080409356725</v>
      </c>
      <c r="Y4194" s="0" t="n">
        <f aca="false">SUMPRODUCT(MMULT(I4194:W4194,_XtX!$B$78:$P$92),I4194:W4194)</f>
        <v>0.132367050438597</v>
      </c>
      <c r="Z4194" s="0" t="n">
        <f aca="false">04_回帰ANOVA!$K$19*04_回帰ANOVA!$K$14*SQRT(1+Y4194)</f>
        <v>1.38704964208329</v>
      </c>
      <c r="AA4194" s="0" t="n">
        <f aca="false">X4194-Z4194</f>
        <v>47.7209912935892</v>
      </c>
      <c r="AB4194" s="0" t="n">
        <f aca="false">X4194+Z4194</f>
        <v>50.4950905777558</v>
      </c>
      <c r="AC4194" s="54" t="b">
        <f aca="false">AND(E4194&gt;=01_因子設定!$L$5-0.000000001,E4194&lt;=01_因子設定!$M$5+0.000000001,F4194&gt;=01_因子設定!$L$6-0.000000001,F4194&lt;=01_因子設定!$M$6+0.000000001,G4194&gt;=01_因子設定!$L$7-0.000000001,G4194&lt;=01_因子設定!$M$7+0.000000001,H4194&gt;=01_因子設定!$L$8-0.000000001,H4194&lt;=01_因子設定!$M$8+0.000000001,IF(01_因子設定!$B$20="Box-Behnken",E4194^2+F4194^2+G4194^2+H4194^2&lt;=2+0.000000001,TRUE()))</f>
        <v>1</v>
      </c>
      <c r="AD4194" s="55" t="n">
        <f aca="false">IF(AC4194,IF(01_因子設定!$B$13="最大化",AA4194-01_因子設定!$B$14,IF(01_因子設定!$B$13="最小化",01_因子設定!$B$15-AB4194,MIN(AA4194-01_因子設定!$B$14,01_因子設定!$B$15-AB4194))),-1E+030)</f>
        <v>1.22099129358917</v>
      </c>
      <c r="AE4194" s="55" t="n">
        <f aca="false">IF(AC4194,IF(01_因子設定!$B$13="最大化",X4194,IF(01_因子設定!$B$13="最小化",-X4194,-ABS(X4194-01_因子設定!$B$16))),-1E+030)</f>
        <v>49.1080409356725</v>
      </c>
      <c r="AF4194" s="55" t="n">
        <f aca="false">AD4194+ROW()*0.000000001</f>
        <v>1.22099548758917</v>
      </c>
      <c r="AG4194" s="55" t="n">
        <f aca="false">AE4194+ROW()*0.000000001</f>
        <v>49.1080451296725</v>
      </c>
    </row>
    <row r="4195" customFormat="false" ht="15" hidden="false" customHeight="false" outlineLevel="0" collapsed="false">
      <c r="A4195" s="0" t="n">
        <v>5</v>
      </c>
      <c r="B4195" s="0" t="n">
        <v>6</v>
      </c>
      <c r="C4195" s="0" t="n">
        <v>6</v>
      </c>
      <c r="D4195" s="0" t="n">
        <v>5</v>
      </c>
      <c r="E4195" s="0" t="n">
        <f aca="false">-1+A4195*0.25</f>
        <v>0.25</v>
      </c>
      <c r="F4195" s="0" t="n">
        <f aca="false">-1+B4195*0.25</f>
        <v>0.5</v>
      </c>
      <c r="G4195" s="0" t="n">
        <f aca="false">-1+C4195*0.25</f>
        <v>0.5</v>
      </c>
      <c r="H4195" s="0" t="n">
        <f aca="false">-1+D4195*0.25</f>
        <v>0.25</v>
      </c>
      <c r="I4195" s="0" t="n">
        <f aca="false">1</f>
        <v>1</v>
      </c>
      <c r="J4195" s="0" t="n">
        <f aca="false">E4195</f>
        <v>0.25</v>
      </c>
      <c r="K4195" s="0" t="n">
        <f aca="false">F4195</f>
        <v>0.5</v>
      </c>
      <c r="L4195" s="0" t="n">
        <f aca="false">G4195</f>
        <v>0.5</v>
      </c>
      <c r="M4195" s="0" t="n">
        <f aca="false">H4195</f>
        <v>0.25</v>
      </c>
      <c r="N4195" s="0" t="n">
        <f aca="false">E4195*F4195</f>
        <v>0.125</v>
      </c>
      <c r="O4195" s="0" t="n">
        <f aca="false">E4195*G4195</f>
        <v>0.125</v>
      </c>
      <c r="P4195" s="0" t="n">
        <f aca="false">E4195*H4195</f>
        <v>0.0625</v>
      </c>
      <c r="Q4195" s="0" t="n">
        <f aca="false">F4195*G4195</f>
        <v>0.25</v>
      </c>
      <c r="R4195" s="0" t="n">
        <f aca="false">F4195*H4195</f>
        <v>0.125</v>
      </c>
      <c r="S4195" s="0" t="n">
        <f aca="false">G4195*H4195</f>
        <v>0.125</v>
      </c>
      <c r="T4195" s="0" t="n">
        <f aca="false">E4195*E4195</f>
        <v>0.0625</v>
      </c>
      <c r="U4195" s="0" t="n">
        <f aca="false">F4195*F4195</f>
        <v>0.25</v>
      </c>
      <c r="V4195" s="0" t="n">
        <f aca="false">G4195*G4195</f>
        <v>0.25</v>
      </c>
      <c r="W4195" s="0" t="n">
        <f aca="false">H4195*H4195</f>
        <v>0.0625</v>
      </c>
      <c r="X4195" s="0" t="n">
        <f aca="false">SUMPRODUCT(I4195:W4195,_XtX!$B$96:$P$96)</f>
        <v>49.2027138157894</v>
      </c>
      <c r="Y4195" s="0" t="n">
        <f aca="false">SUMPRODUCT(MMULT(I4195:W4195,_XtX!$B$78:$P$92),I4195:W4195)</f>
        <v>0.128236647934942</v>
      </c>
      <c r="Z4195" s="0" t="n">
        <f aca="false">04_回帰ANOVA!$K$19*04_回帰ANOVA!$K$14*SQRT(1+Y4195)</f>
        <v>1.38451764188989</v>
      </c>
      <c r="AA4195" s="0" t="n">
        <f aca="false">X4195-Z4195</f>
        <v>47.8181961738995</v>
      </c>
      <c r="AB4195" s="0" t="n">
        <f aca="false">X4195+Z4195</f>
        <v>50.5872314576793</v>
      </c>
      <c r="AC4195" s="54" t="b">
        <f aca="false">AND(E4195&gt;=01_因子設定!$L$5-0.000000001,E4195&lt;=01_因子設定!$M$5+0.000000001,F4195&gt;=01_因子設定!$L$6-0.000000001,F4195&lt;=01_因子設定!$M$6+0.000000001,G4195&gt;=01_因子設定!$L$7-0.000000001,G4195&lt;=01_因子設定!$M$7+0.000000001,H4195&gt;=01_因子設定!$L$8-0.000000001,H4195&lt;=01_因子設定!$M$8+0.000000001,IF(01_因子設定!$B$20="Box-Behnken",E4195^2+F4195^2+G4195^2+H4195^2&lt;=2+0.000000001,TRUE()))</f>
        <v>1</v>
      </c>
      <c r="AD4195" s="55" t="n">
        <f aca="false">IF(AC4195,IF(01_因子設定!$B$13="最大化",AA4195-01_因子設定!$B$14,IF(01_因子設定!$B$13="最小化",01_因子設定!$B$15-AB4195,MIN(AA4195-01_因子設定!$B$14,01_因子設定!$B$15-AB4195))),-1E+030)</f>
        <v>1.31819617389953</v>
      </c>
      <c r="AE4195" s="55" t="n">
        <f aca="false">IF(AC4195,IF(01_因子設定!$B$13="最大化",X4195,IF(01_因子設定!$B$13="最小化",-X4195,-ABS(X4195-01_因子設定!$B$16))),-1E+030)</f>
        <v>49.2027138157894</v>
      </c>
      <c r="AF4195" s="55" t="n">
        <f aca="false">AD4195+ROW()*0.000000001</f>
        <v>1.31820036889953</v>
      </c>
      <c r="AG4195" s="55" t="n">
        <f aca="false">AE4195+ROW()*0.000000001</f>
        <v>49.2027180107894</v>
      </c>
    </row>
    <row r="4196" customFormat="false" ht="15" hidden="false" customHeight="false" outlineLevel="0" collapsed="false">
      <c r="A4196" s="0" t="n">
        <v>5</v>
      </c>
      <c r="B4196" s="0" t="n">
        <v>6</v>
      </c>
      <c r="C4196" s="0" t="n">
        <v>6</v>
      </c>
      <c r="D4196" s="0" t="n">
        <v>6</v>
      </c>
      <c r="E4196" s="0" t="n">
        <f aca="false">-1+A4196*0.25</f>
        <v>0.25</v>
      </c>
      <c r="F4196" s="0" t="n">
        <f aca="false">-1+B4196*0.25</f>
        <v>0.5</v>
      </c>
      <c r="G4196" s="0" t="n">
        <f aca="false">-1+C4196*0.25</f>
        <v>0.5</v>
      </c>
      <c r="H4196" s="0" t="n">
        <f aca="false">-1+D4196*0.25</f>
        <v>0.5</v>
      </c>
      <c r="I4196" s="0" t="n">
        <f aca="false">1</f>
        <v>1</v>
      </c>
      <c r="J4196" s="0" t="n">
        <f aca="false">E4196</f>
        <v>0.25</v>
      </c>
      <c r="K4196" s="0" t="n">
        <f aca="false">F4196</f>
        <v>0.5</v>
      </c>
      <c r="L4196" s="0" t="n">
        <f aca="false">G4196</f>
        <v>0.5</v>
      </c>
      <c r="M4196" s="0" t="n">
        <f aca="false">H4196</f>
        <v>0.5</v>
      </c>
      <c r="N4196" s="0" t="n">
        <f aca="false">E4196*F4196</f>
        <v>0.125</v>
      </c>
      <c r="O4196" s="0" t="n">
        <f aca="false">E4196*G4196</f>
        <v>0.125</v>
      </c>
      <c r="P4196" s="0" t="n">
        <f aca="false">E4196*H4196</f>
        <v>0.125</v>
      </c>
      <c r="Q4196" s="0" t="n">
        <f aca="false">F4196*G4196</f>
        <v>0.25</v>
      </c>
      <c r="R4196" s="0" t="n">
        <f aca="false">F4196*H4196</f>
        <v>0.25</v>
      </c>
      <c r="S4196" s="0" t="n">
        <f aca="false">G4196*H4196</f>
        <v>0.25</v>
      </c>
      <c r="T4196" s="0" t="n">
        <f aca="false">E4196*E4196</f>
        <v>0.0625</v>
      </c>
      <c r="U4196" s="0" t="n">
        <f aca="false">F4196*F4196</f>
        <v>0.25</v>
      </c>
      <c r="V4196" s="0" t="n">
        <f aca="false">G4196*G4196</f>
        <v>0.25</v>
      </c>
      <c r="W4196" s="0" t="n">
        <f aca="false">H4196*H4196</f>
        <v>0.25</v>
      </c>
      <c r="X4196" s="0" t="n">
        <f aca="false">SUMPRODUCT(I4196:W4196,_XtX!$B$96:$P$96)</f>
        <v>49.2495796783625</v>
      </c>
      <c r="Y4196" s="0" t="n">
        <f aca="false">SUMPRODUCT(MMULT(I4196:W4196,_XtX!$B$78:$P$92),I4196:W4196)</f>
        <v>0.133937545687135</v>
      </c>
      <c r="Z4196" s="0" t="n">
        <f aca="false">04_回帰ANOVA!$K$19*04_回帰ANOVA!$K$14*SQRT(1+Y4196)</f>
        <v>1.38801116780825</v>
      </c>
      <c r="AA4196" s="0" t="n">
        <f aca="false">X4196-Z4196</f>
        <v>47.8615685105543</v>
      </c>
      <c r="AB4196" s="0" t="n">
        <f aca="false">X4196+Z4196</f>
        <v>50.6375908461708</v>
      </c>
      <c r="AC4196" s="54" t="b">
        <f aca="false">AND(E4196&gt;=01_因子設定!$L$5-0.000000001,E4196&lt;=01_因子設定!$M$5+0.000000001,F4196&gt;=01_因子設定!$L$6-0.000000001,F4196&lt;=01_因子設定!$M$6+0.000000001,G4196&gt;=01_因子設定!$L$7-0.000000001,G4196&lt;=01_因子設定!$M$7+0.000000001,H4196&gt;=01_因子設定!$L$8-0.000000001,H4196&lt;=01_因子設定!$M$8+0.000000001,IF(01_因子設定!$B$20="Box-Behnken",E4196^2+F4196^2+G4196^2+H4196^2&lt;=2+0.000000001,TRUE()))</f>
        <v>1</v>
      </c>
      <c r="AD4196" s="55" t="n">
        <f aca="false">IF(AC4196,IF(01_因子設定!$B$13="最大化",AA4196-01_因子設定!$B$14,IF(01_因子設定!$B$13="最小化",01_因子設定!$B$15-AB4196,MIN(AA4196-01_因子設定!$B$14,01_因子設定!$B$15-AB4196))),-1E+030)</f>
        <v>1.36156851055427</v>
      </c>
      <c r="AE4196" s="55" t="n">
        <f aca="false">IF(AC4196,IF(01_因子設定!$B$13="最大化",X4196,IF(01_因子設定!$B$13="最小化",-X4196,-ABS(X4196-01_因子設定!$B$16))),-1E+030)</f>
        <v>49.2495796783625</v>
      </c>
      <c r="AF4196" s="55" t="n">
        <f aca="false">AD4196+ROW()*0.000000001</f>
        <v>1.36157270655427</v>
      </c>
      <c r="AG4196" s="55" t="n">
        <f aca="false">AE4196+ROW()*0.000000001</f>
        <v>49.2495838743625</v>
      </c>
    </row>
    <row r="4197" customFormat="false" ht="15" hidden="false" customHeight="false" outlineLevel="0" collapsed="false">
      <c r="A4197" s="0" t="n">
        <v>5</v>
      </c>
      <c r="B4197" s="0" t="n">
        <v>6</v>
      </c>
      <c r="C4197" s="0" t="n">
        <v>6</v>
      </c>
      <c r="D4197" s="0" t="n">
        <v>7</v>
      </c>
      <c r="E4197" s="0" t="n">
        <f aca="false">-1+A4197*0.25</f>
        <v>0.25</v>
      </c>
      <c r="F4197" s="0" t="n">
        <f aca="false">-1+B4197*0.25</f>
        <v>0.5</v>
      </c>
      <c r="G4197" s="0" t="n">
        <f aca="false">-1+C4197*0.25</f>
        <v>0.5</v>
      </c>
      <c r="H4197" s="0" t="n">
        <f aca="false">-1+D4197*0.25</f>
        <v>0.75</v>
      </c>
      <c r="I4197" s="0" t="n">
        <f aca="false">1</f>
        <v>1</v>
      </c>
      <c r="J4197" s="0" t="n">
        <f aca="false">E4197</f>
        <v>0.25</v>
      </c>
      <c r="K4197" s="0" t="n">
        <f aca="false">F4197</f>
        <v>0.5</v>
      </c>
      <c r="L4197" s="0" t="n">
        <f aca="false">G4197</f>
        <v>0.5</v>
      </c>
      <c r="M4197" s="0" t="n">
        <f aca="false">H4197</f>
        <v>0.75</v>
      </c>
      <c r="N4197" s="0" t="n">
        <f aca="false">E4197*F4197</f>
        <v>0.125</v>
      </c>
      <c r="O4197" s="0" t="n">
        <f aca="false">E4197*G4197</f>
        <v>0.125</v>
      </c>
      <c r="P4197" s="0" t="n">
        <f aca="false">E4197*H4197</f>
        <v>0.1875</v>
      </c>
      <c r="Q4197" s="0" t="n">
        <f aca="false">F4197*G4197</f>
        <v>0.25</v>
      </c>
      <c r="R4197" s="0" t="n">
        <f aca="false">F4197*H4197</f>
        <v>0.375</v>
      </c>
      <c r="S4197" s="0" t="n">
        <f aca="false">G4197*H4197</f>
        <v>0.375</v>
      </c>
      <c r="T4197" s="0" t="n">
        <f aca="false">E4197*E4197</f>
        <v>0.0625</v>
      </c>
      <c r="U4197" s="0" t="n">
        <f aca="false">F4197*F4197</f>
        <v>0.25</v>
      </c>
      <c r="V4197" s="0" t="n">
        <f aca="false">G4197*G4197</f>
        <v>0.25</v>
      </c>
      <c r="W4197" s="0" t="n">
        <f aca="false">H4197*H4197</f>
        <v>0.5625</v>
      </c>
      <c r="X4197" s="0" t="n">
        <f aca="false">SUMPRODUCT(I4197:W4197,_XtX!$B$96:$P$96)</f>
        <v>49.2486385233918</v>
      </c>
      <c r="Y4197" s="0" t="n">
        <f aca="false">SUMPRODUCT(MMULT(I4197:W4197,_XtX!$B$78:$P$92),I4197:W4197)</f>
        <v>0.203746059484649</v>
      </c>
      <c r="Z4197" s="0" t="n">
        <f aca="false">04_回帰ANOVA!$K$19*04_回帰ANOVA!$K$14*SQRT(1+Y4197)</f>
        <v>1.43009810755465</v>
      </c>
      <c r="AA4197" s="0" t="n">
        <f aca="false">X4197-Z4197</f>
        <v>47.8185404158371</v>
      </c>
      <c r="AB4197" s="0" t="n">
        <f aca="false">X4197+Z4197</f>
        <v>50.6787366309464</v>
      </c>
      <c r="AC4197" s="54" t="b">
        <f aca="false">AND(E4197&gt;=01_因子設定!$L$5-0.000000001,E4197&lt;=01_因子設定!$M$5+0.000000001,F4197&gt;=01_因子設定!$L$6-0.000000001,F4197&lt;=01_因子設定!$M$6+0.000000001,G4197&gt;=01_因子設定!$L$7-0.000000001,G4197&lt;=01_因子設定!$M$7+0.000000001,H4197&gt;=01_因子設定!$L$8-0.000000001,H4197&lt;=01_因子設定!$M$8+0.000000001,IF(01_因子設定!$B$20="Box-Behnken",E4197^2+F4197^2+G4197^2+H4197^2&lt;=2+0.000000001,TRUE()))</f>
        <v>1</v>
      </c>
      <c r="AD4197" s="55" t="n">
        <f aca="false">IF(AC4197,IF(01_因子設定!$B$13="最大化",AA4197-01_因子設定!$B$14,IF(01_因子設定!$B$13="最小化",01_因子設定!$B$15-AB4197,MIN(AA4197-01_因子設定!$B$14,01_因子設定!$B$15-AB4197))),-1E+030)</f>
        <v>1.31854041583713</v>
      </c>
      <c r="AE4197" s="55" t="n">
        <f aca="false">IF(AC4197,IF(01_因子設定!$B$13="最大化",X4197,IF(01_因子設定!$B$13="最小化",-X4197,-ABS(X4197-01_因子設定!$B$16))),-1E+030)</f>
        <v>49.2486385233918</v>
      </c>
      <c r="AF4197" s="55" t="n">
        <f aca="false">AD4197+ROW()*0.000000001</f>
        <v>1.31854461283713</v>
      </c>
      <c r="AG4197" s="55" t="n">
        <f aca="false">AE4197+ROW()*0.000000001</f>
        <v>49.2486427203918</v>
      </c>
    </row>
    <row r="4198" customFormat="false" ht="15" hidden="false" customHeight="false" outlineLevel="0" collapsed="false">
      <c r="A4198" s="0" t="n">
        <v>5</v>
      </c>
      <c r="B4198" s="0" t="n">
        <v>6</v>
      </c>
      <c r="C4198" s="0" t="n">
        <v>6</v>
      </c>
      <c r="D4198" s="0" t="n">
        <v>8</v>
      </c>
      <c r="E4198" s="0" t="n">
        <f aca="false">-1+A4198*0.25</f>
        <v>0.25</v>
      </c>
      <c r="F4198" s="0" t="n">
        <f aca="false">-1+B4198*0.25</f>
        <v>0.5</v>
      </c>
      <c r="G4198" s="0" t="n">
        <f aca="false">-1+C4198*0.25</f>
        <v>0.5</v>
      </c>
      <c r="H4198" s="0" t="n">
        <f aca="false">-1+D4198*0.25</f>
        <v>1</v>
      </c>
      <c r="I4198" s="0" t="n">
        <f aca="false">1</f>
        <v>1</v>
      </c>
      <c r="J4198" s="0" t="n">
        <f aca="false">E4198</f>
        <v>0.25</v>
      </c>
      <c r="K4198" s="0" t="n">
        <f aca="false">F4198</f>
        <v>0.5</v>
      </c>
      <c r="L4198" s="0" t="n">
        <f aca="false">G4198</f>
        <v>0.5</v>
      </c>
      <c r="M4198" s="0" t="n">
        <f aca="false">H4198</f>
        <v>1</v>
      </c>
      <c r="N4198" s="0" t="n">
        <f aca="false">E4198*F4198</f>
        <v>0.125</v>
      </c>
      <c r="O4198" s="0" t="n">
        <f aca="false">E4198*G4198</f>
        <v>0.125</v>
      </c>
      <c r="P4198" s="0" t="n">
        <f aca="false">E4198*H4198</f>
        <v>0.25</v>
      </c>
      <c r="Q4198" s="0" t="n">
        <f aca="false">F4198*G4198</f>
        <v>0.25</v>
      </c>
      <c r="R4198" s="0" t="n">
        <f aca="false">F4198*H4198</f>
        <v>0.5</v>
      </c>
      <c r="S4198" s="0" t="n">
        <f aca="false">G4198*H4198</f>
        <v>0.5</v>
      </c>
      <c r="T4198" s="0" t="n">
        <f aca="false">E4198*E4198</f>
        <v>0.0625</v>
      </c>
      <c r="U4198" s="0" t="n">
        <f aca="false">F4198*F4198</f>
        <v>0.25</v>
      </c>
      <c r="V4198" s="0" t="n">
        <f aca="false">G4198*G4198</f>
        <v>0.25</v>
      </c>
      <c r="W4198" s="0" t="n">
        <f aca="false">H4198*H4198</f>
        <v>1</v>
      </c>
      <c r="X4198" s="0" t="n">
        <f aca="false">SUMPRODUCT(I4198:W4198,_XtX!$B$96:$P$96)</f>
        <v>49.1998903508772</v>
      </c>
      <c r="Y4198" s="0" t="n">
        <f aca="false">SUMPRODUCT(MMULT(I4198:W4198,_XtX!$B$78:$P$92),I4198:W4198)</f>
        <v>0.428122715643275</v>
      </c>
      <c r="Z4198" s="0" t="n">
        <f aca="false">04_回帰ANOVA!$K$19*04_回帰ANOVA!$K$14*SQRT(1+Y4198)</f>
        <v>1.55769044623229</v>
      </c>
      <c r="AA4198" s="0" t="n">
        <f aca="false">X4198-Z4198</f>
        <v>47.6421999046449</v>
      </c>
      <c r="AB4198" s="0" t="n">
        <f aca="false">X4198+Z4198</f>
        <v>50.7575807971095</v>
      </c>
      <c r="AC4198" s="54" t="b">
        <f aca="false">AND(E4198&gt;=01_因子設定!$L$5-0.000000001,E4198&lt;=01_因子設定!$M$5+0.000000001,F4198&gt;=01_因子設定!$L$6-0.000000001,F4198&lt;=01_因子設定!$M$6+0.000000001,G4198&gt;=01_因子設定!$L$7-0.000000001,G4198&lt;=01_因子設定!$M$7+0.000000001,H4198&gt;=01_因子設定!$L$8-0.000000001,H4198&lt;=01_因子設定!$M$8+0.000000001,IF(01_因子設定!$B$20="Box-Behnken",E4198^2+F4198^2+G4198^2+H4198^2&lt;=2+0.000000001,TRUE()))</f>
        <v>1</v>
      </c>
      <c r="AD4198" s="55" t="n">
        <f aca="false">IF(AC4198,IF(01_因子設定!$B$13="最大化",AA4198-01_因子設定!$B$14,IF(01_因子設定!$B$13="最小化",01_因子設定!$B$15-AB4198,MIN(AA4198-01_因子設定!$B$14,01_因子設定!$B$15-AB4198))),-1E+030)</f>
        <v>1.14219990464488</v>
      </c>
      <c r="AE4198" s="55" t="n">
        <f aca="false">IF(AC4198,IF(01_因子設定!$B$13="最大化",X4198,IF(01_因子設定!$B$13="最小化",-X4198,-ABS(X4198-01_因子設定!$B$16))),-1E+030)</f>
        <v>49.1998903508772</v>
      </c>
      <c r="AF4198" s="55" t="n">
        <f aca="false">AD4198+ROW()*0.000000001</f>
        <v>1.14220410264488</v>
      </c>
      <c r="AG4198" s="55" t="n">
        <f aca="false">AE4198+ROW()*0.000000001</f>
        <v>49.1998945488772</v>
      </c>
    </row>
    <row r="4199" customFormat="false" ht="15" hidden="false" customHeight="false" outlineLevel="0" collapsed="false">
      <c r="A4199" s="0" t="n">
        <v>5</v>
      </c>
      <c r="B4199" s="0" t="n">
        <v>6</v>
      </c>
      <c r="C4199" s="0" t="n">
        <v>7</v>
      </c>
      <c r="D4199" s="0" t="n">
        <v>0</v>
      </c>
      <c r="E4199" s="0" t="n">
        <f aca="false">-1+A4199*0.25</f>
        <v>0.25</v>
      </c>
      <c r="F4199" s="0" t="n">
        <f aca="false">-1+B4199*0.25</f>
        <v>0.5</v>
      </c>
      <c r="G4199" s="0" t="n">
        <f aca="false">-1+C4199*0.25</f>
        <v>0.75</v>
      </c>
      <c r="H4199" s="0" t="n">
        <f aca="false">-1+D4199*0.25</f>
        <v>-1</v>
      </c>
      <c r="I4199" s="0" t="n">
        <f aca="false">1</f>
        <v>1</v>
      </c>
      <c r="J4199" s="0" t="n">
        <f aca="false">E4199</f>
        <v>0.25</v>
      </c>
      <c r="K4199" s="0" t="n">
        <f aca="false">F4199</f>
        <v>0.5</v>
      </c>
      <c r="L4199" s="0" t="n">
        <f aca="false">G4199</f>
        <v>0.75</v>
      </c>
      <c r="M4199" s="0" t="n">
        <f aca="false">H4199</f>
        <v>-1</v>
      </c>
      <c r="N4199" s="0" t="n">
        <f aca="false">E4199*F4199</f>
        <v>0.125</v>
      </c>
      <c r="O4199" s="0" t="n">
        <f aca="false">E4199*G4199</f>
        <v>0.1875</v>
      </c>
      <c r="P4199" s="0" t="n">
        <f aca="false">E4199*H4199</f>
        <v>-0.25</v>
      </c>
      <c r="Q4199" s="0" t="n">
        <f aca="false">F4199*G4199</f>
        <v>0.375</v>
      </c>
      <c r="R4199" s="0" t="n">
        <f aca="false">F4199*H4199</f>
        <v>-0.5</v>
      </c>
      <c r="S4199" s="0" t="n">
        <f aca="false">G4199*H4199</f>
        <v>-0.75</v>
      </c>
      <c r="T4199" s="0" t="n">
        <f aca="false">E4199*E4199</f>
        <v>0.0625</v>
      </c>
      <c r="U4199" s="0" t="n">
        <f aca="false">F4199*F4199</f>
        <v>0.25</v>
      </c>
      <c r="V4199" s="0" t="n">
        <f aca="false">G4199*G4199</f>
        <v>0.5625</v>
      </c>
      <c r="W4199" s="0" t="n">
        <f aca="false">H4199*H4199</f>
        <v>1</v>
      </c>
      <c r="X4199" s="0" t="n">
        <f aca="false">SUMPRODUCT(I4199:W4199,_XtX!$B$96:$P$96)</f>
        <v>48.2104075292397</v>
      </c>
      <c r="Y4199" s="0" t="n">
        <f aca="false">SUMPRODUCT(MMULT(I4199:W4199,_XtX!$B$78:$P$92),I4199:W4199)</f>
        <v>0.459125719572369</v>
      </c>
      <c r="Z4199" s="0" t="n">
        <f aca="false">04_回帰ANOVA!$K$19*04_回帰ANOVA!$K$14*SQRT(1+Y4199)</f>
        <v>1.57450755575573</v>
      </c>
      <c r="AA4199" s="0" t="n">
        <f aca="false">X4199-Z4199</f>
        <v>46.635899973484</v>
      </c>
      <c r="AB4199" s="0" t="n">
        <f aca="false">X4199+Z4199</f>
        <v>49.7849150849955</v>
      </c>
      <c r="AC4199" s="54" t="b">
        <f aca="false">AND(E4199&gt;=01_因子設定!$L$5-0.000000001,E4199&lt;=01_因子設定!$M$5+0.000000001,F4199&gt;=01_因子設定!$L$6-0.000000001,F4199&lt;=01_因子設定!$M$6+0.000000001,G4199&gt;=01_因子設定!$L$7-0.000000001,G4199&lt;=01_因子設定!$M$7+0.000000001,H4199&gt;=01_因子設定!$L$8-0.000000001,H4199&lt;=01_因子設定!$M$8+0.000000001,IF(01_因子設定!$B$20="Box-Behnken",E4199^2+F4199^2+G4199^2+H4199^2&lt;=2+0.000000001,TRUE()))</f>
        <v>1</v>
      </c>
      <c r="AD4199" s="55" t="n">
        <f aca="false">IF(AC4199,IF(01_因子設定!$B$13="最大化",AA4199-01_因子設定!$B$14,IF(01_因子設定!$B$13="最小化",01_因子設定!$B$15-AB4199,MIN(AA4199-01_因子設定!$B$14,01_因子設定!$B$15-AB4199))),-1E+030)</f>
        <v>0.135899973484015</v>
      </c>
      <c r="AE4199" s="55" t="n">
        <f aca="false">IF(AC4199,IF(01_因子設定!$B$13="最大化",X4199,IF(01_因子設定!$B$13="最小化",-X4199,-ABS(X4199-01_因子設定!$B$16))),-1E+030)</f>
        <v>48.2104075292397</v>
      </c>
      <c r="AF4199" s="55" t="n">
        <f aca="false">AD4199+ROW()*0.000000001</f>
        <v>0.135904172484015</v>
      </c>
      <c r="AG4199" s="55" t="n">
        <f aca="false">AE4199+ROW()*0.000000001</f>
        <v>48.2104117282398</v>
      </c>
    </row>
    <row r="4200" customFormat="false" ht="15" hidden="false" customHeight="false" outlineLevel="0" collapsed="false">
      <c r="A4200" s="0" t="n">
        <v>5</v>
      </c>
      <c r="B4200" s="0" t="n">
        <v>6</v>
      </c>
      <c r="C4200" s="0" t="n">
        <v>7</v>
      </c>
      <c r="D4200" s="0" t="n">
        <v>1</v>
      </c>
      <c r="E4200" s="0" t="n">
        <f aca="false">-1+A4200*0.25</f>
        <v>0.25</v>
      </c>
      <c r="F4200" s="0" t="n">
        <f aca="false">-1+B4200*0.25</f>
        <v>0.5</v>
      </c>
      <c r="G4200" s="0" t="n">
        <f aca="false">-1+C4200*0.25</f>
        <v>0.75</v>
      </c>
      <c r="H4200" s="0" t="n">
        <f aca="false">-1+D4200*0.25</f>
        <v>-0.75</v>
      </c>
      <c r="I4200" s="0" t="n">
        <f aca="false">1</f>
        <v>1</v>
      </c>
      <c r="J4200" s="0" t="n">
        <f aca="false">E4200</f>
        <v>0.25</v>
      </c>
      <c r="K4200" s="0" t="n">
        <f aca="false">F4200</f>
        <v>0.5</v>
      </c>
      <c r="L4200" s="0" t="n">
        <f aca="false">G4200</f>
        <v>0.75</v>
      </c>
      <c r="M4200" s="0" t="n">
        <f aca="false">H4200</f>
        <v>-0.75</v>
      </c>
      <c r="N4200" s="0" t="n">
        <f aca="false">E4200*F4200</f>
        <v>0.125</v>
      </c>
      <c r="O4200" s="0" t="n">
        <f aca="false">E4200*G4200</f>
        <v>0.1875</v>
      </c>
      <c r="P4200" s="0" t="n">
        <f aca="false">E4200*H4200</f>
        <v>-0.1875</v>
      </c>
      <c r="Q4200" s="0" t="n">
        <f aca="false">F4200*G4200</f>
        <v>0.375</v>
      </c>
      <c r="R4200" s="0" t="n">
        <f aca="false">F4200*H4200</f>
        <v>-0.375</v>
      </c>
      <c r="S4200" s="0" t="n">
        <f aca="false">G4200*H4200</f>
        <v>-0.5625</v>
      </c>
      <c r="T4200" s="0" t="n">
        <f aca="false">E4200*E4200</f>
        <v>0.0625</v>
      </c>
      <c r="U4200" s="0" t="n">
        <f aca="false">F4200*F4200</f>
        <v>0.25</v>
      </c>
      <c r="V4200" s="0" t="n">
        <f aca="false">G4200*G4200</f>
        <v>0.5625</v>
      </c>
      <c r="W4200" s="0" t="n">
        <f aca="false">H4200*H4200</f>
        <v>0.5625</v>
      </c>
      <c r="X4200" s="0" t="n">
        <f aca="false">SUMPRODUCT(I4200:W4200,_XtX!$B$96:$P$96)</f>
        <v>48.5142772295321</v>
      </c>
      <c r="Y4200" s="0" t="n">
        <f aca="false">SUMPRODUCT(MMULT(I4200:W4200,_XtX!$B$78:$P$92),I4200:W4200)</f>
        <v>0.257385610836988</v>
      </c>
      <c r="Z4200" s="0" t="n">
        <f aca="false">04_回帰ANOVA!$K$19*04_回帰ANOVA!$K$14*SQRT(1+Y4200)</f>
        <v>1.46161380324158</v>
      </c>
      <c r="AA4200" s="0" t="n">
        <f aca="false">X4200-Z4200</f>
        <v>47.0526634262905</v>
      </c>
      <c r="AB4200" s="0" t="n">
        <f aca="false">X4200+Z4200</f>
        <v>49.9758910327737</v>
      </c>
      <c r="AC4200" s="54" t="b">
        <f aca="false">AND(E4200&gt;=01_因子設定!$L$5-0.000000001,E4200&lt;=01_因子設定!$M$5+0.000000001,F4200&gt;=01_因子設定!$L$6-0.000000001,F4200&lt;=01_因子設定!$M$6+0.000000001,G4200&gt;=01_因子設定!$L$7-0.000000001,G4200&lt;=01_因子設定!$M$7+0.000000001,H4200&gt;=01_因子設定!$L$8-0.000000001,H4200&lt;=01_因子設定!$M$8+0.000000001,IF(01_因子設定!$B$20="Box-Behnken",E4200^2+F4200^2+G4200^2+H4200^2&lt;=2+0.000000001,TRUE()))</f>
        <v>1</v>
      </c>
      <c r="AD4200" s="55" t="n">
        <f aca="false">IF(AC4200,IF(01_因子設定!$B$13="最大化",AA4200-01_因子設定!$B$14,IF(01_因子設定!$B$13="最小化",01_因子設定!$B$15-AB4200,MIN(AA4200-01_因子設定!$B$14,01_因子設定!$B$15-AB4200))),-1E+030)</f>
        <v>0.552663426290543</v>
      </c>
      <c r="AE4200" s="55" t="n">
        <f aca="false">IF(AC4200,IF(01_因子設定!$B$13="最大化",X4200,IF(01_因子設定!$B$13="最小化",-X4200,-ABS(X4200-01_因子設定!$B$16))),-1E+030)</f>
        <v>48.5142772295321</v>
      </c>
      <c r="AF4200" s="55" t="n">
        <f aca="false">AD4200+ROW()*0.000000001</f>
        <v>0.552667626290543</v>
      </c>
      <c r="AG4200" s="55" t="n">
        <f aca="false">AE4200+ROW()*0.000000001</f>
        <v>48.5142814295321</v>
      </c>
    </row>
    <row r="4201" customFormat="false" ht="15" hidden="false" customHeight="false" outlineLevel="0" collapsed="false">
      <c r="A4201" s="0" t="n">
        <v>5</v>
      </c>
      <c r="B4201" s="0" t="n">
        <v>6</v>
      </c>
      <c r="C4201" s="0" t="n">
        <v>7</v>
      </c>
      <c r="D4201" s="0" t="n">
        <v>2</v>
      </c>
      <c r="E4201" s="0" t="n">
        <f aca="false">-1+A4201*0.25</f>
        <v>0.25</v>
      </c>
      <c r="F4201" s="0" t="n">
        <f aca="false">-1+B4201*0.25</f>
        <v>0.5</v>
      </c>
      <c r="G4201" s="0" t="n">
        <f aca="false">-1+C4201*0.25</f>
        <v>0.75</v>
      </c>
      <c r="H4201" s="0" t="n">
        <f aca="false">-1+D4201*0.25</f>
        <v>-0.5</v>
      </c>
      <c r="I4201" s="0" t="n">
        <f aca="false">1</f>
        <v>1</v>
      </c>
      <c r="J4201" s="0" t="n">
        <f aca="false">E4201</f>
        <v>0.25</v>
      </c>
      <c r="K4201" s="0" t="n">
        <f aca="false">F4201</f>
        <v>0.5</v>
      </c>
      <c r="L4201" s="0" t="n">
        <f aca="false">G4201</f>
        <v>0.75</v>
      </c>
      <c r="M4201" s="0" t="n">
        <f aca="false">H4201</f>
        <v>-0.5</v>
      </c>
      <c r="N4201" s="0" t="n">
        <f aca="false">E4201*F4201</f>
        <v>0.125</v>
      </c>
      <c r="O4201" s="0" t="n">
        <f aca="false">E4201*G4201</f>
        <v>0.1875</v>
      </c>
      <c r="P4201" s="0" t="n">
        <f aca="false">E4201*H4201</f>
        <v>-0.125</v>
      </c>
      <c r="Q4201" s="0" t="n">
        <f aca="false">F4201*G4201</f>
        <v>0.375</v>
      </c>
      <c r="R4201" s="0" t="n">
        <f aca="false">F4201*H4201</f>
        <v>-0.25</v>
      </c>
      <c r="S4201" s="0" t="n">
        <f aca="false">G4201*H4201</f>
        <v>-0.375</v>
      </c>
      <c r="T4201" s="0" t="n">
        <f aca="false">E4201*E4201</f>
        <v>0.0625</v>
      </c>
      <c r="U4201" s="0" t="n">
        <f aca="false">F4201*F4201</f>
        <v>0.25</v>
      </c>
      <c r="V4201" s="0" t="n">
        <f aca="false">G4201*G4201</f>
        <v>0.5625</v>
      </c>
      <c r="W4201" s="0" t="n">
        <f aca="false">H4201*H4201</f>
        <v>0.25</v>
      </c>
      <c r="X4201" s="0" t="n">
        <f aca="false">SUMPRODUCT(I4201:W4201,_XtX!$B$96:$P$96)</f>
        <v>48.7703399122807</v>
      </c>
      <c r="Y4201" s="0" t="n">
        <f aca="false">SUMPRODUCT(MMULT(I4201:W4201,_XtX!$B$78:$P$92),I4201:W4201)</f>
        <v>0.203746059484649</v>
      </c>
      <c r="Z4201" s="0" t="n">
        <f aca="false">04_回帰ANOVA!$K$19*04_回帰ANOVA!$K$14*SQRT(1+Y4201)</f>
        <v>1.43009810755465</v>
      </c>
      <c r="AA4201" s="0" t="n">
        <f aca="false">X4201-Z4201</f>
        <v>47.340241804726</v>
      </c>
      <c r="AB4201" s="0" t="n">
        <f aca="false">X4201+Z4201</f>
        <v>50.2004380198353</v>
      </c>
      <c r="AC4201" s="54" t="b">
        <f aca="false">AND(E4201&gt;=01_因子設定!$L$5-0.000000001,E4201&lt;=01_因子設定!$M$5+0.000000001,F4201&gt;=01_因子設定!$L$6-0.000000001,F4201&lt;=01_因子設定!$M$6+0.000000001,G4201&gt;=01_因子設定!$L$7-0.000000001,G4201&lt;=01_因子設定!$M$7+0.000000001,H4201&gt;=01_因子設定!$L$8-0.000000001,H4201&lt;=01_因子設定!$M$8+0.000000001,IF(01_因子設定!$B$20="Box-Behnken",E4201^2+F4201^2+G4201^2+H4201^2&lt;=2+0.000000001,TRUE()))</f>
        <v>1</v>
      </c>
      <c r="AD4201" s="55" t="n">
        <f aca="false">IF(AC4201,IF(01_因子設定!$B$13="最大化",AA4201-01_因子設定!$B$14,IF(01_因子設定!$B$13="最小化",01_因子設定!$B$15-AB4201,MIN(AA4201-01_因子設定!$B$14,01_因子設定!$B$15-AB4201))),-1E+030)</f>
        <v>0.840241804726006</v>
      </c>
      <c r="AE4201" s="55" t="n">
        <f aca="false">IF(AC4201,IF(01_因子設定!$B$13="最大化",X4201,IF(01_因子設定!$B$13="最小化",-X4201,-ABS(X4201-01_因子設定!$B$16))),-1E+030)</f>
        <v>48.7703399122807</v>
      </c>
      <c r="AF4201" s="55" t="n">
        <f aca="false">AD4201+ROW()*0.000000001</f>
        <v>0.840246005726006</v>
      </c>
      <c r="AG4201" s="55" t="n">
        <f aca="false">AE4201+ROW()*0.000000001</f>
        <v>48.7703441132807</v>
      </c>
    </row>
    <row r="4202" customFormat="false" ht="15" hidden="false" customHeight="false" outlineLevel="0" collapsed="false">
      <c r="A4202" s="0" t="n">
        <v>5</v>
      </c>
      <c r="B4202" s="0" t="n">
        <v>6</v>
      </c>
      <c r="C4202" s="0" t="n">
        <v>7</v>
      </c>
      <c r="D4202" s="0" t="n">
        <v>3</v>
      </c>
      <c r="E4202" s="0" t="n">
        <f aca="false">-1+A4202*0.25</f>
        <v>0.25</v>
      </c>
      <c r="F4202" s="0" t="n">
        <f aca="false">-1+B4202*0.25</f>
        <v>0.5</v>
      </c>
      <c r="G4202" s="0" t="n">
        <f aca="false">-1+C4202*0.25</f>
        <v>0.75</v>
      </c>
      <c r="H4202" s="0" t="n">
        <f aca="false">-1+D4202*0.25</f>
        <v>-0.25</v>
      </c>
      <c r="I4202" s="0" t="n">
        <f aca="false">1</f>
        <v>1</v>
      </c>
      <c r="J4202" s="0" t="n">
        <f aca="false">E4202</f>
        <v>0.25</v>
      </c>
      <c r="K4202" s="0" t="n">
        <f aca="false">F4202</f>
        <v>0.5</v>
      </c>
      <c r="L4202" s="0" t="n">
        <f aca="false">G4202</f>
        <v>0.75</v>
      </c>
      <c r="M4202" s="0" t="n">
        <f aca="false">H4202</f>
        <v>-0.25</v>
      </c>
      <c r="N4202" s="0" t="n">
        <f aca="false">E4202*F4202</f>
        <v>0.125</v>
      </c>
      <c r="O4202" s="0" t="n">
        <f aca="false">E4202*G4202</f>
        <v>0.1875</v>
      </c>
      <c r="P4202" s="0" t="n">
        <f aca="false">E4202*H4202</f>
        <v>-0.0625</v>
      </c>
      <c r="Q4202" s="0" t="n">
        <f aca="false">F4202*G4202</f>
        <v>0.375</v>
      </c>
      <c r="R4202" s="0" t="n">
        <f aca="false">F4202*H4202</f>
        <v>-0.125</v>
      </c>
      <c r="S4202" s="0" t="n">
        <f aca="false">G4202*H4202</f>
        <v>-0.1875</v>
      </c>
      <c r="T4202" s="0" t="n">
        <f aca="false">E4202*E4202</f>
        <v>0.0625</v>
      </c>
      <c r="U4202" s="0" t="n">
        <f aca="false">F4202*F4202</f>
        <v>0.25</v>
      </c>
      <c r="V4202" s="0" t="n">
        <f aca="false">G4202*G4202</f>
        <v>0.5625</v>
      </c>
      <c r="W4202" s="0" t="n">
        <f aca="false">H4202*H4202</f>
        <v>0.0625</v>
      </c>
      <c r="X4202" s="0" t="n">
        <f aca="false">SUMPRODUCT(I4202:W4202,_XtX!$B$96:$P$96)</f>
        <v>48.9785955774853</v>
      </c>
      <c r="Y4202" s="0" t="n">
        <f aca="false">SUMPRODUCT(MMULT(I4202:W4202,_XtX!$B$78:$P$92),I4202:W4202)</f>
        <v>0.207746539199561</v>
      </c>
      <c r="Z4202" s="0" t="n">
        <f aca="false">04_回帰ANOVA!$K$19*04_回帰ANOVA!$K$14*SQRT(1+Y4202)</f>
        <v>1.43247250081141</v>
      </c>
      <c r="AA4202" s="0" t="n">
        <f aca="false">X4202-Z4202</f>
        <v>47.5461230766739</v>
      </c>
      <c r="AB4202" s="0" t="n">
        <f aca="false">X4202+Z4202</f>
        <v>50.4110680782967</v>
      </c>
      <c r="AC4202" s="54" t="b">
        <f aca="false">AND(E4202&gt;=01_因子設定!$L$5-0.000000001,E4202&lt;=01_因子設定!$M$5+0.000000001,F4202&gt;=01_因子設定!$L$6-0.000000001,F4202&lt;=01_因子設定!$M$6+0.000000001,G4202&gt;=01_因子設定!$L$7-0.000000001,G4202&lt;=01_因子設定!$M$7+0.000000001,H4202&gt;=01_因子設定!$L$8-0.000000001,H4202&lt;=01_因子設定!$M$8+0.000000001,IF(01_因子設定!$B$20="Box-Behnken",E4202^2+F4202^2+G4202^2+H4202^2&lt;=2+0.000000001,TRUE()))</f>
        <v>1</v>
      </c>
      <c r="AD4202" s="55" t="n">
        <f aca="false">IF(AC4202,IF(01_因子設定!$B$13="最大化",AA4202-01_因子設定!$B$14,IF(01_因子設定!$B$13="最小化",01_因子設定!$B$15-AB4202,MIN(AA4202-01_因子設定!$B$14,01_因子設定!$B$15-AB4202))),-1E+030)</f>
        <v>1.04612307667392</v>
      </c>
      <c r="AE4202" s="55" t="n">
        <f aca="false">IF(AC4202,IF(01_因子設定!$B$13="最大化",X4202,IF(01_因子設定!$B$13="最小化",-X4202,-ABS(X4202-01_因子設定!$B$16))),-1E+030)</f>
        <v>48.9785955774853</v>
      </c>
      <c r="AF4202" s="55" t="n">
        <f aca="false">AD4202+ROW()*0.000000001</f>
        <v>1.04612727867391</v>
      </c>
      <c r="AG4202" s="55" t="n">
        <f aca="false">AE4202+ROW()*0.000000001</f>
        <v>48.9785997794853</v>
      </c>
    </row>
    <row r="4203" customFormat="false" ht="15" hidden="false" customHeight="false" outlineLevel="0" collapsed="false">
      <c r="A4203" s="0" t="n">
        <v>5</v>
      </c>
      <c r="B4203" s="0" t="n">
        <v>6</v>
      </c>
      <c r="C4203" s="0" t="n">
        <v>7</v>
      </c>
      <c r="D4203" s="0" t="n">
        <v>4</v>
      </c>
      <c r="E4203" s="0" t="n">
        <f aca="false">-1+A4203*0.25</f>
        <v>0.25</v>
      </c>
      <c r="F4203" s="0" t="n">
        <f aca="false">-1+B4203*0.25</f>
        <v>0.5</v>
      </c>
      <c r="G4203" s="0" t="n">
        <f aca="false">-1+C4203*0.25</f>
        <v>0.75</v>
      </c>
      <c r="H4203" s="0" t="n">
        <f aca="false">-1+D4203*0.25</f>
        <v>0</v>
      </c>
      <c r="I4203" s="0" t="n">
        <f aca="false">1</f>
        <v>1</v>
      </c>
      <c r="J4203" s="0" t="n">
        <f aca="false">E4203</f>
        <v>0.25</v>
      </c>
      <c r="K4203" s="0" t="n">
        <f aca="false">F4203</f>
        <v>0.5</v>
      </c>
      <c r="L4203" s="0" t="n">
        <f aca="false">G4203</f>
        <v>0.75</v>
      </c>
      <c r="M4203" s="0" t="n">
        <f aca="false">H4203</f>
        <v>0</v>
      </c>
      <c r="N4203" s="0" t="n">
        <f aca="false">E4203*F4203</f>
        <v>0.125</v>
      </c>
      <c r="O4203" s="0" t="n">
        <f aca="false">E4203*G4203</f>
        <v>0.1875</v>
      </c>
      <c r="P4203" s="0" t="n">
        <f aca="false">E4203*H4203</f>
        <v>0</v>
      </c>
      <c r="Q4203" s="0" t="n">
        <f aca="false">F4203*G4203</f>
        <v>0.375</v>
      </c>
      <c r="R4203" s="0" t="n">
        <f aca="false">F4203*H4203</f>
        <v>0</v>
      </c>
      <c r="S4203" s="0" t="n">
        <f aca="false">G4203*H4203</f>
        <v>0</v>
      </c>
      <c r="T4203" s="0" t="n">
        <f aca="false">E4203*E4203</f>
        <v>0.0625</v>
      </c>
      <c r="U4203" s="0" t="n">
        <f aca="false">F4203*F4203</f>
        <v>0.25</v>
      </c>
      <c r="V4203" s="0" t="n">
        <f aca="false">G4203*G4203</f>
        <v>0.5625</v>
      </c>
      <c r="W4203" s="0" t="n">
        <f aca="false">H4203*H4203</f>
        <v>0</v>
      </c>
      <c r="X4203" s="0" t="n">
        <f aca="false">SUMPRODUCT(I4203:W4203,_XtX!$B$96:$P$96)</f>
        <v>49.1390442251461</v>
      </c>
      <c r="Y4203" s="0" t="n">
        <f aca="false">SUMPRODUCT(MMULT(I4203:W4203,_XtX!$B$78:$P$92),I4203:W4203)</f>
        <v>0.215110734192252</v>
      </c>
      <c r="Z4203" s="0" t="n">
        <f aca="false">04_回帰ANOVA!$K$19*04_回帰ANOVA!$K$14*SQRT(1+Y4203)</f>
        <v>1.43683309086864</v>
      </c>
      <c r="AA4203" s="0" t="n">
        <f aca="false">X4203-Z4203</f>
        <v>47.7022111342775</v>
      </c>
      <c r="AB4203" s="0" t="n">
        <f aca="false">X4203+Z4203</f>
        <v>50.5758773160148</v>
      </c>
      <c r="AC4203" s="54" t="b">
        <f aca="false">AND(E4203&gt;=01_因子設定!$L$5-0.000000001,E4203&lt;=01_因子設定!$M$5+0.000000001,F4203&gt;=01_因子設定!$L$6-0.000000001,F4203&lt;=01_因子設定!$M$6+0.000000001,G4203&gt;=01_因子設定!$L$7-0.000000001,G4203&lt;=01_因子設定!$M$7+0.000000001,H4203&gt;=01_因子設定!$L$8-0.000000001,H4203&lt;=01_因子設定!$M$8+0.000000001,IF(01_因子設定!$B$20="Box-Behnken",E4203^2+F4203^2+G4203^2+H4203^2&lt;=2+0.000000001,TRUE()))</f>
        <v>1</v>
      </c>
      <c r="AD4203" s="55" t="n">
        <f aca="false">IF(AC4203,IF(01_因子設定!$B$13="最大化",AA4203-01_因子設定!$B$14,IF(01_因子設定!$B$13="最小化",01_因子設定!$B$15-AB4203,MIN(AA4203-01_因子設定!$B$14,01_因子設定!$B$15-AB4203))),-1E+030)</f>
        <v>1.2022111342775</v>
      </c>
      <c r="AE4203" s="55" t="n">
        <f aca="false">IF(AC4203,IF(01_因子設定!$B$13="最大化",X4203,IF(01_因子設定!$B$13="最小化",-X4203,-ABS(X4203-01_因子設定!$B$16))),-1E+030)</f>
        <v>49.1390442251461</v>
      </c>
      <c r="AF4203" s="55" t="n">
        <f aca="false">AD4203+ROW()*0.000000001</f>
        <v>1.2022153372775</v>
      </c>
      <c r="AG4203" s="55" t="n">
        <f aca="false">AE4203+ROW()*0.000000001</f>
        <v>49.1390484281462</v>
      </c>
    </row>
    <row r="4204" customFormat="false" ht="15" hidden="false" customHeight="false" outlineLevel="0" collapsed="false">
      <c r="A4204" s="0" t="n">
        <v>5</v>
      </c>
      <c r="B4204" s="0" t="n">
        <v>6</v>
      </c>
      <c r="C4204" s="0" t="n">
        <v>7</v>
      </c>
      <c r="D4204" s="0" t="n">
        <v>5</v>
      </c>
      <c r="E4204" s="0" t="n">
        <f aca="false">-1+A4204*0.25</f>
        <v>0.25</v>
      </c>
      <c r="F4204" s="0" t="n">
        <f aca="false">-1+B4204*0.25</f>
        <v>0.5</v>
      </c>
      <c r="G4204" s="0" t="n">
        <f aca="false">-1+C4204*0.25</f>
        <v>0.75</v>
      </c>
      <c r="H4204" s="0" t="n">
        <f aca="false">-1+D4204*0.25</f>
        <v>0.25</v>
      </c>
      <c r="I4204" s="0" t="n">
        <f aca="false">1</f>
        <v>1</v>
      </c>
      <c r="J4204" s="0" t="n">
        <f aca="false">E4204</f>
        <v>0.25</v>
      </c>
      <c r="K4204" s="0" t="n">
        <f aca="false">F4204</f>
        <v>0.5</v>
      </c>
      <c r="L4204" s="0" t="n">
        <f aca="false">G4204</f>
        <v>0.75</v>
      </c>
      <c r="M4204" s="0" t="n">
        <f aca="false">H4204</f>
        <v>0.25</v>
      </c>
      <c r="N4204" s="0" t="n">
        <f aca="false">E4204*F4204</f>
        <v>0.125</v>
      </c>
      <c r="O4204" s="0" t="n">
        <f aca="false">E4204*G4204</f>
        <v>0.1875</v>
      </c>
      <c r="P4204" s="0" t="n">
        <f aca="false">E4204*H4204</f>
        <v>0.0625</v>
      </c>
      <c r="Q4204" s="0" t="n">
        <f aca="false">F4204*G4204</f>
        <v>0.375</v>
      </c>
      <c r="R4204" s="0" t="n">
        <f aca="false">F4204*H4204</f>
        <v>0.125</v>
      </c>
      <c r="S4204" s="0" t="n">
        <f aca="false">G4204*H4204</f>
        <v>0.1875</v>
      </c>
      <c r="T4204" s="0" t="n">
        <f aca="false">E4204*E4204</f>
        <v>0.0625</v>
      </c>
      <c r="U4204" s="0" t="n">
        <f aca="false">F4204*F4204</f>
        <v>0.25</v>
      </c>
      <c r="V4204" s="0" t="n">
        <f aca="false">G4204*G4204</f>
        <v>0.5625</v>
      </c>
      <c r="W4204" s="0" t="n">
        <f aca="false">H4204*H4204</f>
        <v>0.0625</v>
      </c>
      <c r="X4204" s="0" t="n">
        <f aca="false">SUMPRODUCT(I4204:W4204,_XtX!$B$96:$P$96)</f>
        <v>49.2516858552631</v>
      </c>
      <c r="Y4204" s="0" t="n">
        <f aca="false">SUMPRODUCT(MMULT(I4204:W4204,_XtX!$B$78:$P$92),I4204:W4204)</f>
        <v>0.207746539199561</v>
      </c>
      <c r="Z4204" s="0" t="n">
        <f aca="false">04_回帰ANOVA!$K$19*04_回帰ANOVA!$K$14*SQRT(1+Y4204)</f>
        <v>1.43247250081141</v>
      </c>
      <c r="AA4204" s="0" t="n">
        <f aca="false">X4204-Z4204</f>
        <v>47.8192133544517</v>
      </c>
      <c r="AB4204" s="0" t="n">
        <f aca="false">X4204+Z4204</f>
        <v>50.6841583560745</v>
      </c>
      <c r="AC4204" s="54" t="b">
        <f aca="false">AND(E4204&gt;=01_因子設定!$L$5-0.000000001,E4204&lt;=01_因子設定!$M$5+0.000000001,F4204&gt;=01_因子設定!$L$6-0.000000001,F4204&lt;=01_因子設定!$M$6+0.000000001,G4204&gt;=01_因子設定!$L$7-0.000000001,G4204&lt;=01_因子設定!$M$7+0.000000001,H4204&gt;=01_因子設定!$L$8-0.000000001,H4204&lt;=01_因子設定!$M$8+0.000000001,IF(01_因子設定!$B$20="Box-Behnken",E4204^2+F4204^2+G4204^2+H4204^2&lt;=2+0.000000001,TRUE()))</f>
        <v>1</v>
      </c>
      <c r="AD4204" s="55" t="n">
        <f aca="false">IF(AC4204,IF(01_因子設定!$B$13="最大化",AA4204-01_因子設定!$B$14,IF(01_因子設定!$B$13="最小化",01_因子設定!$B$15-AB4204,MIN(AA4204-01_因子設定!$B$14,01_因子設定!$B$15-AB4204))),-1E+030)</f>
        <v>1.31921335445169</v>
      </c>
      <c r="AE4204" s="55" t="n">
        <f aca="false">IF(AC4204,IF(01_因子設定!$B$13="最大化",X4204,IF(01_因子設定!$B$13="最小化",-X4204,-ABS(X4204-01_因子設定!$B$16))),-1E+030)</f>
        <v>49.2516858552631</v>
      </c>
      <c r="AF4204" s="55" t="n">
        <f aca="false">AD4204+ROW()*0.000000001</f>
        <v>1.31921755845169</v>
      </c>
      <c r="AG4204" s="55" t="n">
        <f aca="false">AE4204+ROW()*0.000000001</f>
        <v>49.2516900592631</v>
      </c>
    </row>
    <row r="4205" customFormat="false" ht="15" hidden="false" customHeight="false" outlineLevel="0" collapsed="false">
      <c r="A4205" s="0" t="n">
        <v>5</v>
      </c>
      <c r="B4205" s="0" t="n">
        <v>6</v>
      </c>
      <c r="C4205" s="0" t="n">
        <v>7</v>
      </c>
      <c r="D4205" s="0" t="n">
        <v>6</v>
      </c>
      <c r="E4205" s="0" t="n">
        <f aca="false">-1+A4205*0.25</f>
        <v>0.25</v>
      </c>
      <c r="F4205" s="0" t="n">
        <f aca="false">-1+B4205*0.25</f>
        <v>0.5</v>
      </c>
      <c r="G4205" s="0" t="n">
        <f aca="false">-1+C4205*0.25</f>
        <v>0.75</v>
      </c>
      <c r="H4205" s="0" t="n">
        <f aca="false">-1+D4205*0.25</f>
        <v>0.5</v>
      </c>
      <c r="I4205" s="0" t="n">
        <f aca="false">1</f>
        <v>1</v>
      </c>
      <c r="J4205" s="0" t="n">
        <f aca="false">E4205</f>
        <v>0.25</v>
      </c>
      <c r="K4205" s="0" t="n">
        <f aca="false">F4205</f>
        <v>0.5</v>
      </c>
      <c r="L4205" s="0" t="n">
        <f aca="false">G4205</f>
        <v>0.75</v>
      </c>
      <c r="M4205" s="0" t="n">
        <f aca="false">H4205</f>
        <v>0.5</v>
      </c>
      <c r="N4205" s="0" t="n">
        <f aca="false">E4205*F4205</f>
        <v>0.125</v>
      </c>
      <c r="O4205" s="0" t="n">
        <f aca="false">E4205*G4205</f>
        <v>0.1875</v>
      </c>
      <c r="P4205" s="0" t="n">
        <f aca="false">E4205*H4205</f>
        <v>0.125</v>
      </c>
      <c r="Q4205" s="0" t="n">
        <f aca="false">F4205*G4205</f>
        <v>0.375</v>
      </c>
      <c r="R4205" s="0" t="n">
        <f aca="false">F4205*H4205</f>
        <v>0.25</v>
      </c>
      <c r="S4205" s="0" t="n">
        <f aca="false">G4205*H4205</f>
        <v>0.375</v>
      </c>
      <c r="T4205" s="0" t="n">
        <f aca="false">E4205*E4205</f>
        <v>0.0625</v>
      </c>
      <c r="U4205" s="0" t="n">
        <f aca="false">F4205*F4205</f>
        <v>0.25</v>
      </c>
      <c r="V4205" s="0" t="n">
        <f aca="false">G4205*G4205</f>
        <v>0.5625</v>
      </c>
      <c r="W4205" s="0" t="n">
        <f aca="false">H4205*H4205</f>
        <v>0.25</v>
      </c>
      <c r="X4205" s="0" t="n">
        <f aca="false">SUMPRODUCT(I4205:W4205,_XtX!$B$96:$P$96)</f>
        <v>49.3165204678362</v>
      </c>
      <c r="Y4205" s="0" t="n">
        <f aca="false">SUMPRODUCT(MMULT(I4205:W4205,_XtX!$B$78:$P$92),I4205:W4205)</f>
        <v>0.203746059484649</v>
      </c>
      <c r="Z4205" s="0" t="n">
        <f aca="false">04_回帰ANOVA!$K$19*04_回帰ANOVA!$K$14*SQRT(1+Y4205)</f>
        <v>1.43009810755465</v>
      </c>
      <c r="AA4205" s="0" t="n">
        <f aca="false">X4205-Z4205</f>
        <v>47.8864223602816</v>
      </c>
      <c r="AB4205" s="0" t="n">
        <f aca="false">X4205+Z4205</f>
        <v>50.7466185753909</v>
      </c>
      <c r="AC4205" s="54" t="b">
        <f aca="false">AND(E4205&gt;=01_因子設定!$L$5-0.000000001,E4205&lt;=01_因子設定!$M$5+0.000000001,F4205&gt;=01_因子設定!$L$6-0.000000001,F4205&lt;=01_因子設定!$M$6+0.000000001,G4205&gt;=01_因子設定!$L$7-0.000000001,G4205&lt;=01_因子設定!$M$7+0.000000001,H4205&gt;=01_因子設定!$L$8-0.000000001,H4205&lt;=01_因子設定!$M$8+0.000000001,IF(01_因子設定!$B$20="Box-Behnken",E4205^2+F4205^2+G4205^2+H4205^2&lt;=2+0.000000001,TRUE()))</f>
        <v>1</v>
      </c>
      <c r="AD4205" s="55" t="n">
        <f aca="false">IF(AC4205,IF(01_因子設定!$B$13="最大化",AA4205-01_因子設定!$B$14,IF(01_因子設定!$B$13="最小化",01_因子設定!$B$15-AB4205,MIN(AA4205-01_因子設定!$B$14,01_因子設定!$B$15-AB4205))),-1E+030)</f>
        <v>1.38642236028156</v>
      </c>
      <c r="AE4205" s="55" t="n">
        <f aca="false">IF(AC4205,IF(01_因子設定!$B$13="最大化",X4205,IF(01_因子設定!$B$13="最小化",-X4205,-ABS(X4205-01_因子設定!$B$16))),-1E+030)</f>
        <v>49.3165204678362</v>
      </c>
      <c r="AF4205" s="55" t="n">
        <f aca="false">AD4205+ROW()*0.000000001</f>
        <v>1.38642656528156</v>
      </c>
      <c r="AG4205" s="55" t="n">
        <f aca="false">AE4205+ROW()*0.000000001</f>
        <v>49.3165246728362</v>
      </c>
    </row>
    <row r="4206" customFormat="false" ht="15" hidden="false" customHeight="false" outlineLevel="0" collapsed="false">
      <c r="A4206" s="0" t="n">
        <v>5</v>
      </c>
      <c r="B4206" s="0" t="n">
        <v>6</v>
      </c>
      <c r="C4206" s="0" t="n">
        <v>7</v>
      </c>
      <c r="D4206" s="0" t="n">
        <v>7</v>
      </c>
      <c r="E4206" s="0" t="n">
        <f aca="false">-1+A4206*0.25</f>
        <v>0.25</v>
      </c>
      <c r="F4206" s="0" t="n">
        <f aca="false">-1+B4206*0.25</f>
        <v>0.5</v>
      </c>
      <c r="G4206" s="0" t="n">
        <f aca="false">-1+C4206*0.25</f>
        <v>0.75</v>
      </c>
      <c r="H4206" s="0" t="n">
        <f aca="false">-1+D4206*0.25</f>
        <v>0.75</v>
      </c>
      <c r="I4206" s="0" t="n">
        <f aca="false">1</f>
        <v>1</v>
      </c>
      <c r="J4206" s="0" t="n">
        <f aca="false">E4206</f>
        <v>0.25</v>
      </c>
      <c r="K4206" s="0" t="n">
        <f aca="false">F4206</f>
        <v>0.5</v>
      </c>
      <c r="L4206" s="0" t="n">
        <f aca="false">G4206</f>
        <v>0.75</v>
      </c>
      <c r="M4206" s="0" t="n">
        <f aca="false">H4206</f>
        <v>0.75</v>
      </c>
      <c r="N4206" s="0" t="n">
        <f aca="false">E4206*F4206</f>
        <v>0.125</v>
      </c>
      <c r="O4206" s="0" t="n">
        <f aca="false">E4206*G4206</f>
        <v>0.1875</v>
      </c>
      <c r="P4206" s="0" t="n">
        <f aca="false">E4206*H4206</f>
        <v>0.1875</v>
      </c>
      <c r="Q4206" s="0" t="n">
        <f aca="false">F4206*G4206</f>
        <v>0.375</v>
      </c>
      <c r="R4206" s="0" t="n">
        <f aca="false">F4206*H4206</f>
        <v>0.375</v>
      </c>
      <c r="S4206" s="0" t="n">
        <f aca="false">G4206*H4206</f>
        <v>0.5625</v>
      </c>
      <c r="T4206" s="0" t="n">
        <f aca="false">E4206*E4206</f>
        <v>0.0625</v>
      </c>
      <c r="U4206" s="0" t="n">
        <f aca="false">F4206*F4206</f>
        <v>0.25</v>
      </c>
      <c r="V4206" s="0" t="n">
        <f aca="false">G4206*G4206</f>
        <v>0.5625</v>
      </c>
      <c r="W4206" s="0" t="n">
        <f aca="false">H4206*H4206</f>
        <v>0.5625</v>
      </c>
      <c r="X4206" s="0" t="n">
        <f aca="false">SUMPRODUCT(I4206:W4206,_XtX!$B$96:$P$96)</f>
        <v>49.3335480628655</v>
      </c>
      <c r="Y4206" s="0" t="n">
        <f aca="false">SUMPRODUCT(MMULT(I4206:W4206,_XtX!$B$78:$P$92),I4206:W4206)</f>
        <v>0.257385610836988</v>
      </c>
      <c r="Z4206" s="0" t="n">
        <f aca="false">04_回帰ANOVA!$K$19*04_回帰ANOVA!$K$14*SQRT(1+Y4206)</f>
        <v>1.46161380324158</v>
      </c>
      <c r="AA4206" s="0" t="n">
        <f aca="false">X4206-Z4206</f>
        <v>47.8719342596239</v>
      </c>
      <c r="AB4206" s="0" t="n">
        <f aca="false">X4206+Z4206</f>
        <v>50.795161866107</v>
      </c>
      <c r="AC4206" s="54" t="b">
        <f aca="false">AND(E4206&gt;=01_因子設定!$L$5-0.000000001,E4206&lt;=01_因子設定!$M$5+0.000000001,F4206&gt;=01_因子設定!$L$6-0.000000001,F4206&lt;=01_因子設定!$M$6+0.000000001,G4206&gt;=01_因子設定!$L$7-0.000000001,G4206&lt;=01_因子設定!$M$7+0.000000001,H4206&gt;=01_因子設定!$L$8-0.000000001,H4206&lt;=01_因子設定!$M$8+0.000000001,IF(01_因子設定!$B$20="Box-Behnken",E4206^2+F4206^2+G4206^2+H4206^2&lt;=2+0.000000001,TRUE()))</f>
        <v>1</v>
      </c>
      <c r="AD4206" s="55" t="n">
        <f aca="false">IF(AC4206,IF(01_因子設定!$B$13="最大化",AA4206-01_因子設定!$B$14,IF(01_因子設定!$B$13="最小化",01_因子設定!$B$15-AB4206,MIN(AA4206-01_因子設定!$B$14,01_因子設定!$B$15-AB4206))),-1E+030)</f>
        <v>1.37193425962388</v>
      </c>
      <c r="AE4206" s="55" t="n">
        <f aca="false">IF(AC4206,IF(01_因子設定!$B$13="最大化",X4206,IF(01_因子設定!$B$13="最小化",-X4206,-ABS(X4206-01_因子設定!$B$16))),-1E+030)</f>
        <v>49.3335480628655</v>
      </c>
      <c r="AF4206" s="55" t="n">
        <f aca="false">AD4206+ROW()*0.000000001</f>
        <v>1.37193846562388</v>
      </c>
      <c r="AG4206" s="55" t="n">
        <f aca="false">AE4206+ROW()*0.000000001</f>
        <v>49.3335522688655</v>
      </c>
    </row>
    <row r="4207" customFormat="false" ht="15" hidden="false" customHeight="false" outlineLevel="0" collapsed="false">
      <c r="A4207" s="0" t="n">
        <v>5</v>
      </c>
      <c r="B4207" s="0" t="n">
        <v>6</v>
      </c>
      <c r="C4207" s="0" t="n">
        <v>7</v>
      </c>
      <c r="D4207" s="0" t="n">
        <v>8</v>
      </c>
      <c r="E4207" s="0" t="n">
        <f aca="false">-1+A4207*0.25</f>
        <v>0.25</v>
      </c>
      <c r="F4207" s="0" t="n">
        <f aca="false">-1+B4207*0.25</f>
        <v>0.5</v>
      </c>
      <c r="G4207" s="0" t="n">
        <f aca="false">-1+C4207*0.25</f>
        <v>0.75</v>
      </c>
      <c r="H4207" s="0" t="n">
        <f aca="false">-1+D4207*0.25</f>
        <v>1</v>
      </c>
      <c r="I4207" s="0" t="n">
        <f aca="false">1</f>
        <v>1</v>
      </c>
      <c r="J4207" s="0" t="n">
        <f aca="false">E4207</f>
        <v>0.25</v>
      </c>
      <c r="K4207" s="0" t="n">
        <f aca="false">F4207</f>
        <v>0.5</v>
      </c>
      <c r="L4207" s="0" t="n">
        <f aca="false">G4207</f>
        <v>0.75</v>
      </c>
      <c r="M4207" s="0" t="n">
        <f aca="false">H4207</f>
        <v>1</v>
      </c>
      <c r="N4207" s="0" t="n">
        <f aca="false">E4207*F4207</f>
        <v>0.125</v>
      </c>
      <c r="O4207" s="0" t="n">
        <f aca="false">E4207*G4207</f>
        <v>0.1875</v>
      </c>
      <c r="P4207" s="0" t="n">
        <f aca="false">E4207*H4207</f>
        <v>0.25</v>
      </c>
      <c r="Q4207" s="0" t="n">
        <f aca="false">F4207*G4207</f>
        <v>0.375</v>
      </c>
      <c r="R4207" s="0" t="n">
        <f aca="false">F4207*H4207</f>
        <v>0.5</v>
      </c>
      <c r="S4207" s="0" t="n">
        <f aca="false">G4207*H4207</f>
        <v>0.75</v>
      </c>
      <c r="T4207" s="0" t="n">
        <f aca="false">E4207*E4207</f>
        <v>0.0625</v>
      </c>
      <c r="U4207" s="0" t="n">
        <f aca="false">F4207*F4207</f>
        <v>0.25</v>
      </c>
      <c r="V4207" s="0" t="n">
        <f aca="false">G4207*G4207</f>
        <v>0.5625</v>
      </c>
      <c r="W4207" s="0" t="n">
        <f aca="false">H4207*H4207</f>
        <v>1</v>
      </c>
      <c r="X4207" s="0" t="n">
        <f aca="false">SUMPRODUCT(I4207:W4207,_XtX!$B$96:$P$96)</f>
        <v>49.3027686403509</v>
      </c>
      <c r="Y4207" s="0" t="n">
        <f aca="false">SUMPRODUCT(MMULT(I4207:W4207,_XtX!$B$78:$P$92),I4207:W4207)</f>
        <v>0.459125719572369</v>
      </c>
      <c r="Z4207" s="0" t="n">
        <f aca="false">04_回帰ANOVA!$K$19*04_回帰ANOVA!$K$14*SQRT(1+Y4207)</f>
        <v>1.57450755575573</v>
      </c>
      <c r="AA4207" s="0" t="n">
        <f aca="false">X4207-Z4207</f>
        <v>47.7282610845951</v>
      </c>
      <c r="AB4207" s="0" t="n">
        <f aca="false">X4207+Z4207</f>
        <v>50.8772761961066</v>
      </c>
      <c r="AC4207" s="54" t="b">
        <f aca="false">AND(E4207&gt;=01_因子設定!$L$5-0.000000001,E4207&lt;=01_因子設定!$M$5+0.000000001,F4207&gt;=01_因子設定!$L$6-0.000000001,F4207&lt;=01_因子設定!$M$6+0.000000001,G4207&gt;=01_因子設定!$L$7-0.000000001,G4207&lt;=01_因子設定!$M$7+0.000000001,H4207&gt;=01_因子設定!$L$8-0.000000001,H4207&lt;=01_因子設定!$M$8+0.000000001,IF(01_因子設定!$B$20="Box-Behnken",E4207^2+F4207^2+G4207^2+H4207^2&lt;=2+0.000000001,TRUE()))</f>
        <v>1</v>
      </c>
      <c r="AD4207" s="55" t="n">
        <f aca="false">IF(AC4207,IF(01_因子設定!$B$13="最大化",AA4207-01_因子設定!$B$14,IF(01_因子設定!$B$13="最小化",01_因子設定!$B$15-AB4207,MIN(AA4207-01_因子設定!$B$14,01_因子設定!$B$15-AB4207))),-1E+030)</f>
        <v>1.22826108459513</v>
      </c>
      <c r="AE4207" s="55" t="n">
        <f aca="false">IF(AC4207,IF(01_因子設定!$B$13="最大化",X4207,IF(01_因子設定!$B$13="最小化",-X4207,-ABS(X4207-01_因子設定!$B$16))),-1E+030)</f>
        <v>49.3027686403509</v>
      </c>
      <c r="AF4207" s="55" t="n">
        <f aca="false">AD4207+ROW()*0.000000001</f>
        <v>1.22826529159513</v>
      </c>
      <c r="AG4207" s="55" t="n">
        <f aca="false">AE4207+ROW()*0.000000001</f>
        <v>49.3027728473509</v>
      </c>
    </row>
    <row r="4208" customFormat="false" ht="15" hidden="false" customHeight="false" outlineLevel="0" collapsed="false">
      <c r="A4208" s="0" t="n">
        <v>5</v>
      </c>
      <c r="B4208" s="0" t="n">
        <v>6</v>
      </c>
      <c r="C4208" s="0" t="n">
        <v>8</v>
      </c>
      <c r="D4208" s="0" t="n">
        <v>0</v>
      </c>
      <c r="E4208" s="0" t="n">
        <f aca="false">-1+A4208*0.25</f>
        <v>0.25</v>
      </c>
      <c r="F4208" s="0" t="n">
        <f aca="false">-1+B4208*0.25</f>
        <v>0.5</v>
      </c>
      <c r="G4208" s="0" t="n">
        <f aca="false">-1+C4208*0.25</f>
        <v>1</v>
      </c>
      <c r="H4208" s="0" t="n">
        <f aca="false">-1+D4208*0.25</f>
        <v>-1</v>
      </c>
      <c r="I4208" s="0" t="n">
        <f aca="false">1</f>
        <v>1</v>
      </c>
      <c r="J4208" s="0" t="n">
        <f aca="false">E4208</f>
        <v>0.25</v>
      </c>
      <c r="K4208" s="0" t="n">
        <f aca="false">F4208</f>
        <v>0.5</v>
      </c>
      <c r="L4208" s="0" t="n">
        <f aca="false">G4208</f>
        <v>1</v>
      </c>
      <c r="M4208" s="0" t="n">
        <f aca="false">H4208</f>
        <v>-1</v>
      </c>
      <c r="N4208" s="0" t="n">
        <f aca="false">E4208*F4208</f>
        <v>0.125</v>
      </c>
      <c r="O4208" s="0" t="n">
        <f aca="false">E4208*G4208</f>
        <v>0.25</v>
      </c>
      <c r="P4208" s="0" t="n">
        <f aca="false">E4208*H4208</f>
        <v>-0.25</v>
      </c>
      <c r="Q4208" s="0" t="n">
        <f aca="false">F4208*G4208</f>
        <v>0.5</v>
      </c>
      <c r="R4208" s="0" t="n">
        <f aca="false">F4208*H4208</f>
        <v>-0.5</v>
      </c>
      <c r="S4208" s="0" t="n">
        <f aca="false">G4208*H4208</f>
        <v>-1</v>
      </c>
      <c r="T4208" s="0" t="n">
        <f aca="false">E4208*E4208</f>
        <v>0.0625</v>
      </c>
      <c r="U4208" s="0" t="n">
        <f aca="false">F4208*F4208</f>
        <v>0.25</v>
      </c>
      <c r="V4208" s="0" t="n">
        <f aca="false">G4208*G4208</f>
        <v>1</v>
      </c>
      <c r="W4208" s="0" t="n">
        <f aca="false">H4208*H4208</f>
        <v>1</v>
      </c>
      <c r="X4208" s="0" t="n">
        <f aca="false">SUMPRODUCT(I4208:W4208,_XtX!$B$96:$P$96)</f>
        <v>48.0842288011696</v>
      </c>
      <c r="Y4208" s="0" t="n">
        <f aca="false">SUMPRODUCT(MMULT(I4208:W4208,_XtX!$B$78:$P$92),I4208:W4208)</f>
        <v>0.629174661915205</v>
      </c>
      <c r="Z4208" s="0" t="n">
        <f aca="false">04_回帰ANOVA!$K$19*04_回帰ANOVA!$K$14*SQRT(1+Y4208)</f>
        <v>1.66372758058297</v>
      </c>
      <c r="AA4208" s="0" t="n">
        <f aca="false">X4208-Z4208</f>
        <v>46.4205012205866</v>
      </c>
      <c r="AB4208" s="0" t="n">
        <f aca="false">X4208+Z4208</f>
        <v>49.7479563817525</v>
      </c>
      <c r="AC4208" s="54" t="b">
        <f aca="false">AND(E4208&gt;=01_因子設定!$L$5-0.000000001,E4208&lt;=01_因子設定!$M$5+0.000000001,F4208&gt;=01_因子設定!$L$6-0.000000001,F4208&lt;=01_因子設定!$M$6+0.000000001,G4208&gt;=01_因子設定!$L$7-0.000000001,G4208&lt;=01_因子設定!$M$7+0.000000001,H4208&gt;=01_因子設定!$L$8-0.000000001,H4208&lt;=01_因子設定!$M$8+0.000000001,IF(01_因子設定!$B$20="Box-Behnken",E4208^2+F4208^2+G4208^2+H4208^2&lt;=2+0.000000001,TRUE()))</f>
        <v>1</v>
      </c>
      <c r="AD4208" s="55" t="n">
        <f aca="false">IF(AC4208,IF(01_因子設定!$B$13="最大化",AA4208-01_因子設定!$B$14,IF(01_因子設定!$B$13="最小化",01_因子設定!$B$15-AB4208,MIN(AA4208-01_因子設定!$B$14,01_因子設定!$B$15-AB4208))),-1E+030)</f>
        <v>-0.0794987794133988</v>
      </c>
      <c r="AE4208" s="55" t="n">
        <f aca="false">IF(AC4208,IF(01_因子設定!$B$13="最大化",X4208,IF(01_因子設定!$B$13="最小化",-X4208,-ABS(X4208-01_因子設定!$B$16))),-1E+030)</f>
        <v>48.0842288011696</v>
      </c>
      <c r="AF4208" s="55" t="n">
        <f aca="false">AD4208+ROW()*0.000000001</f>
        <v>-0.0794945714133988</v>
      </c>
      <c r="AG4208" s="55" t="n">
        <f aca="false">AE4208+ROW()*0.000000001</f>
        <v>48.0842330091696</v>
      </c>
    </row>
    <row r="4209" customFormat="false" ht="15" hidden="false" customHeight="false" outlineLevel="0" collapsed="false">
      <c r="A4209" s="0" t="n">
        <v>5</v>
      </c>
      <c r="B4209" s="0" t="n">
        <v>6</v>
      </c>
      <c r="C4209" s="0" t="n">
        <v>8</v>
      </c>
      <c r="D4209" s="0" t="n">
        <v>1</v>
      </c>
      <c r="E4209" s="0" t="n">
        <f aca="false">-1+A4209*0.25</f>
        <v>0.25</v>
      </c>
      <c r="F4209" s="0" t="n">
        <f aca="false">-1+B4209*0.25</f>
        <v>0.5</v>
      </c>
      <c r="G4209" s="0" t="n">
        <f aca="false">-1+C4209*0.25</f>
        <v>1</v>
      </c>
      <c r="H4209" s="0" t="n">
        <f aca="false">-1+D4209*0.25</f>
        <v>-0.75</v>
      </c>
      <c r="I4209" s="0" t="n">
        <f aca="false">1</f>
        <v>1</v>
      </c>
      <c r="J4209" s="0" t="n">
        <f aca="false">E4209</f>
        <v>0.25</v>
      </c>
      <c r="K4209" s="0" t="n">
        <f aca="false">F4209</f>
        <v>0.5</v>
      </c>
      <c r="L4209" s="0" t="n">
        <f aca="false">G4209</f>
        <v>1</v>
      </c>
      <c r="M4209" s="0" t="n">
        <f aca="false">H4209</f>
        <v>-0.75</v>
      </c>
      <c r="N4209" s="0" t="n">
        <f aca="false">E4209*F4209</f>
        <v>0.125</v>
      </c>
      <c r="O4209" s="0" t="n">
        <f aca="false">E4209*G4209</f>
        <v>0.25</v>
      </c>
      <c r="P4209" s="0" t="n">
        <f aca="false">E4209*H4209</f>
        <v>-0.1875</v>
      </c>
      <c r="Q4209" s="0" t="n">
        <f aca="false">F4209*G4209</f>
        <v>0.5</v>
      </c>
      <c r="R4209" s="0" t="n">
        <f aca="false">F4209*H4209</f>
        <v>-0.375</v>
      </c>
      <c r="S4209" s="0" t="n">
        <f aca="false">G4209*H4209</f>
        <v>-0.75</v>
      </c>
      <c r="T4209" s="0" t="n">
        <f aca="false">E4209*E4209</f>
        <v>0.0625</v>
      </c>
      <c r="U4209" s="0" t="n">
        <f aca="false">F4209*F4209</f>
        <v>0.25</v>
      </c>
      <c r="V4209" s="0" t="n">
        <f aca="false">G4209*G4209</f>
        <v>1</v>
      </c>
      <c r="W4209" s="0" t="n">
        <f aca="false">H4209*H4209</f>
        <v>0.5625</v>
      </c>
      <c r="X4209" s="0" t="n">
        <f aca="false">SUMPRODUCT(I4209:W4209,_XtX!$B$96:$P$96)</f>
        <v>48.406067251462</v>
      </c>
      <c r="Y4209" s="0" t="n">
        <f aca="false">SUMPRODUCT(MMULT(I4209:W4209,_XtX!$B$78:$P$92),I4209:W4209)</f>
        <v>0.459125719572369</v>
      </c>
      <c r="Z4209" s="0" t="n">
        <f aca="false">04_回帰ANOVA!$K$19*04_回帰ANOVA!$K$14*SQRT(1+Y4209)</f>
        <v>1.57450755575573</v>
      </c>
      <c r="AA4209" s="0" t="n">
        <f aca="false">X4209-Z4209</f>
        <v>46.8315596957062</v>
      </c>
      <c r="AB4209" s="0" t="n">
        <f aca="false">X4209+Z4209</f>
        <v>49.9805748072177</v>
      </c>
      <c r="AC4209" s="54" t="b">
        <f aca="false">AND(E4209&gt;=01_因子設定!$L$5-0.000000001,E4209&lt;=01_因子設定!$M$5+0.000000001,F4209&gt;=01_因子設定!$L$6-0.000000001,F4209&lt;=01_因子設定!$M$6+0.000000001,G4209&gt;=01_因子設定!$L$7-0.000000001,G4209&lt;=01_因子設定!$M$7+0.000000001,H4209&gt;=01_因子設定!$L$8-0.000000001,H4209&lt;=01_因子設定!$M$8+0.000000001,IF(01_因子設定!$B$20="Box-Behnken",E4209^2+F4209^2+G4209^2+H4209^2&lt;=2+0.000000001,TRUE()))</f>
        <v>1</v>
      </c>
      <c r="AD4209" s="55" t="n">
        <f aca="false">IF(AC4209,IF(01_因子設定!$B$13="最大化",AA4209-01_因子設定!$B$14,IF(01_因子設定!$B$13="最小化",01_因子設定!$B$15-AB4209,MIN(AA4209-01_因子設定!$B$14,01_因子設定!$B$15-AB4209))),-1E+030)</f>
        <v>0.331559695706225</v>
      </c>
      <c r="AE4209" s="55" t="n">
        <f aca="false">IF(AC4209,IF(01_因子設定!$B$13="最大化",X4209,IF(01_因子設定!$B$13="最小化",-X4209,-ABS(X4209-01_因子設定!$B$16))),-1E+030)</f>
        <v>48.406067251462</v>
      </c>
      <c r="AF4209" s="55" t="n">
        <f aca="false">AD4209+ROW()*0.000000001</f>
        <v>0.331563904706225</v>
      </c>
      <c r="AG4209" s="55" t="n">
        <f aca="false">AE4209+ROW()*0.000000001</f>
        <v>48.406071460462</v>
      </c>
    </row>
    <row r="4210" customFormat="false" ht="15" hidden="false" customHeight="false" outlineLevel="0" collapsed="false">
      <c r="A4210" s="0" t="n">
        <v>5</v>
      </c>
      <c r="B4210" s="0" t="n">
        <v>6</v>
      </c>
      <c r="C4210" s="0" t="n">
        <v>8</v>
      </c>
      <c r="D4210" s="0" t="n">
        <v>2</v>
      </c>
      <c r="E4210" s="0" t="n">
        <f aca="false">-1+A4210*0.25</f>
        <v>0.25</v>
      </c>
      <c r="F4210" s="0" t="n">
        <f aca="false">-1+B4210*0.25</f>
        <v>0.5</v>
      </c>
      <c r="G4210" s="0" t="n">
        <f aca="false">-1+C4210*0.25</f>
        <v>1</v>
      </c>
      <c r="H4210" s="0" t="n">
        <f aca="false">-1+D4210*0.25</f>
        <v>-0.5</v>
      </c>
      <c r="I4210" s="0" t="n">
        <f aca="false">1</f>
        <v>1</v>
      </c>
      <c r="J4210" s="0" t="n">
        <f aca="false">E4210</f>
        <v>0.25</v>
      </c>
      <c r="K4210" s="0" t="n">
        <f aca="false">F4210</f>
        <v>0.5</v>
      </c>
      <c r="L4210" s="0" t="n">
        <f aca="false">G4210</f>
        <v>1</v>
      </c>
      <c r="M4210" s="0" t="n">
        <f aca="false">H4210</f>
        <v>-0.5</v>
      </c>
      <c r="N4210" s="0" t="n">
        <f aca="false">E4210*F4210</f>
        <v>0.125</v>
      </c>
      <c r="O4210" s="0" t="n">
        <f aca="false">E4210*G4210</f>
        <v>0.25</v>
      </c>
      <c r="P4210" s="0" t="n">
        <f aca="false">E4210*H4210</f>
        <v>-0.125</v>
      </c>
      <c r="Q4210" s="0" t="n">
        <f aca="false">F4210*G4210</f>
        <v>0.5</v>
      </c>
      <c r="R4210" s="0" t="n">
        <f aca="false">F4210*H4210</f>
        <v>-0.25</v>
      </c>
      <c r="S4210" s="0" t="n">
        <f aca="false">G4210*H4210</f>
        <v>-0.5</v>
      </c>
      <c r="T4210" s="0" t="n">
        <f aca="false">E4210*E4210</f>
        <v>0.0625</v>
      </c>
      <c r="U4210" s="0" t="n">
        <f aca="false">F4210*F4210</f>
        <v>0.25</v>
      </c>
      <c r="V4210" s="0" t="n">
        <f aca="false">G4210*G4210</f>
        <v>1</v>
      </c>
      <c r="W4210" s="0" t="n">
        <f aca="false">H4210*H4210</f>
        <v>0.25</v>
      </c>
      <c r="X4210" s="0" t="n">
        <f aca="false">SUMPRODUCT(I4210:W4210,_XtX!$B$96:$P$96)</f>
        <v>48.6800986842105</v>
      </c>
      <c r="Y4210" s="0" t="n">
        <f aca="false">SUMPRODUCT(MMULT(I4210:W4210,_XtX!$B$78:$P$92),I4210:W4210)</f>
        <v>0.428122715643275</v>
      </c>
      <c r="Z4210" s="0" t="n">
        <f aca="false">04_回帰ANOVA!$K$19*04_回帰ANOVA!$K$14*SQRT(1+Y4210)</f>
        <v>1.55769044623229</v>
      </c>
      <c r="AA4210" s="0" t="n">
        <f aca="false">X4210-Z4210</f>
        <v>47.1224082379782</v>
      </c>
      <c r="AB4210" s="0" t="n">
        <f aca="false">X4210+Z4210</f>
        <v>50.2377891304428</v>
      </c>
      <c r="AC4210" s="54" t="b">
        <f aca="false">AND(E4210&gt;=01_因子設定!$L$5-0.000000001,E4210&lt;=01_因子設定!$M$5+0.000000001,F4210&gt;=01_因子設定!$L$6-0.000000001,F4210&lt;=01_因子設定!$M$6+0.000000001,G4210&gt;=01_因子設定!$L$7-0.000000001,G4210&lt;=01_因子設定!$M$7+0.000000001,H4210&gt;=01_因子設定!$L$8-0.000000001,H4210&lt;=01_因子設定!$M$8+0.000000001,IF(01_因子設定!$B$20="Box-Behnken",E4210^2+F4210^2+G4210^2+H4210^2&lt;=2+0.000000001,TRUE()))</f>
        <v>1</v>
      </c>
      <c r="AD4210" s="55" t="n">
        <f aca="false">IF(AC4210,IF(01_因子設定!$B$13="最大化",AA4210-01_因子設定!$B$14,IF(01_因子設定!$B$13="最小化",01_因子設定!$B$15-AB4210,MIN(AA4210-01_因子設定!$B$14,01_因子設定!$B$15-AB4210))),-1E+030)</f>
        <v>0.622408237978185</v>
      </c>
      <c r="AE4210" s="55" t="n">
        <f aca="false">IF(AC4210,IF(01_因子設定!$B$13="最大化",X4210,IF(01_因子設定!$B$13="最小化",-X4210,-ABS(X4210-01_因子設定!$B$16))),-1E+030)</f>
        <v>48.6800986842105</v>
      </c>
      <c r="AF4210" s="55" t="n">
        <f aca="false">AD4210+ROW()*0.000000001</f>
        <v>0.622412447978185</v>
      </c>
      <c r="AG4210" s="55" t="n">
        <f aca="false">AE4210+ROW()*0.000000001</f>
        <v>48.6801028942105</v>
      </c>
    </row>
    <row r="4211" customFormat="false" ht="15" hidden="false" customHeight="false" outlineLevel="0" collapsed="false">
      <c r="A4211" s="0" t="n">
        <v>5</v>
      </c>
      <c r="B4211" s="0" t="n">
        <v>6</v>
      </c>
      <c r="C4211" s="0" t="n">
        <v>8</v>
      </c>
      <c r="D4211" s="0" t="n">
        <v>3</v>
      </c>
      <c r="E4211" s="0" t="n">
        <f aca="false">-1+A4211*0.25</f>
        <v>0.25</v>
      </c>
      <c r="F4211" s="0" t="n">
        <f aca="false">-1+B4211*0.25</f>
        <v>0.5</v>
      </c>
      <c r="G4211" s="0" t="n">
        <f aca="false">-1+C4211*0.25</f>
        <v>1</v>
      </c>
      <c r="H4211" s="0" t="n">
        <f aca="false">-1+D4211*0.25</f>
        <v>-0.25</v>
      </c>
      <c r="I4211" s="0" t="n">
        <f aca="false">1</f>
        <v>1</v>
      </c>
      <c r="J4211" s="0" t="n">
        <f aca="false">E4211</f>
        <v>0.25</v>
      </c>
      <c r="K4211" s="0" t="n">
        <f aca="false">F4211</f>
        <v>0.5</v>
      </c>
      <c r="L4211" s="0" t="n">
        <f aca="false">G4211</f>
        <v>1</v>
      </c>
      <c r="M4211" s="0" t="n">
        <f aca="false">H4211</f>
        <v>-0.25</v>
      </c>
      <c r="N4211" s="0" t="n">
        <f aca="false">E4211*F4211</f>
        <v>0.125</v>
      </c>
      <c r="O4211" s="0" t="n">
        <f aca="false">E4211*G4211</f>
        <v>0.25</v>
      </c>
      <c r="P4211" s="0" t="n">
        <f aca="false">E4211*H4211</f>
        <v>-0.0625</v>
      </c>
      <c r="Q4211" s="0" t="n">
        <f aca="false">F4211*G4211</f>
        <v>0.5</v>
      </c>
      <c r="R4211" s="0" t="n">
        <f aca="false">F4211*H4211</f>
        <v>-0.125</v>
      </c>
      <c r="S4211" s="0" t="n">
        <f aca="false">G4211*H4211</f>
        <v>-0.25</v>
      </c>
      <c r="T4211" s="0" t="n">
        <f aca="false">E4211*E4211</f>
        <v>0.0625</v>
      </c>
      <c r="U4211" s="0" t="n">
        <f aca="false">F4211*F4211</f>
        <v>0.25</v>
      </c>
      <c r="V4211" s="0" t="n">
        <f aca="false">G4211*G4211</f>
        <v>1</v>
      </c>
      <c r="W4211" s="0" t="n">
        <f aca="false">H4211*H4211</f>
        <v>0.0625</v>
      </c>
      <c r="X4211" s="0" t="n">
        <f aca="false">SUMPRODUCT(I4211:W4211,_XtX!$B$96:$P$96)</f>
        <v>48.9063230994152</v>
      </c>
      <c r="Y4211" s="0" t="n">
        <f aca="false">SUMPRODUCT(MMULT(I4211:W4211,_XtX!$B$78:$P$92),I4211:W4211)</f>
        <v>0.445705123812135</v>
      </c>
      <c r="Z4211" s="0" t="n">
        <f aca="false">04_回帰ANOVA!$K$19*04_回帰ANOVA!$K$14*SQRT(1+Y4211)</f>
        <v>1.56724990734749</v>
      </c>
      <c r="AA4211" s="0" t="n">
        <f aca="false">X4211-Z4211</f>
        <v>47.3390731920677</v>
      </c>
      <c r="AB4211" s="0" t="n">
        <f aca="false">X4211+Z4211</f>
        <v>50.4735730067626</v>
      </c>
      <c r="AC4211" s="54" t="b">
        <f aca="false">AND(E4211&gt;=01_因子設定!$L$5-0.000000001,E4211&lt;=01_因子設定!$M$5+0.000000001,F4211&gt;=01_因子設定!$L$6-0.000000001,F4211&lt;=01_因子設定!$M$6+0.000000001,G4211&gt;=01_因子設定!$L$7-0.000000001,G4211&lt;=01_因子設定!$M$7+0.000000001,H4211&gt;=01_因子設定!$L$8-0.000000001,H4211&lt;=01_因子設定!$M$8+0.000000001,IF(01_因子設定!$B$20="Box-Behnken",E4211^2+F4211^2+G4211^2+H4211^2&lt;=2+0.000000001,TRUE()))</f>
        <v>1</v>
      </c>
      <c r="AD4211" s="55" t="n">
        <f aca="false">IF(AC4211,IF(01_因子設定!$B$13="最大化",AA4211-01_因子設定!$B$14,IF(01_因子設定!$B$13="最小化",01_因子設定!$B$15-AB4211,MIN(AA4211-01_因子設定!$B$14,01_因子設定!$B$15-AB4211))),-1E+030)</f>
        <v>0.839073192067666</v>
      </c>
      <c r="AE4211" s="55" t="n">
        <f aca="false">IF(AC4211,IF(01_因子設定!$B$13="最大化",X4211,IF(01_因子設定!$B$13="最小化",-X4211,-ABS(X4211-01_因子設定!$B$16))),-1E+030)</f>
        <v>48.9063230994152</v>
      </c>
      <c r="AF4211" s="55" t="n">
        <f aca="false">AD4211+ROW()*0.000000001</f>
        <v>0.839077403067666</v>
      </c>
      <c r="AG4211" s="55" t="n">
        <f aca="false">AE4211+ROW()*0.000000001</f>
        <v>48.9063273104152</v>
      </c>
    </row>
    <row r="4212" customFormat="false" ht="15" hidden="false" customHeight="false" outlineLevel="0" collapsed="false">
      <c r="A4212" s="0" t="n">
        <v>5</v>
      </c>
      <c r="B4212" s="0" t="n">
        <v>6</v>
      </c>
      <c r="C4212" s="0" t="n">
        <v>8</v>
      </c>
      <c r="D4212" s="0" t="n">
        <v>4</v>
      </c>
      <c r="E4212" s="0" t="n">
        <f aca="false">-1+A4212*0.25</f>
        <v>0.25</v>
      </c>
      <c r="F4212" s="0" t="n">
        <f aca="false">-1+B4212*0.25</f>
        <v>0.5</v>
      </c>
      <c r="G4212" s="0" t="n">
        <f aca="false">-1+C4212*0.25</f>
        <v>1</v>
      </c>
      <c r="H4212" s="0" t="n">
        <f aca="false">-1+D4212*0.25</f>
        <v>0</v>
      </c>
      <c r="I4212" s="0" t="n">
        <f aca="false">1</f>
        <v>1</v>
      </c>
      <c r="J4212" s="0" t="n">
        <f aca="false">E4212</f>
        <v>0.25</v>
      </c>
      <c r="K4212" s="0" t="n">
        <f aca="false">F4212</f>
        <v>0.5</v>
      </c>
      <c r="L4212" s="0" t="n">
        <f aca="false">G4212</f>
        <v>1</v>
      </c>
      <c r="M4212" s="0" t="n">
        <f aca="false">H4212</f>
        <v>0</v>
      </c>
      <c r="N4212" s="0" t="n">
        <f aca="false">E4212*F4212</f>
        <v>0.125</v>
      </c>
      <c r="O4212" s="0" t="n">
        <f aca="false">E4212*G4212</f>
        <v>0.25</v>
      </c>
      <c r="P4212" s="0" t="n">
        <f aca="false">E4212*H4212</f>
        <v>0</v>
      </c>
      <c r="Q4212" s="0" t="n">
        <f aca="false">F4212*G4212</f>
        <v>0.5</v>
      </c>
      <c r="R4212" s="0" t="n">
        <f aca="false">F4212*H4212</f>
        <v>0</v>
      </c>
      <c r="S4212" s="0" t="n">
        <f aca="false">G4212*H4212</f>
        <v>0</v>
      </c>
      <c r="T4212" s="0" t="n">
        <f aca="false">E4212*E4212</f>
        <v>0.0625</v>
      </c>
      <c r="U4212" s="0" t="n">
        <f aca="false">F4212*F4212</f>
        <v>0.25</v>
      </c>
      <c r="V4212" s="0" t="n">
        <f aca="false">G4212*G4212</f>
        <v>1</v>
      </c>
      <c r="W4212" s="0" t="n">
        <f aca="false">H4212*H4212</f>
        <v>0</v>
      </c>
      <c r="X4212" s="0" t="n">
        <f aca="false">SUMPRODUCT(I4212:W4212,_XtX!$B$96:$P$96)</f>
        <v>49.084740497076</v>
      </c>
      <c r="Y4212" s="0" t="n">
        <f aca="false">SUMPRODUCT(MMULT(I4212:W4212,_XtX!$B$78:$P$92),I4212:W4212)</f>
        <v>0.457596628289474</v>
      </c>
      <c r="Z4212" s="0" t="n">
        <f aca="false">04_回帰ANOVA!$K$19*04_回帰ANOVA!$K$14*SQRT(1+Y4212)</f>
        <v>1.57368233664366</v>
      </c>
      <c r="AA4212" s="0" t="n">
        <f aca="false">X4212-Z4212</f>
        <v>47.5110581604323</v>
      </c>
      <c r="AB4212" s="0" t="n">
        <f aca="false">X4212+Z4212</f>
        <v>50.6584228337196</v>
      </c>
      <c r="AC4212" s="54" t="b">
        <f aca="false">AND(E4212&gt;=01_因子設定!$L$5-0.000000001,E4212&lt;=01_因子設定!$M$5+0.000000001,F4212&gt;=01_因子設定!$L$6-0.000000001,F4212&lt;=01_因子設定!$M$6+0.000000001,G4212&gt;=01_因子設定!$L$7-0.000000001,G4212&lt;=01_因子設定!$M$7+0.000000001,H4212&gt;=01_因子設定!$L$8-0.000000001,H4212&lt;=01_因子設定!$M$8+0.000000001,IF(01_因子設定!$B$20="Box-Behnken",E4212^2+F4212^2+G4212^2+H4212^2&lt;=2+0.000000001,TRUE()))</f>
        <v>1</v>
      </c>
      <c r="AD4212" s="55" t="n">
        <f aca="false">IF(AC4212,IF(01_因子設定!$B$13="最大化",AA4212-01_因子設定!$B$14,IF(01_因子設定!$B$13="最小化",01_因子設定!$B$15-AB4212,MIN(AA4212-01_因子設定!$B$14,01_因子設定!$B$15-AB4212))),-1E+030)</f>
        <v>1.01105816043231</v>
      </c>
      <c r="AE4212" s="55" t="n">
        <f aca="false">IF(AC4212,IF(01_因子設定!$B$13="最大化",X4212,IF(01_因子設定!$B$13="最小化",-X4212,-ABS(X4212-01_因子設定!$B$16))),-1E+030)</f>
        <v>49.084740497076</v>
      </c>
      <c r="AF4212" s="55" t="n">
        <f aca="false">AD4212+ROW()*0.000000001</f>
        <v>1.01106237243231</v>
      </c>
      <c r="AG4212" s="55" t="n">
        <f aca="false">AE4212+ROW()*0.000000001</f>
        <v>49.084744709076</v>
      </c>
    </row>
    <row r="4213" customFormat="false" ht="15" hidden="false" customHeight="false" outlineLevel="0" collapsed="false">
      <c r="A4213" s="0" t="n">
        <v>5</v>
      </c>
      <c r="B4213" s="0" t="n">
        <v>6</v>
      </c>
      <c r="C4213" s="0" t="n">
        <v>8</v>
      </c>
      <c r="D4213" s="0" t="n">
        <v>5</v>
      </c>
      <c r="E4213" s="0" t="n">
        <f aca="false">-1+A4213*0.25</f>
        <v>0.25</v>
      </c>
      <c r="F4213" s="0" t="n">
        <f aca="false">-1+B4213*0.25</f>
        <v>0.5</v>
      </c>
      <c r="G4213" s="0" t="n">
        <f aca="false">-1+C4213*0.25</f>
        <v>1</v>
      </c>
      <c r="H4213" s="0" t="n">
        <f aca="false">-1+D4213*0.25</f>
        <v>0.25</v>
      </c>
      <c r="I4213" s="0" t="n">
        <f aca="false">1</f>
        <v>1</v>
      </c>
      <c r="J4213" s="0" t="n">
        <f aca="false">E4213</f>
        <v>0.25</v>
      </c>
      <c r="K4213" s="0" t="n">
        <f aca="false">F4213</f>
        <v>0.5</v>
      </c>
      <c r="L4213" s="0" t="n">
        <f aca="false">G4213</f>
        <v>1</v>
      </c>
      <c r="M4213" s="0" t="n">
        <f aca="false">H4213</f>
        <v>0.25</v>
      </c>
      <c r="N4213" s="0" t="n">
        <f aca="false">E4213*F4213</f>
        <v>0.125</v>
      </c>
      <c r="O4213" s="0" t="n">
        <f aca="false">E4213*G4213</f>
        <v>0.25</v>
      </c>
      <c r="P4213" s="0" t="n">
        <f aca="false">E4213*H4213</f>
        <v>0.0625</v>
      </c>
      <c r="Q4213" s="0" t="n">
        <f aca="false">F4213*G4213</f>
        <v>0.5</v>
      </c>
      <c r="R4213" s="0" t="n">
        <f aca="false">F4213*H4213</f>
        <v>0.125</v>
      </c>
      <c r="S4213" s="0" t="n">
        <f aca="false">G4213*H4213</f>
        <v>0.25</v>
      </c>
      <c r="T4213" s="0" t="n">
        <f aca="false">E4213*E4213</f>
        <v>0.0625</v>
      </c>
      <c r="U4213" s="0" t="n">
        <f aca="false">F4213*F4213</f>
        <v>0.25</v>
      </c>
      <c r="V4213" s="0" t="n">
        <f aca="false">G4213*G4213</f>
        <v>1</v>
      </c>
      <c r="W4213" s="0" t="n">
        <f aca="false">H4213*H4213</f>
        <v>0.0625</v>
      </c>
      <c r="X4213" s="0" t="n">
        <f aca="false">SUMPRODUCT(I4213:W4213,_XtX!$B$96:$P$96)</f>
        <v>49.2153508771929</v>
      </c>
      <c r="Y4213" s="0" t="n">
        <f aca="false">SUMPRODUCT(MMULT(I4213:W4213,_XtX!$B$78:$P$92),I4213:W4213)</f>
        <v>0.445705123812135</v>
      </c>
      <c r="Z4213" s="0" t="n">
        <f aca="false">04_回帰ANOVA!$K$19*04_回帰ANOVA!$K$14*SQRT(1+Y4213)</f>
        <v>1.56724990734749</v>
      </c>
      <c r="AA4213" s="0" t="n">
        <f aca="false">X4213-Z4213</f>
        <v>47.6481009698454</v>
      </c>
      <c r="AB4213" s="0" t="n">
        <f aca="false">X4213+Z4213</f>
        <v>50.7826007845404</v>
      </c>
      <c r="AC4213" s="54" t="b">
        <f aca="false">AND(E4213&gt;=01_因子設定!$L$5-0.000000001,E4213&lt;=01_因子設定!$M$5+0.000000001,F4213&gt;=01_因子設定!$L$6-0.000000001,F4213&lt;=01_因子設定!$M$6+0.000000001,G4213&gt;=01_因子設定!$L$7-0.000000001,G4213&lt;=01_因子設定!$M$7+0.000000001,H4213&gt;=01_因子設定!$L$8-0.000000001,H4213&lt;=01_因子設定!$M$8+0.000000001,IF(01_因子設定!$B$20="Box-Behnken",E4213^2+F4213^2+G4213^2+H4213^2&lt;=2+0.000000001,TRUE()))</f>
        <v>1</v>
      </c>
      <c r="AD4213" s="55" t="n">
        <f aca="false">IF(AC4213,IF(01_因子設定!$B$13="最大化",AA4213-01_因子設定!$B$14,IF(01_因子設定!$B$13="最小化",01_因子設定!$B$15-AB4213,MIN(AA4213-01_因子設定!$B$14,01_因子設定!$B$15-AB4213))),-1E+030)</f>
        <v>1.14810096984544</v>
      </c>
      <c r="AE4213" s="55" t="n">
        <f aca="false">IF(AC4213,IF(01_因子設定!$B$13="最大化",X4213,IF(01_因子設定!$B$13="最小化",-X4213,-ABS(X4213-01_因子設定!$B$16))),-1E+030)</f>
        <v>49.2153508771929</v>
      </c>
      <c r="AF4213" s="55" t="n">
        <f aca="false">AD4213+ROW()*0.000000001</f>
        <v>1.14810518284544</v>
      </c>
      <c r="AG4213" s="55" t="n">
        <f aca="false">AE4213+ROW()*0.000000001</f>
        <v>49.2153550901929</v>
      </c>
    </row>
    <row r="4214" customFormat="false" ht="15" hidden="false" customHeight="false" outlineLevel="0" collapsed="false">
      <c r="A4214" s="0" t="n">
        <v>5</v>
      </c>
      <c r="B4214" s="0" t="n">
        <v>6</v>
      </c>
      <c r="C4214" s="0" t="n">
        <v>8</v>
      </c>
      <c r="D4214" s="0" t="n">
        <v>6</v>
      </c>
      <c r="E4214" s="0" t="n">
        <f aca="false">-1+A4214*0.25</f>
        <v>0.25</v>
      </c>
      <c r="F4214" s="0" t="n">
        <f aca="false">-1+B4214*0.25</f>
        <v>0.5</v>
      </c>
      <c r="G4214" s="0" t="n">
        <f aca="false">-1+C4214*0.25</f>
        <v>1</v>
      </c>
      <c r="H4214" s="0" t="n">
        <f aca="false">-1+D4214*0.25</f>
        <v>0.5</v>
      </c>
      <c r="I4214" s="0" t="n">
        <f aca="false">1</f>
        <v>1</v>
      </c>
      <c r="J4214" s="0" t="n">
        <f aca="false">E4214</f>
        <v>0.25</v>
      </c>
      <c r="K4214" s="0" t="n">
        <f aca="false">F4214</f>
        <v>0.5</v>
      </c>
      <c r="L4214" s="0" t="n">
        <f aca="false">G4214</f>
        <v>1</v>
      </c>
      <c r="M4214" s="0" t="n">
        <f aca="false">H4214</f>
        <v>0.5</v>
      </c>
      <c r="N4214" s="0" t="n">
        <f aca="false">E4214*F4214</f>
        <v>0.125</v>
      </c>
      <c r="O4214" s="0" t="n">
        <f aca="false">E4214*G4214</f>
        <v>0.25</v>
      </c>
      <c r="P4214" s="0" t="n">
        <f aca="false">E4214*H4214</f>
        <v>0.125</v>
      </c>
      <c r="Q4214" s="0" t="n">
        <f aca="false">F4214*G4214</f>
        <v>0.5</v>
      </c>
      <c r="R4214" s="0" t="n">
        <f aca="false">F4214*H4214</f>
        <v>0.25</v>
      </c>
      <c r="S4214" s="0" t="n">
        <f aca="false">G4214*H4214</f>
        <v>0.5</v>
      </c>
      <c r="T4214" s="0" t="n">
        <f aca="false">E4214*E4214</f>
        <v>0.0625</v>
      </c>
      <c r="U4214" s="0" t="n">
        <f aca="false">F4214*F4214</f>
        <v>0.25</v>
      </c>
      <c r="V4214" s="0" t="n">
        <f aca="false">G4214*G4214</f>
        <v>1</v>
      </c>
      <c r="W4214" s="0" t="n">
        <f aca="false">H4214*H4214</f>
        <v>0.25</v>
      </c>
      <c r="X4214" s="0" t="n">
        <f aca="false">SUMPRODUCT(I4214:W4214,_XtX!$B$96:$P$96)</f>
        <v>49.298154239766</v>
      </c>
      <c r="Y4214" s="0" t="n">
        <f aca="false">SUMPRODUCT(MMULT(I4214:W4214,_XtX!$B$78:$P$92),I4214:W4214)</f>
        <v>0.428122715643275</v>
      </c>
      <c r="Z4214" s="0" t="n">
        <f aca="false">04_回帰ANOVA!$K$19*04_回帰ANOVA!$K$14*SQRT(1+Y4214)</f>
        <v>1.55769044623229</v>
      </c>
      <c r="AA4214" s="0" t="n">
        <f aca="false">X4214-Z4214</f>
        <v>47.7404637935337</v>
      </c>
      <c r="AB4214" s="0" t="n">
        <f aca="false">X4214+Z4214</f>
        <v>50.8558446859983</v>
      </c>
      <c r="AC4214" s="54" t="b">
        <f aca="false">AND(E4214&gt;=01_因子設定!$L$5-0.000000001,E4214&lt;=01_因子設定!$M$5+0.000000001,F4214&gt;=01_因子設定!$L$6-0.000000001,F4214&lt;=01_因子設定!$M$6+0.000000001,G4214&gt;=01_因子設定!$L$7-0.000000001,G4214&lt;=01_因子設定!$M$7+0.000000001,H4214&gt;=01_因子設定!$L$8-0.000000001,H4214&lt;=01_因子設定!$M$8+0.000000001,IF(01_因子設定!$B$20="Box-Behnken",E4214^2+F4214^2+G4214^2+H4214^2&lt;=2+0.000000001,TRUE()))</f>
        <v>1</v>
      </c>
      <c r="AD4214" s="55" t="n">
        <f aca="false">IF(AC4214,IF(01_因子設定!$B$13="最大化",AA4214-01_因子設定!$B$14,IF(01_因子設定!$B$13="最小化",01_因子設定!$B$15-AB4214,MIN(AA4214-01_因子設定!$B$14,01_因子設定!$B$15-AB4214))),-1E+030)</f>
        <v>1.24046379353374</v>
      </c>
      <c r="AE4214" s="55" t="n">
        <f aca="false">IF(AC4214,IF(01_因子設定!$B$13="最大化",X4214,IF(01_因子設定!$B$13="最小化",-X4214,-ABS(X4214-01_因子設定!$B$16))),-1E+030)</f>
        <v>49.298154239766</v>
      </c>
      <c r="AF4214" s="55" t="n">
        <f aca="false">AD4214+ROW()*0.000000001</f>
        <v>1.24046800753374</v>
      </c>
      <c r="AG4214" s="55" t="n">
        <f aca="false">AE4214+ROW()*0.000000001</f>
        <v>49.298158453766</v>
      </c>
    </row>
    <row r="4215" customFormat="false" ht="15" hidden="false" customHeight="false" outlineLevel="0" collapsed="false">
      <c r="A4215" s="0" t="n">
        <v>5</v>
      </c>
      <c r="B4215" s="0" t="n">
        <v>6</v>
      </c>
      <c r="C4215" s="0" t="n">
        <v>8</v>
      </c>
      <c r="D4215" s="0" t="n">
        <v>7</v>
      </c>
      <c r="E4215" s="0" t="n">
        <f aca="false">-1+A4215*0.25</f>
        <v>0.25</v>
      </c>
      <c r="F4215" s="0" t="n">
        <f aca="false">-1+B4215*0.25</f>
        <v>0.5</v>
      </c>
      <c r="G4215" s="0" t="n">
        <f aca="false">-1+C4215*0.25</f>
        <v>1</v>
      </c>
      <c r="H4215" s="0" t="n">
        <f aca="false">-1+D4215*0.25</f>
        <v>0.75</v>
      </c>
      <c r="I4215" s="0" t="n">
        <f aca="false">1</f>
        <v>1</v>
      </c>
      <c r="J4215" s="0" t="n">
        <f aca="false">E4215</f>
        <v>0.25</v>
      </c>
      <c r="K4215" s="0" t="n">
        <f aca="false">F4215</f>
        <v>0.5</v>
      </c>
      <c r="L4215" s="0" t="n">
        <f aca="false">G4215</f>
        <v>1</v>
      </c>
      <c r="M4215" s="0" t="n">
        <f aca="false">H4215</f>
        <v>0.75</v>
      </c>
      <c r="N4215" s="0" t="n">
        <f aca="false">E4215*F4215</f>
        <v>0.125</v>
      </c>
      <c r="O4215" s="0" t="n">
        <f aca="false">E4215*G4215</f>
        <v>0.25</v>
      </c>
      <c r="P4215" s="0" t="n">
        <f aca="false">E4215*H4215</f>
        <v>0.1875</v>
      </c>
      <c r="Q4215" s="0" t="n">
        <f aca="false">F4215*G4215</f>
        <v>0.5</v>
      </c>
      <c r="R4215" s="0" t="n">
        <f aca="false">F4215*H4215</f>
        <v>0.375</v>
      </c>
      <c r="S4215" s="0" t="n">
        <f aca="false">G4215*H4215</f>
        <v>0.75</v>
      </c>
      <c r="T4215" s="0" t="n">
        <f aca="false">E4215*E4215</f>
        <v>0.0625</v>
      </c>
      <c r="U4215" s="0" t="n">
        <f aca="false">F4215*F4215</f>
        <v>0.25</v>
      </c>
      <c r="V4215" s="0" t="n">
        <f aca="false">G4215*G4215</f>
        <v>1</v>
      </c>
      <c r="W4215" s="0" t="n">
        <f aca="false">H4215*H4215</f>
        <v>0.5625</v>
      </c>
      <c r="X4215" s="0" t="n">
        <f aca="false">SUMPRODUCT(I4215:W4215,_XtX!$B$96:$P$96)</f>
        <v>49.3331505847953</v>
      </c>
      <c r="Y4215" s="0" t="n">
        <f aca="false">SUMPRODUCT(MMULT(I4215:W4215,_XtX!$B$78:$P$92),I4215:W4215)</f>
        <v>0.459125719572369</v>
      </c>
      <c r="Z4215" s="0" t="n">
        <f aca="false">04_回帰ANOVA!$K$19*04_回帰ANOVA!$K$14*SQRT(1+Y4215)</f>
        <v>1.57450755575573</v>
      </c>
      <c r="AA4215" s="0" t="n">
        <f aca="false">X4215-Z4215</f>
        <v>47.7586430290396</v>
      </c>
      <c r="AB4215" s="0" t="n">
        <f aca="false">X4215+Z4215</f>
        <v>50.907658140551</v>
      </c>
      <c r="AC4215" s="54" t="b">
        <f aca="false">AND(E4215&gt;=01_因子設定!$L$5-0.000000001,E4215&lt;=01_因子設定!$M$5+0.000000001,F4215&gt;=01_因子設定!$L$6-0.000000001,F4215&lt;=01_因子設定!$M$6+0.000000001,G4215&gt;=01_因子設定!$L$7-0.000000001,G4215&lt;=01_因子設定!$M$7+0.000000001,H4215&gt;=01_因子設定!$L$8-0.000000001,H4215&lt;=01_因子設定!$M$8+0.000000001,IF(01_因子設定!$B$20="Box-Behnken",E4215^2+F4215^2+G4215^2+H4215^2&lt;=2+0.000000001,TRUE()))</f>
        <v>1</v>
      </c>
      <c r="AD4215" s="55" t="n">
        <f aca="false">IF(AC4215,IF(01_因子設定!$B$13="最大化",AA4215-01_因子設定!$B$14,IF(01_因子設定!$B$13="最小化",01_因子設定!$B$15-AB4215,MIN(AA4215-01_因子設定!$B$14,01_因子設定!$B$15-AB4215))),-1E+030)</f>
        <v>1.25864302903955</v>
      </c>
      <c r="AE4215" s="55" t="n">
        <f aca="false">IF(AC4215,IF(01_因子設定!$B$13="最大化",X4215,IF(01_因子設定!$B$13="最小化",-X4215,-ABS(X4215-01_因子設定!$B$16))),-1E+030)</f>
        <v>49.3331505847953</v>
      </c>
      <c r="AF4215" s="55" t="n">
        <f aca="false">AD4215+ROW()*0.000000001</f>
        <v>1.25864724403955</v>
      </c>
      <c r="AG4215" s="55" t="n">
        <f aca="false">AE4215+ROW()*0.000000001</f>
        <v>49.3331547997953</v>
      </c>
    </row>
    <row r="4216" customFormat="false" ht="15" hidden="false" customHeight="false" outlineLevel="0" collapsed="false">
      <c r="A4216" s="0" t="n">
        <v>5</v>
      </c>
      <c r="B4216" s="0" t="n">
        <v>6</v>
      </c>
      <c r="C4216" s="0" t="n">
        <v>8</v>
      </c>
      <c r="D4216" s="0" t="n">
        <v>8</v>
      </c>
      <c r="E4216" s="0" t="n">
        <f aca="false">-1+A4216*0.25</f>
        <v>0.25</v>
      </c>
      <c r="F4216" s="0" t="n">
        <f aca="false">-1+B4216*0.25</f>
        <v>0.5</v>
      </c>
      <c r="G4216" s="0" t="n">
        <f aca="false">-1+C4216*0.25</f>
        <v>1</v>
      </c>
      <c r="H4216" s="0" t="n">
        <f aca="false">-1+D4216*0.25</f>
        <v>1</v>
      </c>
      <c r="I4216" s="0" t="n">
        <f aca="false">1</f>
        <v>1</v>
      </c>
      <c r="J4216" s="0" t="n">
        <f aca="false">E4216</f>
        <v>0.25</v>
      </c>
      <c r="K4216" s="0" t="n">
        <f aca="false">F4216</f>
        <v>0.5</v>
      </c>
      <c r="L4216" s="0" t="n">
        <f aca="false">G4216</f>
        <v>1</v>
      </c>
      <c r="M4216" s="0" t="n">
        <f aca="false">H4216</f>
        <v>1</v>
      </c>
      <c r="N4216" s="0" t="n">
        <f aca="false">E4216*F4216</f>
        <v>0.125</v>
      </c>
      <c r="O4216" s="0" t="n">
        <f aca="false">E4216*G4216</f>
        <v>0.25</v>
      </c>
      <c r="P4216" s="0" t="n">
        <f aca="false">E4216*H4216</f>
        <v>0.25</v>
      </c>
      <c r="Q4216" s="0" t="n">
        <f aca="false">F4216*G4216</f>
        <v>0.5</v>
      </c>
      <c r="R4216" s="0" t="n">
        <f aca="false">F4216*H4216</f>
        <v>0.5</v>
      </c>
      <c r="S4216" s="0" t="n">
        <f aca="false">G4216*H4216</f>
        <v>1</v>
      </c>
      <c r="T4216" s="0" t="n">
        <f aca="false">E4216*E4216</f>
        <v>0.0625</v>
      </c>
      <c r="U4216" s="0" t="n">
        <f aca="false">F4216*F4216</f>
        <v>0.25</v>
      </c>
      <c r="V4216" s="0" t="n">
        <f aca="false">G4216*G4216</f>
        <v>1</v>
      </c>
      <c r="W4216" s="0" t="n">
        <f aca="false">H4216*H4216</f>
        <v>1</v>
      </c>
      <c r="X4216" s="0" t="n">
        <f aca="false">SUMPRODUCT(I4216:W4216,_XtX!$B$96:$P$96)</f>
        <v>49.3203399122807</v>
      </c>
      <c r="Y4216" s="0" t="n">
        <f aca="false">SUMPRODUCT(MMULT(I4216:W4216,_XtX!$B$78:$P$92),I4216:W4216)</f>
        <v>0.629174661915205</v>
      </c>
      <c r="Z4216" s="0" t="n">
        <f aca="false">04_回帰ANOVA!$K$19*04_回帰ANOVA!$K$14*SQRT(1+Y4216)</f>
        <v>1.66372758058297</v>
      </c>
      <c r="AA4216" s="0" t="n">
        <f aca="false">X4216-Z4216</f>
        <v>47.6566123316977</v>
      </c>
      <c r="AB4216" s="0" t="n">
        <f aca="false">X4216+Z4216</f>
        <v>50.9840674928637</v>
      </c>
      <c r="AC4216" s="54" t="b">
        <f aca="false">AND(E4216&gt;=01_因子設定!$L$5-0.000000001,E4216&lt;=01_因子設定!$M$5+0.000000001,F4216&gt;=01_因子設定!$L$6-0.000000001,F4216&lt;=01_因子設定!$M$6+0.000000001,G4216&gt;=01_因子設定!$L$7-0.000000001,G4216&lt;=01_因子設定!$M$7+0.000000001,H4216&gt;=01_因子設定!$L$8-0.000000001,H4216&lt;=01_因子設定!$M$8+0.000000001,IF(01_因子設定!$B$20="Box-Behnken",E4216^2+F4216^2+G4216^2+H4216^2&lt;=2+0.000000001,TRUE()))</f>
        <v>1</v>
      </c>
      <c r="AD4216" s="55" t="n">
        <f aca="false">IF(AC4216,IF(01_因子設定!$B$13="最大化",AA4216-01_因子設定!$B$14,IF(01_因子設定!$B$13="最小化",01_因子設定!$B$15-AB4216,MIN(AA4216-01_因子設定!$B$14,01_因子設定!$B$15-AB4216))),-1E+030)</f>
        <v>1.15661233169771</v>
      </c>
      <c r="AE4216" s="55" t="n">
        <f aca="false">IF(AC4216,IF(01_因子設定!$B$13="最大化",X4216,IF(01_因子設定!$B$13="最小化",-X4216,-ABS(X4216-01_因子設定!$B$16))),-1E+030)</f>
        <v>49.3203399122807</v>
      </c>
      <c r="AF4216" s="55" t="n">
        <f aca="false">AD4216+ROW()*0.000000001</f>
        <v>1.15661654769771</v>
      </c>
      <c r="AG4216" s="55" t="n">
        <f aca="false">AE4216+ROW()*0.000000001</f>
        <v>49.3203441282807</v>
      </c>
    </row>
    <row r="4217" customFormat="false" ht="15" hidden="false" customHeight="false" outlineLevel="0" collapsed="false">
      <c r="A4217" s="0" t="n">
        <v>5</v>
      </c>
      <c r="B4217" s="0" t="n">
        <v>7</v>
      </c>
      <c r="C4217" s="0" t="n">
        <v>0</v>
      </c>
      <c r="D4217" s="0" t="n">
        <v>0</v>
      </c>
      <c r="E4217" s="0" t="n">
        <f aca="false">-1+A4217*0.25</f>
        <v>0.25</v>
      </c>
      <c r="F4217" s="0" t="n">
        <f aca="false">-1+B4217*0.25</f>
        <v>0.75</v>
      </c>
      <c r="G4217" s="0" t="n">
        <f aca="false">-1+C4217*0.25</f>
        <v>-1</v>
      </c>
      <c r="H4217" s="0" t="n">
        <f aca="false">-1+D4217*0.25</f>
        <v>-1</v>
      </c>
      <c r="I4217" s="0" t="n">
        <f aca="false">1</f>
        <v>1</v>
      </c>
      <c r="J4217" s="0" t="n">
        <f aca="false">E4217</f>
        <v>0.25</v>
      </c>
      <c r="K4217" s="0" t="n">
        <f aca="false">F4217</f>
        <v>0.75</v>
      </c>
      <c r="L4217" s="0" t="n">
        <f aca="false">G4217</f>
        <v>-1</v>
      </c>
      <c r="M4217" s="0" t="n">
        <f aca="false">H4217</f>
        <v>-1</v>
      </c>
      <c r="N4217" s="0" t="n">
        <f aca="false">E4217*F4217</f>
        <v>0.1875</v>
      </c>
      <c r="O4217" s="0" t="n">
        <f aca="false">E4217*G4217</f>
        <v>-0.25</v>
      </c>
      <c r="P4217" s="0" t="n">
        <f aca="false">E4217*H4217</f>
        <v>-0.25</v>
      </c>
      <c r="Q4217" s="0" t="n">
        <f aca="false">F4217*G4217</f>
        <v>-0.75</v>
      </c>
      <c r="R4217" s="0" t="n">
        <f aca="false">F4217*H4217</f>
        <v>-0.75</v>
      </c>
      <c r="S4217" s="0" t="n">
        <f aca="false">G4217*H4217</f>
        <v>1</v>
      </c>
      <c r="T4217" s="0" t="n">
        <f aca="false">E4217*E4217</f>
        <v>0.0625</v>
      </c>
      <c r="U4217" s="0" t="n">
        <f aca="false">F4217*F4217</f>
        <v>0.5625</v>
      </c>
      <c r="V4217" s="0" t="n">
        <f aca="false">G4217*G4217</f>
        <v>1</v>
      </c>
      <c r="W4217" s="0" t="n">
        <f aca="false">H4217*H4217</f>
        <v>1</v>
      </c>
      <c r="X4217" s="0" t="n">
        <f aca="false">SUMPRODUCT(I4217:W4217,_XtX!$B$96:$P$96)</f>
        <v>46.4669682017544</v>
      </c>
      <c r="Y4217" s="0" t="n">
        <f aca="false">SUMPRODUCT(MMULT(I4217:W4217,_XtX!$B$78:$P$92),I4217:W4217)</f>
        <v>0.621372155975877</v>
      </c>
      <c r="Z4217" s="0" t="n">
        <f aca="false">04_回帰ANOVA!$K$19*04_回帰ANOVA!$K$14*SQRT(1+Y4217)</f>
        <v>1.65973880499872</v>
      </c>
      <c r="AA4217" s="0" t="n">
        <f aca="false">X4217-Z4217</f>
        <v>44.8072293967557</v>
      </c>
      <c r="AB4217" s="0" t="n">
        <f aca="false">X4217+Z4217</f>
        <v>48.1267070067531</v>
      </c>
      <c r="AC4217" s="54" t="b">
        <f aca="false">AND(E4217&gt;=01_因子設定!$L$5-0.000000001,E4217&lt;=01_因子設定!$M$5+0.000000001,F4217&gt;=01_因子設定!$L$6-0.000000001,F4217&lt;=01_因子設定!$M$6+0.000000001,G4217&gt;=01_因子設定!$L$7-0.000000001,G4217&lt;=01_因子設定!$M$7+0.000000001,H4217&gt;=01_因子設定!$L$8-0.000000001,H4217&lt;=01_因子設定!$M$8+0.000000001,IF(01_因子設定!$B$20="Box-Behnken",E4217^2+F4217^2+G4217^2+H4217^2&lt;=2+0.000000001,TRUE()))</f>
        <v>1</v>
      </c>
      <c r="AD4217" s="55" t="n">
        <f aca="false">IF(AC4217,IF(01_因子設定!$B$13="最大化",AA4217-01_因子設定!$B$14,IF(01_因子設定!$B$13="最小化",01_因子設定!$B$15-AB4217,MIN(AA4217-01_因子設定!$B$14,01_因子設定!$B$15-AB4217))),-1E+030)</f>
        <v>-1.69277060324435</v>
      </c>
      <c r="AE4217" s="55" t="n">
        <f aca="false">IF(AC4217,IF(01_因子設定!$B$13="最大化",X4217,IF(01_因子設定!$B$13="最小化",-X4217,-ABS(X4217-01_因子設定!$B$16))),-1E+030)</f>
        <v>46.4669682017544</v>
      </c>
      <c r="AF4217" s="55" t="n">
        <f aca="false">AD4217+ROW()*0.000000001</f>
        <v>-1.69276638624435</v>
      </c>
      <c r="AG4217" s="55" t="n">
        <f aca="false">AE4217+ROW()*0.000000001</f>
        <v>46.4669724187544</v>
      </c>
    </row>
    <row r="4218" customFormat="false" ht="15" hidden="false" customHeight="false" outlineLevel="0" collapsed="false">
      <c r="A4218" s="0" t="n">
        <v>5</v>
      </c>
      <c r="B4218" s="0" t="n">
        <v>7</v>
      </c>
      <c r="C4218" s="0" t="n">
        <v>0</v>
      </c>
      <c r="D4218" s="0" t="n">
        <v>1</v>
      </c>
      <c r="E4218" s="0" t="n">
        <f aca="false">-1+A4218*0.25</f>
        <v>0.25</v>
      </c>
      <c r="F4218" s="0" t="n">
        <f aca="false">-1+B4218*0.25</f>
        <v>0.75</v>
      </c>
      <c r="G4218" s="0" t="n">
        <f aca="false">-1+C4218*0.25</f>
        <v>-1</v>
      </c>
      <c r="H4218" s="0" t="n">
        <f aca="false">-1+D4218*0.25</f>
        <v>-0.75</v>
      </c>
      <c r="I4218" s="0" t="n">
        <f aca="false">1</f>
        <v>1</v>
      </c>
      <c r="J4218" s="0" t="n">
        <f aca="false">E4218</f>
        <v>0.25</v>
      </c>
      <c r="K4218" s="0" t="n">
        <f aca="false">F4218</f>
        <v>0.75</v>
      </c>
      <c r="L4218" s="0" t="n">
        <f aca="false">G4218</f>
        <v>-1</v>
      </c>
      <c r="M4218" s="0" t="n">
        <f aca="false">H4218</f>
        <v>-0.75</v>
      </c>
      <c r="N4218" s="0" t="n">
        <f aca="false">E4218*F4218</f>
        <v>0.1875</v>
      </c>
      <c r="O4218" s="0" t="n">
        <f aca="false">E4218*G4218</f>
        <v>-0.25</v>
      </c>
      <c r="P4218" s="0" t="n">
        <f aca="false">E4218*H4218</f>
        <v>-0.1875</v>
      </c>
      <c r="Q4218" s="0" t="n">
        <f aca="false">F4218*G4218</f>
        <v>-0.75</v>
      </c>
      <c r="R4218" s="0" t="n">
        <f aca="false">F4218*H4218</f>
        <v>-0.5625</v>
      </c>
      <c r="S4218" s="0" t="n">
        <f aca="false">G4218*H4218</f>
        <v>0.75</v>
      </c>
      <c r="T4218" s="0" t="n">
        <f aca="false">E4218*E4218</f>
        <v>0.0625</v>
      </c>
      <c r="U4218" s="0" t="n">
        <f aca="false">F4218*F4218</f>
        <v>0.5625</v>
      </c>
      <c r="V4218" s="0" t="n">
        <f aca="false">G4218*G4218</f>
        <v>1</v>
      </c>
      <c r="W4218" s="0" t="n">
        <f aca="false">H4218*H4218</f>
        <v>0.5625</v>
      </c>
      <c r="X4218" s="0" t="n">
        <f aca="false">SUMPRODUCT(I4218:W4218,_XtX!$B$96:$P$96)</f>
        <v>46.6317754020468</v>
      </c>
      <c r="Y4218" s="0" t="n">
        <f aca="false">SUMPRODUCT(MMULT(I4218:W4218,_XtX!$B$78:$P$92),I4218:W4218)</f>
        <v>0.473959761056287</v>
      </c>
      <c r="Z4218" s="0" t="n">
        <f aca="false">04_回帰ANOVA!$K$19*04_回帰ANOVA!$K$14*SQRT(1+Y4218)</f>
        <v>1.58249084588329</v>
      </c>
      <c r="AA4218" s="0" t="n">
        <f aca="false">X4218-Z4218</f>
        <v>45.0492845561635</v>
      </c>
      <c r="AB4218" s="0" t="n">
        <f aca="false">X4218+Z4218</f>
        <v>48.21426624793</v>
      </c>
      <c r="AC4218" s="54" t="b">
        <f aca="false">AND(E4218&gt;=01_因子設定!$L$5-0.000000001,E4218&lt;=01_因子設定!$M$5+0.000000001,F4218&gt;=01_因子設定!$L$6-0.000000001,F4218&lt;=01_因子設定!$M$6+0.000000001,G4218&gt;=01_因子設定!$L$7-0.000000001,G4218&lt;=01_因子設定!$M$7+0.000000001,H4218&gt;=01_因子設定!$L$8-0.000000001,H4218&lt;=01_因子設定!$M$8+0.000000001,IF(01_因子設定!$B$20="Box-Behnken",E4218^2+F4218^2+G4218^2+H4218^2&lt;=2+0.000000001,TRUE()))</f>
        <v>1</v>
      </c>
      <c r="AD4218" s="55" t="n">
        <f aca="false">IF(AC4218,IF(01_因子設定!$B$13="最大化",AA4218-01_因子設定!$B$14,IF(01_因子設定!$B$13="最小化",01_因子設定!$B$15-AB4218,MIN(AA4218-01_因子設定!$B$14,01_因子設定!$B$15-AB4218))),-1E+030)</f>
        <v>-1.45071544383654</v>
      </c>
      <c r="AE4218" s="55" t="n">
        <f aca="false">IF(AC4218,IF(01_因子設定!$B$13="最大化",X4218,IF(01_因子設定!$B$13="最小化",-X4218,-ABS(X4218-01_因子設定!$B$16))),-1E+030)</f>
        <v>46.6317754020468</v>
      </c>
      <c r="AF4218" s="55" t="n">
        <f aca="false">AD4218+ROW()*0.000000001</f>
        <v>-1.45071122583654</v>
      </c>
      <c r="AG4218" s="55" t="n">
        <f aca="false">AE4218+ROW()*0.000000001</f>
        <v>46.6317796200468</v>
      </c>
    </row>
    <row r="4219" customFormat="false" ht="15" hidden="false" customHeight="false" outlineLevel="0" collapsed="false">
      <c r="A4219" s="0" t="n">
        <v>5</v>
      </c>
      <c r="B4219" s="0" t="n">
        <v>7</v>
      </c>
      <c r="C4219" s="0" t="n">
        <v>0</v>
      </c>
      <c r="D4219" s="0" t="n">
        <v>2</v>
      </c>
      <c r="E4219" s="0" t="n">
        <f aca="false">-1+A4219*0.25</f>
        <v>0.25</v>
      </c>
      <c r="F4219" s="0" t="n">
        <f aca="false">-1+B4219*0.25</f>
        <v>0.75</v>
      </c>
      <c r="G4219" s="0" t="n">
        <f aca="false">-1+C4219*0.25</f>
        <v>-1</v>
      </c>
      <c r="H4219" s="0" t="n">
        <f aca="false">-1+D4219*0.25</f>
        <v>-0.5</v>
      </c>
      <c r="I4219" s="0" t="n">
        <f aca="false">1</f>
        <v>1</v>
      </c>
      <c r="J4219" s="0" t="n">
        <f aca="false">E4219</f>
        <v>0.25</v>
      </c>
      <c r="K4219" s="0" t="n">
        <f aca="false">F4219</f>
        <v>0.75</v>
      </c>
      <c r="L4219" s="0" t="n">
        <f aca="false">G4219</f>
        <v>-1</v>
      </c>
      <c r="M4219" s="0" t="n">
        <f aca="false">H4219</f>
        <v>-0.5</v>
      </c>
      <c r="N4219" s="0" t="n">
        <f aca="false">E4219*F4219</f>
        <v>0.1875</v>
      </c>
      <c r="O4219" s="0" t="n">
        <f aca="false">E4219*G4219</f>
        <v>-0.25</v>
      </c>
      <c r="P4219" s="0" t="n">
        <f aca="false">E4219*H4219</f>
        <v>-0.125</v>
      </c>
      <c r="Q4219" s="0" t="n">
        <f aca="false">F4219*G4219</f>
        <v>-0.75</v>
      </c>
      <c r="R4219" s="0" t="n">
        <f aca="false">F4219*H4219</f>
        <v>-0.375</v>
      </c>
      <c r="S4219" s="0" t="n">
        <f aca="false">G4219*H4219</f>
        <v>0.5</v>
      </c>
      <c r="T4219" s="0" t="n">
        <f aca="false">E4219*E4219</f>
        <v>0.0625</v>
      </c>
      <c r="U4219" s="0" t="n">
        <f aca="false">F4219*F4219</f>
        <v>0.5625</v>
      </c>
      <c r="V4219" s="0" t="n">
        <f aca="false">G4219*G4219</f>
        <v>1</v>
      </c>
      <c r="W4219" s="0" t="n">
        <f aca="false">H4219*H4219</f>
        <v>0.25</v>
      </c>
      <c r="X4219" s="0" t="n">
        <f aca="false">SUMPRODUCT(I4219:W4219,_XtX!$B$96:$P$96)</f>
        <v>46.7487755847953</v>
      </c>
      <c r="Y4219" s="0" t="n">
        <f aca="false">SUMPRODUCT(MMULT(I4219:W4219,_XtX!$B$78:$P$92),I4219:W4219)</f>
        <v>0.459125719572369</v>
      </c>
      <c r="Z4219" s="0" t="n">
        <f aca="false">04_回帰ANOVA!$K$19*04_回帰ANOVA!$K$14*SQRT(1+Y4219)</f>
        <v>1.57450755575573</v>
      </c>
      <c r="AA4219" s="0" t="n">
        <f aca="false">X4219-Z4219</f>
        <v>45.1742680290395</v>
      </c>
      <c r="AB4219" s="0" t="n">
        <f aca="false">X4219+Z4219</f>
        <v>48.323283140551</v>
      </c>
      <c r="AC4219" s="54" t="b">
        <f aca="false">AND(E4219&gt;=01_因子設定!$L$5-0.000000001,E4219&lt;=01_因子設定!$M$5+0.000000001,F4219&gt;=01_因子設定!$L$6-0.000000001,F4219&lt;=01_因子設定!$M$6+0.000000001,G4219&gt;=01_因子設定!$L$7-0.000000001,G4219&lt;=01_因子設定!$M$7+0.000000001,H4219&gt;=01_因子設定!$L$8-0.000000001,H4219&lt;=01_因子設定!$M$8+0.000000001,IF(01_因子設定!$B$20="Box-Behnken",E4219^2+F4219^2+G4219^2+H4219^2&lt;=2+0.000000001,TRUE()))</f>
        <v>1</v>
      </c>
      <c r="AD4219" s="55" t="n">
        <f aca="false">IF(AC4219,IF(01_因子設定!$B$13="最大化",AA4219-01_因子設定!$B$14,IF(01_因子設定!$B$13="最小化",01_因子設定!$B$15-AB4219,MIN(AA4219-01_因子設定!$B$14,01_因子設定!$B$15-AB4219))),-1E+030)</f>
        <v>-1.32573197096045</v>
      </c>
      <c r="AE4219" s="55" t="n">
        <f aca="false">IF(AC4219,IF(01_因子設定!$B$13="最大化",X4219,IF(01_因子設定!$B$13="最小化",-X4219,-ABS(X4219-01_因子設定!$B$16))),-1E+030)</f>
        <v>46.7487755847953</v>
      </c>
      <c r="AF4219" s="55" t="n">
        <f aca="false">AD4219+ROW()*0.000000001</f>
        <v>-1.32572775196045</v>
      </c>
      <c r="AG4219" s="55" t="n">
        <f aca="false">AE4219+ROW()*0.000000001</f>
        <v>46.7487798037953</v>
      </c>
    </row>
    <row r="4220" customFormat="false" ht="15" hidden="false" customHeight="false" outlineLevel="0" collapsed="false">
      <c r="A4220" s="0" t="n">
        <v>5</v>
      </c>
      <c r="B4220" s="0" t="n">
        <v>7</v>
      </c>
      <c r="C4220" s="0" t="n">
        <v>0</v>
      </c>
      <c r="D4220" s="0" t="n">
        <v>3</v>
      </c>
      <c r="E4220" s="0" t="n">
        <f aca="false">-1+A4220*0.25</f>
        <v>0.25</v>
      </c>
      <c r="F4220" s="0" t="n">
        <f aca="false">-1+B4220*0.25</f>
        <v>0.75</v>
      </c>
      <c r="G4220" s="0" t="n">
        <f aca="false">-1+C4220*0.25</f>
        <v>-1</v>
      </c>
      <c r="H4220" s="0" t="n">
        <f aca="false">-1+D4220*0.25</f>
        <v>-0.25</v>
      </c>
      <c r="I4220" s="0" t="n">
        <f aca="false">1</f>
        <v>1</v>
      </c>
      <c r="J4220" s="0" t="n">
        <f aca="false">E4220</f>
        <v>0.25</v>
      </c>
      <c r="K4220" s="0" t="n">
        <f aca="false">F4220</f>
        <v>0.75</v>
      </c>
      <c r="L4220" s="0" t="n">
        <f aca="false">G4220</f>
        <v>-1</v>
      </c>
      <c r="M4220" s="0" t="n">
        <f aca="false">H4220</f>
        <v>-0.25</v>
      </c>
      <c r="N4220" s="0" t="n">
        <f aca="false">E4220*F4220</f>
        <v>0.1875</v>
      </c>
      <c r="O4220" s="0" t="n">
        <f aca="false">E4220*G4220</f>
        <v>-0.25</v>
      </c>
      <c r="P4220" s="0" t="n">
        <f aca="false">E4220*H4220</f>
        <v>-0.0625</v>
      </c>
      <c r="Q4220" s="0" t="n">
        <f aca="false">F4220*G4220</f>
        <v>-0.75</v>
      </c>
      <c r="R4220" s="0" t="n">
        <f aca="false">F4220*H4220</f>
        <v>-0.1875</v>
      </c>
      <c r="S4220" s="0" t="n">
        <f aca="false">G4220*H4220</f>
        <v>0.25</v>
      </c>
      <c r="T4220" s="0" t="n">
        <f aca="false">E4220*E4220</f>
        <v>0.0625</v>
      </c>
      <c r="U4220" s="0" t="n">
        <f aca="false">F4220*F4220</f>
        <v>0.5625</v>
      </c>
      <c r="V4220" s="0" t="n">
        <f aca="false">G4220*G4220</f>
        <v>1</v>
      </c>
      <c r="W4220" s="0" t="n">
        <f aca="false">H4220*H4220</f>
        <v>0.0625</v>
      </c>
      <c r="X4220" s="0" t="n">
        <f aca="false">SUMPRODUCT(I4220:W4220,_XtX!$B$96:$P$96)</f>
        <v>46.81796875</v>
      </c>
      <c r="Y4220" s="0" t="n">
        <f aca="false">SUMPRODUCT(MMULT(I4220:W4220,_XtX!$B$78:$P$92),I4220:W4220)</f>
        <v>0.486409505208334</v>
      </c>
      <c r="Z4220" s="0" t="n">
        <f aca="false">04_回帰ANOVA!$K$19*04_回帰ANOVA!$K$14*SQRT(1+Y4220)</f>
        <v>1.58916001665498</v>
      </c>
      <c r="AA4220" s="0" t="n">
        <f aca="false">X4220-Z4220</f>
        <v>45.228808733345</v>
      </c>
      <c r="AB4220" s="0" t="n">
        <f aca="false">X4220+Z4220</f>
        <v>48.4071287666549</v>
      </c>
      <c r="AC4220" s="54" t="b">
        <f aca="false">AND(E4220&gt;=01_因子設定!$L$5-0.000000001,E4220&lt;=01_因子設定!$M$5+0.000000001,F4220&gt;=01_因子設定!$L$6-0.000000001,F4220&lt;=01_因子設定!$M$6+0.000000001,G4220&gt;=01_因子設定!$L$7-0.000000001,G4220&lt;=01_因子設定!$M$7+0.000000001,H4220&gt;=01_因子設定!$L$8-0.000000001,H4220&lt;=01_因子設定!$M$8+0.000000001,IF(01_因子設定!$B$20="Box-Behnken",E4220^2+F4220^2+G4220^2+H4220^2&lt;=2+0.000000001,TRUE()))</f>
        <v>1</v>
      </c>
      <c r="AD4220" s="55" t="n">
        <f aca="false">IF(AC4220,IF(01_因子設定!$B$13="最大化",AA4220-01_因子設定!$B$14,IF(01_因子設定!$B$13="最小化",01_因子設定!$B$15-AB4220,MIN(AA4220-01_因子設定!$B$14,01_因子設定!$B$15-AB4220))),-1E+030)</f>
        <v>-1.27119126665503</v>
      </c>
      <c r="AE4220" s="55" t="n">
        <f aca="false">IF(AC4220,IF(01_因子設定!$B$13="最大化",X4220,IF(01_因子設定!$B$13="最小化",-X4220,-ABS(X4220-01_因子設定!$B$16))),-1E+030)</f>
        <v>46.81796875</v>
      </c>
      <c r="AF4220" s="55" t="n">
        <f aca="false">AD4220+ROW()*0.000000001</f>
        <v>-1.27118704665503</v>
      </c>
      <c r="AG4220" s="55" t="n">
        <f aca="false">AE4220+ROW()*0.000000001</f>
        <v>46.81797297</v>
      </c>
    </row>
    <row r="4221" customFormat="false" ht="15" hidden="false" customHeight="false" outlineLevel="0" collapsed="false">
      <c r="A4221" s="0" t="n">
        <v>5</v>
      </c>
      <c r="B4221" s="0" t="n">
        <v>7</v>
      </c>
      <c r="C4221" s="0" t="n">
        <v>0</v>
      </c>
      <c r="D4221" s="0" t="n">
        <v>4</v>
      </c>
      <c r="E4221" s="0" t="n">
        <f aca="false">-1+A4221*0.25</f>
        <v>0.25</v>
      </c>
      <c r="F4221" s="0" t="n">
        <f aca="false">-1+B4221*0.25</f>
        <v>0.75</v>
      </c>
      <c r="G4221" s="0" t="n">
        <f aca="false">-1+C4221*0.25</f>
        <v>-1</v>
      </c>
      <c r="H4221" s="0" t="n">
        <f aca="false">-1+D4221*0.25</f>
        <v>0</v>
      </c>
      <c r="I4221" s="0" t="n">
        <f aca="false">1</f>
        <v>1</v>
      </c>
      <c r="J4221" s="0" t="n">
        <f aca="false">E4221</f>
        <v>0.25</v>
      </c>
      <c r="K4221" s="0" t="n">
        <f aca="false">F4221</f>
        <v>0.75</v>
      </c>
      <c r="L4221" s="0" t="n">
        <f aca="false">G4221</f>
        <v>-1</v>
      </c>
      <c r="M4221" s="0" t="n">
        <f aca="false">H4221</f>
        <v>0</v>
      </c>
      <c r="N4221" s="0" t="n">
        <f aca="false">E4221*F4221</f>
        <v>0.1875</v>
      </c>
      <c r="O4221" s="0" t="n">
        <f aca="false">E4221*G4221</f>
        <v>-0.25</v>
      </c>
      <c r="P4221" s="0" t="n">
        <f aca="false">E4221*H4221</f>
        <v>0</v>
      </c>
      <c r="Q4221" s="0" t="n">
        <f aca="false">F4221*G4221</f>
        <v>-0.75</v>
      </c>
      <c r="R4221" s="0" t="n">
        <f aca="false">F4221*H4221</f>
        <v>0</v>
      </c>
      <c r="S4221" s="0" t="n">
        <f aca="false">G4221*H4221</f>
        <v>-0</v>
      </c>
      <c r="T4221" s="0" t="n">
        <f aca="false">E4221*E4221</f>
        <v>0.0625</v>
      </c>
      <c r="U4221" s="0" t="n">
        <f aca="false">F4221*F4221</f>
        <v>0.5625</v>
      </c>
      <c r="V4221" s="0" t="n">
        <f aca="false">G4221*G4221</f>
        <v>1</v>
      </c>
      <c r="W4221" s="0" t="n">
        <f aca="false">H4221*H4221</f>
        <v>0</v>
      </c>
      <c r="X4221" s="0" t="n">
        <f aca="false">SUMPRODUCT(I4221:W4221,_XtX!$B$96:$P$96)</f>
        <v>46.8393548976608</v>
      </c>
      <c r="Y4221" s="0" t="n">
        <f aca="false">SUMPRODUCT(MMULT(I4221:W4221,_XtX!$B$78:$P$92),I4221:W4221)</f>
        <v>0.501534802174708</v>
      </c>
      <c r="Z4221" s="0" t="n">
        <f aca="false">04_回帰ANOVA!$K$19*04_回帰ANOVA!$K$14*SQRT(1+Y4221)</f>
        <v>1.59722498091333</v>
      </c>
      <c r="AA4221" s="0" t="n">
        <f aca="false">X4221-Z4221</f>
        <v>45.2421299167474</v>
      </c>
      <c r="AB4221" s="0" t="n">
        <f aca="false">X4221+Z4221</f>
        <v>48.4365798785741</v>
      </c>
      <c r="AC4221" s="54" t="b">
        <f aca="false">AND(E4221&gt;=01_因子設定!$L$5-0.000000001,E4221&lt;=01_因子設定!$M$5+0.000000001,F4221&gt;=01_因子設定!$L$6-0.000000001,F4221&lt;=01_因子設定!$M$6+0.000000001,G4221&gt;=01_因子設定!$L$7-0.000000001,G4221&lt;=01_因子設定!$M$7+0.000000001,H4221&gt;=01_因子設定!$L$8-0.000000001,H4221&lt;=01_因子設定!$M$8+0.000000001,IF(01_因子設定!$B$20="Box-Behnken",E4221^2+F4221^2+G4221^2+H4221^2&lt;=2+0.000000001,TRUE()))</f>
        <v>1</v>
      </c>
      <c r="AD4221" s="55" t="n">
        <f aca="false">IF(AC4221,IF(01_因子設定!$B$13="最大化",AA4221-01_因子設定!$B$14,IF(01_因子設定!$B$13="最小化",01_因子設定!$B$15-AB4221,MIN(AA4221-01_因子設定!$B$14,01_因子設定!$B$15-AB4221))),-1E+030)</f>
        <v>-1.25787008325257</v>
      </c>
      <c r="AE4221" s="55" t="n">
        <f aca="false">IF(AC4221,IF(01_因子設定!$B$13="最大化",X4221,IF(01_因子設定!$B$13="最小化",-X4221,-ABS(X4221-01_因子設定!$B$16))),-1E+030)</f>
        <v>46.8393548976608</v>
      </c>
      <c r="AF4221" s="55" t="n">
        <f aca="false">AD4221+ROW()*0.000000001</f>
        <v>-1.25786586225257</v>
      </c>
      <c r="AG4221" s="55" t="n">
        <f aca="false">AE4221+ROW()*0.000000001</f>
        <v>46.8393591186608</v>
      </c>
    </row>
    <row r="4222" customFormat="false" ht="15" hidden="false" customHeight="false" outlineLevel="0" collapsed="false">
      <c r="A4222" s="0" t="n">
        <v>5</v>
      </c>
      <c r="B4222" s="0" t="n">
        <v>7</v>
      </c>
      <c r="C4222" s="0" t="n">
        <v>0</v>
      </c>
      <c r="D4222" s="0" t="n">
        <v>5</v>
      </c>
      <c r="E4222" s="0" t="n">
        <f aca="false">-1+A4222*0.25</f>
        <v>0.25</v>
      </c>
      <c r="F4222" s="0" t="n">
        <f aca="false">-1+B4222*0.25</f>
        <v>0.75</v>
      </c>
      <c r="G4222" s="0" t="n">
        <f aca="false">-1+C4222*0.25</f>
        <v>-1</v>
      </c>
      <c r="H4222" s="0" t="n">
        <f aca="false">-1+D4222*0.25</f>
        <v>0.25</v>
      </c>
      <c r="I4222" s="0" t="n">
        <f aca="false">1</f>
        <v>1</v>
      </c>
      <c r="J4222" s="0" t="n">
        <f aca="false">E4222</f>
        <v>0.25</v>
      </c>
      <c r="K4222" s="0" t="n">
        <f aca="false">F4222</f>
        <v>0.75</v>
      </c>
      <c r="L4222" s="0" t="n">
        <f aca="false">G4222</f>
        <v>-1</v>
      </c>
      <c r="M4222" s="0" t="n">
        <f aca="false">H4222</f>
        <v>0.25</v>
      </c>
      <c r="N4222" s="0" t="n">
        <f aca="false">E4222*F4222</f>
        <v>0.1875</v>
      </c>
      <c r="O4222" s="0" t="n">
        <f aca="false">E4222*G4222</f>
        <v>-0.25</v>
      </c>
      <c r="P4222" s="0" t="n">
        <f aca="false">E4222*H4222</f>
        <v>0.0625</v>
      </c>
      <c r="Q4222" s="0" t="n">
        <f aca="false">F4222*G4222</f>
        <v>-0.75</v>
      </c>
      <c r="R4222" s="0" t="n">
        <f aca="false">F4222*H4222</f>
        <v>0.1875</v>
      </c>
      <c r="S4222" s="0" t="n">
        <f aca="false">G4222*H4222</f>
        <v>-0.25</v>
      </c>
      <c r="T4222" s="0" t="n">
        <f aca="false">E4222*E4222</f>
        <v>0.0625</v>
      </c>
      <c r="U4222" s="0" t="n">
        <f aca="false">F4222*F4222</f>
        <v>0.5625</v>
      </c>
      <c r="V4222" s="0" t="n">
        <f aca="false">G4222*G4222</f>
        <v>1</v>
      </c>
      <c r="W4222" s="0" t="n">
        <f aca="false">H4222*H4222</f>
        <v>0.0625</v>
      </c>
      <c r="X4222" s="0" t="n">
        <f aca="false">SUMPRODUCT(I4222:W4222,_XtX!$B$96:$P$96)</f>
        <v>46.8129340277777</v>
      </c>
      <c r="Y4222" s="0" t="n">
        <f aca="false">SUMPRODUCT(MMULT(I4222:W4222,_XtX!$B$78:$P$92),I4222:W4222)</f>
        <v>0.486409505208334</v>
      </c>
      <c r="Z4222" s="0" t="n">
        <f aca="false">04_回帰ANOVA!$K$19*04_回帰ANOVA!$K$14*SQRT(1+Y4222)</f>
        <v>1.58916001665498</v>
      </c>
      <c r="AA4222" s="0" t="n">
        <f aca="false">X4222-Z4222</f>
        <v>45.2237740111227</v>
      </c>
      <c r="AB4222" s="0" t="n">
        <f aca="false">X4222+Z4222</f>
        <v>48.4020940444327</v>
      </c>
      <c r="AC4222" s="54" t="b">
        <f aca="false">AND(E4222&gt;=01_因子設定!$L$5-0.000000001,E4222&lt;=01_因子設定!$M$5+0.000000001,F4222&gt;=01_因子設定!$L$6-0.000000001,F4222&lt;=01_因子設定!$M$6+0.000000001,G4222&gt;=01_因子設定!$L$7-0.000000001,G4222&lt;=01_因子設定!$M$7+0.000000001,H4222&gt;=01_因子設定!$L$8-0.000000001,H4222&lt;=01_因子設定!$M$8+0.000000001,IF(01_因子設定!$B$20="Box-Behnken",E4222^2+F4222^2+G4222^2+H4222^2&lt;=2+0.000000001,TRUE()))</f>
        <v>1</v>
      </c>
      <c r="AD4222" s="55" t="n">
        <f aca="false">IF(AC4222,IF(01_因子設定!$B$13="最大化",AA4222-01_因子設定!$B$14,IF(01_因子設定!$B$13="最小化",01_因子設定!$B$15-AB4222,MIN(AA4222-01_因子設定!$B$14,01_因子設定!$B$15-AB4222))),-1E+030)</f>
        <v>-1.27622598887726</v>
      </c>
      <c r="AE4222" s="55" t="n">
        <f aca="false">IF(AC4222,IF(01_因子設定!$B$13="最大化",X4222,IF(01_因子設定!$B$13="最小化",-X4222,-ABS(X4222-01_因子設定!$B$16))),-1E+030)</f>
        <v>46.8129340277777</v>
      </c>
      <c r="AF4222" s="55" t="n">
        <f aca="false">AD4222+ROW()*0.000000001</f>
        <v>-1.27622176687726</v>
      </c>
      <c r="AG4222" s="55" t="n">
        <f aca="false">AE4222+ROW()*0.000000001</f>
        <v>46.8129382497777</v>
      </c>
    </row>
    <row r="4223" customFormat="false" ht="15" hidden="false" customHeight="false" outlineLevel="0" collapsed="false">
      <c r="A4223" s="0" t="n">
        <v>5</v>
      </c>
      <c r="B4223" s="0" t="n">
        <v>7</v>
      </c>
      <c r="C4223" s="0" t="n">
        <v>0</v>
      </c>
      <c r="D4223" s="0" t="n">
        <v>6</v>
      </c>
      <c r="E4223" s="0" t="n">
        <f aca="false">-1+A4223*0.25</f>
        <v>0.25</v>
      </c>
      <c r="F4223" s="0" t="n">
        <f aca="false">-1+B4223*0.25</f>
        <v>0.75</v>
      </c>
      <c r="G4223" s="0" t="n">
        <f aca="false">-1+C4223*0.25</f>
        <v>-1</v>
      </c>
      <c r="H4223" s="0" t="n">
        <f aca="false">-1+D4223*0.25</f>
        <v>0.5</v>
      </c>
      <c r="I4223" s="0" t="n">
        <f aca="false">1</f>
        <v>1</v>
      </c>
      <c r="J4223" s="0" t="n">
        <f aca="false">E4223</f>
        <v>0.25</v>
      </c>
      <c r="K4223" s="0" t="n">
        <f aca="false">F4223</f>
        <v>0.75</v>
      </c>
      <c r="L4223" s="0" t="n">
        <f aca="false">G4223</f>
        <v>-1</v>
      </c>
      <c r="M4223" s="0" t="n">
        <f aca="false">H4223</f>
        <v>0.5</v>
      </c>
      <c r="N4223" s="0" t="n">
        <f aca="false">E4223*F4223</f>
        <v>0.1875</v>
      </c>
      <c r="O4223" s="0" t="n">
        <f aca="false">E4223*G4223</f>
        <v>-0.25</v>
      </c>
      <c r="P4223" s="0" t="n">
        <f aca="false">E4223*H4223</f>
        <v>0.125</v>
      </c>
      <c r="Q4223" s="0" t="n">
        <f aca="false">F4223*G4223</f>
        <v>-0.75</v>
      </c>
      <c r="R4223" s="0" t="n">
        <f aca="false">F4223*H4223</f>
        <v>0.375</v>
      </c>
      <c r="S4223" s="0" t="n">
        <f aca="false">G4223*H4223</f>
        <v>-0.5</v>
      </c>
      <c r="T4223" s="0" t="n">
        <f aca="false">E4223*E4223</f>
        <v>0.0625</v>
      </c>
      <c r="U4223" s="0" t="n">
        <f aca="false">F4223*F4223</f>
        <v>0.5625</v>
      </c>
      <c r="V4223" s="0" t="n">
        <f aca="false">G4223*G4223</f>
        <v>1</v>
      </c>
      <c r="W4223" s="0" t="n">
        <f aca="false">H4223*H4223</f>
        <v>0.25</v>
      </c>
      <c r="X4223" s="0" t="n">
        <f aca="false">SUMPRODUCT(I4223:W4223,_XtX!$B$96:$P$96)</f>
        <v>46.7387061403508</v>
      </c>
      <c r="Y4223" s="0" t="n">
        <f aca="false">SUMPRODUCT(MMULT(I4223:W4223,_XtX!$B$78:$P$92),I4223:W4223)</f>
        <v>0.459125719572369</v>
      </c>
      <c r="Z4223" s="0" t="n">
        <f aca="false">04_回帰ANOVA!$K$19*04_回帰ANOVA!$K$14*SQRT(1+Y4223)</f>
        <v>1.57450755575573</v>
      </c>
      <c r="AA4223" s="0" t="n">
        <f aca="false">X4223-Z4223</f>
        <v>45.1641985845951</v>
      </c>
      <c r="AB4223" s="0" t="n">
        <f aca="false">X4223+Z4223</f>
        <v>48.3132136961066</v>
      </c>
      <c r="AC4223" s="54" t="b">
        <f aca="false">AND(E4223&gt;=01_因子設定!$L$5-0.000000001,E4223&lt;=01_因子設定!$M$5+0.000000001,F4223&gt;=01_因子設定!$L$6-0.000000001,F4223&lt;=01_因子設定!$M$6+0.000000001,G4223&gt;=01_因子設定!$L$7-0.000000001,G4223&lt;=01_因子設定!$M$7+0.000000001,H4223&gt;=01_因子設定!$L$8-0.000000001,H4223&lt;=01_因子設定!$M$8+0.000000001,IF(01_因子設定!$B$20="Box-Behnken",E4223^2+F4223^2+G4223^2+H4223^2&lt;=2+0.000000001,TRUE()))</f>
        <v>1</v>
      </c>
      <c r="AD4223" s="55" t="n">
        <f aca="false">IF(AC4223,IF(01_因子設定!$B$13="最大化",AA4223-01_因子設定!$B$14,IF(01_因子設定!$B$13="最小化",01_因子設定!$B$15-AB4223,MIN(AA4223-01_因子設定!$B$14,01_因子設定!$B$15-AB4223))),-1E+030)</f>
        <v>-1.3358014154049</v>
      </c>
      <c r="AE4223" s="55" t="n">
        <f aca="false">IF(AC4223,IF(01_因子設定!$B$13="最大化",X4223,IF(01_因子設定!$B$13="最小化",-X4223,-ABS(X4223-01_因子設定!$B$16))),-1E+030)</f>
        <v>46.7387061403508</v>
      </c>
      <c r="AF4223" s="55" t="n">
        <f aca="false">AD4223+ROW()*0.000000001</f>
        <v>-1.3357971924049</v>
      </c>
      <c r="AG4223" s="55" t="n">
        <f aca="false">AE4223+ROW()*0.000000001</f>
        <v>46.7387103633508</v>
      </c>
    </row>
    <row r="4224" customFormat="false" ht="15" hidden="false" customHeight="false" outlineLevel="0" collapsed="false">
      <c r="A4224" s="0" t="n">
        <v>5</v>
      </c>
      <c r="B4224" s="0" t="n">
        <v>7</v>
      </c>
      <c r="C4224" s="0" t="n">
        <v>0</v>
      </c>
      <c r="D4224" s="0" t="n">
        <v>7</v>
      </c>
      <c r="E4224" s="0" t="n">
        <f aca="false">-1+A4224*0.25</f>
        <v>0.25</v>
      </c>
      <c r="F4224" s="0" t="n">
        <f aca="false">-1+B4224*0.25</f>
        <v>0.75</v>
      </c>
      <c r="G4224" s="0" t="n">
        <f aca="false">-1+C4224*0.25</f>
        <v>-1</v>
      </c>
      <c r="H4224" s="0" t="n">
        <f aca="false">-1+D4224*0.25</f>
        <v>0.75</v>
      </c>
      <c r="I4224" s="0" t="n">
        <f aca="false">1</f>
        <v>1</v>
      </c>
      <c r="J4224" s="0" t="n">
        <f aca="false">E4224</f>
        <v>0.25</v>
      </c>
      <c r="K4224" s="0" t="n">
        <f aca="false">F4224</f>
        <v>0.75</v>
      </c>
      <c r="L4224" s="0" t="n">
        <f aca="false">G4224</f>
        <v>-1</v>
      </c>
      <c r="M4224" s="0" t="n">
        <f aca="false">H4224</f>
        <v>0.75</v>
      </c>
      <c r="N4224" s="0" t="n">
        <f aca="false">E4224*F4224</f>
        <v>0.1875</v>
      </c>
      <c r="O4224" s="0" t="n">
        <f aca="false">E4224*G4224</f>
        <v>-0.25</v>
      </c>
      <c r="P4224" s="0" t="n">
        <f aca="false">E4224*H4224</f>
        <v>0.1875</v>
      </c>
      <c r="Q4224" s="0" t="n">
        <f aca="false">F4224*G4224</f>
        <v>-0.75</v>
      </c>
      <c r="R4224" s="0" t="n">
        <f aca="false">F4224*H4224</f>
        <v>0.5625</v>
      </c>
      <c r="S4224" s="0" t="n">
        <f aca="false">G4224*H4224</f>
        <v>-0.75</v>
      </c>
      <c r="T4224" s="0" t="n">
        <f aca="false">E4224*E4224</f>
        <v>0.0625</v>
      </c>
      <c r="U4224" s="0" t="n">
        <f aca="false">F4224*F4224</f>
        <v>0.5625</v>
      </c>
      <c r="V4224" s="0" t="n">
        <f aca="false">G4224*G4224</f>
        <v>1</v>
      </c>
      <c r="W4224" s="0" t="n">
        <f aca="false">H4224*H4224</f>
        <v>0.5625</v>
      </c>
      <c r="X4224" s="0" t="n">
        <f aca="false">SUMPRODUCT(I4224:W4224,_XtX!$B$96:$P$96)</f>
        <v>46.6166712353801</v>
      </c>
      <c r="Y4224" s="0" t="n">
        <f aca="false">SUMPRODUCT(MMULT(I4224:W4224,_XtX!$B$78:$P$92),I4224:W4224)</f>
        <v>0.473959761056287</v>
      </c>
      <c r="Z4224" s="0" t="n">
        <f aca="false">04_回帰ANOVA!$K$19*04_回帰ANOVA!$K$14*SQRT(1+Y4224)</f>
        <v>1.58249084588329</v>
      </c>
      <c r="AA4224" s="0" t="n">
        <f aca="false">X4224-Z4224</f>
        <v>45.0341803894968</v>
      </c>
      <c r="AB4224" s="0" t="n">
        <f aca="false">X4224+Z4224</f>
        <v>48.1991620812634</v>
      </c>
      <c r="AC4224" s="54" t="b">
        <f aca="false">AND(E4224&gt;=01_因子設定!$L$5-0.000000001,E4224&lt;=01_因子設定!$M$5+0.000000001,F4224&gt;=01_因子設定!$L$6-0.000000001,F4224&lt;=01_因子設定!$M$6+0.000000001,G4224&gt;=01_因子設定!$L$7-0.000000001,G4224&lt;=01_因子設定!$M$7+0.000000001,H4224&gt;=01_因子設定!$L$8-0.000000001,H4224&lt;=01_因子設定!$M$8+0.000000001,IF(01_因子設定!$B$20="Box-Behnken",E4224^2+F4224^2+G4224^2+H4224^2&lt;=2+0.000000001,TRUE()))</f>
        <v>1</v>
      </c>
      <c r="AD4224" s="55" t="n">
        <f aca="false">IF(AC4224,IF(01_因子設定!$B$13="最大化",AA4224-01_因子設定!$B$14,IF(01_因子設定!$B$13="最小化",01_因子設定!$B$15-AB4224,MIN(AA4224-01_因子設定!$B$14,01_因子設定!$B$15-AB4224))),-1E+030)</f>
        <v>-1.4658196105032</v>
      </c>
      <c r="AE4224" s="55" t="n">
        <f aca="false">IF(AC4224,IF(01_因子設定!$B$13="最大化",X4224,IF(01_因子設定!$B$13="最小化",-X4224,-ABS(X4224-01_因子設定!$B$16))),-1E+030)</f>
        <v>46.6166712353801</v>
      </c>
      <c r="AF4224" s="55" t="n">
        <f aca="false">AD4224+ROW()*0.000000001</f>
        <v>-1.4658153865032</v>
      </c>
      <c r="AG4224" s="55" t="n">
        <f aca="false">AE4224+ROW()*0.000000001</f>
        <v>46.6166754593801</v>
      </c>
    </row>
    <row r="4225" customFormat="false" ht="15" hidden="false" customHeight="false" outlineLevel="0" collapsed="false">
      <c r="A4225" s="0" t="n">
        <v>5</v>
      </c>
      <c r="B4225" s="0" t="n">
        <v>7</v>
      </c>
      <c r="C4225" s="0" t="n">
        <v>0</v>
      </c>
      <c r="D4225" s="0" t="n">
        <v>8</v>
      </c>
      <c r="E4225" s="0" t="n">
        <f aca="false">-1+A4225*0.25</f>
        <v>0.25</v>
      </c>
      <c r="F4225" s="0" t="n">
        <f aca="false">-1+B4225*0.25</f>
        <v>0.75</v>
      </c>
      <c r="G4225" s="0" t="n">
        <f aca="false">-1+C4225*0.25</f>
        <v>-1</v>
      </c>
      <c r="H4225" s="0" t="n">
        <f aca="false">-1+D4225*0.25</f>
        <v>1</v>
      </c>
      <c r="I4225" s="0" t="n">
        <f aca="false">1</f>
        <v>1</v>
      </c>
      <c r="J4225" s="0" t="n">
        <f aca="false">E4225</f>
        <v>0.25</v>
      </c>
      <c r="K4225" s="0" t="n">
        <f aca="false">F4225</f>
        <v>0.75</v>
      </c>
      <c r="L4225" s="0" t="n">
        <f aca="false">G4225</f>
        <v>-1</v>
      </c>
      <c r="M4225" s="0" t="n">
        <f aca="false">H4225</f>
        <v>1</v>
      </c>
      <c r="N4225" s="0" t="n">
        <f aca="false">E4225*F4225</f>
        <v>0.1875</v>
      </c>
      <c r="O4225" s="0" t="n">
        <f aca="false">E4225*G4225</f>
        <v>-0.25</v>
      </c>
      <c r="P4225" s="0" t="n">
        <f aca="false">E4225*H4225</f>
        <v>0.25</v>
      </c>
      <c r="Q4225" s="0" t="n">
        <f aca="false">F4225*G4225</f>
        <v>-0.75</v>
      </c>
      <c r="R4225" s="0" t="n">
        <f aca="false">F4225*H4225</f>
        <v>0.75</v>
      </c>
      <c r="S4225" s="0" t="n">
        <f aca="false">G4225*H4225</f>
        <v>-1</v>
      </c>
      <c r="T4225" s="0" t="n">
        <f aca="false">E4225*E4225</f>
        <v>0.0625</v>
      </c>
      <c r="U4225" s="0" t="n">
        <f aca="false">F4225*F4225</f>
        <v>0.5625</v>
      </c>
      <c r="V4225" s="0" t="n">
        <f aca="false">G4225*G4225</f>
        <v>1</v>
      </c>
      <c r="W4225" s="0" t="n">
        <f aca="false">H4225*H4225</f>
        <v>1</v>
      </c>
      <c r="X4225" s="0" t="n">
        <f aca="false">SUMPRODUCT(I4225:W4225,_XtX!$B$96:$P$96)</f>
        <v>46.4468293128655</v>
      </c>
      <c r="Y4225" s="0" t="n">
        <f aca="false">SUMPRODUCT(MMULT(I4225:W4225,_XtX!$B$78:$P$92),I4225:W4225)</f>
        <v>0.621372155975877</v>
      </c>
      <c r="Z4225" s="0" t="n">
        <f aca="false">04_回帰ANOVA!$K$19*04_回帰ANOVA!$K$14*SQRT(1+Y4225)</f>
        <v>1.65973880499872</v>
      </c>
      <c r="AA4225" s="0" t="n">
        <f aca="false">X4225-Z4225</f>
        <v>44.7870905078668</v>
      </c>
      <c r="AB4225" s="0" t="n">
        <f aca="false">X4225+Z4225</f>
        <v>48.1065681178642</v>
      </c>
      <c r="AC4225" s="54" t="b">
        <f aca="false">AND(E4225&gt;=01_因子設定!$L$5-0.000000001,E4225&lt;=01_因子設定!$M$5+0.000000001,F4225&gt;=01_因子設定!$L$6-0.000000001,F4225&lt;=01_因子設定!$M$6+0.000000001,G4225&gt;=01_因子設定!$L$7-0.000000001,G4225&lt;=01_因子設定!$M$7+0.000000001,H4225&gt;=01_因子設定!$L$8-0.000000001,H4225&lt;=01_因子設定!$M$8+0.000000001,IF(01_因子設定!$B$20="Box-Behnken",E4225^2+F4225^2+G4225^2+H4225^2&lt;=2+0.000000001,TRUE()))</f>
        <v>1</v>
      </c>
      <c r="AD4225" s="55" t="n">
        <f aca="false">IF(AC4225,IF(01_因子設定!$B$13="最大化",AA4225-01_因子設定!$B$14,IF(01_因子設定!$B$13="最小化",01_因子設定!$B$15-AB4225,MIN(AA4225-01_因子設定!$B$14,01_因子設定!$B$15-AB4225))),-1E+030)</f>
        <v>-1.71290949213324</v>
      </c>
      <c r="AE4225" s="55" t="n">
        <f aca="false">IF(AC4225,IF(01_因子設定!$B$13="最大化",X4225,IF(01_因子設定!$B$13="最小化",-X4225,-ABS(X4225-01_因子設定!$B$16))),-1E+030)</f>
        <v>46.4468293128655</v>
      </c>
      <c r="AF4225" s="55" t="n">
        <f aca="false">AD4225+ROW()*0.000000001</f>
        <v>-1.71290526713324</v>
      </c>
      <c r="AG4225" s="55" t="n">
        <f aca="false">AE4225+ROW()*0.000000001</f>
        <v>46.4468335378655</v>
      </c>
    </row>
    <row r="4226" customFormat="false" ht="15" hidden="false" customHeight="false" outlineLevel="0" collapsed="false">
      <c r="A4226" s="0" t="n">
        <v>5</v>
      </c>
      <c r="B4226" s="0" t="n">
        <v>7</v>
      </c>
      <c r="C4226" s="0" t="n">
        <v>1</v>
      </c>
      <c r="D4226" s="0" t="n">
        <v>0</v>
      </c>
      <c r="E4226" s="0" t="n">
        <f aca="false">-1+A4226*0.25</f>
        <v>0.25</v>
      </c>
      <c r="F4226" s="0" t="n">
        <f aca="false">-1+B4226*0.25</f>
        <v>0.75</v>
      </c>
      <c r="G4226" s="0" t="n">
        <f aca="false">-1+C4226*0.25</f>
        <v>-0.75</v>
      </c>
      <c r="H4226" s="0" t="n">
        <f aca="false">-1+D4226*0.25</f>
        <v>-1</v>
      </c>
      <c r="I4226" s="0" t="n">
        <f aca="false">1</f>
        <v>1</v>
      </c>
      <c r="J4226" s="0" t="n">
        <f aca="false">E4226</f>
        <v>0.25</v>
      </c>
      <c r="K4226" s="0" t="n">
        <f aca="false">F4226</f>
        <v>0.75</v>
      </c>
      <c r="L4226" s="0" t="n">
        <f aca="false">G4226</f>
        <v>-0.75</v>
      </c>
      <c r="M4226" s="0" t="n">
        <f aca="false">H4226</f>
        <v>-1</v>
      </c>
      <c r="N4226" s="0" t="n">
        <f aca="false">E4226*F4226</f>
        <v>0.1875</v>
      </c>
      <c r="O4226" s="0" t="n">
        <f aca="false">E4226*G4226</f>
        <v>-0.1875</v>
      </c>
      <c r="P4226" s="0" t="n">
        <f aca="false">E4226*H4226</f>
        <v>-0.25</v>
      </c>
      <c r="Q4226" s="0" t="n">
        <f aca="false">F4226*G4226</f>
        <v>-0.5625</v>
      </c>
      <c r="R4226" s="0" t="n">
        <f aca="false">F4226*H4226</f>
        <v>-0.75</v>
      </c>
      <c r="S4226" s="0" t="n">
        <f aca="false">G4226*H4226</f>
        <v>0.75</v>
      </c>
      <c r="T4226" s="0" t="n">
        <f aca="false">E4226*E4226</f>
        <v>0.0625</v>
      </c>
      <c r="U4226" s="0" t="n">
        <f aca="false">F4226*F4226</f>
        <v>0.5625</v>
      </c>
      <c r="V4226" s="0" t="n">
        <f aca="false">G4226*G4226</f>
        <v>0.5625</v>
      </c>
      <c r="W4226" s="0" t="n">
        <f aca="false">H4226*H4226</f>
        <v>1</v>
      </c>
      <c r="X4226" s="0" t="n">
        <f aca="false">SUMPRODUCT(I4226:W4226,_XtX!$B$96:$P$96)</f>
        <v>46.9574698464912</v>
      </c>
      <c r="Y4226" s="0" t="n">
        <f aca="false">SUMPRODUCT(MMULT(I4226:W4226,_XtX!$B$78:$P$92),I4226:W4226)</f>
        <v>0.473959761056287</v>
      </c>
      <c r="Z4226" s="0" t="n">
        <f aca="false">04_回帰ANOVA!$K$19*04_回帰ANOVA!$K$14*SQRT(1+Y4226)</f>
        <v>1.58249084588329</v>
      </c>
      <c r="AA4226" s="0" t="n">
        <f aca="false">X4226-Z4226</f>
        <v>45.3749790006079</v>
      </c>
      <c r="AB4226" s="0" t="n">
        <f aca="false">X4226+Z4226</f>
        <v>48.5399606923745</v>
      </c>
      <c r="AC4226" s="54" t="b">
        <f aca="false">AND(E4226&gt;=01_因子設定!$L$5-0.000000001,E4226&lt;=01_因子設定!$M$5+0.000000001,F4226&gt;=01_因子設定!$L$6-0.000000001,F4226&lt;=01_因子設定!$M$6+0.000000001,G4226&gt;=01_因子設定!$L$7-0.000000001,G4226&lt;=01_因子設定!$M$7+0.000000001,H4226&gt;=01_因子設定!$L$8-0.000000001,H4226&lt;=01_因子設定!$M$8+0.000000001,IF(01_因子設定!$B$20="Box-Behnken",E4226^2+F4226^2+G4226^2+H4226^2&lt;=2+0.000000001,TRUE()))</f>
        <v>1</v>
      </c>
      <c r="AD4226" s="55" t="n">
        <f aca="false">IF(AC4226,IF(01_因子設定!$B$13="最大化",AA4226-01_因子設定!$B$14,IF(01_因子設定!$B$13="最小化",01_因子設定!$B$15-AB4226,MIN(AA4226-01_因子設定!$B$14,01_因子設定!$B$15-AB4226))),-1E+030)</f>
        <v>-1.12502099939208</v>
      </c>
      <c r="AE4226" s="55" t="n">
        <f aca="false">IF(AC4226,IF(01_因子設定!$B$13="最大化",X4226,IF(01_因子設定!$B$13="最小化",-X4226,-ABS(X4226-01_因子設定!$B$16))),-1E+030)</f>
        <v>46.9574698464912</v>
      </c>
      <c r="AF4226" s="55" t="n">
        <f aca="false">AD4226+ROW()*0.000000001</f>
        <v>-1.12501677339208</v>
      </c>
      <c r="AG4226" s="55" t="n">
        <f aca="false">AE4226+ROW()*0.000000001</f>
        <v>46.9574740724912</v>
      </c>
    </row>
    <row r="4227" customFormat="false" ht="15" hidden="false" customHeight="false" outlineLevel="0" collapsed="false">
      <c r="A4227" s="0" t="n">
        <v>5</v>
      </c>
      <c r="B4227" s="0" t="n">
        <v>7</v>
      </c>
      <c r="C4227" s="0" t="n">
        <v>1</v>
      </c>
      <c r="D4227" s="0" t="n">
        <v>1</v>
      </c>
      <c r="E4227" s="0" t="n">
        <f aca="false">-1+A4227*0.25</f>
        <v>0.25</v>
      </c>
      <c r="F4227" s="0" t="n">
        <f aca="false">-1+B4227*0.25</f>
        <v>0.75</v>
      </c>
      <c r="G4227" s="0" t="n">
        <f aca="false">-1+C4227*0.25</f>
        <v>-0.75</v>
      </c>
      <c r="H4227" s="0" t="n">
        <f aca="false">-1+D4227*0.25</f>
        <v>-0.75</v>
      </c>
      <c r="I4227" s="0" t="n">
        <f aca="false">1</f>
        <v>1</v>
      </c>
      <c r="J4227" s="0" t="n">
        <f aca="false">E4227</f>
        <v>0.25</v>
      </c>
      <c r="K4227" s="0" t="n">
        <f aca="false">F4227</f>
        <v>0.75</v>
      </c>
      <c r="L4227" s="0" t="n">
        <f aca="false">G4227</f>
        <v>-0.75</v>
      </c>
      <c r="M4227" s="0" t="n">
        <f aca="false">H4227</f>
        <v>-0.75</v>
      </c>
      <c r="N4227" s="0" t="n">
        <f aca="false">E4227*F4227</f>
        <v>0.1875</v>
      </c>
      <c r="O4227" s="0" t="n">
        <f aca="false">E4227*G4227</f>
        <v>-0.1875</v>
      </c>
      <c r="P4227" s="0" t="n">
        <f aca="false">E4227*H4227</f>
        <v>-0.1875</v>
      </c>
      <c r="Q4227" s="0" t="n">
        <f aca="false">F4227*G4227</f>
        <v>-0.5625</v>
      </c>
      <c r="R4227" s="0" t="n">
        <f aca="false">F4227*H4227</f>
        <v>-0.5625</v>
      </c>
      <c r="S4227" s="0" t="n">
        <f aca="false">G4227*H4227</f>
        <v>0.5625</v>
      </c>
      <c r="T4227" s="0" t="n">
        <f aca="false">E4227*E4227</f>
        <v>0.0625</v>
      </c>
      <c r="U4227" s="0" t="n">
        <f aca="false">F4227*F4227</f>
        <v>0.5625</v>
      </c>
      <c r="V4227" s="0" t="n">
        <f aca="false">G4227*G4227</f>
        <v>0.5625</v>
      </c>
      <c r="W4227" s="0" t="n">
        <f aca="false">H4227*H4227</f>
        <v>0.5625</v>
      </c>
      <c r="X4227" s="0" t="n">
        <f aca="false">SUMPRODUCT(I4227:W4227,_XtX!$B$96:$P$96)</f>
        <v>47.1402457967836</v>
      </c>
      <c r="Y4227" s="0" t="n">
        <f aca="false">SUMPRODUCT(MMULT(I4227:W4227,_XtX!$B$78:$P$92),I4227:W4227)</f>
        <v>0.294856199744152</v>
      </c>
      <c r="Z4227" s="0" t="n">
        <f aca="false">04_回帰ANOVA!$K$19*04_回帰ANOVA!$K$14*SQRT(1+Y4227)</f>
        <v>1.48323226089013</v>
      </c>
      <c r="AA4227" s="0" t="n">
        <f aca="false">X4227-Z4227</f>
        <v>45.6570135358935</v>
      </c>
      <c r="AB4227" s="0" t="n">
        <f aca="false">X4227+Z4227</f>
        <v>48.6234780576737</v>
      </c>
      <c r="AC4227" s="54" t="b">
        <f aca="false">AND(E4227&gt;=01_因子設定!$L$5-0.000000001,E4227&lt;=01_因子設定!$M$5+0.000000001,F4227&gt;=01_因子設定!$L$6-0.000000001,F4227&lt;=01_因子設定!$M$6+0.000000001,G4227&gt;=01_因子設定!$L$7-0.000000001,G4227&lt;=01_因子設定!$M$7+0.000000001,H4227&gt;=01_因子設定!$L$8-0.000000001,H4227&lt;=01_因子設定!$M$8+0.000000001,IF(01_因子設定!$B$20="Box-Behnken",E4227^2+F4227^2+G4227^2+H4227^2&lt;=2+0.000000001,TRUE()))</f>
        <v>1</v>
      </c>
      <c r="AD4227" s="55" t="n">
        <f aca="false">IF(AC4227,IF(01_因子設定!$B$13="最大化",AA4227-01_因子設定!$B$14,IF(01_因子設定!$B$13="最小化",01_因子設定!$B$15-AB4227,MIN(AA4227-01_因子設定!$B$14,01_因子設定!$B$15-AB4227))),-1E+030)</f>
        <v>-0.842986464106545</v>
      </c>
      <c r="AE4227" s="55" t="n">
        <f aca="false">IF(AC4227,IF(01_因子設定!$B$13="最大化",X4227,IF(01_因子設定!$B$13="最小化",-X4227,-ABS(X4227-01_因子設定!$B$16))),-1E+030)</f>
        <v>47.1402457967836</v>
      </c>
      <c r="AF4227" s="55" t="n">
        <f aca="false">AD4227+ROW()*0.000000001</f>
        <v>-0.842982237106545</v>
      </c>
      <c r="AG4227" s="55" t="n">
        <f aca="false">AE4227+ROW()*0.000000001</f>
        <v>47.1402500237836</v>
      </c>
    </row>
    <row r="4228" customFormat="false" ht="15" hidden="false" customHeight="false" outlineLevel="0" collapsed="false">
      <c r="A4228" s="0" t="n">
        <v>5</v>
      </c>
      <c r="B4228" s="0" t="n">
        <v>7</v>
      </c>
      <c r="C4228" s="0" t="n">
        <v>1</v>
      </c>
      <c r="D4228" s="0" t="n">
        <v>2</v>
      </c>
      <c r="E4228" s="0" t="n">
        <f aca="false">-1+A4228*0.25</f>
        <v>0.25</v>
      </c>
      <c r="F4228" s="0" t="n">
        <f aca="false">-1+B4228*0.25</f>
        <v>0.75</v>
      </c>
      <c r="G4228" s="0" t="n">
        <f aca="false">-1+C4228*0.25</f>
        <v>-0.75</v>
      </c>
      <c r="H4228" s="0" t="n">
        <f aca="false">-1+D4228*0.25</f>
        <v>-0.5</v>
      </c>
      <c r="I4228" s="0" t="n">
        <f aca="false">1</f>
        <v>1</v>
      </c>
      <c r="J4228" s="0" t="n">
        <f aca="false">E4228</f>
        <v>0.25</v>
      </c>
      <c r="K4228" s="0" t="n">
        <f aca="false">F4228</f>
        <v>0.75</v>
      </c>
      <c r="L4228" s="0" t="n">
        <f aca="false">G4228</f>
        <v>-0.75</v>
      </c>
      <c r="M4228" s="0" t="n">
        <f aca="false">H4228</f>
        <v>-0.5</v>
      </c>
      <c r="N4228" s="0" t="n">
        <f aca="false">E4228*F4228</f>
        <v>0.1875</v>
      </c>
      <c r="O4228" s="0" t="n">
        <f aca="false">E4228*G4228</f>
        <v>-0.1875</v>
      </c>
      <c r="P4228" s="0" t="n">
        <f aca="false">E4228*H4228</f>
        <v>-0.125</v>
      </c>
      <c r="Q4228" s="0" t="n">
        <f aca="false">F4228*G4228</f>
        <v>-0.5625</v>
      </c>
      <c r="R4228" s="0" t="n">
        <f aca="false">F4228*H4228</f>
        <v>-0.375</v>
      </c>
      <c r="S4228" s="0" t="n">
        <f aca="false">G4228*H4228</f>
        <v>0.375</v>
      </c>
      <c r="T4228" s="0" t="n">
        <f aca="false">E4228*E4228</f>
        <v>0.0625</v>
      </c>
      <c r="U4228" s="0" t="n">
        <f aca="false">F4228*F4228</f>
        <v>0.5625</v>
      </c>
      <c r="V4228" s="0" t="n">
        <f aca="false">G4228*G4228</f>
        <v>0.5625</v>
      </c>
      <c r="W4228" s="0" t="n">
        <f aca="false">H4228*H4228</f>
        <v>0.25</v>
      </c>
      <c r="X4228" s="0" t="n">
        <f aca="false">SUMPRODUCT(I4228:W4228,_XtX!$B$96:$P$96)</f>
        <v>47.2752147295321</v>
      </c>
      <c r="Y4228" s="0" t="n">
        <f aca="false">SUMPRODUCT(MMULT(I4228:W4228,_XtX!$B$78:$P$92),I4228:W4228)</f>
        <v>0.257385610836988</v>
      </c>
      <c r="Z4228" s="0" t="n">
        <f aca="false">04_回帰ANOVA!$K$19*04_回帰ANOVA!$K$14*SQRT(1+Y4228)</f>
        <v>1.46161380324158</v>
      </c>
      <c r="AA4228" s="0" t="n">
        <f aca="false">X4228-Z4228</f>
        <v>45.8136009262905</v>
      </c>
      <c r="AB4228" s="0" t="n">
        <f aca="false">X4228+Z4228</f>
        <v>48.7368285327737</v>
      </c>
      <c r="AC4228" s="54" t="b">
        <f aca="false">AND(E4228&gt;=01_因子設定!$L$5-0.000000001,E4228&lt;=01_因子設定!$M$5+0.000000001,F4228&gt;=01_因子設定!$L$6-0.000000001,F4228&lt;=01_因子設定!$M$6+0.000000001,G4228&gt;=01_因子設定!$L$7-0.000000001,G4228&lt;=01_因子設定!$M$7+0.000000001,H4228&gt;=01_因子設定!$L$8-0.000000001,H4228&lt;=01_因子設定!$M$8+0.000000001,IF(01_因子設定!$B$20="Box-Behnken",E4228^2+F4228^2+G4228^2+H4228^2&lt;=2+0.000000001,TRUE()))</f>
        <v>1</v>
      </c>
      <c r="AD4228" s="55" t="n">
        <f aca="false">IF(AC4228,IF(01_因子設定!$B$13="最大化",AA4228-01_因子設定!$B$14,IF(01_因子設定!$B$13="最小化",01_因子設定!$B$15-AB4228,MIN(AA4228-01_因子設定!$B$14,01_因子設定!$B$15-AB4228))),-1E+030)</f>
        <v>-0.686399073709467</v>
      </c>
      <c r="AE4228" s="55" t="n">
        <f aca="false">IF(AC4228,IF(01_因子設定!$B$13="最大化",X4228,IF(01_因子設定!$B$13="最小化",-X4228,-ABS(X4228-01_因子設定!$B$16))),-1E+030)</f>
        <v>47.2752147295321</v>
      </c>
      <c r="AF4228" s="55" t="n">
        <f aca="false">AD4228+ROW()*0.000000001</f>
        <v>-0.686394845709467</v>
      </c>
      <c r="AG4228" s="55" t="n">
        <f aca="false">AE4228+ROW()*0.000000001</f>
        <v>47.2752189575321</v>
      </c>
    </row>
    <row r="4229" customFormat="false" ht="15" hidden="false" customHeight="false" outlineLevel="0" collapsed="false">
      <c r="A4229" s="0" t="n">
        <v>5</v>
      </c>
      <c r="B4229" s="0" t="n">
        <v>7</v>
      </c>
      <c r="C4229" s="0" t="n">
        <v>1</v>
      </c>
      <c r="D4229" s="0" t="n">
        <v>3</v>
      </c>
      <c r="E4229" s="0" t="n">
        <f aca="false">-1+A4229*0.25</f>
        <v>0.25</v>
      </c>
      <c r="F4229" s="0" t="n">
        <f aca="false">-1+B4229*0.25</f>
        <v>0.75</v>
      </c>
      <c r="G4229" s="0" t="n">
        <f aca="false">-1+C4229*0.25</f>
        <v>-0.75</v>
      </c>
      <c r="H4229" s="0" t="n">
        <f aca="false">-1+D4229*0.25</f>
        <v>-0.25</v>
      </c>
      <c r="I4229" s="0" t="n">
        <f aca="false">1</f>
        <v>1</v>
      </c>
      <c r="J4229" s="0" t="n">
        <f aca="false">E4229</f>
        <v>0.25</v>
      </c>
      <c r="K4229" s="0" t="n">
        <f aca="false">F4229</f>
        <v>0.75</v>
      </c>
      <c r="L4229" s="0" t="n">
        <f aca="false">G4229</f>
        <v>-0.75</v>
      </c>
      <c r="M4229" s="0" t="n">
        <f aca="false">H4229</f>
        <v>-0.25</v>
      </c>
      <c r="N4229" s="0" t="n">
        <f aca="false">E4229*F4229</f>
        <v>0.1875</v>
      </c>
      <c r="O4229" s="0" t="n">
        <f aca="false">E4229*G4229</f>
        <v>-0.1875</v>
      </c>
      <c r="P4229" s="0" t="n">
        <f aca="false">E4229*H4229</f>
        <v>-0.0625</v>
      </c>
      <c r="Q4229" s="0" t="n">
        <f aca="false">F4229*G4229</f>
        <v>-0.5625</v>
      </c>
      <c r="R4229" s="0" t="n">
        <f aca="false">F4229*H4229</f>
        <v>-0.1875</v>
      </c>
      <c r="S4229" s="0" t="n">
        <f aca="false">G4229*H4229</f>
        <v>0.1875</v>
      </c>
      <c r="T4229" s="0" t="n">
        <f aca="false">E4229*E4229</f>
        <v>0.0625</v>
      </c>
      <c r="U4229" s="0" t="n">
        <f aca="false">F4229*F4229</f>
        <v>0.5625</v>
      </c>
      <c r="V4229" s="0" t="n">
        <f aca="false">G4229*G4229</f>
        <v>0.5625</v>
      </c>
      <c r="W4229" s="0" t="n">
        <f aca="false">H4229*H4229</f>
        <v>0.0625</v>
      </c>
      <c r="X4229" s="0" t="n">
        <f aca="false">SUMPRODUCT(I4229:W4229,_XtX!$B$96:$P$96)</f>
        <v>47.3623766447368</v>
      </c>
      <c r="Y4229" s="0" t="n">
        <f aca="false">SUMPRODUCT(MMULT(I4229:W4229,_XtX!$B$78:$P$92),I4229:W4229)</f>
        <v>0.271087468019006</v>
      </c>
      <c r="Z4229" s="0" t="n">
        <f aca="false">04_回帰ANOVA!$K$19*04_回帰ANOVA!$K$14*SQRT(1+Y4229)</f>
        <v>1.46955590155034</v>
      </c>
      <c r="AA4229" s="0" t="n">
        <f aca="false">X4229-Z4229</f>
        <v>45.8928207431864</v>
      </c>
      <c r="AB4229" s="0" t="n">
        <f aca="false">X4229+Z4229</f>
        <v>48.8319325462871</v>
      </c>
      <c r="AC4229" s="54" t="b">
        <f aca="false">AND(E4229&gt;=01_因子設定!$L$5-0.000000001,E4229&lt;=01_因子設定!$M$5+0.000000001,F4229&gt;=01_因子設定!$L$6-0.000000001,F4229&lt;=01_因子設定!$M$6+0.000000001,G4229&gt;=01_因子設定!$L$7-0.000000001,G4229&lt;=01_因子設定!$M$7+0.000000001,H4229&gt;=01_因子設定!$L$8-0.000000001,H4229&lt;=01_因子設定!$M$8+0.000000001,IF(01_因子設定!$B$20="Box-Behnken",E4229^2+F4229^2+G4229^2+H4229^2&lt;=2+0.000000001,TRUE()))</f>
        <v>1</v>
      </c>
      <c r="AD4229" s="55" t="n">
        <f aca="false">IF(AC4229,IF(01_因子設定!$B$13="最大化",AA4229-01_因子設定!$B$14,IF(01_因子設定!$B$13="最小化",01_因子設定!$B$15-AB4229,MIN(AA4229-01_因子設定!$B$14,01_因子設定!$B$15-AB4229))),-1E+030)</f>
        <v>-0.607179256813559</v>
      </c>
      <c r="AE4229" s="55" t="n">
        <f aca="false">IF(AC4229,IF(01_因子設定!$B$13="最大化",X4229,IF(01_因子設定!$B$13="最小化",-X4229,-ABS(X4229-01_因子設定!$B$16))),-1E+030)</f>
        <v>47.3623766447368</v>
      </c>
      <c r="AF4229" s="55" t="n">
        <f aca="false">AD4229+ROW()*0.000000001</f>
        <v>-0.607175027813559</v>
      </c>
      <c r="AG4229" s="55" t="n">
        <f aca="false">AE4229+ROW()*0.000000001</f>
        <v>47.3623808737368</v>
      </c>
    </row>
    <row r="4230" customFormat="false" ht="15" hidden="false" customHeight="false" outlineLevel="0" collapsed="false">
      <c r="A4230" s="0" t="n">
        <v>5</v>
      </c>
      <c r="B4230" s="0" t="n">
        <v>7</v>
      </c>
      <c r="C4230" s="0" t="n">
        <v>1</v>
      </c>
      <c r="D4230" s="0" t="n">
        <v>4</v>
      </c>
      <c r="E4230" s="0" t="n">
        <f aca="false">-1+A4230*0.25</f>
        <v>0.25</v>
      </c>
      <c r="F4230" s="0" t="n">
        <f aca="false">-1+B4230*0.25</f>
        <v>0.75</v>
      </c>
      <c r="G4230" s="0" t="n">
        <f aca="false">-1+C4230*0.25</f>
        <v>-0.75</v>
      </c>
      <c r="H4230" s="0" t="n">
        <f aca="false">-1+D4230*0.25</f>
        <v>0</v>
      </c>
      <c r="I4230" s="0" t="n">
        <f aca="false">1</f>
        <v>1</v>
      </c>
      <c r="J4230" s="0" t="n">
        <f aca="false">E4230</f>
        <v>0.25</v>
      </c>
      <c r="K4230" s="0" t="n">
        <f aca="false">F4230</f>
        <v>0.75</v>
      </c>
      <c r="L4230" s="0" t="n">
        <f aca="false">G4230</f>
        <v>-0.75</v>
      </c>
      <c r="M4230" s="0" t="n">
        <f aca="false">H4230</f>
        <v>0</v>
      </c>
      <c r="N4230" s="0" t="n">
        <f aca="false">E4230*F4230</f>
        <v>0.1875</v>
      </c>
      <c r="O4230" s="0" t="n">
        <f aca="false">E4230*G4230</f>
        <v>-0.1875</v>
      </c>
      <c r="P4230" s="0" t="n">
        <f aca="false">E4230*H4230</f>
        <v>0</v>
      </c>
      <c r="Q4230" s="0" t="n">
        <f aca="false">F4230*G4230</f>
        <v>-0.5625</v>
      </c>
      <c r="R4230" s="0" t="n">
        <f aca="false">F4230*H4230</f>
        <v>0</v>
      </c>
      <c r="S4230" s="0" t="n">
        <f aca="false">G4230*H4230</f>
        <v>-0</v>
      </c>
      <c r="T4230" s="0" t="n">
        <f aca="false">E4230*E4230</f>
        <v>0.0625</v>
      </c>
      <c r="U4230" s="0" t="n">
        <f aca="false">F4230*F4230</f>
        <v>0.5625</v>
      </c>
      <c r="V4230" s="0" t="n">
        <f aca="false">G4230*G4230</f>
        <v>0.5625</v>
      </c>
      <c r="W4230" s="0" t="n">
        <f aca="false">H4230*H4230</f>
        <v>0</v>
      </c>
      <c r="X4230" s="0" t="n">
        <f aca="false">SUMPRODUCT(I4230:W4230,_XtX!$B$96:$P$96)</f>
        <v>47.4017315423976</v>
      </c>
      <c r="Y4230" s="0" t="n">
        <f aca="false">SUMPRODUCT(MMULT(I4230:W4230,_XtX!$B$78:$P$92),I4230:W4230)</f>
        <v>0.281685455500731</v>
      </c>
      <c r="Z4230" s="0" t="n">
        <f aca="false">04_回帰ANOVA!$K$19*04_回帰ANOVA!$K$14*SQRT(1+Y4230)</f>
        <v>1.47566956658694</v>
      </c>
      <c r="AA4230" s="0" t="n">
        <f aca="false">X4230-Z4230</f>
        <v>45.9260619758107</v>
      </c>
      <c r="AB4230" s="0" t="n">
        <f aca="false">X4230+Z4230</f>
        <v>48.8774011089845</v>
      </c>
      <c r="AC4230" s="54" t="b">
        <f aca="false">AND(E4230&gt;=01_因子設定!$L$5-0.000000001,E4230&lt;=01_因子設定!$M$5+0.000000001,F4230&gt;=01_因子設定!$L$6-0.000000001,F4230&lt;=01_因子設定!$M$6+0.000000001,G4230&gt;=01_因子設定!$L$7-0.000000001,G4230&lt;=01_因子設定!$M$7+0.000000001,H4230&gt;=01_因子設定!$L$8-0.000000001,H4230&lt;=01_因子設定!$M$8+0.000000001,IF(01_因子設定!$B$20="Box-Behnken",E4230^2+F4230^2+G4230^2+H4230^2&lt;=2+0.000000001,TRUE()))</f>
        <v>1</v>
      </c>
      <c r="AD4230" s="55" t="n">
        <f aca="false">IF(AC4230,IF(01_因子設定!$B$13="最大化",AA4230-01_因子設定!$B$14,IF(01_因子設定!$B$13="最小化",01_因子設定!$B$15-AB4230,MIN(AA4230-01_因子設定!$B$14,01_因子設定!$B$15-AB4230))),-1E+030)</f>
        <v>-0.573938024189339</v>
      </c>
      <c r="AE4230" s="55" t="n">
        <f aca="false">IF(AC4230,IF(01_因子設定!$B$13="最大化",X4230,IF(01_因子設定!$B$13="最小化",-X4230,-ABS(X4230-01_因子設定!$B$16))),-1E+030)</f>
        <v>47.4017315423976</v>
      </c>
      <c r="AF4230" s="55" t="n">
        <f aca="false">AD4230+ROW()*0.000000001</f>
        <v>-0.573933794189339</v>
      </c>
      <c r="AG4230" s="55" t="n">
        <f aca="false">AE4230+ROW()*0.000000001</f>
        <v>47.4017357723976</v>
      </c>
    </row>
    <row r="4231" customFormat="false" ht="15" hidden="false" customHeight="false" outlineLevel="0" collapsed="false">
      <c r="A4231" s="0" t="n">
        <v>5</v>
      </c>
      <c r="B4231" s="0" t="n">
        <v>7</v>
      </c>
      <c r="C4231" s="0" t="n">
        <v>1</v>
      </c>
      <c r="D4231" s="0" t="n">
        <v>5</v>
      </c>
      <c r="E4231" s="0" t="n">
        <f aca="false">-1+A4231*0.25</f>
        <v>0.25</v>
      </c>
      <c r="F4231" s="0" t="n">
        <f aca="false">-1+B4231*0.25</f>
        <v>0.75</v>
      </c>
      <c r="G4231" s="0" t="n">
        <f aca="false">-1+C4231*0.25</f>
        <v>-0.75</v>
      </c>
      <c r="H4231" s="0" t="n">
        <f aca="false">-1+D4231*0.25</f>
        <v>0.25</v>
      </c>
      <c r="I4231" s="0" t="n">
        <f aca="false">1</f>
        <v>1</v>
      </c>
      <c r="J4231" s="0" t="n">
        <f aca="false">E4231</f>
        <v>0.25</v>
      </c>
      <c r="K4231" s="0" t="n">
        <f aca="false">F4231</f>
        <v>0.75</v>
      </c>
      <c r="L4231" s="0" t="n">
        <f aca="false">G4231</f>
        <v>-0.75</v>
      </c>
      <c r="M4231" s="0" t="n">
        <f aca="false">H4231</f>
        <v>0.25</v>
      </c>
      <c r="N4231" s="0" t="n">
        <f aca="false">E4231*F4231</f>
        <v>0.1875</v>
      </c>
      <c r="O4231" s="0" t="n">
        <f aca="false">E4231*G4231</f>
        <v>-0.1875</v>
      </c>
      <c r="P4231" s="0" t="n">
        <f aca="false">E4231*H4231</f>
        <v>0.0625</v>
      </c>
      <c r="Q4231" s="0" t="n">
        <f aca="false">F4231*G4231</f>
        <v>-0.5625</v>
      </c>
      <c r="R4231" s="0" t="n">
        <f aca="false">F4231*H4231</f>
        <v>0.1875</v>
      </c>
      <c r="S4231" s="0" t="n">
        <f aca="false">G4231*H4231</f>
        <v>-0.1875</v>
      </c>
      <c r="T4231" s="0" t="n">
        <f aca="false">E4231*E4231</f>
        <v>0.0625</v>
      </c>
      <c r="U4231" s="0" t="n">
        <f aca="false">F4231*F4231</f>
        <v>0.5625</v>
      </c>
      <c r="V4231" s="0" t="n">
        <f aca="false">G4231*G4231</f>
        <v>0.5625</v>
      </c>
      <c r="W4231" s="0" t="n">
        <f aca="false">H4231*H4231</f>
        <v>0.0625</v>
      </c>
      <c r="X4231" s="0" t="n">
        <f aca="false">SUMPRODUCT(I4231:W4231,_XtX!$B$96:$P$96)</f>
        <v>47.3932794225146</v>
      </c>
      <c r="Y4231" s="0" t="n">
        <f aca="false">SUMPRODUCT(MMULT(I4231:W4231,_XtX!$B$78:$P$92),I4231:W4231)</f>
        <v>0.271087468019006</v>
      </c>
      <c r="Z4231" s="0" t="n">
        <f aca="false">04_回帰ANOVA!$K$19*04_回帰ANOVA!$K$14*SQRT(1+Y4231)</f>
        <v>1.46955590155034</v>
      </c>
      <c r="AA4231" s="0" t="n">
        <f aca="false">X4231-Z4231</f>
        <v>45.9237235209642</v>
      </c>
      <c r="AB4231" s="0" t="n">
        <f aca="false">X4231+Z4231</f>
        <v>48.8628353240649</v>
      </c>
      <c r="AC4231" s="54" t="b">
        <f aca="false">AND(E4231&gt;=01_因子設定!$L$5-0.000000001,E4231&lt;=01_因子設定!$M$5+0.000000001,F4231&gt;=01_因子設定!$L$6-0.000000001,F4231&lt;=01_因子設定!$M$6+0.000000001,G4231&gt;=01_因子設定!$L$7-0.000000001,G4231&lt;=01_因子設定!$M$7+0.000000001,H4231&gt;=01_因子設定!$L$8-0.000000001,H4231&lt;=01_因子設定!$M$8+0.000000001,IF(01_因子設定!$B$20="Box-Behnken",E4231^2+F4231^2+G4231^2+H4231^2&lt;=2+0.000000001,TRUE()))</f>
        <v>1</v>
      </c>
      <c r="AD4231" s="55" t="n">
        <f aca="false">IF(AC4231,IF(01_因子設定!$B$13="最大化",AA4231-01_因子設定!$B$14,IF(01_因子設定!$B$13="最小化",01_因子設定!$B$15-AB4231,MIN(AA4231-01_因子設定!$B$14,01_因子設定!$B$15-AB4231))),-1E+030)</f>
        <v>-0.576276479035784</v>
      </c>
      <c r="AE4231" s="55" t="n">
        <f aca="false">IF(AC4231,IF(01_因子設定!$B$13="最大化",X4231,IF(01_因子設定!$B$13="最小化",-X4231,-ABS(X4231-01_因子設定!$B$16))),-1E+030)</f>
        <v>47.3932794225146</v>
      </c>
      <c r="AF4231" s="55" t="n">
        <f aca="false">AD4231+ROW()*0.000000001</f>
        <v>-0.576272248035784</v>
      </c>
      <c r="AG4231" s="55" t="n">
        <f aca="false">AE4231+ROW()*0.000000001</f>
        <v>47.3932836535146</v>
      </c>
    </row>
    <row r="4232" customFormat="false" ht="15" hidden="false" customHeight="false" outlineLevel="0" collapsed="false">
      <c r="A4232" s="0" t="n">
        <v>5</v>
      </c>
      <c r="B4232" s="0" t="n">
        <v>7</v>
      </c>
      <c r="C4232" s="0" t="n">
        <v>1</v>
      </c>
      <c r="D4232" s="0" t="n">
        <v>6</v>
      </c>
      <c r="E4232" s="0" t="n">
        <f aca="false">-1+A4232*0.25</f>
        <v>0.25</v>
      </c>
      <c r="F4232" s="0" t="n">
        <f aca="false">-1+B4232*0.25</f>
        <v>0.75</v>
      </c>
      <c r="G4232" s="0" t="n">
        <f aca="false">-1+C4232*0.25</f>
        <v>-0.75</v>
      </c>
      <c r="H4232" s="0" t="n">
        <f aca="false">-1+D4232*0.25</f>
        <v>0.5</v>
      </c>
      <c r="I4232" s="0" t="n">
        <f aca="false">1</f>
        <v>1</v>
      </c>
      <c r="J4232" s="0" t="n">
        <f aca="false">E4232</f>
        <v>0.25</v>
      </c>
      <c r="K4232" s="0" t="n">
        <f aca="false">F4232</f>
        <v>0.75</v>
      </c>
      <c r="L4232" s="0" t="n">
        <f aca="false">G4232</f>
        <v>-0.75</v>
      </c>
      <c r="M4232" s="0" t="n">
        <f aca="false">H4232</f>
        <v>0.5</v>
      </c>
      <c r="N4232" s="0" t="n">
        <f aca="false">E4232*F4232</f>
        <v>0.1875</v>
      </c>
      <c r="O4232" s="0" t="n">
        <f aca="false">E4232*G4232</f>
        <v>-0.1875</v>
      </c>
      <c r="P4232" s="0" t="n">
        <f aca="false">E4232*H4232</f>
        <v>0.125</v>
      </c>
      <c r="Q4232" s="0" t="n">
        <f aca="false">F4232*G4232</f>
        <v>-0.5625</v>
      </c>
      <c r="R4232" s="0" t="n">
        <f aca="false">F4232*H4232</f>
        <v>0.375</v>
      </c>
      <c r="S4232" s="0" t="n">
        <f aca="false">G4232*H4232</f>
        <v>-0.375</v>
      </c>
      <c r="T4232" s="0" t="n">
        <f aca="false">E4232*E4232</f>
        <v>0.0625</v>
      </c>
      <c r="U4232" s="0" t="n">
        <f aca="false">F4232*F4232</f>
        <v>0.5625</v>
      </c>
      <c r="V4232" s="0" t="n">
        <f aca="false">G4232*G4232</f>
        <v>0.5625</v>
      </c>
      <c r="W4232" s="0" t="n">
        <f aca="false">H4232*H4232</f>
        <v>0.25</v>
      </c>
      <c r="X4232" s="0" t="n">
        <f aca="false">SUMPRODUCT(I4232:W4232,_XtX!$B$96:$P$96)</f>
        <v>47.3370202850877</v>
      </c>
      <c r="Y4232" s="0" t="n">
        <f aca="false">SUMPRODUCT(MMULT(I4232:W4232,_XtX!$B$78:$P$92),I4232:W4232)</f>
        <v>0.257385610836988</v>
      </c>
      <c r="Z4232" s="0" t="n">
        <f aca="false">04_回帰ANOVA!$K$19*04_回帰ANOVA!$K$14*SQRT(1+Y4232)</f>
        <v>1.46161380324158</v>
      </c>
      <c r="AA4232" s="0" t="n">
        <f aca="false">X4232-Z4232</f>
        <v>45.8754064818461</v>
      </c>
      <c r="AB4232" s="0" t="n">
        <f aca="false">X4232+Z4232</f>
        <v>48.7986340883293</v>
      </c>
      <c r="AC4232" s="54" t="b">
        <f aca="false">AND(E4232&gt;=01_因子設定!$L$5-0.000000001,E4232&lt;=01_因子設定!$M$5+0.000000001,F4232&gt;=01_因子設定!$L$6-0.000000001,F4232&lt;=01_因子設定!$M$6+0.000000001,G4232&gt;=01_因子設定!$L$7-0.000000001,G4232&lt;=01_因子設定!$M$7+0.000000001,H4232&gt;=01_因子設定!$L$8-0.000000001,H4232&lt;=01_因子設定!$M$8+0.000000001,IF(01_因子設定!$B$20="Box-Behnken",E4232^2+F4232^2+G4232^2+H4232^2&lt;=2+0.000000001,TRUE()))</f>
        <v>1</v>
      </c>
      <c r="AD4232" s="55" t="n">
        <f aca="false">IF(AC4232,IF(01_因子設定!$B$13="最大化",AA4232-01_因子設定!$B$14,IF(01_因子設定!$B$13="最小化",01_因子設定!$B$15-AB4232,MIN(AA4232-01_因子設定!$B$14,01_因子設定!$B$15-AB4232))),-1E+030)</f>
        <v>-0.624593518153915</v>
      </c>
      <c r="AE4232" s="55" t="n">
        <f aca="false">IF(AC4232,IF(01_因子設定!$B$13="最大化",X4232,IF(01_因子設定!$B$13="最小化",-X4232,-ABS(X4232-01_因子設定!$B$16))),-1E+030)</f>
        <v>47.3370202850877</v>
      </c>
      <c r="AF4232" s="55" t="n">
        <f aca="false">AD4232+ROW()*0.000000001</f>
        <v>-0.624589286153915</v>
      </c>
      <c r="AG4232" s="55" t="n">
        <f aca="false">AE4232+ROW()*0.000000001</f>
        <v>47.3370245170877</v>
      </c>
    </row>
    <row r="4233" customFormat="false" ht="15" hidden="false" customHeight="false" outlineLevel="0" collapsed="false">
      <c r="A4233" s="0" t="n">
        <v>5</v>
      </c>
      <c r="B4233" s="0" t="n">
        <v>7</v>
      </c>
      <c r="C4233" s="0" t="n">
        <v>1</v>
      </c>
      <c r="D4233" s="0" t="n">
        <v>7</v>
      </c>
      <c r="E4233" s="0" t="n">
        <f aca="false">-1+A4233*0.25</f>
        <v>0.25</v>
      </c>
      <c r="F4233" s="0" t="n">
        <f aca="false">-1+B4233*0.25</f>
        <v>0.75</v>
      </c>
      <c r="G4233" s="0" t="n">
        <f aca="false">-1+C4233*0.25</f>
        <v>-0.75</v>
      </c>
      <c r="H4233" s="0" t="n">
        <f aca="false">-1+D4233*0.25</f>
        <v>0.75</v>
      </c>
      <c r="I4233" s="0" t="n">
        <f aca="false">1</f>
        <v>1</v>
      </c>
      <c r="J4233" s="0" t="n">
        <f aca="false">E4233</f>
        <v>0.25</v>
      </c>
      <c r="K4233" s="0" t="n">
        <f aca="false">F4233</f>
        <v>0.75</v>
      </c>
      <c r="L4233" s="0" t="n">
        <f aca="false">G4233</f>
        <v>-0.75</v>
      </c>
      <c r="M4233" s="0" t="n">
        <f aca="false">H4233</f>
        <v>0.75</v>
      </c>
      <c r="N4233" s="0" t="n">
        <f aca="false">E4233*F4233</f>
        <v>0.1875</v>
      </c>
      <c r="O4233" s="0" t="n">
        <f aca="false">E4233*G4233</f>
        <v>-0.1875</v>
      </c>
      <c r="P4233" s="0" t="n">
        <f aca="false">E4233*H4233</f>
        <v>0.1875</v>
      </c>
      <c r="Q4233" s="0" t="n">
        <f aca="false">F4233*G4233</f>
        <v>-0.5625</v>
      </c>
      <c r="R4233" s="0" t="n">
        <f aca="false">F4233*H4233</f>
        <v>0.5625</v>
      </c>
      <c r="S4233" s="0" t="n">
        <f aca="false">G4233*H4233</f>
        <v>-0.5625</v>
      </c>
      <c r="T4233" s="0" t="n">
        <f aca="false">E4233*E4233</f>
        <v>0.0625</v>
      </c>
      <c r="U4233" s="0" t="n">
        <f aca="false">F4233*F4233</f>
        <v>0.5625</v>
      </c>
      <c r="V4233" s="0" t="n">
        <f aca="false">G4233*G4233</f>
        <v>0.5625</v>
      </c>
      <c r="W4233" s="0" t="n">
        <f aca="false">H4233*H4233</f>
        <v>0.5625</v>
      </c>
      <c r="X4233" s="0" t="n">
        <f aca="false">SUMPRODUCT(I4233:W4233,_XtX!$B$96:$P$96)</f>
        <v>47.2329541301169</v>
      </c>
      <c r="Y4233" s="0" t="n">
        <f aca="false">SUMPRODUCT(MMULT(I4233:W4233,_XtX!$B$78:$P$92),I4233:W4233)</f>
        <v>0.294856199744152</v>
      </c>
      <c r="Z4233" s="0" t="n">
        <f aca="false">04_回帰ANOVA!$K$19*04_回帰ANOVA!$K$14*SQRT(1+Y4233)</f>
        <v>1.48323226089013</v>
      </c>
      <c r="AA4233" s="0" t="n">
        <f aca="false">X4233-Z4233</f>
        <v>45.7497218692268</v>
      </c>
      <c r="AB4233" s="0" t="n">
        <f aca="false">X4233+Z4233</f>
        <v>48.7161863910071</v>
      </c>
      <c r="AC4233" s="54" t="b">
        <f aca="false">AND(E4233&gt;=01_因子設定!$L$5-0.000000001,E4233&lt;=01_因子設定!$M$5+0.000000001,F4233&gt;=01_因子設定!$L$6-0.000000001,F4233&lt;=01_因子設定!$M$6+0.000000001,G4233&gt;=01_因子設定!$L$7-0.000000001,G4233&lt;=01_因子設定!$M$7+0.000000001,H4233&gt;=01_因子設定!$L$8-0.000000001,H4233&lt;=01_因子設定!$M$8+0.000000001,IF(01_因子設定!$B$20="Box-Behnken",E4233^2+F4233^2+G4233^2+H4233^2&lt;=2+0.000000001,TRUE()))</f>
        <v>1</v>
      </c>
      <c r="AD4233" s="55" t="n">
        <f aca="false">IF(AC4233,IF(01_因子設定!$B$13="最大化",AA4233-01_因子設定!$B$14,IF(01_因子設定!$B$13="最小化",01_因子設定!$B$15-AB4233,MIN(AA4233-01_因子設定!$B$14,01_因子設定!$B$15-AB4233))),-1E+030)</f>
        <v>-0.750278130773211</v>
      </c>
      <c r="AE4233" s="55" t="n">
        <f aca="false">IF(AC4233,IF(01_因子設定!$B$13="最大化",X4233,IF(01_因子設定!$B$13="最小化",-X4233,-ABS(X4233-01_因子設定!$B$16))),-1E+030)</f>
        <v>47.2329541301169</v>
      </c>
      <c r="AF4233" s="55" t="n">
        <f aca="false">AD4233+ROW()*0.000000001</f>
        <v>-0.750273897773211</v>
      </c>
      <c r="AG4233" s="55" t="n">
        <f aca="false">AE4233+ROW()*0.000000001</f>
        <v>47.2329583631169</v>
      </c>
    </row>
    <row r="4234" customFormat="false" ht="15" hidden="false" customHeight="false" outlineLevel="0" collapsed="false">
      <c r="A4234" s="0" t="n">
        <v>5</v>
      </c>
      <c r="B4234" s="0" t="n">
        <v>7</v>
      </c>
      <c r="C4234" s="0" t="n">
        <v>1</v>
      </c>
      <c r="D4234" s="0" t="n">
        <v>8</v>
      </c>
      <c r="E4234" s="0" t="n">
        <f aca="false">-1+A4234*0.25</f>
        <v>0.25</v>
      </c>
      <c r="F4234" s="0" t="n">
        <f aca="false">-1+B4234*0.25</f>
        <v>0.75</v>
      </c>
      <c r="G4234" s="0" t="n">
        <f aca="false">-1+C4234*0.25</f>
        <v>-0.75</v>
      </c>
      <c r="H4234" s="0" t="n">
        <f aca="false">-1+D4234*0.25</f>
        <v>1</v>
      </c>
      <c r="I4234" s="0" t="n">
        <f aca="false">1</f>
        <v>1</v>
      </c>
      <c r="J4234" s="0" t="n">
        <f aca="false">E4234</f>
        <v>0.25</v>
      </c>
      <c r="K4234" s="0" t="n">
        <f aca="false">F4234</f>
        <v>0.75</v>
      </c>
      <c r="L4234" s="0" t="n">
        <f aca="false">G4234</f>
        <v>-0.75</v>
      </c>
      <c r="M4234" s="0" t="n">
        <f aca="false">H4234</f>
        <v>1</v>
      </c>
      <c r="N4234" s="0" t="n">
        <f aca="false">E4234*F4234</f>
        <v>0.1875</v>
      </c>
      <c r="O4234" s="0" t="n">
        <f aca="false">E4234*G4234</f>
        <v>-0.1875</v>
      </c>
      <c r="P4234" s="0" t="n">
        <f aca="false">E4234*H4234</f>
        <v>0.25</v>
      </c>
      <c r="Q4234" s="0" t="n">
        <f aca="false">F4234*G4234</f>
        <v>-0.5625</v>
      </c>
      <c r="R4234" s="0" t="n">
        <f aca="false">F4234*H4234</f>
        <v>0.75</v>
      </c>
      <c r="S4234" s="0" t="n">
        <f aca="false">G4234*H4234</f>
        <v>-0.75</v>
      </c>
      <c r="T4234" s="0" t="n">
        <f aca="false">E4234*E4234</f>
        <v>0.0625</v>
      </c>
      <c r="U4234" s="0" t="n">
        <f aca="false">F4234*F4234</f>
        <v>0.5625</v>
      </c>
      <c r="V4234" s="0" t="n">
        <f aca="false">G4234*G4234</f>
        <v>0.5625</v>
      </c>
      <c r="W4234" s="0" t="n">
        <f aca="false">H4234*H4234</f>
        <v>1</v>
      </c>
      <c r="X4234" s="0" t="n">
        <f aca="false">SUMPRODUCT(I4234:W4234,_XtX!$B$96:$P$96)</f>
        <v>47.0810809576023</v>
      </c>
      <c r="Y4234" s="0" t="n">
        <f aca="false">SUMPRODUCT(MMULT(I4234:W4234,_XtX!$B$78:$P$92),I4234:W4234)</f>
        <v>0.473959761056287</v>
      </c>
      <c r="Z4234" s="0" t="n">
        <f aca="false">04_回帰ANOVA!$K$19*04_回帰ANOVA!$K$14*SQRT(1+Y4234)</f>
        <v>1.58249084588329</v>
      </c>
      <c r="AA4234" s="0" t="n">
        <f aca="false">X4234-Z4234</f>
        <v>45.498590111719</v>
      </c>
      <c r="AB4234" s="0" t="n">
        <f aca="false">X4234+Z4234</f>
        <v>48.6635718034856</v>
      </c>
      <c r="AC4234" s="54" t="b">
        <f aca="false">AND(E4234&gt;=01_因子設定!$L$5-0.000000001,E4234&lt;=01_因子設定!$M$5+0.000000001,F4234&gt;=01_因子設定!$L$6-0.000000001,F4234&lt;=01_因子設定!$M$6+0.000000001,G4234&gt;=01_因子設定!$L$7-0.000000001,G4234&lt;=01_因子設定!$M$7+0.000000001,H4234&gt;=01_因子設定!$L$8-0.000000001,H4234&lt;=01_因子設定!$M$8+0.000000001,IF(01_因子設定!$B$20="Box-Behnken",E4234^2+F4234^2+G4234^2+H4234^2&lt;=2+0.000000001,TRUE()))</f>
        <v>1</v>
      </c>
      <c r="AD4234" s="55" t="n">
        <f aca="false">IF(AC4234,IF(01_因子設定!$B$13="最大化",AA4234-01_因子設定!$B$14,IF(01_因子設定!$B$13="最小化",01_因子設定!$B$15-AB4234,MIN(AA4234-01_因子設定!$B$14,01_因子設定!$B$15-AB4234))),-1E+030)</f>
        <v>-1.00140988828097</v>
      </c>
      <c r="AE4234" s="55" t="n">
        <f aca="false">IF(AC4234,IF(01_因子設定!$B$13="最大化",X4234,IF(01_因子設定!$B$13="最小化",-X4234,-ABS(X4234-01_因子設定!$B$16))),-1E+030)</f>
        <v>47.0810809576023</v>
      </c>
      <c r="AF4234" s="55" t="n">
        <f aca="false">AD4234+ROW()*0.000000001</f>
        <v>-1.00140565428097</v>
      </c>
      <c r="AG4234" s="55" t="n">
        <f aca="false">AE4234+ROW()*0.000000001</f>
        <v>47.0810851916023</v>
      </c>
    </row>
    <row r="4235" customFormat="false" ht="15" hidden="false" customHeight="false" outlineLevel="0" collapsed="false">
      <c r="A4235" s="0" t="n">
        <v>5</v>
      </c>
      <c r="B4235" s="0" t="n">
        <v>7</v>
      </c>
      <c r="C4235" s="0" t="n">
        <v>2</v>
      </c>
      <c r="D4235" s="0" t="n">
        <v>0</v>
      </c>
      <c r="E4235" s="0" t="n">
        <f aca="false">-1+A4235*0.25</f>
        <v>0.25</v>
      </c>
      <c r="F4235" s="0" t="n">
        <f aca="false">-1+B4235*0.25</f>
        <v>0.75</v>
      </c>
      <c r="G4235" s="0" t="n">
        <f aca="false">-1+C4235*0.25</f>
        <v>-0.5</v>
      </c>
      <c r="H4235" s="0" t="n">
        <f aca="false">-1+D4235*0.25</f>
        <v>-1</v>
      </c>
      <c r="I4235" s="0" t="n">
        <f aca="false">1</f>
        <v>1</v>
      </c>
      <c r="J4235" s="0" t="n">
        <f aca="false">E4235</f>
        <v>0.25</v>
      </c>
      <c r="K4235" s="0" t="n">
        <f aca="false">F4235</f>
        <v>0.75</v>
      </c>
      <c r="L4235" s="0" t="n">
        <f aca="false">G4235</f>
        <v>-0.5</v>
      </c>
      <c r="M4235" s="0" t="n">
        <f aca="false">H4235</f>
        <v>-1</v>
      </c>
      <c r="N4235" s="0" t="n">
        <f aca="false">E4235*F4235</f>
        <v>0.1875</v>
      </c>
      <c r="O4235" s="0" t="n">
        <f aca="false">E4235*G4235</f>
        <v>-0.125</v>
      </c>
      <c r="P4235" s="0" t="n">
        <f aca="false">E4235*H4235</f>
        <v>-0.25</v>
      </c>
      <c r="Q4235" s="0" t="n">
        <f aca="false">F4235*G4235</f>
        <v>-0.375</v>
      </c>
      <c r="R4235" s="0" t="n">
        <f aca="false">F4235*H4235</f>
        <v>-0.75</v>
      </c>
      <c r="S4235" s="0" t="n">
        <f aca="false">G4235*H4235</f>
        <v>0.5</v>
      </c>
      <c r="T4235" s="0" t="n">
        <f aca="false">E4235*E4235</f>
        <v>0.0625</v>
      </c>
      <c r="U4235" s="0" t="n">
        <f aca="false">F4235*F4235</f>
        <v>0.5625</v>
      </c>
      <c r="V4235" s="0" t="n">
        <f aca="false">G4235*G4235</f>
        <v>0.25</v>
      </c>
      <c r="W4235" s="0" t="n">
        <f aca="false">H4235*H4235</f>
        <v>1</v>
      </c>
      <c r="X4235" s="0" t="n">
        <f aca="false">SUMPRODUCT(I4235:W4235,_XtX!$B$96:$P$96)</f>
        <v>47.3626644736842</v>
      </c>
      <c r="Y4235" s="0" t="n">
        <f aca="false">SUMPRODUCT(MMULT(I4235:W4235,_XtX!$B$78:$P$92),I4235:W4235)</f>
        <v>0.459125719572369</v>
      </c>
      <c r="Z4235" s="0" t="n">
        <f aca="false">04_回帰ANOVA!$K$19*04_回帰ANOVA!$K$14*SQRT(1+Y4235)</f>
        <v>1.57450755575573</v>
      </c>
      <c r="AA4235" s="0" t="n">
        <f aca="false">X4235-Z4235</f>
        <v>45.7881569179285</v>
      </c>
      <c r="AB4235" s="0" t="n">
        <f aca="false">X4235+Z4235</f>
        <v>48.9371720294399</v>
      </c>
      <c r="AC4235" s="54" t="b">
        <f aca="false">AND(E4235&gt;=01_因子設定!$L$5-0.000000001,E4235&lt;=01_因子設定!$M$5+0.000000001,F4235&gt;=01_因子設定!$L$6-0.000000001,F4235&lt;=01_因子設定!$M$6+0.000000001,G4235&gt;=01_因子設定!$L$7-0.000000001,G4235&lt;=01_因子設定!$M$7+0.000000001,H4235&gt;=01_因子設定!$L$8-0.000000001,H4235&lt;=01_因子設定!$M$8+0.000000001,IF(01_因子設定!$B$20="Box-Behnken",E4235^2+F4235^2+G4235^2+H4235^2&lt;=2+0.000000001,TRUE()))</f>
        <v>1</v>
      </c>
      <c r="AD4235" s="55" t="n">
        <f aca="false">IF(AC4235,IF(01_因子設定!$B$13="最大化",AA4235-01_因子設定!$B$14,IF(01_因子設定!$B$13="最小化",01_因子設定!$B$15-AB4235,MIN(AA4235-01_因子設定!$B$14,01_因子設定!$B$15-AB4235))),-1E+030)</f>
        <v>-0.711843082071539</v>
      </c>
      <c r="AE4235" s="55" t="n">
        <f aca="false">IF(AC4235,IF(01_因子設定!$B$13="最大化",X4235,IF(01_因子設定!$B$13="最小化",-X4235,-ABS(X4235-01_因子設定!$B$16))),-1E+030)</f>
        <v>47.3626644736842</v>
      </c>
      <c r="AF4235" s="55" t="n">
        <f aca="false">AD4235+ROW()*0.000000001</f>
        <v>-0.711838847071539</v>
      </c>
      <c r="AG4235" s="55" t="n">
        <f aca="false">AE4235+ROW()*0.000000001</f>
        <v>47.3626687086842</v>
      </c>
    </row>
    <row r="4236" customFormat="false" ht="15" hidden="false" customHeight="false" outlineLevel="0" collapsed="false">
      <c r="A4236" s="0" t="n">
        <v>5</v>
      </c>
      <c r="B4236" s="0" t="n">
        <v>7</v>
      </c>
      <c r="C4236" s="0" t="n">
        <v>2</v>
      </c>
      <c r="D4236" s="0" t="n">
        <v>1</v>
      </c>
      <c r="E4236" s="0" t="n">
        <f aca="false">-1+A4236*0.25</f>
        <v>0.25</v>
      </c>
      <c r="F4236" s="0" t="n">
        <f aca="false">-1+B4236*0.25</f>
        <v>0.75</v>
      </c>
      <c r="G4236" s="0" t="n">
        <f aca="false">-1+C4236*0.25</f>
        <v>-0.5</v>
      </c>
      <c r="H4236" s="0" t="n">
        <f aca="false">-1+D4236*0.25</f>
        <v>-0.75</v>
      </c>
      <c r="I4236" s="0" t="n">
        <f aca="false">1</f>
        <v>1</v>
      </c>
      <c r="J4236" s="0" t="n">
        <f aca="false">E4236</f>
        <v>0.25</v>
      </c>
      <c r="K4236" s="0" t="n">
        <f aca="false">F4236</f>
        <v>0.75</v>
      </c>
      <c r="L4236" s="0" t="n">
        <f aca="false">G4236</f>
        <v>-0.5</v>
      </c>
      <c r="M4236" s="0" t="n">
        <f aca="false">H4236</f>
        <v>-0.75</v>
      </c>
      <c r="N4236" s="0" t="n">
        <f aca="false">E4236*F4236</f>
        <v>0.1875</v>
      </c>
      <c r="O4236" s="0" t="n">
        <f aca="false">E4236*G4236</f>
        <v>-0.125</v>
      </c>
      <c r="P4236" s="0" t="n">
        <f aca="false">E4236*H4236</f>
        <v>-0.1875</v>
      </c>
      <c r="Q4236" s="0" t="n">
        <f aca="false">F4236*G4236</f>
        <v>-0.375</v>
      </c>
      <c r="R4236" s="0" t="n">
        <f aca="false">F4236*H4236</f>
        <v>-0.5625</v>
      </c>
      <c r="S4236" s="0" t="n">
        <f aca="false">G4236*H4236</f>
        <v>0.375</v>
      </c>
      <c r="T4236" s="0" t="n">
        <f aca="false">E4236*E4236</f>
        <v>0.0625</v>
      </c>
      <c r="U4236" s="0" t="n">
        <f aca="false">F4236*F4236</f>
        <v>0.5625</v>
      </c>
      <c r="V4236" s="0" t="n">
        <f aca="false">G4236*G4236</f>
        <v>0.25</v>
      </c>
      <c r="W4236" s="0" t="n">
        <f aca="false">H4236*H4236</f>
        <v>0.5625</v>
      </c>
      <c r="X4236" s="0" t="n">
        <f aca="false">SUMPRODUCT(I4236:W4236,_XtX!$B$96:$P$96)</f>
        <v>47.5634091739766</v>
      </c>
      <c r="Y4236" s="0" t="n">
        <f aca="false">SUMPRODUCT(MMULT(I4236:W4236,_XtX!$B$78:$P$92),I4236:W4236)</f>
        <v>0.257385610836988</v>
      </c>
      <c r="Z4236" s="0" t="n">
        <f aca="false">04_回帰ANOVA!$K$19*04_回帰ANOVA!$K$14*SQRT(1+Y4236)</f>
        <v>1.46161380324158</v>
      </c>
      <c r="AA4236" s="0" t="n">
        <f aca="false">X4236-Z4236</f>
        <v>46.101795370735</v>
      </c>
      <c r="AB4236" s="0" t="n">
        <f aca="false">X4236+Z4236</f>
        <v>49.0250229772182</v>
      </c>
      <c r="AC4236" s="54" t="b">
        <f aca="false">AND(E4236&gt;=01_因子設定!$L$5-0.000000001,E4236&lt;=01_因子設定!$M$5+0.000000001,F4236&gt;=01_因子設定!$L$6-0.000000001,F4236&lt;=01_因子設定!$M$6+0.000000001,G4236&gt;=01_因子設定!$L$7-0.000000001,G4236&lt;=01_因子設定!$M$7+0.000000001,H4236&gt;=01_因子設定!$L$8-0.000000001,H4236&lt;=01_因子設定!$M$8+0.000000001,IF(01_因子設定!$B$20="Box-Behnken",E4236^2+F4236^2+G4236^2+H4236^2&lt;=2+0.000000001,TRUE()))</f>
        <v>1</v>
      </c>
      <c r="AD4236" s="55" t="n">
        <f aca="false">IF(AC4236,IF(01_因子設定!$B$13="最大化",AA4236-01_因子設定!$B$14,IF(01_因子設定!$B$13="最小化",01_因子設定!$B$15-AB4236,MIN(AA4236-01_因子設定!$B$14,01_因子設定!$B$15-AB4236))),-1E+030)</f>
        <v>-0.398204629265017</v>
      </c>
      <c r="AE4236" s="55" t="n">
        <f aca="false">IF(AC4236,IF(01_因子設定!$B$13="最大化",X4236,IF(01_因子設定!$B$13="最小化",-X4236,-ABS(X4236-01_因子設定!$B$16))),-1E+030)</f>
        <v>47.5634091739766</v>
      </c>
      <c r="AF4236" s="55" t="n">
        <f aca="false">AD4236+ROW()*0.000000001</f>
        <v>-0.398200393265017</v>
      </c>
      <c r="AG4236" s="55" t="n">
        <f aca="false">AE4236+ROW()*0.000000001</f>
        <v>47.5634134099766</v>
      </c>
    </row>
    <row r="4237" customFormat="false" ht="15" hidden="false" customHeight="false" outlineLevel="0" collapsed="false">
      <c r="A4237" s="0" t="n">
        <v>5</v>
      </c>
      <c r="B4237" s="0" t="n">
        <v>7</v>
      </c>
      <c r="C4237" s="0" t="n">
        <v>2</v>
      </c>
      <c r="D4237" s="0" t="n">
        <v>2</v>
      </c>
      <c r="E4237" s="0" t="n">
        <f aca="false">-1+A4237*0.25</f>
        <v>0.25</v>
      </c>
      <c r="F4237" s="0" t="n">
        <f aca="false">-1+B4237*0.25</f>
        <v>0.75</v>
      </c>
      <c r="G4237" s="0" t="n">
        <f aca="false">-1+C4237*0.25</f>
        <v>-0.5</v>
      </c>
      <c r="H4237" s="0" t="n">
        <f aca="false">-1+D4237*0.25</f>
        <v>-0.5</v>
      </c>
      <c r="I4237" s="0" t="n">
        <f aca="false">1</f>
        <v>1</v>
      </c>
      <c r="J4237" s="0" t="n">
        <f aca="false">E4237</f>
        <v>0.25</v>
      </c>
      <c r="K4237" s="0" t="n">
        <f aca="false">F4237</f>
        <v>0.75</v>
      </c>
      <c r="L4237" s="0" t="n">
        <f aca="false">G4237</f>
        <v>-0.5</v>
      </c>
      <c r="M4237" s="0" t="n">
        <f aca="false">H4237</f>
        <v>-0.5</v>
      </c>
      <c r="N4237" s="0" t="n">
        <f aca="false">E4237*F4237</f>
        <v>0.1875</v>
      </c>
      <c r="O4237" s="0" t="n">
        <f aca="false">E4237*G4237</f>
        <v>-0.125</v>
      </c>
      <c r="P4237" s="0" t="n">
        <f aca="false">E4237*H4237</f>
        <v>-0.125</v>
      </c>
      <c r="Q4237" s="0" t="n">
        <f aca="false">F4237*G4237</f>
        <v>-0.375</v>
      </c>
      <c r="R4237" s="0" t="n">
        <f aca="false">F4237*H4237</f>
        <v>-0.375</v>
      </c>
      <c r="S4237" s="0" t="n">
        <f aca="false">G4237*H4237</f>
        <v>0.25</v>
      </c>
      <c r="T4237" s="0" t="n">
        <f aca="false">E4237*E4237</f>
        <v>0.0625</v>
      </c>
      <c r="U4237" s="0" t="n">
        <f aca="false">F4237*F4237</f>
        <v>0.5625</v>
      </c>
      <c r="V4237" s="0" t="n">
        <f aca="false">G4237*G4237</f>
        <v>0.25</v>
      </c>
      <c r="W4237" s="0" t="n">
        <f aca="false">H4237*H4237</f>
        <v>0.25</v>
      </c>
      <c r="X4237" s="0" t="n">
        <f aca="false">SUMPRODUCT(I4237:W4237,_XtX!$B$96:$P$96)</f>
        <v>47.7163468567251</v>
      </c>
      <c r="Y4237" s="0" t="n">
        <f aca="false">SUMPRODUCT(MMULT(I4237:W4237,_XtX!$B$78:$P$92),I4237:W4237)</f>
        <v>0.203746059484649</v>
      </c>
      <c r="Z4237" s="0" t="n">
        <f aca="false">04_回帰ANOVA!$K$19*04_回帰ANOVA!$K$14*SQRT(1+Y4237)</f>
        <v>1.43009810755465</v>
      </c>
      <c r="AA4237" s="0" t="n">
        <f aca="false">X4237-Z4237</f>
        <v>46.2862487491705</v>
      </c>
      <c r="AB4237" s="0" t="n">
        <f aca="false">X4237+Z4237</f>
        <v>49.1464449642797</v>
      </c>
      <c r="AC4237" s="54" t="b">
        <f aca="false">AND(E4237&gt;=01_因子設定!$L$5-0.000000001,E4237&lt;=01_因子設定!$M$5+0.000000001,F4237&gt;=01_因子設定!$L$6-0.000000001,F4237&lt;=01_因子設定!$M$6+0.000000001,G4237&gt;=01_因子設定!$L$7-0.000000001,G4237&lt;=01_因子設定!$M$7+0.000000001,H4237&gt;=01_因子設定!$L$8-0.000000001,H4237&lt;=01_因子設定!$M$8+0.000000001,IF(01_因子設定!$B$20="Box-Behnken",E4237^2+F4237^2+G4237^2+H4237^2&lt;=2+0.000000001,TRUE()))</f>
        <v>1</v>
      </c>
      <c r="AD4237" s="55" t="n">
        <f aca="false">IF(AC4237,IF(01_因子設定!$B$13="最大化",AA4237-01_因子設定!$B$14,IF(01_因子設定!$B$13="最小化",01_因子設定!$B$15-AB4237,MIN(AA4237-01_因子設定!$B$14,01_因子設定!$B$15-AB4237))),-1E+030)</f>
        <v>-0.213751250829553</v>
      </c>
      <c r="AE4237" s="55" t="n">
        <f aca="false">IF(AC4237,IF(01_因子設定!$B$13="最大化",X4237,IF(01_因子設定!$B$13="最小化",-X4237,-ABS(X4237-01_因子設定!$B$16))),-1E+030)</f>
        <v>47.7163468567251</v>
      </c>
      <c r="AF4237" s="55" t="n">
        <f aca="false">AD4237+ROW()*0.000000001</f>
        <v>-0.213747013829553</v>
      </c>
      <c r="AG4237" s="55" t="n">
        <f aca="false">AE4237+ROW()*0.000000001</f>
        <v>47.7163510937251</v>
      </c>
    </row>
    <row r="4238" customFormat="false" ht="15" hidden="false" customHeight="false" outlineLevel="0" collapsed="false">
      <c r="A4238" s="0" t="n">
        <v>5</v>
      </c>
      <c r="B4238" s="0" t="n">
        <v>7</v>
      </c>
      <c r="C4238" s="0" t="n">
        <v>2</v>
      </c>
      <c r="D4238" s="0" t="n">
        <v>3</v>
      </c>
      <c r="E4238" s="0" t="n">
        <f aca="false">-1+A4238*0.25</f>
        <v>0.25</v>
      </c>
      <c r="F4238" s="0" t="n">
        <f aca="false">-1+B4238*0.25</f>
        <v>0.75</v>
      </c>
      <c r="G4238" s="0" t="n">
        <f aca="false">-1+C4238*0.25</f>
        <v>-0.5</v>
      </c>
      <c r="H4238" s="0" t="n">
        <f aca="false">-1+D4238*0.25</f>
        <v>-0.25</v>
      </c>
      <c r="I4238" s="0" t="n">
        <f aca="false">1</f>
        <v>1</v>
      </c>
      <c r="J4238" s="0" t="n">
        <f aca="false">E4238</f>
        <v>0.25</v>
      </c>
      <c r="K4238" s="0" t="n">
        <f aca="false">F4238</f>
        <v>0.75</v>
      </c>
      <c r="L4238" s="0" t="n">
        <f aca="false">G4238</f>
        <v>-0.5</v>
      </c>
      <c r="M4238" s="0" t="n">
        <f aca="false">H4238</f>
        <v>-0.25</v>
      </c>
      <c r="N4238" s="0" t="n">
        <f aca="false">E4238*F4238</f>
        <v>0.1875</v>
      </c>
      <c r="O4238" s="0" t="n">
        <f aca="false">E4238*G4238</f>
        <v>-0.125</v>
      </c>
      <c r="P4238" s="0" t="n">
        <f aca="false">E4238*H4238</f>
        <v>-0.0625</v>
      </c>
      <c r="Q4238" s="0" t="n">
        <f aca="false">F4238*G4238</f>
        <v>-0.375</v>
      </c>
      <c r="R4238" s="0" t="n">
        <f aca="false">F4238*H4238</f>
        <v>-0.1875</v>
      </c>
      <c r="S4238" s="0" t="n">
        <f aca="false">G4238*H4238</f>
        <v>0.125</v>
      </c>
      <c r="T4238" s="0" t="n">
        <f aca="false">E4238*E4238</f>
        <v>0.0625</v>
      </c>
      <c r="U4238" s="0" t="n">
        <f aca="false">F4238*F4238</f>
        <v>0.5625</v>
      </c>
      <c r="V4238" s="0" t="n">
        <f aca="false">G4238*G4238</f>
        <v>0.25</v>
      </c>
      <c r="W4238" s="0" t="n">
        <f aca="false">H4238*H4238</f>
        <v>0.0625</v>
      </c>
      <c r="X4238" s="0" t="n">
        <f aca="false">SUMPRODUCT(I4238:W4238,_XtX!$B$96:$P$96)</f>
        <v>47.8214775219298</v>
      </c>
      <c r="Y4238" s="0" t="n">
        <f aca="false">SUMPRODUCT(MMULT(I4238:W4238,_XtX!$B$78:$P$92),I4238:W4238)</f>
        <v>0.207746539199561</v>
      </c>
      <c r="Z4238" s="0" t="n">
        <f aca="false">04_回帰ANOVA!$K$19*04_回帰ANOVA!$K$14*SQRT(1+Y4238)</f>
        <v>1.43247250081141</v>
      </c>
      <c r="AA4238" s="0" t="n">
        <f aca="false">X4238-Z4238</f>
        <v>46.3890050211184</v>
      </c>
      <c r="AB4238" s="0" t="n">
        <f aca="false">X4238+Z4238</f>
        <v>49.2539500227412</v>
      </c>
      <c r="AC4238" s="54" t="b">
        <f aca="false">AND(E4238&gt;=01_因子設定!$L$5-0.000000001,E4238&lt;=01_因子設定!$M$5+0.000000001,F4238&gt;=01_因子設定!$L$6-0.000000001,F4238&lt;=01_因子設定!$M$6+0.000000001,G4238&gt;=01_因子設定!$L$7-0.000000001,G4238&lt;=01_因子設定!$M$7+0.000000001,H4238&gt;=01_因子設定!$L$8-0.000000001,H4238&lt;=01_因子設定!$M$8+0.000000001,IF(01_因子設定!$B$20="Box-Behnken",E4238^2+F4238^2+G4238^2+H4238^2&lt;=2+0.000000001,TRUE()))</f>
        <v>1</v>
      </c>
      <c r="AD4238" s="55" t="n">
        <f aca="false">IF(AC4238,IF(01_因子設定!$B$13="最大化",AA4238-01_因子設定!$B$14,IF(01_因子設定!$B$13="最小化",01_因子設定!$B$15-AB4238,MIN(AA4238-01_因子設定!$B$14,01_因子設定!$B$15-AB4238))),-1E+030)</f>
        <v>-0.110994978881642</v>
      </c>
      <c r="AE4238" s="55" t="n">
        <f aca="false">IF(AC4238,IF(01_因子設定!$B$13="最大化",X4238,IF(01_因子設定!$B$13="最小化",-X4238,-ABS(X4238-01_因子設定!$B$16))),-1E+030)</f>
        <v>47.8214775219298</v>
      </c>
      <c r="AF4238" s="55" t="n">
        <f aca="false">AD4238+ROW()*0.000000001</f>
        <v>-0.110990740881642</v>
      </c>
      <c r="AG4238" s="55" t="n">
        <f aca="false">AE4238+ROW()*0.000000001</f>
        <v>47.8214817599298</v>
      </c>
    </row>
    <row r="4239" customFormat="false" ht="15" hidden="false" customHeight="false" outlineLevel="0" collapsed="false">
      <c r="A4239" s="0" t="n">
        <v>5</v>
      </c>
      <c r="B4239" s="0" t="n">
        <v>7</v>
      </c>
      <c r="C4239" s="0" t="n">
        <v>2</v>
      </c>
      <c r="D4239" s="0" t="n">
        <v>4</v>
      </c>
      <c r="E4239" s="0" t="n">
        <f aca="false">-1+A4239*0.25</f>
        <v>0.25</v>
      </c>
      <c r="F4239" s="0" t="n">
        <f aca="false">-1+B4239*0.25</f>
        <v>0.75</v>
      </c>
      <c r="G4239" s="0" t="n">
        <f aca="false">-1+C4239*0.25</f>
        <v>-0.5</v>
      </c>
      <c r="H4239" s="0" t="n">
        <f aca="false">-1+D4239*0.25</f>
        <v>0</v>
      </c>
      <c r="I4239" s="0" t="n">
        <f aca="false">1</f>
        <v>1</v>
      </c>
      <c r="J4239" s="0" t="n">
        <f aca="false">E4239</f>
        <v>0.25</v>
      </c>
      <c r="K4239" s="0" t="n">
        <f aca="false">F4239</f>
        <v>0.75</v>
      </c>
      <c r="L4239" s="0" t="n">
        <f aca="false">G4239</f>
        <v>-0.5</v>
      </c>
      <c r="M4239" s="0" t="n">
        <f aca="false">H4239</f>
        <v>0</v>
      </c>
      <c r="N4239" s="0" t="n">
        <f aca="false">E4239*F4239</f>
        <v>0.1875</v>
      </c>
      <c r="O4239" s="0" t="n">
        <f aca="false">E4239*G4239</f>
        <v>-0.125</v>
      </c>
      <c r="P4239" s="0" t="n">
        <f aca="false">E4239*H4239</f>
        <v>0</v>
      </c>
      <c r="Q4239" s="0" t="n">
        <f aca="false">F4239*G4239</f>
        <v>-0.375</v>
      </c>
      <c r="R4239" s="0" t="n">
        <f aca="false">F4239*H4239</f>
        <v>0</v>
      </c>
      <c r="S4239" s="0" t="n">
        <f aca="false">G4239*H4239</f>
        <v>-0</v>
      </c>
      <c r="T4239" s="0" t="n">
        <f aca="false">E4239*E4239</f>
        <v>0.0625</v>
      </c>
      <c r="U4239" s="0" t="n">
        <f aca="false">F4239*F4239</f>
        <v>0.5625</v>
      </c>
      <c r="V4239" s="0" t="n">
        <f aca="false">G4239*G4239</f>
        <v>0.25</v>
      </c>
      <c r="W4239" s="0" t="n">
        <f aca="false">H4239*H4239</f>
        <v>0</v>
      </c>
      <c r="X4239" s="0" t="n">
        <f aca="false">SUMPRODUCT(I4239:W4239,_XtX!$B$96:$P$96)</f>
        <v>47.8788011695906</v>
      </c>
      <c r="Y4239" s="0" t="n">
        <f aca="false">SUMPRODUCT(MMULT(I4239:W4239,_XtX!$B$78:$P$92),I4239:W4239)</f>
        <v>0.215110734192252</v>
      </c>
      <c r="Z4239" s="0" t="n">
        <f aca="false">04_回帰ANOVA!$K$19*04_回帰ANOVA!$K$14*SQRT(1+Y4239)</f>
        <v>1.43683309086864</v>
      </c>
      <c r="AA4239" s="0" t="n">
        <f aca="false">X4239-Z4239</f>
        <v>46.4419680787219</v>
      </c>
      <c r="AB4239" s="0" t="n">
        <f aca="false">X4239+Z4239</f>
        <v>49.3156342604592</v>
      </c>
      <c r="AC4239" s="54" t="b">
        <f aca="false">AND(E4239&gt;=01_因子設定!$L$5-0.000000001,E4239&lt;=01_因子設定!$M$5+0.000000001,F4239&gt;=01_因子設定!$L$6-0.000000001,F4239&lt;=01_因子設定!$M$6+0.000000001,G4239&gt;=01_因子設定!$L$7-0.000000001,G4239&lt;=01_因子設定!$M$7+0.000000001,H4239&gt;=01_因子設定!$L$8-0.000000001,H4239&lt;=01_因子設定!$M$8+0.000000001,IF(01_因子設定!$B$20="Box-Behnken",E4239^2+F4239^2+G4239^2+H4239^2&lt;=2+0.000000001,TRUE()))</f>
        <v>1</v>
      </c>
      <c r="AD4239" s="55" t="n">
        <f aca="false">IF(AC4239,IF(01_因子設定!$B$13="最大化",AA4239-01_因子設定!$B$14,IF(01_因子設定!$B$13="最小化",01_因子設定!$B$15-AB4239,MIN(AA4239-01_因子設定!$B$14,01_因子設定!$B$15-AB4239))),-1E+030)</f>
        <v>-0.0580319212780651</v>
      </c>
      <c r="AE4239" s="55" t="n">
        <f aca="false">IF(AC4239,IF(01_因子設定!$B$13="最大化",X4239,IF(01_因子設定!$B$13="最小化",-X4239,-ABS(X4239-01_因子設定!$B$16))),-1E+030)</f>
        <v>47.8788011695906</v>
      </c>
      <c r="AF4239" s="55" t="n">
        <f aca="false">AD4239+ROW()*0.000000001</f>
        <v>-0.0580276822780651</v>
      </c>
      <c r="AG4239" s="55" t="n">
        <f aca="false">AE4239+ROW()*0.000000001</f>
        <v>47.8788054085906</v>
      </c>
    </row>
    <row r="4240" customFormat="false" ht="15" hidden="false" customHeight="false" outlineLevel="0" collapsed="false">
      <c r="A4240" s="0" t="n">
        <v>5</v>
      </c>
      <c r="B4240" s="0" t="n">
        <v>7</v>
      </c>
      <c r="C4240" s="0" t="n">
        <v>2</v>
      </c>
      <c r="D4240" s="0" t="n">
        <v>5</v>
      </c>
      <c r="E4240" s="0" t="n">
        <f aca="false">-1+A4240*0.25</f>
        <v>0.25</v>
      </c>
      <c r="F4240" s="0" t="n">
        <f aca="false">-1+B4240*0.25</f>
        <v>0.75</v>
      </c>
      <c r="G4240" s="0" t="n">
        <f aca="false">-1+C4240*0.25</f>
        <v>-0.5</v>
      </c>
      <c r="H4240" s="0" t="n">
        <f aca="false">-1+D4240*0.25</f>
        <v>0.25</v>
      </c>
      <c r="I4240" s="0" t="n">
        <f aca="false">1</f>
        <v>1</v>
      </c>
      <c r="J4240" s="0" t="n">
        <f aca="false">E4240</f>
        <v>0.25</v>
      </c>
      <c r="K4240" s="0" t="n">
        <f aca="false">F4240</f>
        <v>0.75</v>
      </c>
      <c r="L4240" s="0" t="n">
        <f aca="false">G4240</f>
        <v>-0.5</v>
      </c>
      <c r="M4240" s="0" t="n">
        <f aca="false">H4240</f>
        <v>0.25</v>
      </c>
      <c r="N4240" s="0" t="n">
        <f aca="false">E4240*F4240</f>
        <v>0.1875</v>
      </c>
      <c r="O4240" s="0" t="n">
        <f aca="false">E4240*G4240</f>
        <v>-0.125</v>
      </c>
      <c r="P4240" s="0" t="n">
        <f aca="false">E4240*H4240</f>
        <v>0.0625</v>
      </c>
      <c r="Q4240" s="0" t="n">
        <f aca="false">F4240*G4240</f>
        <v>-0.375</v>
      </c>
      <c r="R4240" s="0" t="n">
        <f aca="false">F4240*H4240</f>
        <v>0.1875</v>
      </c>
      <c r="S4240" s="0" t="n">
        <f aca="false">G4240*H4240</f>
        <v>-0.125</v>
      </c>
      <c r="T4240" s="0" t="n">
        <f aca="false">E4240*E4240</f>
        <v>0.0625</v>
      </c>
      <c r="U4240" s="0" t="n">
        <f aca="false">F4240*F4240</f>
        <v>0.5625</v>
      </c>
      <c r="V4240" s="0" t="n">
        <f aca="false">G4240*G4240</f>
        <v>0.25</v>
      </c>
      <c r="W4240" s="0" t="n">
        <f aca="false">H4240*H4240</f>
        <v>0.0625</v>
      </c>
      <c r="X4240" s="0" t="n">
        <f aca="false">SUMPRODUCT(I4240:W4240,_XtX!$B$96:$P$96)</f>
        <v>47.8883177997075</v>
      </c>
      <c r="Y4240" s="0" t="n">
        <f aca="false">SUMPRODUCT(MMULT(I4240:W4240,_XtX!$B$78:$P$92),I4240:W4240)</f>
        <v>0.207746539199561</v>
      </c>
      <c r="Z4240" s="0" t="n">
        <f aca="false">04_回帰ANOVA!$K$19*04_回帰ANOVA!$K$14*SQRT(1+Y4240)</f>
        <v>1.43247250081141</v>
      </c>
      <c r="AA4240" s="0" t="n">
        <f aca="false">X4240-Z4240</f>
        <v>46.4558452988961</v>
      </c>
      <c r="AB4240" s="0" t="n">
        <f aca="false">X4240+Z4240</f>
        <v>49.320790300519</v>
      </c>
      <c r="AC4240" s="54" t="b">
        <f aca="false">AND(E4240&gt;=01_因子設定!$L$5-0.000000001,E4240&lt;=01_因子設定!$M$5+0.000000001,F4240&gt;=01_因子設定!$L$6-0.000000001,F4240&lt;=01_因子設定!$M$6+0.000000001,G4240&gt;=01_因子設定!$L$7-0.000000001,G4240&lt;=01_因子設定!$M$7+0.000000001,H4240&gt;=01_因子設定!$L$8-0.000000001,H4240&lt;=01_因子設定!$M$8+0.000000001,IF(01_因子設定!$B$20="Box-Behnken",E4240^2+F4240^2+G4240^2+H4240^2&lt;=2+0.000000001,TRUE()))</f>
        <v>1</v>
      </c>
      <c r="AD4240" s="55" t="n">
        <f aca="false">IF(AC4240,IF(01_因子設定!$B$13="最大化",AA4240-01_因子設定!$B$14,IF(01_因子設定!$B$13="最小化",01_因子設定!$B$15-AB4240,MIN(AA4240-01_因子設定!$B$14,01_因子設定!$B$15-AB4240))),-1E+030)</f>
        <v>-0.0441547011038637</v>
      </c>
      <c r="AE4240" s="55" t="n">
        <f aca="false">IF(AC4240,IF(01_因子設定!$B$13="最大化",X4240,IF(01_因子設定!$B$13="最小化",-X4240,-ABS(X4240-01_因子設定!$B$16))),-1E+030)</f>
        <v>47.8883177997075</v>
      </c>
      <c r="AF4240" s="55" t="n">
        <f aca="false">AD4240+ROW()*0.000000001</f>
        <v>-0.0441504611038637</v>
      </c>
      <c r="AG4240" s="55" t="n">
        <f aca="false">AE4240+ROW()*0.000000001</f>
        <v>47.8883220397075</v>
      </c>
    </row>
    <row r="4241" customFormat="false" ht="15" hidden="false" customHeight="false" outlineLevel="0" collapsed="false">
      <c r="A4241" s="0" t="n">
        <v>5</v>
      </c>
      <c r="B4241" s="0" t="n">
        <v>7</v>
      </c>
      <c r="C4241" s="0" t="n">
        <v>2</v>
      </c>
      <c r="D4241" s="0" t="n">
        <v>6</v>
      </c>
      <c r="E4241" s="0" t="n">
        <f aca="false">-1+A4241*0.25</f>
        <v>0.25</v>
      </c>
      <c r="F4241" s="0" t="n">
        <f aca="false">-1+B4241*0.25</f>
        <v>0.75</v>
      </c>
      <c r="G4241" s="0" t="n">
        <f aca="false">-1+C4241*0.25</f>
        <v>-0.5</v>
      </c>
      <c r="H4241" s="0" t="n">
        <f aca="false">-1+D4241*0.25</f>
        <v>0.5</v>
      </c>
      <c r="I4241" s="0" t="n">
        <f aca="false">1</f>
        <v>1</v>
      </c>
      <c r="J4241" s="0" t="n">
        <f aca="false">E4241</f>
        <v>0.25</v>
      </c>
      <c r="K4241" s="0" t="n">
        <f aca="false">F4241</f>
        <v>0.75</v>
      </c>
      <c r="L4241" s="0" t="n">
        <f aca="false">G4241</f>
        <v>-0.5</v>
      </c>
      <c r="M4241" s="0" t="n">
        <f aca="false">H4241</f>
        <v>0.5</v>
      </c>
      <c r="N4241" s="0" t="n">
        <f aca="false">E4241*F4241</f>
        <v>0.1875</v>
      </c>
      <c r="O4241" s="0" t="n">
        <f aca="false">E4241*G4241</f>
        <v>-0.125</v>
      </c>
      <c r="P4241" s="0" t="n">
        <f aca="false">E4241*H4241</f>
        <v>0.125</v>
      </c>
      <c r="Q4241" s="0" t="n">
        <f aca="false">F4241*G4241</f>
        <v>-0.375</v>
      </c>
      <c r="R4241" s="0" t="n">
        <f aca="false">F4241*H4241</f>
        <v>0.375</v>
      </c>
      <c r="S4241" s="0" t="n">
        <f aca="false">G4241*H4241</f>
        <v>-0.25</v>
      </c>
      <c r="T4241" s="0" t="n">
        <f aca="false">E4241*E4241</f>
        <v>0.0625</v>
      </c>
      <c r="U4241" s="0" t="n">
        <f aca="false">F4241*F4241</f>
        <v>0.5625</v>
      </c>
      <c r="V4241" s="0" t="n">
        <f aca="false">G4241*G4241</f>
        <v>0.25</v>
      </c>
      <c r="W4241" s="0" t="n">
        <f aca="false">H4241*H4241</f>
        <v>0.25</v>
      </c>
      <c r="X4241" s="0" t="n">
        <f aca="false">SUMPRODUCT(I4241:W4241,_XtX!$B$96:$P$96)</f>
        <v>47.8500274122807</v>
      </c>
      <c r="Y4241" s="0" t="n">
        <f aca="false">SUMPRODUCT(MMULT(I4241:W4241,_XtX!$B$78:$P$92),I4241:W4241)</f>
        <v>0.203746059484649</v>
      </c>
      <c r="Z4241" s="0" t="n">
        <f aca="false">04_回帰ANOVA!$K$19*04_回帰ANOVA!$K$14*SQRT(1+Y4241)</f>
        <v>1.43009810755465</v>
      </c>
      <c r="AA4241" s="0" t="n">
        <f aca="false">X4241-Z4241</f>
        <v>46.419929304726</v>
      </c>
      <c r="AB4241" s="0" t="n">
        <f aca="false">X4241+Z4241</f>
        <v>49.2801255198353</v>
      </c>
      <c r="AC4241" s="54" t="b">
        <f aca="false">AND(E4241&gt;=01_因子設定!$L$5-0.000000001,E4241&lt;=01_因子設定!$M$5+0.000000001,F4241&gt;=01_因子設定!$L$6-0.000000001,F4241&lt;=01_因子設定!$M$6+0.000000001,G4241&gt;=01_因子設定!$L$7-0.000000001,G4241&lt;=01_因子設定!$M$7+0.000000001,H4241&gt;=01_因子設定!$L$8-0.000000001,H4241&lt;=01_因子設定!$M$8+0.000000001,IF(01_因子設定!$B$20="Box-Behnken",E4241^2+F4241^2+G4241^2+H4241^2&lt;=2+0.000000001,TRUE()))</f>
        <v>1</v>
      </c>
      <c r="AD4241" s="55" t="n">
        <f aca="false">IF(AC4241,IF(01_因子設定!$B$13="最大化",AA4241-01_因子設定!$B$14,IF(01_因子設定!$B$13="最小化",01_因子設定!$B$15-AB4241,MIN(AA4241-01_因子設定!$B$14,01_因子設定!$B$15-AB4241))),-1E+030)</f>
        <v>-0.0800706952739958</v>
      </c>
      <c r="AE4241" s="55" t="n">
        <f aca="false">IF(AC4241,IF(01_因子設定!$B$13="最大化",X4241,IF(01_因子設定!$B$13="最小化",-X4241,-ABS(X4241-01_因子設定!$B$16))),-1E+030)</f>
        <v>47.8500274122807</v>
      </c>
      <c r="AF4241" s="55" t="n">
        <f aca="false">AD4241+ROW()*0.000000001</f>
        <v>-0.0800664542739958</v>
      </c>
      <c r="AG4241" s="55" t="n">
        <f aca="false">AE4241+ROW()*0.000000001</f>
        <v>47.8500316532807</v>
      </c>
    </row>
    <row r="4242" customFormat="false" ht="15" hidden="false" customHeight="false" outlineLevel="0" collapsed="false">
      <c r="A4242" s="0" t="n">
        <v>5</v>
      </c>
      <c r="B4242" s="0" t="n">
        <v>7</v>
      </c>
      <c r="C4242" s="0" t="n">
        <v>2</v>
      </c>
      <c r="D4242" s="0" t="n">
        <v>7</v>
      </c>
      <c r="E4242" s="0" t="n">
        <f aca="false">-1+A4242*0.25</f>
        <v>0.25</v>
      </c>
      <c r="F4242" s="0" t="n">
        <f aca="false">-1+B4242*0.25</f>
        <v>0.75</v>
      </c>
      <c r="G4242" s="0" t="n">
        <f aca="false">-1+C4242*0.25</f>
        <v>-0.5</v>
      </c>
      <c r="H4242" s="0" t="n">
        <f aca="false">-1+D4242*0.25</f>
        <v>0.75</v>
      </c>
      <c r="I4242" s="0" t="n">
        <f aca="false">1</f>
        <v>1</v>
      </c>
      <c r="J4242" s="0" t="n">
        <f aca="false">E4242</f>
        <v>0.25</v>
      </c>
      <c r="K4242" s="0" t="n">
        <f aca="false">F4242</f>
        <v>0.75</v>
      </c>
      <c r="L4242" s="0" t="n">
        <f aca="false">G4242</f>
        <v>-0.5</v>
      </c>
      <c r="M4242" s="0" t="n">
        <f aca="false">H4242</f>
        <v>0.75</v>
      </c>
      <c r="N4242" s="0" t="n">
        <f aca="false">E4242*F4242</f>
        <v>0.1875</v>
      </c>
      <c r="O4242" s="0" t="n">
        <f aca="false">E4242*G4242</f>
        <v>-0.125</v>
      </c>
      <c r="P4242" s="0" t="n">
        <f aca="false">E4242*H4242</f>
        <v>0.1875</v>
      </c>
      <c r="Q4242" s="0" t="n">
        <f aca="false">F4242*G4242</f>
        <v>-0.375</v>
      </c>
      <c r="R4242" s="0" t="n">
        <f aca="false">F4242*H4242</f>
        <v>0.5625</v>
      </c>
      <c r="S4242" s="0" t="n">
        <f aca="false">G4242*H4242</f>
        <v>-0.375</v>
      </c>
      <c r="T4242" s="0" t="n">
        <f aca="false">E4242*E4242</f>
        <v>0.0625</v>
      </c>
      <c r="U4242" s="0" t="n">
        <f aca="false">F4242*F4242</f>
        <v>0.5625</v>
      </c>
      <c r="V4242" s="0" t="n">
        <f aca="false">G4242*G4242</f>
        <v>0.25</v>
      </c>
      <c r="W4242" s="0" t="n">
        <f aca="false">H4242*H4242</f>
        <v>0.5625</v>
      </c>
      <c r="X4242" s="0" t="n">
        <f aca="false">SUMPRODUCT(I4242:W4242,_XtX!$B$96:$P$96)</f>
        <v>47.7639300073099</v>
      </c>
      <c r="Y4242" s="0" t="n">
        <f aca="false">SUMPRODUCT(MMULT(I4242:W4242,_XtX!$B$78:$P$92),I4242:W4242)</f>
        <v>0.257385610836988</v>
      </c>
      <c r="Z4242" s="0" t="n">
        <f aca="false">04_回帰ANOVA!$K$19*04_回帰ANOVA!$K$14*SQRT(1+Y4242)</f>
        <v>1.46161380324158</v>
      </c>
      <c r="AA4242" s="0" t="n">
        <f aca="false">X4242-Z4242</f>
        <v>46.3023162040683</v>
      </c>
      <c r="AB4242" s="0" t="n">
        <f aca="false">X4242+Z4242</f>
        <v>49.2255438105515</v>
      </c>
      <c r="AC4242" s="54" t="b">
        <f aca="false">AND(E4242&gt;=01_因子設定!$L$5-0.000000001,E4242&lt;=01_因子設定!$M$5+0.000000001,F4242&gt;=01_因子設定!$L$6-0.000000001,F4242&lt;=01_因子設定!$M$6+0.000000001,G4242&gt;=01_因子設定!$L$7-0.000000001,G4242&lt;=01_因子設定!$M$7+0.000000001,H4242&gt;=01_因子設定!$L$8-0.000000001,H4242&lt;=01_因子設定!$M$8+0.000000001,IF(01_因子設定!$B$20="Box-Behnken",E4242^2+F4242^2+G4242^2+H4242^2&lt;=2+0.000000001,TRUE()))</f>
        <v>1</v>
      </c>
      <c r="AD4242" s="55" t="n">
        <f aca="false">IF(AC4242,IF(01_因子設定!$B$13="最大化",AA4242-01_因子設定!$B$14,IF(01_因子設定!$B$13="最小化",01_因子設定!$B$15-AB4242,MIN(AA4242-01_因子設定!$B$14,01_因子設定!$B$15-AB4242))),-1E+030)</f>
        <v>-0.197683795931681</v>
      </c>
      <c r="AE4242" s="55" t="n">
        <f aca="false">IF(AC4242,IF(01_因子設定!$B$13="最大化",X4242,IF(01_因子設定!$B$13="最小化",-X4242,-ABS(X4242-01_因子設定!$B$16))),-1E+030)</f>
        <v>47.7639300073099</v>
      </c>
      <c r="AF4242" s="55" t="n">
        <f aca="false">AD4242+ROW()*0.000000001</f>
        <v>-0.197679553931681</v>
      </c>
      <c r="AG4242" s="55" t="n">
        <f aca="false">AE4242+ROW()*0.000000001</f>
        <v>47.7639342493099</v>
      </c>
    </row>
    <row r="4243" customFormat="false" ht="15" hidden="false" customHeight="false" outlineLevel="0" collapsed="false">
      <c r="A4243" s="0" t="n">
        <v>5</v>
      </c>
      <c r="B4243" s="0" t="n">
        <v>7</v>
      </c>
      <c r="C4243" s="0" t="n">
        <v>2</v>
      </c>
      <c r="D4243" s="0" t="n">
        <v>8</v>
      </c>
      <c r="E4243" s="0" t="n">
        <f aca="false">-1+A4243*0.25</f>
        <v>0.25</v>
      </c>
      <c r="F4243" s="0" t="n">
        <f aca="false">-1+B4243*0.25</f>
        <v>0.75</v>
      </c>
      <c r="G4243" s="0" t="n">
        <f aca="false">-1+C4243*0.25</f>
        <v>-0.5</v>
      </c>
      <c r="H4243" s="0" t="n">
        <f aca="false">-1+D4243*0.25</f>
        <v>1</v>
      </c>
      <c r="I4243" s="0" t="n">
        <f aca="false">1</f>
        <v>1</v>
      </c>
      <c r="J4243" s="0" t="n">
        <f aca="false">E4243</f>
        <v>0.25</v>
      </c>
      <c r="K4243" s="0" t="n">
        <f aca="false">F4243</f>
        <v>0.75</v>
      </c>
      <c r="L4243" s="0" t="n">
        <f aca="false">G4243</f>
        <v>-0.5</v>
      </c>
      <c r="M4243" s="0" t="n">
        <f aca="false">H4243</f>
        <v>1</v>
      </c>
      <c r="N4243" s="0" t="n">
        <f aca="false">E4243*F4243</f>
        <v>0.1875</v>
      </c>
      <c r="O4243" s="0" t="n">
        <f aca="false">E4243*G4243</f>
        <v>-0.125</v>
      </c>
      <c r="P4243" s="0" t="n">
        <f aca="false">E4243*H4243</f>
        <v>0.25</v>
      </c>
      <c r="Q4243" s="0" t="n">
        <f aca="false">F4243*G4243</f>
        <v>-0.375</v>
      </c>
      <c r="R4243" s="0" t="n">
        <f aca="false">F4243*H4243</f>
        <v>0.75</v>
      </c>
      <c r="S4243" s="0" t="n">
        <f aca="false">G4243*H4243</f>
        <v>-0.5</v>
      </c>
      <c r="T4243" s="0" t="n">
        <f aca="false">E4243*E4243</f>
        <v>0.0625</v>
      </c>
      <c r="U4243" s="0" t="n">
        <f aca="false">F4243*F4243</f>
        <v>0.5625</v>
      </c>
      <c r="V4243" s="0" t="n">
        <f aca="false">G4243*G4243</f>
        <v>0.25</v>
      </c>
      <c r="W4243" s="0" t="n">
        <f aca="false">H4243*H4243</f>
        <v>1</v>
      </c>
      <c r="X4243" s="0" t="n">
        <f aca="false">SUMPRODUCT(I4243:W4243,_XtX!$B$96:$P$96)</f>
        <v>47.6300255847953</v>
      </c>
      <c r="Y4243" s="0" t="n">
        <f aca="false">SUMPRODUCT(MMULT(I4243:W4243,_XtX!$B$78:$P$92),I4243:W4243)</f>
        <v>0.459125719572369</v>
      </c>
      <c r="Z4243" s="0" t="n">
        <f aca="false">04_回帰ANOVA!$K$19*04_回帰ANOVA!$K$14*SQRT(1+Y4243)</f>
        <v>1.57450755575573</v>
      </c>
      <c r="AA4243" s="0" t="n">
        <f aca="false">X4243-Z4243</f>
        <v>46.0555180290396</v>
      </c>
      <c r="AB4243" s="0" t="n">
        <f aca="false">X4243+Z4243</f>
        <v>49.204533140551</v>
      </c>
      <c r="AC4243" s="54" t="b">
        <f aca="false">AND(E4243&gt;=01_因子設定!$L$5-0.000000001,E4243&lt;=01_因子設定!$M$5+0.000000001,F4243&gt;=01_因子設定!$L$6-0.000000001,F4243&lt;=01_因子設定!$M$6+0.000000001,G4243&gt;=01_因子設定!$L$7-0.000000001,G4243&lt;=01_因子設定!$M$7+0.000000001,H4243&gt;=01_因子設定!$L$8-0.000000001,H4243&lt;=01_因子設定!$M$8+0.000000001,IF(01_因子設定!$B$20="Box-Behnken",E4243^2+F4243^2+G4243^2+H4243^2&lt;=2+0.000000001,TRUE()))</f>
        <v>1</v>
      </c>
      <c r="AD4243" s="55" t="n">
        <f aca="false">IF(AC4243,IF(01_因子設定!$B$13="最大化",AA4243-01_因子設定!$B$14,IF(01_因子設定!$B$13="最小化",01_因子設定!$B$15-AB4243,MIN(AA4243-01_因子設定!$B$14,01_因子設定!$B$15-AB4243))),-1E+030)</f>
        <v>-0.444481970960432</v>
      </c>
      <c r="AE4243" s="55" t="n">
        <f aca="false">IF(AC4243,IF(01_因子設定!$B$13="最大化",X4243,IF(01_因子設定!$B$13="最小化",-X4243,-ABS(X4243-01_因子設定!$B$16))),-1E+030)</f>
        <v>47.6300255847953</v>
      </c>
      <c r="AF4243" s="55" t="n">
        <f aca="false">AD4243+ROW()*0.000000001</f>
        <v>-0.444477727960432</v>
      </c>
      <c r="AG4243" s="55" t="n">
        <f aca="false">AE4243+ROW()*0.000000001</f>
        <v>47.6300298277953</v>
      </c>
    </row>
    <row r="4244" customFormat="false" ht="15" hidden="false" customHeight="false" outlineLevel="0" collapsed="false">
      <c r="A4244" s="0" t="n">
        <v>5</v>
      </c>
      <c r="B4244" s="0" t="n">
        <v>7</v>
      </c>
      <c r="C4244" s="0" t="n">
        <v>3</v>
      </c>
      <c r="D4244" s="0" t="n">
        <v>0</v>
      </c>
      <c r="E4244" s="0" t="n">
        <f aca="false">-1+A4244*0.25</f>
        <v>0.25</v>
      </c>
      <c r="F4244" s="0" t="n">
        <f aca="false">-1+B4244*0.25</f>
        <v>0.75</v>
      </c>
      <c r="G4244" s="0" t="n">
        <f aca="false">-1+C4244*0.25</f>
        <v>-0.25</v>
      </c>
      <c r="H4244" s="0" t="n">
        <f aca="false">-1+D4244*0.25</f>
        <v>-1</v>
      </c>
      <c r="I4244" s="0" t="n">
        <f aca="false">1</f>
        <v>1</v>
      </c>
      <c r="J4244" s="0" t="n">
        <f aca="false">E4244</f>
        <v>0.25</v>
      </c>
      <c r="K4244" s="0" t="n">
        <f aca="false">F4244</f>
        <v>0.75</v>
      </c>
      <c r="L4244" s="0" t="n">
        <f aca="false">G4244</f>
        <v>-0.25</v>
      </c>
      <c r="M4244" s="0" t="n">
        <f aca="false">H4244</f>
        <v>-1</v>
      </c>
      <c r="N4244" s="0" t="n">
        <f aca="false">E4244*F4244</f>
        <v>0.1875</v>
      </c>
      <c r="O4244" s="0" t="n">
        <f aca="false">E4244*G4244</f>
        <v>-0.0625</v>
      </c>
      <c r="P4244" s="0" t="n">
        <f aca="false">E4244*H4244</f>
        <v>-0.25</v>
      </c>
      <c r="Q4244" s="0" t="n">
        <f aca="false">F4244*G4244</f>
        <v>-0.1875</v>
      </c>
      <c r="R4244" s="0" t="n">
        <f aca="false">F4244*H4244</f>
        <v>-0.75</v>
      </c>
      <c r="S4244" s="0" t="n">
        <f aca="false">G4244*H4244</f>
        <v>0.25</v>
      </c>
      <c r="T4244" s="0" t="n">
        <f aca="false">E4244*E4244</f>
        <v>0.0625</v>
      </c>
      <c r="U4244" s="0" t="n">
        <f aca="false">F4244*F4244</f>
        <v>0.5625</v>
      </c>
      <c r="V4244" s="0" t="n">
        <f aca="false">G4244*G4244</f>
        <v>0.0625</v>
      </c>
      <c r="W4244" s="0" t="n">
        <f aca="false">H4244*H4244</f>
        <v>1</v>
      </c>
      <c r="X4244" s="0" t="n">
        <f aca="false">SUMPRODUCT(I4244:W4244,_XtX!$B$96:$P$96)</f>
        <v>47.6825520833333</v>
      </c>
      <c r="Y4244" s="0" t="n">
        <f aca="false">SUMPRODUCT(MMULT(I4244:W4244,_XtX!$B$78:$P$92),I4244:W4244)</f>
        <v>0.486409505208333</v>
      </c>
      <c r="Z4244" s="0" t="n">
        <f aca="false">04_回帰ANOVA!$K$19*04_回帰ANOVA!$K$14*SQRT(1+Y4244)</f>
        <v>1.58916001665498</v>
      </c>
      <c r="AA4244" s="0" t="n">
        <f aca="false">X4244-Z4244</f>
        <v>46.0933920666783</v>
      </c>
      <c r="AB4244" s="0" t="n">
        <f aca="false">X4244+Z4244</f>
        <v>49.2717120999883</v>
      </c>
      <c r="AC4244" s="54" t="b">
        <f aca="false">AND(E4244&gt;=01_因子設定!$L$5-0.000000001,E4244&lt;=01_因子設定!$M$5+0.000000001,F4244&gt;=01_因子設定!$L$6-0.000000001,F4244&lt;=01_因子設定!$M$6+0.000000001,G4244&gt;=01_因子設定!$L$7-0.000000001,G4244&lt;=01_因子設定!$M$7+0.000000001,H4244&gt;=01_因子設定!$L$8-0.000000001,H4244&lt;=01_因子設定!$M$8+0.000000001,IF(01_因子設定!$B$20="Box-Behnken",E4244^2+F4244^2+G4244^2+H4244^2&lt;=2+0.000000001,TRUE()))</f>
        <v>1</v>
      </c>
      <c r="AD4244" s="55" t="n">
        <f aca="false">IF(AC4244,IF(01_因子設定!$B$13="最大化",AA4244-01_因子設定!$B$14,IF(01_因子設定!$B$13="最小化",01_因子設定!$B$15-AB4244,MIN(AA4244-01_因子設定!$B$14,01_因子設定!$B$15-AB4244))),-1E+030)</f>
        <v>-0.406607933321666</v>
      </c>
      <c r="AE4244" s="55" t="n">
        <f aca="false">IF(AC4244,IF(01_因子設定!$B$13="最大化",X4244,IF(01_因子設定!$B$13="最小化",-X4244,-ABS(X4244-01_因子設定!$B$16))),-1E+030)</f>
        <v>47.6825520833333</v>
      </c>
      <c r="AF4244" s="55" t="n">
        <f aca="false">AD4244+ROW()*0.000000001</f>
        <v>-0.406603689321666</v>
      </c>
      <c r="AG4244" s="55" t="n">
        <f aca="false">AE4244+ROW()*0.000000001</f>
        <v>47.6825563273333</v>
      </c>
    </row>
    <row r="4245" customFormat="false" ht="15" hidden="false" customHeight="false" outlineLevel="0" collapsed="false">
      <c r="A4245" s="0" t="n">
        <v>5</v>
      </c>
      <c r="B4245" s="0" t="n">
        <v>7</v>
      </c>
      <c r="C4245" s="0" t="n">
        <v>3</v>
      </c>
      <c r="D4245" s="0" t="n">
        <v>1</v>
      </c>
      <c r="E4245" s="0" t="n">
        <f aca="false">-1+A4245*0.25</f>
        <v>0.25</v>
      </c>
      <c r="F4245" s="0" t="n">
        <f aca="false">-1+B4245*0.25</f>
        <v>0.75</v>
      </c>
      <c r="G4245" s="0" t="n">
        <f aca="false">-1+C4245*0.25</f>
        <v>-0.25</v>
      </c>
      <c r="H4245" s="0" t="n">
        <f aca="false">-1+D4245*0.25</f>
        <v>-0.75</v>
      </c>
      <c r="I4245" s="0" t="n">
        <f aca="false">1</f>
        <v>1</v>
      </c>
      <c r="J4245" s="0" t="n">
        <f aca="false">E4245</f>
        <v>0.25</v>
      </c>
      <c r="K4245" s="0" t="n">
        <f aca="false">F4245</f>
        <v>0.75</v>
      </c>
      <c r="L4245" s="0" t="n">
        <f aca="false">G4245</f>
        <v>-0.25</v>
      </c>
      <c r="M4245" s="0" t="n">
        <f aca="false">H4245</f>
        <v>-0.75</v>
      </c>
      <c r="N4245" s="0" t="n">
        <f aca="false">E4245*F4245</f>
        <v>0.1875</v>
      </c>
      <c r="O4245" s="0" t="n">
        <f aca="false">E4245*G4245</f>
        <v>-0.0625</v>
      </c>
      <c r="P4245" s="0" t="n">
        <f aca="false">E4245*H4245</f>
        <v>-0.1875</v>
      </c>
      <c r="Q4245" s="0" t="n">
        <f aca="false">F4245*G4245</f>
        <v>-0.1875</v>
      </c>
      <c r="R4245" s="0" t="n">
        <f aca="false">F4245*H4245</f>
        <v>-0.5625</v>
      </c>
      <c r="S4245" s="0" t="n">
        <f aca="false">G4245*H4245</f>
        <v>0.1875</v>
      </c>
      <c r="T4245" s="0" t="n">
        <f aca="false">E4245*E4245</f>
        <v>0.0625</v>
      </c>
      <c r="U4245" s="0" t="n">
        <f aca="false">F4245*F4245</f>
        <v>0.5625</v>
      </c>
      <c r="V4245" s="0" t="n">
        <f aca="false">G4245*G4245</f>
        <v>0.0625</v>
      </c>
      <c r="W4245" s="0" t="n">
        <f aca="false">H4245*H4245</f>
        <v>0.5625</v>
      </c>
      <c r="X4245" s="0" t="n">
        <f aca="false">SUMPRODUCT(I4245:W4245,_XtX!$B$96:$P$96)</f>
        <v>47.9012655336257</v>
      </c>
      <c r="Y4245" s="0" t="n">
        <f aca="false">SUMPRODUCT(MMULT(I4245:W4245,_XtX!$B$78:$P$92),I4245:W4245)</f>
        <v>0.271087468019006</v>
      </c>
      <c r="Z4245" s="0" t="n">
        <f aca="false">04_回帰ANOVA!$K$19*04_回帰ANOVA!$K$14*SQRT(1+Y4245)</f>
        <v>1.46955590155034</v>
      </c>
      <c r="AA4245" s="0" t="n">
        <f aca="false">X4245-Z4245</f>
        <v>46.4317096320753</v>
      </c>
      <c r="AB4245" s="0" t="n">
        <f aca="false">X4245+Z4245</f>
        <v>49.370821435176</v>
      </c>
      <c r="AC4245" s="54" t="b">
        <f aca="false">AND(E4245&gt;=01_因子設定!$L$5-0.000000001,E4245&lt;=01_因子設定!$M$5+0.000000001,F4245&gt;=01_因子設定!$L$6-0.000000001,F4245&lt;=01_因子設定!$M$6+0.000000001,G4245&gt;=01_因子設定!$L$7-0.000000001,G4245&lt;=01_因子設定!$M$7+0.000000001,H4245&gt;=01_因子設定!$L$8-0.000000001,H4245&lt;=01_因子設定!$M$8+0.000000001,IF(01_因子設定!$B$20="Box-Behnken",E4245^2+F4245^2+G4245^2+H4245^2&lt;=2+0.000000001,TRUE()))</f>
        <v>1</v>
      </c>
      <c r="AD4245" s="55" t="n">
        <f aca="false">IF(AC4245,IF(01_因子設定!$B$13="最大化",AA4245-01_因子設定!$B$14,IF(01_因子設定!$B$13="最小化",01_因子設定!$B$15-AB4245,MIN(AA4245-01_因子設定!$B$14,01_因子設定!$B$15-AB4245))),-1E+030)</f>
        <v>-0.0682903679246536</v>
      </c>
      <c r="AE4245" s="55" t="n">
        <f aca="false">IF(AC4245,IF(01_因子設定!$B$13="最大化",X4245,IF(01_因子設定!$B$13="最小化",-X4245,-ABS(X4245-01_因子設定!$B$16))),-1E+030)</f>
        <v>47.9012655336257</v>
      </c>
      <c r="AF4245" s="55" t="n">
        <f aca="false">AD4245+ROW()*0.000000001</f>
        <v>-0.0682861229246536</v>
      </c>
      <c r="AG4245" s="55" t="n">
        <f aca="false">AE4245+ROW()*0.000000001</f>
        <v>47.9012697786257</v>
      </c>
    </row>
    <row r="4246" customFormat="false" ht="15" hidden="false" customHeight="false" outlineLevel="0" collapsed="false">
      <c r="A4246" s="0" t="n">
        <v>5</v>
      </c>
      <c r="B4246" s="0" t="n">
        <v>7</v>
      </c>
      <c r="C4246" s="0" t="n">
        <v>3</v>
      </c>
      <c r="D4246" s="0" t="n">
        <v>2</v>
      </c>
      <c r="E4246" s="0" t="n">
        <f aca="false">-1+A4246*0.25</f>
        <v>0.25</v>
      </c>
      <c r="F4246" s="0" t="n">
        <f aca="false">-1+B4246*0.25</f>
        <v>0.75</v>
      </c>
      <c r="G4246" s="0" t="n">
        <f aca="false">-1+C4246*0.25</f>
        <v>-0.25</v>
      </c>
      <c r="H4246" s="0" t="n">
        <f aca="false">-1+D4246*0.25</f>
        <v>-0.5</v>
      </c>
      <c r="I4246" s="0" t="n">
        <f aca="false">1</f>
        <v>1</v>
      </c>
      <c r="J4246" s="0" t="n">
        <f aca="false">E4246</f>
        <v>0.25</v>
      </c>
      <c r="K4246" s="0" t="n">
        <f aca="false">F4246</f>
        <v>0.75</v>
      </c>
      <c r="L4246" s="0" t="n">
        <f aca="false">G4246</f>
        <v>-0.25</v>
      </c>
      <c r="M4246" s="0" t="n">
        <f aca="false">H4246</f>
        <v>-0.5</v>
      </c>
      <c r="N4246" s="0" t="n">
        <f aca="false">E4246*F4246</f>
        <v>0.1875</v>
      </c>
      <c r="O4246" s="0" t="n">
        <f aca="false">E4246*G4246</f>
        <v>-0.0625</v>
      </c>
      <c r="P4246" s="0" t="n">
        <f aca="false">E4246*H4246</f>
        <v>-0.125</v>
      </c>
      <c r="Q4246" s="0" t="n">
        <f aca="false">F4246*G4246</f>
        <v>-0.1875</v>
      </c>
      <c r="R4246" s="0" t="n">
        <f aca="false">F4246*H4246</f>
        <v>-0.375</v>
      </c>
      <c r="S4246" s="0" t="n">
        <f aca="false">G4246*H4246</f>
        <v>0.125</v>
      </c>
      <c r="T4246" s="0" t="n">
        <f aca="false">E4246*E4246</f>
        <v>0.0625</v>
      </c>
      <c r="U4246" s="0" t="n">
        <f aca="false">F4246*F4246</f>
        <v>0.5625</v>
      </c>
      <c r="V4246" s="0" t="n">
        <f aca="false">G4246*G4246</f>
        <v>0.0625</v>
      </c>
      <c r="W4246" s="0" t="n">
        <f aca="false">H4246*H4246</f>
        <v>0.25</v>
      </c>
      <c r="X4246" s="0" t="n">
        <f aca="false">SUMPRODUCT(I4246:W4246,_XtX!$B$96:$P$96)</f>
        <v>48.0721719663742</v>
      </c>
      <c r="Y4246" s="0" t="n">
        <f aca="false">SUMPRODUCT(MMULT(I4246:W4246,_XtX!$B$78:$P$92),I4246:W4246)</f>
        <v>0.207746539199561</v>
      </c>
      <c r="Z4246" s="0" t="n">
        <f aca="false">04_回帰ANOVA!$K$19*04_回帰ANOVA!$K$14*SQRT(1+Y4246)</f>
        <v>1.43247250081141</v>
      </c>
      <c r="AA4246" s="0" t="n">
        <f aca="false">X4246-Z4246</f>
        <v>46.6396994655628</v>
      </c>
      <c r="AB4246" s="0" t="n">
        <f aca="false">X4246+Z4246</f>
        <v>49.5046444671856</v>
      </c>
      <c r="AC4246" s="54" t="b">
        <f aca="false">AND(E4246&gt;=01_因子設定!$L$5-0.000000001,E4246&lt;=01_因子設定!$M$5+0.000000001,F4246&gt;=01_因子設定!$L$6-0.000000001,F4246&lt;=01_因子設定!$M$6+0.000000001,G4246&gt;=01_因子設定!$L$7-0.000000001,G4246&lt;=01_因子設定!$M$7+0.000000001,H4246&gt;=01_因子設定!$L$8-0.000000001,H4246&lt;=01_因子設定!$M$8+0.000000001,IF(01_因子設定!$B$20="Box-Behnken",E4246^2+F4246^2+G4246^2+H4246^2&lt;=2+0.000000001,TRUE()))</f>
        <v>1</v>
      </c>
      <c r="AD4246" s="55" t="n">
        <f aca="false">IF(AC4246,IF(01_因子設定!$B$13="最大化",AA4246-01_因子設定!$B$14,IF(01_因子設定!$B$13="最小化",01_因子設定!$B$15-AB4246,MIN(AA4246-01_因子設定!$B$14,01_因子設定!$B$15-AB4246))),-1E+030)</f>
        <v>0.139699465562813</v>
      </c>
      <c r="AE4246" s="55" t="n">
        <f aca="false">IF(AC4246,IF(01_因子設定!$B$13="最大化",X4246,IF(01_因子設定!$B$13="最小化",-X4246,-ABS(X4246-01_因子設定!$B$16))),-1E+030)</f>
        <v>48.0721719663742</v>
      </c>
      <c r="AF4246" s="55" t="n">
        <f aca="false">AD4246+ROW()*0.000000001</f>
        <v>0.139703711562813</v>
      </c>
      <c r="AG4246" s="55" t="n">
        <f aca="false">AE4246+ROW()*0.000000001</f>
        <v>48.0721762123742</v>
      </c>
    </row>
    <row r="4247" customFormat="false" ht="15" hidden="false" customHeight="false" outlineLevel="0" collapsed="false">
      <c r="A4247" s="0" t="n">
        <v>5</v>
      </c>
      <c r="B4247" s="0" t="n">
        <v>7</v>
      </c>
      <c r="C4247" s="0" t="n">
        <v>3</v>
      </c>
      <c r="D4247" s="0" t="n">
        <v>3</v>
      </c>
      <c r="E4247" s="0" t="n">
        <f aca="false">-1+A4247*0.25</f>
        <v>0.25</v>
      </c>
      <c r="F4247" s="0" t="n">
        <f aca="false">-1+B4247*0.25</f>
        <v>0.75</v>
      </c>
      <c r="G4247" s="0" t="n">
        <f aca="false">-1+C4247*0.25</f>
        <v>-0.25</v>
      </c>
      <c r="H4247" s="0" t="n">
        <f aca="false">-1+D4247*0.25</f>
        <v>-0.25</v>
      </c>
      <c r="I4247" s="0" t="n">
        <f aca="false">1</f>
        <v>1</v>
      </c>
      <c r="J4247" s="0" t="n">
        <f aca="false">E4247</f>
        <v>0.25</v>
      </c>
      <c r="K4247" s="0" t="n">
        <f aca="false">F4247</f>
        <v>0.75</v>
      </c>
      <c r="L4247" s="0" t="n">
        <f aca="false">G4247</f>
        <v>-0.25</v>
      </c>
      <c r="M4247" s="0" t="n">
        <f aca="false">H4247</f>
        <v>-0.25</v>
      </c>
      <c r="N4247" s="0" t="n">
        <f aca="false">E4247*F4247</f>
        <v>0.1875</v>
      </c>
      <c r="O4247" s="0" t="n">
        <f aca="false">E4247*G4247</f>
        <v>-0.0625</v>
      </c>
      <c r="P4247" s="0" t="n">
        <f aca="false">E4247*H4247</f>
        <v>-0.0625</v>
      </c>
      <c r="Q4247" s="0" t="n">
        <f aca="false">F4247*G4247</f>
        <v>-0.1875</v>
      </c>
      <c r="R4247" s="0" t="n">
        <f aca="false">F4247*H4247</f>
        <v>-0.1875</v>
      </c>
      <c r="S4247" s="0" t="n">
        <f aca="false">G4247*H4247</f>
        <v>0.0625</v>
      </c>
      <c r="T4247" s="0" t="n">
        <f aca="false">E4247*E4247</f>
        <v>0.0625</v>
      </c>
      <c r="U4247" s="0" t="n">
        <f aca="false">F4247*F4247</f>
        <v>0.5625</v>
      </c>
      <c r="V4247" s="0" t="n">
        <f aca="false">G4247*G4247</f>
        <v>0.0625</v>
      </c>
      <c r="W4247" s="0" t="n">
        <f aca="false">H4247*H4247</f>
        <v>0.0625</v>
      </c>
      <c r="X4247" s="0" t="n">
        <f aca="false">SUMPRODUCT(I4247:W4247,_XtX!$B$96:$P$96)</f>
        <v>48.1952713815789</v>
      </c>
      <c r="Y4247" s="0" t="n">
        <f aca="false">SUMPRODUCT(MMULT(I4247:W4247,_XtX!$B$78:$P$92),I4247:W4247)</f>
        <v>0.205926192434211</v>
      </c>
      <c r="Z4247" s="0" t="n">
        <f aca="false">04_回帰ANOVA!$K$19*04_回帰ANOVA!$K$14*SQRT(1+Y4247)</f>
        <v>1.43139256396246</v>
      </c>
      <c r="AA4247" s="0" t="n">
        <f aca="false">X4247-Z4247</f>
        <v>46.7638788176164</v>
      </c>
      <c r="AB4247" s="0" t="n">
        <f aca="false">X4247+Z4247</f>
        <v>49.6266639455414</v>
      </c>
      <c r="AC4247" s="54" t="b">
        <f aca="false">AND(E4247&gt;=01_因子設定!$L$5-0.000000001,E4247&lt;=01_因子設定!$M$5+0.000000001,F4247&gt;=01_因子設定!$L$6-0.000000001,F4247&lt;=01_因子設定!$M$6+0.000000001,G4247&gt;=01_因子設定!$L$7-0.000000001,G4247&lt;=01_因子設定!$M$7+0.000000001,H4247&gt;=01_因子設定!$L$8-0.000000001,H4247&lt;=01_因子設定!$M$8+0.000000001,IF(01_因子設定!$B$20="Box-Behnken",E4247^2+F4247^2+G4247^2+H4247^2&lt;=2+0.000000001,TRUE()))</f>
        <v>1</v>
      </c>
      <c r="AD4247" s="55" t="n">
        <f aca="false">IF(AC4247,IF(01_因子設定!$B$13="最大化",AA4247-01_因子設定!$B$14,IF(01_因子設定!$B$13="最小化",01_因子設定!$B$15-AB4247,MIN(AA4247-01_因子設定!$B$14,01_因子設定!$B$15-AB4247))),-1E+030)</f>
        <v>0.26387881761643</v>
      </c>
      <c r="AE4247" s="55" t="n">
        <f aca="false">IF(AC4247,IF(01_因子設定!$B$13="最大化",X4247,IF(01_因子設定!$B$13="最小化",-X4247,-ABS(X4247-01_因子設定!$B$16))),-1E+030)</f>
        <v>48.1952713815789</v>
      </c>
      <c r="AF4247" s="55" t="n">
        <f aca="false">AD4247+ROW()*0.000000001</f>
        <v>0.26388306461643</v>
      </c>
      <c r="AG4247" s="55" t="n">
        <f aca="false">AE4247+ROW()*0.000000001</f>
        <v>48.1952756285789</v>
      </c>
    </row>
    <row r="4248" customFormat="false" ht="15" hidden="false" customHeight="false" outlineLevel="0" collapsed="false">
      <c r="A4248" s="0" t="n">
        <v>5</v>
      </c>
      <c r="B4248" s="0" t="n">
        <v>7</v>
      </c>
      <c r="C4248" s="0" t="n">
        <v>3</v>
      </c>
      <c r="D4248" s="0" t="n">
        <v>4</v>
      </c>
      <c r="E4248" s="0" t="n">
        <f aca="false">-1+A4248*0.25</f>
        <v>0.25</v>
      </c>
      <c r="F4248" s="0" t="n">
        <f aca="false">-1+B4248*0.25</f>
        <v>0.75</v>
      </c>
      <c r="G4248" s="0" t="n">
        <f aca="false">-1+C4248*0.25</f>
        <v>-0.25</v>
      </c>
      <c r="H4248" s="0" t="n">
        <f aca="false">-1+D4248*0.25</f>
        <v>0</v>
      </c>
      <c r="I4248" s="0" t="n">
        <f aca="false">1</f>
        <v>1</v>
      </c>
      <c r="J4248" s="0" t="n">
        <f aca="false">E4248</f>
        <v>0.25</v>
      </c>
      <c r="K4248" s="0" t="n">
        <f aca="false">F4248</f>
        <v>0.75</v>
      </c>
      <c r="L4248" s="0" t="n">
        <f aca="false">G4248</f>
        <v>-0.25</v>
      </c>
      <c r="M4248" s="0" t="n">
        <f aca="false">H4248</f>
        <v>0</v>
      </c>
      <c r="N4248" s="0" t="n">
        <f aca="false">E4248*F4248</f>
        <v>0.1875</v>
      </c>
      <c r="O4248" s="0" t="n">
        <f aca="false">E4248*G4248</f>
        <v>-0.0625</v>
      </c>
      <c r="P4248" s="0" t="n">
        <f aca="false">E4248*H4248</f>
        <v>0</v>
      </c>
      <c r="Q4248" s="0" t="n">
        <f aca="false">F4248*G4248</f>
        <v>-0.1875</v>
      </c>
      <c r="R4248" s="0" t="n">
        <f aca="false">F4248*H4248</f>
        <v>0</v>
      </c>
      <c r="S4248" s="0" t="n">
        <f aca="false">G4248*H4248</f>
        <v>-0</v>
      </c>
      <c r="T4248" s="0" t="n">
        <f aca="false">E4248*E4248</f>
        <v>0.0625</v>
      </c>
      <c r="U4248" s="0" t="n">
        <f aca="false">F4248*F4248</f>
        <v>0.5625</v>
      </c>
      <c r="V4248" s="0" t="n">
        <f aca="false">G4248*G4248</f>
        <v>0.0625</v>
      </c>
      <c r="W4248" s="0" t="n">
        <f aca="false">H4248*H4248</f>
        <v>0</v>
      </c>
      <c r="X4248" s="0" t="n">
        <f aca="false">SUMPRODUCT(I4248:W4248,_XtX!$B$96:$P$96)</f>
        <v>48.2705637792397</v>
      </c>
      <c r="Y4248" s="0" t="n">
        <f aca="false">SUMPRODUCT(MMULT(I4248:W4248,_XtX!$B$78:$P$92),I4248:W4248)</f>
        <v>0.21135011193348</v>
      </c>
      <c r="Z4248" s="0" t="n">
        <f aca="false">04_回帰ANOVA!$K$19*04_回帰ANOVA!$K$14*SQRT(1+Y4248)</f>
        <v>1.43460795469709</v>
      </c>
      <c r="AA4248" s="0" t="n">
        <f aca="false">X4248-Z4248</f>
        <v>46.8359558245426</v>
      </c>
      <c r="AB4248" s="0" t="n">
        <f aca="false">X4248+Z4248</f>
        <v>49.7051717339368</v>
      </c>
      <c r="AC4248" s="54" t="b">
        <f aca="false">AND(E4248&gt;=01_因子設定!$L$5-0.000000001,E4248&lt;=01_因子設定!$M$5+0.000000001,F4248&gt;=01_因子設定!$L$6-0.000000001,F4248&lt;=01_因子設定!$M$6+0.000000001,G4248&gt;=01_因子設定!$L$7-0.000000001,G4248&lt;=01_因子設定!$M$7+0.000000001,H4248&gt;=01_因子設定!$L$8-0.000000001,H4248&lt;=01_因子設定!$M$8+0.000000001,IF(01_因子設定!$B$20="Box-Behnken",E4248^2+F4248^2+G4248^2+H4248^2&lt;=2+0.000000001,TRUE()))</f>
        <v>1</v>
      </c>
      <c r="AD4248" s="55" t="n">
        <f aca="false">IF(AC4248,IF(01_因子設定!$B$13="最大化",AA4248-01_因子設定!$B$14,IF(01_因子設定!$B$13="最小化",01_因子設定!$B$15-AB4248,MIN(AA4248-01_因子設定!$B$14,01_因子設定!$B$15-AB4248))),-1E+030)</f>
        <v>0.335955824542616</v>
      </c>
      <c r="AE4248" s="55" t="n">
        <f aca="false">IF(AC4248,IF(01_因子設定!$B$13="最大化",X4248,IF(01_因子設定!$B$13="最小化",-X4248,-ABS(X4248-01_因子設定!$B$16))),-1E+030)</f>
        <v>48.2705637792397</v>
      </c>
      <c r="AF4248" s="55" t="n">
        <f aca="false">AD4248+ROW()*0.000000001</f>
        <v>0.335960072542616</v>
      </c>
      <c r="AG4248" s="55" t="n">
        <f aca="false">AE4248+ROW()*0.000000001</f>
        <v>48.2705680272397</v>
      </c>
    </row>
    <row r="4249" customFormat="false" ht="15" hidden="false" customHeight="false" outlineLevel="0" collapsed="false">
      <c r="A4249" s="0" t="n">
        <v>5</v>
      </c>
      <c r="B4249" s="0" t="n">
        <v>7</v>
      </c>
      <c r="C4249" s="0" t="n">
        <v>3</v>
      </c>
      <c r="D4249" s="0" t="n">
        <v>5</v>
      </c>
      <c r="E4249" s="0" t="n">
        <f aca="false">-1+A4249*0.25</f>
        <v>0.25</v>
      </c>
      <c r="F4249" s="0" t="n">
        <f aca="false">-1+B4249*0.25</f>
        <v>0.75</v>
      </c>
      <c r="G4249" s="0" t="n">
        <f aca="false">-1+C4249*0.25</f>
        <v>-0.25</v>
      </c>
      <c r="H4249" s="0" t="n">
        <f aca="false">-1+D4249*0.25</f>
        <v>0.25</v>
      </c>
      <c r="I4249" s="0" t="n">
        <f aca="false">1</f>
        <v>1</v>
      </c>
      <c r="J4249" s="0" t="n">
        <f aca="false">E4249</f>
        <v>0.25</v>
      </c>
      <c r="K4249" s="0" t="n">
        <f aca="false">F4249</f>
        <v>0.75</v>
      </c>
      <c r="L4249" s="0" t="n">
        <f aca="false">G4249</f>
        <v>-0.25</v>
      </c>
      <c r="M4249" s="0" t="n">
        <f aca="false">H4249</f>
        <v>0.25</v>
      </c>
      <c r="N4249" s="0" t="n">
        <f aca="false">E4249*F4249</f>
        <v>0.1875</v>
      </c>
      <c r="O4249" s="0" t="n">
        <f aca="false">E4249*G4249</f>
        <v>-0.0625</v>
      </c>
      <c r="P4249" s="0" t="n">
        <f aca="false">E4249*H4249</f>
        <v>0.0625</v>
      </c>
      <c r="Q4249" s="0" t="n">
        <f aca="false">F4249*G4249</f>
        <v>-0.1875</v>
      </c>
      <c r="R4249" s="0" t="n">
        <f aca="false">F4249*H4249</f>
        <v>0.1875</v>
      </c>
      <c r="S4249" s="0" t="n">
        <f aca="false">G4249*H4249</f>
        <v>-0.0625</v>
      </c>
      <c r="T4249" s="0" t="n">
        <f aca="false">E4249*E4249</f>
        <v>0.0625</v>
      </c>
      <c r="U4249" s="0" t="n">
        <f aca="false">F4249*F4249</f>
        <v>0.5625</v>
      </c>
      <c r="V4249" s="0" t="n">
        <f aca="false">G4249*G4249</f>
        <v>0.0625</v>
      </c>
      <c r="W4249" s="0" t="n">
        <f aca="false">H4249*H4249</f>
        <v>0.0625</v>
      </c>
      <c r="X4249" s="0" t="n">
        <f aca="false">SUMPRODUCT(I4249:W4249,_XtX!$B$96:$P$96)</f>
        <v>48.2980491593567</v>
      </c>
      <c r="Y4249" s="0" t="n">
        <f aca="false">SUMPRODUCT(MMULT(I4249:W4249,_XtX!$B$78:$P$92),I4249:W4249)</f>
        <v>0.205926192434211</v>
      </c>
      <c r="Z4249" s="0" t="n">
        <f aca="false">04_回帰ANOVA!$K$19*04_回帰ANOVA!$K$14*SQRT(1+Y4249)</f>
        <v>1.43139256396246</v>
      </c>
      <c r="AA4249" s="0" t="n">
        <f aca="false">X4249-Z4249</f>
        <v>46.8666565953942</v>
      </c>
      <c r="AB4249" s="0" t="n">
        <f aca="false">X4249+Z4249</f>
        <v>49.7294417233191</v>
      </c>
      <c r="AC4249" s="54" t="b">
        <f aca="false">AND(E4249&gt;=01_因子設定!$L$5-0.000000001,E4249&lt;=01_因子設定!$M$5+0.000000001,F4249&gt;=01_因子設定!$L$6-0.000000001,F4249&lt;=01_因子設定!$M$6+0.000000001,G4249&gt;=01_因子設定!$L$7-0.000000001,G4249&lt;=01_因子設定!$M$7+0.000000001,H4249&gt;=01_因子設定!$L$8-0.000000001,H4249&lt;=01_因子設定!$M$8+0.000000001,IF(01_因子設定!$B$20="Box-Behnken",E4249^2+F4249^2+G4249^2+H4249^2&lt;=2+0.000000001,TRUE()))</f>
        <v>1</v>
      </c>
      <c r="AD4249" s="55" t="n">
        <f aca="false">IF(AC4249,IF(01_因子設定!$B$13="最大化",AA4249-01_因子設定!$B$14,IF(01_因子設定!$B$13="最小化",01_因子設定!$B$15-AB4249,MIN(AA4249-01_因子設定!$B$14,01_因子設定!$B$15-AB4249))),-1E+030)</f>
        <v>0.366656595394204</v>
      </c>
      <c r="AE4249" s="55" t="n">
        <f aca="false">IF(AC4249,IF(01_因子設定!$B$13="最大化",X4249,IF(01_因子設定!$B$13="最小化",-X4249,-ABS(X4249-01_因子設定!$B$16))),-1E+030)</f>
        <v>48.2980491593567</v>
      </c>
      <c r="AF4249" s="55" t="n">
        <f aca="false">AD4249+ROW()*0.000000001</f>
        <v>0.366660844394204</v>
      </c>
      <c r="AG4249" s="55" t="n">
        <f aca="false">AE4249+ROW()*0.000000001</f>
        <v>48.2980534083567</v>
      </c>
    </row>
    <row r="4250" customFormat="false" ht="15" hidden="false" customHeight="false" outlineLevel="0" collapsed="false">
      <c r="A4250" s="0" t="n">
        <v>5</v>
      </c>
      <c r="B4250" s="0" t="n">
        <v>7</v>
      </c>
      <c r="C4250" s="0" t="n">
        <v>3</v>
      </c>
      <c r="D4250" s="0" t="n">
        <v>6</v>
      </c>
      <c r="E4250" s="0" t="n">
        <f aca="false">-1+A4250*0.25</f>
        <v>0.25</v>
      </c>
      <c r="F4250" s="0" t="n">
        <f aca="false">-1+B4250*0.25</f>
        <v>0.75</v>
      </c>
      <c r="G4250" s="0" t="n">
        <f aca="false">-1+C4250*0.25</f>
        <v>-0.25</v>
      </c>
      <c r="H4250" s="0" t="n">
        <f aca="false">-1+D4250*0.25</f>
        <v>0.5</v>
      </c>
      <c r="I4250" s="0" t="n">
        <f aca="false">1</f>
        <v>1</v>
      </c>
      <c r="J4250" s="0" t="n">
        <f aca="false">E4250</f>
        <v>0.25</v>
      </c>
      <c r="K4250" s="0" t="n">
        <f aca="false">F4250</f>
        <v>0.75</v>
      </c>
      <c r="L4250" s="0" t="n">
        <f aca="false">G4250</f>
        <v>-0.25</v>
      </c>
      <c r="M4250" s="0" t="n">
        <f aca="false">H4250</f>
        <v>0.5</v>
      </c>
      <c r="N4250" s="0" t="n">
        <f aca="false">E4250*F4250</f>
        <v>0.1875</v>
      </c>
      <c r="O4250" s="0" t="n">
        <f aca="false">E4250*G4250</f>
        <v>-0.0625</v>
      </c>
      <c r="P4250" s="0" t="n">
        <f aca="false">E4250*H4250</f>
        <v>0.125</v>
      </c>
      <c r="Q4250" s="0" t="n">
        <f aca="false">F4250*G4250</f>
        <v>-0.1875</v>
      </c>
      <c r="R4250" s="0" t="n">
        <f aca="false">F4250*H4250</f>
        <v>0.375</v>
      </c>
      <c r="S4250" s="0" t="n">
        <f aca="false">G4250*H4250</f>
        <v>-0.125</v>
      </c>
      <c r="T4250" s="0" t="n">
        <f aca="false">E4250*E4250</f>
        <v>0.0625</v>
      </c>
      <c r="U4250" s="0" t="n">
        <f aca="false">F4250*F4250</f>
        <v>0.5625</v>
      </c>
      <c r="V4250" s="0" t="n">
        <f aca="false">G4250*G4250</f>
        <v>0.0625</v>
      </c>
      <c r="W4250" s="0" t="n">
        <f aca="false">H4250*H4250</f>
        <v>0.25</v>
      </c>
      <c r="X4250" s="0" t="n">
        <f aca="false">SUMPRODUCT(I4250:W4250,_XtX!$B$96:$P$96)</f>
        <v>48.2777275219298</v>
      </c>
      <c r="Y4250" s="0" t="n">
        <f aca="false">SUMPRODUCT(MMULT(I4250:W4250,_XtX!$B$78:$P$92),I4250:W4250)</f>
        <v>0.207746539199561</v>
      </c>
      <c r="Z4250" s="0" t="n">
        <f aca="false">04_回帰ANOVA!$K$19*04_回帰ANOVA!$K$14*SQRT(1+Y4250)</f>
        <v>1.43247250081141</v>
      </c>
      <c r="AA4250" s="0" t="n">
        <f aca="false">X4250-Z4250</f>
        <v>46.8452550211184</v>
      </c>
      <c r="AB4250" s="0" t="n">
        <f aca="false">X4250+Z4250</f>
        <v>49.7102000227412</v>
      </c>
      <c r="AC4250" s="54" t="b">
        <f aca="false">AND(E4250&gt;=01_因子設定!$L$5-0.000000001,E4250&lt;=01_因子設定!$M$5+0.000000001,F4250&gt;=01_因子設定!$L$6-0.000000001,F4250&lt;=01_因子設定!$M$6+0.000000001,G4250&gt;=01_因子設定!$L$7-0.000000001,G4250&lt;=01_因子設定!$M$7+0.000000001,H4250&gt;=01_因子設定!$L$8-0.000000001,H4250&lt;=01_因子設定!$M$8+0.000000001,IF(01_因子設定!$B$20="Box-Behnken",E4250^2+F4250^2+G4250^2+H4250^2&lt;=2+0.000000001,TRUE()))</f>
        <v>1</v>
      </c>
      <c r="AD4250" s="55" t="n">
        <f aca="false">IF(AC4250,IF(01_因子設定!$B$13="最大化",AA4250-01_因子設定!$B$14,IF(01_因子設定!$B$13="最小化",01_因子設定!$B$15-AB4250,MIN(AA4250-01_因子設定!$B$14,01_因子設定!$B$15-AB4250))),-1E+030)</f>
        <v>0.345255021118362</v>
      </c>
      <c r="AE4250" s="55" t="n">
        <f aca="false">IF(AC4250,IF(01_因子設定!$B$13="最大化",X4250,IF(01_因子設定!$B$13="最小化",-X4250,-ABS(X4250-01_因子設定!$B$16))),-1E+030)</f>
        <v>48.2777275219298</v>
      </c>
      <c r="AF4250" s="55" t="n">
        <f aca="false">AD4250+ROW()*0.000000001</f>
        <v>0.345259271118362</v>
      </c>
      <c r="AG4250" s="55" t="n">
        <f aca="false">AE4250+ROW()*0.000000001</f>
        <v>48.2777317719298</v>
      </c>
    </row>
    <row r="4251" customFormat="false" ht="15" hidden="false" customHeight="false" outlineLevel="0" collapsed="false">
      <c r="A4251" s="0" t="n">
        <v>5</v>
      </c>
      <c r="B4251" s="0" t="n">
        <v>7</v>
      </c>
      <c r="C4251" s="0" t="n">
        <v>3</v>
      </c>
      <c r="D4251" s="0" t="n">
        <v>7</v>
      </c>
      <c r="E4251" s="0" t="n">
        <f aca="false">-1+A4251*0.25</f>
        <v>0.25</v>
      </c>
      <c r="F4251" s="0" t="n">
        <f aca="false">-1+B4251*0.25</f>
        <v>0.75</v>
      </c>
      <c r="G4251" s="0" t="n">
        <f aca="false">-1+C4251*0.25</f>
        <v>-0.25</v>
      </c>
      <c r="H4251" s="0" t="n">
        <f aca="false">-1+D4251*0.25</f>
        <v>0.75</v>
      </c>
      <c r="I4251" s="0" t="n">
        <f aca="false">1</f>
        <v>1</v>
      </c>
      <c r="J4251" s="0" t="n">
        <f aca="false">E4251</f>
        <v>0.25</v>
      </c>
      <c r="K4251" s="0" t="n">
        <f aca="false">F4251</f>
        <v>0.75</v>
      </c>
      <c r="L4251" s="0" t="n">
        <f aca="false">G4251</f>
        <v>-0.25</v>
      </c>
      <c r="M4251" s="0" t="n">
        <f aca="false">H4251</f>
        <v>0.75</v>
      </c>
      <c r="N4251" s="0" t="n">
        <f aca="false">E4251*F4251</f>
        <v>0.1875</v>
      </c>
      <c r="O4251" s="0" t="n">
        <f aca="false">E4251*G4251</f>
        <v>-0.0625</v>
      </c>
      <c r="P4251" s="0" t="n">
        <f aca="false">E4251*H4251</f>
        <v>0.1875</v>
      </c>
      <c r="Q4251" s="0" t="n">
        <f aca="false">F4251*G4251</f>
        <v>-0.1875</v>
      </c>
      <c r="R4251" s="0" t="n">
        <f aca="false">F4251*H4251</f>
        <v>0.5625</v>
      </c>
      <c r="S4251" s="0" t="n">
        <f aca="false">G4251*H4251</f>
        <v>-0.1875</v>
      </c>
      <c r="T4251" s="0" t="n">
        <f aca="false">E4251*E4251</f>
        <v>0.0625</v>
      </c>
      <c r="U4251" s="0" t="n">
        <f aca="false">F4251*F4251</f>
        <v>0.5625</v>
      </c>
      <c r="V4251" s="0" t="n">
        <f aca="false">G4251*G4251</f>
        <v>0.0625</v>
      </c>
      <c r="W4251" s="0" t="n">
        <f aca="false">H4251*H4251</f>
        <v>0.5625</v>
      </c>
      <c r="X4251" s="0" t="n">
        <f aca="false">SUMPRODUCT(I4251:W4251,_XtX!$B$96:$P$96)</f>
        <v>48.209598866959</v>
      </c>
      <c r="Y4251" s="0" t="n">
        <f aca="false">SUMPRODUCT(MMULT(I4251:W4251,_XtX!$B$78:$P$92),I4251:W4251)</f>
        <v>0.271087468019006</v>
      </c>
      <c r="Z4251" s="0" t="n">
        <f aca="false">04_回帰ANOVA!$K$19*04_回帰ANOVA!$K$14*SQRT(1+Y4251)</f>
        <v>1.46955590155034</v>
      </c>
      <c r="AA4251" s="0" t="n">
        <f aca="false">X4251-Z4251</f>
        <v>46.7400429654087</v>
      </c>
      <c r="AB4251" s="0" t="n">
        <f aca="false">X4251+Z4251</f>
        <v>49.6791547685094</v>
      </c>
      <c r="AC4251" s="54" t="b">
        <f aca="false">AND(E4251&gt;=01_因子設定!$L$5-0.000000001,E4251&lt;=01_因子設定!$M$5+0.000000001,F4251&gt;=01_因子設定!$L$6-0.000000001,F4251&lt;=01_因子設定!$M$6+0.000000001,G4251&gt;=01_因子設定!$L$7-0.000000001,G4251&lt;=01_因子設定!$M$7+0.000000001,H4251&gt;=01_因子設定!$L$8-0.000000001,H4251&lt;=01_因子設定!$M$8+0.000000001,IF(01_因子設定!$B$20="Box-Behnken",E4251^2+F4251^2+G4251^2+H4251^2&lt;=2+0.000000001,TRUE()))</f>
        <v>1</v>
      </c>
      <c r="AD4251" s="55" t="n">
        <f aca="false">IF(AC4251,IF(01_因子設定!$B$13="最大化",AA4251-01_因子設定!$B$14,IF(01_因子設定!$B$13="最小化",01_因子設定!$B$15-AB4251,MIN(AA4251-01_因子設定!$B$14,01_因子設定!$B$15-AB4251))),-1E+030)</f>
        <v>0.240042965408676</v>
      </c>
      <c r="AE4251" s="55" t="n">
        <f aca="false">IF(AC4251,IF(01_因子設定!$B$13="最大化",X4251,IF(01_因子設定!$B$13="最小化",-X4251,-ABS(X4251-01_因子設定!$B$16))),-1E+030)</f>
        <v>48.209598866959</v>
      </c>
      <c r="AF4251" s="55" t="n">
        <f aca="false">AD4251+ROW()*0.000000001</f>
        <v>0.240047216408676</v>
      </c>
      <c r="AG4251" s="55" t="n">
        <f aca="false">AE4251+ROW()*0.000000001</f>
        <v>48.209603117959</v>
      </c>
    </row>
    <row r="4252" customFormat="false" ht="15" hidden="false" customHeight="false" outlineLevel="0" collapsed="false">
      <c r="A4252" s="0" t="n">
        <v>5</v>
      </c>
      <c r="B4252" s="0" t="n">
        <v>7</v>
      </c>
      <c r="C4252" s="0" t="n">
        <v>3</v>
      </c>
      <c r="D4252" s="0" t="n">
        <v>8</v>
      </c>
      <c r="E4252" s="0" t="n">
        <f aca="false">-1+A4252*0.25</f>
        <v>0.25</v>
      </c>
      <c r="F4252" s="0" t="n">
        <f aca="false">-1+B4252*0.25</f>
        <v>0.75</v>
      </c>
      <c r="G4252" s="0" t="n">
        <f aca="false">-1+C4252*0.25</f>
        <v>-0.25</v>
      </c>
      <c r="H4252" s="0" t="n">
        <f aca="false">-1+D4252*0.25</f>
        <v>1</v>
      </c>
      <c r="I4252" s="0" t="n">
        <f aca="false">1</f>
        <v>1</v>
      </c>
      <c r="J4252" s="0" t="n">
        <f aca="false">E4252</f>
        <v>0.25</v>
      </c>
      <c r="K4252" s="0" t="n">
        <f aca="false">F4252</f>
        <v>0.75</v>
      </c>
      <c r="L4252" s="0" t="n">
        <f aca="false">G4252</f>
        <v>-0.25</v>
      </c>
      <c r="M4252" s="0" t="n">
        <f aca="false">H4252</f>
        <v>1</v>
      </c>
      <c r="N4252" s="0" t="n">
        <f aca="false">E4252*F4252</f>
        <v>0.1875</v>
      </c>
      <c r="O4252" s="0" t="n">
        <f aca="false">E4252*G4252</f>
        <v>-0.0625</v>
      </c>
      <c r="P4252" s="0" t="n">
        <f aca="false">E4252*H4252</f>
        <v>0.25</v>
      </c>
      <c r="Q4252" s="0" t="n">
        <f aca="false">F4252*G4252</f>
        <v>-0.1875</v>
      </c>
      <c r="R4252" s="0" t="n">
        <f aca="false">F4252*H4252</f>
        <v>0.75</v>
      </c>
      <c r="S4252" s="0" t="n">
        <f aca="false">G4252*H4252</f>
        <v>-0.25</v>
      </c>
      <c r="T4252" s="0" t="n">
        <f aca="false">E4252*E4252</f>
        <v>0.0625</v>
      </c>
      <c r="U4252" s="0" t="n">
        <f aca="false">F4252*F4252</f>
        <v>0.5625</v>
      </c>
      <c r="V4252" s="0" t="n">
        <f aca="false">G4252*G4252</f>
        <v>0.0625</v>
      </c>
      <c r="W4252" s="0" t="n">
        <f aca="false">H4252*H4252</f>
        <v>1</v>
      </c>
      <c r="X4252" s="0" t="n">
        <f aca="false">SUMPRODUCT(I4252:W4252,_XtX!$B$96:$P$96)</f>
        <v>48.0936631944444</v>
      </c>
      <c r="Y4252" s="0" t="n">
        <f aca="false">SUMPRODUCT(MMULT(I4252:W4252,_XtX!$B$78:$P$92),I4252:W4252)</f>
        <v>0.486409505208333</v>
      </c>
      <c r="Z4252" s="0" t="n">
        <f aca="false">04_回帰ANOVA!$K$19*04_回帰ANOVA!$K$14*SQRT(1+Y4252)</f>
        <v>1.58916001665498</v>
      </c>
      <c r="AA4252" s="0" t="n">
        <f aca="false">X4252-Z4252</f>
        <v>46.5045031777894</v>
      </c>
      <c r="AB4252" s="0" t="n">
        <f aca="false">X4252+Z4252</f>
        <v>49.6828232110994</v>
      </c>
      <c r="AC4252" s="54" t="b">
        <f aca="false">AND(E4252&gt;=01_因子設定!$L$5-0.000000001,E4252&lt;=01_因子設定!$M$5+0.000000001,F4252&gt;=01_因子設定!$L$6-0.000000001,F4252&lt;=01_因子設定!$M$6+0.000000001,G4252&gt;=01_因子設定!$L$7-0.000000001,G4252&lt;=01_因子設定!$M$7+0.000000001,H4252&gt;=01_因子設定!$L$8-0.000000001,H4252&lt;=01_因子設定!$M$8+0.000000001,IF(01_因子設定!$B$20="Box-Behnken",E4252^2+F4252^2+G4252^2+H4252^2&lt;=2+0.000000001,TRUE()))</f>
        <v>1</v>
      </c>
      <c r="AD4252" s="55" t="n">
        <f aca="false">IF(AC4252,IF(01_因子設定!$B$13="最大化",AA4252-01_因子設定!$B$14,IF(01_因子設定!$B$13="最小化",01_因子設定!$B$15-AB4252,MIN(AA4252-01_因子設定!$B$14,01_因子設定!$B$15-AB4252))),-1E+030)</f>
        <v>0.00450317778943798</v>
      </c>
      <c r="AE4252" s="55" t="n">
        <f aca="false">IF(AC4252,IF(01_因子設定!$B$13="最大化",X4252,IF(01_因子設定!$B$13="最小化",-X4252,-ABS(X4252-01_因子設定!$B$16))),-1E+030)</f>
        <v>48.0936631944444</v>
      </c>
      <c r="AF4252" s="55" t="n">
        <f aca="false">AD4252+ROW()*0.000000001</f>
        <v>0.00450742978943798</v>
      </c>
      <c r="AG4252" s="55" t="n">
        <f aca="false">AE4252+ROW()*0.000000001</f>
        <v>48.0936674464444</v>
      </c>
    </row>
    <row r="4253" customFormat="false" ht="15" hidden="false" customHeight="false" outlineLevel="0" collapsed="false">
      <c r="A4253" s="0" t="n">
        <v>5</v>
      </c>
      <c r="B4253" s="0" t="n">
        <v>7</v>
      </c>
      <c r="C4253" s="0" t="n">
        <v>4</v>
      </c>
      <c r="D4253" s="0" t="n">
        <v>0</v>
      </c>
      <c r="E4253" s="0" t="n">
        <f aca="false">-1+A4253*0.25</f>
        <v>0.25</v>
      </c>
      <c r="F4253" s="0" t="n">
        <f aca="false">-1+B4253*0.25</f>
        <v>0.75</v>
      </c>
      <c r="G4253" s="0" t="n">
        <f aca="false">-1+C4253*0.25</f>
        <v>0</v>
      </c>
      <c r="H4253" s="0" t="n">
        <f aca="false">-1+D4253*0.25</f>
        <v>-1</v>
      </c>
      <c r="I4253" s="0" t="n">
        <f aca="false">1</f>
        <v>1</v>
      </c>
      <c r="J4253" s="0" t="n">
        <f aca="false">E4253</f>
        <v>0.25</v>
      </c>
      <c r="K4253" s="0" t="n">
        <f aca="false">F4253</f>
        <v>0.75</v>
      </c>
      <c r="L4253" s="0" t="n">
        <f aca="false">G4253</f>
        <v>0</v>
      </c>
      <c r="M4253" s="0" t="n">
        <f aca="false">H4253</f>
        <v>-1</v>
      </c>
      <c r="N4253" s="0" t="n">
        <f aca="false">E4253*F4253</f>
        <v>0.1875</v>
      </c>
      <c r="O4253" s="0" t="n">
        <f aca="false">E4253*G4253</f>
        <v>0</v>
      </c>
      <c r="P4253" s="0" t="n">
        <f aca="false">E4253*H4253</f>
        <v>-0.25</v>
      </c>
      <c r="Q4253" s="0" t="n">
        <f aca="false">F4253*G4253</f>
        <v>0</v>
      </c>
      <c r="R4253" s="0" t="n">
        <f aca="false">F4253*H4253</f>
        <v>-0.75</v>
      </c>
      <c r="S4253" s="0" t="n">
        <f aca="false">G4253*H4253</f>
        <v>-0</v>
      </c>
      <c r="T4253" s="0" t="n">
        <f aca="false">E4253*E4253</f>
        <v>0.0625</v>
      </c>
      <c r="U4253" s="0" t="n">
        <f aca="false">F4253*F4253</f>
        <v>0.5625</v>
      </c>
      <c r="V4253" s="0" t="n">
        <f aca="false">G4253*G4253</f>
        <v>0</v>
      </c>
      <c r="W4253" s="0" t="n">
        <f aca="false">H4253*H4253</f>
        <v>1</v>
      </c>
      <c r="X4253" s="0" t="n">
        <f aca="false">SUMPRODUCT(I4253:W4253,_XtX!$B$96:$P$96)</f>
        <v>47.9171326754386</v>
      </c>
      <c r="Y4253" s="0" t="n">
        <f aca="false">SUMPRODUCT(MMULT(I4253:W4253,_XtX!$B$78:$P$92),I4253:W4253)</f>
        <v>0.501534802174708</v>
      </c>
      <c r="Z4253" s="0" t="n">
        <f aca="false">04_回帰ANOVA!$K$19*04_回帰ANOVA!$K$14*SQRT(1+Y4253)</f>
        <v>1.59722498091333</v>
      </c>
      <c r="AA4253" s="0" t="n">
        <f aca="false">X4253-Z4253</f>
        <v>46.3199076945252</v>
      </c>
      <c r="AB4253" s="0" t="n">
        <f aca="false">X4253+Z4253</f>
        <v>49.5143576563519</v>
      </c>
      <c r="AC4253" s="54" t="b">
        <f aca="false">AND(E4253&gt;=01_因子設定!$L$5-0.000000001,E4253&lt;=01_因子設定!$M$5+0.000000001,F4253&gt;=01_因子設定!$L$6-0.000000001,F4253&lt;=01_因子設定!$M$6+0.000000001,G4253&gt;=01_因子設定!$L$7-0.000000001,G4253&lt;=01_因子設定!$M$7+0.000000001,H4253&gt;=01_因子設定!$L$8-0.000000001,H4253&lt;=01_因子設定!$M$8+0.000000001,IF(01_因子設定!$B$20="Box-Behnken",E4253^2+F4253^2+G4253^2+H4253^2&lt;=2+0.000000001,TRUE()))</f>
        <v>1</v>
      </c>
      <c r="AD4253" s="55" t="n">
        <f aca="false">IF(AC4253,IF(01_因子設定!$B$13="最大化",AA4253-01_因子設定!$B$14,IF(01_因子設定!$B$13="最小化",01_因子設定!$B$15-AB4253,MIN(AA4253-01_因子設定!$B$14,01_因子設定!$B$15-AB4253))),-1E+030)</f>
        <v>-0.180092305474759</v>
      </c>
      <c r="AE4253" s="55" t="n">
        <f aca="false">IF(AC4253,IF(01_因子設定!$B$13="最大化",X4253,IF(01_因子設定!$B$13="最小化",-X4253,-ABS(X4253-01_因子設定!$B$16))),-1E+030)</f>
        <v>47.9171326754386</v>
      </c>
      <c r="AF4253" s="55" t="n">
        <f aca="false">AD4253+ROW()*0.000000001</f>
        <v>-0.180088052474759</v>
      </c>
      <c r="AG4253" s="55" t="n">
        <f aca="false">AE4253+ROW()*0.000000001</f>
        <v>47.9171369284386</v>
      </c>
    </row>
    <row r="4254" customFormat="false" ht="15" hidden="false" customHeight="false" outlineLevel="0" collapsed="false">
      <c r="A4254" s="0" t="n">
        <v>5</v>
      </c>
      <c r="B4254" s="0" t="n">
        <v>7</v>
      </c>
      <c r="C4254" s="0" t="n">
        <v>4</v>
      </c>
      <c r="D4254" s="0" t="n">
        <v>1</v>
      </c>
      <c r="E4254" s="0" t="n">
        <f aca="false">-1+A4254*0.25</f>
        <v>0.25</v>
      </c>
      <c r="F4254" s="0" t="n">
        <f aca="false">-1+B4254*0.25</f>
        <v>0.75</v>
      </c>
      <c r="G4254" s="0" t="n">
        <f aca="false">-1+C4254*0.25</f>
        <v>0</v>
      </c>
      <c r="H4254" s="0" t="n">
        <f aca="false">-1+D4254*0.25</f>
        <v>-0.75</v>
      </c>
      <c r="I4254" s="0" t="n">
        <f aca="false">1</f>
        <v>1</v>
      </c>
      <c r="J4254" s="0" t="n">
        <f aca="false">E4254</f>
        <v>0.25</v>
      </c>
      <c r="K4254" s="0" t="n">
        <f aca="false">F4254</f>
        <v>0.75</v>
      </c>
      <c r="L4254" s="0" t="n">
        <f aca="false">G4254</f>
        <v>0</v>
      </c>
      <c r="M4254" s="0" t="n">
        <f aca="false">H4254</f>
        <v>-0.75</v>
      </c>
      <c r="N4254" s="0" t="n">
        <f aca="false">E4254*F4254</f>
        <v>0.1875</v>
      </c>
      <c r="O4254" s="0" t="n">
        <f aca="false">E4254*G4254</f>
        <v>0</v>
      </c>
      <c r="P4254" s="0" t="n">
        <f aca="false">E4254*H4254</f>
        <v>-0.1875</v>
      </c>
      <c r="Q4254" s="0" t="n">
        <f aca="false">F4254*G4254</f>
        <v>0</v>
      </c>
      <c r="R4254" s="0" t="n">
        <f aca="false">F4254*H4254</f>
        <v>-0.5625</v>
      </c>
      <c r="S4254" s="0" t="n">
        <f aca="false">G4254*H4254</f>
        <v>-0</v>
      </c>
      <c r="T4254" s="0" t="n">
        <f aca="false">E4254*E4254</f>
        <v>0.0625</v>
      </c>
      <c r="U4254" s="0" t="n">
        <f aca="false">F4254*F4254</f>
        <v>0.5625</v>
      </c>
      <c r="V4254" s="0" t="n">
        <f aca="false">G4254*G4254</f>
        <v>0</v>
      </c>
      <c r="W4254" s="0" t="n">
        <f aca="false">H4254*H4254</f>
        <v>0.5625</v>
      </c>
      <c r="X4254" s="0" t="n">
        <f aca="false">SUMPRODUCT(I4254:W4254,_XtX!$B$96:$P$96)</f>
        <v>48.153814875731</v>
      </c>
      <c r="Y4254" s="0" t="n">
        <f aca="false">SUMPRODUCT(MMULT(I4254:W4254,_XtX!$B$78:$P$92),I4254:W4254)</f>
        <v>0.281685455500731</v>
      </c>
      <c r="Z4254" s="0" t="n">
        <f aca="false">04_回帰ANOVA!$K$19*04_回帰ANOVA!$K$14*SQRT(1+Y4254)</f>
        <v>1.47566956658694</v>
      </c>
      <c r="AA4254" s="0" t="n">
        <f aca="false">X4254-Z4254</f>
        <v>46.678145309144</v>
      </c>
      <c r="AB4254" s="0" t="n">
        <f aca="false">X4254+Z4254</f>
        <v>49.6294844423179</v>
      </c>
      <c r="AC4254" s="54" t="b">
        <f aca="false">AND(E4254&gt;=01_因子設定!$L$5-0.000000001,E4254&lt;=01_因子設定!$M$5+0.000000001,F4254&gt;=01_因子設定!$L$6-0.000000001,F4254&lt;=01_因子設定!$M$6+0.000000001,G4254&gt;=01_因子設定!$L$7-0.000000001,G4254&lt;=01_因子設定!$M$7+0.000000001,H4254&gt;=01_因子設定!$L$8-0.000000001,H4254&lt;=01_因子設定!$M$8+0.000000001,IF(01_因子設定!$B$20="Box-Behnken",E4254^2+F4254^2+G4254^2+H4254^2&lt;=2+0.000000001,TRUE()))</f>
        <v>1</v>
      </c>
      <c r="AD4254" s="55" t="n">
        <f aca="false">IF(AC4254,IF(01_因子設定!$B$13="最大化",AA4254-01_因子設定!$B$14,IF(01_因子設定!$B$13="最小化",01_因子設定!$B$15-AB4254,MIN(AA4254-01_因子設定!$B$14,01_因子設定!$B$15-AB4254))),-1E+030)</f>
        <v>0.178145309144014</v>
      </c>
      <c r="AE4254" s="55" t="n">
        <f aca="false">IF(AC4254,IF(01_因子設定!$B$13="最大化",X4254,IF(01_因子設定!$B$13="最小化",-X4254,-ABS(X4254-01_因子設定!$B$16))),-1E+030)</f>
        <v>48.153814875731</v>
      </c>
      <c r="AF4254" s="55" t="n">
        <f aca="false">AD4254+ROW()*0.000000001</f>
        <v>0.178149563144014</v>
      </c>
      <c r="AG4254" s="55" t="n">
        <f aca="false">AE4254+ROW()*0.000000001</f>
        <v>48.153819129731</v>
      </c>
    </row>
    <row r="4255" customFormat="false" ht="15" hidden="false" customHeight="false" outlineLevel="0" collapsed="false">
      <c r="A4255" s="0" t="n">
        <v>5</v>
      </c>
      <c r="B4255" s="0" t="n">
        <v>7</v>
      </c>
      <c r="C4255" s="0" t="n">
        <v>4</v>
      </c>
      <c r="D4255" s="0" t="n">
        <v>2</v>
      </c>
      <c r="E4255" s="0" t="n">
        <f aca="false">-1+A4255*0.25</f>
        <v>0.25</v>
      </c>
      <c r="F4255" s="0" t="n">
        <f aca="false">-1+B4255*0.25</f>
        <v>0.75</v>
      </c>
      <c r="G4255" s="0" t="n">
        <f aca="false">-1+C4255*0.25</f>
        <v>0</v>
      </c>
      <c r="H4255" s="0" t="n">
        <f aca="false">-1+D4255*0.25</f>
        <v>-0.5</v>
      </c>
      <c r="I4255" s="0" t="n">
        <f aca="false">1</f>
        <v>1</v>
      </c>
      <c r="J4255" s="0" t="n">
        <f aca="false">E4255</f>
        <v>0.25</v>
      </c>
      <c r="K4255" s="0" t="n">
        <f aca="false">F4255</f>
        <v>0.75</v>
      </c>
      <c r="L4255" s="0" t="n">
        <f aca="false">G4255</f>
        <v>0</v>
      </c>
      <c r="M4255" s="0" t="n">
        <f aca="false">H4255</f>
        <v>-0.5</v>
      </c>
      <c r="N4255" s="0" t="n">
        <f aca="false">E4255*F4255</f>
        <v>0.1875</v>
      </c>
      <c r="O4255" s="0" t="n">
        <f aca="false">E4255*G4255</f>
        <v>0</v>
      </c>
      <c r="P4255" s="0" t="n">
        <f aca="false">E4255*H4255</f>
        <v>-0.125</v>
      </c>
      <c r="Q4255" s="0" t="n">
        <f aca="false">F4255*G4255</f>
        <v>0</v>
      </c>
      <c r="R4255" s="0" t="n">
        <f aca="false">F4255*H4255</f>
        <v>-0.375</v>
      </c>
      <c r="S4255" s="0" t="n">
        <f aca="false">G4255*H4255</f>
        <v>-0</v>
      </c>
      <c r="T4255" s="0" t="n">
        <f aca="false">E4255*E4255</f>
        <v>0.0625</v>
      </c>
      <c r="U4255" s="0" t="n">
        <f aca="false">F4255*F4255</f>
        <v>0.5625</v>
      </c>
      <c r="V4255" s="0" t="n">
        <f aca="false">G4255*G4255</f>
        <v>0</v>
      </c>
      <c r="W4255" s="0" t="n">
        <f aca="false">H4255*H4255</f>
        <v>0.25</v>
      </c>
      <c r="X4255" s="0" t="n">
        <f aca="false">SUMPRODUCT(I4255:W4255,_XtX!$B$96:$P$96)</f>
        <v>48.3426900584795</v>
      </c>
      <c r="Y4255" s="0" t="n">
        <f aca="false">SUMPRODUCT(MMULT(I4255:W4255,_XtX!$B$78:$P$92),I4255:W4255)</f>
        <v>0.215110734192252</v>
      </c>
      <c r="Z4255" s="0" t="n">
        <f aca="false">04_回帰ANOVA!$K$19*04_回帰ANOVA!$K$14*SQRT(1+Y4255)</f>
        <v>1.43683309086864</v>
      </c>
      <c r="AA4255" s="0" t="n">
        <f aca="false">X4255-Z4255</f>
        <v>46.9058569676108</v>
      </c>
      <c r="AB4255" s="0" t="n">
        <f aca="false">X4255+Z4255</f>
        <v>49.7795231493481</v>
      </c>
      <c r="AC4255" s="54" t="b">
        <f aca="false">AND(E4255&gt;=01_因子設定!$L$5-0.000000001,E4255&lt;=01_因子設定!$M$5+0.000000001,F4255&gt;=01_因子設定!$L$6-0.000000001,F4255&lt;=01_因子設定!$M$6+0.000000001,G4255&gt;=01_因子設定!$L$7-0.000000001,G4255&lt;=01_因子設定!$M$7+0.000000001,H4255&gt;=01_因子設定!$L$8-0.000000001,H4255&lt;=01_因子設定!$M$8+0.000000001,IF(01_因子設定!$B$20="Box-Behnken",E4255^2+F4255^2+G4255^2+H4255^2&lt;=2+0.000000001,TRUE()))</f>
        <v>1</v>
      </c>
      <c r="AD4255" s="55" t="n">
        <f aca="false">IF(AC4255,IF(01_因子設定!$B$13="最大化",AA4255-01_因子設定!$B$14,IF(01_因子設定!$B$13="最小化",01_因子設定!$B$15-AB4255,MIN(AA4255-01_因子設定!$B$14,01_因子設定!$B$15-AB4255))),-1E+030)</f>
        <v>0.405856967610838</v>
      </c>
      <c r="AE4255" s="55" t="n">
        <f aca="false">IF(AC4255,IF(01_因子設定!$B$13="最大化",X4255,IF(01_因子設定!$B$13="最小化",-X4255,-ABS(X4255-01_因子設定!$B$16))),-1E+030)</f>
        <v>48.3426900584795</v>
      </c>
      <c r="AF4255" s="55" t="n">
        <f aca="false">AD4255+ROW()*0.000000001</f>
        <v>0.405861222610838</v>
      </c>
      <c r="AG4255" s="55" t="n">
        <f aca="false">AE4255+ROW()*0.000000001</f>
        <v>48.3426943134795</v>
      </c>
    </row>
    <row r="4256" customFormat="false" ht="15" hidden="false" customHeight="false" outlineLevel="0" collapsed="false">
      <c r="A4256" s="0" t="n">
        <v>5</v>
      </c>
      <c r="B4256" s="0" t="n">
        <v>7</v>
      </c>
      <c r="C4256" s="0" t="n">
        <v>4</v>
      </c>
      <c r="D4256" s="0" t="n">
        <v>3</v>
      </c>
      <c r="E4256" s="0" t="n">
        <f aca="false">-1+A4256*0.25</f>
        <v>0.25</v>
      </c>
      <c r="F4256" s="0" t="n">
        <f aca="false">-1+B4256*0.25</f>
        <v>0.75</v>
      </c>
      <c r="G4256" s="0" t="n">
        <f aca="false">-1+C4256*0.25</f>
        <v>0</v>
      </c>
      <c r="H4256" s="0" t="n">
        <f aca="false">-1+D4256*0.25</f>
        <v>-0.25</v>
      </c>
      <c r="I4256" s="0" t="n">
        <f aca="false">1</f>
        <v>1</v>
      </c>
      <c r="J4256" s="0" t="n">
        <f aca="false">E4256</f>
        <v>0.25</v>
      </c>
      <c r="K4256" s="0" t="n">
        <f aca="false">F4256</f>
        <v>0.75</v>
      </c>
      <c r="L4256" s="0" t="n">
        <f aca="false">G4256</f>
        <v>0</v>
      </c>
      <c r="M4256" s="0" t="n">
        <f aca="false">H4256</f>
        <v>-0.25</v>
      </c>
      <c r="N4256" s="0" t="n">
        <f aca="false">E4256*F4256</f>
        <v>0.1875</v>
      </c>
      <c r="O4256" s="0" t="n">
        <f aca="false">E4256*G4256</f>
        <v>0</v>
      </c>
      <c r="P4256" s="0" t="n">
        <f aca="false">E4256*H4256</f>
        <v>-0.0625</v>
      </c>
      <c r="Q4256" s="0" t="n">
        <f aca="false">F4256*G4256</f>
        <v>0</v>
      </c>
      <c r="R4256" s="0" t="n">
        <f aca="false">F4256*H4256</f>
        <v>-0.1875</v>
      </c>
      <c r="S4256" s="0" t="n">
        <f aca="false">G4256*H4256</f>
        <v>-0</v>
      </c>
      <c r="T4256" s="0" t="n">
        <f aca="false">E4256*E4256</f>
        <v>0.0625</v>
      </c>
      <c r="U4256" s="0" t="n">
        <f aca="false">F4256*F4256</f>
        <v>0.5625</v>
      </c>
      <c r="V4256" s="0" t="n">
        <f aca="false">G4256*G4256</f>
        <v>0</v>
      </c>
      <c r="W4256" s="0" t="n">
        <f aca="false">H4256*H4256</f>
        <v>0.0625</v>
      </c>
      <c r="X4256" s="0" t="n">
        <f aca="false">SUMPRODUCT(I4256:W4256,_XtX!$B$96:$P$96)</f>
        <v>48.4837582236842</v>
      </c>
      <c r="Y4256" s="0" t="n">
        <f aca="false">SUMPRODUCT(MMULT(I4256:W4256,_XtX!$B$78:$P$92),I4256:W4256)</f>
        <v>0.21135011193348</v>
      </c>
      <c r="Z4256" s="0" t="n">
        <f aca="false">04_回帰ANOVA!$K$19*04_回帰ANOVA!$K$14*SQRT(1+Y4256)</f>
        <v>1.43460795469709</v>
      </c>
      <c r="AA4256" s="0" t="n">
        <f aca="false">X4256-Z4256</f>
        <v>47.0491502689871</v>
      </c>
      <c r="AB4256" s="0" t="n">
        <f aca="false">X4256+Z4256</f>
        <v>49.9183661783812</v>
      </c>
      <c r="AC4256" s="54" t="b">
        <f aca="false">AND(E4256&gt;=01_因子設定!$L$5-0.000000001,E4256&lt;=01_因子設定!$M$5+0.000000001,F4256&gt;=01_因子設定!$L$6-0.000000001,F4256&lt;=01_因子設定!$M$6+0.000000001,G4256&gt;=01_因子設定!$L$7-0.000000001,G4256&lt;=01_因子設定!$M$7+0.000000001,H4256&gt;=01_因子設定!$L$8-0.000000001,H4256&lt;=01_因子設定!$M$8+0.000000001,IF(01_因子設定!$B$20="Box-Behnken",E4256^2+F4256^2+G4256^2+H4256^2&lt;=2+0.000000001,TRUE()))</f>
        <v>1</v>
      </c>
      <c r="AD4256" s="55" t="n">
        <f aca="false">IF(AC4256,IF(01_因子設定!$B$13="最大化",AA4256-01_因子設定!$B$14,IF(01_因子設定!$B$13="最小化",01_因子設定!$B$15-AB4256,MIN(AA4256-01_因子設定!$B$14,01_因子設定!$B$15-AB4256))),-1E+030)</f>
        <v>0.549150268987063</v>
      </c>
      <c r="AE4256" s="55" t="n">
        <f aca="false">IF(AC4256,IF(01_因子設定!$B$13="最大化",X4256,IF(01_因子設定!$B$13="最小化",-X4256,-ABS(X4256-01_因子設定!$B$16))),-1E+030)</f>
        <v>48.4837582236842</v>
      </c>
      <c r="AF4256" s="55" t="n">
        <f aca="false">AD4256+ROW()*0.000000001</f>
        <v>0.549154524987063</v>
      </c>
      <c r="AG4256" s="55" t="n">
        <f aca="false">AE4256+ROW()*0.000000001</f>
        <v>48.4837624796841</v>
      </c>
    </row>
    <row r="4257" customFormat="false" ht="15" hidden="false" customHeight="false" outlineLevel="0" collapsed="false">
      <c r="A4257" s="0" t="n">
        <v>5</v>
      </c>
      <c r="B4257" s="0" t="n">
        <v>7</v>
      </c>
      <c r="C4257" s="0" t="n">
        <v>4</v>
      </c>
      <c r="D4257" s="0" t="n">
        <v>4</v>
      </c>
      <c r="E4257" s="0" t="n">
        <f aca="false">-1+A4257*0.25</f>
        <v>0.25</v>
      </c>
      <c r="F4257" s="0" t="n">
        <f aca="false">-1+B4257*0.25</f>
        <v>0.75</v>
      </c>
      <c r="G4257" s="0" t="n">
        <f aca="false">-1+C4257*0.25</f>
        <v>0</v>
      </c>
      <c r="H4257" s="0" t="n">
        <f aca="false">-1+D4257*0.25</f>
        <v>0</v>
      </c>
      <c r="I4257" s="0" t="n">
        <f aca="false">1</f>
        <v>1</v>
      </c>
      <c r="J4257" s="0" t="n">
        <f aca="false">E4257</f>
        <v>0.25</v>
      </c>
      <c r="K4257" s="0" t="n">
        <f aca="false">F4257</f>
        <v>0.75</v>
      </c>
      <c r="L4257" s="0" t="n">
        <f aca="false">G4257</f>
        <v>0</v>
      </c>
      <c r="M4257" s="0" t="n">
        <f aca="false">H4257</f>
        <v>0</v>
      </c>
      <c r="N4257" s="0" t="n">
        <f aca="false">E4257*F4257</f>
        <v>0.1875</v>
      </c>
      <c r="O4257" s="0" t="n">
        <f aca="false">E4257*G4257</f>
        <v>0</v>
      </c>
      <c r="P4257" s="0" t="n">
        <f aca="false">E4257*H4257</f>
        <v>0</v>
      </c>
      <c r="Q4257" s="0" t="n">
        <f aca="false">F4257*G4257</f>
        <v>0</v>
      </c>
      <c r="R4257" s="0" t="n">
        <f aca="false">F4257*H4257</f>
        <v>0</v>
      </c>
      <c r="S4257" s="0" t="n">
        <f aca="false">G4257*H4257</f>
        <v>0</v>
      </c>
      <c r="T4257" s="0" t="n">
        <f aca="false">E4257*E4257</f>
        <v>0.0625</v>
      </c>
      <c r="U4257" s="0" t="n">
        <f aca="false">F4257*F4257</f>
        <v>0.5625</v>
      </c>
      <c r="V4257" s="0" t="n">
        <f aca="false">G4257*G4257</f>
        <v>0</v>
      </c>
      <c r="W4257" s="0" t="n">
        <f aca="false">H4257*H4257</f>
        <v>0</v>
      </c>
      <c r="X4257" s="0" t="n">
        <f aca="false">SUMPRODUCT(I4257:W4257,_XtX!$B$96:$P$96)</f>
        <v>48.577019371345</v>
      </c>
      <c r="Y4257" s="0" t="n">
        <f aca="false">SUMPRODUCT(MMULT(I4257:W4257,_XtX!$B$78:$P$92),I4257:W4257)</f>
        <v>0.216127272934942</v>
      </c>
      <c r="Z4257" s="0" t="n">
        <f aca="false">04_回帰ANOVA!$K$19*04_回帰ANOVA!$K$14*SQRT(1+Y4257)</f>
        <v>1.43743397896608</v>
      </c>
      <c r="AA4257" s="0" t="n">
        <f aca="false">X4257-Z4257</f>
        <v>47.1395853923789</v>
      </c>
      <c r="AB4257" s="0" t="n">
        <f aca="false">X4257+Z4257</f>
        <v>50.014453350311</v>
      </c>
      <c r="AC4257" s="54" t="b">
        <f aca="false">AND(E4257&gt;=01_因子設定!$L$5-0.000000001,E4257&lt;=01_因子設定!$M$5+0.000000001,F4257&gt;=01_因子設定!$L$6-0.000000001,F4257&lt;=01_因子設定!$M$6+0.000000001,G4257&gt;=01_因子設定!$L$7-0.000000001,G4257&lt;=01_因子設定!$M$7+0.000000001,H4257&gt;=01_因子設定!$L$8-0.000000001,H4257&lt;=01_因子設定!$M$8+0.000000001,IF(01_因子設定!$B$20="Box-Behnken",E4257^2+F4257^2+G4257^2+H4257^2&lt;=2+0.000000001,TRUE()))</f>
        <v>1</v>
      </c>
      <c r="AD4257" s="55" t="n">
        <f aca="false">IF(AC4257,IF(01_因子設定!$B$13="最大化",AA4257-01_因子設定!$B$14,IF(01_因子設定!$B$13="最小化",01_因子設定!$B$15-AB4257,MIN(AA4257-01_因子設定!$B$14,01_因子設定!$B$15-AB4257))),-1E+030)</f>
        <v>0.639585392378891</v>
      </c>
      <c r="AE4257" s="55" t="n">
        <f aca="false">IF(AC4257,IF(01_因子設定!$B$13="最大化",X4257,IF(01_因子設定!$B$13="最小化",-X4257,-ABS(X4257-01_因子設定!$B$16))),-1E+030)</f>
        <v>48.577019371345</v>
      </c>
      <c r="AF4257" s="55" t="n">
        <f aca="false">AD4257+ROW()*0.000000001</f>
        <v>0.639589649378891</v>
      </c>
      <c r="AG4257" s="55" t="n">
        <f aca="false">AE4257+ROW()*0.000000001</f>
        <v>48.577023628345</v>
      </c>
    </row>
    <row r="4258" customFormat="false" ht="15" hidden="false" customHeight="false" outlineLevel="0" collapsed="false">
      <c r="A4258" s="0" t="n">
        <v>5</v>
      </c>
      <c r="B4258" s="0" t="n">
        <v>7</v>
      </c>
      <c r="C4258" s="0" t="n">
        <v>4</v>
      </c>
      <c r="D4258" s="0" t="n">
        <v>5</v>
      </c>
      <c r="E4258" s="0" t="n">
        <f aca="false">-1+A4258*0.25</f>
        <v>0.25</v>
      </c>
      <c r="F4258" s="0" t="n">
        <f aca="false">-1+B4258*0.25</f>
        <v>0.75</v>
      </c>
      <c r="G4258" s="0" t="n">
        <f aca="false">-1+C4258*0.25</f>
        <v>0</v>
      </c>
      <c r="H4258" s="0" t="n">
        <f aca="false">-1+D4258*0.25</f>
        <v>0.25</v>
      </c>
      <c r="I4258" s="0" t="n">
        <f aca="false">1</f>
        <v>1</v>
      </c>
      <c r="J4258" s="0" t="n">
        <f aca="false">E4258</f>
        <v>0.25</v>
      </c>
      <c r="K4258" s="0" t="n">
        <f aca="false">F4258</f>
        <v>0.75</v>
      </c>
      <c r="L4258" s="0" t="n">
        <f aca="false">G4258</f>
        <v>0</v>
      </c>
      <c r="M4258" s="0" t="n">
        <f aca="false">H4258</f>
        <v>0.25</v>
      </c>
      <c r="N4258" s="0" t="n">
        <f aca="false">E4258*F4258</f>
        <v>0.1875</v>
      </c>
      <c r="O4258" s="0" t="n">
        <f aca="false">E4258*G4258</f>
        <v>0</v>
      </c>
      <c r="P4258" s="0" t="n">
        <f aca="false">E4258*H4258</f>
        <v>0.0625</v>
      </c>
      <c r="Q4258" s="0" t="n">
        <f aca="false">F4258*G4258</f>
        <v>0</v>
      </c>
      <c r="R4258" s="0" t="n">
        <f aca="false">F4258*H4258</f>
        <v>0.1875</v>
      </c>
      <c r="S4258" s="0" t="n">
        <f aca="false">G4258*H4258</f>
        <v>0</v>
      </c>
      <c r="T4258" s="0" t="n">
        <f aca="false">E4258*E4258</f>
        <v>0.0625</v>
      </c>
      <c r="U4258" s="0" t="n">
        <f aca="false">F4258*F4258</f>
        <v>0.5625</v>
      </c>
      <c r="V4258" s="0" t="n">
        <f aca="false">G4258*G4258</f>
        <v>0</v>
      </c>
      <c r="W4258" s="0" t="n">
        <f aca="false">H4258*H4258</f>
        <v>0.0625</v>
      </c>
      <c r="X4258" s="0" t="n">
        <f aca="false">SUMPRODUCT(I4258:W4258,_XtX!$B$96:$P$96)</f>
        <v>48.6224735014619</v>
      </c>
      <c r="Y4258" s="0" t="n">
        <f aca="false">SUMPRODUCT(MMULT(I4258:W4258,_XtX!$B$78:$P$92),I4258:W4258)</f>
        <v>0.21135011193348</v>
      </c>
      <c r="Z4258" s="0" t="n">
        <f aca="false">04_回帰ANOVA!$K$19*04_回帰ANOVA!$K$14*SQRT(1+Y4258)</f>
        <v>1.43460795469709</v>
      </c>
      <c r="AA4258" s="0" t="n">
        <f aca="false">X4258-Z4258</f>
        <v>47.1878655467648</v>
      </c>
      <c r="AB4258" s="0" t="n">
        <f aca="false">X4258+Z4258</f>
        <v>50.057081456159</v>
      </c>
      <c r="AC4258" s="54" t="b">
        <f aca="false">AND(E4258&gt;=01_因子設定!$L$5-0.000000001,E4258&lt;=01_因子設定!$M$5+0.000000001,F4258&gt;=01_因子設定!$L$6-0.000000001,F4258&lt;=01_因子設定!$M$6+0.000000001,G4258&gt;=01_因子設定!$L$7-0.000000001,G4258&lt;=01_因子設定!$M$7+0.000000001,H4258&gt;=01_因子設定!$L$8-0.000000001,H4258&lt;=01_因子設定!$M$8+0.000000001,IF(01_因子設定!$B$20="Box-Behnken",E4258^2+F4258^2+G4258^2+H4258^2&lt;=2+0.000000001,TRUE()))</f>
        <v>1</v>
      </c>
      <c r="AD4258" s="55" t="n">
        <f aca="false">IF(AC4258,IF(01_因子設定!$B$13="最大化",AA4258-01_因子設定!$B$14,IF(01_因子設定!$B$13="最小化",01_因子設定!$B$15-AB4258,MIN(AA4258-01_因子設定!$B$14,01_因子設定!$B$15-AB4258))),-1E+030)</f>
        <v>0.68786554676484</v>
      </c>
      <c r="AE4258" s="55" t="n">
        <f aca="false">IF(AC4258,IF(01_因子設定!$B$13="最大化",X4258,IF(01_因子設定!$B$13="最小化",-X4258,-ABS(X4258-01_因子設定!$B$16))),-1E+030)</f>
        <v>48.6224735014619</v>
      </c>
      <c r="AF4258" s="55" t="n">
        <f aca="false">AD4258+ROW()*0.000000001</f>
        <v>0.68786980476484</v>
      </c>
      <c r="AG4258" s="55" t="n">
        <f aca="false">AE4258+ROW()*0.000000001</f>
        <v>48.6224777594619</v>
      </c>
    </row>
    <row r="4259" customFormat="false" ht="15" hidden="false" customHeight="false" outlineLevel="0" collapsed="false">
      <c r="A4259" s="0" t="n">
        <v>5</v>
      </c>
      <c r="B4259" s="0" t="n">
        <v>7</v>
      </c>
      <c r="C4259" s="0" t="n">
        <v>4</v>
      </c>
      <c r="D4259" s="0" t="n">
        <v>6</v>
      </c>
      <c r="E4259" s="0" t="n">
        <f aca="false">-1+A4259*0.25</f>
        <v>0.25</v>
      </c>
      <c r="F4259" s="0" t="n">
        <f aca="false">-1+B4259*0.25</f>
        <v>0.75</v>
      </c>
      <c r="G4259" s="0" t="n">
        <f aca="false">-1+C4259*0.25</f>
        <v>0</v>
      </c>
      <c r="H4259" s="0" t="n">
        <f aca="false">-1+D4259*0.25</f>
        <v>0.5</v>
      </c>
      <c r="I4259" s="0" t="n">
        <f aca="false">1</f>
        <v>1</v>
      </c>
      <c r="J4259" s="0" t="n">
        <f aca="false">E4259</f>
        <v>0.25</v>
      </c>
      <c r="K4259" s="0" t="n">
        <f aca="false">F4259</f>
        <v>0.75</v>
      </c>
      <c r="L4259" s="0" t="n">
        <f aca="false">G4259</f>
        <v>0</v>
      </c>
      <c r="M4259" s="0" t="n">
        <f aca="false">H4259</f>
        <v>0.5</v>
      </c>
      <c r="N4259" s="0" t="n">
        <f aca="false">E4259*F4259</f>
        <v>0.1875</v>
      </c>
      <c r="O4259" s="0" t="n">
        <f aca="false">E4259*G4259</f>
        <v>0</v>
      </c>
      <c r="P4259" s="0" t="n">
        <f aca="false">E4259*H4259</f>
        <v>0.125</v>
      </c>
      <c r="Q4259" s="0" t="n">
        <f aca="false">F4259*G4259</f>
        <v>0</v>
      </c>
      <c r="R4259" s="0" t="n">
        <f aca="false">F4259*H4259</f>
        <v>0.375</v>
      </c>
      <c r="S4259" s="0" t="n">
        <f aca="false">G4259*H4259</f>
        <v>0</v>
      </c>
      <c r="T4259" s="0" t="n">
        <f aca="false">E4259*E4259</f>
        <v>0.0625</v>
      </c>
      <c r="U4259" s="0" t="n">
        <f aca="false">F4259*F4259</f>
        <v>0.5625</v>
      </c>
      <c r="V4259" s="0" t="n">
        <f aca="false">G4259*G4259</f>
        <v>0</v>
      </c>
      <c r="W4259" s="0" t="n">
        <f aca="false">H4259*H4259</f>
        <v>0.25</v>
      </c>
      <c r="X4259" s="0" t="n">
        <f aca="false">SUMPRODUCT(I4259:W4259,_XtX!$B$96:$P$96)</f>
        <v>48.620120614035</v>
      </c>
      <c r="Y4259" s="0" t="n">
        <f aca="false">SUMPRODUCT(MMULT(I4259:W4259,_XtX!$B$78:$P$92),I4259:W4259)</f>
        <v>0.215110734192252</v>
      </c>
      <c r="Z4259" s="0" t="n">
        <f aca="false">04_回帰ANOVA!$K$19*04_回帰ANOVA!$K$14*SQRT(1+Y4259)</f>
        <v>1.43683309086864</v>
      </c>
      <c r="AA4259" s="0" t="n">
        <f aca="false">X4259-Z4259</f>
        <v>47.1832875231664</v>
      </c>
      <c r="AB4259" s="0" t="n">
        <f aca="false">X4259+Z4259</f>
        <v>50.0569537049037</v>
      </c>
      <c r="AC4259" s="54" t="b">
        <f aca="false">AND(E4259&gt;=01_因子設定!$L$5-0.000000001,E4259&lt;=01_因子設定!$M$5+0.000000001,F4259&gt;=01_因子設定!$L$6-0.000000001,F4259&lt;=01_因子設定!$M$6+0.000000001,G4259&gt;=01_因子設定!$L$7-0.000000001,G4259&lt;=01_因子設定!$M$7+0.000000001,H4259&gt;=01_因子設定!$L$8-0.000000001,H4259&lt;=01_因子設定!$M$8+0.000000001,IF(01_因子設定!$B$20="Box-Behnken",E4259^2+F4259^2+G4259^2+H4259^2&lt;=2+0.000000001,TRUE()))</f>
        <v>1</v>
      </c>
      <c r="AD4259" s="55" t="n">
        <f aca="false">IF(AC4259,IF(01_因子設定!$B$13="最大化",AA4259-01_因子設定!$B$14,IF(01_因子設定!$B$13="最小化",01_因子設定!$B$15-AB4259,MIN(AA4259-01_因子設定!$B$14,01_因子設定!$B$15-AB4259))),-1E+030)</f>
        <v>0.683287523166392</v>
      </c>
      <c r="AE4259" s="55" t="n">
        <f aca="false">IF(AC4259,IF(01_因子設定!$B$13="最大化",X4259,IF(01_因子設定!$B$13="最小化",-X4259,-ABS(X4259-01_因子設定!$B$16))),-1E+030)</f>
        <v>48.620120614035</v>
      </c>
      <c r="AF4259" s="55" t="n">
        <f aca="false">AD4259+ROW()*0.000000001</f>
        <v>0.683291782166392</v>
      </c>
      <c r="AG4259" s="55" t="n">
        <f aca="false">AE4259+ROW()*0.000000001</f>
        <v>48.620124873035</v>
      </c>
    </row>
    <row r="4260" customFormat="false" ht="15" hidden="false" customHeight="false" outlineLevel="0" collapsed="false">
      <c r="A4260" s="0" t="n">
        <v>5</v>
      </c>
      <c r="B4260" s="0" t="n">
        <v>7</v>
      </c>
      <c r="C4260" s="0" t="n">
        <v>4</v>
      </c>
      <c r="D4260" s="0" t="n">
        <v>7</v>
      </c>
      <c r="E4260" s="0" t="n">
        <f aca="false">-1+A4260*0.25</f>
        <v>0.25</v>
      </c>
      <c r="F4260" s="0" t="n">
        <f aca="false">-1+B4260*0.25</f>
        <v>0.75</v>
      </c>
      <c r="G4260" s="0" t="n">
        <f aca="false">-1+C4260*0.25</f>
        <v>0</v>
      </c>
      <c r="H4260" s="0" t="n">
        <f aca="false">-1+D4260*0.25</f>
        <v>0.75</v>
      </c>
      <c r="I4260" s="0" t="n">
        <f aca="false">1</f>
        <v>1</v>
      </c>
      <c r="J4260" s="0" t="n">
        <f aca="false">E4260</f>
        <v>0.25</v>
      </c>
      <c r="K4260" s="0" t="n">
        <f aca="false">F4260</f>
        <v>0.75</v>
      </c>
      <c r="L4260" s="0" t="n">
        <f aca="false">G4260</f>
        <v>0</v>
      </c>
      <c r="M4260" s="0" t="n">
        <f aca="false">H4260</f>
        <v>0.75</v>
      </c>
      <c r="N4260" s="0" t="n">
        <f aca="false">E4260*F4260</f>
        <v>0.1875</v>
      </c>
      <c r="O4260" s="0" t="n">
        <f aca="false">E4260*G4260</f>
        <v>0</v>
      </c>
      <c r="P4260" s="0" t="n">
        <f aca="false">E4260*H4260</f>
        <v>0.1875</v>
      </c>
      <c r="Q4260" s="0" t="n">
        <f aca="false">F4260*G4260</f>
        <v>0</v>
      </c>
      <c r="R4260" s="0" t="n">
        <f aca="false">F4260*H4260</f>
        <v>0.5625</v>
      </c>
      <c r="S4260" s="0" t="n">
        <f aca="false">G4260*H4260</f>
        <v>0</v>
      </c>
      <c r="T4260" s="0" t="n">
        <f aca="false">E4260*E4260</f>
        <v>0.0625</v>
      </c>
      <c r="U4260" s="0" t="n">
        <f aca="false">F4260*F4260</f>
        <v>0.5625</v>
      </c>
      <c r="V4260" s="0" t="n">
        <f aca="false">G4260*G4260</f>
        <v>0</v>
      </c>
      <c r="W4260" s="0" t="n">
        <f aca="false">H4260*H4260</f>
        <v>0.5625</v>
      </c>
      <c r="X4260" s="0" t="n">
        <f aca="false">SUMPRODUCT(I4260:W4260,_XtX!$B$96:$P$96)</f>
        <v>48.5699607090643</v>
      </c>
      <c r="Y4260" s="0" t="n">
        <f aca="false">SUMPRODUCT(MMULT(I4260:W4260,_XtX!$B$78:$P$92),I4260:W4260)</f>
        <v>0.281685455500731</v>
      </c>
      <c r="Z4260" s="0" t="n">
        <f aca="false">04_回帰ANOVA!$K$19*04_回帰ANOVA!$K$14*SQRT(1+Y4260)</f>
        <v>1.47566956658694</v>
      </c>
      <c r="AA4260" s="0" t="n">
        <f aca="false">X4260-Z4260</f>
        <v>47.0942911424773</v>
      </c>
      <c r="AB4260" s="0" t="n">
        <f aca="false">X4260+Z4260</f>
        <v>50.0456302756512</v>
      </c>
      <c r="AC4260" s="54" t="b">
        <f aca="false">AND(E4260&gt;=01_因子設定!$L$5-0.000000001,E4260&lt;=01_因子設定!$M$5+0.000000001,F4260&gt;=01_因子設定!$L$6-0.000000001,F4260&lt;=01_因子設定!$M$6+0.000000001,G4260&gt;=01_因子設定!$L$7-0.000000001,G4260&lt;=01_因子設定!$M$7+0.000000001,H4260&gt;=01_因子設定!$L$8-0.000000001,H4260&lt;=01_因子設定!$M$8+0.000000001,IF(01_因子設定!$B$20="Box-Behnken",E4260^2+F4260^2+G4260^2+H4260^2&lt;=2+0.000000001,TRUE()))</f>
        <v>1</v>
      </c>
      <c r="AD4260" s="55" t="n">
        <f aca="false">IF(AC4260,IF(01_因子設定!$B$13="最大化",AA4260-01_因子設定!$B$14,IF(01_因子設定!$B$13="最小化",01_因子設定!$B$15-AB4260,MIN(AA4260-01_因子設定!$B$14,01_因子設定!$B$15-AB4260))),-1E+030)</f>
        <v>0.594291142477346</v>
      </c>
      <c r="AE4260" s="55" t="n">
        <f aca="false">IF(AC4260,IF(01_因子設定!$B$13="最大化",X4260,IF(01_因子設定!$B$13="最小化",-X4260,-ABS(X4260-01_因子設定!$B$16))),-1E+030)</f>
        <v>48.5699607090643</v>
      </c>
      <c r="AF4260" s="55" t="n">
        <f aca="false">AD4260+ROW()*0.000000001</f>
        <v>0.594295402477346</v>
      </c>
      <c r="AG4260" s="55" t="n">
        <f aca="false">AE4260+ROW()*0.000000001</f>
        <v>48.5699649690643</v>
      </c>
    </row>
    <row r="4261" customFormat="false" ht="15" hidden="false" customHeight="false" outlineLevel="0" collapsed="false">
      <c r="A4261" s="0" t="n">
        <v>5</v>
      </c>
      <c r="B4261" s="0" t="n">
        <v>7</v>
      </c>
      <c r="C4261" s="0" t="n">
        <v>4</v>
      </c>
      <c r="D4261" s="0" t="n">
        <v>8</v>
      </c>
      <c r="E4261" s="0" t="n">
        <f aca="false">-1+A4261*0.25</f>
        <v>0.25</v>
      </c>
      <c r="F4261" s="0" t="n">
        <f aca="false">-1+B4261*0.25</f>
        <v>0.75</v>
      </c>
      <c r="G4261" s="0" t="n">
        <f aca="false">-1+C4261*0.25</f>
        <v>0</v>
      </c>
      <c r="H4261" s="0" t="n">
        <f aca="false">-1+D4261*0.25</f>
        <v>1</v>
      </c>
      <c r="I4261" s="0" t="n">
        <f aca="false">1</f>
        <v>1</v>
      </c>
      <c r="J4261" s="0" t="n">
        <f aca="false">E4261</f>
        <v>0.25</v>
      </c>
      <c r="K4261" s="0" t="n">
        <f aca="false">F4261</f>
        <v>0.75</v>
      </c>
      <c r="L4261" s="0" t="n">
        <f aca="false">G4261</f>
        <v>0</v>
      </c>
      <c r="M4261" s="0" t="n">
        <f aca="false">H4261</f>
        <v>1</v>
      </c>
      <c r="N4261" s="0" t="n">
        <f aca="false">E4261*F4261</f>
        <v>0.1875</v>
      </c>
      <c r="O4261" s="0" t="n">
        <f aca="false">E4261*G4261</f>
        <v>0</v>
      </c>
      <c r="P4261" s="0" t="n">
        <f aca="false">E4261*H4261</f>
        <v>0.25</v>
      </c>
      <c r="Q4261" s="0" t="n">
        <f aca="false">F4261*G4261</f>
        <v>0</v>
      </c>
      <c r="R4261" s="0" t="n">
        <f aca="false">F4261*H4261</f>
        <v>0.75</v>
      </c>
      <c r="S4261" s="0" t="n">
        <f aca="false">G4261*H4261</f>
        <v>0</v>
      </c>
      <c r="T4261" s="0" t="n">
        <f aca="false">E4261*E4261</f>
        <v>0.0625</v>
      </c>
      <c r="U4261" s="0" t="n">
        <f aca="false">F4261*F4261</f>
        <v>0.5625</v>
      </c>
      <c r="V4261" s="0" t="n">
        <f aca="false">G4261*G4261</f>
        <v>0</v>
      </c>
      <c r="W4261" s="0" t="n">
        <f aca="false">H4261*H4261</f>
        <v>1</v>
      </c>
      <c r="X4261" s="0" t="n">
        <f aca="false">SUMPRODUCT(I4261:W4261,_XtX!$B$96:$P$96)</f>
        <v>48.4719937865497</v>
      </c>
      <c r="Y4261" s="0" t="n">
        <f aca="false">SUMPRODUCT(MMULT(I4261:W4261,_XtX!$B$78:$P$92),I4261:W4261)</f>
        <v>0.501534802174708</v>
      </c>
      <c r="Z4261" s="0" t="n">
        <f aca="false">04_回帰ANOVA!$K$19*04_回帰ANOVA!$K$14*SQRT(1+Y4261)</f>
        <v>1.59722498091333</v>
      </c>
      <c r="AA4261" s="0" t="n">
        <f aca="false">X4261-Z4261</f>
        <v>46.8747688056364</v>
      </c>
      <c r="AB4261" s="0" t="n">
        <f aca="false">X4261+Z4261</f>
        <v>50.069218767463</v>
      </c>
      <c r="AC4261" s="54" t="b">
        <f aca="false">AND(E4261&gt;=01_因子設定!$L$5-0.000000001,E4261&lt;=01_因子設定!$M$5+0.000000001,F4261&gt;=01_因子設定!$L$6-0.000000001,F4261&lt;=01_因子設定!$M$6+0.000000001,G4261&gt;=01_因子設定!$L$7-0.000000001,G4261&lt;=01_因子設定!$M$7+0.000000001,H4261&gt;=01_因子設定!$L$8-0.000000001,H4261&lt;=01_因子設定!$M$8+0.000000001,IF(01_因子設定!$B$20="Box-Behnken",E4261^2+F4261^2+G4261^2+H4261^2&lt;=2+0.000000001,TRUE()))</f>
        <v>1</v>
      </c>
      <c r="AD4261" s="55" t="n">
        <f aca="false">IF(AC4261,IF(01_因子設定!$B$13="最大化",AA4261-01_因子設定!$B$14,IF(01_因子設定!$B$13="最小化",01_因子設定!$B$15-AB4261,MIN(AA4261-01_因子設定!$B$14,01_因子設定!$B$15-AB4261))),-1E+030)</f>
        <v>0.37476880563635</v>
      </c>
      <c r="AE4261" s="55" t="n">
        <f aca="false">IF(AC4261,IF(01_因子設定!$B$13="最大化",X4261,IF(01_因子設定!$B$13="最小化",-X4261,-ABS(X4261-01_因子設定!$B$16))),-1E+030)</f>
        <v>48.4719937865497</v>
      </c>
      <c r="AF4261" s="55" t="n">
        <f aca="false">AD4261+ROW()*0.000000001</f>
        <v>0.37477306663635</v>
      </c>
      <c r="AG4261" s="55" t="n">
        <f aca="false">AE4261+ROW()*0.000000001</f>
        <v>48.4719980475497</v>
      </c>
    </row>
    <row r="4262" customFormat="false" ht="15" hidden="false" customHeight="false" outlineLevel="0" collapsed="false">
      <c r="A4262" s="0" t="n">
        <v>5</v>
      </c>
      <c r="B4262" s="0" t="n">
        <v>7</v>
      </c>
      <c r="C4262" s="0" t="n">
        <v>5</v>
      </c>
      <c r="D4262" s="0" t="n">
        <v>0</v>
      </c>
      <c r="E4262" s="0" t="n">
        <f aca="false">-1+A4262*0.25</f>
        <v>0.25</v>
      </c>
      <c r="F4262" s="0" t="n">
        <f aca="false">-1+B4262*0.25</f>
        <v>0.75</v>
      </c>
      <c r="G4262" s="0" t="n">
        <f aca="false">-1+C4262*0.25</f>
        <v>0.25</v>
      </c>
      <c r="H4262" s="0" t="n">
        <f aca="false">-1+D4262*0.25</f>
        <v>-1</v>
      </c>
      <c r="I4262" s="0" t="n">
        <f aca="false">1</f>
        <v>1</v>
      </c>
      <c r="J4262" s="0" t="n">
        <f aca="false">E4262</f>
        <v>0.25</v>
      </c>
      <c r="K4262" s="0" t="n">
        <f aca="false">F4262</f>
        <v>0.75</v>
      </c>
      <c r="L4262" s="0" t="n">
        <f aca="false">G4262</f>
        <v>0.25</v>
      </c>
      <c r="M4262" s="0" t="n">
        <f aca="false">H4262</f>
        <v>-1</v>
      </c>
      <c r="N4262" s="0" t="n">
        <f aca="false">E4262*F4262</f>
        <v>0.1875</v>
      </c>
      <c r="O4262" s="0" t="n">
        <f aca="false">E4262*G4262</f>
        <v>0.0625</v>
      </c>
      <c r="P4262" s="0" t="n">
        <f aca="false">E4262*H4262</f>
        <v>-0.25</v>
      </c>
      <c r="Q4262" s="0" t="n">
        <f aca="false">F4262*G4262</f>
        <v>0.1875</v>
      </c>
      <c r="R4262" s="0" t="n">
        <f aca="false">F4262*H4262</f>
        <v>-0.75</v>
      </c>
      <c r="S4262" s="0" t="n">
        <f aca="false">G4262*H4262</f>
        <v>-0.25</v>
      </c>
      <c r="T4262" s="0" t="n">
        <f aca="false">E4262*E4262</f>
        <v>0.0625</v>
      </c>
      <c r="U4262" s="0" t="n">
        <f aca="false">F4262*F4262</f>
        <v>0.5625</v>
      </c>
      <c r="V4262" s="0" t="n">
        <f aca="false">G4262*G4262</f>
        <v>0.0625</v>
      </c>
      <c r="W4262" s="0" t="n">
        <f aca="false">H4262*H4262</f>
        <v>1</v>
      </c>
      <c r="X4262" s="0" t="n">
        <f aca="false">SUMPRODUCT(I4262:W4262,_XtX!$B$96:$P$96)</f>
        <v>48.06640625</v>
      </c>
      <c r="Y4262" s="0" t="n">
        <f aca="false">SUMPRODUCT(MMULT(I4262:W4262,_XtX!$B$78:$P$92),I4262:W4262)</f>
        <v>0.486409505208333</v>
      </c>
      <c r="Z4262" s="0" t="n">
        <f aca="false">04_回帰ANOVA!$K$19*04_回帰ANOVA!$K$14*SQRT(1+Y4262)</f>
        <v>1.58916001665498</v>
      </c>
      <c r="AA4262" s="0" t="n">
        <f aca="false">X4262-Z4262</f>
        <v>46.477246233345</v>
      </c>
      <c r="AB4262" s="0" t="n">
        <f aca="false">X4262+Z4262</f>
        <v>49.655566266655</v>
      </c>
      <c r="AC4262" s="54" t="b">
        <f aca="false">AND(E4262&gt;=01_因子設定!$L$5-0.000000001,E4262&lt;=01_因子設定!$M$5+0.000000001,F4262&gt;=01_因子設定!$L$6-0.000000001,F4262&lt;=01_因子設定!$M$6+0.000000001,G4262&gt;=01_因子設定!$L$7-0.000000001,G4262&lt;=01_因子設定!$M$7+0.000000001,H4262&gt;=01_因子設定!$L$8-0.000000001,H4262&lt;=01_因子設定!$M$8+0.000000001,IF(01_因子設定!$B$20="Box-Behnken",E4262^2+F4262^2+G4262^2+H4262^2&lt;=2+0.000000001,TRUE()))</f>
        <v>1</v>
      </c>
      <c r="AD4262" s="55" t="n">
        <f aca="false">IF(AC4262,IF(01_因子設定!$B$13="最大化",AA4262-01_因子設定!$B$14,IF(01_因子設定!$B$13="最小化",01_因子設定!$B$15-AB4262,MIN(AA4262-01_因子設定!$B$14,01_因子設定!$B$15-AB4262))),-1E+030)</f>
        <v>-0.0227537666550006</v>
      </c>
      <c r="AE4262" s="55" t="n">
        <f aca="false">IF(AC4262,IF(01_因子設定!$B$13="最大化",X4262,IF(01_因子設定!$B$13="最小化",-X4262,-ABS(X4262-01_因子設定!$B$16))),-1E+030)</f>
        <v>48.06640625</v>
      </c>
      <c r="AF4262" s="55" t="n">
        <f aca="false">AD4262+ROW()*0.000000001</f>
        <v>-0.0227495046550006</v>
      </c>
      <c r="AG4262" s="55" t="n">
        <f aca="false">AE4262+ROW()*0.000000001</f>
        <v>48.066410512</v>
      </c>
    </row>
    <row r="4263" customFormat="false" ht="15" hidden="false" customHeight="false" outlineLevel="0" collapsed="false">
      <c r="A4263" s="0" t="n">
        <v>5</v>
      </c>
      <c r="B4263" s="0" t="n">
        <v>7</v>
      </c>
      <c r="C4263" s="0" t="n">
        <v>5</v>
      </c>
      <c r="D4263" s="0" t="n">
        <v>1</v>
      </c>
      <c r="E4263" s="0" t="n">
        <f aca="false">-1+A4263*0.25</f>
        <v>0.25</v>
      </c>
      <c r="F4263" s="0" t="n">
        <f aca="false">-1+B4263*0.25</f>
        <v>0.75</v>
      </c>
      <c r="G4263" s="0" t="n">
        <f aca="false">-1+C4263*0.25</f>
        <v>0.25</v>
      </c>
      <c r="H4263" s="0" t="n">
        <f aca="false">-1+D4263*0.25</f>
        <v>-0.75</v>
      </c>
      <c r="I4263" s="0" t="n">
        <f aca="false">1</f>
        <v>1</v>
      </c>
      <c r="J4263" s="0" t="n">
        <f aca="false">E4263</f>
        <v>0.25</v>
      </c>
      <c r="K4263" s="0" t="n">
        <f aca="false">F4263</f>
        <v>0.75</v>
      </c>
      <c r="L4263" s="0" t="n">
        <f aca="false">G4263</f>
        <v>0.25</v>
      </c>
      <c r="M4263" s="0" t="n">
        <f aca="false">H4263</f>
        <v>-0.75</v>
      </c>
      <c r="N4263" s="0" t="n">
        <f aca="false">E4263*F4263</f>
        <v>0.1875</v>
      </c>
      <c r="O4263" s="0" t="n">
        <f aca="false">E4263*G4263</f>
        <v>0.0625</v>
      </c>
      <c r="P4263" s="0" t="n">
        <f aca="false">E4263*H4263</f>
        <v>-0.1875</v>
      </c>
      <c r="Q4263" s="0" t="n">
        <f aca="false">F4263*G4263</f>
        <v>0.1875</v>
      </c>
      <c r="R4263" s="0" t="n">
        <f aca="false">F4263*H4263</f>
        <v>-0.5625</v>
      </c>
      <c r="S4263" s="0" t="n">
        <f aca="false">G4263*H4263</f>
        <v>-0.1875</v>
      </c>
      <c r="T4263" s="0" t="n">
        <f aca="false">E4263*E4263</f>
        <v>0.0625</v>
      </c>
      <c r="U4263" s="0" t="n">
        <f aca="false">F4263*F4263</f>
        <v>0.5625</v>
      </c>
      <c r="V4263" s="0" t="n">
        <f aca="false">G4263*G4263</f>
        <v>0.0625</v>
      </c>
      <c r="W4263" s="0" t="n">
        <f aca="false">H4263*H4263</f>
        <v>0.5625</v>
      </c>
      <c r="X4263" s="0" t="n">
        <f aca="false">SUMPRODUCT(I4263:W4263,_XtX!$B$96:$P$96)</f>
        <v>48.3210572002924</v>
      </c>
      <c r="Y4263" s="0" t="n">
        <f aca="false">SUMPRODUCT(MMULT(I4263:W4263,_XtX!$B$78:$P$92),I4263:W4263)</f>
        <v>0.271087468019006</v>
      </c>
      <c r="Z4263" s="0" t="n">
        <f aca="false">04_回帰ANOVA!$K$19*04_回帰ANOVA!$K$14*SQRT(1+Y4263)</f>
        <v>1.46955590155034</v>
      </c>
      <c r="AA4263" s="0" t="n">
        <f aca="false">X4263-Z4263</f>
        <v>46.851501298742</v>
      </c>
      <c r="AB4263" s="0" t="n">
        <f aca="false">X4263+Z4263</f>
        <v>49.7906131018427</v>
      </c>
      <c r="AC4263" s="54" t="b">
        <f aca="false">AND(E4263&gt;=01_因子設定!$L$5-0.000000001,E4263&lt;=01_因子設定!$M$5+0.000000001,F4263&gt;=01_因子設定!$L$6-0.000000001,F4263&lt;=01_因子設定!$M$6+0.000000001,G4263&gt;=01_因子設定!$L$7-0.000000001,G4263&lt;=01_因子設定!$M$7+0.000000001,H4263&gt;=01_因子設定!$L$8-0.000000001,H4263&lt;=01_因子設定!$M$8+0.000000001,IF(01_因子設定!$B$20="Box-Behnken",E4263^2+F4263^2+G4263^2+H4263^2&lt;=2+0.000000001,TRUE()))</f>
        <v>1</v>
      </c>
      <c r="AD4263" s="55" t="n">
        <f aca="false">IF(AC4263,IF(01_因子設定!$B$13="最大化",AA4263-01_因子設定!$B$14,IF(01_因子設定!$B$13="最小化",01_因子設定!$B$15-AB4263,MIN(AA4263-01_因子設定!$B$14,01_因子設定!$B$15-AB4263))),-1E+030)</f>
        <v>0.351501298742015</v>
      </c>
      <c r="AE4263" s="55" t="n">
        <f aca="false">IF(AC4263,IF(01_因子設定!$B$13="最大化",X4263,IF(01_因子設定!$B$13="最小化",-X4263,-ABS(X4263-01_因子設定!$B$16))),-1E+030)</f>
        <v>48.3210572002924</v>
      </c>
      <c r="AF4263" s="55" t="n">
        <f aca="false">AD4263+ROW()*0.000000001</f>
        <v>0.351505561742015</v>
      </c>
      <c r="AG4263" s="55" t="n">
        <f aca="false">AE4263+ROW()*0.000000001</f>
        <v>48.3210614632924</v>
      </c>
    </row>
    <row r="4264" customFormat="false" ht="15" hidden="false" customHeight="false" outlineLevel="0" collapsed="false">
      <c r="A4264" s="0" t="n">
        <v>5</v>
      </c>
      <c r="B4264" s="0" t="n">
        <v>7</v>
      </c>
      <c r="C4264" s="0" t="n">
        <v>5</v>
      </c>
      <c r="D4264" s="0" t="n">
        <v>2</v>
      </c>
      <c r="E4264" s="0" t="n">
        <f aca="false">-1+A4264*0.25</f>
        <v>0.25</v>
      </c>
      <c r="F4264" s="0" t="n">
        <f aca="false">-1+B4264*0.25</f>
        <v>0.75</v>
      </c>
      <c r="G4264" s="0" t="n">
        <f aca="false">-1+C4264*0.25</f>
        <v>0.25</v>
      </c>
      <c r="H4264" s="0" t="n">
        <f aca="false">-1+D4264*0.25</f>
        <v>-0.5</v>
      </c>
      <c r="I4264" s="0" t="n">
        <f aca="false">1</f>
        <v>1</v>
      </c>
      <c r="J4264" s="0" t="n">
        <f aca="false">E4264</f>
        <v>0.25</v>
      </c>
      <c r="K4264" s="0" t="n">
        <f aca="false">F4264</f>
        <v>0.75</v>
      </c>
      <c r="L4264" s="0" t="n">
        <f aca="false">G4264</f>
        <v>0.25</v>
      </c>
      <c r="M4264" s="0" t="n">
        <f aca="false">H4264</f>
        <v>-0.5</v>
      </c>
      <c r="N4264" s="0" t="n">
        <f aca="false">E4264*F4264</f>
        <v>0.1875</v>
      </c>
      <c r="O4264" s="0" t="n">
        <f aca="false">E4264*G4264</f>
        <v>0.0625</v>
      </c>
      <c r="P4264" s="0" t="n">
        <f aca="false">E4264*H4264</f>
        <v>-0.125</v>
      </c>
      <c r="Q4264" s="0" t="n">
        <f aca="false">F4264*G4264</f>
        <v>0.1875</v>
      </c>
      <c r="R4264" s="0" t="n">
        <f aca="false">F4264*H4264</f>
        <v>-0.375</v>
      </c>
      <c r="S4264" s="0" t="n">
        <f aca="false">G4264*H4264</f>
        <v>-0.125</v>
      </c>
      <c r="T4264" s="0" t="n">
        <f aca="false">E4264*E4264</f>
        <v>0.0625</v>
      </c>
      <c r="U4264" s="0" t="n">
        <f aca="false">F4264*F4264</f>
        <v>0.5625</v>
      </c>
      <c r="V4264" s="0" t="n">
        <f aca="false">G4264*G4264</f>
        <v>0.0625</v>
      </c>
      <c r="W4264" s="0" t="n">
        <f aca="false">H4264*H4264</f>
        <v>0.25</v>
      </c>
      <c r="X4264" s="0" t="n">
        <f aca="false">SUMPRODUCT(I4264:W4264,_XtX!$B$96:$P$96)</f>
        <v>48.5279011330409</v>
      </c>
      <c r="Y4264" s="0" t="n">
        <f aca="false">SUMPRODUCT(MMULT(I4264:W4264,_XtX!$B$78:$P$92),I4264:W4264)</f>
        <v>0.207746539199561</v>
      </c>
      <c r="Z4264" s="0" t="n">
        <f aca="false">04_回帰ANOVA!$K$19*04_回帰ANOVA!$K$14*SQRT(1+Y4264)</f>
        <v>1.43247250081141</v>
      </c>
      <c r="AA4264" s="0" t="n">
        <f aca="false">X4264-Z4264</f>
        <v>47.0954286322295</v>
      </c>
      <c r="AB4264" s="0" t="n">
        <f aca="false">X4264+Z4264</f>
        <v>49.9603736338523</v>
      </c>
      <c r="AC4264" s="54" t="b">
        <f aca="false">AND(E4264&gt;=01_因子設定!$L$5-0.000000001,E4264&lt;=01_因子設定!$M$5+0.000000001,F4264&gt;=01_因子設定!$L$6-0.000000001,F4264&lt;=01_因子設定!$M$6+0.000000001,G4264&gt;=01_因子設定!$L$7-0.000000001,G4264&lt;=01_因子設定!$M$7+0.000000001,H4264&gt;=01_因子設定!$L$8-0.000000001,H4264&lt;=01_因子設定!$M$8+0.000000001,IF(01_因子設定!$B$20="Box-Behnken",E4264^2+F4264^2+G4264^2+H4264^2&lt;=2+0.000000001,TRUE()))</f>
        <v>1</v>
      </c>
      <c r="AD4264" s="55" t="n">
        <f aca="false">IF(AC4264,IF(01_因子設定!$B$13="最大化",AA4264-01_因子設定!$B$14,IF(01_因子設定!$B$13="最小化",01_因子設定!$B$15-AB4264,MIN(AA4264-01_因子設定!$B$14,01_因子設定!$B$15-AB4264))),-1E+030)</f>
        <v>0.595428632229478</v>
      </c>
      <c r="AE4264" s="55" t="n">
        <f aca="false">IF(AC4264,IF(01_因子設定!$B$13="最大化",X4264,IF(01_因子設定!$B$13="最小化",-X4264,-ABS(X4264-01_因子設定!$B$16))),-1E+030)</f>
        <v>48.5279011330409</v>
      </c>
      <c r="AF4264" s="55" t="n">
        <f aca="false">AD4264+ROW()*0.000000001</f>
        <v>0.595432896229478</v>
      </c>
      <c r="AG4264" s="55" t="n">
        <f aca="false">AE4264+ROW()*0.000000001</f>
        <v>48.5279053970409</v>
      </c>
    </row>
    <row r="4265" customFormat="false" ht="15" hidden="false" customHeight="false" outlineLevel="0" collapsed="false">
      <c r="A4265" s="0" t="n">
        <v>5</v>
      </c>
      <c r="B4265" s="0" t="n">
        <v>7</v>
      </c>
      <c r="C4265" s="0" t="n">
        <v>5</v>
      </c>
      <c r="D4265" s="0" t="n">
        <v>3</v>
      </c>
      <c r="E4265" s="0" t="n">
        <f aca="false">-1+A4265*0.25</f>
        <v>0.25</v>
      </c>
      <c r="F4265" s="0" t="n">
        <f aca="false">-1+B4265*0.25</f>
        <v>0.75</v>
      </c>
      <c r="G4265" s="0" t="n">
        <f aca="false">-1+C4265*0.25</f>
        <v>0.25</v>
      </c>
      <c r="H4265" s="0" t="n">
        <f aca="false">-1+D4265*0.25</f>
        <v>-0.25</v>
      </c>
      <c r="I4265" s="0" t="n">
        <f aca="false">1</f>
        <v>1</v>
      </c>
      <c r="J4265" s="0" t="n">
        <f aca="false">E4265</f>
        <v>0.25</v>
      </c>
      <c r="K4265" s="0" t="n">
        <f aca="false">F4265</f>
        <v>0.75</v>
      </c>
      <c r="L4265" s="0" t="n">
        <f aca="false">G4265</f>
        <v>0.25</v>
      </c>
      <c r="M4265" s="0" t="n">
        <f aca="false">H4265</f>
        <v>-0.25</v>
      </c>
      <c r="N4265" s="0" t="n">
        <f aca="false">E4265*F4265</f>
        <v>0.1875</v>
      </c>
      <c r="O4265" s="0" t="n">
        <f aca="false">E4265*G4265</f>
        <v>0.0625</v>
      </c>
      <c r="P4265" s="0" t="n">
        <f aca="false">E4265*H4265</f>
        <v>-0.0625</v>
      </c>
      <c r="Q4265" s="0" t="n">
        <f aca="false">F4265*G4265</f>
        <v>0.1875</v>
      </c>
      <c r="R4265" s="0" t="n">
        <f aca="false">F4265*H4265</f>
        <v>-0.1875</v>
      </c>
      <c r="S4265" s="0" t="n">
        <f aca="false">G4265*H4265</f>
        <v>-0.0625</v>
      </c>
      <c r="T4265" s="0" t="n">
        <f aca="false">E4265*E4265</f>
        <v>0.0625</v>
      </c>
      <c r="U4265" s="0" t="n">
        <f aca="false">F4265*F4265</f>
        <v>0.5625</v>
      </c>
      <c r="V4265" s="0" t="n">
        <f aca="false">G4265*G4265</f>
        <v>0.0625</v>
      </c>
      <c r="W4265" s="0" t="n">
        <f aca="false">H4265*H4265</f>
        <v>0.0625</v>
      </c>
      <c r="X4265" s="0" t="n">
        <f aca="false">SUMPRODUCT(I4265:W4265,_XtX!$B$96:$P$96)</f>
        <v>48.6869380482456</v>
      </c>
      <c r="Y4265" s="0" t="n">
        <f aca="false">SUMPRODUCT(MMULT(I4265:W4265,_XtX!$B$78:$P$92),I4265:W4265)</f>
        <v>0.205926192434211</v>
      </c>
      <c r="Z4265" s="0" t="n">
        <f aca="false">04_回帰ANOVA!$K$19*04_回帰ANOVA!$K$14*SQRT(1+Y4265)</f>
        <v>1.43139256396246</v>
      </c>
      <c r="AA4265" s="0" t="n">
        <f aca="false">X4265-Z4265</f>
        <v>47.2555454842831</v>
      </c>
      <c r="AB4265" s="0" t="n">
        <f aca="false">X4265+Z4265</f>
        <v>50.118330612208</v>
      </c>
      <c r="AC4265" s="54" t="b">
        <f aca="false">AND(E4265&gt;=01_因子設定!$L$5-0.000000001,E4265&lt;=01_因子設定!$M$5+0.000000001,F4265&gt;=01_因子設定!$L$6-0.000000001,F4265&lt;=01_因子設定!$M$6+0.000000001,G4265&gt;=01_因子設定!$L$7-0.000000001,G4265&lt;=01_因子設定!$M$7+0.000000001,H4265&gt;=01_因子設定!$L$8-0.000000001,H4265&lt;=01_因子設定!$M$8+0.000000001,IF(01_因子設定!$B$20="Box-Behnken",E4265^2+F4265^2+G4265^2+H4265^2&lt;=2+0.000000001,TRUE()))</f>
        <v>1</v>
      </c>
      <c r="AD4265" s="55" t="n">
        <f aca="false">IF(AC4265,IF(01_因子設定!$B$13="最大化",AA4265-01_因子設定!$B$14,IF(01_因子設定!$B$13="最小化",01_因子設定!$B$15-AB4265,MIN(AA4265-01_因子設定!$B$14,01_因子設定!$B$15-AB4265))),-1E+030)</f>
        <v>0.755545484283097</v>
      </c>
      <c r="AE4265" s="55" t="n">
        <f aca="false">IF(AC4265,IF(01_因子設定!$B$13="最大化",X4265,IF(01_因子設定!$B$13="最小化",-X4265,-ABS(X4265-01_因子設定!$B$16))),-1E+030)</f>
        <v>48.6869380482456</v>
      </c>
      <c r="AF4265" s="55" t="n">
        <f aca="false">AD4265+ROW()*0.000000001</f>
        <v>0.755549749283097</v>
      </c>
      <c r="AG4265" s="55" t="n">
        <f aca="false">AE4265+ROW()*0.000000001</f>
        <v>48.6869423132456</v>
      </c>
    </row>
    <row r="4266" customFormat="false" ht="15" hidden="false" customHeight="false" outlineLevel="0" collapsed="false">
      <c r="A4266" s="0" t="n">
        <v>5</v>
      </c>
      <c r="B4266" s="0" t="n">
        <v>7</v>
      </c>
      <c r="C4266" s="0" t="n">
        <v>5</v>
      </c>
      <c r="D4266" s="0" t="n">
        <v>4</v>
      </c>
      <c r="E4266" s="0" t="n">
        <f aca="false">-1+A4266*0.25</f>
        <v>0.25</v>
      </c>
      <c r="F4266" s="0" t="n">
        <f aca="false">-1+B4266*0.25</f>
        <v>0.75</v>
      </c>
      <c r="G4266" s="0" t="n">
        <f aca="false">-1+C4266*0.25</f>
        <v>0.25</v>
      </c>
      <c r="H4266" s="0" t="n">
        <f aca="false">-1+D4266*0.25</f>
        <v>0</v>
      </c>
      <c r="I4266" s="0" t="n">
        <f aca="false">1</f>
        <v>1</v>
      </c>
      <c r="J4266" s="0" t="n">
        <f aca="false">E4266</f>
        <v>0.25</v>
      </c>
      <c r="K4266" s="0" t="n">
        <f aca="false">F4266</f>
        <v>0.75</v>
      </c>
      <c r="L4266" s="0" t="n">
        <f aca="false">G4266</f>
        <v>0.25</v>
      </c>
      <c r="M4266" s="0" t="n">
        <f aca="false">H4266</f>
        <v>0</v>
      </c>
      <c r="N4266" s="0" t="n">
        <f aca="false">E4266*F4266</f>
        <v>0.1875</v>
      </c>
      <c r="O4266" s="0" t="n">
        <f aca="false">E4266*G4266</f>
        <v>0.0625</v>
      </c>
      <c r="P4266" s="0" t="n">
        <f aca="false">E4266*H4266</f>
        <v>0</v>
      </c>
      <c r="Q4266" s="0" t="n">
        <f aca="false">F4266*G4266</f>
        <v>0.1875</v>
      </c>
      <c r="R4266" s="0" t="n">
        <f aca="false">F4266*H4266</f>
        <v>0</v>
      </c>
      <c r="S4266" s="0" t="n">
        <f aca="false">G4266*H4266</f>
        <v>0</v>
      </c>
      <c r="T4266" s="0" t="n">
        <f aca="false">E4266*E4266</f>
        <v>0.0625</v>
      </c>
      <c r="U4266" s="0" t="n">
        <f aca="false">F4266*F4266</f>
        <v>0.5625</v>
      </c>
      <c r="V4266" s="0" t="n">
        <f aca="false">G4266*G4266</f>
        <v>0.0625</v>
      </c>
      <c r="W4266" s="0" t="n">
        <f aca="false">H4266*H4266</f>
        <v>0</v>
      </c>
      <c r="X4266" s="0" t="n">
        <f aca="false">SUMPRODUCT(I4266:W4266,_XtX!$B$96:$P$96)</f>
        <v>48.7981679459064</v>
      </c>
      <c r="Y4266" s="0" t="n">
        <f aca="false">SUMPRODUCT(MMULT(I4266:W4266,_XtX!$B$78:$P$92),I4266:W4266)</f>
        <v>0.21135011193348</v>
      </c>
      <c r="Z4266" s="0" t="n">
        <f aca="false">04_回帰ANOVA!$K$19*04_回帰ANOVA!$K$14*SQRT(1+Y4266)</f>
        <v>1.43460795469709</v>
      </c>
      <c r="AA4266" s="0" t="n">
        <f aca="false">X4266-Z4266</f>
        <v>47.3635599912093</v>
      </c>
      <c r="AB4266" s="0" t="n">
        <f aca="false">X4266+Z4266</f>
        <v>50.2327759006035</v>
      </c>
      <c r="AC4266" s="54" t="b">
        <f aca="false">AND(E4266&gt;=01_因子設定!$L$5-0.000000001,E4266&lt;=01_因子設定!$M$5+0.000000001,F4266&gt;=01_因子設定!$L$6-0.000000001,F4266&lt;=01_因子設定!$M$6+0.000000001,G4266&gt;=01_因子設定!$L$7-0.000000001,G4266&lt;=01_因子設定!$M$7+0.000000001,H4266&gt;=01_因子設定!$L$8-0.000000001,H4266&lt;=01_因子設定!$M$8+0.000000001,IF(01_因子設定!$B$20="Box-Behnken",E4266^2+F4266^2+G4266^2+H4266^2&lt;=2+0.000000001,TRUE()))</f>
        <v>1</v>
      </c>
      <c r="AD4266" s="55" t="n">
        <f aca="false">IF(AC4266,IF(01_因子設定!$B$13="最大化",AA4266-01_因子設定!$B$14,IF(01_因子設定!$B$13="最小化",01_因子設定!$B$15-AB4266,MIN(AA4266-01_因子設定!$B$14,01_因子設定!$B$15-AB4266))),-1E+030)</f>
        <v>0.863559991209286</v>
      </c>
      <c r="AE4266" s="55" t="n">
        <f aca="false">IF(AC4266,IF(01_因子設定!$B$13="最大化",X4266,IF(01_因子設定!$B$13="最小化",-X4266,-ABS(X4266-01_因子設定!$B$16))),-1E+030)</f>
        <v>48.7981679459064</v>
      </c>
      <c r="AF4266" s="55" t="n">
        <f aca="false">AD4266+ROW()*0.000000001</f>
        <v>0.863564257209286</v>
      </c>
      <c r="AG4266" s="55" t="n">
        <f aca="false">AE4266+ROW()*0.000000001</f>
        <v>48.7981722119064</v>
      </c>
    </row>
    <row r="4267" customFormat="false" ht="15" hidden="false" customHeight="false" outlineLevel="0" collapsed="false">
      <c r="A4267" s="0" t="n">
        <v>5</v>
      </c>
      <c r="B4267" s="0" t="n">
        <v>7</v>
      </c>
      <c r="C4267" s="0" t="n">
        <v>5</v>
      </c>
      <c r="D4267" s="0" t="n">
        <v>5</v>
      </c>
      <c r="E4267" s="0" t="n">
        <f aca="false">-1+A4267*0.25</f>
        <v>0.25</v>
      </c>
      <c r="F4267" s="0" t="n">
        <f aca="false">-1+B4267*0.25</f>
        <v>0.75</v>
      </c>
      <c r="G4267" s="0" t="n">
        <f aca="false">-1+C4267*0.25</f>
        <v>0.25</v>
      </c>
      <c r="H4267" s="0" t="n">
        <f aca="false">-1+D4267*0.25</f>
        <v>0.25</v>
      </c>
      <c r="I4267" s="0" t="n">
        <f aca="false">1</f>
        <v>1</v>
      </c>
      <c r="J4267" s="0" t="n">
        <f aca="false">E4267</f>
        <v>0.25</v>
      </c>
      <c r="K4267" s="0" t="n">
        <f aca="false">F4267</f>
        <v>0.75</v>
      </c>
      <c r="L4267" s="0" t="n">
        <f aca="false">G4267</f>
        <v>0.25</v>
      </c>
      <c r="M4267" s="0" t="n">
        <f aca="false">H4267</f>
        <v>0.25</v>
      </c>
      <c r="N4267" s="0" t="n">
        <f aca="false">E4267*F4267</f>
        <v>0.1875</v>
      </c>
      <c r="O4267" s="0" t="n">
        <f aca="false">E4267*G4267</f>
        <v>0.0625</v>
      </c>
      <c r="P4267" s="0" t="n">
        <f aca="false">E4267*H4267</f>
        <v>0.0625</v>
      </c>
      <c r="Q4267" s="0" t="n">
        <f aca="false">F4267*G4267</f>
        <v>0.1875</v>
      </c>
      <c r="R4267" s="0" t="n">
        <f aca="false">F4267*H4267</f>
        <v>0.1875</v>
      </c>
      <c r="S4267" s="0" t="n">
        <f aca="false">G4267*H4267</f>
        <v>0.0625</v>
      </c>
      <c r="T4267" s="0" t="n">
        <f aca="false">E4267*E4267</f>
        <v>0.0625</v>
      </c>
      <c r="U4267" s="0" t="n">
        <f aca="false">F4267*F4267</f>
        <v>0.5625</v>
      </c>
      <c r="V4267" s="0" t="n">
        <f aca="false">G4267*G4267</f>
        <v>0.0625</v>
      </c>
      <c r="W4267" s="0" t="n">
        <f aca="false">H4267*H4267</f>
        <v>0.0625</v>
      </c>
      <c r="X4267" s="0" t="n">
        <f aca="false">SUMPRODUCT(I4267:W4267,_XtX!$B$96:$P$96)</f>
        <v>48.8615908260233</v>
      </c>
      <c r="Y4267" s="0" t="n">
        <f aca="false">SUMPRODUCT(MMULT(I4267:W4267,_XtX!$B$78:$P$92),I4267:W4267)</f>
        <v>0.205926192434211</v>
      </c>
      <c r="Z4267" s="0" t="n">
        <f aca="false">04_回帰ANOVA!$K$19*04_回帰ANOVA!$K$14*SQRT(1+Y4267)</f>
        <v>1.43139256396246</v>
      </c>
      <c r="AA4267" s="0" t="n">
        <f aca="false">X4267-Z4267</f>
        <v>47.4301982620609</v>
      </c>
      <c r="AB4267" s="0" t="n">
        <f aca="false">X4267+Z4267</f>
        <v>50.2929833899858</v>
      </c>
      <c r="AC4267" s="54" t="b">
        <f aca="false">AND(E4267&gt;=01_因子設定!$L$5-0.000000001,E4267&lt;=01_因子設定!$M$5+0.000000001,F4267&gt;=01_因子設定!$L$6-0.000000001,F4267&lt;=01_因子設定!$M$6+0.000000001,G4267&gt;=01_因子設定!$L$7-0.000000001,G4267&lt;=01_因子設定!$M$7+0.000000001,H4267&gt;=01_因子設定!$L$8-0.000000001,H4267&lt;=01_因子設定!$M$8+0.000000001,IF(01_因子設定!$B$20="Box-Behnken",E4267^2+F4267^2+G4267^2+H4267^2&lt;=2+0.000000001,TRUE()))</f>
        <v>1</v>
      </c>
      <c r="AD4267" s="55" t="n">
        <f aca="false">IF(AC4267,IF(01_因子設定!$B$13="最大化",AA4267-01_因子設定!$B$14,IF(01_因子設定!$B$13="最小化",01_因子設定!$B$15-AB4267,MIN(AA4267-01_因子設定!$B$14,01_因子設定!$B$15-AB4267))),-1E+030)</f>
        <v>0.93019826206087</v>
      </c>
      <c r="AE4267" s="55" t="n">
        <f aca="false">IF(AC4267,IF(01_因子設定!$B$13="最大化",X4267,IF(01_因子設定!$B$13="最小化",-X4267,-ABS(X4267-01_因子設定!$B$16))),-1E+030)</f>
        <v>48.8615908260233</v>
      </c>
      <c r="AF4267" s="55" t="n">
        <f aca="false">AD4267+ROW()*0.000000001</f>
        <v>0.93020252906087</v>
      </c>
      <c r="AG4267" s="55" t="n">
        <f aca="false">AE4267+ROW()*0.000000001</f>
        <v>48.8615950930233</v>
      </c>
    </row>
    <row r="4268" customFormat="false" ht="15" hidden="false" customHeight="false" outlineLevel="0" collapsed="false">
      <c r="A4268" s="0" t="n">
        <v>5</v>
      </c>
      <c r="B4268" s="0" t="n">
        <v>7</v>
      </c>
      <c r="C4268" s="0" t="n">
        <v>5</v>
      </c>
      <c r="D4268" s="0" t="n">
        <v>6</v>
      </c>
      <c r="E4268" s="0" t="n">
        <f aca="false">-1+A4268*0.25</f>
        <v>0.25</v>
      </c>
      <c r="F4268" s="0" t="n">
        <f aca="false">-1+B4268*0.25</f>
        <v>0.75</v>
      </c>
      <c r="G4268" s="0" t="n">
        <f aca="false">-1+C4268*0.25</f>
        <v>0.25</v>
      </c>
      <c r="H4268" s="0" t="n">
        <f aca="false">-1+D4268*0.25</f>
        <v>0.5</v>
      </c>
      <c r="I4268" s="0" t="n">
        <f aca="false">1</f>
        <v>1</v>
      </c>
      <c r="J4268" s="0" t="n">
        <f aca="false">E4268</f>
        <v>0.25</v>
      </c>
      <c r="K4268" s="0" t="n">
        <f aca="false">F4268</f>
        <v>0.75</v>
      </c>
      <c r="L4268" s="0" t="n">
        <f aca="false">G4268</f>
        <v>0.25</v>
      </c>
      <c r="M4268" s="0" t="n">
        <f aca="false">H4268</f>
        <v>0.5</v>
      </c>
      <c r="N4268" s="0" t="n">
        <f aca="false">E4268*F4268</f>
        <v>0.1875</v>
      </c>
      <c r="O4268" s="0" t="n">
        <f aca="false">E4268*G4268</f>
        <v>0.0625</v>
      </c>
      <c r="P4268" s="0" t="n">
        <f aca="false">E4268*H4268</f>
        <v>0.125</v>
      </c>
      <c r="Q4268" s="0" t="n">
        <f aca="false">F4268*G4268</f>
        <v>0.1875</v>
      </c>
      <c r="R4268" s="0" t="n">
        <f aca="false">F4268*H4268</f>
        <v>0.375</v>
      </c>
      <c r="S4268" s="0" t="n">
        <f aca="false">G4268*H4268</f>
        <v>0.125</v>
      </c>
      <c r="T4268" s="0" t="n">
        <f aca="false">E4268*E4268</f>
        <v>0.0625</v>
      </c>
      <c r="U4268" s="0" t="n">
        <f aca="false">F4268*F4268</f>
        <v>0.5625</v>
      </c>
      <c r="V4268" s="0" t="n">
        <f aca="false">G4268*G4268</f>
        <v>0.0625</v>
      </c>
      <c r="W4268" s="0" t="n">
        <f aca="false">H4268*H4268</f>
        <v>0.25</v>
      </c>
      <c r="X4268" s="0" t="n">
        <f aca="false">SUMPRODUCT(I4268:W4268,_XtX!$B$96:$P$96)</f>
        <v>48.8772066885964</v>
      </c>
      <c r="Y4268" s="0" t="n">
        <f aca="false">SUMPRODUCT(MMULT(I4268:W4268,_XtX!$B$78:$P$92),I4268:W4268)</f>
        <v>0.207746539199561</v>
      </c>
      <c r="Z4268" s="0" t="n">
        <f aca="false">04_回帰ANOVA!$K$19*04_回帰ANOVA!$K$14*SQRT(1+Y4268)</f>
        <v>1.43247250081141</v>
      </c>
      <c r="AA4268" s="0" t="n">
        <f aca="false">X4268-Z4268</f>
        <v>47.444734187785</v>
      </c>
      <c r="AB4268" s="0" t="n">
        <f aca="false">X4268+Z4268</f>
        <v>50.3096791894078</v>
      </c>
      <c r="AC4268" s="54" t="b">
        <f aca="false">AND(E4268&gt;=01_因子設定!$L$5-0.000000001,E4268&lt;=01_因子設定!$M$5+0.000000001,F4268&gt;=01_因子設定!$L$6-0.000000001,F4268&lt;=01_因子設定!$M$6+0.000000001,G4268&gt;=01_因子設定!$L$7-0.000000001,G4268&lt;=01_因子設定!$M$7+0.000000001,H4268&gt;=01_因子設定!$L$8-0.000000001,H4268&lt;=01_因子設定!$M$8+0.000000001,IF(01_因子設定!$B$20="Box-Behnken",E4268^2+F4268^2+G4268^2+H4268^2&lt;=2+0.000000001,TRUE()))</f>
        <v>1</v>
      </c>
      <c r="AD4268" s="55" t="n">
        <f aca="false">IF(AC4268,IF(01_因子設定!$B$13="最大化",AA4268-01_因子設定!$B$14,IF(01_因子設定!$B$13="最小化",01_因子設定!$B$15-AB4268,MIN(AA4268-01_因子設定!$B$14,01_因子設定!$B$15-AB4268))),-1E+030)</f>
        <v>0.944734187785031</v>
      </c>
      <c r="AE4268" s="55" t="n">
        <f aca="false">IF(AC4268,IF(01_因子設定!$B$13="最大化",X4268,IF(01_因子設定!$B$13="最小化",-X4268,-ABS(X4268-01_因子設定!$B$16))),-1E+030)</f>
        <v>48.8772066885964</v>
      </c>
      <c r="AF4268" s="55" t="n">
        <f aca="false">AD4268+ROW()*0.000000001</f>
        <v>0.944738455785031</v>
      </c>
      <c r="AG4268" s="55" t="n">
        <f aca="false">AE4268+ROW()*0.000000001</f>
        <v>48.8772109565964</v>
      </c>
    </row>
    <row r="4269" customFormat="false" ht="15" hidden="false" customHeight="false" outlineLevel="0" collapsed="false">
      <c r="A4269" s="0" t="n">
        <v>5</v>
      </c>
      <c r="B4269" s="0" t="n">
        <v>7</v>
      </c>
      <c r="C4269" s="0" t="n">
        <v>5</v>
      </c>
      <c r="D4269" s="0" t="n">
        <v>7</v>
      </c>
      <c r="E4269" s="0" t="n">
        <f aca="false">-1+A4269*0.25</f>
        <v>0.25</v>
      </c>
      <c r="F4269" s="0" t="n">
        <f aca="false">-1+B4269*0.25</f>
        <v>0.75</v>
      </c>
      <c r="G4269" s="0" t="n">
        <f aca="false">-1+C4269*0.25</f>
        <v>0.25</v>
      </c>
      <c r="H4269" s="0" t="n">
        <f aca="false">-1+D4269*0.25</f>
        <v>0.75</v>
      </c>
      <c r="I4269" s="0" t="n">
        <f aca="false">1</f>
        <v>1</v>
      </c>
      <c r="J4269" s="0" t="n">
        <f aca="false">E4269</f>
        <v>0.25</v>
      </c>
      <c r="K4269" s="0" t="n">
        <f aca="false">F4269</f>
        <v>0.75</v>
      </c>
      <c r="L4269" s="0" t="n">
        <f aca="false">G4269</f>
        <v>0.25</v>
      </c>
      <c r="M4269" s="0" t="n">
        <f aca="false">H4269</f>
        <v>0.75</v>
      </c>
      <c r="N4269" s="0" t="n">
        <f aca="false">E4269*F4269</f>
        <v>0.1875</v>
      </c>
      <c r="O4269" s="0" t="n">
        <f aca="false">E4269*G4269</f>
        <v>0.0625</v>
      </c>
      <c r="P4269" s="0" t="n">
        <f aca="false">E4269*H4269</f>
        <v>0.1875</v>
      </c>
      <c r="Q4269" s="0" t="n">
        <f aca="false">F4269*G4269</f>
        <v>0.1875</v>
      </c>
      <c r="R4269" s="0" t="n">
        <f aca="false">F4269*H4269</f>
        <v>0.5625</v>
      </c>
      <c r="S4269" s="0" t="n">
        <f aca="false">G4269*H4269</f>
        <v>0.1875</v>
      </c>
      <c r="T4269" s="0" t="n">
        <f aca="false">E4269*E4269</f>
        <v>0.0625</v>
      </c>
      <c r="U4269" s="0" t="n">
        <f aca="false">F4269*F4269</f>
        <v>0.5625</v>
      </c>
      <c r="V4269" s="0" t="n">
        <f aca="false">G4269*G4269</f>
        <v>0.0625</v>
      </c>
      <c r="W4269" s="0" t="n">
        <f aca="false">H4269*H4269</f>
        <v>0.5625</v>
      </c>
      <c r="X4269" s="0" t="n">
        <f aca="false">SUMPRODUCT(I4269:W4269,_XtX!$B$96:$P$96)</f>
        <v>48.8450155336257</v>
      </c>
      <c r="Y4269" s="0" t="n">
        <f aca="false">SUMPRODUCT(MMULT(I4269:W4269,_XtX!$B$78:$P$92),I4269:W4269)</f>
        <v>0.271087468019006</v>
      </c>
      <c r="Z4269" s="0" t="n">
        <f aca="false">04_回帰ANOVA!$K$19*04_回帰ANOVA!$K$14*SQRT(1+Y4269)</f>
        <v>1.46955590155034</v>
      </c>
      <c r="AA4269" s="0" t="n">
        <f aca="false">X4269-Z4269</f>
        <v>47.3754596320754</v>
      </c>
      <c r="AB4269" s="0" t="n">
        <f aca="false">X4269+Z4269</f>
        <v>50.314571435176</v>
      </c>
      <c r="AC4269" s="54" t="b">
        <f aca="false">AND(E4269&gt;=01_因子設定!$L$5-0.000000001,E4269&lt;=01_因子設定!$M$5+0.000000001,F4269&gt;=01_因子設定!$L$6-0.000000001,F4269&lt;=01_因子設定!$M$6+0.000000001,G4269&gt;=01_因子設定!$L$7-0.000000001,G4269&lt;=01_因子設定!$M$7+0.000000001,H4269&gt;=01_因子設定!$L$8-0.000000001,H4269&lt;=01_因子設定!$M$8+0.000000001,IF(01_因子設定!$B$20="Box-Behnken",E4269^2+F4269^2+G4269^2+H4269^2&lt;=2+0.000000001,TRUE()))</f>
        <v>1</v>
      </c>
      <c r="AD4269" s="55" t="n">
        <f aca="false">IF(AC4269,IF(01_因子設定!$B$13="最大化",AA4269-01_因子設定!$B$14,IF(01_因子設定!$B$13="最小化",01_因子設定!$B$15-AB4269,MIN(AA4269-01_因子設定!$B$14,01_因子設定!$B$15-AB4269))),-1E+030)</f>
        <v>0.875459632075348</v>
      </c>
      <c r="AE4269" s="55" t="n">
        <f aca="false">IF(AC4269,IF(01_因子設定!$B$13="最大化",X4269,IF(01_因子設定!$B$13="最小化",-X4269,-ABS(X4269-01_因子設定!$B$16))),-1E+030)</f>
        <v>48.8450155336257</v>
      </c>
      <c r="AF4269" s="55" t="n">
        <f aca="false">AD4269+ROW()*0.000000001</f>
        <v>0.875463901075348</v>
      </c>
      <c r="AG4269" s="55" t="n">
        <f aca="false">AE4269+ROW()*0.000000001</f>
        <v>48.8450198026257</v>
      </c>
    </row>
    <row r="4270" customFormat="false" ht="15" hidden="false" customHeight="false" outlineLevel="0" collapsed="false">
      <c r="A4270" s="0" t="n">
        <v>5</v>
      </c>
      <c r="B4270" s="0" t="n">
        <v>7</v>
      </c>
      <c r="C4270" s="0" t="n">
        <v>5</v>
      </c>
      <c r="D4270" s="0" t="n">
        <v>8</v>
      </c>
      <c r="E4270" s="0" t="n">
        <f aca="false">-1+A4270*0.25</f>
        <v>0.25</v>
      </c>
      <c r="F4270" s="0" t="n">
        <f aca="false">-1+B4270*0.25</f>
        <v>0.75</v>
      </c>
      <c r="G4270" s="0" t="n">
        <f aca="false">-1+C4270*0.25</f>
        <v>0.25</v>
      </c>
      <c r="H4270" s="0" t="n">
        <f aca="false">-1+D4270*0.25</f>
        <v>1</v>
      </c>
      <c r="I4270" s="0" t="n">
        <f aca="false">1</f>
        <v>1</v>
      </c>
      <c r="J4270" s="0" t="n">
        <f aca="false">E4270</f>
        <v>0.25</v>
      </c>
      <c r="K4270" s="0" t="n">
        <f aca="false">F4270</f>
        <v>0.75</v>
      </c>
      <c r="L4270" s="0" t="n">
        <f aca="false">G4270</f>
        <v>0.25</v>
      </c>
      <c r="M4270" s="0" t="n">
        <f aca="false">H4270</f>
        <v>1</v>
      </c>
      <c r="N4270" s="0" t="n">
        <f aca="false">E4270*F4270</f>
        <v>0.1875</v>
      </c>
      <c r="O4270" s="0" t="n">
        <f aca="false">E4270*G4270</f>
        <v>0.0625</v>
      </c>
      <c r="P4270" s="0" t="n">
        <f aca="false">E4270*H4270</f>
        <v>0.25</v>
      </c>
      <c r="Q4270" s="0" t="n">
        <f aca="false">F4270*G4270</f>
        <v>0.1875</v>
      </c>
      <c r="R4270" s="0" t="n">
        <f aca="false">F4270*H4270</f>
        <v>0.75</v>
      </c>
      <c r="S4270" s="0" t="n">
        <f aca="false">G4270*H4270</f>
        <v>0.25</v>
      </c>
      <c r="T4270" s="0" t="n">
        <f aca="false">E4270*E4270</f>
        <v>0.0625</v>
      </c>
      <c r="U4270" s="0" t="n">
        <f aca="false">F4270*F4270</f>
        <v>0.5625</v>
      </c>
      <c r="V4270" s="0" t="n">
        <f aca="false">G4270*G4270</f>
        <v>0.0625</v>
      </c>
      <c r="W4270" s="0" t="n">
        <f aca="false">H4270*H4270</f>
        <v>1</v>
      </c>
      <c r="X4270" s="0" t="n">
        <f aca="false">SUMPRODUCT(I4270:W4270,_XtX!$B$96:$P$96)</f>
        <v>48.7650173611111</v>
      </c>
      <c r="Y4270" s="0" t="n">
        <f aca="false">SUMPRODUCT(MMULT(I4270:W4270,_XtX!$B$78:$P$92),I4270:W4270)</f>
        <v>0.486409505208333</v>
      </c>
      <c r="Z4270" s="0" t="n">
        <f aca="false">04_回帰ANOVA!$K$19*04_回帰ANOVA!$K$14*SQRT(1+Y4270)</f>
        <v>1.58916001665498</v>
      </c>
      <c r="AA4270" s="0" t="n">
        <f aca="false">X4270-Z4270</f>
        <v>47.1758573444561</v>
      </c>
      <c r="AB4270" s="0" t="n">
        <f aca="false">X4270+Z4270</f>
        <v>50.3541773777661</v>
      </c>
      <c r="AC4270" s="54" t="b">
        <f aca="false">AND(E4270&gt;=01_因子設定!$L$5-0.000000001,E4270&lt;=01_因子設定!$M$5+0.000000001,F4270&gt;=01_因子設定!$L$6-0.000000001,F4270&lt;=01_因子設定!$M$6+0.000000001,G4270&gt;=01_因子設定!$L$7-0.000000001,G4270&lt;=01_因子設定!$M$7+0.000000001,H4270&gt;=01_因子設定!$L$8-0.000000001,H4270&lt;=01_因子設定!$M$8+0.000000001,IF(01_因子設定!$B$20="Box-Behnken",E4270^2+F4270^2+G4270^2+H4270^2&lt;=2+0.000000001,TRUE()))</f>
        <v>1</v>
      </c>
      <c r="AD4270" s="55" t="n">
        <f aca="false">IF(AC4270,IF(01_因子設定!$B$13="最大化",AA4270-01_因子設定!$B$14,IF(01_因子設定!$B$13="最小化",01_因子設定!$B$15-AB4270,MIN(AA4270-01_因子設定!$B$14,01_因子設定!$B$15-AB4270))),-1E+030)</f>
        <v>0.675857344456105</v>
      </c>
      <c r="AE4270" s="55" t="n">
        <f aca="false">IF(AC4270,IF(01_因子設定!$B$13="最大化",X4270,IF(01_因子設定!$B$13="最小化",-X4270,-ABS(X4270-01_因子設定!$B$16))),-1E+030)</f>
        <v>48.7650173611111</v>
      </c>
      <c r="AF4270" s="55" t="n">
        <f aca="false">AD4270+ROW()*0.000000001</f>
        <v>0.675861614456105</v>
      </c>
      <c r="AG4270" s="55" t="n">
        <f aca="false">AE4270+ROW()*0.000000001</f>
        <v>48.7650216311111</v>
      </c>
    </row>
    <row r="4271" customFormat="false" ht="15" hidden="false" customHeight="false" outlineLevel="0" collapsed="false">
      <c r="A4271" s="0" t="n">
        <v>5</v>
      </c>
      <c r="B4271" s="0" t="n">
        <v>7</v>
      </c>
      <c r="C4271" s="0" t="n">
        <v>6</v>
      </c>
      <c r="D4271" s="0" t="n">
        <v>0</v>
      </c>
      <c r="E4271" s="0" t="n">
        <f aca="false">-1+A4271*0.25</f>
        <v>0.25</v>
      </c>
      <c r="F4271" s="0" t="n">
        <f aca="false">-1+B4271*0.25</f>
        <v>0.75</v>
      </c>
      <c r="G4271" s="0" t="n">
        <f aca="false">-1+C4271*0.25</f>
        <v>0.5</v>
      </c>
      <c r="H4271" s="0" t="n">
        <f aca="false">-1+D4271*0.25</f>
        <v>-1</v>
      </c>
      <c r="I4271" s="0" t="n">
        <f aca="false">1</f>
        <v>1</v>
      </c>
      <c r="J4271" s="0" t="n">
        <f aca="false">E4271</f>
        <v>0.25</v>
      </c>
      <c r="K4271" s="0" t="n">
        <f aca="false">F4271</f>
        <v>0.75</v>
      </c>
      <c r="L4271" s="0" t="n">
        <f aca="false">G4271</f>
        <v>0.5</v>
      </c>
      <c r="M4271" s="0" t="n">
        <f aca="false">H4271</f>
        <v>-1</v>
      </c>
      <c r="N4271" s="0" t="n">
        <f aca="false">E4271*F4271</f>
        <v>0.1875</v>
      </c>
      <c r="O4271" s="0" t="n">
        <f aca="false">E4271*G4271</f>
        <v>0.125</v>
      </c>
      <c r="P4271" s="0" t="n">
        <f aca="false">E4271*H4271</f>
        <v>-0.25</v>
      </c>
      <c r="Q4271" s="0" t="n">
        <f aca="false">F4271*G4271</f>
        <v>0.375</v>
      </c>
      <c r="R4271" s="0" t="n">
        <f aca="false">F4271*H4271</f>
        <v>-0.75</v>
      </c>
      <c r="S4271" s="0" t="n">
        <f aca="false">G4271*H4271</f>
        <v>-0.5</v>
      </c>
      <c r="T4271" s="0" t="n">
        <f aca="false">E4271*E4271</f>
        <v>0.0625</v>
      </c>
      <c r="U4271" s="0" t="n">
        <f aca="false">F4271*F4271</f>
        <v>0.5625</v>
      </c>
      <c r="V4271" s="0" t="n">
        <f aca="false">G4271*G4271</f>
        <v>0.25</v>
      </c>
      <c r="W4271" s="0" t="n">
        <f aca="false">H4271*H4271</f>
        <v>1</v>
      </c>
      <c r="X4271" s="0" t="n">
        <f aca="false">SUMPRODUCT(I4271:W4271,_XtX!$B$96:$P$96)</f>
        <v>48.1303728070175</v>
      </c>
      <c r="Y4271" s="0" t="n">
        <f aca="false">SUMPRODUCT(MMULT(I4271:W4271,_XtX!$B$78:$P$92),I4271:W4271)</f>
        <v>0.459125719572369</v>
      </c>
      <c r="Z4271" s="0" t="n">
        <f aca="false">04_回帰ANOVA!$K$19*04_回帰ANOVA!$K$14*SQRT(1+Y4271)</f>
        <v>1.57450755575573</v>
      </c>
      <c r="AA4271" s="0" t="n">
        <f aca="false">X4271-Z4271</f>
        <v>46.5558652512618</v>
      </c>
      <c r="AB4271" s="0" t="n">
        <f aca="false">X4271+Z4271</f>
        <v>49.7048803627733</v>
      </c>
      <c r="AC4271" s="54" t="b">
        <f aca="false">AND(E4271&gt;=01_因子設定!$L$5-0.000000001,E4271&lt;=01_因子設定!$M$5+0.000000001,F4271&gt;=01_因子設定!$L$6-0.000000001,F4271&lt;=01_因子設定!$M$6+0.000000001,G4271&gt;=01_因子設定!$L$7-0.000000001,G4271&lt;=01_因子設定!$M$7+0.000000001,H4271&gt;=01_因子設定!$L$8-0.000000001,H4271&lt;=01_因子設定!$M$8+0.000000001,IF(01_因子設定!$B$20="Box-Behnken",E4271^2+F4271^2+G4271^2+H4271^2&lt;=2+0.000000001,TRUE()))</f>
        <v>1</v>
      </c>
      <c r="AD4271" s="55" t="n">
        <f aca="false">IF(AC4271,IF(01_因子設定!$B$13="最大化",AA4271-01_因子設定!$B$14,IF(01_因子設定!$B$13="最小化",01_因子設定!$B$15-AB4271,MIN(AA4271-01_因子設定!$B$14,01_因子設定!$B$15-AB4271))),-1E+030)</f>
        <v>0.0558652512617925</v>
      </c>
      <c r="AE4271" s="55" t="n">
        <f aca="false">IF(AC4271,IF(01_因子設定!$B$13="最大化",X4271,IF(01_因子設定!$B$13="最小化",-X4271,-ABS(X4271-01_因子設定!$B$16))),-1E+030)</f>
        <v>48.1303728070175</v>
      </c>
      <c r="AF4271" s="55" t="n">
        <f aca="false">AD4271+ROW()*0.000000001</f>
        <v>0.0558695222617925</v>
      </c>
      <c r="AG4271" s="55" t="n">
        <f aca="false">AE4271+ROW()*0.000000001</f>
        <v>48.1303770780175</v>
      </c>
    </row>
    <row r="4272" customFormat="false" ht="15" hidden="false" customHeight="false" outlineLevel="0" collapsed="false">
      <c r="A4272" s="0" t="n">
        <v>5</v>
      </c>
      <c r="B4272" s="0" t="n">
        <v>7</v>
      </c>
      <c r="C4272" s="0" t="n">
        <v>6</v>
      </c>
      <c r="D4272" s="0" t="n">
        <v>1</v>
      </c>
      <c r="E4272" s="0" t="n">
        <f aca="false">-1+A4272*0.25</f>
        <v>0.25</v>
      </c>
      <c r="F4272" s="0" t="n">
        <f aca="false">-1+B4272*0.25</f>
        <v>0.75</v>
      </c>
      <c r="G4272" s="0" t="n">
        <f aca="false">-1+C4272*0.25</f>
        <v>0.5</v>
      </c>
      <c r="H4272" s="0" t="n">
        <f aca="false">-1+D4272*0.25</f>
        <v>-0.75</v>
      </c>
      <c r="I4272" s="0" t="n">
        <f aca="false">1</f>
        <v>1</v>
      </c>
      <c r="J4272" s="0" t="n">
        <f aca="false">E4272</f>
        <v>0.25</v>
      </c>
      <c r="K4272" s="0" t="n">
        <f aca="false">F4272</f>
        <v>0.75</v>
      </c>
      <c r="L4272" s="0" t="n">
        <f aca="false">G4272</f>
        <v>0.5</v>
      </c>
      <c r="M4272" s="0" t="n">
        <f aca="false">H4272</f>
        <v>-0.75</v>
      </c>
      <c r="N4272" s="0" t="n">
        <f aca="false">E4272*F4272</f>
        <v>0.1875</v>
      </c>
      <c r="O4272" s="0" t="n">
        <f aca="false">E4272*G4272</f>
        <v>0.125</v>
      </c>
      <c r="P4272" s="0" t="n">
        <f aca="false">E4272*H4272</f>
        <v>-0.1875</v>
      </c>
      <c r="Q4272" s="0" t="n">
        <f aca="false">F4272*G4272</f>
        <v>0.375</v>
      </c>
      <c r="R4272" s="0" t="n">
        <f aca="false">F4272*H4272</f>
        <v>-0.5625</v>
      </c>
      <c r="S4272" s="0" t="n">
        <f aca="false">G4272*H4272</f>
        <v>-0.375</v>
      </c>
      <c r="T4272" s="0" t="n">
        <f aca="false">E4272*E4272</f>
        <v>0.0625</v>
      </c>
      <c r="U4272" s="0" t="n">
        <f aca="false">F4272*F4272</f>
        <v>0.5625</v>
      </c>
      <c r="V4272" s="0" t="n">
        <f aca="false">G4272*G4272</f>
        <v>0.25</v>
      </c>
      <c r="W4272" s="0" t="n">
        <f aca="false">H4272*H4272</f>
        <v>0.5625</v>
      </c>
      <c r="X4272" s="0" t="n">
        <f aca="false">SUMPRODUCT(I4272:W4272,_XtX!$B$96:$P$96)</f>
        <v>48.4029925073099</v>
      </c>
      <c r="Y4272" s="0" t="n">
        <f aca="false">SUMPRODUCT(MMULT(I4272:W4272,_XtX!$B$78:$P$92),I4272:W4272)</f>
        <v>0.257385610836988</v>
      </c>
      <c r="Z4272" s="0" t="n">
        <f aca="false">04_回帰ANOVA!$K$19*04_回帰ANOVA!$K$14*SQRT(1+Y4272)</f>
        <v>1.46161380324158</v>
      </c>
      <c r="AA4272" s="0" t="n">
        <f aca="false">X4272-Z4272</f>
        <v>46.9413787040683</v>
      </c>
      <c r="AB4272" s="0" t="n">
        <f aca="false">X4272+Z4272</f>
        <v>49.8646063105515</v>
      </c>
      <c r="AC4272" s="54" t="b">
        <f aca="false">AND(E4272&gt;=01_因子設定!$L$5-0.000000001,E4272&lt;=01_因子設定!$M$5+0.000000001,F4272&gt;=01_因子設定!$L$6-0.000000001,F4272&lt;=01_因子設定!$M$6+0.000000001,G4272&gt;=01_因子設定!$L$7-0.000000001,G4272&lt;=01_因子設定!$M$7+0.000000001,H4272&gt;=01_因子設定!$L$8-0.000000001,H4272&lt;=01_因子設定!$M$8+0.000000001,IF(01_因子設定!$B$20="Box-Behnken",E4272^2+F4272^2+G4272^2+H4272^2&lt;=2+0.000000001,TRUE()))</f>
        <v>1</v>
      </c>
      <c r="AD4272" s="55" t="n">
        <f aca="false">IF(AC4272,IF(01_因子設定!$B$13="最大化",AA4272-01_因子設定!$B$14,IF(01_因子設定!$B$13="最小化",01_因子設定!$B$15-AB4272,MIN(AA4272-01_因子設定!$B$14,01_因子設定!$B$15-AB4272))),-1E+030)</f>
        <v>0.44137870406832</v>
      </c>
      <c r="AE4272" s="55" t="n">
        <f aca="false">IF(AC4272,IF(01_因子設定!$B$13="最大化",X4272,IF(01_因子設定!$B$13="最小化",-X4272,-ABS(X4272-01_因子設定!$B$16))),-1E+030)</f>
        <v>48.4029925073099</v>
      </c>
      <c r="AF4272" s="55" t="n">
        <f aca="false">AD4272+ROW()*0.000000001</f>
        <v>0.44138297606832</v>
      </c>
      <c r="AG4272" s="55" t="n">
        <f aca="false">AE4272+ROW()*0.000000001</f>
        <v>48.4029967793099</v>
      </c>
    </row>
    <row r="4273" customFormat="false" ht="15" hidden="false" customHeight="false" outlineLevel="0" collapsed="false">
      <c r="A4273" s="0" t="n">
        <v>5</v>
      </c>
      <c r="B4273" s="0" t="n">
        <v>7</v>
      </c>
      <c r="C4273" s="0" t="n">
        <v>6</v>
      </c>
      <c r="D4273" s="0" t="n">
        <v>2</v>
      </c>
      <c r="E4273" s="0" t="n">
        <f aca="false">-1+A4273*0.25</f>
        <v>0.25</v>
      </c>
      <c r="F4273" s="0" t="n">
        <f aca="false">-1+B4273*0.25</f>
        <v>0.75</v>
      </c>
      <c r="G4273" s="0" t="n">
        <f aca="false">-1+C4273*0.25</f>
        <v>0.5</v>
      </c>
      <c r="H4273" s="0" t="n">
        <f aca="false">-1+D4273*0.25</f>
        <v>-0.5</v>
      </c>
      <c r="I4273" s="0" t="n">
        <f aca="false">1</f>
        <v>1</v>
      </c>
      <c r="J4273" s="0" t="n">
        <f aca="false">E4273</f>
        <v>0.25</v>
      </c>
      <c r="K4273" s="0" t="n">
        <f aca="false">F4273</f>
        <v>0.75</v>
      </c>
      <c r="L4273" s="0" t="n">
        <f aca="false">G4273</f>
        <v>0.5</v>
      </c>
      <c r="M4273" s="0" t="n">
        <f aca="false">H4273</f>
        <v>-0.5</v>
      </c>
      <c r="N4273" s="0" t="n">
        <f aca="false">E4273*F4273</f>
        <v>0.1875</v>
      </c>
      <c r="O4273" s="0" t="n">
        <f aca="false">E4273*G4273</f>
        <v>0.125</v>
      </c>
      <c r="P4273" s="0" t="n">
        <f aca="false">E4273*H4273</f>
        <v>-0.125</v>
      </c>
      <c r="Q4273" s="0" t="n">
        <f aca="false">F4273*G4273</f>
        <v>0.375</v>
      </c>
      <c r="R4273" s="0" t="n">
        <f aca="false">F4273*H4273</f>
        <v>-0.375</v>
      </c>
      <c r="S4273" s="0" t="n">
        <f aca="false">G4273*H4273</f>
        <v>-0.25</v>
      </c>
      <c r="T4273" s="0" t="n">
        <f aca="false">E4273*E4273</f>
        <v>0.0625</v>
      </c>
      <c r="U4273" s="0" t="n">
        <f aca="false">F4273*F4273</f>
        <v>0.5625</v>
      </c>
      <c r="V4273" s="0" t="n">
        <f aca="false">G4273*G4273</f>
        <v>0.25</v>
      </c>
      <c r="W4273" s="0" t="n">
        <f aca="false">H4273*H4273</f>
        <v>0.25</v>
      </c>
      <c r="X4273" s="0" t="n">
        <f aca="false">SUMPRODUCT(I4273:W4273,_XtX!$B$96:$P$96)</f>
        <v>48.6278051900584</v>
      </c>
      <c r="Y4273" s="0" t="n">
        <f aca="false">SUMPRODUCT(MMULT(I4273:W4273,_XtX!$B$78:$P$92),I4273:W4273)</f>
        <v>0.203746059484649</v>
      </c>
      <c r="Z4273" s="0" t="n">
        <f aca="false">04_回帰ANOVA!$K$19*04_回帰ANOVA!$K$14*SQRT(1+Y4273)</f>
        <v>1.43009810755465</v>
      </c>
      <c r="AA4273" s="0" t="n">
        <f aca="false">X4273-Z4273</f>
        <v>47.1977070825038</v>
      </c>
      <c r="AB4273" s="0" t="n">
        <f aca="false">X4273+Z4273</f>
        <v>50.0579032976131</v>
      </c>
      <c r="AC4273" s="54" t="b">
        <f aca="false">AND(E4273&gt;=01_因子設定!$L$5-0.000000001,E4273&lt;=01_因子設定!$M$5+0.000000001,F4273&gt;=01_因子設定!$L$6-0.000000001,F4273&lt;=01_因子設定!$M$6+0.000000001,G4273&gt;=01_因子設定!$L$7-0.000000001,G4273&lt;=01_因子設定!$M$7+0.000000001,H4273&gt;=01_因子設定!$L$8-0.000000001,H4273&lt;=01_因子設定!$M$8+0.000000001,IF(01_因子設定!$B$20="Box-Behnken",E4273^2+F4273^2+G4273^2+H4273^2&lt;=2+0.000000001,TRUE()))</f>
        <v>1</v>
      </c>
      <c r="AD4273" s="55" t="n">
        <f aca="false">IF(AC4273,IF(01_因子設定!$B$13="最大化",AA4273-01_因子設定!$B$14,IF(01_因子設定!$B$13="最小化",01_因子設定!$B$15-AB4273,MIN(AA4273-01_因子設定!$B$14,01_因子設定!$B$15-AB4273))),-1E+030)</f>
        <v>0.697707082503783</v>
      </c>
      <c r="AE4273" s="55" t="n">
        <f aca="false">IF(AC4273,IF(01_因子設定!$B$13="最大化",X4273,IF(01_因子設定!$B$13="最小化",-X4273,-ABS(X4273-01_因子設定!$B$16))),-1E+030)</f>
        <v>48.6278051900584</v>
      </c>
      <c r="AF4273" s="55" t="n">
        <f aca="false">AD4273+ROW()*0.000000001</f>
        <v>0.697711355503783</v>
      </c>
      <c r="AG4273" s="55" t="n">
        <f aca="false">AE4273+ROW()*0.000000001</f>
        <v>48.6278094630584</v>
      </c>
    </row>
    <row r="4274" customFormat="false" ht="15" hidden="false" customHeight="false" outlineLevel="0" collapsed="false">
      <c r="A4274" s="0" t="n">
        <v>5</v>
      </c>
      <c r="B4274" s="0" t="n">
        <v>7</v>
      </c>
      <c r="C4274" s="0" t="n">
        <v>6</v>
      </c>
      <c r="D4274" s="0" t="n">
        <v>3</v>
      </c>
      <c r="E4274" s="0" t="n">
        <f aca="false">-1+A4274*0.25</f>
        <v>0.25</v>
      </c>
      <c r="F4274" s="0" t="n">
        <f aca="false">-1+B4274*0.25</f>
        <v>0.75</v>
      </c>
      <c r="G4274" s="0" t="n">
        <f aca="false">-1+C4274*0.25</f>
        <v>0.5</v>
      </c>
      <c r="H4274" s="0" t="n">
        <f aca="false">-1+D4274*0.25</f>
        <v>-0.25</v>
      </c>
      <c r="I4274" s="0" t="n">
        <f aca="false">1</f>
        <v>1</v>
      </c>
      <c r="J4274" s="0" t="n">
        <f aca="false">E4274</f>
        <v>0.25</v>
      </c>
      <c r="K4274" s="0" t="n">
        <f aca="false">F4274</f>
        <v>0.75</v>
      </c>
      <c r="L4274" s="0" t="n">
        <f aca="false">G4274</f>
        <v>0.5</v>
      </c>
      <c r="M4274" s="0" t="n">
        <f aca="false">H4274</f>
        <v>-0.25</v>
      </c>
      <c r="N4274" s="0" t="n">
        <f aca="false">E4274*F4274</f>
        <v>0.1875</v>
      </c>
      <c r="O4274" s="0" t="n">
        <f aca="false">E4274*G4274</f>
        <v>0.125</v>
      </c>
      <c r="P4274" s="0" t="n">
        <f aca="false">E4274*H4274</f>
        <v>-0.0625</v>
      </c>
      <c r="Q4274" s="0" t="n">
        <f aca="false">F4274*G4274</f>
        <v>0.375</v>
      </c>
      <c r="R4274" s="0" t="n">
        <f aca="false">F4274*H4274</f>
        <v>-0.1875</v>
      </c>
      <c r="S4274" s="0" t="n">
        <f aca="false">G4274*H4274</f>
        <v>-0.125</v>
      </c>
      <c r="T4274" s="0" t="n">
        <f aca="false">E4274*E4274</f>
        <v>0.0625</v>
      </c>
      <c r="U4274" s="0" t="n">
        <f aca="false">F4274*F4274</f>
        <v>0.5625</v>
      </c>
      <c r="V4274" s="0" t="n">
        <f aca="false">G4274*G4274</f>
        <v>0.25</v>
      </c>
      <c r="W4274" s="0" t="n">
        <f aca="false">H4274*H4274</f>
        <v>0.0625</v>
      </c>
      <c r="X4274" s="0" t="n">
        <f aca="false">SUMPRODUCT(I4274:W4274,_XtX!$B$96:$P$96)</f>
        <v>48.8048108552631</v>
      </c>
      <c r="Y4274" s="0" t="n">
        <f aca="false">SUMPRODUCT(MMULT(I4274:W4274,_XtX!$B$78:$P$92),I4274:W4274)</f>
        <v>0.207746539199561</v>
      </c>
      <c r="Z4274" s="0" t="n">
        <f aca="false">04_回帰ANOVA!$K$19*04_回帰ANOVA!$K$14*SQRT(1+Y4274)</f>
        <v>1.43247250081141</v>
      </c>
      <c r="AA4274" s="0" t="n">
        <f aca="false">X4274-Z4274</f>
        <v>47.3723383544517</v>
      </c>
      <c r="AB4274" s="0" t="n">
        <f aca="false">X4274+Z4274</f>
        <v>50.2372833560745</v>
      </c>
      <c r="AC4274" s="54" t="b">
        <f aca="false">AND(E4274&gt;=01_因子設定!$L$5-0.000000001,E4274&lt;=01_因子設定!$M$5+0.000000001,F4274&gt;=01_因子設定!$L$6-0.000000001,F4274&lt;=01_因子設定!$M$6+0.000000001,G4274&gt;=01_因子設定!$L$7-0.000000001,G4274&lt;=01_因子設定!$M$7+0.000000001,H4274&gt;=01_因子設定!$L$8-0.000000001,H4274&lt;=01_因子設定!$M$8+0.000000001,IF(01_因子設定!$B$20="Box-Behnken",E4274^2+F4274^2+G4274^2+H4274^2&lt;=2+0.000000001,TRUE()))</f>
        <v>1</v>
      </c>
      <c r="AD4274" s="55" t="n">
        <f aca="false">IF(AC4274,IF(01_因子設定!$B$13="最大化",AA4274-01_因子設定!$B$14,IF(01_因子設定!$B$13="最小化",01_因子設定!$B$15-AB4274,MIN(AA4274-01_因子設定!$B$14,01_因子設定!$B$15-AB4274))),-1E+030)</f>
        <v>0.872338354451692</v>
      </c>
      <c r="AE4274" s="55" t="n">
        <f aca="false">IF(AC4274,IF(01_因子設定!$B$13="最大化",X4274,IF(01_因子設定!$B$13="最小化",-X4274,-ABS(X4274-01_因子設定!$B$16))),-1E+030)</f>
        <v>48.8048108552631</v>
      </c>
      <c r="AF4274" s="55" t="n">
        <f aca="false">AD4274+ROW()*0.000000001</f>
        <v>0.872342628451692</v>
      </c>
      <c r="AG4274" s="55" t="n">
        <f aca="false">AE4274+ROW()*0.000000001</f>
        <v>48.8048151292631</v>
      </c>
    </row>
    <row r="4275" customFormat="false" ht="15" hidden="false" customHeight="false" outlineLevel="0" collapsed="false">
      <c r="A4275" s="0" t="n">
        <v>5</v>
      </c>
      <c r="B4275" s="0" t="n">
        <v>7</v>
      </c>
      <c r="C4275" s="0" t="n">
        <v>6</v>
      </c>
      <c r="D4275" s="0" t="n">
        <v>4</v>
      </c>
      <c r="E4275" s="0" t="n">
        <f aca="false">-1+A4275*0.25</f>
        <v>0.25</v>
      </c>
      <c r="F4275" s="0" t="n">
        <f aca="false">-1+B4275*0.25</f>
        <v>0.75</v>
      </c>
      <c r="G4275" s="0" t="n">
        <f aca="false">-1+C4275*0.25</f>
        <v>0.5</v>
      </c>
      <c r="H4275" s="0" t="n">
        <f aca="false">-1+D4275*0.25</f>
        <v>0</v>
      </c>
      <c r="I4275" s="0" t="n">
        <f aca="false">1</f>
        <v>1</v>
      </c>
      <c r="J4275" s="0" t="n">
        <f aca="false">E4275</f>
        <v>0.25</v>
      </c>
      <c r="K4275" s="0" t="n">
        <f aca="false">F4275</f>
        <v>0.75</v>
      </c>
      <c r="L4275" s="0" t="n">
        <f aca="false">G4275</f>
        <v>0.5</v>
      </c>
      <c r="M4275" s="0" t="n">
        <f aca="false">H4275</f>
        <v>0</v>
      </c>
      <c r="N4275" s="0" t="n">
        <f aca="false">E4275*F4275</f>
        <v>0.1875</v>
      </c>
      <c r="O4275" s="0" t="n">
        <f aca="false">E4275*G4275</f>
        <v>0.125</v>
      </c>
      <c r="P4275" s="0" t="n">
        <f aca="false">E4275*H4275</f>
        <v>0</v>
      </c>
      <c r="Q4275" s="0" t="n">
        <f aca="false">F4275*G4275</f>
        <v>0.375</v>
      </c>
      <c r="R4275" s="0" t="n">
        <f aca="false">F4275*H4275</f>
        <v>0</v>
      </c>
      <c r="S4275" s="0" t="n">
        <f aca="false">G4275*H4275</f>
        <v>0</v>
      </c>
      <c r="T4275" s="0" t="n">
        <f aca="false">E4275*E4275</f>
        <v>0.0625</v>
      </c>
      <c r="U4275" s="0" t="n">
        <f aca="false">F4275*F4275</f>
        <v>0.5625</v>
      </c>
      <c r="V4275" s="0" t="n">
        <f aca="false">G4275*G4275</f>
        <v>0.25</v>
      </c>
      <c r="W4275" s="0" t="n">
        <f aca="false">H4275*H4275</f>
        <v>0</v>
      </c>
      <c r="X4275" s="0" t="n">
        <f aca="false">SUMPRODUCT(I4275:W4275,_XtX!$B$96:$P$96)</f>
        <v>48.9340095029239</v>
      </c>
      <c r="Y4275" s="0" t="n">
        <f aca="false">SUMPRODUCT(MMULT(I4275:W4275,_XtX!$B$78:$P$92),I4275:W4275)</f>
        <v>0.215110734192252</v>
      </c>
      <c r="Z4275" s="0" t="n">
        <f aca="false">04_回帰ANOVA!$K$19*04_回帰ANOVA!$K$14*SQRT(1+Y4275)</f>
        <v>1.43683309086864</v>
      </c>
      <c r="AA4275" s="0" t="n">
        <f aca="false">X4275-Z4275</f>
        <v>47.4971764120553</v>
      </c>
      <c r="AB4275" s="0" t="n">
        <f aca="false">X4275+Z4275</f>
        <v>50.3708425937926</v>
      </c>
      <c r="AC4275" s="54" t="b">
        <f aca="false">AND(E4275&gt;=01_因子設定!$L$5-0.000000001,E4275&lt;=01_因子設定!$M$5+0.000000001,F4275&gt;=01_因子設定!$L$6-0.000000001,F4275&lt;=01_因子設定!$M$6+0.000000001,G4275&gt;=01_因子設定!$L$7-0.000000001,G4275&lt;=01_因子設定!$M$7+0.000000001,H4275&gt;=01_因子設定!$L$8-0.000000001,H4275&lt;=01_因子設定!$M$8+0.000000001,IF(01_因子設定!$B$20="Box-Behnken",E4275^2+F4275^2+G4275^2+H4275^2&lt;=2+0.000000001,TRUE()))</f>
        <v>1</v>
      </c>
      <c r="AD4275" s="55" t="n">
        <f aca="false">IF(AC4275,IF(01_因子設定!$B$13="最大化",AA4275-01_因子設定!$B$14,IF(01_因子設定!$B$13="最小化",01_因子設定!$B$15-AB4275,MIN(AA4275-01_因子設定!$B$14,01_因子設定!$B$15-AB4275))),-1E+030)</f>
        <v>0.997176412055268</v>
      </c>
      <c r="AE4275" s="55" t="n">
        <f aca="false">IF(AC4275,IF(01_因子設定!$B$13="最大化",X4275,IF(01_因子設定!$B$13="最小化",-X4275,-ABS(X4275-01_因子設定!$B$16))),-1E+030)</f>
        <v>48.9340095029239</v>
      </c>
      <c r="AF4275" s="55" t="n">
        <f aca="false">AD4275+ROW()*0.000000001</f>
        <v>0.997180687055268</v>
      </c>
      <c r="AG4275" s="55" t="n">
        <f aca="false">AE4275+ROW()*0.000000001</f>
        <v>48.9340137779239</v>
      </c>
    </row>
    <row r="4276" customFormat="false" ht="15" hidden="false" customHeight="false" outlineLevel="0" collapsed="false">
      <c r="A4276" s="0" t="n">
        <v>5</v>
      </c>
      <c r="B4276" s="0" t="n">
        <v>7</v>
      </c>
      <c r="C4276" s="0" t="n">
        <v>6</v>
      </c>
      <c r="D4276" s="0" t="n">
        <v>5</v>
      </c>
      <c r="E4276" s="0" t="n">
        <f aca="false">-1+A4276*0.25</f>
        <v>0.25</v>
      </c>
      <c r="F4276" s="0" t="n">
        <f aca="false">-1+B4276*0.25</f>
        <v>0.75</v>
      </c>
      <c r="G4276" s="0" t="n">
        <f aca="false">-1+C4276*0.25</f>
        <v>0.5</v>
      </c>
      <c r="H4276" s="0" t="n">
        <f aca="false">-1+D4276*0.25</f>
        <v>0.25</v>
      </c>
      <c r="I4276" s="0" t="n">
        <f aca="false">1</f>
        <v>1</v>
      </c>
      <c r="J4276" s="0" t="n">
        <f aca="false">E4276</f>
        <v>0.25</v>
      </c>
      <c r="K4276" s="0" t="n">
        <f aca="false">F4276</f>
        <v>0.75</v>
      </c>
      <c r="L4276" s="0" t="n">
        <f aca="false">G4276</f>
        <v>0.5</v>
      </c>
      <c r="M4276" s="0" t="n">
        <f aca="false">H4276</f>
        <v>0.25</v>
      </c>
      <c r="N4276" s="0" t="n">
        <f aca="false">E4276*F4276</f>
        <v>0.1875</v>
      </c>
      <c r="O4276" s="0" t="n">
        <f aca="false">E4276*G4276</f>
        <v>0.125</v>
      </c>
      <c r="P4276" s="0" t="n">
        <f aca="false">E4276*H4276</f>
        <v>0.0625</v>
      </c>
      <c r="Q4276" s="0" t="n">
        <f aca="false">F4276*G4276</f>
        <v>0.375</v>
      </c>
      <c r="R4276" s="0" t="n">
        <f aca="false">F4276*H4276</f>
        <v>0.1875</v>
      </c>
      <c r="S4276" s="0" t="n">
        <f aca="false">G4276*H4276</f>
        <v>0.125</v>
      </c>
      <c r="T4276" s="0" t="n">
        <f aca="false">E4276*E4276</f>
        <v>0.0625</v>
      </c>
      <c r="U4276" s="0" t="n">
        <f aca="false">F4276*F4276</f>
        <v>0.5625</v>
      </c>
      <c r="V4276" s="0" t="n">
        <f aca="false">G4276*G4276</f>
        <v>0.25</v>
      </c>
      <c r="W4276" s="0" t="n">
        <f aca="false">H4276*H4276</f>
        <v>0.0625</v>
      </c>
      <c r="X4276" s="0" t="n">
        <f aca="false">SUMPRODUCT(I4276:W4276,_XtX!$B$96:$P$96)</f>
        <v>49.0154011330409</v>
      </c>
      <c r="Y4276" s="0" t="n">
        <f aca="false">SUMPRODUCT(MMULT(I4276:W4276,_XtX!$B$78:$P$92),I4276:W4276)</f>
        <v>0.207746539199561</v>
      </c>
      <c r="Z4276" s="0" t="n">
        <f aca="false">04_回帰ANOVA!$K$19*04_回帰ANOVA!$K$14*SQRT(1+Y4276)</f>
        <v>1.43247250081141</v>
      </c>
      <c r="AA4276" s="0" t="n">
        <f aca="false">X4276-Z4276</f>
        <v>47.5829286322295</v>
      </c>
      <c r="AB4276" s="0" t="n">
        <f aca="false">X4276+Z4276</f>
        <v>50.4478736338523</v>
      </c>
      <c r="AC4276" s="54" t="b">
        <f aca="false">AND(E4276&gt;=01_因子設定!$L$5-0.000000001,E4276&lt;=01_因子設定!$M$5+0.000000001,F4276&gt;=01_因子設定!$L$6-0.000000001,F4276&lt;=01_因子設定!$M$6+0.000000001,G4276&gt;=01_因子設定!$L$7-0.000000001,G4276&lt;=01_因子設定!$M$7+0.000000001,H4276&gt;=01_因子設定!$L$8-0.000000001,H4276&lt;=01_因子設定!$M$8+0.000000001,IF(01_因子設定!$B$20="Box-Behnken",E4276^2+F4276^2+G4276^2+H4276^2&lt;=2+0.000000001,TRUE()))</f>
        <v>1</v>
      </c>
      <c r="AD4276" s="55" t="n">
        <f aca="false">IF(AC4276,IF(01_因子設定!$B$13="最大化",AA4276-01_因子設定!$B$14,IF(01_因子設定!$B$13="最小化",01_因子設定!$B$15-AB4276,MIN(AA4276-01_因子設定!$B$14,01_因子設定!$B$15-AB4276))),-1E+030)</f>
        <v>1.08292863222947</v>
      </c>
      <c r="AE4276" s="55" t="n">
        <f aca="false">IF(AC4276,IF(01_因子設定!$B$13="最大化",X4276,IF(01_因子設定!$B$13="最小化",-X4276,-ABS(X4276-01_因子設定!$B$16))),-1E+030)</f>
        <v>49.0154011330409</v>
      </c>
      <c r="AF4276" s="55" t="n">
        <f aca="false">AD4276+ROW()*0.000000001</f>
        <v>1.08293290822947</v>
      </c>
      <c r="AG4276" s="55" t="n">
        <f aca="false">AE4276+ROW()*0.000000001</f>
        <v>49.0154054090409</v>
      </c>
    </row>
    <row r="4277" customFormat="false" ht="15" hidden="false" customHeight="false" outlineLevel="0" collapsed="false">
      <c r="A4277" s="0" t="n">
        <v>5</v>
      </c>
      <c r="B4277" s="0" t="n">
        <v>7</v>
      </c>
      <c r="C4277" s="0" t="n">
        <v>6</v>
      </c>
      <c r="D4277" s="0" t="n">
        <v>6</v>
      </c>
      <c r="E4277" s="0" t="n">
        <f aca="false">-1+A4277*0.25</f>
        <v>0.25</v>
      </c>
      <c r="F4277" s="0" t="n">
        <f aca="false">-1+B4277*0.25</f>
        <v>0.75</v>
      </c>
      <c r="G4277" s="0" t="n">
        <f aca="false">-1+C4277*0.25</f>
        <v>0.5</v>
      </c>
      <c r="H4277" s="0" t="n">
        <f aca="false">-1+D4277*0.25</f>
        <v>0.5</v>
      </c>
      <c r="I4277" s="0" t="n">
        <f aca="false">1</f>
        <v>1</v>
      </c>
      <c r="J4277" s="0" t="n">
        <f aca="false">E4277</f>
        <v>0.25</v>
      </c>
      <c r="K4277" s="0" t="n">
        <f aca="false">F4277</f>
        <v>0.75</v>
      </c>
      <c r="L4277" s="0" t="n">
        <f aca="false">G4277</f>
        <v>0.5</v>
      </c>
      <c r="M4277" s="0" t="n">
        <f aca="false">H4277</f>
        <v>0.5</v>
      </c>
      <c r="N4277" s="0" t="n">
        <f aca="false">E4277*F4277</f>
        <v>0.1875</v>
      </c>
      <c r="O4277" s="0" t="n">
        <f aca="false">E4277*G4277</f>
        <v>0.125</v>
      </c>
      <c r="P4277" s="0" t="n">
        <f aca="false">E4277*H4277</f>
        <v>0.125</v>
      </c>
      <c r="Q4277" s="0" t="n">
        <f aca="false">F4277*G4277</f>
        <v>0.375</v>
      </c>
      <c r="R4277" s="0" t="n">
        <f aca="false">F4277*H4277</f>
        <v>0.375</v>
      </c>
      <c r="S4277" s="0" t="n">
        <f aca="false">G4277*H4277</f>
        <v>0.25</v>
      </c>
      <c r="T4277" s="0" t="n">
        <f aca="false">E4277*E4277</f>
        <v>0.0625</v>
      </c>
      <c r="U4277" s="0" t="n">
        <f aca="false">F4277*F4277</f>
        <v>0.5625</v>
      </c>
      <c r="V4277" s="0" t="n">
        <f aca="false">G4277*G4277</f>
        <v>0.25</v>
      </c>
      <c r="W4277" s="0" t="n">
        <f aca="false">H4277*H4277</f>
        <v>0.25</v>
      </c>
      <c r="X4277" s="0" t="n">
        <f aca="false">SUMPRODUCT(I4277:W4277,_XtX!$B$96:$P$96)</f>
        <v>49.048985745614</v>
      </c>
      <c r="Y4277" s="0" t="n">
        <f aca="false">SUMPRODUCT(MMULT(I4277:W4277,_XtX!$B$78:$P$92),I4277:W4277)</f>
        <v>0.203746059484649</v>
      </c>
      <c r="Z4277" s="0" t="n">
        <f aca="false">04_回帰ANOVA!$K$19*04_回帰ANOVA!$K$14*SQRT(1+Y4277)</f>
        <v>1.43009810755465</v>
      </c>
      <c r="AA4277" s="0" t="n">
        <f aca="false">X4277-Z4277</f>
        <v>47.6188876380593</v>
      </c>
      <c r="AB4277" s="0" t="n">
        <f aca="false">X4277+Z4277</f>
        <v>50.4790838531686</v>
      </c>
      <c r="AC4277" s="54" t="b">
        <f aca="false">AND(E4277&gt;=01_因子設定!$L$5-0.000000001,E4277&lt;=01_因子設定!$M$5+0.000000001,F4277&gt;=01_因子設定!$L$6-0.000000001,F4277&lt;=01_因子設定!$M$6+0.000000001,G4277&gt;=01_因子設定!$L$7-0.000000001,G4277&lt;=01_因子設定!$M$7+0.000000001,H4277&gt;=01_因子設定!$L$8-0.000000001,H4277&lt;=01_因子設定!$M$8+0.000000001,IF(01_因子設定!$B$20="Box-Behnken",E4277^2+F4277^2+G4277^2+H4277^2&lt;=2+0.000000001,TRUE()))</f>
        <v>1</v>
      </c>
      <c r="AD4277" s="55" t="n">
        <f aca="false">IF(AC4277,IF(01_因子設定!$B$13="最大化",AA4277-01_因子設定!$B$14,IF(01_因子設定!$B$13="最小化",01_因子設定!$B$15-AB4277,MIN(AA4277-01_因子設定!$B$14,01_因子設定!$B$15-AB4277))),-1E+030)</f>
        <v>1.11888763805933</v>
      </c>
      <c r="AE4277" s="55" t="n">
        <f aca="false">IF(AC4277,IF(01_因子設定!$B$13="最大化",X4277,IF(01_因子設定!$B$13="最小化",-X4277,-ABS(X4277-01_因子設定!$B$16))),-1E+030)</f>
        <v>49.048985745614</v>
      </c>
      <c r="AF4277" s="55" t="n">
        <f aca="false">AD4277+ROW()*0.000000001</f>
        <v>1.11889191505933</v>
      </c>
      <c r="AG4277" s="55" t="n">
        <f aca="false">AE4277+ROW()*0.000000001</f>
        <v>49.048990022614</v>
      </c>
    </row>
    <row r="4278" customFormat="false" ht="15" hidden="false" customHeight="false" outlineLevel="0" collapsed="false">
      <c r="A4278" s="0" t="n">
        <v>5</v>
      </c>
      <c r="B4278" s="0" t="n">
        <v>7</v>
      </c>
      <c r="C4278" s="0" t="n">
        <v>6</v>
      </c>
      <c r="D4278" s="0" t="n">
        <v>7</v>
      </c>
      <c r="E4278" s="0" t="n">
        <f aca="false">-1+A4278*0.25</f>
        <v>0.25</v>
      </c>
      <c r="F4278" s="0" t="n">
        <f aca="false">-1+B4278*0.25</f>
        <v>0.75</v>
      </c>
      <c r="G4278" s="0" t="n">
        <f aca="false">-1+C4278*0.25</f>
        <v>0.5</v>
      </c>
      <c r="H4278" s="0" t="n">
        <f aca="false">-1+D4278*0.25</f>
        <v>0.75</v>
      </c>
      <c r="I4278" s="0" t="n">
        <f aca="false">1</f>
        <v>1</v>
      </c>
      <c r="J4278" s="0" t="n">
        <f aca="false">E4278</f>
        <v>0.25</v>
      </c>
      <c r="K4278" s="0" t="n">
        <f aca="false">F4278</f>
        <v>0.75</v>
      </c>
      <c r="L4278" s="0" t="n">
        <f aca="false">G4278</f>
        <v>0.5</v>
      </c>
      <c r="M4278" s="0" t="n">
        <f aca="false">H4278</f>
        <v>0.75</v>
      </c>
      <c r="N4278" s="0" t="n">
        <f aca="false">E4278*F4278</f>
        <v>0.1875</v>
      </c>
      <c r="O4278" s="0" t="n">
        <f aca="false">E4278*G4278</f>
        <v>0.125</v>
      </c>
      <c r="P4278" s="0" t="n">
        <f aca="false">E4278*H4278</f>
        <v>0.1875</v>
      </c>
      <c r="Q4278" s="0" t="n">
        <f aca="false">F4278*G4278</f>
        <v>0.375</v>
      </c>
      <c r="R4278" s="0" t="n">
        <f aca="false">F4278*H4278</f>
        <v>0.5625</v>
      </c>
      <c r="S4278" s="0" t="n">
        <f aca="false">G4278*H4278</f>
        <v>0.375</v>
      </c>
      <c r="T4278" s="0" t="n">
        <f aca="false">E4278*E4278</f>
        <v>0.0625</v>
      </c>
      <c r="U4278" s="0" t="n">
        <f aca="false">F4278*F4278</f>
        <v>0.5625</v>
      </c>
      <c r="V4278" s="0" t="n">
        <f aca="false">G4278*G4278</f>
        <v>0.25</v>
      </c>
      <c r="W4278" s="0" t="n">
        <f aca="false">H4278*H4278</f>
        <v>0.5625</v>
      </c>
      <c r="X4278" s="0" t="n">
        <f aca="false">SUMPRODUCT(I4278:W4278,_XtX!$B$96:$P$96)</f>
        <v>49.0347633406432</v>
      </c>
      <c r="Y4278" s="0" t="n">
        <f aca="false">SUMPRODUCT(MMULT(I4278:W4278,_XtX!$B$78:$P$92),I4278:W4278)</f>
        <v>0.257385610836988</v>
      </c>
      <c r="Z4278" s="0" t="n">
        <f aca="false">04_回帰ANOVA!$K$19*04_回帰ANOVA!$K$14*SQRT(1+Y4278)</f>
        <v>1.46161380324158</v>
      </c>
      <c r="AA4278" s="0" t="n">
        <f aca="false">X4278-Z4278</f>
        <v>47.5731495374017</v>
      </c>
      <c r="AB4278" s="0" t="n">
        <f aca="false">X4278+Z4278</f>
        <v>50.4963771438848</v>
      </c>
      <c r="AC4278" s="54" t="b">
        <f aca="false">AND(E4278&gt;=01_因子設定!$L$5-0.000000001,E4278&lt;=01_因子設定!$M$5+0.000000001,F4278&gt;=01_因子設定!$L$6-0.000000001,F4278&lt;=01_因子設定!$M$6+0.000000001,G4278&gt;=01_因子設定!$L$7-0.000000001,G4278&lt;=01_因子設定!$M$7+0.000000001,H4278&gt;=01_因子設定!$L$8-0.000000001,H4278&lt;=01_因子設定!$M$8+0.000000001,IF(01_因子設定!$B$20="Box-Behnken",E4278^2+F4278^2+G4278^2+H4278^2&lt;=2+0.000000001,TRUE()))</f>
        <v>1</v>
      </c>
      <c r="AD4278" s="55" t="n">
        <f aca="false">IF(AC4278,IF(01_因子設定!$B$13="最大化",AA4278-01_因子設定!$B$14,IF(01_因子設定!$B$13="最小化",01_因子設定!$B$15-AB4278,MIN(AA4278-01_因子設定!$B$14,01_因子設定!$B$15-AB4278))),-1E+030)</f>
        <v>1.07314953740165</v>
      </c>
      <c r="AE4278" s="55" t="n">
        <f aca="false">IF(AC4278,IF(01_因子設定!$B$13="最大化",X4278,IF(01_因子設定!$B$13="最小化",-X4278,-ABS(X4278-01_因子設定!$B$16))),-1E+030)</f>
        <v>49.0347633406432</v>
      </c>
      <c r="AF4278" s="55" t="n">
        <f aca="false">AD4278+ROW()*0.000000001</f>
        <v>1.07315381540165</v>
      </c>
      <c r="AG4278" s="55" t="n">
        <f aca="false">AE4278+ROW()*0.000000001</f>
        <v>49.0347676186432</v>
      </c>
    </row>
    <row r="4279" customFormat="false" ht="15" hidden="false" customHeight="false" outlineLevel="0" collapsed="false">
      <c r="A4279" s="0" t="n">
        <v>5</v>
      </c>
      <c r="B4279" s="0" t="n">
        <v>7</v>
      </c>
      <c r="C4279" s="0" t="n">
        <v>6</v>
      </c>
      <c r="D4279" s="0" t="n">
        <v>8</v>
      </c>
      <c r="E4279" s="0" t="n">
        <f aca="false">-1+A4279*0.25</f>
        <v>0.25</v>
      </c>
      <c r="F4279" s="0" t="n">
        <f aca="false">-1+B4279*0.25</f>
        <v>0.75</v>
      </c>
      <c r="G4279" s="0" t="n">
        <f aca="false">-1+C4279*0.25</f>
        <v>0.5</v>
      </c>
      <c r="H4279" s="0" t="n">
        <f aca="false">-1+D4279*0.25</f>
        <v>1</v>
      </c>
      <c r="I4279" s="0" t="n">
        <f aca="false">1</f>
        <v>1</v>
      </c>
      <c r="J4279" s="0" t="n">
        <f aca="false">E4279</f>
        <v>0.25</v>
      </c>
      <c r="K4279" s="0" t="n">
        <f aca="false">F4279</f>
        <v>0.75</v>
      </c>
      <c r="L4279" s="0" t="n">
        <f aca="false">G4279</f>
        <v>0.5</v>
      </c>
      <c r="M4279" s="0" t="n">
        <f aca="false">H4279</f>
        <v>1</v>
      </c>
      <c r="N4279" s="0" t="n">
        <f aca="false">E4279*F4279</f>
        <v>0.1875</v>
      </c>
      <c r="O4279" s="0" t="n">
        <f aca="false">E4279*G4279</f>
        <v>0.125</v>
      </c>
      <c r="P4279" s="0" t="n">
        <f aca="false">E4279*H4279</f>
        <v>0.25</v>
      </c>
      <c r="Q4279" s="0" t="n">
        <f aca="false">F4279*G4279</f>
        <v>0.375</v>
      </c>
      <c r="R4279" s="0" t="n">
        <f aca="false">F4279*H4279</f>
        <v>0.75</v>
      </c>
      <c r="S4279" s="0" t="n">
        <f aca="false">G4279*H4279</f>
        <v>0.5</v>
      </c>
      <c r="T4279" s="0" t="n">
        <f aca="false">E4279*E4279</f>
        <v>0.0625</v>
      </c>
      <c r="U4279" s="0" t="n">
        <f aca="false">F4279*F4279</f>
        <v>0.5625</v>
      </c>
      <c r="V4279" s="0" t="n">
        <f aca="false">G4279*G4279</f>
        <v>0.25</v>
      </c>
      <c r="W4279" s="0" t="n">
        <f aca="false">H4279*H4279</f>
        <v>1</v>
      </c>
      <c r="X4279" s="0" t="n">
        <f aca="false">SUMPRODUCT(I4279:W4279,_XtX!$B$96:$P$96)</f>
        <v>48.9727339181286</v>
      </c>
      <c r="Y4279" s="0" t="n">
        <f aca="false">SUMPRODUCT(MMULT(I4279:W4279,_XtX!$B$78:$P$92),I4279:W4279)</f>
        <v>0.459125719572369</v>
      </c>
      <c r="Z4279" s="0" t="n">
        <f aca="false">04_回帰ANOVA!$K$19*04_回帰ANOVA!$K$14*SQRT(1+Y4279)</f>
        <v>1.57450755575573</v>
      </c>
      <c r="AA4279" s="0" t="n">
        <f aca="false">X4279-Z4279</f>
        <v>47.3982263623729</v>
      </c>
      <c r="AB4279" s="0" t="n">
        <f aca="false">X4279+Z4279</f>
        <v>50.5472414738844</v>
      </c>
      <c r="AC4279" s="54" t="b">
        <f aca="false">AND(E4279&gt;=01_因子設定!$L$5-0.000000001,E4279&lt;=01_因子設定!$M$5+0.000000001,F4279&gt;=01_因子設定!$L$6-0.000000001,F4279&lt;=01_因子設定!$M$6+0.000000001,G4279&gt;=01_因子設定!$L$7-0.000000001,G4279&lt;=01_因子設定!$M$7+0.000000001,H4279&gt;=01_因子設定!$L$8-0.000000001,H4279&lt;=01_因子設定!$M$8+0.000000001,IF(01_因子設定!$B$20="Box-Behnken",E4279^2+F4279^2+G4279^2+H4279^2&lt;=2+0.000000001,TRUE()))</f>
        <v>1</v>
      </c>
      <c r="AD4279" s="55" t="n">
        <f aca="false">IF(AC4279,IF(01_因子設定!$B$13="最大化",AA4279-01_因子設定!$B$14,IF(01_因子設定!$B$13="最小化",01_因子設定!$B$15-AB4279,MIN(AA4279-01_因子設定!$B$14,01_因子設定!$B$15-AB4279))),-1E+030)</f>
        <v>0.898226362372903</v>
      </c>
      <c r="AE4279" s="55" t="n">
        <f aca="false">IF(AC4279,IF(01_因子設定!$B$13="最大化",X4279,IF(01_因子設定!$B$13="最小化",-X4279,-ABS(X4279-01_因子設定!$B$16))),-1E+030)</f>
        <v>48.9727339181286</v>
      </c>
      <c r="AF4279" s="55" t="n">
        <f aca="false">AD4279+ROW()*0.000000001</f>
        <v>0.898230641372903</v>
      </c>
      <c r="AG4279" s="55" t="n">
        <f aca="false">AE4279+ROW()*0.000000001</f>
        <v>48.9727381971286</v>
      </c>
    </row>
    <row r="4280" customFormat="false" ht="15" hidden="false" customHeight="false" outlineLevel="0" collapsed="false">
      <c r="A4280" s="0" t="n">
        <v>5</v>
      </c>
      <c r="B4280" s="0" t="n">
        <v>7</v>
      </c>
      <c r="C4280" s="0" t="n">
        <v>7</v>
      </c>
      <c r="D4280" s="0" t="n">
        <v>0</v>
      </c>
      <c r="E4280" s="0" t="n">
        <f aca="false">-1+A4280*0.25</f>
        <v>0.25</v>
      </c>
      <c r="F4280" s="0" t="n">
        <f aca="false">-1+B4280*0.25</f>
        <v>0.75</v>
      </c>
      <c r="G4280" s="0" t="n">
        <f aca="false">-1+C4280*0.25</f>
        <v>0.75</v>
      </c>
      <c r="H4280" s="0" t="n">
        <f aca="false">-1+D4280*0.25</f>
        <v>-1</v>
      </c>
      <c r="I4280" s="0" t="n">
        <f aca="false">1</f>
        <v>1</v>
      </c>
      <c r="J4280" s="0" t="n">
        <f aca="false">E4280</f>
        <v>0.25</v>
      </c>
      <c r="K4280" s="0" t="n">
        <f aca="false">F4280</f>
        <v>0.75</v>
      </c>
      <c r="L4280" s="0" t="n">
        <f aca="false">G4280</f>
        <v>0.75</v>
      </c>
      <c r="M4280" s="0" t="n">
        <f aca="false">H4280</f>
        <v>-1</v>
      </c>
      <c r="N4280" s="0" t="n">
        <f aca="false">E4280*F4280</f>
        <v>0.1875</v>
      </c>
      <c r="O4280" s="0" t="n">
        <f aca="false">E4280*G4280</f>
        <v>0.1875</v>
      </c>
      <c r="P4280" s="0" t="n">
        <f aca="false">E4280*H4280</f>
        <v>-0.25</v>
      </c>
      <c r="Q4280" s="0" t="n">
        <f aca="false">F4280*G4280</f>
        <v>0.5625</v>
      </c>
      <c r="R4280" s="0" t="n">
        <f aca="false">F4280*H4280</f>
        <v>-0.75</v>
      </c>
      <c r="S4280" s="0" t="n">
        <f aca="false">G4280*H4280</f>
        <v>-0.75</v>
      </c>
      <c r="T4280" s="0" t="n">
        <f aca="false">E4280*E4280</f>
        <v>0.0625</v>
      </c>
      <c r="U4280" s="0" t="n">
        <f aca="false">F4280*F4280</f>
        <v>0.5625</v>
      </c>
      <c r="V4280" s="0" t="n">
        <f aca="false">G4280*G4280</f>
        <v>0.5625</v>
      </c>
      <c r="W4280" s="0" t="n">
        <f aca="false">H4280*H4280</f>
        <v>1</v>
      </c>
      <c r="X4280" s="0" t="n">
        <f aca="false">SUMPRODUCT(I4280:W4280,_XtX!$B$96:$P$96)</f>
        <v>48.1090323464912</v>
      </c>
      <c r="Y4280" s="0" t="n">
        <f aca="false">SUMPRODUCT(MMULT(I4280:W4280,_XtX!$B$78:$P$92),I4280:W4280)</f>
        <v>0.473959761056287</v>
      </c>
      <c r="Z4280" s="0" t="n">
        <f aca="false">04_回帰ANOVA!$K$19*04_回帰ANOVA!$K$14*SQRT(1+Y4280)</f>
        <v>1.58249084588329</v>
      </c>
      <c r="AA4280" s="0" t="n">
        <f aca="false">X4280-Z4280</f>
        <v>46.5265415006079</v>
      </c>
      <c r="AB4280" s="0" t="n">
        <f aca="false">X4280+Z4280</f>
        <v>49.6915231923745</v>
      </c>
      <c r="AC4280" s="54" t="b">
        <f aca="false">AND(E4280&gt;=01_因子設定!$L$5-0.000000001,E4280&lt;=01_因子設定!$M$5+0.000000001,F4280&gt;=01_因子設定!$L$6-0.000000001,F4280&lt;=01_因子設定!$M$6+0.000000001,G4280&gt;=01_因子設定!$L$7-0.000000001,G4280&lt;=01_因子設定!$M$7+0.000000001,H4280&gt;=01_因子設定!$L$8-0.000000001,H4280&lt;=01_因子設定!$M$8+0.000000001,IF(01_因子設定!$B$20="Box-Behnken",E4280^2+F4280^2+G4280^2+H4280^2&lt;=2+0.000000001,TRUE()))</f>
        <v>1</v>
      </c>
      <c r="AD4280" s="55" t="n">
        <f aca="false">IF(AC4280,IF(01_因子設定!$B$13="最大化",AA4280-01_因子設定!$B$14,IF(01_因子設定!$B$13="最小化",01_因子設定!$B$15-AB4280,MIN(AA4280-01_因子設定!$B$14,01_因子設定!$B$15-AB4280))),-1E+030)</f>
        <v>0.0265415006079195</v>
      </c>
      <c r="AE4280" s="55" t="n">
        <f aca="false">IF(AC4280,IF(01_因子設定!$B$13="最大化",X4280,IF(01_因子設定!$B$13="最小化",-X4280,-ABS(X4280-01_因子設定!$B$16))),-1E+030)</f>
        <v>48.1090323464912</v>
      </c>
      <c r="AF4280" s="55" t="n">
        <f aca="false">AD4280+ROW()*0.000000001</f>
        <v>0.0265457806079195</v>
      </c>
      <c r="AG4280" s="55" t="n">
        <f aca="false">AE4280+ROW()*0.000000001</f>
        <v>48.1090366264912</v>
      </c>
    </row>
    <row r="4281" customFormat="false" ht="15" hidden="false" customHeight="false" outlineLevel="0" collapsed="false">
      <c r="A4281" s="0" t="n">
        <v>5</v>
      </c>
      <c r="B4281" s="0" t="n">
        <v>7</v>
      </c>
      <c r="C4281" s="0" t="n">
        <v>7</v>
      </c>
      <c r="D4281" s="0" t="n">
        <v>1</v>
      </c>
      <c r="E4281" s="0" t="n">
        <f aca="false">-1+A4281*0.25</f>
        <v>0.25</v>
      </c>
      <c r="F4281" s="0" t="n">
        <f aca="false">-1+B4281*0.25</f>
        <v>0.75</v>
      </c>
      <c r="G4281" s="0" t="n">
        <f aca="false">-1+C4281*0.25</f>
        <v>0.75</v>
      </c>
      <c r="H4281" s="0" t="n">
        <f aca="false">-1+D4281*0.25</f>
        <v>-0.75</v>
      </c>
      <c r="I4281" s="0" t="n">
        <f aca="false">1</f>
        <v>1</v>
      </c>
      <c r="J4281" s="0" t="n">
        <f aca="false">E4281</f>
        <v>0.25</v>
      </c>
      <c r="K4281" s="0" t="n">
        <f aca="false">F4281</f>
        <v>0.75</v>
      </c>
      <c r="L4281" s="0" t="n">
        <f aca="false">G4281</f>
        <v>0.75</v>
      </c>
      <c r="M4281" s="0" t="n">
        <f aca="false">H4281</f>
        <v>-0.75</v>
      </c>
      <c r="N4281" s="0" t="n">
        <f aca="false">E4281*F4281</f>
        <v>0.1875</v>
      </c>
      <c r="O4281" s="0" t="n">
        <f aca="false">E4281*G4281</f>
        <v>0.1875</v>
      </c>
      <c r="P4281" s="0" t="n">
        <f aca="false">E4281*H4281</f>
        <v>-0.1875</v>
      </c>
      <c r="Q4281" s="0" t="n">
        <f aca="false">F4281*G4281</f>
        <v>0.5625</v>
      </c>
      <c r="R4281" s="0" t="n">
        <f aca="false">F4281*H4281</f>
        <v>-0.5625</v>
      </c>
      <c r="S4281" s="0" t="n">
        <f aca="false">G4281*H4281</f>
        <v>-0.5625</v>
      </c>
      <c r="T4281" s="0" t="n">
        <f aca="false">E4281*E4281</f>
        <v>0.0625</v>
      </c>
      <c r="U4281" s="0" t="n">
        <f aca="false">F4281*F4281</f>
        <v>0.5625</v>
      </c>
      <c r="V4281" s="0" t="n">
        <f aca="false">G4281*G4281</f>
        <v>0.5625</v>
      </c>
      <c r="W4281" s="0" t="n">
        <f aca="false">H4281*H4281</f>
        <v>0.5625</v>
      </c>
      <c r="X4281" s="0" t="n">
        <f aca="false">SUMPRODUCT(I4281:W4281,_XtX!$B$96:$P$96)</f>
        <v>48.3996207967836</v>
      </c>
      <c r="Y4281" s="0" t="n">
        <f aca="false">SUMPRODUCT(MMULT(I4281:W4281,_XtX!$B$78:$P$92),I4281:W4281)</f>
        <v>0.294856199744152</v>
      </c>
      <c r="Z4281" s="0" t="n">
        <f aca="false">04_回帰ANOVA!$K$19*04_回帰ANOVA!$K$14*SQRT(1+Y4281)</f>
        <v>1.48323226089013</v>
      </c>
      <c r="AA4281" s="0" t="n">
        <f aca="false">X4281-Z4281</f>
        <v>46.9163885358935</v>
      </c>
      <c r="AB4281" s="0" t="n">
        <f aca="false">X4281+Z4281</f>
        <v>49.8828530576737</v>
      </c>
      <c r="AC4281" s="54" t="b">
        <f aca="false">AND(E4281&gt;=01_因子設定!$L$5-0.000000001,E4281&lt;=01_因子設定!$M$5+0.000000001,F4281&gt;=01_因子設定!$L$6-0.000000001,F4281&lt;=01_因子設定!$M$6+0.000000001,G4281&gt;=01_因子設定!$L$7-0.000000001,G4281&lt;=01_因子設定!$M$7+0.000000001,H4281&gt;=01_因子設定!$L$8-0.000000001,H4281&lt;=01_因子設定!$M$8+0.000000001,IF(01_因子設定!$B$20="Box-Behnken",E4281^2+F4281^2+G4281^2+H4281^2&lt;=2+0.000000001,TRUE()))</f>
        <v>1</v>
      </c>
      <c r="AD4281" s="55" t="n">
        <f aca="false">IF(AC4281,IF(01_因子設定!$B$13="最大化",AA4281-01_因子設定!$B$14,IF(01_因子設定!$B$13="最小化",01_因子設定!$B$15-AB4281,MIN(AA4281-01_因子設定!$B$14,01_因子設定!$B$15-AB4281))),-1E+030)</f>
        <v>0.416388535893454</v>
      </c>
      <c r="AE4281" s="55" t="n">
        <f aca="false">IF(AC4281,IF(01_因子設定!$B$13="最大化",X4281,IF(01_因子設定!$B$13="最小化",-X4281,-ABS(X4281-01_因子設定!$B$16))),-1E+030)</f>
        <v>48.3996207967836</v>
      </c>
      <c r="AF4281" s="55" t="n">
        <f aca="false">AD4281+ROW()*0.000000001</f>
        <v>0.416392816893454</v>
      </c>
      <c r="AG4281" s="55" t="n">
        <f aca="false">AE4281+ROW()*0.000000001</f>
        <v>48.3996250777836</v>
      </c>
    </row>
    <row r="4282" customFormat="false" ht="15" hidden="false" customHeight="false" outlineLevel="0" collapsed="false">
      <c r="A4282" s="0" t="n">
        <v>5</v>
      </c>
      <c r="B4282" s="0" t="n">
        <v>7</v>
      </c>
      <c r="C4282" s="0" t="n">
        <v>7</v>
      </c>
      <c r="D4282" s="0" t="n">
        <v>2</v>
      </c>
      <c r="E4282" s="0" t="n">
        <f aca="false">-1+A4282*0.25</f>
        <v>0.25</v>
      </c>
      <c r="F4282" s="0" t="n">
        <f aca="false">-1+B4282*0.25</f>
        <v>0.75</v>
      </c>
      <c r="G4282" s="0" t="n">
        <f aca="false">-1+C4282*0.25</f>
        <v>0.75</v>
      </c>
      <c r="H4282" s="0" t="n">
        <f aca="false">-1+D4282*0.25</f>
        <v>-0.5</v>
      </c>
      <c r="I4282" s="0" t="n">
        <f aca="false">1</f>
        <v>1</v>
      </c>
      <c r="J4282" s="0" t="n">
        <f aca="false">E4282</f>
        <v>0.25</v>
      </c>
      <c r="K4282" s="0" t="n">
        <f aca="false">F4282</f>
        <v>0.75</v>
      </c>
      <c r="L4282" s="0" t="n">
        <f aca="false">G4282</f>
        <v>0.75</v>
      </c>
      <c r="M4282" s="0" t="n">
        <f aca="false">H4282</f>
        <v>-0.5</v>
      </c>
      <c r="N4282" s="0" t="n">
        <f aca="false">E4282*F4282</f>
        <v>0.1875</v>
      </c>
      <c r="O4282" s="0" t="n">
        <f aca="false">E4282*G4282</f>
        <v>0.1875</v>
      </c>
      <c r="P4282" s="0" t="n">
        <f aca="false">E4282*H4282</f>
        <v>-0.125</v>
      </c>
      <c r="Q4282" s="0" t="n">
        <f aca="false">F4282*G4282</f>
        <v>0.5625</v>
      </c>
      <c r="R4282" s="0" t="n">
        <f aca="false">F4282*H4282</f>
        <v>-0.375</v>
      </c>
      <c r="S4282" s="0" t="n">
        <f aca="false">G4282*H4282</f>
        <v>-0.375</v>
      </c>
      <c r="T4282" s="0" t="n">
        <f aca="false">E4282*E4282</f>
        <v>0.0625</v>
      </c>
      <c r="U4282" s="0" t="n">
        <f aca="false">F4282*F4282</f>
        <v>0.5625</v>
      </c>
      <c r="V4282" s="0" t="n">
        <f aca="false">G4282*G4282</f>
        <v>0.5625</v>
      </c>
      <c r="W4282" s="0" t="n">
        <f aca="false">H4282*H4282</f>
        <v>0.25</v>
      </c>
      <c r="X4282" s="0" t="n">
        <f aca="false">SUMPRODUCT(I4282:W4282,_XtX!$B$96:$P$96)</f>
        <v>48.6424022295321</v>
      </c>
      <c r="Y4282" s="0" t="n">
        <f aca="false">SUMPRODUCT(MMULT(I4282:W4282,_XtX!$B$78:$P$92),I4282:W4282)</f>
        <v>0.257385610836988</v>
      </c>
      <c r="Z4282" s="0" t="n">
        <f aca="false">04_回帰ANOVA!$K$19*04_回帰ANOVA!$K$14*SQRT(1+Y4282)</f>
        <v>1.46161380324158</v>
      </c>
      <c r="AA4282" s="0" t="n">
        <f aca="false">X4282-Z4282</f>
        <v>47.1807884262905</v>
      </c>
      <c r="AB4282" s="0" t="n">
        <f aca="false">X4282+Z4282</f>
        <v>50.1040160327737</v>
      </c>
      <c r="AC4282" s="54" t="b">
        <f aca="false">AND(E4282&gt;=01_因子設定!$L$5-0.000000001,E4282&lt;=01_因子設定!$M$5+0.000000001,F4282&gt;=01_因子設定!$L$6-0.000000001,F4282&lt;=01_因子設定!$M$6+0.000000001,G4282&gt;=01_因子設定!$L$7-0.000000001,G4282&lt;=01_因子設定!$M$7+0.000000001,H4282&gt;=01_因子設定!$L$8-0.000000001,H4282&lt;=01_因子設定!$M$8+0.000000001,IF(01_因子設定!$B$20="Box-Behnken",E4282^2+F4282^2+G4282^2+H4282^2&lt;=2+0.000000001,TRUE()))</f>
        <v>1</v>
      </c>
      <c r="AD4282" s="55" t="n">
        <f aca="false">IF(AC4282,IF(01_因子設定!$B$13="最大化",AA4282-01_因子設定!$B$14,IF(01_因子設定!$B$13="最小化",01_因子設定!$B$15-AB4282,MIN(AA4282-01_因子設定!$B$14,01_因子設定!$B$15-AB4282))),-1E+030)</f>
        <v>0.680788426290533</v>
      </c>
      <c r="AE4282" s="55" t="n">
        <f aca="false">IF(AC4282,IF(01_因子設定!$B$13="最大化",X4282,IF(01_因子設定!$B$13="最小化",-X4282,-ABS(X4282-01_因子設定!$B$16))),-1E+030)</f>
        <v>48.6424022295321</v>
      </c>
      <c r="AF4282" s="55" t="n">
        <f aca="false">AD4282+ROW()*0.000000001</f>
        <v>0.680792708290533</v>
      </c>
      <c r="AG4282" s="55" t="n">
        <f aca="false">AE4282+ROW()*0.000000001</f>
        <v>48.6424065115321</v>
      </c>
    </row>
    <row r="4283" customFormat="false" ht="15" hidden="false" customHeight="false" outlineLevel="0" collapsed="false">
      <c r="A4283" s="0" t="n">
        <v>5</v>
      </c>
      <c r="B4283" s="0" t="n">
        <v>7</v>
      </c>
      <c r="C4283" s="0" t="n">
        <v>7</v>
      </c>
      <c r="D4283" s="0" t="n">
        <v>3</v>
      </c>
      <c r="E4283" s="0" t="n">
        <f aca="false">-1+A4283*0.25</f>
        <v>0.25</v>
      </c>
      <c r="F4283" s="0" t="n">
        <f aca="false">-1+B4283*0.25</f>
        <v>0.75</v>
      </c>
      <c r="G4283" s="0" t="n">
        <f aca="false">-1+C4283*0.25</f>
        <v>0.75</v>
      </c>
      <c r="H4283" s="0" t="n">
        <f aca="false">-1+D4283*0.25</f>
        <v>-0.25</v>
      </c>
      <c r="I4283" s="0" t="n">
        <f aca="false">1</f>
        <v>1</v>
      </c>
      <c r="J4283" s="0" t="n">
        <f aca="false">E4283</f>
        <v>0.25</v>
      </c>
      <c r="K4283" s="0" t="n">
        <f aca="false">F4283</f>
        <v>0.75</v>
      </c>
      <c r="L4283" s="0" t="n">
        <f aca="false">G4283</f>
        <v>0.75</v>
      </c>
      <c r="M4283" s="0" t="n">
        <f aca="false">H4283</f>
        <v>-0.25</v>
      </c>
      <c r="N4283" s="0" t="n">
        <f aca="false">E4283*F4283</f>
        <v>0.1875</v>
      </c>
      <c r="O4283" s="0" t="n">
        <f aca="false">E4283*G4283</f>
        <v>0.1875</v>
      </c>
      <c r="P4283" s="0" t="n">
        <f aca="false">E4283*H4283</f>
        <v>-0.0625</v>
      </c>
      <c r="Q4283" s="0" t="n">
        <f aca="false">F4283*G4283</f>
        <v>0.5625</v>
      </c>
      <c r="R4283" s="0" t="n">
        <f aca="false">F4283*H4283</f>
        <v>-0.1875</v>
      </c>
      <c r="S4283" s="0" t="n">
        <f aca="false">G4283*H4283</f>
        <v>-0.1875</v>
      </c>
      <c r="T4283" s="0" t="n">
        <f aca="false">E4283*E4283</f>
        <v>0.0625</v>
      </c>
      <c r="U4283" s="0" t="n">
        <f aca="false">F4283*F4283</f>
        <v>0.5625</v>
      </c>
      <c r="V4283" s="0" t="n">
        <f aca="false">G4283*G4283</f>
        <v>0.5625</v>
      </c>
      <c r="W4283" s="0" t="n">
        <f aca="false">H4283*H4283</f>
        <v>0.0625</v>
      </c>
      <c r="X4283" s="0" t="n">
        <f aca="false">SUMPRODUCT(I4283:W4283,_XtX!$B$96:$P$96)</f>
        <v>48.8373766447368</v>
      </c>
      <c r="Y4283" s="0" t="n">
        <f aca="false">SUMPRODUCT(MMULT(I4283:W4283,_XtX!$B$78:$P$92),I4283:W4283)</f>
        <v>0.271087468019006</v>
      </c>
      <c r="Z4283" s="0" t="n">
        <f aca="false">04_回帰ANOVA!$K$19*04_回帰ANOVA!$K$14*SQRT(1+Y4283)</f>
        <v>1.46955590155034</v>
      </c>
      <c r="AA4283" s="0" t="n">
        <f aca="false">X4283-Z4283</f>
        <v>47.3678207431864</v>
      </c>
      <c r="AB4283" s="0" t="n">
        <f aca="false">X4283+Z4283</f>
        <v>50.3069325462871</v>
      </c>
      <c r="AC4283" s="54" t="b">
        <f aca="false">AND(E4283&gt;=01_因子設定!$L$5-0.000000001,E4283&lt;=01_因子設定!$M$5+0.000000001,F4283&gt;=01_因子設定!$L$6-0.000000001,F4283&lt;=01_因子設定!$M$6+0.000000001,G4283&gt;=01_因子設定!$L$7-0.000000001,G4283&lt;=01_因子設定!$M$7+0.000000001,H4283&gt;=01_因子設定!$L$8-0.000000001,H4283&lt;=01_因子設定!$M$8+0.000000001,IF(01_因子設定!$B$20="Box-Behnken",E4283^2+F4283^2+G4283^2+H4283^2&lt;=2+0.000000001,TRUE()))</f>
        <v>1</v>
      </c>
      <c r="AD4283" s="55" t="n">
        <f aca="false">IF(AC4283,IF(01_因子設定!$B$13="最大化",AA4283-01_因子設定!$B$14,IF(01_因子設定!$B$13="最小化",01_因子設定!$B$15-AB4283,MIN(AA4283-01_因子設定!$B$14,01_因子設定!$B$15-AB4283))),-1E+030)</f>
        <v>0.867820743186442</v>
      </c>
      <c r="AE4283" s="55" t="n">
        <f aca="false">IF(AC4283,IF(01_因子設定!$B$13="最大化",X4283,IF(01_因子設定!$B$13="最小化",-X4283,-ABS(X4283-01_因子設定!$B$16))),-1E+030)</f>
        <v>48.8373766447368</v>
      </c>
      <c r="AF4283" s="55" t="n">
        <f aca="false">AD4283+ROW()*0.000000001</f>
        <v>0.867825026186442</v>
      </c>
      <c r="AG4283" s="55" t="n">
        <f aca="false">AE4283+ROW()*0.000000001</f>
        <v>48.8373809277368</v>
      </c>
    </row>
    <row r="4284" customFormat="false" ht="15" hidden="false" customHeight="false" outlineLevel="0" collapsed="false">
      <c r="A4284" s="0" t="n">
        <v>5</v>
      </c>
      <c r="B4284" s="0" t="n">
        <v>7</v>
      </c>
      <c r="C4284" s="0" t="n">
        <v>7</v>
      </c>
      <c r="D4284" s="0" t="n">
        <v>4</v>
      </c>
      <c r="E4284" s="0" t="n">
        <f aca="false">-1+A4284*0.25</f>
        <v>0.25</v>
      </c>
      <c r="F4284" s="0" t="n">
        <f aca="false">-1+B4284*0.25</f>
        <v>0.75</v>
      </c>
      <c r="G4284" s="0" t="n">
        <f aca="false">-1+C4284*0.25</f>
        <v>0.75</v>
      </c>
      <c r="H4284" s="0" t="n">
        <f aca="false">-1+D4284*0.25</f>
        <v>0</v>
      </c>
      <c r="I4284" s="0" t="n">
        <f aca="false">1</f>
        <v>1</v>
      </c>
      <c r="J4284" s="0" t="n">
        <f aca="false">E4284</f>
        <v>0.25</v>
      </c>
      <c r="K4284" s="0" t="n">
        <f aca="false">F4284</f>
        <v>0.75</v>
      </c>
      <c r="L4284" s="0" t="n">
        <f aca="false">G4284</f>
        <v>0.75</v>
      </c>
      <c r="M4284" s="0" t="n">
        <f aca="false">H4284</f>
        <v>0</v>
      </c>
      <c r="N4284" s="0" t="n">
        <f aca="false">E4284*F4284</f>
        <v>0.1875</v>
      </c>
      <c r="O4284" s="0" t="n">
        <f aca="false">E4284*G4284</f>
        <v>0.1875</v>
      </c>
      <c r="P4284" s="0" t="n">
        <f aca="false">E4284*H4284</f>
        <v>0</v>
      </c>
      <c r="Q4284" s="0" t="n">
        <f aca="false">F4284*G4284</f>
        <v>0.5625</v>
      </c>
      <c r="R4284" s="0" t="n">
        <f aca="false">F4284*H4284</f>
        <v>0</v>
      </c>
      <c r="S4284" s="0" t="n">
        <f aca="false">G4284*H4284</f>
        <v>0</v>
      </c>
      <c r="T4284" s="0" t="n">
        <f aca="false">E4284*E4284</f>
        <v>0.0625</v>
      </c>
      <c r="U4284" s="0" t="n">
        <f aca="false">F4284*F4284</f>
        <v>0.5625</v>
      </c>
      <c r="V4284" s="0" t="n">
        <f aca="false">G4284*G4284</f>
        <v>0.5625</v>
      </c>
      <c r="W4284" s="0" t="n">
        <f aca="false">H4284*H4284</f>
        <v>0</v>
      </c>
      <c r="X4284" s="0" t="n">
        <f aca="false">SUMPRODUCT(I4284:W4284,_XtX!$B$96:$P$96)</f>
        <v>48.9845440423976</v>
      </c>
      <c r="Y4284" s="0" t="n">
        <f aca="false">SUMPRODUCT(MMULT(I4284:W4284,_XtX!$B$78:$P$92),I4284:W4284)</f>
        <v>0.281685455500731</v>
      </c>
      <c r="Z4284" s="0" t="n">
        <f aca="false">04_回帰ANOVA!$K$19*04_回帰ANOVA!$K$14*SQRT(1+Y4284)</f>
        <v>1.47566956658694</v>
      </c>
      <c r="AA4284" s="0" t="n">
        <f aca="false">X4284-Z4284</f>
        <v>47.5088744758107</v>
      </c>
      <c r="AB4284" s="0" t="n">
        <f aca="false">X4284+Z4284</f>
        <v>50.4602136089845</v>
      </c>
      <c r="AC4284" s="54" t="b">
        <f aca="false">AND(E4284&gt;=01_因子設定!$L$5-0.000000001,E4284&lt;=01_因子設定!$M$5+0.000000001,F4284&gt;=01_因子設定!$L$6-0.000000001,F4284&lt;=01_因子設定!$M$6+0.000000001,G4284&gt;=01_因子設定!$L$7-0.000000001,G4284&lt;=01_因子設定!$M$7+0.000000001,H4284&gt;=01_因子設定!$L$8-0.000000001,H4284&lt;=01_因子設定!$M$8+0.000000001,IF(01_因子設定!$B$20="Box-Behnken",E4284^2+F4284^2+G4284^2+H4284^2&lt;=2+0.000000001,TRUE()))</f>
        <v>1</v>
      </c>
      <c r="AD4284" s="55" t="n">
        <f aca="false">IF(AC4284,IF(01_因子設定!$B$13="最大化",AA4284-01_因子設定!$B$14,IF(01_因子設定!$B$13="最小化",01_因子設定!$B$15-AB4284,MIN(AA4284-01_因子設定!$B$14,01_因子設定!$B$15-AB4284))),-1E+030)</f>
        <v>1.00887447581066</v>
      </c>
      <c r="AE4284" s="55" t="n">
        <f aca="false">IF(AC4284,IF(01_因子設定!$B$13="最大化",X4284,IF(01_因子設定!$B$13="最小化",-X4284,-ABS(X4284-01_因子設定!$B$16))),-1E+030)</f>
        <v>48.9845440423976</v>
      </c>
      <c r="AF4284" s="55" t="n">
        <f aca="false">AD4284+ROW()*0.000000001</f>
        <v>1.00887875981066</v>
      </c>
      <c r="AG4284" s="55" t="n">
        <f aca="false">AE4284+ROW()*0.000000001</f>
        <v>48.9845483263976</v>
      </c>
    </row>
    <row r="4285" customFormat="false" ht="15" hidden="false" customHeight="false" outlineLevel="0" collapsed="false">
      <c r="A4285" s="0" t="n">
        <v>5</v>
      </c>
      <c r="B4285" s="0" t="n">
        <v>7</v>
      </c>
      <c r="C4285" s="0" t="n">
        <v>7</v>
      </c>
      <c r="D4285" s="0" t="n">
        <v>5</v>
      </c>
      <c r="E4285" s="0" t="n">
        <f aca="false">-1+A4285*0.25</f>
        <v>0.25</v>
      </c>
      <c r="F4285" s="0" t="n">
        <f aca="false">-1+B4285*0.25</f>
        <v>0.75</v>
      </c>
      <c r="G4285" s="0" t="n">
        <f aca="false">-1+C4285*0.25</f>
        <v>0.75</v>
      </c>
      <c r="H4285" s="0" t="n">
        <f aca="false">-1+D4285*0.25</f>
        <v>0.25</v>
      </c>
      <c r="I4285" s="0" t="n">
        <f aca="false">1</f>
        <v>1</v>
      </c>
      <c r="J4285" s="0" t="n">
        <f aca="false">E4285</f>
        <v>0.25</v>
      </c>
      <c r="K4285" s="0" t="n">
        <f aca="false">F4285</f>
        <v>0.75</v>
      </c>
      <c r="L4285" s="0" t="n">
        <f aca="false">G4285</f>
        <v>0.75</v>
      </c>
      <c r="M4285" s="0" t="n">
        <f aca="false">H4285</f>
        <v>0.25</v>
      </c>
      <c r="N4285" s="0" t="n">
        <f aca="false">E4285*F4285</f>
        <v>0.1875</v>
      </c>
      <c r="O4285" s="0" t="n">
        <f aca="false">E4285*G4285</f>
        <v>0.1875</v>
      </c>
      <c r="P4285" s="0" t="n">
        <f aca="false">E4285*H4285</f>
        <v>0.0625</v>
      </c>
      <c r="Q4285" s="0" t="n">
        <f aca="false">F4285*G4285</f>
        <v>0.5625</v>
      </c>
      <c r="R4285" s="0" t="n">
        <f aca="false">F4285*H4285</f>
        <v>0.1875</v>
      </c>
      <c r="S4285" s="0" t="n">
        <f aca="false">G4285*H4285</f>
        <v>0.1875</v>
      </c>
      <c r="T4285" s="0" t="n">
        <f aca="false">E4285*E4285</f>
        <v>0.0625</v>
      </c>
      <c r="U4285" s="0" t="n">
        <f aca="false">F4285*F4285</f>
        <v>0.5625</v>
      </c>
      <c r="V4285" s="0" t="n">
        <f aca="false">G4285*G4285</f>
        <v>0.5625</v>
      </c>
      <c r="W4285" s="0" t="n">
        <f aca="false">H4285*H4285</f>
        <v>0.0625</v>
      </c>
      <c r="X4285" s="0" t="n">
        <f aca="false">SUMPRODUCT(I4285:W4285,_XtX!$B$96:$P$96)</f>
        <v>49.0839044225146</v>
      </c>
      <c r="Y4285" s="0" t="n">
        <f aca="false">SUMPRODUCT(MMULT(I4285:W4285,_XtX!$B$78:$P$92),I4285:W4285)</f>
        <v>0.271087468019006</v>
      </c>
      <c r="Z4285" s="0" t="n">
        <f aca="false">04_回帰ANOVA!$K$19*04_回帰ANOVA!$K$14*SQRT(1+Y4285)</f>
        <v>1.46955590155034</v>
      </c>
      <c r="AA4285" s="0" t="n">
        <f aca="false">X4285-Z4285</f>
        <v>47.6143485209642</v>
      </c>
      <c r="AB4285" s="0" t="n">
        <f aca="false">X4285+Z4285</f>
        <v>50.5534603240649</v>
      </c>
      <c r="AC4285" s="54" t="b">
        <f aca="false">AND(E4285&gt;=01_因子設定!$L$5-0.000000001,E4285&lt;=01_因子設定!$M$5+0.000000001,F4285&gt;=01_因子設定!$L$6-0.000000001,F4285&lt;=01_因子設定!$M$6+0.000000001,G4285&gt;=01_因子設定!$L$7-0.000000001,G4285&lt;=01_因子設定!$M$7+0.000000001,H4285&gt;=01_因子設定!$L$8-0.000000001,H4285&lt;=01_因子設定!$M$8+0.000000001,IF(01_因子設定!$B$20="Box-Behnken",E4285^2+F4285^2+G4285^2+H4285^2&lt;=2+0.000000001,TRUE()))</f>
        <v>1</v>
      </c>
      <c r="AD4285" s="55" t="n">
        <f aca="false">IF(AC4285,IF(01_因子設定!$B$13="最大化",AA4285-01_因子設定!$B$14,IF(01_因子設定!$B$13="最小化",01_因子設定!$B$15-AB4285,MIN(AA4285-01_因子設定!$B$14,01_因子設定!$B$15-AB4285))),-1E+030)</f>
        <v>1.11434852096422</v>
      </c>
      <c r="AE4285" s="55" t="n">
        <f aca="false">IF(AC4285,IF(01_因子設定!$B$13="最大化",X4285,IF(01_因子設定!$B$13="最小化",-X4285,-ABS(X4285-01_因子設定!$B$16))),-1E+030)</f>
        <v>49.0839044225146</v>
      </c>
      <c r="AF4285" s="55" t="n">
        <f aca="false">AD4285+ROW()*0.000000001</f>
        <v>1.11435280596422</v>
      </c>
      <c r="AG4285" s="55" t="n">
        <f aca="false">AE4285+ROW()*0.000000001</f>
        <v>49.0839087075146</v>
      </c>
    </row>
    <row r="4286" customFormat="false" ht="15" hidden="false" customHeight="false" outlineLevel="0" collapsed="false">
      <c r="A4286" s="0" t="n">
        <v>5</v>
      </c>
      <c r="B4286" s="0" t="n">
        <v>7</v>
      </c>
      <c r="C4286" s="0" t="n">
        <v>7</v>
      </c>
      <c r="D4286" s="0" t="n">
        <v>6</v>
      </c>
      <c r="E4286" s="0" t="n">
        <f aca="false">-1+A4286*0.25</f>
        <v>0.25</v>
      </c>
      <c r="F4286" s="0" t="n">
        <f aca="false">-1+B4286*0.25</f>
        <v>0.75</v>
      </c>
      <c r="G4286" s="0" t="n">
        <f aca="false">-1+C4286*0.25</f>
        <v>0.75</v>
      </c>
      <c r="H4286" s="0" t="n">
        <f aca="false">-1+D4286*0.25</f>
        <v>0.5</v>
      </c>
      <c r="I4286" s="0" t="n">
        <f aca="false">1</f>
        <v>1</v>
      </c>
      <c r="J4286" s="0" t="n">
        <f aca="false">E4286</f>
        <v>0.25</v>
      </c>
      <c r="K4286" s="0" t="n">
        <f aca="false">F4286</f>
        <v>0.75</v>
      </c>
      <c r="L4286" s="0" t="n">
        <f aca="false">G4286</f>
        <v>0.75</v>
      </c>
      <c r="M4286" s="0" t="n">
        <f aca="false">H4286</f>
        <v>0.5</v>
      </c>
      <c r="N4286" s="0" t="n">
        <f aca="false">E4286*F4286</f>
        <v>0.1875</v>
      </c>
      <c r="O4286" s="0" t="n">
        <f aca="false">E4286*G4286</f>
        <v>0.1875</v>
      </c>
      <c r="P4286" s="0" t="n">
        <f aca="false">E4286*H4286</f>
        <v>0.125</v>
      </c>
      <c r="Q4286" s="0" t="n">
        <f aca="false">F4286*G4286</f>
        <v>0.5625</v>
      </c>
      <c r="R4286" s="0" t="n">
        <f aca="false">F4286*H4286</f>
        <v>0.375</v>
      </c>
      <c r="S4286" s="0" t="n">
        <f aca="false">G4286*H4286</f>
        <v>0.375</v>
      </c>
      <c r="T4286" s="0" t="n">
        <f aca="false">E4286*E4286</f>
        <v>0.0625</v>
      </c>
      <c r="U4286" s="0" t="n">
        <f aca="false">F4286*F4286</f>
        <v>0.5625</v>
      </c>
      <c r="V4286" s="0" t="n">
        <f aca="false">G4286*G4286</f>
        <v>0.5625</v>
      </c>
      <c r="W4286" s="0" t="n">
        <f aca="false">H4286*H4286</f>
        <v>0.25</v>
      </c>
      <c r="X4286" s="0" t="n">
        <f aca="false">SUMPRODUCT(I4286:W4286,_XtX!$B$96:$P$96)</f>
        <v>49.1354577850877</v>
      </c>
      <c r="Y4286" s="0" t="n">
        <f aca="false">SUMPRODUCT(MMULT(I4286:W4286,_XtX!$B$78:$P$92),I4286:W4286)</f>
        <v>0.257385610836988</v>
      </c>
      <c r="Z4286" s="0" t="n">
        <f aca="false">04_回帰ANOVA!$K$19*04_回帰ANOVA!$K$14*SQRT(1+Y4286)</f>
        <v>1.46161380324158</v>
      </c>
      <c r="AA4286" s="0" t="n">
        <f aca="false">X4286-Z4286</f>
        <v>47.6738439818461</v>
      </c>
      <c r="AB4286" s="0" t="n">
        <f aca="false">X4286+Z4286</f>
        <v>50.5970715883293</v>
      </c>
      <c r="AC4286" s="54" t="b">
        <f aca="false">AND(E4286&gt;=01_因子設定!$L$5-0.000000001,E4286&lt;=01_因子設定!$M$5+0.000000001,F4286&gt;=01_因子設定!$L$6-0.000000001,F4286&lt;=01_因子設定!$M$6+0.000000001,G4286&gt;=01_因子設定!$L$7-0.000000001,G4286&lt;=01_因子設定!$M$7+0.000000001,H4286&gt;=01_因子設定!$L$8-0.000000001,H4286&lt;=01_因子設定!$M$8+0.000000001,IF(01_因子設定!$B$20="Box-Behnken",E4286^2+F4286^2+G4286^2+H4286^2&lt;=2+0.000000001,TRUE()))</f>
        <v>1</v>
      </c>
      <c r="AD4286" s="55" t="n">
        <f aca="false">IF(AC4286,IF(01_因子設定!$B$13="最大化",AA4286-01_因子設定!$B$14,IF(01_因子設定!$B$13="最小化",01_因子設定!$B$15-AB4286,MIN(AA4286-01_因子設定!$B$14,01_因子設定!$B$15-AB4286))),-1E+030)</f>
        <v>1.17384398184608</v>
      </c>
      <c r="AE4286" s="55" t="n">
        <f aca="false">IF(AC4286,IF(01_因子設定!$B$13="最大化",X4286,IF(01_因子設定!$B$13="最小化",-X4286,-ABS(X4286-01_因子設定!$B$16))),-1E+030)</f>
        <v>49.1354577850877</v>
      </c>
      <c r="AF4286" s="55" t="n">
        <f aca="false">AD4286+ROW()*0.000000001</f>
        <v>1.17384826784608</v>
      </c>
      <c r="AG4286" s="55" t="n">
        <f aca="false">AE4286+ROW()*0.000000001</f>
        <v>49.1354620710877</v>
      </c>
    </row>
    <row r="4287" customFormat="false" ht="15" hidden="false" customHeight="false" outlineLevel="0" collapsed="false">
      <c r="A4287" s="0" t="n">
        <v>5</v>
      </c>
      <c r="B4287" s="0" t="n">
        <v>7</v>
      </c>
      <c r="C4287" s="0" t="n">
        <v>7</v>
      </c>
      <c r="D4287" s="0" t="n">
        <v>7</v>
      </c>
      <c r="E4287" s="0" t="n">
        <f aca="false">-1+A4287*0.25</f>
        <v>0.25</v>
      </c>
      <c r="F4287" s="0" t="n">
        <f aca="false">-1+B4287*0.25</f>
        <v>0.75</v>
      </c>
      <c r="G4287" s="0" t="n">
        <f aca="false">-1+C4287*0.25</f>
        <v>0.75</v>
      </c>
      <c r="H4287" s="0" t="n">
        <f aca="false">-1+D4287*0.25</f>
        <v>0.75</v>
      </c>
      <c r="I4287" s="0" t="n">
        <f aca="false">1</f>
        <v>1</v>
      </c>
      <c r="J4287" s="0" t="n">
        <f aca="false">E4287</f>
        <v>0.25</v>
      </c>
      <c r="K4287" s="0" t="n">
        <f aca="false">F4287</f>
        <v>0.75</v>
      </c>
      <c r="L4287" s="0" t="n">
        <f aca="false">G4287</f>
        <v>0.75</v>
      </c>
      <c r="M4287" s="0" t="n">
        <f aca="false">H4287</f>
        <v>0.75</v>
      </c>
      <c r="N4287" s="0" t="n">
        <f aca="false">E4287*F4287</f>
        <v>0.1875</v>
      </c>
      <c r="O4287" s="0" t="n">
        <f aca="false">E4287*G4287</f>
        <v>0.1875</v>
      </c>
      <c r="P4287" s="0" t="n">
        <f aca="false">E4287*H4287</f>
        <v>0.1875</v>
      </c>
      <c r="Q4287" s="0" t="n">
        <f aca="false">F4287*G4287</f>
        <v>0.5625</v>
      </c>
      <c r="R4287" s="0" t="n">
        <f aca="false">F4287*H4287</f>
        <v>0.5625</v>
      </c>
      <c r="S4287" s="0" t="n">
        <f aca="false">G4287*H4287</f>
        <v>0.5625</v>
      </c>
      <c r="T4287" s="0" t="n">
        <f aca="false">E4287*E4287</f>
        <v>0.0625</v>
      </c>
      <c r="U4287" s="0" t="n">
        <f aca="false">F4287*F4287</f>
        <v>0.5625</v>
      </c>
      <c r="V4287" s="0" t="n">
        <f aca="false">G4287*G4287</f>
        <v>0.5625</v>
      </c>
      <c r="W4287" s="0" t="n">
        <f aca="false">H4287*H4287</f>
        <v>0.5625</v>
      </c>
      <c r="X4287" s="0" t="n">
        <f aca="false">SUMPRODUCT(I4287:W4287,_XtX!$B$96:$P$96)</f>
        <v>49.1392041301169</v>
      </c>
      <c r="Y4287" s="0" t="n">
        <f aca="false">SUMPRODUCT(MMULT(I4287:W4287,_XtX!$B$78:$P$92),I4287:W4287)</f>
        <v>0.294856199744152</v>
      </c>
      <c r="Z4287" s="0" t="n">
        <f aca="false">04_回帰ANOVA!$K$19*04_回帰ANOVA!$K$14*SQRT(1+Y4287)</f>
        <v>1.48323226089013</v>
      </c>
      <c r="AA4287" s="0" t="n">
        <f aca="false">X4287-Z4287</f>
        <v>47.6559718692268</v>
      </c>
      <c r="AB4287" s="0" t="n">
        <f aca="false">X4287+Z4287</f>
        <v>50.6224363910071</v>
      </c>
      <c r="AC4287" s="54" t="b">
        <f aca="false">AND(E4287&gt;=01_因子設定!$L$5-0.000000001,E4287&lt;=01_因子設定!$M$5+0.000000001,F4287&gt;=01_因子設定!$L$6-0.000000001,F4287&lt;=01_因子設定!$M$6+0.000000001,G4287&gt;=01_因子設定!$L$7-0.000000001,G4287&lt;=01_因子設定!$M$7+0.000000001,H4287&gt;=01_因子設定!$L$8-0.000000001,H4287&lt;=01_因子設定!$M$8+0.000000001,IF(01_因子設定!$B$20="Box-Behnken",E4287^2+F4287^2+G4287^2+H4287^2&lt;=2+0.000000001,TRUE()))</f>
        <v>1</v>
      </c>
      <c r="AD4287" s="55" t="n">
        <f aca="false">IF(AC4287,IF(01_因子設定!$B$13="最大化",AA4287-01_因子設定!$B$14,IF(01_因子設定!$B$13="最小化",01_因子設定!$B$15-AB4287,MIN(AA4287-01_因子設定!$B$14,01_因子設定!$B$15-AB4287))),-1E+030)</f>
        <v>1.15597186922679</v>
      </c>
      <c r="AE4287" s="55" t="n">
        <f aca="false">IF(AC4287,IF(01_因子設定!$B$13="最大化",X4287,IF(01_因子設定!$B$13="最小化",-X4287,-ABS(X4287-01_因子設定!$B$16))),-1E+030)</f>
        <v>49.1392041301169</v>
      </c>
      <c r="AF4287" s="55" t="n">
        <f aca="false">AD4287+ROW()*0.000000001</f>
        <v>1.15597615622679</v>
      </c>
      <c r="AG4287" s="55" t="n">
        <f aca="false">AE4287+ROW()*0.000000001</f>
        <v>49.1392084171169</v>
      </c>
    </row>
    <row r="4288" customFormat="false" ht="15" hidden="false" customHeight="false" outlineLevel="0" collapsed="false">
      <c r="A4288" s="0" t="n">
        <v>5</v>
      </c>
      <c r="B4288" s="0" t="n">
        <v>7</v>
      </c>
      <c r="C4288" s="0" t="n">
        <v>7</v>
      </c>
      <c r="D4288" s="0" t="n">
        <v>8</v>
      </c>
      <c r="E4288" s="0" t="n">
        <f aca="false">-1+A4288*0.25</f>
        <v>0.25</v>
      </c>
      <c r="F4288" s="0" t="n">
        <f aca="false">-1+B4288*0.25</f>
        <v>0.75</v>
      </c>
      <c r="G4288" s="0" t="n">
        <f aca="false">-1+C4288*0.25</f>
        <v>0.75</v>
      </c>
      <c r="H4288" s="0" t="n">
        <f aca="false">-1+D4288*0.25</f>
        <v>1</v>
      </c>
      <c r="I4288" s="0" t="n">
        <f aca="false">1</f>
        <v>1</v>
      </c>
      <c r="J4288" s="0" t="n">
        <f aca="false">E4288</f>
        <v>0.25</v>
      </c>
      <c r="K4288" s="0" t="n">
        <f aca="false">F4288</f>
        <v>0.75</v>
      </c>
      <c r="L4288" s="0" t="n">
        <f aca="false">G4288</f>
        <v>0.75</v>
      </c>
      <c r="M4288" s="0" t="n">
        <f aca="false">H4288</f>
        <v>1</v>
      </c>
      <c r="N4288" s="0" t="n">
        <f aca="false">E4288*F4288</f>
        <v>0.1875</v>
      </c>
      <c r="O4288" s="0" t="n">
        <f aca="false">E4288*G4288</f>
        <v>0.1875</v>
      </c>
      <c r="P4288" s="0" t="n">
        <f aca="false">E4288*H4288</f>
        <v>0.25</v>
      </c>
      <c r="Q4288" s="0" t="n">
        <f aca="false">F4288*G4288</f>
        <v>0.5625</v>
      </c>
      <c r="R4288" s="0" t="n">
        <f aca="false">F4288*H4288</f>
        <v>0.75</v>
      </c>
      <c r="S4288" s="0" t="n">
        <f aca="false">G4288*H4288</f>
        <v>0.75</v>
      </c>
      <c r="T4288" s="0" t="n">
        <f aca="false">E4288*E4288</f>
        <v>0.0625</v>
      </c>
      <c r="U4288" s="0" t="n">
        <f aca="false">F4288*F4288</f>
        <v>0.5625</v>
      </c>
      <c r="V4288" s="0" t="n">
        <f aca="false">G4288*G4288</f>
        <v>0.5625</v>
      </c>
      <c r="W4288" s="0" t="n">
        <f aca="false">H4288*H4288</f>
        <v>1</v>
      </c>
      <c r="X4288" s="0" t="n">
        <f aca="false">SUMPRODUCT(I4288:W4288,_XtX!$B$96:$P$96)</f>
        <v>49.0951434576023</v>
      </c>
      <c r="Y4288" s="0" t="n">
        <f aca="false">SUMPRODUCT(MMULT(I4288:W4288,_XtX!$B$78:$P$92),I4288:W4288)</f>
        <v>0.473959761056287</v>
      </c>
      <c r="Z4288" s="0" t="n">
        <f aca="false">04_回帰ANOVA!$K$19*04_回帰ANOVA!$K$14*SQRT(1+Y4288)</f>
        <v>1.58249084588329</v>
      </c>
      <c r="AA4288" s="0" t="n">
        <f aca="false">X4288-Z4288</f>
        <v>47.512652611719</v>
      </c>
      <c r="AB4288" s="0" t="n">
        <f aca="false">X4288+Z4288</f>
        <v>50.6776343034856</v>
      </c>
      <c r="AC4288" s="54" t="b">
        <f aca="false">AND(E4288&gt;=01_因子設定!$L$5-0.000000001,E4288&lt;=01_因子設定!$M$5+0.000000001,F4288&gt;=01_因子設定!$L$6-0.000000001,F4288&lt;=01_因子設定!$M$6+0.000000001,G4288&gt;=01_因子設定!$L$7-0.000000001,G4288&lt;=01_因子設定!$M$7+0.000000001,H4288&gt;=01_因子設定!$L$8-0.000000001,H4288&lt;=01_因子設定!$M$8+0.000000001,IF(01_因子設定!$B$20="Box-Behnken",E4288^2+F4288^2+G4288^2+H4288^2&lt;=2+0.000000001,TRUE()))</f>
        <v>1</v>
      </c>
      <c r="AD4288" s="55" t="n">
        <f aca="false">IF(AC4288,IF(01_因子設定!$B$13="最大化",AA4288-01_因子設定!$B$14,IF(01_因子設定!$B$13="最小化",01_因子設定!$B$15-AB4288,MIN(AA4288-01_因子設定!$B$14,01_因子設定!$B$15-AB4288))),-1E+030)</f>
        <v>1.01265261171903</v>
      </c>
      <c r="AE4288" s="55" t="n">
        <f aca="false">IF(AC4288,IF(01_因子設定!$B$13="最大化",X4288,IF(01_因子設定!$B$13="最小化",-X4288,-ABS(X4288-01_因子設定!$B$16))),-1E+030)</f>
        <v>49.0951434576023</v>
      </c>
      <c r="AF4288" s="55" t="n">
        <f aca="false">AD4288+ROW()*0.000000001</f>
        <v>1.01265689971903</v>
      </c>
      <c r="AG4288" s="55" t="n">
        <f aca="false">AE4288+ROW()*0.000000001</f>
        <v>49.0951477456023</v>
      </c>
    </row>
    <row r="4289" customFormat="false" ht="15" hidden="false" customHeight="false" outlineLevel="0" collapsed="false">
      <c r="A4289" s="0" t="n">
        <v>5</v>
      </c>
      <c r="B4289" s="0" t="n">
        <v>7</v>
      </c>
      <c r="C4289" s="0" t="n">
        <v>8</v>
      </c>
      <c r="D4289" s="0" t="n">
        <v>0</v>
      </c>
      <c r="E4289" s="0" t="n">
        <f aca="false">-1+A4289*0.25</f>
        <v>0.25</v>
      </c>
      <c r="F4289" s="0" t="n">
        <f aca="false">-1+B4289*0.25</f>
        <v>0.75</v>
      </c>
      <c r="G4289" s="0" t="n">
        <f aca="false">-1+C4289*0.25</f>
        <v>1</v>
      </c>
      <c r="H4289" s="0" t="n">
        <f aca="false">-1+D4289*0.25</f>
        <v>-1</v>
      </c>
      <c r="I4289" s="0" t="n">
        <f aca="false">1</f>
        <v>1</v>
      </c>
      <c r="J4289" s="0" t="n">
        <f aca="false">E4289</f>
        <v>0.25</v>
      </c>
      <c r="K4289" s="0" t="n">
        <f aca="false">F4289</f>
        <v>0.75</v>
      </c>
      <c r="L4289" s="0" t="n">
        <f aca="false">G4289</f>
        <v>1</v>
      </c>
      <c r="M4289" s="0" t="n">
        <f aca="false">H4289</f>
        <v>-1</v>
      </c>
      <c r="N4289" s="0" t="n">
        <f aca="false">E4289*F4289</f>
        <v>0.1875</v>
      </c>
      <c r="O4289" s="0" t="n">
        <f aca="false">E4289*G4289</f>
        <v>0.25</v>
      </c>
      <c r="P4289" s="0" t="n">
        <f aca="false">E4289*H4289</f>
        <v>-0.25</v>
      </c>
      <c r="Q4289" s="0" t="n">
        <f aca="false">F4289*G4289</f>
        <v>0.75</v>
      </c>
      <c r="R4289" s="0" t="n">
        <f aca="false">F4289*H4289</f>
        <v>-0.75</v>
      </c>
      <c r="S4289" s="0" t="n">
        <f aca="false">G4289*H4289</f>
        <v>-1</v>
      </c>
      <c r="T4289" s="0" t="n">
        <f aca="false">E4289*E4289</f>
        <v>0.0625</v>
      </c>
      <c r="U4289" s="0" t="n">
        <f aca="false">F4289*F4289</f>
        <v>0.5625</v>
      </c>
      <c r="V4289" s="0" t="n">
        <f aca="false">G4289*G4289</f>
        <v>1</v>
      </c>
      <c r="W4289" s="0" t="n">
        <f aca="false">H4289*H4289</f>
        <v>1</v>
      </c>
      <c r="X4289" s="0" t="n">
        <f aca="false">SUMPRODUCT(I4289:W4289,_XtX!$B$96:$P$96)</f>
        <v>48.002384868421</v>
      </c>
      <c r="Y4289" s="0" t="n">
        <f aca="false">SUMPRODUCT(MMULT(I4289:W4289,_XtX!$B$78:$P$92),I4289:W4289)</f>
        <v>0.621372155975877</v>
      </c>
      <c r="Z4289" s="0" t="n">
        <f aca="false">04_回帰ANOVA!$K$19*04_回帰ANOVA!$K$14*SQRT(1+Y4289)</f>
        <v>1.65973880499872</v>
      </c>
      <c r="AA4289" s="0" t="n">
        <f aca="false">X4289-Z4289</f>
        <v>46.3426460634223</v>
      </c>
      <c r="AB4289" s="0" t="n">
        <f aca="false">X4289+Z4289</f>
        <v>49.6621236734198</v>
      </c>
      <c r="AC4289" s="54" t="b">
        <f aca="false">AND(E4289&gt;=01_因子設定!$L$5-0.000000001,E4289&lt;=01_因子設定!$M$5+0.000000001,F4289&gt;=01_因子設定!$L$6-0.000000001,F4289&lt;=01_因子設定!$M$6+0.000000001,G4289&gt;=01_因子設定!$L$7-0.000000001,G4289&lt;=01_因子設定!$M$7+0.000000001,H4289&gt;=01_因子設定!$L$8-0.000000001,H4289&lt;=01_因子設定!$M$8+0.000000001,IF(01_因子設定!$B$20="Box-Behnken",E4289^2+F4289^2+G4289^2+H4289^2&lt;=2+0.000000001,TRUE()))</f>
        <v>1</v>
      </c>
      <c r="AD4289" s="55" t="n">
        <f aca="false">IF(AC4289,IF(01_因子設定!$B$13="最大化",AA4289-01_因子設定!$B$14,IF(01_因子設定!$B$13="最小化",01_因子設定!$B$15-AB4289,MIN(AA4289-01_因子設定!$B$14,01_因子設定!$B$15-AB4289))),-1E+030)</f>
        <v>-0.157353936577685</v>
      </c>
      <c r="AE4289" s="55" t="n">
        <f aca="false">IF(AC4289,IF(01_因子設定!$B$13="最大化",X4289,IF(01_因子設定!$B$13="最小化",-X4289,-ABS(X4289-01_因子設定!$B$16))),-1E+030)</f>
        <v>48.002384868421</v>
      </c>
      <c r="AF4289" s="55" t="n">
        <f aca="false">AD4289+ROW()*0.000000001</f>
        <v>-0.157349647577685</v>
      </c>
      <c r="AG4289" s="55" t="n">
        <f aca="false">AE4289+ROW()*0.000000001</f>
        <v>48.002389157421</v>
      </c>
    </row>
    <row r="4290" customFormat="false" ht="15" hidden="false" customHeight="false" outlineLevel="0" collapsed="false">
      <c r="A4290" s="0" t="n">
        <v>5</v>
      </c>
      <c r="B4290" s="0" t="n">
        <v>7</v>
      </c>
      <c r="C4290" s="0" t="n">
        <v>8</v>
      </c>
      <c r="D4290" s="0" t="n">
        <v>1</v>
      </c>
      <c r="E4290" s="0" t="n">
        <f aca="false">-1+A4290*0.25</f>
        <v>0.25</v>
      </c>
      <c r="F4290" s="0" t="n">
        <f aca="false">-1+B4290*0.25</f>
        <v>0.75</v>
      </c>
      <c r="G4290" s="0" t="n">
        <f aca="false">-1+C4290*0.25</f>
        <v>1</v>
      </c>
      <c r="H4290" s="0" t="n">
        <f aca="false">-1+D4290*0.25</f>
        <v>-0.75</v>
      </c>
      <c r="I4290" s="0" t="n">
        <f aca="false">1</f>
        <v>1</v>
      </c>
      <c r="J4290" s="0" t="n">
        <f aca="false">E4290</f>
        <v>0.25</v>
      </c>
      <c r="K4290" s="0" t="n">
        <f aca="false">F4290</f>
        <v>0.75</v>
      </c>
      <c r="L4290" s="0" t="n">
        <f aca="false">G4290</f>
        <v>1</v>
      </c>
      <c r="M4290" s="0" t="n">
        <f aca="false">H4290</f>
        <v>-0.75</v>
      </c>
      <c r="N4290" s="0" t="n">
        <f aca="false">E4290*F4290</f>
        <v>0.1875</v>
      </c>
      <c r="O4290" s="0" t="n">
        <f aca="false">E4290*G4290</f>
        <v>0.25</v>
      </c>
      <c r="P4290" s="0" t="n">
        <f aca="false">E4290*H4290</f>
        <v>-0.1875</v>
      </c>
      <c r="Q4290" s="0" t="n">
        <f aca="false">F4290*G4290</f>
        <v>0.75</v>
      </c>
      <c r="R4290" s="0" t="n">
        <f aca="false">F4290*H4290</f>
        <v>-0.5625</v>
      </c>
      <c r="S4290" s="0" t="n">
        <f aca="false">G4290*H4290</f>
        <v>-0.75</v>
      </c>
      <c r="T4290" s="0" t="n">
        <f aca="false">E4290*E4290</f>
        <v>0.0625</v>
      </c>
      <c r="U4290" s="0" t="n">
        <f aca="false">F4290*F4290</f>
        <v>0.5625</v>
      </c>
      <c r="V4290" s="0" t="n">
        <f aca="false">G4290*G4290</f>
        <v>1</v>
      </c>
      <c r="W4290" s="0" t="n">
        <f aca="false">H4290*H4290</f>
        <v>0.5625</v>
      </c>
      <c r="X4290" s="0" t="n">
        <f aca="false">SUMPRODUCT(I4290:W4290,_XtX!$B$96:$P$96)</f>
        <v>48.3109420687134</v>
      </c>
      <c r="Y4290" s="0" t="n">
        <f aca="false">SUMPRODUCT(MMULT(I4290:W4290,_XtX!$B$78:$P$92),I4290:W4290)</f>
        <v>0.473959761056287</v>
      </c>
      <c r="Z4290" s="0" t="n">
        <f aca="false">04_回帰ANOVA!$K$19*04_回帰ANOVA!$K$14*SQRT(1+Y4290)</f>
        <v>1.58249084588329</v>
      </c>
      <c r="AA4290" s="0" t="n">
        <f aca="false">X4290-Z4290</f>
        <v>46.7284512228301</v>
      </c>
      <c r="AB4290" s="0" t="n">
        <f aca="false">X4290+Z4290</f>
        <v>49.8934329145967</v>
      </c>
      <c r="AC4290" s="54" t="b">
        <f aca="false">AND(E4290&gt;=01_因子設定!$L$5-0.000000001,E4290&lt;=01_因子設定!$M$5+0.000000001,F4290&gt;=01_因子設定!$L$6-0.000000001,F4290&lt;=01_因子設定!$M$6+0.000000001,G4290&gt;=01_因子設定!$L$7-0.000000001,G4290&lt;=01_因子設定!$M$7+0.000000001,H4290&gt;=01_因子設定!$L$8-0.000000001,H4290&lt;=01_因子設定!$M$8+0.000000001,IF(01_因子設定!$B$20="Box-Behnken",E4290^2+F4290^2+G4290^2+H4290^2&lt;=2+0.000000001,TRUE()))</f>
        <v>1</v>
      </c>
      <c r="AD4290" s="55" t="n">
        <f aca="false">IF(AC4290,IF(01_因子設定!$B$13="最大化",AA4290-01_因子設定!$B$14,IF(01_因子設定!$B$13="最小化",01_因子設定!$B$15-AB4290,MIN(AA4290-01_因子設定!$B$14,01_因子設定!$B$15-AB4290))),-1E+030)</f>
        <v>0.228451222830131</v>
      </c>
      <c r="AE4290" s="55" t="n">
        <f aca="false">IF(AC4290,IF(01_因子設定!$B$13="最大化",X4290,IF(01_因子設定!$B$13="最小化",-X4290,-ABS(X4290-01_因子設定!$B$16))),-1E+030)</f>
        <v>48.3109420687134</v>
      </c>
      <c r="AF4290" s="55" t="n">
        <f aca="false">AD4290+ROW()*0.000000001</f>
        <v>0.228455512830131</v>
      </c>
      <c r="AG4290" s="55" t="n">
        <f aca="false">AE4290+ROW()*0.000000001</f>
        <v>48.3109463587134</v>
      </c>
    </row>
    <row r="4291" customFormat="false" ht="15" hidden="false" customHeight="false" outlineLevel="0" collapsed="false">
      <c r="A4291" s="0" t="n">
        <v>5</v>
      </c>
      <c r="B4291" s="0" t="n">
        <v>7</v>
      </c>
      <c r="C4291" s="0" t="n">
        <v>8</v>
      </c>
      <c r="D4291" s="0" t="n">
        <v>2</v>
      </c>
      <c r="E4291" s="0" t="n">
        <f aca="false">-1+A4291*0.25</f>
        <v>0.25</v>
      </c>
      <c r="F4291" s="0" t="n">
        <f aca="false">-1+B4291*0.25</f>
        <v>0.75</v>
      </c>
      <c r="G4291" s="0" t="n">
        <f aca="false">-1+C4291*0.25</f>
        <v>1</v>
      </c>
      <c r="H4291" s="0" t="n">
        <f aca="false">-1+D4291*0.25</f>
        <v>-0.5</v>
      </c>
      <c r="I4291" s="0" t="n">
        <f aca="false">1</f>
        <v>1</v>
      </c>
      <c r="J4291" s="0" t="n">
        <f aca="false">E4291</f>
        <v>0.25</v>
      </c>
      <c r="K4291" s="0" t="n">
        <f aca="false">F4291</f>
        <v>0.75</v>
      </c>
      <c r="L4291" s="0" t="n">
        <f aca="false">G4291</f>
        <v>1</v>
      </c>
      <c r="M4291" s="0" t="n">
        <f aca="false">H4291</f>
        <v>-0.5</v>
      </c>
      <c r="N4291" s="0" t="n">
        <f aca="false">E4291*F4291</f>
        <v>0.1875</v>
      </c>
      <c r="O4291" s="0" t="n">
        <f aca="false">E4291*G4291</f>
        <v>0.25</v>
      </c>
      <c r="P4291" s="0" t="n">
        <f aca="false">E4291*H4291</f>
        <v>-0.125</v>
      </c>
      <c r="Q4291" s="0" t="n">
        <f aca="false">F4291*G4291</f>
        <v>0.75</v>
      </c>
      <c r="R4291" s="0" t="n">
        <f aca="false">F4291*H4291</f>
        <v>-0.375</v>
      </c>
      <c r="S4291" s="0" t="n">
        <f aca="false">G4291*H4291</f>
        <v>-0.5</v>
      </c>
      <c r="T4291" s="0" t="n">
        <f aca="false">E4291*E4291</f>
        <v>0.0625</v>
      </c>
      <c r="U4291" s="0" t="n">
        <f aca="false">F4291*F4291</f>
        <v>0.5625</v>
      </c>
      <c r="V4291" s="0" t="n">
        <f aca="false">G4291*G4291</f>
        <v>1</v>
      </c>
      <c r="W4291" s="0" t="n">
        <f aca="false">H4291*H4291</f>
        <v>0.25</v>
      </c>
      <c r="X4291" s="0" t="n">
        <f aca="false">SUMPRODUCT(I4291:W4291,_XtX!$B$96:$P$96)</f>
        <v>48.5716922514619</v>
      </c>
      <c r="Y4291" s="0" t="n">
        <f aca="false">SUMPRODUCT(MMULT(I4291:W4291,_XtX!$B$78:$P$92),I4291:W4291)</f>
        <v>0.459125719572369</v>
      </c>
      <c r="Z4291" s="0" t="n">
        <f aca="false">04_回帰ANOVA!$K$19*04_回帰ANOVA!$K$14*SQRT(1+Y4291)</f>
        <v>1.57450755575573</v>
      </c>
      <c r="AA4291" s="0" t="n">
        <f aca="false">X4291-Z4291</f>
        <v>46.9971846957062</v>
      </c>
      <c r="AB4291" s="0" t="n">
        <f aca="false">X4291+Z4291</f>
        <v>50.1461998072177</v>
      </c>
      <c r="AC4291" s="54" t="b">
        <f aca="false">AND(E4291&gt;=01_因子設定!$L$5-0.000000001,E4291&lt;=01_因子設定!$M$5+0.000000001,F4291&gt;=01_因子設定!$L$6-0.000000001,F4291&lt;=01_因子設定!$M$6+0.000000001,G4291&gt;=01_因子設定!$L$7-0.000000001,G4291&lt;=01_因子設定!$M$7+0.000000001,H4291&gt;=01_因子設定!$L$8-0.000000001,H4291&lt;=01_因子設定!$M$8+0.000000001,IF(01_因子設定!$B$20="Box-Behnken",E4291^2+F4291^2+G4291^2+H4291^2&lt;=2+0.000000001,TRUE()))</f>
        <v>1</v>
      </c>
      <c r="AD4291" s="55" t="n">
        <f aca="false">IF(AC4291,IF(01_因子設定!$B$13="最大化",AA4291-01_因子設定!$B$14,IF(01_因子設定!$B$13="最小化",01_因子設定!$B$15-AB4291,MIN(AA4291-01_因子設定!$B$14,01_因子設定!$B$15-AB4291))),-1E+030)</f>
        <v>0.49718469570621</v>
      </c>
      <c r="AE4291" s="55" t="n">
        <f aca="false">IF(AC4291,IF(01_因子設定!$B$13="最大化",X4291,IF(01_因子設定!$B$13="最小化",-X4291,-ABS(X4291-01_因子設定!$B$16))),-1E+030)</f>
        <v>48.5716922514619</v>
      </c>
      <c r="AF4291" s="55" t="n">
        <f aca="false">AD4291+ROW()*0.000000001</f>
        <v>0.49718898670621</v>
      </c>
      <c r="AG4291" s="55" t="n">
        <f aca="false">AE4291+ROW()*0.000000001</f>
        <v>48.5716965424619</v>
      </c>
    </row>
    <row r="4292" customFormat="false" ht="15" hidden="false" customHeight="false" outlineLevel="0" collapsed="false">
      <c r="A4292" s="0" t="n">
        <v>5</v>
      </c>
      <c r="B4292" s="0" t="n">
        <v>7</v>
      </c>
      <c r="C4292" s="0" t="n">
        <v>8</v>
      </c>
      <c r="D4292" s="0" t="n">
        <v>3</v>
      </c>
      <c r="E4292" s="0" t="n">
        <f aca="false">-1+A4292*0.25</f>
        <v>0.25</v>
      </c>
      <c r="F4292" s="0" t="n">
        <f aca="false">-1+B4292*0.25</f>
        <v>0.75</v>
      </c>
      <c r="G4292" s="0" t="n">
        <f aca="false">-1+C4292*0.25</f>
        <v>1</v>
      </c>
      <c r="H4292" s="0" t="n">
        <f aca="false">-1+D4292*0.25</f>
        <v>-0.25</v>
      </c>
      <c r="I4292" s="0" t="n">
        <f aca="false">1</f>
        <v>1</v>
      </c>
      <c r="J4292" s="0" t="n">
        <f aca="false">E4292</f>
        <v>0.25</v>
      </c>
      <c r="K4292" s="0" t="n">
        <f aca="false">F4292</f>
        <v>0.75</v>
      </c>
      <c r="L4292" s="0" t="n">
        <f aca="false">G4292</f>
        <v>1</v>
      </c>
      <c r="M4292" s="0" t="n">
        <f aca="false">H4292</f>
        <v>-0.25</v>
      </c>
      <c r="N4292" s="0" t="n">
        <f aca="false">E4292*F4292</f>
        <v>0.1875</v>
      </c>
      <c r="O4292" s="0" t="n">
        <f aca="false">E4292*G4292</f>
        <v>0.25</v>
      </c>
      <c r="P4292" s="0" t="n">
        <f aca="false">E4292*H4292</f>
        <v>-0.0625</v>
      </c>
      <c r="Q4292" s="0" t="n">
        <f aca="false">F4292*G4292</f>
        <v>0.75</v>
      </c>
      <c r="R4292" s="0" t="n">
        <f aca="false">F4292*H4292</f>
        <v>-0.1875</v>
      </c>
      <c r="S4292" s="0" t="n">
        <f aca="false">G4292*H4292</f>
        <v>-0.25</v>
      </c>
      <c r="T4292" s="0" t="n">
        <f aca="false">E4292*E4292</f>
        <v>0.0625</v>
      </c>
      <c r="U4292" s="0" t="n">
        <f aca="false">F4292*F4292</f>
        <v>0.5625</v>
      </c>
      <c r="V4292" s="0" t="n">
        <f aca="false">G4292*G4292</f>
        <v>1</v>
      </c>
      <c r="W4292" s="0" t="n">
        <f aca="false">H4292*H4292</f>
        <v>0.0625</v>
      </c>
      <c r="X4292" s="0" t="n">
        <f aca="false">SUMPRODUCT(I4292:W4292,_XtX!$B$96:$P$96)</f>
        <v>48.7846354166666</v>
      </c>
      <c r="Y4292" s="0" t="n">
        <f aca="false">SUMPRODUCT(MMULT(I4292:W4292,_XtX!$B$78:$P$92),I4292:W4292)</f>
        <v>0.486409505208334</v>
      </c>
      <c r="Z4292" s="0" t="n">
        <f aca="false">04_回帰ANOVA!$K$19*04_回帰ANOVA!$K$14*SQRT(1+Y4292)</f>
        <v>1.58916001665498</v>
      </c>
      <c r="AA4292" s="0" t="n">
        <f aca="false">X4292-Z4292</f>
        <v>47.1954754000116</v>
      </c>
      <c r="AB4292" s="0" t="n">
        <f aca="false">X4292+Z4292</f>
        <v>50.3737954333216</v>
      </c>
      <c r="AC4292" s="54" t="b">
        <f aca="false">AND(E4292&gt;=01_因子設定!$L$5-0.000000001,E4292&lt;=01_因子設定!$M$5+0.000000001,F4292&gt;=01_因子設定!$L$6-0.000000001,F4292&lt;=01_因子設定!$M$6+0.000000001,G4292&gt;=01_因子設定!$L$7-0.000000001,G4292&lt;=01_因子設定!$M$7+0.000000001,H4292&gt;=01_因子設定!$L$8-0.000000001,H4292&lt;=01_因子設定!$M$8+0.000000001,IF(01_因子設定!$B$20="Box-Behnken",E4292^2+F4292^2+G4292^2+H4292^2&lt;=2+0.000000001,TRUE()))</f>
        <v>1</v>
      </c>
      <c r="AD4292" s="55" t="n">
        <f aca="false">IF(AC4292,IF(01_因子設定!$B$13="最大化",AA4292-01_因子設定!$B$14,IF(01_因子設定!$B$13="最小化",01_因子設定!$B$15-AB4292,MIN(AA4292-01_因子設定!$B$14,01_因子設定!$B$15-AB4292))),-1E+030)</f>
        <v>0.695475400011631</v>
      </c>
      <c r="AE4292" s="55" t="n">
        <f aca="false">IF(AC4292,IF(01_因子設定!$B$13="最大化",X4292,IF(01_因子設定!$B$13="最小化",-X4292,-ABS(X4292-01_因子設定!$B$16))),-1E+030)</f>
        <v>48.7846354166666</v>
      </c>
      <c r="AF4292" s="55" t="n">
        <f aca="false">AD4292+ROW()*0.000000001</f>
        <v>0.695479692011631</v>
      </c>
      <c r="AG4292" s="55" t="n">
        <f aca="false">AE4292+ROW()*0.000000001</f>
        <v>48.7846397086666</v>
      </c>
    </row>
    <row r="4293" customFormat="false" ht="15" hidden="false" customHeight="false" outlineLevel="0" collapsed="false">
      <c r="A4293" s="0" t="n">
        <v>5</v>
      </c>
      <c r="B4293" s="0" t="n">
        <v>7</v>
      </c>
      <c r="C4293" s="0" t="n">
        <v>8</v>
      </c>
      <c r="D4293" s="0" t="n">
        <v>4</v>
      </c>
      <c r="E4293" s="0" t="n">
        <f aca="false">-1+A4293*0.25</f>
        <v>0.25</v>
      </c>
      <c r="F4293" s="0" t="n">
        <f aca="false">-1+B4293*0.25</f>
        <v>0.75</v>
      </c>
      <c r="G4293" s="0" t="n">
        <f aca="false">-1+C4293*0.25</f>
        <v>1</v>
      </c>
      <c r="H4293" s="0" t="n">
        <f aca="false">-1+D4293*0.25</f>
        <v>0</v>
      </c>
      <c r="I4293" s="0" t="n">
        <f aca="false">1</f>
        <v>1</v>
      </c>
      <c r="J4293" s="0" t="n">
        <f aca="false">E4293</f>
        <v>0.25</v>
      </c>
      <c r="K4293" s="0" t="n">
        <f aca="false">F4293</f>
        <v>0.75</v>
      </c>
      <c r="L4293" s="0" t="n">
        <f aca="false">G4293</f>
        <v>1</v>
      </c>
      <c r="M4293" s="0" t="n">
        <f aca="false">H4293</f>
        <v>0</v>
      </c>
      <c r="N4293" s="0" t="n">
        <f aca="false">E4293*F4293</f>
        <v>0.1875</v>
      </c>
      <c r="O4293" s="0" t="n">
        <f aca="false">E4293*G4293</f>
        <v>0.25</v>
      </c>
      <c r="P4293" s="0" t="n">
        <f aca="false">E4293*H4293</f>
        <v>0</v>
      </c>
      <c r="Q4293" s="0" t="n">
        <f aca="false">F4293*G4293</f>
        <v>0.75</v>
      </c>
      <c r="R4293" s="0" t="n">
        <f aca="false">F4293*H4293</f>
        <v>0</v>
      </c>
      <c r="S4293" s="0" t="n">
        <f aca="false">G4293*H4293</f>
        <v>0</v>
      </c>
      <c r="T4293" s="0" t="n">
        <f aca="false">E4293*E4293</f>
        <v>0.0625</v>
      </c>
      <c r="U4293" s="0" t="n">
        <f aca="false">F4293*F4293</f>
        <v>0.5625</v>
      </c>
      <c r="V4293" s="0" t="n">
        <f aca="false">G4293*G4293</f>
        <v>1</v>
      </c>
      <c r="W4293" s="0" t="n">
        <f aca="false">H4293*H4293</f>
        <v>0</v>
      </c>
      <c r="X4293" s="0" t="n">
        <f aca="false">SUMPRODUCT(I4293:W4293,_XtX!$B$96:$P$96)</f>
        <v>48.9497715643274</v>
      </c>
      <c r="Y4293" s="0" t="n">
        <f aca="false">SUMPRODUCT(MMULT(I4293:W4293,_XtX!$B$78:$P$92),I4293:W4293)</f>
        <v>0.501534802174708</v>
      </c>
      <c r="Z4293" s="0" t="n">
        <f aca="false">04_回帰ANOVA!$K$19*04_回帰ANOVA!$K$14*SQRT(1+Y4293)</f>
        <v>1.59722498091333</v>
      </c>
      <c r="AA4293" s="0" t="n">
        <f aca="false">X4293-Z4293</f>
        <v>47.3525465834141</v>
      </c>
      <c r="AB4293" s="0" t="n">
        <f aca="false">X4293+Z4293</f>
        <v>50.5469965452408</v>
      </c>
      <c r="AC4293" s="54" t="b">
        <f aca="false">AND(E4293&gt;=01_因子設定!$L$5-0.000000001,E4293&lt;=01_因子設定!$M$5+0.000000001,F4293&gt;=01_因子設定!$L$6-0.000000001,F4293&lt;=01_因子設定!$M$6+0.000000001,G4293&gt;=01_因子設定!$L$7-0.000000001,G4293&lt;=01_因子設定!$M$7+0.000000001,H4293&gt;=01_因子設定!$L$8-0.000000001,H4293&lt;=01_因子設定!$M$8+0.000000001,IF(01_因子設定!$B$20="Box-Behnken",E4293^2+F4293^2+G4293^2+H4293^2&lt;=2+0.000000001,TRUE()))</f>
        <v>1</v>
      </c>
      <c r="AD4293" s="55" t="n">
        <f aca="false">IF(AC4293,IF(01_因子設定!$B$13="最大化",AA4293-01_因子設定!$B$14,IF(01_因子設定!$B$13="最小化",01_因子設定!$B$15-AB4293,MIN(AA4293-01_因子設定!$B$14,01_因子設定!$B$15-AB4293))),-1E+030)</f>
        <v>0.852546583414096</v>
      </c>
      <c r="AE4293" s="55" t="n">
        <f aca="false">IF(AC4293,IF(01_因子設定!$B$13="最大化",X4293,IF(01_因子設定!$B$13="最小化",-X4293,-ABS(X4293-01_因子設定!$B$16))),-1E+030)</f>
        <v>48.9497715643274</v>
      </c>
      <c r="AF4293" s="55" t="n">
        <f aca="false">AD4293+ROW()*0.000000001</f>
        <v>0.852550876414096</v>
      </c>
      <c r="AG4293" s="55" t="n">
        <f aca="false">AE4293+ROW()*0.000000001</f>
        <v>48.9497758573274</v>
      </c>
    </row>
    <row r="4294" customFormat="false" ht="15" hidden="false" customHeight="false" outlineLevel="0" collapsed="false">
      <c r="A4294" s="0" t="n">
        <v>5</v>
      </c>
      <c r="B4294" s="0" t="n">
        <v>7</v>
      </c>
      <c r="C4294" s="0" t="n">
        <v>8</v>
      </c>
      <c r="D4294" s="0" t="n">
        <v>5</v>
      </c>
      <c r="E4294" s="0" t="n">
        <f aca="false">-1+A4294*0.25</f>
        <v>0.25</v>
      </c>
      <c r="F4294" s="0" t="n">
        <f aca="false">-1+B4294*0.25</f>
        <v>0.75</v>
      </c>
      <c r="G4294" s="0" t="n">
        <f aca="false">-1+C4294*0.25</f>
        <v>1</v>
      </c>
      <c r="H4294" s="0" t="n">
        <f aca="false">-1+D4294*0.25</f>
        <v>0.25</v>
      </c>
      <c r="I4294" s="0" t="n">
        <f aca="false">1</f>
        <v>1</v>
      </c>
      <c r="J4294" s="0" t="n">
        <f aca="false">E4294</f>
        <v>0.25</v>
      </c>
      <c r="K4294" s="0" t="n">
        <f aca="false">F4294</f>
        <v>0.75</v>
      </c>
      <c r="L4294" s="0" t="n">
        <f aca="false">G4294</f>
        <v>1</v>
      </c>
      <c r="M4294" s="0" t="n">
        <f aca="false">H4294</f>
        <v>0.25</v>
      </c>
      <c r="N4294" s="0" t="n">
        <f aca="false">E4294*F4294</f>
        <v>0.1875</v>
      </c>
      <c r="O4294" s="0" t="n">
        <f aca="false">E4294*G4294</f>
        <v>0.25</v>
      </c>
      <c r="P4294" s="0" t="n">
        <f aca="false">E4294*H4294</f>
        <v>0.0625</v>
      </c>
      <c r="Q4294" s="0" t="n">
        <f aca="false">F4294*G4294</f>
        <v>0.75</v>
      </c>
      <c r="R4294" s="0" t="n">
        <f aca="false">F4294*H4294</f>
        <v>0.1875</v>
      </c>
      <c r="S4294" s="0" t="n">
        <f aca="false">G4294*H4294</f>
        <v>0.25</v>
      </c>
      <c r="T4294" s="0" t="n">
        <f aca="false">E4294*E4294</f>
        <v>0.0625</v>
      </c>
      <c r="U4294" s="0" t="n">
        <f aca="false">F4294*F4294</f>
        <v>0.5625</v>
      </c>
      <c r="V4294" s="0" t="n">
        <f aca="false">G4294*G4294</f>
        <v>1</v>
      </c>
      <c r="W4294" s="0" t="n">
        <f aca="false">H4294*H4294</f>
        <v>0.0625</v>
      </c>
      <c r="X4294" s="0" t="n">
        <f aca="false">SUMPRODUCT(I4294:W4294,_XtX!$B$96:$P$96)</f>
        <v>49.0671006944444</v>
      </c>
      <c r="Y4294" s="0" t="n">
        <f aca="false">SUMPRODUCT(MMULT(I4294:W4294,_XtX!$B$78:$P$92),I4294:W4294)</f>
        <v>0.486409505208334</v>
      </c>
      <c r="Z4294" s="0" t="n">
        <f aca="false">04_回帰ANOVA!$K$19*04_回帰ANOVA!$K$14*SQRT(1+Y4294)</f>
        <v>1.58916001665498</v>
      </c>
      <c r="AA4294" s="0" t="n">
        <f aca="false">X4294-Z4294</f>
        <v>47.4779406777894</v>
      </c>
      <c r="AB4294" s="0" t="n">
        <f aca="false">X4294+Z4294</f>
        <v>50.6562607110994</v>
      </c>
      <c r="AC4294" s="54" t="b">
        <f aca="false">AND(E4294&gt;=01_因子設定!$L$5-0.000000001,E4294&lt;=01_因子設定!$M$5+0.000000001,F4294&gt;=01_因子設定!$L$6-0.000000001,F4294&lt;=01_因子設定!$M$6+0.000000001,G4294&gt;=01_因子設定!$L$7-0.000000001,G4294&lt;=01_因子設定!$M$7+0.000000001,H4294&gt;=01_因子設定!$L$8-0.000000001,H4294&lt;=01_因子設定!$M$8+0.000000001,IF(01_因子設定!$B$20="Box-Behnken",E4294^2+F4294^2+G4294^2+H4294^2&lt;=2+0.000000001,TRUE()))</f>
        <v>1</v>
      </c>
      <c r="AD4294" s="55" t="n">
        <f aca="false">IF(AC4294,IF(01_因子設定!$B$13="最大化",AA4294-01_因子設定!$B$14,IF(01_因子設定!$B$13="最小化",01_因子設定!$B$15-AB4294,MIN(AA4294-01_因子設定!$B$14,01_因子設定!$B$15-AB4294))),-1E+030)</f>
        <v>0.977940677789412</v>
      </c>
      <c r="AE4294" s="55" t="n">
        <f aca="false">IF(AC4294,IF(01_因子設定!$B$13="最大化",X4294,IF(01_因子設定!$B$13="最小化",-X4294,-ABS(X4294-01_因子設定!$B$16))),-1E+030)</f>
        <v>49.0671006944444</v>
      </c>
      <c r="AF4294" s="55" t="n">
        <f aca="false">AD4294+ROW()*0.000000001</f>
        <v>0.977944971789412</v>
      </c>
      <c r="AG4294" s="55" t="n">
        <f aca="false">AE4294+ROW()*0.000000001</f>
        <v>49.0671049884444</v>
      </c>
    </row>
    <row r="4295" customFormat="false" ht="15" hidden="false" customHeight="false" outlineLevel="0" collapsed="false">
      <c r="A4295" s="0" t="n">
        <v>5</v>
      </c>
      <c r="B4295" s="0" t="n">
        <v>7</v>
      </c>
      <c r="C4295" s="0" t="n">
        <v>8</v>
      </c>
      <c r="D4295" s="0" t="n">
        <v>6</v>
      </c>
      <c r="E4295" s="0" t="n">
        <f aca="false">-1+A4295*0.25</f>
        <v>0.25</v>
      </c>
      <c r="F4295" s="0" t="n">
        <f aca="false">-1+B4295*0.25</f>
        <v>0.75</v>
      </c>
      <c r="G4295" s="0" t="n">
        <f aca="false">-1+C4295*0.25</f>
        <v>1</v>
      </c>
      <c r="H4295" s="0" t="n">
        <f aca="false">-1+D4295*0.25</f>
        <v>0.5</v>
      </c>
      <c r="I4295" s="0" t="n">
        <f aca="false">1</f>
        <v>1</v>
      </c>
      <c r="J4295" s="0" t="n">
        <f aca="false">E4295</f>
        <v>0.25</v>
      </c>
      <c r="K4295" s="0" t="n">
        <f aca="false">F4295</f>
        <v>0.75</v>
      </c>
      <c r="L4295" s="0" t="n">
        <f aca="false">G4295</f>
        <v>1</v>
      </c>
      <c r="M4295" s="0" t="n">
        <f aca="false">H4295</f>
        <v>0.5</v>
      </c>
      <c r="N4295" s="0" t="n">
        <f aca="false">E4295*F4295</f>
        <v>0.1875</v>
      </c>
      <c r="O4295" s="0" t="n">
        <f aca="false">E4295*G4295</f>
        <v>0.25</v>
      </c>
      <c r="P4295" s="0" t="n">
        <f aca="false">E4295*H4295</f>
        <v>0.125</v>
      </c>
      <c r="Q4295" s="0" t="n">
        <f aca="false">F4295*G4295</f>
        <v>0.75</v>
      </c>
      <c r="R4295" s="0" t="n">
        <f aca="false">F4295*H4295</f>
        <v>0.375</v>
      </c>
      <c r="S4295" s="0" t="n">
        <f aca="false">G4295*H4295</f>
        <v>0.5</v>
      </c>
      <c r="T4295" s="0" t="n">
        <f aca="false">E4295*E4295</f>
        <v>0.0625</v>
      </c>
      <c r="U4295" s="0" t="n">
        <f aca="false">F4295*F4295</f>
        <v>0.5625</v>
      </c>
      <c r="V4295" s="0" t="n">
        <f aca="false">G4295*G4295</f>
        <v>1</v>
      </c>
      <c r="W4295" s="0" t="n">
        <f aca="false">H4295*H4295</f>
        <v>0.25</v>
      </c>
      <c r="X4295" s="0" t="n">
        <f aca="false">SUMPRODUCT(I4295:W4295,_XtX!$B$96:$P$96)</f>
        <v>49.1366228070175</v>
      </c>
      <c r="Y4295" s="0" t="n">
        <f aca="false">SUMPRODUCT(MMULT(I4295:W4295,_XtX!$B$78:$P$92),I4295:W4295)</f>
        <v>0.459125719572369</v>
      </c>
      <c r="Z4295" s="0" t="n">
        <f aca="false">04_回帰ANOVA!$K$19*04_回帰ANOVA!$K$14*SQRT(1+Y4295)</f>
        <v>1.57450755575573</v>
      </c>
      <c r="AA4295" s="0" t="n">
        <f aca="false">X4295-Z4295</f>
        <v>47.5621152512618</v>
      </c>
      <c r="AB4295" s="0" t="n">
        <f aca="false">X4295+Z4295</f>
        <v>50.7111303627732</v>
      </c>
      <c r="AC4295" s="54" t="b">
        <f aca="false">AND(E4295&gt;=01_因子設定!$L$5-0.000000001,E4295&lt;=01_因子設定!$M$5+0.000000001,F4295&gt;=01_因子設定!$L$6-0.000000001,F4295&lt;=01_因子設定!$M$6+0.000000001,G4295&gt;=01_因子設定!$L$7-0.000000001,G4295&lt;=01_因子設定!$M$7+0.000000001,H4295&gt;=01_因子設定!$L$8-0.000000001,H4295&lt;=01_因子設定!$M$8+0.000000001,IF(01_因子設定!$B$20="Box-Behnken",E4295^2+F4295^2+G4295^2+H4295^2&lt;=2+0.000000001,TRUE()))</f>
        <v>1</v>
      </c>
      <c r="AD4295" s="55" t="n">
        <f aca="false">IF(AC4295,IF(01_因子設定!$B$13="最大化",AA4295-01_因子設定!$B$14,IF(01_因子設定!$B$13="最小化",01_因子設定!$B$15-AB4295,MIN(AA4295-01_因子設定!$B$14,01_因子設定!$B$15-AB4295))),-1E+030)</f>
        <v>1.06211525126177</v>
      </c>
      <c r="AE4295" s="55" t="n">
        <f aca="false">IF(AC4295,IF(01_因子設定!$B$13="最大化",X4295,IF(01_因子設定!$B$13="最小化",-X4295,-ABS(X4295-01_因子設定!$B$16))),-1E+030)</f>
        <v>49.1366228070175</v>
      </c>
      <c r="AF4295" s="55" t="n">
        <f aca="false">AD4295+ROW()*0.000000001</f>
        <v>1.06211954626177</v>
      </c>
      <c r="AG4295" s="55" t="n">
        <f aca="false">AE4295+ROW()*0.000000001</f>
        <v>49.1366271020175</v>
      </c>
    </row>
    <row r="4296" customFormat="false" ht="15" hidden="false" customHeight="false" outlineLevel="0" collapsed="false">
      <c r="A4296" s="0" t="n">
        <v>5</v>
      </c>
      <c r="B4296" s="0" t="n">
        <v>7</v>
      </c>
      <c r="C4296" s="0" t="n">
        <v>8</v>
      </c>
      <c r="D4296" s="0" t="n">
        <v>7</v>
      </c>
      <c r="E4296" s="0" t="n">
        <f aca="false">-1+A4296*0.25</f>
        <v>0.25</v>
      </c>
      <c r="F4296" s="0" t="n">
        <f aca="false">-1+B4296*0.25</f>
        <v>0.75</v>
      </c>
      <c r="G4296" s="0" t="n">
        <f aca="false">-1+C4296*0.25</f>
        <v>1</v>
      </c>
      <c r="H4296" s="0" t="n">
        <f aca="false">-1+D4296*0.25</f>
        <v>0.75</v>
      </c>
      <c r="I4296" s="0" t="n">
        <f aca="false">1</f>
        <v>1</v>
      </c>
      <c r="J4296" s="0" t="n">
        <f aca="false">E4296</f>
        <v>0.25</v>
      </c>
      <c r="K4296" s="0" t="n">
        <f aca="false">F4296</f>
        <v>0.75</v>
      </c>
      <c r="L4296" s="0" t="n">
        <f aca="false">G4296</f>
        <v>1</v>
      </c>
      <c r="M4296" s="0" t="n">
        <f aca="false">H4296</f>
        <v>0.75</v>
      </c>
      <c r="N4296" s="0" t="n">
        <f aca="false">E4296*F4296</f>
        <v>0.1875</v>
      </c>
      <c r="O4296" s="0" t="n">
        <f aca="false">E4296*G4296</f>
        <v>0.25</v>
      </c>
      <c r="P4296" s="0" t="n">
        <f aca="false">E4296*H4296</f>
        <v>0.1875</v>
      </c>
      <c r="Q4296" s="0" t="n">
        <f aca="false">F4296*G4296</f>
        <v>0.75</v>
      </c>
      <c r="R4296" s="0" t="n">
        <f aca="false">F4296*H4296</f>
        <v>0.5625</v>
      </c>
      <c r="S4296" s="0" t="n">
        <f aca="false">G4296*H4296</f>
        <v>0.75</v>
      </c>
      <c r="T4296" s="0" t="n">
        <f aca="false">E4296*E4296</f>
        <v>0.0625</v>
      </c>
      <c r="U4296" s="0" t="n">
        <f aca="false">F4296*F4296</f>
        <v>0.5625</v>
      </c>
      <c r="V4296" s="0" t="n">
        <f aca="false">G4296*G4296</f>
        <v>1</v>
      </c>
      <c r="W4296" s="0" t="n">
        <f aca="false">H4296*H4296</f>
        <v>0.5625</v>
      </c>
      <c r="X4296" s="0" t="n">
        <f aca="false">SUMPRODUCT(I4296:W4296,_XtX!$B$96:$P$96)</f>
        <v>49.1583379020467</v>
      </c>
      <c r="Y4296" s="0" t="n">
        <f aca="false">SUMPRODUCT(MMULT(I4296:W4296,_XtX!$B$78:$P$92),I4296:W4296)</f>
        <v>0.473959761056287</v>
      </c>
      <c r="Z4296" s="0" t="n">
        <f aca="false">04_回帰ANOVA!$K$19*04_回帰ANOVA!$K$14*SQRT(1+Y4296)</f>
        <v>1.58249084588329</v>
      </c>
      <c r="AA4296" s="0" t="n">
        <f aca="false">X4296-Z4296</f>
        <v>47.5758470561635</v>
      </c>
      <c r="AB4296" s="0" t="n">
        <f aca="false">X4296+Z4296</f>
        <v>50.74082874793</v>
      </c>
      <c r="AC4296" s="54" t="b">
        <f aca="false">AND(E4296&gt;=01_因子設定!$L$5-0.000000001,E4296&lt;=01_因子設定!$M$5+0.000000001,F4296&gt;=01_因子設定!$L$6-0.000000001,F4296&lt;=01_因子設定!$M$6+0.000000001,G4296&gt;=01_因子設定!$L$7-0.000000001,G4296&lt;=01_因子設定!$M$7+0.000000001,H4296&gt;=01_因子設定!$L$8-0.000000001,H4296&lt;=01_因子設定!$M$8+0.000000001,IF(01_因子設定!$B$20="Box-Behnken",E4296^2+F4296^2+G4296^2+H4296^2&lt;=2+0.000000001,TRUE()))</f>
        <v>1</v>
      </c>
      <c r="AD4296" s="55" t="n">
        <f aca="false">IF(AC4296,IF(01_因子設定!$B$13="最大化",AA4296-01_因子設定!$B$14,IF(01_因子設定!$B$13="最小化",01_因子設定!$B$15-AB4296,MIN(AA4296-01_因子設定!$B$14,01_因子設定!$B$15-AB4296))),-1E+030)</f>
        <v>1.07584705616346</v>
      </c>
      <c r="AE4296" s="55" t="n">
        <f aca="false">IF(AC4296,IF(01_因子設定!$B$13="最大化",X4296,IF(01_因子設定!$B$13="最小化",-X4296,-ABS(X4296-01_因子設定!$B$16))),-1E+030)</f>
        <v>49.1583379020467</v>
      </c>
      <c r="AF4296" s="55" t="n">
        <f aca="false">AD4296+ROW()*0.000000001</f>
        <v>1.07585135216346</v>
      </c>
      <c r="AG4296" s="55" t="n">
        <f aca="false">AE4296+ROW()*0.000000001</f>
        <v>49.1583421980467</v>
      </c>
    </row>
    <row r="4297" customFormat="false" ht="15" hidden="false" customHeight="false" outlineLevel="0" collapsed="false">
      <c r="A4297" s="0" t="n">
        <v>5</v>
      </c>
      <c r="B4297" s="0" t="n">
        <v>7</v>
      </c>
      <c r="C4297" s="0" t="n">
        <v>8</v>
      </c>
      <c r="D4297" s="0" t="n">
        <v>8</v>
      </c>
      <c r="E4297" s="0" t="n">
        <f aca="false">-1+A4297*0.25</f>
        <v>0.25</v>
      </c>
      <c r="F4297" s="0" t="n">
        <f aca="false">-1+B4297*0.25</f>
        <v>0.75</v>
      </c>
      <c r="G4297" s="0" t="n">
        <f aca="false">-1+C4297*0.25</f>
        <v>1</v>
      </c>
      <c r="H4297" s="0" t="n">
        <f aca="false">-1+D4297*0.25</f>
        <v>1</v>
      </c>
      <c r="I4297" s="0" t="n">
        <f aca="false">1</f>
        <v>1</v>
      </c>
      <c r="J4297" s="0" t="n">
        <f aca="false">E4297</f>
        <v>0.25</v>
      </c>
      <c r="K4297" s="0" t="n">
        <f aca="false">F4297</f>
        <v>0.75</v>
      </c>
      <c r="L4297" s="0" t="n">
        <f aca="false">G4297</f>
        <v>1</v>
      </c>
      <c r="M4297" s="0" t="n">
        <f aca="false">H4297</f>
        <v>1</v>
      </c>
      <c r="N4297" s="0" t="n">
        <f aca="false">E4297*F4297</f>
        <v>0.1875</v>
      </c>
      <c r="O4297" s="0" t="n">
        <f aca="false">E4297*G4297</f>
        <v>0.25</v>
      </c>
      <c r="P4297" s="0" t="n">
        <f aca="false">E4297*H4297</f>
        <v>0.25</v>
      </c>
      <c r="Q4297" s="0" t="n">
        <f aca="false">F4297*G4297</f>
        <v>0.75</v>
      </c>
      <c r="R4297" s="0" t="n">
        <f aca="false">F4297*H4297</f>
        <v>0.75</v>
      </c>
      <c r="S4297" s="0" t="n">
        <f aca="false">G4297*H4297</f>
        <v>1</v>
      </c>
      <c r="T4297" s="0" t="n">
        <f aca="false">E4297*E4297</f>
        <v>0.0625</v>
      </c>
      <c r="U4297" s="0" t="n">
        <f aca="false">F4297*F4297</f>
        <v>0.5625</v>
      </c>
      <c r="V4297" s="0" t="n">
        <f aca="false">G4297*G4297</f>
        <v>1</v>
      </c>
      <c r="W4297" s="0" t="n">
        <f aca="false">H4297*H4297</f>
        <v>1</v>
      </c>
      <c r="X4297" s="0" t="n">
        <f aca="false">SUMPRODUCT(I4297:W4297,_XtX!$B$96:$P$96)</f>
        <v>49.1322459795321</v>
      </c>
      <c r="Y4297" s="0" t="n">
        <f aca="false">SUMPRODUCT(MMULT(I4297:W4297,_XtX!$B$78:$P$92),I4297:W4297)</f>
        <v>0.621372155975877</v>
      </c>
      <c r="Z4297" s="0" t="n">
        <f aca="false">04_回帰ANOVA!$K$19*04_回帰ANOVA!$K$14*SQRT(1+Y4297)</f>
        <v>1.65973880499872</v>
      </c>
      <c r="AA4297" s="0" t="n">
        <f aca="false">X4297-Z4297</f>
        <v>47.4725071745334</v>
      </c>
      <c r="AB4297" s="0" t="n">
        <f aca="false">X4297+Z4297</f>
        <v>50.7919847845309</v>
      </c>
      <c r="AC4297" s="54" t="b">
        <f aca="false">AND(E4297&gt;=01_因子設定!$L$5-0.000000001,E4297&lt;=01_因子設定!$M$5+0.000000001,F4297&gt;=01_因子設定!$L$6-0.000000001,F4297&lt;=01_因子設定!$M$6+0.000000001,G4297&gt;=01_因子設定!$L$7-0.000000001,G4297&lt;=01_因子設定!$M$7+0.000000001,H4297&gt;=01_因子設定!$L$8-0.000000001,H4297&lt;=01_因子設定!$M$8+0.000000001,IF(01_因子設定!$B$20="Box-Behnken",E4297^2+F4297^2+G4297^2+H4297^2&lt;=2+0.000000001,TRUE()))</f>
        <v>1</v>
      </c>
      <c r="AD4297" s="55" t="n">
        <f aca="false">IF(AC4297,IF(01_因子設定!$B$13="最大化",AA4297-01_因子設定!$B$14,IF(01_因子設定!$B$13="最小化",01_因子設定!$B$15-AB4297,MIN(AA4297-01_因子設定!$B$14,01_因子設定!$B$15-AB4297))),-1E+030)</f>
        <v>0.972507174533426</v>
      </c>
      <c r="AE4297" s="55" t="n">
        <f aca="false">IF(AC4297,IF(01_因子設定!$B$13="最大化",X4297,IF(01_因子設定!$B$13="最小化",-X4297,-ABS(X4297-01_因子設定!$B$16))),-1E+030)</f>
        <v>49.1322459795321</v>
      </c>
      <c r="AF4297" s="55" t="n">
        <f aca="false">AD4297+ROW()*0.000000001</f>
        <v>0.972511471533426</v>
      </c>
      <c r="AG4297" s="55" t="n">
        <f aca="false">AE4297+ROW()*0.000000001</f>
        <v>49.1322502765321</v>
      </c>
    </row>
    <row r="4298" customFormat="false" ht="15" hidden="false" customHeight="false" outlineLevel="0" collapsed="false">
      <c r="A4298" s="0" t="n">
        <v>5</v>
      </c>
      <c r="B4298" s="0" t="n">
        <v>8</v>
      </c>
      <c r="C4298" s="0" t="n">
        <v>0</v>
      </c>
      <c r="D4298" s="0" t="n">
        <v>0</v>
      </c>
      <c r="E4298" s="0" t="n">
        <f aca="false">-1+A4298*0.25</f>
        <v>0.25</v>
      </c>
      <c r="F4298" s="0" t="n">
        <f aca="false">-1+B4298*0.25</f>
        <v>1</v>
      </c>
      <c r="G4298" s="0" t="n">
        <f aca="false">-1+C4298*0.25</f>
        <v>-1</v>
      </c>
      <c r="H4298" s="0" t="n">
        <f aca="false">-1+D4298*0.25</f>
        <v>-1</v>
      </c>
      <c r="I4298" s="0" t="n">
        <f aca="false">1</f>
        <v>1</v>
      </c>
      <c r="J4298" s="0" t="n">
        <f aca="false">E4298</f>
        <v>0.25</v>
      </c>
      <c r="K4298" s="0" t="n">
        <f aca="false">F4298</f>
        <v>1</v>
      </c>
      <c r="L4298" s="0" t="n">
        <f aca="false">G4298</f>
        <v>-1</v>
      </c>
      <c r="M4298" s="0" t="n">
        <f aca="false">H4298</f>
        <v>-1</v>
      </c>
      <c r="N4298" s="0" t="n">
        <f aca="false">E4298*F4298</f>
        <v>0.25</v>
      </c>
      <c r="O4298" s="0" t="n">
        <f aca="false">E4298*G4298</f>
        <v>-0.25</v>
      </c>
      <c r="P4298" s="0" t="n">
        <f aca="false">E4298*H4298</f>
        <v>-0.25</v>
      </c>
      <c r="Q4298" s="0" t="n">
        <f aca="false">F4298*G4298</f>
        <v>-1</v>
      </c>
      <c r="R4298" s="0" t="n">
        <f aca="false">F4298*H4298</f>
        <v>-1</v>
      </c>
      <c r="S4298" s="0" t="n">
        <f aca="false">G4298*H4298</f>
        <v>1</v>
      </c>
      <c r="T4298" s="0" t="n">
        <f aca="false">E4298*E4298</f>
        <v>0.0625</v>
      </c>
      <c r="U4298" s="0" t="n">
        <f aca="false">F4298*F4298</f>
        <v>1</v>
      </c>
      <c r="V4298" s="0" t="n">
        <f aca="false">G4298*G4298</f>
        <v>1</v>
      </c>
      <c r="W4298" s="0" t="n">
        <f aca="false">H4298*H4298</f>
        <v>1</v>
      </c>
      <c r="X4298" s="0" t="n">
        <f aca="false">SUMPRODUCT(I4298:W4298,_XtX!$B$96:$P$96)</f>
        <v>45.906067251462</v>
      </c>
      <c r="Y4298" s="0" t="n">
        <f aca="false">SUMPRODUCT(MMULT(I4298:W4298,_XtX!$B$78:$P$92),I4298:W4298)</f>
        <v>0.737093384502924</v>
      </c>
      <c r="Z4298" s="0" t="n">
        <f aca="false">04_回帰ANOVA!$K$19*04_回帰ANOVA!$K$14*SQRT(1+Y4298)</f>
        <v>1.71794784853551</v>
      </c>
      <c r="AA4298" s="0" t="n">
        <f aca="false">X4298-Z4298</f>
        <v>44.1881194029265</v>
      </c>
      <c r="AB4298" s="0" t="n">
        <f aca="false">X4298+Z4298</f>
        <v>47.6240150999975</v>
      </c>
      <c r="AC4298" s="54" t="b">
        <f aca="false">AND(E4298&gt;=01_因子設定!$L$5-0.000000001,E4298&lt;=01_因子設定!$M$5+0.000000001,F4298&gt;=01_因子設定!$L$6-0.000000001,F4298&lt;=01_因子設定!$M$6+0.000000001,G4298&gt;=01_因子設定!$L$7-0.000000001,G4298&lt;=01_因子設定!$M$7+0.000000001,H4298&gt;=01_因子設定!$L$8-0.000000001,H4298&lt;=01_因子設定!$M$8+0.000000001,IF(01_因子設定!$B$20="Box-Behnken",E4298^2+F4298^2+G4298^2+H4298^2&lt;=2+0.000000001,TRUE()))</f>
        <v>1</v>
      </c>
      <c r="AD4298" s="55" t="n">
        <f aca="false">IF(AC4298,IF(01_因子設定!$B$13="最大化",AA4298-01_因子設定!$B$14,IF(01_因子設定!$B$13="最小化",01_因子設定!$B$15-AB4298,MIN(AA4298-01_因子設定!$B$14,01_因子設定!$B$15-AB4298))),-1E+030)</f>
        <v>-2.31188059707353</v>
      </c>
      <c r="AE4298" s="55" t="n">
        <f aca="false">IF(AC4298,IF(01_因子設定!$B$13="最大化",X4298,IF(01_因子設定!$B$13="最小化",-X4298,-ABS(X4298-01_因子設定!$B$16))),-1E+030)</f>
        <v>45.906067251462</v>
      </c>
      <c r="AF4298" s="55" t="n">
        <f aca="false">AD4298+ROW()*0.000000001</f>
        <v>-2.31187629907353</v>
      </c>
      <c r="AG4298" s="55" t="n">
        <f aca="false">AE4298+ROW()*0.000000001</f>
        <v>45.906071549462</v>
      </c>
    </row>
    <row r="4299" customFormat="false" ht="15" hidden="false" customHeight="false" outlineLevel="0" collapsed="false">
      <c r="A4299" s="0" t="n">
        <v>5</v>
      </c>
      <c r="B4299" s="0" t="n">
        <v>8</v>
      </c>
      <c r="C4299" s="0" t="n">
        <v>0</v>
      </c>
      <c r="D4299" s="0" t="n">
        <v>1</v>
      </c>
      <c r="E4299" s="0" t="n">
        <f aca="false">-1+A4299*0.25</f>
        <v>0.25</v>
      </c>
      <c r="F4299" s="0" t="n">
        <f aca="false">-1+B4299*0.25</f>
        <v>1</v>
      </c>
      <c r="G4299" s="0" t="n">
        <f aca="false">-1+C4299*0.25</f>
        <v>-1</v>
      </c>
      <c r="H4299" s="0" t="n">
        <f aca="false">-1+D4299*0.25</f>
        <v>-0.75</v>
      </c>
      <c r="I4299" s="0" t="n">
        <f aca="false">1</f>
        <v>1</v>
      </c>
      <c r="J4299" s="0" t="n">
        <f aca="false">E4299</f>
        <v>0.25</v>
      </c>
      <c r="K4299" s="0" t="n">
        <f aca="false">F4299</f>
        <v>1</v>
      </c>
      <c r="L4299" s="0" t="n">
        <f aca="false">G4299</f>
        <v>-1</v>
      </c>
      <c r="M4299" s="0" t="n">
        <f aca="false">H4299</f>
        <v>-0.75</v>
      </c>
      <c r="N4299" s="0" t="n">
        <f aca="false">E4299*F4299</f>
        <v>0.25</v>
      </c>
      <c r="O4299" s="0" t="n">
        <f aca="false">E4299*G4299</f>
        <v>-0.25</v>
      </c>
      <c r="P4299" s="0" t="n">
        <f aca="false">E4299*H4299</f>
        <v>-0.1875</v>
      </c>
      <c r="Q4299" s="0" t="n">
        <f aca="false">F4299*G4299</f>
        <v>-1</v>
      </c>
      <c r="R4299" s="0" t="n">
        <f aca="false">F4299*H4299</f>
        <v>-0.75</v>
      </c>
      <c r="S4299" s="0" t="n">
        <f aca="false">G4299*H4299</f>
        <v>0.75</v>
      </c>
      <c r="T4299" s="0" t="n">
        <f aca="false">E4299*E4299</f>
        <v>0.0625</v>
      </c>
      <c r="U4299" s="0" t="n">
        <f aca="false">F4299*F4299</f>
        <v>1</v>
      </c>
      <c r="V4299" s="0" t="n">
        <f aca="false">G4299*G4299</f>
        <v>1</v>
      </c>
      <c r="W4299" s="0" t="n">
        <f aca="false">H4299*H4299</f>
        <v>0.5625</v>
      </c>
      <c r="X4299" s="0" t="n">
        <f aca="false">SUMPRODUCT(I4299:W4299,_XtX!$B$96:$P$96)</f>
        <v>46.0575932017544</v>
      </c>
      <c r="Y4299" s="0" t="n">
        <f aca="false">SUMPRODUCT(MMULT(I4299:W4299,_XtX!$B$78:$P$92),I4299:W4299)</f>
        <v>0.621372155975877</v>
      </c>
      <c r="Z4299" s="0" t="n">
        <f aca="false">04_回帰ANOVA!$K$19*04_回帰ANOVA!$K$14*SQRT(1+Y4299)</f>
        <v>1.65973880499872</v>
      </c>
      <c r="AA4299" s="0" t="n">
        <f aca="false">X4299-Z4299</f>
        <v>44.3978543967556</v>
      </c>
      <c r="AB4299" s="0" t="n">
        <f aca="false">X4299+Z4299</f>
        <v>47.7173320067531</v>
      </c>
      <c r="AC4299" s="54" t="b">
        <f aca="false">AND(E4299&gt;=01_因子設定!$L$5-0.000000001,E4299&lt;=01_因子設定!$M$5+0.000000001,F4299&gt;=01_因子設定!$L$6-0.000000001,F4299&lt;=01_因子設定!$M$6+0.000000001,G4299&gt;=01_因子設定!$L$7-0.000000001,G4299&lt;=01_因子設定!$M$7+0.000000001,H4299&gt;=01_因子設定!$L$8-0.000000001,H4299&lt;=01_因子設定!$M$8+0.000000001,IF(01_因子設定!$B$20="Box-Behnken",E4299^2+F4299^2+G4299^2+H4299^2&lt;=2+0.000000001,TRUE()))</f>
        <v>1</v>
      </c>
      <c r="AD4299" s="55" t="n">
        <f aca="false">IF(AC4299,IF(01_因子設定!$B$13="最大化",AA4299-01_因子設定!$B$14,IF(01_因子設定!$B$13="最小化",01_因子設定!$B$15-AB4299,MIN(AA4299-01_因子設定!$B$14,01_因子設定!$B$15-AB4299))),-1E+030)</f>
        <v>-2.10214560324437</v>
      </c>
      <c r="AE4299" s="55" t="n">
        <f aca="false">IF(AC4299,IF(01_因子設定!$B$13="最大化",X4299,IF(01_因子設定!$B$13="最小化",-X4299,-ABS(X4299-01_因子設定!$B$16))),-1E+030)</f>
        <v>46.0575932017544</v>
      </c>
      <c r="AF4299" s="55" t="n">
        <f aca="false">AD4299+ROW()*0.000000001</f>
        <v>-2.10214130424437</v>
      </c>
      <c r="AG4299" s="55" t="n">
        <f aca="false">AE4299+ROW()*0.000000001</f>
        <v>46.0575975007544</v>
      </c>
    </row>
    <row r="4300" customFormat="false" ht="15" hidden="false" customHeight="false" outlineLevel="0" collapsed="false">
      <c r="A4300" s="0" t="n">
        <v>5</v>
      </c>
      <c r="B4300" s="0" t="n">
        <v>8</v>
      </c>
      <c r="C4300" s="0" t="n">
        <v>0</v>
      </c>
      <c r="D4300" s="0" t="n">
        <v>2</v>
      </c>
      <c r="E4300" s="0" t="n">
        <f aca="false">-1+A4300*0.25</f>
        <v>0.25</v>
      </c>
      <c r="F4300" s="0" t="n">
        <f aca="false">-1+B4300*0.25</f>
        <v>1</v>
      </c>
      <c r="G4300" s="0" t="n">
        <f aca="false">-1+C4300*0.25</f>
        <v>-1</v>
      </c>
      <c r="H4300" s="0" t="n">
        <f aca="false">-1+D4300*0.25</f>
        <v>-0.5</v>
      </c>
      <c r="I4300" s="0" t="n">
        <f aca="false">1</f>
        <v>1</v>
      </c>
      <c r="J4300" s="0" t="n">
        <f aca="false">E4300</f>
        <v>0.25</v>
      </c>
      <c r="K4300" s="0" t="n">
        <f aca="false">F4300</f>
        <v>1</v>
      </c>
      <c r="L4300" s="0" t="n">
        <f aca="false">G4300</f>
        <v>-1</v>
      </c>
      <c r="M4300" s="0" t="n">
        <f aca="false">H4300</f>
        <v>-0.5</v>
      </c>
      <c r="N4300" s="0" t="n">
        <f aca="false">E4300*F4300</f>
        <v>0.25</v>
      </c>
      <c r="O4300" s="0" t="n">
        <f aca="false">E4300*G4300</f>
        <v>-0.25</v>
      </c>
      <c r="P4300" s="0" t="n">
        <f aca="false">E4300*H4300</f>
        <v>-0.125</v>
      </c>
      <c r="Q4300" s="0" t="n">
        <f aca="false">F4300*G4300</f>
        <v>-1</v>
      </c>
      <c r="R4300" s="0" t="n">
        <f aca="false">F4300*H4300</f>
        <v>-0.5</v>
      </c>
      <c r="S4300" s="0" t="n">
        <f aca="false">G4300*H4300</f>
        <v>0.5</v>
      </c>
      <c r="T4300" s="0" t="n">
        <f aca="false">E4300*E4300</f>
        <v>0.0625</v>
      </c>
      <c r="U4300" s="0" t="n">
        <f aca="false">F4300*F4300</f>
        <v>1</v>
      </c>
      <c r="V4300" s="0" t="n">
        <f aca="false">G4300*G4300</f>
        <v>1</v>
      </c>
      <c r="W4300" s="0" t="n">
        <f aca="false">H4300*H4300</f>
        <v>0.25</v>
      </c>
      <c r="X4300" s="0" t="n">
        <f aca="false">SUMPRODUCT(I4300:W4300,_XtX!$B$96:$P$96)</f>
        <v>46.1613121345029</v>
      </c>
      <c r="Y4300" s="0" t="n">
        <f aca="false">SUMPRODUCT(MMULT(I4300:W4300,_XtX!$B$78:$P$92),I4300:W4300)</f>
        <v>0.629174661915205</v>
      </c>
      <c r="Z4300" s="0" t="n">
        <f aca="false">04_回帰ANOVA!$K$19*04_回帰ANOVA!$K$14*SQRT(1+Y4300)</f>
        <v>1.66372758058297</v>
      </c>
      <c r="AA4300" s="0" t="n">
        <f aca="false">X4300-Z4300</f>
        <v>44.4975845539199</v>
      </c>
      <c r="AB4300" s="0" t="n">
        <f aca="false">X4300+Z4300</f>
        <v>47.8250397150859</v>
      </c>
      <c r="AC4300" s="54" t="b">
        <f aca="false">AND(E4300&gt;=01_因子設定!$L$5-0.000000001,E4300&lt;=01_因子設定!$M$5+0.000000001,F4300&gt;=01_因子設定!$L$6-0.000000001,F4300&lt;=01_因子設定!$M$6+0.000000001,G4300&gt;=01_因子設定!$L$7-0.000000001,G4300&lt;=01_因子設定!$M$7+0.000000001,H4300&gt;=01_因子設定!$L$8-0.000000001,H4300&lt;=01_因子設定!$M$8+0.000000001,IF(01_因子設定!$B$20="Box-Behnken",E4300^2+F4300^2+G4300^2+H4300^2&lt;=2+0.000000001,TRUE()))</f>
        <v>1</v>
      </c>
      <c r="AD4300" s="55" t="n">
        <f aca="false">IF(AC4300,IF(01_因子設定!$B$13="最大化",AA4300-01_因子設定!$B$14,IF(01_因子設定!$B$13="最小化",01_因子設定!$B$15-AB4300,MIN(AA4300-01_因子設定!$B$14,01_因子設定!$B$15-AB4300))),-1E+030)</f>
        <v>-2.00241544608009</v>
      </c>
      <c r="AE4300" s="55" t="n">
        <f aca="false">IF(AC4300,IF(01_因子設定!$B$13="最大化",X4300,IF(01_因子設定!$B$13="最小化",-X4300,-ABS(X4300-01_因子設定!$B$16))),-1E+030)</f>
        <v>46.1613121345029</v>
      </c>
      <c r="AF4300" s="55" t="n">
        <f aca="false">AD4300+ROW()*0.000000001</f>
        <v>-2.00241114608009</v>
      </c>
      <c r="AG4300" s="55" t="n">
        <f aca="false">AE4300+ROW()*0.000000001</f>
        <v>46.1613164345029</v>
      </c>
    </row>
    <row r="4301" customFormat="false" ht="15" hidden="false" customHeight="false" outlineLevel="0" collapsed="false">
      <c r="A4301" s="0" t="n">
        <v>5</v>
      </c>
      <c r="B4301" s="0" t="n">
        <v>8</v>
      </c>
      <c r="C4301" s="0" t="n">
        <v>0</v>
      </c>
      <c r="D4301" s="0" t="n">
        <v>3</v>
      </c>
      <c r="E4301" s="0" t="n">
        <f aca="false">-1+A4301*0.25</f>
        <v>0.25</v>
      </c>
      <c r="F4301" s="0" t="n">
        <f aca="false">-1+B4301*0.25</f>
        <v>1</v>
      </c>
      <c r="G4301" s="0" t="n">
        <f aca="false">-1+C4301*0.25</f>
        <v>-1</v>
      </c>
      <c r="H4301" s="0" t="n">
        <f aca="false">-1+D4301*0.25</f>
        <v>-0.25</v>
      </c>
      <c r="I4301" s="0" t="n">
        <f aca="false">1</f>
        <v>1</v>
      </c>
      <c r="J4301" s="0" t="n">
        <f aca="false">E4301</f>
        <v>0.25</v>
      </c>
      <c r="K4301" s="0" t="n">
        <f aca="false">F4301</f>
        <v>1</v>
      </c>
      <c r="L4301" s="0" t="n">
        <f aca="false">G4301</f>
        <v>-1</v>
      </c>
      <c r="M4301" s="0" t="n">
        <f aca="false">H4301</f>
        <v>-0.25</v>
      </c>
      <c r="N4301" s="0" t="n">
        <f aca="false">E4301*F4301</f>
        <v>0.25</v>
      </c>
      <c r="O4301" s="0" t="n">
        <f aca="false">E4301*G4301</f>
        <v>-0.25</v>
      </c>
      <c r="P4301" s="0" t="n">
        <f aca="false">E4301*H4301</f>
        <v>-0.0625</v>
      </c>
      <c r="Q4301" s="0" t="n">
        <f aca="false">F4301*G4301</f>
        <v>-1</v>
      </c>
      <c r="R4301" s="0" t="n">
        <f aca="false">F4301*H4301</f>
        <v>-0.25</v>
      </c>
      <c r="S4301" s="0" t="n">
        <f aca="false">G4301*H4301</f>
        <v>0.25</v>
      </c>
      <c r="T4301" s="0" t="n">
        <f aca="false">E4301*E4301</f>
        <v>0.0625</v>
      </c>
      <c r="U4301" s="0" t="n">
        <f aca="false">F4301*F4301</f>
        <v>1</v>
      </c>
      <c r="V4301" s="0" t="n">
        <f aca="false">G4301*G4301</f>
        <v>1</v>
      </c>
      <c r="W4301" s="0" t="n">
        <f aca="false">H4301*H4301</f>
        <v>0.0625</v>
      </c>
      <c r="X4301" s="0" t="n">
        <f aca="false">SUMPRODUCT(I4301:W4301,_XtX!$B$96:$P$96)</f>
        <v>46.2172240497075</v>
      </c>
      <c r="Y4301" s="0" t="n">
        <f aca="false">SUMPRODUCT(MMULT(I4301:W4301,_XtX!$B$78:$P$92),I4301:W4301)</f>
        <v>0.670040376005117</v>
      </c>
      <c r="Z4301" s="0" t="n">
        <f aca="false">04_回帰ANOVA!$K$19*04_回帰ANOVA!$K$14*SQRT(1+Y4301)</f>
        <v>1.68446456039992</v>
      </c>
      <c r="AA4301" s="0" t="n">
        <f aca="false">X4301-Z4301</f>
        <v>44.5327594893076</v>
      </c>
      <c r="AB4301" s="0" t="n">
        <f aca="false">X4301+Z4301</f>
        <v>47.9016886101075</v>
      </c>
      <c r="AC4301" s="54" t="b">
        <f aca="false">AND(E4301&gt;=01_因子設定!$L$5-0.000000001,E4301&lt;=01_因子設定!$M$5+0.000000001,F4301&gt;=01_因子設定!$L$6-0.000000001,F4301&lt;=01_因子設定!$M$6+0.000000001,G4301&gt;=01_因子設定!$L$7-0.000000001,G4301&lt;=01_因子設定!$M$7+0.000000001,H4301&gt;=01_因子設定!$L$8-0.000000001,H4301&lt;=01_因子設定!$M$8+0.000000001,IF(01_因子設定!$B$20="Box-Behnken",E4301^2+F4301^2+G4301^2+H4301^2&lt;=2+0.000000001,TRUE()))</f>
        <v>1</v>
      </c>
      <c r="AD4301" s="55" t="n">
        <f aca="false">IF(AC4301,IF(01_因子設定!$B$13="最大化",AA4301-01_因子設定!$B$14,IF(01_因子設定!$B$13="最小化",01_因子設定!$B$15-AB4301,MIN(AA4301-01_因子設定!$B$14,01_因子設定!$B$15-AB4301))),-1E+030)</f>
        <v>-1.96724051069237</v>
      </c>
      <c r="AE4301" s="55" t="n">
        <f aca="false">IF(AC4301,IF(01_因子設定!$B$13="最大化",X4301,IF(01_因子設定!$B$13="最小化",-X4301,-ABS(X4301-01_因子設定!$B$16))),-1E+030)</f>
        <v>46.2172240497075</v>
      </c>
      <c r="AF4301" s="55" t="n">
        <f aca="false">AD4301+ROW()*0.000000001</f>
        <v>-1.96723620969237</v>
      </c>
      <c r="AG4301" s="55" t="n">
        <f aca="false">AE4301+ROW()*0.000000001</f>
        <v>46.2172283507075</v>
      </c>
    </row>
    <row r="4302" customFormat="false" ht="15" hidden="false" customHeight="false" outlineLevel="0" collapsed="false">
      <c r="A4302" s="0" t="n">
        <v>5</v>
      </c>
      <c r="B4302" s="0" t="n">
        <v>8</v>
      </c>
      <c r="C4302" s="0" t="n">
        <v>0</v>
      </c>
      <c r="D4302" s="0" t="n">
        <v>4</v>
      </c>
      <c r="E4302" s="0" t="n">
        <f aca="false">-1+A4302*0.25</f>
        <v>0.25</v>
      </c>
      <c r="F4302" s="0" t="n">
        <f aca="false">-1+B4302*0.25</f>
        <v>1</v>
      </c>
      <c r="G4302" s="0" t="n">
        <f aca="false">-1+C4302*0.25</f>
        <v>-1</v>
      </c>
      <c r="H4302" s="0" t="n">
        <f aca="false">-1+D4302*0.25</f>
        <v>0</v>
      </c>
      <c r="I4302" s="0" t="n">
        <f aca="false">1</f>
        <v>1</v>
      </c>
      <c r="J4302" s="0" t="n">
        <f aca="false">E4302</f>
        <v>0.25</v>
      </c>
      <c r="K4302" s="0" t="n">
        <f aca="false">F4302</f>
        <v>1</v>
      </c>
      <c r="L4302" s="0" t="n">
        <f aca="false">G4302</f>
        <v>-1</v>
      </c>
      <c r="M4302" s="0" t="n">
        <f aca="false">H4302</f>
        <v>0</v>
      </c>
      <c r="N4302" s="0" t="n">
        <f aca="false">E4302*F4302</f>
        <v>0.25</v>
      </c>
      <c r="O4302" s="0" t="n">
        <f aca="false">E4302*G4302</f>
        <v>-0.25</v>
      </c>
      <c r="P4302" s="0" t="n">
        <f aca="false">E4302*H4302</f>
        <v>0</v>
      </c>
      <c r="Q4302" s="0" t="n">
        <f aca="false">F4302*G4302</f>
        <v>-1</v>
      </c>
      <c r="R4302" s="0" t="n">
        <f aca="false">F4302*H4302</f>
        <v>0</v>
      </c>
      <c r="S4302" s="0" t="n">
        <f aca="false">G4302*H4302</f>
        <v>-0</v>
      </c>
      <c r="T4302" s="0" t="n">
        <f aca="false">E4302*E4302</f>
        <v>0.0625</v>
      </c>
      <c r="U4302" s="0" t="n">
        <f aca="false">F4302*F4302</f>
        <v>1</v>
      </c>
      <c r="V4302" s="0" t="n">
        <f aca="false">G4302*G4302</f>
        <v>1</v>
      </c>
      <c r="W4302" s="0" t="n">
        <f aca="false">H4302*H4302</f>
        <v>0</v>
      </c>
      <c r="X4302" s="0" t="n">
        <f aca="false">SUMPRODUCT(I4302:W4302,_XtX!$B$96:$P$96)</f>
        <v>46.2253289473684</v>
      </c>
      <c r="Y4302" s="0" t="n">
        <f aca="false">SUMPRODUCT(MMULT(I4302:W4302,_XtX!$B$78:$P$92),I4302:W4302)</f>
        <v>0.689692982456141</v>
      </c>
      <c r="Z4302" s="0" t="n">
        <f aca="false">04_回帰ANOVA!$K$19*04_回帰ANOVA!$K$14*SQRT(1+Y4302)</f>
        <v>1.69434674594998</v>
      </c>
      <c r="AA4302" s="0" t="n">
        <f aca="false">X4302-Z4302</f>
        <v>44.5309822014184</v>
      </c>
      <c r="AB4302" s="0" t="n">
        <f aca="false">X4302+Z4302</f>
        <v>47.9196756933184</v>
      </c>
      <c r="AC4302" s="54" t="b">
        <f aca="false">AND(E4302&gt;=01_因子設定!$L$5-0.000000001,E4302&lt;=01_因子設定!$M$5+0.000000001,F4302&gt;=01_因子設定!$L$6-0.000000001,F4302&lt;=01_因子設定!$M$6+0.000000001,G4302&gt;=01_因子設定!$L$7-0.000000001,G4302&lt;=01_因子設定!$M$7+0.000000001,H4302&gt;=01_因子設定!$L$8-0.000000001,H4302&lt;=01_因子設定!$M$8+0.000000001,IF(01_因子設定!$B$20="Box-Behnken",E4302^2+F4302^2+G4302^2+H4302^2&lt;=2+0.000000001,TRUE()))</f>
        <v>1</v>
      </c>
      <c r="AD4302" s="55" t="n">
        <f aca="false">IF(AC4302,IF(01_因子設定!$B$13="最大化",AA4302-01_因子設定!$B$14,IF(01_因子設定!$B$13="最小化",01_因子設定!$B$15-AB4302,MIN(AA4302-01_因子設定!$B$14,01_因子設定!$B$15-AB4302))),-1E+030)</f>
        <v>-1.96901779858162</v>
      </c>
      <c r="AE4302" s="55" t="n">
        <f aca="false">IF(AC4302,IF(01_因子設定!$B$13="最大化",X4302,IF(01_因子設定!$B$13="最小化",-X4302,-ABS(X4302-01_因子設定!$B$16))),-1E+030)</f>
        <v>46.2253289473684</v>
      </c>
      <c r="AF4302" s="55" t="n">
        <f aca="false">AD4302+ROW()*0.000000001</f>
        <v>-1.96901349658162</v>
      </c>
      <c r="AG4302" s="55" t="n">
        <f aca="false">AE4302+ROW()*0.000000001</f>
        <v>46.2253332493684</v>
      </c>
    </row>
    <row r="4303" customFormat="false" ht="15" hidden="false" customHeight="false" outlineLevel="0" collapsed="false">
      <c r="A4303" s="0" t="n">
        <v>5</v>
      </c>
      <c r="B4303" s="0" t="n">
        <v>8</v>
      </c>
      <c r="C4303" s="0" t="n">
        <v>0</v>
      </c>
      <c r="D4303" s="0" t="n">
        <v>5</v>
      </c>
      <c r="E4303" s="0" t="n">
        <f aca="false">-1+A4303*0.25</f>
        <v>0.25</v>
      </c>
      <c r="F4303" s="0" t="n">
        <f aca="false">-1+B4303*0.25</f>
        <v>1</v>
      </c>
      <c r="G4303" s="0" t="n">
        <f aca="false">-1+C4303*0.25</f>
        <v>-1</v>
      </c>
      <c r="H4303" s="0" t="n">
        <f aca="false">-1+D4303*0.25</f>
        <v>0.25</v>
      </c>
      <c r="I4303" s="0" t="n">
        <f aca="false">1</f>
        <v>1</v>
      </c>
      <c r="J4303" s="0" t="n">
        <f aca="false">E4303</f>
        <v>0.25</v>
      </c>
      <c r="K4303" s="0" t="n">
        <f aca="false">F4303</f>
        <v>1</v>
      </c>
      <c r="L4303" s="0" t="n">
        <f aca="false">G4303</f>
        <v>-1</v>
      </c>
      <c r="M4303" s="0" t="n">
        <f aca="false">H4303</f>
        <v>0.25</v>
      </c>
      <c r="N4303" s="0" t="n">
        <f aca="false">E4303*F4303</f>
        <v>0.25</v>
      </c>
      <c r="O4303" s="0" t="n">
        <f aca="false">E4303*G4303</f>
        <v>-0.25</v>
      </c>
      <c r="P4303" s="0" t="n">
        <f aca="false">E4303*H4303</f>
        <v>0.0625</v>
      </c>
      <c r="Q4303" s="0" t="n">
        <f aca="false">F4303*G4303</f>
        <v>-1</v>
      </c>
      <c r="R4303" s="0" t="n">
        <f aca="false">F4303*H4303</f>
        <v>0.25</v>
      </c>
      <c r="S4303" s="0" t="n">
        <f aca="false">G4303*H4303</f>
        <v>-0.25</v>
      </c>
      <c r="T4303" s="0" t="n">
        <f aca="false">E4303*E4303</f>
        <v>0.0625</v>
      </c>
      <c r="U4303" s="0" t="n">
        <f aca="false">F4303*F4303</f>
        <v>1</v>
      </c>
      <c r="V4303" s="0" t="n">
        <f aca="false">G4303*G4303</f>
        <v>1</v>
      </c>
      <c r="W4303" s="0" t="n">
        <f aca="false">H4303*H4303</f>
        <v>0.0625</v>
      </c>
      <c r="X4303" s="0" t="n">
        <f aca="false">SUMPRODUCT(I4303:W4303,_XtX!$B$96:$P$96)</f>
        <v>46.1856268274853</v>
      </c>
      <c r="Y4303" s="0" t="n">
        <f aca="false">SUMPRODUCT(MMULT(I4303:W4303,_XtX!$B$78:$P$92),I4303:W4303)</f>
        <v>0.670040376005117</v>
      </c>
      <c r="Z4303" s="0" t="n">
        <f aca="false">04_回帰ANOVA!$K$19*04_回帰ANOVA!$K$14*SQRT(1+Y4303)</f>
        <v>1.68446456039992</v>
      </c>
      <c r="AA4303" s="0" t="n">
        <f aca="false">X4303-Z4303</f>
        <v>44.5011622670854</v>
      </c>
      <c r="AB4303" s="0" t="n">
        <f aca="false">X4303+Z4303</f>
        <v>47.8700913878852</v>
      </c>
      <c r="AC4303" s="54" t="b">
        <f aca="false">AND(E4303&gt;=01_因子設定!$L$5-0.000000001,E4303&lt;=01_因子設定!$M$5+0.000000001,F4303&gt;=01_因子設定!$L$6-0.000000001,F4303&lt;=01_因子設定!$M$6+0.000000001,G4303&gt;=01_因子設定!$L$7-0.000000001,G4303&lt;=01_因子設定!$M$7+0.000000001,H4303&gt;=01_因子設定!$L$8-0.000000001,H4303&lt;=01_因子設定!$M$8+0.000000001,IF(01_因子設定!$B$20="Box-Behnken",E4303^2+F4303^2+G4303^2+H4303^2&lt;=2+0.000000001,TRUE()))</f>
        <v>1</v>
      </c>
      <c r="AD4303" s="55" t="n">
        <f aca="false">IF(AC4303,IF(01_因子設定!$B$13="最大化",AA4303-01_因子設定!$B$14,IF(01_因子設定!$B$13="最小化",01_因子設定!$B$15-AB4303,MIN(AA4303-01_因子設定!$B$14,01_因子設定!$B$15-AB4303))),-1E+030)</f>
        <v>-1.99883773291459</v>
      </c>
      <c r="AE4303" s="55" t="n">
        <f aca="false">IF(AC4303,IF(01_因子設定!$B$13="最大化",X4303,IF(01_因子設定!$B$13="最小化",-X4303,-ABS(X4303-01_因子設定!$B$16))),-1E+030)</f>
        <v>46.1856268274853</v>
      </c>
      <c r="AF4303" s="55" t="n">
        <f aca="false">AD4303+ROW()*0.000000001</f>
        <v>-1.99883342991459</v>
      </c>
      <c r="AG4303" s="55" t="n">
        <f aca="false">AE4303+ROW()*0.000000001</f>
        <v>46.1856311304853</v>
      </c>
    </row>
    <row r="4304" customFormat="false" ht="15" hidden="false" customHeight="false" outlineLevel="0" collapsed="false">
      <c r="A4304" s="0" t="n">
        <v>5</v>
      </c>
      <c r="B4304" s="0" t="n">
        <v>8</v>
      </c>
      <c r="C4304" s="0" t="n">
        <v>0</v>
      </c>
      <c r="D4304" s="0" t="n">
        <v>6</v>
      </c>
      <c r="E4304" s="0" t="n">
        <f aca="false">-1+A4304*0.25</f>
        <v>0.25</v>
      </c>
      <c r="F4304" s="0" t="n">
        <f aca="false">-1+B4304*0.25</f>
        <v>1</v>
      </c>
      <c r="G4304" s="0" t="n">
        <f aca="false">-1+C4304*0.25</f>
        <v>-1</v>
      </c>
      <c r="H4304" s="0" t="n">
        <f aca="false">-1+D4304*0.25</f>
        <v>0.5</v>
      </c>
      <c r="I4304" s="0" t="n">
        <f aca="false">1</f>
        <v>1</v>
      </c>
      <c r="J4304" s="0" t="n">
        <f aca="false">E4304</f>
        <v>0.25</v>
      </c>
      <c r="K4304" s="0" t="n">
        <f aca="false">F4304</f>
        <v>1</v>
      </c>
      <c r="L4304" s="0" t="n">
        <f aca="false">G4304</f>
        <v>-1</v>
      </c>
      <c r="M4304" s="0" t="n">
        <f aca="false">H4304</f>
        <v>0.5</v>
      </c>
      <c r="N4304" s="0" t="n">
        <f aca="false">E4304*F4304</f>
        <v>0.25</v>
      </c>
      <c r="O4304" s="0" t="n">
        <f aca="false">E4304*G4304</f>
        <v>-0.25</v>
      </c>
      <c r="P4304" s="0" t="n">
        <f aca="false">E4304*H4304</f>
        <v>0.125</v>
      </c>
      <c r="Q4304" s="0" t="n">
        <f aca="false">F4304*G4304</f>
        <v>-1</v>
      </c>
      <c r="R4304" s="0" t="n">
        <f aca="false">F4304*H4304</f>
        <v>0.5</v>
      </c>
      <c r="S4304" s="0" t="n">
        <f aca="false">G4304*H4304</f>
        <v>-0.5</v>
      </c>
      <c r="T4304" s="0" t="n">
        <f aca="false">E4304*E4304</f>
        <v>0.0625</v>
      </c>
      <c r="U4304" s="0" t="n">
        <f aca="false">F4304*F4304</f>
        <v>1</v>
      </c>
      <c r="V4304" s="0" t="n">
        <f aca="false">G4304*G4304</f>
        <v>1</v>
      </c>
      <c r="W4304" s="0" t="n">
        <f aca="false">H4304*H4304</f>
        <v>0.25</v>
      </c>
      <c r="X4304" s="0" t="n">
        <f aca="false">SUMPRODUCT(I4304:W4304,_XtX!$B$96:$P$96)</f>
        <v>46.0981176900584</v>
      </c>
      <c r="Y4304" s="0" t="n">
        <f aca="false">SUMPRODUCT(MMULT(I4304:W4304,_XtX!$B$78:$P$92),I4304:W4304)</f>
        <v>0.629174661915205</v>
      </c>
      <c r="Z4304" s="0" t="n">
        <f aca="false">04_回帰ANOVA!$K$19*04_回帰ANOVA!$K$14*SQRT(1+Y4304)</f>
        <v>1.66372758058297</v>
      </c>
      <c r="AA4304" s="0" t="n">
        <f aca="false">X4304-Z4304</f>
        <v>44.4343901094755</v>
      </c>
      <c r="AB4304" s="0" t="n">
        <f aca="false">X4304+Z4304</f>
        <v>47.7618452706414</v>
      </c>
      <c r="AC4304" s="54" t="b">
        <f aca="false">AND(E4304&gt;=01_因子設定!$L$5-0.000000001,E4304&lt;=01_因子設定!$M$5+0.000000001,F4304&gt;=01_因子設定!$L$6-0.000000001,F4304&lt;=01_因子設定!$M$6+0.000000001,G4304&gt;=01_因子設定!$L$7-0.000000001,G4304&lt;=01_因子設定!$M$7+0.000000001,H4304&gt;=01_因子設定!$L$8-0.000000001,H4304&lt;=01_因子設定!$M$8+0.000000001,IF(01_因子設定!$B$20="Box-Behnken",E4304^2+F4304^2+G4304^2+H4304^2&lt;=2+0.000000001,TRUE()))</f>
        <v>1</v>
      </c>
      <c r="AD4304" s="55" t="n">
        <f aca="false">IF(AC4304,IF(01_因子設定!$B$13="最大化",AA4304-01_因子設定!$B$14,IF(01_因子設定!$B$13="最小化",01_因子設定!$B$15-AB4304,MIN(AA4304-01_因子設定!$B$14,01_因子設定!$B$15-AB4304))),-1E+030)</f>
        <v>-2.06560989052454</v>
      </c>
      <c r="AE4304" s="55" t="n">
        <f aca="false">IF(AC4304,IF(01_因子設定!$B$13="最大化",X4304,IF(01_因子設定!$B$13="最小化",-X4304,-ABS(X4304-01_因子設定!$B$16))),-1E+030)</f>
        <v>46.0981176900584</v>
      </c>
      <c r="AF4304" s="55" t="n">
        <f aca="false">AD4304+ROW()*0.000000001</f>
        <v>-2.06560558652454</v>
      </c>
      <c r="AG4304" s="55" t="n">
        <f aca="false">AE4304+ROW()*0.000000001</f>
        <v>46.0981219940584</v>
      </c>
    </row>
    <row r="4305" customFormat="false" ht="15" hidden="false" customHeight="false" outlineLevel="0" collapsed="false">
      <c r="A4305" s="0" t="n">
        <v>5</v>
      </c>
      <c r="B4305" s="0" t="n">
        <v>8</v>
      </c>
      <c r="C4305" s="0" t="n">
        <v>0</v>
      </c>
      <c r="D4305" s="0" t="n">
        <v>7</v>
      </c>
      <c r="E4305" s="0" t="n">
        <f aca="false">-1+A4305*0.25</f>
        <v>0.25</v>
      </c>
      <c r="F4305" s="0" t="n">
        <f aca="false">-1+B4305*0.25</f>
        <v>1</v>
      </c>
      <c r="G4305" s="0" t="n">
        <f aca="false">-1+C4305*0.25</f>
        <v>-1</v>
      </c>
      <c r="H4305" s="0" t="n">
        <f aca="false">-1+D4305*0.25</f>
        <v>0.75</v>
      </c>
      <c r="I4305" s="0" t="n">
        <f aca="false">1</f>
        <v>1</v>
      </c>
      <c r="J4305" s="0" t="n">
        <f aca="false">E4305</f>
        <v>0.25</v>
      </c>
      <c r="K4305" s="0" t="n">
        <f aca="false">F4305</f>
        <v>1</v>
      </c>
      <c r="L4305" s="0" t="n">
        <f aca="false">G4305</f>
        <v>-1</v>
      </c>
      <c r="M4305" s="0" t="n">
        <f aca="false">H4305</f>
        <v>0.75</v>
      </c>
      <c r="N4305" s="0" t="n">
        <f aca="false">E4305*F4305</f>
        <v>0.25</v>
      </c>
      <c r="O4305" s="0" t="n">
        <f aca="false">E4305*G4305</f>
        <v>-0.25</v>
      </c>
      <c r="P4305" s="0" t="n">
        <f aca="false">E4305*H4305</f>
        <v>0.1875</v>
      </c>
      <c r="Q4305" s="0" t="n">
        <f aca="false">F4305*G4305</f>
        <v>-1</v>
      </c>
      <c r="R4305" s="0" t="n">
        <f aca="false">F4305*H4305</f>
        <v>0.75</v>
      </c>
      <c r="S4305" s="0" t="n">
        <f aca="false">G4305*H4305</f>
        <v>-0.75</v>
      </c>
      <c r="T4305" s="0" t="n">
        <f aca="false">E4305*E4305</f>
        <v>0.0625</v>
      </c>
      <c r="U4305" s="0" t="n">
        <f aca="false">F4305*F4305</f>
        <v>1</v>
      </c>
      <c r="V4305" s="0" t="n">
        <f aca="false">G4305*G4305</f>
        <v>1</v>
      </c>
      <c r="W4305" s="0" t="n">
        <f aca="false">H4305*H4305</f>
        <v>0.5625</v>
      </c>
      <c r="X4305" s="0" t="n">
        <f aca="false">SUMPRODUCT(I4305:W4305,_XtX!$B$96:$P$96)</f>
        <v>45.9628015350877</v>
      </c>
      <c r="Y4305" s="0" t="n">
        <f aca="false">SUMPRODUCT(MMULT(I4305:W4305,_XtX!$B$78:$P$92),I4305:W4305)</f>
        <v>0.621372155975877</v>
      </c>
      <c r="Z4305" s="0" t="n">
        <f aca="false">04_回帰ANOVA!$K$19*04_回帰ANOVA!$K$14*SQRT(1+Y4305)</f>
        <v>1.65973880499872</v>
      </c>
      <c r="AA4305" s="0" t="n">
        <f aca="false">X4305-Z4305</f>
        <v>44.303062730089</v>
      </c>
      <c r="AB4305" s="0" t="n">
        <f aca="false">X4305+Z4305</f>
        <v>47.6225403400864</v>
      </c>
      <c r="AC4305" s="54" t="b">
        <f aca="false">AND(E4305&gt;=01_因子設定!$L$5-0.000000001,E4305&lt;=01_因子設定!$M$5+0.000000001,F4305&gt;=01_因子設定!$L$6-0.000000001,F4305&lt;=01_因子設定!$M$6+0.000000001,G4305&gt;=01_因子設定!$L$7-0.000000001,G4305&lt;=01_因子設定!$M$7+0.000000001,H4305&gt;=01_因子設定!$L$8-0.000000001,H4305&lt;=01_因子設定!$M$8+0.000000001,IF(01_因子設定!$B$20="Box-Behnken",E4305^2+F4305^2+G4305^2+H4305^2&lt;=2+0.000000001,TRUE()))</f>
        <v>1</v>
      </c>
      <c r="AD4305" s="55" t="n">
        <f aca="false">IF(AC4305,IF(01_因子設定!$B$13="最大化",AA4305-01_因子設定!$B$14,IF(01_因子設定!$B$13="最小化",01_因子設定!$B$15-AB4305,MIN(AA4305-01_因子設定!$B$14,01_因子設定!$B$15-AB4305))),-1E+030)</f>
        <v>-2.19693726991103</v>
      </c>
      <c r="AE4305" s="55" t="n">
        <f aca="false">IF(AC4305,IF(01_因子設定!$B$13="最大化",X4305,IF(01_因子設定!$B$13="最小化",-X4305,-ABS(X4305-01_因子設定!$B$16))),-1E+030)</f>
        <v>45.9628015350877</v>
      </c>
      <c r="AF4305" s="55" t="n">
        <f aca="false">AD4305+ROW()*0.000000001</f>
        <v>-2.19693296491103</v>
      </c>
      <c r="AG4305" s="55" t="n">
        <f aca="false">AE4305+ROW()*0.000000001</f>
        <v>45.9628058400877</v>
      </c>
    </row>
    <row r="4306" customFormat="false" ht="15" hidden="false" customHeight="false" outlineLevel="0" collapsed="false">
      <c r="A4306" s="0" t="n">
        <v>5</v>
      </c>
      <c r="B4306" s="0" t="n">
        <v>8</v>
      </c>
      <c r="C4306" s="0" t="n">
        <v>0</v>
      </c>
      <c r="D4306" s="0" t="n">
        <v>8</v>
      </c>
      <c r="E4306" s="0" t="n">
        <f aca="false">-1+A4306*0.25</f>
        <v>0.25</v>
      </c>
      <c r="F4306" s="0" t="n">
        <f aca="false">-1+B4306*0.25</f>
        <v>1</v>
      </c>
      <c r="G4306" s="0" t="n">
        <f aca="false">-1+C4306*0.25</f>
        <v>-1</v>
      </c>
      <c r="H4306" s="0" t="n">
        <f aca="false">-1+D4306*0.25</f>
        <v>1</v>
      </c>
      <c r="I4306" s="0" t="n">
        <f aca="false">1</f>
        <v>1</v>
      </c>
      <c r="J4306" s="0" t="n">
        <f aca="false">E4306</f>
        <v>0.25</v>
      </c>
      <c r="K4306" s="0" t="n">
        <f aca="false">F4306</f>
        <v>1</v>
      </c>
      <c r="L4306" s="0" t="n">
        <f aca="false">G4306</f>
        <v>-1</v>
      </c>
      <c r="M4306" s="0" t="n">
        <f aca="false">H4306</f>
        <v>1</v>
      </c>
      <c r="N4306" s="0" t="n">
        <f aca="false">E4306*F4306</f>
        <v>0.25</v>
      </c>
      <c r="O4306" s="0" t="n">
        <f aca="false">E4306*G4306</f>
        <v>-0.25</v>
      </c>
      <c r="P4306" s="0" t="n">
        <f aca="false">E4306*H4306</f>
        <v>0.25</v>
      </c>
      <c r="Q4306" s="0" t="n">
        <f aca="false">F4306*G4306</f>
        <v>-1</v>
      </c>
      <c r="R4306" s="0" t="n">
        <f aca="false">F4306*H4306</f>
        <v>1</v>
      </c>
      <c r="S4306" s="0" t="n">
        <f aca="false">G4306*H4306</f>
        <v>-1</v>
      </c>
      <c r="T4306" s="0" t="n">
        <f aca="false">E4306*E4306</f>
        <v>0.0625</v>
      </c>
      <c r="U4306" s="0" t="n">
        <f aca="false">F4306*F4306</f>
        <v>1</v>
      </c>
      <c r="V4306" s="0" t="n">
        <f aca="false">G4306*G4306</f>
        <v>1</v>
      </c>
      <c r="W4306" s="0" t="n">
        <f aca="false">H4306*H4306</f>
        <v>1</v>
      </c>
      <c r="X4306" s="0" t="n">
        <f aca="false">SUMPRODUCT(I4306:W4306,_XtX!$B$96:$P$96)</f>
        <v>45.7796783625731</v>
      </c>
      <c r="Y4306" s="0" t="n">
        <f aca="false">SUMPRODUCT(MMULT(I4306:W4306,_XtX!$B$78:$P$92),I4306:W4306)</f>
        <v>0.737093384502924</v>
      </c>
      <c r="Z4306" s="0" t="n">
        <f aca="false">04_回帰ANOVA!$K$19*04_回帰ANOVA!$K$14*SQRT(1+Y4306)</f>
        <v>1.71794784853551</v>
      </c>
      <c r="AA4306" s="0" t="n">
        <f aca="false">X4306-Z4306</f>
        <v>44.0617305140376</v>
      </c>
      <c r="AB4306" s="0" t="n">
        <f aca="false">X4306+Z4306</f>
        <v>47.4976262111086</v>
      </c>
      <c r="AC4306" s="54" t="b">
        <f aca="false">AND(E4306&gt;=01_因子設定!$L$5-0.000000001,E4306&lt;=01_因子設定!$M$5+0.000000001,F4306&gt;=01_因子設定!$L$6-0.000000001,F4306&lt;=01_因子設定!$M$6+0.000000001,G4306&gt;=01_因子設定!$L$7-0.000000001,G4306&lt;=01_因子設定!$M$7+0.000000001,H4306&gt;=01_因子設定!$L$8-0.000000001,H4306&lt;=01_因子設定!$M$8+0.000000001,IF(01_因子設定!$B$20="Box-Behnken",E4306^2+F4306^2+G4306^2+H4306^2&lt;=2+0.000000001,TRUE()))</f>
        <v>1</v>
      </c>
      <c r="AD4306" s="55" t="n">
        <f aca="false">IF(AC4306,IF(01_因子設定!$B$13="最大化",AA4306-01_因子設定!$B$14,IF(01_因子設定!$B$13="最小化",01_因子設定!$B$15-AB4306,MIN(AA4306-01_因子設定!$B$14,01_因子設定!$B$15-AB4306))),-1E+030)</f>
        <v>-2.43826948596242</v>
      </c>
      <c r="AE4306" s="55" t="n">
        <f aca="false">IF(AC4306,IF(01_因子設定!$B$13="最大化",X4306,IF(01_因子設定!$B$13="最小化",-X4306,-ABS(X4306-01_因子設定!$B$16))),-1E+030)</f>
        <v>45.7796783625731</v>
      </c>
      <c r="AF4306" s="55" t="n">
        <f aca="false">AD4306+ROW()*0.000000001</f>
        <v>-2.43826517996242</v>
      </c>
      <c r="AG4306" s="55" t="n">
        <f aca="false">AE4306+ROW()*0.000000001</f>
        <v>45.7796826685731</v>
      </c>
    </row>
    <row r="4307" customFormat="false" ht="15" hidden="false" customHeight="false" outlineLevel="0" collapsed="false">
      <c r="A4307" s="0" t="n">
        <v>5</v>
      </c>
      <c r="B4307" s="0" t="n">
        <v>8</v>
      </c>
      <c r="C4307" s="0" t="n">
        <v>1</v>
      </c>
      <c r="D4307" s="0" t="n">
        <v>0</v>
      </c>
      <c r="E4307" s="0" t="n">
        <f aca="false">-1+A4307*0.25</f>
        <v>0.25</v>
      </c>
      <c r="F4307" s="0" t="n">
        <f aca="false">-1+B4307*0.25</f>
        <v>1</v>
      </c>
      <c r="G4307" s="0" t="n">
        <f aca="false">-1+C4307*0.25</f>
        <v>-0.75</v>
      </c>
      <c r="H4307" s="0" t="n">
        <f aca="false">-1+D4307*0.25</f>
        <v>-1</v>
      </c>
      <c r="I4307" s="0" t="n">
        <f aca="false">1</f>
        <v>1</v>
      </c>
      <c r="J4307" s="0" t="n">
        <f aca="false">E4307</f>
        <v>0.25</v>
      </c>
      <c r="K4307" s="0" t="n">
        <f aca="false">F4307</f>
        <v>1</v>
      </c>
      <c r="L4307" s="0" t="n">
        <f aca="false">G4307</f>
        <v>-0.75</v>
      </c>
      <c r="M4307" s="0" t="n">
        <f aca="false">H4307</f>
        <v>-1</v>
      </c>
      <c r="N4307" s="0" t="n">
        <f aca="false">E4307*F4307</f>
        <v>0.25</v>
      </c>
      <c r="O4307" s="0" t="n">
        <f aca="false">E4307*G4307</f>
        <v>-0.1875</v>
      </c>
      <c r="P4307" s="0" t="n">
        <f aca="false">E4307*H4307</f>
        <v>-0.25</v>
      </c>
      <c r="Q4307" s="0" t="n">
        <f aca="false">F4307*G4307</f>
        <v>-0.75</v>
      </c>
      <c r="R4307" s="0" t="n">
        <f aca="false">F4307*H4307</f>
        <v>-1</v>
      </c>
      <c r="S4307" s="0" t="n">
        <f aca="false">G4307*H4307</f>
        <v>0.75</v>
      </c>
      <c r="T4307" s="0" t="n">
        <f aca="false">E4307*E4307</f>
        <v>0.0625</v>
      </c>
      <c r="U4307" s="0" t="n">
        <f aca="false">F4307*F4307</f>
        <v>1</v>
      </c>
      <c r="V4307" s="0" t="n">
        <f aca="false">G4307*G4307</f>
        <v>0.5625</v>
      </c>
      <c r="W4307" s="0" t="n">
        <f aca="false">H4307*H4307</f>
        <v>1</v>
      </c>
      <c r="X4307" s="0" t="n">
        <f aca="false">SUMPRODUCT(I4307:W4307,_XtX!$B$96:$P$96)</f>
        <v>46.4161001461988</v>
      </c>
      <c r="Y4307" s="0" t="n">
        <f aca="false">SUMPRODUCT(MMULT(I4307:W4307,_XtX!$B$78:$P$92),I4307:W4307)</f>
        <v>0.621372155975877</v>
      </c>
      <c r="Z4307" s="0" t="n">
        <f aca="false">04_回帰ANOVA!$K$19*04_回帰ANOVA!$K$14*SQRT(1+Y4307)</f>
        <v>1.65973880499872</v>
      </c>
      <c r="AA4307" s="0" t="n">
        <f aca="false">X4307-Z4307</f>
        <v>44.7563613412001</v>
      </c>
      <c r="AB4307" s="0" t="n">
        <f aca="false">X4307+Z4307</f>
        <v>48.0758389511975</v>
      </c>
      <c r="AC4307" s="54" t="b">
        <f aca="false">AND(E4307&gt;=01_因子設定!$L$5-0.000000001,E4307&lt;=01_因子設定!$M$5+0.000000001,F4307&gt;=01_因子設定!$L$6-0.000000001,F4307&lt;=01_因子設定!$M$6+0.000000001,G4307&gt;=01_因子設定!$L$7-0.000000001,G4307&lt;=01_因子設定!$M$7+0.000000001,H4307&gt;=01_因子設定!$L$8-0.000000001,H4307&lt;=01_因子設定!$M$8+0.000000001,IF(01_因子設定!$B$20="Box-Behnken",E4307^2+F4307^2+G4307^2+H4307^2&lt;=2+0.000000001,TRUE()))</f>
        <v>1</v>
      </c>
      <c r="AD4307" s="55" t="n">
        <f aca="false">IF(AC4307,IF(01_因子設定!$B$13="最大化",AA4307-01_因子設定!$B$14,IF(01_因子設定!$B$13="最小化",01_因子設定!$B$15-AB4307,MIN(AA4307-01_因子設定!$B$14,01_因子設定!$B$15-AB4307))),-1E+030)</f>
        <v>-1.74363865879991</v>
      </c>
      <c r="AE4307" s="55" t="n">
        <f aca="false">IF(AC4307,IF(01_因子設定!$B$13="最大化",X4307,IF(01_因子設定!$B$13="最小化",-X4307,-ABS(X4307-01_因子設定!$B$16))),-1E+030)</f>
        <v>46.4161001461988</v>
      </c>
      <c r="AF4307" s="55" t="n">
        <f aca="false">AD4307+ROW()*0.000000001</f>
        <v>-1.74363435179991</v>
      </c>
      <c r="AG4307" s="55" t="n">
        <f aca="false">AE4307+ROW()*0.000000001</f>
        <v>46.4161044531988</v>
      </c>
    </row>
    <row r="4308" customFormat="false" ht="15" hidden="false" customHeight="false" outlineLevel="0" collapsed="false">
      <c r="A4308" s="0" t="n">
        <v>5</v>
      </c>
      <c r="B4308" s="0" t="n">
        <v>8</v>
      </c>
      <c r="C4308" s="0" t="n">
        <v>1</v>
      </c>
      <c r="D4308" s="0" t="n">
        <v>1</v>
      </c>
      <c r="E4308" s="0" t="n">
        <f aca="false">-1+A4308*0.25</f>
        <v>0.25</v>
      </c>
      <c r="F4308" s="0" t="n">
        <f aca="false">-1+B4308*0.25</f>
        <v>1</v>
      </c>
      <c r="G4308" s="0" t="n">
        <f aca="false">-1+C4308*0.25</f>
        <v>-0.75</v>
      </c>
      <c r="H4308" s="0" t="n">
        <f aca="false">-1+D4308*0.25</f>
        <v>-0.75</v>
      </c>
      <c r="I4308" s="0" t="n">
        <f aca="false">1</f>
        <v>1</v>
      </c>
      <c r="J4308" s="0" t="n">
        <f aca="false">E4308</f>
        <v>0.25</v>
      </c>
      <c r="K4308" s="0" t="n">
        <f aca="false">F4308</f>
        <v>1</v>
      </c>
      <c r="L4308" s="0" t="n">
        <f aca="false">G4308</f>
        <v>-0.75</v>
      </c>
      <c r="M4308" s="0" t="n">
        <f aca="false">H4308</f>
        <v>-0.75</v>
      </c>
      <c r="N4308" s="0" t="n">
        <f aca="false">E4308*F4308</f>
        <v>0.25</v>
      </c>
      <c r="O4308" s="0" t="n">
        <f aca="false">E4308*G4308</f>
        <v>-0.1875</v>
      </c>
      <c r="P4308" s="0" t="n">
        <f aca="false">E4308*H4308</f>
        <v>-0.1875</v>
      </c>
      <c r="Q4308" s="0" t="n">
        <f aca="false">F4308*G4308</f>
        <v>-0.75</v>
      </c>
      <c r="R4308" s="0" t="n">
        <f aca="false">F4308*H4308</f>
        <v>-0.75</v>
      </c>
      <c r="S4308" s="0" t="n">
        <f aca="false">G4308*H4308</f>
        <v>0.5625</v>
      </c>
      <c r="T4308" s="0" t="n">
        <f aca="false">E4308*E4308</f>
        <v>0.0625</v>
      </c>
      <c r="U4308" s="0" t="n">
        <f aca="false">F4308*F4308</f>
        <v>1</v>
      </c>
      <c r="V4308" s="0" t="n">
        <f aca="false">G4308*G4308</f>
        <v>0.5625</v>
      </c>
      <c r="W4308" s="0" t="n">
        <f aca="false">H4308*H4308</f>
        <v>0.5625</v>
      </c>
      <c r="X4308" s="0" t="n">
        <f aca="false">SUMPRODUCT(I4308:W4308,_XtX!$B$96:$P$96)</f>
        <v>46.5855948464912</v>
      </c>
      <c r="Y4308" s="0" t="n">
        <f aca="false">SUMPRODUCT(MMULT(I4308:W4308,_XtX!$B$78:$P$92),I4308:W4308)</f>
        <v>0.473959761056287</v>
      </c>
      <c r="Z4308" s="0" t="n">
        <f aca="false">04_回帰ANOVA!$K$19*04_回帰ANOVA!$K$14*SQRT(1+Y4308)</f>
        <v>1.58249084588329</v>
      </c>
      <c r="AA4308" s="0" t="n">
        <f aca="false">X4308-Z4308</f>
        <v>45.0031040006079</v>
      </c>
      <c r="AB4308" s="0" t="n">
        <f aca="false">X4308+Z4308</f>
        <v>48.1680856923745</v>
      </c>
      <c r="AC4308" s="54" t="b">
        <f aca="false">AND(E4308&gt;=01_因子設定!$L$5-0.000000001,E4308&lt;=01_因子設定!$M$5+0.000000001,F4308&gt;=01_因子設定!$L$6-0.000000001,F4308&lt;=01_因子設定!$M$6+0.000000001,G4308&gt;=01_因子設定!$L$7-0.000000001,G4308&lt;=01_因子設定!$M$7+0.000000001,H4308&gt;=01_因子設定!$L$8-0.000000001,H4308&lt;=01_因子設定!$M$8+0.000000001,IF(01_因子設定!$B$20="Box-Behnken",E4308^2+F4308^2+G4308^2+H4308^2&lt;=2+0.000000001,TRUE()))</f>
        <v>1</v>
      </c>
      <c r="AD4308" s="55" t="n">
        <f aca="false">IF(AC4308,IF(01_因子設定!$B$13="最大化",AA4308-01_因子設定!$B$14,IF(01_因子設定!$B$13="最小化",01_因子設定!$B$15-AB4308,MIN(AA4308-01_因子設定!$B$14,01_因子設定!$B$15-AB4308))),-1E+030)</f>
        <v>-1.49689599939209</v>
      </c>
      <c r="AE4308" s="55" t="n">
        <f aca="false">IF(AC4308,IF(01_因子設定!$B$13="最大化",X4308,IF(01_因子設定!$B$13="最小化",-X4308,-ABS(X4308-01_因子設定!$B$16))),-1E+030)</f>
        <v>46.5855948464912</v>
      </c>
      <c r="AF4308" s="55" t="n">
        <f aca="false">AD4308+ROW()*0.000000001</f>
        <v>-1.49689169139209</v>
      </c>
      <c r="AG4308" s="55" t="n">
        <f aca="false">AE4308+ROW()*0.000000001</f>
        <v>46.5855991544912</v>
      </c>
    </row>
    <row r="4309" customFormat="false" ht="15" hidden="false" customHeight="false" outlineLevel="0" collapsed="false">
      <c r="A4309" s="0" t="n">
        <v>5</v>
      </c>
      <c r="B4309" s="0" t="n">
        <v>8</v>
      </c>
      <c r="C4309" s="0" t="n">
        <v>1</v>
      </c>
      <c r="D4309" s="0" t="n">
        <v>2</v>
      </c>
      <c r="E4309" s="0" t="n">
        <f aca="false">-1+A4309*0.25</f>
        <v>0.25</v>
      </c>
      <c r="F4309" s="0" t="n">
        <f aca="false">-1+B4309*0.25</f>
        <v>1</v>
      </c>
      <c r="G4309" s="0" t="n">
        <f aca="false">-1+C4309*0.25</f>
        <v>-0.75</v>
      </c>
      <c r="H4309" s="0" t="n">
        <f aca="false">-1+D4309*0.25</f>
        <v>-0.5</v>
      </c>
      <c r="I4309" s="0" t="n">
        <f aca="false">1</f>
        <v>1</v>
      </c>
      <c r="J4309" s="0" t="n">
        <f aca="false">E4309</f>
        <v>0.25</v>
      </c>
      <c r="K4309" s="0" t="n">
        <f aca="false">F4309</f>
        <v>1</v>
      </c>
      <c r="L4309" s="0" t="n">
        <f aca="false">G4309</f>
        <v>-0.75</v>
      </c>
      <c r="M4309" s="0" t="n">
        <f aca="false">H4309</f>
        <v>-0.5</v>
      </c>
      <c r="N4309" s="0" t="n">
        <f aca="false">E4309*F4309</f>
        <v>0.25</v>
      </c>
      <c r="O4309" s="0" t="n">
        <f aca="false">E4309*G4309</f>
        <v>-0.1875</v>
      </c>
      <c r="P4309" s="0" t="n">
        <f aca="false">E4309*H4309</f>
        <v>-0.125</v>
      </c>
      <c r="Q4309" s="0" t="n">
        <f aca="false">F4309*G4309</f>
        <v>-0.75</v>
      </c>
      <c r="R4309" s="0" t="n">
        <f aca="false">F4309*H4309</f>
        <v>-0.5</v>
      </c>
      <c r="S4309" s="0" t="n">
        <f aca="false">G4309*H4309</f>
        <v>0.375</v>
      </c>
      <c r="T4309" s="0" t="n">
        <f aca="false">E4309*E4309</f>
        <v>0.0625</v>
      </c>
      <c r="U4309" s="0" t="n">
        <f aca="false">F4309*F4309</f>
        <v>1</v>
      </c>
      <c r="V4309" s="0" t="n">
        <f aca="false">G4309*G4309</f>
        <v>0.5625</v>
      </c>
      <c r="W4309" s="0" t="n">
        <f aca="false">H4309*H4309</f>
        <v>0.25</v>
      </c>
      <c r="X4309" s="0" t="n">
        <f aca="false">SUMPRODUCT(I4309:W4309,_XtX!$B$96:$P$96)</f>
        <v>46.7072825292397</v>
      </c>
      <c r="Y4309" s="0" t="n">
        <f aca="false">SUMPRODUCT(MMULT(I4309:W4309,_XtX!$B$78:$P$92),I4309:W4309)</f>
        <v>0.459125719572369</v>
      </c>
      <c r="Z4309" s="0" t="n">
        <f aca="false">04_回帰ANOVA!$K$19*04_回帰ANOVA!$K$14*SQRT(1+Y4309)</f>
        <v>1.57450755575573</v>
      </c>
      <c r="AA4309" s="0" t="n">
        <f aca="false">X4309-Z4309</f>
        <v>45.132774973484</v>
      </c>
      <c r="AB4309" s="0" t="n">
        <f aca="false">X4309+Z4309</f>
        <v>48.2817900849955</v>
      </c>
      <c r="AC4309" s="54" t="b">
        <f aca="false">AND(E4309&gt;=01_因子設定!$L$5-0.000000001,E4309&lt;=01_因子設定!$M$5+0.000000001,F4309&gt;=01_因子設定!$L$6-0.000000001,F4309&lt;=01_因子設定!$M$6+0.000000001,G4309&gt;=01_因子設定!$L$7-0.000000001,G4309&lt;=01_因子設定!$M$7+0.000000001,H4309&gt;=01_因子設定!$L$8-0.000000001,H4309&lt;=01_因子設定!$M$8+0.000000001,IF(01_因子設定!$B$20="Box-Behnken",E4309^2+F4309^2+G4309^2+H4309^2&lt;=2+0.000000001,TRUE()))</f>
        <v>1</v>
      </c>
      <c r="AD4309" s="55" t="n">
        <f aca="false">IF(AC4309,IF(01_因子設定!$B$13="最大化",AA4309-01_因子設定!$B$14,IF(01_因子設定!$B$13="最小化",01_因子設定!$B$15-AB4309,MIN(AA4309-01_因子設定!$B$14,01_因子設定!$B$15-AB4309))),-1E+030)</f>
        <v>-1.36722502651601</v>
      </c>
      <c r="AE4309" s="55" t="n">
        <f aca="false">IF(AC4309,IF(01_因子設定!$B$13="最大化",X4309,IF(01_因子設定!$B$13="最小化",-X4309,-ABS(X4309-01_因子設定!$B$16))),-1E+030)</f>
        <v>46.7072825292397</v>
      </c>
      <c r="AF4309" s="55" t="n">
        <f aca="false">AD4309+ROW()*0.000000001</f>
        <v>-1.36722071751601</v>
      </c>
      <c r="AG4309" s="55" t="n">
        <f aca="false">AE4309+ROW()*0.000000001</f>
        <v>46.7072868382397</v>
      </c>
    </row>
    <row r="4310" customFormat="false" ht="15" hidden="false" customHeight="false" outlineLevel="0" collapsed="false">
      <c r="A4310" s="0" t="n">
        <v>5</v>
      </c>
      <c r="B4310" s="0" t="n">
        <v>8</v>
      </c>
      <c r="C4310" s="0" t="n">
        <v>1</v>
      </c>
      <c r="D4310" s="0" t="n">
        <v>3</v>
      </c>
      <c r="E4310" s="0" t="n">
        <f aca="false">-1+A4310*0.25</f>
        <v>0.25</v>
      </c>
      <c r="F4310" s="0" t="n">
        <f aca="false">-1+B4310*0.25</f>
        <v>1</v>
      </c>
      <c r="G4310" s="0" t="n">
        <f aca="false">-1+C4310*0.25</f>
        <v>-0.75</v>
      </c>
      <c r="H4310" s="0" t="n">
        <f aca="false">-1+D4310*0.25</f>
        <v>-0.25</v>
      </c>
      <c r="I4310" s="0" t="n">
        <f aca="false">1</f>
        <v>1</v>
      </c>
      <c r="J4310" s="0" t="n">
        <f aca="false">E4310</f>
        <v>0.25</v>
      </c>
      <c r="K4310" s="0" t="n">
        <f aca="false">F4310</f>
        <v>1</v>
      </c>
      <c r="L4310" s="0" t="n">
        <f aca="false">G4310</f>
        <v>-0.75</v>
      </c>
      <c r="M4310" s="0" t="n">
        <f aca="false">H4310</f>
        <v>-0.25</v>
      </c>
      <c r="N4310" s="0" t="n">
        <f aca="false">E4310*F4310</f>
        <v>0.25</v>
      </c>
      <c r="O4310" s="0" t="n">
        <f aca="false">E4310*G4310</f>
        <v>-0.1875</v>
      </c>
      <c r="P4310" s="0" t="n">
        <f aca="false">E4310*H4310</f>
        <v>-0.0625</v>
      </c>
      <c r="Q4310" s="0" t="n">
        <f aca="false">F4310*G4310</f>
        <v>-0.75</v>
      </c>
      <c r="R4310" s="0" t="n">
        <f aca="false">F4310*H4310</f>
        <v>-0.25</v>
      </c>
      <c r="S4310" s="0" t="n">
        <f aca="false">G4310*H4310</f>
        <v>0.1875</v>
      </c>
      <c r="T4310" s="0" t="n">
        <f aca="false">E4310*E4310</f>
        <v>0.0625</v>
      </c>
      <c r="U4310" s="0" t="n">
        <f aca="false">F4310*F4310</f>
        <v>1</v>
      </c>
      <c r="V4310" s="0" t="n">
        <f aca="false">G4310*G4310</f>
        <v>0.5625</v>
      </c>
      <c r="W4310" s="0" t="n">
        <f aca="false">H4310*H4310</f>
        <v>0.0625</v>
      </c>
      <c r="X4310" s="0" t="n">
        <f aca="false">SUMPRODUCT(I4310:W4310,_XtX!$B$96:$P$96)</f>
        <v>46.7811631944444</v>
      </c>
      <c r="Y4310" s="0" t="n">
        <f aca="false">SUMPRODUCT(MMULT(I4310:W4310,_XtX!$B$78:$P$92),I4310:W4310)</f>
        <v>0.486409505208334</v>
      </c>
      <c r="Z4310" s="0" t="n">
        <f aca="false">04_回帰ANOVA!$K$19*04_回帰ANOVA!$K$14*SQRT(1+Y4310)</f>
        <v>1.58916001665498</v>
      </c>
      <c r="AA4310" s="0" t="n">
        <f aca="false">X4310-Z4310</f>
        <v>45.1920031777894</v>
      </c>
      <c r="AB4310" s="0" t="n">
        <f aca="false">X4310+Z4310</f>
        <v>48.3703232110994</v>
      </c>
      <c r="AC4310" s="54" t="b">
        <f aca="false">AND(E4310&gt;=01_因子設定!$L$5-0.000000001,E4310&lt;=01_因子設定!$M$5+0.000000001,F4310&gt;=01_因子設定!$L$6-0.000000001,F4310&lt;=01_因子設定!$M$6+0.000000001,G4310&gt;=01_因子設定!$L$7-0.000000001,G4310&lt;=01_因子設定!$M$7+0.000000001,H4310&gt;=01_因子設定!$L$8-0.000000001,H4310&lt;=01_因子設定!$M$8+0.000000001,IF(01_因子設定!$B$20="Box-Behnken",E4310^2+F4310^2+G4310^2+H4310^2&lt;=2+0.000000001,TRUE()))</f>
        <v>1</v>
      </c>
      <c r="AD4310" s="55" t="n">
        <f aca="false">IF(AC4310,IF(01_因子設定!$B$13="最大化",AA4310-01_因子設定!$B$14,IF(01_因子設定!$B$13="最小化",01_因子設定!$B$15-AB4310,MIN(AA4310-01_因子設定!$B$14,01_因子設定!$B$15-AB4310))),-1E+030)</f>
        <v>-1.30799682221059</v>
      </c>
      <c r="AE4310" s="55" t="n">
        <f aca="false">IF(AC4310,IF(01_因子設定!$B$13="最大化",X4310,IF(01_因子設定!$B$13="最小化",-X4310,-ABS(X4310-01_因子設定!$B$16))),-1E+030)</f>
        <v>46.7811631944444</v>
      </c>
      <c r="AF4310" s="55" t="n">
        <f aca="false">AD4310+ROW()*0.000000001</f>
        <v>-1.30799251221059</v>
      </c>
      <c r="AG4310" s="55" t="n">
        <f aca="false">AE4310+ROW()*0.000000001</f>
        <v>46.7811675044444</v>
      </c>
    </row>
    <row r="4311" customFormat="false" ht="15" hidden="false" customHeight="false" outlineLevel="0" collapsed="false">
      <c r="A4311" s="0" t="n">
        <v>5</v>
      </c>
      <c r="B4311" s="0" t="n">
        <v>8</v>
      </c>
      <c r="C4311" s="0" t="n">
        <v>1</v>
      </c>
      <c r="D4311" s="0" t="n">
        <v>4</v>
      </c>
      <c r="E4311" s="0" t="n">
        <f aca="false">-1+A4311*0.25</f>
        <v>0.25</v>
      </c>
      <c r="F4311" s="0" t="n">
        <f aca="false">-1+B4311*0.25</f>
        <v>1</v>
      </c>
      <c r="G4311" s="0" t="n">
        <f aca="false">-1+C4311*0.25</f>
        <v>-0.75</v>
      </c>
      <c r="H4311" s="0" t="n">
        <f aca="false">-1+D4311*0.25</f>
        <v>0</v>
      </c>
      <c r="I4311" s="0" t="n">
        <f aca="false">1</f>
        <v>1</v>
      </c>
      <c r="J4311" s="0" t="n">
        <f aca="false">E4311</f>
        <v>0.25</v>
      </c>
      <c r="K4311" s="0" t="n">
        <f aca="false">F4311</f>
        <v>1</v>
      </c>
      <c r="L4311" s="0" t="n">
        <f aca="false">G4311</f>
        <v>-0.75</v>
      </c>
      <c r="M4311" s="0" t="n">
        <f aca="false">H4311</f>
        <v>0</v>
      </c>
      <c r="N4311" s="0" t="n">
        <f aca="false">E4311*F4311</f>
        <v>0.25</v>
      </c>
      <c r="O4311" s="0" t="n">
        <f aca="false">E4311*G4311</f>
        <v>-0.1875</v>
      </c>
      <c r="P4311" s="0" t="n">
        <f aca="false">E4311*H4311</f>
        <v>0</v>
      </c>
      <c r="Q4311" s="0" t="n">
        <f aca="false">F4311*G4311</f>
        <v>-0.75</v>
      </c>
      <c r="R4311" s="0" t="n">
        <f aca="false">F4311*H4311</f>
        <v>0</v>
      </c>
      <c r="S4311" s="0" t="n">
        <f aca="false">G4311*H4311</f>
        <v>-0</v>
      </c>
      <c r="T4311" s="0" t="n">
        <f aca="false">E4311*E4311</f>
        <v>0.0625</v>
      </c>
      <c r="U4311" s="0" t="n">
        <f aca="false">F4311*F4311</f>
        <v>1</v>
      </c>
      <c r="V4311" s="0" t="n">
        <f aca="false">G4311*G4311</f>
        <v>0.5625</v>
      </c>
      <c r="W4311" s="0" t="n">
        <f aca="false">H4311*H4311</f>
        <v>0</v>
      </c>
      <c r="X4311" s="0" t="n">
        <f aca="false">SUMPRODUCT(I4311:W4311,_XtX!$B$96:$P$96)</f>
        <v>46.8072368421052</v>
      </c>
      <c r="Y4311" s="0" t="n">
        <f aca="false">SUMPRODUCT(MMULT(I4311:W4311,_XtX!$B$78:$P$92),I4311:W4311)</f>
        <v>0.501534802174708</v>
      </c>
      <c r="Z4311" s="0" t="n">
        <f aca="false">04_回帰ANOVA!$K$19*04_回帰ANOVA!$K$14*SQRT(1+Y4311)</f>
        <v>1.59722498091333</v>
      </c>
      <c r="AA4311" s="0" t="n">
        <f aca="false">X4311-Z4311</f>
        <v>45.2100118611919</v>
      </c>
      <c r="AB4311" s="0" t="n">
        <f aca="false">X4311+Z4311</f>
        <v>48.4044618230185</v>
      </c>
      <c r="AC4311" s="54" t="b">
        <f aca="false">AND(E4311&gt;=01_因子設定!$L$5-0.000000001,E4311&lt;=01_因子設定!$M$5+0.000000001,F4311&gt;=01_因子設定!$L$6-0.000000001,F4311&lt;=01_因子設定!$M$6+0.000000001,G4311&gt;=01_因子設定!$L$7-0.000000001,G4311&lt;=01_因子設定!$M$7+0.000000001,H4311&gt;=01_因子設定!$L$8-0.000000001,H4311&lt;=01_因子設定!$M$8+0.000000001,IF(01_因子設定!$B$20="Box-Behnken",E4311^2+F4311^2+G4311^2+H4311^2&lt;=2+0.000000001,TRUE()))</f>
        <v>1</v>
      </c>
      <c r="AD4311" s="55" t="n">
        <f aca="false">IF(AC4311,IF(01_因子設定!$B$13="最大化",AA4311-01_因子設定!$B$14,IF(01_因子設定!$B$13="最小化",01_因子設定!$B$15-AB4311,MIN(AA4311-01_因子設定!$B$14,01_因子設定!$B$15-AB4311))),-1E+030)</f>
        <v>-1.28998813880813</v>
      </c>
      <c r="AE4311" s="55" t="n">
        <f aca="false">IF(AC4311,IF(01_因子設定!$B$13="最大化",X4311,IF(01_因子設定!$B$13="最小化",-X4311,-ABS(X4311-01_因子設定!$B$16))),-1E+030)</f>
        <v>46.8072368421052</v>
      </c>
      <c r="AF4311" s="55" t="n">
        <f aca="false">AD4311+ROW()*0.000000001</f>
        <v>-1.28998382780813</v>
      </c>
      <c r="AG4311" s="55" t="n">
        <f aca="false">AE4311+ROW()*0.000000001</f>
        <v>46.8072411531052</v>
      </c>
    </row>
    <row r="4312" customFormat="false" ht="15" hidden="false" customHeight="false" outlineLevel="0" collapsed="false">
      <c r="A4312" s="0" t="n">
        <v>5</v>
      </c>
      <c r="B4312" s="0" t="n">
        <v>8</v>
      </c>
      <c r="C4312" s="0" t="n">
        <v>1</v>
      </c>
      <c r="D4312" s="0" t="n">
        <v>5</v>
      </c>
      <c r="E4312" s="0" t="n">
        <f aca="false">-1+A4312*0.25</f>
        <v>0.25</v>
      </c>
      <c r="F4312" s="0" t="n">
        <f aca="false">-1+B4312*0.25</f>
        <v>1</v>
      </c>
      <c r="G4312" s="0" t="n">
        <f aca="false">-1+C4312*0.25</f>
        <v>-0.75</v>
      </c>
      <c r="H4312" s="0" t="n">
        <f aca="false">-1+D4312*0.25</f>
        <v>0.25</v>
      </c>
      <c r="I4312" s="0" t="n">
        <f aca="false">1</f>
        <v>1</v>
      </c>
      <c r="J4312" s="0" t="n">
        <f aca="false">E4312</f>
        <v>0.25</v>
      </c>
      <c r="K4312" s="0" t="n">
        <f aca="false">F4312</f>
        <v>1</v>
      </c>
      <c r="L4312" s="0" t="n">
        <f aca="false">G4312</f>
        <v>-0.75</v>
      </c>
      <c r="M4312" s="0" t="n">
        <f aca="false">H4312</f>
        <v>0.25</v>
      </c>
      <c r="N4312" s="0" t="n">
        <f aca="false">E4312*F4312</f>
        <v>0.25</v>
      </c>
      <c r="O4312" s="0" t="n">
        <f aca="false">E4312*G4312</f>
        <v>-0.1875</v>
      </c>
      <c r="P4312" s="0" t="n">
        <f aca="false">E4312*H4312</f>
        <v>0.0625</v>
      </c>
      <c r="Q4312" s="0" t="n">
        <f aca="false">F4312*G4312</f>
        <v>-0.75</v>
      </c>
      <c r="R4312" s="0" t="n">
        <f aca="false">F4312*H4312</f>
        <v>0.25</v>
      </c>
      <c r="S4312" s="0" t="n">
        <f aca="false">G4312*H4312</f>
        <v>-0.1875</v>
      </c>
      <c r="T4312" s="0" t="n">
        <f aca="false">E4312*E4312</f>
        <v>0.0625</v>
      </c>
      <c r="U4312" s="0" t="n">
        <f aca="false">F4312*F4312</f>
        <v>1</v>
      </c>
      <c r="V4312" s="0" t="n">
        <f aca="false">G4312*G4312</f>
        <v>0.5625</v>
      </c>
      <c r="W4312" s="0" t="n">
        <f aca="false">H4312*H4312</f>
        <v>0.0625</v>
      </c>
      <c r="X4312" s="0" t="n">
        <f aca="false">SUMPRODUCT(I4312:W4312,_XtX!$B$96:$P$96)</f>
        <v>46.7855034722222</v>
      </c>
      <c r="Y4312" s="0" t="n">
        <f aca="false">SUMPRODUCT(MMULT(I4312:W4312,_XtX!$B$78:$P$92),I4312:W4312)</f>
        <v>0.486409505208334</v>
      </c>
      <c r="Z4312" s="0" t="n">
        <f aca="false">04_回帰ANOVA!$K$19*04_回帰ANOVA!$K$14*SQRT(1+Y4312)</f>
        <v>1.58916001665498</v>
      </c>
      <c r="AA4312" s="0" t="n">
        <f aca="false">X4312-Z4312</f>
        <v>45.1963434555672</v>
      </c>
      <c r="AB4312" s="0" t="n">
        <f aca="false">X4312+Z4312</f>
        <v>48.3746634888772</v>
      </c>
      <c r="AC4312" s="54" t="b">
        <f aca="false">AND(E4312&gt;=01_因子設定!$L$5-0.000000001,E4312&lt;=01_因子設定!$M$5+0.000000001,F4312&gt;=01_因子設定!$L$6-0.000000001,F4312&lt;=01_因子設定!$M$6+0.000000001,G4312&gt;=01_因子設定!$L$7-0.000000001,G4312&lt;=01_因子設定!$M$7+0.000000001,H4312&gt;=01_因子設定!$L$8-0.000000001,H4312&lt;=01_因子設定!$M$8+0.000000001,IF(01_因子設定!$B$20="Box-Behnken",E4312^2+F4312^2+G4312^2+H4312^2&lt;=2+0.000000001,TRUE()))</f>
        <v>1</v>
      </c>
      <c r="AD4312" s="55" t="n">
        <f aca="false">IF(AC4312,IF(01_因子設定!$B$13="最大化",AA4312-01_因子設定!$B$14,IF(01_因子設定!$B$13="最小化",01_因子設定!$B$15-AB4312,MIN(AA4312-01_因子設定!$B$14,01_因子設定!$B$15-AB4312))),-1E+030)</f>
        <v>-1.30365654443281</v>
      </c>
      <c r="AE4312" s="55" t="n">
        <f aca="false">IF(AC4312,IF(01_因子設定!$B$13="最大化",X4312,IF(01_因子設定!$B$13="最小化",-X4312,-ABS(X4312-01_因子設定!$B$16))),-1E+030)</f>
        <v>46.7855034722222</v>
      </c>
      <c r="AF4312" s="55" t="n">
        <f aca="false">AD4312+ROW()*0.000000001</f>
        <v>-1.30365223243281</v>
      </c>
      <c r="AG4312" s="55" t="n">
        <f aca="false">AE4312+ROW()*0.000000001</f>
        <v>46.7855077842222</v>
      </c>
    </row>
    <row r="4313" customFormat="false" ht="15" hidden="false" customHeight="false" outlineLevel="0" collapsed="false">
      <c r="A4313" s="0" t="n">
        <v>5</v>
      </c>
      <c r="B4313" s="0" t="n">
        <v>8</v>
      </c>
      <c r="C4313" s="0" t="n">
        <v>1</v>
      </c>
      <c r="D4313" s="0" t="n">
        <v>6</v>
      </c>
      <c r="E4313" s="0" t="n">
        <f aca="false">-1+A4313*0.25</f>
        <v>0.25</v>
      </c>
      <c r="F4313" s="0" t="n">
        <f aca="false">-1+B4313*0.25</f>
        <v>1</v>
      </c>
      <c r="G4313" s="0" t="n">
        <f aca="false">-1+C4313*0.25</f>
        <v>-0.75</v>
      </c>
      <c r="H4313" s="0" t="n">
        <f aca="false">-1+D4313*0.25</f>
        <v>0.5</v>
      </c>
      <c r="I4313" s="0" t="n">
        <f aca="false">1</f>
        <v>1</v>
      </c>
      <c r="J4313" s="0" t="n">
        <f aca="false">E4313</f>
        <v>0.25</v>
      </c>
      <c r="K4313" s="0" t="n">
        <f aca="false">F4313</f>
        <v>1</v>
      </c>
      <c r="L4313" s="0" t="n">
        <f aca="false">G4313</f>
        <v>-0.75</v>
      </c>
      <c r="M4313" s="0" t="n">
        <f aca="false">H4313</f>
        <v>0.5</v>
      </c>
      <c r="N4313" s="0" t="n">
        <f aca="false">E4313*F4313</f>
        <v>0.25</v>
      </c>
      <c r="O4313" s="0" t="n">
        <f aca="false">E4313*G4313</f>
        <v>-0.1875</v>
      </c>
      <c r="P4313" s="0" t="n">
        <f aca="false">E4313*H4313</f>
        <v>0.125</v>
      </c>
      <c r="Q4313" s="0" t="n">
        <f aca="false">F4313*G4313</f>
        <v>-0.75</v>
      </c>
      <c r="R4313" s="0" t="n">
        <f aca="false">F4313*H4313</f>
        <v>0.5</v>
      </c>
      <c r="S4313" s="0" t="n">
        <f aca="false">G4313*H4313</f>
        <v>-0.375</v>
      </c>
      <c r="T4313" s="0" t="n">
        <f aca="false">E4313*E4313</f>
        <v>0.0625</v>
      </c>
      <c r="U4313" s="0" t="n">
        <f aca="false">F4313*F4313</f>
        <v>1</v>
      </c>
      <c r="V4313" s="0" t="n">
        <f aca="false">G4313*G4313</f>
        <v>0.5625</v>
      </c>
      <c r="W4313" s="0" t="n">
        <f aca="false">H4313*H4313</f>
        <v>0.25</v>
      </c>
      <c r="X4313" s="0" t="n">
        <f aca="false">SUMPRODUCT(I4313:W4313,_XtX!$B$96:$P$96)</f>
        <v>46.7159630847953</v>
      </c>
      <c r="Y4313" s="0" t="n">
        <f aca="false">SUMPRODUCT(MMULT(I4313:W4313,_XtX!$B$78:$P$92),I4313:W4313)</f>
        <v>0.459125719572369</v>
      </c>
      <c r="Z4313" s="0" t="n">
        <f aca="false">04_回帰ANOVA!$K$19*04_回帰ANOVA!$K$14*SQRT(1+Y4313)</f>
        <v>1.57450755575573</v>
      </c>
      <c r="AA4313" s="0" t="n">
        <f aca="false">X4313-Z4313</f>
        <v>45.1414555290395</v>
      </c>
      <c r="AB4313" s="0" t="n">
        <f aca="false">X4313+Z4313</f>
        <v>48.290470640551</v>
      </c>
      <c r="AC4313" s="54" t="b">
        <f aca="false">AND(E4313&gt;=01_因子設定!$L$5-0.000000001,E4313&lt;=01_因子設定!$M$5+0.000000001,F4313&gt;=01_因子設定!$L$6-0.000000001,F4313&lt;=01_因子設定!$M$6+0.000000001,G4313&gt;=01_因子設定!$L$7-0.000000001,G4313&lt;=01_因子設定!$M$7+0.000000001,H4313&gt;=01_因子設定!$L$8-0.000000001,H4313&lt;=01_因子設定!$M$8+0.000000001,IF(01_因子設定!$B$20="Box-Behnken",E4313^2+F4313^2+G4313^2+H4313^2&lt;=2+0.000000001,TRUE()))</f>
        <v>1</v>
      </c>
      <c r="AD4313" s="55" t="n">
        <f aca="false">IF(AC4313,IF(01_因子設定!$B$13="最大化",AA4313-01_因子設定!$B$14,IF(01_因子設定!$B$13="最小化",01_因子設定!$B$15-AB4313,MIN(AA4313-01_因子設定!$B$14,01_因子設定!$B$15-AB4313))),-1E+030)</f>
        <v>-1.35854447096046</v>
      </c>
      <c r="AE4313" s="55" t="n">
        <f aca="false">IF(AC4313,IF(01_因子設定!$B$13="最大化",X4313,IF(01_因子設定!$B$13="最小化",-X4313,-ABS(X4313-01_因子設定!$B$16))),-1E+030)</f>
        <v>46.7159630847953</v>
      </c>
      <c r="AF4313" s="55" t="n">
        <f aca="false">AD4313+ROW()*0.000000001</f>
        <v>-1.35854015796046</v>
      </c>
      <c r="AG4313" s="55" t="n">
        <f aca="false">AE4313+ROW()*0.000000001</f>
        <v>46.7159673977953</v>
      </c>
    </row>
    <row r="4314" customFormat="false" ht="15" hidden="false" customHeight="false" outlineLevel="0" collapsed="false">
      <c r="A4314" s="0" t="n">
        <v>5</v>
      </c>
      <c r="B4314" s="0" t="n">
        <v>8</v>
      </c>
      <c r="C4314" s="0" t="n">
        <v>1</v>
      </c>
      <c r="D4314" s="0" t="n">
        <v>7</v>
      </c>
      <c r="E4314" s="0" t="n">
        <f aca="false">-1+A4314*0.25</f>
        <v>0.25</v>
      </c>
      <c r="F4314" s="0" t="n">
        <f aca="false">-1+B4314*0.25</f>
        <v>1</v>
      </c>
      <c r="G4314" s="0" t="n">
        <f aca="false">-1+C4314*0.25</f>
        <v>-0.75</v>
      </c>
      <c r="H4314" s="0" t="n">
        <f aca="false">-1+D4314*0.25</f>
        <v>0.75</v>
      </c>
      <c r="I4314" s="0" t="n">
        <f aca="false">1</f>
        <v>1</v>
      </c>
      <c r="J4314" s="0" t="n">
        <f aca="false">E4314</f>
        <v>0.25</v>
      </c>
      <c r="K4314" s="0" t="n">
        <f aca="false">F4314</f>
        <v>1</v>
      </c>
      <c r="L4314" s="0" t="n">
        <f aca="false">G4314</f>
        <v>-0.75</v>
      </c>
      <c r="M4314" s="0" t="n">
        <f aca="false">H4314</f>
        <v>0.75</v>
      </c>
      <c r="N4314" s="0" t="n">
        <f aca="false">E4314*F4314</f>
        <v>0.25</v>
      </c>
      <c r="O4314" s="0" t="n">
        <f aca="false">E4314*G4314</f>
        <v>-0.1875</v>
      </c>
      <c r="P4314" s="0" t="n">
        <f aca="false">E4314*H4314</f>
        <v>0.1875</v>
      </c>
      <c r="Q4314" s="0" t="n">
        <f aca="false">F4314*G4314</f>
        <v>-0.75</v>
      </c>
      <c r="R4314" s="0" t="n">
        <f aca="false">F4314*H4314</f>
        <v>0.75</v>
      </c>
      <c r="S4314" s="0" t="n">
        <f aca="false">G4314*H4314</f>
        <v>-0.5625</v>
      </c>
      <c r="T4314" s="0" t="n">
        <f aca="false">E4314*E4314</f>
        <v>0.0625</v>
      </c>
      <c r="U4314" s="0" t="n">
        <f aca="false">F4314*F4314</f>
        <v>1</v>
      </c>
      <c r="V4314" s="0" t="n">
        <f aca="false">G4314*G4314</f>
        <v>0.5625</v>
      </c>
      <c r="W4314" s="0" t="n">
        <f aca="false">H4314*H4314</f>
        <v>0.5625</v>
      </c>
      <c r="X4314" s="0" t="n">
        <f aca="false">SUMPRODUCT(I4314:W4314,_XtX!$B$96:$P$96)</f>
        <v>46.5986156798245</v>
      </c>
      <c r="Y4314" s="0" t="n">
        <f aca="false">SUMPRODUCT(MMULT(I4314:W4314,_XtX!$B$78:$P$92),I4314:W4314)</f>
        <v>0.473959761056287</v>
      </c>
      <c r="Z4314" s="0" t="n">
        <f aca="false">04_回帰ANOVA!$K$19*04_回帰ANOVA!$K$14*SQRT(1+Y4314)</f>
        <v>1.58249084588329</v>
      </c>
      <c r="AA4314" s="0" t="n">
        <f aca="false">X4314-Z4314</f>
        <v>45.0161248339412</v>
      </c>
      <c r="AB4314" s="0" t="n">
        <f aca="false">X4314+Z4314</f>
        <v>48.1811065257078</v>
      </c>
      <c r="AC4314" s="54" t="b">
        <f aca="false">AND(E4314&gt;=01_因子設定!$L$5-0.000000001,E4314&lt;=01_因子設定!$M$5+0.000000001,F4314&gt;=01_因子設定!$L$6-0.000000001,F4314&lt;=01_因子設定!$M$6+0.000000001,G4314&gt;=01_因子設定!$L$7-0.000000001,G4314&lt;=01_因子設定!$M$7+0.000000001,H4314&gt;=01_因子設定!$L$8-0.000000001,H4314&lt;=01_因子設定!$M$8+0.000000001,IF(01_因子設定!$B$20="Box-Behnken",E4314^2+F4314^2+G4314^2+H4314^2&lt;=2+0.000000001,TRUE()))</f>
        <v>1</v>
      </c>
      <c r="AD4314" s="55" t="n">
        <f aca="false">IF(AC4314,IF(01_因子設定!$B$13="最大化",AA4314-01_因子設定!$B$14,IF(01_因子設定!$B$13="最小化",01_因子設定!$B$15-AB4314,MIN(AA4314-01_因子設定!$B$14,01_因子設定!$B$15-AB4314))),-1E+030)</f>
        <v>-1.48387516605877</v>
      </c>
      <c r="AE4314" s="55" t="n">
        <f aca="false">IF(AC4314,IF(01_因子設定!$B$13="最大化",X4314,IF(01_因子設定!$B$13="最小化",-X4314,-ABS(X4314-01_因子設定!$B$16))),-1E+030)</f>
        <v>46.5986156798245</v>
      </c>
      <c r="AF4314" s="55" t="n">
        <f aca="false">AD4314+ROW()*0.000000001</f>
        <v>-1.48387085205877</v>
      </c>
      <c r="AG4314" s="55" t="n">
        <f aca="false">AE4314+ROW()*0.000000001</f>
        <v>46.5986199938245</v>
      </c>
    </row>
    <row r="4315" customFormat="false" ht="15" hidden="false" customHeight="false" outlineLevel="0" collapsed="false">
      <c r="A4315" s="0" t="n">
        <v>5</v>
      </c>
      <c r="B4315" s="0" t="n">
        <v>8</v>
      </c>
      <c r="C4315" s="0" t="n">
        <v>1</v>
      </c>
      <c r="D4315" s="0" t="n">
        <v>8</v>
      </c>
      <c r="E4315" s="0" t="n">
        <f aca="false">-1+A4315*0.25</f>
        <v>0.25</v>
      </c>
      <c r="F4315" s="0" t="n">
        <f aca="false">-1+B4315*0.25</f>
        <v>1</v>
      </c>
      <c r="G4315" s="0" t="n">
        <f aca="false">-1+C4315*0.25</f>
        <v>-0.75</v>
      </c>
      <c r="H4315" s="0" t="n">
        <f aca="false">-1+D4315*0.25</f>
        <v>1</v>
      </c>
      <c r="I4315" s="0" t="n">
        <f aca="false">1</f>
        <v>1</v>
      </c>
      <c r="J4315" s="0" t="n">
        <f aca="false">E4315</f>
        <v>0.25</v>
      </c>
      <c r="K4315" s="0" t="n">
        <f aca="false">F4315</f>
        <v>1</v>
      </c>
      <c r="L4315" s="0" t="n">
        <f aca="false">G4315</f>
        <v>-0.75</v>
      </c>
      <c r="M4315" s="0" t="n">
        <f aca="false">H4315</f>
        <v>1</v>
      </c>
      <c r="N4315" s="0" t="n">
        <f aca="false">E4315*F4315</f>
        <v>0.25</v>
      </c>
      <c r="O4315" s="0" t="n">
        <f aca="false">E4315*G4315</f>
        <v>-0.1875</v>
      </c>
      <c r="P4315" s="0" t="n">
        <f aca="false">E4315*H4315</f>
        <v>0.25</v>
      </c>
      <c r="Q4315" s="0" t="n">
        <f aca="false">F4315*G4315</f>
        <v>-0.75</v>
      </c>
      <c r="R4315" s="0" t="n">
        <f aca="false">F4315*H4315</f>
        <v>1</v>
      </c>
      <c r="S4315" s="0" t="n">
        <f aca="false">G4315*H4315</f>
        <v>-0.75</v>
      </c>
      <c r="T4315" s="0" t="n">
        <f aca="false">E4315*E4315</f>
        <v>0.0625</v>
      </c>
      <c r="U4315" s="0" t="n">
        <f aca="false">F4315*F4315</f>
        <v>1</v>
      </c>
      <c r="V4315" s="0" t="n">
        <f aca="false">G4315*G4315</f>
        <v>0.5625</v>
      </c>
      <c r="W4315" s="0" t="n">
        <f aca="false">H4315*H4315</f>
        <v>1</v>
      </c>
      <c r="X4315" s="0" t="n">
        <f aca="false">SUMPRODUCT(I4315:W4315,_XtX!$B$96:$P$96)</f>
        <v>46.4334612573099</v>
      </c>
      <c r="Y4315" s="0" t="n">
        <f aca="false">SUMPRODUCT(MMULT(I4315:W4315,_XtX!$B$78:$P$92),I4315:W4315)</f>
        <v>0.621372155975877</v>
      </c>
      <c r="Z4315" s="0" t="n">
        <f aca="false">04_回帰ANOVA!$K$19*04_回帰ANOVA!$K$14*SQRT(1+Y4315)</f>
        <v>1.65973880499872</v>
      </c>
      <c r="AA4315" s="0" t="n">
        <f aca="false">X4315-Z4315</f>
        <v>44.7737224523112</v>
      </c>
      <c r="AB4315" s="0" t="n">
        <f aca="false">X4315+Z4315</f>
        <v>48.0932000623086</v>
      </c>
      <c r="AC4315" s="54" t="b">
        <f aca="false">AND(E4315&gt;=01_因子設定!$L$5-0.000000001,E4315&lt;=01_因子設定!$M$5+0.000000001,F4315&gt;=01_因子設定!$L$6-0.000000001,F4315&lt;=01_因子設定!$M$6+0.000000001,G4315&gt;=01_因子設定!$L$7-0.000000001,G4315&lt;=01_因子設定!$M$7+0.000000001,H4315&gt;=01_因子設定!$L$8-0.000000001,H4315&lt;=01_因子設定!$M$8+0.000000001,IF(01_因子設定!$B$20="Box-Behnken",E4315^2+F4315^2+G4315^2+H4315^2&lt;=2+0.000000001,TRUE()))</f>
        <v>1</v>
      </c>
      <c r="AD4315" s="55" t="n">
        <f aca="false">IF(AC4315,IF(01_因子設定!$B$13="最大化",AA4315-01_因子設定!$B$14,IF(01_因子設定!$B$13="最小化",01_因子設定!$B$15-AB4315,MIN(AA4315-01_因子設定!$B$14,01_因子設定!$B$15-AB4315))),-1E+030)</f>
        <v>-1.7262775476888</v>
      </c>
      <c r="AE4315" s="55" t="n">
        <f aca="false">IF(AC4315,IF(01_因子設定!$B$13="最大化",X4315,IF(01_因子設定!$B$13="最小化",-X4315,-ABS(X4315-01_因子設定!$B$16))),-1E+030)</f>
        <v>46.4334612573099</v>
      </c>
      <c r="AF4315" s="55" t="n">
        <f aca="false">AD4315+ROW()*0.000000001</f>
        <v>-1.7262732326888</v>
      </c>
      <c r="AG4315" s="55" t="n">
        <f aca="false">AE4315+ROW()*0.000000001</f>
        <v>46.4334655723099</v>
      </c>
    </row>
    <row r="4316" customFormat="false" ht="15" hidden="false" customHeight="false" outlineLevel="0" collapsed="false">
      <c r="A4316" s="0" t="n">
        <v>5</v>
      </c>
      <c r="B4316" s="0" t="n">
        <v>8</v>
      </c>
      <c r="C4316" s="0" t="n">
        <v>2</v>
      </c>
      <c r="D4316" s="0" t="n">
        <v>0</v>
      </c>
      <c r="E4316" s="0" t="n">
        <f aca="false">-1+A4316*0.25</f>
        <v>0.25</v>
      </c>
      <c r="F4316" s="0" t="n">
        <f aca="false">-1+B4316*0.25</f>
        <v>1</v>
      </c>
      <c r="G4316" s="0" t="n">
        <f aca="false">-1+C4316*0.25</f>
        <v>-0.5</v>
      </c>
      <c r="H4316" s="0" t="n">
        <f aca="false">-1+D4316*0.25</f>
        <v>-1</v>
      </c>
      <c r="I4316" s="0" t="n">
        <f aca="false">1</f>
        <v>1</v>
      </c>
      <c r="J4316" s="0" t="n">
        <f aca="false">E4316</f>
        <v>0.25</v>
      </c>
      <c r="K4316" s="0" t="n">
        <f aca="false">F4316</f>
        <v>1</v>
      </c>
      <c r="L4316" s="0" t="n">
        <f aca="false">G4316</f>
        <v>-0.5</v>
      </c>
      <c r="M4316" s="0" t="n">
        <f aca="false">H4316</f>
        <v>-1</v>
      </c>
      <c r="N4316" s="0" t="n">
        <f aca="false">E4316*F4316</f>
        <v>0.25</v>
      </c>
      <c r="O4316" s="0" t="n">
        <f aca="false">E4316*G4316</f>
        <v>-0.125</v>
      </c>
      <c r="P4316" s="0" t="n">
        <f aca="false">E4316*H4316</f>
        <v>-0.25</v>
      </c>
      <c r="Q4316" s="0" t="n">
        <f aca="false">F4316*G4316</f>
        <v>-0.5</v>
      </c>
      <c r="R4316" s="0" t="n">
        <f aca="false">F4316*H4316</f>
        <v>-1</v>
      </c>
      <c r="S4316" s="0" t="n">
        <f aca="false">G4316*H4316</f>
        <v>0.5</v>
      </c>
      <c r="T4316" s="0" t="n">
        <f aca="false">E4316*E4316</f>
        <v>0.0625</v>
      </c>
      <c r="U4316" s="0" t="n">
        <f aca="false">F4316*F4316</f>
        <v>1</v>
      </c>
      <c r="V4316" s="0" t="n">
        <f aca="false">G4316*G4316</f>
        <v>0.25</v>
      </c>
      <c r="W4316" s="0" t="n">
        <f aca="false">H4316*H4316</f>
        <v>1</v>
      </c>
      <c r="X4316" s="0" t="n">
        <f aca="false">SUMPRODUCT(I4316:W4316,_XtX!$B$96:$P$96)</f>
        <v>46.8408260233918</v>
      </c>
      <c r="Y4316" s="0" t="n">
        <f aca="false">SUMPRODUCT(MMULT(I4316:W4316,_XtX!$B$78:$P$92),I4316:W4316)</f>
        <v>0.629174661915205</v>
      </c>
      <c r="Z4316" s="0" t="n">
        <f aca="false">04_回帰ANOVA!$K$19*04_回帰ANOVA!$K$14*SQRT(1+Y4316)</f>
        <v>1.66372758058297</v>
      </c>
      <c r="AA4316" s="0" t="n">
        <f aca="false">X4316-Z4316</f>
        <v>45.1770984428088</v>
      </c>
      <c r="AB4316" s="0" t="n">
        <f aca="false">X4316+Z4316</f>
        <v>48.5045536039748</v>
      </c>
      <c r="AC4316" s="54" t="b">
        <f aca="false">AND(E4316&gt;=01_因子設定!$L$5-0.000000001,E4316&lt;=01_因子設定!$M$5+0.000000001,F4316&gt;=01_因子設定!$L$6-0.000000001,F4316&lt;=01_因子設定!$M$6+0.000000001,G4316&gt;=01_因子設定!$L$7-0.000000001,G4316&lt;=01_因子設定!$M$7+0.000000001,H4316&gt;=01_因子設定!$L$8-0.000000001,H4316&lt;=01_因子設定!$M$8+0.000000001,IF(01_因子設定!$B$20="Box-Behnken",E4316^2+F4316^2+G4316^2+H4316^2&lt;=2+0.000000001,TRUE()))</f>
        <v>1</v>
      </c>
      <c r="AD4316" s="55" t="n">
        <f aca="false">IF(AC4316,IF(01_因子設定!$B$13="最大化",AA4316-01_因子設定!$B$14,IF(01_因子設定!$B$13="最小化",01_因子設定!$B$15-AB4316,MIN(AA4316-01_因子設定!$B$14,01_因子設定!$B$15-AB4316))),-1E+030)</f>
        <v>-1.32290155719118</v>
      </c>
      <c r="AE4316" s="55" t="n">
        <f aca="false">IF(AC4316,IF(01_因子設定!$B$13="最大化",X4316,IF(01_因子設定!$B$13="最小化",-X4316,-ABS(X4316-01_因子設定!$B$16))),-1E+030)</f>
        <v>46.8408260233918</v>
      </c>
      <c r="AF4316" s="55" t="n">
        <f aca="false">AD4316+ROW()*0.000000001</f>
        <v>-1.32289724119118</v>
      </c>
      <c r="AG4316" s="55" t="n">
        <f aca="false">AE4316+ROW()*0.000000001</f>
        <v>46.8408303393918</v>
      </c>
    </row>
    <row r="4317" customFormat="false" ht="15" hidden="false" customHeight="false" outlineLevel="0" collapsed="false">
      <c r="A4317" s="0" t="n">
        <v>5</v>
      </c>
      <c r="B4317" s="0" t="n">
        <v>8</v>
      </c>
      <c r="C4317" s="0" t="n">
        <v>2</v>
      </c>
      <c r="D4317" s="0" t="n">
        <v>1</v>
      </c>
      <c r="E4317" s="0" t="n">
        <f aca="false">-1+A4317*0.25</f>
        <v>0.25</v>
      </c>
      <c r="F4317" s="0" t="n">
        <f aca="false">-1+B4317*0.25</f>
        <v>1</v>
      </c>
      <c r="G4317" s="0" t="n">
        <f aca="false">-1+C4317*0.25</f>
        <v>-0.5</v>
      </c>
      <c r="H4317" s="0" t="n">
        <f aca="false">-1+D4317*0.25</f>
        <v>-0.75</v>
      </c>
      <c r="I4317" s="0" t="n">
        <f aca="false">1</f>
        <v>1</v>
      </c>
      <c r="J4317" s="0" t="n">
        <f aca="false">E4317</f>
        <v>0.25</v>
      </c>
      <c r="K4317" s="0" t="n">
        <f aca="false">F4317</f>
        <v>1</v>
      </c>
      <c r="L4317" s="0" t="n">
        <f aca="false">G4317</f>
        <v>-0.5</v>
      </c>
      <c r="M4317" s="0" t="n">
        <f aca="false">H4317</f>
        <v>-0.75</v>
      </c>
      <c r="N4317" s="0" t="n">
        <f aca="false">E4317*F4317</f>
        <v>0.25</v>
      </c>
      <c r="O4317" s="0" t="n">
        <f aca="false">E4317*G4317</f>
        <v>-0.125</v>
      </c>
      <c r="P4317" s="0" t="n">
        <f aca="false">E4317*H4317</f>
        <v>-0.1875</v>
      </c>
      <c r="Q4317" s="0" t="n">
        <f aca="false">F4317*G4317</f>
        <v>-0.5</v>
      </c>
      <c r="R4317" s="0" t="n">
        <f aca="false">F4317*H4317</f>
        <v>-0.75</v>
      </c>
      <c r="S4317" s="0" t="n">
        <f aca="false">G4317*H4317</f>
        <v>0.375</v>
      </c>
      <c r="T4317" s="0" t="n">
        <f aca="false">E4317*E4317</f>
        <v>0.0625</v>
      </c>
      <c r="U4317" s="0" t="n">
        <f aca="false">F4317*F4317</f>
        <v>1</v>
      </c>
      <c r="V4317" s="0" t="n">
        <f aca="false">G4317*G4317</f>
        <v>0.25</v>
      </c>
      <c r="W4317" s="0" t="n">
        <f aca="false">H4317*H4317</f>
        <v>0.5625</v>
      </c>
      <c r="X4317" s="0" t="n">
        <f aca="false">SUMPRODUCT(I4317:W4317,_XtX!$B$96:$P$96)</f>
        <v>47.0282894736842</v>
      </c>
      <c r="Y4317" s="0" t="n">
        <f aca="false">SUMPRODUCT(MMULT(I4317:W4317,_XtX!$B$78:$P$92),I4317:W4317)</f>
        <v>0.459125719572369</v>
      </c>
      <c r="Z4317" s="0" t="n">
        <f aca="false">04_回帰ANOVA!$K$19*04_回帰ANOVA!$K$14*SQRT(1+Y4317)</f>
        <v>1.57450755575573</v>
      </c>
      <c r="AA4317" s="0" t="n">
        <f aca="false">X4317-Z4317</f>
        <v>45.4537819179284</v>
      </c>
      <c r="AB4317" s="0" t="n">
        <f aca="false">X4317+Z4317</f>
        <v>48.6027970294399</v>
      </c>
      <c r="AC4317" s="54" t="b">
        <f aca="false">AND(E4317&gt;=01_因子設定!$L$5-0.000000001,E4317&lt;=01_因子設定!$M$5+0.000000001,F4317&gt;=01_因子設定!$L$6-0.000000001,F4317&lt;=01_因子設定!$M$6+0.000000001,G4317&gt;=01_因子設定!$L$7-0.000000001,G4317&lt;=01_因子設定!$M$7+0.000000001,H4317&gt;=01_因子設定!$L$8-0.000000001,H4317&lt;=01_因子設定!$M$8+0.000000001,IF(01_因子設定!$B$20="Box-Behnken",E4317^2+F4317^2+G4317^2+H4317^2&lt;=2+0.000000001,TRUE()))</f>
        <v>1</v>
      </c>
      <c r="AD4317" s="55" t="n">
        <f aca="false">IF(AC4317,IF(01_因子設定!$B$13="最大化",AA4317-01_因子設定!$B$14,IF(01_因子設定!$B$13="最小化",01_因子設定!$B$15-AB4317,MIN(AA4317-01_因子設定!$B$14,01_因子設定!$B$15-AB4317))),-1E+030)</f>
        <v>-1.04621808207156</v>
      </c>
      <c r="AE4317" s="55" t="n">
        <f aca="false">IF(AC4317,IF(01_因子設定!$B$13="最大化",X4317,IF(01_因子設定!$B$13="最小化",-X4317,-ABS(X4317-01_因子設定!$B$16))),-1E+030)</f>
        <v>47.0282894736842</v>
      </c>
      <c r="AF4317" s="55" t="n">
        <f aca="false">AD4317+ROW()*0.000000001</f>
        <v>-1.04621376507156</v>
      </c>
      <c r="AG4317" s="55" t="n">
        <f aca="false">AE4317+ROW()*0.000000001</f>
        <v>47.0282937906842</v>
      </c>
    </row>
    <row r="4318" customFormat="false" ht="15" hidden="false" customHeight="false" outlineLevel="0" collapsed="false">
      <c r="A4318" s="0" t="n">
        <v>5</v>
      </c>
      <c r="B4318" s="0" t="n">
        <v>8</v>
      </c>
      <c r="C4318" s="0" t="n">
        <v>2</v>
      </c>
      <c r="D4318" s="0" t="n">
        <v>2</v>
      </c>
      <c r="E4318" s="0" t="n">
        <f aca="false">-1+A4318*0.25</f>
        <v>0.25</v>
      </c>
      <c r="F4318" s="0" t="n">
        <f aca="false">-1+B4318*0.25</f>
        <v>1</v>
      </c>
      <c r="G4318" s="0" t="n">
        <f aca="false">-1+C4318*0.25</f>
        <v>-0.5</v>
      </c>
      <c r="H4318" s="0" t="n">
        <f aca="false">-1+D4318*0.25</f>
        <v>-0.5</v>
      </c>
      <c r="I4318" s="0" t="n">
        <f aca="false">1</f>
        <v>1</v>
      </c>
      <c r="J4318" s="0" t="n">
        <f aca="false">E4318</f>
        <v>0.25</v>
      </c>
      <c r="K4318" s="0" t="n">
        <f aca="false">F4318</f>
        <v>1</v>
      </c>
      <c r="L4318" s="0" t="n">
        <f aca="false">G4318</f>
        <v>-0.5</v>
      </c>
      <c r="M4318" s="0" t="n">
        <f aca="false">H4318</f>
        <v>-0.5</v>
      </c>
      <c r="N4318" s="0" t="n">
        <f aca="false">E4318*F4318</f>
        <v>0.25</v>
      </c>
      <c r="O4318" s="0" t="n">
        <f aca="false">E4318*G4318</f>
        <v>-0.125</v>
      </c>
      <c r="P4318" s="0" t="n">
        <f aca="false">E4318*H4318</f>
        <v>-0.125</v>
      </c>
      <c r="Q4318" s="0" t="n">
        <f aca="false">F4318*G4318</f>
        <v>-0.5</v>
      </c>
      <c r="R4318" s="0" t="n">
        <f aca="false">F4318*H4318</f>
        <v>-0.5</v>
      </c>
      <c r="S4318" s="0" t="n">
        <f aca="false">G4318*H4318</f>
        <v>0.25</v>
      </c>
      <c r="T4318" s="0" t="n">
        <f aca="false">E4318*E4318</f>
        <v>0.0625</v>
      </c>
      <c r="U4318" s="0" t="n">
        <f aca="false">F4318*F4318</f>
        <v>1</v>
      </c>
      <c r="V4318" s="0" t="n">
        <f aca="false">G4318*G4318</f>
        <v>0.25</v>
      </c>
      <c r="W4318" s="0" t="n">
        <f aca="false">H4318*H4318</f>
        <v>0.25</v>
      </c>
      <c r="X4318" s="0" t="n">
        <f aca="false">SUMPRODUCT(I4318:W4318,_XtX!$B$96:$P$96)</f>
        <v>47.1679459064327</v>
      </c>
      <c r="Y4318" s="0" t="n">
        <f aca="false">SUMPRODUCT(MMULT(I4318:W4318,_XtX!$B$78:$P$92),I4318:W4318)</f>
        <v>0.428122715643275</v>
      </c>
      <c r="Z4318" s="0" t="n">
        <f aca="false">04_回帰ANOVA!$K$19*04_回帰ANOVA!$K$14*SQRT(1+Y4318)</f>
        <v>1.55769044623229</v>
      </c>
      <c r="AA4318" s="0" t="n">
        <f aca="false">X4318-Z4318</f>
        <v>45.6102554602004</v>
      </c>
      <c r="AB4318" s="0" t="n">
        <f aca="false">X4318+Z4318</f>
        <v>48.725636352665</v>
      </c>
      <c r="AC4318" s="54" t="b">
        <f aca="false">AND(E4318&gt;=01_因子設定!$L$5-0.000000001,E4318&lt;=01_因子設定!$M$5+0.000000001,F4318&gt;=01_因子設定!$L$6-0.000000001,F4318&lt;=01_因子設定!$M$6+0.000000001,G4318&gt;=01_因子設定!$L$7-0.000000001,G4318&lt;=01_因子設定!$M$7+0.000000001,H4318&gt;=01_因子設定!$L$8-0.000000001,H4318&lt;=01_因子設定!$M$8+0.000000001,IF(01_因子設定!$B$20="Box-Behnken",E4318^2+F4318^2+G4318^2+H4318^2&lt;=2+0.000000001,TRUE()))</f>
        <v>1</v>
      </c>
      <c r="AD4318" s="55" t="n">
        <f aca="false">IF(AC4318,IF(01_因子設定!$B$13="最大化",AA4318-01_因子設定!$B$14,IF(01_因子設定!$B$13="最小化",01_因子設定!$B$15-AB4318,MIN(AA4318-01_因子設定!$B$14,01_因子設定!$B$15-AB4318))),-1E+030)</f>
        <v>-0.889744539799594</v>
      </c>
      <c r="AE4318" s="55" t="n">
        <f aca="false">IF(AC4318,IF(01_因子設定!$B$13="最大化",X4318,IF(01_因子設定!$B$13="最小化",-X4318,-ABS(X4318-01_因子設定!$B$16))),-1E+030)</f>
        <v>47.1679459064327</v>
      </c>
      <c r="AF4318" s="55" t="n">
        <f aca="false">AD4318+ROW()*0.000000001</f>
        <v>-0.889740221799594</v>
      </c>
      <c r="AG4318" s="55" t="n">
        <f aca="false">AE4318+ROW()*0.000000001</f>
        <v>47.1679502244327</v>
      </c>
    </row>
    <row r="4319" customFormat="false" ht="15" hidden="false" customHeight="false" outlineLevel="0" collapsed="false">
      <c r="A4319" s="0" t="n">
        <v>5</v>
      </c>
      <c r="B4319" s="0" t="n">
        <v>8</v>
      </c>
      <c r="C4319" s="0" t="n">
        <v>2</v>
      </c>
      <c r="D4319" s="0" t="n">
        <v>3</v>
      </c>
      <c r="E4319" s="0" t="n">
        <f aca="false">-1+A4319*0.25</f>
        <v>0.25</v>
      </c>
      <c r="F4319" s="0" t="n">
        <f aca="false">-1+B4319*0.25</f>
        <v>1</v>
      </c>
      <c r="G4319" s="0" t="n">
        <f aca="false">-1+C4319*0.25</f>
        <v>-0.5</v>
      </c>
      <c r="H4319" s="0" t="n">
        <f aca="false">-1+D4319*0.25</f>
        <v>-0.25</v>
      </c>
      <c r="I4319" s="0" t="n">
        <f aca="false">1</f>
        <v>1</v>
      </c>
      <c r="J4319" s="0" t="n">
        <f aca="false">E4319</f>
        <v>0.25</v>
      </c>
      <c r="K4319" s="0" t="n">
        <f aca="false">F4319</f>
        <v>1</v>
      </c>
      <c r="L4319" s="0" t="n">
        <f aca="false">G4319</f>
        <v>-0.5</v>
      </c>
      <c r="M4319" s="0" t="n">
        <f aca="false">H4319</f>
        <v>-0.25</v>
      </c>
      <c r="N4319" s="0" t="n">
        <f aca="false">E4319*F4319</f>
        <v>0.25</v>
      </c>
      <c r="O4319" s="0" t="n">
        <f aca="false">E4319*G4319</f>
        <v>-0.125</v>
      </c>
      <c r="P4319" s="0" t="n">
        <f aca="false">E4319*H4319</f>
        <v>-0.0625</v>
      </c>
      <c r="Q4319" s="0" t="n">
        <f aca="false">F4319*G4319</f>
        <v>-0.5</v>
      </c>
      <c r="R4319" s="0" t="n">
        <f aca="false">F4319*H4319</f>
        <v>-0.25</v>
      </c>
      <c r="S4319" s="0" t="n">
        <f aca="false">G4319*H4319</f>
        <v>0.125</v>
      </c>
      <c r="T4319" s="0" t="n">
        <f aca="false">E4319*E4319</f>
        <v>0.0625</v>
      </c>
      <c r="U4319" s="0" t="n">
        <f aca="false">F4319*F4319</f>
        <v>1</v>
      </c>
      <c r="V4319" s="0" t="n">
        <f aca="false">G4319*G4319</f>
        <v>0.25</v>
      </c>
      <c r="W4319" s="0" t="n">
        <f aca="false">H4319*H4319</f>
        <v>0.0625</v>
      </c>
      <c r="X4319" s="0" t="n">
        <f aca="false">SUMPRODUCT(I4319:W4319,_XtX!$B$96:$P$96)</f>
        <v>47.2597953216374</v>
      </c>
      <c r="Y4319" s="0" t="n">
        <f aca="false">SUMPRODUCT(MMULT(I4319:W4319,_XtX!$B$78:$P$92),I4319:W4319)</f>
        <v>0.445705123812135</v>
      </c>
      <c r="Z4319" s="0" t="n">
        <f aca="false">04_回帰ANOVA!$K$19*04_回帰ANOVA!$K$14*SQRT(1+Y4319)</f>
        <v>1.56724990734749</v>
      </c>
      <c r="AA4319" s="0" t="n">
        <f aca="false">X4319-Z4319</f>
        <v>45.6925454142899</v>
      </c>
      <c r="AB4319" s="0" t="n">
        <f aca="false">X4319+Z4319</f>
        <v>48.8270452289849</v>
      </c>
      <c r="AC4319" s="54" t="b">
        <f aca="false">AND(E4319&gt;=01_因子設定!$L$5-0.000000001,E4319&lt;=01_因子設定!$M$5+0.000000001,F4319&gt;=01_因子設定!$L$6-0.000000001,F4319&lt;=01_因子設定!$M$6+0.000000001,G4319&gt;=01_因子設定!$L$7-0.000000001,G4319&lt;=01_因子設定!$M$7+0.000000001,H4319&gt;=01_因子設定!$L$8-0.000000001,H4319&lt;=01_因子設定!$M$8+0.000000001,IF(01_因子設定!$B$20="Box-Behnken",E4319^2+F4319^2+G4319^2+H4319^2&lt;=2+0.000000001,TRUE()))</f>
        <v>1</v>
      </c>
      <c r="AD4319" s="55" t="n">
        <f aca="false">IF(AC4319,IF(01_因子設定!$B$13="最大化",AA4319-01_因子設定!$B$14,IF(01_因子設定!$B$13="最小化",01_因子設定!$B$15-AB4319,MIN(AA4319-01_因子設定!$B$14,01_因子設定!$B$15-AB4319))),-1E+030)</f>
        <v>-0.807454585710119</v>
      </c>
      <c r="AE4319" s="55" t="n">
        <f aca="false">IF(AC4319,IF(01_因子設定!$B$13="最大化",X4319,IF(01_因子設定!$B$13="最小化",-X4319,-ABS(X4319-01_因子設定!$B$16))),-1E+030)</f>
        <v>47.2597953216374</v>
      </c>
      <c r="AF4319" s="55" t="n">
        <f aca="false">AD4319+ROW()*0.000000001</f>
        <v>-0.807450266710119</v>
      </c>
      <c r="AG4319" s="55" t="n">
        <f aca="false">AE4319+ROW()*0.000000001</f>
        <v>47.2597996406374</v>
      </c>
    </row>
    <row r="4320" customFormat="false" ht="15" hidden="false" customHeight="false" outlineLevel="0" collapsed="false">
      <c r="A4320" s="0" t="n">
        <v>5</v>
      </c>
      <c r="B4320" s="0" t="n">
        <v>8</v>
      </c>
      <c r="C4320" s="0" t="n">
        <v>2</v>
      </c>
      <c r="D4320" s="0" t="n">
        <v>4</v>
      </c>
      <c r="E4320" s="0" t="n">
        <f aca="false">-1+A4320*0.25</f>
        <v>0.25</v>
      </c>
      <c r="F4320" s="0" t="n">
        <f aca="false">-1+B4320*0.25</f>
        <v>1</v>
      </c>
      <c r="G4320" s="0" t="n">
        <f aca="false">-1+C4320*0.25</f>
        <v>-0.5</v>
      </c>
      <c r="H4320" s="0" t="n">
        <f aca="false">-1+D4320*0.25</f>
        <v>0</v>
      </c>
      <c r="I4320" s="0" t="n">
        <f aca="false">1</f>
        <v>1</v>
      </c>
      <c r="J4320" s="0" t="n">
        <f aca="false">E4320</f>
        <v>0.25</v>
      </c>
      <c r="K4320" s="0" t="n">
        <f aca="false">F4320</f>
        <v>1</v>
      </c>
      <c r="L4320" s="0" t="n">
        <f aca="false">G4320</f>
        <v>-0.5</v>
      </c>
      <c r="M4320" s="0" t="n">
        <f aca="false">H4320</f>
        <v>0</v>
      </c>
      <c r="N4320" s="0" t="n">
        <f aca="false">E4320*F4320</f>
        <v>0.25</v>
      </c>
      <c r="O4320" s="0" t="n">
        <f aca="false">E4320*G4320</f>
        <v>-0.125</v>
      </c>
      <c r="P4320" s="0" t="n">
        <f aca="false">E4320*H4320</f>
        <v>0</v>
      </c>
      <c r="Q4320" s="0" t="n">
        <f aca="false">F4320*G4320</f>
        <v>-0.5</v>
      </c>
      <c r="R4320" s="0" t="n">
        <f aca="false">F4320*H4320</f>
        <v>0</v>
      </c>
      <c r="S4320" s="0" t="n">
        <f aca="false">G4320*H4320</f>
        <v>-0</v>
      </c>
      <c r="T4320" s="0" t="n">
        <f aca="false">E4320*E4320</f>
        <v>0.0625</v>
      </c>
      <c r="U4320" s="0" t="n">
        <f aca="false">F4320*F4320</f>
        <v>1</v>
      </c>
      <c r="V4320" s="0" t="n">
        <f aca="false">G4320*G4320</f>
        <v>0.25</v>
      </c>
      <c r="W4320" s="0" t="n">
        <f aca="false">H4320*H4320</f>
        <v>0</v>
      </c>
      <c r="X4320" s="0" t="n">
        <f aca="false">SUMPRODUCT(I4320:W4320,_XtX!$B$96:$P$96)</f>
        <v>47.3038377192982</v>
      </c>
      <c r="Y4320" s="0" t="n">
        <f aca="false">SUMPRODUCT(MMULT(I4320:W4320,_XtX!$B$78:$P$92),I4320:W4320)</f>
        <v>0.457596628289474</v>
      </c>
      <c r="Z4320" s="0" t="n">
        <f aca="false">04_回帰ANOVA!$K$19*04_回帰ANOVA!$K$14*SQRT(1+Y4320)</f>
        <v>1.57368233664366</v>
      </c>
      <c r="AA4320" s="0" t="n">
        <f aca="false">X4320-Z4320</f>
        <v>45.7301553826545</v>
      </c>
      <c r="AB4320" s="0" t="n">
        <f aca="false">X4320+Z4320</f>
        <v>48.8775200559418</v>
      </c>
      <c r="AC4320" s="54" t="b">
        <f aca="false">AND(E4320&gt;=01_因子設定!$L$5-0.000000001,E4320&lt;=01_因子設定!$M$5+0.000000001,F4320&gt;=01_因子設定!$L$6-0.000000001,F4320&lt;=01_因子設定!$M$6+0.000000001,G4320&gt;=01_因子設定!$L$7-0.000000001,G4320&lt;=01_因子設定!$M$7+0.000000001,H4320&gt;=01_因子設定!$L$8-0.000000001,H4320&lt;=01_因子設定!$M$8+0.000000001,IF(01_因子設定!$B$20="Box-Behnken",E4320^2+F4320^2+G4320^2+H4320^2&lt;=2+0.000000001,TRUE()))</f>
        <v>1</v>
      </c>
      <c r="AD4320" s="55" t="n">
        <f aca="false">IF(AC4320,IF(01_因子設定!$B$13="最大化",AA4320-01_因子設定!$B$14,IF(01_因子設定!$B$13="最小化",01_因子設定!$B$15-AB4320,MIN(AA4320-01_因子設定!$B$14,01_因子設定!$B$15-AB4320))),-1E+030)</f>
        <v>-0.76984461734547</v>
      </c>
      <c r="AE4320" s="55" t="n">
        <f aca="false">IF(AC4320,IF(01_因子設定!$B$13="最大化",X4320,IF(01_因子設定!$B$13="最小化",-X4320,-ABS(X4320-01_因子設定!$B$16))),-1E+030)</f>
        <v>47.3038377192982</v>
      </c>
      <c r="AF4320" s="55" t="n">
        <f aca="false">AD4320+ROW()*0.000000001</f>
        <v>-0.76984029734547</v>
      </c>
      <c r="AG4320" s="55" t="n">
        <f aca="false">AE4320+ROW()*0.000000001</f>
        <v>47.3038420392982</v>
      </c>
    </row>
    <row r="4321" customFormat="false" ht="15" hidden="false" customHeight="false" outlineLevel="0" collapsed="false">
      <c r="A4321" s="0" t="n">
        <v>5</v>
      </c>
      <c r="B4321" s="0" t="n">
        <v>8</v>
      </c>
      <c r="C4321" s="0" t="n">
        <v>2</v>
      </c>
      <c r="D4321" s="0" t="n">
        <v>5</v>
      </c>
      <c r="E4321" s="0" t="n">
        <f aca="false">-1+A4321*0.25</f>
        <v>0.25</v>
      </c>
      <c r="F4321" s="0" t="n">
        <f aca="false">-1+B4321*0.25</f>
        <v>1</v>
      </c>
      <c r="G4321" s="0" t="n">
        <f aca="false">-1+C4321*0.25</f>
        <v>-0.5</v>
      </c>
      <c r="H4321" s="0" t="n">
        <f aca="false">-1+D4321*0.25</f>
        <v>0.25</v>
      </c>
      <c r="I4321" s="0" t="n">
        <f aca="false">1</f>
        <v>1</v>
      </c>
      <c r="J4321" s="0" t="n">
        <f aca="false">E4321</f>
        <v>0.25</v>
      </c>
      <c r="K4321" s="0" t="n">
        <f aca="false">F4321</f>
        <v>1</v>
      </c>
      <c r="L4321" s="0" t="n">
        <f aca="false">G4321</f>
        <v>-0.5</v>
      </c>
      <c r="M4321" s="0" t="n">
        <f aca="false">H4321</f>
        <v>0.25</v>
      </c>
      <c r="N4321" s="0" t="n">
        <f aca="false">E4321*F4321</f>
        <v>0.25</v>
      </c>
      <c r="O4321" s="0" t="n">
        <f aca="false">E4321*G4321</f>
        <v>-0.125</v>
      </c>
      <c r="P4321" s="0" t="n">
        <f aca="false">E4321*H4321</f>
        <v>0.0625</v>
      </c>
      <c r="Q4321" s="0" t="n">
        <f aca="false">F4321*G4321</f>
        <v>-0.5</v>
      </c>
      <c r="R4321" s="0" t="n">
        <f aca="false">F4321*H4321</f>
        <v>0.25</v>
      </c>
      <c r="S4321" s="0" t="n">
        <f aca="false">G4321*H4321</f>
        <v>-0.125</v>
      </c>
      <c r="T4321" s="0" t="n">
        <f aca="false">E4321*E4321</f>
        <v>0.0625</v>
      </c>
      <c r="U4321" s="0" t="n">
        <f aca="false">F4321*F4321</f>
        <v>1</v>
      </c>
      <c r="V4321" s="0" t="n">
        <f aca="false">G4321*G4321</f>
        <v>0.25</v>
      </c>
      <c r="W4321" s="0" t="n">
        <f aca="false">H4321*H4321</f>
        <v>0.0625</v>
      </c>
      <c r="X4321" s="0" t="n">
        <f aca="false">SUMPRODUCT(I4321:W4321,_XtX!$B$96:$P$96)</f>
        <v>47.3000730994151</v>
      </c>
      <c r="Y4321" s="0" t="n">
        <f aca="false">SUMPRODUCT(MMULT(I4321:W4321,_XtX!$B$78:$P$92),I4321:W4321)</f>
        <v>0.445705123812135</v>
      </c>
      <c r="Z4321" s="0" t="n">
        <f aca="false">04_回帰ANOVA!$K$19*04_回帰ANOVA!$K$14*SQRT(1+Y4321)</f>
        <v>1.56724990734749</v>
      </c>
      <c r="AA4321" s="0" t="n">
        <f aca="false">X4321-Z4321</f>
        <v>45.7328231920677</v>
      </c>
      <c r="AB4321" s="0" t="n">
        <f aca="false">X4321+Z4321</f>
        <v>48.8673230067626</v>
      </c>
      <c r="AC4321" s="54" t="b">
        <f aca="false">AND(E4321&gt;=01_因子設定!$L$5-0.000000001,E4321&lt;=01_因子設定!$M$5+0.000000001,F4321&gt;=01_因子設定!$L$6-0.000000001,F4321&lt;=01_因子設定!$M$6+0.000000001,G4321&gt;=01_因子設定!$L$7-0.000000001,G4321&lt;=01_因子設定!$M$7+0.000000001,H4321&gt;=01_因子設定!$L$8-0.000000001,H4321&lt;=01_因子設定!$M$8+0.000000001,IF(01_因子設定!$B$20="Box-Behnken",E4321^2+F4321^2+G4321^2+H4321^2&lt;=2+0.000000001,TRUE()))</f>
        <v>1</v>
      </c>
      <c r="AD4321" s="55" t="n">
        <f aca="false">IF(AC4321,IF(01_因子設定!$B$13="最大化",AA4321-01_因子設定!$B$14,IF(01_因子設定!$B$13="最小化",01_因子設定!$B$15-AB4321,MIN(AA4321-01_因子設定!$B$14,01_因子設定!$B$15-AB4321))),-1E+030)</f>
        <v>-0.767176807932344</v>
      </c>
      <c r="AE4321" s="55" t="n">
        <f aca="false">IF(AC4321,IF(01_因子設定!$B$13="最大化",X4321,IF(01_因子設定!$B$13="最小化",-X4321,-ABS(X4321-01_因子設定!$B$16))),-1E+030)</f>
        <v>47.3000730994151</v>
      </c>
      <c r="AF4321" s="55" t="n">
        <f aca="false">AD4321+ROW()*0.000000001</f>
        <v>-0.767172486932344</v>
      </c>
      <c r="AG4321" s="55" t="n">
        <f aca="false">AE4321+ROW()*0.000000001</f>
        <v>47.3000774204151</v>
      </c>
    </row>
    <row r="4322" customFormat="false" ht="15" hidden="false" customHeight="false" outlineLevel="0" collapsed="false">
      <c r="A4322" s="0" t="n">
        <v>5</v>
      </c>
      <c r="B4322" s="0" t="n">
        <v>8</v>
      </c>
      <c r="C4322" s="0" t="n">
        <v>2</v>
      </c>
      <c r="D4322" s="0" t="n">
        <v>6</v>
      </c>
      <c r="E4322" s="0" t="n">
        <f aca="false">-1+A4322*0.25</f>
        <v>0.25</v>
      </c>
      <c r="F4322" s="0" t="n">
        <f aca="false">-1+B4322*0.25</f>
        <v>1</v>
      </c>
      <c r="G4322" s="0" t="n">
        <f aca="false">-1+C4322*0.25</f>
        <v>-0.5</v>
      </c>
      <c r="H4322" s="0" t="n">
        <f aca="false">-1+D4322*0.25</f>
        <v>0.5</v>
      </c>
      <c r="I4322" s="0" t="n">
        <f aca="false">1</f>
        <v>1</v>
      </c>
      <c r="J4322" s="0" t="n">
        <f aca="false">E4322</f>
        <v>0.25</v>
      </c>
      <c r="K4322" s="0" t="n">
        <f aca="false">F4322</f>
        <v>1</v>
      </c>
      <c r="L4322" s="0" t="n">
        <f aca="false">G4322</f>
        <v>-0.5</v>
      </c>
      <c r="M4322" s="0" t="n">
        <f aca="false">H4322</f>
        <v>0.5</v>
      </c>
      <c r="N4322" s="0" t="n">
        <f aca="false">E4322*F4322</f>
        <v>0.25</v>
      </c>
      <c r="O4322" s="0" t="n">
        <f aca="false">E4322*G4322</f>
        <v>-0.125</v>
      </c>
      <c r="P4322" s="0" t="n">
        <f aca="false">E4322*H4322</f>
        <v>0.125</v>
      </c>
      <c r="Q4322" s="0" t="n">
        <f aca="false">F4322*G4322</f>
        <v>-0.5</v>
      </c>
      <c r="R4322" s="0" t="n">
        <f aca="false">F4322*H4322</f>
        <v>0.5</v>
      </c>
      <c r="S4322" s="0" t="n">
        <f aca="false">G4322*H4322</f>
        <v>-0.25</v>
      </c>
      <c r="T4322" s="0" t="n">
        <f aca="false">E4322*E4322</f>
        <v>0.0625</v>
      </c>
      <c r="U4322" s="0" t="n">
        <f aca="false">F4322*F4322</f>
        <v>1</v>
      </c>
      <c r="V4322" s="0" t="n">
        <f aca="false">G4322*G4322</f>
        <v>0.25</v>
      </c>
      <c r="W4322" s="0" t="n">
        <f aca="false">H4322*H4322</f>
        <v>0.25</v>
      </c>
      <c r="X4322" s="0" t="n">
        <f aca="false">SUMPRODUCT(I4322:W4322,_XtX!$B$96:$P$96)</f>
        <v>47.2485014619883</v>
      </c>
      <c r="Y4322" s="0" t="n">
        <f aca="false">SUMPRODUCT(MMULT(I4322:W4322,_XtX!$B$78:$P$92),I4322:W4322)</f>
        <v>0.428122715643275</v>
      </c>
      <c r="Z4322" s="0" t="n">
        <f aca="false">04_回帰ANOVA!$K$19*04_回帰ANOVA!$K$14*SQRT(1+Y4322)</f>
        <v>1.55769044623229</v>
      </c>
      <c r="AA4322" s="0" t="n">
        <f aca="false">X4322-Z4322</f>
        <v>45.690811015756</v>
      </c>
      <c r="AB4322" s="0" t="n">
        <f aca="false">X4322+Z4322</f>
        <v>48.8061919082206</v>
      </c>
      <c r="AC4322" s="54" t="b">
        <f aca="false">AND(E4322&gt;=01_因子設定!$L$5-0.000000001,E4322&lt;=01_因子設定!$M$5+0.000000001,F4322&gt;=01_因子設定!$L$6-0.000000001,F4322&lt;=01_因子設定!$M$6+0.000000001,G4322&gt;=01_因子設定!$L$7-0.000000001,G4322&lt;=01_因子設定!$M$7+0.000000001,H4322&gt;=01_因子設定!$L$8-0.000000001,H4322&lt;=01_因子設定!$M$8+0.000000001,IF(01_因子設定!$B$20="Box-Behnken",E4322^2+F4322^2+G4322^2+H4322^2&lt;=2+0.000000001,TRUE()))</f>
        <v>1</v>
      </c>
      <c r="AD4322" s="55" t="n">
        <f aca="false">IF(AC4322,IF(01_因子設定!$B$13="最大化",AA4322-01_因子設定!$B$14,IF(01_因子設定!$B$13="最小化",01_因子設定!$B$15-AB4322,MIN(AA4322-01_因子設定!$B$14,01_因子設定!$B$15-AB4322))),-1E+030)</f>
        <v>-0.809188984244038</v>
      </c>
      <c r="AE4322" s="55" t="n">
        <f aca="false">IF(AC4322,IF(01_因子設定!$B$13="最大化",X4322,IF(01_因子設定!$B$13="最小化",-X4322,-ABS(X4322-01_因子設定!$B$16))),-1E+030)</f>
        <v>47.2485014619883</v>
      </c>
      <c r="AF4322" s="55" t="n">
        <f aca="false">AD4322+ROW()*0.000000001</f>
        <v>-0.809184662244038</v>
      </c>
      <c r="AG4322" s="55" t="n">
        <f aca="false">AE4322+ROW()*0.000000001</f>
        <v>47.2485057839883</v>
      </c>
    </row>
    <row r="4323" customFormat="false" ht="15" hidden="false" customHeight="false" outlineLevel="0" collapsed="false">
      <c r="A4323" s="0" t="n">
        <v>5</v>
      </c>
      <c r="B4323" s="0" t="n">
        <v>8</v>
      </c>
      <c r="C4323" s="0" t="n">
        <v>2</v>
      </c>
      <c r="D4323" s="0" t="n">
        <v>7</v>
      </c>
      <c r="E4323" s="0" t="n">
        <f aca="false">-1+A4323*0.25</f>
        <v>0.25</v>
      </c>
      <c r="F4323" s="0" t="n">
        <f aca="false">-1+B4323*0.25</f>
        <v>1</v>
      </c>
      <c r="G4323" s="0" t="n">
        <f aca="false">-1+C4323*0.25</f>
        <v>-0.5</v>
      </c>
      <c r="H4323" s="0" t="n">
        <f aca="false">-1+D4323*0.25</f>
        <v>0.75</v>
      </c>
      <c r="I4323" s="0" t="n">
        <f aca="false">1</f>
        <v>1</v>
      </c>
      <c r="J4323" s="0" t="n">
        <f aca="false">E4323</f>
        <v>0.25</v>
      </c>
      <c r="K4323" s="0" t="n">
        <f aca="false">F4323</f>
        <v>1</v>
      </c>
      <c r="L4323" s="0" t="n">
        <f aca="false">G4323</f>
        <v>-0.5</v>
      </c>
      <c r="M4323" s="0" t="n">
        <f aca="false">H4323</f>
        <v>0.75</v>
      </c>
      <c r="N4323" s="0" t="n">
        <f aca="false">E4323*F4323</f>
        <v>0.25</v>
      </c>
      <c r="O4323" s="0" t="n">
        <f aca="false">E4323*G4323</f>
        <v>-0.125</v>
      </c>
      <c r="P4323" s="0" t="n">
        <f aca="false">E4323*H4323</f>
        <v>0.1875</v>
      </c>
      <c r="Q4323" s="0" t="n">
        <f aca="false">F4323*G4323</f>
        <v>-0.5</v>
      </c>
      <c r="R4323" s="0" t="n">
        <f aca="false">F4323*H4323</f>
        <v>0.75</v>
      </c>
      <c r="S4323" s="0" t="n">
        <f aca="false">G4323*H4323</f>
        <v>-0.375</v>
      </c>
      <c r="T4323" s="0" t="n">
        <f aca="false">E4323*E4323</f>
        <v>0.0625</v>
      </c>
      <c r="U4323" s="0" t="n">
        <f aca="false">F4323*F4323</f>
        <v>1</v>
      </c>
      <c r="V4323" s="0" t="n">
        <f aca="false">G4323*G4323</f>
        <v>0.25</v>
      </c>
      <c r="W4323" s="0" t="n">
        <f aca="false">H4323*H4323</f>
        <v>0.5625</v>
      </c>
      <c r="X4323" s="0" t="n">
        <f aca="false">SUMPRODUCT(I4323:W4323,_XtX!$B$96:$P$96)</f>
        <v>47.1491228070175</v>
      </c>
      <c r="Y4323" s="0" t="n">
        <f aca="false">SUMPRODUCT(MMULT(I4323:W4323,_XtX!$B$78:$P$92),I4323:W4323)</f>
        <v>0.459125719572369</v>
      </c>
      <c r="Z4323" s="0" t="n">
        <f aca="false">04_回帰ANOVA!$K$19*04_回帰ANOVA!$K$14*SQRT(1+Y4323)</f>
        <v>1.57450755575573</v>
      </c>
      <c r="AA4323" s="0" t="n">
        <f aca="false">X4323-Z4323</f>
        <v>45.5746152512618</v>
      </c>
      <c r="AB4323" s="0" t="n">
        <f aca="false">X4323+Z4323</f>
        <v>48.7236303627732</v>
      </c>
      <c r="AC4323" s="54" t="b">
        <f aca="false">AND(E4323&gt;=01_因子設定!$L$5-0.000000001,E4323&lt;=01_因子設定!$M$5+0.000000001,F4323&gt;=01_因子設定!$L$6-0.000000001,F4323&lt;=01_因子設定!$M$6+0.000000001,G4323&gt;=01_因子設定!$L$7-0.000000001,G4323&lt;=01_因子設定!$M$7+0.000000001,H4323&gt;=01_因子設定!$L$8-0.000000001,H4323&lt;=01_因子設定!$M$8+0.000000001,IF(01_因子設定!$B$20="Box-Behnken",E4323^2+F4323^2+G4323^2+H4323^2&lt;=2+0.000000001,TRUE()))</f>
        <v>1</v>
      </c>
      <c r="AD4323" s="55" t="n">
        <f aca="false">IF(AC4323,IF(01_因子設定!$B$13="最大化",AA4323-01_因子設定!$B$14,IF(01_因子設定!$B$13="最小化",01_因子設定!$B$15-AB4323,MIN(AA4323-01_因子設定!$B$14,01_因子設定!$B$15-AB4323))),-1E+030)</f>
        <v>-0.925384748738225</v>
      </c>
      <c r="AE4323" s="55" t="n">
        <f aca="false">IF(AC4323,IF(01_因子設定!$B$13="最大化",X4323,IF(01_因子設定!$B$13="最小化",-X4323,-ABS(X4323-01_因子設定!$B$16))),-1E+030)</f>
        <v>47.1491228070175</v>
      </c>
      <c r="AF4323" s="55" t="n">
        <f aca="false">AD4323+ROW()*0.000000001</f>
        <v>-0.925380425738225</v>
      </c>
      <c r="AG4323" s="55" t="n">
        <f aca="false">AE4323+ROW()*0.000000001</f>
        <v>47.1491271300175</v>
      </c>
    </row>
    <row r="4324" customFormat="false" ht="15" hidden="false" customHeight="false" outlineLevel="0" collapsed="false">
      <c r="A4324" s="0" t="n">
        <v>5</v>
      </c>
      <c r="B4324" s="0" t="n">
        <v>8</v>
      </c>
      <c r="C4324" s="0" t="n">
        <v>2</v>
      </c>
      <c r="D4324" s="0" t="n">
        <v>8</v>
      </c>
      <c r="E4324" s="0" t="n">
        <f aca="false">-1+A4324*0.25</f>
        <v>0.25</v>
      </c>
      <c r="F4324" s="0" t="n">
        <f aca="false">-1+B4324*0.25</f>
        <v>1</v>
      </c>
      <c r="G4324" s="0" t="n">
        <f aca="false">-1+C4324*0.25</f>
        <v>-0.5</v>
      </c>
      <c r="H4324" s="0" t="n">
        <f aca="false">-1+D4324*0.25</f>
        <v>1</v>
      </c>
      <c r="I4324" s="0" t="n">
        <f aca="false">1</f>
        <v>1</v>
      </c>
      <c r="J4324" s="0" t="n">
        <f aca="false">E4324</f>
        <v>0.25</v>
      </c>
      <c r="K4324" s="0" t="n">
        <f aca="false">F4324</f>
        <v>1</v>
      </c>
      <c r="L4324" s="0" t="n">
        <f aca="false">G4324</f>
        <v>-0.5</v>
      </c>
      <c r="M4324" s="0" t="n">
        <f aca="false">H4324</f>
        <v>1</v>
      </c>
      <c r="N4324" s="0" t="n">
        <f aca="false">E4324*F4324</f>
        <v>0.25</v>
      </c>
      <c r="O4324" s="0" t="n">
        <f aca="false">E4324*G4324</f>
        <v>-0.125</v>
      </c>
      <c r="P4324" s="0" t="n">
        <f aca="false">E4324*H4324</f>
        <v>0.25</v>
      </c>
      <c r="Q4324" s="0" t="n">
        <f aca="false">F4324*G4324</f>
        <v>-0.5</v>
      </c>
      <c r="R4324" s="0" t="n">
        <f aca="false">F4324*H4324</f>
        <v>1</v>
      </c>
      <c r="S4324" s="0" t="n">
        <f aca="false">G4324*H4324</f>
        <v>-0.5</v>
      </c>
      <c r="T4324" s="0" t="n">
        <f aca="false">E4324*E4324</f>
        <v>0.0625</v>
      </c>
      <c r="U4324" s="0" t="n">
        <f aca="false">F4324*F4324</f>
        <v>1</v>
      </c>
      <c r="V4324" s="0" t="n">
        <f aca="false">G4324*G4324</f>
        <v>0.25</v>
      </c>
      <c r="W4324" s="0" t="n">
        <f aca="false">H4324*H4324</f>
        <v>1</v>
      </c>
      <c r="X4324" s="0" t="n">
        <f aca="false">SUMPRODUCT(I4324:W4324,_XtX!$B$96:$P$96)</f>
        <v>47.0019371345029</v>
      </c>
      <c r="Y4324" s="0" t="n">
        <f aca="false">SUMPRODUCT(MMULT(I4324:W4324,_XtX!$B$78:$P$92),I4324:W4324)</f>
        <v>0.629174661915205</v>
      </c>
      <c r="Z4324" s="0" t="n">
        <f aca="false">04_回帰ANOVA!$K$19*04_回帰ANOVA!$K$14*SQRT(1+Y4324)</f>
        <v>1.66372758058297</v>
      </c>
      <c r="AA4324" s="0" t="n">
        <f aca="false">X4324-Z4324</f>
        <v>45.3382095539199</v>
      </c>
      <c r="AB4324" s="0" t="n">
        <f aca="false">X4324+Z4324</f>
        <v>48.6656647150859</v>
      </c>
      <c r="AC4324" s="54" t="b">
        <f aca="false">AND(E4324&gt;=01_因子設定!$L$5-0.000000001,E4324&lt;=01_因子設定!$M$5+0.000000001,F4324&gt;=01_因子設定!$L$6-0.000000001,F4324&lt;=01_因子設定!$M$6+0.000000001,G4324&gt;=01_因子設定!$L$7-0.000000001,G4324&lt;=01_因子設定!$M$7+0.000000001,H4324&gt;=01_因子設定!$L$8-0.000000001,H4324&lt;=01_因子設定!$M$8+0.000000001,IF(01_因子設定!$B$20="Box-Behnken",E4324^2+F4324^2+G4324^2+H4324^2&lt;=2+0.000000001,TRUE()))</f>
        <v>1</v>
      </c>
      <c r="AD4324" s="55" t="n">
        <f aca="false">IF(AC4324,IF(01_因子設定!$B$13="最大化",AA4324-01_因子設定!$B$14,IF(01_因子設定!$B$13="最小化",01_因子設定!$B$15-AB4324,MIN(AA4324-01_因子設定!$B$14,01_因子設定!$B$15-AB4324))),-1E+030)</f>
        <v>-1.16179044608007</v>
      </c>
      <c r="AE4324" s="55" t="n">
        <f aca="false">IF(AC4324,IF(01_因子設定!$B$13="最大化",X4324,IF(01_因子設定!$B$13="最小化",-X4324,-ABS(X4324-01_因子設定!$B$16))),-1E+030)</f>
        <v>47.0019371345029</v>
      </c>
      <c r="AF4324" s="55" t="n">
        <f aca="false">AD4324+ROW()*0.000000001</f>
        <v>-1.16178612208007</v>
      </c>
      <c r="AG4324" s="55" t="n">
        <f aca="false">AE4324+ROW()*0.000000001</f>
        <v>47.0019414585029</v>
      </c>
    </row>
    <row r="4325" customFormat="false" ht="15" hidden="false" customHeight="false" outlineLevel="0" collapsed="false">
      <c r="A4325" s="0" t="n">
        <v>5</v>
      </c>
      <c r="B4325" s="0" t="n">
        <v>8</v>
      </c>
      <c r="C4325" s="0" t="n">
        <v>3</v>
      </c>
      <c r="D4325" s="0" t="n">
        <v>0</v>
      </c>
      <c r="E4325" s="0" t="n">
        <f aca="false">-1+A4325*0.25</f>
        <v>0.25</v>
      </c>
      <c r="F4325" s="0" t="n">
        <f aca="false">-1+B4325*0.25</f>
        <v>1</v>
      </c>
      <c r="G4325" s="0" t="n">
        <f aca="false">-1+C4325*0.25</f>
        <v>-0.25</v>
      </c>
      <c r="H4325" s="0" t="n">
        <f aca="false">-1+D4325*0.25</f>
        <v>-1</v>
      </c>
      <c r="I4325" s="0" t="n">
        <f aca="false">1</f>
        <v>1</v>
      </c>
      <c r="J4325" s="0" t="n">
        <f aca="false">E4325</f>
        <v>0.25</v>
      </c>
      <c r="K4325" s="0" t="n">
        <f aca="false">F4325</f>
        <v>1</v>
      </c>
      <c r="L4325" s="0" t="n">
        <f aca="false">G4325</f>
        <v>-0.25</v>
      </c>
      <c r="M4325" s="0" t="n">
        <f aca="false">H4325</f>
        <v>-1</v>
      </c>
      <c r="N4325" s="0" t="n">
        <f aca="false">E4325*F4325</f>
        <v>0.25</v>
      </c>
      <c r="O4325" s="0" t="n">
        <f aca="false">E4325*G4325</f>
        <v>-0.0625</v>
      </c>
      <c r="P4325" s="0" t="n">
        <f aca="false">E4325*H4325</f>
        <v>-0.25</v>
      </c>
      <c r="Q4325" s="0" t="n">
        <f aca="false">F4325*G4325</f>
        <v>-0.25</v>
      </c>
      <c r="R4325" s="0" t="n">
        <f aca="false">F4325*H4325</f>
        <v>-1</v>
      </c>
      <c r="S4325" s="0" t="n">
        <f aca="false">G4325*H4325</f>
        <v>0.25</v>
      </c>
      <c r="T4325" s="0" t="n">
        <f aca="false">E4325*E4325</f>
        <v>0.0625</v>
      </c>
      <c r="U4325" s="0" t="n">
        <f aca="false">F4325*F4325</f>
        <v>1</v>
      </c>
      <c r="V4325" s="0" t="n">
        <f aca="false">G4325*G4325</f>
        <v>0.0625</v>
      </c>
      <c r="W4325" s="0" t="n">
        <f aca="false">H4325*H4325</f>
        <v>1</v>
      </c>
      <c r="X4325" s="0" t="n">
        <f aca="false">SUMPRODUCT(I4325:W4325,_XtX!$B$96:$P$96)</f>
        <v>47.1802448830409</v>
      </c>
      <c r="Y4325" s="0" t="n">
        <f aca="false">SUMPRODUCT(MMULT(I4325:W4325,_XtX!$B$78:$P$92),I4325:W4325)</f>
        <v>0.670040376005117</v>
      </c>
      <c r="Z4325" s="0" t="n">
        <f aca="false">04_回帰ANOVA!$K$19*04_回帰ANOVA!$K$14*SQRT(1+Y4325)</f>
        <v>1.68446456039992</v>
      </c>
      <c r="AA4325" s="0" t="n">
        <f aca="false">X4325-Z4325</f>
        <v>45.495780322641</v>
      </c>
      <c r="AB4325" s="0" t="n">
        <f aca="false">X4325+Z4325</f>
        <v>48.8647094434408</v>
      </c>
      <c r="AC4325" s="54" t="b">
        <f aca="false">AND(E4325&gt;=01_因子設定!$L$5-0.000000001,E4325&lt;=01_因子設定!$M$5+0.000000001,F4325&gt;=01_因子設定!$L$6-0.000000001,F4325&lt;=01_因子設定!$M$6+0.000000001,G4325&gt;=01_因子設定!$L$7-0.000000001,G4325&lt;=01_因子設定!$M$7+0.000000001,H4325&gt;=01_因子設定!$L$8-0.000000001,H4325&lt;=01_因子設定!$M$8+0.000000001,IF(01_因子設定!$B$20="Box-Behnken",E4325^2+F4325^2+G4325^2+H4325^2&lt;=2+0.000000001,TRUE()))</f>
        <v>1</v>
      </c>
      <c r="AD4325" s="55" t="n">
        <f aca="false">IF(AC4325,IF(01_因子設定!$B$13="最大化",AA4325-01_因子設定!$B$14,IF(01_因子設定!$B$13="最小化",01_因子設定!$B$15-AB4325,MIN(AA4325-01_因子設定!$B$14,01_因子設定!$B$15-AB4325))),-1E+030)</f>
        <v>-1.004219677359</v>
      </c>
      <c r="AE4325" s="55" t="n">
        <f aca="false">IF(AC4325,IF(01_因子設定!$B$13="最大化",X4325,IF(01_因子設定!$B$13="最小化",-X4325,-ABS(X4325-01_因子設定!$B$16))),-1E+030)</f>
        <v>47.1802448830409</v>
      </c>
      <c r="AF4325" s="55" t="n">
        <f aca="false">AD4325+ROW()*0.000000001</f>
        <v>-1.004215352359</v>
      </c>
      <c r="AG4325" s="55" t="n">
        <f aca="false">AE4325+ROW()*0.000000001</f>
        <v>47.1802492080409</v>
      </c>
    </row>
    <row r="4326" customFormat="false" ht="15" hidden="false" customHeight="false" outlineLevel="0" collapsed="false">
      <c r="A4326" s="0" t="n">
        <v>5</v>
      </c>
      <c r="B4326" s="0" t="n">
        <v>8</v>
      </c>
      <c r="C4326" s="0" t="n">
        <v>3</v>
      </c>
      <c r="D4326" s="0" t="n">
        <v>1</v>
      </c>
      <c r="E4326" s="0" t="n">
        <f aca="false">-1+A4326*0.25</f>
        <v>0.25</v>
      </c>
      <c r="F4326" s="0" t="n">
        <f aca="false">-1+B4326*0.25</f>
        <v>1</v>
      </c>
      <c r="G4326" s="0" t="n">
        <f aca="false">-1+C4326*0.25</f>
        <v>-0.25</v>
      </c>
      <c r="H4326" s="0" t="n">
        <f aca="false">-1+D4326*0.25</f>
        <v>-0.75</v>
      </c>
      <c r="I4326" s="0" t="n">
        <f aca="false">1</f>
        <v>1</v>
      </c>
      <c r="J4326" s="0" t="n">
        <f aca="false">E4326</f>
        <v>0.25</v>
      </c>
      <c r="K4326" s="0" t="n">
        <f aca="false">F4326</f>
        <v>1</v>
      </c>
      <c r="L4326" s="0" t="n">
        <f aca="false">G4326</f>
        <v>-0.25</v>
      </c>
      <c r="M4326" s="0" t="n">
        <f aca="false">H4326</f>
        <v>-0.75</v>
      </c>
      <c r="N4326" s="0" t="n">
        <f aca="false">E4326*F4326</f>
        <v>0.25</v>
      </c>
      <c r="O4326" s="0" t="n">
        <f aca="false">E4326*G4326</f>
        <v>-0.0625</v>
      </c>
      <c r="P4326" s="0" t="n">
        <f aca="false">E4326*H4326</f>
        <v>-0.1875</v>
      </c>
      <c r="Q4326" s="0" t="n">
        <f aca="false">F4326*G4326</f>
        <v>-0.25</v>
      </c>
      <c r="R4326" s="0" t="n">
        <f aca="false">F4326*H4326</f>
        <v>-0.75</v>
      </c>
      <c r="S4326" s="0" t="n">
        <f aca="false">G4326*H4326</f>
        <v>0.1875</v>
      </c>
      <c r="T4326" s="0" t="n">
        <f aca="false">E4326*E4326</f>
        <v>0.0625</v>
      </c>
      <c r="U4326" s="0" t="n">
        <f aca="false">F4326*F4326</f>
        <v>1</v>
      </c>
      <c r="V4326" s="0" t="n">
        <f aca="false">G4326*G4326</f>
        <v>0.0625</v>
      </c>
      <c r="W4326" s="0" t="n">
        <f aca="false">H4326*H4326</f>
        <v>0.5625</v>
      </c>
      <c r="X4326" s="0" t="n">
        <f aca="false">SUMPRODUCT(I4326:W4326,_XtX!$B$96:$P$96)</f>
        <v>47.3856770833333</v>
      </c>
      <c r="Y4326" s="0" t="n">
        <f aca="false">SUMPRODUCT(MMULT(I4326:W4326,_XtX!$B$78:$P$92),I4326:W4326)</f>
        <v>0.486409505208334</v>
      </c>
      <c r="Z4326" s="0" t="n">
        <f aca="false">04_回帰ANOVA!$K$19*04_回帰ANOVA!$K$14*SQRT(1+Y4326)</f>
        <v>1.58916001665498</v>
      </c>
      <c r="AA4326" s="0" t="n">
        <f aca="false">X4326-Z4326</f>
        <v>45.7965170666783</v>
      </c>
      <c r="AB4326" s="0" t="n">
        <f aca="false">X4326+Z4326</f>
        <v>48.9748370999883</v>
      </c>
      <c r="AC4326" s="54" t="b">
        <f aca="false">AND(E4326&gt;=01_因子設定!$L$5-0.000000001,E4326&lt;=01_因子設定!$M$5+0.000000001,F4326&gt;=01_因子設定!$L$6-0.000000001,F4326&lt;=01_因子設定!$M$6+0.000000001,G4326&gt;=01_因子設定!$L$7-0.000000001,G4326&lt;=01_因子設定!$M$7+0.000000001,H4326&gt;=01_因子設定!$L$8-0.000000001,H4326&lt;=01_因子設定!$M$8+0.000000001,IF(01_因子設定!$B$20="Box-Behnken",E4326^2+F4326^2+G4326^2+H4326^2&lt;=2+0.000000001,TRUE()))</f>
        <v>1</v>
      </c>
      <c r="AD4326" s="55" t="n">
        <f aca="false">IF(AC4326,IF(01_因子設定!$B$13="最大化",AA4326-01_因子設定!$B$14,IF(01_因子設定!$B$13="最小化",01_因子設定!$B$15-AB4326,MIN(AA4326-01_因子設定!$B$14,01_因子設定!$B$15-AB4326))),-1E+030)</f>
        <v>-0.703482933321688</v>
      </c>
      <c r="AE4326" s="55" t="n">
        <f aca="false">IF(AC4326,IF(01_因子設定!$B$13="最大化",X4326,IF(01_因子設定!$B$13="最小化",-X4326,-ABS(X4326-01_因子設定!$B$16))),-1E+030)</f>
        <v>47.3856770833333</v>
      </c>
      <c r="AF4326" s="55" t="n">
        <f aca="false">AD4326+ROW()*0.000000001</f>
        <v>-0.703478607321688</v>
      </c>
      <c r="AG4326" s="55" t="n">
        <f aca="false">AE4326+ROW()*0.000000001</f>
        <v>47.3856814093333</v>
      </c>
    </row>
    <row r="4327" customFormat="false" ht="15" hidden="false" customHeight="false" outlineLevel="0" collapsed="false">
      <c r="A4327" s="0" t="n">
        <v>5</v>
      </c>
      <c r="B4327" s="0" t="n">
        <v>8</v>
      </c>
      <c r="C4327" s="0" t="n">
        <v>3</v>
      </c>
      <c r="D4327" s="0" t="n">
        <v>2</v>
      </c>
      <c r="E4327" s="0" t="n">
        <f aca="false">-1+A4327*0.25</f>
        <v>0.25</v>
      </c>
      <c r="F4327" s="0" t="n">
        <f aca="false">-1+B4327*0.25</f>
        <v>1</v>
      </c>
      <c r="G4327" s="0" t="n">
        <f aca="false">-1+C4327*0.25</f>
        <v>-0.25</v>
      </c>
      <c r="H4327" s="0" t="n">
        <f aca="false">-1+D4327*0.25</f>
        <v>-0.5</v>
      </c>
      <c r="I4327" s="0" t="n">
        <f aca="false">1</f>
        <v>1</v>
      </c>
      <c r="J4327" s="0" t="n">
        <f aca="false">E4327</f>
        <v>0.25</v>
      </c>
      <c r="K4327" s="0" t="n">
        <f aca="false">F4327</f>
        <v>1</v>
      </c>
      <c r="L4327" s="0" t="n">
        <f aca="false">G4327</f>
        <v>-0.25</v>
      </c>
      <c r="M4327" s="0" t="n">
        <f aca="false">H4327</f>
        <v>-0.5</v>
      </c>
      <c r="N4327" s="0" t="n">
        <f aca="false">E4327*F4327</f>
        <v>0.25</v>
      </c>
      <c r="O4327" s="0" t="n">
        <f aca="false">E4327*G4327</f>
        <v>-0.0625</v>
      </c>
      <c r="P4327" s="0" t="n">
        <f aca="false">E4327*H4327</f>
        <v>-0.125</v>
      </c>
      <c r="Q4327" s="0" t="n">
        <f aca="false">F4327*G4327</f>
        <v>-0.25</v>
      </c>
      <c r="R4327" s="0" t="n">
        <f aca="false">F4327*H4327</f>
        <v>-0.5</v>
      </c>
      <c r="S4327" s="0" t="n">
        <f aca="false">G4327*H4327</f>
        <v>0.125</v>
      </c>
      <c r="T4327" s="0" t="n">
        <f aca="false">E4327*E4327</f>
        <v>0.0625</v>
      </c>
      <c r="U4327" s="0" t="n">
        <f aca="false">F4327*F4327</f>
        <v>1</v>
      </c>
      <c r="V4327" s="0" t="n">
        <f aca="false">G4327*G4327</f>
        <v>0.0625</v>
      </c>
      <c r="W4327" s="0" t="n">
        <f aca="false">H4327*H4327</f>
        <v>0.25</v>
      </c>
      <c r="X4327" s="0" t="n">
        <f aca="false">SUMPRODUCT(I4327:W4327,_XtX!$B$96:$P$96)</f>
        <v>47.5433022660818</v>
      </c>
      <c r="Y4327" s="0" t="n">
        <f aca="false">SUMPRODUCT(MMULT(I4327:W4327,_XtX!$B$78:$P$92),I4327:W4327)</f>
        <v>0.445705123812135</v>
      </c>
      <c r="Z4327" s="0" t="n">
        <f aca="false">04_回帰ANOVA!$K$19*04_回帰ANOVA!$K$14*SQRT(1+Y4327)</f>
        <v>1.56724990734749</v>
      </c>
      <c r="AA4327" s="0" t="n">
        <f aca="false">X4327-Z4327</f>
        <v>45.9760523587343</v>
      </c>
      <c r="AB4327" s="0" t="n">
        <f aca="false">X4327+Z4327</f>
        <v>49.1105521734293</v>
      </c>
      <c r="AC4327" s="54" t="b">
        <f aca="false">AND(E4327&gt;=01_因子設定!$L$5-0.000000001,E4327&lt;=01_因子設定!$M$5+0.000000001,F4327&gt;=01_因子設定!$L$6-0.000000001,F4327&lt;=01_因子設定!$M$6+0.000000001,G4327&gt;=01_因子設定!$L$7-0.000000001,G4327&lt;=01_因子設定!$M$7+0.000000001,H4327&gt;=01_因子設定!$L$8-0.000000001,H4327&lt;=01_因子設定!$M$8+0.000000001,IF(01_因子設定!$B$20="Box-Behnken",E4327^2+F4327^2+G4327^2+H4327^2&lt;=2+0.000000001,TRUE()))</f>
        <v>1</v>
      </c>
      <c r="AD4327" s="55" t="n">
        <f aca="false">IF(AC4327,IF(01_因子設定!$B$13="最大化",AA4327-01_因子設定!$B$14,IF(01_因子設定!$B$13="最小化",01_因子設定!$B$15-AB4327,MIN(AA4327-01_因子設定!$B$14,01_因子設定!$B$15-AB4327))),-1E+030)</f>
        <v>-0.523947641265671</v>
      </c>
      <c r="AE4327" s="55" t="n">
        <f aca="false">IF(AC4327,IF(01_因子設定!$B$13="最大化",X4327,IF(01_因子設定!$B$13="最小化",-X4327,-ABS(X4327-01_因子設定!$B$16))),-1E+030)</f>
        <v>47.5433022660818</v>
      </c>
      <c r="AF4327" s="55" t="n">
        <f aca="false">AD4327+ROW()*0.000000001</f>
        <v>-0.523943314265671</v>
      </c>
      <c r="AG4327" s="55" t="n">
        <f aca="false">AE4327+ROW()*0.000000001</f>
        <v>47.5433065930818</v>
      </c>
    </row>
    <row r="4328" customFormat="false" ht="15" hidden="false" customHeight="false" outlineLevel="0" collapsed="false">
      <c r="A4328" s="0" t="n">
        <v>5</v>
      </c>
      <c r="B4328" s="0" t="n">
        <v>8</v>
      </c>
      <c r="C4328" s="0" t="n">
        <v>3</v>
      </c>
      <c r="D4328" s="0" t="n">
        <v>3</v>
      </c>
      <c r="E4328" s="0" t="n">
        <f aca="false">-1+A4328*0.25</f>
        <v>0.25</v>
      </c>
      <c r="F4328" s="0" t="n">
        <f aca="false">-1+B4328*0.25</f>
        <v>1</v>
      </c>
      <c r="G4328" s="0" t="n">
        <f aca="false">-1+C4328*0.25</f>
        <v>-0.25</v>
      </c>
      <c r="H4328" s="0" t="n">
        <f aca="false">-1+D4328*0.25</f>
        <v>-0.25</v>
      </c>
      <c r="I4328" s="0" t="n">
        <f aca="false">1</f>
        <v>1</v>
      </c>
      <c r="J4328" s="0" t="n">
        <f aca="false">E4328</f>
        <v>0.25</v>
      </c>
      <c r="K4328" s="0" t="n">
        <f aca="false">F4328</f>
        <v>1</v>
      </c>
      <c r="L4328" s="0" t="n">
        <f aca="false">G4328</f>
        <v>-0.25</v>
      </c>
      <c r="M4328" s="0" t="n">
        <f aca="false">H4328</f>
        <v>-0.25</v>
      </c>
      <c r="N4328" s="0" t="n">
        <f aca="false">E4328*F4328</f>
        <v>0.25</v>
      </c>
      <c r="O4328" s="0" t="n">
        <f aca="false">E4328*G4328</f>
        <v>-0.0625</v>
      </c>
      <c r="P4328" s="0" t="n">
        <f aca="false">E4328*H4328</f>
        <v>-0.0625</v>
      </c>
      <c r="Q4328" s="0" t="n">
        <f aca="false">F4328*G4328</f>
        <v>-0.25</v>
      </c>
      <c r="R4328" s="0" t="n">
        <f aca="false">F4328*H4328</f>
        <v>-0.25</v>
      </c>
      <c r="S4328" s="0" t="n">
        <f aca="false">G4328*H4328</f>
        <v>0.0625</v>
      </c>
      <c r="T4328" s="0" t="n">
        <f aca="false">E4328*E4328</f>
        <v>0.0625</v>
      </c>
      <c r="U4328" s="0" t="n">
        <f aca="false">F4328*F4328</f>
        <v>1</v>
      </c>
      <c r="V4328" s="0" t="n">
        <f aca="false">G4328*G4328</f>
        <v>0.0625</v>
      </c>
      <c r="W4328" s="0" t="n">
        <f aca="false">H4328*H4328</f>
        <v>0.0625</v>
      </c>
      <c r="X4328" s="0" t="n">
        <f aca="false">SUMPRODUCT(I4328:W4328,_XtX!$B$96:$P$96)</f>
        <v>47.6531204312865</v>
      </c>
      <c r="Y4328" s="0" t="n">
        <f aca="false">SUMPRODUCT(MMULT(I4328:W4328,_XtX!$B$78:$P$92),I4328:W4328)</f>
        <v>0.457466705500731</v>
      </c>
      <c r="Z4328" s="0" t="n">
        <f aca="false">04_回帰ANOVA!$K$19*04_回帰ANOVA!$K$14*SQRT(1+Y4328)</f>
        <v>1.57361220003999</v>
      </c>
      <c r="AA4328" s="0" t="n">
        <f aca="false">X4328-Z4328</f>
        <v>46.0795082312465</v>
      </c>
      <c r="AB4328" s="0" t="n">
        <f aca="false">X4328+Z4328</f>
        <v>49.2267326313265</v>
      </c>
      <c r="AC4328" s="54" t="b">
        <f aca="false">AND(E4328&gt;=01_因子設定!$L$5-0.000000001,E4328&lt;=01_因子設定!$M$5+0.000000001,F4328&gt;=01_因子設定!$L$6-0.000000001,F4328&lt;=01_因子設定!$M$6+0.000000001,G4328&gt;=01_因子設定!$L$7-0.000000001,G4328&lt;=01_因子設定!$M$7+0.000000001,H4328&gt;=01_因子設定!$L$8-0.000000001,H4328&lt;=01_因子設定!$M$8+0.000000001,IF(01_因子設定!$B$20="Box-Behnken",E4328^2+F4328^2+G4328^2+H4328^2&lt;=2+0.000000001,TRUE()))</f>
        <v>1</v>
      </c>
      <c r="AD4328" s="55" t="n">
        <f aca="false">IF(AC4328,IF(01_因子設定!$B$13="最大化",AA4328-01_因子設定!$B$14,IF(01_因子設定!$B$13="最小化",01_因子設定!$B$15-AB4328,MIN(AA4328-01_因子設定!$B$14,01_因子設定!$B$15-AB4328))),-1E+030)</f>
        <v>-0.420491768753507</v>
      </c>
      <c r="AE4328" s="55" t="n">
        <f aca="false">IF(AC4328,IF(01_因子設定!$B$13="最大化",X4328,IF(01_因子設定!$B$13="最小化",-X4328,-ABS(X4328-01_因子設定!$B$16))),-1E+030)</f>
        <v>47.6531204312865</v>
      </c>
      <c r="AF4328" s="55" t="n">
        <f aca="false">AD4328+ROW()*0.000000001</f>
        <v>-0.420487440753507</v>
      </c>
      <c r="AG4328" s="55" t="n">
        <f aca="false">AE4328+ROW()*0.000000001</f>
        <v>47.6531247592865</v>
      </c>
    </row>
    <row r="4329" customFormat="false" ht="15" hidden="false" customHeight="false" outlineLevel="0" collapsed="false">
      <c r="A4329" s="0" t="n">
        <v>5</v>
      </c>
      <c r="B4329" s="0" t="n">
        <v>8</v>
      </c>
      <c r="C4329" s="0" t="n">
        <v>3</v>
      </c>
      <c r="D4329" s="0" t="n">
        <v>4</v>
      </c>
      <c r="E4329" s="0" t="n">
        <f aca="false">-1+A4329*0.25</f>
        <v>0.25</v>
      </c>
      <c r="F4329" s="0" t="n">
        <f aca="false">-1+B4329*0.25</f>
        <v>1</v>
      </c>
      <c r="G4329" s="0" t="n">
        <f aca="false">-1+C4329*0.25</f>
        <v>-0.25</v>
      </c>
      <c r="H4329" s="0" t="n">
        <f aca="false">-1+D4329*0.25</f>
        <v>0</v>
      </c>
      <c r="I4329" s="0" t="n">
        <f aca="false">1</f>
        <v>1</v>
      </c>
      <c r="J4329" s="0" t="n">
        <f aca="false">E4329</f>
        <v>0.25</v>
      </c>
      <c r="K4329" s="0" t="n">
        <f aca="false">F4329</f>
        <v>1</v>
      </c>
      <c r="L4329" s="0" t="n">
        <f aca="false">G4329</f>
        <v>-0.25</v>
      </c>
      <c r="M4329" s="0" t="n">
        <f aca="false">H4329</f>
        <v>0</v>
      </c>
      <c r="N4329" s="0" t="n">
        <f aca="false">E4329*F4329</f>
        <v>0.25</v>
      </c>
      <c r="O4329" s="0" t="n">
        <f aca="false">E4329*G4329</f>
        <v>-0.0625</v>
      </c>
      <c r="P4329" s="0" t="n">
        <f aca="false">E4329*H4329</f>
        <v>0</v>
      </c>
      <c r="Q4329" s="0" t="n">
        <f aca="false">F4329*G4329</f>
        <v>-0.25</v>
      </c>
      <c r="R4329" s="0" t="n">
        <f aca="false">F4329*H4329</f>
        <v>0</v>
      </c>
      <c r="S4329" s="0" t="n">
        <f aca="false">G4329*H4329</f>
        <v>-0</v>
      </c>
      <c r="T4329" s="0" t="n">
        <f aca="false">E4329*E4329</f>
        <v>0.0625</v>
      </c>
      <c r="U4329" s="0" t="n">
        <f aca="false">F4329*F4329</f>
        <v>1</v>
      </c>
      <c r="V4329" s="0" t="n">
        <f aca="false">G4329*G4329</f>
        <v>0.0625</v>
      </c>
      <c r="W4329" s="0" t="n">
        <f aca="false">H4329*H4329</f>
        <v>0</v>
      </c>
      <c r="X4329" s="0" t="n">
        <f aca="false">SUMPRODUCT(I4329:W4329,_XtX!$B$96:$P$96)</f>
        <v>47.7151315789473</v>
      </c>
      <c r="Y4329" s="0" t="n">
        <f aca="false">SUMPRODUCT(MMULT(I4329:W4329,_XtX!$B$78:$P$92),I4329:W4329)</f>
        <v>0.467417934484649</v>
      </c>
      <c r="Z4329" s="0" t="n">
        <f aca="false">04_回帰ANOVA!$K$19*04_回帰ANOVA!$K$14*SQRT(1+Y4329)</f>
        <v>1.57897518244497</v>
      </c>
      <c r="AA4329" s="0" t="n">
        <f aca="false">X4329-Z4329</f>
        <v>46.1361563965023</v>
      </c>
      <c r="AB4329" s="0" t="n">
        <f aca="false">X4329+Z4329</f>
        <v>49.2941067613923</v>
      </c>
      <c r="AC4329" s="54" t="b">
        <f aca="false">AND(E4329&gt;=01_因子設定!$L$5-0.000000001,E4329&lt;=01_因子設定!$M$5+0.000000001,F4329&gt;=01_因子設定!$L$6-0.000000001,F4329&lt;=01_因子設定!$M$6+0.000000001,G4329&gt;=01_因子設定!$L$7-0.000000001,G4329&lt;=01_因子設定!$M$7+0.000000001,H4329&gt;=01_因子設定!$L$8-0.000000001,H4329&lt;=01_因子設定!$M$8+0.000000001,IF(01_因子設定!$B$20="Box-Behnken",E4329^2+F4329^2+G4329^2+H4329^2&lt;=2+0.000000001,TRUE()))</f>
        <v>1</v>
      </c>
      <c r="AD4329" s="55" t="n">
        <f aca="false">IF(AC4329,IF(01_因子設定!$B$13="最大化",AA4329-01_因子設定!$B$14,IF(01_因子設定!$B$13="最小化",01_因子設定!$B$15-AB4329,MIN(AA4329-01_因子設定!$B$14,01_因子設定!$B$15-AB4329))),-1E+030)</f>
        <v>-0.363843603497664</v>
      </c>
      <c r="AE4329" s="55" t="n">
        <f aca="false">IF(AC4329,IF(01_因子設定!$B$13="最大化",X4329,IF(01_因子設定!$B$13="最小化",-X4329,-ABS(X4329-01_因子設定!$B$16))),-1E+030)</f>
        <v>47.7151315789473</v>
      </c>
      <c r="AF4329" s="55" t="n">
        <f aca="false">AD4329+ROW()*0.000000001</f>
        <v>-0.363839274497664</v>
      </c>
      <c r="AG4329" s="55" t="n">
        <f aca="false">AE4329+ROW()*0.000000001</f>
        <v>47.7151359079473</v>
      </c>
    </row>
    <row r="4330" customFormat="false" ht="15" hidden="false" customHeight="false" outlineLevel="0" collapsed="false">
      <c r="A4330" s="0" t="n">
        <v>5</v>
      </c>
      <c r="B4330" s="0" t="n">
        <v>8</v>
      </c>
      <c r="C4330" s="0" t="n">
        <v>3</v>
      </c>
      <c r="D4330" s="0" t="n">
        <v>5</v>
      </c>
      <c r="E4330" s="0" t="n">
        <f aca="false">-1+A4330*0.25</f>
        <v>0.25</v>
      </c>
      <c r="F4330" s="0" t="n">
        <f aca="false">-1+B4330*0.25</f>
        <v>1</v>
      </c>
      <c r="G4330" s="0" t="n">
        <f aca="false">-1+C4330*0.25</f>
        <v>-0.25</v>
      </c>
      <c r="H4330" s="0" t="n">
        <f aca="false">-1+D4330*0.25</f>
        <v>0.25</v>
      </c>
      <c r="I4330" s="0" t="n">
        <f aca="false">1</f>
        <v>1</v>
      </c>
      <c r="J4330" s="0" t="n">
        <f aca="false">E4330</f>
        <v>0.25</v>
      </c>
      <c r="K4330" s="0" t="n">
        <f aca="false">F4330</f>
        <v>1</v>
      </c>
      <c r="L4330" s="0" t="n">
        <f aca="false">G4330</f>
        <v>-0.25</v>
      </c>
      <c r="M4330" s="0" t="n">
        <f aca="false">H4330</f>
        <v>0.25</v>
      </c>
      <c r="N4330" s="0" t="n">
        <f aca="false">E4330*F4330</f>
        <v>0.25</v>
      </c>
      <c r="O4330" s="0" t="n">
        <f aca="false">E4330*G4330</f>
        <v>-0.0625</v>
      </c>
      <c r="P4330" s="0" t="n">
        <f aca="false">E4330*H4330</f>
        <v>0.0625</v>
      </c>
      <c r="Q4330" s="0" t="n">
        <f aca="false">F4330*G4330</f>
        <v>-0.25</v>
      </c>
      <c r="R4330" s="0" t="n">
        <f aca="false">F4330*H4330</f>
        <v>0.25</v>
      </c>
      <c r="S4330" s="0" t="n">
        <f aca="false">G4330*H4330</f>
        <v>-0.0625</v>
      </c>
      <c r="T4330" s="0" t="n">
        <f aca="false">E4330*E4330</f>
        <v>0.0625</v>
      </c>
      <c r="U4330" s="0" t="n">
        <f aca="false">F4330*F4330</f>
        <v>1</v>
      </c>
      <c r="V4330" s="0" t="n">
        <f aca="false">G4330*G4330</f>
        <v>0.0625</v>
      </c>
      <c r="W4330" s="0" t="n">
        <f aca="false">H4330*H4330</f>
        <v>0.0625</v>
      </c>
      <c r="X4330" s="0" t="n">
        <f aca="false">SUMPRODUCT(I4330:W4330,_XtX!$B$96:$P$96)</f>
        <v>47.7293357090643</v>
      </c>
      <c r="Y4330" s="0" t="n">
        <f aca="false">SUMPRODUCT(MMULT(I4330:W4330,_XtX!$B$78:$P$92),I4330:W4330)</f>
        <v>0.457466705500731</v>
      </c>
      <c r="Z4330" s="0" t="n">
        <f aca="false">04_回帰ANOVA!$K$19*04_回帰ANOVA!$K$14*SQRT(1+Y4330)</f>
        <v>1.57361220003999</v>
      </c>
      <c r="AA4330" s="0" t="n">
        <f aca="false">X4330-Z4330</f>
        <v>46.1557235090243</v>
      </c>
      <c r="AB4330" s="0" t="n">
        <f aca="false">X4330+Z4330</f>
        <v>49.3029479091043</v>
      </c>
      <c r="AC4330" s="54" t="b">
        <f aca="false">AND(E4330&gt;=01_因子設定!$L$5-0.000000001,E4330&lt;=01_因子設定!$M$5+0.000000001,F4330&gt;=01_因子設定!$L$6-0.000000001,F4330&lt;=01_因子設定!$M$6+0.000000001,G4330&gt;=01_因子設定!$L$7-0.000000001,G4330&lt;=01_因子設定!$M$7+0.000000001,H4330&gt;=01_因子設定!$L$8-0.000000001,H4330&lt;=01_因子設定!$M$8+0.000000001,IF(01_因子設定!$B$20="Box-Behnken",E4330^2+F4330^2+G4330^2+H4330^2&lt;=2+0.000000001,TRUE()))</f>
        <v>1</v>
      </c>
      <c r="AD4330" s="55" t="n">
        <f aca="false">IF(AC4330,IF(01_因子設定!$B$13="最大化",AA4330-01_因子設定!$B$14,IF(01_因子設定!$B$13="最小化",01_因子設定!$B$15-AB4330,MIN(AA4330-01_因子設定!$B$14,01_因子設定!$B$15-AB4330))),-1E+030)</f>
        <v>-0.34427649097573</v>
      </c>
      <c r="AE4330" s="55" t="n">
        <f aca="false">IF(AC4330,IF(01_因子設定!$B$13="最大化",X4330,IF(01_因子設定!$B$13="最小化",-X4330,-ABS(X4330-01_因子設定!$B$16))),-1E+030)</f>
        <v>47.7293357090643</v>
      </c>
      <c r="AF4330" s="55" t="n">
        <f aca="false">AD4330+ROW()*0.000000001</f>
        <v>-0.34427216097573</v>
      </c>
      <c r="AG4330" s="55" t="n">
        <f aca="false">AE4330+ROW()*0.000000001</f>
        <v>47.7293400390643</v>
      </c>
    </row>
    <row r="4331" customFormat="false" ht="15" hidden="false" customHeight="false" outlineLevel="0" collapsed="false">
      <c r="A4331" s="0" t="n">
        <v>5</v>
      </c>
      <c r="B4331" s="0" t="n">
        <v>8</v>
      </c>
      <c r="C4331" s="0" t="n">
        <v>3</v>
      </c>
      <c r="D4331" s="0" t="n">
        <v>6</v>
      </c>
      <c r="E4331" s="0" t="n">
        <f aca="false">-1+A4331*0.25</f>
        <v>0.25</v>
      </c>
      <c r="F4331" s="0" t="n">
        <f aca="false">-1+B4331*0.25</f>
        <v>1</v>
      </c>
      <c r="G4331" s="0" t="n">
        <f aca="false">-1+C4331*0.25</f>
        <v>-0.25</v>
      </c>
      <c r="H4331" s="0" t="n">
        <f aca="false">-1+D4331*0.25</f>
        <v>0.5</v>
      </c>
      <c r="I4331" s="0" t="n">
        <f aca="false">1</f>
        <v>1</v>
      </c>
      <c r="J4331" s="0" t="n">
        <f aca="false">E4331</f>
        <v>0.25</v>
      </c>
      <c r="K4331" s="0" t="n">
        <f aca="false">F4331</f>
        <v>1</v>
      </c>
      <c r="L4331" s="0" t="n">
        <f aca="false">G4331</f>
        <v>-0.25</v>
      </c>
      <c r="M4331" s="0" t="n">
        <f aca="false">H4331</f>
        <v>0.5</v>
      </c>
      <c r="N4331" s="0" t="n">
        <f aca="false">E4331*F4331</f>
        <v>0.25</v>
      </c>
      <c r="O4331" s="0" t="n">
        <f aca="false">E4331*G4331</f>
        <v>-0.0625</v>
      </c>
      <c r="P4331" s="0" t="n">
        <f aca="false">E4331*H4331</f>
        <v>0.125</v>
      </c>
      <c r="Q4331" s="0" t="n">
        <f aca="false">F4331*G4331</f>
        <v>-0.25</v>
      </c>
      <c r="R4331" s="0" t="n">
        <f aca="false">F4331*H4331</f>
        <v>0.5</v>
      </c>
      <c r="S4331" s="0" t="n">
        <f aca="false">G4331*H4331</f>
        <v>-0.125</v>
      </c>
      <c r="T4331" s="0" t="n">
        <f aca="false">E4331*E4331</f>
        <v>0.0625</v>
      </c>
      <c r="U4331" s="0" t="n">
        <f aca="false">F4331*F4331</f>
        <v>1</v>
      </c>
      <c r="V4331" s="0" t="n">
        <f aca="false">G4331*G4331</f>
        <v>0.0625</v>
      </c>
      <c r="W4331" s="0" t="n">
        <f aca="false">H4331*H4331</f>
        <v>0.25</v>
      </c>
      <c r="X4331" s="0" t="n">
        <f aca="false">SUMPRODUCT(I4331:W4331,_XtX!$B$96:$P$96)</f>
        <v>47.6957328216374</v>
      </c>
      <c r="Y4331" s="0" t="n">
        <f aca="false">SUMPRODUCT(MMULT(I4331:W4331,_XtX!$B$78:$P$92),I4331:W4331)</f>
        <v>0.445705123812135</v>
      </c>
      <c r="Z4331" s="0" t="n">
        <f aca="false">04_回帰ANOVA!$K$19*04_回帰ANOVA!$K$14*SQRT(1+Y4331)</f>
        <v>1.56724990734749</v>
      </c>
      <c r="AA4331" s="0" t="n">
        <f aca="false">X4331-Z4331</f>
        <v>46.1284829142899</v>
      </c>
      <c r="AB4331" s="0" t="n">
        <f aca="false">X4331+Z4331</f>
        <v>49.2629827289849</v>
      </c>
      <c r="AC4331" s="54" t="b">
        <f aca="false">AND(E4331&gt;=01_因子設定!$L$5-0.000000001,E4331&lt;=01_因子設定!$M$5+0.000000001,F4331&gt;=01_因子設定!$L$6-0.000000001,F4331&lt;=01_因子設定!$M$6+0.000000001,G4331&gt;=01_因子設定!$L$7-0.000000001,G4331&lt;=01_因子設定!$M$7+0.000000001,H4331&gt;=01_因子設定!$L$8-0.000000001,H4331&lt;=01_因子設定!$M$8+0.000000001,IF(01_因子設定!$B$20="Box-Behnken",E4331^2+F4331^2+G4331^2+H4331^2&lt;=2+0.000000001,TRUE()))</f>
        <v>1</v>
      </c>
      <c r="AD4331" s="55" t="n">
        <f aca="false">IF(AC4331,IF(01_因子設定!$B$13="最大化",AA4331-01_因子設定!$B$14,IF(01_因子設定!$B$13="最小化",01_因子設定!$B$15-AB4331,MIN(AA4331-01_因子設定!$B$14,01_因子設定!$B$15-AB4331))),-1E+030)</f>
        <v>-0.371517085710117</v>
      </c>
      <c r="AE4331" s="55" t="n">
        <f aca="false">IF(AC4331,IF(01_因子設定!$B$13="最大化",X4331,IF(01_因子設定!$B$13="最小化",-X4331,-ABS(X4331-01_因子設定!$B$16))),-1E+030)</f>
        <v>47.6957328216374</v>
      </c>
      <c r="AF4331" s="55" t="n">
        <f aca="false">AD4331+ROW()*0.000000001</f>
        <v>-0.371512754710117</v>
      </c>
      <c r="AG4331" s="55" t="n">
        <f aca="false">AE4331+ROW()*0.000000001</f>
        <v>47.6957371526374</v>
      </c>
    </row>
    <row r="4332" customFormat="false" ht="15" hidden="false" customHeight="false" outlineLevel="0" collapsed="false">
      <c r="A4332" s="0" t="n">
        <v>5</v>
      </c>
      <c r="B4332" s="0" t="n">
        <v>8</v>
      </c>
      <c r="C4332" s="0" t="n">
        <v>3</v>
      </c>
      <c r="D4332" s="0" t="n">
        <v>7</v>
      </c>
      <c r="E4332" s="0" t="n">
        <f aca="false">-1+A4332*0.25</f>
        <v>0.25</v>
      </c>
      <c r="F4332" s="0" t="n">
        <f aca="false">-1+B4332*0.25</f>
        <v>1</v>
      </c>
      <c r="G4332" s="0" t="n">
        <f aca="false">-1+C4332*0.25</f>
        <v>-0.25</v>
      </c>
      <c r="H4332" s="0" t="n">
        <f aca="false">-1+D4332*0.25</f>
        <v>0.75</v>
      </c>
      <c r="I4332" s="0" t="n">
        <f aca="false">1</f>
        <v>1</v>
      </c>
      <c r="J4332" s="0" t="n">
        <f aca="false">E4332</f>
        <v>0.25</v>
      </c>
      <c r="K4332" s="0" t="n">
        <f aca="false">F4332</f>
        <v>1</v>
      </c>
      <c r="L4332" s="0" t="n">
        <f aca="false">G4332</f>
        <v>-0.25</v>
      </c>
      <c r="M4332" s="0" t="n">
        <f aca="false">H4332</f>
        <v>0.75</v>
      </c>
      <c r="N4332" s="0" t="n">
        <f aca="false">E4332*F4332</f>
        <v>0.25</v>
      </c>
      <c r="O4332" s="0" t="n">
        <f aca="false">E4332*G4332</f>
        <v>-0.0625</v>
      </c>
      <c r="P4332" s="0" t="n">
        <f aca="false">E4332*H4332</f>
        <v>0.1875</v>
      </c>
      <c r="Q4332" s="0" t="n">
        <f aca="false">F4332*G4332</f>
        <v>-0.25</v>
      </c>
      <c r="R4332" s="0" t="n">
        <f aca="false">F4332*H4332</f>
        <v>0.75</v>
      </c>
      <c r="S4332" s="0" t="n">
        <f aca="false">G4332*H4332</f>
        <v>-0.1875</v>
      </c>
      <c r="T4332" s="0" t="n">
        <f aca="false">E4332*E4332</f>
        <v>0.0625</v>
      </c>
      <c r="U4332" s="0" t="n">
        <f aca="false">F4332*F4332</f>
        <v>1</v>
      </c>
      <c r="V4332" s="0" t="n">
        <f aca="false">G4332*G4332</f>
        <v>0.0625</v>
      </c>
      <c r="W4332" s="0" t="n">
        <f aca="false">H4332*H4332</f>
        <v>0.5625</v>
      </c>
      <c r="X4332" s="0" t="n">
        <f aca="false">SUMPRODUCT(I4332:W4332,_XtX!$B$96:$P$96)</f>
        <v>47.6143229166666</v>
      </c>
      <c r="Y4332" s="0" t="n">
        <f aca="false">SUMPRODUCT(MMULT(I4332:W4332,_XtX!$B$78:$P$92),I4332:W4332)</f>
        <v>0.486409505208334</v>
      </c>
      <c r="Z4332" s="0" t="n">
        <f aca="false">04_回帰ANOVA!$K$19*04_回帰ANOVA!$K$14*SQRT(1+Y4332)</f>
        <v>1.58916001665498</v>
      </c>
      <c r="AA4332" s="0" t="n">
        <f aca="false">X4332-Z4332</f>
        <v>46.0251629000116</v>
      </c>
      <c r="AB4332" s="0" t="n">
        <f aca="false">X4332+Z4332</f>
        <v>49.2034829333216</v>
      </c>
      <c r="AC4332" s="54" t="b">
        <f aca="false">AND(E4332&gt;=01_因子設定!$L$5-0.000000001,E4332&lt;=01_因子設定!$M$5+0.000000001,F4332&gt;=01_因子設定!$L$6-0.000000001,F4332&lt;=01_因子設定!$M$6+0.000000001,G4332&gt;=01_因子設定!$L$7-0.000000001,G4332&lt;=01_因子設定!$M$7+0.000000001,H4332&gt;=01_因子設定!$L$8-0.000000001,H4332&lt;=01_因子設定!$M$8+0.000000001,IF(01_因子設定!$B$20="Box-Behnken",E4332^2+F4332^2+G4332^2+H4332^2&lt;=2+0.000000001,TRUE()))</f>
        <v>1</v>
      </c>
      <c r="AD4332" s="55" t="n">
        <f aca="false">IF(AC4332,IF(01_因子設定!$B$13="最大化",AA4332-01_因子設定!$B$14,IF(01_因子設定!$B$13="最小化",01_因子設定!$B$15-AB4332,MIN(AA4332-01_因子設定!$B$14,01_因子設定!$B$15-AB4332))),-1E+030)</f>
        <v>-0.474837099988356</v>
      </c>
      <c r="AE4332" s="55" t="n">
        <f aca="false">IF(AC4332,IF(01_因子設定!$B$13="最大化",X4332,IF(01_因子設定!$B$13="最小化",-X4332,-ABS(X4332-01_因子設定!$B$16))),-1E+030)</f>
        <v>47.6143229166666</v>
      </c>
      <c r="AF4332" s="55" t="n">
        <f aca="false">AD4332+ROW()*0.000000001</f>
        <v>-0.474832767988356</v>
      </c>
      <c r="AG4332" s="55" t="n">
        <f aca="false">AE4332+ROW()*0.000000001</f>
        <v>47.6143272486666</v>
      </c>
    </row>
    <row r="4333" customFormat="false" ht="15" hidden="false" customHeight="false" outlineLevel="0" collapsed="false">
      <c r="A4333" s="0" t="n">
        <v>5</v>
      </c>
      <c r="B4333" s="0" t="n">
        <v>8</v>
      </c>
      <c r="C4333" s="0" t="n">
        <v>3</v>
      </c>
      <c r="D4333" s="0" t="n">
        <v>8</v>
      </c>
      <c r="E4333" s="0" t="n">
        <f aca="false">-1+A4333*0.25</f>
        <v>0.25</v>
      </c>
      <c r="F4333" s="0" t="n">
        <f aca="false">-1+B4333*0.25</f>
        <v>1</v>
      </c>
      <c r="G4333" s="0" t="n">
        <f aca="false">-1+C4333*0.25</f>
        <v>-0.25</v>
      </c>
      <c r="H4333" s="0" t="n">
        <f aca="false">-1+D4333*0.25</f>
        <v>1</v>
      </c>
      <c r="I4333" s="0" t="n">
        <f aca="false">1</f>
        <v>1</v>
      </c>
      <c r="J4333" s="0" t="n">
        <f aca="false">E4333</f>
        <v>0.25</v>
      </c>
      <c r="K4333" s="0" t="n">
        <f aca="false">F4333</f>
        <v>1</v>
      </c>
      <c r="L4333" s="0" t="n">
        <f aca="false">G4333</f>
        <v>-0.25</v>
      </c>
      <c r="M4333" s="0" t="n">
        <f aca="false">H4333</f>
        <v>1</v>
      </c>
      <c r="N4333" s="0" t="n">
        <f aca="false">E4333*F4333</f>
        <v>0.25</v>
      </c>
      <c r="O4333" s="0" t="n">
        <f aca="false">E4333*G4333</f>
        <v>-0.0625</v>
      </c>
      <c r="P4333" s="0" t="n">
        <f aca="false">E4333*H4333</f>
        <v>0.25</v>
      </c>
      <c r="Q4333" s="0" t="n">
        <f aca="false">F4333*G4333</f>
        <v>-0.25</v>
      </c>
      <c r="R4333" s="0" t="n">
        <f aca="false">F4333*H4333</f>
        <v>1</v>
      </c>
      <c r="S4333" s="0" t="n">
        <f aca="false">G4333*H4333</f>
        <v>-0.25</v>
      </c>
      <c r="T4333" s="0" t="n">
        <f aca="false">E4333*E4333</f>
        <v>0.0625</v>
      </c>
      <c r="U4333" s="0" t="n">
        <f aca="false">F4333*F4333</f>
        <v>1</v>
      </c>
      <c r="V4333" s="0" t="n">
        <f aca="false">G4333*G4333</f>
        <v>0.0625</v>
      </c>
      <c r="W4333" s="0" t="n">
        <f aca="false">H4333*H4333</f>
        <v>1</v>
      </c>
      <c r="X4333" s="0" t="n">
        <f aca="false">SUMPRODUCT(I4333:W4333,_XtX!$B$96:$P$96)</f>
        <v>47.485105994152</v>
      </c>
      <c r="Y4333" s="0" t="n">
        <f aca="false">SUMPRODUCT(MMULT(I4333:W4333,_XtX!$B$78:$P$92),I4333:W4333)</f>
        <v>0.670040376005117</v>
      </c>
      <c r="Z4333" s="0" t="n">
        <f aca="false">04_回帰ANOVA!$K$19*04_回帰ANOVA!$K$14*SQRT(1+Y4333)</f>
        <v>1.68446456039992</v>
      </c>
      <c r="AA4333" s="0" t="n">
        <f aca="false">X4333-Z4333</f>
        <v>45.8006414337521</v>
      </c>
      <c r="AB4333" s="0" t="n">
        <f aca="false">X4333+Z4333</f>
        <v>49.1695705545519</v>
      </c>
      <c r="AC4333" s="54" t="b">
        <f aca="false">AND(E4333&gt;=01_因子設定!$L$5-0.000000001,E4333&lt;=01_因子設定!$M$5+0.000000001,F4333&gt;=01_因子設定!$L$6-0.000000001,F4333&lt;=01_因子設定!$M$6+0.000000001,G4333&gt;=01_因子設定!$L$7-0.000000001,G4333&lt;=01_因子設定!$M$7+0.000000001,H4333&gt;=01_因子設定!$L$8-0.000000001,H4333&lt;=01_因子設定!$M$8+0.000000001,IF(01_因子設定!$B$20="Box-Behnken",E4333^2+F4333^2+G4333^2+H4333^2&lt;=2+0.000000001,TRUE()))</f>
        <v>1</v>
      </c>
      <c r="AD4333" s="55" t="n">
        <f aca="false">IF(AC4333,IF(01_因子設定!$B$13="最大化",AA4333-01_因子設定!$B$14,IF(01_因子設定!$B$13="最小化",01_因子設定!$B$15-AB4333,MIN(AA4333-01_因子設定!$B$14,01_因子設定!$B$15-AB4333))),-1E+030)</f>
        <v>-0.699358566247895</v>
      </c>
      <c r="AE4333" s="55" t="n">
        <f aca="false">IF(AC4333,IF(01_因子設定!$B$13="最大化",X4333,IF(01_因子設定!$B$13="最小化",-X4333,-ABS(X4333-01_因子設定!$B$16))),-1E+030)</f>
        <v>47.485105994152</v>
      </c>
      <c r="AF4333" s="55" t="n">
        <f aca="false">AD4333+ROW()*0.000000001</f>
        <v>-0.699354233247895</v>
      </c>
      <c r="AG4333" s="55" t="n">
        <f aca="false">AE4333+ROW()*0.000000001</f>
        <v>47.485110327152</v>
      </c>
    </row>
    <row r="4334" customFormat="false" ht="15" hidden="false" customHeight="false" outlineLevel="0" collapsed="false">
      <c r="A4334" s="0" t="n">
        <v>5</v>
      </c>
      <c r="B4334" s="0" t="n">
        <v>8</v>
      </c>
      <c r="C4334" s="0" t="n">
        <v>4</v>
      </c>
      <c r="D4334" s="0" t="n">
        <v>0</v>
      </c>
      <c r="E4334" s="0" t="n">
        <f aca="false">-1+A4334*0.25</f>
        <v>0.25</v>
      </c>
      <c r="F4334" s="0" t="n">
        <f aca="false">-1+B4334*0.25</f>
        <v>1</v>
      </c>
      <c r="G4334" s="0" t="n">
        <f aca="false">-1+C4334*0.25</f>
        <v>0</v>
      </c>
      <c r="H4334" s="0" t="n">
        <f aca="false">-1+D4334*0.25</f>
        <v>-1</v>
      </c>
      <c r="I4334" s="0" t="n">
        <f aca="false">1</f>
        <v>1</v>
      </c>
      <c r="J4334" s="0" t="n">
        <f aca="false">E4334</f>
        <v>0.25</v>
      </c>
      <c r="K4334" s="0" t="n">
        <f aca="false">F4334</f>
        <v>1</v>
      </c>
      <c r="L4334" s="0" t="n">
        <f aca="false">G4334</f>
        <v>0</v>
      </c>
      <c r="M4334" s="0" t="n">
        <f aca="false">H4334</f>
        <v>-1</v>
      </c>
      <c r="N4334" s="0" t="n">
        <f aca="false">E4334*F4334</f>
        <v>0.25</v>
      </c>
      <c r="O4334" s="0" t="n">
        <f aca="false">E4334*G4334</f>
        <v>0</v>
      </c>
      <c r="P4334" s="0" t="n">
        <f aca="false">E4334*H4334</f>
        <v>-0.25</v>
      </c>
      <c r="Q4334" s="0" t="n">
        <f aca="false">F4334*G4334</f>
        <v>0</v>
      </c>
      <c r="R4334" s="0" t="n">
        <f aca="false">F4334*H4334</f>
        <v>-1</v>
      </c>
      <c r="S4334" s="0" t="n">
        <f aca="false">G4334*H4334</f>
        <v>-0</v>
      </c>
      <c r="T4334" s="0" t="n">
        <f aca="false">E4334*E4334</f>
        <v>0.0625</v>
      </c>
      <c r="U4334" s="0" t="n">
        <f aca="false">F4334*F4334</f>
        <v>1</v>
      </c>
      <c r="V4334" s="0" t="n">
        <f aca="false">G4334*G4334</f>
        <v>0</v>
      </c>
      <c r="W4334" s="0" t="n">
        <f aca="false">H4334*H4334</f>
        <v>1</v>
      </c>
      <c r="X4334" s="0" t="n">
        <f aca="false">SUMPRODUCT(I4334:W4334,_XtX!$B$96:$P$96)</f>
        <v>47.4343567251462</v>
      </c>
      <c r="Y4334" s="0" t="n">
        <f aca="false">SUMPRODUCT(MMULT(I4334:W4334,_XtX!$B$78:$P$92),I4334:W4334)</f>
        <v>0.689692982456141</v>
      </c>
      <c r="Z4334" s="0" t="n">
        <f aca="false">04_回帰ANOVA!$K$19*04_回帰ANOVA!$K$14*SQRT(1+Y4334)</f>
        <v>1.69434674594998</v>
      </c>
      <c r="AA4334" s="0" t="n">
        <f aca="false">X4334-Z4334</f>
        <v>45.7400099791962</v>
      </c>
      <c r="AB4334" s="0" t="n">
        <f aca="false">X4334+Z4334</f>
        <v>49.1287034710962</v>
      </c>
      <c r="AC4334" s="54" t="b">
        <f aca="false">AND(E4334&gt;=01_因子設定!$L$5-0.000000001,E4334&lt;=01_因子設定!$M$5+0.000000001,F4334&gt;=01_因子設定!$L$6-0.000000001,F4334&lt;=01_因子設定!$M$6+0.000000001,G4334&gt;=01_因子設定!$L$7-0.000000001,G4334&lt;=01_因子設定!$M$7+0.000000001,H4334&gt;=01_因子設定!$L$8-0.000000001,H4334&lt;=01_因子設定!$M$8+0.000000001,IF(01_因子設定!$B$20="Box-Behnken",E4334^2+F4334^2+G4334^2+H4334^2&lt;=2+0.000000001,TRUE()))</f>
        <v>1</v>
      </c>
      <c r="AD4334" s="55" t="n">
        <f aca="false">IF(AC4334,IF(01_因子設定!$B$13="最大化",AA4334-01_因子設定!$B$14,IF(01_因子設定!$B$13="最小化",01_因子設定!$B$15-AB4334,MIN(AA4334-01_因子設定!$B$14,01_因子設定!$B$15-AB4334))),-1E+030)</f>
        <v>-0.759990020803812</v>
      </c>
      <c r="AE4334" s="55" t="n">
        <f aca="false">IF(AC4334,IF(01_因子設定!$B$13="最大化",X4334,IF(01_因子設定!$B$13="最小化",-X4334,-ABS(X4334-01_因子設定!$B$16))),-1E+030)</f>
        <v>47.4343567251462</v>
      </c>
      <c r="AF4334" s="55" t="n">
        <f aca="false">AD4334+ROW()*0.000000001</f>
        <v>-0.759985686803812</v>
      </c>
      <c r="AG4334" s="55" t="n">
        <f aca="false">AE4334+ROW()*0.000000001</f>
        <v>47.4343610591462</v>
      </c>
    </row>
    <row r="4335" customFormat="false" ht="15" hidden="false" customHeight="false" outlineLevel="0" collapsed="false">
      <c r="A4335" s="0" t="n">
        <v>5</v>
      </c>
      <c r="B4335" s="0" t="n">
        <v>8</v>
      </c>
      <c r="C4335" s="0" t="n">
        <v>4</v>
      </c>
      <c r="D4335" s="0" t="n">
        <v>1</v>
      </c>
      <c r="E4335" s="0" t="n">
        <f aca="false">-1+A4335*0.25</f>
        <v>0.25</v>
      </c>
      <c r="F4335" s="0" t="n">
        <f aca="false">-1+B4335*0.25</f>
        <v>1</v>
      </c>
      <c r="G4335" s="0" t="n">
        <f aca="false">-1+C4335*0.25</f>
        <v>0</v>
      </c>
      <c r="H4335" s="0" t="n">
        <f aca="false">-1+D4335*0.25</f>
        <v>-0.75</v>
      </c>
      <c r="I4335" s="0" t="n">
        <f aca="false">1</f>
        <v>1</v>
      </c>
      <c r="J4335" s="0" t="n">
        <f aca="false">E4335</f>
        <v>0.25</v>
      </c>
      <c r="K4335" s="0" t="n">
        <f aca="false">F4335</f>
        <v>1</v>
      </c>
      <c r="L4335" s="0" t="n">
        <f aca="false">G4335</f>
        <v>0</v>
      </c>
      <c r="M4335" s="0" t="n">
        <f aca="false">H4335</f>
        <v>-0.75</v>
      </c>
      <c r="N4335" s="0" t="n">
        <f aca="false">E4335*F4335</f>
        <v>0.25</v>
      </c>
      <c r="O4335" s="0" t="n">
        <f aca="false">E4335*G4335</f>
        <v>0</v>
      </c>
      <c r="P4335" s="0" t="n">
        <f aca="false">E4335*H4335</f>
        <v>-0.1875</v>
      </c>
      <c r="Q4335" s="0" t="n">
        <f aca="false">F4335*G4335</f>
        <v>0</v>
      </c>
      <c r="R4335" s="0" t="n">
        <f aca="false">F4335*H4335</f>
        <v>-0.75</v>
      </c>
      <c r="S4335" s="0" t="n">
        <f aca="false">G4335*H4335</f>
        <v>-0</v>
      </c>
      <c r="T4335" s="0" t="n">
        <f aca="false">E4335*E4335</f>
        <v>0.0625</v>
      </c>
      <c r="U4335" s="0" t="n">
        <f aca="false">F4335*F4335</f>
        <v>1</v>
      </c>
      <c r="V4335" s="0" t="n">
        <f aca="false">G4335*G4335</f>
        <v>0</v>
      </c>
      <c r="W4335" s="0" t="n">
        <f aca="false">H4335*H4335</f>
        <v>0.5625</v>
      </c>
      <c r="X4335" s="0" t="n">
        <f aca="false">SUMPRODUCT(I4335:W4335,_XtX!$B$96:$P$96)</f>
        <v>47.6577576754386</v>
      </c>
      <c r="Y4335" s="0" t="n">
        <f aca="false">SUMPRODUCT(MMULT(I4335:W4335,_XtX!$B$78:$P$92),I4335:W4335)</f>
        <v>0.501534802174708</v>
      </c>
      <c r="Z4335" s="0" t="n">
        <f aca="false">04_回帰ANOVA!$K$19*04_回帰ANOVA!$K$14*SQRT(1+Y4335)</f>
        <v>1.59722498091333</v>
      </c>
      <c r="AA4335" s="0" t="n">
        <f aca="false">X4335-Z4335</f>
        <v>46.0605326945252</v>
      </c>
      <c r="AB4335" s="0" t="n">
        <f aca="false">X4335+Z4335</f>
        <v>49.2549826563519</v>
      </c>
      <c r="AC4335" s="54" t="b">
        <f aca="false">AND(E4335&gt;=01_因子設定!$L$5-0.000000001,E4335&lt;=01_因子設定!$M$5+0.000000001,F4335&gt;=01_因子設定!$L$6-0.000000001,F4335&lt;=01_因子設定!$M$6+0.000000001,G4335&gt;=01_因子設定!$L$7-0.000000001,G4335&lt;=01_因子設定!$M$7+0.000000001,H4335&gt;=01_因子設定!$L$8-0.000000001,H4335&lt;=01_因子設定!$M$8+0.000000001,IF(01_因子設定!$B$20="Box-Behnken",E4335^2+F4335^2+G4335^2+H4335^2&lt;=2+0.000000001,TRUE()))</f>
        <v>1</v>
      </c>
      <c r="AD4335" s="55" t="n">
        <f aca="false">IF(AC4335,IF(01_因子設定!$B$13="最大化",AA4335-01_因子設定!$B$14,IF(01_因子設定!$B$13="最小化",01_因子設定!$B$15-AB4335,MIN(AA4335-01_因子設定!$B$14,01_因子設定!$B$15-AB4335))),-1E+030)</f>
        <v>-0.439467305474778</v>
      </c>
      <c r="AE4335" s="55" t="n">
        <f aca="false">IF(AC4335,IF(01_因子設定!$B$13="最大化",X4335,IF(01_因子設定!$B$13="最小化",-X4335,-ABS(X4335-01_因子設定!$B$16))),-1E+030)</f>
        <v>47.6577576754386</v>
      </c>
      <c r="AF4335" s="55" t="n">
        <f aca="false">AD4335+ROW()*0.000000001</f>
        <v>-0.439462970474778</v>
      </c>
      <c r="AG4335" s="55" t="n">
        <f aca="false">AE4335+ROW()*0.000000001</f>
        <v>47.6577620104386</v>
      </c>
    </row>
    <row r="4336" customFormat="false" ht="15" hidden="false" customHeight="false" outlineLevel="0" collapsed="false">
      <c r="A4336" s="0" t="n">
        <v>5</v>
      </c>
      <c r="B4336" s="0" t="n">
        <v>8</v>
      </c>
      <c r="C4336" s="0" t="n">
        <v>4</v>
      </c>
      <c r="D4336" s="0" t="n">
        <v>2</v>
      </c>
      <c r="E4336" s="0" t="n">
        <f aca="false">-1+A4336*0.25</f>
        <v>0.25</v>
      </c>
      <c r="F4336" s="0" t="n">
        <f aca="false">-1+B4336*0.25</f>
        <v>1</v>
      </c>
      <c r="G4336" s="0" t="n">
        <f aca="false">-1+C4336*0.25</f>
        <v>0</v>
      </c>
      <c r="H4336" s="0" t="n">
        <f aca="false">-1+D4336*0.25</f>
        <v>-0.5</v>
      </c>
      <c r="I4336" s="0" t="n">
        <f aca="false">1</f>
        <v>1</v>
      </c>
      <c r="J4336" s="0" t="n">
        <f aca="false">E4336</f>
        <v>0.25</v>
      </c>
      <c r="K4336" s="0" t="n">
        <f aca="false">F4336</f>
        <v>1</v>
      </c>
      <c r="L4336" s="0" t="n">
        <f aca="false">G4336</f>
        <v>0</v>
      </c>
      <c r="M4336" s="0" t="n">
        <f aca="false">H4336</f>
        <v>-0.5</v>
      </c>
      <c r="N4336" s="0" t="n">
        <f aca="false">E4336*F4336</f>
        <v>0.25</v>
      </c>
      <c r="O4336" s="0" t="n">
        <f aca="false">E4336*G4336</f>
        <v>0</v>
      </c>
      <c r="P4336" s="0" t="n">
        <f aca="false">E4336*H4336</f>
        <v>-0.125</v>
      </c>
      <c r="Q4336" s="0" t="n">
        <f aca="false">F4336*G4336</f>
        <v>0</v>
      </c>
      <c r="R4336" s="0" t="n">
        <f aca="false">F4336*H4336</f>
        <v>-0.5</v>
      </c>
      <c r="S4336" s="0" t="n">
        <f aca="false">G4336*H4336</f>
        <v>-0</v>
      </c>
      <c r="T4336" s="0" t="n">
        <f aca="false">E4336*E4336</f>
        <v>0.0625</v>
      </c>
      <c r="U4336" s="0" t="n">
        <f aca="false">F4336*F4336</f>
        <v>1</v>
      </c>
      <c r="V4336" s="0" t="n">
        <f aca="false">G4336*G4336</f>
        <v>0</v>
      </c>
      <c r="W4336" s="0" t="n">
        <f aca="false">H4336*H4336</f>
        <v>0.25</v>
      </c>
      <c r="X4336" s="0" t="n">
        <f aca="false">SUMPRODUCT(I4336:W4336,_XtX!$B$96:$P$96)</f>
        <v>47.8333516081871</v>
      </c>
      <c r="Y4336" s="0" t="n">
        <f aca="false">SUMPRODUCT(MMULT(I4336:W4336,_XtX!$B$78:$P$92),I4336:W4336)</f>
        <v>0.457596628289474</v>
      </c>
      <c r="Z4336" s="0" t="n">
        <f aca="false">04_回帰ANOVA!$K$19*04_回帰ANOVA!$K$14*SQRT(1+Y4336)</f>
        <v>1.57368233664366</v>
      </c>
      <c r="AA4336" s="0" t="n">
        <f aca="false">X4336-Z4336</f>
        <v>46.2596692715434</v>
      </c>
      <c r="AB4336" s="0" t="n">
        <f aca="false">X4336+Z4336</f>
        <v>49.4070339448307</v>
      </c>
      <c r="AC4336" s="54" t="b">
        <f aca="false">AND(E4336&gt;=01_因子設定!$L$5-0.000000001,E4336&lt;=01_因子設定!$M$5+0.000000001,F4336&gt;=01_因子設定!$L$6-0.000000001,F4336&lt;=01_因子設定!$M$6+0.000000001,G4336&gt;=01_因子設定!$L$7-0.000000001,G4336&lt;=01_因子設定!$M$7+0.000000001,H4336&gt;=01_因子設定!$L$8-0.000000001,H4336&lt;=01_因子設定!$M$8+0.000000001,IF(01_因子設定!$B$20="Box-Behnken",E4336^2+F4336^2+G4336^2+H4336^2&lt;=2+0.000000001,TRUE()))</f>
        <v>1</v>
      </c>
      <c r="AD4336" s="55" t="n">
        <f aca="false">IF(AC4336,IF(01_因子設定!$B$13="最大化",AA4336-01_因子設定!$B$14,IF(01_因子設定!$B$13="最小化",01_因子設定!$B$15-AB4336,MIN(AA4336-01_因子設定!$B$14,01_因子設定!$B$15-AB4336))),-1E+030)</f>
        <v>-0.240330728456577</v>
      </c>
      <c r="AE4336" s="55" t="n">
        <f aca="false">IF(AC4336,IF(01_因子設定!$B$13="最大化",X4336,IF(01_因子設定!$B$13="最小化",-X4336,-ABS(X4336-01_因子設定!$B$16))),-1E+030)</f>
        <v>47.8333516081871</v>
      </c>
      <c r="AF4336" s="55" t="n">
        <f aca="false">AD4336+ROW()*0.000000001</f>
        <v>-0.240326392456577</v>
      </c>
      <c r="AG4336" s="55" t="n">
        <f aca="false">AE4336+ROW()*0.000000001</f>
        <v>47.8333559441871</v>
      </c>
    </row>
    <row r="4337" customFormat="false" ht="15" hidden="false" customHeight="false" outlineLevel="0" collapsed="false">
      <c r="A4337" s="0" t="n">
        <v>5</v>
      </c>
      <c r="B4337" s="0" t="n">
        <v>8</v>
      </c>
      <c r="C4337" s="0" t="n">
        <v>4</v>
      </c>
      <c r="D4337" s="0" t="n">
        <v>3</v>
      </c>
      <c r="E4337" s="0" t="n">
        <f aca="false">-1+A4337*0.25</f>
        <v>0.25</v>
      </c>
      <c r="F4337" s="0" t="n">
        <f aca="false">-1+B4337*0.25</f>
        <v>1</v>
      </c>
      <c r="G4337" s="0" t="n">
        <f aca="false">-1+C4337*0.25</f>
        <v>0</v>
      </c>
      <c r="H4337" s="0" t="n">
        <f aca="false">-1+D4337*0.25</f>
        <v>-0.25</v>
      </c>
      <c r="I4337" s="0" t="n">
        <f aca="false">1</f>
        <v>1</v>
      </c>
      <c r="J4337" s="0" t="n">
        <f aca="false">E4337</f>
        <v>0.25</v>
      </c>
      <c r="K4337" s="0" t="n">
        <f aca="false">F4337</f>
        <v>1</v>
      </c>
      <c r="L4337" s="0" t="n">
        <f aca="false">G4337</f>
        <v>0</v>
      </c>
      <c r="M4337" s="0" t="n">
        <f aca="false">H4337</f>
        <v>-0.25</v>
      </c>
      <c r="N4337" s="0" t="n">
        <f aca="false">E4337*F4337</f>
        <v>0.25</v>
      </c>
      <c r="O4337" s="0" t="n">
        <f aca="false">E4337*G4337</f>
        <v>0</v>
      </c>
      <c r="P4337" s="0" t="n">
        <f aca="false">E4337*H4337</f>
        <v>-0.0625</v>
      </c>
      <c r="Q4337" s="0" t="n">
        <f aca="false">F4337*G4337</f>
        <v>0</v>
      </c>
      <c r="R4337" s="0" t="n">
        <f aca="false">F4337*H4337</f>
        <v>-0.25</v>
      </c>
      <c r="S4337" s="0" t="n">
        <f aca="false">G4337*H4337</f>
        <v>-0</v>
      </c>
      <c r="T4337" s="0" t="n">
        <f aca="false">E4337*E4337</f>
        <v>0.0625</v>
      </c>
      <c r="U4337" s="0" t="n">
        <f aca="false">F4337*F4337</f>
        <v>1</v>
      </c>
      <c r="V4337" s="0" t="n">
        <f aca="false">G4337*G4337</f>
        <v>0</v>
      </c>
      <c r="W4337" s="0" t="n">
        <f aca="false">H4337*H4337</f>
        <v>0.0625</v>
      </c>
      <c r="X4337" s="0" t="n">
        <f aca="false">SUMPRODUCT(I4337:W4337,_XtX!$B$96:$P$96)</f>
        <v>47.9611385233918</v>
      </c>
      <c r="Y4337" s="0" t="n">
        <f aca="false">SUMPRODUCT(MMULT(I4337:W4337,_XtX!$B$78:$P$92),I4337:W4337)</f>
        <v>0.467417934484649</v>
      </c>
      <c r="Z4337" s="0" t="n">
        <f aca="false">04_回帰ANOVA!$K$19*04_回帰ANOVA!$K$14*SQRT(1+Y4337)</f>
        <v>1.57897518244497</v>
      </c>
      <c r="AA4337" s="0" t="n">
        <f aca="false">X4337-Z4337</f>
        <v>46.3821633409468</v>
      </c>
      <c r="AB4337" s="0" t="n">
        <f aca="false">X4337+Z4337</f>
        <v>49.5401137058367</v>
      </c>
      <c r="AC4337" s="54" t="b">
        <f aca="false">AND(E4337&gt;=01_因子設定!$L$5-0.000000001,E4337&lt;=01_因子設定!$M$5+0.000000001,F4337&gt;=01_因子設定!$L$6-0.000000001,F4337&lt;=01_因子設定!$M$6+0.000000001,G4337&gt;=01_因子設定!$L$7-0.000000001,G4337&lt;=01_因子設定!$M$7+0.000000001,H4337&gt;=01_因子設定!$L$8-0.000000001,H4337&lt;=01_因子設定!$M$8+0.000000001,IF(01_因子設定!$B$20="Box-Behnken",E4337^2+F4337^2+G4337^2+H4337^2&lt;=2+0.000000001,TRUE()))</f>
        <v>1</v>
      </c>
      <c r="AD4337" s="55" t="n">
        <f aca="false">IF(AC4337,IF(01_因子設定!$B$13="最大化",AA4337-01_因子設定!$B$14,IF(01_因子設定!$B$13="最小化",01_因子設定!$B$15-AB4337,MIN(AA4337-01_因子設定!$B$14,01_因子設定!$B$15-AB4337))),-1E+030)</f>
        <v>-0.117836659053218</v>
      </c>
      <c r="AE4337" s="55" t="n">
        <f aca="false">IF(AC4337,IF(01_因子設定!$B$13="最大化",X4337,IF(01_因子設定!$B$13="最小化",-X4337,-ABS(X4337-01_因子設定!$B$16))),-1E+030)</f>
        <v>47.9611385233918</v>
      </c>
      <c r="AF4337" s="55" t="n">
        <f aca="false">AD4337+ROW()*0.000000001</f>
        <v>-0.117832322053218</v>
      </c>
      <c r="AG4337" s="55" t="n">
        <f aca="false">AE4337+ROW()*0.000000001</f>
        <v>47.9611428603918</v>
      </c>
    </row>
    <row r="4338" customFormat="false" ht="15" hidden="false" customHeight="false" outlineLevel="0" collapsed="false">
      <c r="A4338" s="0" t="n">
        <v>5</v>
      </c>
      <c r="B4338" s="0" t="n">
        <v>8</v>
      </c>
      <c r="C4338" s="0" t="n">
        <v>4</v>
      </c>
      <c r="D4338" s="0" t="n">
        <v>4</v>
      </c>
      <c r="E4338" s="0" t="n">
        <f aca="false">-1+A4338*0.25</f>
        <v>0.25</v>
      </c>
      <c r="F4338" s="0" t="n">
        <f aca="false">-1+B4338*0.25</f>
        <v>1</v>
      </c>
      <c r="G4338" s="0" t="n">
        <f aca="false">-1+C4338*0.25</f>
        <v>0</v>
      </c>
      <c r="H4338" s="0" t="n">
        <f aca="false">-1+D4338*0.25</f>
        <v>0</v>
      </c>
      <c r="I4338" s="0" t="n">
        <f aca="false">1</f>
        <v>1</v>
      </c>
      <c r="J4338" s="0" t="n">
        <f aca="false">E4338</f>
        <v>0.25</v>
      </c>
      <c r="K4338" s="0" t="n">
        <f aca="false">F4338</f>
        <v>1</v>
      </c>
      <c r="L4338" s="0" t="n">
        <f aca="false">G4338</f>
        <v>0</v>
      </c>
      <c r="M4338" s="0" t="n">
        <f aca="false">H4338</f>
        <v>0</v>
      </c>
      <c r="N4338" s="0" t="n">
        <f aca="false">E4338*F4338</f>
        <v>0.25</v>
      </c>
      <c r="O4338" s="0" t="n">
        <f aca="false">E4338*G4338</f>
        <v>0</v>
      </c>
      <c r="P4338" s="0" t="n">
        <f aca="false">E4338*H4338</f>
        <v>0</v>
      </c>
      <c r="Q4338" s="0" t="n">
        <f aca="false">F4338*G4338</f>
        <v>0</v>
      </c>
      <c r="R4338" s="0" t="n">
        <f aca="false">F4338*H4338</f>
        <v>0</v>
      </c>
      <c r="S4338" s="0" t="n">
        <f aca="false">G4338*H4338</f>
        <v>0</v>
      </c>
      <c r="T4338" s="0" t="n">
        <f aca="false">E4338*E4338</f>
        <v>0.0625</v>
      </c>
      <c r="U4338" s="0" t="n">
        <f aca="false">F4338*F4338</f>
        <v>1</v>
      </c>
      <c r="V4338" s="0" t="n">
        <f aca="false">G4338*G4338</f>
        <v>0</v>
      </c>
      <c r="W4338" s="0" t="n">
        <f aca="false">H4338*H4338</f>
        <v>0</v>
      </c>
      <c r="X4338" s="0" t="n">
        <f aca="false">SUMPRODUCT(I4338:W4338,_XtX!$B$96:$P$96)</f>
        <v>48.0411184210526</v>
      </c>
      <c r="Y4338" s="0" t="n">
        <f aca="false">SUMPRODUCT(MMULT(I4338:W4338,_XtX!$B$78:$P$92),I4338:W4338)</f>
        <v>0.47672240497076</v>
      </c>
      <c r="Z4338" s="0" t="n">
        <f aca="false">04_回帰ANOVA!$K$19*04_回帰ANOVA!$K$14*SQRT(1+Y4338)</f>
        <v>1.58397318352695</v>
      </c>
      <c r="AA4338" s="0" t="n">
        <f aca="false">X4338-Z4338</f>
        <v>46.4571452375256</v>
      </c>
      <c r="AB4338" s="0" t="n">
        <f aca="false">X4338+Z4338</f>
        <v>49.6250916045795</v>
      </c>
      <c r="AC4338" s="54" t="b">
        <f aca="false">AND(E4338&gt;=01_因子設定!$L$5-0.000000001,E4338&lt;=01_因子設定!$M$5+0.000000001,F4338&gt;=01_因子設定!$L$6-0.000000001,F4338&lt;=01_因子設定!$M$6+0.000000001,G4338&gt;=01_因子設定!$L$7-0.000000001,G4338&lt;=01_因子設定!$M$7+0.000000001,H4338&gt;=01_因子設定!$L$8-0.000000001,H4338&lt;=01_因子設定!$M$8+0.000000001,IF(01_因子設定!$B$20="Box-Behnken",E4338^2+F4338^2+G4338^2+H4338^2&lt;=2+0.000000001,TRUE()))</f>
        <v>1</v>
      </c>
      <c r="AD4338" s="55" t="n">
        <f aca="false">IF(AC4338,IF(01_因子設定!$B$13="最大化",AA4338-01_因子設定!$B$14,IF(01_因子設定!$B$13="最小化",01_因子設定!$B$15-AB4338,MIN(AA4338-01_因子設定!$B$14,01_因子設定!$B$15-AB4338))),-1E+030)</f>
        <v>-0.04285476247437</v>
      </c>
      <c r="AE4338" s="55" t="n">
        <f aca="false">IF(AC4338,IF(01_因子設定!$B$13="最大化",X4338,IF(01_因子設定!$B$13="最小化",-X4338,-ABS(X4338-01_因子設定!$B$16))),-1E+030)</f>
        <v>48.0411184210526</v>
      </c>
      <c r="AF4338" s="55" t="n">
        <f aca="false">AD4338+ROW()*0.000000001</f>
        <v>-0.04285042447437</v>
      </c>
      <c r="AG4338" s="55" t="n">
        <f aca="false">AE4338+ROW()*0.000000001</f>
        <v>48.0411227590526</v>
      </c>
    </row>
    <row r="4339" customFormat="false" ht="15" hidden="false" customHeight="false" outlineLevel="0" collapsed="false">
      <c r="A4339" s="0" t="n">
        <v>5</v>
      </c>
      <c r="B4339" s="0" t="n">
        <v>8</v>
      </c>
      <c r="C4339" s="0" t="n">
        <v>4</v>
      </c>
      <c r="D4339" s="0" t="n">
        <v>5</v>
      </c>
      <c r="E4339" s="0" t="n">
        <f aca="false">-1+A4339*0.25</f>
        <v>0.25</v>
      </c>
      <c r="F4339" s="0" t="n">
        <f aca="false">-1+B4339*0.25</f>
        <v>1</v>
      </c>
      <c r="G4339" s="0" t="n">
        <f aca="false">-1+C4339*0.25</f>
        <v>0</v>
      </c>
      <c r="H4339" s="0" t="n">
        <f aca="false">-1+D4339*0.25</f>
        <v>0.25</v>
      </c>
      <c r="I4339" s="0" t="n">
        <f aca="false">1</f>
        <v>1</v>
      </c>
      <c r="J4339" s="0" t="n">
        <f aca="false">E4339</f>
        <v>0.25</v>
      </c>
      <c r="K4339" s="0" t="n">
        <f aca="false">F4339</f>
        <v>1</v>
      </c>
      <c r="L4339" s="0" t="n">
        <f aca="false">G4339</f>
        <v>0</v>
      </c>
      <c r="M4339" s="0" t="n">
        <f aca="false">H4339</f>
        <v>0.25</v>
      </c>
      <c r="N4339" s="0" t="n">
        <f aca="false">E4339*F4339</f>
        <v>0.25</v>
      </c>
      <c r="O4339" s="0" t="n">
        <f aca="false">E4339*G4339</f>
        <v>0</v>
      </c>
      <c r="P4339" s="0" t="n">
        <f aca="false">E4339*H4339</f>
        <v>0.0625</v>
      </c>
      <c r="Q4339" s="0" t="n">
        <f aca="false">F4339*G4339</f>
        <v>0</v>
      </c>
      <c r="R4339" s="0" t="n">
        <f aca="false">F4339*H4339</f>
        <v>0.25</v>
      </c>
      <c r="S4339" s="0" t="n">
        <f aca="false">G4339*H4339</f>
        <v>0</v>
      </c>
      <c r="T4339" s="0" t="n">
        <f aca="false">E4339*E4339</f>
        <v>0.0625</v>
      </c>
      <c r="U4339" s="0" t="n">
        <f aca="false">F4339*F4339</f>
        <v>1</v>
      </c>
      <c r="V4339" s="0" t="n">
        <f aca="false">G4339*G4339</f>
        <v>0</v>
      </c>
      <c r="W4339" s="0" t="n">
        <f aca="false">H4339*H4339</f>
        <v>0.0625</v>
      </c>
      <c r="X4339" s="0" t="n">
        <f aca="false">SUMPRODUCT(I4339:W4339,_XtX!$B$96:$P$96)</f>
        <v>48.0732913011695</v>
      </c>
      <c r="Y4339" s="0" t="n">
        <f aca="false">SUMPRODUCT(MMULT(I4339:W4339,_XtX!$B$78:$P$92),I4339:W4339)</f>
        <v>0.467417934484649</v>
      </c>
      <c r="Z4339" s="0" t="n">
        <f aca="false">04_回帰ANOVA!$K$19*04_回帰ANOVA!$K$14*SQRT(1+Y4339)</f>
        <v>1.57897518244497</v>
      </c>
      <c r="AA4339" s="0" t="n">
        <f aca="false">X4339-Z4339</f>
        <v>46.4943161187246</v>
      </c>
      <c r="AB4339" s="0" t="n">
        <f aca="false">X4339+Z4339</f>
        <v>49.6522664836145</v>
      </c>
      <c r="AC4339" s="54" t="b">
        <f aca="false">AND(E4339&gt;=01_因子設定!$L$5-0.000000001,E4339&lt;=01_因子設定!$M$5+0.000000001,F4339&gt;=01_因子設定!$L$6-0.000000001,F4339&lt;=01_因子設定!$M$6+0.000000001,G4339&gt;=01_因子設定!$L$7-0.000000001,G4339&lt;=01_因子設定!$M$7+0.000000001,H4339&gt;=01_因子設定!$L$8-0.000000001,H4339&lt;=01_因子設定!$M$8+0.000000001,IF(01_因子設定!$B$20="Box-Behnken",E4339^2+F4339^2+G4339^2+H4339^2&lt;=2+0.000000001,TRUE()))</f>
        <v>1</v>
      </c>
      <c r="AD4339" s="55" t="n">
        <f aca="false">IF(AC4339,IF(01_因子設定!$B$13="最大化",AA4339-01_因子設定!$B$14,IF(01_因子設定!$B$13="最小化",01_因子設定!$B$15-AB4339,MIN(AA4339-01_因子設定!$B$14,01_因子設定!$B$15-AB4339))),-1E+030)</f>
        <v>-0.00568388127543784</v>
      </c>
      <c r="AE4339" s="55" t="n">
        <f aca="false">IF(AC4339,IF(01_因子設定!$B$13="最大化",X4339,IF(01_因子設定!$B$13="最小化",-X4339,-ABS(X4339-01_因子設定!$B$16))),-1E+030)</f>
        <v>48.0732913011695</v>
      </c>
      <c r="AF4339" s="55" t="n">
        <f aca="false">AD4339+ROW()*0.000000001</f>
        <v>-0.00567954227543784</v>
      </c>
      <c r="AG4339" s="55" t="n">
        <f aca="false">AE4339+ROW()*0.000000001</f>
        <v>48.0732956401695</v>
      </c>
    </row>
    <row r="4340" customFormat="false" ht="15" hidden="false" customHeight="false" outlineLevel="0" collapsed="false">
      <c r="A4340" s="0" t="n">
        <v>5</v>
      </c>
      <c r="B4340" s="0" t="n">
        <v>8</v>
      </c>
      <c r="C4340" s="0" t="n">
        <v>4</v>
      </c>
      <c r="D4340" s="0" t="n">
        <v>6</v>
      </c>
      <c r="E4340" s="0" t="n">
        <f aca="false">-1+A4340*0.25</f>
        <v>0.25</v>
      </c>
      <c r="F4340" s="0" t="n">
        <f aca="false">-1+B4340*0.25</f>
        <v>1</v>
      </c>
      <c r="G4340" s="0" t="n">
        <f aca="false">-1+C4340*0.25</f>
        <v>0</v>
      </c>
      <c r="H4340" s="0" t="n">
        <f aca="false">-1+D4340*0.25</f>
        <v>0.5</v>
      </c>
      <c r="I4340" s="0" t="n">
        <f aca="false">1</f>
        <v>1</v>
      </c>
      <c r="J4340" s="0" t="n">
        <f aca="false">E4340</f>
        <v>0.25</v>
      </c>
      <c r="K4340" s="0" t="n">
        <f aca="false">F4340</f>
        <v>1</v>
      </c>
      <c r="L4340" s="0" t="n">
        <f aca="false">G4340</f>
        <v>0</v>
      </c>
      <c r="M4340" s="0" t="n">
        <f aca="false">H4340</f>
        <v>0.5</v>
      </c>
      <c r="N4340" s="0" t="n">
        <f aca="false">E4340*F4340</f>
        <v>0.25</v>
      </c>
      <c r="O4340" s="0" t="n">
        <f aca="false">E4340*G4340</f>
        <v>0</v>
      </c>
      <c r="P4340" s="0" t="n">
        <f aca="false">E4340*H4340</f>
        <v>0.125</v>
      </c>
      <c r="Q4340" s="0" t="n">
        <f aca="false">F4340*G4340</f>
        <v>0</v>
      </c>
      <c r="R4340" s="0" t="n">
        <f aca="false">F4340*H4340</f>
        <v>0.5</v>
      </c>
      <c r="S4340" s="0" t="n">
        <f aca="false">G4340*H4340</f>
        <v>0</v>
      </c>
      <c r="T4340" s="0" t="n">
        <f aca="false">E4340*E4340</f>
        <v>0.0625</v>
      </c>
      <c r="U4340" s="0" t="n">
        <f aca="false">F4340*F4340</f>
        <v>1</v>
      </c>
      <c r="V4340" s="0" t="n">
        <f aca="false">G4340*G4340</f>
        <v>0</v>
      </c>
      <c r="W4340" s="0" t="n">
        <f aca="false">H4340*H4340</f>
        <v>0.25</v>
      </c>
      <c r="X4340" s="0" t="n">
        <f aca="false">SUMPRODUCT(I4340:W4340,_XtX!$B$96:$P$96)</f>
        <v>48.0576571637426</v>
      </c>
      <c r="Y4340" s="0" t="n">
        <f aca="false">SUMPRODUCT(MMULT(I4340:W4340,_XtX!$B$78:$P$92),I4340:W4340)</f>
        <v>0.457596628289474</v>
      </c>
      <c r="Z4340" s="0" t="n">
        <f aca="false">04_回帰ANOVA!$K$19*04_回帰ANOVA!$K$14*SQRT(1+Y4340)</f>
        <v>1.57368233664366</v>
      </c>
      <c r="AA4340" s="0" t="n">
        <f aca="false">X4340-Z4340</f>
        <v>46.483974827099</v>
      </c>
      <c r="AB4340" s="0" t="n">
        <f aca="false">X4340+Z4340</f>
        <v>49.6313395003863</v>
      </c>
      <c r="AC4340" s="54" t="b">
        <f aca="false">AND(E4340&gt;=01_因子設定!$L$5-0.000000001,E4340&lt;=01_因子設定!$M$5+0.000000001,F4340&gt;=01_因子設定!$L$6-0.000000001,F4340&lt;=01_因子設定!$M$6+0.000000001,G4340&gt;=01_因子設定!$L$7-0.000000001,G4340&lt;=01_因子設定!$M$7+0.000000001,H4340&gt;=01_因子設定!$L$8-0.000000001,H4340&lt;=01_因子設定!$M$8+0.000000001,IF(01_因子設定!$B$20="Box-Behnken",E4340^2+F4340^2+G4340^2+H4340^2&lt;=2+0.000000001,TRUE()))</f>
        <v>1</v>
      </c>
      <c r="AD4340" s="55" t="n">
        <f aca="false">IF(AC4340,IF(01_因子設定!$B$13="最大化",AA4340-01_因子設定!$B$14,IF(01_因子設定!$B$13="最小化",01_因子設定!$B$15-AB4340,MIN(AA4340-01_因子設定!$B$14,01_因子設定!$B$15-AB4340))),-1E+030)</f>
        <v>-0.016025172901017</v>
      </c>
      <c r="AE4340" s="55" t="n">
        <f aca="false">IF(AC4340,IF(01_因子設定!$B$13="最大化",X4340,IF(01_因子設定!$B$13="最小化",-X4340,-ABS(X4340-01_因子設定!$B$16))),-1E+030)</f>
        <v>48.0576571637426</v>
      </c>
      <c r="AF4340" s="55" t="n">
        <f aca="false">AD4340+ROW()*0.000000001</f>
        <v>-0.016020832901017</v>
      </c>
      <c r="AG4340" s="55" t="n">
        <f aca="false">AE4340+ROW()*0.000000001</f>
        <v>48.0576615037426</v>
      </c>
    </row>
    <row r="4341" customFormat="false" ht="15" hidden="false" customHeight="false" outlineLevel="0" collapsed="false">
      <c r="A4341" s="0" t="n">
        <v>5</v>
      </c>
      <c r="B4341" s="0" t="n">
        <v>8</v>
      </c>
      <c r="C4341" s="0" t="n">
        <v>4</v>
      </c>
      <c r="D4341" s="0" t="n">
        <v>7</v>
      </c>
      <c r="E4341" s="0" t="n">
        <f aca="false">-1+A4341*0.25</f>
        <v>0.25</v>
      </c>
      <c r="F4341" s="0" t="n">
        <f aca="false">-1+B4341*0.25</f>
        <v>1</v>
      </c>
      <c r="G4341" s="0" t="n">
        <f aca="false">-1+C4341*0.25</f>
        <v>0</v>
      </c>
      <c r="H4341" s="0" t="n">
        <f aca="false">-1+D4341*0.25</f>
        <v>0.75</v>
      </c>
      <c r="I4341" s="0" t="n">
        <f aca="false">1</f>
        <v>1</v>
      </c>
      <c r="J4341" s="0" t="n">
        <f aca="false">E4341</f>
        <v>0.25</v>
      </c>
      <c r="K4341" s="0" t="n">
        <f aca="false">F4341</f>
        <v>1</v>
      </c>
      <c r="L4341" s="0" t="n">
        <f aca="false">G4341</f>
        <v>0</v>
      </c>
      <c r="M4341" s="0" t="n">
        <f aca="false">H4341</f>
        <v>0.75</v>
      </c>
      <c r="N4341" s="0" t="n">
        <f aca="false">E4341*F4341</f>
        <v>0.25</v>
      </c>
      <c r="O4341" s="0" t="n">
        <f aca="false">E4341*G4341</f>
        <v>0</v>
      </c>
      <c r="P4341" s="0" t="n">
        <f aca="false">E4341*H4341</f>
        <v>0.1875</v>
      </c>
      <c r="Q4341" s="0" t="n">
        <f aca="false">F4341*G4341</f>
        <v>0</v>
      </c>
      <c r="R4341" s="0" t="n">
        <f aca="false">F4341*H4341</f>
        <v>0.75</v>
      </c>
      <c r="S4341" s="0" t="n">
        <f aca="false">G4341*H4341</f>
        <v>0</v>
      </c>
      <c r="T4341" s="0" t="n">
        <f aca="false">E4341*E4341</f>
        <v>0.0625</v>
      </c>
      <c r="U4341" s="0" t="n">
        <f aca="false">F4341*F4341</f>
        <v>1</v>
      </c>
      <c r="V4341" s="0" t="n">
        <f aca="false">G4341*G4341</f>
        <v>0</v>
      </c>
      <c r="W4341" s="0" t="n">
        <f aca="false">H4341*H4341</f>
        <v>0.5625</v>
      </c>
      <c r="X4341" s="0" t="n">
        <f aca="false">SUMPRODUCT(I4341:W4341,_XtX!$B$96:$P$96)</f>
        <v>47.9942160087719</v>
      </c>
      <c r="Y4341" s="0" t="n">
        <f aca="false">SUMPRODUCT(MMULT(I4341:W4341,_XtX!$B$78:$P$92),I4341:W4341)</f>
        <v>0.501534802174708</v>
      </c>
      <c r="Z4341" s="0" t="n">
        <f aca="false">04_回帰ANOVA!$K$19*04_回帰ANOVA!$K$14*SQRT(1+Y4341)</f>
        <v>1.59722498091333</v>
      </c>
      <c r="AA4341" s="0" t="n">
        <f aca="false">X4341-Z4341</f>
        <v>46.3969910278586</v>
      </c>
      <c r="AB4341" s="0" t="n">
        <f aca="false">X4341+Z4341</f>
        <v>49.5914409896852</v>
      </c>
      <c r="AC4341" s="54" t="b">
        <f aca="false">AND(E4341&gt;=01_因子設定!$L$5-0.000000001,E4341&lt;=01_因子設定!$M$5+0.000000001,F4341&gt;=01_因子設定!$L$6-0.000000001,F4341&lt;=01_因子設定!$M$6+0.000000001,G4341&gt;=01_因子設定!$L$7-0.000000001,G4341&lt;=01_因子設定!$M$7+0.000000001,H4341&gt;=01_因子設定!$L$8-0.000000001,H4341&lt;=01_因子設定!$M$8+0.000000001,IF(01_因子設定!$B$20="Box-Behnken",E4341^2+F4341^2+G4341^2+H4341^2&lt;=2+0.000000001,TRUE()))</f>
        <v>1</v>
      </c>
      <c r="AD4341" s="55" t="n">
        <f aca="false">IF(AC4341,IF(01_因子設定!$B$13="最大化",AA4341-01_因子設定!$B$14,IF(01_因子設定!$B$13="最小化",01_因子設定!$B$15-AB4341,MIN(AA4341-01_因子設定!$B$14,01_因子設定!$B$15-AB4341))),-1E+030)</f>
        <v>-0.103008972141446</v>
      </c>
      <c r="AE4341" s="55" t="n">
        <f aca="false">IF(AC4341,IF(01_因子設定!$B$13="最大化",X4341,IF(01_因子設定!$B$13="最小化",-X4341,-ABS(X4341-01_因子設定!$B$16))),-1E+030)</f>
        <v>47.9942160087719</v>
      </c>
      <c r="AF4341" s="55" t="n">
        <f aca="false">AD4341+ROW()*0.000000001</f>
        <v>-0.103004631141446</v>
      </c>
      <c r="AG4341" s="55" t="n">
        <f aca="false">AE4341+ROW()*0.000000001</f>
        <v>47.9942203497719</v>
      </c>
    </row>
    <row r="4342" customFormat="false" ht="15" hidden="false" customHeight="false" outlineLevel="0" collapsed="false">
      <c r="A4342" s="0" t="n">
        <v>5</v>
      </c>
      <c r="B4342" s="0" t="n">
        <v>8</v>
      </c>
      <c r="C4342" s="0" t="n">
        <v>4</v>
      </c>
      <c r="D4342" s="0" t="n">
        <v>8</v>
      </c>
      <c r="E4342" s="0" t="n">
        <f aca="false">-1+A4342*0.25</f>
        <v>0.25</v>
      </c>
      <c r="F4342" s="0" t="n">
        <f aca="false">-1+B4342*0.25</f>
        <v>1</v>
      </c>
      <c r="G4342" s="0" t="n">
        <f aca="false">-1+C4342*0.25</f>
        <v>0</v>
      </c>
      <c r="H4342" s="0" t="n">
        <f aca="false">-1+D4342*0.25</f>
        <v>1</v>
      </c>
      <c r="I4342" s="0" t="n">
        <f aca="false">1</f>
        <v>1</v>
      </c>
      <c r="J4342" s="0" t="n">
        <f aca="false">E4342</f>
        <v>0.25</v>
      </c>
      <c r="K4342" s="0" t="n">
        <f aca="false">F4342</f>
        <v>1</v>
      </c>
      <c r="L4342" s="0" t="n">
        <f aca="false">G4342</f>
        <v>0</v>
      </c>
      <c r="M4342" s="0" t="n">
        <f aca="false">H4342</f>
        <v>1</v>
      </c>
      <c r="N4342" s="0" t="n">
        <f aca="false">E4342*F4342</f>
        <v>0.25</v>
      </c>
      <c r="O4342" s="0" t="n">
        <f aca="false">E4342*G4342</f>
        <v>0</v>
      </c>
      <c r="P4342" s="0" t="n">
        <f aca="false">E4342*H4342</f>
        <v>0.25</v>
      </c>
      <c r="Q4342" s="0" t="n">
        <f aca="false">F4342*G4342</f>
        <v>0</v>
      </c>
      <c r="R4342" s="0" t="n">
        <f aca="false">F4342*H4342</f>
        <v>1</v>
      </c>
      <c r="S4342" s="0" t="n">
        <f aca="false">G4342*H4342</f>
        <v>0</v>
      </c>
      <c r="T4342" s="0" t="n">
        <f aca="false">E4342*E4342</f>
        <v>0.0625</v>
      </c>
      <c r="U4342" s="0" t="n">
        <f aca="false">F4342*F4342</f>
        <v>1</v>
      </c>
      <c r="V4342" s="0" t="n">
        <f aca="false">G4342*G4342</f>
        <v>0</v>
      </c>
      <c r="W4342" s="0" t="n">
        <f aca="false">H4342*H4342</f>
        <v>1</v>
      </c>
      <c r="X4342" s="0" t="n">
        <f aca="false">SUMPRODUCT(I4342:W4342,_XtX!$B$96:$P$96)</f>
        <v>47.8829678362573</v>
      </c>
      <c r="Y4342" s="0" t="n">
        <f aca="false">SUMPRODUCT(MMULT(I4342:W4342,_XtX!$B$78:$P$92),I4342:W4342)</f>
        <v>0.689692982456141</v>
      </c>
      <c r="Z4342" s="0" t="n">
        <f aca="false">04_回帰ANOVA!$K$19*04_回帰ANOVA!$K$14*SQRT(1+Y4342)</f>
        <v>1.69434674594998</v>
      </c>
      <c r="AA4342" s="0" t="n">
        <f aca="false">X4342-Z4342</f>
        <v>46.1886210903073</v>
      </c>
      <c r="AB4342" s="0" t="n">
        <f aca="false">X4342+Z4342</f>
        <v>49.5773145822073</v>
      </c>
      <c r="AC4342" s="54" t="b">
        <f aca="false">AND(E4342&gt;=01_因子設定!$L$5-0.000000001,E4342&lt;=01_因子設定!$M$5+0.000000001,F4342&gt;=01_因子設定!$L$6-0.000000001,F4342&lt;=01_因子設定!$M$6+0.000000001,G4342&gt;=01_因子設定!$L$7-0.000000001,G4342&lt;=01_因子設定!$M$7+0.000000001,H4342&gt;=01_因子設定!$L$8-0.000000001,H4342&lt;=01_因子設定!$M$8+0.000000001,IF(01_因子設定!$B$20="Box-Behnken",E4342^2+F4342^2+G4342^2+H4342^2&lt;=2+0.000000001,TRUE()))</f>
        <v>1</v>
      </c>
      <c r="AD4342" s="55" t="n">
        <f aca="false">IF(AC4342,IF(01_因子設定!$B$13="最大化",AA4342-01_因子設定!$B$14,IF(01_因子設定!$B$13="最小化",01_因子設定!$B$15-AB4342,MIN(AA4342-01_因子設定!$B$14,01_因子設定!$B$15-AB4342))),-1E+030)</f>
        <v>-0.311378909692699</v>
      </c>
      <c r="AE4342" s="55" t="n">
        <f aca="false">IF(AC4342,IF(01_因子設定!$B$13="最大化",X4342,IF(01_因子設定!$B$13="最小化",-X4342,-ABS(X4342-01_因子設定!$B$16))),-1E+030)</f>
        <v>47.8829678362573</v>
      </c>
      <c r="AF4342" s="55" t="n">
        <f aca="false">AD4342+ROW()*0.000000001</f>
        <v>-0.311374567692699</v>
      </c>
      <c r="AG4342" s="55" t="n">
        <f aca="false">AE4342+ROW()*0.000000001</f>
        <v>47.8829721782573</v>
      </c>
    </row>
    <row r="4343" customFormat="false" ht="15" hidden="false" customHeight="false" outlineLevel="0" collapsed="false">
      <c r="A4343" s="0" t="n">
        <v>5</v>
      </c>
      <c r="B4343" s="0" t="n">
        <v>8</v>
      </c>
      <c r="C4343" s="0" t="n">
        <v>5</v>
      </c>
      <c r="D4343" s="0" t="n">
        <v>0</v>
      </c>
      <c r="E4343" s="0" t="n">
        <f aca="false">-1+A4343*0.25</f>
        <v>0.25</v>
      </c>
      <c r="F4343" s="0" t="n">
        <f aca="false">-1+B4343*0.25</f>
        <v>1</v>
      </c>
      <c r="G4343" s="0" t="n">
        <f aca="false">-1+C4343*0.25</f>
        <v>0.25</v>
      </c>
      <c r="H4343" s="0" t="n">
        <f aca="false">-1+D4343*0.25</f>
        <v>-1</v>
      </c>
      <c r="I4343" s="0" t="n">
        <f aca="false">1</f>
        <v>1</v>
      </c>
      <c r="J4343" s="0" t="n">
        <f aca="false">E4343</f>
        <v>0.25</v>
      </c>
      <c r="K4343" s="0" t="n">
        <f aca="false">F4343</f>
        <v>1</v>
      </c>
      <c r="L4343" s="0" t="n">
        <f aca="false">G4343</f>
        <v>0.25</v>
      </c>
      <c r="M4343" s="0" t="n">
        <f aca="false">H4343</f>
        <v>-1</v>
      </c>
      <c r="N4343" s="0" t="n">
        <f aca="false">E4343*F4343</f>
        <v>0.25</v>
      </c>
      <c r="O4343" s="0" t="n">
        <f aca="false">E4343*G4343</f>
        <v>0.0625</v>
      </c>
      <c r="P4343" s="0" t="n">
        <f aca="false">E4343*H4343</f>
        <v>-0.25</v>
      </c>
      <c r="Q4343" s="0" t="n">
        <f aca="false">F4343*G4343</f>
        <v>0.25</v>
      </c>
      <c r="R4343" s="0" t="n">
        <f aca="false">F4343*H4343</f>
        <v>-1</v>
      </c>
      <c r="S4343" s="0" t="n">
        <f aca="false">G4343*H4343</f>
        <v>-0.25</v>
      </c>
      <c r="T4343" s="0" t="n">
        <f aca="false">E4343*E4343</f>
        <v>0.0625</v>
      </c>
      <c r="U4343" s="0" t="n">
        <f aca="false">F4343*F4343</f>
        <v>1</v>
      </c>
      <c r="V4343" s="0" t="n">
        <f aca="false">G4343*G4343</f>
        <v>0.0625</v>
      </c>
      <c r="W4343" s="0" t="n">
        <f aca="false">H4343*H4343</f>
        <v>1</v>
      </c>
      <c r="X4343" s="0" t="n">
        <f aca="false">SUMPRODUCT(I4343:W4343,_XtX!$B$96:$P$96)</f>
        <v>47.6031615497076</v>
      </c>
      <c r="Y4343" s="0" t="n">
        <f aca="false">SUMPRODUCT(MMULT(I4343:W4343,_XtX!$B$78:$P$92),I4343:W4343)</f>
        <v>0.670040376005117</v>
      </c>
      <c r="Z4343" s="0" t="n">
        <f aca="false">04_回帰ANOVA!$K$19*04_回帰ANOVA!$K$14*SQRT(1+Y4343)</f>
        <v>1.68446456039992</v>
      </c>
      <c r="AA4343" s="0" t="n">
        <f aca="false">X4343-Z4343</f>
        <v>45.9186969893077</v>
      </c>
      <c r="AB4343" s="0" t="n">
        <f aca="false">X4343+Z4343</f>
        <v>49.2876261101075</v>
      </c>
      <c r="AC4343" s="54" t="b">
        <f aca="false">AND(E4343&gt;=01_因子設定!$L$5-0.000000001,E4343&lt;=01_因子設定!$M$5+0.000000001,F4343&gt;=01_因子設定!$L$6-0.000000001,F4343&lt;=01_因子設定!$M$6+0.000000001,G4343&gt;=01_因子設定!$L$7-0.000000001,G4343&lt;=01_因子設定!$M$7+0.000000001,H4343&gt;=01_因子設定!$L$8-0.000000001,H4343&lt;=01_因子設定!$M$8+0.000000001,IF(01_因子設定!$B$20="Box-Behnken",E4343^2+F4343^2+G4343^2+H4343^2&lt;=2+0.000000001,TRUE()))</f>
        <v>1</v>
      </c>
      <c r="AD4343" s="55" t="n">
        <f aca="false">IF(AC4343,IF(01_因子設定!$B$13="最大化",AA4343-01_因子設定!$B$14,IF(01_因子設定!$B$13="最小化",01_因子設定!$B$15-AB4343,MIN(AA4343-01_因子設定!$B$14,01_因子設定!$B$15-AB4343))),-1E+030)</f>
        <v>-0.581303010692338</v>
      </c>
      <c r="AE4343" s="55" t="n">
        <f aca="false">IF(AC4343,IF(01_因子設定!$B$13="最大化",X4343,IF(01_因子設定!$B$13="最小化",-X4343,-ABS(X4343-01_因子設定!$B$16))),-1E+030)</f>
        <v>47.6031615497076</v>
      </c>
      <c r="AF4343" s="55" t="n">
        <f aca="false">AD4343+ROW()*0.000000001</f>
        <v>-0.581298667692338</v>
      </c>
      <c r="AG4343" s="55" t="n">
        <f aca="false">AE4343+ROW()*0.000000001</f>
        <v>47.6031658927076</v>
      </c>
    </row>
    <row r="4344" customFormat="false" ht="15" hidden="false" customHeight="false" outlineLevel="0" collapsed="false">
      <c r="A4344" s="0" t="n">
        <v>5</v>
      </c>
      <c r="B4344" s="0" t="n">
        <v>8</v>
      </c>
      <c r="C4344" s="0" t="n">
        <v>5</v>
      </c>
      <c r="D4344" s="0" t="n">
        <v>1</v>
      </c>
      <c r="E4344" s="0" t="n">
        <f aca="false">-1+A4344*0.25</f>
        <v>0.25</v>
      </c>
      <c r="F4344" s="0" t="n">
        <f aca="false">-1+B4344*0.25</f>
        <v>1</v>
      </c>
      <c r="G4344" s="0" t="n">
        <f aca="false">-1+C4344*0.25</f>
        <v>0.25</v>
      </c>
      <c r="H4344" s="0" t="n">
        <f aca="false">-1+D4344*0.25</f>
        <v>-0.75</v>
      </c>
      <c r="I4344" s="0" t="n">
        <f aca="false">1</f>
        <v>1</v>
      </c>
      <c r="J4344" s="0" t="n">
        <f aca="false">E4344</f>
        <v>0.25</v>
      </c>
      <c r="K4344" s="0" t="n">
        <f aca="false">F4344</f>
        <v>1</v>
      </c>
      <c r="L4344" s="0" t="n">
        <f aca="false">G4344</f>
        <v>0.25</v>
      </c>
      <c r="M4344" s="0" t="n">
        <f aca="false">H4344</f>
        <v>-0.75</v>
      </c>
      <c r="N4344" s="0" t="n">
        <f aca="false">E4344*F4344</f>
        <v>0.25</v>
      </c>
      <c r="O4344" s="0" t="n">
        <f aca="false">E4344*G4344</f>
        <v>0.0625</v>
      </c>
      <c r="P4344" s="0" t="n">
        <f aca="false">E4344*H4344</f>
        <v>-0.1875</v>
      </c>
      <c r="Q4344" s="0" t="n">
        <f aca="false">F4344*G4344</f>
        <v>0.25</v>
      </c>
      <c r="R4344" s="0" t="n">
        <f aca="false">F4344*H4344</f>
        <v>-0.75</v>
      </c>
      <c r="S4344" s="0" t="n">
        <f aca="false">G4344*H4344</f>
        <v>-0.1875</v>
      </c>
      <c r="T4344" s="0" t="n">
        <f aca="false">E4344*E4344</f>
        <v>0.0625</v>
      </c>
      <c r="U4344" s="0" t="n">
        <f aca="false">F4344*F4344</f>
        <v>1</v>
      </c>
      <c r="V4344" s="0" t="n">
        <f aca="false">G4344*G4344</f>
        <v>0.0625</v>
      </c>
      <c r="W4344" s="0" t="n">
        <f aca="false">H4344*H4344</f>
        <v>0.5625</v>
      </c>
      <c r="X4344" s="0" t="n">
        <f aca="false">SUMPRODUCT(I4344:W4344,_XtX!$B$96:$P$96)</f>
        <v>47.84453125</v>
      </c>
      <c r="Y4344" s="0" t="n">
        <f aca="false">SUMPRODUCT(MMULT(I4344:W4344,_XtX!$B$78:$P$92),I4344:W4344)</f>
        <v>0.486409505208334</v>
      </c>
      <c r="Z4344" s="0" t="n">
        <f aca="false">04_回帰ANOVA!$K$19*04_回帰ANOVA!$K$14*SQRT(1+Y4344)</f>
        <v>1.58916001665498</v>
      </c>
      <c r="AA4344" s="0" t="n">
        <f aca="false">X4344-Z4344</f>
        <v>46.255371233345</v>
      </c>
      <c r="AB4344" s="0" t="n">
        <f aca="false">X4344+Z4344</f>
        <v>49.4336912666549</v>
      </c>
      <c r="AC4344" s="54" t="b">
        <f aca="false">AND(E4344&gt;=01_因子設定!$L$5-0.000000001,E4344&lt;=01_因子設定!$M$5+0.000000001,F4344&gt;=01_因子設定!$L$6-0.000000001,F4344&lt;=01_因子設定!$M$6+0.000000001,G4344&gt;=01_因子設定!$L$7-0.000000001,G4344&lt;=01_因子設定!$M$7+0.000000001,H4344&gt;=01_因子設定!$L$8-0.000000001,H4344&lt;=01_因子設定!$M$8+0.000000001,IF(01_因子設定!$B$20="Box-Behnken",E4344^2+F4344^2+G4344^2+H4344^2&lt;=2+0.000000001,TRUE()))</f>
        <v>1</v>
      </c>
      <c r="AD4344" s="55" t="n">
        <f aca="false">IF(AC4344,IF(01_因子設定!$B$13="最大化",AA4344-01_因子設定!$B$14,IF(01_因子設定!$B$13="最小化",01_因子設定!$B$15-AB4344,MIN(AA4344-01_因子設定!$B$14,01_因子設定!$B$15-AB4344))),-1E+030)</f>
        <v>-0.244628766655019</v>
      </c>
      <c r="AE4344" s="55" t="n">
        <f aca="false">IF(AC4344,IF(01_因子設定!$B$13="最大化",X4344,IF(01_因子設定!$B$13="最小化",-X4344,-ABS(X4344-01_因子設定!$B$16))),-1E+030)</f>
        <v>47.84453125</v>
      </c>
      <c r="AF4344" s="55" t="n">
        <f aca="false">AD4344+ROW()*0.000000001</f>
        <v>-0.244624422655019</v>
      </c>
      <c r="AG4344" s="55" t="n">
        <f aca="false">AE4344+ROW()*0.000000001</f>
        <v>47.844535594</v>
      </c>
    </row>
    <row r="4345" customFormat="false" ht="15" hidden="false" customHeight="false" outlineLevel="0" collapsed="false">
      <c r="A4345" s="0" t="n">
        <v>5</v>
      </c>
      <c r="B4345" s="0" t="n">
        <v>8</v>
      </c>
      <c r="C4345" s="0" t="n">
        <v>5</v>
      </c>
      <c r="D4345" s="0" t="n">
        <v>2</v>
      </c>
      <c r="E4345" s="0" t="n">
        <f aca="false">-1+A4345*0.25</f>
        <v>0.25</v>
      </c>
      <c r="F4345" s="0" t="n">
        <f aca="false">-1+B4345*0.25</f>
        <v>1</v>
      </c>
      <c r="G4345" s="0" t="n">
        <f aca="false">-1+C4345*0.25</f>
        <v>0.25</v>
      </c>
      <c r="H4345" s="0" t="n">
        <f aca="false">-1+D4345*0.25</f>
        <v>-0.5</v>
      </c>
      <c r="I4345" s="0" t="n">
        <f aca="false">1</f>
        <v>1</v>
      </c>
      <c r="J4345" s="0" t="n">
        <f aca="false">E4345</f>
        <v>0.25</v>
      </c>
      <c r="K4345" s="0" t="n">
        <f aca="false">F4345</f>
        <v>1</v>
      </c>
      <c r="L4345" s="0" t="n">
        <f aca="false">G4345</f>
        <v>0.25</v>
      </c>
      <c r="M4345" s="0" t="n">
        <f aca="false">H4345</f>
        <v>-0.5</v>
      </c>
      <c r="N4345" s="0" t="n">
        <f aca="false">E4345*F4345</f>
        <v>0.25</v>
      </c>
      <c r="O4345" s="0" t="n">
        <f aca="false">E4345*G4345</f>
        <v>0.0625</v>
      </c>
      <c r="P4345" s="0" t="n">
        <f aca="false">E4345*H4345</f>
        <v>-0.125</v>
      </c>
      <c r="Q4345" s="0" t="n">
        <f aca="false">F4345*G4345</f>
        <v>0.25</v>
      </c>
      <c r="R4345" s="0" t="n">
        <f aca="false">F4345*H4345</f>
        <v>-0.5</v>
      </c>
      <c r="S4345" s="0" t="n">
        <f aca="false">G4345*H4345</f>
        <v>-0.125</v>
      </c>
      <c r="T4345" s="0" t="n">
        <f aca="false">E4345*E4345</f>
        <v>0.0625</v>
      </c>
      <c r="U4345" s="0" t="n">
        <f aca="false">F4345*F4345</f>
        <v>1</v>
      </c>
      <c r="V4345" s="0" t="n">
        <f aca="false">G4345*G4345</f>
        <v>0.0625</v>
      </c>
      <c r="W4345" s="0" t="n">
        <f aca="false">H4345*H4345</f>
        <v>0.25</v>
      </c>
      <c r="X4345" s="0" t="n">
        <f aca="false">SUMPRODUCT(I4345:W4345,_XtX!$B$96:$P$96)</f>
        <v>48.0380939327485</v>
      </c>
      <c r="Y4345" s="0" t="n">
        <f aca="false">SUMPRODUCT(MMULT(I4345:W4345,_XtX!$B$78:$P$92),I4345:W4345)</f>
        <v>0.445705123812135</v>
      </c>
      <c r="Z4345" s="0" t="n">
        <f aca="false">04_回帰ANOVA!$K$19*04_回帰ANOVA!$K$14*SQRT(1+Y4345)</f>
        <v>1.56724990734749</v>
      </c>
      <c r="AA4345" s="0" t="n">
        <f aca="false">X4345-Z4345</f>
        <v>46.470844025401</v>
      </c>
      <c r="AB4345" s="0" t="n">
        <f aca="false">X4345+Z4345</f>
        <v>49.605343840096</v>
      </c>
      <c r="AC4345" s="54" t="b">
        <f aca="false">AND(E4345&gt;=01_因子設定!$L$5-0.000000001,E4345&lt;=01_因子設定!$M$5+0.000000001,F4345&gt;=01_因子設定!$L$6-0.000000001,F4345&lt;=01_因子設定!$M$6+0.000000001,G4345&gt;=01_因子設定!$L$7-0.000000001,G4345&lt;=01_因子設定!$M$7+0.000000001,H4345&gt;=01_因子設定!$L$8-0.000000001,H4345&lt;=01_因子設定!$M$8+0.000000001,IF(01_因子設定!$B$20="Box-Behnken",E4345^2+F4345^2+G4345^2+H4345^2&lt;=2+0.000000001,TRUE()))</f>
        <v>1</v>
      </c>
      <c r="AD4345" s="55" t="n">
        <f aca="false">IF(AC4345,IF(01_因子設定!$B$13="最大化",AA4345-01_因子設定!$B$14,IF(01_因子設定!$B$13="最小化",01_因子設定!$B$15-AB4345,MIN(AA4345-01_因子設定!$B$14,01_因子設定!$B$15-AB4345))),-1E+030)</f>
        <v>-0.029155974599</v>
      </c>
      <c r="AE4345" s="55" t="n">
        <f aca="false">IF(AC4345,IF(01_因子設定!$B$13="最大化",X4345,IF(01_因子設定!$B$13="最小化",-X4345,-ABS(X4345-01_因子設定!$B$16))),-1E+030)</f>
        <v>48.0380939327485</v>
      </c>
      <c r="AF4345" s="55" t="n">
        <f aca="false">AD4345+ROW()*0.000000001</f>
        <v>-0.029151629599</v>
      </c>
      <c r="AG4345" s="55" t="n">
        <f aca="false">AE4345+ROW()*0.000000001</f>
        <v>48.0380982777485</v>
      </c>
    </row>
    <row r="4346" customFormat="false" ht="15" hidden="false" customHeight="false" outlineLevel="0" collapsed="false">
      <c r="A4346" s="0" t="n">
        <v>5</v>
      </c>
      <c r="B4346" s="0" t="n">
        <v>8</v>
      </c>
      <c r="C4346" s="0" t="n">
        <v>5</v>
      </c>
      <c r="D4346" s="0" t="n">
        <v>3</v>
      </c>
      <c r="E4346" s="0" t="n">
        <f aca="false">-1+A4346*0.25</f>
        <v>0.25</v>
      </c>
      <c r="F4346" s="0" t="n">
        <f aca="false">-1+B4346*0.25</f>
        <v>1</v>
      </c>
      <c r="G4346" s="0" t="n">
        <f aca="false">-1+C4346*0.25</f>
        <v>0.25</v>
      </c>
      <c r="H4346" s="0" t="n">
        <f aca="false">-1+D4346*0.25</f>
        <v>-0.25</v>
      </c>
      <c r="I4346" s="0" t="n">
        <f aca="false">1</f>
        <v>1</v>
      </c>
      <c r="J4346" s="0" t="n">
        <f aca="false">E4346</f>
        <v>0.25</v>
      </c>
      <c r="K4346" s="0" t="n">
        <f aca="false">F4346</f>
        <v>1</v>
      </c>
      <c r="L4346" s="0" t="n">
        <f aca="false">G4346</f>
        <v>0.25</v>
      </c>
      <c r="M4346" s="0" t="n">
        <f aca="false">H4346</f>
        <v>-0.25</v>
      </c>
      <c r="N4346" s="0" t="n">
        <f aca="false">E4346*F4346</f>
        <v>0.25</v>
      </c>
      <c r="O4346" s="0" t="n">
        <f aca="false">E4346*G4346</f>
        <v>0.0625</v>
      </c>
      <c r="P4346" s="0" t="n">
        <f aca="false">E4346*H4346</f>
        <v>-0.0625</v>
      </c>
      <c r="Q4346" s="0" t="n">
        <f aca="false">F4346*G4346</f>
        <v>0.25</v>
      </c>
      <c r="R4346" s="0" t="n">
        <f aca="false">F4346*H4346</f>
        <v>-0.25</v>
      </c>
      <c r="S4346" s="0" t="n">
        <f aca="false">G4346*H4346</f>
        <v>-0.0625</v>
      </c>
      <c r="T4346" s="0" t="n">
        <f aca="false">E4346*E4346</f>
        <v>0.0625</v>
      </c>
      <c r="U4346" s="0" t="n">
        <f aca="false">F4346*F4346</f>
        <v>1</v>
      </c>
      <c r="V4346" s="0" t="n">
        <f aca="false">G4346*G4346</f>
        <v>0.0625</v>
      </c>
      <c r="W4346" s="0" t="n">
        <f aca="false">H4346*H4346</f>
        <v>0.0625</v>
      </c>
      <c r="X4346" s="0" t="n">
        <f aca="false">SUMPRODUCT(I4346:W4346,_XtX!$B$96:$P$96)</f>
        <v>48.1838495979532</v>
      </c>
      <c r="Y4346" s="0" t="n">
        <f aca="false">SUMPRODUCT(MMULT(I4346:W4346,_XtX!$B$78:$P$92),I4346:W4346)</f>
        <v>0.457466705500731</v>
      </c>
      <c r="Z4346" s="0" t="n">
        <f aca="false">04_回帰ANOVA!$K$19*04_回帰ANOVA!$K$14*SQRT(1+Y4346)</f>
        <v>1.57361220003999</v>
      </c>
      <c r="AA4346" s="0" t="n">
        <f aca="false">X4346-Z4346</f>
        <v>46.6102373979132</v>
      </c>
      <c r="AB4346" s="0" t="n">
        <f aca="false">X4346+Z4346</f>
        <v>49.7574617979932</v>
      </c>
      <c r="AC4346" s="54" t="b">
        <f aca="false">AND(E4346&gt;=01_因子設定!$L$5-0.000000001,E4346&lt;=01_因子設定!$M$5+0.000000001,F4346&gt;=01_因子設定!$L$6-0.000000001,F4346&lt;=01_因子設定!$M$6+0.000000001,G4346&gt;=01_因子設定!$L$7-0.000000001,G4346&lt;=01_因子設定!$M$7+0.000000001,H4346&gt;=01_因子設定!$L$8-0.000000001,H4346&lt;=01_因子設定!$M$8+0.000000001,IF(01_因子設定!$B$20="Box-Behnken",E4346^2+F4346^2+G4346^2+H4346^2&lt;=2+0.000000001,TRUE()))</f>
        <v>1</v>
      </c>
      <c r="AD4346" s="55" t="n">
        <f aca="false">IF(AC4346,IF(01_因子設定!$B$13="最大化",AA4346-01_因子設定!$B$14,IF(01_因子設定!$B$13="最小化",01_因子設定!$B$15-AB4346,MIN(AA4346-01_因子設定!$B$14,01_因子設定!$B$15-AB4346))),-1E+030)</f>
        <v>0.11023739791316</v>
      </c>
      <c r="AE4346" s="55" t="n">
        <f aca="false">IF(AC4346,IF(01_因子設定!$B$13="最大化",X4346,IF(01_因子設定!$B$13="最小化",-X4346,-ABS(X4346-01_因子設定!$B$16))),-1E+030)</f>
        <v>48.1838495979532</v>
      </c>
      <c r="AF4346" s="55" t="n">
        <f aca="false">AD4346+ROW()*0.000000001</f>
        <v>0.11024174391316</v>
      </c>
      <c r="AG4346" s="55" t="n">
        <f aca="false">AE4346+ROW()*0.000000001</f>
        <v>48.1838539439532</v>
      </c>
    </row>
    <row r="4347" customFormat="false" ht="15" hidden="false" customHeight="false" outlineLevel="0" collapsed="false">
      <c r="A4347" s="0" t="n">
        <v>5</v>
      </c>
      <c r="B4347" s="0" t="n">
        <v>8</v>
      </c>
      <c r="C4347" s="0" t="n">
        <v>5</v>
      </c>
      <c r="D4347" s="0" t="n">
        <v>4</v>
      </c>
      <c r="E4347" s="0" t="n">
        <f aca="false">-1+A4347*0.25</f>
        <v>0.25</v>
      </c>
      <c r="F4347" s="0" t="n">
        <f aca="false">-1+B4347*0.25</f>
        <v>1</v>
      </c>
      <c r="G4347" s="0" t="n">
        <f aca="false">-1+C4347*0.25</f>
        <v>0.25</v>
      </c>
      <c r="H4347" s="0" t="n">
        <f aca="false">-1+D4347*0.25</f>
        <v>0</v>
      </c>
      <c r="I4347" s="0" t="n">
        <f aca="false">1</f>
        <v>1</v>
      </c>
      <c r="J4347" s="0" t="n">
        <f aca="false">E4347</f>
        <v>0.25</v>
      </c>
      <c r="K4347" s="0" t="n">
        <f aca="false">F4347</f>
        <v>1</v>
      </c>
      <c r="L4347" s="0" t="n">
        <f aca="false">G4347</f>
        <v>0.25</v>
      </c>
      <c r="M4347" s="0" t="n">
        <f aca="false">H4347</f>
        <v>0</v>
      </c>
      <c r="N4347" s="0" t="n">
        <f aca="false">E4347*F4347</f>
        <v>0.25</v>
      </c>
      <c r="O4347" s="0" t="n">
        <f aca="false">E4347*G4347</f>
        <v>0.0625</v>
      </c>
      <c r="P4347" s="0" t="n">
        <f aca="false">E4347*H4347</f>
        <v>0</v>
      </c>
      <c r="Q4347" s="0" t="n">
        <f aca="false">F4347*G4347</f>
        <v>0.25</v>
      </c>
      <c r="R4347" s="0" t="n">
        <f aca="false">F4347*H4347</f>
        <v>0</v>
      </c>
      <c r="S4347" s="0" t="n">
        <f aca="false">G4347*H4347</f>
        <v>0</v>
      </c>
      <c r="T4347" s="0" t="n">
        <f aca="false">E4347*E4347</f>
        <v>0.0625</v>
      </c>
      <c r="U4347" s="0" t="n">
        <f aca="false">F4347*F4347</f>
        <v>1</v>
      </c>
      <c r="V4347" s="0" t="n">
        <f aca="false">G4347*G4347</f>
        <v>0.0625</v>
      </c>
      <c r="W4347" s="0" t="n">
        <f aca="false">H4347*H4347</f>
        <v>0</v>
      </c>
      <c r="X4347" s="0" t="n">
        <f aca="false">SUMPRODUCT(I4347:W4347,_XtX!$B$96:$P$96)</f>
        <v>48.281798245614</v>
      </c>
      <c r="Y4347" s="0" t="n">
        <f aca="false">SUMPRODUCT(MMULT(I4347:W4347,_XtX!$B$78:$P$92),I4347:W4347)</f>
        <v>0.467417934484649</v>
      </c>
      <c r="Z4347" s="0" t="n">
        <f aca="false">04_回帰ANOVA!$K$19*04_回帰ANOVA!$K$14*SQRT(1+Y4347)</f>
        <v>1.57897518244497</v>
      </c>
      <c r="AA4347" s="0" t="n">
        <f aca="false">X4347-Z4347</f>
        <v>46.702823063169</v>
      </c>
      <c r="AB4347" s="0" t="n">
        <f aca="false">X4347+Z4347</f>
        <v>49.8607734280589</v>
      </c>
      <c r="AC4347" s="54" t="b">
        <f aca="false">AND(E4347&gt;=01_因子設定!$L$5-0.000000001,E4347&lt;=01_因子設定!$M$5+0.000000001,F4347&gt;=01_因子設定!$L$6-0.000000001,F4347&lt;=01_因子設定!$M$6+0.000000001,G4347&gt;=01_因子設定!$L$7-0.000000001,G4347&lt;=01_因子設定!$M$7+0.000000001,H4347&gt;=01_因子設定!$L$8-0.000000001,H4347&lt;=01_因子設定!$M$8+0.000000001,IF(01_因子設定!$B$20="Box-Behnken",E4347^2+F4347^2+G4347^2+H4347^2&lt;=2+0.000000001,TRUE()))</f>
        <v>1</v>
      </c>
      <c r="AD4347" s="55" t="n">
        <f aca="false">IF(AC4347,IF(01_因子設定!$B$13="最大化",AA4347-01_因子設定!$B$14,IF(01_因子設定!$B$13="最小化",01_因子設定!$B$15-AB4347,MIN(AA4347-01_因子設定!$B$14,01_因子設定!$B$15-AB4347))),-1E+030)</f>
        <v>0.202823063168999</v>
      </c>
      <c r="AE4347" s="55" t="n">
        <f aca="false">IF(AC4347,IF(01_因子設定!$B$13="最大化",X4347,IF(01_因子設定!$B$13="最小化",-X4347,-ABS(X4347-01_因子設定!$B$16))),-1E+030)</f>
        <v>48.281798245614</v>
      </c>
      <c r="AF4347" s="55" t="n">
        <f aca="false">AD4347+ROW()*0.000000001</f>
        <v>0.202827410168999</v>
      </c>
      <c r="AG4347" s="55" t="n">
        <f aca="false">AE4347+ROW()*0.000000001</f>
        <v>48.281802592614</v>
      </c>
    </row>
    <row r="4348" customFormat="false" ht="15" hidden="false" customHeight="false" outlineLevel="0" collapsed="false">
      <c r="A4348" s="0" t="n">
        <v>5</v>
      </c>
      <c r="B4348" s="0" t="n">
        <v>8</v>
      </c>
      <c r="C4348" s="0" t="n">
        <v>5</v>
      </c>
      <c r="D4348" s="0" t="n">
        <v>5</v>
      </c>
      <c r="E4348" s="0" t="n">
        <f aca="false">-1+A4348*0.25</f>
        <v>0.25</v>
      </c>
      <c r="F4348" s="0" t="n">
        <f aca="false">-1+B4348*0.25</f>
        <v>1</v>
      </c>
      <c r="G4348" s="0" t="n">
        <f aca="false">-1+C4348*0.25</f>
        <v>0.25</v>
      </c>
      <c r="H4348" s="0" t="n">
        <f aca="false">-1+D4348*0.25</f>
        <v>0.25</v>
      </c>
      <c r="I4348" s="0" t="n">
        <f aca="false">1</f>
        <v>1</v>
      </c>
      <c r="J4348" s="0" t="n">
        <f aca="false">E4348</f>
        <v>0.25</v>
      </c>
      <c r="K4348" s="0" t="n">
        <f aca="false">F4348</f>
        <v>1</v>
      </c>
      <c r="L4348" s="0" t="n">
        <f aca="false">G4348</f>
        <v>0.25</v>
      </c>
      <c r="M4348" s="0" t="n">
        <f aca="false">H4348</f>
        <v>0.25</v>
      </c>
      <c r="N4348" s="0" t="n">
        <f aca="false">E4348*F4348</f>
        <v>0.25</v>
      </c>
      <c r="O4348" s="0" t="n">
        <f aca="false">E4348*G4348</f>
        <v>0.0625</v>
      </c>
      <c r="P4348" s="0" t="n">
        <f aca="false">E4348*H4348</f>
        <v>0.0625</v>
      </c>
      <c r="Q4348" s="0" t="n">
        <f aca="false">F4348*G4348</f>
        <v>0.25</v>
      </c>
      <c r="R4348" s="0" t="n">
        <f aca="false">F4348*H4348</f>
        <v>0.25</v>
      </c>
      <c r="S4348" s="0" t="n">
        <f aca="false">G4348*H4348</f>
        <v>0.0625</v>
      </c>
      <c r="T4348" s="0" t="n">
        <f aca="false">E4348*E4348</f>
        <v>0.0625</v>
      </c>
      <c r="U4348" s="0" t="n">
        <f aca="false">F4348*F4348</f>
        <v>1</v>
      </c>
      <c r="V4348" s="0" t="n">
        <f aca="false">G4348*G4348</f>
        <v>0.0625</v>
      </c>
      <c r="W4348" s="0" t="n">
        <f aca="false">H4348*H4348</f>
        <v>0.0625</v>
      </c>
      <c r="X4348" s="0" t="n">
        <f aca="false">SUMPRODUCT(I4348:W4348,_XtX!$B$96:$P$96)</f>
        <v>48.3319398757309</v>
      </c>
      <c r="Y4348" s="0" t="n">
        <f aca="false">SUMPRODUCT(MMULT(I4348:W4348,_XtX!$B$78:$P$92),I4348:W4348)</f>
        <v>0.457466705500731</v>
      </c>
      <c r="Z4348" s="0" t="n">
        <f aca="false">04_回帰ANOVA!$K$19*04_回帰ANOVA!$K$14*SQRT(1+Y4348)</f>
        <v>1.57361220003999</v>
      </c>
      <c r="AA4348" s="0" t="n">
        <f aca="false">X4348-Z4348</f>
        <v>46.7583276756909</v>
      </c>
      <c r="AB4348" s="0" t="n">
        <f aca="false">X4348+Z4348</f>
        <v>49.9055520757709</v>
      </c>
      <c r="AC4348" s="54" t="b">
        <f aca="false">AND(E4348&gt;=01_因子設定!$L$5-0.000000001,E4348&lt;=01_因子設定!$M$5+0.000000001,F4348&gt;=01_因子設定!$L$6-0.000000001,F4348&lt;=01_因子設定!$M$6+0.000000001,G4348&gt;=01_因子設定!$L$7-0.000000001,G4348&lt;=01_因子設定!$M$7+0.000000001,H4348&gt;=01_因子設定!$L$8-0.000000001,H4348&lt;=01_因子設定!$M$8+0.000000001,IF(01_因子設定!$B$20="Box-Behnken",E4348^2+F4348^2+G4348^2+H4348^2&lt;=2+0.000000001,TRUE()))</f>
        <v>1</v>
      </c>
      <c r="AD4348" s="55" t="n">
        <f aca="false">IF(AC4348,IF(01_因子設定!$B$13="最大化",AA4348-01_因子設定!$B$14,IF(01_因子設定!$B$13="最小化",01_因子設定!$B$15-AB4348,MIN(AA4348-01_因子設定!$B$14,01_因子設定!$B$15-AB4348))),-1E+030)</f>
        <v>0.258327675690936</v>
      </c>
      <c r="AE4348" s="55" t="n">
        <f aca="false">IF(AC4348,IF(01_因子設定!$B$13="最大化",X4348,IF(01_因子設定!$B$13="最小化",-X4348,-ABS(X4348-01_因子設定!$B$16))),-1E+030)</f>
        <v>48.3319398757309</v>
      </c>
      <c r="AF4348" s="55" t="n">
        <f aca="false">AD4348+ROW()*0.000000001</f>
        <v>0.258332023690936</v>
      </c>
      <c r="AG4348" s="55" t="n">
        <f aca="false">AE4348+ROW()*0.000000001</f>
        <v>48.3319442237309</v>
      </c>
    </row>
    <row r="4349" customFormat="false" ht="15" hidden="false" customHeight="false" outlineLevel="0" collapsed="false">
      <c r="A4349" s="0" t="n">
        <v>5</v>
      </c>
      <c r="B4349" s="0" t="n">
        <v>8</v>
      </c>
      <c r="C4349" s="0" t="n">
        <v>5</v>
      </c>
      <c r="D4349" s="0" t="n">
        <v>6</v>
      </c>
      <c r="E4349" s="0" t="n">
        <f aca="false">-1+A4349*0.25</f>
        <v>0.25</v>
      </c>
      <c r="F4349" s="0" t="n">
        <f aca="false">-1+B4349*0.25</f>
        <v>1</v>
      </c>
      <c r="G4349" s="0" t="n">
        <f aca="false">-1+C4349*0.25</f>
        <v>0.25</v>
      </c>
      <c r="H4349" s="0" t="n">
        <f aca="false">-1+D4349*0.25</f>
        <v>0.5</v>
      </c>
      <c r="I4349" s="0" t="n">
        <f aca="false">1</f>
        <v>1</v>
      </c>
      <c r="J4349" s="0" t="n">
        <f aca="false">E4349</f>
        <v>0.25</v>
      </c>
      <c r="K4349" s="0" t="n">
        <f aca="false">F4349</f>
        <v>1</v>
      </c>
      <c r="L4349" s="0" t="n">
        <f aca="false">G4349</f>
        <v>0.25</v>
      </c>
      <c r="M4349" s="0" t="n">
        <f aca="false">H4349</f>
        <v>0.5</v>
      </c>
      <c r="N4349" s="0" t="n">
        <f aca="false">E4349*F4349</f>
        <v>0.25</v>
      </c>
      <c r="O4349" s="0" t="n">
        <f aca="false">E4349*G4349</f>
        <v>0.0625</v>
      </c>
      <c r="P4349" s="0" t="n">
        <f aca="false">E4349*H4349</f>
        <v>0.125</v>
      </c>
      <c r="Q4349" s="0" t="n">
        <f aca="false">F4349*G4349</f>
        <v>0.25</v>
      </c>
      <c r="R4349" s="0" t="n">
        <f aca="false">F4349*H4349</f>
        <v>0.5</v>
      </c>
      <c r="S4349" s="0" t="n">
        <f aca="false">G4349*H4349</f>
        <v>0.125</v>
      </c>
      <c r="T4349" s="0" t="n">
        <f aca="false">E4349*E4349</f>
        <v>0.0625</v>
      </c>
      <c r="U4349" s="0" t="n">
        <f aca="false">F4349*F4349</f>
        <v>1</v>
      </c>
      <c r="V4349" s="0" t="n">
        <f aca="false">G4349*G4349</f>
        <v>0.0625</v>
      </c>
      <c r="W4349" s="0" t="n">
        <f aca="false">H4349*H4349</f>
        <v>0.25</v>
      </c>
      <c r="X4349" s="0" t="n">
        <f aca="false">SUMPRODUCT(I4349:W4349,_XtX!$B$96:$P$96)</f>
        <v>48.334274488304</v>
      </c>
      <c r="Y4349" s="0" t="n">
        <f aca="false">SUMPRODUCT(MMULT(I4349:W4349,_XtX!$B$78:$P$92),I4349:W4349)</f>
        <v>0.445705123812135</v>
      </c>
      <c r="Z4349" s="0" t="n">
        <f aca="false">04_回帰ANOVA!$K$19*04_回帰ANOVA!$K$14*SQRT(1+Y4349)</f>
        <v>1.56724990734749</v>
      </c>
      <c r="AA4349" s="0" t="n">
        <f aca="false">X4349-Z4349</f>
        <v>46.7670245809566</v>
      </c>
      <c r="AB4349" s="0" t="n">
        <f aca="false">X4349+Z4349</f>
        <v>49.9015243956515</v>
      </c>
      <c r="AC4349" s="54" t="b">
        <f aca="false">AND(E4349&gt;=01_因子設定!$L$5-0.000000001,E4349&lt;=01_因子設定!$M$5+0.000000001,F4349&gt;=01_因子設定!$L$6-0.000000001,F4349&lt;=01_因子設定!$M$6+0.000000001,G4349&gt;=01_因子設定!$L$7-0.000000001,G4349&lt;=01_因子設定!$M$7+0.000000001,H4349&gt;=01_因子設定!$L$8-0.000000001,H4349&lt;=01_因子設定!$M$8+0.000000001,IF(01_因子設定!$B$20="Box-Behnken",E4349^2+F4349^2+G4349^2+H4349^2&lt;=2+0.000000001,TRUE()))</f>
        <v>1</v>
      </c>
      <c r="AD4349" s="55" t="n">
        <f aca="false">IF(AC4349,IF(01_因子設定!$B$13="最大化",AA4349-01_因子設定!$B$14,IF(01_因子設定!$B$13="最小化",01_因子設定!$B$15-AB4349,MIN(AA4349-01_因子設定!$B$14,01_因子設定!$B$15-AB4349))),-1E+030)</f>
        <v>0.267024580956551</v>
      </c>
      <c r="AE4349" s="55" t="n">
        <f aca="false">IF(AC4349,IF(01_因子設定!$B$13="最大化",X4349,IF(01_因子設定!$B$13="最小化",-X4349,-ABS(X4349-01_因子設定!$B$16))),-1E+030)</f>
        <v>48.334274488304</v>
      </c>
      <c r="AF4349" s="55" t="n">
        <f aca="false">AD4349+ROW()*0.000000001</f>
        <v>0.267028929956552</v>
      </c>
      <c r="AG4349" s="55" t="n">
        <f aca="false">AE4349+ROW()*0.000000001</f>
        <v>48.334278837304</v>
      </c>
    </row>
    <row r="4350" customFormat="false" ht="15" hidden="false" customHeight="false" outlineLevel="0" collapsed="false">
      <c r="A4350" s="0" t="n">
        <v>5</v>
      </c>
      <c r="B4350" s="0" t="n">
        <v>8</v>
      </c>
      <c r="C4350" s="0" t="n">
        <v>5</v>
      </c>
      <c r="D4350" s="0" t="n">
        <v>7</v>
      </c>
      <c r="E4350" s="0" t="n">
        <f aca="false">-1+A4350*0.25</f>
        <v>0.25</v>
      </c>
      <c r="F4350" s="0" t="n">
        <f aca="false">-1+B4350*0.25</f>
        <v>1</v>
      </c>
      <c r="G4350" s="0" t="n">
        <f aca="false">-1+C4350*0.25</f>
        <v>0.25</v>
      </c>
      <c r="H4350" s="0" t="n">
        <f aca="false">-1+D4350*0.25</f>
        <v>0.75</v>
      </c>
      <c r="I4350" s="0" t="n">
        <f aca="false">1</f>
        <v>1</v>
      </c>
      <c r="J4350" s="0" t="n">
        <f aca="false">E4350</f>
        <v>0.25</v>
      </c>
      <c r="K4350" s="0" t="n">
        <f aca="false">F4350</f>
        <v>1</v>
      </c>
      <c r="L4350" s="0" t="n">
        <f aca="false">G4350</f>
        <v>0.25</v>
      </c>
      <c r="M4350" s="0" t="n">
        <f aca="false">H4350</f>
        <v>0.75</v>
      </c>
      <c r="N4350" s="0" t="n">
        <f aca="false">E4350*F4350</f>
        <v>0.25</v>
      </c>
      <c r="O4350" s="0" t="n">
        <f aca="false">E4350*G4350</f>
        <v>0.0625</v>
      </c>
      <c r="P4350" s="0" t="n">
        <f aca="false">E4350*H4350</f>
        <v>0.1875</v>
      </c>
      <c r="Q4350" s="0" t="n">
        <f aca="false">F4350*G4350</f>
        <v>0.25</v>
      </c>
      <c r="R4350" s="0" t="n">
        <f aca="false">F4350*H4350</f>
        <v>0.75</v>
      </c>
      <c r="S4350" s="0" t="n">
        <f aca="false">G4350*H4350</f>
        <v>0.1875</v>
      </c>
      <c r="T4350" s="0" t="n">
        <f aca="false">E4350*E4350</f>
        <v>0.0625</v>
      </c>
      <c r="U4350" s="0" t="n">
        <f aca="false">F4350*F4350</f>
        <v>1</v>
      </c>
      <c r="V4350" s="0" t="n">
        <f aca="false">G4350*G4350</f>
        <v>0.0625</v>
      </c>
      <c r="W4350" s="0" t="n">
        <f aca="false">H4350*H4350</f>
        <v>0.5625</v>
      </c>
      <c r="X4350" s="0" t="n">
        <f aca="false">SUMPRODUCT(I4350:W4350,_XtX!$B$96:$P$96)</f>
        <v>48.2888020833333</v>
      </c>
      <c r="Y4350" s="0" t="n">
        <f aca="false">SUMPRODUCT(MMULT(I4350:W4350,_XtX!$B$78:$P$92),I4350:W4350)</f>
        <v>0.486409505208334</v>
      </c>
      <c r="Z4350" s="0" t="n">
        <f aca="false">04_回帰ANOVA!$K$19*04_回帰ANOVA!$K$14*SQRT(1+Y4350)</f>
        <v>1.58916001665498</v>
      </c>
      <c r="AA4350" s="0" t="n">
        <f aca="false">X4350-Z4350</f>
        <v>46.6996420666783</v>
      </c>
      <c r="AB4350" s="0" t="n">
        <f aca="false">X4350+Z4350</f>
        <v>49.8779620999883</v>
      </c>
      <c r="AC4350" s="54" t="b">
        <f aca="false">AND(E4350&gt;=01_因子設定!$L$5-0.000000001,E4350&lt;=01_因子設定!$M$5+0.000000001,F4350&gt;=01_因子設定!$L$6-0.000000001,F4350&lt;=01_因子設定!$M$6+0.000000001,G4350&gt;=01_因子設定!$L$7-0.000000001,G4350&lt;=01_因子設定!$M$7+0.000000001,H4350&gt;=01_因子設定!$L$8-0.000000001,H4350&lt;=01_因子設定!$M$8+0.000000001,IF(01_因子設定!$B$20="Box-Behnken",E4350^2+F4350^2+G4350^2+H4350^2&lt;=2+0.000000001,TRUE()))</f>
        <v>1</v>
      </c>
      <c r="AD4350" s="55" t="n">
        <f aca="false">IF(AC4350,IF(01_因子設定!$B$13="最大化",AA4350-01_因子設定!$B$14,IF(01_因子設定!$B$13="最小化",01_因子設定!$B$15-AB4350,MIN(AA4350-01_因子設定!$B$14,01_因子設定!$B$15-AB4350))),-1E+030)</f>
        <v>0.199642066678315</v>
      </c>
      <c r="AE4350" s="55" t="n">
        <f aca="false">IF(AC4350,IF(01_因子設定!$B$13="最大化",X4350,IF(01_因子設定!$B$13="最小化",-X4350,-ABS(X4350-01_因子設定!$B$16))),-1E+030)</f>
        <v>48.2888020833333</v>
      </c>
      <c r="AF4350" s="55" t="n">
        <f aca="false">AD4350+ROW()*0.000000001</f>
        <v>0.199646416678315</v>
      </c>
      <c r="AG4350" s="55" t="n">
        <f aca="false">AE4350+ROW()*0.000000001</f>
        <v>48.2888064333333</v>
      </c>
    </row>
    <row r="4351" customFormat="false" ht="15" hidden="false" customHeight="false" outlineLevel="0" collapsed="false">
      <c r="A4351" s="0" t="n">
        <v>5</v>
      </c>
      <c r="B4351" s="0" t="n">
        <v>8</v>
      </c>
      <c r="C4351" s="0" t="n">
        <v>5</v>
      </c>
      <c r="D4351" s="0" t="n">
        <v>8</v>
      </c>
      <c r="E4351" s="0" t="n">
        <f aca="false">-1+A4351*0.25</f>
        <v>0.25</v>
      </c>
      <c r="F4351" s="0" t="n">
        <f aca="false">-1+B4351*0.25</f>
        <v>1</v>
      </c>
      <c r="G4351" s="0" t="n">
        <f aca="false">-1+C4351*0.25</f>
        <v>0.25</v>
      </c>
      <c r="H4351" s="0" t="n">
        <f aca="false">-1+D4351*0.25</f>
        <v>1</v>
      </c>
      <c r="I4351" s="0" t="n">
        <f aca="false">1</f>
        <v>1</v>
      </c>
      <c r="J4351" s="0" t="n">
        <f aca="false">E4351</f>
        <v>0.25</v>
      </c>
      <c r="K4351" s="0" t="n">
        <f aca="false">F4351</f>
        <v>1</v>
      </c>
      <c r="L4351" s="0" t="n">
        <f aca="false">G4351</f>
        <v>0.25</v>
      </c>
      <c r="M4351" s="0" t="n">
        <f aca="false">H4351</f>
        <v>1</v>
      </c>
      <c r="N4351" s="0" t="n">
        <f aca="false">E4351*F4351</f>
        <v>0.25</v>
      </c>
      <c r="O4351" s="0" t="n">
        <f aca="false">E4351*G4351</f>
        <v>0.0625</v>
      </c>
      <c r="P4351" s="0" t="n">
        <f aca="false">E4351*H4351</f>
        <v>0.25</v>
      </c>
      <c r="Q4351" s="0" t="n">
        <f aca="false">F4351*G4351</f>
        <v>0.25</v>
      </c>
      <c r="R4351" s="0" t="n">
        <f aca="false">F4351*H4351</f>
        <v>1</v>
      </c>
      <c r="S4351" s="0" t="n">
        <f aca="false">G4351*H4351</f>
        <v>0.25</v>
      </c>
      <c r="T4351" s="0" t="n">
        <f aca="false">E4351*E4351</f>
        <v>0.0625</v>
      </c>
      <c r="U4351" s="0" t="n">
        <f aca="false">F4351*F4351</f>
        <v>1</v>
      </c>
      <c r="V4351" s="0" t="n">
        <f aca="false">G4351*G4351</f>
        <v>0.0625</v>
      </c>
      <c r="W4351" s="0" t="n">
        <f aca="false">H4351*H4351</f>
        <v>1</v>
      </c>
      <c r="X4351" s="0" t="n">
        <f aca="false">SUMPRODUCT(I4351:W4351,_XtX!$B$96:$P$96)</f>
        <v>48.1955226608187</v>
      </c>
      <c r="Y4351" s="0" t="n">
        <f aca="false">SUMPRODUCT(MMULT(I4351:W4351,_XtX!$B$78:$P$92),I4351:W4351)</f>
        <v>0.670040376005117</v>
      </c>
      <c r="Z4351" s="0" t="n">
        <f aca="false">04_回帰ANOVA!$K$19*04_回帰ANOVA!$K$14*SQRT(1+Y4351)</f>
        <v>1.68446456039992</v>
      </c>
      <c r="AA4351" s="0" t="n">
        <f aca="false">X4351-Z4351</f>
        <v>46.5110581004188</v>
      </c>
      <c r="AB4351" s="0" t="n">
        <f aca="false">X4351+Z4351</f>
        <v>49.8799872212186</v>
      </c>
      <c r="AC4351" s="54" t="b">
        <f aca="false">AND(E4351&gt;=01_因子設定!$L$5-0.000000001,E4351&lt;=01_因子設定!$M$5+0.000000001,F4351&gt;=01_因子設定!$L$6-0.000000001,F4351&lt;=01_因子設定!$M$6+0.000000001,G4351&gt;=01_因子設定!$L$7-0.000000001,G4351&lt;=01_因子設定!$M$7+0.000000001,H4351&gt;=01_因子設定!$L$8-0.000000001,H4351&lt;=01_因子設定!$M$8+0.000000001,IF(01_因子設定!$B$20="Box-Behnken",E4351^2+F4351^2+G4351^2+H4351^2&lt;=2+0.000000001,TRUE()))</f>
        <v>1</v>
      </c>
      <c r="AD4351" s="55" t="n">
        <f aca="false">IF(AC4351,IF(01_因子設定!$B$13="最大化",AA4351-01_因子設定!$B$14,IF(01_因子設定!$B$13="最小化",01_因子設定!$B$15-AB4351,MIN(AA4351-01_因子設定!$B$14,01_因子設定!$B$15-AB4351))),-1E+030)</f>
        <v>0.0110581004187722</v>
      </c>
      <c r="AE4351" s="55" t="n">
        <f aca="false">IF(AC4351,IF(01_因子設定!$B$13="最大化",X4351,IF(01_因子設定!$B$13="最小化",-X4351,-ABS(X4351-01_因子設定!$B$16))),-1E+030)</f>
        <v>48.1955226608187</v>
      </c>
      <c r="AF4351" s="55" t="n">
        <f aca="false">AD4351+ROW()*0.000000001</f>
        <v>0.0110624514187722</v>
      </c>
      <c r="AG4351" s="55" t="n">
        <f aca="false">AE4351+ROW()*0.000000001</f>
        <v>48.1955270118187</v>
      </c>
    </row>
    <row r="4352" customFormat="false" ht="15" hidden="false" customHeight="false" outlineLevel="0" collapsed="false">
      <c r="A4352" s="0" t="n">
        <v>5</v>
      </c>
      <c r="B4352" s="0" t="n">
        <v>8</v>
      </c>
      <c r="C4352" s="0" t="n">
        <v>6</v>
      </c>
      <c r="D4352" s="0" t="n">
        <v>0</v>
      </c>
      <c r="E4352" s="0" t="n">
        <f aca="false">-1+A4352*0.25</f>
        <v>0.25</v>
      </c>
      <c r="F4352" s="0" t="n">
        <f aca="false">-1+B4352*0.25</f>
        <v>1</v>
      </c>
      <c r="G4352" s="0" t="n">
        <f aca="false">-1+C4352*0.25</f>
        <v>0.5</v>
      </c>
      <c r="H4352" s="0" t="n">
        <f aca="false">-1+D4352*0.25</f>
        <v>-1</v>
      </c>
      <c r="I4352" s="0" t="n">
        <f aca="false">1</f>
        <v>1</v>
      </c>
      <c r="J4352" s="0" t="n">
        <f aca="false">E4352</f>
        <v>0.25</v>
      </c>
      <c r="K4352" s="0" t="n">
        <f aca="false">F4352</f>
        <v>1</v>
      </c>
      <c r="L4352" s="0" t="n">
        <f aca="false">G4352</f>
        <v>0.5</v>
      </c>
      <c r="M4352" s="0" t="n">
        <f aca="false">H4352</f>
        <v>-1</v>
      </c>
      <c r="N4352" s="0" t="n">
        <f aca="false">E4352*F4352</f>
        <v>0.25</v>
      </c>
      <c r="O4352" s="0" t="n">
        <f aca="false">E4352*G4352</f>
        <v>0.125</v>
      </c>
      <c r="P4352" s="0" t="n">
        <f aca="false">E4352*H4352</f>
        <v>-0.25</v>
      </c>
      <c r="Q4352" s="0" t="n">
        <f aca="false">F4352*G4352</f>
        <v>0.5</v>
      </c>
      <c r="R4352" s="0" t="n">
        <f aca="false">F4352*H4352</f>
        <v>-1</v>
      </c>
      <c r="S4352" s="0" t="n">
        <f aca="false">G4352*H4352</f>
        <v>-0.5</v>
      </c>
      <c r="T4352" s="0" t="n">
        <f aca="false">E4352*E4352</f>
        <v>0.0625</v>
      </c>
      <c r="U4352" s="0" t="n">
        <f aca="false">F4352*F4352</f>
        <v>1</v>
      </c>
      <c r="V4352" s="0" t="n">
        <f aca="false">G4352*G4352</f>
        <v>0.25</v>
      </c>
      <c r="W4352" s="0" t="n">
        <f aca="false">H4352*H4352</f>
        <v>1</v>
      </c>
      <c r="X4352" s="0" t="n">
        <f aca="false">SUMPRODUCT(I4352:W4352,_XtX!$B$96:$P$96)</f>
        <v>47.6866593567251</v>
      </c>
      <c r="Y4352" s="0" t="n">
        <f aca="false">SUMPRODUCT(MMULT(I4352:W4352,_XtX!$B$78:$P$92),I4352:W4352)</f>
        <v>0.629174661915205</v>
      </c>
      <c r="Z4352" s="0" t="n">
        <f aca="false">04_回帰ANOVA!$K$19*04_回帰ANOVA!$K$14*SQRT(1+Y4352)</f>
        <v>1.66372758058297</v>
      </c>
      <c r="AA4352" s="0" t="n">
        <f aca="false">X4352-Z4352</f>
        <v>46.0229317761422</v>
      </c>
      <c r="AB4352" s="0" t="n">
        <f aca="false">X4352+Z4352</f>
        <v>49.3503869373081</v>
      </c>
      <c r="AC4352" s="54" t="b">
        <f aca="false">AND(E4352&gt;=01_因子設定!$L$5-0.000000001,E4352&lt;=01_因子設定!$M$5+0.000000001,F4352&gt;=01_因子設定!$L$6-0.000000001,F4352&lt;=01_因子設定!$M$6+0.000000001,G4352&gt;=01_因子設定!$L$7-0.000000001,G4352&lt;=01_因子設定!$M$7+0.000000001,H4352&gt;=01_因子設定!$L$8-0.000000001,H4352&lt;=01_因子設定!$M$8+0.000000001,IF(01_因子設定!$B$20="Box-Behnken",E4352^2+F4352^2+G4352^2+H4352^2&lt;=2+0.000000001,TRUE()))</f>
        <v>1</v>
      </c>
      <c r="AD4352" s="55" t="n">
        <f aca="false">IF(AC4352,IF(01_因子設定!$B$13="最大化",AA4352-01_因子設定!$B$14,IF(01_因子設定!$B$13="最小化",01_因子設定!$B$15-AB4352,MIN(AA4352-01_因子設定!$B$14,01_因子設定!$B$15-AB4352))),-1E+030)</f>
        <v>-0.477068223857849</v>
      </c>
      <c r="AE4352" s="55" t="n">
        <f aca="false">IF(AC4352,IF(01_因子設定!$B$13="最大化",X4352,IF(01_因子設定!$B$13="最小化",-X4352,-ABS(X4352-01_因子設定!$B$16))),-1E+030)</f>
        <v>47.6866593567251</v>
      </c>
      <c r="AF4352" s="55" t="n">
        <f aca="false">AD4352+ROW()*0.000000001</f>
        <v>-0.477063871857849</v>
      </c>
      <c r="AG4352" s="55" t="n">
        <f aca="false">AE4352+ROW()*0.000000001</f>
        <v>47.6866637087251</v>
      </c>
    </row>
    <row r="4353" customFormat="false" ht="15" hidden="false" customHeight="false" outlineLevel="0" collapsed="false">
      <c r="A4353" s="0" t="n">
        <v>5</v>
      </c>
      <c r="B4353" s="0" t="n">
        <v>8</v>
      </c>
      <c r="C4353" s="0" t="n">
        <v>6</v>
      </c>
      <c r="D4353" s="0" t="n">
        <v>1</v>
      </c>
      <c r="E4353" s="0" t="n">
        <f aca="false">-1+A4353*0.25</f>
        <v>0.25</v>
      </c>
      <c r="F4353" s="0" t="n">
        <f aca="false">-1+B4353*0.25</f>
        <v>1</v>
      </c>
      <c r="G4353" s="0" t="n">
        <f aca="false">-1+C4353*0.25</f>
        <v>0.5</v>
      </c>
      <c r="H4353" s="0" t="n">
        <f aca="false">-1+D4353*0.25</f>
        <v>-0.75</v>
      </c>
      <c r="I4353" s="0" t="n">
        <f aca="false">1</f>
        <v>1</v>
      </c>
      <c r="J4353" s="0" t="n">
        <f aca="false">E4353</f>
        <v>0.25</v>
      </c>
      <c r="K4353" s="0" t="n">
        <f aca="false">F4353</f>
        <v>1</v>
      </c>
      <c r="L4353" s="0" t="n">
        <f aca="false">G4353</f>
        <v>0.5</v>
      </c>
      <c r="M4353" s="0" t="n">
        <f aca="false">H4353</f>
        <v>-0.75</v>
      </c>
      <c r="N4353" s="0" t="n">
        <f aca="false">E4353*F4353</f>
        <v>0.25</v>
      </c>
      <c r="O4353" s="0" t="n">
        <f aca="false">E4353*G4353</f>
        <v>0.125</v>
      </c>
      <c r="P4353" s="0" t="n">
        <f aca="false">E4353*H4353</f>
        <v>-0.1875</v>
      </c>
      <c r="Q4353" s="0" t="n">
        <f aca="false">F4353*G4353</f>
        <v>0.5</v>
      </c>
      <c r="R4353" s="0" t="n">
        <f aca="false">F4353*H4353</f>
        <v>-0.75</v>
      </c>
      <c r="S4353" s="0" t="n">
        <f aca="false">G4353*H4353</f>
        <v>-0.375</v>
      </c>
      <c r="T4353" s="0" t="n">
        <f aca="false">E4353*E4353</f>
        <v>0.0625</v>
      </c>
      <c r="U4353" s="0" t="n">
        <f aca="false">F4353*F4353</f>
        <v>1</v>
      </c>
      <c r="V4353" s="0" t="n">
        <f aca="false">G4353*G4353</f>
        <v>0.25</v>
      </c>
      <c r="W4353" s="0" t="n">
        <f aca="false">H4353*H4353</f>
        <v>0.5625</v>
      </c>
      <c r="X4353" s="0" t="n">
        <f aca="false">SUMPRODUCT(I4353:W4353,_XtX!$B$96:$P$96)</f>
        <v>47.9459978070175</v>
      </c>
      <c r="Y4353" s="0" t="n">
        <f aca="false">SUMPRODUCT(MMULT(I4353:W4353,_XtX!$B$78:$P$92),I4353:W4353)</f>
        <v>0.459125719572369</v>
      </c>
      <c r="Z4353" s="0" t="n">
        <f aca="false">04_回帰ANOVA!$K$19*04_回帰ANOVA!$K$14*SQRT(1+Y4353)</f>
        <v>1.57450755575573</v>
      </c>
      <c r="AA4353" s="0" t="n">
        <f aca="false">X4353-Z4353</f>
        <v>46.3714902512618</v>
      </c>
      <c r="AB4353" s="0" t="n">
        <f aca="false">X4353+Z4353</f>
        <v>49.5205053627732</v>
      </c>
      <c r="AC4353" s="54" t="b">
        <f aca="false">AND(E4353&gt;=01_因子設定!$L$5-0.000000001,E4353&lt;=01_因子設定!$M$5+0.000000001,F4353&gt;=01_因子設定!$L$6-0.000000001,F4353&lt;=01_因子設定!$M$6+0.000000001,G4353&gt;=01_因子設定!$L$7-0.000000001,G4353&lt;=01_因子設定!$M$7+0.000000001,H4353&gt;=01_因子設定!$L$8-0.000000001,H4353&lt;=01_因子設定!$M$8+0.000000001,IF(01_因子設定!$B$20="Box-Behnken",E4353^2+F4353^2+G4353^2+H4353^2&lt;=2+0.000000001,TRUE()))</f>
        <v>1</v>
      </c>
      <c r="AD4353" s="55" t="n">
        <f aca="false">IF(AC4353,IF(01_因子設定!$B$13="最大化",AA4353-01_因子設定!$B$14,IF(01_因子設定!$B$13="最小化",01_因子設定!$B$15-AB4353,MIN(AA4353-01_因子設定!$B$14,01_因子設定!$B$15-AB4353))),-1E+030)</f>
        <v>-0.128509748738225</v>
      </c>
      <c r="AE4353" s="55" t="n">
        <f aca="false">IF(AC4353,IF(01_因子設定!$B$13="最大化",X4353,IF(01_因子設定!$B$13="最小化",-X4353,-ABS(X4353-01_因子設定!$B$16))),-1E+030)</f>
        <v>47.9459978070175</v>
      </c>
      <c r="AF4353" s="55" t="n">
        <f aca="false">AD4353+ROW()*0.000000001</f>
        <v>-0.128505395738225</v>
      </c>
      <c r="AG4353" s="55" t="n">
        <f aca="false">AE4353+ROW()*0.000000001</f>
        <v>47.9460021600175</v>
      </c>
    </row>
    <row r="4354" customFormat="false" ht="15" hidden="false" customHeight="false" outlineLevel="0" collapsed="false">
      <c r="A4354" s="0" t="n">
        <v>5</v>
      </c>
      <c r="B4354" s="0" t="n">
        <v>8</v>
      </c>
      <c r="C4354" s="0" t="n">
        <v>6</v>
      </c>
      <c r="D4354" s="0" t="n">
        <v>2</v>
      </c>
      <c r="E4354" s="0" t="n">
        <f aca="false">-1+A4354*0.25</f>
        <v>0.25</v>
      </c>
      <c r="F4354" s="0" t="n">
        <f aca="false">-1+B4354*0.25</f>
        <v>1</v>
      </c>
      <c r="G4354" s="0" t="n">
        <f aca="false">-1+C4354*0.25</f>
        <v>0.5</v>
      </c>
      <c r="H4354" s="0" t="n">
        <f aca="false">-1+D4354*0.25</f>
        <v>-0.5</v>
      </c>
      <c r="I4354" s="0" t="n">
        <f aca="false">1</f>
        <v>1</v>
      </c>
      <c r="J4354" s="0" t="n">
        <f aca="false">E4354</f>
        <v>0.25</v>
      </c>
      <c r="K4354" s="0" t="n">
        <f aca="false">F4354</f>
        <v>1</v>
      </c>
      <c r="L4354" s="0" t="n">
        <f aca="false">G4354</f>
        <v>0.5</v>
      </c>
      <c r="M4354" s="0" t="n">
        <f aca="false">H4354</f>
        <v>-0.5</v>
      </c>
      <c r="N4354" s="0" t="n">
        <f aca="false">E4354*F4354</f>
        <v>0.25</v>
      </c>
      <c r="O4354" s="0" t="n">
        <f aca="false">E4354*G4354</f>
        <v>0.125</v>
      </c>
      <c r="P4354" s="0" t="n">
        <f aca="false">E4354*H4354</f>
        <v>-0.125</v>
      </c>
      <c r="Q4354" s="0" t="n">
        <f aca="false">F4354*G4354</f>
        <v>0.5</v>
      </c>
      <c r="R4354" s="0" t="n">
        <f aca="false">F4354*H4354</f>
        <v>-0.5</v>
      </c>
      <c r="S4354" s="0" t="n">
        <f aca="false">G4354*H4354</f>
        <v>-0.25</v>
      </c>
      <c r="T4354" s="0" t="n">
        <f aca="false">E4354*E4354</f>
        <v>0.0625</v>
      </c>
      <c r="U4354" s="0" t="n">
        <f aca="false">F4354*F4354</f>
        <v>1</v>
      </c>
      <c r="V4354" s="0" t="n">
        <f aca="false">G4354*G4354</f>
        <v>0.25</v>
      </c>
      <c r="W4354" s="0" t="n">
        <f aca="false">H4354*H4354</f>
        <v>0.25</v>
      </c>
      <c r="X4354" s="0" t="n">
        <f aca="false">SUMPRODUCT(I4354:W4354,_XtX!$B$96:$P$96)</f>
        <v>48.157529239766</v>
      </c>
      <c r="Y4354" s="0" t="n">
        <f aca="false">SUMPRODUCT(MMULT(I4354:W4354,_XtX!$B$78:$P$92),I4354:W4354)</f>
        <v>0.428122715643275</v>
      </c>
      <c r="Z4354" s="0" t="n">
        <f aca="false">04_回帰ANOVA!$K$19*04_回帰ANOVA!$K$14*SQRT(1+Y4354)</f>
        <v>1.55769044623229</v>
      </c>
      <c r="AA4354" s="0" t="n">
        <f aca="false">X4354-Z4354</f>
        <v>46.5998387935337</v>
      </c>
      <c r="AB4354" s="0" t="n">
        <f aca="false">X4354+Z4354</f>
        <v>49.7152196859983</v>
      </c>
      <c r="AC4354" s="54" t="b">
        <f aca="false">AND(E4354&gt;=01_因子設定!$L$5-0.000000001,E4354&lt;=01_因子設定!$M$5+0.000000001,F4354&gt;=01_因子設定!$L$6-0.000000001,F4354&lt;=01_因子設定!$M$6+0.000000001,G4354&gt;=01_因子設定!$L$7-0.000000001,G4354&lt;=01_因子設定!$M$7+0.000000001,H4354&gt;=01_因子設定!$L$8-0.000000001,H4354&lt;=01_因子設定!$M$8+0.000000001,IF(01_因子設定!$B$20="Box-Behnken",E4354^2+F4354^2+G4354^2+H4354^2&lt;=2+0.000000001,TRUE()))</f>
        <v>1</v>
      </c>
      <c r="AD4354" s="55" t="n">
        <f aca="false">IF(AC4354,IF(01_因子設定!$B$13="最大化",AA4354-01_因子設定!$B$14,IF(01_因子設定!$B$13="最小化",01_因子設定!$B$15-AB4354,MIN(AA4354-01_因子設定!$B$14,01_因子設定!$B$15-AB4354))),-1E+030)</f>
        <v>0.0998387935337419</v>
      </c>
      <c r="AE4354" s="55" t="n">
        <f aca="false">IF(AC4354,IF(01_因子設定!$B$13="最大化",X4354,IF(01_因子設定!$B$13="最小化",-X4354,-ABS(X4354-01_因子設定!$B$16))),-1E+030)</f>
        <v>48.157529239766</v>
      </c>
      <c r="AF4354" s="55" t="n">
        <f aca="false">AD4354+ROW()*0.000000001</f>
        <v>0.0998431475337419</v>
      </c>
      <c r="AG4354" s="55" t="n">
        <f aca="false">AE4354+ROW()*0.000000001</f>
        <v>48.157533593766</v>
      </c>
    </row>
    <row r="4355" customFormat="false" ht="15" hidden="false" customHeight="false" outlineLevel="0" collapsed="false">
      <c r="A4355" s="0" t="n">
        <v>5</v>
      </c>
      <c r="B4355" s="0" t="n">
        <v>8</v>
      </c>
      <c r="C4355" s="0" t="n">
        <v>6</v>
      </c>
      <c r="D4355" s="0" t="n">
        <v>3</v>
      </c>
      <c r="E4355" s="0" t="n">
        <f aca="false">-1+A4355*0.25</f>
        <v>0.25</v>
      </c>
      <c r="F4355" s="0" t="n">
        <f aca="false">-1+B4355*0.25</f>
        <v>1</v>
      </c>
      <c r="G4355" s="0" t="n">
        <f aca="false">-1+C4355*0.25</f>
        <v>0.5</v>
      </c>
      <c r="H4355" s="0" t="n">
        <f aca="false">-1+D4355*0.25</f>
        <v>-0.25</v>
      </c>
      <c r="I4355" s="0" t="n">
        <f aca="false">1</f>
        <v>1</v>
      </c>
      <c r="J4355" s="0" t="n">
        <f aca="false">E4355</f>
        <v>0.25</v>
      </c>
      <c r="K4355" s="0" t="n">
        <f aca="false">F4355</f>
        <v>1</v>
      </c>
      <c r="L4355" s="0" t="n">
        <f aca="false">G4355</f>
        <v>0.5</v>
      </c>
      <c r="M4355" s="0" t="n">
        <f aca="false">H4355</f>
        <v>-0.25</v>
      </c>
      <c r="N4355" s="0" t="n">
        <f aca="false">E4355*F4355</f>
        <v>0.25</v>
      </c>
      <c r="O4355" s="0" t="n">
        <f aca="false">E4355*G4355</f>
        <v>0.125</v>
      </c>
      <c r="P4355" s="0" t="n">
        <f aca="false">E4355*H4355</f>
        <v>-0.0625</v>
      </c>
      <c r="Q4355" s="0" t="n">
        <f aca="false">F4355*G4355</f>
        <v>0.5</v>
      </c>
      <c r="R4355" s="0" t="n">
        <f aca="false">F4355*H4355</f>
        <v>-0.25</v>
      </c>
      <c r="S4355" s="0" t="n">
        <f aca="false">G4355*H4355</f>
        <v>-0.125</v>
      </c>
      <c r="T4355" s="0" t="n">
        <f aca="false">E4355*E4355</f>
        <v>0.0625</v>
      </c>
      <c r="U4355" s="0" t="n">
        <f aca="false">F4355*F4355</f>
        <v>1</v>
      </c>
      <c r="V4355" s="0" t="n">
        <f aca="false">G4355*G4355</f>
        <v>0.25</v>
      </c>
      <c r="W4355" s="0" t="n">
        <f aca="false">H4355*H4355</f>
        <v>0.0625</v>
      </c>
      <c r="X4355" s="0" t="n">
        <f aca="false">SUMPRODUCT(I4355:W4355,_XtX!$B$96:$P$96)</f>
        <v>48.3212536549707</v>
      </c>
      <c r="Y4355" s="0" t="n">
        <f aca="false">SUMPRODUCT(MMULT(I4355:W4355,_XtX!$B$78:$P$92),I4355:W4355)</f>
        <v>0.445705123812135</v>
      </c>
      <c r="Z4355" s="0" t="n">
        <f aca="false">04_回帰ANOVA!$K$19*04_回帰ANOVA!$K$14*SQRT(1+Y4355)</f>
        <v>1.56724990734749</v>
      </c>
      <c r="AA4355" s="0" t="n">
        <f aca="false">X4355-Z4355</f>
        <v>46.7540037476232</v>
      </c>
      <c r="AB4355" s="0" t="n">
        <f aca="false">X4355+Z4355</f>
        <v>49.8885035623182</v>
      </c>
      <c r="AC4355" s="54" t="b">
        <f aca="false">AND(E4355&gt;=01_因子設定!$L$5-0.000000001,E4355&lt;=01_因子設定!$M$5+0.000000001,F4355&gt;=01_因子設定!$L$6-0.000000001,F4355&lt;=01_因子設定!$M$6+0.000000001,G4355&gt;=01_因子設定!$L$7-0.000000001,G4355&lt;=01_因子設定!$M$7+0.000000001,H4355&gt;=01_因子設定!$L$8-0.000000001,H4355&lt;=01_因子設定!$M$8+0.000000001,IF(01_因子設定!$B$20="Box-Behnken",E4355^2+F4355^2+G4355^2+H4355^2&lt;=2+0.000000001,TRUE()))</f>
        <v>1</v>
      </c>
      <c r="AD4355" s="55" t="n">
        <f aca="false">IF(AC4355,IF(01_因子設定!$B$13="最大化",AA4355-01_因子設定!$B$14,IF(01_因子設定!$B$13="最小化",01_因子設定!$B$15-AB4355,MIN(AA4355-01_因子設定!$B$14,01_因子設定!$B$15-AB4355))),-1E+030)</f>
        <v>0.254003747623216</v>
      </c>
      <c r="AE4355" s="55" t="n">
        <f aca="false">IF(AC4355,IF(01_因子設定!$B$13="最大化",X4355,IF(01_因子設定!$B$13="最小化",-X4355,-ABS(X4355-01_因子設定!$B$16))),-1E+030)</f>
        <v>48.3212536549707</v>
      </c>
      <c r="AF4355" s="55" t="n">
        <f aca="false">AD4355+ROW()*0.000000001</f>
        <v>0.254008102623216</v>
      </c>
      <c r="AG4355" s="55" t="n">
        <f aca="false">AE4355+ROW()*0.000000001</f>
        <v>48.3212580099707</v>
      </c>
    </row>
    <row r="4356" customFormat="false" ht="15" hidden="false" customHeight="false" outlineLevel="0" collapsed="false">
      <c r="A4356" s="0" t="n">
        <v>5</v>
      </c>
      <c r="B4356" s="0" t="n">
        <v>8</v>
      </c>
      <c r="C4356" s="0" t="n">
        <v>6</v>
      </c>
      <c r="D4356" s="0" t="n">
        <v>4</v>
      </c>
      <c r="E4356" s="0" t="n">
        <f aca="false">-1+A4356*0.25</f>
        <v>0.25</v>
      </c>
      <c r="F4356" s="0" t="n">
        <f aca="false">-1+B4356*0.25</f>
        <v>1</v>
      </c>
      <c r="G4356" s="0" t="n">
        <f aca="false">-1+C4356*0.25</f>
        <v>0.5</v>
      </c>
      <c r="H4356" s="0" t="n">
        <f aca="false">-1+D4356*0.25</f>
        <v>0</v>
      </c>
      <c r="I4356" s="0" t="n">
        <f aca="false">1</f>
        <v>1</v>
      </c>
      <c r="J4356" s="0" t="n">
        <f aca="false">E4356</f>
        <v>0.25</v>
      </c>
      <c r="K4356" s="0" t="n">
        <f aca="false">F4356</f>
        <v>1</v>
      </c>
      <c r="L4356" s="0" t="n">
        <f aca="false">G4356</f>
        <v>0.5</v>
      </c>
      <c r="M4356" s="0" t="n">
        <f aca="false">H4356</f>
        <v>0</v>
      </c>
      <c r="N4356" s="0" t="n">
        <f aca="false">E4356*F4356</f>
        <v>0.25</v>
      </c>
      <c r="O4356" s="0" t="n">
        <f aca="false">E4356*G4356</f>
        <v>0.125</v>
      </c>
      <c r="P4356" s="0" t="n">
        <f aca="false">E4356*H4356</f>
        <v>0</v>
      </c>
      <c r="Q4356" s="0" t="n">
        <f aca="false">F4356*G4356</f>
        <v>0.5</v>
      </c>
      <c r="R4356" s="0" t="n">
        <f aca="false">F4356*H4356</f>
        <v>0</v>
      </c>
      <c r="S4356" s="0" t="n">
        <f aca="false">G4356*H4356</f>
        <v>0</v>
      </c>
      <c r="T4356" s="0" t="n">
        <f aca="false">E4356*E4356</f>
        <v>0.0625</v>
      </c>
      <c r="U4356" s="0" t="n">
        <f aca="false">F4356*F4356</f>
        <v>1</v>
      </c>
      <c r="V4356" s="0" t="n">
        <f aca="false">G4356*G4356</f>
        <v>0.25</v>
      </c>
      <c r="W4356" s="0" t="n">
        <f aca="false">H4356*H4356</f>
        <v>0</v>
      </c>
      <c r="X4356" s="0" t="n">
        <f aca="false">SUMPRODUCT(I4356:W4356,_XtX!$B$96:$P$96)</f>
        <v>48.4371710526315</v>
      </c>
      <c r="Y4356" s="0" t="n">
        <f aca="false">SUMPRODUCT(MMULT(I4356:W4356,_XtX!$B$78:$P$92),I4356:W4356)</f>
        <v>0.457596628289474</v>
      </c>
      <c r="Z4356" s="0" t="n">
        <f aca="false">04_回帰ANOVA!$K$19*04_回帰ANOVA!$K$14*SQRT(1+Y4356)</f>
        <v>1.57368233664366</v>
      </c>
      <c r="AA4356" s="0" t="n">
        <f aca="false">X4356-Z4356</f>
        <v>46.8634887159879</v>
      </c>
      <c r="AB4356" s="0" t="n">
        <f aca="false">X4356+Z4356</f>
        <v>50.0108533892752</v>
      </c>
      <c r="AC4356" s="54" t="b">
        <f aca="false">AND(E4356&gt;=01_因子設定!$L$5-0.000000001,E4356&lt;=01_因子設定!$M$5+0.000000001,F4356&gt;=01_因子設定!$L$6-0.000000001,F4356&lt;=01_因子設定!$M$6+0.000000001,G4356&gt;=01_因子設定!$L$7-0.000000001,G4356&lt;=01_因子設定!$M$7+0.000000001,H4356&gt;=01_因子設定!$L$8-0.000000001,H4356&lt;=01_因子設定!$M$8+0.000000001,IF(01_因子設定!$B$20="Box-Behnken",E4356^2+F4356^2+G4356^2+H4356^2&lt;=2+0.000000001,TRUE()))</f>
        <v>1</v>
      </c>
      <c r="AD4356" s="55" t="n">
        <f aca="false">IF(AC4356,IF(01_因子設定!$B$13="最大化",AA4356-01_因子設定!$B$14,IF(01_因子設定!$B$13="最小化",01_因子設定!$B$15-AB4356,MIN(AA4356-01_因子設定!$B$14,01_因子設定!$B$15-AB4356))),-1E+030)</f>
        <v>0.363488715987863</v>
      </c>
      <c r="AE4356" s="55" t="n">
        <f aca="false">IF(AC4356,IF(01_因子設定!$B$13="最大化",X4356,IF(01_因子設定!$B$13="最小化",-X4356,-ABS(X4356-01_因子設定!$B$16))),-1E+030)</f>
        <v>48.4371710526315</v>
      </c>
      <c r="AF4356" s="55" t="n">
        <f aca="false">AD4356+ROW()*0.000000001</f>
        <v>0.363493071987863</v>
      </c>
      <c r="AG4356" s="55" t="n">
        <f aca="false">AE4356+ROW()*0.000000001</f>
        <v>48.4371754086315</v>
      </c>
    </row>
    <row r="4357" customFormat="false" ht="15" hidden="false" customHeight="false" outlineLevel="0" collapsed="false">
      <c r="A4357" s="0" t="n">
        <v>5</v>
      </c>
      <c r="B4357" s="0" t="n">
        <v>8</v>
      </c>
      <c r="C4357" s="0" t="n">
        <v>6</v>
      </c>
      <c r="D4357" s="0" t="n">
        <v>5</v>
      </c>
      <c r="E4357" s="0" t="n">
        <f aca="false">-1+A4357*0.25</f>
        <v>0.25</v>
      </c>
      <c r="F4357" s="0" t="n">
        <f aca="false">-1+B4357*0.25</f>
        <v>1</v>
      </c>
      <c r="G4357" s="0" t="n">
        <f aca="false">-1+C4357*0.25</f>
        <v>0.5</v>
      </c>
      <c r="H4357" s="0" t="n">
        <f aca="false">-1+D4357*0.25</f>
        <v>0.25</v>
      </c>
      <c r="I4357" s="0" t="n">
        <f aca="false">1</f>
        <v>1</v>
      </c>
      <c r="J4357" s="0" t="n">
        <f aca="false">E4357</f>
        <v>0.25</v>
      </c>
      <c r="K4357" s="0" t="n">
        <f aca="false">F4357</f>
        <v>1</v>
      </c>
      <c r="L4357" s="0" t="n">
        <f aca="false">G4357</f>
        <v>0.5</v>
      </c>
      <c r="M4357" s="0" t="n">
        <f aca="false">H4357</f>
        <v>0.25</v>
      </c>
      <c r="N4357" s="0" t="n">
        <f aca="false">E4357*F4357</f>
        <v>0.25</v>
      </c>
      <c r="O4357" s="0" t="n">
        <f aca="false">E4357*G4357</f>
        <v>0.125</v>
      </c>
      <c r="P4357" s="0" t="n">
        <f aca="false">E4357*H4357</f>
        <v>0.0625</v>
      </c>
      <c r="Q4357" s="0" t="n">
        <f aca="false">F4357*G4357</f>
        <v>0.5</v>
      </c>
      <c r="R4357" s="0" t="n">
        <f aca="false">F4357*H4357</f>
        <v>0.25</v>
      </c>
      <c r="S4357" s="0" t="n">
        <f aca="false">G4357*H4357</f>
        <v>0.125</v>
      </c>
      <c r="T4357" s="0" t="n">
        <f aca="false">E4357*E4357</f>
        <v>0.0625</v>
      </c>
      <c r="U4357" s="0" t="n">
        <f aca="false">F4357*F4357</f>
        <v>1</v>
      </c>
      <c r="V4357" s="0" t="n">
        <f aca="false">G4357*G4357</f>
        <v>0.25</v>
      </c>
      <c r="W4357" s="0" t="n">
        <f aca="false">H4357*H4357</f>
        <v>0.0625</v>
      </c>
      <c r="X4357" s="0" t="n">
        <f aca="false">SUMPRODUCT(I4357:W4357,_XtX!$B$96:$P$96)</f>
        <v>48.5052814327485</v>
      </c>
      <c r="Y4357" s="0" t="n">
        <f aca="false">SUMPRODUCT(MMULT(I4357:W4357,_XtX!$B$78:$P$92),I4357:W4357)</f>
        <v>0.445705123812135</v>
      </c>
      <c r="Z4357" s="0" t="n">
        <f aca="false">04_回帰ANOVA!$K$19*04_回帰ANOVA!$K$14*SQRT(1+Y4357)</f>
        <v>1.56724990734749</v>
      </c>
      <c r="AA4357" s="0" t="n">
        <f aca="false">X4357-Z4357</f>
        <v>46.938031525401</v>
      </c>
      <c r="AB4357" s="0" t="n">
        <f aca="false">X4357+Z4357</f>
        <v>50.072531340096</v>
      </c>
      <c r="AC4357" s="54" t="b">
        <f aca="false">AND(E4357&gt;=01_因子設定!$L$5-0.000000001,E4357&lt;=01_因子設定!$M$5+0.000000001,F4357&gt;=01_因子設定!$L$6-0.000000001,F4357&lt;=01_因子設定!$M$6+0.000000001,G4357&gt;=01_因子設定!$L$7-0.000000001,G4357&lt;=01_因子設定!$M$7+0.000000001,H4357&gt;=01_因子設定!$L$8-0.000000001,H4357&lt;=01_因子設定!$M$8+0.000000001,IF(01_因子設定!$B$20="Box-Behnken",E4357^2+F4357^2+G4357^2+H4357^2&lt;=2+0.000000001,TRUE()))</f>
        <v>1</v>
      </c>
      <c r="AD4357" s="55" t="n">
        <f aca="false">IF(AC4357,IF(01_因子設定!$B$13="最大化",AA4357-01_因子設定!$B$14,IF(01_因子設定!$B$13="最小化",01_因子設定!$B$15-AB4357,MIN(AA4357-01_因子設定!$B$14,01_因子設定!$B$15-AB4357))),-1E+030)</f>
        <v>0.438031525400994</v>
      </c>
      <c r="AE4357" s="55" t="n">
        <f aca="false">IF(AC4357,IF(01_因子設定!$B$13="最大化",X4357,IF(01_因子設定!$B$13="最小化",-X4357,-ABS(X4357-01_因子設定!$B$16))),-1E+030)</f>
        <v>48.5052814327485</v>
      </c>
      <c r="AF4357" s="55" t="n">
        <f aca="false">AD4357+ROW()*0.000000001</f>
        <v>0.438035882400994</v>
      </c>
      <c r="AG4357" s="55" t="n">
        <f aca="false">AE4357+ROW()*0.000000001</f>
        <v>48.5052857897485</v>
      </c>
    </row>
    <row r="4358" customFormat="false" ht="15" hidden="false" customHeight="false" outlineLevel="0" collapsed="false">
      <c r="A4358" s="0" t="n">
        <v>5</v>
      </c>
      <c r="B4358" s="0" t="n">
        <v>8</v>
      </c>
      <c r="C4358" s="0" t="n">
        <v>6</v>
      </c>
      <c r="D4358" s="0" t="n">
        <v>6</v>
      </c>
      <c r="E4358" s="0" t="n">
        <f aca="false">-1+A4358*0.25</f>
        <v>0.25</v>
      </c>
      <c r="F4358" s="0" t="n">
        <f aca="false">-1+B4358*0.25</f>
        <v>1</v>
      </c>
      <c r="G4358" s="0" t="n">
        <f aca="false">-1+C4358*0.25</f>
        <v>0.5</v>
      </c>
      <c r="H4358" s="0" t="n">
        <f aca="false">-1+D4358*0.25</f>
        <v>0.5</v>
      </c>
      <c r="I4358" s="0" t="n">
        <f aca="false">1</f>
        <v>1</v>
      </c>
      <c r="J4358" s="0" t="n">
        <f aca="false">E4358</f>
        <v>0.25</v>
      </c>
      <c r="K4358" s="0" t="n">
        <f aca="false">F4358</f>
        <v>1</v>
      </c>
      <c r="L4358" s="0" t="n">
        <f aca="false">G4358</f>
        <v>0.5</v>
      </c>
      <c r="M4358" s="0" t="n">
        <f aca="false">H4358</f>
        <v>0.5</v>
      </c>
      <c r="N4358" s="0" t="n">
        <f aca="false">E4358*F4358</f>
        <v>0.25</v>
      </c>
      <c r="O4358" s="0" t="n">
        <f aca="false">E4358*G4358</f>
        <v>0.125</v>
      </c>
      <c r="P4358" s="0" t="n">
        <f aca="false">E4358*H4358</f>
        <v>0.125</v>
      </c>
      <c r="Q4358" s="0" t="n">
        <f aca="false">F4358*G4358</f>
        <v>0.5</v>
      </c>
      <c r="R4358" s="0" t="n">
        <f aca="false">F4358*H4358</f>
        <v>0.5</v>
      </c>
      <c r="S4358" s="0" t="n">
        <f aca="false">G4358*H4358</f>
        <v>0.25</v>
      </c>
      <c r="T4358" s="0" t="n">
        <f aca="false">E4358*E4358</f>
        <v>0.0625</v>
      </c>
      <c r="U4358" s="0" t="n">
        <f aca="false">F4358*F4358</f>
        <v>1</v>
      </c>
      <c r="V4358" s="0" t="n">
        <f aca="false">G4358*G4358</f>
        <v>0.25</v>
      </c>
      <c r="W4358" s="0" t="n">
        <f aca="false">H4358*H4358</f>
        <v>0.25</v>
      </c>
      <c r="X4358" s="0" t="n">
        <f aca="false">SUMPRODUCT(I4358:W4358,_XtX!$B$96:$P$96)</f>
        <v>48.5255847953216</v>
      </c>
      <c r="Y4358" s="0" t="n">
        <f aca="false">SUMPRODUCT(MMULT(I4358:W4358,_XtX!$B$78:$P$92),I4358:W4358)</f>
        <v>0.428122715643275</v>
      </c>
      <c r="Z4358" s="0" t="n">
        <f aca="false">04_回帰ANOVA!$K$19*04_回帰ANOVA!$K$14*SQRT(1+Y4358)</f>
        <v>1.55769044623229</v>
      </c>
      <c r="AA4358" s="0" t="n">
        <f aca="false">X4358-Z4358</f>
        <v>46.9678943490893</v>
      </c>
      <c r="AB4358" s="0" t="n">
        <f aca="false">X4358+Z4358</f>
        <v>50.0832752415539</v>
      </c>
      <c r="AC4358" s="54" t="b">
        <f aca="false">AND(E4358&gt;=01_因子設定!$L$5-0.000000001,E4358&lt;=01_因子設定!$M$5+0.000000001,F4358&gt;=01_因子設定!$L$6-0.000000001,F4358&lt;=01_因子設定!$M$6+0.000000001,G4358&gt;=01_因子設定!$L$7-0.000000001,G4358&lt;=01_因子設定!$M$7+0.000000001,H4358&gt;=01_因子設定!$L$8-0.000000001,H4358&lt;=01_因子設定!$M$8+0.000000001,IF(01_因子設定!$B$20="Box-Behnken",E4358^2+F4358^2+G4358^2+H4358^2&lt;=2+0.000000001,TRUE()))</f>
        <v>1</v>
      </c>
      <c r="AD4358" s="55" t="n">
        <f aca="false">IF(AC4358,IF(01_因子設定!$B$13="最大化",AA4358-01_因子設定!$B$14,IF(01_因子設定!$B$13="最小化",01_因子設定!$B$15-AB4358,MIN(AA4358-01_因子設定!$B$14,01_因子設定!$B$15-AB4358))),-1E+030)</f>
        <v>0.467894349089292</v>
      </c>
      <c r="AE4358" s="55" t="n">
        <f aca="false">IF(AC4358,IF(01_因子設定!$B$13="最大化",X4358,IF(01_因子設定!$B$13="最小化",-X4358,-ABS(X4358-01_因子設定!$B$16))),-1E+030)</f>
        <v>48.5255847953216</v>
      </c>
      <c r="AF4358" s="55" t="n">
        <f aca="false">AD4358+ROW()*0.000000001</f>
        <v>0.467898707089292</v>
      </c>
      <c r="AG4358" s="55" t="n">
        <f aca="false">AE4358+ROW()*0.000000001</f>
        <v>48.5255891533216</v>
      </c>
    </row>
    <row r="4359" customFormat="false" ht="15" hidden="false" customHeight="false" outlineLevel="0" collapsed="false">
      <c r="A4359" s="0" t="n">
        <v>5</v>
      </c>
      <c r="B4359" s="0" t="n">
        <v>8</v>
      </c>
      <c r="C4359" s="0" t="n">
        <v>6</v>
      </c>
      <c r="D4359" s="0" t="n">
        <v>7</v>
      </c>
      <c r="E4359" s="0" t="n">
        <f aca="false">-1+A4359*0.25</f>
        <v>0.25</v>
      </c>
      <c r="F4359" s="0" t="n">
        <f aca="false">-1+B4359*0.25</f>
        <v>1</v>
      </c>
      <c r="G4359" s="0" t="n">
        <f aca="false">-1+C4359*0.25</f>
        <v>0.5</v>
      </c>
      <c r="H4359" s="0" t="n">
        <f aca="false">-1+D4359*0.25</f>
        <v>0.75</v>
      </c>
      <c r="I4359" s="0" t="n">
        <f aca="false">1</f>
        <v>1</v>
      </c>
      <c r="J4359" s="0" t="n">
        <f aca="false">E4359</f>
        <v>0.25</v>
      </c>
      <c r="K4359" s="0" t="n">
        <f aca="false">F4359</f>
        <v>1</v>
      </c>
      <c r="L4359" s="0" t="n">
        <f aca="false">G4359</f>
        <v>0.5</v>
      </c>
      <c r="M4359" s="0" t="n">
        <f aca="false">H4359</f>
        <v>0.75</v>
      </c>
      <c r="N4359" s="0" t="n">
        <f aca="false">E4359*F4359</f>
        <v>0.25</v>
      </c>
      <c r="O4359" s="0" t="n">
        <f aca="false">E4359*G4359</f>
        <v>0.125</v>
      </c>
      <c r="P4359" s="0" t="n">
        <f aca="false">E4359*H4359</f>
        <v>0.1875</v>
      </c>
      <c r="Q4359" s="0" t="n">
        <f aca="false">F4359*G4359</f>
        <v>0.5</v>
      </c>
      <c r="R4359" s="0" t="n">
        <f aca="false">F4359*H4359</f>
        <v>0.75</v>
      </c>
      <c r="S4359" s="0" t="n">
        <f aca="false">G4359*H4359</f>
        <v>0.375</v>
      </c>
      <c r="T4359" s="0" t="n">
        <f aca="false">E4359*E4359</f>
        <v>0.0625</v>
      </c>
      <c r="U4359" s="0" t="n">
        <f aca="false">F4359*F4359</f>
        <v>1</v>
      </c>
      <c r="V4359" s="0" t="n">
        <f aca="false">G4359*G4359</f>
        <v>0.25</v>
      </c>
      <c r="W4359" s="0" t="n">
        <f aca="false">H4359*H4359</f>
        <v>0.5625</v>
      </c>
      <c r="X4359" s="0" t="n">
        <f aca="false">SUMPRODUCT(I4359:W4359,_XtX!$B$96:$P$96)</f>
        <v>48.4980811403508</v>
      </c>
      <c r="Y4359" s="0" t="n">
        <f aca="false">SUMPRODUCT(MMULT(I4359:W4359,_XtX!$B$78:$P$92),I4359:W4359)</f>
        <v>0.459125719572369</v>
      </c>
      <c r="Z4359" s="0" t="n">
        <f aca="false">04_回帰ANOVA!$K$19*04_回帰ANOVA!$K$14*SQRT(1+Y4359)</f>
        <v>1.57450755575573</v>
      </c>
      <c r="AA4359" s="0" t="n">
        <f aca="false">X4359-Z4359</f>
        <v>46.9235735845951</v>
      </c>
      <c r="AB4359" s="0" t="n">
        <f aca="false">X4359+Z4359</f>
        <v>50.0725886961066</v>
      </c>
      <c r="AC4359" s="54" t="b">
        <f aca="false">AND(E4359&gt;=01_因子設定!$L$5-0.000000001,E4359&lt;=01_因子設定!$M$5+0.000000001,F4359&gt;=01_因子設定!$L$6-0.000000001,F4359&lt;=01_因子設定!$M$6+0.000000001,G4359&gt;=01_因子設定!$L$7-0.000000001,G4359&lt;=01_因子設定!$M$7+0.000000001,H4359&gt;=01_因子設定!$L$8-0.000000001,H4359&lt;=01_因子設定!$M$8+0.000000001,IF(01_因子設定!$B$20="Box-Behnken",E4359^2+F4359^2+G4359^2+H4359^2&lt;=2+0.000000001,TRUE()))</f>
        <v>1</v>
      </c>
      <c r="AD4359" s="55" t="n">
        <f aca="false">IF(AC4359,IF(01_因子設定!$B$13="最大化",AA4359-01_因子設定!$B$14,IF(01_因子設定!$B$13="最小化",01_因子設定!$B$15-AB4359,MIN(AA4359-01_因子設定!$B$14,01_因子設定!$B$15-AB4359))),-1E+030)</f>
        <v>0.423573584595104</v>
      </c>
      <c r="AE4359" s="55" t="n">
        <f aca="false">IF(AC4359,IF(01_因子設定!$B$13="最大化",X4359,IF(01_因子設定!$B$13="最小化",-X4359,-ABS(X4359-01_因子設定!$B$16))),-1E+030)</f>
        <v>48.4980811403508</v>
      </c>
      <c r="AF4359" s="55" t="n">
        <f aca="false">AD4359+ROW()*0.000000001</f>
        <v>0.423577943595104</v>
      </c>
      <c r="AG4359" s="55" t="n">
        <f aca="false">AE4359+ROW()*0.000000001</f>
        <v>48.4980854993508</v>
      </c>
    </row>
    <row r="4360" customFormat="false" ht="15" hidden="false" customHeight="false" outlineLevel="0" collapsed="false">
      <c r="A4360" s="0" t="n">
        <v>5</v>
      </c>
      <c r="B4360" s="0" t="n">
        <v>8</v>
      </c>
      <c r="C4360" s="0" t="n">
        <v>6</v>
      </c>
      <c r="D4360" s="0" t="n">
        <v>8</v>
      </c>
      <c r="E4360" s="0" t="n">
        <f aca="false">-1+A4360*0.25</f>
        <v>0.25</v>
      </c>
      <c r="F4360" s="0" t="n">
        <f aca="false">-1+B4360*0.25</f>
        <v>1</v>
      </c>
      <c r="G4360" s="0" t="n">
        <f aca="false">-1+C4360*0.25</f>
        <v>0.5</v>
      </c>
      <c r="H4360" s="0" t="n">
        <f aca="false">-1+D4360*0.25</f>
        <v>1</v>
      </c>
      <c r="I4360" s="0" t="n">
        <f aca="false">1</f>
        <v>1</v>
      </c>
      <c r="J4360" s="0" t="n">
        <f aca="false">E4360</f>
        <v>0.25</v>
      </c>
      <c r="K4360" s="0" t="n">
        <f aca="false">F4360</f>
        <v>1</v>
      </c>
      <c r="L4360" s="0" t="n">
        <f aca="false">G4360</f>
        <v>0.5</v>
      </c>
      <c r="M4360" s="0" t="n">
        <f aca="false">H4360</f>
        <v>1</v>
      </c>
      <c r="N4360" s="0" t="n">
        <f aca="false">E4360*F4360</f>
        <v>0.25</v>
      </c>
      <c r="O4360" s="0" t="n">
        <f aca="false">E4360*G4360</f>
        <v>0.125</v>
      </c>
      <c r="P4360" s="0" t="n">
        <f aca="false">E4360*H4360</f>
        <v>0.25</v>
      </c>
      <c r="Q4360" s="0" t="n">
        <f aca="false">F4360*G4360</f>
        <v>0.5</v>
      </c>
      <c r="R4360" s="0" t="n">
        <f aca="false">F4360*H4360</f>
        <v>1</v>
      </c>
      <c r="S4360" s="0" t="n">
        <f aca="false">G4360*H4360</f>
        <v>0.5</v>
      </c>
      <c r="T4360" s="0" t="n">
        <f aca="false">E4360*E4360</f>
        <v>0.0625</v>
      </c>
      <c r="U4360" s="0" t="n">
        <f aca="false">F4360*F4360</f>
        <v>1</v>
      </c>
      <c r="V4360" s="0" t="n">
        <f aca="false">G4360*G4360</f>
        <v>0.25</v>
      </c>
      <c r="W4360" s="0" t="n">
        <f aca="false">H4360*H4360</f>
        <v>1</v>
      </c>
      <c r="X4360" s="0" t="n">
        <f aca="false">SUMPRODUCT(I4360:W4360,_XtX!$B$96:$P$96)</f>
        <v>48.4227704678362</v>
      </c>
      <c r="Y4360" s="0" t="n">
        <f aca="false">SUMPRODUCT(MMULT(I4360:W4360,_XtX!$B$78:$P$92),I4360:W4360)</f>
        <v>0.629174661915205</v>
      </c>
      <c r="Z4360" s="0" t="n">
        <f aca="false">04_回帰ANOVA!$K$19*04_回帰ANOVA!$K$14*SQRT(1+Y4360)</f>
        <v>1.66372758058297</v>
      </c>
      <c r="AA4360" s="0" t="n">
        <f aca="false">X4360-Z4360</f>
        <v>46.7590428872533</v>
      </c>
      <c r="AB4360" s="0" t="n">
        <f aca="false">X4360+Z4360</f>
        <v>50.0864980484192</v>
      </c>
      <c r="AC4360" s="54" t="b">
        <f aca="false">AND(E4360&gt;=01_因子設定!$L$5-0.000000001,E4360&lt;=01_因子設定!$M$5+0.000000001,F4360&gt;=01_因子設定!$L$6-0.000000001,F4360&lt;=01_因子設定!$M$6+0.000000001,G4360&gt;=01_因子設定!$L$7-0.000000001,G4360&lt;=01_因子設定!$M$7+0.000000001,H4360&gt;=01_因子設定!$L$8-0.000000001,H4360&lt;=01_因子設定!$M$8+0.000000001,IF(01_因子設定!$B$20="Box-Behnken",E4360^2+F4360^2+G4360^2+H4360^2&lt;=2+0.000000001,TRUE()))</f>
        <v>1</v>
      </c>
      <c r="AD4360" s="55" t="n">
        <f aca="false">IF(AC4360,IF(01_因子設定!$B$13="最大化",AA4360-01_因子設定!$B$14,IF(01_因子設定!$B$13="最小化",01_因子設定!$B$15-AB4360,MIN(AA4360-01_因子設定!$B$14,01_因子設定!$B$15-AB4360))),-1E+030)</f>
        <v>0.259042887253258</v>
      </c>
      <c r="AE4360" s="55" t="n">
        <f aca="false">IF(AC4360,IF(01_因子設定!$B$13="最大化",X4360,IF(01_因子設定!$B$13="最小化",-X4360,-ABS(X4360-01_因子設定!$B$16))),-1E+030)</f>
        <v>48.4227704678362</v>
      </c>
      <c r="AF4360" s="55" t="n">
        <f aca="false">AD4360+ROW()*0.000000001</f>
        <v>0.259047247253258</v>
      </c>
      <c r="AG4360" s="55" t="n">
        <f aca="false">AE4360+ROW()*0.000000001</f>
        <v>48.4227748278362</v>
      </c>
    </row>
    <row r="4361" customFormat="false" ht="15" hidden="false" customHeight="false" outlineLevel="0" collapsed="false">
      <c r="A4361" s="0" t="n">
        <v>5</v>
      </c>
      <c r="B4361" s="0" t="n">
        <v>8</v>
      </c>
      <c r="C4361" s="0" t="n">
        <v>7</v>
      </c>
      <c r="D4361" s="0" t="n">
        <v>0</v>
      </c>
      <c r="E4361" s="0" t="n">
        <f aca="false">-1+A4361*0.25</f>
        <v>0.25</v>
      </c>
      <c r="F4361" s="0" t="n">
        <f aca="false">-1+B4361*0.25</f>
        <v>1</v>
      </c>
      <c r="G4361" s="0" t="n">
        <f aca="false">-1+C4361*0.25</f>
        <v>0.75</v>
      </c>
      <c r="H4361" s="0" t="n">
        <f aca="false">-1+D4361*0.25</f>
        <v>-1</v>
      </c>
      <c r="I4361" s="0" t="n">
        <f aca="false">1</f>
        <v>1</v>
      </c>
      <c r="J4361" s="0" t="n">
        <f aca="false">E4361</f>
        <v>0.25</v>
      </c>
      <c r="K4361" s="0" t="n">
        <f aca="false">F4361</f>
        <v>1</v>
      </c>
      <c r="L4361" s="0" t="n">
        <f aca="false">G4361</f>
        <v>0.75</v>
      </c>
      <c r="M4361" s="0" t="n">
        <f aca="false">H4361</f>
        <v>-1</v>
      </c>
      <c r="N4361" s="0" t="n">
        <f aca="false">E4361*F4361</f>
        <v>0.25</v>
      </c>
      <c r="O4361" s="0" t="n">
        <f aca="false">E4361*G4361</f>
        <v>0.1875</v>
      </c>
      <c r="P4361" s="0" t="n">
        <f aca="false">E4361*H4361</f>
        <v>-0.25</v>
      </c>
      <c r="Q4361" s="0" t="n">
        <f aca="false">F4361*G4361</f>
        <v>0.75</v>
      </c>
      <c r="R4361" s="0" t="n">
        <f aca="false">F4361*H4361</f>
        <v>-1</v>
      </c>
      <c r="S4361" s="0" t="n">
        <f aca="false">G4361*H4361</f>
        <v>-0.75</v>
      </c>
      <c r="T4361" s="0" t="n">
        <f aca="false">E4361*E4361</f>
        <v>0.0625</v>
      </c>
      <c r="U4361" s="0" t="n">
        <f aca="false">F4361*F4361</f>
        <v>1</v>
      </c>
      <c r="V4361" s="0" t="n">
        <f aca="false">G4361*G4361</f>
        <v>0.5625</v>
      </c>
      <c r="W4361" s="0" t="n">
        <f aca="false">H4361*H4361</f>
        <v>1</v>
      </c>
      <c r="X4361" s="0" t="n">
        <f aca="false">SUMPRODUCT(I4361:W4361,_XtX!$B$96:$P$96)</f>
        <v>47.6848501461988</v>
      </c>
      <c r="Y4361" s="0" t="n">
        <f aca="false">SUMPRODUCT(MMULT(I4361:W4361,_XtX!$B$78:$P$92),I4361:W4361)</f>
        <v>0.621372155975877</v>
      </c>
      <c r="Z4361" s="0" t="n">
        <f aca="false">04_回帰ANOVA!$K$19*04_回帰ANOVA!$K$14*SQRT(1+Y4361)</f>
        <v>1.65973880499872</v>
      </c>
      <c r="AA4361" s="0" t="n">
        <f aca="false">X4361-Z4361</f>
        <v>46.0251113412001</v>
      </c>
      <c r="AB4361" s="0" t="n">
        <f aca="false">X4361+Z4361</f>
        <v>49.3445889511975</v>
      </c>
      <c r="AC4361" s="54" t="b">
        <f aca="false">AND(E4361&gt;=01_因子設定!$L$5-0.000000001,E4361&lt;=01_因子設定!$M$5+0.000000001,F4361&gt;=01_因子設定!$L$6-0.000000001,F4361&lt;=01_因子設定!$M$6+0.000000001,G4361&gt;=01_因子設定!$L$7-0.000000001,G4361&lt;=01_因子設定!$M$7+0.000000001,H4361&gt;=01_因子設定!$L$8-0.000000001,H4361&lt;=01_因子設定!$M$8+0.000000001,IF(01_因子設定!$B$20="Box-Behnken",E4361^2+F4361^2+G4361^2+H4361^2&lt;=2+0.000000001,TRUE()))</f>
        <v>1</v>
      </c>
      <c r="AD4361" s="55" t="n">
        <f aca="false">IF(AC4361,IF(01_因子設定!$B$13="最大化",AA4361-01_因子設定!$B$14,IF(01_因子設定!$B$13="最小化",01_因子設定!$B$15-AB4361,MIN(AA4361-01_因子設定!$B$14,01_因子設定!$B$15-AB4361))),-1E+030)</f>
        <v>-0.474888658799905</v>
      </c>
      <c r="AE4361" s="55" t="n">
        <f aca="false">IF(AC4361,IF(01_因子設定!$B$13="最大化",X4361,IF(01_因子設定!$B$13="最小化",-X4361,-ABS(X4361-01_因子設定!$B$16))),-1E+030)</f>
        <v>47.6848501461988</v>
      </c>
      <c r="AF4361" s="55" t="n">
        <f aca="false">AD4361+ROW()*0.000000001</f>
        <v>-0.474884297799905</v>
      </c>
      <c r="AG4361" s="55" t="n">
        <f aca="false">AE4361+ROW()*0.000000001</f>
        <v>47.6848545071988</v>
      </c>
    </row>
    <row r="4362" customFormat="false" ht="15" hidden="false" customHeight="false" outlineLevel="0" collapsed="false">
      <c r="A4362" s="0" t="n">
        <v>5</v>
      </c>
      <c r="B4362" s="0" t="n">
        <v>8</v>
      </c>
      <c r="C4362" s="0" t="n">
        <v>7</v>
      </c>
      <c r="D4362" s="0" t="n">
        <v>1</v>
      </c>
      <c r="E4362" s="0" t="n">
        <f aca="false">-1+A4362*0.25</f>
        <v>0.25</v>
      </c>
      <c r="F4362" s="0" t="n">
        <f aca="false">-1+B4362*0.25</f>
        <v>1</v>
      </c>
      <c r="G4362" s="0" t="n">
        <f aca="false">-1+C4362*0.25</f>
        <v>0.75</v>
      </c>
      <c r="H4362" s="0" t="n">
        <f aca="false">-1+D4362*0.25</f>
        <v>-0.75</v>
      </c>
      <c r="I4362" s="0" t="n">
        <f aca="false">1</f>
        <v>1</v>
      </c>
      <c r="J4362" s="0" t="n">
        <f aca="false">E4362</f>
        <v>0.25</v>
      </c>
      <c r="K4362" s="0" t="n">
        <f aca="false">F4362</f>
        <v>1</v>
      </c>
      <c r="L4362" s="0" t="n">
        <f aca="false">G4362</f>
        <v>0.75</v>
      </c>
      <c r="M4362" s="0" t="n">
        <f aca="false">H4362</f>
        <v>-0.75</v>
      </c>
      <c r="N4362" s="0" t="n">
        <f aca="false">E4362*F4362</f>
        <v>0.25</v>
      </c>
      <c r="O4362" s="0" t="n">
        <f aca="false">E4362*G4362</f>
        <v>0.1875</v>
      </c>
      <c r="P4362" s="0" t="n">
        <f aca="false">E4362*H4362</f>
        <v>-0.1875</v>
      </c>
      <c r="Q4362" s="0" t="n">
        <f aca="false">F4362*G4362</f>
        <v>0.75</v>
      </c>
      <c r="R4362" s="0" t="n">
        <f aca="false">F4362*H4362</f>
        <v>-0.75</v>
      </c>
      <c r="S4362" s="0" t="n">
        <f aca="false">G4362*H4362</f>
        <v>-0.5625</v>
      </c>
      <c r="T4362" s="0" t="n">
        <f aca="false">E4362*E4362</f>
        <v>0.0625</v>
      </c>
      <c r="U4362" s="0" t="n">
        <f aca="false">F4362*F4362</f>
        <v>1</v>
      </c>
      <c r="V4362" s="0" t="n">
        <f aca="false">G4362*G4362</f>
        <v>0.5625</v>
      </c>
      <c r="W4362" s="0" t="n">
        <f aca="false">H4362*H4362</f>
        <v>0.5625</v>
      </c>
      <c r="X4362" s="0" t="n">
        <f aca="false">SUMPRODUCT(I4362:W4362,_XtX!$B$96:$P$96)</f>
        <v>47.9621573464912</v>
      </c>
      <c r="Y4362" s="0" t="n">
        <f aca="false">SUMPRODUCT(MMULT(I4362:W4362,_XtX!$B$78:$P$92),I4362:W4362)</f>
        <v>0.473959761056287</v>
      </c>
      <c r="Z4362" s="0" t="n">
        <f aca="false">04_回帰ANOVA!$K$19*04_回帰ANOVA!$K$14*SQRT(1+Y4362)</f>
        <v>1.58249084588329</v>
      </c>
      <c r="AA4362" s="0" t="n">
        <f aca="false">X4362-Z4362</f>
        <v>46.3796665006079</v>
      </c>
      <c r="AB4362" s="0" t="n">
        <f aca="false">X4362+Z4362</f>
        <v>49.5446481923745</v>
      </c>
      <c r="AC4362" s="54" t="b">
        <f aca="false">AND(E4362&gt;=01_因子設定!$L$5-0.000000001,E4362&lt;=01_因子設定!$M$5+0.000000001,F4362&gt;=01_因子設定!$L$6-0.000000001,F4362&lt;=01_因子設定!$M$6+0.000000001,G4362&gt;=01_因子設定!$L$7-0.000000001,G4362&lt;=01_因子設定!$M$7+0.000000001,H4362&gt;=01_因子設定!$L$8-0.000000001,H4362&lt;=01_因子設定!$M$8+0.000000001,IF(01_因子設定!$B$20="Box-Behnken",E4362^2+F4362^2+G4362^2+H4362^2&lt;=2+0.000000001,TRUE()))</f>
        <v>1</v>
      </c>
      <c r="AD4362" s="55" t="n">
        <f aca="false">IF(AC4362,IF(01_因子設定!$B$13="最大化",AA4362-01_因子設定!$B$14,IF(01_因子設定!$B$13="最小化",01_因子設定!$B$15-AB4362,MIN(AA4362-01_因子設定!$B$14,01_因子設定!$B$15-AB4362))),-1E+030)</f>
        <v>-0.120333499392096</v>
      </c>
      <c r="AE4362" s="55" t="n">
        <f aca="false">IF(AC4362,IF(01_因子設定!$B$13="最大化",X4362,IF(01_因子設定!$B$13="最小化",-X4362,-ABS(X4362-01_因子設定!$B$16))),-1E+030)</f>
        <v>47.9621573464912</v>
      </c>
      <c r="AF4362" s="55" t="n">
        <f aca="false">AD4362+ROW()*0.000000001</f>
        <v>-0.120329137392096</v>
      </c>
      <c r="AG4362" s="55" t="n">
        <f aca="false">AE4362+ROW()*0.000000001</f>
        <v>47.9621617084912</v>
      </c>
    </row>
    <row r="4363" customFormat="false" ht="15" hidden="false" customHeight="false" outlineLevel="0" collapsed="false">
      <c r="A4363" s="0" t="n">
        <v>5</v>
      </c>
      <c r="B4363" s="0" t="n">
        <v>8</v>
      </c>
      <c r="C4363" s="0" t="n">
        <v>7</v>
      </c>
      <c r="D4363" s="0" t="n">
        <v>2</v>
      </c>
      <c r="E4363" s="0" t="n">
        <f aca="false">-1+A4363*0.25</f>
        <v>0.25</v>
      </c>
      <c r="F4363" s="0" t="n">
        <f aca="false">-1+B4363*0.25</f>
        <v>1</v>
      </c>
      <c r="G4363" s="0" t="n">
        <f aca="false">-1+C4363*0.25</f>
        <v>0.75</v>
      </c>
      <c r="H4363" s="0" t="n">
        <f aca="false">-1+D4363*0.25</f>
        <v>-0.5</v>
      </c>
      <c r="I4363" s="0" t="n">
        <f aca="false">1</f>
        <v>1</v>
      </c>
      <c r="J4363" s="0" t="n">
        <f aca="false">E4363</f>
        <v>0.25</v>
      </c>
      <c r="K4363" s="0" t="n">
        <f aca="false">F4363</f>
        <v>1</v>
      </c>
      <c r="L4363" s="0" t="n">
        <f aca="false">G4363</f>
        <v>0.75</v>
      </c>
      <c r="M4363" s="0" t="n">
        <f aca="false">H4363</f>
        <v>-0.5</v>
      </c>
      <c r="N4363" s="0" t="n">
        <f aca="false">E4363*F4363</f>
        <v>0.25</v>
      </c>
      <c r="O4363" s="0" t="n">
        <f aca="false">E4363*G4363</f>
        <v>0.1875</v>
      </c>
      <c r="P4363" s="0" t="n">
        <f aca="false">E4363*H4363</f>
        <v>-0.125</v>
      </c>
      <c r="Q4363" s="0" t="n">
        <f aca="false">F4363*G4363</f>
        <v>0.75</v>
      </c>
      <c r="R4363" s="0" t="n">
        <f aca="false">F4363*H4363</f>
        <v>-0.5</v>
      </c>
      <c r="S4363" s="0" t="n">
        <f aca="false">G4363*H4363</f>
        <v>-0.375</v>
      </c>
      <c r="T4363" s="0" t="n">
        <f aca="false">E4363*E4363</f>
        <v>0.0625</v>
      </c>
      <c r="U4363" s="0" t="n">
        <f aca="false">F4363*F4363</f>
        <v>1</v>
      </c>
      <c r="V4363" s="0" t="n">
        <f aca="false">G4363*G4363</f>
        <v>0.5625</v>
      </c>
      <c r="W4363" s="0" t="n">
        <f aca="false">H4363*H4363</f>
        <v>0.25</v>
      </c>
      <c r="X4363" s="0" t="n">
        <f aca="false">SUMPRODUCT(I4363:W4363,_XtX!$B$96:$P$96)</f>
        <v>48.1916575292397</v>
      </c>
      <c r="Y4363" s="0" t="n">
        <f aca="false">SUMPRODUCT(MMULT(I4363:W4363,_XtX!$B$78:$P$92),I4363:W4363)</f>
        <v>0.459125719572369</v>
      </c>
      <c r="Z4363" s="0" t="n">
        <f aca="false">04_回帰ANOVA!$K$19*04_回帰ANOVA!$K$14*SQRT(1+Y4363)</f>
        <v>1.57450755575573</v>
      </c>
      <c r="AA4363" s="0" t="n">
        <f aca="false">X4363-Z4363</f>
        <v>46.617149973484</v>
      </c>
      <c r="AB4363" s="0" t="n">
        <f aca="false">X4363+Z4363</f>
        <v>49.7661650849955</v>
      </c>
      <c r="AC4363" s="54" t="b">
        <f aca="false">AND(E4363&gt;=01_因子設定!$L$5-0.000000001,E4363&lt;=01_因子設定!$M$5+0.000000001,F4363&gt;=01_因子設定!$L$6-0.000000001,F4363&lt;=01_因子設定!$M$6+0.000000001,G4363&gt;=01_因子設定!$L$7-0.000000001,G4363&lt;=01_因子設定!$M$7+0.000000001,H4363&gt;=01_因子設定!$L$8-0.000000001,H4363&lt;=01_因子設定!$M$8+0.000000001,IF(01_因子設定!$B$20="Box-Behnken",E4363^2+F4363^2+G4363^2+H4363^2&lt;=2+0.000000001,TRUE()))</f>
        <v>1</v>
      </c>
      <c r="AD4363" s="55" t="n">
        <f aca="false">IF(AC4363,IF(01_因子設定!$B$13="最大化",AA4363-01_因子設定!$B$14,IF(01_因子設定!$B$13="最小化",01_因子設定!$B$15-AB4363,MIN(AA4363-01_因子設定!$B$14,01_因子設定!$B$15-AB4363))),-1E+030)</f>
        <v>0.11714997348399</v>
      </c>
      <c r="AE4363" s="55" t="n">
        <f aca="false">IF(AC4363,IF(01_因子設定!$B$13="最大化",X4363,IF(01_因子設定!$B$13="最小化",-X4363,-ABS(X4363-01_因子設定!$B$16))),-1E+030)</f>
        <v>48.1916575292397</v>
      </c>
      <c r="AF4363" s="55" t="n">
        <f aca="false">AD4363+ROW()*0.000000001</f>
        <v>0.11715433648399</v>
      </c>
      <c r="AG4363" s="55" t="n">
        <f aca="false">AE4363+ROW()*0.000000001</f>
        <v>48.1916618922397</v>
      </c>
    </row>
    <row r="4364" customFormat="false" ht="15" hidden="false" customHeight="false" outlineLevel="0" collapsed="false">
      <c r="A4364" s="0" t="n">
        <v>5</v>
      </c>
      <c r="B4364" s="0" t="n">
        <v>8</v>
      </c>
      <c r="C4364" s="0" t="n">
        <v>7</v>
      </c>
      <c r="D4364" s="0" t="n">
        <v>3</v>
      </c>
      <c r="E4364" s="0" t="n">
        <f aca="false">-1+A4364*0.25</f>
        <v>0.25</v>
      </c>
      <c r="F4364" s="0" t="n">
        <f aca="false">-1+B4364*0.25</f>
        <v>1</v>
      </c>
      <c r="G4364" s="0" t="n">
        <f aca="false">-1+C4364*0.25</f>
        <v>0.75</v>
      </c>
      <c r="H4364" s="0" t="n">
        <f aca="false">-1+D4364*0.25</f>
        <v>-0.25</v>
      </c>
      <c r="I4364" s="0" t="n">
        <f aca="false">1</f>
        <v>1</v>
      </c>
      <c r="J4364" s="0" t="n">
        <f aca="false">E4364</f>
        <v>0.25</v>
      </c>
      <c r="K4364" s="0" t="n">
        <f aca="false">F4364</f>
        <v>1</v>
      </c>
      <c r="L4364" s="0" t="n">
        <f aca="false">G4364</f>
        <v>0.75</v>
      </c>
      <c r="M4364" s="0" t="n">
        <f aca="false">H4364</f>
        <v>-0.25</v>
      </c>
      <c r="N4364" s="0" t="n">
        <f aca="false">E4364*F4364</f>
        <v>0.25</v>
      </c>
      <c r="O4364" s="0" t="n">
        <f aca="false">E4364*G4364</f>
        <v>0.1875</v>
      </c>
      <c r="P4364" s="0" t="n">
        <f aca="false">E4364*H4364</f>
        <v>-0.0625</v>
      </c>
      <c r="Q4364" s="0" t="n">
        <f aca="false">F4364*G4364</f>
        <v>0.75</v>
      </c>
      <c r="R4364" s="0" t="n">
        <f aca="false">F4364*H4364</f>
        <v>-0.25</v>
      </c>
      <c r="S4364" s="0" t="n">
        <f aca="false">G4364*H4364</f>
        <v>-0.1875</v>
      </c>
      <c r="T4364" s="0" t="n">
        <f aca="false">E4364*E4364</f>
        <v>0.0625</v>
      </c>
      <c r="U4364" s="0" t="n">
        <f aca="false">F4364*F4364</f>
        <v>1</v>
      </c>
      <c r="V4364" s="0" t="n">
        <f aca="false">G4364*G4364</f>
        <v>0.5625</v>
      </c>
      <c r="W4364" s="0" t="n">
        <f aca="false">H4364*H4364</f>
        <v>0.0625</v>
      </c>
      <c r="X4364" s="0" t="n">
        <f aca="false">SUMPRODUCT(I4364:W4364,_XtX!$B$96:$P$96)</f>
        <v>48.3733506944444</v>
      </c>
      <c r="Y4364" s="0" t="n">
        <f aca="false">SUMPRODUCT(MMULT(I4364:W4364,_XtX!$B$78:$P$92),I4364:W4364)</f>
        <v>0.486409505208334</v>
      </c>
      <c r="Z4364" s="0" t="n">
        <f aca="false">04_回帰ANOVA!$K$19*04_回帰ANOVA!$K$14*SQRT(1+Y4364)</f>
        <v>1.58916001665498</v>
      </c>
      <c r="AA4364" s="0" t="n">
        <f aca="false">X4364-Z4364</f>
        <v>46.7841906777894</v>
      </c>
      <c r="AB4364" s="0" t="n">
        <f aca="false">X4364+Z4364</f>
        <v>49.9625107110994</v>
      </c>
      <c r="AC4364" s="54" t="b">
        <f aca="false">AND(E4364&gt;=01_因子設定!$L$5-0.000000001,E4364&lt;=01_因子設定!$M$5+0.000000001,F4364&gt;=01_因子設定!$L$6-0.000000001,F4364&lt;=01_因子設定!$M$6+0.000000001,G4364&gt;=01_因子設定!$L$7-0.000000001,G4364&lt;=01_因子設定!$M$7+0.000000001,H4364&gt;=01_因子設定!$L$8-0.000000001,H4364&lt;=01_因子設定!$M$8+0.000000001,IF(01_因子設定!$B$20="Box-Behnken",E4364^2+F4364^2+G4364^2+H4364^2&lt;=2+0.000000001,TRUE()))</f>
        <v>1</v>
      </c>
      <c r="AD4364" s="55" t="n">
        <f aca="false">IF(AC4364,IF(01_因子設定!$B$13="最大化",AA4364-01_因子設定!$B$14,IF(01_因子設定!$B$13="最小化",01_因子設定!$B$15-AB4364,MIN(AA4364-01_因子設定!$B$14,01_因子設定!$B$15-AB4364))),-1E+030)</f>
        <v>0.284190677789411</v>
      </c>
      <c r="AE4364" s="55" t="n">
        <f aca="false">IF(AC4364,IF(01_因子設定!$B$13="最大化",X4364,IF(01_因子設定!$B$13="最小化",-X4364,-ABS(X4364-01_因子設定!$B$16))),-1E+030)</f>
        <v>48.3733506944444</v>
      </c>
      <c r="AF4364" s="55" t="n">
        <f aca="false">AD4364+ROW()*0.000000001</f>
        <v>0.284195041789411</v>
      </c>
      <c r="AG4364" s="55" t="n">
        <f aca="false">AE4364+ROW()*0.000000001</f>
        <v>48.3733550584444</v>
      </c>
    </row>
    <row r="4365" customFormat="false" ht="15" hidden="false" customHeight="false" outlineLevel="0" collapsed="false">
      <c r="A4365" s="0" t="n">
        <v>5</v>
      </c>
      <c r="B4365" s="0" t="n">
        <v>8</v>
      </c>
      <c r="C4365" s="0" t="n">
        <v>7</v>
      </c>
      <c r="D4365" s="0" t="n">
        <v>4</v>
      </c>
      <c r="E4365" s="0" t="n">
        <f aca="false">-1+A4365*0.25</f>
        <v>0.25</v>
      </c>
      <c r="F4365" s="0" t="n">
        <f aca="false">-1+B4365*0.25</f>
        <v>1</v>
      </c>
      <c r="G4365" s="0" t="n">
        <f aca="false">-1+C4365*0.25</f>
        <v>0.75</v>
      </c>
      <c r="H4365" s="0" t="n">
        <f aca="false">-1+D4365*0.25</f>
        <v>0</v>
      </c>
      <c r="I4365" s="0" t="n">
        <f aca="false">1</f>
        <v>1</v>
      </c>
      <c r="J4365" s="0" t="n">
        <f aca="false">E4365</f>
        <v>0.25</v>
      </c>
      <c r="K4365" s="0" t="n">
        <f aca="false">F4365</f>
        <v>1</v>
      </c>
      <c r="L4365" s="0" t="n">
        <f aca="false">G4365</f>
        <v>0.75</v>
      </c>
      <c r="M4365" s="0" t="n">
        <f aca="false">H4365</f>
        <v>0</v>
      </c>
      <c r="N4365" s="0" t="n">
        <f aca="false">E4365*F4365</f>
        <v>0.25</v>
      </c>
      <c r="O4365" s="0" t="n">
        <f aca="false">E4365*G4365</f>
        <v>0.1875</v>
      </c>
      <c r="P4365" s="0" t="n">
        <f aca="false">E4365*H4365</f>
        <v>0</v>
      </c>
      <c r="Q4365" s="0" t="n">
        <f aca="false">F4365*G4365</f>
        <v>0.75</v>
      </c>
      <c r="R4365" s="0" t="n">
        <f aca="false">F4365*H4365</f>
        <v>0</v>
      </c>
      <c r="S4365" s="0" t="n">
        <f aca="false">G4365*H4365</f>
        <v>0</v>
      </c>
      <c r="T4365" s="0" t="n">
        <f aca="false">E4365*E4365</f>
        <v>0.0625</v>
      </c>
      <c r="U4365" s="0" t="n">
        <f aca="false">F4365*F4365</f>
        <v>1</v>
      </c>
      <c r="V4365" s="0" t="n">
        <f aca="false">G4365*G4365</f>
        <v>0.5625</v>
      </c>
      <c r="W4365" s="0" t="n">
        <f aca="false">H4365*H4365</f>
        <v>0</v>
      </c>
      <c r="X4365" s="0" t="n">
        <f aca="false">SUMPRODUCT(I4365:W4365,_XtX!$B$96:$P$96)</f>
        <v>48.5072368421052</v>
      </c>
      <c r="Y4365" s="0" t="n">
        <f aca="false">SUMPRODUCT(MMULT(I4365:W4365,_XtX!$B$78:$P$92),I4365:W4365)</f>
        <v>0.501534802174708</v>
      </c>
      <c r="Z4365" s="0" t="n">
        <f aca="false">04_回帰ANOVA!$K$19*04_回帰ANOVA!$K$14*SQRT(1+Y4365)</f>
        <v>1.59722498091333</v>
      </c>
      <c r="AA4365" s="0" t="n">
        <f aca="false">X4365-Z4365</f>
        <v>46.9100118611919</v>
      </c>
      <c r="AB4365" s="0" t="n">
        <f aca="false">X4365+Z4365</f>
        <v>50.1044618230185</v>
      </c>
      <c r="AC4365" s="54" t="b">
        <f aca="false">AND(E4365&gt;=01_因子設定!$L$5-0.000000001,E4365&lt;=01_因子設定!$M$5+0.000000001,F4365&gt;=01_因子設定!$L$6-0.000000001,F4365&lt;=01_因子設定!$M$6+0.000000001,G4365&gt;=01_因子設定!$L$7-0.000000001,G4365&lt;=01_因子設定!$M$7+0.000000001,H4365&gt;=01_因子設定!$L$8-0.000000001,H4365&lt;=01_因子設定!$M$8+0.000000001,IF(01_因子設定!$B$20="Box-Behnken",E4365^2+F4365^2+G4365^2+H4365^2&lt;=2+0.000000001,TRUE()))</f>
        <v>1</v>
      </c>
      <c r="AD4365" s="55" t="n">
        <f aca="false">IF(AC4365,IF(01_因子設定!$B$13="最大化",AA4365-01_因子設定!$B$14,IF(01_因子設定!$B$13="最小化",01_因子設定!$B$15-AB4365,MIN(AA4365-01_因子設定!$B$14,01_因子設定!$B$15-AB4365))),-1E+030)</f>
        <v>0.410011861191869</v>
      </c>
      <c r="AE4365" s="55" t="n">
        <f aca="false">IF(AC4365,IF(01_因子設定!$B$13="最大化",X4365,IF(01_因子設定!$B$13="最小化",-X4365,-ABS(X4365-01_因子設定!$B$16))),-1E+030)</f>
        <v>48.5072368421052</v>
      </c>
      <c r="AF4365" s="55" t="n">
        <f aca="false">AD4365+ROW()*0.000000001</f>
        <v>0.410016226191869</v>
      </c>
      <c r="AG4365" s="55" t="n">
        <f aca="false">AE4365+ROW()*0.000000001</f>
        <v>48.5072412071052</v>
      </c>
    </row>
    <row r="4366" customFormat="false" ht="15" hidden="false" customHeight="false" outlineLevel="0" collapsed="false">
      <c r="A4366" s="0" t="n">
        <v>5</v>
      </c>
      <c r="B4366" s="0" t="n">
        <v>8</v>
      </c>
      <c r="C4366" s="0" t="n">
        <v>7</v>
      </c>
      <c r="D4366" s="0" t="n">
        <v>5</v>
      </c>
      <c r="E4366" s="0" t="n">
        <f aca="false">-1+A4366*0.25</f>
        <v>0.25</v>
      </c>
      <c r="F4366" s="0" t="n">
        <f aca="false">-1+B4366*0.25</f>
        <v>1</v>
      </c>
      <c r="G4366" s="0" t="n">
        <f aca="false">-1+C4366*0.25</f>
        <v>0.75</v>
      </c>
      <c r="H4366" s="0" t="n">
        <f aca="false">-1+D4366*0.25</f>
        <v>0.25</v>
      </c>
      <c r="I4366" s="0" t="n">
        <f aca="false">1</f>
        <v>1</v>
      </c>
      <c r="J4366" s="0" t="n">
        <f aca="false">E4366</f>
        <v>0.25</v>
      </c>
      <c r="K4366" s="0" t="n">
        <f aca="false">F4366</f>
        <v>1</v>
      </c>
      <c r="L4366" s="0" t="n">
        <f aca="false">G4366</f>
        <v>0.75</v>
      </c>
      <c r="M4366" s="0" t="n">
        <f aca="false">H4366</f>
        <v>0.25</v>
      </c>
      <c r="N4366" s="0" t="n">
        <f aca="false">E4366*F4366</f>
        <v>0.25</v>
      </c>
      <c r="O4366" s="0" t="n">
        <f aca="false">E4366*G4366</f>
        <v>0.1875</v>
      </c>
      <c r="P4366" s="0" t="n">
        <f aca="false">E4366*H4366</f>
        <v>0.0625</v>
      </c>
      <c r="Q4366" s="0" t="n">
        <f aca="false">F4366*G4366</f>
        <v>0.75</v>
      </c>
      <c r="R4366" s="0" t="n">
        <f aca="false">F4366*H4366</f>
        <v>0.25</v>
      </c>
      <c r="S4366" s="0" t="n">
        <f aca="false">G4366*H4366</f>
        <v>0.1875</v>
      </c>
      <c r="T4366" s="0" t="n">
        <f aca="false">E4366*E4366</f>
        <v>0.0625</v>
      </c>
      <c r="U4366" s="0" t="n">
        <f aca="false">F4366*F4366</f>
        <v>1</v>
      </c>
      <c r="V4366" s="0" t="n">
        <f aca="false">G4366*G4366</f>
        <v>0.5625</v>
      </c>
      <c r="W4366" s="0" t="n">
        <f aca="false">H4366*H4366</f>
        <v>0.0625</v>
      </c>
      <c r="X4366" s="0" t="n">
        <f aca="false">SUMPRODUCT(I4366:W4366,_XtX!$B$96:$P$96)</f>
        <v>48.5933159722222</v>
      </c>
      <c r="Y4366" s="0" t="n">
        <f aca="false">SUMPRODUCT(MMULT(I4366:W4366,_XtX!$B$78:$P$92),I4366:W4366)</f>
        <v>0.486409505208334</v>
      </c>
      <c r="Z4366" s="0" t="n">
        <f aca="false">04_回帰ANOVA!$K$19*04_回帰ANOVA!$K$14*SQRT(1+Y4366)</f>
        <v>1.58916001665498</v>
      </c>
      <c r="AA4366" s="0" t="n">
        <f aca="false">X4366-Z4366</f>
        <v>47.0041559555672</v>
      </c>
      <c r="AB4366" s="0" t="n">
        <f aca="false">X4366+Z4366</f>
        <v>50.1824759888771</v>
      </c>
      <c r="AC4366" s="54" t="b">
        <f aca="false">AND(E4366&gt;=01_因子設定!$L$5-0.000000001,E4366&lt;=01_因子設定!$M$5+0.000000001,F4366&gt;=01_因子設定!$L$6-0.000000001,F4366&lt;=01_因子設定!$M$6+0.000000001,G4366&gt;=01_因子設定!$L$7-0.000000001,G4366&lt;=01_因子設定!$M$7+0.000000001,H4366&gt;=01_因子設定!$L$8-0.000000001,H4366&lt;=01_因子設定!$M$8+0.000000001,IF(01_因子設定!$B$20="Box-Behnken",E4366^2+F4366^2+G4366^2+H4366^2&lt;=2+0.000000001,TRUE()))</f>
        <v>1</v>
      </c>
      <c r="AD4366" s="55" t="n">
        <f aca="false">IF(AC4366,IF(01_因子設定!$B$13="最大化",AA4366-01_因子設定!$B$14,IF(01_因子設定!$B$13="最小化",01_因子設定!$B$15-AB4366,MIN(AA4366-01_因子設定!$B$14,01_因子設定!$B$15-AB4366))),-1E+030)</f>
        <v>0.504155955567185</v>
      </c>
      <c r="AE4366" s="55" t="n">
        <f aca="false">IF(AC4366,IF(01_因子設定!$B$13="最大化",X4366,IF(01_因子設定!$B$13="最小化",-X4366,-ABS(X4366-01_因子設定!$B$16))),-1E+030)</f>
        <v>48.5933159722222</v>
      </c>
      <c r="AF4366" s="55" t="n">
        <f aca="false">AD4366+ROW()*0.000000001</f>
        <v>0.504160321567185</v>
      </c>
      <c r="AG4366" s="55" t="n">
        <f aca="false">AE4366+ROW()*0.000000001</f>
        <v>48.5933203382222</v>
      </c>
    </row>
    <row r="4367" customFormat="false" ht="15" hidden="false" customHeight="false" outlineLevel="0" collapsed="false">
      <c r="A4367" s="0" t="n">
        <v>5</v>
      </c>
      <c r="B4367" s="0" t="n">
        <v>8</v>
      </c>
      <c r="C4367" s="0" t="n">
        <v>7</v>
      </c>
      <c r="D4367" s="0" t="n">
        <v>6</v>
      </c>
      <c r="E4367" s="0" t="n">
        <f aca="false">-1+A4367*0.25</f>
        <v>0.25</v>
      </c>
      <c r="F4367" s="0" t="n">
        <f aca="false">-1+B4367*0.25</f>
        <v>1</v>
      </c>
      <c r="G4367" s="0" t="n">
        <f aca="false">-1+C4367*0.25</f>
        <v>0.75</v>
      </c>
      <c r="H4367" s="0" t="n">
        <f aca="false">-1+D4367*0.25</f>
        <v>0.5</v>
      </c>
      <c r="I4367" s="0" t="n">
        <f aca="false">1</f>
        <v>1</v>
      </c>
      <c r="J4367" s="0" t="n">
        <f aca="false">E4367</f>
        <v>0.25</v>
      </c>
      <c r="K4367" s="0" t="n">
        <f aca="false">F4367</f>
        <v>1</v>
      </c>
      <c r="L4367" s="0" t="n">
        <f aca="false">G4367</f>
        <v>0.75</v>
      </c>
      <c r="M4367" s="0" t="n">
        <f aca="false">H4367</f>
        <v>0.5</v>
      </c>
      <c r="N4367" s="0" t="n">
        <f aca="false">E4367*F4367</f>
        <v>0.25</v>
      </c>
      <c r="O4367" s="0" t="n">
        <f aca="false">E4367*G4367</f>
        <v>0.1875</v>
      </c>
      <c r="P4367" s="0" t="n">
        <f aca="false">E4367*H4367</f>
        <v>0.125</v>
      </c>
      <c r="Q4367" s="0" t="n">
        <f aca="false">F4367*G4367</f>
        <v>0.75</v>
      </c>
      <c r="R4367" s="0" t="n">
        <f aca="false">F4367*H4367</f>
        <v>0.5</v>
      </c>
      <c r="S4367" s="0" t="n">
        <f aca="false">G4367*H4367</f>
        <v>0.375</v>
      </c>
      <c r="T4367" s="0" t="n">
        <f aca="false">E4367*E4367</f>
        <v>0.0625</v>
      </c>
      <c r="U4367" s="0" t="n">
        <f aca="false">F4367*F4367</f>
        <v>1</v>
      </c>
      <c r="V4367" s="0" t="n">
        <f aca="false">G4367*G4367</f>
        <v>0.5625</v>
      </c>
      <c r="W4367" s="0" t="n">
        <f aca="false">H4367*H4367</f>
        <v>0.25</v>
      </c>
      <c r="X4367" s="0" t="n">
        <f aca="false">SUMPRODUCT(I4367:W4367,_XtX!$B$96:$P$96)</f>
        <v>48.6315880847953</v>
      </c>
      <c r="Y4367" s="0" t="n">
        <f aca="false">SUMPRODUCT(MMULT(I4367:W4367,_XtX!$B$78:$P$92),I4367:W4367)</f>
        <v>0.459125719572369</v>
      </c>
      <c r="Z4367" s="0" t="n">
        <f aca="false">04_回帰ANOVA!$K$19*04_回帰ANOVA!$K$14*SQRT(1+Y4367)</f>
        <v>1.57450755575573</v>
      </c>
      <c r="AA4367" s="0" t="n">
        <f aca="false">X4367-Z4367</f>
        <v>47.0570805290395</v>
      </c>
      <c r="AB4367" s="0" t="n">
        <f aca="false">X4367+Z4367</f>
        <v>50.206095640551</v>
      </c>
      <c r="AC4367" s="54" t="b">
        <f aca="false">AND(E4367&gt;=01_因子設定!$L$5-0.000000001,E4367&lt;=01_因子設定!$M$5+0.000000001,F4367&gt;=01_因子設定!$L$6-0.000000001,F4367&lt;=01_因子設定!$M$6+0.000000001,G4367&gt;=01_因子設定!$L$7-0.000000001,G4367&lt;=01_因子設定!$M$7+0.000000001,H4367&gt;=01_因子設定!$L$8-0.000000001,H4367&lt;=01_因子設定!$M$8+0.000000001,IF(01_因子設定!$B$20="Box-Behnken",E4367^2+F4367^2+G4367^2+H4367^2&lt;=2+0.000000001,TRUE()))</f>
        <v>1</v>
      </c>
      <c r="AD4367" s="55" t="n">
        <f aca="false">IF(AC4367,IF(01_因子設定!$B$13="最大化",AA4367-01_因子設定!$B$14,IF(01_因子設定!$B$13="最小化",01_因子設定!$B$15-AB4367,MIN(AA4367-01_因子設定!$B$14,01_因子設定!$B$15-AB4367))),-1E+030)</f>
        <v>0.557080529039538</v>
      </c>
      <c r="AE4367" s="55" t="n">
        <f aca="false">IF(AC4367,IF(01_因子設定!$B$13="最大化",X4367,IF(01_因子設定!$B$13="最小化",-X4367,-ABS(X4367-01_因子設定!$B$16))),-1E+030)</f>
        <v>48.6315880847953</v>
      </c>
      <c r="AF4367" s="55" t="n">
        <f aca="false">AD4367+ROW()*0.000000001</f>
        <v>0.557084896039538</v>
      </c>
      <c r="AG4367" s="55" t="n">
        <f aca="false">AE4367+ROW()*0.000000001</f>
        <v>48.6315924517953</v>
      </c>
    </row>
    <row r="4368" customFormat="false" ht="15" hidden="false" customHeight="false" outlineLevel="0" collapsed="false">
      <c r="A4368" s="0" t="n">
        <v>5</v>
      </c>
      <c r="B4368" s="0" t="n">
        <v>8</v>
      </c>
      <c r="C4368" s="0" t="n">
        <v>7</v>
      </c>
      <c r="D4368" s="0" t="n">
        <v>7</v>
      </c>
      <c r="E4368" s="0" t="n">
        <f aca="false">-1+A4368*0.25</f>
        <v>0.25</v>
      </c>
      <c r="F4368" s="0" t="n">
        <f aca="false">-1+B4368*0.25</f>
        <v>1</v>
      </c>
      <c r="G4368" s="0" t="n">
        <f aca="false">-1+C4368*0.25</f>
        <v>0.75</v>
      </c>
      <c r="H4368" s="0" t="n">
        <f aca="false">-1+D4368*0.25</f>
        <v>0.75</v>
      </c>
      <c r="I4368" s="0" t="n">
        <f aca="false">1</f>
        <v>1</v>
      </c>
      <c r="J4368" s="0" t="n">
        <f aca="false">E4368</f>
        <v>0.25</v>
      </c>
      <c r="K4368" s="0" t="n">
        <f aca="false">F4368</f>
        <v>1</v>
      </c>
      <c r="L4368" s="0" t="n">
        <f aca="false">G4368</f>
        <v>0.75</v>
      </c>
      <c r="M4368" s="0" t="n">
        <f aca="false">H4368</f>
        <v>0.75</v>
      </c>
      <c r="N4368" s="0" t="n">
        <f aca="false">E4368*F4368</f>
        <v>0.25</v>
      </c>
      <c r="O4368" s="0" t="n">
        <f aca="false">E4368*G4368</f>
        <v>0.1875</v>
      </c>
      <c r="P4368" s="0" t="n">
        <f aca="false">E4368*H4368</f>
        <v>0.1875</v>
      </c>
      <c r="Q4368" s="0" t="n">
        <f aca="false">F4368*G4368</f>
        <v>0.75</v>
      </c>
      <c r="R4368" s="0" t="n">
        <f aca="false">F4368*H4368</f>
        <v>0.75</v>
      </c>
      <c r="S4368" s="0" t="n">
        <f aca="false">G4368*H4368</f>
        <v>0.5625</v>
      </c>
      <c r="T4368" s="0" t="n">
        <f aca="false">E4368*E4368</f>
        <v>0.0625</v>
      </c>
      <c r="U4368" s="0" t="n">
        <f aca="false">F4368*F4368</f>
        <v>1</v>
      </c>
      <c r="V4368" s="0" t="n">
        <f aca="false">G4368*G4368</f>
        <v>0.5625</v>
      </c>
      <c r="W4368" s="0" t="n">
        <f aca="false">H4368*H4368</f>
        <v>0.5625</v>
      </c>
      <c r="X4368" s="0" t="n">
        <f aca="false">SUMPRODUCT(I4368:W4368,_XtX!$B$96:$P$96)</f>
        <v>48.6220531798245</v>
      </c>
      <c r="Y4368" s="0" t="n">
        <f aca="false">SUMPRODUCT(MMULT(I4368:W4368,_XtX!$B$78:$P$92),I4368:W4368)</f>
        <v>0.473959761056287</v>
      </c>
      <c r="Z4368" s="0" t="n">
        <f aca="false">04_回帰ANOVA!$K$19*04_回帰ANOVA!$K$14*SQRT(1+Y4368)</f>
        <v>1.58249084588329</v>
      </c>
      <c r="AA4368" s="0" t="n">
        <f aca="false">X4368-Z4368</f>
        <v>47.0395623339412</v>
      </c>
      <c r="AB4368" s="0" t="n">
        <f aca="false">X4368+Z4368</f>
        <v>50.2045440257078</v>
      </c>
      <c r="AC4368" s="54" t="b">
        <f aca="false">AND(E4368&gt;=01_因子設定!$L$5-0.000000001,E4368&lt;=01_因子設定!$M$5+0.000000001,F4368&gt;=01_因子設定!$L$6-0.000000001,F4368&lt;=01_因子設定!$M$6+0.000000001,G4368&gt;=01_因子設定!$L$7-0.000000001,G4368&lt;=01_因子設定!$M$7+0.000000001,H4368&gt;=01_因子設定!$L$8-0.000000001,H4368&lt;=01_因子設定!$M$8+0.000000001,IF(01_因子設定!$B$20="Box-Behnken",E4368^2+F4368^2+G4368^2+H4368^2&lt;=2+0.000000001,TRUE()))</f>
        <v>1</v>
      </c>
      <c r="AD4368" s="55" t="n">
        <f aca="false">IF(AC4368,IF(01_因子設定!$B$13="最大化",AA4368-01_因子設定!$B$14,IF(01_因子設定!$B$13="最小化",01_因子設定!$B$15-AB4368,MIN(AA4368-01_因子設定!$B$14,01_因子設定!$B$15-AB4368))),-1E+030)</f>
        <v>0.539562333941234</v>
      </c>
      <c r="AE4368" s="55" t="n">
        <f aca="false">IF(AC4368,IF(01_因子設定!$B$13="最大化",X4368,IF(01_因子設定!$B$13="最小化",-X4368,-ABS(X4368-01_因子設定!$B$16))),-1E+030)</f>
        <v>48.6220531798245</v>
      </c>
      <c r="AF4368" s="55" t="n">
        <f aca="false">AD4368+ROW()*0.000000001</f>
        <v>0.539566701941234</v>
      </c>
      <c r="AG4368" s="55" t="n">
        <f aca="false">AE4368+ROW()*0.000000001</f>
        <v>48.6220575478245</v>
      </c>
    </row>
    <row r="4369" customFormat="false" ht="15" hidden="false" customHeight="false" outlineLevel="0" collapsed="false">
      <c r="A4369" s="0" t="n">
        <v>5</v>
      </c>
      <c r="B4369" s="0" t="n">
        <v>8</v>
      </c>
      <c r="C4369" s="0" t="n">
        <v>7</v>
      </c>
      <c r="D4369" s="0" t="n">
        <v>8</v>
      </c>
      <c r="E4369" s="0" t="n">
        <f aca="false">-1+A4369*0.25</f>
        <v>0.25</v>
      </c>
      <c r="F4369" s="0" t="n">
        <f aca="false">-1+B4369*0.25</f>
        <v>1</v>
      </c>
      <c r="G4369" s="0" t="n">
        <f aca="false">-1+C4369*0.25</f>
        <v>0.75</v>
      </c>
      <c r="H4369" s="0" t="n">
        <f aca="false">-1+D4369*0.25</f>
        <v>1</v>
      </c>
      <c r="I4369" s="0" t="n">
        <f aca="false">1</f>
        <v>1</v>
      </c>
      <c r="J4369" s="0" t="n">
        <f aca="false">E4369</f>
        <v>0.25</v>
      </c>
      <c r="K4369" s="0" t="n">
        <f aca="false">F4369</f>
        <v>1</v>
      </c>
      <c r="L4369" s="0" t="n">
        <f aca="false">G4369</f>
        <v>0.75</v>
      </c>
      <c r="M4369" s="0" t="n">
        <f aca="false">H4369</f>
        <v>1</v>
      </c>
      <c r="N4369" s="0" t="n">
        <f aca="false">E4369*F4369</f>
        <v>0.25</v>
      </c>
      <c r="O4369" s="0" t="n">
        <f aca="false">E4369*G4369</f>
        <v>0.1875</v>
      </c>
      <c r="P4369" s="0" t="n">
        <f aca="false">E4369*H4369</f>
        <v>0.25</v>
      </c>
      <c r="Q4369" s="0" t="n">
        <f aca="false">F4369*G4369</f>
        <v>0.75</v>
      </c>
      <c r="R4369" s="0" t="n">
        <f aca="false">F4369*H4369</f>
        <v>1</v>
      </c>
      <c r="S4369" s="0" t="n">
        <f aca="false">G4369*H4369</f>
        <v>0.75</v>
      </c>
      <c r="T4369" s="0" t="n">
        <f aca="false">E4369*E4369</f>
        <v>0.0625</v>
      </c>
      <c r="U4369" s="0" t="n">
        <f aca="false">F4369*F4369</f>
        <v>1</v>
      </c>
      <c r="V4369" s="0" t="n">
        <f aca="false">G4369*G4369</f>
        <v>0.5625</v>
      </c>
      <c r="W4369" s="0" t="n">
        <f aca="false">H4369*H4369</f>
        <v>1</v>
      </c>
      <c r="X4369" s="0" t="n">
        <f aca="false">SUMPRODUCT(I4369:W4369,_XtX!$B$96:$P$96)</f>
        <v>48.5647112573099</v>
      </c>
      <c r="Y4369" s="0" t="n">
        <f aca="false">SUMPRODUCT(MMULT(I4369:W4369,_XtX!$B$78:$P$92),I4369:W4369)</f>
        <v>0.621372155975877</v>
      </c>
      <c r="Z4369" s="0" t="n">
        <f aca="false">04_回帰ANOVA!$K$19*04_回帰ANOVA!$K$14*SQRT(1+Y4369)</f>
        <v>1.65973880499872</v>
      </c>
      <c r="AA4369" s="0" t="n">
        <f aca="false">X4369-Z4369</f>
        <v>46.9049724523112</v>
      </c>
      <c r="AB4369" s="0" t="n">
        <f aca="false">X4369+Z4369</f>
        <v>50.2244500623086</v>
      </c>
      <c r="AC4369" s="54" t="b">
        <f aca="false">AND(E4369&gt;=01_因子設定!$L$5-0.000000001,E4369&lt;=01_因子設定!$M$5+0.000000001,F4369&gt;=01_因子設定!$L$6-0.000000001,F4369&lt;=01_因子設定!$M$6+0.000000001,G4369&gt;=01_因子設定!$L$7-0.000000001,G4369&lt;=01_因子設定!$M$7+0.000000001,H4369&gt;=01_因子設定!$L$8-0.000000001,H4369&lt;=01_因子設定!$M$8+0.000000001,IF(01_因子設定!$B$20="Box-Behnken",E4369^2+F4369^2+G4369^2+H4369^2&lt;=2+0.000000001,TRUE()))</f>
        <v>1</v>
      </c>
      <c r="AD4369" s="55" t="n">
        <f aca="false">IF(AC4369,IF(01_因子設定!$B$13="最大化",AA4369-01_因子設定!$B$14,IF(01_因子設定!$B$13="最小化",01_因子設定!$B$15-AB4369,MIN(AA4369-01_因子設定!$B$14,01_因子設定!$B$15-AB4369))),-1E+030)</f>
        <v>0.404972452311199</v>
      </c>
      <c r="AE4369" s="55" t="n">
        <f aca="false">IF(AC4369,IF(01_因子設定!$B$13="最大化",X4369,IF(01_因子設定!$B$13="最小化",-X4369,-ABS(X4369-01_因子設定!$B$16))),-1E+030)</f>
        <v>48.5647112573099</v>
      </c>
      <c r="AF4369" s="55" t="n">
        <f aca="false">AD4369+ROW()*0.000000001</f>
        <v>0.404976821311199</v>
      </c>
      <c r="AG4369" s="55" t="n">
        <f aca="false">AE4369+ROW()*0.000000001</f>
        <v>48.5647156263099</v>
      </c>
    </row>
    <row r="4370" customFormat="false" ht="15" hidden="false" customHeight="false" outlineLevel="0" collapsed="false">
      <c r="A4370" s="0" t="n">
        <v>5</v>
      </c>
      <c r="B4370" s="0" t="n">
        <v>8</v>
      </c>
      <c r="C4370" s="0" t="n">
        <v>8</v>
      </c>
      <c r="D4370" s="0" t="n">
        <v>0</v>
      </c>
      <c r="E4370" s="0" t="n">
        <f aca="false">-1+A4370*0.25</f>
        <v>0.25</v>
      </c>
      <c r="F4370" s="0" t="n">
        <f aca="false">-1+B4370*0.25</f>
        <v>1</v>
      </c>
      <c r="G4370" s="0" t="n">
        <f aca="false">-1+C4370*0.25</f>
        <v>1</v>
      </c>
      <c r="H4370" s="0" t="n">
        <f aca="false">-1+D4370*0.25</f>
        <v>-1</v>
      </c>
      <c r="I4370" s="0" t="n">
        <f aca="false">1</f>
        <v>1</v>
      </c>
      <c r="J4370" s="0" t="n">
        <f aca="false">E4370</f>
        <v>0.25</v>
      </c>
      <c r="K4370" s="0" t="n">
        <f aca="false">F4370</f>
        <v>1</v>
      </c>
      <c r="L4370" s="0" t="n">
        <f aca="false">G4370</f>
        <v>1</v>
      </c>
      <c r="M4370" s="0" t="n">
        <f aca="false">H4370</f>
        <v>-1</v>
      </c>
      <c r="N4370" s="0" t="n">
        <f aca="false">E4370*F4370</f>
        <v>0.25</v>
      </c>
      <c r="O4370" s="0" t="n">
        <f aca="false">E4370*G4370</f>
        <v>0.25</v>
      </c>
      <c r="P4370" s="0" t="n">
        <f aca="false">E4370*H4370</f>
        <v>-0.25</v>
      </c>
      <c r="Q4370" s="0" t="n">
        <f aca="false">F4370*G4370</f>
        <v>1</v>
      </c>
      <c r="R4370" s="0" t="n">
        <f aca="false">F4370*H4370</f>
        <v>-1</v>
      </c>
      <c r="S4370" s="0" t="n">
        <f aca="false">G4370*H4370</f>
        <v>-1</v>
      </c>
      <c r="T4370" s="0" t="n">
        <f aca="false">E4370*E4370</f>
        <v>0.0625</v>
      </c>
      <c r="U4370" s="0" t="n">
        <f aca="false">F4370*F4370</f>
        <v>1</v>
      </c>
      <c r="V4370" s="0" t="n">
        <f aca="false">G4370*G4370</f>
        <v>1</v>
      </c>
      <c r="W4370" s="0" t="n">
        <f aca="false">H4370*H4370</f>
        <v>1</v>
      </c>
      <c r="X4370" s="0" t="n">
        <f aca="false">SUMPRODUCT(I4370:W4370,_XtX!$B$96:$P$96)</f>
        <v>47.5977339181286</v>
      </c>
      <c r="Y4370" s="0" t="n">
        <f aca="false">SUMPRODUCT(MMULT(I4370:W4370,_XtX!$B$78:$P$92),I4370:W4370)</f>
        <v>0.737093384502924</v>
      </c>
      <c r="Z4370" s="0" t="n">
        <f aca="false">04_回帰ANOVA!$K$19*04_回帰ANOVA!$K$14*SQRT(1+Y4370)</f>
        <v>1.71794784853551</v>
      </c>
      <c r="AA4370" s="0" t="n">
        <f aca="false">X4370-Z4370</f>
        <v>45.8797860695931</v>
      </c>
      <c r="AB4370" s="0" t="n">
        <f aca="false">X4370+Z4370</f>
        <v>49.3156817666641</v>
      </c>
      <c r="AC4370" s="54" t="b">
        <f aca="false">AND(E4370&gt;=01_因子設定!$L$5-0.000000001,E4370&lt;=01_因子設定!$M$5+0.000000001,F4370&gt;=01_因子設定!$L$6-0.000000001,F4370&lt;=01_因子設定!$M$6+0.000000001,G4370&gt;=01_因子設定!$L$7-0.000000001,G4370&lt;=01_因子設定!$M$7+0.000000001,H4370&gt;=01_因子設定!$L$8-0.000000001,H4370&lt;=01_因子設定!$M$8+0.000000001,IF(01_因子設定!$B$20="Box-Behnken",E4370^2+F4370^2+G4370^2+H4370^2&lt;=2+0.000000001,TRUE()))</f>
        <v>1</v>
      </c>
      <c r="AD4370" s="55" t="n">
        <f aca="false">IF(AC4370,IF(01_因子設定!$B$13="最大化",AA4370-01_因子設定!$B$14,IF(01_因子設定!$B$13="最小化",01_因子設定!$B$15-AB4370,MIN(AA4370-01_因子設定!$B$14,01_因子設定!$B$15-AB4370))),-1E+030)</f>
        <v>-0.620213930406862</v>
      </c>
      <c r="AE4370" s="55" t="n">
        <f aca="false">IF(AC4370,IF(01_因子設定!$B$13="最大化",X4370,IF(01_因子設定!$B$13="最小化",-X4370,-ABS(X4370-01_因子設定!$B$16))),-1E+030)</f>
        <v>47.5977339181286</v>
      </c>
      <c r="AF4370" s="55" t="n">
        <f aca="false">AD4370+ROW()*0.000000001</f>
        <v>-0.620209560406862</v>
      </c>
      <c r="AG4370" s="55" t="n">
        <f aca="false">AE4370+ROW()*0.000000001</f>
        <v>47.5977382881286</v>
      </c>
    </row>
    <row r="4371" customFormat="false" ht="15" hidden="false" customHeight="false" outlineLevel="0" collapsed="false">
      <c r="A4371" s="0" t="n">
        <v>5</v>
      </c>
      <c r="B4371" s="0" t="n">
        <v>8</v>
      </c>
      <c r="C4371" s="0" t="n">
        <v>8</v>
      </c>
      <c r="D4371" s="0" t="n">
        <v>1</v>
      </c>
      <c r="E4371" s="0" t="n">
        <f aca="false">-1+A4371*0.25</f>
        <v>0.25</v>
      </c>
      <c r="F4371" s="0" t="n">
        <f aca="false">-1+B4371*0.25</f>
        <v>1</v>
      </c>
      <c r="G4371" s="0" t="n">
        <f aca="false">-1+C4371*0.25</f>
        <v>1</v>
      </c>
      <c r="H4371" s="0" t="n">
        <f aca="false">-1+D4371*0.25</f>
        <v>-0.75</v>
      </c>
      <c r="I4371" s="0" t="n">
        <f aca="false">1</f>
        <v>1</v>
      </c>
      <c r="J4371" s="0" t="n">
        <f aca="false">E4371</f>
        <v>0.25</v>
      </c>
      <c r="K4371" s="0" t="n">
        <f aca="false">F4371</f>
        <v>1</v>
      </c>
      <c r="L4371" s="0" t="n">
        <f aca="false">G4371</f>
        <v>1</v>
      </c>
      <c r="M4371" s="0" t="n">
        <f aca="false">H4371</f>
        <v>-0.75</v>
      </c>
      <c r="N4371" s="0" t="n">
        <f aca="false">E4371*F4371</f>
        <v>0.25</v>
      </c>
      <c r="O4371" s="0" t="n">
        <f aca="false">E4371*G4371</f>
        <v>0.25</v>
      </c>
      <c r="P4371" s="0" t="n">
        <f aca="false">E4371*H4371</f>
        <v>-0.1875</v>
      </c>
      <c r="Q4371" s="0" t="n">
        <f aca="false">F4371*G4371</f>
        <v>1</v>
      </c>
      <c r="R4371" s="0" t="n">
        <f aca="false">F4371*H4371</f>
        <v>-0.75</v>
      </c>
      <c r="S4371" s="0" t="n">
        <f aca="false">G4371*H4371</f>
        <v>-0.75</v>
      </c>
      <c r="T4371" s="0" t="n">
        <f aca="false">E4371*E4371</f>
        <v>0.0625</v>
      </c>
      <c r="U4371" s="0" t="n">
        <f aca="false">F4371*F4371</f>
        <v>1</v>
      </c>
      <c r="V4371" s="0" t="n">
        <f aca="false">G4371*G4371</f>
        <v>1</v>
      </c>
      <c r="W4371" s="0" t="n">
        <f aca="false">H4371*H4371</f>
        <v>0.5625</v>
      </c>
      <c r="X4371" s="0" t="n">
        <f aca="false">SUMPRODUCT(I4371:W4371,_XtX!$B$96:$P$96)</f>
        <v>47.893009868421</v>
      </c>
      <c r="Y4371" s="0" t="n">
        <f aca="false">SUMPRODUCT(MMULT(I4371:W4371,_XtX!$B$78:$P$92),I4371:W4371)</f>
        <v>0.621372155975877</v>
      </c>
      <c r="Z4371" s="0" t="n">
        <f aca="false">04_回帰ANOVA!$K$19*04_回帰ANOVA!$K$14*SQRT(1+Y4371)</f>
        <v>1.65973880499872</v>
      </c>
      <c r="AA4371" s="0" t="n">
        <f aca="false">X4371-Z4371</f>
        <v>46.2332710634223</v>
      </c>
      <c r="AB4371" s="0" t="n">
        <f aca="false">X4371+Z4371</f>
        <v>49.5527486734197</v>
      </c>
      <c r="AC4371" s="54" t="b">
        <f aca="false">AND(E4371&gt;=01_因子設定!$L$5-0.000000001,E4371&lt;=01_因子設定!$M$5+0.000000001,F4371&gt;=01_因子設定!$L$6-0.000000001,F4371&lt;=01_因子設定!$M$6+0.000000001,G4371&gt;=01_因子設定!$L$7-0.000000001,G4371&lt;=01_因子設定!$M$7+0.000000001,H4371&gt;=01_因子設定!$L$8-0.000000001,H4371&lt;=01_因子設定!$M$8+0.000000001,IF(01_因子設定!$B$20="Box-Behnken",E4371^2+F4371^2+G4371^2+H4371^2&lt;=2+0.000000001,TRUE()))</f>
        <v>1</v>
      </c>
      <c r="AD4371" s="55" t="n">
        <f aca="false">IF(AC4371,IF(01_因子設定!$B$13="最大化",AA4371-01_因子設定!$B$14,IF(01_因子設定!$B$13="最小化",01_因子設定!$B$15-AB4371,MIN(AA4371-01_因子設定!$B$14,01_因子設定!$B$15-AB4371))),-1E+030)</f>
        <v>-0.266728936577699</v>
      </c>
      <c r="AE4371" s="55" t="n">
        <f aca="false">IF(AC4371,IF(01_因子設定!$B$13="最大化",X4371,IF(01_因子設定!$B$13="最小化",-X4371,-ABS(X4371-01_因子設定!$B$16))),-1E+030)</f>
        <v>47.893009868421</v>
      </c>
      <c r="AF4371" s="55" t="n">
        <f aca="false">AD4371+ROW()*0.000000001</f>
        <v>-0.266724565577699</v>
      </c>
      <c r="AG4371" s="55" t="n">
        <f aca="false">AE4371+ROW()*0.000000001</f>
        <v>47.893014239421</v>
      </c>
    </row>
    <row r="4372" customFormat="false" ht="15" hidden="false" customHeight="false" outlineLevel="0" collapsed="false">
      <c r="A4372" s="0" t="n">
        <v>5</v>
      </c>
      <c r="B4372" s="0" t="n">
        <v>8</v>
      </c>
      <c r="C4372" s="0" t="n">
        <v>8</v>
      </c>
      <c r="D4372" s="0" t="n">
        <v>2</v>
      </c>
      <c r="E4372" s="0" t="n">
        <f aca="false">-1+A4372*0.25</f>
        <v>0.25</v>
      </c>
      <c r="F4372" s="0" t="n">
        <f aca="false">-1+B4372*0.25</f>
        <v>1</v>
      </c>
      <c r="G4372" s="0" t="n">
        <f aca="false">-1+C4372*0.25</f>
        <v>1</v>
      </c>
      <c r="H4372" s="0" t="n">
        <f aca="false">-1+D4372*0.25</f>
        <v>-0.5</v>
      </c>
      <c r="I4372" s="0" t="n">
        <f aca="false">1</f>
        <v>1</v>
      </c>
      <c r="J4372" s="0" t="n">
        <f aca="false">E4372</f>
        <v>0.25</v>
      </c>
      <c r="K4372" s="0" t="n">
        <f aca="false">F4372</f>
        <v>1</v>
      </c>
      <c r="L4372" s="0" t="n">
        <f aca="false">G4372</f>
        <v>1</v>
      </c>
      <c r="M4372" s="0" t="n">
        <f aca="false">H4372</f>
        <v>-0.5</v>
      </c>
      <c r="N4372" s="0" t="n">
        <f aca="false">E4372*F4372</f>
        <v>0.25</v>
      </c>
      <c r="O4372" s="0" t="n">
        <f aca="false">E4372*G4372</f>
        <v>0.25</v>
      </c>
      <c r="P4372" s="0" t="n">
        <f aca="false">E4372*H4372</f>
        <v>-0.125</v>
      </c>
      <c r="Q4372" s="0" t="n">
        <f aca="false">F4372*G4372</f>
        <v>1</v>
      </c>
      <c r="R4372" s="0" t="n">
        <f aca="false">F4372*H4372</f>
        <v>-0.5</v>
      </c>
      <c r="S4372" s="0" t="n">
        <f aca="false">G4372*H4372</f>
        <v>-0.5</v>
      </c>
      <c r="T4372" s="0" t="n">
        <f aca="false">E4372*E4372</f>
        <v>0.0625</v>
      </c>
      <c r="U4372" s="0" t="n">
        <f aca="false">F4372*F4372</f>
        <v>1</v>
      </c>
      <c r="V4372" s="0" t="n">
        <f aca="false">G4372*G4372</f>
        <v>1</v>
      </c>
      <c r="W4372" s="0" t="n">
        <f aca="false">H4372*H4372</f>
        <v>0.25</v>
      </c>
      <c r="X4372" s="0" t="n">
        <f aca="false">SUMPRODUCT(I4372:W4372,_XtX!$B$96:$P$96)</f>
        <v>48.1404788011695</v>
      </c>
      <c r="Y4372" s="0" t="n">
        <f aca="false">SUMPRODUCT(MMULT(I4372:W4372,_XtX!$B$78:$P$92),I4372:W4372)</f>
        <v>0.629174661915205</v>
      </c>
      <c r="Z4372" s="0" t="n">
        <f aca="false">04_回帰ANOVA!$K$19*04_回帰ANOVA!$K$14*SQRT(1+Y4372)</f>
        <v>1.66372758058297</v>
      </c>
      <c r="AA4372" s="0" t="n">
        <f aca="false">X4372-Z4372</f>
        <v>46.4767512205866</v>
      </c>
      <c r="AB4372" s="0" t="n">
        <f aca="false">X4372+Z4372</f>
        <v>49.8042063817525</v>
      </c>
      <c r="AC4372" s="54" t="b">
        <f aca="false">AND(E4372&gt;=01_因子設定!$L$5-0.000000001,E4372&lt;=01_因子設定!$M$5+0.000000001,F4372&gt;=01_因子設定!$L$6-0.000000001,F4372&lt;=01_因子設定!$M$6+0.000000001,G4372&gt;=01_因子設定!$L$7-0.000000001,G4372&lt;=01_因子設定!$M$7+0.000000001,H4372&gt;=01_因子設定!$L$8-0.000000001,H4372&lt;=01_因子設定!$M$8+0.000000001,IF(01_因子設定!$B$20="Box-Behnken",E4372^2+F4372^2+G4372^2+H4372^2&lt;=2+0.000000001,TRUE()))</f>
        <v>1</v>
      </c>
      <c r="AD4372" s="55" t="n">
        <f aca="false">IF(AC4372,IF(01_因子設定!$B$13="最大化",AA4372-01_因子設定!$B$14,IF(01_因子設定!$B$13="最小化",01_因子設定!$B$15-AB4372,MIN(AA4372-01_因子設定!$B$14,01_因子設定!$B$15-AB4372))),-1E+030)</f>
        <v>-0.0232487794134286</v>
      </c>
      <c r="AE4372" s="55" t="n">
        <f aca="false">IF(AC4372,IF(01_因子設定!$B$13="最大化",X4372,IF(01_因子設定!$B$13="最小化",-X4372,-ABS(X4372-01_因子設定!$B$16))),-1E+030)</f>
        <v>48.1404788011695</v>
      </c>
      <c r="AF4372" s="55" t="n">
        <f aca="false">AD4372+ROW()*0.000000001</f>
        <v>-0.0232444074134286</v>
      </c>
      <c r="AG4372" s="55" t="n">
        <f aca="false">AE4372+ROW()*0.000000001</f>
        <v>48.1404831731695</v>
      </c>
    </row>
    <row r="4373" customFormat="false" ht="15" hidden="false" customHeight="false" outlineLevel="0" collapsed="false">
      <c r="A4373" s="0" t="n">
        <v>5</v>
      </c>
      <c r="B4373" s="0" t="n">
        <v>8</v>
      </c>
      <c r="C4373" s="0" t="n">
        <v>8</v>
      </c>
      <c r="D4373" s="0" t="n">
        <v>3</v>
      </c>
      <c r="E4373" s="0" t="n">
        <f aca="false">-1+A4373*0.25</f>
        <v>0.25</v>
      </c>
      <c r="F4373" s="0" t="n">
        <f aca="false">-1+B4373*0.25</f>
        <v>1</v>
      </c>
      <c r="G4373" s="0" t="n">
        <f aca="false">-1+C4373*0.25</f>
        <v>1</v>
      </c>
      <c r="H4373" s="0" t="n">
        <f aca="false">-1+D4373*0.25</f>
        <v>-0.25</v>
      </c>
      <c r="I4373" s="0" t="n">
        <f aca="false">1</f>
        <v>1</v>
      </c>
      <c r="J4373" s="0" t="n">
        <f aca="false">E4373</f>
        <v>0.25</v>
      </c>
      <c r="K4373" s="0" t="n">
        <f aca="false">F4373</f>
        <v>1</v>
      </c>
      <c r="L4373" s="0" t="n">
        <f aca="false">G4373</f>
        <v>1</v>
      </c>
      <c r="M4373" s="0" t="n">
        <f aca="false">H4373</f>
        <v>-0.25</v>
      </c>
      <c r="N4373" s="0" t="n">
        <f aca="false">E4373*F4373</f>
        <v>0.25</v>
      </c>
      <c r="O4373" s="0" t="n">
        <f aca="false">E4373*G4373</f>
        <v>0.25</v>
      </c>
      <c r="P4373" s="0" t="n">
        <f aca="false">E4373*H4373</f>
        <v>-0.0625</v>
      </c>
      <c r="Q4373" s="0" t="n">
        <f aca="false">F4373*G4373</f>
        <v>1</v>
      </c>
      <c r="R4373" s="0" t="n">
        <f aca="false">F4373*H4373</f>
        <v>-0.25</v>
      </c>
      <c r="S4373" s="0" t="n">
        <f aca="false">G4373*H4373</f>
        <v>-0.25</v>
      </c>
      <c r="T4373" s="0" t="n">
        <f aca="false">E4373*E4373</f>
        <v>0.0625</v>
      </c>
      <c r="U4373" s="0" t="n">
        <f aca="false">F4373*F4373</f>
        <v>1</v>
      </c>
      <c r="V4373" s="0" t="n">
        <f aca="false">G4373*G4373</f>
        <v>1</v>
      </c>
      <c r="W4373" s="0" t="n">
        <f aca="false">H4373*H4373</f>
        <v>0.0625</v>
      </c>
      <c r="X4373" s="0" t="n">
        <f aca="false">SUMPRODUCT(I4373:W4373,_XtX!$B$96:$P$96)</f>
        <v>48.3401407163742</v>
      </c>
      <c r="Y4373" s="0" t="n">
        <f aca="false">SUMPRODUCT(MMULT(I4373:W4373,_XtX!$B$78:$P$92),I4373:W4373)</f>
        <v>0.670040376005117</v>
      </c>
      <c r="Z4373" s="0" t="n">
        <f aca="false">04_回帰ANOVA!$K$19*04_回帰ANOVA!$K$14*SQRT(1+Y4373)</f>
        <v>1.68446456039992</v>
      </c>
      <c r="AA4373" s="0" t="n">
        <f aca="false">X4373-Z4373</f>
        <v>46.6556761559743</v>
      </c>
      <c r="AB4373" s="0" t="n">
        <f aca="false">X4373+Z4373</f>
        <v>50.0246052767741</v>
      </c>
      <c r="AC4373" s="54" t="b">
        <f aca="false">AND(E4373&gt;=01_因子設定!$L$5-0.000000001,E4373&lt;=01_因子設定!$M$5+0.000000001,F4373&gt;=01_因子設定!$L$6-0.000000001,F4373&lt;=01_因子設定!$M$6+0.000000001,G4373&gt;=01_因子設定!$L$7-0.000000001,G4373&lt;=01_因子設定!$M$7+0.000000001,H4373&gt;=01_因子設定!$L$8-0.000000001,H4373&lt;=01_因子設定!$M$8+0.000000001,IF(01_因子設定!$B$20="Box-Behnken",E4373^2+F4373^2+G4373^2+H4373^2&lt;=2+0.000000001,TRUE()))</f>
        <v>1</v>
      </c>
      <c r="AD4373" s="55" t="n">
        <f aca="false">IF(AC4373,IF(01_因子設定!$B$13="最大化",AA4373-01_因子設定!$B$14,IF(01_因子設定!$B$13="最小化",01_因子設定!$B$15-AB4373,MIN(AA4373-01_因子設定!$B$14,01_因子設定!$B$15-AB4373))),-1E+030)</f>
        <v>0.155676155974298</v>
      </c>
      <c r="AE4373" s="55" t="n">
        <f aca="false">IF(AC4373,IF(01_因子設定!$B$13="最大化",X4373,IF(01_因子設定!$B$13="最小化",-X4373,-ABS(X4373-01_因子設定!$B$16))),-1E+030)</f>
        <v>48.3401407163742</v>
      </c>
      <c r="AF4373" s="55" t="n">
        <f aca="false">AD4373+ROW()*0.000000001</f>
        <v>0.155680528974298</v>
      </c>
      <c r="AG4373" s="55" t="n">
        <f aca="false">AE4373+ROW()*0.000000001</f>
        <v>48.3401450893742</v>
      </c>
    </row>
    <row r="4374" customFormat="false" ht="15" hidden="false" customHeight="false" outlineLevel="0" collapsed="false">
      <c r="A4374" s="0" t="n">
        <v>5</v>
      </c>
      <c r="B4374" s="0" t="n">
        <v>8</v>
      </c>
      <c r="C4374" s="0" t="n">
        <v>8</v>
      </c>
      <c r="D4374" s="0" t="n">
        <v>4</v>
      </c>
      <c r="E4374" s="0" t="n">
        <f aca="false">-1+A4374*0.25</f>
        <v>0.25</v>
      </c>
      <c r="F4374" s="0" t="n">
        <f aca="false">-1+B4374*0.25</f>
        <v>1</v>
      </c>
      <c r="G4374" s="0" t="n">
        <f aca="false">-1+C4374*0.25</f>
        <v>1</v>
      </c>
      <c r="H4374" s="0" t="n">
        <f aca="false">-1+D4374*0.25</f>
        <v>0</v>
      </c>
      <c r="I4374" s="0" t="n">
        <f aca="false">1</f>
        <v>1</v>
      </c>
      <c r="J4374" s="0" t="n">
        <f aca="false">E4374</f>
        <v>0.25</v>
      </c>
      <c r="K4374" s="0" t="n">
        <f aca="false">F4374</f>
        <v>1</v>
      </c>
      <c r="L4374" s="0" t="n">
        <f aca="false">G4374</f>
        <v>1</v>
      </c>
      <c r="M4374" s="0" t="n">
        <f aca="false">H4374</f>
        <v>0</v>
      </c>
      <c r="N4374" s="0" t="n">
        <f aca="false">E4374*F4374</f>
        <v>0.25</v>
      </c>
      <c r="O4374" s="0" t="n">
        <f aca="false">E4374*G4374</f>
        <v>0.25</v>
      </c>
      <c r="P4374" s="0" t="n">
        <f aca="false">E4374*H4374</f>
        <v>0</v>
      </c>
      <c r="Q4374" s="0" t="n">
        <f aca="false">F4374*G4374</f>
        <v>1</v>
      </c>
      <c r="R4374" s="0" t="n">
        <f aca="false">F4374*H4374</f>
        <v>0</v>
      </c>
      <c r="S4374" s="0" t="n">
        <f aca="false">G4374*H4374</f>
        <v>0</v>
      </c>
      <c r="T4374" s="0" t="n">
        <f aca="false">E4374*E4374</f>
        <v>0.0625</v>
      </c>
      <c r="U4374" s="0" t="n">
        <f aca="false">F4374*F4374</f>
        <v>1</v>
      </c>
      <c r="V4374" s="0" t="n">
        <f aca="false">G4374*G4374</f>
        <v>1</v>
      </c>
      <c r="W4374" s="0" t="n">
        <f aca="false">H4374*H4374</f>
        <v>0</v>
      </c>
      <c r="X4374" s="0" t="n">
        <f aca="false">SUMPRODUCT(I4374:W4374,_XtX!$B$96:$P$96)</f>
        <v>48.491995614035</v>
      </c>
      <c r="Y4374" s="0" t="n">
        <f aca="false">SUMPRODUCT(MMULT(I4374:W4374,_XtX!$B$78:$P$92),I4374:W4374)</f>
        <v>0.689692982456141</v>
      </c>
      <c r="Z4374" s="0" t="n">
        <f aca="false">04_回帰ANOVA!$K$19*04_回帰ANOVA!$K$14*SQRT(1+Y4374)</f>
        <v>1.69434674594998</v>
      </c>
      <c r="AA4374" s="0" t="n">
        <f aca="false">X4374-Z4374</f>
        <v>46.7976488680851</v>
      </c>
      <c r="AB4374" s="0" t="n">
        <f aca="false">X4374+Z4374</f>
        <v>50.186342359985</v>
      </c>
      <c r="AC4374" s="54" t="b">
        <f aca="false">AND(E4374&gt;=01_因子設定!$L$5-0.000000001,E4374&lt;=01_因子設定!$M$5+0.000000001,F4374&gt;=01_因子設定!$L$6-0.000000001,F4374&lt;=01_因子設定!$M$6+0.000000001,G4374&gt;=01_因子設定!$L$7-0.000000001,G4374&lt;=01_因子設定!$M$7+0.000000001,H4374&gt;=01_因子設定!$L$8-0.000000001,H4374&lt;=01_因子設定!$M$8+0.000000001,IF(01_因子設定!$B$20="Box-Behnken",E4374^2+F4374^2+G4374^2+H4374^2&lt;=2+0.000000001,TRUE()))</f>
        <v>1</v>
      </c>
      <c r="AD4374" s="55" t="n">
        <f aca="false">IF(AC4374,IF(01_因子設定!$B$13="最大化",AA4374-01_因子設定!$B$14,IF(01_因子設定!$B$13="最小化",01_因子設定!$B$15-AB4374,MIN(AA4374-01_因子設定!$B$14,01_因子設定!$B$15-AB4374))),-1E+030)</f>
        <v>0.297648868085048</v>
      </c>
      <c r="AE4374" s="55" t="n">
        <f aca="false">IF(AC4374,IF(01_因子設定!$B$13="最大化",X4374,IF(01_因子設定!$B$13="最小化",-X4374,-ABS(X4374-01_因子設定!$B$16))),-1E+030)</f>
        <v>48.491995614035</v>
      </c>
      <c r="AF4374" s="55" t="n">
        <f aca="false">AD4374+ROW()*0.000000001</f>
        <v>0.297653242085048</v>
      </c>
      <c r="AG4374" s="55" t="n">
        <f aca="false">AE4374+ROW()*0.000000001</f>
        <v>48.491999988035</v>
      </c>
    </row>
    <row r="4375" customFormat="false" ht="15" hidden="false" customHeight="false" outlineLevel="0" collapsed="false">
      <c r="A4375" s="0" t="n">
        <v>5</v>
      </c>
      <c r="B4375" s="0" t="n">
        <v>8</v>
      </c>
      <c r="C4375" s="0" t="n">
        <v>8</v>
      </c>
      <c r="D4375" s="0" t="n">
        <v>5</v>
      </c>
      <c r="E4375" s="0" t="n">
        <f aca="false">-1+A4375*0.25</f>
        <v>0.25</v>
      </c>
      <c r="F4375" s="0" t="n">
        <f aca="false">-1+B4375*0.25</f>
        <v>1</v>
      </c>
      <c r="G4375" s="0" t="n">
        <f aca="false">-1+C4375*0.25</f>
        <v>1</v>
      </c>
      <c r="H4375" s="0" t="n">
        <f aca="false">-1+D4375*0.25</f>
        <v>0.25</v>
      </c>
      <c r="I4375" s="0" t="n">
        <f aca="false">1</f>
        <v>1</v>
      </c>
      <c r="J4375" s="0" t="n">
        <f aca="false">E4375</f>
        <v>0.25</v>
      </c>
      <c r="K4375" s="0" t="n">
        <f aca="false">F4375</f>
        <v>1</v>
      </c>
      <c r="L4375" s="0" t="n">
        <f aca="false">G4375</f>
        <v>1</v>
      </c>
      <c r="M4375" s="0" t="n">
        <f aca="false">H4375</f>
        <v>0.25</v>
      </c>
      <c r="N4375" s="0" t="n">
        <f aca="false">E4375*F4375</f>
        <v>0.25</v>
      </c>
      <c r="O4375" s="0" t="n">
        <f aca="false">E4375*G4375</f>
        <v>0.25</v>
      </c>
      <c r="P4375" s="0" t="n">
        <f aca="false">E4375*H4375</f>
        <v>0.0625</v>
      </c>
      <c r="Q4375" s="0" t="n">
        <f aca="false">F4375*G4375</f>
        <v>1</v>
      </c>
      <c r="R4375" s="0" t="n">
        <f aca="false">F4375*H4375</f>
        <v>0.25</v>
      </c>
      <c r="S4375" s="0" t="n">
        <f aca="false">G4375*H4375</f>
        <v>0.25</v>
      </c>
      <c r="T4375" s="0" t="n">
        <f aca="false">E4375*E4375</f>
        <v>0.0625</v>
      </c>
      <c r="U4375" s="0" t="n">
        <f aca="false">F4375*F4375</f>
        <v>1</v>
      </c>
      <c r="V4375" s="0" t="n">
        <f aca="false">G4375*G4375</f>
        <v>1</v>
      </c>
      <c r="W4375" s="0" t="n">
        <f aca="false">H4375*H4375</f>
        <v>0.0625</v>
      </c>
      <c r="X4375" s="0" t="n">
        <f aca="false">SUMPRODUCT(I4375:W4375,_XtX!$B$96:$P$96)</f>
        <v>48.596043494152</v>
      </c>
      <c r="Y4375" s="0" t="n">
        <f aca="false">SUMPRODUCT(MMULT(I4375:W4375,_XtX!$B$78:$P$92),I4375:W4375)</f>
        <v>0.670040376005117</v>
      </c>
      <c r="Z4375" s="0" t="n">
        <f aca="false">04_回帰ANOVA!$K$19*04_回帰ANOVA!$K$14*SQRT(1+Y4375)</f>
        <v>1.68446456039992</v>
      </c>
      <c r="AA4375" s="0" t="n">
        <f aca="false">X4375-Z4375</f>
        <v>46.9115789337521</v>
      </c>
      <c r="AB4375" s="0" t="n">
        <f aca="false">X4375+Z4375</f>
        <v>50.2805080545519</v>
      </c>
      <c r="AC4375" s="54" t="b">
        <f aca="false">AND(E4375&gt;=01_因子設定!$L$5-0.000000001,E4375&lt;=01_因子設定!$M$5+0.000000001,F4375&gt;=01_因子設定!$L$6-0.000000001,F4375&lt;=01_因子設定!$M$6+0.000000001,G4375&gt;=01_因子設定!$L$7-0.000000001,G4375&lt;=01_因子設定!$M$7+0.000000001,H4375&gt;=01_因子設定!$L$8-0.000000001,H4375&lt;=01_因子設定!$M$8+0.000000001,IF(01_因子設定!$B$20="Box-Behnken",E4375^2+F4375^2+G4375^2+H4375^2&lt;=2+0.000000001,TRUE()))</f>
        <v>1</v>
      </c>
      <c r="AD4375" s="55" t="n">
        <f aca="false">IF(AC4375,IF(01_因子設定!$B$13="最大化",AA4375-01_因子設定!$B$14,IF(01_因子設定!$B$13="最小化",01_因子設定!$B$15-AB4375,MIN(AA4375-01_因子設定!$B$14,01_因子設定!$B$15-AB4375))),-1E+030)</f>
        <v>0.411578933752075</v>
      </c>
      <c r="AE4375" s="55" t="n">
        <f aca="false">IF(AC4375,IF(01_因子設定!$B$13="最大化",X4375,IF(01_因子設定!$B$13="最小化",-X4375,-ABS(X4375-01_因子設定!$B$16))),-1E+030)</f>
        <v>48.596043494152</v>
      </c>
      <c r="AF4375" s="55" t="n">
        <f aca="false">AD4375+ROW()*0.000000001</f>
        <v>0.411583308752075</v>
      </c>
      <c r="AG4375" s="55" t="n">
        <f aca="false">AE4375+ROW()*0.000000001</f>
        <v>48.596047869152</v>
      </c>
    </row>
    <row r="4376" customFormat="false" ht="15" hidden="false" customHeight="false" outlineLevel="0" collapsed="false">
      <c r="A4376" s="0" t="n">
        <v>5</v>
      </c>
      <c r="B4376" s="0" t="n">
        <v>8</v>
      </c>
      <c r="C4376" s="0" t="n">
        <v>8</v>
      </c>
      <c r="D4376" s="0" t="n">
        <v>6</v>
      </c>
      <c r="E4376" s="0" t="n">
        <f aca="false">-1+A4376*0.25</f>
        <v>0.25</v>
      </c>
      <c r="F4376" s="0" t="n">
        <f aca="false">-1+B4376*0.25</f>
        <v>1</v>
      </c>
      <c r="G4376" s="0" t="n">
        <f aca="false">-1+C4376*0.25</f>
        <v>1</v>
      </c>
      <c r="H4376" s="0" t="n">
        <f aca="false">-1+D4376*0.25</f>
        <v>0.5</v>
      </c>
      <c r="I4376" s="0" t="n">
        <f aca="false">1</f>
        <v>1</v>
      </c>
      <c r="J4376" s="0" t="n">
        <f aca="false">E4376</f>
        <v>0.25</v>
      </c>
      <c r="K4376" s="0" t="n">
        <f aca="false">F4376</f>
        <v>1</v>
      </c>
      <c r="L4376" s="0" t="n">
        <f aca="false">G4376</f>
        <v>1</v>
      </c>
      <c r="M4376" s="0" t="n">
        <f aca="false">H4376</f>
        <v>0.5</v>
      </c>
      <c r="N4376" s="0" t="n">
        <f aca="false">E4376*F4376</f>
        <v>0.25</v>
      </c>
      <c r="O4376" s="0" t="n">
        <f aca="false">E4376*G4376</f>
        <v>0.25</v>
      </c>
      <c r="P4376" s="0" t="n">
        <f aca="false">E4376*H4376</f>
        <v>0.125</v>
      </c>
      <c r="Q4376" s="0" t="n">
        <f aca="false">F4376*G4376</f>
        <v>1</v>
      </c>
      <c r="R4376" s="0" t="n">
        <f aca="false">F4376*H4376</f>
        <v>0.5</v>
      </c>
      <c r="S4376" s="0" t="n">
        <f aca="false">G4376*H4376</f>
        <v>0.5</v>
      </c>
      <c r="T4376" s="0" t="n">
        <f aca="false">E4376*E4376</f>
        <v>0.0625</v>
      </c>
      <c r="U4376" s="0" t="n">
        <f aca="false">F4376*F4376</f>
        <v>1</v>
      </c>
      <c r="V4376" s="0" t="n">
        <f aca="false">G4376*G4376</f>
        <v>1</v>
      </c>
      <c r="W4376" s="0" t="n">
        <f aca="false">H4376*H4376</f>
        <v>0.25</v>
      </c>
      <c r="X4376" s="0" t="n">
        <f aca="false">SUMPRODUCT(I4376:W4376,_XtX!$B$96:$P$96)</f>
        <v>48.6522843567251</v>
      </c>
      <c r="Y4376" s="0" t="n">
        <f aca="false">SUMPRODUCT(MMULT(I4376:W4376,_XtX!$B$78:$P$92),I4376:W4376)</f>
        <v>0.629174661915205</v>
      </c>
      <c r="Z4376" s="0" t="n">
        <f aca="false">04_回帰ANOVA!$K$19*04_回帰ANOVA!$K$14*SQRT(1+Y4376)</f>
        <v>1.66372758058297</v>
      </c>
      <c r="AA4376" s="0" t="n">
        <f aca="false">X4376-Z4376</f>
        <v>46.9885567761421</v>
      </c>
      <c r="AB4376" s="0" t="n">
        <f aca="false">X4376+Z4376</f>
        <v>50.3160119373081</v>
      </c>
      <c r="AC4376" s="54" t="b">
        <f aca="false">AND(E4376&gt;=01_因子設定!$L$5-0.000000001,E4376&lt;=01_因子設定!$M$5+0.000000001,F4376&gt;=01_因子設定!$L$6-0.000000001,F4376&lt;=01_因子設定!$M$6+0.000000001,G4376&gt;=01_因子設定!$L$7-0.000000001,G4376&lt;=01_因子設定!$M$7+0.000000001,H4376&gt;=01_因子設定!$L$8-0.000000001,H4376&lt;=01_因子設定!$M$8+0.000000001,IF(01_因子設定!$B$20="Box-Behnken",E4376^2+F4376^2+G4376^2+H4376^2&lt;=2+0.000000001,TRUE()))</f>
        <v>1</v>
      </c>
      <c r="AD4376" s="55" t="n">
        <f aca="false">IF(AC4376,IF(01_因子設定!$B$13="最大化",AA4376-01_因子設定!$B$14,IF(01_因子設定!$B$13="最小化",01_因子設定!$B$15-AB4376,MIN(AA4376-01_因子設定!$B$14,01_因子設定!$B$15-AB4376))),-1E+030)</f>
        <v>0.488556776142126</v>
      </c>
      <c r="AE4376" s="55" t="n">
        <f aca="false">IF(AC4376,IF(01_因子設定!$B$13="最大化",X4376,IF(01_因子設定!$B$13="最小化",-X4376,-ABS(X4376-01_因子設定!$B$16))),-1E+030)</f>
        <v>48.6522843567251</v>
      </c>
      <c r="AF4376" s="55" t="n">
        <f aca="false">AD4376+ROW()*0.000000001</f>
        <v>0.488561152142126</v>
      </c>
      <c r="AG4376" s="55" t="n">
        <f aca="false">AE4376+ROW()*0.000000001</f>
        <v>48.6522887327251</v>
      </c>
    </row>
    <row r="4377" customFormat="false" ht="15" hidden="false" customHeight="false" outlineLevel="0" collapsed="false">
      <c r="A4377" s="0" t="n">
        <v>5</v>
      </c>
      <c r="B4377" s="0" t="n">
        <v>8</v>
      </c>
      <c r="C4377" s="0" t="n">
        <v>8</v>
      </c>
      <c r="D4377" s="0" t="n">
        <v>7</v>
      </c>
      <c r="E4377" s="0" t="n">
        <f aca="false">-1+A4377*0.25</f>
        <v>0.25</v>
      </c>
      <c r="F4377" s="0" t="n">
        <f aca="false">-1+B4377*0.25</f>
        <v>1</v>
      </c>
      <c r="G4377" s="0" t="n">
        <f aca="false">-1+C4377*0.25</f>
        <v>1</v>
      </c>
      <c r="H4377" s="0" t="n">
        <f aca="false">-1+D4377*0.25</f>
        <v>0.75</v>
      </c>
      <c r="I4377" s="0" t="n">
        <f aca="false">1</f>
        <v>1</v>
      </c>
      <c r="J4377" s="0" t="n">
        <f aca="false">E4377</f>
        <v>0.25</v>
      </c>
      <c r="K4377" s="0" t="n">
        <f aca="false">F4377</f>
        <v>1</v>
      </c>
      <c r="L4377" s="0" t="n">
        <f aca="false">G4377</f>
        <v>1</v>
      </c>
      <c r="M4377" s="0" t="n">
        <f aca="false">H4377</f>
        <v>0.75</v>
      </c>
      <c r="N4377" s="0" t="n">
        <f aca="false">E4377*F4377</f>
        <v>0.25</v>
      </c>
      <c r="O4377" s="0" t="n">
        <f aca="false">E4377*G4377</f>
        <v>0.25</v>
      </c>
      <c r="P4377" s="0" t="n">
        <f aca="false">E4377*H4377</f>
        <v>0.1875</v>
      </c>
      <c r="Q4377" s="0" t="n">
        <f aca="false">F4377*G4377</f>
        <v>1</v>
      </c>
      <c r="R4377" s="0" t="n">
        <f aca="false">F4377*H4377</f>
        <v>0.75</v>
      </c>
      <c r="S4377" s="0" t="n">
        <f aca="false">G4377*H4377</f>
        <v>0.75</v>
      </c>
      <c r="T4377" s="0" t="n">
        <f aca="false">E4377*E4377</f>
        <v>0.0625</v>
      </c>
      <c r="U4377" s="0" t="n">
        <f aca="false">F4377*F4377</f>
        <v>1</v>
      </c>
      <c r="V4377" s="0" t="n">
        <f aca="false">G4377*G4377</f>
        <v>1</v>
      </c>
      <c r="W4377" s="0" t="n">
        <f aca="false">H4377*H4377</f>
        <v>0.5625</v>
      </c>
      <c r="X4377" s="0" t="n">
        <f aca="false">SUMPRODUCT(I4377:W4377,_XtX!$B$96:$P$96)</f>
        <v>48.6607182017544</v>
      </c>
      <c r="Y4377" s="0" t="n">
        <f aca="false">SUMPRODUCT(MMULT(I4377:W4377,_XtX!$B$78:$P$92),I4377:W4377)</f>
        <v>0.621372155975877</v>
      </c>
      <c r="Z4377" s="0" t="n">
        <f aca="false">04_回帰ANOVA!$K$19*04_回帰ANOVA!$K$14*SQRT(1+Y4377)</f>
        <v>1.65973880499872</v>
      </c>
      <c r="AA4377" s="0" t="n">
        <f aca="false">X4377-Z4377</f>
        <v>47.0009793967556</v>
      </c>
      <c r="AB4377" s="0" t="n">
        <f aca="false">X4377+Z4377</f>
        <v>50.3204570067531</v>
      </c>
      <c r="AC4377" s="54" t="b">
        <f aca="false">AND(E4377&gt;=01_因子設定!$L$5-0.000000001,E4377&lt;=01_因子設定!$M$5+0.000000001,F4377&gt;=01_因子設定!$L$6-0.000000001,F4377&lt;=01_因子設定!$M$6+0.000000001,G4377&gt;=01_因子設定!$L$7-0.000000001,G4377&lt;=01_因子設定!$M$7+0.000000001,H4377&gt;=01_因子設定!$L$8-0.000000001,H4377&lt;=01_因子設定!$M$8+0.000000001,IF(01_因子設定!$B$20="Box-Behnken",E4377^2+F4377^2+G4377^2+H4377^2&lt;=2+0.000000001,TRUE()))</f>
        <v>1</v>
      </c>
      <c r="AD4377" s="55" t="n">
        <f aca="false">IF(AC4377,IF(01_因子設定!$B$13="最大化",AA4377-01_因子設定!$B$14,IF(01_因子設定!$B$13="最小化",01_因子設定!$B$15-AB4377,MIN(AA4377-01_因子設定!$B$14,01_因子設定!$B$15-AB4377))),-1E+030)</f>
        <v>0.500979396755632</v>
      </c>
      <c r="AE4377" s="55" t="n">
        <f aca="false">IF(AC4377,IF(01_因子設定!$B$13="最大化",X4377,IF(01_因子設定!$B$13="最小化",-X4377,-ABS(X4377-01_因子設定!$B$16))),-1E+030)</f>
        <v>48.6607182017544</v>
      </c>
      <c r="AF4377" s="55" t="n">
        <f aca="false">AD4377+ROW()*0.000000001</f>
        <v>0.500983773755632</v>
      </c>
      <c r="AG4377" s="55" t="n">
        <f aca="false">AE4377+ROW()*0.000000001</f>
        <v>48.6607225787544</v>
      </c>
    </row>
    <row r="4378" customFormat="false" ht="15" hidden="false" customHeight="false" outlineLevel="0" collapsed="false">
      <c r="A4378" s="0" t="n">
        <v>5</v>
      </c>
      <c r="B4378" s="0" t="n">
        <v>8</v>
      </c>
      <c r="C4378" s="0" t="n">
        <v>8</v>
      </c>
      <c r="D4378" s="0" t="n">
        <v>8</v>
      </c>
      <c r="E4378" s="0" t="n">
        <f aca="false">-1+A4378*0.25</f>
        <v>0.25</v>
      </c>
      <c r="F4378" s="0" t="n">
        <f aca="false">-1+B4378*0.25</f>
        <v>1</v>
      </c>
      <c r="G4378" s="0" t="n">
        <f aca="false">-1+C4378*0.25</f>
        <v>1</v>
      </c>
      <c r="H4378" s="0" t="n">
        <f aca="false">-1+D4378*0.25</f>
        <v>1</v>
      </c>
      <c r="I4378" s="0" t="n">
        <f aca="false">1</f>
        <v>1</v>
      </c>
      <c r="J4378" s="0" t="n">
        <f aca="false">E4378</f>
        <v>0.25</v>
      </c>
      <c r="K4378" s="0" t="n">
        <f aca="false">F4378</f>
        <v>1</v>
      </c>
      <c r="L4378" s="0" t="n">
        <f aca="false">G4378</f>
        <v>1</v>
      </c>
      <c r="M4378" s="0" t="n">
        <f aca="false">H4378</f>
        <v>1</v>
      </c>
      <c r="N4378" s="0" t="n">
        <f aca="false">E4378*F4378</f>
        <v>0.25</v>
      </c>
      <c r="O4378" s="0" t="n">
        <f aca="false">E4378*G4378</f>
        <v>0.25</v>
      </c>
      <c r="P4378" s="0" t="n">
        <f aca="false">E4378*H4378</f>
        <v>0.25</v>
      </c>
      <c r="Q4378" s="0" t="n">
        <f aca="false">F4378*G4378</f>
        <v>1</v>
      </c>
      <c r="R4378" s="0" t="n">
        <f aca="false">F4378*H4378</f>
        <v>1</v>
      </c>
      <c r="S4378" s="0" t="n">
        <f aca="false">G4378*H4378</f>
        <v>1</v>
      </c>
      <c r="T4378" s="0" t="n">
        <f aca="false">E4378*E4378</f>
        <v>0.0625</v>
      </c>
      <c r="U4378" s="0" t="n">
        <f aca="false">F4378*F4378</f>
        <v>1</v>
      </c>
      <c r="V4378" s="0" t="n">
        <f aca="false">G4378*G4378</f>
        <v>1</v>
      </c>
      <c r="W4378" s="0" t="n">
        <f aca="false">H4378*H4378</f>
        <v>1</v>
      </c>
      <c r="X4378" s="0" t="n">
        <f aca="false">SUMPRODUCT(I4378:W4378,_XtX!$B$96:$P$96)</f>
        <v>48.6213450292398</v>
      </c>
      <c r="Y4378" s="0" t="n">
        <f aca="false">SUMPRODUCT(MMULT(I4378:W4378,_XtX!$B$78:$P$92),I4378:W4378)</f>
        <v>0.737093384502924</v>
      </c>
      <c r="Z4378" s="0" t="n">
        <f aca="false">04_回帰ANOVA!$K$19*04_回帰ANOVA!$K$14*SQRT(1+Y4378)</f>
        <v>1.71794784853551</v>
      </c>
      <c r="AA4378" s="0" t="n">
        <f aca="false">X4378-Z4378</f>
        <v>46.9033971807042</v>
      </c>
      <c r="AB4378" s="0" t="n">
        <f aca="false">X4378+Z4378</f>
        <v>50.3392928777753</v>
      </c>
      <c r="AC4378" s="54" t="b">
        <f aca="false">AND(E4378&gt;=01_因子設定!$L$5-0.000000001,E4378&lt;=01_因子設定!$M$5+0.000000001,F4378&gt;=01_因子設定!$L$6-0.000000001,F4378&lt;=01_因子設定!$M$6+0.000000001,G4378&gt;=01_因子設定!$L$7-0.000000001,G4378&lt;=01_因子設定!$M$7+0.000000001,H4378&gt;=01_因子設定!$L$8-0.000000001,H4378&lt;=01_因子設定!$M$8+0.000000001,IF(01_因子設定!$B$20="Box-Behnken",E4378^2+F4378^2+G4378^2+H4378^2&lt;=2+0.000000001,TRUE()))</f>
        <v>1</v>
      </c>
      <c r="AD4378" s="55" t="n">
        <f aca="false">IF(AC4378,IF(01_因子設定!$B$13="最大化",AA4378-01_因子設定!$B$14,IF(01_因子設定!$B$13="最小化",01_因子設定!$B$15-AB4378,MIN(AA4378-01_因子設定!$B$14,01_因子設定!$B$15-AB4378))),-1E+030)</f>
        <v>0.403397180704246</v>
      </c>
      <c r="AE4378" s="55" t="n">
        <f aca="false">IF(AC4378,IF(01_因子設定!$B$13="最大化",X4378,IF(01_因子設定!$B$13="最小化",-X4378,-ABS(X4378-01_因子設定!$B$16))),-1E+030)</f>
        <v>48.6213450292398</v>
      </c>
      <c r="AF4378" s="55" t="n">
        <f aca="false">AD4378+ROW()*0.000000001</f>
        <v>0.403401558704246</v>
      </c>
      <c r="AG4378" s="55" t="n">
        <f aca="false">AE4378+ROW()*0.000000001</f>
        <v>48.6213494072398</v>
      </c>
    </row>
    <row r="4379" customFormat="false" ht="15" hidden="false" customHeight="false" outlineLevel="0" collapsed="false">
      <c r="A4379" s="0" t="n">
        <v>6</v>
      </c>
      <c r="B4379" s="0" t="n">
        <v>0</v>
      </c>
      <c r="C4379" s="0" t="n">
        <v>0</v>
      </c>
      <c r="D4379" s="0" t="n">
        <v>0</v>
      </c>
      <c r="E4379" s="0" t="n">
        <f aca="false">-1+A4379*0.25</f>
        <v>0.5</v>
      </c>
      <c r="F4379" s="0" t="n">
        <f aca="false">-1+B4379*0.25</f>
        <v>-1</v>
      </c>
      <c r="G4379" s="0" t="n">
        <f aca="false">-1+C4379*0.25</f>
        <v>-1</v>
      </c>
      <c r="H4379" s="0" t="n">
        <f aca="false">-1+D4379*0.25</f>
        <v>-1</v>
      </c>
      <c r="I4379" s="0" t="n">
        <f aca="false">1</f>
        <v>1</v>
      </c>
      <c r="J4379" s="0" t="n">
        <f aca="false">E4379</f>
        <v>0.5</v>
      </c>
      <c r="K4379" s="0" t="n">
        <f aca="false">F4379</f>
        <v>-1</v>
      </c>
      <c r="L4379" s="0" t="n">
        <f aca="false">G4379</f>
        <v>-1</v>
      </c>
      <c r="M4379" s="0" t="n">
        <f aca="false">H4379</f>
        <v>-1</v>
      </c>
      <c r="N4379" s="0" t="n">
        <f aca="false">E4379*F4379</f>
        <v>-0.5</v>
      </c>
      <c r="O4379" s="0" t="n">
        <f aca="false">E4379*G4379</f>
        <v>-0.5</v>
      </c>
      <c r="P4379" s="0" t="n">
        <f aca="false">E4379*H4379</f>
        <v>-0.5</v>
      </c>
      <c r="Q4379" s="0" t="n">
        <f aca="false">F4379*G4379</f>
        <v>1</v>
      </c>
      <c r="R4379" s="0" t="n">
        <f aca="false">F4379*H4379</f>
        <v>1</v>
      </c>
      <c r="S4379" s="0" t="n">
        <f aca="false">G4379*H4379</f>
        <v>1</v>
      </c>
      <c r="T4379" s="0" t="n">
        <f aca="false">E4379*E4379</f>
        <v>0.25</v>
      </c>
      <c r="U4379" s="0" t="n">
        <f aca="false">F4379*F4379</f>
        <v>1</v>
      </c>
      <c r="V4379" s="0" t="n">
        <f aca="false">G4379*G4379</f>
        <v>1</v>
      </c>
      <c r="W4379" s="0" t="n">
        <f aca="false">H4379*H4379</f>
        <v>1</v>
      </c>
      <c r="X4379" s="0" t="n">
        <f aca="false">SUMPRODUCT(I4379:W4379,_XtX!$B$96:$P$96)</f>
        <v>41.2218567251462</v>
      </c>
      <c r="Y4379" s="0" t="n">
        <f aca="false">SUMPRODUCT(MMULT(I4379:W4379,_XtX!$B$78:$P$92),I4379:W4379)</f>
        <v>0.667123538011696</v>
      </c>
      <c r="Z4379" s="0" t="n">
        <f aca="false">04_回帰ANOVA!$K$19*04_回帰ANOVA!$K$14*SQRT(1+Y4379)</f>
        <v>1.68299290213005</v>
      </c>
      <c r="AA4379" s="0" t="n">
        <f aca="false">X4379-Z4379</f>
        <v>39.5388638230161</v>
      </c>
      <c r="AB4379" s="0" t="n">
        <f aca="false">X4379+Z4379</f>
        <v>42.9048496272763</v>
      </c>
      <c r="AC4379" s="54" t="b">
        <f aca="false">AND(E4379&gt;=01_因子設定!$L$5-0.000000001,E4379&lt;=01_因子設定!$M$5+0.000000001,F4379&gt;=01_因子設定!$L$6-0.000000001,F4379&lt;=01_因子設定!$M$6+0.000000001,G4379&gt;=01_因子設定!$L$7-0.000000001,G4379&lt;=01_因子設定!$M$7+0.000000001,H4379&gt;=01_因子設定!$L$8-0.000000001,H4379&lt;=01_因子設定!$M$8+0.000000001,IF(01_因子設定!$B$20="Box-Behnken",E4379^2+F4379^2+G4379^2+H4379^2&lt;=2+0.000000001,TRUE()))</f>
        <v>1</v>
      </c>
      <c r="AD4379" s="55" t="n">
        <f aca="false">IF(AC4379,IF(01_因子設定!$B$13="最大化",AA4379-01_因子設定!$B$14,IF(01_因子設定!$B$13="最小化",01_因子設定!$B$15-AB4379,MIN(AA4379-01_因子設定!$B$14,01_因子設定!$B$15-AB4379))),-1E+030)</f>
        <v>-6.96113617698386</v>
      </c>
      <c r="AE4379" s="55" t="n">
        <f aca="false">IF(AC4379,IF(01_因子設定!$B$13="最大化",X4379,IF(01_因子設定!$B$13="最小化",-X4379,-ABS(X4379-01_因子設定!$B$16))),-1E+030)</f>
        <v>41.2218567251462</v>
      </c>
      <c r="AF4379" s="55" t="n">
        <f aca="false">AD4379+ROW()*0.000000001</f>
        <v>-6.96113179798386</v>
      </c>
      <c r="AG4379" s="55" t="n">
        <f aca="false">AE4379+ROW()*0.000000001</f>
        <v>41.2218611041462</v>
      </c>
    </row>
    <row r="4380" customFormat="false" ht="15" hidden="false" customHeight="false" outlineLevel="0" collapsed="false">
      <c r="A4380" s="0" t="n">
        <v>6</v>
      </c>
      <c r="B4380" s="0" t="n">
        <v>0</v>
      </c>
      <c r="C4380" s="0" t="n">
        <v>0</v>
      </c>
      <c r="D4380" s="0" t="n">
        <v>1</v>
      </c>
      <c r="E4380" s="0" t="n">
        <f aca="false">-1+A4380*0.25</f>
        <v>0.5</v>
      </c>
      <c r="F4380" s="0" t="n">
        <f aca="false">-1+B4380*0.25</f>
        <v>-1</v>
      </c>
      <c r="G4380" s="0" t="n">
        <f aca="false">-1+C4380*0.25</f>
        <v>-1</v>
      </c>
      <c r="H4380" s="0" t="n">
        <f aca="false">-1+D4380*0.25</f>
        <v>-0.75</v>
      </c>
      <c r="I4380" s="0" t="n">
        <f aca="false">1</f>
        <v>1</v>
      </c>
      <c r="J4380" s="0" t="n">
        <f aca="false">E4380</f>
        <v>0.5</v>
      </c>
      <c r="K4380" s="0" t="n">
        <f aca="false">F4380</f>
        <v>-1</v>
      </c>
      <c r="L4380" s="0" t="n">
        <f aca="false">G4380</f>
        <v>-1</v>
      </c>
      <c r="M4380" s="0" t="n">
        <f aca="false">H4380</f>
        <v>-0.75</v>
      </c>
      <c r="N4380" s="0" t="n">
        <f aca="false">E4380*F4380</f>
        <v>-0.5</v>
      </c>
      <c r="O4380" s="0" t="n">
        <f aca="false">E4380*G4380</f>
        <v>-0.5</v>
      </c>
      <c r="P4380" s="0" t="n">
        <f aca="false">E4380*H4380</f>
        <v>-0.375</v>
      </c>
      <c r="Q4380" s="0" t="n">
        <f aca="false">F4380*G4380</f>
        <v>1</v>
      </c>
      <c r="R4380" s="0" t="n">
        <f aca="false">F4380*H4380</f>
        <v>0.75</v>
      </c>
      <c r="S4380" s="0" t="n">
        <f aca="false">G4380*H4380</f>
        <v>0.75</v>
      </c>
      <c r="T4380" s="0" t="n">
        <f aca="false">E4380*E4380</f>
        <v>0.25</v>
      </c>
      <c r="U4380" s="0" t="n">
        <f aca="false">F4380*F4380</f>
        <v>1</v>
      </c>
      <c r="V4380" s="0" t="n">
        <f aca="false">G4380*G4380</f>
        <v>1</v>
      </c>
      <c r="W4380" s="0" t="n">
        <f aca="false">H4380*H4380</f>
        <v>0.5625</v>
      </c>
      <c r="X4380" s="0" t="n">
        <f aca="false">SUMPRODUCT(I4380:W4380,_XtX!$B$96:$P$96)</f>
        <v>41.4874451754386</v>
      </c>
      <c r="Y4380" s="0" t="n">
        <f aca="false">SUMPRODUCT(MMULT(I4380:W4380,_XtX!$B$78:$P$92),I4380:W4380)</f>
        <v>0.564984237938597</v>
      </c>
      <c r="Z4380" s="0" t="n">
        <f aca="false">04_回帰ANOVA!$K$19*04_回帰ANOVA!$K$14*SQRT(1+Y4380)</f>
        <v>1.63062229734503</v>
      </c>
      <c r="AA4380" s="0" t="n">
        <f aca="false">X4380-Z4380</f>
        <v>39.8568228780935</v>
      </c>
      <c r="AB4380" s="0" t="n">
        <f aca="false">X4380+Z4380</f>
        <v>43.1180674727836</v>
      </c>
      <c r="AC4380" s="54" t="b">
        <f aca="false">AND(E4380&gt;=01_因子設定!$L$5-0.000000001,E4380&lt;=01_因子設定!$M$5+0.000000001,F4380&gt;=01_因子設定!$L$6-0.000000001,F4380&lt;=01_因子設定!$M$6+0.000000001,G4380&gt;=01_因子設定!$L$7-0.000000001,G4380&lt;=01_因子設定!$M$7+0.000000001,H4380&gt;=01_因子設定!$L$8-0.000000001,H4380&lt;=01_因子設定!$M$8+0.000000001,IF(01_因子設定!$B$20="Box-Behnken",E4380^2+F4380^2+G4380^2+H4380^2&lt;=2+0.000000001,TRUE()))</f>
        <v>1</v>
      </c>
      <c r="AD4380" s="55" t="n">
        <f aca="false">IF(AC4380,IF(01_因子設定!$B$13="最大化",AA4380-01_因子設定!$B$14,IF(01_因子設定!$B$13="最小化",01_因子設定!$B$15-AB4380,MIN(AA4380-01_因子設定!$B$14,01_因子設定!$B$15-AB4380))),-1E+030)</f>
        <v>-6.64317712190645</v>
      </c>
      <c r="AE4380" s="55" t="n">
        <f aca="false">IF(AC4380,IF(01_因子設定!$B$13="最大化",X4380,IF(01_因子設定!$B$13="最小化",-X4380,-ABS(X4380-01_因子設定!$B$16))),-1E+030)</f>
        <v>41.4874451754386</v>
      </c>
      <c r="AF4380" s="55" t="n">
        <f aca="false">AD4380+ROW()*0.000000001</f>
        <v>-6.64317274190645</v>
      </c>
      <c r="AG4380" s="55" t="n">
        <f aca="false">AE4380+ROW()*0.000000001</f>
        <v>41.4874495554386</v>
      </c>
    </row>
    <row r="4381" customFormat="false" ht="15" hidden="false" customHeight="false" outlineLevel="0" collapsed="false">
      <c r="A4381" s="0" t="n">
        <v>6</v>
      </c>
      <c r="B4381" s="0" t="n">
        <v>0</v>
      </c>
      <c r="C4381" s="0" t="n">
        <v>0</v>
      </c>
      <c r="D4381" s="0" t="n">
        <v>2</v>
      </c>
      <c r="E4381" s="0" t="n">
        <f aca="false">-1+A4381*0.25</f>
        <v>0.5</v>
      </c>
      <c r="F4381" s="0" t="n">
        <f aca="false">-1+B4381*0.25</f>
        <v>-1</v>
      </c>
      <c r="G4381" s="0" t="n">
        <f aca="false">-1+C4381*0.25</f>
        <v>-1</v>
      </c>
      <c r="H4381" s="0" t="n">
        <f aca="false">-1+D4381*0.25</f>
        <v>-0.5</v>
      </c>
      <c r="I4381" s="0" t="n">
        <f aca="false">1</f>
        <v>1</v>
      </c>
      <c r="J4381" s="0" t="n">
        <f aca="false">E4381</f>
        <v>0.5</v>
      </c>
      <c r="K4381" s="0" t="n">
        <f aca="false">F4381</f>
        <v>-1</v>
      </c>
      <c r="L4381" s="0" t="n">
        <f aca="false">G4381</f>
        <v>-1</v>
      </c>
      <c r="M4381" s="0" t="n">
        <f aca="false">H4381</f>
        <v>-0.5</v>
      </c>
      <c r="N4381" s="0" t="n">
        <f aca="false">E4381*F4381</f>
        <v>-0.5</v>
      </c>
      <c r="O4381" s="0" t="n">
        <f aca="false">E4381*G4381</f>
        <v>-0.5</v>
      </c>
      <c r="P4381" s="0" t="n">
        <f aca="false">E4381*H4381</f>
        <v>-0.25</v>
      </c>
      <c r="Q4381" s="0" t="n">
        <f aca="false">F4381*G4381</f>
        <v>1</v>
      </c>
      <c r="R4381" s="0" t="n">
        <f aca="false">F4381*H4381</f>
        <v>0.5</v>
      </c>
      <c r="S4381" s="0" t="n">
        <f aca="false">G4381*H4381</f>
        <v>0.5</v>
      </c>
      <c r="T4381" s="0" t="n">
        <f aca="false">E4381*E4381</f>
        <v>0.25</v>
      </c>
      <c r="U4381" s="0" t="n">
        <f aca="false">F4381*F4381</f>
        <v>1</v>
      </c>
      <c r="V4381" s="0" t="n">
        <f aca="false">G4381*G4381</f>
        <v>1</v>
      </c>
      <c r="W4381" s="0" t="n">
        <f aca="false">H4381*H4381</f>
        <v>0.25</v>
      </c>
      <c r="X4381" s="0" t="n">
        <f aca="false">SUMPRODUCT(I4381:W4381,_XtX!$B$96:$P$96)</f>
        <v>41.7052266081871</v>
      </c>
      <c r="Y4381" s="0" t="n">
        <f aca="false">SUMPRODUCT(MMULT(I4381:W4381,_XtX!$B$78:$P$92),I4381:W4381)</f>
        <v>0.582488121345029</v>
      </c>
      <c r="Z4381" s="0" t="n">
        <f aca="false">04_回帰ANOVA!$K$19*04_回帰ANOVA!$K$14*SQRT(1+Y4381)</f>
        <v>1.63971595338287</v>
      </c>
      <c r="AA4381" s="0" t="n">
        <f aca="false">X4381-Z4381</f>
        <v>40.0655106548042</v>
      </c>
      <c r="AB4381" s="0" t="n">
        <f aca="false">X4381+Z4381</f>
        <v>43.34494256157</v>
      </c>
      <c r="AC4381" s="54" t="b">
        <f aca="false">AND(E4381&gt;=01_因子設定!$L$5-0.000000001,E4381&lt;=01_因子設定!$M$5+0.000000001,F4381&gt;=01_因子設定!$L$6-0.000000001,F4381&lt;=01_因子設定!$M$6+0.000000001,G4381&gt;=01_因子設定!$L$7-0.000000001,G4381&lt;=01_因子設定!$M$7+0.000000001,H4381&gt;=01_因子設定!$L$8-0.000000001,H4381&lt;=01_因子設定!$M$8+0.000000001,IF(01_因子設定!$B$20="Box-Behnken",E4381^2+F4381^2+G4381^2+H4381^2&lt;=2+0.000000001,TRUE()))</f>
        <v>1</v>
      </c>
      <c r="AD4381" s="55" t="n">
        <f aca="false">IF(AC4381,IF(01_因子設定!$B$13="最大化",AA4381-01_因子設定!$B$14,IF(01_因子設定!$B$13="最小化",01_因子設定!$B$15-AB4381,MIN(AA4381-01_因子設定!$B$14,01_因子設定!$B$15-AB4381))),-1E+030)</f>
        <v>-6.43448934519576</v>
      </c>
      <c r="AE4381" s="55" t="n">
        <f aca="false">IF(AC4381,IF(01_因子設定!$B$13="最大化",X4381,IF(01_因子設定!$B$13="最小化",-X4381,-ABS(X4381-01_因子設定!$B$16))),-1E+030)</f>
        <v>41.7052266081871</v>
      </c>
      <c r="AF4381" s="55" t="n">
        <f aca="false">AD4381+ROW()*0.000000001</f>
        <v>-6.43448496419576</v>
      </c>
      <c r="AG4381" s="55" t="n">
        <f aca="false">AE4381+ROW()*0.000000001</f>
        <v>41.7052309891871</v>
      </c>
    </row>
    <row r="4382" customFormat="false" ht="15" hidden="false" customHeight="false" outlineLevel="0" collapsed="false">
      <c r="A4382" s="0" t="n">
        <v>6</v>
      </c>
      <c r="B4382" s="0" t="n">
        <v>0</v>
      </c>
      <c r="C4382" s="0" t="n">
        <v>0</v>
      </c>
      <c r="D4382" s="0" t="n">
        <v>3</v>
      </c>
      <c r="E4382" s="0" t="n">
        <f aca="false">-1+A4382*0.25</f>
        <v>0.5</v>
      </c>
      <c r="F4382" s="0" t="n">
        <f aca="false">-1+B4382*0.25</f>
        <v>-1</v>
      </c>
      <c r="G4382" s="0" t="n">
        <f aca="false">-1+C4382*0.25</f>
        <v>-1</v>
      </c>
      <c r="H4382" s="0" t="n">
        <f aca="false">-1+D4382*0.25</f>
        <v>-0.25</v>
      </c>
      <c r="I4382" s="0" t="n">
        <f aca="false">1</f>
        <v>1</v>
      </c>
      <c r="J4382" s="0" t="n">
        <f aca="false">E4382</f>
        <v>0.5</v>
      </c>
      <c r="K4382" s="0" t="n">
        <f aca="false">F4382</f>
        <v>-1</v>
      </c>
      <c r="L4382" s="0" t="n">
        <f aca="false">G4382</f>
        <v>-1</v>
      </c>
      <c r="M4382" s="0" t="n">
        <f aca="false">H4382</f>
        <v>-0.25</v>
      </c>
      <c r="N4382" s="0" t="n">
        <f aca="false">E4382*F4382</f>
        <v>-0.5</v>
      </c>
      <c r="O4382" s="0" t="n">
        <f aca="false">E4382*G4382</f>
        <v>-0.5</v>
      </c>
      <c r="P4382" s="0" t="n">
        <f aca="false">E4382*H4382</f>
        <v>-0.125</v>
      </c>
      <c r="Q4382" s="0" t="n">
        <f aca="false">F4382*G4382</f>
        <v>1</v>
      </c>
      <c r="R4382" s="0" t="n">
        <f aca="false">F4382*H4382</f>
        <v>0.25</v>
      </c>
      <c r="S4382" s="0" t="n">
        <f aca="false">G4382*H4382</f>
        <v>0.25</v>
      </c>
      <c r="T4382" s="0" t="n">
        <f aca="false">E4382*E4382</f>
        <v>0.25</v>
      </c>
      <c r="U4382" s="0" t="n">
        <f aca="false">F4382*F4382</f>
        <v>1</v>
      </c>
      <c r="V4382" s="0" t="n">
        <f aca="false">G4382*G4382</f>
        <v>1</v>
      </c>
      <c r="W4382" s="0" t="n">
        <f aca="false">H4382*H4382</f>
        <v>0.0625</v>
      </c>
      <c r="X4382" s="0" t="n">
        <f aca="false">SUMPRODUCT(I4382:W4382,_XtX!$B$96:$P$96)</f>
        <v>41.8752010233918</v>
      </c>
      <c r="Y4382" s="0" t="n">
        <f aca="false">SUMPRODUCT(MMULT(I4382:W4382,_XtX!$B$78:$P$92),I4382:W4382)</f>
        <v>0.629174661915205</v>
      </c>
      <c r="Z4382" s="0" t="n">
        <f aca="false">04_回帰ANOVA!$K$19*04_回帰ANOVA!$K$14*SQRT(1+Y4382)</f>
        <v>1.66372758058297</v>
      </c>
      <c r="AA4382" s="0" t="n">
        <f aca="false">X4382-Z4382</f>
        <v>40.2114734428088</v>
      </c>
      <c r="AB4382" s="0" t="n">
        <f aca="false">X4382+Z4382</f>
        <v>43.5389286039747</v>
      </c>
      <c r="AC4382" s="54" t="b">
        <f aca="false">AND(E4382&gt;=01_因子設定!$L$5-0.000000001,E4382&lt;=01_因子設定!$M$5+0.000000001,F4382&gt;=01_因子設定!$L$6-0.000000001,F4382&lt;=01_因子設定!$M$6+0.000000001,G4382&gt;=01_因子設定!$L$7-0.000000001,G4382&lt;=01_因子設定!$M$7+0.000000001,H4382&gt;=01_因子設定!$L$8-0.000000001,H4382&lt;=01_因子設定!$M$8+0.000000001,IF(01_因子設定!$B$20="Box-Behnken",E4382^2+F4382^2+G4382^2+H4382^2&lt;=2+0.000000001,TRUE()))</f>
        <v>1</v>
      </c>
      <c r="AD4382" s="55" t="n">
        <f aca="false">IF(AC4382,IF(01_因子設定!$B$13="最大化",AA4382-01_因子設定!$B$14,IF(01_因子設定!$B$13="最小化",01_因子設定!$B$15-AB4382,MIN(AA4382-01_因子設定!$B$14,01_因子設定!$B$15-AB4382))),-1E+030)</f>
        <v>-6.2885265571912</v>
      </c>
      <c r="AE4382" s="55" t="n">
        <f aca="false">IF(AC4382,IF(01_因子設定!$B$13="最大化",X4382,IF(01_因子設定!$B$13="最小化",-X4382,-ABS(X4382-01_因子設定!$B$16))),-1E+030)</f>
        <v>41.8752010233918</v>
      </c>
      <c r="AF4382" s="55" t="n">
        <f aca="false">AD4382+ROW()*0.000000001</f>
        <v>-6.2885221751912</v>
      </c>
      <c r="AG4382" s="55" t="n">
        <f aca="false">AE4382+ROW()*0.000000001</f>
        <v>41.8752054053918</v>
      </c>
    </row>
    <row r="4383" customFormat="false" ht="15" hidden="false" customHeight="false" outlineLevel="0" collapsed="false">
      <c r="A4383" s="0" t="n">
        <v>6</v>
      </c>
      <c r="B4383" s="0" t="n">
        <v>0</v>
      </c>
      <c r="C4383" s="0" t="n">
        <v>0</v>
      </c>
      <c r="D4383" s="0" t="n">
        <v>4</v>
      </c>
      <c r="E4383" s="0" t="n">
        <f aca="false">-1+A4383*0.25</f>
        <v>0.5</v>
      </c>
      <c r="F4383" s="0" t="n">
        <f aca="false">-1+B4383*0.25</f>
        <v>-1</v>
      </c>
      <c r="G4383" s="0" t="n">
        <f aca="false">-1+C4383*0.25</f>
        <v>-1</v>
      </c>
      <c r="H4383" s="0" t="n">
        <f aca="false">-1+D4383*0.25</f>
        <v>0</v>
      </c>
      <c r="I4383" s="0" t="n">
        <f aca="false">1</f>
        <v>1</v>
      </c>
      <c r="J4383" s="0" t="n">
        <f aca="false">E4383</f>
        <v>0.5</v>
      </c>
      <c r="K4383" s="0" t="n">
        <f aca="false">F4383</f>
        <v>-1</v>
      </c>
      <c r="L4383" s="0" t="n">
        <f aca="false">G4383</f>
        <v>-1</v>
      </c>
      <c r="M4383" s="0" t="n">
        <f aca="false">H4383</f>
        <v>0</v>
      </c>
      <c r="N4383" s="0" t="n">
        <f aca="false">E4383*F4383</f>
        <v>-0.5</v>
      </c>
      <c r="O4383" s="0" t="n">
        <f aca="false">E4383*G4383</f>
        <v>-0.5</v>
      </c>
      <c r="P4383" s="0" t="n">
        <f aca="false">E4383*H4383</f>
        <v>0</v>
      </c>
      <c r="Q4383" s="0" t="n">
        <f aca="false">F4383*G4383</f>
        <v>1</v>
      </c>
      <c r="R4383" s="0" t="n">
        <f aca="false">F4383*H4383</f>
        <v>-0</v>
      </c>
      <c r="S4383" s="0" t="n">
        <f aca="false">G4383*H4383</f>
        <v>-0</v>
      </c>
      <c r="T4383" s="0" t="n">
        <f aca="false">E4383*E4383</f>
        <v>0.25</v>
      </c>
      <c r="U4383" s="0" t="n">
        <f aca="false">F4383*F4383</f>
        <v>1</v>
      </c>
      <c r="V4383" s="0" t="n">
        <f aca="false">G4383*G4383</f>
        <v>1</v>
      </c>
      <c r="W4383" s="0" t="n">
        <f aca="false">H4383*H4383</f>
        <v>0</v>
      </c>
      <c r="X4383" s="0" t="n">
        <f aca="false">SUMPRODUCT(I4383:W4383,_XtX!$B$96:$P$96)</f>
        <v>41.9973684210526</v>
      </c>
      <c r="Y4383" s="0" t="n">
        <f aca="false">SUMPRODUCT(MMULT(I4383:W4383,_XtX!$B$78:$P$92),I4383:W4383)</f>
        <v>0.650767543859649</v>
      </c>
      <c r="Z4383" s="0" t="n">
        <f aca="false">04_回帰ANOVA!$K$19*04_回帰ANOVA!$K$14*SQRT(1+Y4383)</f>
        <v>1.67471670935165</v>
      </c>
      <c r="AA4383" s="0" t="n">
        <f aca="false">X4383-Z4383</f>
        <v>40.3226517117009</v>
      </c>
      <c r="AB4383" s="0" t="n">
        <f aca="false">X4383+Z4383</f>
        <v>43.6720851304042</v>
      </c>
      <c r="AC4383" s="54" t="b">
        <f aca="false">AND(E4383&gt;=01_因子設定!$L$5-0.000000001,E4383&lt;=01_因子設定!$M$5+0.000000001,F4383&gt;=01_因子設定!$L$6-0.000000001,F4383&lt;=01_因子設定!$M$6+0.000000001,G4383&gt;=01_因子設定!$L$7-0.000000001,G4383&lt;=01_因子設定!$M$7+0.000000001,H4383&gt;=01_因子設定!$L$8-0.000000001,H4383&lt;=01_因子設定!$M$8+0.000000001,IF(01_因子設定!$B$20="Box-Behnken",E4383^2+F4383^2+G4383^2+H4383^2&lt;=2+0.000000001,TRUE()))</f>
        <v>1</v>
      </c>
      <c r="AD4383" s="55" t="n">
        <f aca="false">IF(AC4383,IF(01_因子設定!$B$13="最大化",AA4383-01_因子設定!$B$14,IF(01_因子設定!$B$13="最小化",01_因子設定!$B$15-AB4383,MIN(AA4383-01_因子設定!$B$14,01_因子設定!$B$15-AB4383))),-1E+030)</f>
        <v>-6.17734828829906</v>
      </c>
      <c r="AE4383" s="55" t="n">
        <f aca="false">IF(AC4383,IF(01_因子設定!$B$13="最大化",X4383,IF(01_因子設定!$B$13="最小化",-X4383,-ABS(X4383-01_因子設定!$B$16))),-1E+030)</f>
        <v>41.9973684210526</v>
      </c>
      <c r="AF4383" s="55" t="n">
        <f aca="false">AD4383+ROW()*0.000000001</f>
        <v>-6.17734390529906</v>
      </c>
      <c r="AG4383" s="55" t="n">
        <f aca="false">AE4383+ROW()*0.000000001</f>
        <v>41.9973728040526</v>
      </c>
    </row>
    <row r="4384" customFormat="false" ht="15" hidden="false" customHeight="false" outlineLevel="0" collapsed="false">
      <c r="A4384" s="0" t="n">
        <v>6</v>
      </c>
      <c r="B4384" s="0" t="n">
        <v>0</v>
      </c>
      <c r="C4384" s="0" t="n">
        <v>0</v>
      </c>
      <c r="D4384" s="0" t="n">
        <v>5</v>
      </c>
      <c r="E4384" s="0" t="n">
        <f aca="false">-1+A4384*0.25</f>
        <v>0.5</v>
      </c>
      <c r="F4384" s="0" t="n">
        <f aca="false">-1+B4384*0.25</f>
        <v>-1</v>
      </c>
      <c r="G4384" s="0" t="n">
        <f aca="false">-1+C4384*0.25</f>
        <v>-1</v>
      </c>
      <c r="H4384" s="0" t="n">
        <f aca="false">-1+D4384*0.25</f>
        <v>0.25</v>
      </c>
      <c r="I4384" s="0" t="n">
        <f aca="false">1</f>
        <v>1</v>
      </c>
      <c r="J4384" s="0" t="n">
        <f aca="false">E4384</f>
        <v>0.5</v>
      </c>
      <c r="K4384" s="0" t="n">
        <f aca="false">F4384</f>
        <v>-1</v>
      </c>
      <c r="L4384" s="0" t="n">
        <f aca="false">G4384</f>
        <v>-1</v>
      </c>
      <c r="M4384" s="0" t="n">
        <f aca="false">H4384</f>
        <v>0.25</v>
      </c>
      <c r="N4384" s="0" t="n">
        <f aca="false">E4384*F4384</f>
        <v>-0.5</v>
      </c>
      <c r="O4384" s="0" t="n">
        <f aca="false">E4384*G4384</f>
        <v>-0.5</v>
      </c>
      <c r="P4384" s="0" t="n">
        <f aca="false">E4384*H4384</f>
        <v>0.125</v>
      </c>
      <c r="Q4384" s="0" t="n">
        <f aca="false">F4384*G4384</f>
        <v>1</v>
      </c>
      <c r="R4384" s="0" t="n">
        <f aca="false">F4384*H4384</f>
        <v>-0.25</v>
      </c>
      <c r="S4384" s="0" t="n">
        <f aca="false">G4384*H4384</f>
        <v>-0.25</v>
      </c>
      <c r="T4384" s="0" t="n">
        <f aca="false">E4384*E4384</f>
        <v>0.25</v>
      </c>
      <c r="U4384" s="0" t="n">
        <f aca="false">F4384*F4384</f>
        <v>1</v>
      </c>
      <c r="V4384" s="0" t="n">
        <f aca="false">G4384*G4384</f>
        <v>1</v>
      </c>
      <c r="W4384" s="0" t="n">
        <f aca="false">H4384*H4384</f>
        <v>0.0625</v>
      </c>
      <c r="X4384" s="0" t="n">
        <f aca="false">SUMPRODUCT(I4384:W4384,_XtX!$B$96:$P$96)</f>
        <v>42.0717288011696</v>
      </c>
      <c r="Y4384" s="0" t="n">
        <f aca="false">SUMPRODUCT(MMULT(I4384:W4384,_XtX!$B$78:$P$92),I4384:W4384)</f>
        <v>0.629174661915205</v>
      </c>
      <c r="Z4384" s="0" t="n">
        <f aca="false">04_回帰ANOVA!$K$19*04_回帰ANOVA!$K$14*SQRT(1+Y4384)</f>
        <v>1.66372758058297</v>
      </c>
      <c r="AA4384" s="0" t="n">
        <f aca="false">X4384-Z4384</f>
        <v>40.4080012205866</v>
      </c>
      <c r="AB4384" s="0" t="n">
        <f aca="false">X4384+Z4384</f>
        <v>43.7354563817525</v>
      </c>
      <c r="AC4384" s="54" t="b">
        <f aca="false">AND(E4384&gt;=01_因子設定!$L$5-0.000000001,E4384&lt;=01_因子設定!$M$5+0.000000001,F4384&gt;=01_因子設定!$L$6-0.000000001,F4384&lt;=01_因子設定!$M$6+0.000000001,G4384&gt;=01_因子設定!$L$7-0.000000001,G4384&lt;=01_因子設定!$M$7+0.000000001,H4384&gt;=01_因子設定!$L$8-0.000000001,H4384&lt;=01_因子設定!$M$8+0.000000001,IF(01_因子設定!$B$20="Box-Behnken",E4384^2+F4384^2+G4384^2+H4384^2&lt;=2+0.000000001,TRUE()))</f>
        <v>1</v>
      </c>
      <c r="AD4384" s="55" t="n">
        <f aca="false">IF(AC4384,IF(01_因子設定!$B$13="最大化",AA4384-01_因子設定!$B$14,IF(01_因子設定!$B$13="最小化",01_因子設定!$B$15-AB4384,MIN(AA4384-01_因子設定!$B$14,01_因子設定!$B$15-AB4384))),-1E+030)</f>
        <v>-6.09199877941342</v>
      </c>
      <c r="AE4384" s="55" t="n">
        <f aca="false">IF(AC4384,IF(01_因子設定!$B$13="最大化",X4384,IF(01_因子設定!$B$13="最小化",-X4384,-ABS(X4384-01_因子設定!$B$16))),-1E+030)</f>
        <v>42.0717288011696</v>
      </c>
      <c r="AF4384" s="55" t="n">
        <f aca="false">AD4384+ROW()*0.000000001</f>
        <v>-6.09199439541342</v>
      </c>
      <c r="AG4384" s="55" t="n">
        <f aca="false">AE4384+ROW()*0.000000001</f>
        <v>42.0717331851696</v>
      </c>
    </row>
    <row r="4385" customFormat="false" ht="15" hidden="false" customHeight="false" outlineLevel="0" collapsed="false">
      <c r="A4385" s="0" t="n">
        <v>6</v>
      </c>
      <c r="B4385" s="0" t="n">
        <v>0</v>
      </c>
      <c r="C4385" s="0" t="n">
        <v>0</v>
      </c>
      <c r="D4385" s="0" t="n">
        <v>6</v>
      </c>
      <c r="E4385" s="0" t="n">
        <f aca="false">-1+A4385*0.25</f>
        <v>0.5</v>
      </c>
      <c r="F4385" s="0" t="n">
        <f aca="false">-1+B4385*0.25</f>
        <v>-1</v>
      </c>
      <c r="G4385" s="0" t="n">
        <f aca="false">-1+C4385*0.25</f>
        <v>-1</v>
      </c>
      <c r="H4385" s="0" t="n">
        <f aca="false">-1+D4385*0.25</f>
        <v>0.5</v>
      </c>
      <c r="I4385" s="0" t="n">
        <f aca="false">1</f>
        <v>1</v>
      </c>
      <c r="J4385" s="0" t="n">
        <f aca="false">E4385</f>
        <v>0.5</v>
      </c>
      <c r="K4385" s="0" t="n">
        <f aca="false">F4385</f>
        <v>-1</v>
      </c>
      <c r="L4385" s="0" t="n">
        <f aca="false">G4385</f>
        <v>-1</v>
      </c>
      <c r="M4385" s="0" t="n">
        <f aca="false">H4385</f>
        <v>0.5</v>
      </c>
      <c r="N4385" s="0" t="n">
        <f aca="false">E4385*F4385</f>
        <v>-0.5</v>
      </c>
      <c r="O4385" s="0" t="n">
        <f aca="false">E4385*G4385</f>
        <v>-0.5</v>
      </c>
      <c r="P4385" s="0" t="n">
        <f aca="false">E4385*H4385</f>
        <v>0.25</v>
      </c>
      <c r="Q4385" s="0" t="n">
        <f aca="false">F4385*G4385</f>
        <v>1</v>
      </c>
      <c r="R4385" s="0" t="n">
        <f aca="false">F4385*H4385</f>
        <v>-0.5</v>
      </c>
      <c r="S4385" s="0" t="n">
        <f aca="false">G4385*H4385</f>
        <v>-0.5</v>
      </c>
      <c r="T4385" s="0" t="n">
        <f aca="false">E4385*E4385</f>
        <v>0.25</v>
      </c>
      <c r="U4385" s="0" t="n">
        <f aca="false">F4385*F4385</f>
        <v>1</v>
      </c>
      <c r="V4385" s="0" t="n">
        <f aca="false">G4385*G4385</f>
        <v>1</v>
      </c>
      <c r="W4385" s="0" t="n">
        <f aca="false">H4385*H4385</f>
        <v>0.25</v>
      </c>
      <c r="X4385" s="0" t="n">
        <f aca="false">SUMPRODUCT(I4385:W4385,_XtX!$B$96:$P$96)</f>
        <v>42.0982821637427</v>
      </c>
      <c r="Y4385" s="0" t="n">
        <f aca="false">SUMPRODUCT(MMULT(I4385:W4385,_XtX!$B$78:$P$92),I4385:W4385)</f>
        <v>0.582488121345029</v>
      </c>
      <c r="Z4385" s="0" t="n">
        <f aca="false">04_回帰ANOVA!$K$19*04_回帰ANOVA!$K$14*SQRT(1+Y4385)</f>
        <v>1.63971595338287</v>
      </c>
      <c r="AA4385" s="0" t="n">
        <f aca="false">X4385-Z4385</f>
        <v>40.4585662103598</v>
      </c>
      <c r="AB4385" s="0" t="n">
        <f aca="false">X4385+Z4385</f>
        <v>43.7379981171255</v>
      </c>
      <c r="AC4385" s="54" t="b">
        <f aca="false">AND(E4385&gt;=01_因子設定!$L$5-0.000000001,E4385&lt;=01_因子設定!$M$5+0.000000001,F4385&gt;=01_因子設定!$L$6-0.000000001,F4385&lt;=01_因子設定!$M$6+0.000000001,G4385&gt;=01_因子設定!$L$7-0.000000001,G4385&lt;=01_因子設定!$M$7+0.000000001,H4385&gt;=01_因子設定!$L$8-0.000000001,H4385&lt;=01_因子設定!$M$8+0.000000001,IF(01_因子設定!$B$20="Box-Behnken",E4385^2+F4385^2+G4385^2+H4385^2&lt;=2+0.000000001,TRUE()))</f>
        <v>1</v>
      </c>
      <c r="AD4385" s="55" t="n">
        <f aca="false">IF(AC4385,IF(01_因子設定!$B$13="最大化",AA4385-01_因子設定!$B$14,IF(01_因子設定!$B$13="最小化",01_因子設定!$B$15-AB4385,MIN(AA4385-01_因子設定!$B$14,01_因子設定!$B$15-AB4385))),-1E+030)</f>
        <v>-6.04143378964021</v>
      </c>
      <c r="AE4385" s="55" t="n">
        <f aca="false">IF(AC4385,IF(01_因子設定!$B$13="最大化",X4385,IF(01_因子設定!$B$13="最小化",-X4385,-ABS(X4385-01_因子設定!$B$16))),-1E+030)</f>
        <v>42.0982821637427</v>
      </c>
      <c r="AF4385" s="55" t="n">
        <f aca="false">AD4385+ROW()*0.000000001</f>
        <v>-6.04142940464021</v>
      </c>
      <c r="AG4385" s="55" t="n">
        <f aca="false">AE4385+ROW()*0.000000001</f>
        <v>42.0982865487427</v>
      </c>
    </row>
    <row r="4386" customFormat="false" ht="15" hidden="false" customHeight="false" outlineLevel="0" collapsed="false">
      <c r="A4386" s="0" t="n">
        <v>6</v>
      </c>
      <c r="B4386" s="0" t="n">
        <v>0</v>
      </c>
      <c r="C4386" s="0" t="n">
        <v>0</v>
      </c>
      <c r="D4386" s="0" t="n">
        <v>7</v>
      </c>
      <c r="E4386" s="0" t="n">
        <f aca="false">-1+A4386*0.25</f>
        <v>0.5</v>
      </c>
      <c r="F4386" s="0" t="n">
        <f aca="false">-1+B4386*0.25</f>
        <v>-1</v>
      </c>
      <c r="G4386" s="0" t="n">
        <f aca="false">-1+C4386*0.25</f>
        <v>-1</v>
      </c>
      <c r="H4386" s="0" t="n">
        <f aca="false">-1+D4386*0.25</f>
        <v>0.75</v>
      </c>
      <c r="I4386" s="0" t="n">
        <f aca="false">1</f>
        <v>1</v>
      </c>
      <c r="J4386" s="0" t="n">
        <f aca="false">E4386</f>
        <v>0.5</v>
      </c>
      <c r="K4386" s="0" t="n">
        <f aca="false">F4386</f>
        <v>-1</v>
      </c>
      <c r="L4386" s="0" t="n">
        <f aca="false">G4386</f>
        <v>-1</v>
      </c>
      <c r="M4386" s="0" t="n">
        <f aca="false">H4386</f>
        <v>0.75</v>
      </c>
      <c r="N4386" s="0" t="n">
        <f aca="false">E4386*F4386</f>
        <v>-0.5</v>
      </c>
      <c r="O4386" s="0" t="n">
        <f aca="false">E4386*G4386</f>
        <v>-0.5</v>
      </c>
      <c r="P4386" s="0" t="n">
        <f aca="false">E4386*H4386</f>
        <v>0.375</v>
      </c>
      <c r="Q4386" s="0" t="n">
        <f aca="false">F4386*G4386</f>
        <v>1</v>
      </c>
      <c r="R4386" s="0" t="n">
        <f aca="false">F4386*H4386</f>
        <v>-0.75</v>
      </c>
      <c r="S4386" s="0" t="n">
        <f aca="false">G4386*H4386</f>
        <v>-0.75</v>
      </c>
      <c r="T4386" s="0" t="n">
        <f aca="false">E4386*E4386</f>
        <v>0.25</v>
      </c>
      <c r="U4386" s="0" t="n">
        <f aca="false">F4386*F4386</f>
        <v>1</v>
      </c>
      <c r="V4386" s="0" t="n">
        <f aca="false">G4386*G4386</f>
        <v>1</v>
      </c>
      <c r="W4386" s="0" t="n">
        <f aca="false">H4386*H4386</f>
        <v>0.5625</v>
      </c>
      <c r="X4386" s="0" t="n">
        <f aca="false">SUMPRODUCT(I4386:W4386,_XtX!$B$96:$P$96)</f>
        <v>42.0770285087719</v>
      </c>
      <c r="Y4386" s="0" t="n">
        <f aca="false">SUMPRODUCT(MMULT(I4386:W4386,_XtX!$B$78:$P$92),I4386:W4386)</f>
        <v>0.564984237938597</v>
      </c>
      <c r="Z4386" s="0" t="n">
        <f aca="false">04_回帰ANOVA!$K$19*04_回帰ANOVA!$K$14*SQRT(1+Y4386)</f>
        <v>1.63062229734503</v>
      </c>
      <c r="AA4386" s="0" t="n">
        <f aca="false">X4386-Z4386</f>
        <v>40.4464062114269</v>
      </c>
      <c r="AB4386" s="0" t="n">
        <f aca="false">X4386+Z4386</f>
        <v>43.7076508061169</v>
      </c>
      <c r="AC4386" s="54" t="b">
        <f aca="false">AND(E4386&gt;=01_因子設定!$L$5-0.000000001,E4386&lt;=01_因子設定!$M$5+0.000000001,F4386&gt;=01_因子設定!$L$6-0.000000001,F4386&lt;=01_因子設定!$M$6+0.000000001,G4386&gt;=01_因子設定!$L$7-0.000000001,G4386&lt;=01_因子設定!$M$7+0.000000001,H4386&gt;=01_因子設定!$L$8-0.000000001,H4386&lt;=01_因子設定!$M$8+0.000000001,IF(01_因子設定!$B$20="Box-Behnken",E4386^2+F4386^2+G4386^2+H4386^2&lt;=2+0.000000001,TRUE()))</f>
        <v>1</v>
      </c>
      <c r="AD4386" s="55" t="n">
        <f aca="false">IF(AC4386,IF(01_因子設定!$B$13="最大化",AA4386-01_因子設定!$B$14,IF(01_因子設定!$B$13="最小化",01_因子設定!$B$15-AB4386,MIN(AA4386-01_因子設定!$B$14,01_因子設定!$B$15-AB4386))),-1E+030)</f>
        <v>-6.05359378857312</v>
      </c>
      <c r="AE4386" s="55" t="n">
        <f aca="false">IF(AC4386,IF(01_因子設定!$B$13="最大化",X4386,IF(01_因子設定!$B$13="最小化",-X4386,-ABS(X4386-01_因子設定!$B$16))),-1E+030)</f>
        <v>42.0770285087719</v>
      </c>
      <c r="AF4386" s="55" t="n">
        <f aca="false">AD4386+ROW()*0.000000001</f>
        <v>-6.05358940257313</v>
      </c>
      <c r="AG4386" s="55" t="n">
        <f aca="false">AE4386+ROW()*0.000000001</f>
        <v>42.0770328947719</v>
      </c>
    </row>
    <row r="4387" customFormat="false" ht="15" hidden="false" customHeight="false" outlineLevel="0" collapsed="false">
      <c r="A4387" s="0" t="n">
        <v>6</v>
      </c>
      <c r="B4387" s="0" t="n">
        <v>0</v>
      </c>
      <c r="C4387" s="0" t="n">
        <v>0</v>
      </c>
      <c r="D4387" s="0" t="n">
        <v>8</v>
      </c>
      <c r="E4387" s="0" t="n">
        <f aca="false">-1+A4387*0.25</f>
        <v>0.5</v>
      </c>
      <c r="F4387" s="0" t="n">
        <f aca="false">-1+B4387*0.25</f>
        <v>-1</v>
      </c>
      <c r="G4387" s="0" t="n">
        <f aca="false">-1+C4387*0.25</f>
        <v>-1</v>
      </c>
      <c r="H4387" s="0" t="n">
        <f aca="false">-1+D4387*0.25</f>
        <v>1</v>
      </c>
      <c r="I4387" s="0" t="n">
        <f aca="false">1</f>
        <v>1</v>
      </c>
      <c r="J4387" s="0" t="n">
        <f aca="false">E4387</f>
        <v>0.5</v>
      </c>
      <c r="K4387" s="0" t="n">
        <f aca="false">F4387</f>
        <v>-1</v>
      </c>
      <c r="L4387" s="0" t="n">
        <f aca="false">G4387</f>
        <v>-1</v>
      </c>
      <c r="M4387" s="0" t="n">
        <f aca="false">H4387</f>
        <v>1</v>
      </c>
      <c r="N4387" s="0" t="n">
        <f aca="false">E4387*F4387</f>
        <v>-0.5</v>
      </c>
      <c r="O4387" s="0" t="n">
        <f aca="false">E4387*G4387</f>
        <v>-0.5</v>
      </c>
      <c r="P4387" s="0" t="n">
        <f aca="false">E4387*H4387</f>
        <v>0.5</v>
      </c>
      <c r="Q4387" s="0" t="n">
        <f aca="false">F4387*G4387</f>
        <v>1</v>
      </c>
      <c r="R4387" s="0" t="n">
        <f aca="false">F4387*H4387</f>
        <v>-1</v>
      </c>
      <c r="S4387" s="0" t="n">
        <f aca="false">G4387*H4387</f>
        <v>-1</v>
      </c>
      <c r="T4387" s="0" t="n">
        <f aca="false">E4387*E4387</f>
        <v>0.25</v>
      </c>
      <c r="U4387" s="0" t="n">
        <f aca="false">F4387*F4387</f>
        <v>1</v>
      </c>
      <c r="V4387" s="0" t="n">
        <f aca="false">G4387*G4387</f>
        <v>1</v>
      </c>
      <c r="W4387" s="0" t="n">
        <f aca="false">H4387*H4387</f>
        <v>1</v>
      </c>
      <c r="X4387" s="0" t="n">
        <f aca="false">SUMPRODUCT(I4387:W4387,_XtX!$B$96:$P$96)</f>
        <v>42.0079678362573</v>
      </c>
      <c r="Y4387" s="0" t="n">
        <f aca="false">SUMPRODUCT(MMULT(I4387:W4387,_XtX!$B$78:$P$92),I4387:W4387)</f>
        <v>0.667123538011696</v>
      </c>
      <c r="Z4387" s="0" t="n">
        <f aca="false">04_回帰ANOVA!$K$19*04_回帰ANOVA!$K$14*SQRT(1+Y4387)</f>
        <v>1.68299290213005</v>
      </c>
      <c r="AA4387" s="0" t="n">
        <f aca="false">X4387-Z4387</f>
        <v>40.3249749341273</v>
      </c>
      <c r="AB4387" s="0" t="n">
        <f aca="false">X4387+Z4387</f>
        <v>43.6909607383874</v>
      </c>
      <c r="AC4387" s="54" t="b">
        <f aca="false">AND(E4387&gt;=01_因子設定!$L$5-0.000000001,E4387&lt;=01_因子設定!$M$5+0.000000001,F4387&gt;=01_因子設定!$L$6-0.000000001,F4387&lt;=01_因子設定!$M$6+0.000000001,G4387&gt;=01_因子設定!$L$7-0.000000001,G4387&lt;=01_因子設定!$M$7+0.000000001,H4387&gt;=01_因子設定!$L$8-0.000000001,H4387&lt;=01_因子設定!$M$8+0.000000001,IF(01_因子設定!$B$20="Box-Behnken",E4387^2+F4387^2+G4387^2+H4387^2&lt;=2+0.000000001,TRUE()))</f>
        <v>1</v>
      </c>
      <c r="AD4387" s="55" t="n">
        <f aca="false">IF(AC4387,IF(01_因子設定!$B$13="最大化",AA4387-01_因子設定!$B$14,IF(01_因子設定!$B$13="最小化",01_因子設定!$B$15-AB4387,MIN(AA4387-01_因子設定!$B$14,01_因子設定!$B$15-AB4387))),-1E+030)</f>
        <v>-6.17502506587275</v>
      </c>
      <c r="AE4387" s="55" t="n">
        <f aca="false">IF(AC4387,IF(01_因子設定!$B$13="最大化",X4387,IF(01_因子設定!$B$13="最小化",-X4387,-ABS(X4387-01_因子設定!$B$16))),-1E+030)</f>
        <v>42.0079678362573</v>
      </c>
      <c r="AF4387" s="55" t="n">
        <f aca="false">AD4387+ROW()*0.000000001</f>
        <v>-6.17502067887275</v>
      </c>
      <c r="AG4387" s="55" t="n">
        <f aca="false">AE4387+ROW()*0.000000001</f>
        <v>42.0079722232573</v>
      </c>
    </row>
    <row r="4388" customFormat="false" ht="15" hidden="false" customHeight="false" outlineLevel="0" collapsed="false">
      <c r="A4388" s="0" t="n">
        <v>6</v>
      </c>
      <c r="B4388" s="0" t="n">
        <v>0</v>
      </c>
      <c r="C4388" s="0" t="n">
        <v>1</v>
      </c>
      <c r="D4388" s="0" t="n">
        <v>0</v>
      </c>
      <c r="E4388" s="0" t="n">
        <f aca="false">-1+A4388*0.25</f>
        <v>0.5</v>
      </c>
      <c r="F4388" s="0" t="n">
        <f aca="false">-1+B4388*0.25</f>
        <v>-1</v>
      </c>
      <c r="G4388" s="0" t="n">
        <f aca="false">-1+C4388*0.25</f>
        <v>-0.75</v>
      </c>
      <c r="H4388" s="0" t="n">
        <f aca="false">-1+D4388*0.25</f>
        <v>-1</v>
      </c>
      <c r="I4388" s="0" t="n">
        <f aca="false">1</f>
        <v>1</v>
      </c>
      <c r="J4388" s="0" t="n">
        <f aca="false">E4388</f>
        <v>0.5</v>
      </c>
      <c r="K4388" s="0" t="n">
        <f aca="false">F4388</f>
        <v>-1</v>
      </c>
      <c r="L4388" s="0" t="n">
        <f aca="false">G4388</f>
        <v>-0.75</v>
      </c>
      <c r="M4388" s="0" t="n">
        <f aca="false">H4388</f>
        <v>-1</v>
      </c>
      <c r="N4388" s="0" t="n">
        <f aca="false">E4388*F4388</f>
        <v>-0.5</v>
      </c>
      <c r="O4388" s="0" t="n">
        <f aca="false">E4388*G4388</f>
        <v>-0.375</v>
      </c>
      <c r="P4388" s="0" t="n">
        <f aca="false">E4388*H4388</f>
        <v>-0.5</v>
      </c>
      <c r="Q4388" s="0" t="n">
        <f aca="false">F4388*G4388</f>
        <v>0.75</v>
      </c>
      <c r="R4388" s="0" t="n">
        <f aca="false">F4388*H4388</f>
        <v>1</v>
      </c>
      <c r="S4388" s="0" t="n">
        <f aca="false">G4388*H4388</f>
        <v>0.75</v>
      </c>
      <c r="T4388" s="0" t="n">
        <f aca="false">E4388*E4388</f>
        <v>0.25</v>
      </c>
      <c r="U4388" s="0" t="n">
        <f aca="false">F4388*F4388</f>
        <v>1</v>
      </c>
      <c r="V4388" s="0" t="n">
        <f aca="false">G4388*G4388</f>
        <v>0.5625</v>
      </c>
      <c r="W4388" s="0" t="n">
        <f aca="false">H4388*H4388</f>
        <v>1</v>
      </c>
      <c r="X4388" s="0" t="n">
        <f aca="false">SUMPRODUCT(I4388:W4388,_XtX!$B$96:$P$96)</f>
        <v>41.535014619883</v>
      </c>
      <c r="Y4388" s="0" t="n">
        <f aca="false">SUMPRODUCT(MMULT(I4388:W4388,_XtX!$B$78:$P$92),I4388:W4388)</f>
        <v>0.564984237938597</v>
      </c>
      <c r="Z4388" s="0" t="n">
        <f aca="false">04_回帰ANOVA!$K$19*04_回帰ANOVA!$K$14*SQRT(1+Y4388)</f>
        <v>1.63062229734503</v>
      </c>
      <c r="AA4388" s="0" t="n">
        <f aca="false">X4388-Z4388</f>
        <v>39.904392322538</v>
      </c>
      <c r="AB4388" s="0" t="n">
        <f aca="false">X4388+Z4388</f>
        <v>43.1656369172281</v>
      </c>
      <c r="AC4388" s="54" t="b">
        <f aca="false">AND(E4388&gt;=01_因子設定!$L$5-0.000000001,E4388&lt;=01_因子設定!$M$5+0.000000001,F4388&gt;=01_因子設定!$L$6-0.000000001,F4388&lt;=01_因子設定!$M$6+0.000000001,G4388&gt;=01_因子設定!$L$7-0.000000001,G4388&lt;=01_因子設定!$M$7+0.000000001,H4388&gt;=01_因子設定!$L$8-0.000000001,H4388&lt;=01_因子設定!$M$8+0.000000001,IF(01_因子設定!$B$20="Box-Behnken",E4388^2+F4388^2+G4388^2+H4388^2&lt;=2+0.000000001,TRUE()))</f>
        <v>1</v>
      </c>
      <c r="AD4388" s="55" t="n">
        <f aca="false">IF(AC4388,IF(01_因子設定!$B$13="最大化",AA4388-01_因子設定!$B$14,IF(01_因子設定!$B$13="最小化",01_因子設定!$B$15-AB4388,MIN(AA4388-01_因子設定!$B$14,01_因子設定!$B$15-AB4388))),-1E+030)</f>
        <v>-6.595607677462</v>
      </c>
      <c r="AE4388" s="55" t="n">
        <f aca="false">IF(AC4388,IF(01_因子設定!$B$13="最大化",X4388,IF(01_因子設定!$B$13="最小化",-X4388,-ABS(X4388-01_因子設定!$B$16))),-1E+030)</f>
        <v>41.535014619883</v>
      </c>
      <c r="AF4388" s="55" t="n">
        <f aca="false">AD4388+ROW()*0.000000001</f>
        <v>-6.595603289462</v>
      </c>
      <c r="AG4388" s="55" t="n">
        <f aca="false">AE4388+ROW()*0.000000001</f>
        <v>41.535019007883</v>
      </c>
    </row>
    <row r="4389" customFormat="false" ht="15" hidden="false" customHeight="false" outlineLevel="0" collapsed="false">
      <c r="A4389" s="0" t="n">
        <v>6</v>
      </c>
      <c r="B4389" s="0" t="n">
        <v>0</v>
      </c>
      <c r="C4389" s="0" t="n">
        <v>1</v>
      </c>
      <c r="D4389" s="0" t="n">
        <v>1</v>
      </c>
      <c r="E4389" s="0" t="n">
        <f aca="false">-1+A4389*0.25</f>
        <v>0.5</v>
      </c>
      <c r="F4389" s="0" t="n">
        <f aca="false">-1+B4389*0.25</f>
        <v>-1</v>
      </c>
      <c r="G4389" s="0" t="n">
        <f aca="false">-1+C4389*0.25</f>
        <v>-0.75</v>
      </c>
      <c r="H4389" s="0" t="n">
        <f aca="false">-1+D4389*0.25</f>
        <v>-0.75</v>
      </c>
      <c r="I4389" s="0" t="n">
        <f aca="false">1</f>
        <v>1</v>
      </c>
      <c r="J4389" s="0" t="n">
        <f aca="false">E4389</f>
        <v>0.5</v>
      </c>
      <c r="K4389" s="0" t="n">
        <f aca="false">F4389</f>
        <v>-1</v>
      </c>
      <c r="L4389" s="0" t="n">
        <f aca="false">G4389</f>
        <v>-0.75</v>
      </c>
      <c r="M4389" s="0" t="n">
        <f aca="false">H4389</f>
        <v>-0.75</v>
      </c>
      <c r="N4389" s="0" t="n">
        <f aca="false">E4389*F4389</f>
        <v>-0.5</v>
      </c>
      <c r="O4389" s="0" t="n">
        <f aca="false">E4389*G4389</f>
        <v>-0.375</v>
      </c>
      <c r="P4389" s="0" t="n">
        <f aca="false">E4389*H4389</f>
        <v>-0.375</v>
      </c>
      <c r="Q4389" s="0" t="n">
        <f aca="false">F4389*G4389</f>
        <v>0.75</v>
      </c>
      <c r="R4389" s="0" t="n">
        <f aca="false">F4389*H4389</f>
        <v>0.75</v>
      </c>
      <c r="S4389" s="0" t="n">
        <f aca="false">G4389*H4389</f>
        <v>0.5625</v>
      </c>
      <c r="T4389" s="0" t="n">
        <f aca="false">E4389*E4389</f>
        <v>0.25</v>
      </c>
      <c r="U4389" s="0" t="n">
        <f aca="false">F4389*F4389</f>
        <v>1</v>
      </c>
      <c r="V4389" s="0" t="n">
        <f aca="false">G4389*G4389</f>
        <v>0.5625</v>
      </c>
      <c r="W4389" s="0" t="n">
        <f aca="false">H4389*H4389</f>
        <v>0.5625</v>
      </c>
      <c r="X4389" s="0" t="n">
        <f aca="false">SUMPRODUCT(I4389:W4389,_XtX!$B$96:$P$96)</f>
        <v>41.8185718201754</v>
      </c>
      <c r="Y4389" s="0" t="n">
        <f aca="false">SUMPRODUCT(MMULT(I4389:W4389,_XtX!$B$78:$P$92),I4389:W4389)</f>
        <v>0.431153771472953</v>
      </c>
      <c r="Z4389" s="0" t="n">
        <f aca="false">04_回帰ANOVA!$K$19*04_回帰ANOVA!$K$14*SQRT(1+Y4389)</f>
        <v>1.55934259562563</v>
      </c>
      <c r="AA4389" s="0" t="n">
        <f aca="false">X4389-Z4389</f>
        <v>40.2592292245498</v>
      </c>
      <c r="AB4389" s="0" t="n">
        <f aca="false">X4389+Z4389</f>
        <v>43.377914415801</v>
      </c>
      <c r="AC4389" s="54" t="b">
        <f aca="false">AND(E4389&gt;=01_因子設定!$L$5-0.000000001,E4389&lt;=01_因子設定!$M$5+0.000000001,F4389&gt;=01_因子設定!$L$6-0.000000001,F4389&lt;=01_因子設定!$M$6+0.000000001,G4389&gt;=01_因子設定!$L$7-0.000000001,G4389&lt;=01_因子設定!$M$7+0.000000001,H4389&gt;=01_因子設定!$L$8-0.000000001,H4389&lt;=01_因子設定!$M$8+0.000000001,IF(01_因子設定!$B$20="Box-Behnken",E4389^2+F4389^2+G4389^2+H4389^2&lt;=2+0.000000001,TRUE()))</f>
        <v>1</v>
      </c>
      <c r="AD4389" s="55" t="n">
        <f aca="false">IF(AC4389,IF(01_因子設定!$B$13="最大化",AA4389-01_因子設定!$B$14,IF(01_因子設定!$B$13="最小化",01_因子設定!$B$15-AB4389,MIN(AA4389-01_因子設定!$B$14,01_因子設定!$B$15-AB4389))),-1E+030)</f>
        <v>-6.24077077545022</v>
      </c>
      <c r="AE4389" s="55" t="n">
        <f aca="false">IF(AC4389,IF(01_因子設定!$B$13="最大化",X4389,IF(01_因子設定!$B$13="最小化",-X4389,-ABS(X4389-01_因子設定!$B$16))),-1E+030)</f>
        <v>41.8185718201754</v>
      </c>
      <c r="AF4389" s="55" t="n">
        <f aca="false">AD4389+ROW()*0.000000001</f>
        <v>-6.24076638645022</v>
      </c>
      <c r="AG4389" s="55" t="n">
        <f aca="false">AE4389+ROW()*0.000000001</f>
        <v>41.8185762091754</v>
      </c>
    </row>
    <row r="4390" customFormat="false" ht="15" hidden="false" customHeight="false" outlineLevel="0" collapsed="false">
      <c r="A4390" s="0" t="n">
        <v>6</v>
      </c>
      <c r="B4390" s="0" t="n">
        <v>0</v>
      </c>
      <c r="C4390" s="0" t="n">
        <v>1</v>
      </c>
      <c r="D4390" s="0" t="n">
        <v>2</v>
      </c>
      <c r="E4390" s="0" t="n">
        <f aca="false">-1+A4390*0.25</f>
        <v>0.5</v>
      </c>
      <c r="F4390" s="0" t="n">
        <f aca="false">-1+B4390*0.25</f>
        <v>-1</v>
      </c>
      <c r="G4390" s="0" t="n">
        <f aca="false">-1+C4390*0.25</f>
        <v>-0.75</v>
      </c>
      <c r="H4390" s="0" t="n">
        <f aca="false">-1+D4390*0.25</f>
        <v>-0.5</v>
      </c>
      <c r="I4390" s="0" t="n">
        <f aca="false">1</f>
        <v>1</v>
      </c>
      <c r="J4390" s="0" t="n">
        <f aca="false">E4390</f>
        <v>0.5</v>
      </c>
      <c r="K4390" s="0" t="n">
        <f aca="false">F4390</f>
        <v>-1</v>
      </c>
      <c r="L4390" s="0" t="n">
        <f aca="false">G4390</f>
        <v>-0.75</v>
      </c>
      <c r="M4390" s="0" t="n">
        <f aca="false">H4390</f>
        <v>-0.5</v>
      </c>
      <c r="N4390" s="0" t="n">
        <f aca="false">E4390*F4390</f>
        <v>-0.5</v>
      </c>
      <c r="O4390" s="0" t="n">
        <f aca="false">E4390*G4390</f>
        <v>-0.375</v>
      </c>
      <c r="P4390" s="0" t="n">
        <f aca="false">E4390*H4390</f>
        <v>-0.25</v>
      </c>
      <c r="Q4390" s="0" t="n">
        <f aca="false">F4390*G4390</f>
        <v>0.75</v>
      </c>
      <c r="R4390" s="0" t="n">
        <f aca="false">F4390*H4390</f>
        <v>0.5</v>
      </c>
      <c r="S4390" s="0" t="n">
        <f aca="false">G4390*H4390</f>
        <v>0.375</v>
      </c>
      <c r="T4390" s="0" t="n">
        <f aca="false">E4390*E4390</f>
        <v>0.25</v>
      </c>
      <c r="U4390" s="0" t="n">
        <f aca="false">F4390*F4390</f>
        <v>1</v>
      </c>
      <c r="V4390" s="0" t="n">
        <f aca="false">G4390*G4390</f>
        <v>0.5625</v>
      </c>
      <c r="W4390" s="0" t="n">
        <f aca="false">H4390*H4390</f>
        <v>0.25</v>
      </c>
      <c r="X4390" s="0" t="n">
        <f aca="false">SUMPRODUCT(I4390:W4390,_XtX!$B$96:$P$96)</f>
        <v>42.0543220029239</v>
      </c>
      <c r="Y4390" s="0" t="n">
        <f aca="false">SUMPRODUCT(MMULT(I4390:W4390,_XtX!$B$78:$P$92),I4390:W4390)</f>
        <v>0.42602110745614</v>
      </c>
      <c r="Z4390" s="0" t="n">
        <f aca="false">04_回帰ANOVA!$K$19*04_回帰ANOVA!$K$14*SQRT(1+Y4390)</f>
        <v>1.55654388501114</v>
      </c>
      <c r="AA4390" s="0" t="n">
        <f aca="false">X4390-Z4390</f>
        <v>40.4977781179128</v>
      </c>
      <c r="AB4390" s="0" t="n">
        <f aca="false">X4390+Z4390</f>
        <v>43.6108658879351</v>
      </c>
      <c r="AC4390" s="54" t="b">
        <f aca="false">AND(E4390&gt;=01_因子設定!$L$5-0.000000001,E4390&lt;=01_因子設定!$M$5+0.000000001,F4390&gt;=01_因子設定!$L$6-0.000000001,F4390&lt;=01_因子設定!$M$6+0.000000001,G4390&gt;=01_因子設定!$L$7-0.000000001,G4390&lt;=01_因子設定!$M$7+0.000000001,H4390&gt;=01_因子設定!$L$8-0.000000001,H4390&lt;=01_因子設定!$M$8+0.000000001,IF(01_因子設定!$B$20="Box-Behnken",E4390^2+F4390^2+G4390^2+H4390^2&lt;=2+0.000000001,TRUE()))</f>
        <v>1</v>
      </c>
      <c r="AD4390" s="55" t="n">
        <f aca="false">IF(AC4390,IF(01_因子設定!$B$13="最大化",AA4390-01_因子設定!$B$14,IF(01_因子設定!$B$13="最小化",01_因子設定!$B$15-AB4390,MIN(AA4390-01_因子設定!$B$14,01_因子設定!$B$15-AB4390))),-1E+030)</f>
        <v>-6.00222188208719</v>
      </c>
      <c r="AE4390" s="55" t="n">
        <f aca="false">IF(AC4390,IF(01_因子設定!$B$13="最大化",X4390,IF(01_因子設定!$B$13="最小化",-X4390,-ABS(X4390-01_因子設定!$B$16))),-1E+030)</f>
        <v>42.0543220029239</v>
      </c>
      <c r="AF4390" s="55" t="n">
        <f aca="false">AD4390+ROW()*0.000000001</f>
        <v>-6.00221749208719</v>
      </c>
      <c r="AG4390" s="55" t="n">
        <f aca="false">AE4390+ROW()*0.000000001</f>
        <v>42.054326392924</v>
      </c>
    </row>
    <row r="4391" customFormat="false" ht="15" hidden="false" customHeight="false" outlineLevel="0" collapsed="false">
      <c r="A4391" s="0" t="n">
        <v>6</v>
      </c>
      <c r="B4391" s="0" t="n">
        <v>0</v>
      </c>
      <c r="C4391" s="0" t="n">
        <v>1</v>
      </c>
      <c r="D4391" s="0" t="n">
        <v>3</v>
      </c>
      <c r="E4391" s="0" t="n">
        <f aca="false">-1+A4391*0.25</f>
        <v>0.5</v>
      </c>
      <c r="F4391" s="0" t="n">
        <f aca="false">-1+B4391*0.25</f>
        <v>-1</v>
      </c>
      <c r="G4391" s="0" t="n">
        <f aca="false">-1+C4391*0.25</f>
        <v>-0.75</v>
      </c>
      <c r="H4391" s="0" t="n">
        <f aca="false">-1+D4391*0.25</f>
        <v>-0.25</v>
      </c>
      <c r="I4391" s="0" t="n">
        <f aca="false">1</f>
        <v>1</v>
      </c>
      <c r="J4391" s="0" t="n">
        <f aca="false">E4391</f>
        <v>0.5</v>
      </c>
      <c r="K4391" s="0" t="n">
        <f aca="false">F4391</f>
        <v>-1</v>
      </c>
      <c r="L4391" s="0" t="n">
        <f aca="false">G4391</f>
        <v>-0.75</v>
      </c>
      <c r="M4391" s="0" t="n">
        <f aca="false">H4391</f>
        <v>-0.25</v>
      </c>
      <c r="N4391" s="0" t="n">
        <f aca="false">E4391*F4391</f>
        <v>-0.5</v>
      </c>
      <c r="O4391" s="0" t="n">
        <f aca="false">E4391*G4391</f>
        <v>-0.375</v>
      </c>
      <c r="P4391" s="0" t="n">
        <f aca="false">E4391*H4391</f>
        <v>-0.125</v>
      </c>
      <c r="Q4391" s="0" t="n">
        <f aca="false">F4391*G4391</f>
        <v>0.75</v>
      </c>
      <c r="R4391" s="0" t="n">
        <f aca="false">F4391*H4391</f>
        <v>0.25</v>
      </c>
      <c r="S4391" s="0" t="n">
        <f aca="false">G4391*H4391</f>
        <v>0.1875</v>
      </c>
      <c r="T4391" s="0" t="n">
        <f aca="false">E4391*E4391</f>
        <v>0.25</v>
      </c>
      <c r="U4391" s="0" t="n">
        <f aca="false">F4391*F4391</f>
        <v>1</v>
      </c>
      <c r="V4391" s="0" t="n">
        <f aca="false">G4391*G4391</f>
        <v>0.5625</v>
      </c>
      <c r="W4391" s="0" t="n">
        <f aca="false">H4391*H4391</f>
        <v>0.0625</v>
      </c>
      <c r="X4391" s="0" t="n">
        <f aca="false">SUMPRODUCT(I4391:W4391,_XtX!$B$96:$P$96)</f>
        <v>42.2422651681286</v>
      </c>
      <c r="Y4391" s="0" t="n">
        <f aca="false">SUMPRODUCT(MMULT(I4391:W4391,_XtX!$B$78:$P$92),I4391:W4391)</f>
        <v>0.459125719572369</v>
      </c>
      <c r="Z4391" s="0" t="n">
        <f aca="false">04_回帰ANOVA!$K$19*04_回帰ANOVA!$K$14*SQRT(1+Y4391)</f>
        <v>1.57450755575573</v>
      </c>
      <c r="AA4391" s="0" t="n">
        <f aca="false">X4391-Z4391</f>
        <v>40.6677576123729</v>
      </c>
      <c r="AB4391" s="0" t="n">
        <f aca="false">X4391+Z4391</f>
        <v>43.8167727238844</v>
      </c>
      <c r="AC4391" s="54" t="b">
        <f aca="false">AND(E4391&gt;=01_因子設定!$L$5-0.000000001,E4391&lt;=01_因子設定!$M$5+0.000000001,F4391&gt;=01_因子設定!$L$6-0.000000001,F4391&lt;=01_因子設定!$M$6+0.000000001,G4391&gt;=01_因子設定!$L$7-0.000000001,G4391&lt;=01_因子設定!$M$7+0.000000001,H4391&gt;=01_因子設定!$L$8-0.000000001,H4391&lt;=01_因子設定!$M$8+0.000000001,IF(01_因子設定!$B$20="Box-Behnken",E4391^2+F4391^2+G4391^2+H4391^2&lt;=2+0.000000001,TRUE()))</f>
        <v>1</v>
      </c>
      <c r="AD4391" s="55" t="n">
        <f aca="false">IF(AC4391,IF(01_因子設定!$B$13="最大化",AA4391-01_因子設定!$B$14,IF(01_因子設定!$B$13="最小化",01_因子設定!$B$15-AB4391,MIN(AA4391-01_因子設定!$B$14,01_因子設定!$B$15-AB4391))),-1E+030)</f>
        <v>-5.83224238762711</v>
      </c>
      <c r="AE4391" s="55" t="n">
        <f aca="false">IF(AC4391,IF(01_因子設定!$B$13="最大化",X4391,IF(01_因子設定!$B$13="最小化",-X4391,-ABS(X4391-01_因子設定!$B$16))),-1E+030)</f>
        <v>42.2422651681286</v>
      </c>
      <c r="AF4391" s="55" t="n">
        <f aca="false">AD4391+ROW()*0.000000001</f>
        <v>-5.83223799662711</v>
      </c>
      <c r="AG4391" s="55" t="n">
        <f aca="false">AE4391+ROW()*0.000000001</f>
        <v>42.2422695591286</v>
      </c>
    </row>
    <row r="4392" customFormat="false" ht="15" hidden="false" customHeight="false" outlineLevel="0" collapsed="false">
      <c r="A4392" s="0" t="n">
        <v>6</v>
      </c>
      <c r="B4392" s="0" t="n">
        <v>0</v>
      </c>
      <c r="C4392" s="0" t="n">
        <v>1</v>
      </c>
      <c r="D4392" s="0" t="n">
        <v>4</v>
      </c>
      <c r="E4392" s="0" t="n">
        <f aca="false">-1+A4392*0.25</f>
        <v>0.5</v>
      </c>
      <c r="F4392" s="0" t="n">
        <f aca="false">-1+B4392*0.25</f>
        <v>-1</v>
      </c>
      <c r="G4392" s="0" t="n">
        <f aca="false">-1+C4392*0.25</f>
        <v>-0.75</v>
      </c>
      <c r="H4392" s="0" t="n">
        <f aca="false">-1+D4392*0.25</f>
        <v>0</v>
      </c>
      <c r="I4392" s="0" t="n">
        <f aca="false">1</f>
        <v>1</v>
      </c>
      <c r="J4392" s="0" t="n">
        <f aca="false">E4392</f>
        <v>0.5</v>
      </c>
      <c r="K4392" s="0" t="n">
        <f aca="false">F4392</f>
        <v>-1</v>
      </c>
      <c r="L4392" s="0" t="n">
        <f aca="false">G4392</f>
        <v>-0.75</v>
      </c>
      <c r="M4392" s="0" t="n">
        <f aca="false">H4392</f>
        <v>0</v>
      </c>
      <c r="N4392" s="0" t="n">
        <f aca="false">E4392*F4392</f>
        <v>-0.5</v>
      </c>
      <c r="O4392" s="0" t="n">
        <f aca="false">E4392*G4392</f>
        <v>-0.375</v>
      </c>
      <c r="P4392" s="0" t="n">
        <f aca="false">E4392*H4392</f>
        <v>0</v>
      </c>
      <c r="Q4392" s="0" t="n">
        <f aca="false">F4392*G4392</f>
        <v>0.75</v>
      </c>
      <c r="R4392" s="0" t="n">
        <f aca="false">F4392*H4392</f>
        <v>-0</v>
      </c>
      <c r="S4392" s="0" t="n">
        <f aca="false">G4392*H4392</f>
        <v>-0</v>
      </c>
      <c r="T4392" s="0" t="n">
        <f aca="false">E4392*E4392</f>
        <v>0.25</v>
      </c>
      <c r="U4392" s="0" t="n">
        <f aca="false">F4392*F4392</f>
        <v>1</v>
      </c>
      <c r="V4392" s="0" t="n">
        <f aca="false">G4392*G4392</f>
        <v>0.5625</v>
      </c>
      <c r="W4392" s="0" t="n">
        <f aca="false">H4392*H4392</f>
        <v>0</v>
      </c>
      <c r="X4392" s="0" t="n">
        <f aca="false">SUMPRODUCT(I4392:W4392,_XtX!$B$96:$P$96)</f>
        <v>42.3824013157894</v>
      </c>
      <c r="Y4392" s="0" t="n">
        <f aca="false">SUMPRODUCT(MMULT(I4392:W4392,_XtX!$B$78:$P$92),I4392:W4392)</f>
        <v>0.476191292032164</v>
      </c>
      <c r="Z4392" s="0" t="n">
        <f aca="false">04_回帰ANOVA!$K$19*04_回帰ANOVA!$K$14*SQRT(1+Y4392)</f>
        <v>1.58368831471718</v>
      </c>
      <c r="AA4392" s="0" t="n">
        <f aca="false">X4392-Z4392</f>
        <v>40.7987130010723</v>
      </c>
      <c r="AB4392" s="0" t="n">
        <f aca="false">X4392+Z4392</f>
        <v>43.9660896305066</v>
      </c>
      <c r="AC4392" s="54" t="b">
        <f aca="false">AND(E4392&gt;=01_因子設定!$L$5-0.000000001,E4392&lt;=01_因子設定!$M$5+0.000000001,F4392&gt;=01_因子設定!$L$6-0.000000001,F4392&lt;=01_因子設定!$M$6+0.000000001,G4392&gt;=01_因子設定!$L$7-0.000000001,G4392&lt;=01_因子設定!$M$7+0.000000001,H4392&gt;=01_因子設定!$L$8-0.000000001,H4392&lt;=01_因子設定!$M$8+0.000000001,IF(01_因子設定!$B$20="Box-Behnken",E4392^2+F4392^2+G4392^2+H4392^2&lt;=2+0.000000001,TRUE()))</f>
        <v>1</v>
      </c>
      <c r="AD4392" s="55" t="n">
        <f aca="false">IF(AC4392,IF(01_因子設定!$B$13="最大化",AA4392-01_因子設定!$B$14,IF(01_因子設定!$B$13="最小化",01_因子設定!$B$15-AB4392,MIN(AA4392-01_因子設定!$B$14,01_因子設定!$B$15-AB4392))),-1E+030)</f>
        <v>-5.70128699892775</v>
      </c>
      <c r="AE4392" s="55" t="n">
        <f aca="false">IF(AC4392,IF(01_因子設定!$B$13="最大化",X4392,IF(01_因子設定!$B$13="最小化",-X4392,-ABS(X4392-01_因子設定!$B$16))),-1E+030)</f>
        <v>42.3824013157894</v>
      </c>
      <c r="AF4392" s="55" t="n">
        <f aca="false">AD4392+ROW()*0.000000001</f>
        <v>-5.70128260692775</v>
      </c>
      <c r="AG4392" s="55" t="n">
        <f aca="false">AE4392+ROW()*0.000000001</f>
        <v>42.3824057077894</v>
      </c>
    </row>
    <row r="4393" customFormat="false" ht="15" hidden="false" customHeight="false" outlineLevel="0" collapsed="false">
      <c r="A4393" s="0" t="n">
        <v>6</v>
      </c>
      <c r="B4393" s="0" t="n">
        <v>0</v>
      </c>
      <c r="C4393" s="0" t="n">
        <v>1</v>
      </c>
      <c r="D4393" s="0" t="n">
        <v>5</v>
      </c>
      <c r="E4393" s="0" t="n">
        <f aca="false">-1+A4393*0.25</f>
        <v>0.5</v>
      </c>
      <c r="F4393" s="0" t="n">
        <f aca="false">-1+B4393*0.25</f>
        <v>-1</v>
      </c>
      <c r="G4393" s="0" t="n">
        <f aca="false">-1+C4393*0.25</f>
        <v>-0.75</v>
      </c>
      <c r="H4393" s="0" t="n">
        <f aca="false">-1+D4393*0.25</f>
        <v>0.25</v>
      </c>
      <c r="I4393" s="0" t="n">
        <f aca="false">1</f>
        <v>1</v>
      </c>
      <c r="J4393" s="0" t="n">
        <f aca="false">E4393</f>
        <v>0.5</v>
      </c>
      <c r="K4393" s="0" t="n">
        <f aca="false">F4393</f>
        <v>-1</v>
      </c>
      <c r="L4393" s="0" t="n">
        <f aca="false">G4393</f>
        <v>-0.75</v>
      </c>
      <c r="M4393" s="0" t="n">
        <f aca="false">H4393</f>
        <v>0.25</v>
      </c>
      <c r="N4393" s="0" t="n">
        <f aca="false">E4393*F4393</f>
        <v>-0.5</v>
      </c>
      <c r="O4393" s="0" t="n">
        <f aca="false">E4393*G4393</f>
        <v>-0.375</v>
      </c>
      <c r="P4393" s="0" t="n">
        <f aca="false">E4393*H4393</f>
        <v>0.125</v>
      </c>
      <c r="Q4393" s="0" t="n">
        <f aca="false">F4393*G4393</f>
        <v>0.75</v>
      </c>
      <c r="R4393" s="0" t="n">
        <f aca="false">F4393*H4393</f>
        <v>-0.25</v>
      </c>
      <c r="S4393" s="0" t="n">
        <f aca="false">G4393*H4393</f>
        <v>-0.1875</v>
      </c>
      <c r="T4393" s="0" t="n">
        <f aca="false">E4393*E4393</f>
        <v>0.25</v>
      </c>
      <c r="U4393" s="0" t="n">
        <f aca="false">F4393*F4393</f>
        <v>1</v>
      </c>
      <c r="V4393" s="0" t="n">
        <f aca="false">G4393*G4393</f>
        <v>0.5625</v>
      </c>
      <c r="W4393" s="0" t="n">
        <f aca="false">H4393*H4393</f>
        <v>0.0625</v>
      </c>
      <c r="X4393" s="0" t="n">
        <f aca="false">SUMPRODUCT(I4393:W4393,_XtX!$B$96:$P$96)</f>
        <v>42.4747304459064</v>
      </c>
      <c r="Y4393" s="0" t="n">
        <f aca="false">SUMPRODUCT(MMULT(I4393:W4393,_XtX!$B$78:$P$92),I4393:W4393)</f>
        <v>0.459125719572369</v>
      </c>
      <c r="Z4393" s="0" t="n">
        <f aca="false">04_回帰ANOVA!$K$19*04_回帰ANOVA!$K$14*SQRT(1+Y4393)</f>
        <v>1.57450755575573</v>
      </c>
      <c r="AA4393" s="0" t="n">
        <f aca="false">X4393-Z4393</f>
        <v>40.9002228901507</v>
      </c>
      <c r="AB4393" s="0" t="n">
        <f aca="false">X4393+Z4393</f>
        <v>44.0492380016621</v>
      </c>
      <c r="AC4393" s="54" t="b">
        <f aca="false">AND(E4393&gt;=01_因子設定!$L$5-0.000000001,E4393&lt;=01_因子設定!$M$5+0.000000001,F4393&gt;=01_因子設定!$L$6-0.000000001,F4393&lt;=01_因子設定!$M$6+0.000000001,G4393&gt;=01_因子設定!$L$7-0.000000001,G4393&lt;=01_因子設定!$M$7+0.000000001,H4393&gt;=01_因子設定!$L$8-0.000000001,H4393&lt;=01_因子設定!$M$8+0.000000001,IF(01_因子設定!$B$20="Box-Behnken",E4393^2+F4393^2+G4393^2+H4393^2&lt;=2+0.000000001,TRUE()))</f>
        <v>1</v>
      </c>
      <c r="AD4393" s="55" t="n">
        <f aca="false">IF(AC4393,IF(01_因子設定!$B$13="最大化",AA4393-01_因子設定!$B$14,IF(01_因子設定!$B$13="最小化",01_因子設定!$B$15-AB4393,MIN(AA4393-01_因子設定!$B$14,01_因子設定!$B$15-AB4393))),-1E+030)</f>
        <v>-5.59977710984933</v>
      </c>
      <c r="AE4393" s="55" t="n">
        <f aca="false">IF(AC4393,IF(01_因子設定!$B$13="最大化",X4393,IF(01_因子設定!$B$13="最小化",-X4393,-ABS(X4393-01_因子設定!$B$16))),-1E+030)</f>
        <v>42.4747304459064</v>
      </c>
      <c r="AF4393" s="55" t="n">
        <f aca="false">AD4393+ROW()*0.000000001</f>
        <v>-5.59977271684933</v>
      </c>
      <c r="AG4393" s="55" t="n">
        <f aca="false">AE4393+ROW()*0.000000001</f>
        <v>42.4747348389064</v>
      </c>
    </row>
    <row r="4394" customFormat="false" ht="15" hidden="false" customHeight="false" outlineLevel="0" collapsed="false">
      <c r="A4394" s="0" t="n">
        <v>6</v>
      </c>
      <c r="B4394" s="0" t="n">
        <v>0</v>
      </c>
      <c r="C4394" s="0" t="n">
        <v>1</v>
      </c>
      <c r="D4394" s="0" t="n">
        <v>6</v>
      </c>
      <c r="E4394" s="0" t="n">
        <f aca="false">-1+A4394*0.25</f>
        <v>0.5</v>
      </c>
      <c r="F4394" s="0" t="n">
        <f aca="false">-1+B4394*0.25</f>
        <v>-1</v>
      </c>
      <c r="G4394" s="0" t="n">
        <f aca="false">-1+C4394*0.25</f>
        <v>-0.75</v>
      </c>
      <c r="H4394" s="0" t="n">
        <f aca="false">-1+D4394*0.25</f>
        <v>0.5</v>
      </c>
      <c r="I4394" s="0" t="n">
        <f aca="false">1</f>
        <v>1</v>
      </c>
      <c r="J4394" s="0" t="n">
        <f aca="false">E4394</f>
        <v>0.5</v>
      </c>
      <c r="K4394" s="0" t="n">
        <f aca="false">F4394</f>
        <v>-1</v>
      </c>
      <c r="L4394" s="0" t="n">
        <f aca="false">G4394</f>
        <v>-0.75</v>
      </c>
      <c r="M4394" s="0" t="n">
        <f aca="false">H4394</f>
        <v>0.5</v>
      </c>
      <c r="N4394" s="0" t="n">
        <f aca="false">E4394*F4394</f>
        <v>-0.5</v>
      </c>
      <c r="O4394" s="0" t="n">
        <f aca="false">E4394*G4394</f>
        <v>-0.375</v>
      </c>
      <c r="P4394" s="0" t="n">
        <f aca="false">E4394*H4394</f>
        <v>0.25</v>
      </c>
      <c r="Q4394" s="0" t="n">
        <f aca="false">F4394*G4394</f>
        <v>0.75</v>
      </c>
      <c r="R4394" s="0" t="n">
        <f aca="false">F4394*H4394</f>
        <v>-0.5</v>
      </c>
      <c r="S4394" s="0" t="n">
        <f aca="false">G4394*H4394</f>
        <v>-0.375</v>
      </c>
      <c r="T4394" s="0" t="n">
        <f aca="false">E4394*E4394</f>
        <v>0.25</v>
      </c>
      <c r="U4394" s="0" t="n">
        <f aca="false">F4394*F4394</f>
        <v>1</v>
      </c>
      <c r="V4394" s="0" t="n">
        <f aca="false">G4394*G4394</f>
        <v>0.5625</v>
      </c>
      <c r="W4394" s="0" t="n">
        <f aca="false">H4394*H4394</f>
        <v>0.25</v>
      </c>
      <c r="X4394" s="0" t="n">
        <f aca="false">SUMPRODUCT(I4394:W4394,_XtX!$B$96:$P$96)</f>
        <v>42.5192525584795</v>
      </c>
      <c r="Y4394" s="0" t="n">
        <f aca="false">SUMPRODUCT(MMULT(I4394:W4394,_XtX!$B$78:$P$92),I4394:W4394)</f>
        <v>0.42602110745614</v>
      </c>
      <c r="Z4394" s="0" t="n">
        <f aca="false">04_回帰ANOVA!$K$19*04_回帰ANOVA!$K$14*SQRT(1+Y4394)</f>
        <v>1.55654388501114</v>
      </c>
      <c r="AA4394" s="0" t="n">
        <f aca="false">X4394-Z4394</f>
        <v>40.9627086734684</v>
      </c>
      <c r="AB4394" s="0" t="n">
        <f aca="false">X4394+Z4394</f>
        <v>44.0757964434906</v>
      </c>
      <c r="AC4394" s="54" t="b">
        <f aca="false">AND(E4394&gt;=01_因子設定!$L$5-0.000000001,E4394&lt;=01_因子設定!$M$5+0.000000001,F4394&gt;=01_因子設定!$L$6-0.000000001,F4394&lt;=01_因子設定!$M$6+0.000000001,G4394&gt;=01_因子設定!$L$7-0.000000001,G4394&lt;=01_因子設定!$M$7+0.000000001,H4394&gt;=01_因子設定!$L$8-0.000000001,H4394&lt;=01_因子設定!$M$8+0.000000001,IF(01_因子設定!$B$20="Box-Behnken",E4394^2+F4394^2+G4394^2+H4394^2&lt;=2+0.000000001,TRUE()))</f>
        <v>1</v>
      </c>
      <c r="AD4394" s="55" t="n">
        <f aca="false">IF(AC4394,IF(01_因子設定!$B$13="最大化",AA4394-01_因子設定!$B$14,IF(01_因子設定!$B$13="最小化",01_因子設定!$B$15-AB4394,MIN(AA4394-01_因子設定!$B$14,01_因子設定!$B$15-AB4394))),-1E+030)</f>
        <v>-5.53729132653164</v>
      </c>
      <c r="AE4394" s="55" t="n">
        <f aca="false">IF(AC4394,IF(01_因子設定!$B$13="最大化",X4394,IF(01_因子設定!$B$13="最小化",-X4394,-ABS(X4394-01_因子設定!$B$16))),-1E+030)</f>
        <v>42.5192525584795</v>
      </c>
      <c r="AF4394" s="55" t="n">
        <f aca="false">AD4394+ROW()*0.000000001</f>
        <v>-5.53728693253164</v>
      </c>
      <c r="AG4394" s="55" t="n">
        <f aca="false">AE4394+ROW()*0.000000001</f>
        <v>42.5192569524795</v>
      </c>
    </row>
    <row r="4395" customFormat="false" ht="15" hidden="false" customHeight="false" outlineLevel="0" collapsed="false">
      <c r="A4395" s="0" t="n">
        <v>6</v>
      </c>
      <c r="B4395" s="0" t="n">
        <v>0</v>
      </c>
      <c r="C4395" s="0" t="n">
        <v>1</v>
      </c>
      <c r="D4395" s="0" t="n">
        <v>7</v>
      </c>
      <c r="E4395" s="0" t="n">
        <f aca="false">-1+A4395*0.25</f>
        <v>0.5</v>
      </c>
      <c r="F4395" s="0" t="n">
        <f aca="false">-1+B4395*0.25</f>
        <v>-1</v>
      </c>
      <c r="G4395" s="0" t="n">
        <f aca="false">-1+C4395*0.25</f>
        <v>-0.75</v>
      </c>
      <c r="H4395" s="0" t="n">
        <f aca="false">-1+D4395*0.25</f>
        <v>0.75</v>
      </c>
      <c r="I4395" s="0" t="n">
        <f aca="false">1</f>
        <v>1</v>
      </c>
      <c r="J4395" s="0" t="n">
        <f aca="false">E4395</f>
        <v>0.5</v>
      </c>
      <c r="K4395" s="0" t="n">
        <f aca="false">F4395</f>
        <v>-1</v>
      </c>
      <c r="L4395" s="0" t="n">
        <f aca="false">G4395</f>
        <v>-0.75</v>
      </c>
      <c r="M4395" s="0" t="n">
        <f aca="false">H4395</f>
        <v>0.75</v>
      </c>
      <c r="N4395" s="0" t="n">
        <f aca="false">E4395*F4395</f>
        <v>-0.5</v>
      </c>
      <c r="O4395" s="0" t="n">
        <f aca="false">E4395*G4395</f>
        <v>-0.375</v>
      </c>
      <c r="P4395" s="0" t="n">
        <f aca="false">E4395*H4395</f>
        <v>0.375</v>
      </c>
      <c r="Q4395" s="0" t="n">
        <f aca="false">F4395*G4395</f>
        <v>0.75</v>
      </c>
      <c r="R4395" s="0" t="n">
        <f aca="false">F4395*H4395</f>
        <v>-0.75</v>
      </c>
      <c r="S4395" s="0" t="n">
        <f aca="false">G4395*H4395</f>
        <v>-0.5625</v>
      </c>
      <c r="T4395" s="0" t="n">
        <f aca="false">E4395*E4395</f>
        <v>0.25</v>
      </c>
      <c r="U4395" s="0" t="n">
        <f aca="false">F4395*F4395</f>
        <v>1</v>
      </c>
      <c r="V4395" s="0" t="n">
        <f aca="false">G4395*G4395</f>
        <v>0.5625</v>
      </c>
      <c r="W4395" s="0" t="n">
        <f aca="false">H4395*H4395</f>
        <v>0.5625</v>
      </c>
      <c r="X4395" s="0" t="n">
        <f aca="false">SUMPRODUCT(I4395:W4395,_XtX!$B$96:$P$96)</f>
        <v>42.5159676535088</v>
      </c>
      <c r="Y4395" s="0" t="n">
        <f aca="false">SUMPRODUCT(MMULT(I4395:W4395,_XtX!$B$78:$P$92),I4395:W4395)</f>
        <v>0.431153771472953</v>
      </c>
      <c r="Z4395" s="0" t="n">
        <f aca="false">04_回帰ANOVA!$K$19*04_回帰ANOVA!$K$14*SQRT(1+Y4395)</f>
        <v>1.55934259562563</v>
      </c>
      <c r="AA4395" s="0" t="n">
        <f aca="false">X4395-Z4395</f>
        <v>40.9566250578831</v>
      </c>
      <c r="AB4395" s="0" t="n">
        <f aca="false">X4395+Z4395</f>
        <v>44.0753102491344</v>
      </c>
      <c r="AC4395" s="54" t="b">
        <f aca="false">AND(E4395&gt;=01_因子設定!$L$5-0.000000001,E4395&lt;=01_因子設定!$M$5+0.000000001,F4395&gt;=01_因子設定!$L$6-0.000000001,F4395&lt;=01_因子設定!$M$6+0.000000001,G4395&gt;=01_因子設定!$L$7-0.000000001,G4395&lt;=01_因子設定!$M$7+0.000000001,H4395&gt;=01_因子設定!$L$8-0.000000001,H4395&lt;=01_因子設定!$M$8+0.000000001,IF(01_因子設定!$B$20="Box-Behnken",E4395^2+F4395^2+G4395^2+H4395^2&lt;=2+0.000000001,TRUE()))</f>
        <v>1</v>
      </c>
      <c r="AD4395" s="55" t="n">
        <f aca="false">IF(AC4395,IF(01_因子設定!$B$13="最大化",AA4395-01_因子設定!$B$14,IF(01_因子設定!$B$13="最小化",01_因子設定!$B$15-AB4395,MIN(AA4395-01_因子設定!$B$14,01_因子設定!$B$15-AB4395))),-1E+030)</f>
        <v>-5.54337494211688</v>
      </c>
      <c r="AE4395" s="55" t="n">
        <f aca="false">IF(AC4395,IF(01_因子設定!$B$13="最大化",X4395,IF(01_因子設定!$B$13="最小化",-X4395,-ABS(X4395-01_因子設定!$B$16))),-1E+030)</f>
        <v>42.5159676535088</v>
      </c>
      <c r="AF4395" s="55" t="n">
        <f aca="false">AD4395+ROW()*0.000000001</f>
        <v>-5.54337054711688</v>
      </c>
      <c r="AG4395" s="55" t="n">
        <f aca="false">AE4395+ROW()*0.000000001</f>
        <v>42.5159720485088</v>
      </c>
    </row>
    <row r="4396" customFormat="false" ht="15" hidden="false" customHeight="false" outlineLevel="0" collapsed="false">
      <c r="A4396" s="0" t="n">
        <v>6</v>
      </c>
      <c r="B4396" s="0" t="n">
        <v>0</v>
      </c>
      <c r="C4396" s="0" t="n">
        <v>1</v>
      </c>
      <c r="D4396" s="0" t="n">
        <v>8</v>
      </c>
      <c r="E4396" s="0" t="n">
        <f aca="false">-1+A4396*0.25</f>
        <v>0.5</v>
      </c>
      <c r="F4396" s="0" t="n">
        <f aca="false">-1+B4396*0.25</f>
        <v>-1</v>
      </c>
      <c r="G4396" s="0" t="n">
        <f aca="false">-1+C4396*0.25</f>
        <v>-0.75</v>
      </c>
      <c r="H4396" s="0" t="n">
        <f aca="false">-1+D4396*0.25</f>
        <v>1</v>
      </c>
      <c r="I4396" s="0" t="n">
        <f aca="false">1</f>
        <v>1</v>
      </c>
      <c r="J4396" s="0" t="n">
        <f aca="false">E4396</f>
        <v>0.5</v>
      </c>
      <c r="K4396" s="0" t="n">
        <f aca="false">F4396</f>
        <v>-1</v>
      </c>
      <c r="L4396" s="0" t="n">
        <f aca="false">G4396</f>
        <v>-0.75</v>
      </c>
      <c r="M4396" s="0" t="n">
        <f aca="false">H4396</f>
        <v>1</v>
      </c>
      <c r="N4396" s="0" t="n">
        <f aca="false">E4396*F4396</f>
        <v>-0.5</v>
      </c>
      <c r="O4396" s="0" t="n">
        <f aca="false">E4396*G4396</f>
        <v>-0.375</v>
      </c>
      <c r="P4396" s="0" t="n">
        <f aca="false">E4396*H4396</f>
        <v>0.5</v>
      </c>
      <c r="Q4396" s="0" t="n">
        <f aca="false">F4396*G4396</f>
        <v>0.75</v>
      </c>
      <c r="R4396" s="0" t="n">
        <f aca="false">F4396*H4396</f>
        <v>-1</v>
      </c>
      <c r="S4396" s="0" t="n">
        <f aca="false">G4396*H4396</f>
        <v>-0.75</v>
      </c>
      <c r="T4396" s="0" t="n">
        <f aca="false">E4396*E4396</f>
        <v>0.25</v>
      </c>
      <c r="U4396" s="0" t="n">
        <f aca="false">F4396*F4396</f>
        <v>1</v>
      </c>
      <c r="V4396" s="0" t="n">
        <f aca="false">G4396*G4396</f>
        <v>0.5625</v>
      </c>
      <c r="W4396" s="0" t="n">
        <f aca="false">H4396*H4396</f>
        <v>1</v>
      </c>
      <c r="X4396" s="0" t="n">
        <f aca="false">SUMPRODUCT(I4396:W4396,_XtX!$B$96:$P$96)</f>
        <v>42.4648757309941</v>
      </c>
      <c r="Y4396" s="0" t="n">
        <f aca="false">SUMPRODUCT(MMULT(I4396:W4396,_XtX!$B$78:$P$92),I4396:W4396)</f>
        <v>0.564984237938597</v>
      </c>
      <c r="Z4396" s="0" t="n">
        <f aca="false">04_回帰ANOVA!$K$19*04_回帰ANOVA!$K$14*SQRT(1+Y4396)</f>
        <v>1.63062229734503</v>
      </c>
      <c r="AA4396" s="0" t="n">
        <f aca="false">X4396-Z4396</f>
        <v>40.8342534336491</v>
      </c>
      <c r="AB4396" s="0" t="n">
        <f aca="false">X4396+Z4396</f>
        <v>44.0954980283392</v>
      </c>
      <c r="AC4396" s="54" t="b">
        <f aca="false">AND(E4396&gt;=01_因子設定!$L$5-0.000000001,E4396&lt;=01_因子設定!$M$5+0.000000001,F4396&gt;=01_因子設定!$L$6-0.000000001,F4396&lt;=01_因子設定!$M$6+0.000000001,G4396&gt;=01_因子設定!$L$7-0.000000001,G4396&lt;=01_因子設定!$M$7+0.000000001,H4396&gt;=01_因子設定!$L$8-0.000000001,H4396&lt;=01_因子設定!$M$8+0.000000001,IF(01_因子設定!$B$20="Box-Behnken",E4396^2+F4396^2+G4396^2+H4396^2&lt;=2+0.000000001,TRUE()))</f>
        <v>1</v>
      </c>
      <c r="AD4396" s="55" t="n">
        <f aca="false">IF(AC4396,IF(01_因子設定!$B$13="最大化",AA4396-01_因子設定!$B$14,IF(01_因子設定!$B$13="最小化",01_因子設定!$B$15-AB4396,MIN(AA4396-01_因子設定!$B$14,01_因子設定!$B$15-AB4396))),-1E+030)</f>
        <v>-5.66574656635089</v>
      </c>
      <c r="AE4396" s="55" t="n">
        <f aca="false">IF(AC4396,IF(01_因子設定!$B$13="最大化",X4396,IF(01_因子設定!$B$13="最小化",-X4396,-ABS(X4396-01_因子設定!$B$16))),-1E+030)</f>
        <v>42.4648757309941</v>
      </c>
      <c r="AF4396" s="55" t="n">
        <f aca="false">AD4396+ROW()*0.000000001</f>
        <v>-5.66574217035089</v>
      </c>
      <c r="AG4396" s="55" t="n">
        <f aca="false">AE4396+ROW()*0.000000001</f>
        <v>42.4648801269941</v>
      </c>
    </row>
    <row r="4397" customFormat="false" ht="15" hidden="false" customHeight="false" outlineLevel="0" collapsed="false">
      <c r="A4397" s="0" t="n">
        <v>6</v>
      </c>
      <c r="B4397" s="0" t="n">
        <v>0</v>
      </c>
      <c r="C4397" s="0" t="n">
        <v>2</v>
      </c>
      <c r="D4397" s="0" t="n">
        <v>0</v>
      </c>
      <c r="E4397" s="0" t="n">
        <f aca="false">-1+A4397*0.25</f>
        <v>0.5</v>
      </c>
      <c r="F4397" s="0" t="n">
        <f aca="false">-1+B4397*0.25</f>
        <v>-1</v>
      </c>
      <c r="G4397" s="0" t="n">
        <f aca="false">-1+C4397*0.25</f>
        <v>-0.5</v>
      </c>
      <c r="H4397" s="0" t="n">
        <f aca="false">-1+D4397*0.25</f>
        <v>-1</v>
      </c>
      <c r="I4397" s="0" t="n">
        <f aca="false">1</f>
        <v>1</v>
      </c>
      <c r="J4397" s="0" t="n">
        <f aca="false">E4397</f>
        <v>0.5</v>
      </c>
      <c r="K4397" s="0" t="n">
        <f aca="false">F4397</f>
        <v>-1</v>
      </c>
      <c r="L4397" s="0" t="n">
        <f aca="false">G4397</f>
        <v>-0.5</v>
      </c>
      <c r="M4397" s="0" t="n">
        <f aca="false">H4397</f>
        <v>-1</v>
      </c>
      <c r="N4397" s="0" t="n">
        <f aca="false">E4397*F4397</f>
        <v>-0.5</v>
      </c>
      <c r="O4397" s="0" t="n">
        <f aca="false">E4397*G4397</f>
        <v>-0.25</v>
      </c>
      <c r="P4397" s="0" t="n">
        <f aca="false">E4397*H4397</f>
        <v>-0.5</v>
      </c>
      <c r="Q4397" s="0" t="n">
        <f aca="false">F4397*G4397</f>
        <v>0.5</v>
      </c>
      <c r="R4397" s="0" t="n">
        <f aca="false">F4397*H4397</f>
        <v>1</v>
      </c>
      <c r="S4397" s="0" t="n">
        <f aca="false">G4397*H4397</f>
        <v>0.5</v>
      </c>
      <c r="T4397" s="0" t="n">
        <f aca="false">E4397*E4397</f>
        <v>0.25</v>
      </c>
      <c r="U4397" s="0" t="n">
        <f aca="false">F4397*F4397</f>
        <v>1</v>
      </c>
      <c r="V4397" s="0" t="n">
        <f aca="false">G4397*G4397</f>
        <v>0.25</v>
      </c>
      <c r="W4397" s="0" t="n">
        <f aca="false">H4397*H4397</f>
        <v>1</v>
      </c>
      <c r="X4397" s="0" t="n">
        <f aca="false">SUMPRODUCT(I4397:W4397,_XtX!$B$96:$P$96)</f>
        <v>41.762865497076</v>
      </c>
      <c r="Y4397" s="0" t="n">
        <f aca="false">SUMPRODUCT(MMULT(I4397:W4397,_XtX!$B$78:$P$92),I4397:W4397)</f>
        <v>0.582488121345029</v>
      </c>
      <c r="Z4397" s="0" t="n">
        <f aca="false">04_回帰ANOVA!$K$19*04_回帰ANOVA!$K$14*SQRT(1+Y4397)</f>
        <v>1.63971595338287</v>
      </c>
      <c r="AA4397" s="0" t="n">
        <f aca="false">X4397-Z4397</f>
        <v>40.1231495436932</v>
      </c>
      <c r="AB4397" s="0" t="n">
        <f aca="false">X4397+Z4397</f>
        <v>43.4025814504589</v>
      </c>
      <c r="AC4397" s="54" t="b">
        <f aca="false">AND(E4397&gt;=01_因子設定!$L$5-0.000000001,E4397&lt;=01_因子設定!$M$5+0.000000001,F4397&gt;=01_因子設定!$L$6-0.000000001,F4397&lt;=01_因子設定!$M$6+0.000000001,G4397&gt;=01_因子設定!$L$7-0.000000001,G4397&lt;=01_因子設定!$M$7+0.000000001,H4397&gt;=01_因子設定!$L$8-0.000000001,H4397&lt;=01_因子設定!$M$8+0.000000001,IF(01_因子設定!$B$20="Box-Behnken",E4397^2+F4397^2+G4397^2+H4397^2&lt;=2+0.000000001,TRUE()))</f>
        <v>1</v>
      </c>
      <c r="AD4397" s="55" t="n">
        <f aca="false">IF(AC4397,IF(01_因子設定!$B$13="最大化",AA4397-01_因子設定!$B$14,IF(01_因子設定!$B$13="最小化",01_因子設定!$B$15-AB4397,MIN(AA4397-01_因子設定!$B$14,01_因子設定!$B$15-AB4397))),-1E+030)</f>
        <v>-6.37685045630685</v>
      </c>
      <c r="AE4397" s="55" t="n">
        <f aca="false">IF(AC4397,IF(01_因子設定!$B$13="最大化",X4397,IF(01_因子設定!$B$13="最小化",-X4397,-ABS(X4397-01_因子設定!$B$16))),-1E+030)</f>
        <v>41.762865497076</v>
      </c>
      <c r="AF4397" s="55" t="n">
        <f aca="false">AD4397+ROW()*0.000000001</f>
        <v>-6.37684605930685</v>
      </c>
      <c r="AG4397" s="55" t="n">
        <f aca="false">AE4397+ROW()*0.000000001</f>
        <v>41.762869894076</v>
      </c>
    </row>
    <row r="4398" customFormat="false" ht="15" hidden="false" customHeight="false" outlineLevel="0" collapsed="false">
      <c r="A4398" s="0" t="n">
        <v>6</v>
      </c>
      <c r="B4398" s="0" t="n">
        <v>0</v>
      </c>
      <c r="C4398" s="0" t="n">
        <v>2</v>
      </c>
      <c r="D4398" s="0" t="n">
        <v>1</v>
      </c>
      <c r="E4398" s="0" t="n">
        <f aca="false">-1+A4398*0.25</f>
        <v>0.5</v>
      </c>
      <c r="F4398" s="0" t="n">
        <f aca="false">-1+B4398*0.25</f>
        <v>-1</v>
      </c>
      <c r="G4398" s="0" t="n">
        <f aca="false">-1+C4398*0.25</f>
        <v>-0.5</v>
      </c>
      <c r="H4398" s="0" t="n">
        <f aca="false">-1+D4398*0.25</f>
        <v>-0.75</v>
      </c>
      <c r="I4398" s="0" t="n">
        <f aca="false">1</f>
        <v>1</v>
      </c>
      <c r="J4398" s="0" t="n">
        <f aca="false">E4398</f>
        <v>0.5</v>
      </c>
      <c r="K4398" s="0" t="n">
        <f aca="false">F4398</f>
        <v>-1</v>
      </c>
      <c r="L4398" s="0" t="n">
        <f aca="false">G4398</f>
        <v>-0.5</v>
      </c>
      <c r="M4398" s="0" t="n">
        <f aca="false">H4398</f>
        <v>-0.75</v>
      </c>
      <c r="N4398" s="0" t="n">
        <f aca="false">E4398*F4398</f>
        <v>-0.5</v>
      </c>
      <c r="O4398" s="0" t="n">
        <f aca="false">E4398*G4398</f>
        <v>-0.25</v>
      </c>
      <c r="P4398" s="0" t="n">
        <f aca="false">E4398*H4398</f>
        <v>-0.375</v>
      </c>
      <c r="Q4398" s="0" t="n">
        <f aca="false">F4398*G4398</f>
        <v>0.5</v>
      </c>
      <c r="R4398" s="0" t="n">
        <f aca="false">F4398*H4398</f>
        <v>0.75</v>
      </c>
      <c r="S4398" s="0" t="n">
        <f aca="false">G4398*H4398</f>
        <v>0.375</v>
      </c>
      <c r="T4398" s="0" t="n">
        <f aca="false">E4398*E4398</f>
        <v>0.25</v>
      </c>
      <c r="U4398" s="0" t="n">
        <f aca="false">F4398*F4398</f>
        <v>1</v>
      </c>
      <c r="V4398" s="0" t="n">
        <f aca="false">G4398*G4398</f>
        <v>0.25</v>
      </c>
      <c r="W4398" s="0" t="n">
        <f aca="false">H4398*H4398</f>
        <v>0.5625</v>
      </c>
      <c r="X4398" s="0" t="n">
        <f aca="false">SUMPRODUCT(I4398:W4398,_XtX!$B$96:$P$96)</f>
        <v>42.0643914473684</v>
      </c>
      <c r="Y4398" s="0" t="n">
        <f aca="false">SUMPRODUCT(MMULT(I4398:W4398,_XtX!$B$78:$P$92),I4398:W4398)</f>
        <v>0.42602110745614</v>
      </c>
      <c r="Z4398" s="0" t="n">
        <f aca="false">04_回帰ANOVA!$K$19*04_回帰ANOVA!$K$14*SQRT(1+Y4398)</f>
        <v>1.55654388501114</v>
      </c>
      <c r="AA4398" s="0" t="n">
        <f aca="false">X4398-Z4398</f>
        <v>40.5078475623573</v>
      </c>
      <c r="AB4398" s="0" t="n">
        <f aca="false">X4398+Z4398</f>
        <v>43.6209353323795</v>
      </c>
      <c r="AC4398" s="54" t="b">
        <f aca="false">AND(E4398&gt;=01_因子設定!$L$5-0.000000001,E4398&lt;=01_因子設定!$M$5+0.000000001,F4398&gt;=01_因子設定!$L$6-0.000000001,F4398&lt;=01_因子設定!$M$6+0.000000001,G4398&gt;=01_因子設定!$L$7-0.000000001,G4398&lt;=01_因子設定!$M$7+0.000000001,H4398&gt;=01_因子設定!$L$8-0.000000001,H4398&lt;=01_因子設定!$M$8+0.000000001,IF(01_因子設定!$B$20="Box-Behnken",E4398^2+F4398^2+G4398^2+H4398^2&lt;=2+0.000000001,TRUE()))</f>
        <v>1</v>
      </c>
      <c r="AD4398" s="55" t="n">
        <f aca="false">IF(AC4398,IF(01_因子設定!$B$13="最大化",AA4398-01_因子設定!$B$14,IF(01_因子設定!$B$13="最小化",01_因子設定!$B$15-AB4398,MIN(AA4398-01_因子設定!$B$14,01_因子設定!$B$15-AB4398))),-1E+030)</f>
        <v>-5.99215243764274</v>
      </c>
      <c r="AE4398" s="55" t="n">
        <f aca="false">IF(AC4398,IF(01_因子設定!$B$13="最大化",X4398,IF(01_因子設定!$B$13="最小化",-X4398,-ABS(X4398-01_因子設定!$B$16))),-1E+030)</f>
        <v>42.0643914473684</v>
      </c>
      <c r="AF4398" s="55" t="n">
        <f aca="false">AD4398+ROW()*0.000000001</f>
        <v>-5.99214803964274</v>
      </c>
      <c r="AG4398" s="55" t="n">
        <f aca="false">AE4398+ROW()*0.000000001</f>
        <v>42.0643958453684</v>
      </c>
    </row>
    <row r="4399" customFormat="false" ht="15" hidden="false" customHeight="false" outlineLevel="0" collapsed="false">
      <c r="A4399" s="0" t="n">
        <v>6</v>
      </c>
      <c r="B4399" s="0" t="n">
        <v>0</v>
      </c>
      <c r="C4399" s="0" t="n">
        <v>2</v>
      </c>
      <c r="D4399" s="0" t="n">
        <v>2</v>
      </c>
      <c r="E4399" s="0" t="n">
        <f aca="false">-1+A4399*0.25</f>
        <v>0.5</v>
      </c>
      <c r="F4399" s="0" t="n">
        <f aca="false">-1+B4399*0.25</f>
        <v>-1</v>
      </c>
      <c r="G4399" s="0" t="n">
        <f aca="false">-1+C4399*0.25</f>
        <v>-0.5</v>
      </c>
      <c r="H4399" s="0" t="n">
        <f aca="false">-1+D4399*0.25</f>
        <v>-0.5</v>
      </c>
      <c r="I4399" s="0" t="n">
        <f aca="false">1</f>
        <v>1</v>
      </c>
      <c r="J4399" s="0" t="n">
        <f aca="false">E4399</f>
        <v>0.5</v>
      </c>
      <c r="K4399" s="0" t="n">
        <f aca="false">F4399</f>
        <v>-1</v>
      </c>
      <c r="L4399" s="0" t="n">
        <f aca="false">G4399</f>
        <v>-0.5</v>
      </c>
      <c r="M4399" s="0" t="n">
        <f aca="false">H4399</f>
        <v>-0.5</v>
      </c>
      <c r="N4399" s="0" t="n">
        <f aca="false">E4399*F4399</f>
        <v>-0.5</v>
      </c>
      <c r="O4399" s="0" t="n">
        <f aca="false">E4399*G4399</f>
        <v>-0.25</v>
      </c>
      <c r="P4399" s="0" t="n">
        <f aca="false">E4399*H4399</f>
        <v>-0.25</v>
      </c>
      <c r="Q4399" s="0" t="n">
        <f aca="false">F4399*G4399</f>
        <v>0.5</v>
      </c>
      <c r="R4399" s="0" t="n">
        <f aca="false">F4399*H4399</f>
        <v>0.5</v>
      </c>
      <c r="S4399" s="0" t="n">
        <f aca="false">G4399*H4399</f>
        <v>0.25</v>
      </c>
      <c r="T4399" s="0" t="n">
        <f aca="false">E4399*E4399</f>
        <v>0.25</v>
      </c>
      <c r="U4399" s="0" t="n">
        <f aca="false">F4399*F4399</f>
        <v>1</v>
      </c>
      <c r="V4399" s="0" t="n">
        <f aca="false">G4399*G4399</f>
        <v>0.25</v>
      </c>
      <c r="W4399" s="0" t="n">
        <f aca="false">H4399*H4399</f>
        <v>0.25</v>
      </c>
      <c r="X4399" s="0" t="n">
        <f aca="false">SUMPRODUCT(I4399:W4399,_XtX!$B$96:$P$96)</f>
        <v>42.3181103801169</v>
      </c>
      <c r="Y4399" s="0" t="n">
        <f aca="false">SUMPRODUCT(MMULT(I4399:W4399,_XtX!$B$78:$P$92),I4399:W4399)</f>
        <v>0.404719480994152</v>
      </c>
      <c r="Z4399" s="0" t="n">
        <f aca="false">04_回帰ANOVA!$K$19*04_回帰ANOVA!$K$14*SQRT(1+Y4399)</f>
        <v>1.54487446697867</v>
      </c>
      <c r="AA4399" s="0" t="n">
        <f aca="false">X4399-Z4399</f>
        <v>40.7732359131383</v>
      </c>
      <c r="AB4399" s="0" t="n">
        <f aca="false">X4399+Z4399</f>
        <v>43.8629848470956</v>
      </c>
      <c r="AC4399" s="54" t="b">
        <f aca="false">AND(E4399&gt;=01_因子設定!$L$5-0.000000001,E4399&lt;=01_因子設定!$M$5+0.000000001,F4399&gt;=01_因子設定!$L$6-0.000000001,F4399&lt;=01_因子設定!$M$6+0.000000001,G4399&gt;=01_因子設定!$L$7-0.000000001,G4399&lt;=01_因子設定!$M$7+0.000000001,H4399&gt;=01_因子設定!$L$8-0.000000001,H4399&lt;=01_因子設定!$M$8+0.000000001,IF(01_因子設定!$B$20="Box-Behnken",E4399^2+F4399^2+G4399^2+H4399^2&lt;=2+0.000000001,TRUE()))</f>
        <v>1</v>
      </c>
      <c r="AD4399" s="55" t="n">
        <f aca="false">IF(AC4399,IF(01_因子設定!$B$13="最大化",AA4399-01_因子設定!$B$14,IF(01_因子設定!$B$13="最小化",01_因子設定!$B$15-AB4399,MIN(AA4399-01_因子設定!$B$14,01_因子設定!$B$15-AB4399))),-1E+030)</f>
        <v>-5.72676408686175</v>
      </c>
      <c r="AE4399" s="55" t="n">
        <f aca="false">IF(AC4399,IF(01_因子設定!$B$13="最大化",X4399,IF(01_因子設定!$B$13="最小化",-X4399,-ABS(X4399-01_因子設定!$B$16))),-1E+030)</f>
        <v>42.3181103801169</v>
      </c>
      <c r="AF4399" s="55" t="n">
        <f aca="false">AD4399+ROW()*0.000000001</f>
        <v>-5.72675968786175</v>
      </c>
      <c r="AG4399" s="55" t="n">
        <f aca="false">AE4399+ROW()*0.000000001</f>
        <v>42.3181147791169</v>
      </c>
    </row>
    <row r="4400" customFormat="false" ht="15" hidden="false" customHeight="false" outlineLevel="0" collapsed="false">
      <c r="A4400" s="0" t="n">
        <v>6</v>
      </c>
      <c r="B4400" s="0" t="n">
        <v>0</v>
      </c>
      <c r="C4400" s="0" t="n">
        <v>2</v>
      </c>
      <c r="D4400" s="0" t="n">
        <v>3</v>
      </c>
      <c r="E4400" s="0" t="n">
        <f aca="false">-1+A4400*0.25</f>
        <v>0.5</v>
      </c>
      <c r="F4400" s="0" t="n">
        <f aca="false">-1+B4400*0.25</f>
        <v>-1</v>
      </c>
      <c r="G4400" s="0" t="n">
        <f aca="false">-1+C4400*0.25</f>
        <v>-0.5</v>
      </c>
      <c r="H4400" s="0" t="n">
        <f aca="false">-1+D4400*0.25</f>
        <v>-0.25</v>
      </c>
      <c r="I4400" s="0" t="n">
        <f aca="false">1</f>
        <v>1</v>
      </c>
      <c r="J4400" s="0" t="n">
        <f aca="false">E4400</f>
        <v>0.5</v>
      </c>
      <c r="K4400" s="0" t="n">
        <f aca="false">F4400</f>
        <v>-1</v>
      </c>
      <c r="L4400" s="0" t="n">
        <f aca="false">G4400</f>
        <v>-0.5</v>
      </c>
      <c r="M4400" s="0" t="n">
        <f aca="false">H4400</f>
        <v>-0.25</v>
      </c>
      <c r="N4400" s="0" t="n">
        <f aca="false">E4400*F4400</f>
        <v>-0.5</v>
      </c>
      <c r="O4400" s="0" t="n">
        <f aca="false">E4400*G4400</f>
        <v>-0.25</v>
      </c>
      <c r="P4400" s="0" t="n">
        <f aca="false">E4400*H4400</f>
        <v>-0.125</v>
      </c>
      <c r="Q4400" s="0" t="n">
        <f aca="false">F4400*G4400</f>
        <v>0.5</v>
      </c>
      <c r="R4400" s="0" t="n">
        <f aca="false">F4400*H4400</f>
        <v>0.25</v>
      </c>
      <c r="S4400" s="0" t="n">
        <f aca="false">G4400*H4400</f>
        <v>0.125</v>
      </c>
      <c r="T4400" s="0" t="n">
        <f aca="false">E4400*E4400</f>
        <v>0.25</v>
      </c>
      <c r="U4400" s="0" t="n">
        <f aca="false">F4400*F4400</f>
        <v>1</v>
      </c>
      <c r="V4400" s="0" t="n">
        <f aca="false">G4400*G4400</f>
        <v>0.25</v>
      </c>
      <c r="W4400" s="0" t="n">
        <f aca="false">H4400*H4400</f>
        <v>0.0625</v>
      </c>
      <c r="X4400" s="0" t="n">
        <f aca="false">SUMPRODUCT(I4400:W4400,_XtX!$B$96:$P$96)</f>
        <v>42.5240222953216</v>
      </c>
      <c r="Y4400" s="0" t="n">
        <f aca="false">SUMPRODUCT(MMULT(I4400:W4400,_XtX!$B$78:$P$92),I4400:W4400)</f>
        <v>0.428122715643275</v>
      </c>
      <c r="Z4400" s="0" t="n">
        <f aca="false">04_回帰ANOVA!$K$19*04_回帰ANOVA!$K$14*SQRT(1+Y4400)</f>
        <v>1.55769044623229</v>
      </c>
      <c r="AA4400" s="0" t="n">
        <f aca="false">X4400-Z4400</f>
        <v>40.9663318490893</v>
      </c>
      <c r="AB4400" s="0" t="n">
        <f aca="false">X4400+Z4400</f>
        <v>44.0817127415539</v>
      </c>
      <c r="AC4400" s="54" t="b">
        <f aca="false">AND(E4400&gt;=01_因子設定!$L$5-0.000000001,E4400&lt;=01_因子設定!$M$5+0.000000001,F4400&gt;=01_因子設定!$L$6-0.000000001,F4400&lt;=01_因子設定!$M$6+0.000000001,G4400&gt;=01_因子設定!$L$7-0.000000001,G4400&lt;=01_因子設定!$M$7+0.000000001,H4400&gt;=01_因子設定!$L$8-0.000000001,H4400&lt;=01_因子設定!$M$8+0.000000001,IF(01_因子設定!$B$20="Box-Behnken",E4400^2+F4400^2+G4400^2+H4400^2&lt;=2+0.000000001,TRUE()))</f>
        <v>1</v>
      </c>
      <c r="AD4400" s="55" t="n">
        <f aca="false">IF(AC4400,IF(01_因子設定!$B$13="最大化",AA4400-01_因子設定!$B$14,IF(01_因子設定!$B$13="最小化",01_因子設定!$B$15-AB4400,MIN(AA4400-01_因子設定!$B$14,01_因子設定!$B$15-AB4400))),-1E+030)</f>
        <v>-5.5336681509107</v>
      </c>
      <c r="AE4400" s="55" t="n">
        <f aca="false">IF(AC4400,IF(01_因子設定!$B$13="最大化",X4400,IF(01_因子設定!$B$13="最小化",-X4400,-ABS(X4400-01_因子設定!$B$16))),-1E+030)</f>
        <v>42.5240222953216</v>
      </c>
      <c r="AF4400" s="55" t="n">
        <f aca="false">AD4400+ROW()*0.000000001</f>
        <v>-5.5336637509107</v>
      </c>
      <c r="AG4400" s="55" t="n">
        <f aca="false">AE4400+ROW()*0.000000001</f>
        <v>42.5240266953216</v>
      </c>
    </row>
    <row r="4401" customFormat="false" ht="15" hidden="false" customHeight="false" outlineLevel="0" collapsed="false">
      <c r="A4401" s="0" t="n">
        <v>6</v>
      </c>
      <c r="B4401" s="0" t="n">
        <v>0</v>
      </c>
      <c r="C4401" s="0" t="n">
        <v>2</v>
      </c>
      <c r="D4401" s="0" t="n">
        <v>4</v>
      </c>
      <c r="E4401" s="0" t="n">
        <f aca="false">-1+A4401*0.25</f>
        <v>0.5</v>
      </c>
      <c r="F4401" s="0" t="n">
        <f aca="false">-1+B4401*0.25</f>
        <v>-1</v>
      </c>
      <c r="G4401" s="0" t="n">
        <f aca="false">-1+C4401*0.25</f>
        <v>-0.5</v>
      </c>
      <c r="H4401" s="0" t="n">
        <f aca="false">-1+D4401*0.25</f>
        <v>0</v>
      </c>
      <c r="I4401" s="0" t="n">
        <f aca="false">1</f>
        <v>1</v>
      </c>
      <c r="J4401" s="0" t="n">
        <f aca="false">E4401</f>
        <v>0.5</v>
      </c>
      <c r="K4401" s="0" t="n">
        <f aca="false">F4401</f>
        <v>-1</v>
      </c>
      <c r="L4401" s="0" t="n">
        <f aca="false">G4401</f>
        <v>-0.5</v>
      </c>
      <c r="M4401" s="0" t="n">
        <f aca="false">H4401</f>
        <v>0</v>
      </c>
      <c r="N4401" s="0" t="n">
        <f aca="false">E4401*F4401</f>
        <v>-0.5</v>
      </c>
      <c r="O4401" s="0" t="n">
        <f aca="false">E4401*G4401</f>
        <v>-0.25</v>
      </c>
      <c r="P4401" s="0" t="n">
        <f aca="false">E4401*H4401</f>
        <v>0</v>
      </c>
      <c r="Q4401" s="0" t="n">
        <f aca="false">F4401*G4401</f>
        <v>0.5</v>
      </c>
      <c r="R4401" s="0" t="n">
        <f aca="false">F4401*H4401</f>
        <v>-0</v>
      </c>
      <c r="S4401" s="0" t="n">
        <f aca="false">G4401*H4401</f>
        <v>-0</v>
      </c>
      <c r="T4401" s="0" t="n">
        <f aca="false">E4401*E4401</f>
        <v>0.25</v>
      </c>
      <c r="U4401" s="0" t="n">
        <f aca="false">F4401*F4401</f>
        <v>1</v>
      </c>
      <c r="V4401" s="0" t="n">
        <f aca="false">G4401*G4401</f>
        <v>0.25</v>
      </c>
      <c r="W4401" s="0" t="n">
        <f aca="false">H4401*H4401</f>
        <v>0</v>
      </c>
      <c r="X4401" s="0" t="n">
        <f aca="false">SUMPRODUCT(I4401:W4401,_XtX!$B$96:$P$96)</f>
        <v>42.6821271929824</v>
      </c>
      <c r="Y4401" s="0" t="n">
        <f aca="false">SUMPRODUCT(MMULT(I4401:W4401,_XtX!$B$78:$P$92),I4401:W4401)</f>
        <v>0.441954495614035</v>
      </c>
      <c r="Z4401" s="0" t="n">
        <f aca="false">04_回帰ANOVA!$K$19*04_回帰ANOVA!$K$14*SQRT(1+Y4401)</f>
        <v>1.56521560968066</v>
      </c>
      <c r="AA4401" s="0" t="n">
        <f aca="false">X4401-Z4401</f>
        <v>41.1169115833018</v>
      </c>
      <c r="AB4401" s="0" t="n">
        <f aca="false">X4401+Z4401</f>
        <v>44.2473428026631</v>
      </c>
      <c r="AC4401" s="54" t="b">
        <f aca="false">AND(E4401&gt;=01_因子設定!$L$5-0.000000001,E4401&lt;=01_因子設定!$M$5+0.000000001,F4401&gt;=01_因子設定!$L$6-0.000000001,F4401&lt;=01_因子設定!$M$6+0.000000001,G4401&gt;=01_因子設定!$L$7-0.000000001,G4401&lt;=01_因子設定!$M$7+0.000000001,H4401&gt;=01_因子設定!$L$8-0.000000001,H4401&lt;=01_因子設定!$M$8+0.000000001,IF(01_因子設定!$B$20="Box-Behnken",E4401^2+F4401^2+G4401^2+H4401^2&lt;=2+0.000000001,TRUE()))</f>
        <v>1</v>
      </c>
      <c r="AD4401" s="55" t="n">
        <f aca="false">IF(AC4401,IF(01_因子設定!$B$13="最大化",AA4401-01_因子設定!$B$14,IF(01_因子設定!$B$13="最小化",01_因子設定!$B$15-AB4401,MIN(AA4401-01_因子設定!$B$14,01_因子設定!$B$15-AB4401))),-1E+030)</f>
        <v>-5.38308841669825</v>
      </c>
      <c r="AE4401" s="55" t="n">
        <f aca="false">IF(AC4401,IF(01_因子設定!$B$13="最大化",X4401,IF(01_因子設定!$B$13="最小化",-X4401,-ABS(X4401-01_因子設定!$B$16))),-1E+030)</f>
        <v>42.6821271929824</v>
      </c>
      <c r="AF4401" s="55" t="n">
        <f aca="false">AD4401+ROW()*0.000000001</f>
        <v>-5.38308401569825</v>
      </c>
      <c r="AG4401" s="55" t="n">
        <f aca="false">AE4401+ROW()*0.000000001</f>
        <v>42.6821315939824</v>
      </c>
    </row>
    <row r="4402" customFormat="false" ht="15" hidden="false" customHeight="false" outlineLevel="0" collapsed="false">
      <c r="A4402" s="0" t="n">
        <v>6</v>
      </c>
      <c r="B4402" s="0" t="n">
        <v>0</v>
      </c>
      <c r="C4402" s="0" t="n">
        <v>2</v>
      </c>
      <c r="D4402" s="0" t="n">
        <v>5</v>
      </c>
      <c r="E4402" s="0" t="n">
        <f aca="false">-1+A4402*0.25</f>
        <v>0.5</v>
      </c>
      <c r="F4402" s="0" t="n">
        <f aca="false">-1+B4402*0.25</f>
        <v>-1</v>
      </c>
      <c r="G4402" s="0" t="n">
        <f aca="false">-1+C4402*0.25</f>
        <v>-0.5</v>
      </c>
      <c r="H4402" s="0" t="n">
        <f aca="false">-1+D4402*0.25</f>
        <v>0.25</v>
      </c>
      <c r="I4402" s="0" t="n">
        <f aca="false">1</f>
        <v>1</v>
      </c>
      <c r="J4402" s="0" t="n">
        <f aca="false">E4402</f>
        <v>0.5</v>
      </c>
      <c r="K4402" s="0" t="n">
        <f aca="false">F4402</f>
        <v>-1</v>
      </c>
      <c r="L4402" s="0" t="n">
        <f aca="false">G4402</f>
        <v>-0.5</v>
      </c>
      <c r="M4402" s="0" t="n">
        <f aca="false">H4402</f>
        <v>0.25</v>
      </c>
      <c r="N4402" s="0" t="n">
        <f aca="false">E4402*F4402</f>
        <v>-0.5</v>
      </c>
      <c r="O4402" s="0" t="n">
        <f aca="false">E4402*G4402</f>
        <v>-0.25</v>
      </c>
      <c r="P4402" s="0" t="n">
        <f aca="false">E4402*H4402</f>
        <v>0.125</v>
      </c>
      <c r="Q4402" s="0" t="n">
        <f aca="false">F4402*G4402</f>
        <v>0.5</v>
      </c>
      <c r="R4402" s="0" t="n">
        <f aca="false">F4402*H4402</f>
        <v>-0.25</v>
      </c>
      <c r="S4402" s="0" t="n">
        <f aca="false">G4402*H4402</f>
        <v>-0.125</v>
      </c>
      <c r="T4402" s="0" t="n">
        <f aca="false">E4402*E4402</f>
        <v>0.25</v>
      </c>
      <c r="U4402" s="0" t="n">
        <f aca="false">F4402*F4402</f>
        <v>1</v>
      </c>
      <c r="V4402" s="0" t="n">
        <f aca="false">G4402*G4402</f>
        <v>0.25</v>
      </c>
      <c r="W4402" s="0" t="n">
        <f aca="false">H4402*H4402</f>
        <v>0.0625</v>
      </c>
      <c r="X4402" s="0" t="n">
        <f aca="false">SUMPRODUCT(I4402:W4402,_XtX!$B$96:$P$96)</f>
        <v>42.7924250730994</v>
      </c>
      <c r="Y4402" s="0" t="n">
        <f aca="false">SUMPRODUCT(MMULT(I4402:W4402,_XtX!$B$78:$P$92),I4402:W4402)</f>
        <v>0.428122715643275</v>
      </c>
      <c r="Z4402" s="0" t="n">
        <f aca="false">04_回帰ANOVA!$K$19*04_回帰ANOVA!$K$14*SQRT(1+Y4402)</f>
        <v>1.55769044623229</v>
      </c>
      <c r="AA4402" s="0" t="n">
        <f aca="false">X4402-Z4402</f>
        <v>41.2347346268671</v>
      </c>
      <c r="AB4402" s="0" t="n">
        <f aca="false">X4402+Z4402</f>
        <v>44.3501155193317</v>
      </c>
      <c r="AC4402" s="54" t="b">
        <f aca="false">AND(E4402&gt;=01_因子設定!$L$5-0.000000001,E4402&lt;=01_因子設定!$M$5+0.000000001,F4402&gt;=01_因子設定!$L$6-0.000000001,F4402&lt;=01_因子設定!$M$6+0.000000001,G4402&gt;=01_因子設定!$L$7-0.000000001,G4402&lt;=01_因子設定!$M$7+0.000000001,H4402&gt;=01_因子設定!$L$8-0.000000001,H4402&lt;=01_因子設定!$M$8+0.000000001,IF(01_因子設定!$B$20="Box-Behnken",E4402^2+F4402^2+G4402^2+H4402^2&lt;=2+0.000000001,TRUE()))</f>
        <v>1</v>
      </c>
      <c r="AD4402" s="55" t="n">
        <f aca="false">IF(AC4402,IF(01_因子設定!$B$13="最大化",AA4402-01_因子設定!$B$14,IF(01_因子設定!$B$13="最小化",01_因子設定!$B$15-AB4402,MIN(AA4402-01_因子設定!$B$14,01_因子設定!$B$15-AB4402))),-1E+030)</f>
        <v>-5.26526537313292</v>
      </c>
      <c r="AE4402" s="55" t="n">
        <f aca="false">IF(AC4402,IF(01_因子設定!$B$13="最大化",X4402,IF(01_因子設定!$B$13="最小化",-X4402,-ABS(X4402-01_因子設定!$B$16))),-1E+030)</f>
        <v>42.7924250730994</v>
      </c>
      <c r="AF4402" s="55" t="n">
        <f aca="false">AD4402+ROW()*0.000000001</f>
        <v>-5.26526097113292</v>
      </c>
      <c r="AG4402" s="55" t="n">
        <f aca="false">AE4402+ROW()*0.000000001</f>
        <v>42.7924294750994</v>
      </c>
    </row>
    <row r="4403" customFormat="false" ht="15" hidden="false" customHeight="false" outlineLevel="0" collapsed="false">
      <c r="A4403" s="0" t="n">
        <v>6</v>
      </c>
      <c r="B4403" s="0" t="n">
        <v>0</v>
      </c>
      <c r="C4403" s="0" t="n">
        <v>2</v>
      </c>
      <c r="D4403" s="0" t="n">
        <v>6</v>
      </c>
      <c r="E4403" s="0" t="n">
        <f aca="false">-1+A4403*0.25</f>
        <v>0.5</v>
      </c>
      <c r="F4403" s="0" t="n">
        <f aca="false">-1+B4403*0.25</f>
        <v>-1</v>
      </c>
      <c r="G4403" s="0" t="n">
        <f aca="false">-1+C4403*0.25</f>
        <v>-0.5</v>
      </c>
      <c r="H4403" s="0" t="n">
        <f aca="false">-1+D4403*0.25</f>
        <v>0.5</v>
      </c>
      <c r="I4403" s="0" t="n">
        <f aca="false">1</f>
        <v>1</v>
      </c>
      <c r="J4403" s="0" t="n">
        <f aca="false">E4403</f>
        <v>0.5</v>
      </c>
      <c r="K4403" s="0" t="n">
        <f aca="false">F4403</f>
        <v>-1</v>
      </c>
      <c r="L4403" s="0" t="n">
        <f aca="false">G4403</f>
        <v>-0.5</v>
      </c>
      <c r="M4403" s="0" t="n">
        <f aca="false">H4403</f>
        <v>0.5</v>
      </c>
      <c r="N4403" s="0" t="n">
        <f aca="false">E4403*F4403</f>
        <v>-0.5</v>
      </c>
      <c r="O4403" s="0" t="n">
        <f aca="false">E4403*G4403</f>
        <v>-0.25</v>
      </c>
      <c r="P4403" s="0" t="n">
        <f aca="false">E4403*H4403</f>
        <v>0.25</v>
      </c>
      <c r="Q4403" s="0" t="n">
        <f aca="false">F4403*G4403</f>
        <v>0.5</v>
      </c>
      <c r="R4403" s="0" t="n">
        <f aca="false">F4403*H4403</f>
        <v>-0.5</v>
      </c>
      <c r="S4403" s="0" t="n">
        <f aca="false">G4403*H4403</f>
        <v>-0.25</v>
      </c>
      <c r="T4403" s="0" t="n">
        <f aca="false">E4403*E4403</f>
        <v>0.25</v>
      </c>
      <c r="U4403" s="0" t="n">
        <f aca="false">F4403*F4403</f>
        <v>1</v>
      </c>
      <c r="V4403" s="0" t="n">
        <f aca="false">G4403*G4403</f>
        <v>0.25</v>
      </c>
      <c r="W4403" s="0" t="n">
        <f aca="false">H4403*H4403</f>
        <v>0.25</v>
      </c>
      <c r="X4403" s="0" t="n">
        <f aca="false">SUMPRODUCT(I4403:W4403,_XtX!$B$96:$P$96)</f>
        <v>42.8549159356725</v>
      </c>
      <c r="Y4403" s="0" t="n">
        <f aca="false">SUMPRODUCT(MMULT(I4403:W4403,_XtX!$B$78:$P$92),I4403:W4403)</f>
        <v>0.404719480994152</v>
      </c>
      <c r="Z4403" s="0" t="n">
        <f aca="false">04_回帰ANOVA!$K$19*04_回帰ANOVA!$K$14*SQRT(1+Y4403)</f>
        <v>1.54487446697867</v>
      </c>
      <c r="AA4403" s="0" t="n">
        <f aca="false">X4403-Z4403</f>
        <v>41.3100414686938</v>
      </c>
      <c r="AB4403" s="0" t="n">
        <f aca="false">X4403+Z4403</f>
        <v>44.3997904026512</v>
      </c>
      <c r="AC4403" s="54" t="b">
        <f aca="false">AND(E4403&gt;=01_因子設定!$L$5-0.000000001,E4403&lt;=01_因子設定!$M$5+0.000000001,F4403&gt;=01_因子設定!$L$6-0.000000001,F4403&lt;=01_因子設定!$M$6+0.000000001,G4403&gt;=01_因子設定!$L$7-0.000000001,G4403&lt;=01_因子設定!$M$7+0.000000001,H4403&gt;=01_因子設定!$L$8-0.000000001,H4403&lt;=01_因子設定!$M$8+0.000000001,IF(01_因子設定!$B$20="Box-Behnken",E4403^2+F4403^2+G4403^2+H4403^2&lt;=2+0.000000001,TRUE()))</f>
        <v>1</v>
      </c>
      <c r="AD4403" s="55" t="n">
        <f aca="false">IF(AC4403,IF(01_因子設定!$B$13="最大化",AA4403-01_因子設定!$B$14,IF(01_因子設定!$B$13="最小化",01_因子設定!$B$15-AB4403,MIN(AA4403-01_因子設定!$B$14,01_因子設定!$B$15-AB4403))),-1E+030)</f>
        <v>-5.1899585313062</v>
      </c>
      <c r="AE4403" s="55" t="n">
        <f aca="false">IF(AC4403,IF(01_因子設定!$B$13="最大化",X4403,IF(01_因子設定!$B$13="最小化",-X4403,-ABS(X4403-01_因子設定!$B$16))),-1E+030)</f>
        <v>42.8549159356725</v>
      </c>
      <c r="AF4403" s="55" t="n">
        <f aca="false">AD4403+ROW()*0.000000001</f>
        <v>-5.1899541283062</v>
      </c>
      <c r="AG4403" s="55" t="n">
        <f aca="false">AE4403+ROW()*0.000000001</f>
        <v>42.8549203386725</v>
      </c>
    </row>
    <row r="4404" customFormat="false" ht="15" hidden="false" customHeight="false" outlineLevel="0" collapsed="false">
      <c r="A4404" s="0" t="n">
        <v>6</v>
      </c>
      <c r="B4404" s="0" t="n">
        <v>0</v>
      </c>
      <c r="C4404" s="0" t="n">
        <v>2</v>
      </c>
      <c r="D4404" s="0" t="n">
        <v>7</v>
      </c>
      <c r="E4404" s="0" t="n">
        <f aca="false">-1+A4404*0.25</f>
        <v>0.5</v>
      </c>
      <c r="F4404" s="0" t="n">
        <f aca="false">-1+B4404*0.25</f>
        <v>-1</v>
      </c>
      <c r="G4404" s="0" t="n">
        <f aca="false">-1+C4404*0.25</f>
        <v>-0.5</v>
      </c>
      <c r="H4404" s="0" t="n">
        <f aca="false">-1+D4404*0.25</f>
        <v>0.75</v>
      </c>
      <c r="I4404" s="0" t="n">
        <f aca="false">1</f>
        <v>1</v>
      </c>
      <c r="J4404" s="0" t="n">
        <f aca="false">E4404</f>
        <v>0.5</v>
      </c>
      <c r="K4404" s="0" t="n">
        <f aca="false">F4404</f>
        <v>-1</v>
      </c>
      <c r="L4404" s="0" t="n">
        <f aca="false">G4404</f>
        <v>-0.5</v>
      </c>
      <c r="M4404" s="0" t="n">
        <f aca="false">H4404</f>
        <v>0.75</v>
      </c>
      <c r="N4404" s="0" t="n">
        <f aca="false">E4404*F4404</f>
        <v>-0.5</v>
      </c>
      <c r="O4404" s="0" t="n">
        <f aca="false">E4404*G4404</f>
        <v>-0.25</v>
      </c>
      <c r="P4404" s="0" t="n">
        <f aca="false">E4404*H4404</f>
        <v>0.375</v>
      </c>
      <c r="Q4404" s="0" t="n">
        <f aca="false">F4404*G4404</f>
        <v>0.5</v>
      </c>
      <c r="R4404" s="0" t="n">
        <f aca="false">F4404*H4404</f>
        <v>-0.75</v>
      </c>
      <c r="S4404" s="0" t="n">
        <f aca="false">G4404*H4404</f>
        <v>-0.375</v>
      </c>
      <c r="T4404" s="0" t="n">
        <f aca="false">E4404*E4404</f>
        <v>0.25</v>
      </c>
      <c r="U4404" s="0" t="n">
        <f aca="false">F4404*F4404</f>
        <v>1</v>
      </c>
      <c r="V4404" s="0" t="n">
        <f aca="false">G4404*G4404</f>
        <v>0.25</v>
      </c>
      <c r="W4404" s="0" t="n">
        <f aca="false">H4404*H4404</f>
        <v>0.5625</v>
      </c>
      <c r="X4404" s="0" t="n">
        <f aca="false">SUMPRODUCT(I4404:W4404,_XtX!$B$96:$P$96)</f>
        <v>42.8695997807017</v>
      </c>
      <c r="Y4404" s="0" t="n">
        <f aca="false">SUMPRODUCT(MMULT(I4404:W4404,_XtX!$B$78:$P$92),I4404:W4404)</f>
        <v>0.42602110745614</v>
      </c>
      <c r="Z4404" s="0" t="n">
        <f aca="false">04_回帰ANOVA!$K$19*04_回帰ANOVA!$K$14*SQRT(1+Y4404)</f>
        <v>1.55654388501114</v>
      </c>
      <c r="AA4404" s="0" t="n">
        <f aca="false">X4404-Z4404</f>
        <v>41.3130558956906</v>
      </c>
      <c r="AB4404" s="0" t="n">
        <f aca="false">X4404+Z4404</f>
        <v>44.4261436657129</v>
      </c>
      <c r="AC4404" s="54" t="b">
        <f aca="false">AND(E4404&gt;=01_因子設定!$L$5-0.000000001,E4404&lt;=01_因子設定!$M$5+0.000000001,F4404&gt;=01_因子設定!$L$6-0.000000001,F4404&lt;=01_因子設定!$M$6+0.000000001,G4404&gt;=01_因子設定!$L$7-0.000000001,G4404&lt;=01_因子設定!$M$7+0.000000001,H4404&gt;=01_因子設定!$L$8-0.000000001,H4404&lt;=01_因子設定!$M$8+0.000000001,IF(01_因子設定!$B$20="Box-Behnken",E4404^2+F4404^2+G4404^2+H4404^2&lt;=2+0.000000001,TRUE()))</f>
        <v>1</v>
      </c>
      <c r="AD4404" s="55" t="n">
        <f aca="false">IF(AC4404,IF(01_因子設定!$B$13="最大化",AA4404-01_因子設定!$B$14,IF(01_因子設定!$B$13="最小化",01_因子設定!$B$15-AB4404,MIN(AA4404-01_因子設定!$B$14,01_因子設定!$B$15-AB4404))),-1E+030)</f>
        <v>-5.1869441043094</v>
      </c>
      <c r="AE4404" s="55" t="n">
        <f aca="false">IF(AC4404,IF(01_因子設定!$B$13="最大化",X4404,IF(01_因子設定!$B$13="最小化",-X4404,-ABS(X4404-01_因子設定!$B$16))),-1E+030)</f>
        <v>42.8695997807017</v>
      </c>
      <c r="AF4404" s="55" t="n">
        <f aca="false">AD4404+ROW()*0.000000001</f>
        <v>-5.1869397003094</v>
      </c>
      <c r="AG4404" s="55" t="n">
        <f aca="false">AE4404+ROW()*0.000000001</f>
        <v>42.8696041847017</v>
      </c>
    </row>
    <row r="4405" customFormat="false" ht="15" hidden="false" customHeight="false" outlineLevel="0" collapsed="false">
      <c r="A4405" s="0" t="n">
        <v>6</v>
      </c>
      <c r="B4405" s="0" t="n">
        <v>0</v>
      </c>
      <c r="C4405" s="0" t="n">
        <v>2</v>
      </c>
      <c r="D4405" s="0" t="n">
        <v>8</v>
      </c>
      <c r="E4405" s="0" t="n">
        <f aca="false">-1+A4405*0.25</f>
        <v>0.5</v>
      </c>
      <c r="F4405" s="0" t="n">
        <f aca="false">-1+B4405*0.25</f>
        <v>-1</v>
      </c>
      <c r="G4405" s="0" t="n">
        <f aca="false">-1+C4405*0.25</f>
        <v>-0.5</v>
      </c>
      <c r="H4405" s="0" t="n">
        <f aca="false">-1+D4405*0.25</f>
        <v>1</v>
      </c>
      <c r="I4405" s="0" t="n">
        <f aca="false">1</f>
        <v>1</v>
      </c>
      <c r="J4405" s="0" t="n">
        <f aca="false">E4405</f>
        <v>0.5</v>
      </c>
      <c r="K4405" s="0" t="n">
        <f aca="false">F4405</f>
        <v>-1</v>
      </c>
      <c r="L4405" s="0" t="n">
        <f aca="false">G4405</f>
        <v>-0.5</v>
      </c>
      <c r="M4405" s="0" t="n">
        <f aca="false">H4405</f>
        <v>1</v>
      </c>
      <c r="N4405" s="0" t="n">
        <f aca="false">E4405*F4405</f>
        <v>-0.5</v>
      </c>
      <c r="O4405" s="0" t="n">
        <f aca="false">E4405*G4405</f>
        <v>-0.25</v>
      </c>
      <c r="P4405" s="0" t="n">
        <f aca="false">E4405*H4405</f>
        <v>0.5</v>
      </c>
      <c r="Q4405" s="0" t="n">
        <f aca="false">F4405*G4405</f>
        <v>0.5</v>
      </c>
      <c r="R4405" s="0" t="n">
        <f aca="false">F4405*H4405</f>
        <v>-1</v>
      </c>
      <c r="S4405" s="0" t="n">
        <f aca="false">G4405*H4405</f>
        <v>-0.5</v>
      </c>
      <c r="T4405" s="0" t="n">
        <f aca="false">E4405*E4405</f>
        <v>0.25</v>
      </c>
      <c r="U4405" s="0" t="n">
        <f aca="false">F4405*F4405</f>
        <v>1</v>
      </c>
      <c r="V4405" s="0" t="n">
        <f aca="false">G4405*G4405</f>
        <v>0.25</v>
      </c>
      <c r="W4405" s="0" t="n">
        <f aca="false">H4405*H4405</f>
        <v>1</v>
      </c>
      <c r="X4405" s="0" t="n">
        <f aca="false">SUMPRODUCT(I4405:W4405,_XtX!$B$96:$P$96)</f>
        <v>42.8364766081871</v>
      </c>
      <c r="Y4405" s="0" t="n">
        <f aca="false">SUMPRODUCT(MMULT(I4405:W4405,_XtX!$B$78:$P$92),I4405:W4405)</f>
        <v>0.582488121345029</v>
      </c>
      <c r="Z4405" s="0" t="n">
        <f aca="false">04_回帰ANOVA!$K$19*04_回帰ANOVA!$K$14*SQRT(1+Y4405)</f>
        <v>1.63971595338287</v>
      </c>
      <c r="AA4405" s="0" t="n">
        <f aca="false">X4405-Z4405</f>
        <v>41.1967606548043</v>
      </c>
      <c r="AB4405" s="0" t="n">
        <f aca="false">X4405+Z4405</f>
        <v>44.47619256157</v>
      </c>
      <c r="AC4405" s="54" t="b">
        <f aca="false">AND(E4405&gt;=01_因子設定!$L$5-0.000000001,E4405&lt;=01_因子設定!$M$5+0.000000001,F4405&gt;=01_因子設定!$L$6-0.000000001,F4405&lt;=01_因子設定!$M$6+0.000000001,G4405&gt;=01_因子設定!$L$7-0.000000001,G4405&lt;=01_因子設定!$M$7+0.000000001,H4405&gt;=01_因子設定!$L$8-0.000000001,H4405&lt;=01_因子設定!$M$8+0.000000001,IF(01_因子設定!$B$20="Box-Behnken",E4405^2+F4405^2+G4405^2+H4405^2&lt;=2+0.000000001,TRUE()))</f>
        <v>1</v>
      </c>
      <c r="AD4405" s="55" t="n">
        <f aca="false">IF(AC4405,IF(01_因子設定!$B$13="最大化",AA4405-01_因子設定!$B$14,IF(01_因子設定!$B$13="最小化",01_因子設定!$B$15-AB4405,MIN(AA4405-01_因子設定!$B$14,01_因子設定!$B$15-AB4405))),-1E+030)</f>
        <v>-5.30323934519574</v>
      </c>
      <c r="AE4405" s="55" t="n">
        <f aca="false">IF(AC4405,IF(01_因子設定!$B$13="最大化",X4405,IF(01_因子設定!$B$13="最小化",-X4405,-ABS(X4405-01_因子設定!$B$16))),-1E+030)</f>
        <v>42.8364766081871</v>
      </c>
      <c r="AF4405" s="55" t="n">
        <f aca="false">AD4405+ROW()*0.000000001</f>
        <v>-5.30323494019574</v>
      </c>
      <c r="AG4405" s="55" t="n">
        <f aca="false">AE4405+ROW()*0.000000001</f>
        <v>42.8364810131871</v>
      </c>
    </row>
    <row r="4406" customFormat="false" ht="15" hidden="false" customHeight="false" outlineLevel="0" collapsed="false">
      <c r="A4406" s="0" t="n">
        <v>6</v>
      </c>
      <c r="B4406" s="0" t="n">
        <v>0</v>
      </c>
      <c r="C4406" s="0" t="n">
        <v>3</v>
      </c>
      <c r="D4406" s="0" t="n">
        <v>0</v>
      </c>
      <c r="E4406" s="0" t="n">
        <f aca="false">-1+A4406*0.25</f>
        <v>0.5</v>
      </c>
      <c r="F4406" s="0" t="n">
        <f aca="false">-1+B4406*0.25</f>
        <v>-1</v>
      </c>
      <c r="G4406" s="0" t="n">
        <f aca="false">-1+C4406*0.25</f>
        <v>-0.25</v>
      </c>
      <c r="H4406" s="0" t="n">
        <f aca="false">-1+D4406*0.25</f>
        <v>-1</v>
      </c>
      <c r="I4406" s="0" t="n">
        <f aca="false">1</f>
        <v>1</v>
      </c>
      <c r="J4406" s="0" t="n">
        <f aca="false">E4406</f>
        <v>0.5</v>
      </c>
      <c r="K4406" s="0" t="n">
        <f aca="false">F4406</f>
        <v>-1</v>
      </c>
      <c r="L4406" s="0" t="n">
        <f aca="false">G4406</f>
        <v>-0.25</v>
      </c>
      <c r="M4406" s="0" t="n">
        <f aca="false">H4406</f>
        <v>-1</v>
      </c>
      <c r="N4406" s="0" t="n">
        <f aca="false">E4406*F4406</f>
        <v>-0.5</v>
      </c>
      <c r="O4406" s="0" t="n">
        <f aca="false">E4406*G4406</f>
        <v>-0.125</v>
      </c>
      <c r="P4406" s="0" t="n">
        <f aca="false">E4406*H4406</f>
        <v>-0.5</v>
      </c>
      <c r="Q4406" s="0" t="n">
        <f aca="false">F4406*G4406</f>
        <v>0.25</v>
      </c>
      <c r="R4406" s="0" t="n">
        <f aca="false">F4406*H4406</f>
        <v>1</v>
      </c>
      <c r="S4406" s="0" t="n">
        <f aca="false">G4406*H4406</f>
        <v>0.25</v>
      </c>
      <c r="T4406" s="0" t="n">
        <f aca="false">E4406*E4406</f>
        <v>0.25</v>
      </c>
      <c r="U4406" s="0" t="n">
        <f aca="false">F4406*F4406</f>
        <v>1</v>
      </c>
      <c r="V4406" s="0" t="n">
        <f aca="false">G4406*G4406</f>
        <v>0.0625</v>
      </c>
      <c r="W4406" s="0" t="n">
        <f aca="false">H4406*H4406</f>
        <v>1</v>
      </c>
      <c r="X4406" s="0" t="n">
        <f aca="false">SUMPRODUCT(I4406:W4406,_XtX!$B$96:$P$96)</f>
        <v>41.9054093567251</v>
      </c>
      <c r="Y4406" s="0" t="n">
        <f aca="false">SUMPRODUCT(MMULT(I4406:W4406,_XtX!$B$78:$P$92),I4406:W4406)</f>
        <v>0.629174661915205</v>
      </c>
      <c r="Z4406" s="0" t="n">
        <f aca="false">04_回帰ANOVA!$K$19*04_回帰ANOVA!$K$14*SQRT(1+Y4406)</f>
        <v>1.66372758058297</v>
      </c>
      <c r="AA4406" s="0" t="n">
        <f aca="false">X4406-Z4406</f>
        <v>40.2416817761422</v>
      </c>
      <c r="AB4406" s="0" t="n">
        <f aca="false">X4406+Z4406</f>
        <v>43.5691369373081</v>
      </c>
      <c r="AC4406" s="54" t="b">
        <f aca="false">AND(E4406&gt;=01_因子設定!$L$5-0.000000001,E4406&lt;=01_因子設定!$M$5+0.000000001,F4406&gt;=01_因子設定!$L$6-0.000000001,F4406&lt;=01_因子設定!$M$6+0.000000001,G4406&gt;=01_因子設定!$L$7-0.000000001,G4406&lt;=01_因子設定!$M$7+0.000000001,H4406&gt;=01_因子設定!$L$8-0.000000001,H4406&lt;=01_因子設定!$M$8+0.000000001,IF(01_因子設定!$B$20="Box-Behnken",E4406^2+F4406^2+G4406^2+H4406^2&lt;=2+0.000000001,TRUE()))</f>
        <v>1</v>
      </c>
      <c r="AD4406" s="55" t="n">
        <f aca="false">IF(AC4406,IF(01_因子設定!$B$13="最大化",AA4406-01_因子設定!$B$14,IF(01_因子設定!$B$13="最小化",01_因子設定!$B$15-AB4406,MIN(AA4406-01_因子設定!$B$14,01_因子設定!$B$15-AB4406))),-1E+030)</f>
        <v>-6.25831822385783</v>
      </c>
      <c r="AE4406" s="55" t="n">
        <f aca="false">IF(AC4406,IF(01_因子設定!$B$13="最大化",X4406,IF(01_因子設定!$B$13="最小化",-X4406,-ABS(X4406-01_因子設定!$B$16))),-1E+030)</f>
        <v>41.9054093567251</v>
      </c>
      <c r="AF4406" s="55" t="n">
        <f aca="false">AD4406+ROW()*0.000000001</f>
        <v>-6.25831381785783</v>
      </c>
      <c r="AG4406" s="55" t="n">
        <f aca="false">AE4406+ROW()*0.000000001</f>
        <v>41.9054137627251</v>
      </c>
    </row>
    <row r="4407" customFormat="false" ht="15" hidden="false" customHeight="false" outlineLevel="0" collapsed="false">
      <c r="A4407" s="0" t="n">
        <v>6</v>
      </c>
      <c r="B4407" s="0" t="n">
        <v>0</v>
      </c>
      <c r="C4407" s="0" t="n">
        <v>3</v>
      </c>
      <c r="D4407" s="0" t="n">
        <v>1</v>
      </c>
      <c r="E4407" s="0" t="n">
        <f aca="false">-1+A4407*0.25</f>
        <v>0.5</v>
      </c>
      <c r="F4407" s="0" t="n">
        <f aca="false">-1+B4407*0.25</f>
        <v>-1</v>
      </c>
      <c r="G4407" s="0" t="n">
        <f aca="false">-1+C4407*0.25</f>
        <v>-0.25</v>
      </c>
      <c r="H4407" s="0" t="n">
        <f aca="false">-1+D4407*0.25</f>
        <v>-0.75</v>
      </c>
      <c r="I4407" s="0" t="n">
        <f aca="false">1</f>
        <v>1</v>
      </c>
      <c r="J4407" s="0" t="n">
        <f aca="false">E4407</f>
        <v>0.5</v>
      </c>
      <c r="K4407" s="0" t="n">
        <f aca="false">F4407</f>
        <v>-1</v>
      </c>
      <c r="L4407" s="0" t="n">
        <f aca="false">G4407</f>
        <v>-0.25</v>
      </c>
      <c r="M4407" s="0" t="n">
        <f aca="false">H4407</f>
        <v>-0.75</v>
      </c>
      <c r="N4407" s="0" t="n">
        <f aca="false">E4407*F4407</f>
        <v>-0.5</v>
      </c>
      <c r="O4407" s="0" t="n">
        <f aca="false">E4407*G4407</f>
        <v>-0.125</v>
      </c>
      <c r="P4407" s="0" t="n">
        <f aca="false">E4407*H4407</f>
        <v>-0.375</v>
      </c>
      <c r="Q4407" s="0" t="n">
        <f aca="false">F4407*G4407</f>
        <v>0.25</v>
      </c>
      <c r="R4407" s="0" t="n">
        <f aca="false">F4407*H4407</f>
        <v>0.75</v>
      </c>
      <c r="S4407" s="0" t="n">
        <f aca="false">G4407*H4407</f>
        <v>0.1875</v>
      </c>
      <c r="T4407" s="0" t="n">
        <f aca="false">E4407*E4407</f>
        <v>0.25</v>
      </c>
      <c r="U4407" s="0" t="n">
        <f aca="false">F4407*F4407</f>
        <v>1</v>
      </c>
      <c r="V4407" s="0" t="n">
        <f aca="false">G4407*G4407</f>
        <v>0.0625</v>
      </c>
      <c r="W4407" s="0" t="n">
        <f aca="false">H4407*H4407</f>
        <v>0.5625</v>
      </c>
      <c r="X4407" s="0" t="n">
        <f aca="false">SUMPRODUCT(I4407:W4407,_XtX!$B$96:$P$96)</f>
        <v>42.2249040570175</v>
      </c>
      <c r="Y4407" s="0" t="n">
        <f aca="false">SUMPRODUCT(MMULT(I4407:W4407,_XtX!$B$78:$P$92),I4407:W4407)</f>
        <v>0.459125719572369</v>
      </c>
      <c r="Z4407" s="0" t="n">
        <f aca="false">04_回帰ANOVA!$K$19*04_回帰ANOVA!$K$14*SQRT(1+Y4407)</f>
        <v>1.57450755575573</v>
      </c>
      <c r="AA4407" s="0" t="n">
        <f aca="false">X4407-Z4407</f>
        <v>40.6503965012618</v>
      </c>
      <c r="AB4407" s="0" t="n">
        <f aca="false">X4407+Z4407</f>
        <v>43.7994116127733</v>
      </c>
      <c r="AC4407" s="54" t="b">
        <f aca="false">AND(E4407&gt;=01_因子設定!$L$5-0.000000001,E4407&lt;=01_因子設定!$M$5+0.000000001,F4407&gt;=01_因子設定!$L$6-0.000000001,F4407&lt;=01_因子設定!$M$6+0.000000001,G4407&gt;=01_因子設定!$L$7-0.000000001,G4407&lt;=01_因子設定!$M$7+0.000000001,H4407&gt;=01_因子設定!$L$8-0.000000001,H4407&lt;=01_因子設定!$M$8+0.000000001,IF(01_因子設定!$B$20="Box-Behnken",E4407^2+F4407^2+G4407^2+H4407^2&lt;=2+0.000000001,TRUE()))</f>
        <v>1</v>
      </c>
      <c r="AD4407" s="55" t="n">
        <f aca="false">IF(AC4407,IF(01_因子設定!$B$13="最大化",AA4407-01_因子設定!$B$14,IF(01_因子設定!$B$13="最小化",01_因子設定!$B$15-AB4407,MIN(AA4407-01_因子設定!$B$14,01_因子設定!$B$15-AB4407))),-1E+030)</f>
        <v>-5.84960349873821</v>
      </c>
      <c r="AE4407" s="55" t="n">
        <f aca="false">IF(AC4407,IF(01_因子設定!$B$13="最大化",X4407,IF(01_因子設定!$B$13="最小化",-X4407,-ABS(X4407-01_因子設定!$B$16))),-1E+030)</f>
        <v>42.2249040570175</v>
      </c>
      <c r="AF4407" s="55" t="n">
        <f aca="false">AD4407+ROW()*0.000000001</f>
        <v>-5.84959909173821</v>
      </c>
      <c r="AG4407" s="55" t="n">
        <f aca="false">AE4407+ROW()*0.000000001</f>
        <v>42.2249084640175</v>
      </c>
    </row>
    <row r="4408" customFormat="false" ht="15" hidden="false" customHeight="false" outlineLevel="0" collapsed="false">
      <c r="A4408" s="0" t="n">
        <v>6</v>
      </c>
      <c r="B4408" s="0" t="n">
        <v>0</v>
      </c>
      <c r="C4408" s="0" t="n">
        <v>3</v>
      </c>
      <c r="D4408" s="0" t="n">
        <v>2</v>
      </c>
      <c r="E4408" s="0" t="n">
        <f aca="false">-1+A4408*0.25</f>
        <v>0.5</v>
      </c>
      <c r="F4408" s="0" t="n">
        <f aca="false">-1+B4408*0.25</f>
        <v>-1</v>
      </c>
      <c r="G4408" s="0" t="n">
        <f aca="false">-1+C4408*0.25</f>
        <v>-0.25</v>
      </c>
      <c r="H4408" s="0" t="n">
        <f aca="false">-1+D4408*0.25</f>
        <v>-0.5</v>
      </c>
      <c r="I4408" s="0" t="n">
        <f aca="false">1</f>
        <v>1</v>
      </c>
      <c r="J4408" s="0" t="n">
        <f aca="false">E4408</f>
        <v>0.5</v>
      </c>
      <c r="K4408" s="0" t="n">
        <f aca="false">F4408</f>
        <v>-1</v>
      </c>
      <c r="L4408" s="0" t="n">
        <f aca="false">G4408</f>
        <v>-0.25</v>
      </c>
      <c r="M4408" s="0" t="n">
        <f aca="false">H4408</f>
        <v>-0.5</v>
      </c>
      <c r="N4408" s="0" t="n">
        <f aca="false">E4408*F4408</f>
        <v>-0.5</v>
      </c>
      <c r="O4408" s="0" t="n">
        <f aca="false">E4408*G4408</f>
        <v>-0.125</v>
      </c>
      <c r="P4408" s="0" t="n">
        <f aca="false">E4408*H4408</f>
        <v>-0.25</v>
      </c>
      <c r="Q4408" s="0" t="n">
        <f aca="false">F4408*G4408</f>
        <v>0.25</v>
      </c>
      <c r="R4408" s="0" t="n">
        <f aca="false">F4408*H4408</f>
        <v>0.5</v>
      </c>
      <c r="S4408" s="0" t="n">
        <f aca="false">G4408*H4408</f>
        <v>0.125</v>
      </c>
      <c r="T4408" s="0" t="n">
        <f aca="false">E4408*E4408</f>
        <v>0.25</v>
      </c>
      <c r="U4408" s="0" t="n">
        <f aca="false">F4408*F4408</f>
        <v>1</v>
      </c>
      <c r="V4408" s="0" t="n">
        <f aca="false">G4408*G4408</f>
        <v>0.0625</v>
      </c>
      <c r="W4408" s="0" t="n">
        <f aca="false">H4408*H4408</f>
        <v>0.25</v>
      </c>
      <c r="X4408" s="0" t="n">
        <f aca="false">SUMPRODUCT(I4408:W4408,_XtX!$B$96:$P$96)</f>
        <v>42.496591739766</v>
      </c>
      <c r="Y4408" s="0" t="n">
        <f aca="false">SUMPRODUCT(MMULT(I4408:W4408,_XtX!$B$78:$P$92),I4408:W4408)</f>
        <v>0.428122715643275</v>
      </c>
      <c r="Z4408" s="0" t="n">
        <f aca="false">04_回帰ANOVA!$K$19*04_回帰ANOVA!$K$14*SQRT(1+Y4408)</f>
        <v>1.55769044623229</v>
      </c>
      <c r="AA4408" s="0" t="n">
        <f aca="false">X4408-Z4408</f>
        <v>40.9389012935338</v>
      </c>
      <c r="AB4408" s="0" t="n">
        <f aca="false">X4408+Z4408</f>
        <v>44.0542821859983</v>
      </c>
      <c r="AC4408" s="54" t="b">
        <f aca="false">AND(E4408&gt;=01_因子設定!$L$5-0.000000001,E4408&lt;=01_因子設定!$M$5+0.000000001,F4408&gt;=01_因子設定!$L$6-0.000000001,F4408&lt;=01_因子設定!$M$6+0.000000001,G4408&gt;=01_因子設定!$L$7-0.000000001,G4408&lt;=01_因子設定!$M$7+0.000000001,H4408&gt;=01_因子設定!$L$8-0.000000001,H4408&lt;=01_因子設定!$M$8+0.000000001,IF(01_因子設定!$B$20="Box-Behnken",E4408^2+F4408^2+G4408^2+H4408^2&lt;=2+0.000000001,TRUE()))</f>
        <v>1</v>
      </c>
      <c r="AD4408" s="55" t="n">
        <f aca="false">IF(AC4408,IF(01_因子設定!$B$13="最大化",AA4408-01_因子設定!$B$14,IF(01_因子設定!$B$13="最小化",01_因子設定!$B$15-AB4408,MIN(AA4408-01_因子設定!$B$14,01_因子設定!$B$15-AB4408))),-1E+030)</f>
        <v>-5.56109870646625</v>
      </c>
      <c r="AE4408" s="55" t="n">
        <f aca="false">IF(AC4408,IF(01_因子設定!$B$13="最大化",X4408,IF(01_因子設定!$B$13="最小化",-X4408,-ABS(X4408-01_因子設定!$B$16))),-1E+030)</f>
        <v>42.496591739766</v>
      </c>
      <c r="AF4408" s="55" t="n">
        <f aca="false">AD4408+ROW()*0.000000001</f>
        <v>-5.56109429846625</v>
      </c>
      <c r="AG4408" s="55" t="n">
        <f aca="false">AE4408+ROW()*0.000000001</f>
        <v>42.4965961477661</v>
      </c>
    </row>
    <row r="4409" customFormat="false" ht="15" hidden="false" customHeight="false" outlineLevel="0" collapsed="false">
      <c r="A4409" s="0" t="n">
        <v>6</v>
      </c>
      <c r="B4409" s="0" t="n">
        <v>0</v>
      </c>
      <c r="C4409" s="0" t="n">
        <v>3</v>
      </c>
      <c r="D4409" s="0" t="n">
        <v>3</v>
      </c>
      <c r="E4409" s="0" t="n">
        <f aca="false">-1+A4409*0.25</f>
        <v>0.5</v>
      </c>
      <c r="F4409" s="0" t="n">
        <f aca="false">-1+B4409*0.25</f>
        <v>-1</v>
      </c>
      <c r="G4409" s="0" t="n">
        <f aca="false">-1+C4409*0.25</f>
        <v>-0.25</v>
      </c>
      <c r="H4409" s="0" t="n">
        <f aca="false">-1+D4409*0.25</f>
        <v>-0.25</v>
      </c>
      <c r="I4409" s="0" t="n">
        <f aca="false">1</f>
        <v>1</v>
      </c>
      <c r="J4409" s="0" t="n">
        <f aca="false">E4409</f>
        <v>0.5</v>
      </c>
      <c r="K4409" s="0" t="n">
        <f aca="false">F4409</f>
        <v>-1</v>
      </c>
      <c r="L4409" s="0" t="n">
        <f aca="false">G4409</f>
        <v>-0.25</v>
      </c>
      <c r="M4409" s="0" t="n">
        <f aca="false">H4409</f>
        <v>-0.25</v>
      </c>
      <c r="N4409" s="0" t="n">
        <f aca="false">E4409*F4409</f>
        <v>-0.5</v>
      </c>
      <c r="O4409" s="0" t="n">
        <f aca="false">E4409*G4409</f>
        <v>-0.125</v>
      </c>
      <c r="P4409" s="0" t="n">
        <f aca="false">E4409*H4409</f>
        <v>-0.125</v>
      </c>
      <c r="Q4409" s="0" t="n">
        <f aca="false">F4409*G4409</f>
        <v>0.25</v>
      </c>
      <c r="R4409" s="0" t="n">
        <f aca="false">F4409*H4409</f>
        <v>0.25</v>
      </c>
      <c r="S4409" s="0" t="n">
        <f aca="false">G4409*H4409</f>
        <v>0.0625</v>
      </c>
      <c r="T4409" s="0" t="n">
        <f aca="false">E4409*E4409</f>
        <v>0.25</v>
      </c>
      <c r="U4409" s="0" t="n">
        <f aca="false">F4409*F4409</f>
        <v>1</v>
      </c>
      <c r="V4409" s="0" t="n">
        <f aca="false">G4409*G4409</f>
        <v>0.0625</v>
      </c>
      <c r="W4409" s="0" t="n">
        <f aca="false">H4409*H4409</f>
        <v>0.0625</v>
      </c>
      <c r="X4409" s="0" t="n">
        <f aca="false">SUMPRODUCT(I4409:W4409,_XtX!$B$96:$P$96)</f>
        <v>42.7204724049707</v>
      </c>
      <c r="Y4409" s="0" t="n">
        <f aca="false">SUMPRODUCT(MMULT(I4409:W4409,_XtX!$B$78:$P$92),I4409:W4409)</f>
        <v>0.445705123812135</v>
      </c>
      <c r="Z4409" s="0" t="n">
        <f aca="false">04_回帰ANOVA!$K$19*04_回帰ANOVA!$K$14*SQRT(1+Y4409)</f>
        <v>1.56724990734749</v>
      </c>
      <c r="AA4409" s="0" t="n">
        <f aca="false">X4409-Z4409</f>
        <v>41.1532224976232</v>
      </c>
      <c r="AB4409" s="0" t="n">
        <f aca="false">X4409+Z4409</f>
        <v>44.2877223123182</v>
      </c>
      <c r="AC4409" s="54" t="b">
        <f aca="false">AND(E4409&gt;=01_因子設定!$L$5-0.000000001,E4409&lt;=01_因子設定!$M$5+0.000000001,F4409&gt;=01_因子設定!$L$6-0.000000001,F4409&lt;=01_因子設定!$M$6+0.000000001,G4409&gt;=01_因子設定!$L$7-0.000000001,G4409&lt;=01_因子設定!$M$7+0.000000001,H4409&gt;=01_因子設定!$L$8-0.000000001,H4409&lt;=01_因子設定!$M$8+0.000000001,IF(01_因子設定!$B$20="Box-Behnken",E4409^2+F4409^2+G4409^2+H4409^2&lt;=2+0.000000001,TRUE()))</f>
        <v>1</v>
      </c>
      <c r="AD4409" s="55" t="n">
        <f aca="false">IF(AC4409,IF(01_因子設定!$B$13="最大化",AA4409-01_因子設定!$B$14,IF(01_因子設定!$B$13="最小化",01_因子設定!$B$15-AB4409,MIN(AA4409-01_因子設定!$B$14,01_因子設定!$B$15-AB4409))),-1E+030)</f>
        <v>-5.34677750237677</v>
      </c>
      <c r="AE4409" s="55" t="n">
        <f aca="false">IF(AC4409,IF(01_因子設定!$B$13="最大化",X4409,IF(01_因子設定!$B$13="最小化",-X4409,-ABS(X4409-01_因子設定!$B$16))),-1E+030)</f>
        <v>42.7204724049707</v>
      </c>
      <c r="AF4409" s="55" t="n">
        <f aca="false">AD4409+ROW()*0.000000001</f>
        <v>-5.34677309337677</v>
      </c>
      <c r="AG4409" s="55" t="n">
        <f aca="false">AE4409+ROW()*0.000000001</f>
        <v>42.7204768139707</v>
      </c>
    </row>
    <row r="4410" customFormat="false" ht="15" hidden="false" customHeight="false" outlineLevel="0" collapsed="false">
      <c r="A4410" s="0" t="n">
        <v>6</v>
      </c>
      <c r="B4410" s="0" t="n">
        <v>0</v>
      </c>
      <c r="C4410" s="0" t="n">
        <v>3</v>
      </c>
      <c r="D4410" s="0" t="n">
        <v>4</v>
      </c>
      <c r="E4410" s="0" t="n">
        <f aca="false">-1+A4410*0.25</f>
        <v>0.5</v>
      </c>
      <c r="F4410" s="0" t="n">
        <f aca="false">-1+B4410*0.25</f>
        <v>-1</v>
      </c>
      <c r="G4410" s="0" t="n">
        <f aca="false">-1+C4410*0.25</f>
        <v>-0.25</v>
      </c>
      <c r="H4410" s="0" t="n">
        <f aca="false">-1+D4410*0.25</f>
        <v>0</v>
      </c>
      <c r="I4410" s="0" t="n">
        <f aca="false">1</f>
        <v>1</v>
      </c>
      <c r="J4410" s="0" t="n">
        <f aca="false">E4410</f>
        <v>0.5</v>
      </c>
      <c r="K4410" s="0" t="n">
        <f aca="false">F4410</f>
        <v>-1</v>
      </c>
      <c r="L4410" s="0" t="n">
        <f aca="false">G4410</f>
        <v>-0.25</v>
      </c>
      <c r="M4410" s="0" t="n">
        <f aca="false">H4410</f>
        <v>0</v>
      </c>
      <c r="N4410" s="0" t="n">
        <f aca="false">E4410*F4410</f>
        <v>-0.5</v>
      </c>
      <c r="O4410" s="0" t="n">
        <f aca="false">E4410*G4410</f>
        <v>-0.125</v>
      </c>
      <c r="P4410" s="0" t="n">
        <f aca="false">E4410*H4410</f>
        <v>0</v>
      </c>
      <c r="Q4410" s="0" t="n">
        <f aca="false">F4410*G4410</f>
        <v>0.25</v>
      </c>
      <c r="R4410" s="0" t="n">
        <f aca="false">F4410*H4410</f>
        <v>-0</v>
      </c>
      <c r="S4410" s="0" t="n">
        <f aca="false">G4410*H4410</f>
        <v>-0</v>
      </c>
      <c r="T4410" s="0" t="n">
        <f aca="false">E4410*E4410</f>
        <v>0.25</v>
      </c>
      <c r="U4410" s="0" t="n">
        <f aca="false">F4410*F4410</f>
        <v>1</v>
      </c>
      <c r="V4410" s="0" t="n">
        <f aca="false">G4410*G4410</f>
        <v>0.0625</v>
      </c>
      <c r="W4410" s="0" t="n">
        <f aca="false">H4410*H4410</f>
        <v>0</v>
      </c>
      <c r="X4410" s="0" t="n">
        <f aca="false">SUMPRODUCT(I4410:W4410,_XtX!$B$96:$P$96)</f>
        <v>42.8965460526315</v>
      </c>
      <c r="Y4410" s="0" t="n">
        <f aca="false">SUMPRODUCT(MMULT(I4410:W4410,_XtX!$B$78:$P$92),I4410:W4410)</f>
        <v>0.457596628289474</v>
      </c>
      <c r="Z4410" s="0" t="n">
        <f aca="false">04_回帰ANOVA!$K$19*04_回帰ANOVA!$K$14*SQRT(1+Y4410)</f>
        <v>1.57368233664366</v>
      </c>
      <c r="AA4410" s="0" t="n">
        <f aca="false">X4410-Z4410</f>
        <v>41.3228637159879</v>
      </c>
      <c r="AB4410" s="0" t="n">
        <f aca="false">X4410+Z4410</f>
        <v>44.4702283892752</v>
      </c>
      <c r="AC4410" s="54" t="b">
        <f aca="false">AND(E4410&gt;=01_因子設定!$L$5-0.000000001,E4410&lt;=01_因子設定!$M$5+0.000000001,F4410&gt;=01_因子設定!$L$6-0.000000001,F4410&lt;=01_因子設定!$M$6+0.000000001,G4410&gt;=01_因子設定!$L$7-0.000000001,G4410&lt;=01_因子設定!$M$7+0.000000001,H4410&gt;=01_因子設定!$L$8-0.000000001,H4410&lt;=01_因子設定!$M$8+0.000000001,IF(01_因子設定!$B$20="Box-Behnken",E4410^2+F4410^2+G4410^2+H4410^2&lt;=2+0.000000001,TRUE()))</f>
        <v>1</v>
      </c>
      <c r="AD4410" s="55" t="n">
        <f aca="false">IF(AC4410,IF(01_因子設定!$B$13="最大化",AA4410-01_因子設定!$B$14,IF(01_因子設定!$B$13="最小化",01_因子設定!$B$15-AB4410,MIN(AA4410-01_因子設定!$B$14,01_因子設定!$B$15-AB4410))),-1E+030)</f>
        <v>-5.17713628401212</v>
      </c>
      <c r="AE4410" s="55" t="n">
        <f aca="false">IF(AC4410,IF(01_因子設定!$B$13="最大化",X4410,IF(01_因子設定!$B$13="最小化",-X4410,-ABS(X4410-01_因子設定!$B$16))),-1E+030)</f>
        <v>42.8965460526315</v>
      </c>
      <c r="AF4410" s="55" t="n">
        <f aca="false">AD4410+ROW()*0.000000001</f>
        <v>-5.17713187401212</v>
      </c>
      <c r="AG4410" s="55" t="n">
        <f aca="false">AE4410+ROW()*0.000000001</f>
        <v>42.8965504626315</v>
      </c>
    </row>
    <row r="4411" customFormat="false" ht="15" hidden="false" customHeight="false" outlineLevel="0" collapsed="false">
      <c r="A4411" s="0" t="n">
        <v>6</v>
      </c>
      <c r="B4411" s="0" t="n">
        <v>0</v>
      </c>
      <c r="C4411" s="0" t="n">
        <v>3</v>
      </c>
      <c r="D4411" s="0" t="n">
        <v>5</v>
      </c>
      <c r="E4411" s="0" t="n">
        <f aca="false">-1+A4411*0.25</f>
        <v>0.5</v>
      </c>
      <c r="F4411" s="0" t="n">
        <f aca="false">-1+B4411*0.25</f>
        <v>-1</v>
      </c>
      <c r="G4411" s="0" t="n">
        <f aca="false">-1+C4411*0.25</f>
        <v>-0.25</v>
      </c>
      <c r="H4411" s="0" t="n">
        <f aca="false">-1+D4411*0.25</f>
        <v>0.25</v>
      </c>
      <c r="I4411" s="0" t="n">
        <f aca="false">1</f>
        <v>1</v>
      </c>
      <c r="J4411" s="0" t="n">
        <f aca="false">E4411</f>
        <v>0.5</v>
      </c>
      <c r="K4411" s="0" t="n">
        <f aca="false">F4411</f>
        <v>-1</v>
      </c>
      <c r="L4411" s="0" t="n">
        <f aca="false">G4411</f>
        <v>-0.25</v>
      </c>
      <c r="M4411" s="0" t="n">
        <f aca="false">H4411</f>
        <v>0.25</v>
      </c>
      <c r="N4411" s="0" t="n">
        <f aca="false">E4411*F4411</f>
        <v>-0.5</v>
      </c>
      <c r="O4411" s="0" t="n">
        <f aca="false">E4411*G4411</f>
        <v>-0.125</v>
      </c>
      <c r="P4411" s="0" t="n">
        <f aca="false">E4411*H4411</f>
        <v>0.125</v>
      </c>
      <c r="Q4411" s="0" t="n">
        <f aca="false">F4411*G4411</f>
        <v>0.25</v>
      </c>
      <c r="R4411" s="0" t="n">
        <f aca="false">F4411*H4411</f>
        <v>-0.25</v>
      </c>
      <c r="S4411" s="0" t="n">
        <f aca="false">G4411*H4411</f>
        <v>-0.0625</v>
      </c>
      <c r="T4411" s="0" t="n">
        <f aca="false">E4411*E4411</f>
        <v>0.25</v>
      </c>
      <c r="U4411" s="0" t="n">
        <f aca="false">F4411*F4411</f>
        <v>1</v>
      </c>
      <c r="V4411" s="0" t="n">
        <f aca="false">G4411*G4411</f>
        <v>0.0625</v>
      </c>
      <c r="W4411" s="0" t="n">
        <f aca="false">H4411*H4411</f>
        <v>0.0625</v>
      </c>
      <c r="X4411" s="0" t="n">
        <f aca="false">SUMPRODUCT(I4411:W4411,_XtX!$B$96:$P$96)</f>
        <v>43.0248126827485</v>
      </c>
      <c r="Y4411" s="0" t="n">
        <f aca="false">SUMPRODUCT(MMULT(I4411:W4411,_XtX!$B$78:$P$92),I4411:W4411)</f>
        <v>0.445705123812135</v>
      </c>
      <c r="Z4411" s="0" t="n">
        <f aca="false">04_回帰ANOVA!$K$19*04_回帰ANOVA!$K$14*SQRT(1+Y4411)</f>
        <v>1.56724990734749</v>
      </c>
      <c r="AA4411" s="0" t="n">
        <f aca="false">X4411-Z4411</f>
        <v>41.457562775401</v>
      </c>
      <c r="AB4411" s="0" t="n">
        <f aca="false">X4411+Z4411</f>
        <v>44.592062590096</v>
      </c>
      <c r="AC4411" s="54" t="b">
        <f aca="false">AND(E4411&gt;=01_因子設定!$L$5-0.000000001,E4411&lt;=01_因子設定!$M$5+0.000000001,F4411&gt;=01_因子設定!$L$6-0.000000001,F4411&lt;=01_因子設定!$M$6+0.000000001,G4411&gt;=01_因子設定!$L$7-0.000000001,G4411&lt;=01_因子設定!$M$7+0.000000001,H4411&gt;=01_因子設定!$L$8-0.000000001,H4411&lt;=01_因子設定!$M$8+0.000000001,IF(01_因子設定!$B$20="Box-Behnken",E4411^2+F4411^2+G4411^2+H4411^2&lt;=2+0.000000001,TRUE()))</f>
        <v>1</v>
      </c>
      <c r="AD4411" s="55" t="n">
        <f aca="false">IF(AC4411,IF(01_因子設定!$B$13="最大化",AA4411-01_因子設定!$B$14,IF(01_因子設定!$B$13="最小化",01_因子設定!$B$15-AB4411,MIN(AA4411-01_因子設定!$B$14,01_因子設定!$B$15-AB4411))),-1E+030)</f>
        <v>-5.04243722459899</v>
      </c>
      <c r="AE4411" s="55" t="n">
        <f aca="false">IF(AC4411,IF(01_因子設定!$B$13="最大化",X4411,IF(01_因子設定!$B$13="最小化",-X4411,-ABS(X4411-01_因子設定!$B$16))),-1E+030)</f>
        <v>43.0248126827485</v>
      </c>
      <c r="AF4411" s="55" t="n">
        <f aca="false">AD4411+ROW()*0.000000001</f>
        <v>-5.04243281359899</v>
      </c>
      <c r="AG4411" s="55" t="n">
        <f aca="false">AE4411+ROW()*0.000000001</f>
        <v>43.0248170937485</v>
      </c>
    </row>
    <row r="4412" customFormat="false" ht="15" hidden="false" customHeight="false" outlineLevel="0" collapsed="false">
      <c r="A4412" s="0" t="n">
        <v>6</v>
      </c>
      <c r="B4412" s="0" t="n">
        <v>0</v>
      </c>
      <c r="C4412" s="0" t="n">
        <v>3</v>
      </c>
      <c r="D4412" s="0" t="n">
        <v>6</v>
      </c>
      <c r="E4412" s="0" t="n">
        <f aca="false">-1+A4412*0.25</f>
        <v>0.5</v>
      </c>
      <c r="F4412" s="0" t="n">
        <f aca="false">-1+B4412*0.25</f>
        <v>-1</v>
      </c>
      <c r="G4412" s="0" t="n">
        <f aca="false">-1+C4412*0.25</f>
        <v>-0.25</v>
      </c>
      <c r="H4412" s="0" t="n">
        <f aca="false">-1+D4412*0.25</f>
        <v>0.5</v>
      </c>
      <c r="I4412" s="0" t="n">
        <f aca="false">1</f>
        <v>1</v>
      </c>
      <c r="J4412" s="0" t="n">
        <f aca="false">E4412</f>
        <v>0.5</v>
      </c>
      <c r="K4412" s="0" t="n">
        <f aca="false">F4412</f>
        <v>-1</v>
      </c>
      <c r="L4412" s="0" t="n">
        <f aca="false">G4412</f>
        <v>-0.25</v>
      </c>
      <c r="M4412" s="0" t="n">
        <f aca="false">H4412</f>
        <v>0.5</v>
      </c>
      <c r="N4412" s="0" t="n">
        <f aca="false">E4412*F4412</f>
        <v>-0.5</v>
      </c>
      <c r="O4412" s="0" t="n">
        <f aca="false">E4412*G4412</f>
        <v>-0.125</v>
      </c>
      <c r="P4412" s="0" t="n">
        <f aca="false">E4412*H4412</f>
        <v>0.25</v>
      </c>
      <c r="Q4412" s="0" t="n">
        <f aca="false">F4412*G4412</f>
        <v>0.25</v>
      </c>
      <c r="R4412" s="0" t="n">
        <f aca="false">F4412*H4412</f>
        <v>-0.5</v>
      </c>
      <c r="S4412" s="0" t="n">
        <f aca="false">G4412*H4412</f>
        <v>-0.125</v>
      </c>
      <c r="T4412" s="0" t="n">
        <f aca="false">E4412*E4412</f>
        <v>0.25</v>
      </c>
      <c r="U4412" s="0" t="n">
        <f aca="false">F4412*F4412</f>
        <v>1</v>
      </c>
      <c r="V4412" s="0" t="n">
        <f aca="false">G4412*G4412</f>
        <v>0.0625</v>
      </c>
      <c r="W4412" s="0" t="n">
        <f aca="false">H4412*H4412</f>
        <v>0.25</v>
      </c>
      <c r="X4412" s="0" t="n">
        <f aca="false">SUMPRODUCT(I4412:W4412,_XtX!$B$96:$P$96)</f>
        <v>43.1052722953216</v>
      </c>
      <c r="Y4412" s="0" t="n">
        <f aca="false">SUMPRODUCT(MMULT(I4412:W4412,_XtX!$B$78:$P$92),I4412:W4412)</f>
        <v>0.428122715643275</v>
      </c>
      <c r="Z4412" s="0" t="n">
        <f aca="false">04_回帰ANOVA!$K$19*04_回帰ANOVA!$K$14*SQRT(1+Y4412)</f>
        <v>1.55769044623229</v>
      </c>
      <c r="AA4412" s="0" t="n">
        <f aca="false">X4412-Z4412</f>
        <v>41.5475818490893</v>
      </c>
      <c r="AB4412" s="0" t="n">
        <f aca="false">X4412+Z4412</f>
        <v>44.6629627415539</v>
      </c>
      <c r="AC4412" s="54" t="b">
        <f aca="false">AND(E4412&gt;=01_因子設定!$L$5-0.000000001,E4412&lt;=01_因子設定!$M$5+0.000000001,F4412&gt;=01_因子設定!$L$6-0.000000001,F4412&lt;=01_因子設定!$M$6+0.000000001,G4412&gt;=01_因子設定!$L$7-0.000000001,G4412&lt;=01_因子設定!$M$7+0.000000001,H4412&gt;=01_因子設定!$L$8-0.000000001,H4412&lt;=01_因子設定!$M$8+0.000000001,IF(01_因子設定!$B$20="Box-Behnken",E4412^2+F4412^2+G4412^2+H4412^2&lt;=2+0.000000001,TRUE()))</f>
        <v>1</v>
      </c>
      <c r="AD4412" s="55" t="n">
        <f aca="false">IF(AC4412,IF(01_因子設定!$B$13="最大化",AA4412-01_因子設定!$B$14,IF(01_因子設定!$B$13="最小化",01_因子設定!$B$15-AB4412,MIN(AA4412-01_因子設定!$B$14,01_因子設定!$B$15-AB4412))),-1E+030)</f>
        <v>-4.95241815091069</v>
      </c>
      <c r="AE4412" s="55" t="n">
        <f aca="false">IF(AC4412,IF(01_因子設定!$B$13="最大化",X4412,IF(01_因子設定!$B$13="最小化",-X4412,-ABS(X4412-01_因子設定!$B$16))),-1E+030)</f>
        <v>43.1052722953216</v>
      </c>
      <c r="AF4412" s="55" t="n">
        <f aca="false">AD4412+ROW()*0.000000001</f>
        <v>-4.95241373891069</v>
      </c>
      <c r="AG4412" s="55" t="n">
        <f aca="false">AE4412+ROW()*0.000000001</f>
        <v>43.1052767073216</v>
      </c>
    </row>
    <row r="4413" customFormat="false" ht="15" hidden="false" customHeight="false" outlineLevel="0" collapsed="false">
      <c r="A4413" s="0" t="n">
        <v>6</v>
      </c>
      <c r="B4413" s="0" t="n">
        <v>0</v>
      </c>
      <c r="C4413" s="0" t="n">
        <v>3</v>
      </c>
      <c r="D4413" s="0" t="n">
        <v>7</v>
      </c>
      <c r="E4413" s="0" t="n">
        <f aca="false">-1+A4413*0.25</f>
        <v>0.5</v>
      </c>
      <c r="F4413" s="0" t="n">
        <f aca="false">-1+B4413*0.25</f>
        <v>-1</v>
      </c>
      <c r="G4413" s="0" t="n">
        <f aca="false">-1+C4413*0.25</f>
        <v>-0.25</v>
      </c>
      <c r="H4413" s="0" t="n">
        <f aca="false">-1+D4413*0.25</f>
        <v>0.75</v>
      </c>
      <c r="I4413" s="0" t="n">
        <f aca="false">1</f>
        <v>1</v>
      </c>
      <c r="J4413" s="0" t="n">
        <f aca="false">E4413</f>
        <v>0.5</v>
      </c>
      <c r="K4413" s="0" t="n">
        <f aca="false">F4413</f>
        <v>-1</v>
      </c>
      <c r="L4413" s="0" t="n">
        <f aca="false">G4413</f>
        <v>-0.25</v>
      </c>
      <c r="M4413" s="0" t="n">
        <f aca="false">H4413</f>
        <v>0.75</v>
      </c>
      <c r="N4413" s="0" t="n">
        <f aca="false">E4413*F4413</f>
        <v>-0.5</v>
      </c>
      <c r="O4413" s="0" t="n">
        <f aca="false">E4413*G4413</f>
        <v>-0.125</v>
      </c>
      <c r="P4413" s="0" t="n">
        <f aca="false">E4413*H4413</f>
        <v>0.375</v>
      </c>
      <c r="Q4413" s="0" t="n">
        <f aca="false">F4413*G4413</f>
        <v>0.25</v>
      </c>
      <c r="R4413" s="0" t="n">
        <f aca="false">F4413*H4413</f>
        <v>-0.75</v>
      </c>
      <c r="S4413" s="0" t="n">
        <f aca="false">G4413*H4413</f>
        <v>-0.1875</v>
      </c>
      <c r="T4413" s="0" t="n">
        <f aca="false">E4413*E4413</f>
        <v>0.25</v>
      </c>
      <c r="U4413" s="0" t="n">
        <f aca="false">F4413*F4413</f>
        <v>1</v>
      </c>
      <c r="V4413" s="0" t="n">
        <f aca="false">G4413*G4413</f>
        <v>0.0625</v>
      </c>
      <c r="W4413" s="0" t="n">
        <f aca="false">H4413*H4413</f>
        <v>0.5625</v>
      </c>
      <c r="X4413" s="0" t="n">
        <f aca="false">SUMPRODUCT(I4413:W4413,_XtX!$B$96:$P$96)</f>
        <v>43.1379248903509</v>
      </c>
      <c r="Y4413" s="0" t="n">
        <f aca="false">SUMPRODUCT(MMULT(I4413:W4413,_XtX!$B$78:$P$92),I4413:W4413)</f>
        <v>0.459125719572369</v>
      </c>
      <c r="Z4413" s="0" t="n">
        <f aca="false">04_回帰ANOVA!$K$19*04_回帰ANOVA!$K$14*SQRT(1+Y4413)</f>
        <v>1.57450755575573</v>
      </c>
      <c r="AA4413" s="0" t="n">
        <f aca="false">X4413-Z4413</f>
        <v>41.5634173345951</v>
      </c>
      <c r="AB4413" s="0" t="n">
        <f aca="false">X4413+Z4413</f>
        <v>44.7124324461066</v>
      </c>
      <c r="AC4413" s="54" t="b">
        <f aca="false">AND(E4413&gt;=01_因子設定!$L$5-0.000000001,E4413&lt;=01_因子設定!$M$5+0.000000001,F4413&gt;=01_因子設定!$L$6-0.000000001,F4413&lt;=01_因子設定!$M$6+0.000000001,G4413&gt;=01_因子設定!$L$7-0.000000001,G4413&lt;=01_因子設定!$M$7+0.000000001,H4413&gt;=01_因子設定!$L$8-0.000000001,H4413&lt;=01_因子設定!$M$8+0.000000001,IF(01_因子設定!$B$20="Box-Behnken",E4413^2+F4413^2+G4413^2+H4413^2&lt;=2+0.000000001,TRUE()))</f>
        <v>1</v>
      </c>
      <c r="AD4413" s="55" t="n">
        <f aca="false">IF(AC4413,IF(01_因子設定!$B$13="最大化",AA4413-01_因子設定!$B$14,IF(01_因子設定!$B$13="最小化",01_因子設定!$B$15-AB4413,MIN(AA4413-01_因子設定!$B$14,01_因子設定!$B$15-AB4413))),-1E+030)</f>
        <v>-4.93658266540488</v>
      </c>
      <c r="AE4413" s="55" t="n">
        <f aca="false">IF(AC4413,IF(01_因子設定!$B$13="最大化",X4413,IF(01_因子設定!$B$13="最小化",-X4413,-ABS(X4413-01_因子設定!$B$16))),-1E+030)</f>
        <v>43.1379248903509</v>
      </c>
      <c r="AF4413" s="55" t="n">
        <f aca="false">AD4413+ROW()*0.000000001</f>
        <v>-4.93657825240488</v>
      </c>
      <c r="AG4413" s="55" t="n">
        <f aca="false">AE4413+ROW()*0.000000001</f>
        <v>43.1379293033509</v>
      </c>
    </row>
    <row r="4414" customFormat="false" ht="15" hidden="false" customHeight="false" outlineLevel="0" collapsed="false">
      <c r="A4414" s="0" t="n">
        <v>6</v>
      </c>
      <c r="B4414" s="0" t="n">
        <v>0</v>
      </c>
      <c r="C4414" s="0" t="n">
        <v>3</v>
      </c>
      <c r="D4414" s="0" t="n">
        <v>8</v>
      </c>
      <c r="E4414" s="0" t="n">
        <f aca="false">-1+A4414*0.25</f>
        <v>0.5</v>
      </c>
      <c r="F4414" s="0" t="n">
        <f aca="false">-1+B4414*0.25</f>
        <v>-1</v>
      </c>
      <c r="G4414" s="0" t="n">
        <f aca="false">-1+C4414*0.25</f>
        <v>-0.25</v>
      </c>
      <c r="H4414" s="0" t="n">
        <f aca="false">-1+D4414*0.25</f>
        <v>1</v>
      </c>
      <c r="I4414" s="0" t="n">
        <f aca="false">1</f>
        <v>1</v>
      </c>
      <c r="J4414" s="0" t="n">
        <f aca="false">E4414</f>
        <v>0.5</v>
      </c>
      <c r="K4414" s="0" t="n">
        <f aca="false">F4414</f>
        <v>-1</v>
      </c>
      <c r="L4414" s="0" t="n">
        <f aca="false">G4414</f>
        <v>-0.25</v>
      </c>
      <c r="M4414" s="0" t="n">
        <f aca="false">H4414</f>
        <v>1</v>
      </c>
      <c r="N4414" s="0" t="n">
        <f aca="false">E4414*F4414</f>
        <v>-0.5</v>
      </c>
      <c r="O4414" s="0" t="n">
        <f aca="false">E4414*G4414</f>
        <v>-0.125</v>
      </c>
      <c r="P4414" s="0" t="n">
        <f aca="false">E4414*H4414</f>
        <v>0.5</v>
      </c>
      <c r="Q4414" s="0" t="n">
        <f aca="false">F4414*G4414</f>
        <v>0.25</v>
      </c>
      <c r="R4414" s="0" t="n">
        <f aca="false">F4414*H4414</f>
        <v>-1</v>
      </c>
      <c r="S4414" s="0" t="n">
        <f aca="false">G4414*H4414</f>
        <v>-0.25</v>
      </c>
      <c r="T4414" s="0" t="n">
        <f aca="false">E4414*E4414</f>
        <v>0.25</v>
      </c>
      <c r="U4414" s="0" t="n">
        <f aca="false">F4414*F4414</f>
        <v>1</v>
      </c>
      <c r="V4414" s="0" t="n">
        <f aca="false">G4414*G4414</f>
        <v>0.0625</v>
      </c>
      <c r="W4414" s="0" t="n">
        <f aca="false">H4414*H4414</f>
        <v>1</v>
      </c>
      <c r="X4414" s="0" t="n">
        <f aca="false">SUMPRODUCT(I4414:W4414,_XtX!$B$96:$P$96)</f>
        <v>43.1227704678363</v>
      </c>
      <c r="Y4414" s="0" t="n">
        <f aca="false">SUMPRODUCT(MMULT(I4414:W4414,_XtX!$B$78:$P$92),I4414:W4414)</f>
        <v>0.629174661915205</v>
      </c>
      <c r="Z4414" s="0" t="n">
        <f aca="false">04_回帰ANOVA!$K$19*04_回帰ANOVA!$K$14*SQRT(1+Y4414)</f>
        <v>1.66372758058297</v>
      </c>
      <c r="AA4414" s="0" t="n">
        <f aca="false">X4414-Z4414</f>
        <v>41.4590428872533</v>
      </c>
      <c r="AB4414" s="0" t="n">
        <f aca="false">X4414+Z4414</f>
        <v>44.7864980484192</v>
      </c>
      <c r="AC4414" s="54" t="b">
        <f aca="false">AND(E4414&gt;=01_因子設定!$L$5-0.000000001,E4414&lt;=01_因子設定!$M$5+0.000000001,F4414&gt;=01_因子設定!$L$6-0.000000001,F4414&lt;=01_因子設定!$M$6+0.000000001,G4414&gt;=01_因子設定!$L$7-0.000000001,G4414&lt;=01_因子設定!$M$7+0.000000001,H4414&gt;=01_因子設定!$L$8-0.000000001,H4414&lt;=01_因子設定!$M$8+0.000000001,IF(01_因子設定!$B$20="Box-Behnken",E4414^2+F4414^2+G4414^2+H4414^2&lt;=2+0.000000001,TRUE()))</f>
        <v>1</v>
      </c>
      <c r="AD4414" s="55" t="n">
        <f aca="false">IF(AC4414,IF(01_因子設定!$B$13="最大化",AA4414-01_因子設定!$B$14,IF(01_因子設定!$B$13="最小化",01_因子設定!$B$15-AB4414,MIN(AA4414-01_因子設定!$B$14,01_因子設定!$B$15-AB4414))),-1E+030)</f>
        <v>-5.04095711274672</v>
      </c>
      <c r="AE4414" s="55" t="n">
        <f aca="false">IF(AC4414,IF(01_因子設定!$B$13="最大化",X4414,IF(01_因子設定!$B$13="最小化",-X4414,-ABS(X4414-01_因子設定!$B$16))),-1E+030)</f>
        <v>43.1227704678363</v>
      </c>
      <c r="AF4414" s="55" t="n">
        <f aca="false">AD4414+ROW()*0.000000001</f>
        <v>-5.04095269874672</v>
      </c>
      <c r="AG4414" s="55" t="n">
        <f aca="false">AE4414+ROW()*0.000000001</f>
        <v>43.1227748818363</v>
      </c>
    </row>
    <row r="4415" customFormat="false" ht="15" hidden="false" customHeight="false" outlineLevel="0" collapsed="false">
      <c r="A4415" s="0" t="n">
        <v>6</v>
      </c>
      <c r="B4415" s="0" t="n">
        <v>0</v>
      </c>
      <c r="C4415" s="0" t="n">
        <v>4</v>
      </c>
      <c r="D4415" s="0" t="n">
        <v>0</v>
      </c>
      <c r="E4415" s="0" t="n">
        <f aca="false">-1+A4415*0.25</f>
        <v>0.5</v>
      </c>
      <c r="F4415" s="0" t="n">
        <f aca="false">-1+B4415*0.25</f>
        <v>-1</v>
      </c>
      <c r="G4415" s="0" t="n">
        <f aca="false">-1+C4415*0.25</f>
        <v>0</v>
      </c>
      <c r="H4415" s="0" t="n">
        <f aca="false">-1+D4415*0.25</f>
        <v>-1</v>
      </c>
      <c r="I4415" s="0" t="n">
        <f aca="false">1</f>
        <v>1</v>
      </c>
      <c r="J4415" s="0" t="n">
        <f aca="false">E4415</f>
        <v>0.5</v>
      </c>
      <c r="K4415" s="0" t="n">
        <f aca="false">F4415</f>
        <v>-1</v>
      </c>
      <c r="L4415" s="0" t="n">
        <f aca="false">G4415</f>
        <v>0</v>
      </c>
      <c r="M4415" s="0" t="n">
        <f aca="false">H4415</f>
        <v>-1</v>
      </c>
      <c r="N4415" s="0" t="n">
        <f aca="false">E4415*F4415</f>
        <v>-0.5</v>
      </c>
      <c r="O4415" s="0" t="n">
        <f aca="false">E4415*G4415</f>
        <v>0</v>
      </c>
      <c r="P4415" s="0" t="n">
        <f aca="false">E4415*H4415</f>
        <v>-0.5</v>
      </c>
      <c r="Q4415" s="0" t="n">
        <f aca="false">F4415*G4415</f>
        <v>-0</v>
      </c>
      <c r="R4415" s="0" t="n">
        <f aca="false">F4415*H4415</f>
        <v>1</v>
      </c>
      <c r="S4415" s="0" t="n">
        <f aca="false">G4415*H4415</f>
        <v>-0</v>
      </c>
      <c r="T4415" s="0" t="n">
        <f aca="false">E4415*E4415</f>
        <v>0.25</v>
      </c>
      <c r="U4415" s="0" t="n">
        <f aca="false">F4415*F4415</f>
        <v>1</v>
      </c>
      <c r="V4415" s="0" t="n">
        <f aca="false">G4415*G4415</f>
        <v>0</v>
      </c>
      <c r="W4415" s="0" t="n">
        <f aca="false">H4415*H4415</f>
        <v>1</v>
      </c>
      <c r="X4415" s="0" t="n">
        <f aca="false">SUMPRODUCT(I4415:W4415,_XtX!$B$96:$P$96)</f>
        <v>41.9626461988304</v>
      </c>
      <c r="Y4415" s="0" t="n">
        <f aca="false">SUMPRODUCT(MMULT(I4415:W4415,_XtX!$B$78:$P$92),I4415:W4415)</f>
        <v>0.650767543859649</v>
      </c>
      <c r="Z4415" s="0" t="n">
        <f aca="false">04_回帰ANOVA!$K$19*04_回帰ANOVA!$K$14*SQRT(1+Y4415)</f>
        <v>1.67471670935165</v>
      </c>
      <c r="AA4415" s="0" t="n">
        <f aca="false">X4415-Z4415</f>
        <v>40.2879294894788</v>
      </c>
      <c r="AB4415" s="0" t="n">
        <f aca="false">X4415+Z4415</f>
        <v>43.6373629081821</v>
      </c>
      <c r="AC4415" s="54" t="b">
        <f aca="false">AND(E4415&gt;=01_因子設定!$L$5-0.000000001,E4415&lt;=01_因子設定!$M$5+0.000000001,F4415&gt;=01_因子設定!$L$6-0.000000001,F4415&lt;=01_因子設定!$M$6+0.000000001,G4415&gt;=01_因子設定!$L$7-0.000000001,G4415&lt;=01_因子設定!$M$7+0.000000001,H4415&gt;=01_因子設定!$L$8-0.000000001,H4415&lt;=01_因子設定!$M$8+0.000000001,IF(01_因子設定!$B$20="Box-Behnken",E4415^2+F4415^2+G4415^2+H4415^2&lt;=2+0.000000001,TRUE()))</f>
        <v>1</v>
      </c>
      <c r="AD4415" s="55" t="n">
        <f aca="false">IF(AC4415,IF(01_因子設定!$B$13="最大化",AA4415-01_因子設定!$B$14,IF(01_因子設定!$B$13="最小化",01_因子設定!$B$15-AB4415,MIN(AA4415-01_因子設定!$B$14,01_因子設定!$B$15-AB4415))),-1E+030)</f>
        <v>-6.21207051052125</v>
      </c>
      <c r="AE4415" s="55" t="n">
        <f aca="false">IF(AC4415,IF(01_因子設定!$B$13="最大化",X4415,IF(01_因子設定!$B$13="最小化",-X4415,-ABS(X4415-01_因子設定!$B$16))),-1E+030)</f>
        <v>41.9626461988304</v>
      </c>
      <c r="AF4415" s="55" t="n">
        <f aca="false">AD4415+ROW()*0.000000001</f>
        <v>-6.21206609552125</v>
      </c>
      <c r="AG4415" s="55" t="n">
        <f aca="false">AE4415+ROW()*0.000000001</f>
        <v>41.9626506138304</v>
      </c>
    </row>
    <row r="4416" customFormat="false" ht="15" hidden="false" customHeight="false" outlineLevel="0" collapsed="false">
      <c r="A4416" s="0" t="n">
        <v>6</v>
      </c>
      <c r="B4416" s="0" t="n">
        <v>0</v>
      </c>
      <c r="C4416" s="0" t="n">
        <v>4</v>
      </c>
      <c r="D4416" s="0" t="n">
        <v>1</v>
      </c>
      <c r="E4416" s="0" t="n">
        <f aca="false">-1+A4416*0.25</f>
        <v>0.5</v>
      </c>
      <c r="F4416" s="0" t="n">
        <f aca="false">-1+B4416*0.25</f>
        <v>-1</v>
      </c>
      <c r="G4416" s="0" t="n">
        <f aca="false">-1+C4416*0.25</f>
        <v>0</v>
      </c>
      <c r="H4416" s="0" t="n">
        <f aca="false">-1+D4416*0.25</f>
        <v>-0.75</v>
      </c>
      <c r="I4416" s="0" t="n">
        <f aca="false">1</f>
        <v>1</v>
      </c>
      <c r="J4416" s="0" t="n">
        <f aca="false">E4416</f>
        <v>0.5</v>
      </c>
      <c r="K4416" s="0" t="n">
        <f aca="false">F4416</f>
        <v>-1</v>
      </c>
      <c r="L4416" s="0" t="n">
        <f aca="false">G4416</f>
        <v>0</v>
      </c>
      <c r="M4416" s="0" t="n">
        <f aca="false">H4416</f>
        <v>-0.75</v>
      </c>
      <c r="N4416" s="0" t="n">
        <f aca="false">E4416*F4416</f>
        <v>-0.5</v>
      </c>
      <c r="O4416" s="0" t="n">
        <f aca="false">E4416*G4416</f>
        <v>0</v>
      </c>
      <c r="P4416" s="0" t="n">
        <f aca="false">E4416*H4416</f>
        <v>-0.375</v>
      </c>
      <c r="Q4416" s="0" t="n">
        <f aca="false">F4416*G4416</f>
        <v>-0</v>
      </c>
      <c r="R4416" s="0" t="n">
        <f aca="false">F4416*H4416</f>
        <v>0.75</v>
      </c>
      <c r="S4416" s="0" t="n">
        <f aca="false">G4416*H4416</f>
        <v>-0</v>
      </c>
      <c r="T4416" s="0" t="n">
        <f aca="false">E4416*E4416</f>
        <v>0.25</v>
      </c>
      <c r="U4416" s="0" t="n">
        <f aca="false">F4416*F4416</f>
        <v>1</v>
      </c>
      <c r="V4416" s="0" t="n">
        <f aca="false">G4416*G4416</f>
        <v>0</v>
      </c>
      <c r="W4416" s="0" t="n">
        <f aca="false">H4416*H4416</f>
        <v>0.5625</v>
      </c>
      <c r="X4416" s="0" t="n">
        <f aca="false">SUMPRODUCT(I4416:W4416,_XtX!$B$96:$P$96)</f>
        <v>42.3001096491228</v>
      </c>
      <c r="Y4416" s="0" t="n">
        <f aca="false">SUMPRODUCT(MMULT(I4416:W4416,_XtX!$B$78:$P$92),I4416:W4416)</f>
        <v>0.476191292032164</v>
      </c>
      <c r="Z4416" s="0" t="n">
        <f aca="false">04_回帰ANOVA!$K$19*04_回帰ANOVA!$K$14*SQRT(1+Y4416)</f>
        <v>1.58368831471718</v>
      </c>
      <c r="AA4416" s="0" t="n">
        <f aca="false">X4416-Z4416</f>
        <v>40.7164213344056</v>
      </c>
      <c r="AB4416" s="0" t="n">
        <f aca="false">X4416+Z4416</f>
        <v>43.88379796384</v>
      </c>
      <c r="AC4416" s="54" t="b">
        <f aca="false">AND(E4416&gt;=01_因子設定!$L$5-0.000000001,E4416&lt;=01_因子設定!$M$5+0.000000001,F4416&gt;=01_因子設定!$L$6-0.000000001,F4416&lt;=01_因子設定!$M$6+0.000000001,G4416&gt;=01_因子設定!$L$7-0.000000001,G4416&lt;=01_因子設定!$M$7+0.000000001,H4416&gt;=01_因子設定!$L$8-0.000000001,H4416&lt;=01_因子設定!$M$8+0.000000001,IF(01_因子設定!$B$20="Box-Behnken",E4416^2+F4416^2+G4416^2+H4416^2&lt;=2+0.000000001,TRUE()))</f>
        <v>1</v>
      </c>
      <c r="AD4416" s="55" t="n">
        <f aca="false">IF(AC4416,IF(01_因子設定!$B$13="最大化",AA4416-01_因子設定!$B$14,IF(01_因子設定!$B$13="最小化",01_因子設定!$B$15-AB4416,MIN(AA4416-01_因子設定!$B$14,01_因子設定!$B$15-AB4416))),-1E+030)</f>
        <v>-5.7835786655944</v>
      </c>
      <c r="AE4416" s="55" t="n">
        <f aca="false">IF(AC4416,IF(01_因子設定!$B$13="最大化",X4416,IF(01_因子設定!$B$13="最小化",-X4416,-ABS(X4416-01_因子設定!$B$16))),-1E+030)</f>
        <v>42.3001096491228</v>
      </c>
      <c r="AF4416" s="55" t="n">
        <f aca="false">AD4416+ROW()*0.000000001</f>
        <v>-5.7835742495944</v>
      </c>
      <c r="AG4416" s="55" t="n">
        <f aca="false">AE4416+ROW()*0.000000001</f>
        <v>42.3001140651228</v>
      </c>
    </row>
    <row r="4417" customFormat="false" ht="15" hidden="false" customHeight="false" outlineLevel="0" collapsed="false">
      <c r="A4417" s="0" t="n">
        <v>6</v>
      </c>
      <c r="B4417" s="0" t="n">
        <v>0</v>
      </c>
      <c r="C4417" s="0" t="n">
        <v>4</v>
      </c>
      <c r="D4417" s="0" t="n">
        <v>2</v>
      </c>
      <c r="E4417" s="0" t="n">
        <f aca="false">-1+A4417*0.25</f>
        <v>0.5</v>
      </c>
      <c r="F4417" s="0" t="n">
        <f aca="false">-1+B4417*0.25</f>
        <v>-1</v>
      </c>
      <c r="G4417" s="0" t="n">
        <f aca="false">-1+C4417*0.25</f>
        <v>0</v>
      </c>
      <c r="H4417" s="0" t="n">
        <f aca="false">-1+D4417*0.25</f>
        <v>-0.5</v>
      </c>
      <c r="I4417" s="0" t="n">
        <f aca="false">1</f>
        <v>1</v>
      </c>
      <c r="J4417" s="0" t="n">
        <f aca="false">E4417</f>
        <v>0.5</v>
      </c>
      <c r="K4417" s="0" t="n">
        <f aca="false">F4417</f>
        <v>-1</v>
      </c>
      <c r="L4417" s="0" t="n">
        <f aca="false">G4417</f>
        <v>0</v>
      </c>
      <c r="M4417" s="0" t="n">
        <f aca="false">H4417</f>
        <v>-0.5</v>
      </c>
      <c r="N4417" s="0" t="n">
        <f aca="false">E4417*F4417</f>
        <v>-0.5</v>
      </c>
      <c r="O4417" s="0" t="n">
        <f aca="false">E4417*G4417</f>
        <v>0</v>
      </c>
      <c r="P4417" s="0" t="n">
        <f aca="false">E4417*H4417</f>
        <v>-0.25</v>
      </c>
      <c r="Q4417" s="0" t="n">
        <f aca="false">F4417*G4417</f>
        <v>-0</v>
      </c>
      <c r="R4417" s="0" t="n">
        <f aca="false">F4417*H4417</f>
        <v>0.5</v>
      </c>
      <c r="S4417" s="0" t="n">
        <f aca="false">G4417*H4417</f>
        <v>-0</v>
      </c>
      <c r="T4417" s="0" t="n">
        <f aca="false">E4417*E4417</f>
        <v>0.25</v>
      </c>
      <c r="U4417" s="0" t="n">
        <f aca="false">F4417*F4417</f>
        <v>1</v>
      </c>
      <c r="V4417" s="0" t="n">
        <f aca="false">G4417*G4417</f>
        <v>0</v>
      </c>
      <c r="W4417" s="0" t="n">
        <f aca="false">H4417*H4417</f>
        <v>0.25</v>
      </c>
      <c r="X4417" s="0" t="n">
        <f aca="false">SUMPRODUCT(I4417:W4417,_XtX!$B$96:$P$96)</f>
        <v>42.5897660818713</v>
      </c>
      <c r="Y4417" s="0" t="n">
        <f aca="false">SUMPRODUCT(MMULT(I4417:W4417,_XtX!$B$78:$P$92),I4417:W4417)</f>
        <v>0.441954495614035</v>
      </c>
      <c r="Z4417" s="0" t="n">
        <f aca="false">04_回帰ANOVA!$K$19*04_回帰ANOVA!$K$14*SQRT(1+Y4417)</f>
        <v>1.56521560968066</v>
      </c>
      <c r="AA4417" s="0" t="n">
        <f aca="false">X4417-Z4417</f>
        <v>41.0245504721907</v>
      </c>
      <c r="AB4417" s="0" t="n">
        <f aca="false">X4417+Z4417</f>
        <v>44.154981691552</v>
      </c>
      <c r="AC4417" s="54" t="b">
        <f aca="false">AND(E4417&gt;=01_因子設定!$L$5-0.000000001,E4417&lt;=01_因子設定!$M$5+0.000000001,F4417&gt;=01_因子設定!$L$6-0.000000001,F4417&lt;=01_因子設定!$M$6+0.000000001,G4417&gt;=01_因子設定!$L$7-0.000000001,G4417&lt;=01_因子設定!$M$7+0.000000001,H4417&gt;=01_因子設定!$L$8-0.000000001,H4417&lt;=01_因子設定!$M$8+0.000000001,IF(01_因子設定!$B$20="Box-Behnken",E4417^2+F4417^2+G4417^2+H4417^2&lt;=2+0.000000001,TRUE()))</f>
        <v>1</v>
      </c>
      <c r="AD4417" s="55" t="n">
        <f aca="false">IF(AC4417,IF(01_因子設定!$B$13="最大化",AA4417-01_因子設定!$B$14,IF(01_因子設定!$B$13="最小化",01_因子設定!$B$15-AB4417,MIN(AA4417-01_因子設定!$B$14,01_因子設定!$B$15-AB4417))),-1E+030)</f>
        <v>-5.47544952780935</v>
      </c>
      <c r="AE4417" s="55" t="n">
        <f aca="false">IF(AC4417,IF(01_因子設定!$B$13="最大化",X4417,IF(01_因子設定!$B$13="最小化",-X4417,-ABS(X4417-01_因子設定!$B$16))),-1E+030)</f>
        <v>42.5897660818713</v>
      </c>
      <c r="AF4417" s="55" t="n">
        <f aca="false">AD4417+ROW()*0.000000001</f>
        <v>-5.47544511080935</v>
      </c>
      <c r="AG4417" s="55" t="n">
        <f aca="false">AE4417+ROW()*0.000000001</f>
        <v>42.5897704988713</v>
      </c>
    </row>
    <row r="4418" customFormat="false" ht="15" hidden="false" customHeight="false" outlineLevel="0" collapsed="false">
      <c r="A4418" s="0" t="n">
        <v>6</v>
      </c>
      <c r="B4418" s="0" t="n">
        <v>0</v>
      </c>
      <c r="C4418" s="0" t="n">
        <v>4</v>
      </c>
      <c r="D4418" s="0" t="n">
        <v>3</v>
      </c>
      <c r="E4418" s="0" t="n">
        <f aca="false">-1+A4418*0.25</f>
        <v>0.5</v>
      </c>
      <c r="F4418" s="0" t="n">
        <f aca="false">-1+B4418*0.25</f>
        <v>-1</v>
      </c>
      <c r="G4418" s="0" t="n">
        <f aca="false">-1+C4418*0.25</f>
        <v>0</v>
      </c>
      <c r="H4418" s="0" t="n">
        <f aca="false">-1+D4418*0.25</f>
        <v>-0.25</v>
      </c>
      <c r="I4418" s="0" t="n">
        <f aca="false">1</f>
        <v>1</v>
      </c>
      <c r="J4418" s="0" t="n">
        <f aca="false">E4418</f>
        <v>0.5</v>
      </c>
      <c r="K4418" s="0" t="n">
        <f aca="false">F4418</f>
        <v>-1</v>
      </c>
      <c r="L4418" s="0" t="n">
        <f aca="false">G4418</f>
        <v>0</v>
      </c>
      <c r="M4418" s="0" t="n">
        <f aca="false">H4418</f>
        <v>-0.25</v>
      </c>
      <c r="N4418" s="0" t="n">
        <f aca="false">E4418*F4418</f>
        <v>-0.5</v>
      </c>
      <c r="O4418" s="0" t="n">
        <f aca="false">E4418*G4418</f>
        <v>0</v>
      </c>
      <c r="P4418" s="0" t="n">
        <f aca="false">E4418*H4418</f>
        <v>-0.125</v>
      </c>
      <c r="Q4418" s="0" t="n">
        <f aca="false">F4418*G4418</f>
        <v>-0</v>
      </c>
      <c r="R4418" s="0" t="n">
        <f aca="false">F4418*H4418</f>
        <v>0.25</v>
      </c>
      <c r="S4418" s="0" t="n">
        <f aca="false">G4418*H4418</f>
        <v>-0</v>
      </c>
      <c r="T4418" s="0" t="n">
        <f aca="false">E4418*E4418</f>
        <v>0.25</v>
      </c>
      <c r="U4418" s="0" t="n">
        <f aca="false">F4418*F4418</f>
        <v>1</v>
      </c>
      <c r="V4418" s="0" t="n">
        <f aca="false">G4418*G4418</f>
        <v>0</v>
      </c>
      <c r="W4418" s="0" t="n">
        <f aca="false">H4418*H4418</f>
        <v>0.0625</v>
      </c>
      <c r="X4418" s="0" t="n">
        <f aca="false">SUMPRODUCT(I4418:W4418,_XtX!$B$96:$P$96)</f>
        <v>42.831615497076</v>
      </c>
      <c r="Y4418" s="0" t="n">
        <f aca="false">SUMPRODUCT(MMULT(I4418:W4418,_XtX!$B$78:$P$92),I4418:W4418)</f>
        <v>0.457596628289474</v>
      </c>
      <c r="Z4418" s="0" t="n">
        <f aca="false">04_回帰ANOVA!$K$19*04_回帰ANOVA!$K$14*SQRT(1+Y4418)</f>
        <v>1.57368233664366</v>
      </c>
      <c r="AA4418" s="0" t="n">
        <f aca="false">X4418-Z4418</f>
        <v>41.2579331604323</v>
      </c>
      <c r="AB4418" s="0" t="n">
        <f aca="false">X4418+Z4418</f>
        <v>44.4052978337196</v>
      </c>
      <c r="AC4418" s="54" t="b">
        <f aca="false">AND(E4418&gt;=01_因子設定!$L$5-0.000000001,E4418&lt;=01_因子設定!$M$5+0.000000001,F4418&gt;=01_因子設定!$L$6-0.000000001,F4418&lt;=01_因子設定!$M$6+0.000000001,G4418&gt;=01_因子設定!$L$7-0.000000001,G4418&lt;=01_因子設定!$M$7+0.000000001,H4418&gt;=01_因子設定!$L$8-0.000000001,H4418&lt;=01_因子設定!$M$8+0.000000001,IF(01_因子設定!$B$20="Box-Behnken",E4418^2+F4418^2+G4418^2+H4418^2&lt;=2+0.000000001,TRUE()))</f>
        <v>1</v>
      </c>
      <c r="AD4418" s="55" t="n">
        <f aca="false">IF(AC4418,IF(01_因子設定!$B$13="最大化",AA4418-01_因子設定!$B$14,IF(01_因子設定!$B$13="最小化",01_因子設定!$B$15-AB4418,MIN(AA4418-01_因子設定!$B$14,01_因子設定!$B$15-AB4418))),-1E+030)</f>
        <v>-5.24206683956768</v>
      </c>
      <c r="AE4418" s="55" t="n">
        <f aca="false">IF(AC4418,IF(01_因子設定!$B$13="最大化",X4418,IF(01_因子設定!$B$13="最小化",-X4418,-ABS(X4418-01_因子設定!$B$16))),-1E+030)</f>
        <v>42.831615497076</v>
      </c>
      <c r="AF4418" s="55" t="n">
        <f aca="false">AD4418+ROW()*0.000000001</f>
        <v>-5.24206242156768</v>
      </c>
      <c r="AG4418" s="55" t="n">
        <f aca="false">AE4418+ROW()*0.000000001</f>
        <v>42.831619915076</v>
      </c>
    </row>
    <row r="4419" customFormat="false" ht="15" hidden="false" customHeight="false" outlineLevel="0" collapsed="false">
      <c r="A4419" s="0" t="n">
        <v>6</v>
      </c>
      <c r="B4419" s="0" t="n">
        <v>0</v>
      </c>
      <c r="C4419" s="0" t="n">
        <v>4</v>
      </c>
      <c r="D4419" s="0" t="n">
        <v>4</v>
      </c>
      <c r="E4419" s="0" t="n">
        <f aca="false">-1+A4419*0.25</f>
        <v>0.5</v>
      </c>
      <c r="F4419" s="0" t="n">
        <f aca="false">-1+B4419*0.25</f>
        <v>-1</v>
      </c>
      <c r="G4419" s="0" t="n">
        <f aca="false">-1+C4419*0.25</f>
        <v>0</v>
      </c>
      <c r="H4419" s="0" t="n">
        <f aca="false">-1+D4419*0.25</f>
        <v>0</v>
      </c>
      <c r="I4419" s="0" t="n">
        <f aca="false">1</f>
        <v>1</v>
      </c>
      <c r="J4419" s="0" t="n">
        <f aca="false">E4419</f>
        <v>0.5</v>
      </c>
      <c r="K4419" s="0" t="n">
        <f aca="false">F4419</f>
        <v>-1</v>
      </c>
      <c r="L4419" s="0" t="n">
        <f aca="false">G4419</f>
        <v>0</v>
      </c>
      <c r="M4419" s="0" t="n">
        <f aca="false">H4419</f>
        <v>0</v>
      </c>
      <c r="N4419" s="0" t="n">
        <f aca="false">E4419*F4419</f>
        <v>-0.5</v>
      </c>
      <c r="O4419" s="0" t="n">
        <f aca="false">E4419*G4419</f>
        <v>0</v>
      </c>
      <c r="P4419" s="0" t="n">
        <f aca="false">E4419*H4419</f>
        <v>0</v>
      </c>
      <c r="Q4419" s="0" t="n">
        <f aca="false">F4419*G4419</f>
        <v>-0</v>
      </c>
      <c r="R4419" s="0" t="n">
        <f aca="false">F4419*H4419</f>
        <v>-0</v>
      </c>
      <c r="S4419" s="0" t="n">
        <f aca="false">G4419*H4419</f>
        <v>0</v>
      </c>
      <c r="T4419" s="0" t="n">
        <f aca="false">E4419*E4419</f>
        <v>0.25</v>
      </c>
      <c r="U4419" s="0" t="n">
        <f aca="false">F4419*F4419</f>
        <v>1</v>
      </c>
      <c r="V4419" s="0" t="n">
        <f aca="false">G4419*G4419</f>
        <v>0</v>
      </c>
      <c r="W4419" s="0" t="n">
        <f aca="false">H4419*H4419</f>
        <v>0</v>
      </c>
      <c r="X4419" s="0" t="n">
        <f aca="false">SUMPRODUCT(I4419:W4419,_XtX!$B$96:$P$96)</f>
        <v>43.0256578947368</v>
      </c>
      <c r="Y4419" s="0" t="n">
        <f aca="false">SUMPRODUCT(MMULT(I4419:W4419,_XtX!$B$78:$P$92),I4419:W4419)</f>
        <v>0.468841374269006</v>
      </c>
      <c r="Z4419" s="0" t="n">
        <f aca="false">04_回帰ANOVA!$K$19*04_回帰ANOVA!$K$14*SQRT(1+Y4419)</f>
        <v>1.57974082366087</v>
      </c>
      <c r="AA4419" s="0" t="n">
        <f aca="false">X4419-Z4419</f>
        <v>41.4459170710759</v>
      </c>
      <c r="AB4419" s="0" t="n">
        <f aca="false">X4419+Z4419</f>
        <v>44.6053987183977</v>
      </c>
      <c r="AC4419" s="54" t="b">
        <f aca="false">AND(E4419&gt;=01_因子設定!$L$5-0.000000001,E4419&lt;=01_因子設定!$M$5+0.000000001,F4419&gt;=01_因子設定!$L$6-0.000000001,F4419&lt;=01_因子設定!$M$6+0.000000001,G4419&gt;=01_因子設定!$L$7-0.000000001,G4419&lt;=01_因子設定!$M$7+0.000000001,H4419&gt;=01_因子設定!$L$8-0.000000001,H4419&lt;=01_因子設定!$M$8+0.000000001,IF(01_因子設定!$B$20="Box-Behnken",E4419^2+F4419^2+G4419^2+H4419^2&lt;=2+0.000000001,TRUE()))</f>
        <v>1</v>
      </c>
      <c r="AD4419" s="55" t="n">
        <f aca="false">IF(AC4419,IF(01_因子設定!$B$13="最大化",AA4419-01_因子設定!$B$14,IF(01_因子設定!$B$13="最小化",01_因子設定!$B$15-AB4419,MIN(AA4419-01_因子設定!$B$14,01_因子設定!$B$15-AB4419))),-1E+030)</f>
        <v>-5.05408292892408</v>
      </c>
      <c r="AE4419" s="55" t="n">
        <f aca="false">IF(AC4419,IF(01_因子設定!$B$13="最大化",X4419,IF(01_因子設定!$B$13="最小化",-X4419,-ABS(X4419-01_因子設定!$B$16))),-1E+030)</f>
        <v>43.0256578947368</v>
      </c>
      <c r="AF4419" s="55" t="n">
        <f aca="false">AD4419+ROW()*0.000000001</f>
        <v>-5.05407850992408</v>
      </c>
      <c r="AG4419" s="55" t="n">
        <f aca="false">AE4419+ROW()*0.000000001</f>
        <v>43.0256623137368</v>
      </c>
    </row>
    <row r="4420" customFormat="false" ht="15" hidden="false" customHeight="false" outlineLevel="0" collapsed="false">
      <c r="A4420" s="0" t="n">
        <v>6</v>
      </c>
      <c r="B4420" s="0" t="n">
        <v>0</v>
      </c>
      <c r="C4420" s="0" t="n">
        <v>4</v>
      </c>
      <c r="D4420" s="0" t="n">
        <v>5</v>
      </c>
      <c r="E4420" s="0" t="n">
        <f aca="false">-1+A4420*0.25</f>
        <v>0.5</v>
      </c>
      <c r="F4420" s="0" t="n">
        <f aca="false">-1+B4420*0.25</f>
        <v>-1</v>
      </c>
      <c r="G4420" s="0" t="n">
        <f aca="false">-1+C4420*0.25</f>
        <v>0</v>
      </c>
      <c r="H4420" s="0" t="n">
        <f aca="false">-1+D4420*0.25</f>
        <v>0.25</v>
      </c>
      <c r="I4420" s="0" t="n">
        <f aca="false">1</f>
        <v>1</v>
      </c>
      <c r="J4420" s="0" t="n">
        <f aca="false">E4420</f>
        <v>0.5</v>
      </c>
      <c r="K4420" s="0" t="n">
        <f aca="false">F4420</f>
        <v>-1</v>
      </c>
      <c r="L4420" s="0" t="n">
        <f aca="false">G4420</f>
        <v>0</v>
      </c>
      <c r="M4420" s="0" t="n">
        <f aca="false">H4420</f>
        <v>0.25</v>
      </c>
      <c r="N4420" s="0" t="n">
        <f aca="false">E4420*F4420</f>
        <v>-0.5</v>
      </c>
      <c r="O4420" s="0" t="n">
        <f aca="false">E4420*G4420</f>
        <v>0</v>
      </c>
      <c r="P4420" s="0" t="n">
        <f aca="false">E4420*H4420</f>
        <v>0.125</v>
      </c>
      <c r="Q4420" s="0" t="n">
        <f aca="false">F4420*G4420</f>
        <v>-0</v>
      </c>
      <c r="R4420" s="0" t="n">
        <f aca="false">F4420*H4420</f>
        <v>-0.25</v>
      </c>
      <c r="S4420" s="0" t="n">
        <f aca="false">G4420*H4420</f>
        <v>0</v>
      </c>
      <c r="T4420" s="0" t="n">
        <f aca="false">E4420*E4420</f>
        <v>0.25</v>
      </c>
      <c r="U4420" s="0" t="n">
        <f aca="false">F4420*F4420</f>
        <v>1</v>
      </c>
      <c r="V4420" s="0" t="n">
        <f aca="false">G4420*G4420</f>
        <v>0</v>
      </c>
      <c r="W4420" s="0" t="n">
        <f aca="false">H4420*H4420</f>
        <v>0.0625</v>
      </c>
      <c r="X4420" s="0" t="n">
        <f aca="false">SUMPRODUCT(I4420:W4420,_XtX!$B$96:$P$96)</f>
        <v>43.1718932748538</v>
      </c>
      <c r="Y4420" s="0" t="n">
        <f aca="false">SUMPRODUCT(MMULT(I4420:W4420,_XtX!$B$78:$P$92),I4420:W4420)</f>
        <v>0.457596628289474</v>
      </c>
      <c r="Z4420" s="0" t="n">
        <f aca="false">04_回帰ANOVA!$K$19*04_回帰ANOVA!$K$14*SQRT(1+Y4420)</f>
        <v>1.57368233664366</v>
      </c>
      <c r="AA4420" s="0" t="n">
        <f aca="false">X4420-Z4420</f>
        <v>41.5982109382101</v>
      </c>
      <c r="AB4420" s="0" t="n">
        <f aca="false">X4420+Z4420</f>
        <v>44.7455756114974</v>
      </c>
      <c r="AC4420" s="54" t="b">
        <f aca="false">AND(E4420&gt;=01_因子設定!$L$5-0.000000001,E4420&lt;=01_因子設定!$M$5+0.000000001,F4420&gt;=01_因子設定!$L$6-0.000000001,F4420&lt;=01_因子設定!$M$6+0.000000001,G4420&gt;=01_因子設定!$L$7-0.000000001,G4420&lt;=01_因子設定!$M$7+0.000000001,H4420&gt;=01_因子設定!$L$8-0.000000001,H4420&lt;=01_因子設定!$M$8+0.000000001,IF(01_因子設定!$B$20="Box-Behnken",E4420^2+F4420^2+G4420^2+H4420^2&lt;=2+0.000000001,TRUE()))</f>
        <v>1</v>
      </c>
      <c r="AD4420" s="55" t="n">
        <f aca="false">IF(AC4420,IF(01_因子設定!$B$13="最大化",AA4420-01_因子設定!$B$14,IF(01_因子設定!$B$13="最小化",01_因子設定!$B$15-AB4420,MIN(AA4420-01_因子設定!$B$14,01_因子設定!$B$15-AB4420))),-1E+030)</f>
        <v>-4.9017890617899</v>
      </c>
      <c r="AE4420" s="55" t="n">
        <f aca="false">IF(AC4420,IF(01_因子設定!$B$13="最大化",X4420,IF(01_因子設定!$B$13="最小化",-X4420,-ABS(X4420-01_因子設定!$B$16))),-1E+030)</f>
        <v>43.1718932748538</v>
      </c>
      <c r="AF4420" s="55" t="n">
        <f aca="false">AD4420+ROW()*0.000000001</f>
        <v>-4.9017846417899</v>
      </c>
      <c r="AG4420" s="55" t="n">
        <f aca="false">AE4420+ROW()*0.000000001</f>
        <v>43.1718976948538</v>
      </c>
    </row>
    <row r="4421" customFormat="false" ht="15" hidden="false" customHeight="false" outlineLevel="0" collapsed="false">
      <c r="A4421" s="0" t="n">
        <v>6</v>
      </c>
      <c r="B4421" s="0" t="n">
        <v>0</v>
      </c>
      <c r="C4421" s="0" t="n">
        <v>4</v>
      </c>
      <c r="D4421" s="0" t="n">
        <v>6</v>
      </c>
      <c r="E4421" s="0" t="n">
        <f aca="false">-1+A4421*0.25</f>
        <v>0.5</v>
      </c>
      <c r="F4421" s="0" t="n">
        <f aca="false">-1+B4421*0.25</f>
        <v>-1</v>
      </c>
      <c r="G4421" s="0" t="n">
        <f aca="false">-1+C4421*0.25</f>
        <v>0</v>
      </c>
      <c r="H4421" s="0" t="n">
        <f aca="false">-1+D4421*0.25</f>
        <v>0.5</v>
      </c>
      <c r="I4421" s="0" t="n">
        <f aca="false">1</f>
        <v>1</v>
      </c>
      <c r="J4421" s="0" t="n">
        <f aca="false">E4421</f>
        <v>0.5</v>
      </c>
      <c r="K4421" s="0" t="n">
        <f aca="false">F4421</f>
        <v>-1</v>
      </c>
      <c r="L4421" s="0" t="n">
        <f aca="false">G4421</f>
        <v>0</v>
      </c>
      <c r="M4421" s="0" t="n">
        <f aca="false">H4421</f>
        <v>0.5</v>
      </c>
      <c r="N4421" s="0" t="n">
        <f aca="false">E4421*F4421</f>
        <v>-0.5</v>
      </c>
      <c r="O4421" s="0" t="n">
        <f aca="false">E4421*G4421</f>
        <v>0</v>
      </c>
      <c r="P4421" s="0" t="n">
        <f aca="false">E4421*H4421</f>
        <v>0.25</v>
      </c>
      <c r="Q4421" s="0" t="n">
        <f aca="false">F4421*G4421</f>
        <v>-0</v>
      </c>
      <c r="R4421" s="0" t="n">
        <f aca="false">F4421*H4421</f>
        <v>-0.5</v>
      </c>
      <c r="S4421" s="0" t="n">
        <f aca="false">G4421*H4421</f>
        <v>0</v>
      </c>
      <c r="T4421" s="0" t="n">
        <f aca="false">E4421*E4421</f>
        <v>0.25</v>
      </c>
      <c r="U4421" s="0" t="n">
        <f aca="false">F4421*F4421</f>
        <v>1</v>
      </c>
      <c r="V4421" s="0" t="n">
        <f aca="false">G4421*G4421</f>
        <v>0</v>
      </c>
      <c r="W4421" s="0" t="n">
        <f aca="false">H4421*H4421</f>
        <v>0.25</v>
      </c>
      <c r="X4421" s="0" t="n">
        <f aca="false">SUMPRODUCT(I4421:W4421,_XtX!$B$96:$P$96)</f>
        <v>43.2703216374269</v>
      </c>
      <c r="Y4421" s="0" t="n">
        <f aca="false">SUMPRODUCT(MMULT(I4421:W4421,_XtX!$B$78:$P$92),I4421:W4421)</f>
        <v>0.441954495614035</v>
      </c>
      <c r="Z4421" s="0" t="n">
        <f aca="false">04_回帰ANOVA!$K$19*04_回帰ANOVA!$K$14*SQRT(1+Y4421)</f>
        <v>1.56521560968066</v>
      </c>
      <c r="AA4421" s="0" t="n">
        <f aca="false">X4421-Z4421</f>
        <v>41.7051060277462</v>
      </c>
      <c r="AB4421" s="0" t="n">
        <f aca="false">X4421+Z4421</f>
        <v>44.8355372471075</v>
      </c>
      <c r="AC4421" s="54" t="b">
        <f aca="false">AND(E4421&gt;=01_因子設定!$L$5-0.000000001,E4421&lt;=01_因子設定!$M$5+0.000000001,F4421&gt;=01_因子設定!$L$6-0.000000001,F4421&lt;=01_因子設定!$M$6+0.000000001,G4421&gt;=01_因子設定!$L$7-0.000000001,G4421&lt;=01_因子設定!$M$7+0.000000001,H4421&gt;=01_因子設定!$L$8-0.000000001,H4421&lt;=01_因子設定!$M$8+0.000000001,IF(01_因子設定!$B$20="Box-Behnken",E4421^2+F4421^2+G4421^2+H4421^2&lt;=2+0.000000001,TRUE()))</f>
        <v>1</v>
      </c>
      <c r="AD4421" s="55" t="n">
        <f aca="false">IF(AC4421,IF(01_因子設定!$B$13="最大化",AA4421-01_因子設定!$B$14,IF(01_因子設定!$B$13="最小化",01_因子設定!$B$15-AB4421,MIN(AA4421-01_因子設定!$B$14,01_因子設定!$B$15-AB4421))),-1E+030)</f>
        <v>-4.7948939722538</v>
      </c>
      <c r="AE4421" s="55" t="n">
        <f aca="false">IF(AC4421,IF(01_因子設定!$B$13="最大化",X4421,IF(01_因子設定!$B$13="最小化",-X4421,-ABS(X4421-01_因子設定!$B$16))),-1E+030)</f>
        <v>43.2703216374269</v>
      </c>
      <c r="AF4421" s="55" t="n">
        <f aca="false">AD4421+ROW()*0.000000001</f>
        <v>-4.7948895512538</v>
      </c>
      <c r="AG4421" s="55" t="n">
        <f aca="false">AE4421+ROW()*0.000000001</f>
        <v>43.2703260584269</v>
      </c>
    </row>
    <row r="4422" customFormat="false" ht="15" hidden="false" customHeight="false" outlineLevel="0" collapsed="false">
      <c r="A4422" s="0" t="n">
        <v>6</v>
      </c>
      <c r="B4422" s="0" t="n">
        <v>0</v>
      </c>
      <c r="C4422" s="0" t="n">
        <v>4</v>
      </c>
      <c r="D4422" s="0" t="n">
        <v>7</v>
      </c>
      <c r="E4422" s="0" t="n">
        <f aca="false">-1+A4422*0.25</f>
        <v>0.5</v>
      </c>
      <c r="F4422" s="0" t="n">
        <f aca="false">-1+B4422*0.25</f>
        <v>-1</v>
      </c>
      <c r="G4422" s="0" t="n">
        <f aca="false">-1+C4422*0.25</f>
        <v>0</v>
      </c>
      <c r="H4422" s="0" t="n">
        <f aca="false">-1+D4422*0.25</f>
        <v>0.75</v>
      </c>
      <c r="I4422" s="0" t="n">
        <f aca="false">1</f>
        <v>1</v>
      </c>
      <c r="J4422" s="0" t="n">
        <f aca="false">E4422</f>
        <v>0.5</v>
      </c>
      <c r="K4422" s="0" t="n">
        <f aca="false">F4422</f>
        <v>-1</v>
      </c>
      <c r="L4422" s="0" t="n">
        <f aca="false">G4422</f>
        <v>0</v>
      </c>
      <c r="M4422" s="0" t="n">
        <f aca="false">H4422</f>
        <v>0.75</v>
      </c>
      <c r="N4422" s="0" t="n">
        <f aca="false">E4422*F4422</f>
        <v>-0.5</v>
      </c>
      <c r="O4422" s="0" t="n">
        <f aca="false">E4422*G4422</f>
        <v>0</v>
      </c>
      <c r="P4422" s="0" t="n">
        <f aca="false">E4422*H4422</f>
        <v>0.375</v>
      </c>
      <c r="Q4422" s="0" t="n">
        <f aca="false">F4422*G4422</f>
        <v>-0</v>
      </c>
      <c r="R4422" s="0" t="n">
        <f aca="false">F4422*H4422</f>
        <v>-0.75</v>
      </c>
      <c r="S4422" s="0" t="n">
        <f aca="false">G4422*H4422</f>
        <v>0</v>
      </c>
      <c r="T4422" s="0" t="n">
        <f aca="false">E4422*E4422</f>
        <v>0.25</v>
      </c>
      <c r="U4422" s="0" t="n">
        <f aca="false">F4422*F4422</f>
        <v>1</v>
      </c>
      <c r="V4422" s="0" t="n">
        <f aca="false">G4422*G4422</f>
        <v>0</v>
      </c>
      <c r="W4422" s="0" t="n">
        <f aca="false">H4422*H4422</f>
        <v>0.5625</v>
      </c>
      <c r="X4422" s="0" t="n">
        <f aca="false">SUMPRODUCT(I4422:W4422,_XtX!$B$96:$P$96)</f>
        <v>43.3209429824561</v>
      </c>
      <c r="Y4422" s="0" t="n">
        <f aca="false">SUMPRODUCT(MMULT(I4422:W4422,_XtX!$B$78:$P$92),I4422:W4422)</f>
        <v>0.476191292032164</v>
      </c>
      <c r="Z4422" s="0" t="n">
        <f aca="false">04_回帰ANOVA!$K$19*04_回帰ANOVA!$K$14*SQRT(1+Y4422)</f>
        <v>1.58368831471718</v>
      </c>
      <c r="AA4422" s="0" t="n">
        <f aca="false">X4422-Z4422</f>
        <v>41.7372546677389</v>
      </c>
      <c r="AB4422" s="0" t="n">
        <f aca="false">X4422+Z4422</f>
        <v>44.9046312971733</v>
      </c>
      <c r="AC4422" s="54" t="b">
        <f aca="false">AND(E4422&gt;=01_因子設定!$L$5-0.000000001,E4422&lt;=01_因子設定!$M$5+0.000000001,F4422&gt;=01_因子設定!$L$6-0.000000001,F4422&lt;=01_因子設定!$M$6+0.000000001,G4422&gt;=01_因子設定!$L$7-0.000000001,G4422&lt;=01_因子設定!$M$7+0.000000001,H4422&gt;=01_因子設定!$L$8-0.000000001,H4422&lt;=01_因子設定!$M$8+0.000000001,IF(01_因子設定!$B$20="Box-Behnken",E4422^2+F4422^2+G4422^2+H4422^2&lt;=2+0.000000001,TRUE()))</f>
        <v>1</v>
      </c>
      <c r="AD4422" s="55" t="n">
        <f aca="false">IF(AC4422,IF(01_因子設定!$B$13="最大化",AA4422-01_因子設定!$B$14,IF(01_因子設定!$B$13="最小化",01_因子設定!$B$15-AB4422,MIN(AA4422-01_因子設定!$B$14,01_因子設定!$B$15-AB4422))),-1E+030)</f>
        <v>-4.76274533226106</v>
      </c>
      <c r="AE4422" s="55" t="n">
        <f aca="false">IF(AC4422,IF(01_因子設定!$B$13="最大化",X4422,IF(01_因子設定!$B$13="最小化",-X4422,-ABS(X4422-01_因子設定!$B$16))),-1E+030)</f>
        <v>43.3209429824561</v>
      </c>
      <c r="AF4422" s="55" t="n">
        <f aca="false">AD4422+ROW()*0.000000001</f>
        <v>-4.76274091026106</v>
      </c>
      <c r="AG4422" s="55" t="n">
        <f aca="false">AE4422+ROW()*0.000000001</f>
        <v>43.3209474044561</v>
      </c>
    </row>
    <row r="4423" customFormat="false" ht="15" hidden="false" customHeight="false" outlineLevel="0" collapsed="false">
      <c r="A4423" s="0" t="n">
        <v>6</v>
      </c>
      <c r="B4423" s="0" t="n">
        <v>0</v>
      </c>
      <c r="C4423" s="0" t="n">
        <v>4</v>
      </c>
      <c r="D4423" s="0" t="n">
        <v>8</v>
      </c>
      <c r="E4423" s="0" t="n">
        <f aca="false">-1+A4423*0.25</f>
        <v>0.5</v>
      </c>
      <c r="F4423" s="0" t="n">
        <f aca="false">-1+B4423*0.25</f>
        <v>-1</v>
      </c>
      <c r="G4423" s="0" t="n">
        <f aca="false">-1+C4423*0.25</f>
        <v>0</v>
      </c>
      <c r="H4423" s="0" t="n">
        <f aca="false">-1+D4423*0.25</f>
        <v>1</v>
      </c>
      <c r="I4423" s="0" t="n">
        <f aca="false">1</f>
        <v>1</v>
      </c>
      <c r="J4423" s="0" t="n">
        <f aca="false">E4423</f>
        <v>0.5</v>
      </c>
      <c r="K4423" s="0" t="n">
        <f aca="false">F4423</f>
        <v>-1</v>
      </c>
      <c r="L4423" s="0" t="n">
        <f aca="false">G4423</f>
        <v>0</v>
      </c>
      <c r="M4423" s="0" t="n">
        <f aca="false">H4423</f>
        <v>1</v>
      </c>
      <c r="N4423" s="0" t="n">
        <f aca="false">E4423*F4423</f>
        <v>-0.5</v>
      </c>
      <c r="O4423" s="0" t="n">
        <f aca="false">E4423*G4423</f>
        <v>0</v>
      </c>
      <c r="P4423" s="0" t="n">
        <f aca="false">E4423*H4423</f>
        <v>0.5</v>
      </c>
      <c r="Q4423" s="0" t="n">
        <f aca="false">F4423*G4423</f>
        <v>-0</v>
      </c>
      <c r="R4423" s="0" t="n">
        <f aca="false">F4423*H4423</f>
        <v>-1</v>
      </c>
      <c r="S4423" s="0" t="n">
        <f aca="false">G4423*H4423</f>
        <v>0</v>
      </c>
      <c r="T4423" s="0" t="n">
        <f aca="false">E4423*E4423</f>
        <v>0.25</v>
      </c>
      <c r="U4423" s="0" t="n">
        <f aca="false">F4423*F4423</f>
        <v>1</v>
      </c>
      <c r="V4423" s="0" t="n">
        <f aca="false">G4423*G4423</f>
        <v>0</v>
      </c>
      <c r="W4423" s="0" t="n">
        <f aca="false">H4423*H4423</f>
        <v>1</v>
      </c>
      <c r="X4423" s="0" t="n">
        <f aca="false">SUMPRODUCT(I4423:W4423,_XtX!$B$96:$P$96)</f>
        <v>43.3237573099415</v>
      </c>
      <c r="Y4423" s="0" t="n">
        <f aca="false">SUMPRODUCT(MMULT(I4423:W4423,_XtX!$B$78:$P$92),I4423:W4423)</f>
        <v>0.650767543859649</v>
      </c>
      <c r="Z4423" s="0" t="n">
        <f aca="false">04_回帰ANOVA!$K$19*04_回帰ANOVA!$K$14*SQRT(1+Y4423)</f>
        <v>1.67471670935165</v>
      </c>
      <c r="AA4423" s="0" t="n">
        <f aca="false">X4423-Z4423</f>
        <v>41.6490406005899</v>
      </c>
      <c r="AB4423" s="0" t="n">
        <f aca="false">X4423+Z4423</f>
        <v>44.9984740192932</v>
      </c>
      <c r="AC4423" s="54" t="b">
        <f aca="false">AND(E4423&gt;=01_因子設定!$L$5-0.000000001,E4423&lt;=01_因子設定!$M$5+0.000000001,F4423&gt;=01_因子設定!$L$6-0.000000001,F4423&lt;=01_因子設定!$M$6+0.000000001,G4423&gt;=01_因子設定!$L$7-0.000000001,G4423&lt;=01_因子設定!$M$7+0.000000001,H4423&gt;=01_因子設定!$L$8-0.000000001,H4423&lt;=01_因子設定!$M$8+0.000000001,IF(01_因子設定!$B$20="Box-Behnken",E4423^2+F4423^2+G4423^2+H4423^2&lt;=2+0.000000001,TRUE()))</f>
        <v>1</v>
      </c>
      <c r="AD4423" s="55" t="n">
        <f aca="false">IF(AC4423,IF(01_因子設定!$B$13="最大化",AA4423-01_因子設定!$B$14,IF(01_因子設定!$B$13="最小化",01_因子設定!$B$15-AB4423,MIN(AA4423-01_因子設定!$B$14,01_因子設定!$B$15-AB4423))),-1E+030)</f>
        <v>-4.85095939941014</v>
      </c>
      <c r="AE4423" s="55" t="n">
        <f aca="false">IF(AC4423,IF(01_因子設定!$B$13="最大化",X4423,IF(01_因子設定!$B$13="最小化",-X4423,-ABS(X4423-01_因子設定!$B$16))),-1E+030)</f>
        <v>43.3237573099415</v>
      </c>
      <c r="AF4423" s="55" t="n">
        <f aca="false">AD4423+ROW()*0.000000001</f>
        <v>-4.85095497641014</v>
      </c>
      <c r="AG4423" s="55" t="n">
        <f aca="false">AE4423+ROW()*0.000000001</f>
        <v>43.3237617329415</v>
      </c>
    </row>
    <row r="4424" customFormat="false" ht="15" hidden="false" customHeight="false" outlineLevel="0" collapsed="false">
      <c r="A4424" s="0" t="n">
        <v>6</v>
      </c>
      <c r="B4424" s="0" t="n">
        <v>0</v>
      </c>
      <c r="C4424" s="0" t="n">
        <v>5</v>
      </c>
      <c r="D4424" s="0" t="n">
        <v>0</v>
      </c>
      <c r="E4424" s="0" t="n">
        <f aca="false">-1+A4424*0.25</f>
        <v>0.5</v>
      </c>
      <c r="F4424" s="0" t="n">
        <f aca="false">-1+B4424*0.25</f>
        <v>-1</v>
      </c>
      <c r="G4424" s="0" t="n">
        <f aca="false">-1+C4424*0.25</f>
        <v>0.25</v>
      </c>
      <c r="H4424" s="0" t="n">
        <f aca="false">-1+D4424*0.25</f>
        <v>-1</v>
      </c>
      <c r="I4424" s="0" t="n">
        <f aca="false">1</f>
        <v>1</v>
      </c>
      <c r="J4424" s="0" t="n">
        <f aca="false">E4424</f>
        <v>0.5</v>
      </c>
      <c r="K4424" s="0" t="n">
        <f aca="false">F4424</f>
        <v>-1</v>
      </c>
      <c r="L4424" s="0" t="n">
        <f aca="false">G4424</f>
        <v>0.25</v>
      </c>
      <c r="M4424" s="0" t="n">
        <f aca="false">H4424</f>
        <v>-1</v>
      </c>
      <c r="N4424" s="0" t="n">
        <f aca="false">E4424*F4424</f>
        <v>-0.5</v>
      </c>
      <c r="O4424" s="0" t="n">
        <f aca="false">E4424*G4424</f>
        <v>0.125</v>
      </c>
      <c r="P4424" s="0" t="n">
        <f aca="false">E4424*H4424</f>
        <v>-0.5</v>
      </c>
      <c r="Q4424" s="0" t="n">
        <f aca="false">F4424*G4424</f>
        <v>-0.25</v>
      </c>
      <c r="R4424" s="0" t="n">
        <f aca="false">F4424*H4424</f>
        <v>1</v>
      </c>
      <c r="S4424" s="0" t="n">
        <f aca="false">G4424*H4424</f>
        <v>-0.25</v>
      </c>
      <c r="T4424" s="0" t="n">
        <f aca="false">E4424*E4424</f>
        <v>0.25</v>
      </c>
      <c r="U4424" s="0" t="n">
        <f aca="false">F4424*F4424</f>
        <v>1</v>
      </c>
      <c r="V4424" s="0" t="n">
        <f aca="false">G4424*G4424</f>
        <v>0.0625</v>
      </c>
      <c r="W4424" s="0" t="n">
        <f aca="false">H4424*H4424</f>
        <v>1</v>
      </c>
      <c r="X4424" s="0" t="n">
        <f aca="false">SUMPRODUCT(I4424:W4424,_XtX!$B$96:$P$96)</f>
        <v>41.9345760233918</v>
      </c>
      <c r="Y4424" s="0" t="n">
        <f aca="false">SUMPRODUCT(MMULT(I4424:W4424,_XtX!$B$78:$P$92),I4424:W4424)</f>
        <v>0.629174661915205</v>
      </c>
      <c r="Z4424" s="0" t="n">
        <f aca="false">04_回帰ANOVA!$K$19*04_回帰ANOVA!$K$14*SQRT(1+Y4424)</f>
        <v>1.66372758058297</v>
      </c>
      <c r="AA4424" s="0" t="n">
        <f aca="false">X4424-Z4424</f>
        <v>40.2708484428088</v>
      </c>
      <c r="AB4424" s="0" t="n">
        <f aca="false">X4424+Z4424</f>
        <v>43.5983036039748</v>
      </c>
      <c r="AC4424" s="54" t="b">
        <f aca="false">AND(E4424&gt;=01_因子設定!$L$5-0.000000001,E4424&lt;=01_因子設定!$M$5+0.000000001,F4424&gt;=01_因子設定!$L$6-0.000000001,F4424&lt;=01_因子設定!$M$6+0.000000001,G4424&gt;=01_因子設定!$L$7-0.000000001,G4424&lt;=01_因子設定!$M$7+0.000000001,H4424&gt;=01_因子設定!$L$8-0.000000001,H4424&lt;=01_因子設定!$M$8+0.000000001,IF(01_因子設定!$B$20="Box-Behnken",E4424^2+F4424^2+G4424^2+H4424^2&lt;=2+0.000000001,TRUE()))</f>
        <v>1</v>
      </c>
      <c r="AD4424" s="55" t="n">
        <f aca="false">IF(AC4424,IF(01_因子設定!$B$13="最大化",AA4424-01_因子設定!$B$14,IF(01_因子設定!$B$13="最小化",01_因子設定!$B$15-AB4424,MIN(AA4424-01_因子設定!$B$14,01_因子設定!$B$15-AB4424))),-1E+030)</f>
        <v>-6.22915155719117</v>
      </c>
      <c r="AE4424" s="55" t="n">
        <f aca="false">IF(AC4424,IF(01_因子設定!$B$13="最大化",X4424,IF(01_因子設定!$B$13="最小化",-X4424,-ABS(X4424-01_因子設定!$B$16))),-1E+030)</f>
        <v>41.9345760233918</v>
      </c>
      <c r="AF4424" s="55" t="n">
        <f aca="false">AD4424+ROW()*0.000000001</f>
        <v>-6.22914713319117</v>
      </c>
      <c r="AG4424" s="55" t="n">
        <f aca="false">AE4424+ROW()*0.000000001</f>
        <v>41.9345804473918</v>
      </c>
    </row>
    <row r="4425" customFormat="false" ht="15" hidden="false" customHeight="false" outlineLevel="0" collapsed="false">
      <c r="A4425" s="0" t="n">
        <v>6</v>
      </c>
      <c r="B4425" s="0" t="n">
        <v>0</v>
      </c>
      <c r="C4425" s="0" t="n">
        <v>5</v>
      </c>
      <c r="D4425" s="0" t="n">
        <v>1</v>
      </c>
      <c r="E4425" s="0" t="n">
        <f aca="false">-1+A4425*0.25</f>
        <v>0.5</v>
      </c>
      <c r="F4425" s="0" t="n">
        <f aca="false">-1+B4425*0.25</f>
        <v>-1</v>
      </c>
      <c r="G4425" s="0" t="n">
        <f aca="false">-1+C4425*0.25</f>
        <v>0.25</v>
      </c>
      <c r="H4425" s="0" t="n">
        <f aca="false">-1+D4425*0.25</f>
        <v>-0.75</v>
      </c>
      <c r="I4425" s="0" t="n">
        <f aca="false">1</f>
        <v>1</v>
      </c>
      <c r="J4425" s="0" t="n">
        <f aca="false">E4425</f>
        <v>0.5</v>
      </c>
      <c r="K4425" s="0" t="n">
        <f aca="false">F4425</f>
        <v>-1</v>
      </c>
      <c r="L4425" s="0" t="n">
        <f aca="false">G4425</f>
        <v>0.25</v>
      </c>
      <c r="M4425" s="0" t="n">
        <f aca="false">H4425</f>
        <v>-0.75</v>
      </c>
      <c r="N4425" s="0" t="n">
        <f aca="false">E4425*F4425</f>
        <v>-0.5</v>
      </c>
      <c r="O4425" s="0" t="n">
        <f aca="false">E4425*G4425</f>
        <v>0.125</v>
      </c>
      <c r="P4425" s="0" t="n">
        <f aca="false">E4425*H4425</f>
        <v>-0.375</v>
      </c>
      <c r="Q4425" s="0" t="n">
        <f aca="false">F4425*G4425</f>
        <v>-0.25</v>
      </c>
      <c r="R4425" s="0" t="n">
        <f aca="false">F4425*H4425</f>
        <v>0.75</v>
      </c>
      <c r="S4425" s="0" t="n">
        <f aca="false">G4425*H4425</f>
        <v>-0.1875</v>
      </c>
      <c r="T4425" s="0" t="n">
        <f aca="false">E4425*E4425</f>
        <v>0.25</v>
      </c>
      <c r="U4425" s="0" t="n">
        <f aca="false">F4425*F4425</f>
        <v>1</v>
      </c>
      <c r="V4425" s="0" t="n">
        <f aca="false">G4425*G4425</f>
        <v>0.0625</v>
      </c>
      <c r="W4425" s="0" t="n">
        <f aca="false">H4425*H4425</f>
        <v>0.5625</v>
      </c>
      <c r="X4425" s="0" t="n">
        <f aca="false">SUMPRODUCT(I4425:W4425,_XtX!$B$96:$P$96)</f>
        <v>42.2900082236842</v>
      </c>
      <c r="Y4425" s="0" t="n">
        <f aca="false">SUMPRODUCT(MMULT(I4425:W4425,_XtX!$B$78:$P$92),I4425:W4425)</f>
        <v>0.459125719572369</v>
      </c>
      <c r="Z4425" s="0" t="n">
        <f aca="false">04_回帰ANOVA!$K$19*04_回帰ANOVA!$K$14*SQRT(1+Y4425)</f>
        <v>1.57450755575573</v>
      </c>
      <c r="AA4425" s="0" t="n">
        <f aca="false">X4425-Z4425</f>
        <v>40.7155006679285</v>
      </c>
      <c r="AB4425" s="0" t="n">
        <f aca="false">X4425+Z4425</f>
        <v>43.8645157794399</v>
      </c>
      <c r="AC4425" s="54" t="b">
        <f aca="false">AND(E4425&gt;=01_因子設定!$L$5-0.000000001,E4425&lt;=01_因子設定!$M$5+0.000000001,F4425&gt;=01_因子設定!$L$6-0.000000001,F4425&lt;=01_因子設定!$M$6+0.000000001,G4425&gt;=01_因子設定!$L$7-0.000000001,G4425&lt;=01_因子設定!$M$7+0.000000001,H4425&gt;=01_因子設定!$L$8-0.000000001,H4425&lt;=01_因子設定!$M$8+0.000000001,IF(01_因子設定!$B$20="Box-Behnken",E4425^2+F4425^2+G4425^2+H4425^2&lt;=2+0.000000001,TRUE()))</f>
        <v>1</v>
      </c>
      <c r="AD4425" s="55" t="n">
        <f aca="false">IF(AC4425,IF(01_因子設定!$B$13="最大化",AA4425-01_因子設定!$B$14,IF(01_因子設定!$B$13="最小化",01_因子設定!$B$15-AB4425,MIN(AA4425-01_因子設定!$B$14,01_因子設定!$B$15-AB4425))),-1E+030)</f>
        <v>-5.78449933207154</v>
      </c>
      <c r="AE4425" s="55" t="n">
        <f aca="false">IF(AC4425,IF(01_因子設定!$B$13="最大化",X4425,IF(01_因子設定!$B$13="最小化",-X4425,-ABS(X4425-01_因子設定!$B$16))),-1E+030)</f>
        <v>42.2900082236842</v>
      </c>
      <c r="AF4425" s="55" t="n">
        <f aca="false">AD4425+ROW()*0.000000001</f>
        <v>-5.78449490707154</v>
      </c>
      <c r="AG4425" s="55" t="n">
        <f aca="false">AE4425+ROW()*0.000000001</f>
        <v>42.2900126486842</v>
      </c>
    </row>
    <row r="4426" customFormat="false" ht="15" hidden="false" customHeight="false" outlineLevel="0" collapsed="false">
      <c r="A4426" s="0" t="n">
        <v>6</v>
      </c>
      <c r="B4426" s="0" t="n">
        <v>0</v>
      </c>
      <c r="C4426" s="0" t="n">
        <v>5</v>
      </c>
      <c r="D4426" s="0" t="n">
        <v>2</v>
      </c>
      <c r="E4426" s="0" t="n">
        <f aca="false">-1+A4426*0.25</f>
        <v>0.5</v>
      </c>
      <c r="F4426" s="0" t="n">
        <f aca="false">-1+B4426*0.25</f>
        <v>-1</v>
      </c>
      <c r="G4426" s="0" t="n">
        <f aca="false">-1+C4426*0.25</f>
        <v>0.25</v>
      </c>
      <c r="H4426" s="0" t="n">
        <f aca="false">-1+D4426*0.25</f>
        <v>-0.5</v>
      </c>
      <c r="I4426" s="0" t="n">
        <f aca="false">1</f>
        <v>1</v>
      </c>
      <c r="J4426" s="0" t="n">
        <f aca="false">E4426</f>
        <v>0.5</v>
      </c>
      <c r="K4426" s="0" t="n">
        <f aca="false">F4426</f>
        <v>-1</v>
      </c>
      <c r="L4426" s="0" t="n">
        <f aca="false">G4426</f>
        <v>0.25</v>
      </c>
      <c r="M4426" s="0" t="n">
        <f aca="false">H4426</f>
        <v>-0.5</v>
      </c>
      <c r="N4426" s="0" t="n">
        <f aca="false">E4426*F4426</f>
        <v>-0.5</v>
      </c>
      <c r="O4426" s="0" t="n">
        <f aca="false">E4426*G4426</f>
        <v>0.125</v>
      </c>
      <c r="P4426" s="0" t="n">
        <f aca="false">E4426*H4426</f>
        <v>-0.25</v>
      </c>
      <c r="Q4426" s="0" t="n">
        <f aca="false">F4426*G4426</f>
        <v>-0.25</v>
      </c>
      <c r="R4426" s="0" t="n">
        <f aca="false">F4426*H4426</f>
        <v>0.5</v>
      </c>
      <c r="S4426" s="0" t="n">
        <f aca="false">G4426*H4426</f>
        <v>-0.125</v>
      </c>
      <c r="T4426" s="0" t="n">
        <f aca="false">E4426*E4426</f>
        <v>0.25</v>
      </c>
      <c r="U4426" s="0" t="n">
        <f aca="false">F4426*F4426</f>
        <v>1</v>
      </c>
      <c r="V4426" s="0" t="n">
        <f aca="false">G4426*G4426</f>
        <v>0.0625</v>
      </c>
      <c r="W4426" s="0" t="n">
        <f aca="false">H4426*H4426</f>
        <v>0.25</v>
      </c>
      <c r="X4426" s="0" t="n">
        <f aca="false">SUMPRODUCT(I4426:W4426,_XtX!$B$96:$P$96)</f>
        <v>42.5976334064327</v>
      </c>
      <c r="Y4426" s="0" t="n">
        <f aca="false">SUMPRODUCT(MMULT(I4426:W4426,_XtX!$B$78:$P$92),I4426:W4426)</f>
        <v>0.428122715643275</v>
      </c>
      <c r="Z4426" s="0" t="n">
        <f aca="false">04_回帰ANOVA!$K$19*04_回帰ANOVA!$K$14*SQRT(1+Y4426)</f>
        <v>1.55769044623229</v>
      </c>
      <c r="AA4426" s="0" t="n">
        <f aca="false">X4426-Z4426</f>
        <v>41.0399429602004</v>
      </c>
      <c r="AB4426" s="0" t="n">
        <f aca="false">X4426+Z4426</f>
        <v>44.155323852665</v>
      </c>
      <c r="AC4426" s="54" t="b">
        <f aca="false">AND(E4426&gt;=01_因子設定!$L$5-0.000000001,E4426&lt;=01_因子設定!$M$5+0.000000001,F4426&gt;=01_因子設定!$L$6-0.000000001,F4426&lt;=01_因子設定!$M$6+0.000000001,G4426&gt;=01_因子設定!$L$7-0.000000001,G4426&lt;=01_因子設定!$M$7+0.000000001,H4426&gt;=01_因子設定!$L$8-0.000000001,H4426&lt;=01_因子設定!$M$8+0.000000001,IF(01_因子設定!$B$20="Box-Behnken",E4426^2+F4426^2+G4426^2+H4426^2&lt;=2+0.000000001,TRUE()))</f>
        <v>1</v>
      </c>
      <c r="AD4426" s="55" t="n">
        <f aca="false">IF(AC4426,IF(01_因子設定!$B$13="最大化",AA4426-01_因子設定!$B$14,IF(01_因子設定!$B$13="最小化",01_因子設定!$B$15-AB4426,MIN(AA4426-01_因子設定!$B$14,01_因子設定!$B$15-AB4426))),-1E+030)</f>
        <v>-5.46005703979958</v>
      </c>
      <c r="AE4426" s="55" t="n">
        <f aca="false">IF(AC4426,IF(01_因子設定!$B$13="最大化",X4426,IF(01_因子設定!$B$13="最小化",-X4426,-ABS(X4426-01_因子設定!$B$16))),-1E+030)</f>
        <v>42.5976334064327</v>
      </c>
      <c r="AF4426" s="55" t="n">
        <f aca="false">AD4426+ROW()*0.000000001</f>
        <v>-5.46005261379958</v>
      </c>
      <c r="AG4426" s="55" t="n">
        <f aca="false">AE4426+ROW()*0.000000001</f>
        <v>42.5976378324327</v>
      </c>
    </row>
    <row r="4427" customFormat="false" ht="15" hidden="false" customHeight="false" outlineLevel="0" collapsed="false">
      <c r="A4427" s="0" t="n">
        <v>6</v>
      </c>
      <c r="B4427" s="0" t="n">
        <v>0</v>
      </c>
      <c r="C4427" s="0" t="n">
        <v>5</v>
      </c>
      <c r="D4427" s="0" t="n">
        <v>3</v>
      </c>
      <c r="E4427" s="0" t="n">
        <f aca="false">-1+A4427*0.25</f>
        <v>0.5</v>
      </c>
      <c r="F4427" s="0" t="n">
        <f aca="false">-1+B4427*0.25</f>
        <v>-1</v>
      </c>
      <c r="G4427" s="0" t="n">
        <f aca="false">-1+C4427*0.25</f>
        <v>0.25</v>
      </c>
      <c r="H4427" s="0" t="n">
        <f aca="false">-1+D4427*0.25</f>
        <v>-0.25</v>
      </c>
      <c r="I4427" s="0" t="n">
        <f aca="false">1</f>
        <v>1</v>
      </c>
      <c r="J4427" s="0" t="n">
        <f aca="false">E4427</f>
        <v>0.5</v>
      </c>
      <c r="K4427" s="0" t="n">
        <f aca="false">F4427</f>
        <v>-1</v>
      </c>
      <c r="L4427" s="0" t="n">
        <f aca="false">G4427</f>
        <v>0.25</v>
      </c>
      <c r="M4427" s="0" t="n">
        <f aca="false">H4427</f>
        <v>-0.25</v>
      </c>
      <c r="N4427" s="0" t="n">
        <f aca="false">E4427*F4427</f>
        <v>-0.5</v>
      </c>
      <c r="O4427" s="0" t="n">
        <f aca="false">E4427*G4427</f>
        <v>0.125</v>
      </c>
      <c r="P4427" s="0" t="n">
        <f aca="false">E4427*H4427</f>
        <v>-0.125</v>
      </c>
      <c r="Q4427" s="0" t="n">
        <f aca="false">F4427*G4427</f>
        <v>-0.25</v>
      </c>
      <c r="R4427" s="0" t="n">
        <f aca="false">F4427*H4427</f>
        <v>0.25</v>
      </c>
      <c r="S4427" s="0" t="n">
        <f aca="false">G4427*H4427</f>
        <v>-0.0625</v>
      </c>
      <c r="T4427" s="0" t="n">
        <f aca="false">E4427*E4427</f>
        <v>0.25</v>
      </c>
      <c r="U4427" s="0" t="n">
        <f aca="false">F4427*F4427</f>
        <v>1</v>
      </c>
      <c r="V4427" s="0" t="n">
        <f aca="false">G4427*G4427</f>
        <v>0.0625</v>
      </c>
      <c r="W4427" s="0" t="n">
        <f aca="false">H4427*H4427</f>
        <v>0.0625</v>
      </c>
      <c r="X4427" s="0" t="n">
        <f aca="false">SUMPRODUCT(I4427:W4427,_XtX!$B$96:$P$96)</f>
        <v>42.8574515716374</v>
      </c>
      <c r="Y4427" s="0" t="n">
        <f aca="false">SUMPRODUCT(MMULT(I4427:W4427,_XtX!$B$78:$P$92),I4427:W4427)</f>
        <v>0.445705123812135</v>
      </c>
      <c r="Z4427" s="0" t="n">
        <f aca="false">04_回帰ANOVA!$K$19*04_回帰ANOVA!$K$14*SQRT(1+Y4427)</f>
        <v>1.56724990734749</v>
      </c>
      <c r="AA4427" s="0" t="n">
        <f aca="false">X4427-Z4427</f>
        <v>41.2902016642899</v>
      </c>
      <c r="AB4427" s="0" t="n">
        <f aca="false">X4427+Z4427</f>
        <v>44.4247014789849</v>
      </c>
      <c r="AC4427" s="54" t="b">
        <f aca="false">AND(E4427&gt;=01_因子設定!$L$5-0.000000001,E4427&lt;=01_因子設定!$M$5+0.000000001,F4427&gt;=01_因子設定!$L$6-0.000000001,F4427&lt;=01_因子設定!$M$6+0.000000001,G4427&gt;=01_因子設定!$L$7-0.000000001,G4427&lt;=01_因子設定!$M$7+0.000000001,H4427&gt;=01_因子設定!$L$8-0.000000001,H4427&lt;=01_因子設定!$M$8+0.000000001,IF(01_因子設定!$B$20="Box-Behnken",E4427^2+F4427^2+G4427^2+H4427^2&lt;=2+0.000000001,TRUE()))</f>
        <v>1</v>
      </c>
      <c r="AD4427" s="55" t="n">
        <f aca="false">IF(AC4427,IF(01_因子設定!$B$13="最大化",AA4427-01_因子設定!$B$14,IF(01_因子設定!$B$13="最小化",01_因子設定!$B$15-AB4427,MIN(AA4427-01_因子設定!$B$14,01_因子設定!$B$15-AB4427))),-1E+030)</f>
        <v>-5.2097983357101</v>
      </c>
      <c r="AE4427" s="55" t="n">
        <f aca="false">IF(AC4427,IF(01_因子設定!$B$13="最大化",X4427,IF(01_因子設定!$B$13="最小化",-X4427,-ABS(X4427-01_因子設定!$B$16))),-1E+030)</f>
        <v>42.8574515716374</v>
      </c>
      <c r="AF4427" s="55" t="n">
        <f aca="false">AD4427+ROW()*0.000000001</f>
        <v>-5.2097939087101</v>
      </c>
      <c r="AG4427" s="55" t="n">
        <f aca="false">AE4427+ROW()*0.000000001</f>
        <v>42.8574559986374</v>
      </c>
    </row>
    <row r="4428" customFormat="false" ht="15" hidden="false" customHeight="false" outlineLevel="0" collapsed="false">
      <c r="A4428" s="0" t="n">
        <v>6</v>
      </c>
      <c r="B4428" s="0" t="n">
        <v>0</v>
      </c>
      <c r="C4428" s="0" t="n">
        <v>5</v>
      </c>
      <c r="D4428" s="0" t="n">
        <v>4</v>
      </c>
      <c r="E4428" s="0" t="n">
        <f aca="false">-1+A4428*0.25</f>
        <v>0.5</v>
      </c>
      <c r="F4428" s="0" t="n">
        <f aca="false">-1+B4428*0.25</f>
        <v>-1</v>
      </c>
      <c r="G4428" s="0" t="n">
        <f aca="false">-1+C4428*0.25</f>
        <v>0.25</v>
      </c>
      <c r="H4428" s="0" t="n">
        <f aca="false">-1+D4428*0.25</f>
        <v>0</v>
      </c>
      <c r="I4428" s="0" t="n">
        <f aca="false">1</f>
        <v>1</v>
      </c>
      <c r="J4428" s="0" t="n">
        <f aca="false">E4428</f>
        <v>0.5</v>
      </c>
      <c r="K4428" s="0" t="n">
        <f aca="false">F4428</f>
        <v>-1</v>
      </c>
      <c r="L4428" s="0" t="n">
        <f aca="false">G4428</f>
        <v>0.25</v>
      </c>
      <c r="M4428" s="0" t="n">
        <f aca="false">H4428</f>
        <v>0</v>
      </c>
      <c r="N4428" s="0" t="n">
        <f aca="false">E4428*F4428</f>
        <v>-0.5</v>
      </c>
      <c r="O4428" s="0" t="n">
        <f aca="false">E4428*G4428</f>
        <v>0.125</v>
      </c>
      <c r="P4428" s="0" t="n">
        <f aca="false">E4428*H4428</f>
        <v>0</v>
      </c>
      <c r="Q4428" s="0" t="n">
        <f aca="false">F4428*G4428</f>
        <v>-0.25</v>
      </c>
      <c r="R4428" s="0" t="n">
        <f aca="false">F4428*H4428</f>
        <v>-0</v>
      </c>
      <c r="S4428" s="0" t="n">
        <f aca="false">G4428*H4428</f>
        <v>0</v>
      </c>
      <c r="T4428" s="0" t="n">
        <f aca="false">E4428*E4428</f>
        <v>0.25</v>
      </c>
      <c r="U4428" s="0" t="n">
        <f aca="false">F4428*F4428</f>
        <v>1</v>
      </c>
      <c r="V4428" s="0" t="n">
        <f aca="false">G4428*G4428</f>
        <v>0.0625</v>
      </c>
      <c r="W4428" s="0" t="n">
        <f aca="false">H4428*H4428</f>
        <v>0</v>
      </c>
      <c r="X4428" s="0" t="n">
        <f aca="false">SUMPRODUCT(I4428:W4428,_XtX!$B$96:$P$96)</f>
        <v>43.0694627192982</v>
      </c>
      <c r="Y4428" s="0" t="n">
        <f aca="false">SUMPRODUCT(MMULT(I4428:W4428,_XtX!$B$78:$P$92),I4428:W4428)</f>
        <v>0.457596628289474</v>
      </c>
      <c r="Z4428" s="0" t="n">
        <f aca="false">04_回帰ANOVA!$K$19*04_回帰ANOVA!$K$14*SQRT(1+Y4428)</f>
        <v>1.57368233664366</v>
      </c>
      <c r="AA4428" s="0" t="n">
        <f aca="false">X4428-Z4428</f>
        <v>41.4957803826545</v>
      </c>
      <c r="AB4428" s="0" t="n">
        <f aca="false">X4428+Z4428</f>
        <v>44.6431450559419</v>
      </c>
      <c r="AC4428" s="54" t="b">
        <f aca="false">AND(E4428&gt;=01_因子設定!$L$5-0.000000001,E4428&lt;=01_因子設定!$M$5+0.000000001,F4428&gt;=01_因子設定!$L$6-0.000000001,F4428&lt;=01_因子設定!$M$6+0.000000001,G4428&gt;=01_因子設定!$L$7-0.000000001,G4428&lt;=01_因子設定!$M$7+0.000000001,H4428&gt;=01_因子設定!$L$8-0.000000001,H4428&lt;=01_因子設定!$M$8+0.000000001,IF(01_因子設定!$B$20="Box-Behnken",E4428^2+F4428^2+G4428^2+H4428^2&lt;=2+0.000000001,TRUE()))</f>
        <v>1</v>
      </c>
      <c r="AD4428" s="55" t="n">
        <f aca="false">IF(AC4428,IF(01_因子設定!$B$13="最大化",AA4428-01_因子設定!$B$14,IF(01_因子設定!$B$13="最小化",01_因子設定!$B$15-AB4428,MIN(AA4428-01_因子設定!$B$14,01_因子設定!$B$15-AB4428))),-1E+030)</f>
        <v>-5.00421961734546</v>
      </c>
      <c r="AE4428" s="55" t="n">
        <f aca="false">IF(AC4428,IF(01_因子設定!$B$13="最大化",X4428,IF(01_因子設定!$B$13="最小化",-X4428,-ABS(X4428-01_因子設定!$B$16))),-1E+030)</f>
        <v>43.0694627192982</v>
      </c>
      <c r="AF4428" s="55" t="n">
        <f aca="false">AD4428+ROW()*0.000000001</f>
        <v>-5.00421518934546</v>
      </c>
      <c r="AG4428" s="55" t="n">
        <f aca="false">AE4428+ROW()*0.000000001</f>
        <v>43.0694671472982</v>
      </c>
    </row>
    <row r="4429" customFormat="false" ht="15" hidden="false" customHeight="false" outlineLevel="0" collapsed="false">
      <c r="A4429" s="0" t="n">
        <v>6</v>
      </c>
      <c r="B4429" s="0" t="n">
        <v>0</v>
      </c>
      <c r="C4429" s="0" t="n">
        <v>5</v>
      </c>
      <c r="D4429" s="0" t="n">
        <v>5</v>
      </c>
      <c r="E4429" s="0" t="n">
        <f aca="false">-1+A4429*0.25</f>
        <v>0.5</v>
      </c>
      <c r="F4429" s="0" t="n">
        <f aca="false">-1+B4429*0.25</f>
        <v>-1</v>
      </c>
      <c r="G4429" s="0" t="n">
        <f aca="false">-1+C4429*0.25</f>
        <v>0.25</v>
      </c>
      <c r="H4429" s="0" t="n">
        <f aca="false">-1+D4429*0.25</f>
        <v>0.25</v>
      </c>
      <c r="I4429" s="0" t="n">
        <f aca="false">1</f>
        <v>1</v>
      </c>
      <c r="J4429" s="0" t="n">
        <f aca="false">E4429</f>
        <v>0.5</v>
      </c>
      <c r="K4429" s="0" t="n">
        <f aca="false">F4429</f>
        <v>-1</v>
      </c>
      <c r="L4429" s="0" t="n">
        <f aca="false">G4429</f>
        <v>0.25</v>
      </c>
      <c r="M4429" s="0" t="n">
        <f aca="false">H4429</f>
        <v>0.25</v>
      </c>
      <c r="N4429" s="0" t="n">
        <f aca="false">E4429*F4429</f>
        <v>-0.5</v>
      </c>
      <c r="O4429" s="0" t="n">
        <f aca="false">E4429*G4429</f>
        <v>0.125</v>
      </c>
      <c r="P4429" s="0" t="n">
        <f aca="false">E4429*H4429</f>
        <v>0.125</v>
      </c>
      <c r="Q4429" s="0" t="n">
        <f aca="false">F4429*G4429</f>
        <v>-0.25</v>
      </c>
      <c r="R4429" s="0" t="n">
        <f aca="false">F4429*H4429</f>
        <v>-0.25</v>
      </c>
      <c r="S4429" s="0" t="n">
        <f aca="false">G4429*H4429</f>
        <v>0.0625</v>
      </c>
      <c r="T4429" s="0" t="n">
        <f aca="false">E4429*E4429</f>
        <v>0.25</v>
      </c>
      <c r="U4429" s="0" t="n">
        <f aca="false">F4429*F4429</f>
        <v>1</v>
      </c>
      <c r="V4429" s="0" t="n">
        <f aca="false">G4429*G4429</f>
        <v>0.0625</v>
      </c>
      <c r="W4429" s="0" t="n">
        <f aca="false">H4429*H4429</f>
        <v>0.0625</v>
      </c>
      <c r="X4429" s="0" t="n">
        <f aca="false">SUMPRODUCT(I4429:W4429,_XtX!$B$96:$P$96)</f>
        <v>43.2336668494152</v>
      </c>
      <c r="Y4429" s="0" t="n">
        <f aca="false">SUMPRODUCT(MMULT(I4429:W4429,_XtX!$B$78:$P$92),I4429:W4429)</f>
        <v>0.445705123812135</v>
      </c>
      <c r="Z4429" s="0" t="n">
        <f aca="false">04_回帰ANOVA!$K$19*04_回帰ANOVA!$K$14*SQRT(1+Y4429)</f>
        <v>1.56724990734749</v>
      </c>
      <c r="AA4429" s="0" t="n">
        <f aca="false">X4429-Z4429</f>
        <v>41.6664169420677</v>
      </c>
      <c r="AB4429" s="0" t="n">
        <f aca="false">X4429+Z4429</f>
        <v>44.8009167567627</v>
      </c>
      <c r="AC4429" s="54" t="b">
        <f aca="false">AND(E4429&gt;=01_因子設定!$L$5-0.000000001,E4429&lt;=01_因子設定!$M$5+0.000000001,F4429&gt;=01_因子設定!$L$6-0.000000001,F4429&lt;=01_因子設定!$M$6+0.000000001,G4429&gt;=01_因子設定!$L$7-0.000000001,G4429&lt;=01_因子設定!$M$7+0.000000001,H4429&gt;=01_因子設定!$L$8-0.000000001,H4429&lt;=01_因子設定!$M$8+0.000000001,IF(01_因子設定!$B$20="Box-Behnken",E4429^2+F4429^2+G4429^2+H4429^2&lt;=2+0.000000001,TRUE()))</f>
        <v>1</v>
      </c>
      <c r="AD4429" s="55" t="n">
        <f aca="false">IF(AC4429,IF(01_因子設定!$B$13="最大化",AA4429-01_因子設定!$B$14,IF(01_因子設定!$B$13="最小化",01_因子設定!$B$15-AB4429,MIN(AA4429-01_因子設定!$B$14,01_因子設定!$B$15-AB4429))),-1E+030)</f>
        <v>-4.83358305793232</v>
      </c>
      <c r="AE4429" s="55" t="n">
        <f aca="false">IF(AC4429,IF(01_因子設定!$B$13="最大化",X4429,IF(01_因子設定!$B$13="最小化",-X4429,-ABS(X4429-01_因子設定!$B$16))),-1E+030)</f>
        <v>43.2336668494152</v>
      </c>
      <c r="AF4429" s="55" t="n">
        <f aca="false">AD4429+ROW()*0.000000001</f>
        <v>-4.83357862893232</v>
      </c>
      <c r="AG4429" s="55" t="n">
        <f aca="false">AE4429+ROW()*0.000000001</f>
        <v>43.2336712784152</v>
      </c>
    </row>
    <row r="4430" customFormat="false" ht="15" hidden="false" customHeight="false" outlineLevel="0" collapsed="false">
      <c r="A4430" s="0" t="n">
        <v>6</v>
      </c>
      <c r="B4430" s="0" t="n">
        <v>0</v>
      </c>
      <c r="C4430" s="0" t="n">
        <v>5</v>
      </c>
      <c r="D4430" s="0" t="n">
        <v>6</v>
      </c>
      <c r="E4430" s="0" t="n">
        <f aca="false">-1+A4430*0.25</f>
        <v>0.5</v>
      </c>
      <c r="F4430" s="0" t="n">
        <f aca="false">-1+B4430*0.25</f>
        <v>-1</v>
      </c>
      <c r="G4430" s="0" t="n">
        <f aca="false">-1+C4430*0.25</f>
        <v>0.25</v>
      </c>
      <c r="H4430" s="0" t="n">
        <f aca="false">-1+D4430*0.25</f>
        <v>0.5</v>
      </c>
      <c r="I4430" s="0" t="n">
        <f aca="false">1</f>
        <v>1</v>
      </c>
      <c r="J4430" s="0" t="n">
        <f aca="false">E4430</f>
        <v>0.5</v>
      </c>
      <c r="K4430" s="0" t="n">
        <f aca="false">F4430</f>
        <v>-1</v>
      </c>
      <c r="L4430" s="0" t="n">
        <f aca="false">G4430</f>
        <v>0.25</v>
      </c>
      <c r="M4430" s="0" t="n">
        <f aca="false">H4430</f>
        <v>0.5</v>
      </c>
      <c r="N4430" s="0" t="n">
        <f aca="false">E4430*F4430</f>
        <v>-0.5</v>
      </c>
      <c r="O4430" s="0" t="n">
        <f aca="false">E4430*G4430</f>
        <v>0.125</v>
      </c>
      <c r="P4430" s="0" t="n">
        <f aca="false">E4430*H4430</f>
        <v>0.25</v>
      </c>
      <c r="Q4430" s="0" t="n">
        <f aca="false">F4430*G4430</f>
        <v>-0.25</v>
      </c>
      <c r="R4430" s="0" t="n">
        <f aca="false">F4430*H4430</f>
        <v>-0.5</v>
      </c>
      <c r="S4430" s="0" t="n">
        <f aca="false">G4430*H4430</f>
        <v>0.125</v>
      </c>
      <c r="T4430" s="0" t="n">
        <f aca="false">E4430*E4430</f>
        <v>0.25</v>
      </c>
      <c r="U4430" s="0" t="n">
        <f aca="false">F4430*F4430</f>
        <v>1</v>
      </c>
      <c r="V4430" s="0" t="n">
        <f aca="false">G4430*G4430</f>
        <v>0.0625</v>
      </c>
      <c r="W4430" s="0" t="n">
        <f aca="false">H4430*H4430</f>
        <v>0.25</v>
      </c>
      <c r="X4430" s="0" t="n">
        <f aca="false">SUMPRODUCT(I4430:W4430,_XtX!$B$96:$P$96)</f>
        <v>43.3500639619883</v>
      </c>
      <c r="Y4430" s="0" t="n">
        <f aca="false">SUMPRODUCT(MMULT(I4430:W4430,_XtX!$B$78:$P$92),I4430:W4430)</f>
        <v>0.428122715643275</v>
      </c>
      <c r="Z4430" s="0" t="n">
        <f aca="false">04_回帰ANOVA!$K$19*04_回帰ANOVA!$K$14*SQRT(1+Y4430)</f>
        <v>1.55769044623229</v>
      </c>
      <c r="AA4430" s="0" t="n">
        <f aca="false">X4430-Z4430</f>
        <v>41.792373515756</v>
      </c>
      <c r="AB4430" s="0" t="n">
        <f aca="false">X4430+Z4430</f>
        <v>44.9077544082206</v>
      </c>
      <c r="AC4430" s="54" t="b">
        <f aca="false">AND(E4430&gt;=01_因子設定!$L$5-0.000000001,E4430&lt;=01_因子設定!$M$5+0.000000001,F4430&gt;=01_因子設定!$L$6-0.000000001,F4430&lt;=01_因子設定!$M$6+0.000000001,G4430&gt;=01_因子設定!$L$7-0.000000001,G4430&lt;=01_因子設定!$M$7+0.000000001,H4430&gt;=01_因子設定!$L$8-0.000000001,H4430&lt;=01_因子設定!$M$8+0.000000001,IF(01_因子設定!$B$20="Box-Behnken",E4430^2+F4430^2+G4430^2+H4430^2&lt;=2+0.000000001,TRUE()))</f>
        <v>1</v>
      </c>
      <c r="AD4430" s="55" t="n">
        <f aca="false">IF(AC4430,IF(01_因子設定!$B$13="最大化",AA4430-01_因子設定!$B$14,IF(01_因子設定!$B$13="最小化",01_因子設定!$B$15-AB4430,MIN(AA4430-01_因子設定!$B$14,01_因子設定!$B$15-AB4430))),-1E+030)</f>
        <v>-4.70762648424402</v>
      </c>
      <c r="AE4430" s="55" t="n">
        <f aca="false">IF(AC4430,IF(01_因子設定!$B$13="最大化",X4430,IF(01_因子設定!$B$13="最小化",-X4430,-ABS(X4430-01_因子設定!$B$16))),-1E+030)</f>
        <v>43.3500639619883</v>
      </c>
      <c r="AF4430" s="55" t="n">
        <f aca="false">AD4430+ROW()*0.000000001</f>
        <v>-4.70762205424402</v>
      </c>
      <c r="AG4430" s="55" t="n">
        <f aca="false">AE4430+ROW()*0.000000001</f>
        <v>43.3500683919883</v>
      </c>
    </row>
    <row r="4431" customFormat="false" ht="15" hidden="false" customHeight="false" outlineLevel="0" collapsed="false">
      <c r="A4431" s="0" t="n">
        <v>6</v>
      </c>
      <c r="B4431" s="0" t="n">
        <v>0</v>
      </c>
      <c r="C4431" s="0" t="n">
        <v>5</v>
      </c>
      <c r="D4431" s="0" t="n">
        <v>7</v>
      </c>
      <c r="E4431" s="0" t="n">
        <f aca="false">-1+A4431*0.25</f>
        <v>0.5</v>
      </c>
      <c r="F4431" s="0" t="n">
        <f aca="false">-1+B4431*0.25</f>
        <v>-1</v>
      </c>
      <c r="G4431" s="0" t="n">
        <f aca="false">-1+C4431*0.25</f>
        <v>0.25</v>
      </c>
      <c r="H4431" s="0" t="n">
        <f aca="false">-1+D4431*0.25</f>
        <v>0.75</v>
      </c>
      <c r="I4431" s="0" t="n">
        <f aca="false">1</f>
        <v>1</v>
      </c>
      <c r="J4431" s="0" t="n">
        <f aca="false">E4431</f>
        <v>0.5</v>
      </c>
      <c r="K4431" s="0" t="n">
        <f aca="false">F4431</f>
        <v>-1</v>
      </c>
      <c r="L4431" s="0" t="n">
        <f aca="false">G4431</f>
        <v>0.25</v>
      </c>
      <c r="M4431" s="0" t="n">
        <f aca="false">H4431</f>
        <v>0.75</v>
      </c>
      <c r="N4431" s="0" t="n">
        <f aca="false">E4431*F4431</f>
        <v>-0.5</v>
      </c>
      <c r="O4431" s="0" t="n">
        <f aca="false">E4431*G4431</f>
        <v>0.125</v>
      </c>
      <c r="P4431" s="0" t="n">
        <f aca="false">E4431*H4431</f>
        <v>0.375</v>
      </c>
      <c r="Q4431" s="0" t="n">
        <f aca="false">F4431*G4431</f>
        <v>-0.25</v>
      </c>
      <c r="R4431" s="0" t="n">
        <f aca="false">F4431*H4431</f>
        <v>-0.75</v>
      </c>
      <c r="S4431" s="0" t="n">
        <f aca="false">G4431*H4431</f>
        <v>0.1875</v>
      </c>
      <c r="T4431" s="0" t="n">
        <f aca="false">E4431*E4431</f>
        <v>0.25</v>
      </c>
      <c r="U4431" s="0" t="n">
        <f aca="false">F4431*F4431</f>
        <v>1</v>
      </c>
      <c r="V4431" s="0" t="n">
        <f aca="false">G4431*G4431</f>
        <v>0.0625</v>
      </c>
      <c r="W4431" s="0" t="n">
        <f aca="false">H4431*H4431</f>
        <v>0.5625</v>
      </c>
      <c r="X4431" s="0" t="n">
        <f aca="false">SUMPRODUCT(I4431:W4431,_XtX!$B$96:$P$96)</f>
        <v>43.4186540570175</v>
      </c>
      <c r="Y4431" s="0" t="n">
        <f aca="false">SUMPRODUCT(MMULT(I4431:W4431,_XtX!$B$78:$P$92),I4431:W4431)</f>
        <v>0.459125719572369</v>
      </c>
      <c r="Z4431" s="0" t="n">
        <f aca="false">04_回帰ANOVA!$K$19*04_回帰ANOVA!$K$14*SQRT(1+Y4431)</f>
        <v>1.57450755575573</v>
      </c>
      <c r="AA4431" s="0" t="n">
        <f aca="false">X4431-Z4431</f>
        <v>41.8441465012618</v>
      </c>
      <c r="AB4431" s="0" t="n">
        <f aca="false">X4431+Z4431</f>
        <v>44.9931616127733</v>
      </c>
      <c r="AC4431" s="54" t="b">
        <f aca="false">AND(E4431&gt;=01_因子設定!$L$5-0.000000001,E4431&lt;=01_因子設定!$M$5+0.000000001,F4431&gt;=01_因子設定!$L$6-0.000000001,F4431&lt;=01_因子設定!$M$6+0.000000001,G4431&gt;=01_因子設定!$L$7-0.000000001,G4431&lt;=01_因子設定!$M$7+0.000000001,H4431&gt;=01_因子設定!$L$8-0.000000001,H4431&lt;=01_因子設定!$M$8+0.000000001,IF(01_因子設定!$B$20="Box-Behnken",E4431^2+F4431^2+G4431^2+H4431^2&lt;=2+0.000000001,TRUE()))</f>
        <v>1</v>
      </c>
      <c r="AD4431" s="55" t="n">
        <f aca="false">IF(AC4431,IF(01_因子設定!$B$13="最大化",AA4431-01_因子設定!$B$14,IF(01_因子設定!$B$13="最小化",01_因子設定!$B$15-AB4431,MIN(AA4431-01_因子設定!$B$14,01_因子設定!$B$15-AB4431))),-1E+030)</f>
        <v>-4.65585349873821</v>
      </c>
      <c r="AE4431" s="55" t="n">
        <f aca="false">IF(AC4431,IF(01_因子設定!$B$13="最大化",X4431,IF(01_因子設定!$B$13="最小化",-X4431,-ABS(X4431-01_因子設定!$B$16))),-1E+030)</f>
        <v>43.4186540570175</v>
      </c>
      <c r="AF4431" s="55" t="n">
        <f aca="false">AD4431+ROW()*0.000000001</f>
        <v>-4.65584906773821</v>
      </c>
      <c r="AG4431" s="55" t="n">
        <f aca="false">AE4431+ROW()*0.000000001</f>
        <v>43.4186584880175</v>
      </c>
    </row>
    <row r="4432" customFormat="false" ht="15" hidden="false" customHeight="false" outlineLevel="0" collapsed="false">
      <c r="A4432" s="0" t="n">
        <v>6</v>
      </c>
      <c r="B4432" s="0" t="n">
        <v>0</v>
      </c>
      <c r="C4432" s="0" t="n">
        <v>5</v>
      </c>
      <c r="D4432" s="0" t="n">
        <v>8</v>
      </c>
      <c r="E4432" s="0" t="n">
        <f aca="false">-1+A4432*0.25</f>
        <v>0.5</v>
      </c>
      <c r="F4432" s="0" t="n">
        <f aca="false">-1+B4432*0.25</f>
        <v>-1</v>
      </c>
      <c r="G4432" s="0" t="n">
        <f aca="false">-1+C4432*0.25</f>
        <v>0.25</v>
      </c>
      <c r="H4432" s="0" t="n">
        <f aca="false">-1+D4432*0.25</f>
        <v>1</v>
      </c>
      <c r="I4432" s="0" t="n">
        <f aca="false">1</f>
        <v>1</v>
      </c>
      <c r="J4432" s="0" t="n">
        <f aca="false">E4432</f>
        <v>0.5</v>
      </c>
      <c r="K4432" s="0" t="n">
        <f aca="false">F4432</f>
        <v>-1</v>
      </c>
      <c r="L4432" s="0" t="n">
        <f aca="false">G4432</f>
        <v>0.25</v>
      </c>
      <c r="M4432" s="0" t="n">
        <f aca="false">H4432</f>
        <v>1</v>
      </c>
      <c r="N4432" s="0" t="n">
        <f aca="false">E4432*F4432</f>
        <v>-0.5</v>
      </c>
      <c r="O4432" s="0" t="n">
        <f aca="false">E4432*G4432</f>
        <v>0.125</v>
      </c>
      <c r="P4432" s="0" t="n">
        <f aca="false">E4432*H4432</f>
        <v>0.5</v>
      </c>
      <c r="Q4432" s="0" t="n">
        <f aca="false">F4432*G4432</f>
        <v>-0.25</v>
      </c>
      <c r="R4432" s="0" t="n">
        <f aca="false">F4432*H4432</f>
        <v>-1</v>
      </c>
      <c r="S4432" s="0" t="n">
        <f aca="false">G4432*H4432</f>
        <v>0.25</v>
      </c>
      <c r="T4432" s="0" t="n">
        <f aca="false">E4432*E4432</f>
        <v>0.25</v>
      </c>
      <c r="U4432" s="0" t="n">
        <f aca="false">F4432*F4432</f>
        <v>1</v>
      </c>
      <c r="V4432" s="0" t="n">
        <f aca="false">G4432*G4432</f>
        <v>0.0625</v>
      </c>
      <c r="W4432" s="0" t="n">
        <f aca="false">H4432*H4432</f>
        <v>1</v>
      </c>
      <c r="X4432" s="0" t="n">
        <f aca="false">SUMPRODUCT(I4432:W4432,_XtX!$B$96:$P$96)</f>
        <v>43.4394371345029</v>
      </c>
      <c r="Y4432" s="0" t="n">
        <f aca="false">SUMPRODUCT(MMULT(I4432:W4432,_XtX!$B$78:$P$92),I4432:W4432)</f>
        <v>0.629174661915205</v>
      </c>
      <c r="Z4432" s="0" t="n">
        <f aca="false">04_回帰ANOVA!$K$19*04_回帰ANOVA!$K$14*SQRT(1+Y4432)</f>
        <v>1.66372758058297</v>
      </c>
      <c r="AA4432" s="0" t="n">
        <f aca="false">X4432-Z4432</f>
        <v>41.7757095539199</v>
      </c>
      <c r="AB4432" s="0" t="n">
        <f aca="false">X4432+Z4432</f>
        <v>45.1031647150859</v>
      </c>
      <c r="AC4432" s="54" t="b">
        <f aca="false">AND(E4432&gt;=01_因子設定!$L$5-0.000000001,E4432&lt;=01_因子設定!$M$5+0.000000001,F4432&gt;=01_因子設定!$L$6-0.000000001,F4432&lt;=01_因子設定!$M$6+0.000000001,G4432&gt;=01_因子設定!$L$7-0.000000001,G4432&lt;=01_因子設定!$M$7+0.000000001,H4432&gt;=01_因子設定!$L$8-0.000000001,H4432&lt;=01_因子設定!$M$8+0.000000001,IF(01_因子設定!$B$20="Box-Behnken",E4432^2+F4432^2+G4432^2+H4432^2&lt;=2+0.000000001,TRUE()))</f>
        <v>1</v>
      </c>
      <c r="AD4432" s="55" t="n">
        <f aca="false">IF(AC4432,IF(01_因子設定!$B$13="最大化",AA4432-01_因子設定!$B$14,IF(01_因子設定!$B$13="最小化",01_因子設定!$B$15-AB4432,MIN(AA4432-01_因子設定!$B$14,01_因子設定!$B$15-AB4432))),-1E+030)</f>
        <v>-4.72429044608005</v>
      </c>
      <c r="AE4432" s="55" t="n">
        <f aca="false">IF(AC4432,IF(01_因子設定!$B$13="最大化",X4432,IF(01_因子設定!$B$13="最小化",-X4432,-ABS(X4432-01_因子設定!$B$16))),-1E+030)</f>
        <v>43.4394371345029</v>
      </c>
      <c r="AF4432" s="55" t="n">
        <f aca="false">AD4432+ROW()*0.000000001</f>
        <v>-4.72428601408006</v>
      </c>
      <c r="AG4432" s="55" t="n">
        <f aca="false">AE4432+ROW()*0.000000001</f>
        <v>43.4394415665029</v>
      </c>
    </row>
    <row r="4433" customFormat="false" ht="15" hidden="false" customHeight="false" outlineLevel="0" collapsed="false">
      <c r="A4433" s="0" t="n">
        <v>6</v>
      </c>
      <c r="B4433" s="0" t="n">
        <v>0</v>
      </c>
      <c r="C4433" s="0" t="n">
        <v>6</v>
      </c>
      <c r="D4433" s="0" t="n">
        <v>0</v>
      </c>
      <c r="E4433" s="0" t="n">
        <f aca="false">-1+A4433*0.25</f>
        <v>0.5</v>
      </c>
      <c r="F4433" s="0" t="n">
        <f aca="false">-1+B4433*0.25</f>
        <v>-1</v>
      </c>
      <c r="G4433" s="0" t="n">
        <f aca="false">-1+C4433*0.25</f>
        <v>0.5</v>
      </c>
      <c r="H4433" s="0" t="n">
        <f aca="false">-1+D4433*0.25</f>
        <v>-1</v>
      </c>
      <c r="I4433" s="0" t="n">
        <f aca="false">1</f>
        <v>1</v>
      </c>
      <c r="J4433" s="0" t="n">
        <f aca="false">E4433</f>
        <v>0.5</v>
      </c>
      <c r="K4433" s="0" t="n">
        <f aca="false">F4433</f>
        <v>-1</v>
      </c>
      <c r="L4433" s="0" t="n">
        <f aca="false">G4433</f>
        <v>0.5</v>
      </c>
      <c r="M4433" s="0" t="n">
        <f aca="false">H4433</f>
        <v>-1</v>
      </c>
      <c r="N4433" s="0" t="n">
        <f aca="false">E4433*F4433</f>
        <v>-0.5</v>
      </c>
      <c r="O4433" s="0" t="n">
        <f aca="false">E4433*G4433</f>
        <v>0.25</v>
      </c>
      <c r="P4433" s="0" t="n">
        <f aca="false">E4433*H4433</f>
        <v>-0.5</v>
      </c>
      <c r="Q4433" s="0" t="n">
        <f aca="false">F4433*G4433</f>
        <v>-0.5</v>
      </c>
      <c r="R4433" s="0" t="n">
        <f aca="false">F4433*H4433</f>
        <v>1</v>
      </c>
      <c r="S4433" s="0" t="n">
        <f aca="false">G4433*H4433</f>
        <v>-0.5</v>
      </c>
      <c r="T4433" s="0" t="n">
        <f aca="false">E4433*E4433</f>
        <v>0.25</v>
      </c>
      <c r="U4433" s="0" t="n">
        <f aca="false">F4433*F4433</f>
        <v>1</v>
      </c>
      <c r="V4433" s="0" t="n">
        <f aca="false">G4433*G4433</f>
        <v>0.25</v>
      </c>
      <c r="W4433" s="0" t="n">
        <f aca="false">H4433*H4433</f>
        <v>1</v>
      </c>
      <c r="X4433" s="0" t="n">
        <f aca="false">SUMPRODUCT(I4433:W4433,_XtX!$B$96:$P$96)</f>
        <v>41.8211988304094</v>
      </c>
      <c r="Y4433" s="0" t="n">
        <f aca="false">SUMPRODUCT(MMULT(I4433:W4433,_XtX!$B$78:$P$92),I4433:W4433)</f>
        <v>0.582488121345029</v>
      </c>
      <c r="Z4433" s="0" t="n">
        <f aca="false">04_回帰ANOVA!$K$19*04_回帰ANOVA!$K$14*SQRT(1+Y4433)</f>
        <v>1.63971595338287</v>
      </c>
      <c r="AA4433" s="0" t="n">
        <f aca="false">X4433-Z4433</f>
        <v>40.1814828770265</v>
      </c>
      <c r="AB4433" s="0" t="n">
        <f aca="false">X4433+Z4433</f>
        <v>43.4609147837922</v>
      </c>
      <c r="AC4433" s="54" t="b">
        <f aca="false">AND(E4433&gt;=01_因子設定!$L$5-0.000000001,E4433&lt;=01_因子設定!$M$5+0.000000001,F4433&gt;=01_因子設定!$L$6-0.000000001,F4433&lt;=01_因子設定!$M$6+0.000000001,G4433&gt;=01_因子設定!$L$7-0.000000001,G4433&lt;=01_因子設定!$M$7+0.000000001,H4433&gt;=01_因子設定!$L$8-0.000000001,H4433&lt;=01_因子設定!$M$8+0.000000001,IF(01_因子設定!$B$20="Box-Behnken",E4433^2+F4433^2+G4433^2+H4433^2&lt;=2+0.000000001,TRUE()))</f>
        <v>1</v>
      </c>
      <c r="AD4433" s="55" t="n">
        <f aca="false">IF(AC4433,IF(01_因子設定!$B$13="最大化",AA4433-01_因子設定!$B$14,IF(01_因子設定!$B$13="最小化",01_因子設定!$B$15-AB4433,MIN(AA4433-01_因子設定!$B$14,01_因子設定!$B$15-AB4433))),-1E+030)</f>
        <v>-6.31851712297352</v>
      </c>
      <c r="AE4433" s="55" t="n">
        <f aca="false">IF(AC4433,IF(01_因子設定!$B$13="最大化",X4433,IF(01_因子設定!$B$13="最小化",-X4433,-ABS(X4433-01_因子設定!$B$16))),-1E+030)</f>
        <v>41.8211988304094</v>
      </c>
      <c r="AF4433" s="55" t="n">
        <f aca="false">AD4433+ROW()*0.000000001</f>
        <v>-6.31851268997352</v>
      </c>
      <c r="AG4433" s="55" t="n">
        <f aca="false">AE4433+ROW()*0.000000001</f>
        <v>41.8212032634094</v>
      </c>
    </row>
    <row r="4434" customFormat="false" ht="15" hidden="false" customHeight="false" outlineLevel="0" collapsed="false">
      <c r="A4434" s="0" t="n">
        <v>6</v>
      </c>
      <c r="B4434" s="0" t="n">
        <v>0</v>
      </c>
      <c r="C4434" s="0" t="n">
        <v>6</v>
      </c>
      <c r="D4434" s="0" t="n">
        <v>1</v>
      </c>
      <c r="E4434" s="0" t="n">
        <f aca="false">-1+A4434*0.25</f>
        <v>0.5</v>
      </c>
      <c r="F4434" s="0" t="n">
        <f aca="false">-1+B4434*0.25</f>
        <v>-1</v>
      </c>
      <c r="G4434" s="0" t="n">
        <f aca="false">-1+C4434*0.25</f>
        <v>0.5</v>
      </c>
      <c r="H4434" s="0" t="n">
        <f aca="false">-1+D4434*0.25</f>
        <v>-0.75</v>
      </c>
      <c r="I4434" s="0" t="n">
        <f aca="false">1</f>
        <v>1</v>
      </c>
      <c r="J4434" s="0" t="n">
        <f aca="false">E4434</f>
        <v>0.5</v>
      </c>
      <c r="K4434" s="0" t="n">
        <f aca="false">F4434</f>
        <v>-1</v>
      </c>
      <c r="L4434" s="0" t="n">
        <f aca="false">G4434</f>
        <v>0.5</v>
      </c>
      <c r="M4434" s="0" t="n">
        <f aca="false">H4434</f>
        <v>-0.75</v>
      </c>
      <c r="N4434" s="0" t="n">
        <f aca="false">E4434*F4434</f>
        <v>-0.5</v>
      </c>
      <c r="O4434" s="0" t="n">
        <f aca="false">E4434*G4434</f>
        <v>0.25</v>
      </c>
      <c r="P4434" s="0" t="n">
        <f aca="false">E4434*H4434</f>
        <v>-0.375</v>
      </c>
      <c r="Q4434" s="0" t="n">
        <f aca="false">F4434*G4434</f>
        <v>-0.5</v>
      </c>
      <c r="R4434" s="0" t="n">
        <f aca="false">F4434*H4434</f>
        <v>0.75</v>
      </c>
      <c r="S4434" s="0" t="n">
        <f aca="false">G4434*H4434</f>
        <v>-0.375</v>
      </c>
      <c r="T4434" s="0" t="n">
        <f aca="false">E4434*E4434</f>
        <v>0.25</v>
      </c>
      <c r="U4434" s="0" t="n">
        <f aca="false">F4434*F4434</f>
        <v>1</v>
      </c>
      <c r="V4434" s="0" t="n">
        <f aca="false">G4434*G4434</f>
        <v>0.25</v>
      </c>
      <c r="W4434" s="0" t="n">
        <f aca="false">H4434*H4434</f>
        <v>0.5625</v>
      </c>
      <c r="X4434" s="0" t="n">
        <f aca="false">SUMPRODUCT(I4434:W4434,_XtX!$B$96:$P$96)</f>
        <v>42.1945997807017</v>
      </c>
      <c r="Y4434" s="0" t="n">
        <f aca="false">SUMPRODUCT(MMULT(I4434:W4434,_XtX!$B$78:$P$92),I4434:W4434)</f>
        <v>0.42602110745614</v>
      </c>
      <c r="Z4434" s="0" t="n">
        <f aca="false">04_回帰ANOVA!$K$19*04_回帰ANOVA!$K$14*SQRT(1+Y4434)</f>
        <v>1.55654388501114</v>
      </c>
      <c r="AA4434" s="0" t="n">
        <f aca="false">X4434-Z4434</f>
        <v>40.6380558956906</v>
      </c>
      <c r="AB4434" s="0" t="n">
        <f aca="false">X4434+Z4434</f>
        <v>43.7511436657129</v>
      </c>
      <c r="AC4434" s="54" t="b">
        <f aca="false">AND(E4434&gt;=01_因子設定!$L$5-0.000000001,E4434&lt;=01_因子設定!$M$5+0.000000001,F4434&gt;=01_因子設定!$L$6-0.000000001,F4434&lt;=01_因子設定!$M$6+0.000000001,G4434&gt;=01_因子設定!$L$7-0.000000001,G4434&lt;=01_因子設定!$M$7+0.000000001,H4434&gt;=01_因子設定!$L$8-0.000000001,H4434&lt;=01_因子設定!$M$8+0.000000001,IF(01_因子設定!$B$20="Box-Behnken",E4434^2+F4434^2+G4434^2+H4434^2&lt;=2+0.000000001,TRUE()))</f>
        <v>1</v>
      </c>
      <c r="AD4434" s="55" t="n">
        <f aca="false">IF(AC4434,IF(01_因子設定!$B$13="最大化",AA4434-01_因子設定!$B$14,IF(01_因子設定!$B$13="最小化",01_因子設定!$B$15-AB4434,MIN(AA4434-01_因子設定!$B$14,01_因子設定!$B$15-AB4434))),-1E+030)</f>
        <v>-5.86194410430941</v>
      </c>
      <c r="AE4434" s="55" t="n">
        <f aca="false">IF(AC4434,IF(01_因子設定!$B$13="最大化",X4434,IF(01_因子設定!$B$13="最小化",-X4434,-ABS(X4434-01_因子設定!$B$16))),-1E+030)</f>
        <v>42.1945997807017</v>
      </c>
      <c r="AF4434" s="55" t="n">
        <f aca="false">AD4434+ROW()*0.000000001</f>
        <v>-5.86193967030941</v>
      </c>
      <c r="AG4434" s="55" t="n">
        <f aca="false">AE4434+ROW()*0.000000001</f>
        <v>42.1946042147017</v>
      </c>
    </row>
    <row r="4435" customFormat="false" ht="15" hidden="false" customHeight="false" outlineLevel="0" collapsed="false">
      <c r="A4435" s="0" t="n">
        <v>6</v>
      </c>
      <c r="B4435" s="0" t="n">
        <v>0</v>
      </c>
      <c r="C4435" s="0" t="n">
        <v>6</v>
      </c>
      <c r="D4435" s="0" t="n">
        <v>2</v>
      </c>
      <c r="E4435" s="0" t="n">
        <f aca="false">-1+A4435*0.25</f>
        <v>0.5</v>
      </c>
      <c r="F4435" s="0" t="n">
        <f aca="false">-1+B4435*0.25</f>
        <v>-1</v>
      </c>
      <c r="G4435" s="0" t="n">
        <f aca="false">-1+C4435*0.25</f>
        <v>0.5</v>
      </c>
      <c r="H4435" s="0" t="n">
        <f aca="false">-1+D4435*0.25</f>
        <v>-0.5</v>
      </c>
      <c r="I4435" s="0" t="n">
        <f aca="false">1</f>
        <v>1</v>
      </c>
      <c r="J4435" s="0" t="n">
        <f aca="false">E4435</f>
        <v>0.5</v>
      </c>
      <c r="K4435" s="0" t="n">
        <f aca="false">F4435</f>
        <v>-1</v>
      </c>
      <c r="L4435" s="0" t="n">
        <f aca="false">G4435</f>
        <v>0.5</v>
      </c>
      <c r="M4435" s="0" t="n">
        <f aca="false">H4435</f>
        <v>-0.5</v>
      </c>
      <c r="N4435" s="0" t="n">
        <f aca="false">E4435*F4435</f>
        <v>-0.5</v>
      </c>
      <c r="O4435" s="0" t="n">
        <f aca="false">E4435*G4435</f>
        <v>0.25</v>
      </c>
      <c r="P4435" s="0" t="n">
        <f aca="false">E4435*H4435</f>
        <v>-0.25</v>
      </c>
      <c r="Q4435" s="0" t="n">
        <f aca="false">F4435*G4435</f>
        <v>-0.5</v>
      </c>
      <c r="R4435" s="0" t="n">
        <f aca="false">F4435*H4435</f>
        <v>0.5</v>
      </c>
      <c r="S4435" s="0" t="n">
        <f aca="false">G4435*H4435</f>
        <v>-0.25</v>
      </c>
      <c r="T4435" s="0" t="n">
        <f aca="false">E4435*E4435</f>
        <v>0.25</v>
      </c>
      <c r="U4435" s="0" t="n">
        <f aca="false">F4435*F4435</f>
        <v>1</v>
      </c>
      <c r="V4435" s="0" t="n">
        <f aca="false">G4435*G4435</f>
        <v>0.25</v>
      </c>
      <c r="W4435" s="0" t="n">
        <f aca="false">H4435*H4435</f>
        <v>0.25</v>
      </c>
      <c r="X4435" s="0" t="n">
        <f aca="false">SUMPRODUCT(I4435:W4435,_XtX!$B$96:$P$96)</f>
        <v>42.5201937134503</v>
      </c>
      <c r="Y4435" s="0" t="n">
        <f aca="false">SUMPRODUCT(MMULT(I4435:W4435,_XtX!$B$78:$P$92),I4435:W4435)</f>
        <v>0.404719480994152</v>
      </c>
      <c r="Z4435" s="0" t="n">
        <f aca="false">04_回帰ANOVA!$K$19*04_回帰ANOVA!$K$14*SQRT(1+Y4435)</f>
        <v>1.54487446697867</v>
      </c>
      <c r="AA4435" s="0" t="n">
        <f aca="false">X4435-Z4435</f>
        <v>40.9753192464716</v>
      </c>
      <c r="AB4435" s="0" t="n">
        <f aca="false">X4435+Z4435</f>
        <v>44.0650681804289</v>
      </c>
      <c r="AC4435" s="54" t="b">
        <f aca="false">AND(E4435&gt;=01_因子設定!$L$5-0.000000001,E4435&lt;=01_因子設定!$M$5+0.000000001,F4435&gt;=01_因子設定!$L$6-0.000000001,F4435&lt;=01_因子設定!$M$6+0.000000001,G4435&gt;=01_因子設定!$L$7-0.000000001,G4435&lt;=01_因子設定!$M$7+0.000000001,H4435&gt;=01_因子設定!$L$8-0.000000001,H4435&lt;=01_因子設定!$M$8+0.000000001,IF(01_因子設定!$B$20="Box-Behnken",E4435^2+F4435^2+G4435^2+H4435^2&lt;=2+0.000000001,TRUE()))</f>
        <v>1</v>
      </c>
      <c r="AD4435" s="55" t="n">
        <f aca="false">IF(AC4435,IF(01_因子設定!$B$13="最大化",AA4435-01_因子設定!$B$14,IF(01_因子設定!$B$13="最小化",01_因子設定!$B$15-AB4435,MIN(AA4435-01_因子設定!$B$14,01_因子設定!$B$15-AB4435))),-1E+030)</f>
        <v>-5.52468075352842</v>
      </c>
      <c r="AE4435" s="55" t="n">
        <f aca="false">IF(AC4435,IF(01_因子設定!$B$13="最大化",X4435,IF(01_因子設定!$B$13="最小化",-X4435,-ABS(X4435-01_因子設定!$B$16))),-1E+030)</f>
        <v>42.5201937134503</v>
      </c>
      <c r="AF4435" s="55" t="n">
        <f aca="false">AD4435+ROW()*0.000000001</f>
        <v>-5.52467631852842</v>
      </c>
      <c r="AG4435" s="55" t="n">
        <f aca="false">AE4435+ROW()*0.000000001</f>
        <v>42.5201981484503</v>
      </c>
    </row>
    <row r="4436" customFormat="false" ht="15" hidden="false" customHeight="false" outlineLevel="0" collapsed="false">
      <c r="A4436" s="0" t="n">
        <v>6</v>
      </c>
      <c r="B4436" s="0" t="n">
        <v>0</v>
      </c>
      <c r="C4436" s="0" t="n">
        <v>6</v>
      </c>
      <c r="D4436" s="0" t="n">
        <v>3</v>
      </c>
      <c r="E4436" s="0" t="n">
        <f aca="false">-1+A4436*0.25</f>
        <v>0.5</v>
      </c>
      <c r="F4436" s="0" t="n">
        <f aca="false">-1+B4436*0.25</f>
        <v>-1</v>
      </c>
      <c r="G4436" s="0" t="n">
        <f aca="false">-1+C4436*0.25</f>
        <v>0.5</v>
      </c>
      <c r="H4436" s="0" t="n">
        <f aca="false">-1+D4436*0.25</f>
        <v>-0.25</v>
      </c>
      <c r="I4436" s="0" t="n">
        <f aca="false">1</f>
        <v>1</v>
      </c>
      <c r="J4436" s="0" t="n">
        <f aca="false">E4436</f>
        <v>0.5</v>
      </c>
      <c r="K4436" s="0" t="n">
        <f aca="false">F4436</f>
        <v>-1</v>
      </c>
      <c r="L4436" s="0" t="n">
        <f aca="false">G4436</f>
        <v>0.5</v>
      </c>
      <c r="M4436" s="0" t="n">
        <f aca="false">H4436</f>
        <v>-0.25</v>
      </c>
      <c r="N4436" s="0" t="n">
        <f aca="false">E4436*F4436</f>
        <v>-0.5</v>
      </c>
      <c r="O4436" s="0" t="n">
        <f aca="false">E4436*G4436</f>
        <v>0.25</v>
      </c>
      <c r="P4436" s="0" t="n">
        <f aca="false">E4436*H4436</f>
        <v>-0.125</v>
      </c>
      <c r="Q4436" s="0" t="n">
        <f aca="false">F4436*G4436</f>
        <v>-0.5</v>
      </c>
      <c r="R4436" s="0" t="n">
        <f aca="false">F4436*H4436</f>
        <v>0.25</v>
      </c>
      <c r="S4436" s="0" t="n">
        <f aca="false">G4436*H4436</f>
        <v>-0.125</v>
      </c>
      <c r="T4436" s="0" t="n">
        <f aca="false">E4436*E4436</f>
        <v>0.25</v>
      </c>
      <c r="U4436" s="0" t="n">
        <f aca="false">F4436*F4436</f>
        <v>1</v>
      </c>
      <c r="V4436" s="0" t="n">
        <f aca="false">G4436*G4436</f>
        <v>0.25</v>
      </c>
      <c r="W4436" s="0" t="n">
        <f aca="false">H4436*H4436</f>
        <v>0.0625</v>
      </c>
      <c r="X4436" s="0" t="n">
        <f aca="false">SUMPRODUCT(I4436:W4436,_XtX!$B$96:$P$96)</f>
        <v>42.7979806286549</v>
      </c>
      <c r="Y4436" s="0" t="n">
        <f aca="false">SUMPRODUCT(MMULT(I4436:W4436,_XtX!$B$78:$P$92),I4436:W4436)</f>
        <v>0.428122715643275</v>
      </c>
      <c r="Z4436" s="0" t="n">
        <f aca="false">04_回帰ANOVA!$K$19*04_回帰ANOVA!$K$14*SQRT(1+Y4436)</f>
        <v>1.55769044623229</v>
      </c>
      <c r="AA4436" s="0" t="n">
        <f aca="false">X4436-Z4436</f>
        <v>41.2402901824226</v>
      </c>
      <c r="AB4436" s="0" t="n">
        <f aca="false">X4436+Z4436</f>
        <v>44.3556710748872</v>
      </c>
      <c r="AC4436" s="54" t="b">
        <f aca="false">AND(E4436&gt;=01_因子設定!$L$5-0.000000001,E4436&lt;=01_因子設定!$M$5+0.000000001,F4436&gt;=01_因子設定!$L$6-0.000000001,F4436&lt;=01_因子設定!$M$6+0.000000001,G4436&gt;=01_因子設定!$L$7-0.000000001,G4436&lt;=01_因子設定!$M$7+0.000000001,H4436&gt;=01_因子設定!$L$8-0.000000001,H4436&lt;=01_因子設定!$M$8+0.000000001,IF(01_因子設定!$B$20="Box-Behnken",E4436^2+F4436^2+G4436^2+H4436^2&lt;=2+0.000000001,TRUE()))</f>
        <v>1</v>
      </c>
      <c r="AD4436" s="55" t="n">
        <f aca="false">IF(AC4436,IF(01_因子設定!$B$13="最大化",AA4436-01_因子設定!$B$14,IF(01_因子設定!$B$13="最小化",01_因子設定!$B$15-AB4436,MIN(AA4436-01_因子設定!$B$14,01_因子設定!$B$15-AB4436))),-1E+030)</f>
        <v>-5.25970981757737</v>
      </c>
      <c r="AE4436" s="55" t="n">
        <f aca="false">IF(AC4436,IF(01_因子設定!$B$13="最大化",X4436,IF(01_因子設定!$B$13="最小化",-X4436,-ABS(X4436-01_因子設定!$B$16))),-1E+030)</f>
        <v>42.7979806286549</v>
      </c>
      <c r="AF4436" s="55" t="n">
        <f aca="false">AD4436+ROW()*0.000000001</f>
        <v>-5.25970538157737</v>
      </c>
      <c r="AG4436" s="55" t="n">
        <f aca="false">AE4436+ROW()*0.000000001</f>
        <v>42.7979850646549</v>
      </c>
    </row>
    <row r="4437" customFormat="false" ht="15" hidden="false" customHeight="false" outlineLevel="0" collapsed="false">
      <c r="A4437" s="0" t="n">
        <v>6</v>
      </c>
      <c r="B4437" s="0" t="n">
        <v>0</v>
      </c>
      <c r="C4437" s="0" t="n">
        <v>6</v>
      </c>
      <c r="D4437" s="0" t="n">
        <v>4</v>
      </c>
      <c r="E4437" s="0" t="n">
        <f aca="false">-1+A4437*0.25</f>
        <v>0.5</v>
      </c>
      <c r="F4437" s="0" t="n">
        <f aca="false">-1+B4437*0.25</f>
        <v>-1</v>
      </c>
      <c r="G4437" s="0" t="n">
        <f aca="false">-1+C4437*0.25</f>
        <v>0.5</v>
      </c>
      <c r="H4437" s="0" t="n">
        <f aca="false">-1+D4437*0.25</f>
        <v>0</v>
      </c>
      <c r="I4437" s="0" t="n">
        <f aca="false">1</f>
        <v>1</v>
      </c>
      <c r="J4437" s="0" t="n">
        <f aca="false">E4437</f>
        <v>0.5</v>
      </c>
      <c r="K4437" s="0" t="n">
        <f aca="false">F4437</f>
        <v>-1</v>
      </c>
      <c r="L4437" s="0" t="n">
        <f aca="false">G4437</f>
        <v>0.5</v>
      </c>
      <c r="M4437" s="0" t="n">
        <f aca="false">H4437</f>
        <v>0</v>
      </c>
      <c r="N4437" s="0" t="n">
        <f aca="false">E4437*F4437</f>
        <v>-0.5</v>
      </c>
      <c r="O4437" s="0" t="n">
        <f aca="false">E4437*G4437</f>
        <v>0.25</v>
      </c>
      <c r="P4437" s="0" t="n">
        <f aca="false">E4437*H4437</f>
        <v>0</v>
      </c>
      <c r="Q4437" s="0" t="n">
        <f aca="false">F4437*G4437</f>
        <v>-0.5</v>
      </c>
      <c r="R4437" s="0" t="n">
        <f aca="false">F4437*H4437</f>
        <v>-0</v>
      </c>
      <c r="S4437" s="0" t="n">
        <f aca="false">G4437*H4437</f>
        <v>0</v>
      </c>
      <c r="T4437" s="0" t="n">
        <f aca="false">E4437*E4437</f>
        <v>0.25</v>
      </c>
      <c r="U4437" s="0" t="n">
        <f aca="false">F4437*F4437</f>
        <v>1</v>
      </c>
      <c r="V4437" s="0" t="n">
        <f aca="false">G4437*G4437</f>
        <v>0.25</v>
      </c>
      <c r="W4437" s="0" t="n">
        <f aca="false">H4437*H4437</f>
        <v>0</v>
      </c>
      <c r="X4437" s="0" t="n">
        <f aca="false">SUMPRODUCT(I4437:W4437,_XtX!$B$96:$P$96)</f>
        <v>43.0279605263157</v>
      </c>
      <c r="Y4437" s="0" t="n">
        <f aca="false">SUMPRODUCT(MMULT(I4437:W4437,_XtX!$B$78:$P$92),I4437:W4437)</f>
        <v>0.441954495614035</v>
      </c>
      <c r="Z4437" s="0" t="n">
        <f aca="false">04_回帰ANOVA!$K$19*04_回帰ANOVA!$K$14*SQRT(1+Y4437)</f>
        <v>1.56521560968066</v>
      </c>
      <c r="AA4437" s="0" t="n">
        <f aca="false">X4437-Z4437</f>
        <v>41.4627449166351</v>
      </c>
      <c r="AB4437" s="0" t="n">
        <f aca="false">X4437+Z4437</f>
        <v>44.5931761359964</v>
      </c>
      <c r="AC4437" s="54" t="b">
        <f aca="false">AND(E4437&gt;=01_因子設定!$L$5-0.000000001,E4437&lt;=01_因子設定!$M$5+0.000000001,F4437&gt;=01_因子設定!$L$6-0.000000001,F4437&lt;=01_因子設定!$M$6+0.000000001,G4437&gt;=01_因子設定!$L$7-0.000000001,G4437&lt;=01_因子設定!$M$7+0.000000001,H4437&gt;=01_因子設定!$L$8-0.000000001,H4437&lt;=01_因子設定!$M$8+0.000000001,IF(01_因子設定!$B$20="Box-Behnken",E4437^2+F4437^2+G4437^2+H4437^2&lt;=2+0.000000001,TRUE()))</f>
        <v>1</v>
      </c>
      <c r="AD4437" s="55" t="n">
        <f aca="false">IF(AC4437,IF(01_因子設定!$B$13="最大化",AA4437-01_因子設定!$B$14,IF(01_因子設定!$B$13="最小化",01_因子設定!$B$15-AB4437,MIN(AA4437-01_因子設定!$B$14,01_因子設定!$B$15-AB4437))),-1E+030)</f>
        <v>-5.03725508336492</v>
      </c>
      <c r="AE4437" s="55" t="n">
        <f aca="false">IF(AC4437,IF(01_因子設定!$B$13="最大化",X4437,IF(01_因子設定!$B$13="最小化",-X4437,-ABS(X4437-01_因子設定!$B$16))),-1E+030)</f>
        <v>43.0279605263157</v>
      </c>
      <c r="AF4437" s="55" t="n">
        <f aca="false">AD4437+ROW()*0.000000001</f>
        <v>-5.03725064636492</v>
      </c>
      <c r="AG4437" s="55" t="n">
        <f aca="false">AE4437+ROW()*0.000000001</f>
        <v>43.0279649633157</v>
      </c>
    </row>
    <row r="4438" customFormat="false" ht="15" hidden="false" customHeight="false" outlineLevel="0" collapsed="false">
      <c r="A4438" s="0" t="n">
        <v>6</v>
      </c>
      <c r="B4438" s="0" t="n">
        <v>0</v>
      </c>
      <c r="C4438" s="0" t="n">
        <v>6</v>
      </c>
      <c r="D4438" s="0" t="n">
        <v>5</v>
      </c>
      <c r="E4438" s="0" t="n">
        <f aca="false">-1+A4438*0.25</f>
        <v>0.5</v>
      </c>
      <c r="F4438" s="0" t="n">
        <f aca="false">-1+B4438*0.25</f>
        <v>-1</v>
      </c>
      <c r="G4438" s="0" t="n">
        <f aca="false">-1+C4438*0.25</f>
        <v>0.5</v>
      </c>
      <c r="H4438" s="0" t="n">
        <f aca="false">-1+D4438*0.25</f>
        <v>0.25</v>
      </c>
      <c r="I4438" s="0" t="n">
        <f aca="false">1</f>
        <v>1</v>
      </c>
      <c r="J4438" s="0" t="n">
        <f aca="false">E4438</f>
        <v>0.5</v>
      </c>
      <c r="K4438" s="0" t="n">
        <f aca="false">F4438</f>
        <v>-1</v>
      </c>
      <c r="L4438" s="0" t="n">
        <f aca="false">G4438</f>
        <v>0.5</v>
      </c>
      <c r="M4438" s="0" t="n">
        <f aca="false">H4438</f>
        <v>0.25</v>
      </c>
      <c r="N4438" s="0" t="n">
        <f aca="false">E4438*F4438</f>
        <v>-0.5</v>
      </c>
      <c r="O4438" s="0" t="n">
        <f aca="false">E4438*G4438</f>
        <v>0.25</v>
      </c>
      <c r="P4438" s="0" t="n">
        <f aca="false">E4438*H4438</f>
        <v>0.125</v>
      </c>
      <c r="Q4438" s="0" t="n">
        <f aca="false">F4438*G4438</f>
        <v>-0.5</v>
      </c>
      <c r="R4438" s="0" t="n">
        <f aca="false">F4438*H4438</f>
        <v>-0.25</v>
      </c>
      <c r="S4438" s="0" t="n">
        <f aca="false">G4438*H4438</f>
        <v>0.125</v>
      </c>
      <c r="T4438" s="0" t="n">
        <f aca="false">E4438*E4438</f>
        <v>0.25</v>
      </c>
      <c r="U4438" s="0" t="n">
        <f aca="false">F4438*F4438</f>
        <v>1</v>
      </c>
      <c r="V4438" s="0" t="n">
        <f aca="false">G4438*G4438</f>
        <v>0.25</v>
      </c>
      <c r="W4438" s="0" t="n">
        <f aca="false">H4438*H4438</f>
        <v>0.0625</v>
      </c>
      <c r="X4438" s="0" t="n">
        <f aca="false">SUMPRODUCT(I4438:W4438,_XtX!$B$96:$P$96)</f>
        <v>43.2101334064327</v>
      </c>
      <c r="Y4438" s="0" t="n">
        <f aca="false">SUMPRODUCT(MMULT(I4438:W4438,_XtX!$B$78:$P$92),I4438:W4438)</f>
        <v>0.428122715643275</v>
      </c>
      <c r="Z4438" s="0" t="n">
        <f aca="false">04_回帰ANOVA!$K$19*04_回帰ANOVA!$K$14*SQRT(1+Y4438)</f>
        <v>1.55769044623229</v>
      </c>
      <c r="AA4438" s="0" t="n">
        <f aca="false">X4438-Z4438</f>
        <v>41.6524429602004</v>
      </c>
      <c r="AB4438" s="0" t="n">
        <f aca="false">X4438+Z4438</f>
        <v>44.767823852665</v>
      </c>
      <c r="AC4438" s="54" t="b">
        <f aca="false">AND(E4438&gt;=01_因子設定!$L$5-0.000000001,E4438&lt;=01_因子設定!$M$5+0.000000001,F4438&gt;=01_因子設定!$L$6-0.000000001,F4438&lt;=01_因子設定!$M$6+0.000000001,G4438&gt;=01_因子設定!$L$7-0.000000001,G4438&lt;=01_因子設定!$M$7+0.000000001,H4438&gt;=01_因子設定!$L$8-0.000000001,H4438&lt;=01_因子設定!$M$8+0.000000001,IF(01_因子設定!$B$20="Box-Behnken",E4438^2+F4438^2+G4438^2+H4438^2&lt;=2+0.000000001,TRUE()))</f>
        <v>1</v>
      </c>
      <c r="AD4438" s="55" t="n">
        <f aca="false">IF(AC4438,IF(01_因子設定!$B$13="最大化",AA4438-01_因子設定!$B$14,IF(01_因子設定!$B$13="最小化",01_因子設定!$B$15-AB4438,MIN(AA4438-01_因子設定!$B$14,01_因子設定!$B$15-AB4438))),-1E+030)</f>
        <v>-4.84755703979959</v>
      </c>
      <c r="AE4438" s="55" t="n">
        <f aca="false">IF(AC4438,IF(01_因子設定!$B$13="最大化",X4438,IF(01_因子設定!$B$13="最小化",-X4438,-ABS(X4438-01_因子設定!$B$16))),-1E+030)</f>
        <v>43.2101334064327</v>
      </c>
      <c r="AF4438" s="55" t="n">
        <f aca="false">AD4438+ROW()*0.000000001</f>
        <v>-4.84755260179959</v>
      </c>
      <c r="AG4438" s="55" t="n">
        <f aca="false">AE4438+ROW()*0.000000001</f>
        <v>43.2101378444327</v>
      </c>
    </row>
    <row r="4439" customFormat="false" ht="15" hidden="false" customHeight="false" outlineLevel="0" collapsed="false">
      <c r="A4439" s="0" t="n">
        <v>6</v>
      </c>
      <c r="B4439" s="0" t="n">
        <v>0</v>
      </c>
      <c r="C4439" s="0" t="n">
        <v>6</v>
      </c>
      <c r="D4439" s="0" t="n">
        <v>6</v>
      </c>
      <c r="E4439" s="0" t="n">
        <f aca="false">-1+A4439*0.25</f>
        <v>0.5</v>
      </c>
      <c r="F4439" s="0" t="n">
        <f aca="false">-1+B4439*0.25</f>
        <v>-1</v>
      </c>
      <c r="G4439" s="0" t="n">
        <f aca="false">-1+C4439*0.25</f>
        <v>0.5</v>
      </c>
      <c r="H4439" s="0" t="n">
        <f aca="false">-1+D4439*0.25</f>
        <v>0.5</v>
      </c>
      <c r="I4439" s="0" t="n">
        <f aca="false">1</f>
        <v>1</v>
      </c>
      <c r="J4439" s="0" t="n">
        <f aca="false">E4439</f>
        <v>0.5</v>
      </c>
      <c r="K4439" s="0" t="n">
        <f aca="false">F4439</f>
        <v>-1</v>
      </c>
      <c r="L4439" s="0" t="n">
        <f aca="false">G4439</f>
        <v>0.5</v>
      </c>
      <c r="M4439" s="0" t="n">
        <f aca="false">H4439</f>
        <v>0.5</v>
      </c>
      <c r="N4439" s="0" t="n">
        <f aca="false">E4439*F4439</f>
        <v>-0.5</v>
      </c>
      <c r="O4439" s="0" t="n">
        <f aca="false">E4439*G4439</f>
        <v>0.25</v>
      </c>
      <c r="P4439" s="0" t="n">
        <f aca="false">E4439*H4439</f>
        <v>0.25</v>
      </c>
      <c r="Q4439" s="0" t="n">
        <f aca="false">F4439*G4439</f>
        <v>-0.5</v>
      </c>
      <c r="R4439" s="0" t="n">
        <f aca="false">F4439*H4439</f>
        <v>-0.5</v>
      </c>
      <c r="S4439" s="0" t="n">
        <f aca="false">G4439*H4439</f>
        <v>0.25</v>
      </c>
      <c r="T4439" s="0" t="n">
        <f aca="false">E4439*E4439</f>
        <v>0.25</v>
      </c>
      <c r="U4439" s="0" t="n">
        <f aca="false">F4439*F4439</f>
        <v>1</v>
      </c>
      <c r="V4439" s="0" t="n">
        <f aca="false">G4439*G4439</f>
        <v>0.25</v>
      </c>
      <c r="W4439" s="0" t="n">
        <f aca="false">H4439*H4439</f>
        <v>0.25</v>
      </c>
      <c r="X4439" s="0" t="n">
        <f aca="false">SUMPRODUCT(I4439:W4439,_XtX!$B$96:$P$96)</f>
        <v>43.3444992690058</v>
      </c>
      <c r="Y4439" s="0" t="n">
        <f aca="false">SUMPRODUCT(MMULT(I4439:W4439,_XtX!$B$78:$P$92),I4439:W4439)</f>
        <v>0.404719480994152</v>
      </c>
      <c r="Z4439" s="0" t="n">
        <f aca="false">04_回帰ANOVA!$K$19*04_回帰ANOVA!$K$14*SQRT(1+Y4439)</f>
        <v>1.54487446697867</v>
      </c>
      <c r="AA4439" s="0" t="n">
        <f aca="false">X4439-Z4439</f>
        <v>41.7996248020271</v>
      </c>
      <c r="AB4439" s="0" t="n">
        <f aca="false">X4439+Z4439</f>
        <v>44.8893737359845</v>
      </c>
      <c r="AC4439" s="54" t="b">
        <f aca="false">AND(E4439&gt;=01_因子設定!$L$5-0.000000001,E4439&lt;=01_因子設定!$M$5+0.000000001,F4439&gt;=01_因子設定!$L$6-0.000000001,F4439&lt;=01_因子設定!$M$6+0.000000001,G4439&gt;=01_因子設定!$L$7-0.000000001,G4439&lt;=01_因子設定!$M$7+0.000000001,H4439&gt;=01_因子設定!$L$8-0.000000001,H4439&lt;=01_因子設定!$M$8+0.000000001,IF(01_因子設定!$B$20="Box-Behnken",E4439^2+F4439^2+G4439^2+H4439^2&lt;=2+0.000000001,TRUE()))</f>
        <v>1</v>
      </c>
      <c r="AD4439" s="55" t="n">
        <f aca="false">IF(AC4439,IF(01_因子設定!$B$13="最大化",AA4439-01_因子設定!$B$14,IF(01_因子設定!$B$13="最小化",01_因子設定!$B$15-AB4439,MIN(AA4439-01_因子設定!$B$14,01_因子設定!$B$15-AB4439))),-1E+030)</f>
        <v>-4.70037519797286</v>
      </c>
      <c r="AE4439" s="55" t="n">
        <f aca="false">IF(AC4439,IF(01_因子設定!$B$13="最大化",X4439,IF(01_因子設定!$B$13="最小化",-X4439,-ABS(X4439-01_因子設定!$B$16))),-1E+030)</f>
        <v>43.3444992690058</v>
      </c>
      <c r="AF4439" s="55" t="n">
        <f aca="false">AD4439+ROW()*0.000000001</f>
        <v>-4.70037075897286</v>
      </c>
      <c r="AG4439" s="55" t="n">
        <f aca="false">AE4439+ROW()*0.000000001</f>
        <v>43.3445037080058</v>
      </c>
    </row>
    <row r="4440" customFormat="false" ht="15" hidden="false" customHeight="false" outlineLevel="0" collapsed="false">
      <c r="A4440" s="0" t="n">
        <v>6</v>
      </c>
      <c r="B4440" s="0" t="n">
        <v>0</v>
      </c>
      <c r="C4440" s="0" t="n">
        <v>6</v>
      </c>
      <c r="D4440" s="0" t="n">
        <v>7</v>
      </c>
      <c r="E4440" s="0" t="n">
        <f aca="false">-1+A4440*0.25</f>
        <v>0.5</v>
      </c>
      <c r="F4440" s="0" t="n">
        <f aca="false">-1+B4440*0.25</f>
        <v>-1</v>
      </c>
      <c r="G4440" s="0" t="n">
        <f aca="false">-1+C4440*0.25</f>
        <v>0.5</v>
      </c>
      <c r="H4440" s="0" t="n">
        <f aca="false">-1+D4440*0.25</f>
        <v>0.75</v>
      </c>
      <c r="I4440" s="0" t="n">
        <f aca="false">1</f>
        <v>1</v>
      </c>
      <c r="J4440" s="0" t="n">
        <f aca="false">E4440</f>
        <v>0.5</v>
      </c>
      <c r="K4440" s="0" t="n">
        <f aca="false">F4440</f>
        <v>-1</v>
      </c>
      <c r="L4440" s="0" t="n">
        <f aca="false">G4440</f>
        <v>0.5</v>
      </c>
      <c r="M4440" s="0" t="n">
        <f aca="false">H4440</f>
        <v>0.75</v>
      </c>
      <c r="N4440" s="0" t="n">
        <f aca="false">E4440*F4440</f>
        <v>-0.5</v>
      </c>
      <c r="O4440" s="0" t="n">
        <f aca="false">E4440*G4440</f>
        <v>0.25</v>
      </c>
      <c r="P4440" s="0" t="n">
        <f aca="false">E4440*H4440</f>
        <v>0.375</v>
      </c>
      <c r="Q4440" s="0" t="n">
        <f aca="false">F4440*G4440</f>
        <v>-0.5</v>
      </c>
      <c r="R4440" s="0" t="n">
        <f aca="false">F4440*H4440</f>
        <v>-0.75</v>
      </c>
      <c r="S4440" s="0" t="n">
        <f aca="false">G4440*H4440</f>
        <v>0.375</v>
      </c>
      <c r="T4440" s="0" t="n">
        <f aca="false">E4440*E4440</f>
        <v>0.25</v>
      </c>
      <c r="U4440" s="0" t="n">
        <f aca="false">F4440*F4440</f>
        <v>1</v>
      </c>
      <c r="V4440" s="0" t="n">
        <f aca="false">G4440*G4440</f>
        <v>0.25</v>
      </c>
      <c r="W4440" s="0" t="n">
        <f aca="false">H4440*H4440</f>
        <v>0.5625</v>
      </c>
      <c r="X4440" s="0" t="n">
        <f aca="false">SUMPRODUCT(I4440:W4440,_XtX!$B$96:$P$96)</f>
        <v>43.4310581140351</v>
      </c>
      <c r="Y4440" s="0" t="n">
        <f aca="false">SUMPRODUCT(MMULT(I4440:W4440,_XtX!$B$78:$P$92),I4440:W4440)</f>
        <v>0.42602110745614</v>
      </c>
      <c r="Z4440" s="0" t="n">
        <f aca="false">04_回帰ANOVA!$K$19*04_回帰ANOVA!$K$14*SQRT(1+Y4440)</f>
        <v>1.55654388501114</v>
      </c>
      <c r="AA4440" s="0" t="n">
        <f aca="false">X4440-Z4440</f>
        <v>41.8745142290239</v>
      </c>
      <c r="AB4440" s="0" t="n">
        <f aca="false">X4440+Z4440</f>
        <v>44.9876019990462</v>
      </c>
      <c r="AC4440" s="54" t="b">
        <f aca="false">AND(E4440&gt;=01_因子設定!$L$5-0.000000001,E4440&lt;=01_因子設定!$M$5+0.000000001,F4440&gt;=01_因子設定!$L$6-0.000000001,F4440&lt;=01_因子設定!$M$6+0.000000001,G4440&gt;=01_因子設定!$L$7-0.000000001,G4440&lt;=01_因子設定!$M$7+0.000000001,H4440&gt;=01_因子設定!$L$8-0.000000001,H4440&lt;=01_因子設定!$M$8+0.000000001,IF(01_因子設定!$B$20="Box-Behnken",E4440^2+F4440^2+G4440^2+H4440^2&lt;=2+0.000000001,TRUE()))</f>
        <v>1</v>
      </c>
      <c r="AD4440" s="55" t="n">
        <f aca="false">IF(AC4440,IF(01_因子設定!$B$13="最大化",AA4440-01_因子設定!$B$14,IF(01_因子設定!$B$13="最小化",01_因子設定!$B$15-AB4440,MIN(AA4440-01_因子設定!$B$14,01_因子設定!$B$15-AB4440))),-1E+030)</f>
        <v>-4.62548577097608</v>
      </c>
      <c r="AE4440" s="55" t="n">
        <f aca="false">IF(AC4440,IF(01_因子設定!$B$13="最大化",X4440,IF(01_因子設定!$B$13="最小化",-X4440,-ABS(X4440-01_因子設定!$B$16))),-1E+030)</f>
        <v>43.4310581140351</v>
      </c>
      <c r="AF4440" s="55" t="n">
        <f aca="false">AD4440+ROW()*0.000000001</f>
        <v>-4.62548133097608</v>
      </c>
      <c r="AG4440" s="55" t="n">
        <f aca="false">AE4440+ROW()*0.000000001</f>
        <v>43.4310625540351</v>
      </c>
    </row>
    <row r="4441" customFormat="false" ht="15" hidden="false" customHeight="false" outlineLevel="0" collapsed="false">
      <c r="A4441" s="0" t="n">
        <v>6</v>
      </c>
      <c r="B4441" s="0" t="n">
        <v>0</v>
      </c>
      <c r="C4441" s="0" t="n">
        <v>6</v>
      </c>
      <c r="D4441" s="0" t="n">
        <v>8</v>
      </c>
      <c r="E4441" s="0" t="n">
        <f aca="false">-1+A4441*0.25</f>
        <v>0.5</v>
      </c>
      <c r="F4441" s="0" t="n">
        <f aca="false">-1+B4441*0.25</f>
        <v>-1</v>
      </c>
      <c r="G4441" s="0" t="n">
        <f aca="false">-1+C4441*0.25</f>
        <v>0.5</v>
      </c>
      <c r="H4441" s="0" t="n">
        <f aca="false">-1+D4441*0.25</f>
        <v>1</v>
      </c>
      <c r="I4441" s="0" t="n">
        <f aca="false">1</f>
        <v>1</v>
      </c>
      <c r="J4441" s="0" t="n">
        <f aca="false">E4441</f>
        <v>0.5</v>
      </c>
      <c r="K4441" s="0" t="n">
        <f aca="false">F4441</f>
        <v>-1</v>
      </c>
      <c r="L4441" s="0" t="n">
        <f aca="false">G4441</f>
        <v>0.5</v>
      </c>
      <c r="M4441" s="0" t="n">
        <f aca="false">H4441</f>
        <v>1</v>
      </c>
      <c r="N4441" s="0" t="n">
        <f aca="false">E4441*F4441</f>
        <v>-0.5</v>
      </c>
      <c r="O4441" s="0" t="n">
        <f aca="false">E4441*G4441</f>
        <v>0.25</v>
      </c>
      <c r="P4441" s="0" t="n">
        <f aca="false">E4441*H4441</f>
        <v>0.5</v>
      </c>
      <c r="Q4441" s="0" t="n">
        <f aca="false">F4441*G4441</f>
        <v>-0.5</v>
      </c>
      <c r="R4441" s="0" t="n">
        <f aca="false">F4441*H4441</f>
        <v>-1</v>
      </c>
      <c r="S4441" s="0" t="n">
        <f aca="false">G4441*H4441</f>
        <v>0.5</v>
      </c>
      <c r="T4441" s="0" t="n">
        <f aca="false">E4441*E4441</f>
        <v>0.25</v>
      </c>
      <c r="U4441" s="0" t="n">
        <f aca="false">F4441*F4441</f>
        <v>1</v>
      </c>
      <c r="V4441" s="0" t="n">
        <f aca="false">G4441*G4441</f>
        <v>0.25</v>
      </c>
      <c r="W4441" s="0" t="n">
        <f aca="false">H4441*H4441</f>
        <v>1</v>
      </c>
      <c r="X4441" s="0" t="n">
        <f aca="false">SUMPRODUCT(I4441:W4441,_XtX!$B$96:$P$96)</f>
        <v>43.4698099415205</v>
      </c>
      <c r="Y4441" s="0" t="n">
        <f aca="false">SUMPRODUCT(MMULT(I4441:W4441,_XtX!$B$78:$P$92),I4441:W4441)</f>
        <v>0.582488121345029</v>
      </c>
      <c r="Z4441" s="0" t="n">
        <f aca="false">04_回帰ANOVA!$K$19*04_回帰ANOVA!$K$14*SQRT(1+Y4441)</f>
        <v>1.63971595338287</v>
      </c>
      <c r="AA4441" s="0" t="n">
        <f aca="false">X4441-Z4441</f>
        <v>41.8300939881376</v>
      </c>
      <c r="AB4441" s="0" t="n">
        <f aca="false">X4441+Z4441</f>
        <v>45.1095258949033</v>
      </c>
      <c r="AC4441" s="54" t="b">
        <f aca="false">AND(E4441&gt;=01_因子設定!$L$5-0.000000001,E4441&lt;=01_因子設定!$M$5+0.000000001,F4441&gt;=01_因子設定!$L$6-0.000000001,F4441&lt;=01_因子設定!$M$6+0.000000001,G4441&gt;=01_因子設定!$L$7-0.000000001,G4441&lt;=01_因子設定!$M$7+0.000000001,H4441&gt;=01_因子設定!$L$8-0.000000001,H4441&lt;=01_因子設定!$M$8+0.000000001,IF(01_因子設定!$B$20="Box-Behnken",E4441^2+F4441^2+G4441^2+H4441^2&lt;=2+0.000000001,TRUE()))</f>
        <v>1</v>
      </c>
      <c r="AD4441" s="55" t="n">
        <f aca="false">IF(AC4441,IF(01_因子設定!$B$13="最大化",AA4441-01_因子設定!$B$14,IF(01_因子設定!$B$13="最小化",01_因子設定!$B$15-AB4441,MIN(AA4441-01_因子設定!$B$14,01_因子設定!$B$15-AB4441))),-1E+030)</f>
        <v>-4.66990601186241</v>
      </c>
      <c r="AE4441" s="55" t="n">
        <f aca="false">IF(AC4441,IF(01_因子設定!$B$13="最大化",X4441,IF(01_因子設定!$B$13="最小化",-X4441,-ABS(X4441-01_因子設定!$B$16))),-1E+030)</f>
        <v>43.4698099415205</v>
      </c>
      <c r="AF4441" s="55" t="n">
        <f aca="false">AD4441+ROW()*0.000000001</f>
        <v>-4.66990157086241</v>
      </c>
      <c r="AG4441" s="55" t="n">
        <f aca="false">AE4441+ROW()*0.000000001</f>
        <v>43.4698143825205</v>
      </c>
    </row>
    <row r="4442" customFormat="false" ht="15" hidden="false" customHeight="false" outlineLevel="0" collapsed="false">
      <c r="A4442" s="0" t="n">
        <v>6</v>
      </c>
      <c r="B4442" s="0" t="n">
        <v>0</v>
      </c>
      <c r="C4442" s="0" t="n">
        <v>7</v>
      </c>
      <c r="D4442" s="0" t="n">
        <v>0</v>
      </c>
      <c r="E4442" s="0" t="n">
        <f aca="false">-1+A4442*0.25</f>
        <v>0.5</v>
      </c>
      <c r="F4442" s="0" t="n">
        <f aca="false">-1+B4442*0.25</f>
        <v>-1</v>
      </c>
      <c r="G4442" s="0" t="n">
        <f aca="false">-1+C4442*0.25</f>
        <v>0.75</v>
      </c>
      <c r="H4442" s="0" t="n">
        <f aca="false">-1+D4442*0.25</f>
        <v>-1</v>
      </c>
      <c r="I4442" s="0" t="n">
        <f aca="false">1</f>
        <v>1</v>
      </c>
      <c r="J4442" s="0" t="n">
        <f aca="false">E4442</f>
        <v>0.5</v>
      </c>
      <c r="K4442" s="0" t="n">
        <f aca="false">F4442</f>
        <v>-1</v>
      </c>
      <c r="L4442" s="0" t="n">
        <f aca="false">G4442</f>
        <v>0.75</v>
      </c>
      <c r="M4442" s="0" t="n">
        <f aca="false">H4442</f>
        <v>-1</v>
      </c>
      <c r="N4442" s="0" t="n">
        <f aca="false">E4442*F4442</f>
        <v>-0.5</v>
      </c>
      <c r="O4442" s="0" t="n">
        <f aca="false">E4442*G4442</f>
        <v>0.375</v>
      </c>
      <c r="P4442" s="0" t="n">
        <f aca="false">E4442*H4442</f>
        <v>-0.5</v>
      </c>
      <c r="Q4442" s="0" t="n">
        <f aca="false">F4442*G4442</f>
        <v>-0.75</v>
      </c>
      <c r="R4442" s="0" t="n">
        <f aca="false">F4442*H4442</f>
        <v>1</v>
      </c>
      <c r="S4442" s="0" t="n">
        <f aca="false">G4442*H4442</f>
        <v>-0.75</v>
      </c>
      <c r="T4442" s="0" t="n">
        <f aca="false">E4442*E4442</f>
        <v>0.25</v>
      </c>
      <c r="U4442" s="0" t="n">
        <f aca="false">F4442*F4442</f>
        <v>1</v>
      </c>
      <c r="V4442" s="0" t="n">
        <f aca="false">G4442*G4442</f>
        <v>0.5625</v>
      </c>
      <c r="W4442" s="0" t="n">
        <f aca="false">H4442*H4442</f>
        <v>1</v>
      </c>
      <c r="X4442" s="0" t="n">
        <f aca="false">SUMPRODUCT(I4442:W4442,_XtX!$B$96:$P$96)</f>
        <v>41.622514619883</v>
      </c>
      <c r="Y4442" s="0" t="n">
        <f aca="false">SUMPRODUCT(MMULT(I4442:W4442,_XtX!$B$78:$P$92),I4442:W4442)</f>
        <v>0.564984237938597</v>
      </c>
      <c r="Z4442" s="0" t="n">
        <f aca="false">04_回帰ANOVA!$K$19*04_回帰ANOVA!$K$14*SQRT(1+Y4442)</f>
        <v>1.63062229734503</v>
      </c>
      <c r="AA4442" s="0" t="n">
        <f aca="false">X4442-Z4442</f>
        <v>39.991892322538</v>
      </c>
      <c r="AB4442" s="0" t="n">
        <f aca="false">X4442+Z4442</f>
        <v>43.2531369172281</v>
      </c>
      <c r="AC4442" s="54" t="b">
        <f aca="false">AND(E4442&gt;=01_因子設定!$L$5-0.000000001,E4442&lt;=01_因子設定!$M$5+0.000000001,F4442&gt;=01_因子設定!$L$6-0.000000001,F4442&lt;=01_因子設定!$M$6+0.000000001,G4442&gt;=01_因子設定!$L$7-0.000000001,G4442&lt;=01_因子設定!$M$7+0.000000001,H4442&gt;=01_因子設定!$L$8-0.000000001,H4442&lt;=01_因子設定!$M$8+0.000000001,IF(01_因子設定!$B$20="Box-Behnken",E4442^2+F4442^2+G4442^2+H4442^2&lt;=2+0.000000001,TRUE()))</f>
        <v>1</v>
      </c>
      <c r="AD4442" s="55" t="n">
        <f aca="false">IF(AC4442,IF(01_因子設定!$B$13="最大化",AA4442-01_因子設定!$B$14,IF(01_因子設定!$B$13="最小化",01_因子設定!$B$15-AB4442,MIN(AA4442-01_因子設定!$B$14,01_因子設定!$B$15-AB4442))),-1E+030)</f>
        <v>-6.508107677462</v>
      </c>
      <c r="AE4442" s="55" t="n">
        <f aca="false">IF(AC4442,IF(01_因子設定!$B$13="最大化",X4442,IF(01_因子設定!$B$13="最小化",-X4442,-ABS(X4442-01_因子設定!$B$16))),-1E+030)</f>
        <v>41.622514619883</v>
      </c>
      <c r="AF4442" s="55" t="n">
        <f aca="false">AD4442+ROW()*0.000000001</f>
        <v>-6.508103235462</v>
      </c>
      <c r="AG4442" s="55" t="n">
        <f aca="false">AE4442+ROW()*0.000000001</f>
        <v>41.622519061883</v>
      </c>
    </row>
    <row r="4443" customFormat="false" ht="15" hidden="false" customHeight="false" outlineLevel="0" collapsed="false">
      <c r="A4443" s="0" t="n">
        <v>6</v>
      </c>
      <c r="B4443" s="0" t="n">
        <v>0</v>
      </c>
      <c r="C4443" s="0" t="n">
        <v>7</v>
      </c>
      <c r="D4443" s="0" t="n">
        <v>1</v>
      </c>
      <c r="E4443" s="0" t="n">
        <f aca="false">-1+A4443*0.25</f>
        <v>0.5</v>
      </c>
      <c r="F4443" s="0" t="n">
        <f aca="false">-1+B4443*0.25</f>
        <v>-1</v>
      </c>
      <c r="G4443" s="0" t="n">
        <f aca="false">-1+C4443*0.25</f>
        <v>0.75</v>
      </c>
      <c r="H4443" s="0" t="n">
        <f aca="false">-1+D4443*0.25</f>
        <v>-0.75</v>
      </c>
      <c r="I4443" s="0" t="n">
        <f aca="false">1</f>
        <v>1</v>
      </c>
      <c r="J4443" s="0" t="n">
        <f aca="false">E4443</f>
        <v>0.5</v>
      </c>
      <c r="K4443" s="0" t="n">
        <f aca="false">F4443</f>
        <v>-1</v>
      </c>
      <c r="L4443" s="0" t="n">
        <f aca="false">G4443</f>
        <v>0.75</v>
      </c>
      <c r="M4443" s="0" t="n">
        <f aca="false">H4443</f>
        <v>-0.75</v>
      </c>
      <c r="N4443" s="0" t="n">
        <f aca="false">E4443*F4443</f>
        <v>-0.5</v>
      </c>
      <c r="O4443" s="0" t="n">
        <f aca="false">E4443*G4443</f>
        <v>0.375</v>
      </c>
      <c r="P4443" s="0" t="n">
        <f aca="false">E4443*H4443</f>
        <v>-0.375</v>
      </c>
      <c r="Q4443" s="0" t="n">
        <f aca="false">F4443*G4443</f>
        <v>-0.75</v>
      </c>
      <c r="R4443" s="0" t="n">
        <f aca="false">F4443*H4443</f>
        <v>0.75</v>
      </c>
      <c r="S4443" s="0" t="n">
        <f aca="false">G4443*H4443</f>
        <v>-0.5625</v>
      </c>
      <c r="T4443" s="0" t="n">
        <f aca="false">E4443*E4443</f>
        <v>0.25</v>
      </c>
      <c r="U4443" s="0" t="n">
        <f aca="false">F4443*F4443</f>
        <v>1</v>
      </c>
      <c r="V4443" s="0" t="n">
        <f aca="false">G4443*G4443</f>
        <v>0.5625</v>
      </c>
      <c r="W4443" s="0" t="n">
        <f aca="false">H4443*H4443</f>
        <v>0.5625</v>
      </c>
      <c r="X4443" s="0" t="n">
        <f aca="false">SUMPRODUCT(I4443:W4443,_XtX!$B$96:$P$96)</f>
        <v>42.0138843201754</v>
      </c>
      <c r="Y4443" s="0" t="n">
        <f aca="false">SUMPRODUCT(MMULT(I4443:W4443,_XtX!$B$78:$P$92),I4443:W4443)</f>
        <v>0.431153771472953</v>
      </c>
      <c r="Z4443" s="0" t="n">
        <f aca="false">04_回帰ANOVA!$K$19*04_回帰ANOVA!$K$14*SQRT(1+Y4443)</f>
        <v>1.55934259562563</v>
      </c>
      <c r="AA4443" s="0" t="n">
        <f aca="false">X4443-Z4443</f>
        <v>40.4545417245498</v>
      </c>
      <c r="AB4443" s="0" t="n">
        <f aca="false">X4443+Z4443</f>
        <v>43.5732269158011</v>
      </c>
      <c r="AC4443" s="54" t="b">
        <f aca="false">AND(E4443&gt;=01_因子設定!$L$5-0.000000001,E4443&lt;=01_因子設定!$M$5+0.000000001,F4443&gt;=01_因子設定!$L$6-0.000000001,F4443&lt;=01_因子設定!$M$6+0.000000001,G4443&gt;=01_因子設定!$L$7-0.000000001,G4443&lt;=01_因子設定!$M$7+0.000000001,H4443&gt;=01_因子設定!$L$8-0.000000001,H4443&lt;=01_因子設定!$M$8+0.000000001,IF(01_因子設定!$B$20="Box-Behnken",E4443^2+F4443^2+G4443^2+H4443^2&lt;=2+0.000000001,TRUE()))</f>
        <v>1</v>
      </c>
      <c r="AD4443" s="55" t="n">
        <f aca="false">IF(AC4443,IF(01_因子設定!$B$13="最大化",AA4443-01_因子設定!$B$14,IF(01_因子設定!$B$13="最小化",01_因子設定!$B$15-AB4443,MIN(AA4443-01_因子設定!$B$14,01_因子設定!$B$15-AB4443))),-1E+030)</f>
        <v>-6.04545827545021</v>
      </c>
      <c r="AE4443" s="55" t="n">
        <f aca="false">IF(AC4443,IF(01_因子設定!$B$13="最大化",X4443,IF(01_因子設定!$B$13="最小化",-X4443,-ABS(X4443-01_因子設定!$B$16))),-1E+030)</f>
        <v>42.0138843201754</v>
      </c>
      <c r="AF4443" s="55" t="n">
        <f aca="false">AD4443+ROW()*0.000000001</f>
        <v>-6.04545383245021</v>
      </c>
      <c r="AG4443" s="55" t="n">
        <f aca="false">AE4443+ROW()*0.000000001</f>
        <v>42.0138887631754</v>
      </c>
    </row>
    <row r="4444" customFormat="false" ht="15" hidden="false" customHeight="false" outlineLevel="0" collapsed="false">
      <c r="A4444" s="0" t="n">
        <v>6</v>
      </c>
      <c r="B4444" s="0" t="n">
        <v>0</v>
      </c>
      <c r="C4444" s="0" t="n">
        <v>7</v>
      </c>
      <c r="D4444" s="0" t="n">
        <v>2</v>
      </c>
      <c r="E4444" s="0" t="n">
        <f aca="false">-1+A4444*0.25</f>
        <v>0.5</v>
      </c>
      <c r="F4444" s="0" t="n">
        <f aca="false">-1+B4444*0.25</f>
        <v>-1</v>
      </c>
      <c r="G4444" s="0" t="n">
        <f aca="false">-1+C4444*0.25</f>
        <v>0.75</v>
      </c>
      <c r="H4444" s="0" t="n">
        <f aca="false">-1+D4444*0.25</f>
        <v>-0.5</v>
      </c>
      <c r="I4444" s="0" t="n">
        <f aca="false">1</f>
        <v>1</v>
      </c>
      <c r="J4444" s="0" t="n">
        <f aca="false">E4444</f>
        <v>0.5</v>
      </c>
      <c r="K4444" s="0" t="n">
        <f aca="false">F4444</f>
        <v>-1</v>
      </c>
      <c r="L4444" s="0" t="n">
        <f aca="false">G4444</f>
        <v>0.75</v>
      </c>
      <c r="M4444" s="0" t="n">
        <f aca="false">H4444</f>
        <v>-0.5</v>
      </c>
      <c r="N4444" s="0" t="n">
        <f aca="false">E4444*F4444</f>
        <v>-0.5</v>
      </c>
      <c r="O4444" s="0" t="n">
        <f aca="false">E4444*G4444</f>
        <v>0.375</v>
      </c>
      <c r="P4444" s="0" t="n">
        <f aca="false">E4444*H4444</f>
        <v>-0.25</v>
      </c>
      <c r="Q4444" s="0" t="n">
        <f aca="false">F4444*G4444</f>
        <v>-0.75</v>
      </c>
      <c r="R4444" s="0" t="n">
        <f aca="false">F4444*H4444</f>
        <v>0.5</v>
      </c>
      <c r="S4444" s="0" t="n">
        <f aca="false">G4444*H4444</f>
        <v>-0.375</v>
      </c>
      <c r="T4444" s="0" t="n">
        <f aca="false">E4444*E4444</f>
        <v>0.25</v>
      </c>
      <c r="U4444" s="0" t="n">
        <f aca="false">F4444*F4444</f>
        <v>1</v>
      </c>
      <c r="V4444" s="0" t="n">
        <f aca="false">G4444*G4444</f>
        <v>0.5625</v>
      </c>
      <c r="W4444" s="0" t="n">
        <f aca="false">H4444*H4444</f>
        <v>0.25</v>
      </c>
      <c r="X4444" s="0" t="n">
        <f aca="false">SUMPRODUCT(I4444:W4444,_XtX!$B$96:$P$96)</f>
        <v>42.3574470029239</v>
      </c>
      <c r="Y4444" s="0" t="n">
        <f aca="false">SUMPRODUCT(MMULT(I4444:W4444,_XtX!$B$78:$P$92),I4444:W4444)</f>
        <v>0.42602110745614</v>
      </c>
      <c r="Z4444" s="0" t="n">
        <f aca="false">04_回帰ANOVA!$K$19*04_回帰ANOVA!$K$14*SQRT(1+Y4444)</f>
        <v>1.55654388501114</v>
      </c>
      <c r="AA4444" s="0" t="n">
        <f aca="false">X4444-Z4444</f>
        <v>40.8009031179128</v>
      </c>
      <c r="AB4444" s="0" t="n">
        <f aca="false">X4444+Z4444</f>
        <v>43.9139908879351</v>
      </c>
      <c r="AC4444" s="54" t="b">
        <f aca="false">AND(E4444&gt;=01_因子設定!$L$5-0.000000001,E4444&lt;=01_因子設定!$M$5+0.000000001,F4444&gt;=01_因子設定!$L$6-0.000000001,F4444&lt;=01_因子設定!$M$6+0.000000001,G4444&gt;=01_因子設定!$L$7-0.000000001,G4444&lt;=01_因子設定!$M$7+0.000000001,H4444&gt;=01_因子設定!$L$8-0.000000001,H4444&lt;=01_因子設定!$M$8+0.000000001,IF(01_因子設定!$B$20="Box-Behnken",E4444^2+F4444^2+G4444^2+H4444^2&lt;=2+0.000000001,TRUE()))</f>
        <v>1</v>
      </c>
      <c r="AD4444" s="55" t="n">
        <f aca="false">IF(AC4444,IF(01_因子設定!$B$13="最大化",AA4444-01_因子設定!$B$14,IF(01_因子設定!$B$13="最小化",01_因子設定!$B$15-AB4444,MIN(AA4444-01_因子設定!$B$14,01_因子設定!$B$15-AB4444))),-1E+030)</f>
        <v>-5.6990968820872</v>
      </c>
      <c r="AE4444" s="55" t="n">
        <f aca="false">IF(AC4444,IF(01_因子設定!$B$13="最大化",X4444,IF(01_因子設定!$B$13="最小化",-X4444,-ABS(X4444-01_因子設定!$B$16))),-1E+030)</f>
        <v>42.3574470029239</v>
      </c>
      <c r="AF4444" s="55" t="n">
        <f aca="false">AD4444+ROW()*0.000000001</f>
        <v>-5.6990924380872</v>
      </c>
      <c r="AG4444" s="55" t="n">
        <f aca="false">AE4444+ROW()*0.000000001</f>
        <v>42.3574514469239</v>
      </c>
    </row>
    <row r="4445" customFormat="false" ht="15" hidden="false" customHeight="false" outlineLevel="0" collapsed="false">
      <c r="A4445" s="0" t="n">
        <v>6</v>
      </c>
      <c r="B4445" s="0" t="n">
        <v>0</v>
      </c>
      <c r="C4445" s="0" t="n">
        <v>7</v>
      </c>
      <c r="D4445" s="0" t="n">
        <v>3</v>
      </c>
      <c r="E4445" s="0" t="n">
        <f aca="false">-1+A4445*0.25</f>
        <v>0.5</v>
      </c>
      <c r="F4445" s="0" t="n">
        <f aca="false">-1+B4445*0.25</f>
        <v>-1</v>
      </c>
      <c r="G4445" s="0" t="n">
        <f aca="false">-1+C4445*0.25</f>
        <v>0.75</v>
      </c>
      <c r="H4445" s="0" t="n">
        <f aca="false">-1+D4445*0.25</f>
        <v>-0.25</v>
      </c>
      <c r="I4445" s="0" t="n">
        <f aca="false">1</f>
        <v>1</v>
      </c>
      <c r="J4445" s="0" t="n">
        <f aca="false">E4445</f>
        <v>0.5</v>
      </c>
      <c r="K4445" s="0" t="n">
        <f aca="false">F4445</f>
        <v>-1</v>
      </c>
      <c r="L4445" s="0" t="n">
        <f aca="false">G4445</f>
        <v>0.75</v>
      </c>
      <c r="M4445" s="0" t="n">
        <f aca="false">H4445</f>
        <v>-0.25</v>
      </c>
      <c r="N4445" s="0" t="n">
        <f aca="false">E4445*F4445</f>
        <v>-0.5</v>
      </c>
      <c r="O4445" s="0" t="n">
        <f aca="false">E4445*G4445</f>
        <v>0.375</v>
      </c>
      <c r="P4445" s="0" t="n">
        <f aca="false">E4445*H4445</f>
        <v>-0.125</v>
      </c>
      <c r="Q4445" s="0" t="n">
        <f aca="false">F4445*G4445</f>
        <v>-0.75</v>
      </c>
      <c r="R4445" s="0" t="n">
        <f aca="false">F4445*H4445</f>
        <v>0.25</v>
      </c>
      <c r="S4445" s="0" t="n">
        <f aca="false">G4445*H4445</f>
        <v>-0.1875</v>
      </c>
      <c r="T4445" s="0" t="n">
        <f aca="false">E4445*E4445</f>
        <v>0.25</v>
      </c>
      <c r="U4445" s="0" t="n">
        <f aca="false">F4445*F4445</f>
        <v>1</v>
      </c>
      <c r="V4445" s="0" t="n">
        <f aca="false">G4445*G4445</f>
        <v>0.5625</v>
      </c>
      <c r="W4445" s="0" t="n">
        <f aca="false">H4445*H4445</f>
        <v>0.0625</v>
      </c>
      <c r="X4445" s="0" t="n">
        <f aca="false">SUMPRODUCT(I4445:W4445,_XtX!$B$96:$P$96)</f>
        <v>42.6532026681286</v>
      </c>
      <c r="Y4445" s="0" t="n">
        <f aca="false">SUMPRODUCT(MMULT(I4445:W4445,_XtX!$B$78:$P$92),I4445:W4445)</f>
        <v>0.459125719572369</v>
      </c>
      <c r="Z4445" s="0" t="n">
        <f aca="false">04_回帰ANOVA!$K$19*04_回帰ANOVA!$K$14*SQRT(1+Y4445)</f>
        <v>1.57450755575573</v>
      </c>
      <c r="AA4445" s="0" t="n">
        <f aca="false">X4445-Z4445</f>
        <v>41.0786951123729</v>
      </c>
      <c r="AB4445" s="0" t="n">
        <f aca="false">X4445+Z4445</f>
        <v>44.2277102238843</v>
      </c>
      <c r="AC4445" s="54" t="b">
        <f aca="false">AND(E4445&gt;=01_因子設定!$L$5-0.000000001,E4445&lt;=01_因子設定!$M$5+0.000000001,F4445&gt;=01_因子設定!$L$6-0.000000001,F4445&lt;=01_因子設定!$M$6+0.000000001,G4445&gt;=01_因子設定!$L$7-0.000000001,G4445&lt;=01_因子設定!$M$7+0.000000001,H4445&gt;=01_因子設定!$L$8-0.000000001,H4445&lt;=01_因子設定!$M$8+0.000000001,IF(01_因子設定!$B$20="Box-Behnken",E4445^2+F4445^2+G4445^2+H4445^2&lt;=2+0.000000001,TRUE()))</f>
        <v>1</v>
      </c>
      <c r="AD4445" s="55" t="n">
        <f aca="false">IF(AC4445,IF(01_因子設定!$B$13="最大化",AA4445-01_因子設定!$B$14,IF(01_因子設定!$B$13="最小化",01_因子設定!$B$15-AB4445,MIN(AA4445-01_因子設定!$B$14,01_因子設定!$B$15-AB4445))),-1E+030)</f>
        <v>-5.42130488762712</v>
      </c>
      <c r="AE4445" s="55" t="n">
        <f aca="false">IF(AC4445,IF(01_因子設定!$B$13="最大化",X4445,IF(01_因子設定!$B$13="最小化",-X4445,-ABS(X4445-01_因子設定!$B$16))),-1E+030)</f>
        <v>42.6532026681286</v>
      </c>
      <c r="AF4445" s="55" t="n">
        <f aca="false">AD4445+ROW()*0.000000001</f>
        <v>-5.42130044262712</v>
      </c>
      <c r="AG4445" s="55" t="n">
        <f aca="false">AE4445+ROW()*0.000000001</f>
        <v>42.6532071131286</v>
      </c>
    </row>
    <row r="4446" customFormat="false" ht="15" hidden="false" customHeight="false" outlineLevel="0" collapsed="false">
      <c r="A4446" s="0" t="n">
        <v>6</v>
      </c>
      <c r="B4446" s="0" t="n">
        <v>0</v>
      </c>
      <c r="C4446" s="0" t="n">
        <v>7</v>
      </c>
      <c r="D4446" s="0" t="n">
        <v>4</v>
      </c>
      <c r="E4446" s="0" t="n">
        <f aca="false">-1+A4446*0.25</f>
        <v>0.5</v>
      </c>
      <c r="F4446" s="0" t="n">
        <f aca="false">-1+B4446*0.25</f>
        <v>-1</v>
      </c>
      <c r="G4446" s="0" t="n">
        <f aca="false">-1+C4446*0.25</f>
        <v>0.75</v>
      </c>
      <c r="H4446" s="0" t="n">
        <f aca="false">-1+D4446*0.25</f>
        <v>0</v>
      </c>
      <c r="I4446" s="0" t="n">
        <f aca="false">1</f>
        <v>1</v>
      </c>
      <c r="J4446" s="0" t="n">
        <f aca="false">E4446</f>
        <v>0.5</v>
      </c>
      <c r="K4446" s="0" t="n">
        <f aca="false">F4446</f>
        <v>-1</v>
      </c>
      <c r="L4446" s="0" t="n">
        <f aca="false">G4446</f>
        <v>0.75</v>
      </c>
      <c r="M4446" s="0" t="n">
        <f aca="false">H4446</f>
        <v>0</v>
      </c>
      <c r="N4446" s="0" t="n">
        <f aca="false">E4446*F4446</f>
        <v>-0.5</v>
      </c>
      <c r="O4446" s="0" t="n">
        <f aca="false">E4446*G4446</f>
        <v>0.375</v>
      </c>
      <c r="P4446" s="0" t="n">
        <f aca="false">E4446*H4446</f>
        <v>0</v>
      </c>
      <c r="Q4446" s="0" t="n">
        <f aca="false">F4446*G4446</f>
        <v>-0.75</v>
      </c>
      <c r="R4446" s="0" t="n">
        <f aca="false">F4446*H4446</f>
        <v>-0</v>
      </c>
      <c r="S4446" s="0" t="n">
        <f aca="false">G4446*H4446</f>
        <v>0</v>
      </c>
      <c r="T4446" s="0" t="n">
        <f aca="false">E4446*E4446</f>
        <v>0.25</v>
      </c>
      <c r="U4446" s="0" t="n">
        <f aca="false">F4446*F4446</f>
        <v>1</v>
      </c>
      <c r="V4446" s="0" t="n">
        <f aca="false">G4446*G4446</f>
        <v>0.5625</v>
      </c>
      <c r="W4446" s="0" t="n">
        <f aca="false">H4446*H4446</f>
        <v>0</v>
      </c>
      <c r="X4446" s="0" t="n">
        <f aca="false">SUMPRODUCT(I4446:W4446,_XtX!$B$96:$P$96)</f>
        <v>42.9011513157894</v>
      </c>
      <c r="Y4446" s="0" t="n">
        <f aca="false">SUMPRODUCT(MMULT(I4446:W4446,_XtX!$B$78:$P$92),I4446:W4446)</f>
        <v>0.476191292032164</v>
      </c>
      <c r="Z4446" s="0" t="n">
        <f aca="false">04_回帰ANOVA!$K$19*04_回帰ANOVA!$K$14*SQRT(1+Y4446)</f>
        <v>1.58368831471718</v>
      </c>
      <c r="AA4446" s="0" t="n">
        <f aca="false">X4446-Z4446</f>
        <v>41.3174630010723</v>
      </c>
      <c r="AB4446" s="0" t="n">
        <f aca="false">X4446+Z4446</f>
        <v>44.4848396305066</v>
      </c>
      <c r="AC4446" s="54" t="b">
        <f aca="false">AND(E4446&gt;=01_因子設定!$L$5-0.000000001,E4446&lt;=01_因子設定!$M$5+0.000000001,F4446&gt;=01_因子設定!$L$6-0.000000001,F4446&lt;=01_因子設定!$M$6+0.000000001,G4446&gt;=01_因子設定!$L$7-0.000000001,G4446&lt;=01_因子設定!$M$7+0.000000001,H4446&gt;=01_因子設定!$L$8-0.000000001,H4446&lt;=01_因子設定!$M$8+0.000000001,IF(01_因子設定!$B$20="Box-Behnken",E4446^2+F4446^2+G4446^2+H4446^2&lt;=2+0.000000001,TRUE()))</f>
        <v>1</v>
      </c>
      <c r="AD4446" s="55" t="n">
        <f aca="false">IF(AC4446,IF(01_因子設定!$B$13="最大化",AA4446-01_因子設定!$B$14,IF(01_因子設定!$B$13="最小化",01_因子設定!$B$15-AB4446,MIN(AA4446-01_因子設定!$B$14,01_因子設定!$B$15-AB4446))),-1E+030)</f>
        <v>-5.18253699892775</v>
      </c>
      <c r="AE4446" s="55" t="n">
        <f aca="false">IF(AC4446,IF(01_因子設定!$B$13="最大化",X4446,IF(01_因子設定!$B$13="最小化",-X4446,-ABS(X4446-01_因子設定!$B$16))),-1E+030)</f>
        <v>42.9011513157894</v>
      </c>
      <c r="AF4446" s="55" t="n">
        <f aca="false">AD4446+ROW()*0.000000001</f>
        <v>-5.18253255292775</v>
      </c>
      <c r="AG4446" s="55" t="n">
        <f aca="false">AE4446+ROW()*0.000000001</f>
        <v>42.9011557617894</v>
      </c>
    </row>
    <row r="4447" customFormat="false" ht="15" hidden="false" customHeight="false" outlineLevel="0" collapsed="false">
      <c r="A4447" s="0" t="n">
        <v>6</v>
      </c>
      <c r="B4447" s="0" t="n">
        <v>0</v>
      </c>
      <c r="C4447" s="0" t="n">
        <v>7</v>
      </c>
      <c r="D4447" s="0" t="n">
        <v>5</v>
      </c>
      <c r="E4447" s="0" t="n">
        <f aca="false">-1+A4447*0.25</f>
        <v>0.5</v>
      </c>
      <c r="F4447" s="0" t="n">
        <f aca="false">-1+B4447*0.25</f>
        <v>-1</v>
      </c>
      <c r="G4447" s="0" t="n">
        <f aca="false">-1+C4447*0.25</f>
        <v>0.75</v>
      </c>
      <c r="H4447" s="0" t="n">
        <f aca="false">-1+D4447*0.25</f>
        <v>0.25</v>
      </c>
      <c r="I4447" s="0" t="n">
        <f aca="false">1</f>
        <v>1</v>
      </c>
      <c r="J4447" s="0" t="n">
        <f aca="false">E4447</f>
        <v>0.5</v>
      </c>
      <c r="K4447" s="0" t="n">
        <f aca="false">F4447</f>
        <v>-1</v>
      </c>
      <c r="L4447" s="0" t="n">
        <f aca="false">G4447</f>
        <v>0.75</v>
      </c>
      <c r="M4447" s="0" t="n">
        <f aca="false">H4447</f>
        <v>0.25</v>
      </c>
      <c r="N4447" s="0" t="n">
        <f aca="false">E4447*F4447</f>
        <v>-0.5</v>
      </c>
      <c r="O4447" s="0" t="n">
        <f aca="false">E4447*G4447</f>
        <v>0.375</v>
      </c>
      <c r="P4447" s="0" t="n">
        <f aca="false">E4447*H4447</f>
        <v>0.125</v>
      </c>
      <c r="Q4447" s="0" t="n">
        <f aca="false">F4447*G4447</f>
        <v>-0.75</v>
      </c>
      <c r="R4447" s="0" t="n">
        <f aca="false">F4447*H4447</f>
        <v>-0.25</v>
      </c>
      <c r="S4447" s="0" t="n">
        <f aca="false">G4447*H4447</f>
        <v>0.1875</v>
      </c>
      <c r="T4447" s="0" t="n">
        <f aca="false">E4447*E4447</f>
        <v>0.25</v>
      </c>
      <c r="U4447" s="0" t="n">
        <f aca="false">F4447*F4447</f>
        <v>1</v>
      </c>
      <c r="V4447" s="0" t="n">
        <f aca="false">G4447*G4447</f>
        <v>0.5625</v>
      </c>
      <c r="W4447" s="0" t="n">
        <f aca="false">H4447*H4447</f>
        <v>0.0625</v>
      </c>
      <c r="X4447" s="0" t="n">
        <f aca="false">SUMPRODUCT(I4447:W4447,_XtX!$B$96:$P$96)</f>
        <v>43.1012929459064</v>
      </c>
      <c r="Y4447" s="0" t="n">
        <f aca="false">SUMPRODUCT(MMULT(I4447:W4447,_XtX!$B$78:$P$92),I4447:W4447)</f>
        <v>0.459125719572369</v>
      </c>
      <c r="Z4447" s="0" t="n">
        <f aca="false">04_回帰ANOVA!$K$19*04_回帰ANOVA!$K$14*SQRT(1+Y4447)</f>
        <v>1.57450755575573</v>
      </c>
      <c r="AA4447" s="0" t="n">
        <f aca="false">X4447-Z4447</f>
        <v>41.5267853901507</v>
      </c>
      <c r="AB4447" s="0" t="n">
        <f aca="false">X4447+Z4447</f>
        <v>44.6758005016621</v>
      </c>
      <c r="AC4447" s="54" t="b">
        <f aca="false">AND(E4447&gt;=01_因子設定!$L$5-0.000000001,E4447&lt;=01_因子設定!$M$5+0.000000001,F4447&gt;=01_因子設定!$L$6-0.000000001,F4447&lt;=01_因子設定!$M$6+0.000000001,G4447&gt;=01_因子設定!$L$7-0.000000001,G4447&lt;=01_因子設定!$M$7+0.000000001,H4447&gt;=01_因子設定!$L$8-0.000000001,H4447&lt;=01_因子設定!$M$8+0.000000001,IF(01_因子設定!$B$20="Box-Behnken",E4447^2+F4447^2+G4447^2+H4447^2&lt;=2+0.000000001,TRUE()))</f>
        <v>1</v>
      </c>
      <c r="AD4447" s="55" t="n">
        <f aca="false">IF(AC4447,IF(01_因子設定!$B$13="最大化",AA4447-01_因子設定!$B$14,IF(01_因子設定!$B$13="最小化",01_因子設定!$B$15-AB4447,MIN(AA4447-01_因子設定!$B$14,01_因子設定!$B$15-AB4447))),-1E+030)</f>
        <v>-4.97321460984934</v>
      </c>
      <c r="AE4447" s="55" t="n">
        <f aca="false">IF(AC4447,IF(01_因子設定!$B$13="最大化",X4447,IF(01_因子設定!$B$13="最小化",-X4447,-ABS(X4447-01_因子設定!$B$16))),-1E+030)</f>
        <v>43.1012929459064</v>
      </c>
      <c r="AF4447" s="55" t="n">
        <f aca="false">AD4447+ROW()*0.000000001</f>
        <v>-4.97321016284934</v>
      </c>
      <c r="AG4447" s="55" t="n">
        <f aca="false">AE4447+ROW()*0.000000001</f>
        <v>43.1012973929064</v>
      </c>
    </row>
    <row r="4448" customFormat="false" ht="15" hidden="false" customHeight="false" outlineLevel="0" collapsed="false">
      <c r="A4448" s="0" t="n">
        <v>6</v>
      </c>
      <c r="B4448" s="0" t="n">
        <v>0</v>
      </c>
      <c r="C4448" s="0" t="n">
        <v>7</v>
      </c>
      <c r="D4448" s="0" t="n">
        <v>6</v>
      </c>
      <c r="E4448" s="0" t="n">
        <f aca="false">-1+A4448*0.25</f>
        <v>0.5</v>
      </c>
      <c r="F4448" s="0" t="n">
        <f aca="false">-1+B4448*0.25</f>
        <v>-1</v>
      </c>
      <c r="G4448" s="0" t="n">
        <f aca="false">-1+C4448*0.25</f>
        <v>0.75</v>
      </c>
      <c r="H4448" s="0" t="n">
        <f aca="false">-1+D4448*0.25</f>
        <v>0.5</v>
      </c>
      <c r="I4448" s="0" t="n">
        <f aca="false">1</f>
        <v>1</v>
      </c>
      <c r="J4448" s="0" t="n">
        <f aca="false">E4448</f>
        <v>0.5</v>
      </c>
      <c r="K4448" s="0" t="n">
        <f aca="false">F4448</f>
        <v>-1</v>
      </c>
      <c r="L4448" s="0" t="n">
        <f aca="false">G4448</f>
        <v>0.75</v>
      </c>
      <c r="M4448" s="0" t="n">
        <f aca="false">H4448</f>
        <v>0.5</v>
      </c>
      <c r="N4448" s="0" t="n">
        <f aca="false">E4448*F4448</f>
        <v>-0.5</v>
      </c>
      <c r="O4448" s="0" t="n">
        <f aca="false">E4448*G4448</f>
        <v>0.375</v>
      </c>
      <c r="P4448" s="0" t="n">
        <f aca="false">E4448*H4448</f>
        <v>0.25</v>
      </c>
      <c r="Q4448" s="0" t="n">
        <f aca="false">F4448*G4448</f>
        <v>-0.75</v>
      </c>
      <c r="R4448" s="0" t="n">
        <f aca="false">F4448*H4448</f>
        <v>-0.5</v>
      </c>
      <c r="S4448" s="0" t="n">
        <f aca="false">G4448*H4448</f>
        <v>0.375</v>
      </c>
      <c r="T4448" s="0" t="n">
        <f aca="false">E4448*E4448</f>
        <v>0.25</v>
      </c>
      <c r="U4448" s="0" t="n">
        <f aca="false">F4448*F4448</f>
        <v>1</v>
      </c>
      <c r="V4448" s="0" t="n">
        <f aca="false">G4448*G4448</f>
        <v>0.5625</v>
      </c>
      <c r="W4448" s="0" t="n">
        <f aca="false">H4448*H4448</f>
        <v>0.25</v>
      </c>
      <c r="X4448" s="0" t="n">
        <f aca="false">SUMPRODUCT(I4448:W4448,_XtX!$B$96:$P$96)</f>
        <v>43.2536275584795</v>
      </c>
      <c r="Y4448" s="0" t="n">
        <f aca="false">SUMPRODUCT(MMULT(I4448:W4448,_XtX!$B$78:$P$92),I4448:W4448)</f>
        <v>0.42602110745614</v>
      </c>
      <c r="Z4448" s="0" t="n">
        <f aca="false">04_回帰ANOVA!$K$19*04_回帰ANOVA!$K$14*SQRT(1+Y4448)</f>
        <v>1.55654388501114</v>
      </c>
      <c r="AA4448" s="0" t="n">
        <f aca="false">X4448-Z4448</f>
        <v>41.6970836734684</v>
      </c>
      <c r="AB4448" s="0" t="n">
        <f aca="false">X4448+Z4448</f>
        <v>44.8101714434906</v>
      </c>
      <c r="AC4448" s="54" t="b">
        <f aca="false">AND(E4448&gt;=01_因子設定!$L$5-0.000000001,E4448&lt;=01_因子設定!$M$5+0.000000001,F4448&gt;=01_因子設定!$L$6-0.000000001,F4448&lt;=01_因子設定!$M$6+0.000000001,G4448&gt;=01_因子設定!$L$7-0.000000001,G4448&lt;=01_因子設定!$M$7+0.000000001,H4448&gt;=01_因子設定!$L$8-0.000000001,H4448&lt;=01_因子設定!$M$8+0.000000001,IF(01_因子設定!$B$20="Box-Behnken",E4448^2+F4448^2+G4448^2+H4448^2&lt;=2+0.000000001,TRUE()))</f>
        <v>1</v>
      </c>
      <c r="AD4448" s="55" t="n">
        <f aca="false">IF(AC4448,IF(01_因子設定!$B$13="最大化",AA4448-01_因子設定!$B$14,IF(01_因子設定!$B$13="最小化",01_因子設定!$B$15-AB4448,MIN(AA4448-01_因子設定!$B$14,01_因子設定!$B$15-AB4448))),-1E+030)</f>
        <v>-4.80291632653164</v>
      </c>
      <c r="AE4448" s="55" t="n">
        <f aca="false">IF(AC4448,IF(01_因子設定!$B$13="最大化",X4448,IF(01_因子設定!$B$13="最小化",-X4448,-ABS(X4448-01_因子設定!$B$16))),-1E+030)</f>
        <v>43.2536275584795</v>
      </c>
      <c r="AF4448" s="55" t="n">
        <f aca="false">AD4448+ROW()*0.000000001</f>
        <v>-4.80291187853164</v>
      </c>
      <c r="AG4448" s="55" t="n">
        <f aca="false">AE4448+ROW()*0.000000001</f>
        <v>43.2536320064795</v>
      </c>
    </row>
    <row r="4449" customFormat="false" ht="15" hidden="false" customHeight="false" outlineLevel="0" collapsed="false">
      <c r="A4449" s="0" t="n">
        <v>6</v>
      </c>
      <c r="B4449" s="0" t="n">
        <v>0</v>
      </c>
      <c r="C4449" s="0" t="n">
        <v>7</v>
      </c>
      <c r="D4449" s="0" t="n">
        <v>7</v>
      </c>
      <c r="E4449" s="0" t="n">
        <f aca="false">-1+A4449*0.25</f>
        <v>0.5</v>
      </c>
      <c r="F4449" s="0" t="n">
        <f aca="false">-1+B4449*0.25</f>
        <v>-1</v>
      </c>
      <c r="G4449" s="0" t="n">
        <f aca="false">-1+C4449*0.25</f>
        <v>0.75</v>
      </c>
      <c r="H4449" s="0" t="n">
        <f aca="false">-1+D4449*0.25</f>
        <v>0.75</v>
      </c>
      <c r="I4449" s="0" t="n">
        <f aca="false">1</f>
        <v>1</v>
      </c>
      <c r="J4449" s="0" t="n">
        <f aca="false">E4449</f>
        <v>0.5</v>
      </c>
      <c r="K4449" s="0" t="n">
        <f aca="false">F4449</f>
        <v>-1</v>
      </c>
      <c r="L4449" s="0" t="n">
        <f aca="false">G4449</f>
        <v>0.75</v>
      </c>
      <c r="M4449" s="0" t="n">
        <f aca="false">H4449</f>
        <v>0.75</v>
      </c>
      <c r="N4449" s="0" t="n">
        <f aca="false">E4449*F4449</f>
        <v>-0.5</v>
      </c>
      <c r="O4449" s="0" t="n">
        <f aca="false">E4449*G4449</f>
        <v>0.375</v>
      </c>
      <c r="P4449" s="0" t="n">
        <f aca="false">E4449*H4449</f>
        <v>0.375</v>
      </c>
      <c r="Q4449" s="0" t="n">
        <f aca="false">F4449*G4449</f>
        <v>-0.75</v>
      </c>
      <c r="R4449" s="0" t="n">
        <f aca="false">F4449*H4449</f>
        <v>-0.75</v>
      </c>
      <c r="S4449" s="0" t="n">
        <f aca="false">G4449*H4449</f>
        <v>0.5625</v>
      </c>
      <c r="T4449" s="0" t="n">
        <f aca="false">E4449*E4449</f>
        <v>0.25</v>
      </c>
      <c r="U4449" s="0" t="n">
        <f aca="false">F4449*F4449</f>
        <v>1</v>
      </c>
      <c r="V4449" s="0" t="n">
        <f aca="false">G4449*G4449</f>
        <v>0.5625</v>
      </c>
      <c r="W4449" s="0" t="n">
        <f aca="false">H4449*H4449</f>
        <v>0.5625</v>
      </c>
      <c r="X4449" s="0" t="n">
        <f aca="false">SUMPRODUCT(I4449:W4449,_XtX!$B$96:$P$96)</f>
        <v>43.3581551535088</v>
      </c>
      <c r="Y4449" s="0" t="n">
        <f aca="false">SUMPRODUCT(MMULT(I4449:W4449,_XtX!$B$78:$P$92),I4449:W4449)</f>
        <v>0.431153771472953</v>
      </c>
      <c r="Z4449" s="0" t="n">
        <f aca="false">04_回帰ANOVA!$K$19*04_回帰ANOVA!$K$14*SQRT(1+Y4449)</f>
        <v>1.55934259562563</v>
      </c>
      <c r="AA4449" s="0" t="n">
        <f aca="false">X4449-Z4449</f>
        <v>41.7988125578831</v>
      </c>
      <c r="AB4449" s="0" t="n">
        <f aca="false">X4449+Z4449</f>
        <v>44.9174977491344</v>
      </c>
      <c r="AC4449" s="54" t="b">
        <f aca="false">AND(E4449&gt;=01_因子設定!$L$5-0.000000001,E4449&lt;=01_因子設定!$M$5+0.000000001,F4449&gt;=01_因子設定!$L$6-0.000000001,F4449&lt;=01_因子設定!$M$6+0.000000001,G4449&gt;=01_因子設定!$L$7-0.000000001,G4449&lt;=01_因子設定!$M$7+0.000000001,H4449&gt;=01_因子設定!$L$8-0.000000001,H4449&lt;=01_因子設定!$M$8+0.000000001,IF(01_因子設定!$B$20="Box-Behnken",E4449^2+F4449^2+G4449^2+H4449^2&lt;=2+0.000000001,TRUE()))</f>
        <v>1</v>
      </c>
      <c r="AD4449" s="55" t="n">
        <f aca="false">IF(AC4449,IF(01_因子設定!$B$13="最大化",AA4449-01_因子設定!$B$14,IF(01_因子設定!$B$13="最小化",01_因子設定!$B$15-AB4449,MIN(AA4449-01_因子設定!$B$14,01_因子設定!$B$15-AB4449))),-1E+030)</f>
        <v>-4.70118744211688</v>
      </c>
      <c r="AE4449" s="55" t="n">
        <f aca="false">IF(AC4449,IF(01_因子設定!$B$13="最大化",X4449,IF(01_因子設定!$B$13="最小化",-X4449,-ABS(X4449-01_因子設定!$B$16))),-1E+030)</f>
        <v>43.3581551535088</v>
      </c>
      <c r="AF4449" s="55" t="n">
        <f aca="false">AD4449+ROW()*0.000000001</f>
        <v>-4.70118299311688</v>
      </c>
      <c r="AG4449" s="55" t="n">
        <f aca="false">AE4449+ROW()*0.000000001</f>
        <v>43.3581596025088</v>
      </c>
    </row>
    <row r="4450" customFormat="false" ht="15" hidden="false" customHeight="false" outlineLevel="0" collapsed="false">
      <c r="A4450" s="0" t="n">
        <v>6</v>
      </c>
      <c r="B4450" s="0" t="n">
        <v>0</v>
      </c>
      <c r="C4450" s="0" t="n">
        <v>7</v>
      </c>
      <c r="D4450" s="0" t="n">
        <v>8</v>
      </c>
      <c r="E4450" s="0" t="n">
        <f aca="false">-1+A4450*0.25</f>
        <v>0.5</v>
      </c>
      <c r="F4450" s="0" t="n">
        <f aca="false">-1+B4450*0.25</f>
        <v>-1</v>
      </c>
      <c r="G4450" s="0" t="n">
        <f aca="false">-1+C4450*0.25</f>
        <v>0.75</v>
      </c>
      <c r="H4450" s="0" t="n">
        <f aca="false">-1+D4450*0.25</f>
        <v>1</v>
      </c>
      <c r="I4450" s="0" t="n">
        <f aca="false">1</f>
        <v>1</v>
      </c>
      <c r="J4450" s="0" t="n">
        <f aca="false">E4450</f>
        <v>0.5</v>
      </c>
      <c r="K4450" s="0" t="n">
        <f aca="false">F4450</f>
        <v>-1</v>
      </c>
      <c r="L4450" s="0" t="n">
        <f aca="false">G4450</f>
        <v>0.75</v>
      </c>
      <c r="M4450" s="0" t="n">
        <f aca="false">H4450</f>
        <v>1</v>
      </c>
      <c r="N4450" s="0" t="n">
        <f aca="false">E4450*F4450</f>
        <v>-0.5</v>
      </c>
      <c r="O4450" s="0" t="n">
        <f aca="false">E4450*G4450</f>
        <v>0.375</v>
      </c>
      <c r="P4450" s="0" t="n">
        <f aca="false">E4450*H4450</f>
        <v>0.5</v>
      </c>
      <c r="Q4450" s="0" t="n">
        <f aca="false">F4450*G4450</f>
        <v>-0.75</v>
      </c>
      <c r="R4450" s="0" t="n">
        <f aca="false">F4450*H4450</f>
        <v>-1</v>
      </c>
      <c r="S4450" s="0" t="n">
        <f aca="false">G4450*H4450</f>
        <v>0.75</v>
      </c>
      <c r="T4450" s="0" t="n">
        <f aca="false">E4450*E4450</f>
        <v>0.25</v>
      </c>
      <c r="U4450" s="0" t="n">
        <f aca="false">F4450*F4450</f>
        <v>1</v>
      </c>
      <c r="V4450" s="0" t="n">
        <f aca="false">G4450*G4450</f>
        <v>0.5625</v>
      </c>
      <c r="W4450" s="0" t="n">
        <f aca="false">H4450*H4450</f>
        <v>1</v>
      </c>
      <c r="X4450" s="0" t="n">
        <f aca="false">SUMPRODUCT(I4450:W4450,_XtX!$B$96:$P$96)</f>
        <v>43.4148757309942</v>
      </c>
      <c r="Y4450" s="0" t="n">
        <f aca="false">SUMPRODUCT(MMULT(I4450:W4450,_XtX!$B$78:$P$92),I4450:W4450)</f>
        <v>0.564984237938597</v>
      </c>
      <c r="Z4450" s="0" t="n">
        <f aca="false">04_回帰ANOVA!$K$19*04_回帰ANOVA!$K$14*SQRT(1+Y4450)</f>
        <v>1.63062229734503</v>
      </c>
      <c r="AA4450" s="0" t="n">
        <f aca="false">X4450-Z4450</f>
        <v>41.7842534336491</v>
      </c>
      <c r="AB4450" s="0" t="n">
        <f aca="false">X4450+Z4450</f>
        <v>45.0454980283392</v>
      </c>
      <c r="AC4450" s="54" t="b">
        <f aca="false">AND(E4450&gt;=01_因子設定!$L$5-0.000000001,E4450&lt;=01_因子設定!$M$5+0.000000001,F4450&gt;=01_因子設定!$L$6-0.000000001,F4450&lt;=01_因子設定!$M$6+0.000000001,G4450&gt;=01_因子設定!$L$7-0.000000001,G4450&lt;=01_因子設定!$M$7+0.000000001,H4450&gt;=01_因子設定!$L$8-0.000000001,H4450&lt;=01_因子設定!$M$8+0.000000001,IF(01_因子設定!$B$20="Box-Behnken",E4450^2+F4450^2+G4450^2+H4450^2&lt;=2+0.000000001,TRUE()))</f>
        <v>1</v>
      </c>
      <c r="AD4450" s="55" t="n">
        <f aca="false">IF(AC4450,IF(01_因子設定!$B$13="最大化",AA4450-01_因子設定!$B$14,IF(01_因子設定!$B$13="最小化",01_因子設定!$B$15-AB4450,MIN(AA4450-01_因子設定!$B$14,01_因子設定!$B$15-AB4450))),-1E+030)</f>
        <v>-4.71574656635089</v>
      </c>
      <c r="AE4450" s="55" t="n">
        <f aca="false">IF(AC4450,IF(01_因子設定!$B$13="最大化",X4450,IF(01_因子設定!$B$13="最小化",-X4450,-ABS(X4450-01_因子設定!$B$16))),-1E+030)</f>
        <v>43.4148757309942</v>
      </c>
      <c r="AF4450" s="55" t="n">
        <f aca="false">AD4450+ROW()*0.000000001</f>
        <v>-4.71574211635089</v>
      </c>
      <c r="AG4450" s="55" t="n">
        <f aca="false">AE4450+ROW()*0.000000001</f>
        <v>43.4148801809941</v>
      </c>
    </row>
    <row r="4451" customFormat="false" ht="15" hidden="false" customHeight="false" outlineLevel="0" collapsed="false">
      <c r="A4451" s="0" t="n">
        <v>6</v>
      </c>
      <c r="B4451" s="0" t="n">
        <v>0</v>
      </c>
      <c r="C4451" s="0" t="n">
        <v>8</v>
      </c>
      <c r="D4451" s="0" t="n">
        <v>0</v>
      </c>
      <c r="E4451" s="0" t="n">
        <f aca="false">-1+A4451*0.25</f>
        <v>0.5</v>
      </c>
      <c r="F4451" s="0" t="n">
        <f aca="false">-1+B4451*0.25</f>
        <v>-1</v>
      </c>
      <c r="G4451" s="0" t="n">
        <f aca="false">-1+C4451*0.25</f>
        <v>1</v>
      </c>
      <c r="H4451" s="0" t="n">
        <f aca="false">-1+D4451*0.25</f>
        <v>-1</v>
      </c>
      <c r="I4451" s="0" t="n">
        <f aca="false">1</f>
        <v>1</v>
      </c>
      <c r="J4451" s="0" t="n">
        <f aca="false">E4451</f>
        <v>0.5</v>
      </c>
      <c r="K4451" s="0" t="n">
        <f aca="false">F4451</f>
        <v>-1</v>
      </c>
      <c r="L4451" s="0" t="n">
        <f aca="false">G4451</f>
        <v>1</v>
      </c>
      <c r="M4451" s="0" t="n">
        <f aca="false">H4451</f>
        <v>-1</v>
      </c>
      <c r="N4451" s="0" t="n">
        <f aca="false">E4451*F4451</f>
        <v>-0.5</v>
      </c>
      <c r="O4451" s="0" t="n">
        <f aca="false">E4451*G4451</f>
        <v>0.5</v>
      </c>
      <c r="P4451" s="0" t="n">
        <f aca="false">E4451*H4451</f>
        <v>-0.5</v>
      </c>
      <c r="Q4451" s="0" t="n">
        <f aca="false">F4451*G4451</f>
        <v>-1</v>
      </c>
      <c r="R4451" s="0" t="n">
        <f aca="false">F4451*H4451</f>
        <v>1</v>
      </c>
      <c r="S4451" s="0" t="n">
        <f aca="false">G4451*H4451</f>
        <v>-1</v>
      </c>
      <c r="T4451" s="0" t="n">
        <f aca="false">E4451*E4451</f>
        <v>0.25</v>
      </c>
      <c r="U4451" s="0" t="n">
        <f aca="false">F4451*F4451</f>
        <v>1</v>
      </c>
      <c r="V4451" s="0" t="n">
        <f aca="false">G4451*G4451</f>
        <v>1</v>
      </c>
      <c r="W4451" s="0" t="n">
        <f aca="false">H4451*H4451</f>
        <v>1</v>
      </c>
      <c r="X4451" s="0" t="n">
        <f aca="false">SUMPRODUCT(I4451:W4451,_XtX!$B$96:$P$96)</f>
        <v>41.3385233918129</v>
      </c>
      <c r="Y4451" s="0" t="n">
        <f aca="false">SUMPRODUCT(MMULT(I4451:W4451,_XtX!$B$78:$P$92),I4451:W4451)</f>
        <v>0.667123538011696</v>
      </c>
      <c r="Z4451" s="0" t="n">
        <f aca="false">04_回帰ANOVA!$K$19*04_回帰ANOVA!$K$14*SQRT(1+Y4451)</f>
        <v>1.68299290213005</v>
      </c>
      <c r="AA4451" s="0" t="n">
        <f aca="false">X4451-Z4451</f>
        <v>39.6555304896828</v>
      </c>
      <c r="AB4451" s="0" t="n">
        <f aca="false">X4451+Z4451</f>
        <v>43.0215162939429</v>
      </c>
      <c r="AC4451" s="54" t="b">
        <f aca="false">AND(E4451&gt;=01_因子設定!$L$5-0.000000001,E4451&lt;=01_因子設定!$M$5+0.000000001,F4451&gt;=01_因子設定!$L$6-0.000000001,F4451&lt;=01_因子設定!$M$6+0.000000001,G4451&gt;=01_因子設定!$L$7-0.000000001,G4451&lt;=01_因子設定!$M$7+0.000000001,H4451&gt;=01_因子設定!$L$8-0.000000001,H4451&lt;=01_因子設定!$M$8+0.000000001,IF(01_因子設定!$B$20="Box-Behnken",E4451^2+F4451^2+G4451^2+H4451^2&lt;=2+0.000000001,TRUE()))</f>
        <v>1</v>
      </c>
      <c r="AD4451" s="55" t="n">
        <f aca="false">IF(AC4451,IF(01_因子設定!$B$13="最大化",AA4451-01_因子設定!$B$14,IF(01_因子設定!$B$13="最小化",01_因子設定!$B$15-AB4451,MIN(AA4451-01_因子設定!$B$14,01_因子設定!$B$15-AB4451))),-1E+030)</f>
        <v>-6.84446951031719</v>
      </c>
      <c r="AE4451" s="55" t="n">
        <f aca="false">IF(AC4451,IF(01_因子設定!$B$13="最大化",X4451,IF(01_因子設定!$B$13="最小化",-X4451,-ABS(X4451-01_因子設定!$B$16))),-1E+030)</f>
        <v>41.3385233918129</v>
      </c>
      <c r="AF4451" s="55" t="n">
        <f aca="false">AD4451+ROW()*0.000000001</f>
        <v>-6.84446505931719</v>
      </c>
      <c r="AG4451" s="55" t="n">
        <f aca="false">AE4451+ROW()*0.000000001</f>
        <v>41.3385278428129</v>
      </c>
    </row>
    <row r="4452" customFormat="false" ht="15" hidden="false" customHeight="false" outlineLevel="0" collapsed="false">
      <c r="A4452" s="0" t="n">
        <v>6</v>
      </c>
      <c r="B4452" s="0" t="n">
        <v>0</v>
      </c>
      <c r="C4452" s="0" t="n">
        <v>8</v>
      </c>
      <c r="D4452" s="0" t="n">
        <v>1</v>
      </c>
      <c r="E4452" s="0" t="n">
        <f aca="false">-1+A4452*0.25</f>
        <v>0.5</v>
      </c>
      <c r="F4452" s="0" t="n">
        <f aca="false">-1+B4452*0.25</f>
        <v>-1</v>
      </c>
      <c r="G4452" s="0" t="n">
        <f aca="false">-1+C4452*0.25</f>
        <v>1</v>
      </c>
      <c r="H4452" s="0" t="n">
        <f aca="false">-1+D4452*0.25</f>
        <v>-0.75</v>
      </c>
      <c r="I4452" s="0" t="n">
        <f aca="false">1</f>
        <v>1</v>
      </c>
      <c r="J4452" s="0" t="n">
        <f aca="false">E4452</f>
        <v>0.5</v>
      </c>
      <c r="K4452" s="0" t="n">
        <f aca="false">F4452</f>
        <v>-1</v>
      </c>
      <c r="L4452" s="0" t="n">
        <f aca="false">G4452</f>
        <v>1</v>
      </c>
      <c r="M4452" s="0" t="n">
        <f aca="false">H4452</f>
        <v>-0.75</v>
      </c>
      <c r="N4452" s="0" t="n">
        <f aca="false">E4452*F4452</f>
        <v>-0.5</v>
      </c>
      <c r="O4452" s="0" t="n">
        <f aca="false">E4452*G4452</f>
        <v>0.5</v>
      </c>
      <c r="P4452" s="0" t="n">
        <f aca="false">E4452*H4452</f>
        <v>-0.375</v>
      </c>
      <c r="Q4452" s="0" t="n">
        <f aca="false">F4452*G4452</f>
        <v>-1</v>
      </c>
      <c r="R4452" s="0" t="n">
        <f aca="false">F4452*H4452</f>
        <v>0.75</v>
      </c>
      <c r="S4452" s="0" t="n">
        <f aca="false">G4452*H4452</f>
        <v>-0.75</v>
      </c>
      <c r="T4452" s="0" t="n">
        <f aca="false">E4452*E4452</f>
        <v>0.25</v>
      </c>
      <c r="U4452" s="0" t="n">
        <f aca="false">F4452*F4452</f>
        <v>1</v>
      </c>
      <c r="V4452" s="0" t="n">
        <f aca="false">G4452*G4452</f>
        <v>1</v>
      </c>
      <c r="W4452" s="0" t="n">
        <f aca="false">H4452*H4452</f>
        <v>0.5625</v>
      </c>
      <c r="X4452" s="0" t="n">
        <f aca="false">SUMPRODUCT(I4452:W4452,_XtX!$B$96:$P$96)</f>
        <v>41.7478618421052</v>
      </c>
      <c r="Y4452" s="0" t="n">
        <f aca="false">SUMPRODUCT(MMULT(I4452:W4452,_XtX!$B$78:$P$92),I4452:W4452)</f>
        <v>0.564984237938597</v>
      </c>
      <c r="Z4452" s="0" t="n">
        <f aca="false">04_回帰ANOVA!$K$19*04_回帰ANOVA!$K$14*SQRT(1+Y4452)</f>
        <v>1.63062229734503</v>
      </c>
      <c r="AA4452" s="0" t="n">
        <f aca="false">X4452-Z4452</f>
        <v>40.1172395447602</v>
      </c>
      <c r="AB4452" s="0" t="n">
        <f aca="false">X4452+Z4452</f>
        <v>43.3784841394503</v>
      </c>
      <c r="AC4452" s="54" t="b">
        <f aca="false">AND(E4452&gt;=01_因子設定!$L$5-0.000000001,E4452&lt;=01_因子設定!$M$5+0.000000001,F4452&gt;=01_因子設定!$L$6-0.000000001,F4452&lt;=01_因子設定!$M$6+0.000000001,G4452&gt;=01_因子設定!$L$7-0.000000001,G4452&lt;=01_因子設定!$M$7+0.000000001,H4452&gt;=01_因子設定!$L$8-0.000000001,H4452&lt;=01_因子設定!$M$8+0.000000001,IF(01_因子設定!$B$20="Box-Behnken",E4452^2+F4452^2+G4452^2+H4452^2&lt;=2+0.000000001,TRUE()))</f>
        <v>1</v>
      </c>
      <c r="AD4452" s="55" t="n">
        <f aca="false">IF(AC4452,IF(01_因子設定!$B$13="最大化",AA4452-01_因子設定!$B$14,IF(01_因子設定!$B$13="最小化",01_因子設定!$B$15-AB4452,MIN(AA4452-01_因子設定!$B$14,01_因子設定!$B$15-AB4452))),-1E+030)</f>
        <v>-6.38276045523979</v>
      </c>
      <c r="AE4452" s="55" t="n">
        <f aca="false">IF(AC4452,IF(01_因子設定!$B$13="最大化",X4452,IF(01_因子設定!$B$13="最小化",-X4452,-ABS(X4452-01_因子設定!$B$16))),-1E+030)</f>
        <v>41.7478618421052</v>
      </c>
      <c r="AF4452" s="55" t="n">
        <f aca="false">AD4452+ROW()*0.000000001</f>
        <v>-6.38275600323979</v>
      </c>
      <c r="AG4452" s="55" t="n">
        <f aca="false">AE4452+ROW()*0.000000001</f>
        <v>41.7478662941052</v>
      </c>
    </row>
    <row r="4453" customFormat="false" ht="15" hidden="false" customHeight="false" outlineLevel="0" collapsed="false">
      <c r="A4453" s="0" t="n">
        <v>6</v>
      </c>
      <c r="B4453" s="0" t="n">
        <v>0</v>
      </c>
      <c r="C4453" s="0" t="n">
        <v>8</v>
      </c>
      <c r="D4453" s="0" t="n">
        <v>2</v>
      </c>
      <c r="E4453" s="0" t="n">
        <f aca="false">-1+A4453*0.25</f>
        <v>0.5</v>
      </c>
      <c r="F4453" s="0" t="n">
        <f aca="false">-1+B4453*0.25</f>
        <v>-1</v>
      </c>
      <c r="G4453" s="0" t="n">
        <f aca="false">-1+C4453*0.25</f>
        <v>1</v>
      </c>
      <c r="H4453" s="0" t="n">
        <f aca="false">-1+D4453*0.25</f>
        <v>-0.5</v>
      </c>
      <c r="I4453" s="0" t="n">
        <f aca="false">1</f>
        <v>1</v>
      </c>
      <c r="J4453" s="0" t="n">
        <f aca="false">E4453</f>
        <v>0.5</v>
      </c>
      <c r="K4453" s="0" t="n">
        <f aca="false">F4453</f>
        <v>-1</v>
      </c>
      <c r="L4453" s="0" t="n">
        <f aca="false">G4453</f>
        <v>1</v>
      </c>
      <c r="M4453" s="0" t="n">
        <f aca="false">H4453</f>
        <v>-0.5</v>
      </c>
      <c r="N4453" s="0" t="n">
        <f aca="false">E4453*F4453</f>
        <v>-0.5</v>
      </c>
      <c r="O4453" s="0" t="n">
        <f aca="false">E4453*G4453</f>
        <v>0.5</v>
      </c>
      <c r="P4453" s="0" t="n">
        <f aca="false">E4453*H4453</f>
        <v>-0.25</v>
      </c>
      <c r="Q4453" s="0" t="n">
        <f aca="false">F4453*G4453</f>
        <v>-1</v>
      </c>
      <c r="R4453" s="0" t="n">
        <f aca="false">F4453*H4453</f>
        <v>0.5</v>
      </c>
      <c r="S4453" s="0" t="n">
        <f aca="false">G4453*H4453</f>
        <v>-0.5</v>
      </c>
      <c r="T4453" s="0" t="n">
        <f aca="false">E4453*E4453</f>
        <v>0.25</v>
      </c>
      <c r="U4453" s="0" t="n">
        <f aca="false">F4453*F4453</f>
        <v>1</v>
      </c>
      <c r="V4453" s="0" t="n">
        <f aca="false">G4453*G4453</f>
        <v>1</v>
      </c>
      <c r="W4453" s="0" t="n">
        <f aca="false">H4453*H4453</f>
        <v>0.25</v>
      </c>
      <c r="X4453" s="0" t="n">
        <f aca="false">SUMPRODUCT(I4453:W4453,_XtX!$B$96:$P$96)</f>
        <v>42.1093932748538</v>
      </c>
      <c r="Y4453" s="0" t="n">
        <f aca="false">SUMPRODUCT(MMULT(I4453:W4453,_XtX!$B$78:$P$92),I4453:W4453)</f>
        <v>0.582488121345029</v>
      </c>
      <c r="Z4453" s="0" t="n">
        <f aca="false">04_回帰ANOVA!$K$19*04_回帰ANOVA!$K$14*SQRT(1+Y4453)</f>
        <v>1.63971595338287</v>
      </c>
      <c r="AA4453" s="0" t="n">
        <f aca="false">X4453-Z4453</f>
        <v>40.4696773214709</v>
      </c>
      <c r="AB4453" s="0" t="n">
        <f aca="false">X4453+Z4453</f>
        <v>43.7491092282366</v>
      </c>
      <c r="AC4453" s="54" t="b">
        <f aca="false">AND(E4453&gt;=01_因子設定!$L$5-0.000000001,E4453&lt;=01_因子設定!$M$5+0.000000001,F4453&gt;=01_因子設定!$L$6-0.000000001,F4453&lt;=01_因子設定!$M$6+0.000000001,G4453&gt;=01_因子設定!$L$7-0.000000001,G4453&lt;=01_因子設定!$M$7+0.000000001,H4453&gt;=01_因子設定!$L$8-0.000000001,H4453&lt;=01_因子設定!$M$8+0.000000001,IF(01_因子設定!$B$20="Box-Behnken",E4453^2+F4453^2+G4453^2+H4453^2&lt;=2+0.000000001,TRUE()))</f>
        <v>1</v>
      </c>
      <c r="AD4453" s="55" t="n">
        <f aca="false">IF(AC4453,IF(01_因子設定!$B$13="最大化",AA4453-01_因子設定!$B$14,IF(01_因子設定!$B$13="最小化",01_因子設定!$B$15-AB4453,MIN(AA4453-01_因子設定!$B$14,01_因子設定!$B$15-AB4453))),-1E+030)</f>
        <v>-6.0303226785291</v>
      </c>
      <c r="AE4453" s="55" t="n">
        <f aca="false">IF(AC4453,IF(01_因子設定!$B$13="最大化",X4453,IF(01_因子設定!$B$13="最小化",-X4453,-ABS(X4453-01_因子設定!$B$16))),-1E+030)</f>
        <v>42.1093932748538</v>
      </c>
      <c r="AF4453" s="55" t="n">
        <f aca="false">AD4453+ROW()*0.000000001</f>
        <v>-6.0303182255291</v>
      </c>
      <c r="AG4453" s="55" t="n">
        <f aca="false">AE4453+ROW()*0.000000001</f>
        <v>42.1093977278538</v>
      </c>
    </row>
    <row r="4454" customFormat="false" ht="15" hidden="false" customHeight="false" outlineLevel="0" collapsed="false">
      <c r="A4454" s="0" t="n">
        <v>6</v>
      </c>
      <c r="B4454" s="0" t="n">
        <v>0</v>
      </c>
      <c r="C4454" s="0" t="n">
        <v>8</v>
      </c>
      <c r="D4454" s="0" t="n">
        <v>3</v>
      </c>
      <c r="E4454" s="0" t="n">
        <f aca="false">-1+A4454*0.25</f>
        <v>0.5</v>
      </c>
      <c r="F4454" s="0" t="n">
        <f aca="false">-1+B4454*0.25</f>
        <v>-1</v>
      </c>
      <c r="G4454" s="0" t="n">
        <f aca="false">-1+C4454*0.25</f>
        <v>1</v>
      </c>
      <c r="H4454" s="0" t="n">
        <f aca="false">-1+D4454*0.25</f>
        <v>-0.25</v>
      </c>
      <c r="I4454" s="0" t="n">
        <f aca="false">1</f>
        <v>1</v>
      </c>
      <c r="J4454" s="0" t="n">
        <f aca="false">E4454</f>
        <v>0.5</v>
      </c>
      <c r="K4454" s="0" t="n">
        <f aca="false">F4454</f>
        <v>-1</v>
      </c>
      <c r="L4454" s="0" t="n">
        <f aca="false">G4454</f>
        <v>1</v>
      </c>
      <c r="M4454" s="0" t="n">
        <f aca="false">H4454</f>
        <v>-0.25</v>
      </c>
      <c r="N4454" s="0" t="n">
        <f aca="false">E4454*F4454</f>
        <v>-0.5</v>
      </c>
      <c r="O4454" s="0" t="n">
        <f aca="false">E4454*G4454</f>
        <v>0.5</v>
      </c>
      <c r="P4454" s="0" t="n">
        <f aca="false">E4454*H4454</f>
        <v>-0.125</v>
      </c>
      <c r="Q4454" s="0" t="n">
        <f aca="false">F4454*G4454</f>
        <v>-1</v>
      </c>
      <c r="R4454" s="0" t="n">
        <f aca="false">F4454*H4454</f>
        <v>0.25</v>
      </c>
      <c r="S4454" s="0" t="n">
        <f aca="false">G4454*H4454</f>
        <v>-0.25</v>
      </c>
      <c r="T4454" s="0" t="n">
        <f aca="false">E4454*E4454</f>
        <v>0.25</v>
      </c>
      <c r="U4454" s="0" t="n">
        <f aca="false">F4454*F4454</f>
        <v>1</v>
      </c>
      <c r="V4454" s="0" t="n">
        <f aca="false">G4454*G4454</f>
        <v>1</v>
      </c>
      <c r="W4454" s="0" t="n">
        <f aca="false">H4454*H4454</f>
        <v>0.0625</v>
      </c>
      <c r="X4454" s="0" t="n">
        <f aca="false">SUMPRODUCT(I4454:W4454,_XtX!$B$96:$P$96)</f>
        <v>42.4231176900584</v>
      </c>
      <c r="Y4454" s="0" t="n">
        <f aca="false">SUMPRODUCT(MMULT(I4454:W4454,_XtX!$B$78:$P$92),I4454:W4454)</f>
        <v>0.629174661915205</v>
      </c>
      <c r="Z4454" s="0" t="n">
        <f aca="false">04_回帰ANOVA!$K$19*04_回帰ANOVA!$K$14*SQRT(1+Y4454)</f>
        <v>1.66372758058297</v>
      </c>
      <c r="AA4454" s="0" t="n">
        <f aca="false">X4454-Z4454</f>
        <v>40.7593901094755</v>
      </c>
      <c r="AB4454" s="0" t="n">
        <f aca="false">X4454+Z4454</f>
        <v>44.0868452706414</v>
      </c>
      <c r="AC4454" s="54" t="b">
        <f aca="false">AND(E4454&gt;=01_因子設定!$L$5-0.000000001,E4454&lt;=01_因子設定!$M$5+0.000000001,F4454&gt;=01_因子設定!$L$6-0.000000001,F4454&lt;=01_因子設定!$M$6+0.000000001,G4454&gt;=01_因子設定!$L$7-0.000000001,G4454&lt;=01_因子設定!$M$7+0.000000001,H4454&gt;=01_因子設定!$L$8-0.000000001,H4454&lt;=01_因子設定!$M$8+0.000000001,IF(01_因子設定!$B$20="Box-Behnken",E4454^2+F4454^2+G4454^2+H4454^2&lt;=2+0.000000001,TRUE()))</f>
        <v>1</v>
      </c>
      <c r="AD4454" s="55" t="n">
        <f aca="false">IF(AC4454,IF(01_因子設定!$B$13="最大化",AA4454-01_因子設定!$B$14,IF(01_因子設定!$B$13="最小化",01_因子設定!$B$15-AB4454,MIN(AA4454-01_因子設定!$B$14,01_因子設定!$B$15-AB4454))),-1E+030)</f>
        <v>-5.74060989052453</v>
      </c>
      <c r="AE4454" s="55" t="n">
        <f aca="false">IF(AC4454,IF(01_因子設定!$B$13="最大化",X4454,IF(01_因子設定!$B$13="最小化",-X4454,-ABS(X4454-01_因子設定!$B$16))),-1E+030)</f>
        <v>42.4231176900584</v>
      </c>
      <c r="AF4454" s="55" t="n">
        <f aca="false">AD4454+ROW()*0.000000001</f>
        <v>-5.74060543652453</v>
      </c>
      <c r="AG4454" s="55" t="n">
        <f aca="false">AE4454+ROW()*0.000000001</f>
        <v>42.4231221440584</v>
      </c>
    </row>
    <row r="4455" customFormat="false" ht="15" hidden="false" customHeight="false" outlineLevel="0" collapsed="false">
      <c r="A4455" s="0" t="n">
        <v>6</v>
      </c>
      <c r="B4455" s="0" t="n">
        <v>0</v>
      </c>
      <c r="C4455" s="0" t="n">
        <v>8</v>
      </c>
      <c r="D4455" s="0" t="n">
        <v>4</v>
      </c>
      <c r="E4455" s="0" t="n">
        <f aca="false">-1+A4455*0.25</f>
        <v>0.5</v>
      </c>
      <c r="F4455" s="0" t="n">
        <f aca="false">-1+B4455*0.25</f>
        <v>-1</v>
      </c>
      <c r="G4455" s="0" t="n">
        <f aca="false">-1+C4455*0.25</f>
        <v>1</v>
      </c>
      <c r="H4455" s="0" t="n">
        <f aca="false">-1+D4455*0.25</f>
        <v>0</v>
      </c>
      <c r="I4455" s="0" t="n">
        <f aca="false">1</f>
        <v>1</v>
      </c>
      <c r="J4455" s="0" t="n">
        <f aca="false">E4455</f>
        <v>0.5</v>
      </c>
      <c r="K4455" s="0" t="n">
        <f aca="false">F4455</f>
        <v>-1</v>
      </c>
      <c r="L4455" s="0" t="n">
        <f aca="false">G4455</f>
        <v>1</v>
      </c>
      <c r="M4455" s="0" t="n">
        <f aca="false">H4455</f>
        <v>0</v>
      </c>
      <c r="N4455" s="0" t="n">
        <f aca="false">E4455*F4455</f>
        <v>-0.5</v>
      </c>
      <c r="O4455" s="0" t="n">
        <f aca="false">E4455*G4455</f>
        <v>0.5</v>
      </c>
      <c r="P4455" s="0" t="n">
        <f aca="false">E4455*H4455</f>
        <v>0</v>
      </c>
      <c r="Q4455" s="0" t="n">
        <f aca="false">F4455*G4455</f>
        <v>-1</v>
      </c>
      <c r="R4455" s="0" t="n">
        <f aca="false">F4455*H4455</f>
        <v>-0</v>
      </c>
      <c r="S4455" s="0" t="n">
        <f aca="false">G4455*H4455</f>
        <v>0</v>
      </c>
      <c r="T4455" s="0" t="n">
        <f aca="false">E4455*E4455</f>
        <v>0.25</v>
      </c>
      <c r="U4455" s="0" t="n">
        <f aca="false">F4455*F4455</f>
        <v>1</v>
      </c>
      <c r="V4455" s="0" t="n">
        <f aca="false">G4455*G4455</f>
        <v>1</v>
      </c>
      <c r="W4455" s="0" t="n">
        <f aca="false">H4455*H4455</f>
        <v>0</v>
      </c>
      <c r="X4455" s="0" t="n">
        <f aca="false">SUMPRODUCT(I4455:W4455,_XtX!$B$96:$P$96)</f>
        <v>42.6890350877193</v>
      </c>
      <c r="Y4455" s="0" t="n">
        <f aca="false">SUMPRODUCT(MMULT(I4455:W4455,_XtX!$B$78:$P$92),I4455:W4455)</f>
        <v>0.650767543859649</v>
      </c>
      <c r="Z4455" s="0" t="n">
        <f aca="false">04_回帰ANOVA!$K$19*04_回帰ANOVA!$K$14*SQRT(1+Y4455)</f>
        <v>1.67471670935165</v>
      </c>
      <c r="AA4455" s="0" t="n">
        <f aca="false">X4455-Z4455</f>
        <v>41.0143183783676</v>
      </c>
      <c r="AB4455" s="0" t="n">
        <f aca="false">X4455+Z4455</f>
        <v>44.3637517970709</v>
      </c>
      <c r="AC4455" s="54" t="b">
        <f aca="false">AND(E4455&gt;=01_因子設定!$L$5-0.000000001,E4455&lt;=01_因子設定!$M$5+0.000000001,F4455&gt;=01_因子設定!$L$6-0.000000001,F4455&lt;=01_因子設定!$M$6+0.000000001,G4455&gt;=01_因子設定!$L$7-0.000000001,G4455&lt;=01_因子設定!$M$7+0.000000001,H4455&gt;=01_因子設定!$L$8-0.000000001,H4455&lt;=01_因子設定!$M$8+0.000000001,IF(01_因子設定!$B$20="Box-Behnken",E4455^2+F4455^2+G4455^2+H4455^2&lt;=2+0.000000001,TRUE()))</f>
        <v>1</v>
      </c>
      <c r="AD4455" s="55" t="n">
        <f aca="false">IF(AC4455,IF(01_因子設定!$B$13="最大化",AA4455-01_因子設定!$B$14,IF(01_因子設定!$B$13="最小化",01_因子設定!$B$15-AB4455,MIN(AA4455-01_因子設定!$B$14,01_因子設定!$B$15-AB4455))),-1E+030)</f>
        <v>-5.4856816216324</v>
      </c>
      <c r="AE4455" s="55" t="n">
        <f aca="false">IF(AC4455,IF(01_因子設定!$B$13="最大化",X4455,IF(01_因子設定!$B$13="最小化",-X4455,-ABS(X4455-01_因子設定!$B$16))),-1E+030)</f>
        <v>42.6890350877193</v>
      </c>
      <c r="AF4455" s="55" t="n">
        <f aca="false">AD4455+ROW()*0.000000001</f>
        <v>-5.4856771666324</v>
      </c>
      <c r="AG4455" s="55" t="n">
        <f aca="false">AE4455+ROW()*0.000000001</f>
        <v>42.6890395427193</v>
      </c>
    </row>
    <row r="4456" customFormat="false" ht="15" hidden="false" customHeight="false" outlineLevel="0" collapsed="false">
      <c r="A4456" s="0" t="n">
        <v>6</v>
      </c>
      <c r="B4456" s="0" t="n">
        <v>0</v>
      </c>
      <c r="C4456" s="0" t="n">
        <v>8</v>
      </c>
      <c r="D4456" s="0" t="n">
        <v>5</v>
      </c>
      <c r="E4456" s="0" t="n">
        <f aca="false">-1+A4456*0.25</f>
        <v>0.5</v>
      </c>
      <c r="F4456" s="0" t="n">
        <f aca="false">-1+B4456*0.25</f>
        <v>-1</v>
      </c>
      <c r="G4456" s="0" t="n">
        <f aca="false">-1+C4456*0.25</f>
        <v>1</v>
      </c>
      <c r="H4456" s="0" t="n">
        <f aca="false">-1+D4456*0.25</f>
        <v>0.25</v>
      </c>
      <c r="I4456" s="0" t="n">
        <f aca="false">1</f>
        <v>1</v>
      </c>
      <c r="J4456" s="0" t="n">
        <f aca="false">E4456</f>
        <v>0.5</v>
      </c>
      <c r="K4456" s="0" t="n">
        <f aca="false">F4456</f>
        <v>-1</v>
      </c>
      <c r="L4456" s="0" t="n">
        <f aca="false">G4456</f>
        <v>1</v>
      </c>
      <c r="M4456" s="0" t="n">
        <f aca="false">H4456</f>
        <v>0.25</v>
      </c>
      <c r="N4456" s="0" t="n">
        <f aca="false">E4456*F4456</f>
        <v>-0.5</v>
      </c>
      <c r="O4456" s="0" t="n">
        <f aca="false">E4456*G4456</f>
        <v>0.5</v>
      </c>
      <c r="P4456" s="0" t="n">
        <f aca="false">E4456*H4456</f>
        <v>0.125</v>
      </c>
      <c r="Q4456" s="0" t="n">
        <f aca="false">F4456*G4456</f>
        <v>-1</v>
      </c>
      <c r="R4456" s="0" t="n">
        <f aca="false">F4456*H4456</f>
        <v>-0.25</v>
      </c>
      <c r="S4456" s="0" t="n">
        <f aca="false">G4456*H4456</f>
        <v>0.25</v>
      </c>
      <c r="T4456" s="0" t="n">
        <f aca="false">E4456*E4456</f>
        <v>0.25</v>
      </c>
      <c r="U4456" s="0" t="n">
        <f aca="false">F4456*F4456</f>
        <v>1</v>
      </c>
      <c r="V4456" s="0" t="n">
        <f aca="false">G4456*G4456</f>
        <v>1</v>
      </c>
      <c r="W4456" s="0" t="n">
        <f aca="false">H4456*H4456</f>
        <v>0.0625</v>
      </c>
      <c r="X4456" s="0" t="n">
        <f aca="false">SUMPRODUCT(I4456:W4456,_XtX!$B$96:$P$96)</f>
        <v>42.9071454678362</v>
      </c>
      <c r="Y4456" s="0" t="n">
        <f aca="false">SUMPRODUCT(MMULT(I4456:W4456,_XtX!$B$78:$P$92),I4456:W4456)</f>
        <v>0.629174661915205</v>
      </c>
      <c r="Z4456" s="0" t="n">
        <f aca="false">04_回帰ANOVA!$K$19*04_回帰ANOVA!$K$14*SQRT(1+Y4456)</f>
        <v>1.66372758058297</v>
      </c>
      <c r="AA4456" s="0" t="n">
        <f aca="false">X4456-Z4456</f>
        <v>41.2434178872532</v>
      </c>
      <c r="AB4456" s="0" t="n">
        <f aca="false">X4456+Z4456</f>
        <v>44.5708730484192</v>
      </c>
      <c r="AC4456" s="54" t="b">
        <f aca="false">AND(E4456&gt;=01_因子設定!$L$5-0.000000001,E4456&lt;=01_因子設定!$M$5+0.000000001,F4456&gt;=01_因子設定!$L$6-0.000000001,F4456&lt;=01_因子設定!$M$6+0.000000001,G4456&gt;=01_因子設定!$L$7-0.000000001,G4456&lt;=01_因子設定!$M$7+0.000000001,H4456&gt;=01_因子設定!$L$8-0.000000001,H4456&lt;=01_因子設定!$M$8+0.000000001,IF(01_因子設定!$B$20="Box-Behnken",E4456^2+F4456^2+G4456^2+H4456^2&lt;=2+0.000000001,TRUE()))</f>
        <v>1</v>
      </c>
      <c r="AD4456" s="55" t="n">
        <f aca="false">IF(AC4456,IF(01_因子設定!$B$13="最大化",AA4456-01_因子設定!$B$14,IF(01_因子設定!$B$13="最小化",01_因子設定!$B$15-AB4456,MIN(AA4456-01_因子設定!$B$14,01_因子設定!$B$15-AB4456))),-1E+030)</f>
        <v>-5.25658211274676</v>
      </c>
      <c r="AE4456" s="55" t="n">
        <f aca="false">IF(AC4456,IF(01_因子設定!$B$13="最大化",X4456,IF(01_因子設定!$B$13="最小化",-X4456,-ABS(X4456-01_因子設定!$B$16))),-1E+030)</f>
        <v>42.9071454678362</v>
      </c>
      <c r="AF4456" s="55" t="n">
        <f aca="false">AD4456+ROW()*0.000000001</f>
        <v>-5.25657765674676</v>
      </c>
      <c r="AG4456" s="55" t="n">
        <f aca="false">AE4456+ROW()*0.000000001</f>
        <v>42.9071499238362</v>
      </c>
    </row>
    <row r="4457" customFormat="false" ht="15" hidden="false" customHeight="false" outlineLevel="0" collapsed="false">
      <c r="A4457" s="0" t="n">
        <v>6</v>
      </c>
      <c r="B4457" s="0" t="n">
        <v>0</v>
      </c>
      <c r="C4457" s="0" t="n">
        <v>8</v>
      </c>
      <c r="D4457" s="0" t="n">
        <v>6</v>
      </c>
      <c r="E4457" s="0" t="n">
        <f aca="false">-1+A4457*0.25</f>
        <v>0.5</v>
      </c>
      <c r="F4457" s="0" t="n">
        <f aca="false">-1+B4457*0.25</f>
        <v>-1</v>
      </c>
      <c r="G4457" s="0" t="n">
        <f aca="false">-1+C4457*0.25</f>
        <v>1</v>
      </c>
      <c r="H4457" s="0" t="n">
        <f aca="false">-1+D4457*0.25</f>
        <v>0.5</v>
      </c>
      <c r="I4457" s="0" t="n">
        <f aca="false">1</f>
        <v>1</v>
      </c>
      <c r="J4457" s="0" t="n">
        <f aca="false">E4457</f>
        <v>0.5</v>
      </c>
      <c r="K4457" s="0" t="n">
        <f aca="false">F4457</f>
        <v>-1</v>
      </c>
      <c r="L4457" s="0" t="n">
        <f aca="false">G4457</f>
        <v>1</v>
      </c>
      <c r="M4457" s="0" t="n">
        <f aca="false">H4457</f>
        <v>0.5</v>
      </c>
      <c r="N4457" s="0" t="n">
        <f aca="false">E4457*F4457</f>
        <v>-0.5</v>
      </c>
      <c r="O4457" s="0" t="n">
        <f aca="false">E4457*G4457</f>
        <v>0.5</v>
      </c>
      <c r="P4457" s="0" t="n">
        <f aca="false">E4457*H4457</f>
        <v>0.25</v>
      </c>
      <c r="Q4457" s="0" t="n">
        <f aca="false">F4457*G4457</f>
        <v>-1</v>
      </c>
      <c r="R4457" s="0" t="n">
        <f aca="false">F4457*H4457</f>
        <v>-0.5</v>
      </c>
      <c r="S4457" s="0" t="n">
        <f aca="false">G4457*H4457</f>
        <v>0.5</v>
      </c>
      <c r="T4457" s="0" t="n">
        <f aca="false">E4457*E4457</f>
        <v>0.25</v>
      </c>
      <c r="U4457" s="0" t="n">
        <f aca="false">F4457*F4457</f>
        <v>1</v>
      </c>
      <c r="V4457" s="0" t="n">
        <f aca="false">G4457*G4457</f>
        <v>1</v>
      </c>
      <c r="W4457" s="0" t="n">
        <f aca="false">H4457*H4457</f>
        <v>0.25</v>
      </c>
      <c r="X4457" s="0" t="n">
        <f aca="false">SUMPRODUCT(I4457:W4457,_XtX!$B$96:$P$96)</f>
        <v>43.0774488304093</v>
      </c>
      <c r="Y4457" s="0" t="n">
        <f aca="false">SUMPRODUCT(MMULT(I4457:W4457,_XtX!$B$78:$P$92),I4457:W4457)</f>
        <v>0.582488121345029</v>
      </c>
      <c r="Z4457" s="0" t="n">
        <f aca="false">04_回帰ANOVA!$K$19*04_回帰ANOVA!$K$14*SQRT(1+Y4457)</f>
        <v>1.63971595338287</v>
      </c>
      <c r="AA4457" s="0" t="n">
        <f aca="false">X4457-Z4457</f>
        <v>41.4377328770265</v>
      </c>
      <c r="AB4457" s="0" t="n">
        <f aca="false">X4457+Z4457</f>
        <v>44.7171647837922</v>
      </c>
      <c r="AC4457" s="54" t="b">
        <f aca="false">AND(E4457&gt;=01_因子設定!$L$5-0.000000001,E4457&lt;=01_因子設定!$M$5+0.000000001,F4457&gt;=01_因子設定!$L$6-0.000000001,F4457&lt;=01_因子設定!$M$6+0.000000001,G4457&gt;=01_因子設定!$L$7-0.000000001,G4457&lt;=01_因子設定!$M$7+0.000000001,H4457&gt;=01_因子設定!$L$8-0.000000001,H4457&lt;=01_因子設定!$M$8+0.000000001,IF(01_因子設定!$B$20="Box-Behnken",E4457^2+F4457^2+G4457^2+H4457^2&lt;=2+0.000000001,TRUE()))</f>
        <v>1</v>
      </c>
      <c r="AD4457" s="55" t="n">
        <f aca="false">IF(AC4457,IF(01_因子設定!$B$13="最大化",AA4457-01_因子設定!$B$14,IF(01_因子設定!$B$13="最小化",01_因子設定!$B$15-AB4457,MIN(AA4457-01_因子設定!$B$14,01_因子設定!$B$15-AB4457))),-1E+030)</f>
        <v>-5.06226712297354</v>
      </c>
      <c r="AE4457" s="55" t="n">
        <f aca="false">IF(AC4457,IF(01_因子設定!$B$13="最大化",X4457,IF(01_因子設定!$B$13="最小化",-X4457,-ABS(X4457-01_因子設定!$B$16))),-1E+030)</f>
        <v>43.0774488304093</v>
      </c>
      <c r="AF4457" s="55" t="n">
        <f aca="false">AD4457+ROW()*0.000000001</f>
        <v>-5.06226266597354</v>
      </c>
      <c r="AG4457" s="55" t="n">
        <f aca="false">AE4457+ROW()*0.000000001</f>
        <v>43.0774532874093</v>
      </c>
    </row>
    <row r="4458" customFormat="false" ht="15" hidden="false" customHeight="false" outlineLevel="0" collapsed="false">
      <c r="A4458" s="0" t="n">
        <v>6</v>
      </c>
      <c r="B4458" s="0" t="n">
        <v>0</v>
      </c>
      <c r="C4458" s="0" t="n">
        <v>8</v>
      </c>
      <c r="D4458" s="0" t="n">
        <v>7</v>
      </c>
      <c r="E4458" s="0" t="n">
        <f aca="false">-1+A4458*0.25</f>
        <v>0.5</v>
      </c>
      <c r="F4458" s="0" t="n">
        <f aca="false">-1+B4458*0.25</f>
        <v>-1</v>
      </c>
      <c r="G4458" s="0" t="n">
        <f aca="false">-1+C4458*0.25</f>
        <v>1</v>
      </c>
      <c r="H4458" s="0" t="n">
        <f aca="false">-1+D4458*0.25</f>
        <v>0.75</v>
      </c>
      <c r="I4458" s="0" t="n">
        <f aca="false">1</f>
        <v>1</v>
      </c>
      <c r="J4458" s="0" t="n">
        <f aca="false">E4458</f>
        <v>0.5</v>
      </c>
      <c r="K4458" s="0" t="n">
        <f aca="false">F4458</f>
        <v>-1</v>
      </c>
      <c r="L4458" s="0" t="n">
        <f aca="false">G4458</f>
        <v>1</v>
      </c>
      <c r="M4458" s="0" t="n">
        <f aca="false">H4458</f>
        <v>0.75</v>
      </c>
      <c r="N4458" s="0" t="n">
        <f aca="false">E4458*F4458</f>
        <v>-0.5</v>
      </c>
      <c r="O4458" s="0" t="n">
        <f aca="false">E4458*G4458</f>
        <v>0.5</v>
      </c>
      <c r="P4458" s="0" t="n">
        <f aca="false">E4458*H4458</f>
        <v>0.375</v>
      </c>
      <c r="Q4458" s="0" t="n">
        <f aca="false">F4458*G4458</f>
        <v>-1</v>
      </c>
      <c r="R4458" s="0" t="n">
        <f aca="false">F4458*H4458</f>
        <v>-0.75</v>
      </c>
      <c r="S4458" s="0" t="n">
        <f aca="false">G4458*H4458</f>
        <v>0.75</v>
      </c>
      <c r="T4458" s="0" t="n">
        <f aca="false">E4458*E4458</f>
        <v>0.25</v>
      </c>
      <c r="U4458" s="0" t="n">
        <f aca="false">F4458*F4458</f>
        <v>1</v>
      </c>
      <c r="V4458" s="0" t="n">
        <f aca="false">G4458*G4458</f>
        <v>1</v>
      </c>
      <c r="W4458" s="0" t="n">
        <f aca="false">H4458*H4458</f>
        <v>0.5625</v>
      </c>
      <c r="X4458" s="0" t="n">
        <f aca="false">SUMPRODUCT(I4458:W4458,_XtX!$B$96:$P$96)</f>
        <v>43.1999451754386</v>
      </c>
      <c r="Y4458" s="0" t="n">
        <f aca="false">SUMPRODUCT(MMULT(I4458:W4458,_XtX!$B$78:$P$92),I4458:W4458)</f>
        <v>0.564984237938597</v>
      </c>
      <c r="Z4458" s="0" t="n">
        <f aca="false">04_回帰ANOVA!$K$19*04_回帰ANOVA!$K$14*SQRT(1+Y4458)</f>
        <v>1.63062229734503</v>
      </c>
      <c r="AA4458" s="0" t="n">
        <f aca="false">X4458-Z4458</f>
        <v>41.5693228780935</v>
      </c>
      <c r="AB4458" s="0" t="n">
        <f aca="false">X4458+Z4458</f>
        <v>44.8305674727836</v>
      </c>
      <c r="AC4458" s="54" t="b">
        <f aca="false">AND(E4458&gt;=01_因子設定!$L$5-0.000000001,E4458&lt;=01_因子設定!$M$5+0.000000001,F4458&gt;=01_因子設定!$L$6-0.000000001,F4458&lt;=01_因子設定!$M$6+0.000000001,G4458&gt;=01_因子設定!$L$7-0.000000001,G4458&lt;=01_因子設定!$M$7+0.000000001,H4458&gt;=01_因子設定!$L$8-0.000000001,H4458&lt;=01_因子設定!$M$8+0.000000001,IF(01_因子設定!$B$20="Box-Behnken",E4458^2+F4458^2+G4458^2+H4458^2&lt;=2+0.000000001,TRUE()))</f>
        <v>1</v>
      </c>
      <c r="AD4458" s="55" t="n">
        <f aca="false">IF(AC4458,IF(01_因子設定!$B$13="最大化",AA4458-01_因子設定!$B$14,IF(01_因子設定!$B$13="最小化",01_因子設定!$B$15-AB4458,MIN(AA4458-01_因子設定!$B$14,01_因子設定!$B$15-AB4458))),-1E+030)</f>
        <v>-4.93067712190646</v>
      </c>
      <c r="AE4458" s="55" t="n">
        <f aca="false">IF(AC4458,IF(01_因子設定!$B$13="最大化",X4458,IF(01_因子設定!$B$13="最小化",-X4458,-ABS(X4458-01_因子設定!$B$16))),-1E+030)</f>
        <v>43.1999451754386</v>
      </c>
      <c r="AF4458" s="55" t="n">
        <f aca="false">AD4458+ROW()*0.000000001</f>
        <v>-4.93067266390646</v>
      </c>
      <c r="AG4458" s="55" t="n">
        <f aca="false">AE4458+ROW()*0.000000001</f>
        <v>43.1999496334386</v>
      </c>
    </row>
    <row r="4459" customFormat="false" ht="15" hidden="false" customHeight="false" outlineLevel="0" collapsed="false">
      <c r="A4459" s="0" t="n">
        <v>6</v>
      </c>
      <c r="B4459" s="0" t="n">
        <v>0</v>
      </c>
      <c r="C4459" s="0" t="n">
        <v>8</v>
      </c>
      <c r="D4459" s="0" t="n">
        <v>8</v>
      </c>
      <c r="E4459" s="0" t="n">
        <f aca="false">-1+A4459*0.25</f>
        <v>0.5</v>
      </c>
      <c r="F4459" s="0" t="n">
        <f aca="false">-1+B4459*0.25</f>
        <v>-1</v>
      </c>
      <c r="G4459" s="0" t="n">
        <f aca="false">-1+C4459*0.25</f>
        <v>1</v>
      </c>
      <c r="H4459" s="0" t="n">
        <f aca="false">-1+D4459*0.25</f>
        <v>1</v>
      </c>
      <c r="I4459" s="0" t="n">
        <f aca="false">1</f>
        <v>1</v>
      </c>
      <c r="J4459" s="0" t="n">
        <f aca="false">E4459</f>
        <v>0.5</v>
      </c>
      <c r="K4459" s="0" t="n">
        <f aca="false">F4459</f>
        <v>-1</v>
      </c>
      <c r="L4459" s="0" t="n">
        <f aca="false">G4459</f>
        <v>1</v>
      </c>
      <c r="M4459" s="0" t="n">
        <f aca="false">H4459</f>
        <v>1</v>
      </c>
      <c r="N4459" s="0" t="n">
        <f aca="false">E4459*F4459</f>
        <v>-0.5</v>
      </c>
      <c r="O4459" s="0" t="n">
        <f aca="false">E4459*G4459</f>
        <v>0.5</v>
      </c>
      <c r="P4459" s="0" t="n">
        <f aca="false">E4459*H4459</f>
        <v>0.5</v>
      </c>
      <c r="Q4459" s="0" t="n">
        <f aca="false">F4459*G4459</f>
        <v>-1</v>
      </c>
      <c r="R4459" s="0" t="n">
        <f aca="false">F4459*H4459</f>
        <v>-1</v>
      </c>
      <c r="S4459" s="0" t="n">
        <f aca="false">G4459*H4459</f>
        <v>1</v>
      </c>
      <c r="T4459" s="0" t="n">
        <f aca="false">E4459*E4459</f>
        <v>0.25</v>
      </c>
      <c r="U4459" s="0" t="n">
        <f aca="false">F4459*F4459</f>
        <v>1</v>
      </c>
      <c r="V4459" s="0" t="n">
        <f aca="false">G4459*G4459</f>
        <v>1</v>
      </c>
      <c r="W4459" s="0" t="n">
        <f aca="false">H4459*H4459</f>
        <v>1</v>
      </c>
      <c r="X4459" s="0" t="n">
        <f aca="false">SUMPRODUCT(I4459:W4459,_XtX!$B$96:$P$96)</f>
        <v>43.274634502924</v>
      </c>
      <c r="Y4459" s="0" t="n">
        <f aca="false">SUMPRODUCT(MMULT(I4459:W4459,_XtX!$B$78:$P$92),I4459:W4459)</f>
        <v>0.667123538011696</v>
      </c>
      <c r="Z4459" s="0" t="n">
        <f aca="false">04_回帰ANOVA!$K$19*04_回帰ANOVA!$K$14*SQRT(1+Y4459)</f>
        <v>1.68299290213005</v>
      </c>
      <c r="AA4459" s="0" t="n">
        <f aca="false">X4459-Z4459</f>
        <v>41.5916416007939</v>
      </c>
      <c r="AB4459" s="0" t="n">
        <f aca="false">X4459+Z4459</f>
        <v>44.957627405054</v>
      </c>
      <c r="AC4459" s="54" t="b">
        <f aca="false">AND(E4459&gt;=01_因子設定!$L$5-0.000000001,E4459&lt;=01_因子設定!$M$5+0.000000001,F4459&gt;=01_因子設定!$L$6-0.000000001,F4459&lt;=01_因子設定!$M$6+0.000000001,G4459&gt;=01_因子設定!$L$7-0.000000001,G4459&lt;=01_因子設定!$M$7+0.000000001,H4459&gt;=01_因子設定!$L$8-0.000000001,H4459&lt;=01_因子設定!$M$8+0.000000001,IF(01_因子設定!$B$20="Box-Behnken",E4459^2+F4459^2+G4459^2+H4459^2&lt;=2+0.000000001,TRUE()))</f>
        <v>1</v>
      </c>
      <c r="AD4459" s="55" t="n">
        <f aca="false">IF(AC4459,IF(01_因子設定!$B$13="最大化",AA4459-01_因子設定!$B$14,IF(01_因子設定!$B$13="最小化",01_因子設定!$B$15-AB4459,MIN(AA4459-01_因子設定!$B$14,01_因子設定!$B$15-AB4459))),-1E+030)</f>
        <v>-4.90835839920608</v>
      </c>
      <c r="AE4459" s="55" t="n">
        <f aca="false">IF(AC4459,IF(01_因子設定!$B$13="最大化",X4459,IF(01_因子設定!$B$13="最小化",-X4459,-ABS(X4459-01_因子設定!$B$16))),-1E+030)</f>
        <v>43.274634502924</v>
      </c>
      <c r="AF4459" s="55" t="n">
        <f aca="false">AD4459+ROW()*0.000000001</f>
        <v>-4.90835394020608</v>
      </c>
      <c r="AG4459" s="55" t="n">
        <f aca="false">AE4459+ROW()*0.000000001</f>
        <v>43.274638961924</v>
      </c>
    </row>
    <row r="4460" customFormat="false" ht="15" hidden="false" customHeight="false" outlineLevel="0" collapsed="false">
      <c r="A4460" s="0" t="n">
        <v>6</v>
      </c>
      <c r="B4460" s="0" t="n">
        <v>1</v>
      </c>
      <c r="C4460" s="0" t="n">
        <v>0</v>
      </c>
      <c r="D4460" s="0" t="n">
        <v>0</v>
      </c>
      <c r="E4460" s="0" t="n">
        <f aca="false">-1+A4460*0.25</f>
        <v>0.5</v>
      </c>
      <c r="F4460" s="0" t="n">
        <f aca="false">-1+B4460*0.25</f>
        <v>-0.75</v>
      </c>
      <c r="G4460" s="0" t="n">
        <f aca="false">-1+C4460*0.25</f>
        <v>-1</v>
      </c>
      <c r="H4460" s="0" t="n">
        <f aca="false">-1+D4460*0.25</f>
        <v>-1</v>
      </c>
      <c r="I4460" s="0" t="n">
        <f aca="false">1</f>
        <v>1</v>
      </c>
      <c r="J4460" s="0" t="n">
        <f aca="false">E4460</f>
        <v>0.5</v>
      </c>
      <c r="K4460" s="0" t="n">
        <f aca="false">F4460</f>
        <v>-0.75</v>
      </c>
      <c r="L4460" s="0" t="n">
        <f aca="false">G4460</f>
        <v>-1</v>
      </c>
      <c r="M4460" s="0" t="n">
        <f aca="false">H4460</f>
        <v>-1</v>
      </c>
      <c r="N4460" s="0" t="n">
        <f aca="false">E4460*F4460</f>
        <v>-0.375</v>
      </c>
      <c r="O4460" s="0" t="n">
        <f aca="false">E4460*G4460</f>
        <v>-0.5</v>
      </c>
      <c r="P4460" s="0" t="n">
        <f aca="false">E4460*H4460</f>
        <v>-0.5</v>
      </c>
      <c r="Q4460" s="0" t="n">
        <f aca="false">F4460*G4460</f>
        <v>0.75</v>
      </c>
      <c r="R4460" s="0" t="n">
        <f aca="false">F4460*H4460</f>
        <v>0.75</v>
      </c>
      <c r="S4460" s="0" t="n">
        <f aca="false">G4460*H4460</f>
        <v>1</v>
      </c>
      <c r="T4460" s="0" t="n">
        <f aca="false">E4460*E4460</f>
        <v>0.25</v>
      </c>
      <c r="U4460" s="0" t="n">
        <f aca="false">F4460*F4460</f>
        <v>0.5625</v>
      </c>
      <c r="V4460" s="0" t="n">
        <f aca="false">G4460*G4460</f>
        <v>1</v>
      </c>
      <c r="W4460" s="0" t="n">
        <f aca="false">H4460*H4460</f>
        <v>1</v>
      </c>
      <c r="X4460" s="0" t="n">
        <f aca="false">SUMPRODUCT(I4460:W4460,_XtX!$B$96:$P$96)</f>
        <v>42.9909173976608</v>
      </c>
      <c r="Y4460" s="0" t="n">
        <f aca="false">SUMPRODUCT(MMULT(I4460:W4460,_XtX!$B$78:$P$92),I4460:W4460)</f>
        <v>0.564984237938597</v>
      </c>
      <c r="Z4460" s="0" t="n">
        <f aca="false">04_回帰ANOVA!$K$19*04_回帰ANOVA!$K$14*SQRT(1+Y4460)</f>
        <v>1.63062229734503</v>
      </c>
      <c r="AA4460" s="0" t="n">
        <f aca="false">X4460-Z4460</f>
        <v>41.3602951003158</v>
      </c>
      <c r="AB4460" s="0" t="n">
        <f aca="false">X4460+Z4460</f>
        <v>44.6215396950059</v>
      </c>
      <c r="AC4460" s="54" t="b">
        <f aca="false">AND(E4460&gt;=01_因子設定!$L$5-0.000000001,E4460&lt;=01_因子設定!$M$5+0.000000001,F4460&gt;=01_因子設定!$L$6-0.000000001,F4460&lt;=01_因子設定!$M$6+0.000000001,G4460&gt;=01_因子設定!$L$7-0.000000001,G4460&lt;=01_因子設定!$M$7+0.000000001,H4460&gt;=01_因子設定!$L$8-0.000000001,H4460&lt;=01_因子設定!$M$8+0.000000001,IF(01_因子設定!$B$20="Box-Behnken",E4460^2+F4460^2+G4460^2+H4460^2&lt;=2+0.000000001,TRUE()))</f>
        <v>1</v>
      </c>
      <c r="AD4460" s="55" t="n">
        <f aca="false">IF(AC4460,IF(01_因子設定!$B$13="最大化",AA4460-01_因子設定!$B$14,IF(01_因子設定!$B$13="最小化",01_因子設定!$B$15-AB4460,MIN(AA4460-01_因子設定!$B$14,01_因子設定!$B$15-AB4460))),-1E+030)</f>
        <v>-5.13970489968422</v>
      </c>
      <c r="AE4460" s="55" t="n">
        <f aca="false">IF(AC4460,IF(01_因子設定!$B$13="最大化",X4460,IF(01_因子設定!$B$13="最小化",-X4460,-ABS(X4460-01_因子設定!$B$16))),-1E+030)</f>
        <v>42.9909173976608</v>
      </c>
      <c r="AF4460" s="55" t="n">
        <f aca="false">AD4460+ROW()*0.000000001</f>
        <v>-5.13970043968422</v>
      </c>
      <c r="AG4460" s="55" t="n">
        <f aca="false">AE4460+ROW()*0.000000001</f>
        <v>42.9909218576608</v>
      </c>
    </row>
    <row r="4461" customFormat="false" ht="15" hidden="false" customHeight="false" outlineLevel="0" collapsed="false">
      <c r="A4461" s="0" t="n">
        <v>6</v>
      </c>
      <c r="B4461" s="0" t="n">
        <v>1</v>
      </c>
      <c r="C4461" s="0" t="n">
        <v>0</v>
      </c>
      <c r="D4461" s="0" t="n">
        <v>1</v>
      </c>
      <c r="E4461" s="0" t="n">
        <f aca="false">-1+A4461*0.25</f>
        <v>0.5</v>
      </c>
      <c r="F4461" s="0" t="n">
        <f aca="false">-1+B4461*0.25</f>
        <v>-0.75</v>
      </c>
      <c r="G4461" s="0" t="n">
        <f aca="false">-1+C4461*0.25</f>
        <v>-1</v>
      </c>
      <c r="H4461" s="0" t="n">
        <f aca="false">-1+D4461*0.25</f>
        <v>-0.75</v>
      </c>
      <c r="I4461" s="0" t="n">
        <f aca="false">1</f>
        <v>1</v>
      </c>
      <c r="J4461" s="0" t="n">
        <f aca="false">E4461</f>
        <v>0.5</v>
      </c>
      <c r="K4461" s="0" t="n">
        <f aca="false">F4461</f>
        <v>-0.75</v>
      </c>
      <c r="L4461" s="0" t="n">
        <f aca="false">G4461</f>
        <v>-1</v>
      </c>
      <c r="M4461" s="0" t="n">
        <f aca="false">H4461</f>
        <v>-0.75</v>
      </c>
      <c r="N4461" s="0" t="n">
        <f aca="false">E4461*F4461</f>
        <v>-0.375</v>
      </c>
      <c r="O4461" s="0" t="n">
        <f aca="false">E4461*G4461</f>
        <v>-0.5</v>
      </c>
      <c r="P4461" s="0" t="n">
        <f aca="false">E4461*H4461</f>
        <v>-0.375</v>
      </c>
      <c r="Q4461" s="0" t="n">
        <f aca="false">F4461*G4461</f>
        <v>0.75</v>
      </c>
      <c r="R4461" s="0" t="n">
        <f aca="false">F4461*H4461</f>
        <v>0.5625</v>
      </c>
      <c r="S4461" s="0" t="n">
        <f aca="false">G4461*H4461</f>
        <v>0.75</v>
      </c>
      <c r="T4461" s="0" t="n">
        <f aca="false">E4461*E4461</f>
        <v>0.25</v>
      </c>
      <c r="U4461" s="0" t="n">
        <f aca="false">F4461*F4461</f>
        <v>0.5625</v>
      </c>
      <c r="V4461" s="0" t="n">
        <f aca="false">G4461*G4461</f>
        <v>1</v>
      </c>
      <c r="W4461" s="0" t="n">
        <f aca="false">H4461*H4461</f>
        <v>0.5625</v>
      </c>
      <c r="X4461" s="0" t="n">
        <f aca="false">SUMPRODUCT(I4461:W4461,_XtX!$B$96:$P$96)</f>
        <v>43.2432245979532</v>
      </c>
      <c r="Y4461" s="0" t="n">
        <f aca="false">SUMPRODUCT(MMULT(I4461:W4461,_XtX!$B$78:$P$92),I4461:W4461)</f>
        <v>0.431153771472953</v>
      </c>
      <c r="Z4461" s="0" t="n">
        <f aca="false">04_回帰ANOVA!$K$19*04_回帰ANOVA!$K$14*SQRT(1+Y4461)</f>
        <v>1.55934259562563</v>
      </c>
      <c r="AA4461" s="0" t="n">
        <f aca="false">X4461-Z4461</f>
        <v>41.6838820023276</v>
      </c>
      <c r="AB4461" s="0" t="n">
        <f aca="false">X4461+Z4461</f>
        <v>44.8025671935788</v>
      </c>
      <c r="AC4461" s="54" t="b">
        <f aca="false">AND(E4461&gt;=01_因子設定!$L$5-0.000000001,E4461&lt;=01_因子設定!$M$5+0.000000001,F4461&gt;=01_因子設定!$L$6-0.000000001,F4461&lt;=01_因子設定!$M$6+0.000000001,G4461&gt;=01_因子設定!$L$7-0.000000001,G4461&lt;=01_因子設定!$M$7+0.000000001,H4461&gt;=01_因子設定!$L$8-0.000000001,H4461&lt;=01_因子設定!$M$8+0.000000001,IF(01_因子設定!$B$20="Box-Behnken",E4461^2+F4461^2+G4461^2+H4461^2&lt;=2+0.000000001,TRUE()))</f>
        <v>1</v>
      </c>
      <c r="AD4461" s="55" t="n">
        <f aca="false">IF(AC4461,IF(01_因子設定!$B$13="最大化",AA4461-01_因子設定!$B$14,IF(01_因子設定!$B$13="最小化",01_因子設定!$B$15-AB4461,MIN(AA4461-01_因子設定!$B$14,01_因子設定!$B$15-AB4461))),-1E+030)</f>
        <v>-4.81611799767243</v>
      </c>
      <c r="AE4461" s="55" t="n">
        <f aca="false">IF(AC4461,IF(01_因子設定!$B$13="最大化",X4461,IF(01_因子設定!$B$13="最小化",-X4461,-ABS(X4461-01_因子設定!$B$16))),-1E+030)</f>
        <v>43.2432245979532</v>
      </c>
      <c r="AF4461" s="55" t="n">
        <f aca="false">AD4461+ROW()*0.000000001</f>
        <v>-4.81611353667243</v>
      </c>
      <c r="AG4461" s="55" t="n">
        <f aca="false">AE4461+ROW()*0.000000001</f>
        <v>43.2432290589532</v>
      </c>
    </row>
    <row r="4462" customFormat="false" ht="15" hidden="false" customHeight="false" outlineLevel="0" collapsed="false">
      <c r="A4462" s="0" t="n">
        <v>6</v>
      </c>
      <c r="B4462" s="0" t="n">
        <v>1</v>
      </c>
      <c r="C4462" s="0" t="n">
        <v>0</v>
      </c>
      <c r="D4462" s="0" t="n">
        <v>2</v>
      </c>
      <c r="E4462" s="0" t="n">
        <f aca="false">-1+A4462*0.25</f>
        <v>0.5</v>
      </c>
      <c r="F4462" s="0" t="n">
        <f aca="false">-1+B4462*0.25</f>
        <v>-0.75</v>
      </c>
      <c r="G4462" s="0" t="n">
        <f aca="false">-1+C4462*0.25</f>
        <v>-1</v>
      </c>
      <c r="H4462" s="0" t="n">
        <f aca="false">-1+D4462*0.25</f>
        <v>-0.5</v>
      </c>
      <c r="I4462" s="0" t="n">
        <f aca="false">1</f>
        <v>1</v>
      </c>
      <c r="J4462" s="0" t="n">
        <f aca="false">E4462</f>
        <v>0.5</v>
      </c>
      <c r="K4462" s="0" t="n">
        <f aca="false">F4462</f>
        <v>-0.75</v>
      </c>
      <c r="L4462" s="0" t="n">
        <f aca="false">G4462</f>
        <v>-1</v>
      </c>
      <c r="M4462" s="0" t="n">
        <f aca="false">H4462</f>
        <v>-0.5</v>
      </c>
      <c r="N4462" s="0" t="n">
        <f aca="false">E4462*F4462</f>
        <v>-0.375</v>
      </c>
      <c r="O4462" s="0" t="n">
        <f aca="false">E4462*G4462</f>
        <v>-0.5</v>
      </c>
      <c r="P4462" s="0" t="n">
        <f aca="false">E4462*H4462</f>
        <v>-0.25</v>
      </c>
      <c r="Q4462" s="0" t="n">
        <f aca="false">F4462*G4462</f>
        <v>0.75</v>
      </c>
      <c r="R4462" s="0" t="n">
        <f aca="false">F4462*H4462</f>
        <v>0.375</v>
      </c>
      <c r="S4462" s="0" t="n">
        <f aca="false">G4462*H4462</f>
        <v>0.5</v>
      </c>
      <c r="T4462" s="0" t="n">
        <f aca="false">E4462*E4462</f>
        <v>0.25</v>
      </c>
      <c r="U4462" s="0" t="n">
        <f aca="false">F4462*F4462</f>
        <v>0.5625</v>
      </c>
      <c r="V4462" s="0" t="n">
        <f aca="false">G4462*G4462</f>
        <v>1</v>
      </c>
      <c r="W4462" s="0" t="n">
        <f aca="false">H4462*H4462</f>
        <v>0.25</v>
      </c>
      <c r="X4462" s="0" t="n">
        <f aca="false">SUMPRODUCT(I4462:W4462,_XtX!$B$96:$P$96)</f>
        <v>43.4477247807017</v>
      </c>
      <c r="Y4462" s="0" t="n">
        <f aca="false">SUMPRODUCT(MMULT(I4462:W4462,_XtX!$B$78:$P$92),I4462:W4462)</f>
        <v>0.42602110745614</v>
      </c>
      <c r="Z4462" s="0" t="n">
        <f aca="false">04_回帰ANOVA!$K$19*04_回帰ANOVA!$K$14*SQRT(1+Y4462)</f>
        <v>1.55654388501114</v>
      </c>
      <c r="AA4462" s="0" t="n">
        <f aca="false">X4462-Z4462</f>
        <v>41.8911808956906</v>
      </c>
      <c r="AB4462" s="0" t="n">
        <f aca="false">X4462+Z4462</f>
        <v>45.0042686657129</v>
      </c>
      <c r="AC4462" s="54" t="b">
        <f aca="false">AND(E4462&gt;=01_因子設定!$L$5-0.000000001,E4462&lt;=01_因子設定!$M$5+0.000000001,F4462&gt;=01_因子設定!$L$6-0.000000001,F4462&lt;=01_因子設定!$M$6+0.000000001,G4462&gt;=01_因子設定!$L$7-0.000000001,G4462&lt;=01_因子設定!$M$7+0.000000001,H4462&gt;=01_因子設定!$L$8-0.000000001,H4462&lt;=01_因子設定!$M$8+0.000000001,IF(01_因子設定!$B$20="Box-Behnken",E4462^2+F4462^2+G4462^2+H4462^2&lt;=2+0.000000001,TRUE()))</f>
        <v>1</v>
      </c>
      <c r="AD4462" s="55" t="n">
        <f aca="false">IF(AC4462,IF(01_因子設定!$B$13="最大化",AA4462-01_因子設定!$B$14,IF(01_因子設定!$B$13="最小化",01_因子設定!$B$15-AB4462,MIN(AA4462-01_因子設定!$B$14,01_因子設定!$B$15-AB4462))),-1E+030)</f>
        <v>-4.60881910430941</v>
      </c>
      <c r="AE4462" s="55" t="n">
        <f aca="false">IF(AC4462,IF(01_因子設定!$B$13="最大化",X4462,IF(01_因子設定!$B$13="最小化",-X4462,-ABS(X4462-01_因子設定!$B$16))),-1E+030)</f>
        <v>43.4477247807017</v>
      </c>
      <c r="AF4462" s="55" t="n">
        <f aca="false">AD4462+ROW()*0.000000001</f>
        <v>-4.60881464230941</v>
      </c>
      <c r="AG4462" s="55" t="n">
        <f aca="false">AE4462+ROW()*0.000000001</f>
        <v>43.4477292427017</v>
      </c>
    </row>
    <row r="4463" customFormat="false" ht="15" hidden="false" customHeight="false" outlineLevel="0" collapsed="false">
      <c r="A4463" s="0" t="n">
        <v>6</v>
      </c>
      <c r="B4463" s="0" t="n">
        <v>1</v>
      </c>
      <c r="C4463" s="0" t="n">
        <v>0</v>
      </c>
      <c r="D4463" s="0" t="n">
        <v>3</v>
      </c>
      <c r="E4463" s="0" t="n">
        <f aca="false">-1+A4463*0.25</f>
        <v>0.5</v>
      </c>
      <c r="F4463" s="0" t="n">
        <f aca="false">-1+B4463*0.25</f>
        <v>-0.75</v>
      </c>
      <c r="G4463" s="0" t="n">
        <f aca="false">-1+C4463*0.25</f>
        <v>-1</v>
      </c>
      <c r="H4463" s="0" t="n">
        <f aca="false">-1+D4463*0.25</f>
        <v>-0.25</v>
      </c>
      <c r="I4463" s="0" t="n">
        <f aca="false">1</f>
        <v>1</v>
      </c>
      <c r="J4463" s="0" t="n">
        <f aca="false">E4463</f>
        <v>0.5</v>
      </c>
      <c r="K4463" s="0" t="n">
        <f aca="false">F4463</f>
        <v>-0.75</v>
      </c>
      <c r="L4463" s="0" t="n">
        <f aca="false">G4463</f>
        <v>-1</v>
      </c>
      <c r="M4463" s="0" t="n">
        <f aca="false">H4463</f>
        <v>-0.25</v>
      </c>
      <c r="N4463" s="0" t="n">
        <f aca="false">E4463*F4463</f>
        <v>-0.375</v>
      </c>
      <c r="O4463" s="0" t="n">
        <f aca="false">E4463*G4463</f>
        <v>-0.5</v>
      </c>
      <c r="P4463" s="0" t="n">
        <f aca="false">E4463*H4463</f>
        <v>-0.125</v>
      </c>
      <c r="Q4463" s="0" t="n">
        <f aca="false">F4463*G4463</f>
        <v>0.75</v>
      </c>
      <c r="R4463" s="0" t="n">
        <f aca="false">F4463*H4463</f>
        <v>0.1875</v>
      </c>
      <c r="S4463" s="0" t="n">
        <f aca="false">G4463*H4463</f>
        <v>0.25</v>
      </c>
      <c r="T4463" s="0" t="n">
        <f aca="false">E4463*E4463</f>
        <v>0.25</v>
      </c>
      <c r="U4463" s="0" t="n">
        <f aca="false">F4463*F4463</f>
        <v>0.5625</v>
      </c>
      <c r="V4463" s="0" t="n">
        <f aca="false">G4463*G4463</f>
        <v>1</v>
      </c>
      <c r="W4463" s="0" t="n">
        <f aca="false">H4463*H4463</f>
        <v>0.0625</v>
      </c>
      <c r="X4463" s="0" t="n">
        <f aca="false">SUMPRODUCT(I4463:W4463,_XtX!$B$96:$P$96)</f>
        <v>43.6044179459064</v>
      </c>
      <c r="Y4463" s="0" t="n">
        <f aca="false">SUMPRODUCT(MMULT(I4463:W4463,_XtX!$B$78:$P$92),I4463:W4463)</f>
        <v>0.459125719572369</v>
      </c>
      <c r="Z4463" s="0" t="n">
        <f aca="false">04_回帰ANOVA!$K$19*04_回帰ANOVA!$K$14*SQRT(1+Y4463)</f>
        <v>1.57450755575573</v>
      </c>
      <c r="AA4463" s="0" t="n">
        <f aca="false">X4463-Z4463</f>
        <v>42.0299103901507</v>
      </c>
      <c r="AB4463" s="0" t="n">
        <f aca="false">X4463+Z4463</f>
        <v>45.1789255016621</v>
      </c>
      <c r="AC4463" s="54" t="b">
        <f aca="false">AND(E4463&gt;=01_因子設定!$L$5-0.000000001,E4463&lt;=01_因子設定!$M$5+0.000000001,F4463&gt;=01_因子設定!$L$6-0.000000001,F4463&lt;=01_因子設定!$M$6+0.000000001,G4463&gt;=01_因子設定!$L$7-0.000000001,G4463&lt;=01_因子設定!$M$7+0.000000001,H4463&gt;=01_因子設定!$L$8-0.000000001,H4463&lt;=01_因子設定!$M$8+0.000000001,IF(01_因子設定!$B$20="Box-Behnken",E4463^2+F4463^2+G4463^2+H4463^2&lt;=2+0.000000001,TRUE()))</f>
        <v>1</v>
      </c>
      <c r="AD4463" s="55" t="n">
        <f aca="false">IF(AC4463,IF(01_因子設定!$B$13="最大化",AA4463-01_因子設定!$B$14,IF(01_因子設定!$B$13="最小化",01_因子設定!$B$15-AB4463,MIN(AA4463-01_因子設定!$B$14,01_因子設定!$B$15-AB4463))),-1E+030)</f>
        <v>-4.47008960984933</v>
      </c>
      <c r="AE4463" s="55" t="n">
        <f aca="false">IF(AC4463,IF(01_因子設定!$B$13="最大化",X4463,IF(01_因子設定!$B$13="最小化",-X4463,-ABS(X4463-01_因子設定!$B$16))),-1E+030)</f>
        <v>43.6044179459064</v>
      </c>
      <c r="AF4463" s="55" t="n">
        <f aca="false">AD4463+ROW()*0.000000001</f>
        <v>-4.47008514684933</v>
      </c>
      <c r="AG4463" s="55" t="n">
        <f aca="false">AE4463+ROW()*0.000000001</f>
        <v>43.6044224089064</v>
      </c>
    </row>
    <row r="4464" customFormat="false" ht="15" hidden="false" customHeight="false" outlineLevel="0" collapsed="false">
      <c r="A4464" s="0" t="n">
        <v>6</v>
      </c>
      <c r="B4464" s="0" t="n">
        <v>1</v>
      </c>
      <c r="C4464" s="0" t="n">
        <v>0</v>
      </c>
      <c r="D4464" s="0" t="n">
        <v>4</v>
      </c>
      <c r="E4464" s="0" t="n">
        <f aca="false">-1+A4464*0.25</f>
        <v>0.5</v>
      </c>
      <c r="F4464" s="0" t="n">
        <f aca="false">-1+B4464*0.25</f>
        <v>-0.75</v>
      </c>
      <c r="G4464" s="0" t="n">
        <f aca="false">-1+C4464*0.25</f>
        <v>-1</v>
      </c>
      <c r="H4464" s="0" t="n">
        <f aca="false">-1+D4464*0.25</f>
        <v>0</v>
      </c>
      <c r="I4464" s="0" t="n">
        <f aca="false">1</f>
        <v>1</v>
      </c>
      <c r="J4464" s="0" t="n">
        <f aca="false">E4464</f>
        <v>0.5</v>
      </c>
      <c r="K4464" s="0" t="n">
        <f aca="false">F4464</f>
        <v>-0.75</v>
      </c>
      <c r="L4464" s="0" t="n">
        <f aca="false">G4464</f>
        <v>-1</v>
      </c>
      <c r="M4464" s="0" t="n">
        <f aca="false">H4464</f>
        <v>0</v>
      </c>
      <c r="N4464" s="0" t="n">
        <f aca="false">E4464*F4464</f>
        <v>-0.375</v>
      </c>
      <c r="O4464" s="0" t="n">
        <f aca="false">E4464*G4464</f>
        <v>-0.5</v>
      </c>
      <c r="P4464" s="0" t="n">
        <f aca="false">E4464*H4464</f>
        <v>0</v>
      </c>
      <c r="Q4464" s="0" t="n">
        <f aca="false">F4464*G4464</f>
        <v>0.75</v>
      </c>
      <c r="R4464" s="0" t="n">
        <f aca="false">F4464*H4464</f>
        <v>-0</v>
      </c>
      <c r="S4464" s="0" t="n">
        <f aca="false">G4464*H4464</f>
        <v>-0</v>
      </c>
      <c r="T4464" s="0" t="n">
        <f aca="false">E4464*E4464</f>
        <v>0.25</v>
      </c>
      <c r="U4464" s="0" t="n">
        <f aca="false">F4464*F4464</f>
        <v>0.5625</v>
      </c>
      <c r="V4464" s="0" t="n">
        <f aca="false">G4464*G4464</f>
        <v>1</v>
      </c>
      <c r="W4464" s="0" t="n">
        <f aca="false">H4464*H4464</f>
        <v>0</v>
      </c>
      <c r="X4464" s="0" t="n">
        <f aca="false">SUMPRODUCT(I4464:W4464,_XtX!$B$96:$P$96)</f>
        <v>43.7133040935672</v>
      </c>
      <c r="Y4464" s="0" t="n">
        <f aca="false">SUMPRODUCT(MMULT(I4464:W4464,_XtX!$B$78:$P$92),I4464:W4464)</f>
        <v>0.476191292032164</v>
      </c>
      <c r="Z4464" s="0" t="n">
        <f aca="false">04_回帰ANOVA!$K$19*04_回帰ANOVA!$K$14*SQRT(1+Y4464)</f>
        <v>1.58368831471718</v>
      </c>
      <c r="AA4464" s="0" t="n">
        <f aca="false">X4464-Z4464</f>
        <v>42.12961577885</v>
      </c>
      <c r="AB4464" s="0" t="n">
        <f aca="false">X4464+Z4464</f>
        <v>45.2969924082844</v>
      </c>
      <c r="AC4464" s="54" t="b">
        <f aca="false">AND(E4464&gt;=01_因子設定!$L$5-0.000000001,E4464&lt;=01_因子設定!$M$5+0.000000001,F4464&gt;=01_因子設定!$L$6-0.000000001,F4464&lt;=01_因子設定!$M$6+0.000000001,G4464&gt;=01_因子設定!$L$7-0.000000001,G4464&lt;=01_因子設定!$M$7+0.000000001,H4464&gt;=01_因子設定!$L$8-0.000000001,H4464&lt;=01_因子設定!$M$8+0.000000001,IF(01_因子設定!$B$20="Box-Behnken",E4464^2+F4464^2+G4464^2+H4464^2&lt;=2+0.000000001,TRUE()))</f>
        <v>1</v>
      </c>
      <c r="AD4464" s="55" t="n">
        <f aca="false">IF(AC4464,IF(01_因子設定!$B$13="最大化",AA4464-01_因子設定!$B$14,IF(01_因子設定!$B$13="最小化",01_因子設定!$B$15-AB4464,MIN(AA4464-01_因子設定!$B$14,01_因子設定!$B$15-AB4464))),-1E+030)</f>
        <v>-4.37038422114997</v>
      </c>
      <c r="AE4464" s="55" t="n">
        <f aca="false">IF(AC4464,IF(01_因子設定!$B$13="最大化",X4464,IF(01_因子設定!$B$13="最小化",-X4464,-ABS(X4464-01_因子設定!$B$16))),-1E+030)</f>
        <v>43.7133040935672</v>
      </c>
      <c r="AF4464" s="55" t="n">
        <f aca="false">AD4464+ROW()*0.000000001</f>
        <v>-4.37037975714997</v>
      </c>
      <c r="AG4464" s="55" t="n">
        <f aca="false">AE4464+ROW()*0.000000001</f>
        <v>43.7133085575672</v>
      </c>
    </row>
    <row r="4465" customFormat="false" ht="15" hidden="false" customHeight="false" outlineLevel="0" collapsed="false">
      <c r="A4465" s="0" t="n">
        <v>6</v>
      </c>
      <c r="B4465" s="0" t="n">
        <v>1</v>
      </c>
      <c r="C4465" s="0" t="n">
        <v>0</v>
      </c>
      <c r="D4465" s="0" t="n">
        <v>5</v>
      </c>
      <c r="E4465" s="0" t="n">
        <f aca="false">-1+A4465*0.25</f>
        <v>0.5</v>
      </c>
      <c r="F4465" s="0" t="n">
        <f aca="false">-1+B4465*0.25</f>
        <v>-0.75</v>
      </c>
      <c r="G4465" s="0" t="n">
        <f aca="false">-1+C4465*0.25</f>
        <v>-1</v>
      </c>
      <c r="H4465" s="0" t="n">
        <f aca="false">-1+D4465*0.25</f>
        <v>0.25</v>
      </c>
      <c r="I4465" s="0" t="n">
        <f aca="false">1</f>
        <v>1</v>
      </c>
      <c r="J4465" s="0" t="n">
        <f aca="false">E4465</f>
        <v>0.5</v>
      </c>
      <c r="K4465" s="0" t="n">
        <f aca="false">F4465</f>
        <v>-0.75</v>
      </c>
      <c r="L4465" s="0" t="n">
        <f aca="false">G4465</f>
        <v>-1</v>
      </c>
      <c r="M4465" s="0" t="n">
        <f aca="false">H4465</f>
        <v>0.25</v>
      </c>
      <c r="N4465" s="0" t="n">
        <f aca="false">E4465*F4465</f>
        <v>-0.375</v>
      </c>
      <c r="O4465" s="0" t="n">
        <f aca="false">E4465*G4465</f>
        <v>-0.5</v>
      </c>
      <c r="P4465" s="0" t="n">
        <f aca="false">E4465*H4465</f>
        <v>0.125</v>
      </c>
      <c r="Q4465" s="0" t="n">
        <f aca="false">F4465*G4465</f>
        <v>0.75</v>
      </c>
      <c r="R4465" s="0" t="n">
        <f aca="false">F4465*H4465</f>
        <v>-0.1875</v>
      </c>
      <c r="S4465" s="0" t="n">
        <f aca="false">G4465*H4465</f>
        <v>-0.25</v>
      </c>
      <c r="T4465" s="0" t="n">
        <f aca="false">E4465*E4465</f>
        <v>0.25</v>
      </c>
      <c r="U4465" s="0" t="n">
        <f aca="false">F4465*F4465</f>
        <v>0.5625</v>
      </c>
      <c r="V4465" s="0" t="n">
        <f aca="false">G4465*G4465</f>
        <v>1</v>
      </c>
      <c r="W4465" s="0" t="n">
        <f aca="false">H4465*H4465</f>
        <v>0.0625</v>
      </c>
      <c r="X4465" s="0" t="n">
        <f aca="false">SUMPRODUCT(I4465:W4465,_XtX!$B$96:$P$96)</f>
        <v>43.7743832236842</v>
      </c>
      <c r="Y4465" s="0" t="n">
        <f aca="false">SUMPRODUCT(MMULT(I4465:W4465,_XtX!$B$78:$P$92),I4465:W4465)</f>
        <v>0.459125719572369</v>
      </c>
      <c r="Z4465" s="0" t="n">
        <f aca="false">04_回帰ANOVA!$K$19*04_回帰ANOVA!$K$14*SQRT(1+Y4465)</f>
        <v>1.57450755575573</v>
      </c>
      <c r="AA4465" s="0" t="n">
        <f aca="false">X4465-Z4465</f>
        <v>42.1998756679284</v>
      </c>
      <c r="AB4465" s="0" t="n">
        <f aca="false">X4465+Z4465</f>
        <v>45.3488907794399</v>
      </c>
      <c r="AC4465" s="54" t="b">
        <f aca="false">AND(E4465&gt;=01_因子設定!$L$5-0.000000001,E4465&lt;=01_因子設定!$M$5+0.000000001,F4465&gt;=01_因子設定!$L$6-0.000000001,F4465&lt;=01_因子設定!$M$6+0.000000001,G4465&gt;=01_因子設定!$L$7-0.000000001,G4465&lt;=01_因子設定!$M$7+0.000000001,H4465&gt;=01_因子設定!$L$8-0.000000001,H4465&lt;=01_因子設定!$M$8+0.000000001,IF(01_因子設定!$B$20="Box-Behnken",E4465^2+F4465^2+G4465^2+H4465^2&lt;=2+0.000000001,TRUE()))</f>
        <v>1</v>
      </c>
      <c r="AD4465" s="55" t="n">
        <f aca="false">IF(AC4465,IF(01_因子設定!$B$13="最大化",AA4465-01_因子設定!$B$14,IF(01_因子設定!$B$13="最小化",01_因子設定!$B$15-AB4465,MIN(AA4465-01_因子設定!$B$14,01_因子設定!$B$15-AB4465))),-1E+030)</f>
        <v>-4.30012433207155</v>
      </c>
      <c r="AE4465" s="55" t="n">
        <f aca="false">IF(AC4465,IF(01_因子設定!$B$13="最大化",X4465,IF(01_因子設定!$B$13="最小化",-X4465,-ABS(X4465-01_因子設定!$B$16))),-1E+030)</f>
        <v>43.7743832236842</v>
      </c>
      <c r="AF4465" s="55" t="n">
        <f aca="false">AD4465+ROW()*0.000000001</f>
        <v>-4.30011986707156</v>
      </c>
      <c r="AG4465" s="55" t="n">
        <f aca="false">AE4465+ROW()*0.000000001</f>
        <v>43.7743876886842</v>
      </c>
    </row>
    <row r="4466" customFormat="false" ht="15" hidden="false" customHeight="false" outlineLevel="0" collapsed="false">
      <c r="A4466" s="0" t="n">
        <v>6</v>
      </c>
      <c r="B4466" s="0" t="n">
        <v>1</v>
      </c>
      <c r="C4466" s="0" t="n">
        <v>0</v>
      </c>
      <c r="D4466" s="0" t="n">
        <v>6</v>
      </c>
      <c r="E4466" s="0" t="n">
        <f aca="false">-1+A4466*0.25</f>
        <v>0.5</v>
      </c>
      <c r="F4466" s="0" t="n">
        <f aca="false">-1+B4466*0.25</f>
        <v>-0.75</v>
      </c>
      <c r="G4466" s="0" t="n">
        <f aca="false">-1+C4466*0.25</f>
        <v>-1</v>
      </c>
      <c r="H4466" s="0" t="n">
        <f aca="false">-1+D4466*0.25</f>
        <v>0.5</v>
      </c>
      <c r="I4466" s="0" t="n">
        <f aca="false">1</f>
        <v>1</v>
      </c>
      <c r="J4466" s="0" t="n">
        <f aca="false">E4466</f>
        <v>0.5</v>
      </c>
      <c r="K4466" s="0" t="n">
        <f aca="false">F4466</f>
        <v>-0.75</v>
      </c>
      <c r="L4466" s="0" t="n">
        <f aca="false">G4466</f>
        <v>-1</v>
      </c>
      <c r="M4466" s="0" t="n">
        <f aca="false">H4466</f>
        <v>0.5</v>
      </c>
      <c r="N4466" s="0" t="n">
        <f aca="false">E4466*F4466</f>
        <v>-0.375</v>
      </c>
      <c r="O4466" s="0" t="n">
        <f aca="false">E4466*G4466</f>
        <v>-0.5</v>
      </c>
      <c r="P4466" s="0" t="n">
        <f aca="false">E4466*H4466</f>
        <v>0.25</v>
      </c>
      <c r="Q4466" s="0" t="n">
        <f aca="false">F4466*G4466</f>
        <v>0.75</v>
      </c>
      <c r="R4466" s="0" t="n">
        <f aca="false">F4466*H4466</f>
        <v>-0.375</v>
      </c>
      <c r="S4466" s="0" t="n">
        <f aca="false">G4466*H4466</f>
        <v>-0.5</v>
      </c>
      <c r="T4466" s="0" t="n">
        <f aca="false">E4466*E4466</f>
        <v>0.25</v>
      </c>
      <c r="U4466" s="0" t="n">
        <f aca="false">F4466*F4466</f>
        <v>0.5625</v>
      </c>
      <c r="V4466" s="0" t="n">
        <f aca="false">G4466*G4466</f>
        <v>1</v>
      </c>
      <c r="W4466" s="0" t="n">
        <f aca="false">H4466*H4466</f>
        <v>0.25</v>
      </c>
      <c r="X4466" s="0" t="n">
        <f aca="false">SUMPRODUCT(I4466:W4466,_XtX!$B$96:$P$96)</f>
        <v>43.7876553362573</v>
      </c>
      <c r="Y4466" s="0" t="n">
        <f aca="false">SUMPRODUCT(MMULT(I4466:W4466,_XtX!$B$78:$P$92),I4466:W4466)</f>
        <v>0.42602110745614</v>
      </c>
      <c r="Z4466" s="0" t="n">
        <f aca="false">04_回帰ANOVA!$K$19*04_回帰ANOVA!$K$14*SQRT(1+Y4466)</f>
        <v>1.55654388501114</v>
      </c>
      <c r="AA4466" s="0" t="n">
        <f aca="false">X4466-Z4466</f>
        <v>42.2311114512461</v>
      </c>
      <c r="AB4466" s="0" t="n">
        <f aca="false">X4466+Z4466</f>
        <v>45.3441992212684</v>
      </c>
      <c r="AC4466" s="54" t="b">
        <f aca="false">AND(E4466&gt;=01_因子設定!$L$5-0.000000001,E4466&lt;=01_因子設定!$M$5+0.000000001,F4466&gt;=01_因子設定!$L$6-0.000000001,F4466&lt;=01_因子設定!$M$6+0.000000001,G4466&gt;=01_因子設定!$L$7-0.000000001,G4466&lt;=01_因子設定!$M$7+0.000000001,H4466&gt;=01_因子設定!$L$8-0.000000001,H4466&lt;=01_因子設定!$M$8+0.000000001,IF(01_因子設定!$B$20="Box-Behnken",E4466^2+F4466^2+G4466^2+H4466^2&lt;=2+0.000000001,TRUE()))</f>
        <v>1</v>
      </c>
      <c r="AD4466" s="55" t="n">
        <f aca="false">IF(AC4466,IF(01_因子設定!$B$13="最大化",AA4466-01_因子設定!$B$14,IF(01_因子設定!$B$13="最小化",01_因子設定!$B$15-AB4466,MIN(AA4466-01_因子設定!$B$14,01_因子設定!$B$15-AB4466))),-1E+030)</f>
        <v>-4.26888854875386</v>
      </c>
      <c r="AE4466" s="55" t="n">
        <f aca="false">IF(AC4466,IF(01_因子設定!$B$13="最大化",X4466,IF(01_因子設定!$B$13="最小化",-X4466,-ABS(X4466-01_因子設定!$B$16))),-1E+030)</f>
        <v>43.7876553362573</v>
      </c>
      <c r="AF4466" s="55" t="n">
        <f aca="false">AD4466+ROW()*0.000000001</f>
        <v>-4.26888408275386</v>
      </c>
      <c r="AG4466" s="55" t="n">
        <f aca="false">AE4466+ROW()*0.000000001</f>
        <v>43.7876598022573</v>
      </c>
    </row>
    <row r="4467" customFormat="false" ht="15" hidden="false" customHeight="false" outlineLevel="0" collapsed="false">
      <c r="A4467" s="0" t="n">
        <v>6</v>
      </c>
      <c r="B4467" s="0" t="n">
        <v>1</v>
      </c>
      <c r="C4467" s="0" t="n">
        <v>0</v>
      </c>
      <c r="D4467" s="0" t="n">
        <v>7</v>
      </c>
      <c r="E4467" s="0" t="n">
        <f aca="false">-1+A4467*0.25</f>
        <v>0.5</v>
      </c>
      <c r="F4467" s="0" t="n">
        <f aca="false">-1+B4467*0.25</f>
        <v>-0.75</v>
      </c>
      <c r="G4467" s="0" t="n">
        <f aca="false">-1+C4467*0.25</f>
        <v>-1</v>
      </c>
      <c r="H4467" s="0" t="n">
        <f aca="false">-1+D4467*0.25</f>
        <v>0.75</v>
      </c>
      <c r="I4467" s="0" t="n">
        <f aca="false">1</f>
        <v>1</v>
      </c>
      <c r="J4467" s="0" t="n">
        <f aca="false">E4467</f>
        <v>0.5</v>
      </c>
      <c r="K4467" s="0" t="n">
        <f aca="false">F4467</f>
        <v>-0.75</v>
      </c>
      <c r="L4467" s="0" t="n">
        <f aca="false">G4467</f>
        <v>-1</v>
      </c>
      <c r="M4467" s="0" t="n">
        <f aca="false">H4467</f>
        <v>0.75</v>
      </c>
      <c r="N4467" s="0" t="n">
        <f aca="false">E4467*F4467</f>
        <v>-0.375</v>
      </c>
      <c r="O4467" s="0" t="n">
        <f aca="false">E4467*G4467</f>
        <v>-0.5</v>
      </c>
      <c r="P4467" s="0" t="n">
        <f aca="false">E4467*H4467</f>
        <v>0.375</v>
      </c>
      <c r="Q4467" s="0" t="n">
        <f aca="false">F4467*G4467</f>
        <v>0.75</v>
      </c>
      <c r="R4467" s="0" t="n">
        <f aca="false">F4467*H4467</f>
        <v>-0.5625</v>
      </c>
      <c r="S4467" s="0" t="n">
        <f aca="false">G4467*H4467</f>
        <v>-0.75</v>
      </c>
      <c r="T4467" s="0" t="n">
        <f aca="false">E4467*E4467</f>
        <v>0.25</v>
      </c>
      <c r="U4467" s="0" t="n">
        <f aca="false">F4467*F4467</f>
        <v>0.5625</v>
      </c>
      <c r="V4467" s="0" t="n">
        <f aca="false">G4467*G4467</f>
        <v>1</v>
      </c>
      <c r="W4467" s="0" t="n">
        <f aca="false">H4467*H4467</f>
        <v>0.5625</v>
      </c>
      <c r="X4467" s="0" t="n">
        <f aca="false">SUMPRODUCT(I4467:W4467,_XtX!$B$96:$P$96)</f>
        <v>43.7531204312865</v>
      </c>
      <c r="Y4467" s="0" t="n">
        <f aca="false">SUMPRODUCT(MMULT(I4467:W4467,_XtX!$B$78:$P$92),I4467:W4467)</f>
        <v>0.431153771472953</v>
      </c>
      <c r="Z4467" s="0" t="n">
        <f aca="false">04_回帰ANOVA!$K$19*04_回帰ANOVA!$K$14*SQRT(1+Y4467)</f>
        <v>1.55934259562563</v>
      </c>
      <c r="AA4467" s="0" t="n">
        <f aca="false">X4467-Z4467</f>
        <v>42.1937778356609</v>
      </c>
      <c r="AB4467" s="0" t="n">
        <f aca="false">X4467+Z4467</f>
        <v>45.3124630269122</v>
      </c>
      <c r="AC4467" s="54" t="b">
        <f aca="false">AND(E4467&gt;=01_因子設定!$L$5-0.000000001,E4467&lt;=01_因子設定!$M$5+0.000000001,F4467&gt;=01_因子設定!$L$6-0.000000001,F4467&lt;=01_因子設定!$M$6+0.000000001,G4467&gt;=01_因子設定!$L$7-0.000000001,G4467&lt;=01_因子設定!$M$7+0.000000001,H4467&gt;=01_因子設定!$L$8-0.000000001,H4467&lt;=01_因子設定!$M$8+0.000000001,IF(01_因子設定!$B$20="Box-Behnken",E4467^2+F4467^2+G4467^2+H4467^2&lt;=2+0.000000001,TRUE()))</f>
        <v>1</v>
      </c>
      <c r="AD4467" s="55" t="n">
        <f aca="false">IF(AC4467,IF(01_因子設定!$B$13="最大化",AA4467-01_因子設定!$B$14,IF(01_因子設定!$B$13="最小化",01_因子設定!$B$15-AB4467,MIN(AA4467-01_因子設定!$B$14,01_因子設定!$B$15-AB4467))),-1E+030)</f>
        <v>-4.3062221643391</v>
      </c>
      <c r="AE4467" s="55" t="n">
        <f aca="false">IF(AC4467,IF(01_因子設定!$B$13="最大化",X4467,IF(01_因子設定!$B$13="最小化",-X4467,-ABS(X4467-01_因子設定!$B$16))),-1E+030)</f>
        <v>43.7531204312865</v>
      </c>
      <c r="AF4467" s="55" t="n">
        <f aca="false">AD4467+ROW()*0.000000001</f>
        <v>-4.3062176973391</v>
      </c>
      <c r="AG4467" s="55" t="n">
        <f aca="false">AE4467+ROW()*0.000000001</f>
        <v>43.7531248982865</v>
      </c>
    </row>
    <row r="4468" customFormat="false" ht="15" hidden="false" customHeight="false" outlineLevel="0" collapsed="false">
      <c r="A4468" s="0" t="n">
        <v>6</v>
      </c>
      <c r="B4468" s="0" t="n">
        <v>1</v>
      </c>
      <c r="C4468" s="0" t="n">
        <v>0</v>
      </c>
      <c r="D4468" s="0" t="n">
        <v>8</v>
      </c>
      <c r="E4468" s="0" t="n">
        <f aca="false">-1+A4468*0.25</f>
        <v>0.5</v>
      </c>
      <c r="F4468" s="0" t="n">
        <f aca="false">-1+B4468*0.25</f>
        <v>-0.75</v>
      </c>
      <c r="G4468" s="0" t="n">
        <f aca="false">-1+C4468*0.25</f>
        <v>-1</v>
      </c>
      <c r="H4468" s="0" t="n">
        <f aca="false">-1+D4468*0.25</f>
        <v>1</v>
      </c>
      <c r="I4468" s="0" t="n">
        <f aca="false">1</f>
        <v>1</v>
      </c>
      <c r="J4468" s="0" t="n">
        <f aca="false">E4468</f>
        <v>0.5</v>
      </c>
      <c r="K4468" s="0" t="n">
        <f aca="false">F4468</f>
        <v>-0.75</v>
      </c>
      <c r="L4468" s="0" t="n">
        <f aca="false">G4468</f>
        <v>-1</v>
      </c>
      <c r="M4468" s="0" t="n">
        <f aca="false">H4468</f>
        <v>1</v>
      </c>
      <c r="N4468" s="0" t="n">
        <f aca="false">E4468*F4468</f>
        <v>-0.375</v>
      </c>
      <c r="O4468" s="0" t="n">
        <f aca="false">E4468*G4468</f>
        <v>-0.5</v>
      </c>
      <c r="P4468" s="0" t="n">
        <f aca="false">E4468*H4468</f>
        <v>0.5</v>
      </c>
      <c r="Q4468" s="0" t="n">
        <f aca="false">F4468*G4468</f>
        <v>0.75</v>
      </c>
      <c r="R4468" s="0" t="n">
        <f aca="false">F4468*H4468</f>
        <v>-0.75</v>
      </c>
      <c r="S4468" s="0" t="n">
        <f aca="false">G4468*H4468</f>
        <v>-1</v>
      </c>
      <c r="T4468" s="0" t="n">
        <f aca="false">E4468*E4468</f>
        <v>0.25</v>
      </c>
      <c r="U4468" s="0" t="n">
        <f aca="false">F4468*F4468</f>
        <v>0.5625</v>
      </c>
      <c r="V4468" s="0" t="n">
        <f aca="false">G4468*G4468</f>
        <v>1</v>
      </c>
      <c r="W4468" s="0" t="n">
        <f aca="false">H4468*H4468</f>
        <v>1</v>
      </c>
      <c r="X4468" s="0" t="n">
        <f aca="false">SUMPRODUCT(I4468:W4468,_XtX!$B$96:$P$96)</f>
        <v>43.6707785087719</v>
      </c>
      <c r="Y4468" s="0" t="n">
        <f aca="false">SUMPRODUCT(MMULT(I4468:W4468,_XtX!$B$78:$P$92),I4468:W4468)</f>
        <v>0.564984237938597</v>
      </c>
      <c r="Z4468" s="0" t="n">
        <f aca="false">04_回帰ANOVA!$K$19*04_回帰ANOVA!$K$14*SQRT(1+Y4468)</f>
        <v>1.63062229734503</v>
      </c>
      <c r="AA4468" s="0" t="n">
        <f aca="false">X4468-Z4468</f>
        <v>42.0401562114269</v>
      </c>
      <c r="AB4468" s="0" t="n">
        <f aca="false">X4468+Z4468</f>
        <v>45.301400806117</v>
      </c>
      <c r="AC4468" s="54" t="b">
        <f aca="false">AND(E4468&gt;=01_因子設定!$L$5-0.000000001,E4468&lt;=01_因子設定!$M$5+0.000000001,F4468&gt;=01_因子設定!$L$6-0.000000001,F4468&lt;=01_因子設定!$M$6+0.000000001,G4468&gt;=01_因子設定!$L$7-0.000000001,G4468&lt;=01_因子設定!$M$7+0.000000001,H4468&gt;=01_因子設定!$L$8-0.000000001,H4468&lt;=01_因子設定!$M$8+0.000000001,IF(01_因子設定!$B$20="Box-Behnken",E4468^2+F4468^2+G4468^2+H4468^2&lt;=2+0.000000001,TRUE()))</f>
        <v>1</v>
      </c>
      <c r="AD4468" s="55" t="n">
        <f aca="false">IF(AC4468,IF(01_因子設定!$B$13="最大化",AA4468-01_因子設定!$B$14,IF(01_因子設定!$B$13="最小化",01_因子設定!$B$15-AB4468,MIN(AA4468-01_因子設定!$B$14,01_因子設定!$B$15-AB4468))),-1E+030)</f>
        <v>-4.45984378857311</v>
      </c>
      <c r="AE4468" s="55" t="n">
        <f aca="false">IF(AC4468,IF(01_因子設定!$B$13="最大化",X4468,IF(01_因子設定!$B$13="最小化",-X4468,-ABS(X4468-01_因子設定!$B$16))),-1E+030)</f>
        <v>43.6707785087719</v>
      </c>
      <c r="AF4468" s="55" t="n">
        <f aca="false">AD4468+ROW()*0.000000001</f>
        <v>-4.45983932057311</v>
      </c>
      <c r="AG4468" s="55" t="n">
        <f aca="false">AE4468+ROW()*0.000000001</f>
        <v>43.6707829767719</v>
      </c>
    </row>
    <row r="4469" customFormat="false" ht="15" hidden="false" customHeight="false" outlineLevel="0" collapsed="false">
      <c r="A4469" s="0" t="n">
        <v>6</v>
      </c>
      <c r="B4469" s="0" t="n">
        <v>1</v>
      </c>
      <c r="C4469" s="0" t="n">
        <v>1</v>
      </c>
      <c r="D4469" s="0" t="n">
        <v>0</v>
      </c>
      <c r="E4469" s="0" t="n">
        <f aca="false">-1+A4469*0.25</f>
        <v>0.5</v>
      </c>
      <c r="F4469" s="0" t="n">
        <f aca="false">-1+B4469*0.25</f>
        <v>-0.75</v>
      </c>
      <c r="G4469" s="0" t="n">
        <f aca="false">-1+C4469*0.25</f>
        <v>-0.75</v>
      </c>
      <c r="H4469" s="0" t="n">
        <f aca="false">-1+D4469*0.25</f>
        <v>-1</v>
      </c>
      <c r="I4469" s="0" t="n">
        <f aca="false">1</f>
        <v>1</v>
      </c>
      <c r="J4469" s="0" t="n">
        <f aca="false">E4469</f>
        <v>0.5</v>
      </c>
      <c r="K4469" s="0" t="n">
        <f aca="false">F4469</f>
        <v>-0.75</v>
      </c>
      <c r="L4469" s="0" t="n">
        <f aca="false">G4469</f>
        <v>-0.75</v>
      </c>
      <c r="M4469" s="0" t="n">
        <f aca="false">H4469</f>
        <v>-1</v>
      </c>
      <c r="N4469" s="0" t="n">
        <f aca="false">E4469*F4469</f>
        <v>-0.375</v>
      </c>
      <c r="O4469" s="0" t="n">
        <f aca="false">E4469*G4469</f>
        <v>-0.375</v>
      </c>
      <c r="P4469" s="0" t="n">
        <f aca="false">E4469*H4469</f>
        <v>-0.5</v>
      </c>
      <c r="Q4469" s="0" t="n">
        <f aca="false">F4469*G4469</f>
        <v>0.5625</v>
      </c>
      <c r="R4469" s="0" t="n">
        <f aca="false">F4469*H4469</f>
        <v>0.75</v>
      </c>
      <c r="S4469" s="0" t="n">
        <f aca="false">G4469*H4469</f>
        <v>0.75</v>
      </c>
      <c r="T4469" s="0" t="n">
        <f aca="false">E4469*E4469</f>
        <v>0.25</v>
      </c>
      <c r="U4469" s="0" t="n">
        <f aca="false">F4469*F4469</f>
        <v>0.5625</v>
      </c>
      <c r="V4469" s="0" t="n">
        <f aca="false">G4469*G4469</f>
        <v>0.5625</v>
      </c>
      <c r="W4469" s="0" t="n">
        <f aca="false">H4469*H4469</f>
        <v>1</v>
      </c>
      <c r="X4469" s="0" t="n">
        <f aca="false">SUMPRODUCT(I4469:W4469,_XtX!$B$96:$P$96)</f>
        <v>43.3236065423977</v>
      </c>
      <c r="Y4469" s="0" t="n">
        <f aca="false">SUMPRODUCT(MMULT(I4469:W4469,_XtX!$B$78:$P$92),I4469:W4469)</f>
        <v>0.431153771472953</v>
      </c>
      <c r="Z4469" s="0" t="n">
        <f aca="false">04_回帰ANOVA!$K$19*04_回帰ANOVA!$K$14*SQRT(1+Y4469)</f>
        <v>1.55934259562563</v>
      </c>
      <c r="AA4469" s="0" t="n">
        <f aca="false">X4469-Z4469</f>
        <v>41.764263946772</v>
      </c>
      <c r="AB4469" s="0" t="n">
        <f aca="false">X4469+Z4469</f>
        <v>44.8829491380233</v>
      </c>
      <c r="AC4469" s="54" t="b">
        <f aca="false">AND(E4469&gt;=01_因子設定!$L$5-0.000000001,E4469&lt;=01_因子設定!$M$5+0.000000001,F4469&gt;=01_因子設定!$L$6-0.000000001,F4469&lt;=01_因子設定!$M$6+0.000000001,G4469&gt;=01_因子設定!$L$7-0.000000001,G4469&lt;=01_因子設定!$M$7+0.000000001,H4469&gt;=01_因子設定!$L$8-0.000000001,H4469&lt;=01_因子設定!$M$8+0.000000001,IF(01_因子設定!$B$20="Box-Behnken",E4469^2+F4469^2+G4469^2+H4469^2&lt;=2+0.000000001,TRUE()))</f>
        <v>1</v>
      </c>
      <c r="AD4469" s="55" t="n">
        <f aca="false">IF(AC4469,IF(01_因子設定!$B$13="最大化",AA4469-01_因子設定!$B$14,IF(01_因子設定!$B$13="最小化",01_因子設定!$B$15-AB4469,MIN(AA4469-01_因子設定!$B$14,01_因子設定!$B$15-AB4469))),-1E+030)</f>
        <v>-4.73573605322797</v>
      </c>
      <c r="AE4469" s="55" t="n">
        <f aca="false">IF(AC4469,IF(01_因子設定!$B$13="最大化",X4469,IF(01_因子設定!$B$13="最小化",-X4469,-ABS(X4469-01_因子設定!$B$16))),-1E+030)</f>
        <v>43.3236065423977</v>
      </c>
      <c r="AF4469" s="55" t="n">
        <f aca="false">AD4469+ROW()*0.000000001</f>
        <v>-4.73573158422797</v>
      </c>
      <c r="AG4469" s="55" t="n">
        <f aca="false">AE4469+ROW()*0.000000001</f>
        <v>43.3236110113977</v>
      </c>
    </row>
    <row r="4470" customFormat="false" ht="15" hidden="false" customHeight="false" outlineLevel="0" collapsed="false">
      <c r="A4470" s="0" t="n">
        <v>6</v>
      </c>
      <c r="B4470" s="0" t="n">
        <v>1</v>
      </c>
      <c r="C4470" s="0" t="n">
        <v>1</v>
      </c>
      <c r="D4470" s="0" t="n">
        <v>1</v>
      </c>
      <c r="E4470" s="0" t="n">
        <f aca="false">-1+A4470*0.25</f>
        <v>0.5</v>
      </c>
      <c r="F4470" s="0" t="n">
        <f aca="false">-1+B4470*0.25</f>
        <v>-0.75</v>
      </c>
      <c r="G4470" s="0" t="n">
        <f aca="false">-1+C4470*0.25</f>
        <v>-0.75</v>
      </c>
      <c r="H4470" s="0" t="n">
        <f aca="false">-1+D4470*0.25</f>
        <v>-0.75</v>
      </c>
      <c r="I4470" s="0" t="n">
        <f aca="false">1</f>
        <v>1</v>
      </c>
      <c r="J4470" s="0" t="n">
        <f aca="false">E4470</f>
        <v>0.5</v>
      </c>
      <c r="K4470" s="0" t="n">
        <f aca="false">F4470</f>
        <v>-0.75</v>
      </c>
      <c r="L4470" s="0" t="n">
        <f aca="false">G4470</f>
        <v>-0.75</v>
      </c>
      <c r="M4470" s="0" t="n">
        <f aca="false">H4470</f>
        <v>-0.75</v>
      </c>
      <c r="N4470" s="0" t="n">
        <f aca="false">E4470*F4470</f>
        <v>-0.375</v>
      </c>
      <c r="O4470" s="0" t="n">
        <f aca="false">E4470*G4470</f>
        <v>-0.375</v>
      </c>
      <c r="P4470" s="0" t="n">
        <f aca="false">E4470*H4470</f>
        <v>-0.375</v>
      </c>
      <c r="Q4470" s="0" t="n">
        <f aca="false">F4470*G4470</f>
        <v>0.5625</v>
      </c>
      <c r="R4470" s="0" t="n">
        <f aca="false">F4470*H4470</f>
        <v>0.5625</v>
      </c>
      <c r="S4470" s="0" t="n">
        <f aca="false">G4470*H4470</f>
        <v>0.5625</v>
      </c>
      <c r="T4470" s="0" t="n">
        <f aca="false">E4470*E4470</f>
        <v>0.25</v>
      </c>
      <c r="U4470" s="0" t="n">
        <f aca="false">F4470*F4470</f>
        <v>0.5625</v>
      </c>
      <c r="V4470" s="0" t="n">
        <f aca="false">G4470*G4470</f>
        <v>0.5625</v>
      </c>
      <c r="W4470" s="0" t="n">
        <f aca="false">H4470*H4470</f>
        <v>0.5625</v>
      </c>
      <c r="X4470" s="0" t="n">
        <f aca="false">SUMPRODUCT(I4470:W4470,_XtX!$B$96:$P$96)</f>
        <v>43.59388249269</v>
      </c>
      <c r="Y4470" s="0" t="n">
        <f aca="false">SUMPRODUCT(MMULT(I4470:W4470,_XtX!$B$78:$P$92),I4470:W4470)</f>
        <v>0.265632138614766</v>
      </c>
      <c r="Z4470" s="0" t="n">
        <f aca="false">04_回帰ANOVA!$K$19*04_回帰ANOVA!$K$14*SQRT(1+Y4470)</f>
        <v>1.46639894654257</v>
      </c>
      <c r="AA4470" s="0" t="n">
        <f aca="false">X4470-Z4470</f>
        <v>42.1274835461475</v>
      </c>
      <c r="AB4470" s="0" t="n">
        <f aca="false">X4470+Z4470</f>
        <v>45.0602814392326</v>
      </c>
      <c r="AC4470" s="54" t="b">
        <f aca="false">AND(E4470&gt;=01_因子設定!$L$5-0.000000001,E4470&lt;=01_因子設定!$M$5+0.000000001,F4470&gt;=01_因子設定!$L$6-0.000000001,F4470&lt;=01_因子設定!$M$6+0.000000001,G4470&gt;=01_因子設定!$L$7-0.000000001,G4470&lt;=01_因子設定!$M$7+0.000000001,H4470&gt;=01_因子設定!$L$8-0.000000001,H4470&lt;=01_因子設定!$M$8+0.000000001,IF(01_因子設定!$B$20="Box-Behnken",E4470^2+F4470^2+G4470^2+H4470^2&lt;=2+0.000000001,TRUE()))</f>
        <v>1</v>
      </c>
      <c r="AD4470" s="55" t="n">
        <f aca="false">IF(AC4470,IF(01_因子設定!$B$13="最大化",AA4470-01_因子設定!$B$14,IF(01_因子設定!$B$13="最小化",01_因子設定!$B$15-AB4470,MIN(AA4470-01_因子設定!$B$14,01_因子設定!$B$15-AB4470))),-1E+030)</f>
        <v>-4.37251645385254</v>
      </c>
      <c r="AE4470" s="55" t="n">
        <f aca="false">IF(AC4470,IF(01_因子設定!$B$13="最大化",X4470,IF(01_因子設定!$B$13="最小化",-X4470,-ABS(X4470-01_因子設定!$B$16))),-1E+030)</f>
        <v>43.59388249269</v>
      </c>
      <c r="AF4470" s="55" t="n">
        <f aca="false">AD4470+ROW()*0.000000001</f>
        <v>-4.37251198385254</v>
      </c>
      <c r="AG4470" s="55" t="n">
        <f aca="false">AE4470+ROW()*0.000000001</f>
        <v>43.59388696269</v>
      </c>
    </row>
    <row r="4471" customFormat="false" ht="15" hidden="false" customHeight="false" outlineLevel="0" collapsed="false">
      <c r="A4471" s="0" t="n">
        <v>6</v>
      </c>
      <c r="B4471" s="0" t="n">
        <v>1</v>
      </c>
      <c r="C4471" s="0" t="n">
        <v>1</v>
      </c>
      <c r="D4471" s="0" t="n">
        <v>2</v>
      </c>
      <c r="E4471" s="0" t="n">
        <f aca="false">-1+A4471*0.25</f>
        <v>0.5</v>
      </c>
      <c r="F4471" s="0" t="n">
        <f aca="false">-1+B4471*0.25</f>
        <v>-0.75</v>
      </c>
      <c r="G4471" s="0" t="n">
        <f aca="false">-1+C4471*0.25</f>
        <v>-0.75</v>
      </c>
      <c r="H4471" s="0" t="n">
        <f aca="false">-1+D4471*0.25</f>
        <v>-0.5</v>
      </c>
      <c r="I4471" s="0" t="n">
        <f aca="false">1</f>
        <v>1</v>
      </c>
      <c r="J4471" s="0" t="n">
        <f aca="false">E4471</f>
        <v>0.5</v>
      </c>
      <c r="K4471" s="0" t="n">
        <f aca="false">F4471</f>
        <v>-0.75</v>
      </c>
      <c r="L4471" s="0" t="n">
        <f aca="false">G4471</f>
        <v>-0.75</v>
      </c>
      <c r="M4471" s="0" t="n">
        <f aca="false">H4471</f>
        <v>-0.5</v>
      </c>
      <c r="N4471" s="0" t="n">
        <f aca="false">E4471*F4471</f>
        <v>-0.375</v>
      </c>
      <c r="O4471" s="0" t="n">
        <f aca="false">E4471*G4471</f>
        <v>-0.375</v>
      </c>
      <c r="P4471" s="0" t="n">
        <f aca="false">E4471*H4471</f>
        <v>-0.25</v>
      </c>
      <c r="Q4471" s="0" t="n">
        <f aca="false">F4471*G4471</f>
        <v>0.5625</v>
      </c>
      <c r="R4471" s="0" t="n">
        <f aca="false">F4471*H4471</f>
        <v>0.375</v>
      </c>
      <c r="S4471" s="0" t="n">
        <f aca="false">G4471*H4471</f>
        <v>0.375</v>
      </c>
      <c r="T4471" s="0" t="n">
        <f aca="false">E4471*E4471</f>
        <v>0.25</v>
      </c>
      <c r="U4471" s="0" t="n">
        <f aca="false">F4471*F4471</f>
        <v>0.5625</v>
      </c>
      <c r="V4471" s="0" t="n">
        <f aca="false">G4471*G4471</f>
        <v>0.5625</v>
      </c>
      <c r="W4471" s="0" t="n">
        <f aca="false">H4471*H4471</f>
        <v>0.25</v>
      </c>
      <c r="X4471" s="0" t="n">
        <f aca="false">SUMPRODUCT(I4471:W4471,_XtX!$B$96:$P$96)</f>
        <v>43.8163514254386</v>
      </c>
      <c r="Y4471" s="0" t="n">
        <f aca="false">SUMPRODUCT(MMULT(I4471:W4471,_XtX!$B$78:$P$92),I4471:W4471)</f>
        <v>0.237862927174708</v>
      </c>
      <c r="Z4471" s="0" t="n">
        <f aca="false">04_回帰ANOVA!$K$19*04_回帰ANOVA!$K$14*SQRT(1+Y4471)</f>
        <v>1.45022260708756</v>
      </c>
      <c r="AA4471" s="0" t="n">
        <f aca="false">X4471-Z4471</f>
        <v>42.366128818351</v>
      </c>
      <c r="AB4471" s="0" t="n">
        <f aca="false">X4471+Z4471</f>
        <v>45.2665740325261</v>
      </c>
      <c r="AC4471" s="54" t="b">
        <f aca="false">AND(E4471&gt;=01_因子設定!$L$5-0.000000001,E4471&lt;=01_因子設定!$M$5+0.000000001,F4471&gt;=01_因子設定!$L$6-0.000000001,F4471&lt;=01_因子設定!$M$6+0.000000001,G4471&gt;=01_因子設定!$L$7-0.000000001,G4471&lt;=01_因子設定!$M$7+0.000000001,H4471&gt;=01_因子設定!$L$8-0.000000001,H4471&lt;=01_因子設定!$M$8+0.000000001,IF(01_因子設定!$B$20="Box-Behnken",E4471^2+F4471^2+G4471^2+H4471^2&lt;=2+0.000000001,TRUE()))</f>
        <v>1</v>
      </c>
      <c r="AD4471" s="55" t="n">
        <f aca="false">IF(AC4471,IF(01_因子設定!$B$13="最大化",AA4471-01_因子設定!$B$14,IF(01_因子設定!$B$13="最小化",01_因子設定!$B$15-AB4471,MIN(AA4471-01_因子設定!$B$14,01_因子設定!$B$15-AB4471))),-1E+030)</f>
        <v>-4.133871181649</v>
      </c>
      <c r="AE4471" s="55" t="n">
        <f aca="false">IF(AC4471,IF(01_因子設定!$B$13="最大化",X4471,IF(01_因子設定!$B$13="最小化",-X4471,-ABS(X4471-01_因子設定!$B$16))),-1E+030)</f>
        <v>43.8163514254386</v>
      </c>
      <c r="AF4471" s="55" t="n">
        <f aca="false">AD4471+ROW()*0.000000001</f>
        <v>-4.133866710649</v>
      </c>
      <c r="AG4471" s="55" t="n">
        <f aca="false">AE4471+ROW()*0.000000001</f>
        <v>43.8163558964386</v>
      </c>
    </row>
    <row r="4472" customFormat="false" ht="15" hidden="false" customHeight="false" outlineLevel="0" collapsed="false">
      <c r="A4472" s="0" t="n">
        <v>6</v>
      </c>
      <c r="B4472" s="0" t="n">
        <v>1</v>
      </c>
      <c r="C4472" s="0" t="n">
        <v>1</v>
      </c>
      <c r="D4472" s="0" t="n">
        <v>3</v>
      </c>
      <c r="E4472" s="0" t="n">
        <f aca="false">-1+A4472*0.25</f>
        <v>0.5</v>
      </c>
      <c r="F4472" s="0" t="n">
        <f aca="false">-1+B4472*0.25</f>
        <v>-0.75</v>
      </c>
      <c r="G4472" s="0" t="n">
        <f aca="false">-1+C4472*0.25</f>
        <v>-0.75</v>
      </c>
      <c r="H4472" s="0" t="n">
        <f aca="false">-1+D4472*0.25</f>
        <v>-0.25</v>
      </c>
      <c r="I4472" s="0" t="n">
        <f aca="false">1</f>
        <v>1</v>
      </c>
      <c r="J4472" s="0" t="n">
        <f aca="false">E4472</f>
        <v>0.5</v>
      </c>
      <c r="K4472" s="0" t="n">
        <f aca="false">F4472</f>
        <v>-0.75</v>
      </c>
      <c r="L4472" s="0" t="n">
        <f aca="false">G4472</f>
        <v>-0.75</v>
      </c>
      <c r="M4472" s="0" t="n">
        <f aca="false">H4472</f>
        <v>-0.25</v>
      </c>
      <c r="N4472" s="0" t="n">
        <f aca="false">E4472*F4472</f>
        <v>-0.375</v>
      </c>
      <c r="O4472" s="0" t="n">
        <f aca="false">E4472*G4472</f>
        <v>-0.375</v>
      </c>
      <c r="P4472" s="0" t="n">
        <f aca="false">E4472*H4472</f>
        <v>-0.125</v>
      </c>
      <c r="Q4472" s="0" t="n">
        <f aca="false">F4472*G4472</f>
        <v>0.5625</v>
      </c>
      <c r="R4472" s="0" t="n">
        <f aca="false">F4472*H4472</f>
        <v>0.1875</v>
      </c>
      <c r="S4472" s="0" t="n">
        <f aca="false">G4472*H4472</f>
        <v>0.1875</v>
      </c>
      <c r="T4472" s="0" t="n">
        <f aca="false">E4472*E4472</f>
        <v>0.25</v>
      </c>
      <c r="U4472" s="0" t="n">
        <f aca="false">F4472*F4472</f>
        <v>0.5625</v>
      </c>
      <c r="V4472" s="0" t="n">
        <f aca="false">G4472*G4472</f>
        <v>0.5625</v>
      </c>
      <c r="W4472" s="0" t="n">
        <f aca="false">H4472*H4472</f>
        <v>0.0625</v>
      </c>
      <c r="X4472" s="0" t="n">
        <f aca="false">SUMPRODUCT(I4472:W4472,_XtX!$B$96:$P$96)</f>
        <v>43.9910133406432</v>
      </c>
      <c r="Y4472" s="0" t="n">
        <f aca="false">SUMPRODUCT(MMULT(I4472:W4472,_XtX!$B$78:$P$92),I4472:W4472)</f>
        <v>0.257385610836988</v>
      </c>
      <c r="Z4472" s="0" t="n">
        <f aca="false">04_回帰ANOVA!$K$19*04_回帰ANOVA!$K$14*SQRT(1+Y4472)</f>
        <v>1.46161380324158</v>
      </c>
      <c r="AA4472" s="0" t="n">
        <f aca="false">X4472-Z4472</f>
        <v>42.5293995374017</v>
      </c>
      <c r="AB4472" s="0" t="n">
        <f aca="false">X4472+Z4472</f>
        <v>45.4526271438848</v>
      </c>
      <c r="AC4472" s="54" t="b">
        <f aca="false">AND(E4472&gt;=01_因子設定!$L$5-0.000000001,E4472&lt;=01_因子設定!$M$5+0.000000001,F4472&gt;=01_因子設定!$L$6-0.000000001,F4472&lt;=01_因子設定!$M$6+0.000000001,G4472&gt;=01_因子設定!$L$7-0.000000001,G4472&lt;=01_因子設定!$M$7+0.000000001,H4472&gt;=01_因子設定!$L$8-0.000000001,H4472&lt;=01_因子設定!$M$8+0.000000001,IF(01_因子設定!$B$20="Box-Behnken",E4472^2+F4472^2+G4472^2+H4472^2&lt;=2+0.000000001,TRUE()))</f>
        <v>1</v>
      </c>
      <c r="AD4472" s="55" t="n">
        <f aca="false">IF(AC4472,IF(01_因子設定!$B$13="最大化",AA4472-01_因子設定!$B$14,IF(01_因子設定!$B$13="最小化",01_因子設定!$B$15-AB4472,MIN(AA4472-01_因子設定!$B$14,01_因子設定!$B$15-AB4472))),-1E+030)</f>
        <v>-3.97060046259835</v>
      </c>
      <c r="AE4472" s="55" t="n">
        <f aca="false">IF(AC4472,IF(01_因子設定!$B$13="最大化",X4472,IF(01_因子設定!$B$13="最小化",-X4472,-ABS(X4472-01_因子設定!$B$16))),-1E+030)</f>
        <v>43.9910133406432</v>
      </c>
      <c r="AF4472" s="55" t="n">
        <f aca="false">AD4472+ROW()*0.000000001</f>
        <v>-3.97059599059835</v>
      </c>
      <c r="AG4472" s="55" t="n">
        <f aca="false">AE4472+ROW()*0.000000001</f>
        <v>43.9910178126432</v>
      </c>
    </row>
    <row r="4473" customFormat="false" ht="15" hidden="false" customHeight="false" outlineLevel="0" collapsed="false">
      <c r="A4473" s="0" t="n">
        <v>6</v>
      </c>
      <c r="B4473" s="0" t="n">
        <v>1</v>
      </c>
      <c r="C4473" s="0" t="n">
        <v>1</v>
      </c>
      <c r="D4473" s="0" t="n">
        <v>4</v>
      </c>
      <c r="E4473" s="0" t="n">
        <f aca="false">-1+A4473*0.25</f>
        <v>0.5</v>
      </c>
      <c r="F4473" s="0" t="n">
        <f aca="false">-1+B4473*0.25</f>
        <v>-0.75</v>
      </c>
      <c r="G4473" s="0" t="n">
        <f aca="false">-1+C4473*0.25</f>
        <v>-0.75</v>
      </c>
      <c r="H4473" s="0" t="n">
        <f aca="false">-1+D4473*0.25</f>
        <v>0</v>
      </c>
      <c r="I4473" s="0" t="n">
        <f aca="false">1</f>
        <v>1</v>
      </c>
      <c r="J4473" s="0" t="n">
        <f aca="false">E4473</f>
        <v>0.5</v>
      </c>
      <c r="K4473" s="0" t="n">
        <f aca="false">F4473</f>
        <v>-0.75</v>
      </c>
      <c r="L4473" s="0" t="n">
        <f aca="false">G4473</f>
        <v>-0.75</v>
      </c>
      <c r="M4473" s="0" t="n">
        <f aca="false">H4473</f>
        <v>0</v>
      </c>
      <c r="N4473" s="0" t="n">
        <f aca="false">E4473*F4473</f>
        <v>-0.375</v>
      </c>
      <c r="O4473" s="0" t="n">
        <f aca="false">E4473*G4473</f>
        <v>-0.375</v>
      </c>
      <c r="P4473" s="0" t="n">
        <f aca="false">E4473*H4473</f>
        <v>0</v>
      </c>
      <c r="Q4473" s="0" t="n">
        <f aca="false">F4473*G4473</f>
        <v>0.5625</v>
      </c>
      <c r="R4473" s="0" t="n">
        <f aca="false">F4473*H4473</f>
        <v>-0</v>
      </c>
      <c r="S4473" s="0" t="n">
        <f aca="false">G4473*H4473</f>
        <v>-0</v>
      </c>
      <c r="T4473" s="0" t="n">
        <f aca="false">E4473*E4473</f>
        <v>0.25</v>
      </c>
      <c r="U4473" s="0" t="n">
        <f aca="false">F4473*F4473</f>
        <v>0.5625</v>
      </c>
      <c r="V4473" s="0" t="n">
        <f aca="false">G4473*G4473</f>
        <v>0.5625</v>
      </c>
      <c r="W4473" s="0" t="n">
        <f aca="false">H4473*H4473</f>
        <v>0</v>
      </c>
      <c r="X4473" s="0" t="n">
        <f aca="false">SUMPRODUCT(I4473:W4473,_XtX!$B$96:$P$96)</f>
        <v>44.1178682383041</v>
      </c>
      <c r="Y4473" s="0" t="n">
        <f aca="false">SUMPRODUCT(MMULT(I4473:W4473,_XtX!$B$78:$P$92),I4473:W4473)</f>
        <v>0.269923873812135</v>
      </c>
      <c r="Z4473" s="0" t="n">
        <f aca="false">04_回帰ANOVA!$K$19*04_回帰ANOVA!$K$14*SQRT(1+Y4473)</f>
        <v>1.46888310825501</v>
      </c>
      <c r="AA4473" s="0" t="n">
        <f aca="false">X4473-Z4473</f>
        <v>42.6489851300491</v>
      </c>
      <c r="AB4473" s="0" t="n">
        <f aca="false">X4473+Z4473</f>
        <v>45.5867513465591</v>
      </c>
      <c r="AC4473" s="54" t="b">
        <f aca="false">AND(E4473&gt;=01_因子設定!$L$5-0.000000001,E4473&lt;=01_因子設定!$M$5+0.000000001,F4473&gt;=01_因子設定!$L$6-0.000000001,F4473&lt;=01_因子設定!$M$6+0.000000001,G4473&gt;=01_因子設定!$L$7-0.000000001,G4473&lt;=01_因子設定!$M$7+0.000000001,H4473&gt;=01_因子設定!$L$8-0.000000001,H4473&lt;=01_因子設定!$M$8+0.000000001,IF(01_因子設定!$B$20="Box-Behnken",E4473^2+F4473^2+G4473^2+H4473^2&lt;=2+0.000000001,TRUE()))</f>
        <v>1</v>
      </c>
      <c r="AD4473" s="55" t="n">
        <f aca="false">IF(AC4473,IF(01_因子設定!$B$13="最大化",AA4473-01_因子設定!$B$14,IF(01_因子設定!$B$13="最小化",01_因子設定!$B$15-AB4473,MIN(AA4473-01_因子設定!$B$14,01_因子設定!$B$15-AB4473))),-1E+030)</f>
        <v>-3.85101486995095</v>
      </c>
      <c r="AE4473" s="55" t="n">
        <f aca="false">IF(AC4473,IF(01_因子設定!$B$13="最大化",X4473,IF(01_因子設定!$B$13="最小化",-X4473,-ABS(X4473-01_因子設定!$B$16))),-1E+030)</f>
        <v>44.1178682383041</v>
      </c>
      <c r="AF4473" s="55" t="n">
        <f aca="false">AD4473+ROW()*0.000000001</f>
        <v>-3.85101039695095</v>
      </c>
      <c r="AG4473" s="55" t="n">
        <f aca="false">AE4473+ROW()*0.000000001</f>
        <v>44.1178727113041</v>
      </c>
    </row>
    <row r="4474" customFormat="false" ht="15" hidden="false" customHeight="false" outlineLevel="0" collapsed="false">
      <c r="A4474" s="0" t="n">
        <v>6</v>
      </c>
      <c r="B4474" s="0" t="n">
        <v>1</v>
      </c>
      <c r="C4474" s="0" t="n">
        <v>1</v>
      </c>
      <c r="D4474" s="0" t="n">
        <v>5</v>
      </c>
      <c r="E4474" s="0" t="n">
        <f aca="false">-1+A4474*0.25</f>
        <v>0.5</v>
      </c>
      <c r="F4474" s="0" t="n">
        <f aca="false">-1+B4474*0.25</f>
        <v>-0.75</v>
      </c>
      <c r="G4474" s="0" t="n">
        <f aca="false">-1+C4474*0.25</f>
        <v>-0.75</v>
      </c>
      <c r="H4474" s="0" t="n">
        <f aca="false">-1+D4474*0.25</f>
        <v>0.25</v>
      </c>
      <c r="I4474" s="0" t="n">
        <f aca="false">1</f>
        <v>1</v>
      </c>
      <c r="J4474" s="0" t="n">
        <f aca="false">E4474</f>
        <v>0.5</v>
      </c>
      <c r="K4474" s="0" t="n">
        <f aca="false">F4474</f>
        <v>-0.75</v>
      </c>
      <c r="L4474" s="0" t="n">
        <f aca="false">G4474</f>
        <v>-0.75</v>
      </c>
      <c r="M4474" s="0" t="n">
        <f aca="false">H4474</f>
        <v>0.25</v>
      </c>
      <c r="N4474" s="0" t="n">
        <f aca="false">E4474*F4474</f>
        <v>-0.375</v>
      </c>
      <c r="O4474" s="0" t="n">
        <f aca="false">E4474*G4474</f>
        <v>-0.375</v>
      </c>
      <c r="P4474" s="0" t="n">
        <f aca="false">E4474*H4474</f>
        <v>0.125</v>
      </c>
      <c r="Q4474" s="0" t="n">
        <f aca="false">F4474*G4474</f>
        <v>0.5625</v>
      </c>
      <c r="R4474" s="0" t="n">
        <f aca="false">F4474*H4474</f>
        <v>-0.1875</v>
      </c>
      <c r="S4474" s="0" t="n">
        <f aca="false">G4474*H4474</f>
        <v>-0.1875</v>
      </c>
      <c r="T4474" s="0" t="n">
        <f aca="false">E4474*E4474</f>
        <v>0.25</v>
      </c>
      <c r="U4474" s="0" t="n">
        <f aca="false">F4474*F4474</f>
        <v>0.5625</v>
      </c>
      <c r="V4474" s="0" t="n">
        <f aca="false">G4474*G4474</f>
        <v>0.5625</v>
      </c>
      <c r="W4474" s="0" t="n">
        <f aca="false">H4474*H4474</f>
        <v>0.0625</v>
      </c>
      <c r="X4474" s="0" t="n">
        <f aca="false">SUMPRODUCT(I4474:W4474,_XtX!$B$96:$P$96)</f>
        <v>44.196916118421</v>
      </c>
      <c r="Y4474" s="0" t="n">
        <f aca="false">SUMPRODUCT(MMULT(I4474:W4474,_XtX!$B$78:$P$92),I4474:W4474)</f>
        <v>0.257385610836988</v>
      </c>
      <c r="Z4474" s="0" t="n">
        <f aca="false">04_回帰ANOVA!$K$19*04_回帰ANOVA!$K$14*SQRT(1+Y4474)</f>
        <v>1.46161380324158</v>
      </c>
      <c r="AA4474" s="0" t="n">
        <f aca="false">X4474-Z4474</f>
        <v>42.7353023151794</v>
      </c>
      <c r="AB4474" s="0" t="n">
        <f aca="false">X4474+Z4474</f>
        <v>45.6585299216626</v>
      </c>
      <c r="AC4474" s="54" t="b">
        <f aca="false">AND(E4474&gt;=01_因子設定!$L$5-0.000000001,E4474&lt;=01_因子設定!$M$5+0.000000001,F4474&gt;=01_因子設定!$L$6-0.000000001,F4474&lt;=01_因子設定!$M$6+0.000000001,G4474&gt;=01_因子設定!$L$7-0.000000001,G4474&lt;=01_因子設定!$M$7+0.000000001,H4474&gt;=01_因子設定!$L$8-0.000000001,H4474&lt;=01_因子設定!$M$8+0.000000001,IF(01_因子設定!$B$20="Box-Behnken",E4474^2+F4474^2+G4474^2+H4474^2&lt;=2+0.000000001,TRUE()))</f>
        <v>1</v>
      </c>
      <c r="AD4474" s="55" t="n">
        <f aca="false">IF(AC4474,IF(01_因子設定!$B$13="最大化",AA4474-01_因子設定!$B$14,IF(01_因子設定!$B$13="最小化",01_因子設定!$B$15-AB4474,MIN(AA4474-01_因子設定!$B$14,01_因子設定!$B$15-AB4474))),-1E+030)</f>
        <v>-3.76469768482057</v>
      </c>
      <c r="AE4474" s="55" t="n">
        <f aca="false">IF(AC4474,IF(01_因子設定!$B$13="最大化",X4474,IF(01_因子設定!$B$13="最小化",-X4474,-ABS(X4474-01_因子設定!$B$16))),-1E+030)</f>
        <v>44.196916118421</v>
      </c>
      <c r="AF4474" s="55" t="n">
        <f aca="false">AD4474+ROW()*0.000000001</f>
        <v>-3.76469321082057</v>
      </c>
      <c r="AG4474" s="55" t="n">
        <f aca="false">AE4474+ROW()*0.000000001</f>
        <v>44.196920592421</v>
      </c>
    </row>
    <row r="4475" customFormat="false" ht="15" hidden="false" customHeight="false" outlineLevel="0" collapsed="false">
      <c r="A4475" s="0" t="n">
        <v>6</v>
      </c>
      <c r="B4475" s="0" t="n">
        <v>1</v>
      </c>
      <c r="C4475" s="0" t="n">
        <v>1</v>
      </c>
      <c r="D4475" s="0" t="n">
        <v>6</v>
      </c>
      <c r="E4475" s="0" t="n">
        <f aca="false">-1+A4475*0.25</f>
        <v>0.5</v>
      </c>
      <c r="F4475" s="0" t="n">
        <f aca="false">-1+B4475*0.25</f>
        <v>-0.75</v>
      </c>
      <c r="G4475" s="0" t="n">
        <f aca="false">-1+C4475*0.25</f>
        <v>-0.75</v>
      </c>
      <c r="H4475" s="0" t="n">
        <f aca="false">-1+D4475*0.25</f>
        <v>0.5</v>
      </c>
      <c r="I4475" s="0" t="n">
        <f aca="false">1</f>
        <v>1</v>
      </c>
      <c r="J4475" s="0" t="n">
        <f aca="false">E4475</f>
        <v>0.5</v>
      </c>
      <c r="K4475" s="0" t="n">
        <f aca="false">F4475</f>
        <v>-0.75</v>
      </c>
      <c r="L4475" s="0" t="n">
        <f aca="false">G4475</f>
        <v>-0.75</v>
      </c>
      <c r="M4475" s="0" t="n">
        <f aca="false">H4475</f>
        <v>0.5</v>
      </c>
      <c r="N4475" s="0" t="n">
        <f aca="false">E4475*F4475</f>
        <v>-0.375</v>
      </c>
      <c r="O4475" s="0" t="n">
        <f aca="false">E4475*G4475</f>
        <v>-0.375</v>
      </c>
      <c r="P4475" s="0" t="n">
        <f aca="false">E4475*H4475</f>
        <v>0.25</v>
      </c>
      <c r="Q4475" s="0" t="n">
        <f aca="false">F4475*G4475</f>
        <v>0.5625</v>
      </c>
      <c r="R4475" s="0" t="n">
        <f aca="false">F4475*H4475</f>
        <v>-0.375</v>
      </c>
      <c r="S4475" s="0" t="n">
        <f aca="false">G4475*H4475</f>
        <v>-0.375</v>
      </c>
      <c r="T4475" s="0" t="n">
        <f aca="false">E4475*E4475</f>
        <v>0.25</v>
      </c>
      <c r="U4475" s="0" t="n">
        <f aca="false">F4475*F4475</f>
        <v>0.5625</v>
      </c>
      <c r="V4475" s="0" t="n">
        <f aca="false">G4475*G4475</f>
        <v>0.5625</v>
      </c>
      <c r="W4475" s="0" t="n">
        <f aca="false">H4475*H4475</f>
        <v>0.25</v>
      </c>
      <c r="X4475" s="0" t="n">
        <f aca="false">SUMPRODUCT(I4475:W4475,_XtX!$B$96:$P$96)</f>
        <v>44.2281569809941</v>
      </c>
      <c r="Y4475" s="0" t="n">
        <f aca="false">SUMPRODUCT(MMULT(I4475:W4475,_XtX!$B$78:$P$92),I4475:W4475)</f>
        <v>0.237862927174708</v>
      </c>
      <c r="Z4475" s="0" t="n">
        <f aca="false">04_回帰ANOVA!$K$19*04_回帰ANOVA!$K$14*SQRT(1+Y4475)</f>
        <v>1.45022260708756</v>
      </c>
      <c r="AA4475" s="0" t="n">
        <f aca="false">X4475-Z4475</f>
        <v>42.7779343739066</v>
      </c>
      <c r="AB4475" s="0" t="n">
        <f aca="false">X4475+Z4475</f>
        <v>45.6783795880817</v>
      </c>
      <c r="AC4475" s="54" t="b">
        <f aca="false">AND(E4475&gt;=01_因子設定!$L$5-0.000000001,E4475&lt;=01_因子設定!$M$5+0.000000001,F4475&gt;=01_因子設定!$L$6-0.000000001,F4475&lt;=01_因子設定!$M$6+0.000000001,G4475&gt;=01_因子設定!$L$7-0.000000001,G4475&lt;=01_因子設定!$M$7+0.000000001,H4475&gt;=01_因子設定!$L$8-0.000000001,H4475&lt;=01_因子設定!$M$8+0.000000001,IF(01_因子設定!$B$20="Box-Behnken",E4475^2+F4475^2+G4475^2+H4475^2&lt;=2+0.000000001,TRUE()))</f>
        <v>1</v>
      </c>
      <c r="AD4475" s="55" t="n">
        <f aca="false">IF(AC4475,IF(01_因子設定!$B$13="最大化",AA4475-01_因子設定!$B$14,IF(01_因子設定!$B$13="最小化",01_因子設定!$B$15-AB4475,MIN(AA4475-01_因子設定!$B$14,01_因子設定!$B$15-AB4475))),-1E+030)</f>
        <v>-3.72206562609344</v>
      </c>
      <c r="AE4475" s="55" t="n">
        <f aca="false">IF(AC4475,IF(01_因子設定!$B$13="最大化",X4475,IF(01_因子設定!$B$13="最小化",-X4475,-ABS(X4475-01_因子設定!$B$16))),-1E+030)</f>
        <v>44.2281569809941</v>
      </c>
      <c r="AF4475" s="55" t="n">
        <f aca="false">AD4475+ROW()*0.000000001</f>
        <v>-3.72206115109344</v>
      </c>
      <c r="AG4475" s="55" t="n">
        <f aca="false">AE4475+ROW()*0.000000001</f>
        <v>44.2281614559941</v>
      </c>
    </row>
    <row r="4476" customFormat="false" ht="15" hidden="false" customHeight="false" outlineLevel="0" collapsed="false">
      <c r="A4476" s="0" t="n">
        <v>6</v>
      </c>
      <c r="B4476" s="0" t="n">
        <v>1</v>
      </c>
      <c r="C4476" s="0" t="n">
        <v>1</v>
      </c>
      <c r="D4476" s="0" t="n">
        <v>7</v>
      </c>
      <c r="E4476" s="0" t="n">
        <f aca="false">-1+A4476*0.25</f>
        <v>0.5</v>
      </c>
      <c r="F4476" s="0" t="n">
        <f aca="false">-1+B4476*0.25</f>
        <v>-0.75</v>
      </c>
      <c r="G4476" s="0" t="n">
        <f aca="false">-1+C4476*0.25</f>
        <v>-0.75</v>
      </c>
      <c r="H4476" s="0" t="n">
        <f aca="false">-1+D4476*0.25</f>
        <v>0.75</v>
      </c>
      <c r="I4476" s="0" t="n">
        <f aca="false">1</f>
        <v>1</v>
      </c>
      <c r="J4476" s="0" t="n">
        <f aca="false">E4476</f>
        <v>0.5</v>
      </c>
      <c r="K4476" s="0" t="n">
        <f aca="false">F4476</f>
        <v>-0.75</v>
      </c>
      <c r="L4476" s="0" t="n">
        <f aca="false">G4476</f>
        <v>-0.75</v>
      </c>
      <c r="M4476" s="0" t="n">
        <f aca="false">H4476</f>
        <v>0.75</v>
      </c>
      <c r="N4476" s="0" t="n">
        <f aca="false">E4476*F4476</f>
        <v>-0.375</v>
      </c>
      <c r="O4476" s="0" t="n">
        <f aca="false">E4476*G4476</f>
        <v>-0.375</v>
      </c>
      <c r="P4476" s="0" t="n">
        <f aca="false">E4476*H4476</f>
        <v>0.375</v>
      </c>
      <c r="Q4476" s="0" t="n">
        <f aca="false">F4476*G4476</f>
        <v>0.5625</v>
      </c>
      <c r="R4476" s="0" t="n">
        <f aca="false">F4476*H4476</f>
        <v>-0.5625</v>
      </c>
      <c r="S4476" s="0" t="n">
        <f aca="false">G4476*H4476</f>
        <v>-0.5625</v>
      </c>
      <c r="T4476" s="0" t="n">
        <f aca="false">E4476*E4476</f>
        <v>0.25</v>
      </c>
      <c r="U4476" s="0" t="n">
        <f aca="false">F4476*F4476</f>
        <v>0.5625</v>
      </c>
      <c r="V4476" s="0" t="n">
        <f aca="false">G4476*G4476</f>
        <v>0.5625</v>
      </c>
      <c r="W4476" s="0" t="n">
        <f aca="false">H4476*H4476</f>
        <v>0.5625</v>
      </c>
      <c r="X4476" s="0" t="n">
        <f aca="false">SUMPRODUCT(I4476:W4476,_XtX!$B$96:$P$96)</f>
        <v>44.2115908260234</v>
      </c>
      <c r="Y4476" s="0" t="n">
        <f aca="false">SUMPRODUCT(MMULT(I4476:W4476,_XtX!$B$78:$P$92),I4476:W4476)</f>
        <v>0.265632138614766</v>
      </c>
      <c r="Z4476" s="0" t="n">
        <f aca="false">04_回帰ANOVA!$K$19*04_回帰ANOVA!$K$14*SQRT(1+Y4476)</f>
        <v>1.46639894654257</v>
      </c>
      <c r="AA4476" s="0" t="n">
        <f aca="false">X4476-Z4476</f>
        <v>42.7451918794808</v>
      </c>
      <c r="AB4476" s="0" t="n">
        <f aca="false">X4476+Z4476</f>
        <v>45.6779897725659</v>
      </c>
      <c r="AC4476" s="54" t="b">
        <f aca="false">AND(E4476&gt;=01_因子設定!$L$5-0.000000001,E4476&lt;=01_因子設定!$M$5+0.000000001,F4476&gt;=01_因子設定!$L$6-0.000000001,F4476&lt;=01_因子設定!$M$6+0.000000001,G4476&gt;=01_因子設定!$L$7-0.000000001,G4476&lt;=01_因子設定!$M$7+0.000000001,H4476&gt;=01_因子設定!$L$8-0.000000001,H4476&lt;=01_因子設定!$M$8+0.000000001,IF(01_因子設定!$B$20="Box-Behnken",E4476^2+F4476^2+G4476^2+H4476^2&lt;=2+0.000000001,TRUE()))</f>
        <v>1</v>
      </c>
      <c r="AD4476" s="55" t="n">
        <f aca="false">IF(AC4476,IF(01_因子設定!$B$13="最大化",AA4476-01_因子設定!$B$14,IF(01_因子設定!$B$13="最小化",01_因子設定!$B$15-AB4476,MIN(AA4476-01_因子設定!$B$14,01_因子設定!$B$15-AB4476))),-1E+030)</f>
        <v>-3.75480812051921</v>
      </c>
      <c r="AE4476" s="55" t="n">
        <f aca="false">IF(AC4476,IF(01_因子設定!$B$13="最大化",X4476,IF(01_因子設定!$B$13="最小化",-X4476,-ABS(X4476-01_因子設定!$B$16))),-1E+030)</f>
        <v>44.2115908260234</v>
      </c>
      <c r="AF4476" s="55" t="n">
        <f aca="false">AD4476+ROW()*0.000000001</f>
        <v>-3.75480364451921</v>
      </c>
      <c r="AG4476" s="55" t="n">
        <f aca="false">AE4476+ROW()*0.000000001</f>
        <v>44.2115953020234</v>
      </c>
    </row>
    <row r="4477" customFormat="false" ht="15" hidden="false" customHeight="false" outlineLevel="0" collapsed="false">
      <c r="A4477" s="0" t="n">
        <v>6</v>
      </c>
      <c r="B4477" s="0" t="n">
        <v>1</v>
      </c>
      <c r="C4477" s="0" t="n">
        <v>1</v>
      </c>
      <c r="D4477" s="0" t="n">
        <v>8</v>
      </c>
      <c r="E4477" s="0" t="n">
        <f aca="false">-1+A4477*0.25</f>
        <v>0.5</v>
      </c>
      <c r="F4477" s="0" t="n">
        <f aca="false">-1+B4477*0.25</f>
        <v>-0.75</v>
      </c>
      <c r="G4477" s="0" t="n">
        <f aca="false">-1+C4477*0.25</f>
        <v>-0.75</v>
      </c>
      <c r="H4477" s="0" t="n">
        <f aca="false">-1+D4477*0.25</f>
        <v>1</v>
      </c>
      <c r="I4477" s="0" t="n">
        <f aca="false">1</f>
        <v>1</v>
      </c>
      <c r="J4477" s="0" t="n">
        <f aca="false">E4477</f>
        <v>0.5</v>
      </c>
      <c r="K4477" s="0" t="n">
        <f aca="false">F4477</f>
        <v>-0.75</v>
      </c>
      <c r="L4477" s="0" t="n">
        <f aca="false">G4477</f>
        <v>-0.75</v>
      </c>
      <c r="M4477" s="0" t="n">
        <f aca="false">H4477</f>
        <v>1</v>
      </c>
      <c r="N4477" s="0" t="n">
        <f aca="false">E4477*F4477</f>
        <v>-0.375</v>
      </c>
      <c r="O4477" s="0" t="n">
        <f aca="false">E4477*G4477</f>
        <v>-0.375</v>
      </c>
      <c r="P4477" s="0" t="n">
        <f aca="false">E4477*H4477</f>
        <v>0.5</v>
      </c>
      <c r="Q4477" s="0" t="n">
        <f aca="false">F4477*G4477</f>
        <v>0.5625</v>
      </c>
      <c r="R4477" s="0" t="n">
        <f aca="false">F4477*H4477</f>
        <v>-0.75</v>
      </c>
      <c r="S4477" s="0" t="n">
        <f aca="false">G4477*H4477</f>
        <v>-0.75</v>
      </c>
      <c r="T4477" s="0" t="n">
        <f aca="false">E4477*E4477</f>
        <v>0.25</v>
      </c>
      <c r="U4477" s="0" t="n">
        <f aca="false">F4477*F4477</f>
        <v>0.5625</v>
      </c>
      <c r="V4477" s="0" t="n">
        <f aca="false">G4477*G4477</f>
        <v>0.5625</v>
      </c>
      <c r="W4477" s="0" t="n">
        <f aca="false">H4477*H4477</f>
        <v>1</v>
      </c>
      <c r="X4477" s="0" t="n">
        <f aca="false">SUMPRODUCT(I4477:W4477,_XtX!$B$96:$P$96)</f>
        <v>44.1472176535088</v>
      </c>
      <c r="Y4477" s="0" t="n">
        <f aca="false">SUMPRODUCT(MMULT(I4477:W4477,_XtX!$B$78:$P$92),I4477:W4477)</f>
        <v>0.431153771472953</v>
      </c>
      <c r="Z4477" s="0" t="n">
        <f aca="false">04_回帰ANOVA!$K$19*04_回帰ANOVA!$K$14*SQRT(1+Y4477)</f>
        <v>1.55934259562563</v>
      </c>
      <c r="AA4477" s="0" t="n">
        <f aca="false">X4477-Z4477</f>
        <v>42.5878750578831</v>
      </c>
      <c r="AB4477" s="0" t="n">
        <f aca="false">X4477+Z4477</f>
        <v>45.7065602491344</v>
      </c>
      <c r="AC4477" s="54" t="b">
        <f aca="false">AND(E4477&gt;=01_因子設定!$L$5-0.000000001,E4477&lt;=01_因子設定!$M$5+0.000000001,F4477&gt;=01_因子設定!$L$6-0.000000001,F4477&lt;=01_因子設定!$M$6+0.000000001,G4477&gt;=01_因子設定!$L$7-0.000000001,G4477&lt;=01_因子設定!$M$7+0.000000001,H4477&gt;=01_因子設定!$L$8-0.000000001,H4477&lt;=01_因子設定!$M$8+0.000000001,IF(01_因子設定!$B$20="Box-Behnken",E4477^2+F4477^2+G4477^2+H4477^2&lt;=2+0.000000001,TRUE()))</f>
        <v>1</v>
      </c>
      <c r="AD4477" s="55" t="n">
        <f aca="false">IF(AC4477,IF(01_因子設定!$B$13="最大化",AA4477-01_因子設定!$B$14,IF(01_因子設定!$B$13="最小化",01_因子設定!$B$15-AB4477,MIN(AA4477-01_因子設定!$B$14,01_因子設定!$B$15-AB4477))),-1E+030)</f>
        <v>-3.91212494211686</v>
      </c>
      <c r="AE4477" s="55" t="n">
        <f aca="false">IF(AC4477,IF(01_因子設定!$B$13="最大化",X4477,IF(01_因子設定!$B$13="最小化",-X4477,-ABS(X4477-01_因子設定!$B$16))),-1E+030)</f>
        <v>44.1472176535088</v>
      </c>
      <c r="AF4477" s="55" t="n">
        <f aca="false">AD4477+ROW()*0.000000001</f>
        <v>-3.91212046511686</v>
      </c>
      <c r="AG4477" s="55" t="n">
        <f aca="false">AE4477+ROW()*0.000000001</f>
        <v>44.1472221305088</v>
      </c>
    </row>
    <row r="4478" customFormat="false" ht="15" hidden="false" customHeight="false" outlineLevel="0" collapsed="false">
      <c r="A4478" s="0" t="n">
        <v>6</v>
      </c>
      <c r="B4478" s="0" t="n">
        <v>1</v>
      </c>
      <c r="C4478" s="0" t="n">
        <v>2</v>
      </c>
      <c r="D4478" s="0" t="n">
        <v>0</v>
      </c>
      <c r="E4478" s="0" t="n">
        <f aca="false">-1+A4478*0.25</f>
        <v>0.5</v>
      </c>
      <c r="F4478" s="0" t="n">
        <f aca="false">-1+B4478*0.25</f>
        <v>-0.75</v>
      </c>
      <c r="G4478" s="0" t="n">
        <f aca="false">-1+C4478*0.25</f>
        <v>-0.5</v>
      </c>
      <c r="H4478" s="0" t="n">
        <f aca="false">-1+D4478*0.25</f>
        <v>-1</v>
      </c>
      <c r="I4478" s="0" t="n">
        <f aca="false">1</f>
        <v>1</v>
      </c>
      <c r="J4478" s="0" t="n">
        <f aca="false">E4478</f>
        <v>0.5</v>
      </c>
      <c r="K4478" s="0" t="n">
        <f aca="false">F4478</f>
        <v>-0.75</v>
      </c>
      <c r="L4478" s="0" t="n">
        <f aca="false">G4478</f>
        <v>-0.5</v>
      </c>
      <c r="M4478" s="0" t="n">
        <f aca="false">H4478</f>
        <v>-1</v>
      </c>
      <c r="N4478" s="0" t="n">
        <f aca="false">E4478*F4478</f>
        <v>-0.375</v>
      </c>
      <c r="O4478" s="0" t="n">
        <f aca="false">E4478*G4478</f>
        <v>-0.25</v>
      </c>
      <c r="P4478" s="0" t="n">
        <f aca="false">E4478*H4478</f>
        <v>-0.5</v>
      </c>
      <c r="Q4478" s="0" t="n">
        <f aca="false">F4478*G4478</f>
        <v>0.375</v>
      </c>
      <c r="R4478" s="0" t="n">
        <f aca="false">F4478*H4478</f>
        <v>0.75</v>
      </c>
      <c r="S4478" s="0" t="n">
        <f aca="false">G4478*H4478</f>
        <v>0.5</v>
      </c>
      <c r="T4478" s="0" t="n">
        <f aca="false">E4478*E4478</f>
        <v>0.25</v>
      </c>
      <c r="U4478" s="0" t="n">
        <f aca="false">F4478*F4478</f>
        <v>0.5625</v>
      </c>
      <c r="V4478" s="0" t="n">
        <f aca="false">G4478*G4478</f>
        <v>0.25</v>
      </c>
      <c r="W4478" s="0" t="n">
        <f aca="false">H4478*H4478</f>
        <v>1</v>
      </c>
      <c r="X4478" s="0" t="n">
        <f aca="false">SUMPRODUCT(I4478:W4478,_XtX!$B$96:$P$96)</f>
        <v>43.5709886695906</v>
      </c>
      <c r="Y4478" s="0" t="n">
        <f aca="false">SUMPRODUCT(MMULT(I4478:W4478,_XtX!$B$78:$P$92),I4478:W4478)</f>
        <v>0.42602110745614</v>
      </c>
      <c r="Z4478" s="0" t="n">
        <f aca="false">04_回帰ANOVA!$K$19*04_回帰ANOVA!$K$14*SQRT(1+Y4478)</f>
        <v>1.55654388501114</v>
      </c>
      <c r="AA4478" s="0" t="n">
        <f aca="false">X4478-Z4478</f>
        <v>42.0144447845795</v>
      </c>
      <c r="AB4478" s="0" t="n">
        <f aca="false">X4478+Z4478</f>
        <v>45.1275325546018</v>
      </c>
      <c r="AC4478" s="54" t="b">
        <f aca="false">AND(E4478&gt;=01_因子設定!$L$5-0.000000001,E4478&lt;=01_因子設定!$M$5+0.000000001,F4478&gt;=01_因子設定!$L$6-0.000000001,F4478&lt;=01_因子設定!$M$6+0.000000001,G4478&gt;=01_因子設定!$L$7-0.000000001,G4478&lt;=01_因子設定!$M$7+0.000000001,H4478&gt;=01_因子設定!$L$8-0.000000001,H4478&lt;=01_因子設定!$M$8+0.000000001,IF(01_因子設定!$B$20="Box-Behnken",E4478^2+F4478^2+G4478^2+H4478^2&lt;=2+0.000000001,TRUE()))</f>
        <v>1</v>
      </c>
      <c r="AD4478" s="55" t="n">
        <f aca="false">IF(AC4478,IF(01_因子設定!$B$13="最大化",AA4478-01_因子設定!$B$14,IF(01_因子設定!$B$13="最小化",01_因子設定!$B$15-AB4478,MIN(AA4478-01_因子設定!$B$14,01_因子設定!$B$15-AB4478))),-1E+030)</f>
        <v>-4.4855552154205</v>
      </c>
      <c r="AE4478" s="55" t="n">
        <f aca="false">IF(AC4478,IF(01_因子設定!$B$13="最大化",X4478,IF(01_因子設定!$B$13="最小化",-X4478,-ABS(X4478-01_因子設定!$B$16))),-1E+030)</f>
        <v>43.5709886695906</v>
      </c>
      <c r="AF4478" s="55" t="n">
        <f aca="false">AD4478+ROW()*0.000000001</f>
        <v>-4.4855507374205</v>
      </c>
      <c r="AG4478" s="55" t="n">
        <f aca="false">AE4478+ROW()*0.000000001</f>
        <v>43.5709931475906</v>
      </c>
    </row>
    <row r="4479" customFormat="false" ht="15" hidden="false" customHeight="false" outlineLevel="0" collapsed="false">
      <c r="A4479" s="0" t="n">
        <v>6</v>
      </c>
      <c r="B4479" s="0" t="n">
        <v>1</v>
      </c>
      <c r="C4479" s="0" t="n">
        <v>2</v>
      </c>
      <c r="D4479" s="0" t="n">
        <v>1</v>
      </c>
      <c r="E4479" s="0" t="n">
        <f aca="false">-1+A4479*0.25</f>
        <v>0.5</v>
      </c>
      <c r="F4479" s="0" t="n">
        <f aca="false">-1+B4479*0.25</f>
        <v>-0.75</v>
      </c>
      <c r="G4479" s="0" t="n">
        <f aca="false">-1+C4479*0.25</f>
        <v>-0.5</v>
      </c>
      <c r="H4479" s="0" t="n">
        <f aca="false">-1+D4479*0.25</f>
        <v>-0.75</v>
      </c>
      <c r="I4479" s="0" t="n">
        <f aca="false">1</f>
        <v>1</v>
      </c>
      <c r="J4479" s="0" t="n">
        <f aca="false">E4479</f>
        <v>0.5</v>
      </c>
      <c r="K4479" s="0" t="n">
        <f aca="false">F4479</f>
        <v>-0.75</v>
      </c>
      <c r="L4479" s="0" t="n">
        <f aca="false">G4479</f>
        <v>-0.5</v>
      </c>
      <c r="M4479" s="0" t="n">
        <f aca="false">H4479</f>
        <v>-0.75</v>
      </c>
      <c r="N4479" s="0" t="n">
        <f aca="false">E4479*F4479</f>
        <v>-0.375</v>
      </c>
      <c r="O4479" s="0" t="n">
        <f aca="false">E4479*G4479</f>
        <v>-0.25</v>
      </c>
      <c r="P4479" s="0" t="n">
        <f aca="false">E4479*H4479</f>
        <v>-0.375</v>
      </c>
      <c r="Q4479" s="0" t="n">
        <f aca="false">F4479*G4479</f>
        <v>0.375</v>
      </c>
      <c r="R4479" s="0" t="n">
        <f aca="false">F4479*H4479</f>
        <v>0.5625</v>
      </c>
      <c r="S4479" s="0" t="n">
        <f aca="false">G4479*H4479</f>
        <v>0.375</v>
      </c>
      <c r="T4479" s="0" t="n">
        <f aca="false">E4479*E4479</f>
        <v>0.25</v>
      </c>
      <c r="U4479" s="0" t="n">
        <f aca="false">F4479*F4479</f>
        <v>0.5625</v>
      </c>
      <c r="V4479" s="0" t="n">
        <f aca="false">G4479*G4479</f>
        <v>0.25</v>
      </c>
      <c r="W4479" s="0" t="n">
        <f aca="false">H4479*H4479</f>
        <v>0.5625</v>
      </c>
      <c r="X4479" s="0" t="n">
        <f aca="false">SUMPRODUCT(I4479:W4479,_XtX!$B$96:$P$96)</f>
        <v>43.859233369883</v>
      </c>
      <c r="Y4479" s="0" t="n">
        <f aca="false">SUMPRODUCT(MMULT(I4479:W4479,_XtX!$B$78:$P$92),I4479:W4479)</f>
        <v>0.237862927174708</v>
      </c>
      <c r="Z4479" s="0" t="n">
        <f aca="false">04_回帰ANOVA!$K$19*04_回帰ANOVA!$K$14*SQRT(1+Y4479)</f>
        <v>1.45022260708756</v>
      </c>
      <c r="AA4479" s="0" t="n">
        <f aca="false">X4479-Z4479</f>
        <v>42.4090107627955</v>
      </c>
      <c r="AB4479" s="0" t="n">
        <f aca="false">X4479+Z4479</f>
        <v>45.3094559769706</v>
      </c>
      <c r="AC4479" s="54" t="b">
        <f aca="false">AND(E4479&gt;=01_因子設定!$L$5-0.000000001,E4479&lt;=01_因子設定!$M$5+0.000000001,F4479&gt;=01_因子設定!$L$6-0.000000001,F4479&lt;=01_因子設定!$M$6+0.000000001,G4479&gt;=01_因子設定!$L$7-0.000000001,G4479&lt;=01_因子設定!$M$7+0.000000001,H4479&gt;=01_因子設定!$L$8-0.000000001,H4479&lt;=01_因子設定!$M$8+0.000000001,IF(01_因子設定!$B$20="Box-Behnken",E4479^2+F4479^2+G4479^2+H4479^2&lt;=2+0.000000001,TRUE()))</f>
        <v>1</v>
      </c>
      <c r="AD4479" s="55" t="n">
        <f aca="false">IF(AC4479,IF(01_因子設定!$B$13="最大化",AA4479-01_因子設定!$B$14,IF(01_因子設定!$B$13="最小化",01_因子設定!$B$15-AB4479,MIN(AA4479-01_因子設定!$B$14,01_因子設定!$B$15-AB4479))),-1E+030)</f>
        <v>-4.09098923720454</v>
      </c>
      <c r="AE4479" s="55" t="n">
        <f aca="false">IF(AC4479,IF(01_因子設定!$B$13="最大化",X4479,IF(01_因子設定!$B$13="最小化",-X4479,-ABS(X4479-01_因子設定!$B$16))),-1E+030)</f>
        <v>43.859233369883</v>
      </c>
      <c r="AF4479" s="55" t="n">
        <f aca="false">AD4479+ROW()*0.000000001</f>
        <v>-4.09098475820454</v>
      </c>
      <c r="AG4479" s="55" t="n">
        <f aca="false">AE4479+ROW()*0.000000001</f>
        <v>43.859237848883</v>
      </c>
    </row>
    <row r="4480" customFormat="false" ht="15" hidden="false" customHeight="false" outlineLevel="0" collapsed="false">
      <c r="A4480" s="0" t="n">
        <v>6</v>
      </c>
      <c r="B4480" s="0" t="n">
        <v>1</v>
      </c>
      <c r="C4480" s="0" t="n">
        <v>2</v>
      </c>
      <c r="D4480" s="0" t="n">
        <v>2</v>
      </c>
      <c r="E4480" s="0" t="n">
        <f aca="false">-1+A4480*0.25</f>
        <v>0.5</v>
      </c>
      <c r="F4480" s="0" t="n">
        <f aca="false">-1+B4480*0.25</f>
        <v>-0.75</v>
      </c>
      <c r="G4480" s="0" t="n">
        <f aca="false">-1+C4480*0.25</f>
        <v>-0.5</v>
      </c>
      <c r="H4480" s="0" t="n">
        <f aca="false">-1+D4480*0.25</f>
        <v>-0.5</v>
      </c>
      <c r="I4480" s="0" t="n">
        <f aca="false">1</f>
        <v>1</v>
      </c>
      <c r="J4480" s="0" t="n">
        <f aca="false">E4480</f>
        <v>0.5</v>
      </c>
      <c r="K4480" s="0" t="n">
        <f aca="false">F4480</f>
        <v>-0.75</v>
      </c>
      <c r="L4480" s="0" t="n">
        <f aca="false">G4480</f>
        <v>-0.5</v>
      </c>
      <c r="M4480" s="0" t="n">
        <f aca="false">H4480</f>
        <v>-0.5</v>
      </c>
      <c r="N4480" s="0" t="n">
        <f aca="false">E4480*F4480</f>
        <v>-0.375</v>
      </c>
      <c r="O4480" s="0" t="n">
        <f aca="false">E4480*G4480</f>
        <v>-0.25</v>
      </c>
      <c r="P4480" s="0" t="n">
        <f aca="false">E4480*H4480</f>
        <v>-0.25</v>
      </c>
      <c r="Q4480" s="0" t="n">
        <f aca="false">F4480*G4480</f>
        <v>0.375</v>
      </c>
      <c r="R4480" s="0" t="n">
        <f aca="false">F4480*H4480</f>
        <v>0.375</v>
      </c>
      <c r="S4480" s="0" t="n">
        <f aca="false">G4480*H4480</f>
        <v>0.25</v>
      </c>
      <c r="T4480" s="0" t="n">
        <f aca="false">E4480*E4480</f>
        <v>0.25</v>
      </c>
      <c r="U4480" s="0" t="n">
        <f aca="false">F4480*F4480</f>
        <v>0.5625</v>
      </c>
      <c r="V4480" s="0" t="n">
        <f aca="false">G4480*G4480</f>
        <v>0.25</v>
      </c>
      <c r="W4480" s="0" t="n">
        <f aca="false">H4480*H4480</f>
        <v>0.25</v>
      </c>
      <c r="X4480" s="0" t="n">
        <f aca="false">SUMPRODUCT(I4480:W4480,_XtX!$B$96:$P$96)</f>
        <v>44.0996710526315</v>
      </c>
      <c r="Y4480" s="0" t="n">
        <f aca="false">SUMPRODUCT(MMULT(I4480:W4480,_XtX!$B$78:$P$92),I4480:W4480)</f>
        <v>0.193924753289474</v>
      </c>
      <c r="Z4480" s="0" t="n">
        <f aca="false">04_回帰ANOVA!$K$19*04_回帰ANOVA!$K$14*SQRT(1+Y4480)</f>
        <v>1.4242521079916</v>
      </c>
      <c r="AA4480" s="0" t="n">
        <f aca="false">X4480-Z4480</f>
        <v>42.6754189446399</v>
      </c>
      <c r="AB4480" s="0" t="n">
        <f aca="false">X4480+Z4480</f>
        <v>45.5239231606231</v>
      </c>
      <c r="AC4480" s="54" t="b">
        <f aca="false">AND(E4480&gt;=01_因子設定!$L$5-0.000000001,E4480&lt;=01_因子設定!$M$5+0.000000001,F4480&gt;=01_因子設定!$L$6-0.000000001,F4480&lt;=01_因子設定!$M$6+0.000000001,G4480&gt;=01_因子設定!$L$7-0.000000001,G4480&lt;=01_因子設定!$M$7+0.000000001,H4480&gt;=01_因子設定!$L$8-0.000000001,H4480&lt;=01_因子設定!$M$8+0.000000001,IF(01_因子設定!$B$20="Box-Behnken",E4480^2+F4480^2+G4480^2+H4480^2&lt;=2+0.000000001,TRUE()))</f>
        <v>1</v>
      </c>
      <c r="AD4480" s="55" t="n">
        <f aca="false">IF(AC4480,IF(01_因子設定!$B$13="最大化",AA4480-01_因子設定!$B$14,IF(01_因子設定!$B$13="最小化",01_因子設定!$B$15-AB4480,MIN(AA4480-01_因子設定!$B$14,01_因子設定!$B$15-AB4480))),-1E+030)</f>
        <v>-3.82458105536006</v>
      </c>
      <c r="AE4480" s="55" t="n">
        <f aca="false">IF(AC4480,IF(01_因子設定!$B$13="最大化",X4480,IF(01_因子設定!$B$13="最小化",-X4480,-ABS(X4480-01_因子設定!$B$16))),-1E+030)</f>
        <v>44.0996710526315</v>
      </c>
      <c r="AF4480" s="55" t="n">
        <f aca="false">AD4480+ROW()*0.000000001</f>
        <v>-3.82457657536006</v>
      </c>
      <c r="AG4480" s="55" t="n">
        <f aca="false">AE4480+ROW()*0.000000001</f>
        <v>44.0996755326315</v>
      </c>
    </row>
    <row r="4481" customFormat="false" ht="15" hidden="false" customHeight="false" outlineLevel="0" collapsed="false">
      <c r="A4481" s="0" t="n">
        <v>6</v>
      </c>
      <c r="B4481" s="0" t="n">
        <v>1</v>
      </c>
      <c r="C4481" s="0" t="n">
        <v>2</v>
      </c>
      <c r="D4481" s="0" t="n">
        <v>3</v>
      </c>
      <c r="E4481" s="0" t="n">
        <f aca="false">-1+A4481*0.25</f>
        <v>0.5</v>
      </c>
      <c r="F4481" s="0" t="n">
        <f aca="false">-1+B4481*0.25</f>
        <v>-0.75</v>
      </c>
      <c r="G4481" s="0" t="n">
        <f aca="false">-1+C4481*0.25</f>
        <v>-0.5</v>
      </c>
      <c r="H4481" s="0" t="n">
        <f aca="false">-1+D4481*0.25</f>
        <v>-0.25</v>
      </c>
      <c r="I4481" s="0" t="n">
        <f aca="false">1</f>
        <v>1</v>
      </c>
      <c r="J4481" s="0" t="n">
        <f aca="false">E4481</f>
        <v>0.5</v>
      </c>
      <c r="K4481" s="0" t="n">
        <f aca="false">F4481</f>
        <v>-0.75</v>
      </c>
      <c r="L4481" s="0" t="n">
        <f aca="false">G4481</f>
        <v>-0.5</v>
      </c>
      <c r="M4481" s="0" t="n">
        <f aca="false">H4481</f>
        <v>-0.25</v>
      </c>
      <c r="N4481" s="0" t="n">
        <f aca="false">E4481*F4481</f>
        <v>-0.375</v>
      </c>
      <c r="O4481" s="0" t="n">
        <f aca="false">E4481*G4481</f>
        <v>-0.25</v>
      </c>
      <c r="P4481" s="0" t="n">
        <f aca="false">E4481*H4481</f>
        <v>-0.125</v>
      </c>
      <c r="Q4481" s="0" t="n">
        <f aca="false">F4481*G4481</f>
        <v>0.375</v>
      </c>
      <c r="R4481" s="0" t="n">
        <f aca="false">F4481*H4481</f>
        <v>0.1875</v>
      </c>
      <c r="S4481" s="0" t="n">
        <f aca="false">G4481*H4481</f>
        <v>0.125</v>
      </c>
      <c r="T4481" s="0" t="n">
        <f aca="false">E4481*E4481</f>
        <v>0.25</v>
      </c>
      <c r="U4481" s="0" t="n">
        <f aca="false">F4481*F4481</f>
        <v>0.5625</v>
      </c>
      <c r="V4481" s="0" t="n">
        <f aca="false">G4481*G4481</f>
        <v>0.25</v>
      </c>
      <c r="W4481" s="0" t="n">
        <f aca="false">H4481*H4481</f>
        <v>0.0625</v>
      </c>
      <c r="X4481" s="0" t="n">
        <f aca="false">SUMPRODUCT(I4481:W4481,_XtX!$B$96:$P$96)</f>
        <v>44.2923017178362</v>
      </c>
      <c r="Y4481" s="0" t="n">
        <f aca="false">SUMPRODUCT(MMULT(I4481:W4481,_XtX!$B$78:$P$92),I4481:W4481)</f>
        <v>0.203746059484649</v>
      </c>
      <c r="Z4481" s="0" t="n">
        <f aca="false">04_回帰ANOVA!$K$19*04_回帰ANOVA!$K$14*SQRT(1+Y4481)</f>
        <v>1.43009810755465</v>
      </c>
      <c r="AA4481" s="0" t="n">
        <f aca="false">X4481-Z4481</f>
        <v>42.8622036102816</v>
      </c>
      <c r="AB4481" s="0" t="n">
        <f aca="false">X4481+Z4481</f>
        <v>45.7223998253909</v>
      </c>
      <c r="AC4481" s="54" t="b">
        <f aca="false">AND(E4481&gt;=01_因子設定!$L$5-0.000000001,E4481&lt;=01_因子設定!$M$5+0.000000001,F4481&gt;=01_因子設定!$L$6-0.000000001,F4481&lt;=01_因子設定!$M$6+0.000000001,G4481&gt;=01_因子設定!$L$7-0.000000001,G4481&lt;=01_因子設定!$M$7+0.000000001,H4481&gt;=01_因子設定!$L$8-0.000000001,H4481&lt;=01_因子設定!$M$8+0.000000001,IF(01_因子設定!$B$20="Box-Behnken",E4481^2+F4481^2+G4481^2+H4481^2&lt;=2+0.000000001,TRUE()))</f>
        <v>1</v>
      </c>
      <c r="AD4481" s="55" t="n">
        <f aca="false">IF(AC4481,IF(01_因子設定!$B$13="最大化",AA4481-01_因子設定!$B$14,IF(01_因子設定!$B$13="最小化",01_因子設定!$B$15-AB4481,MIN(AA4481-01_因子設定!$B$14,01_因子設定!$B$15-AB4481))),-1E+030)</f>
        <v>-3.63779638971843</v>
      </c>
      <c r="AE4481" s="55" t="n">
        <f aca="false">IF(AC4481,IF(01_因子設定!$B$13="最大化",X4481,IF(01_因子設定!$B$13="最小化",-X4481,-ABS(X4481-01_因子設定!$B$16))),-1E+030)</f>
        <v>44.2923017178362</v>
      </c>
      <c r="AF4481" s="55" t="n">
        <f aca="false">AD4481+ROW()*0.000000001</f>
        <v>-3.63779190871843</v>
      </c>
      <c r="AG4481" s="55" t="n">
        <f aca="false">AE4481+ROW()*0.000000001</f>
        <v>44.2923061988362</v>
      </c>
    </row>
    <row r="4482" customFormat="false" ht="15" hidden="false" customHeight="false" outlineLevel="0" collapsed="false">
      <c r="A4482" s="0" t="n">
        <v>6</v>
      </c>
      <c r="B4482" s="0" t="n">
        <v>1</v>
      </c>
      <c r="C4482" s="0" t="n">
        <v>2</v>
      </c>
      <c r="D4482" s="0" t="n">
        <v>4</v>
      </c>
      <c r="E4482" s="0" t="n">
        <f aca="false">-1+A4482*0.25</f>
        <v>0.5</v>
      </c>
      <c r="F4482" s="0" t="n">
        <f aca="false">-1+B4482*0.25</f>
        <v>-0.75</v>
      </c>
      <c r="G4482" s="0" t="n">
        <f aca="false">-1+C4482*0.25</f>
        <v>-0.5</v>
      </c>
      <c r="H4482" s="0" t="n">
        <f aca="false">-1+D4482*0.25</f>
        <v>0</v>
      </c>
      <c r="I4482" s="0" t="n">
        <f aca="false">1</f>
        <v>1</v>
      </c>
      <c r="J4482" s="0" t="n">
        <f aca="false">E4482</f>
        <v>0.5</v>
      </c>
      <c r="K4482" s="0" t="n">
        <f aca="false">F4482</f>
        <v>-0.75</v>
      </c>
      <c r="L4482" s="0" t="n">
        <f aca="false">G4482</f>
        <v>-0.5</v>
      </c>
      <c r="M4482" s="0" t="n">
        <f aca="false">H4482</f>
        <v>0</v>
      </c>
      <c r="N4482" s="0" t="n">
        <f aca="false">E4482*F4482</f>
        <v>-0.375</v>
      </c>
      <c r="O4482" s="0" t="n">
        <f aca="false">E4482*G4482</f>
        <v>-0.25</v>
      </c>
      <c r="P4482" s="0" t="n">
        <f aca="false">E4482*H4482</f>
        <v>0</v>
      </c>
      <c r="Q4482" s="0" t="n">
        <f aca="false">F4482*G4482</f>
        <v>0.375</v>
      </c>
      <c r="R4482" s="0" t="n">
        <f aca="false">F4482*H4482</f>
        <v>-0</v>
      </c>
      <c r="S4482" s="0" t="n">
        <f aca="false">G4482*H4482</f>
        <v>-0</v>
      </c>
      <c r="T4482" s="0" t="n">
        <f aca="false">E4482*E4482</f>
        <v>0.25</v>
      </c>
      <c r="U4482" s="0" t="n">
        <f aca="false">F4482*F4482</f>
        <v>0.5625</v>
      </c>
      <c r="V4482" s="0" t="n">
        <f aca="false">G4482*G4482</f>
        <v>0.25</v>
      </c>
      <c r="W4482" s="0" t="n">
        <f aca="false">H4482*H4482</f>
        <v>0</v>
      </c>
      <c r="X4482" s="0" t="n">
        <f aca="false">SUMPRODUCT(I4482:W4482,_XtX!$B$96:$P$96)</f>
        <v>44.437125365497</v>
      </c>
      <c r="Y4482" s="0" t="n">
        <f aca="false">SUMPRODUCT(MMULT(I4482:W4482,_XtX!$B$78:$P$92),I4482:W4482)</f>
        <v>0.21305052997076</v>
      </c>
      <c r="Z4482" s="0" t="n">
        <f aca="false">04_回帰ANOVA!$K$19*04_回帰ANOVA!$K$14*SQRT(1+Y4482)</f>
        <v>1.43561450835061</v>
      </c>
      <c r="AA4482" s="0" t="n">
        <f aca="false">X4482-Z4482</f>
        <v>43.0015108571464</v>
      </c>
      <c r="AB4482" s="0" t="n">
        <f aca="false">X4482+Z4482</f>
        <v>45.8727398738476</v>
      </c>
      <c r="AC4482" s="54" t="b">
        <f aca="false">AND(E4482&gt;=01_因子設定!$L$5-0.000000001,E4482&lt;=01_因子設定!$M$5+0.000000001,F4482&gt;=01_因子設定!$L$6-0.000000001,F4482&lt;=01_因子設定!$M$6+0.000000001,G4482&gt;=01_因子設定!$L$7-0.000000001,G4482&lt;=01_因子設定!$M$7+0.000000001,H4482&gt;=01_因子設定!$L$8-0.000000001,H4482&lt;=01_因子設定!$M$8+0.000000001,IF(01_因子設定!$B$20="Box-Behnken",E4482^2+F4482^2+G4482^2+H4482^2&lt;=2+0.000000001,TRUE()))</f>
        <v>1</v>
      </c>
      <c r="AD4482" s="55" t="n">
        <f aca="false">IF(AC4482,IF(01_因子設定!$B$13="最大化",AA4482-01_因子設定!$B$14,IF(01_因子設定!$B$13="最小化",01_因子設定!$B$15-AB4482,MIN(AA4482-01_因子設定!$B$14,01_因子設定!$B$15-AB4482))),-1E+030)</f>
        <v>-3.49848914285357</v>
      </c>
      <c r="AE4482" s="55" t="n">
        <f aca="false">IF(AC4482,IF(01_因子設定!$B$13="最大化",X4482,IF(01_因子設定!$B$13="最小化",-X4482,-ABS(X4482-01_因子設定!$B$16))),-1E+030)</f>
        <v>44.437125365497</v>
      </c>
      <c r="AF4482" s="55" t="n">
        <f aca="false">AD4482+ROW()*0.000000001</f>
        <v>-3.49848466085357</v>
      </c>
      <c r="AG4482" s="55" t="n">
        <f aca="false">AE4482+ROW()*0.000000001</f>
        <v>44.437129847497</v>
      </c>
    </row>
    <row r="4483" customFormat="false" ht="15" hidden="false" customHeight="false" outlineLevel="0" collapsed="false">
      <c r="A4483" s="0" t="n">
        <v>6</v>
      </c>
      <c r="B4483" s="0" t="n">
        <v>1</v>
      </c>
      <c r="C4483" s="0" t="n">
        <v>2</v>
      </c>
      <c r="D4483" s="0" t="n">
        <v>5</v>
      </c>
      <c r="E4483" s="0" t="n">
        <f aca="false">-1+A4483*0.25</f>
        <v>0.5</v>
      </c>
      <c r="F4483" s="0" t="n">
        <f aca="false">-1+B4483*0.25</f>
        <v>-0.75</v>
      </c>
      <c r="G4483" s="0" t="n">
        <f aca="false">-1+C4483*0.25</f>
        <v>-0.5</v>
      </c>
      <c r="H4483" s="0" t="n">
        <f aca="false">-1+D4483*0.25</f>
        <v>0.25</v>
      </c>
      <c r="I4483" s="0" t="n">
        <f aca="false">1</f>
        <v>1</v>
      </c>
      <c r="J4483" s="0" t="n">
        <f aca="false">E4483</f>
        <v>0.5</v>
      </c>
      <c r="K4483" s="0" t="n">
        <f aca="false">F4483</f>
        <v>-0.75</v>
      </c>
      <c r="L4483" s="0" t="n">
        <f aca="false">G4483</f>
        <v>-0.5</v>
      </c>
      <c r="M4483" s="0" t="n">
        <f aca="false">H4483</f>
        <v>0.25</v>
      </c>
      <c r="N4483" s="0" t="n">
        <f aca="false">E4483*F4483</f>
        <v>-0.375</v>
      </c>
      <c r="O4483" s="0" t="n">
        <f aca="false">E4483*G4483</f>
        <v>-0.25</v>
      </c>
      <c r="P4483" s="0" t="n">
        <f aca="false">E4483*H4483</f>
        <v>0.125</v>
      </c>
      <c r="Q4483" s="0" t="n">
        <f aca="false">F4483*G4483</f>
        <v>0.375</v>
      </c>
      <c r="R4483" s="0" t="n">
        <f aca="false">F4483*H4483</f>
        <v>-0.1875</v>
      </c>
      <c r="S4483" s="0" t="n">
        <f aca="false">G4483*H4483</f>
        <v>-0.125</v>
      </c>
      <c r="T4483" s="0" t="n">
        <f aca="false">E4483*E4483</f>
        <v>0.25</v>
      </c>
      <c r="U4483" s="0" t="n">
        <f aca="false">F4483*F4483</f>
        <v>0.5625</v>
      </c>
      <c r="V4483" s="0" t="n">
        <f aca="false">G4483*G4483</f>
        <v>0.25</v>
      </c>
      <c r="W4483" s="0" t="n">
        <f aca="false">H4483*H4483</f>
        <v>0.0625</v>
      </c>
      <c r="X4483" s="0" t="n">
        <f aca="false">SUMPRODUCT(I4483:W4483,_XtX!$B$96:$P$96)</f>
        <v>44.534141995614</v>
      </c>
      <c r="Y4483" s="0" t="n">
        <f aca="false">SUMPRODUCT(MMULT(I4483:W4483,_XtX!$B$78:$P$92),I4483:W4483)</f>
        <v>0.203746059484649</v>
      </c>
      <c r="Z4483" s="0" t="n">
        <f aca="false">04_回帰ANOVA!$K$19*04_回帰ANOVA!$K$14*SQRT(1+Y4483)</f>
        <v>1.43009810755465</v>
      </c>
      <c r="AA4483" s="0" t="n">
        <f aca="false">X4483-Z4483</f>
        <v>43.1040438880593</v>
      </c>
      <c r="AB4483" s="0" t="n">
        <f aca="false">X4483+Z4483</f>
        <v>45.9642401031686</v>
      </c>
      <c r="AC4483" s="54" t="b">
        <f aca="false">AND(E4483&gt;=01_因子設定!$L$5-0.000000001,E4483&lt;=01_因子設定!$M$5+0.000000001,F4483&gt;=01_因子設定!$L$6-0.000000001,F4483&lt;=01_因子設定!$M$6+0.000000001,G4483&gt;=01_因子設定!$L$7-0.000000001,G4483&lt;=01_因子設定!$M$7+0.000000001,H4483&gt;=01_因子設定!$L$8-0.000000001,H4483&lt;=01_因子設定!$M$8+0.000000001,IF(01_因子設定!$B$20="Box-Behnken",E4483^2+F4483^2+G4483^2+H4483^2&lt;=2+0.000000001,TRUE()))</f>
        <v>1</v>
      </c>
      <c r="AD4483" s="55" t="n">
        <f aca="false">IF(AC4483,IF(01_因子設定!$B$13="最大化",AA4483-01_因子設定!$B$14,IF(01_因子設定!$B$13="最小化",01_因子設定!$B$15-AB4483,MIN(AA4483-01_因子設定!$B$14,01_因子設定!$B$15-AB4483))),-1E+030)</f>
        <v>-3.39595611194066</v>
      </c>
      <c r="AE4483" s="55" t="n">
        <f aca="false">IF(AC4483,IF(01_因子設定!$B$13="最大化",X4483,IF(01_因子設定!$B$13="最小化",-X4483,-ABS(X4483-01_因子設定!$B$16))),-1E+030)</f>
        <v>44.534141995614</v>
      </c>
      <c r="AF4483" s="55" t="n">
        <f aca="false">AD4483+ROW()*0.000000001</f>
        <v>-3.39595162894066</v>
      </c>
      <c r="AG4483" s="55" t="n">
        <f aca="false">AE4483+ROW()*0.000000001</f>
        <v>44.534146478614</v>
      </c>
    </row>
    <row r="4484" customFormat="false" ht="15" hidden="false" customHeight="false" outlineLevel="0" collapsed="false">
      <c r="A4484" s="0" t="n">
        <v>6</v>
      </c>
      <c r="B4484" s="0" t="n">
        <v>1</v>
      </c>
      <c r="C4484" s="0" t="n">
        <v>2</v>
      </c>
      <c r="D4484" s="0" t="n">
        <v>6</v>
      </c>
      <c r="E4484" s="0" t="n">
        <f aca="false">-1+A4484*0.25</f>
        <v>0.5</v>
      </c>
      <c r="F4484" s="0" t="n">
        <f aca="false">-1+B4484*0.25</f>
        <v>-0.75</v>
      </c>
      <c r="G4484" s="0" t="n">
        <f aca="false">-1+C4484*0.25</f>
        <v>-0.5</v>
      </c>
      <c r="H4484" s="0" t="n">
        <f aca="false">-1+D4484*0.25</f>
        <v>0.5</v>
      </c>
      <c r="I4484" s="0" t="n">
        <f aca="false">1</f>
        <v>1</v>
      </c>
      <c r="J4484" s="0" t="n">
        <f aca="false">E4484</f>
        <v>0.5</v>
      </c>
      <c r="K4484" s="0" t="n">
        <f aca="false">F4484</f>
        <v>-0.75</v>
      </c>
      <c r="L4484" s="0" t="n">
        <f aca="false">G4484</f>
        <v>-0.5</v>
      </c>
      <c r="M4484" s="0" t="n">
        <f aca="false">H4484</f>
        <v>0.5</v>
      </c>
      <c r="N4484" s="0" t="n">
        <f aca="false">E4484*F4484</f>
        <v>-0.375</v>
      </c>
      <c r="O4484" s="0" t="n">
        <f aca="false">E4484*G4484</f>
        <v>-0.25</v>
      </c>
      <c r="P4484" s="0" t="n">
        <f aca="false">E4484*H4484</f>
        <v>0.25</v>
      </c>
      <c r="Q4484" s="0" t="n">
        <f aca="false">F4484*G4484</f>
        <v>0.375</v>
      </c>
      <c r="R4484" s="0" t="n">
        <f aca="false">F4484*H4484</f>
        <v>-0.375</v>
      </c>
      <c r="S4484" s="0" t="n">
        <f aca="false">G4484*H4484</f>
        <v>-0.25</v>
      </c>
      <c r="T4484" s="0" t="n">
        <f aca="false">E4484*E4484</f>
        <v>0.25</v>
      </c>
      <c r="U4484" s="0" t="n">
        <f aca="false">F4484*F4484</f>
        <v>0.5625</v>
      </c>
      <c r="V4484" s="0" t="n">
        <f aca="false">G4484*G4484</f>
        <v>0.25</v>
      </c>
      <c r="W4484" s="0" t="n">
        <f aca="false">H4484*H4484</f>
        <v>0.25</v>
      </c>
      <c r="X4484" s="0" t="n">
        <f aca="false">SUMPRODUCT(I4484:W4484,_XtX!$B$96:$P$96)</f>
        <v>44.5833516081871</v>
      </c>
      <c r="Y4484" s="0" t="n">
        <f aca="false">SUMPRODUCT(MMULT(I4484:W4484,_XtX!$B$78:$P$92),I4484:W4484)</f>
        <v>0.193924753289474</v>
      </c>
      <c r="Z4484" s="0" t="n">
        <f aca="false">04_回帰ANOVA!$K$19*04_回帰ANOVA!$K$14*SQRT(1+Y4484)</f>
        <v>1.4242521079916</v>
      </c>
      <c r="AA4484" s="0" t="n">
        <f aca="false">X4484-Z4484</f>
        <v>43.1590995001955</v>
      </c>
      <c r="AB4484" s="0" t="n">
        <f aca="false">X4484+Z4484</f>
        <v>46.0076037161787</v>
      </c>
      <c r="AC4484" s="54" t="b">
        <f aca="false">AND(E4484&gt;=01_因子設定!$L$5-0.000000001,E4484&lt;=01_因子設定!$M$5+0.000000001,F4484&gt;=01_因子設定!$L$6-0.000000001,F4484&lt;=01_因子設定!$M$6+0.000000001,G4484&gt;=01_因子設定!$L$7-0.000000001,G4484&lt;=01_因子設定!$M$7+0.000000001,H4484&gt;=01_因子設定!$L$8-0.000000001,H4484&lt;=01_因子設定!$M$8+0.000000001,IF(01_因子設定!$B$20="Box-Behnken",E4484^2+F4484^2+G4484^2+H4484^2&lt;=2+0.000000001,TRUE()))</f>
        <v>1</v>
      </c>
      <c r="AD4484" s="55" t="n">
        <f aca="false">IF(AC4484,IF(01_因子設定!$B$13="最大化",AA4484-01_因子設定!$B$14,IF(01_因子設定!$B$13="最小化",01_因子設定!$B$15-AB4484,MIN(AA4484-01_因子設定!$B$14,01_因子設定!$B$15-AB4484))),-1E+030)</f>
        <v>-3.3409004998045</v>
      </c>
      <c r="AE4484" s="55" t="n">
        <f aca="false">IF(AC4484,IF(01_因子設定!$B$13="最大化",X4484,IF(01_因子設定!$B$13="最小化",-X4484,-ABS(X4484-01_因子設定!$B$16))),-1E+030)</f>
        <v>44.5833516081871</v>
      </c>
      <c r="AF4484" s="55" t="n">
        <f aca="false">AD4484+ROW()*0.000000001</f>
        <v>-3.3408960158045</v>
      </c>
      <c r="AG4484" s="55" t="n">
        <f aca="false">AE4484+ROW()*0.000000001</f>
        <v>44.5833560921871</v>
      </c>
    </row>
    <row r="4485" customFormat="false" ht="15" hidden="false" customHeight="false" outlineLevel="0" collapsed="false">
      <c r="A4485" s="0" t="n">
        <v>6</v>
      </c>
      <c r="B4485" s="0" t="n">
        <v>1</v>
      </c>
      <c r="C4485" s="0" t="n">
        <v>2</v>
      </c>
      <c r="D4485" s="0" t="n">
        <v>7</v>
      </c>
      <c r="E4485" s="0" t="n">
        <f aca="false">-1+A4485*0.25</f>
        <v>0.5</v>
      </c>
      <c r="F4485" s="0" t="n">
        <f aca="false">-1+B4485*0.25</f>
        <v>-0.75</v>
      </c>
      <c r="G4485" s="0" t="n">
        <f aca="false">-1+C4485*0.25</f>
        <v>-0.5</v>
      </c>
      <c r="H4485" s="0" t="n">
        <f aca="false">-1+D4485*0.25</f>
        <v>0.75</v>
      </c>
      <c r="I4485" s="0" t="n">
        <f aca="false">1</f>
        <v>1</v>
      </c>
      <c r="J4485" s="0" t="n">
        <f aca="false">E4485</f>
        <v>0.5</v>
      </c>
      <c r="K4485" s="0" t="n">
        <f aca="false">F4485</f>
        <v>-0.75</v>
      </c>
      <c r="L4485" s="0" t="n">
        <f aca="false">G4485</f>
        <v>-0.5</v>
      </c>
      <c r="M4485" s="0" t="n">
        <f aca="false">H4485</f>
        <v>0.75</v>
      </c>
      <c r="N4485" s="0" t="n">
        <f aca="false">E4485*F4485</f>
        <v>-0.375</v>
      </c>
      <c r="O4485" s="0" t="n">
        <f aca="false">E4485*G4485</f>
        <v>-0.25</v>
      </c>
      <c r="P4485" s="0" t="n">
        <f aca="false">E4485*H4485</f>
        <v>0.375</v>
      </c>
      <c r="Q4485" s="0" t="n">
        <f aca="false">F4485*G4485</f>
        <v>0.375</v>
      </c>
      <c r="R4485" s="0" t="n">
        <f aca="false">F4485*H4485</f>
        <v>-0.5625</v>
      </c>
      <c r="S4485" s="0" t="n">
        <f aca="false">G4485*H4485</f>
        <v>-0.375</v>
      </c>
      <c r="T4485" s="0" t="n">
        <f aca="false">E4485*E4485</f>
        <v>0.25</v>
      </c>
      <c r="U4485" s="0" t="n">
        <f aca="false">F4485*F4485</f>
        <v>0.5625</v>
      </c>
      <c r="V4485" s="0" t="n">
        <f aca="false">G4485*G4485</f>
        <v>0.25</v>
      </c>
      <c r="W4485" s="0" t="n">
        <f aca="false">H4485*H4485</f>
        <v>0.5625</v>
      </c>
      <c r="X4485" s="0" t="n">
        <f aca="false">SUMPRODUCT(I4485:W4485,_XtX!$B$96:$P$96)</f>
        <v>44.5847542032164</v>
      </c>
      <c r="Y4485" s="0" t="n">
        <f aca="false">SUMPRODUCT(MMULT(I4485:W4485,_XtX!$B$78:$P$92),I4485:W4485)</f>
        <v>0.237862927174708</v>
      </c>
      <c r="Z4485" s="0" t="n">
        <f aca="false">04_回帰ANOVA!$K$19*04_回帰ANOVA!$K$14*SQRT(1+Y4485)</f>
        <v>1.45022260708756</v>
      </c>
      <c r="AA4485" s="0" t="n">
        <f aca="false">X4485-Z4485</f>
        <v>43.1345315961288</v>
      </c>
      <c r="AB4485" s="0" t="n">
        <f aca="false">X4485+Z4485</f>
        <v>46.0349768103039</v>
      </c>
      <c r="AC4485" s="54" t="b">
        <f aca="false">AND(E4485&gt;=01_因子設定!$L$5-0.000000001,E4485&lt;=01_因子設定!$M$5+0.000000001,F4485&gt;=01_因子設定!$L$6-0.000000001,F4485&lt;=01_因子設定!$M$6+0.000000001,G4485&gt;=01_因子設定!$L$7-0.000000001,G4485&lt;=01_因子設定!$M$7+0.000000001,H4485&gt;=01_因子設定!$L$8-0.000000001,H4485&lt;=01_因子設定!$M$8+0.000000001,IF(01_因子設定!$B$20="Box-Behnken",E4485^2+F4485^2+G4485^2+H4485^2&lt;=2+0.000000001,TRUE()))</f>
        <v>1</v>
      </c>
      <c r="AD4485" s="55" t="n">
        <f aca="false">IF(AC4485,IF(01_因子設定!$B$13="最大化",AA4485-01_因子設定!$B$14,IF(01_因子設定!$B$13="最小化",01_因子設定!$B$15-AB4485,MIN(AA4485-01_因子設定!$B$14,01_因子設定!$B$15-AB4485))),-1E+030)</f>
        <v>-3.36546840387121</v>
      </c>
      <c r="AE4485" s="55" t="n">
        <f aca="false">IF(AC4485,IF(01_因子設定!$B$13="最大化",X4485,IF(01_因子設定!$B$13="最小化",-X4485,-ABS(X4485-01_因子設定!$B$16))),-1E+030)</f>
        <v>44.5847542032164</v>
      </c>
      <c r="AF4485" s="55" t="n">
        <f aca="false">AD4485+ROW()*0.000000001</f>
        <v>-3.36546391887121</v>
      </c>
      <c r="AG4485" s="55" t="n">
        <f aca="false">AE4485+ROW()*0.000000001</f>
        <v>44.5847586882164</v>
      </c>
    </row>
    <row r="4486" customFormat="false" ht="15" hidden="false" customHeight="false" outlineLevel="0" collapsed="false">
      <c r="A4486" s="0" t="n">
        <v>6</v>
      </c>
      <c r="B4486" s="0" t="n">
        <v>1</v>
      </c>
      <c r="C4486" s="0" t="n">
        <v>2</v>
      </c>
      <c r="D4486" s="0" t="n">
        <v>8</v>
      </c>
      <c r="E4486" s="0" t="n">
        <f aca="false">-1+A4486*0.25</f>
        <v>0.5</v>
      </c>
      <c r="F4486" s="0" t="n">
        <f aca="false">-1+B4486*0.25</f>
        <v>-0.75</v>
      </c>
      <c r="G4486" s="0" t="n">
        <f aca="false">-1+C4486*0.25</f>
        <v>-0.5</v>
      </c>
      <c r="H4486" s="0" t="n">
        <f aca="false">-1+D4486*0.25</f>
        <v>1</v>
      </c>
      <c r="I4486" s="0" t="n">
        <f aca="false">1</f>
        <v>1</v>
      </c>
      <c r="J4486" s="0" t="n">
        <f aca="false">E4486</f>
        <v>0.5</v>
      </c>
      <c r="K4486" s="0" t="n">
        <f aca="false">F4486</f>
        <v>-0.75</v>
      </c>
      <c r="L4486" s="0" t="n">
        <f aca="false">G4486</f>
        <v>-0.5</v>
      </c>
      <c r="M4486" s="0" t="n">
        <f aca="false">H4486</f>
        <v>1</v>
      </c>
      <c r="N4486" s="0" t="n">
        <f aca="false">E4486*F4486</f>
        <v>-0.375</v>
      </c>
      <c r="O4486" s="0" t="n">
        <f aca="false">E4486*G4486</f>
        <v>-0.25</v>
      </c>
      <c r="P4486" s="0" t="n">
        <f aca="false">E4486*H4486</f>
        <v>0.5</v>
      </c>
      <c r="Q4486" s="0" t="n">
        <f aca="false">F4486*G4486</f>
        <v>0.375</v>
      </c>
      <c r="R4486" s="0" t="n">
        <f aca="false">F4486*H4486</f>
        <v>-0.75</v>
      </c>
      <c r="S4486" s="0" t="n">
        <f aca="false">G4486*H4486</f>
        <v>-0.5</v>
      </c>
      <c r="T4486" s="0" t="n">
        <f aca="false">E4486*E4486</f>
        <v>0.25</v>
      </c>
      <c r="U4486" s="0" t="n">
        <f aca="false">F4486*F4486</f>
        <v>0.5625</v>
      </c>
      <c r="V4486" s="0" t="n">
        <f aca="false">G4486*G4486</f>
        <v>0.25</v>
      </c>
      <c r="W4486" s="0" t="n">
        <f aca="false">H4486*H4486</f>
        <v>1</v>
      </c>
      <c r="X4486" s="0" t="n">
        <f aca="false">SUMPRODUCT(I4486:W4486,_XtX!$B$96:$P$96)</f>
        <v>44.5383497807018</v>
      </c>
      <c r="Y4486" s="0" t="n">
        <f aca="false">SUMPRODUCT(MMULT(I4486:W4486,_XtX!$B$78:$P$92),I4486:W4486)</f>
        <v>0.42602110745614</v>
      </c>
      <c r="Z4486" s="0" t="n">
        <f aca="false">04_回帰ANOVA!$K$19*04_回帰ANOVA!$K$14*SQRT(1+Y4486)</f>
        <v>1.55654388501114</v>
      </c>
      <c r="AA4486" s="0" t="n">
        <f aca="false">X4486-Z4486</f>
        <v>42.9818058956906</v>
      </c>
      <c r="AB4486" s="0" t="n">
        <f aca="false">X4486+Z4486</f>
        <v>46.0948936657129</v>
      </c>
      <c r="AC4486" s="54" t="b">
        <f aca="false">AND(E4486&gt;=01_因子設定!$L$5-0.000000001,E4486&lt;=01_因子設定!$M$5+0.000000001,F4486&gt;=01_因子設定!$L$6-0.000000001,F4486&lt;=01_因子設定!$M$6+0.000000001,G4486&gt;=01_因子設定!$L$7-0.000000001,G4486&lt;=01_因子設定!$M$7+0.000000001,H4486&gt;=01_因子設定!$L$8-0.000000001,H4486&lt;=01_因子設定!$M$8+0.000000001,IF(01_因子設定!$B$20="Box-Behnken",E4486^2+F4486^2+G4486^2+H4486^2&lt;=2+0.000000001,TRUE()))</f>
        <v>1</v>
      </c>
      <c r="AD4486" s="55" t="n">
        <f aca="false">IF(AC4486,IF(01_因子設定!$B$13="最大化",AA4486-01_因子設定!$B$14,IF(01_因子設定!$B$13="最小化",01_因子設定!$B$15-AB4486,MIN(AA4486-01_因子設定!$B$14,01_因子設定!$B$15-AB4486))),-1E+030)</f>
        <v>-3.51819410430939</v>
      </c>
      <c r="AE4486" s="55" t="n">
        <f aca="false">IF(AC4486,IF(01_因子設定!$B$13="最大化",X4486,IF(01_因子設定!$B$13="最小化",-X4486,-ABS(X4486-01_因子設定!$B$16))),-1E+030)</f>
        <v>44.5383497807018</v>
      </c>
      <c r="AF4486" s="55" t="n">
        <f aca="false">AD4486+ROW()*0.000000001</f>
        <v>-3.51818961830939</v>
      </c>
      <c r="AG4486" s="55" t="n">
        <f aca="false">AE4486+ROW()*0.000000001</f>
        <v>44.5383542667018</v>
      </c>
    </row>
    <row r="4487" customFormat="false" ht="15" hidden="false" customHeight="false" outlineLevel="0" collapsed="false">
      <c r="A4487" s="0" t="n">
        <v>6</v>
      </c>
      <c r="B4487" s="0" t="n">
        <v>1</v>
      </c>
      <c r="C4487" s="0" t="n">
        <v>3</v>
      </c>
      <c r="D4487" s="0" t="n">
        <v>0</v>
      </c>
      <c r="E4487" s="0" t="n">
        <f aca="false">-1+A4487*0.25</f>
        <v>0.5</v>
      </c>
      <c r="F4487" s="0" t="n">
        <f aca="false">-1+B4487*0.25</f>
        <v>-0.75</v>
      </c>
      <c r="G4487" s="0" t="n">
        <f aca="false">-1+C4487*0.25</f>
        <v>-0.25</v>
      </c>
      <c r="H4487" s="0" t="n">
        <f aca="false">-1+D4487*0.25</f>
        <v>-1</v>
      </c>
      <c r="I4487" s="0" t="n">
        <f aca="false">1</f>
        <v>1</v>
      </c>
      <c r="J4487" s="0" t="n">
        <f aca="false">E4487</f>
        <v>0.5</v>
      </c>
      <c r="K4487" s="0" t="n">
        <f aca="false">F4487</f>
        <v>-0.75</v>
      </c>
      <c r="L4487" s="0" t="n">
        <f aca="false">G4487</f>
        <v>-0.25</v>
      </c>
      <c r="M4487" s="0" t="n">
        <f aca="false">H4487</f>
        <v>-1</v>
      </c>
      <c r="N4487" s="0" t="n">
        <f aca="false">E4487*F4487</f>
        <v>-0.375</v>
      </c>
      <c r="O4487" s="0" t="n">
        <f aca="false">E4487*G4487</f>
        <v>-0.125</v>
      </c>
      <c r="P4487" s="0" t="n">
        <f aca="false">E4487*H4487</f>
        <v>-0.5</v>
      </c>
      <c r="Q4487" s="0" t="n">
        <f aca="false">F4487*G4487</f>
        <v>0.1875</v>
      </c>
      <c r="R4487" s="0" t="n">
        <f aca="false">F4487*H4487</f>
        <v>0.75</v>
      </c>
      <c r="S4487" s="0" t="n">
        <f aca="false">G4487*H4487</f>
        <v>0.25</v>
      </c>
      <c r="T4487" s="0" t="n">
        <f aca="false">E4487*E4487</f>
        <v>0.25</v>
      </c>
      <c r="U4487" s="0" t="n">
        <f aca="false">F4487*F4487</f>
        <v>0.5625</v>
      </c>
      <c r="V4487" s="0" t="n">
        <f aca="false">G4487*G4487</f>
        <v>0.0625</v>
      </c>
      <c r="W4487" s="0" t="n">
        <f aca="false">H4487*H4487</f>
        <v>1</v>
      </c>
      <c r="X4487" s="0" t="n">
        <f aca="false">SUMPRODUCT(I4487:W4487,_XtX!$B$96:$P$96)</f>
        <v>43.7330637792398</v>
      </c>
      <c r="Y4487" s="0" t="n">
        <f aca="false">SUMPRODUCT(MMULT(I4487:W4487,_XtX!$B$78:$P$92),I4487:W4487)</f>
        <v>0.459125719572369</v>
      </c>
      <c r="Z4487" s="0" t="n">
        <f aca="false">04_回帰ANOVA!$K$19*04_回帰ANOVA!$K$14*SQRT(1+Y4487)</f>
        <v>1.57450755575573</v>
      </c>
      <c r="AA4487" s="0" t="n">
        <f aca="false">X4487-Z4487</f>
        <v>42.158556223484</v>
      </c>
      <c r="AB4487" s="0" t="n">
        <f aca="false">X4487+Z4487</f>
        <v>45.3075713349955</v>
      </c>
      <c r="AC4487" s="54" t="b">
        <f aca="false">AND(E4487&gt;=01_因子設定!$L$5-0.000000001,E4487&lt;=01_因子設定!$M$5+0.000000001,F4487&gt;=01_因子設定!$L$6-0.000000001,F4487&lt;=01_因子設定!$M$6+0.000000001,G4487&gt;=01_因子設定!$L$7-0.000000001,G4487&lt;=01_因子設定!$M$7+0.000000001,H4487&gt;=01_因子設定!$L$8-0.000000001,H4487&lt;=01_因子設定!$M$8+0.000000001,IF(01_因子設定!$B$20="Box-Behnken",E4487^2+F4487^2+G4487^2+H4487^2&lt;=2+0.000000001,TRUE()))</f>
        <v>1</v>
      </c>
      <c r="AD4487" s="55" t="n">
        <f aca="false">IF(AC4487,IF(01_因子設定!$B$13="最大化",AA4487-01_因子設定!$B$14,IF(01_因子設定!$B$13="最小化",01_因子設定!$B$15-AB4487,MIN(AA4487-01_因子設定!$B$14,01_因子設定!$B$15-AB4487))),-1E+030)</f>
        <v>-4.34144377651597</v>
      </c>
      <c r="AE4487" s="55" t="n">
        <f aca="false">IF(AC4487,IF(01_因子設定!$B$13="最大化",X4487,IF(01_因子設定!$B$13="最小化",-X4487,-ABS(X4487-01_因子設定!$B$16))),-1E+030)</f>
        <v>43.7330637792398</v>
      </c>
      <c r="AF4487" s="55" t="n">
        <f aca="false">AD4487+ROW()*0.000000001</f>
        <v>-4.34143928951597</v>
      </c>
      <c r="AG4487" s="55" t="n">
        <f aca="false">AE4487+ROW()*0.000000001</f>
        <v>43.7330682662398</v>
      </c>
    </row>
    <row r="4488" customFormat="false" ht="15" hidden="false" customHeight="false" outlineLevel="0" collapsed="false">
      <c r="A4488" s="0" t="n">
        <v>6</v>
      </c>
      <c r="B4488" s="0" t="n">
        <v>1</v>
      </c>
      <c r="C4488" s="0" t="n">
        <v>3</v>
      </c>
      <c r="D4488" s="0" t="n">
        <v>1</v>
      </c>
      <c r="E4488" s="0" t="n">
        <f aca="false">-1+A4488*0.25</f>
        <v>0.5</v>
      </c>
      <c r="F4488" s="0" t="n">
        <f aca="false">-1+B4488*0.25</f>
        <v>-0.75</v>
      </c>
      <c r="G4488" s="0" t="n">
        <f aca="false">-1+C4488*0.25</f>
        <v>-0.25</v>
      </c>
      <c r="H4488" s="0" t="n">
        <f aca="false">-1+D4488*0.25</f>
        <v>-0.75</v>
      </c>
      <c r="I4488" s="0" t="n">
        <f aca="false">1</f>
        <v>1</v>
      </c>
      <c r="J4488" s="0" t="n">
        <f aca="false">E4488</f>
        <v>0.5</v>
      </c>
      <c r="K4488" s="0" t="n">
        <f aca="false">F4488</f>
        <v>-0.75</v>
      </c>
      <c r="L4488" s="0" t="n">
        <f aca="false">G4488</f>
        <v>-0.25</v>
      </c>
      <c r="M4488" s="0" t="n">
        <f aca="false">H4488</f>
        <v>-0.75</v>
      </c>
      <c r="N4488" s="0" t="n">
        <f aca="false">E4488*F4488</f>
        <v>-0.375</v>
      </c>
      <c r="O4488" s="0" t="n">
        <f aca="false">E4488*G4488</f>
        <v>-0.125</v>
      </c>
      <c r="P4488" s="0" t="n">
        <f aca="false">E4488*H4488</f>
        <v>-0.375</v>
      </c>
      <c r="Q4488" s="0" t="n">
        <f aca="false">F4488*G4488</f>
        <v>0.1875</v>
      </c>
      <c r="R4488" s="0" t="n">
        <f aca="false">F4488*H4488</f>
        <v>0.5625</v>
      </c>
      <c r="S4488" s="0" t="n">
        <f aca="false">G4488*H4488</f>
        <v>0.1875</v>
      </c>
      <c r="T4488" s="0" t="n">
        <f aca="false">E4488*E4488</f>
        <v>0.25</v>
      </c>
      <c r="U4488" s="0" t="n">
        <f aca="false">F4488*F4488</f>
        <v>0.5625</v>
      </c>
      <c r="V4488" s="0" t="n">
        <f aca="false">G4488*G4488</f>
        <v>0.0625</v>
      </c>
      <c r="W4488" s="0" t="n">
        <f aca="false">H4488*H4488</f>
        <v>0.5625</v>
      </c>
      <c r="X4488" s="0" t="n">
        <f aca="false">SUMPRODUCT(I4488:W4488,_XtX!$B$96:$P$96)</f>
        <v>44.0392772295321</v>
      </c>
      <c r="Y4488" s="0" t="n">
        <f aca="false">SUMPRODUCT(MMULT(I4488:W4488,_XtX!$B$78:$P$92),I4488:W4488)</f>
        <v>0.257385610836988</v>
      </c>
      <c r="Z4488" s="0" t="n">
        <f aca="false">04_回帰ANOVA!$K$19*04_回帰ANOVA!$K$14*SQRT(1+Y4488)</f>
        <v>1.46161380324158</v>
      </c>
      <c r="AA4488" s="0" t="n">
        <f aca="false">X4488-Z4488</f>
        <v>42.5776634262906</v>
      </c>
      <c r="AB4488" s="0" t="n">
        <f aca="false">X4488+Z4488</f>
        <v>45.5008910327737</v>
      </c>
      <c r="AC4488" s="54" t="b">
        <f aca="false">AND(E4488&gt;=01_因子設定!$L$5-0.000000001,E4488&lt;=01_因子設定!$M$5+0.000000001,F4488&gt;=01_因子設定!$L$6-0.000000001,F4488&lt;=01_因子設定!$M$6+0.000000001,G4488&gt;=01_因子設定!$L$7-0.000000001,G4488&lt;=01_因子設定!$M$7+0.000000001,H4488&gt;=01_因子設定!$L$8-0.000000001,H4488&lt;=01_因子設定!$M$8+0.000000001,IF(01_因子設定!$B$20="Box-Behnken",E4488^2+F4488^2+G4488^2+H4488^2&lt;=2+0.000000001,TRUE()))</f>
        <v>1</v>
      </c>
      <c r="AD4488" s="55" t="n">
        <f aca="false">IF(AC4488,IF(01_因子設定!$B$13="最大化",AA4488-01_因子設定!$B$14,IF(01_因子設定!$B$13="最小化",01_因子設定!$B$15-AB4488,MIN(AA4488-01_因子設定!$B$14,01_因子設定!$B$15-AB4488))),-1E+030)</f>
        <v>-3.92233657370944</v>
      </c>
      <c r="AE4488" s="55" t="n">
        <f aca="false">IF(AC4488,IF(01_因子設定!$B$13="最大化",X4488,IF(01_因子設定!$B$13="最小化",-X4488,-ABS(X4488-01_因子設定!$B$16))),-1E+030)</f>
        <v>44.0392772295321</v>
      </c>
      <c r="AF4488" s="55" t="n">
        <f aca="false">AD4488+ROW()*0.000000001</f>
        <v>-3.92233208570944</v>
      </c>
      <c r="AG4488" s="55" t="n">
        <f aca="false">AE4488+ROW()*0.000000001</f>
        <v>44.0392817175321</v>
      </c>
    </row>
    <row r="4489" customFormat="false" ht="15" hidden="false" customHeight="false" outlineLevel="0" collapsed="false">
      <c r="A4489" s="0" t="n">
        <v>6</v>
      </c>
      <c r="B4489" s="0" t="n">
        <v>1</v>
      </c>
      <c r="C4489" s="0" t="n">
        <v>3</v>
      </c>
      <c r="D4489" s="0" t="n">
        <v>2</v>
      </c>
      <c r="E4489" s="0" t="n">
        <f aca="false">-1+A4489*0.25</f>
        <v>0.5</v>
      </c>
      <c r="F4489" s="0" t="n">
        <f aca="false">-1+B4489*0.25</f>
        <v>-0.75</v>
      </c>
      <c r="G4489" s="0" t="n">
        <f aca="false">-1+C4489*0.25</f>
        <v>-0.25</v>
      </c>
      <c r="H4489" s="0" t="n">
        <f aca="false">-1+D4489*0.25</f>
        <v>-0.5</v>
      </c>
      <c r="I4489" s="0" t="n">
        <f aca="false">1</f>
        <v>1</v>
      </c>
      <c r="J4489" s="0" t="n">
        <f aca="false">E4489</f>
        <v>0.5</v>
      </c>
      <c r="K4489" s="0" t="n">
        <f aca="false">F4489</f>
        <v>-0.75</v>
      </c>
      <c r="L4489" s="0" t="n">
        <f aca="false">G4489</f>
        <v>-0.25</v>
      </c>
      <c r="M4489" s="0" t="n">
        <f aca="false">H4489</f>
        <v>-0.5</v>
      </c>
      <c r="N4489" s="0" t="n">
        <f aca="false">E4489*F4489</f>
        <v>-0.375</v>
      </c>
      <c r="O4489" s="0" t="n">
        <f aca="false">E4489*G4489</f>
        <v>-0.125</v>
      </c>
      <c r="P4489" s="0" t="n">
        <f aca="false">E4489*H4489</f>
        <v>-0.25</v>
      </c>
      <c r="Q4489" s="0" t="n">
        <f aca="false">F4489*G4489</f>
        <v>0.1875</v>
      </c>
      <c r="R4489" s="0" t="n">
        <f aca="false">F4489*H4489</f>
        <v>0.375</v>
      </c>
      <c r="S4489" s="0" t="n">
        <f aca="false">G4489*H4489</f>
        <v>0.125</v>
      </c>
      <c r="T4489" s="0" t="n">
        <f aca="false">E4489*E4489</f>
        <v>0.25</v>
      </c>
      <c r="U4489" s="0" t="n">
        <f aca="false">F4489*F4489</f>
        <v>0.5625</v>
      </c>
      <c r="V4489" s="0" t="n">
        <f aca="false">G4489*G4489</f>
        <v>0.0625</v>
      </c>
      <c r="W4489" s="0" t="n">
        <f aca="false">H4489*H4489</f>
        <v>0.25</v>
      </c>
      <c r="X4489" s="0" t="n">
        <f aca="false">SUMPRODUCT(I4489:W4489,_XtX!$B$96:$P$96)</f>
        <v>44.2976836622807</v>
      </c>
      <c r="Y4489" s="0" t="n">
        <f aca="false">SUMPRODUCT(MMULT(I4489:W4489,_XtX!$B$78:$P$92),I4489:W4489)</f>
        <v>0.203746059484649</v>
      </c>
      <c r="Z4489" s="0" t="n">
        <f aca="false">04_回帰ANOVA!$K$19*04_回帰ANOVA!$K$14*SQRT(1+Y4489)</f>
        <v>1.43009810755465</v>
      </c>
      <c r="AA4489" s="0" t="n">
        <f aca="false">X4489-Z4489</f>
        <v>42.867585554726</v>
      </c>
      <c r="AB4489" s="0" t="n">
        <f aca="false">X4489+Z4489</f>
        <v>45.7277817698353</v>
      </c>
      <c r="AC4489" s="54" t="b">
        <f aca="false">AND(E4489&gt;=01_因子設定!$L$5-0.000000001,E4489&lt;=01_因子設定!$M$5+0.000000001,F4489&gt;=01_因子設定!$L$6-0.000000001,F4489&lt;=01_因子設定!$M$6+0.000000001,G4489&gt;=01_因子設定!$L$7-0.000000001,G4489&lt;=01_因子設定!$M$7+0.000000001,H4489&gt;=01_因子設定!$L$8-0.000000001,H4489&lt;=01_因子設定!$M$8+0.000000001,IF(01_因子設定!$B$20="Box-Behnken",E4489^2+F4489^2+G4489^2+H4489^2&lt;=2+0.000000001,TRUE()))</f>
        <v>1</v>
      </c>
      <c r="AD4489" s="55" t="n">
        <f aca="false">IF(AC4489,IF(01_因子設定!$B$13="最大化",AA4489-01_因子設定!$B$14,IF(01_因子設定!$B$13="最小化",01_因子設定!$B$15-AB4489,MIN(AA4489-01_因子設定!$B$14,01_因子設定!$B$15-AB4489))),-1E+030)</f>
        <v>-3.63241444527398</v>
      </c>
      <c r="AE4489" s="55" t="n">
        <f aca="false">IF(AC4489,IF(01_因子設定!$B$13="最大化",X4489,IF(01_因子設定!$B$13="最小化",-X4489,-ABS(X4489-01_因子設定!$B$16))),-1E+030)</f>
        <v>44.2976836622807</v>
      </c>
      <c r="AF4489" s="55" t="n">
        <f aca="false">AD4489+ROW()*0.000000001</f>
        <v>-3.63240995627398</v>
      </c>
      <c r="AG4489" s="55" t="n">
        <f aca="false">AE4489+ROW()*0.000000001</f>
        <v>44.2976881512807</v>
      </c>
    </row>
    <row r="4490" customFormat="false" ht="15" hidden="false" customHeight="false" outlineLevel="0" collapsed="false">
      <c r="A4490" s="0" t="n">
        <v>6</v>
      </c>
      <c r="B4490" s="0" t="n">
        <v>1</v>
      </c>
      <c r="C4490" s="0" t="n">
        <v>3</v>
      </c>
      <c r="D4490" s="0" t="n">
        <v>3</v>
      </c>
      <c r="E4490" s="0" t="n">
        <f aca="false">-1+A4490*0.25</f>
        <v>0.5</v>
      </c>
      <c r="F4490" s="0" t="n">
        <f aca="false">-1+B4490*0.25</f>
        <v>-0.75</v>
      </c>
      <c r="G4490" s="0" t="n">
        <f aca="false">-1+C4490*0.25</f>
        <v>-0.25</v>
      </c>
      <c r="H4490" s="0" t="n">
        <f aca="false">-1+D4490*0.25</f>
        <v>-0.25</v>
      </c>
      <c r="I4490" s="0" t="n">
        <f aca="false">1</f>
        <v>1</v>
      </c>
      <c r="J4490" s="0" t="n">
        <f aca="false">E4490</f>
        <v>0.5</v>
      </c>
      <c r="K4490" s="0" t="n">
        <f aca="false">F4490</f>
        <v>-0.75</v>
      </c>
      <c r="L4490" s="0" t="n">
        <f aca="false">G4490</f>
        <v>-0.25</v>
      </c>
      <c r="M4490" s="0" t="n">
        <f aca="false">H4490</f>
        <v>-0.25</v>
      </c>
      <c r="N4490" s="0" t="n">
        <f aca="false">E4490*F4490</f>
        <v>-0.375</v>
      </c>
      <c r="O4490" s="0" t="n">
        <f aca="false">E4490*G4490</f>
        <v>-0.125</v>
      </c>
      <c r="P4490" s="0" t="n">
        <f aca="false">E4490*H4490</f>
        <v>-0.125</v>
      </c>
      <c r="Q4490" s="0" t="n">
        <f aca="false">F4490*G4490</f>
        <v>0.1875</v>
      </c>
      <c r="R4490" s="0" t="n">
        <f aca="false">F4490*H4490</f>
        <v>0.1875</v>
      </c>
      <c r="S4490" s="0" t="n">
        <f aca="false">G4490*H4490</f>
        <v>0.0625</v>
      </c>
      <c r="T4490" s="0" t="n">
        <f aca="false">E4490*E4490</f>
        <v>0.25</v>
      </c>
      <c r="U4490" s="0" t="n">
        <f aca="false">F4490*F4490</f>
        <v>0.5625</v>
      </c>
      <c r="V4490" s="0" t="n">
        <f aca="false">G4490*G4490</f>
        <v>0.0625</v>
      </c>
      <c r="W4490" s="0" t="n">
        <f aca="false">H4490*H4490</f>
        <v>0.0625</v>
      </c>
      <c r="X4490" s="0" t="n">
        <f aca="false">SUMPRODUCT(I4490:W4490,_XtX!$B$96:$P$96)</f>
        <v>44.5082830774853</v>
      </c>
      <c r="Y4490" s="0" t="n">
        <f aca="false">SUMPRODUCT(MMULT(I4490:W4490,_XtX!$B$78:$P$92),I4490:W4490)</f>
        <v>0.207746539199561</v>
      </c>
      <c r="Z4490" s="0" t="n">
        <f aca="false">04_回帰ANOVA!$K$19*04_回帰ANOVA!$K$14*SQRT(1+Y4490)</f>
        <v>1.43247250081141</v>
      </c>
      <c r="AA4490" s="0" t="n">
        <f aca="false">X4490-Z4490</f>
        <v>43.0758105766739</v>
      </c>
      <c r="AB4490" s="0" t="n">
        <f aca="false">X4490+Z4490</f>
        <v>45.9407555782967</v>
      </c>
      <c r="AC4490" s="54" t="b">
        <f aca="false">AND(E4490&gt;=01_因子設定!$L$5-0.000000001,E4490&lt;=01_因子設定!$M$5+0.000000001,F4490&gt;=01_因子設定!$L$6-0.000000001,F4490&lt;=01_因子設定!$M$6+0.000000001,G4490&gt;=01_因子設定!$L$7-0.000000001,G4490&lt;=01_因子設定!$M$7+0.000000001,H4490&gt;=01_因子設定!$L$8-0.000000001,H4490&lt;=01_因子設定!$M$8+0.000000001,IF(01_因子設定!$B$20="Box-Behnken",E4490^2+F4490^2+G4490^2+H4490^2&lt;=2+0.000000001,TRUE()))</f>
        <v>1</v>
      </c>
      <c r="AD4490" s="55" t="n">
        <f aca="false">IF(AC4490,IF(01_因子設定!$B$13="最大化",AA4490-01_因子設定!$B$14,IF(01_因子設定!$B$13="最小化",01_因子設定!$B$15-AB4490,MIN(AA4490-01_因子設定!$B$14,01_因子設定!$B$15-AB4490))),-1E+030)</f>
        <v>-3.42418942332607</v>
      </c>
      <c r="AE4490" s="55" t="n">
        <f aca="false">IF(AC4490,IF(01_因子設定!$B$13="最大化",X4490,IF(01_因子設定!$B$13="最小化",-X4490,-ABS(X4490-01_因子設定!$B$16))),-1E+030)</f>
        <v>44.5082830774853</v>
      </c>
      <c r="AF4490" s="55" t="n">
        <f aca="false">AD4490+ROW()*0.000000001</f>
        <v>-3.42418493332607</v>
      </c>
      <c r="AG4490" s="55" t="n">
        <f aca="false">AE4490+ROW()*0.000000001</f>
        <v>44.5082875674853</v>
      </c>
    </row>
    <row r="4491" customFormat="false" ht="15" hidden="false" customHeight="false" outlineLevel="0" collapsed="false">
      <c r="A4491" s="0" t="n">
        <v>6</v>
      </c>
      <c r="B4491" s="0" t="n">
        <v>1</v>
      </c>
      <c r="C4491" s="0" t="n">
        <v>3</v>
      </c>
      <c r="D4491" s="0" t="n">
        <v>4</v>
      </c>
      <c r="E4491" s="0" t="n">
        <f aca="false">-1+A4491*0.25</f>
        <v>0.5</v>
      </c>
      <c r="F4491" s="0" t="n">
        <f aca="false">-1+B4491*0.25</f>
        <v>-0.75</v>
      </c>
      <c r="G4491" s="0" t="n">
        <f aca="false">-1+C4491*0.25</f>
        <v>-0.25</v>
      </c>
      <c r="H4491" s="0" t="n">
        <f aca="false">-1+D4491*0.25</f>
        <v>0</v>
      </c>
      <c r="I4491" s="0" t="n">
        <f aca="false">1</f>
        <v>1</v>
      </c>
      <c r="J4491" s="0" t="n">
        <f aca="false">E4491</f>
        <v>0.5</v>
      </c>
      <c r="K4491" s="0" t="n">
        <f aca="false">F4491</f>
        <v>-0.75</v>
      </c>
      <c r="L4491" s="0" t="n">
        <f aca="false">G4491</f>
        <v>-0.25</v>
      </c>
      <c r="M4491" s="0" t="n">
        <f aca="false">H4491</f>
        <v>0</v>
      </c>
      <c r="N4491" s="0" t="n">
        <f aca="false">E4491*F4491</f>
        <v>-0.375</v>
      </c>
      <c r="O4491" s="0" t="n">
        <f aca="false">E4491*G4491</f>
        <v>-0.125</v>
      </c>
      <c r="P4491" s="0" t="n">
        <f aca="false">E4491*H4491</f>
        <v>0</v>
      </c>
      <c r="Q4491" s="0" t="n">
        <f aca="false">F4491*G4491</f>
        <v>0.1875</v>
      </c>
      <c r="R4491" s="0" t="n">
        <f aca="false">F4491*H4491</f>
        <v>-0</v>
      </c>
      <c r="S4491" s="0" t="n">
        <f aca="false">G4491*H4491</f>
        <v>-0</v>
      </c>
      <c r="T4491" s="0" t="n">
        <f aca="false">E4491*E4491</f>
        <v>0.25</v>
      </c>
      <c r="U4491" s="0" t="n">
        <f aca="false">F4491*F4491</f>
        <v>0.5625</v>
      </c>
      <c r="V4491" s="0" t="n">
        <f aca="false">G4491*G4491</f>
        <v>0.0625</v>
      </c>
      <c r="W4491" s="0" t="n">
        <f aca="false">H4491*H4491</f>
        <v>0</v>
      </c>
      <c r="X4491" s="0" t="n">
        <f aca="false">SUMPRODUCT(I4491:W4491,_XtX!$B$96:$P$96)</f>
        <v>44.6710754751462</v>
      </c>
      <c r="Y4491" s="0" t="n">
        <f aca="false">SUMPRODUCT(MMULT(I4491:W4491,_XtX!$B$78:$P$92),I4491:W4491)</f>
        <v>0.215110734192252</v>
      </c>
      <c r="Z4491" s="0" t="n">
        <f aca="false">04_回帰ANOVA!$K$19*04_回帰ANOVA!$K$14*SQRT(1+Y4491)</f>
        <v>1.43683309086864</v>
      </c>
      <c r="AA4491" s="0" t="n">
        <f aca="false">X4491-Z4491</f>
        <v>43.2342423842775</v>
      </c>
      <c r="AB4491" s="0" t="n">
        <f aca="false">X4491+Z4491</f>
        <v>46.1079085660148</v>
      </c>
      <c r="AC4491" s="54" t="b">
        <f aca="false">AND(E4491&gt;=01_因子設定!$L$5-0.000000001,E4491&lt;=01_因子設定!$M$5+0.000000001,F4491&gt;=01_因子設定!$L$6-0.000000001,F4491&lt;=01_因子設定!$M$6+0.000000001,G4491&gt;=01_因子設定!$L$7-0.000000001,G4491&lt;=01_因子設定!$M$7+0.000000001,H4491&gt;=01_因子設定!$L$8-0.000000001,H4491&lt;=01_因子設定!$M$8+0.000000001,IF(01_因子設定!$B$20="Box-Behnken",E4491^2+F4491^2+G4491^2+H4491^2&lt;=2+0.000000001,TRUE()))</f>
        <v>1</v>
      </c>
      <c r="AD4491" s="55" t="n">
        <f aca="false">IF(AC4491,IF(01_因子設定!$B$13="最大化",AA4491-01_因子設定!$B$14,IF(01_因子設定!$B$13="最小化",01_因子設定!$B$15-AB4491,MIN(AA4491-01_因子設定!$B$14,01_因子設定!$B$15-AB4491))),-1E+030)</f>
        <v>-3.26575761572249</v>
      </c>
      <c r="AE4491" s="55" t="n">
        <f aca="false">IF(AC4491,IF(01_因子設定!$B$13="最大化",X4491,IF(01_因子設定!$B$13="最小化",-X4491,-ABS(X4491-01_因子設定!$B$16))),-1E+030)</f>
        <v>44.6710754751462</v>
      </c>
      <c r="AF4491" s="55" t="n">
        <f aca="false">AD4491+ROW()*0.000000001</f>
        <v>-3.26575312472249</v>
      </c>
      <c r="AG4491" s="55" t="n">
        <f aca="false">AE4491+ROW()*0.000000001</f>
        <v>44.6710799661462</v>
      </c>
    </row>
    <row r="4492" customFormat="false" ht="15" hidden="false" customHeight="false" outlineLevel="0" collapsed="false">
      <c r="A4492" s="0" t="n">
        <v>6</v>
      </c>
      <c r="B4492" s="0" t="n">
        <v>1</v>
      </c>
      <c r="C4492" s="0" t="n">
        <v>3</v>
      </c>
      <c r="D4492" s="0" t="n">
        <v>5</v>
      </c>
      <c r="E4492" s="0" t="n">
        <f aca="false">-1+A4492*0.25</f>
        <v>0.5</v>
      </c>
      <c r="F4492" s="0" t="n">
        <f aca="false">-1+B4492*0.25</f>
        <v>-0.75</v>
      </c>
      <c r="G4492" s="0" t="n">
        <f aca="false">-1+C4492*0.25</f>
        <v>-0.25</v>
      </c>
      <c r="H4492" s="0" t="n">
        <f aca="false">-1+D4492*0.25</f>
        <v>0.25</v>
      </c>
      <c r="I4492" s="0" t="n">
        <f aca="false">1</f>
        <v>1</v>
      </c>
      <c r="J4492" s="0" t="n">
        <f aca="false">E4492</f>
        <v>0.5</v>
      </c>
      <c r="K4492" s="0" t="n">
        <f aca="false">F4492</f>
        <v>-0.75</v>
      </c>
      <c r="L4492" s="0" t="n">
        <f aca="false">G4492</f>
        <v>-0.25</v>
      </c>
      <c r="M4492" s="0" t="n">
        <f aca="false">H4492</f>
        <v>0.25</v>
      </c>
      <c r="N4492" s="0" t="n">
        <f aca="false">E4492*F4492</f>
        <v>-0.375</v>
      </c>
      <c r="O4492" s="0" t="n">
        <f aca="false">E4492*G4492</f>
        <v>-0.125</v>
      </c>
      <c r="P4492" s="0" t="n">
        <f aca="false">E4492*H4492</f>
        <v>0.125</v>
      </c>
      <c r="Q4492" s="0" t="n">
        <f aca="false">F4492*G4492</f>
        <v>0.1875</v>
      </c>
      <c r="R4492" s="0" t="n">
        <f aca="false">F4492*H4492</f>
        <v>-0.1875</v>
      </c>
      <c r="S4492" s="0" t="n">
        <f aca="false">G4492*H4492</f>
        <v>-0.0625</v>
      </c>
      <c r="T4492" s="0" t="n">
        <f aca="false">E4492*E4492</f>
        <v>0.25</v>
      </c>
      <c r="U4492" s="0" t="n">
        <f aca="false">F4492*F4492</f>
        <v>0.5625</v>
      </c>
      <c r="V4492" s="0" t="n">
        <f aca="false">G4492*G4492</f>
        <v>0.0625</v>
      </c>
      <c r="W4492" s="0" t="n">
        <f aca="false">H4492*H4492</f>
        <v>0.0625</v>
      </c>
      <c r="X4492" s="0" t="n">
        <f aca="false">SUMPRODUCT(I4492:W4492,_XtX!$B$96:$P$96)</f>
        <v>44.7860608552631</v>
      </c>
      <c r="Y4492" s="0" t="n">
        <f aca="false">SUMPRODUCT(MMULT(I4492:W4492,_XtX!$B$78:$P$92),I4492:W4492)</f>
        <v>0.207746539199561</v>
      </c>
      <c r="Z4492" s="0" t="n">
        <f aca="false">04_回帰ANOVA!$K$19*04_回帰ANOVA!$K$14*SQRT(1+Y4492)</f>
        <v>1.43247250081141</v>
      </c>
      <c r="AA4492" s="0" t="n">
        <f aca="false">X4492-Z4492</f>
        <v>43.3535883544517</v>
      </c>
      <c r="AB4492" s="0" t="n">
        <f aca="false">X4492+Z4492</f>
        <v>46.2185333560745</v>
      </c>
      <c r="AC4492" s="54" t="b">
        <f aca="false">AND(E4492&gt;=01_因子設定!$L$5-0.000000001,E4492&lt;=01_因子設定!$M$5+0.000000001,F4492&gt;=01_因子設定!$L$6-0.000000001,F4492&lt;=01_因子設定!$M$6+0.000000001,G4492&gt;=01_因子設定!$L$7-0.000000001,G4492&lt;=01_因子設定!$M$7+0.000000001,H4492&gt;=01_因子設定!$L$8-0.000000001,H4492&lt;=01_因子設定!$M$8+0.000000001,IF(01_因子設定!$B$20="Box-Behnken",E4492^2+F4492^2+G4492^2+H4492^2&lt;=2+0.000000001,TRUE()))</f>
        <v>1</v>
      </c>
      <c r="AD4492" s="55" t="n">
        <f aca="false">IF(AC4492,IF(01_因子設定!$B$13="最大化",AA4492-01_因子設定!$B$14,IF(01_因子設定!$B$13="最小化",01_因子設定!$B$15-AB4492,MIN(AA4492-01_因子設定!$B$14,01_因子設定!$B$15-AB4492))),-1E+030)</f>
        <v>-3.14641164554829</v>
      </c>
      <c r="AE4492" s="55" t="n">
        <f aca="false">IF(AC4492,IF(01_因子設定!$B$13="最大化",X4492,IF(01_因子設定!$B$13="最小化",-X4492,-ABS(X4492-01_因子設定!$B$16))),-1E+030)</f>
        <v>44.7860608552631</v>
      </c>
      <c r="AF4492" s="55" t="n">
        <f aca="false">AD4492+ROW()*0.000000001</f>
        <v>-3.14640715354829</v>
      </c>
      <c r="AG4492" s="55" t="n">
        <f aca="false">AE4492+ROW()*0.000000001</f>
        <v>44.7860653472631</v>
      </c>
    </row>
    <row r="4493" customFormat="false" ht="15" hidden="false" customHeight="false" outlineLevel="0" collapsed="false">
      <c r="A4493" s="0" t="n">
        <v>6</v>
      </c>
      <c r="B4493" s="0" t="n">
        <v>1</v>
      </c>
      <c r="C4493" s="0" t="n">
        <v>3</v>
      </c>
      <c r="D4493" s="0" t="n">
        <v>6</v>
      </c>
      <c r="E4493" s="0" t="n">
        <f aca="false">-1+A4493*0.25</f>
        <v>0.5</v>
      </c>
      <c r="F4493" s="0" t="n">
        <f aca="false">-1+B4493*0.25</f>
        <v>-0.75</v>
      </c>
      <c r="G4493" s="0" t="n">
        <f aca="false">-1+C4493*0.25</f>
        <v>-0.25</v>
      </c>
      <c r="H4493" s="0" t="n">
        <f aca="false">-1+D4493*0.25</f>
        <v>0.5</v>
      </c>
      <c r="I4493" s="0" t="n">
        <f aca="false">1</f>
        <v>1</v>
      </c>
      <c r="J4493" s="0" t="n">
        <f aca="false">E4493</f>
        <v>0.5</v>
      </c>
      <c r="K4493" s="0" t="n">
        <f aca="false">F4493</f>
        <v>-0.75</v>
      </c>
      <c r="L4493" s="0" t="n">
        <f aca="false">G4493</f>
        <v>-0.25</v>
      </c>
      <c r="M4493" s="0" t="n">
        <f aca="false">H4493</f>
        <v>0.5</v>
      </c>
      <c r="N4493" s="0" t="n">
        <f aca="false">E4493*F4493</f>
        <v>-0.375</v>
      </c>
      <c r="O4493" s="0" t="n">
        <f aca="false">E4493*G4493</f>
        <v>-0.125</v>
      </c>
      <c r="P4493" s="0" t="n">
        <f aca="false">E4493*H4493</f>
        <v>0.25</v>
      </c>
      <c r="Q4493" s="0" t="n">
        <f aca="false">F4493*G4493</f>
        <v>0.1875</v>
      </c>
      <c r="R4493" s="0" t="n">
        <f aca="false">F4493*H4493</f>
        <v>-0.375</v>
      </c>
      <c r="S4493" s="0" t="n">
        <f aca="false">G4493*H4493</f>
        <v>-0.125</v>
      </c>
      <c r="T4493" s="0" t="n">
        <f aca="false">E4493*E4493</f>
        <v>0.25</v>
      </c>
      <c r="U4493" s="0" t="n">
        <f aca="false">F4493*F4493</f>
        <v>0.5625</v>
      </c>
      <c r="V4493" s="0" t="n">
        <f aca="false">G4493*G4493</f>
        <v>0.0625</v>
      </c>
      <c r="W4493" s="0" t="n">
        <f aca="false">H4493*H4493</f>
        <v>0.25</v>
      </c>
      <c r="X4493" s="0" t="n">
        <f aca="false">SUMPRODUCT(I4493:W4493,_XtX!$B$96:$P$96)</f>
        <v>44.8532392178362</v>
      </c>
      <c r="Y4493" s="0" t="n">
        <f aca="false">SUMPRODUCT(MMULT(I4493:W4493,_XtX!$B$78:$P$92),I4493:W4493)</f>
        <v>0.203746059484649</v>
      </c>
      <c r="Z4493" s="0" t="n">
        <f aca="false">04_回帰ANOVA!$K$19*04_回帰ANOVA!$K$14*SQRT(1+Y4493)</f>
        <v>1.43009810755465</v>
      </c>
      <c r="AA4493" s="0" t="n">
        <f aca="false">X4493-Z4493</f>
        <v>43.4231411102816</v>
      </c>
      <c r="AB4493" s="0" t="n">
        <f aca="false">X4493+Z4493</f>
        <v>46.2833373253909</v>
      </c>
      <c r="AC4493" s="54" t="b">
        <f aca="false">AND(E4493&gt;=01_因子設定!$L$5-0.000000001,E4493&lt;=01_因子設定!$M$5+0.000000001,F4493&gt;=01_因子設定!$L$6-0.000000001,F4493&lt;=01_因子設定!$M$6+0.000000001,G4493&gt;=01_因子設定!$L$7-0.000000001,G4493&lt;=01_因子設定!$M$7+0.000000001,H4493&gt;=01_因子設定!$L$8-0.000000001,H4493&lt;=01_因子設定!$M$8+0.000000001,IF(01_因子設定!$B$20="Box-Behnken",E4493^2+F4493^2+G4493^2+H4493^2&lt;=2+0.000000001,TRUE()))</f>
        <v>1</v>
      </c>
      <c r="AD4493" s="55" t="n">
        <f aca="false">IF(AC4493,IF(01_因子設定!$B$13="最大化",AA4493-01_因子設定!$B$14,IF(01_因子設定!$B$13="最小化",01_因子設定!$B$15-AB4493,MIN(AA4493-01_因子設定!$B$14,01_因子設定!$B$15-AB4493))),-1E+030)</f>
        <v>-3.07685888971843</v>
      </c>
      <c r="AE4493" s="55" t="n">
        <f aca="false">IF(AC4493,IF(01_因子設定!$B$13="最大化",X4493,IF(01_因子設定!$B$13="最小化",-X4493,-ABS(X4493-01_因子設定!$B$16))),-1E+030)</f>
        <v>44.8532392178362</v>
      </c>
      <c r="AF4493" s="55" t="n">
        <f aca="false">AD4493+ROW()*0.000000001</f>
        <v>-3.07685439671843</v>
      </c>
      <c r="AG4493" s="55" t="n">
        <f aca="false">AE4493+ROW()*0.000000001</f>
        <v>44.8532437108362</v>
      </c>
    </row>
    <row r="4494" customFormat="false" ht="15" hidden="false" customHeight="false" outlineLevel="0" collapsed="false">
      <c r="A4494" s="0" t="n">
        <v>6</v>
      </c>
      <c r="B4494" s="0" t="n">
        <v>1</v>
      </c>
      <c r="C4494" s="0" t="n">
        <v>3</v>
      </c>
      <c r="D4494" s="0" t="n">
        <v>7</v>
      </c>
      <c r="E4494" s="0" t="n">
        <f aca="false">-1+A4494*0.25</f>
        <v>0.5</v>
      </c>
      <c r="F4494" s="0" t="n">
        <f aca="false">-1+B4494*0.25</f>
        <v>-0.75</v>
      </c>
      <c r="G4494" s="0" t="n">
        <f aca="false">-1+C4494*0.25</f>
        <v>-0.25</v>
      </c>
      <c r="H4494" s="0" t="n">
        <f aca="false">-1+D4494*0.25</f>
        <v>0.75</v>
      </c>
      <c r="I4494" s="0" t="n">
        <f aca="false">1</f>
        <v>1</v>
      </c>
      <c r="J4494" s="0" t="n">
        <f aca="false">E4494</f>
        <v>0.5</v>
      </c>
      <c r="K4494" s="0" t="n">
        <f aca="false">F4494</f>
        <v>-0.75</v>
      </c>
      <c r="L4494" s="0" t="n">
        <f aca="false">G4494</f>
        <v>-0.25</v>
      </c>
      <c r="M4494" s="0" t="n">
        <f aca="false">H4494</f>
        <v>0.75</v>
      </c>
      <c r="N4494" s="0" t="n">
        <f aca="false">E4494*F4494</f>
        <v>-0.375</v>
      </c>
      <c r="O4494" s="0" t="n">
        <f aca="false">E4494*G4494</f>
        <v>-0.125</v>
      </c>
      <c r="P4494" s="0" t="n">
        <f aca="false">E4494*H4494</f>
        <v>0.375</v>
      </c>
      <c r="Q4494" s="0" t="n">
        <f aca="false">F4494*G4494</f>
        <v>0.1875</v>
      </c>
      <c r="R4494" s="0" t="n">
        <f aca="false">F4494*H4494</f>
        <v>-0.5625</v>
      </c>
      <c r="S4494" s="0" t="n">
        <f aca="false">G4494*H4494</f>
        <v>-0.1875</v>
      </c>
      <c r="T4494" s="0" t="n">
        <f aca="false">E4494*E4494</f>
        <v>0.25</v>
      </c>
      <c r="U4494" s="0" t="n">
        <f aca="false">F4494*F4494</f>
        <v>0.5625</v>
      </c>
      <c r="V4494" s="0" t="n">
        <f aca="false">G4494*G4494</f>
        <v>0.0625</v>
      </c>
      <c r="W4494" s="0" t="n">
        <f aca="false">H4494*H4494</f>
        <v>0.5625</v>
      </c>
      <c r="X4494" s="0" t="n">
        <f aca="false">SUMPRODUCT(I4494:W4494,_XtX!$B$96:$P$96)</f>
        <v>44.8726105628655</v>
      </c>
      <c r="Y4494" s="0" t="n">
        <f aca="false">SUMPRODUCT(MMULT(I4494:W4494,_XtX!$B$78:$P$92),I4494:W4494)</f>
        <v>0.257385610836988</v>
      </c>
      <c r="Z4494" s="0" t="n">
        <f aca="false">04_回帰ANOVA!$K$19*04_回帰ANOVA!$K$14*SQRT(1+Y4494)</f>
        <v>1.46161380324158</v>
      </c>
      <c r="AA4494" s="0" t="n">
        <f aca="false">X4494-Z4494</f>
        <v>43.4109967596239</v>
      </c>
      <c r="AB4494" s="0" t="n">
        <f aca="false">X4494+Z4494</f>
        <v>46.3342243661071</v>
      </c>
      <c r="AC4494" s="54" t="b">
        <f aca="false">AND(E4494&gt;=01_因子設定!$L$5-0.000000001,E4494&lt;=01_因子設定!$M$5+0.000000001,F4494&gt;=01_因子設定!$L$6-0.000000001,F4494&lt;=01_因子設定!$M$6+0.000000001,G4494&gt;=01_因子設定!$L$7-0.000000001,G4494&lt;=01_因子設定!$M$7+0.000000001,H4494&gt;=01_因子設定!$L$8-0.000000001,H4494&lt;=01_因子設定!$M$8+0.000000001,IF(01_因子設定!$B$20="Box-Behnken",E4494^2+F4494^2+G4494^2+H4494^2&lt;=2+0.000000001,TRUE()))</f>
        <v>1</v>
      </c>
      <c r="AD4494" s="55" t="n">
        <f aca="false">IF(AC4494,IF(01_因子設定!$B$13="最大化",AA4494-01_因子設定!$B$14,IF(01_因子設定!$B$13="最小化",01_因子設定!$B$15-AB4494,MIN(AA4494-01_因子設定!$B$14,01_因子設定!$B$15-AB4494))),-1E+030)</f>
        <v>-3.08900324037611</v>
      </c>
      <c r="AE4494" s="55" t="n">
        <f aca="false">IF(AC4494,IF(01_因子設定!$B$13="最大化",X4494,IF(01_因子設定!$B$13="最小化",-X4494,-ABS(X4494-01_因子設定!$B$16))),-1E+030)</f>
        <v>44.8726105628655</v>
      </c>
      <c r="AF4494" s="55" t="n">
        <f aca="false">AD4494+ROW()*0.000000001</f>
        <v>-3.08899874637611</v>
      </c>
      <c r="AG4494" s="55" t="n">
        <f aca="false">AE4494+ROW()*0.000000001</f>
        <v>44.8726150568655</v>
      </c>
    </row>
    <row r="4495" customFormat="false" ht="15" hidden="false" customHeight="false" outlineLevel="0" collapsed="false">
      <c r="A4495" s="0" t="n">
        <v>6</v>
      </c>
      <c r="B4495" s="0" t="n">
        <v>1</v>
      </c>
      <c r="C4495" s="0" t="n">
        <v>3</v>
      </c>
      <c r="D4495" s="0" t="n">
        <v>8</v>
      </c>
      <c r="E4495" s="0" t="n">
        <f aca="false">-1+A4495*0.25</f>
        <v>0.5</v>
      </c>
      <c r="F4495" s="0" t="n">
        <f aca="false">-1+B4495*0.25</f>
        <v>-0.75</v>
      </c>
      <c r="G4495" s="0" t="n">
        <f aca="false">-1+C4495*0.25</f>
        <v>-0.25</v>
      </c>
      <c r="H4495" s="0" t="n">
        <f aca="false">-1+D4495*0.25</f>
        <v>1</v>
      </c>
      <c r="I4495" s="0" t="n">
        <f aca="false">1</f>
        <v>1</v>
      </c>
      <c r="J4495" s="0" t="n">
        <f aca="false">E4495</f>
        <v>0.5</v>
      </c>
      <c r="K4495" s="0" t="n">
        <f aca="false">F4495</f>
        <v>-0.75</v>
      </c>
      <c r="L4495" s="0" t="n">
        <f aca="false">G4495</f>
        <v>-0.25</v>
      </c>
      <c r="M4495" s="0" t="n">
        <f aca="false">H4495</f>
        <v>1</v>
      </c>
      <c r="N4495" s="0" t="n">
        <f aca="false">E4495*F4495</f>
        <v>-0.375</v>
      </c>
      <c r="O4495" s="0" t="n">
        <f aca="false">E4495*G4495</f>
        <v>-0.125</v>
      </c>
      <c r="P4495" s="0" t="n">
        <f aca="false">E4495*H4495</f>
        <v>0.5</v>
      </c>
      <c r="Q4495" s="0" t="n">
        <f aca="false">F4495*G4495</f>
        <v>0.1875</v>
      </c>
      <c r="R4495" s="0" t="n">
        <f aca="false">F4495*H4495</f>
        <v>-0.75</v>
      </c>
      <c r="S4495" s="0" t="n">
        <f aca="false">G4495*H4495</f>
        <v>-0.25</v>
      </c>
      <c r="T4495" s="0" t="n">
        <f aca="false">E4495*E4495</f>
        <v>0.25</v>
      </c>
      <c r="U4495" s="0" t="n">
        <f aca="false">F4495*F4495</f>
        <v>0.5625</v>
      </c>
      <c r="V4495" s="0" t="n">
        <f aca="false">G4495*G4495</f>
        <v>0.0625</v>
      </c>
      <c r="W4495" s="0" t="n">
        <f aca="false">H4495*H4495</f>
        <v>1</v>
      </c>
      <c r="X4495" s="0" t="n">
        <f aca="false">SUMPRODUCT(I4495:W4495,_XtX!$B$96:$P$96)</f>
        <v>44.8441748903509</v>
      </c>
      <c r="Y4495" s="0" t="n">
        <f aca="false">SUMPRODUCT(MMULT(I4495:W4495,_XtX!$B$78:$P$92),I4495:W4495)</f>
        <v>0.459125719572369</v>
      </c>
      <c r="Z4495" s="0" t="n">
        <f aca="false">04_回帰ANOVA!$K$19*04_回帰ANOVA!$K$14*SQRT(1+Y4495)</f>
        <v>1.57450755575573</v>
      </c>
      <c r="AA4495" s="0" t="n">
        <f aca="false">X4495-Z4495</f>
        <v>43.2696673345951</v>
      </c>
      <c r="AB4495" s="0" t="n">
        <f aca="false">X4495+Z4495</f>
        <v>46.4186824461066</v>
      </c>
      <c r="AC4495" s="54" t="b">
        <f aca="false">AND(E4495&gt;=01_因子設定!$L$5-0.000000001,E4495&lt;=01_因子設定!$M$5+0.000000001,F4495&gt;=01_因子設定!$L$6-0.000000001,F4495&lt;=01_因子設定!$M$6+0.000000001,G4495&gt;=01_因子設定!$L$7-0.000000001,G4495&lt;=01_因子設定!$M$7+0.000000001,H4495&gt;=01_因子設定!$L$8-0.000000001,H4495&lt;=01_因子設定!$M$8+0.000000001,IF(01_因子設定!$B$20="Box-Behnken",E4495^2+F4495^2+G4495^2+H4495^2&lt;=2+0.000000001,TRUE()))</f>
        <v>1</v>
      </c>
      <c r="AD4495" s="55" t="n">
        <f aca="false">IF(AC4495,IF(01_因子設定!$B$13="最大化",AA4495-01_因子設定!$B$14,IF(01_因子設定!$B$13="最小化",01_因子設定!$B$15-AB4495,MIN(AA4495-01_因子設定!$B$14,01_因子設定!$B$15-AB4495))),-1E+030)</f>
        <v>-3.23033266540486</v>
      </c>
      <c r="AE4495" s="55" t="n">
        <f aca="false">IF(AC4495,IF(01_因子設定!$B$13="最大化",X4495,IF(01_因子設定!$B$13="最小化",-X4495,-ABS(X4495-01_因子設定!$B$16))),-1E+030)</f>
        <v>44.8441748903509</v>
      </c>
      <c r="AF4495" s="55" t="n">
        <f aca="false">AD4495+ROW()*0.000000001</f>
        <v>-3.23032817040486</v>
      </c>
      <c r="AG4495" s="55" t="n">
        <f aca="false">AE4495+ROW()*0.000000001</f>
        <v>44.8441793853509</v>
      </c>
    </row>
    <row r="4496" customFormat="false" ht="15" hidden="false" customHeight="false" outlineLevel="0" collapsed="false">
      <c r="A4496" s="0" t="n">
        <v>6</v>
      </c>
      <c r="B4496" s="0" t="n">
        <v>1</v>
      </c>
      <c r="C4496" s="0" t="n">
        <v>4</v>
      </c>
      <c r="D4496" s="0" t="n">
        <v>0</v>
      </c>
      <c r="E4496" s="0" t="n">
        <f aca="false">-1+A4496*0.25</f>
        <v>0.5</v>
      </c>
      <c r="F4496" s="0" t="n">
        <f aca="false">-1+B4496*0.25</f>
        <v>-0.75</v>
      </c>
      <c r="G4496" s="0" t="n">
        <f aca="false">-1+C4496*0.25</f>
        <v>0</v>
      </c>
      <c r="H4496" s="0" t="n">
        <f aca="false">-1+D4496*0.25</f>
        <v>-1</v>
      </c>
      <c r="I4496" s="0" t="n">
        <f aca="false">1</f>
        <v>1</v>
      </c>
      <c r="J4496" s="0" t="n">
        <f aca="false">E4496</f>
        <v>0.5</v>
      </c>
      <c r="K4496" s="0" t="n">
        <f aca="false">F4496</f>
        <v>-0.75</v>
      </c>
      <c r="L4496" s="0" t="n">
        <f aca="false">G4496</f>
        <v>0</v>
      </c>
      <c r="M4496" s="0" t="n">
        <f aca="false">H4496</f>
        <v>-1</v>
      </c>
      <c r="N4496" s="0" t="n">
        <f aca="false">E4496*F4496</f>
        <v>-0.375</v>
      </c>
      <c r="O4496" s="0" t="n">
        <f aca="false">E4496*G4496</f>
        <v>0</v>
      </c>
      <c r="P4496" s="0" t="n">
        <f aca="false">E4496*H4496</f>
        <v>-0.5</v>
      </c>
      <c r="Q4496" s="0" t="n">
        <f aca="false">F4496*G4496</f>
        <v>-0</v>
      </c>
      <c r="R4496" s="0" t="n">
        <f aca="false">F4496*H4496</f>
        <v>0.75</v>
      </c>
      <c r="S4496" s="0" t="n">
        <f aca="false">G4496*H4496</f>
        <v>-0</v>
      </c>
      <c r="T4496" s="0" t="n">
        <f aca="false">E4496*E4496</f>
        <v>0.25</v>
      </c>
      <c r="U4496" s="0" t="n">
        <f aca="false">F4496*F4496</f>
        <v>0.5625</v>
      </c>
      <c r="V4496" s="0" t="n">
        <f aca="false">G4496*G4496</f>
        <v>0</v>
      </c>
      <c r="W4496" s="0" t="n">
        <f aca="false">H4496*H4496</f>
        <v>1</v>
      </c>
      <c r="X4496" s="0" t="n">
        <f aca="false">SUMPRODUCT(I4496:W4496,_XtX!$B$96:$P$96)</f>
        <v>43.809831871345</v>
      </c>
      <c r="Y4496" s="0" t="n">
        <f aca="false">SUMPRODUCT(MMULT(I4496:W4496,_XtX!$B$78:$P$92),I4496:W4496)</f>
        <v>0.476191292032164</v>
      </c>
      <c r="Z4496" s="0" t="n">
        <f aca="false">04_回帰ANOVA!$K$19*04_回帰ANOVA!$K$14*SQRT(1+Y4496)</f>
        <v>1.58368831471718</v>
      </c>
      <c r="AA4496" s="0" t="n">
        <f aca="false">X4496-Z4496</f>
        <v>42.2261435566279</v>
      </c>
      <c r="AB4496" s="0" t="n">
        <f aca="false">X4496+Z4496</f>
        <v>45.3935201860622</v>
      </c>
      <c r="AC4496" s="54" t="b">
        <f aca="false">AND(E4496&gt;=01_因子設定!$L$5-0.000000001,E4496&lt;=01_因子設定!$M$5+0.000000001,F4496&gt;=01_因子設定!$L$6-0.000000001,F4496&lt;=01_因子設定!$M$6+0.000000001,G4496&gt;=01_因子設定!$L$7-0.000000001,G4496&lt;=01_因子設定!$M$7+0.000000001,H4496&gt;=01_因子設定!$L$8-0.000000001,H4496&lt;=01_因子設定!$M$8+0.000000001,IF(01_因子設定!$B$20="Box-Behnken",E4496^2+F4496^2+G4496^2+H4496^2&lt;=2+0.000000001,TRUE()))</f>
        <v>1</v>
      </c>
      <c r="AD4496" s="55" t="n">
        <f aca="false">IF(AC4496,IF(01_因子設定!$B$13="最大化",AA4496-01_因子設定!$B$14,IF(01_因子設定!$B$13="最小化",01_因子設定!$B$15-AB4496,MIN(AA4496-01_因子設定!$B$14,01_因子設定!$B$15-AB4496))),-1E+030)</f>
        <v>-4.27385644337215</v>
      </c>
      <c r="AE4496" s="55" t="n">
        <f aca="false">IF(AC4496,IF(01_因子設定!$B$13="最大化",X4496,IF(01_因子設定!$B$13="最小化",-X4496,-ABS(X4496-01_因子設定!$B$16))),-1E+030)</f>
        <v>43.809831871345</v>
      </c>
      <c r="AF4496" s="55" t="n">
        <f aca="false">AD4496+ROW()*0.000000001</f>
        <v>-4.27385194737215</v>
      </c>
      <c r="AG4496" s="55" t="n">
        <f aca="false">AE4496+ROW()*0.000000001</f>
        <v>43.809836367345</v>
      </c>
    </row>
    <row r="4497" customFormat="false" ht="15" hidden="false" customHeight="false" outlineLevel="0" collapsed="false">
      <c r="A4497" s="0" t="n">
        <v>6</v>
      </c>
      <c r="B4497" s="0" t="n">
        <v>1</v>
      </c>
      <c r="C4497" s="0" t="n">
        <v>4</v>
      </c>
      <c r="D4497" s="0" t="n">
        <v>1</v>
      </c>
      <c r="E4497" s="0" t="n">
        <f aca="false">-1+A4497*0.25</f>
        <v>0.5</v>
      </c>
      <c r="F4497" s="0" t="n">
        <f aca="false">-1+B4497*0.25</f>
        <v>-0.75</v>
      </c>
      <c r="G4497" s="0" t="n">
        <f aca="false">-1+C4497*0.25</f>
        <v>0</v>
      </c>
      <c r="H4497" s="0" t="n">
        <f aca="false">-1+D4497*0.25</f>
        <v>-0.75</v>
      </c>
      <c r="I4497" s="0" t="n">
        <f aca="false">1</f>
        <v>1</v>
      </c>
      <c r="J4497" s="0" t="n">
        <f aca="false">E4497</f>
        <v>0.5</v>
      </c>
      <c r="K4497" s="0" t="n">
        <f aca="false">F4497</f>
        <v>-0.75</v>
      </c>
      <c r="L4497" s="0" t="n">
        <f aca="false">G4497</f>
        <v>0</v>
      </c>
      <c r="M4497" s="0" t="n">
        <f aca="false">H4497</f>
        <v>-0.75</v>
      </c>
      <c r="N4497" s="0" t="n">
        <f aca="false">E4497*F4497</f>
        <v>-0.375</v>
      </c>
      <c r="O4497" s="0" t="n">
        <f aca="false">E4497*G4497</f>
        <v>0</v>
      </c>
      <c r="P4497" s="0" t="n">
        <f aca="false">E4497*H4497</f>
        <v>-0.375</v>
      </c>
      <c r="Q4497" s="0" t="n">
        <f aca="false">F4497*G4497</f>
        <v>-0</v>
      </c>
      <c r="R4497" s="0" t="n">
        <f aca="false">F4497*H4497</f>
        <v>0.5625</v>
      </c>
      <c r="S4497" s="0" t="n">
        <f aca="false">G4497*H4497</f>
        <v>-0</v>
      </c>
      <c r="T4497" s="0" t="n">
        <f aca="false">E4497*E4497</f>
        <v>0.25</v>
      </c>
      <c r="U4497" s="0" t="n">
        <f aca="false">F4497*F4497</f>
        <v>0.5625</v>
      </c>
      <c r="V4497" s="0" t="n">
        <f aca="false">G4497*G4497</f>
        <v>0</v>
      </c>
      <c r="W4497" s="0" t="n">
        <f aca="false">H4497*H4497</f>
        <v>0.5625</v>
      </c>
      <c r="X4497" s="0" t="n">
        <f aca="false">SUMPRODUCT(I4497:W4497,_XtX!$B$96:$P$96)</f>
        <v>44.1340140716374</v>
      </c>
      <c r="Y4497" s="0" t="n">
        <f aca="false">SUMPRODUCT(MMULT(I4497:W4497,_XtX!$B$78:$P$92),I4497:W4497)</f>
        <v>0.269923873812135</v>
      </c>
      <c r="Z4497" s="0" t="n">
        <f aca="false">04_回帰ANOVA!$K$19*04_回帰ANOVA!$K$14*SQRT(1+Y4497)</f>
        <v>1.46888310825501</v>
      </c>
      <c r="AA4497" s="0" t="n">
        <f aca="false">X4497-Z4497</f>
        <v>42.6651309633824</v>
      </c>
      <c r="AB4497" s="0" t="n">
        <f aca="false">X4497+Z4497</f>
        <v>45.6028971798924</v>
      </c>
      <c r="AC4497" s="54" t="b">
        <f aca="false">AND(E4497&gt;=01_因子設定!$L$5-0.000000001,E4497&lt;=01_因子設定!$M$5+0.000000001,F4497&gt;=01_因子設定!$L$6-0.000000001,F4497&lt;=01_因子設定!$M$6+0.000000001,G4497&gt;=01_因子設定!$L$7-0.000000001,G4497&lt;=01_因子設定!$M$7+0.000000001,H4497&gt;=01_因子設定!$L$8-0.000000001,H4497&lt;=01_因子設定!$M$8+0.000000001,IF(01_因子設定!$B$20="Box-Behnken",E4497^2+F4497^2+G4497^2+H4497^2&lt;=2+0.000000001,TRUE()))</f>
        <v>1</v>
      </c>
      <c r="AD4497" s="55" t="n">
        <f aca="false">IF(AC4497,IF(01_因子設定!$B$13="最大化",AA4497-01_因子設定!$B$14,IF(01_因子設定!$B$13="最小化",01_因子設定!$B$15-AB4497,MIN(AA4497-01_因子設定!$B$14,01_因子設定!$B$15-AB4497))),-1E+030)</f>
        <v>-3.8348690366176</v>
      </c>
      <c r="AE4497" s="55" t="n">
        <f aca="false">IF(AC4497,IF(01_因子設定!$B$13="最大化",X4497,IF(01_因子設定!$B$13="最小化",-X4497,-ABS(X4497-01_因子設定!$B$16))),-1E+030)</f>
        <v>44.1340140716374</v>
      </c>
      <c r="AF4497" s="55" t="n">
        <f aca="false">AD4497+ROW()*0.000000001</f>
        <v>-3.8348645396176</v>
      </c>
      <c r="AG4497" s="55" t="n">
        <f aca="false">AE4497+ROW()*0.000000001</f>
        <v>44.1340185686374</v>
      </c>
    </row>
    <row r="4498" customFormat="false" ht="15" hidden="false" customHeight="false" outlineLevel="0" collapsed="false">
      <c r="A4498" s="0" t="n">
        <v>6</v>
      </c>
      <c r="B4498" s="0" t="n">
        <v>1</v>
      </c>
      <c r="C4498" s="0" t="n">
        <v>4</v>
      </c>
      <c r="D4498" s="0" t="n">
        <v>2</v>
      </c>
      <c r="E4498" s="0" t="n">
        <f aca="false">-1+A4498*0.25</f>
        <v>0.5</v>
      </c>
      <c r="F4498" s="0" t="n">
        <f aca="false">-1+B4498*0.25</f>
        <v>-0.75</v>
      </c>
      <c r="G4498" s="0" t="n">
        <f aca="false">-1+C4498*0.25</f>
        <v>0</v>
      </c>
      <c r="H4498" s="0" t="n">
        <f aca="false">-1+D4498*0.25</f>
        <v>-0.5</v>
      </c>
      <c r="I4498" s="0" t="n">
        <f aca="false">1</f>
        <v>1</v>
      </c>
      <c r="J4498" s="0" t="n">
        <f aca="false">E4498</f>
        <v>0.5</v>
      </c>
      <c r="K4498" s="0" t="n">
        <f aca="false">F4498</f>
        <v>-0.75</v>
      </c>
      <c r="L4498" s="0" t="n">
        <f aca="false">G4498</f>
        <v>0</v>
      </c>
      <c r="M4498" s="0" t="n">
        <f aca="false">H4498</f>
        <v>-0.5</v>
      </c>
      <c r="N4498" s="0" t="n">
        <f aca="false">E4498*F4498</f>
        <v>-0.375</v>
      </c>
      <c r="O4498" s="0" t="n">
        <f aca="false">E4498*G4498</f>
        <v>0</v>
      </c>
      <c r="P4498" s="0" t="n">
        <f aca="false">E4498*H4498</f>
        <v>-0.25</v>
      </c>
      <c r="Q4498" s="0" t="n">
        <f aca="false">F4498*G4498</f>
        <v>-0</v>
      </c>
      <c r="R4498" s="0" t="n">
        <f aca="false">F4498*H4498</f>
        <v>0.375</v>
      </c>
      <c r="S4498" s="0" t="n">
        <f aca="false">G4498*H4498</f>
        <v>-0</v>
      </c>
      <c r="T4498" s="0" t="n">
        <f aca="false">E4498*E4498</f>
        <v>0.25</v>
      </c>
      <c r="U4498" s="0" t="n">
        <f aca="false">F4498*F4498</f>
        <v>0.5625</v>
      </c>
      <c r="V4498" s="0" t="n">
        <f aca="false">G4498*G4498</f>
        <v>0</v>
      </c>
      <c r="W4498" s="0" t="n">
        <f aca="false">H4498*H4498</f>
        <v>0.25</v>
      </c>
      <c r="X4498" s="0" t="n">
        <f aca="false">SUMPRODUCT(I4498:W4498,_XtX!$B$96:$P$96)</f>
        <v>44.4103892543859</v>
      </c>
      <c r="Y4498" s="0" t="n">
        <f aca="false">SUMPRODUCT(MMULT(I4498:W4498,_XtX!$B$78:$P$92),I4498:W4498)</f>
        <v>0.21305052997076</v>
      </c>
      <c r="Z4498" s="0" t="n">
        <f aca="false">04_回帰ANOVA!$K$19*04_回帰ANOVA!$K$14*SQRT(1+Y4498)</f>
        <v>1.43561450835061</v>
      </c>
      <c r="AA4498" s="0" t="n">
        <f aca="false">X4498-Z4498</f>
        <v>42.9747747460353</v>
      </c>
      <c r="AB4498" s="0" t="n">
        <f aca="false">X4498+Z4498</f>
        <v>45.8460037627365</v>
      </c>
      <c r="AC4498" s="54" t="b">
        <f aca="false">AND(E4498&gt;=01_因子設定!$L$5-0.000000001,E4498&lt;=01_因子設定!$M$5+0.000000001,F4498&gt;=01_因子設定!$L$6-0.000000001,F4498&lt;=01_因子設定!$M$6+0.000000001,G4498&gt;=01_因子設定!$L$7-0.000000001,G4498&lt;=01_因子設定!$M$7+0.000000001,H4498&gt;=01_因子設定!$L$8-0.000000001,H4498&lt;=01_因子設定!$M$8+0.000000001,IF(01_因子設定!$B$20="Box-Behnken",E4498^2+F4498^2+G4498^2+H4498^2&lt;=2+0.000000001,TRUE()))</f>
        <v>1</v>
      </c>
      <c r="AD4498" s="55" t="n">
        <f aca="false">IF(AC4498,IF(01_因子設定!$B$13="最大化",AA4498-01_因子設定!$B$14,IF(01_因子設定!$B$13="最小化",01_因子設定!$B$15-AB4498,MIN(AA4498-01_因子設定!$B$14,01_因子設定!$B$15-AB4498))),-1E+030)</f>
        <v>-3.52522525396467</v>
      </c>
      <c r="AE4498" s="55" t="n">
        <f aca="false">IF(AC4498,IF(01_因子設定!$B$13="最大化",X4498,IF(01_因子設定!$B$13="最小化",-X4498,-ABS(X4498-01_因子設定!$B$16))),-1E+030)</f>
        <v>44.4103892543859</v>
      </c>
      <c r="AF4498" s="55" t="n">
        <f aca="false">AD4498+ROW()*0.000000001</f>
        <v>-3.52522075596467</v>
      </c>
      <c r="AG4498" s="55" t="n">
        <f aca="false">AE4498+ROW()*0.000000001</f>
        <v>44.4103937523859</v>
      </c>
    </row>
    <row r="4499" customFormat="false" ht="15" hidden="false" customHeight="false" outlineLevel="0" collapsed="false">
      <c r="A4499" s="0" t="n">
        <v>6</v>
      </c>
      <c r="B4499" s="0" t="n">
        <v>1</v>
      </c>
      <c r="C4499" s="0" t="n">
        <v>4</v>
      </c>
      <c r="D4499" s="0" t="n">
        <v>3</v>
      </c>
      <c r="E4499" s="0" t="n">
        <f aca="false">-1+A4499*0.25</f>
        <v>0.5</v>
      </c>
      <c r="F4499" s="0" t="n">
        <f aca="false">-1+B4499*0.25</f>
        <v>-0.75</v>
      </c>
      <c r="G4499" s="0" t="n">
        <f aca="false">-1+C4499*0.25</f>
        <v>0</v>
      </c>
      <c r="H4499" s="0" t="n">
        <f aca="false">-1+D4499*0.25</f>
        <v>-0.25</v>
      </c>
      <c r="I4499" s="0" t="n">
        <f aca="false">1</f>
        <v>1</v>
      </c>
      <c r="J4499" s="0" t="n">
        <f aca="false">E4499</f>
        <v>0.5</v>
      </c>
      <c r="K4499" s="0" t="n">
        <f aca="false">F4499</f>
        <v>-0.75</v>
      </c>
      <c r="L4499" s="0" t="n">
        <f aca="false">G4499</f>
        <v>0</v>
      </c>
      <c r="M4499" s="0" t="n">
        <f aca="false">H4499</f>
        <v>-0.25</v>
      </c>
      <c r="N4499" s="0" t="n">
        <f aca="false">E4499*F4499</f>
        <v>-0.375</v>
      </c>
      <c r="O4499" s="0" t="n">
        <f aca="false">E4499*G4499</f>
        <v>0</v>
      </c>
      <c r="P4499" s="0" t="n">
        <f aca="false">E4499*H4499</f>
        <v>-0.125</v>
      </c>
      <c r="Q4499" s="0" t="n">
        <f aca="false">F4499*G4499</f>
        <v>-0</v>
      </c>
      <c r="R4499" s="0" t="n">
        <f aca="false">F4499*H4499</f>
        <v>0.1875</v>
      </c>
      <c r="S4499" s="0" t="n">
        <f aca="false">G4499*H4499</f>
        <v>-0</v>
      </c>
      <c r="T4499" s="0" t="n">
        <f aca="false">E4499*E4499</f>
        <v>0.25</v>
      </c>
      <c r="U4499" s="0" t="n">
        <f aca="false">F4499*F4499</f>
        <v>0.5625</v>
      </c>
      <c r="V4499" s="0" t="n">
        <f aca="false">G4499*G4499</f>
        <v>0</v>
      </c>
      <c r="W4499" s="0" t="n">
        <f aca="false">H4499*H4499</f>
        <v>0.0625</v>
      </c>
      <c r="X4499" s="0" t="n">
        <f aca="false">SUMPRODUCT(I4499:W4499,_XtX!$B$96:$P$96)</f>
        <v>44.6389574195906</v>
      </c>
      <c r="Y4499" s="0" t="n">
        <f aca="false">SUMPRODUCT(MMULT(I4499:W4499,_XtX!$B$78:$P$92),I4499:W4499)</f>
        <v>0.215110734192252</v>
      </c>
      <c r="Z4499" s="0" t="n">
        <f aca="false">04_回帰ANOVA!$K$19*04_回帰ANOVA!$K$14*SQRT(1+Y4499)</f>
        <v>1.43683309086864</v>
      </c>
      <c r="AA4499" s="0" t="n">
        <f aca="false">X4499-Z4499</f>
        <v>43.202124328722</v>
      </c>
      <c r="AB4499" s="0" t="n">
        <f aca="false">X4499+Z4499</f>
        <v>46.0757905104593</v>
      </c>
      <c r="AC4499" s="54" t="b">
        <f aca="false">AND(E4499&gt;=01_因子設定!$L$5-0.000000001,E4499&lt;=01_因子設定!$M$5+0.000000001,F4499&gt;=01_因子設定!$L$6-0.000000001,F4499&lt;=01_因子設定!$M$6+0.000000001,G4499&gt;=01_因子設定!$L$7-0.000000001,G4499&lt;=01_因子設定!$M$7+0.000000001,H4499&gt;=01_因子設定!$L$8-0.000000001,H4499&lt;=01_因子設定!$M$8+0.000000001,IF(01_因子設定!$B$20="Box-Behnken",E4499^2+F4499^2+G4499^2+H4499^2&lt;=2+0.000000001,TRUE()))</f>
        <v>1</v>
      </c>
      <c r="AD4499" s="55" t="n">
        <f aca="false">IF(AC4499,IF(01_因子設定!$B$13="最大化",AA4499-01_因子設定!$B$14,IF(01_因子設定!$B$13="最小化",01_因子設定!$B$15-AB4499,MIN(AA4499-01_因子設定!$B$14,01_因子設定!$B$15-AB4499))),-1E+030)</f>
        <v>-3.29787567127804</v>
      </c>
      <c r="AE4499" s="55" t="n">
        <f aca="false">IF(AC4499,IF(01_因子設定!$B$13="最大化",X4499,IF(01_因子設定!$B$13="最小化",-X4499,-ABS(X4499-01_因子設定!$B$16))),-1E+030)</f>
        <v>44.6389574195906</v>
      </c>
      <c r="AF4499" s="55" t="n">
        <f aca="false">AD4499+ROW()*0.000000001</f>
        <v>-3.29787117227804</v>
      </c>
      <c r="AG4499" s="55" t="n">
        <f aca="false">AE4499+ROW()*0.000000001</f>
        <v>44.6389619185906</v>
      </c>
    </row>
    <row r="4500" customFormat="false" ht="15" hidden="false" customHeight="false" outlineLevel="0" collapsed="false">
      <c r="A4500" s="0" t="n">
        <v>6</v>
      </c>
      <c r="B4500" s="0" t="n">
        <v>1</v>
      </c>
      <c r="C4500" s="0" t="n">
        <v>4</v>
      </c>
      <c r="D4500" s="0" t="n">
        <v>4</v>
      </c>
      <c r="E4500" s="0" t="n">
        <f aca="false">-1+A4500*0.25</f>
        <v>0.5</v>
      </c>
      <c r="F4500" s="0" t="n">
        <f aca="false">-1+B4500*0.25</f>
        <v>-0.75</v>
      </c>
      <c r="G4500" s="0" t="n">
        <f aca="false">-1+C4500*0.25</f>
        <v>0</v>
      </c>
      <c r="H4500" s="0" t="n">
        <f aca="false">-1+D4500*0.25</f>
        <v>0</v>
      </c>
      <c r="I4500" s="0" t="n">
        <f aca="false">1</f>
        <v>1</v>
      </c>
      <c r="J4500" s="0" t="n">
        <f aca="false">E4500</f>
        <v>0.5</v>
      </c>
      <c r="K4500" s="0" t="n">
        <f aca="false">F4500</f>
        <v>-0.75</v>
      </c>
      <c r="L4500" s="0" t="n">
        <f aca="false">G4500</f>
        <v>0</v>
      </c>
      <c r="M4500" s="0" t="n">
        <f aca="false">H4500</f>
        <v>0</v>
      </c>
      <c r="N4500" s="0" t="n">
        <f aca="false">E4500*F4500</f>
        <v>-0.375</v>
      </c>
      <c r="O4500" s="0" t="n">
        <f aca="false">E4500*G4500</f>
        <v>0</v>
      </c>
      <c r="P4500" s="0" t="n">
        <f aca="false">E4500*H4500</f>
        <v>0</v>
      </c>
      <c r="Q4500" s="0" t="n">
        <f aca="false">F4500*G4500</f>
        <v>-0</v>
      </c>
      <c r="R4500" s="0" t="n">
        <f aca="false">F4500*H4500</f>
        <v>-0</v>
      </c>
      <c r="S4500" s="0" t="n">
        <f aca="false">G4500*H4500</f>
        <v>0</v>
      </c>
      <c r="T4500" s="0" t="n">
        <f aca="false">E4500*E4500</f>
        <v>0.25</v>
      </c>
      <c r="U4500" s="0" t="n">
        <f aca="false">F4500*F4500</f>
        <v>0.5625</v>
      </c>
      <c r="V4500" s="0" t="n">
        <f aca="false">G4500*G4500</f>
        <v>0</v>
      </c>
      <c r="W4500" s="0" t="n">
        <f aca="false">H4500*H4500</f>
        <v>0</v>
      </c>
      <c r="X4500" s="0" t="n">
        <f aca="false">SUMPRODUCT(I4500:W4500,_XtX!$B$96:$P$96)</f>
        <v>44.8197185672514</v>
      </c>
      <c r="Y4500" s="0" t="n">
        <f aca="false">SUMPRODUCT(MMULT(I4500:W4500,_XtX!$B$78:$P$92),I4500:W4500)</f>
        <v>0.221828170687135</v>
      </c>
      <c r="Z4500" s="0" t="n">
        <f aca="false">04_回帰ANOVA!$K$19*04_回帰ANOVA!$K$14*SQRT(1+Y4500)</f>
        <v>1.44079920361664</v>
      </c>
      <c r="AA4500" s="0" t="n">
        <f aca="false">X4500-Z4500</f>
        <v>43.3789193636348</v>
      </c>
      <c r="AB4500" s="0" t="n">
        <f aca="false">X4500+Z4500</f>
        <v>46.2605177708681</v>
      </c>
      <c r="AC4500" s="54" t="b">
        <f aca="false">AND(E4500&gt;=01_因子設定!$L$5-0.000000001,E4500&lt;=01_因子設定!$M$5+0.000000001,F4500&gt;=01_因子設定!$L$6-0.000000001,F4500&lt;=01_因子設定!$M$6+0.000000001,G4500&gt;=01_因子設定!$L$7-0.000000001,G4500&lt;=01_因子設定!$M$7+0.000000001,H4500&gt;=01_因子設定!$L$8-0.000000001,H4500&lt;=01_因子設定!$M$8+0.000000001,IF(01_因子設定!$B$20="Box-Behnken",E4500^2+F4500^2+G4500^2+H4500^2&lt;=2+0.000000001,TRUE()))</f>
        <v>1</v>
      </c>
      <c r="AD4500" s="55" t="n">
        <f aca="false">IF(AC4500,IF(01_因子設定!$B$13="最大化",AA4500-01_因子設定!$B$14,IF(01_因子設定!$B$13="最小化",01_因子設定!$B$15-AB4500,MIN(AA4500-01_因子設定!$B$14,01_因子設定!$B$15-AB4500))),-1E+030)</f>
        <v>-3.12108063636523</v>
      </c>
      <c r="AE4500" s="55" t="n">
        <f aca="false">IF(AC4500,IF(01_因子設定!$B$13="最大化",X4500,IF(01_因子設定!$B$13="最小化",-X4500,-ABS(X4500-01_因子設定!$B$16))),-1E+030)</f>
        <v>44.8197185672514</v>
      </c>
      <c r="AF4500" s="55" t="n">
        <f aca="false">AD4500+ROW()*0.000000001</f>
        <v>-3.12107613636523</v>
      </c>
      <c r="AG4500" s="55" t="n">
        <f aca="false">AE4500+ROW()*0.000000001</f>
        <v>44.8197230672514</v>
      </c>
    </row>
    <row r="4501" customFormat="false" ht="15" hidden="false" customHeight="false" outlineLevel="0" collapsed="false">
      <c r="A4501" s="0" t="n">
        <v>6</v>
      </c>
      <c r="B4501" s="0" t="n">
        <v>1</v>
      </c>
      <c r="C4501" s="0" t="n">
        <v>4</v>
      </c>
      <c r="D4501" s="0" t="n">
        <v>5</v>
      </c>
      <c r="E4501" s="0" t="n">
        <f aca="false">-1+A4501*0.25</f>
        <v>0.5</v>
      </c>
      <c r="F4501" s="0" t="n">
        <f aca="false">-1+B4501*0.25</f>
        <v>-0.75</v>
      </c>
      <c r="G4501" s="0" t="n">
        <f aca="false">-1+C4501*0.25</f>
        <v>0</v>
      </c>
      <c r="H4501" s="0" t="n">
        <f aca="false">-1+D4501*0.25</f>
        <v>0.25</v>
      </c>
      <c r="I4501" s="0" t="n">
        <f aca="false">1</f>
        <v>1</v>
      </c>
      <c r="J4501" s="0" t="n">
        <f aca="false">E4501</f>
        <v>0.5</v>
      </c>
      <c r="K4501" s="0" t="n">
        <f aca="false">F4501</f>
        <v>-0.75</v>
      </c>
      <c r="L4501" s="0" t="n">
        <f aca="false">G4501</f>
        <v>0</v>
      </c>
      <c r="M4501" s="0" t="n">
        <f aca="false">H4501</f>
        <v>0.25</v>
      </c>
      <c r="N4501" s="0" t="n">
        <f aca="false">E4501*F4501</f>
        <v>-0.375</v>
      </c>
      <c r="O4501" s="0" t="n">
        <f aca="false">E4501*G4501</f>
        <v>0</v>
      </c>
      <c r="P4501" s="0" t="n">
        <f aca="false">E4501*H4501</f>
        <v>0.125</v>
      </c>
      <c r="Q4501" s="0" t="n">
        <f aca="false">F4501*G4501</f>
        <v>-0</v>
      </c>
      <c r="R4501" s="0" t="n">
        <f aca="false">F4501*H4501</f>
        <v>-0.1875</v>
      </c>
      <c r="S4501" s="0" t="n">
        <f aca="false">G4501*H4501</f>
        <v>0</v>
      </c>
      <c r="T4501" s="0" t="n">
        <f aca="false">E4501*E4501</f>
        <v>0.25</v>
      </c>
      <c r="U4501" s="0" t="n">
        <f aca="false">F4501*F4501</f>
        <v>0.5625</v>
      </c>
      <c r="V4501" s="0" t="n">
        <f aca="false">G4501*G4501</f>
        <v>0</v>
      </c>
      <c r="W4501" s="0" t="n">
        <f aca="false">H4501*H4501</f>
        <v>0.0625</v>
      </c>
      <c r="X4501" s="0" t="n">
        <f aca="false">SUMPRODUCT(I4501:W4501,_XtX!$B$96:$P$96)</f>
        <v>44.9526726973684</v>
      </c>
      <c r="Y4501" s="0" t="n">
        <f aca="false">SUMPRODUCT(MMULT(I4501:W4501,_XtX!$B$78:$P$92),I4501:W4501)</f>
        <v>0.215110734192252</v>
      </c>
      <c r="Z4501" s="0" t="n">
        <f aca="false">04_回帰ANOVA!$K$19*04_回帰ANOVA!$K$14*SQRT(1+Y4501)</f>
        <v>1.43683309086864</v>
      </c>
      <c r="AA4501" s="0" t="n">
        <f aca="false">X4501-Z4501</f>
        <v>43.5158396064997</v>
      </c>
      <c r="AB4501" s="0" t="n">
        <f aca="false">X4501+Z4501</f>
        <v>46.389505788237</v>
      </c>
      <c r="AC4501" s="54" t="b">
        <f aca="false">AND(E4501&gt;=01_因子設定!$L$5-0.000000001,E4501&lt;=01_因子設定!$M$5+0.000000001,F4501&gt;=01_因子設定!$L$6-0.000000001,F4501&lt;=01_因子設定!$M$6+0.000000001,G4501&gt;=01_因子設定!$L$7-0.000000001,G4501&lt;=01_因子設定!$M$7+0.000000001,H4501&gt;=01_因子設定!$L$8-0.000000001,H4501&lt;=01_因子設定!$M$8+0.000000001,IF(01_因子設定!$B$20="Box-Behnken",E4501^2+F4501^2+G4501^2+H4501^2&lt;=2+0.000000001,TRUE()))</f>
        <v>1</v>
      </c>
      <c r="AD4501" s="55" t="n">
        <f aca="false">IF(AC4501,IF(01_因子設定!$B$13="最大化",AA4501-01_因子設定!$B$14,IF(01_因子設定!$B$13="最小化",01_因子設定!$B$15-AB4501,MIN(AA4501-01_因子設定!$B$14,01_因子設定!$B$15-AB4501))),-1E+030)</f>
        <v>-2.98416039350027</v>
      </c>
      <c r="AE4501" s="55" t="n">
        <f aca="false">IF(AC4501,IF(01_因子設定!$B$13="最大化",X4501,IF(01_因子設定!$B$13="最小化",-X4501,-ABS(X4501-01_因子設定!$B$16))),-1E+030)</f>
        <v>44.9526726973684</v>
      </c>
      <c r="AF4501" s="55" t="n">
        <f aca="false">AD4501+ROW()*0.000000001</f>
        <v>-2.98415589250027</v>
      </c>
      <c r="AG4501" s="55" t="n">
        <f aca="false">AE4501+ROW()*0.000000001</f>
        <v>44.9526771983684</v>
      </c>
    </row>
    <row r="4502" customFormat="false" ht="15" hidden="false" customHeight="false" outlineLevel="0" collapsed="false">
      <c r="A4502" s="0" t="n">
        <v>6</v>
      </c>
      <c r="B4502" s="0" t="n">
        <v>1</v>
      </c>
      <c r="C4502" s="0" t="n">
        <v>4</v>
      </c>
      <c r="D4502" s="0" t="n">
        <v>6</v>
      </c>
      <c r="E4502" s="0" t="n">
        <f aca="false">-1+A4502*0.25</f>
        <v>0.5</v>
      </c>
      <c r="F4502" s="0" t="n">
        <f aca="false">-1+B4502*0.25</f>
        <v>-0.75</v>
      </c>
      <c r="G4502" s="0" t="n">
        <f aca="false">-1+C4502*0.25</f>
        <v>0</v>
      </c>
      <c r="H4502" s="0" t="n">
        <f aca="false">-1+D4502*0.25</f>
        <v>0.5</v>
      </c>
      <c r="I4502" s="0" t="n">
        <f aca="false">1</f>
        <v>1</v>
      </c>
      <c r="J4502" s="0" t="n">
        <f aca="false">E4502</f>
        <v>0.5</v>
      </c>
      <c r="K4502" s="0" t="n">
        <f aca="false">F4502</f>
        <v>-0.75</v>
      </c>
      <c r="L4502" s="0" t="n">
        <f aca="false">G4502</f>
        <v>0</v>
      </c>
      <c r="M4502" s="0" t="n">
        <f aca="false">H4502</f>
        <v>0.5</v>
      </c>
      <c r="N4502" s="0" t="n">
        <f aca="false">E4502*F4502</f>
        <v>-0.375</v>
      </c>
      <c r="O4502" s="0" t="n">
        <f aca="false">E4502*G4502</f>
        <v>0</v>
      </c>
      <c r="P4502" s="0" t="n">
        <f aca="false">E4502*H4502</f>
        <v>0.25</v>
      </c>
      <c r="Q4502" s="0" t="n">
        <f aca="false">F4502*G4502</f>
        <v>-0</v>
      </c>
      <c r="R4502" s="0" t="n">
        <f aca="false">F4502*H4502</f>
        <v>-0.375</v>
      </c>
      <c r="S4502" s="0" t="n">
        <f aca="false">G4502*H4502</f>
        <v>0</v>
      </c>
      <c r="T4502" s="0" t="n">
        <f aca="false">E4502*E4502</f>
        <v>0.25</v>
      </c>
      <c r="U4502" s="0" t="n">
        <f aca="false">F4502*F4502</f>
        <v>0.5625</v>
      </c>
      <c r="V4502" s="0" t="n">
        <f aca="false">G4502*G4502</f>
        <v>0</v>
      </c>
      <c r="W4502" s="0" t="n">
        <f aca="false">H4502*H4502</f>
        <v>0.25</v>
      </c>
      <c r="X4502" s="0" t="n">
        <f aca="false">SUMPRODUCT(I4502:W4502,_XtX!$B$96:$P$96)</f>
        <v>45.0378198099415</v>
      </c>
      <c r="Y4502" s="0" t="n">
        <f aca="false">SUMPRODUCT(MMULT(I4502:W4502,_XtX!$B$78:$P$92),I4502:W4502)</f>
        <v>0.21305052997076</v>
      </c>
      <c r="Z4502" s="0" t="n">
        <f aca="false">04_回帰ANOVA!$K$19*04_回帰ANOVA!$K$14*SQRT(1+Y4502)</f>
        <v>1.43561450835061</v>
      </c>
      <c r="AA4502" s="0" t="n">
        <f aca="false">X4502-Z4502</f>
        <v>43.6022053015909</v>
      </c>
      <c r="AB4502" s="0" t="n">
        <f aca="false">X4502+Z4502</f>
        <v>46.4734343182921</v>
      </c>
      <c r="AC4502" s="54" t="b">
        <f aca="false">AND(E4502&gt;=01_因子設定!$L$5-0.000000001,E4502&lt;=01_因子設定!$M$5+0.000000001,F4502&gt;=01_因子設定!$L$6-0.000000001,F4502&lt;=01_因子設定!$M$6+0.000000001,G4502&gt;=01_因子設定!$L$7-0.000000001,G4502&lt;=01_因子設定!$M$7+0.000000001,H4502&gt;=01_因子設定!$L$8-0.000000001,H4502&lt;=01_因子設定!$M$8+0.000000001,IF(01_因子設定!$B$20="Box-Behnken",E4502^2+F4502^2+G4502^2+H4502^2&lt;=2+0.000000001,TRUE()))</f>
        <v>1</v>
      </c>
      <c r="AD4502" s="55" t="n">
        <f aca="false">IF(AC4502,IF(01_因子設定!$B$13="最大化",AA4502-01_因子設定!$B$14,IF(01_因子設定!$B$13="最小化",01_因子設定!$B$15-AB4502,MIN(AA4502-01_因子設定!$B$14,01_因子設定!$B$15-AB4502))),-1E+030)</f>
        <v>-2.89779469840912</v>
      </c>
      <c r="AE4502" s="55" t="n">
        <f aca="false">IF(AC4502,IF(01_因子設定!$B$13="最大化",X4502,IF(01_因子設定!$B$13="最小化",-X4502,-ABS(X4502-01_因子設定!$B$16))),-1E+030)</f>
        <v>45.0378198099415</v>
      </c>
      <c r="AF4502" s="55" t="n">
        <f aca="false">AD4502+ROW()*0.000000001</f>
        <v>-2.89779019640912</v>
      </c>
      <c r="AG4502" s="55" t="n">
        <f aca="false">AE4502+ROW()*0.000000001</f>
        <v>45.0378243119415</v>
      </c>
    </row>
    <row r="4503" customFormat="false" ht="15" hidden="false" customHeight="false" outlineLevel="0" collapsed="false">
      <c r="A4503" s="0" t="n">
        <v>6</v>
      </c>
      <c r="B4503" s="0" t="n">
        <v>1</v>
      </c>
      <c r="C4503" s="0" t="n">
        <v>4</v>
      </c>
      <c r="D4503" s="0" t="n">
        <v>7</v>
      </c>
      <c r="E4503" s="0" t="n">
        <f aca="false">-1+A4503*0.25</f>
        <v>0.5</v>
      </c>
      <c r="F4503" s="0" t="n">
        <f aca="false">-1+B4503*0.25</f>
        <v>-0.75</v>
      </c>
      <c r="G4503" s="0" t="n">
        <f aca="false">-1+C4503*0.25</f>
        <v>0</v>
      </c>
      <c r="H4503" s="0" t="n">
        <f aca="false">-1+D4503*0.25</f>
        <v>0.75</v>
      </c>
      <c r="I4503" s="0" t="n">
        <f aca="false">1</f>
        <v>1</v>
      </c>
      <c r="J4503" s="0" t="n">
        <f aca="false">E4503</f>
        <v>0.5</v>
      </c>
      <c r="K4503" s="0" t="n">
        <f aca="false">F4503</f>
        <v>-0.75</v>
      </c>
      <c r="L4503" s="0" t="n">
        <f aca="false">G4503</f>
        <v>0</v>
      </c>
      <c r="M4503" s="0" t="n">
        <f aca="false">H4503</f>
        <v>0.75</v>
      </c>
      <c r="N4503" s="0" t="n">
        <f aca="false">E4503*F4503</f>
        <v>-0.375</v>
      </c>
      <c r="O4503" s="0" t="n">
        <f aca="false">E4503*G4503</f>
        <v>0</v>
      </c>
      <c r="P4503" s="0" t="n">
        <f aca="false">E4503*H4503</f>
        <v>0.375</v>
      </c>
      <c r="Q4503" s="0" t="n">
        <f aca="false">F4503*G4503</f>
        <v>-0</v>
      </c>
      <c r="R4503" s="0" t="n">
        <f aca="false">F4503*H4503</f>
        <v>-0.5625</v>
      </c>
      <c r="S4503" s="0" t="n">
        <f aca="false">G4503*H4503</f>
        <v>0</v>
      </c>
      <c r="T4503" s="0" t="n">
        <f aca="false">E4503*E4503</f>
        <v>0.25</v>
      </c>
      <c r="U4503" s="0" t="n">
        <f aca="false">F4503*F4503</f>
        <v>0.5625</v>
      </c>
      <c r="V4503" s="0" t="n">
        <f aca="false">G4503*G4503</f>
        <v>0</v>
      </c>
      <c r="W4503" s="0" t="n">
        <f aca="false">H4503*H4503</f>
        <v>0.5625</v>
      </c>
      <c r="X4503" s="0" t="n">
        <f aca="false">SUMPRODUCT(I4503:W4503,_XtX!$B$96:$P$96)</f>
        <v>45.0751599049707</v>
      </c>
      <c r="Y4503" s="0" t="n">
        <f aca="false">SUMPRODUCT(MMULT(I4503:W4503,_XtX!$B$78:$P$92),I4503:W4503)</f>
        <v>0.269923873812135</v>
      </c>
      <c r="Z4503" s="0" t="n">
        <f aca="false">04_回帰ANOVA!$K$19*04_回帰ANOVA!$K$14*SQRT(1+Y4503)</f>
        <v>1.46888310825501</v>
      </c>
      <c r="AA4503" s="0" t="n">
        <f aca="false">X4503-Z4503</f>
        <v>43.6062767967157</v>
      </c>
      <c r="AB4503" s="0" t="n">
        <f aca="false">X4503+Z4503</f>
        <v>46.5440430132257</v>
      </c>
      <c r="AC4503" s="54" t="b">
        <f aca="false">AND(E4503&gt;=01_因子設定!$L$5-0.000000001,E4503&lt;=01_因子設定!$M$5+0.000000001,F4503&gt;=01_因子設定!$L$6-0.000000001,F4503&lt;=01_因子設定!$M$6+0.000000001,G4503&gt;=01_因子設定!$L$7-0.000000001,G4503&lt;=01_因子設定!$M$7+0.000000001,H4503&gt;=01_因子設定!$L$8-0.000000001,H4503&lt;=01_因子設定!$M$8+0.000000001,IF(01_因子設定!$B$20="Box-Behnken",E4503^2+F4503^2+G4503^2+H4503^2&lt;=2+0.000000001,TRUE()))</f>
        <v>1</v>
      </c>
      <c r="AD4503" s="55" t="n">
        <f aca="false">IF(AC4503,IF(01_因子設定!$B$13="最大化",AA4503-01_因子設定!$B$14,IF(01_因子設定!$B$13="最小化",01_因子設定!$B$15-AB4503,MIN(AA4503-01_因子設定!$B$14,01_因子設定!$B$15-AB4503))),-1E+030)</f>
        <v>-2.89372320328427</v>
      </c>
      <c r="AE4503" s="55" t="n">
        <f aca="false">IF(AC4503,IF(01_因子設定!$B$13="最大化",X4503,IF(01_因子設定!$B$13="最小化",-X4503,-ABS(X4503-01_因子設定!$B$16))),-1E+030)</f>
        <v>45.0751599049707</v>
      </c>
      <c r="AF4503" s="55" t="n">
        <f aca="false">AD4503+ROW()*0.000000001</f>
        <v>-2.89371870028427</v>
      </c>
      <c r="AG4503" s="55" t="n">
        <f aca="false">AE4503+ROW()*0.000000001</f>
        <v>45.0751644079707</v>
      </c>
    </row>
    <row r="4504" customFormat="false" ht="15" hidden="false" customHeight="false" outlineLevel="0" collapsed="false">
      <c r="A4504" s="0" t="n">
        <v>6</v>
      </c>
      <c r="B4504" s="0" t="n">
        <v>1</v>
      </c>
      <c r="C4504" s="0" t="n">
        <v>4</v>
      </c>
      <c r="D4504" s="0" t="n">
        <v>8</v>
      </c>
      <c r="E4504" s="0" t="n">
        <f aca="false">-1+A4504*0.25</f>
        <v>0.5</v>
      </c>
      <c r="F4504" s="0" t="n">
        <f aca="false">-1+B4504*0.25</f>
        <v>-0.75</v>
      </c>
      <c r="G4504" s="0" t="n">
        <f aca="false">-1+C4504*0.25</f>
        <v>0</v>
      </c>
      <c r="H4504" s="0" t="n">
        <f aca="false">-1+D4504*0.25</f>
        <v>1</v>
      </c>
      <c r="I4504" s="0" t="n">
        <f aca="false">1</f>
        <v>1</v>
      </c>
      <c r="J4504" s="0" t="n">
        <f aca="false">E4504</f>
        <v>0.5</v>
      </c>
      <c r="K4504" s="0" t="n">
        <f aca="false">F4504</f>
        <v>-0.75</v>
      </c>
      <c r="L4504" s="0" t="n">
        <f aca="false">G4504</f>
        <v>0</v>
      </c>
      <c r="M4504" s="0" t="n">
        <f aca="false">H4504</f>
        <v>1</v>
      </c>
      <c r="N4504" s="0" t="n">
        <f aca="false">E4504*F4504</f>
        <v>-0.375</v>
      </c>
      <c r="O4504" s="0" t="n">
        <f aca="false">E4504*G4504</f>
        <v>0</v>
      </c>
      <c r="P4504" s="0" t="n">
        <f aca="false">E4504*H4504</f>
        <v>0.5</v>
      </c>
      <c r="Q4504" s="0" t="n">
        <f aca="false">F4504*G4504</f>
        <v>-0</v>
      </c>
      <c r="R4504" s="0" t="n">
        <f aca="false">F4504*H4504</f>
        <v>-0.75</v>
      </c>
      <c r="S4504" s="0" t="n">
        <f aca="false">G4504*H4504</f>
        <v>0</v>
      </c>
      <c r="T4504" s="0" t="n">
        <f aca="false">E4504*E4504</f>
        <v>0.25</v>
      </c>
      <c r="U4504" s="0" t="n">
        <f aca="false">F4504*F4504</f>
        <v>0.5625</v>
      </c>
      <c r="V4504" s="0" t="n">
        <f aca="false">G4504*G4504</f>
        <v>0</v>
      </c>
      <c r="W4504" s="0" t="n">
        <f aca="false">H4504*H4504</f>
        <v>1</v>
      </c>
      <c r="X4504" s="0" t="n">
        <f aca="false">SUMPRODUCT(I4504:W4504,_XtX!$B$96:$P$96)</f>
        <v>45.0646929824561</v>
      </c>
      <c r="Y4504" s="0" t="n">
        <f aca="false">SUMPRODUCT(MMULT(I4504:W4504,_XtX!$B$78:$P$92),I4504:W4504)</f>
        <v>0.476191292032164</v>
      </c>
      <c r="Z4504" s="0" t="n">
        <f aca="false">04_回帰ANOVA!$K$19*04_回帰ANOVA!$K$14*SQRT(1+Y4504)</f>
        <v>1.58368831471718</v>
      </c>
      <c r="AA4504" s="0" t="n">
        <f aca="false">X4504-Z4504</f>
        <v>43.481004667739</v>
      </c>
      <c r="AB4504" s="0" t="n">
        <f aca="false">X4504+Z4504</f>
        <v>46.6483812971733</v>
      </c>
      <c r="AC4504" s="54" t="b">
        <f aca="false">AND(E4504&gt;=01_因子設定!$L$5-0.000000001,E4504&lt;=01_因子設定!$M$5+0.000000001,F4504&gt;=01_因子設定!$L$6-0.000000001,F4504&lt;=01_因子設定!$M$6+0.000000001,G4504&gt;=01_因子設定!$L$7-0.000000001,G4504&lt;=01_因子設定!$M$7+0.000000001,H4504&gt;=01_因子設定!$L$8-0.000000001,H4504&lt;=01_因子設定!$M$8+0.000000001,IF(01_因子設定!$B$20="Box-Behnken",E4504^2+F4504^2+G4504^2+H4504^2&lt;=2+0.000000001,TRUE()))</f>
        <v>1</v>
      </c>
      <c r="AD4504" s="55" t="n">
        <f aca="false">IF(AC4504,IF(01_因子設定!$B$13="最大化",AA4504-01_因子設定!$B$14,IF(01_因子設定!$B$13="最小化",01_因子設定!$B$15-AB4504,MIN(AA4504-01_因子設定!$B$14,01_因子設定!$B$15-AB4504))),-1E+030)</f>
        <v>-3.01899533226105</v>
      </c>
      <c r="AE4504" s="55" t="n">
        <f aca="false">IF(AC4504,IF(01_因子設定!$B$13="最大化",X4504,IF(01_因子設定!$B$13="最小化",-X4504,-ABS(X4504-01_因子設定!$B$16))),-1E+030)</f>
        <v>45.0646929824561</v>
      </c>
      <c r="AF4504" s="55" t="n">
        <f aca="false">AD4504+ROW()*0.000000001</f>
        <v>-3.01899082826105</v>
      </c>
      <c r="AG4504" s="55" t="n">
        <f aca="false">AE4504+ROW()*0.000000001</f>
        <v>45.0646974864561</v>
      </c>
    </row>
    <row r="4505" customFormat="false" ht="15" hidden="false" customHeight="false" outlineLevel="0" collapsed="false">
      <c r="A4505" s="0" t="n">
        <v>6</v>
      </c>
      <c r="B4505" s="0" t="n">
        <v>1</v>
      </c>
      <c r="C4505" s="0" t="n">
        <v>5</v>
      </c>
      <c r="D4505" s="0" t="n">
        <v>0</v>
      </c>
      <c r="E4505" s="0" t="n">
        <f aca="false">-1+A4505*0.25</f>
        <v>0.5</v>
      </c>
      <c r="F4505" s="0" t="n">
        <f aca="false">-1+B4505*0.25</f>
        <v>-0.75</v>
      </c>
      <c r="G4505" s="0" t="n">
        <f aca="false">-1+C4505*0.25</f>
        <v>0.25</v>
      </c>
      <c r="H4505" s="0" t="n">
        <f aca="false">-1+D4505*0.25</f>
        <v>-1</v>
      </c>
      <c r="I4505" s="0" t="n">
        <f aca="false">1</f>
        <v>1</v>
      </c>
      <c r="J4505" s="0" t="n">
        <f aca="false">E4505</f>
        <v>0.5</v>
      </c>
      <c r="K4505" s="0" t="n">
        <f aca="false">F4505</f>
        <v>-0.75</v>
      </c>
      <c r="L4505" s="0" t="n">
        <f aca="false">G4505</f>
        <v>0.25</v>
      </c>
      <c r="M4505" s="0" t="n">
        <f aca="false">H4505</f>
        <v>-1</v>
      </c>
      <c r="N4505" s="0" t="n">
        <f aca="false">E4505*F4505</f>
        <v>-0.375</v>
      </c>
      <c r="O4505" s="0" t="n">
        <f aca="false">E4505*G4505</f>
        <v>0.125</v>
      </c>
      <c r="P4505" s="0" t="n">
        <f aca="false">E4505*H4505</f>
        <v>-0.5</v>
      </c>
      <c r="Q4505" s="0" t="n">
        <f aca="false">F4505*G4505</f>
        <v>-0.1875</v>
      </c>
      <c r="R4505" s="0" t="n">
        <f aca="false">F4505*H4505</f>
        <v>0.75</v>
      </c>
      <c r="S4505" s="0" t="n">
        <f aca="false">G4505*H4505</f>
        <v>-0.25</v>
      </c>
      <c r="T4505" s="0" t="n">
        <f aca="false">E4505*E4505</f>
        <v>0.25</v>
      </c>
      <c r="U4505" s="0" t="n">
        <f aca="false">F4505*F4505</f>
        <v>0.5625</v>
      </c>
      <c r="V4505" s="0" t="n">
        <f aca="false">G4505*G4505</f>
        <v>0.0625</v>
      </c>
      <c r="W4505" s="0" t="n">
        <f aca="false">H4505*H4505</f>
        <v>1</v>
      </c>
      <c r="X4505" s="0" t="n">
        <f aca="false">SUMPRODUCT(I4505:W4505,_XtX!$B$96:$P$96)</f>
        <v>43.8012929459064</v>
      </c>
      <c r="Y4505" s="0" t="n">
        <f aca="false">SUMPRODUCT(MMULT(I4505:W4505,_XtX!$B$78:$P$92),I4505:W4505)</f>
        <v>0.459125719572369</v>
      </c>
      <c r="Z4505" s="0" t="n">
        <f aca="false">04_回帰ANOVA!$K$19*04_回帰ANOVA!$K$14*SQRT(1+Y4505)</f>
        <v>1.57450755575573</v>
      </c>
      <c r="AA4505" s="0" t="n">
        <f aca="false">X4505-Z4505</f>
        <v>42.2267853901507</v>
      </c>
      <c r="AB4505" s="0" t="n">
        <f aca="false">X4505+Z4505</f>
        <v>45.3758005016622</v>
      </c>
      <c r="AC4505" s="54" t="b">
        <f aca="false">AND(E4505&gt;=01_因子設定!$L$5-0.000000001,E4505&lt;=01_因子設定!$M$5+0.000000001,F4505&gt;=01_因子設定!$L$6-0.000000001,F4505&lt;=01_因子設定!$M$6+0.000000001,G4505&gt;=01_因子設定!$L$7-0.000000001,G4505&lt;=01_因子設定!$M$7+0.000000001,H4505&gt;=01_因子設定!$L$8-0.000000001,H4505&lt;=01_因子設定!$M$8+0.000000001,IF(01_因子設定!$B$20="Box-Behnken",E4505^2+F4505^2+G4505^2+H4505^2&lt;=2+0.000000001,TRUE()))</f>
        <v>1</v>
      </c>
      <c r="AD4505" s="55" t="n">
        <f aca="false">IF(AC4505,IF(01_因子設定!$B$13="最大化",AA4505-01_因子設定!$B$14,IF(01_因子設定!$B$13="最小化",01_因子設定!$B$15-AB4505,MIN(AA4505-01_因子設定!$B$14,01_因子設定!$B$15-AB4505))),-1E+030)</f>
        <v>-4.27321460984931</v>
      </c>
      <c r="AE4505" s="55" t="n">
        <f aca="false">IF(AC4505,IF(01_因子設定!$B$13="最大化",X4505,IF(01_因子設定!$B$13="最小化",-X4505,-ABS(X4505-01_因子設定!$B$16))),-1E+030)</f>
        <v>43.8012929459064</v>
      </c>
      <c r="AF4505" s="55" t="n">
        <f aca="false">AD4505+ROW()*0.000000001</f>
        <v>-4.27321010484931</v>
      </c>
      <c r="AG4505" s="55" t="n">
        <f aca="false">AE4505+ROW()*0.000000001</f>
        <v>43.8012974509064</v>
      </c>
    </row>
    <row r="4506" customFormat="false" ht="15" hidden="false" customHeight="false" outlineLevel="0" collapsed="false">
      <c r="A4506" s="0" t="n">
        <v>6</v>
      </c>
      <c r="B4506" s="0" t="n">
        <v>1</v>
      </c>
      <c r="C4506" s="0" t="n">
        <v>5</v>
      </c>
      <c r="D4506" s="0" t="n">
        <v>1</v>
      </c>
      <c r="E4506" s="0" t="n">
        <f aca="false">-1+A4506*0.25</f>
        <v>0.5</v>
      </c>
      <c r="F4506" s="0" t="n">
        <f aca="false">-1+B4506*0.25</f>
        <v>-0.75</v>
      </c>
      <c r="G4506" s="0" t="n">
        <f aca="false">-1+C4506*0.25</f>
        <v>0.25</v>
      </c>
      <c r="H4506" s="0" t="n">
        <f aca="false">-1+D4506*0.25</f>
        <v>-0.75</v>
      </c>
      <c r="I4506" s="0" t="n">
        <f aca="false">1</f>
        <v>1</v>
      </c>
      <c r="J4506" s="0" t="n">
        <f aca="false">E4506</f>
        <v>0.5</v>
      </c>
      <c r="K4506" s="0" t="n">
        <f aca="false">F4506</f>
        <v>-0.75</v>
      </c>
      <c r="L4506" s="0" t="n">
        <f aca="false">G4506</f>
        <v>0.25</v>
      </c>
      <c r="M4506" s="0" t="n">
        <f aca="false">H4506</f>
        <v>-0.75</v>
      </c>
      <c r="N4506" s="0" t="n">
        <f aca="false">E4506*F4506</f>
        <v>-0.375</v>
      </c>
      <c r="O4506" s="0" t="n">
        <f aca="false">E4506*G4506</f>
        <v>0.125</v>
      </c>
      <c r="P4506" s="0" t="n">
        <f aca="false">E4506*H4506</f>
        <v>-0.375</v>
      </c>
      <c r="Q4506" s="0" t="n">
        <f aca="false">F4506*G4506</f>
        <v>-0.1875</v>
      </c>
      <c r="R4506" s="0" t="n">
        <f aca="false">F4506*H4506</f>
        <v>0.5625</v>
      </c>
      <c r="S4506" s="0" t="n">
        <f aca="false">G4506*H4506</f>
        <v>-0.1875</v>
      </c>
      <c r="T4506" s="0" t="n">
        <f aca="false">E4506*E4506</f>
        <v>0.25</v>
      </c>
      <c r="U4506" s="0" t="n">
        <f aca="false">F4506*F4506</f>
        <v>0.5625</v>
      </c>
      <c r="V4506" s="0" t="n">
        <f aca="false">G4506*G4506</f>
        <v>0.0625</v>
      </c>
      <c r="W4506" s="0" t="n">
        <f aca="false">H4506*H4506</f>
        <v>0.5625</v>
      </c>
      <c r="X4506" s="0" t="n">
        <f aca="false">SUMPRODUCT(I4506:W4506,_XtX!$B$96:$P$96)</f>
        <v>44.1434438961988</v>
      </c>
      <c r="Y4506" s="0" t="n">
        <f aca="false">SUMPRODUCT(MMULT(I4506:W4506,_XtX!$B$78:$P$92),I4506:W4506)</f>
        <v>0.257385610836988</v>
      </c>
      <c r="Z4506" s="0" t="n">
        <f aca="false">04_回帰ANOVA!$K$19*04_回帰ANOVA!$K$14*SQRT(1+Y4506)</f>
        <v>1.46161380324158</v>
      </c>
      <c r="AA4506" s="0" t="n">
        <f aca="false">X4506-Z4506</f>
        <v>42.6818300929572</v>
      </c>
      <c r="AB4506" s="0" t="n">
        <f aca="false">X4506+Z4506</f>
        <v>45.6050576994404</v>
      </c>
      <c r="AC4506" s="54" t="b">
        <f aca="false">AND(E4506&gt;=01_因子設定!$L$5-0.000000001,E4506&lt;=01_因子設定!$M$5+0.000000001,F4506&gt;=01_因子設定!$L$6-0.000000001,F4506&lt;=01_因子設定!$M$6+0.000000001,G4506&gt;=01_因子設定!$L$7-0.000000001,G4506&lt;=01_因子設定!$M$7+0.000000001,H4506&gt;=01_因子設定!$L$8-0.000000001,H4506&lt;=01_因子設定!$M$8+0.000000001,IF(01_因子設定!$B$20="Box-Behnken",E4506^2+F4506^2+G4506^2+H4506^2&lt;=2+0.000000001,TRUE()))</f>
        <v>1</v>
      </c>
      <c r="AD4506" s="55" t="n">
        <f aca="false">IF(AC4506,IF(01_因子設定!$B$13="最大化",AA4506-01_因子設定!$B$14,IF(01_因子設定!$B$13="最小化",01_因子設定!$B$15-AB4506,MIN(AA4506-01_因子設定!$B$14,01_因子設定!$B$15-AB4506))),-1E+030)</f>
        <v>-3.81816990704277</v>
      </c>
      <c r="AE4506" s="55" t="n">
        <f aca="false">IF(AC4506,IF(01_因子設定!$B$13="最大化",X4506,IF(01_因子設定!$B$13="最小化",-X4506,-ABS(X4506-01_因子設定!$B$16))),-1E+030)</f>
        <v>44.1434438961988</v>
      </c>
      <c r="AF4506" s="55" t="n">
        <f aca="false">AD4506+ROW()*0.000000001</f>
        <v>-3.81816540104277</v>
      </c>
      <c r="AG4506" s="55" t="n">
        <f aca="false">AE4506+ROW()*0.000000001</f>
        <v>44.1434484021988</v>
      </c>
    </row>
    <row r="4507" customFormat="false" ht="15" hidden="false" customHeight="false" outlineLevel="0" collapsed="false">
      <c r="A4507" s="0" t="n">
        <v>6</v>
      </c>
      <c r="B4507" s="0" t="n">
        <v>1</v>
      </c>
      <c r="C4507" s="0" t="n">
        <v>5</v>
      </c>
      <c r="D4507" s="0" t="n">
        <v>2</v>
      </c>
      <c r="E4507" s="0" t="n">
        <f aca="false">-1+A4507*0.25</f>
        <v>0.5</v>
      </c>
      <c r="F4507" s="0" t="n">
        <f aca="false">-1+B4507*0.25</f>
        <v>-0.75</v>
      </c>
      <c r="G4507" s="0" t="n">
        <f aca="false">-1+C4507*0.25</f>
        <v>0.25</v>
      </c>
      <c r="H4507" s="0" t="n">
        <f aca="false">-1+D4507*0.25</f>
        <v>-0.5</v>
      </c>
      <c r="I4507" s="0" t="n">
        <f aca="false">1</f>
        <v>1</v>
      </c>
      <c r="J4507" s="0" t="n">
        <f aca="false">E4507</f>
        <v>0.5</v>
      </c>
      <c r="K4507" s="0" t="n">
        <f aca="false">F4507</f>
        <v>-0.75</v>
      </c>
      <c r="L4507" s="0" t="n">
        <f aca="false">G4507</f>
        <v>0.25</v>
      </c>
      <c r="M4507" s="0" t="n">
        <f aca="false">H4507</f>
        <v>-0.5</v>
      </c>
      <c r="N4507" s="0" t="n">
        <f aca="false">E4507*F4507</f>
        <v>-0.375</v>
      </c>
      <c r="O4507" s="0" t="n">
        <f aca="false">E4507*G4507</f>
        <v>0.125</v>
      </c>
      <c r="P4507" s="0" t="n">
        <f aca="false">E4507*H4507</f>
        <v>-0.25</v>
      </c>
      <c r="Q4507" s="0" t="n">
        <f aca="false">F4507*G4507</f>
        <v>-0.1875</v>
      </c>
      <c r="R4507" s="0" t="n">
        <f aca="false">F4507*H4507</f>
        <v>0.375</v>
      </c>
      <c r="S4507" s="0" t="n">
        <f aca="false">G4507*H4507</f>
        <v>-0.125</v>
      </c>
      <c r="T4507" s="0" t="n">
        <f aca="false">E4507*E4507</f>
        <v>0.25</v>
      </c>
      <c r="U4507" s="0" t="n">
        <f aca="false">F4507*F4507</f>
        <v>0.5625</v>
      </c>
      <c r="V4507" s="0" t="n">
        <f aca="false">G4507*G4507</f>
        <v>0.0625</v>
      </c>
      <c r="W4507" s="0" t="n">
        <f aca="false">H4507*H4507</f>
        <v>0.25</v>
      </c>
      <c r="X4507" s="0" t="n">
        <f aca="false">SUMPRODUCT(I4507:W4507,_XtX!$B$96:$P$96)</f>
        <v>44.4377878289473</v>
      </c>
      <c r="Y4507" s="0" t="n">
        <f aca="false">SUMPRODUCT(MMULT(I4507:W4507,_XtX!$B$78:$P$92),I4507:W4507)</f>
        <v>0.203746059484649</v>
      </c>
      <c r="Z4507" s="0" t="n">
        <f aca="false">04_回帰ANOVA!$K$19*04_回帰ANOVA!$K$14*SQRT(1+Y4507)</f>
        <v>1.43009810755465</v>
      </c>
      <c r="AA4507" s="0" t="n">
        <f aca="false">X4507-Z4507</f>
        <v>43.0076897213927</v>
      </c>
      <c r="AB4507" s="0" t="n">
        <f aca="false">X4507+Z4507</f>
        <v>45.867885936502</v>
      </c>
      <c r="AC4507" s="54" t="b">
        <f aca="false">AND(E4507&gt;=01_因子設定!$L$5-0.000000001,E4507&lt;=01_因子設定!$M$5+0.000000001,F4507&gt;=01_因子設定!$L$6-0.000000001,F4507&lt;=01_因子設定!$M$6+0.000000001,G4507&gt;=01_因子設定!$L$7-0.000000001,G4507&lt;=01_因子設定!$M$7+0.000000001,H4507&gt;=01_因子設定!$L$8-0.000000001,H4507&lt;=01_因子設定!$M$8+0.000000001,IF(01_因子設定!$B$20="Box-Behnken",E4507^2+F4507^2+G4507^2+H4507^2&lt;=2+0.000000001,TRUE()))</f>
        <v>1</v>
      </c>
      <c r="AD4507" s="55" t="n">
        <f aca="false">IF(AC4507,IF(01_因子設定!$B$13="最大化",AA4507-01_因子設定!$B$14,IF(01_因子設定!$B$13="最小化",01_因子設定!$B$15-AB4507,MIN(AA4507-01_因子設定!$B$14,01_因子設定!$B$15-AB4507))),-1E+030)</f>
        <v>-3.49231027860731</v>
      </c>
      <c r="AE4507" s="55" t="n">
        <f aca="false">IF(AC4507,IF(01_因子設定!$B$13="最大化",X4507,IF(01_因子設定!$B$13="最小化",-X4507,-ABS(X4507-01_因子設定!$B$16))),-1E+030)</f>
        <v>44.4377878289473</v>
      </c>
      <c r="AF4507" s="55" t="n">
        <f aca="false">AD4507+ROW()*0.000000001</f>
        <v>-3.49230577160731</v>
      </c>
      <c r="AG4507" s="55" t="n">
        <f aca="false">AE4507+ROW()*0.000000001</f>
        <v>44.4377923359473</v>
      </c>
    </row>
    <row r="4508" customFormat="false" ht="15" hidden="false" customHeight="false" outlineLevel="0" collapsed="false">
      <c r="A4508" s="0" t="n">
        <v>6</v>
      </c>
      <c r="B4508" s="0" t="n">
        <v>1</v>
      </c>
      <c r="C4508" s="0" t="n">
        <v>5</v>
      </c>
      <c r="D4508" s="0" t="n">
        <v>3</v>
      </c>
      <c r="E4508" s="0" t="n">
        <f aca="false">-1+A4508*0.25</f>
        <v>0.5</v>
      </c>
      <c r="F4508" s="0" t="n">
        <f aca="false">-1+B4508*0.25</f>
        <v>-0.75</v>
      </c>
      <c r="G4508" s="0" t="n">
        <f aca="false">-1+C4508*0.25</f>
        <v>0.25</v>
      </c>
      <c r="H4508" s="0" t="n">
        <f aca="false">-1+D4508*0.25</f>
        <v>-0.25</v>
      </c>
      <c r="I4508" s="0" t="n">
        <f aca="false">1</f>
        <v>1</v>
      </c>
      <c r="J4508" s="0" t="n">
        <f aca="false">E4508</f>
        <v>0.5</v>
      </c>
      <c r="K4508" s="0" t="n">
        <f aca="false">F4508</f>
        <v>-0.75</v>
      </c>
      <c r="L4508" s="0" t="n">
        <f aca="false">G4508</f>
        <v>0.25</v>
      </c>
      <c r="M4508" s="0" t="n">
        <f aca="false">H4508</f>
        <v>-0.25</v>
      </c>
      <c r="N4508" s="0" t="n">
        <f aca="false">E4508*F4508</f>
        <v>-0.375</v>
      </c>
      <c r="O4508" s="0" t="n">
        <f aca="false">E4508*G4508</f>
        <v>0.125</v>
      </c>
      <c r="P4508" s="0" t="n">
        <f aca="false">E4508*H4508</f>
        <v>-0.125</v>
      </c>
      <c r="Q4508" s="0" t="n">
        <f aca="false">F4508*G4508</f>
        <v>-0.1875</v>
      </c>
      <c r="R4508" s="0" t="n">
        <f aca="false">F4508*H4508</f>
        <v>0.1875</v>
      </c>
      <c r="S4508" s="0" t="n">
        <f aca="false">G4508*H4508</f>
        <v>-0.0625</v>
      </c>
      <c r="T4508" s="0" t="n">
        <f aca="false">E4508*E4508</f>
        <v>0.25</v>
      </c>
      <c r="U4508" s="0" t="n">
        <f aca="false">F4508*F4508</f>
        <v>0.5625</v>
      </c>
      <c r="V4508" s="0" t="n">
        <f aca="false">G4508*G4508</f>
        <v>0.0625</v>
      </c>
      <c r="W4508" s="0" t="n">
        <f aca="false">H4508*H4508</f>
        <v>0.0625</v>
      </c>
      <c r="X4508" s="0" t="n">
        <f aca="false">SUMPRODUCT(I4508:W4508,_XtX!$B$96:$P$96)</f>
        <v>44.684324744152</v>
      </c>
      <c r="Y4508" s="0" t="n">
        <f aca="false">SUMPRODUCT(MMULT(I4508:W4508,_XtX!$B$78:$P$92),I4508:W4508)</f>
        <v>0.207746539199561</v>
      </c>
      <c r="Z4508" s="0" t="n">
        <f aca="false">04_回帰ANOVA!$K$19*04_回帰ANOVA!$K$14*SQRT(1+Y4508)</f>
        <v>1.43247250081141</v>
      </c>
      <c r="AA4508" s="0" t="n">
        <f aca="false">X4508-Z4508</f>
        <v>43.2518522433406</v>
      </c>
      <c r="AB4508" s="0" t="n">
        <f aca="false">X4508+Z4508</f>
        <v>46.1167972449634</v>
      </c>
      <c r="AC4508" s="54" t="b">
        <f aca="false">AND(E4508&gt;=01_因子設定!$L$5-0.000000001,E4508&lt;=01_因子設定!$M$5+0.000000001,F4508&gt;=01_因子設定!$L$6-0.000000001,F4508&lt;=01_因子設定!$M$6+0.000000001,G4508&gt;=01_因子設定!$L$7-0.000000001,G4508&lt;=01_因子設定!$M$7+0.000000001,H4508&gt;=01_因子設定!$L$8-0.000000001,H4508&lt;=01_因子設定!$M$8+0.000000001,IF(01_因子設定!$B$20="Box-Behnken",E4508^2+F4508^2+G4508^2+H4508^2&lt;=2+0.000000001,TRUE()))</f>
        <v>1</v>
      </c>
      <c r="AD4508" s="55" t="n">
        <f aca="false">IF(AC4508,IF(01_因子設定!$B$13="最大化",AA4508-01_因子設定!$B$14,IF(01_因子設定!$B$13="最小化",01_因子設定!$B$15-AB4508,MIN(AA4508-01_因子設定!$B$14,01_因子設定!$B$15-AB4508))),-1E+030)</f>
        <v>-3.2481477566594</v>
      </c>
      <c r="AE4508" s="55" t="n">
        <f aca="false">IF(AC4508,IF(01_因子設定!$B$13="最大化",X4508,IF(01_因子設定!$B$13="最小化",-X4508,-ABS(X4508-01_因子設定!$B$16))),-1E+030)</f>
        <v>44.684324744152</v>
      </c>
      <c r="AF4508" s="55" t="n">
        <f aca="false">AD4508+ROW()*0.000000001</f>
        <v>-3.2481432486594</v>
      </c>
      <c r="AG4508" s="55" t="n">
        <f aca="false">AE4508+ROW()*0.000000001</f>
        <v>44.684329252152</v>
      </c>
    </row>
    <row r="4509" customFormat="false" ht="15" hidden="false" customHeight="false" outlineLevel="0" collapsed="false">
      <c r="A4509" s="0" t="n">
        <v>6</v>
      </c>
      <c r="B4509" s="0" t="n">
        <v>1</v>
      </c>
      <c r="C4509" s="0" t="n">
        <v>5</v>
      </c>
      <c r="D4509" s="0" t="n">
        <v>4</v>
      </c>
      <c r="E4509" s="0" t="n">
        <f aca="false">-1+A4509*0.25</f>
        <v>0.5</v>
      </c>
      <c r="F4509" s="0" t="n">
        <f aca="false">-1+B4509*0.25</f>
        <v>-0.75</v>
      </c>
      <c r="G4509" s="0" t="n">
        <f aca="false">-1+C4509*0.25</f>
        <v>0.25</v>
      </c>
      <c r="H4509" s="0" t="n">
        <f aca="false">-1+D4509*0.25</f>
        <v>0</v>
      </c>
      <c r="I4509" s="0" t="n">
        <f aca="false">1</f>
        <v>1</v>
      </c>
      <c r="J4509" s="0" t="n">
        <f aca="false">E4509</f>
        <v>0.5</v>
      </c>
      <c r="K4509" s="0" t="n">
        <f aca="false">F4509</f>
        <v>-0.75</v>
      </c>
      <c r="L4509" s="0" t="n">
        <f aca="false">G4509</f>
        <v>0.25</v>
      </c>
      <c r="M4509" s="0" t="n">
        <f aca="false">H4509</f>
        <v>0</v>
      </c>
      <c r="N4509" s="0" t="n">
        <f aca="false">E4509*F4509</f>
        <v>-0.375</v>
      </c>
      <c r="O4509" s="0" t="n">
        <f aca="false">E4509*G4509</f>
        <v>0.125</v>
      </c>
      <c r="P4509" s="0" t="n">
        <f aca="false">E4509*H4509</f>
        <v>0</v>
      </c>
      <c r="Q4509" s="0" t="n">
        <f aca="false">F4509*G4509</f>
        <v>-0.1875</v>
      </c>
      <c r="R4509" s="0" t="n">
        <f aca="false">F4509*H4509</f>
        <v>-0</v>
      </c>
      <c r="S4509" s="0" t="n">
        <f aca="false">G4509*H4509</f>
        <v>0</v>
      </c>
      <c r="T4509" s="0" t="n">
        <f aca="false">E4509*E4509</f>
        <v>0.25</v>
      </c>
      <c r="U4509" s="0" t="n">
        <f aca="false">F4509*F4509</f>
        <v>0.5625</v>
      </c>
      <c r="V4509" s="0" t="n">
        <f aca="false">G4509*G4509</f>
        <v>0.0625</v>
      </c>
      <c r="W4509" s="0" t="n">
        <f aca="false">H4509*H4509</f>
        <v>0</v>
      </c>
      <c r="X4509" s="0" t="n">
        <f aca="false">SUMPRODUCT(I4509:W4509,_XtX!$B$96:$P$96)</f>
        <v>44.8830546418128</v>
      </c>
      <c r="Y4509" s="0" t="n">
        <f aca="false">SUMPRODUCT(MMULT(I4509:W4509,_XtX!$B$78:$P$92),I4509:W4509)</f>
        <v>0.215110734192252</v>
      </c>
      <c r="Z4509" s="0" t="n">
        <f aca="false">04_回帰ANOVA!$K$19*04_回帰ANOVA!$K$14*SQRT(1+Y4509)</f>
        <v>1.43683309086864</v>
      </c>
      <c r="AA4509" s="0" t="n">
        <f aca="false">X4509-Z4509</f>
        <v>43.4462215509442</v>
      </c>
      <c r="AB4509" s="0" t="n">
        <f aca="false">X4509+Z4509</f>
        <v>46.3198877326815</v>
      </c>
      <c r="AC4509" s="54" t="b">
        <f aca="false">AND(E4509&gt;=01_因子設定!$L$5-0.000000001,E4509&lt;=01_因子設定!$M$5+0.000000001,F4509&gt;=01_因子設定!$L$6-0.000000001,F4509&lt;=01_因子設定!$M$6+0.000000001,G4509&gt;=01_因子設定!$L$7-0.000000001,G4509&lt;=01_因子設定!$M$7+0.000000001,H4509&gt;=01_因子設定!$L$8-0.000000001,H4509&lt;=01_因子設定!$M$8+0.000000001,IF(01_因子設定!$B$20="Box-Behnken",E4509^2+F4509^2+G4509^2+H4509^2&lt;=2+0.000000001,TRUE()))</f>
        <v>1</v>
      </c>
      <c r="AD4509" s="55" t="n">
        <f aca="false">IF(AC4509,IF(01_因子設定!$B$13="最大化",AA4509-01_因子設定!$B$14,IF(01_因子設定!$B$13="最小化",01_因子設定!$B$15-AB4509,MIN(AA4509-01_因子設定!$B$14,01_因子設定!$B$15-AB4509))),-1E+030)</f>
        <v>-3.05377844905583</v>
      </c>
      <c r="AE4509" s="55" t="n">
        <f aca="false">IF(AC4509,IF(01_因子設定!$B$13="最大化",X4509,IF(01_因子設定!$B$13="最小化",-X4509,-ABS(X4509-01_因子設定!$B$16))),-1E+030)</f>
        <v>44.8830546418128</v>
      </c>
      <c r="AF4509" s="55" t="n">
        <f aca="false">AD4509+ROW()*0.000000001</f>
        <v>-3.05377394005583</v>
      </c>
      <c r="AG4509" s="55" t="n">
        <f aca="false">AE4509+ROW()*0.000000001</f>
        <v>44.8830591508128</v>
      </c>
    </row>
    <row r="4510" customFormat="false" ht="15" hidden="false" customHeight="false" outlineLevel="0" collapsed="false">
      <c r="A4510" s="0" t="n">
        <v>6</v>
      </c>
      <c r="B4510" s="0" t="n">
        <v>1</v>
      </c>
      <c r="C4510" s="0" t="n">
        <v>5</v>
      </c>
      <c r="D4510" s="0" t="n">
        <v>5</v>
      </c>
      <c r="E4510" s="0" t="n">
        <f aca="false">-1+A4510*0.25</f>
        <v>0.5</v>
      </c>
      <c r="F4510" s="0" t="n">
        <f aca="false">-1+B4510*0.25</f>
        <v>-0.75</v>
      </c>
      <c r="G4510" s="0" t="n">
        <f aca="false">-1+C4510*0.25</f>
        <v>0.25</v>
      </c>
      <c r="H4510" s="0" t="n">
        <f aca="false">-1+D4510*0.25</f>
        <v>0.25</v>
      </c>
      <c r="I4510" s="0" t="n">
        <f aca="false">1</f>
        <v>1</v>
      </c>
      <c r="J4510" s="0" t="n">
        <f aca="false">E4510</f>
        <v>0.5</v>
      </c>
      <c r="K4510" s="0" t="n">
        <f aca="false">F4510</f>
        <v>-0.75</v>
      </c>
      <c r="L4510" s="0" t="n">
        <f aca="false">G4510</f>
        <v>0.25</v>
      </c>
      <c r="M4510" s="0" t="n">
        <f aca="false">H4510</f>
        <v>0.25</v>
      </c>
      <c r="N4510" s="0" t="n">
        <f aca="false">E4510*F4510</f>
        <v>-0.375</v>
      </c>
      <c r="O4510" s="0" t="n">
        <f aca="false">E4510*G4510</f>
        <v>0.125</v>
      </c>
      <c r="P4510" s="0" t="n">
        <f aca="false">E4510*H4510</f>
        <v>0.125</v>
      </c>
      <c r="Q4510" s="0" t="n">
        <f aca="false">F4510*G4510</f>
        <v>-0.1875</v>
      </c>
      <c r="R4510" s="0" t="n">
        <f aca="false">F4510*H4510</f>
        <v>-0.1875</v>
      </c>
      <c r="S4510" s="0" t="n">
        <f aca="false">G4510*H4510</f>
        <v>0.0625</v>
      </c>
      <c r="T4510" s="0" t="n">
        <f aca="false">E4510*E4510</f>
        <v>0.25</v>
      </c>
      <c r="U4510" s="0" t="n">
        <f aca="false">F4510*F4510</f>
        <v>0.5625</v>
      </c>
      <c r="V4510" s="0" t="n">
        <f aca="false">G4510*G4510</f>
        <v>0.0625</v>
      </c>
      <c r="W4510" s="0" t="n">
        <f aca="false">H4510*H4510</f>
        <v>0.0625</v>
      </c>
      <c r="X4510" s="0" t="n">
        <f aca="false">SUMPRODUCT(I4510:W4510,_XtX!$B$96:$P$96)</f>
        <v>45.0339775219298</v>
      </c>
      <c r="Y4510" s="0" t="n">
        <f aca="false">SUMPRODUCT(MMULT(I4510:W4510,_XtX!$B$78:$P$92),I4510:W4510)</f>
        <v>0.207746539199561</v>
      </c>
      <c r="Z4510" s="0" t="n">
        <f aca="false">04_回帰ANOVA!$K$19*04_回帰ANOVA!$K$14*SQRT(1+Y4510)</f>
        <v>1.43247250081141</v>
      </c>
      <c r="AA4510" s="0" t="n">
        <f aca="false">X4510-Z4510</f>
        <v>43.6015050211184</v>
      </c>
      <c r="AB4510" s="0" t="n">
        <f aca="false">X4510+Z4510</f>
        <v>46.4664500227412</v>
      </c>
      <c r="AC4510" s="54" t="b">
        <f aca="false">AND(E4510&gt;=01_因子設定!$L$5-0.000000001,E4510&lt;=01_因子設定!$M$5+0.000000001,F4510&gt;=01_因子設定!$L$6-0.000000001,F4510&lt;=01_因子設定!$M$6+0.000000001,G4510&gt;=01_因子設定!$L$7-0.000000001,G4510&lt;=01_因子設定!$M$7+0.000000001,H4510&gt;=01_因子設定!$L$8-0.000000001,H4510&lt;=01_因子設定!$M$8+0.000000001,IF(01_因子設定!$B$20="Box-Behnken",E4510^2+F4510^2+G4510^2+H4510^2&lt;=2+0.000000001,TRUE()))</f>
        <v>1</v>
      </c>
      <c r="AD4510" s="55" t="n">
        <f aca="false">IF(AC4510,IF(01_因子設定!$B$13="最大化",AA4510-01_因子設定!$B$14,IF(01_因子設定!$B$13="最小化",01_因子設定!$B$15-AB4510,MIN(AA4510-01_因子設定!$B$14,01_因子設定!$B$15-AB4510))),-1E+030)</f>
        <v>-2.89849497888162</v>
      </c>
      <c r="AE4510" s="55" t="n">
        <f aca="false">IF(AC4510,IF(01_因子設定!$B$13="最大化",X4510,IF(01_因子設定!$B$13="最小化",-X4510,-ABS(X4510-01_因子設定!$B$16))),-1E+030)</f>
        <v>45.0339775219298</v>
      </c>
      <c r="AF4510" s="55" t="n">
        <f aca="false">AD4510+ROW()*0.000000001</f>
        <v>-2.89849046888162</v>
      </c>
      <c r="AG4510" s="55" t="n">
        <f aca="false">AE4510+ROW()*0.000000001</f>
        <v>45.0339820319298</v>
      </c>
    </row>
    <row r="4511" customFormat="false" ht="15" hidden="false" customHeight="false" outlineLevel="0" collapsed="false">
      <c r="A4511" s="0" t="n">
        <v>6</v>
      </c>
      <c r="B4511" s="0" t="n">
        <v>1</v>
      </c>
      <c r="C4511" s="0" t="n">
        <v>5</v>
      </c>
      <c r="D4511" s="0" t="n">
        <v>6</v>
      </c>
      <c r="E4511" s="0" t="n">
        <f aca="false">-1+A4511*0.25</f>
        <v>0.5</v>
      </c>
      <c r="F4511" s="0" t="n">
        <f aca="false">-1+B4511*0.25</f>
        <v>-0.75</v>
      </c>
      <c r="G4511" s="0" t="n">
        <f aca="false">-1+C4511*0.25</f>
        <v>0.25</v>
      </c>
      <c r="H4511" s="0" t="n">
        <f aca="false">-1+D4511*0.25</f>
        <v>0.5</v>
      </c>
      <c r="I4511" s="0" t="n">
        <f aca="false">1</f>
        <v>1</v>
      </c>
      <c r="J4511" s="0" t="n">
        <f aca="false">E4511</f>
        <v>0.5</v>
      </c>
      <c r="K4511" s="0" t="n">
        <f aca="false">F4511</f>
        <v>-0.75</v>
      </c>
      <c r="L4511" s="0" t="n">
        <f aca="false">G4511</f>
        <v>0.25</v>
      </c>
      <c r="M4511" s="0" t="n">
        <f aca="false">H4511</f>
        <v>0.5</v>
      </c>
      <c r="N4511" s="0" t="n">
        <f aca="false">E4511*F4511</f>
        <v>-0.375</v>
      </c>
      <c r="O4511" s="0" t="n">
        <f aca="false">E4511*G4511</f>
        <v>0.125</v>
      </c>
      <c r="P4511" s="0" t="n">
        <f aca="false">E4511*H4511</f>
        <v>0.25</v>
      </c>
      <c r="Q4511" s="0" t="n">
        <f aca="false">F4511*G4511</f>
        <v>-0.1875</v>
      </c>
      <c r="R4511" s="0" t="n">
        <f aca="false">F4511*H4511</f>
        <v>-0.375</v>
      </c>
      <c r="S4511" s="0" t="n">
        <f aca="false">G4511*H4511</f>
        <v>0.125</v>
      </c>
      <c r="T4511" s="0" t="n">
        <f aca="false">E4511*E4511</f>
        <v>0.25</v>
      </c>
      <c r="U4511" s="0" t="n">
        <f aca="false">F4511*F4511</f>
        <v>0.5625</v>
      </c>
      <c r="V4511" s="0" t="n">
        <f aca="false">G4511*G4511</f>
        <v>0.0625</v>
      </c>
      <c r="W4511" s="0" t="n">
        <f aca="false">H4511*H4511</f>
        <v>0.25</v>
      </c>
      <c r="X4511" s="0" t="n">
        <f aca="false">SUMPRODUCT(I4511:W4511,_XtX!$B$96:$P$96)</f>
        <v>45.1370933845029</v>
      </c>
      <c r="Y4511" s="0" t="n">
        <f aca="false">SUMPRODUCT(MMULT(I4511:W4511,_XtX!$B$78:$P$92),I4511:W4511)</f>
        <v>0.203746059484649</v>
      </c>
      <c r="Z4511" s="0" t="n">
        <f aca="false">04_回帰ANOVA!$K$19*04_回帰ANOVA!$K$14*SQRT(1+Y4511)</f>
        <v>1.43009810755465</v>
      </c>
      <c r="AA4511" s="0" t="n">
        <f aca="false">X4511-Z4511</f>
        <v>43.7069952769482</v>
      </c>
      <c r="AB4511" s="0" t="n">
        <f aca="false">X4511+Z4511</f>
        <v>46.5671914920575</v>
      </c>
      <c r="AC4511" s="54" t="b">
        <f aca="false">AND(E4511&gt;=01_因子設定!$L$5-0.000000001,E4511&lt;=01_因子設定!$M$5+0.000000001,F4511&gt;=01_因子設定!$L$6-0.000000001,F4511&lt;=01_因子設定!$M$6+0.000000001,G4511&gt;=01_因子設定!$L$7-0.000000001,G4511&lt;=01_因子設定!$M$7+0.000000001,H4511&gt;=01_因子設定!$L$8-0.000000001,H4511&lt;=01_因子設定!$M$8+0.000000001,IF(01_因子設定!$B$20="Box-Behnken",E4511^2+F4511^2+G4511^2+H4511^2&lt;=2+0.000000001,TRUE()))</f>
        <v>1</v>
      </c>
      <c r="AD4511" s="55" t="n">
        <f aca="false">IF(AC4511,IF(01_因子設定!$B$13="最大化",AA4511-01_因子設定!$B$14,IF(01_因子設定!$B$13="最小化",01_因子設定!$B$15-AB4511,MIN(AA4511-01_因子設定!$B$14,01_因子設定!$B$15-AB4511))),-1E+030)</f>
        <v>-2.79300472305176</v>
      </c>
      <c r="AE4511" s="55" t="n">
        <f aca="false">IF(AC4511,IF(01_因子設定!$B$13="最大化",X4511,IF(01_因子設定!$B$13="最小化",-X4511,-ABS(X4511-01_因子設定!$B$16))),-1E+030)</f>
        <v>45.1370933845029</v>
      </c>
      <c r="AF4511" s="55" t="n">
        <f aca="false">AD4511+ROW()*0.000000001</f>
        <v>-2.79300021205176</v>
      </c>
      <c r="AG4511" s="55" t="n">
        <f aca="false">AE4511+ROW()*0.000000001</f>
        <v>45.1370978955029</v>
      </c>
    </row>
    <row r="4512" customFormat="false" ht="15" hidden="false" customHeight="false" outlineLevel="0" collapsed="false">
      <c r="A4512" s="0" t="n">
        <v>6</v>
      </c>
      <c r="B4512" s="0" t="n">
        <v>1</v>
      </c>
      <c r="C4512" s="0" t="n">
        <v>5</v>
      </c>
      <c r="D4512" s="0" t="n">
        <v>7</v>
      </c>
      <c r="E4512" s="0" t="n">
        <f aca="false">-1+A4512*0.25</f>
        <v>0.5</v>
      </c>
      <c r="F4512" s="0" t="n">
        <f aca="false">-1+B4512*0.25</f>
        <v>-0.75</v>
      </c>
      <c r="G4512" s="0" t="n">
        <f aca="false">-1+C4512*0.25</f>
        <v>0.25</v>
      </c>
      <c r="H4512" s="0" t="n">
        <f aca="false">-1+D4512*0.25</f>
        <v>0.75</v>
      </c>
      <c r="I4512" s="0" t="n">
        <f aca="false">1</f>
        <v>1</v>
      </c>
      <c r="J4512" s="0" t="n">
        <f aca="false">E4512</f>
        <v>0.5</v>
      </c>
      <c r="K4512" s="0" t="n">
        <f aca="false">F4512</f>
        <v>-0.75</v>
      </c>
      <c r="L4512" s="0" t="n">
        <f aca="false">G4512</f>
        <v>0.25</v>
      </c>
      <c r="M4512" s="0" t="n">
        <f aca="false">H4512</f>
        <v>0.75</v>
      </c>
      <c r="N4512" s="0" t="n">
        <f aca="false">E4512*F4512</f>
        <v>-0.375</v>
      </c>
      <c r="O4512" s="0" t="n">
        <f aca="false">E4512*G4512</f>
        <v>0.125</v>
      </c>
      <c r="P4512" s="0" t="n">
        <f aca="false">E4512*H4512</f>
        <v>0.375</v>
      </c>
      <c r="Q4512" s="0" t="n">
        <f aca="false">F4512*G4512</f>
        <v>-0.1875</v>
      </c>
      <c r="R4512" s="0" t="n">
        <f aca="false">F4512*H4512</f>
        <v>-0.5625</v>
      </c>
      <c r="S4512" s="0" t="n">
        <f aca="false">G4512*H4512</f>
        <v>0.1875</v>
      </c>
      <c r="T4512" s="0" t="n">
        <f aca="false">E4512*E4512</f>
        <v>0.25</v>
      </c>
      <c r="U4512" s="0" t="n">
        <f aca="false">F4512*F4512</f>
        <v>0.5625</v>
      </c>
      <c r="V4512" s="0" t="n">
        <f aca="false">G4512*G4512</f>
        <v>0.0625</v>
      </c>
      <c r="W4512" s="0" t="n">
        <f aca="false">H4512*H4512</f>
        <v>0.5625</v>
      </c>
      <c r="X4512" s="0" t="n">
        <f aca="false">SUMPRODUCT(I4512:W4512,_XtX!$B$96:$P$96)</f>
        <v>45.1924022295321</v>
      </c>
      <c r="Y4512" s="0" t="n">
        <f aca="false">SUMPRODUCT(MMULT(I4512:W4512,_XtX!$B$78:$P$92),I4512:W4512)</f>
        <v>0.257385610836988</v>
      </c>
      <c r="Z4512" s="0" t="n">
        <f aca="false">04_回帰ANOVA!$K$19*04_回帰ANOVA!$K$14*SQRT(1+Y4512)</f>
        <v>1.46161380324158</v>
      </c>
      <c r="AA4512" s="0" t="n">
        <f aca="false">X4512-Z4512</f>
        <v>43.7307884262906</v>
      </c>
      <c r="AB4512" s="0" t="n">
        <f aca="false">X4512+Z4512</f>
        <v>46.6540160327737</v>
      </c>
      <c r="AC4512" s="54" t="b">
        <f aca="false">AND(E4512&gt;=01_因子設定!$L$5-0.000000001,E4512&lt;=01_因子設定!$M$5+0.000000001,F4512&gt;=01_因子設定!$L$6-0.000000001,F4512&lt;=01_因子設定!$M$6+0.000000001,G4512&gt;=01_因子設定!$L$7-0.000000001,G4512&lt;=01_因子設定!$M$7+0.000000001,H4512&gt;=01_因子設定!$L$8-0.000000001,H4512&lt;=01_因子設定!$M$8+0.000000001,IF(01_因子設定!$B$20="Box-Behnken",E4512^2+F4512^2+G4512^2+H4512^2&lt;=2+0.000000001,TRUE()))</f>
        <v>1</v>
      </c>
      <c r="AD4512" s="55" t="n">
        <f aca="false">IF(AC4512,IF(01_因子設定!$B$13="最大化",AA4512-01_因子設定!$B$14,IF(01_因子設定!$B$13="最小化",01_因子設定!$B$15-AB4512,MIN(AA4512-01_因子設定!$B$14,01_因子設定!$B$15-AB4512))),-1E+030)</f>
        <v>-2.76921157370944</v>
      </c>
      <c r="AE4512" s="55" t="n">
        <f aca="false">IF(AC4512,IF(01_因子設定!$B$13="最大化",X4512,IF(01_因子設定!$B$13="最小化",-X4512,-ABS(X4512-01_因子設定!$B$16))),-1E+030)</f>
        <v>45.1924022295321</v>
      </c>
      <c r="AF4512" s="55" t="n">
        <f aca="false">AD4512+ROW()*0.000000001</f>
        <v>-2.76920706170944</v>
      </c>
      <c r="AG4512" s="55" t="n">
        <f aca="false">AE4512+ROW()*0.000000001</f>
        <v>45.1924067415321</v>
      </c>
    </row>
    <row r="4513" customFormat="false" ht="15" hidden="false" customHeight="false" outlineLevel="0" collapsed="false">
      <c r="A4513" s="0" t="n">
        <v>6</v>
      </c>
      <c r="B4513" s="0" t="n">
        <v>1</v>
      </c>
      <c r="C4513" s="0" t="n">
        <v>5</v>
      </c>
      <c r="D4513" s="0" t="n">
        <v>8</v>
      </c>
      <c r="E4513" s="0" t="n">
        <f aca="false">-1+A4513*0.25</f>
        <v>0.5</v>
      </c>
      <c r="F4513" s="0" t="n">
        <f aca="false">-1+B4513*0.25</f>
        <v>-0.75</v>
      </c>
      <c r="G4513" s="0" t="n">
        <f aca="false">-1+C4513*0.25</f>
        <v>0.25</v>
      </c>
      <c r="H4513" s="0" t="n">
        <f aca="false">-1+D4513*0.25</f>
        <v>1</v>
      </c>
      <c r="I4513" s="0" t="n">
        <f aca="false">1</f>
        <v>1</v>
      </c>
      <c r="J4513" s="0" t="n">
        <f aca="false">E4513</f>
        <v>0.5</v>
      </c>
      <c r="K4513" s="0" t="n">
        <f aca="false">F4513</f>
        <v>-0.75</v>
      </c>
      <c r="L4513" s="0" t="n">
        <f aca="false">G4513</f>
        <v>0.25</v>
      </c>
      <c r="M4513" s="0" t="n">
        <f aca="false">H4513</f>
        <v>1</v>
      </c>
      <c r="N4513" s="0" t="n">
        <f aca="false">E4513*F4513</f>
        <v>-0.375</v>
      </c>
      <c r="O4513" s="0" t="n">
        <f aca="false">E4513*G4513</f>
        <v>0.125</v>
      </c>
      <c r="P4513" s="0" t="n">
        <f aca="false">E4513*H4513</f>
        <v>0.5</v>
      </c>
      <c r="Q4513" s="0" t="n">
        <f aca="false">F4513*G4513</f>
        <v>-0.1875</v>
      </c>
      <c r="R4513" s="0" t="n">
        <f aca="false">F4513*H4513</f>
        <v>-0.75</v>
      </c>
      <c r="S4513" s="0" t="n">
        <f aca="false">G4513*H4513</f>
        <v>0.25</v>
      </c>
      <c r="T4513" s="0" t="n">
        <f aca="false">E4513*E4513</f>
        <v>0.25</v>
      </c>
      <c r="U4513" s="0" t="n">
        <f aca="false">F4513*F4513</f>
        <v>0.5625</v>
      </c>
      <c r="V4513" s="0" t="n">
        <f aca="false">G4513*G4513</f>
        <v>0.0625</v>
      </c>
      <c r="W4513" s="0" t="n">
        <f aca="false">H4513*H4513</f>
        <v>1</v>
      </c>
      <c r="X4513" s="0" t="n">
        <f aca="false">SUMPRODUCT(I4513:W4513,_XtX!$B$96:$P$96)</f>
        <v>45.1999040570175</v>
      </c>
      <c r="Y4513" s="0" t="n">
        <f aca="false">SUMPRODUCT(MMULT(I4513:W4513,_XtX!$B$78:$P$92),I4513:W4513)</f>
        <v>0.459125719572369</v>
      </c>
      <c r="Z4513" s="0" t="n">
        <f aca="false">04_回帰ANOVA!$K$19*04_回帰ANOVA!$K$14*SQRT(1+Y4513)</f>
        <v>1.57450755575573</v>
      </c>
      <c r="AA4513" s="0" t="n">
        <f aca="false">X4513-Z4513</f>
        <v>43.6253965012618</v>
      </c>
      <c r="AB4513" s="0" t="n">
        <f aca="false">X4513+Z4513</f>
        <v>46.7744116127733</v>
      </c>
      <c r="AC4513" s="54" t="b">
        <f aca="false">AND(E4513&gt;=01_因子設定!$L$5-0.000000001,E4513&lt;=01_因子設定!$M$5+0.000000001,F4513&gt;=01_因子設定!$L$6-0.000000001,F4513&lt;=01_因子設定!$M$6+0.000000001,G4513&gt;=01_因子設定!$L$7-0.000000001,G4513&lt;=01_因子設定!$M$7+0.000000001,H4513&gt;=01_因子設定!$L$8-0.000000001,H4513&lt;=01_因子設定!$M$8+0.000000001,IF(01_因子設定!$B$20="Box-Behnken",E4513^2+F4513^2+G4513^2+H4513^2&lt;=2+0.000000001,TRUE()))</f>
        <v>1</v>
      </c>
      <c r="AD4513" s="55" t="n">
        <f aca="false">IF(AC4513,IF(01_因子設定!$B$13="最大化",AA4513-01_因子設定!$B$14,IF(01_因子設定!$B$13="最小化",01_因子設定!$B$15-AB4513,MIN(AA4513-01_因子設定!$B$14,01_因子設定!$B$15-AB4513))),-1E+030)</f>
        <v>-2.8746034987382</v>
      </c>
      <c r="AE4513" s="55" t="n">
        <f aca="false">IF(AC4513,IF(01_因子設定!$B$13="最大化",X4513,IF(01_因子設定!$B$13="最小化",-X4513,-ABS(X4513-01_因子設定!$B$16))),-1E+030)</f>
        <v>45.1999040570175</v>
      </c>
      <c r="AF4513" s="55" t="n">
        <f aca="false">AD4513+ROW()*0.000000001</f>
        <v>-2.8745989857382</v>
      </c>
      <c r="AG4513" s="55" t="n">
        <f aca="false">AE4513+ROW()*0.000000001</f>
        <v>45.1999085700175</v>
      </c>
    </row>
    <row r="4514" customFormat="false" ht="15" hidden="false" customHeight="false" outlineLevel="0" collapsed="false">
      <c r="A4514" s="0" t="n">
        <v>6</v>
      </c>
      <c r="B4514" s="0" t="n">
        <v>1</v>
      </c>
      <c r="C4514" s="0" t="n">
        <v>6</v>
      </c>
      <c r="D4514" s="0" t="n">
        <v>0</v>
      </c>
      <c r="E4514" s="0" t="n">
        <f aca="false">-1+A4514*0.25</f>
        <v>0.5</v>
      </c>
      <c r="F4514" s="0" t="n">
        <f aca="false">-1+B4514*0.25</f>
        <v>-0.75</v>
      </c>
      <c r="G4514" s="0" t="n">
        <f aca="false">-1+C4514*0.25</f>
        <v>0.5</v>
      </c>
      <c r="H4514" s="0" t="n">
        <f aca="false">-1+D4514*0.25</f>
        <v>-1</v>
      </c>
      <c r="I4514" s="0" t="n">
        <f aca="false">1</f>
        <v>1</v>
      </c>
      <c r="J4514" s="0" t="n">
        <f aca="false">E4514</f>
        <v>0.5</v>
      </c>
      <c r="K4514" s="0" t="n">
        <f aca="false">F4514</f>
        <v>-0.75</v>
      </c>
      <c r="L4514" s="0" t="n">
        <f aca="false">G4514</f>
        <v>0.5</v>
      </c>
      <c r="M4514" s="0" t="n">
        <f aca="false">H4514</f>
        <v>-1</v>
      </c>
      <c r="N4514" s="0" t="n">
        <f aca="false">E4514*F4514</f>
        <v>-0.375</v>
      </c>
      <c r="O4514" s="0" t="n">
        <f aca="false">E4514*G4514</f>
        <v>0.25</v>
      </c>
      <c r="P4514" s="0" t="n">
        <f aca="false">E4514*H4514</f>
        <v>-0.5</v>
      </c>
      <c r="Q4514" s="0" t="n">
        <f aca="false">F4514*G4514</f>
        <v>-0.375</v>
      </c>
      <c r="R4514" s="0" t="n">
        <f aca="false">F4514*H4514</f>
        <v>0.75</v>
      </c>
      <c r="S4514" s="0" t="n">
        <f aca="false">G4514*H4514</f>
        <v>-0.5</v>
      </c>
      <c r="T4514" s="0" t="n">
        <f aca="false">E4514*E4514</f>
        <v>0.25</v>
      </c>
      <c r="U4514" s="0" t="n">
        <f aca="false">F4514*F4514</f>
        <v>0.5625</v>
      </c>
      <c r="V4514" s="0" t="n">
        <f aca="false">G4514*G4514</f>
        <v>0.25</v>
      </c>
      <c r="W4514" s="0" t="n">
        <f aca="false">H4514*H4514</f>
        <v>1</v>
      </c>
      <c r="X4514" s="0" t="n">
        <f aca="false">SUMPRODUCT(I4514:W4514,_XtX!$B$96:$P$96)</f>
        <v>43.707447002924</v>
      </c>
      <c r="Y4514" s="0" t="n">
        <f aca="false">SUMPRODUCT(MMULT(I4514:W4514,_XtX!$B$78:$P$92),I4514:W4514)</f>
        <v>0.42602110745614</v>
      </c>
      <c r="Z4514" s="0" t="n">
        <f aca="false">04_回帰ANOVA!$K$19*04_回帰ANOVA!$K$14*SQRT(1+Y4514)</f>
        <v>1.55654388501114</v>
      </c>
      <c r="AA4514" s="0" t="n">
        <f aca="false">X4514-Z4514</f>
        <v>42.1509031179128</v>
      </c>
      <c r="AB4514" s="0" t="n">
        <f aca="false">X4514+Z4514</f>
        <v>45.2639908879351</v>
      </c>
      <c r="AC4514" s="54" t="b">
        <f aca="false">AND(E4514&gt;=01_因子設定!$L$5-0.000000001,E4514&lt;=01_因子設定!$M$5+0.000000001,F4514&gt;=01_因子設定!$L$6-0.000000001,F4514&lt;=01_因子設定!$M$6+0.000000001,G4514&gt;=01_因子設定!$L$7-0.000000001,G4514&lt;=01_因子設定!$M$7+0.000000001,H4514&gt;=01_因子設定!$L$8-0.000000001,H4514&lt;=01_因子設定!$M$8+0.000000001,IF(01_因子設定!$B$20="Box-Behnken",E4514^2+F4514^2+G4514^2+H4514^2&lt;=2+0.000000001,TRUE()))</f>
        <v>1</v>
      </c>
      <c r="AD4514" s="55" t="n">
        <f aca="false">IF(AC4514,IF(01_因子設定!$B$13="最大化",AA4514-01_因子設定!$B$14,IF(01_因子設定!$B$13="最小化",01_因子設定!$B$15-AB4514,MIN(AA4514-01_因子設定!$B$14,01_因子設定!$B$15-AB4514))),-1E+030)</f>
        <v>-4.34909688208717</v>
      </c>
      <c r="AE4514" s="55" t="n">
        <f aca="false">IF(AC4514,IF(01_因子設定!$B$13="最大化",X4514,IF(01_因子設定!$B$13="最小化",-X4514,-ABS(X4514-01_因子設定!$B$16))),-1E+030)</f>
        <v>43.707447002924</v>
      </c>
      <c r="AF4514" s="55" t="n">
        <f aca="false">AD4514+ROW()*0.000000001</f>
        <v>-4.34909236808717</v>
      </c>
      <c r="AG4514" s="55" t="n">
        <f aca="false">AE4514+ROW()*0.000000001</f>
        <v>43.707451516924</v>
      </c>
    </row>
    <row r="4515" customFormat="false" ht="15" hidden="false" customHeight="false" outlineLevel="0" collapsed="false">
      <c r="A4515" s="0" t="n">
        <v>6</v>
      </c>
      <c r="B4515" s="0" t="n">
        <v>1</v>
      </c>
      <c r="C4515" s="0" t="n">
        <v>6</v>
      </c>
      <c r="D4515" s="0" t="n">
        <v>1</v>
      </c>
      <c r="E4515" s="0" t="n">
        <f aca="false">-1+A4515*0.25</f>
        <v>0.5</v>
      </c>
      <c r="F4515" s="0" t="n">
        <f aca="false">-1+B4515*0.25</f>
        <v>-0.75</v>
      </c>
      <c r="G4515" s="0" t="n">
        <f aca="false">-1+C4515*0.25</f>
        <v>0.5</v>
      </c>
      <c r="H4515" s="0" t="n">
        <f aca="false">-1+D4515*0.25</f>
        <v>-0.75</v>
      </c>
      <c r="I4515" s="0" t="n">
        <f aca="false">1</f>
        <v>1</v>
      </c>
      <c r="J4515" s="0" t="n">
        <f aca="false">E4515</f>
        <v>0.5</v>
      </c>
      <c r="K4515" s="0" t="n">
        <f aca="false">F4515</f>
        <v>-0.75</v>
      </c>
      <c r="L4515" s="0" t="n">
        <f aca="false">G4515</f>
        <v>0.5</v>
      </c>
      <c r="M4515" s="0" t="n">
        <f aca="false">H4515</f>
        <v>-0.75</v>
      </c>
      <c r="N4515" s="0" t="n">
        <f aca="false">E4515*F4515</f>
        <v>-0.375</v>
      </c>
      <c r="O4515" s="0" t="n">
        <f aca="false">E4515*G4515</f>
        <v>0.25</v>
      </c>
      <c r="P4515" s="0" t="n">
        <f aca="false">E4515*H4515</f>
        <v>-0.375</v>
      </c>
      <c r="Q4515" s="0" t="n">
        <f aca="false">F4515*G4515</f>
        <v>-0.375</v>
      </c>
      <c r="R4515" s="0" t="n">
        <f aca="false">F4515*H4515</f>
        <v>0.5625</v>
      </c>
      <c r="S4515" s="0" t="n">
        <f aca="false">G4515*H4515</f>
        <v>-0.375</v>
      </c>
      <c r="T4515" s="0" t="n">
        <f aca="false">E4515*E4515</f>
        <v>0.25</v>
      </c>
      <c r="U4515" s="0" t="n">
        <f aca="false">F4515*F4515</f>
        <v>0.5625</v>
      </c>
      <c r="V4515" s="0" t="n">
        <f aca="false">G4515*G4515</f>
        <v>0.25</v>
      </c>
      <c r="W4515" s="0" t="n">
        <f aca="false">H4515*H4515</f>
        <v>0.5625</v>
      </c>
      <c r="X4515" s="0" t="n">
        <f aca="false">SUMPRODUCT(I4515:W4515,_XtX!$B$96:$P$96)</f>
        <v>44.0675667032164</v>
      </c>
      <c r="Y4515" s="0" t="n">
        <f aca="false">SUMPRODUCT(MMULT(I4515:W4515,_XtX!$B$78:$P$92),I4515:W4515)</f>
        <v>0.237862927174708</v>
      </c>
      <c r="Z4515" s="0" t="n">
        <f aca="false">04_回帰ANOVA!$K$19*04_回帰ANOVA!$K$14*SQRT(1+Y4515)</f>
        <v>1.45022260708756</v>
      </c>
      <c r="AA4515" s="0" t="n">
        <f aca="false">X4515-Z4515</f>
        <v>42.6173440961288</v>
      </c>
      <c r="AB4515" s="0" t="n">
        <f aca="false">X4515+Z4515</f>
        <v>45.5177893103039</v>
      </c>
      <c r="AC4515" s="54" t="b">
        <f aca="false">AND(E4515&gt;=01_因子設定!$L$5-0.000000001,E4515&lt;=01_因子設定!$M$5+0.000000001,F4515&gt;=01_因子設定!$L$6-0.000000001,F4515&lt;=01_因子設定!$M$6+0.000000001,G4515&gt;=01_因子設定!$L$7-0.000000001,G4515&lt;=01_因子設定!$M$7+0.000000001,H4515&gt;=01_因子設定!$L$8-0.000000001,H4515&lt;=01_因子設定!$M$8+0.000000001,IF(01_因子設定!$B$20="Box-Behnken",E4515^2+F4515^2+G4515^2+H4515^2&lt;=2+0.000000001,TRUE()))</f>
        <v>1</v>
      </c>
      <c r="AD4515" s="55" t="n">
        <f aca="false">IF(AC4515,IF(01_因子設定!$B$13="最大化",AA4515-01_因子設定!$B$14,IF(01_因子設定!$B$13="最小化",01_因子設定!$B$15-AB4515,MIN(AA4515-01_因子設定!$B$14,01_因子設定!$B$15-AB4515))),-1E+030)</f>
        <v>-3.88265590387121</v>
      </c>
      <c r="AE4515" s="55" t="n">
        <f aca="false">IF(AC4515,IF(01_因子設定!$B$13="最大化",X4515,IF(01_因子設定!$B$13="最小化",-X4515,-ABS(X4515-01_因子設定!$B$16))),-1E+030)</f>
        <v>44.0675667032164</v>
      </c>
      <c r="AF4515" s="55" t="n">
        <f aca="false">AD4515+ROW()*0.000000001</f>
        <v>-3.88265138887121</v>
      </c>
      <c r="AG4515" s="55" t="n">
        <f aca="false">AE4515+ROW()*0.000000001</f>
        <v>44.0675712182164</v>
      </c>
    </row>
    <row r="4516" customFormat="false" ht="15" hidden="false" customHeight="false" outlineLevel="0" collapsed="false">
      <c r="A4516" s="0" t="n">
        <v>6</v>
      </c>
      <c r="B4516" s="0" t="n">
        <v>1</v>
      </c>
      <c r="C4516" s="0" t="n">
        <v>6</v>
      </c>
      <c r="D4516" s="0" t="n">
        <v>2</v>
      </c>
      <c r="E4516" s="0" t="n">
        <f aca="false">-1+A4516*0.25</f>
        <v>0.5</v>
      </c>
      <c r="F4516" s="0" t="n">
        <f aca="false">-1+B4516*0.25</f>
        <v>-0.75</v>
      </c>
      <c r="G4516" s="0" t="n">
        <f aca="false">-1+C4516*0.25</f>
        <v>0.5</v>
      </c>
      <c r="H4516" s="0" t="n">
        <f aca="false">-1+D4516*0.25</f>
        <v>-0.5</v>
      </c>
      <c r="I4516" s="0" t="n">
        <f aca="false">1</f>
        <v>1</v>
      </c>
      <c r="J4516" s="0" t="n">
        <f aca="false">E4516</f>
        <v>0.5</v>
      </c>
      <c r="K4516" s="0" t="n">
        <f aca="false">F4516</f>
        <v>-0.75</v>
      </c>
      <c r="L4516" s="0" t="n">
        <f aca="false">G4516</f>
        <v>0.5</v>
      </c>
      <c r="M4516" s="0" t="n">
        <f aca="false">H4516</f>
        <v>-0.5</v>
      </c>
      <c r="N4516" s="0" t="n">
        <f aca="false">E4516*F4516</f>
        <v>-0.375</v>
      </c>
      <c r="O4516" s="0" t="n">
        <f aca="false">E4516*G4516</f>
        <v>0.25</v>
      </c>
      <c r="P4516" s="0" t="n">
        <f aca="false">E4516*H4516</f>
        <v>-0.25</v>
      </c>
      <c r="Q4516" s="0" t="n">
        <f aca="false">F4516*G4516</f>
        <v>-0.375</v>
      </c>
      <c r="R4516" s="0" t="n">
        <f aca="false">F4516*H4516</f>
        <v>0.375</v>
      </c>
      <c r="S4516" s="0" t="n">
        <f aca="false">G4516*H4516</f>
        <v>-0.25</v>
      </c>
      <c r="T4516" s="0" t="n">
        <f aca="false">E4516*E4516</f>
        <v>0.25</v>
      </c>
      <c r="U4516" s="0" t="n">
        <f aca="false">F4516*F4516</f>
        <v>0.5625</v>
      </c>
      <c r="V4516" s="0" t="n">
        <f aca="false">G4516*G4516</f>
        <v>0.25</v>
      </c>
      <c r="W4516" s="0" t="n">
        <f aca="false">H4516*H4516</f>
        <v>0.25</v>
      </c>
      <c r="X4516" s="0" t="n">
        <f aca="false">SUMPRODUCT(I4516:W4516,_XtX!$B$96:$P$96)</f>
        <v>44.3798793859649</v>
      </c>
      <c r="Y4516" s="0" t="n">
        <f aca="false">SUMPRODUCT(MMULT(I4516:W4516,_XtX!$B$78:$P$92),I4516:W4516)</f>
        <v>0.193924753289474</v>
      </c>
      <c r="Z4516" s="0" t="n">
        <f aca="false">04_回帰ANOVA!$K$19*04_回帰ANOVA!$K$14*SQRT(1+Y4516)</f>
        <v>1.4242521079916</v>
      </c>
      <c r="AA4516" s="0" t="n">
        <f aca="false">X4516-Z4516</f>
        <v>42.9556272779733</v>
      </c>
      <c r="AB4516" s="0" t="n">
        <f aca="false">X4516+Z4516</f>
        <v>45.8041314939565</v>
      </c>
      <c r="AC4516" s="54" t="b">
        <f aca="false">AND(E4516&gt;=01_因子設定!$L$5-0.000000001,E4516&lt;=01_因子設定!$M$5+0.000000001,F4516&gt;=01_因子設定!$L$6-0.000000001,F4516&lt;=01_因子設定!$M$6+0.000000001,G4516&gt;=01_因子設定!$L$7-0.000000001,G4516&lt;=01_因子設定!$M$7+0.000000001,H4516&gt;=01_因子設定!$L$8-0.000000001,H4516&lt;=01_因子設定!$M$8+0.000000001,IF(01_因子設定!$B$20="Box-Behnken",E4516^2+F4516^2+G4516^2+H4516^2&lt;=2+0.000000001,TRUE()))</f>
        <v>1</v>
      </c>
      <c r="AD4516" s="55" t="n">
        <f aca="false">IF(AC4516,IF(01_因子設定!$B$13="最大化",AA4516-01_因子設定!$B$14,IF(01_因子設定!$B$13="最小化",01_因子設定!$B$15-AB4516,MIN(AA4516-01_因子設定!$B$14,01_因子設定!$B$15-AB4516))),-1E+030)</f>
        <v>-3.54437272202672</v>
      </c>
      <c r="AE4516" s="55" t="n">
        <f aca="false">IF(AC4516,IF(01_因子設定!$B$13="最大化",X4516,IF(01_因子設定!$B$13="最小化",-X4516,-ABS(X4516-01_因子設定!$B$16))),-1E+030)</f>
        <v>44.3798793859649</v>
      </c>
      <c r="AF4516" s="55" t="n">
        <f aca="false">AD4516+ROW()*0.000000001</f>
        <v>-3.54436820602672</v>
      </c>
      <c r="AG4516" s="55" t="n">
        <f aca="false">AE4516+ROW()*0.000000001</f>
        <v>44.3798839019649</v>
      </c>
    </row>
    <row r="4517" customFormat="false" ht="15" hidden="false" customHeight="false" outlineLevel="0" collapsed="false">
      <c r="A4517" s="0" t="n">
        <v>6</v>
      </c>
      <c r="B4517" s="0" t="n">
        <v>1</v>
      </c>
      <c r="C4517" s="0" t="n">
        <v>6</v>
      </c>
      <c r="D4517" s="0" t="n">
        <v>3</v>
      </c>
      <c r="E4517" s="0" t="n">
        <f aca="false">-1+A4517*0.25</f>
        <v>0.5</v>
      </c>
      <c r="F4517" s="0" t="n">
        <f aca="false">-1+B4517*0.25</f>
        <v>-0.75</v>
      </c>
      <c r="G4517" s="0" t="n">
        <f aca="false">-1+C4517*0.25</f>
        <v>0.5</v>
      </c>
      <c r="H4517" s="0" t="n">
        <f aca="false">-1+D4517*0.25</f>
        <v>-0.25</v>
      </c>
      <c r="I4517" s="0" t="n">
        <f aca="false">1</f>
        <v>1</v>
      </c>
      <c r="J4517" s="0" t="n">
        <f aca="false">E4517</f>
        <v>0.5</v>
      </c>
      <c r="K4517" s="0" t="n">
        <f aca="false">F4517</f>
        <v>-0.75</v>
      </c>
      <c r="L4517" s="0" t="n">
        <f aca="false">G4517</f>
        <v>0.5</v>
      </c>
      <c r="M4517" s="0" t="n">
        <f aca="false">H4517</f>
        <v>-0.25</v>
      </c>
      <c r="N4517" s="0" t="n">
        <f aca="false">E4517*F4517</f>
        <v>-0.375</v>
      </c>
      <c r="O4517" s="0" t="n">
        <f aca="false">E4517*G4517</f>
        <v>0.25</v>
      </c>
      <c r="P4517" s="0" t="n">
        <f aca="false">E4517*H4517</f>
        <v>-0.125</v>
      </c>
      <c r="Q4517" s="0" t="n">
        <f aca="false">F4517*G4517</f>
        <v>-0.375</v>
      </c>
      <c r="R4517" s="0" t="n">
        <f aca="false">F4517*H4517</f>
        <v>0.1875</v>
      </c>
      <c r="S4517" s="0" t="n">
        <f aca="false">G4517*H4517</f>
        <v>-0.125</v>
      </c>
      <c r="T4517" s="0" t="n">
        <f aca="false">E4517*E4517</f>
        <v>0.25</v>
      </c>
      <c r="U4517" s="0" t="n">
        <f aca="false">F4517*F4517</f>
        <v>0.5625</v>
      </c>
      <c r="V4517" s="0" t="n">
        <f aca="false">G4517*G4517</f>
        <v>0.25</v>
      </c>
      <c r="W4517" s="0" t="n">
        <f aca="false">H4517*H4517</f>
        <v>0.0625</v>
      </c>
      <c r="X4517" s="0" t="n">
        <f aca="false">SUMPRODUCT(I4517:W4517,_XtX!$B$96:$P$96)</f>
        <v>44.6443850511696</v>
      </c>
      <c r="Y4517" s="0" t="n">
        <f aca="false">SUMPRODUCT(MMULT(I4517:W4517,_XtX!$B$78:$P$92),I4517:W4517)</f>
        <v>0.203746059484649</v>
      </c>
      <c r="Z4517" s="0" t="n">
        <f aca="false">04_回帰ANOVA!$K$19*04_回帰ANOVA!$K$14*SQRT(1+Y4517)</f>
        <v>1.43009810755465</v>
      </c>
      <c r="AA4517" s="0" t="n">
        <f aca="false">X4517-Z4517</f>
        <v>43.2142869436149</v>
      </c>
      <c r="AB4517" s="0" t="n">
        <f aca="false">X4517+Z4517</f>
        <v>46.0744831587242</v>
      </c>
      <c r="AC4517" s="54" t="b">
        <f aca="false">AND(E4517&gt;=01_因子設定!$L$5-0.000000001,E4517&lt;=01_因子設定!$M$5+0.000000001,F4517&gt;=01_因子設定!$L$6-0.000000001,F4517&lt;=01_因子設定!$M$6+0.000000001,G4517&gt;=01_因子設定!$L$7-0.000000001,G4517&lt;=01_因子設定!$M$7+0.000000001,H4517&gt;=01_因子設定!$L$8-0.000000001,H4517&lt;=01_因子設定!$M$8+0.000000001,IF(01_因子設定!$B$20="Box-Behnken",E4517^2+F4517^2+G4517^2+H4517^2&lt;=2+0.000000001,TRUE()))</f>
        <v>1</v>
      </c>
      <c r="AD4517" s="55" t="n">
        <f aca="false">IF(AC4517,IF(01_因子設定!$B$13="最大化",AA4517-01_因子設定!$B$14,IF(01_因子設定!$B$13="最小化",01_因子設定!$B$15-AB4517,MIN(AA4517-01_因子設定!$B$14,01_因子設定!$B$15-AB4517))),-1E+030)</f>
        <v>-3.2857130563851</v>
      </c>
      <c r="AE4517" s="55" t="n">
        <f aca="false">IF(AC4517,IF(01_因子設定!$B$13="最大化",X4517,IF(01_因子設定!$B$13="最小化",-X4517,-ABS(X4517-01_因子設定!$B$16))),-1E+030)</f>
        <v>44.6443850511696</v>
      </c>
      <c r="AF4517" s="55" t="n">
        <f aca="false">AD4517+ROW()*0.000000001</f>
        <v>-3.2857085393851</v>
      </c>
      <c r="AG4517" s="55" t="n">
        <f aca="false">AE4517+ROW()*0.000000001</f>
        <v>44.6443895681696</v>
      </c>
    </row>
    <row r="4518" customFormat="false" ht="15" hidden="false" customHeight="false" outlineLevel="0" collapsed="false">
      <c r="A4518" s="0" t="n">
        <v>6</v>
      </c>
      <c r="B4518" s="0" t="n">
        <v>1</v>
      </c>
      <c r="C4518" s="0" t="n">
        <v>6</v>
      </c>
      <c r="D4518" s="0" t="n">
        <v>4</v>
      </c>
      <c r="E4518" s="0" t="n">
        <f aca="false">-1+A4518*0.25</f>
        <v>0.5</v>
      </c>
      <c r="F4518" s="0" t="n">
        <f aca="false">-1+B4518*0.25</f>
        <v>-0.75</v>
      </c>
      <c r="G4518" s="0" t="n">
        <f aca="false">-1+C4518*0.25</f>
        <v>0.5</v>
      </c>
      <c r="H4518" s="0" t="n">
        <f aca="false">-1+D4518*0.25</f>
        <v>0</v>
      </c>
      <c r="I4518" s="0" t="n">
        <f aca="false">1</f>
        <v>1</v>
      </c>
      <c r="J4518" s="0" t="n">
        <f aca="false">E4518</f>
        <v>0.5</v>
      </c>
      <c r="K4518" s="0" t="n">
        <f aca="false">F4518</f>
        <v>-0.75</v>
      </c>
      <c r="L4518" s="0" t="n">
        <f aca="false">G4518</f>
        <v>0.5</v>
      </c>
      <c r="M4518" s="0" t="n">
        <f aca="false">H4518</f>
        <v>0</v>
      </c>
      <c r="N4518" s="0" t="n">
        <f aca="false">E4518*F4518</f>
        <v>-0.375</v>
      </c>
      <c r="O4518" s="0" t="n">
        <f aca="false">E4518*G4518</f>
        <v>0.25</v>
      </c>
      <c r="P4518" s="0" t="n">
        <f aca="false">E4518*H4518</f>
        <v>0</v>
      </c>
      <c r="Q4518" s="0" t="n">
        <f aca="false">F4518*G4518</f>
        <v>-0.375</v>
      </c>
      <c r="R4518" s="0" t="n">
        <f aca="false">F4518*H4518</f>
        <v>-0</v>
      </c>
      <c r="S4518" s="0" t="n">
        <f aca="false">G4518*H4518</f>
        <v>0</v>
      </c>
      <c r="T4518" s="0" t="n">
        <f aca="false">E4518*E4518</f>
        <v>0.25</v>
      </c>
      <c r="U4518" s="0" t="n">
        <f aca="false">F4518*F4518</f>
        <v>0.5625</v>
      </c>
      <c r="V4518" s="0" t="n">
        <f aca="false">G4518*G4518</f>
        <v>0.25</v>
      </c>
      <c r="W4518" s="0" t="n">
        <f aca="false">H4518*H4518</f>
        <v>0</v>
      </c>
      <c r="X4518" s="0" t="n">
        <f aca="false">SUMPRODUCT(I4518:W4518,_XtX!$B$96:$P$96)</f>
        <v>44.8610836988304</v>
      </c>
      <c r="Y4518" s="0" t="n">
        <f aca="false">SUMPRODUCT(MMULT(I4518:W4518,_XtX!$B$78:$P$92),I4518:W4518)</f>
        <v>0.21305052997076</v>
      </c>
      <c r="Z4518" s="0" t="n">
        <f aca="false">04_回帰ANOVA!$K$19*04_回帰ANOVA!$K$14*SQRT(1+Y4518)</f>
        <v>1.43561450835061</v>
      </c>
      <c r="AA4518" s="0" t="n">
        <f aca="false">X4518-Z4518</f>
        <v>43.4254691904798</v>
      </c>
      <c r="AB4518" s="0" t="n">
        <f aca="false">X4518+Z4518</f>
        <v>46.296698207181</v>
      </c>
      <c r="AC4518" s="54" t="b">
        <f aca="false">AND(E4518&gt;=01_因子設定!$L$5-0.000000001,E4518&lt;=01_因子設定!$M$5+0.000000001,F4518&gt;=01_因子設定!$L$6-0.000000001,F4518&lt;=01_因子設定!$M$6+0.000000001,G4518&gt;=01_因子設定!$L$7-0.000000001,G4518&lt;=01_因子設定!$M$7+0.000000001,H4518&gt;=01_因子設定!$L$8-0.000000001,H4518&lt;=01_因子設定!$M$8+0.000000001,IF(01_因子設定!$B$20="Box-Behnken",E4518^2+F4518^2+G4518^2+H4518^2&lt;=2+0.000000001,TRUE()))</f>
        <v>1</v>
      </c>
      <c r="AD4518" s="55" t="n">
        <f aca="false">IF(AC4518,IF(01_因子設定!$B$13="最大化",AA4518-01_因子設定!$B$14,IF(01_因子設定!$B$13="最小化",01_因子設定!$B$15-AB4518,MIN(AA4518-01_因子設定!$B$14,01_因子設定!$B$15-AB4518))),-1E+030)</f>
        <v>-3.07453080952024</v>
      </c>
      <c r="AE4518" s="55" t="n">
        <f aca="false">IF(AC4518,IF(01_因子設定!$B$13="最大化",X4518,IF(01_因子設定!$B$13="最小化",-X4518,-ABS(X4518-01_因子設定!$B$16))),-1E+030)</f>
        <v>44.8610836988304</v>
      </c>
      <c r="AF4518" s="55" t="n">
        <f aca="false">AD4518+ROW()*0.000000001</f>
        <v>-3.07452629152024</v>
      </c>
      <c r="AG4518" s="55" t="n">
        <f aca="false">AE4518+ROW()*0.000000001</f>
        <v>44.8610882168304</v>
      </c>
    </row>
    <row r="4519" customFormat="false" ht="15" hidden="false" customHeight="false" outlineLevel="0" collapsed="false">
      <c r="A4519" s="0" t="n">
        <v>6</v>
      </c>
      <c r="B4519" s="0" t="n">
        <v>1</v>
      </c>
      <c r="C4519" s="0" t="n">
        <v>6</v>
      </c>
      <c r="D4519" s="0" t="n">
        <v>5</v>
      </c>
      <c r="E4519" s="0" t="n">
        <f aca="false">-1+A4519*0.25</f>
        <v>0.5</v>
      </c>
      <c r="F4519" s="0" t="n">
        <f aca="false">-1+B4519*0.25</f>
        <v>-0.75</v>
      </c>
      <c r="G4519" s="0" t="n">
        <f aca="false">-1+C4519*0.25</f>
        <v>0.5</v>
      </c>
      <c r="H4519" s="0" t="n">
        <f aca="false">-1+D4519*0.25</f>
        <v>0.25</v>
      </c>
      <c r="I4519" s="0" t="n">
        <f aca="false">1</f>
        <v>1</v>
      </c>
      <c r="J4519" s="0" t="n">
        <f aca="false">E4519</f>
        <v>0.5</v>
      </c>
      <c r="K4519" s="0" t="n">
        <f aca="false">F4519</f>
        <v>-0.75</v>
      </c>
      <c r="L4519" s="0" t="n">
        <f aca="false">G4519</f>
        <v>0.5</v>
      </c>
      <c r="M4519" s="0" t="n">
        <f aca="false">H4519</f>
        <v>0.25</v>
      </c>
      <c r="N4519" s="0" t="n">
        <f aca="false">E4519*F4519</f>
        <v>-0.375</v>
      </c>
      <c r="O4519" s="0" t="n">
        <f aca="false">E4519*G4519</f>
        <v>0.25</v>
      </c>
      <c r="P4519" s="0" t="n">
        <f aca="false">E4519*H4519</f>
        <v>0.125</v>
      </c>
      <c r="Q4519" s="0" t="n">
        <f aca="false">F4519*G4519</f>
        <v>-0.375</v>
      </c>
      <c r="R4519" s="0" t="n">
        <f aca="false">F4519*H4519</f>
        <v>-0.1875</v>
      </c>
      <c r="S4519" s="0" t="n">
        <f aca="false">G4519*H4519</f>
        <v>0.125</v>
      </c>
      <c r="T4519" s="0" t="n">
        <f aca="false">E4519*E4519</f>
        <v>0.25</v>
      </c>
      <c r="U4519" s="0" t="n">
        <f aca="false">F4519*F4519</f>
        <v>0.5625</v>
      </c>
      <c r="V4519" s="0" t="n">
        <f aca="false">G4519*G4519</f>
        <v>0.25</v>
      </c>
      <c r="W4519" s="0" t="n">
        <f aca="false">H4519*H4519</f>
        <v>0.0625</v>
      </c>
      <c r="X4519" s="0" t="n">
        <f aca="false">SUMPRODUCT(I4519:W4519,_XtX!$B$96:$P$96)</f>
        <v>45.0299753289473</v>
      </c>
      <c r="Y4519" s="0" t="n">
        <f aca="false">SUMPRODUCT(MMULT(I4519:W4519,_XtX!$B$78:$P$92),I4519:W4519)</f>
        <v>0.203746059484649</v>
      </c>
      <c r="Z4519" s="0" t="n">
        <f aca="false">04_回帰ANOVA!$K$19*04_回帰ANOVA!$K$14*SQRT(1+Y4519)</f>
        <v>1.43009810755465</v>
      </c>
      <c r="AA4519" s="0" t="n">
        <f aca="false">X4519-Z4519</f>
        <v>43.5998772213927</v>
      </c>
      <c r="AB4519" s="0" t="n">
        <f aca="false">X4519+Z4519</f>
        <v>46.460073436502</v>
      </c>
      <c r="AC4519" s="54" t="b">
        <f aca="false">AND(E4519&gt;=01_因子設定!$L$5-0.000000001,E4519&lt;=01_因子設定!$M$5+0.000000001,F4519&gt;=01_因子設定!$L$6-0.000000001,F4519&lt;=01_因子設定!$M$6+0.000000001,G4519&gt;=01_因子設定!$L$7-0.000000001,G4519&lt;=01_因子設定!$M$7+0.000000001,H4519&gt;=01_因子設定!$L$8-0.000000001,H4519&lt;=01_因子設定!$M$8+0.000000001,IF(01_因子設定!$B$20="Box-Behnken",E4519^2+F4519^2+G4519^2+H4519^2&lt;=2+0.000000001,TRUE()))</f>
        <v>1</v>
      </c>
      <c r="AD4519" s="55" t="n">
        <f aca="false">IF(AC4519,IF(01_因子設定!$B$13="最大化",AA4519-01_因子設定!$B$14,IF(01_因子設定!$B$13="最小化",01_因子設定!$B$15-AB4519,MIN(AA4519-01_因子設定!$B$14,01_因子設定!$B$15-AB4519))),-1E+030)</f>
        <v>-2.90012277860732</v>
      </c>
      <c r="AE4519" s="55" t="n">
        <f aca="false">IF(AC4519,IF(01_因子設定!$B$13="最大化",X4519,IF(01_因子設定!$B$13="最小化",-X4519,-ABS(X4519-01_因子設定!$B$16))),-1E+030)</f>
        <v>45.0299753289473</v>
      </c>
      <c r="AF4519" s="55" t="n">
        <f aca="false">AD4519+ROW()*0.000000001</f>
        <v>-2.90011825960732</v>
      </c>
      <c r="AG4519" s="55" t="n">
        <f aca="false">AE4519+ROW()*0.000000001</f>
        <v>45.0299798479473</v>
      </c>
    </row>
    <row r="4520" customFormat="false" ht="15" hidden="false" customHeight="false" outlineLevel="0" collapsed="false">
      <c r="A4520" s="0" t="n">
        <v>6</v>
      </c>
      <c r="B4520" s="0" t="n">
        <v>1</v>
      </c>
      <c r="C4520" s="0" t="n">
        <v>6</v>
      </c>
      <c r="D4520" s="0" t="n">
        <v>6</v>
      </c>
      <c r="E4520" s="0" t="n">
        <f aca="false">-1+A4520*0.25</f>
        <v>0.5</v>
      </c>
      <c r="F4520" s="0" t="n">
        <f aca="false">-1+B4520*0.25</f>
        <v>-0.75</v>
      </c>
      <c r="G4520" s="0" t="n">
        <f aca="false">-1+C4520*0.25</f>
        <v>0.5</v>
      </c>
      <c r="H4520" s="0" t="n">
        <f aca="false">-1+D4520*0.25</f>
        <v>0.5</v>
      </c>
      <c r="I4520" s="0" t="n">
        <f aca="false">1</f>
        <v>1</v>
      </c>
      <c r="J4520" s="0" t="n">
        <f aca="false">E4520</f>
        <v>0.5</v>
      </c>
      <c r="K4520" s="0" t="n">
        <f aca="false">F4520</f>
        <v>-0.75</v>
      </c>
      <c r="L4520" s="0" t="n">
        <f aca="false">G4520</f>
        <v>0.5</v>
      </c>
      <c r="M4520" s="0" t="n">
        <f aca="false">H4520</f>
        <v>0.5</v>
      </c>
      <c r="N4520" s="0" t="n">
        <f aca="false">E4520*F4520</f>
        <v>-0.375</v>
      </c>
      <c r="O4520" s="0" t="n">
        <f aca="false">E4520*G4520</f>
        <v>0.25</v>
      </c>
      <c r="P4520" s="0" t="n">
        <f aca="false">E4520*H4520</f>
        <v>0.25</v>
      </c>
      <c r="Q4520" s="0" t="n">
        <f aca="false">F4520*G4520</f>
        <v>-0.375</v>
      </c>
      <c r="R4520" s="0" t="n">
        <f aca="false">F4520*H4520</f>
        <v>-0.375</v>
      </c>
      <c r="S4520" s="0" t="n">
        <f aca="false">G4520*H4520</f>
        <v>0.25</v>
      </c>
      <c r="T4520" s="0" t="n">
        <f aca="false">E4520*E4520</f>
        <v>0.25</v>
      </c>
      <c r="U4520" s="0" t="n">
        <f aca="false">F4520*F4520</f>
        <v>0.5625</v>
      </c>
      <c r="V4520" s="0" t="n">
        <f aca="false">G4520*G4520</f>
        <v>0.25</v>
      </c>
      <c r="W4520" s="0" t="n">
        <f aca="false">H4520*H4520</f>
        <v>0.25</v>
      </c>
      <c r="X4520" s="0" t="n">
        <f aca="false">SUMPRODUCT(I4520:W4520,_XtX!$B$96:$P$96)</f>
        <v>45.1510599415204</v>
      </c>
      <c r="Y4520" s="0" t="n">
        <f aca="false">SUMPRODUCT(MMULT(I4520:W4520,_XtX!$B$78:$P$92),I4520:W4520)</f>
        <v>0.193924753289474</v>
      </c>
      <c r="Z4520" s="0" t="n">
        <f aca="false">04_回帰ANOVA!$K$19*04_回帰ANOVA!$K$14*SQRT(1+Y4520)</f>
        <v>1.4242521079916</v>
      </c>
      <c r="AA4520" s="0" t="n">
        <f aca="false">X4520-Z4520</f>
        <v>43.7268078335288</v>
      </c>
      <c r="AB4520" s="0" t="n">
        <f aca="false">X4520+Z4520</f>
        <v>46.575312049512</v>
      </c>
      <c r="AC4520" s="54" t="b">
        <f aca="false">AND(E4520&gt;=01_因子設定!$L$5-0.000000001,E4520&lt;=01_因子設定!$M$5+0.000000001,F4520&gt;=01_因子設定!$L$6-0.000000001,F4520&lt;=01_因子設定!$M$6+0.000000001,G4520&gt;=01_因子設定!$L$7-0.000000001,G4520&lt;=01_因子設定!$M$7+0.000000001,H4520&gt;=01_因子設定!$L$8-0.000000001,H4520&lt;=01_因子設定!$M$8+0.000000001,IF(01_因子設定!$B$20="Box-Behnken",E4520^2+F4520^2+G4520^2+H4520^2&lt;=2+0.000000001,TRUE()))</f>
        <v>1</v>
      </c>
      <c r="AD4520" s="55" t="n">
        <f aca="false">IF(AC4520,IF(01_因子設定!$B$13="最大化",AA4520-01_因子設定!$B$14,IF(01_因子設定!$B$13="最小化",01_因子設定!$B$15-AB4520,MIN(AA4520-01_因子設定!$B$14,01_因子設定!$B$15-AB4520))),-1E+030)</f>
        <v>-2.77319216647117</v>
      </c>
      <c r="AE4520" s="55" t="n">
        <f aca="false">IF(AC4520,IF(01_因子設定!$B$13="最大化",X4520,IF(01_因子設定!$B$13="最小化",-X4520,-ABS(X4520-01_因子設定!$B$16))),-1E+030)</f>
        <v>45.1510599415204</v>
      </c>
      <c r="AF4520" s="55" t="n">
        <f aca="false">AD4520+ROW()*0.000000001</f>
        <v>-2.77318764647117</v>
      </c>
      <c r="AG4520" s="55" t="n">
        <f aca="false">AE4520+ROW()*0.000000001</f>
        <v>45.1510644615204</v>
      </c>
    </row>
    <row r="4521" customFormat="false" ht="15" hidden="false" customHeight="false" outlineLevel="0" collapsed="false">
      <c r="A4521" s="0" t="n">
        <v>6</v>
      </c>
      <c r="B4521" s="0" t="n">
        <v>1</v>
      </c>
      <c r="C4521" s="0" t="n">
        <v>6</v>
      </c>
      <c r="D4521" s="0" t="n">
        <v>7</v>
      </c>
      <c r="E4521" s="0" t="n">
        <f aca="false">-1+A4521*0.25</f>
        <v>0.5</v>
      </c>
      <c r="F4521" s="0" t="n">
        <f aca="false">-1+B4521*0.25</f>
        <v>-0.75</v>
      </c>
      <c r="G4521" s="0" t="n">
        <f aca="false">-1+C4521*0.25</f>
        <v>0.5</v>
      </c>
      <c r="H4521" s="0" t="n">
        <f aca="false">-1+D4521*0.25</f>
        <v>0.75</v>
      </c>
      <c r="I4521" s="0" t="n">
        <f aca="false">1</f>
        <v>1</v>
      </c>
      <c r="J4521" s="0" t="n">
        <f aca="false">E4521</f>
        <v>0.5</v>
      </c>
      <c r="K4521" s="0" t="n">
        <f aca="false">F4521</f>
        <v>-0.75</v>
      </c>
      <c r="L4521" s="0" t="n">
        <f aca="false">G4521</f>
        <v>0.5</v>
      </c>
      <c r="M4521" s="0" t="n">
        <f aca="false">H4521</f>
        <v>0.75</v>
      </c>
      <c r="N4521" s="0" t="n">
        <f aca="false">E4521*F4521</f>
        <v>-0.375</v>
      </c>
      <c r="O4521" s="0" t="n">
        <f aca="false">E4521*G4521</f>
        <v>0.25</v>
      </c>
      <c r="P4521" s="0" t="n">
        <f aca="false">E4521*H4521</f>
        <v>0.375</v>
      </c>
      <c r="Q4521" s="0" t="n">
        <f aca="false">F4521*G4521</f>
        <v>-0.375</v>
      </c>
      <c r="R4521" s="0" t="n">
        <f aca="false">F4521*H4521</f>
        <v>-0.5625</v>
      </c>
      <c r="S4521" s="0" t="n">
        <f aca="false">G4521*H4521</f>
        <v>0.375</v>
      </c>
      <c r="T4521" s="0" t="n">
        <f aca="false">E4521*E4521</f>
        <v>0.25</v>
      </c>
      <c r="U4521" s="0" t="n">
        <f aca="false">F4521*F4521</f>
        <v>0.5625</v>
      </c>
      <c r="V4521" s="0" t="n">
        <f aca="false">G4521*G4521</f>
        <v>0.25</v>
      </c>
      <c r="W4521" s="0" t="n">
        <f aca="false">H4521*H4521</f>
        <v>0.5625</v>
      </c>
      <c r="X4521" s="0" t="n">
        <f aca="false">SUMPRODUCT(I4521:W4521,_XtX!$B$96:$P$96)</f>
        <v>45.2243375365497</v>
      </c>
      <c r="Y4521" s="0" t="n">
        <f aca="false">SUMPRODUCT(MMULT(I4521:W4521,_XtX!$B$78:$P$92),I4521:W4521)</f>
        <v>0.237862927174708</v>
      </c>
      <c r="Z4521" s="0" t="n">
        <f aca="false">04_回帰ANOVA!$K$19*04_回帰ANOVA!$K$14*SQRT(1+Y4521)</f>
        <v>1.45022260708756</v>
      </c>
      <c r="AA4521" s="0" t="n">
        <f aca="false">X4521-Z4521</f>
        <v>43.7741149294621</v>
      </c>
      <c r="AB4521" s="0" t="n">
        <f aca="false">X4521+Z4521</f>
        <v>46.6745601436372</v>
      </c>
      <c r="AC4521" s="54" t="b">
        <f aca="false">AND(E4521&gt;=01_因子設定!$L$5-0.000000001,E4521&lt;=01_因子設定!$M$5+0.000000001,F4521&gt;=01_因子設定!$L$6-0.000000001,F4521&lt;=01_因子設定!$M$6+0.000000001,G4521&gt;=01_因子設定!$L$7-0.000000001,G4521&lt;=01_因子設定!$M$7+0.000000001,H4521&gt;=01_因子設定!$L$8-0.000000001,H4521&lt;=01_因子設定!$M$8+0.000000001,IF(01_因子設定!$B$20="Box-Behnken",E4521^2+F4521^2+G4521^2+H4521^2&lt;=2+0.000000001,TRUE()))</f>
        <v>1</v>
      </c>
      <c r="AD4521" s="55" t="n">
        <f aca="false">IF(AC4521,IF(01_因子設定!$B$13="最大化",AA4521-01_因子設定!$B$14,IF(01_因子設定!$B$13="最小化",01_因子設定!$B$15-AB4521,MIN(AA4521-01_因子設定!$B$14,01_因子設定!$B$15-AB4521))),-1E+030)</f>
        <v>-2.72588507053788</v>
      </c>
      <c r="AE4521" s="55" t="n">
        <f aca="false">IF(AC4521,IF(01_因子設定!$B$13="最大化",X4521,IF(01_因子設定!$B$13="最小化",-X4521,-ABS(X4521-01_因子設定!$B$16))),-1E+030)</f>
        <v>45.2243375365497</v>
      </c>
      <c r="AF4521" s="55" t="n">
        <f aca="false">AD4521+ROW()*0.000000001</f>
        <v>-2.72588054953788</v>
      </c>
      <c r="AG4521" s="55" t="n">
        <f aca="false">AE4521+ROW()*0.000000001</f>
        <v>45.2243420575497</v>
      </c>
    </row>
    <row r="4522" customFormat="false" ht="15" hidden="false" customHeight="false" outlineLevel="0" collapsed="false">
      <c r="A4522" s="0" t="n">
        <v>6</v>
      </c>
      <c r="B4522" s="0" t="n">
        <v>1</v>
      </c>
      <c r="C4522" s="0" t="n">
        <v>6</v>
      </c>
      <c r="D4522" s="0" t="n">
        <v>8</v>
      </c>
      <c r="E4522" s="0" t="n">
        <f aca="false">-1+A4522*0.25</f>
        <v>0.5</v>
      </c>
      <c r="F4522" s="0" t="n">
        <f aca="false">-1+B4522*0.25</f>
        <v>-0.75</v>
      </c>
      <c r="G4522" s="0" t="n">
        <f aca="false">-1+C4522*0.25</f>
        <v>0.5</v>
      </c>
      <c r="H4522" s="0" t="n">
        <f aca="false">-1+D4522*0.25</f>
        <v>1</v>
      </c>
      <c r="I4522" s="0" t="n">
        <f aca="false">1</f>
        <v>1</v>
      </c>
      <c r="J4522" s="0" t="n">
        <f aca="false">E4522</f>
        <v>0.5</v>
      </c>
      <c r="K4522" s="0" t="n">
        <f aca="false">F4522</f>
        <v>-0.75</v>
      </c>
      <c r="L4522" s="0" t="n">
        <f aca="false">G4522</f>
        <v>0.5</v>
      </c>
      <c r="M4522" s="0" t="n">
        <f aca="false">H4522</f>
        <v>1</v>
      </c>
      <c r="N4522" s="0" t="n">
        <f aca="false">E4522*F4522</f>
        <v>-0.375</v>
      </c>
      <c r="O4522" s="0" t="n">
        <f aca="false">E4522*G4522</f>
        <v>0.25</v>
      </c>
      <c r="P4522" s="0" t="n">
        <f aca="false">E4522*H4522</f>
        <v>0.5</v>
      </c>
      <c r="Q4522" s="0" t="n">
        <f aca="false">F4522*G4522</f>
        <v>-0.375</v>
      </c>
      <c r="R4522" s="0" t="n">
        <f aca="false">F4522*H4522</f>
        <v>-0.75</v>
      </c>
      <c r="S4522" s="0" t="n">
        <f aca="false">G4522*H4522</f>
        <v>0.5</v>
      </c>
      <c r="T4522" s="0" t="n">
        <f aca="false">E4522*E4522</f>
        <v>0.25</v>
      </c>
      <c r="U4522" s="0" t="n">
        <f aca="false">F4522*F4522</f>
        <v>0.5625</v>
      </c>
      <c r="V4522" s="0" t="n">
        <f aca="false">G4522*G4522</f>
        <v>0.25</v>
      </c>
      <c r="W4522" s="0" t="n">
        <f aca="false">H4522*H4522</f>
        <v>1</v>
      </c>
      <c r="X4522" s="0" t="n">
        <f aca="false">SUMPRODUCT(I4522:W4522,_XtX!$B$96:$P$96)</f>
        <v>45.2498081140351</v>
      </c>
      <c r="Y4522" s="0" t="n">
        <f aca="false">SUMPRODUCT(MMULT(I4522:W4522,_XtX!$B$78:$P$92),I4522:W4522)</f>
        <v>0.42602110745614</v>
      </c>
      <c r="Z4522" s="0" t="n">
        <f aca="false">04_回帰ANOVA!$K$19*04_回帰ANOVA!$K$14*SQRT(1+Y4522)</f>
        <v>1.55654388501114</v>
      </c>
      <c r="AA4522" s="0" t="n">
        <f aca="false">X4522-Z4522</f>
        <v>43.6932642290239</v>
      </c>
      <c r="AB4522" s="0" t="n">
        <f aca="false">X4522+Z4522</f>
        <v>46.8063519990462</v>
      </c>
      <c r="AC4522" s="54" t="b">
        <f aca="false">AND(E4522&gt;=01_因子設定!$L$5-0.000000001,E4522&lt;=01_因子設定!$M$5+0.000000001,F4522&gt;=01_因子設定!$L$6-0.000000001,F4522&lt;=01_因子設定!$M$6+0.000000001,G4522&gt;=01_因子設定!$L$7-0.000000001,G4522&lt;=01_因子設定!$M$7+0.000000001,H4522&gt;=01_因子設定!$L$8-0.000000001,H4522&lt;=01_因子設定!$M$8+0.000000001,IF(01_因子設定!$B$20="Box-Behnken",E4522^2+F4522^2+G4522^2+H4522^2&lt;=2+0.000000001,TRUE()))</f>
        <v>1</v>
      </c>
      <c r="AD4522" s="55" t="n">
        <f aca="false">IF(AC4522,IF(01_因子設定!$B$13="最大化",AA4522-01_因子設定!$B$14,IF(01_因子設定!$B$13="最小化",01_因子設定!$B$15-AB4522,MIN(AA4522-01_因子設定!$B$14,01_因子設定!$B$15-AB4522))),-1E+030)</f>
        <v>-2.80673577097605</v>
      </c>
      <c r="AE4522" s="55" t="n">
        <f aca="false">IF(AC4522,IF(01_因子設定!$B$13="最大化",X4522,IF(01_因子設定!$B$13="最小化",-X4522,-ABS(X4522-01_因子設定!$B$16))),-1E+030)</f>
        <v>45.2498081140351</v>
      </c>
      <c r="AF4522" s="55" t="n">
        <f aca="false">AD4522+ROW()*0.000000001</f>
        <v>-2.80673124897605</v>
      </c>
      <c r="AG4522" s="55" t="n">
        <f aca="false">AE4522+ROW()*0.000000001</f>
        <v>45.2498126360351</v>
      </c>
    </row>
    <row r="4523" customFormat="false" ht="15" hidden="false" customHeight="false" outlineLevel="0" collapsed="false">
      <c r="A4523" s="0" t="n">
        <v>6</v>
      </c>
      <c r="B4523" s="0" t="n">
        <v>1</v>
      </c>
      <c r="C4523" s="0" t="n">
        <v>7</v>
      </c>
      <c r="D4523" s="0" t="n">
        <v>0</v>
      </c>
      <c r="E4523" s="0" t="n">
        <f aca="false">-1+A4523*0.25</f>
        <v>0.5</v>
      </c>
      <c r="F4523" s="0" t="n">
        <f aca="false">-1+B4523*0.25</f>
        <v>-0.75</v>
      </c>
      <c r="G4523" s="0" t="n">
        <f aca="false">-1+C4523*0.25</f>
        <v>0.75</v>
      </c>
      <c r="H4523" s="0" t="n">
        <f aca="false">-1+D4523*0.25</f>
        <v>-1</v>
      </c>
      <c r="I4523" s="0" t="n">
        <f aca="false">1</f>
        <v>1</v>
      </c>
      <c r="J4523" s="0" t="n">
        <f aca="false">E4523</f>
        <v>0.5</v>
      </c>
      <c r="K4523" s="0" t="n">
        <f aca="false">F4523</f>
        <v>-0.75</v>
      </c>
      <c r="L4523" s="0" t="n">
        <f aca="false">G4523</f>
        <v>0.75</v>
      </c>
      <c r="M4523" s="0" t="n">
        <f aca="false">H4523</f>
        <v>-1</v>
      </c>
      <c r="N4523" s="0" t="n">
        <f aca="false">E4523*F4523</f>
        <v>-0.375</v>
      </c>
      <c r="O4523" s="0" t="n">
        <f aca="false">E4523*G4523</f>
        <v>0.375</v>
      </c>
      <c r="P4523" s="0" t="n">
        <f aca="false">E4523*H4523</f>
        <v>-0.5</v>
      </c>
      <c r="Q4523" s="0" t="n">
        <f aca="false">F4523*G4523</f>
        <v>-0.5625</v>
      </c>
      <c r="R4523" s="0" t="n">
        <f aca="false">F4523*H4523</f>
        <v>0.75</v>
      </c>
      <c r="S4523" s="0" t="n">
        <f aca="false">G4523*H4523</f>
        <v>-0.75</v>
      </c>
      <c r="T4523" s="0" t="n">
        <f aca="false">E4523*E4523</f>
        <v>0.25</v>
      </c>
      <c r="U4523" s="0" t="n">
        <f aca="false">F4523*F4523</f>
        <v>0.5625</v>
      </c>
      <c r="V4523" s="0" t="n">
        <f aca="false">G4523*G4523</f>
        <v>0.5625</v>
      </c>
      <c r="W4523" s="0" t="n">
        <f aca="false">H4523*H4523</f>
        <v>1</v>
      </c>
      <c r="X4523" s="0" t="n">
        <f aca="false">SUMPRODUCT(I4523:W4523,_XtX!$B$96:$P$96)</f>
        <v>43.5282940423977</v>
      </c>
      <c r="Y4523" s="0" t="n">
        <f aca="false">SUMPRODUCT(MMULT(I4523:W4523,_XtX!$B$78:$P$92),I4523:W4523)</f>
        <v>0.431153771472953</v>
      </c>
      <c r="Z4523" s="0" t="n">
        <f aca="false">04_回帰ANOVA!$K$19*04_回帰ANOVA!$K$14*SQRT(1+Y4523)</f>
        <v>1.55934259562563</v>
      </c>
      <c r="AA4523" s="0" t="n">
        <f aca="false">X4523-Z4523</f>
        <v>41.968951446772</v>
      </c>
      <c r="AB4523" s="0" t="n">
        <f aca="false">X4523+Z4523</f>
        <v>45.0876366380233</v>
      </c>
      <c r="AC4523" s="54" t="b">
        <f aca="false">AND(E4523&gt;=01_因子設定!$L$5-0.000000001,E4523&lt;=01_因子設定!$M$5+0.000000001,F4523&gt;=01_因子設定!$L$6-0.000000001,F4523&lt;=01_因子設定!$M$6+0.000000001,G4523&gt;=01_因子設定!$L$7-0.000000001,G4523&lt;=01_因子設定!$M$7+0.000000001,H4523&gt;=01_因子設定!$L$8-0.000000001,H4523&lt;=01_因子設定!$M$8+0.000000001,IF(01_因子設定!$B$20="Box-Behnken",E4523^2+F4523^2+G4523^2+H4523^2&lt;=2+0.000000001,TRUE()))</f>
        <v>1</v>
      </c>
      <c r="AD4523" s="55" t="n">
        <f aca="false">IF(AC4523,IF(01_因子設定!$B$13="最大化",AA4523-01_因子設定!$B$14,IF(01_因子設定!$B$13="最小化",01_因子設定!$B$15-AB4523,MIN(AA4523-01_因子設定!$B$14,01_因子設定!$B$15-AB4523))),-1E+030)</f>
        <v>-4.53104855322798</v>
      </c>
      <c r="AE4523" s="55" t="n">
        <f aca="false">IF(AC4523,IF(01_因子設定!$B$13="最大化",X4523,IF(01_因子設定!$B$13="最小化",-X4523,-ABS(X4523-01_因子設定!$B$16))),-1E+030)</f>
        <v>43.5282940423977</v>
      </c>
      <c r="AF4523" s="55" t="n">
        <f aca="false">AD4523+ROW()*0.000000001</f>
        <v>-4.53104403022798</v>
      </c>
      <c r="AG4523" s="55" t="n">
        <f aca="false">AE4523+ROW()*0.000000001</f>
        <v>43.5282985653977</v>
      </c>
    </row>
    <row r="4524" customFormat="false" ht="15" hidden="false" customHeight="false" outlineLevel="0" collapsed="false">
      <c r="A4524" s="0" t="n">
        <v>6</v>
      </c>
      <c r="B4524" s="0" t="n">
        <v>1</v>
      </c>
      <c r="C4524" s="0" t="n">
        <v>7</v>
      </c>
      <c r="D4524" s="0" t="n">
        <v>1</v>
      </c>
      <c r="E4524" s="0" t="n">
        <f aca="false">-1+A4524*0.25</f>
        <v>0.5</v>
      </c>
      <c r="F4524" s="0" t="n">
        <f aca="false">-1+B4524*0.25</f>
        <v>-0.75</v>
      </c>
      <c r="G4524" s="0" t="n">
        <f aca="false">-1+C4524*0.25</f>
        <v>0.75</v>
      </c>
      <c r="H4524" s="0" t="n">
        <f aca="false">-1+D4524*0.25</f>
        <v>-0.75</v>
      </c>
      <c r="I4524" s="0" t="n">
        <f aca="false">1</f>
        <v>1</v>
      </c>
      <c r="J4524" s="0" t="n">
        <f aca="false">E4524</f>
        <v>0.5</v>
      </c>
      <c r="K4524" s="0" t="n">
        <f aca="false">F4524</f>
        <v>-0.75</v>
      </c>
      <c r="L4524" s="0" t="n">
        <f aca="false">G4524</f>
        <v>0.75</v>
      </c>
      <c r="M4524" s="0" t="n">
        <f aca="false">H4524</f>
        <v>-0.75</v>
      </c>
      <c r="N4524" s="0" t="n">
        <f aca="false">E4524*F4524</f>
        <v>-0.375</v>
      </c>
      <c r="O4524" s="0" t="n">
        <f aca="false">E4524*G4524</f>
        <v>0.375</v>
      </c>
      <c r="P4524" s="0" t="n">
        <f aca="false">E4524*H4524</f>
        <v>-0.375</v>
      </c>
      <c r="Q4524" s="0" t="n">
        <f aca="false">F4524*G4524</f>
        <v>-0.5625</v>
      </c>
      <c r="R4524" s="0" t="n">
        <f aca="false">F4524*H4524</f>
        <v>0.5625</v>
      </c>
      <c r="S4524" s="0" t="n">
        <f aca="false">G4524*H4524</f>
        <v>-0.5625</v>
      </c>
      <c r="T4524" s="0" t="n">
        <f aca="false">E4524*E4524</f>
        <v>0.25</v>
      </c>
      <c r="U4524" s="0" t="n">
        <f aca="false">F4524*F4524</f>
        <v>0.5625</v>
      </c>
      <c r="V4524" s="0" t="n">
        <f aca="false">G4524*G4524</f>
        <v>0.5625</v>
      </c>
      <c r="W4524" s="0" t="n">
        <f aca="false">H4524*H4524</f>
        <v>0.5625</v>
      </c>
      <c r="X4524" s="0" t="n">
        <f aca="false">SUMPRODUCT(I4524:W4524,_XtX!$B$96:$P$96)</f>
        <v>43.90638249269</v>
      </c>
      <c r="Y4524" s="0" t="n">
        <f aca="false">SUMPRODUCT(MMULT(I4524:W4524,_XtX!$B$78:$P$92),I4524:W4524)</f>
        <v>0.265632138614766</v>
      </c>
      <c r="Z4524" s="0" t="n">
        <f aca="false">04_回帰ANOVA!$K$19*04_回帰ANOVA!$K$14*SQRT(1+Y4524)</f>
        <v>1.46639894654257</v>
      </c>
      <c r="AA4524" s="0" t="n">
        <f aca="false">X4524-Z4524</f>
        <v>42.4399835461475</v>
      </c>
      <c r="AB4524" s="0" t="n">
        <f aca="false">X4524+Z4524</f>
        <v>45.3727814392326</v>
      </c>
      <c r="AC4524" s="54" t="b">
        <f aca="false">AND(E4524&gt;=01_因子設定!$L$5-0.000000001,E4524&lt;=01_因子設定!$M$5+0.000000001,F4524&gt;=01_因子設定!$L$6-0.000000001,F4524&lt;=01_因子設定!$M$6+0.000000001,G4524&gt;=01_因子設定!$L$7-0.000000001,G4524&lt;=01_因子設定!$M$7+0.000000001,H4524&gt;=01_因子設定!$L$8-0.000000001,H4524&lt;=01_因子設定!$M$8+0.000000001,IF(01_因子設定!$B$20="Box-Behnken",E4524^2+F4524^2+G4524^2+H4524^2&lt;=2+0.000000001,TRUE()))</f>
        <v>1</v>
      </c>
      <c r="AD4524" s="55" t="n">
        <f aca="false">IF(AC4524,IF(01_因子設定!$B$13="最大化",AA4524-01_因子設定!$B$14,IF(01_因子設定!$B$13="最小化",01_因子設定!$B$15-AB4524,MIN(AA4524-01_因子設定!$B$14,01_因子設定!$B$15-AB4524))),-1E+030)</f>
        <v>-4.06001645385254</v>
      </c>
      <c r="AE4524" s="55" t="n">
        <f aca="false">IF(AC4524,IF(01_因子設定!$B$13="最大化",X4524,IF(01_因子設定!$B$13="最小化",-X4524,-ABS(X4524-01_因子設定!$B$16))),-1E+030)</f>
        <v>43.90638249269</v>
      </c>
      <c r="AF4524" s="55" t="n">
        <f aca="false">AD4524+ROW()*0.000000001</f>
        <v>-4.06001192985254</v>
      </c>
      <c r="AG4524" s="55" t="n">
        <f aca="false">AE4524+ROW()*0.000000001</f>
        <v>43.90638701669</v>
      </c>
    </row>
    <row r="4525" customFormat="false" ht="15" hidden="false" customHeight="false" outlineLevel="0" collapsed="false">
      <c r="A4525" s="0" t="n">
        <v>6</v>
      </c>
      <c r="B4525" s="0" t="n">
        <v>1</v>
      </c>
      <c r="C4525" s="0" t="n">
        <v>7</v>
      </c>
      <c r="D4525" s="0" t="n">
        <v>2</v>
      </c>
      <c r="E4525" s="0" t="n">
        <f aca="false">-1+A4525*0.25</f>
        <v>0.5</v>
      </c>
      <c r="F4525" s="0" t="n">
        <f aca="false">-1+B4525*0.25</f>
        <v>-0.75</v>
      </c>
      <c r="G4525" s="0" t="n">
        <f aca="false">-1+C4525*0.25</f>
        <v>0.75</v>
      </c>
      <c r="H4525" s="0" t="n">
        <f aca="false">-1+D4525*0.25</f>
        <v>-0.5</v>
      </c>
      <c r="I4525" s="0" t="n">
        <f aca="false">1</f>
        <v>1</v>
      </c>
      <c r="J4525" s="0" t="n">
        <f aca="false">E4525</f>
        <v>0.5</v>
      </c>
      <c r="K4525" s="0" t="n">
        <f aca="false">F4525</f>
        <v>-0.75</v>
      </c>
      <c r="L4525" s="0" t="n">
        <f aca="false">G4525</f>
        <v>0.75</v>
      </c>
      <c r="M4525" s="0" t="n">
        <f aca="false">H4525</f>
        <v>-0.5</v>
      </c>
      <c r="N4525" s="0" t="n">
        <f aca="false">E4525*F4525</f>
        <v>-0.375</v>
      </c>
      <c r="O4525" s="0" t="n">
        <f aca="false">E4525*G4525</f>
        <v>0.375</v>
      </c>
      <c r="P4525" s="0" t="n">
        <f aca="false">E4525*H4525</f>
        <v>-0.25</v>
      </c>
      <c r="Q4525" s="0" t="n">
        <f aca="false">F4525*G4525</f>
        <v>-0.5625</v>
      </c>
      <c r="R4525" s="0" t="n">
        <f aca="false">F4525*H4525</f>
        <v>0.375</v>
      </c>
      <c r="S4525" s="0" t="n">
        <f aca="false">G4525*H4525</f>
        <v>-0.375</v>
      </c>
      <c r="T4525" s="0" t="n">
        <f aca="false">E4525*E4525</f>
        <v>0.25</v>
      </c>
      <c r="U4525" s="0" t="n">
        <f aca="false">F4525*F4525</f>
        <v>0.5625</v>
      </c>
      <c r="V4525" s="0" t="n">
        <f aca="false">G4525*G4525</f>
        <v>0.5625</v>
      </c>
      <c r="W4525" s="0" t="n">
        <f aca="false">H4525*H4525</f>
        <v>0.25</v>
      </c>
      <c r="X4525" s="0" t="n">
        <f aca="false">SUMPRODUCT(I4525:W4525,_XtX!$B$96:$P$96)</f>
        <v>44.2366639254386</v>
      </c>
      <c r="Y4525" s="0" t="n">
        <f aca="false">SUMPRODUCT(MMULT(I4525:W4525,_XtX!$B$78:$P$92),I4525:W4525)</f>
        <v>0.237862927174708</v>
      </c>
      <c r="Z4525" s="0" t="n">
        <f aca="false">04_回帰ANOVA!$K$19*04_回帰ANOVA!$K$14*SQRT(1+Y4525)</f>
        <v>1.45022260708756</v>
      </c>
      <c r="AA4525" s="0" t="n">
        <f aca="false">X4525-Z4525</f>
        <v>42.786441318351</v>
      </c>
      <c r="AB4525" s="0" t="n">
        <f aca="false">X4525+Z4525</f>
        <v>45.6868865325261</v>
      </c>
      <c r="AC4525" s="54" t="b">
        <f aca="false">AND(E4525&gt;=01_因子設定!$L$5-0.000000001,E4525&lt;=01_因子設定!$M$5+0.000000001,F4525&gt;=01_因子設定!$L$6-0.000000001,F4525&lt;=01_因子設定!$M$6+0.000000001,G4525&gt;=01_因子設定!$L$7-0.000000001,G4525&lt;=01_因子設定!$M$7+0.000000001,H4525&gt;=01_因子設定!$L$8-0.000000001,H4525&lt;=01_因子設定!$M$8+0.000000001,IF(01_因子設定!$B$20="Box-Behnken",E4525^2+F4525^2+G4525^2+H4525^2&lt;=2+0.000000001,TRUE()))</f>
        <v>1</v>
      </c>
      <c r="AD4525" s="55" t="n">
        <f aca="false">IF(AC4525,IF(01_因子設定!$B$13="最大化",AA4525-01_因子設定!$B$14,IF(01_因子設定!$B$13="最小化",01_因子設定!$B$15-AB4525,MIN(AA4525-01_因子設定!$B$14,01_因子設定!$B$15-AB4525))),-1E+030)</f>
        <v>-3.713558681649</v>
      </c>
      <c r="AE4525" s="55" t="n">
        <f aca="false">IF(AC4525,IF(01_因子設定!$B$13="最大化",X4525,IF(01_因子設定!$B$13="最小化",-X4525,-ABS(X4525-01_因子設定!$B$16))),-1E+030)</f>
        <v>44.2366639254386</v>
      </c>
      <c r="AF4525" s="55" t="n">
        <f aca="false">AD4525+ROW()*0.000000001</f>
        <v>-3.713554156649</v>
      </c>
      <c r="AG4525" s="55" t="n">
        <f aca="false">AE4525+ROW()*0.000000001</f>
        <v>44.2366684504386</v>
      </c>
    </row>
    <row r="4526" customFormat="false" ht="15" hidden="false" customHeight="false" outlineLevel="0" collapsed="false">
      <c r="A4526" s="0" t="n">
        <v>6</v>
      </c>
      <c r="B4526" s="0" t="n">
        <v>1</v>
      </c>
      <c r="C4526" s="0" t="n">
        <v>7</v>
      </c>
      <c r="D4526" s="0" t="n">
        <v>3</v>
      </c>
      <c r="E4526" s="0" t="n">
        <f aca="false">-1+A4526*0.25</f>
        <v>0.5</v>
      </c>
      <c r="F4526" s="0" t="n">
        <f aca="false">-1+B4526*0.25</f>
        <v>-0.75</v>
      </c>
      <c r="G4526" s="0" t="n">
        <f aca="false">-1+C4526*0.25</f>
        <v>0.75</v>
      </c>
      <c r="H4526" s="0" t="n">
        <f aca="false">-1+D4526*0.25</f>
        <v>-0.25</v>
      </c>
      <c r="I4526" s="0" t="n">
        <f aca="false">1</f>
        <v>1</v>
      </c>
      <c r="J4526" s="0" t="n">
        <f aca="false">E4526</f>
        <v>0.5</v>
      </c>
      <c r="K4526" s="0" t="n">
        <f aca="false">F4526</f>
        <v>-0.75</v>
      </c>
      <c r="L4526" s="0" t="n">
        <f aca="false">G4526</f>
        <v>0.75</v>
      </c>
      <c r="M4526" s="0" t="n">
        <f aca="false">H4526</f>
        <v>-0.25</v>
      </c>
      <c r="N4526" s="0" t="n">
        <f aca="false">E4526*F4526</f>
        <v>-0.375</v>
      </c>
      <c r="O4526" s="0" t="n">
        <f aca="false">E4526*G4526</f>
        <v>0.375</v>
      </c>
      <c r="P4526" s="0" t="n">
        <f aca="false">E4526*H4526</f>
        <v>-0.125</v>
      </c>
      <c r="Q4526" s="0" t="n">
        <f aca="false">F4526*G4526</f>
        <v>-0.5625</v>
      </c>
      <c r="R4526" s="0" t="n">
        <f aca="false">F4526*H4526</f>
        <v>0.1875</v>
      </c>
      <c r="S4526" s="0" t="n">
        <f aca="false">G4526*H4526</f>
        <v>-0.1875</v>
      </c>
      <c r="T4526" s="0" t="n">
        <f aca="false">E4526*E4526</f>
        <v>0.25</v>
      </c>
      <c r="U4526" s="0" t="n">
        <f aca="false">F4526*F4526</f>
        <v>0.5625</v>
      </c>
      <c r="V4526" s="0" t="n">
        <f aca="false">G4526*G4526</f>
        <v>0.5625</v>
      </c>
      <c r="W4526" s="0" t="n">
        <f aca="false">H4526*H4526</f>
        <v>0.0625</v>
      </c>
      <c r="X4526" s="0" t="n">
        <f aca="false">SUMPRODUCT(I4526:W4526,_XtX!$B$96:$P$96)</f>
        <v>44.5191383406432</v>
      </c>
      <c r="Y4526" s="0" t="n">
        <f aca="false">SUMPRODUCT(MMULT(I4526:W4526,_XtX!$B$78:$P$92),I4526:W4526)</f>
        <v>0.257385610836988</v>
      </c>
      <c r="Z4526" s="0" t="n">
        <f aca="false">04_回帰ANOVA!$K$19*04_回帰ANOVA!$K$14*SQRT(1+Y4526)</f>
        <v>1.46161380324158</v>
      </c>
      <c r="AA4526" s="0" t="n">
        <f aca="false">X4526-Z4526</f>
        <v>43.0575245374017</v>
      </c>
      <c r="AB4526" s="0" t="n">
        <f aca="false">X4526+Z4526</f>
        <v>45.9807521438848</v>
      </c>
      <c r="AC4526" s="54" t="b">
        <f aca="false">AND(E4526&gt;=01_因子設定!$L$5-0.000000001,E4526&lt;=01_因子設定!$M$5+0.000000001,F4526&gt;=01_因子設定!$L$6-0.000000001,F4526&lt;=01_因子設定!$M$6+0.000000001,G4526&gt;=01_因子設定!$L$7-0.000000001,G4526&lt;=01_因子設定!$M$7+0.000000001,H4526&gt;=01_因子設定!$L$8-0.000000001,H4526&lt;=01_因子設定!$M$8+0.000000001,IF(01_因子設定!$B$20="Box-Behnken",E4526^2+F4526^2+G4526^2+H4526^2&lt;=2+0.000000001,TRUE()))</f>
        <v>1</v>
      </c>
      <c r="AD4526" s="55" t="n">
        <f aca="false">IF(AC4526,IF(01_因子設定!$B$13="最大化",AA4526-01_因子設定!$B$14,IF(01_因子設定!$B$13="最小化",01_因子設定!$B$15-AB4526,MIN(AA4526-01_因子設定!$B$14,01_因子設定!$B$15-AB4526))),-1E+030)</f>
        <v>-3.44247546259835</v>
      </c>
      <c r="AE4526" s="55" t="n">
        <f aca="false">IF(AC4526,IF(01_因子設定!$B$13="最大化",X4526,IF(01_因子設定!$B$13="最小化",-X4526,-ABS(X4526-01_因子設定!$B$16))),-1E+030)</f>
        <v>44.5191383406432</v>
      </c>
      <c r="AF4526" s="55" t="n">
        <f aca="false">AD4526+ROW()*0.000000001</f>
        <v>-3.44247093659835</v>
      </c>
      <c r="AG4526" s="55" t="n">
        <f aca="false">AE4526+ROW()*0.000000001</f>
        <v>44.5191428666432</v>
      </c>
    </row>
    <row r="4527" customFormat="false" ht="15" hidden="false" customHeight="false" outlineLevel="0" collapsed="false">
      <c r="A4527" s="0" t="n">
        <v>6</v>
      </c>
      <c r="B4527" s="0" t="n">
        <v>1</v>
      </c>
      <c r="C4527" s="0" t="n">
        <v>7</v>
      </c>
      <c r="D4527" s="0" t="n">
        <v>4</v>
      </c>
      <c r="E4527" s="0" t="n">
        <f aca="false">-1+A4527*0.25</f>
        <v>0.5</v>
      </c>
      <c r="F4527" s="0" t="n">
        <f aca="false">-1+B4527*0.25</f>
        <v>-0.75</v>
      </c>
      <c r="G4527" s="0" t="n">
        <f aca="false">-1+C4527*0.25</f>
        <v>0.75</v>
      </c>
      <c r="H4527" s="0" t="n">
        <f aca="false">-1+D4527*0.25</f>
        <v>0</v>
      </c>
      <c r="I4527" s="0" t="n">
        <f aca="false">1</f>
        <v>1</v>
      </c>
      <c r="J4527" s="0" t="n">
        <f aca="false">E4527</f>
        <v>0.5</v>
      </c>
      <c r="K4527" s="0" t="n">
        <f aca="false">F4527</f>
        <v>-0.75</v>
      </c>
      <c r="L4527" s="0" t="n">
        <f aca="false">G4527</f>
        <v>0.75</v>
      </c>
      <c r="M4527" s="0" t="n">
        <f aca="false">H4527</f>
        <v>0</v>
      </c>
      <c r="N4527" s="0" t="n">
        <f aca="false">E4527*F4527</f>
        <v>-0.375</v>
      </c>
      <c r="O4527" s="0" t="n">
        <f aca="false">E4527*G4527</f>
        <v>0.375</v>
      </c>
      <c r="P4527" s="0" t="n">
        <f aca="false">E4527*H4527</f>
        <v>0</v>
      </c>
      <c r="Q4527" s="0" t="n">
        <f aca="false">F4527*G4527</f>
        <v>-0.5625</v>
      </c>
      <c r="R4527" s="0" t="n">
        <f aca="false">F4527*H4527</f>
        <v>-0</v>
      </c>
      <c r="S4527" s="0" t="n">
        <f aca="false">G4527*H4527</f>
        <v>0</v>
      </c>
      <c r="T4527" s="0" t="n">
        <f aca="false">E4527*E4527</f>
        <v>0.25</v>
      </c>
      <c r="U4527" s="0" t="n">
        <f aca="false">F4527*F4527</f>
        <v>0.5625</v>
      </c>
      <c r="V4527" s="0" t="n">
        <f aca="false">G4527*G4527</f>
        <v>0.5625</v>
      </c>
      <c r="W4527" s="0" t="n">
        <f aca="false">H4527*H4527</f>
        <v>0</v>
      </c>
      <c r="X4527" s="0" t="n">
        <f aca="false">SUMPRODUCT(I4527:W4527,_XtX!$B$96:$P$96)</f>
        <v>44.7538057383041</v>
      </c>
      <c r="Y4527" s="0" t="n">
        <f aca="false">SUMPRODUCT(MMULT(I4527:W4527,_XtX!$B$78:$P$92),I4527:W4527)</f>
        <v>0.269923873812135</v>
      </c>
      <c r="Z4527" s="0" t="n">
        <f aca="false">04_回帰ANOVA!$K$19*04_回帰ANOVA!$K$14*SQRT(1+Y4527)</f>
        <v>1.46888310825501</v>
      </c>
      <c r="AA4527" s="0" t="n">
        <f aca="false">X4527-Z4527</f>
        <v>43.284922630049</v>
      </c>
      <c r="AB4527" s="0" t="n">
        <f aca="false">X4527+Z4527</f>
        <v>46.2226888465591</v>
      </c>
      <c r="AC4527" s="54" t="b">
        <f aca="false">AND(E4527&gt;=01_因子設定!$L$5-0.000000001,E4527&lt;=01_因子設定!$M$5+0.000000001,F4527&gt;=01_因子設定!$L$6-0.000000001,F4527&lt;=01_因子設定!$M$6+0.000000001,G4527&gt;=01_因子設定!$L$7-0.000000001,G4527&lt;=01_因子設定!$M$7+0.000000001,H4527&gt;=01_因子設定!$L$8-0.000000001,H4527&lt;=01_因子設定!$M$8+0.000000001,IF(01_因子設定!$B$20="Box-Behnken",E4527^2+F4527^2+G4527^2+H4527^2&lt;=2+0.000000001,TRUE()))</f>
        <v>1</v>
      </c>
      <c r="AD4527" s="55" t="n">
        <f aca="false">IF(AC4527,IF(01_因子設定!$B$13="最大化",AA4527-01_因子設定!$B$14,IF(01_因子設定!$B$13="最小化",01_因子設定!$B$15-AB4527,MIN(AA4527-01_因子設定!$B$14,01_因子設定!$B$15-AB4527))),-1E+030)</f>
        <v>-3.21507736995095</v>
      </c>
      <c r="AE4527" s="55" t="n">
        <f aca="false">IF(AC4527,IF(01_因子設定!$B$13="最大化",X4527,IF(01_因子設定!$B$13="最小化",-X4527,-ABS(X4527-01_因子設定!$B$16))),-1E+030)</f>
        <v>44.7538057383041</v>
      </c>
      <c r="AF4527" s="55" t="n">
        <f aca="false">AD4527+ROW()*0.000000001</f>
        <v>-3.21507284295095</v>
      </c>
      <c r="AG4527" s="55" t="n">
        <f aca="false">AE4527+ROW()*0.000000001</f>
        <v>44.7538102653041</v>
      </c>
    </row>
    <row r="4528" customFormat="false" ht="15" hidden="false" customHeight="false" outlineLevel="0" collapsed="false">
      <c r="A4528" s="0" t="n">
        <v>6</v>
      </c>
      <c r="B4528" s="0" t="n">
        <v>1</v>
      </c>
      <c r="C4528" s="0" t="n">
        <v>7</v>
      </c>
      <c r="D4528" s="0" t="n">
        <v>5</v>
      </c>
      <c r="E4528" s="0" t="n">
        <f aca="false">-1+A4528*0.25</f>
        <v>0.5</v>
      </c>
      <c r="F4528" s="0" t="n">
        <f aca="false">-1+B4528*0.25</f>
        <v>-0.75</v>
      </c>
      <c r="G4528" s="0" t="n">
        <f aca="false">-1+C4528*0.25</f>
        <v>0.75</v>
      </c>
      <c r="H4528" s="0" t="n">
        <f aca="false">-1+D4528*0.25</f>
        <v>0.25</v>
      </c>
      <c r="I4528" s="0" t="n">
        <f aca="false">1</f>
        <v>1</v>
      </c>
      <c r="J4528" s="0" t="n">
        <f aca="false">E4528</f>
        <v>0.5</v>
      </c>
      <c r="K4528" s="0" t="n">
        <f aca="false">F4528</f>
        <v>-0.75</v>
      </c>
      <c r="L4528" s="0" t="n">
        <f aca="false">G4528</f>
        <v>0.75</v>
      </c>
      <c r="M4528" s="0" t="n">
        <f aca="false">H4528</f>
        <v>0.25</v>
      </c>
      <c r="N4528" s="0" t="n">
        <f aca="false">E4528*F4528</f>
        <v>-0.375</v>
      </c>
      <c r="O4528" s="0" t="n">
        <f aca="false">E4528*G4528</f>
        <v>0.375</v>
      </c>
      <c r="P4528" s="0" t="n">
        <f aca="false">E4528*H4528</f>
        <v>0.125</v>
      </c>
      <c r="Q4528" s="0" t="n">
        <f aca="false">F4528*G4528</f>
        <v>-0.5625</v>
      </c>
      <c r="R4528" s="0" t="n">
        <f aca="false">F4528*H4528</f>
        <v>-0.1875</v>
      </c>
      <c r="S4528" s="0" t="n">
        <f aca="false">G4528*H4528</f>
        <v>0.1875</v>
      </c>
      <c r="T4528" s="0" t="n">
        <f aca="false">E4528*E4528</f>
        <v>0.25</v>
      </c>
      <c r="U4528" s="0" t="n">
        <f aca="false">F4528*F4528</f>
        <v>0.5625</v>
      </c>
      <c r="V4528" s="0" t="n">
        <f aca="false">G4528*G4528</f>
        <v>0.5625</v>
      </c>
      <c r="W4528" s="0" t="n">
        <f aca="false">H4528*H4528</f>
        <v>0.0625</v>
      </c>
      <c r="X4528" s="0" t="n">
        <f aca="false">SUMPRODUCT(I4528:W4528,_XtX!$B$96:$P$96)</f>
        <v>44.940666118421</v>
      </c>
      <c r="Y4528" s="0" t="n">
        <f aca="false">SUMPRODUCT(MMULT(I4528:W4528,_XtX!$B$78:$P$92),I4528:W4528)</f>
        <v>0.257385610836988</v>
      </c>
      <c r="Z4528" s="0" t="n">
        <f aca="false">04_回帰ANOVA!$K$19*04_回帰ANOVA!$K$14*SQRT(1+Y4528)</f>
        <v>1.46161380324158</v>
      </c>
      <c r="AA4528" s="0" t="n">
        <f aca="false">X4528-Z4528</f>
        <v>43.4790523151794</v>
      </c>
      <c r="AB4528" s="0" t="n">
        <f aca="false">X4528+Z4528</f>
        <v>46.4022799216626</v>
      </c>
      <c r="AC4528" s="54" t="b">
        <f aca="false">AND(E4528&gt;=01_因子設定!$L$5-0.000000001,E4528&lt;=01_因子設定!$M$5+0.000000001,F4528&gt;=01_因子設定!$L$6-0.000000001,F4528&lt;=01_因子設定!$M$6+0.000000001,G4528&gt;=01_因子設定!$L$7-0.000000001,G4528&lt;=01_因子設定!$M$7+0.000000001,H4528&gt;=01_因子設定!$L$8-0.000000001,H4528&lt;=01_因子設定!$M$8+0.000000001,IF(01_因子設定!$B$20="Box-Behnken",E4528^2+F4528^2+G4528^2+H4528^2&lt;=2+0.000000001,TRUE()))</f>
        <v>1</v>
      </c>
      <c r="AD4528" s="55" t="n">
        <f aca="false">IF(AC4528,IF(01_因子設定!$B$13="最大化",AA4528-01_因子設定!$B$14,IF(01_因子設定!$B$13="最小化",01_因子設定!$B$15-AB4528,MIN(AA4528-01_因子設定!$B$14,01_因子設定!$B$15-AB4528))),-1E+030)</f>
        <v>-3.02094768482057</v>
      </c>
      <c r="AE4528" s="55" t="n">
        <f aca="false">IF(AC4528,IF(01_因子設定!$B$13="最大化",X4528,IF(01_因子設定!$B$13="最小化",-X4528,-ABS(X4528-01_因子設定!$B$16))),-1E+030)</f>
        <v>44.940666118421</v>
      </c>
      <c r="AF4528" s="55" t="n">
        <f aca="false">AD4528+ROW()*0.000000001</f>
        <v>-3.02094315682057</v>
      </c>
      <c r="AG4528" s="55" t="n">
        <f aca="false">AE4528+ROW()*0.000000001</f>
        <v>44.940670646421</v>
      </c>
    </row>
    <row r="4529" customFormat="false" ht="15" hidden="false" customHeight="false" outlineLevel="0" collapsed="false">
      <c r="A4529" s="0" t="n">
        <v>6</v>
      </c>
      <c r="B4529" s="0" t="n">
        <v>1</v>
      </c>
      <c r="C4529" s="0" t="n">
        <v>7</v>
      </c>
      <c r="D4529" s="0" t="n">
        <v>6</v>
      </c>
      <c r="E4529" s="0" t="n">
        <f aca="false">-1+A4529*0.25</f>
        <v>0.5</v>
      </c>
      <c r="F4529" s="0" t="n">
        <f aca="false">-1+B4529*0.25</f>
        <v>-0.75</v>
      </c>
      <c r="G4529" s="0" t="n">
        <f aca="false">-1+C4529*0.25</f>
        <v>0.75</v>
      </c>
      <c r="H4529" s="0" t="n">
        <f aca="false">-1+D4529*0.25</f>
        <v>0.5</v>
      </c>
      <c r="I4529" s="0" t="n">
        <f aca="false">1</f>
        <v>1</v>
      </c>
      <c r="J4529" s="0" t="n">
        <f aca="false">E4529</f>
        <v>0.5</v>
      </c>
      <c r="K4529" s="0" t="n">
        <f aca="false">F4529</f>
        <v>-0.75</v>
      </c>
      <c r="L4529" s="0" t="n">
        <f aca="false">G4529</f>
        <v>0.75</v>
      </c>
      <c r="M4529" s="0" t="n">
        <f aca="false">H4529</f>
        <v>0.5</v>
      </c>
      <c r="N4529" s="0" t="n">
        <f aca="false">E4529*F4529</f>
        <v>-0.375</v>
      </c>
      <c r="O4529" s="0" t="n">
        <f aca="false">E4529*G4529</f>
        <v>0.375</v>
      </c>
      <c r="P4529" s="0" t="n">
        <f aca="false">E4529*H4529</f>
        <v>0.25</v>
      </c>
      <c r="Q4529" s="0" t="n">
        <f aca="false">F4529*G4529</f>
        <v>-0.5625</v>
      </c>
      <c r="R4529" s="0" t="n">
        <f aca="false">F4529*H4529</f>
        <v>-0.375</v>
      </c>
      <c r="S4529" s="0" t="n">
        <f aca="false">G4529*H4529</f>
        <v>0.375</v>
      </c>
      <c r="T4529" s="0" t="n">
        <f aca="false">E4529*E4529</f>
        <v>0.25</v>
      </c>
      <c r="U4529" s="0" t="n">
        <f aca="false">F4529*F4529</f>
        <v>0.5625</v>
      </c>
      <c r="V4529" s="0" t="n">
        <f aca="false">G4529*G4529</f>
        <v>0.5625</v>
      </c>
      <c r="W4529" s="0" t="n">
        <f aca="false">H4529*H4529</f>
        <v>0.25</v>
      </c>
      <c r="X4529" s="0" t="n">
        <f aca="false">SUMPRODUCT(I4529:W4529,_XtX!$B$96:$P$96)</f>
        <v>45.0797194809941</v>
      </c>
      <c r="Y4529" s="0" t="n">
        <f aca="false">SUMPRODUCT(MMULT(I4529:W4529,_XtX!$B$78:$P$92),I4529:W4529)</f>
        <v>0.237862927174708</v>
      </c>
      <c r="Z4529" s="0" t="n">
        <f aca="false">04_回帰ANOVA!$K$19*04_回帰ANOVA!$K$14*SQRT(1+Y4529)</f>
        <v>1.45022260708756</v>
      </c>
      <c r="AA4529" s="0" t="n">
        <f aca="false">X4529-Z4529</f>
        <v>43.6294968739066</v>
      </c>
      <c r="AB4529" s="0" t="n">
        <f aca="false">X4529+Z4529</f>
        <v>46.5299420880817</v>
      </c>
      <c r="AC4529" s="54" t="b">
        <f aca="false">AND(E4529&gt;=01_因子設定!$L$5-0.000000001,E4529&lt;=01_因子設定!$M$5+0.000000001,F4529&gt;=01_因子設定!$L$6-0.000000001,F4529&lt;=01_因子設定!$M$6+0.000000001,G4529&gt;=01_因子設定!$L$7-0.000000001,G4529&lt;=01_因子設定!$M$7+0.000000001,H4529&gt;=01_因子設定!$L$8-0.000000001,H4529&lt;=01_因子設定!$M$8+0.000000001,IF(01_因子設定!$B$20="Box-Behnken",E4529^2+F4529^2+G4529^2+H4529^2&lt;=2+0.000000001,TRUE()))</f>
        <v>1</v>
      </c>
      <c r="AD4529" s="55" t="n">
        <f aca="false">IF(AC4529,IF(01_因子設定!$B$13="最大化",AA4529-01_因子設定!$B$14,IF(01_因子設定!$B$13="最小化",01_因子設定!$B$15-AB4529,MIN(AA4529-01_因子設定!$B$14,01_因子設定!$B$15-AB4529))),-1E+030)</f>
        <v>-2.87050312609344</v>
      </c>
      <c r="AE4529" s="55" t="n">
        <f aca="false">IF(AC4529,IF(01_因子設定!$B$13="最大化",X4529,IF(01_因子設定!$B$13="最小化",-X4529,-ABS(X4529-01_因子設定!$B$16))),-1E+030)</f>
        <v>45.0797194809941</v>
      </c>
      <c r="AF4529" s="55" t="n">
        <f aca="false">AD4529+ROW()*0.000000001</f>
        <v>-2.87049859709344</v>
      </c>
      <c r="AG4529" s="55" t="n">
        <f aca="false">AE4529+ROW()*0.000000001</f>
        <v>45.0797240099941</v>
      </c>
    </row>
    <row r="4530" customFormat="false" ht="15" hidden="false" customHeight="false" outlineLevel="0" collapsed="false">
      <c r="A4530" s="0" t="n">
        <v>6</v>
      </c>
      <c r="B4530" s="0" t="n">
        <v>1</v>
      </c>
      <c r="C4530" s="0" t="n">
        <v>7</v>
      </c>
      <c r="D4530" s="0" t="n">
        <v>7</v>
      </c>
      <c r="E4530" s="0" t="n">
        <f aca="false">-1+A4530*0.25</f>
        <v>0.5</v>
      </c>
      <c r="F4530" s="0" t="n">
        <f aca="false">-1+B4530*0.25</f>
        <v>-0.75</v>
      </c>
      <c r="G4530" s="0" t="n">
        <f aca="false">-1+C4530*0.25</f>
        <v>0.75</v>
      </c>
      <c r="H4530" s="0" t="n">
        <f aca="false">-1+D4530*0.25</f>
        <v>0.75</v>
      </c>
      <c r="I4530" s="0" t="n">
        <f aca="false">1</f>
        <v>1</v>
      </c>
      <c r="J4530" s="0" t="n">
        <f aca="false">E4530</f>
        <v>0.5</v>
      </c>
      <c r="K4530" s="0" t="n">
        <f aca="false">F4530</f>
        <v>-0.75</v>
      </c>
      <c r="L4530" s="0" t="n">
        <f aca="false">G4530</f>
        <v>0.75</v>
      </c>
      <c r="M4530" s="0" t="n">
        <f aca="false">H4530</f>
        <v>0.75</v>
      </c>
      <c r="N4530" s="0" t="n">
        <f aca="false">E4530*F4530</f>
        <v>-0.375</v>
      </c>
      <c r="O4530" s="0" t="n">
        <f aca="false">E4530*G4530</f>
        <v>0.375</v>
      </c>
      <c r="P4530" s="0" t="n">
        <f aca="false">E4530*H4530</f>
        <v>0.375</v>
      </c>
      <c r="Q4530" s="0" t="n">
        <f aca="false">F4530*G4530</f>
        <v>-0.5625</v>
      </c>
      <c r="R4530" s="0" t="n">
        <f aca="false">F4530*H4530</f>
        <v>-0.5625</v>
      </c>
      <c r="S4530" s="0" t="n">
        <f aca="false">G4530*H4530</f>
        <v>0.5625</v>
      </c>
      <c r="T4530" s="0" t="n">
        <f aca="false">E4530*E4530</f>
        <v>0.25</v>
      </c>
      <c r="U4530" s="0" t="n">
        <f aca="false">F4530*F4530</f>
        <v>0.5625</v>
      </c>
      <c r="V4530" s="0" t="n">
        <f aca="false">G4530*G4530</f>
        <v>0.5625</v>
      </c>
      <c r="W4530" s="0" t="n">
        <f aca="false">H4530*H4530</f>
        <v>0.5625</v>
      </c>
      <c r="X4530" s="0" t="n">
        <f aca="false">SUMPRODUCT(I4530:W4530,_XtX!$B$96:$P$96)</f>
        <v>45.1709658260234</v>
      </c>
      <c r="Y4530" s="0" t="n">
        <f aca="false">SUMPRODUCT(MMULT(I4530:W4530,_XtX!$B$78:$P$92),I4530:W4530)</f>
        <v>0.265632138614766</v>
      </c>
      <c r="Z4530" s="0" t="n">
        <f aca="false">04_回帰ANOVA!$K$19*04_回帰ANOVA!$K$14*SQRT(1+Y4530)</f>
        <v>1.46639894654257</v>
      </c>
      <c r="AA4530" s="0" t="n">
        <f aca="false">X4530-Z4530</f>
        <v>43.7045668794808</v>
      </c>
      <c r="AB4530" s="0" t="n">
        <f aca="false">X4530+Z4530</f>
        <v>46.6373647725659</v>
      </c>
      <c r="AC4530" s="54" t="b">
        <f aca="false">AND(E4530&gt;=01_因子設定!$L$5-0.000000001,E4530&lt;=01_因子設定!$M$5+0.000000001,F4530&gt;=01_因子設定!$L$6-0.000000001,F4530&lt;=01_因子設定!$M$6+0.000000001,G4530&gt;=01_因子設定!$L$7-0.000000001,G4530&lt;=01_因子設定!$M$7+0.000000001,H4530&gt;=01_因子設定!$L$8-0.000000001,H4530&lt;=01_因子設定!$M$8+0.000000001,IF(01_因子設定!$B$20="Box-Behnken",E4530^2+F4530^2+G4530^2+H4530^2&lt;=2+0.000000001,TRUE()))</f>
        <v>1</v>
      </c>
      <c r="AD4530" s="55" t="n">
        <f aca="false">IF(AC4530,IF(01_因子設定!$B$13="最大化",AA4530-01_因子設定!$B$14,IF(01_因子設定!$B$13="最小化",01_因子設定!$B$15-AB4530,MIN(AA4530-01_因子設定!$B$14,01_因子設定!$B$15-AB4530))),-1E+030)</f>
        <v>-2.79543312051921</v>
      </c>
      <c r="AE4530" s="55" t="n">
        <f aca="false">IF(AC4530,IF(01_因子設定!$B$13="最大化",X4530,IF(01_因子設定!$B$13="最小化",-X4530,-ABS(X4530-01_因子設定!$B$16))),-1E+030)</f>
        <v>45.1709658260234</v>
      </c>
      <c r="AF4530" s="55" t="n">
        <f aca="false">AD4530+ROW()*0.000000001</f>
        <v>-2.79542859051921</v>
      </c>
      <c r="AG4530" s="55" t="n">
        <f aca="false">AE4530+ROW()*0.000000001</f>
        <v>45.1709703560234</v>
      </c>
    </row>
    <row r="4531" customFormat="false" ht="15" hidden="false" customHeight="false" outlineLevel="0" collapsed="false">
      <c r="A4531" s="0" t="n">
        <v>6</v>
      </c>
      <c r="B4531" s="0" t="n">
        <v>1</v>
      </c>
      <c r="C4531" s="0" t="n">
        <v>7</v>
      </c>
      <c r="D4531" s="0" t="n">
        <v>8</v>
      </c>
      <c r="E4531" s="0" t="n">
        <f aca="false">-1+A4531*0.25</f>
        <v>0.5</v>
      </c>
      <c r="F4531" s="0" t="n">
        <f aca="false">-1+B4531*0.25</f>
        <v>-0.75</v>
      </c>
      <c r="G4531" s="0" t="n">
        <f aca="false">-1+C4531*0.25</f>
        <v>0.75</v>
      </c>
      <c r="H4531" s="0" t="n">
        <f aca="false">-1+D4531*0.25</f>
        <v>1</v>
      </c>
      <c r="I4531" s="0" t="n">
        <f aca="false">1</f>
        <v>1</v>
      </c>
      <c r="J4531" s="0" t="n">
        <f aca="false">E4531</f>
        <v>0.5</v>
      </c>
      <c r="K4531" s="0" t="n">
        <f aca="false">F4531</f>
        <v>-0.75</v>
      </c>
      <c r="L4531" s="0" t="n">
        <f aca="false">G4531</f>
        <v>0.75</v>
      </c>
      <c r="M4531" s="0" t="n">
        <f aca="false">H4531</f>
        <v>1</v>
      </c>
      <c r="N4531" s="0" t="n">
        <f aca="false">E4531*F4531</f>
        <v>-0.375</v>
      </c>
      <c r="O4531" s="0" t="n">
        <f aca="false">E4531*G4531</f>
        <v>0.375</v>
      </c>
      <c r="P4531" s="0" t="n">
        <f aca="false">E4531*H4531</f>
        <v>0.5</v>
      </c>
      <c r="Q4531" s="0" t="n">
        <f aca="false">F4531*G4531</f>
        <v>-0.5625</v>
      </c>
      <c r="R4531" s="0" t="n">
        <f aca="false">F4531*H4531</f>
        <v>-0.75</v>
      </c>
      <c r="S4531" s="0" t="n">
        <f aca="false">G4531*H4531</f>
        <v>0.75</v>
      </c>
      <c r="T4531" s="0" t="n">
        <f aca="false">E4531*E4531</f>
        <v>0.25</v>
      </c>
      <c r="U4531" s="0" t="n">
        <f aca="false">F4531*F4531</f>
        <v>0.5625</v>
      </c>
      <c r="V4531" s="0" t="n">
        <f aca="false">G4531*G4531</f>
        <v>0.5625</v>
      </c>
      <c r="W4531" s="0" t="n">
        <f aca="false">H4531*H4531</f>
        <v>1</v>
      </c>
      <c r="X4531" s="0" t="n">
        <f aca="false">SUMPRODUCT(I4531:W4531,_XtX!$B$96:$P$96)</f>
        <v>45.2144051535088</v>
      </c>
      <c r="Y4531" s="0" t="n">
        <f aca="false">SUMPRODUCT(MMULT(I4531:W4531,_XtX!$B$78:$P$92),I4531:W4531)</f>
        <v>0.431153771472953</v>
      </c>
      <c r="Z4531" s="0" t="n">
        <f aca="false">04_回帰ANOVA!$K$19*04_回帰ANOVA!$K$14*SQRT(1+Y4531)</f>
        <v>1.55934259562563</v>
      </c>
      <c r="AA4531" s="0" t="n">
        <f aca="false">X4531-Z4531</f>
        <v>43.6550625578831</v>
      </c>
      <c r="AB4531" s="0" t="n">
        <f aca="false">X4531+Z4531</f>
        <v>46.7737477491344</v>
      </c>
      <c r="AC4531" s="54" t="b">
        <f aca="false">AND(E4531&gt;=01_因子設定!$L$5-0.000000001,E4531&lt;=01_因子設定!$M$5+0.000000001,F4531&gt;=01_因子設定!$L$6-0.000000001,F4531&lt;=01_因子設定!$M$6+0.000000001,G4531&gt;=01_因子設定!$L$7-0.000000001,G4531&lt;=01_因子設定!$M$7+0.000000001,H4531&gt;=01_因子設定!$L$8-0.000000001,H4531&lt;=01_因子設定!$M$8+0.000000001,IF(01_因子設定!$B$20="Box-Behnken",E4531^2+F4531^2+G4531^2+H4531^2&lt;=2+0.000000001,TRUE()))</f>
        <v>1</v>
      </c>
      <c r="AD4531" s="55" t="n">
        <f aca="false">IF(AC4531,IF(01_因子設定!$B$13="最大化",AA4531-01_因子設定!$B$14,IF(01_因子設定!$B$13="最小化",01_因子設定!$B$15-AB4531,MIN(AA4531-01_因子設定!$B$14,01_因子設定!$B$15-AB4531))),-1E+030)</f>
        <v>-2.84493744211687</v>
      </c>
      <c r="AE4531" s="55" t="n">
        <f aca="false">IF(AC4531,IF(01_因子設定!$B$13="最大化",X4531,IF(01_因子設定!$B$13="最小化",-X4531,-ABS(X4531-01_因子設定!$B$16))),-1E+030)</f>
        <v>45.2144051535088</v>
      </c>
      <c r="AF4531" s="55" t="n">
        <f aca="false">AD4531+ROW()*0.000000001</f>
        <v>-2.84493291111687</v>
      </c>
      <c r="AG4531" s="55" t="n">
        <f aca="false">AE4531+ROW()*0.000000001</f>
        <v>45.2144096845088</v>
      </c>
    </row>
    <row r="4532" customFormat="false" ht="15" hidden="false" customHeight="false" outlineLevel="0" collapsed="false">
      <c r="A4532" s="0" t="n">
        <v>6</v>
      </c>
      <c r="B4532" s="0" t="n">
        <v>1</v>
      </c>
      <c r="C4532" s="0" t="n">
        <v>8</v>
      </c>
      <c r="D4532" s="0" t="n">
        <v>0</v>
      </c>
      <c r="E4532" s="0" t="n">
        <f aca="false">-1+A4532*0.25</f>
        <v>0.5</v>
      </c>
      <c r="F4532" s="0" t="n">
        <f aca="false">-1+B4532*0.25</f>
        <v>-0.75</v>
      </c>
      <c r="G4532" s="0" t="n">
        <f aca="false">-1+C4532*0.25</f>
        <v>1</v>
      </c>
      <c r="H4532" s="0" t="n">
        <f aca="false">-1+D4532*0.25</f>
        <v>-1</v>
      </c>
      <c r="I4532" s="0" t="n">
        <f aca="false">1</f>
        <v>1</v>
      </c>
      <c r="J4532" s="0" t="n">
        <f aca="false">E4532</f>
        <v>0.5</v>
      </c>
      <c r="K4532" s="0" t="n">
        <f aca="false">F4532</f>
        <v>-0.75</v>
      </c>
      <c r="L4532" s="0" t="n">
        <f aca="false">G4532</f>
        <v>1</v>
      </c>
      <c r="M4532" s="0" t="n">
        <f aca="false">H4532</f>
        <v>-1</v>
      </c>
      <c r="N4532" s="0" t="n">
        <f aca="false">E4532*F4532</f>
        <v>-0.375</v>
      </c>
      <c r="O4532" s="0" t="n">
        <f aca="false">E4532*G4532</f>
        <v>0.5</v>
      </c>
      <c r="P4532" s="0" t="n">
        <f aca="false">E4532*H4532</f>
        <v>-0.5</v>
      </c>
      <c r="Q4532" s="0" t="n">
        <f aca="false">F4532*G4532</f>
        <v>-0.75</v>
      </c>
      <c r="R4532" s="0" t="n">
        <f aca="false">F4532*H4532</f>
        <v>0.75</v>
      </c>
      <c r="S4532" s="0" t="n">
        <f aca="false">G4532*H4532</f>
        <v>-1</v>
      </c>
      <c r="T4532" s="0" t="n">
        <f aca="false">E4532*E4532</f>
        <v>0.25</v>
      </c>
      <c r="U4532" s="0" t="n">
        <f aca="false">F4532*F4532</f>
        <v>0.5625</v>
      </c>
      <c r="V4532" s="0" t="n">
        <f aca="false">G4532*G4532</f>
        <v>1</v>
      </c>
      <c r="W4532" s="0" t="n">
        <f aca="false">H4532*H4532</f>
        <v>1</v>
      </c>
      <c r="X4532" s="0" t="n">
        <f aca="false">SUMPRODUCT(I4532:W4532,_XtX!$B$96:$P$96)</f>
        <v>43.2638340643275</v>
      </c>
      <c r="Y4532" s="0" t="n">
        <f aca="false">SUMPRODUCT(MMULT(I4532:W4532,_XtX!$B$78:$P$92),I4532:W4532)</f>
        <v>0.564984237938597</v>
      </c>
      <c r="Z4532" s="0" t="n">
        <f aca="false">04_回帰ANOVA!$K$19*04_回帰ANOVA!$K$14*SQRT(1+Y4532)</f>
        <v>1.63062229734503</v>
      </c>
      <c r="AA4532" s="0" t="n">
        <f aca="false">X4532-Z4532</f>
        <v>41.6332117669825</v>
      </c>
      <c r="AB4532" s="0" t="n">
        <f aca="false">X4532+Z4532</f>
        <v>44.8944563616725</v>
      </c>
      <c r="AC4532" s="54" t="b">
        <f aca="false">AND(E4532&gt;=01_因子設定!$L$5-0.000000001,E4532&lt;=01_因子設定!$M$5+0.000000001,F4532&gt;=01_因子設定!$L$6-0.000000001,F4532&lt;=01_因子設定!$M$6+0.000000001,G4532&gt;=01_因子設定!$L$7-0.000000001,G4532&lt;=01_因子設定!$M$7+0.000000001,H4532&gt;=01_因子設定!$L$8-0.000000001,H4532&lt;=01_因子設定!$M$8+0.000000001,IF(01_因子設定!$B$20="Box-Behnken",E4532^2+F4532^2+G4532^2+H4532^2&lt;=2+0.000000001,TRUE()))</f>
        <v>1</v>
      </c>
      <c r="AD4532" s="55" t="n">
        <f aca="false">IF(AC4532,IF(01_因子設定!$B$13="最大化",AA4532-01_因子設定!$B$14,IF(01_因子設定!$B$13="最小化",01_因子設定!$B$15-AB4532,MIN(AA4532-01_因子設定!$B$14,01_因子設定!$B$15-AB4532))),-1E+030)</f>
        <v>-4.86678823301755</v>
      </c>
      <c r="AE4532" s="55" t="n">
        <f aca="false">IF(AC4532,IF(01_因子設定!$B$13="最大化",X4532,IF(01_因子設定!$B$13="最小化",-X4532,-ABS(X4532-01_因子設定!$B$16))),-1E+030)</f>
        <v>43.2638340643275</v>
      </c>
      <c r="AF4532" s="55" t="n">
        <f aca="false">AD4532+ROW()*0.000000001</f>
        <v>-4.86678370101755</v>
      </c>
      <c r="AG4532" s="55" t="n">
        <f aca="false">AE4532+ROW()*0.000000001</f>
        <v>43.2638385963275</v>
      </c>
    </row>
    <row r="4533" customFormat="false" ht="15" hidden="false" customHeight="false" outlineLevel="0" collapsed="false">
      <c r="A4533" s="0" t="n">
        <v>6</v>
      </c>
      <c r="B4533" s="0" t="n">
        <v>1</v>
      </c>
      <c r="C4533" s="0" t="n">
        <v>8</v>
      </c>
      <c r="D4533" s="0" t="n">
        <v>1</v>
      </c>
      <c r="E4533" s="0" t="n">
        <f aca="false">-1+A4533*0.25</f>
        <v>0.5</v>
      </c>
      <c r="F4533" s="0" t="n">
        <f aca="false">-1+B4533*0.25</f>
        <v>-0.75</v>
      </c>
      <c r="G4533" s="0" t="n">
        <f aca="false">-1+C4533*0.25</f>
        <v>1</v>
      </c>
      <c r="H4533" s="0" t="n">
        <f aca="false">-1+D4533*0.25</f>
        <v>-0.75</v>
      </c>
      <c r="I4533" s="0" t="n">
        <f aca="false">1</f>
        <v>1</v>
      </c>
      <c r="J4533" s="0" t="n">
        <f aca="false">E4533</f>
        <v>0.5</v>
      </c>
      <c r="K4533" s="0" t="n">
        <f aca="false">F4533</f>
        <v>-0.75</v>
      </c>
      <c r="L4533" s="0" t="n">
        <f aca="false">G4533</f>
        <v>1</v>
      </c>
      <c r="M4533" s="0" t="n">
        <f aca="false">H4533</f>
        <v>-0.75</v>
      </c>
      <c r="N4533" s="0" t="n">
        <f aca="false">E4533*F4533</f>
        <v>-0.375</v>
      </c>
      <c r="O4533" s="0" t="n">
        <f aca="false">E4533*G4533</f>
        <v>0.5</v>
      </c>
      <c r="P4533" s="0" t="n">
        <f aca="false">E4533*H4533</f>
        <v>-0.375</v>
      </c>
      <c r="Q4533" s="0" t="n">
        <f aca="false">F4533*G4533</f>
        <v>-0.75</v>
      </c>
      <c r="R4533" s="0" t="n">
        <f aca="false">F4533*H4533</f>
        <v>0.5625</v>
      </c>
      <c r="S4533" s="0" t="n">
        <f aca="false">G4533*H4533</f>
        <v>-0.75</v>
      </c>
      <c r="T4533" s="0" t="n">
        <f aca="false">E4533*E4533</f>
        <v>0.25</v>
      </c>
      <c r="U4533" s="0" t="n">
        <f aca="false">F4533*F4533</f>
        <v>0.5625</v>
      </c>
      <c r="V4533" s="0" t="n">
        <f aca="false">G4533*G4533</f>
        <v>1</v>
      </c>
      <c r="W4533" s="0" t="n">
        <f aca="false">H4533*H4533</f>
        <v>0.5625</v>
      </c>
      <c r="X4533" s="0" t="n">
        <f aca="false">SUMPRODUCT(I4533:W4533,_XtX!$B$96:$P$96)</f>
        <v>43.6598912646199</v>
      </c>
      <c r="Y4533" s="0" t="n">
        <f aca="false">SUMPRODUCT(MMULT(I4533:W4533,_XtX!$B$78:$P$92),I4533:W4533)</f>
        <v>0.431153771472953</v>
      </c>
      <c r="Z4533" s="0" t="n">
        <f aca="false">04_回帰ANOVA!$K$19*04_回帰ANOVA!$K$14*SQRT(1+Y4533)</f>
        <v>1.55934259562563</v>
      </c>
      <c r="AA4533" s="0" t="n">
        <f aca="false">X4533-Z4533</f>
        <v>42.1005486689942</v>
      </c>
      <c r="AB4533" s="0" t="n">
        <f aca="false">X4533+Z4533</f>
        <v>45.2192338602455</v>
      </c>
      <c r="AC4533" s="54" t="b">
        <f aca="false">AND(E4533&gt;=01_因子設定!$L$5-0.000000001,E4533&lt;=01_因子設定!$M$5+0.000000001,F4533&gt;=01_因子設定!$L$6-0.000000001,F4533&lt;=01_因子設定!$M$6+0.000000001,G4533&gt;=01_因子設定!$L$7-0.000000001,G4533&lt;=01_因子設定!$M$7+0.000000001,H4533&gt;=01_因子設定!$L$8-0.000000001,H4533&lt;=01_因子設定!$M$8+0.000000001,IF(01_因子設定!$B$20="Box-Behnken",E4533^2+F4533^2+G4533^2+H4533^2&lt;=2+0.000000001,TRUE()))</f>
        <v>1</v>
      </c>
      <c r="AD4533" s="55" t="n">
        <f aca="false">IF(AC4533,IF(01_因子設定!$B$13="最大化",AA4533-01_因子設定!$B$14,IF(01_因子設定!$B$13="最小化",01_因子設定!$B$15-AB4533,MIN(AA4533-01_因子設定!$B$14,01_因子設定!$B$15-AB4533))),-1E+030)</f>
        <v>-4.39945133100576</v>
      </c>
      <c r="AE4533" s="55" t="n">
        <f aca="false">IF(AC4533,IF(01_因子設定!$B$13="最大化",X4533,IF(01_因子設定!$B$13="最小化",-X4533,-ABS(X4533-01_因子設定!$B$16))),-1E+030)</f>
        <v>43.6598912646199</v>
      </c>
      <c r="AF4533" s="55" t="n">
        <f aca="false">AD4533+ROW()*0.000000001</f>
        <v>-4.39944679800576</v>
      </c>
      <c r="AG4533" s="55" t="n">
        <f aca="false">AE4533+ROW()*0.000000001</f>
        <v>43.6598957976199</v>
      </c>
    </row>
    <row r="4534" customFormat="false" ht="15" hidden="false" customHeight="false" outlineLevel="0" collapsed="false">
      <c r="A4534" s="0" t="n">
        <v>6</v>
      </c>
      <c r="B4534" s="0" t="n">
        <v>1</v>
      </c>
      <c r="C4534" s="0" t="n">
        <v>8</v>
      </c>
      <c r="D4534" s="0" t="n">
        <v>2</v>
      </c>
      <c r="E4534" s="0" t="n">
        <f aca="false">-1+A4534*0.25</f>
        <v>0.5</v>
      </c>
      <c r="F4534" s="0" t="n">
        <f aca="false">-1+B4534*0.25</f>
        <v>-0.75</v>
      </c>
      <c r="G4534" s="0" t="n">
        <f aca="false">-1+C4534*0.25</f>
        <v>1</v>
      </c>
      <c r="H4534" s="0" t="n">
        <f aca="false">-1+D4534*0.25</f>
        <v>-0.5</v>
      </c>
      <c r="I4534" s="0" t="n">
        <f aca="false">1</f>
        <v>1</v>
      </c>
      <c r="J4534" s="0" t="n">
        <f aca="false">E4534</f>
        <v>0.5</v>
      </c>
      <c r="K4534" s="0" t="n">
        <f aca="false">F4534</f>
        <v>-0.75</v>
      </c>
      <c r="L4534" s="0" t="n">
        <f aca="false">G4534</f>
        <v>1</v>
      </c>
      <c r="M4534" s="0" t="n">
        <f aca="false">H4534</f>
        <v>-0.5</v>
      </c>
      <c r="N4534" s="0" t="n">
        <f aca="false">E4534*F4534</f>
        <v>-0.375</v>
      </c>
      <c r="O4534" s="0" t="n">
        <f aca="false">E4534*G4534</f>
        <v>0.5</v>
      </c>
      <c r="P4534" s="0" t="n">
        <f aca="false">E4534*H4534</f>
        <v>-0.25</v>
      </c>
      <c r="Q4534" s="0" t="n">
        <f aca="false">F4534*G4534</f>
        <v>-0.75</v>
      </c>
      <c r="R4534" s="0" t="n">
        <f aca="false">F4534*H4534</f>
        <v>0.375</v>
      </c>
      <c r="S4534" s="0" t="n">
        <f aca="false">G4534*H4534</f>
        <v>-0.5</v>
      </c>
      <c r="T4534" s="0" t="n">
        <f aca="false">E4534*E4534</f>
        <v>0.25</v>
      </c>
      <c r="U4534" s="0" t="n">
        <f aca="false">F4534*F4534</f>
        <v>0.5625</v>
      </c>
      <c r="V4534" s="0" t="n">
        <f aca="false">G4534*G4534</f>
        <v>1</v>
      </c>
      <c r="W4534" s="0" t="n">
        <f aca="false">H4534*H4534</f>
        <v>0.25</v>
      </c>
      <c r="X4534" s="0" t="n">
        <f aca="false">SUMPRODUCT(I4534:W4534,_XtX!$B$96:$P$96)</f>
        <v>44.0081414473684</v>
      </c>
      <c r="Y4534" s="0" t="n">
        <f aca="false">SUMPRODUCT(MMULT(I4534:W4534,_XtX!$B$78:$P$92),I4534:W4534)</f>
        <v>0.42602110745614</v>
      </c>
      <c r="Z4534" s="0" t="n">
        <f aca="false">04_回帰ANOVA!$K$19*04_回帰ANOVA!$K$14*SQRT(1+Y4534)</f>
        <v>1.55654388501114</v>
      </c>
      <c r="AA4534" s="0" t="n">
        <f aca="false">X4534-Z4534</f>
        <v>42.4515975623573</v>
      </c>
      <c r="AB4534" s="0" t="n">
        <f aca="false">X4534+Z4534</f>
        <v>45.5646853323795</v>
      </c>
      <c r="AC4534" s="54" t="b">
        <f aca="false">AND(E4534&gt;=01_因子設定!$L$5-0.000000001,E4534&lt;=01_因子設定!$M$5+0.000000001,F4534&gt;=01_因子設定!$L$6-0.000000001,F4534&lt;=01_因子設定!$M$6+0.000000001,G4534&gt;=01_因子設定!$L$7-0.000000001,G4534&lt;=01_因子設定!$M$7+0.000000001,H4534&gt;=01_因子設定!$L$8-0.000000001,H4534&lt;=01_因子設定!$M$8+0.000000001,IF(01_因子設定!$B$20="Box-Behnken",E4534^2+F4534^2+G4534^2+H4534^2&lt;=2+0.000000001,TRUE()))</f>
        <v>1</v>
      </c>
      <c r="AD4534" s="55" t="n">
        <f aca="false">IF(AC4534,IF(01_因子設定!$B$13="最大化",AA4534-01_因子設定!$B$14,IF(01_因子設定!$B$13="最小化",01_因子設定!$B$15-AB4534,MIN(AA4534-01_因子設定!$B$14,01_因子設定!$B$15-AB4534))),-1E+030)</f>
        <v>-4.04840243764275</v>
      </c>
      <c r="AE4534" s="55" t="n">
        <f aca="false">IF(AC4534,IF(01_因子設定!$B$13="最大化",X4534,IF(01_因子設定!$B$13="最小化",-X4534,-ABS(X4534-01_因子設定!$B$16))),-1E+030)</f>
        <v>44.0081414473684</v>
      </c>
      <c r="AF4534" s="55" t="n">
        <f aca="false">AD4534+ROW()*0.000000001</f>
        <v>-4.04839790364275</v>
      </c>
      <c r="AG4534" s="55" t="n">
        <f aca="false">AE4534+ROW()*0.000000001</f>
        <v>44.0081459813684</v>
      </c>
    </row>
    <row r="4535" customFormat="false" ht="15" hidden="false" customHeight="false" outlineLevel="0" collapsed="false">
      <c r="A4535" s="0" t="n">
        <v>6</v>
      </c>
      <c r="B4535" s="0" t="n">
        <v>1</v>
      </c>
      <c r="C4535" s="0" t="n">
        <v>8</v>
      </c>
      <c r="D4535" s="0" t="n">
        <v>3</v>
      </c>
      <c r="E4535" s="0" t="n">
        <f aca="false">-1+A4535*0.25</f>
        <v>0.5</v>
      </c>
      <c r="F4535" s="0" t="n">
        <f aca="false">-1+B4535*0.25</f>
        <v>-0.75</v>
      </c>
      <c r="G4535" s="0" t="n">
        <f aca="false">-1+C4535*0.25</f>
        <v>1</v>
      </c>
      <c r="H4535" s="0" t="n">
        <f aca="false">-1+D4535*0.25</f>
        <v>-0.25</v>
      </c>
      <c r="I4535" s="0" t="n">
        <f aca="false">1</f>
        <v>1</v>
      </c>
      <c r="J4535" s="0" t="n">
        <f aca="false">E4535</f>
        <v>0.5</v>
      </c>
      <c r="K4535" s="0" t="n">
        <f aca="false">F4535</f>
        <v>-0.75</v>
      </c>
      <c r="L4535" s="0" t="n">
        <f aca="false">G4535</f>
        <v>1</v>
      </c>
      <c r="M4535" s="0" t="n">
        <f aca="false">H4535</f>
        <v>-0.25</v>
      </c>
      <c r="N4535" s="0" t="n">
        <f aca="false">E4535*F4535</f>
        <v>-0.375</v>
      </c>
      <c r="O4535" s="0" t="n">
        <f aca="false">E4535*G4535</f>
        <v>0.5</v>
      </c>
      <c r="P4535" s="0" t="n">
        <f aca="false">E4535*H4535</f>
        <v>-0.125</v>
      </c>
      <c r="Q4535" s="0" t="n">
        <f aca="false">F4535*G4535</f>
        <v>-0.75</v>
      </c>
      <c r="R4535" s="0" t="n">
        <f aca="false">F4535*H4535</f>
        <v>0.1875</v>
      </c>
      <c r="S4535" s="0" t="n">
        <f aca="false">G4535*H4535</f>
        <v>-0.25</v>
      </c>
      <c r="T4535" s="0" t="n">
        <f aca="false">E4535*E4535</f>
        <v>0.25</v>
      </c>
      <c r="U4535" s="0" t="n">
        <f aca="false">F4535*F4535</f>
        <v>0.5625</v>
      </c>
      <c r="V4535" s="0" t="n">
        <f aca="false">G4535*G4535</f>
        <v>1</v>
      </c>
      <c r="W4535" s="0" t="n">
        <f aca="false">H4535*H4535</f>
        <v>0.0625</v>
      </c>
      <c r="X4535" s="0" t="n">
        <f aca="false">SUMPRODUCT(I4535:W4535,_XtX!$B$96:$P$96)</f>
        <v>44.3085846125731</v>
      </c>
      <c r="Y4535" s="0" t="n">
        <f aca="false">SUMPRODUCT(MMULT(I4535:W4535,_XtX!$B$78:$P$92),I4535:W4535)</f>
        <v>0.459125719572369</v>
      </c>
      <c r="Z4535" s="0" t="n">
        <f aca="false">04_回帰ANOVA!$K$19*04_回帰ANOVA!$K$14*SQRT(1+Y4535)</f>
        <v>1.57450755575573</v>
      </c>
      <c r="AA4535" s="0" t="n">
        <f aca="false">X4535-Z4535</f>
        <v>42.7340770568173</v>
      </c>
      <c r="AB4535" s="0" t="n">
        <f aca="false">X4535+Z4535</f>
        <v>45.8830921683288</v>
      </c>
      <c r="AC4535" s="54" t="b">
        <f aca="false">AND(E4535&gt;=01_因子設定!$L$5-0.000000001,E4535&lt;=01_因子設定!$M$5+0.000000001,F4535&gt;=01_因子設定!$L$6-0.000000001,F4535&lt;=01_因子設定!$M$6+0.000000001,G4535&gt;=01_因子設定!$L$7-0.000000001,G4535&lt;=01_因子設定!$M$7+0.000000001,H4535&gt;=01_因子設定!$L$8-0.000000001,H4535&lt;=01_因子設定!$M$8+0.000000001,IF(01_因子設定!$B$20="Box-Behnken",E4535^2+F4535^2+G4535^2+H4535^2&lt;=2+0.000000001,TRUE()))</f>
        <v>1</v>
      </c>
      <c r="AD4535" s="55" t="n">
        <f aca="false">IF(AC4535,IF(01_因子設定!$B$13="最大化",AA4535-01_因子設定!$B$14,IF(01_因子設定!$B$13="最小化",01_因子設定!$B$15-AB4535,MIN(AA4535-01_因子設定!$B$14,01_因子設定!$B$15-AB4535))),-1E+030)</f>
        <v>-3.76592294318267</v>
      </c>
      <c r="AE4535" s="55" t="n">
        <f aca="false">IF(AC4535,IF(01_因子設定!$B$13="最大化",X4535,IF(01_因子設定!$B$13="最小化",-X4535,-ABS(X4535-01_因子設定!$B$16))),-1E+030)</f>
        <v>44.3085846125731</v>
      </c>
      <c r="AF4535" s="55" t="n">
        <f aca="false">AD4535+ROW()*0.000000001</f>
        <v>-3.76591840818267</v>
      </c>
      <c r="AG4535" s="55" t="n">
        <f aca="false">AE4535+ROW()*0.000000001</f>
        <v>44.3085891475731</v>
      </c>
    </row>
    <row r="4536" customFormat="false" ht="15" hidden="false" customHeight="false" outlineLevel="0" collapsed="false">
      <c r="A4536" s="0" t="n">
        <v>6</v>
      </c>
      <c r="B4536" s="0" t="n">
        <v>1</v>
      </c>
      <c r="C4536" s="0" t="n">
        <v>8</v>
      </c>
      <c r="D4536" s="0" t="n">
        <v>4</v>
      </c>
      <c r="E4536" s="0" t="n">
        <f aca="false">-1+A4536*0.25</f>
        <v>0.5</v>
      </c>
      <c r="F4536" s="0" t="n">
        <f aca="false">-1+B4536*0.25</f>
        <v>-0.75</v>
      </c>
      <c r="G4536" s="0" t="n">
        <f aca="false">-1+C4536*0.25</f>
        <v>1</v>
      </c>
      <c r="H4536" s="0" t="n">
        <f aca="false">-1+D4536*0.25</f>
        <v>0</v>
      </c>
      <c r="I4536" s="0" t="n">
        <f aca="false">1</f>
        <v>1</v>
      </c>
      <c r="J4536" s="0" t="n">
        <f aca="false">E4536</f>
        <v>0.5</v>
      </c>
      <c r="K4536" s="0" t="n">
        <f aca="false">F4536</f>
        <v>-0.75</v>
      </c>
      <c r="L4536" s="0" t="n">
        <f aca="false">G4536</f>
        <v>1</v>
      </c>
      <c r="M4536" s="0" t="n">
        <f aca="false">H4536</f>
        <v>0</v>
      </c>
      <c r="N4536" s="0" t="n">
        <f aca="false">E4536*F4536</f>
        <v>-0.375</v>
      </c>
      <c r="O4536" s="0" t="n">
        <f aca="false">E4536*G4536</f>
        <v>0.5</v>
      </c>
      <c r="P4536" s="0" t="n">
        <f aca="false">E4536*H4536</f>
        <v>0</v>
      </c>
      <c r="Q4536" s="0" t="n">
        <f aca="false">F4536*G4536</f>
        <v>-0.75</v>
      </c>
      <c r="R4536" s="0" t="n">
        <f aca="false">F4536*H4536</f>
        <v>-0</v>
      </c>
      <c r="S4536" s="0" t="n">
        <f aca="false">G4536*H4536</f>
        <v>0</v>
      </c>
      <c r="T4536" s="0" t="n">
        <f aca="false">E4536*E4536</f>
        <v>0.25</v>
      </c>
      <c r="U4536" s="0" t="n">
        <f aca="false">F4536*F4536</f>
        <v>0.5625</v>
      </c>
      <c r="V4536" s="0" t="n">
        <f aca="false">G4536*G4536</f>
        <v>1</v>
      </c>
      <c r="W4536" s="0" t="n">
        <f aca="false">H4536*H4536</f>
        <v>0</v>
      </c>
      <c r="X4536" s="0" t="n">
        <f aca="false">SUMPRODUCT(I4536:W4536,_XtX!$B$96:$P$96)</f>
        <v>44.5612207602339</v>
      </c>
      <c r="Y4536" s="0" t="n">
        <f aca="false">SUMPRODUCT(MMULT(I4536:W4536,_XtX!$B$78:$P$92),I4536:W4536)</f>
        <v>0.476191292032164</v>
      </c>
      <c r="Z4536" s="0" t="n">
        <f aca="false">04_回帰ANOVA!$K$19*04_回帰ANOVA!$K$14*SQRT(1+Y4536)</f>
        <v>1.58368831471718</v>
      </c>
      <c r="AA4536" s="0" t="n">
        <f aca="false">X4536-Z4536</f>
        <v>42.9775324455167</v>
      </c>
      <c r="AB4536" s="0" t="n">
        <f aca="false">X4536+Z4536</f>
        <v>46.1449090749511</v>
      </c>
      <c r="AC4536" s="54" t="b">
        <f aca="false">AND(E4536&gt;=01_因子設定!$L$5-0.000000001,E4536&lt;=01_因子設定!$M$5+0.000000001,F4536&gt;=01_因子設定!$L$6-0.000000001,F4536&lt;=01_因子設定!$M$6+0.000000001,G4536&gt;=01_因子設定!$L$7-0.000000001,G4536&lt;=01_因子設定!$M$7+0.000000001,H4536&gt;=01_因子設定!$L$8-0.000000001,H4536&lt;=01_因子設定!$M$8+0.000000001,IF(01_因子設定!$B$20="Box-Behnken",E4536^2+F4536^2+G4536^2+H4536^2&lt;=2+0.000000001,TRUE()))</f>
        <v>1</v>
      </c>
      <c r="AD4536" s="55" t="n">
        <f aca="false">IF(AC4536,IF(01_因子設定!$B$13="最大化",AA4536-01_因子設定!$B$14,IF(01_因子設定!$B$13="最小化",01_因子設定!$B$15-AB4536,MIN(AA4536-01_因子設定!$B$14,01_因子設定!$B$15-AB4536))),-1E+030)</f>
        <v>-3.5224675544833</v>
      </c>
      <c r="AE4536" s="55" t="n">
        <f aca="false">IF(AC4536,IF(01_因子設定!$B$13="最大化",X4536,IF(01_因子設定!$B$13="最小化",-X4536,-ABS(X4536-01_因子設定!$B$16))),-1E+030)</f>
        <v>44.5612207602339</v>
      </c>
      <c r="AF4536" s="55" t="n">
        <f aca="false">AD4536+ROW()*0.000000001</f>
        <v>-3.5224630184833</v>
      </c>
      <c r="AG4536" s="55" t="n">
        <f aca="false">AE4536+ROW()*0.000000001</f>
        <v>44.5612252962339</v>
      </c>
    </row>
    <row r="4537" customFormat="false" ht="15" hidden="false" customHeight="false" outlineLevel="0" collapsed="false">
      <c r="A4537" s="0" t="n">
        <v>6</v>
      </c>
      <c r="B4537" s="0" t="n">
        <v>1</v>
      </c>
      <c r="C4537" s="0" t="n">
        <v>8</v>
      </c>
      <c r="D4537" s="0" t="n">
        <v>5</v>
      </c>
      <c r="E4537" s="0" t="n">
        <f aca="false">-1+A4537*0.25</f>
        <v>0.5</v>
      </c>
      <c r="F4537" s="0" t="n">
        <f aca="false">-1+B4537*0.25</f>
        <v>-0.75</v>
      </c>
      <c r="G4537" s="0" t="n">
        <f aca="false">-1+C4537*0.25</f>
        <v>1</v>
      </c>
      <c r="H4537" s="0" t="n">
        <f aca="false">-1+D4537*0.25</f>
        <v>0.25</v>
      </c>
      <c r="I4537" s="0" t="n">
        <f aca="false">1</f>
        <v>1</v>
      </c>
      <c r="J4537" s="0" t="n">
        <f aca="false">E4537</f>
        <v>0.5</v>
      </c>
      <c r="K4537" s="0" t="n">
        <f aca="false">F4537</f>
        <v>-0.75</v>
      </c>
      <c r="L4537" s="0" t="n">
        <f aca="false">G4537</f>
        <v>1</v>
      </c>
      <c r="M4537" s="0" t="n">
        <f aca="false">H4537</f>
        <v>0.25</v>
      </c>
      <c r="N4537" s="0" t="n">
        <f aca="false">E4537*F4537</f>
        <v>-0.375</v>
      </c>
      <c r="O4537" s="0" t="n">
        <f aca="false">E4537*G4537</f>
        <v>0.5</v>
      </c>
      <c r="P4537" s="0" t="n">
        <f aca="false">E4537*H4537</f>
        <v>0.125</v>
      </c>
      <c r="Q4537" s="0" t="n">
        <f aca="false">F4537*G4537</f>
        <v>-0.75</v>
      </c>
      <c r="R4537" s="0" t="n">
        <f aca="false">F4537*H4537</f>
        <v>-0.1875</v>
      </c>
      <c r="S4537" s="0" t="n">
        <f aca="false">G4537*H4537</f>
        <v>0.25</v>
      </c>
      <c r="T4537" s="0" t="n">
        <f aca="false">E4537*E4537</f>
        <v>0.25</v>
      </c>
      <c r="U4537" s="0" t="n">
        <f aca="false">F4537*F4537</f>
        <v>0.5625</v>
      </c>
      <c r="V4537" s="0" t="n">
        <f aca="false">G4537*G4537</f>
        <v>1</v>
      </c>
      <c r="W4537" s="0" t="n">
        <f aca="false">H4537*H4537</f>
        <v>0.0625</v>
      </c>
      <c r="X4537" s="0" t="n">
        <f aca="false">SUMPRODUCT(I4537:W4537,_XtX!$B$96:$P$96)</f>
        <v>44.7660498903508</v>
      </c>
      <c r="Y4537" s="0" t="n">
        <f aca="false">SUMPRODUCT(MMULT(I4537:W4537,_XtX!$B$78:$P$92),I4537:W4537)</f>
        <v>0.459125719572369</v>
      </c>
      <c r="Z4537" s="0" t="n">
        <f aca="false">04_回帰ANOVA!$K$19*04_回帰ANOVA!$K$14*SQRT(1+Y4537)</f>
        <v>1.57450755575573</v>
      </c>
      <c r="AA4537" s="0" t="n">
        <f aca="false">X4537-Z4537</f>
        <v>43.1915423345951</v>
      </c>
      <c r="AB4537" s="0" t="n">
        <f aca="false">X4537+Z4537</f>
        <v>46.3405574461066</v>
      </c>
      <c r="AC4537" s="54" t="b">
        <f aca="false">AND(E4537&gt;=01_因子設定!$L$5-0.000000001,E4537&lt;=01_因子設定!$M$5+0.000000001,F4537&gt;=01_因子設定!$L$6-0.000000001,F4537&lt;=01_因子設定!$M$6+0.000000001,G4537&gt;=01_因子設定!$L$7-0.000000001,G4537&lt;=01_因子設定!$M$7+0.000000001,H4537&gt;=01_因子設定!$L$8-0.000000001,H4537&lt;=01_因子設定!$M$8+0.000000001,IF(01_因子設定!$B$20="Box-Behnken",E4537^2+F4537^2+G4537^2+H4537^2&lt;=2+0.000000001,TRUE()))</f>
        <v>1</v>
      </c>
      <c r="AD4537" s="55" t="n">
        <f aca="false">IF(AC4537,IF(01_因子設定!$B$13="最大化",AA4537-01_因子設定!$B$14,IF(01_因子設定!$B$13="最小化",01_因子設定!$B$15-AB4537,MIN(AA4537-01_因子設定!$B$14,01_因子設定!$B$15-AB4537))),-1E+030)</f>
        <v>-3.30845766540489</v>
      </c>
      <c r="AE4537" s="55" t="n">
        <f aca="false">IF(AC4537,IF(01_因子設定!$B$13="最大化",X4537,IF(01_因子設定!$B$13="最小化",-X4537,-ABS(X4537-01_因子設定!$B$16))),-1E+030)</f>
        <v>44.7660498903508</v>
      </c>
      <c r="AF4537" s="55" t="n">
        <f aca="false">AD4537+ROW()*0.000000001</f>
        <v>-3.30845312840489</v>
      </c>
      <c r="AG4537" s="55" t="n">
        <f aca="false">AE4537+ROW()*0.000000001</f>
        <v>44.7660544273508</v>
      </c>
    </row>
    <row r="4538" customFormat="false" ht="15" hidden="false" customHeight="false" outlineLevel="0" collapsed="false">
      <c r="A4538" s="0" t="n">
        <v>6</v>
      </c>
      <c r="B4538" s="0" t="n">
        <v>1</v>
      </c>
      <c r="C4538" s="0" t="n">
        <v>8</v>
      </c>
      <c r="D4538" s="0" t="n">
        <v>6</v>
      </c>
      <c r="E4538" s="0" t="n">
        <f aca="false">-1+A4538*0.25</f>
        <v>0.5</v>
      </c>
      <c r="F4538" s="0" t="n">
        <f aca="false">-1+B4538*0.25</f>
        <v>-0.75</v>
      </c>
      <c r="G4538" s="0" t="n">
        <f aca="false">-1+C4538*0.25</f>
        <v>1</v>
      </c>
      <c r="H4538" s="0" t="n">
        <f aca="false">-1+D4538*0.25</f>
        <v>0.5</v>
      </c>
      <c r="I4538" s="0" t="n">
        <f aca="false">1</f>
        <v>1</v>
      </c>
      <c r="J4538" s="0" t="n">
        <f aca="false">E4538</f>
        <v>0.5</v>
      </c>
      <c r="K4538" s="0" t="n">
        <f aca="false">F4538</f>
        <v>-0.75</v>
      </c>
      <c r="L4538" s="0" t="n">
        <f aca="false">G4538</f>
        <v>1</v>
      </c>
      <c r="M4538" s="0" t="n">
        <f aca="false">H4538</f>
        <v>0.5</v>
      </c>
      <c r="N4538" s="0" t="n">
        <f aca="false">E4538*F4538</f>
        <v>-0.375</v>
      </c>
      <c r="O4538" s="0" t="n">
        <f aca="false">E4538*G4538</f>
        <v>0.5</v>
      </c>
      <c r="P4538" s="0" t="n">
        <f aca="false">E4538*H4538</f>
        <v>0.25</v>
      </c>
      <c r="Q4538" s="0" t="n">
        <f aca="false">F4538*G4538</f>
        <v>-0.75</v>
      </c>
      <c r="R4538" s="0" t="n">
        <f aca="false">F4538*H4538</f>
        <v>-0.375</v>
      </c>
      <c r="S4538" s="0" t="n">
        <f aca="false">G4538*H4538</f>
        <v>0.5</v>
      </c>
      <c r="T4538" s="0" t="n">
        <f aca="false">E4538*E4538</f>
        <v>0.25</v>
      </c>
      <c r="U4538" s="0" t="n">
        <f aca="false">F4538*F4538</f>
        <v>0.5625</v>
      </c>
      <c r="V4538" s="0" t="n">
        <f aca="false">G4538*G4538</f>
        <v>1</v>
      </c>
      <c r="W4538" s="0" t="n">
        <f aca="false">H4538*H4538</f>
        <v>0.25</v>
      </c>
      <c r="X4538" s="0" t="n">
        <f aca="false">SUMPRODUCT(I4538:W4538,_XtX!$B$96:$P$96)</f>
        <v>44.9230720029239</v>
      </c>
      <c r="Y4538" s="0" t="n">
        <f aca="false">SUMPRODUCT(MMULT(I4538:W4538,_XtX!$B$78:$P$92),I4538:W4538)</f>
        <v>0.42602110745614</v>
      </c>
      <c r="Z4538" s="0" t="n">
        <f aca="false">04_回帰ANOVA!$K$19*04_回帰ANOVA!$K$14*SQRT(1+Y4538)</f>
        <v>1.55654388501114</v>
      </c>
      <c r="AA4538" s="0" t="n">
        <f aca="false">X4538-Z4538</f>
        <v>43.3665281179128</v>
      </c>
      <c r="AB4538" s="0" t="n">
        <f aca="false">X4538+Z4538</f>
        <v>46.4796158879351</v>
      </c>
      <c r="AC4538" s="54" t="b">
        <f aca="false">AND(E4538&gt;=01_因子設定!$L$5-0.000000001,E4538&lt;=01_因子設定!$M$5+0.000000001,F4538&gt;=01_因子設定!$L$6-0.000000001,F4538&lt;=01_因子設定!$M$6+0.000000001,G4538&gt;=01_因子設定!$L$7-0.000000001,G4538&lt;=01_因子設定!$M$7+0.000000001,H4538&gt;=01_因子設定!$L$8-0.000000001,H4538&lt;=01_因子設定!$M$8+0.000000001,IF(01_因子設定!$B$20="Box-Behnken",E4538^2+F4538^2+G4538^2+H4538^2&lt;=2+0.000000001,TRUE()))</f>
        <v>1</v>
      </c>
      <c r="AD4538" s="55" t="n">
        <f aca="false">IF(AC4538,IF(01_因子設定!$B$13="最大化",AA4538-01_因子設定!$B$14,IF(01_因子設定!$B$13="最小化",01_因子設定!$B$15-AB4538,MIN(AA4538-01_因子設定!$B$14,01_因子設定!$B$15-AB4538))),-1E+030)</f>
        <v>-3.13347188208719</v>
      </c>
      <c r="AE4538" s="55" t="n">
        <f aca="false">IF(AC4538,IF(01_因子設定!$B$13="最大化",X4538,IF(01_因子設定!$B$13="最小化",-X4538,-ABS(X4538-01_因子設定!$B$16))),-1E+030)</f>
        <v>44.9230720029239</v>
      </c>
      <c r="AF4538" s="55" t="n">
        <f aca="false">AD4538+ROW()*0.000000001</f>
        <v>-3.13346734408719</v>
      </c>
      <c r="AG4538" s="55" t="n">
        <f aca="false">AE4538+ROW()*0.000000001</f>
        <v>44.9230765409239</v>
      </c>
    </row>
    <row r="4539" customFormat="false" ht="15" hidden="false" customHeight="false" outlineLevel="0" collapsed="false">
      <c r="A4539" s="0" t="n">
        <v>6</v>
      </c>
      <c r="B4539" s="0" t="n">
        <v>1</v>
      </c>
      <c r="C4539" s="0" t="n">
        <v>8</v>
      </c>
      <c r="D4539" s="0" t="n">
        <v>7</v>
      </c>
      <c r="E4539" s="0" t="n">
        <f aca="false">-1+A4539*0.25</f>
        <v>0.5</v>
      </c>
      <c r="F4539" s="0" t="n">
        <f aca="false">-1+B4539*0.25</f>
        <v>-0.75</v>
      </c>
      <c r="G4539" s="0" t="n">
        <f aca="false">-1+C4539*0.25</f>
        <v>1</v>
      </c>
      <c r="H4539" s="0" t="n">
        <f aca="false">-1+D4539*0.25</f>
        <v>0.75</v>
      </c>
      <c r="I4539" s="0" t="n">
        <f aca="false">1</f>
        <v>1</v>
      </c>
      <c r="J4539" s="0" t="n">
        <f aca="false">E4539</f>
        <v>0.5</v>
      </c>
      <c r="K4539" s="0" t="n">
        <f aca="false">F4539</f>
        <v>-0.75</v>
      </c>
      <c r="L4539" s="0" t="n">
        <f aca="false">G4539</f>
        <v>1</v>
      </c>
      <c r="M4539" s="0" t="n">
        <f aca="false">H4539</f>
        <v>0.75</v>
      </c>
      <c r="N4539" s="0" t="n">
        <f aca="false">E4539*F4539</f>
        <v>-0.375</v>
      </c>
      <c r="O4539" s="0" t="n">
        <f aca="false">E4539*G4539</f>
        <v>0.5</v>
      </c>
      <c r="P4539" s="0" t="n">
        <f aca="false">E4539*H4539</f>
        <v>0.375</v>
      </c>
      <c r="Q4539" s="0" t="n">
        <f aca="false">F4539*G4539</f>
        <v>-0.75</v>
      </c>
      <c r="R4539" s="0" t="n">
        <f aca="false">F4539*H4539</f>
        <v>-0.5625</v>
      </c>
      <c r="S4539" s="0" t="n">
        <f aca="false">G4539*H4539</f>
        <v>0.75</v>
      </c>
      <c r="T4539" s="0" t="n">
        <f aca="false">E4539*E4539</f>
        <v>0.25</v>
      </c>
      <c r="U4539" s="0" t="n">
        <f aca="false">F4539*F4539</f>
        <v>0.5625</v>
      </c>
      <c r="V4539" s="0" t="n">
        <f aca="false">G4539*G4539</f>
        <v>1</v>
      </c>
      <c r="W4539" s="0" t="n">
        <f aca="false">H4539*H4539</f>
        <v>0.5625</v>
      </c>
      <c r="X4539" s="0" t="n">
        <f aca="false">SUMPRODUCT(I4539:W4539,_XtX!$B$96:$P$96)</f>
        <v>45.0322870979532</v>
      </c>
      <c r="Y4539" s="0" t="n">
        <f aca="false">SUMPRODUCT(MMULT(I4539:W4539,_XtX!$B$78:$P$92),I4539:W4539)</f>
        <v>0.431153771472953</v>
      </c>
      <c r="Z4539" s="0" t="n">
        <f aca="false">04_回帰ANOVA!$K$19*04_回帰ANOVA!$K$14*SQRT(1+Y4539)</f>
        <v>1.55934259562563</v>
      </c>
      <c r="AA4539" s="0" t="n">
        <f aca="false">X4539-Z4539</f>
        <v>43.4729445023276</v>
      </c>
      <c r="AB4539" s="0" t="n">
        <f aca="false">X4539+Z4539</f>
        <v>46.5916296935788</v>
      </c>
      <c r="AC4539" s="54" t="b">
        <f aca="false">AND(E4539&gt;=01_因子設定!$L$5-0.000000001,E4539&lt;=01_因子設定!$M$5+0.000000001,F4539&gt;=01_因子設定!$L$6-0.000000001,F4539&lt;=01_因子設定!$M$6+0.000000001,G4539&gt;=01_因子設定!$L$7-0.000000001,G4539&lt;=01_因子設定!$M$7+0.000000001,H4539&gt;=01_因子設定!$L$8-0.000000001,H4539&lt;=01_因子設定!$M$8+0.000000001,IF(01_因子設定!$B$20="Box-Behnken",E4539^2+F4539^2+G4539^2+H4539^2&lt;=2+0.000000001,TRUE()))</f>
        <v>1</v>
      </c>
      <c r="AD4539" s="55" t="n">
        <f aca="false">IF(AC4539,IF(01_因子設定!$B$13="最大化",AA4539-01_因子設定!$B$14,IF(01_因子設定!$B$13="最小化",01_因子設定!$B$15-AB4539,MIN(AA4539-01_因子設定!$B$14,01_因子設定!$B$15-AB4539))),-1E+030)</f>
        <v>-3.02705549767244</v>
      </c>
      <c r="AE4539" s="55" t="n">
        <f aca="false">IF(AC4539,IF(01_因子設定!$B$13="最大化",X4539,IF(01_因子設定!$B$13="最小化",-X4539,-ABS(X4539-01_因子設定!$B$16))),-1E+030)</f>
        <v>45.0322870979532</v>
      </c>
      <c r="AF4539" s="55" t="n">
        <f aca="false">AD4539+ROW()*0.000000001</f>
        <v>-3.02705095867244</v>
      </c>
      <c r="AG4539" s="55" t="n">
        <f aca="false">AE4539+ROW()*0.000000001</f>
        <v>45.0322916369532</v>
      </c>
    </row>
    <row r="4540" customFormat="false" ht="15" hidden="false" customHeight="false" outlineLevel="0" collapsed="false">
      <c r="A4540" s="0" t="n">
        <v>6</v>
      </c>
      <c r="B4540" s="0" t="n">
        <v>1</v>
      </c>
      <c r="C4540" s="0" t="n">
        <v>8</v>
      </c>
      <c r="D4540" s="0" t="n">
        <v>8</v>
      </c>
      <c r="E4540" s="0" t="n">
        <f aca="false">-1+A4540*0.25</f>
        <v>0.5</v>
      </c>
      <c r="F4540" s="0" t="n">
        <f aca="false">-1+B4540*0.25</f>
        <v>-0.75</v>
      </c>
      <c r="G4540" s="0" t="n">
        <f aca="false">-1+C4540*0.25</f>
        <v>1</v>
      </c>
      <c r="H4540" s="0" t="n">
        <f aca="false">-1+D4540*0.25</f>
        <v>1</v>
      </c>
      <c r="I4540" s="0" t="n">
        <f aca="false">1</f>
        <v>1</v>
      </c>
      <c r="J4540" s="0" t="n">
        <f aca="false">E4540</f>
        <v>0.5</v>
      </c>
      <c r="K4540" s="0" t="n">
        <f aca="false">F4540</f>
        <v>-0.75</v>
      </c>
      <c r="L4540" s="0" t="n">
        <f aca="false">G4540</f>
        <v>1</v>
      </c>
      <c r="M4540" s="0" t="n">
        <f aca="false">H4540</f>
        <v>1</v>
      </c>
      <c r="N4540" s="0" t="n">
        <f aca="false">E4540*F4540</f>
        <v>-0.375</v>
      </c>
      <c r="O4540" s="0" t="n">
        <f aca="false">E4540*G4540</f>
        <v>0.5</v>
      </c>
      <c r="P4540" s="0" t="n">
        <f aca="false">E4540*H4540</f>
        <v>0.5</v>
      </c>
      <c r="Q4540" s="0" t="n">
        <f aca="false">F4540*G4540</f>
        <v>-0.75</v>
      </c>
      <c r="R4540" s="0" t="n">
        <f aca="false">F4540*H4540</f>
        <v>-0.75</v>
      </c>
      <c r="S4540" s="0" t="n">
        <f aca="false">G4540*H4540</f>
        <v>1</v>
      </c>
      <c r="T4540" s="0" t="n">
        <f aca="false">E4540*E4540</f>
        <v>0.25</v>
      </c>
      <c r="U4540" s="0" t="n">
        <f aca="false">F4540*F4540</f>
        <v>0.5625</v>
      </c>
      <c r="V4540" s="0" t="n">
        <f aca="false">G4540*G4540</f>
        <v>1</v>
      </c>
      <c r="W4540" s="0" t="n">
        <f aca="false">H4540*H4540</f>
        <v>1</v>
      </c>
      <c r="X4540" s="0" t="n">
        <f aca="false">SUMPRODUCT(I4540:W4540,_XtX!$B$96:$P$96)</f>
        <v>45.0936951754386</v>
      </c>
      <c r="Y4540" s="0" t="n">
        <f aca="false">SUMPRODUCT(MMULT(I4540:W4540,_XtX!$B$78:$P$92),I4540:W4540)</f>
        <v>0.564984237938597</v>
      </c>
      <c r="Z4540" s="0" t="n">
        <f aca="false">04_回帰ANOVA!$K$19*04_回帰ANOVA!$K$14*SQRT(1+Y4540)</f>
        <v>1.63062229734503</v>
      </c>
      <c r="AA4540" s="0" t="n">
        <f aca="false">X4540-Z4540</f>
        <v>43.4630728780936</v>
      </c>
      <c r="AB4540" s="0" t="n">
        <f aca="false">X4540+Z4540</f>
        <v>46.7243174727836</v>
      </c>
      <c r="AC4540" s="54" t="b">
        <f aca="false">AND(E4540&gt;=01_因子設定!$L$5-0.000000001,E4540&lt;=01_因子設定!$M$5+0.000000001,F4540&gt;=01_因子設定!$L$6-0.000000001,F4540&lt;=01_因子設定!$M$6+0.000000001,G4540&gt;=01_因子設定!$L$7-0.000000001,G4540&lt;=01_因子設定!$M$7+0.000000001,H4540&gt;=01_因子設定!$L$8-0.000000001,H4540&lt;=01_因子設定!$M$8+0.000000001,IF(01_因子設定!$B$20="Box-Behnken",E4540^2+F4540^2+G4540^2+H4540^2&lt;=2+0.000000001,TRUE()))</f>
        <v>1</v>
      </c>
      <c r="AD4540" s="55" t="n">
        <f aca="false">IF(AC4540,IF(01_因子設定!$B$13="最大化",AA4540-01_因子設定!$B$14,IF(01_因子設定!$B$13="最小化",01_因子設定!$B$15-AB4540,MIN(AA4540-01_因子設定!$B$14,01_因子設定!$B$15-AB4540))),-1E+030)</f>
        <v>-3.03692712190644</v>
      </c>
      <c r="AE4540" s="55" t="n">
        <f aca="false">IF(AC4540,IF(01_因子設定!$B$13="最大化",X4540,IF(01_因子設定!$B$13="最小化",-X4540,-ABS(X4540-01_因子設定!$B$16))),-1E+030)</f>
        <v>45.0936951754386</v>
      </c>
      <c r="AF4540" s="55" t="n">
        <f aca="false">AD4540+ROW()*0.000000001</f>
        <v>-3.03692258190644</v>
      </c>
      <c r="AG4540" s="55" t="n">
        <f aca="false">AE4540+ROW()*0.000000001</f>
        <v>45.0936997154386</v>
      </c>
    </row>
    <row r="4541" customFormat="false" ht="15" hidden="false" customHeight="false" outlineLevel="0" collapsed="false">
      <c r="A4541" s="0" t="n">
        <v>6</v>
      </c>
      <c r="B4541" s="0" t="n">
        <v>2</v>
      </c>
      <c r="C4541" s="0" t="n">
        <v>0</v>
      </c>
      <c r="D4541" s="0" t="n">
        <v>0</v>
      </c>
      <c r="E4541" s="0" t="n">
        <f aca="false">-1+A4541*0.25</f>
        <v>0.5</v>
      </c>
      <c r="F4541" s="0" t="n">
        <f aca="false">-1+B4541*0.25</f>
        <v>-0.5</v>
      </c>
      <c r="G4541" s="0" t="n">
        <f aca="false">-1+C4541*0.25</f>
        <v>-1</v>
      </c>
      <c r="H4541" s="0" t="n">
        <f aca="false">-1+D4541*0.25</f>
        <v>-1</v>
      </c>
      <c r="I4541" s="0" t="n">
        <f aca="false">1</f>
        <v>1</v>
      </c>
      <c r="J4541" s="0" t="n">
        <f aca="false">E4541</f>
        <v>0.5</v>
      </c>
      <c r="K4541" s="0" t="n">
        <f aca="false">F4541</f>
        <v>-0.5</v>
      </c>
      <c r="L4541" s="0" t="n">
        <f aca="false">G4541</f>
        <v>-1</v>
      </c>
      <c r="M4541" s="0" t="n">
        <f aca="false">H4541</f>
        <v>-1</v>
      </c>
      <c r="N4541" s="0" t="n">
        <f aca="false">E4541*F4541</f>
        <v>-0.25</v>
      </c>
      <c r="O4541" s="0" t="n">
        <f aca="false">E4541*G4541</f>
        <v>-0.5</v>
      </c>
      <c r="P4541" s="0" t="n">
        <f aca="false">E4541*H4541</f>
        <v>-0.5</v>
      </c>
      <c r="Q4541" s="0" t="n">
        <f aca="false">F4541*G4541</f>
        <v>0.5</v>
      </c>
      <c r="R4541" s="0" t="n">
        <f aca="false">F4541*H4541</f>
        <v>0.5</v>
      </c>
      <c r="S4541" s="0" t="n">
        <f aca="false">G4541*H4541</f>
        <v>1</v>
      </c>
      <c r="T4541" s="0" t="n">
        <f aca="false">E4541*E4541</f>
        <v>0.25</v>
      </c>
      <c r="U4541" s="0" t="n">
        <f aca="false">F4541*F4541</f>
        <v>0.25</v>
      </c>
      <c r="V4541" s="0" t="n">
        <f aca="false">G4541*G4541</f>
        <v>1</v>
      </c>
      <c r="W4541" s="0" t="n">
        <f aca="false">H4541*H4541</f>
        <v>1</v>
      </c>
      <c r="X4541" s="0" t="n">
        <f aca="false">SUMPRODUCT(I4541:W4541,_XtX!$B$96:$P$96)</f>
        <v>44.4371710526316</v>
      </c>
      <c r="Y4541" s="0" t="n">
        <f aca="false">SUMPRODUCT(MMULT(I4541:W4541,_XtX!$B$78:$P$92),I4541:W4541)</f>
        <v>0.582488121345029</v>
      </c>
      <c r="Z4541" s="0" t="n">
        <f aca="false">04_回帰ANOVA!$K$19*04_回帰ANOVA!$K$14*SQRT(1+Y4541)</f>
        <v>1.63971595338287</v>
      </c>
      <c r="AA4541" s="0" t="n">
        <f aca="false">X4541-Z4541</f>
        <v>42.7974550992487</v>
      </c>
      <c r="AB4541" s="0" t="n">
        <f aca="false">X4541+Z4541</f>
        <v>46.0768870060144</v>
      </c>
      <c r="AC4541" s="54" t="b">
        <f aca="false">AND(E4541&gt;=01_因子設定!$L$5-0.000000001,E4541&lt;=01_因子設定!$M$5+0.000000001,F4541&gt;=01_因子設定!$L$6-0.000000001,F4541&lt;=01_因子設定!$M$6+0.000000001,G4541&gt;=01_因子設定!$L$7-0.000000001,G4541&lt;=01_因子設定!$M$7+0.000000001,H4541&gt;=01_因子設定!$L$8-0.000000001,H4541&lt;=01_因子設定!$M$8+0.000000001,IF(01_因子設定!$B$20="Box-Behnken",E4541^2+F4541^2+G4541^2+H4541^2&lt;=2+0.000000001,TRUE()))</f>
        <v>1</v>
      </c>
      <c r="AD4541" s="55" t="n">
        <f aca="false">IF(AC4541,IF(01_因子設定!$B$13="最大化",AA4541-01_因子設定!$B$14,IF(01_因子設定!$B$13="最小化",01_因子設定!$B$15-AB4541,MIN(AA4541-01_因子設定!$B$14,01_因子設定!$B$15-AB4541))),-1E+030)</f>
        <v>-3.70254490075129</v>
      </c>
      <c r="AE4541" s="55" t="n">
        <f aca="false">IF(AC4541,IF(01_因子設定!$B$13="最大化",X4541,IF(01_因子設定!$B$13="最小化",-X4541,-ABS(X4541-01_因子設定!$B$16))),-1E+030)</f>
        <v>44.4371710526316</v>
      </c>
      <c r="AF4541" s="55" t="n">
        <f aca="false">AD4541+ROW()*0.000000001</f>
        <v>-3.70254035975129</v>
      </c>
      <c r="AG4541" s="55" t="n">
        <f aca="false">AE4541+ROW()*0.000000001</f>
        <v>44.4371755936316</v>
      </c>
    </row>
    <row r="4542" customFormat="false" ht="15" hidden="false" customHeight="false" outlineLevel="0" collapsed="false">
      <c r="A4542" s="0" t="n">
        <v>6</v>
      </c>
      <c r="B4542" s="0" t="n">
        <v>2</v>
      </c>
      <c r="C4542" s="0" t="n">
        <v>0</v>
      </c>
      <c r="D4542" s="0" t="n">
        <v>1</v>
      </c>
      <c r="E4542" s="0" t="n">
        <f aca="false">-1+A4542*0.25</f>
        <v>0.5</v>
      </c>
      <c r="F4542" s="0" t="n">
        <f aca="false">-1+B4542*0.25</f>
        <v>-0.5</v>
      </c>
      <c r="G4542" s="0" t="n">
        <f aca="false">-1+C4542*0.25</f>
        <v>-1</v>
      </c>
      <c r="H4542" s="0" t="n">
        <f aca="false">-1+D4542*0.25</f>
        <v>-0.75</v>
      </c>
      <c r="I4542" s="0" t="n">
        <f aca="false">1</f>
        <v>1</v>
      </c>
      <c r="J4542" s="0" t="n">
        <f aca="false">E4542</f>
        <v>0.5</v>
      </c>
      <c r="K4542" s="0" t="n">
        <f aca="false">F4542</f>
        <v>-0.5</v>
      </c>
      <c r="L4542" s="0" t="n">
        <f aca="false">G4542</f>
        <v>-1</v>
      </c>
      <c r="M4542" s="0" t="n">
        <f aca="false">H4542</f>
        <v>-0.75</v>
      </c>
      <c r="N4542" s="0" t="n">
        <f aca="false">E4542*F4542</f>
        <v>-0.25</v>
      </c>
      <c r="O4542" s="0" t="n">
        <f aca="false">E4542*G4542</f>
        <v>-0.5</v>
      </c>
      <c r="P4542" s="0" t="n">
        <f aca="false">E4542*H4542</f>
        <v>-0.375</v>
      </c>
      <c r="Q4542" s="0" t="n">
        <f aca="false">F4542*G4542</f>
        <v>0.5</v>
      </c>
      <c r="R4542" s="0" t="n">
        <f aca="false">F4542*H4542</f>
        <v>0.375</v>
      </c>
      <c r="S4542" s="0" t="n">
        <f aca="false">G4542*H4542</f>
        <v>0.75</v>
      </c>
      <c r="T4542" s="0" t="n">
        <f aca="false">E4542*E4542</f>
        <v>0.25</v>
      </c>
      <c r="U4542" s="0" t="n">
        <f aca="false">F4542*F4542</f>
        <v>0.25</v>
      </c>
      <c r="V4542" s="0" t="n">
        <f aca="false">G4542*G4542</f>
        <v>1</v>
      </c>
      <c r="W4542" s="0" t="n">
        <f aca="false">H4542*H4542</f>
        <v>0.5625</v>
      </c>
      <c r="X4542" s="0" t="n">
        <f aca="false">SUMPRODUCT(I4542:W4542,_XtX!$B$96:$P$96)</f>
        <v>44.676197002924</v>
      </c>
      <c r="Y4542" s="0" t="n">
        <f aca="false">SUMPRODUCT(MMULT(I4542:W4542,_XtX!$B$78:$P$92),I4542:W4542)</f>
        <v>0.42602110745614</v>
      </c>
      <c r="Z4542" s="0" t="n">
        <f aca="false">04_回帰ANOVA!$K$19*04_回帰ANOVA!$K$14*SQRT(1+Y4542)</f>
        <v>1.55654388501114</v>
      </c>
      <c r="AA4542" s="0" t="n">
        <f aca="false">X4542-Z4542</f>
        <v>43.1196531179128</v>
      </c>
      <c r="AB4542" s="0" t="n">
        <f aca="false">X4542+Z4542</f>
        <v>46.2327408879351</v>
      </c>
      <c r="AC4542" s="54" t="b">
        <f aca="false">AND(E4542&gt;=01_因子設定!$L$5-0.000000001,E4542&lt;=01_因子設定!$M$5+0.000000001,F4542&gt;=01_因子設定!$L$6-0.000000001,F4542&lt;=01_因子設定!$M$6+0.000000001,G4542&gt;=01_因子設定!$L$7-0.000000001,G4542&lt;=01_因子設定!$M$7+0.000000001,H4542&gt;=01_因子設定!$L$8-0.000000001,H4542&lt;=01_因子設定!$M$8+0.000000001,IF(01_因子設定!$B$20="Box-Behnken",E4542^2+F4542^2+G4542^2+H4542^2&lt;=2+0.000000001,TRUE()))</f>
        <v>1</v>
      </c>
      <c r="AD4542" s="55" t="n">
        <f aca="false">IF(AC4542,IF(01_因子設定!$B$13="最大化",AA4542-01_因子設定!$B$14,IF(01_因子設定!$B$13="最小化",01_因子設定!$B$15-AB4542,MIN(AA4542-01_因子設定!$B$14,01_因子設定!$B$15-AB4542))),-1E+030)</f>
        <v>-3.38034688208718</v>
      </c>
      <c r="AE4542" s="55" t="n">
        <f aca="false">IF(AC4542,IF(01_因子設定!$B$13="最大化",X4542,IF(01_因子設定!$B$13="最小化",-X4542,-ABS(X4542-01_因子設定!$B$16))),-1E+030)</f>
        <v>44.676197002924</v>
      </c>
      <c r="AF4542" s="55" t="n">
        <f aca="false">AD4542+ROW()*0.000000001</f>
        <v>-3.38034234008718</v>
      </c>
      <c r="AG4542" s="55" t="n">
        <f aca="false">AE4542+ROW()*0.000000001</f>
        <v>44.676201544924</v>
      </c>
    </row>
    <row r="4543" customFormat="false" ht="15" hidden="false" customHeight="false" outlineLevel="0" collapsed="false">
      <c r="A4543" s="0" t="n">
        <v>6</v>
      </c>
      <c r="B4543" s="0" t="n">
        <v>2</v>
      </c>
      <c r="C4543" s="0" t="n">
        <v>0</v>
      </c>
      <c r="D4543" s="0" t="n">
        <v>2</v>
      </c>
      <c r="E4543" s="0" t="n">
        <f aca="false">-1+A4543*0.25</f>
        <v>0.5</v>
      </c>
      <c r="F4543" s="0" t="n">
        <f aca="false">-1+B4543*0.25</f>
        <v>-0.5</v>
      </c>
      <c r="G4543" s="0" t="n">
        <f aca="false">-1+C4543*0.25</f>
        <v>-1</v>
      </c>
      <c r="H4543" s="0" t="n">
        <f aca="false">-1+D4543*0.25</f>
        <v>-0.5</v>
      </c>
      <c r="I4543" s="0" t="n">
        <f aca="false">1</f>
        <v>1</v>
      </c>
      <c r="J4543" s="0" t="n">
        <f aca="false">E4543</f>
        <v>0.5</v>
      </c>
      <c r="K4543" s="0" t="n">
        <f aca="false">F4543</f>
        <v>-0.5</v>
      </c>
      <c r="L4543" s="0" t="n">
        <f aca="false">G4543</f>
        <v>-1</v>
      </c>
      <c r="M4543" s="0" t="n">
        <f aca="false">H4543</f>
        <v>-0.5</v>
      </c>
      <c r="N4543" s="0" t="n">
        <f aca="false">E4543*F4543</f>
        <v>-0.25</v>
      </c>
      <c r="O4543" s="0" t="n">
        <f aca="false">E4543*G4543</f>
        <v>-0.5</v>
      </c>
      <c r="P4543" s="0" t="n">
        <f aca="false">E4543*H4543</f>
        <v>-0.25</v>
      </c>
      <c r="Q4543" s="0" t="n">
        <f aca="false">F4543*G4543</f>
        <v>0.5</v>
      </c>
      <c r="R4543" s="0" t="n">
        <f aca="false">F4543*H4543</f>
        <v>0.25</v>
      </c>
      <c r="S4543" s="0" t="n">
        <f aca="false">G4543*H4543</f>
        <v>0.5</v>
      </c>
      <c r="T4543" s="0" t="n">
        <f aca="false">E4543*E4543</f>
        <v>0.25</v>
      </c>
      <c r="U4543" s="0" t="n">
        <f aca="false">F4543*F4543</f>
        <v>0.25</v>
      </c>
      <c r="V4543" s="0" t="n">
        <f aca="false">G4543*G4543</f>
        <v>1</v>
      </c>
      <c r="W4543" s="0" t="n">
        <f aca="false">H4543*H4543</f>
        <v>0.25</v>
      </c>
      <c r="X4543" s="0" t="n">
        <f aca="false">SUMPRODUCT(I4543:W4543,_XtX!$B$96:$P$96)</f>
        <v>44.8674159356725</v>
      </c>
      <c r="Y4543" s="0" t="n">
        <f aca="false">SUMPRODUCT(MMULT(I4543:W4543,_XtX!$B$78:$P$92),I4543:W4543)</f>
        <v>0.404719480994152</v>
      </c>
      <c r="Z4543" s="0" t="n">
        <f aca="false">04_回帰ANOVA!$K$19*04_回帰ANOVA!$K$14*SQRT(1+Y4543)</f>
        <v>1.54487446697867</v>
      </c>
      <c r="AA4543" s="0" t="n">
        <f aca="false">X4543-Z4543</f>
        <v>43.3225414686938</v>
      </c>
      <c r="AB4543" s="0" t="n">
        <f aca="false">X4543+Z4543</f>
        <v>46.4122904026512</v>
      </c>
      <c r="AC4543" s="54" t="b">
        <f aca="false">AND(E4543&gt;=01_因子設定!$L$5-0.000000001,E4543&lt;=01_因子設定!$M$5+0.000000001,F4543&gt;=01_因子設定!$L$6-0.000000001,F4543&lt;=01_因子設定!$M$6+0.000000001,G4543&gt;=01_因子設定!$L$7-0.000000001,G4543&lt;=01_因子設定!$M$7+0.000000001,H4543&gt;=01_因子設定!$L$8-0.000000001,H4543&lt;=01_因子設定!$M$8+0.000000001,IF(01_因子設定!$B$20="Box-Behnken",E4543^2+F4543^2+G4543^2+H4543^2&lt;=2+0.000000001,TRUE()))</f>
        <v>1</v>
      </c>
      <c r="AD4543" s="55" t="n">
        <f aca="false">IF(AC4543,IF(01_因子設定!$B$13="最大化",AA4543-01_因子設定!$B$14,IF(01_因子設定!$B$13="最小化",01_因子設定!$B$15-AB4543,MIN(AA4543-01_因子設定!$B$14,01_因子設定!$B$15-AB4543))),-1E+030)</f>
        <v>-3.17745853130619</v>
      </c>
      <c r="AE4543" s="55" t="n">
        <f aca="false">IF(AC4543,IF(01_因子設定!$B$13="最大化",X4543,IF(01_因子設定!$B$13="最小化",-X4543,-ABS(X4543-01_因子設定!$B$16))),-1E+030)</f>
        <v>44.8674159356725</v>
      </c>
      <c r="AF4543" s="55" t="n">
        <f aca="false">AD4543+ROW()*0.000000001</f>
        <v>-3.17745398830619</v>
      </c>
      <c r="AG4543" s="55" t="n">
        <f aca="false">AE4543+ROW()*0.000000001</f>
        <v>44.8674204786725</v>
      </c>
    </row>
    <row r="4544" customFormat="false" ht="15" hidden="false" customHeight="false" outlineLevel="0" collapsed="false">
      <c r="A4544" s="0" t="n">
        <v>6</v>
      </c>
      <c r="B4544" s="0" t="n">
        <v>2</v>
      </c>
      <c r="C4544" s="0" t="n">
        <v>0</v>
      </c>
      <c r="D4544" s="0" t="n">
        <v>3</v>
      </c>
      <c r="E4544" s="0" t="n">
        <f aca="false">-1+A4544*0.25</f>
        <v>0.5</v>
      </c>
      <c r="F4544" s="0" t="n">
        <f aca="false">-1+B4544*0.25</f>
        <v>-0.5</v>
      </c>
      <c r="G4544" s="0" t="n">
        <f aca="false">-1+C4544*0.25</f>
        <v>-1</v>
      </c>
      <c r="H4544" s="0" t="n">
        <f aca="false">-1+D4544*0.25</f>
        <v>-0.25</v>
      </c>
      <c r="I4544" s="0" t="n">
        <f aca="false">1</f>
        <v>1</v>
      </c>
      <c r="J4544" s="0" t="n">
        <f aca="false">E4544</f>
        <v>0.5</v>
      </c>
      <c r="K4544" s="0" t="n">
        <f aca="false">F4544</f>
        <v>-0.5</v>
      </c>
      <c r="L4544" s="0" t="n">
        <f aca="false">G4544</f>
        <v>-1</v>
      </c>
      <c r="M4544" s="0" t="n">
        <f aca="false">H4544</f>
        <v>-0.25</v>
      </c>
      <c r="N4544" s="0" t="n">
        <f aca="false">E4544*F4544</f>
        <v>-0.25</v>
      </c>
      <c r="O4544" s="0" t="n">
        <f aca="false">E4544*G4544</f>
        <v>-0.5</v>
      </c>
      <c r="P4544" s="0" t="n">
        <f aca="false">E4544*H4544</f>
        <v>-0.125</v>
      </c>
      <c r="Q4544" s="0" t="n">
        <f aca="false">F4544*G4544</f>
        <v>0.5</v>
      </c>
      <c r="R4544" s="0" t="n">
        <f aca="false">F4544*H4544</f>
        <v>0.125</v>
      </c>
      <c r="S4544" s="0" t="n">
        <f aca="false">G4544*H4544</f>
        <v>0.25</v>
      </c>
      <c r="T4544" s="0" t="n">
        <f aca="false">E4544*E4544</f>
        <v>0.25</v>
      </c>
      <c r="U4544" s="0" t="n">
        <f aca="false">F4544*F4544</f>
        <v>0.25</v>
      </c>
      <c r="V4544" s="0" t="n">
        <f aca="false">G4544*G4544</f>
        <v>1</v>
      </c>
      <c r="W4544" s="0" t="n">
        <f aca="false">H4544*H4544</f>
        <v>0.0625</v>
      </c>
      <c r="X4544" s="0" t="n">
        <f aca="false">SUMPRODUCT(I4544:W4544,_XtX!$B$96:$P$96)</f>
        <v>45.0108278508772</v>
      </c>
      <c r="Y4544" s="0" t="n">
        <f aca="false">SUMPRODUCT(MMULT(I4544:W4544,_XtX!$B$78:$P$92),I4544:W4544)</f>
        <v>0.428122715643275</v>
      </c>
      <c r="Z4544" s="0" t="n">
        <f aca="false">04_回帰ANOVA!$K$19*04_回帰ANOVA!$K$14*SQRT(1+Y4544)</f>
        <v>1.55769044623229</v>
      </c>
      <c r="AA4544" s="0" t="n">
        <f aca="false">X4544-Z4544</f>
        <v>43.4531374046449</v>
      </c>
      <c r="AB4544" s="0" t="n">
        <f aca="false">X4544+Z4544</f>
        <v>46.5685182971095</v>
      </c>
      <c r="AC4544" s="54" t="b">
        <f aca="false">AND(E4544&gt;=01_因子設定!$L$5-0.000000001,E4544&lt;=01_因子設定!$M$5+0.000000001,F4544&gt;=01_因子設定!$L$6-0.000000001,F4544&lt;=01_因子設定!$M$6+0.000000001,G4544&gt;=01_因子設定!$L$7-0.000000001,G4544&lt;=01_因子設定!$M$7+0.000000001,H4544&gt;=01_因子設定!$L$8-0.000000001,H4544&lt;=01_因子設定!$M$8+0.000000001,IF(01_因子設定!$B$20="Box-Behnken",E4544^2+F4544^2+G4544^2+H4544^2&lt;=2+0.000000001,TRUE()))</f>
        <v>1</v>
      </c>
      <c r="AD4544" s="55" t="n">
        <f aca="false">IF(AC4544,IF(01_因子設定!$B$13="最大化",AA4544-01_因子設定!$B$14,IF(01_因子設定!$B$13="最小化",01_因子設定!$B$15-AB4544,MIN(AA4544-01_因子設定!$B$14,01_因子設定!$B$15-AB4544))),-1E+030)</f>
        <v>-3.04686259535514</v>
      </c>
      <c r="AE4544" s="55" t="n">
        <f aca="false">IF(AC4544,IF(01_因子設定!$B$13="最大化",X4544,IF(01_因子設定!$B$13="最小化",-X4544,-ABS(X4544-01_因子設定!$B$16))),-1E+030)</f>
        <v>45.0108278508772</v>
      </c>
      <c r="AF4544" s="55" t="n">
        <f aca="false">AD4544+ROW()*0.000000001</f>
        <v>-3.04685805135514</v>
      </c>
      <c r="AG4544" s="55" t="n">
        <f aca="false">AE4544+ROW()*0.000000001</f>
        <v>45.0108323948772</v>
      </c>
    </row>
    <row r="4545" customFormat="false" ht="15" hidden="false" customHeight="false" outlineLevel="0" collapsed="false">
      <c r="A4545" s="0" t="n">
        <v>6</v>
      </c>
      <c r="B4545" s="0" t="n">
        <v>2</v>
      </c>
      <c r="C4545" s="0" t="n">
        <v>0</v>
      </c>
      <c r="D4545" s="0" t="n">
        <v>4</v>
      </c>
      <c r="E4545" s="0" t="n">
        <f aca="false">-1+A4545*0.25</f>
        <v>0.5</v>
      </c>
      <c r="F4545" s="0" t="n">
        <f aca="false">-1+B4545*0.25</f>
        <v>-0.5</v>
      </c>
      <c r="G4545" s="0" t="n">
        <f aca="false">-1+C4545*0.25</f>
        <v>-1</v>
      </c>
      <c r="H4545" s="0" t="n">
        <f aca="false">-1+D4545*0.25</f>
        <v>0</v>
      </c>
      <c r="I4545" s="0" t="n">
        <f aca="false">1</f>
        <v>1</v>
      </c>
      <c r="J4545" s="0" t="n">
        <f aca="false">E4545</f>
        <v>0.5</v>
      </c>
      <c r="K4545" s="0" t="n">
        <f aca="false">F4545</f>
        <v>-0.5</v>
      </c>
      <c r="L4545" s="0" t="n">
        <f aca="false">G4545</f>
        <v>-1</v>
      </c>
      <c r="M4545" s="0" t="n">
        <f aca="false">H4545</f>
        <v>0</v>
      </c>
      <c r="N4545" s="0" t="n">
        <f aca="false">E4545*F4545</f>
        <v>-0.25</v>
      </c>
      <c r="O4545" s="0" t="n">
        <f aca="false">E4545*G4545</f>
        <v>-0.5</v>
      </c>
      <c r="P4545" s="0" t="n">
        <f aca="false">E4545*H4545</f>
        <v>0</v>
      </c>
      <c r="Q4545" s="0" t="n">
        <f aca="false">F4545*G4545</f>
        <v>0.5</v>
      </c>
      <c r="R4545" s="0" t="n">
        <f aca="false">F4545*H4545</f>
        <v>-0</v>
      </c>
      <c r="S4545" s="0" t="n">
        <f aca="false">G4545*H4545</f>
        <v>-0</v>
      </c>
      <c r="T4545" s="0" t="n">
        <f aca="false">E4545*E4545</f>
        <v>0.25</v>
      </c>
      <c r="U4545" s="0" t="n">
        <f aca="false">F4545*F4545</f>
        <v>0.25</v>
      </c>
      <c r="V4545" s="0" t="n">
        <f aca="false">G4545*G4545</f>
        <v>1</v>
      </c>
      <c r="W4545" s="0" t="n">
        <f aca="false">H4545*H4545</f>
        <v>0</v>
      </c>
      <c r="X4545" s="0" t="n">
        <f aca="false">SUMPRODUCT(I4545:W4545,_XtX!$B$96:$P$96)</f>
        <v>45.106432748538</v>
      </c>
      <c r="Y4545" s="0" t="n">
        <f aca="false">SUMPRODUCT(MMULT(I4545:W4545,_XtX!$B$78:$P$92),I4545:W4545)</f>
        <v>0.441954495614035</v>
      </c>
      <c r="Z4545" s="0" t="n">
        <f aca="false">04_回帰ANOVA!$K$19*04_回帰ANOVA!$K$14*SQRT(1+Y4545)</f>
        <v>1.56521560968066</v>
      </c>
      <c r="AA4545" s="0" t="n">
        <f aca="false">X4545-Z4545</f>
        <v>43.5412171388573</v>
      </c>
      <c r="AB4545" s="0" t="n">
        <f aca="false">X4545+Z4545</f>
        <v>46.6716483582186</v>
      </c>
      <c r="AC4545" s="54" t="b">
        <f aca="false">AND(E4545&gt;=01_因子設定!$L$5-0.000000001,E4545&lt;=01_因子設定!$M$5+0.000000001,F4545&gt;=01_因子設定!$L$6-0.000000001,F4545&lt;=01_因子設定!$M$6+0.000000001,G4545&gt;=01_因子設定!$L$7-0.000000001,G4545&lt;=01_因子設定!$M$7+0.000000001,H4545&gt;=01_因子設定!$L$8-0.000000001,H4545&lt;=01_因子設定!$M$8+0.000000001,IF(01_因子設定!$B$20="Box-Behnken",E4545^2+F4545^2+G4545^2+H4545^2&lt;=2+0.000000001,TRUE()))</f>
        <v>1</v>
      </c>
      <c r="AD4545" s="55" t="n">
        <f aca="false">IF(AC4545,IF(01_因子設定!$B$13="最大化",AA4545-01_因子設定!$B$14,IF(01_因子設定!$B$13="最小化",01_因子設定!$B$15-AB4545,MIN(AA4545-01_因子設定!$B$14,01_因子設定!$B$15-AB4545))),-1E+030)</f>
        <v>-2.95878286114269</v>
      </c>
      <c r="AE4545" s="55" t="n">
        <f aca="false">IF(AC4545,IF(01_因子設定!$B$13="最大化",X4545,IF(01_因子設定!$B$13="最小化",-X4545,-ABS(X4545-01_因子設定!$B$16))),-1E+030)</f>
        <v>45.106432748538</v>
      </c>
      <c r="AF4545" s="55" t="n">
        <f aca="false">AD4545+ROW()*0.000000001</f>
        <v>-2.95877831614269</v>
      </c>
      <c r="AG4545" s="55" t="n">
        <f aca="false">AE4545+ROW()*0.000000001</f>
        <v>45.106437293538</v>
      </c>
    </row>
    <row r="4546" customFormat="false" ht="15" hidden="false" customHeight="false" outlineLevel="0" collapsed="false">
      <c r="A4546" s="0" t="n">
        <v>6</v>
      </c>
      <c r="B4546" s="0" t="n">
        <v>2</v>
      </c>
      <c r="C4546" s="0" t="n">
        <v>0</v>
      </c>
      <c r="D4546" s="0" t="n">
        <v>5</v>
      </c>
      <c r="E4546" s="0" t="n">
        <f aca="false">-1+A4546*0.25</f>
        <v>0.5</v>
      </c>
      <c r="F4546" s="0" t="n">
        <f aca="false">-1+B4546*0.25</f>
        <v>-0.5</v>
      </c>
      <c r="G4546" s="0" t="n">
        <f aca="false">-1+C4546*0.25</f>
        <v>-1</v>
      </c>
      <c r="H4546" s="0" t="n">
        <f aca="false">-1+D4546*0.25</f>
        <v>0.25</v>
      </c>
      <c r="I4546" s="0" t="n">
        <f aca="false">1</f>
        <v>1</v>
      </c>
      <c r="J4546" s="0" t="n">
        <f aca="false">E4546</f>
        <v>0.5</v>
      </c>
      <c r="K4546" s="0" t="n">
        <f aca="false">F4546</f>
        <v>-0.5</v>
      </c>
      <c r="L4546" s="0" t="n">
        <f aca="false">G4546</f>
        <v>-1</v>
      </c>
      <c r="M4546" s="0" t="n">
        <f aca="false">H4546</f>
        <v>0.25</v>
      </c>
      <c r="N4546" s="0" t="n">
        <f aca="false">E4546*F4546</f>
        <v>-0.25</v>
      </c>
      <c r="O4546" s="0" t="n">
        <f aca="false">E4546*G4546</f>
        <v>-0.5</v>
      </c>
      <c r="P4546" s="0" t="n">
        <f aca="false">E4546*H4546</f>
        <v>0.125</v>
      </c>
      <c r="Q4546" s="0" t="n">
        <f aca="false">F4546*G4546</f>
        <v>0.5</v>
      </c>
      <c r="R4546" s="0" t="n">
        <f aca="false">F4546*H4546</f>
        <v>-0.125</v>
      </c>
      <c r="S4546" s="0" t="n">
        <f aca="false">G4546*H4546</f>
        <v>-0.25</v>
      </c>
      <c r="T4546" s="0" t="n">
        <f aca="false">E4546*E4546</f>
        <v>0.25</v>
      </c>
      <c r="U4546" s="0" t="n">
        <f aca="false">F4546*F4546</f>
        <v>0.25</v>
      </c>
      <c r="V4546" s="0" t="n">
        <f aca="false">G4546*G4546</f>
        <v>1</v>
      </c>
      <c r="W4546" s="0" t="n">
        <f aca="false">H4546*H4546</f>
        <v>0.0625</v>
      </c>
      <c r="X4546" s="0" t="n">
        <f aca="false">SUMPRODUCT(I4546:W4546,_XtX!$B$96:$P$96)</f>
        <v>45.1542306286549</v>
      </c>
      <c r="Y4546" s="0" t="n">
        <f aca="false">SUMPRODUCT(MMULT(I4546:W4546,_XtX!$B$78:$P$92),I4546:W4546)</f>
        <v>0.428122715643275</v>
      </c>
      <c r="Z4546" s="0" t="n">
        <f aca="false">04_回帰ANOVA!$K$19*04_回帰ANOVA!$K$14*SQRT(1+Y4546)</f>
        <v>1.55769044623229</v>
      </c>
      <c r="AA4546" s="0" t="n">
        <f aca="false">X4546-Z4546</f>
        <v>43.5965401824226</v>
      </c>
      <c r="AB4546" s="0" t="n">
        <f aca="false">X4546+Z4546</f>
        <v>46.7119210748872</v>
      </c>
      <c r="AC4546" s="54" t="b">
        <f aca="false">AND(E4546&gt;=01_因子設定!$L$5-0.000000001,E4546&lt;=01_因子設定!$M$5+0.000000001,F4546&gt;=01_因子設定!$L$6-0.000000001,F4546&lt;=01_因子設定!$M$6+0.000000001,G4546&gt;=01_因子設定!$L$7-0.000000001,G4546&lt;=01_因子設定!$M$7+0.000000001,H4546&gt;=01_因子設定!$L$8-0.000000001,H4546&lt;=01_因子設定!$M$8+0.000000001,IF(01_因子設定!$B$20="Box-Behnken",E4546^2+F4546^2+G4546^2+H4546^2&lt;=2+0.000000001,TRUE()))</f>
        <v>1</v>
      </c>
      <c r="AD4546" s="55" t="n">
        <f aca="false">IF(AC4546,IF(01_因子設定!$B$13="最大化",AA4546-01_因子設定!$B$14,IF(01_因子設定!$B$13="最小化",01_因子設定!$B$15-AB4546,MIN(AA4546-01_因子設定!$B$14,01_因子設定!$B$15-AB4546))),-1E+030)</f>
        <v>-2.90345981757736</v>
      </c>
      <c r="AE4546" s="55" t="n">
        <f aca="false">IF(AC4546,IF(01_因子設定!$B$13="最大化",X4546,IF(01_因子設定!$B$13="最小化",-X4546,-ABS(X4546-01_因子設定!$B$16))),-1E+030)</f>
        <v>45.1542306286549</v>
      </c>
      <c r="AF4546" s="55" t="n">
        <f aca="false">AD4546+ROW()*0.000000001</f>
        <v>-2.90345527157736</v>
      </c>
      <c r="AG4546" s="55" t="n">
        <f aca="false">AE4546+ROW()*0.000000001</f>
        <v>45.1542351746549</v>
      </c>
    </row>
    <row r="4547" customFormat="false" ht="15" hidden="false" customHeight="false" outlineLevel="0" collapsed="false">
      <c r="A4547" s="0" t="n">
        <v>6</v>
      </c>
      <c r="B4547" s="0" t="n">
        <v>2</v>
      </c>
      <c r="C4547" s="0" t="n">
        <v>0</v>
      </c>
      <c r="D4547" s="0" t="n">
        <v>6</v>
      </c>
      <c r="E4547" s="0" t="n">
        <f aca="false">-1+A4547*0.25</f>
        <v>0.5</v>
      </c>
      <c r="F4547" s="0" t="n">
        <f aca="false">-1+B4547*0.25</f>
        <v>-0.5</v>
      </c>
      <c r="G4547" s="0" t="n">
        <f aca="false">-1+C4547*0.25</f>
        <v>-1</v>
      </c>
      <c r="H4547" s="0" t="n">
        <f aca="false">-1+D4547*0.25</f>
        <v>0.5</v>
      </c>
      <c r="I4547" s="0" t="n">
        <f aca="false">1</f>
        <v>1</v>
      </c>
      <c r="J4547" s="0" t="n">
        <f aca="false">E4547</f>
        <v>0.5</v>
      </c>
      <c r="K4547" s="0" t="n">
        <f aca="false">F4547</f>
        <v>-0.5</v>
      </c>
      <c r="L4547" s="0" t="n">
        <f aca="false">G4547</f>
        <v>-1</v>
      </c>
      <c r="M4547" s="0" t="n">
        <f aca="false">H4547</f>
        <v>0.5</v>
      </c>
      <c r="N4547" s="0" t="n">
        <f aca="false">E4547*F4547</f>
        <v>-0.25</v>
      </c>
      <c r="O4547" s="0" t="n">
        <f aca="false">E4547*G4547</f>
        <v>-0.5</v>
      </c>
      <c r="P4547" s="0" t="n">
        <f aca="false">E4547*H4547</f>
        <v>0.25</v>
      </c>
      <c r="Q4547" s="0" t="n">
        <f aca="false">F4547*G4547</f>
        <v>0.5</v>
      </c>
      <c r="R4547" s="0" t="n">
        <f aca="false">F4547*H4547</f>
        <v>-0.25</v>
      </c>
      <c r="S4547" s="0" t="n">
        <f aca="false">G4547*H4547</f>
        <v>-0.5</v>
      </c>
      <c r="T4547" s="0" t="n">
        <f aca="false">E4547*E4547</f>
        <v>0.25</v>
      </c>
      <c r="U4547" s="0" t="n">
        <f aca="false">F4547*F4547</f>
        <v>0.25</v>
      </c>
      <c r="V4547" s="0" t="n">
        <f aca="false">G4547*G4547</f>
        <v>1</v>
      </c>
      <c r="W4547" s="0" t="n">
        <f aca="false">H4547*H4547</f>
        <v>0.25</v>
      </c>
      <c r="X4547" s="0" t="n">
        <f aca="false">SUMPRODUCT(I4547:W4547,_XtX!$B$96:$P$96)</f>
        <v>45.154221491228</v>
      </c>
      <c r="Y4547" s="0" t="n">
        <f aca="false">SUMPRODUCT(MMULT(I4547:W4547,_XtX!$B$78:$P$92),I4547:W4547)</f>
        <v>0.404719480994152</v>
      </c>
      <c r="Z4547" s="0" t="n">
        <f aca="false">04_回帰ANOVA!$K$19*04_回帰ANOVA!$K$14*SQRT(1+Y4547)</f>
        <v>1.54487446697867</v>
      </c>
      <c r="AA4547" s="0" t="n">
        <f aca="false">X4547-Z4547</f>
        <v>43.6093470242494</v>
      </c>
      <c r="AB4547" s="0" t="n">
        <f aca="false">X4547+Z4547</f>
        <v>46.6990959582067</v>
      </c>
      <c r="AC4547" s="54" t="b">
        <f aca="false">AND(E4547&gt;=01_因子設定!$L$5-0.000000001,E4547&lt;=01_因子設定!$M$5+0.000000001,F4547&gt;=01_因子設定!$L$6-0.000000001,F4547&lt;=01_因子設定!$M$6+0.000000001,G4547&gt;=01_因子設定!$L$7-0.000000001,G4547&lt;=01_因子設定!$M$7+0.000000001,H4547&gt;=01_因子設定!$L$8-0.000000001,H4547&lt;=01_因子設定!$M$8+0.000000001,IF(01_因子設定!$B$20="Box-Behnken",E4547^2+F4547^2+G4547^2+H4547^2&lt;=2+0.000000001,TRUE()))</f>
        <v>1</v>
      </c>
      <c r="AD4547" s="55" t="n">
        <f aca="false">IF(AC4547,IF(01_因子設定!$B$13="最大化",AA4547-01_因子設定!$B$14,IF(01_因子設定!$B$13="最小化",01_因子設定!$B$15-AB4547,MIN(AA4547-01_因子設定!$B$14,01_因子設定!$B$15-AB4547))),-1E+030)</f>
        <v>-2.89065297575063</v>
      </c>
      <c r="AE4547" s="55" t="n">
        <f aca="false">IF(AC4547,IF(01_因子設定!$B$13="最大化",X4547,IF(01_因子設定!$B$13="最小化",-X4547,-ABS(X4547-01_因子設定!$B$16))),-1E+030)</f>
        <v>45.154221491228</v>
      </c>
      <c r="AF4547" s="55" t="n">
        <f aca="false">AD4547+ROW()*0.000000001</f>
        <v>-2.89064842875063</v>
      </c>
      <c r="AG4547" s="55" t="n">
        <f aca="false">AE4547+ROW()*0.000000001</f>
        <v>45.154226038228</v>
      </c>
    </row>
    <row r="4548" customFormat="false" ht="15" hidden="false" customHeight="false" outlineLevel="0" collapsed="false">
      <c r="A4548" s="0" t="n">
        <v>6</v>
      </c>
      <c r="B4548" s="0" t="n">
        <v>2</v>
      </c>
      <c r="C4548" s="0" t="n">
        <v>0</v>
      </c>
      <c r="D4548" s="0" t="n">
        <v>7</v>
      </c>
      <c r="E4548" s="0" t="n">
        <f aca="false">-1+A4548*0.25</f>
        <v>0.5</v>
      </c>
      <c r="F4548" s="0" t="n">
        <f aca="false">-1+B4548*0.25</f>
        <v>-0.5</v>
      </c>
      <c r="G4548" s="0" t="n">
        <f aca="false">-1+C4548*0.25</f>
        <v>-1</v>
      </c>
      <c r="H4548" s="0" t="n">
        <f aca="false">-1+D4548*0.25</f>
        <v>0.75</v>
      </c>
      <c r="I4548" s="0" t="n">
        <f aca="false">1</f>
        <v>1</v>
      </c>
      <c r="J4548" s="0" t="n">
        <f aca="false">E4548</f>
        <v>0.5</v>
      </c>
      <c r="K4548" s="0" t="n">
        <f aca="false">F4548</f>
        <v>-0.5</v>
      </c>
      <c r="L4548" s="0" t="n">
        <f aca="false">G4548</f>
        <v>-1</v>
      </c>
      <c r="M4548" s="0" t="n">
        <f aca="false">H4548</f>
        <v>0.75</v>
      </c>
      <c r="N4548" s="0" t="n">
        <f aca="false">E4548*F4548</f>
        <v>-0.25</v>
      </c>
      <c r="O4548" s="0" t="n">
        <f aca="false">E4548*G4548</f>
        <v>-0.5</v>
      </c>
      <c r="P4548" s="0" t="n">
        <f aca="false">E4548*H4548</f>
        <v>0.375</v>
      </c>
      <c r="Q4548" s="0" t="n">
        <f aca="false">F4548*G4548</f>
        <v>0.5</v>
      </c>
      <c r="R4548" s="0" t="n">
        <f aca="false">F4548*H4548</f>
        <v>-0.375</v>
      </c>
      <c r="S4548" s="0" t="n">
        <f aca="false">G4548*H4548</f>
        <v>-0.75</v>
      </c>
      <c r="T4548" s="0" t="n">
        <f aca="false">E4548*E4548</f>
        <v>0.25</v>
      </c>
      <c r="U4548" s="0" t="n">
        <f aca="false">F4548*F4548</f>
        <v>0.25</v>
      </c>
      <c r="V4548" s="0" t="n">
        <f aca="false">G4548*G4548</f>
        <v>1</v>
      </c>
      <c r="W4548" s="0" t="n">
        <f aca="false">H4548*H4548</f>
        <v>0.5625</v>
      </c>
      <c r="X4548" s="0" t="n">
        <f aca="false">SUMPRODUCT(I4548:W4548,_XtX!$B$96:$P$96)</f>
        <v>45.1064053362573</v>
      </c>
      <c r="Y4548" s="0" t="n">
        <f aca="false">SUMPRODUCT(MMULT(I4548:W4548,_XtX!$B$78:$P$92),I4548:W4548)</f>
        <v>0.42602110745614</v>
      </c>
      <c r="Z4548" s="0" t="n">
        <f aca="false">04_回帰ANOVA!$K$19*04_回帰ANOVA!$K$14*SQRT(1+Y4548)</f>
        <v>1.55654388501114</v>
      </c>
      <c r="AA4548" s="0" t="n">
        <f aca="false">X4548-Z4548</f>
        <v>43.5498614512462</v>
      </c>
      <c r="AB4548" s="0" t="n">
        <f aca="false">X4548+Z4548</f>
        <v>46.6629492212684</v>
      </c>
      <c r="AC4548" s="54" t="b">
        <f aca="false">AND(E4548&gt;=01_因子設定!$L$5-0.000000001,E4548&lt;=01_因子設定!$M$5+0.000000001,F4548&gt;=01_因子設定!$L$6-0.000000001,F4548&lt;=01_因子設定!$M$6+0.000000001,G4548&gt;=01_因子設定!$L$7-0.000000001,G4548&lt;=01_因子設定!$M$7+0.000000001,H4548&gt;=01_因子設定!$L$8-0.000000001,H4548&lt;=01_因子設定!$M$8+0.000000001,IF(01_因子設定!$B$20="Box-Behnken",E4548^2+F4548^2+G4548^2+H4548^2&lt;=2+0.000000001,TRUE()))</f>
        <v>1</v>
      </c>
      <c r="AD4548" s="55" t="n">
        <f aca="false">IF(AC4548,IF(01_因子設定!$B$13="最大化",AA4548-01_因子設定!$B$14,IF(01_因子設定!$B$13="最小化",01_因子設定!$B$15-AB4548,MIN(AA4548-01_因子設定!$B$14,01_因子設定!$B$15-AB4548))),-1E+030)</f>
        <v>-2.95013854875385</v>
      </c>
      <c r="AE4548" s="55" t="n">
        <f aca="false">IF(AC4548,IF(01_因子設定!$B$13="最大化",X4548,IF(01_因子設定!$B$13="最小化",-X4548,-ABS(X4548-01_因子設定!$B$16))),-1E+030)</f>
        <v>45.1064053362573</v>
      </c>
      <c r="AF4548" s="55" t="n">
        <f aca="false">AD4548+ROW()*0.000000001</f>
        <v>-2.95013400075385</v>
      </c>
      <c r="AG4548" s="55" t="n">
        <f aca="false">AE4548+ROW()*0.000000001</f>
        <v>45.1064098842573</v>
      </c>
    </row>
    <row r="4549" customFormat="false" ht="15" hidden="false" customHeight="false" outlineLevel="0" collapsed="false">
      <c r="A4549" s="0" t="n">
        <v>6</v>
      </c>
      <c r="B4549" s="0" t="n">
        <v>2</v>
      </c>
      <c r="C4549" s="0" t="n">
        <v>0</v>
      </c>
      <c r="D4549" s="0" t="n">
        <v>8</v>
      </c>
      <c r="E4549" s="0" t="n">
        <f aca="false">-1+A4549*0.25</f>
        <v>0.5</v>
      </c>
      <c r="F4549" s="0" t="n">
        <f aca="false">-1+B4549*0.25</f>
        <v>-0.5</v>
      </c>
      <c r="G4549" s="0" t="n">
        <f aca="false">-1+C4549*0.25</f>
        <v>-1</v>
      </c>
      <c r="H4549" s="0" t="n">
        <f aca="false">-1+D4549*0.25</f>
        <v>1</v>
      </c>
      <c r="I4549" s="0" t="n">
        <f aca="false">1</f>
        <v>1</v>
      </c>
      <c r="J4549" s="0" t="n">
        <f aca="false">E4549</f>
        <v>0.5</v>
      </c>
      <c r="K4549" s="0" t="n">
        <f aca="false">F4549</f>
        <v>-0.5</v>
      </c>
      <c r="L4549" s="0" t="n">
        <f aca="false">G4549</f>
        <v>-1</v>
      </c>
      <c r="M4549" s="0" t="n">
        <f aca="false">H4549</f>
        <v>1</v>
      </c>
      <c r="N4549" s="0" t="n">
        <f aca="false">E4549*F4549</f>
        <v>-0.25</v>
      </c>
      <c r="O4549" s="0" t="n">
        <f aca="false">E4549*G4549</f>
        <v>-0.5</v>
      </c>
      <c r="P4549" s="0" t="n">
        <f aca="false">E4549*H4549</f>
        <v>0.5</v>
      </c>
      <c r="Q4549" s="0" t="n">
        <f aca="false">F4549*G4549</f>
        <v>0.5</v>
      </c>
      <c r="R4549" s="0" t="n">
        <f aca="false">F4549*H4549</f>
        <v>-0.5</v>
      </c>
      <c r="S4549" s="0" t="n">
        <f aca="false">G4549*H4549</f>
        <v>-1</v>
      </c>
      <c r="T4549" s="0" t="n">
        <f aca="false">E4549*E4549</f>
        <v>0.25</v>
      </c>
      <c r="U4549" s="0" t="n">
        <f aca="false">F4549*F4549</f>
        <v>0.25</v>
      </c>
      <c r="V4549" s="0" t="n">
        <f aca="false">G4549*G4549</f>
        <v>1</v>
      </c>
      <c r="W4549" s="0" t="n">
        <f aca="false">H4549*H4549</f>
        <v>1</v>
      </c>
      <c r="X4549" s="0" t="n">
        <f aca="false">SUMPRODUCT(I4549:W4549,_XtX!$B$96:$P$96)</f>
        <v>45.0107821637427</v>
      </c>
      <c r="Y4549" s="0" t="n">
        <f aca="false">SUMPRODUCT(MMULT(I4549:W4549,_XtX!$B$78:$P$92),I4549:W4549)</f>
        <v>0.582488121345029</v>
      </c>
      <c r="Z4549" s="0" t="n">
        <f aca="false">04_回帰ANOVA!$K$19*04_回帰ANOVA!$K$14*SQRT(1+Y4549)</f>
        <v>1.63971595338287</v>
      </c>
      <c r="AA4549" s="0" t="n">
        <f aca="false">X4549-Z4549</f>
        <v>43.3710662103598</v>
      </c>
      <c r="AB4549" s="0" t="n">
        <f aca="false">X4549+Z4549</f>
        <v>46.6504981171256</v>
      </c>
      <c r="AC4549" s="54" t="b">
        <f aca="false">AND(E4549&gt;=01_因子設定!$L$5-0.000000001,E4549&lt;=01_因子設定!$M$5+0.000000001,F4549&gt;=01_因子設定!$L$6-0.000000001,F4549&lt;=01_因子設定!$M$6+0.000000001,G4549&gt;=01_因子設定!$L$7-0.000000001,G4549&lt;=01_因子設定!$M$7+0.000000001,H4549&gt;=01_因子設定!$L$8-0.000000001,H4549&lt;=01_因子設定!$M$8+0.000000001,IF(01_因子設定!$B$20="Box-Behnken",E4549^2+F4549^2+G4549^2+H4549^2&lt;=2+0.000000001,TRUE()))</f>
        <v>1</v>
      </c>
      <c r="AD4549" s="55" t="n">
        <f aca="false">IF(AC4549,IF(01_因子設定!$B$13="最大化",AA4549-01_因子設定!$B$14,IF(01_因子設定!$B$13="最小化",01_因子設定!$B$15-AB4549,MIN(AA4549-01_因子設定!$B$14,01_因子設定!$B$15-AB4549))),-1E+030)</f>
        <v>-3.12893378964018</v>
      </c>
      <c r="AE4549" s="55" t="n">
        <f aca="false">IF(AC4549,IF(01_因子設定!$B$13="最大化",X4549,IF(01_因子設定!$B$13="最小化",-X4549,-ABS(X4549-01_因子設定!$B$16))),-1E+030)</f>
        <v>45.0107821637427</v>
      </c>
      <c r="AF4549" s="55" t="n">
        <f aca="false">AD4549+ROW()*0.000000001</f>
        <v>-3.12892924064018</v>
      </c>
      <c r="AG4549" s="55" t="n">
        <f aca="false">AE4549+ROW()*0.000000001</f>
        <v>45.0107867127427</v>
      </c>
    </row>
    <row r="4550" customFormat="false" ht="15" hidden="false" customHeight="false" outlineLevel="0" collapsed="false">
      <c r="A4550" s="0" t="n">
        <v>6</v>
      </c>
      <c r="B4550" s="0" t="n">
        <v>2</v>
      </c>
      <c r="C4550" s="0" t="n">
        <v>1</v>
      </c>
      <c r="D4550" s="0" t="n">
        <v>0</v>
      </c>
      <c r="E4550" s="0" t="n">
        <f aca="false">-1+A4550*0.25</f>
        <v>0.5</v>
      </c>
      <c r="F4550" s="0" t="n">
        <f aca="false">-1+B4550*0.25</f>
        <v>-0.5</v>
      </c>
      <c r="G4550" s="0" t="n">
        <f aca="false">-1+C4550*0.25</f>
        <v>-0.75</v>
      </c>
      <c r="H4550" s="0" t="n">
        <f aca="false">-1+D4550*0.25</f>
        <v>-1</v>
      </c>
      <c r="I4550" s="0" t="n">
        <f aca="false">1</f>
        <v>1</v>
      </c>
      <c r="J4550" s="0" t="n">
        <f aca="false">E4550</f>
        <v>0.5</v>
      </c>
      <c r="K4550" s="0" t="n">
        <f aca="false">F4550</f>
        <v>-0.5</v>
      </c>
      <c r="L4550" s="0" t="n">
        <f aca="false">G4550</f>
        <v>-0.75</v>
      </c>
      <c r="M4550" s="0" t="n">
        <f aca="false">H4550</f>
        <v>-1</v>
      </c>
      <c r="N4550" s="0" t="n">
        <f aca="false">E4550*F4550</f>
        <v>-0.25</v>
      </c>
      <c r="O4550" s="0" t="n">
        <f aca="false">E4550*G4550</f>
        <v>-0.375</v>
      </c>
      <c r="P4550" s="0" t="n">
        <f aca="false">E4550*H4550</f>
        <v>-0.5</v>
      </c>
      <c r="Q4550" s="0" t="n">
        <f aca="false">F4550*G4550</f>
        <v>0.375</v>
      </c>
      <c r="R4550" s="0" t="n">
        <f aca="false">F4550*H4550</f>
        <v>0.5</v>
      </c>
      <c r="S4550" s="0" t="n">
        <f aca="false">G4550*H4550</f>
        <v>0.75</v>
      </c>
      <c r="T4550" s="0" t="n">
        <f aca="false">E4550*E4550</f>
        <v>0.25</v>
      </c>
      <c r="U4550" s="0" t="n">
        <f aca="false">F4550*F4550</f>
        <v>0.25</v>
      </c>
      <c r="V4550" s="0" t="n">
        <f aca="false">G4550*G4550</f>
        <v>0.5625</v>
      </c>
      <c r="W4550" s="0" t="n">
        <f aca="false">H4550*H4550</f>
        <v>1</v>
      </c>
      <c r="X4550" s="0" t="n">
        <f aca="false">SUMPRODUCT(I4550:W4550,_XtX!$B$96:$P$96)</f>
        <v>44.7893914473684</v>
      </c>
      <c r="Y4550" s="0" t="n">
        <f aca="false">SUMPRODUCT(MMULT(I4550:W4550,_XtX!$B$78:$P$92),I4550:W4550)</f>
        <v>0.42602110745614</v>
      </c>
      <c r="Z4550" s="0" t="n">
        <f aca="false">04_回帰ANOVA!$K$19*04_回帰ANOVA!$K$14*SQRT(1+Y4550)</f>
        <v>1.55654388501114</v>
      </c>
      <c r="AA4550" s="0" t="n">
        <f aca="false">X4550-Z4550</f>
        <v>43.2328475623573</v>
      </c>
      <c r="AB4550" s="0" t="n">
        <f aca="false">X4550+Z4550</f>
        <v>46.3459353323796</v>
      </c>
      <c r="AC4550" s="54" t="b">
        <f aca="false">AND(E4550&gt;=01_因子設定!$L$5-0.000000001,E4550&lt;=01_因子設定!$M$5+0.000000001,F4550&gt;=01_因子設定!$L$6-0.000000001,F4550&lt;=01_因子設定!$M$6+0.000000001,G4550&gt;=01_因子設定!$L$7-0.000000001,G4550&lt;=01_因子設定!$M$7+0.000000001,H4550&gt;=01_因子設定!$L$8-0.000000001,H4550&lt;=01_因子設定!$M$8+0.000000001,IF(01_因子設定!$B$20="Box-Behnken",E4550^2+F4550^2+G4550^2+H4550^2&lt;=2+0.000000001,TRUE()))</f>
        <v>1</v>
      </c>
      <c r="AD4550" s="55" t="n">
        <f aca="false">IF(AC4550,IF(01_因子設定!$B$13="最大化",AA4550-01_因子設定!$B$14,IF(01_因子設定!$B$13="最小化",01_因子設定!$B$15-AB4550,MIN(AA4550-01_因子設定!$B$14,01_因子設定!$B$15-AB4550))),-1E+030)</f>
        <v>-3.26715243764272</v>
      </c>
      <c r="AE4550" s="55" t="n">
        <f aca="false">IF(AC4550,IF(01_因子設定!$B$13="最大化",X4550,IF(01_因子設定!$B$13="最小化",-X4550,-ABS(X4550-01_因子設定!$B$16))),-1E+030)</f>
        <v>44.7893914473684</v>
      </c>
      <c r="AF4550" s="55" t="n">
        <f aca="false">AD4550+ROW()*0.000000001</f>
        <v>-3.26714788764272</v>
      </c>
      <c r="AG4550" s="55" t="n">
        <f aca="false">AE4550+ROW()*0.000000001</f>
        <v>44.7893959973684</v>
      </c>
    </row>
    <row r="4551" customFormat="false" ht="15" hidden="false" customHeight="false" outlineLevel="0" collapsed="false">
      <c r="A4551" s="0" t="n">
        <v>6</v>
      </c>
      <c r="B4551" s="0" t="n">
        <v>2</v>
      </c>
      <c r="C4551" s="0" t="n">
        <v>1</v>
      </c>
      <c r="D4551" s="0" t="n">
        <v>1</v>
      </c>
      <c r="E4551" s="0" t="n">
        <f aca="false">-1+A4551*0.25</f>
        <v>0.5</v>
      </c>
      <c r="F4551" s="0" t="n">
        <f aca="false">-1+B4551*0.25</f>
        <v>-0.5</v>
      </c>
      <c r="G4551" s="0" t="n">
        <f aca="false">-1+C4551*0.25</f>
        <v>-0.75</v>
      </c>
      <c r="H4551" s="0" t="n">
        <f aca="false">-1+D4551*0.25</f>
        <v>-0.75</v>
      </c>
      <c r="I4551" s="0" t="n">
        <f aca="false">1</f>
        <v>1</v>
      </c>
      <c r="J4551" s="0" t="n">
        <f aca="false">E4551</f>
        <v>0.5</v>
      </c>
      <c r="K4551" s="0" t="n">
        <f aca="false">F4551</f>
        <v>-0.5</v>
      </c>
      <c r="L4551" s="0" t="n">
        <f aca="false">G4551</f>
        <v>-0.75</v>
      </c>
      <c r="M4551" s="0" t="n">
        <f aca="false">H4551</f>
        <v>-0.75</v>
      </c>
      <c r="N4551" s="0" t="n">
        <f aca="false">E4551*F4551</f>
        <v>-0.25</v>
      </c>
      <c r="O4551" s="0" t="n">
        <f aca="false">E4551*G4551</f>
        <v>-0.375</v>
      </c>
      <c r="P4551" s="0" t="n">
        <f aca="false">E4551*H4551</f>
        <v>-0.375</v>
      </c>
      <c r="Q4551" s="0" t="n">
        <f aca="false">F4551*G4551</f>
        <v>0.375</v>
      </c>
      <c r="R4551" s="0" t="n">
        <f aca="false">F4551*H4551</f>
        <v>0.375</v>
      </c>
      <c r="S4551" s="0" t="n">
        <f aca="false">G4551*H4551</f>
        <v>0.5625</v>
      </c>
      <c r="T4551" s="0" t="n">
        <f aca="false">E4551*E4551</f>
        <v>0.25</v>
      </c>
      <c r="U4551" s="0" t="n">
        <f aca="false">F4551*F4551</f>
        <v>0.25</v>
      </c>
      <c r="V4551" s="0" t="n">
        <f aca="false">G4551*G4551</f>
        <v>0.5625</v>
      </c>
      <c r="W4551" s="0" t="n">
        <f aca="false">H4551*H4551</f>
        <v>0.5625</v>
      </c>
      <c r="X4551" s="0" t="n">
        <f aca="false">SUMPRODUCT(I4551:W4551,_XtX!$B$96:$P$96)</f>
        <v>45.0463861476608</v>
      </c>
      <c r="Y4551" s="0" t="n">
        <f aca="false">SUMPRODUCT(MMULT(I4551:W4551,_XtX!$B$78:$P$92),I4551:W4551)</f>
        <v>0.237862927174708</v>
      </c>
      <c r="Z4551" s="0" t="n">
        <f aca="false">04_回帰ANOVA!$K$19*04_回帰ANOVA!$K$14*SQRT(1+Y4551)</f>
        <v>1.45022260708756</v>
      </c>
      <c r="AA4551" s="0" t="n">
        <f aca="false">X4551-Z4551</f>
        <v>43.5961635405732</v>
      </c>
      <c r="AB4551" s="0" t="n">
        <f aca="false">X4551+Z4551</f>
        <v>46.4966087547484</v>
      </c>
      <c r="AC4551" s="54" t="b">
        <f aca="false">AND(E4551&gt;=01_因子設定!$L$5-0.000000001,E4551&lt;=01_因子設定!$M$5+0.000000001,F4551&gt;=01_因子設定!$L$6-0.000000001,F4551&lt;=01_因子設定!$M$6+0.000000001,G4551&gt;=01_因子設定!$L$7-0.000000001,G4551&lt;=01_因子設定!$M$7+0.000000001,H4551&gt;=01_因子設定!$L$8-0.000000001,H4551&lt;=01_因子設定!$M$8+0.000000001,IF(01_因子設定!$B$20="Box-Behnken",E4551^2+F4551^2+G4551^2+H4551^2&lt;=2+0.000000001,TRUE()))</f>
        <v>1</v>
      </c>
      <c r="AD4551" s="55" t="n">
        <f aca="false">IF(AC4551,IF(01_因子設定!$B$13="最大化",AA4551-01_因子設定!$B$14,IF(01_因子設定!$B$13="最小化",01_因子設定!$B$15-AB4551,MIN(AA4551-01_因子設定!$B$14,01_因子設定!$B$15-AB4551))),-1E+030)</f>
        <v>-2.90383645942676</v>
      </c>
      <c r="AE4551" s="55" t="n">
        <f aca="false">IF(AC4551,IF(01_因子設定!$B$13="最大化",X4551,IF(01_因子設定!$B$13="最小化",-X4551,-ABS(X4551-01_因子設定!$B$16))),-1E+030)</f>
        <v>45.0463861476608</v>
      </c>
      <c r="AF4551" s="55" t="n">
        <f aca="false">AD4551+ROW()*0.000000001</f>
        <v>-2.90383190842676</v>
      </c>
      <c r="AG4551" s="55" t="n">
        <f aca="false">AE4551+ROW()*0.000000001</f>
        <v>45.0463906986608</v>
      </c>
    </row>
    <row r="4552" customFormat="false" ht="15" hidden="false" customHeight="false" outlineLevel="0" collapsed="false">
      <c r="A4552" s="0" t="n">
        <v>6</v>
      </c>
      <c r="B4552" s="0" t="n">
        <v>2</v>
      </c>
      <c r="C4552" s="0" t="n">
        <v>1</v>
      </c>
      <c r="D4552" s="0" t="n">
        <v>2</v>
      </c>
      <c r="E4552" s="0" t="n">
        <f aca="false">-1+A4552*0.25</f>
        <v>0.5</v>
      </c>
      <c r="F4552" s="0" t="n">
        <f aca="false">-1+B4552*0.25</f>
        <v>-0.5</v>
      </c>
      <c r="G4552" s="0" t="n">
        <f aca="false">-1+C4552*0.25</f>
        <v>-0.75</v>
      </c>
      <c r="H4552" s="0" t="n">
        <f aca="false">-1+D4552*0.25</f>
        <v>-0.5</v>
      </c>
      <c r="I4552" s="0" t="n">
        <f aca="false">1</f>
        <v>1</v>
      </c>
      <c r="J4552" s="0" t="n">
        <f aca="false">E4552</f>
        <v>0.5</v>
      </c>
      <c r="K4552" s="0" t="n">
        <f aca="false">F4552</f>
        <v>-0.5</v>
      </c>
      <c r="L4552" s="0" t="n">
        <f aca="false">G4552</f>
        <v>-0.75</v>
      </c>
      <c r="M4552" s="0" t="n">
        <f aca="false">H4552</f>
        <v>-0.5</v>
      </c>
      <c r="N4552" s="0" t="n">
        <f aca="false">E4552*F4552</f>
        <v>-0.25</v>
      </c>
      <c r="O4552" s="0" t="n">
        <f aca="false">E4552*G4552</f>
        <v>-0.375</v>
      </c>
      <c r="P4552" s="0" t="n">
        <f aca="false">E4552*H4552</f>
        <v>-0.25</v>
      </c>
      <c r="Q4552" s="0" t="n">
        <f aca="false">F4552*G4552</f>
        <v>0.375</v>
      </c>
      <c r="R4552" s="0" t="n">
        <f aca="false">F4552*H4552</f>
        <v>0.25</v>
      </c>
      <c r="S4552" s="0" t="n">
        <f aca="false">G4552*H4552</f>
        <v>0.375</v>
      </c>
      <c r="T4552" s="0" t="n">
        <f aca="false">E4552*E4552</f>
        <v>0.25</v>
      </c>
      <c r="U4552" s="0" t="n">
        <f aca="false">F4552*F4552</f>
        <v>0.25</v>
      </c>
      <c r="V4552" s="0" t="n">
        <f aca="false">G4552*G4552</f>
        <v>0.5625</v>
      </c>
      <c r="W4552" s="0" t="n">
        <f aca="false">H4552*H4552</f>
        <v>0.25</v>
      </c>
      <c r="X4552" s="0" t="n">
        <f aca="false">SUMPRODUCT(I4552:W4552,_XtX!$B$96:$P$96)</f>
        <v>45.2555738304093</v>
      </c>
      <c r="Y4552" s="0" t="n">
        <f aca="false">SUMPRODUCT(MMULT(I4552:W4552,_XtX!$B$78:$P$92),I4552:W4552)</f>
        <v>0.193924753289474</v>
      </c>
      <c r="Z4552" s="0" t="n">
        <f aca="false">04_回帰ANOVA!$K$19*04_回帰ANOVA!$K$14*SQRT(1+Y4552)</f>
        <v>1.4242521079916</v>
      </c>
      <c r="AA4552" s="0" t="n">
        <f aca="false">X4552-Z4552</f>
        <v>43.8313217224177</v>
      </c>
      <c r="AB4552" s="0" t="n">
        <f aca="false">X4552+Z4552</f>
        <v>46.6798259384009</v>
      </c>
      <c r="AC4552" s="54" t="b">
        <f aca="false">AND(E4552&gt;=01_因子設定!$L$5-0.000000001,E4552&lt;=01_因子設定!$M$5+0.000000001,F4552&gt;=01_因子設定!$L$6-0.000000001,F4552&lt;=01_因子設定!$M$6+0.000000001,G4552&gt;=01_因子設定!$L$7-0.000000001,G4552&lt;=01_因子設定!$M$7+0.000000001,H4552&gt;=01_因子設定!$L$8-0.000000001,H4552&lt;=01_因子設定!$M$8+0.000000001,IF(01_因子設定!$B$20="Box-Behnken",E4552^2+F4552^2+G4552^2+H4552^2&lt;=2+0.000000001,TRUE()))</f>
        <v>1</v>
      </c>
      <c r="AD4552" s="55" t="n">
        <f aca="false">IF(AC4552,IF(01_因子設定!$B$13="最大化",AA4552-01_因子設定!$B$14,IF(01_因子設定!$B$13="最小化",01_因子設定!$B$15-AB4552,MIN(AA4552-01_因子設定!$B$14,01_因子設定!$B$15-AB4552))),-1E+030)</f>
        <v>-2.66867827758227</v>
      </c>
      <c r="AE4552" s="55" t="n">
        <f aca="false">IF(AC4552,IF(01_因子設定!$B$13="最大化",X4552,IF(01_因子設定!$B$13="最小化",-X4552,-ABS(X4552-01_因子設定!$B$16))),-1E+030)</f>
        <v>45.2555738304093</v>
      </c>
      <c r="AF4552" s="55" t="n">
        <f aca="false">AD4552+ROW()*0.000000001</f>
        <v>-2.66867372558227</v>
      </c>
      <c r="AG4552" s="55" t="n">
        <f aca="false">AE4552+ROW()*0.000000001</f>
        <v>45.2555783824093</v>
      </c>
    </row>
    <row r="4553" customFormat="false" ht="15" hidden="false" customHeight="false" outlineLevel="0" collapsed="false">
      <c r="A4553" s="0" t="n">
        <v>6</v>
      </c>
      <c r="B4553" s="0" t="n">
        <v>2</v>
      </c>
      <c r="C4553" s="0" t="n">
        <v>1</v>
      </c>
      <c r="D4553" s="0" t="n">
        <v>3</v>
      </c>
      <c r="E4553" s="0" t="n">
        <f aca="false">-1+A4553*0.25</f>
        <v>0.5</v>
      </c>
      <c r="F4553" s="0" t="n">
        <f aca="false">-1+B4553*0.25</f>
        <v>-0.5</v>
      </c>
      <c r="G4553" s="0" t="n">
        <f aca="false">-1+C4553*0.25</f>
        <v>-0.75</v>
      </c>
      <c r="H4553" s="0" t="n">
        <f aca="false">-1+D4553*0.25</f>
        <v>-0.25</v>
      </c>
      <c r="I4553" s="0" t="n">
        <f aca="false">1</f>
        <v>1</v>
      </c>
      <c r="J4553" s="0" t="n">
        <f aca="false">E4553</f>
        <v>0.5</v>
      </c>
      <c r="K4553" s="0" t="n">
        <f aca="false">F4553</f>
        <v>-0.5</v>
      </c>
      <c r="L4553" s="0" t="n">
        <f aca="false">G4553</f>
        <v>-0.75</v>
      </c>
      <c r="M4553" s="0" t="n">
        <f aca="false">H4553</f>
        <v>-0.25</v>
      </c>
      <c r="N4553" s="0" t="n">
        <f aca="false">E4553*F4553</f>
        <v>-0.25</v>
      </c>
      <c r="O4553" s="0" t="n">
        <f aca="false">E4553*G4553</f>
        <v>-0.375</v>
      </c>
      <c r="P4553" s="0" t="n">
        <f aca="false">E4553*H4553</f>
        <v>-0.125</v>
      </c>
      <c r="Q4553" s="0" t="n">
        <f aca="false">F4553*G4553</f>
        <v>0.375</v>
      </c>
      <c r="R4553" s="0" t="n">
        <f aca="false">F4553*H4553</f>
        <v>0.125</v>
      </c>
      <c r="S4553" s="0" t="n">
        <f aca="false">G4553*H4553</f>
        <v>0.1875</v>
      </c>
      <c r="T4553" s="0" t="n">
        <f aca="false">E4553*E4553</f>
        <v>0.25</v>
      </c>
      <c r="U4553" s="0" t="n">
        <f aca="false">F4553*F4553</f>
        <v>0.25</v>
      </c>
      <c r="V4553" s="0" t="n">
        <f aca="false">G4553*G4553</f>
        <v>0.5625</v>
      </c>
      <c r="W4553" s="0" t="n">
        <f aca="false">H4553*H4553</f>
        <v>0.0625</v>
      </c>
      <c r="X4553" s="0" t="n">
        <f aca="false">SUMPRODUCT(I4553:W4553,_XtX!$B$96:$P$96)</f>
        <v>45.416954495614</v>
      </c>
      <c r="Y4553" s="0" t="n">
        <f aca="false">SUMPRODUCT(MMULT(I4553:W4553,_XtX!$B$78:$P$92),I4553:W4553)</f>
        <v>0.203746059484649</v>
      </c>
      <c r="Z4553" s="0" t="n">
        <f aca="false">04_回帰ANOVA!$K$19*04_回帰ANOVA!$K$14*SQRT(1+Y4553)</f>
        <v>1.43009810755465</v>
      </c>
      <c r="AA4553" s="0" t="n">
        <f aca="false">X4553-Z4553</f>
        <v>43.9868563880593</v>
      </c>
      <c r="AB4553" s="0" t="n">
        <f aca="false">X4553+Z4553</f>
        <v>46.8470526031686</v>
      </c>
      <c r="AC4553" s="54" t="b">
        <f aca="false">AND(E4553&gt;=01_因子設定!$L$5-0.000000001,E4553&lt;=01_因子設定!$M$5+0.000000001,F4553&gt;=01_因子設定!$L$6-0.000000001,F4553&lt;=01_因子設定!$M$6+0.000000001,G4553&gt;=01_因子設定!$L$7-0.000000001,G4553&lt;=01_因子設定!$M$7+0.000000001,H4553&gt;=01_因子設定!$L$8-0.000000001,H4553&lt;=01_因子設定!$M$8+0.000000001,IF(01_因子設定!$B$20="Box-Behnken",E4553^2+F4553^2+G4553^2+H4553^2&lt;=2+0.000000001,TRUE()))</f>
        <v>1</v>
      </c>
      <c r="AD4553" s="55" t="n">
        <f aca="false">IF(AC4553,IF(01_因子設定!$B$13="最大化",AA4553-01_因子設定!$B$14,IF(01_因子設定!$B$13="最小化",01_因子設定!$B$15-AB4553,MIN(AA4553-01_因子設定!$B$14,01_因子設定!$B$15-AB4553))),-1E+030)</f>
        <v>-2.51314361194066</v>
      </c>
      <c r="AE4553" s="55" t="n">
        <f aca="false">IF(AC4553,IF(01_因子設定!$B$13="最大化",X4553,IF(01_因子設定!$B$13="最小化",-X4553,-ABS(X4553-01_因子設定!$B$16))),-1E+030)</f>
        <v>45.416954495614</v>
      </c>
      <c r="AF4553" s="55" t="n">
        <f aca="false">AD4553+ROW()*0.000000001</f>
        <v>-2.51313905894066</v>
      </c>
      <c r="AG4553" s="55" t="n">
        <f aca="false">AE4553+ROW()*0.000000001</f>
        <v>45.416959048614</v>
      </c>
    </row>
    <row r="4554" customFormat="false" ht="15" hidden="false" customHeight="false" outlineLevel="0" collapsed="false">
      <c r="A4554" s="0" t="n">
        <v>6</v>
      </c>
      <c r="B4554" s="0" t="n">
        <v>2</v>
      </c>
      <c r="C4554" s="0" t="n">
        <v>1</v>
      </c>
      <c r="D4554" s="0" t="n">
        <v>4</v>
      </c>
      <c r="E4554" s="0" t="n">
        <f aca="false">-1+A4554*0.25</f>
        <v>0.5</v>
      </c>
      <c r="F4554" s="0" t="n">
        <f aca="false">-1+B4554*0.25</f>
        <v>-0.5</v>
      </c>
      <c r="G4554" s="0" t="n">
        <f aca="false">-1+C4554*0.25</f>
        <v>-0.75</v>
      </c>
      <c r="H4554" s="0" t="n">
        <f aca="false">-1+D4554*0.25</f>
        <v>0</v>
      </c>
      <c r="I4554" s="0" t="n">
        <f aca="false">1</f>
        <v>1</v>
      </c>
      <c r="J4554" s="0" t="n">
        <f aca="false">E4554</f>
        <v>0.5</v>
      </c>
      <c r="K4554" s="0" t="n">
        <f aca="false">F4554</f>
        <v>-0.5</v>
      </c>
      <c r="L4554" s="0" t="n">
        <f aca="false">G4554</f>
        <v>-0.75</v>
      </c>
      <c r="M4554" s="0" t="n">
        <f aca="false">H4554</f>
        <v>0</v>
      </c>
      <c r="N4554" s="0" t="n">
        <f aca="false">E4554*F4554</f>
        <v>-0.25</v>
      </c>
      <c r="O4554" s="0" t="n">
        <f aca="false">E4554*G4554</f>
        <v>-0.375</v>
      </c>
      <c r="P4554" s="0" t="n">
        <f aca="false">E4554*H4554</f>
        <v>0</v>
      </c>
      <c r="Q4554" s="0" t="n">
        <f aca="false">F4554*G4554</f>
        <v>0.375</v>
      </c>
      <c r="R4554" s="0" t="n">
        <f aca="false">F4554*H4554</f>
        <v>-0</v>
      </c>
      <c r="S4554" s="0" t="n">
        <f aca="false">G4554*H4554</f>
        <v>-0</v>
      </c>
      <c r="T4554" s="0" t="n">
        <f aca="false">E4554*E4554</f>
        <v>0.25</v>
      </c>
      <c r="U4554" s="0" t="n">
        <f aca="false">F4554*F4554</f>
        <v>0.25</v>
      </c>
      <c r="V4554" s="0" t="n">
        <f aca="false">G4554*G4554</f>
        <v>0.5625</v>
      </c>
      <c r="W4554" s="0" t="n">
        <f aca="false">H4554*H4554</f>
        <v>0</v>
      </c>
      <c r="X4554" s="0" t="n">
        <f aca="false">SUMPRODUCT(I4554:W4554,_XtX!$B$96:$P$96)</f>
        <v>45.5305281432748</v>
      </c>
      <c r="Y4554" s="0" t="n">
        <f aca="false">SUMPRODUCT(MMULT(I4554:W4554,_XtX!$B$78:$P$92),I4554:W4554)</f>
        <v>0.21305052997076</v>
      </c>
      <c r="Z4554" s="0" t="n">
        <f aca="false">04_回帰ANOVA!$K$19*04_回帰ANOVA!$K$14*SQRT(1+Y4554)</f>
        <v>1.43561450835061</v>
      </c>
      <c r="AA4554" s="0" t="n">
        <f aca="false">X4554-Z4554</f>
        <v>44.0949136349242</v>
      </c>
      <c r="AB4554" s="0" t="n">
        <f aca="false">X4554+Z4554</f>
        <v>46.9661426516254</v>
      </c>
      <c r="AC4554" s="54" t="b">
        <f aca="false">AND(E4554&gt;=01_因子設定!$L$5-0.000000001,E4554&lt;=01_因子設定!$M$5+0.000000001,F4554&gt;=01_因子設定!$L$6-0.000000001,F4554&lt;=01_因子設定!$M$6+0.000000001,G4554&gt;=01_因子設定!$L$7-0.000000001,G4554&lt;=01_因子設定!$M$7+0.000000001,H4554&gt;=01_因子設定!$L$8-0.000000001,H4554&lt;=01_因子設定!$M$8+0.000000001,IF(01_因子設定!$B$20="Box-Behnken",E4554^2+F4554^2+G4554^2+H4554^2&lt;=2+0.000000001,TRUE()))</f>
        <v>1</v>
      </c>
      <c r="AD4554" s="55" t="n">
        <f aca="false">IF(AC4554,IF(01_因子設定!$B$13="最大化",AA4554-01_因子設定!$B$14,IF(01_因子設定!$B$13="最小化",01_因子設定!$B$15-AB4554,MIN(AA4554-01_因子設定!$B$14,01_因子設定!$B$15-AB4554))),-1E+030)</f>
        <v>-2.40508636507579</v>
      </c>
      <c r="AE4554" s="55" t="n">
        <f aca="false">IF(AC4554,IF(01_因子設定!$B$13="最大化",X4554,IF(01_因子設定!$B$13="最小化",-X4554,-ABS(X4554-01_因子設定!$B$16))),-1E+030)</f>
        <v>45.5305281432748</v>
      </c>
      <c r="AF4554" s="55" t="n">
        <f aca="false">AD4554+ROW()*0.000000001</f>
        <v>-2.40508181107579</v>
      </c>
      <c r="AG4554" s="55" t="n">
        <f aca="false">AE4554+ROW()*0.000000001</f>
        <v>45.5305326972748</v>
      </c>
    </row>
    <row r="4555" customFormat="false" ht="15" hidden="false" customHeight="false" outlineLevel="0" collapsed="false">
      <c r="A4555" s="0" t="n">
        <v>6</v>
      </c>
      <c r="B4555" s="0" t="n">
        <v>2</v>
      </c>
      <c r="C4555" s="0" t="n">
        <v>1</v>
      </c>
      <c r="D4555" s="0" t="n">
        <v>5</v>
      </c>
      <c r="E4555" s="0" t="n">
        <f aca="false">-1+A4555*0.25</f>
        <v>0.5</v>
      </c>
      <c r="F4555" s="0" t="n">
        <f aca="false">-1+B4555*0.25</f>
        <v>-0.5</v>
      </c>
      <c r="G4555" s="0" t="n">
        <f aca="false">-1+C4555*0.25</f>
        <v>-0.75</v>
      </c>
      <c r="H4555" s="0" t="n">
        <f aca="false">-1+D4555*0.25</f>
        <v>0.25</v>
      </c>
      <c r="I4555" s="0" t="n">
        <f aca="false">1</f>
        <v>1</v>
      </c>
      <c r="J4555" s="0" t="n">
        <f aca="false">E4555</f>
        <v>0.5</v>
      </c>
      <c r="K4555" s="0" t="n">
        <f aca="false">F4555</f>
        <v>-0.5</v>
      </c>
      <c r="L4555" s="0" t="n">
        <f aca="false">G4555</f>
        <v>-0.75</v>
      </c>
      <c r="M4555" s="0" t="n">
        <f aca="false">H4555</f>
        <v>0.25</v>
      </c>
      <c r="N4555" s="0" t="n">
        <f aca="false">E4555*F4555</f>
        <v>-0.25</v>
      </c>
      <c r="O4555" s="0" t="n">
        <f aca="false">E4555*G4555</f>
        <v>-0.375</v>
      </c>
      <c r="P4555" s="0" t="n">
        <f aca="false">E4555*H4555</f>
        <v>0.125</v>
      </c>
      <c r="Q4555" s="0" t="n">
        <f aca="false">F4555*G4555</f>
        <v>0.375</v>
      </c>
      <c r="R4555" s="0" t="n">
        <f aca="false">F4555*H4555</f>
        <v>-0.125</v>
      </c>
      <c r="S4555" s="0" t="n">
        <f aca="false">G4555*H4555</f>
        <v>-0.1875</v>
      </c>
      <c r="T4555" s="0" t="n">
        <f aca="false">E4555*E4555</f>
        <v>0.25</v>
      </c>
      <c r="U4555" s="0" t="n">
        <f aca="false">F4555*F4555</f>
        <v>0.25</v>
      </c>
      <c r="V4555" s="0" t="n">
        <f aca="false">G4555*G4555</f>
        <v>0.5625</v>
      </c>
      <c r="W4555" s="0" t="n">
        <f aca="false">H4555*H4555</f>
        <v>0.0625</v>
      </c>
      <c r="X4555" s="0" t="n">
        <f aca="false">SUMPRODUCT(I4555:W4555,_XtX!$B$96:$P$96)</f>
        <v>45.5962947733918</v>
      </c>
      <c r="Y4555" s="0" t="n">
        <f aca="false">SUMPRODUCT(MMULT(I4555:W4555,_XtX!$B$78:$P$92),I4555:W4555)</f>
        <v>0.203746059484649</v>
      </c>
      <c r="Z4555" s="0" t="n">
        <f aca="false">04_回帰ANOVA!$K$19*04_回帰ANOVA!$K$14*SQRT(1+Y4555)</f>
        <v>1.43009810755465</v>
      </c>
      <c r="AA4555" s="0" t="n">
        <f aca="false">X4555-Z4555</f>
        <v>44.1661966658371</v>
      </c>
      <c r="AB4555" s="0" t="n">
        <f aca="false">X4555+Z4555</f>
        <v>47.0263928809464</v>
      </c>
      <c r="AC4555" s="54" t="b">
        <f aca="false">AND(E4555&gt;=01_因子設定!$L$5-0.000000001,E4555&lt;=01_因子設定!$M$5+0.000000001,F4555&gt;=01_因子設定!$L$6-0.000000001,F4555&lt;=01_因子設定!$M$6+0.000000001,G4555&gt;=01_因子設定!$L$7-0.000000001,G4555&lt;=01_因子設定!$M$7+0.000000001,H4555&gt;=01_因子設定!$L$8-0.000000001,H4555&lt;=01_因子設定!$M$8+0.000000001,IF(01_因子設定!$B$20="Box-Behnken",E4555^2+F4555^2+G4555^2+H4555^2&lt;=2+0.000000001,TRUE()))</f>
        <v>1</v>
      </c>
      <c r="AD4555" s="55" t="n">
        <f aca="false">IF(AC4555,IF(01_因子設定!$B$13="最大化",AA4555-01_因子設定!$B$14,IF(01_因子設定!$B$13="最小化",01_因子設定!$B$15-AB4555,MIN(AA4555-01_因子設定!$B$14,01_因子設定!$B$15-AB4555))),-1E+030)</f>
        <v>-2.33380333416287</v>
      </c>
      <c r="AE4555" s="55" t="n">
        <f aca="false">IF(AC4555,IF(01_因子設定!$B$13="最大化",X4555,IF(01_因子設定!$B$13="最小化",-X4555,-ABS(X4555-01_因子設定!$B$16))),-1E+030)</f>
        <v>45.5962947733918</v>
      </c>
      <c r="AF4555" s="55" t="n">
        <f aca="false">AD4555+ROW()*0.000000001</f>
        <v>-2.33379877916287</v>
      </c>
      <c r="AG4555" s="55" t="n">
        <f aca="false">AE4555+ROW()*0.000000001</f>
        <v>45.5962993283918</v>
      </c>
    </row>
    <row r="4556" customFormat="false" ht="15" hidden="false" customHeight="false" outlineLevel="0" collapsed="false">
      <c r="A4556" s="0" t="n">
        <v>6</v>
      </c>
      <c r="B4556" s="0" t="n">
        <v>2</v>
      </c>
      <c r="C4556" s="0" t="n">
        <v>1</v>
      </c>
      <c r="D4556" s="0" t="n">
        <v>6</v>
      </c>
      <c r="E4556" s="0" t="n">
        <f aca="false">-1+A4556*0.25</f>
        <v>0.5</v>
      </c>
      <c r="F4556" s="0" t="n">
        <f aca="false">-1+B4556*0.25</f>
        <v>-0.5</v>
      </c>
      <c r="G4556" s="0" t="n">
        <f aca="false">-1+C4556*0.25</f>
        <v>-0.75</v>
      </c>
      <c r="H4556" s="0" t="n">
        <f aca="false">-1+D4556*0.25</f>
        <v>0.5</v>
      </c>
      <c r="I4556" s="0" t="n">
        <f aca="false">1</f>
        <v>1</v>
      </c>
      <c r="J4556" s="0" t="n">
        <f aca="false">E4556</f>
        <v>0.5</v>
      </c>
      <c r="K4556" s="0" t="n">
        <f aca="false">F4556</f>
        <v>-0.5</v>
      </c>
      <c r="L4556" s="0" t="n">
        <f aca="false">G4556</f>
        <v>-0.75</v>
      </c>
      <c r="M4556" s="0" t="n">
        <f aca="false">H4556</f>
        <v>0.5</v>
      </c>
      <c r="N4556" s="0" t="n">
        <f aca="false">E4556*F4556</f>
        <v>-0.25</v>
      </c>
      <c r="O4556" s="0" t="n">
        <f aca="false">E4556*G4556</f>
        <v>-0.375</v>
      </c>
      <c r="P4556" s="0" t="n">
        <f aca="false">E4556*H4556</f>
        <v>0.25</v>
      </c>
      <c r="Q4556" s="0" t="n">
        <f aca="false">F4556*G4556</f>
        <v>0.375</v>
      </c>
      <c r="R4556" s="0" t="n">
        <f aca="false">F4556*H4556</f>
        <v>-0.25</v>
      </c>
      <c r="S4556" s="0" t="n">
        <f aca="false">G4556*H4556</f>
        <v>-0.375</v>
      </c>
      <c r="T4556" s="0" t="n">
        <f aca="false">E4556*E4556</f>
        <v>0.25</v>
      </c>
      <c r="U4556" s="0" t="n">
        <f aca="false">F4556*F4556</f>
        <v>0.25</v>
      </c>
      <c r="V4556" s="0" t="n">
        <f aca="false">G4556*G4556</f>
        <v>0.5625</v>
      </c>
      <c r="W4556" s="0" t="n">
        <f aca="false">H4556*H4556</f>
        <v>0.25</v>
      </c>
      <c r="X4556" s="0" t="n">
        <f aca="false">SUMPRODUCT(I4556:W4556,_XtX!$B$96:$P$96)</f>
        <v>45.6142543859649</v>
      </c>
      <c r="Y4556" s="0" t="n">
        <f aca="false">SUMPRODUCT(MMULT(I4556:W4556,_XtX!$B$78:$P$92),I4556:W4556)</f>
        <v>0.193924753289474</v>
      </c>
      <c r="Z4556" s="0" t="n">
        <f aca="false">04_回帰ANOVA!$K$19*04_回帰ANOVA!$K$14*SQRT(1+Y4556)</f>
        <v>1.4242521079916</v>
      </c>
      <c r="AA4556" s="0" t="n">
        <f aca="false">X4556-Z4556</f>
        <v>44.1900022779733</v>
      </c>
      <c r="AB4556" s="0" t="n">
        <f aca="false">X4556+Z4556</f>
        <v>47.0385064939565</v>
      </c>
      <c r="AC4556" s="54" t="b">
        <f aca="false">AND(E4556&gt;=01_因子設定!$L$5-0.000000001,E4556&lt;=01_因子設定!$M$5+0.000000001,F4556&gt;=01_因子設定!$L$6-0.000000001,F4556&lt;=01_因子設定!$M$6+0.000000001,G4556&gt;=01_因子設定!$L$7-0.000000001,G4556&lt;=01_因子設定!$M$7+0.000000001,H4556&gt;=01_因子設定!$L$8-0.000000001,H4556&lt;=01_因子設定!$M$8+0.000000001,IF(01_因子設定!$B$20="Box-Behnken",E4556^2+F4556^2+G4556^2+H4556^2&lt;=2+0.000000001,TRUE()))</f>
        <v>1</v>
      </c>
      <c r="AD4556" s="55" t="n">
        <f aca="false">IF(AC4556,IF(01_因子設定!$B$13="最大化",AA4556-01_因子設定!$B$14,IF(01_因子設定!$B$13="最小化",01_因子設定!$B$15-AB4556,MIN(AA4556-01_因子設定!$B$14,01_因子設定!$B$15-AB4556))),-1E+030)</f>
        <v>-2.30999772202672</v>
      </c>
      <c r="AE4556" s="55" t="n">
        <f aca="false">IF(AC4556,IF(01_因子設定!$B$13="最大化",X4556,IF(01_因子設定!$B$13="最小化",-X4556,-ABS(X4556-01_因子設定!$B$16))),-1E+030)</f>
        <v>45.6142543859649</v>
      </c>
      <c r="AF4556" s="55" t="n">
        <f aca="false">AD4556+ROW()*0.000000001</f>
        <v>-2.30999316602672</v>
      </c>
      <c r="AG4556" s="55" t="n">
        <f aca="false">AE4556+ROW()*0.000000001</f>
        <v>45.6142589419649</v>
      </c>
    </row>
    <row r="4557" customFormat="false" ht="15" hidden="false" customHeight="false" outlineLevel="0" collapsed="false">
      <c r="A4557" s="0" t="n">
        <v>6</v>
      </c>
      <c r="B4557" s="0" t="n">
        <v>2</v>
      </c>
      <c r="C4557" s="0" t="n">
        <v>1</v>
      </c>
      <c r="D4557" s="0" t="n">
        <v>7</v>
      </c>
      <c r="E4557" s="0" t="n">
        <f aca="false">-1+A4557*0.25</f>
        <v>0.5</v>
      </c>
      <c r="F4557" s="0" t="n">
        <f aca="false">-1+B4557*0.25</f>
        <v>-0.5</v>
      </c>
      <c r="G4557" s="0" t="n">
        <f aca="false">-1+C4557*0.25</f>
        <v>-0.75</v>
      </c>
      <c r="H4557" s="0" t="n">
        <f aca="false">-1+D4557*0.25</f>
        <v>0.75</v>
      </c>
      <c r="I4557" s="0" t="n">
        <f aca="false">1</f>
        <v>1</v>
      </c>
      <c r="J4557" s="0" t="n">
        <f aca="false">E4557</f>
        <v>0.5</v>
      </c>
      <c r="K4557" s="0" t="n">
        <f aca="false">F4557</f>
        <v>-0.5</v>
      </c>
      <c r="L4557" s="0" t="n">
        <f aca="false">G4557</f>
        <v>-0.75</v>
      </c>
      <c r="M4557" s="0" t="n">
        <f aca="false">H4557</f>
        <v>0.75</v>
      </c>
      <c r="N4557" s="0" t="n">
        <f aca="false">E4557*F4557</f>
        <v>-0.25</v>
      </c>
      <c r="O4557" s="0" t="n">
        <f aca="false">E4557*G4557</f>
        <v>-0.375</v>
      </c>
      <c r="P4557" s="0" t="n">
        <f aca="false">E4557*H4557</f>
        <v>0.375</v>
      </c>
      <c r="Q4557" s="0" t="n">
        <f aca="false">F4557*G4557</f>
        <v>0.375</v>
      </c>
      <c r="R4557" s="0" t="n">
        <f aca="false">F4557*H4557</f>
        <v>-0.375</v>
      </c>
      <c r="S4557" s="0" t="n">
        <f aca="false">G4557*H4557</f>
        <v>-0.5625</v>
      </c>
      <c r="T4557" s="0" t="n">
        <f aca="false">E4557*E4557</f>
        <v>0.25</v>
      </c>
      <c r="U4557" s="0" t="n">
        <f aca="false">F4557*F4557</f>
        <v>0.25</v>
      </c>
      <c r="V4557" s="0" t="n">
        <f aca="false">G4557*G4557</f>
        <v>0.5625</v>
      </c>
      <c r="W4557" s="0" t="n">
        <f aca="false">H4557*H4557</f>
        <v>0.5625</v>
      </c>
      <c r="X4557" s="0" t="n">
        <f aca="false">SUMPRODUCT(I4557:W4557,_XtX!$B$96:$P$96)</f>
        <v>45.5844069809941</v>
      </c>
      <c r="Y4557" s="0" t="n">
        <f aca="false">SUMPRODUCT(MMULT(I4557:W4557,_XtX!$B$78:$P$92),I4557:W4557)</f>
        <v>0.237862927174708</v>
      </c>
      <c r="Z4557" s="0" t="n">
        <f aca="false">04_回帰ANOVA!$K$19*04_回帰ANOVA!$K$14*SQRT(1+Y4557)</f>
        <v>1.45022260708756</v>
      </c>
      <c r="AA4557" s="0" t="n">
        <f aca="false">X4557-Z4557</f>
        <v>44.1341843739066</v>
      </c>
      <c r="AB4557" s="0" t="n">
        <f aca="false">X4557+Z4557</f>
        <v>47.0346295880817</v>
      </c>
      <c r="AC4557" s="54" t="b">
        <f aca="false">AND(E4557&gt;=01_因子設定!$L$5-0.000000001,E4557&lt;=01_因子設定!$M$5+0.000000001,F4557&gt;=01_因子設定!$L$6-0.000000001,F4557&lt;=01_因子設定!$M$6+0.000000001,G4557&gt;=01_因子設定!$L$7-0.000000001,G4557&lt;=01_因子設定!$M$7+0.000000001,H4557&gt;=01_因子設定!$L$8-0.000000001,H4557&lt;=01_因子設定!$M$8+0.000000001,IF(01_因子設定!$B$20="Box-Behnken",E4557^2+F4557^2+G4557^2+H4557^2&lt;=2+0.000000001,TRUE()))</f>
        <v>1</v>
      </c>
      <c r="AD4557" s="55" t="n">
        <f aca="false">IF(AC4557,IF(01_因子設定!$B$13="最大化",AA4557-01_因子設定!$B$14,IF(01_因子設定!$B$13="最小化",01_因子設定!$B$15-AB4557,MIN(AA4557-01_因子設定!$B$14,01_因子設定!$B$15-AB4557))),-1E+030)</f>
        <v>-2.36581562609343</v>
      </c>
      <c r="AE4557" s="55" t="n">
        <f aca="false">IF(AC4557,IF(01_因子設定!$B$13="最大化",X4557,IF(01_因子設定!$B$13="最小化",-X4557,-ABS(X4557-01_因子設定!$B$16))),-1E+030)</f>
        <v>45.5844069809941</v>
      </c>
      <c r="AF4557" s="55" t="n">
        <f aca="false">AD4557+ROW()*0.000000001</f>
        <v>-2.36581106909343</v>
      </c>
      <c r="AG4557" s="55" t="n">
        <f aca="false">AE4557+ROW()*0.000000001</f>
        <v>45.5844115379941</v>
      </c>
    </row>
    <row r="4558" customFormat="false" ht="15" hidden="false" customHeight="false" outlineLevel="0" collapsed="false">
      <c r="A4558" s="0" t="n">
        <v>6</v>
      </c>
      <c r="B4558" s="0" t="n">
        <v>2</v>
      </c>
      <c r="C4558" s="0" t="n">
        <v>1</v>
      </c>
      <c r="D4558" s="0" t="n">
        <v>8</v>
      </c>
      <c r="E4558" s="0" t="n">
        <f aca="false">-1+A4558*0.25</f>
        <v>0.5</v>
      </c>
      <c r="F4558" s="0" t="n">
        <f aca="false">-1+B4558*0.25</f>
        <v>-0.5</v>
      </c>
      <c r="G4558" s="0" t="n">
        <f aca="false">-1+C4558*0.25</f>
        <v>-0.75</v>
      </c>
      <c r="H4558" s="0" t="n">
        <f aca="false">-1+D4558*0.25</f>
        <v>1</v>
      </c>
      <c r="I4558" s="0" t="n">
        <f aca="false">1</f>
        <v>1</v>
      </c>
      <c r="J4558" s="0" t="n">
        <f aca="false">E4558</f>
        <v>0.5</v>
      </c>
      <c r="K4558" s="0" t="n">
        <f aca="false">F4558</f>
        <v>-0.5</v>
      </c>
      <c r="L4558" s="0" t="n">
        <f aca="false">G4558</f>
        <v>-0.75</v>
      </c>
      <c r="M4558" s="0" t="n">
        <f aca="false">H4558</f>
        <v>1</v>
      </c>
      <c r="N4558" s="0" t="n">
        <f aca="false">E4558*F4558</f>
        <v>-0.25</v>
      </c>
      <c r="O4558" s="0" t="n">
        <f aca="false">E4558*G4558</f>
        <v>-0.375</v>
      </c>
      <c r="P4558" s="0" t="n">
        <f aca="false">E4558*H4558</f>
        <v>0.5</v>
      </c>
      <c r="Q4558" s="0" t="n">
        <f aca="false">F4558*G4558</f>
        <v>0.375</v>
      </c>
      <c r="R4558" s="0" t="n">
        <f aca="false">F4558*H4558</f>
        <v>-0.5</v>
      </c>
      <c r="S4558" s="0" t="n">
        <f aca="false">G4558*H4558</f>
        <v>-0.75</v>
      </c>
      <c r="T4558" s="0" t="n">
        <f aca="false">E4558*E4558</f>
        <v>0.25</v>
      </c>
      <c r="U4558" s="0" t="n">
        <f aca="false">F4558*F4558</f>
        <v>0.25</v>
      </c>
      <c r="V4558" s="0" t="n">
        <f aca="false">G4558*G4558</f>
        <v>0.5625</v>
      </c>
      <c r="W4558" s="0" t="n">
        <f aca="false">H4558*H4558</f>
        <v>1</v>
      </c>
      <c r="X4558" s="0" t="n">
        <f aca="false">SUMPRODUCT(I4558:W4558,_XtX!$B$96:$P$96)</f>
        <v>45.5067525584795</v>
      </c>
      <c r="Y4558" s="0" t="n">
        <f aca="false">SUMPRODUCT(MMULT(I4558:W4558,_XtX!$B$78:$P$92),I4558:W4558)</f>
        <v>0.42602110745614</v>
      </c>
      <c r="Z4558" s="0" t="n">
        <f aca="false">04_回帰ANOVA!$K$19*04_回帰ANOVA!$K$14*SQRT(1+Y4558)</f>
        <v>1.55654388501114</v>
      </c>
      <c r="AA4558" s="0" t="n">
        <f aca="false">X4558-Z4558</f>
        <v>43.9502086734684</v>
      </c>
      <c r="AB4558" s="0" t="n">
        <f aca="false">X4558+Z4558</f>
        <v>47.0632964434907</v>
      </c>
      <c r="AC4558" s="54" t="b">
        <f aca="false">AND(E4558&gt;=01_因子設定!$L$5-0.000000001,E4558&lt;=01_因子設定!$M$5+0.000000001,F4558&gt;=01_因子設定!$L$6-0.000000001,F4558&lt;=01_因子設定!$M$6+0.000000001,G4558&gt;=01_因子設定!$L$7-0.000000001,G4558&lt;=01_因子設定!$M$7+0.000000001,H4558&gt;=01_因子設定!$L$8-0.000000001,H4558&lt;=01_因子設定!$M$8+0.000000001,IF(01_因子設定!$B$20="Box-Behnken",E4558^2+F4558^2+G4558^2+H4558^2&lt;=2+0.000000001,TRUE()))</f>
        <v>1</v>
      </c>
      <c r="AD4558" s="55" t="n">
        <f aca="false">IF(AC4558,IF(01_因子設定!$B$13="最大化",AA4558-01_因子設定!$B$14,IF(01_因子設定!$B$13="最小化",01_因子設定!$B$15-AB4558,MIN(AA4558-01_因子設定!$B$14,01_因子設定!$B$15-AB4558))),-1E+030)</f>
        <v>-2.54979132653161</v>
      </c>
      <c r="AE4558" s="55" t="n">
        <f aca="false">IF(AC4558,IF(01_因子設定!$B$13="最大化",X4558,IF(01_因子設定!$B$13="最小化",-X4558,-ABS(X4558-01_因子設定!$B$16))),-1E+030)</f>
        <v>45.5067525584795</v>
      </c>
      <c r="AF4558" s="55" t="n">
        <f aca="false">AD4558+ROW()*0.000000001</f>
        <v>-2.54978676853161</v>
      </c>
      <c r="AG4558" s="55" t="n">
        <f aca="false">AE4558+ROW()*0.000000001</f>
        <v>45.5067571164795</v>
      </c>
    </row>
    <row r="4559" customFormat="false" ht="15" hidden="false" customHeight="false" outlineLevel="0" collapsed="false">
      <c r="A4559" s="0" t="n">
        <v>6</v>
      </c>
      <c r="B4559" s="0" t="n">
        <v>2</v>
      </c>
      <c r="C4559" s="0" t="n">
        <v>2</v>
      </c>
      <c r="D4559" s="0" t="n">
        <v>0</v>
      </c>
      <c r="E4559" s="0" t="n">
        <f aca="false">-1+A4559*0.25</f>
        <v>0.5</v>
      </c>
      <c r="F4559" s="0" t="n">
        <f aca="false">-1+B4559*0.25</f>
        <v>-0.5</v>
      </c>
      <c r="G4559" s="0" t="n">
        <f aca="false">-1+C4559*0.25</f>
        <v>-0.5</v>
      </c>
      <c r="H4559" s="0" t="n">
        <f aca="false">-1+D4559*0.25</f>
        <v>-1</v>
      </c>
      <c r="I4559" s="0" t="n">
        <f aca="false">1</f>
        <v>1</v>
      </c>
      <c r="J4559" s="0" t="n">
        <f aca="false">E4559</f>
        <v>0.5</v>
      </c>
      <c r="K4559" s="0" t="n">
        <f aca="false">F4559</f>
        <v>-0.5</v>
      </c>
      <c r="L4559" s="0" t="n">
        <f aca="false">G4559</f>
        <v>-0.5</v>
      </c>
      <c r="M4559" s="0" t="n">
        <f aca="false">H4559</f>
        <v>-1</v>
      </c>
      <c r="N4559" s="0" t="n">
        <f aca="false">E4559*F4559</f>
        <v>-0.25</v>
      </c>
      <c r="O4559" s="0" t="n">
        <f aca="false">E4559*G4559</f>
        <v>-0.25</v>
      </c>
      <c r="P4559" s="0" t="n">
        <f aca="false">E4559*H4559</f>
        <v>-0.5</v>
      </c>
      <c r="Q4559" s="0" t="n">
        <f aca="false">F4559*G4559</f>
        <v>0.25</v>
      </c>
      <c r="R4559" s="0" t="n">
        <f aca="false">F4559*H4559</f>
        <v>0.5</v>
      </c>
      <c r="S4559" s="0" t="n">
        <f aca="false">G4559*H4559</f>
        <v>0.5</v>
      </c>
      <c r="T4559" s="0" t="n">
        <f aca="false">E4559*E4559</f>
        <v>0.25</v>
      </c>
      <c r="U4559" s="0" t="n">
        <f aca="false">F4559*F4559</f>
        <v>0.25</v>
      </c>
      <c r="V4559" s="0" t="n">
        <f aca="false">G4559*G4559</f>
        <v>0.25</v>
      </c>
      <c r="W4559" s="0" t="n">
        <f aca="false">H4559*H4559</f>
        <v>1</v>
      </c>
      <c r="X4559" s="0" t="n">
        <f aca="false">SUMPRODUCT(I4559:W4559,_XtX!$B$96:$P$96)</f>
        <v>45.0563048245614</v>
      </c>
      <c r="Y4559" s="0" t="n">
        <f aca="false">SUMPRODUCT(MMULT(I4559:W4559,_XtX!$B$78:$P$92),I4559:W4559)</f>
        <v>0.404719480994152</v>
      </c>
      <c r="Z4559" s="0" t="n">
        <f aca="false">04_回帰ANOVA!$K$19*04_回帰ANOVA!$K$14*SQRT(1+Y4559)</f>
        <v>1.54487446697867</v>
      </c>
      <c r="AA4559" s="0" t="n">
        <f aca="false">X4559-Z4559</f>
        <v>43.5114303575827</v>
      </c>
      <c r="AB4559" s="0" t="n">
        <f aca="false">X4559+Z4559</f>
        <v>46.6011792915401</v>
      </c>
      <c r="AC4559" s="54" t="b">
        <f aca="false">AND(E4559&gt;=01_因子設定!$L$5-0.000000001,E4559&lt;=01_因子設定!$M$5+0.000000001,F4559&gt;=01_因子設定!$L$6-0.000000001,F4559&lt;=01_因子設定!$M$6+0.000000001,G4559&gt;=01_因子設定!$L$7-0.000000001,G4559&lt;=01_因子設定!$M$7+0.000000001,H4559&gt;=01_因子設定!$L$8-0.000000001,H4559&lt;=01_因子設定!$M$8+0.000000001,IF(01_因子設定!$B$20="Box-Behnken",E4559^2+F4559^2+G4559^2+H4559^2&lt;=2+0.000000001,TRUE()))</f>
        <v>1</v>
      </c>
      <c r="AD4559" s="55" t="n">
        <f aca="false">IF(AC4559,IF(01_因子設定!$B$13="最大化",AA4559-01_因子設定!$B$14,IF(01_因子設定!$B$13="最小化",01_因子設定!$B$15-AB4559,MIN(AA4559-01_因子設定!$B$14,01_因子設定!$B$15-AB4559))),-1E+030)</f>
        <v>-2.98856964241728</v>
      </c>
      <c r="AE4559" s="55" t="n">
        <f aca="false">IF(AC4559,IF(01_因子設定!$B$13="最大化",X4559,IF(01_因子設定!$B$13="最小化",-X4559,-ABS(X4559-01_因子設定!$B$16))),-1E+030)</f>
        <v>45.0563048245614</v>
      </c>
      <c r="AF4559" s="55" t="n">
        <f aca="false">AD4559+ROW()*0.000000001</f>
        <v>-2.98856508341728</v>
      </c>
      <c r="AG4559" s="55" t="n">
        <f aca="false">AE4559+ROW()*0.000000001</f>
        <v>45.0563093835614</v>
      </c>
    </row>
    <row r="4560" customFormat="false" ht="15" hidden="false" customHeight="false" outlineLevel="0" collapsed="false">
      <c r="A4560" s="0" t="n">
        <v>6</v>
      </c>
      <c r="B4560" s="0" t="n">
        <v>2</v>
      </c>
      <c r="C4560" s="0" t="n">
        <v>2</v>
      </c>
      <c r="D4560" s="0" t="n">
        <v>1</v>
      </c>
      <c r="E4560" s="0" t="n">
        <f aca="false">-1+A4560*0.25</f>
        <v>0.5</v>
      </c>
      <c r="F4560" s="0" t="n">
        <f aca="false">-1+B4560*0.25</f>
        <v>-0.5</v>
      </c>
      <c r="G4560" s="0" t="n">
        <f aca="false">-1+C4560*0.25</f>
        <v>-0.5</v>
      </c>
      <c r="H4560" s="0" t="n">
        <f aca="false">-1+D4560*0.25</f>
        <v>-0.75</v>
      </c>
      <c r="I4560" s="0" t="n">
        <f aca="false">1</f>
        <v>1</v>
      </c>
      <c r="J4560" s="0" t="n">
        <f aca="false">E4560</f>
        <v>0.5</v>
      </c>
      <c r="K4560" s="0" t="n">
        <f aca="false">F4560</f>
        <v>-0.5</v>
      </c>
      <c r="L4560" s="0" t="n">
        <f aca="false">G4560</f>
        <v>-0.5</v>
      </c>
      <c r="M4560" s="0" t="n">
        <f aca="false">H4560</f>
        <v>-0.75</v>
      </c>
      <c r="N4560" s="0" t="n">
        <f aca="false">E4560*F4560</f>
        <v>-0.25</v>
      </c>
      <c r="O4560" s="0" t="n">
        <f aca="false">E4560*G4560</f>
        <v>-0.25</v>
      </c>
      <c r="P4560" s="0" t="n">
        <f aca="false">E4560*H4560</f>
        <v>-0.375</v>
      </c>
      <c r="Q4560" s="0" t="n">
        <f aca="false">F4560*G4560</f>
        <v>0.25</v>
      </c>
      <c r="R4560" s="0" t="n">
        <f aca="false">F4560*H4560</f>
        <v>0.375</v>
      </c>
      <c r="S4560" s="0" t="n">
        <f aca="false">G4560*H4560</f>
        <v>0.375</v>
      </c>
      <c r="T4560" s="0" t="n">
        <f aca="false">E4560*E4560</f>
        <v>0.25</v>
      </c>
      <c r="U4560" s="0" t="n">
        <f aca="false">F4560*F4560</f>
        <v>0.25</v>
      </c>
      <c r="V4560" s="0" t="n">
        <f aca="false">G4560*G4560</f>
        <v>0.25</v>
      </c>
      <c r="W4560" s="0" t="n">
        <f aca="false">H4560*H4560</f>
        <v>0.5625</v>
      </c>
      <c r="X4560" s="0" t="n">
        <f aca="false">SUMPRODUCT(I4560:W4560,_XtX!$B$96:$P$96)</f>
        <v>45.3312682748538</v>
      </c>
      <c r="Y4560" s="0" t="n">
        <f aca="false">SUMPRODUCT(MMULT(I4560:W4560,_XtX!$B$78:$P$92),I4560:W4560)</f>
        <v>0.193924753289474</v>
      </c>
      <c r="Z4560" s="0" t="n">
        <f aca="false">04_回帰ANOVA!$K$19*04_回帰ANOVA!$K$14*SQRT(1+Y4560)</f>
        <v>1.4242521079916</v>
      </c>
      <c r="AA4560" s="0" t="n">
        <f aca="false">X4560-Z4560</f>
        <v>43.9070161668622</v>
      </c>
      <c r="AB4560" s="0" t="n">
        <f aca="false">X4560+Z4560</f>
        <v>46.7555203828454</v>
      </c>
      <c r="AC4560" s="54" t="b">
        <f aca="false">AND(E4560&gt;=01_因子設定!$L$5-0.000000001,E4560&lt;=01_因子設定!$M$5+0.000000001,F4560&gt;=01_因子設定!$L$6-0.000000001,F4560&lt;=01_因子設定!$M$6+0.000000001,G4560&gt;=01_因子設定!$L$7-0.000000001,G4560&lt;=01_因子設定!$M$7+0.000000001,H4560&gt;=01_因子設定!$L$8-0.000000001,H4560&lt;=01_因子設定!$M$8+0.000000001,IF(01_因子設定!$B$20="Box-Behnken",E4560^2+F4560^2+G4560^2+H4560^2&lt;=2+0.000000001,TRUE()))</f>
        <v>1</v>
      </c>
      <c r="AD4560" s="55" t="n">
        <f aca="false">IF(AC4560,IF(01_因子設定!$B$13="最大化",AA4560-01_因子設定!$B$14,IF(01_因子設定!$B$13="最小化",01_因子設定!$B$15-AB4560,MIN(AA4560-01_因子設定!$B$14,01_因子設定!$B$15-AB4560))),-1E+030)</f>
        <v>-2.59298383313782</v>
      </c>
      <c r="AE4560" s="55" t="n">
        <f aca="false">IF(AC4560,IF(01_因子設定!$B$13="最大化",X4560,IF(01_因子設定!$B$13="最小化",-X4560,-ABS(X4560-01_因子設定!$B$16))),-1E+030)</f>
        <v>45.3312682748538</v>
      </c>
      <c r="AF4560" s="55" t="n">
        <f aca="false">AD4560+ROW()*0.000000001</f>
        <v>-2.59297927313782</v>
      </c>
      <c r="AG4560" s="55" t="n">
        <f aca="false">AE4560+ROW()*0.000000001</f>
        <v>45.3312728348538</v>
      </c>
    </row>
    <row r="4561" customFormat="false" ht="15" hidden="false" customHeight="false" outlineLevel="0" collapsed="false">
      <c r="A4561" s="0" t="n">
        <v>6</v>
      </c>
      <c r="B4561" s="0" t="n">
        <v>2</v>
      </c>
      <c r="C4561" s="0" t="n">
        <v>2</v>
      </c>
      <c r="D4561" s="0" t="n">
        <v>2</v>
      </c>
      <c r="E4561" s="0" t="n">
        <f aca="false">-1+A4561*0.25</f>
        <v>0.5</v>
      </c>
      <c r="F4561" s="0" t="n">
        <f aca="false">-1+B4561*0.25</f>
        <v>-0.5</v>
      </c>
      <c r="G4561" s="0" t="n">
        <f aca="false">-1+C4561*0.25</f>
        <v>-0.5</v>
      </c>
      <c r="H4561" s="0" t="n">
        <f aca="false">-1+D4561*0.25</f>
        <v>-0.5</v>
      </c>
      <c r="I4561" s="0" t="n">
        <f aca="false">1</f>
        <v>1</v>
      </c>
      <c r="J4561" s="0" t="n">
        <f aca="false">E4561</f>
        <v>0.5</v>
      </c>
      <c r="K4561" s="0" t="n">
        <f aca="false">F4561</f>
        <v>-0.5</v>
      </c>
      <c r="L4561" s="0" t="n">
        <f aca="false">G4561</f>
        <v>-0.5</v>
      </c>
      <c r="M4561" s="0" t="n">
        <f aca="false">H4561</f>
        <v>-0.5</v>
      </c>
      <c r="N4561" s="0" t="n">
        <f aca="false">E4561*F4561</f>
        <v>-0.25</v>
      </c>
      <c r="O4561" s="0" t="n">
        <f aca="false">E4561*G4561</f>
        <v>-0.25</v>
      </c>
      <c r="P4561" s="0" t="n">
        <f aca="false">E4561*H4561</f>
        <v>-0.25</v>
      </c>
      <c r="Q4561" s="0" t="n">
        <f aca="false">F4561*G4561</f>
        <v>0.25</v>
      </c>
      <c r="R4561" s="0" t="n">
        <f aca="false">F4561*H4561</f>
        <v>0.25</v>
      </c>
      <c r="S4561" s="0" t="n">
        <f aca="false">G4561*H4561</f>
        <v>0.25</v>
      </c>
      <c r="T4561" s="0" t="n">
        <f aca="false">E4561*E4561</f>
        <v>0.25</v>
      </c>
      <c r="U4561" s="0" t="n">
        <f aca="false">F4561*F4561</f>
        <v>0.25</v>
      </c>
      <c r="V4561" s="0" t="n">
        <f aca="false">G4561*G4561</f>
        <v>0.25</v>
      </c>
      <c r="W4561" s="0" t="n">
        <f aca="false">H4561*H4561</f>
        <v>0.25</v>
      </c>
      <c r="X4561" s="0" t="n">
        <f aca="false">SUMPRODUCT(I4561:W4561,_XtX!$B$96:$P$96)</f>
        <v>45.5584247076023</v>
      </c>
      <c r="Y4561" s="0" t="n">
        <f aca="false">SUMPRODUCT(MMULT(I4561:W4561,_XtX!$B$78:$P$92),I4561:W4561)</f>
        <v>0.133817616959064</v>
      </c>
      <c r="Z4561" s="0" t="n">
        <f aca="false">04_回帰ANOVA!$K$19*04_回帰ANOVA!$K$14*SQRT(1+Y4561)</f>
        <v>1.38793776569887</v>
      </c>
      <c r="AA4561" s="0" t="n">
        <f aca="false">X4561-Z4561</f>
        <v>44.1704869419034</v>
      </c>
      <c r="AB4561" s="0" t="n">
        <f aca="false">X4561+Z4561</f>
        <v>46.9463624733012</v>
      </c>
      <c r="AC4561" s="54" t="b">
        <f aca="false">AND(E4561&gt;=01_因子設定!$L$5-0.000000001,E4561&lt;=01_因子設定!$M$5+0.000000001,F4561&gt;=01_因子設定!$L$6-0.000000001,F4561&lt;=01_因子設定!$M$6+0.000000001,G4561&gt;=01_因子設定!$L$7-0.000000001,G4561&lt;=01_因子設定!$M$7+0.000000001,H4561&gt;=01_因子設定!$L$8-0.000000001,H4561&lt;=01_因子設定!$M$8+0.000000001,IF(01_因子設定!$B$20="Box-Behnken",E4561^2+F4561^2+G4561^2+H4561^2&lt;=2+0.000000001,TRUE()))</f>
        <v>1</v>
      </c>
      <c r="AD4561" s="55" t="n">
        <f aca="false">IF(AC4561,IF(01_因子設定!$B$13="最大化",AA4561-01_因子設定!$B$14,IF(01_因子設定!$B$13="最小化",01_因子設定!$B$15-AB4561,MIN(AA4561-01_因子設定!$B$14,01_因子設定!$B$15-AB4561))),-1E+030)</f>
        <v>-2.32951305809656</v>
      </c>
      <c r="AE4561" s="55" t="n">
        <f aca="false">IF(AC4561,IF(01_因子設定!$B$13="最大化",X4561,IF(01_因子設定!$B$13="最小化",-X4561,-ABS(X4561-01_因子設定!$B$16))),-1E+030)</f>
        <v>45.5584247076023</v>
      </c>
      <c r="AF4561" s="55" t="n">
        <f aca="false">AD4561+ROW()*0.000000001</f>
        <v>-2.32950849709656</v>
      </c>
      <c r="AG4561" s="55" t="n">
        <f aca="false">AE4561+ROW()*0.000000001</f>
        <v>45.5584292686023</v>
      </c>
    </row>
    <row r="4562" customFormat="false" ht="15" hidden="false" customHeight="false" outlineLevel="0" collapsed="false">
      <c r="A4562" s="0" t="n">
        <v>6</v>
      </c>
      <c r="B4562" s="0" t="n">
        <v>2</v>
      </c>
      <c r="C4562" s="0" t="n">
        <v>2</v>
      </c>
      <c r="D4562" s="0" t="n">
        <v>3</v>
      </c>
      <c r="E4562" s="0" t="n">
        <f aca="false">-1+A4562*0.25</f>
        <v>0.5</v>
      </c>
      <c r="F4562" s="0" t="n">
        <f aca="false">-1+B4562*0.25</f>
        <v>-0.5</v>
      </c>
      <c r="G4562" s="0" t="n">
        <f aca="false">-1+C4562*0.25</f>
        <v>-0.5</v>
      </c>
      <c r="H4562" s="0" t="n">
        <f aca="false">-1+D4562*0.25</f>
        <v>-0.25</v>
      </c>
      <c r="I4562" s="0" t="n">
        <f aca="false">1</f>
        <v>1</v>
      </c>
      <c r="J4562" s="0" t="n">
        <f aca="false">E4562</f>
        <v>0.5</v>
      </c>
      <c r="K4562" s="0" t="n">
        <f aca="false">F4562</f>
        <v>-0.5</v>
      </c>
      <c r="L4562" s="0" t="n">
        <f aca="false">G4562</f>
        <v>-0.5</v>
      </c>
      <c r="M4562" s="0" t="n">
        <f aca="false">H4562</f>
        <v>-0.25</v>
      </c>
      <c r="N4562" s="0" t="n">
        <f aca="false">E4562*F4562</f>
        <v>-0.25</v>
      </c>
      <c r="O4562" s="0" t="n">
        <f aca="false">E4562*G4562</f>
        <v>-0.25</v>
      </c>
      <c r="P4562" s="0" t="n">
        <f aca="false">E4562*H4562</f>
        <v>-0.125</v>
      </c>
      <c r="Q4562" s="0" t="n">
        <f aca="false">F4562*G4562</f>
        <v>0.25</v>
      </c>
      <c r="R4562" s="0" t="n">
        <f aca="false">F4562*H4562</f>
        <v>0.125</v>
      </c>
      <c r="S4562" s="0" t="n">
        <f aca="false">G4562*H4562</f>
        <v>0.125</v>
      </c>
      <c r="T4562" s="0" t="n">
        <f aca="false">E4562*E4562</f>
        <v>0.25</v>
      </c>
      <c r="U4562" s="0" t="n">
        <f aca="false">F4562*F4562</f>
        <v>0.25</v>
      </c>
      <c r="V4562" s="0" t="n">
        <f aca="false">G4562*G4562</f>
        <v>0.25</v>
      </c>
      <c r="W4562" s="0" t="n">
        <f aca="false">H4562*H4562</f>
        <v>0.0625</v>
      </c>
      <c r="X4562" s="0" t="n">
        <f aca="false">SUMPRODUCT(I4562:W4562,_XtX!$B$96:$P$96)</f>
        <v>45.737774122807</v>
      </c>
      <c r="Y4562" s="0" t="n">
        <f aca="false">SUMPRODUCT(MMULT(I4562:W4562,_XtX!$B$78:$P$92),I4562:W4562)</f>
        <v>0.133937545687135</v>
      </c>
      <c r="Z4562" s="0" t="n">
        <f aca="false">04_回帰ANOVA!$K$19*04_回帰ANOVA!$K$14*SQRT(1+Y4562)</f>
        <v>1.38801116780825</v>
      </c>
      <c r="AA4562" s="0" t="n">
        <f aca="false">X4562-Z4562</f>
        <v>44.3497629549987</v>
      </c>
      <c r="AB4562" s="0" t="n">
        <f aca="false">X4562+Z4562</f>
        <v>47.1257852906152</v>
      </c>
      <c r="AC4562" s="54" t="b">
        <f aca="false">AND(E4562&gt;=01_因子設定!$L$5-0.000000001,E4562&lt;=01_因子設定!$M$5+0.000000001,F4562&gt;=01_因子設定!$L$6-0.000000001,F4562&lt;=01_因子設定!$M$6+0.000000001,G4562&gt;=01_因子設定!$L$7-0.000000001,G4562&lt;=01_因子設定!$M$7+0.000000001,H4562&gt;=01_因子設定!$L$8-0.000000001,H4562&lt;=01_因子設定!$M$8+0.000000001,IF(01_因子設定!$B$20="Box-Behnken",E4562^2+F4562^2+G4562^2+H4562^2&lt;=2+0.000000001,TRUE()))</f>
        <v>1</v>
      </c>
      <c r="AD4562" s="55" t="n">
        <f aca="false">IF(AC4562,IF(01_因子設定!$B$13="最大化",AA4562-01_因子設定!$B$14,IF(01_因子設定!$B$13="最小化",01_因子設定!$B$15-AB4562,MIN(AA4562-01_因子設定!$B$14,01_因子設定!$B$15-AB4562))),-1E+030)</f>
        <v>-2.15023704500128</v>
      </c>
      <c r="AE4562" s="55" t="n">
        <f aca="false">IF(AC4562,IF(01_因子設定!$B$13="最大化",X4562,IF(01_因子設定!$B$13="最小化",-X4562,-ABS(X4562-01_因子設定!$B$16))),-1E+030)</f>
        <v>45.737774122807</v>
      </c>
      <c r="AF4562" s="55" t="n">
        <f aca="false">AD4562+ROW()*0.000000001</f>
        <v>-2.15023248300128</v>
      </c>
      <c r="AG4562" s="55" t="n">
        <f aca="false">AE4562+ROW()*0.000000001</f>
        <v>45.737778684807</v>
      </c>
    </row>
    <row r="4563" customFormat="false" ht="15" hidden="false" customHeight="false" outlineLevel="0" collapsed="false">
      <c r="A4563" s="0" t="n">
        <v>6</v>
      </c>
      <c r="B4563" s="0" t="n">
        <v>2</v>
      </c>
      <c r="C4563" s="0" t="n">
        <v>2</v>
      </c>
      <c r="D4563" s="0" t="n">
        <v>4</v>
      </c>
      <c r="E4563" s="0" t="n">
        <f aca="false">-1+A4563*0.25</f>
        <v>0.5</v>
      </c>
      <c r="F4563" s="0" t="n">
        <f aca="false">-1+B4563*0.25</f>
        <v>-0.5</v>
      </c>
      <c r="G4563" s="0" t="n">
        <f aca="false">-1+C4563*0.25</f>
        <v>-0.5</v>
      </c>
      <c r="H4563" s="0" t="n">
        <f aca="false">-1+D4563*0.25</f>
        <v>0</v>
      </c>
      <c r="I4563" s="0" t="n">
        <f aca="false">1</f>
        <v>1</v>
      </c>
      <c r="J4563" s="0" t="n">
        <f aca="false">E4563</f>
        <v>0.5</v>
      </c>
      <c r="K4563" s="0" t="n">
        <f aca="false">F4563</f>
        <v>-0.5</v>
      </c>
      <c r="L4563" s="0" t="n">
        <f aca="false">G4563</f>
        <v>-0.5</v>
      </c>
      <c r="M4563" s="0" t="n">
        <f aca="false">H4563</f>
        <v>0</v>
      </c>
      <c r="N4563" s="0" t="n">
        <f aca="false">E4563*F4563</f>
        <v>-0.25</v>
      </c>
      <c r="O4563" s="0" t="n">
        <f aca="false">E4563*G4563</f>
        <v>-0.25</v>
      </c>
      <c r="P4563" s="0" t="n">
        <f aca="false">E4563*H4563</f>
        <v>0</v>
      </c>
      <c r="Q4563" s="0" t="n">
        <f aca="false">F4563*G4563</f>
        <v>0.25</v>
      </c>
      <c r="R4563" s="0" t="n">
        <f aca="false">F4563*H4563</f>
        <v>-0</v>
      </c>
      <c r="S4563" s="0" t="n">
        <f aca="false">G4563*H4563</f>
        <v>-0</v>
      </c>
      <c r="T4563" s="0" t="n">
        <f aca="false">E4563*E4563</f>
        <v>0.25</v>
      </c>
      <c r="U4563" s="0" t="n">
        <f aca="false">F4563*F4563</f>
        <v>0.25</v>
      </c>
      <c r="V4563" s="0" t="n">
        <f aca="false">G4563*G4563</f>
        <v>0.25</v>
      </c>
      <c r="W4563" s="0" t="n">
        <f aca="false">H4563*H4563</f>
        <v>0</v>
      </c>
      <c r="X4563" s="0" t="n">
        <f aca="false">SUMPRODUCT(I4563:W4563,_XtX!$B$96:$P$96)</f>
        <v>45.8693165204678</v>
      </c>
      <c r="Y4563" s="0" t="n">
        <f aca="false">SUMPRODUCT(MMULT(I4563:W4563,_XtX!$B$78:$P$92),I4563:W4563)</f>
        <v>0.140008223684211</v>
      </c>
      <c r="Z4563" s="0" t="n">
        <f aca="false">04_回帰ANOVA!$K$19*04_回帰ANOVA!$K$14*SQRT(1+Y4563)</f>
        <v>1.39172165492264</v>
      </c>
      <c r="AA4563" s="0" t="n">
        <f aca="false">X4563-Z4563</f>
        <v>44.4775948655452</v>
      </c>
      <c r="AB4563" s="0" t="n">
        <f aca="false">X4563+Z4563</f>
        <v>47.2610381753904</v>
      </c>
      <c r="AC4563" s="54" t="b">
        <f aca="false">AND(E4563&gt;=01_因子設定!$L$5-0.000000001,E4563&lt;=01_因子設定!$M$5+0.000000001,F4563&gt;=01_因子設定!$L$6-0.000000001,F4563&lt;=01_因子設定!$M$6+0.000000001,G4563&gt;=01_因子設定!$L$7-0.000000001,G4563&lt;=01_因子設定!$M$7+0.000000001,H4563&gt;=01_因子設定!$L$8-0.000000001,H4563&lt;=01_因子設定!$M$8+0.000000001,IF(01_因子設定!$B$20="Box-Behnken",E4563^2+F4563^2+G4563^2+H4563^2&lt;=2+0.000000001,TRUE()))</f>
        <v>1</v>
      </c>
      <c r="AD4563" s="55" t="n">
        <f aca="false">IF(AC4563,IF(01_因子設定!$B$13="最大化",AA4563-01_因子設定!$B$14,IF(01_因子設定!$B$13="最小化",01_因子設定!$B$15-AB4563,MIN(AA4563-01_因子設定!$B$14,01_因子設定!$B$15-AB4563))),-1E+030)</f>
        <v>-2.02240513445484</v>
      </c>
      <c r="AE4563" s="55" t="n">
        <f aca="false">IF(AC4563,IF(01_因子設定!$B$13="最大化",X4563,IF(01_因子設定!$B$13="最小化",-X4563,-ABS(X4563-01_因子設定!$B$16))),-1E+030)</f>
        <v>45.8693165204678</v>
      </c>
      <c r="AF4563" s="55" t="n">
        <f aca="false">AD4563+ROW()*0.000000001</f>
        <v>-2.02240057145484</v>
      </c>
      <c r="AG4563" s="55" t="n">
        <f aca="false">AE4563+ROW()*0.000000001</f>
        <v>45.8693210834678</v>
      </c>
    </row>
    <row r="4564" customFormat="false" ht="15" hidden="false" customHeight="false" outlineLevel="0" collapsed="false">
      <c r="A4564" s="0" t="n">
        <v>6</v>
      </c>
      <c r="B4564" s="0" t="n">
        <v>2</v>
      </c>
      <c r="C4564" s="0" t="n">
        <v>2</v>
      </c>
      <c r="D4564" s="0" t="n">
        <v>5</v>
      </c>
      <c r="E4564" s="0" t="n">
        <f aca="false">-1+A4564*0.25</f>
        <v>0.5</v>
      </c>
      <c r="F4564" s="0" t="n">
        <f aca="false">-1+B4564*0.25</f>
        <v>-0.5</v>
      </c>
      <c r="G4564" s="0" t="n">
        <f aca="false">-1+C4564*0.25</f>
        <v>-0.5</v>
      </c>
      <c r="H4564" s="0" t="n">
        <f aca="false">-1+D4564*0.25</f>
        <v>0.25</v>
      </c>
      <c r="I4564" s="0" t="n">
        <f aca="false">1</f>
        <v>1</v>
      </c>
      <c r="J4564" s="0" t="n">
        <f aca="false">E4564</f>
        <v>0.5</v>
      </c>
      <c r="K4564" s="0" t="n">
        <f aca="false">F4564</f>
        <v>-0.5</v>
      </c>
      <c r="L4564" s="0" t="n">
        <f aca="false">G4564</f>
        <v>-0.5</v>
      </c>
      <c r="M4564" s="0" t="n">
        <f aca="false">H4564</f>
        <v>0.25</v>
      </c>
      <c r="N4564" s="0" t="n">
        <f aca="false">E4564*F4564</f>
        <v>-0.25</v>
      </c>
      <c r="O4564" s="0" t="n">
        <f aca="false">E4564*G4564</f>
        <v>-0.25</v>
      </c>
      <c r="P4564" s="0" t="n">
        <f aca="false">E4564*H4564</f>
        <v>0.125</v>
      </c>
      <c r="Q4564" s="0" t="n">
        <f aca="false">F4564*G4564</f>
        <v>0.25</v>
      </c>
      <c r="R4564" s="0" t="n">
        <f aca="false">F4564*H4564</f>
        <v>-0.125</v>
      </c>
      <c r="S4564" s="0" t="n">
        <f aca="false">G4564*H4564</f>
        <v>-0.125</v>
      </c>
      <c r="T4564" s="0" t="n">
        <f aca="false">E4564*E4564</f>
        <v>0.25</v>
      </c>
      <c r="U4564" s="0" t="n">
        <f aca="false">F4564*F4564</f>
        <v>0.25</v>
      </c>
      <c r="V4564" s="0" t="n">
        <f aca="false">G4564*G4564</f>
        <v>0.25</v>
      </c>
      <c r="W4564" s="0" t="n">
        <f aca="false">H4564*H4564</f>
        <v>0.0625</v>
      </c>
      <c r="X4564" s="0" t="n">
        <f aca="false">SUMPRODUCT(I4564:W4564,_XtX!$B$96:$P$96)</f>
        <v>45.9530519005848</v>
      </c>
      <c r="Y4564" s="0" t="n">
        <f aca="false">SUMPRODUCT(MMULT(I4564:W4564,_XtX!$B$78:$P$92),I4564:W4564)</f>
        <v>0.133937545687135</v>
      </c>
      <c r="Z4564" s="0" t="n">
        <f aca="false">04_回帰ANOVA!$K$19*04_回帰ANOVA!$K$14*SQRT(1+Y4564)</f>
        <v>1.38801116780825</v>
      </c>
      <c r="AA4564" s="0" t="n">
        <f aca="false">X4564-Z4564</f>
        <v>44.5650407327765</v>
      </c>
      <c r="AB4564" s="0" t="n">
        <f aca="false">X4564+Z4564</f>
        <v>47.341063068393</v>
      </c>
      <c r="AC4564" s="54" t="b">
        <f aca="false">AND(E4564&gt;=01_因子設定!$L$5-0.000000001,E4564&lt;=01_因子設定!$M$5+0.000000001,F4564&gt;=01_因子設定!$L$6-0.000000001,F4564&lt;=01_因子設定!$M$6+0.000000001,G4564&gt;=01_因子設定!$L$7-0.000000001,G4564&lt;=01_因子設定!$M$7+0.000000001,H4564&gt;=01_因子設定!$L$8-0.000000001,H4564&lt;=01_因子設定!$M$8+0.000000001,IF(01_因子設定!$B$20="Box-Behnken",E4564^2+F4564^2+G4564^2+H4564^2&lt;=2+0.000000001,TRUE()))</f>
        <v>1</v>
      </c>
      <c r="AD4564" s="55" t="n">
        <f aca="false">IF(AC4564,IF(01_因子設定!$B$13="最大化",AA4564-01_因子設定!$B$14,IF(01_因子設定!$B$13="最小化",01_因子設定!$B$15-AB4564,MIN(AA4564-01_因子設定!$B$14,01_因子設定!$B$15-AB4564))),-1E+030)</f>
        <v>-1.9349592672235</v>
      </c>
      <c r="AE4564" s="55" t="n">
        <f aca="false">IF(AC4564,IF(01_因子設定!$B$13="最大化",X4564,IF(01_因子設定!$B$13="最小化",-X4564,-ABS(X4564-01_因子設定!$B$16))),-1E+030)</f>
        <v>45.9530519005848</v>
      </c>
      <c r="AF4564" s="55" t="n">
        <f aca="false">AD4564+ROW()*0.000000001</f>
        <v>-1.9349547032235</v>
      </c>
      <c r="AG4564" s="55" t="n">
        <f aca="false">AE4564+ROW()*0.000000001</f>
        <v>45.9530564645848</v>
      </c>
    </row>
    <row r="4565" customFormat="false" ht="15" hidden="false" customHeight="false" outlineLevel="0" collapsed="false">
      <c r="A4565" s="0" t="n">
        <v>6</v>
      </c>
      <c r="B4565" s="0" t="n">
        <v>2</v>
      </c>
      <c r="C4565" s="0" t="n">
        <v>2</v>
      </c>
      <c r="D4565" s="0" t="n">
        <v>6</v>
      </c>
      <c r="E4565" s="0" t="n">
        <f aca="false">-1+A4565*0.25</f>
        <v>0.5</v>
      </c>
      <c r="F4565" s="0" t="n">
        <f aca="false">-1+B4565*0.25</f>
        <v>-0.5</v>
      </c>
      <c r="G4565" s="0" t="n">
        <f aca="false">-1+C4565*0.25</f>
        <v>-0.5</v>
      </c>
      <c r="H4565" s="0" t="n">
        <f aca="false">-1+D4565*0.25</f>
        <v>0.5</v>
      </c>
      <c r="I4565" s="0" t="n">
        <f aca="false">1</f>
        <v>1</v>
      </c>
      <c r="J4565" s="0" t="n">
        <f aca="false">E4565</f>
        <v>0.5</v>
      </c>
      <c r="K4565" s="0" t="n">
        <f aca="false">F4565</f>
        <v>-0.5</v>
      </c>
      <c r="L4565" s="0" t="n">
        <f aca="false">G4565</f>
        <v>-0.5</v>
      </c>
      <c r="M4565" s="0" t="n">
        <f aca="false">H4565</f>
        <v>0.5</v>
      </c>
      <c r="N4565" s="0" t="n">
        <f aca="false">E4565*F4565</f>
        <v>-0.25</v>
      </c>
      <c r="O4565" s="0" t="n">
        <f aca="false">E4565*G4565</f>
        <v>-0.25</v>
      </c>
      <c r="P4565" s="0" t="n">
        <f aca="false">E4565*H4565</f>
        <v>0.25</v>
      </c>
      <c r="Q4565" s="0" t="n">
        <f aca="false">F4565*G4565</f>
        <v>0.25</v>
      </c>
      <c r="R4565" s="0" t="n">
        <f aca="false">F4565*H4565</f>
        <v>-0.25</v>
      </c>
      <c r="S4565" s="0" t="n">
        <f aca="false">G4565*H4565</f>
        <v>-0.25</v>
      </c>
      <c r="T4565" s="0" t="n">
        <f aca="false">E4565*E4565</f>
        <v>0.25</v>
      </c>
      <c r="U4565" s="0" t="n">
        <f aca="false">F4565*F4565</f>
        <v>0.25</v>
      </c>
      <c r="V4565" s="0" t="n">
        <f aca="false">G4565*G4565</f>
        <v>0.25</v>
      </c>
      <c r="W4565" s="0" t="n">
        <f aca="false">H4565*H4565</f>
        <v>0.25</v>
      </c>
      <c r="X4565" s="0" t="n">
        <f aca="false">SUMPRODUCT(I4565:W4565,_XtX!$B$96:$P$96)</f>
        <v>45.9889802631579</v>
      </c>
      <c r="Y4565" s="0" t="n">
        <f aca="false">SUMPRODUCT(MMULT(I4565:W4565,_XtX!$B$78:$P$92),I4565:W4565)</f>
        <v>0.133817616959064</v>
      </c>
      <c r="Z4565" s="0" t="n">
        <f aca="false">04_回帰ANOVA!$K$19*04_回帰ANOVA!$K$14*SQRT(1+Y4565)</f>
        <v>1.38793776569887</v>
      </c>
      <c r="AA4565" s="0" t="n">
        <f aca="false">X4565-Z4565</f>
        <v>44.601042497459</v>
      </c>
      <c r="AB4565" s="0" t="n">
        <f aca="false">X4565+Z4565</f>
        <v>47.3769180288567</v>
      </c>
      <c r="AC4565" s="54" t="b">
        <f aca="false">AND(E4565&gt;=01_因子設定!$L$5-0.000000001,E4565&lt;=01_因子設定!$M$5+0.000000001,F4565&gt;=01_因子設定!$L$6-0.000000001,F4565&lt;=01_因子設定!$M$6+0.000000001,G4565&gt;=01_因子設定!$L$7-0.000000001,G4565&lt;=01_因子設定!$M$7+0.000000001,H4565&gt;=01_因子設定!$L$8-0.000000001,H4565&lt;=01_因子設定!$M$8+0.000000001,IF(01_因子設定!$B$20="Box-Behnken",E4565^2+F4565^2+G4565^2+H4565^2&lt;=2+0.000000001,TRUE()))</f>
        <v>1</v>
      </c>
      <c r="AD4565" s="55" t="n">
        <f aca="false">IF(AC4565,IF(01_因子設定!$B$13="最大化",AA4565-01_因子設定!$B$14,IF(01_因子設定!$B$13="最小化",01_因子設定!$B$15-AB4565,MIN(AA4565-01_因子設定!$B$14,01_因子設定!$B$15-AB4565))),-1E+030)</f>
        <v>-1.898957502541</v>
      </c>
      <c r="AE4565" s="55" t="n">
        <f aca="false">IF(AC4565,IF(01_因子設定!$B$13="最大化",X4565,IF(01_因子設定!$B$13="最小化",-X4565,-ABS(X4565-01_因子設定!$B$16))),-1E+030)</f>
        <v>45.9889802631579</v>
      </c>
      <c r="AF4565" s="55" t="n">
        <f aca="false">AD4565+ROW()*0.000000001</f>
        <v>-1.898952937541</v>
      </c>
      <c r="AG4565" s="55" t="n">
        <f aca="false">AE4565+ROW()*0.000000001</f>
        <v>45.9889848281579</v>
      </c>
    </row>
    <row r="4566" customFormat="false" ht="15" hidden="false" customHeight="false" outlineLevel="0" collapsed="false">
      <c r="A4566" s="0" t="n">
        <v>6</v>
      </c>
      <c r="B4566" s="0" t="n">
        <v>2</v>
      </c>
      <c r="C4566" s="0" t="n">
        <v>2</v>
      </c>
      <c r="D4566" s="0" t="n">
        <v>7</v>
      </c>
      <c r="E4566" s="0" t="n">
        <f aca="false">-1+A4566*0.25</f>
        <v>0.5</v>
      </c>
      <c r="F4566" s="0" t="n">
        <f aca="false">-1+B4566*0.25</f>
        <v>-0.5</v>
      </c>
      <c r="G4566" s="0" t="n">
        <f aca="false">-1+C4566*0.25</f>
        <v>-0.5</v>
      </c>
      <c r="H4566" s="0" t="n">
        <f aca="false">-1+D4566*0.25</f>
        <v>0.75</v>
      </c>
      <c r="I4566" s="0" t="n">
        <f aca="false">1</f>
        <v>1</v>
      </c>
      <c r="J4566" s="0" t="n">
        <f aca="false">E4566</f>
        <v>0.5</v>
      </c>
      <c r="K4566" s="0" t="n">
        <f aca="false">F4566</f>
        <v>-0.5</v>
      </c>
      <c r="L4566" s="0" t="n">
        <f aca="false">G4566</f>
        <v>-0.5</v>
      </c>
      <c r="M4566" s="0" t="n">
        <f aca="false">H4566</f>
        <v>0.75</v>
      </c>
      <c r="N4566" s="0" t="n">
        <f aca="false">E4566*F4566</f>
        <v>-0.25</v>
      </c>
      <c r="O4566" s="0" t="n">
        <f aca="false">E4566*G4566</f>
        <v>-0.25</v>
      </c>
      <c r="P4566" s="0" t="n">
        <f aca="false">E4566*H4566</f>
        <v>0.375</v>
      </c>
      <c r="Q4566" s="0" t="n">
        <f aca="false">F4566*G4566</f>
        <v>0.25</v>
      </c>
      <c r="R4566" s="0" t="n">
        <f aca="false">F4566*H4566</f>
        <v>-0.375</v>
      </c>
      <c r="S4566" s="0" t="n">
        <f aca="false">G4566*H4566</f>
        <v>-0.375</v>
      </c>
      <c r="T4566" s="0" t="n">
        <f aca="false">E4566*E4566</f>
        <v>0.25</v>
      </c>
      <c r="U4566" s="0" t="n">
        <f aca="false">F4566*F4566</f>
        <v>0.25</v>
      </c>
      <c r="V4566" s="0" t="n">
        <f aca="false">G4566*G4566</f>
        <v>0.25</v>
      </c>
      <c r="W4566" s="0" t="n">
        <f aca="false">H4566*H4566</f>
        <v>0.5625</v>
      </c>
      <c r="X4566" s="0" t="n">
        <f aca="false">SUMPRODUCT(I4566:W4566,_XtX!$B$96:$P$96)</f>
        <v>45.9771016081871</v>
      </c>
      <c r="Y4566" s="0" t="n">
        <f aca="false">SUMPRODUCT(MMULT(I4566:W4566,_XtX!$B$78:$P$92),I4566:W4566)</f>
        <v>0.193924753289474</v>
      </c>
      <c r="Z4566" s="0" t="n">
        <f aca="false">04_回帰ANOVA!$K$19*04_回帰ANOVA!$K$14*SQRT(1+Y4566)</f>
        <v>1.4242521079916</v>
      </c>
      <c r="AA4566" s="0" t="n">
        <f aca="false">X4566-Z4566</f>
        <v>44.5528495001955</v>
      </c>
      <c r="AB4566" s="0" t="n">
        <f aca="false">X4566+Z4566</f>
        <v>47.4013537161787</v>
      </c>
      <c r="AC4566" s="54" t="b">
        <f aca="false">AND(E4566&gt;=01_因子設定!$L$5-0.000000001,E4566&lt;=01_因子設定!$M$5+0.000000001,F4566&gt;=01_因子設定!$L$6-0.000000001,F4566&lt;=01_因子設定!$M$6+0.000000001,G4566&gt;=01_因子設定!$L$7-0.000000001,G4566&lt;=01_因子設定!$M$7+0.000000001,H4566&gt;=01_因子設定!$L$8-0.000000001,H4566&lt;=01_因子設定!$M$8+0.000000001,IF(01_因子設定!$B$20="Box-Behnken",E4566^2+F4566^2+G4566^2+H4566^2&lt;=2+0.000000001,TRUE()))</f>
        <v>1</v>
      </c>
      <c r="AD4566" s="55" t="n">
        <f aca="false">IF(AC4566,IF(01_因子設定!$B$13="最大化",AA4566-01_因子設定!$B$14,IF(01_因子設定!$B$13="最小化",01_因子設定!$B$15-AB4566,MIN(AA4566-01_因子設定!$B$14,01_因子設定!$B$15-AB4566))),-1E+030)</f>
        <v>-1.94715049980449</v>
      </c>
      <c r="AE4566" s="55" t="n">
        <f aca="false">IF(AC4566,IF(01_因子設定!$B$13="最大化",X4566,IF(01_因子設定!$B$13="最小化",-X4566,-ABS(X4566-01_因子設定!$B$16))),-1E+030)</f>
        <v>45.9771016081871</v>
      </c>
      <c r="AF4566" s="55" t="n">
        <f aca="false">AD4566+ROW()*0.000000001</f>
        <v>-1.94714593380449</v>
      </c>
      <c r="AG4566" s="55" t="n">
        <f aca="false">AE4566+ROW()*0.000000001</f>
        <v>45.9771061741871</v>
      </c>
    </row>
    <row r="4567" customFormat="false" ht="15" hidden="false" customHeight="false" outlineLevel="0" collapsed="false">
      <c r="A4567" s="0" t="n">
        <v>6</v>
      </c>
      <c r="B4567" s="0" t="n">
        <v>2</v>
      </c>
      <c r="C4567" s="0" t="n">
        <v>2</v>
      </c>
      <c r="D4567" s="0" t="n">
        <v>8</v>
      </c>
      <c r="E4567" s="0" t="n">
        <f aca="false">-1+A4567*0.25</f>
        <v>0.5</v>
      </c>
      <c r="F4567" s="0" t="n">
        <f aca="false">-1+B4567*0.25</f>
        <v>-0.5</v>
      </c>
      <c r="G4567" s="0" t="n">
        <f aca="false">-1+C4567*0.25</f>
        <v>-0.5</v>
      </c>
      <c r="H4567" s="0" t="n">
        <f aca="false">-1+D4567*0.25</f>
        <v>1</v>
      </c>
      <c r="I4567" s="0" t="n">
        <f aca="false">1</f>
        <v>1</v>
      </c>
      <c r="J4567" s="0" t="n">
        <f aca="false">E4567</f>
        <v>0.5</v>
      </c>
      <c r="K4567" s="0" t="n">
        <f aca="false">F4567</f>
        <v>-0.5</v>
      </c>
      <c r="L4567" s="0" t="n">
        <f aca="false">G4567</f>
        <v>-0.5</v>
      </c>
      <c r="M4567" s="0" t="n">
        <f aca="false">H4567</f>
        <v>1</v>
      </c>
      <c r="N4567" s="0" t="n">
        <f aca="false">E4567*F4567</f>
        <v>-0.25</v>
      </c>
      <c r="O4567" s="0" t="n">
        <f aca="false">E4567*G4567</f>
        <v>-0.25</v>
      </c>
      <c r="P4567" s="0" t="n">
        <f aca="false">E4567*H4567</f>
        <v>0.5</v>
      </c>
      <c r="Q4567" s="0" t="n">
        <f aca="false">F4567*G4567</f>
        <v>0.25</v>
      </c>
      <c r="R4567" s="0" t="n">
        <f aca="false">F4567*H4567</f>
        <v>-0.5</v>
      </c>
      <c r="S4567" s="0" t="n">
        <f aca="false">G4567*H4567</f>
        <v>-0.5</v>
      </c>
      <c r="T4567" s="0" t="n">
        <f aca="false">E4567*E4567</f>
        <v>0.25</v>
      </c>
      <c r="U4567" s="0" t="n">
        <f aca="false">F4567*F4567</f>
        <v>0.25</v>
      </c>
      <c r="V4567" s="0" t="n">
        <f aca="false">G4567*G4567</f>
        <v>0.25</v>
      </c>
      <c r="W4567" s="0" t="n">
        <f aca="false">H4567*H4567</f>
        <v>1</v>
      </c>
      <c r="X4567" s="0" t="n">
        <f aca="false">SUMPRODUCT(I4567:W4567,_XtX!$B$96:$P$96)</f>
        <v>45.9174159356725</v>
      </c>
      <c r="Y4567" s="0" t="n">
        <f aca="false">SUMPRODUCT(MMULT(I4567:W4567,_XtX!$B$78:$P$92),I4567:W4567)</f>
        <v>0.404719480994152</v>
      </c>
      <c r="Z4567" s="0" t="n">
        <f aca="false">04_回帰ANOVA!$K$19*04_回帰ANOVA!$K$14*SQRT(1+Y4567)</f>
        <v>1.54487446697867</v>
      </c>
      <c r="AA4567" s="0" t="n">
        <f aca="false">X4567-Z4567</f>
        <v>44.3725414686938</v>
      </c>
      <c r="AB4567" s="0" t="n">
        <f aca="false">X4567+Z4567</f>
        <v>47.4622904026512</v>
      </c>
      <c r="AC4567" s="54" t="b">
        <f aca="false">AND(E4567&gt;=01_因子設定!$L$5-0.000000001,E4567&lt;=01_因子設定!$M$5+0.000000001,F4567&gt;=01_因子設定!$L$6-0.000000001,F4567&lt;=01_因子設定!$M$6+0.000000001,G4567&gt;=01_因子設定!$L$7-0.000000001,G4567&lt;=01_因子設定!$M$7+0.000000001,H4567&gt;=01_因子設定!$L$8-0.000000001,H4567&lt;=01_因子設定!$M$8+0.000000001,IF(01_因子設定!$B$20="Box-Behnken",E4567^2+F4567^2+G4567^2+H4567^2&lt;=2+0.000000001,TRUE()))</f>
        <v>1</v>
      </c>
      <c r="AD4567" s="55" t="n">
        <f aca="false">IF(AC4567,IF(01_因子設定!$B$13="最大化",AA4567-01_因子設定!$B$14,IF(01_因子設定!$B$13="最小化",01_因子設定!$B$15-AB4567,MIN(AA4567-01_因子設定!$B$14,01_因子設定!$B$15-AB4567))),-1E+030)</f>
        <v>-2.12745853130617</v>
      </c>
      <c r="AE4567" s="55" t="n">
        <f aca="false">IF(AC4567,IF(01_因子設定!$B$13="最大化",X4567,IF(01_因子設定!$B$13="最小化",-X4567,-ABS(X4567-01_因子設定!$B$16))),-1E+030)</f>
        <v>45.9174159356725</v>
      </c>
      <c r="AF4567" s="55" t="n">
        <f aca="false">AD4567+ROW()*0.000000001</f>
        <v>-2.12745396430617</v>
      </c>
      <c r="AG4567" s="55" t="n">
        <f aca="false">AE4567+ROW()*0.000000001</f>
        <v>45.9174205026725</v>
      </c>
    </row>
    <row r="4568" customFormat="false" ht="15" hidden="false" customHeight="false" outlineLevel="0" collapsed="false">
      <c r="A4568" s="0" t="n">
        <v>6</v>
      </c>
      <c r="B4568" s="0" t="n">
        <v>2</v>
      </c>
      <c r="C4568" s="0" t="n">
        <v>3</v>
      </c>
      <c r="D4568" s="0" t="n">
        <v>0</v>
      </c>
      <c r="E4568" s="0" t="n">
        <f aca="false">-1+A4568*0.25</f>
        <v>0.5</v>
      </c>
      <c r="F4568" s="0" t="n">
        <f aca="false">-1+B4568*0.25</f>
        <v>-0.5</v>
      </c>
      <c r="G4568" s="0" t="n">
        <f aca="false">-1+C4568*0.25</f>
        <v>-0.25</v>
      </c>
      <c r="H4568" s="0" t="n">
        <f aca="false">-1+D4568*0.25</f>
        <v>-1</v>
      </c>
      <c r="I4568" s="0" t="n">
        <f aca="false">1</f>
        <v>1</v>
      </c>
      <c r="J4568" s="0" t="n">
        <f aca="false">E4568</f>
        <v>0.5</v>
      </c>
      <c r="K4568" s="0" t="n">
        <f aca="false">F4568</f>
        <v>-0.5</v>
      </c>
      <c r="L4568" s="0" t="n">
        <f aca="false">G4568</f>
        <v>-0.25</v>
      </c>
      <c r="M4568" s="0" t="n">
        <f aca="false">H4568</f>
        <v>-1</v>
      </c>
      <c r="N4568" s="0" t="n">
        <f aca="false">E4568*F4568</f>
        <v>-0.25</v>
      </c>
      <c r="O4568" s="0" t="n">
        <f aca="false">E4568*G4568</f>
        <v>-0.125</v>
      </c>
      <c r="P4568" s="0" t="n">
        <f aca="false">E4568*H4568</f>
        <v>-0.5</v>
      </c>
      <c r="Q4568" s="0" t="n">
        <f aca="false">F4568*G4568</f>
        <v>0.125</v>
      </c>
      <c r="R4568" s="0" t="n">
        <f aca="false">F4568*H4568</f>
        <v>0.5</v>
      </c>
      <c r="S4568" s="0" t="n">
        <f aca="false">G4568*H4568</f>
        <v>0.25</v>
      </c>
      <c r="T4568" s="0" t="n">
        <f aca="false">E4568*E4568</f>
        <v>0.25</v>
      </c>
      <c r="U4568" s="0" t="n">
        <f aca="false">F4568*F4568</f>
        <v>0.25</v>
      </c>
      <c r="V4568" s="0" t="n">
        <f aca="false">G4568*G4568</f>
        <v>0.0625</v>
      </c>
      <c r="W4568" s="0" t="n">
        <f aca="false">H4568*H4568</f>
        <v>1</v>
      </c>
      <c r="X4568" s="0" t="n">
        <f aca="false">SUMPRODUCT(I4568:W4568,_XtX!$B$96:$P$96)</f>
        <v>45.2379111842105</v>
      </c>
      <c r="Y4568" s="0" t="n">
        <f aca="false">SUMPRODUCT(MMULT(I4568:W4568,_XtX!$B$78:$P$92),I4568:W4568)</f>
        <v>0.428122715643275</v>
      </c>
      <c r="Z4568" s="0" t="n">
        <f aca="false">04_回帰ANOVA!$K$19*04_回帰ANOVA!$K$14*SQRT(1+Y4568)</f>
        <v>1.55769044623229</v>
      </c>
      <c r="AA4568" s="0" t="n">
        <f aca="false">X4568-Z4568</f>
        <v>43.6802207379782</v>
      </c>
      <c r="AB4568" s="0" t="n">
        <f aca="false">X4568+Z4568</f>
        <v>46.7956016304428</v>
      </c>
      <c r="AC4568" s="54" t="b">
        <f aca="false">AND(E4568&gt;=01_因子設定!$L$5-0.000000001,E4568&lt;=01_因子設定!$M$5+0.000000001,F4568&gt;=01_因子設定!$L$6-0.000000001,F4568&lt;=01_因子設定!$M$6+0.000000001,G4568&gt;=01_因子設定!$L$7-0.000000001,G4568&lt;=01_因子設定!$M$7+0.000000001,H4568&gt;=01_因子設定!$L$8-0.000000001,H4568&lt;=01_因子設定!$M$8+0.000000001,IF(01_因子設定!$B$20="Box-Behnken",E4568^2+F4568^2+G4568^2+H4568^2&lt;=2+0.000000001,TRUE()))</f>
        <v>1</v>
      </c>
      <c r="AD4568" s="55" t="n">
        <f aca="false">IF(AC4568,IF(01_因子設定!$B$13="最大化",AA4568-01_因子設定!$B$14,IF(01_因子設定!$B$13="最小化",01_因子設定!$B$15-AB4568,MIN(AA4568-01_因子設定!$B$14,01_因子設定!$B$15-AB4568))),-1E+030)</f>
        <v>-2.81977926202178</v>
      </c>
      <c r="AE4568" s="55" t="n">
        <f aca="false">IF(AC4568,IF(01_因子設定!$B$13="最大化",X4568,IF(01_因子設定!$B$13="最小化",-X4568,-ABS(X4568-01_因子設定!$B$16))),-1E+030)</f>
        <v>45.2379111842105</v>
      </c>
      <c r="AF4568" s="55" t="n">
        <f aca="false">AD4568+ROW()*0.000000001</f>
        <v>-2.81977469402178</v>
      </c>
      <c r="AG4568" s="55" t="n">
        <f aca="false">AE4568+ROW()*0.000000001</f>
        <v>45.2379157522105</v>
      </c>
    </row>
    <row r="4569" customFormat="false" ht="15" hidden="false" customHeight="false" outlineLevel="0" collapsed="false">
      <c r="A4569" s="0" t="n">
        <v>6</v>
      </c>
      <c r="B4569" s="0" t="n">
        <v>2</v>
      </c>
      <c r="C4569" s="0" t="n">
        <v>3</v>
      </c>
      <c r="D4569" s="0" t="n">
        <v>1</v>
      </c>
      <c r="E4569" s="0" t="n">
        <f aca="false">-1+A4569*0.25</f>
        <v>0.5</v>
      </c>
      <c r="F4569" s="0" t="n">
        <f aca="false">-1+B4569*0.25</f>
        <v>-0.5</v>
      </c>
      <c r="G4569" s="0" t="n">
        <f aca="false">-1+C4569*0.25</f>
        <v>-0.25</v>
      </c>
      <c r="H4569" s="0" t="n">
        <f aca="false">-1+D4569*0.25</f>
        <v>-0.75</v>
      </c>
      <c r="I4569" s="0" t="n">
        <f aca="false">1</f>
        <v>1</v>
      </c>
      <c r="J4569" s="0" t="n">
        <f aca="false">E4569</f>
        <v>0.5</v>
      </c>
      <c r="K4569" s="0" t="n">
        <f aca="false">F4569</f>
        <v>-0.5</v>
      </c>
      <c r="L4569" s="0" t="n">
        <f aca="false">G4569</f>
        <v>-0.25</v>
      </c>
      <c r="M4569" s="0" t="n">
        <f aca="false">H4569</f>
        <v>-0.75</v>
      </c>
      <c r="N4569" s="0" t="n">
        <f aca="false">E4569*F4569</f>
        <v>-0.25</v>
      </c>
      <c r="O4569" s="0" t="n">
        <f aca="false">E4569*G4569</f>
        <v>-0.125</v>
      </c>
      <c r="P4569" s="0" t="n">
        <f aca="false">E4569*H4569</f>
        <v>-0.375</v>
      </c>
      <c r="Q4569" s="0" t="n">
        <f aca="false">F4569*G4569</f>
        <v>0.125</v>
      </c>
      <c r="R4569" s="0" t="n">
        <f aca="false">F4569*H4569</f>
        <v>0.375</v>
      </c>
      <c r="S4569" s="0" t="n">
        <f aca="false">G4569*H4569</f>
        <v>0.1875</v>
      </c>
      <c r="T4569" s="0" t="n">
        <f aca="false">E4569*E4569</f>
        <v>0.25</v>
      </c>
      <c r="U4569" s="0" t="n">
        <f aca="false">F4569*F4569</f>
        <v>0.25</v>
      </c>
      <c r="V4569" s="0" t="n">
        <f aca="false">G4569*G4569</f>
        <v>0.0625</v>
      </c>
      <c r="W4569" s="0" t="n">
        <f aca="false">H4569*H4569</f>
        <v>0.5625</v>
      </c>
      <c r="X4569" s="0" t="n">
        <f aca="false">SUMPRODUCT(I4569:W4569,_XtX!$B$96:$P$96)</f>
        <v>45.5308433845029</v>
      </c>
      <c r="Y4569" s="0" t="n">
        <f aca="false">SUMPRODUCT(MMULT(I4569:W4569,_XtX!$B$78:$P$92),I4569:W4569)</f>
        <v>0.203746059484649</v>
      </c>
      <c r="Z4569" s="0" t="n">
        <f aca="false">04_回帰ANOVA!$K$19*04_回帰ANOVA!$K$14*SQRT(1+Y4569)</f>
        <v>1.43009810755465</v>
      </c>
      <c r="AA4569" s="0" t="n">
        <f aca="false">X4569-Z4569</f>
        <v>44.1007452769483</v>
      </c>
      <c r="AB4569" s="0" t="n">
        <f aca="false">X4569+Z4569</f>
        <v>46.9609414920576</v>
      </c>
      <c r="AC4569" s="54" t="b">
        <f aca="false">AND(E4569&gt;=01_因子設定!$L$5-0.000000001,E4569&lt;=01_因子設定!$M$5+0.000000001,F4569&gt;=01_因子設定!$L$6-0.000000001,F4569&lt;=01_因子設定!$M$6+0.000000001,G4569&gt;=01_因子設定!$L$7-0.000000001,G4569&lt;=01_因子設定!$M$7+0.000000001,H4569&gt;=01_因子設定!$L$8-0.000000001,H4569&lt;=01_因子設定!$M$8+0.000000001,IF(01_因子設定!$B$20="Box-Behnken",E4569^2+F4569^2+G4569^2+H4569^2&lt;=2+0.000000001,TRUE()))</f>
        <v>1</v>
      </c>
      <c r="AD4569" s="55" t="n">
        <f aca="false">IF(AC4569,IF(01_因子設定!$B$13="最大化",AA4569-01_因子設定!$B$14,IF(01_因子設定!$B$13="最小化",01_因子設定!$B$15-AB4569,MIN(AA4569-01_因子設定!$B$14,01_因子設定!$B$15-AB4569))),-1E+030)</f>
        <v>-2.39925472305175</v>
      </c>
      <c r="AE4569" s="55" t="n">
        <f aca="false">IF(AC4569,IF(01_因子設定!$B$13="最大化",X4569,IF(01_因子設定!$B$13="最小化",-X4569,-ABS(X4569-01_因子設定!$B$16))),-1E+030)</f>
        <v>45.5308433845029</v>
      </c>
      <c r="AF4569" s="55" t="n">
        <f aca="false">AD4569+ROW()*0.000000001</f>
        <v>-2.39925015405175</v>
      </c>
      <c r="AG4569" s="55" t="n">
        <f aca="false">AE4569+ROW()*0.000000001</f>
        <v>45.5308479535029</v>
      </c>
    </row>
    <row r="4570" customFormat="false" ht="15" hidden="false" customHeight="false" outlineLevel="0" collapsed="false">
      <c r="A4570" s="0" t="n">
        <v>6</v>
      </c>
      <c r="B4570" s="0" t="n">
        <v>2</v>
      </c>
      <c r="C4570" s="0" t="n">
        <v>3</v>
      </c>
      <c r="D4570" s="0" t="n">
        <v>2</v>
      </c>
      <c r="E4570" s="0" t="n">
        <f aca="false">-1+A4570*0.25</f>
        <v>0.5</v>
      </c>
      <c r="F4570" s="0" t="n">
        <f aca="false">-1+B4570*0.25</f>
        <v>-0.5</v>
      </c>
      <c r="G4570" s="0" t="n">
        <f aca="false">-1+C4570*0.25</f>
        <v>-0.25</v>
      </c>
      <c r="H4570" s="0" t="n">
        <f aca="false">-1+D4570*0.25</f>
        <v>-0.5</v>
      </c>
      <c r="I4570" s="0" t="n">
        <f aca="false">1</f>
        <v>1</v>
      </c>
      <c r="J4570" s="0" t="n">
        <f aca="false">E4570</f>
        <v>0.5</v>
      </c>
      <c r="K4570" s="0" t="n">
        <f aca="false">F4570</f>
        <v>-0.5</v>
      </c>
      <c r="L4570" s="0" t="n">
        <f aca="false">G4570</f>
        <v>-0.25</v>
      </c>
      <c r="M4570" s="0" t="n">
        <f aca="false">H4570</f>
        <v>-0.5</v>
      </c>
      <c r="N4570" s="0" t="n">
        <f aca="false">E4570*F4570</f>
        <v>-0.25</v>
      </c>
      <c r="O4570" s="0" t="n">
        <f aca="false">E4570*G4570</f>
        <v>-0.125</v>
      </c>
      <c r="P4570" s="0" t="n">
        <f aca="false">E4570*H4570</f>
        <v>-0.25</v>
      </c>
      <c r="Q4570" s="0" t="n">
        <f aca="false">F4570*G4570</f>
        <v>0.125</v>
      </c>
      <c r="R4570" s="0" t="n">
        <f aca="false">F4570*H4570</f>
        <v>0.25</v>
      </c>
      <c r="S4570" s="0" t="n">
        <f aca="false">G4570*H4570</f>
        <v>0.125</v>
      </c>
      <c r="T4570" s="0" t="n">
        <f aca="false">E4570*E4570</f>
        <v>0.25</v>
      </c>
      <c r="U4570" s="0" t="n">
        <f aca="false">F4570*F4570</f>
        <v>0.25</v>
      </c>
      <c r="V4570" s="0" t="n">
        <f aca="false">G4570*G4570</f>
        <v>0.0625</v>
      </c>
      <c r="W4570" s="0" t="n">
        <f aca="false">H4570*H4570</f>
        <v>0.25</v>
      </c>
      <c r="X4570" s="0" t="n">
        <f aca="false">SUMPRODUCT(I4570:W4570,_XtX!$B$96:$P$96)</f>
        <v>45.7759685672514</v>
      </c>
      <c r="Y4570" s="0" t="n">
        <f aca="false">SUMPRODUCT(MMULT(I4570:W4570,_XtX!$B$78:$P$92),I4570:W4570)</f>
        <v>0.133937545687135</v>
      </c>
      <c r="Z4570" s="0" t="n">
        <f aca="false">04_回帰ANOVA!$K$19*04_回帰ANOVA!$K$14*SQRT(1+Y4570)</f>
        <v>1.38801116780825</v>
      </c>
      <c r="AA4570" s="0" t="n">
        <f aca="false">X4570-Z4570</f>
        <v>44.3879573994432</v>
      </c>
      <c r="AB4570" s="0" t="n">
        <f aca="false">X4570+Z4570</f>
        <v>47.1639797350597</v>
      </c>
      <c r="AC4570" s="54" t="b">
        <f aca="false">AND(E4570&gt;=01_因子設定!$L$5-0.000000001,E4570&lt;=01_因子設定!$M$5+0.000000001,F4570&gt;=01_因子設定!$L$6-0.000000001,F4570&lt;=01_因子設定!$M$6+0.000000001,G4570&gt;=01_因子設定!$L$7-0.000000001,G4570&lt;=01_因子設定!$M$7+0.000000001,H4570&gt;=01_因子設定!$L$8-0.000000001,H4570&lt;=01_因子設定!$M$8+0.000000001,IF(01_因子設定!$B$20="Box-Behnken",E4570^2+F4570^2+G4570^2+H4570^2&lt;=2+0.000000001,TRUE()))</f>
        <v>1</v>
      </c>
      <c r="AD4570" s="55" t="n">
        <f aca="false">IF(AC4570,IF(01_因子設定!$B$13="最大化",AA4570-01_因子設定!$B$14,IF(01_因子設定!$B$13="最小化",01_因子設定!$B$15-AB4570,MIN(AA4570-01_因子設定!$B$14,01_因子設定!$B$15-AB4570))),-1E+030)</f>
        <v>-2.11204260055683</v>
      </c>
      <c r="AE4570" s="55" t="n">
        <f aca="false">IF(AC4570,IF(01_因子設定!$B$13="最大化",X4570,IF(01_因子設定!$B$13="最小化",-X4570,-ABS(X4570-01_因子設定!$B$16))),-1E+030)</f>
        <v>45.7759685672514</v>
      </c>
      <c r="AF4570" s="55" t="n">
        <f aca="false">AD4570+ROW()*0.000000001</f>
        <v>-2.11203803055683</v>
      </c>
      <c r="AG4570" s="55" t="n">
        <f aca="false">AE4570+ROW()*0.000000001</f>
        <v>45.7759731372514</v>
      </c>
    </row>
    <row r="4571" customFormat="false" ht="15" hidden="false" customHeight="false" outlineLevel="0" collapsed="false">
      <c r="A4571" s="0" t="n">
        <v>6</v>
      </c>
      <c r="B4571" s="0" t="n">
        <v>2</v>
      </c>
      <c r="C4571" s="0" t="n">
        <v>3</v>
      </c>
      <c r="D4571" s="0" t="n">
        <v>3</v>
      </c>
      <c r="E4571" s="0" t="n">
        <f aca="false">-1+A4571*0.25</f>
        <v>0.5</v>
      </c>
      <c r="F4571" s="0" t="n">
        <f aca="false">-1+B4571*0.25</f>
        <v>-0.5</v>
      </c>
      <c r="G4571" s="0" t="n">
        <f aca="false">-1+C4571*0.25</f>
        <v>-0.25</v>
      </c>
      <c r="H4571" s="0" t="n">
        <f aca="false">-1+D4571*0.25</f>
        <v>-0.25</v>
      </c>
      <c r="I4571" s="0" t="n">
        <f aca="false">1</f>
        <v>1</v>
      </c>
      <c r="J4571" s="0" t="n">
        <f aca="false">E4571</f>
        <v>0.5</v>
      </c>
      <c r="K4571" s="0" t="n">
        <f aca="false">F4571</f>
        <v>-0.5</v>
      </c>
      <c r="L4571" s="0" t="n">
        <f aca="false">G4571</f>
        <v>-0.25</v>
      </c>
      <c r="M4571" s="0" t="n">
        <f aca="false">H4571</f>
        <v>-0.25</v>
      </c>
      <c r="N4571" s="0" t="n">
        <f aca="false">E4571*F4571</f>
        <v>-0.25</v>
      </c>
      <c r="O4571" s="0" t="n">
        <f aca="false">E4571*G4571</f>
        <v>-0.125</v>
      </c>
      <c r="P4571" s="0" t="n">
        <f aca="false">E4571*H4571</f>
        <v>-0.125</v>
      </c>
      <c r="Q4571" s="0" t="n">
        <f aca="false">F4571*G4571</f>
        <v>0.125</v>
      </c>
      <c r="R4571" s="0" t="n">
        <f aca="false">F4571*H4571</f>
        <v>0.125</v>
      </c>
      <c r="S4571" s="0" t="n">
        <f aca="false">G4571*H4571</f>
        <v>0.0625</v>
      </c>
      <c r="T4571" s="0" t="n">
        <f aca="false">E4571*E4571</f>
        <v>0.25</v>
      </c>
      <c r="U4571" s="0" t="n">
        <f aca="false">F4571*F4571</f>
        <v>0.25</v>
      </c>
      <c r="V4571" s="0" t="n">
        <f aca="false">G4571*G4571</f>
        <v>0.0625</v>
      </c>
      <c r="W4571" s="0" t="n">
        <f aca="false">H4571*H4571</f>
        <v>0.0625</v>
      </c>
      <c r="X4571" s="0" t="n">
        <f aca="false">SUMPRODUCT(I4571:W4571,_XtX!$B$96:$P$96)</f>
        <v>45.9732867324561</v>
      </c>
      <c r="Y4571" s="0" t="n">
        <f aca="false">SUMPRODUCT(MMULT(I4571:W4571,_XtX!$B$78:$P$92),I4571:W4571)</f>
        <v>0.128236647934942</v>
      </c>
      <c r="Z4571" s="0" t="n">
        <f aca="false">04_回帰ANOVA!$K$19*04_回帰ANOVA!$K$14*SQRT(1+Y4571)</f>
        <v>1.38451764188989</v>
      </c>
      <c r="AA4571" s="0" t="n">
        <f aca="false">X4571-Z4571</f>
        <v>44.5887690905662</v>
      </c>
      <c r="AB4571" s="0" t="n">
        <f aca="false">X4571+Z4571</f>
        <v>47.357804374346</v>
      </c>
      <c r="AC4571" s="54" t="b">
        <f aca="false">AND(E4571&gt;=01_因子設定!$L$5-0.000000001,E4571&lt;=01_因子設定!$M$5+0.000000001,F4571&gt;=01_因子設定!$L$6-0.000000001,F4571&lt;=01_因子設定!$M$6+0.000000001,G4571&gt;=01_因子設定!$L$7-0.000000001,G4571&lt;=01_因子設定!$M$7+0.000000001,H4571&gt;=01_因子設定!$L$8-0.000000001,H4571&lt;=01_因子設定!$M$8+0.000000001,IF(01_因子設定!$B$20="Box-Behnken",E4571^2+F4571^2+G4571^2+H4571^2&lt;=2+0.000000001,TRUE()))</f>
        <v>1</v>
      </c>
      <c r="AD4571" s="55" t="n">
        <f aca="false">IF(AC4571,IF(01_因子設定!$B$13="最大化",AA4571-01_因子設定!$B$14,IF(01_因子設定!$B$13="最小化",01_因子設定!$B$15-AB4571,MIN(AA4571-01_因子設定!$B$14,01_因子設定!$B$15-AB4571))),-1E+030)</f>
        <v>-1.91123090943379</v>
      </c>
      <c r="AE4571" s="55" t="n">
        <f aca="false">IF(AC4571,IF(01_因子設定!$B$13="最大化",X4571,IF(01_因子設定!$B$13="最小化",-X4571,-ABS(X4571-01_因子設定!$B$16))),-1E+030)</f>
        <v>45.9732867324561</v>
      </c>
      <c r="AF4571" s="55" t="n">
        <f aca="false">AD4571+ROW()*0.000000001</f>
        <v>-1.91122633843379</v>
      </c>
      <c r="AG4571" s="55" t="n">
        <f aca="false">AE4571+ROW()*0.000000001</f>
        <v>45.9732913034561</v>
      </c>
    </row>
    <row r="4572" customFormat="false" ht="15" hidden="false" customHeight="false" outlineLevel="0" collapsed="false">
      <c r="A4572" s="0" t="n">
        <v>6</v>
      </c>
      <c r="B4572" s="0" t="n">
        <v>2</v>
      </c>
      <c r="C4572" s="0" t="n">
        <v>3</v>
      </c>
      <c r="D4572" s="0" t="n">
        <v>4</v>
      </c>
      <c r="E4572" s="0" t="n">
        <f aca="false">-1+A4572*0.25</f>
        <v>0.5</v>
      </c>
      <c r="F4572" s="0" t="n">
        <f aca="false">-1+B4572*0.25</f>
        <v>-0.5</v>
      </c>
      <c r="G4572" s="0" t="n">
        <f aca="false">-1+C4572*0.25</f>
        <v>-0.25</v>
      </c>
      <c r="H4572" s="0" t="n">
        <f aca="false">-1+D4572*0.25</f>
        <v>0</v>
      </c>
      <c r="I4572" s="0" t="n">
        <f aca="false">1</f>
        <v>1</v>
      </c>
      <c r="J4572" s="0" t="n">
        <f aca="false">E4572</f>
        <v>0.5</v>
      </c>
      <c r="K4572" s="0" t="n">
        <f aca="false">F4572</f>
        <v>-0.5</v>
      </c>
      <c r="L4572" s="0" t="n">
        <f aca="false">G4572</f>
        <v>-0.25</v>
      </c>
      <c r="M4572" s="0" t="n">
        <f aca="false">H4572</f>
        <v>0</v>
      </c>
      <c r="N4572" s="0" t="n">
        <f aca="false">E4572*F4572</f>
        <v>-0.25</v>
      </c>
      <c r="O4572" s="0" t="n">
        <f aca="false">E4572*G4572</f>
        <v>-0.125</v>
      </c>
      <c r="P4572" s="0" t="n">
        <f aca="false">E4572*H4572</f>
        <v>0</v>
      </c>
      <c r="Q4572" s="0" t="n">
        <f aca="false">F4572*G4572</f>
        <v>0.125</v>
      </c>
      <c r="R4572" s="0" t="n">
        <f aca="false">F4572*H4572</f>
        <v>-0</v>
      </c>
      <c r="S4572" s="0" t="n">
        <f aca="false">G4572*H4572</f>
        <v>-0</v>
      </c>
      <c r="T4572" s="0" t="n">
        <f aca="false">E4572*E4572</f>
        <v>0.25</v>
      </c>
      <c r="U4572" s="0" t="n">
        <f aca="false">F4572*F4572</f>
        <v>0.25</v>
      </c>
      <c r="V4572" s="0" t="n">
        <f aca="false">G4572*G4572</f>
        <v>0.0625</v>
      </c>
      <c r="W4572" s="0" t="n">
        <f aca="false">H4572*H4572</f>
        <v>0</v>
      </c>
      <c r="X4572" s="0" t="n">
        <f aca="false">SUMPRODUCT(I4572:W4572,_XtX!$B$96:$P$96)</f>
        <v>46.1227978801169</v>
      </c>
      <c r="Y4572" s="0" t="n">
        <f aca="false">SUMPRODUCT(MMULT(I4572:W4572,_XtX!$B$78:$P$92),I4572:W4572)</f>
        <v>0.132367050438597</v>
      </c>
      <c r="Z4572" s="0" t="n">
        <f aca="false">04_回帰ANOVA!$K$19*04_回帰ANOVA!$K$14*SQRT(1+Y4572)</f>
        <v>1.38704964208329</v>
      </c>
      <c r="AA4572" s="0" t="n">
        <f aca="false">X4572-Z4572</f>
        <v>44.7357482380336</v>
      </c>
      <c r="AB4572" s="0" t="n">
        <f aca="false">X4572+Z4572</f>
        <v>47.5098475222002</v>
      </c>
      <c r="AC4572" s="54" t="b">
        <f aca="false">AND(E4572&gt;=01_因子設定!$L$5-0.000000001,E4572&lt;=01_因子設定!$M$5+0.000000001,F4572&gt;=01_因子設定!$L$6-0.000000001,F4572&lt;=01_因子設定!$M$6+0.000000001,G4572&gt;=01_因子設定!$L$7-0.000000001,G4572&lt;=01_因子設定!$M$7+0.000000001,H4572&gt;=01_因子設定!$L$8-0.000000001,H4572&lt;=01_因子設定!$M$8+0.000000001,IF(01_因子設定!$B$20="Box-Behnken",E4572^2+F4572^2+G4572^2+H4572^2&lt;=2+0.000000001,TRUE()))</f>
        <v>1</v>
      </c>
      <c r="AD4572" s="55" t="n">
        <f aca="false">IF(AC4572,IF(01_因子設定!$B$13="最大化",AA4572-01_因子設定!$B$14,IF(01_因子設定!$B$13="最小化",01_因子設定!$B$15-AB4572,MIN(AA4572-01_因子設定!$B$14,01_因子設定!$B$15-AB4572))),-1E+030)</f>
        <v>-1.76425176196638</v>
      </c>
      <c r="AE4572" s="55" t="n">
        <f aca="false">IF(AC4572,IF(01_因子設定!$B$13="最大化",X4572,IF(01_因子設定!$B$13="最小化",-X4572,-ABS(X4572-01_因子設定!$B$16))),-1E+030)</f>
        <v>46.1227978801169</v>
      </c>
      <c r="AF4572" s="55" t="n">
        <f aca="false">AD4572+ROW()*0.000000001</f>
        <v>-1.76424718996638</v>
      </c>
      <c r="AG4572" s="55" t="n">
        <f aca="false">AE4572+ROW()*0.000000001</f>
        <v>46.1228024521169</v>
      </c>
    </row>
    <row r="4573" customFormat="false" ht="15" hidden="false" customHeight="false" outlineLevel="0" collapsed="false">
      <c r="A4573" s="0" t="n">
        <v>6</v>
      </c>
      <c r="B4573" s="0" t="n">
        <v>2</v>
      </c>
      <c r="C4573" s="0" t="n">
        <v>3</v>
      </c>
      <c r="D4573" s="0" t="n">
        <v>5</v>
      </c>
      <c r="E4573" s="0" t="n">
        <f aca="false">-1+A4573*0.25</f>
        <v>0.5</v>
      </c>
      <c r="F4573" s="0" t="n">
        <f aca="false">-1+B4573*0.25</f>
        <v>-0.5</v>
      </c>
      <c r="G4573" s="0" t="n">
        <f aca="false">-1+C4573*0.25</f>
        <v>-0.25</v>
      </c>
      <c r="H4573" s="0" t="n">
        <f aca="false">-1+D4573*0.25</f>
        <v>0.25</v>
      </c>
      <c r="I4573" s="0" t="n">
        <f aca="false">1</f>
        <v>1</v>
      </c>
      <c r="J4573" s="0" t="n">
        <f aca="false">E4573</f>
        <v>0.5</v>
      </c>
      <c r="K4573" s="0" t="n">
        <f aca="false">F4573</f>
        <v>-0.5</v>
      </c>
      <c r="L4573" s="0" t="n">
        <f aca="false">G4573</f>
        <v>-0.25</v>
      </c>
      <c r="M4573" s="0" t="n">
        <f aca="false">H4573</f>
        <v>0.25</v>
      </c>
      <c r="N4573" s="0" t="n">
        <f aca="false">E4573*F4573</f>
        <v>-0.25</v>
      </c>
      <c r="O4573" s="0" t="n">
        <f aca="false">E4573*G4573</f>
        <v>-0.125</v>
      </c>
      <c r="P4573" s="0" t="n">
        <f aca="false">E4573*H4573</f>
        <v>0.125</v>
      </c>
      <c r="Q4573" s="0" t="n">
        <f aca="false">F4573*G4573</f>
        <v>0.125</v>
      </c>
      <c r="R4573" s="0" t="n">
        <f aca="false">F4573*H4573</f>
        <v>-0.125</v>
      </c>
      <c r="S4573" s="0" t="n">
        <f aca="false">G4573*H4573</f>
        <v>-0.0625</v>
      </c>
      <c r="T4573" s="0" t="n">
        <f aca="false">E4573*E4573</f>
        <v>0.25</v>
      </c>
      <c r="U4573" s="0" t="n">
        <f aca="false">F4573*F4573</f>
        <v>0.25</v>
      </c>
      <c r="V4573" s="0" t="n">
        <f aca="false">G4573*G4573</f>
        <v>0.0625</v>
      </c>
      <c r="W4573" s="0" t="n">
        <f aca="false">H4573*H4573</f>
        <v>0.0625</v>
      </c>
      <c r="X4573" s="0" t="n">
        <f aca="false">SUMPRODUCT(I4573:W4573,_XtX!$B$96:$P$96)</f>
        <v>46.2245020102339</v>
      </c>
      <c r="Y4573" s="0" t="n">
        <f aca="false">SUMPRODUCT(MMULT(I4573:W4573,_XtX!$B$78:$P$92),I4573:W4573)</f>
        <v>0.128236647934942</v>
      </c>
      <c r="Z4573" s="0" t="n">
        <f aca="false">04_回帰ANOVA!$K$19*04_回帰ANOVA!$K$14*SQRT(1+Y4573)</f>
        <v>1.38451764188989</v>
      </c>
      <c r="AA4573" s="0" t="n">
        <f aca="false">X4573-Z4573</f>
        <v>44.839984368344</v>
      </c>
      <c r="AB4573" s="0" t="n">
        <f aca="false">X4573+Z4573</f>
        <v>47.6090196521238</v>
      </c>
      <c r="AC4573" s="54" t="b">
        <f aca="false">AND(E4573&gt;=01_因子設定!$L$5-0.000000001,E4573&lt;=01_因子設定!$M$5+0.000000001,F4573&gt;=01_因子設定!$L$6-0.000000001,F4573&lt;=01_因子設定!$M$6+0.000000001,G4573&gt;=01_因子設定!$L$7-0.000000001,G4573&lt;=01_因子設定!$M$7+0.000000001,H4573&gt;=01_因子設定!$L$8-0.000000001,H4573&lt;=01_因子設定!$M$8+0.000000001,IF(01_因子設定!$B$20="Box-Behnken",E4573^2+F4573^2+G4573^2+H4573^2&lt;=2+0.000000001,TRUE()))</f>
        <v>1</v>
      </c>
      <c r="AD4573" s="55" t="n">
        <f aca="false">IF(AC4573,IF(01_因子設定!$B$13="最大化",AA4573-01_因子設定!$B$14,IF(01_因子設定!$B$13="最小化",01_因子設定!$B$15-AB4573,MIN(AA4573-01_因子設定!$B$14,01_因子設定!$B$15-AB4573))),-1E+030)</f>
        <v>-1.66001563165601</v>
      </c>
      <c r="AE4573" s="55" t="n">
        <f aca="false">IF(AC4573,IF(01_因子設定!$B$13="最大化",X4573,IF(01_因子設定!$B$13="最小化",-X4573,-ABS(X4573-01_因子設定!$B$16))),-1E+030)</f>
        <v>46.2245020102339</v>
      </c>
      <c r="AF4573" s="55" t="n">
        <f aca="false">AD4573+ROW()*0.000000001</f>
        <v>-1.66001105865601</v>
      </c>
      <c r="AG4573" s="55" t="n">
        <f aca="false">AE4573+ROW()*0.000000001</f>
        <v>46.2245065832339</v>
      </c>
    </row>
    <row r="4574" customFormat="false" ht="15" hidden="false" customHeight="false" outlineLevel="0" collapsed="false">
      <c r="A4574" s="0" t="n">
        <v>6</v>
      </c>
      <c r="B4574" s="0" t="n">
        <v>2</v>
      </c>
      <c r="C4574" s="0" t="n">
        <v>3</v>
      </c>
      <c r="D4574" s="0" t="n">
        <v>6</v>
      </c>
      <c r="E4574" s="0" t="n">
        <f aca="false">-1+A4574*0.25</f>
        <v>0.5</v>
      </c>
      <c r="F4574" s="0" t="n">
        <f aca="false">-1+B4574*0.25</f>
        <v>-0.5</v>
      </c>
      <c r="G4574" s="0" t="n">
        <f aca="false">-1+C4574*0.25</f>
        <v>-0.25</v>
      </c>
      <c r="H4574" s="0" t="n">
        <f aca="false">-1+D4574*0.25</f>
        <v>0.5</v>
      </c>
      <c r="I4574" s="0" t="n">
        <f aca="false">1</f>
        <v>1</v>
      </c>
      <c r="J4574" s="0" t="n">
        <f aca="false">E4574</f>
        <v>0.5</v>
      </c>
      <c r="K4574" s="0" t="n">
        <f aca="false">F4574</f>
        <v>-0.5</v>
      </c>
      <c r="L4574" s="0" t="n">
        <f aca="false">G4574</f>
        <v>-0.25</v>
      </c>
      <c r="M4574" s="0" t="n">
        <f aca="false">H4574</f>
        <v>0.5</v>
      </c>
      <c r="N4574" s="0" t="n">
        <f aca="false">E4574*F4574</f>
        <v>-0.25</v>
      </c>
      <c r="O4574" s="0" t="n">
        <f aca="false">E4574*G4574</f>
        <v>-0.125</v>
      </c>
      <c r="P4574" s="0" t="n">
        <f aca="false">E4574*H4574</f>
        <v>0.25</v>
      </c>
      <c r="Q4574" s="0" t="n">
        <f aca="false">F4574*G4574</f>
        <v>0.125</v>
      </c>
      <c r="R4574" s="0" t="n">
        <f aca="false">F4574*H4574</f>
        <v>-0.25</v>
      </c>
      <c r="S4574" s="0" t="n">
        <f aca="false">G4574*H4574</f>
        <v>-0.125</v>
      </c>
      <c r="T4574" s="0" t="n">
        <f aca="false">E4574*E4574</f>
        <v>0.25</v>
      </c>
      <c r="U4574" s="0" t="n">
        <f aca="false">F4574*F4574</f>
        <v>0.25</v>
      </c>
      <c r="V4574" s="0" t="n">
        <f aca="false">G4574*G4574</f>
        <v>0.0625</v>
      </c>
      <c r="W4574" s="0" t="n">
        <f aca="false">H4574*H4574</f>
        <v>0.25</v>
      </c>
      <c r="X4574" s="0" t="n">
        <f aca="false">SUMPRODUCT(I4574:W4574,_XtX!$B$96:$P$96)</f>
        <v>46.278399122807</v>
      </c>
      <c r="Y4574" s="0" t="n">
        <f aca="false">SUMPRODUCT(MMULT(I4574:W4574,_XtX!$B$78:$P$92),I4574:W4574)</f>
        <v>0.133937545687135</v>
      </c>
      <c r="Z4574" s="0" t="n">
        <f aca="false">04_回帰ANOVA!$K$19*04_回帰ANOVA!$K$14*SQRT(1+Y4574)</f>
        <v>1.38801116780825</v>
      </c>
      <c r="AA4574" s="0" t="n">
        <f aca="false">X4574-Z4574</f>
        <v>44.8903879549987</v>
      </c>
      <c r="AB4574" s="0" t="n">
        <f aca="false">X4574+Z4574</f>
        <v>47.6664102906152</v>
      </c>
      <c r="AC4574" s="54" t="b">
        <f aca="false">AND(E4574&gt;=01_因子設定!$L$5-0.000000001,E4574&lt;=01_因子設定!$M$5+0.000000001,F4574&gt;=01_因子設定!$L$6-0.000000001,F4574&lt;=01_因子設定!$M$6+0.000000001,G4574&gt;=01_因子設定!$L$7-0.000000001,G4574&lt;=01_因子設定!$M$7+0.000000001,H4574&gt;=01_因子設定!$L$8-0.000000001,H4574&lt;=01_因子設定!$M$8+0.000000001,IF(01_因子設定!$B$20="Box-Behnken",E4574^2+F4574^2+G4574^2+H4574^2&lt;=2+0.000000001,TRUE()))</f>
        <v>1</v>
      </c>
      <c r="AD4574" s="55" t="n">
        <f aca="false">IF(AC4574,IF(01_因子設定!$B$13="最大化",AA4574-01_因子設定!$B$14,IF(01_因子設定!$B$13="最小化",01_因子設定!$B$15-AB4574,MIN(AA4574-01_因子設定!$B$14,01_因子設定!$B$15-AB4574))),-1E+030)</f>
        <v>-1.60961204500127</v>
      </c>
      <c r="AE4574" s="55" t="n">
        <f aca="false">IF(AC4574,IF(01_因子設定!$B$13="最大化",X4574,IF(01_因子設定!$B$13="最小化",-X4574,-ABS(X4574-01_因子設定!$B$16))),-1E+030)</f>
        <v>46.278399122807</v>
      </c>
      <c r="AF4574" s="55" t="n">
        <f aca="false">AD4574+ROW()*0.000000001</f>
        <v>-1.60960747100127</v>
      </c>
      <c r="AG4574" s="55" t="n">
        <f aca="false">AE4574+ROW()*0.000000001</f>
        <v>46.278403696807</v>
      </c>
    </row>
    <row r="4575" customFormat="false" ht="15" hidden="false" customHeight="false" outlineLevel="0" collapsed="false">
      <c r="A4575" s="0" t="n">
        <v>6</v>
      </c>
      <c r="B4575" s="0" t="n">
        <v>2</v>
      </c>
      <c r="C4575" s="0" t="n">
        <v>3</v>
      </c>
      <c r="D4575" s="0" t="n">
        <v>7</v>
      </c>
      <c r="E4575" s="0" t="n">
        <f aca="false">-1+A4575*0.25</f>
        <v>0.5</v>
      </c>
      <c r="F4575" s="0" t="n">
        <f aca="false">-1+B4575*0.25</f>
        <v>-0.5</v>
      </c>
      <c r="G4575" s="0" t="n">
        <f aca="false">-1+C4575*0.25</f>
        <v>-0.25</v>
      </c>
      <c r="H4575" s="0" t="n">
        <f aca="false">-1+D4575*0.25</f>
        <v>0.75</v>
      </c>
      <c r="I4575" s="0" t="n">
        <f aca="false">1</f>
        <v>1</v>
      </c>
      <c r="J4575" s="0" t="n">
        <f aca="false">E4575</f>
        <v>0.5</v>
      </c>
      <c r="K4575" s="0" t="n">
        <f aca="false">F4575</f>
        <v>-0.5</v>
      </c>
      <c r="L4575" s="0" t="n">
        <f aca="false">G4575</f>
        <v>-0.25</v>
      </c>
      <c r="M4575" s="0" t="n">
        <f aca="false">H4575</f>
        <v>0.75</v>
      </c>
      <c r="N4575" s="0" t="n">
        <f aca="false">E4575*F4575</f>
        <v>-0.25</v>
      </c>
      <c r="O4575" s="0" t="n">
        <f aca="false">E4575*G4575</f>
        <v>-0.125</v>
      </c>
      <c r="P4575" s="0" t="n">
        <f aca="false">E4575*H4575</f>
        <v>0.375</v>
      </c>
      <c r="Q4575" s="0" t="n">
        <f aca="false">F4575*G4575</f>
        <v>0.125</v>
      </c>
      <c r="R4575" s="0" t="n">
        <f aca="false">F4575*H4575</f>
        <v>-0.375</v>
      </c>
      <c r="S4575" s="0" t="n">
        <f aca="false">G4575*H4575</f>
        <v>-0.1875</v>
      </c>
      <c r="T4575" s="0" t="n">
        <f aca="false">E4575*E4575</f>
        <v>0.25</v>
      </c>
      <c r="U4575" s="0" t="n">
        <f aca="false">F4575*F4575</f>
        <v>0.25</v>
      </c>
      <c r="V4575" s="0" t="n">
        <f aca="false">G4575*G4575</f>
        <v>0.0625</v>
      </c>
      <c r="W4575" s="0" t="n">
        <f aca="false">H4575*H4575</f>
        <v>0.5625</v>
      </c>
      <c r="X4575" s="0" t="n">
        <f aca="false">SUMPRODUCT(I4575:W4575,_XtX!$B$96:$P$96)</f>
        <v>46.2844892178362</v>
      </c>
      <c r="Y4575" s="0" t="n">
        <f aca="false">SUMPRODUCT(MMULT(I4575:W4575,_XtX!$B$78:$P$92),I4575:W4575)</f>
        <v>0.203746059484649</v>
      </c>
      <c r="Z4575" s="0" t="n">
        <f aca="false">04_回帰ANOVA!$K$19*04_回帰ANOVA!$K$14*SQRT(1+Y4575)</f>
        <v>1.43009810755465</v>
      </c>
      <c r="AA4575" s="0" t="n">
        <f aca="false">X4575-Z4575</f>
        <v>44.8543911102816</v>
      </c>
      <c r="AB4575" s="0" t="n">
        <f aca="false">X4575+Z4575</f>
        <v>47.7145873253909</v>
      </c>
      <c r="AC4575" s="54" t="b">
        <f aca="false">AND(E4575&gt;=01_因子設定!$L$5-0.000000001,E4575&lt;=01_因子設定!$M$5+0.000000001,F4575&gt;=01_因子設定!$L$6-0.000000001,F4575&lt;=01_因子設定!$M$6+0.000000001,G4575&gt;=01_因子設定!$L$7-0.000000001,G4575&lt;=01_因子設定!$M$7+0.000000001,H4575&gt;=01_因子設定!$L$8-0.000000001,H4575&lt;=01_因子設定!$M$8+0.000000001,IF(01_因子設定!$B$20="Box-Behnken",E4575^2+F4575^2+G4575^2+H4575^2&lt;=2+0.000000001,TRUE()))</f>
        <v>1</v>
      </c>
      <c r="AD4575" s="55" t="n">
        <f aca="false">IF(AC4575,IF(01_因子設定!$B$13="最大化",AA4575-01_因子設定!$B$14,IF(01_因子設定!$B$13="最小化",01_因子設定!$B$15-AB4575,MIN(AA4575-01_因子設定!$B$14,01_因子設定!$B$15-AB4575))),-1E+030)</f>
        <v>-1.64560888971842</v>
      </c>
      <c r="AE4575" s="55" t="n">
        <f aca="false">IF(AC4575,IF(01_因子設定!$B$13="最大化",X4575,IF(01_因子設定!$B$13="最小化",-X4575,-ABS(X4575-01_因子設定!$B$16))),-1E+030)</f>
        <v>46.2844892178362</v>
      </c>
      <c r="AF4575" s="55" t="n">
        <f aca="false">AD4575+ROW()*0.000000001</f>
        <v>-1.64560431471842</v>
      </c>
      <c r="AG4575" s="55" t="n">
        <f aca="false">AE4575+ROW()*0.000000001</f>
        <v>46.2844937928362</v>
      </c>
    </row>
    <row r="4576" customFormat="false" ht="15" hidden="false" customHeight="false" outlineLevel="0" collapsed="false">
      <c r="A4576" s="0" t="n">
        <v>6</v>
      </c>
      <c r="B4576" s="0" t="n">
        <v>2</v>
      </c>
      <c r="C4576" s="0" t="n">
        <v>3</v>
      </c>
      <c r="D4576" s="0" t="n">
        <v>8</v>
      </c>
      <c r="E4576" s="0" t="n">
        <f aca="false">-1+A4576*0.25</f>
        <v>0.5</v>
      </c>
      <c r="F4576" s="0" t="n">
        <f aca="false">-1+B4576*0.25</f>
        <v>-0.5</v>
      </c>
      <c r="G4576" s="0" t="n">
        <f aca="false">-1+C4576*0.25</f>
        <v>-0.25</v>
      </c>
      <c r="H4576" s="0" t="n">
        <f aca="false">-1+D4576*0.25</f>
        <v>1</v>
      </c>
      <c r="I4576" s="0" t="n">
        <f aca="false">1</f>
        <v>1</v>
      </c>
      <c r="J4576" s="0" t="n">
        <f aca="false">E4576</f>
        <v>0.5</v>
      </c>
      <c r="K4576" s="0" t="n">
        <f aca="false">F4576</f>
        <v>-0.5</v>
      </c>
      <c r="L4576" s="0" t="n">
        <f aca="false">G4576</f>
        <v>-0.25</v>
      </c>
      <c r="M4576" s="0" t="n">
        <f aca="false">H4576</f>
        <v>1</v>
      </c>
      <c r="N4576" s="0" t="n">
        <f aca="false">E4576*F4576</f>
        <v>-0.25</v>
      </c>
      <c r="O4576" s="0" t="n">
        <f aca="false">E4576*G4576</f>
        <v>-0.125</v>
      </c>
      <c r="P4576" s="0" t="n">
        <f aca="false">E4576*H4576</f>
        <v>0.5</v>
      </c>
      <c r="Q4576" s="0" t="n">
        <f aca="false">F4576*G4576</f>
        <v>0.125</v>
      </c>
      <c r="R4576" s="0" t="n">
        <f aca="false">F4576*H4576</f>
        <v>-0.5</v>
      </c>
      <c r="S4576" s="0" t="n">
        <f aca="false">G4576*H4576</f>
        <v>-0.25</v>
      </c>
      <c r="T4576" s="0" t="n">
        <f aca="false">E4576*E4576</f>
        <v>0.25</v>
      </c>
      <c r="U4576" s="0" t="n">
        <f aca="false">F4576*F4576</f>
        <v>0.25</v>
      </c>
      <c r="V4576" s="0" t="n">
        <f aca="false">G4576*G4576</f>
        <v>0.0625</v>
      </c>
      <c r="W4576" s="0" t="n">
        <f aca="false">H4576*H4576</f>
        <v>1</v>
      </c>
      <c r="X4576" s="0" t="n">
        <f aca="false">SUMPRODUCT(I4576:W4576,_XtX!$B$96:$P$96)</f>
        <v>46.2427722953216</v>
      </c>
      <c r="Y4576" s="0" t="n">
        <f aca="false">SUMPRODUCT(MMULT(I4576:W4576,_XtX!$B$78:$P$92),I4576:W4576)</f>
        <v>0.428122715643275</v>
      </c>
      <c r="Z4576" s="0" t="n">
        <f aca="false">04_回帰ANOVA!$K$19*04_回帰ANOVA!$K$14*SQRT(1+Y4576)</f>
        <v>1.55769044623229</v>
      </c>
      <c r="AA4576" s="0" t="n">
        <f aca="false">X4576-Z4576</f>
        <v>44.6850818490893</v>
      </c>
      <c r="AB4576" s="0" t="n">
        <f aca="false">X4576+Z4576</f>
        <v>47.8004627415539</v>
      </c>
      <c r="AC4576" s="54" t="b">
        <f aca="false">AND(E4576&gt;=01_因子設定!$L$5-0.000000001,E4576&lt;=01_因子設定!$M$5+0.000000001,F4576&gt;=01_因子設定!$L$6-0.000000001,F4576&lt;=01_因子設定!$M$6+0.000000001,G4576&gt;=01_因子設定!$L$7-0.000000001,G4576&lt;=01_因子設定!$M$7+0.000000001,H4576&gt;=01_因子設定!$L$8-0.000000001,H4576&lt;=01_因子設定!$M$8+0.000000001,IF(01_因子設定!$B$20="Box-Behnken",E4576^2+F4576^2+G4576^2+H4576^2&lt;=2+0.000000001,TRUE()))</f>
        <v>1</v>
      </c>
      <c r="AD4576" s="55" t="n">
        <f aca="false">IF(AC4576,IF(01_因子設定!$B$13="最大化",AA4576-01_因子設定!$B$14,IF(01_因子設定!$B$13="最小化",01_因子設定!$B$15-AB4576,MIN(AA4576-01_因子設定!$B$14,01_因子設定!$B$15-AB4576))),-1E+030)</f>
        <v>-1.81491815091066</v>
      </c>
      <c r="AE4576" s="55" t="n">
        <f aca="false">IF(AC4576,IF(01_因子設定!$B$13="最大化",X4576,IF(01_因子設定!$B$13="最小化",-X4576,-ABS(X4576-01_因子設定!$B$16))),-1E+030)</f>
        <v>46.2427722953216</v>
      </c>
      <c r="AF4576" s="55" t="n">
        <f aca="false">AD4576+ROW()*0.000000001</f>
        <v>-1.81491357491066</v>
      </c>
      <c r="AG4576" s="55" t="n">
        <f aca="false">AE4576+ROW()*0.000000001</f>
        <v>46.2427768713216</v>
      </c>
    </row>
    <row r="4577" customFormat="false" ht="15" hidden="false" customHeight="false" outlineLevel="0" collapsed="false">
      <c r="A4577" s="0" t="n">
        <v>6</v>
      </c>
      <c r="B4577" s="0" t="n">
        <v>2</v>
      </c>
      <c r="C4577" s="0" t="n">
        <v>4</v>
      </c>
      <c r="D4577" s="0" t="n">
        <v>0</v>
      </c>
      <c r="E4577" s="0" t="n">
        <f aca="false">-1+A4577*0.25</f>
        <v>0.5</v>
      </c>
      <c r="F4577" s="0" t="n">
        <f aca="false">-1+B4577*0.25</f>
        <v>-0.5</v>
      </c>
      <c r="G4577" s="0" t="n">
        <f aca="false">-1+C4577*0.25</f>
        <v>0</v>
      </c>
      <c r="H4577" s="0" t="n">
        <f aca="false">-1+D4577*0.25</f>
        <v>-1</v>
      </c>
      <c r="I4577" s="0" t="n">
        <f aca="false">1</f>
        <v>1</v>
      </c>
      <c r="J4577" s="0" t="n">
        <f aca="false">E4577</f>
        <v>0.5</v>
      </c>
      <c r="K4577" s="0" t="n">
        <f aca="false">F4577</f>
        <v>-0.5</v>
      </c>
      <c r="L4577" s="0" t="n">
        <f aca="false">G4577</f>
        <v>0</v>
      </c>
      <c r="M4577" s="0" t="n">
        <f aca="false">H4577</f>
        <v>-1</v>
      </c>
      <c r="N4577" s="0" t="n">
        <f aca="false">E4577*F4577</f>
        <v>-0.25</v>
      </c>
      <c r="O4577" s="0" t="n">
        <f aca="false">E4577*G4577</f>
        <v>0</v>
      </c>
      <c r="P4577" s="0" t="n">
        <f aca="false">E4577*H4577</f>
        <v>-0.5</v>
      </c>
      <c r="Q4577" s="0" t="n">
        <f aca="false">F4577*G4577</f>
        <v>-0</v>
      </c>
      <c r="R4577" s="0" t="n">
        <f aca="false">F4577*H4577</f>
        <v>0.5</v>
      </c>
      <c r="S4577" s="0" t="n">
        <f aca="false">G4577*H4577</f>
        <v>-0</v>
      </c>
      <c r="T4577" s="0" t="n">
        <f aca="false">E4577*E4577</f>
        <v>0.25</v>
      </c>
      <c r="U4577" s="0" t="n">
        <f aca="false">F4577*F4577</f>
        <v>0.25</v>
      </c>
      <c r="V4577" s="0" t="n">
        <f aca="false">G4577*G4577</f>
        <v>0</v>
      </c>
      <c r="W4577" s="0" t="n">
        <f aca="false">H4577*H4577</f>
        <v>1</v>
      </c>
      <c r="X4577" s="0" t="n">
        <f aca="false">SUMPRODUCT(I4577:W4577,_XtX!$B$96:$P$96)</f>
        <v>45.3342105263158</v>
      </c>
      <c r="Y4577" s="0" t="n">
        <f aca="false">SUMPRODUCT(MMULT(I4577:W4577,_XtX!$B$78:$P$92),I4577:W4577)</f>
        <v>0.441954495614035</v>
      </c>
      <c r="Z4577" s="0" t="n">
        <f aca="false">04_回帰ANOVA!$K$19*04_回帰ANOVA!$K$14*SQRT(1+Y4577)</f>
        <v>1.56521560968066</v>
      </c>
      <c r="AA4577" s="0" t="n">
        <f aca="false">X4577-Z4577</f>
        <v>43.7689949166351</v>
      </c>
      <c r="AB4577" s="0" t="n">
        <f aca="false">X4577+Z4577</f>
        <v>46.8994261359965</v>
      </c>
      <c r="AC4577" s="54" t="b">
        <f aca="false">AND(E4577&gt;=01_因子設定!$L$5-0.000000001,E4577&lt;=01_因子設定!$M$5+0.000000001,F4577&gt;=01_因子設定!$L$6-0.000000001,F4577&lt;=01_因子設定!$M$6+0.000000001,G4577&gt;=01_因子設定!$L$7-0.000000001,G4577&lt;=01_因子設定!$M$7+0.000000001,H4577&gt;=01_因子設定!$L$8-0.000000001,H4577&lt;=01_因子設定!$M$8+0.000000001,IF(01_因子設定!$B$20="Box-Behnken",E4577^2+F4577^2+G4577^2+H4577^2&lt;=2+0.000000001,TRUE()))</f>
        <v>1</v>
      </c>
      <c r="AD4577" s="55" t="n">
        <f aca="false">IF(AC4577,IF(01_因子設定!$B$13="最大化",AA4577-01_因子設定!$B$14,IF(01_因子設定!$B$13="最小化",01_因子設定!$B$15-AB4577,MIN(AA4577-01_因子設定!$B$14,01_因子設定!$B$15-AB4577))),-1E+030)</f>
        <v>-2.73100508336488</v>
      </c>
      <c r="AE4577" s="55" t="n">
        <f aca="false">IF(AC4577,IF(01_因子設定!$B$13="最大化",X4577,IF(01_因子設定!$B$13="最小化",-X4577,-ABS(X4577-01_因子設定!$B$16))),-1E+030)</f>
        <v>45.3342105263158</v>
      </c>
      <c r="AF4577" s="55" t="n">
        <f aca="false">AD4577+ROW()*0.000000001</f>
        <v>-2.73100050636488</v>
      </c>
      <c r="AG4577" s="55" t="n">
        <f aca="false">AE4577+ROW()*0.000000001</f>
        <v>45.3342151033158</v>
      </c>
    </row>
    <row r="4578" customFormat="false" ht="15" hidden="false" customHeight="false" outlineLevel="0" collapsed="false">
      <c r="A4578" s="0" t="n">
        <v>6</v>
      </c>
      <c r="B4578" s="0" t="n">
        <v>2</v>
      </c>
      <c r="C4578" s="0" t="n">
        <v>4</v>
      </c>
      <c r="D4578" s="0" t="n">
        <v>1</v>
      </c>
      <c r="E4578" s="0" t="n">
        <f aca="false">-1+A4578*0.25</f>
        <v>0.5</v>
      </c>
      <c r="F4578" s="0" t="n">
        <f aca="false">-1+B4578*0.25</f>
        <v>-0.5</v>
      </c>
      <c r="G4578" s="0" t="n">
        <f aca="false">-1+C4578*0.25</f>
        <v>0</v>
      </c>
      <c r="H4578" s="0" t="n">
        <f aca="false">-1+D4578*0.25</f>
        <v>-0.75</v>
      </c>
      <c r="I4578" s="0" t="n">
        <f aca="false">1</f>
        <v>1</v>
      </c>
      <c r="J4578" s="0" t="n">
        <f aca="false">E4578</f>
        <v>0.5</v>
      </c>
      <c r="K4578" s="0" t="n">
        <f aca="false">F4578</f>
        <v>-0.5</v>
      </c>
      <c r="L4578" s="0" t="n">
        <f aca="false">G4578</f>
        <v>0</v>
      </c>
      <c r="M4578" s="0" t="n">
        <f aca="false">H4578</f>
        <v>-0.75</v>
      </c>
      <c r="N4578" s="0" t="n">
        <f aca="false">E4578*F4578</f>
        <v>-0.25</v>
      </c>
      <c r="O4578" s="0" t="n">
        <f aca="false">E4578*G4578</f>
        <v>0</v>
      </c>
      <c r="P4578" s="0" t="n">
        <f aca="false">E4578*H4578</f>
        <v>-0.375</v>
      </c>
      <c r="Q4578" s="0" t="n">
        <f aca="false">F4578*G4578</f>
        <v>-0</v>
      </c>
      <c r="R4578" s="0" t="n">
        <f aca="false">F4578*H4578</f>
        <v>0.375</v>
      </c>
      <c r="S4578" s="0" t="n">
        <f aca="false">G4578*H4578</f>
        <v>-0</v>
      </c>
      <c r="T4578" s="0" t="n">
        <f aca="false">E4578*E4578</f>
        <v>0.25</v>
      </c>
      <c r="U4578" s="0" t="n">
        <f aca="false">F4578*F4578</f>
        <v>0.25</v>
      </c>
      <c r="V4578" s="0" t="n">
        <f aca="false">G4578*G4578</f>
        <v>0</v>
      </c>
      <c r="W4578" s="0" t="n">
        <f aca="false">H4578*H4578</f>
        <v>0.5625</v>
      </c>
      <c r="X4578" s="0" t="n">
        <f aca="false">SUMPRODUCT(I4578:W4578,_XtX!$B$96:$P$96)</f>
        <v>45.6451114766082</v>
      </c>
      <c r="Y4578" s="0" t="n">
        <f aca="false">SUMPRODUCT(MMULT(I4578:W4578,_XtX!$B$78:$P$92),I4578:W4578)</f>
        <v>0.21305052997076</v>
      </c>
      <c r="Z4578" s="0" t="n">
        <f aca="false">04_回帰ANOVA!$K$19*04_回帰ANOVA!$K$14*SQRT(1+Y4578)</f>
        <v>1.43561450835061</v>
      </c>
      <c r="AA4578" s="0" t="n">
        <f aca="false">X4578-Z4578</f>
        <v>44.2094969682576</v>
      </c>
      <c r="AB4578" s="0" t="n">
        <f aca="false">X4578+Z4578</f>
        <v>47.0807259849588</v>
      </c>
      <c r="AC4578" s="54" t="b">
        <f aca="false">AND(E4578&gt;=01_因子設定!$L$5-0.000000001,E4578&lt;=01_因子設定!$M$5+0.000000001,F4578&gt;=01_因子設定!$L$6-0.000000001,F4578&lt;=01_因子設定!$M$6+0.000000001,G4578&gt;=01_因子設定!$L$7-0.000000001,G4578&lt;=01_因子設定!$M$7+0.000000001,H4578&gt;=01_因子設定!$L$8-0.000000001,H4578&lt;=01_因子設定!$M$8+0.000000001,IF(01_因子設定!$B$20="Box-Behnken",E4578^2+F4578^2+G4578^2+H4578^2&lt;=2+0.000000001,TRUE()))</f>
        <v>1</v>
      </c>
      <c r="AD4578" s="55" t="n">
        <f aca="false">IF(AC4578,IF(01_因子設定!$B$13="最大化",AA4578-01_因子設定!$B$14,IF(01_因子設定!$B$13="最小化",01_因子設定!$B$15-AB4578,MIN(AA4578-01_因子設定!$B$14,01_因子設定!$B$15-AB4578))),-1E+030)</f>
        <v>-2.29050303174244</v>
      </c>
      <c r="AE4578" s="55" t="n">
        <f aca="false">IF(AC4578,IF(01_因子設定!$B$13="最大化",X4578,IF(01_因子設定!$B$13="最小化",-X4578,-ABS(X4578-01_因子設定!$B$16))),-1E+030)</f>
        <v>45.6451114766082</v>
      </c>
      <c r="AF4578" s="55" t="n">
        <f aca="false">AD4578+ROW()*0.000000001</f>
        <v>-2.29049845374244</v>
      </c>
      <c r="AG4578" s="55" t="n">
        <f aca="false">AE4578+ROW()*0.000000001</f>
        <v>45.6451160546082</v>
      </c>
    </row>
    <row r="4579" customFormat="false" ht="15" hidden="false" customHeight="false" outlineLevel="0" collapsed="false">
      <c r="A4579" s="0" t="n">
        <v>6</v>
      </c>
      <c r="B4579" s="0" t="n">
        <v>2</v>
      </c>
      <c r="C4579" s="0" t="n">
        <v>4</v>
      </c>
      <c r="D4579" s="0" t="n">
        <v>2</v>
      </c>
      <c r="E4579" s="0" t="n">
        <f aca="false">-1+A4579*0.25</f>
        <v>0.5</v>
      </c>
      <c r="F4579" s="0" t="n">
        <f aca="false">-1+B4579*0.25</f>
        <v>-0.5</v>
      </c>
      <c r="G4579" s="0" t="n">
        <f aca="false">-1+C4579*0.25</f>
        <v>0</v>
      </c>
      <c r="H4579" s="0" t="n">
        <f aca="false">-1+D4579*0.25</f>
        <v>-0.5</v>
      </c>
      <c r="I4579" s="0" t="n">
        <f aca="false">1</f>
        <v>1</v>
      </c>
      <c r="J4579" s="0" t="n">
        <f aca="false">E4579</f>
        <v>0.5</v>
      </c>
      <c r="K4579" s="0" t="n">
        <f aca="false">F4579</f>
        <v>-0.5</v>
      </c>
      <c r="L4579" s="0" t="n">
        <f aca="false">G4579</f>
        <v>0</v>
      </c>
      <c r="M4579" s="0" t="n">
        <f aca="false">H4579</f>
        <v>-0.5</v>
      </c>
      <c r="N4579" s="0" t="n">
        <f aca="false">E4579*F4579</f>
        <v>-0.25</v>
      </c>
      <c r="O4579" s="0" t="n">
        <f aca="false">E4579*G4579</f>
        <v>0</v>
      </c>
      <c r="P4579" s="0" t="n">
        <f aca="false">E4579*H4579</f>
        <v>-0.25</v>
      </c>
      <c r="Q4579" s="0" t="n">
        <f aca="false">F4579*G4579</f>
        <v>-0</v>
      </c>
      <c r="R4579" s="0" t="n">
        <f aca="false">F4579*H4579</f>
        <v>0.25</v>
      </c>
      <c r="S4579" s="0" t="n">
        <f aca="false">G4579*H4579</f>
        <v>-0</v>
      </c>
      <c r="T4579" s="0" t="n">
        <f aca="false">E4579*E4579</f>
        <v>0.25</v>
      </c>
      <c r="U4579" s="0" t="n">
        <f aca="false">F4579*F4579</f>
        <v>0.25</v>
      </c>
      <c r="V4579" s="0" t="n">
        <f aca="false">G4579*G4579</f>
        <v>0</v>
      </c>
      <c r="W4579" s="0" t="n">
        <f aca="false">H4579*H4579</f>
        <v>0.25</v>
      </c>
      <c r="X4579" s="0" t="n">
        <f aca="false">SUMPRODUCT(I4579:W4579,_XtX!$B$96:$P$96)</f>
        <v>45.9082054093567</v>
      </c>
      <c r="Y4579" s="0" t="n">
        <f aca="false">SUMPRODUCT(MMULT(I4579:W4579,_XtX!$B$78:$P$92),I4579:W4579)</f>
        <v>0.140008223684211</v>
      </c>
      <c r="Z4579" s="0" t="n">
        <f aca="false">04_回帰ANOVA!$K$19*04_回帰ANOVA!$K$14*SQRT(1+Y4579)</f>
        <v>1.39172165492264</v>
      </c>
      <c r="AA4579" s="0" t="n">
        <f aca="false">X4579-Z4579</f>
        <v>44.5164837544341</v>
      </c>
      <c r="AB4579" s="0" t="n">
        <f aca="false">X4579+Z4579</f>
        <v>47.2999270642793</v>
      </c>
      <c r="AC4579" s="54" t="b">
        <f aca="false">AND(E4579&gt;=01_因子設定!$L$5-0.000000001,E4579&lt;=01_因子設定!$M$5+0.000000001,F4579&gt;=01_因子設定!$L$6-0.000000001,F4579&lt;=01_因子設定!$M$6+0.000000001,G4579&gt;=01_因子設定!$L$7-0.000000001,G4579&lt;=01_因子設定!$M$7+0.000000001,H4579&gt;=01_因子設定!$L$8-0.000000001,H4579&lt;=01_因子設定!$M$8+0.000000001,IF(01_因子設定!$B$20="Box-Behnken",E4579^2+F4579^2+G4579^2+H4579^2&lt;=2+0.000000001,TRUE()))</f>
        <v>1</v>
      </c>
      <c r="AD4579" s="55" t="n">
        <f aca="false">IF(AC4579,IF(01_因子設定!$B$13="最大化",AA4579-01_因子設定!$B$14,IF(01_因子設定!$B$13="最小化",01_因子設定!$B$15-AB4579,MIN(AA4579-01_因子設定!$B$14,01_因子設定!$B$15-AB4579))),-1E+030)</f>
        <v>-1.98351624556594</v>
      </c>
      <c r="AE4579" s="55" t="n">
        <f aca="false">IF(AC4579,IF(01_因子設定!$B$13="最大化",X4579,IF(01_因子設定!$B$13="最小化",-X4579,-ABS(X4579-01_因子設定!$B$16))),-1E+030)</f>
        <v>45.9082054093567</v>
      </c>
      <c r="AF4579" s="55" t="n">
        <f aca="false">AD4579+ROW()*0.000000001</f>
        <v>-1.98351166656594</v>
      </c>
      <c r="AG4579" s="55" t="n">
        <f aca="false">AE4579+ROW()*0.000000001</f>
        <v>45.9082099883567</v>
      </c>
    </row>
    <row r="4580" customFormat="false" ht="15" hidden="false" customHeight="false" outlineLevel="0" collapsed="false">
      <c r="A4580" s="0" t="n">
        <v>6</v>
      </c>
      <c r="B4580" s="0" t="n">
        <v>2</v>
      </c>
      <c r="C4580" s="0" t="n">
        <v>4</v>
      </c>
      <c r="D4580" s="0" t="n">
        <v>3</v>
      </c>
      <c r="E4580" s="0" t="n">
        <f aca="false">-1+A4580*0.25</f>
        <v>0.5</v>
      </c>
      <c r="F4580" s="0" t="n">
        <f aca="false">-1+B4580*0.25</f>
        <v>-0.5</v>
      </c>
      <c r="G4580" s="0" t="n">
        <f aca="false">-1+C4580*0.25</f>
        <v>0</v>
      </c>
      <c r="H4580" s="0" t="n">
        <f aca="false">-1+D4580*0.25</f>
        <v>-0.25</v>
      </c>
      <c r="I4580" s="0" t="n">
        <f aca="false">1</f>
        <v>1</v>
      </c>
      <c r="J4580" s="0" t="n">
        <f aca="false">E4580</f>
        <v>0.5</v>
      </c>
      <c r="K4580" s="0" t="n">
        <f aca="false">F4580</f>
        <v>-0.5</v>
      </c>
      <c r="L4580" s="0" t="n">
        <f aca="false">G4580</f>
        <v>0</v>
      </c>
      <c r="M4580" s="0" t="n">
        <f aca="false">H4580</f>
        <v>-0.25</v>
      </c>
      <c r="N4580" s="0" t="n">
        <f aca="false">E4580*F4580</f>
        <v>-0.25</v>
      </c>
      <c r="O4580" s="0" t="n">
        <f aca="false">E4580*G4580</f>
        <v>0</v>
      </c>
      <c r="P4580" s="0" t="n">
        <f aca="false">E4580*H4580</f>
        <v>-0.125</v>
      </c>
      <c r="Q4580" s="0" t="n">
        <f aca="false">F4580*G4580</f>
        <v>-0</v>
      </c>
      <c r="R4580" s="0" t="n">
        <f aca="false">F4580*H4580</f>
        <v>0.125</v>
      </c>
      <c r="S4580" s="0" t="n">
        <f aca="false">G4580*H4580</f>
        <v>-0</v>
      </c>
      <c r="T4580" s="0" t="n">
        <f aca="false">E4580*E4580</f>
        <v>0.25</v>
      </c>
      <c r="U4580" s="0" t="n">
        <f aca="false">F4580*F4580</f>
        <v>0.25</v>
      </c>
      <c r="V4580" s="0" t="n">
        <f aca="false">G4580*G4580</f>
        <v>0</v>
      </c>
      <c r="W4580" s="0" t="n">
        <f aca="false">H4580*H4580</f>
        <v>0.0625</v>
      </c>
      <c r="X4580" s="0" t="n">
        <f aca="false">SUMPRODUCT(I4580:W4580,_XtX!$B$96:$P$96)</f>
        <v>46.1234923245614</v>
      </c>
      <c r="Y4580" s="0" t="n">
        <f aca="false">SUMPRODUCT(MMULT(I4580:W4580,_XtX!$B$78:$P$92),I4580:W4580)</f>
        <v>0.132367050438597</v>
      </c>
      <c r="Z4580" s="0" t="n">
        <f aca="false">04_回帰ANOVA!$K$19*04_回帰ANOVA!$K$14*SQRT(1+Y4580)</f>
        <v>1.38704964208329</v>
      </c>
      <c r="AA4580" s="0" t="n">
        <f aca="false">X4580-Z4580</f>
        <v>44.7364426824781</v>
      </c>
      <c r="AB4580" s="0" t="n">
        <f aca="false">X4580+Z4580</f>
        <v>47.5105419666447</v>
      </c>
      <c r="AC4580" s="54" t="b">
        <f aca="false">AND(E4580&gt;=01_因子設定!$L$5-0.000000001,E4580&lt;=01_因子設定!$M$5+0.000000001,F4580&gt;=01_因子設定!$L$6-0.000000001,F4580&lt;=01_因子設定!$M$6+0.000000001,G4580&gt;=01_因子設定!$L$7-0.000000001,G4580&lt;=01_因子設定!$M$7+0.000000001,H4580&gt;=01_因子設定!$L$8-0.000000001,H4580&lt;=01_因子設定!$M$8+0.000000001,IF(01_因子設定!$B$20="Box-Behnken",E4580^2+F4580^2+G4580^2+H4580^2&lt;=2+0.000000001,TRUE()))</f>
        <v>1</v>
      </c>
      <c r="AD4580" s="55" t="n">
        <f aca="false">IF(AC4580,IF(01_因子設定!$B$13="最大化",AA4580-01_因子設定!$B$14,IF(01_因子設定!$B$13="最小化",01_因子設定!$B$15-AB4580,MIN(AA4580-01_因子設定!$B$14,01_因子設定!$B$15-AB4580))),-1E+030)</f>
        <v>-1.76355731752193</v>
      </c>
      <c r="AE4580" s="55" t="n">
        <f aca="false">IF(AC4580,IF(01_因子設定!$B$13="最大化",X4580,IF(01_因子設定!$B$13="最小化",-X4580,-ABS(X4580-01_因子設定!$B$16))),-1E+030)</f>
        <v>46.1234923245614</v>
      </c>
      <c r="AF4580" s="55" t="n">
        <f aca="false">AD4580+ROW()*0.000000001</f>
        <v>-1.76355273752193</v>
      </c>
      <c r="AG4580" s="55" t="n">
        <f aca="false">AE4580+ROW()*0.000000001</f>
        <v>46.1234969045614</v>
      </c>
    </row>
    <row r="4581" customFormat="false" ht="15" hidden="false" customHeight="false" outlineLevel="0" collapsed="false">
      <c r="A4581" s="0" t="n">
        <v>6</v>
      </c>
      <c r="B4581" s="0" t="n">
        <v>2</v>
      </c>
      <c r="C4581" s="0" t="n">
        <v>4</v>
      </c>
      <c r="D4581" s="0" t="n">
        <v>4</v>
      </c>
      <c r="E4581" s="0" t="n">
        <f aca="false">-1+A4581*0.25</f>
        <v>0.5</v>
      </c>
      <c r="F4581" s="0" t="n">
        <f aca="false">-1+B4581*0.25</f>
        <v>-0.5</v>
      </c>
      <c r="G4581" s="0" t="n">
        <f aca="false">-1+C4581*0.25</f>
        <v>0</v>
      </c>
      <c r="H4581" s="0" t="n">
        <f aca="false">-1+D4581*0.25</f>
        <v>0</v>
      </c>
      <c r="I4581" s="0" t="n">
        <f aca="false">1</f>
        <v>1</v>
      </c>
      <c r="J4581" s="0" t="n">
        <f aca="false">E4581</f>
        <v>0.5</v>
      </c>
      <c r="K4581" s="0" t="n">
        <f aca="false">F4581</f>
        <v>-0.5</v>
      </c>
      <c r="L4581" s="0" t="n">
        <f aca="false">G4581</f>
        <v>0</v>
      </c>
      <c r="M4581" s="0" t="n">
        <f aca="false">H4581</f>
        <v>0</v>
      </c>
      <c r="N4581" s="0" t="n">
        <f aca="false">E4581*F4581</f>
        <v>-0.25</v>
      </c>
      <c r="O4581" s="0" t="n">
        <f aca="false">E4581*G4581</f>
        <v>0</v>
      </c>
      <c r="P4581" s="0" t="n">
        <f aca="false">E4581*H4581</f>
        <v>0</v>
      </c>
      <c r="Q4581" s="0" t="n">
        <f aca="false">F4581*G4581</f>
        <v>-0</v>
      </c>
      <c r="R4581" s="0" t="n">
        <f aca="false">F4581*H4581</f>
        <v>-0</v>
      </c>
      <c r="S4581" s="0" t="n">
        <f aca="false">G4581*H4581</f>
        <v>0</v>
      </c>
      <c r="T4581" s="0" t="n">
        <f aca="false">E4581*E4581</f>
        <v>0.25</v>
      </c>
      <c r="U4581" s="0" t="n">
        <f aca="false">F4581*F4581</f>
        <v>0.25</v>
      </c>
      <c r="V4581" s="0" t="n">
        <f aca="false">G4581*G4581</f>
        <v>0</v>
      </c>
      <c r="W4581" s="0" t="n">
        <f aca="false">H4581*H4581</f>
        <v>0</v>
      </c>
      <c r="X4581" s="0" t="n">
        <f aca="false">SUMPRODUCT(I4581:W4581,_XtX!$B$96:$P$96)</f>
        <v>46.2909722222222</v>
      </c>
      <c r="Y4581" s="0" t="n">
        <f aca="false">SUMPRODUCT(MMULT(I4581:W4581,_XtX!$B$78:$P$92),I4581:W4581)</f>
        <v>0.135850694444444</v>
      </c>
      <c r="Z4581" s="0" t="n">
        <f aca="false">04_回帰ANOVA!$K$19*04_回帰ANOVA!$K$14*SQRT(1+Y4581)</f>
        <v>1.38918158179389</v>
      </c>
      <c r="AA4581" s="0" t="n">
        <f aca="false">X4581-Z4581</f>
        <v>44.9017906404283</v>
      </c>
      <c r="AB4581" s="0" t="n">
        <f aca="false">X4581+Z4581</f>
        <v>47.6801538040161</v>
      </c>
      <c r="AC4581" s="54" t="b">
        <f aca="false">AND(E4581&gt;=01_因子設定!$L$5-0.000000001,E4581&lt;=01_因子設定!$M$5+0.000000001,F4581&gt;=01_因子設定!$L$6-0.000000001,F4581&lt;=01_因子設定!$M$6+0.000000001,G4581&gt;=01_因子設定!$L$7-0.000000001,G4581&lt;=01_因子設定!$M$7+0.000000001,H4581&gt;=01_因子設定!$L$8-0.000000001,H4581&lt;=01_因子設定!$M$8+0.000000001,IF(01_因子設定!$B$20="Box-Behnken",E4581^2+F4581^2+G4581^2+H4581^2&lt;=2+0.000000001,TRUE()))</f>
        <v>1</v>
      </c>
      <c r="AD4581" s="55" t="n">
        <f aca="false">IF(AC4581,IF(01_因子設定!$B$13="最大化",AA4581-01_因子設定!$B$14,IF(01_因子設定!$B$13="最小化",01_因子設定!$B$15-AB4581,MIN(AA4581-01_因子設定!$B$14,01_因子設定!$B$15-AB4581))),-1E+030)</f>
        <v>-1.59820935957171</v>
      </c>
      <c r="AE4581" s="55" t="n">
        <f aca="false">IF(AC4581,IF(01_因子設定!$B$13="最大化",X4581,IF(01_因子設定!$B$13="最小化",-X4581,-ABS(X4581-01_因子設定!$B$16))),-1E+030)</f>
        <v>46.2909722222222</v>
      </c>
      <c r="AF4581" s="55" t="n">
        <f aca="false">AD4581+ROW()*0.000000001</f>
        <v>-1.59820477857171</v>
      </c>
      <c r="AG4581" s="55" t="n">
        <f aca="false">AE4581+ROW()*0.000000001</f>
        <v>46.2909768032222</v>
      </c>
    </row>
    <row r="4582" customFormat="false" ht="15" hidden="false" customHeight="false" outlineLevel="0" collapsed="false">
      <c r="A4582" s="0" t="n">
        <v>6</v>
      </c>
      <c r="B4582" s="0" t="n">
        <v>2</v>
      </c>
      <c r="C4582" s="0" t="n">
        <v>4</v>
      </c>
      <c r="D4582" s="0" t="n">
        <v>5</v>
      </c>
      <c r="E4582" s="0" t="n">
        <f aca="false">-1+A4582*0.25</f>
        <v>0.5</v>
      </c>
      <c r="F4582" s="0" t="n">
        <f aca="false">-1+B4582*0.25</f>
        <v>-0.5</v>
      </c>
      <c r="G4582" s="0" t="n">
        <f aca="false">-1+C4582*0.25</f>
        <v>0</v>
      </c>
      <c r="H4582" s="0" t="n">
        <f aca="false">-1+D4582*0.25</f>
        <v>0.25</v>
      </c>
      <c r="I4582" s="0" t="n">
        <f aca="false">1</f>
        <v>1</v>
      </c>
      <c r="J4582" s="0" t="n">
        <f aca="false">E4582</f>
        <v>0.5</v>
      </c>
      <c r="K4582" s="0" t="n">
        <f aca="false">F4582</f>
        <v>-0.5</v>
      </c>
      <c r="L4582" s="0" t="n">
        <f aca="false">G4582</f>
        <v>0</v>
      </c>
      <c r="M4582" s="0" t="n">
        <f aca="false">H4582</f>
        <v>0.25</v>
      </c>
      <c r="N4582" s="0" t="n">
        <f aca="false">E4582*F4582</f>
        <v>-0.25</v>
      </c>
      <c r="O4582" s="0" t="n">
        <f aca="false">E4582*G4582</f>
        <v>0</v>
      </c>
      <c r="P4582" s="0" t="n">
        <f aca="false">E4582*H4582</f>
        <v>0.125</v>
      </c>
      <c r="Q4582" s="0" t="n">
        <f aca="false">F4582*G4582</f>
        <v>-0</v>
      </c>
      <c r="R4582" s="0" t="n">
        <f aca="false">F4582*H4582</f>
        <v>-0.125</v>
      </c>
      <c r="S4582" s="0" t="n">
        <f aca="false">G4582*H4582</f>
        <v>0</v>
      </c>
      <c r="T4582" s="0" t="n">
        <f aca="false">E4582*E4582</f>
        <v>0.25</v>
      </c>
      <c r="U4582" s="0" t="n">
        <f aca="false">F4582*F4582</f>
        <v>0.25</v>
      </c>
      <c r="V4582" s="0" t="n">
        <f aca="false">G4582*G4582</f>
        <v>0</v>
      </c>
      <c r="W4582" s="0" t="n">
        <f aca="false">H4582*H4582</f>
        <v>0.0625</v>
      </c>
      <c r="X4582" s="0" t="n">
        <f aca="false">SUMPRODUCT(I4582:W4582,_XtX!$B$96:$P$96)</f>
        <v>46.4106451023391</v>
      </c>
      <c r="Y4582" s="0" t="n">
        <f aca="false">SUMPRODUCT(MMULT(I4582:W4582,_XtX!$B$78:$P$92),I4582:W4582)</f>
        <v>0.132367050438597</v>
      </c>
      <c r="Z4582" s="0" t="n">
        <f aca="false">04_回帰ANOVA!$K$19*04_回帰ANOVA!$K$14*SQRT(1+Y4582)</f>
        <v>1.38704964208329</v>
      </c>
      <c r="AA4582" s="0" t="n">
        <f aca="false">X4582-Z4582</f>
        <v>45.0235954602559</v>
      </c>
      <c r="AB4582" s="0" t="n">
        <f aca="false">X4582+Z4582</f>
        <v>47.7976947444224</v>
      </c>
      <c r="AC4582" s="54" t="b">
        <f aca="false">AND(E4582&gt;=01_因子設定!$L$5-0.000000001,E4582&lt;=01_因子設定!$M$5+0.000000001,F4582&gt;=01_因子設定!$L$6-0.000000001,F4582&lt;=01_因子設定!$M$6+0.000000001,G4582&gt;=01_因子設定!$L$7-0.000000001,G4582&lt;=01_因子設定!$M$7+0.000000001,H4582&gt;=01_因子設定!$L$8-0.000000001,H4582&lt;=01_因子設定!$M$8+0.000000001,IF(01_因子設定!$B$20="Box-Behnken",E4582^2+F4582^2+G4582^2+H4582^2&lt;=2+0.000000001,TRUE()))</f>
        <v>1</v>
      </c>
      <c r="AD4582" s="55" t="n">
        <f aca="false">IF(AC4582,IF(01_因子設定!$B$13="最大化",AA4582-01_因子設定!$B$14,IF(01_因子設定!$B$13="最小化",01_因子設定!$B$15-AB4582,MIN(AA4582-01_因子設定!$B$14,01_因子設定!$B$15-AB4582))),-1E+030)</f>
        <v>-1.47640453974415</v>
      </c>
      <c r="AE4582" s="55" t="n">
        <f aca="false">IF(AC4582,IF(01_因子設定!$B$13="最大化",X4582,IF(01_因子設定!$B$13="最小化",-X4582,-ABS(X4582-01_因子設定!$B$16))),-1E+030)</f>
        <v>46.4106451023391</v>
      </c>
      <c r="AF4582" s="55" t="n">
        <f aca="false">AD4582+ROW()*0.000000001</f>
        <v>-1.47639995774415</v>
      </c>
      <c r="AG4582" s="55" t="n">
        <f aca="false">AE4582+ROW()*0.000000001</f>
        <v>46.4106496843391</v>
      </c>
    </row>
    <row r="4583" customFormat="false" ht="15" hidden="false" customHeight="false" outlineLevel="0" collapsed="false">
      <c r="A4583" s="0" t="n">
        <v>6</v>
      </c>
      <c r="B4583" s="0" t="n">
        <v>2</v>
      </c>
      <c r="C4583" s="0" t="n">
        <v>4</v>
      </c>
      <c r="D4583" s="0" t="n">
        <v>6</v>
      </c>
      <c r="E4583" s="0" t="n">
        <f aca="false">-1+A4583*0.25</f>
        <v>0.5</v>
      </c>
      <c r="F4583" s="0" t="n">
        <f aca="false">-1+B4583*0.25</f>
        <v>-0.5</v>
      </c>
      <c r="G4583" s="0" t="n">
        <f aca="false">-1+C4583*0.25</f>
        <v>0</v>
      </c>
      <c r="H4583" s="0" t="n">
        <f aca="false">-1+D4583*0.25</f>
        <v>0.5</v>
      </c>
      <c r="I4583" s="0" t="n">
        <f aca="false">1</f>
        <v>1</v>
      </c>
      <c r="J4583" s="0" t="n">
        <f aca="false">E4583</f>
        <v>0.5</v>
      </c>
      <c r="K4583" s="0" t="n">
        <f aca="false">F4583</f>
        <v>-0.5</v>
      </c>
      <c r="L4583" s="0" t="n">
        <f aca="false">G4583</f>
        <v>0</v>
      </c>
      <c r="M4583" s="0" t="n">
        <f aca="false">H4583</f>
        <v>0.5</v>
      </c>
      <c r="N4583" s="0" t="n">
        <f aca="false">E4583*F4583</f>
        <v>-0.25</v>
      </c>
      <c r="O4583" s="0" t="n">
        <f aca="false">E4583*G4583</f>
        <v>0</v>
      </c>
      <c r="P4583" s="0" t="n">
        <f aca="false">E4583*H4583</f>
        <v>0.25</v>
      </c>
      <c r="Q4583" s="0" t="n">
        <f aca="false">F4583*G4583</f>
        <v>-0</v>
      </c>
      <c r="R4583" s="0" t="n">
        <f aca="false">F4583*H4583</f>
        <v>-0.25</v>
      </c>
      <c r="S4583" s="0" t="n">
        <f aca="false">G4583*H4583</f>
        <v>0</v>
      </c>
      <c r="T4583" s="0" t="n">
        <f aca="false">E4583*E4583</f>
        <v>0.25</v>
      </c>
      <c r="U4583" s="0" t="n">
        <f aca="false">F4583*F4583</f>
        <v>0.25</v>
      </c>
      <c r="V4583" s="0" t="n">
        <f aca="false">G4583*G4583</f>
        <v>0</v>
      </c>
      <c r="W4583" s="0" t="n">
        <f aca="false">H4583*H4583</f>
        <v>0.25</v>
      </c>
      <c r="X4583" s="0" t="n">
        <f aca="false">SUMPRODUCT(I4583:W4583,_XtX!$B$96:$P$96)</f>
        <v>46.4825109649122</v>
      </c>
      <c r="Y4583" s="0" t="n">
        <f aca="false">SUMPRODUCT(MMULT(I4583:W4583,_XtX!$B$78:$P$92),I4583:W4583)</f>
        <v>0.140008223684211</v>
      </c>
      <c r="Z4583" s="0" t="n">
        <f aca="false">04_回帰ANOVA!$K$19*04_回帰ANOVA!$K$14*SQRT(1+Y4583)</f>
        <v>1.39172165492264</v>
      </c>
      <c r="AA4583" s="0" t="n">
        <f aca="false">X4583-Z4583</f>
        <v>45.0907893099896</v>
      </c>
      <c r="AB4583" s="0" t="n">
        <f aca="false">X4583+Z4583</f>
        <v>47.8742326198349</v>
      </c>
      <c r="AC4583" s="54" t="b">
        <f aca="false">AND(E4583&gt;=01_因子設定!$L$5-0.000000001,E4583&lt;=01_因子設定!$M$5+0.000000001,F4583&gt;=01_因子設定!$L$6-0.000000001,F4583&lt;=01_因子設定!$M$6+0.000000001,G4583&gt;=01_因子設定!$L$7-0.000000001,G4583&lt;=01_因子設定!$M$7+0.000000001,H4583&gt;=01_因子設定!$L$8-0.000000001,H4583&lt;=01_因子設定!$M$8+0.000000001,IF(01_因子設定!$B$20="Box-Behnken",E4583^2+F4583^2+G4583^2+H4583^2&lt;=2+0.000000001,TRUE()))</f>
        <v>1</v>
      </c>
      <c r="AD4583" s="55" t="n">
        <f aca="false">IF(AC4583,IF(01_因子設定!$B$13="最大化",AA4583-01_因子設定!$B$14,IF(01_因子設定!$B$13="最小化",01_因子設定!$B$15-AB4583,MIN(AA4583-01_因子設定!$B$14,01_因子設定!$B$15-AB4583))),-1E+030)</f>
        <v>-1.40921069001039</v>
      </c>
      <c r="AE4583" s="55" t="n">
        <f aca="false">IF(AC4583,IF(01_因子設定!$B$13="最大化",X4583,IF(01_因子設定!$B$13="最小化",-X4583,-ABS(X4583-01_因子設定!$B$16))),-1E+030)</f>
        <v>46.4825109649122</v>
      </c>
      <c r="AF4583" s="55" t="n">
        <f aca="false">AD4583+ROW()*0.000000001</f>
        <v>-1.40920610701039</v>
      </c>
      <c r="AG4583" s="55" t="n">
        <f aca="false">AE4583+ROW()*0.000000001</f>
        <v>46.4825155479122</v>
      </c>
    </row>
    <row r="4584" customFormat="false" ht="15" hidden="false" customHeight="false" outlineLevel="0" collapsed="false">
      <c r="A4584" s="0" t="n">
        <v>6</v>
      </c>
      <c r="B4584" s="0" t="n">
        <v>2</v>
      </c>
      <c r="C4584" s="0" t="n">
        <v>4</v>
      </c>
      <c r="D4584" s="0" t="n">
        <v>7</v>
      </c>
      <c r="E4584" s="0" t="n">
        <f aca="false">-1+A4584*0.25</f>
        <v>0.5</v>
      </c>
      <c r="F4584" s="0" t="n">
        <f aca="false">-1+B4584*0.25</f>
        <v>-0.5</v>
      </c>
      <c r="G4584" s="0" t="n">
        <f aca="false">-1+C4584*0.25</f>
        <v>0</v>
      </c>
      <c r="H4584" s="0" t="n">
        <f aca="false">-1+D4584*0.25</f>
        <v>0.75</v>
      </c>
      <c r="I4584" s="0" t="n">
        <f aca="false">1</f>
        <v>1</v>
      </c>
      <c r="J4584" s="0" t="n">
        <f aca="false">E4584</f>
        <v>0.5</v>
      </c>
      <c r="K4584" s="0" t="n">
        <f aca="false">F4584</f>
        <v>-0.5</v>
      </c>
      <c r="L4584" s="0" t="n">
        <f aca="false">G4584</f>
        <v>0</v>
      </c>
      <c r="M4584" s="0" t="n">
        <f aca="false">H4584</f>
        <v>0.75</v>
      </c>
      <c r="N4584" s="0" t="n">
        <f aca="false">E4584*F4584</f>
        <v>-0.25</v>
      </c>
      <c r="O4584" s="0" t="n">
        <f aca="false">E4584*G4584</f>
        <v>0</v>
      </c>
      <c r="P4584" s="0" t="n">
        <f aca="false">E4584*H4584</f>
        <v>0.375</v>
      </c>
      <c r="Q4584" s="0" t="n">
        <f aca="false">F4584*G4584</f>
        <v>-0</v>
      </c>
      <c r="R4584" s="0" t="n">
        <f aca="false">F4584*H4584</f>
        <v>-0.375</v>
      </c>
      <c r="S4584" s="0" t="n">
        <f aca="false">G4584*H4584</f>
        <v>0</v>
      </c>
      <c r="T4584" s="0" t="n">
        <f aca="false">E4584*E4584</f>
        <v>0.25</v>
      </c>
      <c r="U4584" s="0" t="n">
        <f aca="false">F4584*F4584</f>
        <v>0.25</v>
      </c>
      <c r="V4584" s="0" t="n">
        <f aca="false">G4584*G4584</f>
        <v>0</v>
      </c>
      <c r="W4584" s="0" t="n">
        <f aca="false">H4584*H4584</f>
        <v>0.5625</v>
      </c>
      <c r="X4584" s="0" t="n">
        <f aca="false">SUMPRODUCT(I4584:W4584,_XtX!$B$96:$P$96)</f>
        <v>46.5065698099415</v>
      </c>
      <c r="Y4584" s="0" t="n">
        <f aca="false">SUMPRODUCT(MMULT(I4584:W4584,_XtX!$B$78:$P$92),I4584:W4584)</f>
        <v>0.21305052997076</v>
      </c>
      <c r="Z4584" s="0" t="n">
        <f aca="false">04_回帰ANOVA!$K$19*04_回帰ANOVA!$K$14*SQRT(1+Y4584)</f>
        <v>1.43561450835061</v>
      </c>
      <c r="AA4584" s="0" t="n">
        <f aca="false">X4584-Z4584</f>
        <v>45.0709553015909</v>
      </c>
      <c r="AB4584" s="0" t="n">
        <f aca="false">X4584+Z4584</f>
        <v>47.9421843182921</v>
      </c>
      <c r="AC4584" s="54" t="b">
        <f aca="false">AND(E4584&gt;=01_因子設定!$L$5-0.000000001,E4584&lt;=01_因子設定!$M$5+0.000000001,F4584&gt;=01_因子設定!$L$6-0.000000001,F4584&lt;=01_因子設定!$M$6+0.000000001,G4584&gt;=01_因子設定!$L$7-0.000000001,G4584&lt;=01_因子設定!$M$7+0.000000001,H4584&gt;=01_因子設定!$L$8-0.000000001,H4584&lt;=01_因子設定!$M$8+0.000000001,IF(01_因子設定!$B$20="Box-Behnken",E4584^2+F4584^2+G4584^2+H4584^2&lt;=2+0.000000001,TRUE()))</f>
        <v>1</v>
      </c>
      <c r="AD4584" s="55" t="n">
        <f aca="false">IF(AC4584,IF(01_因子設定!$B$13="最大化",AA4584-01_因子設定!$B$14,IF(01_因子設定!$B$13="最小化",01_因子設定!$B$15-AB4584,MIN(AA4584-01_因子設定!$B$14,01_因子設定!$B$15-AB4584))),-1E+030)</f>
        <v>-1.42904469840911</v>
      </c>
      <c r="AE4584" s="55" t="n">
        <f aca="false">IF(AC4584,IF(01_因子設定!$B$13="最大化",X4584,IF(01_因子設定!$B$13="最小化",-X4584,-ABS(X4584-01_因子設定!$B$16))),-1E+030)</f>
        <v>46.5065698099415</v>
      </c>
      <c r="AF4584" s="55" t="n">
        <f aca="false">AD4584+ROW()*0.000000001</f>
        <v>-1.42904011440911</v>
      </c>
      <c r="AG4584" s="55" t="n">
        <f aca="false">AE4584+ROW()*0.000000001</f>
        <v>46.5065743939415</v>
      </c>
    </row>
    <row r="4585" customFormat="false" ht="15" hidden="false" customHeight="false" outlineLevel="0" collapsed="false">
      <c r="A4585" s="0" t="n">
        <v>6</v>
      </c>
      <c r="B4585" s="0" t="n">
        <v>2</v>
      </c>
      <c r="C4585" s="0" t="n">
        <v>4</v>
      </c>
      <c r="D4585" s="0" t="n">
        <v>8</v>
      </c>
      <c r="E4585" s="0" t="n">
        <f aca="false">-1+A4585*0.25</f>
        <v>0.5</v>
      </c>
      <c r="F4585" s="0" t="n">
        <f aca="false">-1+B4585*0.25</f>
        <v>-0.5</v>
      </c>
      <c r="G4585" s="0" t="n">
        <f aca="false">-1+C4585*0.25</f>
        <v>0</v>
      </c>
      <c r="H4585" s="0" t="n">
        <f aca="false">-1+D4585*0.25</f>
        <v>1</v>
      </c>
      <c r="I4585" s="0" t="n">
        <f aca="false">1</f>
        <v>1</v>
      </c>
      <c r="J4585" s="0" t="n">
        <f aca="false">E4585</f>
        <v>0.5</v>
      </c>
      <c r="K4585" s="0" t="n">
        <f aca="false">F4585</f>
        <v>-0.5</v>
      </c>
      <c r="L4585" s="0" t="n">
        <f aca="false">G4585</f>
        <v>0</v>
      </c>
      <c r="M4585" s="0" t="n">
        <f aca="false">H4585</f>
        <v>1</v>
      </c>
      <c r="N4585" s="0" t="n">
        <f aca="false">E4585*F4585</f>
        <v>-0.25</v>
      </c>
      <c r="O4585" s="0" t="n">
        <f aca="false">E4585*G4585</f>
        <v>0</v>
      </c>
      <c r="P4585" s="0" t="n">
        <f aca="false">E4585*H4585</f>
        <v>0.5</v>
      </c>
      <c r="Q4585" s="0" t="n">
        <f aca="false">F4585*G4585</f>
        <v>-0</v>
      </c>
      <c r="R4585" s="0" t="n">
        <f aca="false">F4585*H4585</f>
        <v>-0.5</v>
      </c>
      <c r="S4585" s="0" t="n">
        <f aca="false">G4585*H4585</f>
        <v>0</v>
      </c>
      <c r="T4585" s="0" t="n">
        <f aca="false">E4585*E4585</f>
        <v>0.25</v>
      </c>
      <c r="U4585" s="0" t="n">
        <f aca="false">F4585*F4585</f>
        <v>0.25</v>
      </c>
      <c r="V4585" s="0" t="n">
        <f aca="false">G4585*G4585</f>
        <v>0</v>
      </c>
      <c r="W4585" s="0" t="n">
        <f aca="false">H4585*H4585</f>
        <v>1</v>
      </c>
      <c r="X4585" s="0" t="n">
        <f aca="false">SUMPRODUCT(I4585:W4585,_XtX!$B$96:$P$96)</f>
        <v>46.4828216374269</v>
      </c>
      <c r="Y4585" s="0" t="n">
        <f aca="false">SUMPRODUCT(MMULT(I4585:W4585,_XtX!$B$78:$P$92),I4585:W4585)</f>
        <v>0.441954495614035</v>
      </c>
      <c r="Z4585" s="0" t="n">
        <f aca="false">04_回帰ANOVA!$K$19*04_回帰ANOVA!$K$14*SQRT(1+Y4585)</f>
        <v>1.56521560968066</v>
      </c>
      <c r="AA4585" s="0" t="n">
        <f aca="false">X4585-Z4585</f>
        <v>44.9176060277462</v>
      </c>
      <c r="AB4585" s="0" t="n">
        <f aca="false">X4585+Z4585</f>
        <v>48.0480372471076</v>
      </c>
      <c r="AC4585" s="54" t="b">
        <f aca="false">AND(E4585&gt;=01_因子設定!$L$5-0.000000001,E4585&lt;=01_因子設定!$M$5+0.000000001,F4585&gt;=01_因子設定!$L$6-0.000000001,F4585&lt;=01_因子設定!$M$6+0.000000001,G4585&gt;=01_因子設定!$L$7-0.000000001,G4585&lt;=01_因子設定!$M$7+0.000000001,H4585&gt;=01_因子設定!$L$8-0.000000001,H4585&lt;=01_因子設定!$M$8+0.000000001,IF(01_因子設定!$B$20="Box-Behnken",E4585^2+F4585^2+G4585^2+H4585^2&lt;=2+0.000000001,TRUE()))</f>
        <v>1</v>
      </c>
      <c r="AD4585" s="55" t="n">
        <f aca="false">IF(AC4585,IF(01_因子設定!$B$13="最大化",AA4585-01_因子設定!$B$14,IF(01_因子設定!$B$13="最小化",01_因子設定!$B$15-AB4585,MIN(AA4585-01_因子設定!$B$14,01_因子設定!$B$15-AB4585))),-1E+030)</f>
        <v>-1.58239397225377</v>
      </c>
      <c r="AE4585" s="55" t="n">
        <f aca="false">IF(AC4585,IF(01_因子設定!$B$13="最大化",X4585,IF(01_因子設定!$B$13="最小化",-X4585,-ABS(X4585-01_因子設定!$B$16))),-1E+030)</f>
        <v>46.4828216374269</v>
      </c>
      <c r="AF4585" s="55" t="n">
        <f aca="false">AD4585+ROW()*0.000000001</f>
        <v>-1.58238938725377</v>
      </c>
      <c r="AG4585" s="55" t="n">
        <f aca="false">AE4585+ROW()*0.000000001</f>
        <v>46.4828262224269</v>
      </c>
    </row>
    <row r="4586" customFormat="false" ht="15" hidden="false" customHeight="false" outlineLevel="0" collapsed="false">
      <c r="A4586" s="0" t="n">
        <v>6</v>
      </c>
      <c r="B4586" s="0" t="n">
        <v>2</v>
      </c>
      <c r="C4586" s="0" t="n">
        <v>5</v>
      </c>
      <c r="D4586" s="0" t="n">
        <v>0</v>
      </c>
      <c r="E4586" s="0" t="n">
        <f aca="false">-1+A4586*0.25</f>
        <v>0.5</v>
      </c>
      <c r="F4586" s="0" t="n">
        <f aca="false">-1+B4586*0.25</f>
        <v>-0.5</v>
      </c>
      <c r="G4586" s="0" t="n">
        <f aca="false">-1+C4586*0.25</f>
        <v>0.25</v>
      </c>
      <c r="H4586" s="0" t="n">
        <f aca="false">-1+D4586*0.25</f>
        <v>-1</v>
      </c>
      <c r="I4586" s="0" t="n">
        <f aca="false">1</f>
        <v>1</v>
      </c>
      <c r="J4586" s="0" t="n">
        <f aca="false">E4586</f>
        <v>0.5</v>
      </c>
      <c r="K4586" s="0" t="n">
        <f aca="false">F4586</f>
        <v>-0.5</v>
      </c>
      <c r="L4586" s="0" t="n">
        <f aca="false">G4586</f>
        <v>0.25</v>
      </c>
      <c r="M4586" s="0" t="n">
        <f aca="false">H4586</f>
        <v>-1</v>
      </c>
      <c r="N4586" s="0" t="n">
        <f aca="false">E4586*F4586</f>
        <v>-0.25</v>
      </c>
      <c r="O4586" s="0" t="n">
        <f aca="false">E4586*G4586</f>
        <v>0.125</v>
      </c>
      <c r="P4586" s="0" t="n">
        <f aca="false">E4586*H4586</f>
        <v>-0.5</v>
      </c>
      <c r="Q4586" s="0" t="n">
        <f aca="false">F4586*G4586</f>
        <v>-0.125</v>
      </c>
      <c r="R4586" s="0" t="n">
        <f aca="false">F4586*H4586</f>
        <v>0.5</v>
      </c>
      <c r="S4586" s="0" t="n">
        <f aca="false">G4586*H4586</f>
        <v>-0.25</v>
      </c>
      <c r="T4586" s="0" t="n">
        <f aca="false">E4586*E4586</f>
        <v>0.25</v>
      </c>
      <c r="U4586" s="0" t="n">
        <f aca="false">F4586*F4586</f>
        <v>0.25</v>
      </c>
      <c r="V4586" s="0" t="n">
        <f aca="false">G4586*G4586</f>
        <v>0.0625</v>
      </c>
      <c r="W4586" s="0" t="n">
        <f aca="false">H4586*H4586</f>
        <v>1</v>
      </c>
      <c r="X4586" s="0" t="n">
        <f aca="false">SUMPRODUCT(I4586:W4586,_XtX!$B$96:$P$96)</f>
        <v>45.3452028508772</v>
      </c>
      <c r="Y4586" s="0" t="n">
        <f aca="false">SUMPRODUCT(MMULT(I4586:W4586,_XtX!$B$78:$P$92),I4586:W4586)</f>
        <v>0.428122715643275</v>
      </c>
      <c r="Z4586" s="0" t="n">
        <f aca="false">04_回帰ANOVA!$K$19*04_回帰ANOVA!$K$14*SQRT(1+Y4586)</f>
        <v>1.55769044623229</v>
      </c>
      <c r="AA4586" s="0" t="n">
        <f aca="false">X4586-Z4586</f>
        <v>43.7875124046449</v>
      </c>
      <c r="AB4586" s="0" t="n">
        <f aca="false">X4586+Z4586</f>
        <v>46.9028932971095</v>
      </c>
      <c r="AC4586" s="54" t="b">
        <f aca="false">AND(E4586&gt;=01_因子設定!$L$5-0.000000001,E4586&lt;=01_因子設定!$M$5+0.000000001,F4586&gt;=01_因子設定!$L$6-0.000000001,F4586&lt;=01_因子設定!$M$6+0.000000001,G4586&gt;=01_因子設定!$L$7-0.000000001,G4586&lt;=01_因子設定!$M$7+0.000000001,H4586&gt;=01_因子設定!$L$8-0.000000001,H4586&lt;=01_因子設定!$M$8+0.000000001,IF(01_因子設定!$B$20="Box-Behnken",E4586^2+F4586^2+G4586^2+H4586^2&lt;=2+0.000000001,TRUE()))</f>
        <v>1</v>
      </c>
      <c r="AD4586" s="55" t="n">
        <f aca="false">IF(AC4586,IF(01_因子設定!$B$13="最大化",AA4586-01_因子設定!$B$14,IF(01_因子設定!$B$13="最小化",01_因子設定!$B$15-AB4586,MIN(AA4586-01_因子設定!$B$14,01_因子設定!$B$15-AB4586))),-1E+030)</f>
        <v>-2.71248759535511</v>
      </c>
      <c r="AE4586" s="55" t="n">
        <f aca="false">IF(AC4586,IF(01_因子設定!$B$13="最大化",X4586,IF(01_因子設定!$B$13="最小化",-X4586,-ABS(X4586-01_因子設定!$B$16))),-1E+030)</f>
        <v>45.3452028508772</v>
      </c>
      <c r="AF4586" s="55" t="n">
        <f aca="false">AD4586+ROW()*0.000000001</f>
        <v>-2.71248300935511</v>
      </c>
      <c r="AG4586" s="55" t="n">
        <f aca="false">AE4586+ROW()*0.000000001</f>
        <v>45.3452074368772</v>
      </c>
    </row>
    <row r="4587" customFormat="false" ht="15" hidden="false" customHeight="false" outlineLevel="0" collapsed="false">
      <c r="A4587" s="0" t="n">
        <v>6</v>
      </c>
      <c r="B4587" s="0" t="n">
        <v>2</v>
      </c>
      <c r="C4587" s="0" t="n">
        <v>5</v>
      </c>
      <c r="D4587" s="0" t="n">
        <v>1</v>
      </c>
      <c r="E4587" s="0" t="n">
        <f aca="false">-1+A4587*0.25</f>
        <v>0.5</v>
      </c>
      <c r="F4587" s="0" t="n">
        <f aca="false">-1+B4587*0.25</f>
        <v>-0.5</v>
      </c>
      <c r="G4587" s="0" t="n">
        <f aca="false">-1+C4587*0.25</f>
        <v>0.25</v>
      </c>
      <c r="H4587" s="0" t="n">
        <f aca="false">-1+D4587*0.25</f>
        <v>-0.75</v>
      </c>
      <c r="I4587" s="0" t="n">
        <f aca="false">1</f>
        <v>1</v>
      </c>
      <c r="J4587" s="0" t="n">
        <f aca="false">E4587</f>
        <v>0.5</v>
      </c>
      <c r="K4587" s="0" t="n">
        <f aca="false">F4587</f>
        <v>-0.5</v>
      </c>
      <c r="L4587" s="0" t="n">
        <f aca="false">G4587</f>
        <v>0.25</v>
      </c>
      <c r="M4587" s="0" t="n">
        <f aca="false">H4587</f>
        <v>-0.75</v>
      </c>
      <c r="N4587" s="0" t="n">
        <f aca="false">E4587*F4587</f>
        <v>-0.25</v>
      </c>
      <c r="O4587" s="0" t="n">
        <f aca="false">E4587*G4587</f>
        <v>0.125</v>
      </c>
      <c r="P4587" s="0" t="n">
        <f aca="false">E4587*H4587</f>
        <v>-0.375</v>
      </c>
      <c r="Q4587" s="0" t="n">
        <f aca="false">F4587*G4587</f>
        <v>-0.125</v>
      </c>
      <c r="R4587" s="0" t="n">
        <f aca="false">F4587*H4587</f>
        <v>0.375</v>
      </c>
      <c r="S4587" s="0" t="n">
        <f aca="false">G4587*H4587</f>
        <v>-0.1875</v>
      </c>
      <c r="T4587" s="0" t="n">
        <f aca="false">E4587*E4587</f>
        <v>0.25</v>
      </c>
      <c r="U4587" s="0" t="n">
        <f aca="false">F4587*F4587</f>
        <v>0.25</v>
      </c>
      <c r="V4587" s="0" t="n">
        <f aca="false">G4587*G4587</f>
        <v>0.0625</v>
      </c>
      <c r="W4587" s="0" t="n">
        <f aca="false">H4587*H4587</f>
        <v>0.5625</v>
      </c>
      <c r="X4587" s="0" t="n">
        <f aca="false">SUMPRODUCT(I4587:W4587,_XtX!$B$96:$P$96)</f>
        <v>45.6740725511696</v>
      </c>
      <c r="Y4587" s="0" t="n">
        <f aca="false">SUMPRODUCT(MMULT(I4587:W4587,_XtX!$B$78:$P$92),I4587:W4587)</f>
        <v>0.203746059484649</v>
      </c>
      <c r="Z4587" s="0" t="n">
        <f aca="false">04_回帰ANOVA!$K$19*04_回帰ANOVA!$K$14*SQRT(1+Y4587)</f>
        <v>1.43009810755465</v>
      </c>
      <c r="AA4587" s="0" t="n">
        <f aca="false">X4587-Z4587</f>
        <v>44.2439744436149</v>
      </c>
      <c r="AB4587" s="0" t="n">
        <f aca="false">X4587+Z4587</f>
        <v>47.1041706587242</v>
      </c>
      <c r="AC4587" s="54" t="b">
        <f aca="false">AND(E4587&gt;=01_因子設定!$L$5-0.000000001,E4587&lt;=01_因子設定!$M$5+0.000000001,F4587&gt;=01_因子設定!$L$6-0.000000001,F4587&lt;=01_因子設定!$M$6+0.000000001,G4587&gt;=01_因子設定!$L$7-0.000000001,G4587&lt;=01_因子設定!$M$7+0.000000001,H4587&gt;=01_因子設定!$L$8-0.000000001,H4587&lt;=01_因子設定!$M$8+0.000000001,IF(01_因子設定!$B$20="Box-Behnken",E4587^2+F4587^2+G4587^2+H4587^2&lt;=2+0.000000001,TRUE()))</f>
        <v>1</v>
      </c>
      <c r="AD4587" s="55" t="n">
        <f aca="false">IF(AC4587,IF(01_因子設定!$B$13="最大化",AA4587-01_因子設定!$B$14,IF(01_因子設定!$B$13="最小化",01_因子設定!$B$15-AB4587,MIN(AA4587-01_因子設定!$B$14,01_因子設定!$B$15-AB4587))),-1E+030)</f>
        <v>-2.25602555638508</v>
      </c>
      <c r="AE4587" s="55" t="n">
        <f aca="false">IF(AC4587,IF(01_因子設定!$B$13="最大化",X4587,IF(01_因子設定!$B$13="最小化",-X4587,-ABS(X4587-01_因子設定!$B$16))),-1E+030)</f>
        <v>45.6740725511696</v>
      </c>
      <c r="AF4587" s="55" t="n">
        <f aca="false">AD4587+ROW()*0.000000001</f>
        <v>-2.25602096938508</v>
      </c>
      <c r="AG4587" s="55" t="n">
        <f aca="false">AE4587+ROW()*0.000000001</f>
        <v>45.6740771381696</v>
      </c>
    </row>
    <row r="4588" customFormat="false" ht="15" hidden="false" customHeight="false" outlineLevel="0" collapsed="false">
      <c r="A4588" s="0" t="n">
        <v>6</v>
      </c>
      <c r="B4588" s="0" t="n">
        <v>2</v>
      </c>
      <c r="C4588" s="0" t="n">
        <v>5</v>
      </c>
      <c r="D4588" s="0" t="n">
        <v>2</v>
      </c>
      <c r="E4588" s="0" t="n">
        <f aca="false">-1+A4588*0.25</f>
        <v>0.5</v>
      </c>
      <c r="F4588" s="0" t="n">
        <f aca="false">-1+B4588*0.25</f>
        <v>-0.5</v>
      </c>
      <c r="G4588" s="0" t="n">
        <f aca="false">-1+C4588*0.25</f>
        <v>0.25</v>
      </c>
      <c r="H4588" s="0" t="n">
        <f aca="false">-1+D4588*0.25</f>
        <v>-0.5</v>
      </c>
      <c r="I4588" s="0" t="n">
        <f aca="false">1</f>
        <v>1</v>
      </c>
      <c r="J4588" s="0" t="n">
        <f aca="false">E4588</f>
        <v>0.5</v>
      </c>
      <c r="K4588" s="0" t="n">
        <f aca="false">F4588</f>
        <v>-0.5</v>
      </c>
      <c r="L4588" s="0" t="n">
        <f aca="false">G4588</f>
        <v>0.25</v>
      </c>
      <c r="M4588" s="0" t="n">
        <f aca="false">H4588</f>
        <v>-0.5</v>
      </c>
      <c r="N4588" s="0" t="n">
        <f aca="false">E4588*F4588</f>
        <v>-0.25</v>
      </c>
      <c r="O4588" s="0" t="n">
        <f aca="false">E4588*G4588</f>
        <v>0.125</v>
      </c>
      <c r="P4588" s="0" t="n">
        <f aca="false">E4588*H4588</f>
        <v>-0.25</v>
      </c>
      <c r="Q4588" s="0" t="n">
        <f aca="false">F4588*G4588</f>
        <v>-0.125</v>
      </c>
      <c r="R4588" s="0" t="n">
        <f aca="false">F4588*H4588</f>
        <v>0.25</v>
      </c>
      <c r="S4588" s="0" t="n">
        <f aca="false">G4588*H4588</f>
        <v>-0.125</v>
      </c>
      <c r="T4588" s="0" t="n">
        <f aca="false">E4588*E4588</f>
        <v>0.25</v>
      </c>
      <c r="U4588" s="0" t="n">
        <f aca="false">F4588*F4588</f>
        <v>0.25</v>
      </c>
      <c r="V4588" s="0" t="n">
        <f aca="false">G4588*G4588</f>
        <v>0.0625</v>
      </c>
      <c r="W4588" s="0" t="n">
        <f aca="false">H4588*H4588</f>
        <v>0.25</v>
      </c>
      <c r="X4588" s="0" t="n">
        <f aca="false">SUMPRODUCT(I4588:W4588,_XtX!$B$96:$P$96)</f>
        <v>45.9551352339181</v>
      </c>
      <c r="Y4588" s="0" t="n">
        <f aca="false">SUMPRODUCT(MMULT(I4588:W4588,_XtX!$B$78:$P$92),I4588:W4588)</f>
        <v>0.133937545687135</v>
      </c>
      <c r="Z4588" s="0" t="n">
        <f aca="false">04_回帰ANOVA!$K$19*04_回帰ANOVA!$K$14*SQRT(1+Y4588)</f>
        <v>1.38801116780825</v>
      </c>
      <c r="AA4588" s="0" t="n">
        <f aca="false">X4588-Z4588</f>
        <v>44.5671240661098</v>
      </c>
      <c r="AB4588" s="0" t="n">
        <f aca="false">X4588+Z4588</f>
        <v>47.3431464017263</v>
      </c>
      <c r="AC4588" s="54" t="b">
        <f aca="false">AND(E4588&gt;=01_因子設定!$L$5-0.000000001,E4588&lt;=01_因子設定!$M$5+0.000000001,F4588&gt;=01_因子設定!$L$6-0.000000001,F4588&lt;=01_因子設定!$M$6+0.000000001,G4588&gt;=01_因子設定!$L$7-0.000000001,G4588&lt;=01_因子設定!$M$7+0.000000001,H4588&gt;=01_因子設定!$L$8-0.000000001,H4588&lt;=01_因子設定!$M$8+0.000000001,IF(01_因子設定!$B$20="Box-Behnken",E4588^2+F4588^2+G4588^2+H4588^2&lt;=2+0.000000001,TRUE()))</f>
        <v>1</v>
      </c>
      <c r="AD4588" s="55" t="n">
        <f aca="false">IF(AC4588,IF(01_因子設定!$B$13="最大化",AA4588-01_因子設定!$B$14,IF(01_因子設定!$B$13="最小化",01_因子設定!$B$15-AB4588,MIN(AA4588-01_因子設定!$B$14,01_因子設定!$B$15-AB4588))),-1E+030)</f>
        <v>-1.93287593389016</v>
      </c>
      <c r="AE4588" s="55" t="n">
        <f aca="false">IF(AC4588,IF(01_因子設定!$B$13="最大化",X4588,IF(01_因子設定!$B$13="最小化",-X4588,-ABS(X4588-01_因子設定!$B$16))),-1E+030)</f>
        <v>45.9551352339181</v>
      </c>
      <c r="AF4588" s="55" t="n">
        <f aca="false">AD4588+ROW()*0.000000001</f>
        <v>-1.93287134589016</v>
      </c>
      <c r="AG4588" s="55" t="n">
        <f aca="false">AE4588+ROW()*0.000000001</f>
        <v>45.9551398219181</v>
      </c>
    </row>
    <row r="4589" customFormat="false" ht="15" hidden="false" customHeight="false" outlineLevel="0" collapsed="false">
      <c r="A4589" s="0" t="n">
        <v>6</v>
      </c>
      <c r="B4589" s="0" t="n">
        <v>2</v>
      </c>
      <c r="C4589" s="0" t="n">
        <v>5</v>
      </c>
      <c r="D4589" s="0" t="n">
        <v>3</v>
      </c>
      <c r="E4589" s="0" t="n">
        <f aca="false">-1+A4589*0.25</f>
        <v>0.5</v>
      </c>
      <c r="F4589" s="0" t="n">
        <f aca="false">-1+B4589*0.25</f>
        <v>-0.5</v>
      </c>
      <c r="G4589" s="0" t="n">
        <f aca="false">-1+C4589*0.25</f>
        <v>0.25</v>
      </c>
      <c r="H4589" s="0" t="n">
        <f aca="false">-1+D4589*0.25</f>
        <v>-0.25</v>
      </c>
      <c r="I4589" s="0" t="n">
        <f aca="false">1</f>
        <v>1</v>
      </c>
      <c r="J4589" s="0" t="n">
        <f aca="false">E4589</f>
        <v>0.5</v>
      </c>
      <c r="K4589" s="0" t="n">
        <f aca="false">F4589</f>
        <v>-0.5</v>
      </c>
      <c r="L4589" s="0" t="n">
        <f aca="false">G4589</f>
        <v>0.25</v>
      </c>
      <c r="M4589" s="0" t="n">
        <f aca="false">H4589</f>
        <v>-0.25</v>
      </c>
      <c r="N4589" s="0" t="n">
        <f aca="false">E4589*F4589</f>
        <v>-0.25</v>
      </c>
      <c r="O4589" s="0" t="n">
        <f aca="false">E4589*G4589</f>
        <v>0.125</v>
      </c>
      <c r="P4589" s="0" t="n">
        <f aca="false">E4589*H4589</f>
        <v>-0.125</v>
      </c>
      <c r="Q4589" s="0" t="n">
        <f aca="false">F4589*G4589</f>
        <v>-0.125</v>
      </c>
      <c r="R4589" s="0" t="n">
        <f aca="false">F4589*H4589</f>
        <v>0.125</v>
      </c>
      <c r="S4589" s="0" t="n">
        <f aca="false">G4589*H4589</f>
        <v>-0.0625</v>
      </c>
      <c r="T4589" s="0" t="n">
        <f aca="false">E4589*E4589</f>
        <v>0.25</v>
      </c>
      <c r="U4589" s="0" t="n">
        <f aca="false">F4589*F4589</f>
        <v>0.25</v>
      </c>
      <c r="V4589" s="0" t="n">
        <f aca="false">G4589*G4589</f>
        <v>0.0625</v>
      </c>
      <c r="W4589" s="0" t="n">
        <f aca="false">H4589*H4589</f>
        <v>0.0625</v>
      </c>
      <c r="X4589" s="0" t="n">
        <f aca="false">SUMPRODUCT(I4589:W4589,_XtX!$B$96:$P$96)</f>
        <v>46.1883908991228</v>
      </c>
      <c r="Y4589" s="0" t="n">
        <f aca="false">SUMPRODUCT(MMULT(I4589:W4589,_XtX!$B$78:$P$92),I4589:W4589)</f>
        <v>0.128236647934942</v>
      </c>
      <c r="Z4589" s="0" t="n">
        <f aca="false">04_回帰ANOVA!$K$19*04_回帰ANOVA!$K$14*SQRT(1+Y4589)</f>
        <v>1.38451764188989</v>
      </c>
      <c r="AA4589" s="0" t="n">
        <f aca="false">X4589-Z4589</f>
        <v>44.8038732572329</v>
      </c>
      <c r="AB4589" s="0" t="n">
        <f aca="false">X4589+Z4589</f>
        <v>47.5729085410127</v>
      </c>
      <c r="AC4589" s="54" t="b">
        <f aca="false">AND(E4589&gt;=01_因子設定!$L$5-0.000000001,E4589&lt;=01_因子設定!$M$5+0.000000001,F4589&gt;=01_因子設定!$L$6-0.000000001,F4589&lt;=01_因子設定!$M$6+0.000000001,G4589&gt;=01_因子設定!$L$7-0.000000001,G4589&lt;=01_因子設定!$M$7+0.000000001,H4589&gt;=01_因子設定!$L$8-0.000000001,H4589&lt;=01_因子設定!$M$8+0.000000001,IF(01_因子設定!$B$20="Box-Behnken",E4589^2+F4589^2+G4589^2+H4589^2&lt;=2+0.000000001,TRUE()))</f>
        <v>1</v>
      </c>
      <c r="AD4589" s="55" t="n">
        <f aca="false">IF(AC4589,IF(01_因子設定!$B$13="最大化",AA4589-01_因子設定!$B$14,IF(01_因子設定!$B$13="最小化",01_因子設定!$B$15-AB4589,MIN(AA4589-01_因子設定!$B$14,01_因子設定!$B$15-AB4589))),-1E+030)</f>
        <v>-1.69612674276712</v>
      </c>
      <c r="AE4589" s="55" t="n">
        <f aca="false">IF(AC4589,IF(01_因子設定!$B$13="最大化",X4589,IF(01_因子設定!$B$13="最小化",-X4589,-ABS(X4589-01_因子設定!$B$16))),-1E+030)</f>
        <v>46.1883908991228</v>
      </c>
      <c r="AF4589" s="55" t="n">
        <f aca="false">AD4589+ROW()*0.000000001</f>
        <v>-1.69612215376712</v>
      </c>
      <c r="AG4589" s="55" t="n">
        <f aca="false">AE4589+ROW()*0.000000001</f>
        <v>46.1883954881228</v>
      </c>
    </row>
    <row r="4590" customFormat="false" ht="15" hidden="false" customHeight="false" outlineLevel="0" collapsed="false">
      <c r="A4590" s="0" t="n">
        <v>6</v>
      </c>
      <c r="B4590" s="0" t="n">
        <v>2</v>
      </c>
      <c r="C4590" s="0" t="n">
        <v>5</v>
      </c>
      <c r="D4590" s="0" t="n">
        <v>4</v>
      </c>
      <c r="E4590" s="0" t="n">
        <f aca="false">-1+A4590*0.25</f>
        <v>0.5</v>
      </c>
      <c r="F4590" s="0" t="n">
        <f aca="false">-1+B4590*0.25</f>
        <v>-0.5</v>
      </c>
      <c r="G4590" s="0" t="n">
        <f aca="false">-1+C4590*0.25</f>
        <v>0.25</v>
      </c>
      <c r="H4590" s="0" t="n">
        <f aca="false">-1+D4590*0.25</f>
        <v>0</v>
      </c>
      <c r="I4590" s="0" t="n">
        <f aca="false">1</f>
        <v>1</v>
      </c>
      <c r="J4590" s="0" t="n">
        <f aca="false">E4590</f>
        <v>0.5</v>
      </c>
      <c r="K4590" s="0" t="n">
        <f aca="false">F4590</f>
        <v>-0.5</v>
      </c>
      <c r="L4590" s="0" t="n">
        <f aca="false">G4590</f>
        <v>0.25</v>
      </c>
      <c r="M4590" s="0" t="n">
        <f aca="false">H4590</f>
        <v>0</v>
      </c>
      <c r="N4590" s="0" t="n">
        <f aca="false">E4590*F4590</f>
        <v>-0.25</v>
      </c>
      <c r="O4590" s="0" t="n">
        <f aca="false">E4590*G4590</f>
        <v>0.125</v>
      </c>
      <c r="P4590" s="0" t="n">
        <f aca="false">E4590*H4590</f>
        <v>0</v>
      </c>
      <c r="Q4590" s="0" t="n">
        <f aca="false">F4590*G4590</f>
        <v>-0.125</v>
      </c>
      <c r="R4590" s="0" t="n">
        <f aca="false">F4590*H4590</f>
        <v>-0</v>
      </c>
      <c r="S4590" s="0" t="n">
        <f aca="false">G4590*H4590</f>
        <v>0</v>
      </c>
      <c r="T4590" s="0" t="n">
        <f aca="false">E4590*E4590</f>
        <v>0.25</v>
      </c>
      <c r="U4590" s="0" t="n">
        <f aca="false">F4590*F4590</f>
        <v>0.25</v>
      </c>
      <c r="V4590" s="0" t="n">
        <f aca="false">G4590*G4590</f>
        <v>0.0625</v>
      </c>
      <c r="W4590" s="0" t="n">
        <f aca="false">H4590*H4590</f>
        <v>0</v>
      </c>
      <c r="X4590" s="0" t="n">
        <f aca="false">SUMPRODUCT(I4590:W4590,_XtX!$B$96:$P$96)</f>
        <v>46.3738395467836</v>
      </c>
      <c r="Y4590" s="0" t="n">
        <f aca="false">SUMPRODUCT(MMULT(I4590:W4590,_XtX!$B$78:$P$92),I4590:W4590)</f>
        <v>0.132367050438597</v>
      </c>
      <c r="Z4590" s="0" t="n">
        <f aca="false">04_回帰ANOVA!$K$19*04_回帰ANOVA!$K$14*SQRT(1+Y4590)</f>
        <v>1.38704964208329</v>
      </c>
      <c r="AA4590" s="0" t="n">
        <f aca="false">X4590-Z4590</f>
        <v>44.9867899047003</v>
      </c>
      <c r="AB4590" s="0" t="n">
        <f aca="false">X4590+Z4590</f>
        <v>47.7608891888669</v>
      </c>
      <c r="AC4590" s="54" t="b">
        <f aca="false">AND(E4590&gt;=01_因子設定!$L$5-0.000000001,E4590&lt;=01_因子設定!$M$5+0.000000001,F4590&gt;=01_因子設定!$L$6-0.000000001,F4590&lt;=01_因子設定!$M$6+0.000000001,G4590&gt;=01_因子設定!$L$7-0.000000001,G4590&lt;=01_因子設定!$M$7+0.000000001,H4590&gt;=01_因子設定!$L$8-0.000000001,H4590&lt;=01_因子設定!$M$8+0.000000001,IF(01_因子設定!$B$20="Box-Behnken",E4590^2+F4590^2+G4590^2+H4590^2&lt;=2+0.000000001,TRUE()))</f>
        <v>1</v>
      </c>
      <c r="AD4590" s="55" t="n">
        <f aca="false">IF(AC4590,IF(01_因子設定!$B$13="最大化",AA4590-01_因子設定!$B$14,IF(01_因子設定!$B$13="最小化",01_因子設定!$B$15-AB4590,MIN(AA4590-01_因子設定!$B$14,01_因子設定!$B$15-AB4590))),-1E+030)</f>
        <v>-1.51321009529971</v>
      </c>
      <c r="AE4590" s="55" t="n">
        <f aca="false">IF(AC4590,IF(01_因子設定!$B$13="最大化",X4590,IF(01_因子設定!$B$13="最小化",-X4590,-ABS(X4590-01_因子設定!$B$16))),-1E+030)</f>
        <v>46.3738395467836</v>
      </c>
      <c r="AF4590" s="55" t="n">
        <f aca="false">AD4590+ROW()*0.000000001</f>
        <v>-1.51320550529971</v>
      </c>
      <c r="AG4590" s="55" t="n">
        <f aca="false">AE4590+ROW()*0.000000001</f>
        <v>46.3738441367836</v>
      </c>
    </row>
    <row r="4591" customFormat="false" ht="15" hidden="false" customHeight="false" outlineLevel="0" collapsed="false">
      <c r="A4591" s="0" t="n">
        <v>6</v>
      </c>
      <c r="B4591" s="0" t="n">
        <v>2</v>
      </c>
      <c r="C4591" s="0" t="n">
        <v>5</v>
      </c>
      <c r="D4591" s="0" t="n">
        <v>5</v>
      </c>
      <c r="E4591" s="0" t="n">
        <f aca="false">-1+A4591*0.25</f>
        <v>0.5</v>
      </c>
      <c r="F4591" s="0" t="n">
        <f aca="false">-1+B4591*0.25</f>
        <v>-0.5</v>
      </c>
      <c r="G4591" s="0" t="n">
        <f aca="false">-1+C4591*0.25</f>
        <v>0.25</v>
      </c>
      <c r="H4591" s="0" t="n">
        <f aca="false">-1+D4591*0.25</f>
        <v>0.25</v>
      </c>
      <c r="I4591" s="0" t="n">
        <f aca="false">1</f>
        <v>1</v>
      </c>
      <c r="J4591" s="0" t="n">
        <f aca="false">E4591</f>
        <v>0.5</v>
      </c>
      <c r="K4591" s="0" t="n">
        <f aca="false">F4591</f>
        <v>-0.5</v>
      </c>
      <c r="L4591" s="0" t="n">
        <f aca="false">G4591</f>
        <v>0.25</v>
      </c>
      <c r="M4591" s="0" t="n">
        <f aca="false">H4591</f>
        <v>0.25</v>
      </c>
      <c r="N4591" s="0" t="n">
        <f aca="false">E4591*F4591</f>
        <v>-0.25</v>
      </c>
      <c r="O4591" s="0" t="n">
        <f aca="false">E4591*G4591</f>
        <v>0.125</v>
      </c>
      <c r="P4591" s="0" t="n">
        <f aca="false">E4591*H4591</f>
        <v>0.125</v>
      </c>
      <c r="Q4591" s="0" t="n">
        <f aca="false">F4591*G4591</f>
        <v>-0.125</v>
      </c>
      <c r="R4591" s="0" t="n">
        <f aca="false">F4591*H4591</f>
        <v>-0.125</v>
      </c>
      <c r="S4591" s="0" t="n">
        <f aca="false">G4591*H4591</f>
        <v>0.0625</v>
      </c>
      <c r="T4591" s="0" t="n">
        <f aca="false">E4591*E4591</f>
        <v>0.25</v>
      </c>
      <c r="U4591" s="0" t="n">
        <f aca="false">F4591*F4591</f>
        <v>0.25</v>
      </c>
      <c r="V4591" s="0" t="n">
        <f aca="false">G4591*G4591</f>
        <v>0.0625</v>
      </c>
      <c r="W4591" s="0" t="n">
        <f aca="false">H4591*H4591</f>
        <v>0.0625</v>
      </c>
      <c r="X4591" s="0" t="n">
        <f aca="false">SUMPRODUCT(I4591:W4591,_XtX!$B$96:$P$96)</f>
        <v>46.5114811769005</v>
      </c>
      <c r="Y4591" s="0" t="n">
        <f aca="false">SUMPRODUCT(MMULT(I4591:W4591,_XtX!$B$78:$P$92),I4591:W4591)</f>
        <v>0.128236647934942</v>
      </c>
      <c r="Z4591" s="0" t="n">
        <f aca="false">04_回帰ANOVA!$K$19*04_回帰ANOVA!$K$14*SQRT(1+Y4591)</f>
        <v>1.38451764188989</v>
      </c>
      <c r="AA4591" s="0" t="n">
        <f aca="false">X4591-Z4591</f>
        <v>45.1269635350107</v>
      </c>
      <c r="AB4591" s="0" t="n">
        <f aca="false">X4591+Z4591</f>
        <v>47.8959988187904</v>
      </c>
      <c r="AC4591" s="54" t="b">
        <f aca="false">AND(E4591&gt;=01_因子設定!$L$5-0.000000001,E4591&lt;=01_因子設定!$M$5+0.000000001,F4591&gt;=01_因子設定!$L$6-0.000000001,F4591&lt;=01_因子設定!$M$6+0.000000001,G4591&gt;=01_因子設定!$L$7-0.000000001,G4591&lt;=01_因子設定!$M$7+0.000000001,H4591&gt;=01_因子設定!$L$8-0.000000001,H4591&lt;=01_因子設定!$M$8+0.000000001,IF(01_因子設定!$B$20="Box-Behnken",E4591^2+F4591^2+G4591^2+H4591^2&lt;=2+0.000000001,TRUE()))</f>
        <v>1</v>
      </c>
      <c r="AD4591" s="55" t="n">
        <f aca="false">IF(AC4591,IF(01_因子設定!$B$13="最大化",AA4591-01_因子設定!$B$14,IF(01_因子設定!$B$13="最小化",01_因子設定!$B$15-AB4591,MIN(AA4591-01_因子設定!$B$14,01_因子設定!$B$15-AB4591))),-1E+030)</f>
        <v>-1.37303646498934</v>
      </c>
      <c r="AE4591" s="55" t="n">
        <f aca="false">IF(AC4591,IF(01_因子設定!$B$13="最大化",X4591,IF(01_因子設定!$B$13="最小化",-X4591,-ABS(X4591-01_因子設定!$B$16))),-1E+030)</f>
        <v>46.5114811769005</v>
      </c>
      <c r="AF4591" s="55" t="n">
        <f aca="false">AD4591+ROW()*0.000000001</f>
        <v>-1.37303187398934</v>
      </c>
      <c r="AG4591" s="55" t="n">
        <f aca="false">AE4591+ROW()*0.000000001</f>
        <v>46.5114857679005</v>
      </c>
    </row>
    <row r="4592" customFormat="false" ht="15" hidden="false" customHeight="false" outlineLevel="0" collapsed="false">
      <c r="A4592" s="0" t="n">
        <v>6</v>
      </c>
      <c r="B4592" s="0" t="n">
        <v>2</v>
      </c>
      <c r="C4592" s="0" t="n">
        <v>5</v>
      </c>
      <c r="D4592" s="0" t="n">
        <v>6</v>
      </c>
      <c r="E4592" s="0" t="n">
        <f aca="false">-1+A4592*0.25</f>
        <v>0.5</v>
      </c>
      <c r="F4592" s="0" t="n">
        <f aca="false">-1+B4592*0.25</f>
        <v>-0.5</v>
      </c>
      <c r="G4592" s="0" t="n">
        <f aca="false">-1+C4592*0.25</f>
        <v>0.25</v>
      </c>
      <c r="H4592" s="0" t="n">
        <f aca="false">-1+D4592*0.25</f>
        <v>0.5</v>
      </c>
      <c r="I4592" s="0" t="n">
        <f aca="false">1</f>
        <v>1</v>
      </c>
      <c r="J4592" s="0" t="n">
        <f aca="false">E4592</f>
        <v>0.5</v>
      </c>
      <c r="K4592" s="0" t="n">
        <f aca="false">F4592</f>
        <v>-0.5</v>
      </c>
      <c r="L4592" s="0" t="n">
        <f aca="false">G4592</f>
        <v>0.25</v>
      </c>
      <c r="M4592" s="0" t="n">
        <f aca="false">H4592</f>
        <v>0.5</v>
      </c>
      <c r="N4592" s="0" t="n">
        <f aca="false">E4592*F4592</f>
        <v>-0.25</v>
      </c>
      <c r="O4592" s="0" t="n">
        <f aca="false">E4592*G4592</f>
        <v>0.125</v>
      </c>
      <c r="P4592" s="0" t="n">
        <f aca="false">E4592*H4592</f>
        <v>0.25</v>
      </c>
      <c r="Q4592" s="0" t="n">
        <f aca="false">F4592*G4592</f>
        <v>-0.125</v>
      </c>
      <c r="R4592" s="0" t="n">
        <f aca="false">F4592*H4592</f>
        <v>-0.25</v>
      </c>
      <c r="S4592" s="0" t="n">
        <f aca="false">G4592*H4592</f>
        <v>0.125</v>
      </c>
      <c r="T4592" s="0" t="n">
        <f aca="false">E4592*E4592</f>
        <v>0.25</v>
      </c>
      <c r="U4592" s="0" t="n">
        <f aca="false">F4592*F4592</f>
        <v>0.25</v>
      </c>
      <c r="V4592" s="0" t="n">
        <f aca="false">G4592*G4592</f>
        <v>0.0625</v>
      </c>
      <c r="W4592" s="0" t="n">
        <f aca="false">H4592*H4592</f>
        <v>0.25</v>
      </c>
      <c r="X4592" s="0" t="n">
        <f aca="false">SUMPRODUCT(I4592:W4592,_XtX!$B$96:$P$96)</f>
        <v>46.6013157894737</v>
      </c>
      <c r="Y4592" s="0" t="n">
        <f aca="false">SUMPRODUCT(MMULT(I4592:W4592,_XtX!$B$78:$P$92),I4592:W4592)</f>
        <v>0.133937545687135</v>
      </c>
      <c r="Z4592" s="0" t="n">
        <f aca="false">04_回帰ANOVA!$K$19*04_回帰ANOVA!$K$14*SQRT(1+Y4592)</f>
        <v>1.38801116780825</v>
      </c>
      <c r="AA4592" s="0" t="n">
        <f aca="false">X4592-Z4592</f>
        <v>45.2133046216654</v>
      </c>
      <c r="AB4592" s="0" t="n">
        <f aca="false">X4592+Z4592</f>
        <v>47.9893269572819</v>
      </c>
      <c r="AC4592" s="54" t="b">
        <f aca="false">AND(E4592&gt;=01_因子設定!$L$5-0.000000001,E4592&lt;=01_因子設定!$M$5+0.000000001,F4592&gt;=01_因子設定!$L$6-0.000000001,F4592&lt;=01_因子設定!$M$6+0.000000001,G4592&gt;=01_因子設定!$L$7-0.000000001,G4592&lt;=01_因子設定!$M$7+0.000000001,H4592&gt;=01_因子設定!$L$8-0.000000001,H4592&lt;=01_因子設定!$M$8+0.000000001,IF(01_因子設定!$B$20="Box-Behnken",E4592^2+F4592^2+G4592^2+H4592^2&lt;=2+0.000000001,TRUE()))</f>
        <v>1</v>
      </c>
      <c r="AD4592" s="55" t="n">
        <f aca="false">IF(AC4592,IF(01_因子設定!$B$13="最大化",AA4592-01_因子設定!$B$14,IF(01_因子設定!$B$13="最小化",01_因子設定!$B$15-AB4592,MIN(AA4592-01_因子設定!$B$14,01_因子設定!$B$15-AB4592))),-1E+030)</f>
        <v>-1.2866953783346</v>
      </c>
      <c r="AE4592" s="55" t="n">
        <f aca="false">IF(AC4592,IF(01_因子設定!$B$13="最大化",X4592,IF(01_因子設定!$B$13="最小化",-X4592,-ABS(X4592-01_因子設定!$B$16))),-1E+030)</f>
        <v>46.6013157894737</v>
      </c>
      <c r="AF4592" s="55" t="n">
        <f aca="false">AD4592+ROW()*0.000000001</f>
        <v>-1.2866907863346</v>
      </c>
      <c r="AG4592" s="55" t="n">
        <f aca="false">AE4592+ROW()*0.000000001</f>
        <v>46.6013203814737</v>
      </c>
    </row>
    <row r="4593" customFormat="false" ht="15" hidden="false" customHeight="false" outlineLevel="0" collapsed="false">
      <c r="A4593" s="0" t="n">
        <v>6</v>
      </c>
      <c r="B4593" s="0" t="n">
        <v>2</v>
      </c>
      <c r="C4593" s="0" t="n">
        <v>5</v>
      </c>
      <c r="D4593" s="0" t="n">
        <v>7</v>
      </c>
      <c r="E4593" s="0" t="n">
        <f aca="false">-1+A4593*0.25</f>
        <v>0.5</v>
      </c>
      <c r="F4593" s="0" t="n">
        <f aca="false">-1+B4593*0.25</f>
        <v>-0.5</v>
      </c>
      <c r="G4593" s="0" t="n">
        <f aca="false">-1+C4593*0.25</f>
        <v>0.25</v>
      </c>
      <c r="H4593" s="0" t="n">
        <f aca="false">-1+D4593*0.25</f>
        <v>0.75</v>
      </c>
      <c r="I4593" s="0" t="n">
        <f aca="false">1</f>
        <v>1</v>
      </c>
      <c r="J4593" s="0" t="n">
        <f aca="false">E4593</f>
        <v>0.5</v>
      </c>
      <c r="K4593" s="0" t="n">
        <f aca="false">F4593</f>
        <v>-0.5</v>
      </c>
      <c r="L4593" s="0" t="n">
        <f aca="false">G4593</f>
        <v>0.25</v>
      </c>
      <c r="M4593" s="0" t="n">
        <f aca="false">H4593</f>
        <v>0.75</v>
      </c>
      <c r="N4593" s="0" t="n">
        <f aca="false">E4593*F4593</f>
        <v>-0.25</v>
      </c>
      <c r="O4593" s="0" t="n">
        <f aca="false">E4593*G4593</f>
        <v>0.125</v>
      </c>
      <c r="P4593" s="0" t="n">
        <f aca="false">E4593*H4593</f>
        <v>0.375</v>
      </c>
      <c r="Q4593" s="0" t="n">
        <f aca="false">F4593*G4593</f>
        <v>-0.125</v>
      </c>
      <c r="R4593" s="0" t="n">
        <f aca="false">F4593*H4593</f>
        <v>-0.375</v>
      </c>
      <c r="S4593" s="0" t="n">
        <f aca="false">G4593*H4593</f>
        <v>0.1875</v>
      </c>
      <c r="T4593" s="0" t="n">
        <f aca="false">E4593*E4593</f>
        <v>0.25</v>
      </c>
      <c r="U4593" s="0" t="n">
        <f aca="false">F4593*F4593</f>
        <v>0.25</v>
      </c>
      <c r="V4593" s="0" t="n">
        <f aca="false">G4593*G4593</f>
        <v>0.0625</v>
      </c>
      <c r="W4593" s="0" t="n">
        <f aca="false">H4593*H4593</f>
        <v>0.5625</v>
      </c>
      <c r="X4593" s="0" t="n">
        <f aca="false">SUMPRODUCT(I4593:W4593,_XtX!$B$96:$P$96)</f>
        <v>46.6433433845029</v>
      </c>
      <c r="Y4593" s="0" t="n">
        <f aca="false">SUMPRODUCT(MMULT(I4593:W4593,_XtX!$B$78:$P$92),I4593:W4593)</f>
        <v>0.203746059484649</v>
      </c>
      <c r="Z4593" s="0" t="n">
        <f aca="false">04_回帰ANOVA!$K$19*04_回帰ANOVA!$K$14*SQRT(1+Y4593)</f>
        <v>1.43009810755465</v>
      </c>
      <c r="AA4593" s="0" t="n">
        <f aca="false">X4593-Z4593</f>
        <v>45.2132452769483</v>
      </c>
      <c r="AB4593" s="0" t="n">
        <f aca="false">X4593+Z4593</f>
        <v>48.0734414920576</v>
      </c>
      <c r="AC4593" s="54" t="b">
        <f aca="false">AND(E4593&gt;=01_因子設定!$L$5-0.000000001,E4593&lt;=01_因子設定!$M$5+0.000000001,F4593&gt;=01_因子設定!$L$6-0.000000001,F4593&lt;=01_因子設定!$M$6+0.000000001,G4593&gt;=01_因子設定!$L$7-0.000000001,G4593&lt;=01_因子設定!$M$7+0.000000001,H4593&gt;=01_因子設定!$L$8-0.000000001,H4593&lt;=01_因子設定!$M$8+0.000000001,IF(01_因子設定!$B$20="Box-Behnken",E4593^2+F4593^2+G4593^2+H4593^2&lt;=2+0.000000001,TRUE()))</f>
        <v>1</v>
      </c>
      <c r="AD4593" s="55" t="n">
        <f aca="false">IF(AC4593,IF(01_因子設定!$B$13="最大化",AA4593-01_因子設定!$B$14,IF(01_因子設定!$B$13="最小化",01_因子設定!$B$15-AB4593,MIN(AA4593-01_因子設定!$B$14,01_因子設定!$B$15-AB4593))),-1E+030)</f>
        <v>-1.28675472305175</v>
      </c>
      <c r="AE4593" s="55" t="n">
        <f aca="false">IF(AC4593,IF(01_因子設定!$B$13="最大化",X4593,IF(01_因子設定!$B$13="最小化",-X4593,-ABS(X4593-01_因子設定!$B$16))),-1E+030)</f>
        <v>46.6433433845029</v>
      </c>
      <c r="AF4593" s="55" t="n">
        <f aca="false">AD4593+ROW()*0.000000001</f>
        <v>-1.28675013005175</v>
      </c>
      <c r="AG4593" s="55" t="n">
        <f aca="false">AE4593+ROW()*0.000000001</f>
        <v>46.6433479775029</v>
      </c>
    </row>
    <row r="4594" customFormat="false" ht="15" hidden="false" customHeight="false" outlineLevel="0" collapsed="false">
      <c r="A4594" s="0" t="n">
        <v>6</v>
      </c>
      <c r="B4594" s="0" t="n">
        <v>2</v>
      </c>
      <c r="C4594" s="0" t="n">
        <v>5</v>
      </c>
      <c r="D4594" s="0" t="n">
        <v>8</v>
      </c>
      <c r="E4594" s="0" t="n">
        <f aca="false">-1+A4594*0.25</f>
        <v>0.5</v>
      </c>
      <c r="F4594" s="0" t="n">
        <f aca="false">-1+B4594*0.25</f>
        <v>-0.5</v>
      </c>
      <c r="G4594" s="0" t="n">
        <f aca="false">-1+C4594*0.25</f>
        <v>0.25</v>
      </c>
      <c r="H4594" s="0" t="n">
        <f aca="false">-1+D4594*0.25</f>
        <v>1</v>
      </c>
      <c r="I4594" s="0" t="n">
        <f aca="false">1</f>
        <v>1</v>
      </c>
      <c r="J4594" s="0" t="n">
        <f aca="false">E4594</f>
        <v>0.5</v>
      </c>
      <c r="K4594" s="0" t="n">
        <f aca="false">F4594</f>
        <v>-0.5</v>
      </c>
      <c r="L4594" s="0" t="n">
        <f aca="false">G4594</f>
        <v>0.25</v>
      </c>
      <c r="M4594" s="0" t="n">
        <f aca="false">H4594</f>
        <v>1</v>
      </c>
      <c r="N4594" s="0" t="n">
        <f aca="false">E4594*F4594</f>
        <v>-0.25</v>
      </c>
      <c r="O4594" s="0" t="n">
        <f aca="false">E4594*G4594</f>
        <v>0.125</v>
      </c>
      <c r="P4594" s="0" t="n">
        <f aca="false">E4594*H4594</f>
        <v>0.5</v>
      </c>
      <c r="Q4594" s="0" t="n">
        <f aca="false">F4594*G4594</f>
        <v>-0.125</v>
      </c>
      <c r="R4594" s="0" t="n">
        <f aca="false">F4594*H4594</f>
        <v>-0.5</v>
      </c>
      <c r="S4594" s="0" t="n">
        <f aca="false">G4594*H4594</f>
        <v>0.25</v>
      </c>
      <c r="T4594" s="0" t="n">
        <f aca="false">E4594*E4594</f>
        <v>0.25</v>
      </c>
      <c r="U4594" s="0" t="n">
        <f aca="false">F4594*F4594</f>
        <v>0.25</v>
      </c>
      <c r="V4594" s="0" t="n">
        <f aca="false">G4594*G4594</f>
        <v>0.0625</v>
      </c>
      <c r="W4594" s="0" t="n">
        <f aca="false">H4594*H4594</f>
        <v>1</v>
      </c>
      <c r="X4594" s="0" t="n">
        <f aca="false">SUMPRODUCT(I4594:W4594,_XtX!$B$96:$P$96)</f>
        <v>46.6375639619883</v>
      </c>
      <c r="Y4594" s="0" t="n">
        <f aca="false">SUMPRODUCT(MMULT(I4594:W4594,_XtX!$B$78:$P$92),I4594:W4594)</f>
        <v>0.428122715643275</v>
      </c>
      <c r="Z4594" s="0" t="n">
        <f aca="false">04_回帰ANOVA!$K$19*04_回帰ANOVA!$K$14*SQRT(1+Y4594)</f>
        <v>1.55769044623229</v>
      </c>
      <c r="AA4594" s="0" t="n">
        <f aca="false">X4594-Z4594</f>
        <v>45.079873515756</v>
      </c>
      <c r="AB4594" s="0" t="n">
        <f aca="false">X4594+Z4594</f>
        <v>48.1952544082206</v>
      </c>
      <c r="AC4594" s="54" t="b">
        <f aca="false">AND(E4594&gt;=01_因子設定!$L$5-0.000000001,E4594&lt;=01_因子設定!$M$5+0.000000001,F4594&gt;=01_因子設定!$L$6-0.000000001,F4594&lt;=01_因子設定!$M$6+0.000000001,G4594&gt;=01_因子設定!$L$7-0.000000001,G4594&lt;=01_因子設定!$M$7+0.000000001,H4594&gt;=01_因子設定!$L$8-0.000000001,H4594&lt;=01_因子設定!$M$8+0.000000001,IF(01_因子設定!$B$20="Box-Behnken",E4594^2+F4594^2+G4594^2+H4594^2&lt;=2+0.000000001,TRUE()))</f>
        <v>1</v>
      </c>
      <c r="AD4594" s="55" t="n">
        <f aca="false">IF(AC4594,IF(01_因子設定!$B$13="最大化",AA4594-01_因子設定!$B$14,IF(01_因子設定!$B$13="最小化",01_因子設定!$B$15-AB4594,MIN(AA4594-01_因子設定!$B$14,01_因子設定!$B$15-AB4594))),-1E+030)</f>
        <v>-1.42012648424399</v>
      </c>
      <c r="AE4594" s="55" t="n">
        <f aca="false">IF(AC4594,IF(01_因子設定!$B$13="最大化",X4594,IF(01_因子設定!$B$13="最小化",-X4594,-ABS(X4594-01_因子設定!$B$16))),-1E+030)</f>
        <v>46.6375639619883</v>
      </c>
      <c r="AF4594" s="55" t="n">
        <f aca="false">AD4594+ROW()*0.000000001</f>
        <v>-1.42012189024399</v>
      </c>
      <c r="AG4594" s="55" t="n">
        <f aca="false">AE4594+ROW()*0.000000001</f>
        <v>46.6375685559883</v>
      </c>
    </row>
    <row r="4595" customFormat="false" ht="15" hidden="false" customHeight="false" outlineLevel="0" collapsed="false">
      <c r="A4595" s="0" t="n">
        <v>6</v>
      </c>
      <c r="B4595" s="0" t="n">
        <v>2</v>
      </c>
      <c r="C4595" s="0" t="n">
        <v>6</v>
      </c>
      <c r="D4595" s="0" t="n">
        <v>0</v>
      </c>
      <c r="E4595" s="0" t="n">
        <f aca="false">-1+A4595*0.25</f>
        <v>0.5</v>
      </c>
      <c r="F4595" s="0" t="n">
        <f aca="false">-1+B4595*0.25</f>
        <v>-0.5</v>
      </c>
      <c r="G4595" s="0" t="n">
        <f aca="false">-1+C4595*0.25</f>
        <v>0.5</v>
      </c>
      <c r="H4595" s="0" t="n">
        <f aca="false">-1+D4595*0.25</f>
        <v>-1</v>
      </c>
      <c r="I4595" s="0" t="n">
        <f aca="false">1</f>
        <v>1</v>
      </c>
      <c r="J4595" s="0" t="n">
        <f aca="false">E4595</f>
        <v>0.5</v>
      </c>
      <c r="K4595" s="0" t="n">
        <f aca="false">F4595</f>
        <v>-0.5</v>
      </c>
      <c r="L4595" s="0" t="n">
        <f aca="false">G4595</f>
        <v>0.5</v>
      </c>
      <c r="M4595" s="0" t="n">
        <f aca="false">H4595</f>
        <v>-1</v>
      </c>
      <c r="N4595" s="0" t="n">
        <f aca="false">E4595*F4595</f>
        <v>-0.25</v>
      </c>
      <c r="O4595" s="0" t="n">
        <f aca="false">E4595*G4595</f>
        <v>0.25</v>
      </c>
      <c r="P4595" s="0" t="n">
        <f aca="false">E4595*H4595</f>
        <v>-0.5</v>
      </c>
      <c r="Q4595" s="0" t="n">
        <f aca="false">F4595*G4595</f>
        <v>-0.25</v>
      </c>
      <c r="R4595" s="0" t="n">
        <f aca="false">F4595*H4595</f>
        <v>0.5</v>
      </c>
      <c r="S4595" s="0" t="n">
        <f aca="false">G4595*H4595</f>
        <v>-0.5</v>
      </c>
      <c r="T4595" s="0" t="n">
        <f aca="false">E4595*E4595</f>
        <v>0.25</v>
      </c>
      <c r="U4595" s="0" t="n">
        <f aca="false">F4595*F4595</f>
        <v>0.25</v>
      </c>
      <c r="V4595" s="0" t="n">
        <f aca="false">G4595*G4595</f>
        <v>0.25</v>
      </c>
      <c r="W4595" s="0" t="n">
        <f aca="false">H4595*H4595</f>
        <v>1</v>
      </c>
      <c r="X4595" s="0" t="n">
        <f aca="false">SUMPRODUCT(I4595:W4595,_XtX!$B$96:$P$96)</f>
        <v>45.2708881578947</v>
      </c>
      <c r="Y4595" s="0" t="n">
        <f aca="false">SUMPRODUCT(MMULT(I4595:W4595,_XtX!$B$78:$P$92),I4595:W4595)</f>
        <v>0.404719480994152</v>
      </c>
      <c r="Z4595" s="0" t="n">
        <f aca="false">04_回帰ANOVA!$K$19*04_回帰ANOVA!$K$14*SQRT(1+Y4595)</f>
        <v>1.54487446697867</v>
      </c>
      <c r="AA4595" s="0" t="n">
        <f aca="false">X4595-Z4595</f>
        <v>43.7260136909161</v>
      </c>
      <c r="AB4595" s="0" t="n">
        <f aca="false">X4595+Z4595</f>
        <v>46.8157626248734</v>
      </c>
      <c r="AC4595" s="54" t="b">
        <f aca="false">AND(E4595&gt;=01_因子設定!$L$5-0.000000001,E4595&lt;=01_因子設定!$M$5+0.000000001,F4595&gt;=01_因子設定!$L$6-0.000000001,F4595&lt;=01_因子設定!$M$6+0.000000001,G4595&gt;=01_因子設定!$L$7-0.000000001,G4595&lt;=01_因子設定!$M$7+0.000000001,H4595&gt;=01_因子設定!$L$8-0.000000001,H4595&lt;=01_因子設定!$M$8+0.000000001,IF(01_因子設定!$B$20="Box-Behnken",E4595^2+F4595^2+G4595^2+H4595^2&lt;=2+0.000000001,TRUE()))</f>
        <v>1</v>
      </c>
      <c r="AD4595" s="55" t="n">
        <f aca="false">IF(AC4595,IF(01_因子設定!$B$13="最大化",AA4595-01_因子設定!$B$14,IF(01_因子設定!$B$13="最小化",01_因子設定!$B$15-AB4595,MIN(AA4595-01_因子設定!$B$14,01_因子設定!$B$15-AB4595))),-1E+030)</f>
        <v>-2.77398630908395</v>
      </c>
      <c r="AE4595" s="55" t="n">
        <f aca="false">IF(AC4595,IF(01_因子設定!$B$13="最大化",X4595,IF(01_因子設定!$B$13="最小化",-X4595,-ABS(X4595-01_因子設定!$B$16))),-1E+030)</f>
        <v>45.2708881578947</v>
      </c>
      <c r="AF4595" s="55" t="n">
        <f aca="false">AD4595+ROW()*0.000000001</f>
        <v>-2.77398171408395</v>
      </c>
      <c r="AG4595" s="55" t="n">
        <f aca="false">AE4595+ROW()*0.000000001</f>
        <v>45.2708927528947</v>
      </c>
    </row>
    <row r="4596" customFormat="false" ht="15" hidden="false" customHeight="false" outlineLevel="0" collapsed="false">
      <c r="A4596" s="0" t="n">
        <v>6</v>
      </c>
      <c r="B4596" s="0" t="n">
        <v>2</v>
      </c>
      <c r="C4596" s="0" t="n">
        <v>6</v>
      </c>
      <c r="D4596" s="0" t="n">
        <v>1</v>
      </c>
      <c r="E4596" s="0" t="n">
        <f aca="false">-1+A4596*0.25</f>
        <v>0.5</v>
      </c>
      <c r="F4596" s="0" t="n">
        <f aca="false">-1+B4596*0.25</f>
        <v>-0.5</v>
      </c>
      <c r="G4596" s="0" t="n">
        <f aca="false">-1+C4596*0.25</f>
        <v>0.5</v>
      </c>
      <c r="H4596" s="0" t="n">
        <f aca="false">-1+D4596*0.25</f>
        <v>-0.75</v>
      </c>
      <c r="I4596" s="0" t="n">
        <f aca="false">1</f>
        <v>1</v>
      </c>
      <c r="J4596" s="0" t="n">
        <f aca="false">E4596</f>
        <v>0.5</v>
      </c>
      <c r="K4596" s="0" t="n">
        <f aca="false">F4596</f>
        <v>-0.5</v>
      </c>
      <c r="L4596" s="0" t="n">
        <f aca="false">G4596</f>
        <v>0.5</v>
      </c>
      <c r="M4596" s="0" t="n">
        <f aca="false">H4596</f>
        <v>-0.75</v>
      </c>
      <c r="N4596" s="0" t="n">
        <f aca="false">E4596*F4596</f>
        <v>-0.25</v>
      </c>
      <c r="O4596" s="0" t="n">
        <f aca="false">E4596*G4596</f>
        <v>0.25</v>
      </c>
      <c r="P4596" s="0" t="n">
        <f aca="false">E4596*H4596</f>
        <v>-0.375</v>
      </c>
      <c r="Q4596" s="0" t="n">
        <f aca="false">F4596*G4596</f>
        <v>-0.25</v>
      </c>
      <c r="R4596" s="0" t="n">
        <f aca="false">F4596*H4596</f>
        <v>0.375</v>
      </c>
      <c r="S4596" s="0" t="n">
        <f aca="false">G4596*H4596</f>
        <v>-0.375</v>
      </c>
      <c r="T4596" s="0" t="n">
        <f aca="false">E4596*E4596</f>
        <v>0.25</v>
      </c>
      <c r="U4596" s="0" t="n">
        <f aca="false">F4596*F4596</f>
        <v>0.25</v>
      </c>
      <c r="V4596" s="0" t="n">
        <f aca="false">G4596*G4596</f>
        <v>0.25</v>
      </c>
      <c r="W4596" s="0" t="n">
        <f aca="false">H4596*H4596</f>
        <v>0.5625</v>
      </c>
      <c r="X4596" s="0" t="n">
        <f aca="false">SUMPRODUCT(I4596:W4596,_XtX!$B$96:$P$96)</f>
        <v>45.6177266081871</v>
      </c>
      <c r="Y4596" s="0" t="n">
        <f aca="false">SUMPRODUCT(MMULT(I4596:W4596,_XtX!$B$78:$P$92),I4596:W4596)</f>
        <v>0.193924753289474</v>
      </c>
      <c r="Z4596" s="0" t="n">
        <f aca="false">04_回帰ANOVA!$K$19*04_回帰ANOVA!$K$14*SQRT(1+Y4596)</f>
        <v>1.4242521079916</v>
      </c>
      <c r="AA4596" s="0" t="n">
        <f aca="false">X4596-Z4596</f>
        <v>44.1934745001955</v>
      </c>
      <c r="AB4596" s="0" t="n">
        <f aca="false">X4596+Z4596</f>
        <v>47.0419787161787</v>
      </c>
      <c r="AC4596" s="54" t="b">
        <f aca="false">AND(E4596&gt;=01_因子設定!$L$5-0.000000001,E4596&lt;=01_因子設定!$M$5+0.000000001,F4596&gt;=01_因子設定!$L$6-0.000000001,F4596&lt;=01_因子設定!$M$6+0.000000001,G4596&gt;=01_因子設定!$L$7-0.000000001,G4596&lt;=01_因子設定!$M$7+0.000000001,H4596&gt;=01_因子設定!$L$8-0.000000001,H4596&lt;=01_因子設定!$M$8+0.000000001,IF(01_因子設定!$B$20="Box-Behnken",E4596^2+F4596^2+G4596^2+H4596^2&lt;=2+0.000000001,TRUE()))</f>
        <v>1</v>
      </c>
      <c r="AD4596" s="55" t="n">
        <f aca="false">IF(AC4596,IF(01_因子設定!$B$13="最大化",AA4596-01_因子設定!$B$14,IF(01_因子設定!$B$13="最小化",01_因子設定!$B$15-AB4596,MIN(AA4596-01_因子設定!$B$14,01_因子設定!$B$15-AB4596))),-1E+030)</f>
        <v>-2.30652549980449</v>
      </c>
      <c r="AE4596" s="55" t="n">
        <f aca="false">IF(AC4596,IF(01_因子設定!$B$13="最大化",X4596,IF(01_因子設定!$B$13="最小化",-X4596,-ABS(X4596-01_因子設定!$B$16))),-1E+030)</f>
        <v>45.6177266081871</v>
      </c>
      <c r="AF4596" s="55" t="n">
        <f aca="false">AD4596+ROW()*0.000000001</f>
        <v>-2.30652090380449</v>
      </c>
      <c r="AG4596" s="55" t="n">
        <f aca="false">AE4596+ROW()*0.000000001</f>
        <v>45.6177312041871</v>
      </c>
    </row>
    <row r="4597" customFormat="false" ht="15" hidden="false" customHeight="false" outlineLevel="0" collapsed="false">
      <c r="A4597" s="0" t="n">
        <v>6</v>
      </c>
      <c r="B4597" s="0" t="n">
        <v>2</v>
      </c>
      <c r="C4597" s="0" t="n">
        <v>6</v>
      </c>
      <c r="D4597" s="0" t="n">
        <v>2</v>
      </c>
      <c r="E4597" s="0" t="n">
        <f aca="false">-1+A4597*0.25</f>
        <v>0.5</v>
      </c>
      <c r="F4597" s="0" t="n">
        <f aca="false">-1+B4597*0.25</f>
        <v>-0.5</v>
      </c>
      <c r="G4597" s="0" t="n">
        <f aca="false">-1+C4597*0.25</f>
        <v>0.5</v>
      </c>
      <c r="H4597" s="0" t="n">
        <f aca="false">-1+D4597*0.25</f>
        <v>-0.5</v>
      </c>
      <c r="I4597" s="0" t="n">
        <f aca="false">1</f>
        <v>1</v>
      </c>
      <c r="J4597" s="0" t="n">
        <f aca="false">E4597</f>
        <v>0.5</v>
      </c>
      <c r="K4597" s="0" t="n">
        <f aca="false">F4597</f>
        <v>-0.5</v>
      </c>
      <c r="L4597" s="0" t="n">
        <f aca="false">G4597</f>
        <v>0.5</v>
      </c>
      <c r="M4597" s="0" t="n">
        <f aca="false">H4597</f>
        <v>-0.5</v>
      </c>
      <c r="N4597" s="0" t="n">
        <f aca="false">E4597*F4597</f>
        <v>-0.25</v>
      </c>
      <c r="O4597" s="0" t="n">
        <f aca="false">E4597*G4597</f>
        <v>0.25</v>
      </c>
      <c r="P4597" s="0" t="n">
        <f aca="false">E4597*H4597</f>
        <v>-0.25</v>
      </c>
      <c r="Q4597" s="0" t="n">
        <f aca="false">F4597*G4597</f>
        <v>-0.25</v>
      </c>
      <c r="R4597" s="0" t="n">
        <f aca="false">F4597*H4597</f>
        <v>0.25</v>
      </c>
      <c r="S4597" s="0" t="n">
        <f aca="false">G4597*H4597</f>
        <v>-0.25</v>
      </c>
      <c r="T4597" s="0" t="n">
        <f aca="false">E4597*E4597</f>
        <v>0.25</v>
      </c>
      <c r="U4597" s="0" t="n">
        <f aca="false">F4597*F4597</f>
        <v>0.25</v>
      </c>
      <c r="V4597" s="0" t="n">
        <f aca="false">G4597*G4597</f>
        <v>0.25</v>
      </c>
      <c r="W4597" s="0" t="n">
        <f aca="false">H4597*H4597</f>
        <v>0.25</v>
      </c>
      <c r="X4597" s="0" t="n">
        <f aca="false">SUMPRODUCT(I4597:W4597,_XtX!$B$96:$P$96)</f>
        <v>45.9167580409356</v>
      </c>
      <c r="Y4597" s="0" t="n">
        <f aca="false">SUMPRODUCT(MMULT(I4597:W4597,_XtX!$B$78:$P$92),I4597:W4597)</f>
        <v>0.133817616959064</v>
      </c>
      <c r="Z4597" s="0" t="n">
        <f aca="false">04_回帰ANOVA!$K$19*04_回帰ANOVA!$K$14*SQRT(1+Y4597)</f>
        <v>1.38793776569887</v>
      </c>
      <c r="AA4597" s="0" t="n">
        <f aca="false">X4597-Z4597</f>
        <v>44.5288202752368</v>
      </c>
      <c r="AB4597" s="0" t="n">
        <f aca="false">X4597+Z4597</f>
        <v>47.3046958066345</v>
      </c>
      <c r="AC4597" s="54" t="b">
        <f aca="false">AND(E4597&gt;=01_因子設定!$L$5-0.000000001,E4597&lt;=01_因子設定!$M$5+0.000000001,F4597&gt;=01_因子設定!$L$6-0.000000001,F4597&lt;=01_因子設定!$M$6+0.000000001,G4597&gt;=01_因子設定!$L$7-0.000000001,G4597&lt;=01_因子設定!$M$7+0.000000001,H4597&gt;=01_因子設定!$L$8-0.000000001,H4597&lt;=01_因子設定!$M$8+0.000000001,IF(01_因子設定!$B$20="Box-Behnken",E4597^2+F4597^2+G4597^2+H4597^2&lt;=2+0.000000001,TRUE()))</f>
        <v>1</v>
      </c>
      <c r="AD4597" s="55" t="n">
        <f aca="false">IF(AC4597,IF(01_因子設定!$B$13="最大化",AA4597-01_因子設定!$B$14,IF(01_因子設定!$B$13="最小化",01_因子設定!$B$15-AB4597,MIN(AA4597-01_因子設定!$B$14,01_因子設定!$B$15-AB4597))),-1E+030)</f>
        <v>-1.97117972476322</v>
      </c>
      <c r="AE4597" s="55" t="n">
        <f aca="false">IF(AC4597,IF(01_因子設定!$B$13="最大化",X4597,IF(01_因子設定!$B$13="最小化",-X4597,-ABS(X4597-01_因子設定!$B$16))),-1E+030)</f>
        <v>45.9167580409356</v>
      </c>
      <c r="AF4597" s="55" t="n">
        <f aca="false">AD4597+ROW()*0.000000001</f>
        <v>-1.97117512776322</v>
      </c>
      <c r="AG4597" s="55" t="n">
        <f aca="false">AE4597+ROW()*0.000000001</f>
        <v>45.9167626379356</v>
      </c>
    </row>
    <row r="4598" customFormat="false" ht="15" hidden="false" customHeight="false" outlineLevel="0" collapsed="false">
      <c r="A4598" s="0" t="n">
        <v>6</v>
      </c>
      <c r="B4598" s="0" t="n">
        <v>2</v>
      </c>
      <c r="C4598" s="0" t="n">
        <v>6</v>
      </c>
      <c r="D4598" s="0" t="n">
        <v>3</v>
      </c>
      <c r="E4598" s="0" t="n">
        <f aca="false">-1+A4598*0.25</f>
        <v>0.5</v>
      </c>
      <c r="F4598" s="0" t="n">
        <f aca="false">-1+B4598*0.25</f>
        <v>-0.5</v>
      </c>
      <c r="G4598" s="0" t="n">
        <f aca="false">-1+C4598*0.25</f>
        <v>0.5</v>
      </c>
      <c r="H4598" s="0" t="n">
        <f aca="false">-1+D4598*0.25</f>
        <v>-0.25</v>
      </c>
      <c r="I4598" s="0" t="n">
        <f aca="false">1</f>
        <v>1</v>
      </c>
      <c r="J4598" s="0" t="n">
        <f aca="false">E4598</f>
        <v>0.5</v>
      </c>
      <c r="K4598" s="0" t="n">
        <f aca="false">F4598</f>
        <v>-0.5</v>
      </c>
      <c r="L4598" s="0" t="n">
        <f aca="false">G4598</f>
        <v>0.5</v>
      </c>
      <c r="M4598" s="0" t="n">
        <f aca="false">H4598</f>
        <v>-0.25</v>
      </c>
      <c r="N4598" s="0" t="n">
        <f aca="false">E4598*F4598</f>
        <v>-0.25</v>
      </c>
      <c r="O4598" s="0" t="n">
        <f aca="false">E4598*G4598</f>
        <v>0.25</v>
      </c>
      <c r="P4598" s="0" t="n">
        <f aca="false">E4598*H4598</f>
        <v>-0.125</v>
      </c>
      <c r="Q4598" s="0" t="n">
        <f aca="false">F4598*G4598</f>
        <v>-0.25</v>
      </c>
      <c r="R4598" s="0" t="n">
        <f aca="false">F4598*H4598</f>
        <v>0.125</v>
      </c>
      <c r="S4598" s="0" t="n">
        <f aca="false">G4598*H4598</f>
        <v>-0.125</v>
      </c>
      <c r="T4598" s="0" t="n">
        <f aca="false">E4598*E4598</f>
        <v>0.25</v>
      </c>
      <c r="U4598" s="0" t="n">
        <f aca="false">F4598*F4598</f>
        <v>0.25</v>
      </c>
      <c r="V4598" s="0" t="n">
        <f aca="false">G4598*G4598</f>
        <v>0.25</v>
      </c>
      <c r="W4598" s="0" t="n">
        <f aca="false">H4598*H4598</f>
        <v>0.0625</v>
      </c>
      <c r="X4598" s="0" t="n">
        <f aca="false">SUMPRODUCT(I4598:W4598,_XtX!$B$96:$P$96)</f>
        <v>46.1679824561403</v>
      </c>
      <c r="Y4598" s="0" t="n">
        <f aca="false">SUMPRODUCT(MMULT(I4598:W4598,_XtX!$B$78:$P$92),I4598:W4598)</f>
        <v>0.133937545687135</v>
      </c>
      <c r="Z4598" s="0" t="n">
        <f aca="false">04_回帰ANOVA!$K$19*04_回帰ANOVA!$K$14*SQRT(1+Y4598)</f>
        <v>1.38801116780825</v>
      </c>
      <c r="AA4598" s="0" t="n">
        <f aca="false">X4598-Z4598</f>
        <v>44.7799712883321</v>
      </c>
      <c r="AB4598" s="0" t="n">
        <f aca="false">X4598+Z4598</f>
        <v>47.5559936239486</v>
      </c>
      <c r="AC4598" s="54" t="b">
        <f aca="false">AND(E4598&gt;=01_因子設定!$L$5-0.000000001,E4598&lt;=01_因子設定!$M$5+0.000000001,F4598&gt;=01_因子設定!$L$6-0.000000001,F4598&lt;=01_因子設定!$M$6+0.000000001,G4598&gt;=01_因子設定!$L$7-0.000000001,G4598&lt;=01_因子設定!$M$7+0.000000001,H4598&gt;=01_因子設定!$L$8-0.000000001,H4598&lt;=01_因子設定!$M$8+0.000000001,IF(01_因子設定!$B$20="Box-Behnken",E4598^2+F4598^2+G4598^2+H4598^2&lt;=2+0.000000001,TRUE()))</f>
        <v>1</v>
      </c>
      <c r="AD4598" s="55" t="n">
        <f aca="false">IF(AC4598,IF(01_因子設定!$B$13="最大化",AA4598-01_因子設定!$B$14,IF(01_因子設定!$B$13="最小化",01_因子設定!$B$15-AB4598,MIN(AA4598-01_因子設定!$B$14,01_因子設定!$B$15-AB4598))),-1E+030)</f>
        <v>-1.72002871166794</v>
      </c>
      <c r="AE4598" s="55" t="n">
        <f aca="false">IF(AC4598,IF(01_因子設定!$B$13="最大化",X4598,IF(01_因子設定!$B$13="最小化",-X4598,-ABS(X4598-01_因子設定!$B$16))),-1E+030)</f>
        <v>46.1679824561403</v>
      </c>
      <c r="AF4598" s="55" t="n">
        <f aca="false">AD4598+ROW()*0.000000001</f>
        <v>-1.72002411366794</v>
      </c>
      <c r="AG4598" s="55" t="n">
        <f aca="false">AE4598+ROW()*0.000000001</f>
        <v>46.1679870541403</v>
      </c>
    </row>
    <row r="4599" customFormat="false" ht="15" hidden="false" customHeight="false" outlineLevel="0" collapsed="false">
      <c r="A4599" s="0" t="n">
        <v>6</v>
      </c>
      <c r="B4599" s="0" t="n">
        <v>2</v>
      </c>
      <c r="C4599" s="0" t="n">
        <v>6</v>
      </c>
      <c r="D4599" s="0" t="n">
        <v>4</v>
      </c>
      <c r="E4599" s="0" t="n">
        <f aca="false">-1+A4599*0.25</f>
        <v>0.5</v>
      </c>
      <c r="F4599" s="0" t="n">
        <f aca="false">-1+B4599*0.25</f>
        <v>-0.5</v>
      </c>
      <c r="G4599" s="0" t="n">
        <f aca="false">-1+C4599*0.25</f>
        <v>0.5</v>
      </c>
      <c r="H4599" s="0" t="n">
        <f aca="false">-1+D4599*0.25</f>
        <v>0</v>
      </c>
      <c r="I4599" s="0" t="n">
        <f aca="false">1</f>
        <v>1</v>
      </c>
      <c r="J4599" s="0" t="n">
        <f aca="false">E4599</f>
        <v>0.5</v>
      </c>
      <c r="K4599" s="0" t="n">
        <f aca="false">F4599</f>
        <v>-0.5</v>
      </c>
      <c r="L4599" s="0" t="n">
        <f aca="false">G4599</f>
        <v>0.5</v>
      </c>
      <c r="M4599" s="0" t="n">
        <f aca="false">H4599</f>
        <v>0</v>
      </c>
      <c r="N4599" s="0" t="n">
        <f aca="false">E4599*F4599</f>
        <v>-0.25</v>
      </c>
      <c r="O4599" s="0" t="n">
        <f aca="false">E4599*G4599</f>
        <v>0.25</v>
      </c>
      <c r="P4599" s="0" t="n">
        <f aca="false">E4599*H4599</f>
        <v>0</v>
      </c>
      <c r="Q4599" s="0" t="n">
        <f aca="false">F4599*G4599</f>
        <v>-0.25</v>
      </c>
      <c r="R4599" s="0" t="n">
        <f aca="false">F4599*H4599</f>
        <v>-0</v>
      </c>
      <c r="S4599" s="0" t="n">
        <f aca="false">G4599*H4599</f>
        <v>0</v>
      </c>
      <c r="T4599" s="0" t="n">
        <f aca="false">E4599*E4599</f>
        <v>0.25</v>
      </c>
      <c r="U4599" s="0" t="n">
        <f aca="false">F4599*F4599</f>
        <v>0.25</v>
      </c>
      <c r="V4599" s="0" t="n">
        <f aca="false">G4599*G4599</f>
        <v>0.25</v>
      </c>
      <c r="W4599" s="0" t="n">
        <f aca="false">H4599*H4599</f>
        <v>0</v>
      </c>
      <c r="X4599" s="0" t="n">
        <f aca="false">SUMPRODUCT(I4599:W4599,_XtX!$B$96:$P$96)</f>
        <v>46.3713998538011</v>
      </c>
      <c r="Y4599" s="0" t="n">
        <f aca="false">SUMPRODUCT(MMULT(I4599:W4599,_XtX!$B$78:$P$92),I4599:W4599)</f>
        <v>0.140008223684211</v>
      </c>
      <c r="Z4599" s="0" t="n">
        <f aca="false">04_回帰ANOVA!$K$19*04_回帰ANOVA!$K$14*SQRT(1+Y4599)</f>
        <v>1.39172165492264</v>
      </c>
      <c r="AA4599" s="0" t="n">
        <f aca="false">X4599-Z4599</f>
        <v>44.9796781988785</v>
      </c>
      <c r="AB4599" s="0" t="n">
        <f aca="false">X4599+Z4599</f>
        <v>47.7631215087238</v>
      </c>
      <c r="AC4599" s="54" t="b">
        <f aca="false">AND(E4599&gt;=01_因子設定!$L$5-0.000000001,E4599&lt;=01_因子設定!$M$5+0.000000001,F4599&gt;=01_因子設定!$L$6-0.000000001,F4599&lt;=01_因子設定!$M$6+0.000000001,G4599&gt;=01_因子設定!$L$7-0.000000001,G4599&lt;=01_因子設定!$M$7+0.000000001,H4599&gt;=01_因子設定!$L$8-0.000000001,H4599&lt;=01_因子設定!$M$8+0.000000001,IF(01_因子設定!$B$20="Box-Behnken",E4599^2+F4599^2+G4599^2+H4599^2&lt;=2+0.000000001,TRUE()))</f>
        <v>1</v>
      </c>
      <c r="AD4599" s="55" t="n">
        <f aca="false">IF(AC4599,IF(01_因子設定!$B$13="最大化",AA4599-01_因子設定!$B$14,IF(01_因子設定!$B$13="最小化",01_因子設定!$B$15-AB4599,MIN(AA4599-01_因子設定!$B$14,01_因子設定!$B$15-AB4599))),-1E+030)</f>
        <v>-1.5203218011215</v>
      </c>
      <c r="AE4599" s="55" t="n">
        <f aca="false">IF(AC4599,IF(01_因子設定!$B$13="最大化",X4599,IF(01_因子設定!$B$13="最小化",-X4599,-ABS(X4599-01_因子設定!$B$16))),-1E+030)</f>
        <v>46.3713998538011</v>
      </c>
      <c r="AF4599" s="55" t="n">
        <f aca="false">AD4599+ROW()*0.000000001</f>
        <v>-1.5203172021215</v>
      </c>
      <c r="AG4599" s="55" t="n">
        <f aca="false">AE4599+ROW()*0.000000001</f>
        <v>46.3714044528011</v>
      </c>
    </row>
    <row r="4600" customFormat="false" ht="15" hidden="false" customHeight="false" outlineLevel="0" collapsed="false">
      <c r="A4600" s="0" t="n">
        <v>6</v>
      </c>
      <c r="B4600" s="0" t="n">
        <v>2</v>
      </c>
      <c r="C4600" s="0" t="n">
        <v>6</v>
      </c>
      <c r="D4600" s="0" t="n">
        <v>5</v>
      </c>
      <c r="E4600" s="0" t="n">
        <f aca="false">-1+A4600*0.25</f>
        <v>0.5</v>
      </c>
      <c r="F4600" s="0" t="n">
        <f aca="false">-1+B4600*0.25</f>
        <v>-0.5</v>
      </c>
      <c r="G4600" s="0" t="n">
        <f aca="false">-1+C4600*0.25</f>
        <v>0.5</v>
      </c>
      <c r="H4600" s="0" t="n">
        <f aca="false">-1+D4600*0.25</f>
        <v>0.25</v>
      </c>
      <c r="I4600" s="0" t="n">
        <f aca="false">1</f>
        <v>1</v>
      </c>
      <c r="J4600" s="0" t="n">
        <f aca="false">E4600</f>
        <v>0.5</v>
      </c>
      <c r="K4600" s="0" t="n">
        <f aca="false">F4600</f>
        <v>-0.5</v>
      </c>
      <c r="L4600" s="0" t="n">
        <f aca="false">G4600</f>
        <v>0.5</v>
      </c>
      <c r="M4600" s="0" t="n">
        <f aca="false">H4600</f>
        <v>0.25</v>
      </c>
      <c r="N4600" s="0" t="n">
        <f aca="false">E4600*F4600</f>
        <v>-0.25</v>
      </c>
      <c r="O4600" s="0" t="n">
        <f aca="false">E4600*G4600</f>
        <v>0.25</v>
      </c>
      <c r="P4600" s="0" t="n">
        <f aca="false">E4600*H4600</f>
        <v>0.125</v>
      </c>
      <c r="Q4600" s="0" t="n">
        <f aca="false">F4600*G4600</f>
        <v>-0.25</v>
      </c>
      <c r="R4600" s="0" t="n">
        <f aca="false">F4600*H4600</f>
        <v>-0.125</v>
      </c>
      <c r="S4600" s="0" t="n">
        <f aca="false">G4600*H4600</f>
        <v>0.125</v>
      </c>
      <c r="T4600" s="0" t="n">
        <f aca="false">E4600*E4600</f>
        <v>0.25</v>
      </c>
      <c r="U4600" s="0" t="n">
        <f aca="false">F4600*F4600</f>
        <v>0.25</v>
      </c>
      <c r="V4600" s="0" t="n">
        <f aca="false">G4600*G4600</f>
        <v>0.25</v>
      </c>
      <c r="W4600" s="0" t="n">
        <f aca="false">H4600*H4600</f>
        <v>0.0625</v>
      </c>
      <c r="X4600" s="0" t="n">
        <f aca="false">SUMPRODUCT(I4600:W4600,_XtX!$B$96:$P$96)</f>
        <v>46.5270102339181</v>
      </c>
      <c r="Y4600" s="0" t="n">
        <f aca="false">SUMPRODUCT(MMULT(I4600:W4600,_XtX!$B$78:$P$92),I4600:W4600)</f>
        <v>0.133937545687135</v>
      </c>
      <c r="Z4600" s="0" t="n">
        <f aca="false">04_回帰ANOVA!$K$19*04_回帰ANOVA!$K$14*SQRT(1+Y4600)</f>
        <v>1.38801116780825</v>
      </c>
      <c r="AA4600" s="0" t="n">
        <f aca="false">X4600-Z4600</f>
        <v>45.1389990661098</v>
      </c>
      <c r="AB4600" s="0" t="n">
        <f aca="false">X4600+Z4600</f>
        <v>47.9150214017263</v>
      </c>
      <c r="AC4600" s="54" t="b">
        <f aca="false">AND(E4600&gt;=01_因子設定!$L$5-0.000000001,E4600&lt;=01_因子設定!$M$5+0.000000001,F4600&gt;=01_因子設定!$L$6-0.000000001,F4600&lt;=01_因子設定!$M$6+0.000000001,G4600&gt;=01_因子設定!$L$7-0.000000001,G4600&lt;=01_因子設定!$M$7+0.000000001,H4600&gt;=01_因子設定!$L$8-0.000000001,H4600&lt;=01_因子設定!$M$8+0.000000001,IF(01_因子設定!$B$20="Box-Behnken",E4600^2+F4600^2+G4600^2+H4600^2&lt;=2+0.000000001,TRUE()))</f>
        <v>1</v>
      </c>
      <c r="AD4600" s="55" t="n">
        <f aca="false">IF(AC4600,IF(01_因子設定!$B$13="最大化",AA4600-01_因子設定!$B$14,IF(01_因子設定!$B$13="最小化",01_因子設定!$B$15-AB4600,MIN(AA4600-01_因子設定!$B$14,01_因子設定!$B$15-AB4600))),-1E+030)</f>
        <v>-1.36100093389016</v>
      </c>
      <c r="AE4600" s="55" t="n">
        <f aca="false">IF(AC4600,IF(01_因子設定!$B$13="最大化",X4600,IF(01_因子設定!$B$13="最小化",-X4600,-ABS(X4600-01_因子設定!$B$16))),-1E+030)</f>
        <v>46.5270102339181</v>
      </c>
      <c r="AF4600" s="55" t="n">
        <f aca="false">AD4600+ROW()*0.000000001</f>
        <v>-1.36099633389016</v>
      </c>
      <c r="AG4600" s="55" t="n">
        <f aca="false">AE4600+ROW()*0.000000001</f>
        <v>46.5270148339181</v>
      </c>
    </row>
    <row r="4601" customFormat="false" ht="15" hidden="false" customHeight="false" outlineLevel="0" collapsed="false">
      <c r="A4601" s="0" t="n">
        <v>6</v>
      </c>
      <c r="B4601" s="0" t="n">
        <v>2</v>
      </c>
      <c r="C4601" s="0" t="n">
        <v>6</v>
      </c>
      <c r="D4601" s="0" t="n">
        <v>6</v>
      </c>
      <c r="E4601" s="0" t="n">
        <f aca="false">-1+A4601*0.25</f>
        <v>0.5</v>
      </c>
      <c r="F4601" s="0" t="n">
        <f aca="false">-1+B4601*0.25</f>
        <v>-0.5</v>
      </c>
      <c r="G4601" s="0" t="n">
        <f aca="false">-1+C4601*0.25</f>
        <v>0.5</v>
      </c>
      <c r="H4601" s="0" t="n">
        <f aca="false">-1+D4601*0.25</f>
        <v>0.5</v>
      </c>
      <c r="I4601" s="0" t="n">
        <f aca="false">1</f>
        <v>1</v>
      </c>
      <c r="J4601" s="0" t="n">
        <f aca="false">E4601</f>
        <v>0.5</v>
      </c>
      <c r="K4601" s="0" t="n">
        <f aca="false">F4601</f>
        <v>-0.5</v>
      </c>
      <c r="L4601" s="0" t="n">
        <f aca="false">G4601</f>
        <v>0.5</v>
      </c>
      <c r="M4601" s="0" t="n">
        <f aca="false">H4601</f>
        <v>0.5</v>
      </c>
      <c r="N4601" s="0" t="n">
        <f aca="false">E4601*F4601</f>
        <v>-0.25</v>
      </c>
      <c r="O4601" s="0" t="n">
        <f aca="false">E4601*G4601</f>
        <v>0.25</v>
      </c>
      <c r="P4601" s="0" t="n">
        <f aca="false">E4601*H4601</f>
        <v>0.25</v>
      </c>
      <c r="Q4601" s="0" t="n">
        <f aca="false">F4601*G4601</f>
        <v>-0.25</v>
      </c>
      <c r="R4601" s="0" t="n">
        <f aca="false">F4601*H4601</f>
        <v>-0.25</v>
      </c>
      <c r="S4601" s="0" t="n">
        <f aca="false">G4601*H4601</f>
        <v>0.25</v>
      </c>
      <c r="T4601" s="0" t="n">
        <f aca="false">E4601*E4601</f>
        <v>0.25</v>
      </c>
      <c r="U4601" s="0" t="n">
        <f aca="false">F4601*F4601</f>
        <v>0.25</v>
      </c>
      <c r="V4601" s="0" t="n">
        <f aca="false">G4601*G4601</f>
        <v>0.25</v>
      </c>
      <c r="W4601" s="0" t="n">
        <f aca="false">H4601*H4601</f>
        <v>0.25</v>
      </c>
      <c r="X4601" s="0" t="n">
        <f aca="false">SUMPRODUCT(I4601:W4601,_XtX!$B$96:$P$96)</f>
        <v>46.6348135964912</v>
      </c>
      <c r="Y4601" s="0" t="n">
        <f aca="false">SUMPRODUCT(MMULT(I4601:W4601,_XtX!$B$78:$P$92),I4601:W4601)</f>
        <v>0.133817616959064</v>
      </c>
      <c r="Z4601" s="0" t="n">
        <f aca="false">04_回帰ANOVA!$K$19*04_回帰ANOVA!$K$14*SQRT(1+Y4601)</f>
        <v>1.38793776569887</v>
      </c>
      <c r="AA4601" s="0" t="n">
        <f aca="false">X4601-Z4601</f>
        <v>45.2468758307923</v>
      </c>
      <c r="AB4601" s="0" t="n">
        <f aca="false">X4601+Z4601</f>
        <v>48.0227513621901</v>
      </c>
      <c r="AC4601" s="54" t="b">
        <f aca="false">AND(E4601&gt;=01_因子設定!$L$5-0.000000001,E4601&lt;=01_因子設定!$M$5+0.000000001,F4601&gt;=01_因子設定!$L$6-0.000000001,F4601&lt;=01_因子設定!$M$6+0.000000001,G4601&gt;=01_因子設定!$L$7-0.000000001,G4601&lt;=01_因子設定!$M$7+0.000000001,H4601&gt;=01_因子設定!$L$8-0.000000001,H4601&lt;=01_因子設定!$M$8+0.000000001,IF(01_因子設定!$B$20="Box-Behnken",E4601^2+F4601^2+G4601^2+H4601^2&lt;=2+0.000000001,TRUE()))</f>
        <v>1</v>
      </c>
      <c r="AD4601" s="55" t="n">
        <f aca="false">IF(AC4601,IF(01_因子設定!$B$13="最大化",AA4601-01_因子設定!$B$14,IF(01_因子設定!$B$13="最小化",01_因子設定!$B$15-AB4601,MIN(AA4601-01_因子設定!$B$14,01_因子設定!$B$15-AB4601))),-1E+030)</f>
        <v>-1.25312416920767</v>
      </c>
      <c r="AE4601" s="55" t="n">
        <f aca="false">IF(AC4601,IF(01_因子設定!$B$13="最大化",X4601,IF(01_因子設定!$B$13="最小化",-X4601,-ABS(X4601-01_因子設定!$B$16))),-1E+030)</f>
        <v>46.6348135964912</v>
      </c>
      <c r="AF4601" s="55" t="n">
        <f aca="false">AD4601+ROW()*0.000000001</f>
        <v>-1.25311956820767</v>
      </c>
      <c r="AG4601" s="55" t="n">
        <f aca="false">AE4601+ROW()*0.000000001</f>
        <v>46.6348181974912</v>
      </c>
    </row>
    <row r="4602" customFormat="false" ht="15" hidden="false" customHeight="false" outlineLevel="0" collapsed="false">
      <c r="A4602" s="0" t="n">
        <v>6</v>
      </c>
      <c r="B4602" s="0" t="n">
        <v>2</v>
      </c>
      <c r="C4602" s="0" t="n">
        <v>6</v>
      </c>
      <c r="D4602" s="0" t="n">
        <v>7</v>
      </c>
      <c r="E4602" s="0" t="n">
        <f aca="false">-1+A4602*0.25</f>
        <v>0.5</v>
      </c>
      <c r="F4602" s="0" t="n">
        <f aca="false">-1+B4602*0.25</f>
        <v>-0.5</v>
      </c>
      <c r="G4602" s="0" t="n">
        <f aca="false">-1+C4602*0.25</f>
        <v>0.5</v>
      </c>
      <c r="H4602" s="0" t="n">
        <f aca="false">-1+D4602*0.25</f>
        <v>0.75</v>
      </c>
      <c r="I4602" s="0" t="n">
        <f aca="false">1</f>
        <v>1</v>
      </c>
      <c r="J4602" s="0" t="n">
        <f aca="false">E4602</f>
        <v>0.5</v>
      </c>
      <c r="K4602" s="0" t="n">
        <f aca="false">F4602</f>
        <v>-0.5</v>
      </c>
      <c r="L4602" s="0" t="n">
        <f aca="false">G4602</f>
        <v>0.5</v>
      </c>
      <c r="M4602" s="0" t="n">
        <f aca="false">H4602</f>
        <v>0.75</v>
      </c>
      <c r="N4602" s="0" t="n">
        <f aca="false">E4602*F4602</f>
        <v>-0.25</v>
      </c>
      <c r="O4602" s="0" t="n">
        <f aca="false">E4602*G4602</f>
        <v>0.25</v>
      </c>
      <c r="P4602" s="0" t="n">
        <f aca="false">E4602*H4602</f>
        <v>0.375</v>
      </c>
      <c r="Q4602" s="0" t="n">
        <f aca="false">F4602*G4602</f>
        <v>-0.25</v>
      </c>
      <c r="R4602" s="0" t="n">
        <f aca="false">F4602*H4602</f>
        <v>-0.375</v>
      </c>
      <c r="S4602" s="0" t="n">
        <f aca="false">G4602*H4602</f>
        <v>0.375</v>
      </c>
      <c r="T4602" s="0" t="n">
        <f aca="false">E4602*E4602</f>
        <v>0.25</v>
      </c>
      <c r="U4602" s="0" t="n">
        <f aca="false">F4602*F4602</f>
        <v>0.25</v>
      </c>
      <c r="V4602" s="0" t="n">
        <f aca="false">G4602*G4602</f>
        <v>0.25</v>
      </c>
      <c r="W4602" s="0" t="n">
        <f aca="false">H4602*H4602</f>
        <v>0.5625</v>
      </c>
      <c r="X4602" s="0" t="n">
        <f aca="false">SUMPRODUCT(I4602:W4602,_XtX!$B$96:$P$96)</f>
        <v>46.6948099415205</v>
      </c>
      <c r="Y4602" s="0" t="n">
        <f aca="false">SUMPRODUCT(MMULT(I4602:W4602,_XtX!$B$78:$P$92),I4602:W4602)</f>
        <v>0.193924753289474</v>
      </c>
      <c r="Z4602" s="0" t="n">
        <f aca="false">04_回帰ANOVA!$K$19*04_回帰ANOVA!$K$14*SQRT(1+Y4602)</f>
        <v>1.4242521079916</v>
      </c>
      <c r="AA4602" s="0" t="n">
        <f aca="false">X4602-Z4602</f>
        <v>45.2705578335289</v>
      </c>
      <c r="AB4602" s="0" t="n">
        <f aca="false">X4602+Z4602</f>
        <v>48.119062049512</v>
      </c>
      <c r="AC4602" s="54" t="b">
        <f aca="false">AND(E4602&gt;=01_因子設定!$L$5-0.000000001,E4602&lt;=01_因子設定!$M$5+0.000000001,F4602&gt;=01_因子設定!$L$6-0.000000001,F4602&lt;=01_因子設定!$M$6+0.000000001,G4602&gt;=01_因子設定!$L$7-0.000000001,G4602&lt;=01_因子設定!$M$7+0.000000001,H4602&gt;=01_因子設定!$L$8-0.000000001,H4602&lt;=01_因子設定!$M$8+0.000000001,IF(01_因子設定!$B$20="Box-Behnken",E4602^2+F4602^2+G4602^2+H4602^2&lt;=2+0.000000001,TRUE()))</f>
        <v>1</v>
      </c>
      <c r="AD4602" s="55" t="n">
        <f aca="false">IF(AC4602,IF(01_因子設定!$B$13="最大化",AA4602-01_因子設定!$B$14,IF(01_因子設定!$B$13="最小化",01_因子設定!$B$15-AB4602,MIN(AA4602-01_因子設定!$B$14,01_因子設定!$B$15-AB4602))),-1E+030)</f>
        <v>-1.22944216647115</v>
      </c>
      <c r="AE4602" s="55" t="n">
        <f aca="false">IF(AC4602,IF(01_因子設定!$B$13="最大化",X4602,IF(01_因子設定!$B$13="最小化",-X4602,-ABS(X4602-01_因子設定!$B$16))),-1E+030)</f>
        <v>46.6948099415205</v>
      </c>
      <c r="AF4602" s="55" t="n">
        <f aca="false">AD4602+ROW()*0.000000001</f>
        <v>-1.22943756447115</v>
      </c>
      <c r="AG4602" s="55" t="n">
        <f aca="false">AE4602+ROW()*0.000000001</f>
        <v>46.6948145435204</v>
      </c>
    </row>
    <row r="4603" customFormat="false" ht="15" hidden="false" customHeight="false" outlineLevel="0" collapsed="false">
      <c r="A4603" s="0" t="n">
        <v>6</v>
      </c>
      <c r="B4603" s="0" t="n">
        <v>2</v>
      </c>
      <c r="C4603" s="0" t="n">
        <v>6</v>
      </c>
      <c r="D4603" s="0" t="n">
        <v>8</v>
      </c>
      <c r="E4603" s="0" t="n">
        <f aca="false">-1+A4603*0.25</f>
        <v>0.5</v>
      </c>
      <c r="F4603" s="0" t="n">
        <f aca="false">-1+B4603*0.25</f>
        <v>-0.5</v>
      </c>
      <c r="G4603" s="0" t="n">
        <f aca="false">-1+C4603*0.25</f>
        <v>0.5</v>
      </c>
      <c r="H4603" s="0" t="n">
        <f aca="false">-1+D4603*0.25</f>
        <v>1</v>
      </c>
      <c r="I4603" s="0" t="n">
        <f aca="false">1</f>
        <v>1</v>
      </c>
      <c r="J4603" s="0" t="n">
        <f aca="false">E4603</f>
        <v>0.5</v>
      </c>
      <c r="K4603" s="0" t="n">
        <f aca="false">F4603</f>
        <v>-0.5</v>
      </c>
      <c r="L4603" s="0" t="n">
        <f aca="false">G4603</f>
        <v>0.5</v>
      </c>
      <c r="M4603" s="0" t="n">
        <f aca="false">H4603</f>
        <v>1</v>
      </c>
      <c r="N4603" s="0" t="n">
        <f aca="false">E4603*F4603</f>
        <v>-0.25</v>
      </c>
      <c r="O4603" s="0" t="n">
        <f aca="false">E4603*G4603</f>
        <v>0.25</v>
      </c>
      <c r="P4603" s="0" t="n">
        <f aca="false">E4603*H4603</f>
        <v>0.5</v>
      </c>
      <c r="Q4603" s="0" t="n">
        <f aca="false">F4603*G4603</f>
        <v>-0.25</v>
      </c>
      <c r="R4603" s="0" t="n">
        <f aca="false">F4603*H4603</f>
        <v>-0.5</v>
      </c>
      <c r="S4603" s="0" t="n">
        <f aca="false">G4603*H4603</f>
        <v>0.5</v>
      </c>
      <c r="T4603" s="0" t="n">
        <f aca="false">E4603*E4603</f>
        <v>0.25</v>
      </c>
      <c r="U4603" s="0" t="n">
        <f aca="false">F4603*F4603</f>
        <v>0.25</v>
      </c>
      <c r="V4603" s="0" t="n">
        <f aca="false">G4603*G4603</f>
        <v>0.25</v>
      </c>
      <c r="W4603" s="0" t="n">
        <f aca="false">H4603*H4603</f>
        <v>1</v>
      </c>
      <c r="X4603" s="0" t="n">
        <f aca="false">SUMPRODUCT(I4603:W4603,_XtX!$B$96:$P$96)</f>
        <v>46.7069992690058</v>
      </c>
      <c r="Y4603" s="0" t="n">
        <f aca="false">SUMPRODUCT(MMULT(I4603:W4603,_XtX!$B$78:$P$92),I4603:W4603)</f>
        <v>0.404719480994152</v>
      </c>
      <c r="Z4603" s="0" t="n">
        <f aca="false">04_回帰ANOVA!$K$19*04_回帰ANOVA!$K$14*SQRT(1+Y4603)</f>
        <v>1.54487446697867</v>
      </c>
      <c r="AA4603" s="0" t="n">
        <f aca="false">X4603-Z4603</f>
        <v>45.1621248020272</v>
      </c>
      <c r="AB4603" s="0" t="n">
        <f aca="false">X4603+Z4603</f>
        <v>48.2518737359845</v>
      </c>
      <c r="AC4603" s="54" t="b">
        <f aca="false">AND(E4603&gt;=01_因子設定!$L$5-0.000000001,E4603&lt;=01_因子設定!$M$5+0.000000001,F4603&gt;=01_因子設定!$L$6-0.000000001,F4603&lt;=01_因子設定!$M$6+0.000000001,G4603&gt;=01_因子設定!$L$7-0.000000001,G4603&lt;=01_因子設定!$M$7+0.000000001,H4603&gt;=01_因子設定!$L$8-0.000000001,H4603&lt;=01_因子設定!$M$8+0.000000001,IF(01_因子設定!$B$20="Box-Behnken",E4603^2+F4603^2+G4603^2+H4603^2&lt;=2+0.000000001,TRUE()))</f>
        <v>1</v>
      </c>
      <c r="AD4603" s="55" t="n">
        <f aca="false">IF(AC4603,IF(01_因子設定!$B$13="最大化",AA4603-01_因子設定!$B$14,IF(01_因子設定!$B$13="最小化",01_因子設定!$B$15-AB4603,MIN(AA4603-01_因子設定!$B$14,01_因子設定!$B$15-AB4603))),-1E+030)</f>
        <v>-1.33787519797284</v>
      </c>
      <c r="AE4603" s="55" t="n">
        <f aca="false">IF(AC4603,IF(01_因子設定!$B$13="最大化",X4603,IF(01_因子設定!$B$13="最小化",-X4603,-ABS(X4603-01_因子設定!$B$16))),-1E+030)</f>
        <v>46.7069992690058</v>
      </c>
      <c r="AF4603" s="55" t="n">
        <f aca="false">AD4603+ROW()*0.000000001</f>
        <v>-1.33787059497284</v>
      </c>
      <c r="AG4603" s="55" t="n">
        <f aca="false">AE4603+ROW()*0.000000001</f>
        <v>46.7070038720058</v>
      </c>
    </row>
    <row r="4604" customFormat="false" ht="15" hidden="false" customHeight="false" outlineLevel="0" collapsed="false">
      <c r="A4604" s="0" t="n">
        <v>6</v>
      </c>
      <c r="B4604" s="0" t="n">
        <v>2</v>
      </c>
      <c r="C4604" s="0" t="n">
        <v>7</v>
      </c>
      <c r="D4604" s="0" t="n">
        <v>0</v>
      </c>
      <c r="E4604" s="0" t="n">
        <f aca="false">-1+A4604*0.25</f>
        <v>0.5</v>
      </c>
      <c r="F4604" s="0" t="n">
        <f aca="false">-1+B4604*0.25</f>
        <v>-0.5</v>
      </c>
      <c r="G4604" s="0" t="n">
        <f aca="false">-1+C4604*0.25</f>
        <v>0.75</v>
      </c>
      <c r="H4604" s="0" t="n">
        <f aca="false">-1+D4604*0.25</f>
        <v>-1</v>
      </c>
      <c r="I4604" s="0" t="n">
        <f aca="false">1</f>
        <v>1</v>
      </c>
      <c r="J4604" s="0" t="n">
        <f aca="false">E4604</f>
        <v>0.5</v>
      </c>
      <c r="K4604" s="0" t="n">
        <f aca="false">F4604</f>
        <v>-0.5</v>
      </c>
      <c r="L4604" s="0" t="n">
        <f aca="false">G4604</f>
        <v>0.75</v>
      </c>
      <c r="M4604" s="0" t="n">
        <f aca="false">H4604</f>
        <v>-1</v>
      </c>
      <c r="N4604" s="0" t="n">
        <f aca="false">E4604*F4604</f>
        <v>-0.25</v>
      </c>
      <c r="O4604" s="0" t="n">
        <f aca="false">E4604*G4604</f>
        <v>0.375</v>
      </c>
      <c r="P4604" s="0" t="n">
        <f aca="false">E4604*H4604</f>
        <v>-0.5</v>
      </c>
      <c r="Q4604" s="0" t="n">
        <f aca="false">F4604*G4604</f>
        <v>-0.375</v>
      </c>
      <c r="R4604" s="0" t="n">
        <f aca="false">F4604*H4604</f>
        <v>0.5</v>
      </c>
      <c r="S4604" s="0" t="n">
        <f aca="false">G4604*H4604</f>
        <v>-0.75</v>
      </c>
      <c r="T4604" s="0" t="n">
        <f aca="false">E4604*E4604</f>
        <v>0.25</v>
      </c>
      <c r="U4604" s="0" t="n">
        <f aca="false">F4604*F4604</f>
        <v>0.25</v>
      </c>
      <c r="V4604" s="0" t="n">
        <f aca="false">G4604*G4604</f>
        <v>0.5625</v>
      </c>
      <c r="W4604" s="0" t="n">
        <f aca="false">H4604*H4604</f>
        <v>1</v>
      </c>
      <c r="X4604" s="0" t="n">
        <f aca="false">SUMPRODUCT(I4604:W4604,_XtX!$B$96:$P$96)</f>
        <v>45.1112664473684</v>
      </c>
      <c r="Y4604" s="0" t="n">
        <f aca="false">SUMPRODUCT(MMULT(I4604:W4604,_XtX!$B$78:$P$92),I4604:W4604)</f>
        <v>0.42602110745614</v>
      </c>
      <c r="Z4604" s="0" t="n">
        <f aca="false">04_回帰ANOVA!$K$19*04_回帰ANOVA!$K$14*SQRT(1+Y4604)</f>
        <v>1.55654388501114</v>
      </c>
      <c r="AA4604" s="0" t="n">
        <f aca="false">X4604-Z4604</f>
        <v>43.5547225623573</v>
      </c>
      <c r="AB4604" s="0" t="n">
        <f aca="false">X4604+Z4604</f>
        <v>46.6678103323796</v>
      </c>
      <c r="AC4604" s="54" t="b">
        <f aca="false">AND(E4604&gt;=01_因子設定!$L$5-0.000000001,E4604&lt;=01_因子設定!$M$5+0.000000001,F4604&gt;=01_因子設定!$L$6-0.000000001,F4604&lt;=01_因子設定!$M$6+0.000000001,G4604&gt;=01_因子設定!$L$7-0.000000001,G4604&lt;=01_因子設定!$M$7+0.000000001,H4604&gt;=01_因子設定!$L$8-0.000000001,H4604&lt;=01_因子設定!$M$8+0.000000001,IF(01_因子設定!$B$20="Box-Behnken",E4604^2+F4604^2+G4604^2+H4604^2&lt;=2+0.000000001,TRUE()))</f>
        <v>1</v>
      </c>
      <c r="AD4604" s="55" t="n">
        <f aca="false">IF(AC4604,IF(01_因子設定!$B$13="最大化",AA4604-01_因子設定!$B$14,IF(01_因子設定!$B$13="最小化",01_因子設定!$B$15-AB4604,MIN(AA4604-01_因子設定!$B$14,01_因子設定!$B$15-AB4604))),-1E+030)</f>
        <v>-2.94527743764272</v>
      </c>
      <c r="AE4604" s="55" t="n">
        <f aca="false">IF(AC4604,IF(01_因子設定!$B$13="最大化",X4604,IF(01_因子設定!$B$13="最小化",-X4604,-ABS(X4604-01_因子設定!$B$16))),-1E+030)</f>
        <v>45.1112664473684</v>
      </c>
      <c r="AF4604" s="55" t="n">
        <f aca="false">AD4604+ROW()*0.000000001</f>
        <v>-2.94527283364272</v>
      </c>
      <c r="AG4604" s="55" t="n">
        <f aca="false">AE4604+ROW()*0.000000001</f>
        <v>45.1112710513684</v>
      </c>
    </row>
    <row r="4605" customFormat="false" ht="15" hidden="false" customHeight="false" outlineLevel="0" collapsed="false">
      <c r="A4605" s="0" t="n">
        <v>6</v>
      </c>
      <c r="B4605" s="0" t="n">
        <v>2</v>
      </c>
      <c r="C4605" s="0" t="n">
        <v>7</v>
      </c>
      <c r="D4605" s="0" t="n">
        <v>1</v>
      </c>
      <c r="E4605" s="0" t="n">
        <f aca="false">-1+A4605*0.25</f>
        <v>0.5</v>
      </c>
      <c r="F4605" s="0" t="n">
        <f aca="false">-1+B4605*0.25</f>
        <v>-0.5</v>
      </c>
      <c r="G4605" s="0" t="n">
        <f aca="false">-1+C4605*0.25</f>
        <v>0.75</v>
      </c>
      <c r="H4605" s="0" t="n">
        <f aca="false">-1+D4605*0.25</f>
        <v>-0.75</v>
      </c>
      <c r="I4605" s="0" t="n">
        <f aca="false">1</f>
        <v>1</v>
      </c>
      <c r="J4605" s="0" t="n">
        <f aca="false">E4605</f>
        <v>0.5</v>
      </c>
      <c r="K4605" s="0" t="n">
        <f aca="false">F4605</f>
        <v>-0.5</v>
      </c>
      <c r="L4605" s="0" t="n">
        <f aca="false">G4605</f>
        <v>0.75</v>
      </c>
      <c r="M4605" s="0" t="n">
        <f aca="false">H4605</f>
        <v>-0.75</v>
      </c>
      <c r="N4605" s="0" t="n">
        <f aca="false">E4605*F4605</f>
        <v>-0.25</v>
      </c>
      <c r="O4605" s="0" t="n">
        <f aca="false">E4605*G4605</f>
        <v>0.375</v>
      </c>
      <c r="P4605" s="0" t="n">
        <f aca="false">E4605*H4605</f>
        <v>-0.375</v>
      </c>
      <c r="Q4605" s="0" t="n">
        <f aca="false">F4605*G4605</f>
        <v>-0.375</v>
      </c>
      <c r="R4605" s="0" t="n">
        <f aca="false">F4605*H4605</f>
        <v>0.375</v>
      </c>
      <c r="S4605" s="0" t="n">
        <f aca="false">G4605*H4605</f>
        <v>-0.5625</v>
      </c>
      <c r="T4605" s="0" t="n">
        <f aca="false">E4605*E4605</f>
        <v>0.25</v>
      </c>
      <c r="U4605" s="0" t="n">
        <f aca="false">F4605*F4605</f>
        <v>0.25</v>
      </c>
      <c r="V4605" s="0" t="n">
        <f aca="false">G4605*G4605</f>
        <v>0.5625</v>
      </c>
      <c r="W4605" s="0" t="n">
        <f aca="false">H4605*H4605</f>
        <v>0.5625</v>
      </c>
      <c r="X4605" s="0" t="n">
        <f aca="false">SUMPRODUCT(I4605:W4605,_XtX!$B$96:$P$96)</f>
        <v>45.4760736476608</v>
      </c>
      <c r="Y4605" s="0" t="n">
        <f aca="false">SUMPRODUCT(MMULT(I4605:W4605,_XtX!$B$78:$P$92),I4605:W4605)</f>
        <v>0.237862927174708</v>
      </c>
      <c r="Z4605" s="0" t="n">
        <f aca="false">04_回帰ANOVA!$K$19*04_回帰ANOVA!$K$14*SQRT(1+Y4605)</f>
        <v>1.45022260708756</v>
      </c>
      <c r="AA4605" s="0" t="n">
        <f aca="false">X4605-Z4605</f>
        <v>44.0258510405732</v>
      </c>
      <c r="AB4605" s="0" t="n">
        <f aca="false">X4605+Z4605</f>
        <v>46.9262962547484</v>
      </c>
      <c r="AC4605" s="54" t="b">
        <f aca="false">AND(E4605&gt;=01_因子設定!$L$5-0.000000001,E4605&lt;=01_因子設定!$M$5+0.000000001,F4605&gt;=01_因子設定!$L$6-0.000000001,F4605&lt;=01_因子設定!$M$6+0.000000001,G4605&gt;=01_因子設定!$L$7-0.000000001,G4605&lt;=01_因子設定!$M$7+0.000000001,H4605&gt;=01_因子設定!$L$8-0.000000001,H4605&lt;=01_因子設定!$M$8+0.000000001,IF(01_因子設定!$B$20="Box-Behnken",E4605^2+F4605^2+G4605^2+H4605^2&lt;=2+0.000000001,TRUE()))</f>
        <v>1</v>
      </c>
      <c r="AD4605" s="55" t="n">
        <f aca="false">IF(AC4605,IF(01_因子設定!$B$13="最大化",AA4605-01_因子設定!$B$14,IF(01_因子設定!$B$13="最小化",01_因子設定!$B$15-AB4605,MIN(AA4605-01_因子設定!$B$14,01_因子設定!$B$15-AB4605))),-1E+030)</f>
        <v>-2.47414895942676</v>
      </c>
      <c r="AE4605" s="55" t="n">
        <f aca="false">IF(AC4605,IF(01_因子設定!$B$13="最大化",X4605,IF(01_因子設定!$B$13="最小化",-X4605,-ABS(X4605-01_因子設定!$B$16))),-1E+030)</f>
        <v>45.4760736476608</v>
      </c>
      <c r="AF4605" s="55" t="n">
        <f aca="false">AD4605+ROW()*0.000000001</f>
        <v>-2.47414435442676</v>
      </c>
      <c r="AG4605" s="55" t="n">
        <f aca="false">AE4605+ROW()*0.000000001</f>
        <v>45.4760782526608</v>
      </c>
    </row>
    <row r="4606" customFormat="false" ht="15" hidden="false" customHeight="false" outlineLevel="0" collapsed="false">
      <c r="A4606" s="0" t="n">
        <v>6</v>
      </c>
      <c r="B4606" s="0" t="n">
        <v>2</v>
      </c>
      <c r="C4606" s="0" t="n">
        <v>7</v>
      </c>
      <c r="D4606" s="0" t="n">
        <v>2</v>
      </c>
      <c r="E4606" s="0" t="n">
        <f aca="false">-1+A4606*0.25</f>
        <v>0.5</v>
      </c>
      <c r="F4606" s="0" t="n">
        <f aca="false">-1+B4606*0.25</f>
        <v>-0.5</v>
      </c>
      <c r="G4606" s="0" t="n">
        <f aca="false">-1+C4606*0.25</f>
        <v>0.75</v>
      </c>
      <c r="H4606" s="0" t="n">
        <f aca="false">-1+D4606*0.25</f>
        <v>-0.5</v>
      </c>
      <c r="I4606" s="0" t="n">
        <f aca="false">1</f>
        <v>1</v>
      </c>
      <c r="J4606" s="0" t="n">
        <f aca="false">E4606</f>
        <v>0.5</v>
      </c>
      <c r="K4606" s="0" t="n">
        <f aca="false">F4606</f>
        <v>-0.5</v>
      </c>
      <c r="L4606" s="0" t="n">
        <f aca="false">G4606</f>
        <v>0.75</v>
      </c>
      <c r="M4606" s="0" t="n">
        <f aca="false">H4606</f>
        <v>-0.5</v>
      </c>
      <c r="N4606" s="0" t="n">
        <f aca="false">E4606*F4606</f>
        <v>-0.25</v>
      </c>
      <c r="O4606" s="0" t="n">
        <f aca="false">E4606*G4606</f>
        <v>0.375</v>
      </c>
      <c r="P4606" s="0" t="n">
        <f aca="false">E4606*H4606</f>
        <v>-0.25</v>
      </c>
      <c r="Q4606" s="0" t="n">
        <f aca="false">F4606*G4606</f>
        <v>-0.375</v>
      </c>
      <c r="R4606" s="0" t="n">
        <f aca="false">F4606*H4606</f>
        <v>0.25</v>
      </c>
      <c r="S4606" s="0" t="n">
        <f aca="false">G4606*H4606</f>
        <v>-0.375</v>
      </c>
      <c r="T4606" s="0" t="n">
        <f aca="false">E4606*E4606</f>
        <v>0.25</v>
      </c>
      <c r="U4606" s="0" t="n">
        <f aca="false">F4606*F4606</f>
        <v>0.25</v>
      </c>
      <c r="V4606" s="0" t="n">
        <f aca="false">G4606*G4606</f>
        <v>0.5625</v>
      </c>
      <c r="W4606" s="0" t="n">
        <f aca="false">H4606*H4606</f>
        <v>0.25</v>
      </c>
      <c r="X4606" s="0" t="n">
        <f aca="false">SUMPRODUCT(I4606:W4606,_XtX!$B$96:$P$96)</f>
        <v>45.7930738304093</v>
      </c>
      <c r="Y4606" s="0" t="n">
        <f aca="false">SUMPRODUCT(MMULT(I4606:W4606,_XtX!$B$78:$P$92),I4606:W4606)</f>
        <v>0.193924753289474</v>
      </c>
      <c r="Z4606" s="0" t="n">
        <f aca="false">04_回帰ANOVA!$K$19*04_回帰ANOVA!$K$14*SQRT(1+Y4606)</f>
        <v>1.4242521079916</v>
      </c>
      <c r="AA4606" s="0" t="n">
        <f aca="false">X4606-Z4606</f>
        <v>44.3688217224177</v>
      </c>
      <c r="AB4606" s="0" t="n">
        <f aca="false">X4606+Z4606</f>
        <v>47.2173259384009</v>
      </c>
      <c r="AC4606" s="54" t="b">
        <f aca="false">AND(E4606&gt;=01_因子設定!$L$5-0.000000001,E4606&lt;=01_因子設定!$M$5+0.000000001,F4606&gt;=01_因子設定!$L$6-0.000000001,F4606&lt;=01_因子設定!$M$6+0.000000001,G4606&gt;=01_因子設定!$L$7-0.000000001,G4606&lt;=01_因子設定!$M$7+0.000000001,H4606&gt;=01_因子設定!$L$8-0.000000001,H4606&lt;=01_因子設定!$M$8+0.000000001,IF(01_因子設定!$B$20="Box-Behnken",E4606^2+F4606^2+G4606^2+H4606^2&lt;=2+0.000000001,TRUE()))</f>
        <v>1</v>
      </c>
      <c r="AD4606" s="55" t="n">
        <f aca="false">IF(AC4606,IF(01_因子設定!$B$13="最大化",AA4606-01_因子設定!$B$14,IF(01_因子設定!$B$13="最小化",01_因子設定!$B$15-AB4606,MIN(AA4606-01_因子設定!$B$14,01_因子設定!$B$15-AB4606))),-1E+030)</f>
        <v>-2.13117827758227</v>
      </c>
      <c r="AE4606" s="55" t="n">
        <f aca="false">IF(AC4606,IF(01_因子設定!$B$13="最大化",X4606,IF(01_因子設定!$B$13="最小化",-X4606,-ABS(X4606-01_因子設定!$B$16))),-1E+030)</f>
        <v>45.7930738304093</v>
      </c>
      <c r="AF4606" s="55" t="n">
        <f aca="false">AD4606+ROW()*0.000000001</f>
        <v>-2.13117367158227</v>
      </c>
      <c r="AG4606" s="55" t="n">
        <f aca="false">AE4606+ROW()*0.000000001</f>
        <v>45.7930784364093</v>
      </c>
    </row>
    <row r="4607" customFormat="false" ht="15" hidden="false" customHeight="false" outlineLevel="0" collapsed="false">
      <c r="A4607" s="0" t="n">
        <v>6</v>
      </c>
      <c r="B4607" s="0" t="n">
        <v>2</v>
      </c>
      <c r="C4607" s="0" t="n">
        <v>7</v>
      </c>
      <c r="D4607" s="0" t="n">
        <v>3</v>
      </c>
      <c r="E4607" s="0" t="n">
        <f aca="false">-1+A4607*0.25</f>
        <v>0.5</v>
      </c>
      <c r="F4607" s="0" t="n">
        <f aca="false">-1+B4607*0.25</f>
        <v>-0.5</v>
      </c>
      <c r="G4607" s="0" t="n">
        <f aca="false">-1+C4607*0.25</f>
        <v>0.75</v>
      </c>
      <c r="H4607" s="0" t="n">
        <f aca="false">-1+D4607*0.25</f>
        <v>-0.25</v>
      </c>
      <c r="I4607" s="0" t="n">
        <f aca="false">1</f>
        <v>1</v>
      </c>
      <c r="J4607" s="0" t="n">
        <f aca="false">E4607</f>
        <v>0.5</v>
      </c>
      <c r="K4607" s="0" t="n">
        <f aca="false">F4607</f>
        <v>-0.5</v>
      </c>
      <c r="L4607" s="0" t="n">
        <f aca="false">G4607</f>
        <v>0.75</v>
      </c>
      <c r="M4607" s="0" t="n">
        <f aca="false">H4607</f>
        <v>-0.25</v>
      </c>
      <c r="N4607" s="0" t="n">
        <f aca="false">E4607*F4607</f>
        <v>-0.25</v>
      </c>
      <c r="O4607" s="0" t="n">
        <f aca="false">E4607*G4607</f>
        <v>0.375</v>
      </c>
      <c r="P4607" s="0" t="n">
        <f aca="false">E4607*H4607</f>
        <v>-0.125</v>
      </c>
      <c r="Q4607" s="0" t="n">
        <f aca="false">F4607*G4607</f>
        <v>-0.375</v>
      </c>
      <c r="R4607" s="0" t="n">
        <f aca="false">F4607*H4607</f>
        <v>0.125</v>
      </c>
      <c r="S4607" s="0" t="n">
        <f aca="false">G4607*H4607</f>
        <v>-0.1875</v>
      </c>
      <c r="T4607" s="0" t="n">
        <f aca="false">E4607*E4607</f>
        <v>0.25</v>
      </c>
      <c r="U4607" s="0" t="n">
        <f aca="false">F4607*F4607</f>
        <v>0.25</v>
      </c>
      <c r="V4607" s="0" t="n">
        <f aca="false">G4607*G4607</f>
        <v>0.5625</v>
      </c>
      <c r="W4607" s="0" t="n">
        <f aca="false">H4607*H4607</f>
        <v>0.0625</v>
      </c>
      <c r="X4607" s="0" t="n">
        <f aca="false">SUMPRODUCT(I4607:W4607,_XtX!$B$96:$P$96)</f>
        <v>46.062266995614</v>
      </c>
      <c r="Y4607" s="0" t="n">
        <f aca="false">SUMPRODUCT(MMULT(I4607:W4607,_XtX!$B$78:$P$92),I4607:W4607)</f>
        <v>0.203746059484649</v>
      </c>
      <c r="Z4607" s="0" t="n">
        <f aca="false">04_回帰ANOVA!$K$19*04_回帰ANOVA!$K$14*SQRT(1+Y4607)</f>
        <v>1.43009810755465</v>
      </c>
      <c r="AA4607" s="0" t="n">
        <f aca="false">X4607-Z4607</f>
        <v>44.6321688880594</v>
      </c>
      <c r="AB4607" s="0" t="n">
        <f aca="false">X4607+Z4607</f>
        <v>47.4923651031686</v>
      </c>
      <c r="AC4607" s="54" t="b">
        <f aca="false">AND(E4607&gt;=01_因子設定!$L$5-0.000000001,E4607&lt;=01_因子設定!$M$5+0.000000001,F4607&gt;=01_因子設定!$L$6-0.000000001,F4607&lt;=01_因子設定!$M$6+0.000000001,G4607&gt;=01_因子設定!$L$7-0.000000001,G4607&lt;=01_因子設定!$M$7+0.000000001,H4607&gt;=01_因子設定!$L$8-0.000000001,H4607&lt;=01_因子設定!$M$8+0.000000001,IF(01_因子設定!$B$20="Box-Behnken",E4607^2+F4607^2+G4607^2+H4607^2&lt;=2+0.000000001,TRUE()))</f>
        <v>1</v>
      </c>
      <c r="AD4607" s="55" t="n">
        <f aca="false">IF(AC4607,IF(01_因子設定!$B$13="最大化",AA4607-01_因子設定!$B$14,IF(01_因子設定!$B$13="最小化",01_因子設定!$B$15-AB4607,MIN(AA4607-01_因子設定!$B$14,01_因子設定!$B$15-AB4607))),-1E+030)</f>
        <v>-1.86783111194065</v>
      </c>
      <c r="AE4607" s="55" t="n">
        <f aca="false">IF(AC4607,IF(01_因子設定!$B$13="最大化",X4607,IF(01_因子設定!$B$13="最小化",-X4607,-ABS(X4607-01_因子設定!$B$16))),-1E+030)</f>
        <v>46.062266995614</v>
      </c>
      <c r="AF4607" s="55" t="n">
        <f aca="false">AD4607+ROW()*0.000000001</f>
        <v>-1.86782650494065</v>
      </c>
      <c r="AG4607" s="55" t="n">
        <f aca="false">AE4607+ROW()*0.000000001</f>
        <v>46.062271602614</v>
      </c>
    </row>
    <row r="4608" customFormat="false" ht="15" hidden="false" customHeight="false" outlineLevel="0" collapsed="false">
      <c r="A4608" s="0" t="n">
        <v>6</v>
      </c>
      <c r="B4608" s="0" t="n">
        <v>2</v>
      </c>
      <c r="C4608" s="0" t="n">
        <v>7</v>
      </c>
      <c r="D4608" s="0" t="n">
        <v>4</v>
      </c>
      <c r="E4608" s="0" t="n">
        <f aca="false">-1+A4608*0.25</f>
        <v>0.5</v>
      </c>
      <c r="F4608" s="0" t="n">
        <f aca="false">-1+B4608*0.25</f>
        <v>-0.5</v>
      </c>
      <c r="G4608" s="0" t="n">
        <f aca="false">-1+C4608*0.25</f>
        <v>0.75</v>
      </c>
      <c r="H4608" s="0" t="n">
        <f aca="false">-1+D4608*0.25</f>
        <v>0</v>
      </c>
      <c r="I4608" s="0" t="n">
        <f aca="false">1</f>
        <v>1</v>
      </c>
      <c r="J4608" s="0" t="n">
        <f aca="false">E4608</f>
        <v>0.5</v>
      </c>
      <c r="K4608" s="0" t="n">
        <f aca="false">F4608</f>
        <v>-0.5</v>
      </c>
      <c r="L4608" s="0" t="n">
        <f aca="false">G4608</f>
        <v>0.75</v>
      </c>
      <c r="M4608" s="0" t="n">
        <f aca="false">H4608</f>
        <v>0</v>
      </c>
      <c r="N4608" s="0" t="n">
        <f aca="false">E4608*F4608</f>
        <v>-0.25</v>
      </c>
      <c r="O4608" s="0" t="n">
        <f aca="false">E4608*G4608</f>
        <v>0.375</v>
      </c>
      <c r="P4608" s="0" t="n">
        <f aca="false">E4608*H4608</f>
        <v>0</v>
      </c>
      <c r="Q4608" s="0" t="n">
        <f aca="false">F4608*G4608</f>
        <v>-0.375</v>
      </c>
      <c r="R4608" s="0" t="n">
        <f aca="false">F4608*H4608</f>
        <v>-0</v>
      </c>
      <c r="S4608" s="0" t="n">
        <f aca="false">G4608*H4608</f>
        <v>0</v>
      </c>
      <c r="T4608" s="0" t="n">
        <f aca="false">E4608*E4608</f>
        <v>0.25</v>
      </c>
      <c r="U4608" s="0" t="n">
        <f aca="false">F4608*F4608</f>
        <v>0.25</v>
      </c>
      <c r="V4608" s="0" t="n">
        <f aca="false">G4608*G4608</f>
        <v>0.5625</v>
      </c>
      <c r="W4608" s="0" t="n">
        <f aca="false">H4608*H4608</f>
        <v>0</v>
      </c>
      <c r="X4608" s="0" t="n">
        <f aca="false">SUMPRODUCT(I4608:W4608,_XtX!$B$96:$P$96)</f>
        <v>46.2836531432748</v>
      </c>
      <c r="Y4608" s="0" t="n">
        <f aca="false">SUMPRODUCT(MMULT(I4608:W4608,_XtX!$B$78:$P$92),I4608:W4608)</f>
        <v>0.21305052997076</v>
      </c>
      <c r="Z4608" s="0" t="n">
        <f aca="false">04_回帰ANOVA!$K$19*04_回帰ANOVA!$K$14*SQRT(1+Y4608)</f>
        <v>1.43561450835061</v>
      </c>
      <c r="AA4608" s="0" t="n">
        <f aca="false">X4608-Z4608</f>
        <v>44.8480386349242</v>
      </c>
      <c r="AB4608" s="0" t="n">
        <f aca="false">X4608+Z4608</f>
        <v>47.7192676516254</v>
      </c>
      <c r="AC4608" s="54" t="b">
        <f aca="false">AND(E4608&gt;=01_因子設定!$L$5-0.000000001,E4608&lt;=01_因子設定!$M$5+0.000000001,F4608&gt;=01_因子設定!$L$6-0.000000001,F4608&lt;=01_因子設定!$M$6+0.000000001,G4608&gt;=01_因子設定!$L$7-0.000000001,G4608&lt;=01_因子設定!$M$7+0.000000001,H4608&gt;=01_因子設定!$L$8-0.000000001,H4608&lt;=01_因子設定!$M$8+0.000000001,IF(01_因子設定!$B$20="Box-Behnken",E4608^2+F4608^2+G4608^2+H4608^2&lt;=2+0.000000001,TRUE()))</f>
        <v>1</v>
      </c>
      <c r="AD4608" s="55" t="n">
        <f aca="false">IF(AC4608,IF(01_因子設定!$B$13="最大化",AA4608-01_因子設定!$B$14,IF(01_因子設定!$B$13="最小化",01_因子設定!$B$15-AB4608,MIN(AA4608-01_因子設定!$B$14,01_因子設定!$B$15-AB4608))),-1E+030)</f>
        <v>-1.65196136507579</v>
      </c>
      <c r="AE4608" s="55" t="n">
        <f aca="false">IF(AC4608,IF(01_因子設定!$B$13="最大化",X4608,IF(01_因子設定!$B$13="最小化",-X4608,-ABS(X4608-01_因子設定!$B$16))),-1E+030)</f>
        <v>46.2836531432748</v>
      </c>
      <c r="AF4608" s="55" t="n">
        <f aca="false">AD4608+ROW()*0.000000001</f>
        <v>-1.65195675707579</v>
      </c>
      <c r="AG4608" s="55" t="n">
        <f aca="false">AE4608+ROW()*0.000000001</f>
        <v>46.2836577512748</v>
      </c>
    </row>
    <row r="4609" customFormat="false" ht="15" hidden="false" customHeight="false" outlineLevel="0" collapsed="false">
      <c r="A4609" s="0" t="n">
        <v>6</v>
      </c>
      <c r="B4609" s="0" t="n">
        <v>2</v>
      </c>
      <c r="C4609" s="0" t="n">
        <v>7</v>
      </c>
      <c r="D4609" s="0" t="n">
        <v>5</v>
      </c>
      <c r="E4609" s="0" t="n">
        <f aca="false">-1+A4609*0.25</f>
        <v>0.5</v>
      </c>
      <c r="F4609" s="0" t="n">
        <f aca="false">-1+B4609*0.25</f>
        <v>-0.5</v>
      </c>
      <c r="G4609" s="0" t="n">
        <f aca="false">-1+C4609*0.25</f>
        <v>0.75</v>
      </c>
      <c r="H4609" s="0" t="n">
        <f aca="false">-1+D4609*0.25</f>
        <v>0.25</v>
      </c>
      <c r="I4609" s="0" t="n">
        <f aca="false">1</f>
        <v>1</v>
      </c>
      <c r="J4609" s="0" t="n">
        <f aca="false">E4609</f>
        <v>0.5</v>
      </c>
      <c r="K4609" s="0" t="n">
        <f aca="false">F4609</f>
        <v>-0.5</v>
      </c>
      <c r="L4609" s="0" t="n">
        <f aca="false">G4609</f>
        <v>0.75</v>
      </c>
      <c r="M4609" s="0" t="n">
        <f aca="false">H4609</f>
        <v>0.25</v>
      </c>
      <c r="N4609" s="0" t="n">
        <f aca="false">E4609*F4609</f>
        <v>-0.25</v>
      </c>
      <c r="O4609" s="0" t="n">
        <f aca="false">E4609*G4609</f>
        <v>0.375</v>
      </c>
      <c r="P4609" s="0" t="n">
        <f aca="false">E4609*H4609</f>
        <v>0.125</v>
      </c>
      <c r="Q4609" s="0" t="n">
        <f aca="false">F4609*G4609</f>
        <v>-0.375</v>
      </c>
      <c r="R4609" s="0" t="n">
        <f aca="false">F4609*H4609</f>
        <v>-0.125</v>
      </c>
      <c r="S4609" s="0" t="n">
        <f aca="false">G4609*H4609</f>
        <v>0.1875</v>
      </c>
      <c r="T4609" s="0" t="n">
        <f aca="false">E4609*E4609</f>
        <v>0.25</v>
      </c>
      <c r="U4609" s="0" t="n">
        <f aca="false">F4609*F4609</f>
        <v>0.25</v>
      </c>
      <c r="V4609" s="0" t="n">
        <f aca="false">G4609*G4609</f>
        <v>0.5625</v>
      </c>
      <c r="W4609" s="0" t="n">
        <f aca="false">H4609*H4609</f>
        <v>0.0625</v>
      </c>
      <c r="X4609" s="0" t="n">
        <f aca="false">SUMPRODUCT(I4609:W4609,_XtX!$B$96:$P$96)</f>
        <v>46.4572322733918</v>
      </c>
      <c r="Y4609" s="0" t="n">
        <f aca="false">SUMPRODUCT(MMULT(I4609:W4609,_XtX!$B$78:$P$92),I4609:W4609)</f>
        <v>0.203746059484649</v>
      </c>
      <c r="Z4609" s="0" t="n">
        <f aca="false">04_回帰ANOVA!$K$19*04_回帰ANOVA!$K$14*SQRT(1+Y4609)</f>
        <v>1.43009810755465</v>
      </c>
      <c r="AA4609" s="0" t="n">
        <f aca="false">X4609-Z4609</f>
        <v>45.0271341658371</v>
      </c>
      <c r="AB4609" s="0" t="n">
        <f aca="false">X4609+Z4609</f>
        <v>47.8873303809464</v>
      </c>
      <c r="AC4609" s="54" t="b">
        <f aca="false">AND(E4609&gt;=01_因子設定!$L$5-0.000000001,E4609&lt;=01_因子設定!$M$5+0.000000001,F4609&gt;=01_因子設定!$L$6-0.000000001,F4609&lt;=01_因子設定!$M$6+0.000000001,G4609&gt;=01_因子設定!$L$7-0.000000001,G4609&lt;=01_因子設定!$M$7+0.000000001,H4609&gt;=01_因子設定!$L$8-0.000000001,H4609&lt;=01_因子設定!$M$8+0.000000001,IF(01_因子設定!$B$20="Box-Behnken",E4609^2+F4609^2+G4609^2+H4609^2&lt;=2+0.000000001,TRUE()))</f>
        <v>1</v>
      </c>
      <c r="AD4609" s="55" t="n">
        <f aca="false">IF(AC4609,IF(01_因子設定!$B$13="最大化",AA4609-01_因子設定!$B$14,IF(01_因子設定!$B$13="最小化",01_因子設定!$B$15-AB4609,MIN(AA4609-01_因子設定!$B$14,01_因子設定!$B$15-AB4609))),-1E+030)</f>
        <v>-1.47286583416287</v>
      </c>
      <c r="AE4609" s="55" t="n">
        <f aca="false">IF(AC4609,IF(01_因子設定!$B$13="最大化",X4609,IF(01_因子設定!$B$13="最小化",-X4609,-ABS(X4609-01_因子設定!$B$16))),-1E+030)</f>
        <v>46.4572322733918</v>
      </c>
      <c r="AF4609" s="55" t="n">
        <f aca="false">AD4609+ROW()*0.000000001</f>
        <v>-1.47286122516287</v>
      </c>
      <c r="AG4609" s="55" t="n">
        <f aca="false">AE4609+ROW()*0.000000001</f>
        <v>46.4572368823918</v>
      </c>
    </row>
    <row r="4610" customFormat="false" ht="15" hidden="false" customHeight="false" outlineLevel="0" collapsed="false">
      <c r="A4610" s="0" t="n">
        <v>6</v>
      </c>
      <c r="B4610" s="0" t="n">
        <v>2</v>
      </c>
      <c r="C4610" s="0" t="n">
        <v>7</v>
      </c>
      <c r="D4610" s="0" t="n">
        <v>6</v>
      </c>
      <c r="E4610" s="0" t="n">
        <f aca="false">-1+A4610*0.25</f>
        <v>0.5</v>
      </c>
      <c r="F4610" s="0" t="n">
        <f aca="false">-1+B4610*0.25</f>
        <v>-0.5</v>
      </c>
      <c r="G4610" s="0" t="n">
        <f aca="false">-1+C4610*0.25</f>
        <v>0.75</v>
      </c>
      <c r="H4610" s="0" t="n">
        <f aca="false">-1+D4610*0.25</f>
        <v>0.5</v>
      </c>
      <c r="I4610" s="0" t="n">
        <f aca="false">1</f>
        <v>1</v>
      </c>
      <c r="J4610" s="0" t="n">
        <f aca="false">E4610</f>
        <v>0.5</v>
      </c>
      <c r="K4610" s="0" t="n">
        <f aca="false">F4610</f>
        <v>-0.5</v>
      </c>
      <c r="L4610" s="0" t="n">
        <f aca="false">G4610</f>
        <v>0.75</v>
      </c>
      <c r="M4610" s="0" t="n">
        <f aca="false">H4610</f>
        <v>0.5</v>
      </c>
      <c r="N4610" s="0" t="n">
        <f aca="false">E4610*F4610</f>
        <v>-0.25</v>
      </c>
      <c r="O4610" s="0" t="n">
        <f aca="false">E4610*G4610</f>
        <v>0.375</v>
      </c>
      <c r="P4610" s="0" t="n">
        <f aca="false">E4610*H4610</f>
        <v>0.25</v>
      </c>
      <c r="Q4610" s="0" t="n">
        <f aca="false">F4610*G4610</f>
        <v>-0.375</v>
      </c>
      <c r="R4610" s="0" t="n">
        <f aca="false">F4610*H4610</f>
        <v>-0.25</v>
      </c>
      <c r="S4610" s="0" t="n">
        <f aca="false">G4610*H4610</f>
        <v>0.375</v>
      </c>
      <c r="T4610" s="0" t="n">
        <f aca="false">E4610*E4610</f>
        <v>0.25</v>
      </c>
      <c r="U4610" s="0" t="n">
        <f aca="false">F4610*F4610</f>
        <v>0.25</v>
      </c>
      <c r="V4610" s="0" t="n">
        <f aca="false">G4610*G4610</f>
        <v>0.5625</v>
      </c>
      <c r="W4610" s="0" t="n">
        <f aca="false">H4610*H4610</f>
        <v>0.25</v>
      </c>
      <c r="X4610" s="0" t="n">
        <f aca="false">SUMPRODUCT(I4610:W4610,_XtX!$B$96:$P$96)</f>
        <v>46.5830043859649</v>
      </c>
      <c r="Y4610" s="0" t="n">
        <f aca="false">SUMPRODUCT(MMULT(I4610:W4610,_XtX!$B$78:$P$92),I4610:W4610)</f>
        <v>0.193924753289474</v>
      </c>
      <c r="Z4610" s="0" t="n">
        <f aca="false">04_回帰ANOVA!$K$19*04_回帰ANOVA!$K$14*SQRT(1+Y4610)</f>
        <v>1.4242521079916</v>
      </c>
      <c r="AA4610" s="0" t="n">
        <f aca="false">X4610-Z4610</f>
        <v>45.1587522779733</v>
      </c>
      <c r="AB4610" s="0" t="n">
        <f aca="false">X4610+Z4610</f>
        <v>48.0072564939565</v>
      </c>
      <c r="AC4610" s="54" t="b">
        <f aca="false">AND(E4610&gt;=01_因子設定!$L$5-0.000000001,E4610&lt;=01_因子設定!$M$5+0.000000001,F4610&gt;=01_因子設定!$L$6-0.000000001,F4610&lt;=01_因子設定!$M$6+0.000000001,G4610&gt;=01_因子設定!$L$7-0.000000001,G4610&lt;=01_因子設定!$M$7+0.000000001,H4610&gt;=01_因子設定!$L$8-0.000000001,H4610&lt;=01_因子設定!$M$8+0.000000001,IF(01_因子設定!$B$20="Box-Behnken",E4610^2+F4610^2+G4610^2+H4610^2&lt;=2+0.000000001,TRUE()))</f>
        <v>1</v>
      </c>
      <c r="AD4610" s="55" t="n">
        <f aca="false">IF(AC4610,IF(01_因子設定!$B$13="最大化",AA4610-01_因子設定!$B$14,IF(01_因子設定!$B$13="最小化",01_因子設定!$B$15-AB4610,MIN(AA4610-01_因子設定!$B$14,01_因子設定!$B$15-AB4610))),-1E+030)</f>
        <v>-1.34124772202672</v>
      </c>
      <c r="AE4610" s="55" t="n">
        <f aca="false">IF(AC4610,IF(01_因子設定!$B$13="最大化",X4610,IF(01_因子設定!$B$13="最小化",-X4610,-ABS(X4610-01_因子設定!$B$16))),-1E+030)</f>
        <v>46.5830043859649</v>
      </c>
      <c r="AF4610" s="55" t="n">
        <f aca="false">AD4610+ROW()*0.000000001</f>
        <v>-1.34124311202672</v>
      </c>
      <c r="AG4610" s="55" t="n">
        <f aca="false">AE4610+ROW()*0.000000001</f>
        <v>46.5830089959649</v>
      </c>
    </row>
    <row r="4611" customFormat="false" ht="15" hidden="false" customHeight="false" outlineLevel="0" collapsed="false">
      <c r="A4611" s="0" t="n">
        <v>6</v>
      </c>
      <c r="B4611" s="0" t="n">
        <v>2</v>
      </c>
      <c r="C4611" s="0" t="n">
        <v>7</v>
      </c>
      <c r="D4611" s="0" t="n">
        <v>7</v>
      </c>
      <c r="E4611" s="0" t="n">
        <f aca="false">-1+A4611*0.25</f>
        <v>0.5</v>
      </c>
      <c r="F4611" s="0" t="n">
        <f aca="false">-1+B4611*0.25</f>
        <v>-0.5</v>
      </c>
      <c r="G4611" s="0" t="n">
        <f aca="false">-1+C4611*0.25</f>
        <v>0.75</v>
      </c>
      <c r="H4611" s="0" t="n">
        <f aca="false">-1+D4611*0.25</f>
        <v>0.75</v>
      </c>
      <c r="I4611" s="0" t="n">
        <f aca="false">1</f>
        <v>1</v>
      </c>
      <c r="J4611" s="0" t="n">
        <f aca="false">E4611</f>
        <v>0.5</v>
      </c>
      <c r="K4611" s="0" t="n">
        <f aca="false">F4611</f>
        <v>-0.5</v>
      </c>
      <c r="L4611" s="0" t="n">
        <f aca="false">G4611</f>
        <v>0.75</v>
      </c>
      <c r="M4611" s="0" t="n">
        <f aca="false">H4611</f>
        <v>0.75</v>
      </c>
      <c r="N4611" s="0" t="n">
        <f aca="false">E4611*F4611</f>
        <v>-0.25</v>
      </c>
      <c r="O4611" s="0" t="n">
        <f aca="false">E4611*G4611</f>
        <v>0.375</v>
      </c>
      <c r="P4611" s="0" t="n">
        <f aca="false">E4611*H4611</f>
        <v>0.375</v>
      </c>
      <c r="Q4611" s="0" t="n">
        <f aca="false">F4611*G4611</f>
        <v>-0.375</v>
      </c>
      <c r="R4611" s="0" t="n">
        <f aca="false">F4611*H4611</f>
        <v>-0.375</v>
      </c>
      <c r="S4611" s="0" t="n">
        <f aca="false">G4611*H4611</f>
        <v>0.5625</v>
      </c>
      <c r="T4611" s="0" t="n">
        <f aca="false">E4611*E4611</f>
        <v>0.25</v>
      </c>
      <c r="U4611" s="0" t="n">
        <f aca="false">F4611*F4611</f>
        <v>0.25</v>
      </c>
      <c r="V4611" s="0" t="n">
        <f aca="false">G4611*G4611</f>
        <v>0.5625</v>
      </c>
      <c r="W4611" s="0" t="n">
        <f aca="false">H4611*H4611</f>
        <v>0.5625</v>
      </c>
      <c r="X4611" s="0" t="n">
        <f aca="false">SUMPRODUCT(I4611:W4611,_XtX!$B$96:$P$96)</f>
        <v>46.6609694809941</v>
      </c>
      <c r="Y4611" s="0" t="n">
        <f aca="false">SUMPRODUCT(MMULT(I4611:W4611,_XtX!$B$78:$P$92),I4611:W4611)</f>
        <v>0.237862927174708</v>
      </c>
      <c r="Z4611" s="0" t="n">
        <f aca="false">04_回帰ANOVA!$K$19*04_回帰ANOVA!$K$14*SQRT(1+Y4611)</f>
        <v>1.45022260708756</v>
      </c>
      <c r="AA4611" s="0" t="n">
        <f aca="false">X4611-Z4611</f>
        <v>45.2107468739066</v>
      </c>
      <c r="AB4611" s="0" t="n">
        <f aca="false">X4611+Z4611</f>
        <v>48.1111920880817</v>
      </c>
      <c r="AC4611" s="54" t="b">
        <f aca="false">AND(E4611&gt;=01_因子設定!$L$5-0.000000001,E4611&lt;=01_因子設定!$M$5+0.000000001,F4611&gt;=01_因子設定!$L$6-0.000000001,F4611&lt;=01_因子設定!$M$6+0.000000001,G4611&gt;=01_因子設定!$L$7-0.000000001,G4611&lt;=01_因子設定!$M$7+0.000000001,H4611&gt;=01_因子設定!$L$8-0.000000001,H4611&lt;=01_因子設定!$M$8+0.000000001,IF(01_因子設定!$B$20="Box-Behnken",E4611^2+F4611^2+G4611^2+H4611^2&lt;=2+0.000000001,TRUE()))</f>
        <v>1</v>
      </c>
      <c r="AD4611" s="55" t="n">
        <f aca="false">IF(AC4611,IF(01_因子設定!$B$13="最大化",AA4611-01_因子設定!$B$14,IF(01_因子設定!$B$13="最小化",01_因子設定!$B$15-AB4611,MIN(AA4611-01_因子設定!$B$14,01_因子設定!$B$15-AB4611))),-1E+030)</f>
        <v>-1.28925312609343</v>
      </c>
      <c r="AE4611" s="55" t="n">
        <f aca="false">IF(AC4611,IF(01_因子設定!$B$13="最大化",X4611,IF(01_因子設定!$B$13="最小化",-X4611,-ABS(X4611-01_因子設定!$B$16))),-1E+030)</f>
        <v>46.6609694809941</v>
      </c>
      <c r="AF4611" s="55" t="n">
        <f aca="false">AD4611+ROW()*0.000000001</f>
        <v>-1.28924851509343</v>
      </c>
      <c r="AG4611" s="55" t="n">
        <f aca="false">AE4611+ROW()*0.000000001</f>
        <v>46.6609740919941</v>
      </c>
    </row>
    <row r="4612" customFormat="false" ht="15" hidden="false" customHeight="false" outlineLevel="0" collapsed="false">
      <c r="A4612" s="0" t="n">
        <v>6</v>
      </c>
      <c r="B4612" s="0" t="n">
        <v>2</v>
      </c>
      <c r="C4612" s="0" t="n">
        <v>7</v>
      </c>
      <c r="D4612" s="0" t="n">
        <v>8</v>
      </c>
      <c r="E4612" s="0" t="n">
        <f aca="false">-1+A4612*0.25</f>
        <v>0.5</v>
      </c>
      <c r="F4612" s="0" t="n">
        <f aca="false">-1+B4612*0.25</f>
        <v>-0.5</v>
      </c>
      <c r="G4612" s="0" t="n">
        <f aca="false">-1+C4612*0.25</f>
        <v>0.75</v>
      </c>
      <c r="H4612" s="0" t="n">
        <f aca="false">-1+D4612*0.25</f>
        <v>1</v>
      </c>
      <c r="I4612" s="0" t="n">
        <f aca="false">1</f>
        <v>1</v>
      </c>
      <c r="J4612" s="0" t="n">
        <f aca="false">E4612</f>
        <v>0.5</v>
      </c>
      <c r="K4612" s="0" t="n">
        <f aca="false">F4612</f>
        <v>-0.5</v>
      </c>
      <c r="L4612" s="0" t="n">
        <f aca="false">G4612</f>
        <v>0.75</v>
      </c>
      <c r="M4612" s="0" t="n">
        <f aca="false">H4612</f>
        <v>1</v>
      </c>
      <c r="N4612" s="0" t="n">
        <f aca="false">E4612*F4612</f>
        <v>-0.25</v>
      </c>
      <c r="O4612" s="0" t="n">
        <f aca="false">E4612*G4612</f>
        <v>0.375</v>
      </c>
      <c r="P4612" s="0" t="n">
        <f aca="false">E4612*H4612</f>
        <v>0.5</v>
      </c>
      <c r="Q4612" s="0" t="n">
        <f aca="false">F4612*G4612</f>
        <v>-0.375</v>
      </c>
      <c r="R4612" s="0" t="n">
        <f aca="false">F4612*H4612</f>
        <v>-0.5</v>
      </c>
      <c r="S4612" s="0" t="n">
        <f aca="false">G4612*H4612</f>
        <v>0.75</v>
      </c>
      <c r="T4612" s="0" t="n">
        <f aca="false">E4612*E4612</f>
        <v>0.25</v>
      </c>
      <c r="U4612" s="0" t="n">
        <f aca="false">F4612*F4612</f>
        <v>0.25</v>
      </c>
      <c r="V4612" s="0" t="n">
        <f aca="false">G4612*G4612</f>
        <v>0.5625</v>
      </c>
      <c r="W4612" s="0" t="n">
        <f aca="false">H4612*H4612</f>
        <v>1</v>
      </c>
      <c r="X4612" s="0" t="n">
        <f aca="false">SUMPRODUCT(I4612:W4612,_XtX!$B$96:$P$96)</f>
        <v>46.6911275584795</v>
      </c>
      <c r="Y4612" s="0" t="n">
        <f aca="false">SUMPRODUCT(MMULT(I4612:W4612,_XtX!$B$78:$P$92),I4612:W4612)</f>
        <v>0.42602110745614</v>
      </c>
      <c r="Z4612" s="0" t="n">
        <f aca="false">04_回帰ANOVA!$K$19*04_回帰ANOVA!$K$14*SQRT(1+Y4612)</f>
        <v>1.55654388501114</v>
      </c>
      <c r="AA4612" s="0" t="n">
        <f aca="false">X4612-Z4612</f>
        <v>45.1345836734684</v>
      </c>
      <c r="AB4612" s="0" t="n">
        <f aca="false">X4612+Z4612</f>
        <v>48.2476714434907</v>
      </c>
      <c r="AC4612" s="54" t="b">
        <f aca="false">AND(E4612&gt;=01_因子設定!$L$5-0.000000001,E4612&lt;=01_因子設定!$M$5+0.000000001,F4612&gt;=01_因子設定!$L$6-0.000000001,F4612&lt;=01_因子設定!$M$6+0.000000001,G4612&gt;=01_因子設定!$L$7-0.000000001,G4612&lt;=01_因子設定!$M$7+0.000000001,H4612&gt;=01_因子設定!$L$8-0.000000001,H4612&lt;=01_因子設定!$M$8+0.000000001,IF(01_因子設定!$B$20="Box-Behnken",E4612^2+F4612^2+G4612^2+H4612^2&lt;=2+0.000000001,TRUE()))</f>
        <v>1</v>
      </c>
      <c r="AD4612" s="55" t="n">
        <f aca="false">IF(AC4612,IF(01_因子設定!$B$13="最大化",AA4612-01_因子設定!$B$14,IF(01_因子設定!$B$13="最小化",01_因子設定!$B$15-AB4612,MIN(AA4612-01_因子設定!$B$14,01_因子設定!$B$15-AB4612))),-1E+030)</f>
        <v>-1.36541632653161</v>
      </c>
      <c r="AE4612" s="55" t="n">
        <f aca="false">IF(AC4612,IF(01_因子設定!$B$13="最大化",X4612,IF(01_因子設定!$B$13="最小化",-X4612,-ABS(X4612-01_因子設定!$B$16))),-1E+030)</f>
        <v>46.6911275584795</v>
      </c>
      <c r="AF4612" s="55" t="n">
        <f aca="false">AD4612+ROW()*0.000000001</f>
        <v>-1.36541171453161</v>
      </c>
      <c r="AG4612" s="55" t="n">
        <f aca="false">AE4612+ROW()*0.000000001</f>
        <v>46.6911321704795</v>
      </c>
    </row>
    <row r="4613" customFormat="false" ht="15" hidden="false" customHeight="false" outlineLevel="0" collapsed="false">
      <c r="A4613" s="0" t="n">
        <v>6</v>
      </c>
      <c r="B4613" s="0" t="n">
        <v>2</v>
      </c>
      <c r="C4613" s="0" t="n">
        <v>8</v>
      </c>
      <c r="D4613" s="0" t="n">
        <v>0</v>
      </c>
      <c r="E4613" s="0" t="n">
        <f aca="false">-1+A4613*0.25</f>
        <v>0.5</v>
      </c>
      <c r="F4613" s="0" t="n">
        <f aca="false">-1+B4613*0.25</f>
        <v>-0.5</v>
      </c>
      <c r="G4613" s="0" t="n">
        <f aca="false">-1+C4613*0.25</f>
        <v>1</v>
      </c>
      <c r="H4613" s="0" t="n">
        <f aca="false">-1+D4613*0.25</f>
        <v>-1</v>
      </c>
      <c r="I4613" s="0" t="n">
        <f aca="false">1</f>
        <v>1</v>
      </c>
      <c r="J4613" s="0" t="n">
        <f aca="false">E4613</f>
        <v>0.5</v>
      </c>
      <c r="K4613" s="0" t="n">
        <f aca="false">F4613</f>
        <v>-0.5</v>
      </c>
      <c r="L4613" s="0" t="n">
        <f aca="false">G4613</f>
        <v>1</v>
      </c>
      <c r="M4613" s="0" t="n">
        <f aca="false">H4613</f>
        <v>-1</v>
      </c>
      <c r="N4613" s="0" t="n">
        <f aca="false">E4613*F4613</f>
        <v>-0.25</v>
      </c>
      <c r="O4613" s="0" t="n">
        <f aca="false">E4613*G4613</f>
        <v>0.5</v>
      </c>
      <c r="P4613" s="0" t="n">
        <f aca="false">E4613*H4613</f>
        <v>-0.5</v>
      </c>
      <c r="Q4613" s="0" t="n">
        <f aca="false">F4613*G4613</f>
        <v>-0.5</v>
      </c>
      <c r="R4613" s="0" t="n">
        <f aca="false">F4613*H4613</f>
        <v>0.5</v>
      </c>
      <c r="S4613" s="0" t="n">
        <f aca="false">G4613*H4613</f>
        <v>-1</v>
      </c>
      <c r="T4613" s="0" t="n">
        <f aca="false">E4613*E4613</f>
        <v>0.25</v>
      </c>
      <c r="U4613" s="0" t="n">
        <f aca="false">F4613*F4613</f>
        <v>0.25</v>
      </c>
      <c r="V4613" s="0" t="n">
        <f aca="false">G4613*G4613</f>
        <v>1</v>
      </c>
      <c r="W4613" s="0" t="n">
        <f aca="false">H4613*H4613</f>
        <v>1</v>
      </c>
      <c r="X4613" s="0" t="n">
        <f aca="false">SUMPRODUCT(I4613:W4613,_XtX!$B$96:$P$96)</f>
        <v>44.8663377192982</v>
      </c>
      <c r="Y4613" s="0" t="n">
        <f aca="false">SUMPRODUCT(MMULT(I4613:W4613,_XtX!$B$78:$P$92),I4613:W4613)</f>
        <v>0.582488121345029</v>
      </c>
      <c r="Z4613" s="0" t="n">
        <f aca="false">04_回帰ANOVA!$K$19*04_回帰ANOVA!$K$14*SQRT(1+Y4613)</f>
        <v>1.63971595338287</v>
      </c>
      <c r="AA4613" s="0" t="n">
        <f aca="false">X4613-Z4613</f>
        <v>43.2266217659154</v>
      </c>
      <c r="AB4613" s="0" t="n">
        <f aca="false">X4613+Z4613</f>
        <v>46.5060536726811</v>
      </c>
      <c r="AC4613" s="54" t="b">
        <f aca="false">AND(E4613&gt;=01_因子設定!$L$5-0.000000001,E4613&lt;=01_因子設定!$M$5+0.000000001,F4613&gt;=01_因子設定!$L$6-0.000000001,F4613&lt;=01_因子設定!$M$6+0.000000001,G4613&gt;=01_因子設定!$L$7-0.000000001,G4613&lt;=01_因子設定!$M$7+0.000000001,H4613&gt;=01_因子設定!$L$8-0.000000001,H4613&lt;=01_因子設定!$M$8+0.000000001,IF(01_因子設定!$B$20="Box-Behnken",E4613^2+F4613^2+G4613^2+H4613^2&lt;=2+0.000000001,TRUE()))</f>
        <v>1</v>
      </c>
      <c r="AD4613" s="55" t="n">
        <f aca="false">IF(AC4613,IF(01_因子設定!$B$13="最大化",AA4613-01_因子設定!$B$14,IF(01_因子設定!$B$13="最小化",01_因子設定!$B$15-AB4613,MIN(AA4613-01_因子設定!$B$14,01_因子設定!$B$15-AB4613))),-1E+030)</f>
        <v>-3.27337823408462</v>
      </c>
      <c r="AE4613" s="55" t="n">
        <f aca="false">IF(AC4613,IF(01_因子設定!$B$13="最大化",X4613,IF(01_因子設定!$B$13="最小化",-X4613,-ABS(X4613-01_因子設定!$B$16))),-1E+030)</f>
        <v>44.8663377192982</v>
      </c>
      <c r="AF4613" s="55" t="n">
        <f aca="false">AD4613+ROW()*0.000000001</f>
        <v>-3.27337362108462</v>
      </c>
      <c r="AG4613" s="55" t="n">
        <f aca="false">AE4613+ROW()*0.000000001</f>
        <v>44.8663423322982</v>
      </c>
    </row>
    <row r="4614" customFormat="false" ht="15" hidden="false" customHeight="false" outlineLevel="0" collapsed="false">
      <c r="A4614" s="0" t="n">
        <v>6</v>
      </c>
      <c r="B4614" s="0" t="n">
        <v>2</v>
      </c>
      <c r="C4614" s="0" t="n">
        <v>8</v>
      </c>
      <c r="D4614" s="0" t="n">
        <v>1</v>
      </c>
      <c r="E4614" s="0" t="n">
        <f aca="false">-1+A4614*0.25</f>
        <v>0.5</v>
      </c>
      <c r="F4614" s="0" t="n">
        <f aca="false">-1+B4614*0.25</f>
        <v>-0.5</v>
      </c>
      <c r="G4614" s="0" t="n">
        <f aca="false">-1+C4614*0.25</f>
        <v>1</v>
      </c>
      <c r="H4614" s="0" t="n">
        <f aca="false">-1+D4614*0.25</f>
        <v>-0.75</v>
      </c>
      <c r="I4614" s="0" t="n">
        <f aca="false">1</f>
        <v>1</v>
      </c>
      <c r="J4614" s="0" t="n">
        <f aca="false">E4614</f>
        <v>0.5</v>
      </c>
      <c r="K4614" s="0" t="n">
        <f aca="false">F4614</f>
        <v>-0.5</v>
      </c>
      <c r="L4614" s="0" t="n">
        <f aca="false">G4614</f>
        <v>1</v>
      </c>
      <c r="M4614" s="0" t="n">
        <f aca="false">H4614</f>
        <v>-0.75</v>
      </c>
      <c r="N4614" s="0" t="n">
        <f aca="false">E4614*F4614</f>
        <v>-0.25</v>
      </c>
      <c r="O4614" s="0" t="n">
        <f aca="false">E4614*G4614</f>
        <v>0.5</v>
      </c>
      <c r="P4614" s="0" t="n">
        <f aca="false">E4614*H4614</f>
        <v>-0.375</v>
      </c>
      <c r="Q4614" s="0" t="n">
        <f aca="false">F4614*G4614</f>
        <v>-0.5</v>
      </c>
      <c r="R4614" s="0" t="n">
        <f aca="false">F4614*H4614</f>
        <v>0.375</v>
      </c>
      <c r="S4614" s="0" t="n">
        <f aca="false">G4614*H4614</f>
        <v>-0.75</v>
      </c>
      <c r="T4614" s="0" t="n">
        <f aca="false">E4614*E4614</f>
        <v>0.25</v>
      </c>
      <c r="U4614" s="0" t="n">
        <f aca="false">F4614*F4614</f>
        <v>0.25</v>
      </c>
      <c r="V4614" s="0" t="n">
        <f aca="false">G4614*G4614</f>
        <v>1</v>
      </c>
      <c r="W4614" s="0" t="n">
        <f aca="false">H4614*H4614</f>
        <v>0.5625</v>
      </c>
      <c r="X4614" s="0" t="n">
        <f aca="false">SUMPRODUCT(I4614:W4614,_XtX!$B$96:$P$96)</f>
        <v>45.2491136695906</v>
      </c>
      <c r="Y4614" s="0" t="n">
        <f aca="false">SUMPRODUCT(MMULT(I4614:W4614,_XtX!$B$78:$P$92),I4614:W4614)</f>
        <v>0.42602110745614</v>
      </c>
      <c r="Z4614" s="0" t="n">
        <f aca="false">04_回帰ANOVA!$K$19*04_回帰ANOVA!$K$14*SQRT(1+Y4614)</f>
        <v>1.55654388501114</v>
      </c>
      <c r="AA4614" s="0" t="n">
        <f aca="false">X4614-Z4614</f>
        <v>43.6925697845795</v>
      </c>
      <c r="AB4614" s="0" t="n">
        <f aca="false">X4614+Z4614</f>
        <v>46.8056575546018</v>
      </c>
      <c r="AC4614" s="54" t="b">
        <f aca="false">AND(E4614&gt;=01_因子設定!$L$5-0.000000001,E4614&lt;=01_因子設定!$M$5+0.000000001,F4614&gt;=01_因子設定!$L$6-0.000000001,F4614&lt;=01_因子設定!$M$6+0.000000001,G4614&gt;=01_因子設定!$L$7-0.000000001,G4614&lt;=01_因子設定!$M$7+0.000000001,H4614&gt;=01_因子設定!$L$8-0.000000001,H4614&lt;=01_因子設定!$M$8+0.000000001,IF(01_因子設定!$B$20="Box-Behnken",E4614^2+F4614^2+G4614^2+H4614^2&lt;=2+0.000000001,TRUE()))</f>
        <v>1</v>
      </c>
      <c r="AD4614" s="55" t="n">
        <f aca="false">IF(AC4614,IF(01_因子設定!$B$13="最大化",AA4614-01_因子設定!$B$14,IF(01_因子設定!$B$13="最小化",01_因子設定!$B$15-AB4614,MIN(AA4614-01_因子設定!$B$14,01_因子設定!$B$15-AB4614))),-1E+030)</f>
        <v>-2.80743021542051</v>
      </c>
      <c r="AE4614" s="55" t="n">
        <f aca="false">IF(AC4614,IF(01_因子設定!$B$13="最大化",X4614,IF(01_因子設定!$B$13="最小化",-X4614,-ABS(X4614-01_因子設定!$B$16))),-1E+030)</f>
        <v>45.2491136695906</v>
      </c>
      <c r="AF4614" s="55" t="n">
        <f aca="false">AD4614+ROW()*0.000000001</f>
        <v>-2.80742560142051</v>
      </c>
      <c r="AG4614" s="55" t="n">
        <f aca="false">AE4614+ROW()*0.000000001</f>
        <v>45.2491182835906</v>
      </c>
    </row>
    <row r="4615" customFormat="false" ht="15" hidden="false" customHeight="false" outlineLevel="0" collapsed="false">
      <c r="A4615" s="0" t="n">
        <v>6</v>
      </c>
      <c r="B4615" s="0" t="n">
        <v>2</v>
      </c>
      <c r="C4615" s="0" t="n">
        <v>8</v>
      </c>
      <c r="D4615" s="0" t="n">
        <v>2</v>
      </c>
      <c r="E4615" s="0" t="n">
        <f aca="false">-1+A4615*0.25</f>
        <v>0.5</v>
      </c>
      <c r="F4615" s="0" t="n">
        <f aca="false">-1+B4615*0.25</f>
        <v>-0.5</v>
      </c>
      <c r="G4615" s="0" t="n">
        <f aca="false">-1+C4615*0.25</f>
        <v>1</v>
      </c>
      <c r="H4615" s="0" t="n">
        <f aca="false">-1+D4615*0.25</f>
        <v>-0.5</v>
      </c>
      <c r="I4615" s="0" t="n">
        <f aca="false">1</f>
        <v>1</v>
      </c>
      <c r="J4615" s="0" t="n">
        <f aca="false">E4615</f>
        <v>0.5</v>
      </c>
      <c r="K4615" s="0" t="n">
        <f aca="false">F4615</f>
        <v>-0.5</v>
      </c>
      <c r="L4615" s="0" t="n">
        <f aca="false">G4615</f>
        <v>1</v>
      </c>
      <c r="M4615" s="0" t="n">
        <f aca="false">H4615</f>
        <v>-0.5</v>
      </c>
      <c r="N4615" s="0" t="n">
        <f aca="false">E4615*F4615</f>
        <v>-0.25</v>
      </c>
      <c r="O4615" s="0" t="n">
        <f aca="false">E4615*G4615</f>
        <v>0.5</v>
      </c>
      <c r="P4615" s="0" t="n">
        <f aca="false">E4615*H4615</f>
        <v>-0.25</v>
      </c>
      <c r="Q4615" s="0" t="n">
        <f aca="false">F4615*G4615</f>
        <v>-0.5</v>
      </c>
      <c r="R4615" s="0" t="n">
        <f aca="false">F4615*H4615</f>
        <v>0.25</v>
      </c>
      <c r="S4615" s="0" t="n">
        <f aca="false">G4615*H4615</f>
        <v>-0.5</v>
      </c>
      <c r="T4615" s="0" t="n">
        <f aca="false">E4615*E4615</f>
        <v>0.25</v>
      </c>
      <c r="U4615" s="0" t="n">
        <f aca="false">F4615*F4615</f>
        <v>0.25</v>
      </c>
      <c r="V4615" s="0" t="n">
        <f aca="false">G4615*G4615</f>
        <v>1</v>
      </c>
      <c r="W4615" s="0" t="n">
        <f aca="false">H4615*H4615</f>
        <v>0.25</v>
      </c>
      <c r="X4615" s="0" t="n">
        <f aca="false">SUMPRODUCT(I4615:W4615,_XtX!$B$96:$P$96)</f>
        <v>45.5840826023392</v>
      </c>
      <c r="Y4615" s="0" t="n">
        <f aca="false">SUMPRODUCT(MMULT(I4615:W4615,_XtX!$B$78:$P$92),I4615:W4615)</f>
        <v>0.404719480994152</v>
      </c>
      <c r="Z4615" s="0" t="n">
        <f aca="false">04_回帰ANOVA!$K$19*04_回帰ANOVA!$K$14*SQRT(1+Y4615)</f>
        <v>1.54487446697867</v>
      </c>
      <c r="AA4615" s="0" t="n">
        <f aca="false">X4615-Z4615</f>
        <v>44.0392081353605</v>
      </c>
      <c r="AB4615" s="0" t="n">
        <f aca="false">X4615+Z4615</f>
        <v>47.1289570693178</v>
      </c>
      <c r="AC4615" s="54" t="b">
        <f aca="false">AND(E4615&gt;=01_因子設定!$L$5-0.000000001,E4615&lt;=01_因子設定!$M$5+0.000000001,F4615&gt;=01_因子設定!$L$6-0.000000001,F4615&lt;=01_因子設定!$M$6+0.000000001,G4615&gt;=01_因子設定!$L$7-0.000000001,G4615&lt;=01_因子設定!$M$7+0.000000001,H4615&gt;=01_因子設定!$L$8-0.000000001,H4615&lt;=01_因子設定!$M$8+0.000000001,IF(01_因子設定!$B$20="Box-Behnken",E4615^2+F4615^2+G4615^2+H4615^2&lt;=2+0.000000001,TRUE()))</f>
        <v>1</v>
      </c>
      <c r="AD4615" s="55" t="n">
        <f aca="false">IF(AC4615,IF(01_因子設定!$B$13="最大化",AA4615-01_因子設定!$B$14,IF(01_因子設定!$B$13="最小化",01_因子設定!$B$15-AB4615,MIN(AA4615-01_因子設定!$B$14,01_因子設定!$B$15-AB4615))),-1E+030)</f>
        <v>-2.46079186463953</v>
      </c>
      <c r="AE4615" s="55" t="n">
        <f aca="false">IF(AC4615,IF(01_因子設定!$B$13="最大化",X4615,IF(01_因子設定!$B$13="最小化",-X4615,-ABS(X4615-01_因子設定!$B$16))),-1E+030)</f>
        <v>45.5840826023392</v>
      </c>
      <c r="AF4615" s="55" t="n">
        <f aca="false">AD4615+ROW()*0.000000001</f>
        <v>-2.46078724963953</v>
      </c>
      <c r="AG4615" s="55" t="n">
        <f aca="false">AE4615+ROW()*0.000000001</f>
        <v>45.5840872173392</v>
      </c>
    </row>
    <row r="4616" customFormat="false" ht="15" hidden="false" customHeight="false" outlineLevel="0" collapsed="false">
      <c r="A4616" s="0" t="n">
        <v>6</v>
      </c>
      <c r="B4616" s="0" t="n">
        <v>2</v>
      </c>
      <c r="C4616" s="0" t="n">
        <v>8</v>
      </c>
      <c r="D4616" s="0" t="n">
        <v>3</v>
      </c>
      <c r="E4616" s="0" t="n">
        <f aca="false">-1+A4616*0.25</f>
        <v>0.5</v>
      </c>
      <c r="F4616" s="0" t="n">
        <f aca="false">-1+B4616*0.25</f>
        <v>-0.5</v>
      </c>
      <c r="G4616" s="0" t="n">
        <f aca="false">-1+C4616*0.25</f>
        <v>1</v>
      </c>
      <c r="H4616" s="0" t="n">
        <f aca="false">-1+D4616*0.25</f>
        <v>-0.25</v>
      </c>
      <c r="I4616" s="0" t="n">
        <f aca="false">1</f>
        <v>1</v>
      </c>
      <c r="J4616" s="0" t="n">
        <f aca="false">E4616</f>
        <v>0.5</v>
      </c>
      <c r="K4616" s="0" t="n">
        <f aca="false">F4616</f>
        <v>-0.5</v>
      </c>
      <c r="L4616" s="0" t="n">
        <f aca="false">G4616</f>
        <v>1</v>
      </c>
      <c r="M4616" s="0" t="n">
        <f aca="false">H4616</f>
        <v>-0.25</v>
      </c>
      <c r="N4616" s="0" t="n">
        <f aca="false">E4616*F4616</f>
        <v>-0.25</v>
      </c>
      <c r="O4616" s="0" t="n">
        <f aca="false">E4616*G4616</f>
        <v>0.5</v>
      </c>
      <c r="P4616" s="0" t="n">
        <f aca="false">E4616*H4616</f>
        <v>-0.125</v>
      </c>
      <c r="Q4616" s="0" t="n">
        <f aca="false">F4616*G4616</f>
        <v>-0.5</v>
      </c>
      <c r="R4616" s="0" t="n">
        <f aca="false">F4616*H4616</f>
        <v>0.125</v>
      </c>
      <c r="S4616" s="0" t="n">
        <f aca="false">G4616*H4616</f>
        <v>-0.25</v>
      </c>
      <c r="T4616" s="0" t="n">
        <f aca="false">E4616*E4616</f>
        <v>0.25</v>
      </c>
      <c r="U4616" s="0" t="n">
        <f aca="false">F4616*F4616</f>
        <v>0.25</v>
      </c>
      <c r="V4616" s="0" t="n">
        <f aca="false">G4616*G4616</f>
        <v>1</v>
      </c>
      <c r="W4616" s="0" t="n">
        <f aca="false">H4616*H4616</f>
        <v>0.0625</v>
      </c>
      <c r="X4616" s="0" t="n">
        <f aca="false">SUMPRODUCT(I4616:W4616,_XtX!$B$96:$P$96)</f>
        <v>45.8712445175438</v>
      </c>
      <c r="Y4616" s="0" t="n">
        <f aca="false">SUMPRODUCT(MMULT(I4616:W4616,_XtX!$B$78:$P$92),I4616:W4616)</f>
        <v>0.428122715643275</v>
      </c>
      <c r="Z4616" s="0" t="n">
        <f aca="false">04_回帰ANOVA!$K$19*04_回帰ANOVA!$K$14*SQRT(1+Y4616)</f>
        <v>1.55769044623229</v>
      </c>
      <c r="AA4616" s="0" t="n">
        <f aca="false">X4616-Z4616</f>
        <v>44.3135540713115</v>
      </c>
      <c r="AB4616" s="0" t="n">
        <f aca="false">X4616+Z4616</f>
        <v>47.4289349637761</v>
      </c>
      <c r="AC4616" s="54" t="b">
        <f aca="false">AND(E4616&gt;=01_因子設定!$L$5-0.000000001,E4616&lt;=01_因子設定!$M$5+0.000000001,F4616&gt;=01_因子設定!$L$6-0.000000001,F4616&lt;=01_因子設定!$M$6+0.000000001,G4616&gt;=01_因子設定!$L$7-0.000000001,G4616&lt;=01_因子設定!$M$7+0.000000001,H4616&gt;=01_因子設定!$L$8-0.000000001,H4616&lt;=01_因子設定!$M$8+0.000000001,IF(01_因子設定!$B$20="Box-Behnken",E4616^2+F4616^2+G4616^2+H4616^2&lt;=2+0.000000001,TRUE()))</f>
        <v>1</v>
      </c>
      <c r="AD4616" s="55" t="n">
        <f aca="false">IF(AC4616,IF(01_因子設定!$B$13="最大化",AA4616-01_因子設定!$B$14,IF(01_因子設定!$B$13="最小化",01_因子設定!$B$15-AB4616,MIN(AA4616-01_因子設定!$B$14,01_因子設定!$B$15-AB4616))),-1E+030)</f>
        <v>-2.18644592868847</v>
      </c>
      <c r="AE4616" s="55" t="n">
        <f aca="false">IF(AC4616,IF(01_因子設定!$B$13="最大化",X4616,IF(01_因子設定!$B$13="最小化",-X4616,-ABS(X4616-01_因子設定!$B$16))),-1E+030)</f>
        <v>45.8712445175438</v>
      </c>
      <c r="AF4616" s="55" t="n">
        <f aca="false">AD4616+ROW()*0.000000001</f>
        <v>-2.18644131268847</v>
      </c>
      <c r="AG4616" s="55" t="n">
        <f aca="false">AE4616+ROW()*0.000000001</f>
        <v>45.8712491335438</v>
      </c>
    </row>
    <row r="4617" customFormat="false" ht="15" hidden="false" customHeight="false" outlineLevel="0" collapsed="false">
      <c r="A4617" s="0" t="n">
        <v>6</v>
      </c>
      <c r="B4617" s="0" t="n">
        <v>2</v>
      </c>
      <c r="C4617" s="0" t="n">
        <v>8</v>
      </c>
      <c r="D4617" s="0" t="n">
        <v>4</v>
      </c>
      <c r="E4617" s="0" t="n">
        <f aca="false">-1+A4617*0.25</f>
        <v>0.5</v>
      </c>
      <c r="F4617" s="0" t="n">
        <f aca="false">-1+B4617*0.25</f>
        <v>-0.5</v>
      </c>
      <c r="G4617" s="0" t="n">
        <f aca="false">-1+C4617*0.25</f>
        <v>1</v>
      </c>
      <c r="H4617" s="0" t="n">
        <f aca="false">-1+D4617*0.25</f>
        <v>0</v>
      </c>
      <c r="I4617" s="0" t="n">
        <f aca="false">1</f>
        <v>1</v>
      </c>
      <c r="J4617" s="0" t="n">
        <f aca="false">E4617</f>
        <v>0.5</v>
      </c>
      <c r="K4617" s="0" t="n">
        <f aca="false">F4617</f>
        <v>-0.5</v>
      </c>
      <c r="L4617" s="0" t="n">
        <f aca="false">G4617</f>
        <v>1</v>
      </c>
      <c r="M4617" s="0" t="n">
        <f aca="false">H4617</f>
        <v>0</v>
      </c>
      <c r="N4617" s="0" t="n">
        <f aca="false">E4617*F4617</f>
        <v>-0.25</v>
      </c>
      <c r="O4617" s="0" t="n">
        <f aca="false">E4617*G4617</f>
        <v>0.5</v>
      </c>
      <c r="P4617" s="0" t="n">
        <f aca="false">E4617*H4617</f>
        <v>0</v>
      </c>
      <c r="Q4617" s="0" t="n">
        <f aca="false">F4617*G4617</f>
        <v>-0.5</v>
      </c>
      <c r="R4617" s="0" t="n">
        <f aca="false">F4617*H4617</f>
        <v>-0</v>
      </c>
      <c r="S4617" s="0" t="n">
        <f aca="false">G4617*H4617</f>
        <v>0</v>
      </c>
      <c r="T4617" s="0" t="n">
        <f aca="false">E4617*E4617</f>
        <v>0.25</v>
      </c>
      <c r="U4617" s="0" t="n">
        <f aca="false">F4617*F4617</f>
        <v>0.25</v>
      </c>
      <c r="V4617" s="0" t="n">
        <f aca="false">G4617*G4617</f>
        <v>1</v>
      </c>
      <c r="W4617" s="0" t="n">
        <f aca="false">H4617*H4617</f>
        <v>0</v>
      </c>
      <c r="X4617" s="0" t="n">
        <f aca="false">SUMPRODUCT(I4617:W4617,_XtX!$B$96:$P$96)</f>
        <v>46.1105994152046</v>
      </c>
      <c r="Y4617" s="0" t="n">
        <f aca="false">SUMPRODUCT(MMULT(I4617:W4617,_XtX!$B$78:$P$92),I4617:W4617)</f>
        <v>0.441954495614035</v>
      </c>
      <c r="Z4617" s="0" t="n">
        <f aca="false">04_回帰ANOVA!$K$19*04_回帰ANOVA!$K$14*SQRT(1+Y4617)</f>
        <v>1.56521560968066</v>
      </c>
      <c r="AA4617" s="0" t="n">
        <f aca="false">X4617-Z4617</f>
        <v>44.545383805524</v>
      </c>
      <c r="AB4617" s="0" t="n">
        <f aca="false">X4617+Z4617</f>
        <v>47.6758150248853</v>
      </c>
      <c r="AC4617" s="54" t="b">
        <f aca="false">AND(E4617&gt;=01_因子設定!$L$5-0.000000001,E4617&lt;=01_因子設定!$M$5+0.000000001,F4617&gt;=01_因子設定!$L$6-0.000000001,F4617&lt;=01_因子設定!$M$6+0.000000001,G4617&gt;=01_因子設定!$L$7-0.000000001,G4617&lt;=01_因子設定!$M$7+0.000000001,H4617&gt;=01_因子設定!$L$8-0.000000001,H4617&lt;=01_因子設定!$M$8+0.000000001,IF(01_因子設定!$B$20="Box-Behnken",E4617^2+F4617^2+G4617^2+H4617^2&lt;=2+0.000000001,TRUE()))</f>
        <v>1</v>
      </c>
      <c r="AD4617" s="55" t="n">
        <f aca="false">IF(AC4617,IF(01_因子設定!$B$13="最大化",AA4617-01_因子設定!$B$14,IF(01_因子設定!$B$13="最小化",01_因子設定!$B$15-AB4617,MIN(AA4617-01_因子設定!$B$14,01_因子設定!$B$15-AB4617))),-1E+030)</f>
        <v>-1.95461619447602</v>
      </c>
      <c r="AE4617" s="55" t="n">
        <f aca="false">IF(AC4617,IF(01_因子設定!$B$13="最大化",X4617,IF(01_因子設定!$B$13="最小化",-X4617,-ABS(X4617-01_因子設定!$B$16))),-1E+030)</f>
        <v>46.1105994152046</v>
      </c>
      <c r="AF4617" s="55" t="n">
        <f aca="false">AD4617+ROW()*0.000000001</f>
        <v>-1.95461157747602</v>
      </c>
      <c r="AG4617" s="55" t="n">
        <f aca="false">AE4617+ROW()*0.000000001</f>
        <v>46.1106040322046</v>
      </c>
    </row>
    <row r="4618" customFormat="false" ht="15" hidden="false" customHeight="false" outlineLevel="0" collapsed="false">
      <c r="A4618" s="0" t="n">
        <v>6</v>
      </c>
      <c r="B4618" s="0" t="n">
        <v>2</v>
      </c>
      <c r="C4618" s="0" t="n">
        <v>8</v>
      </c>
      <c r="D4618" s="0" t="n">
        <v>5</v>
      </c>
      <c r="E4618" s="0" t="n">
        <f aca="false">-1+A4618*0.25</f>
        <v>0.5</v>
      </c>
      <c r="F4618" s="0" t="n">
        <f aca="false">-1+B4618*0.25</f>
        <v>-0.5</v>
      </c>
      <c r="G4618" s="0" t="n">
        <f aca="false">-1+C4618*0.25</f>
        <v>1</v>
      </c>
      <c r="H4618" s="0" t="n">
        <f aca="false">-1+D4618*0.25</f>
        <v>0.25</v>
      </c>
      <c r="I4618" s="0" t="n">
        <f aca="false">1</f>
        <v>1</v>
      </c>
      <c r="J4618" s="0" t="n">
        <f aca="false">E4618</f>
        <v>0.5</v>
      </c>
      <c r="K4618" s="0" t="n">
        <f aca="false">F4618</f>
        <v>-0.5</v>
      </c>
      <c r="L4618" s="0" t="n">
        <f aca="false">G4618</f>
        <v>1</v>
      </c>
      <c r="M4618" s="0" t="n">
        <f aca="false">H4618</f>
        <v>0.25</v>
      </c>
      <c r="N4618" s="0" t="n">
        <f aca="false">E4618*F4618</f>
        <v>-0.25</v>
      </c>
      <c r="O4618" s="0" t="n">
        <f aca="false">E4618*G4618</f>
        <v>0.5</v>
      </c>
      <c r="P4618" s="0" t="n">
        <f aca="false">E4618*H4618</f>
        <v>0.125</v>
      </c>
      <c r="Q4618" s="0" t="n">
        <f aca="false">F4618*G4618</f>
        <v>-0.5</v>
      </c>
      <c r="R4618" s="0" t="n">
        <f aca="false">F4618*H4618</f>
        <v>-0.125</v>
      </c>
      <c r="S4618" s="0" t="n">
        <f aca="false">G4618*H4618</f>
        <v>0.25</v>
      </c>
      <c r="T4618" s="0" t="n">
        <f aca="false">E4618*E4618</f>
        <v>0.25</v>
      </c>
      <c r="U4618" s="0" t="n">
        <f aca="false">F4618*F4618</f>
        <v>0.25</v>
      </c>
      <c r="V4618" s="0" t="n">
        <f aca="false">G4618*G4618</f>
        <v>1</v>
      </c>
      <c r="W4618" s="0" t="n">
        <f aca="false">H4618*H4618</f>
        <v>0.0625</v>
      </c>
      <c r="X4618" s="0" t="n">
        <f aca="false">SUMPRODUCT(I4618:W4618,_XtX!$B$96:$P$96)</f>
        <v>46.3021472953216</v>
      </c>
      <c r="Y4618" s="0" t="n">
        <f aca="false">SUMPRODUCT(MMULT(I4618:W4618,_XtX!$B$78:$P$92),I4618:W4618)</f>
        <v>0.428122715643275</v>
      </c>
      <c r="Z4618" s="0" t="n">
        <f aca="false">04_回帰ANOVA!$K$19*04_回帰ANOVA!$K$14*SQRT(1+Y4618)</f>
        <v>1.55769044623229</v>
      </c>
      <c r="AA4618" s="0" t="n">
        <f aca="false">X4618-Z4618</f>
        <v>44.7444568490893</v>
      </c>
      <c r="AB4618" s="0" t="n">
        <f aca="false">X4618+Z4618</f>
        <v>47.8598377415539</v>
      </c>
      <c r="AC4618" s="54" t="b">
        <f aca="false">AND(E4618&gt;=01_因子設定!$L$5-0.000000001,E4618&lt;=01_因子設定!$M$5+0.000000001,F4618&gt;=01_因子設定!$L$6-0.000000001,F4618&lt;=01_因子設定!$M$6+0.000000001,G4618&gt;=01_因子設定!$L$7-0.000000001,G4618&lt;=01_因子設定!$M$7+0.000000001,H4618&gt;=01_因子設定!$L$8-0.000000001,H4618&lt;=01_因子設定!$M$8+0.000000001,IF(01_因子設定!$B$20="Box-Behnken",E4618^2+F4618^2+G4618^2+H4618^2&lt;=2+0.000000001,TRUE()))</f>
        <v>1</v>
      </c>
      <c r="AD4618" s="55" t="n">
        <f aca="false">IF(AC4618,IF(01_因子設定!$B$13="最大化",AA4618-01_因子設定!$B$14,IF(01_因子設定!$B$13="最小化",01_因子設定!$B$15-AB4618,MIN(AA4618-01_因子設定!$B$14,01_因子設定!$B$15-AB4618))),-1E+030)</f>
        <v>-1.7555431509107</v>
      </c>
      <c r="AE4618" s="55" t="n">
        <f aca="false">IF(AC4618,IF(01_因子設定!$B$13="最大化",X4618,IF(01_因子設定!$B$13="最小化",-X4618,-ABS(X4618-01_因子設定!$B$16))),-1E+030)</f>
        <v>46.3021472953216</v>
      </c>
      <c r="AF4618" s="55" t="n">
        <f aca="false">AD4618+ROW()*0.000000001</f>
        <v>-1.7555385329107</v>
      </c>
      <c r="AG4618" s="55" t="n">
        <f aca="false">AE4618+ROW()*0.000000001</f>
        <v>46.3021519133216</v>
      </c>
    </row>
    <row r="4619" customFormat="false" ht="15" hidden="false" customHeight="false" outlineLevel="0" collapsed="false">
      <c r="A4619" s="0" t="n">
        <v>6</v>
      </c>
      <c r="B4619" s="0" t="n">
        <v>2</v>
      </c>
      <c r="C4619" s="0" t="n">
        <v>8</v>
      </c>
      <c r="D4619" s="0" t="n">
        <v>6</v>
      </c>
      <c r="E4619" s="0" t="n">
        <f aca="false">-1+A4619*0.25</f>
        <v>0.5</v>
      </c>
      <c r="F4619" s="0" t="n">
        <f aca="false">-1+B4619*0.25</f>
        <v>-0.5</v>
      </c>
      <c r="G4619" s="0" t="n">
        <f aca="false">-1+C4619*0.25</f>
        <v>1</v>
      </c>
      <c r="H4619" s="0" t="n">
        <f aca="false">-1+D4619*0.25</f>
        <v>0.5</v>
      </c>
      <c r="I4619" s="0" t="n">
        <f aca="false">1</f>
        <v>1</v>
      </c>
      <c r="J4619" s="0" t="n">
        <f aca="false">E4619</f>
        <v>0.5</v>
      </c>
      <c r="K4619" s="0" t="n">
        <f aca="false">F4619</f>
        <v>-0.5</v>
      </c>
      <c r="L4619" s="0" t="n">
        <f aca="false">G4619</f>
        <v>1</v>
      </c>
      <c r="M4619" s="0" t="n">
        <f aca="false">H4619</f>
        <v>0.5</v>
      </c>
      <c r="N4619" s="0" t="n">
        <f aca="false">E4619*F4619</f>
        <v>-0.25</v>
      </c>
      <c r="O4619" s="0" t="n">
        <f aca="false">E4619*G4619</f>
        <v>0.5</v>
      </c>
      <c r="P4619" s="0" t="n">
        <f aca="false">E4619*H4619</f>
        <v>0.25</v>
      </c>
      <c r="Q4619" s="0" t="n">
        <f aca="false">F4619*G4619</f>
        <v>-0.5</v>
      </c>
      <c r="R4619" s="0" t="n">
        <f aca="false">F4619*H4619</f>
        <v>-0.25</v>
      </c>
      <c r="S4619" s="0" t="n">
        <f aca="false">G4619*H4619</f>
        <v>0.5</v>
      </c>
      <c r="T4619" s="0" t="n">
        <f aca="false">E4619*E4619</f>
        <v>0.25</v>
      </c>
      <c r="U4619" s="0" t="n">
        <f aca="false">F4619*F4619</f>
        <v>0.25</v>
      </c>
      <c r="V4619" s="0" t="n">
        <f aca="false">G4619*G4619</f>
        <v>1</v>
      </c>
      <c r="W4619" s="0" t="n">
        <f aca="false">H4619*H4619</f>
        <v>0.25</v>
      </c>
      <c r="X4619" s="0" t="n">
        <f aca="false">SUMPRODUCT(I4619:W4619,_XtX!$B$96:$P$96)</f>
        <v>46.4458881578947</v>
      </c>
      <c r="Y4619" s="0" t="n">
        <f aca="false">SUMPRODUCT(MMULT(I4619:W4619,_XtX!$B$78:$P$92),I4619:W4619)</f>
        <v>0.404719480994152</v>
      </c>
      <c r="Z4619" s="0" t="n">
        <f aca="false">04_回帰ANOVA!$K$19*04_回帰ANOVA!$K$14*SQRT(1+Y4619)</f>
        <v>1.54487446697867</v>
      </c>
      <c r="AA4619" s="0" t="n">
        <f aca="false">X4619-Z4619</f>
        <v>44.901013690916</v>
      </c>
      <c r="AB4619" s="0" t="n">
        <f aca="false">X4619+Z4619</f>
        <v>47.9907626248734</v>
      </c>
      <c r="AC4619" s="54" t="b">
        <f aca="false">AND(E4619&gt;=01_因子設定!$L$5-0.000000001,E4619&lt;=01_因子設定!$M$5+0.000000001,F4619&gt;=01_因子設定!$L$6-0.000000001,F4619&lt;=01_因子設定!$M$6+0.000000001,G4619&gt;=01_因子設定!$L$7-0.000000001,G4619&lt;=01_因子設定!$M$7+0.000000001,H4619&gt;=01_因子設定!$L$8-0.000000001,H4619&lt;=01_因子設定!$M$8+0.000000001,IF(01_因子設定!$B$20="Box-Behnken",E4619^2+F4619^2+G4619^2+H4619^2&lt;=2+0.000000001,TRUE()))</f>
        <v>1</v>
      </c>
      <c r="AD4619" s="55" t="n">
        <f aca="false">IF(AC4619,IF(01_因子設定!$B$13="最大化",AA4619-01_因子設定!$B$14,IF(01_因子設定!$B$13="最小化",01_因子設定!$B$15-AB4619,MIN(AA4619-01_因子設定!$B$14,01_因子設定!$B$15-AB4619))),-1E+030)</f>
        <v>-1.59898630908397</v>
      </c>
      <c r="AE4619" s="55" t="n">
        <f aca="false">IF(AC4619,IF(01_因子設定!$B$13="最大化",X4619,IF(01_因子設定!$B$13="最小化",-X4619,-ABS(X4619-01_因子設定!$B$16))),-1E+030)</f>
        <v>46.4458881578947</v>
      </c>
      <c r="AF4619" s="55" t="n">
        <f aca="false">AD4619+ROW()*0.000000001</f>
        <v>-1.59898169008397</v>
      </c>
      <c r="AG4619" s="55" t="n">
        <f aca="false">AE4619+ROW()*0.000000001</f>
        <v>46.4458927768947</v>
      </c>
    </row>
    <row r="4620" customFormat="false" ht="15" hidden="false" customHeight="false" outlineLevel="0" collapsed="false">
      <c r="A4620" s="0" t="n">
        <v>6</v>
      </c>
      <c r="B4620" s="0" t="n">
        <v>2</v>
      </c>
      <c r="C4620" s="0" t="n">
        <v>8</v>
      </c>
      <c r="D4620" s="0" t="n">
        <v>7</v>
      </c>
      <c r="E4620" s="0" t="n">
        <f aca="false">-1+A4620*0.25</f>
        <v>0.5</v>
      </c>
      <c r="F4620" s="0" t="n">
        <f aca="false">-1+B4620*0.25</f>
        <v>-0.5</v>
      </c>
      <c r="G4620" s="0" t="n">
        <f aca="false">-1+C4620*0.25</f>
        <v>1</v>
      </c>
      <c r="H4620" s="0" t="n">
        <f aca="false">-1+D4620*0.25</f>
        <v>0.75</v>
      </c>
      <c r="I4620" s="0" t="n">
        <f aca="false">1</f>
        <v>1</v>
      </c>
      <c r="J4620" s="0" t="n">
        <f aca="false">E4620</f>
        <v>0.5</v>
      </c>
      <c r="K4620" s="0" t="n">
        <f aca="false">F4620</f>
        <v>-0.5</v>
      </c>
      <c r="L4620" s="0" t="n">
        <f aca="false">G4620</f>
        <v>1</v>
      </c>
      <c r="M4620" s="0" t="n">
        <f aca="false">H4620</f>
        <v>0.75</v>
      </c>
      <c r="N4620" s="0" t="n">
        <f aca="false">E4620*F4620</f>
        <v>-0.25</v>
      </c>
      <c r="O4620" s="0" t="n">
        <f aca="false">E4620*G4620</f>
        <v>0.5</v>
      </c>
      <c r="P4620" s="0" t="n">
        <f aca="false">E4620*H4620</f>
        <v>0.375</v>
      </c>
      <c r="Q4620" s="0" t="n">
        <f aca="false">F4620*G4620</f>
        <v>-0.5</v>
      </c>
      <c r="R4620" s="0" t="n">
        <f aca="false">F4620*H4620</f>
        <v>-0.375</v>
      </c>
      <c r="S4620" s="0" t="n">
        <f aca="false">G4620*H4620</f>
        <v>0.75</v>
      </c>
      <c r="T4620" s="0" t="n">
        <f aca="false">E4620*E4620</f>
        <v>0.25</v>
      </c>
      <c r="U4620" s="0" t="n">
        <f aca="false">F4620*F4620</f>
        <v>0.25</v>
      </c>
      <c r="V4620" s="0" t="n">
        <f aca="false">G4620*G4620</f>
        <v>1</v>
      </c>
      <c r="W4620" s="0" t="n">
        <f aca="false">H4620*H4620</f>
        <v>0.5625</v>
      </c>
      <c r="X4620" s="0" t="n">
        <f aca="false">SUMPRODUCT(I4620:W4620,_XtX!$B$96:$P$96)</f>
        <v>46.541822002924</v>
      </c>
      <c r="Y4620" s="0" t="n">
        <f aca="false">SUMPRODUCT(MMULT(I4620:W4620,_XtX!$B$78:$P$92),I4620:W4620)</f>
        <v>0.42602110745614</v>
      </c>
      <c r="Z4620" s="0" t="n">
        <f aca="false">04_回帰ANOVA!$K$19*04_回帰ANOVA!$K$14*SQRT(1+Y4620)</f>
        <v>1.55654388501114</v>
      </c>
      <c r="AA4620" s="0" t="n">
        <f aca="false">X4620-Z4620</f>
        <v>44.9852781179128</v>
      </c>
      <c r="AB4620" s="0" t="n">
        <f aca="false">X4620+Z4620</f>
        <v>48.0983658879351</v>
      </c>
      <c r="AC4620" s="54" t="b">
        <f aca="false">AND(E4620&gt;=01_因子設定!$L$5-0.000000001,E4620&lt;=01_因子設定!$M$5+0.000000001,F4620&gt;=01_因子設定!$L$6-0.000000001,F4620&lt;=01_因子設定!$M$6+0.000000001,G4620&gt;=01_因子設定!$L$7-0.000000001,G4620&lt;=01_因子設定!$M$7+0.000000001,H4620&gt;=01_因子設定!$L$8-0.000000001,H4620&lt;=01_因子設定!$M$8+0.000000001,IF(01_因子設定!$B$20="Box-Behnken",E4620^2+F4620^2+G4620^2+H4620^2&lt;=2+0.000000001,TRUE()))</f>
        <v>1</v>
      </c>
      <c r="AD4620" s="55" t="n">
        <f aca="false">IF(AC4620,IF(01_因子設定!$B$13="最大化",AA4620-01_因子設定!$B$14,IF(01_因子設定!$B$13="最小化",01_因子設定!$B$15-AB4620,MIN(AA4620-01_因子設定!$B$14,01_因子設定!$B$15-AB4620))),-1E+030)</f>
        <v>-1.51472188208718</v>
      </c>
      <c r="AE4620" s="55" t="n">
        <f aca="false">IF(AC4620,IF(01_因子設定!$B$13="最大化",X4620,IF(01_因子設定!$B$13="最小化",-X4620,-ABS(X4620-01_因子設定!$B$16))),-1E+030)</f>
        <v>46.541822002924</v>
      </c>
      <c r="AF4620" s="55" t="n">
        <f aca="false">AD4620+ROW()*0.000000001</f>
        <v>-1.51471726208718</v>
      </c>
      <c r="AG4620" s="55" t="n">
        <f aca="false">AE4620+ROW()*0.000000001</f>
        <v>46.541826622924</v>
      </c>
    </row>
    <row r="4621" customFormat="false" ht="15" hidden="false" customHeight="false" outlineLevel="0" collapsed="false">
      <c r="A4621" s="0" t="n">
        <v>6</v>
      </c>
      <c r="B4621" s="0" t="n">
        <v>2</v>
      </c>
      <c r="C4621" s="0" t="n">
        <v>8</v>
      </c>
      <c r="D4621" s="0" t="n">
        <v>8</v>
      </c>
      <c r="E4621" s="0" t="n">
        <f aca="false">-1+A4621*0.25</f>
        <v>0.5</v>
      </c>
      <c r="F4621" s="0" t="n">
        <f aca="false">-1+B4621*0.25</f>
        <v>-0.5</v>
      </c>
      <c r="G4621" s="0" t="n">
        <f aca="false">-1+C4621*0.25</f>
        <v>1</v>
      </c>
      <c r="H4621" s="0" t="n">
        <f aca="false">-1+D4621*0.25</f>
        <v>1</v>
      </c>
      <c r="I4621" s="0" t="n">
        <f aca="false">1</f>
        <v>1</v>
      </c>
      <c r="J4621" s="0" t="n">
        <f aca="false">E4621</f>
        <v>0.5</v>
      </c>
      <c r="K4621" s="0" t="n">
        <f aca="false">F4621</f>
        <v>-0.5</v>
      </c>
      <c r="L4621" s="0" t="n">
        <f aca="false">G4621</f>
        <v>1</v>
      </c>
      <c r="M4621" s="0" t="n">
        <f aca="false">H4621</f>
        <v>1</v>
      </c>
      <c r="N4621" s="0" t="n">
        <f aca="false">E4621*F4621</f>
        <v>-0.25</v>
      </c>
      <c r="O4621" s="0" t="n">
        <f aca="false">E4621*G4621</f>
        <v>0.5</v>
      </c>
      <c r="P4621" s="0" t="n">
        <f aca="false">E4621*H4621</f>
        <v>0.5</v>
      </c>
      <c r="Q4621" s="0" t="n">
        <f aca="false">F4621*G4621</f>
        <v>-0.5</v>
      </c>
      <c r="R4621" s="0" t="n">
        <f aca="false">F4621*H4621</f>
        <v>-0.5</v>
      </c>
      <c r="S4621" s="0" t="n">
        <f aca="false">G4621*H4621</f>
        <v>1</v>
      </c>
      <c r="T4621" s="0" t="n">
        <f aca="false">E4621*E4621</f>
        <v>0.25</v>
      </c>
      <c r="U4621" s="0" t="n">
        <f aca="false">F4621*F4621</f>
        <v>0.25</v>
      </c>
      <c r="V4621" s="0" t="n">
        <f aca="false">G4621*G4621</f>
        <v>1</v>
      </c>
      <c r="W4621" s="0" t="n">
        <f aca="false">H4621*H4621</f>
        <v>1</v>
      </c>
      <c r="X4621" s="0" t="n">
        <f aca="false">SUMPRODUCT(I4621:W4621,_XtX!$B$96:$P$96)</f>
        <v>46.5899488304094</v>
      </c>
      <c r="Y4621" s="0" t="n">
        <f aca="false">SUMPRODUCT(MMULT(I4621:W4621,_XtX!$B$78:$P$92),I4621:W4621)</f>
        <v>0.582488121345029</v>
      </c>
      <c r="Z4621" s="0" t="n">
        <f aca="false">04_回帰ANOVA!$K$19*04_回帰ANOVA!$K$14*SQRT(1+Y4621)</f>
        <v>1.63971595338287</v>
      </c>
      <c r="AA4621" s="0" t="n">
        <f aca="false">X4621-Z4621</f>
        <v>44.9502328770265</v>
      </c>
      <c r="AB4621" s="0" t="n">
        <f aca="false">X4621+Z4621</f>
        <v>48.2296647837922</v>
      </c>
      <c r="AC4621" s="54" t="b">
        <f aca="false">AND(E4621&gt;=01_因子設定!$L$5-0.000000001,E4621&lt;=01_因子設定!$M$5+0.000000001,F4621&gt;=01_因子設定!$L$6-0.000000001,F4621&lt;=01_因子設定!$M$6+0.000000001,G4621&gt;=01_因子設定!$L$7-0.000000001,G4621&lt;=01_因子設定!$M$7+0.000000001,H4621&gt;=01_因子設定!$L$8-0.000000001,H4621&lt;=01_因子設定!$M$8+0.000000001,IF(01_因子設定!$B$20="Box-Behnken",E4621^2+F4621^2+G4621^2+H4621^2&lt;=2+0.000000001,TRUE()))</f>
        <v>1</v>
      </c>
      <c r="AD4621" s="55" t="n">
        <f aca="false">IF(AC4621,IF(01_因子設定!$B$13="最大化",AA4621-01_因子設定!$B$14,IF(01_因子設定!$B$13="最小化",01_因子設定!$B$15-AB4621,MIN(AA4621-01_因子設定!$B$14,01_因子設定!$B$15-AB4621))),-1E+030)</f>
        <v>-1.54976712297351</v>
      </c>
      <c r="AE4621" s="55" t="n">
        <f aca="false">IF(AC4621,IF(01_因子設定!$B$13="最大化",X4621,IF(01_因子設定!$B$13="最小化",-X4621,-ABS(X4621-01_因子設定!$B$16))),-1E+030)</f>
        <v>46.5899488304094</v>
      </c>
      <c r="AF4621" s="55" t="n">
        <f aca="false">AD4621+ROW()*0.000000001</f>
        <v>-1.54976250197351</v>
      </c>
      <c r="AG4621" s="55" t="n">
        <f aca="false">AE4621+ROW()*0.000000001</f>
        <v>46.5899534514094</v>
      </c>
    </row>
    <row r="4622" customFormat="false" ht="15" hidden="false" customHeight="false" outlineLevel="0" collapsed="false">
      <c r="A4622" s="0" t="n">
        <v>6</v>
      </c>
      <c r="B4622" s="0" t="n">
        <v>3</v>
      </c>
      <c r="C4622" s="0" t="n">
        <v>0</v>
      </c>
      <c r="D4622" s="0" t="n">
        <v>0</v>
      </c>
      <c r="E4622" s="0" t="n">
        <f aca="false">-1+A4622*0.25</f>
        <v>0.5</v>
      </c>
      <c r="F4622" s="0" t="n">
        <f aca="false">-1+B4622*0.25</f>
        <v>-0.25</v>
      </c>
      <c r="G4622" s="0" t="n">
        <f aca="false">-1+C4622*0.25</f>
        <v>-1</v>
      </c>
      <c r="H4622" s="0" t="n">
        <f aca="false">-1+D4622*0.25</f>
        <v>-1</v>
      </c>
      <c r="I4622" s="0" t="n">
        <f aca="false">1</f>
        <v>1</v>
      </c>
      <c r="J4622" s="0" t="n">
        <f aca="false">E4622</f>
        <v>0.5</v>
      </c>
      <c r="K4622" s="0" t="n">
        <f aca="false">F4622</f>
        <v>-0.25</v>
      </c>
      <c r="L4622" s="0" t="n">
        <f aca="false">G4622</f>
        <v>-1</v>
      </c>
      <c r="M4622" s="0" t="n">
        <f aca="false">H4622</f>
        <v>-1</v>
      </c>
      <c r="N4622" s="0" t="n">
        <f aca="false">E4622*F4622</f>
        <v>-0.125</v>
      </c>
      <c r="O4622" s="0" t="n">
        <f aca="false">E4622*G4622</f>
        <v>-0.5</v>
      </c>
      <c r="P4622" s="0" t="n">
        <f aca="false">E4622*H4622</f>
        <v>-0.5</v>
      </c>
      <c r="Q4622" s="0" t="n">
        <f aca="false">F4622*G4622</f>
        <v>0.25</v>
      </c>
      <c r="R4622" s="0" t="n">
        <f aca="false">F4622*H4622</f>
        <v>0.25</v>
      </c>
      <c r="S4622" s="0" t="n">
        <f aca="false">G4622*H4622</f>
        <v>1</v>
      </c>
      <c r="T4622" s="0" t="n">
        <f aca="false">E4622*E4622</f>
        <v>0.25</v>
      </c>
      <c r="U4622" s="0" t="n">
        <f aca="false">F4622*F4622</f>
        <v>0.0625</v>
      </c>
      <c r="V4622" s="0" t="n">
        <f aca="false">G4622*G4622</f>
        <v>1</v>
      </c>
      <c r="W4622" s="0" t="n">
        <f aca="false">H4622*H4622</f>
        <v>1</v>
      </c>
      <c r="X4622" s="0" t="n">
        <f aca="false">SUMPRODUCT(I4622:W4622,_XtX!$B$96:$P$96)</f>
        <v>45.5606176900585</v>
      </c>
      <c r="Y4622" s="0" t="n">
        <f aca="false">SUMPRODUCT(MMULT(I4622:W4622,_XtX!$B$78:$P$92),I4622:W4622)</f>
        <v>0.629174661915205</v>
      </c>
      <c r="Z4622" s="0" t="n">
        <f aca="false">04_回帰ANOVA!$K$19*04_回帰ANOVA!$K$14*SQRT(1+Y4622)</f>
        <v>1.66372758058297</v>
      </c>
      <c r="AA4622" s="0" t="n">
        <f aca="false">X4622-Z4622</f>
        <v>43.8968901094755</v>
      </c>
      <c r="AB4622" s="0" t="n">
        <f aca="false">X4622+Z4622</f>
        <v>47.2243452706415</v>
      </c>
      <c r="AC4622" s="54" t="b">
        <f aca="false">AND(E4622&gt;=01_因子設定!$L$5-0.000000001,E4622&lt;=01_因子設定!$M$5+0.000000001,F4622&gt;=01_因子設定!$L$6-0.000000001,F4622&lt;=01_因子設定!$M$6+0.000000001,G4622&gt;=01_因子設定!$L$7-0.000000001,G4622&lt;=01_因子設定!$M$7+0.000000001,H4622&gt;=01_因子設定!$L$8-0.000000001,H4622&lt;=01_因子設定!$M$8+0.000000001,IF(01_因子設定!$B$20="Box-Behnken",E4622^2+F4622^2+G4622^2+H4622^2&lt;=2+0.000000001,TRUE()))</f>
        <v>1</v>
      </c>
      <c r="AD4622" s="55" t="n">
        <f aca="false">IF(AC4622,IF(01_因子設定!$B$13="最大化",AA4622-01_因子設定!$B$14,IF(01_因子設定!$B$13="最小化",01_因子設定!$B$15-AB4622,MIN(AA4622-01_因子設定!$B$14,01_因子設定!$B$15-AB4622))),-1E+030)</f>
        <v>-2.60310989052449</v>
      </c>
      <c r="AE4622" s="55" t="n">
        <f aca="false">IF(AC4622,IF(01_因子設定!$B$13="最大化",X4622,IF(01_因子設定!$B$13="最小化",-X4622,-ABS(X4622-01_因子設定!$B$16))),-1E+030)</f>
        <v>45.5606176900585</v>
      </c>
      <c r="AF4622" s="55" t="n">
        <f aca="false">AD4622+ROW()*0.000000001</f>
        <v>-2.60310526852449</v>
      </c>
      <c r="AG4622" s="55" t="n">
        <f aca="false">AE4622+ROW()*0.000000001</f>
        <v>45.5606223120585</v>
      </c>
    </row>
    <row r="4623" customFormat="false" ht="15" hidden="false" customHeight="false" outlineLevel="0" collapsed="false">
      <c r="A4623" s="0" t="n">
        <v>6</v>
      </c>
      <c r="B4623" s="0" t="n">
        <v>3</v>
      </c>
      <c r="C4623" s="0" t="n">
        <v>0</v>
      </c>
      <c r="D4623" s="0" t="n">
        <v>1</v>
      </c>
      <c r="E4623" s="0" t="n">
        <f aca="false">-1+A4623*0.25</f>
        <v>0.5</v>
      </c>
      <c r="F4623" s="0" t="n">
        <f aca="false">-1+B4623*0.25</f>
        <v>-0.25</v>
      </c>
      <c r="G4623" s="0" t="n">
        <f aca="false">-1+C4623*0.25</f>
        <v>-1</v>
      </c>
      <c r="H4623" s="0" t="n">
        <f aca="false">-1+D4623*0.25</f>
        <v>-0.75</v>
      </c>
      <c r="I4623" s="0" t="n">
        <f aca="false">1</f>
        <v>1</v>
      </c>
      <c r="J4623" s="0" t="n">
        <f aca="false">E4623</f>
        <v>0.5</v>
      </c>
      <c r="K4623" s="0" t="n">
        <f aca="false">F4623</f>
        <v>-0.25</v>
      </c>
      <c r="L4623" s="0" t="n">
        <f aca="false">G4623</f>
        <v>-1</v>
      </c>
      <c r="M4623" s="0" t="n">
        <f aca="false">H4623</f>
        <v>-0.75</v>
      </c>
      <c r="N4623" s="0" t="n">
        <f aca="false">E4623*F4623</f>
        <v>-0.125</v>
      </c>
      <c r="O4623" s="0" t="n">
        <f aca="false">E4623*G4623</f>
        <v>-0.5</v>
      </c>
      <c r="P4623" s="0" t="n">
        <f aca="false">E4623*H4623</f>
        <v>-0.375</v>
      </c>
      <c r="Q4623" s="0" t="n">
        <f aca="false">F4623*G4623</f>
        <v>0.25</v>
      </c>
      <c r="R4623" s="0" t="n">
        <f aca="false">F4623*H4623</f>
        <v>0.1875</v>
      </c>
      <c r="S4623" s="0" t="n">
        <f aca="false">G4623*H4623</f>
        <v>0.75</v>
      </c>
      <c r="T4623" s="0" t="n">
        <f aca="false">E4623*E4623</f>
        <v>0.25</v>
      </c>
      <c r="U4623" s="0" t="n">
        <f aca="false">F4623*F4623</f>
        <v>0.0625</v>
      </c>
      <c r="V4623" s="0" t="n">
        <f aca="false">G4623*G4623</f>
        <v>1</v>
      </c>
      <c r="W4623" s="0" t="n">
        <f aca="false">H4623*H4623</f>
        <v>0.5625</v>
      </c>
      <c r="X4623" s="0" t="n">
        <f aca="false">SUMPRODUCT(I4623:W4623,_XtX!$B$96:$P$96)</f>
        <v>45.7863623903509</v>
      </c>
      <c r="Y4623" s="0" t="n">
        <f aca="false">SUMPRODUCT(MMULT(I4623:W4623,_XtX!$B$78:$P$92),I4623:W4623)</f>
        <v>0.459125719572369</v>
      </c>
      <c r="Z4623" s="0" t="n">
        <f aca="false">04_回帰ANOVA!$K$19*04_回帰ANOVA!$K$14*SQRT(1+Y4623)</f>
        <v>1.57450755575573</v>
      </c>
      <c r="AA4623" s="0" t="n">
        <f aca="false">X4623-Z4623</f>
        <v>44.2118548345951</v>
      </c>
      <c r="AB4623" s="0" t="n">
        <f aca="false">X4623+Z4623</f>
        <v>47.3608699461066</v>
      </c>
      <c r="AC4623" s="54" t="b">
        <f aca="false">AND(E4623&gt;=01_因子設定!$L$5-0.000000001,E4623&lt;=01_因子設定!$M$5+0.000000001,F4623&gt;=01_因子設定!$L$6-0.000000001,F4623&lt;=01_因子設定!$M$6+0.000000001,G4623&gt;=01_因子設定!$L$7-0.000000001,G4623&lt;=01_因子設定!$M$7+0.000000001,H4623&gt;=01_因子設定!$L$8-0.000000001,H4623&lt;=01_因子設定!$M$8+0.000000001,IF(01_因子設定!$B$20="Box-Behnken",E4623^2+F4623^2+G4623^2+H4623^2&lt;=2+0.000000001,TRUE()))</f>
        <v>1</v>
      </c>
      <c r="AD4623" s="55" t="n">
        <f aca="false">IF(AC4623,IF(01_因子設定!$B$13="最大化",AA4623-01_因子設定!$B$14,IF(01_因子設定!$B$13="最小化",01_因子設定!$B$15-AB4623,MIN(AA4623-01_因子設定!$B$14,01_因子設定!$B$15-AB4623))),-1E+030)</f>
        <v>-2.28814516540487</v>
      </c>
      <c r="AE4623" s="55" t="n">
        <f aca="false">IF(AC4623,IF(01_因子設定!$B$13="最大化",X4623,IF(01_因子設定!$B$13="最小化",-X4623,-ABS(X4623-01_因子設定!$B$16))),-1E+030)</f>
        <v>45.7863623903509</v>
      </c>
      <c r="AF4623" s="55" t="n">
        <f aca="false">AD4623+ROW()*0.000000001</f>
        <v>-2.28814054240487</v>
      </c>
      <c r="AG4623" s="55" t="n">
        <f aca="false">AE4623+ROW()*0.000000001</f>
        <v>45.7863670133509</v>
      </c>
    </row>
    <row r="4624" customFormat="false" ht="15" hidden="false" customHeight="false" outlineLevel="0" collapsed="false">
      <c r="A4624" s="0" t="n">
        <v>6</v>
      </c>
      <c r="B4624" s="0" t="n">
        <v>3</v>
      </c>
      <c r="C4624" s="0" t="n">
        <v>0</v>
      </c>
      <c r="D4624" s="0" t="n">
        <v>2</v>
      </c>
      <c r="E4624" s="0" t="n">
        <f aca="false">-1+A4624*0.25</f>
        <v>0.5</v>
      </c>
      <c r="F4624" s="0" t="n">
        <f aca="false">-1+B4624*0.25</f>
        <v>-0.25</v>
      </c>
      <c r="G4624" s="0" t="n">
        <f aca="false">-1+C4624*0.25</f>
        <v>-1</v>
      </c>
      <c r="H4624" s="0" t="n">
        <f aca="false">-1+D4624*0.25</f>
        <v>-0.5</v>
      </c>
      <c r="I4624" s="0" t="n">
        <f aca="false">1</f>
        <v>1</v>
      </c>
      <c r="J4624" s="0" t="n">
        <f aca="false">E4624</f>
        <v>0.5</v>
      </c>
      <c r="K4624" s="0" t="n">
        <f aca="false">F4624</f>
        <v>-0.25</v>
      </c>
      <c r="L4624" s="0" t="n">
        <f aca="false">G4624</f>
        <v>-1</v>
      </c>
      <c r="M4624" s="0" t="n">
        <f aca="false">H4624</f>
        <v>-0.5</v>
      </c>
      <c r="N4624" s="0" t="n">
        <f aca="false">E4624*F4624</f>
        <v>-0.125</v>
      </c>
      <c r="O4624" s="0" t="n">
        <f aca="false">E4624*G4624</f>
        <v>-0.5</v>
      </c>
      <c r="P4624" s="0" t="n">
        <f aca="false">E4624*H4624</f>
        <v>-0.25</v>
      </c>
      <c r="Q4624" s="0" t="n">
        <f aca="false">F4624*G4624</f>
        <v>0.25</v>
      </c>
      <c r="R4624" s="0" t="n">
        <f aca="false">F4624*H4624</f>
        <v>0.125</v>
      </c>
      <c r="S4624" s="0" t="n">
        <f aca="false">G4624*H4624</f>
        <v>0.5</v>
      </c>
      <c r="T4624" s="0" t="n">
        <f aca="false">E4624*E4624</f>
        <v>0.25</v>
      </c>
      <c r="U4624" s="0" t="n">
        <f aca="false">F4624*F4624</f>
        <v>0.0625</v>
      </c>
      <c r="V4624" s="0" t="n">
        <f aca="false">G4624*G4624</f>
        <v>1</v>
      </c>
      <c r="W4624" s="0" t="n">
        <f aca="false">H4624*H4624</f>
        <v>0.25</v>
      </c>
      <c r="X4624" s="0" t="n">
        <f aca="false">SUMPRODUCT(I4624:W4624,_XtX!$B$96:$P$96)</f>
        <v>45.9643000730994</v>
      </c>
      <c r="Y4624" s="0" t="n">
        <f aca="false">SUMPRODUCT(MMULT(I4624:W4624,_XtX!$B$78:$P$92),I4624:W4624)</f>
        <v>0.428122715643275</v>
      </c>
      <c r="Z4624" s="0" t="n">
        <f aca="false">04_回帰ANOVA!$K$19*04_回帰ANOVA!$K$14*SQRT(1+Y4624)</f>
        <v>1.55769044623229</v>
      </c>
      <c r="AA4624" s="0" t="n">
        <f aca="false">X4624-Z4624</f>
        <v>44.4066096268671</v>
      </c>
      <c r="AB4624" s="0" t="n">
        <f aca="false">X4624+Z4624</f>
        <v>47.5219905193317</v>
      </c>
      <c r="AC4624" s="54" t="b">
        <f aca="false">AND(E4624&gt;=01_因子設定!$L$5-0.000000001,E4624&lt;=01_因子設定!$M$5+0.000000001,F4624&gt;=01_因子設定!$L$6-0.000000001,F4624&lt;=01_因子設定!$M$6+0.000000001,G4624&gt;=01_因子設定!$L$7-0.000000001,G4624&lt;=01_因子設定!$M$7+0.000000001,H4624&gt;=01_因子設定!$L$8-0.000000001,H4624&lt;=01_因子設定!$M$8+0.000000001,IF(01_因子設定!$B$20="Box-Behnken",E4624^2+F4624^2+G4624^2+H4624^2&lt;=2+0.000000001,TRUE()))</f>
        <v>1</v>
      </c>
      <c r="AD4624" s="55" t="n">
        <f aca="false">IF(AC4624,IF(01_因子設定!$B$13="最大化",AA4624-01_因子設定!$B$14,IF(01_因子設定!$B$13="最小化",01_因子設定!$B$15-AB4624,MIN(AA4624-01_因子設定!$B$14,01_因子設定!$B$15-AB4624))),-1E+030)</f>
        <v>-2.09339037313291</v>
      </c>
      <c r="AE4624" s="55" t="n">
        <f aca="false">IF(AC4624,IF(01_因子設定!$B$13="最大化",X4624,IF(01_因子設定!$B$13="最小化",-X4624,-ABS(X4624-01_因子設定!$B$16))),-1E+030)</f>
        <v>45.9643000730994</v>
      </c>
      <c r="AF4624" s="55" t="n">
        <f aca="false">AD4624+ROW()*0.000000001</f>
        <v>-2.09338574913291</v>
      </c>
      <c r="AG4624" s="55" t="n">
        <f aca="false">AE4624+ROW()*0.000000001</f>
        <v>45.9643046970994</v>
      </c>
    </row>
    <row r="4625" customFormat="false" ht="15" hidden="false" customHeight="false" outlineLevel="0" collapsed="false">
      <c r="A4625" s="0" t="n">
        <v>6</v>
      </c>
      <c r="B4625" s="0" t="n">
        <v>3</v>
      </c>
      <c r="C4625" s="0" t="n">
        <v>0</v>
      </c>
      <c r="D4625" s="0" t="n">
        <v>3</v>
      </c>
      <c r="E4625" s="0" t="n">
        <f aca="false">-1+A4625*0.25</f>
        <v>0.5</v>
      </c>
      <c r="F4625" s="0" t="n">
        <f aca="false">-1+B4625*0.25</f>
        <v>-0.25</v>
      </c>
      <c r="G4625" s="0" t="n">
        <f aca="false">-1+C4625*0.25</f>
        <v>-1</v>
      </c>
      <c r="H4625" s="0" t="n">
        <f aca="false">-1+D4625*0.25</f>
        <v>-0.25</v>
      </c>
      <c r="I4625" s="0" t="n">
        <f aca="false">1</f>
        <v>1</v>
      </c>
      <c r="J4625" s="0" t="n">
        <f aca="false">E4625</f>
        <v>0.5</v>
      </c>
      <c r="K4625" s="0" t="n">
        <f aca="false">F4625</f>
        <v>-0.25</v>
      </c>
      <c r="L4625" s="0" t="n">
        <f aca="false">G4625</f>
        <v>-1</v>
      </c>
      <c r="M4625" s="0" t="n">
        <f aca="false">H4625</f>
        <v>-0.25</v>
      </c>
      <c r="N4625" s="0" t="n">
        <f aca="false">E4625*F4625</f>
        <v>-0.125</v>
      </c>
      <c r="O4625" s="0" t="n">
        <f aca="false">E4625*G4625</f>
        <v>-0.5</v>
      </c>
      <c r="P4625" s="0" t="n">
        <f aca="false">E4625*H4625</f>
        <v>-0.125</v>
      </c>
      <c r="Q4625" s="0" t="n">
        <f aca="false">F4625*G4625</f>
        <v>0.25</v>
      </c>
      <c r="R4625" s="0" t="n">
        <f aca="false">F4625*H4625</f>
        <v>0.0625</v>
      </c>
      <c r="S4625" s="0" t="n">
        <f aca="false">G4625*H4625</f>
        <v>0.25</v>
      </c>
      <c r="T4625" s="0" t="n">
        <f aca="false">E4625*E4625</f>
        <v>0.25</v>
      </c>
      <c r="U4625" s="0" t="n">
        <f aca="false">F4625*F4625</f>
        <v>0.0625</v>
      </c>
      <c r="V4625" s="0" t="n">
        <f aca="false">G4625*G4625</f>
        <v>1</v>
      </c>
      <c r="W4625" s="0" t="n">
        <f aca="false">H4625*H4625</f>
        <v>0.0625</v>
      </c>
      <c r="X4625" s="0" t="n">
        <f aca="false">SUMPRODUCT(I4625:W4625,_XtX!$B$96:$P$96)</f>
        <v>46.0944307383041</v>
      </c>
      <c r="Y4625" s="0" t="n">
        <f aca="false">SUMPRODUCT(MMULT(I4625:W4625,_XtX!$B$78:$P$92),I4625:W4625)</f>
        <v>0.445705123812135</v>
      </c>
      <c r="Z4625" s="0" t="n">
        <f aca="false">04_回帰ANOVA!$K$19*04_回帰ANOVA!$K$14*SQRT(1+Y4625)</f>
        <v>1.56724990734749</v>
      </c>
      <c r="AA4625" s="0" t="n">
        <f aca="false">X4625-Z4625</f>
        <v>44.5271808309566</v>
      </c>
      <c r="AB4625" s="0" t="n">
        <f aca="false">X4625+Z4625</f>
        <v>47.6616806456515</v>
      </c>
      <c r="AC4625" s="54" t="b">
        <f aca="false">AND(E4625&gt;=01_因子設定!$L$5-0.000000001,E4625&lt;=01_因子設定!$M$5+0.000000001,F4625&gt;=01_因子設定!$L$6-0.000000001,F4625&lt;=01_因子設定!$M$6+0.000000001,G4625&gt;=01_因子設定!$L$7-0.000000001,G4625&lt;=01_因子設定!$M$7+0.000000001,H4625&gt;=01_因子設定!$L$8-0.000000001,H4625&lt;=01_因子設定!$M$8+0.000000001,IF(01_因子設定!$B$20="Box-Behnken",E4625^2+F4625^2+G4625^2+H4625^2&lt;=2+0.000000001,TRUE()))</f>
        <v>1</v>
      </c>
      <c r="AD4625" s="55" t="n">
        <f aca="false">IF(AC4625,IF(01_因子設定!$B$13="最大化",AA4625-01_因子設定!$B$14,IF(01_因子設定!$B$13="最小化",01_因子設定!$B$15-AB4625,MIN(AA4625-01_因子設定!$B$14,01_因子設定!$B$15-AB4625))),-1E+030)</f>
        <v>-1.97281916904343</v>
      </c>
      <c r="AE4625" s="55" t="n">
        <f aca="false">IF(AC4625,IF(01_因子設定!$B$13="最大化",X4625,IF(01_因子設定!$B$13="最小化",-X4625,-ABS(X4625-01_因子設定!$B$16))),-1E+030)</f>
        <v>46.0944307383041</v>
      </c>
      <c r="AF4625" s="55" t="n">
        <f aca="false">AD4625+ROW()*0.000000001</f>
        <v>-1.97281454404343</v>
      </c>
      <c r="AG4625" s="55" t="n">
        <f aca="false">AE4625+ROW()*0.000000001</f>
        <v>46.0944353633041</v>
      </c>
    </row>
    <row r="4626" customFormat="false" ht="15" hidden="false" customHeight="false" outlineLevel="0" collapsed="false">
      <c r="A4626" s="0" t="n">
        <v>6</v>
      </c>
      <c r="B4626" s="0" t="n">
        <v>3</v>
      </c>
      <c r="C4626" s="0" t="n">
        <v>0</v>
      </c>
      <c r="D4626" s="0" t="n">
        <v>4</v>
      </c>
      <c r="E4626" s="0" t="n">
        <f aca="false">-1+A4626*0.25</f>
        <v>0.5</v>
      </c>
      <c r="F4626" s="0" t="n">
        <f aca="false">-1+B4626*0.25</f>
        <v>-0.25</v>
      </c>
      <c r="G4626" s="0" t="n">
        <f aca="false">-1+C4626*0.25</f>
        <v>-1</v>
      </c>
      <c r="H4626" s="0" t="n">
        <f aca="false">-1+D4626*0.25</f>
        <v>0</v>
      </c>
      <c r="I4626" s="0" t="n">
        <f aca="false">1</f>
        <v>1</v>
      </c>
      <c r="J4626" s="0" t="n">
        <f aca="false">E4626</f>
        <v>0.5</v>
      </c>
      <c r="K4626" s="0" t="n">
        <f aca="false">F4626</f>
        <v>-0.25</v>
      </c>
      <c r="L4626" s="0" t="n">
        <f aca="false">G4626</f>
        <v>-1</v>
      </c>
      <c r="M4626" s="0" t="n">
        <f aca="false">H4626</f>
        <v>0</v>
      </c>
      <c r="N4626" s="0" t="n">
        <f aca="false">E4626*F4626</f>
        <v>-0.125</v>
      </c>
      <c r="O4626" s="0" t="n">
        <f aca="false">E4626*G4626</f>
        <v>-0.5</v>
      </c>
      <c r="P4626" s="0" t="n">
        <f aca="false">E4626*H4626</f>
        <v>0</v>
      </c>
      <c r="Q4626" s="0" t="n">
        <f aca="false">F4626*G4626</f>
        <v>0.25</v>
      </c>
      <c r="R4626" s="0" t="n">
        <f aca="false">F4626*H4626</f>
        <v>-0</v>
      </c>
      <c r="S4626" s="0" t="n">
        <f aca="false">G4626*H4626</f>
        <v>-0</v>
      </c>
      <c r="T4626" s="0" t="n">
        <f aca="false">E4626*E4626</f>
        <v>0.25</v>
      </c>
      <c r="U4626" s="0" t="n">
        <f aca="false">F4626*F4626</f>
        <v>0.0625</v>
      </c>
      <c r="V4626" s="0" t="n">
        <f aca="false">G4626*G4626</f>
        <v>1</v>
      </c>
      <c r="W4626" s="0" t="n">
        <f aca="false">H4626*H4626</f>
        <v>0</v>
      </c>
      <c r="X4626" s="0" t="n">
        <f aca="false">SUMPRODUCT(I4626:W4626,_XtX!$B$96:$P$96)</f>
        <v>46.1767543859649</v>
      </c>
      <c r="Y4626" s="0" t="n">
        <f aca="false">SUMPRODUCT(MMULT(I4626:W4626,_XtX!$B$78:$P$92),I4626:W4626)</f>
        <v>0.457596628289474</v>
      </c>
      <c r="Z4626" s="0" t="n">
        <f aca="false">04_回帰ANOVA!$K$19*04_回帰ANOVA!$K$14*SQRT(1+Y4626)</f>
        <v>1.57368233664366</v>
      </c>
      <c r="AA4626" s="0" t="n">
        <f aca="false">X4626-Z4626</f>
        <v>44.6030720493212</v>
      </c>
      <c r="AB4626" s="0" t="n">
        <f aca="false">X4626+Z4626</f>
        <v>47.7504367226085</v>
      </c>
      <c r="AC4626" s="54" t="b">
        <f aca="false">AND(E4626&gt;=01_因子設定!$L$5-0.000000001,E4626&lt;=01_因子設定!$M$5+0.000000001,F4626&gt;=01_因子設定!$L$6-0.000000001,F4626&lt;=01_因子設定!$M$6+0.000000001,G4626&gt;=01_因子設定!$L$7-0.000000001,G4626&lt;=01_因子設定!$M$7+0.000000001,H4626&gt;=01_因子設定!$L$8-0.000000001,H4626&lt;=01_因子設定!$M$8+0.000000001,IF(01_因子設定!$B$20="Box-Behnken",E4626^2+F4626^2+G4626^2+H4626^2&lt;=2+0.000000001,TRUE()))</f>
        <v>1</v>
      </c>
      <c r="AD4626" s="55" t="n">
        <f aca="false">IF(AC4626,IF(01_因子設定!$B$13="最大化",AA4626-01_因子設定!$B$14,IF(01_因子設定!$B$13="最小化",01_因子設定!$B$15-AB4626,MIN(AA4626-01_因子設定!$B$14,01_因子設定!$B$15-AB4626))),-1E+030)</f>
        <v>-1.89692795067879</v>
      </c>
      <c r="AE4626" s="55" t="n">
        <f aca="false">IF(AC4626,IF(01_因子設定!$B$13="最大化",X4626,IF(01_因子設定!$B$13="最小化",-X4626,-ABS(X4626-01_因子設定!$B$16))),-1E+030)</f>
        <v>46.1767543859649</v>
      </c>
      <c r="AF4626" s="55" t="n">
        <f aca="false">AD4626+ROW()*0.000000001</f>
        <v>-1.89692332467879</v>
      </c>
      <c r="AG4626" s="55" t="n">
        <f aca="false">AE4626+ROW()*0.000000001</f>
        <v>46.1767590119649</v>
      </c>
    </row>
    <row r="4627" customFormat="false" ht="15" hidden="false" customHeight="false" outlineLevel="0" collapsed="false">
      <c r="A4627" s="0" t="n">
        <v>6</v>
      </c>
      <c r="B4627" s="0" t="n">
        <v>3</v>
      </c>
      <c r="C4627" s="0" t="n">
        <v>0</v>
      </c>
      <c r="D4627" s="0" t="n">
        <v>5</v>
      </c>
      <c r="E4627" s="0" t="n">
        <f aca="false">-1+A4627*0.25</f>
        <v>0.5</v>
      </c>
      <c r="F4627" s="0" t="n">
        <f aca="false">-1+B4627*0.25</f>
        <v>-0.25</v>
      </c>
      <c r="G4627" s="0" t="n">
        <f aca="false">-1+C4627*0.25</f>
        <v>-1</v>
      </c>
      <c r="H4627" s="0" t="n">
        <f aca="false">-1+D4627*0.25</f>
        <v>0.25</v>
      </c>
      <c r="I4627" s="0" t="n">
        <f aca="false">1</f>
        <v>1</v>
      </c>
      <c r="J4627" s="0" t="n">
        <f aca="false">E4627</f>
        <v>0.5</v>
      </c>
      <c r="K4627" s="0" t="n">
        <f aca="false">F4627</f>
        <v>-0.25</v>
      </c>
      <c r="L4627" s="0" t="n">
        <f aca="false">G4627</f>
        <v>-1</v>
      </c>
      <c r="M4627" s="0" t="n">
        <f aca="false">H4627</f>
        <v>0.25</v>
      </c>
      <c r="N4627" s="0" t="n">
        <f aca="false">E4627*F4627</f>
        <v>-0.125</v>
      </c>
      <c r="O4627" s="0" t="n">
        <f aca="false">E4627*G4627</f>
        <v>-0.5</v>
      </c>
      <c r="P4627" s="0" t="n">
        <f aca="false">E4627*H4627</f>
        <v>0.125</v>
      </c>
      <c r="Q4627" s="0" t="n">
        <f aca="false">F4627*G4627</f>
        <v>0.25</v>
      </c>
      <c r="R4627" s="0" t="n">
        <f aca="false">F4627*H4627</f>
        <v>-0.0625</v>
      </c>
      <c r="S4627" s="0" t="n">
        <f aca="false">G4627*H4627</f>
        <v>-0.25</v>
      </c>
      <c r="T4627" s="0" t="n">
        <f aca="false">E4627*E4627</f>
        <v>0.25</v>
      </c>
      <c r="U4627" s="0" t="n">
        <f aca="false">F4627*F4627</f>
        <v>0.0625</v>
      </c>
      <c r="V4627" s="0" t="n">
        <f aca="false">G4627*G4627</f>
        <v>1</v>
      </c>
      <c r="W4627" s="0" t="n">
        <f aca="false">H4627*H4627</f>
        <v>0.0625</v>
      </c>
      <c r="X4627" s="0" t="n">
        <f aca="false">SUMPRODUCT(I4627:W4627,_XtX!$B$96:$P$96)</f>
        <v>46.2112710160818</v>
      </c>
      <c r="Y4627" s="0" t="n">
        <f aca="false">SUMPRODUCT(MMULT(I4627:W4627,_XtX!$B$78:$P$92),I4627:W4627)</f>
        <v>0.445705123812135</v>
      </c>
      <c r="Z4627" s="0" t="n">
        <f aca="false">04_回帰ANOVA!$K$19*04_回帰ANOVA!$K$14*SQRT(1+Y4627)</f>
        <v>1.56724990734749</v>
      </c>
      <c r="AA4627" s="0" t="n">
        <f aca="false">X4627-Z4627</f>
        <v>44.6440211087343</v>
      </c>
      <c r="AB4627" s="0" t="n">
        <f aca="false">X4627+Z4627</f>
        <v>47.7785209234293</v>
      </c>
      <c r="AC4627" s="54" t="b">
        <f aca="false">AND(E4627&gt;=01_因子設定!$L$5-0.000000001,E4627&lt;=01_因子設定!$M$5+0.000000001,F4627&gt;=01_因子設定!$L$6-0.000000001,F4627&lt;=01_因子設定!$M$6+0.000000001,G4627&gt;=01_因子設定!$L$7-0.000000001,G4627&lt;=01_因子設定!$M$7+0.000000001,H4627&gt;=01_因子設定!$L$8-0.000000001,H4627&lt;=01_因子設定!$M$8+0.000000001,IF(01_因子設定!$B$20="Box-Behnken",E4627^2+F4627^2+G4627^2+H4627^2&lt;=2+0.000000001,TRUE()))</f>
        <v>1</v>
      </c>
      <c r="AD4627" s="55" t="n">
        <f aca="false">IF(AC4627,IF(01_因子設定!$B$13="最大化",AA4627-01_因子設定!$B$14,IF(01_因子設定!$B$13="最小化",01_因子設定!$B$15-AB4627,MIN(AA4627-01_因子設定!$B$14,01_因子設定!$B$15-AB4627))),-1E+030)</f>
        <v>-1.85597889126566</v>
      </c>
      <c r="AE4627" s="55" t="n">
        <f aca="false">IF(AC4627,IF(01_因子設定!$B$13="最大化",X4627,IF(01_因子設定!$B$13="最小化",-X4627,-ABS(X4627-01_因子設定!$B$16))),-1E+030)</f>
        <v>46.2112710160818</v>
      </c>
      <c r="AF4627" s="55" t="n">
        <f aca="false">AD4627+ROW()*0.000000001</f>
        <v>-1.85597426426566</v>
      </c>
      <c r="AG4627" s="55" t="n">
        <f aca="false">AE4627+ROW()*0.000000001</f>
        <v>46.2112756430818</v>
      </c>
    </row>
    <row r="4628" customFormat="false" ht="15" hidden="false" customHeight="false" outlineLevel="0" collapsed="false">
      <c r="A4628" s="0" t="n">
        <v>6</v>
      </c>
      <c r="B4628" s="0" t="n">
        <v>3</v>
      </c>
      <c r="C4628" s="0" t="n">
        <v>0</v>
      </c>
      <c r="D4628" s="0" t="n">
        <v>6</v>
      </c>
      <c r="E4628" s="0" t="n">
        <f aca="false">-1+A4628*0.25</f>
        <v>0.5</v>
      </c>
      <c r="F4628" s="0" t="n">
        <f aca="false">-1+B4628*0.25</f>
        <v>-0.25</v>
      </c>
      <c r="G4628" s="0" t="n">
        <f aca="false">-1+C4628*0.25</f>
        <v>-1</v>
      </c>
      <c r="H4628" s="0" t="n">
        <f aca="false">-1+D4628*0.25</f>
        <v>0.5</v>
      </c>
      <c r="I4628" s="0" t="n">
        <f aca="false">1</f>
        <v>1</v>
      </c>
      <c r="J4628" s="0" t="n">
        <f aca="false">E4628</f>
        <v>0.5</v>
      </c>
      <c r="K4628" s="0" t="n">
        <f aca="false">F4628</f>
        <v>-0.25</v>
      </c>
      <c r="L4628" s="0" t="n">
        <f aca="false">G4628</f>
        <v>-1</v>
      </c>
      <c r="M4628" s="0" t="n">
        <f aca="false">H4628</f>
        <v>0.5</v>
      </c>
      <c r="N4628" s="0" t="n">
        <f aca="false">E4628*F4628</f>
        <v>-0.125</v>
      </c>
      <c r="O4628" s="0" t="n">
        <f aca="false">E4628*G4628</f>
        <v>-0.5</v>
      </c>
      <c r="P4628" s="0" t="n">
        <f aca="false">E4628*H4628</f>
        <v>0.25</v>
      </c>
      <c r="Q4628" s="0" t="n">
        <f aca="false">F4628*G4628</f>
        <v>0.25</v>
      </c>
      <c r="R4628" s="0" t="n">
        <f aca="false">F4628*H4628</f>
        <v>-0.125</v>
      </c>
      <c r="S4628" s="0" t="n">
        <f aca="false">G4628*H4628</f>
        <v>-0.5</v>
      </c>
      <c r="T4628" s="0" t="n">
        <f aca="false">E4628*E4628</f>
        <v>0.25</v>
      </c>
      <c r="U4628" s="0" t="n">
        <f aca="false">F4628*F4628</f>
        <v>0.0625</v>
      </c>
      <c r="V4628" s="0" t="n">
        <f aca="false">G4628*G4628</f>
        <v>1</v>
      </c>
      <c r="W4628" s="0" t="n">
        <f aca="false">H4628*H4628</f>
        <v>0.25</v>
      </c>
      <c r="X4628" s="0" t="n">
        <f aca="false">SUMPRODUCT(I4628:W4628,_XtX!$B$96:$P$96)</f>
        <v>46.1979806286549</v>
      </c>
      <c r="Y4628" s="0" t="n">
        <f aca="false">SUMPRODUCT(MMULT(I4628:W4628,_XtX!$B$78:$P$92),I4628:W4628)</f>
        <v>0.428122715643275</v>
      </c>
      <c r="Z4628" s="0" t="n">
        <f aca="false">04_回帰ANOVA!$K$19*04_回帰ANOVA!$K$14*SQRT(1+Y4628)</f>
        <v>1.55769044623229</v>
      </c>
      <c r="AA4628" s="0" t="n">
        <f aca="false">X4628-Z4628</f>
        <v>44.6402901824226</v>
      </c>
      <c r="AB4628" s="0" t="n">
        <f aca="false">X4628+Z4628</f>
        <v>47.7556710748872</v>
      </c>
      <c r="AC4628" s="54" t="b">
        <f aca="false">AND(E4628&gt;=01_因子設定!$L$5-0.000000001,E4628&lt;=01_因子設定!$M$5+0.000000001,F4628&gt;=01_因子設定!$L$6-0.000000001,F4628&lt;=01_因子設定!$M$6+0.000000001,G4628&gt;=01_因子設定!$L$7-0.000000001,G4628&lt;=01_因子設定!$M$7+0.000000001,H4628&gt;=01_因子設定!$L$8-0.000000001,H4628&lt;=01_因子設定!$M$8+0.000000001,IF(01_因子設定!$B$20="Box-Behnken",E4628^2+F4628^2+G4628^2+H4628^2&lt;=2+0.000000001,TRUE()))</f>
        <v>1</v>
      </c>
      <c r="AD4628" s="55" t="n">
        <f aca="false">IF(AC4628,IF(01_因子設定!$B$13="最大化",AA4628-01_因子設定!$B$14,IF(01_因子設定!$B$13="最小化",01_因子設定!$B$15-AB4628,MIN(AA4628-01_因子設定!$B$14,01_因子設定!$B$15-AB4628))),-1E+030)</f>
        <v>-1.85970981757735</v>
      </c>
      <c r="AE4628" s="55" t="n">
        <f aca="false">IF(AC4628,IF(01_因子設定!$B$13="最大化",X4628,IF(01_因子設定!$B$13="最小化",-X4628,-ABS(X4628-01_因子設定!$B$16))),-1E+030)</f>
        <v>46.1979806286549</v>
      </c>
      <c r="AF4628" s="55" t="n">
        <f aca="false">AD4628+ROW()*0.000000001</f>
        <v>-1.85970518957735</v>
      </c>
      <c r="AG4628" s="55" t="n">
        <f aca="false">AE4628+ROW()*0.000000001</f>
        <v>46.1979852566549</v>
      </c>
    </row>
    <row r="4629" customFormat="false" ht="15" hidden="false" customHeight="false" outlineLevel="0" collapsed="false">
      <c r="A4629" s="0" t="n">
        <v>6</v>
      </c>
      <c r="B4629" s="0" t="n">
        <v>3</v>
      </c>
      <c r="C4629" s="0" t="n">
        <v>0</v>
      </c>
      <c r="D4629" s="0" t="n">
        <v>7</v>
      </c>
      <c r="E4629" s="0" t="n">
        <f aca="false">-1+A4629*0.25</f>
        <v>0.5</v>
      </c>
      <c r="F4629" s="0" t="n">
        <f aca="false">-1+B4629*0.25</f>
        <v>-0.25</v>
      </c>
      <c r="G4629" s="0" t="n">
        <f aca="false">-1+C4629*0.25</f>
        <v>-1</v>
      </c>
      <c r="H4629" s="0" t="n">
        <f aca="false">-1+D4629*0.25</f>
        <v>0.75</v>
      </c>
      <c r="I4629" s="0" t="n">
        <f aca="false">1</f>
        <v>1</v>
      </c>
      <c r="J4629" s="0" t="n">
        <f aca="false">E4629</f>
        <v>0.5</v>
      </c>
      <c r="K4629" s="0" t="n">
        <f aca="false">F4629</f>
        <v>-0.25</v>
      </c>
      <c r="L4629" s="0" t="n">
        <f aca="false">G4629</f>
        <v>-1</v>
      </c>
      <c r="M4629" s="0" t="n">
        <f aca="false">H4629</f>
        <v>0.75</v>
      </c>
      <c r="N4629" s="0" t="n">
        <f aca="false">E4629*F4629</f>
        <v>-0.125</v>
      </c>
      <c r="O4629" s="0" t="n">
        <f aca="false">E4629*G4629</f>
        <v>-0.5</v>
      </c>
      <c r="P4629" s="0" t="n">
        <f aca="false">E4629*H4629</f>
        <v>0.375</v>
      </c>
      <c r="Q4629" s="0" t="n">
        <f aca="false">F4629*G4629</f>
        <v>0.25</v>
      </c>
      <c r="R4629" s="0" t="n">
        <f aca="false">F4629*H4629</f>
        <v>-0.1875</v>
      </c>
      <c r="S4629" s="0" t="n">
        <f aca="false">G4629*H4629</f>
        <v>-0.75</v>
      </c>
      <c r="T4629" s="0" t="n">
        <f aca="false">E4629*E4629</f>
        <v>0.25</v>
      </c>
      <c r="U4629" s="0" t="n">
        <f aca="false">F4629*F4629</f>
        <v>0.0625</v>
      </c>
      <c r="V4629" s="0" t="n">
        <f aca="false">G4629*G4629</f>
        <v>1</v>
      </c>
      <c r="W4629" s="0" t="n">
        <f aca="false">H4629*H4629</f>
        <v>0.5625</v>
      </c>
      <c r="X4629" s="0" t="n">
        <f aca="false">SUMPRODUCT(I4629:W4629,_XtX!$B$96:$P$96)</f>
        <v>46.1368832236842</v>
      </c>
      <c r="Y4629" s="0" t="n">
        <f aca="false">SUMPRODUCT(MMULT(I4629:W4629,_XtX!$B$78:$P$92),I4629:W4629)</f>
        <v>0.459125719572369</v>
      </c>
      <c r="Z4629" s="0" t="n">
        <f aca="false">04_回帰ANOVA!$K$19*04_回帰ANOVA!$K$14*SQRT(1+Y4629)</f>
        <v>1.57450755575573</v>
      </c>
      <c r="AA4629" s="0" t="n">
        <f aca="false">X4629-Z4629</f>
        <v>44.5623756679285</v>
      </c>
      <c r="AB4629" s="0" t="n">
        <f aca="false">X4629+Z4629</f>
        <v>47.7113907794399</v>
      </c>
      <c r="AC4629" s="54" t="b">
        <f aca="false">AND(E4629&gt;=01_因子設定!$L$5-0.000000001,E4629&lt;=01_因子設定!$M$5+0.000000001,F4629&gt;=01_因子設定!$L$6-0.000000001,F4629&lt;=01_因子設定!$M$6+0.000000001,G4629&gt;=01_因子設定!$L$7-0.000000001,G4629&lt;=01_因子設定!$M$7+0.000000001,H4629&gt;=01_因子設定!$L$8-0.000000001,H4629&lt;=01_因子設定!$M$8+0.000000001,IF(01_因子設定!$B$20="Box-Behnken",E4629^2+F4629^2+G4629^2+H4629^2&lt;=2+0.000000001,TRUE()))</f>
        <v>1</v>
      </c>
      <c r="AD4629" s="55" t="n">
        <f aca="false">IF(AC4629,IF(01_因子設定!$B$13="最大化",AA4629-01_因子設定!$B$14,IF(01_因子設定!$B$13="最小化",01_因子設定!$B$15-AB4629,MIN(AA4629-01_因子設定!$B$14,01_因子設定!$B$15-AB4629))),-1E+030)</f>
        <v>-1.93762433207154</v>
      </c>
      <c r="AE4629" s="55" t="n">
        <f aca="false">IF(AC4629,IF(01_因子設定!$B$13="最大化",X4629,IF(01_因子設定!$B$13="最小化",-X4629,-ABS(X4629-01_因子設定!$B$16))),-1E+030)</f>
        <v>46.1368832236842</v>
      </c>
      <c r="AF4629" s="55" t="n">
        <f aca="false">AD4629+ROW()*0.000000001</f>
        <v>-1.93761970307154</v>
      </c>
      <c r="AG4629" s="55" t="n">
        <f aca="false">AE4629+ROW()*0.000000001</f>
        <v>46.1368878526842</v>
      </c>
    </row>
    <row r="4630" customFormat="false" ht="15" hidden="false" customHeight="false" outlineLevel="0" collapsed="false">
      <c r="A4630" s="0" t="n">
        <v>6</v>
      </c>
      <c r="B4630" s="0" t="n">
        <v>3</v>
      </c>
      <c r="C4630" s="0" t="n">
        <v>0</v>
      </c>
      <c r="D4630" s="0" t="n">
        <v>8</v>
      </c>
      <c r="E4630" s="0" t="n">
        <f aca="false">-1+A4630*0.25</f>
        <v>0.5</v>
      </c>
      <c r="F4630" s="0" t="n">
        <f aca="false">-1+B4630*0.25</f>
        <v>-0.25</v>
      </c>
      <c r="G4630" s="0" t="n">
        <f aca="false">-1+C4630*0.25</f>
        <v>-1</v>
      </c>
      <c r="H4630" s="0" t="n">
        <f aca="false">-1+D4630*0.25</f>
        <v>1</v>
      </c>
      <c r="I4630" s="0" t="n">
        <f aca="false">1</f>
        <v>1</v>
      </c>
      <c r="J4630" s="0" t="n">
        <f aca="false">E4630</f>
        <v>0.5</v>
      </c>
      <c r="K4630" s="0" t="n">
        <f aca="false">F4630</f>
        <v>-0.25</v>
      </c>
      <c r="L4630" s="0" t="n">
        <f aca="false">G4630</f>
        <v>-1</v>
      </c>
      <c r="M4630" s="0" t="n">
        <f aca="false">H4630</f>
        <v>1</v>
      </c>
      <c r="N4630" s="0" t="n">
        <f aca="false">E4630*F4630</f>
        <v>-0.125</v>
      </c>
      <c r="O4630" s="0" t="n">
        <f aca="false">E4630*G4630</f>
        <v>-0.5</v>
      </c>
      <c r="P4630" s="0" t="n">
        <f aca="false">E4630*H4630</f>
        <v>0.5</v>
      </c>
      <c r="Q4630" s="0" t="n">
        <f aca="false">F4630*G4630</f>
        <v>0.25</v>
      </c>
      <c r="R4630" s="0" t="n">
        <f aca="false">F4630*H4630</f>
        <v>-0.25</v>
      </c>
      <c r="S4630" s="0" t="n">
        <f aca="false">G4630*H4630</f>
        <v>-1</v>
      </c>
      <c r="T4630" s="0" t="n">
        <f aca="false">E4630*E4630</f>
        <v>0.25</v>
      </c>
      <c r="U4630" s="0" t="n">
        <f aca="false">F4630*F4630</f>
        <v>0.0625</v>
      </c>
      <c r="V4630" s="0" t="n">
        <f aca="false">G4630*G4630</f>
        <v>1</v>
      </c>
      <c r="W4630" s="0" t="n">
        <f aca="false">H4630*H4630</f>
        <v>1</v>
      </c>
      <c r="X4630" s="0" t="n">
        <f aca="false">SUMPRODUCT(I4630:W4630,_XtX!$B$96:$P$96)</f>
        <v>46.0279788011696</v>
      </c>
      <c r="Y4630" s="0" t="n">
        <f aca="false">SUMPRODUCT(MMULT(I4630:W4630,_XtX!$B$78:$P$92),I4630:W4630)</f>
        <v>0.629174661915205</v>
      </c>
      <c r="Z4630" s="0" t="n">
        <f aca="false">04_回帰ANOVA!$K$19*04_回帰ANOVA!$K$14*SQRT(1+Y4630)</f>
        <v>1.66372758058297</v>
      </c>
      <c r="AA4630" s="0" t="n">
        <f aca="false">X4630-Z4630</f>
        <v>44.3642512205866</v>
      </c>
      <c r="AB4630" s="0" t="n">
        <f aca="false">X4630+Z4630</f>
        <v>47.6917063817526</v>
      </c>
      <c r="AC4630" s="54" t="b">
        <f aca="false">AND(E4630&gt;=01_因子設定!$L$5-0.000000001,E4630&lt;=01_因子設定!$M$5+0.000000001,F4630&gt;=01_因子設定!$L$6-0.000000001,F4630&lt;=01_因子設定!$M$6+0.000000001,G4630&gt;=01_因子設定!$L$7-0.000000001,G4630&lt;=01_因子設定!$M$7+0.000000001,H4630&gt;=01_因子設定!$L$8-0.000000001,H4630&lt;=01_因子設定!$M$8+0.000000001,IF(01_因子設定!$B$20="Box-Behnken",E4630^2+F4630^2+G4630^2+H4630^2&lt;=2+0.000000001,TRUE()))</f>
        <v>1</v>
      </c>
      <c r="AD4630" s="55" t="n">
        <f aca="false">IF(AC4630,IF(01_因子設定!$B$13="最大化",AA4630-01_因子設定!$B$14,IF(01_因子設定!$B$13="最小化",01_因子設定!$B$15-AB4630,MIN(AA4630-01_因子設定!$B$14,01_因子設定!$B$15-AB4630))),-1E+030)</f>
        <v>-2.13574877941338</v>
      </c>
      <c r="AE4630" s="55" t="n">
        <f aca="false">IF(AC4630,IF(01_因子設定!$B$13="最大化",X4630,IF(01_因子設定!$B$13="最小化",-X4630,-ABS(X4630-01_因子設定!$B$16))),-1E+030)</f>
        <v>46.0279788011696</v>
      </c>
      <c r="AF4630" s="55" t="n">
        <f aca="false">AD4630+ROW()*0.000000001</f>
        <v>-2.13574414941338</v>
      </c>
      <c r="AG4630" s="55" t="n">
        <f aca="false">AE4630+ROW()*0.000000001</f>
        <v>46.0279834311696</v>
      </c>
    </row>
    <row r="4631" customFormat="false" ht="15" hidden="false" customHeight="false" outlineLevel="0" collapsed="false">
      <c r="A4631" s="0" t="n">
        <v>6</v>
      </c>
      <c r="B4631" s="0" t="n">
        <v>3</v>
      </c>
      <c r="C4631" s="0" t="n">
        <v>1</v>
      </c>
      <c r="D4631" s="0" t="n">
        <v>0</v>
      </c>
      <c r="E4631" s="0" t="n">
        <f aca="false">-1+A4631*0.25</f>
        <v>0.5</v>
      </c>
      <c r="F4631" s="0" t="n">
        <f aca="false">-1+B4631*0.25</f>
        <v>-0.25</v>
      </c>
      <c r="G4631" s="0" t="n">
        <f aca="false">-1+C4631*0.25</f>
        <v>-0.75</v>
      </c>
      <c r="H4631" s="0" t="n">
        <f aca="false">-1+D4631*0.25</f>
        <v>-1</v>
      </c>
      <c r="I4631" s="0" t="n">
        <f aca="false">1</f>
        <v>1</v>
      </c>
      <c r="J4631" s="0" t="n">
        <f aca="false">E4631</f>
        <v>0.5</v>
      </c>
      <c r="K4631" s="0" t="n">
        <f aca="false">F4631</f>
        <v>-0.25</v>
      </c>
      <c r="L4631" s="0" t="n">
        <f aca="false">G4631</f>
        <v>-0.75</v>
      </c>
      <c r="M4631" s="0" t="n">
        <f aca="false">H4631</f>
        <v>-1</v>
      </c>
      <c r="N4631" s="0" t="n">
        <f aca="false">E4631*F4631</f>
        <v>-0.125</v>
      </c>
      <c r="O4631" s="0" t="n">
        <f aca="false">E4631*G4631</f>
        <v>-0.375</v>
      </c>
      <c r="P4631" s="0" t="n">
        <f aca="false">E4631*H4631</f>
        <v>-0.5</v>
      </c>
      <c r="Q4631" s="0" t="n">
        <f aca="false">F4631*G4631</f>
        <v>0.1875</v>
      </c>
      <c r="R4631" s="0" t="n">
        <f aca="false">F4631*H4631</f>
        <v>0.25</v>
      </c>
      <c r="S4631" s="0" t="n">
        <f aca="false">G4631*H4631</f>
        <v>0.75</v>
      </c>
      <c r="T4631" s="0" t="n">
        <f aca="false">E4631*E4631</f>
        <v>0.25</v>
      </c>
      <c r="U4631" s="0" t="n">
        <f aca="false">F4631*F4631</f>
        <v>0.0625</v>
      </c>
      <c r="V4631" s="0" t="n">
        <f aca="false">G4631*G4631</f>
        <v>0.5625</v>
      </c>
      <c r="W4631" s="0" t="n">
        <f aca="false">H4631*H4631</f>
        <v>1</v>
      </c>
      <c r="X4631" s="0" t="n">
        <f aca="false">SUMPRODUCT(I4631:W4631,_XtX!$B$96:$P$96)</f>
        <v>45.9323693347953</v>
      </c>
      <c r="Y4631" s="0" t="n">
        <f aca="false">SUMPRODUCT(MMULT(I4631:W4631,_XtX!$B$78:$P$92),I4631:W4631)</f>
        <v>0.459125719572369</v>
      </c>
      <c r="Z4631" s="0" t="n">
        <f aca="false">04_回帰ANOVA!$K$19*04_回帰ANOVA!$K$14*SQRT(1+Y4631)</f>
        <v>1.57450755575573</v>
      </c>
      <c r="AA4631" s="0" t="n">
        <f aca="false">X4631-Z4631</f>
        <v>44.3578617790396</v>
      </c>
      <c r="AB4631" s="0" t="n">
        <f aca="false">X4631+Z4631</f>
        <v>47.5068768905511</v>
      </c>
      <c r="AC4631" s="54" t="b">
        <f aca="false">AND(E4631&gt;=01_因子設定!$L$5-0.000000001,E4631&lt;=01_因子設定!$M$5+0.000000001,F4631&gt;=01_因子設定!$L$6-0.000000001,F4631&lt;=01_因子設定!$M$6+0.000000001,G4631&gt;=01_因子設定!$L$7-0.000000001,G4631&lt;=01_因子設定!$M$7+0.000000001,H4631&gt;=01_因子設定!$L$8-0.000000001,H4631&lt;=01_因子設定!$M$8+0.000000001,IF(01_因子設定!$B$20="Box-Behnken",E4631^2+F4631^2+G4631^2+H4631^2&lt;=2+0.000000001,TRUE()))</f>
        <v>1</v>
      </c>
      <c r="AD4631" s="55" t="n">
        <f aca="false">IF(AC4631,IF(01_因子設定!$B$13="最大化",AA4631-01_因子設定!$B$14,IF(01_因子設定!$B$13="最小化",01_因子設定!$B$15-AB4631,MIN(AA4631-01_因子設定!$B$14,01_因子設定!$B$15-AB4631))),-1E+030)</f>
        <v>-2.14213822096041</v>
      </c>
      <c r="AE4631" s="55" t="n">
        <f aca="false">IF(AC4631,IF(01_因子設定!$B$13="最大化",X4631,IF(01_因子設定!$B$13="最小化",-X4631,-ABS(X4631-01_因子設定!$B$16))),-1E+030)</f>
        <v>45.9323693347953</v>
      </c>
      <c r="AF4631" s="55" t="n">
        <f aca="false">AD4631+ROW()*0.000000001</f>
        <v>-2.14213358996041</v>
      </c>
      <c r="AG4631" s="55" t="n">
        <f aca="false">AE4631+ROW()*0.000000001</f>
        <v>45.9323739657953</v>
      </c>
    </row>
    <row r="4632" customFormat="false" ht="15" hidden="false" customHeight="false" outlineLevel="0" collapsed="false">
      <c r="A4632" s="0" t="n">
        <v>6</v>
      </c>
      <c r="B4632" s="0" t="n">
        <v>3</v>
      </c>
      <c r="C4632" s="0" t="n">
        <v>1</v>
      </c>
      <c r="D4632" s="0" t="n">
        <v>1</v>
      </c>
      <c r="E4632" s="0" t="n">
        <f aca="false">-1+A4632*0.25</f>
        <v>0.5</v>
      </c>
      <c r="F4632" s="0" t="n">
        <f aca="false">-1+B4632*0.25</f>
        <v>-0.25</v>
      </c>
      <c r="G4632" s="0" t="n">
        <f aca="false">-1+C4632*0.25</f>
        <v>-0.75</v>
      </c>
      <c r="H4632" s="0" t="n">
        <f aca="false">-1+D4632*0.25</f>
        <v>-0.75</v>
      </c>
      <c r="I4632" s="0" t="n">
        <f aca="false">1</f>
        <v>1</v>
      </c>
      <c r="J4632" s="0" t="n">
        <f aca="false">E4632</f>
        <v>0.5</v>
      </c>
      <c r="K4632" s="0" t="n">
        <f aca="false">F4632</f>
        <v>-0.25</v>
      </c>
      <c r="L4632" s="0" t="n">
        <f aca="false">G4632</f>
        <v>-0.75</v>
      </c>
      <c r="M4632" s="0" t="n">
        <f aca="false">H4632</f>
        <v>-0.75</v>
      </c>
      <c r="N4632" s="0" t="n">
        <f aca="false">E4632*F4632</f>
        <v>-0.125</v>
      </c>
      <c r="O4632" s="0" t="n">
        <f aca="false">E4632*G4632</f>
        <v>-0.375</v>
      </c>
      <c r="P4632" s="0" t="n">
        <f aca="false">E4632*H4632</f>
        <v>-0.375</v>
      </c>
      <c r="Q4632" s="0" t="n">
        <f aca="false">F4632*G4632</f>
        <v>0.1875</v>
      </c>
      <c r="R4632" s="0" t="n">
        <f aca="false">F4632*H4632</f>
        <v>0.1875</v>
      </c>
      <c r="S4632" s="0" t="n">
        <f aca="false">G4632*H4632</f>
        <v>0.5625</v>
      </c>
      <c r="T4632" s="0" t="n">
        <f aca="false">E4632*E4632</f>
        <v>0.25</v>
      </c>
      <c r="U4632" s="0" t="n">
        <f aca="false">F4632*F4632</f>
        <v>0.0625</v>
      </c>
      <c r="V4632" s="0" t="n">
        <f aca="false">G4632*G4632</f>
        <v>0.5625</v>
      </c>
      <c r="W4632" s="0" t="n">
        <f aca="false">H4632*H4632</f>
        <v>0.5625</v>
      </c>
      <c r="X4632" s="0" t="n">
        <f aca="false">SUMPRODUCT(I4632:W4632,_XtX!$B$96:$P$96)</f>
        <v>46.1760827850877</v>
      </c>
      <c r="Y4632" s="0" t="n">
        <f aca="false">SUMPRODUCT(MMULT(I4632:W4632,_XtX!$B$78:$P$92),I4632:W4632)</f>
        <v>0.257385610836988</v>
      </c>
      <c r="Z4632" s="0" t="n">
        <f aca="false">04_回帰ANOVA!$K$19*04_回帰ANOVA!$K$14*SQRT(1+Y4632)</f>
        <v>1.46161380324158</v>
      </c>
      <c r="AA4632" s="0" t="n">
        <f aca="false">X4632-Z4632</f>
        <v>44.7144689818461</v>
      </c>
      <c r="AB4632" s="0" t="n">
        <f aca="false">X4632+Z4632</f>
        <v>47.6376965883293</v>
      </c>
      <c r="AC4632" s="54" t="b">
        <f aca="false">AND(E4632&gt;=01_因子設定!$L$5-0.000000001,E4632&lt;=01_因子設定!$M$5+0.000000001,F4632&gt;=01_因子設定!$L$6-0.000000001,F4632&lt;=01_因子設定!$M$6+0.000000001,G4632&gt;=01_因子設定!$L$7-0.000000001,G4632&lt;=01_因子設定!$M$7+0.000000001,H4632&gt;=01_因子設定!$L$8-0.000000001,H4632&lt;=01_因子設定!$M$8+0.000000001,IF(01_因子設定!$B$20="Box-Behnken",E4632^2+F4632^2+G4632^2+H4632^2&lt;=2+0.000000001,TRUE()))</f>
        <v>1</v>
      </c>
      <c r="AD4632" s="55" t="n">
        <f aca="false">IF(AC4632,IF(01_因子設定!$B$13="最大化",AA4632-01_因子設定!$B$14,IF(01_因子設定!$B$13="最小化",01_因子設定!$B$15-AB4632,MIN(AA4632-01_因子設定!$B$14,01_因子設定!$B$15-AB4632))),-1E+030)</f>
        <v>-1.78553101815388</v>
      </c>
      <c r="AE4632" s="55" t="n">
        <f aca="false">IF(AC4632,IF(01_因子設定!$B$13="最大化",X4632,IF(01_因子設定!$B$13="最小化",-X4632,-ABS(X4632-01_因子設定!$B$16))),-1E+030)</f>
        <v>46.1760827850877</v>
      </c>
      <c r="AF4632" s="55" t="n">
        <f aca="false">AD4632+ROW()*0.000000001</f>
        <v>-1.78552638615388</v>
      </c>
      <c r="AG4632" s="55" t="n">
        <f aca="false">AE4632+ROW()*0.000000001</f>
        <v>46.1760874170877</v>
      </c>
    </row>
    <row r="4633" customFormat="false" ht="15" hidden="false" customHeight="false" outlineLevel="0" collapsed="false">
      <c r="A4633" s="0" t="n">
        <v>6</v>
      </c>
      <c r="B4633" s="0" t="n">
        <v>3</v>
      </c>
      <c r="C4633" s="0" t="n">
        <v>1</v>
      </c>
      <c r="D4633" s="0" t="n">
        <v>2</v>
      </c>
      <c r="E4633" s="0" t="n">
        <f aca="false">-1+A4633*0.25</f>
        <v>0.5</v>
      </c>
      <c r="F4633" s="0" t="n">
        <f aca="false">-1+B4633*0.25</f>
        <v>-0.25</v>
      </c>
      <c r="G4633" s="0" t="n">
        <f aca="false">-1+C4633*0.25</f>
        <v>-0.75</v>
      </c>
      <c r="H4633" s="0" t="n">
        <f aca="false">-1+D4633*0.25</f>
        <v>-0.5</v>
      </c>
      <c r="I4633" s="0" t="n">
        <f aca="false">1</f>
        <v>1</v>
      </c>
      <c r="J4633" s="0" t="n">
        <f aca="false">E4633</f>
        <v>0.5</v>
      </c>
      <c r="K4633" s="0" t="n">
        <f aca="false">F4633</f>
        <v>-0.25</v>
      </c>
      <c r="L4633" s="0" t="n">
        <f aca="false">G4633</f>
        <v>-0.75</v>
      </c>
      <c r="M4633" s="0" t="n">
        <f aca="false">H4633</f>
        <v>-0.5</v>
      </c>
      <c r="N4633" s="0" t="n">
        <f aca="false">E4633*F4633</f>
        <v>-0.125</v>
      </c>
      <c r="O4633" s="0" t="n">
        <f aca="false">E4633*G4633</f>
        <v>-0.375</v>
      </c>
      <c r="P4633" s="0" t="n">
        <f aca="false">E4633*H4633</f>
        <v>-0.25</v>
      </c>
      <c r="Q4633" s="0" t="n">
        <f aca="false">F4633*G4633</f>
        <v>0.1875</v>
      </c>
      <c r="R4633" s="0" t="n">
        <f aca="false">F4633*H4633</f>
        <v>0.125</v>
      </c>
      <c r="S4633" s="0" t="n">
        <f aca="false">G4633*H4633</f>
        <v>0.375</v>
      </c>
      <c r="T4633" s="0" t="n">
        <f aca="false">E4633*E4633</f>
        <v>0.25</v>
      </c>
      <c r="U4633" s="0" t="n">
        <f aca="false">F4633*F4633</f>
        <v>0.0625</v>
      </c>
      <c r="V4633" s="0" t="n">
        <f aca="false">G4633*G4633</f>
        <v>0.5625</v>
      </c>
      <c r="W4633" s="0" t="n">
        <f aca="false">H4633*H4633</f>
        <v>0.25</v>
      </c>
      <c r="X4633" s="0" t="n">
        <f aca="false">SUMPRODUCT(I4633:W4633,_XtX!$B$96:$P$96)</f>
        <v>46.3719892178362</v>
      </c>
      <c r="Y4633" s="0" t="n">
        <f aca="false">SUMPRODUCT(MMULT(I4633:W4633,_XtX!$B$78:$P$92),I4633:W4633)</f>
        <v>0.203746059484649</v>
      </c>
      <c r="Z4633" s="0" t="n">
        <f aca="false">04_回帰ANOVA!$K$19*04_回帰ANOVA!$K$14*SQRT(1+Y4633)</f>
        <v>1.43009810755465</v>
      </c>
      <c r="AA4633" s="0" t="n">
        <f aca="false">X4633-Z4633</f>
        <v>44.9418911102816</v>
      </c>
      <c r="AB4633" s="0" t="n">
        <f aca="false">X4633+Z4633</f>
        <v>47.8020873253909</v>
      </c>
      <c r="AC4633" s="54" t="b">
        <f aca="false">AND(E4633&gt;=01_因子設定!$L$5-0.000000001,E4633&lt;=01_因子設定!$M$5+0.000000001,F4633&gt;=01_因子設定!$L$6-0.000000001,F4633&lt;=01_因子設定!$M$6+0.000000001,G4633&gt;=01_因子設定!$L$7-0.000000001,G4633&lt;=01_因子設定!$M$7+0.000000001,H4633&gt;=01_因子設定!$L$8-0.000000001,H4633&lt;=01_因子設定!$M$8+0.000000001,IF(01_因子設定!$B$20="Box-Behnken",E4633^2+F4633^2+G4633^2+H4633^2&lt;=2+0.000000001,TRUE()))</f>
        <v>1</v>
      </c>
      <c r="AD4633" s="55" t="n">
        <f aca="false">IF(AC4633,IF(01_因子設定!$B$13="最大化",AA4633-01_因子設定!$B$14,IF(01_因子設定!$B$13="最小化",01_因子設定!$B$15-AB4633,MIN(AA4633-01_因子設定!$B$14,01_因子設定!$B$15-AB4633))),-1E+030)</f>
        <v>-1.55810888971843</v>
      </c>
      <c r="AE4633" s="55" t="n">
        <f aca="false">IF(AC4633,IF(01_因子設定!$B$13="最大化",X4633,IF(01_因子設定!$B$13="最小化",-X4633,-ABS(X4633-01_因子設定!$B$16))),-1E+030)</f>
        <v>46.3719892178362</v>
      </c>
      <c r="AF4633" s="55" t="n">
        <f aca="false">AD4633+ROW()*0.000000001</f>
        <v>-1.55810425671843</v>
      </c>
      <c r="AG4633" s="55" t="n">
        <f aca="false">AE4633+ROW()*0.000000001</f>
        <v>46.3719938508362</v>
      </c>
    </row>
    <row r="4634" customFormat="false" ht="15" hidden="false" customHeight="false" outlineLevel="0" collapsed="false">
      <c r="A4634" s="0" t="n">
        <v>6</v>
      </c>
      <c r="B4634" s="0" t="n">
        <v>3</v>
      </c>
      <c r="C4634" s="0" t="n">
        <v>1</v>
      </c>
      <c r="D4634" s="0" t="n">
        <v>3</v>
      </c>
      <c r="E4634" s="0" t="n">
        <f aca="false">-1+A4634*0.25</f>
        <v>0.5</v>
      </c>
      <c r="F4634" s="0" t="n">
        <f aca="false">-1+B4634*0.25</f>
        <v>-0.25</v>
      </c>
      <c r="G4634" s="0" t="n">
        <f aca="false">-1+C4634*0.25</f>
        <v>-0.75</v>
      </c>
      <c r="H4634" s="0" t="n">
        <f aca="false">-1+D4634*0.25</f>
        <v>-0.25</v>
      </c>
      <c r="I4634" s="0" t="n">
        <f aca="false">1</f>
        <v>1</v>
      </c>
      <c r="J4634" s="0" t="n">
        <f aca="false">E4634</f>
        <v>0.5</v>
      </c>
      <c r="K4634" s="0" t="n">
        <f aca="false">F4634</f>
        <v>-0.25</v>
      </c>
      <c r="L4634" s="0" t="n">
        <f aca="false">G4634</f>
        <v>-0.75</v>
      </c>
      <c r="M4634" s="0" t="n">
        <f aca="false">H4634</f>
        <v>-0.25</v>
      </c>
      <c r="N4634" s="0" t="n">
        <f aca="false">E4634*F4634</f>
        <v>-0.125</v>
      </c>
      <c r="O4634" s="0" t="n">
        <f aca="false">E4634*G4634</f>
        <v>-0.375</v>
      </c>
      <c r="P4634" s="0" t="n">
        <f aca="false">E4634*H4634</f>
        <v>-0.125</v>
      </c>
      <c r="Q4634" s="0" t="n">
        <f aca="false">F4634*G4634</f>
        <v>0.1875</v>
      </c>
      <c r="R4634" s="0" t="n">
        <f aca="false">F4634*H4634</f>
        <v>0.0625</v>
      </c>
      <c r="S4634" s="0" t="n">
        <f aca="false">G4634*H4634</f>
        <v>0.1875</v>
      </c>
      <c r="T4634" s="0" t="n">
        <f aca="false">E4634*E4634</f>
        <v>0.25</v>
      </c>
      <c r="U4634" s="0" t="n">
        <f aca="false">F4634*F4634</f>
        <v>0.0625</v>
      </c>
      <c r="V4634" s="0" t="n">
        <f aca="false">G4634*G4634</f>
        <v>0.5625</v>
      </c>
      <c r="W4634" s="0" t="n">
        <f aca="false">H4634*H4634</f>
        <v>0.0625</v>
      </c>
      <c r="X4634" s="0" t="n">
        <f aca="false">SUMPRODUCT(I4634:W4634,_XtX!$B$96:$P$96)</f>
        <v>46.5200886330409</v>
      </c>
      <c r="Y4634" s="0" t="n">
        <f aca="false">SUMPRODUCT(MMULT(I4634:W4634,_XtX!$B$78:$P$92),I4634:W4634)</f>
        <v>0.207746539199561</v>
      </c>
      <c r="Z4634" s="0" t="n">
        <f aca="false">04_回帰ANOVA!$K$19*04_回帰ANOVA!$K$14*SQRT(1+Y4634)</f>
        <v>1.43247250081141</v>
      </c>
      <c r="AA4634" s="0" t="n">
        <f aca="false">X4634-Z4634</f>
        <v>45.0876161322295</v>
      </c>
      <c r="AB4634" s="0" t="n">
        <f aca="false">X4634+Z4634</f>
        <v>47.9525611338523</v>
      </c>
      <c r="AC4634" s="54" t="b">
        <f aca="false">AND(E4634&gt;=01_因子設定!$L$5-0.000000001,E4634&lt;=01_因子設定!$M$5+0.000000001,F4634&gt;=01_因子設定!$L$6-0.000000001,F4634&lt;=01_因子設定!$M$6+0.000000001,G4634&gt;=01_因子設定!$L$7-0.000000001,G4634&lt;=01_因子設定!$M$7+0.000000001,H4634&gt;=01_因子設定!$L$8-0.000000001,H4634&lt;=01_因子設定!$M$8+0.000000001,IF(01_因子設定!$B$20="Box-Behnken",E4634^2+F4634^2+G4634^2+H4634^2&lt;=2+0.000000001,TRUE()))</f>
        <v>1</v>
      </c>
      <c r="AD4634" s="55" t="n">
        <f aca="false">IF(AC4634,IF(01_因子設定!$B$13="最大化",AA4634-01_因子設定!$B$14,IF(01_因子設定!$B$13="最小化",01_因子設定!$B$15-AB4634,MIN(AA4634-01_因子設定!$B$14,01_因子設定!$B$15-AB4634))),-1E+030)</f>
        <v>-1.41238386777051</v>
      </c>
      <c r="AE4634" s="55" t="n">
        <f aca="false">IF(AC4634,IF(01_因子設定!$B$13="最大化",X4634,IF(01_因子設定!$B$13="最小化",-X4634,-ABS(X4634-01_因子設定!$B$16))),-1E+030)</f>
        <v>46.5200886330409</v>
      </c>
      <c r="AF4634" s="55" t="n">
        <f aca="false">AD4634+ROW()*0.000000001</f>
        <v>-1.41237923377051</v>
      </c>
      <c r="AG4634" s="55" t="n">
        <f aca="false">AE4634+ROW()*0.000000001</f>
        <v>46.5200932670409</v>
      </c>
    </row>
    <row r="4635" customFormat="false" ht="15" hidden="false" customHeight="false" outlineLevel="0" collapsed="false">
      <c r="A4635" s="0" t="n">
        <v>6</v>
      </c>
      <c r="B4635" s="0" t="n">
        <v>3</v>
      </c>
      <c r="C4635" s="0" t="n">
        <v>1</v>
      </c>
      <c r="D4635" s="0" t="n">
        <v>4</v>
      </c>
      <c r="E4635" s="0" t="n">
        <f aca="false">-1+A4635*0.25</f>
        <v>0.5</v>
      </c>
      <c r="F4635" s="0" t="n">
        <f aca="false">-1+B4635*0.25</f>
        <v>-0.25</v>
      </c>
      <c r="G4635" s="0" t="n">
        <f aca="false">-1+C4635*0.25</f>
        <v>-0.75</v>
      </c>
      <c r="H4635" s="0" t="n">
        <f aca="false">-1+D4635*0.25</f>
        <v>0</v>
      </c>
      <c r="I4635" s="0" t="n">
        <f aca="false">1</f>
        <v>1</v>
      </c>
      <c r="J4635" s="0" t="n">
        <f aca="false">E4635</f>
        <v>0.5</v>
      </c>
      <c r="K4635" s="0" t="n">
        <f aca="false">F4635</f>
        <v>-0.25</v>
      </c>
      <c r="L4635" s="0" t="n">
        <f aca="false">G4635</f>
        <v>-0.75</v>
      </c>
      <c r="M4635" s="0" t="n">
        <f aca="false">H4635</f>
        <v>0</v>
      </c>
      <c r="N4635" s="0" t="n">
        <f aca="false">E4635*F4635</f>
        <v>-0.125</v>
      </c>
      <c r="O4635" s="0" t="n">
        <f aca="false">E4635*G4635</f>
        <v>-0.375</v>
      </c>
      <c r="P4635" s="0" t="n">
        <f aca="false">E4635*H4635</f>
        <v>0</v>
      </c>
      <c r="Q4635" s="0" t="n">
        <f aca="false">F4635*G4635</f>
        <v>0.1875</v>
      </c>
      <c r="R4635" s="0" t="n">
        <f aca="false">F4635*H4635</f>
        <v>-0</v>
      </c>
      <c r="S4635" s="0" t="n">
        <f aca="false">G4635*H4635</f>
        <v>-0</v>
      </c>
      <c r="T4635" s="0" t="n">
        <f aca="false">E4635*E4635</f>
        <v>0.25</v>
      </c>
      <c r="U4635" s="0" t="n">
        <f aca="false">F4635*F4635</f>
        <v>0.0625</v>
      </c>
      <c r="V4635" s="0" t="n">
        <f aca="false">G4635*G4635</f>
        <v>0.5625</v>
      </c>
      <c r="W4635" s="0" t="n">
        <f aca="false">H4635*H4635</f>
        <v>0</v>
      </c>
      <c r="X4635" s="0" t="n">
        <f aca="false">SUMPRODUCT(I4635:W4635,_XtX!$B$96:$P$96)</f>
        <v>46.6203810307017</v>
      </c>
      <c r="Y4635" s="0" t="n">
        <f aca="false">SUMPRODUCT(MMULT(I4635:W4635,_XtX!$B$78:$P$92),I4635:W4635)</f>
        <v>0.215110734192252</v>
      </c>
      <c r="Z4635" s="0" t="n">
        <f aca="false">04_回帰ANOVA!$K$19*04_回帰ANOVA!$K$14*SQRT(1+Y4635)</f>
        <v>1.43683309086864</v>
      </c>
      <c r="AA4635" s="0" t="n">
        <f aca="false">X4635-Z4635</f>
        <v>45.1835479398331</v>
      </c>
      <c r="AB4635" s="0" t="n">
        <f aca="false">X4635+Z4635</f>
        <v>48.0572141215704</v>
      </c>
      <c r="AC4635" s="54" t="b">
        <f aca="false">AND(E4635&gt;=01_因子設定!$L$5-0.000000001,E4635&lt;=01_因子設定!$M$5+0.000000001,F4635&gt;=01_因子設定!$L$6-0.000000001,F4635&lt;=01_因子設定!$M$6+0.000000001,G4635&gt;=01_因子設定!$L$7-0.000000001,G4635&lt;=01_因子設定!$M$7+0.000000001,H4635&gt;=01_因子設定!$L$8-0.000000001,H4635&lt;=01_因子設定!$M$8+0.000000001,IF(01_因子設定!$B$20="Box-Behnken",E4635^2+F4635^2+G4635^2+H4635^2&lt;=2+0.000000001,TRUE()))</f>
        <v>1</v>
      </c>
      <c r="AD4635" s="55" t="n">
        <f aca="false">IF(AC4635,IF(01_因子設定!$B$13="最大化",AA4635-01_因子設定!$B$14,IF(01_因子設定!$B$13="最小化",01_因子設定!$B$15-AB4635,MIN(AA4635-01_因子設定!$B$14,01_因子設定!$B$15-AB4635))),-1E+030)</f>
        <v>-1.31645206016693</v>
      </c>
      <c r="AE4635" s="55" t="n">
        <f aca="false">IF(AC4635,IF(01_因子設定!$B$13="最大化",X4635,IF(01_因子設定!$B$13="最小化",-X4635,-ABS(X4635-01_因子設定!$B$16))),-1E+030)</f>
        <v>46.6203810307017</v>
      </c>
      <c r="AF4635" s="55" t="n">
        <f aca="false">AD4635+ROW()*0.000000001</f>
        <v>-1.31644742516693</v>
      </c>
      <c r="AG4635" s="55" t="n">
        <f aca="false">AE4635+ROW()*0.000000001</f>
        <v>46.6203856657017</v>
      </c>
    </row>
    <row r="4636" customFormat="false" ht="15" hidden="false" customHeight="false" outlineLevel="0" collapsed="false">
      <c r="A4636" s="0" t="n">
        <v>6</v>
      </c>
      <c r="B4636" s="0" t="n">
        <v>3</v>
      </c>
      <c r="C4636" s="0" t="n">
        <v>1</v>
      </c>
      <c r="D4636" s="0" t="n">
        <v>5</v>
      </c>
      <c r="E4636" s="0" t="n">
        <f aca="false">-1+A4636*0.25</f>
        <v>0.5</v>
      </c>
      <c r="F4636" s="0" t="n">
        <f aca="false">-1+B4636*0.25</f>
        <v>-0.25</v>
      </c>
      <c r="G4636" s="0" t="n">
        <f aca="false">-1+C4636*0.25</f>
        <v>-0.75</v>
      </c>
      <c r="H4636" s="0" t="n">
        <f aca="false">-1+D4636*0.25</f>
        <v>0.25</v>
      </c>
      <c r="I4636" s="0" t="n">
        <f aca="false">1</f>
        <v>1</v>
      </c>
      <c r="J4636" s="0" t="n">
        <f aca="false">E4636</f>
        <v>0.5</v>
      </c>
      <c r="K4636" s="0" t="n">
        <f aca="false">F4636</f>
        <v>-0.25</v>
      </c>
      <c r="L4636" s="0" t="n">
        <f aca="false">G4636</f>
        <v>-0.75</v>
      </c>
      <c r="M4636" s="0" t="n">
        <f aca="false">H4636</f>
        <v>0.25</v>
      </c>
      <c r="N4636" s="0" t="n">
        <f aca="false">E4636*F4636</f>
        <v>-0.125</v>
      </c>
      <c r="O4636" s="0" t="n">
        <f aca="false">E4636*G4636</f>
        <v>-0.375</v>
      </c>
      <c r="P4636" s="0" t="n">
        <f aca="false">E4636*H4636</f>
        <v>0.125</v>
      </c>
      <c r="Q4636" s="0" t="n">
        <f aca="false">F4636*G4636</f>
        <v>0.1875</v>
      </c>
      <c r="R4636" s="0" t="n">
        <f aca="false">F4636*H4636</f>
        <v>-0.0625</v>
      </c>
      <c r="S4636" s="0" t="n">
        <f aca="false">G4636*H4636</f>
        <v>-0.1875</v>
      </c>
      <c r="T4636" s="0" t="n">
        <f aca="false">E4636*E4636</f>
        <v>0.25</v>
      </c>
      <c r="U4636" s="0" t="n">
        <f aca="false">F4636*F4636</f>
        <v>0.0625</v>
      </c>
      <c r="V4636" s="0" t="n">
        <f aca="false">G4636*G4636</f>
        <v>0.5625</v>
      </c>
      <c r="W4636" s="0" t="n">
        <f aca="false">H4636*H4636</f>
        <v>0.0625</v>
      </c>
      <c r="X4636" s="0" t="n">
        <f aca="false">SUMPRODUCT(I4636:W4636,_XtX!$B$96:$P$96)</f>
        <v>46.6728664108187</v>
      </c>
      <c r="Y4636" s="0" t="n">
        <f aca="false">SUMPRODUCT(MMULT(I4636:W4636,_XtX!$B$78:$P$92),I4636:W4636)</f>
        <v>0.207746539199561</v>
      </c>
      <c r="Z4636" s="0" t="n">
        <f aca="false">04_回帰ANOVA!$K$19*04_回帰ANOVA!$K$14*SQRT(1+Y4636)</f>
        <v>1.43247250081141</v>
      </c>
      <c r="AA4636" s="0" t="n">
        <f aca="false">X4636-Z4636</f>
        <v>45.2403939100073</v>
      </c>
      <c r="AB4636" s="0" t="n">
        <f aca="false">X4636+Z4636</f>
        <v>48.1053389116301</v>
      </c>
      <c r="AC4636" s="54" t="b">
        <f aca="false">AND(E4636&gt;=01_因子設定!$L$5-0.000000001,E4636&lt;=01_因子設定!$M$5+0.000000001,F4636&gt;=01_因子設定!$L$6-0.000000001,F4636&lt;=01_因子設定!$M$6+0.000000001,G4636&gt;=01_因子設定!$L$7-0.000000001,G4636&lt;=01_因子設定!$M$7+0.000000001,H4636&gt;=01_因子設定!$L$8-0.000000001,H4636&lt;=01_因子設定!$M$8+0.000000001,IF(01_因子設定!$B$20="Box-Behnken",E4636^2+F4636^2+G4636^2+H4636^2&lt;=2+0.000000001,TRUE()))</f>
        <v>1</v>
      </c>
      <c r="AD4636" s="55" t="n">
        <f aca="false">IF(AC4636,IF(01_因子設定!$B$13="最大化",AA4636-01_因子設定!$B$14,IF(01_因子設定!$B$13="最小化",01_因子設定!$B$15-AB4636,MIN(AA4636-01_因子設定!$B$14,01_因子設定!$B$15-AB4636))),-1E+030)</f>
        <v>-1.25960608999274</v>
      </c>
      <c r="AE4636" s="55" t="n">
        <f aca="false">IF(AC4636,IF(01_因子設定!$B$13="最大化",X4636,IF(01_因子設定!$B$13="最小化",-X4636,-ABS(X4636-01_因子設定!$B$16))),-1E+030)</f>
        <v>46.6728664108187</v>
      </c>
      <c r="AF4636" s="55" t="n">
        <f aca="false">AD4636+ROW()*0.000000001</f>
        <v>-1.25960145399274</v>
      </c>
      <c r="AG4636" s="55" t="n">
        <f aca="false">AE4636+ROW()*0.000000001</f>
        <v>46.6728710468187</v>
      </c>
    </row>
    <row r="4637" customFormat="false" ht="15" hidden="false" customHeight="false" outlineLevel="0" collapsed="false">
      <c r="A4637" s="0" t="n">
        <v>6</v>
      </c>
      <c r="B4637" s="0" t="n">
        <v>3</v>
      </c>
      <c r="C4637" s="0" t="n">
        <v>1</v>
      </c>
      <c r="D4637" s="0" t="n">
        <v>6</v>
      </c>
      <c r="E4637" s="0" t="n">
        <f aca="false">-1+A4637*0.25</f>
        <v>0.5</v>
      </c>
      <c r="F4637" s="0" t="n">
        <f aca="false">-1+B4637*0.25</f>
        <v>-0.25</v>
      </c>
      <c r="G4637" s="0" t="n">
        <f aca="false">-1+C4637*0.25</f>
        <v>-0.75</v>
      </c>
      <c r="H4637" s="0" t="n">
        <f aca="false">-1+D4637*0.25</f>
        <v>0.5</v>
      </c>
      <c r="I4637" s="0" t="n">
        <f aca="false">1</f>
        <v>1</v>
      </c>
      <c r="J4637" s="0" t="n">
        <f aca="false">E4637</f>
        <v>0.5</v>
      </c>
      <c r="K4637" s="0" t="n">
        <f aca="false">F4637</f>
        <v>-0.25</v>
      </c>
      <c r="L4637" s="0" t="n">
        <f aca="false">G4637</f>
        <v>-0.75</v>
      </c>
      <c r="M4637" s="0" t="n">
        <f aca="false">H4637</f>
        <v>0.5</v>
      </c>
      <c r="N4637" s="0" t="n">
        <f aca="false">E4637*F4637</f>
        <v>-0.125</v>
      </c>
      <c r="O4637" s="0" t="n">
        <f aca="false">E4637*G4637</f>
        <v>-0.375</v>
      </c>
      <c r="P4637" s="0" t="n">
        <f aca="false">E4637*H4637</f>
        <v>0.25</v>
      </c>
      <c r="Q4637" s="0" t="n">
        <f aca="false">F4637*G4637</f>
        <v>0.1875</v>
      </c>
      <c r="R4637" s="0" t="n">
        <f aca="false">F4637*H4637</f>
        <v>-0.125</v>
      </c>
      <c r="S4637" s="0" t="n">
        <f aca="false">G4637*H4637</f>
        <v>-0.375</v>
      </c>
      <c r="T4637" s="0" t="n">
        <f aca="false">E4637*E4637</f>
        <v>0.25</v>
      </c>
      <c r="U4637" s="0" t="n">
        <f aca="false">F4637*F4637</f>
        <v>0.0625</v>
      </c>
      <c r="V4637" s="0" t="n">
        <f aca="false">G4637*G4637</f>
        <v>0.5625</v>
      </c>
      <c r="W4637" s="0" t="n">
        <f aca="false">H4637*H4637</f>
        <v>0.25</v>
      </c>
      <c r="X4637" s="0" t="n">
        <f aca="false">SUMPRODUCT(I4637:W4637,_XtX!$B$96:$P$96)</f>
        <v>46.6775447733918</v>
      </c>
      <c r="Y4637" s="0" t="n">
        <f aca="false">SUMPRODUCT(MMULT(I4637:W4637,_XtX!$B$78:$P$92),I4637:W4637)</f>
        <v>0.203746059484649</v>
      </c>
      <c r="Z4637" s="0" t="n">
        <f aca="false">04_回帰ANOVA!$K$19*04_回帰ANOVA!$K$14*SQRT(1+Y4637)</f>
        <v>1.43009810755465</v>
      </c>
      <c r="AA4637" s="0" t="n">
        <f aca="false">X4637-Z4637</f>
        <v>45.2474466658371</v>
      </c>
      <c r="AB4637" s="0" t="n">
        <f aca="false">X4637+Z4637</f>
        <v>48.1076428809464</v>
      </c>
      <c r="AC4637" s="54" t="b">
        <f aca="false">AND(E4637&gt;=01_因子設定!$L$5-0.000000001,E4637&lt;=01_因子設定!$M$5+0.000000001,F4637&gt;=01_因子設定!$L$6-0.000000001,F4637&lt;=01_因子設定!$M$6+0.000000001,G4637&gt;=01_因子設定!$L$7-0.000000001,G4637&lt;=01_因子設定!$M$7+0.000000001,H4637&gt;=01_因子設定!$L$8-0.000000001,H4637&lt;=01_因子設定!$M$8+0.000000001,IF(01_因子設定!$B$20="Box-Behnken",E4637^2+F4637^2+G4637^2+H4637^2&lt;=2+0.000000001,TRUE()))</f>
        <v>1</v>
      </c>
      <c r="AD4637" s="55" t="n">
        <f aca="false">IF(AC4637,IF(01_因子設定!$B$13="最大化",AA4637-01_因子設定!$B$14,IF(01_因子設定!$B$13="最小化",01_因子設定!$B$15-AB4637,MIN(AA4637-01_因子設定!$B$14,01_因子設定!$B$15-AB4637))),-1E+030)</f>
        <v>-1.25255333416287</v>
      </c>
      <c r="AE4637" s="55" t="n">
        <f aca="false">IF(AC4637,IF(01_因子設定!$B$13="最大化",X4637,IF(01_因子設定!$B$13="最小化",-X4637,-ABS(X4637-01_因子設定!$B$16))),-1E+030)</f>
        <v>46.6775447733918</v>
      </c>
      <c r="AF4637" s="55" t="n">
        <f aca="false">AD4637+ROW()*0.000000001</f>
        <v>-1.25254869716287</v>
      </c>
      <c r="AG4637" s="55" t="n">
        <f aca="false">AE4637+ROW()*0.000000001</f>
        <v>46.6775494103918</v>
      </c>
    </row>
    <row r="4638" customFormat="false" ht="15" hidden="false" customHeight="false" outlineLevel="0" collapsed="false">
      <c r="A4638" s="0" t="n">
        <v>6</v>
      </c>
      <c r="B4638" s="0" t="n">
        <v>3</v>
      </c>
      <c r="C4638" s="0" t="n">
        <v>1</v>
      </c>
      <c r="D4638" s="0" t="n">
        <v>7</v>
      </c>
      <c r="E4638" s="0" t="n">
        <f aca="false">-1+A4638*0.25</f>
        <v>0.5</v>
      </c>
      <c r="F4638" s="0" t="n">
        <f aca="false">-1+B4638*0.25</f>
        <v>-0.25</v>
      </c>
      <c r="G4638" s="0" t="n">
        <f aca="false">-1+C4638*0.25</f>
        <v>-0.75</v>
      </c>
      <c r="H4638" s="0" t="n">
        <f aca="false">-1+D4638*0.25</f>
        <v>0.75</v>
      </c>
      <c r="I4638" s="0" t="n">
        <f aca="false">1</f>
        <v>1</v>
      </c>
      <c r="J4638" s="0" t="n">
        <f aca="false">E4638</f>
        <v>0.5</v>
      </c>
      <c r="K4638" s="0" t="n">
        <f aca="false">F4638</f>
        <v>-0.25</v>
      </c>
      <c r="L4638" s="0" t="n">
        <f aca="false">G4638</f>
        <v>-0.75</v>
      </c>
      <c r="M4638" s="0" t="n">
        <f aca="false">H4638</f>
        <v>0.75</v>
      </c>
      <c r="N4638" s="0" t="n">
        <f aca="false">E4638*F4638</f>
        <v>-0.125</v>
      </c>
      <c r="O4638" s="0" t="n">
        <f aca="false">E4638*G4638</f>
        <v>-0.375</v>
      </c>
      <c r="P4638" s="0" t="n">
        <f aca="false">E4638*H4638</f>
        <v>0.375</v>
      </c>
      <c r="Q4638" s="0" t="n">
        <f aca="false">F4638*G4638</f>
        <v>0.1875</v>
      </c>
      <c r="R4638" s="0" t="n">
        <f aca="false">F4638*H4638</f>
        <v>-0.1875</v>
      </c>
      <c r="S4638" s="0" t="n">
        <f aca="false">G4638*H4638</f>
        <v>-0.5625</v>
      </c>
      <c r="T4638" s="0" t="n">
        <f aca="false">E4638*E4638</f>
        <v>0.25</v>
      </c>
      <c r="U4638" s="0" t="n">
        <f aca="false">F4638*F4638</f>
        <v>0.0625</v>
      </c>
      <c r="V4638" s="0" t="n">
        <f aca="false">G4638*G4638</f>
        <v>0.5625</v>
      </c>
      <c r="W4638" s="0" t="n">
        <f aca="false">H4638*H4638</f>
        <v>0.5625</v>
      </c>
      <c r="X4638" s="0" t="n">
        <f aca="false">SUMPRODUCT(I4638:W4638,_XtX!$B$96:$P$96)</f>
        <v>46.634416118421</v>
      </c>
      <c r="Y4638" s="0" t="n">
        <f aca="false">SUMPRODUCT(MMULT(I4638:W4638,_XtX!$B$78:$P$92),I4638:W4638)</f>
        <v>0.257385610836988</v>
      </c>
      <c r="Z4638" s="0" t="n">
        <f aca="false">04_回帰ANOVA!$K$19*04_回帰ANOVA!$K$14*SQRT(1+Y4638)</f>
        <v>1.46161380324158</v>
      </c>
      <c r="AA4638" s="0" t="n">
        <f aca="false">X4638-Z4638</f>
        <v>45.1728023151794</v>
      </c>
      <c r="AB4638" s="0" t="n">
        <f aca="false">X4638+Z4638</f>
        <v>48.0960299216626</v>
      </c>
      <c r="AC4638" s="54" t="b">
        <f aca="false">AND(E4638&gt;=01_因子設定!$L$5-0.000000001,E4638&lt;=01_因子設定!$M$5+0.000000001,F4638&gt;=01_因子設定!$L$6-0.000000001,F4638&lt;=01_因子設定!$M$6+0.000000001,G4638&gt;=01_因子設定!$L$7-0.000000001,G4638&lt;=01_因子設定!$M$7+0.000000001,H4638&gt;=01_因子設定!$L$8-0.000000001,H4638&lt;=01_因子設定!$M$8+0.000000001,IF(01_因子設定!$B$20="Box-Behnken",E4638^2+F4638^2+G4638^2+H4638^2&lt;=2+0.000000001,TRUE()))</f>
        <v>1</v>
      </c>
      <c r="AD4638" s="55" t="n">
        <f aca="false">IF(AC4638,IF(01_因子設定!$B$13="最大化",AA4638-01_因子設定!$B$14,IF(01_因子設定!$B$13="最小化",01_因子設定!$B$15-AB4638,MIN(AA4638-01_因子設定!$B$14,01_因子設定!$B$15-AB4638))),-1E+030)</f>
        <v>-1.32719768482055</v>
      </c>
      <c r="AE4638" s="55" t="n">
        <f aca="false">IF(AC4638,IF(01_因子設定!$B$13="最大化",X4638,IF(01_因子設定!$B$13="最小化",-X4638,-ABS(X4638-01_因子設定!$B$16))),-1E+030)</f>
        <v>46.634416118421</v>
      </c>
      <c r="AF4638" s="55" t="n">
        <f aca="false">AD4638+ROW()*0.000000001</f>
        <v>-1.32719304682055</v>
      </c>
      <c r="AG4638" s="55" t="n">
        <f aca="false">AE4638+ROW()*0.000000001</f>
        <v>46.634420756421</v>
      </c>
    </row>
    <row r="4639" customFormat="false" ht="15" hidden="false" customHeight="false" outlineLevel="0" collapsed="false">
      <c r="A4639" s="0" t="n">
        <v>6</v>
      </c>
      <c r="B4639" s="0" t="n">
        <v>3</v>
      </c>
      <c r="C4639" s="0" t="n">
        <v>1</v>
      </c>
      <c r="D4639" s="0" t="n">
        <v>8</v>
      </c>
      <c r="E4639" s="0" t="n">
        <f aca="false">-1+A4639*0.25</f>
        <v>0.5</v>
      </c>
      <c r="F4639" s="0" t="n">
        <f aca="false">-1+B4639*0.25</f>
        <v>-0.25</v>
      </c>
      <c r="G4639" s="0" t="n">
        <f aca="false">-1+C4639*0.25</f>
        <v>-0.75</v>
      </c>
      <c r="H4639" s="0" t="n">
        <f aca="false">-1+D4639*0.25</f>
        <v>1</v>
      </c>
      <c r="I4639" s="0" t="n">
        <f aca="false">1</f>
        <v>1</v>
      </c>
      <c r="J4639" s="0" t="n">
        <f aca="false">E4639</f>
        <v>0.5</v>
      </c>
      <c r="K4639" s="0" t="n">
        <f aca="false">F4639</f>
        <v>-0.25</v>
      </c>
      <c r="L4639" s="0" t="n">
        <f aca="false">G4639</f>
        <v>-0.75</v>
      </c>
      <c r="M4639" s="0" t="n">
        <f aca="false">H4639</f>
        <v>1</v>
      </c>
      <c r="N4639" s="0" t="n">
        <f aca="false">E4639*F4639</f>
        <v>-0.125</v>
      </c>
      <c r="O4639" s="0" t="n">
        <f aca="false">E4639*G4639</f>
        <v>-0.375</v>
      </c>
      <c r="P4639" s="0" t="n">
        <f aca="false">E4639*H4639</f>
        <v>0.5</v>
      </c>
      <c r="Q4639" s="0" t="n">
        <f aca="false">F4639*G4639</f>
        <v>0.1875</v>
      </c>
      <c r="R4639" s="0" t="n">
        <f aca="false">F4639*H4639</f>
        <v>-0.25</v>
      </c>
      <c r="S4639" s="0" t="n">
        <f aca="false">G4639*H4639</f>
        <v>-0.75</v>
      </c>
      <c r="T4639" s="0" t="n">
        <f aca="false">E4639*E4639</f>
        <v>0.25</v>
      </c>
      <c r="U4639" s="0" t="n">
        <f aca="false">F4639*F4639</f>
        <v>0.0625</v>
      </c>
      <c r="V4639" s="0" t="n">
        <f aca="false">G4639*G4639</f>
        <v>0.5625</v>
      </c>
      <c r="W4639" s="0" t="n">
        <f aca="false">H4639*H4639</f>
        <v>1</v>
      </c>
      <c r="X4639" s="0" t="n">
        <f aca="false">SUMPRODUCT(I4639:W4639,_XtX!$B$96:$P$96)</f>
        <v>46.5434804459064</v>
      </c>
      <c r="Y4639" s="0" t="n">
        <f aca="false">SUMPRODUCT(MMULT(I4639:W4639,_XtX!$B$78:$P$92),I4639:W4639)</f>
        <v>0.459125719572369</v>
      </c>
      <c r="Z4639" s="0" t="n">
        <f aca="false">04_回帰ANOVA!$K$19*04_回帰ANOVA!$K$14*SQRT(1+Y4639)</f>
        <v>1.57450755575573</v>
      </c>
      <c r="AA4639" s="0" t="n">
        <f aca="false">X4639-Z4639</f>
        <v>44.9689728901507</v>
      </c>
      <c r="AB4639" s="0" t="n">
        <f aca="false">X4639+Z4639</f>
        <v>48.1179880016622</v>
      </c>
      <c r="AC4639" s="54" t="b">
        <f aca="false">AND(E4639&gt;=01_因子設定!$L$5-0.000000001,E4639&lt;=01_因子設定!$M$5+0.000000001,F4639&gt;=01_因子設定!$L$6-0.000000001,F4639&lt;=01_因子設定!$M$6+0.000000001,G4639&gt;=01_因子設定!$L$7-0.000000001,G4639&lt;=01_因子設定!$M$7+0.000000001,H4639&gt;=01_因子設定!$L$8-0.000000001,H4639&lt;=01_因子設定!$M$8+0.000000001,IF(01_因子設定!$B$20="Box-Behnken",E4639^2+F4639^2+G4639^2+H4639^2&lt;=2+0.000000001,TRUE()))</f>
        <v>1</v>
      </c>
      <c r="AD4639" s="55" t="n">
        <f aca="false">IF(AC4639,IF(01_因子設定!$B$13="最大化",AA4639-01_因子設定!$B$14,IF(01_因子設定!$B$13="最小化",01_因子設定!$B$15-AB4639,MIN(AA4639-01_因子設定!$B$14,01_因子設定!$B$15-AB4639))),-1E+030)</f>
        <v>-1.5310271098493</v>
      </c>
      <c r="AE4639" s="55" t="n">
        <f aca="false">IF(AC4639,IF(01_因子設定!$B$13="最大化",X4639,IF(01_因子設定!$B$13="最小化",-X4639,-ABS(X4639-01_因子設定!$B$16))),-1E+030)</f>
        <v>46.5434804459064</v>
      </c>
      <c r="AF4639" s="55" t="n">
        <f aca="false">AD4639+ROW()*0.000000001</f>
        <v>-1.5310224708493</v>
      </c>
      <c r="AG4639" s="55" t="n">
        <f aca="false">AE4639+ROW()*0.000000001</f>
        <v>46.5434850849064</v>
      </c>
    </row>
    <row r="4640" customFormat="false" ht="15" hidden="false" customHeight="false" outlineLevel="0" collapsed="false">
      <c r="A4640" s="0" t="n">
        <v>6</v>
      </c>
      <c r="B4640" s="0" t="n">
        <v>3</v>
      </c>
      <c r="C4640" s="0" t="n">
        <v>2</v>
      </c>
      <c r="D4640" s="0" t="n">
        <v>0</v>
      </c>
      <c r="E4640" s="0" t="n">
        <f aca="false">-1+A4640*0.25</f>
        <v>0.5</v>
      </c>
      <c r="F4640" s="0" t="n">
        <f aca="false">-1+B4640*0.25</f>
        <v>-0.25</v>
      </c>
      <c r="G4640" s="0" t="n">
        <f aca="false">-1+C4640*0.25</f>
        <v>-0.5</v>
      </c>
      <c r="H4640" s="0" t="n">
        <f aca="false">-1+D4640*0.25</f>
        <v>-1</v>
      </c>
      <c r="I4640" s="0" t="n">
        <f aca="false">1</f>
        <v>1</v>
      </c>
      <c r="J4640" s="0" t="n">
        <f aca="false">E4640</f>
        <v>0.5</v>
      </c>
      <c r="K4640" s="0" t="n">
        <f aca="false">F4640</f>
        <v>-0.25</v>
      </c>
      <c r="L4640" s="0" t="n">
        <f aca="false">G4640</f>
        <v>-0.5</v>
      </c>
      <c r="M4640" s="0" t="n">
        <f aca="false">H4640</f>
        <v>-1</v>
      </c>
      <c r="N4640" s="0" t="n">
        <f aca="false">E4640*F4640</f>
        <v>-0.125</v>
      </c>
      <c r="O4640" s="0" t="n">
        <f aca="false">E4640*G4640</f>
        <v>-0.25</v>
      </c>
      <c r="P4640" s="0" t="n">
        <f aca="false">E4640*H4640</f>
        <v>-0.5</v>
      </c>
      <c r="Q4640" s="0" t="n">
        <f aca="false">F4640*G4640</f>
        <v>0.125</v>
      </c>
      <c r="R4640" s="0" t="n">
        <f aca="false">F4640*H4640</f>
        <v>0.25</v>
      </c>
      <c r="S4640" s="0" t="n">
        <f aca="false">G4640*H4640</f>
        <v>0.5</v>
      </c>
      <c r="T4640" s="0" t="n">
        <f aca="false">E4640*E4640</f>
        <v>0.25</v>
      </c>
      <c r="U4640" s="0" t="n">
        <f aca="false">F4640*F4640</f>
        <v>0.0625</v>
      </c>
      <c r="V4640" s="0" t="n">
        <f aca="false">G4640*G4640</f>
        <v>0.25</v>
      </c>
      <c r="W4640" s="0" t="n">
        <f aca="false">H4640*H4640</f>
        <v>1</v>
      </c>
      <c r="X4640" s="0" t="n">
        <f aca="false">SUMPRODUCT(I4640:W4640,_XtX!$B$96:$P$96)</f>
        <v>46.2188139619883</v>
      </c>
      <c r="Y4640" s="0" t="n">
        <f aca="false">SUMPRODUCT(MMULT(I4640:W4640,_XtX!$B$78:$P$92),I4640:W4640)</f>
        <v>0.428122715643275</v>
      </c>
      <c r="Z4640" s="0" t="n">
        <f aca="false">04_回帰ANOVA!$K$19*04_回帰ANOVA!$K$14*SQRT(1+Y4640)</f>
        <v>1.55769044623229</v>
      </c>
      <c r="AA4640" s="0" t="n">
        <f aca="false">X4640-Z4640</f>
        <v>44.661123515756</v>
      </c>
      <c r="AB4640" s="0" t="n">
        <f aca="false">X4640+Z4640</f>
        <v>47.7765044082206</v>
      </c>
      <c r="AC4640" s="54" t="b">
        <f aca="false">AND(E4640&gt;=01_因子設定!$L$5-0.000000001,E4640&lt;=01_因子設定!$M$5+0.000000001,F4640&gt;=01_因子設定!$L$6-0.000000001,F4640&lt;=01_因子設定!$M$6+0.000000001,G4640&gt;=01_因子設定!$L$7-0.000000001,G4640&lt;=01_因子設定!$M$7+0.000000001,H4640&gt;=01_因子設定!$L$8-0.000000001,H4640&lt;=01_因子設定!$M$8+0.000000001,IF(01_因子設定!$B$20="Box-Behnken",E4640^2+F4640^2+G4640^2+H4640^2&lt;=2+0.000000001,TRUE()))</f>
        <v>1</v>
      </c>
      <c r="AD4640" s="55" t="n">
        <f aca="false">IF(AC4640,IF(01_因子設定!$B$13="最大化",AA4640-01_因子設定!$B$14,IF(01_因子設定!$B$13="最小化",01_因子設定!$B$15-AB4640,MIN(AA4640-01_因子設定!$B$14,01_因子設定!$B$15-AB4640))),-1E+030)</f>
        <v>-1.838876484244</v>
      </c>
      <c r="AE4640" s="55" t="n">
        <f aca="false">IF(AC4640,IF(01_因子設定!$B$13="最大化",X4640,IF(01_因子設定!$B$13="最小化",-X4640,-ABS(X4640-01_因子設定!$B$16))),-1E+030)</f>
        <v>46.2188139619883</v>
      </c>
      <c r="AF4640" s="55" t="n">
        <f aca="false">AD4640+ROW()*0.000000001</f>
        <v>-1.838871844244</v>
      </c>
      <c r="AG4640" s="55" t="n">
        <f aca="false">AE4640+ROW()*0.000000001</f>
        <v>46.2188186019883</v>
      </c>
    </row>
    <row r="4641" customFormat="false" ht="15" hidden="false" customHeight="false" outlineLevel="0" collapsed="false">
      <c r="A4641" s="0" t="n">
        <v>6</v>
      </c>
      <c r="B4641" s="0" t="n">
        <v>3</v>
      </c>
      <c r="C4641" s="0" t="n">
        <v>2</v>
      </c>
      <c r="D4641" s="0" t="n">
        <v>1</v>
      </c>
      <c r="E4641" s="0" t="n">
        <f aca="false">-1+A4641*0.25</f>
        <v>0.5</v>
      </c>
      <c r="F4641" s="0" t="n">
        <f aca="false">-1+B4641*0.25</f>
        <v>-0.25</v>
      </c>
      <c r="G4641" s="0" t="n">
        <f aca="false">-1+C4641*0.25</f>
        <v>-0.5</v>
      </c>
      <c r="H4641" s="0" t="n">
        <f aca="false">-1+D4641*0.25</f>
        <v>-0.75</v>
      </c>
      <c r="I4641" s="0" t="n">
        <f aca="false">1</f>
        <v>1</v>
      </c>
      <c r="J4641" s="0" t="n">
        <f aca="false">E4641</f>
        <v>0.5</v>
      </c>
      <c r="K4641" s="0" t="n">
        <f aca="false">F4641</f>
        <v>-0.25</v>
      </c>
      <c r="L4641" s="0" t="n">
        <f aca="false">G4641</f>
        <v>-0.5</v>
      </c>
      <c r="M4641" s="0" t="n">
        <f aca="false">H4641</f>
        <v>-0.75</v>
      </c>
      <c r="N4641" s="0" t="n">
        <f aca="false">E4641*F4641</f>
        <v>-0.125</v>
      </c>
      <c r="O4641" s="0" t="n">
        <f aca="false">E4641*G4641</f>
        <v>-0.25</v>
      </c>
      <c r="P4641" s="0" t="n">
        <f aca="false">E4641*H4641</f>
        <v>-0.375</v>
      </c>
      <c r="Q4641" s="0" t="n">
        <f aca="false">F4641*G4641</f>
        <v>0.125</v>
      </c>
      <c r="R4641" s="0" t="n">
        <f aca="false">F4641*H4641</f>
        <v>0.1875</v>
      </c>
      <c r="S4641" s="0" t="n">
        <f aca="false">G4641*H4641</f>
        <v>0.375</v>
      </c>
      <c r="T4641" s="0" t="n">
        <f aca="false">E4641*E4641</f>
        <v>0.25</v>
      </c>
      <c r="U4641" s="0" t="n">
        <f aca="false">F4641*F4641</f>
        <v>0.0625</v>
      </c>
      <c r="V4641" s="0" t="n">
        <f aca="false">G4641*G4641</f>
        <v>0.25</v>
      </c>
      <c r="W4641" s="0" t="n">
        <f aca="false">H4641*H4641</f>
        <v>0.5625</v>
      </c>
      <c r="X4641" s="0" t="n">
        <f aca="false">SUMPRODUCT(I4641:W4641,_XtX!$B$96:$P$96)</f>
        <v>46.4804961622807</v>
      </c>
      <c r="Y4641" s="0" t="n">
        <f aca="false">SUMPRODUCT(MMULT(I4641:W4641,_XtX!$B$78:$P$92),I4641:W4641)</f>
        <v>0.203746059484649</v>
      </c>
      <c r="Z4641" s="0" t="n">
        <f aca="false">04_回帰ANOVA!$K$19*04_回帰ANOVA!$K$14*SQRT(1+Y4641)</f>
        <v>1.43009810755465</v>
      </c>
      <c r="AA4641" s="0" t="n">
        <f aca="false">X4641-Z4641</f>
        <v>45.050398054726</v>
      </c>
      <c r="AB4641" s="0" t="n">
        <f aca="false">X4641+Z4641</f>
        <v>47.9105942698353</v>
      </c>
      <c r="AC4641" s="54" t="b">
        <f aca="false">AND(E4641&gt;=01_因子設定!$L$5-0.000000001,E4641&lt;=01_因子設定!$M$5+0.000000001,F4641&gt;=01_因子設定!$L$6-0.000000001,F4641&lt;=01_因子設定!$M$6+0.000000001,G4641&gt;=01_因子設定!$L$7-0.000000001,G4641&lt;=01_因子設定!$M$7+0.000000001,H4641&gt;=01_因子設定!$L$8-0.000000001,H4641&lt;=01_因子設定!$M$8+0.000000001,IF(01_因子設定!$B$20="Box-Behnken",E4641^2+F4641^2+G4641^2+H4641^2&lt;=2+0.000000001,TRUE()))</f>
        <v>1</v>
      </c>
      <c r="AD4641" s="55" t="n">
        <f aca="false">IF(AC4641,IF(01_因子設定!$B$13="最大化",AA4641-01_因子設定!$B$14,IF(01_因子設定!$B$13="最小化",01_因子設定!$B$15-AB4641,MIN(AA4641-01_因子設定!$B$14,01_因子設定!$B$15-AB4641))),-1E+030)</f>
        <v>-1.44960194527397</v>
      </c>
      <c r="AE4641" s="55" t="n">
        <f aca="false">IF(AC4641,IF(01_因子設定!$B$13="最大化",X4641,IF(01_因子設定!$B$13="最小化",-X4641,-ABS(X4641-01_因子設定!$B$16))),-1E+030)</f>
        <v>46.4804961622807</v>
      </c>
      <c r="AF4641" s="55" t="n">
        <f aca="false">AD4641+ROW()*0.000000001</f>
        <v>-1.44959730427397</v>
      </c>
      <c r="AG4641" s="55" t="n">
        <f aca="false">AE4641+ROW()*0.000000001</f>
        <v>46.4805008032807</v>
      </c>
    </row>
    <row r="4642" customFormat="false" ht="15" hidden="false" customHeight="false" outlineLevel="0" collapsed="false">
      <c r="A4642" s="0" t="n">
        <v>6</v>
      </c>
      <c r="B4642" s="0" t="n">
        <v>3</v>
      </c>
      <c r="C4642" s="0" t="n">
        <v>2</v>
      </c>
      <c r="D4642" s="0" t="n">
        <v>2</v>
      </c>
      <c r="E4642" s="0" t="n">
        <f aca="false">-1+A4642*0.25</f>
        <v>0.5</v>
      </c>
      <c r="F4642" s="0" t="n">
        <f aca="false">-1+B4642*0.25</f>
        <v>-0.25</v>
      </c>
      <c r="G4642" s="0" t="n">
        <f aca="false">-1+C4642*0.25</f>
        <v>-0.5</v>
      </c>
      <c r="H4642" s="0" t="n">
        <f aca="false">-1+D4642*0.25</f>
        <v>-0.5</v>
      </c>
      <c r="I4642" s="0" t="n">
        <f aca="false">1</f>
        <v>1</v>
      </c>
      <c r="J4642" s="0" t="n">
        <f aca="false">E4642</f>
        <v>0.5</v>
      </c>
      <c r="K4642" s="0" t="n">
        <f aca="false">F4642</f>
        <v>-0.25</v>
      </c>
      <c r="L4642" s="0" t="n">
        <f aca="false">G4642</f>
        <v>-0.5</v>
      </c>
      <c r="M4642" s="0" t="n">
        <f aca="false">H4642</f>
        <v>-0.5</v>
      </c>
      <c r="N4642" s="0" t="n">
        <f aca="false">E4642*F4642</f>
        <v>-0.125</v>
      </c>
      <c r="O4642" s="0" t="n">
        <f aca="false">E4642*G4642</f>
        <v>-0.25</v>
      </c>
      <c r="P4642" s="0" t="n">
        <f aca="false">E4642*H4642</f>
        <v>-0.25</v>
      </c>
      <c r="Q4642" s="0" t="n">
        <f aca="false">F4642*G4642</f>
        <v>0.125</v>
      </c>
      <c r="R4642" s="0" t="n">
        <f aca="false">F4642*H4642</f>
        <v>0.125</v>
      </c>
      <c r="S4642" s="0" t="n">
        <f aca="false">G4642*H4642</f>
        <v>0.25</v>
      </c>
      <c r="T4642" s="0" t="n">
        <f aca="false">E4642*E4642</f>
        <v>0.25</v>
      </c>
      <c r="U4642" s="0" t="n">
        <f aca="false">F4642*F4642</f>
        <v>0.0625</v>
      </c>
      <c r="V4642" s="0" t="n">
        <f aca="false">G4642*G4642</f>
        <v>0.25</v>
      </c>
      <c r="W4642" s="0" t="n">
        <f aca="false">H4642*H4642</f>
        <v>0.25</v>
      </c>
      <c r="X4642" s="0" t="n">
        <f aca="false">SUMPRODUCT(I4642:W4642,_XtX!$B$96:$P$96)</f>
        <v>46.6943713450292</v>
      </c>
      <c r="Y4642" s="0" t="n">
        <f aca="false">SUMPRODUCT(MMULT(I4642:W4642,_XtX!$B$78:$P$92),I4642:W4642)</f>
        <v>0.133937545687135</v>
      </c>
      <c r="Z4642" s="0" t="n">
        <f aca="false">04_回帰ANOVA!$K$19*04_回帰ANOVA!$K$14*SQRT(1+Y4642)</f>
        <v>1.38801116780825</v>
      </c>
      <c r="AA4642" s="0" t="n">
        <f aca="false">X4642-Z4642</f>
        <v>45.306360177221</v>
      </c>
      <c r="AB4642" s="0" t="n">
        <f aca="false">X4642+Z4642</f>
        <v>48.0823825128375</v>
      </c>
      <c r="AC4642" s="54" t="b">
        <f aca="false">AND(E4642&gt;=01_因子設定!$L$5-0.000000001,E4642&lt;=01_因子設定!$M$5+0.000000001,F4642&gt;=01_因子設定!$L$6-0.000000001,F4642&lt;=01_因子設定!$M$6+0.000000001,G4642&gt;=01_因子設定!$L$7-0.000000001,G4642&lt;=01_因子設定!$M$7+0.000000001,H4642&gt;=01_因子設定!$L$8-0.000000001,H4642&lt;=01_因子設定!$M$8+0.000000001,IF(01_因子設定!$B$20="Box-Behnken",E4642^2+F4642^2+G4642^2+H4642^2&lt;=2+0.000000001,TRUE()))</f>
        <v>1</v>
      </c>
      <c r="AD4642" s="55" t="n">
        <f aca="false">IF(AC4642,IF(01_因子設定!$B$13="最大化",AA4642-01_因子設定!$B$14,IF(01_因子設定!$B$13="最小化",01_因子設定!$B$15-AB4642,MIN(AA4642-01_因子設定!$B$14,01_因子設定!$B$15-AB4642))),-1E+030)</f>
        <v>-1.19363982277905</v>
      </c>
      <c r="AE4642" s="55" t="n">
        <f aca="false">IF(AC4642,IF(01_因子設定!$B$13="最大化",X4642,IF(01_因子設定!$B$13="最小化",-X4642,-ABS(X4642-01_因子設定!$B$16))),-1E+030)</f>
        <v>46.6943713450292</v>
      </c>
      <c r="AF4642" s="55" t="n">
        <f aca="false">AD4642+ROW()*0.000000001</f>
        <v>-1.19363518077905</v>
      </c>
      <c r="AG4642" s="55" t="n">
        <f aca="false">AE4642+ROW()*0.000000001</f>
        <v>46.6943759870292</v>
      </c>
    </row>
    <row r="4643" customFormat="false" ht="15" hidden="false" customHeight="false" outlineLevel="0" collapsed="false">
      <c r="A4643" s="0" t="n">
        <v>6</v>
      </c>
      <c r="B4643" s="0" t="n">
        <v>3</v>
      </c>
      <c r="C4643" s="0" t="n">
        <v>2</v>
      </c>
      <c r="D4643" s="0" t="n">
        <v>3</v>
      </c>
      <c r="E4643" s="0" t="n">
        <f aca="false">-1+A4643*0.25</f>
        <v>0.5</v>
      </c>
      <c r="F4643" s="0" t="n">
        <f aca="false">-1+B4643*0.25</f>
        <v>-0.25</v>
      </c>
      <c r="G4643" s="0" t="n">
        <f aca="false">-1+C4643*0.25</f>
        <v>-0.5</v>
      </c>
      <c r="H4643" s="0" t="n">
        <f aca="false">-1+D4643*0.25</f>
        <v>-0.25</v>
      </c>
      <c r="I4643" s="0" t="n">
        <f aca="false">1</f>
        <v>1</v>
      </c>
      <c r="J4643" s="0" t="n">
        <f aca="false">E4643</f>
        <v>0.5</v>
      </c>
      <c r="K4643" s="0" t="n">
        <f aca="false">F4643</f>
        <v>-0.25</v>
      </c>
      <c r="L4643" s="0" t="n">
        <f aca="false">G4643</f>
        <v>-0.5</v>
      </c>
      <c r="M4643" s="0" t="n">
        <f aca="false">H4643</f>
        <v>-0.25</v>
      </c>
      <c r="N4643" s="0" t="n">
        <f aca="false">E4643*F4643</f>
        <v>-0.125</v>
      </c>
      <c r="O4643" s="0" t="n">
        <f aca="false">E4643*G4643</f>
        <v>-0.25</v>
      </c>
      <c r="P4643" s="0" t="n">
        <f aca="false">E4643*H4643</f>
        <v>-0.125</v>
      </c>
      <c r="Q4643" s="0" t="n">
        <f aca="false">F4643*G4643</f>
        <v>0.125</v>
      </c>
      <c r="R4643" s="0" t="n">
        <f aca="false">F4643*H4643</f>
        <v>0.0625</v>
      </c>
      <c r="S4643" s="0" t="n">
        <f aca="false">G4643*H4643</f>
        <v>0.125</v>
      </c>
      <c r="T4643" s="0" t="n">
        <f aca="false">E4643*E4643</f>
        <v>0.25</v>
      </c>
      <c r="U4643" s="0" t="n">
        <f aca="false">F4643*F4643</f>
        <v>0.0625</v>
      </c>
      <c r="V4643" s="0" t="n">
        <f aca="false">G4643*G4643</f>
        <v>0.25</v>
      </c>
      <c r="W4643" s="0" t="n">
        <f aca="false">H4643*H4643</f>
        <v>0.0625</v>
      </c>
      <c r="X4643" s="0" t="n">
        <f aca="false">SUMPRODUCT(I4643:W4643,_XtX!$B$96:$P$96)</f>
        <v>46.8604395102339</v>
      </c>
      <c r="Y4643" s="0" t="n">
        <f aca="false">SUMPRODUCT(MMULT(I4643:W4643,_XtX!$B$78:$P$92),I4643:W4643)</f>
        <v>0.128236647934942</v>
      </c>
      <c r="Z4643" s="0" t="n">
        <f aca="false">04_回帰ANOVA!$K$19*04_回帰ANOVA!$K$14*SQRT(1+Y4643)</f>
        <v>1.38451764188989</v>
      </c>
      <c r="AA4643" s="0" t="n">
        <f aca="false">X4643-Z4643</f>
        <v>45.475921868344</v>
      </c>
      <c r="AB4643" s="0" t="n">
        <f aca="false">X4643+Z4643</f>
        <v>48.2449571521238</v>
      </c>
      <c r="AC4643" s="54" t="b">
        <f aca="false">AND(E4643&gt;=01_因子設定!$L$5-0.000000001,E4643&lt;=01_因子設定!$M$5+0.000000001,F4643&gt;=01_因子設定!$L$6-0.000000001,F4643&lt;=01_因子設定!$M$6+0.000000001,G4643&gt;=01_因子設定!$L$7-0.000000001,G4643&lt;=01_因子設定!$M$7+0.000000001,H4643&gt;=01_因子設定!$L$8-0.000000001,H4643&lt;=01_因子設定!$M$8+0.000000001,IF(01_因子設定!$B$20="Box-Behnken",E4643^2+F4643^2+G4643^2+H4643^2&lt;=2+0.000000001,TRUE()))</f>
        <v>1</v>
      </c>
      <c r="AD4643" s="55" t="n">
        <f aca="false">IF(AC4643,IF(01_因子設定!$B$13="最大化",AA4643-01_因子設定!$B$14,IF(01_因子設定!$B$13="最小化",01_因子設定!$B$15-AB4643,MIN(AA4643-01_因子設定!$B$14,01_因子設定!$B$15-AB4643))),-1E+030)</f>
        <v>-1.02407813165601</v>
      </c>
      <c r="AE4643" s="55" t="n">
        <f aca="false">IF(AC4643,IF(01_因子設定!$B$13="最大化",X4643,IF(01_因子設定!$B$13="最小化",-X4643,-ABS(X4643-01_因子設定!$B$16))),-1E+030)</f>
        <v>46.8604395102339</v>
      </c>
      <c r="AF4643" s="55" t="n">
        <f aca="false">AD4643+ROW()*0.000000001</f>
        <v>-1.02407348865601</v>
      </c>
      <c r="AG4643" s="55" t="n">
        <f aca="false">AE4643+ROW()*0.000000001</f>
        <v>46.8604441532339</v>
      </c>
    </row>
    <row r="4644" customFormat="false" ht="15" hidden="false" customHeight="false" outlineLevel="0" collapsed="false">
      <c r="A4644" s="0" t="n">
        <v>6</v>
      </c>
      <c r="B4644" s="0" t="n">
        <v>3</v>
      </c>
      <c r="C4644" s="0" t="n">
        <v>2</v>
      </c>
      <c r="D4644" s="0" t="n">
        <v>4</v>
      </c>
      <c r="E4644" s="0" t="n">
        <f aca="false">-1+A4644*0.25</f>
        <v>0.5</v>
      </c>
      <c r="F4644" s="0" t="n">
        <f aca="false">-1+B4644*0.25</f>
        <v>-0.25</v>
      </c>
      <c r="G4644" s="0" t="n">
        <f aca="false">-1+C4644*0.25</f>
        <v>-0.5</v>
      </c>
      <c r="H4644" s="0" t="n">
        <f aca="false">-1+D4644*0.25</f>
        <v>0</v>
      </c>
      <c r="I4644" s="0" t="n">
        <f aca="false">1</f>
        <v>1</v>
      </c>
      <c r="J4644" s="0" t="n">
        <f aca="false">E4644</f>
        <v>0.5</v>
      </c>
      <c r="K4644" s="0" t="n">
        <f aca="false">F4644</f>
        <v>-0.25</v>
      </c>
      <c r="L4644" s="0" t="n">
        <f aca="false">G4644</f>
        <v>-0.5</v>
      </c>
      <c r="M4644" s="0" t="n">
        <f aca="false">H4644</f>
        <v>0</v>
      </c>
      <c r="N4644" s="0" t="n">
        <f aca="false">E4644*F4644</f>
        <v>-0.125</v>
      </c>
      <c r="O4644" s="0" t="n">
        <f aca="false">E4644*G4644</f>
        <v>-0.25</v>
      </c>
      <c r="P4644" s="0" t="n">
        <f aca="false">E4644*H4644</f>
        <v>0</v>
      </c>
      <c r="Q4644" s="0" t="n">
        <f aca="false">F4644*G4644</f>
        <v>0.125</v>
      </c>
      <c r="R4644" s="0" t="n">
        <f aca="false">F4644*H4644</f>
        <v>-0</v>
      </c>
      <c r="S4644" s="0" t="n">
        <f aca="false">G4644*H4644</f>
        <v>-0</v>
      </c>
      <c r="T4644" s="0" t="n">
        <f aca="false">E4644*E4644</f>
        <v>0.25</v>
      </c>
      <c r="U4644" s="0" t="n">
        <f aca="false">F4644*F4644</f>
        <v>0.0625</v>
      </c>
      <c r="V4644" s="0" t="n">
        <f aca="false">G4644*G4644</f>
        <v>0.25</v>
      </c>
      <c r="W4644" s="0" t="n">
        <f aca="false">H4644*H4644</f>
        <v>0</v>
      </c>
      <c r="X4644" s="0" t="n">
        <f aca="false">SUMPRODUCT(I4644:W4644,_XtX!$B$96:$P$96)</f>
        <v>46.9787006578947</v>
      </c>
      <c r="Y4644" s="0" t="n">
        <f aca="false">SUMPRODUCT(MMULT(I4644:W4644,_XtX!$B$78:$P$92),I4644:W4644)</f>
        <v>0.132367050438597</v>
      </c>
      <c r="Z4644" s="0" t="n">
        <f aca="false">04_回帰ANOVA!$K$19*04_回帰ANOVA!$K$14*SQRT(1+Y4644)</f>
        <v>1.38704964208329</v>
      </c>
      <c r="AA4644" s="0" t="n">
        <f aca="false">X4644-Z4644</f>
        <v>45.5916510158114</v>
      </c>
      <c r="AB4644" s="0" t="n">
        <f aca="false">X4644+Z4644</f>
        <v>48.365750299978</v>
      </c>
      <c r="AC4644" s="54" t="b">
        <f aca="false">AND(E4644&gt;=01_因子設定!$L$5-0.000000001,E4644&lt;=01_因子設定!$M$5+0.000000001,F4644&gt;=01_因子設定!$L$6-0.000000001,F4644&lt;=01_因子設定!$M$6+0.000000001,G4644&gt;=01_因子設定!$L$7-0.000000001,G4644&lt;=01_因子設定!$M$7+0.000000001,H4644&gt;=01_因子設定!$L$8-0.000000001,H4644&lt;=01_因子設定!$M$8+0.000000001,IF(01_因子設定!$B$20="Box-Behnken",E4644^2+F4644^2+G4644^2+H4644^2&lt;=2+0.000000001,TRUE()))</f>
        <v>1</v>
      </c>
      <c r="AD4644" s="55" t="n">
        <f aca="false">IF(AC4644,IF(01_因子設定!$B$13="最大化",AA4644-01_因子設定!$B$14,IF(01_因子設定!$B$13="最小化",01_因子設定!$B$15-AB4644,MIN(AA4644-01_因子設定!$B$14,01_因子設定!$B$15-AB4644))),-1E+030)</f>
        <v>-0.908348984188599</v>
      </c>
      <c r="AE4644" s="55" t="n">
        <f aca="false">IF(AC4644,IF(01_因子設定!$B$13="最大化",X4644,IF(01_因子設定!$B$13="最小化",-X4644,-ABS(X4644-01_因子設定!$B$16))),-1E+030)</f>
        <v>46.9787006578947</v>
      </c>
      <c r="AF4644" s="55" t="n">
        <f aca="false">AD4644+ROW()*0.000000001</f>
        <v>-0.908344340188599</v>
      </c>
      <c r="AG4644" s="55" t="n">
        <f aca="false">AE4644+ROW()*0.000000001</f>
        <v>46.9787053018947</v>
      </c>
    </row>
    <row r="4645" customFormat="false" ht="15" hidden="false" customHeight="false" outlineLevel="0" collapsed="false">
      <c r="A4645" s="0" t="n">
        <v>6</v>
      </c>
      <c r="B4645" s="0" t="n">
        <v>3</v>
      </c>
      <c r="C4645" s="0" t="n">
        <v>2</v>
      </c>
      <c r="D4645" s="0" t="n">
        <v>5</v>
      </c>
      <c r="E4645" s="0" t="n">
        <f aca="false">-1+A4645*0.25</f>
        <v>0.5</v>
      </c>
      <c r="F4645" s="0" t="n">
        <f aca="false">-1+B4645*0.25</f>
        <v>-0.25</v>
      </c>
      <c r="G4645" s="0" t="n">
        <f aca="false">-1+C4645*0.25</f>
        <v>-0.5</v>
      </c>
      <c r="H4645" s="0" t="n">
        <f aca="false">-1+D4645*0.25</f>
        <v>0.25</v>
      </c>
      <c r="I4645" s="0" t="n">
        <f aca="false">1</f>
        <v>1</v>
      </c>
      <c r="J4645" s="0" t="n">
        <f aca="false">E4645</f>
        <v>0.5</v>
      </c>
      <c r="K4645" s="0" t="n">
        <f aca="false">F4645</f>
        <v>-0.25</v>
      </c>
      <c r="L4645" s="0" t="n">
        <f aca="false">G4645</f>
        <v>-0.5</v>
      </c>
      <c r="M4645" s="0" t="n">
        <f aca="false">H4645</f>
        <v>0.25</v>
      </c>
      <c r="N4645" s="0" t="n">
        <f aca="false">E4645*F4645</f>
        <v>-0.125</v>
      </c>
      <c r="O4645" s="0" t="n">
        <f aca="false">E4645*G4645</f>
        <v>-0.25</v>
      </c>
      <c r="P4645" s="0" t="n">
        <f aca="false">E4645*H4645</f>
        <v>0.125</v>
      </c>
      <c r="Q4645" s="0" t="n">
        <f aca="false">F4645*G4645</f>
        <v>0.125</v>
      </c>
      <c r="R4645" s="0" t="n">
        <f aca="false">F4645*H4645</f>
        <v>-0.0625</v>
      </c>
      <c r="S4645" s="0" t="n">
        <f aca="false">G4645*H4645</f>
        <v>-0.125</v>
      </c>
      <c r="T4645" s="0" t="n">
        <f aca="false">E4645*E4645</f>
        <v>0.25</v>
      </c>
      <c r="U4645" s="0" t="n">
        <f aca="false">F4645*F4645</f>
        <v>0.0625</v>
      </c>
      <c r="V4645" s="0" t="n">
        <f aca="false">G4645*G4645</f>
        <v>0.25</v>
      </c>
      <c r="W4645" s="0" t="n">
        <f aca="false">H4645*H4645</f>
        <v>0.0625</v>
      </c>
      <c r="X4645" s="0" t="n">
        <f aca="false">SUMPRODUCT(I4645:W4645,_XtX!$B$96:$P$96)</f>
        <v>47.0491547880117</v>
      </c>
      <c r="Y4645" s="0" t="n">
        <f aca="false">SUMPRODUCT(MMULT(I4645:W4645,_XtX!$B$78:$P$92),I4645:W4645)</f>
        <v>0.128236647934942</v>
      </c>
      <c r="Z4645" s="0" t="n">
        <f aca="false">04_回帰ANOVA!$K$19*04_回帰ANOVA!$K$14*SQRT(1+Y4645)</f>
        <v>1.38451764188989</v>
      </c>
      <c r="AA4645" s="0" t="n">
        <f aca="false">X4645-Z4645</f>
        <v>45.6646371461218</v>
      </c>
      <c r="AB4645" s="0" t="n">
        <f aca="false">X4645+Z4645</f>
        <v>48.4336724299015</v>
      </c>
      <c r="AC4645" s="54" t="b">
        <f aca="false">AND(E4645&gt;=01_因子設定!$L$5-0.000000001,E4645&lt;=01_因子設定!$M$5+0.000000001,F4645&gt;=01_因子設定!$L$6-0.000000001,F4645&lt;=01_因子設定!$M$6+0.000000001,G4645&gt;=01_因子設定!$L$7-0.000000001,G4645&lt;=01_因子設定!$M$7+0.000000001,H4645&gt;=01_因子設定!$L$8-0.000000001,H4645&lt;=01_因子設定!$M$8+0.000000001,IF(01_因子設定!$B$20="Box-Behnken",E4645^2+F4645^2+G4645^2+H4645^2&lt;=2+0.000000001,TRUE()))</f>
        <v>1</v>
      </c>
      <c r="AD4645" s="55" t="n">
        <f aca="false">IF(AC4645,IF(01_因子設定!$B$13="最大化",AA4645-01_因子設定!$B$14,IF(01_因子設定!$B$13="最小化",01_因子設定!$B$15-AB4645,MIN(AA4645-01_因子設定!$B$14,01_因子設定!$B$15-AB4645))),-1E+030)</f>
        <v>-0.83536285387823</v>
      </c>
      <c r="AE4645" s="55" t="n">
        <f aca="false">IF(AC4645,IF(01_因子設定!$B$13="最大化",X4645,IF(01_因子設定!$B$13="最小化",-X4645,-ABS(X4645-01_因子設定!$B$16))),-1E+030)</f>
        <v>47.0491547880117</v>
      </c>
      <c r="AF4645" s="55" t="n">
        <f aca="false">AD4645+ROW()*0.000000001</f>
        <v>-0.83535820887823</v>
      </c>
      <c r="AG4645" s="55" t="n">
        <f aca="false">AE4645+ROW()*0.000000001</f>
        <v>47.0491594330117</v>
      </c>
    </row>
    <row r="4646" customFormat="false" ht="15" hidden="false" customHeight="false" outlineLevel="0" collapsed="false">
      <c r="A4646" s="0" t="n">
        <v>6</v>
      </c>
      <c r="B4646" s="0" t="n">
        <v>3</v>
      </c>
      <c r="C4646" s="0" t="n">
        <v>2</v>
      </c>
      <c r="D4646" s="0" t="n">
        <v>6</v>
      </c>
      <c r="E4646" s="0" t="n">
        <f aca="false">-1+A4646*0.25</f>
        <v>0.5</v>
      </c>
      <c r="F4646" s="0" t="n">
        <f aca="false">-1+B4646*0.25</f>
        <v>-0.25</v>
      </c>
      <c r="G4646" s="0" t="n">
        <f aca="false">-1+C4646*0.25</f>
        <v>-0.5</v>
      </c>
      <c r="H4646" s="0" t="n">
        <f aca="false">-1+D4646*0.25</f>
        <v>0.5</v>
      </c>
      <c r="I4646" s="0" t="n">
        <f aca="false">1</f>
        <v>1</v>
      </c>
      <c r="J4646" s="0" t="n">
        <f aca="false">E4646</f>
        <v>0.5</v>
      </c>
      <c r="K4646" s="0" t="n">
        <f aca="false">F4646</f>
        <v>-0.25</v>
      </c>
      <c r="L4646" s="0" t="n">
        <f aca="false">G4646</f>
        <v>-0.5</v>
      </c>
      <c r="M4646" s="0" t="n">
        <f aca="false">H4646</f>
        <v>0.5</v>
      </c>
      <c r="N4646" s="0" t="n">
        <f aca="false">E4646*F4646</f>
        <v>-0.125</v>
      </c>
      <c r="O4646" s="0" t="n">
        <f aca="false">E4646*G4646</f>
        <v>-0.25</v>
      </c>
      <c r="P4646" s="0" t="n">
        <f aca="false">E4646*H4646</f>
        <v>0.25</v>
      </c>
      <c r="Q4646" s="0" t="n">
        <f aca="false">F4646*G4646</f>
        <v>0.125</v>
      </c>
      <c r="R4646" s="0" t="n">
        <f aca="false">F4646*H4646</f>
        <v>-0.125</v>
      </c>
      <c r="S4646" s="0" t="n">
        <f aca="false">G4646*H4646</f>
        <v>-0.25</v>
      </c>
      <c r="T4646" s="0" t="n">
        <f aca="false">E4646*E4646</f>
        <v>0.25</v>
      </c>
      <c r="U4646" s="0" t="n">
        <f aca="false">F4646*F4646</f>
        <v>0.0625</v>
      </c>
      <c r="V4646" s="0" t="n">
        <f aca="false">G4646*G4646</f>
        <v>0.25</v>
      </c>
      <c r="W4646" s="0" t="n">
        <f aca="false">H4646*H4646</f>
        <v>0.25</v>
      </c>
      <c r="X4646" s="0" t="n">
        <f aca="false">SUMPRODUCT(I4646:W4646,_XtX!$B$96:$P$96)</f>
        <v>47.0718019005848</v>
      </c>
      <c r="Y4646" s="0" t="n">
        <f aca="false">SUMPRODUCT(MMULT(I4646:W4646,_XtX!$B$78:$P$92),I4646:W4646)</f>
        <v>0.133937545687135</v>
      </c>
      <c r="Z4646" s="0" t="n">
        <f aca="false">04_回帰ANOVA!$K$19*04_回帰ANOVA!$K$14*SQRT(1+Y4646)</f>
        <v>1.38801116780825</v>
      </c>
      <c r="AA4646" s="0" t="n">
        <f aca="false">X4646-Z4646</f>
        <v>45.6837907327765</v>
      </c>
      <c r="AB4646" s="0" t="n">
        <f aca="false">X4646+Z4646</f>
        <v>48.459813068393</v>
      </c>
      <c r="AC4646" s="54" t="b">
        <f aca="false">AND(E4646&gt;=01_因子設定!$L$5-0.000000001,E4646&lt;=01_因子設定!$M$5+0.000000001,F4646&gt;=01_因子設定!$L$6-0.000000001,F4646&lt;=01_因子設定!$M$6+0.000000001,G4646&gt;=01_因子設定!$L$7-0.000000001,G4646&lt;=01_因子設定!$M$7+0.000000001,H4646&gt;=01_因子設定!$L$8-0.000000001,H4646&lt;=01_因子設定!$M$8+0.000000001,IF(01_因子設定!$B$20="Box-Behnken",E4646^2+F4646^2+G4646^2+H4646^2&lt;=2+0.000000001,TRUE()))</f>
        <v>1</v>
      </c>
      <c r="AD4646" s="55" t="n">
        <f aca="false">IF(AC4646,IF(01_因子設定!$B$13="最大化",AA4646-01_因子設定!$B$14,IF(01_因子設定!$B$13="最小化",01_因子設定!$B$15-AB4646,MIN(AA4646-01_因子設定!$B$14,01_因子設定!$B$15-AB4646))),-1E+030)</f>
        <v>-0.816209267223492</v>
      </c>
      <c r="AE4646" s="55" t="n">
        <f aca="false">IF(AC4646,IF(01_因子設定!$B$13="最大化",X4646,IF(01_因子設定!$B$13="最小化",-X4646,-ABS(X4646-01_因子設定!$B$16))),-1E+030)</f>
        <v>47.0718019005848</v>
      </c>
      <c r="AF4646" s="55" t="n">
        <f aca="false">AD4646+ROW()*0.000000001</f>
        <v>-0.816204621223492</v>
      </c>
      <c r="AG4646" s="55" t="n">
        <f aca="false">AE4646+ROW()*0.000000001</f>
        <v>47.0718065465848</v>
      </c>
    </row>
    <row r="4647" customFormat="false" ht="15" hidden="false" customHeight="false" outlineLevel="0" collapsed="false">
      <c r="A4647" s="0" t="n">
        <v>6</v>
      </c>
      <c r="B4647" s="0" t="n">
        <v>3</v>
      </c>
      <c r="C4647" s="0" t="n">
        <v>2</v>
      </c>
      <c r="D4647" s="0" t="n">
        <v>7</v>
      </c>
      <c r="E4647" s="0" t="n">
        <f aca="false">-1+A4647*0.25</f>
        <v>0.5</v>
      </c>
      <c r="F4647" s="0" t="n">
        <f aca="false">-1+B4647*0.25</f>
        <v>-0.25</v>
      </c>
      <c r="G4647" s="0" t="n">
        <f aca="false">-1+C4647*0.25</f>
        <v>-0.5</v>
      </c>
      <c r="H4647" s="0" t="n">
        <f aca="false">-1+D4647*0.25</f>
        <v>0.75</v>
      </c>
      <c r="I4647" s="0" t="n">
        <f aca="false">1</f>
        <v>1</v>
      </c>
      <c r="J4647" s="0" t="n">
        <f aca="false">E4647</f>
        <v>0.5</v>
      </c>
      <c r="K4647" s="0" t="n">
        <f aca="false">F4647</f>
        <v>-0.25</v>
      </c>
      <c r="L4647" s="0" t="n">
        <f aca="false">G4647</f>
        <v>-0.5</v>
      </c>
      <c r="M4647" s="0" t="n">
        <f aca="false">H4647</f>
        <v>0.75</v>
      </c>
      <c r="N4647" s="0" t="n">
        <f aca="false">E4647*F4647</f>
        <v>-0.125</v>
      </c>
      <c r="O4647" s="0" t="n">
        <f aca="false">E4647*G4647</f>
        <v>-0.25</v>
      </c>
      <c r="P4647" s="0" t="n">
        <f aca="false">E4647*H4647</f>
        <v>0.375</v>
      </c>
      <c r="Q4647" s="0" t="n">
        <f aca="false">F4647*G4647</f>
        <v>0.125</v>
      </c>
      <c r="R4647" s="0" t="n">
        <f aca="false">F4647*H4647</f>
        <v>-0.1875</v>
      </c>
      <c r="S4647" s="0" t="n">
        <f aca="false">G4647*H4647</f>
        <v>-0.375</v>
      </c>
      <c r="T4647" s="0" t="n">
        <f aca="false">E4647*E4647</f>
        <v>0.25</v>
      </c>
      <c r="U4647" s="0" t="n">
        <f aca="false">F4647*F4647</f>
        <v>0.0625</v>
      </c>
      <c r="V4647" s="0" t="n">
        <f aca="false">G4647*G4647</f>
        <v>0.25</v>
      </c>
      <c r="W4647" s="0" t="n">
        <f aca="false">H4647*H4647</f>
        <v>0.5625</v>
      </c>
      <c r="X4647" s="0" t="n">
        <f aca="false">SUMPRODUCT(I4647:W4647,_XtX!$B$96:$P$96)</f>
        <v>47.046641995614</v>
      </c>
      <c r="Y4647" s="0" t="n">
        <f aca="false">SUMPRODUCT(MMULT(I4647:W4647,_XtX!$B$78:$P$92),I4647:W4647)</f>
        <v>0.203746059484649</v>
      </c>
      <c r="Z4647" s="0" t="n">
        <f aca="false">04_回帰ANOVA!$K$19*04_回帰ANOVA!$K$14*SQRT(1+Y4647)</f>
        <v>1.43009810755465</v>
      </c>
      <c r="AA4647" s="0" t="n">
        <f aca="false">X4647-Z4647</f>
        <v>45.6165438880594</v>
      </c>
      <c r="AB4647" s="0" t="n">
        <f aca="false">X4647+Z4647</f>
        <v>48.4767401031687</v>
      </c>
      <c r="AC4647" s="54" t="b">
        <f aca="false">AND(E4647&gt;=01_因子設定!$L$5-0.000000001,E4647&lt;=01_因子設定!$M$5+0.000000001,F4647&gt;=01_因子設定!$L$6-0.000000001,F4647&lt;=01_因子設定!$M$6+0.000000001,G4647&gt;=01_因子設定!$L$7-0.000000001,G4647&lt;=01_因子設定!$M$7+0.000000001,H4647&gt;=01_因子設定!$L$8-0.000000001,H4647&lt;=01_因子設定!$M$8+0.000000001,IF(01_因子設定!$B$20="Box-Behnken",E4647^2+F4647^2+G4647^2+H4647^2&lt;=2+0.000000001,TRUE()))</f>
        <v>1</v>
      </c>
      <c r="AD4647" s="55" t="n">
        <f aca="false">IF(AC4647,IF(01_因子設定!$B$13="最大化",AA4647-01_因子設定!$B$14,IF(01_因子設定!$B$13="最小化",01_因子設定!$B$15-AB4647,MIN(AA4647-01_因子設定!$B$14,01_因子設定!$B$15-AB4647))),-1E+030)</f>
        <v>-0.883456111940639</v>
      </c>
      <c r="AE4647" s="55" t="n">
        <f aca="false">IF(AC4647,IF(01_因子設定!$B$13="最大化",X4647,IF(01_因子設定!$B$13="最小化",-X4647,-ABS(X4647-01_因子設定!$B$16))),-1E+030)</f>
        <v>47.046641995614</v>
      </c>
      <c r="AF4647" s="55" t="n">
        <f aca="false">AD4647+ROW()*0.000000001</f>
        <v>-0.883451464940639</v>
      </c>
      <c r="AG4647" s="55" t="n">
        <f aca="false">AE4647+ROW()*0.000000001</f>
        <v>47.046646642614</v>
      </c>
    </row>
    <row r="4648" customFormat="false" ht="15" hidden="false" customHeight="false" outlineLevel="0" collapsed="false">
      <c r="A4648" s="0" t="n">
        <v>6</v>
      </c>
      <c r="B4648" s="0" t="n">
        <v>3</v>
      </c>
      <c r="C4648" s="0" t="n">
        <v>2</v>
      </c>
      <c r="D4648" s="0" t="n">
        <v>8</v>
      </c>
      <c r="E4648" s="0" t="n">
        <f aca="false">-1+A4648*0.25</f>
        <v>0.5</v>
      </c>
      <c r="F4648" s="0" t="n">
        <f aca="false">-1+B4648*0.25</f>
        <v>-0.25</v>
      </c>
      <c r="G4648" s="0" t="n">
        <f aca="false">-1+C4648*0.25</f>
        <v>-0.5</v>
      </c>
      <c r="H4648" s="0" t="n">
        <f aca="false">-1+D4648*0.25</f>
        <v>1</v>
      </c>
      <c r="I4648" s="0" t="n">
        <f aca="false">1</f>
        <v>1</v>
      </c>
      <c r="J4648" s="0" t="n">
        <f aca="false">E4648</f>
        <v>0.5</v>
      </c>
      <c r="K4648" s="0" t="n">
        <f aca="false">F4648</f>
        <v>-0.25</v>
      </c>
      <c r="L4648" s="0" t="n">
        <f aca="false">G4648</f>
        <v>-0.5</v>
      </c>
      <c r="M4648" s="0" t="n">
        <f aca="false">H4648</f>
        <v>1</v>
      </c>
      <c r="N4648" s="0" t="n">
        <f aca="false">E4648*F4648</f>
        <v>-0.125</v>
      </c>
      <c r="O4648" s="0" t="n">
        <f aca="false">E4648*G4648</f>
        <v>-0.25</v>
      </c>
      <c r="P4648" s="0" t="n">
        <f aca="false">E4648*H4648</f>
        <v>0.5</v>
      </c>
      <c r="Q4648" s="0" t="n">
        <f aca="false">F4648*G4648</f>
        <v>0.125</v>
      </c>
      <c r="R4648" s="0" t="n">
        <f aca="false">F4648*H4648</f>
        <v>-0.25</v>
      </c>
      <c r="S4648" s="0" t="n">
        <f aca="false">G4648*H4648</f>
        <v>-0.5</v>
      </c>
      <c r="T4648" s="0" t="n">
        <f aca="false">E4648*E4648</f>
        <v>0.25</v>
      </c>
      <c r="U4648" s="0" t="n">
        <f aca="false">F4648*F4648</f>
        <v>0.0625</v>
      </c>
      <c r="V4648" s="0" t="n">
        <f aca="false">G4648*G4648</f>
        <v>0.25</v>
      </c>
      <c r="W4648" s="0" t="n">
        <f aca="false">H4648*H4648</f>
        <v>1</v>
      </c>
      <c r="X4648" s="0" t="n">
        <f aca="false">SUMPRODUCT(I4648:W4648,_XtX!$B$96:$P$96)</f>
        <v>46.9736750730994</v>
      </c>
      <c r="Y4648" s="0" t="n">
        <f aca="false">SUMPRODUCT(MMULT(I4648:W4648,_XtX!$B$78:$P$92),I4648:W4648)</f>
        <v>0.428122715643275</v>
      </c>
      <c r="Z4648" s="0" t="n">
        <f aca="false">04_回帰ANOVA!$K$19*04_回帰ANOVA!$K$14*SQRT(1+Y4648)</f>
        <v>1.55769044623229</v>
      </c>
      <c r="AA4648" s="0" t="n">
        <f aca="false">X4648-Z4648</f>
        <v>45.4159846268671</v>
      </c>
      <c r="AB4648" s="0" t="n">
        <f aca="false">X4648+Z4648</f>
        <v>48.5313655193317</v>
      </c>
      <c r="AC4648" s="54" t="b">
        <f aca="false">AND(E4648&gt;=01_因子設定!$L$5-0.000000001,E4648&lt;=01_因子設定!$M$5+0.000000001,F4648&gt;=01_因子設定!$L$6-0.000000001,F4648&lt;=01_因子設定!$M$6+0.000000001,G4648&gt;=01_因子設定!$L$7-0.000000001,G4648&lt;=01_因子設定!$M$7+0.000000001,H4648&gt;=01_因子設定!$L$8-0.000000001,H4648&lt;=01_因子設定!$M$8+0.000000001,IF(01_因子設定!$B$20="Box-Behnken",E4648^2+F4648^2+G4648^2+H4648^2&lt;=2+0.000000001,TRUE()))</f>
        <v>1</v>
      </c>
      <c r="AD4648" s="55" t="n">
        <f aca="false">IF(AC4648,IF(01_因子設定!$B$13="最大化",AA4648-01_因子設定!$B$14,IF(01_因子設定!$B$13="最小化",01_因子設定!$B$15-AB4648,MIN(AA4648-01_因子設定!$B$14,01_因子設定!$B$15-AB4648))),-1E+030)</f>
        <v>-1.08401537313289</v>
      </c>
      <c r="AE4648" s="55" t="n">
        <f aca="false">IF(AC4648,IF(01_因子設定!$B$13="最大化",X4648,IF(01_因子設定!$B$13="最小化",-X4648,-ABS(X4648-01_因子設定!$B$16))),-1E+030)</f>
        <v>46.9736750730994</v>
      </c>
      <c r="AF4648" s="55" t="n">
        <f aca="false">AD4648+ROW()*0.000000001</f>
        <v>-1.08401072513289</v>
      </c>
      <c r="AG4648" s="55" t="n">
        <f aca="false">AE4648+ROW()*0.000000001</f>
        <v>46.9736797210994</v>
      </c>
    </row>
    <row r="4649" customFormat="false" ht="15" hidden="false" customHeight="false" outlineLevel="0" collapsed="false">
      <c r="A4649" s="0" t="n">
        <v>6</v>
      </c>
      <c r="B4649" s="0" t="n">
        <v>3</v>
      </c>
      <c r="C4649" s="0" t="n">
        <v>3</v>
      </c>
      <c r="D4649" s="0" t="n">
        <v>0</v>
      </c>
      <c r="E4649" s="0" t="n">
        <f aca="false">-1+A4649*0.25</f>
        <v>0.5</v>
      </c>
      <c r="F4649" s="0" t="n">
        <f aca="false">-1+B4649*0.25</f>
        <v>-0.25</v>
      </c>
      <c r="G4649" s="0" t="n">
        <f aca="false">-1+C4649*0.25</f>
        <v>-0.25</v>
      </c>
      <c r="H4649" s="0" t="n">
        <f aca="false">-1+D4649*0.25</f>
        <v>-1</v>
      </c>
      <c r="I4649" s="0" t="n">
        <f aca="false">1</f>
        <v>1</v>
      </c>
      <c r="J4649" s="0" t="n">
        <f aca="false">E4649</f>
        <v>0.5</v>
      </c>
      <c r="K4649" s="0" t="n">
        <f aca="false">F4649</f>
        <v>-0.25</v>
      </c>
      <c r="L4649" s="0" t="n">
        <f aca="false">G4649</f>
        <v>-0.25</v>
      </c>
      <c r="M4649" s="0" t="n">
        <f aca="false">H4649</f>
        <v>-1</v>
      </c>
      <c r="N4649" s="0" t="n">
        <f aca="false">E4649*F4649</f>
        <v>-0.125</v>
      </c>
      <c r="O4649" s="0" t="n">
        <f aca="false">E4649*G4649</f>
        <v>-0.125</v>
      </c>
      <c r="P4649" s="0" t="n">
        <f aca="false">E4649*H4649</f>
        <v>-0.5</v>
      </c>
      <c r="Q4649" s="0" t="n">
        <f aca="false">F4649*G4649</f>
        <v>0.0625</v>
      </c>
      <c r="R4649" s="0" t="n">
        <f aca="false">F4649*H4649</f>
        <v>0.25</v>
      </c>
      <c r="S4649" s="0" t="n">
        <f aca="false">G4649*H4649</f>
        <v>0.25</v>
      </c>
      <c r="T4649" s="0" t="n">
        <f aca="false">E4649*E4649</f>
        <v>0.25</v>
      </c>
      <c r="U4649" s="0" t="n">
        <f aca="false">F4649*F4649</f>
        <v>0.0625</v>
      </c>
      <c r="V4649" s="0" t="n">
        <f aca="false">G4649*G4649</f>
        <v>0.0625</v>
      </c>
      <c r="W4649" s="0" t="n">
        <f aca="false">H4649*H4649</f>
        <v>1</v>
      </c>
      <c r="X4649" s="0" t="n">
        <f aca="false">SUMPRODUCT(I4649:W4649,_XtX!$B$96:$P$96)</f>
        <v>46.4199515716374</v>
      </c>
      <c r="Y4649" s="0" t="n">
        <f aca="false">SUMPRODUCT(MMULT(I4649:W4649,_XtX!$B$78:$P$92),I4649:W4649)</f>
        <v>0.445705123812135</v>
      </c>
      <c r="Z4649" s="0" t="n">
        <f aca="false">04_回帰ANOVA!$K$19*04_回帰ANOVA!$K$14*SQRT(1+Y4649)</f>
        <v>1.56724990734749</v>
      </c>
      <c r="AA4649" s="0" t="n">
        <f aca="false">X4649-Z4649</f>
        <v>44.8527016642899</v>
      </c>
      <c r="AB4649" s="0" t="n">
        <f aca="false">X4649+Z4649</f>
        <v>47.9872014789849</v>
      </c>
      <c r="AC4649" s="54" t="b">
        <f aca="false">AND(E4649&gt;=01_因子設定!$L$5-0.000000001,E4649&lt;=01_因子設定!$M$5+0.000000001,F4649&gt;=01_因子設定!$L$6-0.000000001,F4649&lt;=01_因子設定!$M$6+0.000000001,G4649&gt;=01_因子設定!$L$7-0.000000001,G4649&lt;=01_因子設定!$M$7+0.000000001,H4649&gt;=01_因子設定!$L$8-0.000000001,H4649&lt;=01_因子設定!$M$8+0.000000001,IF(01_因子設定!$B$20="Box-Behnken",E4649^2+F4649^2+G4649^2+H4649^2&lt;=2+0.000000001,TRUE()))</f>
        <v>1</v>
      </c>
      <c r="AD4649" s="55" t="n">
        <f aca="false">IF(AC4649,IF(01_因子設定!$B$13="最大化",AA4649-01_因子設定!$B$14,IF(01_因子設定!$B$13="最小化",01_因子設定!$B$15-AB4649,MIN(AA4649-01_因子設定!$B$14,01_因子設定!$B$15-AB4649))),-1E+030)</f>
        <v>-1.64729833571007</v>
      </c>
      <c r="AE4649" s="55" t="n">
        <f aca="false">IF(AC4649,IF(01_因子設定!$B$13="最大化",X4649,IF(01_因子設定!$B$13="最小化",-X4649,-ABS(X4649-01_因子設定!$B$16))),-1E+030)</f>
        <v>46.4199515716374</v>
      </c>
      <c r="AF4649" s="55" t="n">
        <f aca="false">AD4649+ROW()*0.000000001</f>
        <v>-1.64729368671007</v>
      </c>
      <c r="AG4649" s="55" t="n">
        <f aca="false">AE4649+ROW()*0.000000001</f>
        <v>46.4199562206374</v>
      </c>
    </row>
    <row r="4650" customFormat="false" ht="15" hidden="false" customHeight="false" outlineLevel="0" collapsed="false">
      <c r="A4650" s="0" t="n">
        <v>6</v>
      </c>
      <c r="B4650" s="0" t="n">
        <v>3</v>
      </c>
      <c r="C4650" s="0" t="n">
        <v>3</v>
      </c>
      <c r="D4650" s="0" t="n">
        <v>1</v>
      </c>
      <c r="E4650" s="0" t="n">
        <f aca="false">-1+A4650*0.25</f>
        <v>0.5</v>
      </c>
      <c r="F4650" s="0" t="n">
        <f aca="false">-1+B4650*0.25</f>
        <v>-0.25</v>
      </c>
      <c r="G4650" s="0" t="n">
        <f aca="false">-1+C4650*0.25</f>
        <v>-0.25</v>
      </c>
      <c r="H4650" s="0" t="n">
        <f aca="false">-1+D4650*0.25</f>
        <v>-0.75</v>
      </c>
      <c r="I4650" s="0" t="n">
        <f aca="false">1</f>
        <v>1</v>
      </c>
      <c r="J4650" s="0" t="n">
        <f aca="false">E4650</f>
        <v>0.5</v>
      </c>
      <c r="K4650" s="0" t="n">
        <f aca="false">F4650</f>
        <v>-0.25</v>
      </c>
      <c r="L4650" s="0" t="n">
        <f aca="false">G4650</f>
        <v>-0.25</v>
      </c>
      <c r="M4650" s="0" t="n">
        <f aca="false">H4650</f>
        <v>-0.75</v>
      </c>
      <c r="N4650" s="0" t="n">
        <f aca="false">E4650*F4650</f>
        <v>-0.125</v>
      </c>
      <c r="O4650" s="0" t="n">
        <f aca="false">E4650*G4650</f>
        <v>-0.125</v>
      </c>
      <c r="P4650" s="0" t="n">
        <f aca="false">E4650*H4650</f>
        <v>-0.375</v>
      </c>
      <c r="Q4650" s="0" t="n">
        <f aca="false">F4650*G4650</f>
        <v>0.0625</v>
      </c>
      <c r="R4650" s="0" t="n">
        <f aca="false">F4650*H4650</f>
        <v>0.1875</v>
      </c>
      <c r="S4650" s="0" t="n">
        <f aca="false">G4650*H4650</f>
        <v>0.1875</v>
      </c>
      <c r="T4650" s="0" t="n">
        <f aca="false">E4650*E4650</f>
        <v>0.25</v>
      </c>
      <c r="U4650" s="0" t="n">
        <f aca="false">F4650*F4650</f>
        <v>0.0625</v>
      </c>
      <c r="V4650" s="0" t="n">
        <f aca="false">G4650*G4650</f>
        <v>0.0625</v>
      </c>
      <c r="W4650" s="0" t="n">
        <f aca="false">H4650*H4650</f>
        <v>0.5625</v>
      </c>
      <c r="X4650" s="0" t="n">
        <f aca="false">SUMPRODUCT(I4650:W4650,_XtX!$B$96:$P$96)</f>
        <v>46.6996025219298</v>
      </c>
      <c r="Y4650" s="0" t="n">
        <f aca="false">SUMPRODUCT(MMULT(I4650:W4650,_XtX!$B$78:$P$92),I4650:W4650)</f>
        <v>0.207746539199561</v>
      </c>
      <c r="Z4650" s="0" t="n">
        <f aca="false">04_回帰ANOVA!$K$19*04_回帰ANOVA!$K$14*SQRT(1+Y4650)</f>
        <v>1.43247250081141</v>
      </c>
      <c r="AA4650" s="0" t="n">
        <f aca="false">X4650-Z4650</f>
        <v>45.2671300211184</v>
      </c>
      <c r="AB4650" s="0" t="n">
        <f aca="false">X4650+Z4650</f>
        <v>48.1320750227412</v>
      </c>
      <c r="AC4650" s="54" t="b">
        <f aca="false">AND(E4650&gt;=01_因子設定!$L$5-0.000000001,E4650&lt;=01_因子設定!$M$5+0.000000001,F4650&gt;=01_因子設定!$L$6-0.000000001,F4650&lt;=01_因子設定!$M$6+0.000000001,G4650&gt;=01_因子設定!$L$7-0.000000001,G4650&lt;=01_因子設定!$M$7+0.000000001,H4650&gt;=01_因子設定!$L$8-0.000000001,H4650&lt;=01_因子設定!$M$8+0.000000001,IF(01_因子設定!$B$20="Box-Behnken",E4650^2+F4650^2+G4650^2+H4650^2&lt;=2+0.000000001,TRUE()))</f>
        <v>1</v>
      </c>
      <c r="AD4650" s="55" t="n">
        <f aca="false">IF(AC4650,IF(01_因子設定!$B$13="最大化",AA4650-01_因子設定!$B$14,IF(01_因子設定!$B$13="最小化",01_因子設定!$B$15-AB4650,MIN(AA4650-01_因子設定!$B$14,01_因子設定!$B$15-AB4650))),-1E+030)</f>
        <v>-1.2328699788816</v>
      </c>
      <c r="AE4650" s="55" t="n">
        <f aca="false">IF(AC4650,IF(01_因子設定!$B$13="最大化",X4650,IF(01_因子設定!$B$13="最小化",-X4650,-ABS(X4650-01_因子設定!$B$16))),-1E+030)</f>
        <v>46.6996025219298</v>
      </c>
      <c r="AF4650" s="55" t="n">
        <f aca="false">AD4650+ROW()*0.000000001</f>
        <v>-1.2328653288816</v>
      </c>
      <c r="AG4650" s="55" t="n">
        <f aca="false">AE4650+ROW()*0.000000001</f>
        <v>46.6996071719298</v>
      </c>
    </row>
    <row r="4651" customFormat="false" ht="15" hidden="false" customHeight="false" outlineLevel="0" collapsed="false">
      <c r="A4651" s="0" t="n">
        <v>6</v>
      </c>
      <c r="B4651" s="0" t="n">
        <v>3</v>
      </c>
      <c r="C4651" s="0" t="n">
        <v>3</v>
      </c>
      <c r="D4651" s="0" t="n">
        <v>2</v>
      </c>
      <c r="E4651" s="0" t="n">
        <f aca="false">-1+A4651*0.25</f>
        <v>0.5</v>
      </c>
      <c r="F4651" s="0" t="n">
        <f aca="false">-1+B4651*0.25</f>
        <v>-0.25</v>
      </c>
      <c r="G4651" s="0" t="n">
        <f aca="false">-1+C4651*0.25</f>
        <v>-0.25</v>
      </c>
      <c r="H4651" s="0" t="n">
        <f aca="false">-1+D4651*0.25</f>
        <v>-0.5</v>
      </c>
      <c r="I4651" s="0" t="n">
        <f aca="false">1</f>
        <v>1</v>
      </c>
      <c r="J4651" s="0" t="n">
        <f aca="false">E4651</f>
        <v>0.5</v>
      </c>
      <c r="K4651" s="0" t="n">
        <f aca="false">F4651</f>
        <v>-0.25</v>
      </c>
      <c r="L4651" s="0" t="n">
        <f aca="false">G4651</f>
        <v>-0.25</v>
      </c>
      <c r="M4651" s="0" t="n">
        <f aca="false">H4651</f>
        <v>-0.5</v>
      </c>
      <c r="N4651" s="0" t="n">
        <f aca="false">E4651*F4651</f>
        <v>-0.125</v>
      </c>
      <c r="O4651" s="0" t="n">
        <f aca="false">E4651*G4651</f>
        <v>-0.125</v>
      </c>
      <c r="P4651" s="0" t="n">
        <f aca="false">E4651*H4651</f>
        <v>-0.25</v>
      </c>
      <c r="Q4651" s="0" t="n">
        <f aca="false">F4651*G4651</f>
        <v>0.0625</v>
      </c>
      <c r="R4651" s="0" t="n">
        <f aca="false">F4651*H4651</f>
        <v>0.125</v>
      </c>
      <c r="S4651" s="0" t="n">
        <f aca="false">G4651*H4651</f>
        <v>0.125</v>
      </c>
      <c r="T4651" s="0" t="n">
        <f aca="false">E4651*E4651</f>
        <v>0.25</v>
      </c>
      <c r="U4651" s="0" t="n">
        <f aca="false">F4651*F4651</f>
        <v>0.0625</v>
      </c>
      <c r="V4651" s="0" t="n">
        <f aca="false">G4651*G4651</f>
        <v>0.0625</v>
      </c>
      <c r="W4651" s="0" t="n">
        <f aca="false">H4651*H4651</f>
        <v>0.25</v>
      </c>
      <c r="X4651" s="0" t="n">
        <f aca="false">SUMPRODUCT(I4651:W4651,_XtX!$B$96:$P$96)</f>
        <v>46.9314464546783</v>
      </c>
      <c r="Y4651" s="0" t="n">
        <f aca="false">SUMPRODUCT(MMULT(I4651:W4651,_XtX!$B$78:$P$92),I4651:W4651)</f>
        <v>0.128236647934942</v>
      </c>
      <c r="Z4651" s="0" t="n">
        <f aca="false">04_回帰ANOVA!$K$19*04_回帰ANOVA!$K$14*SQRT(1+Y4651)</f>
        <v>1.38451764188989</v>
      </c>
      <c r="AA4651" s="0" t="n">
        <f aca="false">X4651-Z4651</f>
        <v>45.5469288127884</v>
      </c>
      <c r="AB4651" s="0" t="n">
        <f aca="false">X4651+Z4651</f>
        <v>48.3159640965682</v>
      </c>
      <c r="AC4651" s="54" t="b">
        <f aca="false">AND(E4651&gt;=01_因子設定!$L$5-0.000000001,E4651&lt;=01_因子設定!$M$5+0.000000001,F4651&gt;=01_因子設定!$L$6-0.000000001,F4651&lt;=01_因子設定!$M$6+0.000000001,G4651&gt;=01_因子設定!$L$7-0.000000001,G4651&lt;=01_因子設定!$M$7+0.000000001,H4651&gt;=01_因子設定!$L$8-0.000000001,H4651&lt;=01_因子設定!$M$8+0.000000001,IF(01_因子設定!$B$20="Box-Behnken",E4651^2+F4651^2+G4651^2+H4651^2&lt;=2+0.000000001,TRUE()))</f>
        <v>1</v>
      </c>
      <c r="AD4651" s="55" t="n">
        <f aca="false">IF(AC4651,IF(01_因子設定!$B$13="最大化",AA4651-01_因子設定!$B$14,IF(01_因子設定!$B$13="最小化",01_因子設定!$B$15-AB4651,MIN(AA4651-01_因子設定!$B$14,01_因子設定!$B$15-AB4651))),-1E+030)</f>
        <v>-0.953071187211556</v>
      </c>
      <c r="AE4651" s="55" t="n">
        <f aca="false">IF(AC4651,IF(01_因子設定!$B$13="最大化",X4651,IF(01_因子設定!$B$13="最小化",-X4651,-ABS(X4651-01_因子設定!$B$16))),-1E+030)</f>
        <v>46.9314464546783</v>
      </c>
      <c r="AF4651" s="55" t="n">
        <f aca="false">AD4651+ROW()*0.000000001</f>
        <v>-0.953066536211556</v>
      </c>
      <c r="AG4651" s="55" t="n">
        <f aca="false">AE4651+ROW()*0.000000001</f>
        <v>46.9314511056783</v>
      </c>
    </row>
    <row r="4652" customFormat="false" ht="15" hidden="false" customHeight="false" outlineLevel="0" collapsed="false">
      <c r="A4652" s="0" t="n">
        <v>6</v>
      </c>
      <c r="B4652" s="0" t="n">
        <v>3</v>
      </c>
      <c r="C4652" s="0" t="n">
        <v>3</v>
      </c>
      <c r="D4652" s="0" t="n">
        <v>3</v>
      </c>
      <c r="E4652" s="0" t="n">
        <f aca="false">-1+A4652*0.25</f>
        <v>0.5</v>
      </c>
      <c r="F4652" s="0" t="n">
        <f aca="false">-1+B4652*0.25</f>
        <v>-0.25</v>
      </c>
      <c r="G4652" s="0" t="n">
        <f aca="false">-1+C4652*0.25</f>
        <v>-0.25</v>
      </c>
      <c r="H4652" s="0" t="n">
        <f aca="false">-1+D4652*0.25</f>
        <v>-0.25</v>
      </c>
      <c r="I4652" s="0" t="n">
        <f aca="false">1</f>
        <v>1</v>
      </c>
      <c r="J4652" s="0" t="n">
        <f aca="false">E4652</f>
        <v>0.5</v>
      </c>
      <c r="K4652" s="0" t="n">
        <f aca="false">F4652</f>
        <v>-0.25</v>
      </c>
      <c r="L4652" s="0" t="n">
        <f aca="false">G4652</f>
        <v>-0.25</v>
      </c>
      <c r="M4652" s="0" t="n">
        <f aca="false">H4652</f>
        <v>-0.25</v>
      </c>
      <c r="N4652" s="0" t="n">
        <f aca="false">E4652*F4652</f>
        <v>-0.125</v>
      </c>
      <c r="O4652" s="0" t="n">
        <f aca="false">E4652*G4652</f>
        <v>-0.125</v>
      </c>
      <c r="P4652" s="0" t="n">
        <f aca="false">E4652*H4652</f>
        <v>-0.125</v>
      </c>
      <c r="Q4652" s="0" t="n">
        <f aca="false">F4652*G4652</f>
        <v>0.0625</v>
      </c>
      <c r="R4652" s="0" t="n">
        <f aca="false">F4652*H4652</f>
        <v>0.0625</v>
      </c>
      <c r="S4652" s="0" t="n">
        <f aca="false">G4652*H4652</f>
        <v>0.0625</v>
      </c>
      <c r="T4652" s="0" t="n">
        <f aca="false">E4652*E4652</f>
        <v>0.25</v>
      </c>
      <c r="U4652" s="0" t="n">
        <f aca="false">F4652*F4652</f>
        <v>0.0625</v>
      </c>
      <c r="V4652" s="0" t="n">
        <f aca="false">G4652*G4652</f>
        <v>0.0625</v>
      </c>
      <c r="W4652" s="0" t="n">
        <f aca="false">H4652*H4652</f>
        <v>0.0625</v>
      </c>
      <c r="X4652" s="0" t="n">
        <f aca="false">SUMPRODUCT(I4652:W4652,_XtX!$B$96:$P$96)</f>
        <v>47.115483369883</v>
      </c>
      <c r="Y4652" s="0" t="n">
        <f aca="false">SUMPRODUCT(MMULT(I4652:W4652,_XtX!$B$78:$P$92),I4652:W4652)</f>
        <v>0.116714923702485</v>
      </c>
      <c r="Z4652" s="0" t="n">
        <f aca="false">04_回帰ANOVA!$K$19*04_回帰ANOVA!$K$14*SQRT(1+Y4652)</f>
        <v>1.37743004820023</v>
      </c>
      <c r="AA4652" s="0" t="n">
        <f aca="false">X4652-Z4652</f>
        <v>45.7380533216828</v>
      </c>
      <c r="AB4652" s="0" t="n">
        <f aca="false">X4652+Z4652</f>
        <v>48.4929134180832</v>
      </c>
      <c r="AC4652" s="54" t="b">
        <f aca="false">AND(E4652&gt;=01_因子設定!$L$5-0.000000001,E4652&lt;=01_因子設定!$M$5+0.000000001,F4652&gt;=01_因子設定!$L$6-0.000000001,F4652&lt;=01_因子設定!$M$6+0.000000001,G4652&gt;=01_因子設定!$L$7-0.000000001,G4652&lt;=01_因子設定!$M$7+0.000000001,H4652&gt;=01_因子設定!$L$8-0.000000001,H4652&lt;=01_因子設定!$M$8+0.000000001,IF(01_因子設定!$B$20="Box-Behnken",E4652^2+F4652^2+G4652^2+H4652^2&lt;=2+0.000000001,TRUE()))</f>
        <v>1</v>
      </c>
      <c r="AD4652" s="55" t="n">
        <f aca="false">IF(AC4652,IF(01_因子設定!$B$13="最大化",AA4652-01_因子設定!$B$14,IF(01_因子設定!$B$13="最小化",01_因子設定!$B$15-AB4652,MIN(AA4652-01_因子設定!$B$14,01_因子設定!$B$15-AB4652))),-1E+030)</f>
        <v>-0.761946678317223</v>
      </c>
      <c r="AE4652" s="55" t="n">
        <f aca="false">IF(AC4652,IF(01_因子設定!$B$13="最大化",X4652,IF(01_因子設定!$B$13="最小化",-X4652,-ABS(X4652-01_因子設定!$B$16))),-1E+030)</f>
        <v>47.115483369883</v>
      </c>
      <c r="AF4652" s="55" t="n">
        <f aca="false">AD4652+ROW()*0.000000001</f>
        <v>-0.761942026317223</v>
      </c>
      <c r="AG4652" s="55" t="n">
        <f aca="false">AE4652+ROW()*0.000000001</f>
        <v>47.115488021883</v>
      </c>
    </row>
    <row r="4653" customFormat="false" ht="15" hidden="false" customHeight="false" outlineLevel="0" collapsed="false">
      <c r="A4653" s="0" t="n">
        <v>6</v>
      </c>
      <c r="B4653" s="0" t="n">
        <v>3</v>
      </c>
      <c r="C4653" s="0" t="n">
        <v>3</v>
      </c>
      <c r="D4653" s="0" t="n">
        <v>4</v>
      </c>
      <c r="E4653" s="0" t="n">
        <f aca="false">-1+A4653*0.25</f>
        <v>0.5</v>
      </c>
      <c r="F4653" s="0" t="n">
        <f aca="false">-1+B4653*0.25</f>
        <v>-0.25</v>
      </c>
      <c r="G4653" s="0" t="n">
        <f aca="false">-1+C4653*0.25</f>
        <v>-0.25</v>
      </c>
      <c r="H4653" s="0" t="n">
        <f aca="false">-1+D4653*0.25</f>
        <v>0</v>
      </c>
      <c r="I4653" s="0" t="n">
        <f aca="false">1</f>
        <v>1</v>
      </c>
      <c r="J4653" s="0" t="n">
        <f aca="false">E4653</f>
        <v>0.5</v>
      </c>
      <c r="K4653" s="0" t="n">
        <f aca="false">F4653</f>
        <v>-0.25</v>
      </c>
      <c r="L4653" s="0" t="n">
        <f aca="false">G4653</f>
        <v>-0.25</v>
      </c>
      <c r="M4653" s="0" t="n">
        <f aca="false">H4653</f>
        <v>0</v>
      </c>
      <c r="N4653" s="0" t="n">
        <f aca="false">E4653*F4653</f>
        <v>-0.125</v>
      </c>
      <c r="O4653" s="0" t="n">
        <f aca="false">E4653*G4653</f>
        <v>-0.125</v>
      </c>
      <c r="P4653" s="0" t="n">
        <f aca="false">E4653*H4653</f>
        <v>0</v>
      </c>
      <c r="Q4653" s="0" t="n">
        <f aca="false">F4653*G4653</f>
        <v>0.0625</v>
      </c>
      <c r="R4653" s="0" t="n">
        <f aca="false">F4653*H4653</f>
        <v>-0</v>
      </c>
      <c r="S4653" s="0" t="n">
        <f aca="false">G4653*H4653</f>
        <v>-0</v>
      </c>
      <c r="T4653" s="0" t="n">
        <f aca="false">E4653*E4653</f>
        <v>0.25</v>
      </c>
      <c r="U4653" s="0" t="n">
        <f aca="false">F4653*F4653</f>
        <v>0.0625</v>
      </c>
      <c r="V4653" s="0" t="n">
        <f aca="false">G4653*G4653</f>
        <v>0.0625</v>
      </c>
      <c r="W4653" s="0" t="n">
        <f aca="false">H4653*H4653</f>
        <v>0</v>
      </c>
      <c r="X4653" s="0" t="n">
        <f aca="false">SUMPRODUCT(I4653:W4653,_XtX!$B$96:$P$96)</f>
        <v>47.2517132675438</v>
      </c>
      <c r="Y4653" s="0" t="n">
        <f aca="false">SUMPRODUCT(MMULT(I4653:W4653,_XtX!$B$78:$P$92),I4653:W4653)</f>
        <v>0.118905050712719</v>
      </c>
      <c r="Z4653" s="0" t="n">
        <f aca="false">04_回帰ANOVA!$K$19*04_回帰ANOVA!$K$14*SQRT(1+Y4653)</f>
        <v>1.37878011033769</v>
      </c>
      <c r="AA4653" s="0" t="n">
        <f aca="false">X4653-Z4653</f>
        <v>45.8729331572061</v>
      </c>
      <c r="AB4653" s="0" t="n">
        <f aca="false">X4653+Z4653</f>
        <v>48.6304933778815</v>
      </c>
      <c r="AC4653" s="54" t="b">
        <f aca="false">AND(E4653&gt;=01_因子設定!$L$5-0.000000001,E4653&lt;=01_因子設定!$M$5+0.000000001,F4653&gt;=01_因子設定!$L$6-0.000000001,F4653&lt;=01_因子設定!$M$6+0.000000001,G4653&gt;=01_因子設定!$L$7-0.000000001,G4653&lt;=01_因子設定!$M$7+0.000000001,H4653&gt;=01_因子設定!$L$8-0.000000001,H4653&lt;=01_因子設定!$M$8+0.000000001,IF(01_因子設定!$B$20="Box-Behnken",E4653^2+F4653^2+G4653^2+H4653^2&lt;=2+0.000000001,TRUE()))</f>
        <v>1</v>
      </c>
      <c r="AD4653" s="55" t="n">
        <f aca="false">IF(AC4653,IF(01_因子設定!$B$13="最大化",AA4653-01_因子設定!$B$14,IF(01_因子設定!$B$13="最小化",01_因子設定!$B$15-AB4653,MIN(AA4653-01_因子設定!$B$14,01_因子設定!$B$15-AB4653))),-1E+030)</f>
        <v>-0.627066842793873</v>
      </c>
      <c r="AE4653" s="55" t="n">
        <f aca="false">IF(AC4653,IF(01_因子設定!$B$13="最大化",X4653,IF(01_因子設定!$B$13="最小化",-X4653,-ABS(X4653-01_因子設定!$B$16))),-1E+030)</f>
        <v>47.2517132675438</v>
      </c>
      <c r="AF4653" s="55" t="n">
        <f aca="false">AD4653+ROW()*0.000000001</f>
        <v>-0.627062189793873</v>
      </c>
      <c r="AG4653" s="55" t="n">
        <f aca="false">AE4653+ROW()*0.000000001</f>
        <v>47.2517179205438</v>
      </c>
    </row>
    <row r="4654" customFormat="false" ht="15" hidden="false" customHeight="false" outlineLevel="0" collapsed="false">
      <c r="A4654" s="0" t="n">
        <v>6</v>
      </c>
      <c r="B4654" s="0" t="n">
        <v>3</v>
      </c>
      <c r="C4654" s="0" t="n">
        <v>3</v>
      </c>
      <c r="D4654" s="0" t="n">
        <v>5</v>
      </c>
      <c r="E4654" s="0" t="n">
        <f aca="false">-1+A4654*0.25</f>
        <v>0.5</v>
      </c>
      <c r="F4654" s="0" t="n">
        <f aca="false">-1+B4654*0.25</f>
        <v>-0.25</v>
      </c>
      <c r="G4654" s="0" t="n">
        <f aca="false">-1+C4654*0.25</f>
        <v>-0.25</v>
      </c>
      <c r="H4654" s="0" t="n">
        <f aca="false">-1+D4654*0.25</f>
        <v>0.25</v>
      </c>
      <c r="I4654" s="0" t="n">
        <f aca="false">1</f>
        <v>1</v>
      </c>
      <c r="J4654" s="0" t="n">
        <f aca="false">E4654</f>
        <v>0.5</v>
      </c>
      <c r="K4654" s="0" t="n">
        <f aca="false">F4654</f>
        <v>-0.25</v>
      </c>
      <c r="L4654" s="0" t="n">
        <f aca="false">G4654</f>
        <v>-0.25</v>
      </c>
      <c r="M4654" s="0" t="n">
        <f aca="false">H4654</f>
        <v>0.25</v>
      </c>
      <c r="N4654" s="0" t="n">
        <f aca="false">E4654*F4654</f>
        <v>-0.125</v>
      </c>
      <c r="O4654" s="0" t="n">
        <f aca="false">E4654*G4654</f>
        <v>-0.125</v>
      </c>
      <c r="P4654" s="0" t="n">
        <f aca="false">E4654*H4654</f>
        <v>0.125</v>
      </c>
      <c r="Q4654" s="0" t="n">
        <f aca="false">F4654*G4654</f>
        <v>0.0625</v>
      </c>
      <c r="R4654" s="0" t="n">
        <f aca="false">F4654*H4654</f>
        <v>-0.0625</v>
      </c>
      <c r="S4654" s="0" t="n">
        <f aca="false">G4654*H4654</f>
        <v>-0.0625</v>
      </c>
      <c r="T4654" s="0" t="n">
        <f aca="false">E4654*E4654</f>
        <v>0.25</v>
      </c>
      <c r="U4654" s="0" t="n">
        <f aca="false">F4654*F4654</f>
        <v>0.0625</v>
      </c>
      <c r="V4654" s="0" t="n">
        <f aca="false">G4654*G4654</f>
        <v>0.0625</v>
      </c>
      <c r="W4654" s="0" t="n">
        <f aca="false">H4654*H4654</f>
        <v>0.0625</v>
      </c>
      <c r="X4654" s="0" t="n">
        <f aca="false">SUMPRODUCT(I4654:W4654,_XtX!$B$96:$P$96)</f>
        <v>47.3401361476608</v>
      </c>
      <c r="Y4654" s="0" t="n">
        <f aca="false">SUMPRODUCT(MMULT(I4654:W4654,_XtX!$B$78:$P$92),I4654:W4654)</f>
        <v>0.116714923702485</v>
      </c>
      <c r="Z4654" s="0" t="n">
        <f aca="false">04_回帰ANOVA!$K$19*04_回帰ANOVA!$K$14*SQRT(1+Y4654)</f>
        <v>1.37743004820023</v>
      </c>
      <c r="AA4654" s="0" t="n">
        <f aca="false">X4654-Z4654</f>
        <v>45.9627060994606</v>
      </c>
      <c r="AB4654" s="0" t="n">
        <f aca="false">X4654+Z4654</f>
        <v>48.717566195861</v>
      </c>
      <c r="AC4654" s="54" t="b">
        <f aca="false">AND(E4654&gt;=01_因子設定!$L$5-0.000000001,E4654&lt;=01_因子設定!$M$5+0.000000001,F4654&gt;=01_因子設定!$L$6-0.000000001,F4654&lt;=01_因子設定!$M$6+0.000000001,G4654&gt;=01_因子設定!$L$7-0.000000001,G4654&lt;=01_因子設定!$M$7+0.000000001,H4654&gt;=01_因子設定!$L$8-0.000000001,H4654&lt;=01_因子設定!$M$8+0.000000001,IF(01_因子設定!$B$20="Box-Behnken",E4654^2+F4654^2+G4654^2+H4654^2&lt;=2+0.000000001,TRUE()))</f>
        <v>1</v>
      </c>
      <c r="AD4654" s="55" t="n">
        <f aca="false">IF(AC4654,IF(01_因子設定!$B$13="最大化",AA4654-01_因子設定!$B$14,IF(01_因子設定!$B$13="最小化",01_因子設定!$B$15-AB4654,MIN(AA4654-01_因子設定!$B$14,01_因子設定!$B$15-AB4654))),-1E+030)</f>
        <v>-0.537293900539446</v>
      </c>
      <c r="AE4654" s="55" t="n">
        <f aca="false">IF(AC4654,IF(01_因子設定!$B$13="最大化",X4654,IF(01_因子設定!$B$13="最小化",-X4654,-ABS(X4654-01_因子設定!$B$16))),-1E+030)</f>
        <v>47.3401361476608</v>
      </c>
      <c r="AF4654" s="55" t="n">
        <f aca="false">AD4654+ROW()*0.000000001</f>
        <v>-0.537289246539446</v>
      </c>
      <c r="AG4654" s="55" t="n">
        <f aca="false">AE4654+ROW()*0.000000001</f>
        <v>47.3401408016608</v>
      </c>
    </row>
    <row r="4655" customFormat="false" ht="15" hidden="false" customHeight="false" outlineLevel="0" collapsed="false">
      <c r="A4655" s="0" t="n">
        <v>6</v>
      </c>
      <c r="B4655" s="0" t="n">
        <v>3</v>
      </c>
      <c r="C4655" s="0" t="n">
        <v>3</v>
      </c>
      <c r="D4655" s="0" t="n">
        <v>6</v>
      </c>
      <c r="E4655" s="0" t="n">
        <f aca="false">-1+A4655*0.25</f>
        <v>0.5</v>
      </c>
      <c r="F4655" s="0" t="n">
        <f aca="false">-1+B4655*0.25</f>
        <v>-0.25</v>
      </c>
      <c r="G4655" s="0" t="n">
        <f aca="false">-1+C4655*0.25</f>
        <v>-0.25</v>
      </c>
      <c r="H4655" s="0" t="n">
        <f aca="false">-1+D4655*0.25</f>
        <v>0.5</v>
      </c>
      <c r="I4655" s="0" t="n">
        <f aca="false">1</f>
        <v>1</v>
      </c>
      <c r="J4655" s="0" t="n">
        <f aca="false">E4655</f>
        <v>0.5</v>
      </c>
      <c r="K4655" s="0" t="n">
        <f aca="false">F4655</f>
        <v>-0.25</v>
      </c>
      <c r="L4655" s="0" t="n">
        <f aca="false">G4655</f>
        <v>-0.25</v>
      </c>
      <c r="M4655" s="0" t="n">
        <f aca="false">H4655</f>
        <v>0.5</v>
      </c>
      <c r="N4655" s="0" t="n">
        <f aca="false">E4655*F4655</f>
        <v>-0.125</v>
      </c>
      <c r="O4655" s="0" t="n">
        <f aca="false">E4655*G4655</f>
        <v>-0.125</v>
      </c>
      <c r="P4655" s="0" t="n">
        <f aca="false">E4655*H4655</f>
        <v>0.25</v>
      </c>
      <c r="Q4655" s="0" t="n">
        <f aca="false">F4655*G4655</f>
        <v>0.0625</v>
      </c>
      <c r="R4655" s="0" t="n">
        <f aca="false">F4655*H4655</f>
        <v>-0.125</v>
      </c>
      <c r="S4655" s="0" t="n">
        <f aca="false">G4655*H4655</f>
        <v>-0.125</v>
      </c>
      <c r="T4655" s="0" t="n">
        <f aca="false">E4655*E4655</f>
        <v>0.25</v>
      </c>
      <c r="U4655" s="0" t="n">
        <f aca="false">F4655*F4655</f>
        <v>0.0625</v>
      </c>
      <c r="V4655" s="0" t="n">
        <f aca="false">G4655*G4655</f>
        <v>0.0625</v>
      </c>
      <c r="W4655" s="0" t="n">
        <f aca="false">H4655*H4655</f>
        <v>0.25</v>
      </c>
      <c r="X4655" s="0" t="n">
        <f aca="false">SUMPRODUCT(I4655:W4655,_XtX!$B$96:$P$96)</f>
        <v>47.3807520102339</v>
      </c>
      <c r="Y4655" s="0" t="n">
        <f aca="false">SUMPRODUCT(MMULT(I4655:W4655,_XtX!$B$78:$P$92),I4655:W4655)</f>
        <v>0.128236647934942</v>
      </c>
      <c r="Z4655" s="0" t="n">
        <f aca="false">04_回帰ANOVA!$K$19*04_回帰ANOVA!$K$14*SQRT(1+Y4655)</f>
        <v>1.38451764188989</v>
      </c>
      <c r="AA4655" s="0" t="n">
        <f aca="false">X4655-Z4655</f>
        <v>45.996234368344</v>
      </c>
      <c r="AB4655" s="0" t="n">
        <f aca="false">X4655+Z4655</f>
        <v>48.7652696521238</v>
      </c>
      <c r="AC4655" s="54" t="b">
        <f aca="false">AND(E4655&gt;=01_因子設定!$L$5-0.000000001,E4655&lt;=01_因子設定!$M$5+0.000000001,F4655&gt;=01_因子設定!$L$6-0.000000001,F4655&lt;=01_因子設定!$M$6+0.000000001,G4655&gt;=01_因子設定!$L$7-0.000000001,G4655&lt;=01_因子設定!$M$7+0.000000001,H4655&gt;=01_因子設定!$L$8-0.000000001,H4655&lt;=01_因子設定!$M$8+0.000000001,IF(01_因子設定!$B$20="Box-Behnken",E4655^2+F4655^2+G4655^2+H4655^2&lt;=2+0.000000001,TRUE()))</f>
        <v>1</v>
      </c>
      <c r="AD4655" s="55" t="n">
        <f aca="false">IF(AC4655,IF(01_因子設定!$B$13="最大化",AA4655-01_因子設定!$B$14,IF(01_因子設定!$B$13="最小化",01_因子設定!$B$15-AB4655,MIN(AA4655-01_因子設定!$B$14,01_因子設定!$B$15-AB4655))),-1E+030)</f>
        <v>-0.503765631656002</v>
      </c>
      <c r="AE4655" s="55" t="n">
        <f aca="false">IF(AC4655,IF(01_因子設定!$B$13="最大化",X4655,IF(01_因子設定!$B$13="最小化",-X4655,-ABS(X4655-01_因子設定!$B$16))),-1E+030)</f>
        <v>47.3807520102339</v>
      </c>
      <c r="AF4655" s="55" t="n">
        <f aca="false">AD4655+ROW()*0.000000001</f>
        <v>-0.503760976656002</v>
      </c>
      <c r="AG4655" s="55" t="n">
        <f aca="false">AE4655+ROW()*0.000000001</f>
        <v>47.3807566652339</v>
      </c>
    </row>
    <row r="4656" customFormat="false" ht="15" hidden="false" customHeight="false" outlineLevel="0" collapsed="false">
      <c r="A4656" s="0" t="n">
        <v>6</v>
      </c>
      <c r="B4656" s="0" t="n">
        <v>3</v>
      </c>
      <c r="C4656" s="0" t="n">
        <v>3</v>
      </c>
      <c r="D4656" s="0" t="n">
        <v>7</v>
      </c>
      <c r="E4656" s="0" t="n">
        <f aca="false">-1+A4656*0.25</f>
        <v>0.5</v>
      </c>
      <c r="F4656" s="0" t="n">
        <f aca="false">-1+B4656*0.25</f>
        <v>-0.25</v>
      </c>
      <c r="G4656" s="0" t="n">
        <f aca="false">-1+C4656*0.25</f>
        <v>-0.25</v>
      </c>
      <c r="H4656" s="0" t="n">
        <f aca="false">-1+D4656*0.25</f>
        <v>0.75</v>
      </c>
      <c r="I4656" s="0" t="n">
        <f aca="false">1</f>
        <v>1</v>
      </c>
      <c r="J4656" s="0" t="n">
        <f aca="false">E4656</f>
        <v>0.5</v>
      </c>
      <c r="K4656" s="0" t="n">
        <f aca="false">F4656</f>
        <v>-0.25</v>
      </c>
      <c r="L4656" s="0" t="n">
        <f aca="false">G4656</f>
        <v>-0.25</v>
      </c>
      <c r="M4656" s="0" t="n">
        <f aca="false">H4656</f>
        <v>0.75</v>
      </c>
      <c r="N4656" s="0" t="n">
        <f aca="false">E4656*F4656</f>
        <v>-0.125</v>
      </c>
      <c r="O4656" s="0" t="n">
        <f aca="false">E4656*G4656</f>
        <v>-0.125</v>
      </c>
      <c r="P4656" s="0" t="n">
        <f aca="false">E4656*H4656</f>
        <v>0.375</v>
      </c>
      <c r="Q4656" s="0" t="n">
        <f aca="false">F4656*G4656</f>
        <v>0.0625</v>
      </c>
      <c r="R4656" s="0" t="n">
        <f aca="false">F4656*H4656</f>
        <v>-0.1875</v>
      </c>
      <c r="S4656" s="0" t="n">
        <f aca="false">G4656*H4656</f>
        <v>-0.1875</v>
      </c>
      <c r="T4656" s="0" t="n">
        <f aca="false">E4656*E4656</f>
        <v>0.25</v>
      </c>
      <c r="U4656" s="0" t="n">
        <f aca="false">F4656*F4656</f>
        <v>0.0625</v>
      </c>
      <c r="V4656" s="0" t="n">
        <f aca="false">G4656*G4656</f>
        <v>0.0625</v>
      </c>
      <c r="W4656" s="0" t="n">
        <f aca="false">H4656*H4656</f>
        <v>0.5625</v>
      </c>
      <c r="X4656" s="0" t="n">
        <f aca="false">SUMPRODUCT(I4656:W4656,_XtX!$B$96:$P$96)</f>
        <v>47.3735608552631</v>
      </c>
      <c r="Y4656" s="0" t="n">
        <f aca="false">SUMPRODUCT(MMULT(I4656:W4656,_XtX!$B$78:$P$92),I4656:W4656)</f>
        <v>0.207746539199561</v>
      </c>
      <c r="Z4656" s="0" t="n">
        <f aca="false">04_回帰ANOVA!$K$19*04_回帰ANOVA!$K$14*SQRT(1+Y4656)</f>
        <v>1.43247250081141</v>
      </c>
      <c r="AA4656" s="0" t="n">
        <f aca="false">X4656-Z4656</f>
        <v>45.9410883544517</v>
      </c>
      <c r="AB4656" s="0" t="n">
        <f aca="false">X4656+Z4656</f>
        <v>48.8060333560745</v>
      </c>
      <c r="AC4656" s="54" t="b">
        <f aca="false">AND(E4656&gt;=01_因子設定!$L$5-0.000000001,E4656&lt;=01_因子設定!$M$5+0.000000001,F4656&gt;=01_因子設定!$L$6-0.000000001,F4656&lt;=01_因子設定!$M$6+0.000000001,G4656&gt;=01_因子設定!$L$7-0.000000001,G4656&lt;=01_因子設定!$M$7+0.000000001,H4656&gt;=01_因子設定!$L$8-0.000000001,H4656&lt;=01_因子設定!$M$8+0.000000001,IF(01_因子設定!$B$20="Box-Behnken",E4656^2+F4656^2+G4656^2+H4656^2&lt;=2+0.000000001,TRUE()))</f>
        <v>1</v>
      </c>
      <c r="AD4656" s="55" t="n">
        <f aca="false">IF(AC4656,IF(01_因子設定!$B$13="最大化",AA4656-01_因子設定!$B$14,IF(01_因子設定!$B$13="最小化",01_因子設定!$B$15-AB4656,MIN(AA4656-01_因子設定!$B$14,01_因子設定!$B$15-AB4656))),-1E+030)</f>
        <v>-0.558911645548271</v>
      </c>
      <c r="AE4656" s="55" t="n">
        <f aca="false">IF(AC4656,IF(01_因子設定!$B$13="最大化",X4656,IF(01_因子設定!$B$13="最小化",-X4656,-ABS(X4656-01_因子設定!$B$16))),-1E+030)</f>
        <v>47.3735608552631</v>
      </c>
      <c r="AF4656" s="55" t="n">
        <f aca="false">AD4656+ROW()*0.000000001</f>
        <v>-0.558906989548271</v>
      </c>
      <c r="AG4656" s="55" t="n">
        <f aca="false">AE4656+ROW()*0.000000001</f>
        <v>47.3735655112631</v>
      </c>
    </row>
    <row r="4657" customFormat="false" ht="15" hidden="false" customHeight="false" outlineLevel="0" collapsed="false">
      <c r="A4657" s="0" t="n">
        <v>6</v>
      </c>
      <c r="B4657" s="0" t="n">
        <v>3</v>
      </c>
      <c r="C4657" s="0" t="n">
        <v>3</v>
      </c>
      <c r="D4657" s="0" t="n">
        <v>8</v>
      </c>
      <c r="E4657" s="0" t="n">
        <f aca="false">-1+A4657*0.25</f>
        <v>0.5</v>
      </c>
      <c r="F4657" s="0" t="n">
        <f aca="false">-1+B4657*0.25</f>
        <v>-0.25</v>
      </c>
      <c r="G4657" s="0" t="n">
        <f aca="false">-1+C4657*0.25</f>
        <v>-0.25</v>
      </c>
      <c r="H4657" s="0" t="n">
        <f aca="false">-1+D4657*0.25</f>
        <v>1</v>
      </c>
      <c r="I4657" s="0" t="n">
        <f aca="false">1</f>
        <v>1</v>
      </c>
      <c r="J4657" s="0" t="n">
        <f aca="false">E4657</f>
        <v>0.5</v>
      </c>
      <c r="K4657" s="0" t="n">
        <f aca="false">F4657</f>
        <v>-0.25</v>
      </c>
      <c r="L4657" s="0" t="n">
        <f aca="false">G4657</f>
        <v>-0.25</v>
      </c>
      <c r="M4657" s="0" t="n">
        <f aca="false">H4657</f>
        <v>1</v>
      </c>
      <c r="N4657" s="0" t="n">
        <f aca="false">E4657*F4657</f>
        <v>-0.125</v>
      </c>
      <c r="O4657" s="0" t="n">
        <f aca="false">E4657*G4657</f>
        <v>-0.125</v>
      </c>
      <c r="P4657" s="0" t="n">
        <f aca="false">E4657*H4657</f>
        <v>0.5</v>
      </c>
      <c r="Q4657" s="0" t="n">
        <f aca="false">F4657*G4657</f>
        <v>0.0625</v>
      </c>
      <c r="R4657" s="0" t="n">
        <f aca="false">F4657*H4657</f>
        <v>-0.25</v>
      </c>
      <c r="S4657" s="0" t="n">
        <f aca="false">G4657*H4657</f>
        <v>-0.25</v>
      </c>
      <c r="T4657" s="0" t="n">
        <f aca="false">E4657*E4657</f>
        <v>0.25</v>
      </c>
      <c r="U4657" s="0" t="n">
        <f aca="false">F4657*F4657</f>
        <v>0.0625</v>
      </c>
      <c r="V4657" s="0" t="n">
        <f aca="false">G4657*G4657</f>
        <v>0.0625</v>
      </c>
      <c r="W4657" s="0" t="n">
        <f aca="false">H4657*H4657</f>
        <v>1</v>
      </c>
      <c r="X4657" s="0" t="n">
        <f aca="false">SUMPRODUCT(I4657:W4657,_XtX!$B$96:$P$96)</f>
        <v>47.3185626827485</v>
      </c>
      <c r="Y4657" s="0" t="n">
        <f aca="false">SUMPRODUCT(MMULT(I4657:W4657,_XtX!$B$78:$P$92),I4657:W4657)</f>
        <v>0.445705123812135</v>
      </c>
      <c r="Z4657" s="0" t="n">
        <f aca="false">04_回帰ANOVA!$K$19*04_回帰ANOVA!$K$14*SQRT(1+Y4657)</f>
        <v>1.56724990734749</v>
      </c>
      <c r="AA4657" s="0" t="n">
        <f aca="false">X4657-Z4657</f>
        <v>45.751312775401</v>
      </c>
      <c r="AB4657" s="0" t="n">
        <f aca="false">X4657+Z4657</f>
        <v>48.885812590096</v>
      </c>
      <c r="AC4657" s="54" t="b">
        <f aca="false">AND(E4657&gt;=01_因子設定!$L$5-0.000000001,E4657&lt;=01_因子設定!$M$5+0.000000001,F4657&gt;=01_因子設定!$L$6-0.000000001,F4657&lt;=01_因子設定!$M$6+0.000000001,G4657&gt;=01_因子設定!$L$7-0.000000001,G4657&lt;=01_因子設定!$M$7+0.000000001,H4657&gt;=01_因子設定!$L$8-0.000000001,H4657&lt;=01_因子設定!$M$8+0.000000001,IF(01_因子設定!$B$20="Box-Behnken",E4657^2+F4657^2+G4657^2+H4657^2&lt;=2+0.000000001,TRUE()))</f>
        <v>1</v>
      </c>
      <c r="AD4657" s="55" t="n">
        <f aca="false">IF(AC4657,IF(01_因子設定!$B$13="最大化",AA4657-01_因子設定!$B$14,IF(01_因子設定!$B$13="最小化",01_因子設定!$B$15-AB4657,MIN(AA4657-01_因子設定!$B$14,01_因子設定!$B$15-AB4657))),-1E+030)</f>
        <v>-0.74868722459896</v>
      </c>
      <c r="AE4657" s="55" t="n">
        <f aca="false">IF(AC4657,IF(01_因子設定!$B$13="最大化",X4657,IF(01_因子設定!$B$13="最小化",-X4657,-ABS(X4657-01_因子設定!$B$16))),-1E+030)</f>
        <v>47.3185626827485</v>
      </c>
      <c r="AF4657" s="55" t="n">
        <f aca="false">AD4657+ROW()*0.000000001</f>
        <v>-0.74868256759896</v>
      </c>
      <c r="AG4657" s="55" t="n">
        <f aca="false">AE4657+ROW()*0.000000001</f>
        <v>47.3185673397485</v>
      </c>
    </row>
    <row r="4658" customFormat="false" ht="15" hidden="false" customHeight="false" outlineLevel="0" collapsed="false">
      <c r="A4658" s="0" t="n">
        <v>6</v>
      </c>
      <c r="B4658" s="0" t="n">
        <v>3</v>
      </c>
      <c r="C4658" s="0" t="n">
        <v>4</v>
      </c>
      <c r="D4658" s="0" t="n">
        <v>0</v>
      </c>
      <c r="E4658" s="0" t="n">
        <f aca="false">-1+A4658*0.25</f>
        <v>0.5</v>
      </c>
      <c r="F4658" s="0" t="n">
        <f aca="false">-1+B4658*0.25</f>
        <v>-0.25</v>
      </c>
      <c r="G4658" s="0" t="n">
        <f aca="false">-1+C4658*0.25</f>
        <v>0</v>
      </c>
      <c r="H4658" s="0" t="n">
        <f aca="false">-1+D4658*0.25</f>
        <v>-1</v>
      </c>
      <c r="I4658" s="0" t="n">
        <f aca="false">1</f>
        <v>1</v>
      </c>
      <c r="J4658" s="0" t="n">
        <f aca="false">E4658</f>
        <v>0.5</v>
      </c>
      <c r="K4658" s="0" t="n">
        <f aca="false">F4658</f>
        <v>-0.25</v>
      </c>
      <c r="L4658" s="0" t="n">
        <f aca="false">G4658</f>
        <v>0</v>
      </c>
      <c r="M4658" s="0" t="n">
        <f aca="false">H4658</f>
        <v>-1</v>
      </c>
      <c r="N4658" s="0" t="n">
        <f aca="false">E4658*F4658</f>
        <v>-0.125</v>
      </c>
      <c r="O4658" s="0" t="n">
        <f aca="false">E4658*G4658</f>
        <v>0</v>
      </c>
      <c r="P4658" s="0" t="n">
        <f aca="false">E4658*H4658</f>
        <v>-0.5</v>
      </c>
      <c r="Q4658" s="0" t="n">
        <f aca="false">F4658*G4658</f>
        <v>-0</v>
      </c>
      <c r="R4658" s="0" t="n">
        <f aca="false">F4658*H4658</f>
        <v>0.25</v>
      </c>
      <c r="S4658" s="0" t="n">
        <f aca="false">G4658*H4658</f>
        <v>-0</v>
      </c>
      <c r="T4658" s="0" t="n">
        <f aca="false">E4658*E4658</f>
        <v>0.25</v>
      </c>
      <c r="U4658" s="0" t="n">
        <f aca="false">F4658*F4658</f>
        <v>0.0625</v>
      </c>
      <c r="V4658" s="0" t="n">
        <f aca="false">G4658*G4658</f>
        <v>0</v>
      </c>
      <c r="W4658" s="0" t="n">
        <f aca="false">H4658*H4658</f>
        <v>1</v>
      </c>
      <c r="X4658" s="0" t="n">
        <f aca="false">SUMPRODUCT(I4658:W4658,_XtX!$B$96:$P$96)</f>
        <v>46.5357821637427</v>
      </c>
      <c r="Y4658" s="0" t="n">
        <f aca="false">SUMPRODUCT(MMULT(I4658:W4658,_XtX!$B$78:$P$92),I4658:W4658)</f>
        <v>0.457596628289474</v>
      </c>
      <c r="Z4658" s="0" t="n">
        <f aca="false">04_回帰ANOVA!$K$19*04_回帰ANOVA!$K$14*SQRT(1+Y4658)</f>
        <v>1.57368233664366</v>
      </c>
      <c r="AA4658" s="0" t="n">
        <f aca="false">X4658-Z4658</f>
        <v>44.962099827099</v>
      </c>
      <c r="AB4658" s="0" t="n">
        <f aca="false">X4658+Z4658</f>
        <v>48.1094645003863</v>
      </c>
      <c r="AC4658" s="54" t="b">
        <f aca="false">AND(E4658&gt;=01_因子設定!$L$5-0.000000001,E4658&lt;=01_因子設定!$M$5+0.000000001,F4658&gt;=01_因子設定!$L$6-0.000000001,F4658&lt;=01_因子設定!$M$6+0.000000001,G4658&gt;=01_因子設定!$L$7-0.000000001,G4658&lt;=01_因子設定!$M$7+0.000000001,H4658&gt;=01_因子設定!$L$8-0.000000001,H4658&lt;=01_因子設定!$M$8+0.000000001,IF(01_因子設定!$B$20="Box-Behnken",E4658^2+F4658^2+G4658^2+H4658^2&lt;=2+0.000000001,TRUE()))</f>
        <v>1</v>
      </c>
      <c r="AD4658" s="55" t="n">
        <f aca="false">IF(AC4658,IF(01_因子設定!$B$13="最大化",AA4658-01_因子設定!$B$14,IF(01_因子設定!$B$13="最小化",01_因子設定!$B$15-AB4658,MIN(AA4658-01_因子設定!$B$14,01_因子設定!$B$15-AB4658))),-1E+030)</f>
        <v>-1.53790017290098</v>
      </c>
      <c r="AE4658" s="55" t="n">
        <f aca="false">IF(AC4658,IF(01_因子設定!$B$13="最大化",X4658,IF(01_因子設定!$B$13="最小化",-X4658,-ABS(X4658-01_因子設定!$B$16))),-1E+030)</f>
        <v>46.5357821637427</v>
      </c>
      <c r="AF4658" s="55" t="n">
        <f aca="false">AD4658+ROW()*0.000000001</f>
        <v>-1.53789551490098</v>
      </c>
      <c r="AG4658" s="55" t="n">
        <f aca="false">AE4658+ROW()*0.000000001</f>
        <v>46.5357868217427</v>
      </c>
    </row>
    <row r="4659" customFormat="false" ht="15" hidden="false" customHeight="false" outlineLevel="0" collapsed="false">
      <c r="A4659" s="0" t="n">
        <v>6</v>
      </c>
      <c r="B4659" s="0" t="n">
        <v>3</v>
      </c>
      <c r="C4659" s="0" t="n">
        <v>4</v>
      </c>
      <c r="D4659" s="0" t="n">
        <v>1</v>
      </c>
      <c r="E4659" s="0" t="n">
        <f aca="false">-1+A4659*0.25</f>
        <v>0.5</v>
      </c>
      <c r="F4659" s="0" t="n">
        <f aca="false">-1+B4659*0.25</f>
        <v>-0.25</v>
      </c>
      <c r="G4659" s="0" t="n">
        <f aca="false">-1+C4659*0.25</f>
        <v>0</v>
      </c>
      <c r="H4659" s="0" t="n">
        <f aca="false">-1+D4659*0.25</f>
        <v>-0.75</v>
      </c>
      <c r="I4659" s="0" t="n">
        <f aca="false">1</f>
        <v>1</v>
      </c>
      <c r="J4659" s="0" t="n">
        <f aca="false">E4659</f>
        <v>0.5</v>
      </c>
      <c r="K4659" s="0" t="n">
        <f aca="false">F4659</f>
        <v>-0.25</v>
      </c>
      <c r="L4659" s="0" t="n">
        <f aca="false">G4659</f>
        <v>0</v>
      </c>
      <c r="M4659" s="0" t="n">
        <f aca="false">H4659</f>
        <v>-0.75</v>
      </c>
      <c r="N4659" s="0" t="n">
        <f aca="false">E4659*F4659</f>
        <v>-0.125</v>
      </c>
      <c r="O4659" s="0" t="n">
        <f aca="false">E4659*G4659</f>
        <v>0</v>
      </c>
      <c r="P4659" s="0" t="n">
        <f aca="false">E4659*H4659</f>
        <v>-0.375</v>
      </c>
      <c r="Q4659" s="0" t="n">
        <f aca="false">F4659*G4659</f>
        <v>-0</v>
      </c>
      <c r="R4659" s="0" t="n">
        <f aca="false">F4659*H4659</f>
        <v>0.1875</v>
      </c>
      <c r="S4659" s="0" t="n">
        <f aca="false">G4659*H4659</f>
        <v>-0</v>
      </c>
      <c r="T4659" s="0" t="n">
        <f aca="false">E4659*E4659</f>
        <v>0.25</v>
      </c>
      <c r="U4659" s="0" t="n">
        <f aca="false">F4659*F4659</f>
        <v>0.0625</v>
      </c>
      <c r="V4659" s="0" t="n">
        <f aca="false">G4659*G4659</f>
        <v>0</v>
      </c>
      <c r="W4659" s="0" t="n">
        <f aca="false">H4659*H4659</f>
        <v>0.5625</v>
      </c>
      <c r="X4659" s="0" t="n">
        <f aca="false">SUMPRODUCT(I4659:W4659,_XtX!$B$96:$P$96)</f>
        <v>46.8334018640351</v>
      </c>
      <c r="Y4659" s="0" t="n">
        <f aca="false">SUMPRODUCT(MMULT(I4659:W4659,_XtX!$B$78:$P$92),I4659:W4659)</f>
        <v>0.215110734192252</v>
      </c>
      <c r="Z4659" s="0" t="n">
        <f aca="false">04_回帰ANOVA!$K$19*04_回帰ANOVA!$K$14*SQRT(1+Y4659)</f>
        <v>1.43683309086864</v>
      </c>
      <c r="AA4659" s="0" t="n">
        <f aca="false">X4659-Z4659</f>
        <v>45.3965687731664</v>
      </c>
      <c r="AB4659" s="0" t="n">
        <f aca="false">X4659+Z4659</f>
        <v>48.2702349549037</v>
      </c>
      <c r="AC4659" s="54" t="b">
        <f aca="false">AND(E4659&gt;=01_因子設定!$L$5-0.000000001,E4659&lt;=01_因子設定!$M$5+0.000000001,F4659&gt;=01_因子設定!$L$6-0.000000001,F4659&lt;=01_因子設定!$M$6+0.000000001,G4659&gt;=01_因子設定!$L$7-0.000000001,G4659&lt;=01_因子設定!$M$7+0.000000001,H4659&gt;=01_因子設定!$L$8-0.000000001,H4659&lt;=01_因子設定!$M$8+0.000000001,IF(01_因子設定!$B$20="Box-Behnken",E4659^2+F4659^2+G4659^2+H4659^2&lt;=2+0.000000001,TRUE()))</f>
        <v>1</v>
      </c>
      <c r="AD4659" s="55" t="n">
        <f aca="false">IF(AC4659,IF(01_因子設定!$B$13="最大化",AA4659-01_因子設定!$B$14,IF(01_因子設定!$B$13="最小化",01_因子設定!$B$15-AB4659,MIN(AA4659-01_因子設定!$B$14,01_因子設定!$B$15-AB4659))),-1E+030)</f>
        <v>-1.10343122683358</v>
      </c>
      <c r="AE4659" s="55" t="n">
        <f aca="false">IF(AC4659,IF(01_因子設定!$B$13="最大化",X4659,IF(01_因子設定!$B$13="最小化",-X4659,-ABS(X4659-01_因子設定!$B$16))),-1E+030)</f>
        <v>46.8334018640351</v>
      </c>
      <c r="AF4659" s="55" t="n">
        <f aca="false">AD4659+ROW()*0.000000001</f>
        <v>-1.10342656783358</v>
      </c>
      <c r="AG4659" s="55" t="n">
        <f aca="false">AE4659+ROW()*0.000000001</f>
        <v>46.8334065230351</v>
      </c>
    </row>
    <row r="4660" customFormat="false" ht="15" hidden="false" customHeight="false" outlineLevel="0" collapsed="false">
      <c r="A4660" s="0" t="n">
        <v>6</v>
      </c>
      <c r="B4660" s="0" t="n">
        <v>3</v>
      </c>
      <c r="C4660" s="0" t="n">
        <v>4</v>
      </c>
      <c r="D4660" s="0" t="n">
        <v>2</v>
      </c>
      <c r="E4660" s="0" t="n">
        <f aca="false">-1+A4660*0.25</f>
        <v>0.5</v>
      </c>
      <c r="F4660" s="0" t="n">
        <f aca="false">-1+B4660*0.25</f>
        <v>-0.25</v>
      </c>
      <c r="G4660" s="0" t="n">
        <f aca="false">-1+C4660*0.25</f>
        <v>0</v>
      </c>
      <c r="H4660" s="0" t="n">
        <f aca="false">-1+D4660*0.25</f>
        <v>-0.5</v>
      </c>
      <c r="I4660" s="0" t="n">
        <f aca="false">1</f>
        <v>1</v>
      </c>
      <c r="J4660" s="0" t="n">
        <f aca="false">E4660</f>
        <v>0.5</v>
      </c>
      <c r="K4660" s="0" t="n">
        <f aca="false">F4660</f>
        <v>-0.25</v>
      </c>
      <c r="L4660" s="0" t="n">
        <f aca="false">G4660</f>
        <v>0</v>
      </c>
      <c r="M4660" s="0" t="n">
        <f aca="false">H4660</f>
        <v>-0.5</v>
      </c>
      <c r="N4660" s="0" t="n">
        <f aca="false">E4660*F4660</f>
        <v>-0.125</v>
      </c>
      <c r="O4660" s="0" t="n">
        <f aca="false">E4660*G4660</f>
        <v>0</v>
      </c>
      <c r="P4660" s="0" t="n">
        <f aca="false">E4660*H4660</f>
        <v>-0.25</v>
      </c>
      <c r="Q4660" s="0" t="n">
        <f aca="false">F4660*G4660</f>
        <v>-0</v>
      </c>
      <c r="R4660" s="0" t="n">
        <f aca="false">F4660*H4660</f>
        <v>0.125</v>
      </c>
      <c r="S4660" s="0" t="n">
        <f aca="false">G4660*H4660</f>
        <v>-0</v>
      </c>
      <c r="T4660" s="0" t="n">
        <f aca="false">E4660*E4660</f>
        <v>0.25</v>
      </c>
      <c r="U4660" s="0" t="n">
        <f aca="false">F4660*F4660</f>
        <v>0.0625</v>
      </c>
      <c r="V4660" s="0" t="n">
        <f aca="false">G4660*G4660</f>
        <v>0</v>
      </c>
      <c r="W4660" s="0" t="n">
        <f aca="false">H4660*H4660</f>
        <v>0.25</v>
      </c>
      <c r="X4660" s="0" t="n">
        <f aca="false">SUMPRODUCT(I4660:W4660,_XtX!$B$96:$P$96)</f>
        <v>47.0832145467836</v>
      </c>
      <c r="Y4660" s="0" t="n">
        <f aca="false">SUMPRODUCT(MMULT(I4660:W4660,_XtX!$B$78:$P$92),I4660:W4660)</f>
        <v>0.132367050438597</v>
      </c>
      <c r="Z4660" s="0" t="n">
        <f aca="false">04_回帰ANOVA!$K$19*04_回帰ANOVA!$K$14*SQRT(1+Y4660)</f>
        <v>1.38704964208329</v>
      </c>
      <c r="AA4660" s="0" t="n">
        <f aca="false">X4660-Z4660</f>
        <v>45.6961649047003</v>
      </c>
      <c r="AB4660" s="0" t="n">
        <f aca="false">X4660+Z4660</f>
        <v>48.4702641888669</v>
      </c>
      <c r="AC4660" s="54" t="b">
        <f aca="false">AND(E4660&gt;=01_因子設定!$L$5-0.000000001,E4660&lt;=01_因子設定!$M$5+0.000000001,F4660&gt;=01_因子設定!$L$6-0.000000001,F4660&lt;=01_因子設定!$M$6+0.000000001,G4660&gt;=01_因子設定!$L$7-0.000000001,G4660&lt;=01_因子設定!$M$7+0.000000001,H4660&gt;=01_因子設定!$L$8-0.000000001,H4660&lt;=01_因子設定!$M$8+0.000000001,IF(01_因子設定!$B$20="Box-Behnken",E4660^2+F4660^2+G4660^2+H4660^2&lt;=2+0.000000001,TRUE()))</f>
        <v>1</v>
      </c>
      <c r="AD4660" s="55" t="n">
        <f aca="false">IF(AC4660,IF(01_因子設定!$B$13="最大化",AA4660-01_因子設定!$B$14,IF(01_因子設定!$B$13="最小化",01_因子設定!$B$15-AB4660,MIN(AA4660-01_因子設定!$B$14,01_因子設定!$B$15-AB4660))),-1E+030)</f>
        <v>-0.803835095299696</v>
      </c>
      <c r="AE4660" s="55" t="n">
        <f aca="false">IF(AC4660,IF(01_因子設定!$B$13="最大化",X4660,IF(01_因子設定!$B$13="最小化",-X4660,-ABS(X4660-01_因子設定!$B$16))),-1E+030)</f>
        <v>47.0832145467836</v>
      </c>
      <c r="AF4660" s="55" t="n">
        <f aca="false">AD4660+ROW()*0.000000001</f>
        <v>-0.803830435299696</v>
      </c>
      <c r="AG4660" s="55" t="n">
        <f aca="false">AE4660+ROW()*0.000000001</f>
        <v>47.0832192067836</v>
      </c>
    </row>
    <row r="4661" customFormat="false" ht="15" hidden="false" customHeight="false" outlineLevel="0" collapsed="false">
      <c r="A4661" s="0" t="n">
        <v>6</v>
      </c>
      <c r="B4661" s="0" t="n">
        <v>3</v>
      </c>
      <c r="C4661" s="0" t="n">
        <v>4</v>
      </c>
      <c r="D4661" s="0" t="n">
        <v>3</v>
      </c>
      <c r="E4661" s="0" t="n">
        <f aca="false">-1+A4661*0.25</f>
        <v>0.5</v>
      </c>
      <c r="F4661" s="0" t="n">
        <f aca="false">-1+B4661*0.25</f>
        <v>-0.25</v>
      </c>
      <c r="G4661" s="0" t="n">
        <f aca="false">-1+C4661*0.25</f>
        <v>0</v>
      </c>
      <c r="H4661" s="0" t="n">
        <f aca="false">-1+D4661*0.25</f>
        <v>-0.25</v>
      </c>
      <c r="I4661" s="0" t="n">
        <f aca="false">1</f>
        <v>1</v>
      </c>
      <c r="J4661" s="0" t="n">
        <f aca="false">E4661</f>
        <v>0.5</v>
      </c>
      <c r="K4661" s="0" t="n">
        <f aca="false">F4661</f>
        <v>-0.25</v>
      </c>
      <c r="L4661" s="0" t="n">
        <f aca="false">G4661</f>
        <v>0</v>
      </c>
      <c r="M4661" s="0" t="n">
        <f aca="false">H4661</f>
        <v>-0.25</v>
      </c>
      <c r="N4661" s="0" t="n">
        <f aca="false">E4661*F4661</f>
        <v>-0.125</v>
      </c>
      <c r="O4661" s="0" t="n">
        <f aca="false">E4661*G4661</f>
        <v>0</v>
      </c>
      <c r="P4661" s="0" t="n">
        <f aca="false">E4661*H4661</f>
        <v>-0.125</v>
      </c>
      <c r="Q4661" s="0" t="n">
        <f aca="false">F4661*G4661</f>
        <v>-0</v>
      </c>
      <c r="R4661" s="0" t="n">
        <f aca="false">F4661*H4661</f>
        <v>0.0625</v>
      </c>
      <c r="S4661" s="0" t="n">
        <f aca="false">G4661*H4661</f>
        <v>-0</v>
      </c>
      <c r="T4661" s="0" t="n">
        <f aca="false">E4661*E4661</f>
        <v>0.25</v>
      </c>
      <c r="U4661" s="0" t="n">
        <f aca="false">F4661*F4661</f>
        <v>0.0625</v>
      </c>
      <c r="V4661" s="0" t="n">
        <f aca="false">G4661*G4661</f>
        <v>0</v>
      </c>
      <c r="W4661" s="0" t="n">
        <f aca="false">H4661*H4661</f>
        <v>0.0625</v>
      </c>
      <c r="X4661" s="0" t="n">
        <f aca="false">SUMPRODUCT(I4661:W4661,_XtX!$B$96:$P$96)</f>
        <v>47.2852202119883</v>
      </c>
      <c r="Y4661" s="0" t="n">
        <f aca="false">SUMPRODUCT(MMULT(I4661:W4661,_XtX!$B$78:$P$92),I4661:W4661)</f>
        <v>0.118905050712719</v>
      </c>
      <c r="Z4661" s="0" t="n">
        <f aca="false">04_回帰ANOVA!$K$19*04_回帰ANOVA!$K$14*SQRT(1+Y4661)</f>
        <v>1.37878011033769</v>
      </c>
      <c r="AA4661" s="0" t="n">
        <f aca="false">X4661-Z4661</f>
        <v>45.9064401016506</v>
      </c>
      <c r="AB4661" s="0" t="n">
        <f aca="false">X4661+Z4661</f>
        <v>48.664000322326</v>
      </c>
      <c r="AC4661" s="54" t="b">
        <f aca="false">AND(E4661&gt;=01_因子設定!$L$5-0.000000001,E4661&lt;=01_因子設定!$M$5+0.000000001,F4661&gt;=01_因子設定!$L$6-0.000000001,F4661&lt;=01_因子設定!$M$6+0.000000001,G4661&gt;=01_因子設定!$L$7-0.000000001,G4661&lt;=01_因子設定!$M$7+0.000000001,H4661&gt;=01_因子設定!$L$8-0.000000001,H4661&lt;=01_因子設定!$M$8+0.000000001,IF(01_因子設定!$B$20="Box-Behnken",E4661^2+F4661^2+G4661^2+H4661^2&lt;=2+0.000000001,TRUE()))</f>
        <v>1</v>
      </c>
      <c r="AD4661" s="55" t="n">
        <f aca="false">IF(AC4661,IF(01_因子設定!$B$13="最大化",AA4661-01_因子設定!$B$14,IF(01_因子設定!$B$13="最小化",01_因子設定!$B$15-AB4661,MIN(AA4661-01_因子設定!$B$14,01_因子設定!$B$15-AB4661))),-1E+030)</f>
        <v>-0.593559898349426</v>
      </c>
      <c r="AE4661" s="55" t="n">
        <f aca="false">IF(AC4661,IF(01_因子設定!$B$13="最大化",X4661,IF(01_因子設定!$B$13="最小化",-X4661,-ABS(X4661-01_因子設定!$B$16))),-1E+030)</f>
        <v>47.2852202119883</v>
      </c>
      <c r="AF4661" s="55" t="n">
        <f aca="false">AD4661+ROW()*0.000000001</f>
        <v>-0.593555237349426</v>
      </c>
      <c r="AG4661" s="55" t="n">
        <f aca="false">AE4661+ROW()*0.000000001</f>
        <v>47.2852248729883</v>
      </c>
    </row>
    <row r="4662" customFormat="false" ht="15" hidden="false" customHeight="false" outlineLevel="0" collapsed="false">
      <c r="A4662" s="0" t="n">
        <v>6</v>
      </c>
      <c r="B4662" s="0" t="n">
        <v>3</v>
      </c>
      <c r="C4662" s="0" t="n">
        <v>4</v>
      </c>
      <c r="D4662" s="0" t="n">
        <v>4</v>
      </c>
      <c r="E4662" s="0" t="n">
        <f aca="false">-1+A4662*0.25</f>
        <v>0.5</v>
      </c>
      <c r="F4662" s="0" t="n">
        <f aca="false">-1+B4662*0.25</f>
        <v>-0.25</v>
      </c>
      <c r="G4662" s="0" t="n">
        <f aca="false">-1+C4662*0.25</f>
        <v>0</v>
      </c>
      <c r="H4662" s="0" t="n">
        <f aca="false">-1+D4662*0.25</f>
        <v>0</v>
      </c>
      <c r="I4662" s="0" t="n">
        <f aca="false">1</f>
        <v>1</v>
      </c>
      <c r="J4662" s="0" t="n">
        <f aca="false">E4662</f>
        <v>0.5</v>
      </c>
      <c r="K4662" s="0" t="n">
        <f aca="false">F4662</f>
        <v>-0.25</v>
      </c>
      <c r="L4662" s="0" t="n">
        <f aca="false">G4662</f>
        <v>0</v>
      </c>
      <c r="M4662" s="0" t="n">
        <f aca="false">H4662</f>
        <v>0</v>
      </c>
      <c r="N4662" s="0" t="n">
        <f aca="false">E4662*F4662</f>
        <v>-0.125</v>
      </c>
      <c r="O4662" s="0" t="n">
        <f aca="false">E4662*G4662</f>
        <v>0</v>
      </c>
      <c r="P4662" s="0" t="n">
        <f aca="false">E4662*H4662</f>
        <v>0</v>
      </c>
      <c r="Q4662" s="0" t="n">
        <f aca="false">F4662*G4662</f>
        <v>-0</v>
      </c>
      <c r="R4662" s="0" t="n">
        <f aca="false">F4662*H4662</f>
        <v>-0</v>
      </c>
      <c r="S4662" s="0" t="n">
        <f aca="false">G4662*H4662</f>
        <v>0</v>
      </c>
      <c r="T4662" s="0" t="n">
        <f aca="false">E4662*E4662</f>
        <v>0.25</v>
      </c>
      <c r="U4662" s="0" t="n">
        <f aca="false">F4662*F4662</f>
        <v>0.0625</v>
      </c>
      <c r="V4662" s="0" t="n">
        <f aca="false">G4662*G4662</f>
        <v>0</v>
      </c>
      <c r="W4662" s="0" t="n">
        <f aca="false">H4662*H4662</f>
        <v>0</v>
      </c>
      <c r="X4662" s="0" t="n">
        <f aca="false">SUMPRODUCT(I4662:W4662,_XtX!$B$96:$P$96)</f>
        <v>47.4394188596491</v>
      </c>
      <c r="Y4662" s="0" t="n">
        <f aca="false">SUMPRODUCT(MMULT(I4662:W4662,_XtX!$B$78:$P$92),I4662:W4662)</f>
        <v>0.120448419225146</v>
      </c>
      <c r="Z4662" s="0" t="n">
        <f aca="false">04_回帰ANOVA!$K$19*04_回帰ANOVA!$K$14*SQRT(1+Y4662)</f>
        <v>1.37973069703246</v>
      </c>
      <c r="AA4662" s="0" t="n">
        <f aca="false">X4662-Z4662</f>
        <v>46.0596881626166</v>
      </c>
      <c r="AB4662" s="0" t="n">
        <f aca="false">X4662+Z4662</f>
        <v>48.8191495566815</v>
      </c>
      <c r="AC4662" s="54" t="b">
        <f aca="false">AND(E4662&gt;=01_因子設定!$L$5-0.000000001,E4662&lt;=01_因子設定!$M$5+0.000000001,F4662&gt;=01_因子設定!$L$6-0.000000001,F4662&lt;=01_因子設定!$M$6+0.000000001,G4662&gt;=01_因子設定!$L$7-0.000000001,G4662&lt;=01_因子設定!$M$7+0.000000001,H4662&gt;=01_因子設定!$L$8-0.000000001,H4662&lt;=01_因子設定!$M$8+0.000000001,IF(01_因子設定!$B$20="Box-Behnken",E4662^2+F4662^2+G4662^2+H4662^2&lt;=2+0.000000001,TRUE()))</f>
        <v>1</v>
      </c>
      <c r="AD4662" s="55" t="n">
        <f aca="false">IF(AC4662,IF(01_因子設定!$B$13="最大化",AA4662-01_因子設定!$B$14,IF(01_因子設定!$B$13="最小化",01_因子設定!$B$15-AB4662,MIN(AA4662-01_因子設定!$B$14,01_因子設定!$B$15-AB4662))),-1E+030)</f>
        <v>-0.440311837383383</v>
      </c>
      <c r="AE4662" s="55" t="n">
        <f aca="false">IF(AC4662,IF(01_因子設定!$B$13="最大化",X4662,IF(01_因子設定!$B$13="最小化",-X4662,-ABS(X4662-01_因子設定!$B$16))),-1E+030)</f>
        <v>47.4394188596491</v>
      </c>
      <c r="AF4662" s="55" t="n">
        <f aca="false">AD4662+ROW()*0.000000001</f>
        <v>-0.440307175383383</v>
      </c>
      <c r="AG4662" s="55" t="n">
        <f aca="false">AE4662+ROW()*0.000000001</f>
        <v>47.4394235216491</v>
      </c>
    </row>
    <row r="4663" customFormat="false" ht="15" hidden="false" customHeight="false" outlineLevel="0" collapsed="false">
      <c r="A4663" s="0" t="n">
        <v>6</v>
      </c>
      <c r="B4663" s="0" t="n">
        <v>3</v>
      </c>
      <c r="C4663" s="0" t="n">
        <v>4</v>
      </c>
      <c r="D4663" s="0" t="n">
        <v>5</v>
      </c>
      <c r="E4663" s="0" t="n">
        <f aca="false">-1+A4663*0.25</f>
        <v>0.5</v>
      </c>
      <c r="F4663" s="0" t="n">
        <f aca="false">-1+B4663*0.25</f>
        <v>-0.25</v>
      </c>
      <c r="G4663" s="0" t="n">
        <f aca="false">-1+C4663*0.25</f>
        <v>0</v>
      </c>
      <c r="H4663" s="0" t="n">
        <f aca="false">-1+D4663*0.25</f>
        <v>0.25</v>
      </c>
      <c r="I4663" s="0" t="n">
        <f aca="false">1</f>
        <v>1</v>
      </c>
      <c r="J4663" s="0" t="n">
        <f aca="false">E4663</f>
        <v>0.5</v>
      </c>
      <c r="K4663" s="0" t="n">
        <f aca="false">F4663</f>
        <v>-0.25</v>
      </c>
      <c r="L4663" s="0" t="n">
        <f aca="false">G4663</f>
        <v>0</v>
      </c>
      <c r="M4663" s="0" t="n">
        <f aca="false">H4663</f>
        <v>0.25</v>
      </c>
      <c r="N4663" s="0" t="n">
        <f aca="false">E4663*F4663</f>
        <v>-0.125</v>
      </c>
      <c r="O4663" s="0" t="n">
        <f aca="false">E4663*G4663</f>
        <v>0</v>
      </c>
      <c r="P4663" s="0" t="n">
        <f aca="false">E4663*H4663</f>
        <v>0.125</v>
      </c>
      <c r="Q4663" s="0" t="n">
        <f aca="false">F4663*G4663</f>
        <v>-0</v>
      </c>
      <c r="R4663" s="0" t="n">
        <f aca="false">F4663*H4663</f>
        <v>-0.0625</v>
      </c>
      <c r="S4663" s="0" t="n">
        <f aca="false">G4663*H4663</f>
        <v>0</v>
      </c>
      <c r="T4663" s="0" t="n">
        <f aca="false">E4663*E4663</f>
        <v>0.25</v>
      </c>
      <c r="U4663" s="0" t="n">
        <f aca="false">F4663*F4663</f>
        <v>0.0625</v>
      </c>
      <c r="V4663" s="0" t="n">
        <f aca="false">G4663*G4663</f>
        <v>0</v>
      </c>
      <c r="W4663" s="0" t="n">
        <f aca="false">H4663*H4663</f>
        <v>0.0625</v>
      </c>
      <c r="X4663" s="0" t="n">
        <f aca="false">SUMPRODUCT(I4663:W4663,_XtX!$B$96:$P$96)</f>
        <v>47.545810489766</v>
      </c>
      <c r="Y4663" s="0" t="n">
        <f aca="false">SUMPRODUCT(MMULT(I4663:W4663,_XtX!$B$78:$P$92),I4663:W4663)</f>
        <v>0.118905050712719</v>
      </c>
      <c r="Z4663" s="0" t="n">
        <f aca="false">04_回帰ANOVA!$K$19*04_回帰ANOVA!$K$14*SQRT(1+Y4663)</f>
        <v>1.37878011033769</v>
      </c>
      <c r="AA4663" s="0" t="n">
        <f aca="false">X4663-Z4663</f>
        <v>46.1670303794284</v>
      </c>
      <c r="AB4663" s="0" t="n">
        <f aca="false">X4663+Z4663</f>
        <v>48.9245906001037</v>
      </c>
      <c r="AC4663" s="54" t="b">
        <f aca="false">AND(E4663&gt;=01_因子設定!$L$5-0.000000001,E4663&lt;=01_因子設定!$M$5+0.000000001,F4663&gt;=01_因子設定!$L$6-0.000000001,F4663&lt;=01_因子設定!$M$6+0.000000001,G4663&gt;=01_因子設定!$L$7-0.000000001,G4663&lt;=01_因子設定!$M$7+0.000000001,H4663&gt;=01_因子設定!$L$8-0.000000001,H4663&lt;=01_因子設定!$M$8+0.000000001,IF(01_因子設定!$B$20="Box-Behnken",E4663^2+F4663^2+G4663^2+H4663^2&lt;=2+0.000000001,TRUE()))</f>
        <v>1</v>
      </c>
      <c r="AD4663" s="55" t="n">
        <f aca="false">IF(AC4663,IF(01_因子設定!$B$13="最大化",AA4663-01_因子設定!$B$14,IF(01_因子設定!$B$13="最小化",01_因子設定!$B$15-AB4663,MIN(AA4663-01_因子設定!$B$14,01_因子設定!$B$15-AB4663))),-1E+030)</f>
        <v>-0.332969620571646</v>
      </c>
      <c r="AE4663" s="55" t="n">
        <f aca="false">IF(AC4663,IF(01_因子設定!$B$13="最大化",X4663,IF(01_因子設定!$B$13="最小化",-X4663,-ABS(X4663-01_因子設定!$B$16))),-1E+030)</f>
        <v>47.545810489766</v>
      </c>
      <c r="AF4663" s="55" t="n">
        <f aca="false">AD4663+ROW()*0.000000001</f>
        <v>-0.332964957571646</v>
      </c>
      <c r="AG4663" s="55" t="n">
        <f aca="false">AE4663+ROW()*0.000000001</f>
        <v>47.545815152766</v>
      </c>
    </row>
    <row r="4664" customFormat="false" ht="15" hidden="false" customHeight="false" outlineLevel="0" collapsed="false">
      <c r="A4664" s="0" t="n">
        <v>6</v>
      </c>
      <c r="B4664" s="0" t="n">
        <v>3</v>
      </c>
      <c r="C4664" s="0" t="n">
        <v>4</v>
      </c>
      <c r="D4664" s="0" t="n">
        <v>6</v>
      </c>
      <c r="E4664" s="0" t="n">
        <f aca="false">-1+A4664*0.25</f>
        <v>0.5</v>
      </c>
      <c r="F4664" s="0" t="n">
        <f aca="false">-1+B4664*0.25</f>
        <v>-0.25</v>
      </c>
      <c r="G4664" s="0" t="n">
        <f aca="false">-1+C4664*0.25</f>
        <v>0</v>
      </c>
      <c r="H4664" s="0" t="n">
        <f aca="false">-1+D4664*0.25</f>
        <v>0.5</v>
      </c>
      <c r="I4664" s="0" t="n">
        <f aca="false">1</f>
        <v>1</v>
      </c>
      <c r="J4664" s="0" t="n">
        <f aca="false">E4664</f>
        <v>0.5</v>
      </c>
      <c r="K4664" s="0" t="n">
        <f aca="false">F4664</f>
        <v>-0.25</v>
      </c>
      <c r="L4664" s="0" t="n">
        <f aca="false">G4664</f>
        <v>0</v>
      </c>
      <c r="M4664" s="0" t="n">
        <f aca="false">H4664</f>
        <v>0.5</v>
      </c>
      <c r="N4664" s="0" t="n">
        <f aca="false">E4664*F4664</f>
        <v>-0.125</v>
      </c>
      <c r="O4664" s="0" t="n">
        <f aca="false">E4664*G4664</f>
        <v>0</v>
      </c>
      <c r="P4664" s="0" t="n">
        <f aca="false">E4664*H4664</f>
        <v>0.25</v>
      </c>
      <c r="Q4664" s="0" t="n">
        <f aca="false">F4664*G4664</f>
        <v>-0</v>
      </c>
      <c r="R4664" s="0" t="n">
        <f aca="false">F4664*H4664</f>
        <v>-0.125</v>
      </c>
      <c r="S4664" s="0" t="n">
        <f aca="false">G4664*H4664</f>
        <v>0</v>
      </c>
      <c r="T4664" s="0" t="n">
        <f aca="false">E4664*E4664</f>
        <v>0.25</v>
      </c>
      <c r="U4664" s="0" t="n">
        <f aca="false">F4664*F4664</f>
        <v>0.0625</v>
      </c>
      <c r="V4664" s="0" t="n">
        <f aca="false">G4664*G4664</f>
        <v>0</v>
      </c>
      <c r="W4664" s="0" t="n">
        <f aca="false">H4664*H4664</f>
        <v>0.25</v>
      </c>
      <c r="X4664" s="0" t="n">
        <f aca="false">SUMPRODUCT(I4664:W4664,_XtX!$B$96:$P$96)</f>
        <v>47.6043951023392</v>
      </c>
      <c r="Y4664" s="0" t="n">
        <f aca="false">SUMPRODUCT(MMULT(I4664:W4664,_XtX!$B$78:$P$92),I4664:W4664)</f>
        <v>0.132367050438597</v>
      </c>
      <c r="Z4664" s="0" t="n">
        <f aca="false">04_回帰ANOVA!$K$19*04_回帰ANOVA!$K$14*SQRT(1+Y4664)</f>
        <v>1.38704964208329</v>
      </c>
      <c r="AA4664" s="0" t="n">
        <f aca="false">X4664-Z4664</f>
        <v>46.2173454602559</v>
      </c>
      <c r="AB4664" s="0" t="n">
        <f aca="false">X4664+Z4664</f>
        <v>48.9914447444224</v>
      </c>
      <c r="AC4664" s="54" t="b">
        <f aca="false">AND(E4664&gt;=01_因子設定!$L$5-0.000000001,E4664&lt;=01_因子設定!$M$5+0.000000001,F4664&gt;=01_因子設定!$L$6-0.000000001,F4664&lt;=01_因子設定!$M$6+0.000000001,G4664&gt;=01_因子設定!$L$7-0.000000001,G4664&lt;=01_因子設定!$M$7+0.000000001,H4664&gt;=01_因子設定!$L$8-0.000000001,H4664&lt;=01_因子設定!$M$8+0.000000001,IF(01_因子設定!$B$20="Box-Behnken",E4664^2+F4664^2+G4664^2+H4664^2&lt;=2+0.000000001,TRUE()))</f>
        <v>1</v>
      </c>
      <c r="AD4664" s="55" t="n">
        <f aca="false">IF(AC4664,IF(01_因子設定!$B$13="最大化",AA4664-01_因子設定!$B$14,IF(01_因子設定!$B$13="最小化",01_因子設定!$B$15-AB4664,MIN(AA4664-01_因子設定!$B$14,01_因子設定!$B$15-AB4664))),-1E+030)</f>
        <v>-0.282654539744144</v>
      </c>
      <c r="AE4664" s="55" t="n">
        <f aca="false">IF(AC4664,IF(01_因子設定!$B$13="最大化",X4664,IF(01_因子設定!$B$13="最小化",-X4664,-ABS(X4664-01_因子設定!$B$16))),-1E+030)</f>
        <v>47.6043951023392</v>
      </c>
      <c r="AF4664" s="55" t="n">
        <f aca="false">AD4664+ROW()*0.000000001</f>
        <v>-0.282649875744144</v>
      </c>
      <c r="AG4664" s="55" t="n">
        <f aca="false">AE4664+ROW()*0.000000001</f>
        <v>47.6043997663392</v>
      </c>
    </row>
    <row r="4665" customFormat="false" ht="15" hidden="false" customHeight="false" outlineLevel="0" collapsed="false">
      <c r="A4665" s="0" t="n">
        <v>6</v>
      </c>
      <c r="B4665" s="0" t="n">
        <v>3</v>
      </c>
      <c r="C4665" s="0" t="n">
        <v>4</v>
      </c>
      <c r="D4665" s="0" t="n">
        <v>7</v>
      </c>
      <c r="E4665" s="0" t="n">
        <f aca="false">-1+A4665*0.25</f>
        <v>0.5</v>
      </c>
      <c r="F4665" s="0" t="n">
        <f aca="false">-1+B4665*0.25</f>
        <v>-0.25</v>
      </c>
      <c r="G4665" s="0" t="n">
        <f aca="false">-1+C4665*0.25</f>
        <v>0</v>
      </c>
      <c r="H4665" s="0" t="n">
        <f aca="false">-1+D4665*0.25</f>
        <v>0.75</v>
      </c>
      <c r="I4665" s="0" t="n">
        <f aca="false">1</f>
        <v>1</v>
      </c>
      <c r="J4665" s="0" t="n">
        <f aca="false">E4665</f>
        <v>0.5</v>
      </c>
      <c r="K4665" s="0" t="n">
        <f aca="false">F4665</f>
        <v>-0.25</v>
      </c>
      <c r="L4665" s="0" t="n">
        <f aca="false">G4665</f>
        <v>0</v>
      </c>
      <c r="M4665" s="0" t="n">
        <f aca="false">H4665</f>
        <v>0.75</v>
      </c>
      <c r="N4665" s="0" t="n">
        <f aca="false">E4665*F4665</f>
        <v>-0.125</v>
      </c>
      <c r="O4665" s="0" t="n">
        <f aca="false">E4665*G4665</f>
        <v>0</v>
      </c>
      <c r="P4665" s="0" t="n">
        <f aca="false">E4665*H4665</f>
        <v>0.375</v>
      </c>
      <c r="Q4665" s="0" t="n">
        <f aca="false">F4665*G4665</f>
        <v>-0</v>
      </c>
      <c r="R4665" s="0" t="n">
        <f aca="false">F4665*H4665</f>
        <v>-0.1875</v>
      </c>
      <c r="S4665" s="0" t="n">
        <f aca="false">G4665*H4665</f>
        <v>0</v>
      </c>
      <c r="T4665" s="0" t="n">
        <f aca="false">E4665*E4665</f>
        <v>0.25</v>
      </c>
      <c r="U4665" s="0" t="n">
        <f aca="false">F4665*F4665</f>
        <v>0.0625</v>
      </c>
      <c r="V4665" s="0" t="n">
        <f aca="false">G4665*G4665</f>
        <v>0</v>
      </c>
      <c r="W4665" s="0" t="n">
        <f aca="false">H4665*H4665</f>
        <v>0.5625</v>
      </c>
      <c r="X4665" s="0" t="n">
        <f aca="false">SUMPRODUCT(I4665:W4665,_XtX!$B$96:$P$96)</f>
        <v>47.6151726973684</v>
      </c>
      <c r="Y4665" s="0" t="n">
        <f aca="false">SUMPRODUCT(MMULT(I4665:W4665,_XtX!$B$78:$P$92),I4665:W4665)</f>
        <v>0.215110734192252</v>
      </c>
      <c r="Z4665" s="0" t="n">
        <f aca="false">04_回帰ANOVA!$K$19*04_回帰ANOVA!$K$14*SQRT(1+Y4665)</f>
        <v>1.43683309086864</v>
      </c>
      <c r="AA4665" s="0" t="n">
        <f aca="false">X4665-Z4665</f>
        <v>46.1783396064998</v>
      </c>
      <c r="AB4665" s="0" t="n">
        <f aca="false">X4665+Z4665</f>
        <v>49.0520057882371</v>
      </c>
      <c r="AC4665" s="54" t="b">
        <f aca="false">AND(E4665&gt;=01_因子設定!$L$5-0.000000001,E4665&lt;=01_因子設定!$M$5+0.000000001,F4665&gt;=01_因子設定!$L$6-0.000000001,F4665&lt;=01_因子設定!$M$6+0.000000001,G4665&gt;=01_因子設定!$L$7-0.000000001,G4665&lt;=01_因子設定!$M$7+0.000000001,H4665&gt;=01_因子設定!$L$8-0.000000001,H4665&lt;=01_因子設定!$M$8+0.000000001,IF(01_因子設定!$B$20="Box-Behnken",E4665^2+F4665^2+G4665^2+H4665^2&lt;=2+0.000000001,TRUE()))</f>
        <v>1</v>
      </c>
      <c r="AD4665" s="55" t="n">
        <f aca="false">IF(AC4665,IF(01_因子設定!$B$13="最大化",AA4665-01_因子設定!$B$14,IF(01_因子設定!$B$13="最小化",01_因子設定!$B$15-AB4665,MIN(AA4665-01_因子設定!$B$14,01_因子設定!$B$15-AB4665))),-1E+030)</f>
        <v>-0.321660393500245</v>
      </c>
      <c r="AE4665" s="55" t="n">
        <f aca="false">IF(AC4665,IF(01_因子設定!$B$13="最大化",X4665,IF(01_因子設定!$B$13="最小化",-X4665,-ABS(X4665-01_因子設定!$B$16))),-1E+030)</f>
        <v>47.6151726973684</v>
      </c>
      <c r="AF4665" s="55" t="n">
        <f aca="false">AD4665+ROW()*0.000000001</f>
        <v>-0.321655728500245</v>
      </c>
      <c r="AG4665" s="55" t="n">
        <f aca="false">AE4665+ROW()*0.000000001</f>
        <v>47.6151773623684</v>
      </c>
    </row>
    <row r="4666" customFormat="false" ht="15" hidden="false" customHeight="false" outlineLevel="0" collapsed="false">
      <c r="A4666" s="0" t="n">
        <v>6</v>
      </c>
      <c r="B4666" s="0" t="n">
        <v>3</v>
      </c>
      <c r="C4666" s="0" t="n">
        <v>4</v>
      </c>
      <c r="D4666" s="0" t="n">
        <v>8</v>
      </c>
      <c r="E4666" s="0" t="n">
        <f aca="false">-1+A4666*0.25</f>
        <v>0.5</v>
      </c>
      <c r="F4666" s="0" t="n">
        <f aca="false">-1+B4666*0.25</f>
        <v>-0.25</v>
      </c>
      <c r="G4666" s="0" t="n">
        <f aca="false">-1+C4666*0.25</f>
        <v>0</v>
      </c>
      <c r="H4666" s="0" t="n">
        <f aca="false">-1+D4666*0.25</f>
        <v>1</v>
      </c>
      <c r="I4666" s="0" t="n">
        <f aca="false">1</f>
        <v>1</v>
      </c>
      <c r="J4666" s="0" t="n">
        <f aca="false">E4666</f>
        <v>0.5</v>
      </c>
      <c r="K4666" s="0" t="n">
        <f aca="false">F4666</f>
        <v>-0.25</v>
      </c>
      <c r="L4666" s="0" t="n">
        <f aca="false">G4666</f>
        <v>0</v>
      </c>
      <c r="M4666" s="0" t="n">
        <f aca="false">H4666</f>
        <v>1</v>
      </c>
      <c r="N4666" s="0" t="n">
        <f aca="false">E4666*F4666</f>
        <v>-0.125</v>
      </c>
      <c r="O4666" s="0" t="n">
        <f aca="false">E4666*G4666</f>
        <v>0</v>
      </c>
      <c r="P4666" s="0" t="n">
        <f aca="false">E4666*H4666</f>
        <v>0.5</v>
      </c>
      <c r="Q4666" s="0" t="n">
        <f aca="false">F4666*G4666</f>
        <v>-0</v>
      </c>
      <c r="R4666" s="0" t="n">
        <f aca="false">F4666*H4666</f>
        <v>-0.25</v>
      </c>
      <c r="S4666" s="0" t="n">
        <f aca="false">G4666*H4666</f>
        <v>0</v>
      </c>
      <c r="T4666" s="0" t="n">
        <f aca="false">E4666*E4666</f>
        <v>0.25</v>
      </c>
      <c r="U4666" s="0" t="n">
        <f aca="false">F4666*F4666</f>
        <v>0.0625</v>
      </c>
      <c r="V4666" s="0" t="n">
        <f aca="false">G4666*G4666</f>
        <v>0</v>
      </c>
      <c r="W4666" s="0" t="n">
        <f aca="false">H4666*H4666</f>
        <v>1</v>
      </c>
      <c r="X4666" s="0" t="n">
        <f aca="false">SUMPRODUCT(I4666:W4666,_XtX!$B$96:$P$96)</f>
        <v>47.5781432748538</v>
      </c>
      <c r="Y4666" s="0" t="n">
        <f aca="false">SUMPRODUCT(MMULT(I4666:W4666,_XtX!$B$78:$P$92),I4666:W4666)</f>
        <v>0.457596628289474</v>
      </c>
      <c r="Z4666" s="0" t="n">
        <f aca="false">04_回帰ANOVA!$K$19*04_回帰ANOVA!$K$14*SQRT(1+Y4666)</f>
        <v>1.57368233664366</v>
      </c>
      <c r="AA4666" s="0" t="n">
        <f aca="false">X4666-Z4666</f>
        <v>46.0044609382101</v>
      </c>
      <c r="AB4666" s="0" t="n">
        <f aca="false">X4666+Z4666</f>
        <v>49.1518256114975</v>
      </c>
      <c r="AC4666" s="54" t="b">
        <f aca="false">AND(E4666&gt;=01_因子設定!$L$5-0.000000001,E4666&lt;=01_因子設定!$M$5+0.000000001,F4666&gt;=01_因子設定!$L$6-0.000000001,F4666&lt;=01_因子設定!$M$6+0.000000001,G4666&gt;=01_因子設定!$L$7-0.000000001,G4666&lt;=01_因子設定!$M$7+0.000000001,H4666&gt;=01_因子設定!$L$8-0.000000001,H4666&lt;=01_因子設定!$M$8+0.000000001,IF(01_因子設定!$B$20="Box-Behnken",E4666^2+F4666^2+G4666^2+H4666^2&lt;=2+0.000000001,TRUE()))</f>
        <v>1</v>
      </c>
      <c r="AD4666" s="55" t="n">
        <f aca="false">IF(AC4666,IF(01_因子設定!$B$13="最大化",AA4666-01_因子設定!$B$14,IF(01_因子設定!$B$13="最小化",01_因子設定!$B$15-AB4666,MIN(AA4666-01_因子設定!$B$14,01_因子設定!$B$15-AB4666))),-1E+030)</f>
        <v>-0.495539061789863</v>
      </c>
      <c r="AE4666" s="55" t="n">
        <f aca="false">IF(AC4666,IF(01_因子設定!$B$13="最大化",X4666,IF(01_因子設定!$B$13="最小化",-X4666,-ABS(X4666-01_因子設定!$B$16))),-1E+030)</f>
        <v>47.5781432748538</v>
      </c>
      <c r="AF4666" s="55" t="n">
        <f aca="false">AD4666+ROW()*0.000000001</f>
        <v>-0.495534395789863</v>
      </c>
      <c r="AG4666" s="55" t="n">
        <f aca="false">AE4666+ROW()*0.000000001</f>
        <v>47.5781479408538</v>
      </c>
    </row>
    <row r="4667" customFormat="false" ht="15" hidden="false" customHeight="false" outlineLevel="0" collapsed="false">
      <c r="A4667" s="0" t="n">
        <v>6</v>
      </c>
      <c r="B4667" s="0" t="n">
        <v>3</v>
      </c>
      <c r="C4667" s="0" t="n">
        <v>5</v>
      </c>
      <c r="D4667" s="0" t="n">
        <v>0</v>
      </c>
      <c r="E4667" s="0" t="n">
        <f aca="false">-1+A4667*0.25</f>
        <v>0.5</v>
      </c>
      <c r="F4667" s="0" t="n">
        <f aca="false">-1+B4667*0.25</f>
        <v>-0.25</v>
      </c>
      <c r="G4667" s="0" t="n">
        <f aca="false">-1+C4667*0.25</f>
        <v>0.25</v>
      </c>
      <c r="H4667" s="0" t="n">
        <f aca="false">-1+D4667*0.25</f>
        <v>-1</v>
      </c>
      <c r="I4667" s="0" t="n">
        <f aca="false">1</f>
        <v>1</v>
      </c>
      <c r="J4667" s="0" t="n">
        <f aca="false">E4667</f>
        <v>0.5</v>
      </c>
      <c r="K4667" s="0" t="n">
        <f aca="false">F4667</f>
        <v>-0.25</v>
      </c>
      <c r="L4667" s="0" t="n">
        <f aca="false">G4667</f>
        <v>0.25</v>
      </c>
      <c r="M4667" s="0" t="n">
        <f aca="false">H4667</f>
        <v>-1</v>
      </c>
      <c r="N4667" s="0" t="n">
        <f aca="false">E4667*F4667</f>
        <v>-0.125</v>
      </c>
      <c r="O4667" s="0" t="n">
        <f aca="false">E4667*G4667</f>
        <v>0.125</v>
      </c>
      <c r="P4667" s="0" t="n">
        <f aca="false">E4667*H4667</f>
        <v>-0.5</v>
      </c>
      <c r="Q4667" s="0" t="n">
        <f aca="false">F4667*G4667</f>
        <v>-0.0625</v>
      </c>
      <c r="R4667" s="0" t="n">
        <f aca="false">F4667*H4667</f>
        <v>0.25</v>
      </c>
      <c r="S4667" s="0" t="n">
        <f aca="false">G4667*H4667</f>
        <v>-0.25</v>
      </c>
      <c r="T4667" s="0" t="n">
        <f aca="false">E4667*E4667</f>
        <v>0.25</v>
      </c>
      <c r="U4667" s="0" t="n">
        <f aca="false">F4667*F4667</f>
        <v>0.0625</v>
      </c>
      <c r="V4667" s="0" t="n">
        <f aca="false">G4667*G4667</f>
        <v>0.0625</v>
      </c>
      <c r="W4667" s="0" t="n">
        <f aca="false">H4667*H4667</f>
        <v>1</v>
      </c>
      <c r="X4667" s="0" t="n">
        <f aca="false">SUMPRODUCT(I4667:W4667,_XtX!$B$96:$P$96)</f>
        <v>46.5663057383041</v>
      </c>
      <c r="Y4667" s="0" t="n">
        <f aca="false">SUMPRODUCT(MMULT(I4667:W4667,_XtX!$B$78:$P$92),I4667:W4667)</f>
        <v>0.445705123812135</v>
      </c>
      <c r="Z4667" s="0" t="n">
        <f aca="false">04_回帰ANOVA!$K$19*04_回帰ANOVA!$K$14*SQRT(1+Y4667)</f>
        <v>1.56724990734749</v>
      </c>
      <c r="AA4667" s="0" t="n">
        <f aca="false">X4667-Z4667</f>
        <v>44.9990558309566</v>
      </c>
      <c r="AB4667" s="0" t="n">
        <f aca="false">X4667+Z4667</f>
        <v>48.1335556456516</v>
      </c>
      <c r="AC4667" s="54" t="b">
        <f aca="false">AND(E4667&gt;=01_因子設定!$L$5-0.000000001,E4667&lt;=01_因子設定!$M$5+0.000000001,F4667&gt;=01_因子設定!$L$6-0.000000001,F4667&lt;=01_因子設定!$M$6+0.000000001,G4667&gt;=01_因子設定!$L$7-0.000000001,G4667&lt;=01_因子設定!$M$7+0.000000001,H4667&gt;=01_因子設定!$L$8-0.000000001,H4667&lt;=01_因子設定!$M$8+0.000000001,IF(01_因子設定!$B$20="Box-Behnken",E4667^2+F4667^2+G4667^2+H4667^2&lt;=2+0.000000001,TRUE()))</f>
        <v>1</v>
      </c>
      <c r="AD4667" s="55" t="n">
        <f aca="false">IF(AC4667,IF(01_因子設定!$B$13="最大化",AA4667-01_因子設定!$B$14,IF(01_因子設定!$B$13="最小化",01_因子設定!$B$15-AB4667,MIN(AA4667-01_因子設定!$B$14,01_因子設定!$B$15-AB4667))),-1E+030)</f>
        <v>-1.5009441690434</v>
      </c>
      <c r="AE4667" s="55" t="n">
        <f aca="false">IF(AC4667,IF(01_因子設定!$B$13="最大化",X4667,IF(01_因子設定!$B$13="最小化",-X4667,-ABS(X4667-01_因子設定!$B$16))),-1E+030)</f>
        <v>46.5663057383041</v>
      </c>
      <c r="AF4667" s="55" t="n">
        <f aca="false">AD4667+ROW()*0.000000001</f>
        <v>-1.5009395020434</v>
      </c>
      <c r="AG4667" s="55" t="n">
        <f aca="false">AE4667+ROW()*0.000000001</f>
        <v>46.5663104053041</v>
      </c>
    </row>
    <row r="4668" customFormat="false" ht="15" hidden="false" customHeight="false" outlineLevel="0" collapsed="false">
      <c r="A4668" s="0" t="n">
        <v>6</v>
      </c>
      <c r="B4668" s="0" t="n">
        <v>3</v>
      </c>
      <c r="C4668" s="0" t="n">
        <v>5</v>
      </c>
      <c r="D4668" s="0" t="n">
        <v>1</v>
      </c>
      <c r="E4668" s="0" t="n">
        <f aca="false">-1+A4668*0.25</f>
        <v>0.5</v>
      </c>
      <c r="F4668" s="0" t="n">
        <f aca="false">-1+B4668*0.25</f>
        <v>-0.25</v>
      </c>
      <c r="G4668" s="0" t="n">
        <f aca="false">-1+C4668*0.25</f>
        <v>0.25</v>
      </c>
      <c r="H4668" s="0" t="n">
        <f aca="false">-1+D4668*0.25</f>
        <v>-0.75</v>
      </c>
      <c r="I4668" s="0" t="n">
        <f aca="false">1</f>
        <v>1</v>
      </c>
      <c r="J4668" s="0" t="n">
        <f aca="false">E4668</f>
        <v>0.5</v>
      </c>
      <c r="K4668" s="0" t="n">
        <f aca="false">F4668</f>
        <v>-0.25</v>
      </c>
      <c r="L4668" s="0" t="n">
        <f aca="false">G4668</f>
        <v>0.25</v>
      </c>
      <c r="M4668" s="0" t="n">
        <f aca="false">H4668</f>
        <v>-0.75</v>
      </c>
      <c r="N4668" s="0" t="n">
        <f aca="false">E4668*F4668</f>
        <v>-0.125</v>
      </c>
      <c r="O4668" s="0" t="n">
        <f aca="false">E4668*G4668</f>
        <v>0.125</v>
      </c>
      <c r="P4668" s="0" t="n">
        <f aca="false">E4668*H4668</f>
        <v>-0.375</v>
      </c>
      <c r="Q4668" s="0" t="n">
        <f aca="false">F4668*G4668</f>
        <v>-0.0625</v>
      </c>
      <c r="R4668" s="0" t="n">
        <f aca="false">F4668*H4668</f>
        <v>0.1875</v>
      </c>
      <c r="S4668" s="0" t="n">
        <f aca="false">G4668*H4668</f>
        <v>-0.1875</v>
      </c>
      <c r="T4668" s="0" t="n">
        <f aca="false">E4668*E4668</f>
        <v>0.25</v>
      </c>
      <c r="U4668" s="0" t="n">
        <f aca="false">F4668*F4668</f>
        <v>0.0625</v>
      </c>
      <c r="V4668" s="0" t="n">
        <f aca="false">G4668*G4668</f>
        <v>0.0625</v>
      </c>
      <c r="W4668" s="0" t="n">
        <f aca="false">H4668*H4668</f>
        <v>0.5625</v>
      </c>
      <c r="X4668" s="0" t="n">
        <f aca="false">SUMPRODUCT(I4668:W4668,_XtX!$B$96:$P$96)</f>
        <v>46.8818941885965</v>
      </c>
      <c r="Y4668" s="0" t="n">
        <f aca="false">SUMPRODUCT(MMULT(I4668:W4668,_XtX!$B$78:$P$92),I4668:W4668)</f>
        <v>0.207746539199561</v>
      </c>
      <c r="Z4668" s="0" t="n">
        <f aca="false">04_回帰ANOVA!$K$19*04_回帰ANOVA!$K$14*SQRT(1+Y4668)</f>
        <v>1.43247250081141</v>
      </c>
      <c r="AA4668" s="0" t="n">
        <f aca="false">X4668-Z4668</f>
        <v>45.4494216877851</v>
      </c>
      <c r="AB4668" s="0" t="n">
        <f aca="false">X4668+Z4668</f>
        <v>48.3143666894079</v>
      </c>
      <c r="AC4668" s="54" t="b">
        <f aca="false">AND(E4668&gt;=01_因子設定!$L$5-0.000000001,E4668&lt;=01_因子設定!$M$5+0.000000001,F4668&gt;=01_因子設定!$L$6-0.000000001,F4668&lt;=01_因子設定!$M$6+0.000000001,G4668&gt;=01_因子設定!$L$7-0.000000001,G4668&lt;=01_因子設定!$M$7+0.000000001,H4668&gt;=01_因子設定!$L$8-0.000000001,H4668&lt;=01_因子設定!$M$8+0.000000001,IF(01_因子設定!$B$20="Box-Behnken",E4668^2+F4668^2+G4668^2+H4668^2&lt;=2+0.000000001,TRUE()))</f>
        <v>1</v>
      </c>
      <c r="AD4668" s="55" t="n">
        <f aca="false">IF(AC4668,IF(01_因子設定!$B$13="最大化",AA4668-01_因子設定!$B$14,IF(01_因子設定!$B$13="最小化",01_因子設定!$B$15-AB4668,MIN(AA4668-01_因子設定!$B$14,01_因子設定!$B$15-AB4668))),-1E+030)</f>
        <v>-1.05057831221494</v>
      </c>
      <c r="AE4668" s="55" t="n">
        <f aca="false">IF(AC4668,IF(01_因子設定!$B$13="最大化",X4668,IF(01_因子設定!$B$13="最小化",-X4668,-ABS(X4668-01_因子設定!$B$16))),-1E+030)</f>
        <v>46.8818941885965</v>
      </c>
      <c r="AF4668" s="55" t="n">
        <f aca="false">AD4668+ROW()*0.000000001</f>
        <v>-1.05057364421494</v>
      </c>
      <c r="AG4668" s="55" t="n">
        <f aca="false">AE4668+ROW()*0.000000001</f>
        <v>46.8818988565965</v>
      </c>
    </row>
    <row r="4669" customFormat="false" ht="15" hidden="false" customHeight="false" outlineLevel="0" collapsed="false">
      <c r="A4669" s="0" t="n">
        <v>6</v>
      </c>
      <c r="B4669" s="0" t="n">
        <v>3</v>
      </c>
      <c r="C4669" s="0" t="n">
        <v>5</v>
      </c>
      <c r="D4669" s="0" t="n">
        <v>2</v>
      </c>
      <c r="E4669" s="0" t="n">
        <f aca="false">-1+A4669*0.25</f>
        <v>0.5</v>
      </c>
      <c r="F4669" s="0" t="n">
        <f aca="false">-1+B4669*0.25</f>
        <v>-0.25</v>
      </c>
      <c r="G4669" s="0" t="n">
        <f aca="false">-1+C4669*0.25</f>
        <v>0.25</v>
      </c>
      <c r="H4669" s="0" t="n">
        <f aca="false">-1+D4669*0.25</f>
        <v>-0.5</v>
      </c>
      <c r="I4669" s="0" t="n">
        <f aca="false">1</f>
        <v>1</v>
      </c>
      <c r="J4669" s="0" t="n">
        <f aca="false">E4669</f>
        <v>0.5</v>
      </c>
      <c r="K4669" s="0" t="n">
        <f aca="false">F4669</f>
        <v>-0.25</v>
      </c>
      <c r="L4669" s="0" t="n">
        <f aca="false">G4669</f>
        <v>0.25</v>
      </c>
      <c r="M4669" s="0" t="n">
        <f aca="false">H4669</f>
        <v>-0.5</v>
      </c>
      <c r="N4669" s="0" t="n">
        <f aca="false">E4669*F4669</f>
        <v>-0.125</v>
      </c>
      <c r="O4669" s="0" t="n">
        <f aca="false">E4669*G4669</f>
        <v>0.125</v>
      </c>
      <c r="P4669" s="0" t="n">
        <f aca="false">E4669*H4669</f>
        <v>-0.25</v>
      </c>
      <c r="Q4669" s="0" t="n">
        <f aca="false">F4669*G4669</f>
        <v>-0.0625</v>
      </c>
      <c r="R4669" s="0" t="n">
        <f aca="false">F4669*H4669</f>
        <v>0.125</v>
      </c>
      <c r="S4669" s="0" t="n">
        <f aca="false">G4669*H4669</f>
        <v>-0.125</v>
      </c>
      <c r="T4669" s="0" t="n">
        <f aca="false">E4669*E4669</f>
        <v>0.25</v>
      </c>
      <c r="U4669" s="0" t="n">
        <f aca="false">F4669*F4669</f>
        <v>0.0625</v>
      </c>
      <c r="V4669" s="0" t="n">
        <f aca="false">G4669*G4669</f>
        <v>0.0625</v>
      </c>
      <c r="W4669" s="0" t="n">
        <f aca="false">H4669*H4669</f>
        <v>0.25</v>
      </c>
      <c r="X4669" s="0" t="n">
        <f aca="false">SUMPRODUCT(I4669:W4669,_XtX!$B$96:$P$96)</f>
        <v>47.149675621345</v>
      </c>
      <c r="Y4669" s="0" t="n">
        <f aca="false">SUMPRODUCT(MMULT(I4669:W4669,_XtX!$B$78:$P$92),I4669:W4669)</f>
        <v>0.128236647934942</v>
      </c>
      <c r="Z4669" s="0" t="n">
        <f aca="false">04_回帰ANOVA!$K$19*04_回帰ANOVA!$K$14*SQRT(1+Y4669)</f>
        <v>1.38451764188989</v>
      </c>
      <c r="AA4669" s="0" t="n">
        <f aca="false">X4669-Z4669</f>
        <v>45.7651579794551</v>
      </c>
      <c r="AB4669" s="0" t="n">
        <f aca="false">X4669+Z4669</f>
        <v>48.5341932632349</v>
      </c>
      <c r="AC4669" s="54" t="b">
        <f aca="false">AND(E4669&gt;=01_因子設定!$L$5-0.000000001,E4669&lt;=01_因子設定!$M$5+0.000000001,F4669&gt;=01_因子設定!$L$6-0.000000001,F4669&lt;=01_因子設定!$M$6+0.000000001,G4669&gt;=01_因子設定!$L$7-0.000000001,G4669&lt;=01_因子設定!$M$7+0.000000001,H4669&gt;=01_因子設定!$L$8-0.000000001,H4669&lt;=01_因子設定!$M$8+0.000000001,IF(01_因子設定!$B$20="Box-Behnken",E4669^2+F4669^2+G4669^2+H4669^2&lt;=2+0.000000001,TRUE()))</f>
        <v>1</v>
      </c>
      <c r="AD4669" s="55" t="n">
        <f aca="false">IF(AC4669,IF(01_因子設定!$B$13="最大化",AA4669-01_因子設定!$B$14,IF(01_因子設定!$B$13="最小化",01_因子設定!$B$15-AB4669,MIN(AA4669-01_因子設定!$B$14,01_因子設定!$B$15-AB4669))),-1E+030)</f>
        <v>-0.734842020544889</v>
      </c>
      <c r="AE4669" s="55" t="n">
        <f aca="false">IF(AC4669,IF(01_因子設定!$B$13="最大化",X4669,IF(01_因子設定!$B$13="最小化",-X4669,-ABS(X4669-01_因子設定!$B$16))),-1E+030)</f>
        <v>47.149675621345</v>
      </c>
      <c r="AF4669" s="55" t="n">
        <f aca="false">AD4669+ROW()*0.000000001</f>
        <v>-0.734837351544889</v>
      </c>
      <c r="AG4669" s="55" t="n">
        <f aca="false">AE4669+ROW()*0.000000001</f>
        <v>47.149680290345</v>
      </c>
    </row>
    <row r="4670" customFormat="false" ht="15" hidden="false" customHeight="false" outlineLevel="0" collapsed="false">
      <c r="A4670" s="0" t="n">
        <v>6</v>
      </c>
      <c r="B4670" s="0" t="n">
        <v>3</v>
      </c>
      <c r="C4670" s="0" t="n">
        <v>5</v>
      </c>
      <c r="D4670" s="0" t="n">
        <v>3</v>
      </c>
      <c r="E4670" s="0" t="n">
        <f aca="false">-1+A4670*0.25</f>
        <v>0.5</v>
      </c>
      <c r="F4670" s="0" t="n">
        <f aca="false">-1+B4670*0.25</f>
        <v>-0.25</v>
      </c>
      <c r="G4670" s="0" t="n">
        <f aca="false">-1+C4670*0.25</f>
        <v>0.25</v>
      </c>
      <c r="H4670" s="0" t="n">
        <f aca="false">-1+D4670*0.25</f>
        <v>-0.25</v>
      </c>
      <c r="I4670" s="0" t="n">
        <f aca="false">1</f>
        <v>1</v>
      </c>
      <c r="J4670" s="0" t="n">
        <f aca="false">E4670</f>
        <v>0.5</v>
      </c>
      <c r="K4670" s="0" t="n">
        <f aca="false">F4670</f>
        <v>-0.25</v>
      </c>
      <c r="L4670" s="0" t="n">
        <f aca="false">G4670</f>
        <v>0.25</v>
      </c>
      <c r="M4670" s="0" t="n">
        <f aca="false">H4670</f>
        <v>-0.25</v>
      </c>
      <c r="N4670" s="0" t="n">
        <f aca="false">E4670*F4670</f>
        <v>-0.125</v>
      </c>
      <c r="O4670" s="0" t="n">
        <f aca="false">E4670*G4670</f>
        <v>0.125</v>
      </c>
      <c r="P4670" s="0" t="n">
        <f aca="false">E4670*H4670</f>
        <v>-0.125</v>
      </c>
      <c r="Q4670" s="0" t="n">
        <f aca="false">F4670*G4670</f>
        <v>-0.0625</v>
      </c>
      <c r="R4670" s="0" t="n">
        <f aca="false">F4670*H4670</f>
        <v>0.0625</v>
      </c>
      <c r="S4670" s="0" t="n">
        <f aca="false">G4670*H4670</f>
        <v>-0.0625</v>
      </c>
      <c r="T4670" s="0" t="n">
        <f aca="false">E4670*E4670</f>
        <v>0.25</v>
      </c>
      <c r="U4670" s="0" t="n">
        <f aca="false">F4670*F4670</f>
        <v>0.0625</v>
      </c>
      <c r="V4670" s="0" t="n">
        <f aca="false">G4670*G4670</f>
        <v>0.0625</v>
      </c>
      <c r="W4670" s="0" t="n">
        <f aca="false">H4670*H4670</f>
        <v>0.0625</v>
      </c>
      <c r="X4670" s="0" t="n">
        <f aca="false">SUMPRODUCT(I4670:W4670,_XtX!$B$96:$P$96)</f>
        <v>47.3696500365497</v>
      </c>
      <c r="Y4670" s="0" t="n">
        <f aca="false">SUMPRODUCT(MMULT(I4670:W4670,_XtX!$B$78:$P$92),I4670:W4670)</f>
        <v>0.116714923702485</v>
      </c>
      <c r="Z4670" s="0" t="n">
        <f aca="false">04_回帰ANOVA!$K$19*04_回帰ANOVA!$K$14*SQRT(1+Y4670)</f>
        <v>1.37743004820023</v>
      </c>
      <c r="AA4670" s="0" t="n">
        <f aca="false">X4670-Z4670</f>
        <v>45.9922199883494</v>
      </c>
      <c r="AB4670" s="0" t="n">
        <f aca="false">X4670+Z4670</f>
        <v>48.7470800847499</v>
      </c>
      <c r="AC4670" s="54" t="b">
        <f aca="false">AND(E4670&gt;=01_因子設定!$L$5-0.000000001,E4670&lt;=01_因子設定!$M$5+0.000000001,F4670&gt;=01_因子設定!$L$6-0.000000001,F4670&lt;=01_因子設定!$M$6+0.000000001,G4670&gt;=01_因子設定!$L$7-0.000000001,G4670&lt;=01_因子設定!$M$7+0.000000001,H4670&gt;=01_因子設定!$L$8-0.000000001,H4670&lt;=01_因子設定!$M$8+0.000000001,IF(01_因子設定!$B$20="Box-Behnken",E4670^2+F4670^2+G4670^2+H4670^2&lt;=2+0.000000001,TRUE()))</f>
        <v>1</v>
      </c>
      <c r="AD4670" s="55" t="n">
        <f aca="false">IF(AC4670,IF(01_因子設定!$B$13="最大化",AA4670-01_因子設定!$B$14,IF(01_因子設定!$B$13="最小化",01_因子設定!$B$15-AB4670,MIN(AA4670-01_因子設定!$B$14,01_因子設定!$B$15-AB4670))),-1E+030)</f>
        <v>-0.50778001165056</v>
      </c>
      <c r="AE4670" s="55" t="n">
        <f aca="false">IF(AC4670,IF(01_因子設定!$B$13="最大化",X4670,IF(01_因子設定!$B$13="最小化",-X4670,-ABS(X4670-01_因子設定!$B$16))),-1E+030)</f>
        <v>47.3696500365497</v>
      </c>
      <c r="AF4670" s="55" t="n">
        <f aca="false">AD4670+ROW()*0.000000001</f>
        <v>-0.50777534165056</v>
      </c>
      <c r="AG4670" s="55" t="n">
        <f aca="false">AE4670+ROW()*0.000000001</f>
        <v>47.3696547065497</v>
      </c>
    </row>
    <row r="4671" customFormat="false" ht="15" hidden="false" customHeight="false" outlineLevel="0" collapsed="false">
      <c r="A4671" s="0" t="n">
        <v>6</v>
      </c>
      <c r="B4671" s="0" t="n">
        <v>3</v>
      </c>
      <c r="C4671" s="0" t="n">
        <v>5</v>
      </c>
      <c r="D4671" s="0" t="n">
        <v>4</v>
      </c>
      <c r="E4671" s="0" t="n">
        <f aca="false">-1+A4671*0.25</f>
        <v>0.5</v>
      </c>
      <c r="F4671" s="0" t="n">
        <f aca="false">-1+B4671*0.25</f>
        <v>-0.25</v>
      </c>
      <c r="G4671" s="0" t="n">
        <f aca="false">-1+C4671*0.25</f>
        <v>0.25</v>
      </c>
      <c r="H4671" s="0" t="n">
        <f aca="false">-1+D4671*0.25</f>
        <v>0</v>
      </c>
      <c r="I4671" s="0" t="n">
        <f aca="false">1</f>
        <v>1</v>
      </c>
      <c r="J4671" s="0" t="n">
        <f aca="false">E4671</f>
        <v>0.5</v>
      </c>
      <c r="K4671" s="0" t="n">
        <f aca="false">F4671</f>
        <v>-0.25</v>
      </c>
      <c r="L4671" s="0" t="n">
        <f aca="false">G4671</f>
        <v>0.25</v>
      </c>
      <c r="M4671" s="0" t="n">
        <f aca="false">H4671</f>
        <v>0</v>
      </c>
      <c r="N4671" s="0" t="n">
        <f aca="false">E4671*F4671</f>
        <v>-0.125</v>
      </c>
      <c r="O4671" s="0" t="n">
        <f aca="false">E4671*G4671</f>
        <v>0.125</v>
      </c>
      <c r="P4671" s="0" t="n">
        <f aca="false">E4671*H4671</f>
        <v>0</v>
      </c>
      <c r="Q4671" s="0" t="n">
        <f aca="false">F4671*G4671</f>
        <v>-0.0625</v>
      </c>
      <c r="R4671" s="0" t="n">
        <f aca="false">F4671*H4671</f>
        <v>-0</v>
      </c>
      <c r="S4671" s="0" t="n">
        <f aca="false">G4671*H4671</f>
        <v>0</v>
      </c>
      <c r="T4671" s="0" t="n">
        <f aca="false">E4671*E4671</f>
        <v>0.25</v>
      </c>
      <c r="U4671" s="0" t="n">
        <f aca="false">F4671*F4671</f>
        <v>0.0625</v>
      </c>
      <c r="V4671" s="0" t="n">
        <f aca="false">G4671*G4671</f>
        <v>0.0625</v>
      </c>
      <c r="W4671" s="0" t="n">
        <f aca="false">H4671*H4671</f>
        <v>0</v>
      </c>
      <c r="X4671" s="0" t="n">
        <f aca="false">SUMPRODUCT(I4671:W4671,_XtX!$B$96:$P$96)</f>
        <v>47.5418174342105</v>
      </c>
      <c r="Y4671" s="0" t="n">
        <f aca="false">SUMPRODUCT(MMULT(I4671:W4671,_XtX!$B$78:$P$92),I4671:W4671)</f>
        <v>0.118905050712719</v>
      </c>
      <c r="Z4671" s="0" t="n">
        <f aca="false">04_回帰ANOVA!$K$19*04_回帰ANOVA!$K$14*SQRT(1+Y4671)</f>
        <v>1.37878011033769</v>
      </c>
      <c r="AA4671" s="0" t="n">
        <f aca="false">X4671-Z4671</f>
        <v>46.1630373238728</v>
      </c>
      <c r="AB4671" s="0" t="n">
        <f aca="false">X4671+Z4671</f>
        <v>48.9205975445482</v>
      </c>
      <c r="AC4671" s="54" t="b">
        <f aca="false">AND(E4671&gt;=01_因子設定!$L$5-0.000000001,E4671&lt;=01_因子設定!$M$5+0.000000001,F4671&gt;=01_因子設定!$L$6-0.000000001,F4671&lt;=01_因子設定!$M$6+0.000000001,G4671&gt;=01_因子設定!$L$7-0.000000001,G4671&lt;=01_因子設定!$M$7+0.000000001,H4671&gt;=01_因子設定!$L$8-0.000000001,H4671&lt;=01_因子設定!$M$8+0.000000001,IF(01_因子設定!$B$20="Box-Behnken",E4671^2+F4671^2+G4671^2+H4671^2&lt;=2+0.000000001,TRUE()))</f>
        <v>1</v>
      </c>
      <c r="AD4671" s="55" t="n">
        <f aca="false">IF(AC4671,IF(01_因子設定!$B$13="最大化",AA4671-01_因子設定!$B$14,IF(01_因子設定!$B$13="最小化",01_因子設定!$B$15-AB4671,MIN(AA4671-01_因子設定!$B$14,01_因子設定!$B$15-AB4671))),-1E+030)</f>
        <v>-0.336962676127207</v>
      </c>
      <c r="AE4671" s="55" t="n">
        <f aca="false">IF(AC4671,IF(01_因子設定!$B$13="最大化",X4671,IF(01_因子設定!$B$13="最小化",-X4671,-ABS(X4671-01_因子設定!$B$16))),-1E+030)</f>
        <v>47.5418174342105</v>
      </c>
      <c r="AF4671" s="55" t="n">
        <f aca="false">AD4671+ROW()*0.000000001</f>
        <v>-0.336958005127207</v>
      </c>
      <c r="AG4671" s="55" t="n">
        <f aca="false">AE4671+ROW()*0.000000001</f>
        <v>47.5418221052105</v>
      </c>
    </row>
    <row r="4672" customFormat="false" ht="15" hidden="false" customHeight="false" outlineLevel="0" collapsed="false">
      <c r="A4672" s="0" t="n">
        <v>6</v>
      </c>
      <c r="B4672" s="0" t="n">
        <v>3</v>
      </c>
      <c r="C4672" s="0" t="n">
        <v>5</v>
      </c>
      <c r="D4672" s="0" t="n">
        <v>5</v>
      </c>
      <c r="E4672" s="0" t="n">
        <f aca="false">-1+A4672*0.25</f>
        <v>0.5</v>
      </c>
      <c r="F4672" s="0" t="n">
        <f aca="false">-1+B4672*0.25</f>
        <v>-0.25</v>
      </c>
      <c r="G4672" s="0" t="n">
        <f aca="false">-1+C4672*0.25</f>
        <v>0.25</v>
      </c>
      <c r="H4672" s="0" t="n">
        <f aca="false">-1+D4672*0.25</f>
        <v>0.25</v>
      </c>
      <c r="I4672" s="0" t="n">
        <f aca="false">1</f>
        <v>1</v>
      </c>
      <c r="J4672" s="0" t="n">
        <f aca="false">E4672</f>
        <v>0.5</v>
      </c>
      <c r="K4672" s="0" t="n">
        <f aca="false">F4672</f>
        <v>-0.25</v>
      </c>
      <c r="L4672" s="0" t="n">
        <f aca="false">G4672</f>
        <v>0.25</v>
      </c>
      <c r="M4672" s="0" t="n">
        <f aca="false">H4672</f>
        <v>0.25</v>
      </c>
      <c r="N4672" s="0" t="n">
        <f aca="false">E4672*F4672</f>
        <v>-0.125</v>
      </c>
      <c r="O4672" s="0" t="n">
        <f aca="false">E4672*G4672</f>
        <v>0.125</v>
      </c>
      <c r="P4672" s="0" t="n">
        <f aca="false">E4672*H4672</f>
        <v>0.125</v>
      </c>
      <c r="Q4672" s="0" t="n">
        <f aca="false">F4672*G4672</f>
        <v>-0.0625</v>
      </c>
      <c r="R4672" s="0" t="n">
        <f aca="false">F4672*H4672</f>
        <v>-0.0625</v>
      </c>
      <c r="S4672" s="0" t="n">
        <f aca="false">G4672*H4672</f>
        <v>0.0625</v>
      </c>
      <c r="T4672" s="0" t="n">
        <f aca="false">E4672*E4672</f>
        <v>0.25</v>
      </c>
      <c r="U4672" s="0" t="n">
        <f aca="false">F4672*F4672</f>
        <v>0.0625</v>
      </c>
      <c r="V4672" s="0" t="n">
        <f aca="false">G4672*G4672</f>
        <v>0.0625</v>
      </c>
      <c r="W4672" s="0" t="n">
        <f aca="false">H4672*H4672</f>
        <v>0.0625</v>
      </c>
      <c r="X4672" s="0" t="n">
        <f aca="false">SUMPRODUCT(I4672:W4672,_XtX!$B$96:$P$96)</f>
        <v>47.6661778143274</v>
      </c>
      <c r="Y4672" s="0" t="n">
        <f aca="false">SUMPRODUCT(MMULT(I4672:W4672,_XtX!$B$78:$P$92),I4672:W4672)</f>
        <v>0.116714923702485</v>
      </c>
      <c r="Z4672" s="0" t="n">
        <f aca="false">04_回帰ANOVA!$K$19*04_回帰ANOVA!$K$14*SQRT(1+Y4672)</f>
        <v>1.37743004820023</v>
      </c>
      <c r="AA4672" s="0" t="n">
        <f aca="false">X4672-Z4672</f>
        <v>46.2887477661272</v>
      </c>
      <c r="AB4672" s="0" t="n">
        <f aca="false">X4672+Z4672</f>
        <v>49.0436078625277</v>
      </c>
      <c r="AC4672" s="54" t="b">
        <f aca="false">AND(E4672&gt;=01_因子設定!$L$5-0.000000001,E4672&lt;=01_因子設定!$M$5+0.000000001,F4672&gt;=01_因子設定!$L$6-0.000000001,F4672&lt;=01_因子設定!$M$6+0.000000001,G4672&gt;=01_因子設定!$L$7-0.000000001,G4672&lt;=01_因子設定!$M$7+0.000000001,H4672&gt;=01_因子設定!$L$8-0.000000001,H4672&lt;=01_因子設定!$M$8+0.000000001,IF(01_因子設定!$B$20="Box-Behnken",E4672^2+F4672^2+G4672^2+H4672^2&lt;=2+0.000000001,TRUE()))</f>
        <v>1</v>
      </c>
      <c r="AD4672" s="55" t="n">
        <f aca="false">IF(AC4672,IF(01_因子設定!$B$13="最大化",AA4672-01_因子設定!$B$14,IF(01_因子設定!$B$13="最小化",01_因子設定!$B$15-AB4672,MIN(AA4672-01_因子設定!$B$14,01_因子設定!$B$15-AB4672))),-1E+030)</f>
        <v>-0.211252233872784</v>
      </c>
      <c r="AE4672" s="55" t="n">
        <f aca="false">IF(AC4672,IF(01_因子設定!$B$13="最大化",X4672,IF(01_因子設定!$B$13="最小化",-X4672,-ABS(X4672-01_因子設定!$B$16))),-1E+030)</f>
        <v>47.6661778143274</v>
      </c>
      <c r="AF4672" s="55" t="n">
        <f aca="false">AD4672+ROW()*0.000000001</f>
        <v>-0.211247561872784</v>
      </c>
      <c r="AG4672" s="55" t="n">
        <f aca="false">AE4672+ROW()*0.000000001</f>
        <v>47.6661824863274</v>
      </c>
    </row>
    <row r="4673" customFormat="false" ht="15" hidden="false" customHeight="false" outlineLevel="0" collapsed="false">
      <c r="A4673" s="0" t="n">
        <v>6</v>
      </c>
      <c r="B4673" s="0" t="n">
        <v>3</v>
      </c>
      <c r="C4673" s="0" t="n">
        <v>5</v>
      </c>
      <c r="D4673" s="0" t="n">
        <v>6</v>
      </c>
      <c r="E4673" s="0" t="n">
        <f aca="false">-1+A4673*0.25</f>
        <v>0.5</v>
      </c>
      <c r="F4673" s="0" t="n">
        <f aca="false">-1+B4673*0.25</f>
        <v>-0.25</v>
      </c>
      <c r="G4673" s="0" t="n">
        <f aca="false">-1+C4673*0.25</f>
        <v>0.25</v>
      </c>
      <c r="H4673" s="0" t="n">
        <f aca="false">-1+D4673*0.25</f>
        <v>0.5</v>
      </c>
      <c r="I4673" s="0" t="n">
        <f aca="false">1</f>
        <v>1</v>
      </c>
      <c r="J4673" s="0" t="n">
        <f aca="false">E4673</f>
        <v>0.5</v>
      </c>
      <c r="K4673" s="0" t="n">
        <f aca="false">F4673</f>
        <v>-0.25</v>
      </c>
      <c r="L4673" s="0" t="n">
        <f aca="false">G4673</f>
        <v>0.25</v>
      </c>
      <c r="M4673" s="0" t="n">
        <f aca="false">H4673</f>
        <v>0.5</v>
      </c>
      <c r="N4673" s="0" t="n">
        <f aca="false">E4673*F4673</f>
        <v>-0.125</v>
      </c>
      <c r="O4673" s="0" t="n">
        <f aca="false">E4673*G4673</f>
        <v>0.125</v>
      </c>
      <c r="P4673" s="0" t="n">
        <f aca="false">E4673*H4673</f>
        <v>0.25</v>
      </c>
      <c r="Q4673" s="0" t="n">
        <f aca="false">F4673*G4673</f>
        <v>-0.0625</v>
      </c>
      <c r="R4673" s="0" t="n">
        <f aca="false">F4673*H4673</f>
        <v>-0.125</v>
      </c>
      <c r="S4673" s="0" t="n">
        <f aca="false">G4673*H4673</f>
        <v>0.125</v>
      </c>
      <c r="T4673" s="0" t="n">
        <f aca="false">E4673*E4673</f>
        <v>0.25</v>
      </c>
      <c r="U4673" s="0" t="n">
        <f aca="false">F4673*F4673</f>
        <v>0.0625</v>
      </c>
      <c r="V4673" s="0" t="n">
        <f aca="false">G4673*G4673</f>
        <v>0.0625</v>
      </c>
      <c r="W4673" s="0" t="n">
        <f aca="false">H4673*H4673</f>
        <v>0.25</v>
      </c>
      <c r="X4673" s="0" t="n">
        <f aca="false">SUMPRODUCT(I4673:W4673,_XtX!$B$96:$P$96)</f>
        <v>47.7427311769006</v>
      </c>
      <c r="Y4673" s="0" t="n">
        <f aca="false">SUMPRODUCT(MMULT(I4673:W4673,_XtX!$B$78:$P$92),I4673:W4673)</f>
        <v>0.128236647934942</v>
      </c>
      <c r="Z4673" s="0" t="n">
        <f aca="false">04_回帰ANOVA!$K$19*04_回帰ANOVA!$K$14*SQRT(1+Y4673)</f>
        <v>1.38451764188989</v>
      </c>
      <c r="AA4673" s="0" t="n">
        <f aca="false">X4673-Z4673</f>
        <v>46.3582135350107</v>
      </c>
      <c r="AB4673" s="0" t="n">
        <f aca="false">X4673+Z4673</f>
        <v>49.1272488187904</v>
      </c>
      <c r="AC4673" s="54" t="b">
        <f aca="false">AND(E4673&gt;=01_因子設定!$L$5-0.000000001,E4673&lt;=01_因子設定!$M$5+0.000000001,F4673&gt;=01_因子設定!$L$6-0.000000001,F4673&lt;=01_因子設定!$M$6+0.000000001,G4673&gt;=01_因子設定!$L$7-0.000000001,G4673&lt;=01_因子設定!$M$7+0.000000001,H4673&gt;=01_因子設定!$L$8-0.000000001,H4673&lt;=01_因子設定!$M$8+0.000000001,IF(01_因子設定!$B$20="Box-Behnken",E4673^2+F4673^2+G4673^2+H4673^2&lt;=2+0.000000001,TRUE()))</f>
        <v>1</v>
      </c>
      <c r="AD4673" s="55" t="n">
        <f aca="false">IF(AC4673,IF(01_因子設定!$B$13="最大化",AA4673-01_因子設定!$B$14,IF(01_因子設定!$B$13="最小化",01_因子設定!$B$15-AB4673,MIN(AA4673-01_因子設定!$B$14,01_因子設定!$B$15-AB4673))),-1E+030)</f>
        <v>-0.141786464989337</v>
      </c>
      <c r="AE4673" s="55" t="n">
        <f aca="false">IF(AC4673,IF(01_因子設定!$B$13="最大化",X4673,IF(01_因子設定!$B$13="最小化",-X4673,-ABS(X4673-01_因子設定!$B$16))),-1E+030)</f>
        <v>47.7427311769006</v>
      </c>
      <c r="AF4673" s="55" t="n">
        <f aca="false">AD4673+ROW()*0.000000001</f>
        <v>-0.141781791989337</v>
      </c>
      <c r="AG4673" s="55" t="n">
        <f aca="false">AE4673+ROW()*0.000000001</f>
        <v>47.7427358499006</v>
      </c>
    </row>
    <row r="4674" customFormat="false" ht="15" hidden="false" customHeight="false" outlineLevel="0" collapsed="false">
      <c r="A4674" s="0" t="n">
        <v>6</v>
      </c>
      <c r="B4674" s="0" t="n">
        <v>3</v>
      </c>
      <c r="C4674" s="0" t="n">
        <v>5</v>
      </c>
      <c r="D4674" s="0" t="n">
        <v>7</v>
      </c>
      <c r="E4674" s="0" t="n">
        <f aca="false">-1+A4674*0.25</f>
        <v>0.5</v>
      </c>
      <c r="F4674" s="0" t="n">
        <f aca="false">-1+B4674*0.25</f>
        <v>-0.25</v>
      </c>
      <c r="G4674" s="0" t="n">
        <f aca="false">-1+C4674*0.25</f>
        <v>0.25</v>
      </c>
      <c r="H4674" s="0" t="n">
        <f aca="false">-1+D4674*0.25</f>
        <v>0.75</v>
      </c>
      <c r="I4674" s="0" t="n">
        <f aca="false">1</f>
        <v>1</v>
      </c>
      <c r="J4674" s="0" t="n">
        <f aca="false">E4674</f>
        <v>0.5</v>
      </c>
      <c r="K4674" s="0" t="n">
        <f aca="false">F4674</f>
        <v>-0.25</v>
      </c>
      <c r="L4674" s="0" t="n">
        <f aca="false">G4674</f>
        <v>0.25</v>
      </c>
      <c r="M4674" s="0" t="n">
        <f aca="false">H4674</f>
        <v>0.75</v>
      </c>
      <c r="N4674" s="0" t="n">
        <f aca="false">E4674*F4674</f>
        <v>-0.125</v>
      </c>
      <c r="O4674" s="0" t="n">
        <f aca="false">E4674*G4674</f>
        <v>0.125</v>
      </c>
      <c r="P4674" s="0" t="n">
        <f aca="false">E4674*H4674</f>
        <v>0.375</v>
      </c>
      <c r="Q4674" s="0" t="n">
        <f aca="false">F4674*G4674</f>
        <v>-0.0625</v>
      </c>
      <c r="R4674" s="0" t="n">
        <f aca="false">F4674*H4674</f>
        <v>-0.1875</v>
      </c>
      <c r="S4674" s="0" t="n">
        <f aca="false">G4674*H4674</f>
        <v>0.1875</v>
      </c>
      <c r="T4674" s="0" t="n">
        <f aca="false">E4674*E4674</f>
        <v>0.25</v>
      </c>
      <c r="U4674" s="0" t="n">
        <f aca="false">F4674*F4674</f>
        <v>0.0625</v>
      </c>
      <c r="V4674" s="0" t="n">
        <f aca="false">G4674*G4674</f>
        <v>0.0625</v>
      </c>
      <c r="W4674" s="0" t="n">
        <f aca="false">H4674*H4674</f>
        <v>0.5625</v>
      </c>
      <c r="X4674" s="0" t="n">
        <f aca="false">SUMPRODUCT(I4674:W4674,_XtX!$B$96:$P$96)</f>
        <v>47.7714775219298</v>
      </c>
      <c r="Y4674" s="0" t="n">
        <f aca="false">SUMPRODUCT(MMULT(I4674:W4674,_XtX!$B$78:$P$92),I4674:W4674)</f>
        <v>0.207746539199561</v>
      </c>
      <c r="Z4674" s="0" t="n">
        <f aca="false">04_回帰ANOVA!$K$19*04_回帰ANOVA!$K$14*SQRT(1+Y4674)</f>
        <v>1.43247250081141</v>
      </c>
      <c r="AA4674" s="0" t="n">
        <f aca="false">X4674-Z4674</f>
        <v>46.3390050211184</v>
      </c>
      <c r="AB4674" s="0" t="n">
        <f aca="false">X4674+Z4674</f>
        <v>49.2039500227412</v>
      </c>
      <c r="AC4674" s="54" t="b">
        <f aca="false">AND(E4674&gt;=01_因子設定!$L$5-0.000000001,E4674&lt;=01_因子設定!$M$5+0.000000001,F4674&gt;=01_因子設定!$L$6-0.000000001,F4674&lt;=01_因子設定!$M$6+0.000000001,G4674&gt;=01_因子設定!$L$7-0.000000001,G4674&lt;=01_因子設定!$M$7+0.000000001,H4674&gt;=01_因子設定!$L$8-0.000000001,H4674&lt;=01_因子設定!$M$8+0.000000001,IF(01_因子設定!$B$20="Box-Behnken",E4674^2+F4674^2+G4674^2+H4674^2&lt;=2+0.000000001,TRUE()))</f>
        <v>1</v>
      </c>
      <c r="AD4674" s="55" t="n">
        <f aca="false">IF(AC4674,IF(01_因子設定!$B$13="最大化",AA4674-01_因子設定!$B$14,IF(01_因子設定!$B$13="最小化",01_因子設定!$B$15-AB4674,MIN(AA4674-01_因子設定!$B$14,01_因子設定!$B$15-AB4674))),-1E+030)</f>
        <v>-0.160994978881604</v>
      </c>
      <c r="AE4674" s="55" t="n">
        <f aca="false">IF(AC4674,IF(01_因子設定!$B$13="最大化",X4674,IF(01_因子設定!$B$13="最小化",-X4674,-ABS(X4674-01_因子設定!$B$16))),-1E+030)</f>
        <v>47.7714775219298</v>
      </c>
      <c r="AF4674" s="55" t="n">
        <f aca="false">AD4674+ROW()*0.000000001</f>
        <v>-0.160990304881604</v>
      </c>
      <c r="AG4674" s="55" t="n">
        <f aca="false">AE4674+ROW()*0.000000001</f>
        <v>47.7714821959298</v>
      </c>
    </row>
    <row r="4675" customFormat="false" ht="15" hidden="false" customHeight="false" outlineLevel="0" collapsed="false">
      <c r="A4675" s="0" t="n">
        <v>6</v>
      </c>
      <c r="B4675" s="0" t="n">
        <v>3</v>
      </c>
      <c r="C4675" s="0" t="n">
        <v>5</v>
      </c>
      <c r="D4675" s="0" t="n">
        <v>8</v>
      </c>
      <c r="E4675" s="0" t="n">
        <f aca="false">-1+A4675*0.25</f>
        <v>0.5</v>
      </c>
      <c r="F4675" s="0" t="n">
        <f aca="false">-1+B4675*0.25</f>
        <v>-0.25</v>
      </c>
      <c r="G4675" s="0" t="n">
        <f aca="false">-1+C4675*0.25</f>
        <v>0.25</v>
      </c>
      <c r="H4675" s="0" t="n">
        <f aca="false">-1+D4675*0.25</f>
        <v>1</v>
      </c>
      <c r="I4675" s="0" t="n">
        <f aca="false">1</f>
        <v>1</v>
      </c>
      <c r="J4675" s="0" t="n">
        <f aca="false">E4675</f>
        <v>0.5</v>
      </c>
      <c r="K4675" s="0" t="n">
        <f aca="false">F4675</f>
        <v>-0.25</v>
      </c>
      <c r="L4675" s="0" t="n">
        <f aca="false">G4675</f>
        <v>0.25</v>
      </c>
      <c r="M4675" s="0" t="n">
        <f aca="false">H4675</f>
        <v>1</v>
      </c>
      <c r="N4675" s="0" t="n">
        <f aca="false">E4675*F4675</f>
        <v>-0.125</v>
      </c>
      <c r="O4675" s="0" t="n">
        <f aca="false">E4675*G4675</f>
        <v>0.125</v>
      </c>
      <c r="P4675" s="0" t="n">
        <f aca="false">E4675*H4675</f>
        <v>0.5</v>
      </c>
      <c r="Q4675" s="0" t="n">
        <f aca="false">F4675*G4675</f>
        <v>-0.0625</v>
      </c>
      <c r="R4675" s="0" t="n">
        <f aca="false">F4675*H4675</f>
        <v>-0.25</v>
      </c>
      <c r="S4675" s="0" t="n">
        <f aca="false">G4675*H4675</f>
        <v>0.25</v>
      </c>
      <c r="T4675" s="0" t="n">
        <f aca="false">E4675*E4675</f>
        <v>0.25</v>
      </c>
      <c r="U4675" s="0" t="n">
        <f aca="false">F4675*F4675</f>
        <v>0.0625</v>
      </c>
      <c r="V4675" s="0" t="n">
        <f aca="false">G4675*G4675</f>
        <v>0.0625</v>
      </c>
      <c r="W4675" s="0" t="n">
        <f aca="false">H4675*H4675</f>
        <v>1</v>
      </c>
      <c r="X4675" s="0" t="n">
        <f aca="false">SUMPRODUCT(I4675:W4675,_XtX!$B$96:$P$96)</f>
        <v>47.7524168494152</v>
      </c>
      <c r="Y4675" s="0" t="n">
        <f aca="false">SUMPRODUCT(MMULT(I4675:W4675,_XtX!$B$78:$P$92),I4675:W4675)</f>
        <v>0.445705123812135</v>
      </c>
      <c r="Z4675" s="0" t="n">
        <f aca="false">04_回帰ANOVA!$K$19*04_回帰ANOVA!$K$14*SQRT(1+Y4675)</f>
        <v>1.56724990734749</v>
      </c>
      <c r="AA4675" s="0" t="n">
        <f aca="false">X4675-Z4675</f>
        <v>46.1851669420677</v>
      </c>
      <c r="AB4675" s="0" t="n">
        <f aca="false">X4675+Z4675</f>
        <v>49.3196667567627</v>
      </c>
      <c r="AC4675" s="54" t="b">
        <f aca="false">AND(E4675&gt;=01_因子設定!$L$5-0.000000001,E4675&lt;=01_因子設定!$M$5+0.000000001,F4675&gt;=01_因子設定!$L$6-0.000000001,F4675&lt;=01_因子設定!$M$6+0.000000001,G4675&gt;=01_因子設定!$L$7-0.000000001,G4675&lt;=01_因子設定!$M$7+0.000000001,H4675&gt;=01_因子設定!$L$8-0.000000001,H4675&lt;=01_因子設定!$M$8+0.000000001,IF(01_因子設定!$B$20="Box-Behnken",E4675^2+F4675^2+G4675^2+H4675^2&lt;=2+0.000000001,TRUE()))</f>
        <v>1</v>
      </c>
      <c r="AD4675" s="55" t="n">
        <f aca="false">IF(AC4675,IF(01_因子設定!$B$13="最大化",AA4675-01_因子設定!$B$14,IF(01_因子設定!$B$13="最小化",01_因子設定!$B$15-AB4675,MIN(AA4675-01_因子設定!$B$14,01_因子設定!$B$15-AB4675))),-1E+030)</f>
        <v>-0.31483305793229</v>
      </c>
      <c r="AE4675" s="55" t="n">
        <f aca="false">IF(AC4675,IF(01_因子設定!$B$13="最大化",X4675,IF(01_因子設定!$B$13="最小化",-X4675,-ABS(X4675-01_因子設定!$B$16))),-1E+030)</f>
        <v>47.7524168494152</v>
      </c>
      <c r="AF4675" s="55" t="n">
        <f aca="false">AD4675+ROW()*0.000000001</f>
        <v>-0.31482838293229</v>
      </c>
      <c r="AG4675" s="55" t="n">
        <f aca="false">AE4675+ROW()*0.000000001</f>
        <v>47.7524215244152</v>
      </c>
    </row>
    <row r="4676" customFormat="false" ht="15" hidden="false" customHeight="false" outlineLevel="0" collapsed="false">
      <c r="A4676" s="0" t="n">
        <v>6</v>
      </c>
      <c r="B4676" s="0" t="n">
        <v>3</v>
      </c>
      <c r="C4676" s="0" t="n">
        <v>6</v>
      </c>
      <c r="D4676" s="0" t="n">
        <v>0</v>
      </c>
      <c r="E4676" s="0" t="n">
        <f aca="false">-1+A4676*0.25</f>
        <v>0.5</v>
      </c>
      <c r="F4676" s="0" t="n">
        <f aca="false">-1+B4676*0.25</f>
        <v>-0.25</v>
      </c>
      <c r="G4676" s="0" t="n">
        <f aca="false">-1+C4676*0.25</f>
        <v>0.5</v>
      </c>
      <c r="H4676" s="0" t="n">
        <f aca="false">-1+D4676*0.25</f>
        <v>-1</v>
      </c>
      <c r="I4676" s="0" t="n">
        <f aca="false">1</f>
        <v>1</v>
      </c>
      <c r="J4676" s="0" t="n">
        <f aca="false">E4676</f>
        <v>0.5</v>
      </c>
      <c r="K4676" s="0" t="n">
        <f aca="false">F4676</f>
        <v>-0.25</v>
      </c>
      <c r="L4676" s="0" t="n">
        <f aca="false">G4676</f>
        <v>0.5</v>
      </c>
      <c r="M4676" s="0" t="n">
        <f aca="false">H4676</f>
        <v>-1</v>
      </c>
      <c r="N4676" s="0" t="n">
        <f aca="false">E4676*F4676</f>
        <v>-0.125</v>
      </c>
      <c r="O4676" s="0" t="n">
        <f aca="false">E4676*G4676</f>
        <v>0.25</v>
      </c>
      <c r="P4676" s="0" t="n">
        <f aca="false">E4676*H4676</f>
        <v>-0.5</v>
      </c>
      <c r="Q4676" s="0" t="n">
        <f aca="false">F4676*G4676</f>
        <v>-0.125</v>
      </c>
      <c r="R4676" s="0" t="n">
        <f aca="false">F4676*H4676</f>
        <v>0.25</v>
      </c>
      <c r="S4676" s="0" t="n">
        <f aca="false">G4676*H4676</f>
        <v>-0.5</v>
      </c>
      <c r="T4676" s="0" t="n">
        <f aca="false">E4676*E4676</f>
        <v>0.25</v>
      </c>
      <c r="U4676" s="0" t="n">
        <f aca="false">F4676*F4676</f>
        <v>0.0625</v>
      </c>
      <c r="V4676" s="0" t="n">
        <f aca="false">G4676*G4676</f>
        <v>0.25</v>
      </c>
      <c r="W4676" s="0" t="n">
        <f aca="false">H4676*H4676</f>
        <v>1</v>
      </c>
      <c r="X4676" s="0" t="n">
        <f aca="false">SUMPRODUCT(I4676:W4676,_XtX!$B$96:$P$96)</f>
        <v>46.5115222953216</v>
      </c>
      <c r="Y4676" s="0" t="n">
        <f aca="false">SUMPRODUCT(MMULT(I4676:W4676,_XtX!$B$78:$P$92),I4676:W4676)</f>
        <v>0.428122715643275</v>
      </c>
      <c r="Z4676" s="0" t="n">
        <f aca="false">04_回帰ANOVA!$K$19*04_回帰ANOVA!$K$14*SQRT(1+Y4676)</f>
        <v>1.55769044623229</v>
      </c>
      <c r="AA4676" s="0" t="n">
        <f aca="false">X4676-Z4676</f>
        <v>44.9538318490893</v>
      </c>
      <c r="AB4676" s="0" t="n">
        <f aca="false">X4676+Z4676</f>
        <v>48.0692127415539</v>
      </c>
      <c r="AC4676" s="54" t="b">
        <f aca="false">AND(E4676&gt;=01_因子設定!$L$5-0.000000001,E4676&lt;=01_因子設定!$M$5+0.000000001,F4676&gt;=01_因子設定!$L$6-0.000000001,F4676&lt;=01_因子設定!$M$6+0.000000001,G4676&gt;=01_因子設定!$L$7-0.000000001,G4676&lt;=01_因子設定!$M$7+0.000000001,H4676&gt;=01_因子設定!$L$8-0.000000001,H4676&lt;=01_因子設定!$M$8+0.000000001,IF(01_因子設定!$B$20="Box-Behnken",E4676^2+F4676^2+G4676^2+H4676^2&lt;=2+0.000000001,TRUE()))</f>
        <v>1</v>
      </c>
      <c r="AD4676" s="55" t="n">
        <f aca="false">IF(AC4676,IF(01_因子設定!$B$13="最大化",AA4676-01_因子設定!$B$14,IF(01_因子設定!$B$13="最小化",01_因子設定!$B$15-AB4676,MIN(AA4676-01_因子設定!$B$14,01_因子設定!$B$15-AB4676))),-1E+030)</f>
        <v>-1.54616815091066</v>
      </c>
      <c r="AE4676" s="55" t="n">
        <f aca="false">IF(AC4676,IF(01_因子設定!$B$13="最大化",X4676,IF(01_因子設定!$B$13="最小化",-X4676,-ABS(X4676-01_因子設定!$B$16))),-1E+030)</f>
        <v>46.5115222953216</v>
      </c>
      <c r="AF4676" s="55" t="n">
        <f aca="false">AD4676+ROW()*0.000000001</f>
        <v>-1.54616347491066</v>
      </c>
      <c r="AG4676" s="55" t="n">
        <f aca="false">AE4676+ROW()*0.000000001</f>
        <v>46.5115269713216</v>
      </c>
    </row>
    <row r="4677" customFormat="false" ht="15" hidden="false" customHeight="false" outlineLevel="0" collapsed="false">
      <c r="A4677" s="0" t="n">
        <v>6</v>
      </c>
      <c r="B4677" s="0" t="n">
        <v>3</v>
      </c>
      <c r="C4677" s="0" t="n">
        <v>6</v>
      </c>
      <c r="D4677" s="0" t="n">
        <v>1</v>
      </c>
      <c r="E4677" s="0" t="n">
        <f aca="false">-1+A4677*0.25</f>
        <v>0.5</v>
      </c>
      <c r="F4677" s="0" t="n">
        <f aca="false">-1+B4677*0.25</f>
        <v>-0.25</v>
      </c>
      <c r="G4677" s="0" t="n">
        <f aca="false">-1+C4677*0.25</f>
        <v>0.5</v>
      </c>
      <c r="H4677" s="0" t="n">
        <f aca="false">-1+D4677*0.25</f>
        <v>-0.75</v>
      </c>
      <c r="I4677" s="0" t="n">
        <f aca="false">1</f>
        <v>1</v>
      </c>
      <c r="J4677" s="0" t="n">
        <f aca="false">E4677</f>
        <v>0.5</v>
      </c>
      <c r="K4677" s="0" t="n">
        <f aca="false">F4677</f>
        <v>-0.25</v>
      </c>
      <c r="L4677" s="0" t="n">
        <f aca="false">G4677</f>
        <v>0.5</v>
      </c>
      <c r="M4677" s="0" t="n">
        <f aca="false">H4677</f>
        <v>-0.75</v>
      </c>
      <c r="N4677" s="0" t="n">
        <f aca="false">E4677*F4677</f>
        <v>-0.125</v>
      </c>
      <c r="O4677" s="0" t="n">
        <f aca="false">E4677*G4677</f>
        <v>0.25</v>
      </c>
      <c r="P4677" s="0" t="n">
        <f aca="false">E4677*H4677</f>
        <v>-0.375</v>
      </c>
      <c r="Q4677" s="0" t="n">
        <f aca="false">F4677*G4677</f>
        <v>-0.125</v>
      </c>
      <c r="R4677" s="0" t="n">
        <f aca="false">F4677*H4677</f>
        <v>0.1875</v>
      </c>
      <c r="S4677" s="0" t="n">
        <f aca="false">G4677*H4677</f>
        <v>-0.375</v>
      </c>
      <c r="T4677" s="0" t="n">
        <f aca="false">E4677*E4677</f>
        <v>0.25</v>
      </c>
      <c r="U4677" s="0" t="n">
        <f aca="false">F4677*F4677</f>
        <v>0.0625</v>
      </c>
      <c r="V4677" s="0" t="n">
        <f aca="false">G4677*G4677</f>
        <v>0.25</v>
      </c>
      <c r="W4677" s="0" t="n">
        <f aca="false">H4677*H4677</f>
        <v>0.5625</v>
      </c>
      <c r="X4677" s="0" t="n">
        <f aca="false">SUMPRODUCT(I4677:W4677,_XtX!$B$96:$P$96)</f>
        <v>46.845079495614</v>
      </c>
      <c r="Y4677" s="0" t="n">
        <f aca="false">SUMPRODUCT(MMULT(I4677:W4677,_XtX!$B$78:$P$92),I4677:W4677)</f>
        <v>0.203746059484649</v>
      </c>
      <c r="Z4677" s="0" t="n">
        <f aca="false">04_回帰ANOVA!$K$19*04_回帰ANOVA!$K$14*SQRT(1+Y4677)</f>
        <v>1.43009810755465</v>
      </c>
      <c r="AA4677" s="0" t="n">
        <f aca="false">X4677-Z4677</f>
        <v>45.4149813880594</v>
      </c>
      <c r="AB4677" s="0" t="n">
        <f aca="false">X4677+Z4677</f>
        <v>48.2751776031687</v>
      </c>
      <c r="AC4677" s="54" t="b">
        <f aca="false">AND(E4677&gt;=01_因子設定!$L$5-0.000000001,E4677&lt;=01_因子設定!$M$5+0.000000001,F4677&gt;=01_因子設定!$L$6-0.000000001,F4677&lt;=01_因子設定!$M$6+0.000000001,G4677&gt;=01_因子設定!$L$7-0.000000001,G4677&lt;=01_因子設定!$M$7+0.000000001,H4677&gt;=01_因子設定!$L$8-0.000000001,H4677&lt;=01_因子設定!$M$8+0.000000001,IF(01_因子設定!$B$20="Box-Behnken",E4677^2+F4677^2+G4677^2+H4677^2&lt;=2+0.000000001,TRUE()))</f>
        <v>1</v>
      </c>
      <c r="AD4677" s="55" t="n">
        <f aca="false">IF(AC4677,IF(01_因子設定!$B$13="最大化",AA4677-01_因子設定!$B$14,IF(01_因子設定!$B$13="最小化",01_因子設定!$B$15-AB4677,MIN(AA4677-01_因子設定!$B$14,01_因子設定!$B$15-AB4677))),-1E+030)</f>
        <v>-1.08501861194063</v>
      </c>
      <c r="AE4677" s="55" t="n">
        <f aca="false">IF(AC4677,IF(01_因子設定!$B$13="最大化",X4677,IF(01_因子設定!$B$13="最小化",-X4677,-ABS(X4677-01_因子設定!$B$16))),-1E+030)</f>
        <v>46.845079495614</v>
      </c>
      <c r="AF4677" s="55" t="n">
        <f aca="false">AD4677+ROW()*0.000000001</f>
        <v>-1.08501393494063</v>
      </c>
      <c r="AG4677" s="55" t="n">
        <f aca="false">AE4677+ROW()*0.000000001</f>
        <v>46.845084172614</v>
      </c>
    </row>
    <row r="4678" customFormat="false" ht="15" hidden="false" customHeight="false" outlineLevel="0" collapsed="false">
      <c r="A4678" s="0" t="n">
        <v>6</v>
      </c>
      <c r="B4678" s="0" t="n">
        <v>3</v>
      </c>
      <c r="C4678" s="0" t="n">
        <v>6</v>
      </c>
      <c r="D4678" s="0" t="n">
        <v>2</v>
      </c>
      <c r="E4678" s="0" t="n">
        <f aca="false">-1+A4678*0.25</f>
        <v>0.5</v>
      </c>
      <c r="F4678" s="0" t="n">
        <f aca="false">-1+B4678*0.25</f>
        <v>-0.25</v>
      </c>
      <c r="G4678" s="0" t="n">
        <f aca="false">-1+C4678*0.25</f>
        <v>0.5</v>
      </c>
      <c r="H4678" s="0" t="n">
        <f aca="false">-1+D4678*0.25</f>
        <v>-0.5</v>
      </c>
      <c r="I4678" s="0" t="n">
        <f aca="false">1</f>
        <v>1</v>
      </c>
      <c r="J4678" s="0" t="n">
        <f aca="false">E4678</f>
        <v>0.5</v>
      </c>
      <c r="K4678" s="0" t="n">
        <f aca="false">F4678</f>
        <v>-0.25</v>
      </c>
      <c r="L4678" s="0" t="n">
        <f aca="false">G4678</f>
        <v>0.5</v>
      </c>
      <c r="M4678" s="0" t="n">
        <f aca="false">H4678</f>
        <v>-0.5</v>
      </c>
      <c r="N4678" s="0" t="n">
        <f aca="false">E4678*F4678</f>
        <v>-0.125</v>
      </c>
      <c r="O4678" s="0" t="n">
        <f aca="false">E4678*G4678</f>
        <v>0.25</v>
      </c>
      <c r="P4678" s="0" t="n">
        <f aca="false">E4678*H4678</f>
        <v>-0.25</v>
      </c>
      <c r="Q4678" s="0" t="n">
        <f aca="false">F4678*G4678</f>
        <v>-0.125</v>
      </c>
      <c r="R4678" s="0" t="n">
        <f aca="false">F4678*H4678</f>
        <v>0.125</v>
      </c>
      <c r="S4678" s="0" t="n">
        <f aca="false">G4678*H4678</f>
        <v>-0.25</v>
      </c>
      <c r="T4678" s="0" t="n">
        <f aca="false">E4678*E4678</f>
        <v>0.25</v>
      </c>
      <c r="U4678" s="0" t="n">
        <f aca="false">F4678*F4678</f>
        <v>0.0625</v>
      </c>
      <c r="V4678" s="0" t="n">
        <f aca="false">G4678*G4678</f>
        <v>0.25</v>
      </c>
      <c r="W4678" s="0" t="n">
        <f aca="false">H4678*H4678</f>
        <v>0.25</v>
      </c>
      <c r="X4678" s="0" t="n">
        <f aca="false">SUMPRODUCT(I4678:W4678,_XtX!$B$96:$P$96)</f>
        <v>47.1308296783625</v>
      </c>
      <c r="Y4678" s="0" t="n">
        <f aca="false">SUMPRODUCT(MMULT(I4678:W4678,_XtX!$B$78:$P$92),I4678:W4678)</f>
        <v>0.133937545687135</v>
      </c>
      <c r="Z4678" s="0" t="n">
        <f aca="false">04_回帰ANOVA!$K$19*04_回帰ANOVA!$K$14*SQRT(1+Y4678)</f>
        <v>1.38801116780825</v>
      </c>
      <c r="AA4678" s="0" t="n">
        <f aca="false">X4678-Z4678</f>
        <v>45.7428185105543</v>
      </c>
      <c r="AB4678" s="0" t="n">
        <f aca="false">X4678+Z4678</f>
        <v>48.5188408461708</v>
      </c>
      <c r="AC4678" s="54" t="b">
        <f aca="false">AND(E4678&gt;=01_因子設定!$L$5-0.000000001,E4678&lt;=01_因子設定!$M$5+0.000000001,F4678&gt;=01_因子設定!$L$6-0.000000001,F4678&lt;=01_因子設定!$M$6+0.000000001,G4678&gt;=01_因子設定!$L$7-0.000000001,G4678&lt;=01_因子設定!$M$7+0.000000001,H4678&gt;=01_因子設定!$L$8-0.000000001,H4678&lt;=01_因子設定!$M$8+0.000000001,IF(01_因子設定!$B$20="Box-Behnken",E4678^2+F4678^2+G4678^2+H4678^2&lt;=2+0.000000001,TRUE()))</f>
        <v>1</v>
      </c>
      <c r="AD4678" s="55" t="n">
        <f aca="false">IF(AC4678,IF(01_因子設定!$B$13="最大化",AA4678-01_因子設定!$B$14,IF(01_因子設定!$B$13="最小化",01_因子設定!$B$15-AB4678,MIN(AA4678-01_因子設定!$B$14,01_因子設定!$B$15-AB4678))),-1E+030)</f>
        <v>-0.757181489445713</v>
      </c>
      <c r="AE4678" s="55" t="n">
        <f aca="false">IF(AC4678,IF(01_因子設定!$B$13="最大化",X4678,IF(01_因子設定!$B$13="最小化",-X4678,-ABS(X4678-01_因子設定!$B$16))),-1E+030)</f>
        <v>47.1308296783625</v>
      </c>
      <c r="AF4678" s="55" t="n">
        <f aca="false">AD4678+ROW()*0.000000001</f>
        <v>-0.757176811445713</v>
      </c>
      <c r="AG4678" s="55" t="n">
        <f aca="false">AE4678+ROW()*0.000000001</f>
        <v>47.1308343563625</v>
      </c>
    </row>
    <row r="4679" customFormat="false" ht="15" hidden="false" customHeight="false" outlineLevel="0" collapsed="false">
      <c r="A4679" s="0" t="n">
        <v>6</v>
      </c>
      <c r="B4679" s="0" t="n">
        <v>3</v>
      </c>
      <c r="C4679" s="0" t="n">
        <v>6</v>
      </c>
      <c r="D4679" s="0" t="n">
        <v>3</v>
      </c>
      <c r="E4679" s="0" t="n">
        <f aca="false">-1+A4679*0.25</f>
        <v>0.5</v>
      </c>
      <c r="F4679" s="0" t="n">
        <f aca="false">-1+B4679*0.25</f>
        <v>-0.25</v>
      </c>
      <c r="G4679" s="0" t="n">
        <f aca="false">-1+C4679*0.25</f>
        <v>0.5</v>
      </c>
      <c r="H4679" s="0" t="n">
        <f aca="false">-1+D4679*0.25</f>
        <v>-0.25</v>
      </c>
      <c r="I4679" s="0" t="n">
        <f aca="false">1</f>
        <v>1</v>
      </c>
      <c r="J4679" s="0" t="n">
        <f aca="false">E4679</f>
        <v>0.5</v>
      </c>
      <c r="K4679" s="0" t="n">
        <f aca="false">F4679</f>
        <v>-0.25</v>
      </c>
      <c r="L4679" s="0" t="n">
        <f aca="false">G4679</f>
        <v>0.5</v>
      </c>
      <c r="M4679" s="0" t="n">
        <f aca="false">H4679</f>
        <v>-0.25</v>
      </c>
      <c r="N4679" s="0" t="n">
        <f aca="false">E4679*F4679</f>
        <v>-0.125</v>
      </c>
      <c r="O4679" s="0" t="n">
        <f aca="false">E4679*G4679</f>
        <v>0.25</v>
      </c>
      <c r="P4679" s="0" t="n">
        <f aca="false">E4679*H4679</f>
        <v>-0.125</v>
      </c>
      <c r="Q4679" s="0" t="n">
        <f aca="false">F4679*G4679</f>
        <v>-0.125</v>
      </c>
      <c r="R4679" s="0" t="n">
        <f aca="false">F4679*H4679</f>
        <v>0.0625</v>
      </c>
      <c r="S4679" s="0" t="n">
        <f aca="false">G4679*H4679</f>
        <v>-0.125</v>
      </c>
      <c r="T4679" s="0" t="n">
        <f aca="false">E4679*E4679</f>
        <v>0.25</v>
      </c>
      <c r="U4679" s="0" t="n">
        <f aca="false">F4679*F4679</f>
        <v>0.0625</v>
      </c>
      <c r="V4679" s="0" t="n">
        <f aca="false">G4679*G4679</f>
        <v>0.25</v>
      </c>
      <c r="W4679" s="0" t="n">
        <f aca="false">H4679*H4679</f>
        <v>0.0625</v>
      </c>
      <c r="X4679" s="0" t="n">
        <f aca="false">SUMPRODUCT(I4679:W4679,_XtX!$B$96:$P$96)</f>
        <v>47.3687728435672</v>
      </c>
      <c r="Y4679" s="0" t="n">
        <f aca="false">SUMPRODUCT(MMULT(I4679:W4679,_XtX!$B$78:$P$92),I4679:W4679)</f>
        <v>0.128236647934942</v>
      </c>
      <c r="Z4679" s="0" t="n">
        <f aca="false">04_回帰ANOVA!$K$19*04_回帰ANOVA!$K$14*SQRT(1+Y4679)</f>
        <v>1.38451764188989</v>
      </c>
      <c r="AA4679" s="0" t="n">
        <f aca="false">X4679-Z4679</f>
        <v>45.9842552016773</v>
      </c>
      <c r="AB4679" s="0" t="n">
        <f aca="false">X4679+Z4679</f>
        <v>48.7532904854571</v>
      </c>
      <c r="AC4679" s="54" t="b">
        <f aca="false">AND(E4679&gt;=01_因子設定!$L$5-0.000000001,E4679&lt;=01_因子設定!$M$5+0.000000001,F4679&gt;=01_因子設定!$L$6-0.000000001,F4679&lt;=01_因子設定!$M$6+0.000000001,G4679&gt;=01_因子設定!$L$7-0.000000001,G4679&lt;=01_因子設定!$M$7+0.000000001,H4679&gt;=01_因子設定!$L$8-0.000000001,H4679&lt;=01_因子設定!$M$8+0.000000001,IF(01_因子設定!$B$20="Box-Behnken",E4679^2+F4679^2+G4679^2+H4679^2&lt;=2+0.000000001,TRUE()))</f>
        <v>1</v>
      </c>
      <c r="AD4679" s="55" t="n">
        <f aca="false">IF(AC4679,IF(01_因子設定!$B$13="最大化",AA4679-01_因子設定!$B$14,IF(01_因子設定!$B$13="最小化",01_因子設定!$B$15-AB4679,MIN(AA4679-01_因子設定!$B$14,01_因子設定!$B$15-AB4679))),-1E+030)</f>
        <v>-0.515744798322672</v>
      </c>
      <c r="AE4679" s="55" t="n">
        <f aca="false">IF(AC4679,IF(01_因子設定!$B$13="最大化",X4679,IF(01_因子設定!$B$13="最小化",-X4679,-ABS(X4679-01_因子設定!$B$16))),-1E+030)</f>
        <v>47.3687728435672</v>
      </c>
      <c r="AF4679" s="55" t="n">
        <f aca="false">AD4679+ROW()*0.000000001</f>
        <v>-0.515740119322672</v>
      </c>
      <c r="AG4679" s="55" t="n">
        <f aca="false">AE4679+ROW()*0.000000001</f>
        <v>47.3687775225672</v>
      </c>
    </row>
    <row r="4680" customFormat="false" ht="15" hidden="false" customHeight="false" outlineLevel="0" collapsed="false">
      <c r="A4680" s="0" t="n">
        <v>6</v>
      </c>
      <c r="B4680" s="0" t="n">
        <v>3</v>
      </c>
      <c r="C4680" s="0" t="n">
        <v>6</v>
      </c>
      <c r="D4680" s="0" t="n">
        <v>4</v>
      </c>
      <c r="E4680" s="0" t="n">
        <f aca="false">-1+A4680*0.25</f>
        <v>0.5</v>
      </c>
      <c r="F4680" s="0" t="n">
        <f aca="false">-1+B4680*0.25</f>
        <v>-0.25</v>
      </c>
      <c r="G4680" s="0" t="n">
        <f aca="false">-1+C4680*0.25</f>
        <v>0.5</v>
      </c>
      <c r="H4680" s="0" t="n">
        <f aca="false">-1+D4680*0.25</f>
        <v>0</v>
      </c>
      <c r="I4680" s="0" t="n">
        <f aca="false">1</f>
        <v>1</v>
      </c>
      <c r="J4680" s="0" t="n">
        <f aca="false">E4680</f>
        <v>0.5</v>
      </c>
      <c r="K4680" s="0" t="n">
        <f aca="false">F4680</f>
        <v>-0.25</v>
      </c>
      <c r="L4680" s="0" t="n">
        <f aca="false">G4680</f>
        <v>0.5</v>
      </c>
      <c r="M4680" s="0" t="n">
        <f aca="false">H4680</f>
        <v>0</v>
      </c>
      <c r="N4680" s="0" t="n">
        <f aca="false">E4680*F4680</f>
        <v>-0.125</v>
      </c>
      <c r="O4680" s="0" t="n">
        <f aca="false">E4680*G4680</f>
        <v>0.25</v>
      </c>
      <c r="P4680" s="0" t="n">
        <f aca="false">E4680*H4680</f>
        <v>0</v>
      </c>
      <c r="Q4680" s="0" t="n">
        <f aca="false">F4680*G4680</f>
        <v>-0.125</v>
      </c>
      <c r="R4680" s="0" t="n">
        <f aca="false">F4680*H4680</f>
        <v>-0</v>
      </c>
      <c r="S4680" s="0" t="n">
        <f aca="false">G4680*H4680</f>
        <v>0</v>
      </c>
      <c r="T4680" s="0" t="n">
        <f aca="false">E4680*E4680</f>
        <v>0.25</v>
      </c>
      <c r="U4680" s="0" t="n">
        <f aca="false">F4680*F4680</f>
        <v>0.0625</v>
      </c>
      <c r="V4680" s="0" t="n">
        <f aca="false">G4680*G4680</f>
        <v>0.25</v>
      </c>
      <c r="W4680" s="0" t="n">
        <f aca="false">H4680*H4680</f>
        <v>0</v>
      </c>
      <c r="X4680" s="0" t="n">
        <f aca="false">SUMPRODUCT(I4680:W4680,_XtX!$B$96:$P$96)</f>
        <v>47.558908991228</v>
      </c>
      <c r="Y4680" s="0" t="n">
        <f aca="false">SUMPRODUCT(MMULT(I4680:W4680,_XtX!$B$78:$P$92),I4680:W4680)</f>
        <v>0.132367050438597</v>
      </c>
      <c r="Z4680" s="0" t="n">
        <f aca="false">04_回帰ANOVA!$K$19*04_回帰ANOVA!$K$14*SQRT(1+Y4680)</f>
        <v>1.38704964208329</v>
      </c>
      <c r="AA4680" s="0" t="n">
        <f aca="false">X4680-Z4680</f>
        <v>46.1718593491447</v>
      </c>
      <c r="AB4680" s="0" t="n">
        <f aca="false">X4680+Z4680</f>
        <v>48.9459586333113</v>
      </c>
      <c r="AC4680" s="54" t="b">
        <f aca="false">AND(E4680&gt;=01_因子設定!$L$5-0.000000001,E4680&lt;=01_因子設定!$M$5+0.000000001,F4680&gt;=01_因子設定!$L$6-0.000000001,F4680&lt;=01_因子設定!$M$6+0.000000001,G4680&gt;=01_因子設定!$L$7-0.000000001,G4680&lt;=01_因子設定!$M$7+0.000000001,H4680&gt;=01_因子設定!$L$8-0.000000001,H4680&lt;=01_因子設定!$M$8+0.000000001,IF(01_因子設定!$B$20="Box-Behnken",E4680^2+F4680^2+G4680^2+H4680^2&lt;=2+0.000000001,TRUE()))</f>
        <v>1</v>
      </c>
      <c r="AD4680" s="55" t="n">
        <f aca="false">IF(AC4680,IF(01_因子設定!$B$13="最大化",AA4680-01_因子設定!$B$14,IF(01_因子設定!$B$13="最小化",01_因子設定!$B$15-AB4680,MIN(AA4680-01_因子設定!$B$14,01_因子設定!$B$15-AB4680))),-1E+030)</f>
        <v>-0.328140650855261</v>
      </c>
      <c r="AE4680" s="55" t="n">
        <f aca="false">IF(AC4680,IF(01_因子設定!$B$13="最大化",X4680,IF(01_因子設定!$B$13="最小化",-X4680,-ABS(X4680-01_因子設定!$B$16))),-1E+030)</f>
        <v>47.558908991228</v>
      </c>
      <c r="AF4680" s="55" t="n">
        <f aca="false">AD4680+ROW()*0.000000001</f>
        <v>-0.328135970855261</v>
      </c>
      <c r="AG4680" s="55" t="n">
        <f aca="false">AE4680+ROW()*0.000000001</f>
        <v>47.558913671228</v>
      </c>
    </row>
    <row r="4681" customFormat="false" ht="15" hidden="false" customHeight="false" outlineLevel="0" collapsed="false">
      <c r="A4681" s="0" t="n">
        <v>6</v>
      </c>
      <c r="B4681" s="0" t="n">
        <v>3</v>
      </c>
      <c r="C4681" s="0" t="n">
        <v>6</v>
      </c>
      <c r="D4681" s="0" t="n">
        <v>5</v>
      </c>
      <c r="E4681" s="0" t="n">
        <f aca="false">-1+A4681*0.25</f>
        <v>0.5</v>
      </c>
      <c r="F4681" s="0" t="n">
        <f aca="false">-1+B4681*0.25</f>
        <v>-0.25</v>
      </c>
      <c r="G4681" s="0" t="n">
        <f aca="false">-1+C4681*0.25</f>
        <v>0.5</v>
      </c>
      <c r="H4681" s="0" t="n">
        <f aca="false">-1+D4681*0.25</f>
        <v>0.25</v>
      </c>
      <c r="I4681" s="0" t="n">
        <f aca="false">1</f>
        <v>1</v>
      </c>
      <c r="J4681" s="0" t="n">
        <f aca="false">E4681</f>
        <v>0.5</v>
      </c>
      <c r="K4681" s="0" t="n">
        <f aca="false">F4681</f>
        <v>-0.25</v>
      </c>
      <c r="L4681" s="0" t="n">
        <f aca="false">G4681</f>
        <v>0.5</v>
      </c>
      <c r="M4681" s="0" t="n">
        <f aca="false">H4681</f>
        <v>0.25</v>
      </c>
      <c r="N4681" s="0" t="n">
        <f aca="false">E4681*F4681</f>
        <v>-0.125</v>
      </c>
      <c r="O4681" s="0" t="n">
        <f aca="false">E4681*G4681</f>
        <v>0.25</v>
      </c>
      <c r="P4681" s="0" t="n">
        <f aca="false">E4681*H4681</f>
        <v>0.125</v>
      </c>
      <c r="Q4681" s="0" t="n">
        <f aca="false">F4681*G4681</f>
        <v>-0.125</v>
      </c>
      <c r="R4681" s="0" t="n">
        <f aca="false">F4681*H4681</f>
        <v>-0.0625</v>
      </c>
      <c r="S4681" s="0" t="n">
        <f aca="false">G4681*H4681</f>
        <v>0.125</v>
      </c>
      <c r="T4681" s="0" t="n">
        <f aca="false">E4681*E4681</f>
        <v>0.25</v>
      </c>
      <c r="U4681" s="0" t="n">
        <f aca="false">F4681*F4681</f>
        <v>0.0625</v>
      </c>
      <c r="V4681" s="0" t="n">
        <f aca="false">G4681*G4681</f>
        <v>0.25</v>
      </c>
      <c r="W4681" s="0" t="n">
        <f aca="false">H4681*H4681</f>
        <v>0.0625</v>
      </c>
      <c r="X4681" s="0" t="n">
        <f aca="false">SUMPRODUCT(I4681:W4681,_XtX!$B$96:$P$96)</f>
        <v>47.701238121345</v>
      </c>
      <c r="Y4681" s="0" t="n">
        <f aca="false">SUMPRODUCT(MMULT(I4681:W4681,_XtX!$B$78:$P$92),I4681:W4681)</f>
        <v>0.128236647934942</v>
      </c>
      <c r="Z4681" s="0" t="n">
        <f aca="false">04_回帰ANOVA!$K$19*04_回帰ANOVA!$K$14*SQRT(1+Y4681)</f>
        <v>1.38451764188989</v>
      </c>
      <c r="AA4681" s="0" t="n">
        <f aca="false">X4681-Z4681</f>
        <v>46.3167204794551</v>
      </c>
      <c r="AB4681" s="0" t="n">
        <f aca="false">X4681+Z4681</f>
        <v>49.0857557632349</v>
      </c>
      <c r="AC4681" s="54" t="b">
        <f aca="false">AND(E4681&gt;=01_因子設定!$L$5-0.000000001,E4681&lt;=01_因子設定!$M$5+0.000000001,F4681&gt;=01_因子設定!$L$6-0.000000001,F4681&lt;=01_因子設定!$M$6+0.000000001,G4681&gt;=01_因子設定!$L$7-0.000000001,G4681&lt;=01_因子設定!$M$7+0.000000001,H4681&gt;=01_因子設定!$L$8-0.000000001,H4681&lt;=01_因子設定!$M$8+0.000000001,IF(01_因子設定!$B$20="Box-Behnken",E4681^2+F4681^2+G4681^2+H4681^2&lt;=2+0.000000001,TRUE()))</f>
        <v>1</v>
      </c>
      <c r="AD4681" s="55" t="n">
        <f aca="false">IF(AC4681,IF(01_因子設定!$B$13="最大化",AA4681-01_因子設定!$B$14,IF(01_因子設定!$B$13="最小化",01_因子設定!$B$15-AB4681,MIN(AA4681-01_因子設定!$B$14,01_因子設定!$B$15-AB4681))),-1E+030)</f>
        <v>-0.1832795205449</v>
      </c>
      <c r="AE4681" s="55" t="n">
        <f aca="false">IF(AC4681,IF(01_因子設定!$B$13="最大化",X4681,IF(01_因子設定!$B$13="最小化",-X4681,-ABS(X4681-01_因子設定!$B$16))),-1E+030)</f>
        <v>47.701238121345</v>
      </c>
      <c r="AF4681" s="55" t="n">
        <f aca="false">AD4681+ROW()*0.000000001</f>
        <v>-0.1832748395449</v>
      </c>
      <c r="AG4681" s="55" t="n">
        <f aca="false">AE4681+ROW()*0.000000001</f>
        <v>47.701242802345</v>
      </c>
    </row>
    <row r="4682" customFormat="false" ht="15" hidden="false" customHeight="false" outlineLevel="0" collapsed="false">
      <c r="A4682" s="0" t="n">
        <v>6</v>
      </c>
      <c r="B4682" s="0" t="n">
        <v>3</v>
      </c>
      <c r="C4682" s="0" t="n">
        <v>6</v>
      </c>
      <c r="D4682" s="0" t="n">
        <v>6</v>
      </c>
      <c r="E4682" s="0" t="n">
        <f aca="false">-1+A4682*0.25</f>
        <v>0.5</v>
      </c>
      <c r="F4682" s="0" t="n">
        <f aca="false">-1+B4682*0.25</f>
        <v>-0.25</v>
      </c>
      <c r="G4682" s="0" t="n">
        <f aca="false">-1+C4682*0.25</f>
        <v>0.5</v>
      </c>
      <c r="H4682" s="0" t="n">
        <f aca="false">-1+D4682*0.25</f>
        <v>0.5</v>
      </c>
      <c r="I4682" s="0" t="n">
        <f aca="false">1</f>
        <v>1</v>
      </c>
      <c r="J4682" s="0" t="n">
        <f aca="false">E4682</f>
        <v>0.5</v>
      </c>
      <c r="K4682" s="0" t="n">
        <f aca="false">F4682</f>
        <v>-0.25</v>
      </c>
      <c r="L4682" s="0" t="n">
        <f aca="false">G4682</f>
        <v>0.5</v>
      </c>
      <c r="M4682" s="0" t="n">
        <f aca="false">H4682</f>
        <v>0.5</v>
      </c>
      <c r="N4682" s="0" t="n">
        <f aca="false">E4682*F4682</f>
        <v>-0.125</v>
      </c>
      <c r="O4682" s="0" t="n">
        <f aca="false">E4682*G4682</f>
        <v>0.25</v>
      </c>
      <c r="P4682" s="0" t="n">
        <f aca="false">E4682*H4682</f>
        <v>0.25</v>
      </c>
      <c r="Q4682" s="0" t="n">
        <f aca="false">F4682*G4682</f>
        <v>-0.125</v>
      </c>
      <c r="R4682" s="0" t="n">
        <f aca="false">F4682*H4682</f>
        <v>-0.125</v>
      </c>
      <c r="S4682" s="0" t="n">
        <f aca="false">G4682*H4682</f>
        <v>0.25</v>
      </c>
      <c r="T4682" s="0" t="n">
        <f aca="false">E4682*E4682</f>
        <v>0.25</v>
      </c>
      <c r="U4682" s="0" t="n">
        <f aca="false">F4682*F4682</f>
        <v>0.0625</v>
      </c>
      <c r="V4682" s="0" t="n">
        <f aca="false">G4682*G4682</f>
        <v>0.25</v>
      </c>
      <c r="W4682" s="0" t="n">
        <f aca="false">H4682*H4682</f>
        <v>0.25</v>
      </c>
      <c r="X4682" s="0" t="n">
        <f aca="false">SUMPRODUCT(I4682:W4682,_XtX!$B$96:$P$96)</f>
        <v>47.7957602339181</v>
      </c>
      <c r="Y4682" s="0" t="n">
        <f aca="false">SUMPRODUCT(MMULT(I4682:W4682,_XtX!$B$78:$P$92),I4682:W4682)</f>
        <v>0.133937545687135</v>
      </c>
      <c r="Z4682" s="0" t="n">
        <f aca="false">04_回帰ANOVA!$K$19*04_回帰ANOVA!$K$14*SQRT(1+Y4682)</f>
        <v>1.38801116780825</v>
      </c>
      <c r="AA4682" s="0" t="n">
        <f aca="false">X4682-Z4682</f>
        <v>46.4077490661098</v>
      </c>
      <c r="AB4682" s="0" t="n">
        <f aca="false">X4682+Z4682</f>
        <v>49.1837714017264</v>
      </c>
      <c r="AC4682" s="54" t="b">
        <f aca="false">AND(E4682&gt;=01_因子設定!$L$5-0.000000001,E4682&lt;=01_因子設定!$M$5+0.000000001,F4682&gt;=01_因子設定!$L$6-0.000000001,F4682&lt;=01_因子設定!$M$6+0.000000001,G4682&gt;=01_因子設定!$L$7-0.000000001,G4682&lt;=01_因子設定!$M$7+0.000000001,H4682&gt;=01_因子設定!$L$8-0.000000001,H4682&lt;=01_因子設定!$M$8+0.000000001,IF(01_因子設定!$B$20="Box-Behnken",E4682^2+F4682^2+G4682^2+H4682^2&lt;=2+0.000000001,TRUE()))</f>
        <v>1</v>
      </c>
      <c r="AD4682" s="55" t="n">
        <f aca="false">IF(AC4682,IF(01_因子設定!$B$13="最大化",AA4682-01_因子設定!$B$14,IF(01_因子設定!$B$13="最小化",01_因子設定!$B$15-AB4682,MIN(AA4682-01_因子設定!$B$14,01_因子設定!$B$15-AB4682))),-1E+030)</f>
        <v>-0.0922509338901563</v>
      </c>
      <c r="AE4682" s="55" t="n">
        <f aca="false">IF(AC4682,IF(01_因子設定!$B$13="最大化",X4682,IF(01_因子設定!$B$13="最小化",-X4682,-ABS(X4682-01_因子設定!$B$16))),-1E+030)</f>
        <v>47.7957602339181</v>
      </c>
      <c r="AF4682" s="55" t="n">
        <f aca="false">AD4682+ROW()*0.000000001</f>
        <v>-0.0922462518901563</v>
      </c>
      <c r="AG4682" s="55" t="n">
        <f aca="false">AE4682+ROW()*0.000000001</f>
        <v>47.7957649159181</v>
      </c>
    </row>
    <row r="4683" customFormat="false" ht="15" hidden="false" customHeight="false" outlineLevel="0" collapsed="false">
      <c r="A4683" s="0" t="n">
        <v>6</v>
      </c>
      <c r="B4683" s="0" t="n">
        <v>3</v>
      </c>
      <c r="C4683" s="0" t="n">
        <v>6</v>
      </c>
      <c r="D4683" s="0" t="n">
        <v>7</v>
      </c>
      <c r="E4683" s="0" t="n">
        <f aca="false">-1+A4683*0.25</f>
        <v>0.5</v>
      </c>
      <c r="F4683" s="0" t="n">
        <f aca="false">-1+B4683*0.25</f>
        <v>-0.25</v>
      </c>
      <c r="G4683" s="0" t="n">
        <f aca="false">-1+C4683*0.25</f>
        <v>0.5</v>
      </c>
      <c r="H4683" s="0" t="n">
        <f aca="false">-1+D4683*0.25</f>
        <v>0.75</v>
      </c>
      <c r="I4683" s="0" t="n">
        <f aca="false">1</f>
        <v>1</v>
      </c>
      <c r="J4683" s="0" t="n">
        <f aca="false">E4683</f>
        <v>0.5</v>
      </c>
      <c r="K4683" s="0" t="n">
        <f aca="false">F4683</f>
        <v>-0.25</v>
      </c>
      <c r="L4683" s="0" t="n">
        <f aca="false">G4683</f>
        <v>0.5</v>
      </c>
      <c r="M4683" s="0" t="n">
        <f aca="false">H4683</f>
        <v>0.75</v>
      </c>
      <c r="N4683" s="0" t="n">
        <f aca="false">E4683*F4683</f>
        <v>-0.125</v>
      </c>
      <c r="O4683" s="0" t="n">
        <f aca="false">E4683*G4683</f>
        <v>0.25</v>
      </c>
      <c r="P4683" s="0" t="n">
        <f aca="false">E4683*H4683</f>
        <v>0.375</v>
      </c>
      <c r="Q4683" s="0" t="n">
        <f aca="false">F4683*G4683</f>
        <v>-0.125</v>
      </c>
      <c r="R4683" s="0" t="n">
        <f aca="false">F4683*H4683</f>
        <v>-0.1875</v>
      </c>
      <c r="S4683" s="0" t="n">
        <f aca="false">G4683*H4683</f>
        <v>0.375</v>
      </c>
      <c r="T4683" s="0" t="n">
        <f aca="false">E4683*E4683</f>
        <v>0.25</v>
      </c>
      <c r="U4683" s="0" t="n">
        <f aca="false">F4683*F4683</f>
        <v>0.0625</v>
      </c>
      <c r="V4683" s="0" t="n">
        <f aca="false">G4683*G4683</f>
        <v>0.25</v>
      </c>
      <c r="W4683" s="0" t="n">
        <f aca="false">H4683*H4683</f>
        <v>0.5625</v>
      </c>
      <c r="X4683" s="0" t="n">
        <f aca="false">SUMPRODUCT(I4683:W4683,_XtX!$B$96:$P$96)</f>
        <v>47.8424753289473</v>
      </c>
      <c r="Y4683" s="0" t="n">
        <f aca="false">SUMPRODUCT(MMULT(I4683:W4683,_XtX!$B$78:$P$92),I4683:W4683)</f>
        <v>0.203746059484649</v>
      </c>
      <c r="Z4683" s="0" t="n">
        <f aca="false">04_回帰ANOVA!$K$19*04_回帰ANOVA!$K$14*SQRT(1+Y4683)</f>
        <v>1.43009810755465</v>
      </c>
      <c r="AA4683" s="0" t="n">
        <f aca="false">X4683-Z4683</f>
        <v>46.4123772213927</v>
      </c>
      <c r="AB4683" s="0" t="n">
        <f aca="false">X4683+Z4683</f>
        <v>49.272573436502</v>
      </c>
      <c r="AC4683" s="54" t="b">
        <f aca="false">AND(E4683&gt;=01_因子設定!$L$5-0.000000001,E4683&lt;=01_因子設定!$M$5+0.000000001,F4683&gt;=01_因子設定!$L$6-0.000000001,F4683&lt;=01_因子設定!$M$6+0.000000001,G4683&gt;=01_因子設定!$L$7-0.000000001,G4683&lt;=01_因子設定!$M$7+0.000000001,H4683&gt;=01_因子設定!$L$8-0.000000001,H4683&lt;=01_因子設定!$M$8+0.000000001,IF(01_因子設定!$B$20="Box-Behnken",E4683^2+F4683^2+G4683^2+H4683^2&lt;=2+0.000000001,TRUE()))</f>
        <v>1</v>
      </c>
      <c r="AD4683" s="55" t="n">
        <f aca="false">IF(AC4683,IF(01_因子設定!$B$13="最大化",AA4683-01_因子設定!$B$14,IF(01_因子設定!$B$13="最小化",01_因子設定!$B$15-AB4683,MIN(AA4683-01_因子設定!$B$14,01_因子設定!$B$15-AB4683))),-1E+030)</f>
        <v>-0.0876227786073045</v>
      </c>
      <c r="AE4683" s="55" t="n">
        <f aca="false">IF(AC4683,IF(01_因子設定!$B$13="最大化",X4683,IF(01_因子設定!$B$13="最小化",-X4683,-ABS(X4683-01_因子設定!$B$16))),-1E+030)</f>
        <v>47.8424753289473</v>
      </c>
      <c r="AF4683" s="55" t="n">
        <f aca="false">AD4683+ROW()*0.000000001</f>
        <v>-0.0876180956073045</v>
      </c>
      <c r="AG4683" s="55" t="n">
        <f aca="false">AE4683+ROW()*0.000000001</f>
        <v>47.8424800119473</v>
      </c>
    </row>
    <row r="4684" customFormat="false" ht="15" hidden="false" customHeight="false" outlineLevel="0" collapsed="false">
      <c r="A4684" s="0" t="n">
        <v>6</v>
      </c>
      <c r="B4684" s="0" t="n">
        <v>3</v>
      </c>
      <c r="C4684" s="0" t="n">
        <v>6</v>
      </c>
      <c r="D4684" s="0" t="n">
        <v>8</v>
      </c>
      <c r="E4684" s="0" t="n">
        <f aca="false">-1+A4684*0.25</f>
        <v>0.5</v>
      </c>
      <c r="F4684" s="0" t="n">
        <f aca="false">-1+B4684*0.25</f>
        <v>-0.25</v>
      </c>
      <c r="G4684" s="0" t="n">
        <f aca="false">-1+C4684*0.25</f>
        <v>0.5</v>
      </c>
      <c r="H4684" s="0" t="n">
        <f aca="false">-1+D4684*0.25</f>
        <v>1</v>
      </c>
      <c r="I4684" s="0" t="n">
        <f aca="false">1</f>
        <v>1</v>
      </c>
      <c r="J4684" s="0" t="n">
        <f aca="false">E4684</f>
        <v>0.5</v>
      </c>
      <c r="K4684" s="0" t="n">
        <f aca="false">F4684</f>
        <v>-0.25</v>
      </c>
      <c r="L4684" s="0" t="n">
        <f aca="false">G4684</f>
        <v>0.5</v>
      </c>
      <c r="M4684" s="0" t="n">
        <f aca="false">H4684</f>
        <v>1</v>
      </c>
      <c r="N4684" s="0" t="n">
        <f aca="false">E4684*F4684</f>
        <v>-0.125</v>
      </c>
      <c r="O4684" s="0" t="n">
        <f aca="false">E4684*G4684</f>
        <v>0.25</v>
      </c>
      <c r="P4684" s="0" t="n">
        <f aca="false">E4684*H4684</f>
        <v>0.5</v>
      </c>
      <c r="Q4684" s="0" t="n">
        <f aca="false">F4684*G4684</f>
        <v>-0.125</v>
      </c>
      <c r="R4684" s="0" t="n">
        <f aca="false">F4684*H4684</f>
        <v>-0.25</v>
      </c>
      <c r="S4684" s="0" t="n">
        <f aca="false">G4684*H4684</f>
        <v>0.5</v>
      </c>
      <c r="T4684" s="0" t="n">
        <f aca="false">E4684*E4684</f>
        <v>0.25</v>
      </c>
      <c r="U4684" s="0" t="n">
        <f aca="false">F4684*F4684</f>
        <v>0.0625</v>
      </c>
      <c r="V4684" s="0" t="n">
        <f aca="false">G4684*G4684</f>
        <v>0.25</v>
      </c>
      <c r="W4684" s="0" t="n">
        <f aca="false">H4684*H4684</f>
        <v>1</v>
      </c>
      <c r="X4684" s="0" t="n">
        <f aca="false">SUMPRODUCT(I4684:W4684,_XtX!$B$96:$P$96)</f>
        <v>47.8413834064327</v>
      </c>
      <c r="Y4684" s="0" t="n">
        <f aca="false">SUMPRODUCT(MMULT(I4684:W4684,_XtX!$B$78:$P$92),I4684:W4684)</f>
        <v>0.428122715643275</v>
      </c>
      <c r="Z4684" s="0" t="n">
        <f aca="false">04_回帰ANOVA!$K$19*04_回帰ANOVA!$K$14*SQRT(1+Y4684)</f>
        <v>1.55769044623229</v>
      </c>
      <c r="AA4684" s="0" t="n">
        <f aca="false">X4684-Z4684</f>
        <v>46.2836929602005</v>
      </c>
      <c r="AB4684" s="0" t="n">
        <f aca="false">X4684+Z4684</f>
        <v>49.399073852665</v>
      </c>
      <c r="AC4684" s="54" t="b">
        <f aca="false">AND(E4684&gt;=01_因子設定!$L$5-0.000000001,E4684&lt;=01_因子設定!$M$5+0.000000001,F4684&gt;=01_因子設定!$L$6-0.000000001,F4684&lt;=01_因子設定!$M$6+0.000000001,G4684&gt;=01_因子設定!$L$7-0.000000001,G4684&lt;=01_因子設定!$M$7+0.000000001,H4684&gt;=01_因子設定!$L$8-0.000000001,H4684&lt;=01_因子設定!$M$8+0.000000001,IF(01_因子設定!$B$20="Box-Behnken",E4684^2+F4684^2+G4684^2+H4684^2&lt;=2+0.000000001,TRUE()))</f>
        <v>1</v>
      </c>
      <c r="AD4684" s="55" t="n">
        <f aca="false">IF(AC4684,IF(01_因子設定!$B$13="最大化",AA4684-01_因子設定!$B$14,IF(01_因子設定!$B$13="最小化",01_因子設定!$B$15-AB4684,MIN(AA4684-01_因子設定!$B$14,01_因子設定!$B$15-AB4684))),-1E+030)</f>
        <v>-0.216307039799553</v>
      </c>
      <c r="AE4684" s="55" t="n">
        <f aca="false">IF(AC4684,IF(01_因子設定!$B$13="最大化",X4684,IF(01_因子設定!$B$13="最小化",-X4684,-ABS(X4684-01_因子設定!$B$16))),-1E+030)</f>
        <v>47.8413834064327</v>
      </c>
      <c r="AF4684" s="55" t="n">
        <f aca="false">AD4684+ROW()*0.000000001</f>
        <v>-0.216302355799553</v>
      </c>
      <c r="AG4684" s="55" t="n">
        <f aca="false">AE4684+ROW()*0.000000001</f>
        <v>47.8413880904327</v>
      </c>
    </row>
    <row r="4685" customFormat="false" ht="15" hidden="false" customHeight="false" outlineLevel="0" collapsed="false">
      <c r="A4685" s="0" t="n">
        <v>6</v>
      </c>
      <c r="B4685" s="0" t="n">
        <v>3</v>
      </c>
      <c r="C4685" s="0" t="n">
        <v>7</v>
      </c>
      <c r="D4685" s="0" t="n">
        <v>0</v>
      </c>
      <c r="E4685" s="0" t="n">
        <f aca="false">-1+A4685*0.25</f>
        <v>0.5</v>
      </c>
      <c r="F4685" s="0" t="n">
        <f aca="false">-1+B4685*0.25</f>
        <v>-0.25</v>
      </c>
      <c r="G4685" s="0" t="n">
        <f aca="false">-1+C4685*0.25</f>
        <v>0.75</v>
      </c>
      <c r="H4685" s="0" t="n">
        <f aca="false">-1+D4685*0.25</f>
        <v>-1</v>
      </c>
      <c r="I4685" s="0" t="n">
        <f aca="false">1</f>
        <v>1</v>
      </c>
      <c r="J4685" s="0" t="n">
        <f aca="false">E4685</f>
        <v>0.5</v>
      </c>
      <c r="K4685" s="0" t="n">
        <f aca="false">F4685</f>
        <v>-0.25</v>
      </c>
      <c r="L4685" s="0" t="n">
        <f aca="false">G4685</f>
        <v>0.75</v>
      </c>
      <c r="M4685" s="0" t="n">
        <f aca="false">H4685</f>
        <v>-1</v>
      </c>
      <c r="N4685" s="0" t="n">
        <f aca="false">E4685*F4685</f>
        <v>-0.125</v>
      </c>
      <c r="O4685" s="0" t="n">
        <f aca="false">E4685*G4685</f>
        <v>0.375</v>
      </c>
      <c r="P4685" s="0" t="n">
        <f aca="false">E4685*H4685</f>
        <v>-0.5</v>
      </c>
      <c r="Q4685" s="0" t="n">
        <f aca="false">F4685*G4685</f>
        <v>-0.1875</v>
      </c>
      <c r="R4685" s="0" t="n">
        <f aca="false">F4685*H4685</f>
        <v>0.25</v>
      </c>
      <c r="S4685" s="0" t="n">
        <f aca="false">G4685*H4685</f>
        <v>-0.75</v>
      </c>
      <c r="T4685" s="0" t="n">
        <f aca="false">E4685*E4685</f>
        <v>0.25</v>
      </c>
      <c r="U4685" s="0" t="n">
        <f aca="false">F4685*F4685</f>
        <v>0.0625</v>
      </c>
      <c r="V4685" s="0" t="n">
        <f aca="false">G4685*G4685</f>
        <v>0.5625</v>
      </c>
      <c r="W4685" s="0" t="n">
        <f aca="false">H4685*H4685</f>
        <v>1</v>
      </c>
      <c r="X4685" s="0" t="n">
        <f aca="false">SUMPRODUCT(I4685:W4685,_XtX!$B$96:$P$96)</f>
        <v>46.3714318347953</v>
      </c>
      <c r="Y4685" s="0" t="n">
        <f aca="false">SUMPRODUCT(MMULT(I4685:W4685,_XtX!$B$78:$P$92),I4685:W4685)</f>
        <v>0.459125719572369</v>
      </c>
      <c r="Z4685" s="0" t="n">
        <f aca="false">04_回帰ANOVA!$K$19*04_回帰ANOVA!$K$14*SQRT(1+Y4685)</f>
        <v>1.57450755575573</v>
      </c>
      <c r="AA4685" s="0" t="n">
        <f aca="false">X4685-Z4685</f>
        <v>44.7969242790396</v>
      </c>
      <c r="AB4685" s="0" t="n">
        <f aca="false">X4685+Z4685</f>
        <v>47.9459393905511</v>
      </c>
      <c r="AC4685" s="54" t="b">
        <f aca="false">AND(E4685&gt;=01_因子設定!$L$5-0.000000001,E4685&lt;=01_因子設定!$M$5+0.000000001,F4685&gt;=01_因子設定!$L$6-0.000000001,F4685&lt;=01_因子設定!$M$6+0.000000001,G4685&gt;=01_因子設定!$L$7-0.000000001,G4685&lt;=01_因子設定!$M$7+0.000000001,H4685&gt;=01_因子設定!$L$8-0.000000001,H4685&lt;=01_因子設定!$M$8+0.000000001,IF(01_因子設定!$B$20="Box-Behnken",E4685^2+F4685^2+G4685^2+H4685^2&lt;=2+0.000000001,TRUE()))</f>
        <v>1</v>
      </c>
      <c r="AD4685" s="55" t="n">
        <f aca="false">IF(AC4685,IF(01_因子設定!$B$13="最大化",AA4685-01_因子設定!$B$14,IF(01_因子設定!$B$13="最小化",01_因子設定!$B$15-AB4685,MIN(AA4685-01_因子設定!$B$14,01_因子設定!$B$15-AB4685))),-1E+030)</f>
        <v>-1.70307572096041</v>
      </c>
      <c r="AE4685" s="55" t="n">
        <f aca="false">IF(AC4685,IF(01_因子設定!$B$13="最大化",X4685,IF(01_因子設定!$B$13="最小化",-X4685,-ABS(X4685-01_因子設定!$B$16))),-1E+030)</f>
        <v>46.3714318347953</v>
      </c>
      <c r="AF4685" s="55" t="n">
        <f aca="false">AD4685+ROW()*0.000000001</f>
        <v>-1.70307103596041</v>
      </c>
      <c r="AG4685" s="55" t="n">
        <f aca="false">AE4685+ROW()*0.000000001</f>
        <v>46.3714365197953</v>
      </c>
    </row>
    <row r="4686" customFormat="false" ht="15" hidden="false" customHeight="false" outlineLevel="0" collapsed="false">
      <c r="A4686" s="0" t="n">
        <v>6</v>
      </c>
      <c r="B4686" s="0" t="n">
        <v>3</v>
      </c>
      <c r="C4686" s="0" t="n">
        <v>7</v>
      </c>
      <c r="D4686" s="0" t="n">
        <v>1</v>
      </c>
      <c r="E4686" s="0" t="n">
        <f aca="false">-1+A4686*0.25</f>
        <v>0.5</v>
      </c>
      <c r="F4686" s="0" t="n">
        <f aca="false">-1+B4686*0.25</f>
        <v>-0.25</v>
      </c>
      <c r="G4686" s="0" t="n">
        <f aca="false">-1+C4686*0.25</f>
        <v>0.75</v>
      </c>
      <c r="H4686" s="0" t="n">
        <f aca="false">-1+D4686*0.25</f>
        <v>-0.75</v>
      </c>
      <c r="I4686" s="0" t="n">
        <f aca="false">1</f>
        <v>1</v>
      </c>
      <c r="J4686" s="0" t="n">
        <f aca="false">E4686</f>
        <v>0.5</v>
      </c>
      <c r="K4686" s="0" t="n">
        <f aca="false">F4686</f>
        <v>-0.25</v>
      </c>
      <c r="L4686" s="0" t="n">
        <f aca="false">G4686</f>
        <v>0.75</v>
      </c>
      <c r="M4686" s="0" t="n">
        <f aca="false">H4686</f>
        <v>-0.75</v>
      </c>
      <c r="N4686" s="0" t="n">
        <f aca="false">E4686*F4686</f>
        <v>-0.125</v>
      </c>
      <c r="O4686" s="0" t="n">
        <f aca="false">E4686*G4686</f>
        <v>0.375</v>
      </c>
      <c r="P4686" s="0" t="n">
        <f aca="false">E4686*H4686</f>
        <v>-0.375</v>
      </c>
      <c r="Q4686" s="0" t="n">
        <f aca="false">F4686*G4686</f>
        <v>-0.1875</v>
      </c>
      <c r="R4686" s="0" t="n">
        <f aca="false">F4686*H4686</f>
        <v>0.1875</v>
      </c>
      <c r="S4686" s="0" t="n">
        <f aca="false">G4686*H4686</f>
        <v>-0.5625</v>
      </c>
      <c r="T4686" s="0" t="n">
        <f aca="false">E4686*E4686</f>
        <v>0.25</v>
      </c>
      <c r="U4686" s="0" t="n">
        <f aca="false">F4686*F4686</f>
        <v>0.0625</v>
      </c>
      <c r="V4686" s="0" t="n">
        <f aca="false">G4686*G4686</f>
        <v>0.5625</v>
      </c>
      <c r="W4686" s="0" t="n">
        <f aca="false">H4686*H4686</f>
        <v>0.5625</v>
      </c>
      <c r="X4686" s="0" t="n">
        <f aca="false">SUMPRODUCT(I4686:W4686,_XtX!$B$96:$P$96)</f>
        <v>46.7229577850877</v>
      </c>
      <c r="Y4686" s="0" t="n">
        <f aca="false">SUMPRODUCT(MMULT(I4686:W4686,_XtX!$B$78:$P$92),I4686:W4686)</f>
        <v>0.257385610836988</v>
      </c>
      <c r="Z4686" s="0" t="n">
        <f aca="false">04_回帰ANOVA!$K$19*04_回帰ANOVA!$K$14*SQRT(1+Y4686)</f>
        <v>1.46161380324158</v>
      </c>
      <c r="AA4686" s="0" t="n">
        <f aca="false">X4686-Z4686</f>
        <v>45.2613439818461</v>
      </c>
      <c r="AB4686" s="0" t="n">
        <f aca="false">X4686+Z4686</f>
        <v>48.1845715883293</v>
      </c>
      <c r="AC4686" s="54" t="b">
        <f aca="false">AND(E4686&gt;=01_因子設定!$L$5-0.000000001,E4686&lt;=01_因子設定!$M$5+0.000000001,F4686&gt;=01_因子設定!$L$6-0.000000001,F4686&lt;=01_因子設定!$M$6+0.000000001,G4686&gt;=01_因子設定!$L$7-0.000000001,G4686&lt;=01_因子設定!$M$7+0.000000001,H4686&gt;=01_因子設定!$L$8-0.000000001,H4686&lt;=01_因子設定!$M$8+0.000000001,IF(01_因子設定!$B$20="Box-Behnken",E4686^2+F4686^2+G4686^2+H4686^2&lt;=2+0.000000001,TRUE()))</f>
        <v>1</v>
      </c>
      <c r="AD4686" s="55" t="n">
        <f aca="false">IF(AC4686,IF(01_因子設定!$B$13="最大化",AA4686-01_因子設定!$B$14,IF(01_因子設定!$B$13="最小化",01_因子設定!$B$15-AB4686,MIN(AA4686-01_因子設定!$B$14,01_因子設定!$B$15-AB4686))),-1E+030)</f>
        <v>-1.23865601815388</v>
      </c>
      <c r="AE4686" s="55" t="n">
        <f aca="false">IF(AC4686,IF(01_因子設定!$B$13="最大化",X4686,IF(01_因子設定!$B$13="最小化",-X4686,-ABS(X4686-01_因子設定!$B$16))),-1E+030)</f>
        <v>46.7229577850877</v>
      </c>
      <c r="AF4686" s="55" t="n">
        <f aca="false">AD4686+ROW()*0.000000001</f>
        <v>-1.23865133215388</v>
      </c>
      <c r="AG4686" s="55" t="n">
        <f aca="false">AE4686+ROW()*0.000000001</f>
        <v>46.7229624710877</v>
      </c>
    </row>
    <row r="4687" customFormat="false" ht="15" hidden="false" customHeight="false" outlineLevel="0" collapsed="false">
      <c r="A4687" s="0" t="n">
        <v>6</v>
      </c>
      <c r="B4687" s="0" t="n">
        <v>3</v>
      </c>
      <c r="C4687" s="0" t="n">
        <v>7</v>
      </c>
      <c r="D4687" s="0" t="n">
        <v>2</v>
      </c>
      <c r="E4687" s="0" t="n">
        <f aca="false">-1+A4687*0.25</f>
        <v>0.5</v>
      </c>
      <c r="F4687" s="0" t="n">
        <f aca="false">-1+B4687*0.25</f>
        <v>-0.25</v>
      </c>
      <c r="G4687" s="0" t="n">
        <f aca="false">-1+C4687*0.25</f>
        <v>0.75</v>
      </c>
      <c r="H4687" s="0" t="n">
        <f aca="false">-1+D4687*0.25</f>
        <v>-0.5</v>
      </c>
      <c r="I4687" s="0" t="n">
        <f aca="false">1</f>
        <v>1</v>
      </c>
      <c r="J4687" s="0" t="n">
        <f aca="false">E4687</f>
        <v>0.5</v>
      </c>
      <c r="K4687" s="0" t="n">
        <f aca="false">F4687</f>
        <v>-0.25</v>
      </c>
      <c r="L4687" s="0" t="n">
        <f aca="false">G4687</f>
        <v>0.75</v>
      </c>
      <c r="M4687" s="0" t="n">
        <f aca="false">H4687</f>
        <v>-0.5</v>
      </c>
      <c r="N4687" s="0" t="n">
        <f aca="false">E4687*F4687</f>
        <v>-0.125</v>
      </c>
      <c r="O4687" s="0" t="n">
        <f aca="false">E4687*G4687</f>
        <v>0.375</v>
      </c>
      <c r="P4687" s="0" t="n">
        <f aca="false">E4687*H4687</f>
        <v>-0.25</v>
      </c>
      <c r="Q4687" s="0" t="n">
        <f aca="false">F4687*G4687</f>
        <v>-0.1875</v>
      </c>
      <c r="R4687" s="0" t="n">
        <f aca="false">F4687*H4687</f>
        <v>0.125</v>
      </c>
      <c r="S4687" s="0" t="n">
        <f aca="false">G4687*H4687</f>
        <v>-0.375</v>
      </c>
      <c r="T4687" s="0" t="n">
        <f aca="false">E4687*E4687</f>
        <v>0.25</v>
      </c>
      <c r="U4687" s="0" t="n">
        <f aca="false">F4687*F4687</f>
        <v>0.0625</v>
      </c>
      <c r="V4687" s="0" t="n">
        <f aca="false">G4687*G4687</f>
        <v>0.5625</v>
      </c>
      <c r="W4687" s="0" t="n">
        <f aca="false">H4687*H4687</f>
        <v>0.25</v>
      </c>
      <c r="X4687" s="0" t="n">
        <f aca="false">SUMPRODUCT(I4687:W4687,_XtX!$B$96:$P$96)</f>
        <v>47.0266767178362</v>
      </c>
      <c r="Y4687" s="0" t="n">
        <f aca="false">SUMPRODUCT(MMULT(I4687:W4687,_XtX!$B$78:$P$92),I4687:W4687)</f>
        <v>0.203746059484649</v>
      </c>
      <c r="Z4687" s="0" t="n">
        <f aca="false">04_回帰ANOVA!$K$19*04_回帰ANOVA!$K$14*SQRT(1+Y4687)</f>
        <v>1.43009810755465</v>
      </c>
      <c r="AA4687" s="0" t="n">
        <f aca="false">X4687-Z4687</f>
        <v>45.5965786102816</v>
      </c>
      <c r="AB4687" s="0" t="n">
        <f aca="false">X4687+Z4687</f>
        <v>48.4567748253909</v>
      </c>
      <c r="AC4687" s="54" t="b">
        <f aca="false">AND(E4687&gt;=01_因子設定!$L$5-0.000000001,E4687&lt;=01_因子設定!$M$5+0.000000001,F4687&gt;=01_因子設定!$L$6-0.000000001,F4687&lt;=01_因子設定!$M$6+0.000000001,G4687&gt;=01_因子設定!$L$7-0.000000001,G4687&lt;=01_因子設定!$M$7+0.000000001,H4687&gt;=01_因子設定!$L$8-0.000000001,H4687&lt;=01_因子設定!$M$8+0.000000001,IF(01_因子設定!$B$20="Box-Behnken",E4687^2+F4687^2+G4687^2+H4687^2&lt;=2+0.000000001,TRUE()))</f>
        <v>1</v>
      </c>
      <c r="AD4687" s="55" t="n">
        <f aca="false">IF(AC4687,IF(01_因子設定!$B$13="最大化",AA4687-01_因子設定!$B$14,IF(01_因子設定!$B$13="最小化",01_因子設定!$B$15-AB4687,MIN(AA4687-01_因子設定!$B$14,01_因子設定!$B$15-AB4687))),-1E+030)</f>
        <v>-0.903421389718425</v>
      </c>
      <c r="AE4687" s="55" t="n">
        <f aca="false">IF(AC4687,IF(01_因子設定!$B$13="最大化",X4687,IF(01_因子設定!$B$13="最小化",-X4687,-ABS(X4687-01_因子設定!$B$16))),-1E+030)</f>
        <v>47.0266767178362</v>
      </c>
      <c r="AF4687" s="55" t="n">
        <f aca="false">AD4687+ROW()*0.000000001</f>
        <v>-0.903416702718424</v>
      </c>
      <c r="AG4687" s="55" t="n">
        <f aca="false">AE4687+ROW()*0.000000001</f>
        <v>47.0266814048362</v>
      </c>
    </row>
    <row r="4688" customFormat="false" ht="15" hidden="false" customHeight="false" outlineLevel="0" collapsed="false">
      <c r="A4688" s="0" t="n">
        <v>6</v>
      </c>
      <c r="B4688" s="0" t="n">
        <v>3</v>
      </c>
      <c r="C4688" s="0" t="n">
        <v>7</v>
      </c>
      <c r="D4688" s="0" t="n">
        <v>3</v>
      </c>
      <c r="E4688" s="0" t="n">
        <f aca="false">-1+A4688*0.25</f>
        <v>0.5</v>
      </c>
      <c r="F4688" s="0" t="n">
        <f aca="false">-1+B4688*0.25</f>
        <v>-0.25</v>
      </c>
      <c r="G4688" s="0" t="n">
        <f aca="false">-1+C4688*0.25</f>
        <v>0.75</v>
      </c>
      <c r="H4688" s="0" t="n">
        <f aca="false">-1+D4688*0.25</f>
        <v>-0.25</v>
      </c>
      <c r="I4688" s="0" t="n">
        <f aca="false">1</f>
        <v>1</v>
      </c>
      <c r="J4688" s="0" t="n">
        <f aca="false">E4688</f>
        <v>0.5</v>
      </c>
      <c r="K4688" s="0" t="n">
        <f aca="false">F4688</f>
        <v>-0.25</v>
      </c>
      <c r="L4688" s="0" t="n">
        <f aca="false">G4688</f>
        <v>0.75</v>
      </c>
      <c r="M4688" s="0" t="n">
        <f aca="false">H4688</f>
        <v>-0.25</v>
      </c>
      <c r="N4688" s="0" t="n">
        <f aca="false">E4688*F4688</f>
        <v>-0.125</v>
      </c>
      <c r="O4688" s="0" t="n">
        <f aca="false">E4688*G4688</f>
        <v>0.375</v>
      </c>
      <c r="P4688" s="0" t="n">
        <f aca="false">E4688*H4688</f>
        <v>-0.125</v>
      </c>
      <c r="Q4688" s="0" t="n">
        <f aca="false">F4688*G4688</f>
        <v>-0.1875</v>
      </c>
      <c r="R4688" s="0" t="n">
        <f aca="false">F4688*H4688</f>
        <v>0.0625</v>
      </c>
      <c r="S4688" s="0" t="n">
        <f aca="false">G4688*H4688</f>
        <v>-0.1875</v>
      </c>
      <c r="T4688" s="0" t="n">
        <f aca="false">E4688*E4688</f>
        <v>0.25</v>
      </c>
      <c r="U4688" s="0" t="n">
        <f aca="false">F4688*F4688</f>
        <v>0.0625</v>
      </c>
      <c r="V4688" s="0" t="n">
        <f aca="false">G4688*G4688</f>
        <v>0.5625</v>
      </c>
      <c r="W4688" s="0" t="n">
        <f aca="false">H4688*H4688</f>
        <v>0.0625</v>
      </c>
      <c r="X4688" s="0" t="n">
        <f aca="false">SUMPRODUCT(I4688:W4688,_XtX!$B$96:$P$96)</f>
        <v>47.2825886330409</v>
      </c>
      <c r="Y4688" s="0" t="n">
        <f aca="false">SUMPRODUCT(MMULT(I4688:W4688,_XtX!$B$78:$P$92),I4688:W4688)</f>
        <v>0.207746539199561</v>
      </c>
      <c r="Z4688" s="0" t="n">
        <f aca="false">04_回帰ANOVA!$K$19*04_回帰ANOVA!$K$14*SQRT(1+Y4688)</f>
        <v>1.43247250081141</v>
      </c>
      <c r="AA4688" s="0" t="n">
        <f aca="false">X4688-Z4688</f>
        <v>45.8501161322295</v>
      </c>
      <c r="AB4688" s="0" t="n">
        <f aca="false">X4688+Z4688</f>
        <v>48.7150611338523</v>
      </c>
      <c r="AC4688" s="54" t="b">
        <f aca="false">AND(E4688&gt;=01_因子設定!$L$5-0.000000001,E4688&lt;=01_因子設定!$M$5+0.000000001,F4688&gt;=01_因子設定!$L$6-0.000000001,F4688&lt;=01_因子設定!$M$6+0.000000001,G4688&gt;=01_因子設定!$L$7-0.000000001,G4688&lt;=01_因子設定!$M$7+0.000000001,H4688&gt;=01_因子設定!$L$8-0.000000001,H4688&lt;=01_因子設定!$M$8+0.000000001,IF(01_因子設定!$B$20="Box-Behnken",E4688^2+F4688^2+G4688^2+H4688^2&lt;=2+0.000000001,TRUE()))</f>
        <v>1</v>
      </c>
      <c r="AD4688" s="55" t="n">
        <f aca="false">IF(AC4688,IF(01_因子設定!$B$13="最大化",AA4688-01_因子設定!$B$14,IF(01_因子設定!$B$13="最小化",01_因子設定!$B$15-AB4688,MIN(AA4688-01_因子設定!$B$14,01_因子設定!$B$15-AB4688))),-1E+030)</f>
        <v>-0.649883867770512</v>
      </c>
      <c r="AE4688" s="55" t="n">
        <f aca="false">IF(AC4688,IF(01_因子設定!$B$13="最大化",X4688,IF(01_因子設定!$B$13="最小化",-X4688,-ABS(X4688-01_因子設定!$B$16))),-1E+030)</f>
        <v>47.2825886330409</v>
      </c>
      <c r="AF4688" s="55" t="n">
        <f aca="false">AD4688+ROW()*0.000000001</f>
        <v>-0.649879179770512</v>
      </c>
      <c r="AG4688" s="55" t="n">
        <f aca="false">AE4688+ROW()*0.000000001</f>
        <v>47.2825933210409</v>
      </c>
    </row>
    <row r="4689" customFormat="false" ht="15" hidden="false" customHeight="false" outlineLevel="0" collapsed="false">
      <c r="A4689" s="0" t="n">
        <v>6</v>
      </c>
      <c r="B4689" s="0" t="n">
        <v>3</v>
      </c>
      <c r="C4689" s="0" t="n">
        <v>7</v>
      </c>
      <c r="D4689" s="0" t="n">
        <v>4</v>
      </c>
      <c r="E4689" s="0" t="n">
        <f aca="false">-1+A4689*0.25</f>
        <v>0.5</v>
      </c>
      <c r="F4689" s="0" t="n">
        <f aca="false">-1+B4689*0.25</f>
        <v>-0.25</v>
      </c>
      <c r="G4689" s="0" t="n">
        <f aca="false">-1+C4689*0.25</f>
        <v>0.75</v>
      </c>
      <c r="H4689" s="0" t="n">
        <f aca="false">-1+D4689*0.25</f>
        <v>0</v>
      </c>
      <c r="I4689" s="0" t="n">
        <f aca="false">1</f>
        <v>1</v>
      </c>
      <c r="J4689" s="0" t="n">
        <f aca="false">E4689</f>
        <v>0.5</v>
      </c>
      <c r="K4689" s="0" t="n">
        <f aca="false">F4689</f>
        <v>-0.25</v>
      </c>
      <c r="L4689" s="0" t="n">
        <f aca="false">G4689</f>
        <v>0.75</v>
      </c>
      <c r="M4689" s="0" t="n">
        <f aca="false">H4689</f>
        <v>0</v>
      </c>
      <c r="N4689" s="0" t="n">
        <f aca="false">E4689*F4689</f>
        <v>-0.125</v>
      </c>
      <c r="O4689" s="0" t="n">
        <f aca="false">E4689*G4689</f>
        <v>0.375</v>
      </c>
      <c r="P4689" s="0" t="n">
        <f aca="false">E4689*H4689</f>
        <v>0</v>
      </c>
      <c r="Q4689" s="0" t="n">
        <f aca="false">F4689*G4689</f>
        <v>-0.1875</v>
      </c>
      <c r="R4689" s="0" t="n">
        <f aca="false">F4689*H4689</f>
        <v>-0</v>
      </c>
      <c r="S4689" s="0" t="n">
        <f aca="false">G4689*H4689</f>
        <v>0</v>
      </c>
      <c r="T4689" s="0" t="n">
        <f aca="false">E4689*E4689</f>
        <v>0.25</v>
      </c>
      <c r="U4689" s="0" t="n">
        <f aca="false">F4689*F4689</f>
        <v>0.0625</v>
      </c>
      <c r="V4689" s="0" t="n">
        <f aca="false">G4689*G4689</f>
        <v>0.5625</v>
      </c>
      <c r="W4689" s="0" t="n">
        <f aca="false">H4689*H4689</f>
        <v>0</v>
      </c>
      <c r="X4689" s="0" t="n">
        <f aca="false">SUMPRODUCT(I4689:W4689,_XtX!$B$96:$P$96)</f>
        <v>47.4906935307017</v>
      </c>
      <c r="Y4689" s="0" t="n">
        <f aca="false">SUMPRODUCT(MMULT(I4689:W4689,_XtX!$B$78:$P$92),I4689:W4689)</f>
        <v>0.215110734192252</v>
      </c>
      <c r="Z4689" s="0" t="n">
        <f aca="false">04_回帰ANOVA!$K$19*04_回帰ANOVA!$K$14*SQRT(1+Y4689)</f>
        <v>1.43683309086864</v>
      </c>
      <c r="AA4689" s="0" t="n">
        <f aca="false">X4689-Z4689</f>
        <v>46.0538604398331</v>
      </c>
      <c r="AB4689" s="0" t="n">
        <f aca="false">X4689+Z4689</f>
        <v>48.9275266215704</v>
      </c>
      <c r="AC4689" s="54" t="b">
        <f aca="false">AND(E4689&gt;=01_因子設定!$L$5-0.000000001,E4689&lt;=01_因子設定!$M$5+0.000000001,F4689&gt;=01_因子設定!$L$6-0.000000001,F4689&lt;=01_因子設定!$M$6+0.000000001,G4689&gt;=01_因子設定!$L$7-0.000000001,G4689&lt;=01_因子設定!$M$7+0.000000001,H4689&gt;=01_因子設定!$L$8-0.000000001,H4689&lt;=01_因子設定!$M$8+0.000000001,IF(01_因子設定!$B$20="Box-Behnken",E4689^2+F4689^2+G4689^2+H4689^2&lt;=2+0.000000001,TRUE()))</f>
        <v>1</v>
      </c>
      <c r="AD4689" s="55" t="n">
        <f aca="false">IF(AC4689,IF(01_因子設定!$B$13="最大化",AA4689-01_因子設定!$B$14,IF(01_因子設定!$B$13="最小化",01_因子設定!$B$15-AB4689,MIN(AA4689-01_因子設定!$B$14,01_因子設定!$B$15-AB4689))),-1E+030)</f>
        <v>-0.446139560166934</v>
      </c>
      <c r="AE4689" s="55" t="n">
        <f aca="false">IF(AC4689,IF(01_因子設定!$B$13="最大化",X4689,IF(01_因子設定!$B$13="最小化",-X4689,-ABS(X4689-01_因子設定!$B$16))),-1E+030)</f>
        <v>47.4906935307017</v>
      </c>
      <c r="AF4689" s="55" t="n">
        <f aca="false">AD4689+ROW()*0.000000001</f>
        <v>-0.446134871166934</v>
      </c>
      <c r="AG4689" s="55" t="n">
        <f aca="false">AE4689+ROW()*0.000000001</f>
        <v>47.4906982197017</v>
      </c>
    </row>
    <row r="4690" customFormat="false" ht="15" hidden="false" customHeight="false" outlineLevel="0" collapsed="false">
      <c r="A4690" s="0" t="n">
        <v>6</v>
      </c>
      <c r="B4690" s="0" t="n">
        <v>3</v>
      </c>
      <c r="C4690" s="0" t="n">
        <v>7</v>
      </c>
      <c r="D4690" s="0" t="n">
        <v>5</v>
      </c>
      <c r="E4690" s="0" t="n">
        <f aca="false">-1+A4690*0.25</f>
        <v>0.5</v>
      </c>
      <c r="F4690" s="0" t="n">
        <f aca="false">-1+B4690*0.25</f>
        <v>-0.25</v>
      </c>
      <c r="G4690" s="0" t="n">
        <f aca="false">-1+C4690*0.25</f>
        <v>0.75</v>
      </c>
      <c r="H4690" s="0" t="n">
        <f aca="false">-1+D4690*0.25</f>
        <v>0.25</v>
      </c>
      <c r="I4690" s="0" t="n">
        <f aca="false">1</f>
        <v>1</v>
      </c>
      <c r="J4690" s="0" t="n">
        <f aca="false">E4690</f>
        <v>0.5</v>
      </c>
      <c r="K4690" s="0" t="n">
        <f aca="false">F4690</f>
        <v>-0.25</v>
      </c>
      <c r="L4690" s="0" t="n">
        <f aca="false">G4690</f>
        <v>0.75</v>
      </c>
      <c r="M4690" s="0" t="n">
        <f aca="false">H4690</f>
        <v>0.25</v>
      </c>
      <c r="N4690" s="0" t="n">
        <f aca="false">E4690*F4690</f>
        <v>-0.125</v>
      </c>
      <c r="O4690" s="0" t="n">
        <f aca="false">E4690*G4690</f>
        <v>0.375</v>
      </c>
      <c r="P4690" s="0" t="n">
        <f aca="false">E4690*H4690</f>
        <v>0.125</v>
      </c>
      <c r="Q4690" s="0" t="n">
        <f aca="false">F4690*G4690</f>
        <v>-0.1875</v>
      </c>
      <c r="R4690" s="0" t="n">
        <f aca="false">F4690*H4690</f>
        <v>-0.0625</v>
      </c>
      <c r="S4690" s="0" t="n">
        <f aca="false">G4690*H4690</f>
        <v>0.1875</v>
      </c>
      <c r="T4690" s="0" t="n">
        <f aca="false">E4690*E4690</f>
        <v>0.25</v>
      </c>
      <c r="U4690" s="0" t="n">
        <f aca="false">F4690*F4690</f>
        <v>0.0625</v>
      </c>
      <c r="V4690" s="0" t="n">
        <f aca="false">G4690*G4690</f>
        <v>0.5625</v>
      </c>
      <c r="W4690" s="0" t="n">
        <f aca="false">H4690*H4690</f>
        <v>0.0625</v>
      </c>
      <c r="X4690" s="0" t="n">
        <f aca="false">SUMPRODUCT(I4690:W4690,_XtX!$B$96:$P$96)</f>
        <v>47.6509914108187</v>
      </c>
      <c r="Y4690" s="0" t="n">
        <f aca="false">SUMPRODUCT(MMULT(I4690:W4690,_XtX!$B$78:$P$92),I4690:W4690)</f>
        <v>0.207746539199561</v>
      </c>
      <c r="Z4690" s="0" t="n">
        <f aca="false">04_回帰ANOVA!$K$19*04_回帰ANOVA!$K$14*SQRT(1+Y4690)</f>
        <v>1.43247250081141</v>
      </c>
      <c r="AA4690" s="0" t="n">
        <f aca="false">X4690-Z4690</f>
        <v>46.2185189100073</v>
      </c>
      <c r="AB4690" s="0" t="n">
        <f aca="false">X4690+Z4690</f>
        <v>49.0834639116301</v>
      </c>
      <c r="AC4690" s="54" t="b">
        <f aca="false">AND(E4690&gt;=01_因子設定!$L$5-0.000000001,E4690&lt;=01_因子設定!$M$5+0.000000001,F4690&gt;=01_因子設定!$L$6-0.000000001,F4690&lt;=01_因子設定!$M$6+0.000000001,G4690&gt;=01_因子設定!$L$7-0.000000001,G4690&lt;=01_因子設定!$M$7+0.000000001,H4690&gt;=01_因子設定!$L$8-0.000000001,H4690&lt;=01_因子設定!$M$8+0.000000001,IF(01_因子設定!$B$20="Box-Behnken",E4690^2+F4690^2+G4690^2+H4690^2&lt;=2+0.000000001,TRUE()))</f>
        <v>1</v>
      </c>
      <c r="AD4690" s="55" t="n">
        <f aca="false">IF(AC4690,IF(01_因子設定!$B$13="最大化",AA4690-01_因子設定!$B$14,IF(01_因子設定!$B$13="最小化",01_因子設定!$B$15-AB4690,MIN(AA4690-01_因子設定!$B$14,01_因子設定!$B$15-AB4690))),-1E+030)</f>
        <v>-0.281481089992731</v>
      </c>
      <c r="AE4690" s="55" t="n">
        <f aca="false">IF(AC4690,IF(01_因子設定!$B$13="最大化",X4690,IF(01_因子設定!$B$13="最小化",-X4690,-ABS(X4690-01_因子設定!$B$16))),-1E+030)</f>
        <v>47.6509914108187</v>
      </c>
      <c r="AF4690" s="55" t="n">
        <f aca="false">AD4690+ROW()*0.000000001</f>
        <v>-0.281476399992731</v>
      </c>
      <c r="AG4690" s="55" t="n">
        <f aca="false">AE4690+ROW()*0.000000001</f>
        <v>47.6509961008187</v>
      </c>
    </row>
    <row r="4691" customFormat="false" ht="15" hidden="false" customHeight="false" outlineLevel="0" collapsed="false">
      <c r="A4691" s="0" t="n">
        <v>6</v>
      </c>
      <c r="B4691" s="0" t="n">
        <v>3</v>
      </c>
      <c r="C4691" s="0" t="n">
        <v>7</v>
      </c>
      <c r="D4691" s="0" t="n">
        <v>6</v>
      </c>
      <c r="E4691" s="0" t="n">
        <f aca="false">-1+A4691*0.25</f>
        <v>0.5</v>
      </c>
      <c r="F4691" s="0" t="n">
        <f aca="false">-1+B4691*0.25</f>
        <v>-0.25</v>
      </c>
      <c r="G4691" s="0" t="n">
        <f aca="false">-1+C4691*0.25</f>
        <v>0.75</v>
      </c>
      <c r="H4691" s="0" t="n">
        <f aca="false">-1+D4691*0.25</f>
        <v>0.5</v>
      </c>
      <c r="I4691" s="0" t="n">
        <f aca="false">1</f>
        <v>1</v>
      </c>
      <c r="J4691" s="0" t="n">
        <f aca="false">E4691</f>
        <v>0.5</v>
      </c>
      <c r="K4691" s="0" t="n">
        <f aca="false">F4691</f>
        <v>-0.25</v>
      </c>
      <c r="L4691" s="0" t="n">
        <f aca="false">G4691</f>
        <v>0.75</v>
      </c>
      <c r="M4691" s="0" t="n">
        <f aca="false">H4691</f>
        <v>0.5</v>
      </c>
      <c r="N4691" s="0" t="n">
        <f aca="false">E4691*F4691</f>
        <v>-0.125</v>
      </c>
      <c r="O4691" s="0" t="n">
        <f aca="false">E4691*G4691</f>
        <v>0.375</v>
      </c>
      <c r="P4691" s="0" t="n">
        <f aca="false">E4691*H4691</f>
        <v>0.25</v>
      </c>
      <c r="Q4691" s="0" t="n">
        <f aca="false">F4691*G4691</f>
        <v>-0.1875</v>
      </c>
      <c r="R4691" s="0" t="n">
        <f aca="false">F4691*H4691</f>
        <v>-0.125</v>
      </c>
      <c r="S4691" s="0" t="n">
        <f aca="false">G4691*H4691</f>
        <v>0.375</v>
      </c>
      <c r="T4691" s="0" t="n">
        <f aca="false">E4691*E4691</f>
        <v>0.25</v>
      </c>
      <c r="U4691" s="0" t="n">
        <f aca="false">F4691*F4691</f>
        <v>0.0625</v>
      </c>
      <c r="V4691" s="0" t="n">
        <f aca="false">G4691*G4691</f>
        <v>0.5625</v>
      </c>
      <c r="W4691" s="0" t="n">
        <f aca="false">H4691*H4691</f>
        <v>0.25</v>
      </c>
      <c r="X4691" s="0" t="n">
        <f aca="false">SUMPRODUCT(I4691:W4691,_XtX!$B$96:$P$96)</f>
        <v>47.7634822733918</v>
      </c>
      <c r="Y4691" s="0" t="n">
        <f aca="false">SUMPRODUCT(MMULT(I4691:W4691,_XtX!$B$78:$P$92),I4691:W4691)</f>
        <v>0.203746059484649</v>
      </c>
      <c r="Z4691" s="0" t="n">
        <f aca="false">04_回帰ANOVA!$K$19*04_回帰ANOVA!$K$14*SQRT(1+Y4691)</f>
        <v>1.43009810755465</v>
      </c>
      <c r="AA4691" s="0" t="n">
        <f aca="false">X4691-Z4691</f>
        <v>46.3333841658371</v>
      </c>
      <c r="AB4691" s="0" t="n">
        <f aca="false">X4691+Z4691</f>
        <v>49.1935803809464</v>
      </c>
      <c r="AC4691" s="54" t="b">
        <f aca="false">AND(E4691&gt;=01_因子設定!$L$5-0.000000001,E4691&lt;=01_因子設定!$M$5+0.000000001,F4691&gt;=01_因子設定!$L$6-0.000000001,F4691&lt;=01_因子設定!$M$6+0.000000001,G4691&gt;=01_因子設定!$L$7-0.000000001,G4691&lt;=01_因子設定!$M$7+0.000000001,H4691&gt;=01_因子設定!$L$8-0.000000001,H4691&lt;=01_因子設定!$M$8+0.000000001,IF(01_因子設定!$B$20="Box-Behnken",E4691^2+F4691^2+G4691^2+H4691^2&lt;=2+0.000000001,TRUE()))</f>
        <v>1</v>
      </c>
      <c r="AD4691" s="55" t="n">
        <f aca="false">IF(AC4691,IF(01_因子設定!$B$13="最大化",AA4691-01_因子設定!$B$14,IF(01_因子設定!$B$13="最小化",01_因子設定!$B$15-AB4691,MIN(AA4691-01_因子設定!$B$14,01_因子設定!$B$15-AB4691))),-1E+030)</f>
        <v>-0.166615834162869</v>
      </c>
      <c r="AE4691" s="55" t="n">
        <f aca="false">IF(AC4691,IF(01_因子設定!$B$13="最大化",X4691,IF(01_因子設定!$B$13="最小化",-X4691,-ABS(X4691-01_因子設定!$B$16))),-1E+030)</f>
        <v>47.7634822733918</v>
      </c>
      <c r="AF4691" s="55" t="n">
        <f aca="false">AD4691+ROW()*0.000000001</f>
        <v>-0.166611143162869</v>
      </c>
      <c r="AG4691" s="55" t="n">
        <f aca="false">AE4691+ROW()*0.000000001</f>
        <v>47.7634869643918</v>
      </c>
    </row>
    <row r="4692" customFormat="false" ht="15" hidden="false" customHeight="false" outlineLevel="0" collapsed="false">
      <c r="A4692" s="0" t="n">
        <v>6</v>
      </c>
      <c r="B4692" s="0" t="n">
        <v>3</v>
      </c>
      <c r="C4692" s="0" t="n">
        <v>7</v>
      </c>
      <c r="D4692" s="0" t="n">
        <v>7</v>
      </c>
      <c r="E4692" s="0" t="n">
        <f aca="false">-1+A4692*0.25</f>
        <v>0.5</v>
      </c>
      <c r="F4692" s="0" t="n">
        <f aca="false">-1+B4692*0.25</f>
        <v>-0.25</v>
      </c>
      <c r="G4692" s="0" t="n">
        <f aca="false">-1+C4692*0.25</f>
        <v>0.75</v>
      </c>
      <c r="H4692" s="0" t="n">
        <f aca="false">-1+D4692*0.25</f>
        <v>0.75</v>
      </c>
      <c r="I4692" s="0" t="n">
        <f aca="false">1</f>
        <v>1</v>
      </c>
      <c r="J4692" s="0" t="n">
        <f aca="false">E4692</f>
        <v>0.5</v>
      </c>
      <c r="K4692" s="0" t="n">
        <f aca="false">F4692</f>
        <v>-0.25</v>
      </c>
      <c r="L4692" s="0" t="n">
        <f aca="false">G4692</f>
        <v>0.75</v>
      </c>
      <c r="M4692" s="0" t="n">
        <f aca="false">H4692</f>
        <v>0.75</v>
      </c>
      <c r="N4692" s="0" t="n">
        <f aca="false">E4692*F4692</f>
        <v>-0.125</v>
      </c>
      <c r="O4692" s="0" t="n">
        <f aca="false">E4692*G4692</f>
        <v>0.375</v>
      </c>
      <c r="P4692" s="0" t="n">
        <f aca="false">E4692*H4692</f>
        <v>0.375</v>
      </c>
      <c r="Q4692" s="0" t="n">
        <f aca="false">F4692*G4692</f>
        <v>-0.1875</v>
      </c>
      <c r="R4692" s="0" t="n">
        <f aca="false">F4692*H4692</f>
        <v>-0.1875</v>
      </c>
      <c r="S4692" s="0" t="n">
        <f aca="false">G4692*H4692</f>
        <v>0.5625</v>
      </c>
      <c r="T4692" s="0" t="n">
        <f aca="false">E4692*E4692</f>
        <v>0.25</v>
      </c>
      <c r="U4692" s="0" t="n">
        <f aca="false">F4692*F4692</f>
        <v>0.0625</v>
      </c>
      <c r="V4692" s="0" t="n">
        <f aca="false">G4692*G4692</f>
        <v>0.5625</v>
      </c>
      <c r="W4692" s="0" t="n">
        <f aca="false">H4692*H4692</f>
        <v>0.5625</v>
      </c>
      <c r="X4692" s="0" t="n">
        <f aca="false">SUMPRODUCT(I4692:W4692,_XtX!$B$96:$P$96)</f>
        <v>47.828166118421</v>
      </c>
      <c r="Y4692" s="0" t="n">
        <f aca="false">SUMPRODUCT(MMULT(I4692:W4692,_XtX!$B$78:$P$92),I4692:W4692)</f>
        <v>0.257385610836988</v>
      </c>
      <c r="Z4692" s="0" t="n">
        <f aca="false">04_回帰ANOVA!$K$19*04_回帰ANOVA!$K$14*SQRT(1+Y4692)</f>
        <v>1.46161380324158</v>
      </c>
      <c r="AA4692" s="0" t="n">
        <f aca="false">X4692-Z4692</f>
        <v>46.3665523151795</v>
      </c>
      <c r="AB4692" s="0" t="n">
        <f aca="false">X4692+Z4692</f>
        <v>49.2897799216626</v>
      </c>
      <c r="AC4692" s="54" t="b">
        <f aca="false">AND(E4692&gt;=01_因子設定!$L$5-0.000000001,E4692&lt;=01_因子設定!$M$5+0.000000001,F4692&gt;=01_因子設定!$L$6-0.000000001,F4692&lt;=01_因子設定!$M$6+0.000000001,G4692&gt;=01_因子設定!$L$7-0.000000001,G4692&lt;=01_因子設定!$M$7+0.000000001,H4692&gt;=01_因子設定!$L$8-0.000000001,H4692&lt;=01_因子設定!$M$8+0.000000001,IF(01_因子設定!$B$20="Box-Behnken",E4692^2+F4692^2+G4692^2+H4692^2&lt;=2+0.000000001,TRUE()))</f>
        <v>1</v>
      </c>
      <c r="AD4692" s="55" t="n">
        <f aca="false">IF(AC4692,IF(01_因子設定!$B$13="最大化",AA4692-01_因子設定!$B$14,IF(01_因子設定!$B$13="最小化",01_因子設定!$B$15-AB4692,MIN(AA4692-01_因子設定!$B$14,01_因子設定!$B$15-AB4692))),-1E+030)</f>
        <v>-0.133447684820553</v>
      </c>
      <c r="AE4692" s="55" t="n">
        <f aca="false">IF(AC4692,IF(01_因子設定!$B$13="最大化",X4692,IF(01_因子設定!$B$13="最小化",-X4692,-ABS(X4692-01_因子設定!$B$16))),-1E+030)</f>
        <v>47.828166118421</v>
      </c>
      <c r="AF4692" s="55" t="n">
        <f aca="false">AD4692+ROW()*0.000000001</f>
        <v>-0.133442992820553</v>
      </c>
      <c r="AG4692" s="55" t="n">
        <f aca="false">AE4692+ROW()*0.000000001</f>
        <v>47.828170810421</v>
      </c>
    </row>
    <row r="4693" customFormat="false" ht="15" hidden="false" customHeight="false" outlineLevel="0" collapsed="false">
      <c r="A4693" s="0" t="n">
        <v>6</v>
      </c>
      <c r="B4693" s="0" t="n">
        <v>3</v>
      </c>
      <c r="C4693" s="0" t="n">
        <v>7</v>
      </c>
      <c r="D4693" s="0" t="n">
        <v>8</v>
      </c>
      <c r="E4693" s="0" t="n">
        <f aca="false">-1+A4693*0.25</f>
        <v>0.5</v>
      </c>
      <c r="F4693" s="0" t="n">
        <f aca="false">-1+B4693*0.25</f>
        <v>-0.25</v>
      </c>
      <c r="G4693" s="0" t="n">
        <f aca="false">-1+C4693*0.25</f>
        <v>0.75</v>
      </c>
      <c r="H4693" s="0" t="n">
        <f aca="false">-1+D4693*0.25</f>
        <v>1</v>
      </c>
      <c r="I4693" s="0" t="n">
        <f aca="false">1</f>
        <v>1</v>
      </c>
      <c r="J4693" s="0" t="n">
        <f aca="false">E4693</f>
        <v>0.5</v>
      </c>
      <c r="K4693" s="0" t="n">
        <f aca="false">F4693</f>
        <v>-0.25</v>
      </c>
      <c r="L4693" s="0" t="n">
        <f aca="false">G4693</f>
        <v>0.75</v>
      </c>
      <c r="M4693" s="0" t="n">
        <f aca="false">H4693</f>
        <v>1</v>
      </c>
      <c r="N4693" s="0" t="n">
        <f aca="false">E4693*F4693</f>
        <v>-0.125</v>
      </c>
      <c r="O4693" s="0" t="n">
        <f aca="false">E4693*G4693</f>
        <v>0.375</v>
      </c>
      <c r="P4693" s="0" t="n">
        <f aca="false">E4693*H4693</f>
        <v>0.5</v>
      </c>
      <c r="Q4693" s="0" t="n">
        <f aca="false">F4693*G4693</f>
        <v>-0.1875</v>
      </c>
      <c r="R4693" s="0" t="n">
        <f aca="false">F4693*H4693</f>
        <v>-0.25</v>
      </c>
      <c r="S4693" s="0" t="n">
        <f aca="false">G4693*H4693</f>
        <v>0.75</v>
      </c>
      <c r="T4693" s="0" t="n">
        <f aca="false">E4693*E4693</f>
        <v>0.25</v>
      </c>
      <c r="U4693" s="0" t="n">
        <f aca="false">F4693*F4693</f>
        <v>0.0625</v>
      </c>
      <c r="V4693" s="0" t="n">
        <f aca="false">G4693*G4693</f>
        <v>0.5625</v>
      </c>
      <c r="W4693" s="0" t="n">
        <f aca="false">H4693*H4693</f>
        <v>1</v>
      </c>
      <c r="X4693" s="0" t="n">
        <f aca="false">SUMPRODUCT(I4693:W4693,_XtX!$B$96:$P$96)</f>
        <v>47.8450429459064</v>
      </c>
      <c r="Y4693" s="0" t="n">
        <f aca="false">SUMPRODUCT(MMULT(I4693:W4693,_XtX!$B$78:$P$92),I4693:W4693)</f>
        <v>0.459125719572369</v>
      </c>
      <c r="Z4693" s="0" t="n">
        <f aca="false">04_回帰ANOVA!$K$19*04_回帰ANOVA!$K$14*SQRT(1+Y4693)</f>
        <v>1.57450755575573</v>
      </c>
      <c r="AA4693" s="0" t="n">
        <f aca="false">X4693-Z4693</f>
        <v>46.2705353901507</v>
      </c>
      <c r="AB4693" s="0" t="n">
        <f aca="false">X4693+Z4693</f>
        <v>49.4195505016622</v>
      </c>
      <c r="AC4693" s="54" t="b">
        <f aca="false">AND(E4693&gt;=01_因子設定!$L$5-0.000000001,E4693&lt;=01_因子設定!$M$5+0.000000001,F4693&gt;=01_因子設定!$L$6-0.000000001,F4693&lt;=01_因子設定!$M$6+0.000000001,G4693&gt;=01_因子設定!$L$7-0.000000001,G4693&lt;=01_因子設定!$M$7+0.000000001,H4693&gt;=01_因子設定!$L$8-0.000000001,H4693&lt;=01_因子設定!$M$8+0.000000001,IF(01_因子設定!$B$20="Box-Behnken",E4693^2+F4693^2+G4693^2+H4693^2&lt;=2+0.000000001,TRUE()))</f>
        <v>1</v>
      </c>
      <c r="AD4693" s="55" t="n">
        <f aca="false">IF(AC4693,IF(01_因子設定!$B$13="最大化",AA4693-01_因子設定!$B$14,IF(01_因子設定!$B$13="最小化",01_因子設定!$B$15-AB4693,MIN(AA4693-01_因子設定!$B$14,01_因子設定!$B$15-AB4693))),-1E+030)</f>
        <v>-0.229464609849302</v>
      </c>
      <c r="AE4693" s="55" t="n">
        <f aca="false">IF(AC4693,IF(01_因子設定!$B$13="最大化",X4693,IF(01_因子設定!$B$13="最小化",-X4693,-ABS(X4693-01_因子設定!$B$16))),-1E+030)</f>
        <v>47.8450429459064</v>
      </c>
      <c r="AF4693" s="55" t="n">
        <f aca="false">AD4693+ROW()*0.000000001</f>
        <v>-0.229459916849302</v>
      </c>
      <c r="AG4693" s="55" t="n">
        <f aca="false">AE4693+ROW()*0.000000001</f>
        <v>47.8450476389064</v>
      </c>
    </row>
    <row r="4694" customFormat="false" ht="15" hidden="false" customHeight="false" outlineLevel="0" collapsed="false">
      <c r="A4694" s="0" t="n">
        <v>6</v>
      </c>
      <c r="B4694" s="0" t="n">
        <v>3</v>
      </c>
      <c r="C4694" s="0" t="n">
        <v>8</v>
      </c>
      <c r="D4694" s="0" t="n">
        <v>0</v>
      </c>
      <c r="E4694" s="0" t="n">
        <f aca="false">-1+A4694*0.25</f>
        <v>0.5</v>
      </c>
      <c r="F4694" s="0" t="n">
        <f aca="false">-1+B4694*0.25</f>
        <v>-0.25</v>
      </c>
      <c r="G4694" s="0" t="n">
        <f aca="false">-1+C4694*0.25</f>
        <v>1</v>
      </c>
      <c r="H4694" s="0" t="n">
        <f aca="false">-1+D4694*0.25</f>
        <v>-1</v>
      </c>
      <c r="I4694" s="0" t="n">
        <f aca="false">1</f>
        <v>1</v>
      </c>
      <c r="J4694" s="0" t="n">
        <f aca="false">E4694</f>
        <v>0.5</v>
      </c>
      <c r="K4694" s="0" t="n">
        <f aca="false">F4694</f>
        <v>-0.25</v>
      </c>
      <c r="L4694" s="0" t="n">
        <f aca="false">G4694</f>
        <v>1</v>
      </c>
      <c r="M4694" s="0" t="n">
        <f aca="false">H4694</f>
        <v>-1</v>
      </c>
      <c r="N4694" s="0" t="n">
        <f aca="false">E4694*F4694</f>
        <v>-0.125</v>
      </c>
      <c r="O4694" s="0" t="n">
        <f aca="false">E4694*G4694</f>
        <v>0.5</v>
      </c>
      <c r="P4694" s="0" t="n">
        <f aca="false">E4694*H4694</f>
        <v>-0.5</v>
      </c>
      <c r="Q4694" s="0" t="n">
        <f aca="false">F4694*G4694</f>
        <v>-0.25</v>
      </c>
      <c r="R4694" s="0" t="n">
        <f aca="false">F4694*H4694</f>
        <v>0.25</v>
      </c>
      <c r="S4694" s="0" t="n">
        <f aca="false">G4694*H4694</f>
        <v>-1</v>
      </c>
      <c r="T4694" s="0" t="n">
        <f aca="false">E4694*E4694</f>
        <v>0.25</v>
      </c>
      <c r="U4694" s="0" t="n">
        <f aca="false">F4694*F4694</f>
        <v>0.0625</v>
      </c>
      <c r="V4694" s="0" t="n">
        <f aca="false">G4694*G4694</f>
        <v>1</v>
      </c>
      <c r="W4694" s="0" t="n">
        <f aca="false">H4694*H4694</f>
        <v>1</v>
      </c>
      <c r="X4694" s="0" t="n">
        <f aca="false">SUMPRODUCT(I4694:W4694,_XtX!$B$96:$P$96)</f>
        <v>46.1460343567251</v>
      </c>
      <c r="Y4694" s="0" t="n">
        <f aca="false">SUMPRODUCT(MMULT(I4694:W4694,_XtX!$B$78:$P$92),I4694:W4694)</f>
        <v>0.629174661915205</v>
      </c>
      <c r="Z4694" s="0" t="n">
        <f aca="false">04_回帰ANOVA!$K$19*04_回帰ANOVA!$K$14*SQRT(1+Y4694)</f>
        <v>1.66372758058297</v>
      </c>
      <c r="AA4694" s="0" t="n">
        <f aca="false">X4694-Z4694</f>
        <v>44.4823067761422</v>
      </c>
      <c r="AB4694" s="0" t="n">
        <f aca="false">X4694+Z4694</f>
        <v>47.8097619373081</v>
      </c>
      <c r="AC4694" s="54" t="b">
        <f aca="false">AND(E4694&gt;=01_因子設定!$L$5-0.000000001,E4694&lt;=01_因子設定!$M$5+0.000000001,F4694&gt;=01_因子設定!$L$6-0.000000001,F4694&lt;=01_因子設定!$M$6+0.000000001,G4694&gt;=01_因子設定!$L$7-0.000000001,G4694&lt;=01_因子設定!$M$7+0.000000001,H4694&gt;=01_因子設定!$L$8-0.000000001,H4694&lt;=01_因子設定!$M$8+0.000000001,IF(01_因子設定!$B$20="Box-Behnken",E4694^2+F4694^2+G4694^2+H4694^2&lt;=2+0.000000001,TRUE()))</f>
        <v>1</v>
      </c>
      <c r="AD4694" s="55" t="n">
        <f aca="false">IF(AC4694,IF(01_因子設定!$B$13="最大化",AA4694-01_因子設定!$B$14,IF(01_因子設定!$B$13="最小化",01_因子設定!$B$15-AB4694,MIN(AA4694-01_因子設定!$B$14,01_因子設定!$B$15-AB4694))),-1E+030)</f>
        <v>-2.01769322385783</v>
      </c>
      <c r="AE4694" s="55" t="n">
        <f aca="false">IF(AC4694,IF(01_因子設定!$B$13="最大化",X4694,IF(01_因子設定!$B$13="最小化",-X4694,-ABS(X4694-01_因子設定!$B$16))),-1E+030)</f>
        <v>46.1460343567251</v>
      </c>
      <c r="AF4694" s="55" t="n">
        <f aca="false">AD4694+ROW()*0.000000001</f>
        <v>-2.01768852985783</v>
      </c>
      <c r="AG4694" s="55" t="n">
        <f aca="false">AE4694+ROW()*0.000000001</f>
        <v>46.1460390507251</v>
      </c>
    </row>
    <row r="4695" customFormat="false" ht="15" hidden="false" customHeight="false" outlineLevel="0" collapsed="false">
      <c r="A4695" s="0" t="n">
        <v>6</v>
      </c>
      <c r="B4695" s="0" t="n">
        <v>3</v>
      </c>
      <c r="C4695" s="0" t="n">
        <v>8</v>
      </c>
      <c r="D4695" s="0" t="n">
        <v>1</v>
      </c>
      <c r="E4695" s="0" t="n">
        <f aca="false">-1+A4695*0.25</f>
        <v>0.5</v>
      </c>
      <c r="F4695" s="0" t="n">
        <f aca="false">-1+B4695*0.25</f>
        <v>-0.25</v>
      </c>
      <c r="G4695" s="0" t="n">
        <f aca="false">-1+C4695*0.25</f>
        <v>1</v>
      </c>
      <c r="H4695" s="0" t="n">
        <f aca="false">-1+D4695*0.25</f>
        <v>-0.75</v>
      </c>
      <c r="I4695" s="0" t="n">
        <f aca="false">1</f>
        <v>1</v>
      </c>
      <c r="J4695" s="0" t="n">
        <f aca="false">E4695</f>
        <v>0.5</v>
      </c>
      <c r="K4695" s="0" t="n">
        <f aca="false">F4695</f>
        <v>-0.25</v>
      </c>
      <c r="L4695" s="0" t="n">
        <f aca="false">G4695</f>
        <v>1</v>
      </c>
      <c r="M4695" s="0" t="n">
        <f aca="false">H4695</f>
        <v>-0.75</v>
      </c>
      <c r="N4695" s="0" t="n">
        <f aca="false">E4695*F4695</f>
        <v>-0.125</v>
      </c>
      <c r="O4695" s="0" t="n">
        <f aca="false">E4695*G4695</f>
        <v>0.5</v>
      </c>
      <c r="P4695" s="0" t="n">
        <f aca="false">E4695*H4695</f>
        <v>-0.375</v>
      </c>
      <c r="Q4695" s="0" t="n">
        <f aca="false">F4695*G4695</f>
        <v>-0.25</v>
      </c>
      <c r="R4695" s="0" t="n">
        <f aca="false">F4695*H4695</f>
        <v>0.1875</v>
      </c>
      <c r="S4695" s="0" t="n">
        <f aca="false">G4695*H4695</f>
        <v>-0.75</v>
      </c>
      <c r="T4695" s="0" t="n">
        <f aca="false">E4695*E4695</f>
        <v>0.25</v>
      </c>
      <c r="U4695" s="0" t="n">
        <f aca="false">F4695*F4695</f>
        <v>0.0625</v>
      </c>
      <c r="V4695" s="0" t="n">
        <f aca="false">G4695*G4695</f>
        <v>1</v>
      </c>
      <c r="W4695" s="0" t="n">
        <f aca="false">H4695*H4695</f>
        <v>0.5625</v>
      </c>
      <c r="X4695" s="0" t="n">
        <f aca="false">SUMPRODUCT(I4695:W4695,_XtX!$B$96:$P$96)</f>
        <v>46.5155290570175</v>
      </c>
      <c r="Y4695" s="0" t="n">
        <f aca="false">SUMPRODUCT(MMULT(I4695:W4695,_XtX!$B$78:$P$92),I4695:W4695)</f>
        <v>0.459125719572369</v>
      </c>
      <c r="Z4695" s="0" t="n">
        <f aca="false">04_回帰ANOVA!$K$19*04_回帰ANOVA!$K$14*SQRT(1+Y4695)</f>
        <v>1.57450755575573</v>
      </c>
      <c r="AA4695" s="0" t="n">
        <f aca="false">X4695-Z4695</f>
        <v>44.9410215012618</v>
      </c>
      <c r="AB4695" s="0" t="n">
        <f aca="false">X4695+Z4695</f>
        <v>48.0900366127733</v>
      </c>
      <c r="AC4695" s="54" t="b">
        <f aca="false">AND(E4695&gt;=01_因子設定!$L$5-0.000000001,E4695&lt;=01_因子設定!$M$5+0.000000001,F4695&gt;=01_因子設定!$L$6-0.000000001,F4695&lt;=01_因子設定!$M$6+0.000000001,G4695&gt;=01_因子設定!$L$7-0.000000001,G4695&lt;=01_因子設定!$M$7+0.000000001,H4695&gt;=01_因子設定!$L$8-0.000000001,H4695&lt;=01_因子設定!$M$8+0.000000001,IF(01_因子設定!$B$20="Box-Behnken",E4695^2+F4695^2+G4695^2+H4695^2&lt;=2+0.000000001,TRUE()))</f>
        <v>1</v>
      </c>
      <c r="AD4695" s="55" t="n">
        <f aca="false">IF(AC4695,IF(01_因子設定!$B$13="最大化",AA4695-01_因子設定!$B$14,IF(01_因子設定!$B$13="最小化",01_因子設定!$B$15-AB4695,MIN(AA4695-01_因子設定!$B$14,01_因子設定!$B$15-AB4695))),-1E+030)</f>
        <v>-1.55897849873821</v>
      </c>
      <c r="AE4695" s="55" t="n">
        <f aca="false">IF(AC4695,IF(01_因子設定!$B$13="最大化",X4695,IF(01_因子設定!$B$13="最小化",-X4695,-ABS(X4695-01_因子設定!$B$16))),-1E+030)</f>
        <v>46.5155290570175</v>
      </c>
      <c r="AF4695" s="55" t="n">
        <f aca="false">AD4695+ROW()*0.000000001</f>
        <v>-1.55897380373821</v>
      </c>
      <c r="AG4695" s="55" t="n">
        <f aca="false">AE4695+ROW()*0.000000001</f>
        <v>46.5155337520175</v>
      </c>
    </row>
    <row r="4696" customFormat="false" ht="15" hidden="false" customHeight="false" outlineLevel="0" collapsed="false">
      <c r="A4696" s="0" t="n">
        <v>6</v>
      </c>
      <c r="B4696" s="0" t="n">
        <v>3</v>
      </c>
      <c r="C4696" s="0" t="n">
        <v>8</v>
      </c>
      <c r="D4696" s="0" t="n">
        <v>2</v>
      </c>
      <c r="E4696" s="0" t="n">
        <f aca="false">-1+A4696*0.25</f>
        <v>0.5</v>
      </c>
      <c r="F4696" s="0" t="n">
        <f aca="false">-1+B4696*0.25</f>
        <v>-0.25</v>
      </c>
      <c r="G4696" s="0" t="n">
        <f aca="false">-1+C4696*0.25</f>
        <v>1</v>
      </c>
      <c r="H4696" s="0" t="n">
        <f aca="false">-1+D4696*0.25</f>
        <v>-0.5</v>
      </c>
      <c r="I4696" s="0" t="n">
        <f aca="false">1</f>
        <v>1</v>
      </c>
      <c r="J4696" s="0" t="n">
        <f aca="false">E4696</f>
        <v>0.5</v>
      </c>
      <c r="K4696" s="0" t="n">
        <f aca="false">F4696</f>
        <v>-0.25</v>
      </c>
      <c r="L4696" s="0" t="n">
        <f aca="false">G4696</f>
        <v>1</v>
      </c>
      <c r="M4696" s="0" t="n">
        <f aca="false">H4696</f>
        <v>-0.5</v>
      </c>
      <c r="N4696" s="0" t="n">
        <f aca="false">E4696*F4696</f>
        <v>-0.125</v>
      </c>
      <c r="O4696" s="0" t="n">
        <f aca="false">E4696*G4696</f>
        <v>0.5</v>
      </c>
      <c r="P4696" s="0" t="n">
        <f aca="false">E4696*H4696</f>
        <v>-0.25</v>
      </c>
      <c r="Q4696" s="0" t="n">
        <f aca="false">F4696*G4696</f>
        <v>-0.25</v>
      </c>
      <c r="R4696" s="0" t="n">
        <f aca="false">F4696*H4696</f>
        <v>0.125</v>
      </c>
      <c r="S4696" s="0" t="n">
        <f aca="false">G4696*H4696</f>
        <v>-0.5</v>
      </c>
      <c r="T4696" s="0" t="n">
        <f aca="false">E4696*E4696</f>
        <v>0.25</v>
      </c>
      <c r="U4696" s="0" t="n">
        <f aca="false">F4696*F4696</f>
        <v>0.0625</v>
      </c>
      <c r="V4696" s="0" t="n">
        <f aca="false">G4696*G4696</f>
        <v>1</v>
      </c>
      <c r="W4696" s="0" t="n">
        <f aca="false">H4696*H4696</f>
        <v>0.25</v>
      </c>
      <c r="X4696" s="0" t="n">
        <f aca="false">SUMPRODUCT(I4696:W4696,_XtX!$B$96:$P$96)</f>
        <v>46.8372167397661</v>
      </c>
      <c r="Y4696" s="0" t="n">
        <f aca="false">SUMPRODUCT(MMULT(I4696:W4696,_XtX!$B$78:$P$92),I4696:W4696)</f>
        <v>0.428122715643275</v>
      </c>
      <c r="Z4696" s="0" t="n">
        <f aca="false">04_回帰ANOVA!$K$19*04_回帰ANOVA!$K$14*SQRT(1+Y4696)</f>
        <v>1.55769044623229</v>
      </c>
      <c r="AA4696" s="0" t="n">
        <f aca="false">X4696-Z4696</f>
        <v>45.2795262935338</v>
      </c>
      <c r="AB4696" s="0" t="n">
        <f aca="false">X4696+Z4696</f>
        <v>48.3949071859983</v>
      </c>
      <c r="AC4696" s="54" t="b">
        <f aca="false">AND(E4696&gt;=01_因子設定!$L$5-0.000000001,E4696&lt;=01_因子設定!$M$5+0.000000001,F4696&gt;=01_因子設定!$L$6-0.000000001,F4696&lt;=01_因子設定!$M$6+0.000000001,G4696&gt;=01_因子設定!$L$7-0.000000001,G4696&lt;=01_因子設定!$M$7+0.000000001,H4696&gt;=01_因子設定!$L$8-0.000000001,H4696&lt;=01_因子設定!$M$8+0.000000001,IF(01_因子設定!$B$20="Box-Behnken",E4696^2+F4696^2+G4696^2+H4696^2&lt;=2+0.000000001,TRUE()))</f>
        <v>1</v>
      </c>
      <c r="AD4696" s="55" t="n">
        <f aca="false">IF(AC4696,IF(01_因子設定!$B$13="最大化",AA4696-01_因子設定!$B$14,IF(01_因子設定!$B$13="最小化",01_因子設定!$B$15-AB4696,MIN(AA4696-01_因子設定!$B$14,01_因子設定!$B$15-AB4696))),-1E+030)</f>
        <v>-1.22047370646624</v>
      </c>
      <c r="AE4696" s="55" t="n">
        <f aca="false">IF(AC4696,IF(01_因子設定!$B$13="最大化",X4696,IF(01_因子設定!$B$13="最小化",-X4696,-ABS(X4696-01_因子設定!$B$16))),-1E+030)</f>
        <v>46.8372167397661</v>
      </c>
      <c r="AF4696" s="55" t="n">
        <f aca="false">AD4696+ROW()*0.000000001</f>
        <v>-1.22046901046624</v>
      </c>
      <c r="AG4696" s="55" t="n">
        <f aca="false">AE4696+ROW()*0.000000001</f>
        <v>46.8372214357661</v>
      </c>
    </row>
    <row r="4697" customFormat="false" ht="15" hidden="false" customHeight="false" outlineLevel="0" collapsed="false">
      <c r="A4697" s="0" t="n">
        <v>6</v>
      </c>
      <c r="B4697" s="0" t="n">
        <v>3</v>
      </c>
      <c r="C4697" s="0" t="n">
        <v>8</v>
      </c>
      <c r="D4697" s="0" t="n">
        <v>3</v>
      </c>
      <c r="E4697" s="0" t="n">
        <f aca="false">-1+A4697*0.25</f>
        <v>0.5</v>
      </c>
      <c r="F4697" s="0" t="n">
        <f aca="false">-1+B4697*0.25</f>
        <v>-0.25</v>
      </c>
      <c r="G4697" s="0" t="n">
        <f aca="false">-1+C4697*0.25</f>
        <v>1</v>
      </c>
      <c r="H4697" s="0" t="n">
        <f aca="false">-1+D4697*0.25</f>
        <v>-0.25</v>
      </c>
      <c r="I4697" s="0" t="n">
        <f aca="false">1</f>
        <v>1</v>
      </c>
      <c r="J4697" s="0" t="n">
        <f aca="false">E4697</f>
        <v>0.5</v>
      </c>
      <c r="K4697" s="0" t="n">
        <f aca="false">F4697</f>
        <v>-0.25</v>
      </c>
      <c r="L4697" s="0" t="n">
        <f aca="false">G4697</f>
        <v>1</v>
      </c>
      <c r="M4697" s="0" t="n">
        <f aca="false">H4697</f>
        <v>-0.25</v>
      </c>
      <c r="N4697" s="0" t="n">
        <f aca="false">E4697*F4697</f>
        <v>-0.125</v>
      </c>
      <c r="O4697" s="0" t="n">
        <f aca="false">E4697*G4697</f>
        <v>0.5</v>
      </c>
      <c r="P4697" s="0" t="n">
        <f aca="false">E4697*H4697</f>
        <v>-0.125</v>
      </c>
      <c r="Q4697" s="0" t="n">
        <f aca="false">F4697*G4697</f>
        <v>-0.25</v>
      </c>
      <c r="R4697" s="0" t="n">
        <f aca="false">F4697*H4697</f>
        <v>0.0625</v>
      </c>
      <c r="S4697" s="0" t="n">
        <f aca="false">G4697*H4697</f>
        <v>-0.25</v>
      </c>
      <c r="T4697" s="0" t="n">
        <f aca="false">E4697*E4697</f>
        <v>0.25</v>
      </c>
      <c r="U4697" s="0" t="n">
        <f aca="false">F4697*F4697</f>
        <v>0.0625</v>
      </c>
      <c r="V4697" s="0" t="n">
        <f aca="false">G4697*G4697</f>
        <v>1</v>
      </c>
      <c r="W4697" s="0" t="n">
        <f aca="false">H4697*H4697</f>
        <v>0.0625</v>
      </c>
      <c r="X4697" s="0" t="n">
        <f aca="false">SUMPRODUCT(I4697:W4697,_XtX!$B$96:$P$96)</f>
        <v>47.1110974049707</v>
      </c>
      <c r="Y4697" s="0" t="n">
        <f aca="false">SUMPRODUCT(MMULT(I4697:W4697,_XtX!$B$78:$P$92),I4697:W4697)</f>
        <v>0.445705123812135</v>
      </c>
      <c r="Z4697" s="0" t="n">
        <f aca="false">04_回帰ANOVA!$K$19*04_回帰ANOVA!$K$14*SQRT(1+Y4697)</f>
        <v>1.56724990734749</v>
      </c>
      <c r="AA4697" s="0" t="n">
        <f aca="false">X4697-Z4697</f>
        <v>45.5438474976232</v>
      </c>
      <c r="AB4697" s="0" t="n">
        <f aca="false">X4697+Z4697</f>
        <v>48.6783473123182</v>
      </c>
      <c r="AC4697" s="54" t="b">
        <f aca="false">AND(E4697&gt;=01_因子設定!$L$5-0.000000001,E4697&lt;=01_因子設定!$M$5+0.000000001,F4697&gt;=01_因子設定!$L$6-0.000000001,F4697&lt;=01_因子設定!$M$6+0.000000001,G4697&gt;=01_因子設定!$L$7-0.000000001,G4697&lt;=01_因子設定!$M$7+0.000000001,H4697&gt;=01_因子設定!$L$8-0.000000001,H4697&lt;=01_因子設定!$M$8+0.000000001,IF(01_因子設定!$B$20="Box-Behnken",E4697^2+F4697^2+G4697^2+H4697^2&lt;=2+0.000000001,TRUE()))</f>
        <v>1</v>
      </c>
      <c r="AD4697" s="55" t="n">
        <f aca="false">IF(AC4697,IF(01_因子設定!$B$13="最大化",AA4697-01_因子設定!$B$14,IF(01_因子設定!$B$13="最小化",01_因子設定!$B$15-AB4697,MIN(AA4697-01_因子設定!$B$14,01_因子設定!$B$15-AB4697))),-1E+030)</f>
        <v>-0.956152502376767</v>
      </c>
      <c r="AE4697" s="55" t="n">
        <f aca="false">IF(AC4697,IF(01_因子設定!$B$13="最大化",X4697,IF(01_因子設定!$B$13="最小化",-X4697,-ABS(X4697-01_因子設定!$B$16))),-1E+030)</f>
        <v>47.1110974049707</v>
      </c>
      <c r="AF4697" s="55" t="n">
        <f aca="false">AD4697+ROW()*0.000000001</f>
        <v>-0.956147805376767</v>
      </c>
      <c r="AG4697" s="55" t="n">
        <f aca="false">AE4697+ROW()*0.000000001</f>
        <v>47.1111021019707</v>
      </c>
    </row>
    <row r="4698" customFormat="false" ht="15" hidden="false" customHeight="false" outlineLevel="0" collapsed="false">
      <c r="A4698" s="0" t="n">
        <v>6</v>
      </c>
      <c r="B4698" s="0" t="n">
        <v>3</v>
      </c>
      <c r="C4698" s="0" t="n">
        <v>8</v>
      </c>
      <c r="D4698" s="0" t="n">
        <v>4</v>
      </c>
      <c r="E4698" s="0" t="n">
        <f aca="false">-1+A4698*0.25</f>
        <v>0.5</v>
      </c>
      <c r="F4698" s="0" t="n">
        <f aca="false">-1+B4698*0.25</f>
        <v>-0.25</v>
      </c>
      <c r="G4698" s="0" t="n">
        <f aca="false">-1+C4698*0.25</f>
        <v>1</v>
      </c>
      <c r="H4698" s="0" t="n">
        <f aca="false">-1+D4698*0.25</f>
        <v>0</v>
      </c>
      <c r="I4698" s="0" t="n">
        <f aca="false">1</f>
        <v>1</v>
      </c>
      <c r="J4698" s="0" t="n">
        <f aca="false">E4698</f>
        <v>0.5</v>
      </c>
      <c r="K4698" s="0" t="n">
        <f aca="false">F4698</f>
        <v>-0.25</v>
      </c>
      <c r="L4698" s="0" t="n">
        <f aca="false">G4698</f>
        <v>1</v>
      </c>
      <c r="M4698" s="0" t="n">
        <f aca="false">H4698</f>
        <v>0</v>
      </c>
      <c r="N4698" s="0" t="n">
        <f aca="false">E4698*F4698</f>
        <v>-0.125</v>
      </c>
      <c r="O4698" s="0" t="n">
        <f aca="false">E4698*G4698</f>
        <v>0.5</v>
      </c>
      <c r="P4698" s="0" t="n">
        <f aca="false">E4698*H4698</f>
        <v>0</v>
      </c>
      <c r="Q4698" s="0" t="n">
        <f aca="false">F4698*G4698</f>
        <v>-0.25</v>
      </c>
      <c r="R4698" s="0" t="n">
        <f aca="false">F4698*H4698</f>
        <v>-0</v>
      </c>
      <c r="S4698" s="0" t="n">
        <f aca="false">G4698*H4698</f>
        <v>0</v>
      </c>
      <c r="T4698" s="0" t="n">
        <f aca="false">E4698*E4698</f>
        <v>0.25</v>
      </c>
      <c r="U4698" s="0" t="n">
        <f aca="false">F4698*F4698</f>
        <v>0.0625</v>
      </c>
      <c r="V4698" s="0" t="n">
        <f aca="false">G4698*G4698</f>
        <v>1</v>
      </c>
      <c r="W4698" s="0" t="n">
        <f aca="false">H4698*H4698</f>
        <v>0</v>
      </c>
      <c r="X4698" s="0" t="n">
        <f aca="false">SUMPRODUCT(I4698:W4698,_XtX!$B$96:$P$96)</f>
        <v>47.3371710526315</v>
      </c>
      <c r="Y4698" s="0" t="n">
        <f aca="false">SUMPRODUCT(MMULT(I4698:W4698,_XtX!$B$78:$P$92),I4698:W4698)</f>
        <v>0.457596628289474</v>
      </c>
      <c r="Z4698" s="0" t="n">
        <f aca="false">04_回帰ANOVA!$K$19*04_回帰ANOVA!$K$14*SQRT(1+Y4698)</f>
        <v>1.57368233664366</v>
      </c>
      <c r="AA4698" s="0" t="n">
        <f aca="false">X4698-Z4698</f>
        <v>45.7634887159879</v>
      </c>
      <c r="AB4698" s="0" t="n">
        <f aca="false">X4698+Z4698</f>
        <v>48.9108533892752</v>
      </c>
      <c r="AC4698" s="54" t="b">
        <f aca="false">AND(E4698&gt;=01_因子設定!$L$5-0.000000001,E4698&lt;=01_因子設定!$M$5+0.000000001,F4698&gt;=01_因子設定!$L$6-0.000000001,F4698&lt;=01_因子設定!$M$6+0.000000001,G4698&gt;=01_因子設定!$L$7-0.000000001,G4698&lt;=01_因子設定!$M$7+0.000000001,H4698&gt;=01_因子設定!$L$8-0.000000001,H4698&lt;=01_因子設定!$M$8+0.000000001,IF(01_因子設定!$B$20="Box-Behnken",E4698^2+F4698^2+G4698^2+H4698^2&lt;=2+0.000000001,TRUE()))</f>
        <v>1</v>
      </c>
      <c r="AD4698" s="55" t="n">
        <f aca="false">IF(AC4698,IF(01_因子設定!$B$13="最大化",AA4698-01_因子設定!$B$14,IF(01_因子設定!$B$13="最小化",01_因子設定!$B$15-AB4698,MIN(AA4698-01_因子設定!$B$14,01_因子設定!$B$15-AB4698))),-1E+030)</f>
        <v>-0.736511284012117</v>
      </c>
      <c r="AE4698" s="55" t="n">
        <f aca="false">IF(AC4698,IF(01_因子設定!$B$13="最大化",X4698,IF(01_因子設定!$B$13="最小化",-X4698,-ABS(X4698-01_因子設定!$B$16))),-1E+030)</f>
        <v>47.3371710526315</v>
      </c>
      <c r="AF4698" s="55" t="n">
        <f aca="false">AD4698+ROW()*0.000000001</f>
        <v>-0.736506586012117</v>
      </c>
      <c r="AG4698" s="55" t="n">
        <f aca="false">AE4698+ROW()*0.000000001</f>
        <v>47.3371757506315</v>
      </c>
    </row>
    <row r="4699" customFormat="false" ht="15" hidden="false" customHeight="false" outlineLevel="0" collapsed="false">
      <c r="A4699" s="0" t="n">
        <v>6</v>
      </c>
      <c r="B4699" s="0" t="n">
        <v>3</v>
      </c>
      <c r="C4699" s="0" t="n">
        <v>8</v>
      </c>
      <c r="D4699" s="0" t="n">
        <v>5</v>
      </c>
      <c r="E4699" s="0" t="n">
        <f aca="false">-1+A4699*0.25</f>
        <v>0.5</v>
      </c>
      <c r="F4699" s="0" t="n">
        <f aca="false">-1+B4699*0.25</f>
        <v>-0.25</v>
      </c>
      <c r="G4699" s="0" t="n">
        <f aca="false">-1+C4699*0.25</f>
        <v>1</v>
      </c>
      <c r="H4699" s="0" t="n">
        <f aca="false">-1+D4699*0.25</f>
        <v>0.25</v>
      </c>
      <c r="I4699" s="0" t="n">
        <f aca="false">1</f>
        <v>1</v>
      </c>
      <c r="J4699" s="0" t="n">
        <f aca="false">E4699</f>
        <v>0.5</v>
      </c>
      <c r="K4699" s="0" t="n">
        <f aca="false">F4699</f>
        <v>-0.25</v>
      </c>
      <c r="L4699" s="0" t="n">
        <f aca="false">G4699</f>
        <v>1</v>
      </c>
      <c r="M4699" s="0" t="n">
        <f aca="false">H4699</f>
        <v>0.25</v>
      </c>
      <c r="N4699" s="0" t="n">
        <f aca="false">E4699*F4699</f>
        <v>-0.125</v>
      </c>
      <c r="O4699" s="0" t="n">
        <f aca="false">E4699*G4699</f>
        <v>0.5</v>
      </c>
      <c r="P4699" s="0" t="n">
        <f aca="false">E4699*H4699</f>
        <v>0.125</v>
      </c>
      <c r="Q4699" s="0" t="n">
        <f aca="false">F4699*G4699</f>
        <v>-0.25</v>
      </c>
      <c r="R4699" s="0" t="n">
        <f aca="false">F4699*H4699</f>
        <v>-0.0625</v>
      </c>
      <c r="S4699" s="0" t="n">
        <f aca="false">G4699*H4699</f>
        <v>0.25</v>
      </c>
      <c r="T4699" s="0" t="n">
        <f aca="false">E4699*E4699</f>
        <v>0.25</v>
      </c>
      <c r="U4699" s="0" t="n">
        <f aca="false">F4699*F4699</f>
        <v>0.0625</v>
      </c>
      <c r="V4699" s="0" t="n">
        <f aca="false">G4699*G4699</f>
        <v>1</v>
      </c>
      <c r="W4699" s="0" t="n">
        <f aca="false">H4699*H4699</f>
        <v>0.0625</v>
      </c>
      <c r="X4699" s="0" t="n">
        <f aca="false">SUMPRODUCT(I4699:W4699,_XtX!$B$96:$P$96)</f>
        <v>47.5154376827485</v>
      </c>
      <c r="Y4699" s="0" t="n">
        <f aca="false">SUMPRODUCT(MMULT(I4699:W4699,_XtX!$B$78:$P$92),I4699:W4699)</f>
        <v>0.445705123812135</v>
      </c>
      <c r="Z4699" s="0" t="n">
        <f aca="false">04_回帰ANOVA!$K$19*04_回帰ANOVA!$K$14*SQRT(1+Y4699)</f>
        <v>1.56724990734749</v>
      </c>
      <c r="AA4699" s="0" t="n">
        <f aca="false">X4699-Z4699</f>
        <v>45.948187775401</v>
      </c>
      <c r="AB4699" s="0" t="n">
        <f aca="false">X4699+Z4699</f>
        <v>49.082687590096</v>
      </c>
      <c r="AC4699" s="54" t="b">
        <f aca="false">AND(E4699&gt;=01_因子設定!$L$5-0.000000001,E4699&lt;=01_因子設定!$M$5+0.000000001,F4699&gt;=01_因子設定!$L$6-0.000000001,F4699&lt;=01_因子設定!$M$6+0.000000001,G4699&gt;=01_因子設定!$L$7-0.000000001,G4699&lt;=01_因子設定!$M$7+0.000000001,H4699&gt;=01_因子設定!$L$8-0.000000001,H4699&lt;=01_因子設定!$M$8+0.000000001,IF(01_因子設定!$B$20="Box-Behnken",E4699^2+F4699^2+G4699^2+H4699^2&lt;=2+0.000000001,TRUE()))</f>
        <v>1</v>
      </c>
      <c r="AD4699" s="55" t="n">
        <f aca="false">IF(AC4699,IF(01_因子設定!$B$13="最大化",AA4699-01_因子設定!$B$14,IF(01_因子設定!$B$13="最小化",01_因子設定!$B$15-AB4699,MIN(AA4699-01_因子設定!$B$14,01_因子設定!$B$15-AB4699))),-1E+030)</f>
        <v>-0.55181222459899</v>
      </c>
      <c r="AE4699" s="55" t="n">
        <f aca="false">IF(AC4699,IF(01_因子設定!$B$13="最大化",X4699,IF(01_因子設定!$B$13="最小化",-X4699,-ABS(X4699-01_因子設定!$B$16))),-1E+030)</f>
        <v>47.5154376827485</v>
      </c>
      <c r="AF4699" s="55" t="n">
        <f aca="false">AD4699+ROW()*0.000000001</f>
        <v>-0.55180752559899</v>
      </c>
      <c r="AG4699" s="55" t="n">
        <f aca="false">AE4699+ROW()*0.000000001</f>
        <v>47.5154423817485</v>
      </c>
    </row>
    <row r="4700" customFormat="false" ht="15" hidden="false" customHeight="false" outlineLevel="0" collapsed="false">
      <c r="A4700" s="0" t="n">
        <v>6</v>
      </c>
      <c r="B4700" s="0" t="n">
        <v>3</v>
      </c>
      <c r="C4700" s="0" t="n">
        <v>8</v>
      </c>
      <c r="D4700" s="0" t="n">
        <v>6</v>
      </c>
      <c r="E4700" s="0" t="n">
        <f aca="false">-1+A4700*0.25</f>
        <v>0.5</v>
      </c>
      <c r="F4700" s="0" t="n">
        <f aca="false">-1+B4700*0.25</f>
        <v>-0.25</v>
      </c>
      <c r="G4700" s="0" t="n">
        <f aca="false">-1+C4700*0.25</f>
        <v>1</v>
      </c>
      <c r="H4700" s="0" t="n">
        <f aca="false">-1+D4700*0.25</f>
        <v>0.5</v>
      </c>
      <c r="I4700" s="0" t="n">
        <f aca="false">1</f>
        <v>1</v>
      </c>
      <c r="J4700" s="0" t="n">
        <f aca="false">E4700</f>
        <v>0.5</v>
      </c>
      <c r="K4700" s="0" t="n">
        <f aca="false">F4700</f>
        <v>-0.25</v>
      </c>
      <c r="L4700" s="0" t="n">
        <f aca="false">G4700</f>
        <v>1</v>
      </c>
      <c r="M4700" s="0" t="n">
        <f aca="false">H4700</f>
        <v>0.5</v>
      </c>
      <c r="N4700" s="0" t="n">
        <f aca="false">E4700*F4700</f>
        <v>-0.125</v>
      </c>
      <c r="O4700" s="0" t="n">
        <f aca="false">E4700*G4700</f>
        <v>0.5</v>
      </c>
      <c r="P4700" s="0" t="n">
        <f aca="false">E4700*H4700</f>
        <v>0.25</v>
      </c>
      <c r="Q4700" s="0" t="n">
        <f aca="false">F4700*G4700</f>
        <v>-0.25</v>
      </c>
      <c r="R4700" s="0" t="n">
        <f aca="false">F4700*H4700</f>
        <v>-0.125</v>
      </c>
      <c r="S4700" s="0" t="n">
        <f aca="false">G4700*H4700</f>
        <v>0.5</v>
      </c>
      <c r="T4700" s="0" t="n">
        <f aca="false">E4700*E4700</f>
        <v>0.25</v>
      </c>
      <c r="U4700" s="0" t="n">
        <f aca="false">F4700*F4700</f>
        <v>0.0625</v>
      </c>
      <c r="V4700" s="0" t="n">
        <f aca="false">G4700*G4700</f>
        <v>1</v>
      </c>
      <c r="W4700" s="0" t="n">
        <f aca="false">H4700*H4700</f>
        <v>0.25</v>
      </c>
      <c r="X4700" s="0" t="n">
        <f aca="false">SUMPRODUCT(I4700:W4700,_XtX!$B$96:$P$96)</f>
        <v>47.6458972953216</v>
      </c>
      <c r="Y4700" s="0" t="n">
        <f aca="false">SUMPRODUCT(MMULT(I4700:W4700,_XtX!$B$78:$P$92),I4700:W4700)</f>
        <v>0.428122715643275</v>
      </c>
      <c r="Z4700" s="0" t="n">
        <f aca="false">04_回帰ANOVA!$K$19*04_回帰ANOVA!$K$14*SQRT(1+Y4700)</f>
        <v>1.55769044623229</v>
      </c>
      <c r="AA4700" s="0" t="n">
        <f aca="false">X4700-Z4700</f>
        <v>46.0882068490893</v>
      </c>
      <c r="AB4700" s="0" t="n">
        <f aca="false">X4700+Z4700</f>
        <v>49.2035877415539</v>
      </c>
      <c r="AC4700" s="54" t="b">
        <f aca="false">AND(E4700&gt;=01_因子設定!$L$5-0.000000001,E4700&lt;=01_因子設定!$M$5+0.000000001,F4700&gt;=01_因子設定!$L$6-0.000000001,F4700&lt;=01_因子設定!$M$6+0.000000001,G4700&gt;=01_因子設定!$L$7-0.000000001,G4700&lt;=01_因子設定!$M$7+0.000000001,H4700&gt;=01_因子設定!$L$8-0.000000001,H4700&lt;=01_因子設定!$M$8+0.000000001,IF(01_因子設定!$B$20="Box-Behnken",E4700^2+F4700^2+G4700^2+H4700^2&lt;=2+0.000000001,TRUE()))</f>
        <v>1</v>
      </c>
      <c r="AD4700" s="55" t="n">
        <f aca="false">IF(AC4700,IF(01_因子設定!$B$13="最大化",AA4700-01_因子設定!$B$14,IF(01_因子設定!$B$13="最小化",01_因子設定!$B$15-AB4700,MIN(AA4700-01_因子設定!$B$14,01_因子設定!$B$15-AB4700))),-1E+030)</f>
        <v>-0.41179315091069</v>
      </c>
      <c r="AE4700" s="55" t="n">
        <f aca="false">IF(AC4700,IF(01_因子設定!$B$13="最大化",X4700,IF(01_因子設定!$B$13="最小化",-X4700,-ABS(X4700-01_因子設定!$B$16))),-1E+030)</f>
        <v>47.6458972953216</v>
      </c>
      <c r="AF4700" s="55" t="n">
        <f aca="false">AD4700+ROW()*0.000000001</f>
        <v>-0.41178845091069</v>
      </c>
      <c r="AG4700" s="55" t="n">
        <f aca="false">AE4700+ROW()*0.000000001</f>
        <v>47.6459019953216</v>
      </c>
    </row>
    <row r="4701" customFormat="false" ht="15" hidden="false" customHeight="false" outlineLevel="0" collapsed="false">
      <c r="A4701" s="0" t="n">
        <v>6</v>
      </c>
      <c r="B4701" s="0" t="n">
        <v>3</v>
      </c>
      <c r="C4701" s="0" t="n">
        <v>8</v>
      </c>
      <c r="D4701" s="0" t="n">
        <v>7</v>
      </c>
      <c r="E4701" s="0" t="n">
        <f aca="false">-1+A4701*0.25</f>
        <v>0.5</v>
      </c>
      <c r="F4701" s="0" t="n">
        <f aca="false">-1+B4701*0.25</f>
        <v>-0.25</v>
      </c>
      <c r="G4701" s="0" t="n">
        <f aca="false">-1+C4701*0.25</f>
        <v>1</v>
      </c>
      <c r="H4701" s="0" t="n">
        <f aca="false">-1+D4701*0.25</f>
        <v>0.75</v>
      </c>
      <c r="I4701" s="0" t="n">
        <f aca="false">1</f>
        <v>1</v>
      </c>
      <c r="J4701" s="0" t="n">
        <f aca="false">E4701</f>
        <v>0.5</v>
      </c>
      <c r="K4701" s="0" t="n">
        <f aca="false">F4701</f>
        <v>-0.25</v>
      </c>
      <c r="L4701" s="0" t="n">
        <f aca="false">G4701</f>
        <v>1</v>
      </c>
      <c r="M4701" s="0" t="n">
        <f aca="false">H4701</f>
        <v>0.75</v>
      </c>
      <c r="N4701" s="0" t="n">
        <f aca="false">E4701*F4701</f>
        <v>-0.125</v>
      </c>
      <c r="O4701" s="0" t="n">
        <f aca="false">E4701*G4701</f>
        <v>0.5</v>
      </c>
      <c r="P4701" s="0" t="n">
        <f aca="false">E4701*H4701</f>
        <v>0.375</v>
      </c>
      <c r="Q4701" s="0" t="n">
        <f aca="false">F4701*G4701</f>
        <v>-0.25</v>
      </c>
      <c r="R4701" s="0" t="n">
        <f aca="false">F4701*H4701</f>
        <v>-0.1875</v>
      </c>
      <c r="S4701" s="0" t="n">
        <f aca="false">G4701*H4701</f>
        <v>0.75</v>
      </c>
      <c r="T4701" s="0" t="n">
        <f aca="false">E4701*E4701</f>
        <v>0.25</v>
      </c>
      <c r="U4701" s="0" t="n">
        <f aca="false">F4701*F4701</f>
        <v>0.0625</v>
      </c>
      <c r="V4701" s="0" t="n">
        <f aca="false">G4701*G4701</f>
        <v>1</v>
      </c>
      <c r="W4701" s="0" t="n">
        <f aca="false">H4701*H4701</f>
        <v>0.5625</v>
      </c>
      <c r="X4701" s="0" t="n">
        <f aca="false">SUMPRODUCT(I4701:W4701,_XtX!$B$96:$P$96)</f>
        <v>47.7285498903509</v>
      </c>
      <c r="Y4701" s="0" t="n">
        <f aca="false">SUMPRODUCT(MMULT(I4701:W4701,_XtX!$B$78:$P$92),I4701:W4701)</f>
        <v>0.459125719572369</v>
      </c>
      <c r="Z4701" s="0" t="n">
        <f aca="false">04_回帰ANOVA!$K$19*04_回帰ANOVA!$K$14*SQRT(1+Y4701)</f>
        <v>1.57450755575573</v>
      </c>
      <c r="AA4701" s="0" t="n">
        <f aca="false">X4701-Z4701</f>
        <v>46.1540423345951</v>
      </c>
      <c r="AB4701" s="0" t="n">
        <f aca="false">X4701+Z4701</f>
        <v>49.3030574461066</v>
      </c>
      <c r="AC4701" s="54" t="b">
        <f aca="false">AND(E4701&gt;=01_因子設定!$L$5-0.000000001,E4701&lt;=01_因子設定!$M$5+0.000000001,F4701&gt;=01_因子設定!$L$6-0.000000001,F4701&lt;=01_因子設定!$M$6+0.000000001,G4701&gt;=01_因子設定!$L$7-0.000000001,G4701&lt;=01_因子設定!$M$7+0.000000001,H4701&gt;=01_因子設定!$L$8-0.000000001,H4701&lt;=01_因子設定!$M$8+0.000000001,IF(01_因子設定!$B$20="Box-Behnken",E4701^2+F4701^2+G4701^2+H4701^2&lt;=2+0.000000001,TRUE()))</f>
        <v>1</v>
      </c>
      <c r="AD4701" s="55" t="n">
        <f aca="false">IF(AC4701,IF(01_因子設定!$B$13="最大化",AA4701-01_因子設定!$B$14,IF(01_因子設定!$B$13="最小化",01_因子設定!$B$15-AB4701,MIN(AA4701-01_因子設定!$B$14,01_因子設定!$B$15-AB4701))),-1E+030)</f>
        <v>-0.345957665404875</v>
      </c>
      <c r="AE4701" s="55" t="n">
        <f aca="false">IF(AC4701,IF(01_因子設定!$B$13="最大化",X4701,IF(01_因子設定!$B$13="最小化",-X4701,-ABS(X4701-01_因子設定!$B$16))),-1E+030)</f>
        <v>47.7285498903509</v>
      </c>
      <c r="AF4701" s="55" t="n">
        <f aca="false">AD4701+ROW()*0.000000001</f>
        <v>-0.345952964404875</v>
      </c>
      <c r="AG4701" s="55" t="n">
        <f aca="false">AE4701+ROW()*0.000000001</f>
        <v>47.7285545913509</v>
      </c>
    </row>
    <row r="4702" customFormat="false" ht="15" hidden="false" customHeight="false" outlineLevel="0" collapsed="false">
      <c r="A4702" s="0" t="n">
        <v>6</v>
      </c>
      <c r="B4702" s="0" t="n">
        <v>3</v>
      </c>
      <c r="C4702" s="0" t="n">
        <v>8</v>
      </c>
      <c r="D4702" s="0" t="n">
        <v>8</v>
      </c>
      <c r="E4702" s="0" t="n">
        <f aca="false">-1+A4702*0.25</f>
        <v>0.5</v>
      </c>
      <c r="F4702" s="0" t="n">
        <f aca="false">-1+B4702*0.25</f>
        <v>-0.25</v>
      </c>
      <c r="G4702" s="0" t="n">
        <f aca="false">-1+C4702*0.25</f>
        <v>1</v>
      </c>
      <c r="H4702" s="0" t="n">
        <f aca="false">-1+D4702*0.25</f>
        <v>1</v>
      </c>
      <c r="I4702" s="0" t="n">
        <f aca="false">1</f>
        <v>1</v>
      </c>
      <c r="J4702" s="0" t="n">
        <f aca="false">E4702</f>
        <v>0.5</v>
      </c>
      <c r="K4702" s="0" t="n">
        <f aca="false">F4702</f>
        <v>-0.25</v>
      </c>
      <c r="L4702" s="0" t="n">
        <f aca="false">G4702</f>
        <v>1</v>
      </c>
      <c r="M4702" s="0" t="n">
        <f aca="false">H4702</f>
        <v>1</v>
      </c>
      <c r="N4702" s="0" t="n">
        <f aca="false">E4702*F4702</f>
        <v>-0.125</v>
      </c>
      <c r="O4702" s="0" t="n">
        <f aca="false">E4702*G4702</f>
        <v>0.5</v>
      </c>
      <c r="P4702" s="0" t="n">
        <f aca="false">E4702*H4702</f>
        <v>0.5</v>
      </c>
      <c r="Q4702" s="0" t="n">
        <f aca="false">F4702*G4702</f>
        <v>-0.25</v>
      </c>
      <c r="R4702" s="0" t="n">
        <f aca="false">F4702*H4702</f>
        <v>-0.25</v>
      </c>
      <c r="S4702" s="0" t="n">
        <f aca="false">G4702*H4702</f>
        <v>1</v>
      </c>
      <c r="T4702" s="0" t="n">
        <f aca="false">E4702*E4702</f>
        <v>0.25</v>
      </c>
      <c r="U4702" s="0" t="n">
        <f aca="false">F4702*F4702</f>
        <v>0.0625</v>
      </c>
      <c r="V4702" s="0" t="n">
        <f aca="false">G4702*G4702</f>
        <v>1</v>
      </c>
      <c r="W4702" s="0" t="n">
        <f aca="false">H4702*H4702</f>
        <v>1</v>
      </c>
      <c r="X4702" s="0" t="n">
        <f aca="false">SUMPRODUCT(I4702:W4702,_XtX!$B$96:$P$96)</f>
        <v>47.7633954678363</v>
      </c>
      <c r="Y4702" s="0" t="n">
        <f aca="false">SUMPRODUCT(MMULT(I4702:W4702,_XtX!$B$78:$P$92),I4702:W4702)</f>
        <v>0.629174661915205</v>
      </c>
      <c r="Z4702" s="0" t="n">
        <f aca="false">04_回帰ANOVA!$K$19*04_回帰ANOVA!$K$14*SQRT(1+Y4702)</f>
        <v>1.66372758058297</v>
      </c>
      <c r="AA4702" s="0" t="n">
        <f aca="false">X4702-Z4702</f>
        <v>46.0996678872533</v>
      </c>
      <c r="AB4702" s="0" t="n">
        <f aca="false">X4702+Z4702</f>
        <v>49.4271230484192</v>
      </c>
      <c r="AC4702" s="54" t="b">
        <f aca="false">AND(E4702&gt;=01_因子設定!$L$5-0.000000001,E4702&lt;=01_因子設定!$M$5+0.000000001,F4702&gt;=01_因子設定!$L$6-0.000000001,F4702&lt;=01_因子設定!$M$6+0.000000001,G4702&gt;=01_因子設定!$L$7-0.000000001,G4702&lt;=01_因子設定!$M$7+0.000000001,H4702&gt;=01_因子設定!$L$8-0.000000001,H4702&lt;=01_因子設定!$M$8+0.000000001,IF(01_因子設定!$B$20="Box-Behnken",E4702^2+F4702^2+G4702^2+H4702^2&lt;=2+0.000000001,TRUE()))</f>
        <v>1</v>
      </c>
      <c r="AD4702" s="55" t="n">
        <f aca="false">IF(AC4702,IF(01_因子設定!$B$13="最大化",AA4702-01_因子設定!$B$14,IF(01_因子設定!$B$13="最小化",01_因子設定!$B$15-AB4702,MIN(AA4702-01_因子設定!$B$14,01_因子設定!$B$15-AB4702))),-1E+030)</f>
        <v>-0.400332112746717</v>
      </c>
      <c r="AE4702" s="55" t="n">
        <f aca="false">IF(AC4702,IF(01_因子設定!$B$13="最大化",X4702,IF(01_因子設定!$B$13="最小化",-X4702,-ABS(X4702-01_因子設定!$B$16))),-1E+030)</f>
        <v>47.7633954678363</v>
      </c>
      <c r="AF4702" s="55" t="n">
        <f aca="false">AD4702+ROW()*0.000000001</f>
        <v>-0.400327410746717</v>
      </c>
      <c r="AG4702" s="55" t="n">
        <f aca="false">AE4702+ROW()*0.000000001</f>
        <v>47.7634001698363</v>
      </c>
    </row>
    <row r="4703" customFormat="false" ht="15" hidden="false" customHeight="false" outlineLevel="0" collapsed="false">
      <c r="A4703" s="0" t="n">
        <v>6</v>
      </c>
      <c r="B4703" s="0" t="n">
        <v>4</v>
      </c>
      <c r="C4703" s="0" t="n">
        <v>0</v>
      </c>
      <c r="D4703" s="0" t="n">
        <v>0</v>
      </c>
      <c r="E4703" s="0" t="n">
        <f aca="false">-1+A4703*0.25</f>
        <v>0.5</v>
      </c>
      <c r="F4703" s="0" t="n">
        <f aca="false">-1+B4703*0.25</f>
        <v>0</v>
      </c>
      <c r="G4703" s="0" t="n">
        <f aca="false">-1+C4703*0.25</f>
        <v>-1</v>
      </c>
      <c r="H4703" s="0" t="n">
        <f aca="false">-1+D4703*0.25</f>
        <v>-1</v>
      </c>
      <c r="I4703" s="0" t="n">
        <f aca="false">1</f>
        <v>1</v>
      </c>
      <c r="J4703" s="0" t="n">
        <f aca="false">E4703</f>
        <v>0.5</v>
      </c>
      <c r="K4703" s="0" t="n">
        <f aca="false">F4703</f>
        <v>0</v>
      </c>
      <c r="L4703" s="0" t="n">
        <f aca="false">G4703</f>
        <v>-1</v>
      </c>
      <c r="M4703" s="0" t="n">
        <f aca="false">H4703</f>
        <v>-1</v>
      </c>
      <c r="N4703" s="0" t="n">
        <f aca="false">E4703*F4703</f>
        <v>0</v>
      </c>
      <c r="O4703" s="0" t="n">
        <f aca="false">E4703*G4703</f>
        <v>-0.5</v>
      </c>
      <c r="P4703" s="0" t="n">
        <f aca="false">E4703*H4703</f>
        <v>-0.5</v>
      </c>
      <c r="Q4703" s="0" t="n">
        <f aca="false">F4703*G4703</f>
        <v>-0</v>
      </c>
      <c r="R4703" s="0" t="n">
        <f aca="false">F4703*H4703</f>
        <v>-0</v>
      </c>
      <c r="S4703" s="0" t="n">
        <f aca="false">G4703*H4703</f>
        <v>1</v>
      </c>
      <c r="T4703" s="0" t="n">
        <f aca="false">E4703*E4703</f>
        <v>0.25</v>
      </c>
      <c r="U4703" s="0" t="n">
        <f aca="false">F4703*F4703</f>
        <v>0</v>
      </c>
      <c r="V4703" s="0" t="n">
        <f aca="false">G4703*G4703</f>
        <v>1</v>
      </c>
      <c r="W4703" s="0" t="n">
        <f aca="false">H4703*H4703</f>
        <v>1</v>
      </c>
      <c r="X4703" s="0" t="n">
        <f aca="false">SUMPRODUCT(I4703:W4703,_XtX!$B$96:$P$96)</f>
        <v>46.3612573099415</v>
      </c>
      <c r="Y4703" s="0" t="n">
        <f aca="false">SUMPRODUCT(MMULT(I4703:W4703,_XtX!$B$78:$P$92),I4703:W4703)</f>
        <v>0.650767543859649</v>
      </c>
      <c r="Z4703" s="0" t="n">
        <f aca="false">04_回帰ANOVA!$K$19*04_回帰ANOVA!$K$14*SQRT(1+Y4703)</f>
        <v>1.67471670935165</v>
      </c>
      <c r="AA4703" s="0" t="n">
        <f aca="false">X4703-Z4703</f>
        <v>44.6865406005899</v>
      </c>
      <c r="AB4703" s="0" t="n">
        <f aca="false">X4703+Z4703</f>
        <v>48.0359740192932</v>
      </c>
      <c r="AC4703" s="54" t="b">
        <f aca="false">AND(E4703&gt;=01_因子設定!$L$5-0.000000001,E4703&lt;=01_因子設定!$M$5+0.000000001,F4703&gt;=01_因子設定!$L$6-0.000000001,F4703&lt;=01_因子設定!$M$6+0.000000001,G4703&gt;=01_因子設定!$L$7-0.000000001,G4703&lt;=01_因子設定!$M$7+0.000000001,H4703&gt;=01_因子設定!$L$8-0.000000001,H4703&lt;=01_因子設定!$M$8+0.000000001,IF(01_因子設定!$B$20="Box-Behnken",E4703^2+F4703^2+G4703^2+H4703^2&lt;=2+0.000000001,TRUE()))</f>
        <v>1</v>
      </c>
      <c r="AD4703" s="55" t="n">
        <f aca="false">IF(AC4703,IF(01_因子設定!$B$13="最大化",AA4703-01_因子設定!$B$14,IF(01_因子設定!$B$13="最小化",01_因子設定!$B$15-AB4703,MIN(AA4703-01_因子設定!$B$14,01_因子設定!$B$15-AB4703))),-1E+030)</f>
        <v>-1.81345939941013</v>
      </c>
      <c r="AE4703" s="55" t="n">
        <f aca="false">IF(AC4703,IF(01_因子設定!$B$13="最大化",X4703,IF(01_因子設定!$B$13="最小化",-X4703,-ABS(X4703-01_因子設定!$B$16))),-1E+030)</f>
        <v>46.3612573099415</v>
      </c>
      <c r="AF4703" s="55" t="n">
        <f aca="false">AD4703+ROW()*0.000000001</f>
        <v>-1.81345469641013</v>
      </c>
      <c r="AG4703" s="55" t="n">
        <f aca="false">AE4703+ROW()*0.000000001</f>
        <v>46.3612620129415</v>
      </c>
    </row>
    <row r="4704" customFormat="false" ht="15" hidden="false" customHeight="false" outlineLevel="0" collapsed="false">
      <c r="A4704" s="0" t="n">
        <v>6</v>
      </c>
      <c r="B4704" s="0" t="n">
        <v>4</v>
      </c>
      <c r="C4704" s="0" t="n">
        <v>0</v>
      </c>
      <c r="D4704" s="0" t="n">
        <v>1</v>
      </c>
      <c r="E4704" s="0" t="n">
        <f aca="false">-1+A4704*0.25</f>
        <v>0.5</v>
      </c>
      <c r="F4704" s="0" t="n">
        <f aca="false">-1+B4704*0.25</f>
        <v>0</v>
      </c>
      <c r="G4704" s="0" t="n">
        <f aca="false">-1+C4704*0.25</f>
        <v>-1</v>
      </c>
      <c r="H4704" s="0" t="n">
        <f aca="false">-1+D4704*0.25</f>
        <v>-0.75</v>
      </c>
      <c r="I4704" s="0" t="n">
        <f aca="false">1</f>
        <v>1</v>
      </c>
      <c r="J4704" s="0" t="n">
        <f aca="false">E4704</f>
        <v>0.5</v>
      </c>
      <c r="K4704" s="0" t="n">
        <f aca="false">F4704</f>
        <v>0</v>
      </c>
      <c r="L4704" s="0" t="n">
        <f aca="false">G4704</f>
        <v>-1</v>
      </c>
      <c r="M4704" s="0" t="n">
        <f aca="false">H4704</f>
        <v>-0.75</v>
      </c>
      <c r="N4704" s="0" t="n">
        <f aca="false">E4704*F4704</f>
        <v>0</v>
      </c>
      <c r="O4704" s="0" t="n">
        <f aca="false">E4704*G4704</f>
        <v>-0.5</v>
      </c>
      <c r="P4704" s="0" t="n">
        <f aca="false">E4704*H4704</f>
        <v>-0.375</v>
      </c>
      <c r="Q4704" s="0" t="n">
        <f aca="false">F4704*G4704</f>
        <v>-0</v>
      </c>
      <c r="R4704" s="0" t="n">
        <f aca="false">F4704*H4704</f>
        <v>-0</v>
      </c>
      <c r="S4704" s="0" t="n">
        <f aca="false">G4704*H4704</f>
        <v>0.75</v>
      </c>
      <c r="T4704" s="0" t="n">
        <f aca="false">E4704*E4704</f>
        <v>0.25</v>
      </c>
      <c r="U4704" s="0" t="n">
        <f aca="false">F4704*F4704</f>
        <v>0</v>
      </c>
      <c r="V4704" s="0" t="n">
        <f aca="false">G4704*G4704</f>
        <v>1</v>
      </c>
      <c r="W4704" s="0" t="n">
        <f aca="false">H4704*H4704</f>
        <v>0.5625</v>
      </c>
      <c r="X4704" s="0" t="n">
        <f aca="false">SUMPRODUCT(I4704:W4704,_XtX!$B$96:$P$96)</f>
        <v>46.5737207602339</v>
      </c>
      <c r="Y4704" s="0" t="n">
        <f aca="false">SUMPRODUCT(MMULT(I4704:W4704,_XtX!$B$78:$P$92),I4704:W4704)</f>
        <v>0.476191292032164</v>
      </c>
      <c r="Z4704" s="0" t="n">
        <f aca="false">04_回帰ANOVA!$K$19*04_回帰ANOVA!$K$14*SQRT(1+Y4704)</f>
        <v>1.58368831471718</v>
      </c>
      <c r="AA4704" s="0" t="n">
        <f aca="false">X4704-Z4704</f>
        <v>44.9900324455167</v>
      </c>
      <c r="AB4704" s="0" t="n">
        <f aca="false">X4704+Z4704</f>
        <v>48.1574090749511</v>
      </c>
      <c r="AC4704" s="54" t="b">
        <f aca="false">AND(E4704&gt;=01_因子設定!$L$5-0.000000001,E4704&lt;=01_因子設定!$M$5+0.000000001,F4704&gt;=01_因子設定!$L$6-0.000000001,F4704&lt;=01_因子設定!$M$6+0.000000001,G4704&gt;=01_因子設定!$L$7-0.000000001,G4704&lt;=01_因子設定!$M$7+0.000000001,H4704&gt;=01_因子設定!$L$8-0.000000001,H4704&lt;=01_因子設定!$M$8+0.000000001,IF(01_因子設定!$B$20="Box-Behnken",E4704^2+F4704^2+G4704^2+H4704^2&lt;=2+0.000000001,TRUE()))</f>
        <v>1</v>
      </c>
      <c r="AD4704" s="55" t="n">
        <f aca="false">IF(AC4704,IF(01_因子設定!$B$13="最大化",AA4704-01_因子設定!$B$14,IF(01_因子設定!$B$13="最小化",01_因子設定!$B$15-AB4704,MIN(AA4704-01_因子設定!$B$14,01_因子設定!$B$15-AB4704))),-1E+030)</f>
        <v>-1.50996755448328</v>
      </c>
      <c r="AE4704" s="55" t="n">
        <f aca="false">IF(AC4704,IF(01_因子設定!$B$13="最大化",X4704,IF(01_因子設定!$B$13="最小化",-X4704,-ABS(X4704-01_因子設定!$B$16))),-1E+030)</f>
        <v>46.5737207602339</v>
      </c>
      <c r="AF4704" s="55" t="n">
        <f aca="false">AD4704+ROW()*0.000000001</f>
        <v>-1.50996285048328</v>
      </c>
      <c r="AG4704" s="55" t="n">
        <f aca="false">AE4704+ROW()*0.000000001</f>
        <v>46.5737254642339</v>
      </c>
    </row>
    <row r="4705" customFormat="false" ht="15" hidden="false" customHeight="false" outlineLevel="0" collapsed="false">
      <c r="A4705" s="0" t="n">
        <v>6</v>
      </c>
      <c r="B4705" s="0" t="n">
        <v>4</v>
      </c>
      <c r="C4705" s="0" t="n">
        <v>0</v>
      </c>
      <c r="D4705" s="0" t="n">
        <v>2</v>
      </c>
      <c r="E4705" s="0" t="n">
        <f aca="false">-1+A4705*0.25</f>
        <v>0.5</v>
      </c>
      <c r="F4705" s="0" t="n">
        <f aca="false">-1+B4705*0.25</f>
        <v>0</v>
      </c>
      <c r="G4705" s="0" t="n">
        <f aca="false">-1+C4705*0.25</f>
        <v>-1</v>
      </c>
      <c r="H4705" s="0" t="n">
        <f aca="false">-1+D4705*0.25</f>
        <v>-0.5</v>
      </c>
      <c r="I4705" s="0" t="n">
        <f aca="false">1</f>
        <v>1</v>
      </c>
      <c r="J4705" s="0" t="n">
        <f aca="false">E4705</f>
        <v>0.5</v>
      </c>
      <c r="K4705" s="0" t="n">
        <f aca="false">F4705</f>
        <v>0</v>
      </c>
      <c r="L4705" s="0" t="n">
        <f aca="false">G4705</f>
        <v>-1</v>
      </c>
      <c r="M4705" s="0" t="n">
        <f aca="false">H4705</f>
        <v>-0.5</v>
      </c>
      <c r="N4705" s="0" t="n">
        <f aca="false">E4705*F4705</f>
        <v>0</v>
      </c>
      <c r="O4705" s="0" t="n">
        <f aca="false">E4705*G4705</f>
        <v>-0.5</v>
      </c>
      <c r="P4705" s="0" t="n">
        <f aca="false">E4705*H4705</f>
        <v>-0.25</v>
      </c>
      <c r="Q4705" s="0" t="n">
        <f aca="false">F4705*G4705</f>
        <v>-0</v>
      </c>
      <c r="R4705" s="0" t="n">
        <f aca="false">F4705*H4705</f>
        <v>-0</v>
      </c>
      <c r="S4705" s="0" t="n">
        <f aca="false">G4705*H4705</f>
        <v>0.5</v>
      </c>
      <c r="T4705" s="0" t="n">
        <f aca="false">E4705*E4705</f>
        <v>0.25</v>
      </c>
      <c r="U4705" s="0" t="n">
        <f aca="false">F4705*F4705</f>
        <v>0</v>
      </c>
      <c r="V4705" s="0" t="n">
        <f aca="false">G4705*G4705</f>
        <v>1</v>
      </c>
      <c r="W4705" s="0" t="n">
        <f aca="false">H4705*H4705</f>
        <v>0.25</v>
      </c>
      <c r="X4705" s="0" t="n">
        <f aca="false">SUMPRODUCT(I4705:W4705,_XtX!$B$96:$P$96)</f>
        <v>46.7383771929824</v>
      </c>
      <c r="Y4705" s="0" t="n">
        <f aca="false">SUMPRODUCT(MMULT(I4705:W4705,_XtX!$B$78:$P$92),I4705:W4705)</f>
        <v>0.441954495614035</v>
      </c>
      <c r="Z4705" s="0" t="n">
        <f aca="false">04_回帰ANOVA!$K$19*04_回帰ANOVA!$K$14*SQRT(1+Y4705)</f>
        <v>1.56521560968066</v>
      </c>
      <c r="AA4705" s="0" t="n">
        <f aca="false">X4705-Z4705</f>
        <v>45.1731615833018</v>
      </c>
      <c r="AB4705" s="0" t="n">
        <f aca="false">X4705+Z4705</f>
        <v>48.3035928026631</v>
      </c>
      <c r="AC4705" s="54" t="b">
        <f aca="false">AND(E4705&gt;=01_因子設定!$L$5-0.000000001,E4705&lt;=01_因子設定!$M$5+0.000000001,F4705&gt;=01_因子設定!$L$6-0.000000001,F4705&lt;=01_因子設定!$M$6+0.000000001,G4705&gt;=01_因子設定!$L$7-0.000000001,G4705&lt;=01_因子設定!$M$7+0.000000001,H4705&gt;=01_因子設定!$L$8-0.000000001,H4705&lt;=01_因子設定!$M$8+0.000000001,IF(01_因子設定!$B$20="Box-Behnken",E4705^2+F4705^2+G4705^2+H4705^2&lt;=2+0.000000001,TRUE()))</f>
        <v>1</v>
      </c>
      <c r="AD4705" s="55" t="n">
        <f aca="false">IF(AC4705,IF(01_因子設定!$B$13="最大化",AA4705-01_因子設定!$B$14,IF(01_因子設定!$B$13="最小化",01_因子設定!$B$15-AB4705,MIN(AA4705-01_因子設定!$B$14,01_因子設定!$B$15-AB4705))),-1E+030)</f>
        <v>-1.32683841669824</v>
      </c>
      <c r="AE4705" s="55" t="n">
        <f aca="false">IF(AC4705,IF(01_因子設定!$B$13="最大化",X4705,IF(01_因子設定!$B$13="最小化",-X4705,-ABS(X4705-01_因子設定!$B$16))),-1E+030)</f>
        <v>46.7383771929824</v>
      </c>
      <c r="AF4705" s="55" t="n">
        <f aca="false">AD4705+ROW()*0.000000001</f>
        <v>-1.32683371169824</v>
      </c>
      <c r="AG4705" s="55" t="n">
        <f aca="false">AE4705+ROW()*0.000000001</f>
        <v>46.7383818979824</v>
      </c>
    </row>
    <row r="4706" customFormat="false" ht="15" hidden="false" customHeight="false" outlineLevel="0" collapsed="false">
      <c r="A4706" s="0" t="n">
        <v>6</v>
      </c>
      <c r="B4706" s="0" t="n">
        <v>4</v>
      </c>
      <c r="C4706" s="0" t="n">
        <v>0</v>
      </c>
      <c r="D4706" s="0" t="n">
        <v>3</v>
      </c>
      <c r="E4706" s="0" t="n">
        <f aca="false">-1+A4706*0.25</f>
        <v>0.5</v>
      </c>
      <c r="F4706" s="0" t="n">
        <f aca="false">-1+B4706*0.25</f>
        <v>0</v>
      </c>
      <c r="G4706" s="0" t="n">
        <f aca="false">-1+C4706*0.25</f>
        <v>-1</v>
      </c>
      <c r="H4706" s="0" t="n">
        <f aca="false">-1+D4706*0.25</f>
        <v>-0.25</v>
      </c>
      <c r="I4706" s="0" t="n">
        <f aca="false">1</f>
        <v>1</v>
      </c>
      <c r="J4706" s="0" t="n">
        <f aca="false">E4706</f>
        <v>0.5</v>
      </c>
      <c r="K4706" s="0" t="n">
        <f aca="false">F4706</f>
        <v>0</v>
      </c>
      <c r="L4706" s="0" t="n">
        <f aca="false">G4706</f>
        <v>-1</v>
      </c>
      <c r="M4706" s="0" t="n">
        <f aca="false">H4706</f>
        <v>-0.25</v>
      </c>
      <c r="N4706" s="0" t="n">
        <f aca="false">E4706*F4706</f>
        <v>0</v>
      </c>
      <c r="O4706" s="0" t="n">
        <f aca="false">E4706*G4706</f>
        <v>-0.5</v>
      </c>
      <c r="P4706" s="0" t="n">
        <f aca="false">E4706*H4706</f>
        <v>-0.125</v>
      </c>
      <c r="Q4706" s="0" t="n">
        <f aca="false">F4706*G4706</f>
        <v>-0</v>
      </c>
      <c r="R4706" s="0" t="n">
        <f aca="false">F4706*H4706</f>
        <v>-0</v>
      </c>
      <c r="S4706" s="0" t="n">
        <f aca="false">G4706*H4706</f>
        <v>0.25</v>
      </c>
      <c r="T4706" s="0" t="n">
        <f aca="false">E4706*E4706</f>
        <v>0.25</v>
      </c>
      <c r="U4706" s="0" t="n">
        <f aca="false">F4706*F4706</f>
        <v>0</v>
      </c>
      <c r="V4706" s="0" t="n">
        <f aca="false">G4706*G4706</f>
        <v>1</v>
      </c>
      <c r="W4706" s="0" t="n">
        <f aca="false">H4706*H4706</f>
        <v>0.0625</v>
      </c>
      <c r="X4706" s="0" t="n">
        <f aca="false">SUMPRODUCT(I4706:W4706,_XtX!$B$96:$P$96)</f>
        <v>46.8552266081871</v>
      </c>
      <c r="Y4706" s="0" t="n">
        <f aca="false">SUMPRODUCT(MMULT(I4706:W4706,_XtX!$B$78:$P$92),I4706:W4706)</f>
        <v>0.457596628289474</v>
      </c>
      <c r="Z4706" s="0" t="n">
        <f aca="false">04_回帰ANOVA!$K$19*04_回帰ANOVA!$K$14*SQRT(1+Y4706)</f>
        <v>1.57368233664366</v>
      </c>
      <c r="AA4706" s="0" t="n">
        <f aca="false">X4706-Z4706</f>
        <v>45.2815442715434</v>
      </c>
      <c r="AB4706" s="0" t="n">
        <f aca="false">X4706+Z4706</f>
        <v>48.4289089448308</v>
      </c>
      <c r="AC4706" s="54" t="b">
        <f aca="false">AND(E4706&gt;=01_因子設定!$L$5-0.000000001,E4706&lt;=01_因子設定!$M$5+0.000000001,F4706&gt;=01_因子設定!$L$6-0.000000001,F4706&lt;=01_因子設定!$M$6+0.000000001,G4706&gt;=01_因子設定!$L$7-0.000000001,G4706&lt;=01_因子設定!$M$7+0.000000001,H4706&gt;=01_因子設定!$L$8-0.000000001,H4706&lt;=01_因子設定!$M$8+0.000000001,IF(01_因子設定!$B$20="Box-Behnken",E4706^2+F4706^2+G4706^2+H4706^2&lt;=2+0.000000001,TRUE()))</f>
        <v>1</v>
      </c>
      <c r="AD4706" s="55" t="n">
        <f aca="false">IF(AC4706,IF(01_因子設定!$B$13="最大化",AA4706-01_因子設定!$B$14,IF(01_因子設定!$B$13="最小化",01_因子設定!$B$15-AB4706,MIN(AA4706-01_因子設定!$B$14,01_因子設定!$B$15-AB4706))),-1E+030)</f>
        <v>-1.21845572845656</v>
      </c>
      <c r="AE4706" s="55" t="n">
        <f aca="false">IF(AC4706,IF(01_因子設定!$B$13="最大化",X4706,IF(01_因子設定!$B$13="最小化",-X4706,-ABS(X4706-01_因子設定!$B$16))),-1E+030)</f>
        <v>46.8552266081871</v>
      </c>
      <c r="AF4706" s="55" t="n">
        <f aca="false">AD4706+ROW()*0.000000001</f>
        <v>-1.21845102245656</v>
      </c>
      <c r="AG4706" s="55" t="n">
        <f aca="false">AE4706+ROW()*0.000000001</f>
        <v>46.8552313141871</v>
      </c>
    </row>
    <row r="4707" customFormat="false" ht="15" hidden="false" customHeight="false" outlineLevel="0" collapsed="false">
      <c r="A4707" s="0" t="n">
        <v>6</v>
      </c>
      <c r="B4707" s="0" t="n">
        <v>4</v>
      </c>
      <c r="C4707" s="0" t="n">
        <v>0</v>
      </c>
      <c r="D4707" s="0" t="n">
        <v>4</v>
      </c>
      <c r="E4707" s="0" t="n">
        <f aca="false">-1+A4707*0.25</f>
        <v>0.5</v>
      </c>
      <c r="F4707" s="0" t="n">
        <f aca="false">-1+B4707*0.25</f>
        <v>0</v>
      </c>
      <c r="G4707" s="0" t="n">
        <f aca="false">-1+C4707*0.25</f>
        <v>-1</v>
      </c>
      <c r="H4707" s="0" t="n">
        <f aca="false">-1+D4707*0.25</f>
        <v>0</v>
      </c>
      <c r="I4707" s="0" t="n">
        <f aca="false">1</f>
        <v>1</v>
      </c>
      <c r="J4707" s="0" t="n">
        <f aca="false">E4707</f>
        <v>0.5</v>
      </c>
      <c r="K4707" s="0" t="n">
        <f aca="false">F4707</f>
        <v>0</v>
      </c>
      <c r="L4707" s="0" t="n">
        <f aca="false">G4707</f>
        <v>-1</v>
      </c>
      <c r="M4707" s="0" t="n">
        <f aca="false">H4707</f>
        <v>0</v>
      </c>
      <c r="N4707" s="0" t="n">
        <f aca="false">E4707*F4707</f>
        <v>0</v>
      </c>
      <c r="O4707" s="0" t="n">
        <f aca="false">E4707*G4707</f>
        <v>-0.5</v>
      </c>
      <c r="P4707" s="0" t="n">
        <f aca="false">E4707*H4707</f>
        <v>0</v>
      </c>
      <c r="Q4707" s="0" t="n">
        <f aca="false">F4707*G4707</f>
        <v>-0</v>
      </c>
      <c r="R4707" s="0" t="n">
        <f aca="false">F4707*H4707</f>
        <v>0</v>
      </c>
      <c r="S4707" s="0" t="n">
        <f aca="false">G4707*H4707</f>
        <v>-0</v>
      </c>
      <c r="T4707" s="0" t="n">
        <f aca="false">E4707*E4707</f>
        <v>0.25</v>
      </c>
      <c r="U4707" s="0" t="n">
        <f aca="false">F4707*F4707</f>
        <v>0</v>
      </c>
      <c r="V4707" s="0" t="n">
        <f aca="false">G4707*G4707</f>
        <v>1</v>
      </c>
      <c r="W4707" s="0" t="n">
        <f aca="false">H4707*H4707</f>
        <v>0</v>
      </c>
      <c r="X4707" s="0" t="n">
        <f aca="false">SUMPRODUCT(I4707:W4707,_XtX!$B$96:$P$96)</f>
        <v>46.9242690058479</v>
      </c>
      <c r="Y4707" s="0" t="n">
        <f aca="false">SUMPRODUCT(MMULT(I4707:W4707,_XtX!$B$78:$P$92),I4707:W4707)</f>
        <v>0.468841374269006</v>
      </c>
      <c r="Z4707" s="0" t="n">
        <f aca="false">04_回帰ANOVA!$K$19*04_回帰ANOVA!$K$14*SQRT(1+Y4707)</f>
        <v>1.57974082366087</v>
      </c>
      <c r="AA4707" s="0" t="n">
        <f aca="false">X4707-Z4707</f>
        <v>45.344528182187</v>
      </c>
      <c r="AB4707" s="0" t="n">
        <f aca="false">X4707+Z4707</f>
        <v>48.5040098295088</v>
      </c>
      <c r="AC4707" s="54" t="b">
        <f aca="false">AND(E4707&gt;=01_因子設定!$L$5-0.000000001,E4707&lt;=01_因子設定!$M$5+0.000000001,F4707&gt;=01_因子設定!$L$6-0.000000001,F4707&lt;=01_因子設定!$M$6+0.000000001,G4707&gt;=01_因子設定!$L$7-0.000000001,G4707&lt;=01_因子設定!$M$7+0.000000001,H4707&gt;=01_因子設定!$L$8-0.000000001,H4707&lt;=01_因子設定!$M$8+0.000000001,IF(01_因子設定!$B$20="Box-Behnken",E4707^2+F4707^2+G4707^2+H4707^2&lt;=2+0.000000001,TRUE()))</f>
        <v>1</v>
      </c>
      <c r="AD4707" s="55" t="n">
        <f aca="false">IF(AC4707,IF(01_因子設定!$B$13="最大化",AA4707-01_因子設定!$B$14,IF(01_因子設定!$B$13="最小化",01_因子設定!$B$15-AB4707,MIN(AA4707-01_因子設定!$B$14,01_因子設定!$B$15-AB4707))),-1E+030)</f>
        <v>-1.15547181781297</v>
      </c>
      <c r="AE4707" s="55" t="n">
        <f aca="false">IF(AC4707,IF(01_因子設定!$B$13="最大化",X4707,IF(01_因子設定!$B$13="最小化",-X4707,-ABS(X4707-01_因子設定!$B$16))),-1E+030)</f>
        <v>46.9242690058479</v>
      </c>
      <c r="AF4707" s="55" t="n">
        <f aca="false">AD4707+ROW()*0.000000001</f>
        <v>-1.15546711081297</v>
      </c>
      <c r="AG4707" s="55" t="n">
        <f aca="false">AE4707+ROW()*0.000000001</f>
        <v>46.9242737128479</v>
      </c>
    </row>
    <row r="4708" customFormat="false" ht="15" hidden="false" customHeight="false" outlineLevel="0" collapsed="false">
      <c r="A4708" s="0" t="n">
        <v>6</v>
      </c>
      <c r="B4708" s="0" t="n">
        <v>4</v>
      </c>
      <c r="C4708" s="0" t="n">
        <v>0</v>
      </c>
      <c r="D4708" s="0" t="n">
        <v>5</v>
      </c>
      <c r="E4708" s="0" t="n">
        <f aca="false">-1+A4708*0.25</f>
        <v>0.5</v>
      </c>
      <c r="F4708" s="0" t="n">
        <f aca="false">-1+B4708*0.25</f>
        <v>0</v>
      </c>
      <c r="G4708" s="0" t="n">
        <f aca="false">-1+C4708*0.25</f>
        <v>-1</v>
      </c>
      <c r="H4708" s="0" t="n">
        <f aca="false">-1+D4708*0.25</f>
        <v>0.25</v>
      </c>
      <c r="I4708" s="0" t="n">
        <f aca="false">1</f>
        <v>1</v>
      </c>
      <c r="J4708" s="0" t="n">
        <f aca="false">E4708</f>
        <v>0.5</v>
      </c>
      <c r="K4708" s="0" t="n">
        <f aca="false">F4708</f>
        <v>0</v>
      </c>
      <c r="L4708" s="0" t="n">
        <f aca="false">G4708</f>
        <v>-1</v>
      </c>
      <c r="M4708" s="0" t="n">
        <f aca="false">H4708</f>
        <v>0.25</v>
      </c>
      <c r="N4708" s="0" t="n">
        <f aca="false">E4708*F4708</f>
        <v>0</v>
      </c>
      <c r="O4708" s="0" t="n">
        <f aca="false">E4708*G4708</f>
        <v>-0.5</v>
      </c>
      <c r="P4708" s="0" t="n">
        <f aca="false">E4708*H4708</f>
        <v>0.125</v>
      </c>
      <c r="Q4708" s="0" t="n">
        <f aca="false">F4708*G4708</f>
        <v>-0</v>
      </c>
      <c r="R4708" s="0" t="n">
        <f aca="false">F4708*H4708</f>
        <v>0</v>
      </c>
      <c r="S4708" s="0" t="n">
        <f aca="false">G4708*H4708</f>
        <v>-0.25</v>
      </c>
      <c r="T4708" s="0" t="n">
        <f aca="false">E4708*E4708</f>
        <v>0.25</v>
      </c>
      <c r="U4708" s="0" t="n">
        <f aca="false">F4708*F4708</f>
        <v>0</v>
      </c>
      <c r="V4708" s="0" t="n">
        <f aca="false">G4708*G4708</f>
        <v>1</v>
      </c>
      <c r="W4708" s="0" t="n">
        <f aca="false">H4708*H4708</f>
        <v>0.0625</v>
      </c>
      <c r="X4708" s="0" t="n">
        <f aca="false">SUMPRODUCT(I4708:W4708,_XtX!$B$96:$P$96)</f>
        <v>46.9455043859649</v>
      </c>
      <c r="Y4708" s="0" t="n">
        <f aca="false">SUMPRODUCT(MMULT(I4708:W4708,_XtX!$B$78:$P$92),I4708:W4708)</f>
        <v>0.457596628289474</v>
      </c>
      <c r="Z4708" s="0" t="n">
        <f aca="false">04_回帰ANOVA!$K$19*04_回帰ANOVA!$K$14*SQRT(1+Y4708)</f>
        <v>1.57368233664366</v>
      </c>
      <c r="AA4708" s="0" t="n">
        <f aca="false">X4708-Z4708</f>
        <v>45.3718220493212</v>
      </c>
      <c r="AB4708" s="0" t="n">
        <f aca="false">X4708+Z4708</f>
        <v>48.5191867226085</v>
      </c>
      <c r="AC4708" s="54" t="b">
        <f aca="false">AND(E4708&gt;=01_因子設定!$L$5-0.000000001,E4708&lt;=01_因子設定!$M$5+0.000000001,F4708&gt;=01_因子設定!$L$6-0.000000001,F4708&lt;=01_因子設定!$M$6+0.000000001,G4708&gt;=01_因子設定!$L$7-0.000000001,G4708&lt;=01_因子設定!$M$7+0.000000001,H4708&gt;=01_因子設定!$L$8-0.000000001,H4708&lt;=01_因子設定!$M$8+0.000000001,IF(01_因子設定!$B$20="Box-Behnken",E4708^2+F4708^2+G4708^2+H4708^2&lt;=2+0.000000001,TRUE()))</f>
        <v>1</v>
      </c>
      <c r="AD4708" s="55" t="n">
        <f aca="false">IF(AC4708,IF(01_因子設定!$B$13="最大化",AA4708-01_因子設定!$B$14,IF(01_因子設定!$B$13="最小化",01_因子設定!$B$15-AB4708,MIN(AA4708-01_因子設定!$B$14,01_因子設定!$B$15-AB4708))),-1E+030)</f>
        <v>-1.12817795067878</v>
      </c>
      <c r="AE4708" s="55" t="n">
        <f aca="false">IF(AC4708,IF(01_因子設定!$B$13="最大化",X4708,IF(01_因子設定!$B$13="最小化",-X4708,-ABS(X4708-01_因子設定!$B$16))),-1E+030)</f>
        <v>46.9455043859649</v>
      </c>
      <c r="AF4708" s="55" t="n">
        <f aca="false">AD4708+ROW()*0.000000001</f>
        <v>-1.12817324267878</v>
      </c>
      <c r="AG4708" s="55" t="n">
        <f aca="false">AE4708+ROW()*0.000000001</f>
        <v>46.9455090939649</v>
      </c>
    </row>
    <row r="4709" customFormat="false" ht="15" hidden="false" customHeight="false" outlineLevel="0" collapsed="false">
      <c r="A4709" s="0" t="n">
        <v>6</v>
      </c>
      <c r="B4709" s="0" t="n">
        <v>4</v>
      </c>
      <c r="C4709" s="0" t="n">
        <v>0</v>
      </c>
      <c r="D4709" s="0" t="n">
        <v>6</v>
      </c>
      <c r="E4709" s="0" t="n">
        <f aca="false">-1+A4709*0.25</f>
        <v>0.5</v>
      </c>
      <c r="F4709" s="0" t="n">
        <f aca="false">-1+B4709*0.25</f>
        <v>0</v>
      </c>
      <c r="G4709" s="0" t="n">
        <f aca="false">-1+C4709*0.25</f>
        <v>-1</v>
      </c>
      <c r="H4709" s="0" t="n">
        <f aca="false">-1+D4709*0.25</f>
        <v>0.5</v>
      </c>
      <c r="I4709" s="0" t="n">
        <f aca="false">1</f>
        <v>1</v>
      </c>
      <c r="J4709" s="0" t="n">
        <f aca="false">E4709</f>
        <v>0.5</v>
      </c>
      <c r="K4709" s="0" t="n">
        <f aca="false">F4709</f>
        <v>0</v>
      </c>
      <c r="L4709" s="0" t="n">
        <f aca="false">G4709</f>
        <v>-1</v>
      </c>
      <c r="M4709" s="0" t="n">
        <f aca="false">H4709</f>
        <v>0.5</v>
      </c>
      <c r="N4709" s="0" t="n">
        <f aca="false">E4709*F4709</f>
        <v>0</v>
      </c>
      <c r="O4709" s="0" t="n">
        <f aca="false">E4709*G4709</f>
        <v>-0.5</v>
      </c>
      <c r="P4709" s="0" t="n">
        <f aca="false">E4709*H4709</f>
        <v>0.25</v>
      </c>
      <c r="Q4709" s="0" t="n">
        <f aca="false">F4709*G4709</f>
        <v>-0</v>
      </c>
      <c r="R4709" s="0" t="n">
        <f aca="false">F4709*H4709</f>
        <v>0</v>
      </c>
      <c r="S4709" s="0" t="n">
        <f aca="false">G4709*H4709</f>
        <v>-0.5</v>
      </c>
      <c r="T4709" s="0" t="n">
        <f aca="false">E4709*E4709</f>
        <v>0.25</v>
      </c>
      <c r="U4709" s="0" t="n">
        <f aca="false">F4709*F4709</f>
        <v>0</v>
      </c>
      <c r="V4709" s="0" t="n">
        <f aca="false">G4709*G4709</f>
        <v>1</v>
      </c>
      <c r="W4709" s="0" t="n">
        <f aca="false">H4709*H4709</f>
        <v>0.25</v>
      </c>
      <c r="X4709" s="0" t="n">
        <f aca="false">SUMPRODUCT(I4709:W4709,_XtX!$B$96:$P$96)</f>
        <v>46.918932748538</v>
      </c>
      <c r="Y4709" s="0" t="n">
        <f aca="false">SUMPRODUCT(MMULT(I4709:W4709,_XtX!$B$78:$P$92),I4709:W4709)</f>
        <v>0.441954495614035</v>
      </c>
      <c r="Z4709" s="0" t="n">
        <f aca="false">04_回帰ANOVA!$K$19*04_回帰ANOVA!$K$14*SQRT(1+Y4709)</f>
        <v>1.56521560968066</v>
      </c>
      <c r="AA4709" s="0" t="n">
        <f aca="false">X4709-Z4709</f>
        <v>45.3537171388573</v>
      </c>
      <c r="AB4709" s="0" t="n">
        <f aca="false">X4709+Z4709</f>
        <v>48.4841483582187</v>
      </c>
      <c r="AC4709" s="54" t="b">
        <f aca="false">AND(E4709&gt;=01_因子設定!$L$5-0.000000001,E4709&lt;=01_因子設定!$M$5+0.000000001,F4709&gt;=01_因子設定!$L$6-0.000000001,F4709&lt;=01_因子設定!$M$6+0.000000001,G4709&gt;=01_因子設定!$L$7-0.000000001,G4709&lt;=01_因子設定!$M$7+0.000000001,H4709&gt;=01_因子設定!$L$8-0.000000001,H4709&lt;=01_因子設定!$M$8+0.000000001,IF(01_因子設定!$B$20="Box-Behnken",E4709^2+F4709^2+G4709^2+H4709^2&lt;=2+0.000000001,TRUE()))</f>
        <v>1</v>
      </c>
      <c r="AD4709" s="55" t="n">
        <f aca="false">IF(AC4709,IF(01_因子設定!$B$13="最大化",AA4709-01_因子設定!$B$14,IF(01_因子設定!$B$13="最小化",01_因子設定!$B$15-AB4709,MIN(AA4709-01_因子設定!$B$14,01_因子設定!$B$15-AB4709))),-1E+030)</f>
        <v>-1.14628286114268</v>
      </c>
      <c r="AE4709" s="55" t="n">
        <f aca="false">IF(AC4709,IF(01_因子設定!$B$13="最大化",X4709,IF(01_因子設定!$B$13="最小化",-X4709,-ABS(X4709-01_因子設定!$B$16))),-1E+030)</f>
        <v>46.918932748538</v>
      </c>
      <c r="AF4709" s="55" t="n">
        <f aca="false">AD4709+ROW()*0.000000001</f>
        <v>-1.14627815214268</v>
      </c>
      <c r="AG4709" s="55" t="n">
        <f aca="false">AE4709+ROW()*0.000000001</f>
        <v>46.918937457538</v>
      </c>
    </row>
    <row r="4710" customFormat="false" ht="15" hidden="false" customHeight="false" outlineLevel="0" collapsed="false">
      <c r="A4710" s="0" t="n">
        <v>6</v>
      </c>
      <c r="B4710" s="0" t="n">
        <v>4</v>
      </c>
      <c r="C4710" s="0" t="n">
        <v>0</v>
      </c>
      <c r="D4710" s="0" t="n">
        <v>7</v>
      </c>
      <c r="E4710" s="0" t="n">
        <f aca="false">-1+A4710*0.25</f>
        <v>0.5</v>
      </c>
      <c r="F4710" s="0" t="n">
        <f aca="false">-1+B4710*0.25</f>
        <v>0</v>
      </c>
      <c r="G4710" s="0" t="n">
        <f aca="false">-1+C4710*0.25</f>
        <v>-1</v>
      </c>
      <c r="H4710" s="0" t="n">
        <f aca="false">-1+D4710*0.25</f>
        <v>0.75</v>
      </c>
      <c r="I4710" s="0" t="n">
        <f aca="false">1</f>
        <v>1</v>
      </c>
      <c r="J4710" s="0" t="n">
        <f aca="false">E4710</f>
        <v>0.5</v>
      </c>
      <c r="K4710" s="0" t="n">
        <f aca="false">F4710</f>
        <v>0</v>
      </c>
      <c r="L4710" s="0" t="n">
        <f aca="false">G4710</f>
        <v>-1</v>
      </c>
      <c r="M4710" s="0" t="n">
        <f aca="false">H4710</f>
        <v>0.75</v>
      </c>
      <c r="N4710" s="0" t="n">
        <f aca="false">E4710*F4710</f>
        <v>0</v>
      </c>
      <c r="O4710" s="0" t="n">
        <f aca="false">E4710*G4710</f>
        <v>-0.5</v>
      </c>
      <c r="P4710" s="0" t="n">
        <f aca="false">E4710*H4710</f>
        <v>0.375</v>
      </c>
      <c r="Q4710" s="0" t="n">
        <f aca="false">F4710*G4710</f>
        <v>-0</v>
      </c>
      <c r="R4710" s="0" t="n">
        <f aca="false">F4710*H4710</f>
        <v>0</v>
      </c>
      <c r="S4710" s="0" t="n">
        <f aca="false">G4710*H4710</f>
        <v>-0.75</v>
      </c>
      <c r="T4710" s="0" t="n">
        <f aca="false">E4710*E4710</f>
        <v>0.25</v>
      </c>
      <c r="U4710" s="0" t="n">
        <f aca="false">F4710*F4710</f>
        <v>0</v>
      </c>
      <c r="V4710" s="0" t="n">
        <f aca="false">G4710*G4710</f>
        <v>1</v>
      </c>
      <c r="W4710" s="0" t="n">
        <f aca="false">H4710*H4710</f>
        <v>0.5625</v>
      </c>
      <c r="X4710" s="0" t="n">
        <f aca="false">SUMPRODUCT(I4710:W4710,_XtX!$B$96:$P$96)</f>
        <v>46.8445540935672</v>
      </c>
      <c r="Y4710" s="0" t="n">
        <f aca="false">SUMPRODUCT(MMULT(I4710:W4710,_XtX!$B$78:$P$92),I4710:W4710)</f>
        <v>0.476191292032164</v>
      </c>
      <c r="Z4710" s="0" t="n">
        <f aca="false">04_回帰ANOVA!$K$19*04_回帰ANOVA!$K$14*SQRT(1+Y4710)</f>
        <v>1.58368831471718</v>
      </c>
      <c r="AA4710" s="0" t="n">
        <f aca="false">X4710-Z4710</f>
        <v>45.2608657788501</v>
      </c>
      <c r="AB4710" s="0" t="n">
        <f aca="false">X4710+Z4710</f>
        <v>48.4282424082844</v>
      </c>
      <c r="AC4710" s="54" t="b">
        <f aca="false">AND(E4710&gt;=01_因子設定!$L$5-0.000000001,E4710&lt;=01_因子設定!$M$5+0.000000001,F4710&gt;=01_因子設定!$L$6-0.000000001,F4710&lt;=01_因子設定!$M$6+0.000000001,G4710&gt;=01_因子設定!$L$7-0.000000001,G4710&lt;=01_因子設定!$M$7+0.000000001,H4710&gt;=01_因子設定!$L$8-0.000000001,H4710&lt;=01_因子設定!$M$8+0.000000001,IF(01_因子設定!$B$20="Box-Behnken",E4710^2+F4710^2+G4710^2+H4710^2&lt;=2+0.000000001,TRUE()))</f>
        <v>1</v>
      </c>
      <c r="AD4710" s="55" t="n">
        <f aca="false">IF(AC4710,IF(01_因子設定!$B$13="最大化",AA4710-01_因子設定!$B$14,IF(01_因子設定!$B$13="最小化",01_因子設定!$B$15-AB4710,MIN(AA4710-01_因子設定!$B$14,01_因子設定!$B$15-AB4710))),-1E+030)</f>
        <v>-1.23913422114995</v>
      </c>
      <c r="AE4710" s="55" t="n">
        <f aca="false">IF(AC4710,IF(01_因子設定!$B$13="最大化",X4710,IF(01_因子設定!$B$13="最小化",-X4710,-ABS(X4710-01_因子設定!$B$16))),-1E+030)</f>
        <v>46.8445540935672</v>
      </c>
      <c r="AF4710" s="55" t="n">
        <f aca="false">AD4710+ROW()*0.000000001</f>
        <v>-1.23912951114995</v>
      </c>
      <c r="AG4710" s="55" t="n">
        <f aca="false">AE4710+ROW()*0.000000001</f>
        <v>46.8445588035672</v>
      </c>
    </row>
    <row r="4711" customFormat="false" ht="15" hidden="false" customHeight="false" outlineLevel="0" collapsed="false">
      <c r="A4711" s="0" t="n">
        <v>6</v>
      </c>
      <c r="B4711" s="0" t="n">
        <v>4</v>
      </c>
      <c r="C4711" s="0" t="n">
        <v>0</v>
      </c>
      <c r="D4711" s="0" t="n">
        <v>8</v>
      </c>
      <c r="E4711" s="0" t="n">
        <f aca="false">-1+A4711*0.25</f>
        <v>0.5</v>
      </c>
      <c r="F4711" s="0" t="n">
        <f aca="false">-1+B4711*0.25</f>
        <v>0</v>
      </c>
      <c r="G4711" s="0" t="n">
        <f aca="false">-1+C4711*0.25</f>
        <v>-1</v>
      </c>
      <c r="H4711" s="0" t="n">
        <f aca="false">-1+D4711*0.25</f>
        <v>1</v>
      </c>
      <c r="I4711" s="0" t="n">
        <f aca="false">1</f>
        <v>1</v>
      </c>
      <c r="J4711" s="0" t="n">
        <f aca="false">E4711</f>
        <v>0.5</v>
      </c>
      <c r="K4711" s="0" t="n">
        <f aca="false">F4711</f>
        <v>0</v>
      </c>
      <c r="L4711" s="0" t="n">
        <f aca="false">G4711</f>
        <v>-1</v>
      </c>
      <c r="M4711" s="0" t="n">
        <f aca="false">H4711</f>
        <v>1</v>
      </c>
      <c r="N4711" s="0" t="n">
        <f aca="false">E4711*F4711</f>
        <v>0</v>
      </c>
      <c r="O4711" s="0" t="n">
        <f aca="false">E4711*G4711</f>
        <v>-0.5</v>
      </c>
      <c r="P4711" s="0" t="n">
        <f aca="false">E4711*H4711</f>
        <v>0.5</v>
      </c>
      <c r="Q4711" s="0" t="n">
        <f aca="false">F4711*G4711</f>
        <v>-0</v>
      </c>
      <c r="R4711" s="0" t="n">
        <f aca="false">F4711*H4711</f>
        <v>0</v>
      </c>
      <c r="S4711" s="0" t="n">
        <f aca="false">G4711*H4711</f>
        <v>-1</v>
      </c>
      <c r="T4711" s="0" t="n">
        <f aca="false">E4711*E4711</f>
        <v>0.25</v>
      </c>
      <c r="U4711" s="0" t="n">
        <f aca="false">F4711*F4711</f>
        <v>0</v>
      </c>
      <c r="V4711" s="0" t="n">
        <f aca="false">G4711*G4711</f>
        <v>1</v>
      </c>
      <c r="W4711" s="0" t="n">
        <f aca="false">H4711*H4711</f>
        <v>1</v>
      </c>
      <c r="X4711" s="0" t="n">
        <f aca="false">SUMPRODUCT(I4711:W4711,_XtX!$B$96:$P$96)</f>
        <v>46.7223684210526</v>
      </c>
      <c r="Y4711" s="0" t="n">
        <f aca="false">SUMPRODUCT(MMULT(I4711:W4711,_XtX!$B$78:$P$92),I4711:W4711)</f>
        <v>0.650767543859649</v>
      </c>
      <c r="Z4711" s="0" t="n">
        <f aca="false">04_回帰ANOVA!$K$19*04_回帰ANOVA!$K$14*SQRT(1+Y4711)</f>
        <v>1.67471670935165</v>
      </c>
      <c r="AA4711" s="0" t="n">
        <f aca="false">X4711-Z4711</f>
        <v>45.047651711701</v>
      </c>
      <c r="AB4711" s="0" t="n">
        <f aca="false">X4711+Z4711</f>
        <v>48.3970851304043</v>
      </c>
      <c r="AC4711" s="54" t="b">
        <f aca="false">AND(E4711&gt;=01_因子設定!$L$5-0.000000001,E4711&lt;=01_因子設定!$M$5+0.000000001,F4711&gt;=01_因子設定!$L$6-0.000000001,F4711&lt;=01_因子設定!$M$6+0.000000001,G4711&gt;=01_因子設定!$L$7-0.000000001,G4711&lt;=01_因子設定!$M$7+0.000000001,H4711&gt;=01_因子設定!$L$8-0.000000001,H4711&lt;=01_因子設定!$M$8+0.000000001,IF(01_因子設定!$B$20="Box-Behnken",E4711^2+F4711^2+G4711^2+H4711^2&lt;=2+0.000000001,TRUE()))</f>
        <v>1</v>
      </c>
      <c r="AD4711" s="55" t="n">
        <f aca="false">IF(AC4711,IF(01_因子設定!$B$13="最大化",AA4711-01_因子設定!$B$14,IF(01_因子設定!$B$13="最小化",01_因子設定!$B$15-AB4711,MIN(AA4711-01_因子設定!$B$14,01_因子設定!$B$15-AB4711))),-1E+030)</f>
        <v>-1.45234828829902</v>
      </c>
      <c r="AE4711" s="55" t="n">
        <f aca="false">IF(AC4711,IF(01_因子設定!$B$13="最大化",X4711,IF(01_因子設定!$B$13="最小化",-X4711,-ABS(X4711-01_因子設定!$B$16))),-1E+030)</f>
        <v>46.7223684210526</v>
      </c>
      <c r="AF4711" s="55" t="n">
        <f aca="false">AD4711+ROW()*0.000000001</f>
        <v>-1.45234357729902</v>
      </c>
      <c r="AG4711" s="55" t="n">
        <f aca="false">AE4711+ROW()*0.000000001</f>
        <v>46.7223731320526</v>
      </c>
    </row>
    <row r="4712" customFormat="false" ht="15" hidden="false" customHeight="false" outlineLevel="0" collapsed="false">
      <c r="A4712" s="0" t="n">
        <v>6</v>
      </c>
      <c r="B4712" s="0" t="n">
        <v>4</v>
      </c>
      <c r="C4712" s="0" t="n">
        <v>1</v>
      </c>
      <c r="D4712" s="0" t="n">
        <v>0</v>
      </c>
      <c r="E4712" s="0" t="n">
        <f aca="false">-1+A4712*0.25</f>
        <v>0.5</v>
      </c>
      <c r="F4712" s="0" t="n">
        <f aca="false">-1+B4712*0.25</f>
        <v>0</v>
      </c>
      <c r="G4712" s="0" t="n">
        <f aca="false">-1+C4712*0.25</f>
        <v>-0.75</v>
      </c>
      <c r="H4712" s="0" t="n">
        <f aca="false">-1+D4712*0.25</f>
        <v>-1</v>
      </c>
      <c r="I4712" s="0" t="n">
        <f aca="false">1</f>
        <v>1</v>
      </c>
      <c r="J4712" s="0" t="n">
        <f aca="false">E4712</f>
        <v>0.5</v>
      </c>
      <c r="K4712" s="0" t="n">
        <f aca="false">F4712</f>
        <v>0</v>
      </c>
      <c r="L4712" s="0" t="n">
        <f aca="false">G4712</f>
        <v>-0.75</v>
      </c>
      <c r="M4712" s="0" t="n">
        <f aca="false">H4712</f>
        <v>-1</v>
      </c>
      <c r="N4712" s="0" t="n">
        <f aca="false">E4712*F4712</f>
        <v>0</v>
      </c>
      <c r="O4712" s="0" t="n">
        <f aca="false">E4712*G4712</f>
        <v>-0.375</v>
      </c>
      <c r="P4712" s="0" t="n">
        <f aca="false">E4712*H4712</f>
        <v>-0.5</v>
      </c>
      <c r="Q4712" s="0" t="n">
        <f aca="false">F4712*G4712</f>
        <v>-0</v>
      </c>
      <c r="R4712" s="0" t="n">
        <f aca="false">F4712*H4712</f>
        <v>-0</v>
      </c>
      <c r="S4712" s="0" t="n">
        <f aca="false">G4712*H4712</f>
        <v>0.75</v>
      </c>
      <c r="T4712" s="0" t="n">
        <f aca="false">E4712*E4712</f>
        <v>0.25</v>
      </c>
      <c r="U4712" s="0" t="n">
        <f aca="false">F4712*F4712</f>
        <v>0</v>
      </c>
      <c r="V4712" s="0" t="n">
        <f aca="false">G4712*G4712</f>
        <v>0.5625</v>
      </c>
      <c r="W4712" s="0" t="n">
        <f aca="false">H4712*H4712</f>
        <v>1</v>
      </c>
      <c r="X4712" s="0" t="n">
        <f aca="false">SUMPRODUCT(I4712:W4712,_XtX!$B$96:$P$96)</f>
        <v>46.7525402046784</v>
      </c>
      <c r="Y4712" s="0" t="n">
        <f aca="false">SUMPRODUCT(MMULT(I4712:W4712,_XtX!$B$78:$P$92),I4712:W4712)</f>
        <v>0.476191292032164</v>
      </c>
      <c r="Z4712" s="0" t="n">
        <f aca="false">04_回帰ANOVA!$K$19*04_回帰ANOVA!$K$14*SQRT(1+Y4712)</f>
        <v>1.58368831471718</v>
      </c>
      <c r="AA4712" s="0" t="n">
        <f aca="false">X4712-Z4712</f>
        <v>45.1688518899612</v>
      </c>
      <c r="AB4712" s="0" t="n">
        <f aca="false">X4712+Z4712</f>
        <v>48.3362285193955</v>
      </c>
      <c r="AC4712" s="54" t="b">
        <f aca="false">AND(E4712&gt;=01_因子設定!$L$5-0.000000001,E4712&lt;=01_因子設定!$M$5+0.000000001,F4712&gt;=01_因子設定!$L$6-0.000000001,F4712&lt;=01_因子設定!$M$6+0.000000001,G4712&gt;=01_因子設定!$L$7-0.000000001,G4712&lt;=01_因子設定!$M$7+0.000000001,H4712&gt;=01_因子設定!$L$8-0.000000001,H4712&lt;=01_因子設定!$M$8+0.000000001,IF(01_因子設定!$B$20="Box-Behnken",E4712^2+F4712^2+G4712^2+H4712^2&lt;=2+0.000000001,TRUE()))</f>
        <v>1</v>
      </c>
      <c r="AD4712" s="55" t="n">
        <f aca="false">IF(AC4712,IF(01_因子設定!$B$13="最大化",AA4712-01_因子設定!$B$14,IF(01_因子設定!$B$13="最小化",01_因子設定!$B$15-AB4712,MIN(AA4712-01_因子設定!$B$14,01_因子設定!$B$15-AB4712))),-1E+030)</f>
        <v>-1.33114811003882</v>
      </c>
      <c r="AE4712" s="55" t="n">
        <f aca="false">IF(AC4712,IF(01_因子設定!$B$13="最大化",X4712,IF(01_因子設定!$B$13="最小化",-X4712,-ABS(X4712-01_因子設定!$B$16))),-1E+030)</f>
        <v>46.7525402046784</v>
      </c>
      <c r="AF4712" s="55" t="n">
        <f aca="false">AD4712+ROW()*0.000000001</f>
        <v>-1.33114339803882</v>
      </c>
      <c r="AG4712" s="55" t="n">
        <f aca="false">AE4712+ROW()*0.000000001</f>
        <v>46.7525449166784</v>
      </c>
    </row>
    <row r="4713" customFormat="false" ht="15" hidden="false" customHeight="false" outlineLevel="0" collapsed="false">
      <c r="A4713" s="0" t="n">
        <v>6</v>
      </c>
      <c r="B4713" s="0" t="n">
        <v>4</v>
      </c>
      <c r="C4713" s="0" t="n">
        <v>1</v>
      </c>
      <c r="D4713" s="0" t="n">
        <v>1</v>
      </c>
      <c r="E4713" s="0" t="n">
        <f aca="false">-1+A4713*0.25</f>
        <v>0.5</v>
      </c>
      <c r="F4713" s="0" t="n">
        <f aca="false">-1+B4713*0.25</f>
        <v>0</v>
      </c>
      <c r="G4713" s="0" t="n">
        <f aca="false">-1+C4713*0.25</f>
        <v>-0.75</v>
      </c>
      <c r="H4713" s="0" t="n">
        <f aca="false">-1+D4713*0.25</f>
        <v>-0.75</v>
      </c>
      <c r="I4713" s="0" t="n">
        <f aca="false">1</f>
        <v>1</v>
      </c>
      <c r="J4713" s="0" t="n">
        <f aca="false">E4713</f>
        <v>0.5</v>
      </c>
      <c r="K4713" s="0" t="n">
        <f aca="false">F4713</f>
        <v>0</v>
      </c>
      <c r="L4713" s="0" t="n">
        <f aca="false">G4713</f>
        <v>-0.75</v>
      </c>
      <c r="M4713" s="0" t="n">
        <f aca="false">H4713</f>
        <v>-0.75</v>
      </c>
      <c r="N4713" s="0" t="n">
        <f aca="false">E4713*F4713</f>
        <v>0</v>
      </c>
      <c r="O4713" s="0" t="n">
        <f aca="false">E4713*G4713</f>
        <v>-0.375</v>
      </c>
      <c r="P4713" s="0" t="n">
        <f aca="false">E4713*H4713</f>
        <v>-0.375</v>
      </c>
      <c r="Q4713" s="0" t="n">
        <f aca="false">F4713*G4713</f>
        <v>-0</v>
      </c>
      <c r="R4713" s="0" t="n">
        <f aca="false">F4713*H4713</f>
        <v>-0</v>
      </c>
      <c r="S4713" s="0" t="n">
        <f aca="false">G4713*H4713</f>
        <v>0.5625</v>
      </c>
      <c r="T4713" s="0" t="n">
        <f aca="false">E4713*E4713</f>
        <v>0.25</v>
      </c>
      <c r="U4713" s="0" t="n">
        <f aca="false">F4713*F4713</f>
        <v>0</v>
      </c>
      <c r="V4713" s="0" t="n">
        <f aca="false">G4713*G4713</f>
        <v>0.5625</v>
      </c>
      <c r="W4713" s="0" t="n">
        <f aca="false">H4713*H4713</f>
        <v>0.5625</v>
      </c>
      <c r="X4713" s="0" t="n">
        <f aca="false">SUMPRODUCT(I4713:W4713,_XtX!$B$96:$P$96)</f>
        <v>46.9829724049707</v>
      </c>
      <c r="Y4713" s="0" t="n">
        <f aca="false">SUMPRODUCT(MMULT(I4713:W4713,_XtX!$B$78:$P$92),I4713:W4713)</f>
        <v>0.269923873812135</v>
      </c>
      <c r="Z4713" s="0" t="n">
        <f aca="false">04_回帰ANOVA!$K$19*04_回帰ANOVA!$K$14*SQRT(1+Y4713)</f>
        <v>1.46888310825501</v>
      </c>
      <c r="AA4713" s="0" t="n">
        <f aca="false">X4713-Z4713</f>
        <v>45.5140892967157</v>
      </c>
      <c r="AB4713" s="0" t="n">
        <f aca="false">X4713+Z4713</f>
        <v>48.4518555132257</v>
      </c>
      <c r="AC4713" s="54" t="b">
        <f aca="false">AND(E4713&gt;=01_因子設定!$L$5-0.000000001,E4713&lt;=01_因子設定!$M$5+0.000000001,F4713&gt;=01_因子設定!$L$6-0.000000001,F4713&lt;=01_因子設定!$M$6+0.000000001,G4713&gt;=01_因子設定!$L$7-0.000000001,G4713&lt;=01_因子設定!$M$7+0.000000001,H4713&gt;=01_因子設定!$L$8-0.000000001,H4713&lt;=01_因子設定!$M$8+0.000000001,IF(01_因子設定!$B$20="Box-Behnken",E4713^2+F4713^2+G4713^2+H4713^2&lt;=2+0.000000001,TRUE()))</f>
        <v>1</v>
      </c>
      <c r="AD4713" s="55" t="n">
        <f aca="false">IF(AC4713,IF(01_因子設定!$B$13="最大化",AA4713-01_因子設定!$B$14,IF(01_因子設定!$B$13="最小化",01_因子設定!$B$15-AB4713,MIN(AA4713-01_因子設定!$B$14,01_因子設定!$B$15-AB4713))),-1E+030)</f>
        <v>-0.985910703284269</v>
      </c>
      <c r="AE4713" s="55" t="n">
        <f aca="false">IF(AC4713,IF(01_因子設定!$B$13="最大化",X4713,IF(01_因子設定!$B$13="最小化",-X4713,-ABS(X4713-01_因子設定!$B$16))),-1E+030)</f>
        <v>46.9829724049707</v>
      </c>
      <c r="AF4713" s="55" t="n">
        <f aca="false">AD4713+ROW()*0.000000001</f>
        <v>-0.985905990284269</v>
      </c>
      <c r="AG4713" s="55" t="n">
        <f aca="false">AE4713+ROW()*0.000000001</f>
        <v>46.9829771179707</v>
      </c>
    </row>
    <row r="4714" customFormat="false" ht="15" hidden="false" customHeight="false" outlineLevel="0" collapsed="false">
      <c r="A4714" s="0" t="n">
        <v>6</v>
      </c>
      <c r="B4714" s="0" t="n">
        <v>4</v>
      </c>
      <c r="C4714" s="0" t="n">
        <v>1</v>
      </c>
      <c r="D4714" s="0" t="n">
        <v>2</v>
      </c>
      <c r="E4714" s="0" t="n">
        <f aca="false">-1+A4714*0.25</f>
        <v>0.5</v>
      </c>
      <c r="F4714" s="0" t="n">
        <f aca="false">-1+B4714*0.25</f>
        <v>0</v>
      </c>
      <c r="G4714" s="0" t="n">
        <f aca="false">-1+C4714*0.25</f>
        <v>-0.75</v>
      </c>
      <c r="H4714" s="0" t="n">
        <f aca="false">-1+D4714*0.25</f>
        <v>-0.5</v>
      </c>
      <c r="I4714" s="0" t="n">
        <f aca="false">1</f>
        <v>1</v>
      </c>
      <c r="J4714" s="0" t="n">
        <f aca="false">E4714</f>
        <v>0.5</v>
      </c>
      <c r="K4714" s="0" t="n">
        <f aca="false">F4714</f>
        <v>0</v>
      </c>
      <c r="L4714" s="0" t="n">
        <f aca="false">G4714</f>
        <v>-0.75</v>
      </c>
      <c r="M4714" s="0" t="n">
        <f aca="false">H4714</f>
        <v>-0.5</v>
      </c>
      <c r="N4714" s="0" t="n">
        <f aca="false">E4714*F4714</f>
        <v>0</v>
      </c>
      <c r="O4714" s="0" t="n">
        <f aca="false">E4714*G4714</f>
        <v>-0.375</v>
      </c>
      <c r="P4714" s="0" t="n">
        <f aca="false">E4714*H4714</f>
        <v>-0.25</v>
      </c>
      <c r="Q4714" s="0" t="n">
        <f aca="false">F4714*G4714</f>
        <v>-0</v>
      </c>
      <c r="R4714" s="0" t="n">
        <f aca="false">F4714*H4714</f>
        <v>-0</v>
      </c>
      <c r="S4714" s="0" t="n">
        <f aca="false">G4714*H4714</f>
        <v>0.375</v>
      </c>
      <c r="T4714" s="0" t="n">
        <f aca="false">E4714*E4714</f>
        <v>0.25</v>
      </c>
      <c r="U4714" s="0" t="n">
        <f aca="false">F4714*F4714</f>
        <v>0</v>
      </c>
      <c r="V4714" s="0" t="n">
        <f aca="false">G4714*G4714</f>
        <v>0.5625</v>
      </c>
      <c r="W4714" s="0" t="n">
        <f aca="false">H4714*H4714</f>
        <v>0.25</v>
      </c>
      <c r="X4714" s="0" t="n">
        <f aca="false">SUMPRODUCT(I4714:W4714,_XtX!$B$96:$P$96)</f>
        <v>47.1655975877193</v>
      </c>
      <c r="Y4714" s="0" t="n">
        <f aca="false">SUMPRODUCT(MMULT(I4714:W4714,_XtX!$B$78:$P$92),I4714:W4714)</f>
        <v>0.21305052997076</v>
      </c>
      <c r="Z4714" s="0" t="n">
        <f aca="false">04_回帰ANOVA!$K$19*04_回帰ANOVA!$K$14*SQRT(1+Y4714)</f>
        <v>1.43561450835061</v>
      </c>
      <c r="AA4714" s="0" t="n">
        <f aca="false">X4714-Z4714</f>
        <v>45.7299830793687</v>
      </c>
      <c r="AB4714" s="0" t="n">
        <f aca="false">X4714+Z4714</f>
        <v>48.6012120960699</v>
      </c>
      <c r="AC4714" s="54" t="b">
        <f aca="false">AND(E4714&gt;=01_因子設定!$L$5-0.000000001,E4714&lt;=01_因子設定!$M$5+0.000000001,F4714&gt;=01_因子設定!$L$6-0.000000001,F4714&lt;=01_因子設定!$M$6+0.000000001,G4714&gt;=01_因子設定!$L$7-0.000000001,G4714&lt;=01_因子設定!$M$7+0.000000001,H4714&gt;=01_因子設定!$L$8-0.000000001,H4714&lt;=01_因子設定!$M$8+0.000000001,IF(01_因子設定!$B$20="Box-Behnken",E4714^2+F4714^2+G4714^2+H4714^2&lt;=2+0.000000001,TRUE()))</f>
        <v>1</v>
      </c>
      <c r="AD4714" s="55" t="n">
        <f aca="false">IF(AC4714,IF(01_因子設定!$B$13="最大化",AA4714-01_因子設定!$B$14,IF(01_因子設定!$B$13="最小化",01_因子設定!$B$15-AB4714,MIN(AA4714-01_因子設定!$B$14,01_因子設定!$B$15-AB4714))),-1E+030)</f>
        <v>-0.770016920631335</v>
      </c>
      <c r="AE4714" s="55" t="n">
        <f aca="false">IF(AC4714,IF(01_因子設定!$B$13="最大化",X4714,IF(01_因子設定!$B$13="最小化",-X4714,-ABS(X4714-01_因子設定!$B$16))),-1E+030)</f>
        <v>47.1655975877193</v>
      </c>
      <c r="AF4714" s="55" t="n">
        <f aca="false">AD4714+ROW()*0.000000001</f>
        <v>-0.770012206631335</v>
      </c>
      <c r="AG4714" s="55" t="n">
        <f aca="false">AE4714+ROW()*0.000000001</f>
        <v>47.1656023017193</v>
      </c>
    </row>
    <row r="4715" customFormat="false" ht="15" hidden="false" customHeight="false" outlineLevel="0" collapsed="false">
      <c r="A4715" s="0" t="n">
        <v>6</v>
      </c>
      <c r="B4715" s="0" t="n">
        <v>4</v>
      </c>
      <c r="C4715" s="0" t="n">
        <v>1</v>
      </c>
      <c r="D4715" s="0" t="n">
        <v>3</v>
      </c>
      <c r="E4715" s="0" t="n">
        <f aca="false">-1+A4715*0.25</f>
        <v>0.5</v>
      </c>
      <c r="F4715" s="0" t="n">
        <f aca="false">-1+B4715*0.25</f>
        <v>0</v>
      </c>
      <c r="G4715" s="0" t="n">
        <f aca="false">-1+C4715*0.25</f>
        <v>-0.75</v>
      </c>
      <c r="H4715" s="0" t="n">
        <f aca="false">-1+D4715*0.25</f>
        <v>-0.25</v>
      </c>
      <c r="I4715" s="0" t="n">
        <f aca="false">1</f>
        <v>1</v>
      </c>
      <c r="J4715" s="0" t="n">
        <f aca="false">E4715</f>
        <v>0.5</v>
      </c>
      <c r="K4715" s="0" t="n">
        <f aca="false">F4715</f>
        <v>0</v>
      </c>
      <c r="L4715" s="0" t="n">
        <f aca="false">G4715</f>
        <v>-0.75</v>
      </c>
      <c r="M4715" s="0" t="n">
        <f aca="false">H4715</f>
        <v>-0.25</v>
      </c>
      <c r="N4715" s="0" t="n">
        <f aca="false">E4715*F4715</f>
        <v>0</v>
      </c>
      <c r="O4715" s="0" t="n">
        <f aca="false">E4715*G4715</f>
        <v>-0.375</v>
      </c>
      <c r="P4715" s="0" t="n">
        <f aca="false">E4715*H4715</f>
        <v>-0.125</v>
      </c>
      <c r="Q4715" s="0" t="n">
        <f aca="false">F4715*G4715</f>
        <v>-0</v>
      </c>
      <c r="R4715" s="0" t="n">
        <f aca="false">F4715*H4715</f>
        <v>-0</v>
      </c>
      <c r="S4715" s="0" t="n">
        <f aca="false">G4715*H4715</f>
        <v>0.1875</v>
      </c>
      <c r="T4715" s="0" t="n">
        <f aca="false">E4715*E4715</f>
        <v>0.25</v>
      </c>
      <c r="U4715" s="0" t="n">
        <f aca="false">F4715*F4715</f>
        <v>0</v>
      </c>
      <c r="V4715" s="0" t="n">
        <f aca="false">G4715*G4715</f>
        <v>0.5625</v>
      </c>
      <c r="W4715" s="0" t="n">
        <f aca="false">H4715*H4715</f>
        <v>0.0625</v>
      </c>
      <c r="X4715" s="0" t="n">
        <f aca="false">SUMPRODUCT(I4715:W4715,_XtX!$B$96:$P$96)</f>
        <v>47.3004157529239</v>
      </c>
      <c r="Y4715" s="0" t="n">
        <f aca="false">SUMPRODUCT(MMULT(I4715:W4715,_XtX!$B$78:$P$92),I4715:W4715)</f>
        <v>0.215110734192252</v>
      </c>
      <c r="Z4715" s="0" t="n">
        <f aca="false">04_回帰ANOVA!$K$19*04_回帰ANOVA!$K$14*SQRT(1+Y4715)</f>
        <v>1.43683309086864</v>
      </c>
      <c r="AA4715" s="0" t="n">
        <f aca="false">X4715-Z4715</f>
        <v>45.8635826620553</v>
      </c>
      <c r="AB4715" s="0" t="n">
        <f aca="false">X4715+Z4715</f>
        <v>48.7372488437926</v>
      </c>
      <c r="AC4715" s="54" t="b">
        <f aca="false">AND(E4715&gt;=01_因子設定!$L$5-0.000000001,E4715&lt;=01_因子設定!$M$5+0.000000001,F4715&gt;=01_因子設定!$L$6-0.000000001,F4715&lt;=01_因子設定!$M$6+0.000000001,G4715&gt;=01_因子設定!$L$7-0.000000001,G4715&lt;=01_因子設定!$M$7+0.000000001,H4715&gt;=01_因子設定!$L$8-0.000000001,H4715&lt;=01_因子設定!$M$8+0.000000001,IF(01_因子設定!$B$20="Box-Behnken",E4715^2+F4715^2+G4715^2+H4715^2&lt;=2+0.000000001,TRUE()))</f>
        <v>1</v>
      </c>
      <c r="AD4715" s="55" t="n">
        <f aca="false">IF(AC4715,IF(01_因子設定!$B$13="最大化",AA4715-01_因子設定!$B$14,IF(01_因子設定!$B$13="最小化",01_因子設定!$B$15-AB4715,MIN(AA4715-01_因子設定!$B$14,01_因子設定!$B$15-AB4715))),-1E+030)</f>
        <v>-0.636417337944707</v>
      </c>
      <c r="AE4715" s="55" t="n">
        <f aca="false">IF(AC4715,IF(01_因子設定!$B$13="最大化",X4715,IF(01_因子設定!$B$13="最小化",-X4715,-ABS(X4715-01_因子設定!$B$16))),-1E+030)</f>
        <v>47.3004157529239</v>
      </c>
      <c r="AF4715" s="55" t="n">
        <f aca="false">AD4715+ROW()*0.000000001</f>
        <v>-0.636412622944707</v>
      </c>
      <c r="AG4715" s="55" t="n">
        <f aca="false">AE4715+ROW()*0.000000001</f>
        <v>47.3004204679239</v>
      </c>
    </row>
    <row r="4716" customFormat="false" ht="15" hidden="false" customHeight="false" outlineLevel="0" collapsed="false">
      <c r="A4716" s="0" t="n">
        <v>6</v>
      </c>
      <c r="B4716" s="0" t="n">
        <v>4</v>
      </c>
      <c r="C4716" s="0" t="n">
        <v>1</v>
      </c>
      <c r="D4716" s="0" t="n">
        <v>4</v>
      </c>
      <c r="E4716" s="0" t="n">
        <f aca="false">-1+A4716*0.25</f>
        <v>0.5</v>
      </c>
      <c r="F4716" s="0" t="n">
        <f aca="false">-1+B4716*0.25</f>
        <v>0</v>
      </c>
      <c r="G4716" s="0" t="n">
        <f aca="false">-1+C4716*0.25</f>
        <v>-0.75</v>
      </c>
      <c r="H4716" s="0" t="n">
        <f aca="false">-1+D4716*0.25</f>
        <v>0</v>
      </c>
      <c r="I4716" s="0" t="n">
        <f aca="false">1</f>
        <v>1</v>
      </c>
      <c r="J4716" s="0" t="n">
        <f aca="false">E4716</f>
        <v>0.5</v>
      </c>
      <c r="K4716" s="0" t="n">
        <f aca="false">F4716</f>
        <v>0</v>
      </c>
      <c r="L4716" s="0" t="n">
        <f aca="false">G4716</f>
        <v>-0.75</v>
      </c>
      <c r="M4716" s="0" t="n">
        <f aca="false">H4716</f>
        <v>0</v>
      </c>
      <c r="N4716" s="0" t="n">
        <f aca="false">E4716*F4716</f>
        <v>0</v>
      </c>
      <c r="O4716" s="0" t="n">
        <f aca="false">E4716*G4716</f>
        <v>-0.375</v>
      </c>
      <c r="P4716" s="0" t="n">
        <f aca="false">E4716*H4716</f>
        <v>0</v>
      </c>
      <c r="Q4716" s="0" t="n">
        <f aca="false">F4716*G4716</f>
        <v>-0</v>
      </c>
      <c r="R4716" s="0" t="n">
        <f aca="false">F4716*H4716</f>
        <v>0</v>
      </c>
      <c r="S4716" s="0" t="n">
        <f aca="false">G4716*H4716</f>
        <v>-0</v>
      </c>
      <c r="T4716" s="0" t="n">
        <f aca="false">E4716*E4716</f>
        <v>0.25</v>
      </c>
      <c r="U4716" s="0" t="n">
        <f aca="false">F4716*F4716</f>
        <v>0</v>
      </c>
      <c r="V4716" s="0" t="n">
        <f aca="false">G4716*G4716</f>
        <v>0.5625</v>
      </c>
      <c r="W4716" s="0" t="n">
        <f aca="false">H4716*H4716</f>
        <v>0</v>
      </c>
      <c r="X4716" s="0" t="n">
        <f aca="false">SUMPRODUCT(I4716:W4716,_XtX!$B$96:$P$96)</f>
        <v>47.3874269005848</v>
      </c>
      <c r="Y4716" s="0" t="n">
        <f aca="false">SUMPRODUCT(MMULT(I4716:W4716,_XtX!$B$78:$P$92),I4716:W4716)</f>
        <v>0.221828170687135</v>
      </c>
      <c r="Z4716" s="0" t="n">
        <f aca="false">04_回帰ANOVA!$K$19*04_回帰ANOVA!$K$14*SQRT(1+Y4716)</f>
        <v>1.44079920361664</v>
      </c>
      <c r="AA4716" s="0" t="n">
        <f aca="false">X4716-Z4716</f>
        <v>45.9466276969681</v>
      </c>
      <c r="AB4716" s="0" t="n">
        <f aca="false">X4716+Z4716</f>
        <v>48.8282261042014</v>
      </c>
      <c r="AC4716" s="54" t="b">
        <f aca="false">AND(E4716&gt;=01_因子設定!$L$5-0.000000001,E4716&lt;=01_因子設定!$M$5+0.000000001,F4716&gt;=01_因子設定!$L$6-0.000000001,F4716&lt;=01_因子設定!$M$6+0.000000001,G4716&gt;=01_因子設定!$L$7-0.000000001,G4716&lt;=01_因子設定!$M$7+0.000000001,H4716&gt;=01_因子設定!$L$8-0.000000001,H4716&lt;=01_因子設定!$M$8+0.000000001,IF(01_因子設定!$B$20="Box-Behnken",E4716^2+F4716^2+G4716^2+H4716^2&lt;=2+0.000000001,TRUE()))</f>
        <v>1</v>
      </c>
      <c r="AD4716" s="55" t="n">
        <f aca="false">IF(AC4716,IF(01_因子設定!$B$13="最大化",AA4716-01_因子設定!$B$14,IF(01_因子設定!$B$13="最小化",01_因子設定!$B$15-AB4716,MIN(AA4716-01_因子設定!$B$14,01_因子設定!$B$15-AB4716))),-1E+030)</f>
        <v>-0.553372303031885</v>
      </c>
      <c r="AE4716" s="55" t="n">
        <f aca="false">IF(AC4716,IF(01_因子設定!$B$13="最大化",X4716,IF(01_因子設定!$B$13="最小化",-X4716,-ABS(X4716-01_因子設定!$B$16))),-1E+030)</f>
        <v>47.3874269005848</v>
      </c>
      <c r="AF4716" s="55" t="n">
        <f aca="false">AD4716+ROW()*0.000000001</f>
        <v>-0.553367587031885</v>
      </c>
      <c r="AG4716" s="55" t="n">
        <f aca="false">AE4716+ROW()*0.000000001</f>
        <v>47.3874316165848</v>
      </c>
    </row>
    <row r="4717" customFormat="false" ht="15" hidden="false" customHeight="false" outlineLevel="0" collapsed="false">
      <c r="A4717" s="0" t="n">
        <v>6</v>
      </c>
      <c r="B4717" s="0" t="n">
        <v>4</v>
      </c>
      <c r="C4717" s="0" t="n">
        <v>1</v>
      </c>
      <c r="D4717" s="0" t="n">
        <v>5</v>
      </c>
      <c r="E4717" s="0" t="n">
        <f aca="false">-1+A4717*0.25</f>
        <v>0.5</v>
      </c>
      <c r="F4717" s="0" t="n">
        <f aca="false">-1+B4717*0.25</f>
        <v>0</v>
      </c>
      <c r="G4717" s="0" t="n">
        <f aca="false">-1+C4717*0.25</f>
        <v>-0.75</v>
      </c>
      <c r="H4717" s="0" t="n">
        <f aca="false">-1+D4717*0.25</f>
        <v>0.25</v>
      </c>
      <c r="I4717" s="0" t="n">
        <f aca="false">1</f>
        <v>1</v>
      </c>
      <c r="J4717" s="0" t="n">
        <f aca="false">E4717</f>
        <v>0.5</v>
      </c>
      <c r="K4717" s="0" t="n">
        <f aca="false">F4717</f>
        <v>0</v>
      </c>
      <c r="L4717" s="0" t="n">
        <f aca="false">G4717</f>
        <v>-0.75</v>
      </c>
      <c r="M4717" s="0" t="n">
        <f aca="false">H4717</f>
        <v>0.25</v>
      </c>
      <c r="N4717" s="0" t="n">
        <f aca="false">E4717*F4717</f>
        <v>0</v>
      </c>
      <c r="O4717" s="0" t="n">
        <f aca="false">E4717*G4717</f>
        <v>-0.375</v>
      </c>
      <c r="P4717" s="0" t="n">
        <f aca="false">E4717*H4717</f>
        <v>0.125</v>
      </c>
      <c r="Q4717" s="0" t="n">
        <f aca="false">F4717*G4717</f>
        <v>-0</v>
      </c>
      <c r="R4717" s="0" t="n">
        <f aca="false">F4717*H4717</f>
        <v>0</v>
      </c>
      <c r="S4717" s="0" t="n">
        <f aca="false">G4717*H4717</f>
        <v>-0.1875</v>
      </c>
      <c r="T4717" s="0" t="n">
        <f aca="false">E4717*E4717</f>
        <v>0.25</v>
      </c>
      <c r="U4717" s="0" t="n">
        <f aca="false">F4717*F4717</f>
        <v>0</v>
      </c>
      <c r="V4717" s="0" t="n">
        <f aca="false">G4717*G4717</f>
        <v>0.5625</v>
      </c>
      <c r="W4717" s="0" t="n">
        <f aca="false">H4717*H4717</f>
        <v>0.0625</v>
      </c>
      <c r="X4717" s="0" t="n">
        <f aca="false">SUMPRODUCT(I4717:W4717,_XtX!$B$96:$P$96)</f>
        <v>47.4266310307017</v>
      </c>
      <c r="Y4717" s="0" t="n">
        <f aca="false">SUMPRODUCT(MMULT(I4717:W4717,_XtX!$B$78:$P$92),I4717:W4717)</f>
        <v>0.215110734192252</v>
      </c>
      <c r="Z4717" s="0" t="n">
        <f aca="false">04_回帰ANOVA!$K$19*04_回帰ANOVA!$K$14*SQRT(1+Y4717)</f>
        <v>1.43683309086864</v>
      </c>
      <c r="AA4717" s="0" t="n">
        <f aca="false">X4717-Z4717</f>
        <v>45.9897979398331</v>
      </c>
      <c r="AB4717" s="0" t="n">
        <f aca="false">X4717+Z4717</f>
        <v>48.8634641215704</v>
      </c>
      <c r="AC4717" s="54" t="b">
        <f aca="false">AND(E4717&gt;=01_因子設定!$L$5-0.000000001,E4717&lt;=01_因子設定!$M$5+0.000000001,F4717&gt;=01_因子設定!$L$6-0.000000001,F4717&lt;=01_因子設定!$M$6+0.000000001,G4717&gt;=01_因子設定!$L$7-0.000000001,G4717&lt;=01_因子設定!$M$7+0.000000001,H4717&gt;=01_因子設定!$L$8-0.000000001,H4717&lt;=01_因子設定!$M$8+0.000000001,IF(01_因子設定!$B$20="Box-Behnken",E4717^2+F4717^2+G4717^2+H4717^2&lt;=2+0.000000001,TRUE()))</f>
        <v>1</v>
      </c>
      <c r="AD4717" s="55" t="n">
        <f aca="false">IF(AC4717,IF(01_因子設定!$B$13="最大化",AA4717-01_因子設定!$B$14,IF(01_因子設定!$B$13="最小化",01_因子設定!$B$15-AB4717,MIN(AA4717-01_因子設定!$B$14,01_因子設定!$B$15-AB4717))),-1E+030)</f>
        <v>-0.510202060166932</v>
      </c>
      <c r="AE4717" s="55" t="n">
        <f aca="false">IF(AC4717,IF(01_因子設定!$B$13="最大化",X4717,IF(01_因子設定!$B$13="最小化",-X4717,-ABS(X4717-01_因子設定!$B$16))),-1E+030)</f>
        <v>47.4266310307017</v>
      </c>
      <c r="AF4717" s="55" t="n">
        <f aca="false">AD4717+ROW()*0.000000001</f>
        <v>-0.510197343166932</v>
      </c>
      <c r="AG4717" s="55" t="n">
        <f aca="false">AE4717+ROW()*0.000000001</f>
        <v>47.4266357477017</v>
      </c>
    </row>
    <row r="4718" customFormat="false" ht="15" hidden="false" customHeight="false" outlineLevel="0" collapsed="false">
      <c r="A4718" s="0" t="n">
        <v>6</v>
      </c>
      <c r="B4718" s="0" t="n">
        <v>4</v>
      </c>
      <c r="C4718" s="0" t="n">
        <v>1</v>
      </c>
      <c r="D4718" s="0" t="n">
        <v>6</v>
      </c>
      <c r="E4718" s="0" t="n">
        <f aca="false">-1+A4718*0.25</f>
        <v>0.5</v>
      </c>
      <c r="F4718" s="0" t="n">
        <f aca="false">-1+B4718*0.25</f>
        <v>0</v>
      </c>
      <c r="G4718" s="0" t="n">
        <f aca="false">-1+C4718*0.25</f>
        <v>-0.75</v>
      </c>
      <c r="H4718" s="0" t="n">
        <f aca="false">-1+D4718*0.25</f>
        <v>0.5</v>
      </c>
      <c r="I4718" s="0" t="n">
        <f aca="false">1</f>
        <v>1</v>
      </c>
      <c r="J4718" s="0" t="n">
        <f aca="false">E4718</f>
        <v>0.5</v>
      </c>
      <c r="K4718" s="0" t="n">
        <f aca="false">F4718</f>
        <v>0</v>
      </c>
      <c r="L4718" s="0" t="n">
        <f aca="false">G4718</f>
        <v>-0.75</v>
      </c>
      <c r="M4718" s="0" t="n">
        <f aca="false">H4718</f>
        <v>0.5</v>
      </c>
      <c r="N4718" s="0" t="n">
        <f aca="false">E4718*F4718</f>
        <v>0</v>
      </c>
      <c r="O4718" s="0" t="n">
        <f aca="false">E4718*G4718</f>
        <v>-0.375</v>
      </c>
      <c r="P4718" s="0" t="n">
        <f aca="false">E4718*H4718</f>
        <v>0.25</v>
      </c>
      <c r="Q4718" s="0" t="n">
        <f aca="false">F4718*G4718</f>
        <v>-0</v>
      </c>
      <c r="R4718" s="0" t="n">
        <f aca="false">F4718*H4718</f>
        <v>0</v>
      </c>
      <c r="S4718" s="0" t="n">
        <f aca="false">G4718*H4718</f>
        <v>-0.375</v>
      </c>
      <c r="T4718" s="0" t="n">
        <f aca="false">E4718*E4718</f>
        <v>0.25</v>
      </c>
      <c r="U4718" s="0" t="n">
        <f aca="false">F4718*F4718</f>
        <v>0</v>
      </c>
      <c r="V4718" s="0" t="n">
        <f aca="false">G4718*G4718</f>
        <v>0.5625</v>
      </c>
      <c r="W4718" s="0" t="n">
        <f aca="false">H4718*H4718</f>
        <v>0.25</v>
      </c>
      <c r="X4718" s="0" t="n">
        <f aca="false">SUMPRODUCT(I4718:W4718,_XtX!$B$96:$P$96)</f>
        <v>47.4180281432748</v>
      </c>
      <c r="Y4718" s="0" t="n">
        <f aca="false">SUMPRODUCT(MMULT(I4718:W4718,_XtX!$B$78:$P$92),I4718:W4718)</f>
        <v>0.21305052997076</v>
      </c>
      <c r="Z4718" s="0" t="n">
        <f aca="false">04_回帰ANOVA!$K$19*04_回帰ANOVA!$K$14*SQRT(1+Y4718)</f>
        <v>1.43561450835061</v>
      </c>
      <c r="AA4718" s="0" t="n">
        <f aca="false">X4718-Z4718</f>
        <v>45.9824136349242</v>
      </c>
      <c r="AB4718" s="0" t="n">
        <f aca="false">X4718+Z4718</f>
        <v>48.8536426516254</v>
      </c>
      <c r="AC4718" s="54" t="b">
        <f aca="false">AND(E4718&gt;=01_因子設定!$L$5-0.000000001,E4718&lt;=01_因子設定!$M$5+0.000000001,F4718&gt;=01_因子設定!$L$6-0.000000001,F4718&lt;=01_因子設定!$M$6+0.000000001,G4718&gt;=01_因子設定!$L$7-0.000000001,G4718&lt;=01_因子設定!$M$7+0.000000001,H4718&gt;=01_因子設定!$L$8-0.000000001,H4718&lt;=01_因子設定!$M$8+0.000000001,IF(01_因子設定!$B$20="Box-Behnken",E4718^2+F4718^2+G4718^2+H4718^2&lt;=2+0.000000001,TRUE()))</f>
        <v>1</v>
      </c>
      <c r="AD4718" s="55" t="n">
        <f aca="false">IF(AC4718,IF(01_因子設定!$B$13="最大化",AA4718-01_因子設定!$B$14,IF(01_因子設定!$B$13="最小化",01_因子設定!$B$15-AB4718,MIN(AA4718-01_因子設定!$B$14,01_因子設定!$B$15-AB4718))),-1E+030)</f>
        <v>-0.517586365075779</v>
      </c>
      <c r="AE4718" s="55" t="n">
        <f aca="false">IF(AC4718,IF(01_因子設定!$B$13="最大化",X4718,IF(01_因子設定!$B$13="最小化",-X4718,-ABS(X4718-01_因子設定!$B$16))),-1E+030)</f>
        <v>47.4180281432748</v>
      </c>
      <c r="AF4718" s="55" t="n">
        <f aca="false">AD4718+ROW()*0.000000001</f>
        <v>-0.517581647075779</v>
      </c>
      <c r="AG4718" s="55" t="n">
        <f aca="false">AE4718+ROW()*0.000000001</f>
        <v>47.4180328612748</v>
      </c>
    </row>
    <row r="4719" customFormat="false" ht="15" hidden="false" customHeight="false" outlineLevel="0" collapsed="false">
      <c r="A4719" s="0" t="n">
        <v>6</v>
      </c>
      <c r="B4719" s="0" t="n">
        <v>4</v>
      </c>
      <c r="C4719" s="0" t="n">
        <v>1</v>
      </c>
      <c r="D4719" s="0" t="n">
        <v>7</v>
      </c>
      <c r="E4719" s="0" t="n">
        <f aca="false">-1+A4719*0.25</f>
        <v>0.5</v>
      </c>
      <c r="F4719" s="0" t="n">
        <f aca="false">-1+B4719*0.25</f>
        <v>0</v>
      </c>
      <c r="G4719" s="0" t="n">
        <f aca="false">-1+C4719*0.25</f>
        <v>-0.75</v>
      </c>
      <c r="H4719" s="0" t="n">
        <f aca="false">-1+D4719*0.25</f>
        <v>0.75</v>
      </c>
      <c r="I4719" s="0" t="n">
        <f aca="false">1</f>
        <v>1</v>
      </c>
      <c r="J4719" s="0" t="n">
        <f aca="false">E4719</f>
        <v>0.5</v>
      </c>
      <c r="K4719" s="0" t="n">
        <f aca="false">F4719</f>
        <v>0</v>
      </c>
      <c r="L4719" s="0" t="n">
        <f aca="false">G4719</f>
        <v>-0.75</v>
      </c>
      <c r="M4719" s="0" t="n">
        <f aca="false">H4719</f>
        <v>0.75</v>
      </c>
      <c r="N4719" s="0" t="n">
        <f aca="false">E4719*F4719</f>
        <v>0</v>
      </c>
      <c r="O4719" s="0" t="n">
        <f aca="false">E4719*G4719</f>
        <v>-0.375</v>
      </c>
      <c r="P4719" s="0" t="n">
        <f aca="false">E4719*H4719</f>
        <v>0.375</v>
      </c>
      <c r="Q4719" s="0" t="n">
        <f aca="false">F4719*G4719</f>
        <v>-0</v>
      </c>
      <c r="R4719" s="0" t="n">
        <f aca="false">F4719*H4719</f>
        <v>0</v>
      </c>
      <c r="S4719" s="0" t="n">
        <f aca="false">G4719*H4719</f>
        <v>-0.5625</v>
      </c>
      <c r="T4719" s="0" t="n">
        <f aca="false">E4719*E4719</f>
        <v>0.25</v>
      </c>
      <c r="U4719" s="0" t="n">
        <f aca="false">F4719*F4719</f>
        <v>0</v>
      </c>
      <c r="V4719" s="0" t="n">
        <f aca="false">G4719*G4719</f>
        <v>0.5625</v>
      </c>
      <c r="W4719" s="0" t="n">
        <f aca="false">H4719*H4719</f>
        <v>0.5625</v>
      </c>
      <c r="X4719" s="0" t="n">
        <f aca="false">SUMPRODUCT(I4719:W4719,_XtX!$B$96:$P$96)</f>
        <v>47.3616182383041</v>
      </c>
      <c r="Y4719" s="0" t="n">
        <f aca="false">SUMPRODUCT(MMULT(I4719:W4719,_XtX!$B$78:$P$92),I4719:W4719)</f>
        <v>0.269923873812135</v>
      </c>
      <c r="Z4719" s="0" t="n">
        <f aca="false">04_回帰ANOVA!$K$19*04_回帰ANOVA!$K$14*SQRT(1+Y4719)</f>
        <v>1.46888310825501</v>
      </c>
      <c r="AA4719" s="0" t="n">
        <f aca="false">X4719-Z4719</f>
        <v>45.8927351300491</v>
      </c>
      <c r="AB4719" s="0" t="n">
        <f aca="false">X4719+Z4719</f>
        <v>48.8305013465591</v>
      </c>
      <c r="AC4719" s="54" t="b">
        <f aca="false">AND(E4719&gt;=01_因子設定!$L$5-0.000000001,E4719&lt;=01_因子設定!$M$5+0.000000001,F4719&gt;=01_因子設定!$L$6-0.000000001,F4719&lt;=01_因子設定!$M$6+0.000000001,G4719&gt;=01_因子設定!$L$7-0.000000001,G4719&lt;=01_因子設定!$M$7+0.000000001,H4719&gt;=01_因子設定!$L$8-0.000000001,H4719&lt;=01_因子設定!$M$8+0.000000001,IF(01_因子設定!$B$20="Box-Behnken",E4719^2+F4719^2+G4719^2+H4719^2&lt;=2+0.000000001,TRUE()))</f>
        <v>1</v>
      </c>
      <c r="AD4719" s="55" t="n">
        <f aca="false">IF(AC4719,IF(01_因子設定!$B$13="最大化",AA4719-01_因子設定!$B$14,IF(01_因子設定!$B$13="最小化",01_因子設定!$B$15-AB4719,MIN(AA4719-01_因子設定!$B$14,01_因子設定!$B$15-AB4719))),-1E+030)</f>
        <v>-0.607264869950932</v>
      </c>
      <c r="AE4719" s="55" t="n">
        <f aca="false">IF(AC4719,IF(01_因子設定!$B$13="最大化",X4719,IF(01_因子設定!$B$13="最小化",-X4719,-ABS(X4719-01_因子設定!$B$16))),-1E+030)</f>
        <v>47.3616182383041</v>
      </c>
      <c r="AF4719" s="55" t="n">
        <f aca="false">AD4719+ROW()*0.000000001</f>
        <v>-0.607260150950932</v>
      </c>
      <c r="AG4719" s="55" t="n">
        <f aca="false">AE4719+ROW()*0.000000001</f>
        <v>47.3616229573041</v>
      </c>
    </row>
    <row r="4720" customFormat="false" ht="15" hidden="false" customHeight="false" outlineLevel="0" collapsed="false">
      <c r="A4720" s="0" t="n">
        <v>6</v>
      </c>
      <c r="B4720" s="0" t="n">
        <v>4</v>
      </c>
      <c r="C4720" s="0" t="n">
        <v>1</v>
      </c>
      <c r="D4720" s="0" t="n">
        <v>8</v>
      </c>
      <c r="E4720" s="0" t="n">
        <f aca="false">-1+A4720*0.25</f>
        <v>0.5</v>
      </c>
      <c r="F4720" s="0" t="n">
        <f aca="false">-1+B4720*0.25</f>
        <v>0</v>
      </c>
      <c r="G4720" s="0" t="n">
        <f aca="false">-1+C4720*0.25</f>
        <v>-0.75</v>
      </c>
      <c r="H4720" s="0" t="n">
        <f aca="false">-1+D4720*0.25</f>
        <v>1</v>
      </c>
      <c r="I4720" s="0" t="n">
        <f aca="false">1</f>
        <v>1</v>
      </c>
      <c r="J4720" s="0" t="n">
        <f aca="false">E4720</f>
        <v>0.5</v>
      </c>
      <c r="K4720" s="0" t="n">
        <f aca="false">F4720</f>
        <v>0</v>
      </c>
      <c r="L4720" s="0" t="n">
        <f aca="false">G4720</f>
        <v>-0.75</v>
      </c>
      <c r="M4720" s="0" t="n">
        <f aca="false">H4720</f>
        <v>1</v>
      </c>
      <c r="N4720" s="0" t="n">
        <f aca="false">E4720*F4720</f>
        <v>0</v>
      </c>
      <c r="O4720" s="0" t="n">
        <f aca="false">E4720*G4720</f>
        <v>-0.375</v>
      </c>
      <c r="P4720" s="0" t="n">
        <f aca="false">E4720*H4720</f>
        <v>0.5</v>
      </c>
      <c r="Q4720" s="0" t="n">
        <f aca="false">F4720*G4720</f>
        <v>-0</v>
      </c>
      <c r="R4720" s="0" t="n">
        <f aca="false">F4720*H4720</f>
        <v>0</v>
      </c>
      <c r="S4720" s="0" t="n">
        <f aca="false">G4720*H4720</f>
        <v>-0.75</v>
      </c>
      <c r="T4720" s="0" t="n">
        <f aca="false">E4720*E4720</f>
        <v>0.25</v>
      </c>
      <c r="U4720" s="0" t="n">
        <f aca="false">F4720*F4720</f>
        <v>0</v>
      </c>
      <c r="V4720" s="0" t="n">
        <f aca="false">G4720*G4720</f>
        <v>0.5625</v>
      </c>
      <c r="W4720" s="0" t="n">
        <f aca="false">H4720*H4720</f>
        <v>1</v>
      </c>
      <c r="X4720" s="0" t="n">
        <f aca="false">SUMPRODUCT(I4720:W4720,_XtX!$B$96:$P$96)</f>
        <v>47.2574013157895</v>
      </c>
      <c r="Y4720" s="0" t="n">
        <f aca="false">SUMPRODUCT(MMULT(I4720:W4720,_XtX!$B$78:$P$92),I4720:W4720)</f>
        <v>0.476191292032164</v>
      </c>
      <c r="Z4720" s="0" t="n">
        <f aca="false">04_回帰ANOVA!$K$19*04_回帰ANOVA!$K$14*SQRT(1+Y4720)</f>
        <v>1.58368831471718</v>
      </c>
      <c r="AA4720" s="0" t="n">
        <f aca="false">X4720-Z4720</f>
        <v>45.6737130010723</v>
      </c>
      <c r="AB4720" s="0" t="n">
        <f aca="false">X4720+Z4720</f>
        <v>48.8410896305066</v>
      </c>
      <c r="AC4720" s="54" t="b">
        <f aca="false">AND(E4720&gt;=01_因子設定!$L$5-0.000000001,E4720&lt;=01_因子設定!$M$5+0.000000001,F4720&gt;=01_因子設定!$L$6-0.000000001,F4720&lt;=01_因子設定!$M$6+0.000000001,G4720&gt;=01_因子設定!$L$7-0.000000001,G4720&lt;=01_因子設定!$M$7+0.000000001,H4720&gt;=01_因子設定!$L$8-0.000000001,H4720&lt;=01_因子設定!$M$8+0.000000001,IF(01_因子設定!$B$20="Box-Behnken",E4720^2+F4720^2+G4720^2+H4720^2&lt;=2+0.000000001,TRUE()))</f>
        <v>1</v>
      </c>
      <c r="AD4720" s="55" t="n">
        <f aca="false">IF(AC4720,IF(01_因子設定!$B$13="最大化",AA4720-01_因子設定!$B$14,IF(01_因子設定!$B$13="最小化",01_因子設定!$B$15-AB4720,MIN(AA4720-01_因子設定!$B$14,01_因子設定!$B$15-AB4720))),-1E+030)</f>
        <v>-0.826286998927714</v>
      </c>
      <c r="AE4720" s="55" t="n">
        <f aca="false">IF(AC4720,IF(01_因子設定!$B$13="最大化",X4720,IF(01_因子設定!$B$13="最小化",-X4720,-ABS(X4720-01_因子設定!$B$16))),-1E+030)</f>
        <v>47.2574013157895</v>
      </c>
      <c r="AF4720" s="55" t="n">
        <f aca="false">AD4720+ROW()*0.000000001</f>
        <v>-0.826282278927714</v>
      </c>
      <c r="AG4720" s="55" t="n">
        <f aca="false">AE4720+ROW()*0.000000001</f>
        <v>47.2574060357895</v>
      </c>
    </row>
    <row r="4721" customFormat="false" ht="15" hidden="false" customHeight="false" outlineLevel="0" collapsed="false">
      <c r="A4721" s="0" t="n">
        <v>6</v>
      </c>
      <c r="B4721" s="0" t="n">
        <v>4</v>
      </c>
      <c r="C4721" s="0" t="n">
        <v>2</v>
      </c>
      <c r="D4721" s="0" t="n">
        <v>0</v>
      </c>
      <c r="E4721" s="0" t="n">
        <f aca="false">-1+A4721*0.25</f>
        <v>0.5</v>
      </c>
      <c r="F4721" s="0" t="n">
        <f aca="false">-1+B4721*0.25</f>
        <v>0</v>
      </c>
      <c r="G4721" s="0" t="n">
        <f aca="false">-1+C4721*0.25</f>
        <v>-0.5</v>
      </c>
      <c r="H4721" s="0" t="n">
        <f aca="false">-1+D4721*0.25</f>
        <v>-1</v>
      </c>
      <c r="I4721" s="0" t="n">
        <f aca="false">1</f>
        <v>1</v>
      </c>
      <c r="J4721" s="0" t="n">
        <f aca="false">E4721</f>
        <v>0.5</v>
      </c>
      <c r="K4721" s="0" t="n">
        <f aca="false">F4721</f>
        <v>0</v>
      </c>
      <c r="L4721" s="0" t="n">
        <f aca="false">G4721</f>
        <v>-0.5</v>
      </c>
      <c r="M4721" s="0" t="n">
        <f aca="false">H4721</f>
        <v>-1</v>
      </c>
      <c r="N4721" s="0" t="n">
        <f aca="false">E4721*F4721</f>
        <v>0</v>
      </c>
      <c r="O4721" s="0" t="n">
        <f aca="false">E4721*G4721</f>
        <v>-0.25</v>
      </c>
      <c r="P4721" s="0" t="n">
        <f aca="false">E4721*H4721</f>
        <v>-0.5</v>
      </c>
      <c r="Q4721" s="0" t="n">
        <f aca="false">F4721*G4721</f>
        <v>-0</v>
      </c>
      <c r="R4721" s="0" t="n">
        <f aca="false">F4721*H4721</f>
        <v>-0</v>
      </c>
      <c r="S4721" s="0" t="n">
        <f aca="false">G4721*H4721</f>
        <v>0.5</v>
      </c>
      <c r="T4721" s="0" t="n">
        <f aca="false">E4721*E4721</f>
        <v>0.25</v>
      </c>
      <c r="U4721" s="0" t="n">
        <f aca="false">F4721*F4721</f>
        <v>0</v>
      </c>
      <c r="V4721" s="0" t="n">
        <f aca="false">G4721*G4721</f>
        <v>0.25</v>
      </c>
      <c r="W4721" s="0" t="n">
        <f aca="false">H4721*H4721</f>
        <v>1</v>
      </c>
      <c r="X4721" s="0" t="n">
        <f aca="false">SUMPRODUCT(I4721:W4721,_XtX!$B$96:$P$96)</f>
        <v>47.0585160818713</v>
      </c>
      <c r="Y4721" s="0" t="n">
        <f aca="false">SUMPRODUCT(MMULT(I4721:W4721,_XtX!$B$78:$P$92),I4721:W4721)</f>
        <v>0.441954495614035</v>
      </c>
      <c r="Z4721" s="0" t="n">
        <f aca="false">04_回帰ANOVA!$K$19*04_回帰ANOVA!$K$14*SQRT(1+Y4721)</f>
        <v>1.56521560968066</v>
      </c>
      <c r="AA4721" s="0" t="n">
        <f aca="false">X4721-Z4721</f>
        <v>45.4933004721907</v>
      </c>
      <c r="AB4721" s="0" t="n">
        <f aca="false">X4721+Z4721</f>
        <v>48.623731691552</v>
      </c>
      <c r="AC4721" s="54" t="b">
        <f aca="false">AND(E4721&gt;=01_因子設定!$L$5-0.000000001,E4721&lt;=01_因子設定!$M$5+0.000000001,F4721&gt;=01_因子設定!$L$6-0.000000001,F4721&lt;=01_因子設定!$M$6+0.000000001,G4721&gt;=01_因子設定!$L$7-0.000000001,G4721&lt;=01_因子設定!$M$7+0.000000001,H4721&gt;=01_因子設定!$L$8-0.000000001,H4721&lt;=01_因子設定!$M$8+0.000000001,IF(01_因子設定!$B$20="Box-Behnken",E4721^2+F4721^2+G4721^2+H4721^2&lt;=2+0.000000001,TRUE()))</f>
        <v>1</v>
      </c>
      <c r="AD4721" s="55" t="n">
        <f aca="false">IF(AC4721,IF(01_因子設定!$B$13="最大化",AA4721-01_因子設定!$B$14,IF(01_因子設定!$B$13="最小化",01_因子設定!$B$15-AB4721,MIN(AA4721-01_因子設定!$B$14,01_因子設定!$B$15-AB4721))),-1E+030)</f>
        <v>-1.00669952780932</v>
      </c>
      <c r="AE4721" s="55" t="n">
        <f aca="false">IF(AC4721,IF(01_因子設定!$B$13="最大化",X4721,IF(01_因子設定!$B$13="最小化",-X4721,-ABS(X4721-01_因子設定!$B$16))),-1E+030)</f>
        <v>47.0585160818713</v>
      </c>
      <c r="AF4721" s="55" t="n">
        <f aca="false">AD4721+ROW()*0.000000001</f>
        <v>-1.00669480680932</v>
      </c>
      <c r="AG4721" s="55" t="n">
        <f aca="false">AE4721+ROW()*0.000000001</f>
        <v>47.0585208028713</v>
      </c>
    </row>
    <row r="4722" customFormat="false" ht="15" hidden="false" customHeight="false" outlineLevel="0" collapsed="false">
      <c r="A4722" s="0" t="n">
        <v>6</v>
      </c>
      <c r="B4722" s="0" t="n">
        <v>4</v>
      </c>
      <c r="C4722" s="0" t="n">
        <v>2</v>
      </c>
      <c r="D4722" s="0" t="n">
        <v>1</v>
      </c>
      <c r="E4722" s="0" t="n">
        <f aca="false">-1+A4722*0.25</f>
        <v>0.5</v>
      </c>
      <c r="F4722" s="0" t="n">
        <f aca="false">-1+B4722*0.25</f>
        <v>0</v>
      </c>
      <c r="G4722" s="0" t="n">
        <f aca="false">-1+C4722*0.25</f>
        <v>-0.5</v>
      </c>
      <c r="H4722" s="0" t="n">
        <f aca="false">-1+D4722*0.25</f>
        <v>-0.75</v>
      </c>
      <c r="I4722" s="0" t="n">
        <f aca="false">1</f>
        <v>1</v>
      </c>
      <c r="J4722" s="0" t="n">
        <f aca="false">E4722</f>
        <v>0.5</v>
      </c>
      <c r="K4722" s="0" t="n">
        <f aca="false">F4722</f>
        <v>0</v>
      </c>
      <c r="L4722" s="0" t="n">
        <f aca="false">G4722</f>
        <v>-0.5</v>
      </c>
      <c r="M4722" s="0" t="n">
        <f aca="false">H4722</f>
        <v>-0.75</v>
      </c>
      <c r="N4722" s="0" t="n">
        <f aca="false">E4722*F4722</f>
        <v>0</v>
      </c>
      <c r="O4722" s="0" t="n">
        <f aca="false">E4722*G4722</f>
        <v>-0.25</v>
      </c>
      <c r="P4722" s="0" t="n">
        <f aca="false">E4722*H4722</f>
        <v>-0.375</v>
      </c>
      <c r="Q4722" s="0" t="n">
        <f aca="false">F4722*G4722</f>
        <v>-0</v>
      </c>
      <c r="R4722" s="0" t="n">
        <f aca="false">F4722*H4722</f>
        <v>-0</v>
      </c>
      <c r="S4722" s="0" t="n">
        <f aca="false">G4722*H4722</f>
        <v>0.375</v>
      </c>
      <c r="T4722" s="0" t="n">
        <f aca="false">E4722*E4722</f>
        <v>0.25</v>
      </c>
      <c r="U4722" s="0" t="n">
        <f aca="false">F4722*F4722</f>
        <v>0</v>
      </c>
      <c r="V4722" s="0" t="n">
        <f aca="false">G4722*G4722</f>
        <v>0.25</v>
      </c>
      <c r="W4722" s="0" t="n">
        <f aca="false">H4722*H4722</f>
        <v>0.5625</v>
      </c>
      <c r="X4722" s="0" t="n">
        <f aca="false">SUMPRODUCT(I4722:W4722,_XtX!$B$96:$P$96)</f>
        <v>47.3069170321637</v>
      </c>
      <c r="Y4722" s="0" t="n">
        <f aca="false">SUMPRODUCT(MMULT(I4722:W4722,_XtX!$B$78:$P$92),I4722:W4722)</f>
        <v>0.21305052997076</v>
      </c>
      <c r="Z4722" s="0" t="n">
        <f aca="false">04_回帰ANOVA!$K$19*04_回帰ANOVA!$K$14*SQRT(1+Y4722)</f>
        <v>1.43561450835061</v>
      </c>
      <c r="AA4722" s="0" t="n">
        <f aca="false">X4722-Z4722</f>
        <v>45.8713025238131</v>
      </c>
      <c r="AB4722" s="0" t="n">
        <f aca="false">X4722+Z4722</f>
        <v>48.7425315405143</v>
      </c>
      <c r="AC4722" s="54" t="b">
        <f aca="false">AND(E4722&gt;=01_因子設定!$L$5-0.000000001,E4722&lt;=01_因子設定!$M$5+0.000000001,F4722&gt;=01_因子設定!$L$6-0.000000001,F4722&lt;=01_因子設定!$M$6+0.000000001,G4722&gt;=01_因子設定!$L$7-0.000000001,G4722&lt;=01_因子設定!$M$7+0.000000001,H4722&gt;=01_因子設定!$L$8-0.000000001,H4722&lt;=01_因子設定!$M$8+0.000000001,IF(01_因子設定!$B$20="Box-Behnken",E4722^2+F4722^2+G4722^2+H4722^2&lt;=2+0.000000001,TRUE()))</f>
        <v>1</v>
      </c>
      <c r="AD4722" s="55" t="n">
        <f aca="false">IF(AC4722,IF(01_因子設定!$B$13="最大化",AA4722-01_因子設定!$B$14,IF(01_因子設定!$B$13="最小化",01_因子設定!$B$15-AB4722,MIN(AA4722-01_因子設定!$B$14,01_因子設定!$B$15-AB4722))),-1E+030)</f>
        <v>-0.628697476186879</v>
      </c>
      <c r="AE4722" s="55" t="n">
        <f aca="false">IF(AC4722,IF(01_因子設定!$B$13="最大化",X4722,IF(01_因子設定!$B$13="最小化",-X4722,-ABS(X4722-01_因子設定!$B$16))),-1E+030)</f>
        <v>47.3069170321637</v>
      </c>
      <c r="AF4722" s="55" t="n">
        <f aca="false">AD4722+ROW()*0.000000001</f>
        <v>-0.628692754186879</v>
      </c>
      <c r="AG4722" s="55" t="n">
        <f aca="false">AE4722+ROW()*0.000000001</f>
        <v>47.3069217541637</v>
      </c>
    </row>
    <row r="4723" customFormat="false" ht="15" hidden="false" customHeight="false" outlineLevel="0" collapsed="false">
      <c r="A4723" s="0" t="n">
        <v>6</v>
      </c>
      <c r="B4723" s="0" t="n">
        <v>4</v>
      </c>
      <c r="C4723" s="0" t="n">
        <v>2</v>
      </c>
      <c r="D4723" s="0" t="n">
        <v>2</v>
      </c>
      <c r="E4723" s="0" t="n">
        <f aca="false">-1+A4723*0.25</f>
        <v>0.5</v>
      </c>
      <c r="F4723" s="0" t="n">
        <f aca="false">-1+B4723*0.25</f>
        <v>0</v>
      </c>
      <c r="G4723" s="0" t="n">
        <f aca="false">-1+C4723*0.25</f>
        <v>-0.5</v>
      </c>
      <c r="H4723" s="0" t="n">
        <f aca="false">-1+D4723*0.25</f>
        <v>-0.5</v>
      </c>
      <c r="I4723" s="0" t="n">
        <f aca="false">1</f>
        <v>1</v>
      </c>
      <c r="J4723" s="0" t="n">
        <f aca="false">E4723</f>
        <v>0.5</v>
      </c>
      <c r="K4723" s="0" t="n">
        <f aca="false">F4723</f>
        <v>0</v>
      </c>
      <c r="L4723" s="0" t="n">
        <f aca="false">G4723</f>
        <v>-0.5</v>
      </c>
      <c r="M4723" s="0" t="n">
        <f aca="false">H4723</f>
        <v>-0.5</v>
      </c>
      <c r="N4723" s="0" t="n">
        <f aca="false">E4723*F4723</f>
        <v>0</v>
      </c>
      <c r="O4723" s="0" t="n">
        <f aca="false">E4723*G4723</f>
        <v>-0.25</v>
      </c>
      <c r="P4723" s="0" t="n">
        <f aca="false">E4723*H4723</f>
        <v>-0.25</v>
      </c>
      <c r="Q4723" s="0" t="n">
        <f aca="false">F4723*G4723</f>
        <v>-0</v>
      </c>
      <c r="R4723" s="0" t="n">
        <f aca="false">F4723*H4723</f>
        <v>-0</v>
      </c>
      <c r="S4723" s="0" t="n">
        <f aca="false">G4723*H4723</f>
        <v>0.25</v>
      </c>
      <c r="T4723" s="0" t="n">
        <f aca="false">E4723*E4723</f>
        <v>0.25</v>
      </c>
      <c r="U4723" s="0" t="n">
        <f aca="false">F4723*F4723</f>
        <v>0</v>
      </c>
      <c r="V4723" s="0" t="n">
        <f aca="false">G4723*G4723</f>
        <v>0.25</v>
      </c>
      <c r="W4723" s="0" t="n">
        <f aca="false">H4723*H4723</f>
        <v>0.25</v>
      </c>
      <c r="X4723" s="0" t="n">
        <f aca="false">SUMPRODUCT(I4723:W4723,_XtX!$B$96:$P$96)</f>
        <v>47.5075109649123</v>
      </c>
      <c r="Y4723" s="0" t="n">
        <f aca="false">SUMPRODUCT(MMULT(I4723:W4723,_XtX!$B$78:$P$92),I4723:W4723)</f>
        <v>0.140008223684211</v>
      </c>
      <c r="Z4723" s="0" t="n">
        <f aca="false">04_回帰ANOVA!$K$19*04_回帰ANOVA!$K$14*SQRT(1+Y4723)</f>
        <v>1.39172165492264</v>
      </c>
      <c r="AA4723" s="0" t="n">
        <f aca="false">X4723-Z4723</f>
        <v>46.1157893099896</v>
      </c>
      <c r="AB4723" s="0" t="n">
        <f aca="false">X4723+Z4723</f>
        <v>48.8992326198349</v>
      </c>
      <c r="AC4723" s="54" t="b">
        <f aca="false">AND(E4723&gt;=01_因子設定!$L$5-0.000000001,E4723&lt;=01_因子設定!$M$5+0.000000001,F4723&gt;=01_因子設定!$L$6-0.000000001,F4723&lt;=01_因子設定!$M$6+0.000000001,G4723&gt;=01_因子設定!$L$7-0.000000001,G4723&lt;=01_因子設定!$M$7+0.000000001,H4723&gt;=01_因子設定!$L$8-0.000000001,H4723&lt;=01_因子設定!$M$8+0.000000001,IF(01_因子設定!$B$20="Box-Behnken",E4723^2+F4723^2+G4723^2+H4723^2&lt;=2+0.000000001,TRUE()))</f>
        <v>1</v>
      </c>
      <c r="AD4723" s="55" t="n">
        <f aca="false">IF(AC4723,IF(01_因子設定!$B$13="最大化",AA4723-01_因子設定!$B$14,IF(01_因子設定!$B$13="最小化",01_因子設定!$B$15-AB4723,MIN(AA4723-01_因子設定!$B$14,01_因子設定!$B$15-AB4723))),-1E+030)</f>
        <v>-0.384210690010384</v>
      </c>
      <c r="AE4723" s="55" t="n">
        <f aca="false">IF(AC4723,IF(01_因子設定!$B$13="最大化",X4723,IF(01_因子設定!$B$13="最小化",-X4723,-ABS(X4723-01_因子設定!$B$16))),-1E+030)</f>
        <v>47.5075109649123</v>
      </c>
      <c r="AF4723" s="55" t="n">
        <f aca="false">AD4723+ROW()*0.000000001</f>
        <v>-0.384205967010384</v>
      </c>
      <c r="AG4723" s="55" t="n">
        <f aca="false">AE4723+ROW()*0.000000001</f>
        <v>47.5075156879123</v>
      </c>
    </row>
    <row r="4724" customFormat="false" ht="15" hidden="false" customHeight="false" outlineLevel="0" collapsed="false">
      <c r="A4724" s="0" t="n">
        <v>6</v>
      </c>
      <c r="B4724" s="0" t="n">
        <v>4</v>
      </c>
      <c r="C4724" s="0" t="n">
        <v>2</v>
      </c>
      <c r="D4724" s="0" t="n">
        <v>3</v>
      </c>
      <c r="E4724" s="0" t="n">
        <f aca="false">-1+A4724*0.25</f>
        <v>0.5</v>
      </c>
      <c r="F4724" s="0" t="n">
        <f aca="false">-1+B4724*0.25</f>
        <v>0</v>
      </c>
      <c r="G4724" s="0" t="n">
        <f aca="false">-1+C4724*0.25</f>
        <v>-0.5</v>
      </c>
      <c r="H4724" s="0" t="n">
        <f aca="false">-1+D4724*0.25</f>
        <v>-0.25</v>
      </c>
      <c r="I4724" s="0" t="n">
        <f aca="false">1</f>
        <v>1</v>
      </c>
      <c r="J4724" s="0" t="n">
        <f aca="false">E4724</f>
        <v>0.5</v>
      </c>
      <c r="K4724" s="0" t="n">
        <f aca="false">F4724</f>
        <v>0</v>
      </c>
      <c r="L4724" s="0" t="n">
        <f aca="false">G4724</f>
        <v>-0.5</v>
      </c>
      <c r="M4724" s="0" t="n">
        <f aca="false">H4724</f>
        <v>-0.25</v>
      </c>
      <c r="N4724" s="0" t="n">
        <f aca="false">E4724*F4724</f>
        <v>0</v>
      </c>
      <c r="O4724" s="0" t="n">
        <f aca="false">E4724*G4724</f>
        <v>-0.25</v>
      </c>
      <c r="P4724" s="0" t="n">
        <f aca="false">E4724*H4724</f>
        <v>-0.125</v>
      </c>
      <c r="Q4724" s="0" t="n">
        <f aca="false">F4724*G4724</f>
        <v>-0</v>
      </c>
      <c r="R4724" s="0" t="n">
        <f aca="false">F4724*H4724</f>
        <v>-0</v>
      </c>
      <c r="S4724" s="0" t="n">
        <f aca="false">G4724*H4724</f>
        <v>0.125</v>
      </c>
      <c r="T4724" s="0" t="n">
        <f aca="false">E4724*E4724</f>
        <v>0.25</v>
      </c>
      <c r="U4724" s="0" t="n">
        <f aca="false">F4724*F4724</f>
        <v>0</v>
      </c>
      <c r="V4724" s="0" t="n">
        <f aca="false">G4724*G4724</f>
        <v>0.25</v>
      </c>
      <c r="W4724" s="0" t="n">
        <f aca="false">H4724*H4724</f>
        <v>0.0625</v>
      </c>
      <c r="X4724" s="0" t="n">
        <f aca="false">SUMPRODUCT(I4724:W4724,_XtX!$B$96:$P$96)</f>
        <v>47.6602978801169</v>
      </c>
      <c r="Y4724" s="0" t="n">
        <f aca="false">SUMPRODUCT(MMULT(I4724:W4724,_XtX!$B$78:$P$92),I4724:W4724)</f>
        <v>0.132367050438597</v>
      </c>
      <c r="Z4724" s="0" t="n">
        <f aca="false">04_回帰ANOVA!$K$19*04_回帰ANOVA!$K$14*SQRT(1+Y4724)</f>
        <v>1.38704964208329</v>
      </c>
      <c r="AA4724" s="0" t="n">
        <f aca="false">X4724-Z4724</f>
        <v>46.2732482380336</v>
      </c>
      <c r="AB4724" s="0" t="n">
        <f aca="false">X4724+Z4724</f>
        <v>49.0473475222002</v>
      </c>
      <c r="AC4724" s="54" t="b">
        <f aca="false">AND(E4724&gt;=01_因子設定!$L$5-0.000000001,E4724&lt;=01_因子設定!$M$5+0.000000001,F4724&gt;=01_因子設定!$L$6-0.000000001,F4724&lt;=01_因子設定!$M$6+0.000000001,G4724&gt;=01_因子設定!$L$7-0.000000001,G4724&lt;=01_因子設定!$M$7+0.000000001,H4724&gt;=01_因子設定!$L$8-0.000000001,H4724&lt;=01_因子設定!$M$8+0.000000001,IF(01_因子設定!$B$20="Box-Behnken",E4724^2+F4724^2+G4724^2+H4724^2&lt;=2+0.000000001,TRUE()))</f>
        <v>1</v>
      </c>
      <c r="AD4724" s="55" t="n">
        <f aca="false">IF(AC4724,IF(01_因子設定!$B$13="最大化",AA4724-01_因子設定!$B$14,IF(01_因子設定!$B$13="最小化",01_因子設定!$B$15-AB4724,MIN(AA4724-01_因子設定!$B$14,01_因子設定!$B$15-AB4724))),-1E+030)</f>
        <v>-0.226751761966369</v>
      </c>
      <c r="AE4724" s="55" t="n">
        <f aca="false">IF(AC4724,IF(01_因子設定!$B$13="最大化",X4724,IF(01_因子設定!$B$13="最小化",-X4724,-ABS(X4724-01_因子設定!$B$16))),-1E+030)</f>
        <v>47.6602978801169</v>
      </c>
      <c r="AF4724" s="55" t="n">
        <f aca="false">AD4724+ROW()*0.000000001</f>
        <v>-0.226747037966369</v>
      </c>
      <c r="AG4724" s="55" t="n">
        <f aca="false">AE4724+ROW()*0.000000001</f>
        <v>47.6603026041169</v>
      </c>
    </row>
    <row r="4725" customFormat="false" ht="15" hidden="false" customHeight="false" outlineLevel="0" collapsed="false">
      <c r="A4725" s="0" t="n">
        <v>6</v>
      </c>
      <c r="B4725" s="0" t="n">
        <v>4</v>
      </c>
      <c r="C4725" s="0" t="n">
        <v>2</v>
      </c>
      <c r="D4725" s="0" t="n">
        <v>4</v>
      </c>
      <c r="E4725" s="0" t="n">
        <f aca="false">-1+A4725*0.25</f>
        <v>0.5</v>
      </c>
      <c r="F4725" s="0" t="n">
        <f aca="false">-1+B4725*0.25</f>
        <v>0</v>
      </c>
      <c r="G4725" s="0" t="n">
        <f aca="false">-1+C4725*0.25</f>
        <v>-0.5</v>
      </c>
      <c r="H4725" s="0" t="n">
        <f aca="false">-1+D4725*0.25</f>
        <v>0</v>
      </c>
      <c r="I4725" s="0" t="n">
        <f aca="false">1</f>
        <v>1</v>
      </c>
      <c r="J4725" s="0" t="n">
        <f aca="false">E4725</f>
        <v>0.5</v>
      </c>
      <c r="K4725" s="0" t="n">
        <f aca="false">F4725</f>
        <v>0</v>
      </c>
      <c r="L4725" s="0" t="n">
        <f aca="false">G4725</f>
        <v>-0.5</v>
      </c>
      <c r="M4725" s="0" t="n">
        <f aca="false">H4725</f>
        <v>0</v>
      </c>
      <c r="N4725" s="0" t="n">
        <f aca="false">E4725*F4725</f>
        <v>0</v>
      </c>
      <c r="O4725" s="0" t="n">
        <f aca="false">E4725*G4725</f>
        <v>-0.25</v>
      </c>
      <c r="P4725" s="0" t="n">
        <f aca="false">E4725*H4725</f>
        <v>0</v>
      </c>
      <c r="Q4725" s="0" t="n">
        <f aca="false">F4725*G4725</f>
        <v>-0</v>
      </c>
      <c r="R4725" s="0" t="n">
        <f aca="false">F4725*H4725</f>
        <v>0</v>
      </c>
      <c r="S4725" s="0" t="n">
        <f aca="false">G4725*H4725</f>
        <v>-0</v>
      </c>
      <c r="T4725" s="0" t="n">
        <f aca="false">E4725*E4725</f>
        <v>0.25</v>
      </c>
      <c r="U4725" s="0" t="n">
        <f aca="false">F4725*F4725</f>
        <v>0</v>
      </c>
      <c r="V4725" s="0" t="n">
        <f aca="false">G4725*G4725</f>
        <v>0.25</v>
      </c>
      <c r="W4725" s="0" t="n">
        <f aca="false">H4725*H4725</f>
        <v>0</v>
      </c>
      <c r="X4725" s="0" t="n">
        <f aca="false">SUMPRODUCT(I4725:W4725,_XtX!$B$96:$P$96)</f>
        <v>47.7652777777777</v>
      </c>
      <c r="Y4725" s="0" t="n">
        <f aca="false">SUMPRODUCT(MMULT(I4725:W4725,_XtX!$B$78:$P$92),I4725:W4725)</f>
        <v>0.135850694444444</v>
      </c>
      <c r="Z4725" s="0" t="n">
        <f aca="false">04_回帰ANOVA!$K$19*04_回帰ANOVA!$K$14*SQRT(1+Y4725)</f>
        <v>1.38918158179389</v>
      </c>
      <c r="AA4725" s="0" t="n">
        <f aca="false">X4725-Z4725</f>
        <v>46.3760961959838</v>
      </c>
      <c r="AB4725" s="0" t="n">
        <f aca="false">X4725+Z4725</f>
        <v>49.1544593595716</v>
      </c>
      <c r="AC4725" s="54" t="b">
        <f aca="false">AND(E4725&gt;=01_因子設定!$L$5-0.000000001,E4725&lt;=01_因子設定!$M$5+0.000000001,F4725&gt;=01_因子設定!$L$6-0.000000001,F4725&lt;=01_因子設定!$M$6+0.000000001,G4725&gt;=01_因子設定!$L$7-0.000000001,G4725&lt;=01_因子設定!$M$7+0.000000001,H4725&gt;=01_因子設定!$L$8-0.000000001,H4725&lt;=01_因子設定!$M$8+0.000000001,IF(01_因子設定!$B$20="Box-Behnken",E4725^2+F4725^2+G4725^2+H4725^2&lt;=2+0.000000001,TRUE()))</f>
        <v>1</v>
      </c>
      <c r="AD4725" s="55" t="n">
        <f aca="false">IF(AC4725,IF(01_因子設定!$B$13="最大化",AA4725-01_因子設定!$B$14,IF(01_因子設定!$B$13="最小化",01_因子設定!$B$15-AB4725,MIN(AA4725-01_因子設定!$B$14,01_因子設定!$B$15-AB4725))),-1E+030)</f>
        <v>-0.123903804016159</v>
      </c>
      <c r="AE4725" s="55" t="n">
        <f aca="false">IF(AC4725,IF(01_因子設定!$B$13="最大化",X4725,IF(01_因子設定!$B$13="最小化",-X4725,-ABS(X4725-01_因子設定!$B$16))),-1E+030)</f>
        <v>47.7652777777777</v>
      </c>
      <c r="AF4725" s="55" t="n">
        <f aca="false">AD4725+ROW()*0.000000001</f>
        <v>-0.123899079016159</v>
      </c>
      <c r="AG4725" s="55" t="n">
        <f aca="false">AE4725+ROW()*0.000000001</f>
        <v>47.7652825027777</v>
      </c>
    </row>
    <row r="4726" customFormat="false" ht="15" hidden="false" customHeight="false" outlineLevel="0" collapsed="false">
      <c r="A4726" s="0" t="n">
        <v>6</v>
      </c>
      <c r="B4726" s="0" t="n">
        <v>4</v>
      </c>
      <c r="C4726" s="0" t="n">
        <v>2</v>
      </c>
      <c r="D4726" s="0" t="n">
        <v>5</v>
      </c>
      <c r="E4726" s="0" t="n">
        <f aca="false">-1+A4726*0.25</f>
        <v>0.5</v>
      </c>
      <c r="F4726" s="0" t="n">
        <f aca="false">-1+B4726*0.25</f>
        <v>0</v>
      </c>
      <c r="G4726" s="0" t="n">
        <f aca="false">-1+C4726*0.25</f>
        <v>-0.5</v>
      </c>
      <c r="H4726" s="0" t="n">
        <f aca="false">-1+D4726*0.25</f>
        <v>0.25</v>
      </c>
      <c r="I4726" s="0" t="n">
        <f aca="false">1</f>
        <v>1</v>
      </c>
      <c r="J4726" s="0" t="n">
        <f aca="false">E4726</f>
        <v>0.5</v>
      </c>
      <c r="K4726" s="0" t="n">
        <f aca="false">F4726</f>
        <v>0</v>
      </c>
      <c r="L4726" s="0" t="n">
        <f aca="false">G4726</f>
        <v>-0.5</v>
      </c>
      <c r="M4726" s="0" t="n">
        <f aca="false">H4726</f>
        <v>0.25</v>
      </c>
      <c r="N4726" s="0" t="n">
        <f aca="false">E4726*F4726</f>
        <v>0</v>
      </c>
      <c r="O4726" s="0" t="n">
        <f aca="false">E4726*G4726</f>
        <v>-0.25</v>
      </c>
      <c r="P4726" s="0" t="n">
        <f aca="false">E4726*H4726</f>
        <v>0.125</v>
      </c>
      <c r="Q4726" s="0" t="n">
        <f aca="false">F4726*G4726</f>
        <v>-0</v>
      </c>
      <c r="R4726" s="0" t="n">
        <f aca="false">F4726*H4726</f>
        <v>0</v>
      </c>
      <c r="S4726" s="0" t="n">
        <f aca="false">G4726*H4726</f>
        <v>-0.125</v>
      </c>
      <c r="T4726" s="0" t="n">
        <f aca="false">E4726*E4726</f>
        <v>0.25</v>
      </c>
      <c r="U4726" s="0" t="n">
        <f aca="false">F4726*F4726</f>
        <v>0</v>
      </c>
      <c r="V4726" s="0" t="n">
        <f aca="false">G4726*G4726</f>
        <v>0.25</v>
      </c>
      <c r="W4726" s="0" t="n">
        <f aca="false">H4726*H4726</f>
        <v>0.0625</v>
      </c>
      <c r="X4726" s="0" t="n">
        <f aca="false">SUMPRODUCT(I4726:W4726,_XtX!$B$96:$P$96)</f>
        <v>47.8224506578947</v>
      </c>
      <c r="Y4726" s="0" t="n">
        <f aca="false">SUMPRODUCT(MMULT(I4726:W4726,_XtX!$B$78:$P$92),I4726:W4726)</f>
        <v>0.132367050438597</v>
      </c>
      <c r="Z4726" s="0" t="n">
        <f aca="false">04_回帰ANOVA!$K$19*04_回帰ANOVA!$K$14*SQRT(1+Y4726)</f>
        <v>1.38704964208329</v>
      </c>
      <c r="AA4726" s="0" t="n">
        <f aca="false">X4726-Z4726</f>
        <v>46.4354010158114</v>
      </c>
      <c r="AB4726" s="0" t="n">
        <f aca="false">X4726+Z4726</f>
        <v>49.209500299978</v>
      </c>
      <c r="AC4726" s="54" t="b">
        <f aca="false">AND(E4726&gt;=01_因子設定!$L$5-0.000000001,E4726&lt;=01_因子設定!$M$5+0.000000001,F4726&gt;=01_因子設定!$L$6-0.000000001,F4726&lt;=01_因子設定!$M$6+0.000000001,G4726&gt;=01_因子設定!$L$7-0.000000001,G4726&lt;=01_因子設定!$M$7+0.000000001,H4726&gt;=01_因子設定!$L$8-0.000000001,H4726&lt;=01_因子設定!$M$8+0.000000001,IF(01_因子設定!$B$20="Box-Behnken",E4726^2+F4726^2+G4726^2+H4726^2&lt;=2+0.000000001,TRUE()))</f>
        <v>1</v>
      </c>
      <c r="AD4726" s="55" t="n">
        <f aca="false">IF(AC4726,IF(01_因子設定!$B$13="最大化",AA4726-01_因子設定!$B$14,IF(01_因子設定!$B$13="最小化",01_因子設定!$B$15-AB4726,MIN(AA4726-01_因子設定!$B$14,01_因子設定!$B$15-AB4726))),-1E+030)</f>
        <v>-0.0645989841885921</v>
      </c>
      <c r="AE4726" s="55" t="n">
        <f aca="false">IF(AC4726,IF(01_因子設定!$B$13="最大化",X4726,IF(01_因子設定!$B$13="最小化",-X4726,-ABS(X4726-01_因子設定!$B$16))),-1E+030)</f>
        <v>47.8224506578947</v>
      </c>
      <c r="AF4726" s="55" t="n">
        <f aca="false">AD4726+ROW()*0.000000001</f>
        <v>-0.0645942581885921</v>
      </c>
      <c r="AG4726" s="55" t="n">
        <f aca="false">AE4726+ROW()*0.000000001</f>
        <v>47.8224553838947</v>
      </c>
    </row>
    <row r="4727" customFormat="false" ht="15" hidden="false" customHeight="false" outlineLevel="0" collapsed="false">
      <c r="A4727" s="0" t="n">
        <v>6</v>
      </c>
      <c r="B4727" s="0" t="n">
        <v>4</v>
      </c>
      <c r="C4727" s="0" t="n">
        <v>2</v>
      </c>
      <c r="D4727" s="0" t="n">
        <v>6</v>
      </c>
      <c r="E4727" s="0" t="n">
        <f aca="false">-1+A4727*0.25</f>
        <v>0.5</v>
      </c>
      <c r="F4727" s="0" t="n">
        <f aca="false">-1+B4727*0.25</f>
        <v>0</v>
      </c>
      <c r="G4727" s="0" t="n">
        <f aca="false">-1+C4727*0.25</f>
        <v>-0.5</v>
      </c>
      <c r="H4727" s="0" t="n">
        <f aca="false">-1+D4727*0.25</f>
        <v>0.5</v>
      </c>
      <c r="I4727" s="0" t="n">
        <f aca="false">1</f>
        <v>1</v>
      </c>
      <c r="J4727" s="0" t="n">
        <f aca="false">E4727</f>
        <v>0.5</v>
      </c>
      <c r="K4727" s="0" t="n">
        <f aca="false">F4727</f>
        <v>0</v>
      </c>
      <c r="L4727" s="0" t="n">
        <f aca="false">G4727</f>
        <v>-0.5</v>
      </c>
      <c r="M4727" s="0" t="n">
        <f aca="false">H4727</f>
        <v>0.5</v>
      </c>
      <c r="N4727" s="0" t="n">
        <f aca="false">E4727*F4727</f>
        <v>0</v>
      </c>
      <c r="O4727" s="0" t="n">
        <f aca="false">E4727*G4727</f>
        <v>-0.25</v>
      </c>
      <c r="P4727" s="0" t="n">
        <f aca="false">E4727*H4727</f>
        <v>0.25</v>
      </c>
      <c r="Q4727" s="0" t="n">
        <f aca="false">F4727*G4727</f>
        <v>-0</v>
      </c>
      <c r="R4727" s="0" t="n">
        <f aca="false">F4727*H4727</f>
        <v>0</v>
      </c>
      <c r="S4727" s="0" t="n">
        <f aca="false">G4727*H4727</f>
        <v>-0.25</v>
      </c>
      <c r="T4727" s="0" t="n">
        <f aca="false">E4727*E4727</f>
        <v>0.25</v>
      </c>
      <c r="U4727" s="0" t="n">
        <f aca="false">F4727*F4727</f>
        <v>0</v>
      </c>
      <c r="V4727" s="0" t="n">
        <f aca="false">G4727*G4727</f>
        <v>0.25</v>
      </c>
      <c r="W4727" s="0" t="n">
        <f aca="false">H4727*H4727</f>
        <v>0.25</v>
      </c>
      <c r="X4727" s="0" t="n">
        <f aca="false">SUMPRODUCT(I4727:W4727,_XtX!$B$96:$P$96)</f>
        <v>47.8318165204678</v>
      </c>
      <c r="Y4727" s="0" t="n">
        <f aca="false">SUMPRODUCT(MMULT(I4727:W4727,_XtX!$B$78:$P$92),I4727:W4727)</f>
        <v>0.140008223684211</v>
      </c>
      <c r="Z4727" s="0" t="n">
        <f aca="false">04_回帰ANOVA!$K$19*04_回帰ANOVA!$K$14*SQRT(1+Y4727)</f>
        <v>1.39172165492264</v>
      </c>
      <c r="AA4727" s="0" t="n">
        <f aca="false">X4727-Z4727</f>
        <v>46.4400948655452</v>
      </c>
      <c r="AB4727" s="0" t="n">
        <f aca="false">X4727+Z4727</f>
        <v>49.2235381753904</v>
      </c>
      <c r="AC4727" s="54" t="b">
        <f aca="false">AND(E4727&gt;=01_因子設定!$L$5-0.000000001,E4727&lt;=01_因子設定!$M$5+0.000000001,F4727&gt;=01_因子設定!$L$6-0.000000001,F4727&lt;=01_因子設定!$M$6+0.000000001,G4727&gt;=01_因子設定!$L$7-0.000000001,G4727&lt;=01_因子設定!$M$7+0.000000001,H4727&gt;=01_因子設定!$L$8-0.000000001,H4727&lt;=01_因子設定!$M$8+0.000000001,IF(01_因子設定!$B$20="Box-Behnken",E4727^2+F4727^2+G4727^2+H4727^2&lt;=2+0.000000001,TRUE()))</f>
        <v>1</v>
      </c>
      <c r="AD4727" s="55" t="n">
        <f aca="false">IF(AC4727,IF(01_因子設定!$B$13="最大化",AA4727-01_因子設定!$B$14,IF(01_因子設定!$B$13="最小化",01_因子設定!$B$15-AB4727,MIN(AA4727-01_因子設定!$B$14,01_因子設定!$B$15-AB4727))),-1E+030)</f>
        <v>-0.05990513445483</v>
      </c>
      <c r="AE4727" s="55" t="n">
        <f aca="false">IF(AC4727,IF(01_因子設定!$B$13="最大化",X4727,IF(01_因子設定!$B$13="最小化",-X4727,-ABS(X4727-01_因子設定!$B$16))),-1E+030)</f>
        <v>47.8318165204678</v>
      </c>
      <c r="AF4727" s="55" t="n">
        <f aca="false">AD4727+ROW()*0.000000001</f>
        <v>-0.05990040745483</v>
      </c>
      <c r="AG4727" s="55" t="n">
        <f aca="false">AE4727+ROW()*0.000000001</f>
        <v>47.8318212474678</v>
      </c>
    </row>
    <row r="4728" customFormat="false" ht="15" hidden="false" customHeight="false" outlineLevel="0" collapsed="false">
      <c r="A4728" s="0" t="n">
        <v>6</v>
      </c>
      <c r="B4728" s="0" t="n">
        <v>4</v>
      </c>
      <c r="C4728" s="0" t="n">
        <v>2</v>
      </c>
      <c r="D4728" s="0" t="n">
        <v>7</v>
      </c>
      <c r="E4728" s="0" t="n">
        <f aca="false">-1+A4728*0.25</f>
        <v>0.5</v>
      </c>
      <c r="F4728" s="0" t="n">
        <f aca="false">-1+B4728*0.25</f>
        <v>0</v>
      </c>
      <c r="G4728" s="0" t="n">
        <f aca="false">-1+C4728*0.25</f>
        <v>-0.5</v>
      </c>
      <c r="H4728" s="0" t="n">
        <f aca="false">-1+D4728*0.25</f>
        <v>0.75</v>
      </c>
      <c r="I4728" s="0" t="n">
        <f aca="false">1</f>
        <v>1</v>
      </c>
      <c r="J4728" s="0" t="n">
        <f aca="false">E4728</f>
        <v>0.5</v>
      </c>
      <c r="K4728" s="0" t="n">
        <f aca="false">F4728</f>
        <v>0</v>
      </c>
      <c r="L4728" s="0" t="n">
        <f aca="false">G4728</f>
        <v>-0.5</v>
      </c>
      <c r="M4728" s="0" t="n">
        <f aca="false">H4728</f>
        <v>0.75</v>
      </c>
      <c r="N4728" s="0" t="n">
        <f aca="false">E4728*F4728</f>
        <v>0</v>
      </c>
      <c r="O4728" s="0" t="n">
        <f aca="false">E4728*G4728</f>
        <v>-0.25</v>
      </c>
      <c r="P4728" s="0" t="n">
        <f aca="false">E4728*H4728</f>
        <v>0.375</v>
      </c>
      <c r="Q4728" s="0" t="n">
        <f aca="false">F4728*G4728</f>
        <v>-0</v>
      </c>
      <c r="R4728" s="0" t="n">
        <f aca="false">F4728*H4728</f>
        <v>0</v>
      </c>
      <c r="S4728" s="0" t="n">
        <f aca="false">G4728*H4728</f>
        <v>-0.375</v>
      </c>
      <c r="T4728" s="0" t="n">
        <f aca="false">E4728*E4728</f>
        <v>0.25</v>
      </c>
      <c r="U4728" s="0" t="n">
        <f aca="false">F4728*F4728</f>
        <v>0</v>
      </c>
      <c r="V4728" s="0" t="n">
        <f aca="false">G4728*G4728</f>
        <v>0.25</v>
      </c>
      <c r="W4728" s="0" t="n">
        <f aca="false">H4728*H4728</f>
        <v>0.5625</v>
      </c>
      <c r="X4728" s="0" t="n">
        <f aca="false">SUMPRODUCT(I4728:W4728,_XtX!$B$96:$P$96)</f>
        <v>47.7933753654971</v>
      </c>
      <c r="Y4728" s="0" t="n">
        <f aca="false">SUMPRODUCT(MMULT(I4728:W4728,_XtX!$B$78:$P$92),I4728:W4728)</f>
        <v>0.21305052997076</v>
      </c>
      <c r="Z4728" s="0" t="n">
        <f aca="false">04_回帰ANOVA!$K$19*04_回帰ANOVA!$K$14*SQRT(1+Y4728)</f>
        <v>1.43561450835061</v>
      </c>
      <c r="AA4728" s="0" t="n">
        <f aca="false">X4728-Z4728</f>
        <v>46.3577608571465</v>
      </c>
      <c r="AB4728" s="0" t="n">
        <f aca="false">X4728+Z4728</f>
        <v>49.2289898738477</v>
      </c>
      <c r="AC4728" s="54" t="b">
        <f aca="false">AND(E4728&gt;=01_因子設定!$L$5-0.000000001,E4728&lt;=01_因子設定!$M$5+0.000000001,F4728&gt;=01_因子設定!$L$6-0.000000001,F4728&lt;=01_因子設定!$M$6+0.000000001,G4728&gt;=01_因子設定!$L$7-0.000000001,G4728&lt;=01_因子設定!$M$7+0.000000001,H4728&gt;=01_因子設定!$L$8-0.000000001,H4728&lt;=01_因子設定!$M$8+0.000000001,IF(01_因子設定!$B$20="Box-Behnken",E4728^2+F4728^2+G4728^2+H4728^2&lt;=2+0.000000001,TRUE()))</f>
        <v>1</v>
      </c>
      <c r="AD4728" s="55" t="n">
        <f aca="false">IF(AC4728,IF(01_因子設定!$B$13="最大化",AA4728-01_因子設定!$B$14,IF(01_因子設定!$B$13="最小化",01_因子設定!$B$15-AB4728,MIN(AA4728-01_因子設定!$B$14,01_因子設定!$B$15-AB4728))),-1E+030)</f>
        <v>-0.142239142853548</v>
      </c>
      <c r="AE4728" s="55" t="n">
        <f aca="false">IF(AC4728,IF(01_因子設定!$B$13="最大化",X4728,IF(01_因子設定!$B$13="最小化",-X4728,-ABS(X4728-01_因子設定!$B$16))),-1E+030)</f>
        <v>47.7933753654971</v>
      </c>
      <c r="AF4728" s="55" t="n">
        <f aca="false">AD4728+ROW()*0.000000001</f>
        <v>-0.142234414853548</v>
      </c>
      <c r="AG4728" s="55" t="n">
        <f aca="false">AE4728+ROW()*0.000000001</f>
        <v>47.7933800934971</v>
      </c>
    </row>
    <row r="4729" customFormat="false" ht="15" hidden="false" customHeight="false" outlineLevel="0" collapsed="false">
      <c r="A4729" s="0" t="n">
        <v>6</v>
      </c>
      <c r="B4729" s="0" t="n">
        <v>4</v>
      </c>
      <c r="C4729" s="0" t="n">
        <v>2</v>
      </c>
      <c r="D4729" s="0" t="n">
        <v>8</v>
      </c>
      <c r="E4729" s="0" t="n">
        <f aca="false">-1+A4729*0.25</f>
        <v>0.5</v>
      </c>
      <c r="F4729" s="0" t="n">
        <f aca="false">-1+B4729*0.25</f>
        <v>0</v>
      </c>
      <c r="G4729" s="0" t="n">
        <f aca="false">-1+C4729*0.25</f>
        <v>-0.5</v>
      </c>
      <c r="H4729" s="0" t="n">
        <f aca="false">-1+D4729*0.25</f>
        <v>1</v>
      </c>
      <c r="I4729" s="0" t="n">
        <f aca="false">1</f>
        <v>1</v>
      </c>
      <c r="J4729" s="0" t="n">
        <f aca="false">E4729</f>
        <v>0.5</v>
      </c>
      <c r="K4729" s="0" t="n">
        <f aca="false">F4729</f>
        <v>0</v>
      </c>
      <c r="L4729" s="0" t="n">
        <f aca="false">G4729</f>
        <v>-0.5</v>
      </c>
      <c r="M4729" s="0" t="n">
        <f aca="false">H4729</f>
        <v>1</v>
      </c>
      <c r="N4729" s="0" t="n">
        <f aca="false">E4729*F4729</f>
        <v>0</v>
      </c>
      <c r="O4729" s="0" t="n">
        <f aca="false">E4729*G4729</f>
        <v>-0.25</v>
      </c>
      <c r="P4729" s="0" t="n">
        <f aca="false">E4729*H4729</f>
        <v>0.5</v>
      </c>
      <c r="Q4729" s="0" t="n">
        <f aca="false">F4729*G4729</f>
        <v>-0</v>
      </c>
      <c r="R4729" s="0" t="n">
        <f aca="false">F4729*H4729</f>
        <v>0</v>
      </c>
      <c r="S4729" s="0" t="n">
        <f aca="false">G4729*H4729</f>
        <v>-0.5</v>
      </c>
      <c r="T4729" s="0" t="n">
        <f aca="false">E4729*E4729</f>
        <v>0.25</v>
      </c>
      <c r="U4729" s="0" t="n">
        <f aca="false">F4729*F4729</f>
        <v>0</v>
      </c>
      <c r="V4729" s="0" t="n">
        <f aca="false">G4729*G4729</f>
        <v>0.25</v>
      </c>
      <c r="W4729" s="0" t="n">
        <f aca="false">H4729*H4729</f>
        <v>1</v>
      </c>
      <c r="X4729" s="0" t="n">
        <f aca="false">SUMPRODUCT(I4729:W4729,_XtX!$B$96:$P$96)</f>
        <v>47.7071271929825</v>
      </c>
      <c r="Y4729" s="0" t="n">
        <f aca="false">SUMPRODUCT(MMULT(I4729:W4729,_XtX!$B$78:$P$92),I4729:W4729)</f>
        <v>0.441954495614035</v>
      </c>
      <c r="Z4729" s="0" t="n">
        <f aca="false">04_回帰ANOVA!$K$19*04_回帰ANOVA!$K$14*SQRT(1+Y4729)</f>
        <v>1.56521560968066</v>
      </c>
      <c r="AA4729" s="0" t="n">
        <f aca="false">X4729-Z4729</f>
        <v>46.1419115833018</v>
      </c>
      <c r="AB4729" s="0" t="n">
        <f aca="false">X4729+Z4729</f>
        <v>49.2723428026631</v>
      </c>
      <c r="AC4729" s="54" t="b">
        <f aca="false">AND(E4729&gt;=01_因子設定!$L$5-0.000000001,E4729&lt;=01_因子設定!$M$5+0.000000001,F4729&gt;=01_因子設定!$L$6-0.000000001,F4729&lt;=01_因子設定!$M$6+0.000000001,G4729&gt;=01_因子設定!$L$7-0.000000001,G4729&lt;=01_因子設定!$M$7+0.000000001,H4729&gt;=01_因子設定!$L$8-0.000000001,H4729&lt;=01_因子設定!$M$8+0.000000001,IF(01_因子設定!$B$20="Box-Behnken",E4729^2+F4729^2+G4729^2+H4729^2&lt;=2+0.000000001,TRUE()))</f>
        <v>1</v>
      </c>
      <c r="AD4729" s="55" t="n">
        <f aca="false">IF(AC4729,IF(01_因子設定!$B$13="最大化",AA4729-01_因子設定!$B$14,IF(01_因子設定!$B$13="最小化",01_因子設定!$B$15-AB4729,MIN(AA4729-01_因子設定!$B$14,01_因子設定!$B$15-AB4729))),-1E+030)</f>
        <v>-0.358088416698216</v>
      </c>
      <c r="AE4729" s="55" t="n">
        <f aca="false">IF(AC4729,IF(01_因子設定!$B$13="最大化",X4729,IF(01_因子設定!$B$13="最小化",-X4729,-ABS(X4729-01_因子設定!$B$16))),-1E+030)</f>
        <v>47.7071271929825</v>
      </c>
      <c r="AF4729" s="55" t="n">
        <f aca="false">AD4729+ROW()*0.000000001</f>
        <v>-0.358083687698216</v>
      </c>
      <c r="AG4729" s="55" t="n">
        <f aca="false">AE4729+ROW()*0.000000001</f>
        <v>47.7071319219824</v>
      </c>
    </row>
    <row r="4730" customFormat="false" ht="15" hidden="false" customHeight="false" outlineLevel="0" collapsed="false">
      <c r="A4730" s="0" t="n">
        <v>6</v>
      </c>
      <c r="B4730" s="0" t="n">
        <v>4</v>
      </c>
      <c r="C4730" s="0" t="n">
        <v>3</v>
      </c>
      <c r="D4730" s="0" t="n">
        <v>0</v>
      </c>
      <c r="E4730" s="0" t="n">
        <f aca="false">-1+A4730*0.25</f>
        <v>0.5</v>
      </c>
      <c r="F4730" s="0" t="n">
        <f aca="false">-1+B4730*0.25</f>
        <v>0</v>
      </c>
      <c r="G4730" s="0" t="n">
        <f aca="false">-1+C4730*0.25</f>
        <v>-0.25</v>
      </c>
      <c r="H4730" s="0" t="n">
        <f aca="false">-1+D4730*0.25</f>
        <v>-1</v>
      </c>
      <c r="I4730" s="0" t="n">
        <f aca="false">1</f>
        <v>1</v>
      </c>
      <c r="J4730" s="0" t="n">
        <f aca="false">E4730</f>
        <v>0.5</v>
      </c>
      <c r="K4730" s="0" t="n">
        <f aca="false">F4730</f>
        <v>0</v>
      </c>
      <c r="L4730" s="0" t="n">
        <f aca="false">G4730</f>
        <v>-0.25</v>
      </c>
      <c r="M4730" s="0" t="n">
        <f aca="false">H4730</f>
        <v>-1</v>
      </c>
      <c r="N4730" s="0" t="n">
        <f aca="false">E4730*F4730</f>
        <v>0</v>
      </c>
      <c r="O4730" s="0" t="n">
        <f aca="false">E4730*G4730</f>
        <v>-0.125</v>
      </c>
      <c r="P4730" s="0" t="n">
        <f aca="false">E4730*H4730</f>
        <v>-0.5</v>
      </c>
      <c r="Q4730" s="0" t="n">
        <f aca="false">F4730*G4730</f>
        <v>-0</v>
      </c>
      <c r="R4730" s="0" t="n">
        <f aca="false">F4730*H4730</f>
        <v>-0</v>
      </c>
      <c r="S4730" s="0" t="n">
        <f aca="false">G4730*H4730</f>
        <v>0.25</v>
      </c>
      <c r="T4730" s="0" t="n">
        <f aca="false">E4730*E4730</f>
        <v>0.25</v>
      </c>
      <c r="U4730" s="0" t="n">
        <f aca="false">F4730*F4730</f>
        <v>0</v>
      </c>
      <c r="V4730" s="0" t="n">
        <f aca="false">G4730*G4730</f>
        <v>0.0625</v>
      </c>
      <c r="W4730" s="0" t="n">
        <f aca="false">H4730*H4730</f>
        <v>1</v>
      </c>
      <c r="X4730" s="0" t="n">
        <f aca="false">SUMPRODUCT(I4730:W4730,_XtX!$B$96:$P$96)</f>
        <v>47.2791849415205</v>
      </c>
      <c r="Y4730" s="0" t="n">
        <f aca="false">SUMPRODUCT(MMULT(I4730:W4730,_XtX!$B$78:$P$92),I4730:W4730)</f>
        <v>0.457596628289474</v>
      </c>
      <c r="Z4730" s="0" t="n">
        <f aca="false">04_回帰ANOVA!$K$19*04_回帰ANOVA!$K$14*SQRT(1+Y4730)</f>
        <v>1.57368233664366</v>
      </c>
      <c r="AA4730" s="0" t="n">
        <f aca="false">X4730-Z4730</f>
        <v>45.7055026048768</v>
      </c>
      <c r="AB4730" s="0" t="n">
        <f aca="false">X4730+Z4730</f>
        <v>48.8528672781641</v>
      </c>
      <c r="AC4730" s="54" t="b">
        <f aca="false">AND(E4730&gt;=01_因子設定!$L$5-0.000000001,E4730&lt;=01_因子設定!$M$5+0.000000001,F4730&gt;=01_因子設定!$L$6-0.000000001,F4730&lt;=01_因子設定!$M$6+0.000000001,G4730&gt;=01_因子設定!$L$7-0.000000001,G4730&lt;=01_因子設定!$M$7+0.000000001,H4730&gt;=01_因子設定!$L$8-0.000000001,H4730&lt;=01_因子設定!$M$8+0.000000001,IF(01_因子設定!$B$20="Box-Behnken",E4730^2+F4730^2+G4730^2+H4730^2&lt;=2+0.000000001,TRUE()))</f>
        <v>1</v>
      </c>
      <c r="AD4730" s="55" t="n">
        <f aca="false">IF(AC4730,IF(01_因子設定!$B$13="最大化",AA4730-01_因子設定!$B$14,IF(01_因子設定!$B$13="最小化",01_因子設定!$B$15-AB4730,MIN(AA4730-01_因子設定!$B$14,01_因子設定!$B$15-AB4730))),-1E+030)</f>
        <v>-0.794497395123194</v>
      </c>
      <c r="AE4730" s="55" t="n">
        <f aca="false">IF(AC4730,IF(01_因子設定!$B$13="最大化",X4730,IF(01_因子設定!$B$13="最小化",-X4730,-ABS(X4730-01_因子設定!$B$16))),-1E+030)</f>
        <v>47.2791849415205</v>
      </c>
      <c r="AF4730" s="55" t="n">
        <f aca="false">AD4730+ROW()*0.000000001</f>
        <v>-0.794492665123194</v>
      </c>
      <c r="AG4730" s="55" t="n">
        <f aca="false">AE4730+ROW()*0.000000001</f>
        <v>47.2791896715205</v>
      </c>
    </row>
    <row r="4731" customFormat="false" ht="15" hidden="false" customHeight="false" outlineLevel="0" collapsed="false">
      <c r="A4731" s="0" t="n">
        <v>6</v>
      </c>
      <c r="B4731" s="0" t="n">
        <v>4</v>
      </c>
      <c r="C4731" s="0" t="n">
        <v>3</v>
      </c>
      <c r="D4731" s="0" t="n">
        <v>1</v>
      </c>
      <c r="E4731" s="0" t="n">
        <f aca="false">-1+A4731*0.25</f>
        <v>0.5</v>
      </c>
      <c r="F4731" s="0" t="n">
        <f aca="false">-1+B4731*0.25</f>
        <v>0</v>
      </c>
      <c r="G4731" s="0" t="n">
        <f aca="false">-1+C4731*0.25</f>
        <v>-0.25</v>
      </c>
      <c r="H4731" s="0" t="n">
        <f aca="false">-1+D4731*0.25</f>
        <v>-0.75</v>
      </c>
      <c r="I4731" s="0" t="n">
        <f aca="false">1</f>
        <v>1</v>
      </c>
      <c r="J4731" s="0" t="n">
        <f aca="false">E4731</f>
        <v>0.5</v>
      </c>
      <c r="K4731" s="0" t="n">
        <f aca="false">F4731</f>
        <v>0</v>
      </c>
      <c r="L4731" s="0" t="n">
        <f aca="false">G4731</f>
        <v>-0.25</v>
      </c>
      <c r="M4731" s="0" t="n">
        <f aca="false">H4731</f>
        <v>-0.75</v>
      </c>
      <c r="N4731" s="0" t="n">
        <f aca="false">E4731*F4731</f>
        <v>0</v>
      </c>
      <c r="O4731" s="0" t="n">
        <f aca="false">E4731*G4731</f>
        <v>-0.125</v>
      </c>
      <c r="P4731" s="0" t="n">
        <f aca="false">E4731*H4731</f>
        <v>-0.375</v>
      </c>
      <c r="Q4731" s="0" t="n">
        <f aca="false">F4731*G4731</f>
        <v>-0</v>
      </c>
      <c r="R4731" s="0" t="n">
        <f aca="false">F4731*H4731</f>
        <v>-0</v>
      </c>
      <c r="S4731" s="0" t="n">
        <f aca="false">G4731*H4731</f>
        <v>0.1875</v>
      </c>
      <c r="T4731" s="0" t="n">
        <f aca="false">E4731*E4731</f>
        <v>0.25</v>
      </c>
      <c r="U4731" s="0" t="n">
        <f aca="false">F4731*F4731</f>
        <v>0</v>
      </c>
      <c r="V4731" s="0" t="n">
        <f aca="false">G4731*G4731</f>
        <v>0.0625</v>
      </c>
      <c r="W4731" s="0" t="n">
        <f aca="false">H4731*H4731</f>
        <v>0.5625</v>
      </c>
      <c r="X4731" s="0" t="n">
        <f aca="false">SUMPRODUCT(I4731:W4731,_XtX!$B$96:$P$96)</f>
        <v>47.5455546418128</v>
      </c>
      <c r="Y4731" s="0" t="n">
        <f aca="false">SUMPRODUCT(MMULT(I4731:W4731,_XtX!$B$78:$P$92),I4731:W4731)</f>
        <v>0.215110734192252</v>
      </c>
      <c r="Z4731" s="0" t="n">
        <f aca="false">04_回帰ANOVA!$K$19*04_回帰ANOVA!$K$14*SQRT(1+Y4731)</f>
        <v>1.43683309086864</v>
      </c>
      <c r="AA4731" s="0" t="n">
        <f aca="false">X4731-Z4731</f>
        <v>46.1087215509442</v>
      </c>
      <c r="AB4731" s="0" t="n">
        <f aca="false">X4731+Z4731</f>
        <v>48.9823877326815</v>
      </c>
      <c r="AC4731" s="54" t="b">
        <f aca="false">AND(E4731&gt;=01_因子設定!$L$5-0.000000001,E4731&lt;=01_因子設定!$M$5+0.000000001,F4731&gt;=01_因子設定!$L$6-0.000000001,F4731&lt;=01_因子設定!$M$6+0.000000001,G4731&gt;=01_因子設定!$L$7-0.000000001,G4731&lt;=01_因子設定!$M$7+0.000000001,H4731&gt;=01_因子設定!$L$8-0.000000001,H4731&lt;=01_因子設定!$M$8+0.000000001,IF(01_因子設定!$B$20="Box-Behnken",E4731^2+F4731^2+G4731^2+H4731^2&lt;=2+0.000000001,TRUE()))</f>
        <v>1</v>
      </c>
      <c r="AD4731" s="55" t="n">
        <f aca="false">IF(AC4731,IF(01_因子設定!$B$13="最大化",AA4731-01_因子設定!$B$14,IF(01_因子設定!$B$13="最小化",01_因子設定!$B$15-AB4731,MIN(AA4731-01_因子設定!$B$14,01_因子設定!$B$15-AB4731))),-1E+030)</f>
        <v>-0.391278449055804</v>
      </c>
      <c r="AE4731" s="55" t="n">
        <f aca="false">IF(AC4731,IF(01_因子設定!$B$13="最大化",X4731,IF(01_因子設定!$B$13="最小化",-X4731,-ABS(X4731-01_因子設定!$B$16))),-1E+030)</f>
        <v>47.5455546418128</v>
      </c>
      <c r="AF4731" s="55" t="n">
        <f aca="false">AD4731+ROW()*0.000000001</f>
        <v>-0.391273718055804</v>
      </c>
      <c r="AG4731" s="55" t="n">
        <f aca="false">AE4731+ROW()*0.000000001</f>
        <v>47.5455593728128</v>
      </c>
    </row>
    <row r="4732" customFormat="false" ht="15" hidden="false" customHeight="false" outlineLevel="0" collapsed="false">
      <c r="A4732" s="0" t="n">
        <v>6</v>
      </c>
      <c r="B4732" s="0" t="n">
        <v>4</v>
      </c>
      <c r="C4732" s="0" t="n">
        <v>3</v>
      </c>
      <c r="D4732" s="0" t="n">
        <v>2</v>
      </c>
      <c r="E4732" s="0" t="n">
        <f aca="false">-1+A4732*0.25</f>
        <v>0.5</v>
      </c>
      <c r="F4732" s="0" t="n">
        <f aca="false">-1+B4732*0.25</f>
        <v>0</v>
      </c>
      <c r="G4732" s="0" t="n">
        <f aca="false">-1+C4732*0.25</f>
        <v>-0.25</v>
      </c>
      <c r="H4732" s="0" t="n">
        <f aca="false">-1+D4732*0.25</f>
        <v>-0.5</v>
      </c>
      <c r="I4732" s="0" t="n">
        <f aca="false">1</f>
        <v>1</v>
      </c>
      <c r="J4732" s="0" t="n">
        <f aca="false">E4732</f>
        <v>0.5</v>
      </c>
      <c r="K4732" s="0" t="n">
        <f aca="false">F4732</f>
        <v>0</v>
      </c>
      <c r="L4732" s="0" t="n">
        <f aca="false">G4732</f>
        <v>-0.25</v>
      </c>
      <c r="M4732" s="0" t="n">
        <f aca="false">H4732</f>
        <v>-0.5</v>
      </c>
      <c r="N4732" s="0" t="n">
        <f aca="false">E4732*F4732</f>
        <v>0</v>
      </c>
      <c r="O4732" s="0" t="n">
        <f aca="false">E4732*G4732</f>
        <v>-0.125</v>
      </c>
      <c r="P4732" s="0" t="n">
        <f aca="false">E4732*H4732</f>
        <v>-0.25</v>
      </c>
      <c r="Q4732" s="0" t="n">
        <f aca="false">F4732*G4732</f>
        <v>-0</v>
      </c>
      <c r="R4732" s="0" t="n">
        <f aca="false">F4732*H4732</f>
        <v>-0</v>
      </c>
      <c r="S4732" s="0" t="n">
        <f aca="false">G4732*H4732</f>
        <v>0.125</v>
      </c>
      <c r="T4732" s="0" t="n">
        <f aca="false">E4732*E4732</f>
        <v>0.25</v>
      </c>
      <c r="U4732" s="0" t="n">
        <f aca="false">F4732*F4732</f>
        <v>0</v>
      </c>
      <c r="V4732" s="0" t="n">
        <f aca="false">G4732*G4732</f>
        <v>0.0625</v>
      </c>
      <c r="W4732" s="0" t="n">
        <f aca="false">H4732*H4732</f>
        <v>0.25</v>
      </c>
      <c r="X4732" s="0" t="n">
        <f aca="false">SUMPRODUCT(I4732:W4732,_XtX!$B$96:$P$96)</f>
        <v>47.7641173245614</v>
      </c>
      <c r="Y4732" s="0" t="n">
        <f aca="false">SUMPRODUCT(MMULT(I4732:W4732,_XtX!$B$78:$P$92),I4732:W4732)</f>
        <v>0.132367050438597</v>
      </c>
      <c r="Z4732" s="0" t="n">
        <f aca="false">04_回帰ANOVA!$K$19*04_回帰ANOVA!$K$14*SQRT(1+Y4732)</f>
        <v>1.38704964208329</v>
      </c>
      <c r="AA4732" s="0" t="n">
        <f aca="false">X4732-Z4732</f>
        <v>46.3770676824781</v>
      </c>
      <c r="AB4732" s="0" t="n">
        <f aca="false">X4732+Z4732</f>
        <v>49.1511669666447</v>
      </c>
      <c r="AC4732" s="54" t="b">
        <f aca="false">AND(E4732&gt;=01_因子設定!$L$5-0.000000001,E4732&lt;=01_因子設定!$M$5+0.000000001,F4732&gt;=01_因子設定!$L$6-0.000000001,F4732&lt;=01_因子設定!$M$6+0.000000001,G4732&gt;=01_因子設定!$L$7-0.000000001,G4732&lt;=01_因子設定!$M$7+0.000000001,H4732&gt;=01_因子設定!$L$8-0.000000001,H4732&lt;=01_因子設定!$M$8+0.000000001,IF(01_因子設定!$B$20="Box-Behnken",E4732^2+F4732^2+G4732^2+H4732^2&lt;=2+0.000000001,TRUE()))</f>
        <v>1</v>
      </c>
      <c r="AD4732" s="55" t="n">
        <f aca="false">IF(AC4732,IF(01_因子設定!$B$13="最大化",AA4732-01_因子設定!$B$14,IF(01_因子設定!$B$13="最小化",01_因子設定!$B$15-AB4732,MIN(AA4732-01_因子設定!$B$14,01_因子設定!$B$15-AB4732))),-1E+030)</f>
        <v>-0.122932317521922</v>
      </c>
      <c r="AE4732" s="55" t="n">
        <f aca="false">IF(AC4732,IF(01_因子設定!$B$13="最大化",X4732,IF(01_因子設定!$B$13="最小化",-X4732,-ABS(X4732-01_因子設定!$B$16))),-1E+030)</f>
        <v>47.7641173245614</v>
      </c>
      <c r="AF4732" s="55" t="n">
        <f aca="false">AD4732+ROW()*0.000000001</f>
        <v>-0.122927585521922</v>
      </c>
      <c r="AG4732" s="55" t="n">
        <f aca="false">AE4732+ROW()*0.000000001</f>
        <v>47.7641220565614</v>
      </c>
    </row>
    <row r="4733" customFormat="false" ht="15" hidden="false" customHeight="false" outlineLevel="0" collapsed="false">
      <c r="A4733" s="0" t="n">
        <v>6</v>
      </c>
      <c r="B4733" s="0" t="n">
        <v>4</v>
      </c>
      <c r="C4733" s="0" t="n">
        <v>3</v>
      </c>
      <c r="D4733" s="0" t="n">
        <v>3</v>
      </c>
      <c r="E4733" s="0" t="n">
        <f aca="false">-1+A4733*0.25</f>
        <v>0.5</v>
      </c>
      <c r="F4733" s="0" t="n">
        <f aca="false">-1+B4733*0.25</f>
        <v>0</v>
      </c>
      <c r="G4733" s="0" t="n">
        <f aca="false">-1+C4733*0.25</f>
        <v>-0.25</v>
      </c>
      <c r="H4733" s="0" t="n">
        <f aca="false">-1+D4733*0.25</f>
        <v>-0.25</v>
      </c>
      <c r="I4733" s="0" t="n">
        <f aca="false">1</f>
        <v>1</v>
      </c>
      <c r="J4733" s="0" t="n">
        <f aca="false">E4733</f>
        <v>0.5</v>
      </c>
      <c r="K4733" s="0" t="n">
        <f aca="false">F4733</f>
        <v>0</v>
      </c>
      <c r="L4733" s="0" t="n">
        <f aca="false">G4733</f>
        <v>-0.25</v>
      </c>
      <c r="M4733" s="0" t="n">
        <f aca="false">H4733</f>
        <v>-0.25</v>
      </c>
      <c r="N4733" s="0" t="n">
        <f aca="false">E4733*F4733</f>
        <v>0</v>
      </c>
      <c r="O4733" s="0" t="n">
        <f aca="false">E4733*G4733</f>
        <v>-0.125</v>
      </c>
      <c r="P4733" s="0" t="n">
        <f aca="false">E4733*H4733</f>
        <v>-0.125</v>
      </c>
      <c r="Q4733" s="0" t="n">
        <f aca="false">F4733*G4733</f>
        <v>-0</v>
      </c>
      <c r="R4733" s="0" t="n">
        <f aca="false">F4733*H4733</f>
        <v>-0</v>
      </c>
      <c r="S4733" s="0" t="n">
        <f aca="false">G4733*H4733</f>
        <v>0.0625</v>
      </c>
      <c r="T4733" s="0" t="n">
        <f aca="false">E4733*E4733</f>
        <v>0.25</v>
      </c>
      <c r="U4733" s="0" t="n">
        <f aca="false">F4733*F4733</f>
        <v>0</v>
      </c>
      <c r="V4733" s="0" t="n">
        <f aca="false">G4733*G4733</f>
        <v>0.0625</v>
      </c>
      <c r="W4733" s="0" t="n">
        <f aca="false">H4733*H4733</f>
        <v>0.0625</v>
      </c>
      <c r="X4733" s="0" t="n">
        <f aca="false">SUMPRODUCT(I4733:W4733,_XtX!$B$96:$P$96)</f>
        <v>47.934872989766</v>
      </c>
      <c r="Y4733" s="0" t="n">
        <f aca="false">SUMPRODUCT(MMULT(I4733:W4733,_XtX!$B$78:$P$92),I4733:W4733)</f>
        <v>0.118905050712719</v>
      </c>
      <c r="Z4733" s="0" t="n">
        <f aca="false">04_回帰ANOVA!$K$19*04_回帰ANOVA!$K$14*SQRT(1+Y4733)</f>
        <v>1.37878011033769</v>
      </c>
      <c r="AA4733" s="0" t="n">
        <f aca="false">X4733-Z4733</f>
        <v>46.5560928794284</v>
      </c>
      <c r="AB4733" s="0" t="n">
        <f aca="false">X4733+Z4733</f>
        <v>49.3136531001037</v>
      </c>
      <c r="AC4733" s="54" t="b">
        <f aca="false">AND(E4733&gt;=01_因子設定!$L$5-0.000000001,E4733&lt;=01_因子設定!$M$5+0.000000001,F4733&gt;=01_因子設定!$L$6-0.000000001,F4733&lt;=01_因子設定!$M$6+0.000000001,G4733&gt;=01_因子設定!$L$7-0.000000001,G4733&lt;=01_因子設定!$M$7+0.000000001,H4733&gt;=01_因子設定!$L$8-0.000000001,H4733&lt;=01_因子設定!$M$8+0.000000001,IF(01_因子設定!$B$20="Box-Behnken",E4733^2+F4733^2+G4733^2+H4733^2&lt;=2+0.000000001,TRUE()))</f>
        <v>1</v>
      </c>
      <c r="AD4733" s="55" t="n">
        <f aca="false">IF(AC4733,IF(01_因子設定!$B$13="最大化",AA4733-01_因子設定!$B$14,IF(01_因子設定!$B$13="最小化",01_因子設定!$B$15-AB4733,MIN(AA4733-01_因子設定!$B$14,01_因子設定!$B$15-AB4733))),-1E+030)</f>
        <v>0.0560928794283555</v>
      </c>
      <c r="AE4733" s="55" t="n">
        <f aca="false">IF(AC4733,IF(01_因子設定!$B$13="最大化",X4733,IF(01_因子設定!$B$13="最小化",-X4733,-ABS(X4733-01_因子設定!$B$16))),-1E+030)</f>
        <v>47.934872989766</v>
      </c>
      <c r="AF4733" s="55" t="n">
        <f aca="false">AD4733+ROW()*0.000000001</f>
        <v>0.0560976124283555</v>
      </c>
      <c r="AG4733" s="55" t="n">
        <f aca="false">AE4733+ROW()*0.000000001</f>
        <v>47.934877722766</v>
      </c>
    </row>
    <row r="4734" customFormat="false" ht="15" hidden="false" customHeight="false" outlineLevel="0" collapsed="false">
      <c r="A4734" s="0" t="n">
        <v>6</v>
      </c>
      <c r="B4734" s="0" t="n">
        <v>4</v>
      </c>
      <c r="C4734" s="0" t="n">
        <v>3</v>
      </c>
      <c r="D4734" s="0" t="n">
        <v>4</v>
      </c>
      <c r="E4734" s="0" t="n">
        <f aca="false">-1+A4734*0.25</f>
        <v>0.5</v>
      </c>
      <c r="F4734" s="0" t="n">
        <f aca="false">-1+B4734*0.25</f>
        <v>0</v>
      </c>
      <c r="G4734" s="0" t="n">
        <f aca="false">-1+C4734*0.25</f>
        <v>-0.25</v>
      </c>
      <c r="H4734" s="0" t="n">
        <f aca="false">-1+D4734*0.25</f>
        <v>0</v>
      </c>
      <c r="I4734" s="0" t="n">
        <f aca="false">1</f>
        <v>1</v>
      </c>
      <c r="J4734" s="0" t="n">
        <f aca="false">E4734</f>
        <v>0.5</v>
      </c>
      <c r="K4734" s="0" t="n">
        <f aca="false">F4734</f>
        <v>0</v>
      </c>
      <c r="L4734" s="0" t="n">
        <f aca="false">G4734</f>
        <v>-0.25</v>
      </c>
      <c r="M4734" s="0" t="n">
        <f aca="false">H4734</f>
        <v>0</v>
      </c>
      <c r="N4734" s="0" t="n">
        <f aca="false">E4734*F4734</f>
        <v>0</v>
      </c>
      <c r="O4734" s="0" t="n">
        <f aca="false">E4734*G4734</f>
        <v>-0.125</v>
      </c>
      <c r="P4734" s="0" t="n">
        <f aca="false">E4734*H4734</f>
        <v>0</v>
      </c>
      <c r="Q4734" s="0" t="n">
        <f aca="false">F4734*G4734</f>
        <v>-0</v>
      </c>
      <c r="R4734" s="0" t="n">
        <f aca="false">F4734*H4734</f>
        <v>0</v>
      </c>
      <c r="S4734" s="0" t="n">
        <f aca="false">G4734*H4734</f>
        <v>-0</v>
      </c>
      <c r="T4734" s="0" t="n">
        <f aca="false">E4734*E4734</f>
        <v>0.25</v>
      </c>
      <c r="U4734" s="0" t="n">
        <f aca="false">F4734*F4734</f>
        <v>0</v>
      </c>
      <c r="V4734" s="0" t="n">
        <f aca="false">G4734*G4734</f>
        <v>0.0625</v>
      </c>
      <c r="W4734" s="0" t="n">
        <f aca="false">H4734*H4734</f>
        <v>0</v>
      </c>
      <c r="X4734" s="0" t="n">
        <f aca="false">SUMPRODUCT(I4734:W4734,_XtX!$B$96:$P$96)</f>
        <v>48.0578216374269</v>
      </c>
      <c r="Y4734" s="0" t="n">
        <f aca="false">SUMPRODUCT(MMULT(I4734:W4734,_XtX!$B$78:$P$92),I4734:W4734)</f>
        <v>0.120448419225146</v>
      </c>
      <c r="Z4734" s="0" t="n">
        <f aca="false">04_回帰ANOVA!$K$19*04_回帰ANOVA!$K$14*SQRT(1+Y4734)</f>
        <v>1.37973069703246</v>
      </c>
      <c r="AA4734" s="0" t="n">
        <f aca="false">X4734-Z4734</f>
        <v>46.6780909403944</v>
      </c>
      <c r="AB4734" s="0" t="n">
        <f aca="false">X4734+Z4734</f>
        <v>49.4375523344593</v>
      </c>
      <c r="AC4734" s="54" t="b">
        <f aca="false">AND(E4734&gt;=01_因子設定!$L$5-0.000000001,E4734&lt;=01_因子設定!$M$5+0.000000001,F4734&gt;=01_因子設定!$L$6-0.000000001,F4734&lt;=01_因子設定!$M$6+0.000000001,G4734&gt;=01_因子設定!$L$7-0.000000001,G4734&lt;=01_因子設定!$M$7+0.000000001,H4734&gt;=01_因子設定!$L$8-0.000000001,H4734&lt;=01_因子設定!$M$8+0.000000001,IF(01_因子設定!$B$20="Box-Behnken",E4734^2+F4734^2+G4734^2+H4734^2&lt;=2+0.000000001,TRUE()))</f>
        <v>1</v>
      </c>
      <c r="AD4734" s="55" t="n">
        <f aca="false">IF(AC4734,IF(01_因子設定!$B$13="最大化",AA4734-01_因子設定!$B$14,IF(01_因子設定!$B$13="最小化",01_因子設定!$B$15-AB4734,MIN(AA4734-01_因子設定!$B$14,01_因子設定!$B$15-AB4734))),-1E+030)</f>
        <v>0.178090940394391</v>
      </c>
      <c r="AE4734" s="55" t="n">
        <f aca="false">IF(AC4734,IF(01_因子設定!$B$13="最大化",X4734,IF(01_因子設定!$B$13="最小化",-X4734,-ABS(X4734-01_因子設定!$B$16))),-1E+030)</f>
        <v>48.0578216374269</v>
      </c>
      <c r="AF4734" s="55" t="n">
        <f aca="false">AD4734+ROW()*0.000000001</f>
        <v>0.178095674394391</v>
      </c>
      <c r="AG4734" s="55" t="n">
        <f aca="false">AE4734+ROW()*0.000000001</f>
        <v>48.0578263714269</v>
      </c>
    </row>
    <row r="4735" customFormat="false" ht="15" hidden="false" customHeight="false" outlineLevel="0" collapsed="false">
      <c r="A4735" s="0" t="n">
        <v>6</v>
      </c>
      <c r="B4735" s="0" t="n">
        <v>4</v>
      </c>
      <c r="C4735" s="0" t="n">
        <v>3</v>
      </c>
      <c r="D4735" s="0" t="n">
        <v>5</v>
      </c>
      <c r="E4735" s="0" t="n">
        <f aca="false">-1+A4735*0.25</f>
        <v>0.5</v>
      </c>
      <c r="F4735" s="0" t="n">
        <f aca="false">-1+B4735*0.25</f>
        <v>0</v>
      </c>
      <c r="G4735" s="0" t="n">
        <f aca="false">-1+C4735*0.25</f>
        <v>-0.25</v>
      </c>
      <c r="H4735" s="0" t="n">
        <f aca="false">-1+D4735*0.25</f>
        <v>0.25</v>
      </c>
      <c r="I4735" s="0" t="n">
        <f aca="false">1</f>
        <v>1</v>
      </c>
      <c r="J4735" s="0" t="n">
        <f aca="false">E4735</f>
        <v>0.5</v>
      </c>
      <c r="K4735" s="0" t="n">
        <f aca="false">F4735</f>
        <v>0</v>
      </c>
      <c r="L4735" s="0" t="n">
        <f aca="false">G4735</f>
        <v>-0.25</v>
      </c>
      <c r="M4735" s="0" t="n">
        <f aca="false">H4735</f>
        <v>0.25</v>
      </c>
      <c r="N4735" s="0" t="n">
        <f aca="false">E4735*F4735</f>
        <v>0</v>
      </c>
      <c r="O4735" s="0" t="n">
        <f aca="false">E4735*G4735</f>
        <v>-0.125</v>
      </c>
      <c r="P4735" s="0" t="n">
        <f aca="false">E4735*H4735</f>
        <v>0.125</v>
      </c>
      <c r="Q4735" s="0" t="n">
        <f aca="false">F4735*G4735</f>
        <v>-0</v>
      </c>
      <c r="R4735" s="0" t="n">
        <f aca="false">F4735*H4735</f>
        <v>0</v>
      </c>
      <c r="S4735" s="0" t="n">
        <f aca="false">G4735*H4735</f>
        <v>-0.0625</v>
      </c>
      <c r="T4735" s="0" t="n">
        <f aca="false">E4735*E4735</f>
        <v>0.25</v>
      </c>
      <c r="U4735" s="0" t="n">
        <f aca="false">F4735*F4735</f>
        <v>0</v>
      </c>
      <c r="V4735" s="0" t="n">
        <f aca="false">G4735*G4735</f>
        <v>0.0625</v>
      </c>
      <c r="W4735" s="0" t="n">
        <f aca="false">H4735*H4735</f>
        <v>0.0625</v>
      </c>
      <c r="X4735" s="0" t="n">
        <f aca="false">SUMPRODUCT(I4735:W4735,_XtX!$B$96:$P$96)</f>
        <v>48.1329632675438</v>
      </c>
      <c r="Y4735" s="0" t="n">
        <f aca="false">SUMPRODUCT(MMULT(I4735:W4735,_XtX!$B$78:$P$92),I4735:W4735)</f>
        <v>0.118905050712719</v>
      </c>
      <c r="Z4735" s="0" t="n">
        <f aca="false">04_回帰ANOVA!$K$19*04_回帰ANOVA!$K$14*SQRT(1+Y4735)</f>
        <v>1.37878011033769</v>
      </c>
      <c r="AA4735" s="0" t="n">
        <f aca="false">X4735-Z4735</f>
        <v>46.7541831572061</v>
      </c>
      <c r="AB4735" s="0" t="n">
        <f aca="false">X4735+Z4735</f>
        <v>49.5117433778815</v>
      </c>
      <c r="AC4735" s="54" t="b">
        <f aca="false">AND(E4735&gt;=01_因子設定!$L$5-0.000000001,E4735&lt;=01_因子設定!$M$5+0.000000001,F4735&gt;=01_因子設定!$L$6-0.000000001,F4735&lt;=01_因子設定!$M$6+0.000000001,G4735&gt;=01_因子設定!$L$7-0.000000001,G4735&lt;=01_因子設定!$M$7+0.000000001,H4735&gt;=01_因子設定!$L$8-0.000000001,H4735&lt;=01_因子設定!$M$8+0.000000001,IF(01_因子設定!$B$20="Box-Behnken",E4735^2+F4735^2+G4735^2+H4735^2&lt;=2+0.000000001,TRUE()))</f>
        <v>1</v>
      </c>
      <c r="AD4735" s="55" t="n">
        <f aca="false">IF(AC4735,IF(01_因子設定!$B$13="最大化",AA4735-01_因子設定!$B$14,IF(01_因子設定!$B$13="最小化",01_因子設定!$B$15-AB4735,MIN(AA4735-01_因子設定!$B$14,01_因子設定!$B$15-AB4735))),-1E+030)</f>
        <v>0.254183157206128</v>
      </c>
      <c r="AE4735" s="55" t="n">
        <f aca="false">IF(AC4735,IF(01_因子設定!$B$13="最大化",X4735,IF(01_因子設定!$B$13="最小化",-X4735,-ABS(X4735-01_因子設定!$B$16))),-1E+030)</f>
        <v>48.1329632675438</v>
      </c>
      <c r="AF4735" s="55" t="n">
        <f aca="false">AD4735+ROW()*0.000000001</f>
        <v>0.254187892206128</v>
      </c>
      <c r="AG4735" s="55" t="n">
        <f aca="false">AE4735+ROW()*0.000000001</f>
        <v>48.1329680025438</v>
      </c>
    </row>
    <row r="4736" customFormat="false" ht="15" hidden="false" customHeight="false" outlineLevel="0" collapsed="false">
      <c r="A4736" s="0" t="n">
        <v>6</v>
      </c>
      <c r="B4736" s="0" t="n">
        <v>4</v>
      </c>
      <c r="C4736" s="0" t="n">
        <v>3</v>
      </c>
      <c r="D4736" s="0" t="n">
        <v>6</v>
      </c>
      <c r="E4736" s="0" t="n">
        <f aca="false">-1+A4736*0.25</f>
        <v>0.5</v>
      </c>
      <c r="F4736" s="0" t="n">
        <f aca="false">-1+B4736*0.25</f>
        <v>0</v>
      </c>
      <c r="G4736" s="0" t="n">
        <f aca="false">-1+C4736*0.25</f>
        <v>-0.25</v>
      </c>
      <c r="H4736" s="0" t="n">
        <f aca="false">-1+D4736*0.25</f>
        <v>0.5</v>
      </c>
      <c r="I4736" s="0" t="n">
        <f aca="false">1</f>
        <v>1</v>
      </c>
      <c r="J4736" s="0" t="n">
        <f aca="false">E4736</f>
        <v>0.5</v>
      </c>
      <c r="K4736" s="0" t="n">
        <f aca="false">F4736</f>
        <v>0</v>
      </c>
      <c r="L4736" s="0" t="n">
        <f aca="false">G4736</f>
        <v>-0.25</v>
      </c>
      <c r="M4736" s="0" t="n">
        <f aca="false">H4736</f>
        <v>0.5</v>
      </c>
      <c r="N4736" s="0" t="n">
        <f aca="false">E4736*F4736</f>
        <v>0</v>
      </c>
      <c r="O4736" s="0" t="n">
        <f aca="false">E4736*G4736</f>
        <v>-0.125</v>
      </c>
      <c r="P4736" s="0" t="n">
        <f aca="false">E4736*H4736</f>
        <v>0.25</v>
      </c>
      <c r="Q4736" s="0" t="n">
        <f aca="false">F4736*G4736</f>
        <v>-0</v>
      </c>
      <c r="R4736" s="0" t="n">
        <f aca="false">F4736*H4736</f>
        <v>0</v>
      </c>
      <c r="S4736" s="0" t="n">
        <f aca="false">G4736*H4736</f>
        <v>-0.125</v>
      </c>
      <c r="T4736" s="0" t="n">
        <f aca="false">E4736*E4736</f>
        <v>0.25</v>
      </c>
      <c r="U4736" s="0" t="n">
        <f aca="false">F4736*F4736</f>
        <v>0</v>
      </c>
      <c r="V4736" s="0" t="n">
        <f aca="false">G4736*G4736</f>
        <v>0.0625</v>
      </c>
      <c r="W4736" s="0" t="n">
        <f aca="false">H4736*H4736</f>
        <v>0.25</v>
      </c>
      <c r="X4736" s="0" t="n">
        <f aca="false">SUMPRODUCT(I4736:W4736,_XtX!$B$96:$P$96)</f>
        <v>48.1602978801169</v>
      </c>
      <c r="Y4736" s="0" t="n">
        <f aca="false">SUMPRODUCT(MMULT(I4736:W4736,_XtX!$B$78:$P$92),I4736:W4736)</f>
        <v>0.132367050438597</v>
      </c>
      <c r="Z4736" s="0" t="n">
        <f aca="false">04_回帰ANOVA!$K$19*04_回帰ANOVA!$K$14*SQRT(1+Y4736)</f>
        <v>1.38704964208329</v>
      </c>
      <c r="AA4736" s="0" t="n">
        <f aca="false">X4736-Z4736</f>
        <v>46.7732482380336</v>
      </c>
      <c r="AB4736" s="0" t="n">
        <f aca="false">X4736+Z4736</f>
        <v>49.5473475222002</v>
      </c>
      <c r="AC4736" s="54" t="b">
        <f aca="false">AND(E4736&gt;=01_因子設定!$L$5-0.000000001,E4736&lt;=01_因子設定!$M$5+0.000000001,F4736&gt;=01_因子設定!$L$6-0.000000001,F4736&lt;=01_因子設定!$M$6+0.000000001,G4736&gt;=01_因子設定!$L$7-0.000000001,G4736&lt;=01_因子設定!$M$7+0.000000001,H4736&gt;=01_因子設定!$L$8-0.000000001,H4736&lt;=01_因子設定!$M$8+0.000000001,IF(01_因子設定!$B$20="Box-Behnken",E4736^2+F4736^2+G4736^2+H4736^2&lt;=2+0.000000001,TRUE()))</f>
        <v>1</v>
      </c>
      <c r="AD4736" s="55" t="n">
        <f aca="false">IF(AC4736,IF(01_因子設定!$B$13="最大化",AA4736-01_因子設定!$B$14,IF(01_因子設定!$B$13="最小化",01_因子設定!$B$15-AB4736,MIN(AA4736-01_因子設定!$B$14,01_因子設定!$B$15-AB4736))),-1E+030)</f>
        <v>0.273248238033631</v>
      </c>
      <c r="AE4736" s="55" t="n">
        <f aca="false">IF(AC4736,IF(01_因子設定!$B$13="最大化",X4736,IF(01_因子設定!$B$13="最小化",-X4736,-ABS(X4736-01_因子設定!$B$16))),-1E+030)</f>
        <v>48.1602978801169</v>
      </c>
      <c r="AF4736" s="55" t="n">
        <f aca="false">AD4736+ROW()*0.000000001</f>
        <v>0.273252974033631</v>
      </c>
      <c r="AG4736" s="55" t="n">
        <f aca="false">AE4736+ROW()*0.000000001</f>
        <v>48.1603026161169</v>
      </c>
    </row>
    <row r="4737" customFormat="false" ht="15" hidden="false" customHeight="false" outlineLevel="0" collapsed="false">
      <c r="A4737" s="0" t="n">
        <v>6</v>
      </c>
      <c r="B4737" s="0" t="n">
        <v>4</v>
      </c>
      <c r="C4737" s="0" t="n">
        <v>3</v>
      </c>
      <c r="D4737" s="0" t="n">
        <v>7</v>
      </c>
      <c r="E4737" s="0" t="n">
        <f aca="false">-1+A4737*0.25</f>
        <v>0.5</v>
      </c>
      <c r="F4737" s="0" t="n">
        <f aca="false">-1+B4737*0.25</f>
        <v>0</v>
      </c>
      <c r="G4737" s="0" t="n">
        <f aca="false">-1+C4737*0.25</f>
        <v>-0.25</v>
      </c>
      <c r="H4737" s="0" t="n">
        <f aca="false">-1+D4737*0.25</f>
        <v>0.75</v>
      </c>
      <c r="I4737" s="0" t="n">
        <f aca="false">1</f>
        <v>1</v>
      </c>
      <c r="J4737" s="0" t="n">
        <f aca="false">E4737</f>
        <v>0.5</v>
      </c>
      <c r="K4737" s="0" t="n">
        <f aca="false">F4737</f>
        <v>0</v>
      </c>
      <c r="L4737" s="0" t="n">
        <f aca="false">G4737</f>
        <v>-0.25</v>
      </c>
      <c r="M4737" s="0" t="n">
        <f aca="false">H4737</f>
        <v>0.75</v>
      </c>
      <c r="N4737" s="0" t="n">
        <f aca="false">E4737*F4737</f>
        <v>0</v>
      </c>
      <c r="O4737" s="0" t="n">
        <f aca="false">E4737*G4737</f>
        <v>-0.125</v>
      </c>
      <c r="P4737" s="0" t="n">
        <f aca="false">E4737*H4737</f>
        <v>0.375</v>
      </c>
      <c r="Q4737" s="0" t="n">
        <f aca="false">F4737*G4737</f>
        <v>-0</v>
      </c>
      <c r="R4737" s="0" t="n">
        <f aca="false">F4737*H4737</f>
        <v>0</v>
      </c>
      <c r="S4737" s="0" t="n">
        <f aca="false">G4737*H4737</f>
        <v>-0.1875</v>
      </c>
      <c r="T4737" s="0" t="n">
        <f aca="false">E4737*E4737</f>
        <v>0.25</v>
      </c>
      <c r="U4737" s="0" t="n">
        <f aca="false">F4737*F4737</f>
        <v>0</v>
      </c>
      <c r="V4737" s="0" t="n">
        <f aca="false">G4737*G4737</f>
        <v>0.0625</v>
      </c>
      <c r="W4737" s="0" t="n">
        <f aca="false">H4737*H4737</f>
        <v>0.5625</v>
      </c>
      <c r="X4737" s="0" t="n">
        <f aca="false">SUMPRODUCT(I4737:W4737,_XtX!$B$96:$P$96)</f>
        <v>48.1398254751462</v>
      </c>
      <c r="Y4737" s="0" t="n">
        <f aca="false">SUMPRODUCT(MMULT(I4737:W4737,_XtX!$B$78:$P$92),I4737:W4737)</f>
        <v>0.215110734192252</v>
      </c>
      <c r="Z4737" s="0" t="n">
        <f aca="false">04_回帰ANOVA!$K$19*04_回帰ANOVA!$K$14*SQRT(1+Y4737)</f>
        <v>1.43683309086864</v>
      </c>
      <c r="AA4737" s="0" t="n">
        <f aca="false">X4737-Z4737</f>
        <v>46.7029923842775</v>
      </c>
      <c r="AB4737" s="0" t="n">
        <f aca="false">X4737+Z4737</f>
        <v>49.5766585660148</v>
      </c>
      <c r="AC4737" s="54" t="b">
        <f aca="false">AND(E4737&gt;=01_因子設定!$L$5-0.000000001,E4737&lt;=01_因子設定!$M$5+0.000000001,F4737&gt;=01_因子設定!$L$6-0.000000001,F4737&lt;=01_因子設定!$M$6+0.000000001,G4737&gt;=01_因子設定!$L$7-0.000000001,G4737&lt;=01_因子設定!$M$7+0.000000001,H4737&gt;=01_因子設定!$L$8-0.000000001,H4737&lt;=01_因子設定!$M$8+0.000000001,IF(01_因子設定!$B$20="Box-Behnken",E4737^2+F4737^2+G4737^2+H4737^2&lt;=2+0.000000001,TRUE()))</f>
        <v>1</v>
      </c>
      <c r="AD4737" s="55" t="n">
        <f aca="false">IF(AC4737,IF(01_因子設定!$B$13="最大化",AA4737-01_因子設定!$B$14,IF(01_因子設定!$B$13="最小化",01_因子設定!$B$15-AB4737,MIN(AA4737-01_因子設定!$B$14,01_因子設定!$B$15-AB4737))),-1E+030)</f>
        <v>0.202992384277529</v>
      </c>
      <c r="AE4737" s="55" t="n">
        <f aca="false">IF(AC4737,IF(01_因子設定!$B$13="最大化",X4737,IF(01_因子設定!$B$13="最小化",-X4737,-ABS(X4737-01_因子設定!$B$16))),-1E+030)</f>
        <v>48.1398254751462</v>
      </c>
      <c r="AF4737" s="55" t="n">
        <f aca="false">AD4737+ROW()*0.000000001</f>
        <v>0.202997121277529</v>
      </c>
      <c r="AG4737" s="55" t="n">
        <f aca="false">AE4737+ROW()*0.000000001</f>
        <v>48.1398302121462</v>
      </c>
    </row>
    <row r="4738" customFormat="false" ht="15" hidden="false" customHeight="false" outlineLevel="0" collapsed="false">
      <c r="A4738" s="0" t="n">
        <v>6</v>
      </c>
      <c r="B4738" s="0" t="n">
        <v>4</v>
      </c>
      <c r="C4738" s="0" t="n">
        <v>3</v>
      </c>
      <c r="D4738" s="0" t="n">
        <v>8</v>
      </c>
      <c r="E4738" s="0" t="n">
        <f aca="false">-1+A4738*0.25</f>
        <v>0.5</v>
      </c>
      <c r="F4738" s="0" t="n">
        <f aca="false">-1+B4738*0.25</f>
        <v>0</v>
      </c>
      <c r="G4738" s="0" t="n">
        <f aca="false">-1+C4738*0.25</f>
        <v>-0.25</v>
      </c>
      <c r="H4738" s="0" t="n">
        <f aca="false">-1+D4738*0.25</f>
        <v>1</v>
      </c>
      <c r="I4738" s="0" t="n">
        <f aca="false">1</f>
        <v>1</v>
      </c>
      <c r="J4738" s="0" t="n">
        <f aca="false">E4738</f>
        <v>0.5</v>
      </c>
      <c r="K4738" s="0" t="n">
        <f aca="false">F4738</f>
        <v>0</v>
      </c>
      <c r="L4738" s="0" t="n">
        <f aca="false">G4738</f>
        <v>-0.25</v>
      </c>
      <c r="M4738" s="0" t="n">
        <f aca="false">H4738</f>
        <v>1</v>
      </c>
      <c r="N4738" s="0" t="n">
        <f aca="false">E4738*F4738</f>
        <v>0</v>
      </c>
      <c r="O4738" s="0" t="n">
        <f aca="false">E4738*G4738</f>
        <v>-0.125</v>
      </c>
      <c r="P4738" s="0" t="n">
        <f aca="false">E4738*H4738</f>
        <v>0.5</v>
      </c>
      <c r="Q4738" s="0" t="n">
        <f aca="false">F4738*G4738</f>
        <v>-0</v>
      </c>
      <c r="R4738" s="0" t="n">
        <f aca="false">F4738*H4738</f>
        <v>0</v>
      </c>
      <c r="S4738" s="0" t="n">
        <f aca="false">G4738*H4738</f>
        <v>-0.25</v>
      </c>
      <c r="T4738" s="0" t="n">
        <f aca="false">E4738*E4738</f>
        <v>0.25</v>
      </c>
      <c r="U4738" s="0" t="n">
        <f aca="false">F4738*F4738</f>
        <v>0</v>
      </c>
      <c r="V4738" s="0" t="n">
        <f aca="false">G4738*G4738</f>
        <v>0.0625</v>
      </c>
      <c r="W4738" s="0" t="n">
        <f aca="false">H4738*H4738</f>
        <v>1</v>
      </c>
      <c r="X4738" s="0" t="n">
        <f aca="false">SUMPRODUCT(I4738:W4738,_XtX!$B$96:$P$96)</f>
        <v>48.0715460526316</v>
      </c>
      <c r="Y4738" s="0" t="n">
        <f aca="false">SUMPRODUCT(MMULT(I4738:W4738,_XtX!$B$78:$P$92),I4738:W4738)</f>
        <v>0.457596628289474</v>
      </c>
      <c r="Z4738" s="0" t="n">
        <f aca="false">04_回帰ANOVA!$K$19*04_回帰ANOVA!$K$14*SQRT(1+Y4738)</f>
        <v>1.57368233664366</v>
      </c>
      <c r="AA4738" s="0" t="n">
        <f aca="false">X4738-Z4738</f>
        <v>46.4978637159879</v>
      </c>
      <c r="AB4738" s="0" t="n">
        <f aca="false">X4738+Z4738</f>
        <v>49.6452283892752</v>
      </c>
      <c r="AC4738" s="54" t="b">
        <f aca="false">AND(E4738&gt;=01_因子設定!$L$5-0.000000001,E4738&lt;=01_因子設定!$M$5+0.000000001,F4738&gt;=01_因子設定!$L$6-0.000000001,F4738&lt;=01_因子設定!$M$6+0.000000001,G4738&gt;=01_因子設定!$L$7-0.000000001,G4738&lt;=01_因子設定!$M$7+0.000000001,H4738&gt;=01_因子設定!$L$8-0.000000001,H4738&lt;=01_因子設定!$M$8+0.000000001,IF(01_因子設定!$B$20="Box-Behnken",E4738^2+F4738^2+G4738^2+H4738^2&lt;=2+0.000000001,TRUE()))</f>
        <v>1</v>
      </c>
      <c r="AD4738" s="55" t="n">
        <f aca="false">IF(AC4738,IF(01_因子設定!$B$13="最大化",AA4738-01_因子設定!$B$14,IF(01_因子設定!$B$13="最小化",01_因子設定!$B$15-AB4738,MIN(AA4738-01_因子設定!$B$14,01_因子設定!$B$15-AB4738))),-1E+030)</f>
        <v>-0.00213628401208155</v>
      </c>
      <c r="AE4738" s="55" t="n">
        <f aca="false">IF(AC4738,IF(01_因子設定!$B$13="最大化",X4738,IF(01_因子設定!$B$13="最小化",-X4738,-ABS(X4738-01_因子設定!$B$16))),-1E+030)</f>
        <v>48.0715460526316</v>
      </c>
      <c r="AF4738" s="55" t="n">
        <f aca="false">AD4738+ROW()*0.000000001</f>
        <v>-0.00213154601208155</v>
      </c>
      <c r="AG4738" s="55" t="n">
        <f aca="false">AE4738+ROW()*0.000000001</f>
        <v>48.0715507906316</v>
      </c>
    </row>
    <row r="4739" customFormat="false" ht="15" hidden="false" customHeight="false" outlineLevel="0" collapsed="false">
      <c r="A4739" s="0" t="n">
        <v>6</v>
      </c>
      <c r="B4739" s="0" t="n">
        <v>4</v>
      </c>
      <c r="C4739" s="0" t="n">
        <v>4</v>
      </c>
      <c r="D4739" s="0" t="n">
        <v>0</v>
      </c>
      <c r="E4739" s="0" t="n">
        <f aca="false">-1+A4739*0.25</f>
        <v>0.5</v>
      </c>
      <c r="F4739" s="0" t="n">
        <f aca="false">-1+B4739*0.25</f>
        <v>0</v>
      </c>
      <c r="G4739" s="0" t="n">
        <f aca="false">-1+C4739*0.25</f>
        <v>0</v>
      </c>
      <c r="H4739" s="0" t="n">
        <f aca="false">-1+D4739*0.25</f>
        <v>-1</v>
      </c>
      <c r="I4739" s="0" t="n">
        <f aca="false">1</f>
        <v>1</v>
      </c>
      <c r="J4739" s="0" t="n">
        <f aca="false">E4739</f>
        <v>0.5</v>
      </c>
      <c r="K4739" s="0" t="n">
        <f aca="false">F4739</f>
        <v>0</v>
      </c>
      <c r="L4739" s="0" t="n">
        <f aca="false">G4739</f>
        <v>0</v>
      </c>
      <c r="M4739" s="0" t="n">
        <f aca="false">H4739</f>
        <v>-1</v>
      </c>
      <c r="N4739" s="0" t="n">
        <f aca="false">E4739*F4739</f>
        <v>0</v>
      </c>
      <c r="O4739" s="0" t="n">
        <f aca="false">E4739*G4739</f>
        <v>0</v>
      </c>
      <c r="P4739" s="0" t="n">
        <f aca="false">E4739*H4739</f>
        <v>-0.5</v>
      </c>
      <c r="Q4739" s="0" t="n">
        <f aca="false">F4739*G4739</f>
        <v>0</v>
      </c>
      <c r="R4739" s="0" t="n">
        <f aca="false">F4739*H4739</f>
        <v>-0</v>
      </c>
      <c r="S4739" s="0" t="n">
        <f aca="false">G4739*H4739</f>
        <v>-0</v>
      </c>
      <c r="T4739" s="0" t="n">
        <f aca="false">E4739*E4739</f>
        <v>0.25</v>
      </c>
      <c r="U4739" s="0" t="n">
        <f aca="false">F4739*F4739</f>
        <v>0</v>
      </c>
      <c r="V4739" s="0" t="n">
        <f aca="false">G4739*G4739</f>
        <v>0</v>
      </c>
      <c r="W4739" s="0" t="n">
        <f aca="false">H4739*H4739</f>
        <v>1</v>
      </c>
      <c r="X4739" s="0" t="n">
        <f aca="false">SUMPRODUCT(I4739:W4739,_XtX!$B$96:$P$96)</f>
        <v>47.4145467836257</v>
      </c>
      <c r="Y4739" s="0" t="n">
        <f aca="false">SUMPRODUCT(MMULT(I4739:W4739,_XtX!$B$78:$P$92),I4739:W4739)</f>
        <v>0.468841374269006</v>
      </c>
      <c r="Z4739" s="0" t="n">
        <f aca="false">04_回帰ANOVA!$K$19*04_回帰ANOVA!$K$14*SQRT(1+Y4739)</f>
        <v>1.57974082366087</v>
      </c>
      <c r="AA4739" s="0" t="n">
        <f aca="false">X4739-Z4739</f>
        <v>45.8348059599649</v>
      </c>
      <c r="AB4739" s="0" t="n">
        <f aca="false">X4739+Z4739</f>
        <v>48.9942876072866</v>
      </c>
      <c r="AC4739" s="54" t="b">
        <f aca="false">AND(E4739&gt;=01_因子設定!$L$5-0.000000001,E4739&lt;=01_因子設定!$M$5+0.000000001,F4739&gt;=01_因子設定!$L$6-0.000000001,F4739&lt;=01_因子設定!$M$6+0.000000001,G4739&gt;=01_因子設定!$L$7-0.000000001,G4739&lt;=01_因子設定!$M$7+0.000000001,H4739&gt;=01_因子設定!$L$8-0.000000001,H4739&lt;=01_因子設定!$M$8+0.000000001,IF(01_因子設定!$B$20="Box-Behnken",E4739^2+F4739^2+G4739^2+H4739^2&lt;=2+0.000000001,TRUE()))</f>
        <v>1</v>
      </c>
      <c r="AD4739" s="55" t="n">
        <f aca="false">IF(AC4739,IF(01_因子設定!$B$13="最大化",AA4739-01_因子設定!$B$14,IF(01_因子設定!$B$13="最小化",01_因子設定!$B$15-AB4739,MIN(AA4739-01_因子設定!$B$14,01_因子設定!$B$15-AB4739))),-1E+030)</f>
        <v>-0.665194040035154</v>
      </c>
      <c r="AE4739" s="55" t="n">
        <f aca="false">IF(AC4739,IF(01_因子設定!$B$13="最大化",X4739,IF(01_因子設定!$B$13="最小化",-X4739,-ABS(X4739-01_因子設定!$B$16))),-1E+030)</f>
        <v>47.4145467836257</v>
      </c>
      <c r="AF4739" s="55" t="n">
        <f aca="false">AD4739+ROW()*0.000000001</f>
        <v>-0.665189301035154</v>
      </c>
      <c r="AG4739" s="55" t="n">
        <f aca="false">AE4739+ROW()*0.000000001</f>
        <v>47.4145515226257</v>
      </c>
    </row>
    <row r="4740" customFormat="false" ht="15" hidden="false" customHeight="false" outlineLevel="0" collapsed="false">
      <c r="A4740" s="0" t="n">
        <v>6</v>
      </c>
      <c r="B4740" s="0" t="n">
        <v>4</v>
      </c>
      <c r="C4740" s="0" t="n">
        <v>4</v>
      </c>
      <c r="D4740" s="0" t="n">
        <v>1</v>
      </c>
      <c r="E4740" s="0" t="n">
        <f aca="false">-1+A4740*0.25</f>
        <v>0.5</v>
      </c>
      <c r="F4740" s="0" t="n">
        <f aca="false">-1+B4740*0.25</f>
        <v>0</v>
      </c>
      <c r="G4740" s="0" t="n">
        <f aca="false">-1+C4740*0.25</f>
        <v>0</v>
      </c>
      <c r="H4740" s="0" t="n">
        <f aca="false">-1+D4740*0.25</f>
        <v>-0.75</v>
      </c>
      <c r="I4740" s="0" t="n">
        <f aca="false">1</f>
        <v>1</v>
      </c>
      <c r="J4740" s="0" t="n">
        <f aca="false">E4740</f>
        <v>0.5</v>
      </c>
      <c r="K4740" s="0" t="n">
        <f aca="false">F4740</f>
        <v>0</v>
      </c>
      <c r="L4740" s="0" t="n">
        <f aca="false">G4740</f>
        <v>0</v>
      </c>
      <c r="M4740" s="0" t="n">
        <f aca="false">H4740</f>
        <v>-0.75</v>
      </c>
      <c r="N4740" s="0" t="n">
        <f aca="false">E4740*F4740</f>
        <v>0</v>
      </c>
      <c r="O4740" s="0" t="n">
        <f aca="false">E4740*G4740</f>
        <v>0</v>
      </c>
      <c r="P4740" s="0" t="n">
        <f aca="false">E4740*H4740</f>
        <v>-0.375</v>
      </c>
      <c r="Q4740" s="0" t="n">
        <f aca="false">F4740*G4740</f>
        <v>0</v>
      </c>
      <c r="R4740" s="0" t="n">
        <f aca="false">F4740*H4740</f>
        <v>-0</v>
      </c>
      <c r="S4740" s="0" t="n">
        <f aca="false">G4740*H4740</f>
        <v>-0</v>
      </c>
      <c r="T4740" s="0" t="n">
        <f aca="false">E4740*E4740</f>
        <v>0.25</v>
      </c>
      <c r="U4740" s="0" t="n">
        <f aca="false">F4740*F4740</f>
        <v>0</v>
      </c>
      <c r="V4740" s="0" t="n">
        <f aca="false">G4740*G4740</f>
        <v>0</v>
      </c>
      <c r="W4740" s="0" t="n">
        <f aca="false">H4740*H4740</f>
        <v>0.5625</v>
      </c>
      <c r="X4740" s="0" t="n">
        <f aca="false">SUMPRODUCT(I4740:W4740,_XtX!$B$96:$P$96)</f>
        <v>47.6988852339181</v>
      </c>
      <c r="Y4740" s="0" t="n">
        <f aca="false">SUMPRODUCT(MMULT(I4740:W4740,_XtX!$B$78:$P$92),I4740:W4740)</f>
        <v>0.221828170687135</v>
      </c>
      <c r="Z4740" s="0" t="n">
        <f aca="false">04_回帰ANOVA!$K$19*04_回帰ANOVA!$K$14*SQRT(1+Y4740)</f>
        <v>1.44079920361664</v>
      </c>
      <c r="AA4740" s="0" t="n">
        <f aca="false">X4740-Z4740</f>
        <v>46.2580860303015</v>
      </c>
      <c r="AB4740" s="0" t="n">
        <f aca="false">X4740+Z4740</f>
        <v>49.1396844375348</v>
      </c>
      <c r="AC4740" s="54" t="b">
        <f aca="false">AND(E4740&gt;=01_因子設定!$L$5-0.000000001,E4740&lt;=01_因子設定!$M$5+0.000000001,F4740&gt;=01_因子設定!$L$6-0.000000001,F4740&lt;=01_因子設定!$M$6+0.000000001,G4740&gt;=01_因子設定!$L$7-0.000000001,G4740&lt;=01_因子設定!$M$7+0.000000001,H4740&gt;=01_因子設定!$L$8-0.000000001,H4740&lt;=01_因子設定!$M$8+0.000000001,IF(01_因子設定!$B$20="Box-Behnken",E4740^2+F4740^2+G4740^2+H4740^2&lt;=2+0.000000001,TRUE()))</f>
        <v>1</v>
      </c>
      <c r="AD4740" s="55" t="n">
        <f aca="false">IF(AC4740,IF(01_因子設定!$B$13="最大化",AA4740-01_因子設定!$B$14,IF(01_因子設定!$B$13="最小化",01_因子設定!$B$15-AB4740,MIN(AA4740-01_因子設定!$B$14,01_因子設定!$B$15-AB4740))),-1E+030)</f>
        <v>-0.241913969698537</v>
      </c>
      <c r="AE4740" s="55" t="n">
        <f aca="false">IF(AC4740,IF(01_因子設定!$B$13="最大化",X4740,IF(01_因子設定!$B$13="最小化",-X4740,-ABS(X4740-01_因子設定!$B$16))),-1E+030)</f>
        <v>47.6988852339181</v>
      </c>
      <c r="AF4740" s="55" t="n">
        <f aca="false">AD4740+ROW()*0.000000001</f>
        <v>-0.241909229698537</v>
      </c>
      <c r="AG4740" s="55" t="n">
        <f aca="false">AE4740+ROW()*0.000000001</f>
        <v>47.6988899739181</v>
      </c>
    </row>
    <row r="4741" customFormat="false" ht="15" hidden="false" customHeight="false" outlineLevel="0" collapsed="false">
      <c r="A4741" s="0" t="n">
        <v>6</v>
      </c>
      <c r="B4741" s="0" t="n">
        <v>4</v>
      </c>
      <c r="C4741" s="0" t="n">
        <v>4</v>
      </c>
      <c r="D4741" s="0" t="n">
        <v>2</v>
      </c>
      <c r="E4741" s="0" t="n">
        <f aca="false">-1+A4741*0.25</f>
        <v>0.5</v>
      </c>
      <c r="F4741" s="0" t="n">
        <f aca="false">-1+B4741*0.25</f>
        <v>0</v>
      </c>
      <c r="G4741" s="0" t="n">
        <f aca="false">-1+C4741*0.25</f>
        <v>0</v>
      </c>
      <c r="H4741" s="0" t="n">
        <f aca="false">-1+D4741*0.25</f>
        <v>-0.5</v>
      </c>
      <c r="I4741" s="0" t="n">
        <f aca="false">1</f>
        <v>1</v>
      </c>
      <c r="J4741" s="0" t="n">
        <f aca="false">E4741</f>
        <v>0.5</v>
      </c>
      <c r="K4741" s="0" t="n">
        <f aca="false">F4741</f>
        <v>0</v>
      </c>
      <c r="L4741" s="0" t="n">
        <f aca="false">G4741</f>
        <v>0</v>
      </c>
      <c r="M4741" s="0" t="n">
        <f aca="false">H4741</f>
        <v>-0.5</v>
      </c>
      <c r="N4741" s="0" t="n">
        <f aca="false">E4741*F4741</f>
        <v>0</v>
      </c>
      <c r="O4741" s="0" t="n">
        <f aca="false">E4741*G4741</f>
        <v>0</v>
      </c>
      <c r="P4741" s="0" t="n">
        <f aca="false">E4741*H4741</f>
        <v>-0.25</v>
      </c>
      <c r="Q4741" s="0" t="n">
        <f aca="false">F4741*G4741</f>
        <v>0</v>
      </c>
      <c r="R4741" s="0" t="n">
        <f aca="false">F4741*H4741</f>
        <v>-0</v>
      </c>
      <c r="S4741" s="0" t="n">
        <f aca="false">G4741*H4741</f>
        <v>-0</v>
      </c>
      <c r="T4741" s="0" t="n">
        <f aca="false">E4741*E4741</f>
        <v>0.25</v>
      </c>
      <c r="U4741" s="0" t="n">
        <f aca="false">F4741*F4741</f>
        <v>0</v>
      </c>
      <c r="V4741" s="0" t="n">
        <f aca="false">G4741*G4741</f>
        <v>0</v>
      </c>
      <c r="W4741" s="0" t="n">
        <f aca="false">H4741*H4741</f>
        <v>0.25</v>
      </c>
      <c r="X4741" s="0" t="n">
        <f aca="false">SUMPRODUCT(I4741:W4741,_XtX!$B$96:$P$96)</f>
        <v>47.9354166666666</v>
      </c>
      <c r="Y4741" s="0" t="n">
        <f aca="false">SUMPRODUCT(MMULT(I4741:W4741,_XtX!$B$78:$P$92),I4741:W4741)</f>
        <v>0.135850694444444</v>
      </c>
      <c r="Z4741" s="0" t="n">
        <f aca="false">04_回帰ANOVA!$K$19*04_回帰ANOVA!$K$14*SQRT(1+Y4741)</f>
        <v>1.38918158179389</v>
      </c>
      <c r="AA4741" s="0" t="n">
        <f aca="false">X4741-Z4741</f>
        <v>46.5462350848727</v>
      </c>
      <c r="AB4741" s="0" t="n">
        <f aca="false">X4741+Z4741</f>
        <v>49.3245982484605</v>
      </c>
      <c r="AC4741" s="54" t="b">
        <f aca="false">AND(E4741&gt;=01_因子設定!$L$5-0.000000001,E4741&lt;=01_因子設定!$M$5+0.000000001,F4741&gt;=01_因子設定!$L$6-0.000000001,F4741&lt;=01_因子設定!$M$6+0.000000001,G4741&gt;=01_因子設定!$L$7-0.000000001,G4741&lt;=01_因子設定!$M$7+0.000000001,H4741&gt;=01_因子設定!$L$8-0.000000001,H4741&lt;=01_因子設定!$M$8+0.000000001,IF(01_因子設定!$B$20="Box-Behnken",E4741^2+F4741^2+G4741^2+H4741^2&lt;=2+0.000000001,TRUE()))</f>
        <v>1</v>
      </c>
      <c r="AD4741" s="55" t="n">
        <f aca="false">IF(AC4741,IF(01_因子設定!$B$13="最大化",AA4741-01_因子設定!$B$14,IF(01_因子設定!$B$13="最小化",01_因子設定!$B$15-AB4741,MIN(AA4741-01_因子設定!$B$14,01_因子設定!$B$15-AB4741))),-1E+030)</f>
        <v>0.0462350848727411</v>
      </c>
      <c r="AE4741" s="55" t="n">
        <f aca="false">IF(AC4741,IF(01_因子設定!$B$13="最大化",X4741,IF(01_因子設定!$B$13="最小化",-X4741,-ABS(X4741-01_因子設定!$B$16))),-1E+030)</f>
        <v>47.9354166666666</v>
      </c>
      <c r="AF4741" s="55" t="n">
        <f aca="false">AD4741+ROW()*0.000000001</f>
        <v>0.0462398258727411</v>
      </c>
      <c r="AG4741" s="55" t="n">
        <f aca="false">AE4741+ROW()*0.000000001</f>
        <v>47.9354214076666</v>
      </c>
    </row>
    <row r="4742" customFormat="false" ht="15" hidden="false" customHeight="false" outlineLevel="0" collapsed="false">
      <c r="A4742" s="0" t="n">
        <v>6</v>
      </c>
      <c r="B4742" s="0" t="n">
        <v>4</v>
      </c>
      <c r="C4742" s="0" t="n">
        <v>4</v>
      </c>
      <c r="D4742" s="0" t="n">
        <v>3</v>
      </c>
      <c r="E4742" s="0" t="n">
        <f aca="false">-1+A4742*0.25</f>
        <v>0.5</v>
      </c>
      <c r="F4742" s="0" t="n">
        <f aca="false">-1+B4742*0.25</f>
        <v>0</v>
      </c>
      <c r="G4742" s="0" t="n">
        <f aca="false">-1+C4742*0.25</f>
        <v>0</v>
      </c>
      <c r="H4742" s="0" t="n">
        <f aca="false">-1+D4742*0.25</f>
        <v>-0.25</v>
      </c>
      <c r="I4742" s="0" t="n">
        <f aca="false">1</f>
        <v>1</v>
      </c>
      <c r="J4742" s="0" t="n">
        <f aca="false">E4742</f>
        <v>0.5</v>
      </c>
      <c r="K4742" s="0" t="n">
        <f aca="false">F4742</f>
        <v>0</v>
      </c>
      <c r="L4742" s="0" t="n">
        <f aca="false">G4742</f>
        <v>0</v>
      </c>
      <c r="M4742" s="0" t="n">
        <f aca="false">H4742</f>
        <v>-0.25</v>
      </c>
      <c r="N4742" s="0" t="n">
        <f aca="false">E4742*F4742</f>
        <v>0</v>
      </c>
      <c r="O4742" s="0" t="n">
        <f aca="false">E4742*G4742</f>
        <v>0</v>
      </c>
      <c r="P4742" s="0" t="n">
        <f aca="false">E4742*H4742</f>
        <v>-0.125</v>
      </c>
      <c r="Q4742" s="0" t="n">
        <f aca="false">F4742*G4742</f>
        <v>0</v>
      </c>
      <c r="R4742" s="0" t="n">
        <f aca="false">F4742*H4742</f>
        <v>-0</v>
      </c>
      <c r="S4742" s="0" t="n">
        <f aca="false">G4742*H4742</f>
        <v>-0</v>
      </c>
      <c r="T4742" s="0" t="n">
        <f aca="false">E4742*E4742</f>
        <v>0.25</v>
      </c>
      <c r="U4742" s="0" t="n">
        <f aca="false">F4742*F4742</f>
        <v>0</v>
      </c>
      <c r="V4742" s="0" t="n">
        <f aca="false">G4742*G4742</f>
        <v>0</v>
      </c>
      <c r="W4742" s="0" t="n">
        <f aca="false">H4742*H4742</f>
        <v>0.0625</v>
      </c>
      <c r="X4742" s="0" t="n">
        <f aca="false">SUMPRODUCT(I4742:W4742,_XtX!$B$96:$P$96)</f>
        <v>48.1241410818713</v>
      </c>
      <c r="Y4742" s="0" t="n">
        <f aca="false">SUMPRODUCT(MMULT(I4742:W4742,_XtX!$B$78:$P$92),I4742:W4742)</f>
        <v>0.120448419225146</v>
      </c>
      <c r="Z4742" s="0" t="n">
        <f aca="false">04_回帰ANOVA!$K$19*04_回帰ANOVA!$K$14*SQRT(1+Y4742)</f>
        <v>1.37973069703246</v>
      </c>
      <c r="AA4742" s="0" t="n">
        <f aca="false">X4742-Z4742</f>
        <v>46.7444103848388</v>
      </c>
      <c r="AB4742" s="0" t="n">
        <f aca="false">X4742+Z4742</f>
        <v>49.5038717789038</v>
      </c>
      <c r="AC4742" s="54" t="b">
        <f aca="false">AND(E4742&gt;=01_因子設定!$L$5-0.000000001,E4742&lt;=01_因子設定!$M$5+0.000000001,F4742&gt;=01_因子設定!$L$6-0.000000001,F4742&lt;=01_因子設定!$M$6+0.000000001,G4742&gt;=01_因子設定!$L$7-0.000000001,G4742&lt;=01_因子設定!$M$7+0.000000001,H4742&gt;=01_因子設定!$L$8-0.000000001,H4742&lt;=01_因子設定!$M$8+0.000000001,IF(01_因子設定!$B$20="Box-Behnken",E4742^2+F4742^2+G4742^2+H4742^2&lt;=2+0.000000001,TRUE()))</f>
        <v>1</v>
      </c>
      <c r="AD4742" s="55" t="n">
        <f aca="false">IF(AC4742,IF(01_因子設定!$B$13="最大化",AA4742-01_因子設定!$B$14,IF(01_因子設定!$B$13="最小化",01_因子設定!$B$15-AB4742,MIN(AA4742-01_因子設定!$B$14,01_因子設定!$B$15-AB4742))),-1E+030)</f>
        <v>0.244410384838837</v>
      </c>
      <c r="AE4742" s="55" t="n">
        <f aca="false">IF(AC4742,IF(01_因子設定!$B$13="最大化",X4742,IF(01_因子設定!$B$13="最小化",-X4742,-ABS(X4742-01_因子設定!$B$16))),-1E+030)</f>
        <v>48.1241410818713</v>
      </c>
      <c r="AF4742" s="55" t="n">
        <f aca="false">AD4742+ROW()*0.000000001</f>
        <v>0.244415126838837</v>
      </c>
      <c r="AG4742" s="55" t="n">
        <f aca="false">AE4742+ROW()*0.000000001</f>
        <v>48.1241458238713</v>
      </c>
    </row>
    <row r="4743" customFormat="false" ht="15" hidden="false" customHeight="false" outlineLevel="0" collapsed="false">
      <c r="A4743" s="0" t="n">
        <v>6</v>
      </c>
      <c r="B4743" s="0" t="n">
        <v>4</v>
      </c>
      <c r="C4743" s="0" t="n">
        <v>4</v>
      </c>
      <c r="D4743" s="0" t="n">
        <v>4</v>
      </c>
      <c r="E4743" s="0" t="n">
        <f aca="false">-1+A4743*0.25</f>
        <v>0.5</v>
      </c>
      <c r="F4743" s="0" t="n">
        <f aca="false">-1+B4743*0.25</f>
        <v>0</v>
      </c>
      <c r="G4743" s="0" t="n">
        <f aca="false">-1+C4743*0.25</f>
        <v>0</v>
      </c>
      <c r="H4743" s="0" t="n">
        <f aca="false">-1+D4743*0.25</f>
        <v>0</v>
      </c>
      <c r="I4743" s="0" t="n">
        <f aca="false">1</f>
        <v>1</v>
      </c>
      <c r="J4743" s="0" t="n">
        <f aca="false">E4743</f>
        <v>0.5</v>
      </c>
      <c r="K4743" s="0" t="n">
        <f aca="false">F4743</f>
        <v>0</v>
      </c>
      <c r="L4743" s="0" t="n">
        <f aca="false">G4743</f>
        <v>0</v>
      </c>
      <c r="M4743" s="0" t="n">
        <f aca="false">H4743</f>
        <v>0</v>
      </c>
      <c r="N4743" s="0" t="n">
        <f aca="false">E4743*F4743</f>
        <v>0</v>
      </c>
      <c r="O4743" s="0" t="n">
        <f aca="false">E4743*G4743</f>
        <v>0</v>
      </c>
      <c r="P4743" s="0" t="n">
        <f aca="false">E4743*H4743</f>
        <v>0</v>
      </c>
      <c r="Q4743" s="0" t="n">
        <f aca="false">F4743*G4743</f>
        <v>0</v>
      </c>
      <c r="R4743" s="0" t="n">
        <f aca="false">F4743*H4743</f>
        <v>0</v>
      </c>
      <c r="S4743" s="0" t="n">
        <f aca="false">G4743*H4743</f>
        <v>0</v>
      </c>
      <c r="T4743" s="0" t="n">
        <f aca="false">E4743*E4743</f>
        <v>0.25</v>
      </c>
      <c r="U4743" s="0" t="n">
        <f aca="false">F4743*F4743</f>
        <v>0</v>
      </c>
      <c r="V4743" s="0" t="n">
        <f aca="false">G4743*G4743</f>
        <v>0</v>
      </c>
      <c r="W4743" s="0" t="n">
        <f aca="false">H4743*H4743</f>
        <v>0</v>
      </c>
      <c r="X4743" s="0" t="n">
        <f aca="false">SUMPRODUCT(I4743:W4743,_XtX!$B$96:$P$96)</f>
        <v>48.2650584795321</v>
      </c>
      <c r="Y4743" s="0" t="n">
        <f aca="false">SUMPRODUCT(MMULT(I4743:W4743,_XtX!$B$78:$P$92),I4743:W4743)</f>
        <v>0.121345029239766</v>
      </c>
      <c r="Z4743" s="0" t="n">
        <f aca="false">04_回帰ANOVA!$K$19*04_回帰ANOVA!$K$14*SQRT(1+Y4743)</f>
        <v>1.3802826336289</v>
      </c>
      <c r="AA4743" s="0" t="n">
        <f aca="false">X4743-Z4743</f>
        <v>46.8847758459032</v>
      </c>
      <c r="AB4743" s="0" t="n">
        <f aca="false">X4743+Z4743</f>
        <v>49.645341113161</v>
      </c>
      <c r="AC4743" s="54" t="b">
        <f aca="false">AND(E4743&gt;=01_因子設定!$L$5-0.000000001,E4743&lt;=01_因子設定!$M$5+0.000000001,F4743&gt;=01_因子設定!$L$6-0.000000001,F4743&lt;=01_因子設定!$M$6+0.000000001,G4743&gt;=01_因子設定!$L$7-0.000000001,G4743&lt;=01_因子設定!$M$7+0.000000001,H4743&gt;=01_因子設定!$L$8-0.000000001,H4743&lt;=01_因子設定!$M$8+0.000000001,IF(01_因子設定!$B$20="Box-Behnken",E4743^2+F4743^2+G4743^2+H4743^2&lt;=2+0.000000001,TRUE()))</f>
        <v>1</v>
      </c>
      <c r="AD4743" s="55" t="n">
        <f aca="false">IF(AC4743,IF(01_因子設定!$B$13="最大化",AA4743-01_因子設定!$B$14,IF(01_因子設定!$B$13="最小化",01_因子設定!$B$15-AB4743,MIN(AA4743-01_因子設定!$B$14,01_因子設定!$B$15-AB4743))),-1E+030)</f>
        <v>0.384775845903221</v>
      </c>
      <c r="AE4743" s="55" t="n">
        <f aca="false">IF(AC4743,IF(01_因子設定!$B$13="最大化",X4743,IF(01_因子設定!$B$13="最小化",-X4743,-ABS(X4743-01_因子設定!$B$16))),-1E+030)</f>
        <v>48.2650584795321</v>
      </c>
      <c r="AF4743" s="55" t="n">
        <f aca="false">AD4743+ROW()*0.000000001</f>
        <v>0.384780588903221</v>
      </c>
      <c r="AG4743" s="55" t="n">
        <f aca="false">AE4743+ROW()*0.000000001</f>
        <v>48.2650632225321</v>
      </c>
    </row>
    <row r="4744" customFormat="false" ht="15" hidden="false" customHeight="false" outlineLevel="0" collapsed="false">
      <c r="A4744" s="0" t="n">
        <v>6</v>
      </c>
      <c r="B4744" s="0" t="n">
        <v>4</v>
      </c>
      <c r="C4744" s="0" t="n">
        <v>4</v>
      </c>
      <c r="D4744" s="0" t="n">
        <v>5</v>
      </c>
      <c r="E4744" s="0" t="n">
        <f aca="false">-1+A4744*0.25</f>
        <v>0.5</v>
      </c>
      <c r="F4744" s="0" t="n">
        <f aca="false">-1+B4744*0.25</f>
        <v>0</v>
      </c>
      <c r="G4744" s="0" t="n">
        <f aca="false">-1+C4744*0.25</f>
        <v>0</v>
      </c>
      <c r="H4744" s="0" t="n">
        <f aca="false">-1+D4744*0.25</f>
        <v>0.25</v>
      </c>
      <c r="I4744" s="0" t="n">
        <f aca="false">1</f>
        <v>1</v>
      </c>
      <c r="J4744" s="0" t="n">
        <f aca="false">E4744</f>
        <v>0.5</v>
      </c>
      <c r="K4744" s="0" t="n">
        <f aca="false">F4744</f>
        <v>0</v>
      </c>
      <c r="L4744" s="0" t="n">
        <f aca="false">G4744</f>
        <v>0</v>
      </c>
      <c r="M4744" s="0" t="n">
        <f aca="false">H4744</f>
        <v>0.25</v>
      </c>
      <c r="N4744" s="0" t="n">
        <f aca="false">E4744*F4744</f>
        <v>0</v>
      </c>
      <c r="O4744" s="0" t="n">
        <f aca="false">E4744*G4744</f>
        <v>0</v>
      </c>
      <c r="P4744" s="0" t="n">
        <f aca="false">E4744*H4744</f>
        <v>0.125</v>
      </c>
      <c r="Q4744" s="0" t="n">
        <f aca="false">F4744*G4744</f>
        <v>0</v>
      </c>
      <c r="R4744" s="0" t="n">
        <f aca="false">F4744*H4744</f>
        <v>0</v>
      </c>
      <c r="S4744" s="0" t="n">
        <f aca="false">G4744*H4744</f>
        <v>0</v>
      </c>
      <c r="T4744" s="0" t="n">
        <f aca="false">E4744*E4744</f>
        <v>0.25</v>
      </c>
      <c r="U4744" s="0" t="n">
        <f aca="false">F4744*F4744</f>
        <v>0</v>
      </c>
      <c r="V4744" s="0" t="n">
        <f aca="false">G4744*G4744</f>
        <v>0</v>
      </c>
      <c r="W4744" s="0" t="n">
        <f aca="false">H4744*H4744</f>
        <v>0.0625</v>
      </c>
      <c r="X4744" s="0" t="n">
        <f aca="false">SUMPRODUCT(I4744:W4744,_XtX!$B$96:$P$96)</f>
        <v>48.3581688596491</v>
      </c>
      <c r="Y4744" s="0" t="n">
        <f aca="false">SUMPRODUCT(MMULT(I4744:W4744,_XtX!$B$78:$P$92),I4744:W4744)</f>
        <v>0.120448419225146</v>
      </c>
      <c r="Z4744" s="0" t="n">
        <f aca="false">04_回帰ANOVA!$K$19*04_回帰ANOVA!$K$14*SQRT(1+Y4744)</f>
        <v>1.37973069703246</v>
      </c>
      <c r="AA4744" s="0" t="n">
        <f aca="false">X4744-Z4744</f>
        <v>46.9784381626166</v>
      </c>
      <c r="AB4744" s="0" t="n">
        <f aca="false">X4744+Z4744</f>
        <v>49.7378995566816</v>
      </c>
      <c r="AC4744" s="54" t="b">
        <f aca="false">AND(E4744&gt;=01_因子設定!$L$5-0.000000001,E4744&lt;=01_因子設定!$M$5+0.000000001,F4744&gt;=01_因子設定!$L$6-0.000000001,F4744&lt;=01_因子設定!$M$6+0.000000001,G4744&gt;=01_因子設定!$L$7-0.000000001,G4744&lt;=01_因子設定!$M$7+0.000000001,H4744&gt;=01_因子設定!$L$8-0.000000001,H4744&lt;=01_因子設定!$M$8+0.000000001,IF(01_因子設定!$B$20="Box-Behnken",E4744^2+F4744^2+G4744^2+H4744^2&lt;=2+0.000000001,TRUE()))</f>
        <v>1</v>
      </c>
      <c r="AD4744" s="55" t="n">
        <f aca="false">IF(AC4744,IF(01_因子設定!$B$13="最大化",AA4744-01_因子設定!$B$14,IF(01_因子設定!$B$13="最小化",01_因子設定!$B$15-AB4744,MIN(AA4744-01_因子設定!$B$14,01_因子設定!$B$15-AB4744))),-1E+030)</f>
        <v>0.478438162616619</v>
      </c>
      <c r="AE4744" s="55" t="n">
        <f aca="false">IF(AC4744,IF(01_因子設定!$B$13="最大化",X4744,IF(01_因子設定!$B$13="最小化",-X4744,-ABS(X4744-01_因子設定!$B$16))),-1E+030)</f>
        <v>48.3581688596491</v>
      </c>
      <c r="AF4744" s="55" t="n">
        <f aca="false">AD4744+ROW()*0.000000001</f>
        <v>0.478442906616619</v>
      </c>
      <c r="AG4744" s="55" t="n">
        <f aca="false">AE4744+ROW()*0.000000001</f>
        <v>48.3581736036491</v>
      </c>
    </row>
    <row r="4745" customFormat="false" ht="15" hidden="false" customHeight="false" outlineLevel="0" collapsed="false">
      <c r="A4745" s="0" t="n">
        <v>6</v>
      </c>
      <c r="B4745" s="0" t="n">
        <v>4</v>
      </c>
      <c r="C4745" s="0" t="n">
        <v>4</v>
      </c>
      <c r="D4745" s="0" t="n">
        <v>6</v>
      </c>
      <c r="E4745" s="0" t="n">
        <f aca="false">-1+A4745*0.25</f>
        <v>0.5</v>
      </c>
      <c r="F4745" s="0" t="n">
        <f aca="false">-1+B4745*0.25</f>
        <v>0</v>
      </c>
      <c r="G4745" s="0" t="n">
        <f aca="false">-1+C4745*0.25</f>
        <v>0</v>
      </c>
      <c r="H4745" s="0" t="n">
        <f aca="false">-1+D4745*0.25</f>
        <v>0.5</v>
      </c>
      <c r="I4745" s="0" t="n">
        <f aca="false">1</f>
        <v>1</v>
      </c>
      <c r="J4745" s="0" t="n">
        <f aca="false">E4745</f>
        <v>0.5</v>
      </c>
      <c r="K4745" s="0" t="n">
        <f aca="false">F4745</f>
        <v>0</v>
      </c>
      <c r="L4745" s="0" t="n">
        <f aca="false">G4745</f>
        <v>0</v>
      </c>
      <c r="M4745" s="0" t="n">
        <f aca="false">H4745</f>
        <v>0.5</v>
      </c>
      <c r="N4745" s="0" t="n">
        <f aca="false">E4745*F4745</f>
        <v>0</v>
      </c>
      <c r="O4745" s="0" t="n">
        <f aca="false">E4745*G4745</f>
        <v>0</v>
      </c>
      <c r="P4745" s="0" t="n">
        <f aca="false">E4745*H4745</f>
        <v>0.25</v>
      </c>
      <c r="Q4745" s="0" t="n">
        <f aca="false">F4745*G4745</f>
        <v>0</v>
      </c>
      <c r="R4745" s="0" t="n">
        <f aca="false">F4745*H4745</f>
        <v>0</v>
      </c>
      <c r="S4745" s="0" t="n">
        <f aca="false">G4745*H4745</f>
        <v>0</v>
      </c>
      <c r="T4745" s="0" t="n">
        <f aca="false">E4745*E4745</f>
        <v>0.25</v>
      </c>
      <c r="U4745" s="0" t="n">
        <f aca="false">F4745*F4745</f>
        <v>0</v>
      </c>
      <c r="V4745" s="0" t="n">
        <f aca="false">G4745*G4745</f>
        <v>0</v>
      </c>
      <c r="W4745" s="0" t="n">
        <f aca="false">H4745*H4745</f>
        <v>0.25</v>
      </c>
      <c r="X4745" s="0" t="n">
        <f aca="false">SUMPRODUCT(I4745:W4745,_XtX!$B$96:$P$96)</f>
        <v>48.4034722222222</v>
      </c>
      <c r="Y4745" s="0" t="n">
        <f aca="false">SUMPRODUCT(MMULT(I4745:W4745,_XtX!$B$78:$P$92),I4745:W4745)</f>
        <v>0.135850694444444</v>
      </c>
      <c r="Z4745" s="0" t="n">
        <f aca="false">04_回帰ANOVA!$K$19*04_回帰ANOVA!$K$14*SQRT(1+Y4745)</f>
        <v>1.38918158179389</v>
      </c>
      <c r="AA4745" s="0" t="n">
        <f aca="false">X4745-Z4745</f>
        <v>47.0142906404283</v>
      </c>
      <c r="AB4745" s="0" t="n">
        <f aca="false">X4745+Z4745</f>
        <v>49.7926538040161</v>
      </c>
      <c r="AC4745" s="54" t="b">
        <f aca="false">AND(E4745&gt;=01_因子設定!$L$5-0.000000001,E4745&lt;=01_因子設定!$M$5+0.000000001,F4745&gt;=01_因子設定!$L$6-0.000000001,F4745&lt;=01_因子設定!$M$6+0.000000001,G4745&gt;=01_因子設定!$L$7-0.000000001,G4745&lt;=01_因子設定!$M$7+0.000000001,H4745&gt;=01_因子設定!$L$8-0.000000001,H4745&lt;=01_因子設定!$M$8+0.000000001,IF(01_因子設定!$B$20="Box-Behnken",E4745^2+F4745^2+G4745^2+H4745^2&lt;=2+0.000000001,TRUE()))</f>
        <v>1</v>
      </c>
      <c r="AD4745" s="55" t="n">
        <f aca="false">IF(AC4745,IF(01_因子設定!$B$13="最大化",AA4745-01_因子設定!$B$14,IF(01_因子設定!$B$13="最小化",01_因子設定!$B$15-AB4745,MIN(AA4745-01_因子設定!$B$14,01_因子設定!$B$15-AB4745))),-1E+030)</f>
        <v>0.514290640428293</v>
      </c>
      <c r="AE4745" s="55" t="n">
        <f aca="false">IF(AC4745,IF(01_因子設定!$B$13="最大化",X4745,IF(01_因子設定!$B$13="最小化",-X4745,-ABS(X4745-01_因子設定!$B$16))),-1E+030)</f>
        <v>48.4034722222222</v>
      </c>
      <c r="AF4745" s="55" t="n">
        <f aca="false">AD4745+ROW()*0.000000001</f>
        <v>0.514295385428293</v>
      </c>
      <c r="AG4745" s="55" t="n">
        <f aca="false">AE4745+ROW()*0.000000001</f>
        <v>48.4034769672222</v>
      </c>
    </row>
    <row r="4746" customFormat="false" ht="15" hidden="false" customHeight="false" outlineLevel="0" collapsed="false">
      <c r="A4746" s="0" t="n">
        <v>6</v>
      </c>
      <c r="B4746" s="0" t="n">
        <v>4</v>
      </c>
      <c r="C4746" s="0" t="n">
        <v>4</v>
      </c>
      <c r="D4746" s="0" t="n">
        <v>7</v>
      </c>
      <c r="E4746" s="0" t="n">
        <f aca="false">-1+A4746*0.25</f>
        <v>0.5</v>
      </c>
      <c r="F4746" s="0" t="n">
        <f aca="false">-1+B4746*0.25</f>
        <v>0</v>
      </c>
      <c r="G4746" s="0" t="n">
        <f aca="false">-1+C4746*0.25</f>
        <v>0</v>
      </c>
      <c r="H4746" s="0" t="n">
        <f aca="false">-1+D4746*0.25</f>
        <v>0.75</v>
      </c>
      <c r="I4746" s="0" t="n">
        <f aca="false">1</f>
        <v>1</v>
      </c>
      <c r="J4746" s="0" t="n">
        <f aca="false">E4746</f>
        <v>0.5</v>
      </c>
      <c r="K4746" s="0" t="n">
        <f aca="false">F4746</f>
        <v>0</v>
      </c>
      <c r="L4746" s="0" t="n">
        <f aca="false">G4746</f>
        <v>0</v>
      </c>
      <c r="M4746" s="0" t="n">
        <f aca="false">H4746</f>
        <v>0.75</v>
      </c>
      <c r="N4746" s="0" t="n">
        <f aca="false">E4746*F4746</f>
        <v>0</v>
      </c>
      <c r="O4746" s="0" t="n">
        <f aca="false">E4746*G4746</f>
        <v>0</v>
      </c>
      <c r="P4746" s="0" t="n">
        <f aca="false">E4746*H4746</f>
        <v>0.375</v>
      </c>
      <c r="Q4746" s="0" t="n">
        <f aca="false">F4746*G4746</f>
        <v>0</v>
      </c>
      <c r="R4746" s="0" t="n">
        <f aca="false">F4746*H4746</f>
        <v>0</v>
      </c>
      <c r="S4746" s="0" t="n">
        <f aca="false">G4746*H4746</f>
        <v>0</v>
      </c>
      <c r="T4746" s="0" t="n">
        <f aca="false">E4746*E4746</f>
        <v>0.25</v>
      </c>
      <c r="U4746" s="0" t="n">
        <f aca="false">F4746*F4746</f>
        <v>0</v>
      </c>
      <c r="V4746" s="0" t="n">
        <f aca="false">G4746*G4746</f>
        <v>0</v>
      </c>
      <c r="W4746" s="0" t="n">
        <f aca="false">H4746*H4746</f>
        <v>0.5625</v>
      </c>
      <c r="X4746" s="0" t="n">
        <f aca="false">SUMPRODUCT(I4746:W4746,_XtX!$B$96:$P$96)</f>
        <v>48.4009685672514</v>
      </c>
      <c r="Y4746" s="0" t="n">
        <f aca="false">SUMPRODUCT(MMULT(I4746:W4746,_XtX!$B$78:$P$92),I4746:W4746)</f>
        <v>0.221828170687135</v>
      </c>
      <c r="Z4746" s="0" t="n">
        <f aca="false">04_回帰ANOVA!$K$19*04_回帰ANOVA!$K$14*SQRT(1+Y4746)</f>
        <v>1.44079920361664</v>
      </c>
      <c r="AA4746" s="0" t="n">
        <f aca="false">X4746-Z4746</f>
        <v>46.9601693636348</v>
      </c>
      <c r="AB4746" s="0" t="n">
        <f aca="false">X4746+Z4746</f>
        <v>49.8417677708681</v>
      </c>
      <c r="AC4746" s="54" t="b">
        <f aca="false">AND(E4746&gt;=01_因子設定!$L$5-0.000000001,E4746&lt;=01_因子設定!$M$5+0.000000001,F4746&gt;=01_因子設定!$L$6-0.000000001,F4746&lt;=01_因子設定!$M$6+0.000000001,G4746&gt;=01_因子設定!$L$7-0.000000001,G4746&lt;=01_因子設定!$M$7+0.000000001,H4746&gt;=01_因子設定!$L$8-0.000000001,H4746&lt;=01_因子設定!$M$8+0.000000001,IF(01_因子設定!$B$20="Box-Behnken",E4746^2+F4746^2+G4746^2+H4746^2&lt;=2+0.000000001,TRUE()))</f>
        <v>1</v>
      </c>
      <c r="AD4746" s="55" t="n">
        <f aca="false">IF(AC4746,IF(01_因子設定!$B$13="最大化",AA4746-01_因子設定!$B$14,IF(01_因子設定!$B$13="最小化",01_因子設定!$B$15-AB4746,MIN(AA4746-01_因子設定!$B$14,01_因子設定!$B$15-AB4746))),-1E+030)</f>
        <v>0.460169363634797</v>
      </c>
      <c r="AE4746" s="55" t="n">
        <f aca="false">IF(AC4746,IF(01_因子設定!$B$13="最大化",X4746,IF(01_因子設定!$B$13="最小化",-X4746,-ABS(X4746-01_因子設定!$B$16))),-1E+030)</f>
        <v>48.4009685672514</v>
      </c>
      <c r="AF4746" s="55" t="n">
        <f aca="false">AD4746+ROW()*0.000000001</f>
        <v>0.460174109634797</v>
      </c>
      <c r="AG4746" s="55" t="n">
        <f aca="false">AE4746+ROW()*0.000000001</f>
        <v>48.4009733132514</v>
      </c>
    </row>
    <row r="4747" customFormat="false" ht="15" hidden="false" customHeight="false" outlineLevel="0" collapsed="false">
      <c r="A4747" s="0" t="n">
        <v>6</v>
      </c>
      <c r="B4747" s="0" t="n">
        <v>4</v>
      </c>
      <c r="C4747" s="0" t="n">
        <v>4</v>
      </c>
      <c r="D4747" s="0" t="n">
        <v>8</v>
      </c>
      <c r="E4747" s="0" t="n">
        <f aca="false">-1+A4747*0.25</f>
        <v>0.5</v>
      </c>
      <c r="F4747" s="0" t="n">
        <f aca="false">-1+B4747*0.25</f>
        <v>0</v>
      </c>
      <c r="G4747" s="0" t="n">
        <f aca="false">-1+C4747*0.25</f>
        <v>0</v>
      </c>
      <c r="H4747" s="0" t="n">
        <f aca="false">-1+D4747*0.25</f>
        <v>1</v>
      </c>
      <c r="I4747" s="0" t="n">
        <f aca="false">1</f>
        <v>1</v>
      </c>
      <c r="J4747" s="0" t="n">
        <f aca="false">E4747</f>
        <v>0.5</v>
      </c>
      <c r="K4747" s="0" t="n">
        <f aca="false">F4747</f>
        <v>0</v>
      </c>
      <c r="L4747" s="0" t="n">
        <f aca="false">G4747</f>
        <v>0</v>
      </c>
      <c r="M4747" s="0" t="n">
        <f aca="false">H4747</f>
        <v>1</v>
      </c>
      <c r="N4747" s="0" t="n">
        <f aca="false">E4747*F4747</f>
        <v>0</v>
      </c>
      <c r="O4747" s="0" t="n">
        <f aca="false">E4747*G4747</f>
        <v>0</v>
      </c>
      <c r="P4747" s="0" t="n">
        <f aca="false">E4747*H4747</f>
        <v>0.5</v>
      </c>
      <c r="Q4747" s="0" t="n">
        <f aca="false">F4747*G4747</f>
        <v>0</v>
      </c>
      <c r="R4747" s="0" t="n">
        <f aca="false">F4747*H4747</f>
        <v>0</v>
      </c>
      <c r="S4747" s="0" t="n">
        <f aca="false">G4747*H4747</f>
        <v>0</v>
      </c>
      <c r="T4747" s="0" t="n">
        <f aca="false">E4747*E4747</f>
        <v>0.25</v>
      </c>
      <c r="U4747" s="0" t="n">
        <f aca="false">F4747*F4747</f>
        <v>0</v>
      </c>
      <c r="V4747" s="0" t="n">
        <f aca="false">G4747*G4747</f>
        <v>0</v>
      </c>
      <c r="W4747" s="0" t="n">
        <f aca="false">H4747*H4747</f>
        <v>1</v>
      </c>
      <c r="X4747" s="0" t="n">
        <f aca="false">SUMPRODUCT(I4747:W4747,_XtX!$B$96:$P$96)</f>
        <v>48.3506578947368</v>
      </c>
      <c r="Y4747" s="0" t="n">
        <f aca="false">SUMPRODUCT(MMULT(I4747:W4747,_XtX!$B$78:$P$92),I4747:W4747)</f>
        <v>0.468841374269006</v>
      </c>
      <c r="Z4747" s="0" t="n">
        <f aca="false">04_回帰ANOVA!$K$19*04_回帰ANOVA!$K$14*SQRT(1+Y4747)</f>
        <v>1.57974082366087</v>
      </c>
      <c r="AA4747" s="0" t="n">
        <f aca="false">X4747-Z4747</f>
        <v>46.770917071076</v>
      </c>
      <c r="AB4747" s="0" t="n">
        <f aca="false">X4747+Z4747</f>
        <v>49.9303987183977</v>
      </c>
      <c r="AC4747" s="54" t="b">
        <f aca="false">AND(E4747&gt;=01_因子設定!$L$5-0.000000001,E4747&lt;=01_因子設定!$M$5+0.000000001,F4747&gt;=01_因子設定!$L$6-0.000000001,F4747&lt;=01_因子設定!$M$6+0.000000001,G4747&gt;=01_因子設定!$L$7-0.000000001,G4747&lt;=01_因子設定!$M$7+0.000000001,H4747&gt;=01_因子設定!$L$8-0.000000001,H4747&lt;=01_因子設定!$M$8+0.000000001,IF(01_因子設定!$B$20="Box-Behnken",E4747^2+F4747^2+G4747^2+H4747^2&lt;=2+0.000000001,TRUE()))</f>
        <v>1</v>
      </c>
      <c r="AD4747" s="55" t="n">
        <f aca="false">IF(AC4747,IF(01_因子設定!$B$13="最大化",AA4747-01_因子設定!$B$14,IF(01_因子設定!$B$13="最小化",01_因子設定!$B$15-AB4747,MIN(AA4747-01_因子設定!$B$14,01_因子設定!$B$15-AB4747))),-1E+030)</f>
        <v>0.270917071075957</v>
      </c>
      <c r="AE4747" s="55" t="n">
        <f aca="false">IF(AC4747,IF(01_因子設定!$B$13="最大化",X4747,IF(01_因子設定!$B$13="最小化",-X4747,-ABS(X4747-01_因子設定!$B$16))),-1E+030)</f>
        <v>48.3506578947368</v>
      </c>
      <c r="AF4747" s="55" t="n">
        <f aca="false">AD4747+ROW()*0.000000001</f>
        <v>0.270921818075957</v>
      </c>
      <c r="AG4747" s="55" t="n">
        <f aca="false">AE4747+ROW()*0.000000001</f>
        <v>48.3506626417368</v>
      </c>
    </row>
    <row r="4748" customFormat="false" ht="15" hidden="false" customHeight="false" outlineLevel="0" collapsed="false">
      <c r="A4748" s="0" t="n">
        <v>6</v>
      </c>
      <c r="B4748" s="0" t="n">
        <v>4</v>
      </c>
      <c r="C4748" s="0" t="n">
        <v>5</v>
      </c>
      <c r="D4748" s="0" t="n">
        <v>0</v>
      </c>
      <c r="E4748" s="0" t="n">
        <f aca="false">-1+A4748*0.25</f>
        <v>0.5</v>
      </c>
      <c r="F4748" s="0" t="n">
        <f aca="false">-1+B4748*0.25</f>
        <v>0</v>
      </c>
      <c r="G4748" s="0" t="n">
        <f aca="false">-1+C4748*0.25</f>
        <v>0.25</v>
      </c>
      <c r="H4748" s="0" t="n">
        <f aca="false">-1+D4748*0.25</f>
        <v>-1</v>
      </c>
      <c r="I4748" s="0" t="n">
        <f aca="false">1</f>
        <v>1</v>
      </c>
      <c r="J4748" s="0" t="n">
        <f aca="false">E4748</f>
        <v>0.5</v>
      </c>
      <c r="K4748" s="0" t="n">
        <f aca="false">F4748</f>
        <v>0</v>
      </c>
      <c r="L4748" s="0" t="n">
        <f aca="false">G4748</f>
        <v>0.25</v>
      </c>
      <c r="M4748" s="0" t="n">
        <f aca="false">H4748</f>
        <v>-1</v>
      </c>
      <c r="N4748" s="0" t="n">
        <f aca="false">E4748*F4748</f>
        <v>0</v>
      </c>
      <c r="O4748" s="0" t="n">
        <f aca="false">E4748*G4748</f>
        <v>0.125</v>
      </c>
      <c r="P4748" s="0" t="n">
        <f aca="false">E4748*H4748</f>
        <v>-0.5</v>
      </c>
      <c r="Q4748" s="0" t="n">
        <f aca="false">F4748*G4748</f>
        <v>0</v>
      </c>
      <c r="R4748" s="0" t="n">
        <f aca="false">F4748*H4748</f>
        <v>-0</v>
      </c>
      <c r="S4748" s="0" t="n">
        <f aca="false">G4748*H4748</f>
        <v>-0.25</v>
      </c>
      <c r="T4748" s="0" t="n">
        <f aca="false">E4748*E4748</f>
        <v>0.25</v>
      </c>
      <c r="U4748" s="0" t="n">
        <f aca="false">F4748*F4748</f>
        <v>0</v>
      </c>
      <c r="V4748" s="0" t="n">
        <f aca="false">G4748*G4748</f>
        <v>0.0625</v>
      </c>
      <c r="W4748" s="0" t="n">
        <f aca="false">H4748*H4748</f>
        <v>1</v>
      </c>
      <c r="X4748" s="0" t="n">
        <f aca="false">SUMPRODUCT(I4748:W4748,_XtX!$B$96:$P$96)</f>
        <v>47.4646016081871</v>
      </c>
      <c r="Y4748" s="0" t="n">
        <f aca="false">SUMPRODUCT(MMULT(I4748:W4748,_XtX!$B$78:$P$92),I4748:W4748)</f>
        <v>0.457596628289474</v>
      </c>
      <c r="Z4748" s="0" t="n">
        <f aca="false">04_回帰ANOVA!$K$19*04_回帰ANOVA!$K$14*SQRT(1+Y4748)</f>
        <v>1.57368233664366</v>
      </c>
      <c r="AA4748" s="0" t="n">
        <f aca="false">X4748-Z4748</f>
        <v>45.8909192715435</v>
      </c>
      <c r="AB4748" s="0" t="n">
        <f aca="false">X4748+Z4748</f>
        <v>49.0382839448308</v>
      </c>
      <c r="AC4748" s="54" t="b">
        <f aca="false">AND(E4748&gt;=01_因子設定!$L$5-0.000000001,E4748&lt;=01_因子設定!$M$5+0.000000001,F4748&gt;=01_因子設定!$L$6-0.000000001,F4748&lt;=01_因子設定!$M$6+0.000000001,G4748&gt;=01_因子設定!$L$7-0.000000001,G4748&lt;=01_因子設定!$M$7+0.000000001,H4748&gt;=01_因子設定!$L$8-0.000000001,H4748&lt;=01_因子設定!$M$8+0.000000001,IF(01_因子設定!$B$20="Box-Behnken",E4748^2+F4748^2+G4748^2+H4748^2&lt;=2+0.000000001,TRUE()))</f>
        <v>1</v>
      </c>
      <c r="AD4748" s="55" t="n">
        <f aca="false">IF(AC4748,IF(01_因子設定!$B$13="最大化",AA4748-01_因子設定!$B$14,IF(01_因子設定!$B$13="最小化",01_因子設定!$B$15-AB4748,MIN(AA4748-01_因子設定!$B$14,01_因子設定!$B$15-AB4748))),-1E+030)</f>
        <v>-0.609080728456526</v>
      </c>
      <c r="AE4748" s="55" t="n">
        <f aca="false">IF(AC4748,IF(01_因子設定!$B$13="最大化",X4748,IF(01_因子設定!$B$13="最小化",-X4748,-ABS(X4748-01_因子設定!$B$16))),-1E+030)</f>
        <v>47.4646016081871</v>
      </c>
      <c r="AF4748" s="55" t="n">
        <f aca="false">AD4748+ROW()*0.000000001</f>
        <v>-0.609075980456526</v>
      </c>
      <c r="AG4748" s="55" t="n">
        <f aca="false">AE4748+ROW()*0.000000001</f>
        <v>47.4646063561871</v>
      </c>
    </row>
    <row r="4749" customFormat="false" ht="15" hidden="false" customHeight="false" outlineLevel="0" collapsed="false">
      <c r="A4749" s="0" t="n">
        <v>6</v>
      </c>
      <c r="B4749" s="0" t="n">
        <v>4</v>
      </c>
      <c r="C4749" s="0" t="n">
        <v>5</v>
      </c>
      <c r="D4749" s="0" t="n">
        <v>1</v>
      </c>
      <c r="E4749" s="0" t="n">
        <f aca="false">-1+A4749*0.25</f>
        <v>0.5</v>
      </c>
      <c r="F4749" s="0" t="n">
        <f aca="false">-1+B4749*0.25</f>
        <v>0</v>
      </c>
      <c r="G4749" s="0" t="n">
        <f aca="false">-1+C4749*0.25</f>
        <v>0.25</v>
      </c>
      <c r="H4749" s="0" t="n">
        <f aca="false">-1+D4749*0.25</f>
        <v>-0.75</v>
      </c>
      <c r="I4749" s="0" t="n">
        <f aca="false">1</f>
        <v>1</v>
      </c>
      <c r="J4749" s="0" t="n">
        <f aca="false">E4749</f>
        <v>0.5</v>
      </c>
      <c r="K4749" s="0" t="n">
        <f aca="false">F4749</f>
        <v>0</v>
      </c>
      <c r="L4749" s="0" t="n">
        <f aca="false">G4749</f>
        <v>0.25</v>
      </c>
      <c r="M4749" s="0" t="n">
        <f aca="false">H4749</f>
        <v>-0.75</v>
      </c>
      <c r="N4749" s="0" t="n">
        <f aca="false">E4749*F4749</f>
        <v>0</v>
      </c>
      <c r="O4749" s="0" t="n">
        <f aca="false">E4749*G4749</f>
        <v>0.125</v>
      </c>
      <c r="P4749" s="0" t="n">
        <f aca="false">E4749*H4749</f>
        <v>-0.375</v>
      </c>
      <c r="Q4749" s="0" t="n">
        <f aca="false">F4749*G4749</f>
        <v>0</v>
      </c>
      <c r="R4749" s="0" t="n">
        <f aca="false">F4749*H4749</f>
        <v>-0</v>
      </c>
      <c r="S4749" s="0" t="n">
        <f aca="false">G4749*H4749</f>
        <v>-0.1875</v>
      </c>
      <c r="T4749" s="0" t="n">
        <f aca="false">E4749*E4749</f>
        <v>0.25</v>
      </c>
      <c r="U4749" s="0" t="n">
        <f aca="false">F4749*F4749</f>
        <v>0</v>
      </c>
      <c r="V4749" s="0" t="n">
        <f aca="false">G4749*G4749</f>
        <v>0.0625</v>
      </c>
      <c r="W4749" s="0" t="n">
        <f aca="false">H4749*H4749</f>
        <v>0.5625</v>
      </c>
      <c r="X4749" s="0" t="n">
        <f aca="false">SUMPRODUCT(I4749:W4749,_XtX!$B$96:$P$96)</f>
        <v>47.7669088084795</v>
      </c>
      <c r="Y4749" s="0" t="n">
        <f aca="false">SUMPRODUCT(MMULT(I4749:W4749,_XtX!$B$78:$P$92),I4749:W4749)</f>
        <v>0.215110734192252</v>
      </c>
      <c r="Z4749" s="0" t="n">
        <f aca="false">04_回帰ANOVA!$K$19*04_回帰ANOVA!$K$14*SQRT(1+Y4749)</f>
        <v>1.43683309086864</v>
      </c>
      <c r="AA4749" s="0" t="n">
        <f aca="false">X4749-Z4749</f>
        <v>46.3300757176109</v>
      </c>
      <c r="AB4749" s="0" t="n">
        <f aca="false">X4749+Z4749</f>
        <v>49.2037418993482</v>
      </c>
      <c r="AC4749" s="54" t="b">
        <f aca="false">AND(E4749&gt;=01_因子設定!$L$5-0.000000001,E4749&lt;=01_因子設定!$M$5+0.000000001,F4749&gt;=01_因子設定!$L$6-0.000000001,F4749&lt;=01_因子設定!$M$6+0.000000001,G4749&gt;=01_因子設定!$L$7-0.000000001,G4749&lt;=01_因子設定!$M$7+0.000000001,H4749&gt;=01_因子設定!$L$8-0.000000001,H4749&lt;=01_因子設定!$M$8+0.000000001,IF(01_因子設定!$B$20="Box-Behnken",E4749^2+F4749^2+G4749^2+H4749^2&lt;=2+0.000000001,TRUE()))</f>
        <v>1</v>
      </c>
      <c r="AD4749" s="55" t="n">
        <f aca="false">IF(AC4749,IF(01_因子設定!$B$13="最大化",AA4749-01_因子設定!$B$14,IF(01_因子設定!$B$13="最小化",01_因子設定!$B$15-AB4749,MIN(AA4749-01_因子設定!$B$14,01_因子設定!$B$15-AB4749))),-1E+030)</f>
        <v>-0.169924282389132</v>
      </c>
      <c r="AE4749" s="55" t="n">
        <f aca="false">IF(AC4749,IF(01_因子設定!$B$13="最大化",X4749,IF(01_因子設定!$B$13="最小化",-X4749,-ABS(X4749-01_因子設定!$B$16))),-1E+030)</f>
        <v>47.7669088084795</v>
      </c>
      <c r="AF4749" s="55" t="n">
        <f aca="false">AD4749+ROW()*0.000000001</f>
        <v>-0.169919533389133</v>
      </c>
      <c r="AG4749" s="55" t="n">
        <f aca="false">AE4749+ROW()*0.000000001</f>
        <v>47.7669135574795</v>
      </c>
    </row>
    <row r="4750" customFormat="false" ht="15" hidden="false" customHeight="false" outlineLevel="0" collapsed="false">
      <c r="A4750" s="0" t="n">
        <v>6</v>
      </c>
      <c r="B4750" s="0" t="n">
        <v>4</v>
      </c>
      <c r="C4750" s="0" t="n">
        <v>5</v>
      </c>
      <c r="D4750" s="0" t="n">
        <v>2</v>
      </c>
      <c r="E4750" s="0" t="n">
        <f aca="false">-1+A4750*0.25</f>
        <v>0.5</v>
      </c>
      <c r="F4750" s="0" t="n">
        <f aca="false">-1+B4750*0.25</f>
        <v>0</v>
      </c>
      <c r="G4750" s="0" t="n">
        <f aca="false">-1+C4750*0.25</f>
        <v>0.25</v>
      </c>
      <c r="H4750" s="0" t="n">
        <f aca="false">-1+D4750*0.25</f>
        <v>-0.5</v>
      </c>
      <c r="I4750" s="0" t="n">
        <f aca="false">1</f>
        <v>1</v>
      </c>
      <c r="J4750" s="0" t="n">
        <f aca="false">E4750</f>
        <v>0.5</v>
      </c>
      <c r="K4750" s="0" t="n">
        <f aca="false">F4750</f>
        <v>0</v>
      </c>
      <c r="L4750" s="0" t="n">
        <f aca="false">G4750</f>
        <v>0.25</v>
      </c>
      <c r="M4750" s="0" t="n">
        <f aca="false">H4750</f>
        <v>-0.5</v>
      </c>
      <c r="N4750" s="0" t="n">
        <f aca="false">E4750*F4750</f>
        <v>0</v>
      </c>
      <c r="O4750" s="0" t="n">
        <f aca="false">E4750*G4750</f>
        <v>0.125</v>
      </c>
      <c r="P4750" s="0" t="n">
        <f aca="false">E4750*H4750</f>
        <v>-0.25</v>
      </c>
      <c r="Q4750" s="0" t="n">
        <f aca="false">F4750*G4750</f>
        <v>0</v>
      </c>
      <c r="R4750" s="0" t="n">
        <f aca="false">F4750*H4750</f>
        <v>-0</v>
      </c>
      <c r="S4750" s="0" t="n">
        <f aca="false">G4750*H4750</f>
        <v>-0.125</v>
      </c>
      <c r="T4750" s="0" t="n">
        <f aca="false">E4750*E4750</f>
        <v>0.25</v>
      </c>
      <c r="U4750" s="0" t="n">
        <f aca="false">F4750*F4750</f>
        <v>0</v>
      </c>
      <c r="V4750" s="0" t="n">
        <f aca="false">G4750*G4750</f>
        <v>0.0625</v>
      </c>
      <c r="W4750" s="0" t="n">
        <f aca="false">H4750*H4750</f>
        <v>0.25</v>
      </c>
      <c r="X4750" s="0" t="n">
        <f aca="false">SUMPRODUCT(I4750:W4750,_XtX!$B$96:$P$96)</f>
        <v>48.021408991228</v>
      </c>
      <c r="Y4750" s="0" t="n">
        <f aca="false">SUMPRODUCT(MMULT(I4750:W4750,_XtX!$B$78:$P$92),I4750:W4750)</f>
        <v>0.132367050438597</v>
      </c>
      <c r="Z4750" s="0" t="n">
        <f aca="false">04_回帰ANOVA!$K$19*04_回帰ANOVA!$K$14*SQRT(1+Y4750)</f>
        <v>1.38704964208329</v>
      </c>
      <c r="AA4750" s="0" t="n">
        <f aca="false">X4750-Z4750</f>
        <v>46.6343593491447</v>
      </c>
      <c r="AB4750" s="0" t="n">
        <f aca="false">X4750+Z4750</f>
        <v>49.4084586333113</v>
      </c>
      <c r="AC4750" s="54" t="b">
        <f aca="false">AND(E4750&gt;=01_因子設定!$L$5-0.000000001,E4750&lt;=01_因子設定!$M$5+0.000000001,F4750&gt;=01_因子設定!$L$6-0.000000001,F4750&lt;=01_因子設定!$M$6+0.000000001,G4750&gt;=01_因子設定!$L$7-0.000000001,G4750&lt;=01_因子設定!$M$7+0.000000001,H4750&gt;=01_因子設定!$L$8-0.000000001,H4750&lt;=01_因子設定!$M$8+0.000000001,IF(01_因子設定!$B$20="Box-Behnken",E4750^2+F4750^2+G4750^2+H4750^2&lt;=2+0.000000001,TRUE()))</f>
        <v>1</v>
      </c>
      <c r="AD4750" s="55" t="n">
        <f aca="false">IF(AC4750,IF(01_因子設定!$B$13="最大化",AA4750-01_因子設定!$B$14,IF(01_因子設定!$B$13="最小化",01_因子設定!$B$15-AB4750,MIN(AA4750-01_因子設定!$B$14,01_因子設定!$B$15-AB4750))),-1E+030)</f>
        <v>0.134359349144745</v>
      </c>
      <c r="AE4750" s="55" t="n">
        <f aca="false">IF(AC4750,IF(01_因子設定!$B$13="最大化",X4750,IF(01_因子設定!$B$13="最小化",-X4750,-ABS(X4750-01_因子設定!$B$16))),-1E+030)</f>
        <v>48.021408991228</v>
      </c>
      <c r="AF4750" s="55" t="n">
        <f aca="false">AD4750+ROW()*0.000000001</f>
        <v>0.134364099144745</v>
      </c>
      <c r="AG4750" s="55" t="n">
        <f aca="false">AE4750+ROW()*0.000000001</f>
        <v>48.021413741228</v>
      </c>
    </row>
    <row r="4751" customFormat="false" ht="15" hidden="false" customHeight="false" outlineLevel="0" collapsed="false">
      <c r="A4751" s="0" t="n">
        <v>6</v>
      </c>
      <c r="B4751" s="0" t="n">
        <v>4</v>
      </c>
      <c r="C4751" s="0" t="n">
        <v>5</v>
      </c>
      <c r="D4751" s="0" t="n">
        <v>3</v>
      </c>
      <c r="E4751" s="0" t="n">
        <f aca="false">-1+A4751*0.25</f>
        <v>0.5</v>
      </c>
      <c r="F4751" s="0" t="n">
        <f aca="false">-1+B4751*0.25</f>
        <v>0</v>
      </c>
      <c r="G4751" s="0" t="n">
        <f aca="false">-1+C4751*0.25</f>
        <v>0.25</v>
      </c>
      <c r="H4751" s="0" t="n">
        <f aca="false">-1+D4751*0.25</f>
        <v>-0.25</v>
      </c>
      <c r="I4751" s="0" t="n">
        <f aca="false">1</f>
        <v>1</v>
      </c>
      <c r="J4751" s="0" t="n">
        <f aca="false">E4751</f>
        <v>0.5</v>
      </c>
      <c r="K4751" s="0" t="n">
        <f aca="false">F4751</f>
        <v>0</v>
      </c>
      <c r="L4751" s="0" t="n">
        <f aca="false">G4751</f>
        <v>0.25</v>
      </c>
      <c r="M4751" s="0" t="n">
        <f aca="false">H4751</f>
        <v>-0.25</v>
      </c>
      <c r="N4751" s="0" t="n">
        <f aca="false">E4751*F4751</f>
        <v>0</v>
      </c>
      <c r="O4751" s="0" t="n">
        <f aca="false">E4751*G4751</f>
        <v>0.125</v>
      </c>
      <c r="P4751" s="0" t="n">
        <f aca="false">E4751*H4751</f>
        <v>-0.125</v>
      </c>
      <c r="Q4751" s="0" t="n">
        <f aca="false">F4751*G4751</f>
        <v>0</v>
      </c>
      <c r="R4751" s="0" t="n">
        <f aca="false">F4751*H4751</f>
        <v>-0</v>
      </c>
      <c r="S4751" s="0" t="n">
        <f aca="false">G4751*H4751</f>
        <v>-0.0625</v>
      </c>
      <c r="T4751" s="0" t="n">
        <f aca="false">E4751*E4751</f>
        <v>0.25</v>
      </c>
      <c r="U4751" s="0" t="n">
        <f aca="false">F4751*F4751</f>
        <v>0</v>
      </c>
      <c r="V4751" s="0" t="n">
        <f aca="false">G4751*G4751</f>
        <v>0.0625</v>
      </c>
      <c r="W4751" s="0" t="n">
        <f aca="false">H4751*H4751</f>
        <v>0.0625</v>
      </c>
      <c r="X4751" s="0" t="n">
        <f aca="false">SUMPRODUCT(I4751:W4751,_XtX!$B$96:$P$96)</f>
        <v>48.2281021564327</v>
      </c>
      <c r="Y4751" s="0" t="n">
        <f aca="false">SUMPRODUCT(MMULT(I4751:W4751,_XtX!$B$78:$P$92),I4751:W4751)</f>
        <v>0.118905050712719</v>
      </c>
      <c r="Z4751" s="0" t="n">
        <f aca="false">04_回帰ANOVA!$K$19*04_回帰ANOVA!$K$14*SQRT(1+Y4751)</f>
        <v>1.37878011033769</v>
      </c>
      <c r="AA4751" s="0" t="n">
        <f aca="false">X4751-Z4751</f>
        <v>46.849322046095</v>
      </c>
      <c r="AB4751" s="0" t="n">
        <f aca="false">X4751+Z4751</f>
        <v>49.6068822667704</v>
      </c>
      <c r="AC4751" s="54" t="b">
        <f aca="false">AND(E4751&gt;=01_因子設定!$L$5-0.000000001,E4751&lt;=01_因子設定!$M$5+0.000000001,F4751&gt;=01_因子設定!$L$6-0.000000001,F4751&lt;=01_因子設定!$M$6+0.000000001,G4751&gt;=01_因子設定!$L$7-0.000000001,G4751&lt;=01_因子設定!$M$7+0.000000001,H4751&gt;=01_因子設定!$L$8-0.000000001,H4751&lt;=01_因子設定!$M$8+0.000000001,IF(01_因子設定!$B$20="Box-Behnken",E4751^2+F4751^2+G4751^2+H4751^2&lt;=2+0.000000001,TRUE()))</f>
        <v>1</v>
      </c>
      <c r="AD4751" s="55" t="n">
        <f aca="false">IF(AC4751,IF(01_因子設定!$B$13="最大化",AA4751-01_因子設定!$B$14,IF(01_因子設定!$B$13="最小化",01_因子設定!$B$15-AB4751,MIN(AA4751-01_因子設定!$B$14,01_因子設定!$B$15-AB4751))),-1E+030)</f>
        <v>0.349322046095018</v>
      </c>
      <c r="AE4751" s="55" t="n">
        <f aca="false">IF(AC4751,IF(01_因子設定!$B$13="最大化",X4751,IF(01_因子設定!$B$13="最小化",-X4751,-ABS(X4751-01_因子設定!$B$16))),-1E+030)</f>
        <v>48.2281021564327</v>
      </c>
      <c r="AF4751" s="55" t="n">
        <f aca="false">AD4751+ROW()*0.000000001</f>
        <v>0.349326797095018</v>
      </c>
      <c r="AG4751" s="55" t="n">
        <f aca="false">AE4751+ROW()*0.000000001</f>
        <v>48.2281069074327</v>
      </c>
    </row>
    <row r="4752" customFormat="false" ht="15" hidden="false" customHeight="false" outlineLevel="0" collapsed="false">
      <c r="A4752" s="0" t="n">
        <v>6</v>
      </c>
      <c r="B4752" s="0" t="n">
        <v>4</v>
      </c>
      <c r="C4752" s="0" t="n">
        <v>5</v>
      </c>
      <c r="D4752" s="0" t="n">
        <v>4</v>
      </c>
      <c r="E4752" s="0" t="n">
        <f aca="false">-1+A4752*0.25</f>
        <v>0.5</v>
      </c>
      <c r="F4752" s="0" t="n">
        <f aca="false">-1+B4752*0.25</f>
        <v>0</v>
      </c>
      <c r="G4752" s="0" t="n">
        <f aca="false">-1+C4752*0.25</f>
        <v>0.25</v>
      </c>
      <c r="H4752" s="0" t="n">
        <f aca="false">-1+D4752*0.25</f>
        <v>0</v>
      </c>
      <c r="I4752" s="0" t="n">
        <f aca="false">1</f>
        <v>1</v>
      </c>
      <c r="J4752" s="0" t="n">
        <f aca="false">E4752</f>
        <v>0.5</v>
      </c>
      <c r="K4752" s="0" t="n">
        <f aca="false">F4752</f>
        <v>0</v>
      </c>
      <c r="L4752" s="0" t="n">
        <f aca="false">G4752</f>
        <v>0.25</v>
      </c>
      <c r="M4752" s="0" t="n">
        <f aca="false">H4752</f>
        <v>0</v>
      </c>
      <c r="N4752" s="0" t="n">
        <f aca="false">E4752*F4752</f>
        <v>0</v>
      </c>
      <c r="O4752" s="0" t="n">
        <f aca="false">E4752*G4752</f>
        <v>0.125</v>
      </c>
      <c r="P4752" s="0" t="n">
        <f aca="false">E4752*H4752</f>
        <v>0</v>
      </c>
      <c r="Q4752" s="0" t="n">
        <f aca="false">F4752*G4752</f>
        <v>0</v>
      </c>
      <c r="R4752" s="0" t="n">
        <f aca="false">F4752*H4752</f>
        <v>0</v>
      </c>
      <c r="S4752" s="0" t="n">
        <f aca="false">G4752*H4752</f>
        <v>0</v>
      </c>
      <c r="T4752" s="0" t="n">
        <f aca="false">E4752*E4752</f>
        <v>0.25</v>
      </c>
      <c r="U4752" s="0" t="n">
        <f aca="false">F4752*F4752</f>
        <v>0</v>
      </c>
      <c r="V4752" s="0" t="n">
        <f aca="false">G4752*G4752</f>
        <v>0.0625</v>
      </c>
      <c r="W4752" s="0" t="n">
        <f aca="false">H4752*H4752</f>
        <v>0</v>
      </c>
      <c r="X4752" s="0" t="n">
        <f aca="false">SUMPRODUCT(I4752:W4752,_XtX!$B$96:$P$96)</f>
        <v>48.3869883040935</v>
      </c>
      <c r="Y4752" s="0" t="n">
        <f aca="false">SUMPRODUCT(MMULT(I4752:W4752,_XtX!$B$78:$P$92),I4752:W4752)</f>
        <v>0.120448419225146</v>
      </c>
      <c r="Z4752" s="0" t="n">
        <f aca="false">04_回帰ANOVA!$K$19*04_回帰ANOVA!$K$14*SQRT(1+Y4752)</f>
        <v>1.37973069703246</v>
      </c>
      <c r="AA4752" s="0" t="n">
        <f aca="false">X4752-Z4752</f>
        <v>47.0072576070611</v>
      </c>
      <c r="AB4752" s="0" t="n">
        <f aca="false">X4752+Z4752</f>
        <v>49.766719001126</v>
      </c>
      <c r="AC4752" s="54" t="b">
        <f aca="false">AND(E4752&gt;=01_因子設定!$L$5-0.000000001,E4752&lt;=01_因子設定!$M$5+0.000000001,F4752&gt;=01_因子設定!$L$6-0.000000001,F4752&lt;=01_因子設定!$M$6+0.000000001,G4752&gt;=01_因子設定!$L$7-0.000000001,G4752&lt;=01_因子設定!$M$7+0.000000001,H4752&gt;=01_因子設定!$L$8-0.000000001,H4752&lt;=01_因子設定!$M$8+0.000000001,IF(01_因子設定!$B$20="Box-Behnken",E4752^2+F4752^2+G4752^2+H4752^2&lt;=2+0.000000001,TRUE()))</f>
        <v>1</v>
      </c>
      <c r="AD4752" s="55" t="n">
        <f aca="false">IF(AC4752,IF(01_因子設定!$B$13="最大化",AA4752-01_因子設定!$B$14,IF(01_因子設定!$B$13="最小化",01_因子設定!$B$15-AB4752,MIN(AA4752-01_因子設定!$B$14,01_因子設定!$B$15-AB4752))),-1E+030)</f>
        <v>0.507257607061057</v>
      </c>
      <c r="AE4752" s="55" t="n">
        <f aca="false">IF(AC4752,IF(01_因子設定!$B$13="最大化",X4752,IF(01_因子設定!$B$13="最小化",-X4752,-ABS(X4752-01_因子設定!$B$16))),-1E+030)</f>
        <v>48.3869883040935</v>
      </c>
      <c r="AF4752" s="55" t="n">
        <f aca="false">AD4752+ROW()*0.000000001</f>
        <v>0.507262359061057</v>
      </c>
      <c r="AG4752" s="55" t="n">
        <f aca="false">AE4752+ROW()*0.000000001</f>
        <v>48.3869930560935</v>
      </c>
    </row>
    <row r="4753" customFormat="false" ht="15" hidden="false" customHeight="false" outlineLevel="0" collapsed="false">
      <c r="A4753" s="0" t="n">
        <v>6</v>
      </c>
      <c r="B4753" s="0" t="n">
        <v>4</v>
      </c>
      <c r="C4753" s="0" t="n">
        <v>5</v>
      </c>
      <c r="D4753" s="0" t="n">
        <v>5</v>
      </c>
      <c r="E4753" s="0" t="n">
        <f aca="false">-1+A4753*0.25</f>
        <v>0.5</v>
      </c>
      <c r="F4753" s="0" t="n">
        <f aca="false">-1+B4753*0.25</f>
        <v>0</v>
      </c>
      <c r="G4753" s="0" t="n">
        <f aca="false">-1+C4753*0.25</f>
        <v>0.25</v>
      </c>
      <c r="H4753" s="0" t="n">
        <f aca="false">-1+D4753*0.25</f>
        <v>0.25</v>
      </c>
      <c r="I4753" s="0" t="n">
        <f aca="false">1</f>
        <v>1</v>
      </c>
      <c r="J4753" s="0" t="n">
        <f aca="false">E4753</f>
        <v>0.5</v>
      </c>
      <c r="K4753" s="0" t="n">
        <f aca="false">F4753</f>
        <v>0</v>
      </c>
      <c r="L4753" s="0" t="n">
        <f aca="false">G4753</f>
        <v>0.25</v>
      </c>
      <c r="M4753" s="0" t="n">
        <f aca="false">H4753</f>
        <v>0.25</v>
      </c>
      <c r="N4753" s="0" t="n">
        <f aca="false">E4753*F4753</f>
        <v>0</v>
      </c>
      <c r="O4753" s="0" t="n">
        <f aca="false">E4753*G4753</f>
        <v>0.125</v>
      </c>
      <c r="P4753" s="0" t="n">
        <f aca="false">E4753*H4753</f>
        <v>0.125</v>
      </c>
      <c r="Q4753" s="0" t="n">
        <f aca="false">F4753*G4753</f>
        <v>0</v>
      </c>
      <c r="R4753" s="0" t="n">
        <f aca="false">F4753*H4753</f>
        <v>0</v>
      </c>
      <c r="S4753" s="0" t="n">
        <f aca="false">G4753*H4753</f>
        <v>0.0625</v>
      </c>
      <c r="T4753" s="0" t="n">
        <f aca="false">E4753*E4753</f>
        <v>0.25</v>
      </c>
      <c r="U4753" s="0" t="n">
        <f aca="false">F4753*F4753</f>
        <v>0</v>
      </c>
      <c r="V4753" s="0" t="n">
        <f aca="false">G4753*G4753</f>
        <v>0.0625</v>
      </c>
      <c r="W4753" s="0" t="n">
        <f aca="false">H4753*H4753</f>
        <v>0.0625</v>
      </c>
      <c r="X4753" s="0" t="n">
        <f aca="false">SUMPRODUCT(I4753:W4753,_XtX!$B$96:$P$96)</f>
        <v>48.4980674342105</v>
      </c>
      <c r="Y4753" s="0" t="n">
        <f aca="false">SUMPRODUCT(MMULT(I4753:W4753,_XtX!$B$78:$P$92),I4753:W4753)</f>
        <v>0.118905050712719</v>
      </c>
      <c r="Z4753" s="0" t="n">
        <f aca="false">04_回帰ANOVA!$K$19*04_回帰ANOVA!$K$14*SQRT(1+Y4753)</f>
        <v>1.37878011033769</v>
      </c>
      <c r="AA4753" s="0" t="n">
        <f aca="false">X4753-Z4753</f>
        <v>47.1192873238728</v>
      </c>
      <c r="AB4753" s="0" t="n">
        <f aca="false">X4753+Z4753</f>
        <v>49.8768475445482</v>
      </c>
      <c r="AC4753" s="54" t="b">
        <f aca="false">AND(E4753&gt;=01_因子設定!$L$5-0.000000001,E4753&lt;=01_因子設定!$M$5+0.000000001,F4753&gt;=01_因子設定!$L$6-0.000000001,F4753&lt;=01_因子設定!$M$6+0.000000001,G4753&gt;=01_因子設定!$L$7-0.000000001,G4753&lt;=01_因子設定!$M$7+0.000000001,H4753&gt;=01_因子設定!$L$8-0.000000001,H4753&lt;=01_因子設定!$M$8+0.000000001,IF(01_因子設定!$B$20="Box-Behnken",E4753^2+F4753^2+G4753^2+H4753^2&lt;=2+0.000000001,TRUE()))</f>
        <v>1</v>
      </c>
      <c r="AD4753" s="55" t="n">
        <f aca="false">IF(AC4753,IF(01_因子設定!$B$13="最大化",AA4753-01_因子設定!$B$14,IF(01_因子設定!$B$13="最小化",01_因子設定!$B$15-AB4753,MIN(AA4753-01_因子設定!$B$14,01_因子設定!$B$15-AB4753))),-1E+030)</f>
        <v>0.619287323872797</v>
      </c>
      <c r="AE4753" s="55" t="n">
        <f aca="false">IF(AC4753,IF(01_因子設定!$B$13="最大化",X4753,IF(01_因子設定!$B$13="最小化",-X4753,-ABS(X4753-01_因子設定!$B$16))),-1E+030)</f>
        <v>48.4980674342105</v>
      </c>
      <c r="AF4753" s="55" t="n">
        <f aca="false">AD4753+ROW()*0.000000001</f>
        <v>0.619292076872797</v>
      </c>
      <c r="AG4753" s="55" t="n">
        <f aca="false">AE4753+ROW()*0.000000001</f>
        <v>48.4980721872105</v>
      </c>
    </row>
    <row r="4754" customFormat="false" ht="15" hidden="false" customHeight="false" outlineLevel="0" collapsed="false">
      <c r="A4754" s="0" t="n">
        <v>6</v>
      </c>
      <c r="B4754" s="0" t="n">
        <v>4</v>
      </c>
      <c r="C4754" s="0" t="n">
        <v>5</v>
      </c>
      <c r="D4754" s="0" t="n">
        <v>6</v>
      </c>
      <c r="E4754" s="0" t="n">
        <f aca="false">-1+A4754*0.25</f>
        <v>0.5</v>
      </c>
      <c r="F4754" s="0" t="n">
        <f aca="false">-1+B4754*0.25</f>
        <v>0</v>
      </c>
      <c r="G4754" s="0" t="n">
        <f aca="false">-1+C4754*0.25</f>
        <v>0.25</v>
      </c>
      <c r="H4754" s="0" t="n">
        <f aca="false">-1+D4754*0.25</f>
        <v>0.5</v>
      </c>
      <c r="I4754" s="0" t="n">
        <f aca="false">1</f>
        <v>1</v>
      </c>
      <c r="J4754" s="0" t="n">
        <f aca="false">E4754</f>
        <v>0.5</v>
      </c>
      <c r="K4754" s="0" t="n">
        <f aca="false">F4754</f>
        <v>0</v>
      </c>
      <c r="L4754" s="0" t="n">
        <f aca="false">G4754</f>
        <v>0.25</v>
      </c>
      <c r="M4754" s="0" t="n">
        <f aca="false">H4754</f>
        <v>0.5</v>
      </c>
      <c r="N4754" s="0" t="n">
        <f aca="false">E4754*F4754</f>
        <v>0</v>
      </c>
      <c r="O4754" s="0" t="n">
        <f aca="false">E4754*G4754</f>
        <v>0.125</v>
      </c>
      <c r="P4754" s="0" t="n">
        <f aca="false">E4754*H4754</f>
        <v>0.25</v>
      </c>
      <c r="Q4754" s="0" t="n">
        <f aca="false">F4754*G4754</f>
        <v>0</v>
      </c>
      <c r="R4754" s="0" t="n">
        <f aca="false">F4754*H4754</f>
        <v>0</v>
      </c>
      <c r="S4754" s="0" t="n">
        <f aca="false">G4754*H4754</f>
        <v>0.125</v>
      </c>
      <c r="T4754" s="0" t="n">
        <f aca="false">E4754*E4754</f>
        <v>0.25</v>
      </c>
      <c r="U4754" s="0" t="n">
        <f aca="false">F4754*F4754</f>
        <v>0</v>
      </c>
      <c r="V4754" s="0" t="n">
        <f aca="false">G4754*G4754</f>
        <v>0.0625</v>
      </c>
      <c r="W4754" s="0" t="n">
        <f aca="false">H4754*H4754</f>
        <v>0.25</v>
      </c>
      <c r="X4754" s="0" t="n">
        <f aca="false">SUMPRODUCT(I4754:W4754,_XtX!$B$96:$P$96)</f>
        <v>48.5613395467836</v>
      </c>
      <c r="Y4754" s="0" t="n">
        <f aca="false">SUMPRODUCT(MMULT(I4754:W4754,_XtX!$B$78:$P$92),I4754:W4754)</f>
        <v>0.132367050438597</v>
      </c>
      <c r="Z4754" s="0" t="n">
        <f aca="false">04_回帰ANOVA!$K$19*04_回帰ANOVA!$K$14*SQRT(1+Y4754)</f>
        <v>1.38704964208329</v>
      </c>
      <c r="AA4754" s="0" t="n">
        <f aca="false">X4754-Z4754</f>
        <v>47.1742899047003</v>
      </c>
      <c r="AB4754" s="0" t="n">
        <f aca="false">X4754+Z4754</f>
        <v>49.9483891888669</v>
      </c>
      <c r="AC4754" s="54" t="b">
        <f aca="false">AND(E4754&gt;=01_因子設定!$L$5-0.000000001,E4754&lt;=01_因子設定!$M$5+0.000000001,F4754&gt;=01_因子設定!$L$6-0.000000001,F4754&lt;=01_因子設定!$M$6+0.000000001,G4754&gt;=01_因子設定!$L$7-0.000000001,G4754&lt;=01_因子設定!$M$7+0.000000001,H4754&gt;=01_因子設定!$L$8-0.000000001,H4754&lt;=01_因子設定!$M$8+0.000000001,IF(01_因子設定!$B$20="Box-Behnken",E4754^2+F4754^2+G4754^2+H4754^2&lt;=2+0.000000001,TRUE()))</f>
        <v>1</v>
      </c>
      <c r="AD4754" s="55" t="n">
        <f aca="false">IF(AC4754,IF(01_因子設定!$B$13="最大化",AA4754-01_因子設定!$B$14,IF(01_因子設定!$B$13="最小化",01_因子設定!$B$15-AB4754,MIN(AA4754-01_因子設定!$B$14,01_因子設定!$B$15-AB4754))),-1E+030)</f>
        <v>0.674289904700302</v>
      </c>
      <c r="AE4754" s="55" t="n">
        <f aca="false">IF(AC4754,IF(01_因子設定!$B$13="最大化",X4754,IF(01_因子設定!$B$13="最小化",-X4754,-ABS(X4754-01_因子設定!$B$16))),-1E+030)</f>
        <v>48.5613395467836</v>
      </c>
      <c r="AF4754" s="55" t="n">
        <f aca="false">AD4754+ROW()*0.000000001</f>
        <v>0.674294658700302</v>
      </c>
      <c r="AG4754" s="55" t="n">
        <f aca="false">AE4754+ROW()*0.000000001</f>
        <v>48.5613443007836</v>
      </c>
    </row>
    <row r="4755" customFormat="false" ht="15" hidden="false" customHeight="false" outlineLevel="0" collapsed="false">
      <c r="A4755" s="0" t="n">
        <v>6</v>
      </c>
      <c r="B4755" s="0" t="n">
        <v>4</v>
      </c>
      <c r="C4755" s="0" t="n">
        <v>5</v>
      </c>
      <c r="D4755" s="0" t="n">
        <v>7</v>
      </c>
      <c r="E4755" s="0" t="n">
        <f aca="false">-1+A4755*0.25</f>
        <v>0.5</v>
      </c>
      <c r="F4755" s="0" t="n">
        <f aca="false">-1+B4755*0.25</f>
        <v>0</v>
      </c>
      <c r="G4755" s="0" t="n">
        <f aca="false">-1+C4755*0.25</f>
        <v>0.25</v>
      </c>
      <c r="H4755" s="0" t="n">
        <f aca="false">-1+D4755*0.25</f>
        <v>0.75</v>
      </c>
      <c r="I4755" s="0" t="n">
        <f aca="false">1</f>
        <v>1</v>
      </c>
      <c r="J4755" s="0" t="n">
        <f aca="false">E4755</f>
        <v>0.5</v>
      </c>
      <c r="K4755" s="0" t="n">
        <f aca="false">F4755</f>
        <v>0</v>
      </c>
      <c r="L4755" s="0" t="n">
        <f aca="false">G4755</f>
        <v>0.25</v>
      </c>
      <c r="M4755" s="0" t="n">
        <f aca="false">H4755</f>
        <v>0.75</v>
      </c>
      <c r="N4755" s="0" t="n">
        <f aca="false">E4755*F4755</f>
        <v>0</v>
      </c>
      <c r="O4755" s="0" t="n">
        <f aca="false">E4755*G4755</f>
        <v>0.125</v>
      </c>
      <c r="P4755" s="0" t="n">
        <f aca="false">E4755*H4755</f>
        <v>0.375</v>
      </c>
      <c r="Q4755" s="0" t="n">
        <f aca="false">F4755*G4755</f>
        <v>0</v>
      </c>
      <c r="R4755" s="0" t="n">
        <f aca="false">F4755*H4755</f>
        <v>0</v>
      </c>
      <c r="S4755" s="0" t="n">
        <f aca="false">G4755*H4755</f>
        <v>0.1875</v>
      </c>
      <c r="T4755" s="0" t="n">
        <f aca="false">E4755*E4755</f>
        <v>0.25</v>
      </c>
      <c r="U4755" s="0" t="n">
        <f aca="false">F4755*F4755</f>
        <v>0</v>
      </c>
      <c r="V4755" s="0" t="n">
        <f aca="false">G4755*G4755</f>
        <v>0.0625</v>
      </c>
      <c r="W4755" s="0" t="n">
        <f aca="false">H4755*H4755</f>
        <v>0.5625</v>
      </c>
      <c r="X4755" s="0" t="n">
        <f aca="false">SUMPRODUCT(I4755:W4755,_XtX!$B$96:$P$96)</f>
        <v>48.5768046418128</v>
      </c>
      <c r="Y4755" s="0" t="n">
        <f aca="false">SUMPRODUCT(MMULT(I4755:W4755,_XtX!$B$78:$P$92),I4755:W4755)</f>
        <v>0.215110734192252</v>
      </c>
      <c r="Z4755" s="0" t="n">
        <f aca="false">04_回帰ANOVA!$K$19*04_回帰ANOVA!$K$14*SQRT(1+Y4755)</f>
        <v>1.43683309086864</v>
      </c>
      <c r="AA4755" s="0" t="n">
        <f aca="false">X4755-Z4755</f>
        <v>47.1399715509442</v>
      </c>
      <c r="AB4755" s="0" t="n">
        <f aca="false">X4755+Z4755</f>
        <v>50.0136377326815</v>
      </c>
      <c r="AC4755" s="54" t="b">
        <f aca="false">AND(E4755&gt;=01_因子設定!$L$5-0.000000001,E4755&lt;=01_因子設定!$M$5+0.000000001,F4755&gt;=01_因子設定!$L$6-0.000000001,F4755&lt;=01_因子設定!$M$6+0.000000001,G4755&gt;=01_因子設定!$L$7-0.000000001,G4755&lt;=01_因子設定!$M$7+0.000000001,H4755&gt;=01_因子設定!$L$8-0.000000001,H4755&lt;=01_因子設定!$M$8+0.000000001,IF(01_因子設定!$B$20="Box-Behnken",E4755^2+F4755^2+G4755^2+H4755^2&lt;=2+0.000000001,TRUE()))</f>
        <v>1</v>
      </c>
      <c r="AD4755" s="55" t="n">
        <f aca="false">IF(AC4755,IF(01_因子設定!$B$13="最大化",AA4755-01_因子設定!$B$14,IF(01_因子設定!$B$13="最小化",01_因子設定!$B$15-AB4755,MIN(AA4755-01_因子設定!$B$14,01_因子設定!$B$15-AB4755))),-1E+030)</f>
        <v>0.639971550944196</v>
      </c>
      <c r="AE4755" s="55" t="n">
        <f aca="false">IF(AC4755,IF(01_因子設定!$B$13="最大化",X4755,IF(01_因子設定!$B$13="最小化",-X4755,-ABS(X4755-01_因子設定!$B$16))),-1E+030)</f>
        <v>48.5768046418128</v>
      </c>
      <c r="AF4755" s="55" t="n">
        <f aca="false">AD4755+ROW()*0.000000001</f>
        <v>0.639976305944196</v>
      </c>
      <c r="AG4755" s="55" t="n">
        <f aca="false">AE4755+ROW()*0.000000001</f>
        <v>48.5768093968128</v>
      </c>
    </row>
    <row r="4756" customFormat="false" ht="15" hidden="false" customHeight="false" outlineLevel="0" collapsed="false">
      <c r="A4756" s="0" t="n">
        <v>6</v>
      </c>
      <c r="B4756" s="0" t="n">
        <v>4</v>
      </c>
      <c r="C4756" s="0" t="n">
        <v>5</v>
      </c>
      <c r="D4756" s="0" t="n">
        <v>8</v>
      </c>
      <c r="E4756" s="0" t="n">
        <f aca="false">-1+A4756*0.25</f>
        <v>0.5</v>
      </c>
      <c r="F4756" s="0" t="n">
        <f aca="false">-1+B4756*0.25</f>
        <v>0</v>
      </c>
      <c r="G4756" s="0" t="n">
        <f aca="false">-1+C4756*0.25</f>
        <v>0.25</v>
      </c>
      <c r="H4756" s="0" t="n">
        <f aca="false">-1+D4756*0.25</f>
        <v>1</v>
      </c>
      <c r="I4756" s="0" t="n">
        <f aca="false">1</f>
        <v>1</v>
      </c>
      <c r="J4756" s="0" t="n">
        <f aca="false">E4756</f>
        <v>0.5</v>
      </c>
      <c r="K4756" s="0" t="n">
        <f aca="false">F4756</f>
        <v>0</v>
      </c>
      <c r="L4756" s="0" t="n">
        <f aca="false">G4756</f>
        <v>0.25</v>
      </c>
      <c r="M4756" s="0" t="n">
        <f aca="false">H4756</f>
        <v>1</v>
      </c>
      <c r="N4756" s="0" t="n">
        <f aca="false">E4756*F4756</f>
        <v>0</v>
      </c>
      <c r="O4756" s="0" t="n">
        <f aca="false">E4756*G4756</f>
        <v>0.125</v>
      </c>
      <c r="P4756" s="0" t="n">
        <f aca="false">E4756*H4756</f>
        <v>0.5</v>
      </c>
      <c r="Q4756" s="0" t="n">
        <f aca="false">F4756*G4756</f>
        <v>0</v>
      </c>
      <c r="R4756" s="0" t="n">
        <f aca="false">F4756*H4756</f>
        <v>0</v>
      </c>
      <c r="S4756" s="0" t="n">
        <f aca="false">G4756*H4756</f>
        <v>0.25</v>
      </c>
      <c r="T4756" s="0" t="n">
        <f aca="false">E4756*E4756</f>
        <v>0.25</v>
      </c>
      <c r="U4756" s="0" t="n">
        <f aca="false">F4756*F4756</f>
        <v>0</v>
      </c>
      <c r="V4756" s="0" t="n">
        <f aca="false">G4756*G4756</f>
        <v>0.0625</v>
      </c>
      <c r="W4756" s="0" t="n">
        <f aca="false">H4756*H4756</f>
        <v>1</v>
      </c>
      <c r="X4756" s="0" t="n">
        <f aca="false">SUMPRODUCT(I4756:W4756,_XtX!$B$96:$P$96)</f>
        <v>48.5444627192982</v>
      </c>
      <c r="Y4756" s="0" t="n">
        <f aca="false">SUMPRODUCT(MMULT(I4756:W4756,_XtX!$B$78:$P$92),I4756:W4756)</f>
        <v>0.457596628289474</v>
      </c>
      <c r="Z4756" s="0" t="n">
        <f aca="false">04_回帰ANOVA!$K$19*04_回帰ANOVA!$K$14*SQRT(1+Y4756)</f>
        <v>1.57368233664366</v>
      </c>
      <c r="AA4756" s="0" t="n">
        <f aca="false">X4756-Z4756</f>
        <v>46.9707803826546</v>
      </c>
      <c r="AB4756" s="0" t="n">
        <f aca="false">X4756+Z4756</f>
        <v>50.1181450559419</v>
      </c>
      <c r="AC4756" s="54" t="b">
        <f aca="false">AND(E4756&gt;=01_因子設定!$L$5-0.000000001,E4756&lt;=01_因子設定!$M$5+0.000000001,F4756&gt;=01_因子設定!$L$6-0.000000001,F4756&lt;=01_因子設定!$M$6+0.000000001,G4756&gt;=01_因子設定!$L$7-0.000000001,G4756&lt;=01_因子設定!$M$7+0.000000001,H4756&gt;=01_因子設定!$L$8-0.000000001,H4756&lt;=01_因子設定!$M$8+0.000000001,IF(01_因子設定!$B$20="Box-Behnken",E4756^2+F4756^2+G4756^2+H4756^2&lt;=2+0.000000001,TRUE()))</f>
        <v>1</v>
      </c>
      <c r="AD4756" s="55" t="n">
        <f aca="false">IF(AC4756,IF(01_因子設定!$B$13="最大化",AA4756-01_因子設定!$B$14,IF(01_因子設定!$B$13="最小化",01_因子設定!$B$15-AB4756,MIN(AA4756-01_因子設定!$B$14,01_因子設定!$B$15-AB4756))),-1E+030)</f>
        <v>0.470780382654581</v>
      </c>
      <c r="AE4756" s="55" t="n">
        <f aca="false">IF(AC4756,IF(01_因子設定!$B$13="最大化",X4756,IF(01_因子設定!$B$13="最小化",-X4756,-ABS(X4756-01_因子設定!$B$16))),-1E+030)</f>
        <v>48.5444627192982</v>
      </c>
      <c r="AF4756" s="55" t="n">
        <f aca="false">AD4756+ROW()*0.000000001</f>
        <v>0.470785138654581</v>
      </c>
      <c r="AG4756" s="55" t="n">
        <f aca="false">AE4756+ROW()*0.000000001</f>
        <v>48.5444674752982</v>
      </c>
    </row>
    <row r="4757" customFormat="false" ht="15" hidden="false" customHeight="false" outlineLevel="0" collapsed="false">
      <c r="A4757" s="0" t="n">
        <v>6</v>
      </c>
      <c r="B4757" s="0" t="n">
        <v>4</v>
      </c>
      <c r="C4757" s="0" t="n">
        <v>6</v>
      </c>
      <c r="D4757" s="0" t="n">
        <v>0</v>
      </c>
      <c r="E4757" s="0" t="n">
        <f aca="false">-1+A4757*0.25</f>
        <v>0.5</v>
      </c>
      <c r="F4757" s="0" t="n">
        <f aca="false">-1+B4757*0.25</f>
        <v>0</v>
      </c>
      <c r="G4757" s="0" t="n">
        <f aca="false">-1+C4757*0.25</f>
        <v>0.5</v>
      </c>
      <c r="H4757" s="0" t="n">
        <f aca="false">-1+D4757*0.25</f>
        <v>-1</v>
      </c>
      <c r="I4757" s="0" t="n">
        <f aca="false">1</f>
        <v>1</v>
      </c>
      <c r="J4757" s="0" t="n">
        <f aca="false">E4757</f>
        <v>0.5</v>
      </c>
      <c r="K4757" s="0" t="n">
        <f aca="false">F4757</f>
        <v>0</v>
      </c>
      <c r="L4757" s="0" t="n">
        <f aca="false">G4757</f>
        <v>0.5</v>
      </c>
      <c r="M4757" s="0" t="n">
        <f aca="false">H4757</f>
        <v>-1</v>
      </c>
      <c r="N4757" s="0" t="n">
        <f aca="false">E4757*F4757</f>
        <v>0</v>
      </c>
      <c r="O4757" s="0" t="n">
        <f aca="false">E4757*G4757</f>
        <v>0.25</v>
      </c>
      <c r="P4757" s="0" t="n">
        <f aca="false">E4757*H4757</f>
        <v>-0.5</v>
      </c>
      <c r="Q4757" s="0" t="n">
        <f aca="false">F4757*G4757</f>
        <v>0</v>
      </c>
      <c r="R4757" s="0" t="n">
        <f aca="false">F4757*H4757</f>
        <v>-0</v>
      </c>
      <c r="S4757" s="0" t="n">
        <f aca="false">G4757*H4757</f>
        <v>-0.5</v>
      </c>
      <c r="T4757" s="0" t="n">
        <f aca="false">E4757*E4757</f>
        <v>0.25</v>
      </c>
      <c r="U4757" s="0" t="n">
        <f aca="false">F4757*F4757</f>
        <v>0</v>
      </c>
      <c r="V4757" s="0" t="n">
        <f aca="false">G4757*G4757</f>
        <v>0.25</v>
      </c>
      <c r="W4757" s="0" t="n">
        <f aca="false">H4757*H4757</f>
        <v>1</v>
      </c>
      <c r="X4757" s="0" t="n">
        <f aca="false">SUMPRODUCT(I4757:W4757,_XtX!$B$96:$P$96)</f>
        <v>47.4293494152047</v>
      </c>
      <c r="Y4757" s="0" t="n">
        <f aca="false">SUMPRODUCT(MMULT(I4757:W4757,_XtX!$B$78:$P$92),I4757:W4757)</f>
        <v>0.441954495614035</v>
      </c>
      <c r="Z4757" s="0" t="n">
        <f aca="false">04_回帰ANOVA!$K$19*04_回帰ANOVA!$K$14*SQRT(1+Y4757)</f>
        <v>1.56521560968066</v>
      </c>
      <c r="AA4757" s="0" t="n">
        <f aca="false">X4757-Z4757</f>
        <v>45.864133805524</v>
      </c>
      <c r="AB4757" s="0" t="n">
        <f aca="false">X4757+Z4757</f>
        <v>48.9945650248853</v>
      </c>
      <c r="AC4757" s="54" t="b">
        <f aca="false">AND(E4757&gt;=01_因子設定!$L$5-0.000000001,E4757&lt;=01_因子設定!$M$5+0.000000001,F4757&gt;=01_因子設定!$L$6-0.000000001,F4757&lt;=01_因子設定!$M$6+0.000000001,G4757&gt;=01_因子設定!$L$7-0.000000001,G4757&lt;=01_因子設定!$M$7+0.000000001,H4757&gt;=01_因子設定!$L$8-0.000000001,H4757&lt;=01_因子設定!$M$8+0.000000001,IF(01_因子設定!$B$20="Box-Behnken",E4757^2+F4757^2+G4757^2+H4757^2&lt;=2+0.000000001,TRUE()))</f>
        <v>1</v>
      </c>
      <c r="AD4757" s="55" t="n">
        <f aca="false">IF(AC4757,IF(01_因子設定!$B$13="最大化",AA4757-01_因子設定!$B$14,IF(01_因子設定!$B$13="最小化",01_因子設定!$B$15-AB4757,MIN(AA4757-01_因子設定!$B$14,01_因子設定!$B$15-AB4757))),-1E+030)</f>
        <v>-0.635866194475987</v>
      </c>
      <c r="AE4757" s="55" t="n">
        <f aca="false">IF(AC4757,IF(01_因子設定!$B$13="最大化",X4757,IF(01_因子設定!$B$13="最小化",-X4757,-ABS(X4757-01_因子設定!$B$16))),-1E+030)</f>
        <v>47.4293494152047</v>
      </c>
      <c r="AF4757" s="55" t="n">
        <f aca="false">AD4757+ROW()*0.000000001</f>
        <v>-0.635861437475987</v>
      </c>
      <c r="AG4757" s="55" t="n">
        <f aca="false">AE4757+ROW()*0.000000001</f>
        <v>47.4293541722047</v>
      </c>
    </row>
    <row r="4758" customFormat="false" ht="15" hidden="false" customHeight="false" outlineLevel="0" collapsed="false">
      <c r="A4758" s="0" t="n">
        <v>6</v>
      </c>
      <c r="B4758" s="0" t="n">
        <v>4</v>
      </c>
      <c r="C4758" s="0" t="n">
        <v>6</v>
      </c>
      <c r="D4758" s="0" t="n">
        <v>1</v>
      </c>
      <c r="E4758" s="0" t="n">
        <f aca="false">-1+A4758*0.25</f>
        <v>0.5</v>
      </c>
      <c r="F4758" s="0" t="n">
        <f aca="false">-1+B4758*0.25</f>
        <v>0</v>
      </c>
      <c r="G4758" s="0" t="n">
        <f aca="false">-1+C4758*0.25</f>
        <v>0.5</v>
      </c>
      <c r="H4758" s="0" t="n">
        <f aca="false">-1+D4758*0.25</f>
        <v>-0.75</v>
      </c>
      <c r="I4758" s="0" t="n">
        <f aca="false">1</f>
        <v>1</v>
      </c>
      <c r="J4758" s="0" t="n">
        <f aca="false">E4758</f>
        <v>0.5</v>
      </c>
      <c r="K4758" s="0" t="n">
        <f aca="false">F4758</f>
        <v>0</v>
      </c>
      <c r="L4758" s="0" t="n">
        <f aca="false">G4758</f>
        <v>0.5</v>
      </c>
      <c r="M4758" s="0" t="n">
        <f aca="false">H4758</f>
        <v>-0.75</v>
      </c>
      <c r="N4758" s="0" t="n">
        <f aca="false">E4758*F4758</f>
        <v>0</v>
      </c>
      <c r="O4758" s="0" t="n">
        <f aca="false">E4758*G4758</f>
        <v>0.25</v>
      </c>
      <c r="P4758" s="0" t="n">
        <f aca="false">E4758*H4758</f>
        <v>-0.375</v>
      </c>
      <c r="Q4758" s="0" t="n">
        <f aca="false">F4758*G4758</f>
        <v>0</v>
      </c>
      <c r="R4758" s="0" t="n">
        <f aca="false">F4758*H4758</f>
        <v>-0</v>
      </c>
      <c r="S4758" s="0" t="n">
        <f aca="false">G4758*H4758</f>
        <v>-0.375</v>
      </c>
      <c r="T4758" s="0" t="n">
        <f aca="false">E4758*E4758</f>
        <v>0.25</v>
      </c>
      <c r="U4758" s="0" t="n">
        <f aca="false">F4758*F4758</f>
        <v>0</v>
      </c>
      <c r="V4758" s="0" t="n">
        <f aca="false">G4758*G4758</f>
        <v>0.25</v>
      </c>
      <c r="W4758" s="0" t="n">
        <f aca="false">H4758*H4758</f>
        <v>0.5625</v>
      </c>
      <c r="X4758" s="0" t="n">
        <f aca="false">SUMPRODUCT(I4758:W4758,_XtX!$B$96:$P$96)</f>
        <v>47.7496253654971</v>
      </c>
      <c r="Y4758" s="0" t="n">
        <f aca="false">SUMPRODUCT(MMULT(I4758:W4758,_XtX!$B$78:$P$92),I4758:W4758)</f>
        <v>0.21305052997076</v>
      </c>
      <c r="Z4758" s="0" t="n">
        <f aca="false">04_回帰ANOVA!$K$19*04_回帰ANOVA!$K$14*SQRT(1+Y4758)</f>
        <v>1.43561450835061</v>
      </c>
      <c r="AA4758" s="0" t="n">
        <f aca="false">X4758-Z4758</f>
        <v>46.3140108571465</v>
      </c>
      <c r="AB4758" s="0" t="n">
        <f aca="false">X4758+Z4758</f>
        <v>49.1852398738477</v>
      </c>
      <c r="AC4758" s="54" t="b">
        <f aca="false">AND(E4758&gt;=01_因子設定!$L$5-0.000000001,E4758&lt;=01_因子設定!$M$5+0.000000001,F4758&gt;=01_因子設定!$L$6-0.000000001,F4758&lt;=01_因子設定!$M$6+0.000000001,G4758&gt;=01_因子設定!$L$7-0.000000001,G4758&lt;=01_因子設定!$M$7+0.000000001,H4758&gt;=01_因子設定!$L$8-0.000000001,H4758&lt;=01_因子設定!$M$8+0.000000001,IF(01_因子設定!$B$20="Box-Behnken",E4758^2+F4758^2+G4758^2+H4758^2&lt;=2+0.000000001,TRUE()))</f>
        <v>1</v>
      </c>
      <c r="AD4758" s="55" t="n">
        <f aca="false">IF(AC4758,IF(01_因子設定!$B$13="最大化",AA4758-01_因子設定!$B$14,IF(01_因子設定!$B$13="最小化",01_因子設定!$B$15-AB4758,MIN(AA4758-01_因子設定!$B$14,01_因子設定!$B$15-AB4758))),-1E+030)</f>
        <v>-0.185989142853551</v>
      </c>
      <c r="AE4758" s="55" t="n">
        <f aca="false">IF(AC4758,IF(01_因子設定!$B$13="最大化",X4758,IF(01_因子設定!$B$13="最小化",-X4758,-ABS(X4758-01_因子設定!$B$16))),-1E+030)</f>
        <v>47.7496253654971</v>
      </c>
      <c r="AF4758" s="55" t="n">
        <f aca="false">AD4758+ROW()*0.000000001</f>
        <v>-0.185984384853551</v>
      </c>
      <c r="AG4758" s="55" t="n">
        <f aca="false">AE4758+ROW()*0.000000001</f>
        <v>47.7496301234971</v>
      </c>
    </row>
    <row r="4759" customFormat="false" ht="15" hidden="false" customHeight="false" outlineLevel="0" collapsed="false">
      <c r="A4759" s="0" t="n">
        <v>6</v>
      </c>
      <c r="B4759" s="0" t="n">
        <v>4</v>
      </c>
      <c r="C4759" s="0" t="n">
        <v>6</v>
      </c>
      <c r="D4759" s="0" t="n">
        <v>2</v>
      </c>
      <c r="E4759" s="0" t="n">
        <f aca="false">-1+A4759*0.25</f>
        <v>0.5</v>
      </c>
      <c r="F4759" s="0" t="n">
        <f aca="false">-1+B4759*0.25</f>
        <v>0</v>
      </c>
      <c r="G4759" s="0" t="n">
        <f aca="false">-1+C4759*0.25</f>
        <v>0.5</v>
      </c>
      <c r="H4759" s="0" t="n">
        <f aca="false">-1+D4759*0.25</f>
        <v>-0.5</v>
      </c>
      <c r="I4759" s="0" t="n">
        <f aca="false">1</f>
        <v>1</v>
      </c>
      <c r="J4759" s="0" t="n">
        <f aca="false">E4759</f>
        <v>0.5</v>
      </c>
      <c r="K4759" s="0" t="n">
        <f aca="false">F4759</f>
        <v>0</v>
      </c>
      <c r="L4759" s="0" t="n">
        <f aca="false">G4759</f>
        <v>0.5</v>
      </c>
      <c r="M4759" s="0" t="n">
        <f aca="false">H4759</f>
        <v>-0.5</v>
      </c>
      <c r="N4759" s="0" t="n">
        <f aca="false">E4759*F4759</f>
        <v>0</v>
      </c>
      <c r="O4759" s="0" t="n">
        <f aca="false">E4759*G4759</f>
        <v>0.25</v>
      </c>
      <c r="P4759" s="0" t="n">
        <f aca="false">E4759*H4759</f>
        <v>-0.25</v>
      </c>
      <c r="Q4759" s="0" t="n">
        <f aca="false">F4759*G4759</f>
        <v>0</v>
      </c>
      <c r="R4759" s="0" t="n">
        <f aca="false">F4759*H4759</f>
        <v>-0</v>
      </c>
      <c r="S4759" s="0" t="n">
        <f aca="false">G4759*H4759</f>
        <v>-0.25</v>
      </c>
      <c r="T4759" s="0" t="n">
        <f aca="false">E4759*E4759</f>
        <v>0.25</v>
      </c>
      <c r="U4759" s="0" t="n">
        <f aca="false">F4759*F4759</f>
        <v>0</v>
      </c>
      <c r="V4759" s="0" t="n">
        <f aca="false">G4759*G4759</f>
        <v>0.25</v>
      </c>
      <c r="W4759" s="0" t="n">
        <f aca="false">H4759*H4759</f>
        <v>0.25</v>
      </c>
      <c r="X4759" s="0" t="n">
        <f aca="false">SUMPRODUCT(I4759:W4759,_XtX!$B$96:$P$96)</f>
        <v>48.0220942982456</v>
      </c>
      <c r="Y4759" s="0" t="n">
        <f aca="false">SUMPRODUCT(MMULT(I4759:W4759,_XtX!$B$78:$P$92),I4759:W4759)</f>
        <v>0.140008223684211</v>
      </c>
      <c r="Z4759" s="0" t="n">
        <f aca="false">04_回帰ANOVA!$K$19*04_回帰ANOVA!$K$14*SQRT(1+Y4759)</f>
        <v>1.39172165492264</v>
      </c>
      <c r="AA4759" s="0" t="n">
        <f aca="false">X4759-Z4759</f>
        <v>46.630372643323</v>
      </c>
      <c r="AB4759" s="0" t="n">
        <f aca="false">X4759+Z4759</f>
        <v>49.4138159531682</v>
      </c>
      <c r="AC4759" s="54" t="b">
        <f aca="false">AND(E4759&gt;=01_因子設定!$L$5-0.000000001,E4759&lt;=01_因子設定!$M$5+0.000000001,F4759&gt;=01_因子設定!$L$6-0.000000001,F4759&lt;=01_因子設定!$M$6+0.000000001,G4759&gt;=01_因子設定!$L$7-0.000000001,G4759&lt;=01_因子設定!$M$7+0.000000001,H4759&gt;=01_因子設定!$L$8-0.000000001,H4759&lt;=01_因子設定!$M$8+0.000000001,IF(01_因子設定!$B$20="Box-Behnken",E4759^2+F4759^2+G4759^2+H4759^2&lt;=2+0.000000001,TRUE()))</f>
        <v>1</v>
      </c>
      <c r="AD4759" s="55" t="n">
        <f aca="false">IF(AC4759,IF(01_因子設定!$B$13="最大化",AA4759-01_因子設定!$B$14,IF(01_因子設定!$B$13="最小化",01_因子設定!$B$15-AB4759,MIN(AA4759-01_因子設定!$B$14,01_因子設定!$B$15-AB4759))),-1E+030)</f>
        <v>0.13037264332295</v>
      </c>
      <c r="AE4759" s="55" t="n">
        <f aca="false">IF(AC4759,IF(01_因子設定!$B$13="最大化",X4759,IF(01_因子設定!$B$13="最小化",-X4759,-ABS(X4759-01_因子設定!$B$16))),-1E+030)</f>
        <v>48.0220942982456</v>
      </c>
      <c r="AF4759" s="55" t="n">
        <f aca="false">AD4759+ROW()*0.000000001</f>
        <v>0.13037740232295</v>
      </c>
      <c r="AG4759" s="55" t="n">
        <f aca="false">AE4759+ROW()*0.000000001</f>
        <v>48.0220990572456</v>
      </c>
    </row>
    <row r="4760" customFormat="false" ht="15" hidden="false" customHeight="false" outlineLevel="0" collapsed="false">
      <c r="A4760" s="0" t="n">
        <v>6</v>
      </c>
      <c r="B4760" s="0" t="n">
        <v>4</v>
      </c>
      <c r="C4760" s="0" t="n">
        <v>6</v>
      </c>
      <c r="D4760" s="0" t="n">
        <v>3</v>
      </c>
      <c r="E4760" s="0" t="n">
        <f aca="false">-1+A4760*0.25</f>
        <v>0.5</v>
      </c>
      <c r="F4760" s="0" t="n">
        <f aca="false">-1+B4760*0.25</f>
        <v>0</v>
      </c>
      <c r="G4760" s="0" t="n">
        <f aca="false">-1+C4760*0.25</f>
        <v>0.5</v>
      </c>
      <c r="H4760" s="0" t="n">
        <f aca="false">-1+D4760*0.25</f>
        <v>-0.25</v>
      </c>
      <c r="I4760" s="0" t="n">
        <f aca="false">1</f>
        <v>1</v>
      </c>
      <c r="J4760" s="0" t="n">
        <f aca="false">E4760</f>
        <v>0.5</v>
      </c>
      <c r="K4760" s="0" t="n">
        <f aca="false">F4760</f>
        <v>0</v>
      </c>
      <c r="L4760" s="0" t="n">
        <f aca="false">G4760</f>
        <v>0.5</v>
      </c>
      <c r="M4760" s="0" t="n">
        <f aca="false">H4760</f>
        <v>-0.25</v>
      </c>
      <c r="N4760" s="0" t="n">
        <f aca="false">E4760*F4760</f>
        <v>0</v>
      </c>
      <c r="O4760" s="0" t="n">
        <f aca="false">E4760*G4760</f>
        <v>0.25</v>
      </c>
      <c r="P4760" s="0" t="n">
        <f aca="false">E4760*H4760</f>
        <v>-0.125</v>
      </c>
      <c r="Q4760" s="0" t="n">
        <f aca="false">F4760*G4760</f>
        <v>0</v>
      </c>
      <c r="R4760" s="0" t="n">
        <f aca="false">F4760*H4760</f>
        <v>-0</v>
      </c>
      <c r="S4760" s="0" t="n">
        <f aca="false">G4760*H4760</f>
        <v>-0.125</v>
      </c>
      <c r="T4760" s="0" t="n">
        <f aca="false">E4760*E4760</f>
        <v>0.25</v>
      </c>
      <c r="U4760" s="0" t="n">
        <f aca="false">F4760*F4760</f>
        <v>0</v>
      </c>
      <c r="V4760" s="0" t="n">
        <f aca="false">G4760*G4760</f>
        <v>0.25</v>
      </c>
      <c r="W4760" s="0" t="n">
        <f aca="false">H4760*H4760</f>
        <v>0.0625</v>
      </c>
      <c r="X4760" s="0" t="n">
        <f aca="false">SUMPRODUCT(I4760:W4760,_XtX!$B$96:$P$96)</f>
        <v>48.2467562134503</v>
      </c>
      <c r="Y4760" s="0" t="n">
        <f aca="false">SUMPRODUCT(MMULT(I4760:W4760,_XtX!$B$78:$P$92),I4760:W4760)</f>
        <v>0.132367050438597</v>
      </c>
      <c r="Z4760" s="0" t="n">
        <f aca="false">04_回帰ANOVA!$K$19*04_回帰ANOVA!$K$14*SQRT(1+Y4760)</f>
        <v>1.38704964208329</v>
      </c>
      <c r="AA4760" s="0" t="n">
        <f aca="false">X4760-Z4760</f>
        <v>46.859706571367</v>
      </c>
      <c r="AB4760" s="0" t="n">
        <f aca="false">X4760+Z4760</f>
        <v>49.6338058555335</v>
      </c>
      <c r="AC4760" s="54" t="b">
        <f aca="false">AND(E4760&gt;=01_因子設定!$L$5-0.000000001,E4760&lt;=01_因子設定!$M$5+0.000000001,F4760&gt;=01_因子設定!$L$6-0.000000001,F4760&lt;=01_因子設定!$M$6+0.000000001,G4760&gt;=01_因子設定!$L$7-0.000000001,G4760&lt;=01_因子設定!$M$7+0.000000001,H4760&gt;=01_因子設定!$L$8-0.000000001,H4760&lt;=01_因子設定!$M$8+0.000000001,IF(01_因子設定!$B$20="Box-Behnken",E4760^2+F4760^2+G4760^2+H4760^2&lt;=2+0.000000001,TRUE()))</f>
        <v>1</v>
      </c>
      <c r="AD4760" s="55" t="n">
        <f aca="false">IF(AC4760,IF(01_因子設定!$B$13="最大化",AA4760-01_因子設定!$B$14,IF(01_因子設定!$B$13="最小化",01_因子設定!$B$15-AB4760,MIN(AA4760-01_因子設定!$B$14,01_因子設定!$B$15-AB4760))),-1E+030)</f>
        <v>0.359706571366964</v>
      </c>
      <c r="AE4760" s="55" t="n">
        <f aca="false">IF(AC4760,IF(01_因子設定!$B$13="最大化",X4760,IF(01_因子設定!$B$13="最小化",-X4760,-ABS(X4760-01_因子設定!$B$16))),-1E+030)</f>
        <v>48.2467562134503</v>
      </c>
      <c r="AF4760" s="55" t="n">
        <f aca="false">AD4760+ROW()*0.000000001</f>
        <v>0.359711331366964</v>
      </c>
      <c r="AG4760" s="55" t="n">
        <f aca="false">AE4760+ROW()*0.000000001</f>
        <v>48.2467609734503</v>
      </c>
    </row>
    <row r="4761" customFormat="false" ht="15" hidden="false" customHeight="false" outlineLevel="0" collapsed="false">
      <c r="A4761" s="0" t="n">
        <v>6</v>
      </c>
      <c r="B4761" s="0" t="n">
        <v>4</v>
      </c>
      <c r="C4761" s="0" t="n">
        <v>6</v>
      </c>
      <c r="D4761" s="0" t="n">
        <v>4</v>
      </c>
      <c r="E4761" s="0" t="n">
        <f aca="false">-1+A4761*0.25</f>
        <v>0.5</v>
      </c>
      <c r="F4761" s="0" t="n">
        <f aca="false">-1+B4761*0.25</f>
        <v>0</v>
      </c>
      <c r="G4761" s="0" t="n">
        <f aca="false">-1+C4761*0.25</f>
        <v>0.5</v>
      </c>
      <c r="H4761" s="0" t="n">
        <f aca="false">-1+D4761*0.25</f>
        <v>0</v>
      </c>
      <c r="I4761" s="0" t="n">
        <f aca="false">1</f>
        <v>1</v>
      </c>
      <c r="J4761" s="0" t="n">
        <f aca="false">E4761</f>
        <v>0.5</v>
      </c>
      <c r="K4761" s="0" t="n">
        <f aca="false">F4761</f>
        <v>0</v>
      </c>
      <c r="L4761" s="0" t="n">
        <f aca="false">G4761</f>
        <v>0.5</v>
      </c>
      <c r="M4761" s="0" t="n">
        <f aca="false">H4761</f>
        <v>0</v>
      </c>
      <c r="N4761" s="0" t="n">
        <f aca="false">E4761*F4761</f>
        <v>0</v>
      </c>
      <c r="O4761" s="0" t="n">
        <f aca="false">E4761*G4761</f>
        <v>0.25</v>
      </c>
      <c r="P4761" s="0" t="n">
        <f aca="false">E4761*H4761</f>
        <v>0</v>
      </c>
      <c r="Q4761" s="0" t="n">
        <f aca="false">F4761*G4761</f>
        <v>0</v>
      </c>
      <c r="R4761" s="0" t="n">
        <f aca="false">F4761*H4761</f>
        <v>0</v>
      </c>
      <c r="S4761" s="0" t="n">
        <f aca="false">G4761*H4761</f>
        <v>0</v>
      </c>
      <c r="T4761" s="0" t="n">
        <f aca="false">E4761*E4761</f>
        <v>0.25</v>
      </c>
      <c r="U4761" s="0" t="n">
        <f aca="false">F4761*F4761</f>
        <v>0</v>
      </c>
      <c r="V4761" s="0" t="n">
        <f aca="false">G4761*G4761</f>
        <v>0.25</v>
      </c>
      <c r="W4761" s="0" t="n">
        <f aca="false">H4761*H4761</f>
        <v>0</v>
      </c>
      <c r="X4761" s="0" t="n">
        <f aca="false">SUMPRODUCT(I4761:W4761,_XtX!$B$96:$P$96)</f>
        <v>48.4236111111111</v>
      </c>
      <c r="Y4761" s="0" t="n">
        <f aca="false">SUMPRODUCT(MMULT(I4761:W4761,_XtX!$B$78:$P$92),I4761:W4761)</f>
        <v>0.135850694444444</v>
      </c>
      <c r="Z4761" s="0" t="n">
        <f aca="false">04_回帰ANOVA!$K$19*04_回帰ANOVA!$K$14*SQRT(1+Y4761)</f>
        <v>1.38918158179389</v>
      </c>
      <c r="AA4761" s="0" t="n">
        <f aca="false">X4761-Z4761</f>
        <v>47.0344295293172</v>
      </c>
      <c r="AB4761" s="0" t="n">
        <f aca="false">X4761+Z4761</f>
        <v>49.812792692905</v>
      </c>
      <c r="AC4761" s="54" t="b">
        <f aca="false">AND(E4761&gt;=01_因子設定!$L$5-0.000000001,E4761&lt;=01_因子設定!$M$5+0.000000001,F4761&gt;=01_因子設定!$L$6-0.000000001,F4761&lt;=01_因子設定!$M$6+0.000000001,G4761&gt;=01_因子設定!$L$7-0.000000001,G4761&lt;=01_因子設定!$M$7+0.000000001,H4761&gt;=01_因子設定!$L$8-0.000000001,H4761&lt;=01_因子設定!$M$8+0.000000001,IF(01_因子設定!$B$20="Box-Behnken",E4761^2+F4761^2+G4761^2+H4761^2&lt;=2+0.000000001,TRUE()))</f>
        <v>1</v>
      </c>
      <c r="AD4761" s="55" t="n">
        <f aca="false">IF(AC4761,IF(01_因子設定!$B$13="最大化",AA4761-01_因子設定!$B$14,IF(01_因子設定!$B$13="最小化",01_因子設定!$B$15-AB4761,MIN(AA4761-01_因子設定!$B$14,01_因子設定!$B$15-AB4761))),-1E+030)</f>
        <v>0.53442952931718</v>
      </c>
      <c r="AE4761" s="55" t="n">
        <f aca="false">IF(AC4761,IF(01_因子設定!$B$13="最大化",X4761,IF(01_因子設定!$B$13="最小化",-X4761,-ABS(X4761-01_因子設定!$B$16))),-1E+030)</f>
        <v>48.4236111111111</v>
      </c>
      <c r="AF4761" s="55" t="n">
        <f aca="false">AD4761+ROW()*0.000000001</f>
        <v>0.53443429031718</v>
      </c>
      <c r="AG4761" s="55" t="n">
        <f aca="false">AE4761+ROW()*0.000000001</f>
        <v>48.4236158721111</v>
      </c>
    </row>
    <row r="4762" customFormat="false" ht="15" hidden="false" customHeight="false" outlineLevel="0" collapsed="false">
      <c r="A4762" s="0" t="n">
        <v>6</v>
      </c>
      <c r="B4762" s="0" t="n">
        <v>4</v>
      </c>
      <c r="C4762" s="0" t="n">
        <v>6</v>
      </c>
      <c r="D4762" s="0" t="n">
        <v>5</v>
      </c>
      <c r="E4762" s="0" t="n">
        <f aca="false">-1+A4762*0.25</f>
        <v>0.5</v>
      </c>
      <c r="F4762" s="0" t="n">
        <f aca="false">-1+B4762*0.25</f>
        <v>0</v>
      </c>
      <c r="G4762" s="0" t="n">
        <f aca="false">-1+C4762*0.25</f>
        <v>0.5</v>
      </c>
      <c r="H4762" s="0" t="n">
        <f aca="false">-1+D4762*0.25</f>
        <v>0.25</v>
      </c>
      <c r="I4762" s="0" t="n">
        <f aca="false">1</f>
        <v>1</v>
      </c>
      <c r="J4762" s="0" t="n">
        <f aca="false">E4762</f>
        <v>0.5</v>
      </c>
      <c r="K4762" s="0" t="n">
        <f aca="false">F4762</f>
        <v>0</v>
      </c>
      <c r="L4762" s="0" t="n">
        <f aca="false">G4762</f>
        <v>0.5</v>
      </c>
      <c r="M4762" s="0" t="n">
        <f aca="false">H4762</f>
        <v>0.25</v>
      </c>
      <c r="N4762" s="0" t="n">
        <f aca="false">E4762*F4762</f>
        <v>0</v>
      </c>
      <c r="O4762" s="0" t="n">
        <f aca="false">E4762*G4762</f>
        <v>0.25</v>
      </c>
      <c r="P4762" s="0" t="n">
        <f aca="false">E4762*H4762</f>
        <v>0.125</v>
      </c>
      <c r="Q4762" s="0" t="n">
        <f aca="false">F4762*G4762</f>
        <v>0</v>
      </c>
      <c r="R4762" s="0" t="n">
        <f aca="false">F4762*H4762</f>
        <v>0</v>
      </c>
      <c r="S4762" s="0" t="n">
        <f aca="false">G4762*H4762</f>
        <v>0.125</v>
      </c>
      <c r="T4762" s="0" t="n">
        <f aca="false">E4762*E4762</f>
        <v>0.25</v>
      </c>
      <c r="U4762" s="0" t="n">
        <f aca="false">F4762*F4762</f>
        <v>0</v>
      </c>
      <c r="V4762" s="0" t="n">
        <f aca="false">G4762*G4762</f>
        <v>0.25</v>
      </c>
      <c r="W4762" s="0" t="n">
        <f aca="false">H4762*H4762</f>
        <v>0.0625</v>
      </c>
      <c r="X4762" s="0" t="n">
        <f aca="false">SUMPRODUCT(I4762:W4762,_XtX!$B$96:$P$96)</f>
        <v>48.552658991228</v>
      </c>
      <c r="Y4762" s="0" t="n">
        <f aca="false">SUMPRODUCT(MMULT(I4762:W4762,_XtX!$B$78:$P$92),I4762:W4762)</f>
        <v>0.132367050438597</v>
      </c>
      <c r="Z4762" s="0" t="n">
        <f aca="false">04_回帰ANOVA!$K$19*04_回帰ANOVA!$K$14*SQRT(1+Y4762)</f>
        <v>1.38704964208329</v>
      </c>
      <c r="AA4762" s="0" t="n">
        <f aca="false">X4762-Z4762</f>
        <v>47.1656093491447</v>
      </c>
      <c r="AB4762" s="0" t="n">
        <f aca="false">X4762+Z4762</f>
        <v>49.9397086333113</v>
      </c>
      <c r="AC4762" s="54" t="b">
        <f aca="false">AND(E4762&gt;=01_因子設定!$L$5-0.000000001,E4762&lt;=01_因子設定!$M$5+0.000000001,F4762&gt;=01_因子設定!$L$6-0.000000001,F4762&lt;=01_因子設定!$M$6+0.000000001,G4762&gt;=01_因子設定!$L$7-0.000000001,G4762&lt;=01_因子設定!$M$7+0.000000001,H4762&gt;=01_因子設定!$L$8-0.000000001,H4762&lt;=01_因子設定!$M$8+0.000000001,IF(01_因子設定!$B$20="Box-Behnken",E4762^2+F4762^2+G4762^2+H4762^2&lt;=2+0.000000001,TRUE()))</f>
        <v>1</v>
      </c>
      <c r="AD4762" s="55" t="n">
        <f aca="false">IF(AC4762,IF(01_因子設定!$B$13="最大化",AA4762-01_因子設定!$B$14,IF(01_因子設定!$B$13="最小化",01_因子設定!$B$15-AB4762,MIN(AA4762-01_因子設定!$B$14,01_因子設定!$B$15-AB4762))),-1E+030)</f>
        <v>0.665609349144738</v>
      </c>
      <c r="AE4762" s="55" t="n">
        <f aca="false">IF(AC4762,IF(01_因子設定!$B$13="最大化",X4762,IF(01_因子設定!$B$13="最小化",-X4762,-ABS(X4762-01_因子設定!$B$16))),-1E+030)</f>
        <v>48.552658991228</v>
      </c>
      <c r="AF4762" s="55" t="n">
        <f aca="false">AD4762+ROW()*0.000000001</f>
        <v>0.665614111144738</v>
      </c>
      <c r="AG4762" s="55" t="n">
        <f aca="false">AE4762+ROW()*0.000000001</f>
        <v>48.552663753228</v>
      </c>
    </row>
    <row r="4763" customFormat="false" ht="15" hidden="false" customHeight="false" outlineLevel="0" collapsed="false">
      <c r="A4763" s="0" t="n">
        <v>6</v>
      </c>
      <c r="B4763" s="0" t="n">
        <v>4</v>
      </c>
      <c r="C4763" s="0" t="n">
        <v>6</v>
      </c>
      <c r="D4763" s="0" t="n">
        <v>6</v>
      </c>
      <c r="E4763" s="0" t="n">
        <f aca="false">-1+A4763*0.25</f>
        <v>0.5</v>
      </c>
      <c r="F4763" s="0" t="n">
        <f aca="false">-1+B4763*0.25</f>
        <v>0</v>
      </c>
      <c r="G4763" s="0" t="n">
        <f aca="false">-1+C4763*0.25</f>
        <v>0.5</v>
      </c>
      <c r="H4763" s="0" t="n">
        <f aca="false">-1+D4763*0.25</f>
        <v>0.5</v>
      </c>
      <c r="I4763" s="0" t="n">
        <f aca="false">1</f>
        <v>1</v>
      </c>
      <c r="J4763" s="0" t="n">
        <f aca="false">E4763</f>
        <v>0.5</v>
      </c>
      <c r="K4763" s="0" t="n">
        <f aca="false">F4763</f>
        <v>0</v>
      </c>
      <c r="L4763" s="0" t="n">
        <f aca="false">G4763</f>
        <v>0.5</v>
      </c>
      <c r="M4763" s="0" t="n">
        <f aca="false">H4763</f>
        <v>0.5</v>
      </c>
      <c r="N4763" s="0" t="n">
        <f aca="false">E4763*F4763</f>
        <v>0</v>
      </c>
      <c r="O4763" s="0" t="n">
        <f aca="false">E4763*G4763</f>
        <v>0.25</v>
      </c>
      <c r="P4763" s="0" t="n">
        <f aca="false">E4763*H4763</f>
        <v>0.25</v>
      </c>
      <c r="Q4763" s="0" t="n">
        <f aca="false">F4763*G4763</f>
        <v>0</v>
      </c>
      <c r="R4763" s="0" t="n">
        <f aca="false">F4763*H4763</f>
        <v>0</v>
      </c>
      <c r="S4763" s="0" t="n">
        <f aca="false">G4763*H4763</f>
        <v>0.25</v>
      </c>
      <c r="T4763" s="0" t="n">
        <f aca="false">E4763*E4763</f>
        <v>0.25</v>
      </c>
      <c r="U4763" s="0" t="n">
        <f aca="false">F4763*F4763</f>
        <v>0</v>
      </c>
      <c r="V4763" s="0" t="n">
        <f aca="false">G4763*G4763</f>
        <v>0.25</v>
      </c>
      <c r="W4763" s="0" t="n">
        <f aca="false">H4763*H4763</f>
        <v>0.25</v>
      </c>
      <c r="X4763" s="0" t="n">
        <f aca="false">SUMPRODUCT(I4763:W4763,_XtX!$B$96:$P$96)</f>
        <v>48.6338998538011</v>
      </c>
      <c r="Y4763" s="0" t="n">
        <f aca="false">SUMPRODUCT(MMULT(I4763:W4763,_XtX!$B$78:$P$92),I4763:W4763)</f>
        <v>0.140008223684211</v>
      </c>
      <c r="Z4763" s="0" t="n">
        <f aca="false">04_回帰ANOVA!$K$19*04_回帰ANOVA!$K$14*SQRT(1+Y4763)</f>
        <v>1.39172165492264</v>
      </c>
      <c r="AA4763" s="0" t="n">
        <f aca="false">X4763-Z4763</f>
        <v>47.2421781988785</v>
      </c>
      <c r="AB4763" s="0" t="n">
        <f aca="false">X4763+Z4763</f>
        <v>50.0256215087238</v>
      </c>
      <c r="AC4763" s="54" t="b">
        <f aca="false">AND(E4763&gt;=01_因子設定!$L$5-0.000000001,E4763&lt;=01_因子設定!$M$5+0.000000001,F4763&gt;=01_因子設定!$L$6-0.000000001,F4763&lt;=01_因子設定!$M$6+0.000000001,G4763&gt;=01_因子設定!$L$7-0.000000001,G4763&lt;=01_因子設定!$M$7+0.000000001,H4763&gt;=01_因子設定!$L$8-0.000000001,H4763&lt;=01_因子設定!$M$8+0.000000001,IF(01_因子設定!$B$20="Box-Behnken",E4763^2+F4763^2+G4763^2+H4763^2&lt;=2+0.000000001,TRUE()))</f>
        <v>1</v>
      </c>
      <c r="AD4763" s="55" t="n">
        <f aca="false">IF(AC4763,IF(01_因子設定!$B$13="最大化",AA4763-01_因子設定!$B$14,IF(01_因子設定!$B$13="最小化",01_因子設定!$B$15-AB4763,MIN(AA4763-01_因子設定!$B$14,01_因子設定!$B$15-AB4763))),-1E+030)</f>
        <v>0.742178198878499</v>
      </c>
      <c r="AE4763" s="55" t="n">
        <f aca="false">IF(AC4763,IF(01_因子設定!$B$13="最大化",X4763,IF(01_因子設定!$B$13="最小化",-X4763,-ABS(X4763-01_因子設定!$B$16))),-1E+030)</f>
        <v>48.6338998538011</v>
      </c>
      <c r="AF4763" s="55" t="n">
        <f aca="false">AD4763+ROW()*0.000000001</f>
        <v>0.742182961878499</v>
      </c>
      <c r="AG4763" s="55" t="n">
        <f aca="false">AE4763+ROW()*0.000000001</f>
        <v>48.6339046168011</v>
      </c>
    </row>
    <row r="4764" customFormat="false" ht="15" hidden="false" customHeight="false" outlineLevel="0" collapsed="false">
      <c r="A4764" s="0" t="n">
        <v>6</v>
      </c>
      <c r="B4764" s="0" t="n">
        <v>4</v>
      </c>
      <c r="C4764" s="0" t="n">
        <v>6</v>
      </c>
      <c r="D4764" s="0" t="n">
        <v>7</v>
      </c>
      <c r="E4764" s="0" t="n">
        <f aca="false">-1+A4764*0.25</f>
        <v>0.5</v>
      </c>
      <c r="F4764" s="0" t="n">
        <f aca="false">-1+B4764*0.25</f>
        <v>0</v>
      </c>
      <c r="G4764" s="0" t="n">
        <f aca="false">-1+C4764*0.25</f>
        <v>0.5</v>
      </c>
      <c r="H4764" s="0" t="n">
        <f aca="false">-1+D4764*0.25</f>
        <v>0.75</v>
      </c>
      <c r="I4764" s="0" t="n">
        <f aca="false">1</f>
        <v>1</v>
      </c>
      <c r="J4764" s="0" t="n">
        <f aca="false">E4764</f>
        <v>0.5</v>
      </c>
      <c r="K4764" s="0" t="n">
        <f aca="false">F4764</f>
        <v>0</v>
      </c>
      <c r="L4764" s="0" t="n">
        <f aca="false">G4764</f>
        <v>0.5</v>
      </c>
      <c r="M4764" s="0" t="n">
        <f aca="false">H4764</f>
        <v>0.75</v>
      </c>
      <c r="N4764" s="0" t="n">
        <f aca="false">E4764*F4764</f>
        <v>0</v>
      </c>
      <c r="O4764" s="0" t="n">
        <f aca="false">E4764*G4764</f>
        <v>0.25</v>
      </c>
      <c r="P4764" s="0" t="n">
        <f aca="false">E4764*H4764</f>
        <v>0.375</v>
      </c>
      <c r="Q4764" s="0" t="n">
        <f aca="false">F4764*G4764</f>
        <v>0</v>
      </c>
      <c r="R4764" s="0" t="n">
        <f aca="false">F4764*H4764</f>
        <v>0</v>
      </c>
      <c r="S4764" s="0" t="n">
        <f aca="false">G4764*H4764</f>
        <v>0.375</v>
      </c>
      <c r="T4764" s="0" t="n">
        <f aca="false">E4764*E4764</f>
        <v>0.25</v>
      </c>
      <c r="U4764" s="0" t="n">
        <f aca="false">F4764*F4764</f>
        <v>0</v>
      </c>
      <c r="V4764" s="0" t="n">
        <f aca="false">G4764*G4764</f>
        <v>0.25</v>
      </c>
      <c r="W4764" s="0" t="n">
        <f aca="false">H4764*H4764</f>
        <v>0.5625</v>
      </c>
      <c r="X4764" s="0" t="n">
        <f aca="false">SUMPRODUCT(I4764:W4764,_XtX!$B$96:$P$96)</f>
        <v>48.6673336988304</v>
      </c>
      <c r="Y4764" s="0" t="n">
        <f aca="false">SUMPRODUCT(MMULT(I4764:W4764,_XtX!$B$78:$P$92),I4764:W4764)</f>
        <v>0.21305052997076</v>
      </c>
      <c r="Z4764" s="0" t="n">
        <f aca="false">04_回帰ANOVA!$K$19*04_回帰ANOVA!$K$14*SQRT(1+Y4764)</f>
        <v>1.43561450835061</v>
      </c>
      <c r="AA4764" s="0" t="n">
        <f aca="false">X4764-Z4764</f>
        <v>47.2317191904798</v>
      </c>
      <c r="AB4764" s="0" t="n">
        <f aca="false">X4764+Z4764</f>
        <v>50.102948207181</v>
      </c>
      <c r="AC4764" s="54" t="b">
        <f aca="false">AND(E4764&gt;=01_因子設定!$L$5-0.000000001,E4764&lt;=01_因子設定!$M$5+0.000000001,F4764&gt;=01_因子設定!$L$6-0.000000001,F4764&lt;=01_因子設定!$M$6+0.000000001,G4764&gt;=01_因子設定!$L$7-0.000000001,G4764&lt;=01_因子設定!$M$7+0.000000001,H4764&gt;=01_因子設定!$L$8-0.000000001,H4764&lt;=01_因子設定!$M$8+0.000000001,IF(01_因子設定!$B$20="Box-Behnken",E4764^2+F4764^2+G4764^2+H4764^2&lt;=2+0.000000001,TRUE()))</f>
        <v>1</v>
      </c>
      <c r="AD4764" s="55" t="n">
        <f aca="false">IF(AC4764,IF(01_因子設定!$B$13="最大化",AA4764-01_因子設定!$B$14,IF(01_因子設定!$B$13="最小化",01_因子設定!$B$15-AB4764,MIN(AA4764-01_因子設定!$B$14,01_因子設定!$B$15-AB4764))),-1E+030)</f>
        <v>0.73171919047978</v>
      </c>
      <c r="AE4764" s="55" t="n">
        <f aca="false">IF(AC4764,IF(01_因子設定!$B$13="最大化",X4764,IF(01_因子設定!$B$13="最小化",-X4764,-ABS(X4764-01_因子設定!$B$16))),-1E+030)</f>
        <v>48.6673336988304</v>
      </c>
      <c r="AF4764" s="55" t="n">
        <f aca="false">AD4764+ROW()*0.000000001</f>
        <v>0.73172395447978</v>
      </c>
      <c r="AG4764" s="55" t="n">
        <f aca="false">AE4764+ROW()*0.000000001</f>
        <v>48.6673384628304</v>
      </c>
    </row>
    <row r="4765" customFormat="false" ht="15" hidden="false" customHeight="false" outlineLevel="0" collapsed="false">
      <c r="A4765" s="0" t="n">
        <v>6</v>
      </c>
      <c r="B4765" s="0" t="n">
        <v>4</v>
      </c>
      <c r="C4765" s="0" t="n">
        <v>6</v>
      </c>
      <c r="D4765" s="0" t="n">
        <v>8</v>
      </c>
      <c r="E4765" s="0" t="n">
        <f aca="false">-1+A4765*0.25</f>
        <v>0.5</v>
      </c>
      <c r="F4765" s="0" t="n">
        <f aca="false">-1+B4765*0.25</f>
        <v>0</v>
      </c>
      <c r="G4765" s="0" t="n">
        <f aca="false">-1+C4765*0.25</f>
        <v>0.5</v>
      </c>
      <c r="H4765" s="0" t="n">
        <f aca="false">-1+D4765*0.25</f>
        <v>1</v>
      </c>
      <c r="I4765" s="0" t="n">
        <f aca="false">1</f>
        <v>1</v>
      </c>
      <c r="J4765" s="0" t="n">
        <f aca="false">E4765</f>
        <v>0.5</v>
      </c>
      <c r="K4765" s="0" t="n">
        <f aca="false">F4765</f>
        <v>0</v>
      </c>
      <c r="L4765" s="0" t="n">
        <f aca="false">G4765</f>
        <v>0.5</v>
      </c>
      <c r="M4765" s="0" t="n">
        <f aca="false">H4765</f>
        <v>1</v>
      </c>
      <c r="N4765" s="0" t="n">
        <f aca="false">E4765*F4765</f>
        <v>0</v>
      </c>
      <c r="O4765" s="0" t="n">
        <f aca="false">E4765*G4765</f>
        <v>0.25</v>
      </c>
      <c r="P4765" s="0" t="n">
        <f aca="false">E4765*H4765</f>
        <v>0.5</v>
      </c>
      <c r="Q4765" s="0" t="n">
        <f aca="false">F4765*G4765</f>
        <v>0</v>
      </c>
      <c r="R4765" s="0" t="n">
        <f aca="false">F4765*H4765</f>
        <v>0</v>
      </c>
      <c r="S4765" s="0" t="n">
        <f aca="false">G4765*H4765</f>
        <v>0.5</v>
      </c>
      <c r="T4765" s="0" t="n">
        <f aca="false">E4765*E4765</f>
        <v>0.25</v>
      </c>
      <c r="U4765" s="0" t="n">
        <f aca="false">F4765*F4765</f>
        <v>0</v>
      </c>
      <c r="V4765" s="0" t="n">
        <f aca="false">G4765*G4765</f>
        <v>0.25</v>
      </c>
      <c r="W4765" s="0" t="n">
        <f aca="false">H4765*H4765</f>
        <v>1</v>
      </c>
      <c r="X4765" s="0" t="n">
        <f aca="false">SUMPRODUCT(I4765:W4765,_XtX!$B$96:$P$96)</f>
        <v>48.6529605263158</v>
      </c>
      <c r="Y4765" s="0" t="n">
        <f aca="false">SUMPRODUCT(MMULT(I4765:W4765,_XtX!$B$78:$P$92),I4765:W4765)</f>
        <v>0.441954495614035</v>
      </c>
      <c r="Z4765" s="0" t="n">
        <f aca="false">04_回帰ANOVA!$K$19*04_回帰ANOVA!$K$14*SQRT(1+Y4765)</f>
        <v>1.56521560968066</v>
      </c>
      <c r="AA4765" s="0" t="n">
        <f aca="false">X4765-Z4765</f>
        <v>47.0877449166351</v>
      </c>
      <c r="AB4765" s="0" t="n">
        <f aca="false">X4765+Z4765</f>
        <v>50.2181761359964</v>
      </c>
      <c r="AC4765" s="54" t="b">
        <f aca="false">AND(E4765&gt;=01_因子設定!$L$5-0.000000001,E4765&lt;=01_因子設定!$M$5+0.000000001,F4765&gt;=01_因子設定!$L$6-0.000000001,F4765&lt;=01_因子設定!$M$6+0.000000001,G4765&gt;=01_因子設定!$L$7-0.000000001,G4765&lt;=01_因子設定!$M$7+0.000000001,H4765&gt;=01_因子設定!$L$8-0.000000001,H4765&lt;=01_因子設定!$M$8+0.000000001,IF(01_因子設定!$B$20="Box-Behnken",E4765^2+F4765^2+G4765^2+H4765^2&lt;=2+0.000000001,TRUE()))</f>
        <v>1</v>
      </c>
      <c r="AD4765" s="55" t="n">
        <f aca="false">IF(AC4765,IF(01_因子設定!$B$13="最大化",AA4765-01_因子設定!$B$14,IF(01_因子設定!$B$13="最小化",01_因子設定!$B$15-AB4765,MIN(AA4765-01_因子設定!$B$14,01_因子設定!$B$15-AB4765))),-1E+030)</f>
        <v>0.587744916635117</v>
      </c>
      <c r="AE4765" s="55" t="n">
        <f aca="false">IF(AC4765,IF(01_因子設定!$B$13="最大化",X4765,IF(01_因子設定!$B$13="最小化",-X4765,-ABS(X4765-01_因子設定!$B$16))),-1E+030)</f>
        <v>48.6529605263158</v>
      </c>
      <c r="AF4765" s="55" t="n">
        <f aca="false">AD4765+ROW()*0.000000001</f>
        <v>0.587749681635117</v>
      </c>
      <c r="AG4765" s="55" t="n">
        <f aca="false">AE4765+ROW()*0.000000001</f>
        <v>48.6529652913158</v>
      </c>
    </row>
    <row r="4766" customFormat="false" ht="15" hidden="false" customHeight="false" outlineLevel="0" collapsed="false">
      <c r="A4766" s="0" t="n">
        <v>6</v>
      </c>
      <c r="B4766" s="0" t="n">
        <v>4</v>
      </c>
      <c r="C4766" s="0" t="n">
        <v>7</v>
      </c>
      <c r="D4766" s="0" t="n">
        <v>0</v>
      </c>
      <c r="E4766" s="0" t="n">
        <f aca="false">-1+A4766*0.25</f>
        <v>0.5</v>
      </c>
      <c r="F4766" s="0" t="n">
        <f aca="false">-1+B4766*0.25</f>
        <v>0</v>
      </c>
      <c r="G4766" s="0" t="n">
        <f aca="false">-1+C4766*0.25</f>
        <v>0.75</v>
      </c>
      <c r="H4766" s="0" t="n">
        <f aca="false">-1+D4766*0.25</f>
        <v>-1</v>
      </c>
      <c r="I4766" s="0" t="n">
        <f aca="false">1</f>
        <v>1</v>
      </c>
      <c r="J4766" s="0" t="n">
        <f aca="false">E4766</f>
        <v>0.5</v>
      </c>
      <c r="K4766" s="0" t="n">
        <f aca="false">F4766</f>
        <v>0</v>
      </c>
      <c r="L4766" s="0" t="n">
        <f aca="false">G4766</f>
        <v>0.75</v>
      </c>
      <c r="M4766" s="0" t="n">
        <f aca="false">H4766</f>
        <v>-1</v>
      </c>
      <c r="N4766" s="0" t="n">
        <f aca="false">E4766*F4766</f>
        <v>0</v>
      </c>
      <c r="O4766" s="0" t="n">
        <f aca="false">E4766*G4766</f>
        <v>0.375</v>
      </c>
      <c r="P4766" s="0" t="n">
        <f aca="false">E4766*H4766</f>
        <v>-0.5</v>
      </c>
      <c r="Q4766" s="0" t="n">
        <f aca="false">F4766*G4766</f>
        <v>0</v>
      </c>
      <c r="R4766" s="0" t="n">
        <f aca="false">F4766*H4766</f>
        <v>-0</v>
      </c>
      <c r="S4766" s="0" t="n">
        <f aca="false">G4766*H4766</f>
        <v>-0.75</v>
      </c>
      <c r="T4766" s="0" t="n">
        <f aca="false">E4766*E4766</f>
        <v>0.25</v>
      </c>
      <c r="U4766" s="0" t="n">
        <f aca="false">F4766*F4766</f>
        <v>0</v>
      </c>
      <c r="V4766" s="0" t="n">
        <f aca="false">G4766*G4766</f>
        <v>0.5625</v>
      </c>
      <c r="W4766" s="0" t="n">
        <f aca="false">H4766*H4766</f>
        <v>1</v>
      </c>
      <c r="X4766" s="0" t="n">
        <f aca="false">SUMPRODUCT(I4766:W4766,_XtX!$B$96:$P$96)</f>
        <v>47.3087902046784</v>
      </c>
      <c r="Y4766" s="0" t="n">
        <f aca="false">SUMPRODUCT(MMULT(I4766:W4766,_XtX!$B$78:$P$92),I4766:W4766)</f>
        <v>0.476191292032164</v>
      </c>
      <c r="Z4766" s="0" t="n">
        <f aca="false">04_回帰ANOVA!$K$19*04_回帰ANOVA!$K$14*SQRT(1+Y4766)</f>
        <v>1.58368831471718</v>
      </c>
      <c r="AA4766" s="0" t="n">
        <f aca="false">X4766-Z4766</f>
        <v>45.7251018899612</v>
      </c>
      <c r="AB4766" s="0" t="n">
        <f aca="false">X4766+Z4766</f>
        <v>48.8924785193955</v>
      </c>
      <c r="AC4766" s="54" t="b">
        <f aca="false">AND(E4766&gt;=01_因子設定!$L$5-0.000000001,E4766&lt;=01_因子設定!$M$5+0.000000001,F4766&gt;=01_因子設定!$L$6-0.000000001,F4766&lt;=01_因子設定!$M$6+0.000000001,G4766&gt;=01_因子設定!$L$7-0.000000001,G4766&lt;=01_因子設定!$M$7+0.000000001,H4766&gt;=01_因子設定!$L$8-0.000000001,H4766&lt;=01_因子設定!$M$8+0.000000001,IF(01_因子設定!$B$20="Box-Behnken",E4766^2+F4766^2+G4766^2+H4766^2&lt;=2+0.000000001,TRUE()))</f>
        <v>1</v>
      </c>
      <c r="AD4766" s="55" t="n">
        <f aca="false">IF(AC4766,IF(01_因子設定!$B$13="最大化",AA4766-01_因子設定!$B$14,IF(01_因子設定!$B$13="最小化",01_因子設定!$B$15-AB4766,MIN(AA4766-01_因子設定!$B$14,01_因子設定!$B$15-AB4766))),-1E+030)</f>
        <v>-0.774898110038819</v>
      </c>
      <c r="AE4766" s="55" t="n">
        <f aca="false">IF(AC4766,IF(01_因子設定!$B$13="最大化",X4766,IF(01_因子設定!$B$13="最小化",-X4766,-ABS(X4766-01_因子設定!$B$16))),-1E+030)</f>
        <v>47.3087902046784</v>
      </c>
      <c r="AF4766" s="55" t="n">
        <f aca="false">AD4766+ROW()*0.000000001</f>
        <v>-0.774893344038819</v>
      </c>
      <c r="AG4766" s="55" t="n">
        <f aca="false">AE4766+ROW()*0.000000001</f>
        <v>47.3087949706784</v>
      </c>
    </row>
    <row r="4767" customFormat="false" ht="15" hidden="false" customHeight="false" outlineLevel="0" collapsed="false">
      <c r="A4767" s="0" t="n">
        <v>6</v>
      </c>
      <c r="B4767" s="0" t="n">
        <v>4</v>
      </c>
      <c r="C4767" s="0" t="n">
        <v>7</v>
      </c>
      <c r="D4767" s="0" t="n">
        <v>1</v>
      </c>
      <c r="E4767" s="0" t="n">
        <f aca="false">-1+A4767*0.25</f>
        <v>0.5</v>
      </c>
      <c r="F4767" s="0" t="n">
        <f aca="false">-1+B4767*0.25</f>
        <v>0</v>
      </c>
      <c r="G4767" s="0" t="n">
        <f aca="false">-1+C4767*0.25</f>
        <v>0.75</v>
      </c>
      <c r="H4767" s="0" t="n">
        <f aca="false">-1+D4767*0.25</f>
        <v>-0.75</v>
      </c>
      <c r="I4767" s="0" t="n">
        <f aca="false">1</f>
        <v>1</v>
      </c>
      <c r="J4767" s="0" t="n">
        <f aca="false">E4767</f>
        <v>0.5</v>
      </c>
      <c r="K4767" s="0" t="n">
        <f aca="false">F4767</f>
        <v>0</v>
      </c>
      <c r="L4767" s="0" t="n">
        <f aca="false">G4767</f>
        <v>0.75</v>
      </c>
      <c r="M4767" s="0" t="n">
        <f aca="false">H4767</f>
        <v>-0.75</v>
      </c>
      <c r="N4767" s="0" t="n">
        <f aca="false">E4767*F4767</f>
        <v>0</v>
      </c>
      <c r="O4767" s="0" t="n">
        <f aca="false">E4767*G4767</f>
        <v>0.375</v>
      </c>
      <c r="P4767" s="0" t="n">
        <f aca="false">E4767*H4767</f>
        <v>-0.375</v>
      </c>
      <c r="Q4767" s="0" t="n">
        <f aca="false">F4767*G4767</f>
        <v>0</v>
      </c>
      <c r="R4767" s="0" t="n">
        <f aca="false">F4767*H4767</f>
        <v>-0</v>
      </c>
      <c r="S4767" s="0" t="n">
        <f aca="false">G4767*H4767</f>
        <v>-0.5625</v>
      </c>
      <c r="T4767" s="0" t="n">
        <f aca="false">E4767*E4767</f>
        <v>0.25</v>
      </c>
      <c r="U4767" s="0" t="n">
        <f aca="false">F4767*F4767</f>
        <v>0</v>
      </c>
      <c r="V4767" s="0" t="n">
        <f aca="false">G4767*G4767</f>
        <v>0.5625</v>
      </c>
      <c r="W4767" s="0" t="n">
        <f aca="false">H4767*H4767</f>
        <v>0.5625</v>
      </c>
      <c r="X4767" s="0" t="n">
        <f aca="false">SUMPRODUCT(I4767:W4767,_XtX!$B$96:$P$96)</f>
        <v>47.6470349049707</v>
      </c>
      <c r="Y4767" s="0" t="n">
        <f aca="false">SUMPRODUCT(MMULT(I4767:W4767,_XtX!$B$78:$P$92),I4767:W4767)</f>
        <v>0.269923873812135</v>
      </c>
      <c r="Z4767" s="0" t="n">
        <f aca="false">04_回帰ANOVA!$K$19*04_回帰ANOVA!$K$14*SQRT(1+Y4767)</f>
        <v>1.46888310825501</v>
      </c>
      <c r="AA4767" s="0" t="n">
        <f aca="false">X4767-Z4767</f>
        <v>46.1781517967157</v>
      </c>
      <c r="AB4767" s="0" t="n">
        <f aca="false">X4767+Z4767</f>
        <v>49.1159180132257</v>
      </c>
      <c r="AC4767" s="54" t="b">
        <f aca="false">AND(E4767&gt;=01_因子設定!$L$5-0.000000001,E4767&lt;=01_因子設定!$M$5+0.000000001,F4767&gt;=01_因子設定!$L$6-0.000000001,F4767&lt;=01_因子設定!$M$6+0.000000001,G4767&gt;=01_因子設定!$L$7-0.000000001,G4767&lt;=01_因子設定!$M$7+0.000000001,H4767&gt;=01_因子設定!$L$8-0.000000001,H4767&lt;=01_因子設定!$M$8+0.000000001,IF(01_因子設定!$B$20="Box-Behnken",E4767^2+F4767^2+G4767^2+H4767^2&lt;=2+0.000000001,TRUE()))</f>
        <v>1</v>
      </c>
      <c r="AD4767" s="55" t="n">
        <f aca="false">IF(AC4767,IF(01_因子設定!$B$13="最大化",AA4767-01_因子設定!$B$14,IF(01_因子設定!$B$13="最小化",01_因子設定!$B$15-AB4767,MIN(AA4767-01_因子設定!$B$14,01_因子設定!$B$15-AB4767))),-1E+030)</f>
        <v>-0.321848203284269</v>
      </c>
      <c r="AE4767" s="55" t="n">
        <f aca="false">IF(AC4767,IF(01_因子設定!$B$13="最大化",X4767,IF(01_因子設定!$B$13="最小化",-X4767,-ABS(X4767-01_因子設定!$B$16))),-1E+030)</f>
        <v>47.6470349049707</v>
      </c>
      <c r="AF4767" s="55" t="n">
        <f aca="false">AD4767+ROW()*0.000000001</f>
        <v>-0.321843436284269</v>
      </c>
      <c r="AG4767" s="55" t="n">
        <f aca="false">AE4767+ROW()*0.000000001</f>
        <v>47.6470396719707</v>
      </c>
    </row>
    <row r="4768" customFormat="false" ht="15" hidden="false" customHeight="false" outlineLevel="0" collapsed="false">
      <c r="A4768" s="0" t="n">
        <v>6</v>
      </c>
      <c r="B4768" s="0" t="n">
        <v>4</v>
      </c>
      <c r="C4768" s="0" t="n">
        <v>7</v>
      </c>
      <c r="D4768" s="0" t="n">
        <v>2</v>
      </c>
      <c r="E4768" s="0" t="n">
        <f aca="false">-1+A4768*0.25</f>
        <v>0.5</v>
      </c>
      <c r="F4768" s="0" t="n">
        <f aca="false">-1+B4768*0.25</f>
        <v>0</v>
      </c>
      <c r="G4768" s="0" t="n">
        <f aca="false">-1+C4768*0.25</f>
        <v>0.75</v>
      </c>
      <c r="H4768" s="0" t="n">
        <f aca="false">-1+D4768*0.25</f>
        <v>-0.5</v>
      </c>
      <c r="I4768" s="0" t="n">
        <f aca="false">1</f>
        <v>1</v>
      </c>
      <c r="J4768" s="0" t="n">
        <f aca="false">E4768</f>
        <v>0.5</v>
      </c>
      <c r="K4768" s="0" t="n">
        <f aca="false">F4768</f>
        <v>0</v>
      </c>
      <c r="L4768" s="0" t="n">
        <f aca="false">G4768</f>
        <v>0.75</v>
      </c>
      <c r="M4768" s="0" t="n">
        <f aca="false">H4768</f>
        <v>-0.5</v>
      </c>
      <c r="N4768" s="0" t="n">
        <f aca="false">E4768*F4768</f>
        <v>0</v>
      </c>
      <c r="O4768" s="0" t="n">
        <f aca="false">E4768*G4768</f>
        <v>0.375</v>
      </c>
      <c r="P4768" s="0" t="n">
        <f aca="false">E4768*H4768</f>
        <v>-0.25</v>
      </c>
      <c r="Q4768" s="0" t="n">
        <f aca="false">F4768*G4768</f>
        <v>0</v>
      </c>
      <c r="R4768" s="0" t="n">
        <f aca="false">F4768*H4768</f>
        <v>-0</v>
      </c>
      <c r="S4768" s="0" t="n">
        <f aca="false">G4768*H4768</f>
        <v>-0.375</v>
      </c>
      <c r="T4768" s="0" t="n">
        <f aca="false">E4768*E4768</f>
        <v>0.25</v>
      </c>
      <c r="U4768" s="0" t="n">
        <f aca="false">F4768*F4768</f>
        <v>0</v>
      </c>
      <c r="V4768" s="0" t="n">
        <f aca="false">G4768*G4768</f>
        <v>0.5625</v>
      </c>
      <c r="W4768" s="0" t="n">
        <f aca="false">H4768*H4768</f>
        <v>0.25</v>
      </c>
      <c r="X4768" s="0" t="n">
        <f aca="false">SUMPRODUCT(I4768:W4768,_XtX!$B$96:$P$96)</f>
        <v>47.9374725877193</v>
      </c>
      <c r="Y4768" s="0" t="n">
        <f aca="false">SUMPRODUCT(MMULT(I4768:W4768,_XtX!$B$78:$P$92),I4768:W4768)</f>
        <v>0.21305052997076</v>
      </c>
      <c r="Z4768" s="0" t="n">
        <f aca="false">04_回帰ANOVA!$K$19*04_回帰ANOVA!$K$14*SQRT(1+Y4768)</f>
        <v>1.43561450835061</v>
      </c>
      <c r="AA4768" s="0" t="n">
        <f aca="false">X4768-Z4768</f>
        <v>46.5018580793687</v>
      </c>
      <c r="AB4768" s="0" t="n">
        <f aca="false">X4768+Z4768</f>
        <v>49.3730870960699</v>
      </c>
      <c r="AC4768" s="54" t="b">
        <f aca="false">AND(E4768&gt;=01_因子設定!$L$5-0.000000001,E4768&lt;=01_因子設定!$M$5+0.000000001,F4768&gt;=01_因子設定!$L$6-0.000000001,F4768&lt;=01_因子設定!$M$6+0.000000001,G4768&gt;=01_因子設定!$L$7-0.000000001,G4768&lt;=01_因子設定!$M$7+0.000000001,H4768&gt;=01_因子設定!$L$8-0.000000001,H4768&lt;=01_因子設定!$M$8+0.000000001,IF(01_因子設定!$B$20="Box-Behnken",E4768^2+F4768^2+G4768^2+H4768^2&lt;=2+0.000000001,TRUE()))</f>
        <v>1</v>
      </c>
      <c r="AD4768" s="55" t="n">
        <f aca="false">IF(AC4768,IF(01_因子設定!$B$13="最大化",AA4768-01_因子設定!$B$14,IF(01_因子設定!$B$13="最小化",01_因子設定!$B$15-AB4768,MIN(AA4768-01_因子設定!$B$14,01_因子設定!$B$15-AB4768))),-1E+030)</f>
        <v>0.00185807936866667</v>
      </c>
      <c r="AE4768" s="55" t="n">
        <f aca="false">IF(AC4768,IF(01_因子設定!$B$13="最大化",X4768,IF(01_因子設定!$B$13="最小化",-X4768,-ABS(X4768-01_因子設定!$B$16))),-1E+030)</f>
        <v>47.9374725877193</v>
      </c>
      <c r="AF4768" s="55" t="n">
        <f aca="false">AD4768+ROW()*0.000000001</f>
        <v>0.00186284736866667</v>
      </c>
      <c r="AG4768" s="55" t="n">
        <f aca="false">AE4768+ROW()*0.000000001</f>
        <v>47.9374773557193</v>
      </c>
    </row>
    <row r="4769" customFormat="false" ht="15" hidden="false" customHeight="false" outlineLevel="0" collapsed="false">
      <c r="A4769" s="0" t="n">
        <v>6</v>
      </c>
      <c r="B4769" s="0" t="n">
        <v>4</v>
      </c>
      <c r="C4769" s="0" t="n">
        <v>7</v>
      </c>
      <c r="D4769" s="0" t="n">
        <v>3</v>
      </c>
      <c r="E4769" s="0" t="n">
        <f aca="false">-1+A4769*0.25</f>
        <v>0.5</v>
      </c>
      <c r="F4769" s="0" t="n">
        <f aca="false">-1+B4769*0.25</f>
        <v>0</v>
      </c>
      <c r="G4769" s="0" t="n">
        <f aca="false">-1+C4769*0.25</f>
        <v>0.75</v>
      </c>
      <c r="H4769" s="0" t="n">
        <f aca="false">-1+D4769*0.25</f>
        <v>-0.25</v>
      </c>
      <c r="I4769" s="0" t="n">
        <f aca="false">1</f>
        <v>1</v>
      </c>
      <c r="J4769" s="0" t="n">
        <f aca="false">E4769</f>
        <v>0.5</v>
      </c>
      <c r="K4769" s="0" t="n">
        <f aca="false">F4769</f>
        <v>0</v>
      </c>
      <c r="L4769" s="0" t="n">
        <f aca="false">G4769</f>
        <v>0.75</v>
      </c>
      <c r="M4769" s="0" t="n">
        <f aca="false">H4769</f>
        <v>-0.25</v>
      </c>
      <c r="N4769" s="0" t="n">
        <f aca="false">E4769*F4769</f>
        <v>0</v>
      </c>
      <c r="O4769" s="0" t="n">
        <f aca="false">E4769*G4769</f>
        <v>0.375</v>
      </c>
      <c r="P4769" s="0" t="n">
        <f aca="false">E4769*H4769</f>
        <v>-0.125</v>
      </c>
      <c r="Q4769" s="0" t="n">
        <f aca="false">F4769*G4769</f>
        <v>0</v>
      </c>
      <c r="R4769" s="0" t="n">
        <f aca="false">F4769*H4769</f>
        <v>-0</v>
      </c>
      <c r="S4769" s="0" t="n">
        <f aca="false">G4769*H4769</f>
        <v>-0.1875</v>
      </c>
      <c r="T4769" s="0" t="n">
        <f aca="false">E4769*E4769</f>
        <v>0.25</v>
      </c>
      <c r="U4769" s="0" t="n">
        <f aca="false">F4769*F4769</f>
        <v>0</v>
      </c>
      <c r="V4769" s="0" t="n">
        <f aca="false">G4769*G4769</f>
        <v>0.5625</v>
      </c>
      <c r="W4769" s="0" t="n">
        <f aca="false">H4769*H4769</f>
        <v>0.0625</v>
      </c>
      <c r="X4769" s="0" t="n">
        <f aca="false">SUMPRODUCT(I4769:W4769,_XtX!$B$96:$P$96)</f>
        <v>48.1801032529239</v>
      </c>
      <c r="Y4769" s="0" t="n">
        <f aca="false">SUMPRODUCT(MMULT(I4769:W4769,_XtX!$B$78:$P$92),I4769:W4769)</f>
        <v>0.215110734192252</v>
      </c>
      <c r="Z4769" s="0" t="n">
        <f aca="false">04_回帰ANOVA!$K$19*04_回帰ANOVA!$K$14*SQRT(1+Y4769)</f>
        <v>1.43683309086864</v>
      </c>
      <c r="AA4769" s="0" t="n">
        <f aca="false">X4769-Z4769</f>
        <v>46.7432701620553</v>
      </c>
      <c r="AB4769" s="0" t="n">
        <f aca="false">X4769+Z4769</f>
        <v>49.6169363437926</v>
      </c>
      <c r="AC4769" s="54" t="b">
        <f aca="false">AND(E4769&gt;=01_因子設定!$L$5-0.000000001,E4769&lt;=01_因子設定!$M$5+0.000000001,F4769&gt;=01_因子設定!$L$6-0.000000001,F4769&lt;=01_因子設定!$M$6+0.000000001,G4769&gt;=01_因子設定!$L$7-0.000000001,G4769&lt;=01_因子設定!$M$7+0.000000001,H4769&gt;=01_因子設定!$L$8-0.000000001,H4769&lt;=01_因子設定!$M$8+0.000000001,IF(01_因子設定!$B$20="Box-Behnken",E4769^2+F4769^2+G4769^2+H4769^2&lt;=2+0.000000001,TRUE()))</f>
        <v>1</v>
      </c>
      <c r="AD4769" s="55" t="n">
        <f aca="false">IF(AC4769,IF(01_因子設定!$B$13="最大化",AA4769-01_因子設定!$B$14,IF(01_因子設定!$B$13="最小化",01_因子設定!$B$15-AB4769,MIN(AA4769-01_因子設定!$B$14,01_因子設定!$B$15-AB4769))),-1E+030)</f>
        <v>0.243270162055289</v>
      </c>
      <c r="AE4769" s="55" t="n">
        <f aca="false">IF(AC4769,IF(01_因子設定!$B$13="最大化",X4769,IF(01_因子設定!$B$13="最小化",-X4769,-ABS(X4769-01_因子設定!$B$16))),-1E+030)</f>
        <v>48.1801032529239</v>
      </c>
      <c r="AF4769" s="55" t="n">
        <f aca="false">AD4769+ROW()*0.000000001</f>
        <v>0.243274931055289</v>
      </c>
      <c r="AG4769" s="55" t="n">
        <f aca="false">AE4769+ROW()*0.000000001</f>
        <v>48.1801080219239</v>
      </c>
    </row>
    <row r="4770" customFormat="false" ht="15" hidden="false" customHeight="false" outlineLevel="0" collapsed="false">
      <c r="A4770" s="0" t="n">
        <v>6</v>
      </c>
      <c r="B4770" s="0" t="n">
        <v>4</v>
      </c>
      <c r="C4770" s="0" t="n">
        <v>7</v>
      </c>
      <c r="D4770" s="0" t="n">
        <v>4</v>
      </c>
      <c r="E4770" s="0" t="n">
        <f aca="false">-1+A4770*0.25</f>
        <v>0.5</v>
      </c>
      <c r="F4770" s="0" t="n">
        <f aca="false">-1+B4770*0.25</f>
        <v>0</v>
      </c>
      <c r="G4770" s="0" t="n">
        <f aca="false">-1+C4770*0.25</f>
        <v>0.75</v>
      </c>
      <c r="H4770" s="0" t="n">
        <f aca="false">-1+D4770*0.25</f>
        <v>0</v>
      </c>
      <c r="I4770" s="0" t="n">
        <f aca="false">1</f>
        <v>1</v>
      </c>
      <c r="J4770" s="0" t="n">
        <f aca="false">E4770</f>
        <v>0.5</v>
      </c>
      <c r="K4770" s="0" t="n">
        <f aca="false">F4770</f>
        <v>0</v>
      </c>
      <c r="L4770" s="0" t="n">
        <f aca="false">G4770</f>
        <v>0.75</v>
      </c>
      <c r="M4770" s="0" t="n">
        <f aca="false">H4770</f>
        <v>0</v>
      </c>
      <c r="N4770" s="0" t="n">
        <f aca="false">E4770*F4770</f>
        <v>0</v>
      </c>
      <c r="O4770" s="0" t="n">
        <f aca="false">E4770*G4770</f>
        <v>0.375</v>
      </c>
      <c r="P4770" s="0" t="n">
        <f aca="false">E4770*H4770</f>
        <v>0</v>
      </c>
      <c r="Q4770" s="0" t="n">
        <f aca="false">F4770*G4770</f>
        <v>0</v>
      </c>
      <c r="R4770" s="0" t="n">
        <f aca="false">F4770*H4770</f>
        <v>0</v>
      </c>
      <c r="S4770" s="0" t="n">
        <f aca="false">G4770*H4770</f>
        <v>0</v>
      </c>
      <c r="T4770" s="0" t="n">
        <f aca="false">E4770*E4770</f>
        <v>0.25</v>
      </c>
      <c r="U4770" s="0" t="n">
        <f aca="false">F4770*F4770</f>
        <v>0</v>
      </c>
      <c r="V4770" s="0" t="n">
        <f aca="false">G4770*G4770</f>
        <v>0.5625</v>
      </c>
      <c r="W4770" s="0" t="n">
        <f aca="false">H4770*H4770</f>
        <v>0</v>
      </c>
      <c r="X4770" s="0" t="n">
        <f aca="false">SUMPRODUCT(I4770:W4770,_XtX!$B$96:$P$96)</f>
        <v>48.3749269005848</v>
      </c>
      <c r="Y4770" s="0" t="n">
        <f aca="false">SUMPRODUCT(MMULT(I4770:W4770,_XtX!$B$78:$P$92),I4770:W4770)</f>
        <v>0.221828170687135</v>
      </c>
      <c r="Z4770" s="0" t="n">
        <f aca="false">04_回帰ANOVA!$K$19*04_回帰ANOVA!$K$14*SQRT(1+Y4770)</f>
        <v>1.44079920361664</v>
      </c>
      <c r="AA4770" s="0" t="n">
        <f aca="false">X4770-Z4770</f>
        <v>46.9341276969681</v>
      </c>
      <c r="AB4770" s="0" t="n">
        <f aca="false">X4770+Z4770</f>
        <v>49.8157261042014</v>
      </c>
      <c r="AC4770" s="54" t="b">
        <f aca="false">AND(E4770&gt;=01_因子設定!$L$5-0.000000001,E4770&lt;=01_因子設定!$M$5+0.000000001,F4770&gt;=01_因子設定!$L$6-0.000000001,F4770&lt;=01_因子設定!$M$6+0.000000001,G4770&gt;=01_因子設定!$L$7-0.000000001,G4770&lt;=01_因子設定!$M$7+0.000000001,H4770&gt;=01_因子設定!$L$8-0.000000001,H4770&lt;=01_因子設定!$M$8+0.000000001,IF(01_因子設定!$B$20="Box-Behnken",E4770^2+F4770^2+G4770^2+H4770^2&lt;=2+0.000000001,TRUE()))</f>
        <v>1</v>
      </c>
      <c r="AD4770" s="55" t="n">
        <f aca="false">IF(AC4770,IF(01_因子設定!$B$13="最大化",AA4770-01_因子設定!$B$14,IF(01_因子設定!$B$13="最小化",01_因子設定!$B$15-AB4770,MIN(AA4770-01_因子設定!$B$14,01_因子設定!$B$15-AB4770))),-1E+030)</f>
        <v>0.434127696968112</v>
      </c>
      <c r="AE4770" s="55" t="n">
        <f aca="false">IF(AC4770,IF(01_因子設定!$B$13="最大化",X4770,IF(01_因子設定!$B$13="最小化",-X4770,-ABS(X4770-01_因子設定!$B$16))),-1E+030)</f>
        <v>48.3749269005848</v>
      </c>
      <c r="AF4770" s="55" t="n">
        <f aca="false">AD4770+ROW()*0.000000001</f>
        <v>0.434132466968112</v>
      </c>
      <c r="AG4770" s="55" t="n">
        <f aca="false">AE4770+ROW()*0.000000001</f>
        <v>48.3749316705848</v>
      </c>
    </row>
    <row r="4771" customFormat="false" ht="15" hidden="false" customHeight="false" outlineLevel="0" collapsed="false">
      <c r="A4771" s="0" t="n">
        <v>6</v>
      </c>
      <c r="B4771" s="0" t="n">
        <v>4</v>
      </c>
      <c r="C4771" s="0" t="n">
        <v>7</v>
      </c>
      <c r="D4771" s="0" t="n">
        <v>5</v>
      </c>
      <c r="E4771" s="0" t="n">
        <f aca="false">-1+A4771*0.25</f>
        <v>0.5</v>
      </c>
      <c r="F4771" s="0" t="n">
        <f aca="false">-1+B4771*0.25</f>
        <v>0</v>
      </c>
      <c r="G4771" s="0" t="n">
        <f aca="false">-1+C4771*0.25</f>
        <v>0.75</v>
      </c>
      <c r="H4771" s="0" t="n">
        <f aca="false">-1+D4771*0.25</f>
        <v>0.25</v>
      </c>
      <c r="I4771" s="0" t="n">
        <f aca="false">1</f>
        <v>1</v>
      </c>
      <c r="J4771" s="0" t="n">
        <f aca="false">E4771</f>
        <v>0.5</v>
      </c>
      <c r="K4771" s="0" t="n">
        <f aca="false">F4771</f>
        <v>0</v>
      </c>
      <c r="L4771" s="0" t="n">
        <f aca="false">G4771</f>
        <v>0.75</v>
      </c>
      <c r="M4771" s="0" t="n">
        <f aca="false">H4771</f>
        <v>0.25</v>
      </c>
      <c r="N4771" s="0" t="n">
        <f aca="false">E4771*F4771</f>
        <v>0</v>
      </c>
      <c r="O4771" s="0" t="n">
        <f aca="false">E4771*G4771</f>
        <v>0.375</v>
      </c>
      <c r="P4771" s="0" t="n">
        <f aca="false">E4771*H4771</f>
        <v>0.125</v>
      </c>
      <c r="Q4771" s="0" t="n">
        <f aca="false">F4771*G4771</f>
        <v>0</v>
      </c>
      <c r="R4771" s="0" t="n">
        <f aca="false">F4771*H4771</f>
        <v>0</v>
      </c>
      <c r="S4771" s="0" t="n">
        <f aca="false">G4771*H4771</f>
        <v>0.1875</v>
      </c>
      <c r="T4771" s="0" t="n">
        <f aca="false">E4771*E4771</f>
        <v>0.25</v>
      </c>
      <c r="U4771" s="0" t="n">
        <f aca="false">F4771*F4771</f>
        <v>0</v>
      </c>
      <c r="V4771" s="0" t="n">
        <f aca="false">G4771*G4771</f>
        <v>0.5625</v>
      </c>
      <c r="W4771" s="0" t="n">
        <f aca="false">H4771*H4771</f>
        <v>0.0625</v>
      </c>
      <c r="X4771" s="0" t="n">
        <f aca="false">SUMPRODUCT(I4771:W4771,_XtX!$B$96:$P$96)</f>
        <v>48.5219435307017</v>
      </c>
      <c r="Y4771" s="0" t="n">
        <f aca="false">SUMPRODUCT(MMULT(I4771:W4771,_XtX!$B$78:$P$92),I4771:W4771)</f>
        <v>0.215110734192252</v>
      </c>
      <c r="Z4771" s="0" t="n">
        <f aca="false">04_回帰ANOVA!$K$19*04_回帰ANOVA!$K$14*SQRT(1+Y4771)</f>
        <v>1.43683309086864</v>
      </c>
      <c r="AA4771" s="0" t="n">
        <f aca="false">X4771-Z4771</f>
        <v>47.0851104398331</v>
      </c>
      <c r="AB4771" s="0" t="n">
        <f aca="false">X4771+Z4771</f>
        <v>49.9587766215704</v>
      </c>
      <c r="AC4771" s="54" t="b">
        <f aca="false">AND(E4771&gt;=01_因子設定!$L$5-0.000000001,E4771&lt;=01_因子設定!$M$5+0.000000001,F4771&gt;=01_因子設定!$L$6-0.000000001,F4771&lt;=01_因子設定!$M$6+0.000000001,G4771&gt;=01_因子設定!$L$7-0.000000001,G4771&lt;=01_因子設定!$M$7+0.000000001,H4771&gt;=01_因子設定!$L$8-0.000000001,H4771&lt;=01_因子設定!$M$8+0.000000001,IF(01_因子設定!$B$20="Box-Behnken",E4771^2+F4771^2+G4771^2+H4771^2&lt;=2+0.000000001,TRUE()))</f>
        <v>1</v>
      </c>
      <c r="AD4771" s="55" t="n">
        <f aca="false">IF(AC4771,IF(01_因子設定!$B$13="最大化",AA4771-01_因子設定!$B$14,IF(01_因子設定!$B$13="最小化",01_因子設定!$B$15-AB4771,MIN(AA4771-01_因子設定!$B$14,01_因子設定!$B$15-AB4771))),-1E+030)</f>
        <v>0.585110439833066</v>
      </c>
      <c r="AE4771" s="55" t="n">
        <f aca="false">IF(AC4771,IF(01_因子設定!$B$13="最大化",X4771,IF(01_因子設定!$B$13="最小化",-X4771,-ABS(X4771-01_因子設定!$B$16))),-1E+030)</f>
        <v>48.5219435307017</v>
      </c>
      <c r="AF4771" s="55" t="n">
        <f aca="false">AD4771+ROW()*0.000000001</f>
        <v>0.585115210833066</v>
      </c>
      <c r="AG4771" s="55" t="n">
        <f aca="false">AE4771+ROW()*0.000000001</f>
        <v>48.5219483017017</v>
      </c>
    </row>
    <row r="4772" customFormat="false" ht="15" hidden="false" customHeight="false" outlineLevel="0" collapsed="false">
      <c r="A4772" s="0" t="n">
        <v>6</v>
      </c>
      <c r="B4772" s="0" t="n">
        <v>4</v>
      </c>
      <c r="C4772" s="0" t="n">
        <v>7</v>
      </c>
      <c r="D4772" s="0" t="n">
        <v>6</v>
      </c>
      <c r="E4772" s="0" t="n">
        <f aca="false">-1+A4772*0.25</f>
        <v>0.5</v>
      </c>
      <c r="F4772" s="0" t="n">
        <f aca="false">-1+B4772*0.25</f>
        <v>0</v>
      </c>
      <c r="G4772" s="0" t="n">
        <f aca="false">-1+C4772*0.25</f>
        <v>0.75</v>
      </c>
      <c r="H4772" s="0" t="n">
        <f aca="false">-1+D4772*0.25</f>
        <v>0.5</v>
      </c>
      <c r="I4772" s="0" t="n">
        <f aca="false">1</f>
        <v>1</v>
      </c>
      <c r="J4772" s="0" t="n">
        <f aca="false">E4772</f>
        <v>0.5</v>
      </c>
      <c r="K4772" s="0" t="n">
        <f aca="false">F4772</f>
        <v>0</v>
      </c>
      <c r="L4772" s="0" t="n">
        <f aca="false">G4772</f>
        <v>0.75</v>
      </c>
      <c r="M4772" s="0" t="n">
        <f aca="false">H4772</f>
        <v>0.5</v>
      </c>
      <c r="N4772" s="0" t="n">
        <f aca="false">E4772*F4772</f>
        <v>0</v>
      </c>
      <c r="O4772" s="0" t="n">
        <f aca="false">E4772*G4772</f>
        <v>0.375</v>
      </c>
      <c r="P4772" s="0" t="n">
        <f aca="false">E4772*H4772</f>
        <v>0.25</v>
      </c>
      <c r="Q4772" s="0" t="n">
        <f aca="false">F4772*G4772</f>
        <v>0</v>
      </c>
      <c r="R4772" s="0" t="n">
        <f aca="false">F4772*H4772</f>
        <v>0</v>
      </c>
      <c r="S4772" s="0" t="n">
        <f aca="false">G4772*H4772</f>
        <v>0.375</v>
      </c>
      <c r="T4772" s="0" t="n">
        <f aca="false">E4772*E4772</f>
        <v>0.25</v>
      </c>
      <c r="U4772" s="0" t="n">
        <f aca="false">F4772*F4772</f>
        <v>0</v>
      </c>
      <c r="V4772" s="0" t="n">
        <f aca="false">G4772*G4772</f>
        <v>0.5625</v>
      </c>
      <c r="W4772" s="0" t="n">
        <f aca="false">H4772*H4772</f>
        <v>0.25</v>
      </c>
      <c r="X4772" s="0" t="n">
        <f aca="false">SUMPRODUCT(I4772:W4772,_XtX!$B$96:$P$96)</f>
        <v>48.6211531432748</v>
      </c>
      <c r="Y4772" s="0" t="n">
        <f aca="false">SUMPRODUCT(MMULT(I4772:W4772,_XtX!$B$78:$P$92),I4772:W4772)</f>
        <v>0.21305052997076</v>
      </c>
      <c r="Z4772" s="0" t="n">
        <f aca="false">04_回帰ANOVA!$K$19*04_回帰ANOVA!$K$14*SQRT(1+Y4772)</f>
        <v>1.43561450835061</v>
      </c>
      <c r="AA4772" s="0" t="n">
        <f aca="false">X4772-Z4772</f>
        <v>47.1855386349242</v>
      </c>
      <c r="AB4772" s="0" t="n">
        <f aca="false">X4772+Z4772</f>
        <v>50.0567676516254</v>
      </c>
      <c r="AC4772" s="54" t="b">
        <f aca="false">AND(E4772&gt;=01_因子設定!$L$5-0.000000001,E4772&lt;=01_因子設定!$M$5+0.000000001,F4772&gt;=01_因子設定!$L$6-0.000000001,F4772&lt;=01_因子設定!$M$6+0.000000001,G4772&gt;=01_因子設定!$L$7-0.000000001,G4772&lt;=01_因子設定!$M$7+0.000000001,H4772&gt;=01_因子設定!$L$8-0.000000001,H4772&lt;=01_因子設定!$M$8+0.000000001,IF(01_因子設定!$B$20="Box-Behnken",E4772^2+F4772^2+G4772^2+H4772^2&lt;=2+0.000000001,TRUE()))</f>
        <v>1</v>
      </c>
      <c r="AD4772" s="55" t="n">
        <f aca="false">IF(AC4772,IF(01_因子設定!$B$13="最大化",AA4772-01_因子設定!$B$14,IF(01_因子設定!$B$13="最小化",01_因子設定!$B$15-AB4772,MIN(AA4772-01_因子設定!$B$14,01_因子設定!$B$15-AB4772))),-1E+030)</f>
        <v>0.685538634924221</v>
      </c>
      <c r="AE4772" s="55" t="n">
        <f aca="false">IF(AC4772,IF(01_因子設定!$B$13="最大化",X4772,IF(01_因子設定!$B$13="最小化",-X4772,-ABS(X4772-01_因子設定!$B$16))),-1E+030)</f>
        <v>48.6211531432748</v>
      </c>
      <c r="AF4772" s="55" t="n">
        <f aca="false">AD4772+ROW()*0.000000001</f>
        <v>0.685543406924221</v>
      </c>
      <c r="AG4772" s="55" t="n">
        <f aca="false">AE4772+ROW()*0.000000001</f>
        <v>48.6211579152748</v>
      </c>
    </row>
    <row r="4773" customFormat="false" ht="15" hidden="false" customHeight="false" outlineLevel="0" collapsed="false">
      <c r="A4773" s="0" t="n">
        <v>6</v>
      </c>
      <c r="B4773" s="0" t="n">
        <v>4</v>
      </c>
      <c r="C4773" s="0" t="n">
        <v>7</v>
      </c>
      <c r="D4773" s="0" t="n">
        <v>7</v>
      </c>
      <c r="E4773" s="0" t="n">
        <f aca="false">-1+A4773*0.25</f>
        <v>0.5</v>
      </c>
      <c r="F4773" s="0" t="n">
        <f aca="false">-1+B4773*0.25</f>
        <v>0</v>
      </c>
      <c r="G4773" s="0" t="n">
        <f aca="false">-1+C4773*0.25</f>
        <v>0.75</v>
      </c>
      <c r="H4773" s="0" t="n">
        <f aca="false">-1+D4773*0.25</f>
        <v>0.75</v>
      </c>
      <c r="I4773" s="0" t="n">
        <f aca="false">1</f>
        <v>1</v>
      </c>
      <c r="J4773" s="0" t="n">
        <f aca="false">E4773</f>
        <v>0.5</v>
      </c>
      <c r="K4773" s="0" t="n">
        <f aca="false">F4773</f>
        <v>0</v>
      </c>
      <c r="L4773" s="0" t="n">
        <f aca="false">G4773</f>
        <v>0.75</v>
      </c>
      <c r="M4773" s="0" t="n">
        <f aca="false">H4773</f>
        <v>0.75</v>
      </c>
      <c r="N4773" s="0" t="n">
        <f aca="false">E4773*F4773</f>
        <v>0</v>
      </c>
      <c r="O4773" s="0" t="n">
        <f aca="false">E4773*G4773</f>
        <v>0.375</v>
      </c>
      <c r="P4773" s="0" t="n">
        <f aca="false">E4773*H4773</f>
        <v>0.375</v>
      </c>
      <c r="Q4773" s="0" t="n">
        <f aca="false">F4773*G4773</f>
        <v>0</v>
      </c>
      <c r="R4773" s="0" t="n">
        <f aca="false">F4773*H4773</f>
        <v>0</v>
      </c>
      <c r="S4773" s="0" t="n">
        <f aca="false">G4773*H4773</f>
        <v>0.5625</v>
      </c>
      <c r="T4773" s="0" t="n">
        <f aca="false">E4773*E4773</f>
        <v>0.25</v>
      </c>
      <c r="U4773" s="0" t="n">
        <f aca="false">F4773*F4773</f>
        <v>0</v>
      </c>
      <c r="V4773" s="0" t="n">
        <f aca="false">G4773*G4773</f>
        <v>0.5625</v>
      </c>
      <c r="W4773" s="0" t="n">
        <f aca="false">H4773*H4773</f>
        <v>0.5625</v>
      </c>
      <c r="X4773" s="0" t="n">
        <f aca="false">SUMPRODUCT(I4773:W4773,_XtX!$B$96:$P$96)</f>
        <v>48.6725557383041</v>
      </c>
      <c r="Y4773" s="0" t="n">
        <f aca="false">SUMPRODUCT(MMULT(I4773:W4773,_XtX!$B$78:$P$92),I4773:W4773)</f>
        <v>0.269923873812135</v>
      </c>
      <c r="Z4773" s="0" t="n">
        <f aca="false">04_回帰ANOVA!$K$19*04_回帰ANOVA!$K$14*SQRT(1+Y4773)</f>
        <v>1.46888310825501</v>
      </c>
      <c r="AA4773" s="0" t="n">
        <f aca="false">X4773-Z4773</f>
        <v>47.2036726300491</v>
      </c>
      <c r="AB4773" s="0" t="n">
        <f aca="false">X4773+Z4773</f>
        <v>50.1414388465591</v>
      </c>
      <c r="AC4773" s="54" t="b">
        <f aca="false">AND(E4773&gt;=01_因子設定!$L$5-0.000000001,E4773&lt;=01_因子設定!$M$5+0.000000001,F4773&gt;=01_因子設定!$L$6-0.000000001,F4773&lt;=01_因子設定!$M$6+0.000000001,G4773&gt;=01_因子設定!$L$7-0.000000001,G4773&lt;=01_因子設定!$M$7+0.000000001,H4773&gt;=01_因子設定!$L$8-0.000000001,H4773&lt;=01_因子設定!$M$8+0.000000001,IF(01_因子設定!$B$20="Box-Behnken",E4773^2+F4773^2+G4773^2+H4773^2&lt;=2+0.000000001,TRUE()))</f>
        <v>1</v>
      </c>
      <c r="AD4773" s="55" t="n">
        <f aca="false">IF(AC4773,IF(01_因子設定!$B$13="最大化",AA4773-01_因子設定!$B$14,IF(01_因子設定!$B$13="最小化",01_因子設定!$B$15-AB4773,MIN(AA4773-01_因子設定!$B$14,01_因子設定!$B$15-AB4773))),-1E+030)</f>
        <v>0.703672630049063</v>
      </c>
      <c r="AE4773" s="55" t="n">
        <f aca="false">IF(AC4773,IF(01_因子設定!$B$13="最大化",X4773,IF(01_因子設定!$B$13="最小化",-X4773,-ABS(X4773-01_因子設定!$B$16))),-1E+030)</f>
        <v>48.6725557383041</v>
      </c>
      <c r="AF4773" s="55" t="n">
        <f aca="false">AD4773+ROW()*0.000000001</f>
        <v>0.703677403049063</v>
      </c>
      <c r="AG4773" s="55" t="n">
        <f aca="false">AE4773+ROW()*0.000000001</f>
        <v>48.6725605113041</v>
      </c>
    </row>
    <row r="4774" customFormat="false" ht="15" hidden="false" customHeight="false" outlineLevel="0" collapsed="false">
      <c r="A4774" s="0" t="n">
        <v>6</v>
      </c>
      <c r="B4774" s="0" t="n">
        <v>4</v>
      </c>
      <c r="C4774" s="0" t="n">
        <v>7</v>
      </c>
      <c r="D4774" s="0" t="n">
        <v>8</v>
      </c>
      <c r="E4774" s="0" t="n">
        <f aca="false">-1+A4774*0.25</f>
        <v>0.5</v>
      </c>
      <c r="F4774" s="0" t="n">
        <f aca="false">-1+B4774*0.25</f>
        <v>0</v>
      </c>
      <c r="G4774" s="0" t="n">
        <f aca="false">-1+C4774*0.25</f>
        <v>0.75</v>
      </c>
      <c r="H4774" s="0" t="n">
        <f aca="false">-1+D4774*0.25</f>
        <v>1</v>
      </c>
      <c r="I4774" s="0" t="n">
        <f aca="false">1</f>
        <v>1</v>
      </c>
      <c r="J4774" s="0" t="n">
        <f aca="false">E4774</f>
        <v>0.5</v>
      </c>
      <c r="K4774" s="0" t="n">
        <f aca="false">F4774</f>
        <v>0</v>
      </c>
      <c r="L4774" s="0" t="n">
        <f aca="false">G4774</f>
        <v>0.75</v>
      </c>
      <c r="M4774" s="0" t="n">
        <f aca="false">H4774</f>
        <v>1</v>
      </c>
      <c r="N4774" s="0" t="n">
        <f aca="false">E4774*F4774</f>
        <v>0</v>
      </c>
      <c r="O4774" s="0" t="n">
        <f aca="false">E4774*G4774</f>
        <v>0.375</v>
      </c>
      <c r="P4774" s="0" t="n">
        <f aca="false">E4774*H4774</f>
        <v>0.5</v>
      </c>
      <c r="Q4774" s="0" t="n">
        <f aca="false">F4774*G4774</f>
        <v>0</v>
      </c>
      <c r="R4774" s="0" t="n">
        <f aca="false">F4774*H4774</f>
        <v>0</v>
      </c>
      <c r="S4774" s="0" t="n">
        <f aca="false">G4774*H4774</f>
        <v>0.75</v>
      </c>
      <c r="T4774" s="0" t="n">
        <f aca="false">E4774*E4774</f>
        <v>0.25</v>
      </c>
      <c r="U4774" s="0" t="n">
        <f aca="false">F4774*F4774</f>
        <v>0</v>
      </c>
      <c r="V4774" s="0" t="n">
        <f aca="false">G4774*G4774</f>
        <v>0.5625</v>
      </c>
      <c r="W4774" s="0" t="n">
        <f aca="false">H4774*H4774</f>
        <v>1</v>
      </c>
      <c r="X4774" s="0" t="n">
        <f aca="false">SUMPRODUCT(I4774:W4774,_XtX!$B$96:$P$96)</f>
        <v>48.6761513157895</v>
      </c>
      <c r="Y4774" s="0" t="n">
        <f aca="false">SUMPRODUCT(MMULT(I4774:W4774,_XtX!$B$78:$P$92),I4774:W4774)</f>
        <v>0.476191292032164</v>
      </c>
      <c r="Z4774" s="0" t="n">
        <f aca="false">04_回帰ANOVA!$K$19*04_回帰ANOVA!$K$14*SQRT(1+Y4774)</f>
        <v>1.58368831471718</v>
      </c>
      <c r="AA4774" s="0" t="n">
        <f aca="false">X4774-Z4774</f>
        <v>47.0924630010723</v>
      </c>
      <c r="AB4774" s="0" t="n">
        <f aca="false">X4774+Z4774</f>
        <v>50.2598396305067</v>
      </c>
      <c r="AC4774" s="54" t="b">
        <f aca="false">AND(E4774&gt;=01_因子設定!$L$5-0.000000001,E4774&lt;=01_因子設定!$M$5+0.000000001,F4774&gt;=01_因子設定!$L$6-0.000000001,F4774&lt;=01_因子設定!$M$6+0.000000001,G4774&gt;=01_因子設定!$L$7-0.000000001,G4774&lt;=01_因子設定!$M$7+0.000000001,H4774&gt;=01_因子設定!$L$8-0.000000001,H4774&lt;=01_因子設定!$M$8+0.000000001,IF(01_因子設定!$B$20="Box-Behnken",E4774^2+F4774^2+G4774^2+H4774^2&lt;=2+0.000000001,TRUE()))</f>
        <v>1</v>
      </c>
      <c r="AD4774" s="55" t="n">
        <f aca="false">IF(AC4774,IF(01_因子設定!$B$13="最大化",AA4774-01_因子設定!$B$14,IF(01_因子設定!$B$13="最小化",01_因子設定!$B$15-AB4774,MIN(AA4774-01_因子設定!$B$14,01_因子設定!$B$15-AB4774))),-1E+030)</f>
        <v>0.592463001072289</v>
      </c>
      <c r="AE4774" s="55" t="n">
        <f aca="false">IF(AC4774,IF(01_因子設定!$B$13="最大化",X4774,IF(01_因子設定!$B$13="最小化",-X4774,-ABS(X4774-01_因子設定!$B$16))),-1E+030)</f>
        <v>48.6761513157895</v>
      </c>
      <c r="AF4774" s="55" t="n">
        <f aca="false">AD4774+ROW()*0.000000001</f>
        <v>0.592467775072289</v>
      </c>
      <c r="AG4774" s="55" t="n">
        <f aca="false">AE4774+ROW()*0.000000001</f>
        <v>48.6761560897895</v>
      </c>
    </row>
    <row r="4775" customFormat="false" ht="15" hidden="false" customHeight="false" outlineLevel="0" collapsed="false">
      <c r="A4775" s="0" t="n">
        <v>6</v>
      </c>
      <c r="B4775" s="0" t="n">
        <v>4</v>
      </c>
      <c r="C4775" s="0" t="n">
        <v>8</v>
      </c>
      <c r="D4775" s="0" t="n">
        <v>0</v>
      </c>
      <c r="E4775" s="0" t="n">
        <f aca="false">-1+A4775*0.25</f>
        <v>0.5</v>
      </c>
      <c r="F4775" s="0" t="n">
        <f aca="false">-1+B4775*0.25</f>
        <v>0</v>
      </c>
      <c r="G4775" s="0" t="n">
        <f aca="false">-1+C4775*0.25</f>
        <v>1</v>
      </c>
      <c r="H4775" s="0" t="n">
        <f aca="false">-1+D4775*0.25</f>
        <v>-1</v>
      </c>
      <c r="I4775" s="0" t="n">
        <f aca="false">1</f>
        <v>1</v>
      </c>
      <c r="J4775" s="0" t="n">
        <f aca="false">E4775</f>
        <v>0.5</v>
      </c>
      <c r="K4775" s="0" t="n">
        <f aca="false">F4775</f>
        <v>0</v>
      </c>
      <c r="L4775" s="0" t="n">
        <f aca="false">G4775</f>
        <v>1</v>
      </c>
      <c r="M4775" s="0" t="n">
        <f aca="false">H4775</f>
        <v>-1</v>
      </c>
      <c r="N4775" s="0" t="n">
        <f aca="false">E4775*F4775</f>
        <v>0</v>
      </c>
      <c r="O4775" s="0" t="n">
        <f aca="false">E4775*G4775</f>
        <v>0.5</v>
      </c>
      <c r="P4775" s="0" t="n">
        <f aca="false">E4775*H4775</f>
        <v>-0.5</v>
      </c>
      <c r="Q4775" s="0" t="n">
        <f aca="false">F4775*G4775</f>
        <v>0</v>
      </c>
      <c r="R4775" s="0" t="n">
        <f aca="false">F4775*H4775</f>
        <v>-0</v>
      </c>
      <c r="S4775" s="0" t="n">
        <f aca="false">G4775*H4775</f>
        <v>-1</v>
      </c>
      <c r="T4775" s="0" t="n">
        <f aca="false">E4775*E4775</f>
        <v>0.25</v>
      </c>
      <c r="U4775" s="0" t="n">
        <f aca="false">F4775*F4775</f>
        <v>0</v>
      </c>
      <c r="V4775" s="0" t="n">
        <f aca="false">G4775*G4775</f>
        <v>1</v>
      </c>
      <c r="W4775" s="0" t="n">
        <f aca="false">H4775*H4775</f>
        <v>1</v>
      </c>
      <c r="X4775" s="0" t="n">
        <f aca="false">SUMPRODUCT(I4775:W4775,_XtX!$B$96:$P$96)</f>
        <v>47.1029239766082</v>
      </c>
      <c r="Y4775" s="0" t="n">
        <f aca="false">SUMPRODUCT(MMULT(I4775:W4775,_XtX!$B$78:$P$92),I4775:W4775)</f>
        <v>0.650767543859649</v>
      </c>
      <c r="Z4775" s="0" t="n">
        <f aca="false">04_回帰ANOVA!$K$19*04_回帰ANOVA!$K$14*SQRT(1+Y4775)</f>
        <v>1.67471670935165</v>
      </c>
      <c r="AA4775" s="0" t="n">
        <f aca="false">X4775-Z4775</f>
        <v>45.4282072672565</v>
      </c>
      <c r="AB4775" s="0" t="n">
        <f aca="false">X4775+Z4775</f>
        <v>48.7776406859598</v>
      </c>
      <c r="AC4775" s="54" t="b">
        <f aca="false">AND(E4775&gt;=01_因子設定!$L$5-0.000000001,E4775&lt;=01_因子設定!$M$5+0.000000001,F4775&gt;=01_因子設定!$L$6-0.000000001,F4775&lt;=01_因子設定!$M$6+0.000000001,G4775&gt;=01_因子設定!$L$7-0.000000001,G4775&lt;=01_因子設定!$M$7+0.000000001,H4775&gt;=01_因子設定!$L$8-0.000000001,H4775&lt;=01_因子設定!$M$8+0.000000001,IF(01_因子設定!$B$20="Box-Behnken",E4775^2+F4775^2+G4775^2+H4775^2&lt;=2+0.000000001,TRUE()))</f>
        <v>1</v>
      </c>
      <c r="AD4775" s="55" t="n">
        <f aca="false">IF(AC4775,IF(01_因子設定!$B$13="最大化",AA4775-01_因子設定!$B$14,IF(01_因子設定!$B$13="最小化",01_因子設定!$B$15-AB4775,MIN(AA4775-01_因子設定!$B$14,01_因子設定!$B$15-AB4775))),-1E+030)</f>
        <v>-1.07179273274346</v>
      </c>
      <c r="AE4775" s="55" t="n">
        <f aca="false">IF(AC4775,IF(01_因子設定!$B$13="最大化",X4775,IF(01_因子設定!$B$13="最小化",-X4775,-ABS(X4775-01_因子設定!$B$16))),-1E+030)</f>
        <v>47.1029239766082</v>
      </c>
      <c r="AF4775" s="55" t="n">
        <f aca="false">AD4775+ROW()*0.000000001</f>
        <v>-1.07178795774346</v>
      </c>
      <c r="AG4775" s="55" t="n">
        <f aca="false">AE4775+ROW()*0.000000001</f>
        <v>47.1029287516082</v>
      </c>
    </row>
    <row r="4776" customFormat="false" ht="15" hidden="false" customHeight="false" outlineLevel="0" collapsed="false">
      <c r="A4776" s="0" t="n">
        <v>6</v>
      </c>
      <c r="B4776" s="0" t="n">
        <v>4</v>
      </c>
      <c r="C4776" s="0" t="n">
        <v>8</v>
      </c>
      <c r="D4776" s="0" t="n">
        <v>1</v>
      </c>
      <c r="E4776" s="0" t="n">
        <f aca="false">-1+A4776*0.25</f>
        <v>0.5</v>
      </c>
      <c r="F4776" s="0" t="n">
        <f aca="false">-1+B4776*0.25</f>
        <v>0</v>
      </c>
      <c r="G4776" s="0" t="n">
        <f aca="false">-1+C4776*0.25</f>
        <v>1</v>
      </c>
      <c r="H4776" s="0" t="n">
        <f aca="false">-1+D4776*0.25</f>
        <v>-0.75</v>
      </c>
      <c r="I4776" s="0" t="n">
        <f aca="false">1</f>
        <v>1</v>
      </c>
      <c r="J4776" s="0" t="n">
        <f aca="false">E4776</f>
        <v>0.5</v>
      </c>
      <c r="K4776" s="0" t="n">
        <f aca="false">F4776</f>
        <v>0</v>
      </c>
      <c r="L4776" s="0" t="n">
        <f aca="false">G4776</f>
        <v>1</v>
      </c>
      <c r="M4776" s="0" t="n">
        <f aca="false">H4776</f>
        <v>-0.75</v>
      </c>
      <c r="N4776" s="0" t="n">
        <f aca="false">E4776*F4776</f>
        <v>0</v>
      </c>
      <c r="O4776" s="0" t="n">
        <f aca="false">E4776*G4776</f>
        <v>0.5</v>
      </c>
      <c r="P4776" s="0" t="n">
        <f aca="false">E4776*H4776</f>
        <v>-0.375</v>
      </c>
      <c r="Q4776" s="0" t="n">
        <f aca="false">F4776*G4776</f>
        <v>0</v>
      </c>
      <c r="R4776" s="0" t="n">
        <f aca="false">F4776*H4776</f>
        <v>-0</v>
      </c>
      <c r="S4776" s="0" t="n">
        <f aca="false">G4776*H4776</f>
        <v>-0.75</v>
      </c>
      <c r="T4776" s="0" t="n">
        <f aca="false">E4776*E4776</f>
        <v>0.25</v>
      </c>
      <c r="U4776" s="0" t="n">
        <f aca="false">F4776*F4776</f>
        <v>0</v>
      </c>
      <c r="V4776" s="0" t="n">
        <f aca="false">G4776*G4776</f>
        <v>1</v>
      </c>
      <c r="W4776" s="0" t="n">
        <f aca="false">H4776*H4776</f>
        <v>0.5625</v>
      </c>
      <c r="X4776" s="0" t="n">
        <f aca="false">SUMPRODUCT(I4776:W4776,_XtX!$B$96:$P$96)</f>
        <v>47.4591374269006</v>
      </c>
      <c r="Y4776" s="0" t="n">
        <f aca="false">SUMPRODUCT(MMULT(I4776:W4776,_XtX!$B$78:$P$92),I4776:W4776)</f>
        <v>0.476191292032164</v>
      </c>
      <c r="Z4776" s="0" t="n">
        <f aca="false">04_回帰ANOVA!$K$19*04_回帰ANOVA!$K$14*SQRT(1+Y4776)</f>
        <v>1.58368831471718</v>
      </c>
      <c r="AA4776" s="0" t="n">
        <f aca="false">X4776-Z4776</f>
        <v>45.8754491121834</v>
      </c>
      <c r="AB4776" s="0" t="n">
        <f aca="false">X4776+Z4776</f>
        <v>49.0428257416178</v>
      </c>
      <c r="AC4776" s="54" t="b">
        <f aca="false">AND(E4776&gt;=01_因子設定!$L$5-0.000000001,E4776&lt;=01_因子設定!$M$5+0.000000001,F4776&gt;=01_因子設定!$L$6-0.000000001,F4776&lt;=01_因子設定!$M$6+0.000000001,G4776&gt;=01_因子設定!$L$7-0.000000001,G4776&lt;=01_因子設定!$M$7+0.000000001,H4776&gt;=01_因子設定!$L$8-0.000000001,H4776&lt;=01_因子設定!$M$8+0.000000001,IF(01_因子設定!$B$20="Box-Behnken",E4776^2+F4776^2+G4776^2+H4776^2&lt;=2+0.000000001,TRUE()))</f>
        <v>1</v>
      </c>
      <c r="AD4776" s="55" t="n">
        <f aca="false">IF(AC4776,IF(01_因子設定!$B$13="最大化",AA4776-01_因子設定!$B$14,IF(01_因子設定!$B$13="最小化",01_因子設定!$B$15-AB4776,MIN(AA4776-01_因子設定!$B$14,01_因子設定!$B$15-AB4776))),-1E+030)</f>
        <v>-0.624550887816611</v>
      </c>
      <c r="AE4776" s="55" t="n">
        <f aca="false">IF(AC4776,IF(01_因子設定!$B$13="最大化",X4776,IF(01_因子設定!$B$13="最小化",-X4776,-ABS(X4776-01_因子設定!$B$16))),-1E+030)</f>
        <v>47.4591374269006</v>
      </c>
      <c r="AF4776" s="55" t="n">
        <f aca="false">AD4776+ROW()*0.000000001</f>
        <v>-0.624546111816611</v>
      </c>
      <c r="AG4776" s="55" t="n">
        <f aca="false">AE4776+ROW()*0.000000001</f>
        <v>47.4591422029006</v>
      </c>
    </row>
    <row r="4777" customFormat="false" ht="15" hidden="false" customHeight="false" outlineLevel="0" collapsed="false">
      <c r="A4777" s="0" t="n">
        <v>6</v>
      </c>
      <c r="B4777" s="0" t="n">
        <v>4</v>
      </c>
      <c r="C4777" s="0" t="n">
        <v>8</v>
      </c>
      <c r="D4777" s="0" t="n">
        <v>2</v>
      </c>
      <c r="E4777" s="0" t="n">
        <f aca="false">-1+A4777*0.25</f>
        <v>0.5</v>
      </c>
      <c r="F4777" s="0" t="n">
        <f aca="false">-1+B4777*0.25</f>
        <v>0</v>
      </c>
      <c r="G4777" s="0" t="n">
        <f aca="false">-1+C4777*0.25</f>
        <v>1</v>
      </c>
      <c r="H4777" s="0" t="n">
        <f aca="false">-1+D4777*0.25</f>
        <v>-0.5</v>
      </c>
      <c r="I4777" s="0" t="n">
        <f aca="false">1</f>
        <v>1</v>
      </c>
      <c r="J4777" s="0" t="n">
        <f aca="false">E4777</f>
        <v>0.5</v>
      </c>
      <c r="K4777" s="0" t="n">
        <f aca="false">F4777</f>
        <v>0</v>
      </c>
      <c r="L4777" s="0" t="n">
        <f aca="false">G4777</f>
        <v>1</v>
      </c>
      <c r="M4777" s="0" t="n">
        <f aca="false">H4777</f>
        <v>-0.5</v>
      </c>
      <c r="N4777" s="0" t="n">
        <f aca="false">E4777*F4777</f>
        <v>0</v>
      </c>
      <c r="O4777" s="0" t="n">
        <f aca="false">E4777*G4777</f>
        <v>0.5</v>
      </c>
      <c r="P4777" s="0" t="n">
        <f aca="false">E4777*H4777</f>
        <v>-0.25</v>
      </c>
      <c r="Q4777" s="0" t="n">
        <f aca="false">F4777*G4777</f>
        <v>0</v>
      </c>
      <c r="R4777" s="0" t="n">
        <f aca="false">F4777*H4777</f>
        <v>-0</v>
      </c>
      <c r="S4777" s="0" t="n">
        <f aca="false">G4777*H4777</f>
        <v>-0.5</v>
      </c>
      <c r="T4777" s="0" t="n">
        <f aca="false">E4777*E4777</f>
        <v>0.25</v>
      </c>
      <c r="U4777" s="0" t="n">
        <f aca="false">F4777*F4777</f>
        <v>0</v>
      </c>
      <c r="V4777" s="0" t="n">
        <f aca="false">G4777*G4777</f>
        <v>1</v>
      </c>
      <c r="W4777" s="0" t="n">
        <f aca="false">H4777*H4777</f>
        <v>0.25</v>
      </c>
      <c r="X4777" s="0" t="n">
        <f aca="false">SUMPRODUCT(I4777:W4777,_XtX!$B$96:$P$96)</f>
        <v>47.7675438596491</v>
      </c>
      <c r="Y4777" s="0" t="n">
        <f aca="false">SUMPRODUCT(MMULT(I4777:W4777,_XtX!$B$78:$P$92),I4777:W4777)</f>
        <v>0.441954495614035</v>
      </c>
      <c r="Z4777" s="0" t="n">
        <f aca="false">04_回帰ANOVA!$K$19*04_回帰ANOVA!$K$14*SQRT(1+Y4777)</f>
        <v>1.56521560968066</v>
      </c>
      <c r="AA4777" s="0" t="n">
        <f aca="false">X4777-Z4777</f>
        <v>46.2023282499684</v>
      </c>
      <c r="AB4777" s="0" t="n">
        <f aca="false">X4777+Z4777</f>
        <v>49.3327594693298</v>
      </c>
      <c r="AC4777" s="54" t="b">
        <f aca="false">AND(E4777&gt;=01_因子設定!$L$5-0.000000001,E4777&lt;=01_因子設定!$M$5+0.000000001,F4777&gt;=01_因子設定!$L$6-0.000000001,F4777&lt;=01_因子設定!$M$6+0.000000001,G4777&gt;=01_因子設定!$L$7-0.000000001,G4777&lt;=01_因子設定!$M$7+0.000000001,H4777&gt;=01_因子設定!$L$8-0.000000001,H4777&lt;=01_因子設定!$M$8+0.000000001,IF(01_因子設定!$B$20="Box-Behnken",E4777^2+F4777^2+G4777^2+H4777^2&lt;=2+0.000000001,TRUE()))</f>
        <v>1</v>
      </c>
      <c r="AD4777" s="55" t="n">
        <f aca="false">IF(AC4777,IF(01_因子設定!$B$13="最大化",AA4777-01_因子設定!$B$14,IF(01_因子設定!$B$13="最小化",01_因子設定!$B$15-AB4777,MIN(AA4777-01_因子設定!$B$14,01_因子設定!$B$15-AB4777))),-1E+030)</f>
        <v>-0.297671750031569</v>
      </c>
      <c r="AE4777" s="55" t="n">
        <f aca="false">IF(AC4777,IF(01_因子設定!$B$13="最大化",X4777,IF(01_因子設定!$B$13="最小化",-X4777,-ABS(X4777-01_因子設定!$B$16))),-1E+030)</f>
        <v>47.7675438596491</v>
      </c>
      <c r="AF4777" s="55" t="n">
        <f aca="false">AD4777+ROW()*0.000000001</f>
        <v>-0.297666973031569</v>
      </c>
      <c r="AG4777" s="55" t="n">
        <f aca="false">AE4777+ROW()*0.000000001</f>
        <v>47.7675486366491</v>
      </c>
    </row>
    <row r="4778" customFormat="false" ht="15" hidden="false" customHeight="false" outlineLevel="0" collapsed="false">
      <c r="A4778" s="0" t="n">
        <v>6</v>
      </c>
      <c r="B4778" s="0" t="n">
        <v>4</v>
      </c>
      <c r="C4778" s="0" t="n">
        <v>8</v>
      </c>
      <c r="D4778" s="0" t="n">
        <v>3</v>
      </c>
      <c r="E4778" s="0" t="n">
        <f aca="false">-1+A4778*0.25</f>
        <v>0.5</v>
      </c>
      <c r="F4778" s="0" t="n">
        <f aca="false">-1+B4778*0.25</f>
        <v>0</v>
      </c>
      <c r="G4778" s="0" t="n">
        <f aca="false">-1+C4778*0.25</f>
        <v>1</v>
      </c>
      <c r="H4778" s="0" t="n">
        <f aca="false">-1+D4778*0.25</f>
        <v>-0.25</v>
      </c>
      <c r="I4778" s="0" t="n">
        <f aca="false">1</f>
        <v>1</v>
      </c>
      <c r="J4778" s="0" t="n">
        <f aca="false">E4778</f>
        <v>0.5</v>
      </c>
      <c r="K4778" s="0" t="n">
        <f aca="false">F4778</f>
        <v>0</v>
      </c>
      <c r="L4778" s="0" t="n">
        <f aca="false">G4778</f>
        <v>1</v>
      </c>
      <c r="M4778" s="0" t="n">
        <f aca="false">H4778</f>
        <v>-0.25</v>
      </c>
      <c r="N4778" s="0" t="n">
        <f aca="false">E4778*F4778</f>
        <v>0</v>
      </c>
      <c r="O4778" s="0" t="n">
        <f aca="false">E4778*G4778</f>
        <v>0.5</v>
      </c>
      <c r="P4778" s="0" t="n">
        <f aca="false">E4778*H4778</f>
        <v>-0.125</v>
      </c>
      <c r="Q4778" s="0" t="n">
        <f aca="false">F4778*G4778</f>
        <v>0</v>
      </c>
      <c r="R4778" s="0" t="n">
        <f aca="false">F4778*H4778</f>
        <v>-0</v>
      </c>
      <c r="S4778" s="0" t="n">
        <f aca="false">G4778*H4778</f>
        <v>-0.25</v>
      </c>
      <c r="T4778" s="0" t="n">
        <f aca="false">E4778*E4778</f>
        <v>0.25</v>
      </c>
      <c r="U4778" s="0" t="n">
        <f aca="false">F4778*F4778</f>
        <v>0</v>
      </c>
      <c r="V4778" s="0" t="n">
        <f aca="false">G4778*G4778</f>
        <v>1</v>
      </c>
      <c r="W4778" s="0" t="n">
        <f aca="false">H4778*H4778</f>
        <v>0.0625</v>
      </c>
      <c r="X4778" s="0" t="n">
        <f aca="false">SUMPRODUCT(I4778:W4778,_XtX!$B$96:$P$96)</f>
        <v>48.0281432748538</v>
      </c>
      <c r="Y4778" s="0" t="n">
        <f aca="false">SUMPRODUCT(MMULT(I4778:W4778,_XtX!$B$78:$P$92),I4778:W4778)</f>
        <v>0.457596628289474</v>
      </c>
      <c r="Z4778" s="0" t="n">
        <f aca="false">04_回帰ANOVA!$K$19*04_回帰ANOVA!$K$14*SQRT(1+Y4778)</f>
        <v>1.57368233664366</v>
      </c>
      <c r="AA4778" s="0" t="n">
        <f aca="false">X4778-Z4778</f>
        <v>46.4544609382101</v>
      </c>
      <c r="AB4778" s="0" t="n">
        <f aca="false">X4778+Z4778</f>
        <v>49.6018256114974</v>
      </c>
      <c r="AC4778" s="54" t="b">
        <f aca="false">AND(E4778&gt;=01_因子設定!$L$5-0.000000001,E4778&lt;=01_因子設定!$M$5+0.000000001,F4778&gt;=01_因子設定!$L$6-0.000000001,F4778&lt;=01_因子設定!$M$6+0.000000001,G4778&gt;=01_因子設定!$L$7-0.000000001,G4778&lt;=01_因子設定!$M$7+0.000000001,H4778&gt;=01_因子設定!$L$8-0.000000001,H4778&lt;=01_因子設定!$M$8+0.000000001,IF(01_因子設定!$B$20="Box-Behnken",E4778^2+F4778^2+G4778^2+H4778^2&lt;=2+0.000000001,TRUE()))</f>
        <v>1</v>
      </c>
      <c r="AD4778" s="55" t="n">
        <f aca="false">IF(AC4778,IF(01_因子設定!$B$13="最大化",AA4778-01_因子設定!$B$14,IF(01_因子設定!$B$13="最小化",01_因子設定!$B$15-AB4778,MIN(AA4778-01_因子設定!$B$14,01_因子設定!$B$15-AB4778))),-1E+030)</f>
        <v>-0.0455390617898956</v>
      </c>
      <c r="AE4778" s="55" t="n">
        <f aca="false">IF(AC4778,IF(01_因子設定!$B$13="最大化",X4778,IF(01_因子設定!$B$13="最小化",-X4778,-ABS(X4778-01_因子設定!$B$16))),-1E+030)</f>
        <v>48.0281432748538</v>
      </c>
      <c r="AF4778" s="55" t="n">
        <f aca="false">AD4778+ROW()*0.000000001</f>
        <v>-0.0455342837898956</v>
      </c>
      <c r="AG4778" s="55" t="n">
        <f aca="false">AE4778+ROW()*0.000000001</f>
        <v>48.0281480528538</v>
      </c>
    </row>
    <row r="4779" customFormat="false" ht="15" hidden="false" customHeight="false" outlineLevel="0" collapsed="false">
      <c r="A4779" s="0" t="n">
        <v>6</v>
      </c>
      <c r="B4779" s="0" t="n">
        <v>4</v>
      </c>
      <c r="C4779" s="0" t="n">
        <v>8</v>
      </c>
      <c r="D4779" s="0" t="n">
        <v>4</v>
      </c>
      <c r="E4779" s="0" t="n">
        <f aca="false">-1+A4779*0.25</f>
        <v>0.5</v>
      </c>
      <c r="F4779" s="0" t="n">
        <f aca="false">-1+B4779*0.25</f>
        <v>0</v>
      </c>
      <c r="G4779" s="0" t="n">
        <f aca="false">-1+C4779*0.25</f>
        <v>1</v>
      </c>
      <c r="H4779" s="0" t="n">
        <f aca="false">-1+D4779*0.25</f>
        <v>0</v>
      </c>
      <c r="I4779" s="0" t="n">
        <f aca="false">1</f>
        <v>1</v>
      </c>
      <c r="J4779" s="0" t="n">
        <f aca="false">E4779</f>
        <v>0.5</v>
      </c>
      <c r="K4779" s="0" t="n">
        <f aca="false">F4779</f>
        <v>0</v>
      </c>
      <c r="L4779" s="0" t="n">
        <f aca="false">G4779</f>
        <v>1</v>
      </c>
      <c r="M4779" s="0" t="n">
        <f aca="false">H4779</f>
        <v>0</v>
      </c>
      <c r="N4779" s="0" t="n">
        <f aca="false">E4779*F4779</f>
        <v>0</v>
      </c>
      <c r="O4779" s="0" t="n">
        <f aca="false">E4779*G4779</f>
        <v>0.5</v>
      </c>
      <c r="P4779" s="0" t="n">
        <f aca="false">E4779*H4779</f>
        <v>0</v>
      </c>
      <c r="Q4779" s="0" t="n">
        <f aca="false">F4779*G4779</f>
        <v>0</v>
      </c>
      <c r="R4779" s="0" t="n">
        <f aca="false">F4779*H4779</f>
        <v>0</v>
      </c>
      <c r="S4779" s="0" t="n">
        <f aca="false">G4779*H4779</f>
        <v>0</v>
      </c>
      <c r="T4779" s="0" t="n">
        <f aca="false">E4779*E4779</f>
        <v>0.25</v>
      </c>
      <c r="U4779" s="0" t="n">
        <f aca="false">F4779*F4779</f>
        <v>0</v>
      </c>
      <c r="V4779" s="0" t="n">
        <f aca="false">G4779*G4779</f>
        <v>1</v>
      </c>
      <c r="W4779" s="0" t="n">
        <f aca="false">H4779*H4779</f>
        <v>0</v>
      </c>
      <c r="X4779" s="0" t="n">
        <f aca="false">SUMPRODUCT(I4779:W4779,_XtX!$B$96:$P$96)</f>
        <v>48.2409356725146</v>
      </c>
      <c r="Y4779" s="0" t="n">
        <f aca="false">SUMPRODUCT(MMULT(I4779:W4779,_XtX!$B$78:$P$92),I4779:W4779)</f>
        <v>0.468841374269006</v>
      </c>
      <c r="Z4779" s="0" t="n">
        <f aca="false">04_回帰ANOVA!$K$19*04_回帰ANOVA!$K$14*SQRT(1+Y4779)</f>
        <v>1.57974082366087</v>
      </c>
      <c r="AA4779" s="0" t="n">
        <f aca="false">X4779-Z4779</f>
        <v>46.6611948488537</v>
      </c>
      <c r="AB4779" s="0" t="n">
        <f aca="false">X4779+Z4779</f>
        <v>49.8206764961755</v>
      </c>
      <c r="AC4779" s="54" t="b">
        <f aca="false">AND(E4779&gt;=01_因子設定!$L$5-0.000000001,E4779&lt;=01_因子設定!$M$5+0.000000001,F4779&gt;=01_因子設定!$L$6-0.000000001,F4779&lt;=01_因子設定!$M$6+0.000000001,G4779&gt;=01_因子設定!$L$7-0.000000001,G4779&lt;=01_因子設定!$M$7+0.000000001,H4779&gt;=01_因子設定!$L$8-0.000000001,H4779&lt;=01_因子設定!$M$8+0.000000001,IF(01_因子設定!$B$20="Box-Behnken",E4779^2+F4779^2+G4779^2+H4779^2&lt;=2+0.000000001,TRUE()))</f>
        <v>1</v>
      </c>
      <c r="AD4779" s="55" t="n">
        <f aca="false">IF(AC4779,IF(01_因子設定!$B$13="最大化",AA4779-01_因子設定!$B$14,IF(01_因子設定!$B$13="最小化",01_因子設定!$B$15-AB4779,MIN(AA4779-01_因子設定!$B$14,01_因子設定!$B$15-AB4779))),-1E+030)</f>
        <v>0.161194848853704</v>
      </c>
      <c r="AE4779" s="55" t="n">
        <f aca="false">IF(AC4779,IF(01_因子設定!$B$13="最大化",X4779,IF(01_因子設定!$B$13="最小化",-X4779,-ABS(X4779-01_因子設定!$B$16))),-1E+030)</f>
        <v>48.2409356725146</v>
      </c>
      <c r="AF4779" s="55" t="n">
        <f aca="false">AD4779+ROW()*0.000000001</f>
        <v>0.161199627853704</v>
      </c>
      <c r="AG4779" s="55" t="n">
        <f aca="false">AE4779+ROW()*0.000000001</f>
        <v>48.2409404515146</v>
      </c>
    </row>
    <row r="4780" customFormat="false" ht="15" hidden="false" customHeight="false" outlineLevel="0" collapsed="false">
      <c r="A4780" s="0" t="n">
        <v>6</v>
      </c>
      <c r="B4780" s="0" t="n">
        <v>4</v>
      </c>
      <c r="C4780" s="0" t="n">
        <v>8</v>
      </c>
      <c r="D4780" s="0" t="n">
        <v>5</v>
      </c>
      <c r="E4780" s="0" t="n">
        <f aca="false">-1+A4780*0.25</f>
        <v>0.5</v>
      </c>
      <c r="F4780" s="0" t="n">
        <f aca="false">-1+B4780*0.25</f>
        <v>0</v>
      </c>
      <c r="G4780" s="0" t="n">
        <f aca="false">-1+C4780*0.25</f>
        <v>1</v>
      </c>
      <c r="H4780" s="0" t="n">
        <f aca="false">-1+D4780*0.25</f>
        <v>0.25</v>
      </c>
      <c r="I4780" s="0" t="n">
        <f aca="false">1</f>
        <v>1</v>
      </c>
      <c r="J4780" s="0" t="n">
        <f aca="false">E4780</f>
        <v>0.5</v>
      </c>
      <c r="K4780" s="0" t="n">
        <f aca="false">F4780</f>
        <v>0</v>
      </c>
      <c r="L4780" s="0" t="n">
        <f aca="false">G4780</f>
        <v>1</v>
      </c>
      <c r="M4780" s="0" t="n">
        <f aca="false">H4780</f>
        <v>0.25</v>
      </c>
      <c r="N4780" s="0" t="n">
        <f aca="false">E4780*F4780</f>
        <v>0</v>
      </c>
      <c r="O4780" s="0" t="n">
        <f aca="false">E4780*G4780</f>
        <v>0.5</v>
      </c>
      <c r="P4780" s="0" t="n">
        <f aca="false">E4780*H4780</f>
        <v>0.125</v>
      </c>
      <c r="Q4780" s="0" t="n">
        <f aca="false">F4780*G4780</f>
        <v>0</v>
      </c>
      <c r="R4780" s="0" t="n">
        <f aca="false">F4780*H4780</f>
        <v>0</v>
      </c>
      <c r="S4780" s="0" t="n">
        <f aca="false">G4780*H4780</f>
        <v>0.25</v>
      </c>
      <c r="T4780" s="0" t="n">
        <f aca="false">E4780*E4780</f>
        <v>0.25</v>
      </c>
      <c r="U4780" s="0" t="n">
        <f aca="false">F4780*F4780</f>
        <v>0</v>
      </c>
      <c r="V4780" s="0" t="n">
        <f aca="false">G4780*G4780</f>
        <v>1</v>
      </c>
      <c r="W4780" s="0" t="n">
        <f aca="false">H4780*H4780</f>
        <v>0.0625</v>
      </c>
      <c r="X4780" s="0" t="n">
        <f aca="false">SUMPRODUCT(I4780:W4780,_XtX!$B$96:$P$96)</f>
        <v>48.4059210526315</v>
      </c>
      <c r="Y4780" s="0" t="n">
        <f aca="false">SUMPRODUCT(MMULT(I4780:W4780,_XtX!$B$78:$P$92),I4780:W4780)</f>
        <v>0.457596628289474</v>
      </c>
      <c r="Z4780" s="0" t="n">
        <f aca="false">04_回帰ANOVA!$K$19*04_回帰ANOVA!$K$14*SQRT(1+Y4780)</f>
        <v>1.57368233664366</v>
      </c>
      <c r="AA4780" s="0" t="n">
        <f aca="false">X4780-Z4780</f>
        <v>46.8322387159879</v>
      </c>
      <c r="AB4780" s="0" t="n">
        <f aca="false">X4780+Z4780</f>
        <v>49.9796033892752</v>
      </c>
      <c r="AC4780" s="54" t="b">
        <f aca="false">AND(E4780&gt;=01_因子設定!$L$5-0.000000001,E4780&lt;=01_因子設定!$M$5+0.000000001,F4780&gt;=01_因子設定!$L$6-0.000000001,F4780&lt;=01_因子設定!$M$6+0.000000001,G4780&gt;=01_因子設定!$L$7-0.000000001,G4780&lt;=01_因子設定!$M$7+0.000000001,H4780&gt;=01_因子設定!$L$8-0.000000001,H4780&lt;=01_因子設定!$M$8+0.000000001,IF(01_因子設定!$B$20="Box-Behnken",E4780^2+F4780^2+G4780^2+H4780^2&lt;=2+0.000000001,TRUE()))</f>
        <v>1</v>
      </c>
      <c r="AD4780" s="55" t="n">
        <f aca="false">IF(AC4780,IF(01_因子設定!$B$13="最大化",AA4780-01_因子設定!$B$14,IF(01_因子設定!$B$13="最小化",01_因子設定!$B$15-AB4780,MIN(AA4780-01_因子設定!$B$14,01_因子設定!$B$15-AB4780))),-1E+030)</f>
        <v>0.332238715987884</v>
      </c>
      <c r="AE4780" s="55" t="n">
        <f aca="false">IF(AC4780,IF(01_因子設定!$B$13="最大化",X4780,IF(01_因子設定!$B$13="最小化",-X4780,-ABS(X4780-01_因子設定!$B$16))),-1E+030)</f>
        <v>48.4059210526315</v>
      </c>
      <c r="AF4780" s="55" t="n">
        <f aca="false">AD4780+ROW()*0.000000001</f>
        <v>0.332243495987884</v>
      </c>
      <c r="AG4780" s="55" t="n">
        <f aca="false">AE4780+ROW()*0.000000001</f>
        <v>48.4059258326315</v>
      </c>
    </row>
    <row r="4781" customFormat="false" ht="15" hidden="false" customHeight="false" outlineLevel="0" collapsed="false">
      <c r="A4781" s="0" t="n">
        <v>6</v>
      </c>
      <c r="B4781" s="0" t="n">
        <v>4</v>
      </c>
      <c r="C4781" s="0" t="n">
        <v>8</v>
      </c>
      <c r="D4781" s="0" t="n">
        <v>6</v>
      </c>
      <c r="E4781" s="0" t="n">
        <f aca="false">-1+A4781*0.25</f>
        <v>0.5</v>
      </c>
      <c r="F4781" s="0" t="n">
        <f aca="false">-1+B4781*0.25</f>
        <v>0</v>
      </c>
      <c r="G4781" s="0" t="n">
        <f aca="false">-1+C4781*0.25</f>
        <v>1</v>
      </c>
      <c r="H4781" s="0" t="n">
        <f aca="false">-1+D4781*0.25</f>
        <v>0.5</v>
      </c>
      <c r="I4781" s="0" t="n">
        <f aca="false">1</f>
        <v>1</v>
      </c>
      <c r="J4781" s="0" t="n">
        <f aca="false">E4781</f>
        <v>0.5</v>
      </c>
      <c r="K4781" s="0" t="n">
        <f aca="false">F4781</f>
        <v>0</v>
      </c>
      <c r="L4781" s="0" t="n">
        <f aca="false">G4781</f>
        <v>1</v>
      </c>
      <c r="M4781" s="0" t="n">
        <f aca="false">H4781</f>
        <v>0.5</v>
      </c>
      <c r="N4781" s="0" t="n">
        <f aca="false">E4781*F4781</f>
        <v>0</v>
      </c>
      <c r="O4781" s="0" t="n">
        <f aca="false">E4781*G4781</f>
        <v>0.5</v>
      </c>
      <c r="P4781" s="0" t="n">
        <f aca="false">E4781*H4781</f>
        <v>0.25</v>
      </c>
      <c r="Q4781" s="0" t="n">
        <f aca="false">F4781*G4781</f>
        <v>0</v>
      </c>
      <c r="R4781" s="0" t="n">
        <f aca="false">F4781*H4781</f>
        <v>0</v>
      </c>
      <c r="S4781" s="0" t="n">
        <f aca="false">G4781*H4781</f>
        <v>0.5</v>
      </c>
      <c r="T4781" s="0" t="n">
        <f aca="false">E4781*E4781</f>
        <v>0.25</v>
      </c>
      <c r="U4781" s="0" t="n">
        <f aca="false">F4781*F4781</f>
        <v>0</v>
      </c>
      <c r="V4781" s="0" t="n">
        <f aca="false">G4781*G4781</f>
        <v>1</v>
      </c>
      <c r="W4781" s="0" t="n">
        <f aca="false">H4781*H4781</f>
        <v>0.25</v>
      </c>
      <c r="X4781" s="0" t="n">
        <f aca="false">SUMPRODUCT(I4781:W4781,_XtX!$B$96:$P$96)</f>
        <v>48.5230994152047</v>
      </c>
      <c r="Y4781" s="0" t="n">
        <f aca="false">SUMPRODUCT(MMULT(I4781:W4781,_XtX!$B$78:$P$92),I4781:W4781)</f>
        <v>0.441954495614035</v>
      </c>
      <c r="Z4781" s="0" t="n">
        <f aca="false">04_回帰ANOVA!$K$19*04_回帰ANOVA!$K$14*SQRT(1+Y4781)</f>
        <v>1.56521560968066</v>
      </c>
      <c r="AA4781" s="0" t="n">
        <f aca="false">X4781-Z4781</f>
        <v>46.957883805524</v>
      </c>
      <c r="AB4781" s="0" t="n">
        <f aca="false">X4781+Z4781</f>
        <v>50.0883150248853</v>
      </c>
      <c r="AC4781" s="54" t="b">
        <f aca="false">AND(E4781&gt;=01_因子設定!$L$5-0.000000001,E4781&lt;=01_因子設定!$M$5+0.000000001,F4781&gt;=01_因子設定!$L$6-0.000000001,F4781&lt;=01_因子設定!$M$6+0.000000001,G4781&gt;=01_因子設定!$L$7-0.000000001,G4781&lt;=01_因子設定!$M$7+0.000000001,H4781&gt;=01_因子設定!$L$8-0.000000001,H4781&lt;=01_因子設定!$M$8+0.000000001,IF(01_因子設定!$B$20="Box-Behnken",E4781^2+F4781^2+G4781^2+H4781^2&lt;=2+0.000000001,TRUE()))</f>
        <v>1</v>
      </c>
      <c r="AD4781" s="55" t="n">
        <f aca="false">IF(AC4781,IF(01_因子設定!$B$13="最大化",AA4781-01_因子設定!$B$14,IF(01_因子設定!$B$13="最小化",01_因子設定!$B$15-AB4781,MIN(AA4781-01_因子設定!$B$14,01_因子設定!$B$15-AB4781))),-1E+030)</f>
        <v>0.457883805523984</v>
      </c>
      <c r="AE4781" s="55" t="n">
        <f aca="false">IF(AC4781,IF(01_因子設定!$B$13="最大化",X4781,IF(01_因子設定!$B$13="最小化",-X4781,-ABS(X4781-01_因子設定!$B$16))),-1E+030)</f>
        <v>48.5230994152047</v>
      </c>
      <c r="AF4781" s="55" t="n">
        <f aca="false">AD4781+ROW()*0.000000001</f>
        <v>0.457888586523984</v>
      </c>
      <c r="AG4781" s="55" t="n">
        <f aca="false">AE4781+ROW()*0.000000001</f>
        <v>48.5231041962047</v>
      </c>
    </row>
    <row r="4782" customFormat="false" ht="15" hidden="false" customHeight="false" outlineLevel="0" collapsed="false">
      <c r="A4782" s="0" t="n">
        <v>6</v>
      </c>
      <c r="B4782" s="0" t="n">
        <v>4</v>
      </c>
      <c r="C4782" s="0" t="n">
        <v>8</v>
      </c>
      <c r="D4782" s="0" t="n">
        <v>7</v>
      </c>
      <c r="E4782" s="0" t="n">
        <f aca="false">-1+A4782*0.25</f>
        <v>0.5</v>
      </c>
      <c r="F4782" s="0" t="n">
        <f aca="false">-1+B4782*0.25</f>
        <v>0</v>
      </c>
      <c r="G4782" s="0" t="n">
        <f aca="false">-1+C4782*0.25</f>
        <v>1</v>
      </c>
      <c r="H4782" s="0" t="n">
        <f aca="false">-1+D4782*0.25</f>
        <v>0.75</v>
      </c>
      <c r="I4782" s="0" t="n">
        <f aca="false">1</f>
        <v>1</v>
      </c>
      <c r="J4782" s="0" t="n">
        <f aca="false">E4782</f>
        <v>0.5</v>
      </c>
      <c r="K4782" s="0" t="n">
        <f aca="false">F4782</f>
        <v>0</v>
      </c>
      <c r="L4782" s="0" t="n">
        <f aca="false">G4782</f>
        <v>1</v>
      </c>
      <c r="M4782" s="0" t="n">
        <f aca="false">H4782</f>
        <v>0.75</v>
      </c>
      <c r="N4782" s="0" t="n">
        <f aca="false">E4782*F4782</f>
        <v>0</v>
      </c>
      <c r="O4782" s="0" t="n">
        <f aca="false">E4782*G4782</f>
        <v>0.5</v>
      </c>
      <c r="P4782" s="0" t="n">
        <f aca="false">E4782*H4782</f>
        <v>0.375</v>
      </c>
      <c r="Q4782" s="0" t="n">
        <f aca="false">F4782*G4782</f>
        <v>0</v>
      </c>
      <c r="R4782" s="0" t="n">
        <f aca="false">F4782*H4782</f>
        <v>0</v>
      </c>
      <c r="S4782" s="0" t="n">
        <f aca="false">G4782*H4782</f>
        <v>0.75</v>
      </c>
      <c r="T4782" s="0" t="n">
        <f aca="false">E4782*E4782</f>
        <v>0.25</v>
      </c>
      <c r="U4782" s="0" t="n">
        <f aca="false">F4782*F4782</f>
        <v>0</v>
      </c>
      <c r="V4782" s="0" t="n">
        <f aca="false">G4782*G4782</f>
        <v>1</v>
      </c>
      <c r="W4782" s="0" t="n">
        <f aca="false">H4782*H4782</f>
        <v>0.5625</v>
      </c>
      <c r="X4782" s="0" t="n">
        <f aca="false">SUMPRODUCT(I4782:W4782,_XtX!$B$96:$P$96)</f>
        <v>48.5924707602339</v>
      </c>
      <c r="Y4782" s="0" t="n">
        <f aca="false">SUMPRODUCT(MMULT(I4782:W4782,_XtX!$B$78:$P$92),I4782:W4782)</f>
        <v>0.476191292032164</v>
      </c>
      <c r="Z4782" s="0" t="n">
        <f aca="false">04_回帰ANOVA!$K$19*04_回帰ANOVA!$K$14*SQRT(1+Y4782)</f>
        <v>1.58368831471718</v>
      </c>
      <c r="AA4782" s="0" t="n">
        <f aca="false">X4782-Z4782</f>
        <v>47.0087824455167</v>
      </c>
      <c r="AB4782" s="0" t="n">
        <f aca="false">X4782+Z4782</f>
        <v>50.1761590749511</v>
      </c>
      <c r="AC4782" s="54" t="b">
        <f aca="false">AND(E4782&gt;=01_因子設定!$L$5-0.000000001,E4782&lt;=01_因子設定!$M$5+0.000000001,F4782&gt;=01_因子設定!$L$6-0.000000001,F4782&lt;=01_因子設定!$M$6+0.000000001,G4782&gt;=01_因子設定!$L$7-0.000000001,G4782&lt;=01_因子設定!$M$7+0.000000001,H4782&gt;=01_因子設定!$L$8-0.000000001,H4782&lt;=01_因子設定!$M$8+0.000000001,IF(01_因子設定!$B$20="Box-Behnken",E4782^2+F4782^2+G4782^2+H4782^2&lt;=2+0.000000001,TRUE()))</f>
        <v>1</v>
      </c>
      <c r="AD4782" s="55" t="n">
        <f aca="false">IF(AC4782,IF(01_因子設定!$B$13="最大化",AA4782-01_因子設定!$B$14,IF(01_因子設定!$B$13="最小化",01_因子設定!$B$15-AB4782,MIN(AA4782-01_因子設定!$B$14,01_因子設定!$B$15-AB4782))),-1E+030)</f>
        <v>0.508782445516722</v>
      </c>
      <c r="AE4782" s="55" t="n">
        <f aca="false">IF(AC4782,IF(01_因子設定!$B$13="最大化",X4782,IF(01_因子設定!$B$13="最小化",-X4782,-ABS(X4782-01_因子設定!$B$16))),-1E+030)</f>
        <v>48.5924707602339</v>
      </c>
      <c r="AF4782" s="55" t="n">
        <f aca="false">AD4782+ROW()*0.000000001</f>
        <v>0.508787227516722</v>
      </c>
      <c r="AG4782" s="55" t="n">
        <f aca="false">AE4782+ROW()*0.000000001</f>
        <v>48.5924755422339</v>
      </c>
    </row>
    <row r="4783" customFormat="false" ht="15" hidden="false" customHeight="false" outlineLevel="0" collapsed="false">
      <c r="A4783" s="0" t="n">
        <v>6</v>
      </c>
      <c r="B4783" s="0" t="n">
        <v>4</v>
      </c>
      <c r="C4783" s="0" t="n">
        <v>8</v>
      </c>
      <c r="D4783" s="0" t="n">
        <v>8</v>
      </c>
      <c r="E4783" s="0" t="n">
        <f aca="false">-1+A4783*0.25</f>
        <v>0.5</v>
      </c>
      <c r="F4783" s="0" t="n">
        <f aca="false">-1+B4783*0.25</f>
        <v>0</v>
      </c>
      <c r="G4783" s="0" t="n">
        <f aca="false">-1+C4783*0.25</f>
        <v>1</v>
      </c>
      <c r="H4783" s="0" t="n">
        <f aca="false">-1+D4783*0.25</f>
        <v>1</v>
      </c>
      <c r="I4783" s="0" t="n">
        <f aca="false">1</f>
        <v>1</v>
      </c>
      <c r="J4783" s="0" t="n">
        <f aca="false">E4783</f>
        <v>0.5</v>
      </c>
      <c r="K4783" s="0" t="n">
        <f aca="false">F4783</f>
        <v>0</v>
      </c>
      <c r="L4783" s="0" t="n">
        <f aca="false">G4783</f>
        <v>1</v>
      </c>
      <c r="M4783" s="0" t="n">
        <f aca="false">H4783</f>
        <v>1</v>
      </c>
      <c r="N4783" s="0" t="n">
        <f aca="false">E4783*F4783</f>
        <v>0</v>
      </c>
      <c r="O4783" s="0" t="n">
        <f aca="false">E4783*G4783</f>
        <v>0.5</v>
      </c>
      <c r="P4783" s="0" t="n">
        <f aca="false">E4783*H4783</f>
        <v>0.5</v>
      </c>
      <c r="Q4783" s="0" t="n">
        <f aca="false">F4783*G4783</f>
        <v>0</v>
      </c>
      <c r="R4783" s="0" t="n">
        <f aca="false">F4783*H4783</f>
        <v>0</v>
      </c>
      <c r="S4783" s="0" t="n">
        <f aca="false">G4783*H4783</f>
        <v>1</v>
      </c>
      <c r="T4783" s="0" t="n">
        <f aca="false">E4783*E4783</f>
        <v>0.25</v>
      </c>
      <c r="U4783" s="0" t="n">
        <f aca="false">F4783*F4783</f>
        <v>0</v>
      </c>
      <c r="V4783" s="0" t="n">
        <f aca="false">G4783*G4783</f>
        <v>1</v>
      </c>
      <c r="W4783" s="0" t="n">
        <f aca="false">H4783*H4783</f>
        <v>1</v>
      </c>
      <c r="X4783" s="0" t="n">
        <f aca="false">SUMPRODUCT(I4783:W4783,_XtX!$B$96:$P$96)</f>
        <v>48.6140350877193</v>
      </c>
      <c r="Y4783" s="0" t="n">
        <f aca="false">SUMPRODUCT(MMULT(I4783:W4783,_XtX!$B$78:$P$92),I4783:W4783)</f>
        <v>0.650767543859649</v>
      </c>
      <c r="Z4783" s="0" t="n">
        <f aca="false">04_回帰ANOVA!$K$19*04_回帰ANOVA!$K$14*SQRT(1+Y4783)</f>
        <v>1.67471670935165</v>
      </c>
      <c r="AA4783" s="0" t="n">
        <f aca="false">X4783-Z4783</f>
        <v>46.9393183783676</v>
      </c>
      <c r="AB4783" s="0" t="n">
        <f aca="false">X4783+Z4783</f>
        <v>50.2887517970709</v>
      </c>
      <c r="AC4783" s="54" t="b">
        <f aca="false">AND(E4783&gt;=01_因子設定!$L$5-0.000000001,E4783&lt;=01_因子設定!$M$5+0.000000001,F4783&gt;=01_因子設定!$L$6-0.000000001,F4783&lt;=01_因子設定!$M$6+0.000000001,G4783&gt;=01_因子設定!$L$7-0.000000001,G4783&lt;=01_因子設定!$M$7+0.000000001,H4783&gt;=01_因子設定!$L$8-0.000000001,H4783&lt;=01_因子設定!$M$8+0.000000001,IF(01_因子設定!$B$20="Box-Behnken",E4783^2+F4783^2+G4783^2+H4783^2&lt;=2+0.000000001,TRUE()))</f>
        <v>1</v>
      </c>
      <c r="AD4783" s="55" t="n">
        <f aca="false">IF(AC4783,IF(01_因子設定!$B$13="最大化",AA4783-01_因子設定!$B$14,IF(01_因子設定!$B$13="最小化",01_因子設定!$B$15-AB4783,MIN(AA4783-01_因子設定!$B$14,01_因子設定!$B$15-AB4783))),-1E+030)</f>
        <v>0.439318378367645</v>
      </c>
      <c r="AE4783" s="55" t="n">
        <f aca="false">IF(AC4783,IF(01_因子設定!$B$13="最大化",X4783,IF(01_因子設定!$B$13="最小化",-X4783,-ABS(X4783-01_因子設定!$B$16))),-1E+030)</f>
        <v>48.6140350877193</v>
      </c>
      <c r="AF4783" s="55" t="n">
        <f aca="false">AD4783+ROW()*0.000000001</f>
        <v>0.439323161367645</v>
      </c>
      <c r="AG4783" s="55" t="n">
        <f aca="false">AE4783+ROW()*0.000000001</f>
        <v>48.6140398707193</v>
      </c>
    </row>
    <row r="4784" customFormat="false" ht="15" hidden="false" customHeight="false" outlineLevel="0" collapsed="false">
      <c r="A4784" s="0" t="n">
        <v>6</v>
      </c>
      <c r="B4784" s="0" t="n">
        <v>5</v>
      </c>
      <c r="C4784" s="0" t="n">
        <v>0</v>
      </c>
      <c r="D4784" s="0" t="n">
        <v>0</v>
      </c>
      <c r="E4784" s="0" t="n">
        <f aca="false">-1+A4784*0.25</f>
        <v>0.5</v>
      </c>
      <c r="F4784" s="0" t="n">
        <f aca="false">-1+B4784*0.25</f>
        <v>0.25</v>
      </c>
      <c r="G4784" s="0" t="n">
        <f aca="false">-1+C4784*0.25</f>
        <v>-1</v>
      </c>
      <c r="H4784" s="0" t="n">
        <f aca="false">-1+D4784*0.25</f>
        <v>-1</v>
      </c>
      <c r="I4784" s="0" t="n">
        <f aca="false">1</f>
        <v>1</v>
      </c>
      <c r="J4784" s="0" t="n">
        <f aca="false">E4784</f>
        <v>0.5</v>
      </c>
      <c r="K4784" s="0" t="n">
        <f aca="false">F4784</f>
        <v>0.25</v>
      </c>
      <c r="L4784" s="0" t="n">
        <f aca="false">G4784</f>
        <v>-1</v>
      </c>
      <c r="M4784" s="0" t="n">
        <f aca="false">H4784</f>
        <v>-1</v>
      </c>
      <c r="N4784" s="0" t="n">
        <f aca="false">E4784*F4784</f>
        <v>0.125</v>
      </c>
      <c r="O4784" s="0" t="n">
        <f aca="false">E4784*G4784</f>
        <v>-0.5</v>
      </c>
      <c r="P4784" s="0" t="n">
        <f aca="false">E4784*H4784</f>
        <v>-0.5</v>
      </c>
      <c r="Q4784" s="0" t="n">
        <f aca="false">F4784*G4784</f>
        <v>-0.25</v>
      </c>
      <c r="R4784" s="0" t="n">
        <f aca="false">F4784*H4784</f>
        <v>-0.25</v>
      </c>
      <c r="S4784" s="0" t="n">
        <f aca="false">G4784*H4784</f>
        <v>1</v>
      </c>
      <c r="T4784" s="0" t="n">
        <f aca="false">E4784*E4784</f>
        <v>0.25</v>
      </c>
      <c r="U4784" s="0" t="n">
        <f aca="false">F4784*F4784</f>
        <v>0.0625</v>
      </c>
      <c r="V4784" s="0" t="n">
        <f aca="false">G4784*G4784</f>
        <v>1</v>
      </c>
      <c r="W4784" s="0" t="n">
        <f aca="false">H4784*H4784</f>
        <v>1</v>
      </c>
      <c r="X4784" s="0" t="n">
        <f aca="false">SUMPRODUCT(I4784:W4784,_XtX!$B$96:$P$96)</f>
        <v>46.8390899122807</v>
      </c>
      <c r="Y4784" s="0" t="n">
        <f aca="false">SUMPRODUCT(MMULT(I4784:W4784,_XtX!$B$78:$P$92),I4784:W4784)</f>
        <v>0.629174661915205</v>
      </c>
      <c r="Z4784" s="0" t="n">
        <f aca="false">04_回帰ANOVA!$K$19*04_回帰ANOVA!$K$14*SQRT(1+Y4784)</f>
        <v>1.66372758058297</v>
      </c>
      <c r="AA4784" s="0" t="n">
        <f aca="false">X4784-Z4784</f>
        <v>45.1753623316977</v>
      </c>
      <c r="AB4784" s="0" t="n">
        <f aca="false">X4784+Z4784</f>
        <v>48.5028174928637</v>
      </c>
      <c r="AC4784" s="54" t="b">
        <f aca="false">AND(E4784&gt;=01_因子設定!$L$5-0.000000001,E4784&lt;=01_因子設定!$M$5+0.000000001,F4784&gt;=01_因子設定!$L$6-0.000000001,F4784&lt;=01_因子設定!$M$6+0.000000001,G4784&gt;=01_因子設定!$L$7-0.000000001,G4784&lt;=01_因子設定!$M$7+0.000000001,H4784&gt;=01_因子設定!$L$8-0.000000001,H4784&lt;=01_因子設定!$M$8+0.000000001,IF(01_因子設定!$B$20="Box-Behnken",E4784^2+F4784^2+G4784^2+H4784^2&lt;=2+0.000000001,TRUE()))</f>
        <v>1</v>
      </c>
      <c r="AD4784" s="55" t="n">
        <f aca="false">IF(AC4784,IF(01_因子設定!$B$13="最大化",AA4784-01_因子設定!$B$14,IF(01_因子設定!$B$13="最小化",01_因子設定!$B$15-AB4784,MIN(AA4784-01_因子設定!$B$14,01_因子設定!$B$15-AB4784))),-1E+030)</f>
        <v>-1.32463766830227</v>
      </c>
      <c r="AE4784" s="55" t="n">
        <f aca="false">IF(AC4784,IF(01_因子設定!$B$13="最大化",X4784,IF(01_因子設定!$B$13="最小化",-X4784,-ABS(X4784-01_因子設定!$B$16))),-1E+030)</f>
        <v>46.8390899122807</v>
      </c>
      <c r="AF4784" s="55" t="n">
        <f aca="false">AD4784+ROW()*0.000000001</f>
        <v>-1.32463288430227</v>
      </c>
      <c r="AG4784" s="55" t="n">
        <f aca="false">AE4784+ROW()*0.000000001</f>
        <v>46.8390946962807</v>
      </c>
    </row>
    <row r="4785" customFormat="false" ht="15" hidden="false" customHeight="false" outlineLevel="0" collapsed="false">
      <c r="A4785" s="0" t="n">
        <v>6</v>
      </c>
      <c r="B4785" s="0" t="n">
        <v>5</v>
      </c>
      <c r="C4785" s="0" t="n">
        <v>0</v>
      </c>
      <c r="D4785" s="0" t="n">
        <v>1</v>
      </c>
      <c r="E4785" s="0" t="n">
        <f aca="false">-1+A4785*0.25</f>
        <v>0.5</v>
      </c>
      <c r="F4785" s="0" t="n">
        <f aca="false">-1+B4785*0.25</f>
        <v>0.25</v>
      </c>
      <c r="G4785" s="0" t="n">
        <f aca="false">-1+C4785*0.25</f>
        <v>-1</v>
      </c>
      <c r="H4785" s="0" t="n">
        <f aca="false">-1+D4785*0.25</f>
        <v>-0.75</v>
      </c>
      <c r="I4785" s="0" t="n">
        <f aca="false">1</f>
        <v>1</v>
      </c>
      <c r="J4785" s="0" t="n">
        <f aca="false">E4785</f>
        <v>0.5</v>
      </c>
      <c r="K4785" s="0" t="n">
        <f aca="false">F4785</f>
        <v>0.25</v>
      </c>
      <c r="L4785" s="0" t="n">
        <f aca="false">G4785</f>
        <v>-1</v>
      </c>
      <c r="M4785" s="0" t="n">
        <f aca="false">H4785</f>
        <v>-0.75</v>
      </c>
      <c r="N4785" s="0" t="n">
        <f aca="false">E4785*F4785</f>
        <v>0.125</v>
      </c>
      <c r="O4785" s="0" t="n">
        <f aca="false">E4785*G4785</f>
        <v>-0.5</v>
      </c>
      <c r="P4785" s="0" t="n">
        <f aca="false">E4785*H4785</f>
        <v>-0.375</v>
      </c>
      <c r="Q4785" s="0" t="n">
        <f aca="false">F4785*G4785</f>
        <v>-0.25</v>
      </c>
      <c r="R4785" s="0" t="n">
        <f aca="false">F4785*H4785</f>
        <v>-0.1875</v>
      </c>
      <c r="S4785" s="0" t="n">
        <f aca="false">G4785*H4785</f>
        <v>0.75</v>
      </c>
      <c r="T4785" s="0" t="n">
        <f aca="false">E4785*E4785</f>
        <v>0.25</v>
      </c>
      <c r="U4785" s="0" t="n">
        <f aca="false">F4785*F4785</f>
        <v>0.0625</v>
      </c>
      <c r="V4785" s="0" t="n">
        <f aca="false">G4785*G4785</f>
        <v>1</v>
      </c>
      <c r="W4785" s="0" t="n">
        <f aca="false">H4785*H4785</f>
        <v>0.5625</v>
      </c>
      <c r="X4785" s="0" t="n">
        <f aca="false">SUMPRODUCT(I4785:W4785,_XtX!$B$96:$P$96)</f>
        <v>47.0382721125731</v>
      </c>
      <c r="Y4785" s="0" t="n">
        <f aca="false">SUMPRODUCT(MMULT(I4785:W4785,_XtX!$B$78:$P$92),I4785:W4785)</f>
        <v>0.459125719572369</v>
      </c>
      <c r="Z4785" s="0" t="n">
        <f aca="false">04_回帰ANOVA!$K$19*04_回帰ANOVA!$K$14*SQRT(1+Y4785)</f>
        <v>1.57450755575573</v>
      </c>
      <c r="AA4785" s="0" t="n">
        <f aca="false">X4785-Z4785</f>
        <v>45.4637645568174</v>
      </c>
      <c r="AB4785" s="0" t="n">
        <f aca="false">X4785+Z4785</f>
        <v>48.6127796683288</v>
      </c>
      <c r="AC4785" s="54" t="b">
        <f aca="false">AND(E4785&gt;=01_因子設定!$L$5-0.000000001,E4785&lt;=01_因子設定!$M$5+0.000000001,F4785&gt;=01_因子設定!$L$6-0.000000001,F4785&lt;=01_因子設定!$M$6+0.000000001,G4785&gt;=01_因子設定!$L$7-0.000000001,G4785&lt;=01_因子設定!$M$7+0.000000001,H4785&gt;=01_因子設定!$L$8-0.000000001,H4785&lt;=01_因子設定!$M$8+0.000000001,IF(01_因子設定!$B$20="Box-Behnken",E4785^2+F4785^2+G4785^2+H4785^2&lt;=2+0.000000001,TRUE()))</f>
        <v>1</v>
      </c>
      <c r="AD4785" s="55" t="n">
        <f aca="false">IF(AC4785,IF(01_因子設定!$B$13="最大化",AA4785-01_因子設定!$B$14,IF(01_因子設定!$B$13="最小化",01_因子設定!$B$15-AB4785,MIN(AA4785-01_因子設定!$B$14,01_因子設定!$B$15-AB4785))),-1E+030)</f>
        <v>-1.03623544318265</v>
      </c>
      <c r="AE4785" s="55" t="n">
        <f aca="false">IF(AC4785,IF(01_因子設定!$B$13="最大化",X4785,IF(01_因子設定!$B$13="最小化",-X4785,-ABS(X4785-01_因子設定!$B$16))),-1E+030)</f>
        <v>47.0382721125731</v>
      </c>
      <c r="AF4785" s="55" t="n">
        <f aca="false">AD4785+ROW()*0.000000001</f>
        <v>-1.03623065818265</v>
      </c>
      <c r="AG4785" s="55" t="n">
        <f aca="false">AE4785+ROW()*0.000000001</f>
        <v>47.0382768975731</v>
      </c>
    </row>
    <row r="4786" customFormat="false" ht="15" hidden="false" customHeight="false" outlineLevel="0" collapsed="false">
      <c r="A4786" s="0" t="n">
        <v>6</v>
      </c>
      <c r="B4786" s="0" t="n">
        <v>5</v>
      </c>
      <c r="C4786" s="0" t="n">
        <v>0</v>
      </c>
      <c r="D4786" s="0" t="n">
        <v>2</v>
      </c>
      <c r="E4786" s="0" t="n">
        <f aca="false">-1+A4786*0.25</f>
        <v>0.5</v>
      </c>
      <c r="F4786" s="0" t="n">
        <f aca="false">-1+B4786*0.25</f>
        <v>0.25</v>
      </c>
      <c r="G4786" s="0" t="n">
        <f aca="false">-1+C4786*0.25</f>
        <v>-1</v>
      </c>
      <c r="H4786" s="0" t="n">
        <f aca="false">-1+D4786*0.25</f>
        <v>-0.5</v>
      </c>
      <c r="I4786" s="0" t="n">
        <f aca="false">1</f>
        <v>1</v>
      </c>
      <c r="J4786" s="0" t="n">
        <f aca="false">E4786</f>
        <v>0.5</v>
      </c>
      <c r="K4786" s="0" t="n">
        <f aca="false">F4786</f>
        <v>0.25</v>
      </c>
      <c r="L4786" s="0" t="n">
        <f aca="false">G4786</f>
        <v>-1</v>
      </c>
      <c r="M4786" s="0" t="n">
        <f aca="false">H4786</f>
        <v>-0.5</v>
      </c>
      <c r="N4786" s="0" t="n">
        <f aca="false">E4786*F4786</f>
        <v>0.125</v>
      </c>
      <c r="O4786" s="0" t="n">
        <f aca="false">E4786*G4786</f>
        <v>-0.5</v>
      </c>
      <c r="P4786" s="0" t="n">
        <f aca="false">E4786*H4786</f>
        <v>-0.25</v>
      </c>
      <c r="Q4786" s="0" t="n">
        <f aca="false">F4786*G4786</f>
        <v>-0.25</v>
      </c>
      <c r="R4786" s="0" t="n">
        <f aca="false">F4786*H4786</f>
        <v>-0.125</v>
      </c>
      <c r="S4786" s="0" t="n">
        <f aca="false">G4786*H4786</f>
        <v>0.5</v>
      </c>
      <c r="T4786" s="0" t="n">
        <f aca="false">E4786*E4786</f>
        <v>0.25</v>
      </c>
      <c r="U4786" s="0" t="n">
        <f aca="false">F4786*F4786</f>
        <v>0.0625</v>
      </c>
      <c r="V4786" s="0" t="n">
        <f aca="false">G4786*G4786</f>
        <v>1</v>
      </c>
      <c r="W4786" s="0" t="n">
        <f aca="false">H4786*H4786</f>
        <v>0.25</v>
      </c>
      <c r="X4786" s="0" t="n">
        <f aca="false">SUMPRODUCT(I4786:W4786,_XtX!$B$96:$P$96)</f>
        <v>47.1896472953216</v>
      </c>
      <c r="Y4786" s="0" t="n">
        <f aca="false">SUMPRODUCT(MMULT(I4786:W4786,_XtX!$B$78:$P$92),I4786:W4786)</f>
        <v>0.428122715643275</v>
      </c>
      <c r="Z4786" s="0" t="n">
        <f aca="false">04_回帰ANOVA!$K$19*04_回帰ANOVA!$K$14*SQRT(1+Y4786)</f>
        <v>1.55769044623229</v>
      </c>
      <c r="AA4786" s="0" t="n">
        <f aca="false">X4786-Z4786</f>
        <v>45.6319568490893</v>
      </c>
      <c r="AB4786" s="0" t="n">
        <f aca="false">X4786+Z4786</f>
        <v>48.7473377415539</v>
      </c>
      <c r="AC4786" s="54" t="b">
        <f aca="false">AND(E4786&gt;=01_因子設定!$L$5-0.000000001,E4786&lt;=01_因子設定!$M$5+0.000000001,F4786&gt;=01_因子設定!$L$6-0.000000001,F4786&lt;=01_因子設定!$M$6+0.000000001,G4786&gt;=01_因子設定!$L$7-0.000000001,G4786&lt;=01_因子設定!$M$7+0.000000001,H4786&gt;=01_因子設定!$L$8-0.000000001,H4786&lt;=01_因子設定!$M$8+0.000000001,IF(01_因子設定!$B$20="Box-Behnken",E4786^2+F4786^2+G4786^2+H4786^2&lt;=2+0.000000001,TRUE()))</f>
        <v>1</v>
      </c>
      <c r="AD4786" s="55" t="n">
        <f aca="false">IF(AC4786,IF(01_因子設定!$B$13="最大化",AA4786-01_因子設定!$B$14,IF(01_因子設定!$B$13="最小化",01_因子設定!$B$15-AB4786,MIN(AA4786-01_因子設定!$B$14,01_因子設定!$B$15-AB4786))),-1E+030)</f>
        <v>-0.868043150910687</v>
      </c>
      <c r="AE4786" s="55" t="n">
        <f aca="false">IF(AC4786,IF(01_因子設定!$B$13="最大化",X4786,IF(01_因子設定!$B$13="最小化",-X4786,-ABS(X4786-01_因子設定!$B$16))),-1E+030)</f>
        <v>47.1896472953216</v>
      </c>
      <c r="AF4786" s="55" t="n">
        <f aca="false">AD4786+ROW()*0.000000001</f>
        <v>-0.868038364910687</v>
      </c>
      <c r="AG4786" s="55" t="n">
        <f aca="false">AE4786+ROW()*0.000000001</f>
        <v>47.1896520813216</v>
      </c>
    </row>
    <row r="4787" customFormat="false" ht="15" hidden="false" customHeight="false" outlineLevel="0" collapsed="false">
      <c r="A4787" s="0" t="n">
        <v>6</v>
      </c>
      <c r="B4787" s="0" t="n">
        <v>5</v>
      </c>
      <c r="C4787" s="0" t="n">
        <v>0</v>
      </c>
      <c r="D4787" s="0" t="n">
        <v>3</v>
      </c>
      <c r="E4787" s="0" t="n">
        <f aca="false">-1+A4787*0.25</f>
        <v>0.5</v>
      </c>
      <c r="F4787" s="0" t="n">
        <f aca="false">-1+B4787*0.25</f>
        <v>0.25</v>
      </c>
      <c r="G4787" s="0" t="n">
        <f aca="false">-1+C4787*0.25</f>
        <v>-1</v>
      </c>
      <c r="H4787" s="0" t="n">
        <f aca="false">-1+D4787*0.25</f>
        <v>-0.25</v>
      </c>
      <c r="I4787" s="0" t="n">
        <f aca="false">1</f>
        <v>1</v>
      </c>
      <c r="J4787" s="0" t="n">
        <f aca="false">E4787</f>
        <v>0.5</v>
      </c>
      <c r="K4787" s="0" t="n">
        <f aca="false">F4787</f>
        <v>0.25</v>
      </c>
      <c r="L4787" s="0" t="n">
        <f aca="false">G4787</f>
        <v>-1</v>
      </c>
      <c r="M4787" s="0" t="n">
        <f aca="false">H4787</f>
        <v>-0.25</v>
      </c>
      <c r="N4787" s="0" t="n">
        <f aca="false">E4787*F4787</f>
        <v>0.125</v>
      </c>
      <c r="O4787" s="0" t="n">
        <f aca="false">E4787*G4787</f>
        <v>-0.5</v>
      </c>
      <c r="P4787" s="0" t="n">
        <f aca="false">E4787*H4787</f>
        <v>-0.125</v>
      </c>
      <c r="Q4787" s="0" t="n">
        <f aca="false">F4787*G4787</f>
        <v>-0.25</v>
      </c>
      <c r="R4787" s="0" t="n">
        <f aca="false">F4787*H4787</f>
        <v>-0.0625</v>
      </c>
      <c r="S4787" s="0" t="n">
        <f aca="false">G4787*H4787</f>
        <v>0.25</v>
      </c>
      <c r="T4787" s="0" t="n">
        <f aca="false">E4787*E4787</f>
        <v>0.25</v>
      </c>
      <c r="U4787" s="0" t="n">
        <f aca="false">F4787*F4787</f>
        <v>0.0625</v>
      </c>
      <c r="V4787" s="0" t="n">
        <f aca="false">G4787*G4787</f>
        <v>1</v>
      </c>
      <c r="W4787" s="0" t="n">
        <f aca="false">H4787*H4787</f>
        <v>0.0625</v>
      </c>
      <c r="X4787" s="0" t="n">
        <f aca="false">SUMPRODUCT(I4787:W4787,_XtX!$B$96:$P$96)</f>
        <v>47.2932154605263</v>
      </c>
      <c r="Y4787" s="0" t="n">
        <f aca="false">SUMPRODUCT(MMULT(I4787:W4787,_XtX!$B$78:$P$92),I4787:W4787)</f>
        <v>0.445705123812135</v>
      </c>
      <c r="Z4787" s="0" t="n">
        <f aca="false">04_回帰ANOVA!$K$19*04_回帰ANOVA!$K$14*SQRT(1+Y4787)</f>
        <v>1.56724990734749</v>
      </c>
      <c r="AA4787" s="0" t="n">
        <f aca="false">X4787-Z4787</f>
        <v>45.7259655531788</v>
      </c>
      <c r="AB4787" s="0" t="n">
        <f aca="false">X4787+Z4787</f>
        <v>48.8604653678738</v>
      </c>
      <c r="AC4787" s="54" t="b">
        <f aca="false">AND(E4787&gt;=01_因子設定!$L$5-0.000000001,E4787&lt;=01_因子設定!$M$5+0.000000001,F4787&gt;=01_因子設定!$L$6-0.000000001,F4787&lt;=01_因子設定!$M$6+0.000000001,G4787&gt;=01_因子設定!$L$7-0.000000001,G4787&lt;=01_因子設定!$M$7+0.000000001,H4787&gt;=01_因子設定!$L$8-0.000000001,H4787&lt;=01_因子設定!$M$8+0.000000001,IF(01_因子設定!$B$20="Box-Behnken",E4787^2+F4787^2+G4787^2+H4787^2&lt;=2+0.000000001,TRUE()))</f>
        <v>1</v>
      </c>
      <c r="AD4787" s="55" t="n">
        <f aca="false">IF(AC4787,IF(01_因子設定!$B$13="最大化",AA4787-01_因子設定!$B$14,IF(01_因子設定!$B$13="最小化",01_因子設定!$B$15-AB4787,MIN(AA4787-01_因子設定!$B$14,01_因子設定!$B$15-AB4787))),-1E+030)</f>
        <v>-0.774034446821212</v>
      </c>
      <c r="AE4787" s="55" t="n">
        <f aca="false">IF(AC4787,IF(01_因子設定!$B$13="最大化",X4787,IF(01_因子設定!$B$13="最小化",-X4787,-ABS(X4787-01_因子設定!$B$16))),-1E+030)</f>
        <v>47.2932154605263</v>
      </c>
      <c r="AF4787" s="55" t="n">
        <f aca="false">AD4787+ROW()*0.000000001</f>
        <v>-0.774029659821212</v>
      </c>
      <c r="AG4787" s="55" t="n">
        <f aca="false">AE4787+ROW()*0.000000001</f>
        <v>47.2932202475263</v>
      </c>
    </row>
    <row r="4788" customFormat="false" ht="15" hidden="false" customHeight="false" outlineLevel="0" collapsed="false">
      <c r="A4788" s="0" t="n">
        <v>6</v>
      </c>
      <c r="B4788" s="0" t="n">
        <v>5</v>
      </c>
      <c r="C4788" s="0" t="n">
        <v>0</v>
      </c>
      <c r="D4788" s="0" t="n">
        <v>4</v>
      </c>
      <c r="E4788" s="0" t="n">
        <f aca="false">-1+A4788*0.25</f>
        <v>0.5</v>
      </c>
      <c r="F4788" s="0" t="n">
        <f aca="false">-1+B4788*0.25</f>
        <v>0.25</v>
      </c>
      <c r="G4788" s="0" t="n">
        <f aca="false">-1+C4788*0.25</f>
        <v>-1</v>
      </c>
      <c r="H4788" s="0" t="n">
        <f aca="false">-1+D4788*0.25</f>
        <v>0</v>
      </c>
      <c r="I4788" s="0" t="n">
        <f aca="false">1</f>
        <v>1</v>
      </c>
      <c r="J4788" s="0" t="n">
        <f aca="false">E4788</f>
        <v>0.5</v>
      </c>
      <c r="K4788" s="0" t="n">
        <f aca="false">F4788</f>
        <v>0.25</v>
      </c>
      <c r="L4788" s="0" t="n">
        <f aca="false">G4788</f>
        <v>-1</v>
      </c>
      <c r="M4788" s="0" t="n">
        <f aca="false">H4788</f>
        <v>0</v>
      </c>
      <c r="N4788" s="0" t="n">
        <f aca="false">E4788*F4788</f>
        <v>0.125</v>
      </c>
      <c r="O4788" s="0" t="n">
        <f aca="false">E4788*G4788</f>
        <v>-0.5</v>
      </c>
      <c r="P4788" s="0" t="n">
        <f aca="false">E4788*H4788</f>
        <v>0</v>
      </c>
      <c r="Q4788" s="0" t="n">
        <f aca="false">F4788*G4788</f>
        <v>-0.25</v>
      </c>
      <c r="R4788" s="0" t="n">
        <f aca="false">F4788*H4788</f>
        <v>0</v>
      </c>
      <c r="S4788" s="0" t="n">
        <f aca="false">G4788*H4788</f>
        <v>-0</v>
      </c>
      <c r="T4788" s="0" t="n">
        <f aca="false">E4788*E4788</f>
        <v>0.25</v>
      </c>
      <c r="U4788" s="0" t="n">
        <f aca="false">F4788*F4788</f>
        <v>0.0625</v>
      </c>
      <c r="V4788" s="0" t="n">
        <f aca="false">G4788*G4788</f>
        <v>1</v>
      </c>
      <c r="W4788" s="0" t="n">
        <f aca="false">H4788*H4788</f>
        <v>0</v>
      </c>
      <c r="X4788" s="0" t="n">
        <f aca="false">SUMPRODUCT(I4788:W4788,_XtX!$B$96:$P$96)</f>
        <v>47.3489766081871</v>
      </c>
      <c r="Y4788" s="0" t="n">
        <f aca="false">SUMPRODUCT(MMULT(I4788:W4788,_XtX!$B$78:$P$92),I4788:W4788)</f>
        <v>0.457596628289474</v>
      </c>
      <c r="Z4788" s="0" t="n">
        <f aca="false">04_回帰ANOVA!$K$19*04_回帰ANOVA!$K$14*SQRT(1+Y4788)</f>
        <v>1.57368233664366</v>
      </c>
      <c r="AA4788" s="0" t="n">
        <f aca="false">X4788-Z4788</f>
        <v>45.7752942715434</v>
      </c>
      <c r="AB4788" s="0" t="n">
        <f aca="false">X4788+Z4788</f>
        <v>48.9226589448308</v>
      </c>
      <c r="AC4788" s="54" t="b">
        <f aca="false">AND(E4788&gt;=01_因子設定!$L$5-0.000000001,E4788&lt;=01_因子設定!$M$5+0.000000001,F4788&gt;=01_因子設定!$L$6-0.000000001,F4788&lt;=01_因子設定!$M$6+0.000000001,G4788&gt;=01_因子設定!$L$7-0.000000001,G4788&lt;=01_因子設定!$M$7+0.000000001,H4788&gt;=01_因子設定!$L$8-0.000000001,H4788&lt;=01_因子設定!$M$8+0.000000001,IF(01_因子設定!$B$20="Box-Behnken",E4788^2+F4788^2+G4788^2+H4788^2&lt;=2+0.000000001,TRUE()))</f>
        <v>1</v>
      </c>
      <c r="AD4788" s="55" t="n">
        <f aca="false">IF(AC4788,IF(01_因子設定!$B$13="最大化",AA4788-01_因子設定!$B$14,IF(01_因子設定!$B$13="最小化",01_因子設定!$B$15-AB4788,MIN(AA4788-01_因子設定!$B$14,01_因子設定!$B$15-AB4788))),-1E+030)</f>
        <v>-0.724705728456563</v>
      </c>
      <c r="AE4788" s="55" t="n">
        <f aca="false">IF(AC4788,IF(01_因子設定!$B$13="最大化",X4788,IF(01_因子設定!$B$13="最小化",-X4788,-ABS(X4788-01_因子設定!$B$16))),-1E+030)</f>
        <v>47.3489766081871</v>
      </c>
      <c r="AF4788" s="55" t="n">
        <f aca="false">AD4788+ROW()*0.000000001</f>
        <v>-0.724700940456563</v>
      </c>
      <c r="AG4788" s="55" t="n">
        <f aca="false">AE4788+ROW()*0.000000001</f>
        <v>47.3489813961871</v>
      </c>
    </row>
    <row r="4789" customFormat="false" ht="15" hidden="false" customHeight="false" outlineLevel="0" collapsed="false">
      <c r="A4789" s="0" t="n">
        <v>6</v>
      </c>
      <c r="B4789" s="0" t="n">
        <v>5</v>
      </c>
      <c r="C4789" s="0" t="n">
        <v>0</v>
      </c>
      <c r="D4789" s="0" t="n">
        <v>5</v>
      </c>
      <c r="E4789" s="0" t="n">
        <f aca="false">-1+A4789*0.25</f>
        <v>0.5</v>
      </c>
      <c r="F4789" s="0" t="n">
        <f aca="false">-1+B4789*0.25</f>
        <v>0.25</v>
      </c>
      <c r="G4789" s="0" t="n">
        <f aca="false">-1+C4789*0.25</f>
        <v>-1</v>
      </c>
      <c r="H4789" s="0" t="n">
        <f aca="false">-1+D4789*0.25</f>
        <v>0.25</v>
      </c>
      <c r="I4789" s="0" t="n">
        <f aca="false">1</f>
        <v>1</v>
      </c>
      <c r="J4789" s="0" t="n">
        <f aca="false">E4789</f>
        <v>0.5</v>
      </c>
      <c r="K4789" s="0" t="n">
        <f aca="false">F4789</f>
        <v>0.25</v>
      </c>
      <c r="L4789" s="0" t="n">
        <f aca="false">G4789</f>
        <v>-1</v>
      </c>
      <c r="M4789" s="0" t="n">
        <f aca="false">H4789</f>
        <v>0.25</v>
      </c>
      <c r="N4789" s="0" t="n">
        <f aca="false">E4789*F4789</f>
        <v>0.125</v>
      </c>
      <c r="O4789" s="0" t="n">
        <f aca="false">E4789*G4789</f>
        <v>-0.5</v>
      </c>
      <c r="P4789" s="0" t="n">
        <f aca="false">E4789*H4789</f>
        <v>0.125</v>
      </c>
      <c r="Q4789" s="0" t="n">
        <f aca="false">F4789*G4789</f>
        <v>-0.25</v>
      </c>
      <c r="R4789" s="0" t="n">
        <f aca="false">F4789*H4789</f>
        <v>0.0625</v>
      </c>
      <c r="S4789" s="0" t="n">
        <f aca="false">G4789*H4789</f>
        <v>-0.25</v>
      </c>
      <c r="T4789" s="0" t="n">
        <f aca="false">E4789*E4789</f>
        <v>0.25</v>
      </c>
      <c r="U4789" s="0" t="n">
        <f aca="false">F4789*F4789</f>
        <v>0.0625</v>
      </c>
      <c r="V4789" s="0" t="n">
        <f aca="false">G4789*G4789</f>
        <v>1</v>
      </c>
      <c r="W4789" s="0" t="n">
        <f aca="false">H4789*H4789</f>
        <v>0.0625</v>
      </c>
      <c r="X4789" s="0" t="n">
        <f aca="false">SUMPRODUCT(I4789:W4789,_XtX!$B$96:$P$96)</f>
        <v>47.3569307383041</v>
      </c>
      <c r="Y4789" s="0" t="n">
        <f aca="false">SUMPRODUCT(MMULT(I4789:W4789,_XtX!$B$78:$P$92),I4789:W4789)</f>
        <v>0.445705123812135</v>
      </c>
      <c r="Z4789" s="0" t="n">
        <f aca="false">04_回帰ANOVA!$K$19*04_回帰ANOVA!$K$14*SQRT(1+Y4789)</f>
        <v>1.56724990734749</v>
      </c>
      <c r="AA4789" s="0" t="n">
        <f aca="false">X4789-Z4789</f>
        <v>45.7896808309566</v>
      </c>
      <c r="AB4789" s="0" t="n">
        <f aca="false">X4789+Z4789</f>
        <v>48.9241806456515</v>
      </c>
      <c r="AC4789" s="54" t="b">
        <f aca="false">AND(E4789&gt;=01_因子設定!$L$5-0.000000001,E4789&lt;=01_因子設定!$M$5+0.000000001,F4789&gt;=01_因子設定!$L$6-0.000000001,F4789&lt;=01_因子設定!$M$6+0.000000001,G4789&gt;=01_因子設定!$L$7-0.000000001,G4789&lt;=01_因子設定!$M$7+0.000000001,H4789&gt;=01_因子設定!$L$8-0.000000001,H4789&lt;=01_因子設定!$M$8+0.000000001,IF(01_因子設定!$B$20="Box-Behnken",E4789^2+F4789^2+G4789^2+H4789^2&lt;=2+0.000000001,TRUE()))</f>
        <v>1</v>
      </c>
      <c r="AD4789" s="55" t="n">
        <f aca="false">IF(AC4789,IF(01_因子設定!$B$13="最大化",AA4789-01_因子設定!$B$14,IF(01_因子設定!$B$13="最小化",01_因子設定!$B$15-AB4789,MIN(AA4789-01_因子設定!$B$14,01_因子設定!$B$15-AB4789))),-1E+030)</f>
        <v>-0.71031916904343</v>
      </c>
      <c r="AE4789" s="55" t="n">
        <f aca="false">IF(AC4789,IF(01_因子設定!$B$13="最大化",X4789,IF(01_因子設定!$B$13="最小化",-X4789,-ABS(X4789-01_因子設定!$B$16))),-1E+030)</f>
        <v>47.3569307383041</v>
      </c>
      <c r="AF4789" s="55" t="n">
        <f aca="false">AD4789+ROW()*0.000000001</f>
        <v>-0.71031438004343</v>
      </c>
      <c r="AG4789" s="55" t="n">
        <f aca="false">AE4789+ROW()*0.000000001</f>
        <v>47.3569355273041</v>
      </c>
    </row>
    <row r="4790" customFormat="false" ht="15" hidden="false" customHeight="false" outlineLevel="0" collapsed="false">
      <c r="A4790" s="0" t="n">
        <v>6</v>
      </c>
      <c r="B4790" s="0" t="n">
        <v>5</v>
      </c>
      <c r="C4790" s="0" t="n">
        <v>0</v>
      </c>
      <c r="D4790" s="0" t="n">
        <v>6</v>
      </c>
      <c r="E4790" s="0" t="n">
        <f aca="false">-1+A4790*0.25</f>
        <v>0.5</v>
      </c>
      <c r="F4790" s="0" t="n">
        <f aca="false">-1+B4790*0.25</f>
        <v>0.25</v>
      </c>
      <c r="G4790" s="0" t="n">
        <f aca="false">-1+C4790*0.25</f>
        <v>-1</v>
      </c>
      <c r="H4790" s="0" t="n">
        <f aca="false">-1+D4790*0.25</f>
        <v>0.5</v>
      </c>
      <c r="I4790" s="0" t="n">
        <f aca="false">1</f>
        <v>1</v>
      </c>
      <c r="J4790" s="0" t="n">
        <f aca="false">E4790</f>
        <v>0.5</v>
      </c>
      <c r="K4790" s="0" t="n">
        <f aca="false">F4790</f>
        <v>0.25</v>
      </c>
      <c r="L4790" s="0" t="n">
        <f aca="false">G4790</f>
        <v>-1</v>
      </c>
      <c r="M4790" s="0" t="n">
        <f aca="false">H4790</f>
        <v>0.5</v>
      </c>
      <c r="N4790" s="0" t="n">
        <f aca="false">E4790*F4790</f>
        <v>0.125</v>
      </c>
      <c r="O4790" s="0" t="n">
        <f aca="false">E4790*G4790</f>
        <v>-0.5</v>
      </c>
      <c r="P4790" s="0" t="n">
        <f aca="false">E4790*H4790</f>
        <v>0.25</v>
      </c>
      <c r="Q4790" s="0" t="n">
        <f aca="false">F4790*G4790</f>
        <v>-0.25</v>
      </c>
      <c r="R4790" s="0" t="n">
        <f aca="false">F4790*H4790</f>
        <v>0.125</v>
      </c>
      <c r="S4790" s="0" t="n">
        <f aca="false">G4790*H4790</f>
        <v>-0.5</v>
      </c>
      <c r="T4790" s="0" t="n">
        <f aca="false">E4790*E4790</f>
        <v>0.25</v>
      </c>
      <c r="U4790" s="0" t="n">
        <f aca="false">F4790*F4790</f>
        <v>0.0625</v>
      </c>
      <c r="V4790" s="0" t="n">
        <f aca="false">G4790*G4790</f>
        <v>1</v>
      </c>
      <c r="W4790" s="0" t="n">
        <f aca="false">H4790*H4790</f>
        <v>0.25</v>
      </c>
      <c r="X4790" s="0" t="n">
        <f aca="false">SUMPRODUCT(I4790:W4790,_XtX!$B$96:$P$96)</f>
        <v>47.3170778508772</v>
      </c>
      <c r="Y4790" s="0" t="n">
        <f aca="false">SUMPRODUCT(MMULT(I4790:W4790,_XtX!$B$78:$P$92),I4790:W4790)</f>
        <v>0.428122715643275</v>
      </c>
      <c r="Z4790" s="0" t="n">
        <f aca="false">04_回帰ANOVA!$K$19*04_回帰ANOVA!$K$14*SQRT(1+Y4790)</f>
        <v>1.55769044623229</v>
      </c>
      <c r="AA4790" s="0" t="n">
        <f aca="false">X4790-Z4790</f>
        <v>45.7593874046449</v>
      </c>
      <c r="AB4790" s="0" t="n">
        <f aca="false">X4790+Z4790</f>
        <v>48.8747682971095</v>
      </c>
      <c r="AC4790" s="54" t="b">
        <f aca="false">AND(E4790&gt;=01_因子設定!$L$5-0.000000001,E4790&lt;=01_因子設定!$M$5+0.000000001,F4790&gt;=01_因子設定!$L$6-0.000000001,F4790&lt;=01_因子設定!$M$6+0.000000001,G4790&gt;=01_因子設定!$L$7-0.000000001,G4790&lt;=01_因子設定!$M$7+0.000000001,H4790&gt;=01_因子設定!$L$8-0.000000001,H4790&lt;=01_因子設定!$M$8+0.000000001,IF(01_因子設定!$B$20="Box-Behnken",E4790^2+F4790^2+G4790^2+H4790^2&lt;=2+0.000000001,TRUE()))</f>
        <v>1</v>
      </c>
      <c r="AD4790" s="55" t="n">
        <f aca="false">IF(AC4790,IF(01_因子設定!$B$13="最大化",AA4790-01_因子設定!$B$14,IF(01_因子設定!$B$13="最小化",01_因子設定!$B$15-AB4790,MIN(AA4790-01_因子設定!$B$14,01_因子設定!$B$15-AB4790))),-1E+030)</f>
        <v>-0.740612595355131</v>
      </c>
      <c r="AE4790" s="55" t="n">
        <f aca="false">IF(AC4790,IF(01_因子設定!$B$13="最大化",X4790,IF(01_因子設定!$B$13="最小化",-X4790,-ABS(X4790-01_因子設定!$B$16))),-1E+030)</f>
        <v>47.3170778508772</v>
      </c>
      <c r="AF4790" s="55" t="n">
        <f aca="false">AD4790+ROW()*0.000000001</f>
        <v>-0.740607805355131</v>
      </c>
      <c r="AG4790" s="55" t="n">
        <f aca="false">AE4790+ROW()*0.000000001</f>
        <v>47.3170826408772</v>
      </c>
    </row>
    <row r="4791" customFormat="false" ht="15" hidden="false" customHeight="false" outlineLevel="0" collapsed="false">
      <c r="A4791" s="0" t="n">
        <v>6</v>
      </c>
      <c r="B4791" s="0" t="n">
        <v>5</v>
      </c>
      <c r="C4791" s="0" t="n">
        <v>0</v>
      </c>
      <c r="D4791" s="0" t="n">
        <v>7</v>
      </c>
      <c r="E4791" s="0" t="n">
        <f aca="false">-1+A4791*0.25</f>
        <v>0.5</v>
      </c>
      <c r="F4791" s="0" t="n">
        <f aca="false">-1+B4791*0.25</f>
        <v>0.25</v>
      </c>
      <c r="G4791" s="0" t="n">
        <f aca="false">-1+C4791*0.25</f>
        <v>-1</v>
      </c>
      <c r="H4791" s="0" t="n">
        <f aca="false">-1+D4791*0.25</f>
        <v>0.75</v>
      </c>
      <c r="I4791" s="0" t="n">
        <f aca="false">1</f>
        <v>1</v>
      </c>
      <c r="J4791" s="0" t="n">
        <f aca="false">E4791</f>
        <v>0.5</v>
      </c>
      <c r="K4791" s="0" t="n">
        <f aca="false">F4791</f>
        <v>0.25</v>
      </c>
      <c r="L4791" s="0" t="n">
        <f aca="false">G4791</f>
        <v>-1</v>
      </c>
      <c r="M4791" s="0" t="n">
        <f aca="false">H4791</f>
        <v>0.75</v>
      </c>
      <c r="N4791" s="0" t="n">
        <f aca="false">E4791*F4791</f>
        <v>0.125</v>
      </c>
      <c r="O4791" s="0" t="n">
        <f aca="false">E4791*G4791</f>
        <v>-0.5</v>
      </c>
      <c r="P4791" s="0" t="n">
        <f aca="false">E4791*H4791</f>
        <v>0.375</v>
      </c>
      <c r="Q4791" s="0" t="n">
        <f aca="false">F4791*G4791</f>
        <v>-0.25</v>
      </c>
      <c r="R4791" s="0" t="n">
        <f aca="false">F4791*H4791</f>
        <v>0.1875</v>
      </c>
      <c r="S4791" s="0" t="n">
        <f aca="false">G4791*H4791</f>
        <v>-0.75</v>
      </c>
      <c r="T4791" s="0" t="n">
        <f aca="false">E4791*E4791</f>
        <v>0.25</v>
      </c>
      <c r="U4791" s="0" t="n">
        <f aca="false">F4791*F4791</f>
        <v>0.0625</v>
      </c>
      <c r="V4791" s="0" t="n">
        <f aca="false">G4791*G4791</f>
        <v>1</v>
      </c>
      <c r="W4791" s="0" t="n">
        <f aca="false">H4791*H4791</f>
        <v>0.5625</v>
      </c>
      <c r="X4791" s="0" t="n">
        <f aca="false">SUMPRODUCT(I4791:W4791,_XtX!$B$96:$P$96)</f>
        <v>47.2294179459064</v>
      </c>
      <c r="Y4791" s="0" t="n">
        <f aca="false">SUMPRODUCT(MMULT(I4791:W4791,_XtX!$B$78:$P$92),I4791:W4791)</f>
        <v>0.459125719572369</v>
      </c>
      <c r="Z4791" s="0" t="n">
        <f aca="false">04_回帰ANOVA!$K$19*04_回帰ANOVA!$K$14*SQRT(1+Y4791)</f>
        <v>1.57450755575573</v>
      </c>
      <c r="AA4791" s="0" t="n">
        <f aca="false">X4791-Z4791</f>
        <v>45.6549103901507</v>
      </c>
      <c r="AB4791" s="0" t="n">
        <f aca="false">X4791+Z4791</f>
        <v>48.8039255016621</v>
      </c>
      <c r="AC4791" s="54" t="b">
        <f aca="false">AND(E4791&gt;=01_因子設定!$L$5-0.000000001,E4791&lt;=01_因子設定!$M$5+0.000000001,F4791&gt;=01_因子設定!$L$6-0.000000001,F4791&lt;=01_因子設定!$M$6+0.000000001,G4791&gt;=01_因子設定!$L$7-0.000000001,G4791&lt;=01_因子設定!$M$7+0.000000001,H4791&gt;=01_因子設定!$L$8-0.000000001,H4791&lt;=01_因子設定!$M$8+0.000000001,IF(01_因子設定!$B$20="Box-Behnken",E4791^2+F4791^2+G4791^2+H4791^2&lt;=2+0.000000001,TRUE()))</f>
        <v>1</v>
      </c>
      <c r="AD4791" s="55" t="n">
        <f aca="false">IF(AC4791,IF(01_因子設定!$B$13="最大化",AA4791-01_因子設定!$B$14,IF(01_因子設定!$B$13="最小化",01_因子設定!$B$15-AB4791,MIN(AA4791-01_因子設定!$B$14,01_因子設定!$B$15-AB4791))),-1E+030)</f>
        <v>-0.845089609849318</v>
      </c>
      <c r="AE4791" s="55" t="n">
        <f aca="false">IF(AC4791,IF(01_因子設定!$B$13="最大化",X4791,IF(01_因子設定!$B$13="最小化",-X4791,-ABS(X4791-01_因子設定!$B$16))),-1E+030)</f>
        <v>47.2294179459064</v>
      </c>
      <c r="AF4791" s="55" t="n">
        <f aca="false">AD4791+ROW()*0.000000001</f>
        <v>-0.845084818849318</v>
      </c>
      <c r="AG4791" s="55" t="n">
        <f aca="false">AE4791+ROW()*0.000000001</f>
        <v>47.2294227369064</v>
      </c>
    </row>
    <row r="4792" customFormat="false" ht="15" hidden="false" customHeight="false" outlineLevel="0" collapsed="false">
      <c r="A4792" s="0" t="n">
        <v>6</v>
      </c>
      <c r="B4792" s="0" t="n">
        <v>5</v>
      </c>
      <c r="C4792" s="0" t="n">
        <v>0</v>
      </c>
      <c r="D4792" s="0" t="n">
        <v>8</v>
      </c>
      <c r="E4792" s="0" t="n">
        <f aca="false">-1+A4792*0.25</f>
        <v>0.5</v>
      </c>
      <c r="F4792" s="0" t="n">
        <f aca="false">-1+B4792*0.25</f>
        <v>0.25</v>
      </c>
      <c r="G4792" s="0" t="n">
        <f aca="false">-1+C4792*0.25</f>
        <v>-1</v>
      </c>
      <c r="H4792" s="0" t="n">
        <f aca="false">-1+D4792*0.25</f>
        <v>1</v>
      </c>
      <c r="I4792" s="0" t="n">
        <f aca="false">1</f>
        <v>1</v>
      </c>
      <c r="J4792" s="0" t="n">
        <f aca="false">E4792</f>
        <v>0.5</v>
      </c>
      <c r="K4792" s="0" t="n">
        <f aca="false">F4792</f>
        <v>0.25</v>
      </c>
      <c r="L4792" s="0" t="n">
        <f aca="false">G4792</f>
        <v>-1</v>
      </c>
      <c r="M4792" s="0" t="n">
        <f aca="false">H4792</f>
        <v>1</v>
      </c>
      <c r="N4792" s="0" t="n">
        <f aca="false">E4792*F4792</f>
        <v>0.125</v>
      </c>
      <c r="O4792" s="0" t="n">
        <f aca="false">E4792*G4792</f>
        <v>-0.5</v>
      </c>
      <c r="P4792" s="0" t="n">
        <f aca="false">E4792*H4792</f>
        <v>0.5</v>
      </c>
      <c r="Q4792" s="0" t="n">
        <f aca="false">F4792*G4792</f>
        <v>-0.25</v>
      </c>
      <c r="R4792" s="0" t="n">
        <f aca="false">F4792*H4792</f>
        <v>0.25</v>
      </c>
      <c r="S4792" s="0" t="n">
        <f aca="false">G4792*H4792</f>
        <v>-1</v>
      </c>
      <c r="T4792" s="0" t="n">
        <f aca="false">E4792*E4792</f>
        <v>0.25</v>
      </c>
      <c r="U4792" s="0" t="n">
        <f aca="false">F4792*F4792</f>
        <v>0.0625</v>
      </c>
      <c r="V4792" s="0" t="n">
        <f aca="false">G4792*G4792</f>
        <v>1</v>
      </c>
      <c r="W4792" s="0" t="n">
        <f aca="false">H4792*H4792</f>
        <v>1</v>
      </c>
      <c r="X4792" s="0" t="n">
        <f aca="false">SUMPRODUCT(I4792:W4792,_XtX!$B$96:$P$96)</f>
        <v>47.0939510233918</v>
      </c>
      <c r="Y4792" s="0" t="n">
        <f aca="false">SUMPRODUCT(MMULT(I4792:W4792,_XtX!$B$78:$P$92),I4792:W4792)</f>
        <v>0.629174661915205</v>
      </c>
      <c r="Z4792" s="0" t="n">
        <f aca="false">04_回帰ANOVA!$K$19*04_回帰ANOVA!$K$14*SQRT(1+Y4792)</f>
        <v>1.66372758058297</v>
      </c>
      <c r="AA4792" s="0" t="n">
        <f aca="false">X4792-Z4792</f>
        <v>45.4302234428088</v>
      </c>
      <c r="AB4792" s="0" t="n">
        <f aca="false">X4792+Z4792</f>
        <v>48.7576786039748</v>
      </c>
      <c r="AC4792" s="54" t="b">
        <f aca="false">AND(E4792&gt;=01_因子設定!$L$5-0.000000001,E4792&lt;=01_因子設定!$M$5+0.000000001,F4792&gt;=01_因子設定!$L$6-0.000000001,F4792&lt;=01_因子設定!$M$6+0.000000001,G4792&gt;=01_因子設定!$L$7-0.000000001,G4792&lt;=01_因子設定!$M$7+0.000000001,H4792&gt;=01_因子設定!$L$8-0.000000001,H4792&lt;=01_因子設定!$M$8+0.000000001,IF(01_因子設定!$B$20="Box-Behnken",E4792^2+F4792^2+G4792^2+H4792^2&lt;=2+0.000000001,TRUE()))</f>
        <v>1</v>
      </c>
      <c r="AD4792" s="55" t="n">
        <f aca="false">IF(AC4792,IF(01_因子設定!$B$13="最大化",AA4792-01_因子設定!$B$14,IF(01_因子設定!$B$13="最小化",01_因子設定!$B$15-AB4792,MIN(AA4792-01_因子設定!$B$14,01_因子設定!$B$15-AB4792))),-1E+030)</f>
        <v>-1.06977655719116</v>
      </c>
      <c r="AE4792" s="55" t="n">
        <f aca="false">IF(AC4792,IF(01_因子設定!$B$13="最大化",X4792,IF(01_因子設定!$B$13="最小化",-X4792,-ABS(X4792-01_因子設定!$B$16))),-1E+030)</f>
        <v>47.0939510233918</v>
      </c>
      <c r="AF4792" s="55" t="n">
        <f aca="false">AD4792+ROW()*0.000000001</f>
        <v>-1.06977176519116</v>
      </c>
      <c r="AG4792" s="55" t="n">
        <f aca="false">AE4792+ROW()*0.000000001</f>
        <v>47.0939558153918</v>
      </c>
    </row>
    <row r="4793" customFormat="false" ht="15" hidden="false" customHeight="false" outlineLevel="0" collapsed="false">
      <c r="A4793" s="0" t="n">
        <v>6</v>
      </c>
      <c r="B4793" s="0" t="n">
        <v>5</v>
      </c>
      <c r="C4793" s="0" t="n">
        <v>1</v>
      </c>
      <c r="D4793" s="0" t="n">
        <v>0</v>
      </c>
      <c r="E4793" s="0" t="n">
        <f aca="false">-1+A4793*0.25</f>
        <v>0.5</v>
      </c>
      <c r="F4793" s="0" t="n">
        <f aca="false">-1+B4793*0.25</f>
        <v>0.25</v>
      </c>
      <c r="G4793" s="0" t="n">
        <f aca="false">-1+C4793*0.25</f>
        <v>-0.75</v>
      </c>
      <c r="H4793" s="0" t="n">
        <f aca="false">-1+D4793*0.25</f>
        <v>-1</v>
      </c>
      <c r="I4793" s="0" t="n">
        <f aca="false">1</f>
        <v>1</v>
      </c>
      <c r="J4793" s="0" t="n">
        <f aca="false">E4793</f>
        <v>0.5</v>
      </c>
      <c r="K4793" s="0" t="n">
        <f aca="false">F4793</f>
        <v>0.25</v>
      </c>
      <c r="L4793" s="0" t="n">
        <f aca="false">G4793</f>
        <v>-0.75</v>
      </c>
      <c r="M4793" s="0" t="n">
        <f aca="false">H4793</f>
        <v>-1</v>
      </c>
      <c r="N4793" s="0" t="n">
        <f aca="false">E4793*F4793</f>
        <v>0.125</v>
      </c>
      <c r="O4793" s="0" t="n">
        <f aca="false">E4793*G4793</f>
        <v>-0.375</v>
      </c>
      <c r="P4793" s="0" t="n">
        <f aca="false">E4793*H4793</f>
        <v>-0.5</v>
      </c>
      <c r="Q4793" s="0" t="n">
        <f aca="false">F4793*G4793</f>
        <v>-0.1875</v>
      </c>
      <c r="R4793" s="0" t="n">
        <f aca="false">F4793*H4793</f>
        <v>-0.25</v>
      </c>
      <c r="S4793" s="0" t="n">
        <f aca="false">G4793*H4793</f>
        <v>0.75</v>
      </c>
      <c r="T4793" s="0" t="n">
        <f aca="false">E4793*E4793</f>
        <v>0.25</v>
      </c>
      <c r="U4793" s="0" t="n">
        <f aca="false">F4793*F4793</f>
        <v>0.0625</v>
      </c>
      <c r="V4793" s="0" t="n">
        <f aca="false">G4793*G4793</f>
        <v>0.5625</v>
      </c>
      <c r="W4793" s="0" t="n">
        <f aca="false">H4793*H4793</f>
        <v>1</v>
      </c>
      <c r="X4793" s="0" t="n">
        <f aca="false">SUMPRODUCT(I4793:W4793,_XtX!$B$96:$P$96)</f>
        <v>47.2499040570175</v>
      </c>
      <c r="Y4793" s="0" t="n">
        <f aca="false">SUMPRODUCT(MMULT(I4793:W4793,_XtX!$B$78:$P$92),I4793:W4793)</f>
        <v>0.459125719572369</v>
      </c>
      <c r="Z4793" s="0" t="n">
        <f aca="false">04_回帰ANOVA!$K$19*04_回帰ANOVA!$K$14*SQRT(1+Y4793)</f>
        <v>1.57450755575573</v>
      </c>
      <c r="AA4793" s="0" t="n">
        <f aca="false">X4793-Z4793</f>
        <v>45.6753965012618</v>
      </c>
      <c r="AB4793" s="0" t="n">
        <f aca="false">X4793+Z4793</f>
        <v>48.8244116127733</v>
      </c>
      <c r="AC4793" s="54" t="b">
        <f aca="false">AND(E4793&gt;=01_因子設定!$L$5-0.000000001,E4793&lt;=01_因子設定!$M$5+0.000000001,F4793&gt;=01_因子設定!$L$6-0.000000001,F4793&lt;=01_因子設定!$M$6+0.000000001,G4793&gt;=01_因子設定!$L$7-0.000000001,G4793&lt;=01_因子設定!$M$7+0.000000001,H4793&gt;=01_因子設定!$L$8-0.000000001,H4793&lt;=01_因子設定!$M$8+0.000000001,IF(01_因子設定!$B$20="Box-Behnken",E4793^2+F4793^2+G4793^2+H4793^2&lt;=2+0.000000001,TRUE()))</f>
        <v>1</v>
      </c>
      <c r="AD4793" s="55" t="n">
        <f aca="false">IF(AC4793,IF(01_因子設定!$B$13="最大化",AA4793-01_因子設定!$B$14,IF(01_因子設定!$B$13="最小化",01_因子設定!$B$15-AB4793,MIN(AA4793-01_因子設定!$B$14,01_因子設定!$B$15-AB4793))),-1E+030)</f>
        <v>-0.824603498738192</v>
      </c>
      <c r="AE4793" s="55" t="n">
        <f aca="false">IF(AC4793,IF(01_因子設定!$B$13="最大化",X4793,IF(01_因子設定!$B$13="最小化",-X4793,-ABS(X4793-01_因子設定!$B$16))),-1E+030)</f>
        <v>47.2499040570175</v>
      </c>
      <c r="AF4793" s="55" t="n">
        <f aca="false">AD4793+ROW()*0.000000001</f>
        <v>-0.824598705738192</v>
      </c>
      <c r="AG4793" s="55" t="n">
        <f aca="false">AE4793+ROW()*0.000000001</f>
        <v>47.2499088500175</v>
      </c>
    </row>
    <row r="4794" customFormat="false" ht="15" hidden="false" customHeight="false" outlineLevel="0" collapsed="false">
      <c r="A4794" s="0" t="n">
        <v>6</v>
      </c>
      <c r="B4794" s="0" t="n">
        <v>5</v>
      </c>
      <c r="C4794" s="0" t="n">
        <v>1</v>
      </c>
      <c r="D4794" s="0" t="n">
        <v>1</v>
      </c>
      <c r="E4794" s="0" t="n">
        <f aca="false">-1+A4794*0.25</f>
        <v>0.5</v>
      </c>
      <c r="F4794" s="0" t="n">
        <f aca="false">-1+B4794*0.25</f>
        <v>0.25</v>
      </c>
      <c r="G4794" s="0" t="n">
        <f aca="false">-1+C4794*0.25</f>
        <v>-0.75</v>
      </c>
      <c r="H4794" s="0" t="n">
        <f aca="false">-1+D4794*0.25</f>
        <v>-0.75</v>
      </c>
      <c r="I4794" s="0" t="n">
        <f aca="false">1</f>
        <v>1</v>
      </c>
      <c r="J4794" s="0" t="n">
        <f aca="false">E4794</f>
        <v>0.5</v>
      </c>
      <c r="K4794" s="0" t="n">
        <f aca="false">F4794</f>
        <v>0.25</v>
      </c>
      <c r="L4794" s="0" t="n">
        <f aca="false">G4794</f>
        <v>-0.75</v>
      </c>
      <c r="M4794" s="0" t="n">
        <f aca="false">H4794</f>
        <v>-0.75</v>
      </c>
      <c r="N4794" s="0" t="n">
        <f aca="false">E4794*F4794</f>
        <v>0.125</v>
      </c>
      <c r="O4794" s="0" t="n">
        <f aca="false">E4794*G4794</f>
        <v>-0.375</v>
      </c>
      <c r="P4794" s="0" t="n">
        <f aca="false">E4794*H4794</f>
        <v>-0.375</v>
      </c>
      <c r="Q4794" s="0" t="n">
        <f aca="false">F4794*G4794</f>
        <v>-0.1875</v>
      </c>
      <c r="R4794" s="0" t="n">
        <f aca="false">F4794*H4794</f>
        <v>-0.1875</v>
      </c>
      <c r="S4794" s="0" t="n">
        <f aca="false">G4794*H4794</f>
        <v>0.5625</v>
      </c>
      <c r="T4794" s="0" t="n">
        <f aca="false">E4794*E4794</f>
        <v>0.25</v>
      </c>
      <c r="U4794" s="0" t="n">
        <f aca="false">F4794*F4794</f>
        <v>0.0625</v>
      </c>
      <c r="V4794" s="0" t="n">
        <f aca="false">G4794*G4794</f>
        <v>0.5625</v>
      </c>
      <c r="W4794" s="0" t="n">
        <f aca="false">H4794*H4794</f>
        <v>0.5625</v>
      </c>
      <c r="X4794" s="0" t="n">
        <f aca="false">SUMPRODUCT(I4794:W4794,_XtX!$B$96:$P$96)</f>
        <v>47.4670550073099</v>
      </c>
      <c r="Y4794" s="0" t="n">
        <f aca="false">SUMPRODUCT(MMULT(I4794:W4794,_XtX!$B$78:$P$92),I4794:W4794)</f>
        <v>0.257385610836988</v>
      </c>
      <c r="Z4794" s="0" t="n">
        <f aca="false">04_回帰ANOVA!$K$19*04_回帰ANOVA!$K$14*SQRT(1+Y4794)</f>
        <v>1.46161380324158</v>
      </c>
      <c r="AA4794" s="0" t="n">
        <f aca="false">X4794-Z4794</f>
        <v>46.0054412040683</v>
      </c>
      <c r="AB4794" s="0" t="n">
        <f aca="false">X4794+Z4794</f>
        <v>48.9286688105515</v>
      </c>
      <c r="AC4794" s="54" t="b">
        <f aca="false">AND(E4794&gt;=01_因子設定!$L$5-0.000000001,E4794&lt;=01_因子設定!$M$5+0.000000001,F4794&gt;=01_因子設定!$L$6-0.000000001,F4794&lt;=01_因子設定!$M$6+0.000000001,G4794&gt;=01_因子設定!$L$7-0.000000001,G4794&lt;=01_因子設定!$M$7+0.000000001,H4794&gt;=01_因子設定!$L$8-0.000000001,H4794&lt;=01_因子設定!$M$8+0.000000001,IF(01_因子設定!$B$20="Box-Behnken",E4794^2+F4794^2+G4794^2+H4794^2&lt;=2+0.000000001,TRUE()))</f>
        <v>1</v>
      </c>
      <c r="AD4794" s="55" t="n">
        <f aca="false">IF(AC4794,IF(01_因子設定!$B$13="最大化",AA4794-01_因子設定!$B$14,IF(01_因子設定!$B$13="最小化",01_因子設定!$B$15-AB4794,MIN(AA4794-01_因子設定!$B$14,01_因子設定!$B$15-AB4794))),-1E+030)</f>
        <v>-0.49455879593166</v>
      </c>
      <c r="AE4794" s="55" t="n">
        <f aca="false">IF(AC4794,IF(01_因子設定!$B$13="最大化",X4794,IF(01_因子設定!$B$13="最小化",-X4794,-ABS(X4794-01_因子設定!$B$16))),-1E+030)</f>
        <v>47.4670550073099</v>
      </c>
      <c r="AF4794" s="55" t="n">
        <f aca="false">AD4794+ROW()*0.000000001</f>
        <v>-0.49455400193166</v>
      </c>
      <c r="AG4794" s="55" t="n">
        <f aca="false">AE4794+ROW()*0.000000001</f>
        <v>47.4670598013099</v>
      </c>
    </row>
    <row r="4795" customFormat="false" ht="15" hidden="false" customHeight="false" outlineLevel="0" collapsed="false">
      <c r="A4795" s="0" t="n">
        <v>6</v>
      </c>
      <c r="B4795" s="0" t="n">
        <v>5</v>
      </c>
      <c r="C4795" s="0" t="n">
        <v>1</v>
      </c>
      <c r="D4795" s="0" t="n">
        <v>2</v>
      </c>
      <c r="E4795" s="0" t="n">
        <f aca="false">-1+A4795*0.25</f>
        <v>0.5</v>
      </c>
      <c r="F4795" s="0" t="n">
        <f aca="false">-1+B4795*0.25</f>
        <v>0.25</v>
      </c>
      <c r="G4795" s="0" t="n">
        <f aca="false">-1+C4795*0.25</f>
        <v>-0.75</v>
      </c>
      <c r="H4795" s="0" t="n">
        <f aca="false">-1+D4795*0.25</f>
        <v>-0.5</v>
      </c>
      <c r="I4795" s="0" t="n">
        <f aca="false">1</f>
        <v>1</v>
      </c>
      <c r="J4795" s="0" t="n">
        <f aca="false">E4795</f>
        <v>0.5</v>
      </c>
      <c r="K4795" s="0" t="n">
        <f aca="false">F4795</f>
        <v>0.25</v>
      </c>
      <c r="L4795" s="0" t="n">
        <f aca="false">G4795</f>
        <v>-0.75</v>
      </c>
      <c r="M4795" s="0" t="n">
        <f aca="false">H4795</f>
        <v>-0.5</v>
      </c>
      <c r="N4795" s="0" t="n">
        <f aca="false">E4795*F4795</f>
        <v>0.125</v>
      </c>
      <c r="O4795" s="0" t="n">
        <f aca="false">E4795*G4795</f>
        <v>-0.375</v>
      </c>
      <c r="P4795" s="0" t="n">
        <f aca="false">E4795*H4795</f>
        <v>-0.25</v>
      </c>
      <c r="Q4795" s="0" t="n">
        <f aca="false">F4795*G4795</f>
        <v>-0.1875</v>
      </c>
      <c r="R4795" s="0" t="n">
        <f aca="false">F4795*H4795</f>
        <v>-0.125</v>
      </c>
      <c r="S4795" s="0" t="n">
        <f aca="false">G4795*H4795</f>
        <v>0.375</v>
      </c>
      <c r="T4795" s="0" t="n">
        <f aca="false">E4795*E4795</f>
        <v>0.25</v>
      </c>
      <c r="U4795" s="0" t="n">
        <f aca="false">F4795*F4795</f>
        <v>0.0625</v>
      </c>
      <c r="V4795" s="0" t="n">
        <f aca="false">G4795*G4795</f>
        <v>0.5625</v>
      </c>
      <c r="W4795" s="0" t="n">
        <f aca="false">H4795*H4795</f>
        <v>0.25</v>
      </c>
      <c r="X4795" s="0" t="n">
        <f aca="false">SUMPRODUCT(I4795:W4795,_XtX!$B$96:$P$96)</f>
        <v>47.6363989400585</v>
      </c>
      <c r="Y4795" s="0" t="n">
        <f aca="false">SUMPRODUCT(MMULT(I4795:W4795,_XtX!$B$78:$P$92),I4795:W4795)</f>
        <v>0.203746059484649</v>
      </c>
      <c r="Z4795" s="0" t="n">
        <f aca="false">04_回帰ANOVA!$K$19*04_回帰ANOVA!$K$14*SQRT(1+Y4795)</f>
        <v>1.43009810755465</v>
      </c>
      <c r="AA4795" s="0" t="n">
        <f aca="false">X4795-Z4795</f>
        <v>46.2063008325038</v>
      </c>
      <c r="AB4795" s="0" t="n">
        <f aca="false">X4795+Z4795</f>
        <v>49.0664970476131</v>
      </c>
      <c r="AC4795" s="54" t="b">
        <f aca="false">AND(E4795&gt;=01_因子設定!$L$5-0.000000001,E4795&lt;=01_因子設定!$M$5+0.000000001,F4795&gt;=01_因子設定!$L$6-0.000000001,F4795&lt;=01_因子設定!$M$6+0.000000001,G4795&gt;=01_因子設定!$L$7-0.000000001,G4795&lt;=01_因子設定!$M$7+0.000000001,H4795&gt;=01_因子設定!$L$8-0.000000001,H4795&lt;=01_因子設定!$M$8+0.000000001,IF(01_因子設定!$B$20="Box-Behnken",E4795^2+F4795^2+G4795^2+H4795^2&lt;=2+0.000000001,TRUE()))</f>
        <v>1</v>
      </c>
      <c r="AD4795" s="55" t="n">
        <f aca="false">IF(AC4795,IF(01_因子設定!$B$13="最大化",AA4795-01_因子設定!$B$14,IF(01_因子設定!$B$13="最小化",01_因子設定!$B$15-AB4795,MIN(AA4795-01_因子設定!$B$14,01_因子設定!$B$15-AB4795))),-1E+030)</f>
        <v>-0.2936991674962</v>
      </c>
      <c r="AE4795" s="55" t="n">
        <f aca="false">IF(AC4795,IF(01_因子設定!$B$13="最大化",X4795,IF(01_因子設定!$B$13="最小化",-X4795,-ABS(X4795-01_因子設定!$B$16))),-1E+030)</f>
        <v>47.6363989400585</v>
      </c>
      <c r="AF4795" s="55" t="n">
        <f aca="false">AD4795+ROW()*0.000000001</f>
        <v>-0.2936943724962</v>
      </c>
      <c r="AG4795" s="55" t="n">
        <f aca="false">AE4795+ROW()*0.000000001</f>
        <v>47.6364037350585</v>
      </c>
    </row>
    <row r="4796" customFormat="false" ht="15" hidden="false" customHeight="false" outlineLevel="0" collapsed="false">
      <c r="A4796" s="0" t="n">
        <v>6</v>
      </c>
      <c r="B4796" s="0" t="n">
        <v>5</v>
      </c>
      <c r="C4796" s="0" t="n">
        <v>1</v>
      </c>
      <c r="D4796" s="0" t="n">
        <v>3</v>
      </c>
      <c r="E4796" s="0" t="n">
        <f aca="false">-1+A4796*0.25</f>
        <v>0.5</v>
      </c>
      <c r="F4796" s="0" t="n">
        <f aca="false">-1+B4796*0.25</f>
        <v>0.25</v>
      </c>
      <c r="G4796" s="0" t="n">
        <f aca="false">-1+C4796*0.25</f>
        <v>-0.75</v>
      </c>
      <c r="H4796" s="0" t="n">
        <f aca="false">-1+D4796*0.25</f>
        <v>-0.25</v>
      </c>
      <c r="I4796" s="0" t="n">
        <f aca="false">1</f>
        <v>1</v>
      </c>
      <c r="J4796" s="0" t="n">
        <f aca="false">E4796</f>
        <v>0.5</v>
      </c>
      <c r="K4796" s="0" t="n">
        <f aca="false">F4796</f>
        <v>0.25</v>
      </c>
      <c r="L4796" s="0" t="n">
        <f aca="false">G4796</f>
        <v>-0.75</v>
      </c>
      <c r="M4796" s="0" t="n">
        <f aca="false">H4796</f>
        <v>-0.25</v>
      </c>
      <c r="N4796" s="0" t="n">
        <f aca="false">E4796*F4796</f>
        <v>0.125</v>
      </c>
      <c r="O4796" s="0" t="n">
        <f aca="false">E4796*G4796</f>
        <v>-0.375</v>
      </c>
      <c r="P4796" s="0" t="n">
        <f aca="false">E4796*H4796</f>
        <v>-0.125</v>
      </c>
      <c r="Q4796" s="0" t="n">
        <f aca="false">F4796*G4796</f>
        <v>-0.1875</v>
      </c>
      <c r="R4796" s="0" t="n">
        <f aca="false">F4796*H4796</f>
        <v>-0.0625</v>
      </c>
      <c r="S4796" s="0" t="n">
        <f aca="false">G4796*H4796</f>
        <v>0.1875</v>
      </c>
      <c r="T4796" s="0" t="n">
        <f aca="false">E4796*E4796</f>
        <v>0.25</v>
      </c>
      <c r="U4796" s="0" t="n">
        <f aca="false">F4796*F4796</f>
        <v>0.0625</v>
      </c>
      <c r="V4796" s="0" t="n">
        <f aca="false">G4796*G4796</f>
        <v>0.5625</v>
      </c>
      <c r="W4796" s="0" t="n">
        <f aca="false">H4796*H4796</f>
        <v>0.0625</v>
      </c>
      <c r="X4796" s="0" t="n">
        <f aca="false">SUMPRODUCT(I4796:W4796,_XtX!$B$96:$P$96)</f>
        <v>47.7579358552631</v>
      </c>
      <c r="Y4796" s="0" t="n">
        <f aca="false">SUMPRODUCT(MMULT(I4796:W4796,_XtX!$B$78:$P$92),I4796:W4796)</f>
        <v>0.207746539199561</v>
      </c>
      <c r="Z4796" s="0" t="n">
        <f aca="false">04_回帰ANOVA!$K$19*04_回帰ANOVA!$K$14*SQRT(1+Y4796)</f>
        <v>1.43247250081141</v>
      </c>
      <c r="AA4796" s="0" t="n">
        <f aca="false">X4796-Z4796</f>
        <v>46.3254633544517</v>
      </c>
      <c r="AB4796" s="0" t="n">
        <f aca="false">X4796+Z4796</f>
        <v>49.1904083560745</v>
      </c>
      <c r="AC4796" s="54" t="b">
        <f aca="false">AND(E4796&gt;=01_因子設定!$L$5-0.000000001,E4796&lt;=01_因子設定!$M$5+0.000000001,F4796&gt;=01_因子設定!$L$6-0.000000001,F4796&lt;=01_因子設定!$M$6+0.000000001,G4796&gt;=01_因子設定!$L$7-0.000000001,G4796&lt;=01_因子設定!$M$7+0.000000001,H4796&gt;=01_因子設定!$L$8-0.000000001,H4796&lt;=01_因子設定!$M$8+0.000000001,IF(01_因子設定!$B$20="Box-Behnken",E4796^2+F4796^2+G4796^2+H4796^2&lt;=2+0.000000001,TRUE()))</f>
        <v>1</v>
      </c>
      <c r="AD4796" s="55" t="n">
        <f aca="false">IF(AC4796,IF(01_因子設定!$B$13="最大化",AA4796-01_因子設定!$B$14,IF(01_因子設定!$B$13="最小化",01_因子設定!$B$15-AB4796,MIN(AA4796-01_因子設定!$B$14,01_因子設定!$B$15-AB4796))),-1E+030)</f>
        <v>-0.174536645548287</v>
      </c>
      <c r="AE4796" s="55" t="n">
        <f aca="false">IF(AC4796,IF(01_因子設定!$B$13="最大化",X4796,IF(01_因子設定!$B$13="最小化",-X4796,-ABS(X4796-01_因子設定!$B$16))),-1E+030)</f>
        <v>47.7579358552631</v>
      </c>
      <c r="AF4796" s="55" t="n">
        <f aca="false">AD4796+ROW()*0.000000001</f>
        <v>-0.174531849548287</v>
      </c>
      <c r="AG4796" s="55" t="n">
        <f aca="false">AE4796+ROW()*0.000000001</f>
        <v>47.7579406512631</v>
      </c>
    </row>
    <row r="4797" customFormat="false" ht="15" hidden="false" customHeight="false" outlineLevel="0" collapsed="false">
      <c r="A4797" s="0" t="n">
        <v>6</v>
      </c>
      <c r="B4797" s="0" t="n">
        <v>5</v>
      </c>
      <c r="C4797" s="0" t="n">
        <v>1</v>
      </c>
      <c r="D4797" s="0" t="n">
        <v>4</v>
      </c>
      <c r="E4797" s="0" t="n">
        <f aca="false">-1+A4797*0.25</f>
        <v>0.5</v>
      </c>
      <c r="F4797" s="0" t="n">
        <f aca="false">-1+B4797*0.25</f>
        <v>0.25</v>
      </c>
      <c r="G4797" s="0" t="n">
        <f aca="false">-1+C4797*0.25</f>
        <v>-0.75</v>
      </c>
      <c r="H4797" s="0" t="n">
        <f aca="false">-1+D4797*0.25</f>
        <v>0</v>
      </c>
      <c r="I4797" s="0" t="n">
        <f aca="false">1</f>
        <v>1</v>
      </c>
      <c r="J4797" s="0" t="n">
        <f aca="false">E4797</f>
        <v>0.5</v>
      </c>
      <c r="K4797" s="0" t="n">
        <f aca="false">F4797</f>
        <v>0.25</v>
      </c>
      <c r="L4797" s="0" t="n">
        <f aca="false">G4797</f>
        <v>-0.75</v>
      </c>
      <c r="M4797" s="0" t="n">
        <f aca="false">H4797</f>
        <v>0</v>
      </c>
      <c r="N4797" s="0" t="n">
        <f aca="false">E4797*F4797</f>
        <v>0.125</v>
      </c>
      <c r="O4797" s="0" t="n">
        <f aca="false">E4797*G4797</f>
        <v>-0.375</v>
      </c>
      <c r="P4797" s="0" t="n">
        <f aca="false">E4797*H4797</f>
        <v>0</v>
      </c>
      <c r="Q4797" s="0" t="n">
        <f aca="false">F4797*G4797</f>
        <v>-0.1875</v>
      </c>
      <c r="R4797" s="0" t="n">
        <f aca="false">F4797*H4797</f>
        <v>0</v>
      </c>
      <c r="S4797" s="0" t="n">
        <f aca="false">G4797*H4797</f>
        <v>-0</v>
      </c>
      <c r="T4797" s="0" t="n">
        <f aca="false">E4797*E4797</f>
        <v>0.25</v>
      </c>
      <c r="U4797" s="0" t="n">
        <f aca="false">F4797*F4797</f>
        <v>0.0625</v>
      </c>
      <c r="V4797" s="0" t="n">
        <f aca="false">G4797*G4797</f>
        <v>0.5625</v>
      </c>
      <c r="W4797" s="0" t="n">
        <f aca="false">H4797*H4797</f>
        <v>0</v>
      </c>
      <c r="X4797" s="0" t="n">
        <f aca="false">SUMPRODUCT(I4797:W4797,_XtX!$B$96:$P$96)</f>
        <v>47.8316657529239</v>
      </c>
      <c r="Y4797" s="0" t="n">
        <f aca="false">SUMPRODUCT(MMULT(I4797:W4797,_XtX!$B$78:$P$92),I4797:W4797)</f>
        <v>0.215110734192252</v>
      </c>
      <c r="Z4797" s="0" t="n">
        <f aca="false">04_回帰ANOVA!$K$19*04_回帰ANOVA!$K$14*SQRT(1+Y4797)</f>
        <v>1.43683309086864</v>
      </c>
      <c r="AA4797" s="0" t="n">
        <f aca="false">X4797-Z4797</f>
        <v>46.3948326620553</v>
      </c>
      <c r="AB4797" s="0" t="n">
        <f aca="false">X4797+Z4797</f>
        <v>49.2684988437926</v>
      </c>
      <c r="AC4797" s="54" t="b">
        <f aca="false">AND(E4797&gt;=01_因子設定!$L$5-0.000000001,E4797&lt;=01_因子設定!$M$5+0.000000001,F4797&gt;=01_因子設定!$L$6-0.000000001,F4797&lt;=01_因子設定!$M$6+0.000000001,G4797&gt;=01_因子設定!$L$7-0.000000001,G4797&lt;=01_因子設定!$M$7+0.000000001,H4797&gt;=01_因子設定!$L$8-0.000000001,H4797&lt;=01_因子設定!$M$8+0.000000001,IF(01_因子設定!$B$20="Box-Behnken",E4797^2+F4797^2+G4797^2+H4797^2&lt;=2+0.000000001,TRUE()))</f>
        <v>1</v>
      </c>
      <c r="AD4797" s="55" t="n">
        <f aca="false">IF(AC4797,IF(01_因子設定!$B$13="最大化",AA4797-01_因子設定!$B$14,IF(01_因子設定!$B$13="最小化",01_因子設定!$B$15-AB4797,MIN(AA4797-01_因子設定!$B$14,01_因子設定!$B$15-AB4797))),-1E+030)</f>
        <v>-0.105167337944714</v>
      </c>
      <c r="AE4797" s="55" t="n">
        <f aca="false">IF(AC4797,IF(01_因子設定!$B$13="最大化",X4797,IF(01_因子設定!$B$13="最小化",-X4797,-ABS(X4797-01_因子設定!$B$16))),-1E+030)</f>
        <v>47.8316657529239</v>
      </c>
      <c r="AF4797" s="55" t="n">
        <f aca="false">AD4797+ROW()*0.000000001</f>
        <v>-0.105162540944714</v>
      </c>
      <c r="AG4797" s="55" t="n">
        <f aca="false">AE4797+ROW()*0.000000001</f>
        <v>47.8316705499239</v>
      </c>
    </row>
    <row r="4798" customFormat="false" ht="15" hidden="false" customHeight="false" outlineLevel="0" collapsed="false">
      <c r="A4798" s="0" t="n">
        <v>6</v>
      </c>
      <c r="B4798" s="0" t="n">
        <v>5</v>
      </c>
      <c r="C4798" s="0" t="n">
        <v>1</v>
      </c>
      <c r="D4798" s="0" t="n">
        <v>5</v>
      </c>
      <c r="E4798" s="0" t="n">
        <f aca="false">-1+A4798*0.25</f>
        <v>0.5</v>
      </c>
      <c r="F4798" s="0" t="n">
        <f aca="false">-1+B4798*0.25</f>
        <v>0.25</v>
      </c>
      <c r="G4798" s="0" t="n">
        <f aca="false">-1+C4798*0.25</f>
        <v>-0.75</v>
      </c>
      <c r="H4798" s="0" t="n">
        <f aca="false">-1+D4798*0.25</f>
        <v>0.25</v>
      </c>
      <c r="I4798" s="0" t="n">
        <f aca="false">1</f>
        <v>1</v>
      </c>
      <c r="J4798" s="0" t="n">
        <f aca="false">E4798</f>
        <v>0.5</v>
      </c>
      <c r="K4798" s="0" t="n">
        <f aca="false">F4798</f>
        <v>0.25</v>
      </c>
      <c r="L4798" s="0" t="n">
        <f aca="false">G4798</f>
        <v>-0.75</v>
      </c>
      <c r="M4798" s="0" t="n">
        <f aca="false">H4798</f>
        <v>0.25</v>
      </c>
      <c r="N4798" s="0" t="n">
        <f aca="false">E4798*F4798</f>
        <v>0.125</v>
      </c>
      <c r="O4798" s="0" t="n">
        <f aca="false">E4798*G4798</f>
        <v>-0.375</v>
      </c>
      <c r="P4798" s="0" t="n">
        <f aca="false">E4798*H4798</f>
        <v>0.125</v>
      </c>
      <c r="Q4798" s="0" t="n">
        <f aca="false">F4798*G4798</f>
        <v>-0.1875</v>
      </c>
      <c r="R4798" s="0" t="n">
        <f aca="false">F4798*H4798</f>
        <v>0.0625</v>
      </c>
      <c r="S4798" s="0" t="n">
        <f aca="false">G4798*H4798</f>
        <v>-0.1875</v>
      </c>
      <c r="T4798" s="0" t="n">
        <f aca="false">E4798*E4798</f>
        <v>0.25</v>
      </c>
      <c r="U4798" s="0" t="n">
        <f aca="false">F4798*F4798</f>
        <v>0.0625</v>
      </c>
      <c r="V4798" s="0" t="n">
        <f aca="false">G4798*G4798</f>
        <v>0.5625</v>
      </c>
      <c r="W4798" s="0" t="n">
        <f aca="false">H4798*H4798</f>
        <v>0.0625</v>
      </c>
      <c r="X4798" s="0" t="n">
        <f aca="false">SUMPRODUCT(I4798:W4798,_XtX!$B$96:$P$96)</f>
        <v>47.8575886330409</v>
      </c>
      <c r="Y4798" s="0" t="n">
        <f aca="false">SUMPRODUCT(MMULT(I4798:W4798,_XtX!$B$78:$P$92),I4798:W4798)</f>
        <v>0.207746539199561</v>
      </c>
      <c r="Z4798" s="0" t="n">
        <f aca="false">04_回帰ANOVA!$K$19*04_回帰ANOVA!$K$14*SQRT(1+Y4798)</f>
        <v>1.43247250081141</v>
      </c>
      <c r="AA4798" s="0" t="n">
        <f aca="false">X4798-Z4798</f>
        <v>46.4251161322295</v>
      </c>
      <c r="AB4798" s="0" t="n">
        <f aca="false">X4798+Z4798</f>
        <v>49.2900611338523</v>
      </c>
      <c r="AC4798" s="54" t="b">
        <f aca="false">AND(E4798&gt;=01_因子設定!$L$5-0.000000001,E4798&lt;=01_因子設定!$M$5+0.000000001,F4798&gt;=01_因子設定!$L$6-0.000000001,F4798&lt;=01_因子設定!$M$6+0.000000001,G4798&gt;=01_因子設定!$L$7-0.000000001,G4798&lt;=01_因子設定!$M$7+0.000000001,H4798&gt;=01_因子設定!$L$8-0.000000001,H4798&lt;=01_因子設定!$M$8+0.000000001,IF(01_因子設定!$B$20="Box-Behnken",E4798^2+F4798^2+G4798^2+H4798^2&lt;=2+0.000000001,TRUE()))</f>
        <v>1</v>
      </c>
      <c r="AD4798" s="55" t="n">
        <f aca="false">IF(AC4798,IF(01_因子設定!$B$13="最大化",AA4798-01_因子設定!$B$14,IF(01_因子設定!$B$13="最小化",01_因子設定!$B$15-AB4798,MIN(AA4798-01_因子設定!$B$14,01_因子設定!$B$15-AB4798))),-1E+030)</f>
        <v>-0.0748838677705095</v>
      </c>
      <c r="AE4798" s="55" t="n">
        <f aca="false">IF(AC4798,IF(01_因子設定!$B$13="最大化",X4798,IF(01_因子設定!$B$13="最小化",-X4798,-ABS(X4798-01_因子設定!$B$16))),-1E+030)</f>
        <v>47.8575886330409</v>
      </c>
      <c r="AF4798" s="55" t="n">
        <f aca="false">AD4798+ROW()*0.000000001</f>
        <v>-0.0748790697705095</v>
      </c>
      <c r="AG4798" s="55" t="n">
        <f aca="false">AE4798+ROW()*0.000000001</f>
        <v>47.8575934310409</v>
      </c>
    </row>
    <row r="4799" customFormat="false" ht="15" hidden="false" customHeight="false" outlineLevel="0" collapsed="false">
      <c r="A4799" s="0" t="n">
        <v>6</v>
      </c>
      <c r="B4799" s="0" t="n">
        <v>5</v>
      </c>
      <c r="C4799" s="0" t="n">
        <v>1</v>
      </c>
      <c r="D4799" s="0" t="n">
        <v>6</v>
      </c>
      <c r="E4799" s="0" t="n">
        <f aca="false">-1+A4799*0.25</f>
        <v>0.5</v>
      </c>
      <c r="F4799" s="0" t="n">
        <f aca="false">-1+B4799*0.25</f>
        <v>0.25</v>
      </c>
      <c r="G4799" s="0" t="n">
        <f aca="false">-1+C4799*0.25</f>
        <v>-0.75</v>
      </c>
      <c r="H4799" s="0" t="n">
        <f aca="false">-1+D4799*0.25</f>
        <v>0.5</v>
      </c>
      <c r="I4799" s="0" t="n">
        <f aca="false">1</f>
        <v>1</v>
      </c>
      <c r="J4799" s="0" t="n">
        <f aca="false">E4799</f>
        <v>0.5</v>
      </c>
      <c r="K4799" s="0" t="n">
        <f aca="false">F4799</f>
        <v>0.25</v>
      </c>
      <c r="L4799" s="0" t="n">
        <f aca="false">G4799</f>
        <v>-0.75</v>
      </c>
      <c r="M4799" s="0" t="n">
        <f aca="false">H4799</f>
        <v>0.5</v>
      </c>
      <c r="N4799" s="0" t="n">
        <f aca="false">E4799*F4799</f>
        <v>0.125</v>
      </c>
      <c r="O4799" s="0" t="n">
        <f aca="false">E4799*G4799</f>
        <v>-0.375</v>
      </c>
      <c r="P4799" s="0" t="n">
        <f aca="false">E4799*H4799</f>
        <v>0.25</v>
      </c>
      <c r="Q4799" s="0" t="n">
        <f aca="false">F4799*G4799</f>
        <v>-0.1875</v>
      </c>
      <c r="R4799" s="0" t="n">
        <f aca="false">F4799*H4799</f>
        <v>0.125</v>
      </c>
      <c r="S4799" s="0" t="n">
        <f aca="false">G4799*H4799</f>
        <v>-0.375</v>
      </c>
      <c r="T4799" s="0" t="n">
        <f aca="false">E4799*E4799</f>
        <v>0.25</v>
      </c>
      <c r="U4799" s="0" t="n">
        <f aca="false">F4799*F4799</f>
        <v>0.0625</v>
      </c>
      <c r="V4799" s="0" t="n">
        <f aca="false">G4799*G4799</f>
        <v>0.5625</v>
      </c>
      <c r="W4799" s="0" t="n">
        <f aca="false">H4799*H4799</f>
        <v>0.25</v>
      </c>
      <c r="X4799" s="0" t="n">
        <f aca="false">SUMPRODUCT(I4799:W4799,_XtX!$B$96:$P$96)</f>
        <v>47.835704495614</v>
      </c>
      <c r="Y4799" s="0" t="n">
        <f aca="false">SUMPRODUCT(MMULT(I4799:W4799,_XtX!$B$78:$P$92),I4799:W4799)</f>
        <v>0.203746059484649</v>
      </c>
      <c r="Z4799" s="0" t="n">
        <f aca="false">04_回帰ANOVA!$K$19*04_回帰ANOVA!$K$14*SQRT(1+Y4799)</f>
        <v>1.43009810755465</v>
      </c>
      <c r="AA4799" s="0" t="n">
        <f aca="false">X4799-Z4799</f>
        <v>46.4056063880594</v>
      </c>
      <c r="AB4799" s="0" t="n">
        <f aca="false">X4799+Z4799</f>
        <v>49.2658026031687</v>
      </c>
      <c r="AC4799" s="54" t="b">
        <f aca="false">AND(E4799&gt;=01_因子設定!$L$5-0.000000001,E4799&lt;=01_因子設定!$M$5+0.000000001,F4799&gt;=01_因子設定!$L$6-0.000000001,F4799&lt;=01_因子設定!$M$6+0.000000001,G4799&gt;=01_因子設定!$L$7-0.000000001,G4799&lt;=01_因子設定!$M$7+0.000000001,H4799&gt;=01_因子設定!$L$8-0.000000001,H4799&lt;=01_因子設定!$M$8+0.000000001,IF(01_因子設定!$B$20="Box-Behnken",E4799^2+F4799^2+G4799^2+H4799^2&lt;=2+0.000000001,TRUE()))</f>
        <v>1</v>
      </c>
      <c r="AD4799" s="55" t="n">
        <f aca="false">IF(AC4799,IF(01_因子設定!$B$13="最大化",AA4799-01_因子設定!$B$14,IF(01_因子設定!$B$13="最小化",01_因子設定!$B$15-AB4799,MIN(AA4799-01_因子設定!$B$14,01_因子設定!$B$15-AB4799))),-1E+030)</f>
        <v>-0.0943936119406459</v>
      </c>
      <c r="AE4799" s="55" t="n">
        <f aca="false">IF(AC4799,IF(01_因子設定!$B$13="最大化",X4799,IF(01_因子設定!$B$13="最小化",-X4799,-ABS(X4799-01_因子設定!$B$16))),-1E+030)</f>
        <v>47.835704495614</v>
      </c>
      <c r="AF4799" s="55" t="n">
        <f aca="false">AD4799+ROW()*0.000000001</f>
        <v>-0.0943888129406459</v>
      </c>
      <c r="AG4799" s="55" t="n">
        <f aca="false">AE4799+ROW()*0.000000001</f>
        <v>47.835709294614</v>
      </c>
    </row>
    <row r="4800" customFormat="false" ht="15" hidden="false" customHeight="false" outlineLevel="0" collapsed="false">
      <c r="A4800" s="0" t="n">
        <v>6</v>
      </c>
      <c r="B4800" s="0" t="n">
        <v>5</v>
      </c>
      <c r="C4800" s="0" t="n">
        <v>1</v>
      </c>
      <c r="D4800" s="0" t="n">
        <v>7</v>
      </c>
      <c r="E4800" s="0" t="n">
        <f aca="false">-1+A4800*0.25</f>
        <v>0.5</v>
      </c>
      <c r="F4800" s="0" t="n">
        <f aca="false">-1+B4800*0.25</f>
        <v>0.25</v>
      </c>
      <c r="G4800" s="0" t="n">
        <f aca="false">-1+C4800*0.25</f>
        <v>-0.75</v>
      </c>
      <c r="H4800" s="0" t="n">
        <f aca="false">-1+D4800*0.25</f>
        <v>0.75</v>
      </c>
      <c r="I4800" s="0" t="n">
        <f aca="false">1</f>
        <v>1</v>
      </c>
      <c r="J4800" s="0" t="n">
        <f aca="false">E4800</f>
        <v>0.5</v>
      </c>
      <c r="K4800" s="0" t="n">
        <f aca="false">F4800</f>
        <v>0.25</v>
      </c>
      <c r="L4800" s="0" t="n">
        <f aca="false">G4800</f>
        <v>-0.75</v>
      </c>
      <c r="M4800" s="0" t="n">
        <f aca="false">H4800</f>
        <v>0.75</v>
      </c>
      <c r="N4800" s="0" t="n">
        <f aca="false">E4800*F4800</f>
        <v>0.125</v>
      </c>
      <c r="O4800" s="0" t="n">
        <f aca="false">E4800*G4800</f>
        <v>-0.375</v>
      </c>
      <c r="P4800" s="0" t="n">
        <f aca="false">E4800*H4800</f>
        <v>0.375</v>
      </c>
      <c r="Q4800" s="0" t="n">
        <f aca="false">F4800*G4800</f>
        <v>-0.1875</v>
      </c>
      <c r="R4800" s="0" t="n">
        <f aca="false">F4800*H4800</f>
        <v>0.1875</v>
      </c>
      <c r="S4800" s="0" t="n">
        <f aca="false">G4800*H4800</f>
        <v>-0.5625</v>
      </c>
      <c r="T4800" s="0" t="n">
        <f aca="false">E4800*E4800</f>
        <v>0.25</v>
      </c>
      <c r="U4800" s="0" t="n">
        <f aca="false">F4800*F4800</f>
        <v>0.0625</v>
      </c>
      <c r="V4800" s="0" t="n">
        <f aca="false">G4800*G4800</f>
        <v>0.5625</v>
      </c>
      <c r="W4800" s="0" t="n">
        <f aca="false">H4800*H4800</f>
        <v>0.5625</v>
      </c>
      <c r="X4800" s="0" t="n">
        <f aca="false">SUMPRODUCT(I4800:W4800,_XtX!$B$96:$P$96)</f>
        <v>47.7660133406433</v>
      </c>
      <c r="Y4800" s="0" t="n">
        <f aca="false">SUMPRODUCT(MMULT(I4800:W4800,_XtX!$B$78:$P$92),I4800:W4800)</f>
        <v>0.257385610836988</v>
      </c>
      <c r="Z4800" s="0" t="n">
        <f aca="false">04_回帰ANOVA!$K$19*04_回帰ANOVA!$K$14*SQRT(1+Y4800)</f>
        <v>1.46161380324158</v>
      </c>
      <c r="AA4800" s="0" t="n">
        <f aca="false">X4800-Z4800</f>
        <v>46.3043995374017</v>
      </c>
      <c r="AB4800" s="0" t="n">
        <f aca="false">X4800+Z4800</f>
        <v>49.2276271438848</v>
      </c>
      <c r="AC4800" s="54" t="b">
        <f aca="false">AND(E4800&gt;=01_因子設定!$L$5-0.000000001,E4800&lt;=01_因子設定!$M$5+0.000000001,F4800&gt;=01_因子設定!$L$6-0.000000001,F4800&lt;=01_因子設定!$M$6+0.000000001,G4800&gt;=01_因子設定!$L$7-0.000000001,G4800&lt;=01_因子設定!$M$7+0.000000001,H4800&gt;=01_因子設定!$L$8-0.000000001,H4800&lt;=01_因子設定!$M$8+0.000000001,IF(01_因子設定!$B$20="Box-Behnken",E4800^2+F4800^2+G4800^2+H4800^2&lt;=2+0.000000001,TRUE()))</f>
        <v>1</v>
      </c>
      <c r="AD4800" s="55" t="n">
        <f aca="false">IF(AC4800,IF(01_因子設定!$B$13="最大化",AA4800-01_因子設定!$B$14,IF(01_因子設定!$B$13="最小化",01_因子設定!$B$15-AB4800,MIN(AA4800-01_因子設定!$B$14,01_因子設定!$B$15-AB4800))),-1E+030)</f>
        <v>-0.195600462598328</v>
      </c>
      <c r="AE4800" s="55" t="n">
        <f aca="false">IF(AC4800,IF(01_因子設定!$B$13="最大化",X4800,IF(01_因子設定!$B$13="最小化",-X4800,-ABS(X4800-01_因子設定!$B$16))),-1E+030)</f>
        <v>47.7660133406433</v>
      </c>
      <c r="AF4800" s="55" t="n">
        <f aca="false">AD4800+ROW()*0.000000001</f>
        <v>-0.195595662598328</v>
      </c>
      <c r="AG4800" s="55" t="n">
        <f aca="false">AE4800+ROW()*0.000000001</f>
        <v>47.7660181406433</v>
      </c>
    </row>
    <row r="4801" customFormat="false" ht="15" hidden="false" customHeight="false" outlineLevel="0" collapsed="false">
      <c r="A4801" s="0" t="n">
        <v>6</v>
      </c>
      <c r="B4801" s="0" t="n">
        <v>5</v>
      </c>
      <c r="C4801" s="0" t="n">
        <v>1</v>
      </c>
      <c r="D4801" s="0" t="n">
        <v>8</v>
      </c>
      <c r="E4801" s="0" t="n">
        <f aca="false">-1+A4801*0.25</f>
        <v>0.5</v>
      </c>
      <c r="F4801" s="0" t="n">
        <f aca="false">-1+B4801*0.25</f>
        <v>0.25</v>
      </c>
      <c r="G4801" s="0" t="n">
        <f aca="false">-1+C4801*0.25</f>
        <v>-0.75</v>
      </c>
      <c r="H4801" s="0" t="n">
        <f aca="false">-1+D4801*0.25</f>
        <v>1</v>
      </c>
      <c r="I4801" s="0" t="n">
        <f aca="false">1</f>
        <v>1</v>
      </c>
      <c r="J4801" s="0" t="n">
        <f aca="false">E4801</f>
        <v>0.5</v>
      </c>
      <c r="K4801" s="0" t="n">
        <f aca="false">F4801</f>
        <v>0.25</v>
      </c>
      <c r="L4801" s="0" t="n">
        <f aca="false">G4801</f>
        <v>-0.75</v>
      </c>
      <c r="M4801" s="0" t="n">
        <f aca="false">H4801</f>
        <v>1</v>
      </c>
      <c r="N4801" s="0" t="n">
        <f aca="false">E4801*F4801</f>
        <v>0.125</v>
      </c>
      <c r="O4801" s="0" t="n">
        <f aca="false">E4801*G4801</f>
        <v>-0.375</v>
      </c>
      <c r="P4801" s="0" t="n">
        <f aca="false">E4801*H4801</f>
        <v>0.5</v>
      </c>
      <c r="Q4801" s="0" t="n">
        <f aca="false">F4801*G4801</f>
        <v>-0.1875</v>
      </c>
      <c r="R4801" s="0" t="n">
        <f aca="false">F4801*H4801</f>
        <v>0.25</v>
      </c>
      <c r="S4801" s="0" t="n">
        <f aca="false">G4801*H4801</f>
        <v>-0.75</v>
      </c>
      <c r="T4801" s="0" t="n">
        <f aca="false">E4801*E4801</f>
        <v>0.25</v>
      </c>
      <c r="U4801" s="0" t="n">
        <f aca="false">F4801*F4801</f>
        <v>0.0625</v>
      </c>
      <c r="V4801" s="0" t="n">
        <f aca="false">G4801*G4801</f>
        <v>0.5625</v>
      </c>
      <c r="W4801" s="0" t="n">
        <f aca="false">H4801*H4801</f>
        <v>1</v>
      </c>
      <c r="X4801" s="0" t="n">
        <f aca="false">SUMPRODUCT(I4801:W4801,_XtX!$B$96:$P$96)</f>
        <v>47.6485151681287</v>
      </c>
      <c r="Y4801" s="0" t="n">
        <f aca="false">SUMPRODUCT(MMULT(I4801:W4801,_XtX!$B$78:$P$92),I4801:W4801)</f>
        <v>0.459125719572369</v>
      </c>
      <c r="Z4801" s="0" t="n">
        <f aca="false">04_回帰ANOVA!$K$19*04_回帰ANOVA!$K$14*SQRT(1+Y4801)</f>
        <v>1.57450755575573</v>
      </c>
      <c r="AA4801" s="0" t="n">
        <f aca="false">X4801-Z4801</f>
        <v>46.0740076123729</v>
      </c>
      <c r="AB4801" s="0" t="n">
        <f aca="false">X4801+Z4801</f>
        <v>49.2230227238844</v>
      </c>
      <c r="AC4801" s="54" t="b">
        <f aca="false">AND(E4801&gt;=01_因子設定!$L$5-0.000000001,E4801&lt;=01_因子設定!$M$5+0.000000001,F4801&gt;=01_因子設定!$L$6-0.000000001,F4801&lt;=01_因子設定!$M$6+0.000000001,G4801&gt;=01_因子設定!$L$7-0.000000001,G4801&lt;=01_因子設定!$M$7+0.000000001,H4801&gt;=01_因子設定!$L$8-0.000000001,H4801&lt;=01_因子設定!$M$8+0.000000001,IF(01_因子設定!$B$20="Box-Behnken",E4801^2+F4801^2+G4801^2+H4801^2&lt;=2+0.000000001,TRUE()))</f>
        <v>1</v>
      </c>
      <c r="AD4801" s="55" t="n">
        <f aca="false">IF(AC4801,IF(01_因子設定!$B$13="最大化",AA4801-01_因子設定!$B$14,IF(01_因子設定!$B$13="最小化",01_因子設定!$B$15-AB4801,MIN(AA4801-01_因子設定!$B$14,01_因子設定!$B$15-AB4801))),-1E+030)</f>
        <v>-0.425992387627083</v>
      </c>
      <c r="AE4801" s="55" t="n">
        <f aca="false">IF(AC4801,IF(01_因子設定!$B$13="最大化",X4801,IF(01_因子設定!$B$13="最小化",-X4801,-ABS(X4801-01_因子設定!$B$16))),-1E+030)</f>
        <v>47.6485151681287</v>
      </c>
      <c r="AF4801" s="55" t="n">
        <f aca="false">AD4801+ROW()*0.000000001</f>
        <v>-0.425987586627083</v>
      </c>
      <c r="AG4801" s="55" t="n">
        <f aca="false">AE4801+ROW()*0.000000001</f>
        <v>47.6485199691287</v>
      </c>
    </row>
    <row r="4802" customFormat="false" ht="15" hidden="false" customHeight="false" outlineLevel="0" collapsed="false">
      <c r="A4802" s="0" t="n">
        <v>6</v>
      </c>
      <c r="B4802" s="0" t="n">
        <v>5</v>
      </c>
      <c r="C4802" s="0" t="n">
        <v>2</v>
      </c>
      <c r="D4802" s="0" t="n">
        <v>0</v>
      </c>
      <c r="E4802" s="0" t="n">
        <f aca="false">-1+A4802*0.25</f>
        <v>0.5</v>
      </c>
      <c r="F4802" s="0" t="n">
        <f aca="false">-1+B4802*0.25</f>
        <v>0.25</v>
      </c>
      <c r="G4802" s="0" t="n">
        <f aca="false">-1+C4802*0.25</f>
        <v>-0.5</v>
      </c>
      <c r="H4802" s="0" t="n">
        <f aca="false">-1+D4802*0.25</f>
        <v>-1</v>
      </c>
      <c r="I4802" s="0" t="n">
        <f aca="false">1</f>
        <v>1</v>
      </c>
      <c r="J4802" s="0" t="n">
        <f aca="false">E4802</f>
        <v>0.5</v>
      </c>
      <c r="K4802" s="0" t="n">
        <f aca="false">F4802</f>
        <v>0.25</v>
      </c>
      <c r="L4802" s="0" t="n">
        <f aca="false">G4802</f>
        <v>-0.5</v>
      </c>
      <c r="M4802" s="0" t="n">
        <f aca="false">H4802</f>
        <v>-1</v>
      </c>
      <c r="N4802" s="0" t="n">
        <f aca="false">E4802*F4802</f>
        <v>0.125</v>
      </c>
      <c r="O4802" s="0" t="n">
        <f aca="false">E4802*G4802</f>
        <v>-0.25</v>
      </c>
      <c r="P4802" s="0" t="n">
        <f aca="false">E4802*H4802</f>
        <v>-0.5</v>
      </c>
      <c r="Q4802" s="0" t="n">
        <f aca="false">F4802*G4802</f>
        <v>-0.125</v>
      </c>
      <c r="R4802" s="0" t="n">
        <f aca="false">F4802*H4802</f>
        <v>-0.25</v>
      </c>
      <c r="S4802" s="0" t="n">
        <f aca="false">G4802*H4802</f>
        <v>0.5</v>
      </c>
      <c r="T4802" s="0" t="n">
        <f aca="false">E4802*E4802</f>
        <v>0.25</v>
      </c>
      <c r="U4802" s="0" t="n">
        <f aca="false">F4802*F4802</f>
        <v>0.0625</v>
      </c>
      <c r="V4802" s="0" t="n">
        <f aca="false">G4802*G4802</f>
        <v>0.25</v>
      </c>
      <c r="W4802" s="0" t="n">
        <f aca="false">H4802*H4802</f>
        <v>1</v>
      </c>
      <c r="X4802" s="0" t="n">
        <f aca="false">SUMPRODUCT(I4802:W4802,_XtX!$B$96:$P$96)</f>
        <v>47.5754111842105</v>
      </c>
      <c r="Y4802" s="0" t="n">
        <f aca="false">SUMPRODUCT(MMULT(I4802:W4802,_XtX!$B$78:$P$92),I4802:W4802)</f>
        <v>0.428122715643275</v>
      </c>
      <c r="Z4802" s="0" t="n">
        <f aca="false">04_回帰ANOVA!$K$19*04_回帰ANOVA!$K$14*SQRT(1+Y4802)</f>
        <v>1.55769044623229</v>
      </c>
      <c r="AA4802" s="0" t="n">
        <f aca="false">X4802-Z4802</f>
        <v>46.0177207379782</v>
      </c>
      <c r="AB4802" s="0" t="n">
        <f aca="false">X4802+Z4802</f>
        <v>49.1331016304428</v>
      </c>
      <c r="AC4802" s="54" t="b">
        <f aca="false">AND(E4802&gt;=01_因子設定!$L$5-0.000000001,E4802&lt;=01_因子設定!$M$5+0.000000001,F4802&gt;=01_因子設定!$L$6-0.000000001,F4802&lt;=01_因子設定!$M$6+0.000000001,G4802&gt;=01_因子設定!$L$7-0.000000001,G4802&lt;=01_因子設定!$M$7+0.000000001,H4802&gt;=01_因子設定!$L$8-0.000000001,H4802&lt;=01_因子設定!$M$8+0.000000001,IF(01_因子設定!$B$20="Box-Behnken",E4802^2+F4802^2+G4802^2+H4802^2&lt;=2+0.000000001,TRUE()))</f>
        <v>1</v>
      </c>
      <c r="AD4802" s="55" t="n">
        <f aca="false">IF(AC4802,IF(01_因子設定!$B$13="最大化",AA4802-01_因子設定!$B$14,IF(01_因子設定!$B$13="最小化",01_因子設定!$B$15-AB4802,MIN(AA4802-01_因子設定!$B$14,01_因子設定!$B$15-AB4802))),-1E+030)</f>
        <v>-0.48227926202177</v>
      </c>
      <c r="AE4802" s="55" t="n">
        <f aca="false">IF(AC4802,IF(01_因子設定!$B$13="最大化",X4802,IF(01_因子設定!$B$13="最小化",-X4802,-ABS(X4802-01_因子設定!$B$16))),-1E+030)</f>
        <v>47.5754111842105</v>
      </c>
      <c r="AF4802" s="55" t="n">
        <f aca="false">AD4802+ROW()*0.000000001</f>
        <v>-0.48227446002177</v>
      </c>
      <c r="AG4802" s="55" t="n">
        <f aca="false">AE4802+ROW()*0.000000001</f>
        <v>47.5754159862105</v>
      </c>
    </row>
    <row r="4803" customFormat="false" ht="15" hidden="false" customHeight="false" outlineLevel="0" collapsed="false">
      <c r="A4803" s="0" t="n">
        <v>6</v>
      </c>
      <c r="B4803" s="0" t="n">
        <v>5</v>
      </c>
      <c r="C4803" s="0" t="n">
        <v>2</v>
      </c>
      <c r="D4803" s="0" t="n">
        <v>1</v>
      </c>
      <c r="E4803" s="0" t="n">
        <f aca="false">-1+A4803*0.25</f>
        <v>0.5</v>
      </c>
      <c r="F4803" s="0" t="n">
        <f aca="false">-1+B4803*0.25</f>
        <v>0.25</v>
      </c>
      <c r="G4803" s="0" t="n">
        <f aca="false">-1+C4803*0.25</f>
        <v>-0.5</v>
      </c>
      <c r="H4803" s="0" t="n">
        <f aca="false">-1+D4803*0.25</f>
        <v>-0.75</v>
      </c>
      <c r="I4803" s="0" t="n">
        <f aca="false">1</f>
        <v>1</v>
      </c>
      <c r="J4803" s="0" t="n">
        <f aca="false">E4803</f>
        <v>0.5</v>
      </c>
      <c r="K4803" s="0" t="n">
        <f aca="false">F4803</f>
        <v>0.25</v>
      </c>
      <c r="L4803" s="0" t="n">
        <f aca="false">G4803</f>
        <v>-0.5</v>
      </c>
      <c r="M4803" s="0" t="n">
        <f aca="false">H4803</f>
        <v>-0.75</v>
      </c>
      <c r="N4803" s="0" t="n">
        <f aca="false">E4803*F4803</f>
        <v>0.125</v>
      </c>
      <c r="O4803" s="0" t="n">
        <f aca="false">E4803*G4803</f>
        <v>-0.25</v>
      </c>
      <c r="P4803" s="0" t="n">
        <f aca="false">E4803*H4803</f>
        <v>-0.375</v>
      </c>
      <c r="Q4803" s="0" t="n">
        <f aca="false">F4803*G4803</f>
        <v>-0.125</v>
      </c>
      <c r="R4803" s="0" t="n">
        <f aca="false">F4803*H4803</f>
        <v>-0.1875</v>
      </c>
      <c r="S4803" s="0" t="n">
        <f aca="false">G4803*H4803</f>
        <v>0.375</v>
      </c>
      <c r="T4803" s="0" t="n">
        <f aca="false">E4803*E4803</f>
        <v>0.25</v>
      </c>
      <c r="U4803" s="0" t="n">
        <f aca="false">F4803*F4803</f>
        <v>0.0625</v>
      </c>
      <c r="V4803" s="0" t="n">
        <f aca="false">G4803*G4803</f>
        <v>0.25</v>
      </c>
      <c r="W4803" s="0" t="n">
        <f aca="false">H4803*H4803</f>
        <v>0.5625</v>
      </c>
      <c r="X4803" s="0" t="n">
        <f aca="false">SUMPRODUCT(I4803:W4803,_XtX!$B$96:$P$96)</f>
        <v>47.8105308845029</v>
      </c>
      <c r="Y4803" s="0" t="n">
        <f aca="false">SUMPRODUCT(MMULT(I4803:W4803,_XtX!$B$78:$P$92),I4803:W4803)</f>
        <v>0.203746059484649</v>
      </c>
      <c r="Z4803" s="0" t="n">
        <f aca="false">04_回帰ANOVA!$K$19*04_回帰ANOVA!$K$14*SQRT(1+Y4803)</f>
        <v>1.43009810755465</v>
      </c>
      <c r="AA4803" s="0" t="n">
        <f aca="false">X4803-Z4803</f>
        <v>46.3804327769483</v>
      </c>
      <c r="AB4803" s="0" t="n">
        <f aca="false">X4803+Z4803</f>
        <v>49.2406289920576</v>
      </c>
      <c r="AC4803" s="54" t="b">
        <f aca="false">AND(E4803&gt;=01_因子設定!$L$5-0.000000001,E4803&lt;=01_因子設定!$M$5+0.000000001,F4803&gt;=01_因子設定!$L$6-0.000000001,F4803&lt;=01_因子設定!$M$6+0.000000001,G4803&gt;=01_因子設定!$L$7-0.000000001,G4803&lt;=01_因子設定!$M$7+0.000000001,H4803&gt;=01_因子設定!$L$8-0.000000001,H4803&lt;=01_因子設定!$M$8+0.000000001,IF(01_因子設定!$B$20="Box-Behnken",E4803^2+F4803^2+G4803^2+H4803^2&lt;=2+0.000000001,TRUE()))</f>
        <v>1</v>
      </c>
      <c r="AD4803" s="55" t="n">
        <f aca="false">IF(AC4803,IF(01_因子設定!$B$13="最大化",AA4803-01_因子設定!$B$14,IF(01_因子設定!$B$13="最小化",01_因子設定!$B$15-AB4803,MIN(AA4803-01_因子設定!$B$14,01_因子設定!$B$15-AB4803))),-1E+030)</f>
        <v>-0.119567223051746</v>
      </c>
      <c r="AE4803" s="55" t="n">
        <f aca="false">IF(AC4803,IF(01_因子設定!$B$13="最大化",X4803,IF(01_因子設定!$B$13="最小化",-X4803,-ABS(X4803-01_因子設定!$B$16))),-1E+030)</f>
        <v>47.8105308845029</v>
      </c>
      <c r="AF4803" s="55" t="n">
        <f aca="false">AD4803+ROW()*0.000000001</f>
        <v>-0.119562420051746</v>
      </c>
      <c r="AG4803" s="55" t="n">
        <f aca="false">AE4803+ROW()*0.000000001</f>
        <v>47.8105356875029</v>
      </c>
    </row>
    <row r="4804" customFormat="false" ht="15" hidden="false" customHeight="false" outlineLevel="0" collapsed="false">
      <c r="A4804" s="0" t="n">
        <v>6</v>
      </c>
      <c r="B4804" s="0" t="n">
        <v>5</v>
      </c>
      <c r="C4804" s="0" t="n">
        <v>2</v>
      </c>
      <c r="D4804" s="0" t="n">
        <v>2</v>
      </c>
      <c r="E4804" s="0" t="n">
        <f aca="false">-1+A4804*0.25</f>
        <v>0.5</v>
      </c>
      <c r="F4804" s="0" t="n">
        <f aca="false">-1+B4804*0.25</f>
        <v>0.25</v>
      </c>
      <c r="G4804" s="0" t="n">
        <f aca="false">-1+C4804*0.25</f>
        <v>-0.5</v>
      </c>
      <c r="H4804" s="0" t="n">
        <f aca="false">-1+D4804*0.25</f>
        <v>-0.5</v>
      </c>
      <c r="I4804" s="0" t="n">
        <f aca="false">1</f>
        <v>1</v>
      </c>
      <c r="J4804" s="0" t="n">
        <f aca="false">E4804</f>
        <v>0.5</v>
      </c>
      <c r="K4804" s="0" t="n">
        <f aca="false">F4804</f>
        <v>0.25</v>
      </c>
      <c r="L4804" s="0" t="n">
        <f aca="false">G4804</f>
        <v>-0.5</v>
      </c>
      <c r="M4804" s="0" t="n">
        <f aca="false">H4804</f>
        <v>-0.5</v>
      </c>
      <c r="N4804" s="0" t="n">
        <f aca="false">E4804*F4804</f>
        <v>0.125</v>
      </c>
      <c r="O4804" s="0" t="n">
        <f aca="false">E4804*G4804</f>
        <v>-0.25</v>
      </c>
      <c r="P4804" s="0" t="n">
        <f aca="false">E4804*H4804</f>
        <v>-0.25</v>
      </c>
      <c r="Q4804" s="0" t="n">
        <f aca="false">F4804*G4804</f>
        <v>-0.125</v>
      </c>
      <c r="R4804" s="0" t="n">
        <f aca="false">F4804*H4804</f>
        <v>-0.125</v>
      </c>
      <c r="S4804" s="0" t="n">
        <f aca="false">G4804*H4804</f>
        <v>0.25</v>
      </c>
      <c r="T4804" s="0" t="n">
        <f aca="false">E4804*E4804</f>
        <v>0.25</v>
      </c>
      <c r="U4804" s="0" t="n">
        <f aca="false">F4804*F4804</f>
        <v>0.0625</v>
      </c>
      <c r="V4804" s="0" t="n">
        <f aca="false">G4804*G4804</f>
        <v>0.25</v>
      </c>
      <c r="W4804" s="0" t="n">
        <f aca="false">H4804*H4804</f>
        <v>0.25</v>
      </c>
      <c r="X4804" s="0" t="n">
        <f aca="false">SUMPRODUCT(I4804:W4804,_XtX!$B$96:$P$96)</f>
        <v>47.9978435672514</v>
      </c>
      <c r="Y4804" s="0" t="n">
        <f aca="false">SUMPRODUCT(MMULT(I4804:W4804,_XtX!$B$78:$P$92),I4804:W4804)</f>
        <v>0.133937545687135</v>
      </c>
      <c r="Z4804" s="0" t="n">
        <f aca="false">04_回帰ANOVA!$K$19*04_回帰ANOVA!$K$14*SQRT(1+Y4804)</f>
        <v>1.38801116780825</v>
      </c>
      <c r="AA4804" s="0" t="n">
        <f aca="false">X4804-Z4804</f>
        <v>46.6098323994432</v>
      </c>
      <c r="AB4804" s="0" t="n">
        <f aca="false">X4804+Z4804</f>
        <v>49.3858547350597</v>
      </c>
      <c r="AC4804" s="54" t="b">
        <f aca="false">AND(E4804&gt;=01_因子設定!$L$5-0.000000001,E4804&lt;=01_因子設定!$M$5+0.000000001,F4804&gt;=01_因子設定!$L$6-0.000000001,F4804&lt;=01_因子設定!$M$6+0.000000001,G4804&gt;=01_因子設定!$L$7-0.000000001,G4804&lt;=01_因子設定!$M$7+0.000000001,H4804&gt;=01_因子設定!$L$8-0.000000001,H4804&lt;=01_因子設定!$M$8+0.000000001,IF(01_因子設定!$B$20="Box-Behnken",E4804^2+F4804^2+G4804^2+H4804^2&lt;=2+0.000000001,TRUE()))</f>
        <v>1</v>
      </c>
      <c r="AD4804" s="55" t="n">
        <f aca="false">IF(AC4804,IF(01_因子設定!$B$13="最大化",AA4804-01_因子設定!$B$14,IF(01_因子設定!$B$13="最小化",01_因子設定!$B$15-AB4804,MIN(AA4804-01_因子設定!$B$14,01_因子設定!$B$15-AB4804))),-1E+030)</f>
        <v>0.109832399443178</v>
      </c>
      <c r="AE4804" s="55" t="n">
        <f aca="false">IF(AC4804,IF(01_因子設定!$B$13="最大化",X4804,IF(01_因子設定!$B$13="最小化",-X4804,-ABS(X4804-01_因子設定!$B$16))),-1E+030)</f>
        <v>47.9978435672514</v>
      </c>
      <c r="AF4804" s="55" t="n">
        <f aca="false">AD4804+ROW()*0.000000001</f>
        <v>0.109837203443178</v>
      </c>
      <c r="AG4804" s="55" t="n">
        <f aca="false">AE4804+ROW()*0.000000001</f>
        <v>47.9978483712514</v>
      </c>
    </row>
    <row r="4805" customFormat="false" ht="15" hidden="false" customHeight="false" outlineLevel="0" collapsed="false">
      <c r="A4805" s="0" t="n">
        <v>6</v>
      </c>
      <c r="B4805" s="0" t="n">
        <v>5</v>
      </c>
      <c r="C4805" s="0" t="n">
        <v>2</v>
      </c>
      <c r="D4805" s="0" t="n">
        <v>3</v>
      </c>
      <c r="E4805" s="0" t="n">
        <f aca="false">-1+A4805*0.25</f>
        <v>0.5</v>
      </c>
      <c r="F4805" s="0" t="n">
        <f aca="false">-1+B4805*0.25</f>
        <v>0.25</v>
      </c>
      <c r="G4805" s="0" t="n">
        <f aca="false">-1+C4805*0.25</f>
        <v>-0.5</v>
      </c>
      <c r="H4805" s="0" t="n">
        <f aca="false">-1+D4805*0.25</f>
        <v>-0.25</v>
      </c>
      <c r="I4805" s="0" t="n">
        <f aca="false">1</f>
        <v>1</v>
      </c>
      <c r="J4805" s="0" t="n">
        <f aca="false">E4805</f>
        <v>0.5</v>
      </c>
      <c r="K4805" s="0" t="n">
        <f aca="false">F4805</f>
        <v>0.25</v>
      </c>
      <c r="L4805" s="0" t="n">
        <f aca="false">G4805</f>
        <v>-0.5</v>
      </c>
      <c r="M4805" s="0" t="n">
        <f aca="false">H4805</f>
        <v>-0.25</v>
      </c>
      <c r="N4805" s="0" t="n">
        <f aca="false">E4805*F4805</f>
        <v>0.125</v>
      </c>
      <c r="O4805" s="0" t="n">
        <f aca="false">E4805*G4805</f>
        <v>-0.25</v>
      </c>
      <c r="P4805" s="0" t="n">
        <f aca="false">E4805*H4805</f>
        <v>-0.125</v>
      </c>
      <c r="Q4805" s="0" t="n">
        <f aca="false">F4805*G4805</f>
        <v>-0.125</v>
      </c>
      <c r="R4805" s="0" t="n">
        <f aca="false">F4805*H4805</f>
        <v>-0.0625</v>
      </c>
      <c r="S4805" s="0" t="n">
        <f aca="false">G4805*H4805</f>
        <v>0.125</v>
      </c>
      <c r="T4805" s="0" t="n">
        <f aca="false">E4805*E4805</f>
        <v>0.25</v>
      </c>
      <c r="U4805" s="0" t="n">
        <f aca="false">F4805*F4805</f>
        <v>0.0625</v>
      </c>
      <c r="V4805" s="0" t="n">
        <f aca="false">G4805*G4805</f>
        <v>0.25</v>
      </c>
      <c r="W4805" s="0" t="n">
        <f aca="false">H4805*H4805</f>
        <v>0.0625</v>
      </c>
      <c r="X4805" s="0" t="n">
        <f aca="false">SUMPRODUCT(I4805:W4805,_XtX!$B$96:$P$96)</f>
        <v>48.1373492324561</v>
      </c>
      <c r="Y4805" s="0" t="n">
        <f aca="false">SUMPRODUCT(MMULT(I4805:W4805,_XtX!$B$78:$P$92),I4805:W4805)</f>
        <v>0.128236647934942</v>
      </c>
      <c r="Z4805" s="0" t="n">
        <f aca="false">04_回帰ANOVA!$K$19*04_回帰ANOVA!$K$14*SQRT(1+Y4805)</f>
        <v>1.38451764188989</v>
      </c>
      <c r="AA4805" s="0" t="n">
        <f aca="false">X4805-Z4805</f>
        <v>46.7528315905662</v>
      </c>
      <c r="AB4805" s="0" t="n">
        <f aca="false">X4805+Z4805</f>
        <v>49.521866874346</v>
      </c>
      <c r="AC4805" s="54" t="b">
        <f aca="false">AND(E4805&gt;=01_因子設定!$L$5-0.000000001,E4805&lt;=01_因子設定!$M$5+0.000000001,F4805&gt;=01_因子設定!$L$6-0.000000001,F4805&lt;=01_因子設定!$M$6+0.000000001,G4805&gt;=01_因子設定!$L$7-0.000000001,G4805&lt;=01_因子設定!$M$7+0.000000001,H4805&gt;=01_因子設定!$L$8-0.000000001,H4805&lt;=01_因子設定!$M$8+0.000000001,IF(01_因子設定!$B$20="Box-Behnken",E4805^2+F4805^2+G4805^2+H4805^2&lt;=2+0.000000001,TRUE()))</f>
        <v>1</v>
      </c>
      <c r="AD4805" s="55" t="n">
        <f aca="false">IF(AC4805,IF(01_因子設定!$B$13="最大化",AA4805-01_因子設定!$B$14,IF(01_因子設定!$B$13="最小化",01_因子設定!$B$15-AB4805,MIN(AA4805-01_因子設定!$B$14,01_因子設定!$B$15-AB4805))),-1E+030)</f>
        <v>0.252831590566217</v>
      </c>
      <c r="AE4805" s="55" t="n">
        <f aca="false">IF(AC4805,IF(01_因子設定!$B$13="最大化",X4805,IF(01_因子設定!$B$13="最小化",-X4805,-ABS(X4805-01_因子設定!$B$16))),-1E+030)</f>
        <v>48.1373492324561</v>
      </c>
      <c r="AF4805" s="55" t="n">
        <f aca="false">AD4805+ROW()*0.000000001</f>
        <v>0.252836395566217</v>
      </c>
      <c r="AG4805" s="55" t="n">
        <f aca="false">AE4805+ROW()*0.000000001</f>
        <v>48.1373540374561</v>
      </c>
    </row>
    <row r="4806" customFormat="false" ht="15" hidden="false" customHeight="false" outlineLevel="0" collapsed="false">
      <c r="A4806" s="0" t="n">
        <v>6</v>
      </c>
      <c r="B4806" s="0" t="n">
        <v>5</v>
      </c>
      <c r="C4806" s="0" t="n">
        <v>2</v>
      </c>
      <c r="D4806" s="0" t="n">
        <v>4</v>
      </c>
      <c r="E4806" s="0" t="n">
        <f aca="false">-1+A4806*0.25</f>
        <v>0.5</v>
      </c>
      <c r="F4806" s="0" t="n">
        <f aca="false">-1+B4806*0.25</f>
        <v>0.25</v>
      </c>
      <c r="G4806" s="0" t="n">
        <f aca="false">-1+C4806*0.25</f>
        <v>-0.5</v>
      </c>
      <c r="H4806" s="0" t="n">
        <f aca="false">-1+D4806*0.25</f>
        <v>0</v>
      </c>
      <c r="I4806" s="0" t="n">
        <f aca="false">1</f>
        <v>1</v>
      </c>
      <c r="J4806" s="0" t="n">
        <f aca="false">E4806</f>
        <v>0.5</v>
      </c>
      <c r="K4806" s="0" t="n">
        <f aca="false">F4806</f>
        <v>0.25</v>
      </c>
      <c r="L4806" s="0" t="n">
        <f aca="false">G4806</f>
        <v>-0.5</v>
      </c>
      <c r="M4806" s="0" t="n">
        <f aca="false">H4806</f>
        <v>0</v>
      </c>
      <c r="N4806" s="0" t="n">
        <f aca="false">E4806*F4806</f>
        <v>0.125</v>
      </c>
      <c r="O4806" s="0" t="n">
        <f aca="false">E4806*G4806</f>
        <v>-0.25</v>
      </c>
      <c r="P4806" s="0" t="n">
        <f aca="false">E4806*H4806</f>
        <v>0</v>
      </c>
      <c r="Q4806" s="0" t="n">
        <f aca="false">F4806*G4806</f>
        <v>-0.125</v>
      </c>
      <c r="R4806" s="0" t="n">
        <f aca="false">F4806*H4806</f>
        <v>0</v>
      </c>
      <c r="S4806" s="0" t="n">
        <f aca="false">G4806*H4806</f>
        <v>-0</v>
      </c>
      <c r="T4806" s="0" t="n">
        <f aca="false">E4806*E4806</f>
        <v>0.25</v>
      </c>
      <c r="U4806" s="0" t="n">
        <f aca="false">F4806*F4806</f>
        <v>0.0625</v>
      </c>
      <c r="V4806" s="0" t="n">
        <f aca="false">G4806*G4806</f>
        <v>0.25</v>
      </c>
      <c r="W4806" s="0" t="n">
        <f aca="false">H4806*H4806</f>
        <v>0</v>
      </c>
      <c r="X4806" s="0" t="n">
        <f aca="false">SUMPRODUCT(I4806:W4806,_XtX!$B$96:$P$96)</f>
        <v>48.2290478801169</v>
      </c>
      <c r="Y4806" s="0" t="n">
        <f aca="false">SUMPRODUCT(MMULT(I4806:W4806,_XtX!$B$78:$P$92),I4806:W4806)</f>
        <v>0.132367050438597</v>
      </c>
      <c r="Z4806" s="0" t="n">
        <f aca="false">04_回帰ANOVA!$K$19*04_回帰ANOVA!$K$14*SQRT(1+Y4806)</f>
        <v>1.38704964208329</v>
      </c>
      <c r="AA4806" s="0" t="n">
        <f aca="false">X4806-Z4806</f>
        <v>46.8419982380336</v>
      </c>
      <c r="AB4806" s="0" t="n">
        <f aca="false">X4806+Z4806</f>
        <v>49.6160975222002</v>
      </c>
      <c r="AC4806" s="54" t="b">
        <f aca="false">AND(E4806&gt;=01_因子設定!$L$5-0.000000001,E4806&lt;=01_因子設定!$M$5+0.000000001,F4806&gt;=01_因子設定!$L$6-0.000000001,F4806&lt;=01_因子設定!$M$6+0.000000001,G4806&gt;=01_因子設定!$L$7-0.000000001,G4806&lt;=01_因子設定!$M$7+0.000000001,H4806&gt;=01_因子設定!$L$8-0.000000001,H4806&lt;=01_因子設定!$M$8+0.000000001,IF(01_因子設定!$B$20="Box-Behnken",E4806^2+F4806^2+G4806^2+H4806^2&lt;=2+0.000000001,TRUE()))</f>
        <v>1</v>
      </c>
      <c r="AD4806" s="55" t="n">
        <f aca="false">IF(AC4806,IF(01_因子設定!$B$13="最大化",AA4806-01_因子設定!$B$14,IF(01_因子設定!$B$13="最小化",01_因子設定!$B$15-AB4806,MIN(AA4806-01_因子設定!$B$14,01_因子設定!$B$15-AB4806))),-1E+030)</f>
        <v>0.341998238033625</v>
      </c>
      <c r="AE4806" s="55" t="n">
        <f aca="false">IF(AC4806,IF(01_因子設定!$B$13="最大化",X4806,IF(01_因子設定!$B$13="最小化",-X4806,-ABS(X4806-01_因子設定!$B$16))),-1E+030)</f>
        <v>48.2290478801169</v>
      </c>
      <c r="AF4806" s="55" t="n">
        <f aca="false">AD4806+ROW()*0.000000001</f>
        <v>0.342003044033625</v>
      </c>
      <c r="AG4806" s="55" t="n">
        <f aca="false">AE4806+ROW()*0.000000001</f>
        <v>48.2290526861169</v>
      </c>
    </row>
    <row r="4807" customFormat="false" ht="15" hidden="false" customHeight="false" outlineLevel="0" collapsed="false">
      <c r="A4807" s="0" t="n">
        <v>6</v>
      </c>
      <c r="B4807" s="0" t="n">
        <v>5</v>
      </c>
      <c r="C4807" s="0" t="n">
        <v>2</v>
      </c>
      <c r="D4807" s="0" t="n">
        <v>5</v>
      </c>
      <c r="E4807" s="0" t="n">
        <f aca="false">-1+A4807*0.25</f>
        <v>0.5</v>
      </c>
      <c r="F4807" s="0" t="n">
        <f aca="false">-1+B4807*0.25</f>
        <v>0.25</v>
      </c>
      <c r="G4807" s="0" t="n">
        <f aca="false">-1+C4807*0.25</f>
        <v>-0.5</v>
      </c>
      <c r="H4807" s="0" t="n">
        <f aca="false">-1+D4807*0.25</f>
        <v>0.25</v>
      </c>
      <c r="I4807" s="0" t="n">
        <f aca="false">1</f>
        <v>1</v>
      </c>
      <c r="J4807" s="0" t="n">
        <f aca="false">E4807</f>
        <v>0.5</v>
      </c>
      <c r="K4807" s="0" t="n">
        <f aca="false">F4807</f>
        <v>0.25</v>
      </c>
      <c r="L4807" s="0" t="n">
        <f aca="false">G4807</f>
        <v>-0.5</v>
      </c>
      <c r="M4807" s="0" t="n">
        <f aca="false">H4807</f>
        <v>0.25</v>
      </c>
      <c r="N4807" s="0" t="n">
        <f aca="false">E4807*F4807</f>
        <v>0.125</v>
      </c>
      <c r="O4807" s="0" t="n">
        <f aca="false">E4807*G4807</f>
        <v>-0.25</v>
      </c>
      <c r="P4807" s="0" t="n">
        <f aca="false">E4807*H4807</f>
        <v>0.125</v>
      </c>
      <c r="Q4807" s="0" t="n">
        <f aca="false">F4807*G4807</f>
        <v>-0.125</v>
      </c>
      <c r="R4807" s="0" t="n">
        <f aca="false">F4807*H4807</f>
        <v>0.0625</v>
      </c>
      <c r="S4807" s="0" t="n">
        <f aca="false">G4807*H4807</f>
        <v>-0.125</v>
      </c>
      <c r="T4807" s="0" t="n">
        <f aca="false">E4807*E4807</f>
        <v>0.25</v>
      </c>
      <c r="U4807" s="0" t="n">
        <f aca="false">F4807*F4807</f>
        <v>0.0625</v>
      </c>
      <c r="V4807" s="0" t="n">
        <f aca="false">G4807*G4807</f>
        <v>0.25</v>
      </c>
      <c r="W4807" s="0" t="n">
        <f aca="false">H4807*H4807</f>
        <v>0.0625</v>
      </c>
      <c r="X4807" s="0" t="n">
        <f aca="false">SUMPRODUCT(I4807:W4807,_XtX!$B$96:$P$96)</f>
        <v>48.2729395102339</v>
      </c>
      <c r="Y4807" s="0" t="n">
        <f aca="false">SUMPRODUCT(MMULT(I4807:W4807,_XtX!$B$78:$P$92),I4807:W4807)</f>
        <v>0.128236647934942</v>
      </c>
      <c r="Z4807" s="0" t="n">
        <f aca="false">04_回帰ANOVA!$K$19*04_回帰ANOVA!$K$14*SQRT(1+Y4807)</f>
        <v>1.38451764188989</v>
      </c>
      <c r="AA4807" s="0" t="n">
        <f aca="false">X4807-Z4807</f>
        <v>46.888421868344</v>
      </c>
      <c r="AB4807" s="0" t="n">
        <f aca="false">X4807+Z4807</f>
        <v>49.6574571521238</v>
      </c>
      <c r="AC4807" s="54" t="b">
        <f aca="false">AND(E4807&gt;=01_因子設定!$L$5-0.000000001,E4807&lt;=01_因子設定!$M$5+0.000000001,F4807&gt;=01_因子設定!$L$6-0.000000001,F4807&lt;=01_因子設定!$M$6+0.000000001,G4807&gt;=01_因子設定!$L$7-0.000000001,G4807&lt;=01_因子設定!$M$7+0.000000001,H4807&gt;=01_因子設定!$L$8-0.000000001,H4807&lt;=01_因子設定!$M$8+0.000000001,IF(01_因子設定!$B$20="Box-Behnken",E4807^2+F4807^2+G4807^2+H4807^2&lt;=2+0.000000001,TRUE()))</f>
        <v>1</v>
      </c>
      <c r="AD4807" s="55" t="n">
        <f aca="false">IF(AC4807,IF(01_因子設定!$B$13="最大化",AA4807-01_因子設定!$B$14,IF(01_因子設定!$B$13="最小化",01_因子設定!$B$15-AB4807,MIN(AA4807-01_因子設定!$B$14,01_因子設定!$B$15-AB4807))),-1E+030)</f>
        <v>0.38842186834399</v>
      </c>
      <c r="AE4807" s="55" t="n">
        <f aca="false">IF(AC4807,IF(01_因子設定!$B$13="最大化",X4807,IF(01_因子設定!$B$13="最小化",-X4807,-ABS(X4807-01_因子設定!$B$16))),-1E+030)</f>
        <v>48.2729395102339</v>
      </c>
      <c r="AF4807" s="55" t="n">
        <f aca="false">AD4807+ROW()*0.000000001</f>
        <v>0.38842667534399</v>
      </c>
      <c r="AG4807" s="55" t="n">
        <f aca="false">AE4807+ROW()*0.000000001</f>
        <v>48.2729443172339</v>
      </c>
    </row>
    <row r="4808" customFormat="false" ht="15" hidden="false" customHeight="false" outlineLevel="0" collapsed="false">
      <c r="A4808" s="0" t="n">
        <v>6</v>
      </c>
      <c r="B4808" s="0" t="n">
        <v>5</v>
      </c>
      <c r="C4808" s="0" t="n">
        <v>2</v>
      </c>
      <c r="D4808" s="0" t="n">
        <v>6</v>
      </c>
      <c r="E4808" s="0" t="n">
        <f aca="false">-1+A4808*0.25</f>
        <v>0.5</v>
      </c>
      <c r="F4808" s="0" t="n">
        <f aca="false">-1+B4808*0.25</f>
        <v>0.25</v>
      </c>
      <c r="G4808" s="0" t="n">
        <f aca="false">-1+C4808*0.25</f>
        <v>-0.5</v>
      </c>
      <c r="H4808" s="0" t="n">
        <f aca="false">-1+D4808*0.25</f>
        <v>0.5</v>
      </c>
      <c r="I4808" s="0" t="n">
        <f aca="false">1</f>
        <v>1</v>
      </c>
      <c r="J4808" s="0" t="n">
        <f aca="false">E4808</f>
        <v>0.5</v>
      </c>
      <c r="K4808" s="0" t="n">
        <f aca="false">F4808</f>
        <v>0.25</v>
      </c>
      <c r="L4808" s="0" t="n">
        <f aca="false">G4808</f>
        <v>-0.5</v>
      </c>
      <c r="M4808" s="0" t="n">
        <f aca="false">H4808</f>
        <v>0.5</v>
      </c>
      <c r="N4808" s="0" t="n">
        <f aca="false">E4808*F4808</f>
        <v>0.125</v>
      </c>
      <c r="O4808" s="0" t="n">
        <f aca="false">E4808*G4808</f>
        <v>-0.25</v>
      </c>
      <c r="P4808" s="0" t="n">
        <f aca="false">E4808*H4808</f>
        <v>0.25</v>
      </c>
      <c r="Q4808" s="0" t="n">
        <f aca="false">F4808*G4808</f>
        <v>-0.125</v>
      </c>
      <c r="R4808" s="0" t="n">
        <f aca="false">F4808*H4808</f>
        <v>0.125</v>
      </c>
      <c r="S4808" s="0" t="n">
        <f aca="false">G4808*H4808</f>
        <v>-0.25</v>
      </c>
      <c r="T4808" s="0" t="n">
        <f aca="false">E4808*E4808</f>
        <v>0.25</v>
      </c>
      <c r="U4808" s="0" t="n">
        <f aca="false">F4808*F4808</f>
        <v>0.0625</v>
      </c>
      <c r="V4808" s="0" t="n">
        <f aca="false">G4808*G4808</f>
        <v>0.25</v>
      </c>
      <c r="W4808" s="0" t="n">
        <f aca="false">H4808*H4808</f>
        <v>0.25</v>
      </c>
      <c r="X4808" s="0" t="n">
        <f aca="false">SUMPRODUCT(I4808:W4808,_XtX!$B$96:$P$96)</f>
        <v>48.269024122807</v>
      </c>
      <c r="Y4808" s="0" t="n">
        <f aca="false">SUMPRODUCT(MMULT(I4808:W4808,_XtX!$B$78:$P$92),I4808:W4808)</f>
        <v>0.133937545687135</v>
      </c>
      <c r="Z4808" s="0" t="n">
        <f aca="false">04_回帰ANOVA!$K$19*04_回帰ANOVA!$K$14*SQRT(1+Y4808)</f>
        <v>1.38801116780825</v>
      </c>
      <c r="AA4808" s="0" t="n">
        <f aca="false">X4808-Z4808</f>
        <v>46.8810129549987</v>
      </c>
      <c r="AB4808" s="0" t="n">
        <f aca="false">X4808+Z4808</f>
        <v>49.6570352906152</v>
      </c>
      <c r="AC4808" s="54" t="b">
        <f aca="false">AND(E4808&gt;=01_因子設定!$L$5-0.000000001,E4808&lt;=01_因子設定!$M$5+0.000000001,F4808&gt;=01_因子設定!$L$6-0.000000001,F4808&lt;=01_因子設定!$M$6+0.000000001,G4808&gt;=01_因子設定!$L$7-0.000000001,G4808&lt;=01_因子設定!$M$7+0.000000001,H4808&gt;=01_因子設定!$L$8-0.000000001,H4808&lt;=01_因子設定!$M$8+0.000000001,IF(01_因子設定!$B$20="Box-Behnken",E4808^2+F4808^2+G4808^2+H4808^2&lt;=2+0.000000001,TRUE()))</f>
        <v>1</v>
      </c>
      <c r="AD4808" s="55" t="n">
        <f aca="false">IF(AC4808,IF(01_因子設定!$B$13="最大化",AA4808-01_因子設定!$B$14,IF(01_因子設定!$B$13="最小化",01_因子設定!$B$15-AB4808,MIN(AA4808-01_因子設定!$B$14,01_因子設定!$B$15-AB4808))),-1E+030)</f>
        <v>0.381012954998731</v>
      </c>
      <c r="AE4808" s="55" t="n">
        <f aca="false">IF(AC4808,IF(01_因子設定!$B$13="最大化",X4808,IF(01_因子設定!$B$13="最小化",-X4808,-ABS(X4808-01_因子設定!$B$16))),-1E+030)</f>
        <v>48.269024122807</v>
      </c>
      <c r="AF4808" s="55" t="n">
        <f aca="false">AD4808+ROW()*0.000000001</f>
        <v>0.381017762998731</v>
      </c>
      <c r="AG4808" s="55" t="n">
        <f aca="false">AE4808+ROW()*0.000000001</f>
        <v>48.269028930807</v>
      </c>
    </row>
    <row r="4809" customFormat="false" ht="15" hidden="false" customHeight="false" outlineLevel="0" collapsed="false">
      <c r="A4809" s="0" t="n">
        <v>6</v>
      </c>
      <c r="B4809" s="0" t="n">
        <v>5</v>
      </c>
      <c r="C4809" s="0" t="n">
        <v>2</v>
      </c>
      <c r="D4809" s="0" t="n">
        <v>7</v>
      </c>
      <c r="E4809" s="0" t="n">
        <f aca="false">-1+A4809*0.25</f>
        <v>0.5</v>
      </c>
      <c r="F4809" s="0" t="n">
        <f aca="false">-1+B4809*0.25</f>
        <v>0.25</v>
      </c>
      <c r="G4809" s="0" t="n">
        <f aca="false">-1+C4809*0.25</f>
        <v>-0.5</v>
      </c>
      <c r="H4809" s="0" t="n">
        <f aca="false">-1+D4809*0.25</f>
        <v>0.75</v>
      </c>
      <c r="I4809" s="0" t="n">
        <f aca="false">1</f>
        <v>1</v>
      </c>
      <c r="J4809" s="0" t="n">
        <f aca="false">E4809</f>
        <v>0.5</v>
      </c>
      <c r="K4809" s="0" t="n">
        <f aca="false">F4809</f>
        <v>0.25</v>
      </c>
      <c r="L4809" s="0" t="n">
        <f aca="false">G4809</f>
        <v>-0.5</v>
      </c>
      <c r="M4809" s="0" t="n">
        <f aca="false">H4809</f>
        <v>0.75</v>
      </c>
      <c r="N4809" s="0" t="n">
        <f aca="false">E4809*F4809</f>
        <v>0.125</v>
      </c>
      <c r="O4809" s="0" t="n">
        <f aca="false">E4809*G4809</f>
        <v>-0.25</v>
      </c>
      <c r="P4809" s="0" t="n">
        <f aca="false">E4809*H4809</f>
        <v>0.375</v>
      </c>
      <c r="Q4809" s="0" t="n">
        <f aca="false">F4809*G4809</f>
        <v>-0.125</v>
      </c>
      <c r="R4809" s="0" t="n">
        <f aca="false">F4809*H4809</f>
        <v>0.1875</v>
      </c>
      <c r="S4809" s="0" t="n">
        <f aca="false">G4809*H4809</f>
        <v>-0.375</v>
      </c>
      <c r="T4809" s="0" t="n">
        <f aca="false">E4809*E4809</f>
        <v>0.25</v>
      </c>
      <c r="U4809" s="0" t="n">
        <f aca="false">F4809*F4809</f>
        <v>0.0625</v>
      </c>
      <c r="V4809" s="0" t="n">
        <f aca="false">G4809*G4809</f>
        <v>0.25</v>
      </c>
      <c r="W4809" s="0" t="n">
        <f aca="false">H4809*H4809</f>
        <v>0.5625</v>
      </c>
      <c r="X4809" s="0" t="n">
        <f aca="false">SUMPRODUCT(I4809:W4809,_XtX!$B$96:$P$96)</f>
        <v>48.2173017178362</v>
      </c>
      <c r="Y4809" s="0" t="n">
        <f aca="false">SUMPRODUCT(MMULT(I4809:W4809,_XtX!$B$78:$P$92),I4809:W4809)</f>
        <v>0.203746059484649</v>
      </c>
      <c r="Z4809" s="0" t="n">
        <f aca="false">04_回帰ANOVA!$K$19*04_回帰ANOVA!$K$14*SQRT(1+Y4809)</f>
        <v>1.43009810755465</v>
      </c>
      <c r="AA4809" s="0" t="n">
        <f aca="false">X4809-Z4809</f>
        <v>46.7872036102816</v>
      </c>
      <c r="AB4809" s="0" t="n">
        <f aca="false">X4809+Z4809</f>
        <v>49.6473998253909</v>
      </c>
      <c r="AC4809" s="54" t="b">
        <f aca="false">AND(E4809&gt;=01_因子設定!$L$5-0.000000001,E4809&lt;=01_因子設定!$M$5+0.000000001,F4809&gt;=01_因子設定!$L$6-0.000000001,F4809&lt;=01_因子設定!$M$6+0.000000001,G4809&gt;=01_因子設定!$L$7-0.000000001,G4809&lt;=01_因子設定!$M$7+0.000000001,H4809&gt;=01_因子設定!$L$8-0.000000001,H4809&lt;=01_因子設定!$M$8+0.000000001,IF(01_因子設定!$B$20="Box-Behnken",E4809^2+F4809^2+G4809^2+H4809^2&lt;=2+0.000000001,TRUE()))</f>
        <v>1</v>
      </c>
      <c r="AD4809" s="55" t="n">
        <f aca="false">IF(AC4809,IF(01_因子設定!$B$13="最大化",AA4809-01_因子設定!$B$14,IF(01_因子設定!$B$13="最小化",01_因子設定!$B$15-AB4809,MIN(AA4809-01_因子設定!$B$14,01_因子設定!$B$15-AB4809))),-1E+030)</f>
        <v>0.287203610281587</v>
      </c>
      <c r="AE4809" s="55" t="n">
        <f aca="false">IF(AC4809,IF(01_因子設定!$B$13="最大化",X4809,IF(01_因子設定!$B$13="最小化",-X4809,-ABS(X4809-01_因子設定!$B$16))),-1E+030)</f>
        <v>48.2173017178362</v>
      </c>
      <c r="AF4809" s="55" t="n">
        <f aca="false">AD4809+ROW()*0.000000001</f>
        <v>0.287208419281587</v>
      </c>
      <c r="AG4809" s="55" t="n">
        <f aca="false">AE4809+ROW()*0.000000001</f>
        <v>48.2173065268362</v>
      </c>
    </row>
    <row r="4810" customFormat="false" ht="15" hidden="false" customHeight="false" outlineLevel="0" collapsed="false">
      <c r="A4810" s="0" t="n">
        <v>6</v>
      </c>
      <c r="B4810" s="0" t="n">
        <v>5</v>
      </c>
      <c r="C4810" s="0" t="n">
        <v>2</v>
      </c>
      <c r="D4810" s="0" t="n">
        <v>8</v>
      </c>
      <c r="E4810" s="0" t="n">
        <f aca="false">-1+A4810*0.25</f>
        <v>0.5</v>
      </c>
      <c r="F4810" s="0" t="n">
        <f aca="false">-1+B4810*0.25</f>
        <v>0.25</v>
      </c>
      <c r="G4810" s="0" t="n">
        <f aca="false">-1+C4810*0.25</f>
        <v>-0.5</v>
      </c>
      <c r="H4810" s="0" t="n">
        <f aca="false">-1+D4810*0.25</f>
        <v>1</v>
      </c>
      <c r="I4810" s="0" t="n">
        <f aca="false">1</f>
        <v>1</v>
      </c>
      <c r="J4810" s="0" t="n">
        <f aca="false">E4810</f>
        <v>0.5</v>
      </c>
      <c r="K4810" s="0" t="n">
        <f aca="false">F4810</f>
        <v>0.25</v>
      </c>
      <c r="L4810" s="0" t="n">
        <f aca="false">G4810</f>
        <v>-0.5</v>
      </c>
      <c r="M4810" s="0" t="n">
        <f aca="false">H4810</f>
        <v>1</v>
      </c>
      <c r="N4810" s="0" t="n">
        <f aca="false">E4810*F4810</f>
        <v>0.125</v>
      </c>
      <c r="O4810" s="0" t="n">
        <f aca="false">E4810*G4810</f>
        <v>-0.25</v>
      </c>
      <c r="P4810" s="0" t="n">
        <f aca="false">E4810*H4810</f>
        <v>0.5</v>
      </c>
      <c r="Q4810" s="0" t="n">
        <f aca="false">F4810*G4810</f>
        <v>-0.125</v>
      </c>
      <c r="R4810" s="0" t="n">
        <f aca="false">F4810*H4810</f>
        <v>0.25</v>
      </c>
      <c r="S4810" s="0" t="n">
        <f aca="false">G4810*H4810</f>
        <v>-0.5</v>
      </c>
      <c r="T4810" s="0" t="n">
        <f aca="false">E4810*E4810</f>
        <v>0.25</v>
      </c>
      <c r="U4810" s="0" t="n">
        <f aca="false">F4810*F4810</f>
        <v>0.0625</v>
      </c>
      <c r="V4810" s="0" t="n">
        <f aca="false">G4810*G4810</f>
        <v>0.25</v>
      </c>
      <c r="W4810" s="0" t="n">
        <f aca="false">H4810*H4810</f>
        <v>1</v>
      </c>
      <c r="X4810" s="0" t="n">
        <f aca="false">SUMPRODUCT(I4810:W4810,_XtX!$B$96:$P$96)</f>
        <v>48.1177722953216</v>
      </c>
      <c r="Y4810" s="0" t="n">
        <f aca="false">SUMPRODUCT(MMULT(I4810:W4810,_XtX!$B$78:$P$92),I4810:W4810)</f>
        <v>0.428122715643275</v>
      </c>
      <c r="Z4810" s="0" t="n">
        <f aca="false">04_回帰ANOVA!$K$19*04_回帰ANOVA!$K$14*SQRT(1+Y4810)</f>
        <v>1.55769044623229</v>
      </c>
      <c r="AA4810" s="0" t="n">
        <f aca="false">X4810-Z4810</f>
        <v>46.5600818490893</v>
      </c>
      <c r="AB4810" s="0" t="n">
        <f aca="false">X4810+Z4810</f>
        <v>49.6754627415539</v>
      </c>
      <c r="AC4810" s="54" t="b">
        <f aca="false">AND(E4810&gt;=01_因子設定!$L$5-0.000000001,E4810&lt;=01_因子設定!$M$5+0.000000001,F4810&gt;=01_因子設定!$L$6-0.000000001,F4810&lt;=01_因子設定!$M$6+0.000000001,G4810&gt;=01_因子設定!$L$7-0.000000001,G4810&lt;=01_因子設定!$M$7+0.000000001,H4810&gt;=01_因子設定!$L$8-0.000000001,H4810&lt;=01_因子設定!$M$8+0.000000001,IF(01_因子設定!$B$20="Box-Behnken",E4810^2+F4810^2+G4810^2+H4810^2&lt;=2+0.000000001,TRUE()))</f>
        <v>1</v>
      </c>
      <c r="AD4810" s="55" t="n">
        <f aca="false">IF(AC4810,IF(01_因子設定!$B$13="最大化",AA4810-01_因子設定!$B$14,IF(01_因子設定!$B$13="最小化",01_因子設定!$B$15-AB4810,MIN(AA4810-01_因子設定!$B$14,01_因子設定!$B$15-AB4810))),-1E+030)</f>
        <v>0.060081849089336</v>
      </c>
      <c r="AE4810" s="55" t="n">
        <f aca="false">IF(AC4810,IF(01_因子設定!$B$13="最大化",X4810,IF(01_因子設定!$B$13="最小化",-X4810,-ABS(X4810-01_因子設定!$B$16))),-1E+030)</f>
        <v>48.1177722953216</v>
      </c>
      <c r="AF4810" s="55" t="n">
        <f aca="false">AD4810+ROW()*0.000000001</f>
        <v>0.060086659089336</v>
      </c>
      <c r="AG4810" s="55" t="n">
        <f aca="false">AE4810+ROW()*0.000000001</f>
        <v>48.1177771053216</v>
      </c>
    </row>
    <row r="4811" customFormat="false" ht="15" hidden="false" customHeight="false" outlineLevel="0" collapsed="false">
      <c r="A4811" s="0" t="n">
        <v>6</v>
      </c>
      <c r="B4811" s="0" t="n">
        <v>5</v>
      </c>
      <c r="C4811" s="0" t="n">
        <v>3</v>
      </c>
      <c r="D4811" s="0" t="n">
        <v>0</v>
      </c>
      <c r="E4811" s="0" t="n">
        <f aca="false">-1+A4811*0.25</f>
        <v>0.5</v>
      </c>
      <c r="F4811" s="0" t="n">
        <f aca="false">-1+B4811*0.25</f>
        <v>0.25</v>
      </c>
      <c r="G4811" s="0" t="n">
        <f aca="false">-1+C4811*0.25</f>
        <v>-0.25</v>
      </c>
      <c r="H4811" s="0" t="n">
        <f aca="false">-1+D4811*0.25</f>
        <v>-1</v>
      </c>
      <c r="I4811" s="0" t="n">
        <f aca="false">1</f>
        <v>1</v>
      </c>
      <c r="J4811" s="0" t="n">
        <f aca="false">E4811</f>
        <v>0.5</v>
      </c>
      <c r="K4811" s="0" t="n">
        <f aca="false">F4811</f>
        <v>0.25</v>
      </c>
      <c r="L4811" s="0" t="n">
        <f aca="false">G4811</f>
        <v>-0.25</v>
      </c>
      <c r="M4811" s="0" t="n">
        <f aca="false">H4811</f>
        <v>-1</v>
      </c>
      <c r="N4811" s="0" t="n">
        <f aca="false">E4811*F4811</f>
        <v>0.125</v>
      </c>
      <c r="O4811" s="0" t="n">
        <f aca="false">E4811*G4811</f>
        <v>-0.125</v>
      </c>
      <c r="P4811" s="0" t="n">
        <f aca="false">E4811*H4811</f>
        <v>-0.5</v>
      </c>
      <c r="Q4811" s="0" t="n">
        <f aca="false">F4811*G4811</f>
        <v>-0.0625</v>
      </c>
      <c r="R4811" s="0" t="n">
        <f aca="false">F4811*H4811</f>
        <v>-0.25</v>
      </c>
      <c r="S4811" s="0" t="n">
        <f aca="false">G4811*H4811</f>
        <v>0.25</v>
      </c>
      <c r="T4811" s="0" t="n">
        <f aca="false">E4811*E4811</f>
        <v>0.25</v>
      </c>
      <c r="U4811" s="0" t="n">
        <f aca="false">F4811*F4811</f>
        <v>0.0625</v>
      </c>
      <c r="V4811" s="0" t="n">
        <f aca="false">G4811*G4811</f>
        <v>0.0625</v>
      </c>
      <c r="W4811" s="0" t="n">
        <f aca="false">H4811*H4811</f>
        <v>1</v>
      </c>
      <c r="X4811" s="0" t="n">
        <f aca="false">SUMPRODUCT(I4811:W4811,_XtX!$B$96:$P$96)</f>
        <v>47.8156112938597</v>
      </c>
      <c r="Y4811" s="0" t="n">
        <f aca="false">SUMPRODUCT(MMULT(I4811:W4811,_XtX!$B$78:$P$92),I4811:W4811)</f>
        <v>0.445705123812135</v>
      </c>
      <c r="Z4811" s="0" t="n">
        <f aca="false">04_回帰ANOVA!$K$19*04_回帰ANOVA!$K$14*SQRT(1+Y4811)</f>
        <v>1.56724990734749</v>
      </c>
      <c r="AA4811" s="0" t="n">
        <f aca="false">X4811-Z4811</f>
        <v>46.2483613865122</v>
      </c>
      <c r="AB4811" s="0" t="n">
        <f aca="false">X4811+Z4811</f>
        <v>49.3828612012071</v>
      </c>
      <c r="AC4811" s="54" t="b">
        <f aca="false">AND(E4811&gt;=01_因子設定!$L$5-0.000000001,E4811&lt;=01_因子設定!$M$5+0.000000001,F4811&gt;=01_因子設定!$L$6-0.000000001,F4811&lt;=01_因子設定!$M$6+0.000000001,G4811&gt;=01_因子設定!$L$7-0.000000001,G4811&lt;=01_因子設定!$M$7+0.000000001,H4811&gt;=01_因子設定!$L$8-0.000000001,H4811&lt;=01_因子設定!$M$8+0.000000001,IF(01_因子設定!$B$20="Box-Behnken",E4811^2+F4811^2+G4811^2+H4811^2&lt;=2+0.000000001,TRUE()))</f>
        <v>1</v>
      </c>
      <c r="AD4811" s="55" t="n">
        <f aca="false">IF(AC4811,IF(01_因子設定!$B$13="最大化",AA4811-01_因子設定!$B$14,IF(01_因子設定!$B$13="最小化",01_因子設定!$B$15-AB4811,MIN(AA4811-01_因子設定!$B$14,01_因子設定!$B$15-AB4811))),-1E+030)</f>
        <v>-0.251638613487842</v>
      </c>
      <c r="AE4811" s="55" t="n">
        <f aca="false">IF(AC4811,IF(01_因子設定!$B$13="最大化",X4811,IF(01_因子設定!$B$13="最小化",-X4811,-ABS(X4811-01_因子設定!$B$16))),-1E+030)</f>
        <v>47.8156112938597</v>
      </c>
      <c r="AF4811" s="55" t="n">
        <f aca="false">AD4811+ROW()*0.000000001</f>
        <v>-0.251633802487842</v>
      </c>
      <c r="AG4811" s="55" t="n">
        <f aca="false">AE4811+ROW()*0.000000001</f>
        <v>47.8156161048596</v>
      </c>
    </row>
    <row r="4812" customFormat="false" ht="15" hidden="false" customHeight="false" outlineLevel="0" collapsed="false">
      <c r="A4812" s="0" t="n">
        <v>6</v>
      </c>
      <c r="B4812" s="0" t="n">
        <v>5</v>
      </c>
      <c r="C4812" s="0" t="n">
        <v>3</v>
      </c>
      <c r="D4812" s="0" t="n">
        <v>1</v>
      </c>
      <c r="E4812" s="0" t="n">
        <f aca="false">-1+A4812*0.25</f>
        <v>0.5</v>
      </c>
      <c r="F4812" s="0" t="n">
        <f aca="false">-1+B4812*0.25</f>
        <v>0.25</v>
      </c>
      <c r="G4812" s="0" t="n">
        <f aca="false">-1+C4812*0.25</f>
        <v>-0.25</v>
      </c>
      <c r="H4812" s="0" t="n">
        <f aca="false">-1+D4812*0.25</f>
        <v>-0.75</v>
      </c>
      <c r="I4812" s="0" t="n">
        <f aca="false">1</f>
        <v>1</v>
      </c>
      <c r="J4812" s="0" t="n">
        <f aca="false">E4812</f>
        <v>0.5</v>
      </c>
      <c r="K4812" s="0" t="n">
        <f aca="false">F4812</f>
        <v>0.25</v>
      </c>
      <c r="L4812" s="0" t="n">
        <f aca="false">G4812</f>
        <v>-0.25</v>
      </c>
      <c r="M4812" s="0" t="n">
        <f aca="false">H4812</f>
        <v>-0.75</v>
      </c>
      <c r="N4812" s="0" t="n">
        <f aca="false">E4812*F4812</f>
        <v>0.125</v>
      </c>
      <c r="O4812" s="0" t="n">
        <f aca="false">E4812*G4812</f>
        <v>-0.125</v>
      </c>
      <c r="P4812" s="0" t="n">
        <f aca="false">E4812*H4812</f>
        <v>-0.375</v>
      </c>
      <c r="Q4812" s="0" t="n">
        <f aca="false">F4812*G4812</f>
        <v>-0.0625</v>
      </c>
      <c r="R4812" s="0" t="n">
        <f aca="false">F4812*H4812</f>
        <v>-0.1875</v>
      </c>
      <c r="S4812" s="0" t="n">
        <f aca="false">G4812*H4812</f>
        <v>0.1875</v>
      </c>
      <c r="T4812" s="0" t="n">
        <f aca="false">E4812*E4812</f>
        <v>0.25</v>
      </c>
      <c r="U4812" s="0" t="n">
        <f aca="false">F4812*F4812</f>
        <v>0.0625</v>
      </c>
      <c r="V4812" s="0" t="n">
        <f aca="false">G4812*G4812</f>
        <v>0.0625</v>
      </c>
      <c r="W4812" s="0" t="n">
        <f aca="false">H4812*H4812</f>
        <v>0.5625</v>
      </c>
      <c r="X4812" s="0" t="n">
        <f aca="false">SUMPRODUCT(I4812:W4812,_XtX!$B$96:$P$96)</f>
        <v>48.068699744152</v>
      </c>
      <c r="Y4812" s="0" t="n">
        <f aca="false">SUMPRODUCT(MMULT(I4812:W4812,_XtX!$B$78:$P$92),I4812:W4812)</f>
        <v>0.207746539199561</v>
      </c>
      <c r="Z4812" s="0" t="n">
        <f aca="false">04_回帰ANOVA!$K$19*04_回帰ANOVA!$K$14*SQRT(1+Y4812)</f>
        <v>1.43247250081141</v>
      </c>
      <c r="AA4812" s="0" t="n">
        <f aca="false">X4812-Z4812</f>
        <v>46.6362272433406</v>
      </c>
      <c r="AB4812" s="0" t="n">
        <f aca="false">X4812+Z4812</f>
        <v>49.5011722449634</v>
      </c>
      <c r="AC4812" s="54" t="b">
        <f aca="false">AND(E4812&gt;=01_因子設定!$L$5-0.000000001,E4812&lt;=01_因子設定!$M$5+0.000000001,F4812&gt;=01_因子設定!$L$6-0.000000001,F4812&lt;=01_因子設定!$M$6+0.000000001,G4812&gt;=01_因子設定!$L$7-0.000000001,G4812&lt;=01_因子設定!$M$7+0.000000001,H4812&gt;=01_因子設定!$L$8-0.000000001,H4812&lt;=01_因子設定!$M$8+0.000000001,IF(01_因子設定!$B$20="Box-Behnken",E4812^2+F4812^2+G4812^2+H4812^2&lt;=2+0.000000001,TRUE()))</f>
        <v>1</v>
      </c>
      <c r="AD4812" s="55" t="n">
        <f aca="false">IF(AC4812,IF(01_因子設定!$B$13="最大化",AA4812-01_因子設定!$B$14,IF(01_因子設定!$B$13="最小化",01_因子設定!$B$15-AB4812,MIN(AA4812-01_因子設定!$B$14,01_因子設定!$B$15-AB4812))),-1E+030)</f>
        <v>0.13622724334062</v>
      </c>
      <c r="AE4812" s="55" t="n">
        <f aca="false">IF(AC4812,IF(01_因子設定!$B$13="最大化",X4812,IF(01_因子設定!$B$13="最小化",-X4812,-ABS(X4812-01_因子設定!$B$16))),-1E+030)</f>
        <v>48.068699744152</v>
      </c>
      <c r="AF4812" s="55" t="n">
        <f aca="false">AD4812+ROW()*0.000000001</f>
        <v>0.13623205534062</v>
      </c>
      <c r="AG4812" s="55" t="n">
        <f aca="false">AE4812+ROW()*0.000000001</f>
        <v>48.068704556152</v>
      </c>
    </row>
    <row r="4813" customFormat="false" ht="15" hidden="false" customHeight="false" outlineLevel="0" collapsed="false">
      <c r="A4813" s="0" t="n">
        <v>6</v>
      </c>
      <c r="B4813" s="0" t="n">
        <v>5</v>
      </c>
      <c r="C4813" s="0" t="n">
        <v>3</v>
      </c>
      <c r="D4813" s="0" t="n">
        <v>2</v>
      </c>
      <c r="E4813" s="0" t="n">
        <f aca="false">-1+A4813*0.25</f>
        <v>0.5</v>
      </c>
      <c r="F4813" s="0" t="n">
        <f aca="false">-1+B4813*0.25</f>
        <v>0.25</v>
      </c>
      <c r="G4813" s="0" t="n">
        <f aca="false">-1+C4813*0.25</f>
        <v>-0.25</v>
      </c>
      <c r="H4813" s="0" t="n">
        <f aca="false">-1+D4813*0.25</f>
        <v>-0.5</v>
      </c>
      <c r="I4813" s="0" t="n">
        <f aca="false">1</f>
        <v>1</v>
      </c>
      <c r="J4813" s="0" t="n">
        <f aca="false">E4813</f>
        <v>0.5</v>
      </c>
      <c r="K4813" s="0" t="n">
        <f aca="false">F4813</f>
        <v>0.25</v>
      </c>
      <c r="L4813" s="0" t="n">
        <f aca="false">G4813</f>
        <v>-0.25</v>
      </c>
      <c r="M4813" s="0" t="n">
        <f aca="false">H4813</f>
        <v>-0.5</v>
      </c>
      <c r="N4813" s="0" t="n">
        <f aca="false">E4813*F4813</f>
        <v>0.125</v>
      </c>
      <c r="O4813" s="0" t="n">
        <f aca="false">E4813*G4813</f>
        <v>-0.125</v>
      </c>
      <c r="P4813" s="0" t="n">
        <f aca="false">E4813*H4813</f>
        <v>-0.25</v>
      </c>
      <c r="Q4813" s="0" t="n">
        <f aca="false">F4813*G4813</f>
        <v>-0.0625</v>
      </c>
      <c r="R4813" s="0" t="n">
        <f aca="false">F4813*H4813</f>
        <v>-0.125</v>
      </c>
      <c r="S4813" s="0" t="n">
        <f aca="false">G4813*H4813</f>
        <v>0.125</v>
      </c>
      <c r="T4813" s="0" t="n">
        <f aca="false">E4813*E4813</f>
        <v>0.25</v>
      </c>
      <c r="U4813" s="0" t="n">
        <f aca="false">F4813*F4813</f>
        <v>0.0625</v>
      </c>
      <c r="V4813" s="0" t="n">
        <f aca="false">G4813*G4813</f>
        <v>0.0625</v>
      </c>
      <c r="W4813" s="0" t="n">
        <f aca="false">H4813*H4813</f>
        <v>0.25</v>
      </c>
      <c r="X4813" s="0" t="n">
        <f aca="false">SUMPRODUCT(I4813:W4813,_XtX!$B$96:$P$96)</f>
        <v>48.2739811769006</v>
      </c>
      <c r="Y4813" s="0" t="n">
        <f aca="false">SUMPRODUCT(MMULT(I4813:W4813,_XtX!$B$78:$P$92),I4813:W4813)</f>
        <v>0.128236647934942</v>
      </c>
      <c r="Z4813" s="0" t="n">
        <f aca="false">04_回帰ANOVA!$K$19*04_回帰ANOVA!$K$14*SQRT(1+Y4813)</f>
        <v>1.38451764188989</v>
      </c>
      <c r="AA4813" s="0" t="n">
        <f aca="false">X4813-Z4813</f>
        <v>46.8894635350107</v>
      </c>
      <c r="AB4813" s="0" t="n">
        <f aca="false">X4813+Z4813</f>
        <v>49.6584988187904</v>
      </c>
      <c r="AC4813" s="54" t="b">
        <f aca="false">AND(E4813&gt;=01_因子設定!$L$5-0.000000001,E4813&lt;=01_因子設定!$M$5+0.000000001,F4813&gt;=01_因子設定!$L$6-0.000000001,F4813&lt;=01_因子設定!$M$6+0.000000001,G4813&gt;=01_因子設定!$L$7-0.000000001,G4813&lt;=01_因子設定!$M$7+0.000000001,H4813&gt;=01_因子設定!$L$8-0.000000001,H4813&lt;=01_因子設定!$M$8+0.000000001,IF(01_因子設定!$B$20="Box-Behnken",E4813^2+F4813^2+G4813^2+H4813^2&lt;=2+0.000000001,TRUE()))</f>
        <v>1</v>
      </c>
      <c r="AD4813" s="55" t="n">
        <f aca="false">IF(AC4813,IF(01_因子設定!$B$13="最大化",AA4813-01_因子設定!$B$14,IF(01_因子設定!$B$13="最小化",01_因子設定!$B$15-AB4813,MIN(AA4813-01_因子設定!$B$14,01_因子設定!$B$15-AB4813))),-1E+030)</f>
        <v>0.389463535010663</v>
      </c>
      <c r="AE4813" s="55" t="n">
        <f aca="false">IF(AC4813,IF(01_因子設定!$B$13="最大化",X4813,IF(01_因子設定!$B$13="最小化",-X4813,-ABS(X4813-01_因子設定!$B$16))),-1E+030)</f>
        <v>48.2739811769006</v>
      </c>
      <c r="AF4813" s="55" t="n">
        <f aca="false">AD4813+ROW()*0.000000001</f>
        <v>0.389468348010663</v>
      </c>
      <c r="AG4813" s="55" t="n">
        <f aca="false">AE4813+ROW()*0.000000001</f>
        <v>48.2739859899005</v>
      </c>
    </row>
    <row r="4814" customFormat="false" ht="15" hidden="false" customHeight="false" outlineLevel="0" collapsed="false">
      <c r="A4814" s="0" t="n">
        <v>6</v>
      </c>
      <c r="B4814" s="0" t="n">
        <v>5</v>
      </c>
      <c r="C4814" s="0" t="n">
        <v>3</v>
      </c>
      <c r="D4814" s="0" t="n">
        <v>3</v>
      </c>
      <c r="E4814" s="0" t="n">
        <f aca="false">-1+A4814*0.25</f>
        <v>0.5</v>
      </c>
      <c r="F4814" s="0" t="n">
        <f aca="false">-1+B4814*0.25</f>
        <v>0.25</v>
      </c>
      <c r="G4814" s="0" t="n">
        <f aca="false">-1+C4814*0.25</f>
        <v>-0.25</v>
      </c>
      <c r="H4814" s="0" t="n">
        <f aca="false">-1+D4814*0.25</f>
        <v>-0.25</v>
      </c>
      <c r="I4814" s="0" t="n">
        <f aca="false">1</f>
        <v>1</v>
      </c>
      <c r="J4814" s="0" t="n">
        <f aca="false">E4814</f>
        <v>0.5</v>
      </c>
      <c r="K4814" s="0" t="n">
        <f aca="false">F4814</f>
        <v>0.25</v>
      </c>
      <c r="L4814" s="0" t="n">
        <f aca="false">G4814</f>
        <v>-0.25</v>
      </c>
      <c r="M4814" s="0" t="n">
        <f aca="false">H4814</f>
        <v>-0.25</v>
      </c>
      <c r="N4814" s="0" t="n">
        <f aca="false">E4814*F4814</f>
        <v>0.125</v>
      </c>
      <c r="O4814" s="0" t="n">
        <f aca="false">E4814*G4814</f>
        <v>-0.125</v>
      </c>
      <c r="P4814" s="0" t="n">
        <f aca="false">E4814*H4814</f>
        <v>-0.125</v>
      </c>
      <c r="Q4814" s="0" t="n">
        <f aca="false">F4814*G4814</f>
        <v>-0.0625</v>
      </c>
      <c r="R4814" s="0" t="n">
        <f aca="false">F4814*H4814</f>
        <v>-0.0625</v>
      </c>
      <c r="S4814" s="0" t="n">
        <f aca="false">G4814*H4814</f>
        <v>0.0625</v>
      </c>
      <c r="T4814" s="0" t="n">
        <f aca="false">E4814*E4814</f>
        <v>0.25</v>
      </c>
      <c r="U4814" s="0" t="n">
        <f aca="false">F4814*F4814</f>
        <v>0.0625</v>
      </c>
      <c r="V4814" s="0" t="n">
        <f aca="false">G4814*G4814</f>
        <v>0.0625</v>
      </c>
      <c r="W4814" s="0" t="n">
        <f aca="false">H4814*H4814</f>
        <v>0.0625</v>
      </c>
      <c r="X4814" s="0" t="n">
        <f aca="false">SUMPRODUCT(I4814:W4814,_XtX!$B$96:$P$96)</f>
        <v>48.4314555921052</v>
      </c>
      <c r="Y4814" s="0" t="n">
        <f aca="false">SUMPRODUCT(MMULT(I4814:W4814,_XtX!$B$78:$P$92),I4814:W4814)</f>
        <v>0.116714923702485</v>
      </c>
      <c r="Z4814" s="0" t="n">
        <f aca="false">04_回帰ANOVA!$K$19*04_回帰ANOVA!$K$14*SQRT(1+Y4814)</f>
        <v>1.37743004820023</v>
      </c>
      <c r="AA4814" s="0" t="n">
        <f aca="false">X4814-Z4814</f>
        <v>47.054025543905</v>
      </c>
      <c r="AB4814" s="0" t="n">
        <f aca="false">X4814+Z4814</f>
        <v>49.8088856403055</v>
      </c>
      <c r="AC4814" s="54" t="b">
        <f aca="false">AND(E4814&gt;=01_因子設定!$L$5-0.000000001,E4814&lt;=01_因子設定!$M$5+0.000000001,F4814&gt;=01_因子設定!$L$6-0.000000001,F4814&lt;=01_因子設定!$M$6+0.000000001,G4814&gt;=01_因子設定!$L$7-0.000000001,G4814&lt;=01_因子設定!$M$7+0.000000001,H4814&gt;=01_因子設定!$L$8-0.000000001,H4814&lt;=01_因子設定!$M$8+0.000000001,IF(01_因子設定!$B$20="Box-Behnken",E4814^2+F4814^2+G4814^2+H4814^2&lt;=2+0.000000001,TRUE()))</f>
        <v>1</v>
      </c>
      <c r="AD4814" s="55" t="n">
        <f aca="false">IF(AC4814,IF(01_因子設定!$B$13="最大化",AA4814-01_因子設定!$B$14,IF(01_因子設定!$B$13="最小化",01_因子設定!$B$15-AB4814,MIN(AA4814-01_因子設定!$B$14,01_因子設定!$B$15-AB4814))),-1E+030)</f>
        <v>0.554025543904999</v>
      </c>
      <c r="AE4814" s="55" t="n">
        <f aca="false">IF(AC4814,IF(01_因子設定!$B$13="最大化",X4814,IF(01_因子設定!$B$13="最小化",-X4814,-ABS(X4814-01_因子設定!$B$16))),-1E+030)</f>
        <v>48.4314555921052</v>
      </c>
      <c r="AF4814" s="55" t="n">
        <f aca="false">AD4814+ROW()*0.000000001</f>
        <v>0.554030357904999</v>
      </c>
      <c r="AG4814" s="55" t="n">
        <f aca="false">AE4814+ROW()*0.000000001</f>
        <v>48.4314604061052</v>
      </c>
    </row>
    <row r="4815" customFormat="false" ht="15" hidden="false" customHeight="false" outlineLevel="0" collapsed="false">
      <c r="A4815" s="0" t="n">
        <v>6</v>
      </c>
      <c r="B4815" s="0" t="n">
        <v>5</v>
      </c>
      <c r="C4815" s="0" t="n">
        <v>3</v>
      </c>
      <c r="D4815" s="0" t="n">
        <v>4</v>
      </c>
      <c r="E4815" s="0" t="n">
        <f aca="false">-1+A4815*0.25</f>
        <v>0.5</v>
      </c>
      <c r="F4815" s="0" t="n">
        <f aca="false">-1+B4815*0.25</f>
        <v>0.25</v>
      </c>
      <c r="G4815" s="0" t="n">
        <f aca="false">-1+C4815*0.25</f>
        <v>-0.25</v>
      </c>
      <c r="H4815" s="0" t="n">
        <f aca="false">-1+D4815*0.25</f>
        <v>0</v>
      </c>
      <c r="I4815" s="0" t="n">
        <f aca="false">1</f>
        <v>1</v>
      </c>
      <c r="J4815" s="0" t="n">
        <f aca="false">E4815</f>
        <v>0.5</v>
      </c>
      <c r="K4815" s="0" t="n">
        <f aca="false">F4815</f>
        <v>0.25</v>
      </c>
      <c r="L4815" s="0" t="n">
        <f aca="false">G4815</f>
        <v>-0.25</v>
      </c>
      <c r="M4815" s="0" t="n">
        <f aca="false">H4815</f>
        <v>0</v>
      </c>
      <c r="N4815" s="0" t="n">
        <f aca="false">E4815*F4815</f>
        <v>0.125</v>
      </c>
      <c r="O4815" s="0" t="n">
        <f aca="false">E4815*G4815</f>
        <v>-0.125</v>
      </c>
      <c r="P4815" s="0" t="n">
        <f aca="false">E4815*H4815</f>
        <v>0</v>
      </c>
      <c r="Q4815" s="0" t="n">
        <f aca="false">F4815*G4815</f>
        <v>-0.0625</v>
      </c>
      <c r="R4815" s="0" t="n">
        <f aca="false">F4815*H4815</f>
        <v>0</v>
      </c>
      <c r="S4815" s="0" t="n">
        <f aca="false">G4815*H4815</f>
        <v>-0</v>
      </c>
      <c r="T4815" s="0" t="n">
        <f aca="false">E4815*E4815</f>
        <v>0.25</v>
      </c>
      <c r="U4815" s="0" t="n">
        <f aca="false">F4815*F4815</f>
        <v>0.0625</v>
      </c>
      <c r="V4815" s="0" t="n">
        <f aca="false">G4815*G4815</f>
        <v>0.0625</v>
      </c>
      <c r="W4815" s="0" t="n">
        <f aca="false">H4815*H4815</f>
        <v>0</v>
      </c>
      <c r="X4815" s="0" t="n">
        <f aca="false">SUMPRODUCT(I4815:W4815,_XtX!$B$96:$P$96)</f>
        <v>48.541122989766</v>
      </c>
      <c r="Y4815" s="0" t="n">
        <f aca="false">SUMPRODUCT(MMULT(I4815:W4815,_XtX!$B$78:$P$92),I4815:W4815)</f>
        <v>0.118905050712719</v>
      </c>
      <c r="Z4815" s="0" t="n">
        <f aca="false">04_回帰ANOVA!$K$19*04_回帰ANOVA!$K$14*SQRT(1+Y4815)</f>
        <v>1.37878011033769</v>
      </c>
      <c r="AA4815" s="0" t="n">
        <f aca="false">X4815-Z4815</f>
        <v>47.1623428794284</v>
      </c>
      <c r="AB4815" s="0" t="n">
        <f aca="false">X4815+Z4815</f>
        <v>49.9199031001037</v>
      </c>
      <c r="AC4815" s="54" t="b">
        <f aca="false">AND(E4815&gt;=01_因子設定!$L$5-0.000000001,E4815&lt;=01_因子設定!$M$5+0.000000001,F4815&gt;=01_因子設定!$L$6-0.000000001,F4815&lt;=01_因子設定!$M$6+0.000000001,G4815&gt;=01_因子設定!$L$7-0.000000001,G4815&lt;=01_因子設定!$M$7+0.000000001,H4815&gt;=01_因子設定!$L$8-0.000000001,H4815&lt;=01_因子設定!$M$8+0.000000001,IF(01_因子設定!$B$20="Box-Behnken",E4815^2+F4815^2+G4815^2+H4815^2&lt;=2+0.000000001,TRUE()))</f>
        <v>1</v>
      </c>
      <c r="AD4815" s="55" t="n">
        <f aca="false">IF(AC4815,IF(01_因子設定!$B$13="最大化",AA4815-01_因子設定!$B$14,IF(01_因子設定!$B$13="最小化",01_因子設定!$B$15-AB4815,MIN(AA4815-01_因子設定!$B$14,01_因子設定!$B$15-AB4815))),-1E+030)</f>
        <v>0.662342879428351</v>
      </c>
      <c r="AE4815" s="55" t="n">
        <f aca="false">IF(AC4815,IF(01_因子設定!$B$13="最大化",X4815,IF(01_因子設定!$B$13="最小化",-X4815,-ABS(X4815-01_因子設定!$B$16))),-1E+030)</f>
        <v>48.541122989766</v>
      </c>
      <c r="AF4815" s="55" t="n">
        <f aca="false">AD4815+ROW()*0.000000001</f>
        <v>0.662347694428351</v>
      </c>
      <c r="AG4815" s="55" t="n">
        <f aca="false">AE4815+ROW()*0.000000001</f>
        <v>48.541127804766</v>
      </c>
    </row>
    <row r="4816" customFormat="false" ht="15" hidden="false" customHeight="false" outlineLevel="0" collapsed="false">
      <c r="A4816" s="0" t="n">
        <v>6</v>
      </c>
      <c r="B4816" s="0" t="n">
        <v>5</v>
      </c>
      <c r="C4816" s="0" t="n">
        <v>3</v>
      </c>
      <c r="D4816" s="0" t="n">
        <v>5</v>
      </c>
      <c r="E4816" s="0" t="n">
        <f aca="false">-1+A4816*0.25</f>
        <v>0.5</v>
      </c>
      <c r="F4816" s="0" t="n">
        <f aca="false">-1+B4816*0.25</f>
        <v>0.25</v>
      </c>
      <c r="G4816" s="0" t="n">
        <f aca="false">-1+C4816*0.25</f>
        <v>-0.25</v>
      </c>
      <c r="H4816" s="0" t="n">
        <f aca="false">-1+D4816*0.25</f>
        <v>0.25</v>
      </c>
      <c r="I4816" s="0" t="n">
        <f aca="false">1</f>
        <v>1</v>
      </c>
      <c r="J4816" s="0" t="n">
        <f aca="false">E4816</f>
        <v>0.5</v>
      </c>
      <c r="K4816" s="0" t="n">
        <f aca="false">F4816</f>
        <v>0.25</v>
      </c>
      <c r="L4816" s="0" t="n">
        <f aca="false">G4816</f>
        <v>-0.25</v>
      </c>
      <c r="M4816" s="0" t="n">
        <f aca="false">H4816</f>
        <v>0.25</v>
      </c>
      <c r="N4816" s="0" t="n">
        <f aca="false">E4816*F4816</f>
        <v>0.125</v>
      </c>
      <c r="O4816" s="0" t="n">
        <f aca="false">E4816*G4816</f>
        <v>-0.125</v>
      </c>
      <c r="P4816" s="0" t="n">
        <f aca="false">E4816*H4816</f>
        <v>0.125</v>
      </c>
      <c r="Q4816" s="0" t="n">
        <f aca="false">F4816*G4816</f>
        <v>-0.0625</v>
      </c>
      <c r="R4816" s="0" t="n">
        <f aca="false">F4816*H4816</f>
        <v>0.0625</v>
      </c>
      <c r="S4816" s="0" t="n">
        <f aca="false">G4816*H4816</f>
        <v>-0.0625</v>
      </c>
      <c r="T4816" s="0" t="n">
        <f aca="false">E4816*E4816</f>
        <v>0.25</v>
      </c>
      <c r="U4816" s="0" t="n">
        <f aca="false">F4816*F4816</f>
        <v>0.0625</v>
      </c>
      <c r="V4816" s="0" t="n">
        <f aca="false">G4816*G4816</f>
        <v>0.0625</v>
      </c>
      <c r="W4816" s="0" t="n">
        <f aca="false">H4816*H4816</f>
        <v>0.0625</v>
      </c>
      <c r="X4816" s="0" t="n">
        <f aca="false">SUMPRODUCT(I4816:W4816,_XtX!$B$96:$P$96)</f>
        <v>48.602983369883</v>
      </c>
      <c r="Y4816" s="0" t="n">
        <f aca="false">SUMPRODUCT(MMULT(I4816:W4816,_XtX!$B$78:$P$92),I4816:W4816)</f>
        <v>0.116714923702485</v>
      </c>
      <c r="Z4816" s="0" t="n">
        <f aca="false">04_回帰ANOVA!$K$19*04_回帰ANOVA!$K$14*SQRT(1+Y4816)</f>
        <v>1.37743004820023</v>
      </c>
      <c r="AA4816" s="0" t="n">
        <f aca="false">X4816-Z4816</f>
        <v>47.2255533216828</v>
      </c>
      <c r="AB4816" s="0" t="n">
        <f aca="false">X4816+Z4816</f>
        <v>49.9804134180832</v>
      </c>
      <c r="AC4816" s="54" t="b">
        <f aca="false">AND(E4816&gt;=01_因子設定!$L$5-0.000000001,E4816&lt;=01_因子設定!$M$5+0.000000001,F4816&gt;=01_因子設定!$L$6-0.000000001,F4816&lt;=01_因子設定!$M$6+0.000000001,G4816&gt;=01_因子設定!$L$7-0.000000001,G4816&lt;=01_因子設定!$M$7+0.000000001,H4816&gt;=01_因子設定!$L$8-0.000000001,H4816&lt;=01_因子設定!$M$8+0.000000001,IF(01_因子設定!$B$20="Box-Behnken",E4816^2+F4816^2+G4816^2+H4816^2&lt;=2+0.000000001,TRUE()))</f>
        <v>1</v>
      </c>
      <c r="AD4816" s="55" t="n">
        <f aca="false">IF(AC4816,IF(01_因子設定!$B$13="最大化",AA4816-01_因子設定!$B$14,IF(01_因子設定!$B$13="最小化",01_因子設定!$B$15-AB4816,MIN(AA4816-01_因子設定!$B$14,01_因子設定!$B$15-AB4816))),-1E+030)</f>
        <v>0.725553321682774</v>
      </c>
      <c r="AE4816" s="55" t="n">
        <f aca="false">IF(AC4816,IF(01_因子設定!$B$13="最大化",X4816,IF(01_因子設定!$B$13="最小化",-X4816,-ABS(X4816-01_因子設定!$B$16))),-1E+030)</f>
        <v>48.602983369883</v>
      </c>
      <c r="AF4816" s="55" t="n">
        <f aca="false">AD4816+ROW()*0.000000001</f>
        <v>0.725558137682774</v>
      </c>
      <c r="AG4816" s="55" t="n">
        <f aca="false">AE4816+ROW()*0.000000001</f>
        <v>48.602988185883</v>
      </c>
    </row>
    <row r="4817" customFormat="false" ht="15" hidden="false" customHeight="false" outlineLevel="0" collapsed="false">
      <c r="A4817" s="0" t="n">
        <v>6</v>
      </c>
      <c r="B4817" s="0" t="n">
        <v>5</v>
      </c>
      <c r="C4817" s="0" t="n">
        <v>3</v>
      </c>
      <c r="D4817" s="0" t="n">
        <v>6</v>
      </c>
      <c r="E4817" s="0" t="n">
        <f aca="false">-1+A4817*0.25</f>
        <v>0.5</v>
      </c>
      <c r="F4817" s="0" t="n">
        <f aca="false">-1+B4817*0.25</f>
        <v>0.25</v>
      </c>
      <c r="G4817" s="0" t="n">
        <f aca="false">-1+C4817*0.25</f>
        <v>-0.25</v>
      </c>
      <c r="H4817" s="0" t="n">
        <f aca="false">-1+D4817*0.25</f>
        <v>0.5</v>
      </c>
      <c r="I4817" s="0" t="n">
        <f aca="false">1</f>
        <v>1</v>
      </c>
      <c r="J4817" s="0" t="n">
        <f aca="false">E4817</f>
        <v>0.5</v>
      </c>
      <c r="K4817" s="0" t="n">
        <f aca="false">F4817</f>
        <v>0.25</v>
      </c>
      <c r="L4817" s="0" t="n">
        <f aca="false">G4817</f>
        <v>-0.25</v>
      </c>
      <c r="M4817" s="0" t="n">
        <f aca="false">H4817</f>
        <v>0.5</v>
      </c>
      <c r="N4817" s="0" t="n">
        <f aca="false">E4817*F4817</f>
        <v>0.125</v>
      </c>
      <c r="O4817" s="0" t="n">
        <f aca="false">E4817*G4817</f>
        <v>-0.125</v>
      </c>
      <c r="P4817" s="0" t="n">
        <f aca="false">E4817*H4817</f>
        <v>0.25</v>
      </c>
      <c r="Q4817" s="0" t="n">
        <f aca="false">F4817*G4817</f>
        <v>-0.0625</v>
      </c>
      <c r="R4817" s="0" t="n">
        <f aca="false">F4817*H4817</f>
        <v>0.125</v>
      </c>
      <c r="S4817" s="0" t="n">
        <f aca="false">G4817*H4817</f>
        <v>-0.125</v>
      </c>
      <c r="T4817" s="0" t="n">
        <f aca="false">E4817*E4817</f>
        <v>0.25</v>
      </c>
      <c r="U4817" s="0" t="n">
        <f aca="false">F4817*F4817</f>
        <v>0.0625</v>
      </c>
      <c r="V4817" s="0" t="n">
        <f aca="false">G4817*G4817</f>
        <v>0.0625</v>
      </c>
      <c r="W4817" s="0" t="n">
        <f aca="false">H4817*H4817</f>
        <v>0.25</v>
      </c>
      <c r="X4817" s="0" t="n">
        <f aca="false">SUMPRODUCT(I4817:W4817,_XtX!$B$96:$P$96)</f>
        <v>48.6170367324561</v>
      </c>
      <c r="Y4817" s="0" t="n">
        <f aca="false">SUMPRODUCT(MMULT(I4817:W4817,_XtX!$B$78:$P$92),I4817:W4817)</f>
        <v>0.128236647934942</v>
      </c>
      <c r="Z4817" s="0" t="n">
        <f aca="false">04_回帰ANOVA!$K$19*04_回帰ANOVA!$K$14*SQRT(1+Y4817)</f>
        <v>1.38451764188989</v>
      </c>
      <c r="AA4817" s="0" t="n">
        <f aca="false">X4817-Z4817</f>
        <v>47.2325190905662</v>
      </c>
      <c r="AB4817" s="0" t="n">
        <f aca="false">X4817+Z4817</f>
        <v>50.001554374346</v>
      </c>
      <c r="AC4817" s="54" t="b">
        <f aca="false">AND(E4817&gt;=01_因子設定!$L$5-0.000000001,E4817&lt;=01_因子設定!$M$5+0.000000001,F4817&gt;=01_因子設定!$L$6-0.000000001,F4817&lt;=01_因子設定!$M$6+0.000000001,G4817&gt;=01_因子設定!$L$7-0.000000001,G4817&lt;=01_因子設定!$M$7+0.000000001,H4817&gt;=01_因子設定!$L$8-0.000000001,H4817&lt;=01_因子設定!$M$8+0.000000001,IF(01_因子設定!$B$20="Box-Behnken",E4817^2+F4817^2+G4817^2+H4817^2&lt;=2+0.000000001,TRUE()))</f>
        <v>1</v>
      </c>
      <c r="AD4817" s="55" t="n">
        <f aca="false">IF(AC4817,IF(01_因子設定!$B$13="最大化",AA4817-01_因子設定!$B$14,IF(01_因子設定!$B$13="最小化",01_因子設定!$B$15-AB4817,MIN(AA4817-01_因子設定!$B$14,01_因子設定!$B$15-AB4817))),-1E+030)</f>
        <v>0.732519090566221</v>
      </c>
      <c r="AE4817" s="55" t="n">
        <f aca="false">IF(AC4817,IF(01_因子設定!$B$13="最大化",X4817,IF(01_因子設定!$B$13="最小化",-X4817,-ABS(X4817-01_因子設定!$B$16))),-1E+030)</f>
        <v>48.6170367324561</v>
      </c>
      <c r="AF4817" s="55" t="n">
        <f aca="false">AD4817+ROW()*0.000000001</f>
        <v>0.732523907566221</v>
      </c>
      <c r="AG4817" s="55" t="n">
        <f aca="false">AE4817+ROW()*0.000000001</f>
        <v>48.6170415494561</v>
      </c>
    </row>
    <row r="4818" customFormat="false" ht="15" hidden="false" customHeight="false" outlineLevel="0" collapsed="false">
      <c r="A4818" s="0" t="n">
        <v>6</v>
      </c>
      <c r="B4818" s="0" t="n">
        <v>5</v>
      </c>
      <c r="C4818" s="0" t="n">
        <v>3</v>
      </c>
      <c r="D4818" s="0" t="n">
        <v>7</v>
      </c>
      <c r="E4818" s="0" t="n">
        <f aca="false">-1+A4818*0.25</f>
        <v>0.5</v>
      </c>
      <c r="F4818" s="0" t="n">
        <f aca="false">-1+B4818*0.25</f>
        <v>0.25</v>
      </c>
      <c r="G4818" s="0" t="n">
        <f aca="false">-1+C4818*0.25</f>
        <v>-0.25</v>
      </c>
      <c r="H4818" s="0" t="n">
        <f aca="false">-1+D4818*0.25</f>
        <v>0.75</v>
      </c>
      <c r="I4818" s="0" t="n">
        <f aca="false">1</f>
        <v>1</v>
      </c>
      <c r="J4818" s="0" t="n">
        <f aca="false">E4818</f>
        <v>0.5</v>
      </c>
      <c r="K4818" s="0" t="n">
        <f aca="false">F4818</f>
        <v>0.25</v>
      </c>
      <c r="L4818" s="0" t="n">
        <f aca="false">G4818</f>
        <v>-0.25</v>
      </c>
      <c r="M4818" s="0" t="n">
        <f aca="false">H4818</f>
        <v>0.75</v>
      </c>
      <c r="N4818" s="0" t="n">
        <f aca="false">E4818*F4818</f>
        <v>0.125</v>
      </c>
      <c r="O4818" s="0" t="n">
        <f aca="false">E4818*G4818</f>
        <v>-0.125</v>
      </c>
      <c r="P4818" s="0" t="n">
        <f aca="false">E4818*H4818</f>
        <v>0.375</v>
      </c>
      <c r="Q4818" s="0" t="n">
        <f aca="false">F4818*G4818</f>
        <v>-0.0625</v>
      </c>
      <c r="R4818" s="0" t="n">
        <f aca="false">F4818*H4818</f>
        <v>0.1875</v>
      </c>
      <c r="S4818" s="0" t="n">
        <f aca="false">G4818*H4818</f>
        <v>-0.1875</v>
      </c>
      <c r="T4818" s="0" t="n">
        <f aca="false">E4818*E4818</f>
        <v>0.25</v>
      </c>
      <c r="U4818" s="0" t="n">
        <f aca="false">F4818*F4818</f>
        <v>0.0625</v>
      </c>
      <c r="V4818" s="0" t="n">
        <f aca="false">G4818*G4818</f>
        <v>0.0625</v>
      </c>
      <c r="W4818" s="0" t="n">
        <f aca="false">H4818*H4818</f>
        <v>0.5625</v>
      </c>
      <c r="X4818" s="0" t="n">
        <f aca="false">SUMPRODUCT(I4818:W4818,_XtX!$B$96:$P$96)</f>
        <v>48.5832830774854</v>
      </c>
      <c r="Y4818" s="0" t="n">
        <f aca="false">SUMPRODUCT(MMULT(I4818:W4818,_XtX!$B$78:$P$92),I4818:W4818)</f>
        <v>0.207746539199561</v>
      </c>
      <c r="Z4818" s="0" t="n">
        <f aca="false">04_回帰ANOVA!$K$19*04_回帰ANOVA!$K$14*SQRT(1+Y4818)</f>
        <v>1.43247250081141</v>
      </c>
      <c r="AA4818" s="0" t="n">
        <f aca="false">X4818-Z4818</f>
        <v>47.150810576674</v>
      </c>
      <c r="AB4818" s="0" t="n">
        <f aca="false">X4818+Z4818</f>
        <v>50.0157555782968</v>
      </c>
      <c r="AC4818" s="54" t="b">
        <f aca="false">AND(E4818&gt;=01_因子設定!$L$5-0.000000001,E4818&lt;=01_因子設定!$M$5+0.000000001,F4818&gt;=01_因子設定!$L$6-0.000000001,F4818&lt;=01_因子設定!$M$6+0.000000001,G4818&gt;=01_因子設定!$L$7-0.000000001,G4818&lt;=01_因子設定!$M$7+0.000000001,H4818&gt;=01_因子設定!$L$8-0.000000001,H4818&lt;=01_因子設定!$M$8+0.000000001,IF(01_因子設定!$B$20="Box-Behnken",E4818^2+F4818^2+G4818^2+H4818^2&lt;=2+0.000000001,TRUE()))</f>
        <v>1</v>
      </c>
      <c r="AD4818" s="55" t="n">
        <f aca="false">IF(AC4818,IF(01_因子設定!$B$13="最大化",AA4818-01_因子設定!$B$14,IF(01_因子設定!$B$13="最小化",01_因子設定!$B$15-AB4818,MIN(AA4818-01_因子設定!$B$14,01_因子設定!$B$15-AB4818))),-1E+030)</f>
        <v>0.650810576673948</v>
      </c>
      <c r="AE4818" s="55" t="n">
        <f aca="false">IF(AC4818,IF(01_因子設定!$B$13="最大化",X4818,IF(01_因子設定!$B$13="最小化",-X4818,-ABS(X4818-01_因子設定!$B$16))),-1E+030)</f>
        <v>48.5832830774854</v>
      </c>
      <c r="AF4818" s="55" t="n">
        <f aca="false">AD4818+ROW()*0.000000001</f>
        <v>0.650815394673948</v>
      </c>
      <c r="AG4818" s="55" t="n">
        <f aca="false">AE4818+ROW()*0.000000001</f>
        <v>48.5832878954854</v>
      </c>
    </row>
    <row r="4819" customFormat="false" ht="15" hidden="false" customHeight="false" outlineLevel="0" collapsed="false">
      <c r="A4819" s="0" t="n">
        <v>6</v>
      </c>
      <c r="B4819" s="0" t="n">
        <v>5</v>
      </c>
      <c r="C4819" s="0" t="n">
        <v>3</v>
      </c>
      <c r="D4819" s="0" t="n">
        <v>8</v>
      </c>
      <c r="E4819" s="0" t="n">
        <f aca="false">-1+A4819*0.25</f>
        <v>0.5</v>
      </c>
      <c r="F4819" s="0" t="n">
        <f aca="false">-1+B4819*0.25</f>
        <v>0.25</v>
      </c>
      <c r="G4819" s="0" t="n">
        <f aca="false">-1+C4819*0.25</f>
        <v>-0.25</v>
      </c>
      <c r="H4819" s="0" t="n">
        <f aca="false">-1+D4819*0.25</f>
        <v>1</v>
      </c>
      <c r="I4819" s="0" t="n">
        <f aca="false">1</f>
        <v>1</v>
      </c>
      <c r="J4819" s="0" t="n">
        <f aca="false">E4819</f>
        <v>0.5</v>
      </c>
      <c r="K4819" s="0" t="n">
        <f aca="false">F4819</f>
        <v>0.25</v>
      </c>
      <c r="L4819" s="0" t="n">
        <f aca="false">G4819</f>
        <v>-0.25</v>
      </c>
      <c r="M4819" s="0" t="n">
        <f aca="false">H4819</f>
        <v>1</v>
      </c>
      <c r="N4819" s="0" t="n">
        <f aca="false">E4819*F4819</f>
        <v>0.125</v>
      </c>
      <c r="O4819" s="0" t="n">
        <f aca="false">E4819*G4819</f>
        <v>-0.125</v>
      </c>
      <c r="P4819" s="0" t="n">
        <f aca="false">E4819*H4819</f>
        <v>0.5</v>
      </c>
      <c r="Q4819" s="0" t="n">
        <f aca="false">F4819*G4819</f>
        <v>-0.0625</v>
      </c>
      <c r="R4819" s="0" t="n">
        <f aca="false">F4819*H4819</f>
        <v>0.25</v>
      </c>
      <c r="S4819" s="0" t="n">
        <f aca="false">G4819*H4819</f>
        <v>-0.25</v>
      </c>
      <c r="T4819" s="0" t="n">
        <f aca="false">E4819*E4819</f>
        <v>0.25</v>
      </c>
      <c r="U4819" s="0" t="n">
        <f aca="false">F4819*F4819</f>
        <v>0.0625</v>
      </c>
      <c r="V4819" s="0" t="n">
        <f aca="false">G4819*G4819</f>
        <v>0.0625</v>
      </c>
      <c r="W4819" s="0" t="n">
        <f aca="false">H4819*H4819</f>
        <v>1</v>
      </c>
      <c r="X4819" s="0" t="n">
        <f aca="false">SUMPRODUCT(I4819:W4819,_XtX!$B$96:$P$96)</f>
        <v>48.5017224049708</v>
      </c>
      <c r="Y4819" s="0" t="n">
        <f aca="false">SUMPRODUCT(MMULT(I4819:W4819,_XtX!$B$78:$P$92),I4819:W4819)</f>
        <v>0.445705123812135</v>
      </c>
      <c r="Z4819" s="0" t="n">
        <f aca="false">04_回帰ANOVA!$K$19*04_回帰ANOVA!$K$14*SQRT(1+Y4819)</f>
        <v>1.56724990734749</v>
      </c>
      <c r="AA4819" s="0" t="n">
        <f aca="false">X4819-Z4819</f>
        <v>46.9344724976233</v>
      </c>
      <c r="AB4819" s="0" t="n">
        <f aca="false">X4819+Z4819</f>
        <v>50.0689723123182</v>
      </c>
      <c r="AC4819" s="54" t="b">
        <f aca="false">AND(E4819&gt;=01_因子設定!$L$5-0.000000001,E4819&lt;=01_因子設定!$M$5+0.000000001,F4819&gt;=01_因子設定!$L$6-0.000000001,F4819&lt;=01_因子設定!$M$6+0.000000001,G4819&gt;=01_因子設定!$L$7-0.000000001,G4819&lt;=01_因子設定!$M$7+0.000000001,H4819&gt;=01_因子設定!$L$8-0.000000001,H4819&lt;=01_因子設定!$M$8+0.000000001,IF(01_因子設定!$B$20="Box-Behnken",E4819^2+F4819^2+G4819^2+H4819^2&lt;=2+0.000000001,TRUE()))</f>
        <v>1</v>
      </c>
      <c r="AD4819" s="55" t="n">
        <f aca="false">IF(AC4819,IF(01_因子設定!$B$13="最大化",AA4819-01_因子設定!$B$14,IF(01_因子設定!$B$13="最小化",01_因子設定!$B$15-AB4819,MIN(AA4819-01_因子設定!$B$14,01_因子設定!$B$15-AB4819))),-1E+030)</f>
        <v>0.434472497623261</v>
      </c>
      <c r="AE4819" s="55" t="n">
        <f aca="false">IF(AC4819,IF(01_因子設定!$B$13="最大化",X4819,IF(01_因子設定!$B$13="最小化",-X4819,-ABS(X4819-01_因子設定!$B$16))),-1E+030)</f>
        <v>48.5017224049708</v>
      </c>
      <c r="AF4819" s="55" t="n">
        <f aca="false">AD4819+ROW()*0.000000001</f>
        <v>0.434477316623261</v>
      </c>
      <c r="AG4819" s="55" t="n">
        <f aca="false">AE4819+ROW()*0.000000001</f>
        <v>48.5017272239708</v>
      </c>
    </row>
    <row r="4820" customFormat="false" ht="15" hidden="false" customHeight="false" outlineLevel="0" collapsed="false">
      <c r="A4820" s="0" t="n">
        <v>6</v>
      </c>
      <c r="B4820" s="0" t="n">
        <v>5</v>
      </c>
      <c r="C4820" s="0" t="n">
        <v>4</v>
      </c>
      <c r="D4820" s="0" t="n">
        <v>0</v>
      </c>
      <c r="E4820" s="0" t="n">
        <f aca="false">-1+A4820*0.25</f>
        <v>0.5</v>
      </c>
      <c r="F4820" s="0" t="n">
        <f aca="false">-1+B4820*0.25</f>
        <v>0.25</v>
      </c>
      <c r="G4820" s="0" t="n">
        <f aca="false">-1+C4820*0.25</f>
        <v>0</v>
      </c>
      <c r="H4820" s="0" t="n">
        <f aca="false">-1+D4820*0.25</f>
        <v>-1</v>
      </c>
      <c r="I4820" s="0" t="n">
        <f aca="false">1</f>
        <v>1</v>
      </c>
      <c r="J4820" s="0" t="n">
        <f aca="false">E4820</f>
        <v>0.5</v>
      </c>
      <c r="K4820" s="0" t="n">
        <f aca="false">F4820</f>
        <v>0.25</v>
      </c>
      <c r="L4820" s="0" t="n">
        <f aca="false">G4820</f>
        <v>0</v>
      </c>
      <c r="M4820" s="0" t="n">
        <f aca="false">H4820</f>
        <v>-1</v>
      </c>
      <c r="N4820" s="0" t="n">
        <f aca="false">E4820*F4820</f>
        <v>0.125</v>
      </c>
      <c r="O4820" s="0" t="n">
        <f aca="false">E4820*G4820</f>
        <v>0</v>
      </c>
      <c r="P4820" s="0" t="n">
        <f aca="false">E4820*H4820</f>
        <v>-0.5</v>
      </c>
      <c r="Q4820" s="0" t="n">
        <f aca="false">F4820*G4820</f>
        <v>0</v>
      </c>
      <c r="R4820" s="0" t="n">
        <f aca="false">F4820*H4820</f>
        <v>-0.25</v>
      </c>
      <c r="S4820" s="0" t="n">
        <f aca="false">G4820*H4820</f>
        <v>-0</v>
      </c>
      <c r="T4820" s="0" t="n">
        <f aca="false">E4820*E4820</f>
        <v>0.25</v>
      </c>
      <c r="U4820" s="0" t="n">
        <f aca="false">F4820*F4820</f>
        <v>0.0625</v>
      </c>
      <c r="V4820" s="0" t="n">
        <f aca="false">G4820*G4820</f>
        <v>0</v>
      </c>
      <c r="W4820" s="0" t="n">
        <f aca="false">H4820*H4820</f>
        <v>1</v>
      </c>
      <c r="X4820" s="0" t="n">
        <f aca="false">SUMPRODUCT(I4820:W4820,_XtX!$B$96:$P$96)</f>
        <v>47.9705043859649</v>
      </c>
      <c r="Y4820" s="0" t="n">
        <f aca="false">SUMPRODUCT(MMULT(I4820:W4820,_XtX!$B$78:$P$92),I4820:W4820)</f>
        <v>0.457596628289474</v>
      </c>
      <c r="Z4820" s="0" t="n">
        <f aca="false">04_回帰ANOVA!$K$19*04_回帰ANOVA!$K$14*SQRT(1+Y4820)</f>
        <v>1.57368233664366</v>
      </c>
      <c r="AA4820" s="0" t="n">
        <f aca="false">X4820-Z4820</f>
        <v>46.3968220493213</v>
      </c>
      <c r="AB4820" s="0" t="n">
        <f aca="false">X4820+Z4820</f>
        <v>49.5441867226086</v>
      </c>
      <c r="AC4820" s="54" t="b">
        <f aca="false">AND(E4820&gt;=01_因子設定!$L$5-0.000000001,E4820&lt;=01_因子設定!$M$5+0.000000001,F4820&gt;=01_因子設定!$L$6-0.000000001,F4820&lt;=01_因子設定!$M$6+0.000000001,G4820&gt;=01_因子設定!$L$7-0.000000001,G4820&lt;=01_因子設定!$M$7+0.000000001,H4820&gt;=01_因子設定!$L$8-0.000000001,H4820&lt;=01_因子設定!$M$8+0.000000001,IF(01_因子設定!$B$20="Box-Behnken",E4820^2+F4820^2+G4820^2+H4820^2&lt;=2+0.000000001,TRUE()))</f>
        <v>1</v>
      </c>
      <c r="AD4820" s="55" t="n">
        <f aca="false">IF(AC4820,IF(01_因子設定!$B$13="最大化",AA4820-01_因子設定!$B$14,IF(01_因子設定!$B$13="最小化",01_因子設定!$B$15-AB4820,MIN(AA4820-01_因子設定!$B$14,01_因子設定!$B$15-AB4820))),-1E+030)</f>
        <v>-0.103177950678749</v>
      </c>
      <c r="AE4820" s="55" t="n">
        <f aca="false">IF(AC4820,IF(01_因子設定!$B$13="最大化",X4820,IF(01_因子設定!$B$13="最小化",-X4820,-ABS(X4820-01_因子設定!$B$16))),-1E+030)</f>
        <v>47.9705043859649</v>
      </c>
      <c r="AF4820" s="55" t="n">
        <f aca="false">AD4820+ROW()*0.000000001</f>
        <v>-0.103173130678749</v>
      </c>
      <c r="AG4820" s="55" t="n">
        <f aca="false">AE4820+ROW()*0.000000001</f>
        <v>47.9705092059649</v>
      </c>
    </row>
    <row r="4821" customFormat="false" ht="15" hidden="false" customHeight="false" outlineLevel="0" collapsed="false">
      <c r="A4821" s="0" t="n">
        <v>6</v>
      </c>
      <c r="B4821" s="0" t="n">
        <v>5</v>
      </c>
      <c r="C4821" s="0" t="n">
        <v>4</v>
      </c>
      <c r="D4821" s="0" t="n">
        <v>1</v>
      </c>
      <c r="E4821" s="0" t="n">
        <f aca="false">-1+A4821*0.25</f>
        <v>0.5</v>
      </c>
      <c r="F4821" s="0" t="n">
        <f aca="false">-1+B4821*0.25</f>
        <v>0.25</v>
      </c>
      <c r="G4821" s="0" t="n">
        <f aca="false">-1+C4821*0.25</f>
        <v>0</v>
      </c>
      <c r="H4821" s="0" t="n">
        <f aca="false">-1+D4821*0.25</f>
        <v>-0.75</v>
      </c>
      <c r="I4821" s="0" t="n">
        <f aca="false">1</f>
        <v>1</v>
      </c>
      <c r="J4821" s="0" t="n">
        <f aca="false">E4821</f>
        <v>0.5</v>
      </c>
      <c r="K4821" s="0" t="n">
        <f aca="false">F4821</f>
        <v>0.25</v>
      </c>
      <c r="L4821" s="0" t="n">
        <f aca="false">G4821</f>
        <v>0</v>
      </c>
      <c r="M4821" s="0" t="n">
        <f aca="false">H4821</f>
        <v>-0.75</v>
      </c>
      <c r="N4821" s="0" t="n">
        <f aca="false">E4821*F4821</f>
        <v>0.125</v>
      </c>
      <c r="O4821" s="0" t="n">
        <f aca="false">E4821*G4821</f>
        <v>0</v>
      </c>
      <c r="P4821" s="0" t="n">
        <f aca="false">E4821*H4821</f>
        <v>-0.375</v>
      </c>
      <c r="Q4821" s="0" t="n">
        <f aca="false">F4821*G4821</f>
        <v>0</v>
      </c>
      <c r="R4821" s="0" t="n">
        <f aca="false">F4821*H4821</f>
        <v>-0.1875</v>
      </c>
      <c r="S4821" s="0" t="n">
        <f aca="false">G4821*H4821</f>
        <v>-0</v>
      </c>
      <c r="T4821" s="0" t="n">
        <f aca="false">E4821*E4821</f>
        <v>0.25</v>
      </c>
      <c r="U4821" s="0" t="n">
        <f aca="false">F4821*F4821</f>
        <v>0.0625</v>
      </c>
      <c r="V4821" s="0" t="n">
        <f aca="false">G4821*G4821</f>
        <v>0</v>
      </c>
      <c r="W4821" s="0" t="n">
        <f aca="false">H4821*H4821</f>
        <v>0.5625</v>
      </c>
      <c r="X4821" s="0" t="n">
        <f aca="false">SUMPRODUCT(I4821:W4821,_XtX!$B$96:$P$96)</f>
        <v>48.2415615862573</v>
      </c>
      <c r="Y4821" s="0" t="n">
        <f aca="false">SUMPRODUCT(MMULT(I4821:W4821,_XtX!$B$78:$P$92),I4821:W4821)</f>
        <v>0.215110734192252</v>
      </c>
      <c r="Z4821" s="0" t="n">
        <f aca="false">04_回帰ANOVA!$K$19*04_回帰ANOVA!$K$14*SQRT(1+Y4821)</f>
        <v>1.43683309086864</v>
      </c>
      <c r="AA4821" s="0" t="n">
        <f aca="false">X4821-Z4821</f>
        <v>46.8047284953886</v>
      </c>
      <c r="AB4821" s="0" t="n">
        <f aca="false">X4821+Z4821</f>
        <v>49.6783946771259</v>
      </c>
      <c r="AC4821" s="54" t="b">
        <f aca="false">AND(E4821&gt;=01_因子設定!$L$5-0.000000001,E4821&lt;=01_因子設定!$M$5+0.000000001,F4821&gt;=01_因子設定!$L$6-0.000000001,F4821&lt;=01_因子設定!$M$6+0.000000001,G4821&gt;=01_因子設定!$L$7-0.000000001,G4821&lt;=01_因子設定!$M$7+0.000000001,H4821&gt;=01_因子設定!$L$8-0.000000001,H4821&lt;=01_因子設定!$M$8+0.000000001,IF(01_因子設定!$B$20="Box-Behnken",E4821^2+F4821^2+G4821^2+H4821^2&lt;=2+0.000000001,TRUE()))</f>
        <v>1</v>
      </c>
      <c r="AD4821" s="55" t="n">
        <f aca="false">IF(AC4821,IF(01_因子設定!$B$13="最大化",AA4821-01_因子設定!$B$14,IF(01_因子設定!$B$13="最小化",01_因子設定!$B$15-AB4821,MIN(AA4821-01_因子設定!$B$14,01_因子設定!$B$15-AB4821))),-1E+030)</f>
        <v>0.304728495388645</v>
      </c>
      <c r="AE4821" s="55" t="n">
        <f aca="false">IF(AC4821,IF(01_因子設定!$B$13="最大化",X4821,IF(01_因子設定!$B$13="最小化",-X4821,-ABS(X4821-01_因子設定!$B$16))),-1E+030)</f>
        <v>48.2415615862573</v>
      </c>
      <c r="AF4821" s="55" t="n">
        <f aca="false">AD4821+ROW()*0.000000001</f>
        <v>0.304733316388645</v>
      </c>
      <c r="AG4821" s="55" t="n">
        <f aca="false">AE4821+ROW()*0.000000001</f>
        <v>48.2415664072573</v>
      </c>
    </row>
    <row r="4822" customFormat="false" ht="15" hidden="false" customHeight="false" outlineLevel="0" collapsed="false">
      <c r="A4822" s="0" t="n">
        <v>6</v>
      </c>
      <c r="B4822" s="0" t="n">
        <v>5</v>
      </c>
      <c r="C4822" s="0" t="n">
        <v>4</v>
      </c>
      <c r="D4822" s="0" t="n">
        <v>2</v>
      </c>
      <c r="E4822" s="0" t="n">
        <f aca="false">-1+A4822*0.25</f>
        <v>0.5</v>
      </c>
      <c r="F4822" s="0" t="n">
        <f aca="false">-1+B4822*0.25</f>
        <v>0.25</v>
      </c>
      <c r="G4822" s="0" t="n">
        <f aca="false">-1+C4822*0.25</f>
        <v>0</v>
      </c>
      <c r="H4822" s="0" t="n">
        <f aca="false">-1+D4822*0.25</f>
        <v>-0.5</v>
      </c>
      <c r="I4822" s="0" t="n">
        <f aca="false">1</f>
        <v>1</v>
      </c>
      <c r="J4822" s="0" t="n">
        <f aca="false">E4822</f>
        <v>0.5</v>
      </c>
      <c r="K4822" s="0" t="n">
        <f aca="false">F4822</f>
        <v>0.25</v>
      </c>
      <c r="L4822" s="0" t="n">
        <f aca="false">G4822</f>
        <v>0</v>
      </c>
      <c r="M4822" s="0" t="n">
        <f aca="false">H4822</f>
        <v>-0.5</v>
      </c>
      <c r="N4822" s="0" t="n">
        <f aca="false">E4822*F4822</f>
        <v>0.125</v>
      </c>
      <c r="O4822" s="0" t="n">
        <f aca="false">E4822*G4822</f>
        <v>0</v>
      </c>
      <c r="P4822" s="0" t="n">
        <f aca="false">E4822*H4822</f>
        <v>-0.25</v>
      </c>
      <c r="Q4822" s="0" t="n">
        <f aca="false">F4822*G4822</f>
        <v>0</v>
      </c>
      <c r="R4822" s="0" t="n">
        <f aca="false">F4822*H4822</f>
        <v>-0.125</v>
      </c>
      <c r="S4822" s="0" t="n">
        <f aca="false">G4822*H4822</f>
        <v>-0</v>
      </c>
      <c r="T4822" s="0" t="n">
        <f aca="false">E4822*E4822</f>
        <v>0.25</v>
      </c>
      <c r="U4822" s="0" t="n">
        <f aca="false">F4822*F4822</f>
        <v>0.0625</v>
      </c>
      <c r="V4822" s="0" t="n">
        <f aca="false">G4822*G4822</f>
        <v>0</v>
      </c>
      <c r="W4822" s="0" t="n">
        <f aca="false">H4822*H4822</f>
        <v>0.25</v>
      </c>
      <c r="X4822" s="0" t="n">
        <f aca="false">SUMPRODUCT(I4822:W4822,_XtX!$B$96:$P$96)</f>
        <v>48.4648117690058</v>
      </c>
      <c r="Y4822" s="0" t="n">
        <f aca="false">SUMPRODUCT(MMULT(I4822:W4822,_XtX!$B$78:$P$92),I4822:W4822)</f>
        <v>0.132367050438597</v>
      </c>
      <c r="Z4822" s="0" t="n">
        <f aca="false">04_回帰ANOVA!$K$19*04_回帰ANOVA!$K$14*SQRT(1+Y4822)</f>
        <v>1.38704964208329</v>
      </c>
      <c r="AA4822" s="0" t="n">
        <f aca="false">X4822-Z4822</f>
        <v>47.0777621269225</v>
      </c>
      <c r="AB4822" s="0" t="n">
        <f aca="false">X4822+Z4822</f>
        <v>49.8518614110891</v>
      </c>
      <c r="AC4822" s="54" t="b">
        <f aca="false">AND(E4822&gt;=01_因子設定!$L$5-0.000000001,E4822&lt;=01_因子設定!$M$5+0.000000001,F4822&gt;=01_因子設定!$L$6-0.000000001,F4822&lt;=01_因子設定!$M$6+0.000000001,G4822&gt;=01_因子設定!$L$7-0.000000001,G4822&lt;=01_因子設定!$M$7+0.000000001,H4822&gt;=01_因子設定!$L$8-0.000000001,H4822&lt;=01_因子設定!$M$8+0.000000001,IF(01_因子設定!$B$20="Box-Behnken",E4822^2+F4822^2+G4822^2+H4822^2&lt;=2+0.000000001,TRUE()))</f>
        <v>1</v>
      </c>
      <c r="AD4822" s="55" t="n">
        <f aca="false">IF(AC4822,IF(01_因子設定!$B$13="最大化",AA4822-01_因子設定!$B$14,IF(01_因子設定!$B$13="最小化",01_因子設定!$B$15-AB4822,MIN(AA4822-01_因子設定!$B$14,01_因子設定!$B$15-AB4822))),-1E+030)</f>
        <v>0.577762126922522</v>
      </c>
      <c r="AE4822" s="55" t="n">
        <f aca="false">IF(AC4822,IF(01_因子設定!$B$13="最大化",X4822,IF(01_因子設定!$B$13="最小化",-X4822,-ABS(X4822-01_因子設定!$B$16))),-1E+030)</f>
        <v>48.4648117690058</v>
      </c>
      <c r="AF4822" s="55" t="n">
        <f aca="false">AD4822+ROW()*0.000000001</f>
        <v>0.577766948922522</v>
      </c>
      <c r="AG4822" s="55" t="n">
        <f aca="false">AE4822+ROW()*0.000000001</f>
        <v>48.4648165910058</v>
      </c>
    </row>
    <row r="4823" customFormat="false" ht="15" hidden="false" customHeight="false" outlineLevel="0" collapsed="false">
      <c r="A4823" s="0" t="n">
        <v>6</v>
      </c>
      <c r="B4823" s="0" t="n">
        <v>5</v>
      </c>
      <c r="C4823" s="0" t="n">
        <v>4</v>
      </c>
      <c r="D4823" s="0" t="n">
        <v>3</v>
      </c>
      <c r="E4823" s="0" t="n">
        <f aca="false">-1+A4823*0.25</f>
        <v>0.5</v>
      </c>
      <c r="F4823" s="0" t="n">
        <f aca="false">-1+B4823*0.25</f>
        <v>0.25</v>
      </c>
      <c r="G4823" s="0" t="n">
        <f aca="false">-1+C4823*0.25</f>
        <v>0</v>
      </c>
      <c r="H4823" s="0" t="n">
        <f aca="false">-1+D4823*0.25</f>
        <v>-0.25</v>
      </c>
      <c r="I4823" s="0" t="n">
        <f aca="false">1</f>
        <v>1</v>
      </c>
      <c r="J4823" s="0" t="n">
        <f aca="false">E4823</f>
        <v>0.5</v>
      </c>
      <c r="K4823" s="0" t="n">
        <f aca="false">F4823</f>
        <v>0.25</v>
      </c>
      <c r="L4823" s="0" t="n">
        <f aca="false">G4823</f>
        <v>0</v>
      </c>
      <c r="M4823" s="0" t="n">
        <f aca="false">H4823</f>
        <v>-0.25</v>
      </c>
      <c r="N4823" s="0" t="n">
        <f aca="false">E4823*F4823</f>
        <v>0.125</v>
      </c>
      <c r="O4823" s="0" t="n">
        <f aca="false">E4823*G4823</f>
        <v>0</v>
      </c>
      <c r="P4823" s="0" t="n">
        <f aca="false">E4823*H4823</f>
        <v>-0.125</v>
      </c>
      <c r="Q4823" s="0" t="n">
        <f aca="false">F4823*G4823</f>
        <v>0</v>
      </c>
      <c r="R4823" s="0" t="n">
        <f aca="false">F4823*H4823</f>
        <v>-0.0625</v>
      </c>
      <c r="S4823" s="0" t="n">
        <f aca="false">G4823*H4823</f>
        <v>-0</v>
      </c>
      <c r="T4823" s="0" t="n">
        <f aca="false">E4823*E4823</f>
        <v>0.25</v>
      </c>
      <c r="U4823" s="0" t="n">
        <f aca="false">F4823*F4823</f>
        <v>0.0625</v>
      </c>
      <c r="V4823" s="0" t="n">
        <f aca="false">G4823*G4823</f>
        <v>0</v>
      </c>
      <c r="W4823" s="0" t="n">
        <f aca="false">H4823*H4823</f>
        <v>0.0625</v>
      </c>
      <c r="X4823" s="0" t="n">
        <f aca="false">SUMPRODUCT(I4823:W4823,_XtX!$B$96:$P$96)</f>
        <v>48.6402549342105</v>
      </c>
      <c r="Y4823" s="0" t="n">
        <f aca="false">SUMPRODUCT(MMULT(I4823:W4823,_XtX!$B$78:$P$92),I4823:W4823)</f>
        <v>0.118905050712719</v>
      </c>
      <c r="Z4823" s="0" t="n">
        <f aca="false">04_回帰ANOVA!$K$19*04_回帰ANOVA!$K$14*SQRT(1+Y4823)</f>
        <v>1.37878011033769</v>
      </c>
      <c r="AA4823" s="0" t="n">
        <f aca="false">X4823-Z4823</f>
        <v>47.2614748238728</v>
      </c>
      <c r="AB4823" s="0" t="n">
        <f aca="false">X4823+Z4823</f>
        <v>50.0190350445482</v>
      </c>
      <c r="AC4823" s="54" t="b">
        <f aca="false">AND(E4823&gt;=01_因子設定!$L$5-0.000000001,E4823&lt;=01_因子設定!$M$5+0.000000001,F4823&gt;=01_因子設定!$L$6-0.000000001,F4823&lt;=01_因子設定!$M$6+0.000000001,G4823&gt;=01_因子設定!$L$7-0.000000001,G4823&lt;=01_因子設定!$M$7+0.000000001,H4823&gt;=01_因子設定!$L$8-0.000000001,H4823&lt;=01_因子設定!$M$8+0.000000001,IF(01_因子設定!$B$20="Box-Behnken",E4823^2+F4823^2+G4823^2+H4823^2&lt;=2+0.000000001,TRUE()))</f>
        <v>1</v>
      </c>
      <c r="AD4823" s="55" t="n">
        <f aca="false">IF(AC4823,IF(01_因子設定!$B$13="最大化",AA4823-01_因子設定!$B$14,IF(01_因子設定!$B$13="最小化",01_因子設定!$B$15-AB4823,MIN(AA4823-01_因子設定!$B$14,01_因子設定!$B$15-AB4823))),-1E+030)</f>
        <v>0.761474823872796</v>
      </c>
      <c r="AE4823" s="55" t="n">
        <f aca="false">IF(AC4823,IF(01_因子設定!$B$13="最大化",X4823,IF(01_因子設定!$B$13="最小化",-X4823,-ABS(X4823-01_因子設定!$B$16))),-1E+030)</f>
        <v>48.6402549342105</v>
      </c>
      <c r="AF4823" s="55" t="n">
        <f aca="false">AD4823+ROW()*0.000000001</f>
        <v>0.761479646872796</v>
      </c>
      <c r="AG4823" s="55" t="n">
        <f aca="false">AE4823+ROW()*0.000000001</f>
        <v>48.6402597572105</v>
      </c>
    </row>
    <row r="4824" customFormat="false" ht="15" hidden="false" customHeight="false" outlineLevel="0" collapsed="false">
      <c r="A4824" s="0" t="n">
        <v>6</v>
      </c>
      <c r="B4824" s="0" t="n">
        <v>5</v>
      </c>
      <c r="C4824" s="0" t="n">
        <v>4</v>
      </c>
      <c r="D4824" s="0" t="n">
        <v>4</v>
      </c>
      <c r="E4824" s="0" t="n">
        <f aca="false">-1+A4824*0.25</f>
        <v>0.5</v>
      </c>
      <c r="F4824" s="0" t="n">
        <f aca="false">-1+B4824*0.25</f>
        <v>0.25</v>
      </c>
      <c r="G4824" s="0" t="n">
        <f aca="false">-1+C4824*0.25</f>
        <v>0</v>
      </c>
      <c r="H4824" s="0" t="n">
        <f aca="false">-1+D4824*0.25</f>
        <v>0</v>
      </c>
      <c r="I4824" s="0" t="n">
        <f aca="false">1</f>
        <v>1</v>
      </c>
      <c r="J4824" s="0" t="n">
        <f aca="false">E4824</f>
        <v>0.5</v>
      </c>
      <c r="K4824" s="0" t="n">
        <f aca="false">F4824</f>
        <v>0.25</v>
      </c>
      <c r="L4824" s="0" t="n">
        <f aca="false">G4824</f>
        <v>0</v>
      </c>
      <c r="M4824" s="0" t="n">
        <f aca="false">H4824</f>
        <v>0</v>
      </c>
      <c r="N4824" s="0" t="n">
        <f aca="false">E4824*F4824</f>
        <v>0.125</v>
      </c>
      <c r="O4824" s="0" t="n">
        <f aca="false">E4824*G4824</f>
        <v>0</v>
      </c>
      <c r="P4824" s="0" t="n">
        <f aca="false">E4824*H4824</f>
        <v>0</v>
      </c>
      <c r="Q4824" s="0" t="n">
        <f aca="false">F4824*G4824</f>
        <v>0</v>
      </c>
      <c r="R4824" s="0" t="n">
        <f aca="false">F4824*H4824</f>
        <v>0</v>
      </c>
      <c r="S4824" s="0" t="n">
        <f aca="false">G4824*H4824</f>
        <v>0</v>
      </c>
      <c r="T4824" s="0" t="n">
        <f aca="false">E4824*E4824</f>
        <v>0.25</v>
      </c>
      <c r="U4824" s="0" t="n">
        <f aca="false">F4824*F4824</f>
        <v>0.0625</v>
      </c>
      <c r="V4824" s="0" t="n">
        <f aca="false">G4824*G4824</f>
        <v>0</v>
      </c>
      <c r="W4824" s="0" t="n">
        <f aca="false">H4824*H4824</f>
        <v>0</v>
      </c>
      <c r="X4824" s="0" t="n">
        <f aca="false">SUMPRODUCT(I4824:W4824,_XtX!$B$96:$P$96)</f>
        <v>48.7678910818713</v>
      </c>
      <c r="Y4824" s="0" t="n">
        <f aca="false">SUMPRODUCT(MMULT(I4824:W4824,_XtX!$B$78:$P$92),I4824:W4824)</f>
        <v>0.120448419225146</v>
      </c>
      <c r="Z4824" s="0" t="n">
        <f aca="false">04_回帰ANOVA!$K$19*04_回帰ANOVA!$K$14*SQRT(1+Y4824)</f>
        <v>1.37973069703246</v>
      </c>
      <c r="AA4824" s="0" t="n">
        <f aca="false">X4824-Z4824</f>
        <v>47.3881603848388</v>
      </c>
      <c r="AB4824" s="0" t="n">
        <f aca="false">X4824+Z4824</f>
        <v>50.1476217789038</v>
      </c>
      <c r="AC4824" s="54" t="b">
        <f aca="false">AND(E4824&gt;=01_因子設定!$L$5-0.000000001,E4824&lt;=01_因子設定!$M$5+0.000000001,F4824&gt;=01_因子設定!$L$6-0.000000001,F4824&lt;=01_因子設定!$M$6+0.000000001,G4824&gt;=01_因子設定!$L$7-0.000000001,G4824&lt;=01_因子設定!$M$7+0.000000001,H4824&gt;=01_因子設定!$L$8-0.000000001,H4824&lt;=01_因子設定!$M$8+0.000000001,IF(01_因子設定!$B$20="Box-Behnken",E4824^2+F4824^2+G4824^2+H4824^2&lt;=2+0.000000001,TRUE()))</f>
        <v>1</v>
      </c>
      <c r="AD4824" s="55" t="n">
        <f aca="false">IF(AC4824,IF(01_因子設定!$B$13="最大化",AA4824-01_因子設定!$B$14,IF(01_因子設定!$B$13="最小化",01_因子設定!$B$15-AB4824,MIN(AA4824-01_因子設定!$B$14,01_因子設定!$B$15-AB4824))),-1E+030)</f>
        <v>0.888160384838834</v>
      </c>
      <c r="AE4824" s="55" t="n">
        <f aca="false">IF(AC4824,IF(01_因子設定!$B$13="最大化",X4824,IF(01_因子設定!$B$13="最小化",-X4824,-ABS(X4824-01_因子設定!$B$16))),-1E+030)</f>
        <v>48.7678910818713</v>
      </c>
      <c r="AF4824" s="55" t="n">
        <f aca="false">AD4824+ROW()*0.000000001</f>
        <v>0.888165208838834</v>
      </c>
      <c r="AG4824" s="55" t="n">
        <f aca="false">AE4824+ROW()*0.000000001</f>
        <v>48.7678959058713</v>
      </c>
    </row>
    <row r="4825" customFormat="false" ht="15" hidden="false" customHeight="false" outlineLevel="0" collapsed="false">
      <c r="A4825" s="0" t="n">
        <v>6</v>
      </c>
      <c r="B4825" s="0" t="n">
        <v>5</v>
      </c>
      <c r="C4825" s="0" t="n">
        <v>4</v>
      </c>
      <c r="D4825" s="0" t="n">
        <v>5</v>
      </c>
      <c r="E4825" s="0" t="n">
        <f aca="false">-1+A4825*0.25</f>
        <v>0.5</v>
      </c>
      <c r="F4825" s="0" t="n">
        <f aca="false">-1+B4825*0.25</f>
        <v>0.25</v>
      </c>
      <c r="G4825" s="0" t="n">
        <f aca="false">-1+C4825*0.25</f>
        <v>0</v>
      </c>
      <c r="H4825" s="0" t="n">
        <f aca="false">-1+D4825*0.25</f>
        <v>0.25</v>
      </c>
      <c r="I4825" s="0" t="n">
        <f aca="false">1</f>
        <v>1</v>
      </c>
      <c r="J4825" s="0" t="n">
        <f aca="false">E4825</f>
        <v>0.5</v>
      </c>
      <c r="K4825" s="0" t="n">
        <f aca="false">F4825</f>
        <v>0.25</v>
      </c>
      <c r="L4825" s="0" t="n">
        <f aca="false">G4825</f>
        <v>0</v>
      </c>
      <c r="M4825" s="0" t="n">
        <f aca="false">H4825</f>
        <v>0.25</v>
      </c>
      <c r="N4825" s="0" t="n">
        <f aca="false">E4825*F4825</f>
        <v>0.125</v>
      </c>
      <c r="O4825" s="0" t="n">
        <f aca="false">E4825*G4825</f>
        <v>0</v>
      </c>
      <c r="P4825" s="0" t="n">
        <f aca="false">E4825*H4825</f>
        <v>0.125</v>
      </c>
      <c r="Q4825" s="0" t="n">
        <f aca="false">F4825*G4825</f>
        <v>0</v>
      </c>
      <c r="R4825" s="0" t="n">
        <f aca="false">F4825*H4825</f>
        <v>0.0625</v>
      </c>
      <c r="S4825" s="0" t="n">
        <f aca="false">G4825*H4825</f>
        <v>0</v>
      </c>
      <c r="T4825" s="0" t="n">
        <f aca="false">E4825*E4825</f>
        <v>0.25</v>
      </c>
      <c r="U4825" s="0" t="n">
        <f aca="false">F4825*F4825</f>
        <v>0.0625</v>
      </c>
      <c r="V4825" s="0" t="n">
        <f aca="false">G4825*G4825</f>
        <v>0</v>
      </c>
      <c r="W4825" s="0" t="n">
        <f aca="false">H4825*H4825</f>
        <v>0.0625</v>
      </c>
      <c r="X4825" s="0" t="n">
        <f aca="false">SUMPRODUCT(I4825:W4825,_XtX!$B$96:$P$96)</f>
        <v>48.8477202119883</v>
      </c>
      <c r="Y4825" s="0" t="n">
        <f aca="false">SUMPRODUCT(MMULT(I4825:W4825,_XtX!$B$78:$P$92),I4825:W4825)</f>
        <v>0.118905050712719</v>
      </c>
      <c r="Z4825" s="0" t="n">
        <f aca="false">04_回帰ANOVA!$K$19*04_回帰ANOVA!$K$14*SQRT(1+Y4825)</f>
        <v>1.37878011033769</v>
      </c>
      <c r="AA4825" s="0" t="n">
        <f aca="false">X4825-Z4825</f>
        <v>47.4689401016506</v>
      </c>
      <c r="AB4825" s="0" t="n">
        <f aca="false">X4825+Z4825</f>
        <v>50.226500322326</v>
      </c>
      <c r="AC4825" s="54" t="b">
        <f aca="false">AND(E4825&gt;=01_因子設定!$L$5-0.000000001,E4825&lt;=01_因子設定!$M$5+0.000000001,F4825&gt;=01_因子設定!$L$6-0.000000001,F4825&lt;=01_因子設定!$M$6+0.000000001,G4825&gt;=01_因子設定!$L$7-0.000000001,G4825&lt;=01_因子設定!$M$7+0.000000001,H4825&gt;=01_因子設定!$L$8-0.000000001,H4825&lt;=01_因子設定!$M$8+0.000000001,IF(01_因子設定!$B$20="Box-Behnken",E4825^2+F4825^2+G4825^2+H4825^2&lt;=2+0.000000001,TRUE()))</f>
        <v>1</v>
      </c>
      <c r="AD4825" s="55" t="n">
        <f aca="false">IF(AC4825,IF(01_因子設定!$B$13="最大化",AA4825-01_因子設定!$B$14,IF(01_因子設定!$B$13="最小化",01_因子設定!$B$15-AB4825,MIN(AA4825-01_因子設定!$B$14,01_因子設定!$B$15-AB4825))),-1E+030)</f>
        <v>0.968940101650574</v>
      </c>
      <c r="AE4825" s="55" t="n">
        <f aca="false">IF(AC4825,IF(01_因子設定!$B$13="最大化",X4825,IF(01_因子設定!$B$13="最小化",-X4825,-ABS(X4825-01_因子設定!$B$16))),-1E+030)</f>
        <v>48.8477202119883</v>
      </c>
      <c r="AF4825" s="55" t="n">
        <f aca="false">AD4825+ROW()*0.000000001</f>
        <v>0.968944926650574</v>
      </c>
      <c r="AG4825" s="55" t="n">
        <f aca="false">AE4825+ROW()*0.000000001</f>
        <v>48.8477250369883</v>
      </c>
    </row>
    <row r="4826" customFormat="false" ht="15" hidden="false" customHeight="false" outlineLevel="0" collapsed="false">
      <c r="A4826" s="0" t="n">
        <v>6</v>
      </c>
      <c r="B4826" s="0" t="n">
        <v>5</v>
      </c>
      <c r="C4826" s="0" t="n">
        <v>4</v>
      </c>
      <c r="D4826" s="0" t="n">
        <v>6</v>
      </c>
      <c r="E4826" s="0" t="n">
        <f aca="false">-1+A4826*0.25</f>
        <v>0.5</v>
      </c>
      <c r="F4826" s="0" t="n">
        <f aca="false">-1+B4826*0.25</f>
        <v>0.25</v>
      </c>
      <c r="G4826" s="0" t="n">
        <f aca="false">-1+C4826*0.25</f>
        <v>0</v>
      </c>
      <c r="H4826" s="0" t="n">
        <f aca="false">-1+D4826*0.25</f>
        <v>0.5</v>
      </c>
      <c r="I4826" s="0" t="n">
        <f aca="false">1</f>
        <v>1</v>
      </c>
      <c r="J4826" s="0" t="n">
        <f aca="false">E4826</f>
        <v>0.5</v>
      </c>
      <c r="K4826" s="0" t="n">
        <f aca="false">F4826</f>
        <v>0.25</v>
      </c>
      <c r="L4826" s="0" t="n">
        <f aca="false">G4826</f>
        <v>0</v>
      </c>
      <c r="M4826" s="0" t="n">
        <f aca="false">H4826</f>
        <v>0.5</v>
      </c>
      <c r="N4826" s="0" t="n">
        <f aca="false">E4826*F4826</f>
        <v>0.125</v>
      </c>
      <c r="O4826" s="0" t="n">
        <f aca="false">E4826*G4826</f>
        <v>0</v>
      </c>
      <c r="P4826" s="0" t="n">
        <f aca="false">E4826*H4826</f>
        <v>0.25</v>
      </c>
      <c r="Q4826" s="0" t="n">
        <f aca="false">F4826*G4826</f>
        <v>0</v>
      </c>
      <c r="R4826" s="0" t="n">
        <f aca="false">F4826*H4826</f>
        <v>0.125</v>
      </c>
      <c r="S4826" s="0" t="n">
        <f aca="false">G4826*H4826</f>
        <v>0</v>
      </c>
      <c r="T4826" s="0" t="n">
        <f aca="false">E4826*E4826</f>
        <v>0.25</v>
      </c>
      <c r="U4826" s="0" t="n">
        <f aca="false">F4826*F4826</f>
        <v>0.0625</v>
      </c>
      <c r="V4826" s="0" t="n">
        <f aca="false">G4826*G4826</f>
        <v>0</v>
      </c>
      <c r="W4826" s="0" t="n">
        <f aca="false">H4826*H4826</f>
        <v>0.25</v>
      </c>
      <c r="X4826" s="0" t="n">
        <f aca="false">SUMPRODUCT(I4826:W4826,_XtX!$B$96:$P$96)</f>
        <v>48.8797423245614</v>
      </c>
      <c r="Y4826" s="0" t="n">
        <f aca="false">SUMPRODUCT(MMULT(I4826:W4826,_XtX!$B$78:$P$92),I4826:W4826)</f>
        <v>0.132367050438597</v>
      </c>
      <c r="Z4826" s="0" t="n">
        <f aca="false">04_回帰ANOVA!$K$19*04_回帰ANOVA!$K$14*SQRT(1+Y4826)</f>
        <v>1.38704964208329</v>
      </c>
      <c r="AA4826" s="0" t="n">
        <f aca="false">X4826-Z4826</f>
        <v>47.4926926824781</v>
      </c>
      <c r="AB4826" s="0" t="n">
        <f aca="false">X4826+Z4826</f>
        <v>50.2667919666447</v>
      </c>
      <c r="AC4826" s="54" t="b">
        <f aca="false">AND(E4826&gt;=01_因子設定!$L$5-0.000000001,E4826&lt;=01_因子設定!$M$5+0.000000001,F4826&gt;=01_因子設定!$L$6-0.000000001,F4826&lt;=01_因子設定!$M$6+0.000000001,G4826&gt;=01_因子設定!$L$7-0.000000001,G4826&lt;=01_因子設定!$M$7+0.000000001,H4826&gt;=01_因子設定!$L$8-0.000000001,H4826&lt;=01_因子設定!$M$8+0.000000001,IF(01_因子設定!$B$20="Box-Behnken",E4826^2+F4826^2+G4826^2+H4826^2&lt;=2+0.000000001,TRUE()))</f>
        <v>1</v>
      </c>
      <c r="AD4826" s="55" t="n">
        <f aca="false">IF(AC4826,IF(01_因子設定!$B$13="最大化",AA4826-01_因子設定!$B$14,IF(01_因子設定!$B$13="最小化",01_因子設定!$B$15-AB4826,MIN(AA4826-01_因子設定!$B$14,01_因子設定!$B$15-AB4826))),-1E+030)</f>
        <v>0.992692682478079</v>
      </c>
      <c r="AE4826" s="55" t="n">
        <f aca="false">IF(AC4826,IF(01_因子設定!$B$13="最大化",X4826,IF(01_因子設定!$B$13="最小化",-X4826,-ABS(X4826-01_因子設定!$B$16))),-1E+030)</f>
        <v>48.8797423245614</v>
      </c>
      <c r="AF4826" s="55" t="n">
        <f aca="false">AD4826+ROW()*0.000000001</f>
        <v>0.992697508478079</v>
      </c>
      <c r="AG4826" s="55" t="n">
        <f aca="false">AE4826+ROW()*0.000000001</f>
        <v>48.8797471505614</v>
      </c>
    </row>
    <row r="4827" customFormat="false" ht="15" hidden="false" customHeight="false" outlineLevel="0" collapsed="false">
      <c r="A4827" s="0" t="n">
        <v>6</v>
      </c>
      <c r="B4827" s="0" t="n">
        <v>5</v>
      </c>
      <c r="C4827" s="0" t="n">
        <v>4</v>
      </c>
      <c r="D4827" s="0" t="n">
        <v>7</v>
      </c>
      <c r="E4827" s="0" t="n">
        <f aca="false">-1+A4827*0.25</f>
        <v>0.5</v>
      </c>
      <c r="F4827" s="0" t="n">
        <f aca="false">-1+B4827*0.25</f>
        <v>0.25</v>
      </c>
      <c r="G4827" s="0" t="n">
        <f aca="false">-1+C4827*0.25</f>
        <v>0</v>
      </c>
      <c r="H4827" s="0" t="n">
        <f aca="false">-1+D4827*0.25</f>
        <v>0.75</v>
      </c>
      <c r="I4827" s="0" t="n">
        <f aca="false">1</f>
        <v>1</v>
      </c>
      <c r="J4827" s="0" t="n">
        <f aca="false">E4827</f>
        <v>0.5</v>
      </c>
      <c r="K4827" s="0" t="n">
        <f aca="false">F4827</f>
        <v>0.25</v>
      </c>
      <c r="L4827" s="0" t="n">
        <f aca="false">G4827</f>
        <v>0</v>
      </c>
      <c r="M4827" s="0" t="n">
        <f aca="false">H4827</f>
        <v>0.75</v>
      </c>
      <c r="N4827" s="0" t="n">
        <f aca="false">E4827*F4827</f>
        <v>0.125</v>
      </c>
      <c r="O4827" s="0" t="n">
        <f aca="false">E4827*G4827</f>
        <v>0</v>
      </c>
      <c r="P4827" s="0" t="n">
        <f aca="false">E4827*H4827</f>
        <v>0.375</v>
      </c>
      <c r="Q4827" s="0" t="n">
        <f aca="false">F4827*G4827</f>
        <v>0</v>
      </c>
      <c r="R4827" s="0" t="n">
        <f aca="false">F4827*H4827</f>
        <v>0.1875</v>
      </c>
      <c r="S4827" s="0" t="n">
        <f aca="false">G4827*H4827</f>
        <v>0</v>
      </c>
      <c r="T4827" s="0" t="n">
        <f aca="false">E4827*E4827</f>
        <v>0.25</v>
      </c>
      <c r="U4827" s="0" t="n">
        <f aca="false">F4827*F4827</f>
        <v>0.0625</v>
      </c>
      <c r="V4827" s="0" t="n">
        <f aca="false">G4827*G4827</f>
        <v>0</v>
      </c>
      <c r="W4827" s="0" t="n">
        <f aca="false">H4827*H4827</f>
        <v>0.5625</v>
      </c>
      <c r="X4827" s="0" t="n">
        <f aca="false">SUMPRODUCT(I4827:W4827,_XtX!$B$96:$P$96)</f>
        <v>48.8639574195906</v>
      </c>
      <c r="Y4827" s="0" t="n">
        <f aca="false">SUMPRODUCT(MMULT(I4827:W4827,_XtX!$B$78:$P$92),I4827:W4827)</f>
        <v>0.215110734192252</v>
      </c>
      <c r="Z4827" s="0" t="n">
        <f aca="false">04_回帰ANOVA!$K$19*04_回帰ANOVA!$K$14*SQRT(1+Y4827)</f>
        <v>1.43683309086864</v>
      </c>
      <c r="AA4827" s="0" t="n">
        <f aca="false">X4827-Z4827</f>
        <v>47.427124328722</v>
      </c>
      <c r="AB4827" s="0" t="n">
        <f aca="false">X4827+Z4827</f>
        <v>50.3007905104593</v>
      </c>
      <c r="AC4827" s="54" t="b">
        <f aca="false">AND(E4827&gt;=01_因子設定!$L$5-0.000000001,E4827&lt;=01_因子設定!$M$5+0.000000001,F4827&gt;=01_因子設定!$L$6-0.000000001,F4827&lt;=01_因子設定!$M$6+0.000000001,G4827&gt;=01_因子設定!$L$7-0.000000001,G4827&lt;=01_因子設定!$M$7+0.000000001,H4827&gt;=01_因子設定!$L$8-0.000000001,H4827&lt;=01_因子設定!$M$8+0.000000001,IF(01_因子設定!$B$20="Box-Behnken",E4827^2+F4827^2+G4827^2+H4827^2&lt;=2+0.000000001,TRUE()))</f>
        <v>1</v>
      </c>
      <c r="AD4827" s="55" t="n">
        <f aca="false">IF(AC4827,IF(01_因子設定!$B$13="最大化",AA4827-01_因子設定!$B$14,IF(01_因子設定!$B$13="最小化",01_因子設定!$B$15-AB4827,MIN(AA4827-01_因子設定!$B$14,01_因子設定!$B$15-AB4827))),-1E+030)</f>
        <v>0.927124328721973</v>
      </c>
      <c r="AE4827" s="55" t="n">
        <f aca="false">IF(AC4827,IF(01_因子設定!$B$13="最大化",X4827,IF(01_因子設定!$B$13="最小化",-X4827,-ABS(X4827-01_因子設定!$B$16))),-1E+030)</f>
        <v>48.8639574195906</v>
      </c>
      <c r="AF4827" s="55" t="n">
        <f aca="false">AD4827+ROW()*0.000000001</f>
        <v>0.927129155721973</v>
      </c>
      <c r="AG4827" s="55" t="n">
        <f aca="false">AE4827+ROW()*0.000000001</f>
        <v>48.8639622465906</v>
      </c>
    </row>
    <row r="4828" customFormat="false" ht="15" hidden="false" customHeight="false" outlineLevel="0" collapsed="false">
      <c r="A4828" s="0" t="n">
        <v>6</v>
      </c>
      <c r="B4828" s="0" t="n">
        <v>5</v>
      </c>
      <c r="C4828" s="0" t="n">
        <v>4</v>
      </c>
      <c r="D4828" s="0" t="n">
        <v>8</v>
      </c>
      <c r="E4828" s="0" t="n">
        <f aca="false">-1+A4828*0.25</f>
        <v>0.5</v>
      </c>
      <c r="F4828" s="0" t="n">
        <f aca="false">-1+B4828*0.25</f>
        <v>0.25</v>
      </c>
      <c r="G4828" s="0" t="n">
        <f aca="false">-1+C4828*0.25</f>
        <v>0</v>
      </c>
      <c r="H4828" s="0" t="n">
        <f aca="false">-1+D4828*0.25</f>
        <v>1</v>
      </c>
      <c r="I4828" s="0" t="n">
        <f aca="false">1</f>
        <v>1</v>
      </c>
      <c r="J4828" s="0" t="n">
        <f aca="false">E4828</f>
        <v>0.5</v>
      </c>
      <c r="K4828" s="0" t="n">
        <f aca="false">F4828</f>
        <v>0.25</v>
      </c>
      <c r="L4828" s="0" t="n">
        <f aca="false">G4828</f>
        <v>0</v>
      </c>
      <c r="M4828" s="0" t="n">
        <f aca="false">H4828</f>
        <v>1</v>
      </c>
      <c r="N4828" s="0" t="n">
        <f aca="false">E4828*F4828</f>
        <v>0.125</v>
      </c>
      <c r="O4828" s="0" t="n">
        <f aca="false">E4828*G4828</f>
        <v>0</v>
      </c>
      <c r="P4828" s="0" t="n">
        <f aca="false">E4828*H4828</f>
        <v>0.5</v>
      </c>
      <c r="Q4828" s="0" t="n">
        <f aca="false">F4828*G4828</f>
        <v>0</v>
      </c>
      <c r="R4828" s="0" t="n">
        <f aca="false">F4828*H4828</f>
        <v>0.25</v>
      </c>
      <c r="S4828" s="0" t="n">
        <f aca="false">G4828*H4828</f>
        <v>0</v>
      </c>
      <c r="T4828" s="0" t="n">
        <f aca="false">E4828*E4828</f>
        <v>0.25</v>
      </c>
      <c r="U4828" s="0" t="n">
        <f aca="false">F4828*F4828</f>
        <v>0.0625</v>
      </c>
      <c r="V4828" s="0" t="n">
        <f aca="false">G4828*G4828</f>
        <v>0</v>
      </c>
      <c r="W4828" s="0" t="n">
        <f aca="false">H4828*H4828</f>
        <v>1</v>
      </c>
      <c r="X4828" s="0" t="n">
        <f aca="false">SUMPRODUCT(I4828:W4828,_XtX!$B$96:$P$96)</f>
        <v>48.800365497076</v>
      </c>
      <c r="Y4828" s="0" t="n">
        <f aca="false">SUMPRODUCT(MMULT(I4828:W4828,_XtX!$B$78:$P$92),I4828:W4828)</f>
        <v>0.457596628289474</v>
      </c>
      <c r="Z4828" s="0" t="n">
        <f aca="false">04_回帰ANOVA!$K$19*04_回帰ANOVA!$K$14*SQRT(1+Y4828)</f>
        <v>1.57368233664366</v>
      </c>
      <c r="AA4828" s="0" t="n">
        <f aca="false">X4828-Z4828</f>
        <v>47.2266831604324</v>
      </c>
      <c r="AB4828" s="0" t="n">
        <f aca="false">X4828+Z4828</f>
        <v>50.3740478337197</v>
      </c>
      <c r="AC4828" s="54" t="b">
        <f aca="false">AND(E4828&gt;=01_因子設定!$L$5-0.000000001,E4828&lt;=01_因子設定!$M$5+0.000000001,F4828&gt;=01_因子設定!$L$6-0.000000001,F4828&lt;=01_因子設定!$M$6+0.000000001,G4828&gt;=01_因子設定!$L$7-0.000000001,G4828&lt;=01_因子設定!$M$7+0.000000001,H4828&gt;=01_因子設定!$L$8-0.000000001,H4828&lt;=01_因子設定!$M$8+0.000000001,IF(01_因子設定!$B$20="Box-Behnken",E4828^2+F4828^2+G4828^2+H4828^2&lt;=2+0.000000001,TRUE()))</f>
        <v>1</v>
      </c>
      <c r="AD4828" s="55" t="n">
        <f aca="false">IF(AC4828,IF(01_因子設定!$B$13="最大化",AA4828-01_因子設定!$B$14,IF(01_因子設定!$B$13="最小化",01_因子設定!$B$15-AB4828,MIN(AA4828-01_因子設定!$B$14,01_因子設定!$B$15-AB4828))),-1E+030)</f>
        <v>0.726683160432359</v>
      </c>
      <c r="AE4828" s="55" t="n">
        <f aca="false">IF(AC4828,IF(01_因子設定!$B$13="最大化",X4828,IF(01_因子設定!$B$13="最小化",-X4828,-ABS(X4828-01_因子設定!$B$16))),-1E+030)</f>
        <v>48.800365497076</v>
      </c>
      <c r="AF4828" s="55" t="n">
        <f aca="false">AD4828+ROW()*0.000000001</f>
        <v>0.726687988432359</v>
      </c>
      <c r="AG4828" s="55" t="n">
        <f aca="false">AE4828+ROW()*0.000000001</f>
        <v>48.800370325076</v>
      </c>
    </row>
    <row r="4829" customFormat="false" ht="15" hidden="false" customHeight="false" outlineLevel="0" collapsed="false">
      <c r="A4829" s="0" t="n">
        <v>6</v>
      </c>
      <c r="B4829" s="0" t="n">
        <v>5</v>
      </c>
      <c r="C4829" s="0" t="n">
        <v>5</v>
      </c>
      <c r="D4829" s="0" t="n">
        <v>0</v>
      </c>
      <c r="E4829" s="0" t="n">
        <f aca="false">-1+A4829*0.25</f>
        <v>0.5</v>
      </c>
      <c r="F4829" s="0" t="n">
        <f aca="false">-1+B4829*0.25</f>
        <v>0.25</v>
      </c>
      <c r="G4829" s="0" t="n">
        <f aca="false">-1+C4829*0.25</f>
        <v>0.25</v>
      </c>
      <c r="H4829" s="0" t="n">
        <f aca="false">-1+D4829*0.25</f>
        <v>-1</v>
      </c>
      <c r="I4829" s="0" t="n">
        <f aca="false">1</f>
        <v>1</v>
      </c>
      <c r="J4829" s="0" t="n">
        <f aca="false">E4829</f>
        <v>0.5</v>
      </c>
      <c r="K4829" s="0" t="n">
        <f aca="false">F4829</f>
        <v>0.25</v>
      </c>
      <c r="L4829" s="0" t="n">
        <f aca="false">G4829</f>
        <v>0.25</v>
      </c>
      <c r="M4829" s="0" t="n">
        <f aca="false">H4829</f>
        <v>-1</v>
      </c>
      <c r="N4829" s="0" t="n">
        <f aca="false">E4829*F4829</f>
        <v>0.125</v>
      </c>
      <c r="O4829" s="0" t="n">
        <f aca="false">E4829*G4829</f>
        <v>0.125</v>
      </c>
      <c r="P4829" s="0" t="n">
        <f aca="false">E4829*H4829</f>
        <v>-0.5</v>
      </c>
      <c r="Q4829" s="0" t="n">
        <f aca="false">F4829*G4829</f>
        <v>0.0625</v>
      </c>
      <c r="R4829" s="0" t="n">
        <f aca="false">F4829*H4829</f>
        <v>-0.25</v>
      </c>
      <c r="S4829" s="0" t="n">
        <f aca="false">G4829*H4829</f>
        <v>-0.25</v>
      </c>
      <c r="T4829" s="0" t="n">
        <f aca="false">E4829*E4829</f>
        <v>0.25</v>
      </c>
      <c r="U4829" s="0" t="n">
        <f aca="false">F4829*F4829</f>
        <v>0.0625</v>
      </c>
      <c r="V4829" s="0" t="n">
        <f aca="false">G4829*G4829</f>
        <v>0.0625</v>
      </c>
      <c r="W4829" s="0" t="n">
        <f aca="false">H4829*H4829</f>
        <v>1</v>
      </c>
      <c r="X4829" s="0" t="n">
        <f aca="false">SUMPRODUCT(I4829:W4829,_XtX!$B$96:$P$96)</f>
        <v>48.0400904605263</v>
      </c>
      <c r="Y4829" s="0" t="n">
        <f aca="false">SUMPRODUCT(MMULT(I4829:W4829,_XtX!$B$78:$P$92),I4829:W4829)</f>
        <v>0.445705123812135</v>
      </c>
      <c r="Z4829" s="0" t="n">
        <f aca="false">04_回帰ANOVA!$K$19*04_回帰ANOVA!$K$14*SQRT(1+Y4829)</f>
        <v>1.56724990734749</v>
      </c>
      <c r="AA4829" s="0" t="n">
        <f aca="false">X4829-Z4829</f>
        <v>46.4728405531788</v>
      </c>
      <c r="AB4829" s="0" t="n">
        <f aca="false">X4829+Z4829</f>
        <v>49.6073403678738</v>
      </c>
      <c r="AC4829" s="54" t="b">
        <f aca="false">AND(E4829&gt;=01_因子設定!$L$5-0.000000001,E4829&lt;=01_因子設定!$M$5+0.000000001,F4829&gt;=01_因子設定!$L$6-0.000000001,F4829&lt;=01_因子設定!$M$6+0.000000001,G4829&gt;=01_因子設定!$L$7-0.000000001,G4829&lt;=01_因子設定!$M$7+0.000000001,H4829&gt;=01_因子設定!$L$8-0.000000001,H4829&lt;=01_因子設定!$M$8+0.000000001,IF(01_因子設定!$B$20="Box-Behnken",E4829^2+F4829^2+G4829^2+H4829^2&lt;=2+0.000000001,TRUE()))</f>
        <v>1</v>
      </c>
      <c r="AD4829" s="55" t="n">
        <f aca="false">IF(AC4829,IF(01_因子設定!$B$13="最大化",AA4829-01_因子設定!$B$14,IF(01_因子設定!$B$13="最小化",01_因子設定!$B$15-AB4829,MIN(AA4829-01_因子設定!$B$14,01_因子設定!$B$15-AB4829))),-1E+030)</f>
        <v>-0.0271594468211802</v>
      </c>
      <c r="AE4829" s="55" t="n">
        <f aca="false">IF(AC4829,IF(01_因子設定!$B$13="最大化",X4829,IF(01_因子設定!$B$13="最小化",-X4829,-ABS(X4829-01_因子設定!$B$16))),-1E+030)</f>
        <v>48.0400904605263</v>
      </c>
      <c r="AF4829" s="55" t="n">
        <f aca="false">AD4829+ROW()*0.000000001</f>
        <v>-0.0271546178211802</v>
      </c>
      <c r="AG4829" s="55" t="n">
        <f aca="false">AE4829+ROW()*0.000000001</f>
        <v>48.0400952895263</v>
      </c>
    </row>
    <row r="4830" customFormat="false" ht="15" hidden="false" customHeight="false" outlineLevel="0" collapsed="false">
      <c r="A4830" s="0" t="n">
        <v>6</v>
      </c>
      <c r="B4830" s="0" t="n">
        <v>5</v>
      </c>
      <c r="C4830" s="0" t="n">
        <v>5</v>
      </c>
      <c r="D4830" s="0" t="n">
        <v>1</v>
      </c>
      <c r="E4830" s="0" t="n">
        <f aca="false">-1+A4830*0.25</f>
        <v>0.5</v>
      </c>
      <c r="F4830" s="0" t="n">
        <f aca="false">-1+B4830*0.25</f>
        <v>0.25</v>
      </c>
      <c r="G4830" s="0" t="n">
        <f aca="false">-1+C4830*0.25</f>
        <v>0.25</v>
      </c>
      <c r="H4830" s="0" t="n">
        <f aca="false">-1+D4830*0.25</f>
        <v>-0.75</v>
      </c>
      <c r="I4830" s="0" t="n">
        <f aca="false">1</f>
        <v>1</v>
      </c>
      <c r="J4830" s="0" t="n">
        <f aca="false">E4830</f>
        <v>0.5</v>
      </c>
      <c r="K4830" s="0" t="n">
        <f aca="false">F4830</f>
        <v>0.25</v>
      </c>
      <c r="L4830" s="0" t="n">
        <f aca="false">G4830</f>
        <v>0.25</v>
      </c>
      <c r="M4830" s="0" t="n">
        <f aca="false">H4830</f>
        <v>-0.75</v>
      </c>
      <c r="N4830" s="0" t="n">
        <f aca="false">E4830*F4830</f>
        <v>0.125</v>
      </c>
      <c r="O4830" s="0" t="n">
        <f aca="false">E4830*G4830</f>
        <v>0.125</v>
      </c>
      <c r="P4830" s="0" t="n">
        <f aca="false">E4830*H4830</f>
        <v>-0.375</v>
      </c>
      <c r="Q4830" s="0" t="n">
        <f aca="false">F4830*G4830</f>
        <v>0.0625</v>
      </c>
      <c r="R4830" s="0" t="n">
        <f aca="false">F4830*H4830</f>
        <v>-0.1875</v>
      </c>
      <c r="S4830" s="0" t="n">
        <f aca="false">G4830*H4830</f>
        <v>-0.1875</v>
      </c>
      <c r="T4830" s="0" t="n">
        <f aca="false">E4830*E4830</f>
        <v>0.25</v>
      </c>
      <c r="U4830" s="0" t="n">
        <f aca="false">F4830*F4830</f>
        <v>0.0625</v>
      </c>
      <c r="V4830" s="0" t="n">
        <f aca="false">G4830*G4830</f>
        <v>0.0625</v>
      </c>
      <c r="W4830" s="0" t="n">
        <f aca="false">H4830*H4830</f>
        <v>0.5625</v>
      </c>
      <c r="X4830" s="0" t="n">
        <f aca="false">SUMPRODUCT(I4830:W4830,_XtX!$B$96:$P$96)</f>
        <v>48.3291164108187</v>
      </c>
      <c r="Y4830" s="0" t="n">
        <f aca="false">SUMPRODUCT(MMULT(I4830:W4830,_XtX!$B$78:$P$92),I4830:W4830)</f>
        <v>0.207746539199561</v>
      </c>
      <c r="Z4830" s="0" t="n">
        <f aca="false">04_回帰ANOVA!$K$19*04_回帰ANOVA!$K$14*SQRT(1+Y4830)</f>
        <v>1.43247250081141</v>
      </c>
      <c r="AA4830" s="0" t="n">
        <f aca="false">X4830-Z4830</f>
        <v>46.8966439100073</v>
      </c>
      <c r="AB4830" s="0" t="n">
        <f aca="false">X4830+Z4830</f>
        <v>49.7615889116301</v>
      </c>
      <c r="AC4830" s="54" t="b">
        <f aca="false">AND(E4830&gt;=01_因子設定!$L$5-0.000000001,E4830&lt;=01_因子設定!$M$5+0.000000001,F4830&gt;=01_因子設定!$L$6-0.000000001,F4830&lt;=01_因子設定!$M$6+0.000000001,G4830&gt;=01_因子設定!$L$7-0.000000001,G4830&lt;=01_因子設定!$M$7+0.000000001,H4830&gt;=01_因子設定!$L$8-0.000000001,H4830&lt;=01_因子設定!$M$8+0.000000001,IF(01_因子設定!$B$20="Box-Behnken",E4830^2+F4830^2+G4830^2+H4830^2&lt;=2+0.000000001,TRUE()))</f>
        <v>1</v>
      </c>
      <c r="AD4830" s="55" t="n">
        <f aca="false">IF(AC4830,IF(01_因子設定!$B$13="最大化",AA4830-01_因子設定!$B$14,IF(01_因子設定!$B$13="最小化",01_因子設定!$B$15-AB4830,MIN(AA4830-01_因子設定!$B$14,01_因子設定!$B$15-AB4830))),-1E+030)</f>
        <v>0.396643910007285</v>
      </c>
      <c r="AE4830" s="55" t="n">
        <f aca="false">IF(AC4830,IF(01_因子設定!$B$13="最大化",X4830,IF(01_因子設定!$B$13="最小化",-X4830,-ABS(X4830-01_因子設定!$B$16))),-1E+030)</f>
        <v>48.3291164108187</v>
      </c>
      <c r="AF4830" s="55" t="n">
        <f aca="false">AD4830+ROW()*0.000000001</f>
        <v>0.396648740007285</v>
      </c>
      <c r="AG4830" s="55" t="n">
        <f aca="false">AE4830+ROW()*0.000000001</f>
        <v>48.3291212408187</v>
      </c>
    </row>
    <row r="4831" customFormat="false" ht="15" hidden="false" customHeight="false" outlineLevel="0" collapsed="false">
      <c r="A4831" s="0" t="n">
        <v>6</v>
      </c>
      <c r="B4831" s="0" t="n">
        <v>5</v>
      </c>
      <c r="C4831" s="0" t="n">
        <v>5</v>
      </c>
      <c r="D4831" s="0" t="n">
        <v>2</v>
      </c>
      <c r="E4831" s="0" t="n">
        <f aca="false">-1+A4831*0.25</f>
        <v>0.5</v>
      </c>
      <c r="F4831" s="0" t="n">
        <f aca="false">-1+B4831*0.25</f>
        <v>0.25</v>
      </c>
      <c r="G4831" s="0" t="n">
        <f aca="false">-1+C4831*0.25</f>
        <v>0.25</v>
      </c>
      <c r="H4831" s="0" t="n">
        <f aca="false">-1+D4831*0.25</f>
        <v>-0.5</v>
      </c>
      <c r="I4831" s="0" t="n">
        <f aca="false">1</f>
        <v>1</v>
      </c>
      <c r="J4831" s="0" t="n">
        <f aca="false">E4831</f>
        <v>0.5</v>
      </c>
      <c r="K4831" s="0" t="n">
        <f aca="false">F4831</f>
        <v>0.25</v>
      </c>
      <c r="L4831" s="0" t="n">
        <f aca="false">G4831</f>
        <v>0.25</v>
      </c>
      <c r="M4831" s="0" t="n">
        <f aca="false">H4831</f>
        <v>-0.5</v>
      </c>
      <c r="N4831" s="0" t="n">
        <f aca="false">E4831*F4831</f>
        <v>0.125</v>
      </c>
      <c r="O4831" s="0" t="n">
        <f aca="false">E4831*G4831</f>
        <v>0.125</v>
      </c>
      <c r="P4831" s="0" t="n">
        <f aca="false">E4831*H4831</f>
        <v>-0.25</v>
      </c>
      <c r="Q4831" s="0" t="n">
        <f aca="false">F4831*G4831</f>
        <v>0.0625</v>
      </c>
      <c r="R4831" s="0" t="n">
        <f aca="false">F4831*H4831</f>
        <v>-0.125</v>
      </c>
      <c r="S4831" s="0" t="n">
        <f aca="false">G4831*H4831</f>
        <v>-0.125</v>
      </c>
      <c r="T4831" s="0" t="n">
        <f aca="false">E4831*E4831</f>
        <v>0.25</v>
      </c>
      <c r="U4831" s="0" t="n">
        <f aca="false">F4831*F4831</f>
        <v>0.0625</v>
      </c>
      <c r="V4831" s="0" t="n">
        <f aca="false">G4831*G4831</f>
        <v>0.0625</v>
      </c>
      <c r="W4831" s="0" t="n">
        <f aca="false">H4831*H4831</f>
        <v>0.25</v>
      </c>
      <c r="X4831" s="0" t="n">
        <f aca="false">SUMPRODUCT(I4831:W4831,_XtX!$B$96:$P$96)</f>
        <v>48.5703353435672</v>
      </c>
      <c r="Y4831" s="0" t="n">
        <f aca="false">SUMPRODUCT(MMULT(I4831:W4831,_XtX!$B$78:$P$92),I4831:W4831)</f>
        <v>0.128236647934942</v>
      </c>
      <c r="Z4831" s="0" t="n">
        <f aca="false">04_回帰ANOVA!$K$19*04_回帰ANOVA!$K$14*SQRT(1+Y4831)</f>
        <v>1.38451764188989</v>
      </c>
      <c r="AA4831" s="0" t="n">
        <f aca="false">X4831-Z4831</f>
        <v>47.1858177016773</v>
      </c>
      <c r="AB4831" s="0" t="n">
        <f aca="false">X4831+Z4831</f>
        <v>49.9548529854571</v>
      </c>
      <c r="AC4831" s="54" t="b">
        <f aca="false">AND(E4831&gt;=01_因子設定!$L$5-0.000000001,E4831&lt;=01_因子設定!$M$5+0.000000001,F4831&gt;=01_因子設定!$L$6-0.000000001,F4831&lt;=01_因子設定!$M$6+0.000000001,G4831&gt;=01_因子設定!$L$7-0.000000001,G4831&lt;=01_因子設定!$M$7+0.000000001,H4831&gt;=01_因子設定!$L$8-0.000000001,H4831&lt;=01_因子設定!$M$8+0.000000001,IF(01_因子設定!$B$20="Box-Behnken",E4831^2+F4831^2+G4831^2+H4831^2&lt;=2+0.000000001,TRUE()))</f>
        <v>1</v>
      </c>
      <c r="AD4831" s="55" t="n">
        <f aca="false">IF(AC4831,IF(01_因子設定!$B$13="最大化",AA4831-01_因子設定!$B$14,IF(01_因子設定!$B$13="最小化",01_因子設定!$B$15-AB4831,MIN(AA4831-01_因子設定!$B$14,01_因子設定!$B$15-AB4831))),-1E+030)</f>
        <v>0.68581770167733</v>
      </c>
      <c r="AE4831" s="55" t="n">
        <f aca="false">IF(AC4831,IF(01_因子設定!$B$13="最大化",X4831,IF(01_因子設定!$B$13="最小化",-X4831,-ABS(X4831-01_因子設定!$B$16))),-1E+030)</f>
        <v>48.5703353435672</v>
      </c>
      <c r="AF4831" s="55" t="n">
        <f aca="false">AD4831+ROW()*0.000000001</f>
        <v>0.68582253267733</v>
      </c>
      <c r="AG4831" s="55" t="n">
        <f aca="false">AE4831+ROW()*0.000000001</f>
        <v>48.5703401745672</v>
      </c>
    </row>
    <row r="4832" customFormat="false" ht="15" hidden="false" customHeight="false" outlineLevel="0" collapsed="false">
      <c r="A4832" s="0" t="n">
        <v>6</v>
      </c>
      <c r="B4832" s="0" t="n">
        <v>5</v>
      </c>
      <c r="C4832" s="0" t="n">
        <v>5</v>
      </c>
      <c r="D4832" s="0" t="n">
        <v>3</v>
      </c>
      <c r="E4832" s="0" t="n">
        <f aca="false">-1+A4832*0.25</f>
        <v>0.5</v>
      </c>
      <c r="F4832" s="0" t="n">
        <f aca="false">-1+B4832*0.25</f>
        <v>0.25</v>
      </c>
      <c r="G4832" s="0" t="n">
        <f aca="false">-1+C4832*0.25</f>
        <v>0.25</v>
      </c>
      <c r="H4832" s="0" t="n">
        <f aca="false">-1+D4832*0.25</f>
        <v>-0.25</v>
      </c>
      <c r="I4832" s="0" t="n">
        <f aca="false">1</f>
        <v>1</v>
      </c>
      <c r="J4832" s="0" t="n">
        <f aca="false">E4832</f>
        <v>0.5</v>
      </c>
      <c r="K4832" s="0" t="n">
        <f aca="false">F4832</f>
        <v>0.25</v>
      </c>
      <c r="L4832" s="0" t="n">
        <f aca="false">G4832</f>
        <v>0.25</v>
      </c>
      <c r="M4832" s="0" t="n">
        <f aca="false">H4832</f>
        <v>-0.25</v>
      </c>
      <c r="N4832" s="0" t="n">
        <f aca="false">E4832*F4832</f>
        <v>0.125</v>
      </c>
      <c r="O4832" s="0" t="n">
        <f aca="false">E4832*G4832</f>
        <v>0.125</v>
      </c>
      <c r="P4832" s="0" t="n">
        <f aca="false">E4832*H4832</f>
        <v>-0.125</v>
      </c>
      <c r="Q4832" s="0" t="n">
        <f aca="false">F4832*G4832</f>
        <v>0.0625</v>
      </c>
      <c r="R4832" s="0" t="n">
        <f aca="false">F4832*H4832</f>
        <v>-0.0625</v>
      </c>
      <c r="S4832" s="0" t="n">
        <f aca="false">G4832*H4832</f>
        <v>-0.0625</v>
      </c>
      <c r="T4832" s="0" t="n">
        <f aca="false">E4832*E4832</f>
        <v>0.25</v>
      </c>
      <c r="U4832" s="0" t="n">
        <f aca="false">F4832*F4832</f>
        <v>0.0625</v>
      </c>
      <c r="V4832" s="0" t="n">
        <f aca="false">G4832*G4832</f>
        <v>0.0625</v>
      </c>
      <c r="W4832" s="0" t="n">
        <f aca="false">H4832*H4832</f>
        <v>0.0625</v>
      </c>
      <c r="X4832" s="0" t="n">
        <f aca="false">SUMPRODUCT(I4832:W4832,_XtX!$B$96:$P$96)</f>
        <v>48.7637472587719</v>
      </c>
      <c r="Y4832" s="0" t="n">
        <f aca="false">SUMPRODUCT(MMULT(I4832:W4832,_XtX!$B$78:$P$92),I4832:W4832)</f>
        <v>0.116714923702485</v>
      </c>
      <c r="Z4832" s="0" t="n">
        <f aca="false">04_回帰ANOVA!$K$19*04_回帰ANOVA!$K$14*SQRT(1+Y4832)</f>
        <v>1.37743004820023</v>
      </c>
      <c r="AA4832" s="0" t="n">
        <f aca="false">X4832-Z4832</f>
        <v>47.3863172105717</v>
      </c>
      <c r="AB4832" s="0" t="n">
        <f aca="false">X4832+Z4832</f>
        <v>50.1411773069721</v>
      </c>
      <c r="AC4832" s="54" t="b">
        <f aca="false">AND(E4832&gt;=01_因子設定!$L$5-0.000000001,E4832&lt;=01_因子設定!$M$5+0.000000001,F4832&gt;=01_因子設定!$L$6-0.000000001,F4832&lt;=01_因子設定!$M$6+0.000000001,G4832&gt;=01_因子設定!$L$7-0.000000001,G4832&lt;=01_因子設定!$M$7+0.000000001,H4832&gt;=01_因子設定!$L$8-0.000000001,H4832&lt;=01_因子設定!$M$8+0.000000001,IF(01_因子設定!$B$20="Box-Behnken",E4832^2+F4832^2+G4832^2+H4832^2&lt;=2+0.000000001,TRUE()))</f>
        <v>1</v>
      </c>
      <c r="AD4832" s="55" t="n">
        <f aca="false">IF(AC4832,IF(01_因子設定!$B$13="最大化",AA4832-01_因子設定!$B$14,IF(01_因子設定!$B$13="最小化",01_因子設定!$B$15-AB4832,MIN(AA4832-01_因子設定!$B$14,01_因子設定!$B$15-AB4832))),-1E+030)</f>
        <v>0.886317210571662</v>
      </c>
      <c r="AE4832" s="55" t="n">
        <f aca="false">IF(AC4832,IF(01_因子設定!$B$13="最大化",X4832,IF(01_因子設定!$B$13="最小化",-X4832,-ABS(X4832-01_因子設定!$B$16))),-1E+030)</f>
        <v>48.7637472587719</v>
      </c>
      <c r="AF4832" s="55" t="n">
        <f aca="false">AD4832+ROW()*0.000000001</f>
        <v>0.886322042571662</v>
      </c>
      <c r="AG4832" s="55" t="n">
        <f aca="false">AE4832+ROW()*0.000000001</f>
        <v>48.7637520907719</v>
      </c>
    </row>
    <row r="4833" customFormat="false" ht="15" hidden="false" customHeight="false" outlineLevel="0" collapsed="false">
      <c r="A4833" s="0" t="n">
        <v>6</v>
      </c>
      <c r="B4833" s="0" t="n">
        <v>5</v>
      </c>
      <c r="C4833" s="0" t="n">
        <v>5</v>
      </c>
      <c r="D4833" s="0" t="n">
        <v>4</v>
      </c>
      <c r="E4833" s="0" t="n">
        <f aca="false">-1+A4833*0.25</f>
        <v>0.5</v>
      </c>
      <c r="F4833" s="0" t="n">
        <f aca="false">-1+B4833*0.25</f>
        <v>0.25</v>
      </c>
      <c r="G4833" s="0" t="n">
        <f aca="false">-1+C4833*0.25</f>
        <v>0.25</v>
      </c>
      <c r="H4833" s="0" t="n">
        <f aca="false">-1+D4833*0.25</f>
        <v>0</v>
      </c>
      <c r="I4833" s="0" t="n">
        <f aca="false">1</f>
        <v>1</v>
      </c>
      <c r="J4833" s="0" t="n">
        <f aca="false">E4833</f>
        <v>0.5</v>
      </c>
      <c r="K4833" s="0" t="n">
        <f aca="false">F4833</f>
        <v>0.25</v>
      </c>
      <c r="L4833" s="0" t="n">
        <f aca="false">G4833</f>
        <v>0.25</v>
      </c>
      <c r="M4833" s="0" t="n">
        <f aca="false">H4833</f>
        <v>0</v>
      </c>
      <c r="N4833" s="0" t="n">
        <f aca="false">E4833*F4833</f>
        <v>0.125</v>
      </c>
      <c r="O4833" s="0" t="n">
        <f aca="false">E4833*G4833</f>
        <v>0.125</v>
      </c>
      <c r="P4833" s="0" t="n">
        <f aca="false">E4833*H4833</f>
        <v>0</v>
      </c>
      <c r="Q4833" s="0" t="n">
        <f aca="false">F4833*G4833</f>
        <v>0.0625</v>
      </c>
      <c r="R4833" s="0" t="n">
        <f aca="false">F4833*H4833</f>
        <v>0</v>
      </c>
      <c r="S4833" s="0" t="n">
        <f aca="false">G4833*H4833</f>
        <v>0</v>
      </c>
      <c r="T4833" s="0" t="n">
        <f aca="false">E4833*E4833</f>
        <v>0.25</v>
      </c>
      <c r="U4833" s="0" t="n">
        <f aca="false">F4833*F4833</f>
        <v>0.0625</v>
      </c>
      <c r="V4833" s="0" t="n">
        <f aca="false">G4833*G4833</f>
        <v>0.0625</v>
      </c>
      <c r="W4833" s="0" t="n">
        <f aca="false">H4833*H4833</f>
        <v>0</v>
      </c>
      <c r="X4833" s="0" t="n">
        <f aca="false">SUMPRODUCT(I4833:W4833,_XtX!$B$96:$P$96)</f>
        <v>48.9093521564327</v>
      </c>
      <c r="Y4833" s="0" t="n">
        <f aca="false">SUMPRODUCT(MMULT(I4833:W4833,_XtX!$B$78:$P$92),I4833:W4833)</f>
        <v>0.118905050712719</v>
      </c>
      <c r="Z4833" s="0" t="n">
        <f aca="false">04_回帰ANOVA!$K$19*04_回帰ANOVA!$K$14*SQRT(1+Y4833)</f>
        <v>1.37878011033769</v>
      </c>
      <c r="AA4833" s="0" t="n">
        <f aca="false">X4833-Z4833</f>
        <v>47.530572046095</v>
      </c>
      <c r="AB4833" s="0" t="n">
        <f aca="false">X4833+Z4833</f>
        <v>50.2881322667704</v>
      </c>
      <c r="AC4833" s="54" t="b">
        <f aca="false">AND(E4833&gt;=01_因子設定!$L$5-0.000000001,E4833&lt;=01_因子設定!$M$5+0.000000001,F4833&gt;=01_因子設定!$L$6-0.000000001,F4833&lt;=01_因子設定!$M$6+0.000000001,G4833&gt;=01_因子設定!$L$7-0.000000001,G4833&lt;=01_因子設定!$M$7+0.000000001,H4833&gt;=01_因子設定!$L$8-0.000000001,H4833&lt;=01_因子設定!$M$8+0.000000001,IF(01_因子設定!$B$20="Box-Behnken",E4833^2+F4833^2+G4833^2+H4833^2&lt;=2+0.000000001,TRUE()))</f>
        <v>1</v>
      </c>
      <c r="AD4833" s="55" t="n">
        <f aca="false">IF(AC4833,IF(01_因子設定!$B$13="最大化",AA4833-01_因子設定!$B$14,IF(01_因子設定!$B$13="最小化",01_因子設定!$B$15-AB4833,MIN(AA4833-01_因子設定!$B$14,01_因子設定!$B$15-AB4833))),-1E+030)</f>
        <v>1.03057204609502</v>
      </c>
      <c r="AE4833" s="55" t="n">
        <f aca="false">IF(AC4833,IF(01_因子設定!$B$13="最大化",X4833,IF(01_因子設定!$B$13="最小化",-X4833,-ABS(X4833-01_因子設定!$B$16))),-1E+030)</f>
        <v>48.9093521564327</v>
      </c>
      <c r="AF4833" s="55" t="n">
        <f aca="false">AD4833+ROW()*0.000000001</f>
        <v>1.03057687909502</v>
      </c>
      <c r="AG4833" s="55" t="n">
        <f aca="false">AE4833+ROW()*0.000000001</f>
        <v>48.9093569894327</v>
      </c>
    </row>
    <row r="4834" customFormat="false" ht="15" hidden="false" customHeight="false" outlineLevel="0" collapsed="false">
      <c r="A4834" s="0" t="n">
        <v>6</v>
      </c>
      <c r="B4834" s="0" t="n">
        <v>5</v>
      </c>
      <c r="C4834" s="0" t="n">
        <v>5</v>
      </c>
      <c r="D4834" s="0" t="n">
        <v>5</v>
      </c>
      <c r="E4834" s="0" t="n">
        <f aca="false">-1+A4834*0.25</f>
        <v>0.5</v>
      </c>
      <c r="F4834" s="0" t="n">
        <f aca="false">-1+B4834*0.25</f>
        <v>0.25</v>
      </c>
      <c r="G4834" s="0" t="n">
        <f aca="false">-1+C4834*0.25</f>
        <v>0.25</v>
      </c>
      <c r="H4834" s="0" t="n">
        <f aca="false">-1+D4834*0.25</f>
        <v>0.25</v>
      </c>
      <c r="I4834" s="0" t="n">
        <f aca="false">1</f>
        <v>1</v>
      </c>
      <c r="J4834" s="0" t="n">
        <f aca="false">E4834</f>
        <v>0.5</v>
      </c>
      <c r="K4834" s="0" t="n">
        <f aca="false">F4834</f>
        <v>0.25</v>
      </c>
      <c r="L4834" s="0" t="n">
        <f aca="false">G4834</f>
        <v>0.25</v>
      </c>
      <c r="M4834" s="0" t="n">
        <f aca="false">H4834</f>
        <v>0.25</v>
      </c>
      <c r="N4834" s="0" t="n">
        <f aca="false">E4834*F4834</f>
        <v>0.125</v>
      </c>
      <c r="O4834" s="0" t="n">
        <f aca="false">E4834*G4834</f>
        <v>0.125</v>
      </c>
      <c r="P4834" s="0" t="n">
        <f aca="false">E4834*H4834</f>
        <v>0.125</v>
      </c>
      <c r="Q4834" s="0" t="n">
        <f aca="false">F4834*G4834</f>
        <v>0.0625</v>
      </c>
      <c r="R4834" s="0" t="n">
        <f aca="false">F4834*H4834</f>
        <v>0.0625</v>
      </c>
      <c r="S4834" s="0" t="n">
        <f aca="false">G4834*H4834</f>
        <v>0.0625</v>
      </c>
      <c r="T4834" s="0" t="n">
        <f aca="false">E4834*E4834</f>
        <v>0.25</v>
      </c>
      <c r="U4834" s="0" t="n">
        <f aca="false">F4834*F4834</f>
        <v>0.0625</v>
      </c>
      <c r="V4834" s="0" t="n">
        <f aca="false">G4834*G4834</f>
        <v>0.0625</v>
      </c>
      <c r="W4834" s="0" t="n">
        <f aca="false">H4834*H4834</f>
        <v>0.0625</v>
      </c>
      <c r="X4834" s="0" t="n">
        <f aca="false">SUMPRODUCT(I4834:W4834,_XtX!$B$96:$P$96)</f>
        <v>49.0071500365497</v>
      </c>
      <c r="Y4834" s="0" t="n">
        <f aca="false">SUMPRODUCT(MMULT(I4834:W4834,_XtX!$B$78:$P$92),I4834:W4834)</f>
        <v>0.116714923702485</v>
      </c>
      <c r="Z4834" s="0" t="n">
        <f aca="false">04_回帰ANOVA!$K$19*04_回帰ANOVA!$K$14*SQRT(1+Y4834)</f>
        <v>1.37743004820023</v>
      </c>
      <c r="AA4834" s="0" t="n">
        <f aca="false">X4834-Z4834</f>
        <v>47.6297199883494</v>
      </c>
      <c r="AB4834" s="0" t="n">
        <f aca="false">X4834+Z4834</f>
        <v>50.3845800847499</v>
      </c>
      <c r="AC4834" s="54" t="b">
        <f aca="false">AND(E4834&gt;=01_因子設定!$L$5-0.000000001,E4834&lt;=01_因子設定!$M$5+0.000000001,F4834&gt;=01_因子設定!$L$6-0.000000001,F4834&lt;=01_因子設定!$M$6+0.000000001,G4834&gt;=01_因子設定!$L$7-0.000000001,G4834&lt;=01_因子設定!$M$7+0.000000001,H4834&gt;=01_因子設定!$L$8-0.000000001,H4834&lt;=01_因子設定!$M$8+0.000000001,IF(01_因子設定!$B$20="Box-Behnken",E4834^2+F4834^2+G4834^2+H4834^2&lt;=2+0.000000001,TRUE()))</f>
        <v>1</v>
      </c>
      <c r="AD4834" s="55" t="n">
        <f aca="false">IF(AC4834,IF(01_因子設定!$B$13="最大化",AA4834-01_因子設定!$B$14,IF(01_因子設定!$B$13="最小化",01_因子設定!$B$15-AB4834,MIN(AA4834-01_因子設定!$B$14,01_因子設定!$B$15-AB4834))),-1E+030)</f>
        <v>1.12971998834944</v>
      </c>
      <c r="AE4834" s="55" t="n">
        <f aca="false">IF(AC4834,IF(01_因子設定!$B$13="最大化",X4834,IF(01_因子設定!$B$13="最小化",-X4834,-ABS(X4834-01_因子設定!$B$16))),-1E+030)</f>
        <v>49.0071500365497</v>
      </c>
      <c r="AF4834" s="55" t="n">
        <f aca="false">AD4834+ROW()*0.000000001</f>
        <v>1.12972482234944</v>
      </c>
      <c r="AG4834" s="55" t="n">
        <f aca="false">AE4834+ROW()*0.000000001</f>
        <v>49.0071548705497</v>
      </c>
    </row>
    <row r="4835" customFormat="false" ht="15" hidden="false" customHeight="false" outlineLevel="0" collapsed="false">
      <c r="A4835" s="0" t="n">
        <v>6</v>
      </c>
      <c r="B4835" s="0" t="n">
        <v>5</v>
      </c>
      <c r="C4835" s="0" t="n">
        <v>5</v>
      </c>
      <c r="D4835" s="0" t="n">
        <v>6</v>
      </c>
      <c r="E4835" s="0" t="n">
        <f aca="false">-1+A4835*0.25</f>
        <v>0.5</v>
      </c>
      <c r="F4835" s="0" t="n">
        <f aca="false">-1+B4835*0.25</f>
        <v>0.25</v>
      </c>
      <c r="G4835" s="0" t="n">
        <f aca="false">-1+C4835*0.25</f>
        <v>0.25</v>
      </c>
      <c r="H4835" s="0" t="n">
        <f aca="false">-1+D4835*0.25</f>
        <v>0.5</v>
      </c>
      <c r="I4835" s="0" t="n">
        <f aca="false">1</f>
        <v>1</v>
      </c>
      <c r="J4835" s="0" t="n">
        <f aca="false">E4835</f>
        <v>0.5</v>
      </c>
      <c r="K4835" s="0" t="n">
        <f aca="false">F4835</f>
        <v>0.25</v>
      </c>
      <c r="L4835" s="0" t="n">
        <f aca="false">G4835</f>
        <v>0.25</v>
      </c>
      <c r="M4835" s="0" t="n">
        <f aca="false">H4835</f>
        <v>0.5</v>
      </c>
      <c r="N4835" s="0" t="n">
        <f aca="false">E4835*F4835</f>
        <v>0.125</v>
      </c>
      <c r="O4835" s="0" t="n">
        <f aca="false">E4835*G4835</f>
        <v>0.125</v>
      </c>
      <c r="P4835" s="0" t="n">
        <f aca="false">E4835*H4835</f>
        <v>0.25</v>
      </c>
      <c r="Q4835" s="0" t="n">
        <f aca="false">F4835*G4835</f>
        <v>0.0625</v>
      </c>
      <c r="R4835" s="0" t="n">
        <f aca="false">F4835*H4835</f>
        <v>0.125</v>
      </c>
      <c r="S4835" s="0" t="n">
        <f aca="false">G4835*H4835</f>
        <v>0.125</v>
      </c>
      <c r="T4835" s="0" t="n">
        <f aca="false">E4835*E4835</f>
        <v>0.25</v>
      </c>
      <c r="U4835" s="0" t="n">
        <f aca="false">F4835*F4835</f>
        <v>0.0625</v>
      </c>
      <c r="V4835" s="0" t="n">
        <f aca="false">G4835*G4835</f>
        <v>0.0625</v>
      </c>
      <c r="W4835" s="0" t="n">
        <f aca="false">H4835*H4835</f>
        <v>0.25</v>
      </c>
      <c r="X4835" s="0" t="n">
        <f aca="false">SUMPRODUCT(I4835:W4835,_XtX!$B$96:$P$96)</f>
        <v>49.0571408991228</v>
      </c>
      <c r="Y4835" s="0" t="n">
        <f aca="false">SUMPRODUCT(MMULT(I4835:W4835,_XtX!$B$78:$P$92),I4835:W4835)</f>
        <v>0.128236647934942</v>
      </c>
      <c r="Z4835" s="0" t="n">
        <f aca="false">04_回帰ANOVA!$K$19*04_回帰ANOVA!$K$14*SQRT(1+Y4835)</f>
        <v>1.38451764188989</v>
      </c>
      <c r="AA4835" s="0" t="n">
        <f aca="false">X4835-Z4835</f>
        <v>47.6726232572329</v>
      </c>
      <c r="AB4835" s="0" t="n">
        <f aca="false">X4835+Z4835</f>
        <v>50.4416585410127</v>
      </c>
      <c r="AC4835" s="54" t="b">
        <f aca="false">AND(E4835&gt;=01_因子設定!$L$5-0.000000001,E4835&lt;=01_因子設定!$M$5+0.000000001,F4835&gt;=01_因子設定!$L$6-0.000000001,F4835&lt;=01_因子設定!$M$6+0.000000001,G4835&gt;=01_因子設定!$L$7-0.000000001,G4835&lt;=01_因子設定!$M$7+0.000000001,H4835&gt;=01_因子設定!$L$8-0.000000001,H4835&lt;=01_因子設定!$M$8+0.000000001,IF(01_因子設定!$B$20="Box-Behnken",E4835^2+F4835^2+G4835^2+H4835^2&lt;=2+0.000000001,TRUE()))</f>
        <v>1</v>
      </c>
      <c r="AD4835" s="55" t="n">
        <f aca="false">IF(AC4835,IF(01_因子設定!$B$13="最大化",AA4835-01_因子設定!$B$14,IF(01_因子設定!$B$13="最小化",01_因子設定!$B$15-AB4835,MIN(AA4835-01_因子設定!$B$14,01_因子設定!$B$15-AB4835))),-1E+030)</f>
        <v>1.17262325723289</v>
      </c>
      <c r="AE4835" s="55" t="n">
        <f aca="false">IF(AC4835,IF(01_因子設定!$B$13="最大化",X4835,IF(01_因子設定!$B$13="最小化",-X4835,-ABS(X4835-01_因子設定!$B$16))),-1E+030)</f>
        <v>49.0571408991228</v>
      </c>
      <c r="AF4835" s="55" t="n">
        <f aca="false">AD4835+ROW()*0.000000001</f>
        <v>1.17262809223289</v>
      </c>
      <c r="AG4835" s="55" t="n">
        <f aca="false">AE4835+ROW()*0.000000001</f>
        <v>49.0571457341228</v>
      </c>
    </row>
    <row r="4836" customFormat="false" ht="15" hidden="false" customHeight="false" outlineLevel="0" collapsed="false">
      <c r="A4836" s="0" t="n">
        <v>6</v>
      </c>
      <c r="B4836" s="0" t="n">
        <v>5</v>
      </c>
      <c r="C4836" s="0" t="n">
        <v>5</v>
      </c>
      <c r="D4836" s="0" t="n">
        <v>7</v>
      </c>
      <c r="E4836" s="0" t="n">
        <f aca="false">-1+A4836*0.25</f>
        <v>0.5</v>
      </c>
      <c r="F4836" s="0" t="n">
        <f aca="false">-1+B4836*0.25</f>
        <v>0.25</v>
      </c>
      <c r="G4836" s="0" t="n">
        <f aca="false">-1+C4836*0.25</f>
        <v>0.25</v>
      </c>
      <c r="H4836" s="0" t="n">
        <f aca="false">-1+D4836*0.25</f>
        <v>0.75</v>
      </c>
      <c r="I4836" s="0" t="n">
        <f aca="false">1</f>
        <v>1</v>
      </c>
      <c r="J4836" s="0" t="n">
        <f aca="false">E4836</f>
        <v>0.5</v>
      </c>
      <c r="K4836" s="0" t="n">
        <f aca="false">F4836</f>
        <v>0.25</v>
      </c>
      <c r="L4836" s="0" t="n">
        <f aca="false">G4836</f>
        <v>0.25</v>
      </c>
      <c r="M4836" s="0" t="n">
        <f aca="false">H4836</f>
        <v>0.75</v>
      </c>
      <c r="N4836" s="0" t="n">
        <f aca="false">E4836*F4836</f>
        <v>0.125</v>
      </c>
      <c r="O4836" s="0" t="n">
        <f aca="false">E4836*G4836</f>
        <v>0.125</v>
      </c>
      <c r="P4836" s="0" t="n">
        <f aca="false">E4836*H4836</f>
        <v>0.375</v>
      </c>
      <c r="Q4836" s="0" t="n">
        <f aca="false">F4836*G4836</f>
        <v>0.0625</v>
      </c>
      <c r="R4836" s="0" t="n">
        <f aca="false">F4836*H4836</f>
        <v>0.1875</v>
      </c>
      <c r="S4836" s="0" t="n">
        <f aca="false">G4836*H4836</f>
        <v>0.1875</v>
      </c>
      <c r="T4836" s="0" t="n">
        <f aca="false">E4836*E4836</f>
        <v>0.25</v>
      </c>
      <c r="U4836" s="0" t="n">
        <f aca="false">F4836*F4836</f>
        <v>0.0625</v>
      </c>
      <c r="V4836" s="0" t="n">
        <f aca="false">G4836*G4836</f>
        <v>0.0625</v>
      </c>
      <c r="W4836" s="0" t="n">
        <f aca="false">H4836*H4836</f>
        <v>0.5625</v>
      </c>
      <c r="X4836" s="0" t="n">
        <f aca="false">SUMPRODUCT(I4836:W4836,_XtX!$B$96:$P$96)</f>
        <v>49.059324744152</v>
      </c>
      <c r="Y4836" s="0" t="n">
        <f aca="false">SUMPRODUCT(MMULT(I4836:W4836,_XtX!$B$78:$P$92),I4836:W4836)</f>
        <v>0.207746539199561</v>
      </c>
      <c r="Z4836" s="0" t="n">
        <f aca="false">04_回帰ANOVA!$K$19*04_回帰ANOVA!$K$14*SQRT(1+Y4836)</f>
        <v>1.43247250081141</v>
      </c>
      <c r="AA4836" s="0" t="n">
        <f aca="false">X4836-Z4836</f>
        <v>47.6268522433406</v>
      </c>
      <c r="AB4836" s="0" t="n">
        <f aca="false">X4836+Z4836</f>
        <v>50.4917972449634</v>
      </c>
      <c r="AC4836" s="54" t="b">
        <f aca="false">AND(E4836&gt;=01_因子設定!$L$5-0.000000001,E4836&lt;=01_因子設定!$M$5+0.000000001,F4836&gt;=01_因子設定!$L$6-0.000000001,F4836&lt;=01_因子設定!$M$6+0.000000001,G4836&gt;=01_因子設定!$L$7-0.000000001,G4836&lt;=01_因子設定!$M$7+0.000000001,H4836&gt;=01_因子設定!$L$8-0.000000001,H4836&lt;=01_因子設定!$M$8+0.000000001,IF(01_因子設定!$B$20="Box-Behnken",E4836^2+F4836^2+G4836^2+H4836^2&lt;=2+0.000000001,TRUE()))</f>
        <v>1</v>
      </c>
      <c r="AD4836" s="55" t="n">
        <f aca="false">IF(AC4836,IF(01_因子設定!$B$13="最大化",AA4836-01_因子設定!$B$14,IF(01_因子設定!$B$13="最小化",01_因子設定!$B$15-AB4836,MIN(AA4836-01_因子設定!$B$14,01_因子設定!$B$15-AB4836))),-1E+030)</f>
        <v>1.12685224334061</v>
      </c>
      <c r="AE4836" s="55" t="n">
        <f aca="false">IF(AC4836,IF(01_因子設定!$B$13="最大化",X4836,IF(01_因子設定!$B$13="最小化",-X4836,-ABS(X4836-01_因子設定!$B$16))),-1E+030)</f>
        <v>49.059324744152</v>
      </c>
      <c r="AF4836" s="55" t="n">
        <f aca="false">AD4836+ROW()*0.000000001</f>
        <v>1.12685707934061</v>
      </c>
      <c r="AG4836" s="55" t="n">
        <f aca="false">AE4836+ROW()*0.000000001</f>
        <v>49.059329580152</v>
      </c>
    </row>
    <row r="4837" customFormat="false" ht="15" hidden="false" customHeight="false" outlineLevel="0" collapsed="false">
      <c r="A4837" s="0" t="n">
        <v>6</v>
      </c>
      <c r="B4837" s="0" t="n">
        <v>5</v>
      </c>
      <c r="C4837" s="0" t="n">
        <v>5</v>
      </c>
      <c r="D4837" s="0" t="n">
        <v>8</v>
      </c>
      <c r="E4837" s="0" t="n">
        <f aca="false">-1+A4837*0.25</f>
        <v>0.5</v>
      </c>
      <c r="F4837" s="0" t="n">
        <f aca="false">-1+B4837*0.25</f>
        <v>0.25</v>
      </c>
      <c r="G4837" s="0" t="n">
        <f aca="false">-1+C4837*0.25</f>
        <v>0.25</v>
      </c>
      <c r="H4837" s="0" t="n">
        <f aca="false">-1+D4837*0.25</f>
        <v>1</v>
      </c>
      <c r="I4837" s="0" t="n">
        <f aca="false">1</f>
        <v>1</v>
      </c>
      <c r="J4837" s="0" t="n">
        <f aca="false">E4837</f>
        <v>0.5</v>
      </c>
      <c r="K4837" s="0" t="n">
        <f aca="false">F4837</f>
        <v>0.25</v>
      </c>
      <c r="L4837" s="0" t="n">
        <f aca="false">G4837</f>
        <v>0.25</v>
      </c>
      <c r="M4837" s="0" t="n">
        <f aca="false">H4837</f>
        <v>1</v>
      </c>
      <c r="N4837" s="0" t="n">
        <f aca="false">E4837*F4837</f>
        <v>0.125</v>
      </c>
      <c r="O4837" s="0" t="n">
        <f aca="false">E4837*G4837</f>
        <v>0.125</v>
      </c>
      <c r="P4837" s="0" t="n">
        <f aca="false">E4837*H4837</f>
        <v>0.5</v>
      </c>
      <c r="Q4837" s="0" t="n">
        <f aca="false">F4837*G4837</f>
        <v>0.0625</v>
      </c>
      <c r="R4837" s="0" t="n">
        <f aca="false">F4837*H4837</f>
        <v>0.25</v>
      </c>
      <c r="S4837" s="0" t="n">
        <f aca="false">G4837*H4837</f>
        <v>0.25</v>
      </c>
      <c r="T4837" s="0" t="n">
        <f aca="false">E4837*E4837</f>
        <v>0.25</v>
      </c>
      <c r="U4837" s="0" t="n">
        <f aca="false">F4837*F4837</f>
        <v>0.0625</v>
      </c>
      <c r="V4837" s="0" t="n">
        <f aca="false">G4837*G4837</f>
        <v>0.0625</v>
      </c>
      <c r="W4837" s="0" t="n">
        <f aca="false">H4837*H4837</f>
        <v>1</v>
      </c>
      <c r="X4837" s="0" t="n">
        <f aca="false">SUMPRODUCT(I4837:W4837,_XtX!$B$96:$P$96)</f>
        <v>49.0137015716374</v>
      </c>
      <c r="Y4837" s="0" t="n">
        <f aca="false">SUMPRODUCT(MMULT(I4837:W4837,_XtX!$B$78:$P$92),I4837:W4837)</f>
        <v>0.445705123812135</v>
      </c>
      <c r="Z4837" s="0" t="n">
        <f aca="false">04_回帰ANOVA!$K$19*04_回帰ANOVA!$K$14*SQRT(1+Y4837)</f>
        <v>1.56724990734749</v>
      </c>
      <c r="AA4837" s="0" t="n">
        <f aca="false">X4837-Z4837</f>
        <v>47.4464516642899</v>
      </c>
      <c r="AB4837" s="0" t="n">
        <f aca="false">X4837+Z4837</f>
        <v>50.5809514789849</v>
      </c>
      <c r="AC4837" s="54" t="b">
        <f aca="false">AND(E4837&gt;=01_因子設定!$L$5-0.000000001,E4837&lt;=01_因子設定!$M$5+0.000000001,F4837&gt;=01_因子設定!$L$6-0.000000001,F4837&lt;=01_因子設定!$M$6+0.000000001,G4837&gt;=01_因子設定!$L$7-0.000000001,G4837&lt;=01_因子設定!$M$7+0.000000001,H4837&gt;=01_因子設定!$L$8-0.000000001,H4837&lt;=01_因子設定!$M$8+0.000000001,IF(01_因子設定!$B$20="Box-Behnken",E4837^2+F4837^2+G4837^2+H4837^2&lt;=2+0.000000001,TRUE()))</f>
        <v>1</v>
      </c>
      <c r="AD4837" s="55" t="n">
        <f aca="false">IF(AC4837,IF(01_因子設定!$B$13="最大化",AA4837-01_因子設定!$B$14,IF(01_因子設定!$B$13="最小化",01_因子設定!$B$15-AB4837,MIN(AA4837-01_因子設定!$B$14,01_因子設定!$B$15-AB4837))),-1E+030)</f>
        <v>0.946451664289931</v>
      </c>
      <c r="AE4837" s="55" t="n">
        <f aca="false">IF(AC4837,IF(01_因子設定!$B$13="最大化",X4837,IF(01_因子設定!$B$13="最小化",-X4837,-ABS(X4837-01_因子設定!$B$16))),-1E+030)</f>
        <v>49.0137015716374</v>
      </c>
      <c r="AF4837" s="55" t="n">
        <f aca="false">AD4837+ROW()*0.000000001</f>
        <v>0.946456501289931</v>
      </c>
      <c r="AG4837" s="55" t="n">
        <f aca="false">AE4837+ROW()*0.000000001</f>
        <v>49.0137064086374</v>
      </c>
    </row>
    <row r="4838" customFormat="false" ht="15" hidden="false" customHeight="false" outlineLevel="0" collapsed="false">
      <c r="A4838" s="0" t="n">
        <v>6</v>
      </c>
      <c r="B4838" s="0" t="n">
        <v>5</v>
      </c>
      <c r="C4838" s="0" t="n">
        <v>6</v>
      </c>
      <c r="D4838" s="0" t="n">
        <v>0</v>
      </c>
      <c r="E4838" s="0" t="n">
        <f aca="false">-1+A4838*0.25</f>
        <v>0.5</v>
      </c>
      <c r="F4838" s="0" t="n">
        <f aca="false">-1+B4838*0.25</f>
        <v>0.25</v>
      </c>
      <c r="G4838" s="0" t="n">
        <f aca="false">-1+C4838*0.25</f>
        <v>0.5</v>
      </c>
      <c r="H4838" s="0" t="n">
        <f aca="false">-1+D4838*0.25</f>
        <v>-1</v>
      </c>
      <c r="I4838" s="0" t="n">
        <f aca="false">1</f>
        <v>1</v>
      </c>
      <c r="J4838" s="0" t="n">
        <f aca="false">E4838</f>
        <v>0.5</v>
      </c>
      <c r="K4838" s="0" t="n">
        <f aca="false">F4838</f>
        <v>0.25</v>
      </c>
      <c r="L4838" s="0" t="n">
        <f aca="false">G4838</f>
        <v>0.5</v>
      </c>
      <c r="M4838" s="0" t="n">
        <f aca="false">H4838</f>
        <v>-1</v>
      </c>
      <c r="N4838" s="0" t="n">
        <f aca="false">E4838*F4838</f>
        <v>0.125</v>
      </c>
      <c r="O4838" s="0" t="n">
        <f aca="false">E4838*G4838</f>
        <v>0.25</v>
      </c>
      <c r="P4838" s="0" t="n">
        <f aca="false">E4838*H4838</f>
        <v>-0.5</v>
      </c>
      <c r="Q4838" s="0" t="n">
        <f aca="false">F4838*G4838</f>
        <v>0.125</v>
      </c>
      <c r="R4838" s="0" t="n">
        <f aca="false">F4838*H4838</f>
        <v>-0.25</v>
      </c>
      <c r="S4838" s="0" t="n">
        <f aca="false">G4838*H4838</f>
        <v>-0.5</v>
      </c>
      <c r="T4838" s="0" t="n">
        <f aca="false">E4838*E4838</f>
        <v>0.25</v>
      </c>
      <c r="U4838" s="0" t="n">
        <f aca="false">F4838*F4838</f>
        <v>0.0625</v>
      </c>
      <c r="V4838" s="0" t="n">
        <f aca="false">G4838*G4838</f>
        <v>0.25</v>
      </c>
      <c r="W4838" s="0" t="n">
        <f aca="false">H4838*H4838</f>
        <v>1</v>
      </c>
      <c r="X4838" s="0" t="n">
        <f aca="false">SUMPRODUCT(I4838:W4838,_XtX!$B$96:$P$96)</f>
        <v>48.0243695175439</v>
      </c>
      <c r="Y4838" s="0" t="n">
        <f aca="false">SUMPRODUCT(MMULT(I4838:W4838,_XtX!$B$78:$P$92),I4838:W4838)</f>
        <v>0.428122715643275</v>
      </c>
      <c r="Z4838" s="0" t="n">
        <f aca="false">04_回帰ANOVA!$K$19*04_回帰ANOVA!$K$14*SQRT(1+Y4838)</f>
        <v>1.55769044623229</v>
      </c>
      <c r="AA4838" s="0" t="n">
        <f aca="false">X4838-Z4838</f>
        <v>46.4666790713116</v>
      </c>
      <c r="AB4838" s="0" t="n">
        <f aca="false">X4838+Z4838</f>
        <v>49.5820599637761</v>
      </c>
      <c r="AC4838" s="54" t="b">
        <f aca="false">AND(E4838&gt;=01_因子設定!$L$5-0.000000001,E4838&lt;=01_因子設定!$M$5+0.000000001,F4838&gt;=01_因子設定!$L$6-0.000000001,F4838&lt;=01_因子設定!$M$6+0.000000001,G4838&gt;=01_因子設定!$L$7-0.000000001,G4838&lt;=01_因子設定!$M$7+0.000000001,H4838&gt;=01_因子設定!$L$8-0.000000001,H4838&lt;=01_因子設定!$M$8+0.000000001,IF(01_因子設定!$B$20="Box-Behnken",E4838^2+F4838^2+G4838^2+H4838^2&lt;=2+0.000000001,TRUE()))</f>
        <v>1</v>
      </c>
      <c r="AD4838" s="55" t="n">
        <f aca="false">IF(AC4838,IF(01_因子設定!$B$13="最大化",AA4838-01_因子設定!$B$14,IF(01_因子設定!$B$13="最小化",01_因子設定!$B$15-AB4838,MIN(AA4838-01_因子設定!$B$14,01_因子設定!$B$15-AB4838))),-1E+030)</f>
        <v>-0.0333209286884397</v>
      </c>
      <c r="AE4838" s="55" t="n">
        <f aca="false">IF(AC4838,IF(01_因子設定!$B$13="最大化",X4838,IF(01_因子設定!$B$13="最小化",-X4838,-ABS(X4838-01_因子設定!$B$16))),-1E+030)</f>
        <v>48.0243695175439</v>
      </c>
      <c r="AF4838" s="55" t="n">
        <f aca="false">AD4838+ROW()*0.000000001</f>
        <v>-0.0333160906884397</v>
      </c>
      <c r="AG4838" s="55" t="n">
        <f aca="false">AE4838+ROW()*0.000000001</f>
        <v>48.0243743555439</v>
      </c>
    </row>
    <row r="4839" customFormat="false" ht="15" hidden="false" customHeight="false" outlineLevel="0" collapsed="false">
      <c r="A4839" s="0" t="n">
        <v>6</v>
      </c>
      <c r="B4839" s="0" t="n">
        <v>5</v>
      </c>
      <c r="C4839" s="0" t="n">
        <v>6</v>
      </c>
      <c r="D4839" s="0" t="n">
        <v>1</v>
      </c>
      <c r="E4839" s="0" t="n">
        <f aca="false">-1+A4839*0.25</f>
        <v>0.5</v>
      </c>
      <c r="F4839" s="0" t="n">
        <f aca="false">-1+B4839*0.25</f>
        <v>0.25</v>
      </c>
      <c r="G4839" s="0" t="n">
        <f aca="false">-1+C4839*0.25</f>
        <v>0.5</v>
      </c>
      <c r="H4839" s="0" t="n">
        <f aca="false">-1+D4839*0.25</f>
        <v>-0.75</v>
      </c>
      <c r="I4839" s="0" t="n">
        <f aca="false">1</f>
        <v>1</v>
      </c>
      <c r="J4839" s="0" t="n">
        <f aca="false">E4839</f>
        <v>0.5</v>
      </c>
      <c r="K4839" s="0" t="n">
        <f aca="false">F4839</f>
        <v>0.25</v>
      </c>
      <c r="L4839" s="0" t="n">
        <f aca="false">G4839</f>
        <v>0.5</v>
      </c>
      <c r="M4839" s="0" t="n">
        <f aca="false">H4839</f>
        <v>-0.75</v>
      </c>
      <c r="N4839" s="0" t="n">
        <f aca="false">E4839*F4839</f>
        <v>0.125</v>
      </c>
      <c r="O4839" s="0" t="n">
        <f aca="false">E4839*G4839</f>
        <v>0.25</v>
      </c>
      <c r="P4839" s="0" t="n">
        <f aca="false">E4839*H4839</f>
        <v>-0.375</v>
      </c>
      <c r="Q4839" s="0" t="n">
        <f aca="false">F4839*G4839</f>
        <v>0.125</v>
      </c>
      <c r="R4839" s="0" t="n">
        <f aca="false">F4839*H4839</f>
        <v>-0.1875</v>
      </c>
      <c r="S4839" s="0" t="n">
        <f aca="false">G4839*H4839</f>
        <v>-0.375</v>
      </c>
      <c r="T4839" s="0" t="n">
        <f aca="false">E4839*E4839</f>
        <v>0.25</v>
      </c>
      <c r="U4839" s="0" t="n">
        <f aca="false">F4839*F4839</f>
        <v>0.0625</v>
      </c>
      <c r="V4839" s="0" t="n">
        <f aca="false">G4839*G4839</f>
        <v>0.25</v>
      </c>
      <c r="W4839" s="0" t="n">
        <f aca="false">H4839*H4839</f>
        <v>0.5625</v>
      </c>
      <c r="X4839" s="0" t="n">
        <f aca="false">SUMPRODUCT(I4839:W4839,_XtX!$B$96:$P$96)</f>
        <v>48.3313642178362</v>
      </c>
      <c r="Y4839" s="0" t="n">
        <f aca="false">SUMPRODUCT(MMULT(I4839:W4839,_XtX!$B$78:$P$92),I4839:W4839)</f>
        <v>0.203746059484649</v>
      </c>
      <c r="Z4839" s="0" t="n">
        <f aca="false">04_回帰ANOVA!$K$19*04_回帰ANOVA!$K$14*SQRT(1+Y4839)</f>
        <v>1.43009810755465</v>
      </c>
      <c r="AA4839" s="0" t="n">
        <f aca="false">X4839-Z4839</f>
        <v>46.9012661102816</v>
      </c>
      <c r="AB4839" s="0" t="n">
        <f aca="false">X4839+Z4839</f>
        <v>49.7614623253909</v>
      </c>
      <c r="AC4839" s="54" t="b">
        <f aca="false">AND(E4839&gt;=01_因子設定!$L$5-0.000000001,E4839&lt;=01_因子設定!$M$5+0.000000001,F4839&gt;=01_因子設定!$L$6-0.000000001,F4839&lt;=01_因子設定!$M$6+0.000000001,G4839&gt;=01_因子設定!$L$7-0.000000001,G4839&lt;=01_因子設定!$M$7+0.000000001,H4839&gt;=01_因子設定!$L$8-0.000000001,H4839&lt;=01_因子設定!$M$8+0.000000001,IF(01_因子設定!$B$20="Box-Behnken",E4839^2+F4839^2+G4839^2+H4839^2&lt;=2+0.000000001,TRUE()))</f>
        <v>1</v>
      </c>
      <c r="AD4839" s="55" t="n">
        <f aca="false">IF(AC4839,IF(01_因子設定!$B$13="最大化",AA4839-01_因子設定!$B$14,IF(01_因子設定!$B$13="最小化",01_因子設定!$B$15-AB4839,MIN(AA4839-01_因子設定!$B$14,01_因子設定!$B$15-AB4839))),-1E+030)</f>
        <v>0.40126611028159</v>
      </c>
      <c r="AE4839" s="55" t="n">
        <f aca="false">IF(AC4839,IF(01_因子設定!$B$13="最大化",X4839,IF(01_因子設定!$B$13="最小化",-X4839,-ABS(X4839-01_因子設定!$B$16))),-1E+030)</f>
        <v>48.3313642178362</v>
      </c>
      <c r="AF4839" s="55" t="n">
        <f aca="false">AD4839+ROW()*0.000000001</f>
        <v>0.40127094928159</v>
      </c>
      <c r="AG4839" s="55" t="n">
        <f aca="false">AE4839+ROW()*0.000000001</f>
        <v>48.3313690568362</v>
      </c>
    </row>
    <row r="4840" customFormat="false" ht="15" hidden="false" customHeight="false" outlineLevel="0" collapsed="false">
      <c r="A4840" s="0" t="n">
        <v>6</v>
      </c>
      <c r="B4840" s="0" t="n">
        <v>5</v>
      </c>
      <c r="C4840" s="0" t="n">
        <v>6</v>
      </c>
      <c r="D4840" s="0" t="n">
        <v>2</v>
      </c>
      <c r="E4840" s="0" t="n">
        <f aca="false">-1+A4840*0.25</f>
        <v>0.5</v>
      </c>
      <c r="F4840" s="0" t="n">
        <f aca="false">-1+B4840*0.25</f>
        <v>0.25</v>
      </c>
      <c r="G4840" s="0" t="n">
        <f aca="false">-1+C4840*0.25</f>
        <v>0.5</v>
      </c>
      <c r="H4840" s="0" t="n">
        <f aca="false">-1+D4840*0.25</f>
        <v>-0.5</v>
      </c>
      <c r="I4840" s="0" t="n">
        <f aca="false">1</f>
        <v>1</v>
      </c>
      <c r="J4840" s="0" t="n">
        <f aca="false">E4840</f>
        <v>0.5</v>
      </c>
      <c r="K4840" s="0" t="n">
        <f aca="false">F4840</f>
        <v>0.25</v>
      </c>
      <c r="L4840" s="0" t="n">
        <f aca="false">G4840</f>
        <v>0.5</v>
      </c>
      <c r="M4840" s="0" t="n">
        <f aca="false">H4840</f>
        <v>-0.5</v>
      </c>
      <c r="N4840" s="0" t="n">
        <f aca="false">E4840*F4840</f>
        <v>0.125</v>
      </c>
      <c r="O4840" s="0" t="n">
        <f aca="false">E4840*G4840</f>
        <v>0.25</v>
      </c>
      <c r="P4840" s="0" t="n">
        <f aca="false">E4840*H4840</f>
        <v>-0.25</v>
      </c>
      <c r="Q4840" s="0" t="n">
        <f aca="false">F4840*G4840</f>
        <v>0.125</v>
      </c>
      <c r="R4840" s="0" t="n">
        <f aca="false">F4840*H4840</f>
        <v>-0.125</v>
      </c>
      <c r="S4840" s="0" t="n">
        <f aca="false">G4840*H4840</f>
        <v>-0.25</v>
      </c>
      <c r="T4840" s="0" t="n">
        <f aca="false">E4840*E4840</f>
        <v>0.25</v>
      </c>
      <c r="U4840" s="0" t="n">
        <f aca="false">F4840*F4840</f>
        <v>0.0625</v>
      </c>
      <c r="V4840" s="0" t="n">
        <f aca="false">G4840*G4840</f>
        <v>0.25</v>
      </c>
      <c r="W4840" s="0" t="n">
        <f aca="false">H4840*H4840</f>
        <v>0.25</v>
      </c>
      <c r="X4840" s="0" t="n">
        <f aca="false">SUMPRODUCT(I4840:W4840,_XtX!$B$96:$P$96)</f>
        <v>48.5905519005848</v>
      </c>
      <c r="Y4840" s="0" t="n">
        <f aca="false">SUMPRODUCT(MMULT(I4840:W4840,_XtX!$B$78:$P$92),I4840:W4840)</f>
        <v>0.133937545687135</v>
      </c>
      <c r="Z4840" s="0" t="n">
        <f aca="false">04_回帰ANOVA!$K$19*04_回帰ANOVA!$K$14*SQRT(1+Y4840)</f>
        <v>1.38801116780825</v>
      </c>
      <c r="AA4840" s="0" t="n">
        <f aca="false">X4840-Z4840</f>
        <v>47.2025407327765</v>
      </c>
      <c r="AB4840" s="0" t="n">
        <f aca="false">X4840+Z4840</f>
        <v>49.978563068393</v>
      </c>
      <c r="AC4840" s="54" t="b">
        <f aca="false">AND(E4840&gt;=01_因子設定!$L$5-0.000000001,E4840&lt;=01_因子設定!$M$5+0.000000001,F4840&gt;=01_因子設定!$L$6-0.000000001,F4840&lt;=01_因子設定!$M$6+0.000000001,G4840&gt;=01_因子設定!$L$7-0.000000001,G4840&lt;=01_因子設定!$M$7+0.000000001,H4840&gt;=01_因子設定!$L$8-0.000000001,H4840&lt;=01_因子設定!$M$8+0.000000001,IF(01_因子設定!$B$20="Box-Behnken",E4840^2+F4840^2+G4840^2+H4840^2&lt;=2+0.000000001,TRUE()))</f>
        <v>1</v>
      </c>
      <c r="AD4840" s="55" t="n">
        <f aca="false">IF(AC4840,IF(01_因子設定!$B$13="最大化",AA4840-01_因子設定!$B$14,IF(01_因子設定!$B$13="最小化",01_因子設定!$B$15-AB4840,MIN(AA4840-01_因子設定!$B$14,01_因子設定!$B$15-AB4840))),-1E+030)</f>
        <v>0.702540732776512</v>
      </c>
      <c r="AE4840" s="55" t="n">
        <f aca="false">IF(AC4840,IF(01_因子設定!$B$13="最大化",X4840,IF(01_因子設定!$B$13="最小化",-X4840,-ABS(X4840-01_因子設定!$B$16))),-1E+030)</f>
        <v>48.5905519005848</v>
      </c>
      <c r="AF4840" s="55" t="n">
        <f aca="false">AD4840+ROW()*0.000000001</f>
        <v>0.702545572776512</v>
      </c>
      <c r="AG4840" s="55" t="n">
        <f aca="false">AE4840+ROW()*0.000000001</f>
        <v>48.5905567405848</v>
      </c>
    </row>
    <row r="4841" customFormat="false" ht="15" hidden="false" customHeight="false" outlineLevel="0" collapsed="false">
      <c r="A4841" s="0" t="n">
        <v>6</v>
      </c>
      <c r="B4841" s="0" t="n">
        <v>5</v>
      </c>
      <c r="C4841" s="0" t="n">
        <v>6</v>
      </c>
      <c r="D4841" s="0" t="n">
        <v>3</v>
      </c>
      <c r="E4841" s="0" t="n">
        <f aca="false">-1+A4841*0.25</f>
        <v>0.5</v>
      </c>
      <c r="F4841" s="0" t="n">
        <f aca="false">-1+B4841*0.25</f>
        <v>0.25</v>
      </c>
      <c r="G4841" s="0" t="n">
        <f aca="false">-1+C4841*0.25</f>
        <v>0.5</v>
      </c>
      <c r="H4841" s="0" t="n">
        <f aca="false">-1+D4841*0.25</f>
        <v>-0.25</v>
      </c>
      <c r="I4841" s="0" t="n">
        <f aca="false">1</f>
        <v>1</v>
      </c>
      <c r="J4841" s="0" t="n">
        <f aca="false">E4841</f>
        <v>0.5</v>
      </c>
      <c r="K4841" s="0" t="n">
        <f aca="false">F4841</f>
        <v>0.25</v>
      </c>
      <c r="L4841" s="0" t="n">
        <f aca="false">G4841</f>
        <v>0.5</v>
      </c>
      <c r="M4841" s="0" t="n">
        <f aca="false">H4841</f>
        <v>-0.25</v>
      </c>
      <c r="N4841" s="0" t="n">
        <f aca="false">E4841*F4841</f>
        <v>0.125</v>
      </c>
      <c r="O4841" s="0" t="n">
        <f aca="false">E4841*G4841</f>
        <v>0.25</v>
      </c>
      <c r="P4841" s="0" t="n">
        <f aca="false">E4841*H4841</f>
        <v>-0.125</v>
      </c>
      <c r="Q4841" s="0" t="n">
        <f aca="false">F4841*G4841</f>
        <v>0.125</v>
      </c>
      <c r="R4841" s="0" t="n">
        <f aca="false">F4841*H4841</f>
        <v>-0.0625</v>
      </c>
      <c r="S4841" s="0" t="n">
        <f aca="false">G4841*H4841</f>
        <v>-0.125</v>
      </c>
      <c r="T4841" s="0" t="n">
        <f aca="false">E4841*E4841</f>
        <v>0.25</v>
      </c>
      <c r="U4841" s="0" t="n">
        <f aca="false">F4841*F4841</f>
        <v>0.0625</v>
      </c>
      <c r="V4841" s="0" t="n">
        <f aca="false">G4841*G4841</f>
        <v>0.25</v>
      </c>
      <c r="W4841" s="0" t="n">
        <f aca="false">H4841*H4841</f>
        <v>0.0625</v>
      </c>
      <c r="X4841" s="0" t="n">
        <f aca="false">SUMPRODUCT(I4841:W4841,_XtX!$B$96:$P$96)</f>
        <v>48.8019325657894</v>
      </c>
      <c r="Y4841" s="0" t="n">
        <f aca="false">SUMPRODUCT(MMULT(I4841:W4841,_XtX!$B$78:$P$92),I4841:W4841)</f>
        <v>0.128236647934942</v>
      </c>
      <c r="Z4841" s="0" t="n">
        <f aca="false">04_回帰ANOVA!$K$19*04_回帰ANOVA!$K$14*SQRT(1+Y4841)</f>
        <v>1.38451764188989</v>
      </c>
      <c r="AA4841" s="0" t="n">
        <f aca="false">X4841-Z4841</f>
        <v>47.4174149238996</v>
      </c>
      <c r="AB4841" s="0" t="n">
        <f aca="false">X4841+Z4841</f>
        <v>50.1864502076793</v>
      </c>
      <c r="AC4841" s="54" t="b">
        <f aca="false">AND(E4841&gt;=01_因子設定!$L$5-0.000000001,E4841&lt;=01_因子設定!$M$5+0.000000001,F4841&gt;=01_因子設定!$L$6-0.000000001,F4841&lt;=01_因子設定!$M$6+0.000000001,G4841&gt;=01_因子設定!$L$7-0.000000001,G4841&lt;=01_因子設定!$M$7+0.000000001,H4841&gt;=01_因子設定!$L$8-0.000000001,H4841&lt;=01_因子設定!$M$8+0.000000001,IF(01_因子設定!$B$20="Box-Behnken",E4841^2+F4841^2+G4841^2+H4841^2&lt;=2+0.000000001,TRUE()))</f>
        <v>1</v>
      </c>
      <c r="AD4841" s="55" t="n">
        <f aca="false">IF(AC4841,IF(01_因子設定!$B$13="最大化",AA4841-01_因子設定!$B$14,IF(01_因子設定!$B$13="最小化",01_因子設定!$B$15-AB4841,MIN(AA4841-01_因子設定!$B$14,01_因子設定!$B$15-AB4841))),-1E+030)</f>
        <v>0.91741492389955</v>
      </c>
      <c r="AE4841" s="55" t="n">
        <f aca="false">IF(AC4841,IF(01_因子設定!$B$13="最大化",X4841,IF(01_因子設定!$B$13="最小化",-X4841,-ABS(X4841-01_因子設定!$B$16))),-1E+030)</f>
        <v>48.8019325657894</v>
      </c>
      <c r="AF4841" s="55" t="n">
        <f aca="false">AD4841+ROW()*0.000000001</f>
        <v>0.91741976489955</v>
      </c>
      <c r="AG4841" s="55" t="n">
        <f aca="false">AE4841+ROW()*0.000000001</f>
        <v>48.8019374067894</v>
      </c>
    </row>
    <row r="4842" customFormat="false" ht="15" hidden="false" customHeight="false" outlineLevel="0" collapsed="false">
      <c r="A4842" s="0" t="n">
        <v>6</v>
      </c>
      <c r="B4842" s="0" t="n">
        <v>5</v>
      </c>
      <c r="C4842" s="0" t="n">
        <v>6</v>
      </c>
      <c r="D4842" s="0" t="n">
        <v>4</v>
      </c>
      <c r="E4842" s="0" t="n">
        <f aca="false">-1+A4842*0.25</f>
        <v>0.5</v>
      </c>
      <c r="F4842" s="0" t="n">
        <f aca="false">-1+B4842*0.25</f>
        <v>0.25</v>
      </c>
      <c r="G4842" s="0" t="n">
        <f aca="false">-1+C4842*0.25</f>
        <v>0.5</v>
      </c>
      <c r="H4842" s="0" t="n">
        <f aca="false">-1+D4842*0.25</f>
        <v>0</v>
      </c>
      <c r="I4842" s="0" t="n">
        <f aca="false">1</f>
        <v>1</v>
      </c>
      <c r="J4842" s="0" t="n">
        <f aca="false">E4842</f>
        <v>0.5</v>
      </c>
      <c r="K4842" s="0" t="n">
        <f aca="false">F4842</f>
        <v>0.25</v>
      </c>
      <c r="L4842" s="0" t="n">
        <f aca="false">G4842</f>
        <v>0.5</v>
      </c>
      <c r="M4842" s="0" t="n">
        <f aca="false">H4842</f>
        <v>0</v>
      </c>
      <c r="N4842" s="0" t="n">
        <f aca="false">E4842*F4842</f>
        <v>0.125</v>
      </c>
      <c r="O4842" s="0" t="n">
        <f aca="false">E4842*G4842</f>
        <v>0.25</v>
      </c>
      <c r="P4842" s="0" t="n">
        <f aca="false">E4842*H4842</f>
        <v>0</v>
      </c>
      <c r="Q4842" s="0" t="n">
        <f aca="false">F4842*G4842</f>
        <v>0.125</v>
      </c>
      <c r="R4842" s="0" t="n">
        <f aca="false">F4842*H4842</f>
        <v>0</v>
      </c>
      <c r="S4842" s="0" t="n">
        <f aca="false">G4842*H4842</f>
        <v>0</v>
      </c>
      <c r="T4842" s="0" t="n">
        <f aca="false">E4842*E4842</f>
        <v>0.25</v>
      </c>
      <c r="U4842" s="0" t="n">
        <f aca="false">F4842*F4842</f>
        <v>0.0625</v>
      </c>
      <c r="V4842" s="0" t="n">
        <f aca="false">G4842*G4842</f>
        <v>0.25</v>
      </c>
      <c r="W4842" s="0" t="n">
        <f aca="false">H4842*H4842</f>
        <v>0</v>
      </c>
      <c r="X4842" s="0" t="n">
        <f aca="false">SUMPRODUCT(I4842:W4842,_XtX!$B$96:$P$96)</f>
        <v>48.9655062134503</v>
      </c>
      <c r="Y4842" s="0" t="n">
        <f aca="false">SUMPRODUCT(MMULT(I4842:W4842,_XtX!$B$78:$P$92),I4842:W4842)</f>
        <v>0.132367050438597</v>
      </c>
      <c r="Z4842" s="0" t="n">
        <f aca="false">04_回帰ANOVA!$K$19*04_回帰ANOVA!$K$14*SQRT(1+Y4842)</f>
        <v>1.38704964208329</v>
      </c>
      <c r="AA4842" s="0" t="n">
        <f aca="false">X4842-Z4842</f>
        <v>47.578456571367</v>
      </c>
      <c r="AB4842" s="0" t="n">
        <f aca="false">X4842+Z4842</f>
        <v>50.3525558555335</v>
      </c>
      <c r="AC4842" s="54" t="b">
        <f aca="false">AND(E4842&gt;=01_因子設定!$L$5-0.000000001,E4842&lt;=01_因子設定!$M$5+0.000000001,F4842&gt;=01_因子設定!$L$6-0.000000001,F4842&lt;=01_因子設定!$M$6+0.000000001,G4842&gt;=01_因子設定!$L$7-0.000000001,G4842&lt;=01_因子設定!$M$7+0.000000001,H4842&gt;=01_因子設定!$L$8-0.000000001,H4842&lt;=01_因子設定!$M$8+0.000000001,IF(01_因子設定!$B$20="Box-Behnken",E4842^2+F4842^2+G4842^2+H4842^2&lt;=2+0.000000001,TRUE()))</f>
        <v>1</v>
      </c>
      <c r="AD4842" s="55" t="n">
        <f aca="false">IF(AC4842,IF(01_因子設定!$B$13="最大化",AA4842-01_因子設定!$B$14,IF(01_因子設定!$B$13="最小化",01_因子設定!$B$15-AB4842,MIN(AA4842-01_因子設定!$B$14,01_因子設定!$B$15-AB4842))),-1E+030)</f>
        <v>1.07845657136696</v>
      </c>
      <c r="AE4842" s="55" t="n">
        <f aca="false">IF(AC4842,IF(01_因子設定!$B$13="最大化",X4842,IF(01_因子設定!$B$13="最小化",-X4842,-ABS(X4842-01_因子設定!$B$16))),-1E+030)</f>
        <v>48.9655062134503</v>
      </c>
      <c r="AF4842" s="55" t="n">
        <f aca="false">AD4842+ROW()*0.000000001</f>
        <v>1.07846141336696</v>
      </c>
      <c r="AG4842" s="55" t="n">
        <f aca="false">AE4842+ROW()*0.000000001</f>
        <v>48.9655110554503</v>
      </c>
    </row>
    <row r="4843" customFormat="false" ht="15" hidden="false" customHeight="false" outlineLevel="0" collapsed="false">
      <c r="A4843" s="0" t="n">
        <v>6</v>
      </c>
      <c r="B4843" s="0" t="n">
        <v>5</v>
      </c>
      <c r="C4843" s="0" t="n">
        <v>6</v>
      </c>
      <c r="D4843" s="0" t="n">
        <v>5</v>
      </c>
      <c r="E4843" s="0" t="n">
        <f aca="false">-1+A4843*0.25</f>
        <v>0.5</v>
      </c>
      <c r="F4843" s="0" t="n">
        <f aca="false">-1+B4843*0.25</f>
        <v>0.25</v>
      </c>
      <c r="G4843" s="0" t="n">
        <f aca="false">-1+C4843*0.25</f>
        <v>0.5</v>
      </c>
      <c r="H4843" s="0" t="n">
        <f aca="false">-1+D4843*0.25</f>
        <v>0.25</v>
      </c>
      <c r="I4843" s="0" t="n">
        <f aca="false">1</f>
        <v>1</v>
      </c>
      <c r="J4843" s="0" t="n">
        <f aca="false">E4843</f>
        <v>0.5</v>
      </c>
      <c r="K4843" s="0" t="n">
        <f aca="false">F4843</f>
        <v>0.25</v>
      </c>
      <c r="L4843" s="0" t="n">
        <f aca="false">G4843</f>
        <v>0.5</v>
      </c>
      <c r="M4843" s="0" t="n">
        <f aca="false">H4843</f>
        <v>0.25</v>
      </c>
      <c r="N4843" s="0" t="n">
        <f aca="false">E4843*F4843</f>
        <v>0.125</v>
      </c>
      <c r="O4843" s="0" t="n">
        <f aca="false">E4843*G4843</f>
        <v>0.25</v>
      </c>
      <c r="P4843" s="0" t="n">
        <f aca="false">E4843*H4843</f>
        <v>0.125</v>
      </c>
      <c r="Q4843" s="0" t="n">
        <f aca="false">F4843*G4843</f>
        <v>0.125</v>
      </c>
      <c r="R4843" s="0" t="n">
        <f aca="false">F4843*H4843</f>
        <v>0.0625</v>
      </c>
      <c r="S4843" s="0" t="n">
        <f aca="false">G4843*H4843</f>
        <v>0.125</v>
      </c>
      <c r="T4843" s="0" t="n">
        <f aca="false">E4843*E4843</f>
        <v>0.25</v>
      </c>
      <c r="U4843" s="0" t="n">
        <f aca="false">F4843*F4843</f>
        <v>0.0625</v>
      </c>
      <c r="V4843" s="0" t="n">
        <f aca="false">G4843*G4843</f>
        <v>0.25</v>
      </c>
      <c r="W4843" s="0" t="n">
        <f aca="false">H4843*H4843</f>
        <v>0.0625</v>
      </c>
      <c r="X4843" s="0" t="n">
        <f aca="false">SUMPRODUCT(I4843:W4843,_XtX!$B$96:$P$96)</f>
        <v>49.0812728435672</v>
      </c>
      <c r="Y4843" s="0" t="n">
        <f aca="false">SUMPRODUCT(MMULT(I4843:W4843,_XtX!$B$78:$P$92),I4843:W4843)</f>
        <v>0.128236647934942</v>
      </c>
      <c r="Z4843" s="0" t="n">
        <f aca="false">04_回帰ANOVA!$K$19*04_回帰ANOVA!$K$14*SQRT(1+Y4843)</f>
        <v>1.38451764188989</v>
      </c>
      <c r="AA4843" s="0" t="n">
        <f aca="false">X4843-Z4843</f>
        <v>47.6967552016773</v>
      </c>
      <c r="AB4843" s="0" t="n">
        <f aca="false">X4843+Z4843</f>
        <v>50.4657904854571</v>
      </c>
      <c r="AC4843" s="54" t="b">
        <f aca="false">AND(E4843&gt;=01_因子設定!$L$5-0.000000001,E4843&lt;=01_因子設定!$M$5+0.000000001,F4843&gt;=01_因子設定!$L$6-0.000000001,F4843&lt;=01_因子設定!$M$6+0.000000001,G4843&gt;=01_因子設定!$L$7-0.000000001,G4843&lt;=01_因子設定!$M$7+0.000000001,H4843&gt;=01_因子設定!$L$8-0.000000001,H4843&lt;=01_因子設定!$M$8+0.000000001,IF(01_因子設定!$B$20="Box-Behnken",E4843^2+F4843^2+G4843^2+H4843^2&lt;=2+0.000000001,TRUE()))</f>
        <v>1</v>
      </c>
      <c r="AD4843" s="55" t="n">
        <f aca="false">IF(AC4843,IF(01_因子設定!$B$13="最大化",AA4843-01_因子設定!$B$14,IF(01_因子設定!$B$13="最小化",01_因子設定!$B$15-AB4843,MIN(AA4843-01_因子設定!$B$14,01_因子設定!$B$15-AB4843))),-1E+030)</f>
        <v>1.19675520167733</v>
      </c>
      <c r="AE4843" s="55" t="n">
        <f aca="false">IF(AC4843,IF(01_因子設定!$B$13="最大化",X4843,IF(01_因子設定!$B$13="最小化",-X4843,-ABS(X4843-01_因子設定!$B$16))),-1E+030)</f>
        <v>49.0812728435672</v>
      </c>
      <c r="AF4843" s="55" t="n">
        <f aca="false">AD4843+ROW()*0.000000001</f>
        <v>1.19676004467733</v>
      </c>
      <c r="AG4843" s="55" t="n">
        <f aca="false">AE4843+ROW()*0.000000001</f>
        <v>49.0812776865672</v>
      </c>
    </row>
    <row r="4844" customFormat="false" ht="15" hidden="false" customHeight="false" outlineLevel="0" collapsed="false">
      <c r="A4844" s="0" t="n">
        <v>6</v>
      </c>
      <c r="B4844" s="0" t="n">
        <v>5</v>
      </c>
      <c r="C4844" s="0" t="n">
        <v>6</v>
      </c>
      <c r="D4844" s="0" t="n">
        <v>6</v>
      </c>
      <c r="E4844" s="0" t="n">
        <f aca="false">-1+A4844*0.25</f>
        <v>0.5</v>
      </c>
      <c r="F4844" s="0" t="n">
        <f aca="false">-1+B4844*0.25</f>
        <v>0.25</v>
      </c>
      <c r="G4844" s="0" t="n">
        <f aca="false">-1+C4844*0.25</f>
        <v>0.5</v>
      </c>
      <c r="H4844" s="0" t="n">
        <f aca="false">-1+D4844*0.25</f>
        <v>0.5</v>
      </c>
      <c r="I4844" s="0" t="n">
        <f aca="false">1</f>
        <v>1</v>
      </c>
      <c r="J4844" s="0" t="n">
        <f aca="false">E4844</f>
        <v>0.5</v>
      </c>
      <c r="K4844" s="0" t="n">
        <f aca="false">F4844</f>
        <v>0.25</v>
      </c>
      <c r="L4844" s="0" t="n">
        <f aca="false">G4844</f>
        <v>0.5</v>
      </c>
      <c r="M4844" s="0" t="n">
        <f aca="false">H4844</f>
        <v>0.5</v>
      </c>
      <c r="N4844" s="0" t="n">
        <f aca="false">E4844*F4844</f>
        <v>0.125</v>
      </c>
      <c r="O4844" s="0" t="n">
        <f aca="false">E4844*G4844</f>
        <v>0.25</v>
      </c>
      <c r="P4844" s="0" t="n">
        <f aca="false">E4844*H4844</f>
        <v>0.25</v>
      </c>
      <c r="Q4844" s="0" t="n">
        <f aca="false">F4844*G4844</f>
        <v>0.125</v>
      </c>
      <c r="R4844" s="0" t="n">
        <f aca="false">F4844*H4844</f>
        <v>0.125</v>
      </c>
      <c r="S4844" s="0" t="n">
        <f aca="false">G4844*H4844</f>
        <v>0.25</v>
      </c>
      <c r="T4844" s="0" t="n">
        <f aca="false">E4844*E4844</f>
        <v>0.25</v>
      </c>
      <c r="U4844" s="0" t="n">
        <f aca="false">F4844*F4844</f>
        <v>0.0625</v>
      </c>
      <c r="V4844" s="0" t="n">
        <f aca="false">G4844*G4844</f>
        <v>0.25</v>
      </c>
      <c r="W4844" s="0" t="n">
        <f aca="false">H4844*H4844</f>
        <v>0.25</v>
      </c>
      <c r="X4844" s="0" t="n">
        <f aca="false">SUMPRODUCT(I4844:W4844,_XtX!$B$96:$P$96)</f>
        <v>49.1492324561403</v>
      </c>
      <c r="Y4844" s="0" t="n">
        <f aca="false">SUMPRODUCT(MMULT(I4844:W4844,_XtX!$B$78:$P$92),I4844:W4844)</f>
        <v>0.133937545687135</v>
      </c>
      <c r="Z4844" s="0" t="n">
        <f aca="false">04_回帰ANOVA!$K$19*04_回帰ANOVA!$K$14*SQRT(1+Y4844)</f>
        <v>1.38801116780825</v>
      </c>
      <c r="AA4844" s="0" t="n">
        <f aca="false">X4844-Z4844</f>
        <v>47.7612212883321</v>
      </c>
      <c r="AB4844" s="0" t="n">
        <f aca="false">X4844+Z4844</f>
        <v>50.5372436239486</v>
      </c>
      <c r="AC4844" s="54" t="b">
        <f aca="false">AND(E4844&gt;=01_因子設定!$L$5-0.000000001,E4844&lt;=01_因子設定!$M$5+0.000000001,F4844&gt;=01_因子設定!$L$6-0.000000001,F4844&lt;=01_因子設定!$M$6+0.000000001,G4844&gt;=01_因子設定!$L$7-0.000000001,G4844&lt;=01_因子設定!$M$7+0.000000001,H4844&gt;=01_因子設定!$L$8-0.000000001,H4844&lt;=01_因子設定!$M$8+0.000000001,IF(01_因子設定!$B$20="Box-Behnken",E4844^2+F4844^2+G4844^2+H4844^2&lt;=2+0.000000001,TRUE()))</f>
        <v>1</v>
      </c>
      <c r="AD4844" s="55" t="n">
        <f aca="false">IF(AC4844,IF(01_因子設定!$B$13="最大化",AA4844-01_因子設定!$B$14,IF(01_因子設定!$B$13="最小化",01_因子設定!$B$15-AB4844,MIN(AA4844-01_因子設定!$B$14,01_因子設定!$B$15-AB4844))),-1E+030)</f>
        <v>1.26122128833207</v>
      </c>
      <c r="AE4844" s="55" t="n">
        <f aca="false">IF(AC4844,IF(01_因子設定!$B$13="最大化",X4844,IF(01_因子設定!$B$13="最小化",-X4844,-ABS(X4844-01_因子設定!$B$16))),-1E+030)</f>
        <v>49.1492324561403</v>
      </c>
      <c r="AF4844" s="55" t="n">
        <f aca="false">AD4844+ROW()*0.000000001</f>
        <v>1.26122613233207</v>
      </c>
      <c r="AG4844" s="55" t="n">
        <f aca="false">AE4844+ROW()*0.000000001</f>
        <v>49.1492373001403</v>
      </c>
    </row>
    <row r="4845" customFormat="false" ht="15" hidden="false" customHeight="false" outlineLevel="0" collapsed="false">
      <c r="A4845" s="0" t="n">
        <v>6</v>
      </c>
      <c r="B4845" s="0" t="n">
        <v>5</v>
      </c>
      <c r="C4845" s="0" t="n">
        <v>6</v>
      </c>
      <c r="D4845" s="0" t="n">
        <v>7</v>
      </c>
      <c r="E4845" s="0" t="n">
        <f aca="false">-1+A4845*0.25</f>
        <v>0.5</v>
      </c>
      <c r="F4845" s="0" t="n">
        <f aca="false">-1+B4845*0.25</f>
        <v>0.25</v>
      </c>
      <c r="G4845" s="0" t="n">
        <f aca="false">-1+C4845*0.25</f>
        <v>0.5</v>
      </c>
      <c r="H4845" s="0" t="n">
        <f aca="false">-1+D4845*0.25</f>
        <v>0.75</v>
      </c>
      <c r="I4845" s="0" t="n">
        <f aca="false">1</f>
        <v>1</v>
      </c>
      <c r="J4845" s="0" t="n">
        <f aca="false">E4845</f>
        <v>0.5</v>
      </c>
      <c r="K4845" s="0" t="n">
        <f aca="false">F4845</f>
        <v>0.25</v>
      </c>
      <c r="L4845" s="0" t="n">
        <f aca="false">G4845</f>
        <v>0.5</v>
      </c>
      <c r="M4845" s="0" t="n">
        <f aca="false">H4845</f>
        <v>0.75</v>
      </c>
      <c r="N4845" s="0" t="n">
        <f aca="false">E4845*F4845</f>
        <v>0.125</v>
      </c>
      <c r="O4845" s="0" t="n">
        <f aca="false">E4845*G4845</f>
        <v>0.25</v>
      </c>
      <c r="P4845" s="0" t="n">
        <f aca="false">E4845*H4845</f>
        <v>0.375</v>
      </c>
      <c r="Q4845" s="0" t="n">
        <f aca="false">F4845*G4845</f>
        <v>0.125</v>
      </c>
      <c r="R4845" s="0" t="n">
        <f aca="false">F4845*H4845</f>
        <v>0.1875</v>
      </c>
      <c r="S4845" s="0" t="n">
        <f aca="false">G4845*H4845</f>
        <v>0.375</v>
      </c>
      <c r="T4845" s="0" t="n">
        <f aca="false">E4845*E4845</f>
        <v>0.25</v>
      </c>
      <c r="U4845" s="0" t="n">
        <f aca="false">F4845*F4845</f>
        <v>0.0625</v>
      </c>
      <c r="V4845" s="0" t="n">
        <f aca="false">G4845*G4845</f>
        <v>0.25</v>
      </c>
      <c r="W4845" s="0" t="n">
        <f aca="false">H4845*H4845</f>
        <v>0.5625</v>
      </c>
      <c r="X4845" s="0" t="n">
        <f aca="false">SUMPRODUCT(I4845:W4845,_XtX!$B$96:$P$96)</f>
        <v>49.1693850511696</v>
      </c>
      <c r="Y4845" s="0" t="n">
        <f aca="false">SUMPRODUCT(MMULT(I4845:W4845,_XtX!$B$78:$P$92),I4845:W4845)</f>
        <v>0.203746059484649</v>
      </c>
      <c r="Z4845" s="0" t="n">
        <f aca="false">04_回帰ANOVA!$K$19*04_回帰ANOVA!$K$14*SQRT(1+Y4845)</f>
        <v>1.43009810755465</v>
      </c>
      <c r="AA4845" s="0" t="n">
        <f aca="false">X4845-Z4845</f>
        <v>47.7392869436149</v>
      </c>
      <c r="AB4845" s="0" t="n">
        <f aca="false">X4845+Z4845</f>
        <v>50.5994831587242</v>
      </c>
      <c r="AC4845" s="54" t="b">
        <f aca="false">AND(E4845&gt;=01_因子設定!$L$5-0.000000001,E4845&lt;=01_因子設定!$M$5+0.000000001,F4845&gt;=01_因子設定!$L$6-0.000000001,F4845&lt;=01_因子設定!$M$6+0.000000001,G4845&gt;=01_因子設定!$L$7-0.000000001,G4845&lt;=01_因子設定!$M$7+0.000000001,H4845&gt;=01_因子設定!$L$8-0.000000001,H4845&lt;=01_因子設定!$M$8+0.000000001,IF(01_因子設定!$B$20="Box-Behnken",E4845^2+F4845^2+G4845^2+H4845^2&lt;=2+0.000000001,TRUE()))</f>
        <v>1</v>
      </c>
      <c r="AD4845" s="55" t="n">
        <f aca="false">IF(AC4845,IF(01_因子設定!$B$13="最大化",AA4845-01_因子設定!$B$14,IF(01_因子設定!$B$13="最小化",01_因子設定!$B$15-AB4845,MIN(AA4845-01_因子設定!$B$14,01_因子設定!$B$15-AB4845))),-1E+030)</f>
        <v>1.23928694361492</v>
      </c>
      <c r="AE4845" s="55" t="n">
        <f aca="false">IF(AC4845,IF(01_因子設定!$B$13="最大化",X4845,IF(01_因子設定!$B$13="最小化",-X4845,-ABS(X4845-01_因子設定!$B$16))),-1E+030)</f>
        <v>49.1693850511696</v>
      </c>
      <c r="AF4845" s="55" t="n">
        <f aca="false">AD4845+ROW()*0.000000001</f>
        <v>1.23929178861492</v>
      </c>
      <c r="AG4845" s="55" t="n">
        <f aca="false">AE4845+ROW()*0.000000001</f>
        <v>49.1693898961696</v>
      </c>
    </row>
    <row r="4846" customFormat="false" ht="15" hidden="false" customHeight="false" outlineLevel="0" collapsed="false">
      <c r="A4846" s="0" t="n">
        <v>6</v>
      </c>
      <c r="B4846" s="0" t="n">
        <v>5</v>
      </c>
      <c r="C4846" s="0" t="n">
        <v>6</v>
      </c>
      <c r="D4846" s="0" t="n">
        <v>8</v>
      </c>
      <c r="E4846" s="0" t="n">
        <f aca="false">-1+A4846*0.25</f>
        <v>0.5</v>
      </c>
      <c r="F4846" s="0" t="n">
        <f aca="false">-1+B4846*0.25</f>
        <v>0.25</v>
      </c>
      <c r="G4846" s="0" t="n">
        <f aca="false">-1+C4846*0.25</f>
        <v>0.5</v>
      </c>
      <c r="H4846" s="0" t="n">
        <f aca="false">-1+D4846*0.25</f>
        <v>1</v>
      </c>
      <c r="I4846" s="0" t="n">
        <f aca="false">1</f>
        <v>1</v>
      </c>
      <c r="J4846" s="0" t="n">
        <f aca="false">E4846</f>
        <v>0.5</v>
      </c>
      <c r="K4846" s="0" t="n">
        <f aca="false">F4846</f>
        <v>0.25</v>
      </c>
      <c r="L4846" s="0" t="n">
        <f aca="false">G4846</f>
        <v>0.5</v>
      </c>
      <c r="M4846" s="0" t="n">
        <f aca="false">H4846</f>
        <v>1</v>
      </c>
      <c r="N4846" s="0" t="n">
        <f aca="false">E4846*F4846</f>
        <v>0.125</v>
      </c>
      <c r="O4846" s="0" t="n">
        <f aca="false">E4846*G4846</f>
        <v>0.25</v>
      </c>
      <c r="P4846" s="0" t="n">
        <f aca="false">E4846*H4846</f>
        <v>0.5</v>
      </c>
      <c r="Q4846" s="0" t="n">
        <f aca="false">F4846*G4846</f>
        <v>0.125</v>
      </c>
      <c r="R4846" s="0" t="n">
        <f aca="false">F4846*H4846</f>
        <v>0.25</v>
      </c>
      <c r="S4846" s="0" t="n">
        <f aca="false">G4846*H4846</f>
        <v>0.5</v>
      </c>
      <c r="T4846" s="0" t="n">
        <f aca="false">E4846*E4846</f>
        <v>0.25</v>
      </c>
      <c r="U4846" s="0" t="n">
        <f aca="false">F4846*F4846</f>
        <v>0.0625</v>
      </c>
      <c r="V4846" s="0" t="n">
        <f aca="false">G4846*G4846</f>
        <v>0.25</v>
      </c>
      <c r="W4846" s="0" t="n">
        <f aca="false">H4846*H4846</f>
        <v>1</v>
      </c>
      <c r="X4846" s="0" t="n">
        <f aca="false">SUMPRODUCT(I4846:W4846,_XtX!$B$96:$P$96)</f>
        <v>49.141730628655</v>
      </c>
      <c r="Y4846" s="0" t="n">
        <f aca="false">SUMPRODUCT(MMULT(I4846:W4846,_XtX!$B$78:$P$92),I4846:W4846)</f>
        <v>0.428122715643275</v>
      </c>
      <c r="Z4846" s="0" t="n">
        <f aca="false">04_回帰ANOVA!$K$19*04_回帰ANOVA!$K$14*SQRT(1+Y4846)</f>
        <v>1.55769044623229</v>
      </c>
      <c r="AA4846" s="0" t="n">
        <f aca="false">X4846-Z4846</f>
        <v>47.5840401824227</v>
      </c>
      <c r="AB4846" s="0" t="n">
        <f aca="false">X4846+Z4846</f>
        <v>50.6994210748873</v>
      </c>
      <c r="AC4846" s="54" t="b">
        <f aca="false">AND(E4846&gt;=01_因子設定!$L$5-0.000000001,E4846&lt;=01_因子設定!$M$5+0.000000001,F4846&gt;=01_因子設定!$L$6-0.000000001,F4846&lt;=01_因子設定!$M$6+0.000000001,G4846&gt;=01_因子設定!$L$7-0.000000001,G4846&lt;=01_因子設定!$M$7+0.000000001,H4846&gt;=01_因子設定!$L$8-0.000000001,H4846&lt;=01_因子設定!$M$8+0.000000001,IF(01_因子設定!$B$20="Box-Behnken",E4846^2+F4846^2+G4846^2+H4846^2&lt;=2+0.000000001,TRUE()))</f>
        <v>1</v>
      </c>
      <c r="AD4846" s="55" t="n">
        <f aca="false">IF(AC4846,IF(01_因子設定!$B$13="最大化",AA4846-01_因子設定!$B$14,IF(01_因子設定!$B$13="最小化",01_因子設定!$B$15-AB4846,MIN(AA4846-01_因子設定!$B$14,01_因子設定!$B$15-AB4846))),-1E+030)</f>
        <v>1.08404018242267</v>
      </c>
      <c r="AE4846" s="55" t="n">
        <f aca="false">IF(AC4846,IF(01_因子設定!$B$13="最大化",X4846,IF(01_因子設定!$B$13="最小化",-X4846,-ABS(X4846-01_因子設定!$B$16))),-1E+030)</f>
        <v>49.141730628655</v>
      </c>
      <c r="AF4846" s="55" t="n">
        <f aca="false">AD4846+ROW()*0.000000001</f>
        <v>1.08404502842267</v>
      </c>
      <c r="AG4846" s="55" t="n">
        <f aca="false">AE4846+ROW()*0.000000001</f>
        <v>49.141735474655</v>
      </c>
    </row>
    <row r="4847" customFormat="false" ht="15" hidden="false" customHeight="false" outlineLevel="0" collapsed="false">
      <c r="A4847" s="0" t="n">
        <v>6</v>
      </c>
      <c r="B4847" s="0" t="n">
        <v>5</v>
      </c>
      <c r="C4847" s="0" t="n">
        <v>7</v>
      </c>
      <c r="D4847" s="0" t="n">
        <v>0</v>
      </c>
      <c r="E4847" s="0" t="n">
        <f aca="false">-1+A4847*0.25</f>
        <v>0.5</v>
      </c>
      <c r="F4847" s="0" t="n">
        <f aca="false">-1+B4847*0.25</f>
        <v>0.25</v>
      </c>
      <c r="G4847" s="0" t="n">
        <f aca="false">-1+C4847*0.25</f>
        <v>0.75</v>
      </c>
      <c r="H4847" s="0" t="n">
        <f aca="false">-1+D4847*0.25</f>
        <v>-1</v>
      </c>
      <c r="I4847" s="0" t="n">
        <f aca="false">1</f>
        <v>1</v>
      </c>
      <c r="J4847" s="0" t="n">
        <f aca="false">E4847</f>
        <v>0.5</v>
      </c>
      <c r="K4847" s="0" t="n">
        <f aca="false">F4847</f>
        <v>0.25</v>
      </c>
      <c r="L4847" s="0" t="n">
        <f aca="false">G4847</f>
        <v>0.75</v>
      </c>
      <c r="M4847" s="0" t="n">
        <f aca="false">H4847</f>
        <v>-1</v>
      </c>
      <c r="N4847" s="0" t="n">
        <f aca="false">E4847*F4847</f>
        <v>0.125</v>
      </c>
      <c r="O4847" s="0" t="n">
        <f aca="false">E4847*G4847</f>
        <v>0.375</v>
      </c>
      <c r="P4847" s="0" t="n">
        <f aca="false">E4847*H4847</f>
        <v>-0.5</v>
      </c>
      <c r="Q4847" s="0" t="n">
        <f aca="false">F4847*G4847</f>
        <v>0.1875</v>
      </c>
      <c r="R4847" s="0" t="n">
        <f aca="false">F4847*H4847</f>
        <v>-0.25</v>
      </c>
      <c r="S4847" s="0" t="n">
        <f aca="false">G4847*H4847</f>
        <v>-0.75</v>
      </c>
      <c r="T4847" s="0" t="n">
        <f aca="false">E4847*E4847</f>
        <v>0.25</v>
      </c>
      <c r="U4847" s="0" t="n">
        <f aca="false">F4847*F4847</f>
        <v>0.0625</v>
      </c>
      <c r="V4847" s="0" t="n">
        <f aca="false">G4847*G4847</f>
        <v>0.5625</v>
      </c>
      <c r="W4847" s="0" t="n">
        <f aca="false">H4847*H4847</f>
        <v>1</v>
      </c>
      <c r="X4847" s="0" t="n">
        <f aca="false">SUMPRODUCT(I4847:W4847,_XtX!$B$96:$P$96)</f>
        <v>47.9233415570175</v>
      </c>
      <c r="Y4847" s="0" t="n">
        <f aca="false">SUMPRODUCT(MMULT(I4847:W4847,_XtX!$B$78:$P$92),I4847:W4847)</f>
        <v>0.459125719572369</v>
      </c>
      <c r="Z4847" s="0" t="n">
        <f aca="false">04_回帰ANOVA!$K$19*04_回帰ANOVA!$K$14*SQRT(1+Y4847)</f>
        <v>1.57450755575573</v>
      </c>
      <c r="AA4847" s="0" t="n">
        <f aca="false">X4847-Z4847</f>
        <v>46.3488340012618</v>
      </c>
      <c r="AB4847" s="0" t="n">
        <f aca="false">X4847+Z4847</f>
        <v>49.4978491127733</v>
      </c>
      <c r="AC4847" s="54" t="b">
        <f aca="false">AND(E4847&gt;=01_因子設定!$L$5-0.000000001,E4847&lt;=01_因子設定!$M$5+0.000000001,F4847&gt;=01_因子設定!$L$6-0.000000001,F4847&lt;=01_因子設定!$M$6+0.000000001,G4847&gt;=01_因子設定!$L$7-0.000000001,G4847&lt;=01_因子設定!$M$7+0.000000001,H4847&gt;=01_因子設定!$L$8-0.000000001,H4847&lt;=01_因子設定!$M$8+0.000000001,IF(01_因子設定!$B$20="Box-Behnken",E4847^2+F4847^2+G4847^2+H4847^2&lt;=2+0.000000001,TRUE()))</f>
        <v>1</v>
      </c>
      <c r="AD4847" s="55" t="n">
        <f aca="false">IF(AC4847,IF(01_因子設定!$B$13="最大化",AA4847-01_因子設定!$B$14,IF(01_因子設定!$B$13="最小化",01_因子設定!$B$15-AB4847,MIN(AA4847-01_因子設定!$B$14,01_因子設定!$B$15-AB4847))),-1E+030)</f>
        <v>-0.151165998738186</v>
      </c>
      <c r="AE4847" s="55" t="n">
        <f aca="false">IF(AC4847,IF(01_因子設定!$B$13="最大化",X4847,IF(01_因子設定!$B$13="最小化",-X4847,-ABS(X4847-01_因子設定!$B$16))),-1E+030)</f>
        <v>47.9233415570175</v>
      </c>
      <c r="AF4847" s="55" t="n">
        <f aca="false">AD4847+ROW()*0.000000001</f>
        <v>-0.151161151738186</v>
      </c>
      <c r="AG4847" s="55" t="n">
        <f aca="false">AE4847+ROW()*0.000000001</f>
        <v>47.9233464040175</v>
      </c>
    </row>
    <row r="4848" customFormat="false" ht="15" hidden="false" customHeight="false" outlineLevel="0" collapsed="false">
      <c r="A4848" s="0" t="n">
        <v>6</v>
      </c>
      <c r="B4848" s="0" t="n">
        <v>5</v>
      </c>
      <c r="C4848" s="0" t="n">
        <v>7</v>
      </c>
      <c r="D4848" s="0" t="n">
        <v>1</v>
      </c>
      <c r="E4848" s="0" t="n">
        <f aca="false">-1+A4848*0.25</f>
        <v>0.5</v>
      </c>
      <c r="F4848" s="0" t="n">
        <f aca="false">-1+B4848*0.25</f>
        <v>0.25</v>
      </c>
      <c r="G4848" s="0" t="n">
        <f aca="false">-1+C4848*0.25</f>
        <v>0.75</v>
      </c>
      <c r="H4848" s="0" t="n">
        <f aca="false">-1+D4848*0.25</f>
        <v>-0.75</v>
      </c>
      <c r="I4848" s="0" t="n">
        <f aca="false">1</f>
        <v>1</v>
      </c>
      <c r="J4848" s="0" t="n">
        <f aca="false">E4848</f>
        <v>0.5</v>
      </c>
      <c r="K4848" s="0" t="n">
        <f aca="false">F4848</f>
        <v>0.25</v>
      </c>
      <c r="L4848" s="0" t="n">
        <f aca="false">G4848</f>
        <v>0.75</v>
      </c>
      <c r="M4848" s="0" t="n">
        <f aca="false">H4848</f>
        <v>-0.75</v>
      </c>
      <c r="N4848" s="0" t="n">
        <f aca="false">E4848*F4848</f>
        <v>0.125</v>
      </c>
      <c r="O4848" s="0" t="n">
        <f aca="false">E4848*G4848</f>
        <v>0.375</v>
      </c>
      <c r="P4848" s="0" t="n">
        <f aca="false">E4848*H4848</f>
        <v>-0.375</v>
      </c>
      <c r="Q4848" s="0" t="n">
        <f aca="false">F4848*G4848</f>
        <v>0.1875</v>
      </c>
      <c r="R4848" s="0" t="n">
        <f aca="false">F4848*H4848</f>
        <v>-0.1875</v>
      </c>
      <c r="S4848" s="0" t="n">
        <f aca="false">G4848*H4848</f>
        <v>-0.5625</v>
      </c>
      <c r="T4848" s="0" t="n">
        <f aca="false">E4848*E4848</f>
        <v>0.25</v>
      </c>
      <c r="U4848" s="0" t="n">
        <f aca="false">F4848*F4848</f>
        <v>0.0625</v>
      </c>
      <c r="V4848" s="0" t="n">
        <f aca="false">G4848*G4848</f>
        <v>0.5625</v>
      </c>
      <c r="W4848" s="0" t="n">
        <f aca="false">H4848*H4848</f>
        <v>0.5625</v>
      </c>
      <c r="X4848" s="0" t="n">
        <f aca="false">SUMPRODUCT(I4848:W4848,_XtX!$B$96:$P$96)</f>
        <v>48.2483050073099</v>
      </c>
      <c r="Y4848" s="0" t="n">
        <f aca="false">SUMPRODUCT(MMULT(I4848:W4848,_XtX!$B$78:$P$92),I4848:W4848)</f>
        <v>0.257385610836988</v>
      </c>
      <c r="Z4848" s="0" t="n">
        <f aca="false">04_回帰ANOVA!$K$19*04_回帰ANOVA!$K$14*SQRT(1+Y4848)</f>
        <v>1.46161380324158</v>
      </c>
      <c r="AA4848" s="0" t="n">
        <f aca="false">X4848-Z4848</f>
        <v>46.7866912040683</v>
      </c>
      <c r="AB4848" s="0" t="n">
        <f aca="false">X4848+Z4848</f>
        <v>49.7099188105515</v>
      </c>
      <c r="AC4848" s="54" t="b">
        <f aca="false">AND(E4848&gt;=01_因子設定!$L$5-0.000000001,E4848&lt;=01_因子設定!$M$5+0.000000001,F4848&gt;=01_因子設定!$L$6-0.000000001,F4848&lt;=01_因子設定!$M$6+0.000000001,G4848&gt;=01_因子設定!$L$7-0.000000001,G4848&lt;=01_因子設定!$M$7+0.000000001,H4848&gt;=01_因子設定!$L$8-0.000000001,H4848&lt;=01_因子設定!$M$8+0.000000001,IF(01_因子設定!$B$20="Box-Behnken",E4848^2+F4848^2+G4848^2+H4848^2&lt;=2+0.000000001,TRUE()))</f>
        <v>1</v>
      </c>
      <c r="AD4848" s="55" t="n">
        <f aca="false">IF(AC4848,IF(01_因子設定!$B$13="最大化",AA4848-01_因子設定!$B$14,IF(01_因子設定!$B$13="最小化",01_因子設定!$B$15-AB4848,MIN(AA4848-01_因子設定!$B$14,01_因子設定!$B$15-AB4848))),-1E+030)</f>
        <v>0.28669120406834</v>
      </c>
      <c r="AE4848" s="55" t="n">
        <f aca="false">IF(AC4848,IF(01_因子設定!$B$13="最大化",X4848,IF(01_因子設定!$B$13="最小化",-X4848,-ABS(X4848-01_因子設定!$B$16))),-1E+030)</f>
        <v>48.2483050073099</v>
      </c>
      <c r="AF4848" s="55" t="n">
        <f aca="false">AD4848+ROW()*0.000000001</f>
        <v>0.28669605206834</v>
      </c>
      <c r="AG4848" s="55" t="n">
        <f aca="false">AE4848+ROW()*0.000000001</f>
        <v>48.2483098553099</v>
      </c>
    </row>
    <row r="4849" customFormat="false" ht="15" hidden="false" customHeight="false" outlineLevel="0" collapsed="false">
      <c r="A4849" s="0" t="n">
        <v>6</v>
      </c>
      <c r="B4849" s="0" t="n">
        <v>5</v>
      </c>
      <c r="C4849" s="0" t="n">
        <v>7</v>
      </c>
      <c r="D4849" s="0" t="n">
        <v>2</v>
      </c>
      <c r="E4849" s="0" t="n">
        <f aca="false">-1+A4849*0.25</f>
        <v>0.5</v>
      </c>
      <c r="F4849" s="0" t="n">
        <f aca="false">-1+B4849*0.25</f>
        <v>0.25</v>
      </c>
      <c r="G4849" s="0" t="n">
        <f aca="false">-1+C4849*0.25</f>
        <v>0.75</v>
      </c>
      <c r="H4849" s="0" t="n">
        <f aca="false">-1+D4849*0.25</f>
        <v>-0.5</v>
      </c>
      <c r="I4849" s="0" t="n">
        <f aca="false">1</f>
        <v>1</v>
      </c>
      <c r="J4849" s="0" t="n">
        <f aca="false">E4849</f>
        <v>0.5</v>
      </c>
      <c r="K4849" s="0" t="n">
        <f aca="false">F4849</f>
        <v>0.25</v>
      </c>
      <c r="L4849" s="0" t="n">
        <f aca="false">G4849</f>
        <v>0.75</v>
      </c>
      <c r="M4849" s="0" t="n">
        <f aca="false">H4849</f>
        <v>-0.5</v>
      </c>
      <c r="N4849" s="0" t="n">
        <f aca="false">E4849*F4849</f>
        <v>0.125</v>
      </c>
      <c r="O4849" s="0" t="n">
        <f aca="false">E4849*G4849</f>
        <v>0.375</v>
      </c>
      <c r="P4849" s="0" t="n">
        <f aca="false">E4849*H4849</f>
        <v>-0.25</v>
      </c>
      <c r="Q4849" s="0" t="n">
        <f aca="false">F4849*G4849</f>
        <v>0.1875</v>
      </c>
      <c r="R4849" s="0" t="n">
        <f aca="false">F4849*H4849</f>
        <v>-0.125</v>
      </c>
      <c r="S4849" s="0" t="n">
        <f aca="false">G4849*H4849</f>
        <v>-0.375</v>
      </c>
      <c r="T4849" s="0" t="n">
        <f aca="false">E4849*E4849</f>
        <v>0.25</v>
      </c>
      <c r="U4849" s="0" t="n">
        <f aca="false">F4849*F4849</f>
        <v>0.0625</v>
      </c>
      <c r="V4849" s="0" t="n">
        <f aca="false">G4849*G4849</f>
        <v>0.5625</v>
      </c>
      <c r="W4849" s="0" t="n">
        <f aca="false">H4849*H4849</f>
        <v>0.25</v>
      </c>
      <c r="X4849" s="0" t="n">
        <f aca="false">SUMPRODUCT(I4849:W4849,_XtX!$B$96:$P$96)</f>
        <v>48.5254614400585</v>
      </c>
      <c r="Y4849" s="0" t="n">
        <f aca="false">SUMPRODUCT(MMULT(I4849:W4849,_XtX!$B$78:$P$92),I4849:W4849)</f>
        <v>0.203746059484649</v>
      </c>
      <c r="Z4849" s="0" t="n">
        <f aca="false">04_回帰ANOVA!$K$19*04_回帰ANOVA!$K$14*SQRT(1+Y4849)</f>
        <v>1.43009810755465</v>
      </c>
      <c r="AA4849" s="0" t="n">
        <f aca="false">X4849-Z4849</f>
        <v>47.0953633325038</v>
      </c>
      <c r="AB4849" s="0" t="n">
        <f aca="false">X4849+Z4849</f>
        <v>49.9555595476131</v>
      </c>
      <c r="AC4849" s="54" t="b">
        <f aca="false">AND(E4849&gt;=01_因子設定!$L$5-0.000000001,E4849&lt;=01_因子設定!$M$5+0.000000001,F4849&gt;=01_因子設定!$L$6-0.000000001,F4849&lt;=01_因子設定!$M$6+0.000000001,G4849&gt;=01_因子設定!$L$7-0.000000001,G4849&lt;=01_因子設定!$M$7+0.000000001,H4849&gt;=01_因子設定!$L$8-0.000000001,H4849&lt;=01_因子設定!$M$8+0.000000001,IF(01_因子設定!$B$20="Box-Behnken",E4849^2+F4849^2+G4849^2+H4849^2&lt;=2+0.000000001,TRUE()))</f>
        <v>1</v>
      </c>
      <c r="AD4849" s="55" t="n">
        <f aca="false">IF(AC4849,IF(01_因子設定!$B$13="最大化",AA4849-01_因子設定!$B$14,IF(01_因子設定!$B$13="最小化",01_因子設定!$B$15-AB4849,MIN(AA4849-01_因子設定!$B$14,01_因子設定!$B$15-AB4849))),-1E+030)</f>
        <v>0.595363332503801</v>
      </c>
      <c r="AE4849" s="55" t="n">
        <f aca="false">IF(AC4849,IF(01_因子設定!$B$13="最大化",X4849,IF(01_因子設定!$B$13="最小化",-X4849,-ABS(X4849-01_因子設定!$B$16))),-1E+030)</f>
        <v>48.5254614400585</v>
      </c>
      <c r="AF4849" s="55" t="n">
        <f aca="false">AD4849+ROW()*0.000000001</f>
        <v>0.595368181503801</v>
      </c>
      <c r="AG4849" s="55" t="n">
        <f aca="false">AE4849+ROW()*0.000000001</f>
        <v>48.5254662890585</v>
      </c>
    </row>
    <row r="4850" customFormat="false" ht="15" hidden="false" customHeight="false" outlineLevel="0" collapsed="false">
      <c r="A4850" s="0" t="n">
        <v>6</v>
      </c>
      <c r="B4850" s="0" t="n">
        <v>5</v>
      </c>
      <c r="C4850" s="0" t="n">
        <v>7</v>
      </c>
      <c r="D4850" s="0" t="n">
        <v>3</v>
      </c>
      <c r="E4850" s="0" t="n">
        <f aca="false">-1+A4850*0.25</f>
        <v>0.5</v>
      </c>
      <c r="F4850" s="0" t="n">
        <f aca="false">-1+B4850*0.25</f>
        <v>0.25</v>
      </c>
      <c r="G4850" s="0" t="n">
        <f aca="false">-1+C4850*0.25</f>
        <v>0.75</v>
      </c>
      <c r="H4850" s="0" t="n">
        <f aca="false">-1+D4850*0.25</f>
        <v>-0.25</v>
      </c>
      <c r="I4850" s="0" t="n">
        <f aca="false">1</f>
        <v>1</v>
      </c>
      <c r="J4850" s="0" t="n">
        <f aca="false">E4850</f>
        <v>0.5</v>
      </c>
      <c r="K4850" s="0" t="n">
        <f aca="false">F4850</f>
        <v>0.25</v>
      </c>
      <c r="L4850" s="0" t="n">
        <f aca="false">G4850</f>
        <v>0.75</v>
      </c>
      <c r="M4850" s="0" t="n">
        <f aca="false">H4850</f>
        <v>-0.25</v>
      </c>
      <c r="N4850" s="0" t="n">
        <f aca="false">E4850*F4850</f>
        <v>0.125</v>
      </c>
      <c r="O4850" s="0" t="n">
        <f aca="false">E4850*G4850</f>
        <v>0.375</v>
      </c>
      <c r="P4850" s="0" t="n">
        <f aca="false">E4850*H4850</f>
        <v>-0.125</v>
      </c>
      <c r="Q4850" s="0" t="n">
        <f aca="false">F4850*G4850</f>
        <v>0.1875</v>
      </c>
      <c r="R4850" s="0" t="n">
        <f aca="false">F4850*H4850</f>
        <v>-0.0625</v>
      </c>
      <c r="S4850" s="0" t="n">
        <f aca="false">G4850*H4850</f>
        <v>-0.1875</v>
      </c>
      <c r="T4850" s="0" t="n">
        <f aca="false">E4850*E4850</f>
        <v>0.25</v>
      </c>
      <c r="U4850" s="0" t="n">
        <f aca="false">F4850*F4850</f>
        <v>0.0625</v>
      </c>
      <c r="V4850" s="0" t="n">
        <f aca="false">G4850*G4850</f>
        <v>0.5625</v>
      </c>
      <c r="W4850" s="0" t="n">
        <f aca="false">H4850*H4850</f>
        <v>0.0625</v>
      </c>
      <c r="X4850" s="0" t="n">
        <f aca="false">SUMPRODUCT(I4850:W4850,_XtX!$B$96:$P$96)</f>
        <v>48.7548108552631</v>
      </c>
      <c r="Y4850" s="0" t="n">
        <f aca="false">SUMPRODUCT(MMULT(I4850:W4850,_XtX!$B$78:$P$92),I4850:W4850)</f>
        <v>0.207746539199561</v>
      </c>
      <c r="Z4850" s="0" t="n">
        <f aca="false">04_回帰ANOVA!$K$19*04_回帰ANOVA!$K$14*SQRT(1+Y4850)</f>
        <v>1.43247250081141</v>
      </c>
      <c r="AA4850" s="0" t="n">
        <f aca="false">X4850-Z4850</f>
        <v>47.3223383544517</v>
      </c>
      <c r="AB4850" s="0" t="n">
        <f aca="false">X4850+Z4850</f>
        <v>50.1872833560745</v>
      </c>
      <c r="AC4850" s="54" t="b">
        <f aca="false">AND(E4850&gt;=01_因子設定!$L$5-0.000000001,E4850&lt;=01_因子設定!$M$5+0.000000001,F4850&gt;=01_因子設定!$L$6-0.000000001,F4850&lt;=01_因子設定!$M$6+0.000000001,G4850&gt;=01_因子設定!$L$7-0.000000001,G4850&lt;=01_因子設定!$M$7+0.000000001,H4850&gt;=01_因子設定!$L$8-0.000000001,H4850&lt;=01_因子設定!$M$8+0.000000001,IF(01_因子設定!$B$20="Box-Behnken",E4850^2+F4850^2+G4850^2+H4850^2&lt;=2+0.000000001,TRUE()))</f>
        <v>1</v>
      </c>
      <c r="AD4850" s="55" t="n">
        <f aca="false">IF(AC4850,IF(01_因子設定!$B$13="最大化",AA4850-01_因子設定!$B$14,IF(01_因子設定!$B$13="最小化",01_因子設定!$B$15-AB4850,MIN(AA4850-01_因子設定!$B$14,01_因子設定!$B$15-AB4850))),-1E+030)</f>
        <v>0.822338354451709</v>
      </c>
      <c r="AE4850" s="55" t="n">
        <f aca="false">IF(AC4850,IF(01_因子設定!$B$13="最大化",X4850,IF(01_因子設定!$B$13="最小化",-X4850,-ABS(X4850-01_因子設定!$B$16))),-1E+030)</f>
        <v>48.7548108552631</v>
      </c>
      <c r="AF4850" s="55" t="n">
        <f aca="false">AD4850+ROW()*0.000000001</f>
        <v>0.822343204451709</v>
      </c>
      <c r="AG4850" s="55" t="n">
        <f aca="false">AE4850+ROW()*0.000000001</f>
        <v>48.7548157052631</v>
      </c>
    </row>
    <row r="4851" customFormat="false" ht="15" hidden="false" customHeight="false" outlineLevel="0" collapsed="false">
      <c r="A4851" s="0" t="n">
        <v>6</v>
      </c>
      <c r="B4851" s="0" t="n">
        <v>5</v>
      </c>
      <c r="C4851" s="0" t="n">
        <v>7</v>
      </c>
      <c r="D4851" s="0" t="n">
        <v>4</v>
      </c>
      <c r="E4851" s="0" t="n">
        <f aca="false">-1+A4851*0.25</f>
        <v>0.5</v>
      </c>
      <c r="F4851" s="0" t="n">
        <f aca="false">-1+B4851*0.25</f>
        <v>0.25</v>
      </c>
      <c r="G4851" s="0" t="n">
        <f aca="false">-1+C4851*0.25</f>
        <v>0.75</v>
      </c>
      <c r="H4851" s="0" t="n">
        <f aca="false">-1+D4851*0.25</f>
        <v>0</v>
      </c>
      <c r="I4851" s="0" t="n">
        <f aca="false">1</f>
        <v>1</v>
      </c>
      <c r="J4851" s="0" t="n">
        <f aca="false">E4851</f>
        <v>0.5</v>
      </c>
      <c r="K4851" s="0" t="n">
        <f aca="false">F4851</f>
        <v>0.25</v>
      </c>
      <c r="L4851" s="0" t="n">
        <f aca="false">G4851</f>
        <v>0.75</v>
      </c>
      <c r="M4851" s="0" t="n">
        <f aca="false">H4851</f>
        <v>0</v>
      </c>
      <c r="N4851" s="0" t="n">
        <f aca="false">E4851*F4851</f>
        <v>0.125</v>
      </c>
      <c r="O4851" s="0" t="n">
        <f aca="false">E4851*G4851</f>
        <v>0.375</v>
      </c>
      <c r="P4851" s="0" t="n">
        <f aca="false">E4851*H4851</f>
        <v>0</v>
      </c>
      <c r="Q4851" s="0" t="n">
        <f aca="false">F4851*G4851</f>
        <v>0.1875</v>
      </c>
      <c r="R4851" s="0" t="n">
        <f aca="false">F4851*H4851</f>
        <v>0</v>
      </c>
      <c r="S4851" s="0" t="n">
        <f aca="false">G4851*H4851</f>
        <v>0</v>
      </c>
      <c r="T4851" s="0" t="n">
        <f aca="false">E4851*E4851</f>
        <v>0.25</v>
      </c>
      <c r="U4851" s="0" t="n">
        <f aca="false">F4851*F4851</f>
        <v>0.0625</v>
      </c>
      <c r="V4851" s="0" t="n">
        <f aca="false">G4851*G4851</f>
        <v>0.5625</v>
      </c>
      <c r="W4851" s="0" t="n">
        <f aca="false">H4851*H4851</f>
        <v>0</v>
      </c>
      <c r="X4851" s="0" t="n">
        <f aca="false">SUMPRODUCT(I4851:W4851,_XtX!$B$96:$P$96)</f>
        <v>48.9363532529239</v>
      </c>
      <c r="Y4851" s="0" t="n">
        <f aca="false">SUMPRODUCT(MMULT(I4851:W4851,_XtX!$B$78:$P$92),I4851:W4851)</f>
        <v>0.215110734192252</v>
      </c>
      <c r="Z4851" s="0" t="n">
        <f aca="false">04_回帰ANOVA!$K$19*04_回帰ANOVA!$K$14*SQRT(1+Y4851)</f>
        <v>1.43683309086864</v>
      </c>
      <c r="AA4851" s="0" t="n">
        <f aca="false">X4851-Z4851</f>
        <v>47.4995201620553</v>
      </c>
      <c r="AB4851" s="0" t="n">
        <f aca="false">X4851+Z4851</f>
        <v>50.3731863437926</v>
      </c>
      <c r="AC4851" s="54" t="b">
        <f aca="false">AND(E4851&gt;=01_因子設定!$L$5-0.000000001,E4851&lt;=01_因子設定!$M$5+0.000000001,F4851&gt;=01_因子設定!$L$6-0.000000001,F4851&lt;=01_因子設定!$M$6+0.000000001,G4851&gt;=01_因子設定!$L$7-0.000000001,G4851&lt;=01_因子設定!$M$7+0.000000001,H4851&gt;=01_因子設定!$L$8-0.000000001,H4851&lt;=01_因子設定!$M$8+0.000000001,IF(01_因子設定!$B$20="Box-Behnken",E4851^2+F4851^2+G4851^2+H4851^2&lt;=2+0.000000001,TRUE()))</f>
        <v>1</v>
      </c>
      <c r="AD4851" s="55" t="n">
        <f aca="false">IF(AC4851,IF(01_因子設定!$B$13="最大化",AA4851-01_因子設定!$B$14,IF(01_因子設定!$B$13="最小化",01_因子設定!$B$15-AB4851,MIN(AA4851-01_因子設定!$B$14,01_因子設定!$B$15-AB4851))),-1E+030)</f>
        <v>0.999520162055291</v>
      </c>
      <c r="AE4851" s="55" t="n">
        <f aca="false">IF(AC4851,IF(01_因子設定!$B$13="最大化",X4851,IF(01_因子設定!$B$13="最小化",-X4851,-ABS(X4851-01_因子設定!$B$16))),-1E+030)</f>
        <v>48.9363532529239</v>
      </c>
      <c r="AF4851" s="55" t="n">
        <f aca="false">AD4851+ROW()*0.000000001</f>
        <v>0.999525013055291</v>
      </c>
      <c r="AG4851" s="55" t="n">
        <f aca="false">AE4851+ROW()*0.000000001</f>
        <v>48.9363581039239</v>
      </c>
    </row>
    <row r="4852" customFormat="false" ht="15" hidden="false" customHeight="false" outlineLevel="0" collapsed="false">
      <c r="A4852" s="0" t="n">
        <v>6</v>
      </c>
      <c r="B4852" s="0" t="n">
        <v>5</v>
      </c>
      <c r="C4852" s="0" t="n">
        <v>7</v>
      </c>
      <c r="D4852" s="0" t="n">
        <v>5</v>
      </c>
      <c r="E4852" s="0" t="n">
        <f aca="false">-1+A4852*0.25</f>
        <v>0.5</v>
      </c>
      <c r="F4852" s="0" t="n">
        <f aca="false">-1+B4852*0.25</f>
        <v>0.25</v>
      </c>
      <c r="G4852" s="0" t="n">
        <f aca="false">-1+C4852*0.25</f>
        <v>0.75</v>
      </c>
      <c r="H4852" s="0" t="n">
        <f aca="false">-1+D4852*0.25</f>
        <v>0.25</v>
      </c>
      <c r="I4852" s="0" t="n">
        <f aca="false">1</f>
        <v>1</v>
      </c>
      <c r="J4852" s="0" t="n">
        <f aca="false">E4852</f>
        <v>0.5</v>
      </c>
      <c r="K4852" s="0" t="n">
        <f aca="false">F4852</f>
        <v>0.25</v>
      </c>
      <c r="L4852" s="0" t="n">
        <f aca="false">G4852</f>
        <v>0.75</v>
      </c>
      <c r="M4852" s="0" t="n">
        <f aca="false">H4852</f>
        <v>0.25</v>
      </c>
      <c r="N4852" s="0" t="n">
        <f aca="false">E4852*F4852</f>
        <v>0.125</v>
      </c>
      <c r="O4852" s="0" t="n">
        <f aca="false">E4852*G4852</f>
        <v>0.375</v>
      </c>
      <c r="P4852" s="0" t="n">
        <f aca="false">E4852*H4852</f>
        <v>0.125</v>
      </c>
      <c r="Q4852" s="0" t="n">
        <f aca="false">F4852*G4852</f>
        <v>0.1875</v>
      </c>
      <c r="R4852" s="0" t="n">
        <f aca="false">F4852*H4852</f>
        <v>0.0625</v>
      </c>
      <c r="S4852" s="0" t="n">
        <f aca="false">G4852*H4852</f>
        <v>0.1875</v>
      </c>
      <c r="T4852" s="0" t="n">
        <f aca="false">E4852*E4852</f>
        <v>0.25</v>
      </c>
      <c r="U4852" s="0" t="n">
        <f aca="false">F4852*F4852</f>
        <v>0.0625</v>
      </c>
      <c r="V4852" s="0" t="n">
        <f aca="false">G4852*G4852</f>
        <v>0.5625</v>
      </c>
      <c r="W4852" s="0" t="n">
        <f aca="false">H4852*H4852</f>
        <v>0.0625</v>
      </c>
      <c r="X4852" s="0" t="n">
        <f aca="false">SUMPRODUCT(I4852:W4852,_XtX!$B$96:$P$96)</f>
        <v>49.0700886330409</v>
      </c>
      <c r="Y4852" s="0" t="n">
        <f aca="false">SUMPRODUCT(MMULT(I4852:W4852,_XtX!$B$78:$P$92),I4852:W4852)</f>
        <v>0.207746539199561</v>
      </c>
      <c r="Z4852" s="0" t="n">
        <f aca="false">04_回帰ANOVA!$K$19*04_回帰ANOVA!$K$14*SQRT(1+Y4852)</f>
        <v>1.43247250081141</v>
      </c>
      <c r="AA4852" s="0" t="n">
        <f aca="false">X4852-Z4852</f>
        <v>47.6376161322295</v>
      </c>
      <c r="AB4852" s="0" t="n">
        <f aca="false">X4852+Z4852</f>
        <v>50.5025611338523</v>
      </c>
      <c r="AC4852" s="54" t="b">
        <f aca="false">AND(E4852&gt;=01_因子設定!$L$5-0.000000001,E4852&lt;=01_因子設定!$M$5+0.000000001,F4852&gt;=01_因子設定!$L$6-0.000000001,F4852&lt;=01_因子設定!$M$6+0.000000001,G4852&gt;=01_因子設定!$L$7-0.000000001,G4852&lt;=01_因子設定!$M$7+0.000000001,H4852&gt;=01_因子設定!$L$8-0.000000001,H4852&lt;=01_因子設定!$M$8+0.000000001,IF(01_因子設定!$B$20="Box-Behnken",E4852^2+F4852^2+G4852^2+H4852^2&lt;=2+0.000000001,TRUE()))</f>
        <v>1</v>
      </c>
      <c r="AD4852" s="55" t="n">
        <f aca="false">IF(AC4852,IF(01_因子設定!$B$13="最大化",AA4852-01_因子設定!$B$14,IF(01_因子設定!$B$13="最小化",01_因子設定!$B$15-AB4852,MIN(AA4852-01_因子設定!$B$14,01_因子設定!$B$15-AB4852))),-1E+030)</f>
        <v>1.13761613222949</v>
      </c>
      <c r="AE4852" s="55" t="n">
        <f aca="false">IF(AC4852,IF(01_因子設定!$B$13="最大化",X4852,IF(01_因子設定!$B$13="最小化",-X4852,-ABS(X4852-01_因子設定!$B$16))),-1E+030)</f>
        <v>49.0700886330409</v>
      </c>
      <c r="AF4852" s="55" t="n">
        <f aca="false">AD4852+ROW()*0.000000001</f>
        <v>1.13762098422949</v>
      </c>
      <c r="AG4852" s="55" t="n">
        <f aca="false">AE4852+ROW()*0.000000001</f>
        <v>49.0700934850409</v>
      </c>
    </row>
    <row r="4853" customFormat="false" ht="15" hidden="false" customHeight="false" outlineLevel="0" collapsed="false">
      <c r="A4853" s="0" t="n">
        <v>6</v>
      </c>
      <c r="B4853" s="0" t="n">
        <v>5</v>
      </c>
      <c r="C4853" s="0" t="n">
        <v>7</v>
      </c>
      <c r="D4853" s="0" t="n">
        <v>6</v>
      </c>
      <c r="E4853" s="0" t="n">
        <f aca="false">-1+A4853*0.25</f>
        <v>0.5</v>
      </c>
      <c r="F4853" s="0" t="n">
        <f aca="false">-1+B4853*0.25</f>
        <v>0.25</v>
      </c>
      <c r="G4853" s="0" t="n">
        <f aca="false">-1+C4853*0.25</f>
        <v>0.75</v>
      </c>
      <c r="H4853" s="0" t="n">
        <f aca="false">-1+D4853*0.25</f>
        <v>0.5</v>
      </c>
      <c r="I4853" s="0" t="n">
        <f aca="false">1</f>
        <v>1</v>
      </c>
      <c r="J4853" s="0" t="n">
        <f aca="false">E4853</f>
        <v>0.5</v>
      </c>
      <c r="K4853" s="0" t="n">
        <f aca="false">F4853</f>
        <v>0.25</v>
      </c>
      <c r="L4853" s="0" t="n">
        <f aca="false">G4853</f>
        <v>0.75</v>
      </c>
      <c r="M4853" s="0" t="n">
        <f aca="false">H4853</f>
        <v>0.5</v>
      </c>
      <c r="N4853" s="0" t="n">
        <f aca="false">E4853*F4853</f>
        <v>0.125</v>
      </c>
      <c r="O4853" s="0" t="n">
        <f aca="false">E4853*G4853</f>
        <v>0.375</v>
      </c>
      <c r="P4853" s="0" t="n">
        <f aca="false">E4853*H4853</f>
        <v>0.25</v>
      </c>
      <c r="Q4853" s="0" t="n">
        <f aca="false">F4853*G4853</f>
        <v>0.1875</v>
      </c>
      <c r="R4853" s="0" t="n">
        <f aca="false">F4853*H4853</f>
        <v>0.125</v>
      </c>
      <c r="S4853" s="0" t="n">
        <f aca="false">G4853*H4853</f>
        <v>0.375</v>
      </c>
      <c r="T4853" s="0" t="n">
        <f aca="false">E4853*E4853</f>
        <v>0.25</v>
      </c>
      <c r="U4853" s="0" t="n">
        <f aca="false">F4853*F4853</f>
        <v>0.0625</v>
      </c>
      <c r="V4853" s="0" t="n">
        <f aca="false">G4853*G4853</f>
        <v>0.5625</v>
      </c>
      <c r="W4853" s="0" t="n">
        <f aca="false">H4853*H4853</f>
        <v>0.25</v>
      </c>
      <c r="X4853" s="0" t="n">
        <f aca="false">SUMPRODUCT(I4853:W4853,_XtX!$B$96:$P$96)</f>
        <v>49.156016995614</v>
      </c>
      <c r="Y4853" s="0" t="n">
        <f aca="false">SUMPRODUCT(MMULT(I4853:W4853,_XtX!$B$78:$P$92),I4853:W4853)</f>
        <v>0.203746059484649</v>
      </c>
      <c r="Z4853" s="0" t="n">
        <f aca="false">04_回帰ANOVA!$K$19*04_回帰ANOVA!$K$14*SQRT(1+Y4853)</f>
        <v>1.43009810755465</v>
      </c>
      <c r="AA4853" s="0" t="n">
        <f aca="false">X4853-Z4853</f>
        <v>47.7259188880594</v>
      </c>
      <c r="AB4853" s="0" t="n">
        <f aca="false">X4853+Z4853</f>
        <v>50.5861151031687</v>
      </c>
      <c r="AC4853" s="54" t="b">
        <f aca="false">AND(E4853&gt;=01_因子設定!$L$5-0.000000001,E4853&lt;=01_因子設定!$M$5+0.000000001,F4853&gt;=01_因子設定!$L$6-0.000000001,F4853&lt;=01_因子設定!$M$6+0.000000001,G4853&gt;=01_因子設定!$L$7-0.000000001,G4853&lt;=01_因子設定!$M$7+0.000000001,H4853&gt;=01_因子設定!$L$8-0.000000001,H4853&lt;=01_因子設定!$M$8+0.000000001,IF(01_因子設定!$B$20="Box-Behnken",E4853^2+F4853^2+G4853^2+H4853^2&lt;=2+0.000000001,TRUE()))</f>
        <v>1</v>
      </c>
      <c r="AD4853" s="55" t="n">
        <f aca="false">IF(AC4853,IF(01_因子設定!$B$13="最大化",AA4853-01_因子設定!$B$14,IF(01_因子設定!$B$13="最小化",01_因子設定!$B$15-AB4853,MIN(AA4853-01_因子設定!$B$14,01_因子設定!$B$15-AB4853))),-1E+030)</f>
        <v>1.22591888805935</v>
      </c>
      <c r="AE4853" s="55" t="n">
        <f aca="false">IF(AC4853,IF(01_因子設定!$B$13="最大化",X4853,IF(01_因子設定!$B$13="最小化",-X4853,-ABS(X4853-01_因子設定!$B$16))),-1E+030)</f>
        <v>49.156016995614</v>
      </c>
      <c r="AF4853" s="55" t="n">
        <f aca="false">AD4853+ROW()*0.000000001</f>
        <v>1.22592374105935</v>
      </c>
      <c r="AG4853" s="55" t="n">
        <f aca="false">AE4853+ROW()*0.000000001</f>
        <v>49.156021848614</v>
      </c>
    </row>
    <row r="4854" customFormat="false" ht="15" hidden="false" customHeight="false" outlineLevel="0" collapsed="false">
      <c r="A4854" s="0" t="n">
        <v>6</v>
      </c>
      <c r="B4854" s="0" t="n">
        <v>5</v>
      </c>
      <c r="C4854" s="0" t="n">
        <v>7</v>
      </c>
      <c r="D4854" s="0" t="n">
        <v>7</v>
      </c>
      <c r="E4854" s="0" t="n">
        <f aca="false">-1+A4854*0.25</f>
        <v>0.5</v>
      </c>
      <c r="F4854" s="0" t="n">
        <f aca="false">-1+B4854*0.25</f>
        <v>0.25</v>
      </c>
      <c r="G4854" s="0" t="n">
        <f aca="false">-1+C4854*0.25</f>
        <v>0.75</v>
      </c>
      <c r="H4854" s="0" t="n">
        <f aca="false">-1+D4854*0.25</f>
        <v>0.75</v>
      </c>
      <c r="I4854" s="0" t="n">
        <f aca="false">1</f>
        <v>1</v>
      </c>
      <c r="J4854" s="0" t="n">
        <f aca="false">E4854</f>
        <v>0.5</v>
      </c>
      <c r="K4854" s="0" t="n">
        <f aca="false">F4854</f>
        <v>0.25</v>
      </c>
      <c r="L4854" s="0" t="n">
        <f aca="false">G4854</f>
        <v>0.75</v>
      </c>
      <c r="M4854" s="0" t="n">
        <f aca="false">H4854</f>
        <v>0.75</v>
      </c>
      <c r="N4854" s="0" t="n">
        <f aca="false">E4854*F4854</f>
        <v>0.125</v>
      </c>
      <c r="O4854" s="0" t="n">
        <f aca="false">E4854*G4854</f>
        <v>0.375</v>
      </c>
      <c r="P4854" s="0" t="n">
        <f aca="false">E4854*H4854</f>
        <v>0.375</v>
      </c>
      <c r="Q4854" s="0" t="n">
        <f aca="false">F4854*G4854</f>
        <v>0.1875</v>
      </c>
      <c r="R4854" s="0" t="n">
        <f aca="false">F4854*H4854</f>
        <v>0.1875</v>
      </c>
      <c r="S4854" s="0" t="n">
        <f aca="false">G4854*H4854</f>
        <v>0.5625</v>
      </c>
      <c r="T4854" s="0" t="n">
        <f aca="false">E4854*E4854</f>
        <v>0.25</v>
      </c>
      <c r="U4854" s="0" t="n">
        <f aca="false">F4854*F4854</f>
        <v>0.0625</v>
      </c>
      <c r="V4854" s="0" t="n">
        <f aca="false">G4854*G4854</f>
        <v>0.5625</v>
      </c>
      <c r="W4854" s="0" t="n">
        <f aca="false">H4854*H4854</f>
        <v>0.5625</v>
      </c>
      <c r="X4854" s="0" t="n">
        <f aca="false">SUMPRODUCT(I4854:W4854,_XtX!$B$96:$P$96)</f>
        <v>49.1941383406433</v>
      </c>
      <c r="Y4854" s="0" t="n">
        <f aca="false">SUMPRODUCT(MMULT(I4854:W4854,_XtX!$B$78:$P$92),I4854:W4854)</f>
        <v>0.257385610836988</v>
      </c>
      <c r="Z4854" s="0" t="n">
        <f aca="false">04_回帰ANOVA!$K$19*04_回帰ANOVA!$K$14*SQRT(1+Y4854)</f>
        <v>1.46161380324158</v>
      </c>
      <c r="AA4854" s="0" t="n">
        <f aca="false">X4854-Z4854</f>
        <v>47.7325245374017</v>
      </c>
      <c r="AB4854" s="0" t="n">
        <f aca="false">X4854+Z4854</f>
        <v>50.6557521438848</v>
      </c>
      <c r="AC4854" s="54" t="b">
        <f aca="false">AND(E4854&gt;=01_因子設定!$L$5-0.000000001,E4854&lt;=01_因子設定!$M$5+0.000000001,F4854&gt;=01_因子設定!$L$6-0.000000001,F4854&lt;=01_因子設定!$M$6+0.000000001,G4854&gt;=01_因子設定!$L$7-0.000000001,G4854&lt;=01_因子設定!$M$7+0.000000001,H4854&gt;=01_因子設定!$L$8-0.000000001,H4854&lt;=01_因子設定!$M$8+0.000000001,IF(01_因子設定!$B$20="Box-Behnken",E4854^2+F4854^2+G4854^2+H4854^2&lt;=2+0.000000001,TRUE()))</f>
        <v>1</v>
      </c>
      <c r="AD4854" s="55" t="n">
        <f aca="false">IF(AC4854,IF(01_因子設定!$B$13="最大化",AA4854-01_因子設定!$B$14,IF(01_因子設定!$B$13="最小化",01_因子設定!$B$15-AB4854,MIN(AA4854-01_因子設定!$B$14,01_因子設定!$B$15-AB4854))),-1E+030)</f>
        <v>1.23252453740167</v>
      </c>
      <c r="AE4854" s="55" t="n">
        <f aca="false">IF(AC4854,IF(01_因子設定!$B$13="最大化",X4854,IF(01_因子設定!$B$13="最小化",-X4854,-ABS(X4854-01_因子設定!$B$16))),-1E+030)</f>
        <v>49.1941383406433</v>
      </c>
      <c r="AF4854" s="55" t="n">
        <f aca="false">AD4854+ROW()*0.000000001</f>
        <v>1.23252939140167</v>
      </c>
      <c r="AG4854" s="55" t="n">
        <f aca="false">AE4854+ROW()*0.000000001</f>
        <v>49.1941431946433</v>
      </c>
    </row>
    <row r="4855" customFormat="false" ht="15" hidden="false" customHeight="false" outlineLevel="0" collapsed="false">
      <c r="A4855" s="0" t="n">
        <v>6</v>
      </c>
      <c r="B4855" s="0" t="n">
        <v>5</v>
      </c>
      <c r="C4855" s="0" t="n">
        <v>7</v>
      </c>
      <c r="D4855" s="0" t="n">
        <v>8</v>
      </c>
      <c r="E4855" s="0" t="n">
        <f aca="false">-1+A4855*0.25</f>
        <v>0.5</v>
      </c>
      <c r="F4855" s="0" t="n">
        <f aca="false">-1+B4855*0.25</f>
        <v>0.25</v>
      </c>
      <c r="G4855" s="0" t="n">
        <f aca="false">-1+C4855*0.25</f>
        <v>0.75</v>
      </c>
      <c r="H4855" s="0" t="n">
        <f aca="false">-1+D4855*0.25</f>
        <v>1</v>
      </c>
      <c r="I4855" s="0" t="n">
        <f aca="false">1</f>
        <v>1</v>
      </c>
      <c r="J4855" s="0" t="n">
        <f aca="false">E4855</f>
        <v>0.5</v>
      </c>
      <c r="K4855" s="0" t="n">
        <f aca="false">F4855</f>
        <v>0.25</v>
      </c>
      <c r="L4855" s="0" t="n">
        <f aca="false">G4855</f>
        <v>0.75</v>
      </c>
      <c r="M4855" s="0" t="n">
        <f aca="false">H4855</f>
        <v>1</v>
      </c>
      <c r="N4855" s="0" t="n">
        <f aca="false">E4855*F4855</f>
        <v>0.125</v>
      </c>
      <c r="O4855" s="0" t="n">
        <f aca="false">E4855*G4855</f>
        <v>0.375</v>
      </c>
      <c r="P4855" s="0" t="n">
        <f aca="false">E4855*H4855</f>
        <v>0.5</v>
      </c>
      <c r="Q4855" s="0" t="n">
        <f aca="false">F4855*G4855</f>
        <v>0.1875</v>
      </c>
      <c r="R4855" s="0" t="n">
        <f aca="false">F4855*H4855</f>
        <v>0.25</v>
      </c>
      <c r="S4855" s="0" t="n">
        <f aca="false">G4855*H4855</f>
        <v>0.75</v>
      </c>
      <c r="T4855" s="0" t="n">
        <f aca="false">E4855*E4855</f>
        <v>0.25</v>
      </c>
      <c r="U4855" s="0" t="n">
        <f aca="false">F4855*F4855</f>
        <v>0.0625</v>
      </c>
      <c r="V4855" s="0" t="n">
        <f aca="false">G4855*G4855</f>
        <v>0.5625</v>
      </c>
      <c r="W4855" s="0" t="n">
        <f aca="false">H4855*H4855</f>
        <v>1</v>
      </c>
      <c r="X4855" s="0" t="n">
        <f aca="false">SUMPRODUCT(I4855:W4855,_XtX!$B$96:$P$96)</f>
        <v>49.1844526681287</v>
      </c>
      <c r="Y4855" s="0" t="n">
        <f aca="false">SUMPRODUCT(MMULT(I4855:W4855,_XtX!$B$78:$P$92),I4855:W4855)</f>
        <v>0.459125719572369</v>
      </c>
      <c r="Z4855" s="0" t="n">
        <f aca="false">04_回帰ANOVA!$K$19*04_回帰ANOVA!$K$14*SQRT(1+Y4855)</f>
        <v>1.57450755575573</v>
      </c>
      <c r="AA4855" s="0" t="n">
        <f aca="false">X4855-Z4855</f>
        <v>47.6099451123729</v>
      </c>
      <c r="AB4855" s="0" t="n">
        <f aca="false">X4855+Z4855</f>
        <v>50.7589602238844</v>
      </c>
      <c r="AC4855" s="54" t="b">
        <f aca="false">AND(E4855&gt;=01_因子設定!$L$5-0.000000001,E4855&lt;=01_因子設定!$M$5+0.000000001,F4855&gt;=01_因子設定!$L$6-0.000000001,F4855&lt;=01_因子設定!$M$6+0.000000001,G4855&gt;=01_因子設定!$L$7-0.000000001,G4855&lt;=01_因子設定!$M$7+0.000000001,H4855&gt;=01_因子設定!$L$8-0.000000001,H4855&lt;=01_因子設定!$M$8+0.000000001,IF(01_因子設定!$B$20="Box-Behnken",E4855^2+F4855^2+G4855^2+H4855^2&lt;=2+0.000000001,TRUE()))</f>
        <v>1</v>
      </c>
      <c r="AD4855" s="55" t="n">
        <f aca="false">IF(AC4855,IF(01_因子設定!$B$13="最大化",AA4855-01_因子設定!$B$14,IF(01_因子設定!$B$13="最小化",01_因子設定!$B$15-AB4855,MIN(AA4855-01_因子設定!$B$14,01_因子設定!$B$15-AB4855))),-1E+030)</f>
        <v>1.10994511237292</v>
      </c>
      <c r="AE4855" s="55" t="n">
        <f aca="false">IF(AC4855,IF(01_因子設定!$B$13="最大化",X4855,IF(01_因子設定!$B$13="最小化",-X4855,-ABS(X4855-01_因子設定!$B$16))),-1E+030)</f>
        <v>49.1844526681287</v>
      </c>
      <c r="AF4855" s="55" t="n">
        <f aca="false">AD4855+ROW()*0.000000001</f>
        <v>1.10994996737292</v>
      </c>
      <c r="AG4855" s="55" t="n">
        <f aca="false">AE4855+ROW()*0.000000001</f>
        <v>49.1844575231287</v>
      </c>
    </row>
    <row r="4856" customFormat="false" ht="15" hidden="false" customHeight="false" outlineLevel="0" collapsed="false">
      <c r="A4856" s="0" t="n">
        <v>6</v>
      </c>
      <c r="B4856" s="0" t="n">
        <v>5</v>
      </c>
      <c r="C4856" s="0" t="n">
        <v>8</v>
      </c>
      <c r="D4856" s="0" t="n">
        <v>0</v>
      </c>
      <c r="E4856" s="0" t="n">
        <f aca="false">-1+A4856*0.25</f>
        <v>0.5</v>
      </c>
      <c r="F4856" s="0" t="n">
        <f aca="false">-1+B4856*0.25</f>
        <v>0.25</v>
      </c>
      <c r="G4856" s="0" t="n">
        <f aca="false">-1+C4856*0.25</f>
        <v>1</v>
      </c>
      <c r="H4856" s="0" t="n">
        <f aca="false">-1+D4856*0.25</f>
        <v>-1</v>
      </c>
      <c r="I4856" s="0" t="n">
        <f aca="false">1</f>
        <v>1</v>
      </c>
      <c r="J4856" s="0" t="n">
        <f aca="false">E4856</f>
        <v>0.5</v>
      </c>
      <c r="K4856" s="0" t="n">
        <f aca="false">F4856</f>
        <v>0.25</v>
      </c>
      <c r="L4856" s="0" t="n">
        <f aca="false">G4856</f>
        <v>1</v>
      </c>
      <c r="M4856" s="0" t="n">
        <f aca="false">H4856</f>
        <v>-1</v>
      </c>
      <c r="N4856" s="0" t="n">
        <f aca="false">E4856*F4856</f>
        <v>0.125</v>
      </c>
      <c r="O4856" s="0" t="n">
        <f aca="false">E4856*G4856</f>
        <v>0.5</v>
      </c>
      <c r="P4856" s="0" t="n">
        <f aca="false">E4856*H4856</f>
        <v>-0.5</v>
      </c>
      <c r="Q4856" s="0" t="n">
        <f aca="false">F4856*G4856</f>
        <v>0.25</v>
      </c>
      <c r="R4856" s="0" t="n">
        <f aca="false">F4856*H4856</f>
        <v>-0.25</v>
      </c>
      <c r="S4856" s="0" t="n">
        <f aca="false">G4856*H4856</f>
        <v>-1</v>
      </c>
      <c r="T4856" s="0" t="n">
        <f aca="false">E4856*E4856</f>
        <v>0.25</v>
      </c>
      <c r="U4856" s="0" t="n">
        <f aca="false">F4856*F4856</f>
        <v>0.0625</v>
      </c>
      <c r="V4856" s="0" t="n">
        <f aca="false">G4856*G4856</f>
        <v>1</v>
      </c>
      <c r="W4856" s="0" t="n">
        <f aca="false">H4856*H4856</f>
        <v>1</v>
      </c>
      <c r="X4856" s="0" t="n">
        <f aca="false">SUMPRODUCT(I4856:W4856,_XtX!$B$96:$P$96)</f>
        <v>47.7370065789474</v>
      </c>
      <c r="Y4856" s="0" t="n">
        <f aca="false">SUMPRODUCT(MMULT(I4856:W4856,_XtX!$B$78:$P$92),I4856:W4856)</f>
        <v>0.629174661915205</v>
      </c>
      <c r="Z4856" s="0" t="n">
        <f aca="false">04_回帰ANOVA!$K$19*04_回帰ANOVA!$K$14*SQRT(1+Y4856)</f>
        <v>1.66372758058297</v>
      </c>
      <c r="AA4856" s="0" t="n">
        <f aca="false">X4856-Z4856</f>
        <v>46.0732789983644</v>
      </c>
      <c r="AB4856" s="0" t="n">
        <f aca="false">X4856+Z4856</f>
        <v>49.4007341595303</v>
      </c>
      <c r="AC4856" s="54" t="b">
        <f aca="false">AND(E4856&gt;=01_因子設定!$L$5-0.000000001,E4856&lt;=01_因子設定!$M$5+0.000000001,F4856&gt;=01_因子設定!$L$6-0.000000001,F4856&lt;=01_因子設定!$M$6+0.000000001,G4856&gt;=01_因子設定!$L$7-0.000000001,G4856&lt;=01_因子設定!$M$7+0.000000001,H4856&gt;=01_因子設定!$L$8-0.000000001,H4856&lt;=01_因子設定!$M$8+0.000000001,IF(01_因子設定!$B$20="Box-Behnken",E4856^2+F4856^2+G4856^2+H4856^2&lt;=2+0.000000001,TRUE()))</f>
        <v>1</v>
      </c>
      <c r="AD4856" s="55" t="n">
        <f aca="false">IF(AC4856,IF(01_因子設定!$B$13="最大化",AA4856-01_因子設定!$B$14,IF(01_因子設定!$B$13="最小化",01_因子設定!$B$15-AB4856,MIN(AA4856-01_因子設定!$B$14,01_因子設定!$B$15-AB4856))),-1E+030)</f>
        <v>-0.426721001635606</v>
      </c>
      <c r="AE4856" s="55" t="n">
        <f aca="false">IF(AC4856,IF(01_因子設定!$B$13="最大化",X4856,IF(01_因子設定!$B$13="最小化",-X4856,-ABS(X4856-01_因子設定!$B$16))),-1E+030)</f>
        <v>47.7370065789474</v>
      </c>
      <c r="AF4856" s="55" t="n">
        <f aca="false">AD4856+ROW()*0.000000001</f>
        <v>-0.426716145635606</v>
      </c>
      <c r="AG4856" s="55" t="n">
        <f aca="false">AE4856+ROW()*0.000000001</f>
        <v>47.7370114349474</v>
      </c>
    </row>
    <row r="4857" customFormat="false" ht="15" hidden="false" customHeight="false" outlineLevel="0" collapsed="false">
      <c r="A4857" s="0" t="n">
        <v>6</v>
      </c>
      <c r="B4857" s="0" t="n">
        <v>5</v>
      </c>
      <c r="C4857" s="0" t="n">
        <v>8</v>
      </c>
      <c r="D4857" s="0" t="n">
        <v>1</v>
      </c>
      <c r="E4857" s="0" t="n">
        <f aca="false">-1+A4857*0.25</f>
        <v>0.5</v>
      </c>
      <c r="F4857" s="0" t="n">
        <f aca="false">-1+B4857*0.25</f>
        <v>0.25</v>
      </c>
      <c r="G4857" s="0" t="n">
        <f aca="false">-1+C4857*0.25</f>
        <v>1</v>
      </c>
      <c r="H4857" s="0" t="n">
        <f aca="false">-1+D4857*0.25</f>
        <v>-0.75</v>
      </c>
      <c r="I4857" s="0" t="n">
        <f aca="false">1</f>
        <v>1</v>
      </c>
      <c r="J4857" s="0" t="n">
        <f aca="false">E4857</f>
        <v>0.5</v>
      </c>
      <c r="K4857" s="0" t="n">
        <f aca="false">F4857</f>
        <v>0.25</v>
      </c>
      <c r="L4857" s="0" t="n">
        <f aca="false">G4857</f>
        <v>1</v>
      </c>
      <c r="M4857" s="0" t="n">
        <f aca="false">H4857</f>
        <v>-0.75</v>
      </c>
      <c r="N4857" s="0" t="n">
        <f aca="false">E4857*F4857</f>
        <v>0.125</v>
      </c>
      <c r="O4857" s="0" t="n">
        <f aca="false">E4857*G4857</f>
        <v>0.5</v>
      </c>
      <c r="P4857" s="0" t="n">
        <f aca="false">E4857*H4857</f>
        <v>-0.375</v>
      </c>
      <c r="Q4857" s="0" t="n">
        <f aca="false">F4857*G4857</f>
        <v>0.25</v>
      </c>
      <c r="R4857" s="0" t="n">
        <f aca="false">F4857*H4857</f>
        <v>-0.1875</v>
      </c>
      <c r="S4857" s="0" t="n">
        <f aca="false">G4857*H4857</f>
        <v>-0.75</v>
      </c>
      <c r="T4857" s="0" t="n">
        <f aca="false">E4857*E4857</f>
        <v>0.25</v>
      </c>
      <c r="U4857" s="0" t="n">
        <f aca="false">F4857*F4857</f>
        <v>0.0625</v>
      </c>
      <c r="V4857" s="0" t="n">
        <f aca="false">G4857*G4857</f>
        <v>1</v>
      </c>
      <c r="W4857" s="0" t="n">
        <f aca="false">H4857*H4857</f>
        <v>0.5625</v>
      </c>
      <c r="X4857" s="0" t="n">
        <f aca="false">SUMPRODUCT(I4857:W4857,_XtX!$B$96:$P$96)</f>
        <v>48.0799387792398</v>
      </c>
      <c r="Y4857" s="0" t="n">
        <f aca="false">SUMPRODUCT(MMULT(I4857:W4857,_XtX!$B$78:$P$92),I4857:W4857)</f>
        <v>0.459125719572369</v>
      </c>
      <c r="Z4857" s="0" t="n">
        <f aca="false">04_回帰ANOVA!$K$19*04_回帰ANOVA!$K$14*SQRT(1+Y4857)</f>
        <v>1.57450755575573</v>
      </c>
      <c r="AA4857" s="0" t="n">
        <f aca="false">X4857-Z4857</f>
        <v>46.505431223484</v>
      </c>
      <c r="AB4857" s="0" t="n">
        <f aca="false">X4857+Z4857</f>
        <v>49.6544463349955</v>
      </c>
      <c r="AC4857" s="54" t="b">
        <f aca="false">AND(E4857&gt;=01_因子設定!$L$5-0.000000001,E4857&lt;=01_因子設定!$M$5+0.000000001,F4857&gt;=01_因子設定!$L$6-0.000000001,F4857&lt;=01_因子設定!$M$6+0.000000001,G4857&gt;=01_因子設定!$L$7-0.000000001,G4857&lt;=01_因子設定!$M$7+0.000000001,H4857&gt;=01_因子設定!$L$8-0.000000001,H4857&lt;=01_因子設定!$M$8+0.000000001,IF(01_因子設定!$B$20="Box-Behnken",E4857^2+F4857^2+G4857^2+H4857^2&lt;=2+0.000000001,TRUE()))</f>
        <v>1</v>
      </c>
      <c r="AD4857" s="55" t="n">
        <f aca="false">IF(AC4857,IF(01_因子設定!$B$13="最大化",AA4857-01_因子設定!$B$14,IF(01_因子設定!$B$13="最小化",01_因子設定!$B$15-AB4857,MIN(AA4857-01_因子設定!$B$14,01_因子設定!$B$15-AB4857))),-1E+030)</f>
        <v>0.00543122348401681</v>
      </c>
      <c r="AE4857" s="55" t="n">
        <f aca="false">IF(AC4857,IF(01_因子設定!$B$13="最大化",X4857,IF(01_因子設定!$B$13="最小化",-X4857,-ABS(X4857-01_因子設定!$B$16))),-1E+030)</f>
        <v>48.0799387792398</v>
      </c>
      <c r="AF4857" s="55" t="n">
        <f aca="false">AD4857+ROW()*0.000000001</f>
        <v>0.00543608048401681</v>
      </c>
      <c r="AG4857" s="55" t="n">
        <f aca="false">AE4857+ROW()*0.000000001</f>
        <v>48.0799436362398</v>
      </c>
    </row>
    <row r="4858" customFormat="false" ht="15" hidden="false" customHeight="false" outlineLevel="0" collapsed="false">
      <c r="A4858" s="0" t="n">
        <v>6</v>
      </c>
      <c r="B4858" s="0" t="n">
        <v>5</v>
      </c>
      <c r="C4858" s="0" t="n">
        <v>8</v>
      </c>
      <c r="D4858" s="0" t="n">
        <v>2</v>
      </c>
      <c r="E4858" s="0" t="n">
        <f aca="false">-1+A4858*0.25</f>
        <v>0.5</v>
      </c>
      <c r="F4858" s="0" t="n">
        <f aca="false">-1+B4858*0.25</f>
        <v>0.25</v>
      </c>
      <c r="G4858" s="0" t="n">
        <f aca="false">-1+C4858*0.25</f>
        <v>1</v>
      </c>
      <c r="H4858" s="0" t="n">
        <f aca="false">-1+D4858*0.25</f>
        <v>-0.5</v>
      </c>
      <c r="I4858" s="0" t="n">
        <f aca="false">1</f>
        <v>1</v>
      </c>
      <c r="J4858" s="0" t="n">
        <f aca="false">E4858</f>
        <v>0.5</v>
      </c>
      <c r="K4858" s="0" t="n">
        <f aca="false">F4858</f>
        <v>0.25</v>
      </c>
      <c r="L4858" s="0" t="n">
        <f aca="false">G4858</f>
        <v>1</v>
      </c>
      <c r="M4858" s="0" t="n">
        <f aca="false">H4858</f>
        <v>-0.5</v>
      </c>
      <c r="N4858" s="0" t="n">
        <f aca="false">E4858*F4858</f>
        <v>0.125</v>
      </c>
      <c r="O4858" s="0" t="n">
        <f aca="false">E4858*G4858</f>
        <v>0.5</v>
      </c>
      <c r="P4858" s="0" t="n">
        <f aca="false">E4858*H4858</f>
        <v>-0.25</v>
      </c>
      <c r="Q4858" s="0" t="n">
        <f aca="false">F4858*G4858</f>
        <v>0.25</v>
      </c>
      <c r="R4858" s="0" t="n">
        <f aca="false">F4858*H4858</f>
        <v>-0.125</v>
      </c>
      <c r="S4858" s="0" t="n">
        <f aca="false">G4858*H4858</f>
        <v>-0.5</v>
      </c>
      <c r="T4858" s="0" t="n">
        <f aca="false">E4858*E4858</f>
        <v>0.25</v>
      </c>
      <c r="U4858" s="0" t="n">
        <f aca="false">F4858*F4858</f>
        <v>0.0625</v>
      </c>
      <c r="V4858" s="0" t="n">
        <f aca="false">G4858*G4858</f>
        <v>1</v>
      </c>
      <c r="W4858" s="0" t="n">
        <f aca="false">H4858*H4858</f>
        <v>0.25</v>
      </c>
      <c r="X4858" s="0" t="n">
        <f aca="false">SUMPRODUCT(I4858:W4858,_XtX!$B$96:$P$96)</f>
        <v>48.3750639619883</v>
      </c>
      <c r="Y4858" s="0" t="n">
        <f aca="false">SUMPRODUCT(MMULT(I4858:W4858,_XtX!$B$78:$P$92),I4858:W4858)</f>
        <v>0.428122715643275</v>
      </c>
      <c r="Z4858" s="0" t="n">
        <f aca="false">04_回帰ANOVA!$K$19*04_回帰ANOVA!$K$14*SQRT(1+Y4858)</f>
        <v>1.55769044623229</v>
      </c>
      <c r="AA4858" s="0" t="n">
        <f aca="false">X4858-Z4858</f>
        <v>46.817373515756</v>
      </c>
      <c r="AB4858" s="0" t="n">
        <f aca="false">X4858+Z4858</f>
        <v>49.9327544082206</v>
      </c>
      <c r="AC4858" s="54" t="b">
        <f aca="false">AND(E4858&gt;=01_因子設定!$L$5-0.000000001,E4858&lt;=01_因子設定!$M$5+0.000000001,F4858&gt;=01_因子設定!$L$6-0.000000001,F4858&lt;=01_因子設定!$M$6+0.000000001,G4858&gt;=01_因子設定!$L$7-0.000000001,G4858&lt;=01_因子設定!$M$7+0.000000001,H4858&gt;=01_因子設定!$L$8-0.000000001,H4858&lt;=01_因子設定!$M$8+0.000000001,IF(01_因子設定!$B$20="Box-Behnken",E4858^2+F4858^2+G4858^2+H4858^2&lt;=2+0.000000001,TRUE()))</f>
        <v>1</v>
      </c>
      <c r="AD4858" s="55" t="n">
        <f aca="false">IF(AC4858,IF(01_因子設定!$B$13="最大化",AA4858-01_因子設定!$B$14,IF(01_因子設定!$B$13="最小化",01_因子設定!$B$15-AB4858,MIN(AA4858-01_因子設定!$B$14,01_因子設定!$B$15-AB4858))),-1E+030)</f>
        <v>0.317373515755982</v>
      </c>
      <c r="AE4858" s="55" t="n">
        <f aca="false">IF(AC4858,IF(01_因子設定!$B$13="最大化",X4858,IF(01_因子設定!$B$13="最小化",-X4858,-ABS(X4858-01_因子設定!$B$16))),-1E+030)</f>
        <v>48.3750639619883</v>
      </c>
      <c r="AF4858" s="55" t="n">
        <f aca="false">AD4858+ROW()*0.000000001</f>
        <v>0.317378373755982</v>
      </c>
      <c r="AG4858" s="55" t="n">
        <f aca="false">AE4858+ROW()*0.000000001</f>
        <v>48.3750688199883</v>
      </c>
    </row>
    <row r="4859" customFormat="false" ht="15" hidden="false" customHeight="false" outlineLevel="0" collapsed="false">
      <c r="A4859" s="0" t="n">
        <v>6</v>
      </c>
      <c r="B4859" s="0" t="n">
        <v>5</v>
      </c>
      <c r="C4859" s="0" t="n">
        <v>8</v>
      </c>
      <c r="D4859" s="0" t="n">
        <v>3</v>
      </c>
      <c r="E4859" s="0" t="n">
        <f aca="false">-1+A4859*0.25</f>
        <v>0.5</v>
      </c>
      <c r="F4859" s="0" t="n">
        <f aca="false">-1+B4859*0.25</f>
        <v>0.25</v>
      </c>
      <c r="G4859" s="0" t="n">
        <f aca="false">-1+C4859*0.25</f>
        <v>1</v>
      </c>
      <c r="H4859" s="0" t="n">
        <f aca="false">-1+D4859*0.25</f>
        <v>-0.25</v>
      </c>
      <c r="I4859" s="0" t="n">
        <f aca="false">1</f>
        <v>1</v>
      </c>
      <c r="J4859" s="0" t="n">
        <f aca="false">E4859</f>
        <v>0.5</v>
      </c>
      <c r="K4859" s="0" t="n">
        <f aca="false">F4859</f>
        <v>0.25</v>
      </c>
      <c r="L4859" s="0" t="n">
        <f aca="false">G4859</f>
        <v>1</v>
      </c>
      <c r="M4859" s="0" t="n">
        <f aca="false">H4859</f>
        <v>-0.25</v>
      </c>
      <c r="N4859" s="0" t="n">
        <f aca="false">E4859*F4859</f>
        <v>0.125</v>
      </c>
      <c r="O4859" s="0" t="n">
        <f aca="false">E4859*G4859</f>
        <v>0.5</v>
      </c>
      <c r="P4859" s="0" t="n">
        <f aca="false">E4859*H4859</f>
        <v>-0.125</v>
      </c>
      <c r="Q4859" s="0" t="n">
        <f aca="false">F4859*G4859</f>
        <v>0.25</v>
      </c>
      <c r="R4859" s="0" t="n">
        <f aca="false">F4859*H4859</f>
        <v>-0.0625</v>
      </c>
      <c r="S4859" s="0" t="n">
        <f aca="false">G4859*H4859</f>
        <v>-0.25</v>
      </c>
      <c r="T4859" s="0" t="n">
        <f aca="false">E4859*E4859</f>
        <v>0.25</v>
      </c>
      <c r="U4859" s="0" t="n">
        <f aca="false">F4859*F4859</f>
        <v>0.0625</v>
      </c>
      <c r="V4859" s="0" t="n">
        <f aca="false">G4859*G4859</f>
        <v>1</v>
      </c>
      <c r="W4859" s="0" t="n">
        <f aca="false">H4859*H4859</f>
        <v>0.0625</v>
      </c>
      <c r="X4859" s="0" t="n">
        <f aca="false">SUMPRODUCT(I4859:W4859,_XtX!$B$96:$P$96)</f>
        <v>48.6223821271929</v>
      </c>
      <c r="Y4859" s="0" t="n">
        <f aca="false">SUMPRODUCT(MMULT(I4859:W4859,_XtX!$B$78:$P$92),I4859:W4859)</f>
        <v>0.445705123812135</v>
      </c>
      <c r="Z4859" s="0" t="n">
        <f aca="false">04_回帰ANOVA!$K$19*04_回帰ANOVA!$K$14*SQRT(1+Y4859)</f>
        <v>1.56724990734749</v>
      </c>
      <c r="AA4859" s="0" t="n">
        <f aca="false">X4859-Z4859</f>
        <v>47.0551322198455</v>
      </c>
      <c r="AB4859" s="0" t="n">
        <f aca="false">X4859+Z4859</f>
        <v>50.1896320345404</v>
      </c>
      <c r="AC4859" s="54" t="b">
        <f aca="false">AND(E4859&gt;=01_因子設定!$L$5-0.000000001,E4859&lt;=01_因子設定!$M$5+0.000000001,F4859&gt;=01_因子設定!$L$6-0.000000001,F4859&lt;=01_因子設定!$M$6+0.000000001,G4859&gt;=01_因子設定!$L$7-0.000000001,G4859&lt;=01_因子設定!$M$7+0.000000001,H4859&gt;=01_因子設定!$L$8-0.000000001,H4859&lt;=01_因子設定!$M$8+0.000000001,IF(01_因子設定!$B$20="Box-Behnken",E4859^2+F4859^2+G4859^2+H4859^2&lt;=2+0.000000001,TRUE()))</f>
        <v>1</v>
      </c>
      <c r="AD4859" s="55" t="n">
        <f aca="false">IF(AC4859,IF(01_因子設定!$B$13="最大化",AA4859-01_因子設定!$B$14,IF(01_因子設定!$B$13="最小化",01_因子設定!$B$15-AB4859,MIN(AA4859-01_因子設定!$B$14,01_因子設定!$B$15-AB4859))),-1E+030)</f>
        <v>0.555132219845454</v>
      </c>
      <c r="AE4859" s="55" t="n">
        <f aca="false">IF(AC4859,IF(01_因子設定!$B$13="最大化",X4859,IF(01_因子設定!$B$13="最小化",-X4859,-ABS(X4859-01_因子設定!$B$16))),-1E+030)</f>
        <v>48.6223821271929</v>
      </c>
      <c r="AF4859" s="55" t="n">
        <f aca="false">AD4859+ROW()*0.000000001</f>
        <v>0.555137078845454</v>
      </c>
      <c r="AG4859" s="55" t="n">
        <f aca="false">AE4859+ROW()*0.000000001</f>
        <v>48.6223869861929</v>
      </c>
    </row>
    <row r="4860" customFormat="false" ht="15" hidden="false" customHeight="false" outlineLevel="0" collapsed="false">
      <c r="A4860" s="0" t="n">
        <v>6</v>
      </c>
      <c r="B4860" s="0" t="n">
        <v>5</v>
      </c>
      <c r="C4860" s="0" t="n">
        <v>8</v>
      </c>
      <c r="D4860" s="0" t="n">
        <v>4</v>
      </c>
      <c r="E4860" s="0" t="n">
        <f aca="false">-1+A4860*0.25</f>
        <v>0.5</v>
      </c>
      <c r="F4860" s="0" t="n">
        <f aca="false">-1+B4860*0.25</f>
        <v>0.25</v>
      </c>
      <c r="G4860" s="0" t="n">
        <f aca="false">-1+C4860*0.25</f>
        <v>1</v>
      </c>
      <c r="H4860" s="0" t="n">
        <f aca="false">-1+D4860*0.25</f>
        <v>0</v>
      </c>
      <c r="I4860" s="0" t="n">
        <f aca="false">1</f>
        <v>1</v>
      </c>
      <c r="J4860" s="0" t="n">
        <f aca="false">E4860</f>
        <v>0.5</v>
      </c>
      <c r="K4860" s="0" t="n">
        <f aca="false">F4860</f>
        <v>0.25</v>
      </c>
      <c r="L4860" s="0" t="n">
        <f aca="false">G4860</f>
        <v>1</v>
      </c>
      <c r="M4860" s="0" t="n">
        <f aca="false">H4860</f>
        <v>0</v>
      </c>
      <c r="N4860" s="0" t="n">
        <f aca="false">E4860*F4860</f>
        <v>0.125</v>
      </c>
      <c r="O4860" s="0" t="n">
        <f aca="false">E4860*G4860</f>
        <v>0.5</v>
      </c>
      <c r="P4860" s="0" t="n">
        <f aca="false">E4860*H4860</f>
        <v>0</v>
      </c>
      <c r="Q4860" s="0" t="n">
        <f aca="false">F4860*G4860</f>
        <v>0.25</v>
      </c>
      <c r="R4860" s="0" t="n">
        <f aca="false">F4860*H4860</f>
        <v>0</v>
      </c>
      <c r="S4860" s="0" t="n">
        <f aca="false">G4860*H4860</f>
        <v>0</v>
      </c>
      <c r="T4860" s="0" t="n">
        <f aca="false">E4860*E4860</f>
        <v>0.25</v>
      </c>
      <c r="U4860" s="0" t="n">
        <f aca="false">F4860*F4860</f>
        <v>0.0625</v>
      </c>
      <c r="V4860" s="0" t="n">
        <f aca="false">G4860*G4860</f>
        <v>1</v>
      </c>
      <c r="W4860" s="0" t="n">
        <f aca="false">H4860*H4860</f>
        <v>0</v>
      </c>
      <c r="X4860" s="0" t="n">
        <f aca="false">SUMPRODUCT(I4860:W4860,_XtX!$B$96:$P$96)</f>
        <v>48.8218932748538</v>
      </c>
      <c r="Y4860" s="0" t="n">
        <f aca="false">SUMPRODUCT(MMULT(I4860:W4860,_XtX!$B$78:$P$92),I4860:W4860)</f>
        <v>0.457596628289474</v>
      </c>
      <c r="Z4860" s="0" t="n">
        <f aca="false">04_回帰ANOVA!$K$19*04_回帰ANOVA!$K$14*SQRT(1+Y4860)</f>
        <v>1.57368233664366</v>
      </c>
      <c r="AA4860" s="0" t="n">
        <f aca="false">X4860-Z4860</f>
        <v>47.2482109382101</v>
      </c>
      <c r="AB4860" s="0" t="n">
        <f aca="false">X4860+Z4860</f>
        <v>50.3955756114974</v>
      </c>
      <c r="AC4860" s="54" t="b">
        <f aca="false">AND(E4860&gt;=01_因子設定!$L$5-0.000000001,E4860&lt;=01_因子設定!$M$5+0.000000001,F4860&gt;=01_因子設定!$L$6-0.000000001,F4860&lt;=01_因子設定!$M$6+0.000000001,G4860&gt;=01_因子設定!$L$7-0.000000001,G4860&lt;=01_因子設定!$M$7+0.000000001,H4860&gt;=01_因子設定!$L$8-0.000000001,H4860&lt;=01_因子設定!$M$8+0.000000001,IF(01_因子設定!$B$20="Box-Behnken",E4860^2+F4860^2+G4860^2+H4860^2&lt;=2+0.000000001,TRUE()))</f>
        <v>1</v>
      </c>
      <c r="AD4860" s="55" t="n">
        <f aca="false">IF(AC4860,IF(01_因子設定!$B$13="最大化",AA4860-01_因子設定!$B$14,IF(01_因子設定!$B$13="最小化",01_因子設定!$B$15-AB4860,MIN(AA4860-01_因子設定!$B$14,01_因子設定!$B$15-AB4860))),-1E+030)</f>
        <v>0.748210938210107</v>
      </c>
      <c r="AE4860" s="55" t="n">
        <f aca="false">IF(AC4860,IF(01_因子設定!$B$13="最大化",X4860,IF(01_因子設定!$B$13="最小化",-X4860,-ABS(X4860-01_因子設定!$B$16))),-1E+030)</f>
        <v>48.8218932748538</v>
      </c>
      <c r="AF4860" s="55" t="n">
        <f aca="false">AD4860+ROW()*0.000000001</f>
        <v>0.748215798210107</v>
      </c>
      <c r="AG4860" s="55" t="n">
        <f aca="false">AE4860+ROW()*0.000000001</f>
        <v>48.8218981348538</v>
      </c>
    </row>
    <row r="4861" customFormat="false" ht="15" hidden="false" customHeight="false" outlineLevel="0" collapsed="false">
      <c r="A4861" s="0" t="n">
        <v>6</v>
      </c>
      <c r="B4861" s="0" t="n">
        <v>5</v>
      </c>
      <c r="C4861" s="0" t="n">
        <v>8</v>
      </c>
      <c r="D4861" s="0" t="n">
        <v>5</v>
      </c>
      <c r="E4861" s="0" t="n">
        <f aca="false">-1+A4861*0.25</f>
        <v>0.5</v>
      </c>
      <c r="F4861" s="0" t="n">
        <f aca="false">-1+B4861*0.25</f>
        <v>0.25</v>
      </c>
      <c r="G4861" s="0" t="n">
        <f aca="false">-1+C4861*0.25</f>
        <v>1</v>
      </c>
      <c r="H4861" s="0" t="n">
        <f aca="false">-1+D4861*0.25</f>
        <v>0.25</v>
      </c>
      <c r="I4861" s="0" t="n">
        <f aca="false">1</f>
        <v>1</v>
      </c>
      <c r="J4861" s="0" t="n">
        <f aca="false">E4861</f>
        <v>0.5</v>
      </c>
      <c r="K4861" s="0" t="n">
        <f aca="false">F4861</f>
        <v>0.25</v>
      </c>
      <c r="L4861" s="0" t="n">
        <f aca="false">G4861</f>
        <v>1</v>
      </c>
      <c r="M4861" s="0" t="n">
        <f aca="false">H4861</f>
        <v>0.25</v>
      </c>
      <c r="N4861" s="0" t="n">
        <f aca="false">E4861*F4861</f>
        <v>0.125</v>
      </c>
      <c r="O4861" s="0" t="n">
        <f aca="false">E4861*G4861</f>
        <v>0.5</v>
      </c>
      <c r="P4861" s="0" t="n">
        <f aca="false">E4861*H4861</f>
        <v>0.125</v>
      </c>
      <c r="Q4861" s="0" t="n">
        <f aca="false">F4861*G4861</f>
        <v>0.25</v>
      </c>
      <c r="R4861" s="0" t="n">
        <f aca="false">F4861*H4861</f>
        <v>0.0625</v>
      </c>
      <c r="S4861" s="0" t="n">
        <f aca="false">G4861*H4861</f>
        <v>0.25</v>
      </c>
      <c r="T4861" s="0" t="n">
        <f aca="false">E4861*E4861</f>
        <v>0.25</v>
      </c>
      <c r="U4861" s="0" t="n">
        <f aca="false">F4861*F4861</f>
        <v>0.0625</v>
      </c>
      <c r="V4861" s="0" t="n">
        <f aca="false">G4861*G4861</f>
        <v>1</v>
      </c>
      <c r="W4861" s="0" t="n">
        <f aca="false">H4861*H4861</f>
        <v>0.0625</v>
      </c>
      <c r="X4861" s="0" t="n">
        <f aca="false">SUMPRODUCT(I4861:W4861,_XtX!$B$96:$P$96)</f>
        <v>48.9735974049707</v>
      </c>
      <c r="Y4861" s="0" t="n">
        <f aca="false">SUMPRODUCT(MMULT(I4861:W4861,_XtX!$B$78:$P$92),I4861:W4861)</f>
        <v>0.445705123812135</v>
      </c>
      <c r="Z4861" s="0" t="n">
        <f aca="false">04_回帰ANOVA!$K$19*04_回帰ANOVA!$K$14*SQRT(1+Y4861)</f>
        <v>1.56724990734749</v>
      </c>
      <c r="AA4861" s="0" t="n">
        <f aca="false">X4861-Z4861</f>
        <v>47.4063474976232</v>
      </c>
      <c r="AB4861" s="0" t="n">
        <f aca="false">X4861+Z4861</f>
        <v>50.5408473123182</v>
      </c>
      <c r="AC4861" s="54" t="b">
        <f aca="false">AND(E4861&gt;=01_因子設定!$L$5-0.000000001,E4861&lt;=01_因子設定!$M$5+0.000000001,F4861&gt;=01_因子設定!$L$6-0.000000001,F4861&lt;=01_因子設定!$M$6+0.000000001,G4861&gt;=01_因子設定!$L$7-0.000000001,G4861&lt;=01_因子設定!$M$7+0.000000001,H4861&gt;=01_因子設定!$L$8-0.000000001,H4861&lt;=01_因子設定!$M$8+0.000000001,IF(01_因子設定!$B$20="Box-Behnken",E4861^2+F4861^2+G4861^2+H4861^2&lt;=2+0.000000001,TRUE()))</f>
        <v>1</v>
      </c>
      <c r="AD4861" s="55" t="n">
        <f aca="false">IF(AC4861,IF(01_因子設定!$B$13="最大化",AA4861-01_因子設定!$B$14,IF(01_因子設定!$B$13="最小化",01_因子設定!$B$15-AB4861,MIN(AA4861-01_因子設定!$B$14,01_因子設定!$B$15-AB4861))),-1E+030)</f>
        <v>0.906347497623237</v>
      </c>
      <c r="AE4861" s="55" t="n">
        <f aca="false">IF(AC4861,IF(01_因子設定!$B$13="最大化",X4861,IF(01_因子設定!$B$13="最小化",-X4861,-ABS(X4861-01_因子設定!$B$16))),-1E+030)</f>
        <v>48.9735974049707</v>
      </c>
      <c r="AF4861" s="55" t="n">
        <f aca="false">AD4861+ROW()*0.000000001</f>
        <v>0.906352358623237</v>
      </c>
      <c r="AG4861" s="55" t="n">
        <f aca="false">AE4861+ROW()*0.000000001</f>
        <v>48.9736022659707</v>
      </c>
    </row>
    <row r="4862" customFormat="false" ht="15" hidden="false" customHeight="false" outlineLevel="0" collapsed="false">
      <c r="A4862" s="0" t="n">
        <v>6</v>
      </c>
      <c r="B4862" s="0" t="n">
        <v>5</v>
      </c>
      <c r="C4862" s="0" t="n">
        <v>8</v>
      </c>
      <c r="D4862" s="0" t="n">
        <v>6</v>
      </c>
      <c r="E4862" s="0" t="n">
        <f aca="false">-1+A4862*0.25</f>
        <v>0.5</v>
      </c>
      <c r="F4862" s="0" t="n">
        <f aca="false">-1+B4862*0.25</f>
        <v>0.25</v>
      </c>
      <c r="G4862" s="0" t="n">
        <f aca="false">-1+C4862*0.25</f>
        <v>1</v>
      </c>
      <c r="H4862" s="0" t="n">
        <f aca="false">-1+D4862*0.25</f>
        <v>0.5</v>
      </c>
      <c r="I4862" s="0" t="n">
        <f aca="false">1</f>
        <v>1</v>
      </c>
      <c r="J4862" s="0" t="n">
        <f aca="false">E4862</f>
        <v>0.5</v>
      </c>
      <c r="K4862" s="0" t="n">
        <f aca="false">F4862</f>
        <v>0.25</v>
      </c>
      <c r="L4862" s="0" t="n">
        <f aca="false">G4862</f>
        <v>1</v>
      </c>
      <c r="M4862" s="0" t="n">
        <f aca="false">H4862</f>
        <v>0.5</v>
      </c>
      <c r="N4862" s="0" t="n">
        <f aca="false">E4862*F4862</f>
        <v>0.125</v>
      </c>
      <c r="O4862" s="0" t="n">
        <f aca="false">E4862*G4862</f>
        <v>0.5</v>
      </c>
      <c r="P4862" s="0" t="n">
        <f aca="false">E4862*H4862</f>
        <v>0.25</v>
      </c>
      <c r="Q4862" s="0" t="n">
        <f aca="false">F4862*G4862</f>
        <v>0.25</v>
      </c>
      <c r="R4862" s="0" t="n">
        <f aca="false">F4862*H4862</f>
        <v>0.125</v>
      </c>
      <c r="S4862" s="0" t="n">
        <f aca="false">G4862*H4862</f>
        <v>0.5</v>
      </c>
      <c r="T4862" s="0" t="n">
        <f aca="false">E4862*E4862</f>
        <v>0.25</v>
      </c>
      <c r="U4862" s="0" t="n">
        <f aca="false">F4862*F4862</f>
        <v>0.0625</v>
      </c>
      <c r="V4862" s="0" t="n">
        <f aca="false">G4862*G4862</f>
        <v>1</v>
      </c>
      <c r="W4862" s="0" t="n">
        <f aca="false">H4862*H4862</f>
        <v>0.25</v>
      </c>
      <c r="X4862" s="0" t="n">
        <f aca="false">SUMPRODUCT(I4862:W4862,_XtX!$B$96:$P$96)</f>
        <v>49.0774945175438</v>
      </c>
      <c r="Y4862" s="0" t="n">
        <f aca="false">SUMPRODUCT(MMULT(I4862:W4862,_XtX!$B$78:$P$92),I4862:W4862)</f>
        <v>0.428122715643275</v>
      </c>
      <c r="Z4862" s="0" t="n">
        <f aca="false">04_回帰ANOVA!$K$19*04_回帰ANOVA!$K$14*SQRT(1+Y4862)</f>
        <v>1.55769044623229</v>
      </c>
      <c r="AA4862" s="0" t="n">
        <f aca="false">X4862-Z4862</f>
        <v>47.5198040713115</v>
      </c>
      <c r="AB4862" s="0" t="n">
        <f aca="false">X4862+Z4862</f>
        <v>50.6351849637761</v>
      </c>
      <c r="AC4862" s="54" t="b">
        <f aca="false">AND(E4862&gt;=01_因子設定!$L$5-0.000000001,E4862&lt;=01_因子設定!$M$5+0.000000001,F4862&gt;=01_因子設定!$L$6-0.000000001,F4862&lt;=01_因子設定!$M$6+0.000000001,G4862&gt;=01_因子設定!$L$7-0.000000001,G4862&lt;=01_因子設定!$M$7+0.000000001,H4862&gt;=01_因子設定!$L$8-0.000000001,H4862&lt;=01_因子設定!$M$8+0.000000001,IF(01_因子設定!$B$20="Box-Behnken",E4862^2+F4862^2+G4862^2+H4862^2&lt;=2+0.000000001,TRUE()))</f>
        <v>1</v>
      </c>
      <c r="AD4862" s="55" t="n">
        <f aca="false">IF(AC4862,IF(01_因子設定!$B$13="最大化",AA4862-01_因子設定!$B$14,IF(01_因子設定!$B$13="最小化",01_因子設定!$B$15-AB4862,MIN(AA4862-01_因子設定!$B$14,01_因子設定!$B$15-AB4862))),-1E+030)</f>
        <v>1.01980407131153</v>
      </c>
      <c r="AE4862" s="55" t="n">
        <f aca="false">IF(AC4862,IF(01_因子設定!$B$13="最大化",X4862,IF(01_因子設定!$B$13="最小化",-X4862,-ABS(X4862-01_因子設定!$B$16))),-1E+030)</f>
        <v>49.0774945175438</v>
      </c>
      <c r="AF4862" s="55" t="n">
        <f aca="false">AD4862+ROW()*0.000000001</f>
        <v>1.01980893331153</v>
      </c>
      <c r="AG4862" s="55" t="n">
        <f aca="false">AE4862+ROW()*0.000000001</f>
        <v>49.0774993795438</v>
      </c>
    </row>
    <row r="4863" customFormat="false" ht="15" hidden="false" customHeight="false" outlineLevel="0" collapsed="false">
      <c r="A4863" s="0" t="n">
        <v>6</v>
      </c>
      <c r="B4863" s="0" t="n">
        <v>5</v>
      </c>
      <c r="C4863" s="0" t="n">
        <v>8</v>
      </c>
      <c r="D4863" s="0" t="n">
        <v>7</v>
      </c>
      <c r="E4863" s="0" t="n">
        <f aca="false">-1+A4863*0.25</f>
        <v>0.5</v>
      </c>
      <c r="F4863" s="0" t="n">
        <f aca="false">-1+B4863*0.25</f>
        <v>0.25</v>
      </c>
      <c r="G4863" s="0" t="n">
        <f aca="false">-1+C4863*0.25</f>
        <v>1</v>
      </c>
      <c r="H4863" s="0" t="n">
        <f aca="false">-1+D4863*0.25</f>
        <v>0.75</v>
      </c>
      <c r="I4863" s="0" t="n">
        <f aca="false">1</f>
        <v>1</v>
      </c>
      <c r="J4863" s="0" t="n">
        <f aca="false">E4863</f>
        <v>0.5</v>
      </c>
      <c r="K4863" s="0" t="n">
        <f aca="false">F4863</f>
        <v>0.25</v>
      </c>
      <c r="L4863" s="0" t="n">
        <f aca="false">G4863</f>
        <v>1</v>
      </c>
      <c r="M4863" s="0" t="n">
        <f aca="false">H4863</f>
        <v>0.75</v>
      </c>
      <c r="N4863" s="0" t="n">
        <f aca="false">E4863*F4863</f>
        <v>0.125</v>
      </c>
      <c r="O4863" s="0" t="n">
        <f aca="false">E4863*G4863</f>
        <v>0.5</v>
      </c>
      <c r="P4863" s="0" t="n">
        <f aca="false">E4863*H4863</f>
        <v>0.375</v>
      </c>
      <c r="Q4863" s="0" t="n">
        <f aca="false">F4863*G4863</f>
        <v>0.25</v>
      </c>
      <c r="R4863" s="0" t="n">
        <f aca="false">F4863*H4863</f>
        <v>0.1875</v>
      </c>
      <c r="S4863" s="0" t="n">
        <f aca="false">G4863*H4863</f>
        <v>0.75</v>
      </c>
      <c r="T4863" s="0" t="n">
        <f aca="false">E4863*E4863</f>
        <v>0.25</v>
      </c>
      <c r="U4863" s="0" t="n">
        <f aca="false">F4863*F4863</f>
        <v>0.0625</v>
      </c>
      <c r="V4863" s="0" t="n">
        <f aca="false">G4863*G4863</f>
        <v>1</v>
      </c>
      <c r="W4863" s="0" t="n">
        <f aca="false">H4863*H4863</f>
        <v>0.5625</v>
      </c>
      <c r="X4863" s="0" t="n">
        <f aca="false">SUMPRODUCT(I4863:W4863,_XtX!$B$96:$P$96)</f>
        <v>49.1335846125731</v>
      </c>
      <c r="Y4863" s="0" t="n">
        <f aca="false">SUMPRODUCT(MMULT(I4863:W4863,_XtX!$B$78:$P$92),I4863:W4863)</f>
        <v>0.459125719572369</v>
      </c>
      <c r="Z4863" s="0" t="n">
        <f aca="false">04_回帰ANOVA!$K$19*04_回帰ANOVA!$K$14*SQRT(1+Y4863)</f>
        <v>1.57450755575573</v>
      </c>
      <c r="AA4863" s="0" t="n">
        <f aca="false">X4863-Z4863</f>
        <v>47.5590770568174</v>
      </c>
      <c r="AB4863" s="0" t="n">
        <f aca="false">X4863+Z4863</f>
        <v>50.7080921683288</v>
      </c>
      <c r="AC4863" s="54" t="b">
        <f aca="false">AND(E4863&gt;=01_因子設定!$L$5-0.000000001,E4863&lt;=01_因子設定!$M$5+0.000000001,F4863&gt;=01_因子設定!$L$6-0.000000001,F4863&lt;=01_因子設定!$M$6+0.000000001,G4863&gt;=01_因子設定!$L$7-0.000000001,G4863&lt;=01_因子設定!$M$7+0.000000001,H4863&gt;=01_因子設定!$L$8-0.000000001,H4863&lt;=01_因子設定!$M$8+0.000000001,IF(01_因子設定!$B$20="Box-Behnken",E4863^2+F4863^2+G4863^2+H4863^2&lt;=2+0.000000001,TRUE()))</f>
        <v>1</v>
      </c>
      <c r="AD4863" s="55" t="n">
        <f aca="false">IF(AC4863,IF(01_因子設定!$B$13="最大化",AA4863-01_因子設定!$B$14,IF(01_因子設定!$B$13="最小化",01_因子設定!$B$15-AB4863,MIN(AA4863-01_因子設定!$B$14,01_因子設定!$B$15-AB4863))),-1E+030)</f>
        <v>1.05907705681735</v>
      </c>
      <c r="AE4863" s="55" t="n">
        <f aca="false">IF(AC4863,IF(01_因子設定!$B$13="最大化",X4863,IF(01_因子設定!$B$13="最小化",-X4863,-ABS(X4863-01_因子設定!$B$16))),-1E+030)</f>
        <v>49.1335846125731</v>
      </c>
      <c r="AF4863" s="55" t="n">
        <f aca="false">AD4863+ROW()*0.000000001</f>
        <v>1.05908191981735</v>
      </c>
      <c r="AG4863" s="55" t="n">
        <f aca="false">AE4863+ROW()*0.000000001</f>
        <v>49.1335894755731</v>
      </c>
    </row>
    <row r="4864" customFormat="false" ht="15" hidden="false" customHeight="false" outlineLevel="0" collapsed="false">
      <c r="A4864" s="0" t="n">
        <v>6</v>
      </c>
      <c r="B4864" s="0" t="n">
        <v>5</v>
      </c>
      <c r="C4864" s="0" t="n">
        <v>8</v>
      </c>
      <c r="D4864" s="0" t="n">
        <v>8</v>
      </c>
      <c r="E4864" s="0" t="n">
        <f aca="false">-1+A4864*0.25</f>
        <v>0.5</v>
      </c>
      <c r="F4864" s="0" t="n">
        <f aca="false">-1+B4864*0.25</f>
        <v>0.25</v>
      </c>
      <c r="G4864" s="0" t="n">
        <f aca="false">-1+C4864*0.25</f>
        <v>1</v>
      </c>
      <c r="H4864" s="0" t="n">
        <f aca="false">-1+D4864*0.25</f>
        <v>1</v>
      </c>
      <c r="I4864" s="0" t="n">
        <f aca="false">1</f>
        <v>1</v>
      </c>
      <c r="J4864" s="0" t="n">
        <f aca="false">E4864</f>
        <v>0.5</v>
      </c>
      <c r="K4864" s="0" t="n">
        <f aca="false">F4864</f>
        <v>0.25</v>
      </c>
      <c r="L4864" s="0" t="n">
        <f aca="false">G4864</f>
        <v>1</v>
      </c>
      <c r="M4864" s="0" t="n">
        <f aca="false">H4864</f>
        <v>1</v>
      </c>
      <c r="N4864" s="0" t="n">
        <f aca="false">E4864*F4864</f>
        <v>0.125</v>
      </c>
      <c r="O4864" s="0" t="n">
        <f aca="false">E4864*G4864</f>
        <v>0.5</v>
      </c>
      <c r="P4864" s="0" t="n">
        <f aca="false">E4864*H4864</f>
        <v>0.5</v>
      </c>
      <c r="Q4864" s="0" t="n">
        <f aca="false">F4864*G4864</f>
        <v>0.25</v>
      </c>
      <c r="R4864" s="0" t="n">
        <f aca="false">F4864*H4864</f>
        <v>0.25</v>
      </c>
      <c r="S4864" s="0" t="n">
        <f aca="false">G4864*H4864</f>
        <v>1</v>
      </c>
      <c r="T4864" s="0" t="n">
        <f aca="false">E4864*E4864</f>
        <v>0.25</v>
      </c>
      <c r="U4864" s="0" t="n">
        <f aca="false">F4864*F4864</f>
        <v>0.0625</v>
      </c>
      <c r="V4864" s="0" t="n">
        <f aca="false">G4864*G4864</f>
        <v>1</v>
      </c>
      <c r="W4864" s="0" t="n">
        <f aca="false">H4864*H4864</f>
        <v>1</v>
      </c>
      <c r="X4864" s="0" t="n">
        <f aca="false">SUMPRODUCT(I4864:W4864,_XtX!$B$96:$P$96)</f>
        <v>49.1418676900585</v>
      </c>
      <c r="Y4864" s="0" t="n">
        <f aca="false">SUMPRODUCT(MMULT(I4864:W4864,_XtX!$B$78:$P$92),I4864:W4864)</f>
        <v>0.629174661915205</v>
      </c>
      <c r="Z4864" s="0" t="n">
        <f aca="false">04_回帰ANOVA!$K$19*04_回帰ANOVA!$K$14*SQRT(1+Y4864)</f>
        <v>1.66372758058297</v>
      </c>
      <c r="AA4864" s="0" t="n">
        <f aca="false">X4864-Z4864</f>
        <v>47.4781401094755</v>
      </c>
      <c r="AB4864" s="0" t="n">
        <f aca="false">X4864+Z4864</f>
        <v>50.8055952706415</v>
      </c>
      <c r="AC4864" s="54" t="b">
        <f aca="false">AND(E4864&gt;=01_因子設定!$L$5-0.000000001,E4864&lt;=01_因子設定!$M$5+0.000000001,F4864&gt;=01_因子設定!$L$6-0.000000001,F4864&lt;=01_因子設定!$M$6+0.000000001,G4864&gt;=01_因子設定!$L$7-0.000000001,G4864&lt;=01_因子設定!$M$7+0.000000001,H4864&gt;=01_因子設定!$L$8-0.000000001,H4864&lt;=01_因子設定!$M$8+0.000000001,IF(01_因子設定!$B$20="Box-Behnken",E4864^2+F4864^2+G4864^2+H4864^2&lt;=2+0.000000001,TRUE()))</f>
        <v>1</v>
      </c>
      <c r="AD4864" s="55" t="n">
        <f aca="false">IF(AC4864,IF(01_因子設定!$B$13="最大化",AA4864-01_因子設定!$B$14,IF(01_因子設定!$B$13="最小化",01_因子設定!$B$15-AB4864,MIN(AA4864-01_因子設定!$B$14,01_因子設定!$B$15-AB4864))),-1E+030)</f>
        <v>0.978140109475504</v>
      </c>
      <c r="AE4864" s="55" t="n">
        <f aca="false">IF(AC4864,IF(01_因子設定!$B$13="最大化",X4864,IF(01_因子設定!$B$13="最小化",-X4864,-ABS(X4864-01_因子設定!$B$16))),-1E+030)</f>
        <v>49.1418676900585</v>
      </c>
      <c r="AF4864" s="55" t="n">
        <f aca="false">AD4864+ROW()*0.000000001</f>
        <v>0.978144973475504</v>
      </c>
      <c r="AG4864" s="55" t="n">
        <f aca="false">AE4864+ROW()*0.000000001</f>
        <v>49.1418725540585</v>
      </c>
    </row>
    <row r="4865" customFormat="false" ht="15" hidden="false" customHeight="false" outlineLevel="0" collapsed="false">
      <c r="A4865" s="0" t="n">
        <v>6</v>
      </c>
      <c r="B4865" s="0" t="n">
        <v>6</v>
      </c>
      <c r="C4865" s="0" t="n">
        <v>0</v>
      </c>
      <c r="D4865" s="0" t="n">
        <v>0</v>
      </c>
      <c r="E4865" s="0" t="n">
        <f aca="false">-1+A4865*0.25</f>
        <v>0.5</v>
      </c>
      <c r="F4865" s="0" t="n">
        <f aca="false">-1+B4865*0.25</f>
        <v>0.5</v>
      </c>
      <c r="G4865" s="0" t="n">
        <f aca="false">-1+C4865*0.25</f>
        <v>-1</v>
      </c>
      <c r="H4865" s="0" t="n">
        <f aca="false">-1+D4865*0.25</f>
        <v>-1</v>
      </c>
      <c r="I4865" s="0" t="n">
        <f aca="false">1</f>
        <v>1</v>
      </c>
      <c r="J4865" s="0" t="n">
        <f aca="false">E4865</f>
        <v>0.5</v>
      </c>
      <c r="K4865" s="0" t="n">
        <f aca="false">F4865</f>
        <v>0.5</v>
      </c>
      <c r="L4865" s="0" t="n">
        <f aca="false">G4865</f>
        <v>-1</v>
      </c>
      <c r="M4865" s="0" t="n">
        <f aca="false">H4865</f>
        <v>-1</v>
      </c>
      <c r="N4865" s="0" t="n">
        <f aca="false">E4865*F4865</f>
        <v>0.25</v>
      </c>
      <c r="O4865" s="0" t="n">
        <f aca="false">E4865*G4865</f>
        <v>-0.5</v>
      </c>
      <c r="P4865" s="0" t="n">
        <f aca="false">E4865*H4865</f>
        <v>-0.5</v>
      </c>
      <c r="Q4865" s="0" t="n">
        <f aca="false">F4865*G4865</f>
        <v>-0.5</v>
      </c>
      <c r="R4865" s="0" t="n">
        <f aca="false">F4865*H4865</f>
        <v>-0.5</v>
      </c>
      <c r="S4865" s="0" t="n">
        <f aca="false">G4865*H4865</f>
        <v>1</v>
      </c>
      <c r="T4865" s="0" t="n">
        <f aca="false">E4865*E4865</f>
        <v>0.25</v>
      </c>
      <c r="U4865" s="0" t="n">
        <f aca="false">F4865*F4865</f>
        <v>0.25</v>
      </c>
      <c r="V4865" s="0" t="n">
        <f aca="false">G4865*G4865</f>
        <v>1</v>
      </c>
      <c r="W4865" s="0" t="n">
        <f aca="false">H4865*H4865</f>
        <v>1</v>
      </c>
      <c r="X4865" s="0" t="n">
        <f aca="false">SUMPRODUCT(I4865:W4865,_XtX!$B$96:$P$96)</f>
        <v>46.994115497076</v>
      </c>
      <c r="Y4865" s="0" t="n">
        <f aca="false">SUMPRODUCT(MMULT(I4865:W4865,_XtX!$B$78:$P$92),I4865:W4865)</f>
        <v>0.582488121345029</v>
      </c>
      <c r="Z4865" s="0" t="n">
        <f aca="false">04_回帰ANOVA!$K$19*04_回帰ANOVA!$K$14*SQRT(1+Y4865)</f>
        <v>1.63971595338287</v>
      </c>
      <c r="AA4865" s="0" t="n">
        <f aca="false">X4865-Z4865</f>
        <v>45.3543995436932</v>
      </c>
      <c r="AB4865" s="0" t="n">
        <f aca="false">X4865+Z4865</f>
        <v>48.6338314504589</v>
      </c>
      <c r="AC4865" s="54" t="b">
        <f aca="false">AND(E4865&gt;=01_因子設定!$L$5-0.000000001,E4865&lt;=01_因子設定!$M$5+0.000000001,F4865&gt;=01_因子設定!$L$6-0.000000001,F4865&lt;=01_因子設定!$M$6+0.000000001,G4865&gt;=01_因子設定!$L$7-0.000000001,G4865&lt;=01_因子設定!$M$7+0.000000001,H4865&gt;=01_因子設定!$L$8-0.000000001,H4865&lt;=01_因子設定!$M$8+0.000000001,IF(01_因子設定!$B$20="Box-Behnken",E4865^2+F4865^2+G4865^2+H4865^2&lt;=2+0.000000001,TRUE()))</f>
        <v>1</v>
      </c>
      <c r="AD4865" s="55" t="n">
        <f aca="false">IF(AC4865,IF(01_因子設定!$B$13="最大化",AA4865-01_因子設定!$B$14,IF(01_因子設定!$B$13="最小化",01_因子設定!$B$15-AB4865,MIN(AA4865-01_因子設定!$B$14,01_因子設定!$B$15-AB4865))),-1E+030)</f>
        <v>-1.14560045630684</v>
      </c>
      <c r="AE4865" s="55" t="n">
        <f aca="false">IF(AC4865,IF(01_因子設定!$B$13="最大化",X4865,IF(01_因子設定!$B$13="最小化",-X4865,-ABS(X4865-01_因子設定!$B$16))),-1E+030)</f>
        <v>46.994115497076</v>
      </c>
      <c r="AF4865" s="55" t="n">
        <f aca="false">AD4865+ROW()*0.000000001</f>
        <v>-1.14559559130684</v>
      </c>
      <c r="AG4865" s="55" t="n">
        <f aca="false">AE4865+ROW()*0.000000001</f>
        <v>46.994120362076</v>
      </c>
    </row>
    <row r="4866" customFormat="false" ht="15" hidden="false" customHeight="false" outlineLevel="0" collapsed="false">
      <c r="A4866" s="0" t="n">
        <v>6</v>
      </c>
      <c r="B4866" s="0" t="n">
        <v>6</v>
      </c>
      <c r="C4866" s="0" t="n">
        <v>0</v>
      </c>
      <c r="D4866" s="0" t="n">
        <v>1</v>
      </c>
      <c r="E4866" s="0" t="n">
        <f aca="false">-1+A4866*0.25</f>
        <v>0.5</v>
      </c>
      <c r="F4866" s="0" t="n">
        <f aca="false">-1+B4866*0.25</f>
        <v>0.5</v>
      </c>
      <c r="G4866" s="0" t="n">
        <f aca="false">-1+C4866*0.25</f>
        <v>-1</v>
      </c>
      <c r="H4866" s="0" t="n">
        <f aca="false">-1+D4866*0.25</f>
        <v>-0.75</v>
      </c>
      <c r="I4866" s="0" t="n">
        <f aca="false">1</f>
        <v>1</v>
      </c>
      <c r="J4866" s="0" t="n">
        <f aca="false">E4866</f>
        <v>0.5</v>
      </c>
      <c r="K4866" s="0" t="n">
        <f aca="false">F4866</f>
        <v>0.5</v>
      </c>
      <c r="L4866" s="0" t="n">
        <f aca="false">G4866</f>
        <v>-1</v>
      </c>
      <c r="M4866" s="0" t="n">
        <f aca="false">H4866</f>
        <v>-0.75</v>
      </c>
      <c r="N4866" s="0" t="n">
        <f aca="false">E4866*F4866</f>
        <v>0.25</v>
      </c>
      <c r="O4866" s="0" t="n">
        <f aca="false">E4866*G4866</f>
        <v>-0.5</v>
      </c>
      <c r="P4866" s="0" t="n">
        <f aca="false">E4866*H4866</f>
        <v>-0.375</v>
      </c>
      <c r="Q4866" s="0" t="n">
        <f aca="false">F4866*G4866</f>
        <v>-0.5</v>
      </c>
      <c r="R4866" s="0" t="n">
        <f aca="false">F4866*H4866</f>
        <v>-0.375</v>
      </c>
      <c r="S4866" s="0" t="n">
        <f aca="false">G4866*H4866</f>
        <v>0.75</v>
      </c>
      <c r="T4866" s="0" t="n">
        <f aca="false">E4866*E4866</f>
        <v>0.25</v>
      </c>
      <c r="U4866" s="0" t="n">
        <f aca="false">F4866*F4866</f>
        <v>0.25</v>
      </c>
      <c r="V4866" s="0" t="n">
        <f aca="false">G4866*G4866</f>
        <v>1</v>
      </c>
      <c r="W4866" s="0" t="n">
        <f aca="false">H4866*H4866</f>
        <v>0.5625</v>
      </c>
      <c r="X4866" s="0" t="n">
        <f aca="false">SUMPRODUCT(I4866:W4866,_XtX!$B$96:$P$96)</f>
        <v>47.1800164473684</v>
      </c>
      <c r="Y4866" s="0" t="n">
        <f aca="false">SUMPRODUCT(MMULT(I4866:W4866,_XtX!$B$78:$P$92),I4866:W4866)</f>
        <v>0.42602110745614</v>
      </c>
      <c r="Z4866" s="0" t="n">
        <f aca="false">04_回帰ANOVA!$K$19*04_回帰ANOVA!$K$14*SQRT(1+Y4866)</f>
        <v>1.55654388501114</v>
      </c>
      <c r="AA4866" s="0" t="n">
        <f aca="false">X4866-Z4866</f>
        <v>45.6234725623573</v>
      </c>
      <c r="AB4866" s="0" t="n">
        <f aca="false">X4866+Z4866</f>
        <v>48.7365603323795</v>
      </c>
      <c r="AC4866" s="54" t="b">
        <f aca="false">AND(E4866&gt;=01_因子設定!$L$5-0.000000001,E4866&lt;=01_因子設定!$M$5+0.000000001,F4866&gt;=01_因子設定!$L$6-0.000000001,F4866&lt;=01_因子設定!$M$6+0.000000001,G4866&gt;=01_因子設定!$L$7-0.000000001,G4866&lt;=01_因子設定!$M$7+0.000000001,H4866&gt;=01_因子設定!$L$8-0.000000001,H4866&lt;=01_因子設定!$M$8+0.000000001,IF(01_因子設定!$B$20="Box-Behnken",E4866^2+F4866^2+G4866^2+H4866^2&lt;=2+0.000000001,TRUE()))</f>
        <v>1</v>
      </c>
      <c r="AD4866" s="55" t="n">
        <f aca="false">IF(AC4866,IF(01_因子設定!$B$13="最大化",AA4866-01_因子設定!$B$14,IF(01_因子設定!$B$13="最小化",01_因子設定!$B$15-AB4866,MIN(AA4866-01_因子設定!$B$14,01_因子設定!$B$15-AB4866))),-1E+030)</f>
        <v>-0.876527437642736</v>
      </c>
      <c r="AE4866" s="55" t="n">
        <f aca="false">IF(AC4866,IF(01_因子設定!$B$13="最大化",X4866,IF(01_因子設定!$B$13="最小化",-X4866,-ABS(X4866-01_因子設定!$B$16))),-1E+030)</f>
        <v>47.1800164473684</v>
      </c>
      <c r="AF4866" s="55" t="n">
        <f aca="false">AD4866+ROW()*0.000000001</f>
        <v>-0.876522571642736</v>
      </c>
      <c r="AG4866" s="55" t="n">
        <f aca="false">AE4866+ROW()*0.000000001</f>
        <v>47.1800213133684</v>
      </c>
    </row>
    <row r="4867" customFormat="false" ht="15" hidden="false" customHeight="false" outlineLevel="0" collapsed="false">
      <c r="A4867" s="0" t="n">
        <v>6</v>
      </c>
      <c r="B4867" s="0" t="n">
        <v>6</v>
      </c>
      <c r="C4867" s="0" t="n">
        <v>0</v>
      </c>
      <c r="D4867" s="0" t="n">
        <v>2</v>
      </c>
      <c r="E4867" s="0" t="n">
        <f aca="false">-1+A4867*0.25</f>
        <v>0.5</v>
      </c>
      <c r="F4867" s="0" t="n">
        <f aca="false">-1+B4867*0.25</f>
        <v>0.5</v>
      </c>
      <c r="G4867" s="0" t="n">
        <f aca="false">-1+C4867*0.25</f>
        <v>-1</v>
      </c>
      <c r="H4867" s="0" t="n">
        <f aca="false">-1+D4867*0.25</f>
        <v>-0.5</v>
      </c>
      <c r="I4867" s="0" t="n">
        <f aca="false">1</f>
        <v>1</v>
      </c>
      <c r="J4867" s="0" t="n">
        <f aca="false">E4867</f>
        <v>0.5</v>
      </c>
      <c r="K4867" s="0" t="n">
        <f aca="false">F4867</f>
        <v>0.5</v>
      </c>
      <c r="L4867" s="0" t="n">
        <f aca="false">G4867</f>
        <v>-1</v>
      </c>
      <c r="M4867" s="0" t="n">
        <f aca="false">H4867</f>
        <v>-0.5</v>
      </c>
      <c r="N4867" s="0" t="n">
        <f aca="false">E4867*F4867</f>
        <v>0.25</v>
      </c>
      <c r="O4867" s="0" t="n">
        <f aca="false">E4867*G4867</f>
        <v>-0.5</v>
      </c>
      <c r="P4867" s="0" t="n">
        <f aca="false">E4867*H4867</f>
        <v>-0.25</v>
      </c>
      <c r="Q4867" s="0" t="n">
        <f aca="false">F4867*G4867</f>
        <v>-0.5</v>
      </c>
      <c r="R4867" s="0" t="n">
        <f aca="false">F4867*H4867</f>
        <v>-0.25</v>
      </c>
      <c r="S4867" s="0" t="n">
        <f aca="false">G4867*H4867</f>
        <v>0.5</v>
      </c>
      <c r="T4867" s="0" t="n">
        <f aca="false">E4867*E4867</f>
        <v>0.25</v>
      </c>
      <c r="U4867" s="0" t="n">
        <f aca="false">F4867*F4867</f>
        <v>0.25</v>
      </c>
      <c r="V4867" s="0" t="n">
        <f aca="false">G4867*G4867</f>
        <v>1</v>
      </c>
      <c r="W4867" s="0" t="n">
        <f aca="false">H4867*H4867</f>
        <v>0.25</v>
      </c>
      <c r="X4867" s="0" t="n">
        <f aca="false">SUMPRODUCT(I4867:W4867,_XtX!$B$96:$P$96)</f>
        <v>47.3181103801169</v>
      </c>
      <c r="Y4867" s="0" t="n">
        <f aca="false">SUMPRODUCT(MMULT(I4867:W4867,_XtX!$B$78:$P$92),I4867:W4867)</f>
        <v>0.404719480994152</v>
      </c>
      <c r="Z4867" s="0" t="n">
        <f aca="false">04_回帰ANOVA!$K$19*04_回帰ANOVA!$K$14*SQRT(1+Y4867)</f>
        <v>1.54487446697867</v>
      </c>
      <c r="AA4867" s="0" t="n">
        <f aca="false">X4867-Z4867</f>
        <v>45.7732359131383</v>
      </c>
      <c r="AB4867" s="0" t="n">
        <f aca="false">X4867+Z4867</f>
        <v>48.8629848470956</v>
      </c>
      <c r="AC4867" s="54" t="b">
        <f aca="false">AND(E4867&gt;=01_因子設定!$L$5-0.000000001,E4867&lt;=01_因子設定!$M$5+0.000000001,F4867&gt;=01_因子設定!$L$6-0.000000001,F4867&lt;=01_因子設定!$M$6+0.000000001,G4867&gt;=01_因子設定!$L$7-0.000000001,G4867&lt;=01_因子設定!$M$7+0.000000001,H4867&gt;=01_因子設定!$L$8-0.000000001,H4867&lt;=01_因子設定!$M$8+0.000000001,IF(01_因子設定!$B$20="Box-Behnken",E4867^2+F4867^2+G4867^2+H4867^2&lt;=2+0.000000001,TRUE()))</f>
        <v>1</v>
      </c>
      <c r="AD4867" s="55" t="n">
        <f aca="false">IF(AC4867,IF(01_因子設定!$B$13="最大化",AA4867-01_因子設定!$B$14,IF(01_因子設定!$B$13="最小化",01_因子設定!$B$15-AB4867,MIN(AA4867-01_因子設定!$B$14,01_因子設定!$B$15-AB4867))),-1E+030)</f>
        <v>-0.726764086861749</v>
      </c>
      <c r="AE4867" s="55" t="n">
        <f aca="false">IF(AC4867,IF(01_因子設定!$B$13="最大化",X4867,IF(01_因子設定!$B$13="最小化",-X4867,-ABS(X4867-01_因子設定!$B$16))),-1E+030)</f>
        <v>47.3181103801169</v>
      </c>
      <c r="AF4867" s="55" t="n">
        <f aca="false">AD4867+ROW()*0.000000001</f>
        <v>-0.726759219861749</v>
      </c>
      <c r="AG4867" s="55" t="n">
        <f aca="false">AE4867+ROW()*0.000000001</f>
        <v>47.3181152471169</v>
      </c>
    </row>
    <row r="4868" customFormat="false" ht="15" hidden="false" customHeight="false" outlineLevel="0" collapsed="false">
      <c r="A4868" s="0" t="n">
        <v>6</v>
      </c>
      <c r="B4868" s="0" t="n">
        <v>6</v>
      </c>
      <c r="C4868" s="0" t="n">
        <v>0</v>
      </c>
      <c r="D4868" s="0" t="n">
        <v>3</v>
      </c>
      <c r="E4868" s="0" t="n">
        <f aca="false">-1+A4868*0.25</f>
        <v>0.5</v>
      </c>
      <c r="F4868" s="0" t="n">
        <f aca="false">-1+B4868*0.25</f>
        <v>0.5</v>
      </c>
      <c r="G4868" s="0" t="n">
        <f aca="false">-1+C4868*0.25</f>
        <v>-1</v>
      </c>
      <c r="H4868" s="0" t="n">
        <f aca="false">-1+D4868*0.25</f>
        <v>-0.25</v>
      </c>
      <c r="I4868" s="0" t="n">
        <f aca="false">1</f>
        <v>1</v>
      </c>
      <c r="J4868" s="0" t="n">
        <f aca="false">E4868</f>
        <v>0.5</v>
      </c>
      <c r="K4868" s="0" t="n">
        <f aca="false">F4868</f>
        <v>0.5</v>
      </c>
      <c r="L4868" s="0" t="n">
        <f aca="false">G4868</f>
        <v>-1</v>
      </c>
      <c r="M4868" s="0" t="n">
        <f aca="false">H4868</f>
        <v>-0.25</v>
      </c>
      <c r="N4868" s="0" t="n">
        <f aca="false">E4868*F4868</f>
        <v>0.25</v>
      </c>
      <c r="O4868" s="0" t="n">
        <f aca="false">E4868*G4868</f>
        <v>-0.5</v>
      </c>
      <c r="P4868" s="0" t="n">
        <f aca="false">E4868*H4868</f>
        <v>-0.125</v>
      </c>
      <c r="Q4868" s="0" t="n">
        <f aca="false">F4868*G4868</f>
        <v>-0.5</v>
      </c>
      <c r="R4868" s="0" t="n">
        <f aca="false">F4868*H4868</f>
        <v>-0.125</v>
      </c>
      <c r="S4868" s="0" t="n">
        <f aca="false">G4868*H4868</f>
        <v>0.25</v>
      </c>
      <c r="T4868" s="0" t="n">
        <f aca="false">E4868*E4868</f>
        <v>0.25</v>
      </c>
      <c r="U4868" s="0" t="n">
        <f aca="false">F4868*F4868</f>
        <v>0.25</v>
      </c>
      <c r="V4868" s="0" t="n">
        <f aca="false">G4868*G4868</f>
        <v>1</v>
      </c>
      <c r="W4868" s="0" t="n">
        <f aca="false">H4868*H4868</f>
        <v>0.0625</v>
      </c>
      <c r="X4868" s="0" t="n">
        <f aca="false">SUMPRODUCT(I4868:W4868,_XtX!$B$96:$P$96)</f>
        <v>47.4083972953216</v>
      </c>
      <c r="Y4868" s="0" t="n">
        <f aca="false">SUMPRODUCT(MMULT(I4868:W4868,_XtX!$B$78:$P$92),I4868:W4868)</f>
        <v>0.428122715643275</v>
      </c>
      <c r="Z4868" s="0" t="n">
        <f aca="false">04_回帰ANOVA!$K$19*04_回帰ANOVA!$K$14*SQRT(1+Y4868)</f>
        <v>1.55769044623229</v>
      </c>
      <c r="AA4868" s="0" t="n">
        <f aca="false">X4868-Z4868</f>
        <v>45.8507068490893</v>
      </c>
      <c r="AB4868" s="0" t="n">
        <f aca="false">X4868+Z4868</f>
        <v>48.9660877415539</v>
      </c>
      <c r="AC4868" s="54" t="b">
        <f aca="false">AND(E4868&gt;=01_因子設定!$L$5-0.000000001,E4868&lt;=01_因子設定!$M$5+0.000000001,F4868&gt;=01_因子設定!$L$6-0.000000001,F4868&lt;=01_因子設定!$M$6+0.000000001,G4868&gt;=01_因子設定!$L$7-0.000000001,G4868&lt;=01_因子設定!$M$7+0.000000001,H4868&gt;=01_因子設定!$L$8-0.000000001,H4868&lt;=01_因子設定!$M$8+0.000000001,IF(01_因子設定!$B$20="Box-Behnken",E4868^2+F4868^2+G4868^2+H4868^2&lt;=2+0.000000001,TRUE()))</f>
        <v>1</v>
      </c>
      <c r="AD4868" s="55" t="n">
        <f aca="false">IF(AC4868,IF(01_因子設定!$B$13="最大化",AA4868-01_因子設定!$B$14,IF(01_因子設定!$B$13="最小化",01_因子設定!$B$15-AB4868,MIN(AA4868-01_因子設定!$B$14,01_因子設定!$B$15-AB4868))),-1E+030)</f>
        <v>-0.649293150910694</v>
      </c>
      <c r="AE4868" s="55" t="n">
        <f aca="false">IF(AC4868,IF(01_因子設定!$B$13="最大化",X4868,IF(01_因子設定!$B$13="最小化",-X4868,-ABS(X4868-01_因子設定!$B$16))),-1E+030)</f>
        <v>47.4083972953216</v>
      </c>
      <c r="AF4868" s="55" t="n">
        <f aca="false">AD4868+ROW()*0.000000001</f>
        <v>-0.649288282910694</v>
      </c>
      <c r="AG4868" s="55" t="n">
        <f aca="false">AE4868+ROW()*0.000000001</f>
        <v>47.4084021633216</v>
      </c>
    </row>
    <row r="4869" customFormat="false" ht="15" hidden="false" customHeight="false" outlineLevel="0" collapsed="false">
      <c r="A4869" s="0" t="n">
        <v>6</v>
      </c>
      <c r="B4869" s="0" t="n">
        <v>6</v>
      </c>
      <c r="C4869" s="0" t="n">
        <v>0</v>
      </c>
      <c r="D4869" s="0" t="n">
        <v>4</v>
      </c>
      <c r="E4869" s="0" t="n">
        <f aca="false">-1+A4869*0.25</f>
        <v>0.5</v>
      </c>
      <c r="F4869" s="0" t="n">
        <f aca="false">-1+B4869*0.25</f>
        <v>0.5</v>
      </c>
      <c r="G4869" s="0" t="n">
        <f aca="false">-1+C4869*0.25</f>
        <v>-1</v>
      </c>
      <c r="H4869" s="0" t="n">
        <f aca="false">-1+D4869*0.25</f>
        <v>0</v>
      </c>
      <c r="I4869" s="0" t="n">
        <f aca="false">1</f>
        <v>1</v>
      </c>
      <c r="J4869" s="0" t="n">
        <f aca="false">E4869</f>
        <v>0.5</v>
      </c>
      <c r="K4869" s="0" t="n">
        <f aca="false">F4869</f>
        <v>0.5</v>
      </c>
      <c r="L4869" s="0" t="n">
        <f aca="false">G4869</f>
        <v>-1</v>
      </c>
      <c r="M4869" s="0" t="n">
        <f aca="false">H4869</f>
        <v>0</v>
      </c>
      <c r="N4869" s="0" t="n">
        <f aca="false">E4869*F4869</f>
        <v>0.25</v>
      </c>
      <c r="O4869" s="0" t="n">
        <f aca="false">E4869*G4869</f>
        <v>-0.5</v>
      </c>
      <c r="P4869" s="0" t="n">
        <f aca="false">E4869*H4869</f>
        <v>0</v>
      </c>
      <c r="Q4869" s="0" t="n">
        <f aca="false">F4869*G4869</f>
        <v>-0.5</v>
      </c>
      <c r="R4869" s="0" t="n">
        <f aca="false">F4869*H4869</f>
        <v>0</v>
      </c>
      <c r="S4869" s="0" t="n">
        <f aca="false">G4869*H4869</f>
        <v>-0</v>
      </c>
      <c r="T4869" s="0" t="n">
        <f aca="false">E4869*E4869</f>
        <v>0.25</v>
      </c>
      <c r="U4869" s="0" t="n">
        <f aca="false">F4869*F4869</f>
        <v>0.25</v>
      </c>
      <c r="V4869" s="0" t="n">
        <f aca="false">G4869*G4869</f>
        <v>1</v>
      </c>
      <c r="W4869" s="0" t="n">
        <f aca="false">H4869*H4869</f>
        <v>0</v>
      </c>
      <c r="X4869" s="0" t="n">
        <f aca="false">SUMPRODUCT(I4869:W4869,_XtX!$B$96:$P$96)</f>
        <v>47.4508771929824</v>
      </c>
      <c r="Y4869" s="0" t="n">
        <f aca="false">SUMPRODUCT(MMULT(I4869:W4869,_XtX!$B$78:$P$92),I4869:W4869)</f>
        <v>0.441954495614035</v>
      </c>
      <c r="Z4869" s="0" t="n">
        <f aca="false">04_回帰ANOVA!$K$19*04_回帰ANOVA!$K$14*SQRT(1+Y4869)</f>
        <v>1.56521560968066</v>
      </c>
      <c r="AA4869" s="0" t="n">
        <f aca="false">X4869-Z4869</f>
        <v>45.8856615833018</v>
      </c>
      <c r="AB4869" s="0" t="n">
        <f aca="false">X4869+Z4869</f>
        <v>49.0160928026631</v>
      </c>
      <c r="AC4869" s="54" t="b">
        <f aca="false">AND(E4869&gt;=01_因子設定!$L$5-0.000000001,E4869&lt;=01_因子設定!$M$5+0.000000001,F4869&gt;=01_因子設定!$L$6-0.000000001,F4869&lt;=01_因子設定!$M$6+0.000000001,G4869&gt;=01_因子設定!$L$7-0.000000001,G4869&lt;=01_因子設定!$M$7+0.000000001,H4869&gt;=01_因子設定!$L$8-0.000000001,H4869&lt;=01_因子設定!$M$8+0.000000001,IF(01_因子設定!$B$20="Box-Behnken",E4869^2+F4869^2+G4869^2+H4869^2&lt;=2+0.000000001,TRUE()))</f>
        <v>1</v>
      </c>
      <c r="AD4869" s="55" t="n">
        <f aca="false">IF(AC4869,IF(01_因子設定!$B$13="最大化",AA4869-01_因子設定!$B$14,IF(01_因子設定!$B$13="最小化",01_因子設定!$B$15-AB4869,MIN(AA4869-01_因子設定!$B$14,01_因子設定!$B$15-AB4869))),-1E+030)</f>
        <v>-0.614338416698246</v>
      </c>
      <c r="AE4869" s="55" t="n">
        <f aca="false">IF(AC4869,IF(01_因子設定!$B$13="最大化",X4869,IF(01_因子設定!$B$13="最小化",-X4869,-ABS(X4869-01_因子設定!$B$16))),-1E+030)</f>
        <v>47.4508771929824</v>
      </c>
      <c r="AF4869" s="55" t="n">
        <f aca="false">AD4869+ROW()*0.000000001</f>
        <v>-0.614333547698246</v>
      </c>
      <c r="AG4869" s="55" t="n">
        <f aca="false">AE4869+ROW()*0.000000001</f>
        <v>47.4508820619824</v>
      </c>
    </row>
    <row r="4870" customFormat="false" ht="15" hidden="false" customHeight="false" outlineLevel="0" collapsed="false">
      <c r="A4870" s="0" t="n">
        <v>6</v>
      </c>
      <c r="B4870" s="0" t="n">
        <v>6</v>
      </c>
      <c r="C4870" s="0" t="n">
        <v>0</v>
      </c>
      <c r="D4870" s="0" t="n">
        <v>5</v>
      </c>
      <c r="E4870" s="0" t="n">
        <f aca="false">-1+A4870*0.25</f>
        <v>0.5</v>
      </c>
      <c r="F4870" s="0" t="n">
        <f aca="false">-1+B4870*0.25</f>
        <v>0.5</v>
      </c>
      <c r="G4870" s="0" t="n">
        <f aca="false">-1+C4870*0.25</f>
        <v>-1</v>
      </c>
      <c r="H4870" s="0" t="n">
        <f aca="false">-1+D4870*0.25</f>
        <v>0.25</v>
      </c>
      <c r="I4870" s="0" t="n">
        <f aca="false">1</f>
        <v>1</v>
      </c>
      <c r="J4870" s="0" t="n">
        <f aca="false">E4870</f>
        <v>0.5</v>
      </c>
      <c r="K4870" s="0" t="n">
        <f aca="false">F4870</f>
        <v>0.5</v>
      </c>
      <c r="L4870" s="0" t="n">
        <f aca="false">G4870</f>
        <v>-1</v>
      </c>
      <c r="M4870" s="0" t="n">
        <f aca="false">H4870</f>
        <v>0.25</v>
      </c>
      <c r="N4870" s="0" t="n">
        <f aca="false">E4870*F4870</f>
        <v>0.25</v>
      </c>
      <c r="O4870" s="0" t="n">
        <f aca="false">E4870*G4870</f>
        <v>-0.5</v>
      </c>
      <c r="P4870" s="0" t="n">
        <f aca="false">E4870*H4870</f>
        <v>0.125</v>
      </c>
      <c r="Q4870" s="0" t="n">
        <f aca="false">F4870*G4870</f>
        <v>-0.5</v>
      </c>
      <c r="R4870" s="0" t="n">
        <f aca="false">F4870*H4870</f>
        <v>0.125</v>
      </c>
      <c r="S4870" s="0" t="n">
        <f aca="false">G4870*H4870</f>
        <v>-0.25</v>
      </c>
      <c r="T4870" s="0" t="n">
        <f aca="false">E4870*E4870</f>
        <v>0.25</v>
      </c>
      <c r="U4870" s="0" t="n">
        <f aca="false">F4870*F4870</f>
        <v>0.25</v>
      </c>
      <c r="V4870" s="0" t="n">
        <f aca="false">G4870*G4870</f>
        <v>1</v>
      </c>
      <c r="W4870" s="0" t="n">
        <f aca="false">H4870*H4870</f>
        <v>0.0625</v>
      </c>
      <c r="X4870" s="0" t="n">
        <f aca="false">SUMPRODUCT(I4870:W4870,_XtX!$B$96:$P$96)</f>
        <v>47.4455500730994</v>
      </c>
      <c r="Y4870" s="0" t="n">
        <f aca="false">SUMPRODUCT(MMULT(I4870:W4870,_XtX!$B$78:$P$92),I4870:W4870)</f>
        <v>0.428122715643275</v>
      </c>
      <c r="Z4870" s="0" t="n">
        <f aca="false">04_回帰ANOVA!$K$19*04_回帰ANOVA!$K$14*SQRT(1+Y4870)</f>
        <v>1.55769044623229</v>
      </c>
      <c r="AA4870" s="0" t="n">
        <f aca="false">X4870-Z4870</f>
        <v>45.8878596268671</v>
      </c>
      <c r="AB4870" s="0" t="n">
        <f aca="false">X4870+Z4870</f>
        <v>49.0032405193317</v>
      </c>
      <c r="AC4870" s="54" t="b">
        <f aca="false">AND(E4870&gt;=01_因子設定!$L$5-0.000000001,E4870&lt;=01_因子設定!$M$5+0.000000001,F4870&gt;=01_因子設定!$L$6-0.000000001,F4870&lt;=01_因子設定!$M$6+0.000000001,G4870&gt;=01_因子設定!$L$7-0.000000001,G4870&lt;=01_因子設定!$M$7+0.000000001,H4870&gt;=01_因子設定!$L$8-0.000000001,H4870&lt;=01_因子設定!$M$8+0.000000001,IF(01_因子設定!$B$20="Box-Behnken",E4870^2+F4870^2+G4870^2+H4870^2&lt;=2+0.000000001,TRUE()))</f>
        <v>1</v>
      </c>
      <c r="AD4870" s="55" t="n">
        <f aca="false">IF(AC4870,IF(01_因子設定!$B$13="最大化",AA4870-01_因子設定!$B$14,IF(01_因子設定!$B$13="最小化",01_因子設定!$B$15-AB4870,MIN(AA4870-01_因子設定!$B$14,01_因子設定!$B$15-AB4870))),-1E+030)</f>
        <v>-0.612140373132917</v>
      </c>
      <c r="AE4870" s="55" t="n">
        <f aca="false">IF(AC4870,IF(01_因子設定!$B$13="最大化",X4870,IF(01_因子設定!$B$13="最小化",-X4870,-ABS(X4870-01_因子設定!$B$16))),-1E+030)</f>
        <v>47.4455500730994</v>
      </c>
      <c r="AF4870" s="55" t="n">
        <f aca="false">AD4870+ROW()*0.000000001</f>
        <v>-0.612135503132917</v>
      </c>
      <c r="AG4870" s="55" t="n">
        <f aca="false">AE4870+ROW()*0.000000001</f>
        <v>47.4455549430994</v>
      </c>
    </row>
    <row r="4871" customFormat="false" ht="15" hidden="false" customHeight="false" outlineLevel="0" collapsed="false">
      <c r="A4871" s="0" t="n">
        <v>6</v>
      </c>
      <c r="B4871" s="0" t="n">
        <v>6</v>
      </c>
      <c r="C4871" s="0" t="n">
        <v>0</v>
      </c>
      <c r="D4871" s="0" t="n">
        <v>6</v>
      </c>
      <c r="E4871" s="0" t="n">
        <f aca="false">-1+A4871*0.25</f>
        <v>0.5</v>
      </c>
      <c r="F4871" s="0" t="n">
        <f aca="false">-1+B4871*0.25</f>
        <v>0.5</v>
      </c>
      <c r="G4871" s="0" t="n">
        <f aca="false">-1+C4871*0.25</f>
        <v>-1</v>
      </c>
      <c r="H4871" s="0" t="n">
        <f aca="false">-1+D4871*0.25</f>
        <v>0.5</v>
      </c>
      <c r="I4871" s="0" t="n">
        <f aca="false">1</f>
        <v>1</v>
      </c>
      <c r="J4871" s="0" t="n">
        <f aca="false">E4871</f>
        <v>0.5</v>
      </c>
      <c r="K4871" s="0" t="n">
        <f aca="false">F4871</f>
        <v>0.5</v>
      </c>
      <c r="L4871" s="0" t="n">
        <f aca="false">G4871</f>
        <v>-1</v>
      </c>
      <c r="M4871" s="0" t="n">
        <f aca="false">H4871</f>
        <v>0.5</v>
      </c>
      <c r="N4871" s="0" t="n">
        <f aca="false">E4871*F4871</f>
        <v>0.25</v>
      </c>
      <c r="O4871" s="0" t="n">
        <f aca="false">E4871*G4871</f>
        <v>-0.5</v>
      </c>
      <c r="P4871" s="0" t="n">
        <f aca="false">E4871*H4871</f>
        <v>0.25</v>
      </c>
      <c r="Q4871" s="0" t="n">
        <f aca="false">F4871*G4871</f>
        <v>-0.5</v>
      </c>
      <c r="R4871" s="0" t="n">
        <f aca="false">F4871*H4871</f>
        <v>0.25</v>
      </c>
      <c r="S4871" s="0" t="n">
        <f aca="false">G4871*H4871</f>
        <v>-0.5</v>
      </c>
      <c r="T4871" s="0" t="n">
        <f aca="false">E4871*E4871</f>
        <v>0.25</v>
      </c>
      <c r="U4871" s="0" t="n">
        <f aca="false">F4871*F4871</f>
        <v>0.25</v>
      </c>
      <c r="V4871" s="0" t="n">
        <f aca="false">G4871*G4871</f>
        <v>1</v>
      </c>
      <c r="W4871" s="0" t="n">
        <f aca="false">H4871*H4871</f>
        <v>0.25</v>
      </c>
      <c r="X4871" s="0" t="n">
        <f aca="false">SUMPRODUCT(I4871:W4871,_XtX!$B$96:$P$96)</f>
        <v>47.3924159356725</v>
      </c>
      <c r="Y4871" s="0" t="n">
        <f aca="false">SUMPRODUCT(MMULT(I4871:W4871,_XtX!$B$78:$P$92),I4871:W4871)</f>
        <v>0.404719480994152</v>
      </c>
      <c r="Z4871" s="0" t="n">
        <f aca="false">04_回帰ANOVA!$K$19*04_回帰ANOVA!$K$14*SQRT(1+Y4871)</f>
        <v>1.54487446697867</v>
      </c>
      <c r="AA4871" s="0" t="n">
        <f aca="false">X4871-Z4871</f>
        <v>45.8475414686938</v>
      </c>
      <c r="AB4871" s="0" t="n">
        <f aca="false">X4871+Z4871</f>
        <v>48.9372904026512</v>
      </c>
      <c r="AC4871" s="54" t="b">
        <f aca="false">AND(E4871&gt;=01_因子設定!$L$5-0.000000001,E4871&lt;=01_因子設定!$M$5+0.000000001,F4871&gt;=01_因子設定!$L$6-0.000000001,F4871&lt;=01_因子設定!$M$6+0.000000001,G4871&gt;=01_因子設定!$L$7-0.000000001,G4871&lt;=01_因子設定!$M$7+0.000000001,H4871&gt;=01_因子設定!$L$8-0.000000001,H4871&lt;=01_因子設定!$M$8+0.000000001,IF(01_因子設定!$B$20="Box-Behnken",E4871^2+F4871^2+G4871^2+H4871^2&lt;=2+0.000000001,TRUE()))</f>
        <v>1</v>
      </c>
      <c r="AD4871" s="55" t="n">
        <f aca="false">IF(AC4871,IF(01_因子設定!$B$13="最大化",AA4871-01_因子設定!$B$14,IF(01_因子設定!$B$13="最小化",01_因子設定!$B$15-AB4871,MIN(AA4871-01_因子設定!$B$14,01_因子設定!$B$15-AB4871))),-1E+030)</f>
        <v>-0.652458531306195</v>
      </c>
      <c r="AE4871" s="55" t="n">
        <f aca="false">IF(AC4871,IF(01_因子設定!$B$13="最大化",X4871,IF(01_因子設定!$B$13="最小化",-X4871,-ABS(X4871-01_因子設定!$B$16))),-1E+030)</f>
        <v>47.3924159356725</v>
      </c>
      <c r="AF4871" s="55" t="n">
        <f aca="false">AD4871+ROW()*0.000000001</f>
        <v>-0.652453660306195</v>
      </c>
      <c r="AG4871" s="55" t="n">
        <f aca="false">AE4871+ROW()*0.000000001</f>
        <v>47.3924208066725</v>
      </c>
    </row>
    <row r="4872" customFormat="false" ht="15" hidden="false" customHeight="false" outlineLevel="0" collapsed="false">
      <c r="A4872" s="0" t="n">
        <v>6</v>
      </c>
      <c r="B4872" s="0" t="n">
        <v>6</v>
      </c>
      <c r="C4872" s="0" t="n">
        <v>0</v>
      </c>
      <c r="D4872" s="0" t="n">
        <v>7</v>
      </c>
      <c r="E4872" s="0" t="n">
        <f aca="false">-1+A4872*0.25</f>
        <v>0.5</v>
      </c>
      <c r="F4872" s="0" t="n">
        <f aca="false">-1+B4872*0.25</f>
        <v>0.5</v>
      </c>
      <c r="G4872" s="0" t="n">
        <f aca="false">-1+C4872*0.25</f>
        <v>-1</v>
      </c>
      <c r="H4872" s="0" t="n">
        <f aca="false">-1+D4872*0.25</f>
        <v>0.75</v>
      </c>
      <c r="I4872" s="0" t="n">
        <f aca="false">1</f>
        <v>1</v>
      </c>
      <c r="J4872" s="0" t="n">
        <f aca="false">E4872</f>
        <v>0.5</v>
      </c>
      <c r="K4872" s="0" t="n">
        <f aca="false">F4872</f>
        <v>0.5</v>
      </c>
      <c r="L4872" s="0" t="n">
        <f aca="false">G4872</f>
        <v>-1</v>
      </c>
      <c r="M4872" s="0" t="n">
        <f aca="false">H4872</f>
        <v>0.75</v>
      </c>
      <c r="N4872" s="0" t="n">
        <f aca="false">E4872*F4872</f>
        <v>0.25</v>
      </c>
      <c r="O4872" s="0" t="n">
        <f aca="false">E4872*G4872</f>
        <v>-0.5</v>
      </c>
      <c r="P4872" s="0" t="n">
        <f aca="false">E4872*H4872</f>
        <v>0.375</v>
      </c>
      <c r="Q4872" s="0" t="n">
        <f aca="false">F4872*G4872</f>
        <v>-0.5</v>
      </c>
      <c r="R4872" s="0" t="n">
        <f aca="false">F4872*H4872</f>
        <v>0.375</v>
      </c>
      <c r="S4872" s="0" t="n">
        <f aca="false">G4872*H4872</f>
        <v>-0.75</v>
      </c>
      <c r="T4872" s="0" t="n">
        <f aca="false">E4872*E4872</f>
        <v>0.25</v>
      </c>
      <c r="U4872" s="0" t="n">
        <f aca="false">F4872*F4872</f>
        <v>0.25</v>
      </c>
      <c r="V4872" s="0" t="n">
        <f aca="false">G4872*G4872</f>
        <v>1</v>
      </c>
      <c r="W4872" s="0" t="n">
        <f aca="false">H4872*H4872</f>
        <v>0.5625</v>
      </c>
      <c r="X4872" s="0" t="n">
        <f aca="false">SUMPRODUCT(I4872:W4872,_XtX!$B$96:$P$96)</f>
        <v>47.2914747807017</v>
      </c>
      <c r="Y4872" s="0" t="n">
        <f aca="false">SUMPRODUCT(MMULT(I4872:W4872,_XtX!$B$78:$P$92),I4872:W4872)</f>
        <v>0.42602110745614</v>
      </c>
      <c r="Z4872" s="0" t="n">
        <f aca="false">04_回帰ANOVA!$K$19*04_回帰ANOVA!$K$14*SQRT(1+Y4872)</f>
        <v>1.55654388501114</v>
      </c>
      <c r="AA4872" s="0" t="n">
        <f aca="false">X4872-Z4872</f>
        <v>45.7349308956906</v>
      </c>
      <c r="AB4872" s="0" t="n">
        <f aca="false">X4872+Z4872</f>
        <v>48.8480186657129</v>
      </c>
      <c r="AC4872" s="54" t="b">
        <f aca="false">AND(E4872&gt;=01_因子設定!$L$5-0.000000001,E4872&lt;=01_因子設定!$M$5+0.000000001,F4872&gt;=01_因子設定!$L$6-0.000000001,F4872&lt;=01_因子設定!$M$6+0.000000001,G4872&gt;=01_因子設定!$L$7-0.000000001,G4872&lt;=01_因子設定!$M$7+0.000000001,H4872&gt;=01_因子設定!$L$8-0.000000001,H4872&lt;=01_因子設定!$M$8+0.000000001,IF(01_因子設定!$B$20="Box-Behnken",E4872^2+F4872^2+G4872^2+H4872^2&lt;=2+0.000000001,TRUE()))</f>
        <v>1</v>
      </c>
      <c r="AD4872" s="55" t="n">
        <f aca="false">IF(AC4872,IF(01_因子設定!$B$13="最大化",AA4872-01_因子設定!$B$14,IF(01_因子設定!$B$13="最小化",01_因子設定!$B$15-AB4872,MIN(AA4872-01_因子設定!$B$14,01_因子設定!$B$15-AB4872))),-1E+030)</f>
        <v>-0.765069104309404</v>
      </c>
      <c r="AE4872" s="55" t="n">
        <f aca="false">IF(AC4872,IF(01_因子設定!$B$13="最大化",X4872,IF(01_因子設定!$B$13="最小化",-X4872,-ABS(X4872-01_因子設定!$B$16))),-1E+030)</f>
        <v>47.2914747807017</v>
      </c>
      <c r="AF4872" s="55" t="n">
        <f aca="false">AD4872+ROW()*0.000000001</f>
        <v>-0.765064232309404</v>
      </c>
      <c r="AG4872" s="55" t="n">
        <f aca="false">AE4872+ROW()*0.000000001</f>
        <v>47.2914796527017</v>
      </c>
    </row>
    <row r="4873" customFormat="false" ht="15" hidden="false" customHeight="false" outlineLevel="0" collapsed="false">
      <c r="A4873" s="0" t="n">
        <v>6</v>
      </c>
      <c r="B4873" s="0" t="n">
        <v>6</v>
      </c>
      <c r="C4873" s="0" t="n">
        <v>0</v>
      </c>
      <c r="D4873" s="0" t="n">
        <v>8</v>
      </c>
      <c r="E4873" s="0" t="n">
        <f aca="false">-1+A4873*0.25</f>
        <v>0.5</v>
      </c>
      <c r="F4873" s="0" t="n">
        <f aca="false">-1+B4873*0.25</f>
        <v>0.5</v>
      </c>
      <c r="G4873" s="0" t="n">
        <f aca="false">-1+C4873*0.25</f>
        <v>-1</v>
      </c>
      <c r="H4873" s="0" t="n">
        <f aca="false">-1+D4873*0.25</f>
        <v>1</v>
      </c>
      <c r="I4873" s="0" t="n">
        <f aca="false">1</f>
        <v>1</v>
      </c>
      <c r="J4873" s="0" t="n">
        <f aca="false">E4873</f>
        <v>0.5</v>
      </c>
      <c r="K4873" s="0" t="n">
        <f aca="false">F4873</f>
        <v>0.5</v>
      </c>
      <c r="L4873" s="0" t="n">
        <f aca="false">G4873</f>
        <v>-1</v>
      </c>
      <c r="M4873" s="0" t="n">
        <f aca="false">H4873</f>
        <v>1</v>
      </c>
      <c r="N4873" s="0" t="n">
        <f aca="false">E4873*F4873</f>
        <v>0.25</v>
      </c>
      <c r="O4873" s="0" t="n">
        <f aca="false">E4873*G4873</f>
        <v>-0.5</v>
      </c>
      <c r="P4873" s="0" t="n">
        <f aca="false">E4873*H4873</f>
        <v>0.5</v>
      </c>
      <c r="Q4873" s="0" t="n">
        <f aca="false">F4873*G4873</f>
        <v>-0.5</v>
      </c>
      <c r="R4873" s="0" t="n">
        <f aca="false">F4873*H4873</f>
        <v>0.5</v>
      </c>
      <c r="S4873" s="0" t="n">
        <f aca="false">G4873*H4873</f>
        <v>-1</v>
      </c>
      <c r="T4873" s="0" t="n">
        <f aca="false">E4873*E4873</f>
        <v>0.25</v>
      </c>
      <c r="U4873" s="0" t="n">
        <f aca="false">F4873*F4873</f>
        <v>0.25</v>
      </c>
      <c r="V4873" s="0" t="n">
        <f aca="false">G4873*G4873</f>
        <v>1</v>
      </c>
      <c r="W4873" s="0" t="n">
        <f aca="false">H4873*H4873</f>
        <v>1</v>
      </c>
      <c r="X4873" s="0" t="n">
        <f aca="false">SUMPRODUCT(I4873:W4873,_XtX!$B$96:$P$96)</f>
        <v>47.1427266081871</v>
      </c>
      <c r="Y4873" s="0" t="n">
        <f aca="false">SUMPRODUCT(MMULT(I4873:W4873,_XtX!$B$78:$P$92),I4873:W4873)</f>
        <v>0.582488121345029</v>
      </c>
      <c r="Z4873" s="0" t="n">
        <f aca="false">04_回帰ANOVA!$K$19*04_回帰ANOVA!$K$14*SQRT(1+Y4873)</f>
        <v>1.63971595338287</v>
      </c>
      <c r="AA4873" s="0" t="n">
        <f aca="false">X4873-Z4873</f>
        <v>45.5030106548043</v>
      </c>
      <c r="AB4873" s="0" t="n">
        <f aca="false">X4873+Z4873</f>
        <v>48.78244256157</v>
      </c>
      <c r="AC4873" s="54" t="b">
        <f aca="false">AND(E4873&gt;=01_因子設定!$L$5-0.000000001,E4873&lt;=01_因子設定!$M$5+0.000000001,F4873&gt;=01_因子設定!$L$6-0.000000001,F4873&lt;=01_因子設定!$M$6+0.000000001,G4873&gt;=01_因子設定!$L$7-0.000000001,G4873&lt;=01_因子設定!$M$7+0.000000001,H4873&gt;=01_因子設定!$L$8-0.000000001,H4873&lt;=01_因子設定!$M$8+0.000000001,IF(01_因子設定!$B$20="Box-Behnken",E4873^2+F4873^2+G4873^2+H4873^2&lt;=2+0.000000001,TRUE()))</f>
        <v>1</v>
      </c>
      <c r="AD4873" s="55" t="n">
        <f aca="false">IF(AC4873,IF(01_因子設定!$B$13="最大化",AA4873-01_因子設定!$B$14,IF(01_因子設定!$B$13="最小化",01_因子設定!$B$15-AB4873,MIN(AA4873-01_因子設定!$B$14,01_因子設定!$B$15-AB4873))),-1E+030)</f>
        <v>-0.996989345195736</v>
      </c>
      <c r="AE4873" s="55" t="n">
        <f aca="false">IF(AC4873,IF(01_因子設定!$B$13="最大化",X4873,IF(01_因子設定!$B$13="最小化",-X4873,-ABS(X4873-01_因子設定!$B$16))),-1E+030)</f>
        <v>47.1427266081871</v>
      </c>
      <c r="AF4873" s="55" t="n">
        <f aca="false">AD4873+ROW()*0.000000001</f>
        <v>-0.996984472195736</v>
      </c>
      <c r="AG4873" s="55" t="n">
        <f aca="false">AE4873+ROW()*0.000000001</f>
        <v>47.1427314811871</v>
      </c>
    </row>
    <row r="4874" customFormat="false" ht="15" hidden="false" customHeight="false" outlineLevel="0" collapsed="false">
      <c r="A4874" s="0" t="n">
        <v>6</v>
      </c>
      <c r="B4874" s="0" t="n">
        <v>6</v>
      </c>
      <c r="C4874" s="0" t="n">
        <v>1</v>
      </c>
      <c r="D4874" s="0" t="n">
        <v>0</v>
      </c>
      <c r="E4874" s="0" t="n">
        <f aca="false">-1+A4874*0.25</f>
        <v>0.5</v>
      </c>
      <c r="F4874" s="0" t="n">
        <f aca="false">-1+B4874*0.25</f>
        <v>0.5</v>
      </c>
      <c r="G4874" s="0" t="n">
        <f aca="false">-1+C4874*0.25</f>
        <v>-0.75</v>
      </c>
      <c r="H4874" s="0" t="n">
        <f aca="false">-1+D4874*0.25</f>
        <v>-1</v>
      </c>
      <c r="I4874" s="0" t="n">
        <f aca="false">1</f>
        <v>1</v>
      </c>
      <c r="J4874" s="0" t="n">
        <f aca="false">E4874</f>
        <v>0.5</v>
      </c>
      <c r="K4874" s="0" t="n">
        <f aca="false">F4874</f>
        <v>0.5</v>
      </c>
      <c r="L4874" s="0" t="n">
        <f aca="false">G4874</f>
        <v>-0.75</v>
      </c>
      <c r="M4874" s="0" t="n">
        <f aca="false">H4874</f>
        <v>-1</v>
      </c>
      <c r="N4874" s="0" t="n">
        <f aca="false">E4874*F4874</f>
        <v>0.25</v>
      </c>
      <c r="O4874" s="0" t="n">
        <f aca="false">E4874*G4874</f>
        <v>-0.375</v>
      </c>
      <c r="P4874" s="0" t="n">
        <f aca="false">E4874*H4874</f>
        <v>-0.5</v>
      </c>
      <c r="Q4874" s="0" t="n">
        <f aca="false">F4874*G4874</f>
        <v>-0.375</v>
      </c>
      <c r="R4874" s="0" t="n">
        <f aca="false">F4874*H4874</f>
        <v>-0.5</v>
      </c>
      <c r="S4874" s="0" t="n">
        <f aca="false">G4874*H4874</f>
        <v>0.75</v>
      </c>
      <c r="T4874" s="0" t="n">
        <f aca="false">E4874*E4874</f>
        <v>0.25</v>
      </c>
      <c r="U4874" s="0" t="n">
        <f aca="false">F4874*F4874</f>
        <v>0.25</v>
      </c>
      <c r="V4874" s="0" t="n">
        <f aca="false">G4874*G4874</f>
        <v>0.5625</v>
      </c>
      <c r="W4874" s="0" t="n">
        <f aca="false">H4874*H4874</f>
        <v>1</v>
      </c>
      <c r="X4874" s="0" t="n">
        <f aca="false">SUMPRODUCT(I4874:W4874,_XtX!$B$96:$P$96)</f>
        <v>47.4244608918129</v>
      </c>
      <c r="Y4874" s="0" t="n">
        <f aca="false">SUMPRODUCT(MMULT(I4874:W4874,_XtX!$B$78:$P$92),I4874:W4874)</f>
        <v>0.42602110745614</v>
      </c>
      <c r="Z4874" s="0" t="n">
        <f aca="false">04_回帰ANOVA!$K$19*04_回帰ANOVA!$K$14*SQRT(1+Y4874)</f>
        <v>1.55654388501114</v>
      </c>
      <c r="AA4874" s="0" t="n">
        <f aca="false">X4874-Z4874</f>
        <v>45.8679170068017</v>
      </c>
      <c r="AB4874" s="0" t="n">
        <f aca="false">X4874+Z4874</f>
        <v>48.981004776824</v>
      </c>
      <c r="AC4874" s="54" t="b">
        <f aca="false">AND(E4874&gt;=01_因子設定!$L$5-0.000000001,E4874&lt;=01_因子設定!$M$5+0.000000001,F4874&gt;=01_因子設定!$L$6-0.000000001,F4874&lt;=01_因子設定!$M$6+0.000000001,G4874&gt;=01_因子設定!$L$7-0.000000001,G4874&lt;=01_因子設定!$M$7+0.000000001,H4874&gt;=01_因子設定!$L$8-0.000000001,H4874&lt;=01_因子設定!$M$8+0.000000001,IF(01_因子設定!$B$20="Box-Behnken",E4874^2+F4874^2+G4874^2+H4874^2&lt;=2+0.000000001,TRUE()))</f>
        <v>1</v>
      </c>
      <c r="AD4874" s="55" t="n">
        <f aca="false">IF(AC4874,IF(01_因子設定!$B$13="最大化",AA4874-01_因子設定!$B$14,IF(01_因子設定!$B$13="最小化",01_因子設定!$B$15-AB4874,MIN(AA4874-01_因子設定!$B$14,01_因子設定!$B$15-AB4874))),-1E+030)</f>
        <v>-0.632082993198274</v>
      </c>
      <c r="AE4874" s="55" t="n">
        <f aca="false">IF(AC4874,IF(01_因子設定!$B$13="最大化",X4874,IF(01_因子設定!$B$13="最小化",-X4874,-ABS(X4874-01_因子設定!$B$16))),-1E+030)</f>
        <v>47.4244608918129</v>
      </c>
      <c r="AF4874" s="55" t="n">
        <f aca="false">AD4874+ROW()*0.000000001</f>
        <v>-0.632078119198274</v>
      </c>
      <c r="AG4874" s="55" t="n">
        <f aca="false">AE4874+ROW()*0.000000001</f>
        <v>47.4244657658129</v>
      </c>
    </row>
    <row r="4875" customFormat="false" ht="15" hidden="false" customHeight="false" outlineLevel="0" collapsed="false">
      <c r="A4875" s="0" t="n">
        <v>6</v>
      </c>
      <c r="B4875" s="0" t="n">
        <v>6</v>
      </c>
      <c r="C4875" s="0" t="n">
        <v>1</v>
      </c>
      <c r="D4875" s="0" t="n">
        <v>1</v>
      </c>
      <c r="E4875" s="0" t="n">
        <f aca="false">-1+A4875*0.25</f>
        <v>0.5</v>
      </c>
      <c r="F4875" s="0" t="n">
        <f aca="false">-1+B4875*0.25</f>
        <v>0.5</v>
      </c>
      <c r="G4875" s="0" t="n">
        <f aca="false">-1+C4875*0.25</f>
        <v>-0.75</v>
      </c>
      <c r="H4875" s="0" t="n">
        <f aca="false">-1+D4875*0.25</f>
        <v>-0.75</v>
      </c>
      <c r="I4875" s="0" t="n">
        <f aca="false">1</f>
        <v>1</v>
      </c>
      <c r="J4875" s="0" t="n">
        <f aca="false">E4875</f>
        <v>0.5</v>
      </c>
      <c r="K4875" s="0" t="n">
        <f aca="false">F4875</f>
        <v>0.5</v>
      </c>
      <c r="L4875" s="0" t="n">
        <f aca="false">G4875</f>
        <v>-0.75</v>
      </c>
      <c r="M4875" s="0" t="n">
        <f aca="false">H4875</f>
        <v>-0.75</v>
      </c>
      <c r="N4875" s="0" t="n">
        <f aca="false">E4875*F4875</f>
        <v>0.25</v>
      </c>
      <c r="O4875" s="0" t="n">
        <f aca="false">E4875*G4875</f>
        <v>-0.375</v>
      </c>
      <c r="P4875" s="0" t="n">
        <f aca="false">E4875*H4875</f>
        <v>-0.375</v>
      </c>
      <c r="Q4875" s="0" t="n">
        <f aca="false">F4875*G4875</f>
        <v>-0.375</v>
      </c>
      <c r="R4875" s="0" t="n">
        <f aca="false">F4875*H4875</f>
        <v>-0.375</v>
      </c>
      <c r="S4875" s="0" t="n">
        <f aca="false">G4875*H4875</f>
        <v>0.5625</v>
      </c>
      <c r="T4875" s="0" t="n">
        <f aca="false">E4875*E4875</f>
        <v>0.25</v>
      </c>
      <c r="U4875" s="0" t="n">
        <f aca="false">F4875*F4875</f>
        <v>0.25</v>
      </c>
      <c r="V4875" s="0" t="n">
        <f aca="false">G4875*G4875</f>
        <v>0.5625</v>
      </c>
      <c r="W4875" s="0" t="n">
        <f aca="false">H4875*H4875</f>
        <v>0.5625</v>
      </c>
      <c r="X4875" s="0" t="n">
        <f aca="false">SUMPRODUCT(I4875:W4875,_XtX!$B$96:$P$96)</f>
        <v>47.6283305921052</v>
      </c>
      <c r="Y4875" s="0" t="n">
        <f aca="false">SUMPRODUCT(MMULT(I4875:W4875,_XtX!$B$78:$P$92),I4875:W4875)</f>
        <v>0.237862927174708</v>
      </c>
      <c r="Z4875" s="0" t="n">
        <f aca="false">04_回帰ANOVA!$K$19*04_回帰ANOVA!$K$14*SQRT(1+Y4875)</f>
        <v>1.45022260708756</v>
      </c>
      <c r="AA4875" s="0" t="n">
        <f aca="false">X4875-Z4875</f>
        <v>46.1781079850177</v>
      </c>
      <c r="AB4875" s="0" t="n">
        <f aca="false">X4875+Z4875</f>
        <v>49.0785531991928</v>
      </c>
      <c r="AC4875" s="54" t="b">
        <f aca="false">AND(E4875&gt;=01_因子設定!$L$5-0.000000001,E4875&lt;=01_因子設定!$M$5+0.000000001,F4875&gt;=01_因子設定!$L$6-0.000000001,F4875&lt;=01_因子設定!$M$6+0.000000001,G4875&gt;=01_因子設定!$L$7-0.000000001,G4875&lt;=01_因子設定!$M$7+0.000000001,H4875&gt;=01_因子設定!$L$8-0.000000001,H4875&lt;=01_因子設定!$M$8+0.000000001,IF(01_因子設定!$B$20="Box-Behnken",E4875^2+F4875^2+G4875^2+H4875^2&lt;=2+0.000000001,TRUE()))</f>
        <v>1</v>
      </c>
      <c r="AD4875" s="55" t="n">
        <f aca="false">IF(AC4875,IF(01_因子設定!$B$13="最大化",AA4875-01_因子設定!$B$14,IF(01_因子設定!$B$13="最小化",01_因子設定!$B$15-AB4875,MIN(AA4875-01_因子設定!$B$14,01_因子設定!$B$15-AB4875))),-1E+030)</f>
        <v>-0.321892014982318</v>
      </c>
      <c r="AE4875" s="55" t="n">
        <f aca="false">IF(AC4875,IF(01_因子設定!$B$13="最大化",X4875,IF(01_因子設定!$B$13="最小化",-X4875,-ABS(X4875-01_因子設定!$B$16))),-1E+030)</f>
        <v>47.6283305921052</v>
      </c>
      <c r="AF4875" s="55" t="n">
        <f aca="false">AD4875+ROW()*0.000000001</f>
        <v>-0.321887139982318</v>
      </c>
      <c r="AG4875" s="55" t="n">
        <f aca="false">AE4875+ROW()*0.000000001</f>
        <v>47.6283354671052</v>
      </c>
    </row>
    <row r="4876" customFormat="false" ht="15" hidden="false" customHeight="false" outlineLevel="0" collapsed="false">
      <c r="A4876" s="0" t="n">
        <v>6</v>
      </c>
      <c r="B4876" s="0" t="n">
        <v>6</v>
      </c>
      <c r="C4876" s="0" t="n">
        <v>1</v>
      </c>
      <c r="D4876" s="0" t="n">
        <v>2</v>
      </c>
      <c r="E4876" s="0" t="n">
        <f aca="false">-1+A4876*0.25</f>
        <v>0.5</v>
      </c>
      <c r="F4876" s="0" t="n">
        <f aca="false">-1+B4876*0.25</f>
        <v>0.5</v>
      </c>
      <c r="G4876" s="0" t="n">
        <f aca="false">-1+C4876*0.25</f>
        <v>-0.75</v>
      </c>
      <c r="H4876" s="0" t="n">
        <f aca="false">-1+D4876*0.25</f>
        <v>-0.5</v>
      </c>
      <c r="I4876" s="0" t="n">
        <f aca="false">1</f>
        <v>1</v>
      </c>
      <c r="J4876" s="0" t="n">
        <f aca="false">E4876</f>
        <v>0.5</v>
      </c>
      <c r="K4876" s="0" t="n">
        <f aca="false">F4876</f>
        <v>0.5</v>
      </c>
      <c r="L4876" s="0" t="n">
        <f aca="false">G4876</f>
        <v>-0.75</v>
      </c>
      <c r="M4876" s="0" t="n">
        <f aca="false">H4876</f>
        <v>-0.5</v>
      </c>
      <c r="N4876" s="0" t="n">
        <f aca="false">E4876*F4876</f>
        <v>0.25</v>
      </c>
      <c r="O4876" s="0" t="n">
        <f aca="false">E4876*G4876</f>
        <v>-0.375</v>
      </c>
      <c r="P4876" s="0" t="n">
        <f aca="false">E4876*H4876</f>
        <v>-0.25</v>
      </c>
      <c r="Q4876" s="0" t="n">
        <f aca="false">F4876*G4876</f>
        <v>-0.375</v>
      </c>
      <c r="R4876" s="0" t="n">
        <f aca="false">F4876*H4876</f>
        <v>-0.25</v>
      </c>
      <c r="S4876" s="0" t="n">
        <f aca="false">G4876*H4876</f>
        <v>0.375</v>
      </c>
      <c r="T4876" s="0" t="n">
        <f aca="false">E4876*E4876</f>
        <v>0.25</v>
      </c>
      <c r="U4876" s="0" t="n">
        <f aca="false">F4876*F4876</f>
        <v>0.25</v>
      </c>
      <c r="V4876" s="0" t="n">
        <f aca="false">G4876*G4876</f>
        <v>0.5625</v>
      </c>
      <c r="W4876" s="0" t="n">
        <f aca="false">H4876*H4876</f>
        <v>0.25</v>
      </c>
      <c r="X4876" s="0" t="n">
        <f aca="false">SUMPRODUCT(I4876:W4876,_XtX!$B$96:$P$96)</f>
        <v>47.7843932748538</v>
      </c>
      <c r="Y4876" s="0" t="n">
        <f aca="false">SUMPRODUCT(MMULT(I4876:W4876,_XtX!$B$78:$P$92),I4876:W4876)</f>
        <v>0.193924753289474</v>
      </c>
      <c r="Z4876" s="0" t="n">
        <f aca="false">04_回帰ANOVA!$K$19*04_回帰ANOVA!$K$14*SQRT(1+Y4876)</f>
        <v>1.4242521079916</v>
      </c>
      <c r="AA4876" s="0" t="n">
        <f aca="false">X4876-Z4876</f>
        <v>46.3601411668622</v>
      </c>
      <c r="AB4876" s="0" t="n">
        <f aca="false">X4876+Z4876</f>
        <v>49.2086453828454</v>
      </c>
      <c r="AC4876" s="54" t="b">
        <f aca="false">AND(E4876&gt;=01_因子設定!$L$5-0.000000001,E4876&lt;=01_因子設定!$M$5+0.000000001,F4876&gt;=01_因子設定!$L$6-0.000000001,F4876&lt;=01_因子設定!$M$6+0.000000001,G4876&gt;=01_因子設定!$L$7-0.000000001,G4876&lt;=01_因子設定!$M$7+0.000000001,H4876&gt;=01_因子設定!$L$8-0.000000001,H4876&lt;=01_因子設定!$M$8+0.000000001,IF(01_因子設定!$B$20="Box-Behnken",E4876^2+F4876^2+G4876^2+H4876^2&lt;=2+0.000000001,TRUE()))</f>
        <v>1</v>
      </c>
      <c r="AD4876" s="55" t="n">
        <f aca="false">IF(AC4876,IF(01_因子設定!$B$13="最大化",AA4876-01_因子設定!$B$14,IF(01_因子設定!$B$13="最小化",01_因子設定!$B$15-AB4876,MIN(AA4876-01_因子設定!$B$14,01_因子設定!$B$15-AB4876))),-1E+030)</f>
        <v>-0.139858833137829</v>
      </c>
      <c r="AE4876" s="55" t="n">
        <f aca="false">IF(AC4876,IF(01_因子設定!$B$13="最大化",X4876,IF(01_因子設定!$B$13="最小化",-X4876,-ABS(X4876-01_因子設定!$B$16))),-1E+030)</f>
        <v>47.7843932748538</v>
      </c>
      <c r="AF4876" s="55" t="n">
        <f aca="false">AD4876+ROW()*0.000000001</f>
        <v>-0.139853957137829</v>
      </c>
      <c r="AG4876" s="55" t="n">
        <f aca="false">AE4876+ROW()*0.000000001</f>
        <v>47.7843981508538</v>
      </c>
    </row>
    <row r="4877" customFormat="false" ht="15" hidden="false" customHeight="false" outlineLevel="0" collapsed="false">
      <c r="A4877" s="0" t="n">
        <v>6</v>
      </c>
      <c r="B4877" s="0" t="n">
        <v>6</v>
      </c>
      <c r="C4877" s="0" t="n">
        <v>1</v>
      </c>
      <c r="D4877" s="0" t="n">
        <v>3</v>
      </c>
      <c r="E4877" s="0" t="n">
        <f aca="false">-1+A4877*0.25</f>
        <v>0.5</v>
      </c>
      <c r="F4877" s="0" t="n">
        <f aca="false">-1+B4877*0.25</f>
        <v>0.5</v>
      </c>
      <c r="G4877" s="0" t="n">
        <f aca="false">-1+C4877*0.25</f>
        <v>-0.75</v>
      </c>
      <c r="H4877" s="0" t="n">
        <f aca="false">-1+D4877*0.25</f>
        <v>-0.25</v>
      </c>
      <c r="I4877" s="0" t="n">
        <f aca="false">1</f>
        <v>1</v>
      </c>
      <c r="J4877" s="0" t="n">
        <f aca="false">E4877</f>
        <v>0.5</v>
      </c>
      <c r="K4877" s="0" t="n">
        <f aca="false">F4877</f>
        <v>0.5</v>
      </c>
      <c r="L4877" s="0" t="n">
        <f aca="false">G4877</f>
        <v>-0.75</v>
      </c>
      <c r="M4877" s="0" t="n">
        <f aca="false">H4877</f>
        <v>-0.25</v>
      </c>
      <c r="N4877" s="0" t="n">
        <f aca="false">E4877*F4877</f>
        <v>0.25</v>
      </c>
      <c r="O4877" s="0" t="n">
        <f aca="false">E4877*G4877</f>
        <v>-0.375</v>
      </c>
      <c r="P4877" s="0" t="n">
        <f aca="false">E4877*H4877</f>
        <v>-0.125</v>
      </c>
      <c r="Q4877" s="0" t="n">
        <f aca="false">F4877*G4877</f>
        <v>-0.375</v>
      </c>
      <c r="R4877" s="0" t="n">
        <f aca="false">F4877*H4877</f>
        <v>-0.125</v>
      </c>
      <c r="S4877" s="0" t="n">
        <f aca="false">G4877*H4877</f>
        <v>0.1875</v>
      </c>
      <c r="T4877" s="0" t="n">
        <f aca="false">E4877*E4877</f>
        <v>0.25</v>
      </c>
      <c r="U4877" s="0" t="n">
        <f aca="false">F4877*F4877</f>
        <v>0.25</v>
      </c>
      <c r="V4877" s="0" t="n">
        <f aca="false">G4877*G4877</f>
        <v>0.5625</v>
      </c>
      <c r="W4877" s="0" t="n">
        <f aca="false">H4877*H4877</f>
        <v>0.0625</v>
      </c>
      <c r="X4877" s="0" t="n">
        <f aca="false">SUMPRODUCT(I4877:W4877,_XtX!$B$96:$P$96)</f>
        <v>47.8926489400584</v>
      </c>
      <c r="Y4877" s="0" t="n">
        <f aca="false">SUMPRODUCT(MMULT(I4877:W4877,_XtX!$B$78:$P$92),I4877:W4877)</f>
        <v>0.203746059484649</v>
      </c>
      <c r="Z4877" s="0" t="n">
        <f aca="false">04_回帰ANOVA!$K$19*04_回帰ANOVA!$K$14*SQRT(1+Y4877)</f>
        <v>1.43009810755465</v>
      </c>
      <c r="AA4877" s="0" t="n">
        <f aca="false">X4877-Z4877</f>
        <v>46.4625508325038</v>
      </c>
      <c r="AB4877" s="0" t="n">
        <f aca="false">X4877+Z4877</f>
        <v>49.3227470476131</v>
      </c>
      <c r="AC4877" s="54" t="b">
        <f aca="false">AND(E4877&gt;=01_因子設定!$L$5-0.000000001,E4877&lt;=01_因子設定!$M$5+0.000000001,F4877&gt;=01_因子設定!$L$6-0.000000001,F4877&lt;=01_因子設定!$M$6+0.000000001,G4877&gt;=01_因子設定!$L$7-0.000000001,G4877&lt;=01_因子設定!$M$7+0.000000001,H4877&gt;=01_因子設定!$L$8-0.000000001,H4877&lt;=01_因子設定!$M$8+0.000000001,IF(01_因子設定!$B$20="Box-Behnken",E4877^2+F4877^2+G4877^2+H4877^2&lt;=2+0.000000001,TRUE()))</f>
        <v>1</v>
      </c>
      <c r="AD4877" s="55" t="n">
        <f aca="false">IF(AC4877,IF(01_因子設定!$B$13="最大化",AA4877-01_因子設定!$B$14,IF(01_因子設定!$B$13="最小化",01_因子設定!$B$15-AB4877,MIN(AA4877-01_因子設定!$B$14,01_因子設定!$B$15-AB4877))),-1E+030)</f>
        <v>-0.0374491674962059</v>
      </c>
      <c r="AE4877" s="55" t="n">
        <f aca="false">IF(AC4877,IF(01_因子設定!$B$13="最大化",X4877,IF(01_因子設定!$B$13="最小化",-X4877,-ABS(X4877-01_因子設定!$B$16))),-1E+030)</f>
        <v>47.8926489400584</v>
      </c>
      <c r="AF4877" s="55" t="n">
        <f aca="false">AD4877+ROW()*0.000000001</f>
        <v>-0.0374442904962059</v>
      </c>
      <c r="AG4877" s="55" t="n">
        <f aca="false">AE4877+ROW()*0.000000001</f>
        <v>47.8926538170584</v>
      </c>
    </row>
    <row r="4878" customFormat="false" ht="15" hidden="false" customHeight="false" outlineLevel="0" collapsed="false">
      <c r="A4878" s="0" t="n">
        <v>6</v>
      </c>
      <c r="B4878" s="0" t="n">
        <v>6</v>
      </c>
      <c r="C4878" s="0" t="n">
        <v>1</v>
      </c>
      <c r="D4878" s="0" t="n">
        <v>4</v>
      </c>
      <c r="E4878" s="0" t="n">
        <f aca="false">-1+A4878*0.25</f>
        <v>0.5</v>
      </c>
      <c r="F4878" s="0" t="n">
        <f aca="false">-1+B4878*0.25</f>
        <v>0.5</v>
      </c>
      <c r="G4878" s="0" t="n">
        <f aca="false">-1+C4878*0.25</f>
        <v>-0.75</v>
      </c>
      <c r="H4878" s="0" t="n">
        <f aca="false">-1+D4878*0.25</f>
        <v>0</v>
      </c>
      <c r="I4878" s="0" t="n">
        <f aca="false">1</f>
        <v>1</v>
      </c>
      <c r="J4878" s="0" t="n">
        <f aca="false">E4878</f>
        <v>0.5</v>
      </c>
      <c r="K4878" s="0" t="n">
        <f aca="false">F4878</f>
        <v>0.5</v>
      </c>
      <c r="L4878" s="0" t="n">
        <f aca="false">G4878</f>
        <v>-0.75</v>
      </c>
      <c r="M4878" s="0" t="n">
        <f aca="false">H4878</f>
        <v>0</v>
      </c>
      <c r="N4878" s="0" t="n">
        <f aca="false">E4878*F4878</f>
        <v>0.25</v>
      </c>
      <c r="O4878" s="0" t="n">
        <f aca="false">E4878*G4878</f>
        <v>-0.375</v>
      </c>
      <c r="P4878" s="0" t="n">
        <f aca="false">E4878*H4878</f>
        <v>0</v>
      </c>
      <c r="Q4878" s="0" t="n">
        <f aca="false">F4878*G4878</f>
        <v>-0.375</v>
      </c>
      <c r="R4878" s="0" t="n">
        <f aca="false">F4878*H4878</f>
        <v>0</v>
      </c>
      <c r="S4878" s="0" t="n">
        <f aca="false">G4878*H4878</f>
        <v>-0</v>
      </c>
      <c r="T4878" s="0" t="n">
        <f aca="false">E4878*E4878</f>
        <v>0.25</v>
      </c>
      <c r="U4878" s="0" t="n">
        <f aca="false">F4878*F4878</f>
        <v>0.25</v>
      </c>
      <c r="V4878" s="0" t="n">
        <f aca="false">G4878*G4878</f>
        <v>0.5625</v>
      </c>
      <c r="W4878" s="0" t="n">
        <f aca="false">H4878*H4878</f>
        <v>0</v>
      </c>
      <c r="X4878" s="0" t="n">
        <f aca="false">SUMPRODUCT(I4878:W4878,_XtX!$B$96:$P$96)</f>
        <v>47.9530975877193</v>
      </c>
      <c r="Y4878" s="0" t="n">
        <f aca="false">SUMPRODUCT(MMULT(I4878:W4878,_XtX!$B$78:$P$92),I4878:W4878)</f>
        <v>0.21305052997076</v>
      </c>
      <c r="Z4878" s="0" t="n">
        <f aca="false">04_回帰ANOVA!$K$19*04_回帰ANOVA!$K$14*SQRT(1+Y4878)</f>
        <v>1.43561450835061</v>
      </c>
      <c r="AA4878" s="0" t="n">
        <f aca="false">X4878-Z4878</f>
        <v>46.5174830793687</v>
      </c>
      <c r="AB4878" s="0" t="n">
        <f aca="false">X4878+Z4878</f>
        <v>49.3887120960699</v>
      </c>
      <c r="AC4878" s="54" t="b">
        <f aca="false">AND(E4878&gt;=01_因子設定!$L$5-0.000000001,E4878&lt;=01_因子設定!$M$5+0.000000001,F4878&gt;=01_因子設定!$L$6-0.000000001,F4878&lt;=01_因子設定!$M$6+0.000000001,G4878&gt;=01_因子設定!$L$7-0.000000001,G4878&lt;=01_因子設定!$M$7+0.000000001,H4878&gt;=01_因子設定!$L$8-0.000000001,H4878&lt;=01_因子設定!$M$8+0.000000001,IF(01_因子設定!$B$20="Box-Behnken",E4878^2+F4878^2+G4878^2+H4878^2&lt;=2+0.000000001,TRUE()))</f>
        <v>1</v>
      </c>
      <c r="AD4878" s="55" t="n">
        <f aca="false">IF(AC4878,IF(01_因子設定!$B$13="最大化",AA4878-01_因子設定!$B$14,IF(01_因子設定!$B$13="最小化",01_因子設定!$B$15-AB4878,MIN(AA4878-01_因子設定!$B$14,01_因子設定!$B$15-AB4878))),-1E+030)</f>
        <v>0.0174830793686525</v>
      </c>
      <c r="AE4878" s="55" t="n">
        <f aca="false">IF(AC4878,IF(01_因子設定!$B$13="最大化",X4878,IF(01_因子設定!$B$13="最小化",-X4878,-ABS(X4878-01_因子設定!$B$16))),-1E+030)</f>
        <v>47.9530975877193</v>
      </c>
      <c r="AF4878" s="55" t="n">
        <f aca="false">AD4878+ROW()*0.000000001</f>
        <v>0.0174879573686525</v>
      </c>
      <c r="AG4878" s="55" t="n">
        <f aca="false">AE4878+ROW()*0.000000001</f>
        <v>47.9531024657193</v>
      </c>
    </row>
    <row r="4879" customFormat="false" ht="15" hidden="false" customHeight="false" outlineLevel="0" collapsed="false">
      <c r="A4879" s="0" t="n">
        <v>6</v>
      </c>
      <c r="B4879" s="0" t="n">
        <v>6</v>
      </c>
      <c r="C4879" s="0" t="n">
        <v>1</v>
      </c>
      <c r="D4879" s="0" t="n">
        <v>5</v>
      </c>
      <c r="E4879" s="0" t="n">
        <f aca="false">-1+A4879*0.25</f>
        <v>0.5</v>
      </c>
      <c r="F4879" s="0" t="n">
        <f aca="false">-1+B4879*0.25</f>
        <v>0.5</v>
      </c>
      <c r="G4879" s="0" t="n">
        <f aca="false">-1+C4879*0.25</f>
        <v>-0.75</v>
      </c>
      <c r="H4879" s="0" t="n">
        <f aca="false">-1+D4879*0.25</f>
        <v>0.25</v>
      </c>
      <c r="I4879" s="0" t="n">
        <f aca="false">1</f>
        <v>1</v>
      </c>
      <c r="J4879" s="0" t="n">
        <f aca="false">E4879</f>
        <v>0.5</v>
      </c>
      <c r="K4879" s="0" t="n">
        <f aca="false">F4879</f>
        <v>0.5</v>
      </c>
      <c r="L4879" s="0" t="n">
        <f aca="false">G4879</f>
        <v>-0.75</v>
      </c>
      <c r="M4879" s="0" t="n">
        <f aca="false">H4879</f>
        <v>0.25</v>
      </c>
      <c r="N4879" s="0" t="n">
        <f aca="false">E4879*F4879</f>
        <v>0.25</v>
      </c>
      <c r="O4879" s="0" t="n">
        <f aca="false">E4879*G4879</f>
        <v>-0.375</v>
      </c>
      <c r="P4879" s="0" t="n">
        <f aca="false">E4879*H4879</f>
        <v>0.125</v>
      </c>
      <c r="Q4879" s="0" t="n">
        <f aca="false">F4879*G4879</f>
        <v>-0.375</v>
      </c>
      <c r="R4879" s="0" t="n">
        <f aca="false">F4879*H4879</f>
        <v>0.125</v>
      </c>
      <c r="S4879" s="0" t="n">
        <f aca="false">G4879*H4879</f>
        <v>-0.1875</v>
      </c>
      <c r="T4879" s="0" t="n">
        <f aca="false">E4879*E4879</f>
        <v>0.25</v>
      </c>
      <c r="U4879" s="0" t="n">
        <f aca="false">F4879*F4879</f>
        <v>0.25</v>
      </c>
      <c r="V4879" s="0" t="n">
        <f aca="false">G4879*G4879</f>
        <v>0.5625</v>
      </c>
      <c r="W4879" s="0" t="n">
        <f aca="false">H4879*H4879</f>
        <v>0.0625</v>
      </c>
      <c r="X4879" s="0" t="n">
        <f aca="false">SUMPRODUCT(I4879:W4879,_XtX!$B$96:$P$96)</f>
        <v>47.9657392178362</v>
      </c>
      <c r="Y4879" s="0" t="n">
        <f aca="false">SUMPRODUCT(MMULT(I4879:W4879,_XtX!$B$78:$P$92),I4879:W4879)</f>
        <v>0.203746059484649</v>
      </c>
      <c r="Z4879" s="0" t="n">
        <f aca="false">04_回帰ANOVA!$K$19*04_回帰ANOVA!$K$14*SQRT(1+Y4879)</f>
        <v>1.43009810755465</v>
      </c>
      <c r="AA4879" s="0" t="n">
        <f aca="false">X4879-Z4879</f>
        <v>46.5356411102816</v>
      </c>
      <c r="AB4879" s="0" t="n">
        <f aca="false">X4879+Z4879</f>
        <v>49.3958373253909</v>
      </c>
      <c r="AC4879" s="54" t="b">
        <f aca="false">AND(E4879&gt;=01_因子設定!$L$5-0.000000001,E4879&lt;=01_因子設定!$M$5+0.000000001,F4879&gt;=01_因子設定!$L$6-0.000000001,F4879&lt;=01_因子設定!$M$6+0.000000001,G4879&gt;=01_因子設定!$L$7-0.000000001,G4879&lt;=01_因子設定!$M$7+0.000000001,H4879&gt;=01_因子設定!$L$8-0.000000001,H4879&lt;=01_因子設定!$M$8+0.000000001,IF(01_因子設定!$B$20="Box-Behnken",E4879^2+F4879^2+G4879^2+H4879^2&lt;=2+0.000000001,TRUE()))</f>
        <v>1</v>
      </c>
      <c r="AD4879" s="55" t="n">
        <f aca="false">IF(AC4879,IF(01_因子設定!$B$13="最大化",AA4879-01_因子設定!$B$14,IF(01_因子設定!$B$13="最小化",01_因子設定!$B$15-AB4879,MIN(AA4879-01_因子設定!$B$14,01_因子設定!$B$15-AB4879))),-1E+030)</f>
        <v>0.035641110281567</v>
      </c>
      <c r="AE4879" s="55" t="n">
        <f aca="false">IF(AC4879,IF(01_因子設定!$B$13="最大化",X4879,IF(01_因子設定!$B$13="最小化",-X4879,-ABS(X4879-01_因子設定!$B$16))),-1E+030)</f>
        <v>47.9657392178362</v>
      </c>
      <c r="AF4879" s="55" t="n">
        <f aca="false">AD4879+ROW()*0.000000001</f>
        <v>0.035645989281567</v>
      </c>
      <c r="AG4879" s="55" t="n">
        <f aca="false">AE4879+ROW()*0.000000001</f>
        <v>47.9657440968362</v>
      </c>
    </row>
    <row r="4880" customFormat="false" ht="15" hidden="false" customHeight="false" outlineLevel="0" collapsed="false">
      <c r="A4880" s="0" t="n">
        <v>6</v>
      </c>
      <c r="B4880" s="0" t="n">
        <v>6</v>
      </c>
      <c r="C4880" s="0" t="n">
        <v>1</v>
      </c>
      <c r="D4880" s="0" t="n">
        <v>6</v>
      </c>
      <c r="E4880" s="0" t="n">
        <f aca="false">-1+A4880*0.25</f>
        <v>0.5</v>
      </c>
      <c r="F4880" s="0" t="n">
        <f aca="false">-1+B4880*0.25</f>
        <v>0.5</v>
      </c>
      <c r="G4880" s="0" t="n">
        <f aca="false">-1+C4880*0.25</f>
        <v>-0.75</v>
      </c>
      <c r="H4880" s="0" t="n">
        <f aca="false">-1+D4880*0.25</f>
        <v>0.5</v>
      </c>
      <c r="I4880" s="0" t="n">
        <f aca="false">1</f>
        <v>1</v>
      </c>
      <c r="J4880" s="0" t="n">
        <f aca="false">E4880</f>
        <v>0.5</v>
      </c>
      <c r="K4880" s="0" t="n">
        <f aca="false">F4880</f>
        <v>0.5</v>
      </c>
      <c r="L4880" s="0" t="n">
        <f aca="false">G4880</f>
        <v>-0.75</v>
      </c>
      <c r="M4880" s="0" t="n">
        <f aca="false">H4880</f>
        <v>0.5</v>
      </c>
      <c r="N4880" s="0" t="n">
        <f aca="false">E4880*F4880</f>
        <v>0.25</v>
      </c>
      <c r="O4880" s="0" t="n">
        <f aca="false">E4880*G4880</f>
        <v>-0.375</v>
      </c>
      <c r="P4880" s="0" t="n">
        <f aca="false">E4880*H4880</f>
        <v>0.25</v>
      </c>
      <c r="Q4880" s="0" t="n">
        <f aca="false">F4880*G4880</f>
        <v>-0.375</v>
      </c>
      <c r="R4880" s="0" t="n">
        <f aca="false">F4880*H4880</f>
        <v>0.25</v>
      </c>
      <c r="S4880" s="0" t="n">
        <f aca="false">G4880*H4880</f>
        <v>-0.375</v>
      </c>
      <c r="T4880" s="0" t="n">
        <f aca="false">E4880*E4880</f>
        <v>0.25</v>
      </c>
      <c r="U4880" s="0" t="n">
        <f aca="false">F4880*F4880</f>
        <v>0.25</v>
      </c>
      <c r="V4880" s="0" t="n">
        <f aca="false">G4880*G4880</f>
        <v>0.5625</v>
      </c>
      <c r="W4880" s="0" t="n">
        <f aca="false">H4880*H4880</f>
        <v>0.25</v>
      </c>
      <c r="X4880" s="0" t="n">
        <f aca="false">SUMPRODUCT(I4880:W4880,_XtX!$B$96:$P$96)</f>
        <v>47.9305738304093</v>
      </c>
      <c r="Y4880" s="0" t="n">
        <f aca="false">SUMPRODUCT(MMULT(I4880:W4880,_XtX!$B$78:$P$92),I4880:W4880)</f>
        <v>0.193924753289474</v>
      </c>
      <c r="Z4880" s="0" t="n">
        <f aca="false">04_回帰ANOVA!$K$19*04_回帰ANOVA!$K$14*SQRT(1+Y4880)</f>
        <v>1.4242521079916</v>
      </c>
      <c r="AA4880" s="0" t="n">
        <f aca="false">X4880-Z4880</f>
        <v>46.5063217224177</v>
      </c>
      <c r="AB4880" s="0" t="n">
        <f aca="false">X4880+Z4880</f>
        <v>49.3548259384009</v>
      </c>
      <c r="AC4880" s="54" t="b">
        <f aca="false">AND(E4880&gt;=01_因子設定!$L$5-0.000000001,E4880&lt;=01_因子設定!$M$5+0.000000001,F4880&gt;=01_因子設定!$L$6-0.000000001,F4880&lt;=01_因子設定!$M$6+0.000000001,G4880&gt;=01_因子設定!$L$7-0.000000001,G4880&lt;=01_因子設定!$M$7+0.000000001,H4880&gt;=01_因子設定!$L$8-0.000000001,H4880&lt;=01_因子設定!$M$8+0.000000001,IF(01_因子設定!$B$20="Box-Behnken",E4880^2+F4880^2+G4880^2+H4880^2&lt;=2+0.000000001,TRUE()))</f>
        <v>1</v>
      </c>
      <c r="AD4880" s="55" t="n">
        <f aca="false">IF(AC4880,IF(01_因子設定!$B$13="最大化",AA4880-01_因子設定!$B$14,IF(01_因子設定!$B$13="最小化",01_因子設定!$B$15-AB4880,MIN(AA4880-01_因子設定!$B$14,01_因子設定!$B$15-AB4880))),-1E+030)</f>
        <v>0.00632172241772366</v>
      </c>
      <c r="AE4880" s="55" t="n">
        <f aca="false">IF(AC4880,IF(01_因子設定!$B$13="最大化",X4880,IF(01_因子設定!$B$13="最小化",-X4880,-ABS(X4880-01_因子設定!$B$16))),-1E+030)</f>
        <v>47.9305738304093</v>
      </c>
      <c r="AF4880" s="55" t="n">
        <f aca="false">AD4880+ROW()*0.000000001</f>
        <v>0.00632660241772366</v>
      </c>
      <c r="AG4880" s="55" t="n">
        <f aca="false">AE4880+ROW()*0.000000001</f>
        <v>47.9305787104093</v>
      </c>
    </row>
    <row r="4881" customFormat="false" ht="15" hidden="false" customHeight="false" outlineLevel="0" collapsed="false">
      <c r="A4881" s="0" t="n">
        <v>6</v>
      </c>
      <c r="B4881" s="0" t="n">
        <v>6</v>
      </c>
      <c r="C4881" s="0" t="n">
        <v>1</v>
      </c>
      <c r="D4881" s="0" t="n">
        <v>7</v>
      </c>
      <c r="E4881" s="0" t="n">
        <f aca="false">-1+A4881*0.25</f>
        <v>0.5</v>
      </c>
      <c r="F4881" s="0" t="n">
        <f aca="false">-1+B4881*0.25</f>
        <v>0.5</v>
      </c>
      <c r="G4881" s="0" t="n">
        <f aca="false">-1+C4881*0.25</f>
        <v>-0.75</v>
      </c>
      <c r="H4881" s="0" t="n">
        <f aca="false">-1+D4881*0.25</f>
        <v>0.75</v>
      </c>
      <c r="I4881" s="0" t="n">
        <f aca="false">1</f>
        <v>1</v>
      </c>
      <c r="J4881" s="0" t="n">
        <f aca="false">E4881</f>
        <v>0.5</v>
      </c>
      <c r="K4881" s="0" t="n">
        <f aca="false">F4881</f>
        <v>0.5</v>
      </c>
      <c r="L4881" s="0" t="n">
        <f aca="false">G4881</f>
        <v>-0.75</v>
      </c>
      <c r="M4881" s="0" t="n">
        <f aca="false">H4881</f>
        <v>0.75</v>
      </c>
      <c r="N4881" s="0" t="n">
        <f aca="false">E4881*F4881</f>
        <v>0.25</v>
      </c>
      <c r="O4881" s="0" t="n">
        <f aca="false">E4881*G4881</f>
        <v>-0.375</v>
      </c>
      <c r="P4881" s="0" t="n">
        <f aca="false">E4881*H4881</f>
        <v>0.375</v>
      </c>
      <c r="Q4881" s="0" t="n">
        <f aca="false">F4881*G4881</f>
        <v>-0.375</v>
      </c>
      <c r="R4881" s="0" t="n">
        <f aca="false">F4881*H4881</f>
        <v>0.375</v>
      </c>
      <c r="S4881" s="0" t="n">
        <f aca="false">G4881*H4881</f>
        <v>-0.5625</v>
      </c>
      <c r="T4881" s="0" t="n">
        <f aca="false">E4881*E4881</f>
        <v>0.25</v>
      </c>
      <c r="U4881" s="0" t="n">
        <f aca="false">F4881*F4881</f>
        <v>0.25</v>
      </c>
      <c r="V4881" s="0" t="n">
        <f aca="false">G4881*G4881</f>
        <v>0.5625</v>
      </c>
      <c r="W4881" s="0" t="n">
        <f aca="false">H4881*H4881</f>
        <v>0.5625</v>
      </c>
      <c r="X4881" s="0" t="n">
        <f aca="false">SUMPRODUCT(I4881:W4881,_XtX!$B$96:$P$96)</f>
        <v>47.8476014254386</v>
      </c>
      <c r="Y4881" s="0" t="n">
        <f aca="false">SUMPRODUCT(MMULT(I4881:W4881,_XtX!$B$78:$P$92),I4881:W4881)</f>
        <v>0.237862927174708</v>
      </c>
      <c r="Z4881" s="0" t="n">
        <f aca="false">04_回帰ANOVA!$K$19*04_回帰ANOVA!$K$14*SQRT(1+Y4881)</f>
        <v>1.45022260708756</v>
      </c>
      <c r="AA4881" s="0" t="n">
        <f aca="false">X4881-Z4881</f>
        <v>46.397378818351</v>
      </c>
      <c r="AB4881" s="0" t="n">
        <f aca="false">X4881+Z4881</f>
        <v>49.2978240325261</v>
      </c>
      <c r="AC4881" s="54" t="b">
        <f aca="false">AND(E4881&gt;=01_因子設定!$L$5-0.000000001,E4881&lt;=01_因子設定!$M$5+0.000000001,F4881&gt;=01_因子設定!$L$6-0.000000001,F4881&lt;=01_因子設定!$M$6+0.000000001,G4881&gt;=01_因子設定!$L$7-0.000000001,G4881&lt;=01_因子設定!$M$7+0.000000001,H4881&gt;=01_因子設定!$L$8-0.000000001,H4881&lt;=01_因子設定!$M$8+0.000000001,IF(01_因子設定!$B$20="Box-Behnken",E4881^2+F4881^2+G4881^2+H4881^2&lt;=2+0.000000001,TRUE()))</f>
        <v>1</v>
      </c>
      <c r="AD4881" s="55" t="n">
        <f aca="false">IF(AC4881,IF(01_因子設定!$B$13="最大化",AA4881-01_因子設定!$B$14,IF(01_因子設定!$B$13="最小化",01_因子設定!$B$15-AB4881,MIN(AA4881-01_因子設定!$B$14,01_因子設定!$B$15-AB4881))),-1E+030)</f>
        <v>-0.102621181648985</v>
      </c>
      <c r="AE4881" s="55" t="n">
        <f aca="false">IF(AC4881,IF(01_因子設定!$B$13="最大化",X4881,IF(01_因子設定!$B$13="最小化",-X4881,-ABS(X4881-01_因子設定!$B$16))),-1E+030)</f>
        <v>47.8476014254386</v>
      </c>
      <c r="AF4881" s="55" t="n">
        <f aca="false">AD4881+ROW()*0.000000001</f>
        <v>-0.102616300648985</v>
      </c>
      <c r="AG4881" s="55" t="n">
        <f aca="false">AE4881+ROW()*0.000000001</f>
        <v>47.8476063064386</v>
      </c>
    </row>
    <row r="4882" customFormat="false" ht="15" hidden="false" customHeight="false" outlineLevel="0" collapsed="false">
      <c r="A4882" s="0" t="n">
        <v>6</v>
      </c>
      <c r="B4882" s="0" t="n">
        <v>6</v>
      </c>
      <c r="C4882" s="0" t="n">
        <v>1</v>
      </c>
      <c r="D4882" s="0" t="n">
        <v>8</v>
      </c>
      <c r="E4882" s="0" t="n">
        <f aca="false">-1+A4882*0.25</f>
        <v>0.5</v>
      </c>
      <c r="F4882" s="0" t="n">
        <f aca="false">-1+B4882*0.25</f>
        <v>0.5</v>
      </c>
      <c r="G4882" s="0" t="n">
        <f aca="false">-1+C4882*0.25</f>
        <v>-0.75</v>
      </c>
      <c r="H4882" s="0" t="n">
        <f aca="false">-1+D4882*0.25</f>
        <v>1</v>
      </c>
      <c r="I4882" s="0" t="n">
        <f aca="false">1</f>
        <v>1</v>
      </c>
      <c r="J4882" s="0" t="n">
        <f aca="false">E4882</f>
        <v>0.5</v>
      </c>
      <c r="K4882" s="0" t="n">
        <f aca="false">F4882</f>
        <v>0.5</v>
      </c>
      <c r="L4882" s="0" t="n">
        <f aca="false">G4882</f>
        <v>-0.75</v>
      </c>
      <c r="M4882" s="0" t="n">
        <f aca="false">H4882</f>
        <v>1</v>
      </c>
      <c r="N4882" s="0" t="n">
        <f aca="false">E4882*F4882</f>
        <v>0.25</v>
      </c>
      <c r="O4882" s="0" t="n">
        <f aca="false">E4882*G4882</f>
        <v>-0.375</v>
      </c>
      <c r="P4882" s="0" t="n">
        <f aca="false">E4882*H4882</f>
        <v>0.5</v>
      </c>
      <c r="Q4882" s="0" t="n">
        <f aca="false">F4882*G4882</f>
        <v>-0.375</v>
      </c>
      <c r="R4882" s="0" t="n">
        <f aca="false">F4882*H4882</f>
        <v>0.5</v>
      </c>
      <c r="S4882" s="0" t="n">
        <f aca="false">G4882*H4882</f>
        <v>-0.75</v>
      </c>
      <c r="T4882" s="0" t="n">
        <f aca="false">E4882*E4882</f>
        <v>0.25</v>
      </c>
      <c r="U4882" s="0" t="n">
        <f aca="false">F4882*F4882</f>
        <v>0.25</v>
      </c>
      <c r="V4882" s="0" t="n">
        <f aca="false">G4882*G4882</f>
        <v>0.5625</v>
      </c>
      <c r="W4882" s="0" t="n">
        <f aca="false">H4882*H4882</f>
        <v>1</v>
      </c>
      <c r="X4882" s="0" t="n">
        <f aca="false">SUMPRODUCT(I4882:W4882,_XtX!$B$96:$P$96)</f>
        <v>47.716822002924</v>
      </c>
      <c r="Y4882" s="0" t="n">
        <f aca="false">SUMPRODUCT(MMULT(I4882:W4882,_XtX!$B$78:$P$92),I4882:W4882)</f>
        <v>0.42602110745614</v>
      </c>
      <c r="Z4882" s="0" t="n">
        <f aca="false">04_回帰ANOVA!$K$19*04_回帰ANOVA!$K$14*SQRT(1+Y4882)</f>
        <v>1.55654388501114</v>
      </c>
      <c r="AA4882" s="0" t="n">
        <f aca="false">X4882-Z4882</f>
        <v>46.1602781179128</v>
      </c>
      <c r="AB4882" s="0" t="n">
        <f aca="false">X4882+Z4882</f>
        <v>49.2733658879351</v>
      </c>
      <c r="AC4882" s="54" t="b">
        <f aca="false">AND(E4882&gt;=01_因子設定!$L$5-0.000000001,E4882&lt;=01_因子設定!$M$5+0.000000001,F4882&gt;=01_因子設定!$L$6-0.000000001,F4882&lt;=01_因子設定!$M$6+0.000000001,G4882&gt;=01_因子設定!$L$7-0.000000001,G4882&lt;=01_因子設定!$M$7+0.000000001,H4882&gt;=01_因子設定!$L$8-0.000000001,H4882&lt;=01_因子設定!$M$8+0.000000001,IF(01_因子設定!$B$20="Box-Behnken",E4882^2+F4882^2+G4882^2+H4882^2&lt;=2+0.000000001,TRUE()))</f>
        <v>1</v>
      </c>
      <c r="AD4882" s="55" t="n">
        <f aca="false">IF(AC4882,IF(01_因子設定!$B$13="最大化",AA4882-01_因子設定!$B$14,IF(01_因子設定!$B$13="最小化",01_因子設定!$B$15-AB4882,MIN(AA4882-01_因子設定!$B$14,01_因子設定!$B$15-AB4882))),-1E+030)</f>
        <v>-0.339721882087169</v>
      </c>
      <c r="AE4882" s="55" t="n">
        <f aca="false">IF(AC4882,IF(01_因子設定!$B$13="最大化",X4882,IF(01_因子設定!$B$13="最小化",-X4882,-ABS(X4882-01_因子設定!$B$16))),-1E+030)</f>
        <v>47.716822002924</v>
      </c>
      <c r="AF4882" s="55" t="n">
        <f aca="false">AD4882+ROW()*0.000000001</f>
        <v>-0.339717000087169</v>
      </c>
      <c r="AG4882" s="55" t="n">
        <f aca="false">AE4882+ROW()*0.000000001</f>
        <v>47.716826884924</v>
      </c>
    </row>
    <row r="4883" customFormat="false" ht="15" hidden="false" customHeight="false" outlineLevel="0" collapsed="false">
      <c r="A4883" s="0" t="n">
        <v>6</v>
      </c>
      <c r="B4883" s="0" t="n">
        <v>6</v>
      </c>
      <c r="C4883" s="0" t="n">
        <v>2</v>
      </c>
      <c r="D4883" s="0" t="n">
        <v>0</v>
      </c>
      <c r="E4883" s="0" t="n">
        <f aca="false">-1+A4883*0.25</f>
        <v>0.5</v>
      </c>
      <c r="F4883" s="0" t="n">
        <f aca="false">-1+B4883*0.25</f>
        <v>0.5</v>
      </c>
      <c r="G4883" s="0" t="n">
        <f aca="false">-1+C4883*0.25</f>
        <v>-0.5</v>
      </c>
      <c r="H4883" s="0" t="n">
        <f aca="false">-1+D4883*0.25</f>
        <v>-1</v>
      </c>
      <c r="I4883" s="0" t="n">
        <f aca="false">1</f>
        <v>1</v>
      </c>
      <c r="J4883" s="0" t="n">
        <f aca="false">E4883</f>
        <v>0.5</v>
      </c>
      <c r="K4883" s="0" t="n">
        <f aca="false">F4883</f>
        <v>0.5</v>
      </c>
      <c r="L4883" s="0" t="n">
        <f aca="false">G4883</f>
        <v>-0.5</v>
      </c>
      <c r="M4883" s="0" t="n">
        <f aca="false">H4883</f>
        <v>-1</v>
      </c>
      <c r="N4883" s="0" t="n">
        <f aca="false">E4883*F4883</f>
        <v>0.25</v>
      </c>
      <c r="O4883" s="0" t="n">
        <f aca="false">E4883*G4883</f>
        <v>-0.25</v>
      </c>
      <c r="P4883" s="0" t="n">
        <f aca="false">E4883*H4883</f>
        <v>-0.5</v>
      </c>
      <c r="Q4883" s="0" t="n">
        <f aca="false">F4883*G4883</f>
        <v>-0.25</v>
      </c>
      <c r="R4883" s="0" t="n">
        <f aca="false">F4883*H4883</f>
        <v>-0.5</v>
      </c>
      <c r="S4883" s="0" t="n">
        <f aca="false">G4883*H4883</f>
        <v>0.5</v>
      </c>
      <c r="T4883" s="0" t="n">
        <f aca="false">E4883*E4883</f>
        <v>0.25</v>
      </c>
      <c r="U4883" s="0" t="n">
        <f aca="false">F4883*F4883</f>
        <v>0.25</v>
      </c>
      <c r="V4883" s="0" t="n">
        <f aca="false">G4883*G4883</f>
        <v>0.25</v>
      </c>
      <c r="W4883" s="0" t="n">
        <f aca="false">H4883*H4883</f>
        <v>1</v>
      </c>
      <c r="X4883" s="0" t="n">
        <f aca="false">SUMPRODUCT(I4883:W4883,_XtX!$B$96:$P$96)</f>
        <v>47.7694992690058</v>
      </c>
      <c r="Y4883" s="0" t="n">
        <f aca="false">SUMPRODUCT(MMULT(I4883:W4883,_XtX!$B$78:$P$92),I4883:W4883)</f>
        <v>0.404719480994152</v>
      </c>
      <c r="Z4883" s="0" t="n">
        <f aca="false">04_回帰ANOVA!$K$19*04_回帰ANOVA!$K$14*SQRT(1+Y4883)</f>
        <v>1.54487446697867</v>
      </c>
      <c r="AA4883" s="0" t="n">
        <f aca="false">X4883-Z4883</f>
        <v>46.2246248020272</v>
      </c>
      <c r="AB4883" s="0" t="n">
        <f aca="false">X4883+Z4883</f>
        <v>49.3143737359845</v>
      </c>
      <c r="AC4883" s="54" t="b">
        <f aca="false">AND(E4883&gt;=01_因子設定!$L$5-0.000000001,E4883&lt;=01_因子設定!$M$5+0.000000001,F4883&gt;=01_因子設定!$L$6-0.000000001,F4883&lt;=01_因子設定!$M$6+0.000000001,G4883&gt;=01_因子設定!$L$7-0.000000001,G4883&lt;=01_因子設定!$M$7+0.000000001,H4883&gt;=01_因子設定!$L$8-0.000000001,H4883&lt;=01_因子設定!$M$8+0.000000001,IF(01_因子設定!$B$20="Box-Behnken",E4883^2+F4883^2+G4883^2+H4883^2&lt;=2+0.000000001,TRUE()))</f>
        <v>1</v>
      </c>
      <c r="AD4883" s="55" t="n">
        <f aca="false">IF(AC4883,IF(01_因子設定!$B$13="最大化",AA4883-01_因子設定!$B$14,IF(01_因子設定!$B$13="最小化",01_因子設定!$B$15-AB4883,MIN(AA4883-01_因子設定!$B$14,01_因子設定!$B$15-AB4883))),-1E+030)</f>
        <v>-0.275375197972835</v>
      </c>
      <c r="AE4883" s="55" t="n">
        <f aca="false">IF(AC4883,IF(01_因子設定!$B$13="最大化",X4883,IF(01_因子設定!$B$13="最小化",-X4883,-ABS(X4883-01_因子設定!$B$16))),-1E+030)</f>
        <v>47.7694992690058</v>
      </c>
      <c r="AF4883" s="55" t="n">
        <f aca="false">AD4883+ROW()*0.000000001</f>
        <v>-0.275370314972835</v>
      </c>
      <c r="AG4883" s="55" t="n">
        <f aca="false">AE4883+ROW()*0.000000001</f>
        <v>47.7695041520058</v>
      </c>
    </row>
    <row r="4884" customFormat="false" ht="15" hidden="false" customHeight="false" outlineLevel="0" collapsed="false">
      <c r="A4884" s="0" t="n">
        <v>6</v>
      </c>
      <c r="B4884" s="0" t="n">
        <v>6</v>
      </c>
      <c r="C4884" s="0" t="n">
        <v>2</v>
      </c>
      <c r="D4884" s="0" t="n">
        <v>1</v>
      </c>
      <c r="E4884" s="0" t="n">
        <f aca="false">-1+A4884*0.25</f>
        <v>0.5</v>
      </c>
      <c r="F4884" s="0" t="n">
        <f aca="false">-1+B4884*0.25</f>
        <v>0.5</v>
      </c>
      <c r="G4884" s="0" t="n">
        <f aca="false">-1+C4884*0.25</f>
        <v>-0.5</v>
      </c>
      <c r="H4884" s="0" t="n">
        <f aca="false">-1+D4884*0.25</f>
        <v>-0.75</v>
      </c>
      <c r="I4884" s="0" t="n">
        <f aca="false">1</f>
        <v>1</v>
      </c>
      <c r="J4884" s="0" t="n">
        <f aca="false">E4884</f>
        <v>0.5</v>
      </c>
      <c r="K4884" s="0" t="n">
        <f aca="false">F4884</f>
        <v>0.5</v>
      </c>
      <c r="L4884" s="0" t="n">
        <f aca="false">G4884</f>
        <v>-0.5</v>
      </c>
      <c r="M4884" s="0" t="n">
        <f aca="false">H4884</f>
        <v>-0.75</v>
      </c>
      <c r="N4884" s="0" t="n">
        <f aca="false">E4884*F4884</f>
        <v>0.25</v>
      </c>
      <c r="O4884" s="0" t="n">
        <f aca="false">E4884*G4884</f>
        <v>-0.25</v>
      </c>
      <c r="P4884" s="0" t="n">
        <f aca="false">E4884*H4884</f>
        <v>-0.375</v>
      </c>
      <c r="Q4884" s="0" t="n">
        <f aca="false">F4884*G4884</f>
        <v>-0.25</v>
      </c>
      <c r="R4884" s="0" t="n">
        <f aca="false">F4884*H4884</f>
        <v>-0.375</v>
      </c>
      <c r="S4884" s="0" t="n">
        <f aca="false">G4884*H4884</f>
        <v>0.375</v>
      </c>
      <c r="T4884" s="0" t="n">
        <f aca="false">E4884*E4884</f>
        <v>0.25</v>
      </c>
      <c r="U4884" s="0" t="n">
        <f aca="false">F4884*F4884</f>
        <v>0.25</v>
      </c>
      <c r="V4884" s="0" t="n">
        <f aca="false">G4884*G4884</f>
        <v>0.25</v>
      </c>
      <c r="W4884" s="0" t="n">
        <f aca="false">H4884*H4884</f>
        <v>0.5625</v>
      </c>
      <c r="X4884" s="0" t="n">
        <f aca="false">SUMPRODUCT(I4884:W4884,_XtX!$B$96:$P$96)</f>
        <v>47.9913377192982</v>
      </c>
      <c r="Y4884" s="0" t="n">
        <f aca="false">SUMPRODUCT(MMULT(I4884:W4884,_XtX!$B$78:$P$92),I4884:W4884)</f>
        <v>0.193924753289474</v>
      </c>
      <c r="Z4884" s="0" t="n">
        <f aca="false">04_回帰ANOVA!$K$19*04_回帰ANOVA!$K$14*SQRT(1+Y4884)</f>
        <v>1.4242521079916</v>
      </c>
      <c r="AA4884" s="0" t="n">
        <f aca="false">X4884-Z4884</f>
        <v>46.5670856113066</v>
      </c>
      <c r="AB4884" s="0" t="n">
        <f aca="false">X4884+Z4884</f>
        <v>49.4155898272898</v>
      </c>
      <c r="AC4884" s="54" t="b">
        <f aca="false">AND(E4884&gt;=01_因子設定!$L$5-0.000000001,E4884&lt;=01_因子設定!$M$5+0.000000001,F4884&gt;=01_因子設定!$L$6-0.000000001,F4884&lt;=01_因子設定!$M$6+0.000000001,G4884&gt;=01_因子設定!$L$7-0.000000001,G4884&lt;=01_因子設定!$M$7+0.000000001,H4884&gt;=01_因子設定!$L$8-0.000000001,H4884&lt;=01_因子設定!$M$8+0.000000001,IF(01_因子設定!$B$20="Box-Behnken",E4884^2+F4884^2+G4884^2+H4884^2&lt;=2+0.000000001,TRUE()))</f>
        <v>1</v>
      </c>
      <c r="AD4884" s="55" t="n">
        <f aca="false">IF(AC4884,IF(01_因子設定!$B$13="最大化",AA4884-01_因子設定!$B$14,IF(01_因子設定!$B$13="最小化",01_因子設定!$B$15-AB4884,MIN(AA4884-01_因子設定!$B$14,01_因子設定!$B$15-AB4884))),-1E+030)</f>
        <v>0.0670856113066236</v>
      </c>
      <c r="AE4884" s="55" t="n">
        <f aca="false">IF(AC4884,IF(01_因子設定!$B$13="最大化",X4884,IF(01_因子設定!$B$13="最小化",-X4884,-ABS(X4884-01_因子設定!$B$16))),-1E+030)</f>
        <v>47.9913377192982</v>
      </c>
      <c r="AF4884" s="55" t="n">
        <f aca="false">AD4884+ROW()*0.000000001</f>
        <v>0.0670904953066236</v>
      </c>
      <c r="AG4884" s="55" t="n">
        <f aca="false">AE4884+ROW()*0.000000001</f>
        <v>47.9913426032982</v>
      </c>
    </row>
    <row r="4885" customFormat="false" ht="15" hidden="false" customHeight="false" outlineLevel="0" collapsed="false">
      <c r="A4885" s="0" t="n">
        <v>6</v>
      </c>
      <c r="B4885" s="0" t="n">
        <v>6</v>
      </c>
      <c r="C4885" s="0" t="n">
        <v>2</v>
      </c>
      <c r="D4885" s="0" t="n">
        <v>2</v>
      </c>
      <c r="E4885" s="0" t="n">
        <f aca="false">-1+A4885*0.25</f>
        <v>0.5</v>
      </c>
      <c r="F4885" s="0" t="n">
        <f aca="false">-1+B4885*0.25</f>
        <v>0.5</v>
      </c>
      <c r="G4885" s="0" t="n">
        <f aca="false">-1+C4885*0.25</f>
        <v>-0.5</v>
      </c>
      <c r="H4885" s="0" t="n">
        <f aca="false">-1+D4885*0.25</f>
        <v>-0.5</v>
      </c>
      <c r="I4885" s="0" t="n">
        <f aca="false">1</f>
        <v>1</v>
      </c>
      <c r="J4885" s="0" t="n">
        <f aca="false">E4885</f>
        <v>0.5</v>
      </c>
      <c r="K4885" s="0" t="n">
        <f aca="false">F4885</f>
        <v>0.5</v>
      </c>
      <c r="L4885" s="0" t="n">
        <f aca="false">G4885</f>
        <v>-0.5</v>
      </c>
      <c r="M4885" s="0" t="n">
        <f aca="false">H4885</f>
        <v>-0.5</v>
      </c>
      <c r="N4885" s="0" t="n">
        <f aca="false">E4885*F4885</f>
        <v>0.25</v>
      </c>
      <c r="O4885" s="0" t="n">
        <f aca="false">E4885*G4885</f>
        <v>-0.25</v>
      </c>
      <c r="P4885" s="0" t="n">
        <f aca="false">E4885*H4885</f>
        <v>-0.25</v>
      </c>
      <c r="Q4885" s="0" t="n">
        <f aca="false">F4885*G4885</f>
        <v>-0.25</v>
      </c>
      <c r="R4885" s="0" t="n">
        <f aca="false">F4885*H4885</f>
        <v>-0.25</v>
      </c>
      <c r="S4885" s="0" t="n">
        <f aca="false">G4885*H4885</f>
        <v>0.25</v>
      </c>
      <c r="T4885" s="0" t="n">
        <f aca="false">E4885*E4885</f>
        <v>0.25</v>
      </c>
      <c r="U4885" s="0" t="n">
        <f aca="false">F4885*F4885</f>
        <v>0.25</v>
      </c>
      <c r="V4885" s="0" t="n">
        <f aca="false">G4885*G4885</f>
        <v>0.25</v>
      </c>
      <c r="W4885" s="0" t="n">
        <f aca="false">H4885*H4885</f>
        <v>0.25</v>
      </c>
      <c r="X4885" s="0" t="n">
        <f aca="false">SUMPRODUCT(I4885:W4885,_XtX!$B$96:$P$96)</f>
        <v>48.1653691520468</v>
      </c>
      <c r="Y4885" s="0" t="n">
        <f aca="false">SUMPRODUCT(MMULT(I4885:W4885,_XtX!$B$78:$P$92),I4885:W4885)</f>
        <v>0.133817616959064</v>
      </c>
      <c r="Z4885" s="0" t="n">
        <f aca="false">04_回帰ANOVA!$K$19*04_回帰ANOVA!$K$14*SQRT(1+Y4885)</f>
        <v>1.38793776569887</v>
      </c>
      <c r="AA4885" s="0" t="n">
        <f aca="false">X4885-Z4885</f>
        <v>46.7774313863479</v>
      </c>
      <c r="AB4885" s="0" t="n">
        <f aca="false">X4885+Z4885</f>
        <v>49.5533069177456</v>
      </c>
      <c r="AC4885" s="54" t="b">
        <f aca="false">AND(E4885&gt;=01_因子設定!$L$5-0.000000001,E4885&lt;=01_因子設定!$M$5+0.000000001,F4885&gt;=01_因子設定!$L$6-0.000000001,F4885&lt;=01_因子設定!$M$6+0.000000001,G4885&gt;=01_因子設定!$L$7-0.000000001,G4885&lt;=01_因子設定!$M$7+0.000000001,H4885&gt;=01_因子設定!$L$8-0.000000001,H4885&lt;=01_因子設定!$M$8+0.000000001,IF(01_因子設定!$B$20="Box-Behnken",E4885^2+F4885^2+G4885^2+H4885^2&lt;=2+0.000000001,TRUE()))</f>
        <v>1</v>
      </c>
      <c r="AD4885" s="55" t="n">
        <f aca="false">IF(AC4885,IF(01_因子設定!$B$13="最大化",AA4885-01_因子設定!$B$14,IF(01_因子設定!$B$13="最小化",01_因子設定!$B$15-AB4885,MIN(AA4885-01_因子設定!$B$14,01_因子設定!$B$15-AB4885))),-1E+030)</f>
        <v>0.277431386347885</v>
      </c>
      <c r="AE4885" s="55" t="n">
        <f aca="false">IF(AC4885,IF(01_因子設定!$B$13="最大化",X4885,IF(01_因子設定!$B$13="最小化",-X4885,-ABS(X4885-01_因子設定!$B$16))),-1E+030)</f>
        <v>48.1653691520468</v>
      </c>
      <c r="AF4885" s="55" t="n">
        <f aca="false">AD4885+ROW()*0.000000001</f>
        <v>0.277436271347885</v>
      </c>
      <c r="AG4885" s="55" t="n">
        <f aca="false">AE4885+ROW()*0.000000001</f>
        <v>48.1653740370468</v>
      </c>
    </row>
    <row r="4886" customFormat="false" ht="15" hidden="false" customHeight="false" outlineLevel="0" collapsed="false">
      <c r="A4886" s="0" t="n">
        <v>6</v>
      </c>
      <c r="B4886" s="0" t="n">
        <v>6</v>
      </c>
      <c r="C4886" s="0" t="n">
        <v>2</v>
      </c>
      <c r="D4886" s="0" t="n">
        <v>3</v>
      </c>
      <c r="E4886" s="0" t="n">
        <f aca="false">-1+A4886*0.25</f>
        <v>0.5</v>
      </c>
      <c r="F4886" s="0" t="n">
        <f aca="false">-1+B4886*0.25</f>
        <v>0.5</v>
      </c>
      <c r="G4886" s="0" t="n">
        <f aca="false">-1+C4886*0.25</f>
        <v>-0.5</v>
      </c>
      <c r="H4886" s="0" t="n">
        <f aca="false">-1+D4886*0.25</f>
        <v>-0.25</v>
      </c>
      <c r="I4886" s="0" t="n">
        <f aca="false">1</f>
        <v>1</v>
      </c>
      <c r="J4886" s="0" t="n">
        <f aca="false">E4886</f>
        <v>0.5</v>
      </c>
      <c r="K4886" s="0" t="n">
        <f aca="false">F4886</f>
        <v>0.5</v>
      </c>
      <c r="L4886" s="0" t="n">
        <f aca="false">G4886</f>
        <v>-0.5</v>
      </c>
      <c r="M4886" s="0" t="n">
        <f aca="false">H4886</f>
        <v>-0.25</v>
      </c>
      <c r="N4886" s="0" t="n">
        <f aca="false">E4886*F4886</f>
        <v>0.25</v>
      </c>
      <c r="O4886" s="0" t="n">
        <f aca="false">E4886*G4886</f>
        <v>-0.25</v>
      </c>
      <c r="P4886" s="0" t="n">
        <f aca="false">E4886*H4886</f>
        <v>-0.125</v>
      </c>
      <c r="Q4886" s="0" t="n">
        <f aca="false">F4886*G4886</f>
        <v>-0.25</v>
      </c>
      <c r="R4886" s="0" t="n">
        <f aca="false">F4886*H4886</f>
        <v>-0.125</v>
      </c>
      <c r="S4886" s="0" t="n">
        <f aca="false">G4886*H4886</f>
        <v>0.125</v>
      </c>
      <c r="T4886" s="0" t="n">
        <f aca="false">E4886*E4886</f>
        <v>0.25</v>
      </c>
      <c r="U4886" s="0" t="n">
        <f aca="false">F4886*F4886</f>
        <v>0.25</v>
      </c>
      <c r="V4886" s="0" t="n">
        <f aca="false">G4886*G4886</f>
        <v>0.25</v>
      </c>
      <c r="W4886" s="0" t="n">
        <f aca="false">H4886*H4886</f>
        <v>0.0625</v>
      </c>
      <c r="X4886" s="0" t="n">
        <f aca="false">SUMPRODUCT(I4886:W4886,_XtX!$B$96:$P$96)</f>
        <v>48.2915935672514</v>
      </c>
      <c r="Y4886" s="0" t="n">
        <f aca="false">SUMPRODUCT(MMULT(I4886:W4886,_XtX!$B$78:$P$92),I4886:W4886)</f>
        <v>0.133937545687135</v>
      </c>
      <c r="Z4886" s="0" t="n">
        <f aca="false">04_回帰ANOVA!$K$19*04_回帰ANOVA!$K$14*SQRT(1+Y4886)</f>
        <v>1.38801116780825</v>
      </c>
      <c r="AA4886" s="0" t="n">
        <f aca="false">X4886-Z4886</f>
        <v>46.9035823994432</v>
      </c>
      <c r="AB4886" s="0" t="n">
        <f aca="false">X4886+Z4886</f>
        <v>49.6796047350597</v>
      </c>
      <c r="AC4886" s="54" t="b">
        <f aca="false">AND(E4886&gt;=01_因子設定!$L$5-0.000000001,E4886&lt;=01_因子設定!$M$5+0.000000001,F4886&gt;=01_因子設定!$L$6-0.000000001,F4886&lt;=01_因子設定!$M$6+0.000000001,G4886&gt;=01_因子設定!$L$7-0.000000001,G4886&lt;=01_因子設定!$M$7+0.000000001,H4886&gt;=01_因子設定!$L$8-0.000000001,H4886&lt;=01_因子設定!$M$8+0.000000001,IF(01_因子設定!$B$20="Box-Behnken",E4886^2+F4886^2+G4886^2+H4886^2&lt;=2+0.000000001,TRUE()))</f>
        <v>1</v>
      </c>
      <c r="AD4886" s="55" t="n">
        <f aca="false">IF(AC4886,IF(01_因子設定!$B$13="最大化",AA4886-01_因子設定!$B$14,IF(01_因子設定!$B$13="最小化",01_因子設定!$B$15-AB4886,MIN(AA4886-01_因子設定!$B$14,01_因子設定!$B$15-AB4886))),-1E+030)</f>
        <v>0.403582399443167</v>
      </c>
      <c r="AE4886" s="55" t="n">
        <f aca="false">IF(AC4886,IF(01_因子設定!$B$13="最大化",X4886,IF(01_因子設定!$B$13="最小化",-X4886,-ABS(X4886-01_因子設定!$B$16))),-1E+030)</f>
        <v>48.2915935672514</v>
      </c>
      <c r="AF4886" s="55" t="n">
        <f aca="false">AD4886+ROW()*0.000000001</f>
        <v>0.403587285443167</v>
      </c>
      <c r="AG4886" s="55" t="n">
        <f aca="false">AE4886+ROW()*0.000000001</f>
        <v>48.2915984532514</v>
      </c>
    </row>
    <row r="4887" customFormat="false" ht="15" hidden="false" customHeight="false" outlineLevel="0" collapsed="false">
      <c r="A4887" s="0" t="n">
        <v>6</v>
      </c>
      <c r="B4887" s="0" t="n">
        <v>6</v>
      </c>
      <c r="C4887" s="0" t="n">
        <v>2</v>
      </c>
      <c r="D4887" s="0" t="n">
        <v>4</v>
      </c>
      <c r="E4887" s="0" t="n">
        <f aca="false">-1+A4887*0.25</f>
        <v>0.5</v>
      </c>
      <c r="F4887" s="0" t="n">
        <f aca="false">-1+B4887*0.25</f>
        <v>0.5</v>
      </c>
      <c r="G4887" s="0" t="n">
        <f aca="false">-1+C4887*0.25</f>
        <v>-0.5</v>
      </c>
      <c r="H4887" s="0" t="n">
        <f aca="false">-1+D4887*0.25</f>
        <v>0</v>
      </c>
      <c r="I4887" s="0" t="n">
        <f aca="false">1</f>
        <v>1</v>
      </c>
      <c r="J4887" s="0" t="n">
        <f aca="false">E4887</f>
        <v>0.5</v>
      </c>
      <c r="K4887" s="0" t="n">
        <f aca="false">F4887</f>
        <v>0.5</v>
      </c>
      <c r="L4887" s="0" t="n">
        <f aca="false">G4887</f>
        <v>-0.5</v>
      </c>
      <c r="M4887" s="0" t="n">
        <f aca="false">H4887</f>
        <v>0</v>
      </c>
      <c r="N4887" s="0" t="n">
        <f aca="false">E4887*F4887</f>
        <v>0.25</v>
      </c>
      <c r="O4887" s="0" t="n">
        <f aca="false">E4887*G4887</f>
        <v>-0.25</v>
      </c>
      <c r="P4887" s="0" t="n">
        <f aca="false">E4887*H4887</f>
        <v>0</v>
      </c>
      <c r="Q4887" s="0" t="n">
        <f aca="false">F4887*G4887</f>
        <v>-0.25</v>
      </c>
      <c r="R4887" s="0" t="n">
        <f aca="false">F4887*H4887</f>
        <v>0</v>
      </c>
      <c r="S4887" s="0" t="n">
        <f aca="false">G4887*H4887</f>
        <v>-0</v>
      </c>
      <c r="T4887" s="0" t="n">
        <f aca="false">E4887*E4887</f>
        <v>0.25</v>
      </c>
      <c r="U4887" s="0" t="n">
        <f aca="false">F4887*F4887</f>
        <v>0.25</v>
      </c>
      <c r="V4887" s="0" t="n">
        <f aca="false">G4887*G4887</f>
        <v>0.25</v>
      </c>
      <c r="W4887" s="0" t="n">
        <f aca="false">H4887*H4887</f>
        <v>0</v>
      </c>
      <c r="X4887" s="0" t="n">
        <f aca="false">SUMPRODUCT(I4887:W4887,_XtX!$B$96:$P$96)</f>
        <v>48.3700109649122</v>
      </c>
      <c r="Y4887" s="0" t="n">
        <f aca="false">SUMPRODUCT(MMULT(I4887:W4887,_XtX!$B$78:$P$92),I4887:W4887)</f>
        <v>0.140008223684211</v>
      </c>
      <c r="Z4887" s="0" t="n">
        <f aca="false">04_回帰ANOVA!$K$19*04_回帰ANOVA!$K$14*SQRT(1+Y4887)</f>
        <v>1.39172165492264</v>
      </c>
      <c r="AA4887" s="0" t="n">
        <f aca="false">X4887-Z4887</f>
        <v>46.9782893099896</v>
      </c>
      <c r="AB4887" s="0" t="n">
        <f aca="false">X4887+Z4887</f>
        <v>49.7617326198349</v>
      </c>
      <c r="AC4887" s="54" t="b">
        <f aca="false">AND(E4887&gt;=01_因子設定!$L$5-0.000000001,E4887&lt;=01_因子設定!$M$5+0.000000001,F4887&gt;=01_因子設定!$L$6-0.000000001,F4887&lt;=01_因子設定!$M$6+0.000000001,G4887&gt;=01_因子設定!$L$7-0.000000001,G4887&lt;=01_因子設定!$M$7+0.000000001,H4887&gt;=01_因子設定!$L$8-0.000000001,H4887&lt;=01_因子設定!$M$8+0.000000001,IF(01_因子設定!$B$20="Box-Behnken",E4887^2+F4887^2+G4887^2+H4887^2&lt;=2+0.000000001,TRUE()))</f>
        <v>1</v>
      </c>
      <c r="AD4887" s="55" t="n">
        <f aca="false">IF(AC4887,IF(01_因子設定!$B$13="最大化",AA4887-01_因子設定!$B$14,IF(01_因子設定!$B$13="最小化",01_因子設定!$B$15-AB4887,MIN(AA4887-01_因子設定!$B$14,01_因子設定!$B$15-AB4887))),-1E+030)</f>
        <v>0.478289309989606</v>
      </c>
      <c r="AE4887" s="55" t="n">
        <f aca="false">IF(AC4887,IF(01_因子設定!$B$13="最大化",X4887,IF(01_因子設定!$B$13="最小化",-X4887,-ABS(X4887-01_因子設定!$B$16))),-1E+030)</f>
        <v>48.3700109649122</v>
      </c>
      <c r="AF4887" s="55" t="n">
        <f aca="false">AD4887+ROW()*0.000000001</f>
        <v>0.478294196989606</v>
      </c>
      <c r="AG4887" s="55" t="n">
        <f aca="false">AE4887+ROW()*0.000000001</f>
        <v>48.3700158519122</v>
      </c>
    </row>
    <row r="4888" customFormat="false" ht="15" hidden="false" customHeight="false" outlineLevel="0" collapsed="false">
      <c r="A4888" s="0" t="n">
        <v>6</v>
      </c>
      <c r="B4888" s="0" t="n">
        <v>6</v>
      </c>
      <c r="C4888" s="0" t="n">
        <v>2</v>
      </c>
      <c r="D4888" s="0" t="n">
        <v>5</v>
      </c>
      <c r="E4888" s="0" t="n">
        <f aca="false">-1+A4888*0.25</f>
        <v>0.5</v>
      </c>
      <c r="F4888" s="0" t="n">
        <f aca="false">-1+B4888*0.25</f>
        <v>0.5</v>
      </c>
      <c r="G4888" s="0" t="n">
        <f aca="false">-1+C4888*0.25</f>
        <v>-0.5</v>
      </c>
      <c r="H4888" s="0" t="n">
        <f aca="false">-1+D4888*0.25</f>
        <v>0.25</v>
      </c>
      <c r="I4888" s="0" t="n">
        <f aca="false">1</f>
        <v>1</v>
      </c>
      <c r="J4888" s="0" t="n">
        <f aca="false">E4888</f>
        <v>0.5</v>
      </c>
      <c r="K4888" s="0" t="n">
        <f aca="false">F4888</f>
        <v>0.5</v>
      </c>
      <c r="L4888" s="0" t="n">
        <f aca="false">G4888</f>
        <v>-0.5</v>
      </c>
      <c r="M4888" s="0" t="n">
        <f aca="false">H4888</f>
        <v>0.25</v>
      </c>
      <c r="N4888" s="0" t="n">
        <f aca="false">E4888*F4888</f>
        <v>0.25</v>
      </c>
      <c r="O4888" s="0" t="n">
        <f aca="false">E4888*G4888</f>
        <v>-0.25</v>
      </c>
      <c r="P4888" s="0" t="n">
        <f aca="false">E4888*H4888</f>
        <v>0.125</v>
      </c>
      <c r="Q4888" s="0" t="n">
        <f aca="false">F4888*G4888</f>
        <v>-0.25</v>
      </c>
      <c r="R4888" s="0" t="n">
        <f aca="false">F4888*H4888</f>
        <v>0.125</v>
      </c>
      <c r="S4888" s="0" t="n">
        <f aca="false">G4888*H4888</f>
        <v>-0.125</v>
      </c>
      <c r="T4888" s="0" t="n">
        <f aca="false">E4888*E4888</f>
        <v>0.25</v>
      </c>
      <c r="U4888" s="0" t="n">
        <f aca="false">F4888*F4888</f>
        <v>0.25</v>
      </c>
      <c r="V4888" s="0" t="n">
        <f aca="false">G4888*G4888</f>
        <v>0.25</v>
      </c>
      <c r="W4888" s="0" t="n">
        <f aca="false">H4888*H4888</f>
        <v>0.0625</v>
      </c>
      <c r="X4888" s="0" t="n">
        <f aca="false">SUMPRODUCT(I4888:W4888,_XtX!$B$96:$P$96)</f>
        <v>48.4006213450292</v>
      </c>
      <c r="Y4888" s="0" t="n">
        <f aca="false">SUMPRODUCT(MMULT(I4888:W4888,_XtX!$B$78:$P$92),I4888:W4888)</f>
        <v>0.133937545687135</v>
      </c>
      <c r="Z4888" s="0" t="n">
        <f aca="false">04_回帰ANOVA!$K$19*04_回帰ANOVA!$K$14*SQRT(1+Y4888)</f>
        <v>1.38801116780825</v>
      </c>
      <c r="AA4888" s="0" t="n">
        <f aca="false">X4888-Z4888</f>
        <v>47.012610177221</v>
      </c>
      <c r="AB4888" s="0" t="n">
        <f aca="false">X4888+Z4888</f>
        <v>49.7886325128375</v>
      </c>
      <c r="AC4888" s="54" t="b">
        <f aca="false">AND(E4888&gt;=01_因子設定!$L$5-0.000000001,E4888&lt;=01_因子設定!$M$5+0.000000001,F4888&gt;=01_因子設定!$L$6-0.000000001,F4888&lt;=01_因子設定!$M$6+0.000000001,G4888&gt;=01_因子設定!$L$7-0.000000001,G4888&lt;=01_因子設定!$M$7+0.000000001,H4888&gt;=01_因子設定!$L$8-0.000000001,H4888&lt;=01_因子設定!$M$8+0.000000001,IF(01_因子設定!$B$20="Box-Behnken",E4888^2+F4888^2+G4888^2+H4888^2&lt;=2+0.000000001,TRUE()))</f>
        <v>1</v>
      </c>
      <c r="AD4888" s="55" t="n">
        <f aca="false">IF(AC4888,IF(01_因子設定!$B$13="最大化",AA4888-01_因子設定!$B$14,IF(01_因子設定!$B$13="最小化",01_因子設定!$B$15-AB4888,MIN(AA4888-01_因子設定!$B$14,01_因子設定!$B$15-AB4888))),-1E+030)</f>
        <v>0.51261017722095</v>
      </c>
      <c r="AE4888" s="55" t="n">
        <f aca="false">IF(AC4888,IF(01_因子設定!$B$13="最大化",X4888,IF(01_因子設定!$B$13="最小化",-X4888,-ABS(X4888-01_因子設定!$B$16))),-1E+030)</f>
        <v>48.4006213450292</v>
      </c>
      <c r="AF4888" s="55" t="n">
        <f aca="false">AD4888+ROW()*0.000000001</f>
        <v>0.51261506522095</v>
      </c>
      <c r="AG4888" s="55" t="n">
        <f aca="false">AE4888+ROW()*0.000000001</f>
        <v>48.4006262330292</v>
      </c>
    </row>
    <row r="4889" customFormat="false" ht="15" hidden="false" customHeight="false" outlineLevel="0" collapsed="false">
      <c r="A4889" s="0" t="n">
        <v>6</v>
      </c>
      <c r="B4889" s="0" t="n">
        <v>6</v>
      </c>
      <c r="C4889" s="0" t="n">
        <v>2</v>
      </c>
      <c r="D4889" s="0" t="n">
        <v>6</v>
      </c>
      <c r="E4889" s="0" t="n">
        <f aca="false">-1+A4889*0.25</f>
        <v>0.5</v>
      </c>
      <c r="F4889" s="0" t="n">
        <f aca="false">-1+B4889*0.25</f>
        <v>0.5</v>
      </c>
      <c r="G4889" s="0" t="n">
        <f aca="false">-1+C4889*0.25</f>
        <v>-0.5</v>
      </c>
      <c r="H4889" s="0" t="n">
        <f aca="false">-1+D4889*0.25</f>
        <v>0.5</v>
      </c>
      <c r="I4889" s="0" t="n">
        <f aca="false">1</f>
        <v>1</v>
      </c>
      <c r="J4889" s="0" t="n">
        <f aca="false">E4889</f>
        <v>0.5</v>
      </c>
      <c r="K4889" s="0" t="n">
        <f aca="false">F4889</f>
        <v>0.5</v>
      </c>
      <c r="L4889" s="0" t="n">
        <f aca="false">G4889</f>
        <v>-0.5</v>
      </c>
      <c r="M4889" s="0" t="n">
        <f aca="false">H4889</f>
        <v>0.5</v>
      </c>
      <c r="N4889" s="0" t="n">
        <f aca="false">E4889*F4889</f>
        <v>0.25</v>
      </c>
      <c r="O4889" s="0" t="n">
        <f aca="false">E4889*G4889</f>
        <v>-0.25</v>
      </c>
      <c r="P4889" s="0" t="n">
        <f aca="false">E4889*H4889</f>
        <v>0.25</v>
      </c>
      <c r="Q4889" s="0" t="n">
        <f aca="false">F4889*G4889</f>
        <v>-0.25</v>
      </c>
      <c r="R4889" s="0" t="n">
        <f aca="false">F4889*H4889</f>
        <v>0.25</v>
      </c>
      <c r="S4889" s="0" t="n">
        <f aca="false">G4889*H4889</f>
        <v>-0.25</v>
      </c>
      <c r="T4889" s="0" t="n">
        <f aca="false">E4889*E4889</f>
        <v>0.25</v>
      </c>
      <c r="U4889" s="0" t="n">
        <f aca="false">F4889*F4889</f>
        <v>0.25</v>
      </c>
      <c r="V4889" s="0" t="n">
        <f aca="false">G4889*G4889</f>
        <v>0.25</v>
      </c>
      <c r="W4889" s="0" t="n">
        <f aca="false">H4889*H4889</f>
        <v>0.25</v>
      </c>
      <c r="X4889" s="0" t="n">
        <f aca="false">SUMPRODUCT(I4889:W4889,_XtX!$B$96:$P$96)</f>
        <v>48.3834247076023</v>
      </c>
      <c r="Y4889" s="0" t="n">
        <f aca="false">SUMPRODUCT(MMULT(I4889:W4889,_XtX!$B$78:$P$92),I4889:W4889)</f>
        <v>0.133817616959064</v>
      </c>
      <c r="Z4889" s="0" t="n">
        <f aca="false">04_回帰ANOVA!$K$19*04_回帰ANOVA!$K$14*SQRT(1+Y4889)</f>
        <v>1.38793776569887</v>
      </c>
      <c r="AA4889" s="0" t="n">
        <f aca="false">X4889-Z4889</f>
        <v>46.9954869419034</v>
      </c>
      <c r="AB4889" s="0" t="n">
        <f aca="false">X4889+Z4889</f>
        <v>49.7713624733012</v>
      </c>
      <c r="AC4889" s="54" t="b">
        <f aca="false">AND(E4889&gt;=01_因子設定!$L$5-0.000000001,E4889&lt;=01_因子設定!$M$5+0.000000001,F4889&gt;=01_因子設定!$L$6-0.000000001,F4889&lt;=01_因子設定!$M$6+0.000000001,G4889&gt;=01_因子設定!$L$7-0.000000001,G4889&lt;=01_因子設定!$M$7+0.000000001,H4889&gt;=01_因子設定!$L$8-0.000000001,H4889&lt;=01_因子設定!$M$8+0.000000001,IF(01_因子設定!$B$20="Box-Behnken",E4889^2+F4889^2+G4889^2+H4889^2&lt;=2+0.000000001,TRUE()))</f>
        <v>1</v>
      </c>
      <c r="AD4889" s="55" t="n">
        <f aca="false">IF(AC4889,IF(01_因子設定!$B$13="最大化",AA4889-01_因子設定!$B$14,IF(01_因子設定!$B$13="最小化",01_因子設定!$B$15-AB4889,MIN(AA4889-01_因子設定!$B$14,01_因子設定!$B$15-AB4889))),-1E+030)</f>
        <v>0.495486941903437</v>
      </c>
      <c r="AE4889" s="55" t="n">
        <f aca="false">IF(AC4889,IF(01_因子設定!$B$13="最大化",X4889,IF(01_因子設定!$B$13="最小化",-X4889,-ABS(X4889-01_因子設定!$B$16))),-1E+030)</f>
        <v>48.3834247076023</v>
      </c>
      <c r="AF4889" s="55" t="n">
        <f aca="false">AD4889+ROW()*0.000000001</f>
        <v>0.495491830903437</v>
      </c>
      <c r="AG4889" s="55" t="n">
        <f aca="false">AE4889+ROW()*0.000000001</f>
        <v>48.3834295966023</v>
      </c>
    </row>
    <row r="4890" customFormat="false" ht="15" hidden="false" customHeight="false" outlineLevel="0" collapsed="false">
      <c r="A4890" s="0" t="n">
        <v>6</v>
      </c>
      <c r="B4890" s="0" t="n">
        <v>6</v>
      </c>
      <c r="C4890" s="0" t="n">
        <v>2</v>
      </c>
      <c r="D4890" s="0" t="n">
        <v>7</v>
      </c>
      <c r="E4890" s="0" t="n">
        <f aca="false">-1+A4890*0.25</f>
        <v>0.5</v>
      </c>
      <c r="F4890" s="0" t="n">
        <f aca="false">-1+B4890*0.25</f>
        <v>0.5</v>
      </c>
      <c r="G4890" s="0" t="n">
        <f aca="false">-1+C4890*0.25</f>
        <v>-0.5</v>
      </c>
      <c r="H4890" s="0" t="n">
        <f aca="false">-1+D4890*0.25</f>
        <v>0.75</v>
      </c>
      <c r="I4890" s="0" t="n">
        <f aca="false">1</f>
        <v>1</v>
      </c>
      <c r="J4890" s="0" t="n">
        <f aca="false">E4890</f>
        <v>0.5</v>
      </c>
      <c r="K4890" s="0" t="n">
        <f aca="false">F4890</f>
        <v>0.5</v>
      </c>
      <c r="L4890" s="0" t="n">
        <f aca="false">G4890</f>
        <v>-0.5</v>
      </c>
      <c r="M4890" s="0" t="n">
        <f aca="false">H4890</f>
        <v>0.75</v>
      </c>
      <c r="N4890" s="0" t="n">
        <f aca="false">E4890*F4890</f>
        <v>0.25</v>
      </c>
      <c r="O4890" s="0" t="n">
        <f aca="false">E4890*G4890</f>
        <v>-0.25</v>
      </c>
      <c r="P4890" s="0" t="n">
        <f aca="false">E4890*H4890</f>
        <v>0.375</v>
      </c>
      <c r="Q4890" s="0" t="n">
        <f aca="false">F4890*G4890</f>
        <v>-0.25</v>
      </c>
      <c r="R4890" s="0" t="n">
        <f aca="false">F4890*H4890</f>
        <v>0.375</v>
      </c>
      <c r="S4890" s="0" t="n">
        <f aca="false">G4890*H4890</f>
        <v>-0.375</v>
      </c>
      <c r="T4890" s="0" t="n">
        <f aca="false">E4890*E4890</f>
        <v>0.25</v>
      </c>
      <c r="U4890" s="0" t="n">
        <f aca="false">F4890*F4890</f>
        <v>0.25</v>
      </c>
      <c r="V4890" s="0" t="n">
        <f aca="false">G4890*G4890</f>
        <v>0.25</v>
      </c>
      <c r="W4890" s="0" t="n">
        <f aca="false">H4890*H4890</f>
        <v>0.5625</v>
      </c>
      <c r="X4890" s="0" t="n">
        <f aca="false">SUMPRODUCT(I4890:W4890,_XtX!$B$96:$P$96)</f>
        <v>48.3184210526316</v>
      </c>
      <c r="Y4890" s="0" t="n">
        <f aca="false">SUMPRODUCT(MMULT(I4890:W4890,_XtX!$B$78:$P$92),I4890:W4890)</f>
        <v>0.193924753289474</v>
      </c>
      <c r="Z4890" s="0" t="n">
        <f aca="false">04_回帰ANOVA!$K$19*04_回帰ANOVA!$K$14*SQRT(1+Y4890)</f>
        <v>1.4242521079916</v>
      </c>
      <c r="AA4890" s="0" t="n">
        <f aca="false">X4890-Z4890</f>
        <v>46.89416894464</v>
      </c>
      <c r="AB4890" s="0" t="n">
        <f aca="false">X4890+Z4890</f>
        <v>49.7426731606232</v>
      </c>
      <c r="AC4890" s="54" t="b">
        <f aca="false">AND(E4890&gt;=01_因子設定!$L$5-0.000000001,E4890&lt;=01_因子設定!$M$5+0.000000001,F4890&gt;=01_因子設定!$L$6-0.000000001,F4890&lt;=01_因子設定!$M$6+0.000000001,G4890&gt;=01_因子設定!$L$7-0.000000001,G4890&lt;=01_因子設定!$M$7+0.000000001,H4890&gt;=01_因子設定!$L$8-0.000000001,H4890&lt;=01_因子設定!$M$8+0.000000001,IF(01_因子設定!$B$20="Box-Behnken",E4890^2+F4890^2+G4890^2+H4890^2&lt;=2+0.000000001,TRUE()))</f>
        <v>1</v>
      </c>
      <c r="AD4890" s="55" t="n">
        <f aca="false">IF(AC4890,IF(01_因子設定!$B$13="最大化",AA4890-01_因子設定!$B$14,IF(01_因子設定!$B$13="最小化",01_因子設定!$B$15-AB4890,MIN(AA4890-01_因子設定!$B$14,01_因子設定!$B$15-AB4890))),-1E+030)</f>
        <v>0.394168944639958</v>
      </c>
      <c r="AE4890" s="55" t="n">
        <f aca="false">IF(AC4890,IF(01_因子設定!$B$13="最大化",X4890,IF(01_因子設定!$B$13="最小化",-X4890,-ABS(X4890-01_因子設定!$B$16))),-1E+030)</f>
        <v>48.3184210526316</v>
      </c>
      <c r="AF4890" s="55" t="n">
        <f aca="false">AD4890+ROW()*0.000000001</f>
        <v>0.394173834639958</v>
      </c>
      <c r="AG4890" s="55" t="n">
        <f aca="false">AE4890+ROW()*0.000000001</f>
        <v>48.3184259426316</v>
      </c>
    </row>
    <row r="4891" customFormat="false" ht="15" hidden="false" customHeight="false" outlineLevel="0" collapsed="false">
      <c r="A4891" s="0" t="n">
        <v>6</v>
      </c>
      <c r="B4891" s="0" t="n">
        <v>6</v>
      </c>
      <c r="C4891" s="0" t="n">
        <v>2</v>
      </c>
      <c r="D4891" s="0" t="n">
        <v>8</v>
      </c>
      <c r="E4891" s="0" t="n">
        <f aca="false">-1+A4891*0.25</f>
        <v>0.5</v>
      </c>
      <c r="F4891" s="0" t="n">
        <f aca="false">-1+B4891*0.25</f>
        <v>0.5</v>
      </c>
      <c r="G4891" s="0" t="n">
        <f aca="false">-1+C4891*0.25</f>
        <v>-0.5</v>
      </c>
      <c r="H4891" s="0" t="n">
        <f aca="false">-1+D4891*0.25</f>
        <v>1</v>
      </c>
      <c r="I4891" s="0" t="n">
        <f aca="false">1</f>
        <v>1</v>
      </c>
      <c r="J4891" s="0" t="n">
        <f aca="false">E4891</f>
        <v>0.5</v>
      </c>
      <c r="K4891" s="0" t="n">
        <f aca="false">F4891</f>
        <v>0.5</v>
      </c>
      <c r="L4891" s="0" t="n">
        <f aca="false">G4891</f>
        <v>-0.5</v>
      </c>
      <c r="M4891" s="0" t="n">
        <f aca="false">H4891</f>
        <v>1</v>
      </c>
      <c r="N4891" s="0" t="n">
        <f aca="false">E4891*F4891</f>
        <v>0.25</v>
      </c>
      <c r="O4891" s="0" t="n">
        <f aca="false">E4891*G4891</f>
        <v>-0.25</v>
      </c>
      <c r="P4891" s="0" t="n">
        <f aca="false">E4891*H4891</f>
        <v>0.5</v>
      </c>
      <c r="Q4891" s="0" t="n">
        <f aca="false">F4891*G4891</f>
        <v>-0.25</v>
      </c>
      <c r="R4891" s="0" t="n">
        <f aca="false">F4891*H4891</f>
        <v>0.5</v>
      </c>
      <c r="S4891" s="0" t="n">
        <f aca="false">G4891*H4891</f>
        <v>-0.5</v>
      </c>
      <c r="T4891" s="0" t="n">
        <f aca="false">E4891*E4891</f>
        <v>0.25</v>
      </c>
      <c r="U4891" s="0" t="n">
        <f aca="false">F4891*F4891</f>
        <v>0.25</v>
      </c>
      <c r="V4891" s="0" t="n">
        <f aca="false">G4891*G4891</f>
        <v>0.25</v>
      </c>
      <c r="W4891" s="0" t="n">
        <f aca="false">H4891*H4891</f>
        <v>1</v>
      </c>
      <c r="X4891" s="0" t="n">
        <f aca="false">SUMPRODUCT(I4891:W4891,_XtX!$B$96:$P$96)</f>
        <v>48.205610380117</v>
      </c>
      <c r="Y4891" s="0" t="n">
        <f aca="false">SUMPRODUCT(MMULT(I4891:W4891,_XtX!$B$78:$P$92),I4891:W4891)</f>
        <v>0.404719480994152</v>
      </c>
      <c r="Z4891" s="0" t="n">
        <f aca="false">04_回帰ANOVA!$K$19*04_回帰ANOVA!$K$14*SQRT(1+Y4891)</f>
        <v>1.54487446697867</v>
      </c>
      <c r="AA4891" s="0" t="n">
        <f aca="false">X4891-Z4891</f>
        <v>46.6607359131383</v>
      </c>
      <c r="AB4891" s="0" t="n">
        <f aca="false">X4891+Z4891</f>
        <v>49.7504848470956</v>
      </c>
      <c r="AC4891" s="54" t="b">
        <f aca="false">AND(E4891&gt;=01_因子設定!$L$5-0.000000001,E4891&lt;=01_因子設定!$M$5+0.000000001,F4891&gt;=01_因子設定!$L$6-0.000000001,F4891&lt;=01_因子設定!$M$6+0.000000001,G4891&gt;=01_因子設定!$L$7-0.000000001,G4891&lt;=01_因子設定!$M$7+0.000000001,H4891&gt;=01_因子設定!$L$8-0.000000001,H4891&lt;=01_因子設定!$M$8+0.000000001,IF(01_因子設定!$B$20="Box-Behnken",E4891^2+F4891^2+G4891^2+H4891^2&lt;=2+0.000000001,TRUE()))</f>
        <v>1</v>
      </c>
      <c r="AD4891" s="55" t="n">
        <f aca="false">IF(AC4891,IF(01_因子設定!$B$13="最大化",AA4891-01_因子設定!$B$14,IF(01_因子設定!$B$13="最小化",01_因子設定!$B$15-AB4891,MIN(AA4891-01_因子設定!$B$14,01_因子設定!$B$15-AB4891))),-1E+030)</f>
        <v>0.160735913138275</v>
      </c>
      <c r="AE4891" s="55" t="n">
        <f aca="false">IF(AC4891,IF(01_因子設定!$B$13="最大化",X4891,IF(01_因子設定!$B$13="最小化",-X4891,-ABS(X4891-01_因子設定!$B$16))),-1E+030)</f>
        <v>48.205610380117</v>
      </c>
      <c r="AF4891" s="55" t="n">
        <f aca="false">AD4891+ROW()*0.000000001</f>
        <v>0.160740804138275</v>
      </c>
      <c r="AG4891" s="55" t="n">
        <f aca="false">AE4891+ROW()*0.000000001</f>
        <v>48.205615271117</v>
      </c>
    </row>
    <row r="4892" customFormat="false" ht="15" hidden="false" customHeight="false" outlineLevel="0" collapsed="false">
      <c r="A4892" s="0" t="n">
        <v>6</v>
      </c>
      <c r="B4892" s="0" t="n">
        <v>6</v>
      </c>
      <c r="C4892" s="0" t="n">
        <v>3</v>
      </c>
      <c r="D4892" s="0" t="n">
        <v>0</v>
      </c>
      <c r="E4892" s="0" t="n">
        <f aca="false">-1+A4892*0.25</f>
        <v>0.5</v>
      </c>
      <c r="F4892" s="0" t="n">
        <f aca="false">-1+B4892*0.25</f>
        <v>0.5</v>
      </c>
      <c r="G4892" s="0" t="n">
        <f aca="false">-1+C4892*0.25</f>
        <v>-0.25</v>
      </c>
      <c r="H4892" s="0" t="n">
        <f aca="false">-1+D4892*0.25</f>
        <v>-1</v>
      </c>
      <c r="I4892" s="0" t="n">
        <f aca="false">1</f>
        <v>1</v>
      </c>
      <c r="J4892" s="0" t="n">
        <f aca="false">E4892</f>
        <v>0.5</v>
      </c>
      <c r="K4892" s="0" t="n">
        <f aca="false">F4892</f>
        <v>0.5</v>
      </c>
      <c r="L4892" s="0" t="n">
        <f aca="false">G4892</f>
        <v>-0.25</v>
      </c>
      <c r="M4892" s="0" t="n">
        <f aca="false">H4892</f>
        <v>-1</v>
      </c>
      <c r="N4892" s="0" t="n">
        <f aca="false">E4892*F4892</f>
        <v>0.25</v>
      </c>
      <c r="O4892" s="0" t="n">
        <f aca="false">E4892*G4892</f>
        <v>-0.125</v>
      </c>
      <c r="P4892" s="0" t="n">
        <f aca="false">E4892*H4892</f>
        <v>-0.5</v>
      </c>
      <c r="Q4892" s="0" t="n">
        <f aca="false">F4892*G4892</f>
        <v>-0.125</v>
      </c>
      <c r="R4892" s="0" t="n">
        <f aca="false">F4892*H4892</f>
        <v>-0.5</v>
      </c>
      <c r="S4892" s="0" t="n">
        <f aca="false">G4892*H4892</f>
        <v>0.25</v>
      </c>
      <c r="T4892" s="0" t="n">
        <f aca="false">E4892*E4892</f>
        <v>0.25</v>
      </c>
      <c r="U4892" s="0" t="n">
        <f aca="false">F4892*F4892</f>
        <v>0.25</v>
      </c>
      <c r="V4892" s="0" t="n">
        <f aca="false">G4892*G4892</f>
        <v>0.0625</v>
      </c>
      <c r="W4892" s="0" t="n">
        <f aca="false">H4892*H4892</f>
        <v>1</v>
      </c>
      <c r="X4892" s="0" t="n">
        <f aca="false">SUMPRODUCT(I4892:W4892,_XtX!$B$96:$P$96)</f>
        <v>48.029230628655</v>
      </c>
      <c r="Y4892" s="0" t="n">
        <f aca="false">SUMPRODUCT(MMULT(I4892:W4892,_XtX!$B$78:$P$92),I4892:W4892)</f>
        <v>0.428122715643275</v>
      </c>
      <c r="Z4892" s="0" t="n">
        <f aca="false">04_回帰ANOVA!$K$19*04_回帰ANOVA!$K$14*SQRT(1+Y4892)</f>
        <v>1.55769044623229</v>
      </c>
      <c r="AA4892" s="0" t="n">
        <f aca="false">X4892-Z4892</f>
        <v>46.4715401824227</v>
      </c>
      <c r="AB4892" s="0" t="n">
        <f aca="false">X4892+Z4892</f>
        <v>49.5869210748873</v>
      </c>
      <c r="AC4892" s="54" t="b">
        <f aca="false">AND(E4892&gt;=01_因子設定!$L$5-0.000000001,E4892&lt;=01_因子設定!$M$5+0.000000001,F4892&gt;=01_因子設定!$L$6-0.000000001,F4892&lt;=01_因子設定!$M$6+0.000000001,G4892&gt;=01_因子設定!$L$7-0.000000001,G4892&lt;=01_因子設定!$M$7+0.000000001,H4892&gt;=01_因子設定!$L$8-0.000000001,H4892&lt;=01_因子設定!$M$8+0.000000001,IF(01_因子設定!$B$20="Box-Behnken",E4892^2+F4892^2+G4892^2+H4892^2&lt;=2+0.000000001,TRUE()))</f>
        <v>1</v>
      </c>
      <c r="AD4892" s="55" t="n">
        <f aca="false">IF(AC4892,IF(01_因子設定!$B$13="最大化",AA4892-01_因子設定!$B$14,IF(01_因子設定!$B$13="最小化",01_因子設定!$B$15-AB4892,MIN(AA4892-01_因子設定!$B$14,01_因子設定!$B$15-AB4892))),-1E+030)</f>
        <v>-0.0284598175773283</v>
      </c>
      <c r="AE4892" s="55" t="n">
        <f aca="false">IF(AC4892,IF(01_因子設定!$B$13="最大化",X4892,IF(01_因子設定!$B$13="最小化",-X4892,-ABS(X4892-01_因子設定!$B$16))),-1E+030)</f>
        <v>48.029230628655</v>
      </c>
      <c r="AF4892" s="55" t="n">
        <f aca="false">AD4892+ROW()*0.000000001</f>
        <v>-0.0284549255773283</v>
      </c>
      <c r="AG4892" s="55" t="n">
        <f aca="false">AE4892+ROW()*0.000000001</f>
        <v>48.029235520655</v>
      </c>
    </row>
    <row r="4893" customFormat="false" ht="15" hidden="false" customHeight="false" outlineLevel="0" collapsed="false">
      <c r="A4893" s="0" t="n">
        <v>6</v>
      </c>
      <c r="B4893" s="0" t="n">
        <v>6</v>
      </c>
      <c r="C4893" s="0" t="n">
        <v>3</v>
      </c>
      <c r="D4893" s="0" t="n">
        <v>1</v>
      </c>
      <c r="E4893" s="0" t="n">
        <f aca="false">-1+A4893*0.25</f>
        <v>0.5</v>
      </c>
      <c r="F4893" s="0" t="n">
        <f aca="false">-1+B4893*0.25</f>
        <v>0.5</v>
      </c>
      <c r="G4893" s="0" t="n">
        <f aca="false">-1+C4893*0.25</f>
        <v>-0.25</v>
      </c>
      <c r="H4893" s="0" t="n">
        <f aca="false">-1+D4893*0.25</f>
        <v>-0.75</v>
      </c>
      <c r="I4893" s="0" t="n">
        <f aca="false">1</f>
        <v>1</v>
      </c>
      <c r="J4893" s="0" t="n">
        <f aca="false">E4893</f>
        <v>0.5</v>
      </c>
      <c r="K4893" s="0" t="n">
        <f aca="false">F4893</f>
        <v>0.5</v>
      </c>
      <c r="L4893" s="0" t="n">
        <f aca="false">G4893</f>
        <v>-0.25</v>
      </c>
      <c r="M4893" s="0" t="n">
        <f aca="false">H4893</f>
        <v>-0.75</v>
      </c>
      <c r="N4893" s="0" t="n">
        <f aca="false">E4893*F4893</f>
        <v>0.25</v>
      </c>
      <c r="O4893" s="0" t="n">
        <f aca="false">E4893*G4893</f>
        <v>-0.125</v>
      </c>
      <c r="P4893" s="0" t="n">
        <f aca="false">E4893*H4893</f>
        <v>-0.375</v>
      </c>
      <c r="Q4893" s="0" t="n">
        <f aca="false">F4893*G4893</f>
        <v>-0.125</v>
      </c>
      <c r="R4893" s="0" t="n">
        <f aca="false">F4893*H4893</f>
        <v>-0.375</v>
      </c>
      <c r="S4893" s="0" t="n">
        <f aca="false">G4893*H4893</f>
        <v>0.1875</v>
      </c>
      <c r="T4893" s="0" t="n">
        <f aca="false">E4893*E4893</f>
        <v>0.25</v>
      </c>
      <c r="U4893" s="0" t="n">
        <f aca="false">F4893*F4893</f>
        <v>0.25</v>
      </c>
      <c r="V4893" s="0" t="n">
        <f aca="false">G4893*G4893</f>
        <v>0.0625</v>
      </c>
      <c r="W4893" s="0" t="n">
        <f aca="false">H4893*H4893</f>
        <v>0.5625</v>
      </c>
      <c r="X4893" s="0" t="n">
        <f aca="false">SUMPRODUCT(I4893:W4893,_XtX!$B$96:$P$96)</f>
        <v>48.2690378289474</v>
      </c>
      <c r="Y4893" s="0" t="n">
        <f aca="false">SUMPRODUCT(MMULT(I4893:W4893,_XtX!$B$78:$P$92),I4893:W4893)</f>
        <v>0.203746059484649</v>
      </c>
      <c r="Z4893" s="0" t="n">
        <f aca="false">04_回帰ANOVA!$K$19*04_回帰ANOVA!$K$14*SQRT(1+Y4893)</f>
        <v>1.43009810755465</v>
      </c>
      <c r="AA4893" s="0" t="n">
        <f aca="false">X4893-Z4893</f>
        <v>46.8389397213927</v>
      </c>
      <c r="AB4893" s="0" t="n">
        <f aca="false">X4893+Z4893</f>
        <v>49.699135936502</v>
      </c>
      <c r="AC4893" s="54" t="b">
        <f aca="false">AND(E4893&gt;=01_因子設定!$L$5-0.000000001,E4893&lt;=01_因子設定!$M$5+0.000000001,F4893&gt;=01_因子設定!$L$6-0.000000001,F4893&lt;=01_因子設定!$M$6+0.000000001,G4893&gt;=01_因子設定!$L$7-0.000000001,G4893&lt;=01_因子設定!$M$7+0.000000001,H4893&gt;=01_因子設定!$L$8-0.000000001,H4893&lt;=01_因子設定!$M$8+0.000000001,IF(01_因子設定!$B$20="Box-Behnken",E4893^2+F4893^2+G4893^2+H4893^2&lt;=2+0.000000001,TRUE()))</f>
        <v>1</v>
      </c>
      <c r="AD4893" s="55" t="n">
        <f aca="false">IF(AC4893,IF(01_因子設定!$B$13="最大化",AA4893-01_因子設定!$B$14,IF(01_因子設定!$B$13="最小化",01_因子設定!$B$15-AB4893,MIN(AA4893-01_因子設定!$B$14,01_因子設定!$B$15-AB4893))),-1E+030)</f>
        <v>0.338939721392698</v>
      </c>
      <c r="AE4893" s="55" t="n">
        <f aca="false">IF(AC4893,IF(01_因子設定!$B$13="最大化",X4893,IF(01_因子設定!$B$13="最小化",-X4893,-ABS(X4893-01_因子設定!$B$16))),-1E+030)</f>
        <v>48.2690378289474</v>
      </c>
      <c r="AF4893" s="55" t="n">
        <f aca="false">AD4893+ROW()*0.000000001</f>
        <v>0.338944614392698</v>
      </c>
      <c r="AG4893" s="55" t="n">
        <f aca="false">AE4893+ROW()*0.000000001</f>
        <v>48.2690427219474</v>
      </c>
    </row>
    <row r="4894" customFormat="false" ht="15" hidden="false" customHeight="false" outlineLevel="0" collapsed="false">
      <c r="A4894" s="0" t="n">
        <v>6</v>
      </c>
      <c r="B4894" s="0" t="n">
        <v>6</v>
      </c>
      <c r="C4894" s="0" t="n">
        <v>3</v>
      </c>
      <c r="D4894" s="0" t="n">
        <v>2</v>
      </c>
      <c r="E4894" s="0" t="n">
        <f aca="false">-1+A4894*0.25</f>
        <v>0.5</v>
      </c>
      <c r="F4894" s="0" t="n">
        <f aca="false">-1+B4894*0.25</f>
        <v>0.5</v>
      </c>
      <c r="G4894" s="0" t="n">
        <f aca="false">-1+C4894*0.25</f>
        <v>-0.25</v>
      </c>
      <c r="H4894" s="0" t="n">
        <f aca="false">-1+D4894*0.25</f>
        <v>-0.5</v>
      </c>
      <c r="I4894" s="0" t="n">
        <f aca="false">1</f>
        <v>1</v>
      </c>
      <c r="J4894" s="0" t="n">
        <f aca="false">E4894</f>
        <v>0.5</v>
      </c>
      <c r="K4894" s="0" t="n">
        <f aca="false">F4894</f>
        <v>0.5</v>
      </c>
      <c r="L4894" s="0" t="n">
        <f aca="false">G4894</f>
        <v>-0.25</v>
      </c>
      <c r="M4894" s="0" t="n">
        <f aca="false">H4894</f>
        <v>-0.5</v>
      </c>
      <c r="N4894" s="0" t="n">
        <f aca="false">E4894*F4894</f>
        <v>0.25</v>
      </c>
      <c r="O4894" s="0" t="n">
        <f aca="false">E4894*G4894</f>
        <v>-0.125</v>
      </c>
      <c r="P4894" s="0" t="n">
        <f aca="false">E4894*H4894</f>
        <v>-0.25</v>
      </c>
      <c r="Q4894" s="0" t="n">
        <f aca="false">F4894*G4894</f>
        <v>-0.125</v>
      </c>
      <c r="R4894" s="0" t="n">
        <f aca="false">F4894*H4894</f>
        <v>-0.25</v>
      </c>
      <c r="S4894" s="0" t="n">
        <f aca="false">G4894*H4894</f>
        <v>0.125</v>
      </c>
      <c r="T4894" s="0" t="n">
        <f aca="false">E4894*E4894</f>
        <v>0.25</v>
      </c>
      <c r="U4894" s="0" t="n">
        <f aca="false">F4894*F4894</f>
        <v>0.25</v>
      </c>
      <c r="V4894" s="0" t="n">
        <f aca="false">G4894*G4894</f>
        <v>0.0625</v>
      </c>
      <c r="W4894" s="0" t="n">
        <f aca="false">H4894*H4894</f>
        <v>0.25</v>
      </c>
      <c r="X4894" s="0" t="n">
        <f aca="false">SUMPRODUCT(I4894:W4894,_XtX!$B$96:$P$96)</f>
        <v>48.4610380116959</v>
      </c>
      <c r="Y4894" s="0" t="n">
        <f aca="false">SUMPRODUCT(MMULT(I4894:W4894,_XtX!$B$78:$P$92),I4894:W4894)</f>
        <v>0.133937545687135</v>
      </c>
      <c r="Z4894" s="0" t="n">
        <f aca="false">04_回帰ANOVA!$K$19*04_回帰ANOVA!$K$14*SQRT(1+Y4894)</f>
        <v>1.38801116780825</v>
      </c>
      <c r="AA4894" s="0" t="n">
        <f aca="false">X4894-Z4894</f>
        <v>47.0730268438876</v>
      </c>
      <c r="AB4894" s="0" t="n">
        <f aca="false">X4894+Z4894</f>
        <v>49.8490491795041</v>
      </c>
      <c r="AC4894" s="54" t="b">
        <f aca="false">AND(E4894&gt;=01_因子設定!$L$5-0.000000001,E4894&lt;=01_因子設定!$M$5+0.000000001,F4894&gt;=01_因子設定!$L$6-0.000000001,F4894&lt;=01_因子設定!$M$6+0.000000001,G4894&gt;=01_因子設定!$L$7-0.000000001,G4894&lt;=01_因子設定!$M$7+0.000000001,H4894&gt;=01_因子設定!$L$8-0.000000001,H4894&lt;=01_因子設定!$M$8+0.000000001,IF(01_因子設定!$B$20="Box-Behnken",E4894^2+F4894^2+G4894^2+H4894^2&lt;=2+0.000000001,TRUE()))</f>
        <v>1</v>
      </c>
      <c r="AD4894" s="55" t="n">
        <f aca="false">IF(AC4894,IF(01_因子設定!$B$13="最大化",AA4894-01_因子設定!$B$14,IF(01_因子設定!$B$13="最小化",01_因子設定!$B$15-AB4894,MIN(AA4894-01_因子設定!$B$14,01_因子設定!$B$15-AB4894))),-1E+030)</f>
        <v>0.573026843887618</v>
      </c>
      <c r="AE4894" s="55" t="n">
        <f aca="false">IF(AC4894,IF(01_因子設定!$B$13="最大化",X4894,IF(01_因子設定!$B$13="最小化",-X4894,-ABS(X4894-01_因子設定!$B$16))),-1E+030)</f>
        <v>48.4610380116959</v>
      </c>
      <c r="AF4894" s="55" t="n">
        <f aca="false">AD4894+ROW()*0.000000001</f>
        <v>0.573031737887618</v>
      </c>
      <c r="AG4894" s="55" t="n">
        <f aca="false">AE4894+ROW()*0.000000001</f>
        <v>48.4610429056959</v>
      </c>
    </row>
    <row r="4895" customFormat="false" ht="15" hidden="false" customHeight="false" outlineLevel="0" collapsed="false">
      <c r="A4895" s="0" t="n">
        <v>6</v>
      </c>
      <c r="B4895" s="0" t="n">
        <v>6</v>
      </c>
      <c r="C4895" s="0" t="n">
        <v>3</v>
      </c>
      <c r="D4895" s="0" t="n">
        <v>3</v>
      </c>
      <c r="E4895" s="0" t="n">
        <f aca="false">-1+A4895*0.25</f>
        <v>0.5</v>
      </c>
      <c r="F4895" s="0" t="n">
        <f aca="false">-1+B4895*0.25</f>
        <v>0.5</v>
      </c>
      <c r="G4895" s="0" t="n">
        <f aca="false">-1+C4895*0.25</f>
        <v>-0.25</v>
      </c>
      <c r="H4895" s="0" t="n">
        <f aca="false">-1+D4895*0.25</f>
        <v>-0.25</v>
      </c>
      <c r="I4895" s="0" t="n">
        <f aca="false">1</f>
        <v>1</v>
      </c>
      <c r="J4895" s="0" t="n">
        <f aca="false">E4895</f>
        <v>0.5</v>
      </c>
      <c r="K4895" s="0" t="n">
        <f aca="false">F4895</f>
        <v>0.5</v>
      </c>
      <c r="L4895" s="0" t="n">
        <f aca="false">G4895</f>
        <v>-0.25</v>
      </c>
      <c r="M4895" s="0" t="n">
        <f aca="false">H4895</f>
        <v>-0.25</v>
      </c>
      <c r="N4895" s="0" t="n">
        <f aca="false">E4895*F4895</f>
        <v>0.25</v>
      </c>
      <c r="O4895" s="0" t="n">
        <f aca="false">E4895*G4895</f>
        <v>-0.125</v>
      </c>
      <c r="P4895" s="0" t="n">
        <f aca="false">E4895*H4895</f>
        <v>-0.125</v>
      </c>
      <c r="Q4895" s="0" t="n">
        <f aca="false">F4895*G4895</f>
        <v>-0.125</v>
      </c>
      <c r="R4895" s="0" t="n">
        <f aca="false">F4895*H4895</f>
        <v>-0.125</v>
      </c>
      <c r="S4895" s="0" t="n">
        <f aca="false">G4895*H4895</f>
        <v>0.0625</v>
      </c>
      <c r="T4895" s="0" t="n">
        <f aca="false">E4895*E4895</f>
        <v>0.25</v>
      </c>
      <c r="U4895" s="0" t="n">
        <f aca="false">F4895*F4895</f>
        <v>0.25</v>
      </c>
      <c r="V4895" s="0" t="n">
        <f aca="false">G4895*G4895</f>
        <v>0.0625</v>
      </c>
      <c r="W4895" s="0" t="n">
        <f aca="false">H4895*H4895</f>
        <v>0.0625</v>
      </c>
      <c r="X4895" s="0" t="n">
        <f aca="false">SUMPRODUCT(I4895:W4895,_XtX!$B$96:$P$96)</f>
        <v>48.6052311769005</v>
      </c>
      <c r="Y4895" s="0" t="n">
        <f aca="false">SUMPRODUCT(MMULT(I4895:W4895,_XtX!$B$78:$P$92),I4895:W4895)</f>
        <v>0.128236647934942</v>
      </c>
      <c r="Z4895" s="0" t="n">
        <f aca="false">04_回帰ANOVA!$K$19*04_回帰ANOVA!$K$14*SQRT(1+Y4895)</f>
        <v>1.38451764188989</v>
      </c>
      <c r="AA4895" s="0" t="n">
        <f aca="false">X4895-Z4895</f>
        <v>47.2207135350107</v>
      </c>
      <c r="AB4895" s="0" t="n">
        <f aca="false">X4895+Z4895</f>
        <v>49.9897488187904</v>
      </c>
      <c r="AC4895" s="54" t="b">
        <f aca="false">AND(E4895&gt;=01_因子設定!$L$5-0.000000001,E4895&lt;=01_因子設定!$M$5+0.000000001,F4895&gt;=01_因子設定!$L$6-0.000000001,F4895&lt;=01_因子設定!$M$6+0.000000001,G4895&gt;=01_因子設定!$L$7-0.000000001,G4895&lt;=01_因子設定!$M$7+0.000000001,H4895&gt;=01_因子設定!$L$8-0.000000001,H4895&lt;=01_因子設定!$M$8+0.000000001,IF(01_因子設定!$B$20="Box-Behnken",E4895^2+F4895^2+G4895^2+H4895^2&lt;=2+0.000000001,TRUE()))</f>
        <v>1</v>
      </c>
      <c r="AD4895" s="55" t="n">
        <f aca="false">IF(AC4895,IF(01_因子設定!$B$13="最大化",AA4895-01_因子設定!$B$14,IF(01_因子設定!$B$13="最小化",01_因子設定!$B$15-AB4895,MIN(AA4895-01_因子設定!$B$14,01_因子設定!$B$15-AB4895))),-1E+030)</f>
        <v>0.72071353501066</v>
      </c>
      <c r="AE4895" s="55" t="n">
        <f aca="false">IF(AC4895,IF(01_因子設定!$B$13="最大化",X4895,IF(01_因子設定!$B$13="最小化",-X4895,-ABS(X4895-01_因子設定!$B$16))),-1E+030)</f>
        <v>48.6052311769005</v>
      </c>
      <c r="AF4895" s="55" t="n">
        <f aca="false">AD4895+ROW()*0.000000001</f>
        <v>0.72071843001066</v>
      </c>
      <c r="AG4895" s="55" t="n">
        <f aca="false">AE4895+ROW()*0.000000001</f>
        <v>48.6052360719005</v>
      </c>
    </row>
    <row r="4896" customFormat="false" ht="15" hidden="false" customHeight="false" outlineLevel="0" collapsed="false">
      <c r="A4896" s="0" t="n">
        <v>6</v>
      </c>
      <c r="B4896" s="0" t="n">
        <v>6</v>
      </c>
      <c r="C4896" s="0" t="n">
        <v>3</v>
      </c>
      <c r="D4896" s="0" t="n">
        <v>4</v>
      </c>
      <c r="E4896" s="0" t="n">
        <f aca="false">-1+A4896*0.25</f>
        <v>0.5</v>
      </c>
      <c r="F4896" s="0" t="n">
        <f aca="false">-1+B4896*0.25</f>
        <v>0.5</v>
      </c>
      <c r="G4896" s="0" t="n">
        <f aca="false">-1+C4896*0.25</f>
        <v>-0.25</v>
      </c>
      <c r="H4896" s="0" t="n">
        <f aca="false">-1+D4896*0.25</f>
        <v>0</v>
      </c>
      <c r="I4896" s="0" t="n">
        <f aca="false">1</f>
        <v>1</v>
      </c>
      <c r="J4896" s="0" t="n">
        <f aca="false">E4896</f>
        <v>0.5</v>
      </c>
      <c r="K4896" s="0" t="n">
        <f aca="false">F4896</f>
        <v>0.5</v>
      </c>
      <c r="L4896" s="0" t="n">
        <f aca="false">G4896</f>
        <v>-0.25</v>
      </c>
      <c r="M4896" s="0" t="n">
        <f aca="false">H4896</f>
        <v>0</v>
      </c>
      <c r="N4896" s="0" t="n">
        <f aca="false">E4896*F4896</f>
        <v>0.25</v>
      </c>
      <c r="O4896" s="0" t="n">
        <f aca="false">E4896*G4896</f>
        <v>-0.125</v>
      </c>
      <c r="P4896" s="0" t="n">
        <f aca="false">E4896*H4896</f>
        <v>0</v>
      </c>
      <c r="Q4896" s="0" t="n">
        <f aca="false">F4896*G4896</f>
        <v>-0.125</v>
      </c>
      <c r="R4896" s="0" t="n">
        <f aca="false">F4896*H4896</f>
        <v>0</v>
      </c>
      <c r="S4896" s="0" t="n">
        <f aca="false">G4896*H4896</f>
        <v>-0</v>
      </c>
      <c r="T4896" s="0" t="n">
        <f aca="false">E4896*E4896</f>
        <v>0.25</v>
      </c>
      <c r="U4896" s="0" t="n">
        <f aca="false">F4896*F4896</f>
        <v>0.25</v>
      </c>
      <c r="V4896" s="0" t="n">
        <f aca="false">G4896*G4896</f>
        <v>0.0625</v>
      </c>
      <c r="W4896" s="0" t="n">
        <f aca="false">H4896*H4896</f>
        <v>0</v>
      </c>
      <c r="X4896" s="0" t="n">
        <f aca="false">SUMPRODUCT(I4896:W4896,_XtX!$B$96:$P$96)</f>
        <v>48.7016173245614</v>
      </c>
      <c r="Y4896" s="0" t="n">
        <f aca="false">SUMPRODUCT(MMULT(I4896:W4896,_XtX!$B$78:$P$92),I4896:W4896)</f>
        <v>0.132367050438597</v>
      </c>
      <c r="Z4896" s="0" t="n">
        <f aca="false">04_回帰ANOVA!$K$19*04_回帰ANOVA!$K$14*SQRT(1+Y4896)</f>
        <v>1.38704964208329</v>
      </c>
      <c r="AA4896" s="0" t="n">
        <f aca="false">X4896-Z4896</f>
        <v>47.3145676824781</v>
      </c>
      <c r="AB4896" s="0" t="n">
        <f aca="false">X4896+Z4896</f>
        <v>50.0886669666447</v>
      </c>
      <c r="AC4896" s="54" t="b">
        <f aca="false">AND(E4896&gt;=01_因子設定!$L$5-0.000000001,E4896&lt;=01_因子設定!$M$5+0.000000001,F4896&gt;=01_因子設定!$L$6-0.000000001,F4896&lt;=01_因子設定!$M$6+0.000000001,G4896&gt;=01_因子設定!$L$7-0.000000001,G4896&lt;=01_因子設定!$M$7+0.000000001,H4896&gt;=01_因子設定!$L$8-0.000000001,H4896&lt;=01_因子設定!$M$8+0.000000001,IF(01_因子設定!$B$20="Box-Behnken",E4896^2+F4896^2+G4896^2+H4896^2&lt;=2+0.000000001,TRUE()))</f>
        <v>1</v>
      </c>
      <c r="AD4896" s="55" t="n">
        <f aca="false">IF(AC4896,IF(01_因子設定!$B$13="最大化",AA4896-01_因子設定!$B$14,IF(01_因子設定!$B$13="最小化",01_因子設定!$B$15-AB4896,MIN(AA4896-01_因子設定!$B$14,01_因子設定!$B$15-AB4896))),-1E+030)</f>
        <v>0.814567682478071</v>
      </c>
      <c r="AE4896" s="55" t="n">
        <f aca="false">IF(AC4896,IF(01_因子設定!$B$13="最大化",X4896,IF(01_因子設定!$B$13="最小化",-X4896,-ABS(X4896-01_因子設定!$B$16))),-1E+030)</f>
        <v>48.7016173245614</v>
      </c>
      <c r="AF4896" s="55" t="n">
        <f aca="false">AD4896+ROW()*0.000000001</f>
        <v>0.814572578478071</v>
      </c>
      <c r="AG4896" s="55" t="n">
        <f aca="false">AE4896+ROW()*0.000000001</f>
        <v>48.7016222205614</v>
      </c>
    </row>
    <row r="4897" customFormat="false" ht="15" hidden="false" customHeight="false" outlineLevel="0" collapsed="false">
      <c r="A4897" s="0" t="n">
        <v>6</v>
      </c>
      <c r="B4897" s="0" t="n">
        <v>6</v>
      </c>
      <c r="C4897" s="0" t="n">
        <v>3</v>
      </c>
      <c r="D4897" s="0" t="n">
        <v>5</v>
      </c>
      <c r="E4897" s="0" t="n">
        <f aca="false">-1+A4897*0.25</f>
        <v>0.5</v>
      </c>
      <c r="F4897" s="0" t="n">
        <f aca="false">-1+B4897*0.25</f>
        <v>0.5</v>
      </c>
      <c r="G4897" s="0" t="n">
        <f aca="false">-1+C4897*0.25</f>
        <v>-0.25</v>
      </c>
      <c r="H4897" s="0" t="n">
        <f aca="false">-1+D4897*0.25</f>
        <v>0.25</v>
      </c>
      <c r="I4897" s="0" t="n">
        <f aca="false">1</f>
        <v>1</v>
      </c>
      <c r="J4897" s="0" t="n">
        <f aca="false">E4897</f>
        <v>0.5</v>
      </c>
      <c r="K4897" s="0" t="n">
        <f aca="false">F4897</f>
        <v>0.5</v>
      </c>
      <c r="L4897" s="0" t="n">
        <f aca="false">G4897</f>
        <v>-0.25</v>
      </c>
      <c r="M4897" s="0" t="n">
        <f aca="false">H4897</f>
        <v>0.25</v>
      </c>
      <c r="N4897" s="0" t="n">
        <f aca="false">E4897*F4897</f>
        <v>0.25</v>
      </c>
      <c r="O4897" s="0" t="n">
        <f aca="false">E4897*G4897</f>
        <v>-0.125</v>
      </c>
      <c r="P4897" s="0" t="n">
        <f aca="false">E4897*H4897</f>
        <v>0.125</v>
      </c>
      <c r="Q4897" s="0" t="n">
        <f aca="false">F4897*G4897</f>
        <v>-0.125</v>
      </c>
      <c r="R4897" s="0" t="n">
        <f aca="false">F4897*H4897</f>
        <v>0.125</v>
      </c>
      <c r="S4897" s="0" t="n">
        <f aca="false">G4897*H4897</f>
        <v>-0.0625</v>
      </c>
      <c r="T4897" s="0" t="n">
        <f aca="false">E4897*E4897</f>
        <v>0.25</v>
      </c>
      <c r="U4897" s="0" t="n">
        <f aca="false">F4897*F4897</f>
        <v>0.25</v>
      </c>
      <c r="V4897" s="0" t="n">
        <f aca="false">G4897*G4897</f>
        <v>0.0625</v>
      </c>
      <c r="W4897" s="0" t="n">
        <f aca="false">H4897*H4897</f>
        <v>0.0625</v>
      </c>
      <c r="X4897" s="0" t="n">
        <f aca="false">SUMPRODUCT(I4897:W4897,_XtX!$B$96:$P$96)</f>
        <v>48.7501964546783</v>
      </c>
      <c r="Y4897" s="0" t="n">
        <f aca="false">SUMPRODUCT(MMULT(I4897:W4897,_XtX!$B$78:$P$92),I4897:W4897)</f>
        <v>0.128236647934942</v>
      </c>
      <c r="Z4897" s="0" t="n">
        <f aca="false">04_回帰ANOVA!$K$19*04_回帰ANOVA!$K$14*SQRT(1+Y4897)</f>
        <v>1.38451764188989</v>
      </c>
      <c r="AA4897" s="0" t="n">
        <f aca="false">X4897-Z4897</f>
        <v>47.3656788127884</v>
      </c>
      <c r="AB4897" s="0" t="n">
        <f aca="false">X4897+Z4897</f>
        <v>50.1347140965682</v>
      </c>
      <c r="AC4897" s="54" t="b">
        <f aca="false">AND(E4897&gt;=01_因子設定!$L$5-0.000000001,E4897&lt;=01_因子設定!$M$5+0.000000001,F4897&gt;=01_因子設定!$L$6-0.000000001,F4897&lt;=01_因子設定!$M$6+0.000000001,G4897&gt;=01_因子設定!$L$7-0.000000001,G4897&lt;=01_因子設定!$M$7+0.000000001,H4897&gt;=01_因子設定!$L$8-0.000000001,H4897&lt;=01_因子設定!$M$8+0.000000001,IF(01_因子設定!$B$20="Box-Behnken",E4897^2+F4897^2+G4897^2+H4897^2&lt;=2+0.000000001,TRUE()))</f>
        <v>1</v>
      </c>
      <c r="AD4897" s="55" t="n">
        <f aca="false">IF(AC4897,IF(01_因子設定!$B$13="最大化",AA4897-01_因子設定!$B$14,IF(01_因子設定!$B$13="最小化",01_因子設定!$B$15-AB4897,MIN(AA4897-01_因子設定!$B$14,01_因子設定!$B$15-AB4897))),-1E+030)</f>
        <v>0.865678812788431</v>
      </c>
      <c r="AE4897" s="55" t="n">
        <f aca="false">IF(AC4897,IF(01_因子設定!$B$13="最大化",X4897,IF(01_因子設定!$B$13="最小化",-X4897,-ABS(X4897-01_因子設定!$B$16))),-1E+030)</f>
        <v>48.7501964546783</v>
      </c>
      <c r="AF4897" s="55" t="n">
        <f aca="false">AD4897+ROW()*0.000000001</f>
        <v>0.865683709788431</v>
      </c>
      <c r="AG4897" s="55" t="n">
        <f aca="false">AE4897+ROW()*0.000000001</f>
        <v>48.7502013516783</v>
      </c>
    </row>
    <row r="4898" customFormat="false" ht="15" hidden="false" customHeight="false" outlineLevel="0" collapsed="false">
      <c r="A4898" s="0" t="n">
        <v>6</v>
      </c>
      <c r="B4898" s="0" t="n">
        <v>6</v>
      </c>
      <c r="C4898" s="0" t="n">
        <v>3</v>
      </c>
      <c r="D4898" s="0" t="n">
        <v>6</v>
      </c>
      <c r="E4898" s="0" t="n">
        <f aca="false">-1+A4898*0.25</f>
        <v>0.5</v>
      </c>
      <c r="F4898" s="0" t="n">
        <f aca="false">-1+B4898*0.25</f>
        <v>0.5</v>
      </c>
      <c r="G4898" s="0" t="n">
        <f aca="false">-1+C4898*0.25</f>
        <v>-0.25</v>
      </c>
      <c r="H4898" s="0" t="n">
        <f aca="false">-1+D4898*0.25</f>
        <v>0.5</v>
      </c>
      <c r="I4898" s="0" t="n">
        <f aca="false">1</f>
        <v>1</v>
      </c>
      <c r="J4898" s="0" t="n">
        <f aca="false">E4898</f>
        <v>0.5</v>
      </c>
      <c r="K4898" s="0" t="n">
        <f aca="false">F4898</f>
        <v>0.5</v>
      </c>
      <c r="L4898" s="0" t="n">
        <f aca="false">G4898</f>
        <v>-0.25</v>
      </c>
      <c r="M4898" s="0" t="n">
        <f aca="false">H4898</f>
        <v>0.5</v>
      </c>
      <c r="N4898" s="0" t="n">
        <f aca="false">E4898*F4898</f>
        <v>0.25</v>
      </c>
      <c r="O4898" s="0" t="n">
        <f aca="false">E4898*G4898</f>
        <v>-0.125</v>
      </c>
      <c r="P4898" s="0" t="n">
        <f aca="false">E4898*H4898</f>
        <v>0.25</v>
      </c>
      <c r="Q4898" s="0" t="n">
        <f aca="false">F4898*G4898</f>
        <v>-0.125</v>
      </c>
      <c r="R4898" s="0" t="n">
        <f aca="false">F4898*H4898</f>
        <v>0.25</v>
      </c>
      <c r="S4898" s="0" t="n">
        <f aca="false">G4898*H4898</f>
        <v>-0.125</v>
      </c>
      <c r="T4898" s="0" t="n">
        <f aca="false">E4898*E4898</f>
        <v>0.25</v>
      </c>
      <c r="U4898" s="0" t="n">
        <f aca="false">F4898*F4898</f>
        <v>0.25</v>
      </c>
      <c r="V4898" s="0" t="n">
        <f aca="false">G4898*G4898</f>
        <v>0.0625</v>
      </c>
      <c r="W4898" s="0" t="n">
        <f aca="false">H4898*H4898</f>
        <v>0.25</v>
      </c>
      <c r="X4898" s="0" t="n">
        <f aca="false">SUMPRODUCT(I4898:W4898,_XtX!$B$96:$P$96)</f>
        <v>48.7509685672514</v>
      </c>
      <c r="Y4898" s="0" t="n">
        <f aca="false">SUMPRODUCT(MMULT(I4898:W4898,_XtX!$B$78:$P$92),I4898:W4898)</f>
        <v>0.133937545687135</v>
      </c>
      <c r="Z4898" s="0" t="n">
        <f aca="false">04_回帰ANOVA!$K$19*04_回帰ANOVA!$K$14*SQRT(1+Y4898)</f>
        <v>1.38801116780825</v>
      </c>
      <c r="AA4898" s="0" t="n">
        <f aca="false">X4898-Z4898</f>
        <v>47.3629573994432</v>
      </c>
      <c r="AB4898" s="0" t="n">
        <f aca="false">X4898+Z4898</f>
        <v>50.1389797350597</v>
      </c>
      <c r="AC4898" s="54" t="b">
        <f aca="false">AND(E4898&gt;=01_因子設定!$L$5-0.000000001,E4898&lt;=01_因子設定!$M$5+0.000000001,F4898&gt;=01_因子設定!$L$6-0.000000001,F4898&lt;=01_因子設定!$M$6+0.000000001,G4898&gt;=01_因子設定!$L$7-0.000000001,G4898&lt;=01_因子設定!$M$7+0.000000001,H4898&gt;=01_因子設定!$L$8-0.000000001,H4898&lt;=01_因子設定!$M$8+0.000000001,IF(01_因子設定!$B$20="Box-Behnken",E4898^2+F4898^2+G4898^2+H4898^2&lt;=2+0.000000001,TRUE()))</f>
        <v>1</v>
      </c>
      <c r="AD4898" s="55" t="n">
        <f aca="false">IF(AC4898,IF(01_因子設定!$B$13="最大化",AA4898-01_因子設定!$B$14,IF(01_因子設定!$B$13="最小化",01_因子設定!$B$15-AB4898,MIN(AA4898-01_因子設定!$B$14,01_因子設定!$B$15-AB4898))),-1E+030)</f>
        <v>0.862957399443175</v>
      </c>
      <c r="AE4898" s="55" t="n">
        <f aca="false">IF(AC4898,IF(01_因子設定!$B$13="最大化",X4898,IF(01_因子設定!$B$13="最小化",-X4898,-ABS(X4898-01_因子設定!$B$16))),-1E+030)</f>
        <v>48.7509685672514</v>
      </c>
      <c r="AF4898" s="55" t="n">
        <f aca="false">AD4898+ROW()*0.000000001</f>
        <v>0.862962297443175</v>
      </c>
      <c r="AG4898" s="55" t="n">
        <f aca="false">AE4898+ROW()*0.000000001</f>
        <v>48.7509734652514</v>
      </c>
    </row>
    <row r="4899" customFormat="false" ht="15" hidden="false" customHeight="false" outlineLevel="0" collapsed="false">
      <c r="A4899" s="0" t="n">
        <v>6</v>
      </c>
      <c r="B4899" s="0" t="n">
        <v>6</v>
      </c>
      <c r="C4899" s="0" t="n">
        <v>3</v>
      </c>
      <c r="D4899" s="0" t="n">
        <v>7</v>
      </c>
      <c r="E4899" s="0" t="n">
        <f aca="false">-1+A4899*0.25</f>
        <v>0.5</v>
      </c>
      <c r="F4899" s="0" t="n">
        <f aca="false">-1+B4899*0.25</f>
        <v>0.5</v>
      </c>
      <c r="G4899" s="0" t="n">
        <f aca="false">-1+C4899*0.25</f>
        <v>-0.25</v>
      </c>
      <c r="H4899" s="0" t="n">
        <f aca="false">-1+D4899*0.25</f>
        <v>0.75</v>
      </c>
      <c r="I4899" s="0" t="n">
        <f aca="false">1</f>
        <v>1</v>
      </c>
      <c r="J4899" s="0" t="n">
        <f aca="false">E4899</f>
        <v>0.5</v>
      </c>
      <c r="K4899" s="0" t="n">
        <f aca="false">F4899</f>
        <v>0.5</v>
      </c>
      <c r="L4899" s="0" t="n">
        <f aca="false">G4899</f>
        <v>-0.25</v>
      </c>
      <c r="M4899" s="0" t="n">
        <f aca="false">H4899</f>
        <v>0.75</v>
      </c>
      <c r="N4899" s="0" t="n">
        <f aca="false">E4899*F4899</f>
        <v>0.25</v>
      </c>
      <c r="O4899" s="0" t="n">
        <f aca="false">E4899*G4899</f>
        <v>-0.125</v>
      </c>
      <c r="P4899" s="0" t="n">
        <f aca="false">E4899*H4899</f>
        <v>0.375</v>
      </c>
      <c r="Q4899" s="0" t="n">
        <f aca="false">F4899*G4899</f>
        <v>-0.125</v>
      </c>
      <c r="R4899" s="0" t="n">
        <f aca="false">F4899*H4899</f>
        <v>0.375</v>
      </c>
      <c r="S4899" s="0" t="n">
        <f aca="false">G4899*H4899</f>
        <v>-0.1875</v>
      </c>
      <c r="T4899" s="0" t="n">
        <f aca="false">E4899*E4899</f>
        <v>0.25</v>
      </c>
      <c r="U4899" s="0" t="n">
        <f aca="false">F4899*F4899</f>
        <v>0.25</v>
      </c>
      <c r="V4899" s="0" t="n">
        <f aca="false">G4899*G4899</f>
        <v>0.0625</v>
      </c>
      <c r="W4899" s="0" t="n">
        <f aca="false">H4899*H4899</f>
        <v>0.5625</v>
      </c>
      <c r="X4899" s="0" t="n">
        <f aca="false">SUMPRODUCT(I4899:W4899,_XtX!$B$96:$P$96)</f>
        <v>48.7039336622807</v>
      </c>
      <c r="Y4899" s="0" t="n">
        <f aca="false">SUMPRODUCT(MMULT(I4899:W4899,_XtX!$B$78:$P$92),I4899:W4899)</f>
        <v>0.203746059484649</v>
      </c>
      <c r="Z4899" s="0" t="n">
        <f aca="false">04_回帰ANOVA!$K$19*04_回帰ANOVA!$K$14*SQRT(1+Y4899)</f>
        <v>1.43009810755465</v>
      </c>
      <c r="AA4899" s="0" t="n">
        <f aca="false">X4899-Z4899</f>
        <v>47.273835554726</v>
      </c>
      <c r="AB4899" s="0" t="n">
        <f aca="false">X4899+Z4899</f>
        <v>50.1340317698353</v>
      </c>
      <c r="AC4899" s="54" t="b">
        <f aca="false">AND(E4899&gt;=01_因子設定!$L$5-0.000000001,E4899&lt;=01_因子設定!$M$5+0.000000001,F4899&gt;=01_因子設定!$L$6-0.000000001,F4899&lt;=01_因子設定!$M$6+0.000000001,G4899&gt;=01_因子設定!$L$7-0.000000001,G4899&lt;=01_因子設定!$M$7+0.000000001,H4899&gt;=01_因子設定!$L$8-0.000000001,H4899&lt;=01_因子設定!$M$8+0.000000001,IF(01_因子設定!$B$20="Box-Behnken",E4899^2+F4899^2+G4899^2+H4899^2&lt;=2+0.000000001,TRUE()))</f>
        <v>1</v>
      </c>
      <c r="AD4899" s="55" t="n">
        <f aca="false">IF(AC4899,IF(01_因子設定!$B$13="最大化",AA4899-01_因子設定!$B$14,IF(01_因子設定!$B$13="最小化",01_因子設定!$B$15-AB4899,MIN(AA4899-01_因子設定!$B$14,01_因子設定!$B$15-AB4899))),-1E+030)</f>
        <v>0.773835554726027</v>
      </c>
      <c r="AE4899" s="55" t="n">
        <f aca="false">IF(AC4899,IF(01_因子設定!$B$13="最大化",X4899,IF(01_因子設定!$B$13="最小化",-X4899,-ABS(X4899-01_因子設定!$B$16))),-1E+030)</f>
        <v>48.7039336622807</v>
      </c>
      <c r="AF4899" s="55" t="n">
        <f aca="false">AD4899+ROW()*0.000000001</f>
        <v>0.773840453726027</v>
      </c>
      <c r="AG4899" s="55" t="n">
        <f aca="false">AE4899+ROW()*0.000000001</f>
        <v>48.7039385612807</v>
      </c>
    </row>
    <row r="4900" customFormat="false" ht="15" hidden="false" customHeight="false" outlineLevel="0" collapsed="false">
      <c r="A4900" s="0" t="n">
        <v>6</v>
      </c>
      <c r="B4900" s="0" t="n">
        <v>6</v>
      </c>
      <c r="C4900" s="0" t="n">
        <v>3</v>
      </c>
      <c r="D4900" s="0" t="n">
        <v>8</v>
      </c>
      <c r="E4900" s="0" t="n">
        <f aca="false">-1+A4900*0.25</f>
        <v>0.5</v>
      </c>
      <c r="F4900" s="0" t="n">
        <f aca="false">-1+B4900*0.25</f>
        <v>0.5</v>
      </c>
      <c r="G4900" s="0" t="n">
        <f aca="false">-1+C4900*0.25</f>
        <v>-0.25</v>
      </c>
      <c r="H4900" s="0" t="n">
        <f aca="false">-1+D4900*0.25</f>
        <v>1</v>
      </c>
      <c r="I4900" s="0" t="n">
        <f aca="false">1</f>
        <v>1</v>
      </c>
      <c r="J4900" s="0" t="n">
        <f aca="false">E4900</f>
        <v>0.5</v>
      </c>
      <c r="K4900" s="0" t="n">
        <f aca="false">F4900</f>
        <v>0.5</v>
      </c>
      <c r="L4900" s="0" t="n">
        <f aca="false">G4900</f>
        <v>-0.25</v>
      </c>
      <c r="M4900" s="0" t="n">
        <f aca="false">H4900</f>
        <v>1</v>
      </c>
      <c r="N4900" s="0" t="n">
        <f aca="false">E4900*F4900</f>
        <v>0.25</v>
      </c>
      <c r="O4900" s="0" t="n">
        <f aca="false">E4900*G4900</f>
        <v>-0.125</v>
      </c>
      <c r="P4900" s="0" t="n">
        <f aca="false">E4900*H4900</f>
        <v>0.5</v>
      </c>
      <c r="Q4900" s="0" t="n">
        <f aca="false">F4900*G4900</f>
        <v>-0.125</v>
      </c>
      <c r="R4900" s="0" t="n">
        <f aca="false">F4900*H4900</f>
        <v>0.5</v>
      </c>
      <c r="S4900" s="0" t="n">
        <f aca="false">G4900*H4900</f>
        <v>-0.25</v>
      </c>
      <c r="T4900" s="0" t="n">
        <f aca="false">E4900*E4900</f>
        <v>0.25</v>
      </c>
      <c r="U4900" s="0" t="n">
        <f aca="false">F4900*F4900</f>
        <v>0.25</v>
      </c>
      <c r="V4900" s="0" t="n">
        <f aca="false">G4900*G4900</f>
        <v>0.0625</v>
      </c>
      <c r="W4900" s="0" t="n">
        <f aca="false">H4900*H4900</f>
        <v>1</v>
      </c>
      <c r="X4900" s="0" t="n">
        <f aca="false">SUMPRODUCT(I4900:W4900,_XtX!$B$96:$P$96)</f>
        <v>48.6090917397661</v>
      </c>
      <c r="Y4900" s="0" t="n">
        <f aca="false">SUMPRODUCT(MMULT(I4900:W4900,_XtX!$B$78:$P$92),I4900:W4900)</f>
        <v>0.428122715643275</v>
      </c>
      <c r="Z4900" s="0" t="n">
        <f aca="false">04_回帰ANOVA!$K$19*04_回帰ANOVA!$K$14*SQRT(1+Y4900)</f>
        <v>1.55769044623229</v>
      </c>
      <c r="AA4900" s="0" t="n">
        <f aca="false">X4900-Z4900</f>
        <v>47.0514012935338</v>
      </c>
      <c r="AB4900" s="0" t="n">
        <f aca="false">X4900+Z4900</f>
        <v>50.1667821859984</v>
      </c>
      <c r="AC4900" s="54" t="b">
        <f aca="false">AND(E4900&gt;=01_因子設定!$L$5-0.000000001,E4900&lt;=01_因子設定!$M$5+0.000000001,F4900&gt;=01_因子設定!$L$6-0.000000001,F4900&lt;=01_因子設定!$M$6+0.000000001,G4900&gt;=01_因子設定!$L$7-0.000000001,G4900&lt;=01_因子設定!$M$7+0.000000001,H4900&gt;=01_因子設定!$L$8-0.000000001,H4900&lt;=01_因子設定!$M$8+0.000000001,IF(01_因子設定!$B$20="Box-Behnken",E4900^2+F4900^2+G4900^2+H4900^2&lt;=2+0.000000001,TRUE()))</f>
        <v>1</v>
      </c>
      <c r="AD4900" s="55" t="n">
        <f aca="false">IF(AC4900,IF(01_因子設定!$B$13="最大化",AA4900-01_因子設定!$B$14,IF(01_因子設定!$B$13="最小化",01_因子設定!$B$15-AB4900,MIN(AA4900-01_因子設定!$B$14,01_因子設定!$B$15-AB4900))),-1E+030)</f>
        <v>0.551401293533779</v>
      </c>
      <c r="AE4900" s="55" t="n">
        <f aca="false">IF(AC4900,IF(01_因子設定!$B$13="最大化",X4900,IF(01_因子設定!$B$13="最小化",-X4900,-ABS(X4900-01_因子設定!$B$16))),-1E+030)</f>
        <v>48.6090917397661</v>
      </c>
      <c r="AF4900" s="55" t="n">
        <f aca="false">AD4900+ROW()*0.000000001</f>
        <v>0.551406193533779</v>
      </c>
      <c r="AG4900" s="55" t="n">
        <f aca="false">AE4900+ROW()*0.000000001</f>
        <v>48.6090966397661</v>
      </c>
    </row>
    <row r="4901" customFormat="false" ht="15" hidden="false" customHeight="false" outlineLevel="0" collapsed="false">
      <c r="A4901" s="0" t="n">
        <v>6</v>
      </c>
      <c r="B4901" s="0" t="n">
        <v>6</v>
      </c>
      <c r="C4901" s="0" t="n">
        <v>4</v>
      </c>
      <c r="D4901" s="0" t="n">
        <v>0</v>
      </c>
      <c r="E4901" s="0" t="n">
        <f aca="false">-1+A4901*0.25</f>
        <v>0.5</v>
      </c>
      <c r="F4901" s="0" t="n">
        <f aca="false">-1+B4901*0.25</f>
        <v>0.5</v>
      </c>
      <c r="G4901" s="0" t="n">
        <f aca="false">-1+C4901*0.25</f>
        <v>0</v>
      </c>
      <c r="H4901" s="0" t="n">
        <f aca="false">-1+D4901*0.25</f>
        <v>-1</v>
      </c>
      <c r="I4901" s="0" t="n">
        <f aca="false">1</f>
        <v>1</v>
      </c>
      <c r="J4901" s="0" t="n">
        <f aca="false">E4901</f>
        <v>0.5</v>
      </c>
      <c r="K4901" s="0" t="n">
        <f aca="false">F4901</f>
        <v>0.5</v>
      </c>
      <c r="L4901" s="0" t="n">
        <f aca="false">G4901</f>
        <v>0</v>
      </c>
      <c r="M4901" s="0" t="n">
        <f aca="false">H4901</f>
        <v>-1</v>
      </c>
      <c r="N4901" s="0" t="n">
        <f aca="false">E4901*F4901</f>
        <v>0.25</v>
      </c>
      <c r="O4901" s="0" t="n">
        <f aca="false">E4901*G4901</f>
        <v>0</v>
      </c>
      <c r="P4901" s="0" t="n">
        <f aca="false">E4901*H4901</f>
        <v>-0.5</v>
      </c>
      <c r="Q4901" s="0" t="n">
        <f aca="false">F4901*G4901</f>
        <v>0</v>
      </c>
      <c r="R4901" s="0" t="n">
        <f aca="false">F4901*H4901</f>
        <v>-0.5</v>
      </c>
      <c r="S4901" s="0" t="n">
        <f aca="false">G4901*H4901</f>
        <v>-0</v>
      </c>
      <c r="T4901" s="0" t="n">
        <f aca="false">E4901*E4901</f>
        <v>0.25</v>
      </c>
      <c r="U4901" s="0" t="n">
        <f aca="false">F4901*F4901</f>
        <v>0.25</v>
      </c>
      <c r="V4901" s="0" t="n">
        <f aca="false">G4901*G4901</f>
        <v>0</v>
      </c>
      <c r="W4901" s="0" t="n">
        <f aca="false">H4901*H4901</f>
        <v>1</v>
      </c>
      <c r="X4901" s="0" t="n">
        <f aca="false">SUMPRODUCT(I4901:W4901,_XtX!$B$96:$P$96)</f>
        <v>48.2036549707602</v>
      </c>
      <c r="Y4901" s="0" t="n">
        <f aca="false">SUMPRODUCT(MMULT(I4901:W4901,_XtX!$B$78:$P$92),I4901:W4901)</f>
        <v>0.441954495614035</v>
      </c>
      <c r="Z4901" s="0" t="n">
        <f aca="false">04_回帰ANOVA!$K$19*04_回帰ANOVA!$K$14*SQRT(1+Y4901)</f>
        <v>1.56521560968066</v>
      </c>
      <c r="AA4901" s="0" t="n">
        <f aca="false">X4901-Z4901</f>
        <v>46.6384393610796</v>
      </c>
      <c r="AB4901" s="0" t="n">
        <f aca="false">X4901+Z4901</f>
        <v>49.7688705804409</v>
      </c>
      <c r="AC4901" s="54" t="b">
        <f aca="false">AND(E4901&gt;=01_因子設定!$L$5-0.000000001,E4901&lt;=01_因子設定!$M$5+0.000000001,F4901&gt;=01_因子設定!$L$6-0.000000001,F4901&lt;=01_因子設定!$M$6+0.000000001,G4901&gt;=01_因子設定!$L$7-0.000000001,G4901&lt;=01_因子設定!$M$7+0.000000001,H4901&gt;=01_因子設定!$L$8-0.000000001,H4901&lt;=01_因子設定!$M$8+0.000000001,IF(01_因子設定!$B$20="Box-Behnken",E4901^2+F4901^2+G4901^2+H4901^2&lt;=2+0.000000001,TRUE()))</f>
        <v>1</v>
      </c>
      <c r="AD4901" s="55" t="n">
        <f aca="false">IF(AC4901,IF(01_因子設定!$B$13="最大化",AA4901-01_因子設定!$B$14,IF(01_因子設定!$B$13="最小化",01_因子設定!$B$15-AB4901,MIN(AA4901-01_因子設定!$B$14,01_因子設定!$B$15-AB4901))),-1E+030)</f>
        <v>0.138439361079563</v>
      </c>
      <c r="AE4901" s="55" t="n">
        <f aca="false">IF(AC4901,IF(01_因子設定!$B$13="最大化",X4901,IF(01_因子設定!$B$13="最小化",-X4901,-ABS(X4901-01_因子設定!$B$16))),-1E+030)</f>
        <v>48.2036549707602</v>
      </c>
      <c r="AF4901" s="55" t="n">
        <f aca="false">AD4901+ROW()*0.000000001</f>
        <v>0.138444262079563</v>
      </c>
      <c r="AG4901" s="55" t="n">
        <f aca="false">AE4901+ROW()*0.000000001</f>
        <v>48.2036598717602</v>
      </c>
    </row>
    <row r="4902" customFormat="false" ht="15" hidden="false" customHeight="false" outlineLevel="0" collapsed="false">
      <c r="A4902" s="0" t="n">
        <v>6</v>
      </c>
      <c r="B4902" s="0" t="n">
        <v>6</v>
      </c>
      <c r="C4902" s="0" t="n">
        <v>4</v>
      </c>
      <c r="D4902" s="0" t="n">
        <v>1</v>
      </c>
      <c r="E4902" s="0" t="n">
        <f aca="false">-1+A4902*0.25</f>
        <v>0.5</v>
      </c>
      <c r="F4902" s="0" t="n">
        <f aca="false">-1+B4902*0.25</f>
        <v>0.5</v>
      </c>
      <c r="G4902" s="0" t="n">
        <f aca="false">-1+C4902*0.25</f>
        <v>0</v>
      </c>
      <c r="H4902" s="0" t="n">
        <f aca="false">-1+D4902*0.25</f>
        <v>-0.75</v>
      </c>
      <c r="I4902" s="0" t="n">
        <f aca="false">1</f>
        <v>1</v>
      </c>
      <c r="J4902" s="0" t="n">
        <f aca="false">E4902</f>
        <v>0.5</v>
      </c>
      <c r="K4902" s="0" t="n">
        <f aca="false">F4902</f>
        <v>0.5</v>
      </c>
      <c r="L4902" s="0" t="n">
        <f aca="false">G4902</f>
        <v>0</v>
      </c>
      <c r="M4902" s="0" t="n">
        <f aca="false">H4902</f>
        <v>-0.75</v>
      </c>
      <c r="N4902" s="0" t="n">
        <f aca="false">E4902*F4902</f>
        <v>0.25</v>
      </c>
      <c r="O4902" s="0" t="n">
        <f aca="false">E4902*G4902</f>
        <v>0</v>
      </c>
      <c r="P4902" s="0" t="n">
        <f aca="false">E4902*H4902</f>
        <v>-0.375</v>
      </c>
      <c r="Q4902" s="0" t="n">
        <f aca="false">F4902*G4902</f>
        <v>0</v>
      </c>
      <c r="R4902" s="0" t="n">
        <f aca="false">F4902*H4902</f>
        <v>-0.375</v>
      </c>
      <c r="S4902" s="0" t="n">
        <f aca="false">G4902*H4902</f>
        <v>-0</v>
      </c>
      <c r="T4902" s="0" t="n">
        <f aca="false">E4902*E4902</f>
        <v>0.25</v>
      </c>
      <c r="U4902" s="0" t="n">
        <f aca="false">F4902*F4902</f>
        <v>0.25</v>
      </c>
      <c r="V4902" s="0" t="n">
        <f aca="false">G4902*G4902</f>
        <v>0</v>
      </c>
      <c r="W4902" s="0" t="n">
        <f aca="false">H4902*H4902</f>
        <v>0.5625</v>
      </c>
      <c r="X4902" s="0" t="n">
        <f aca="false">SUMPRODUCT(I4902:W4902,_XtX!$B$96:$P$96)</f>
        <v>48.4614309210526</v>
      </c>
      <c r="Y4902" s="0" t="n">
        <f aca="false">SUMPRODUCT(MMULT(I4902:W4902,_XtX!$B$78:$P$92),I4902:W4902)</f>
        <v>0.21305052997076</v>
      </c>
      <c r="Z4902" s="0" t="n">
        <f aca="false">04_回帰ANOVA!$K$19*04_回帰ANOVA!$K$14*SQRT(1+Y4902)</f>
        <v>1.43561450835061</v>
      </c>
      <c r="AA4902" s="0" t="n">
        <f aca="false">X4902-Z4902</f>
        <v>47.025816412702</v>
      </c>
      <c r="AB4902" s="0" t="n">
        <f aca="false">X4902+Z4902</f>
        <v>49.8970454294032</v>
      </c>
      <c r="AC4902" s="54" t="b">
        <f aca="false">AND(E4902&gt;=01_因子設定!$L$5-0.000000001,E4902&lt;=01_因子設定!$M$5+0.000000001,F4902&gt;=01_因子設定!$L$6-0.000000001,F4902&lt;=01_因子設定!$M$6+0.000000001,G4902&gt;=01_因子設定!$L$7-0.000000001,G4902&lt;=01_因子設定!$M$7+0.000000001,H4902&gt;=01_因子設定!$L$8-0.000000001,H4902&lt;=01_因子設定!$M$8+0.000000001,IF(01_因子設定!$B$20="Box-Behnken",E4902^2+F4902^2+G4902^2+H4902^2&lt;=2+0.000000001,TRUE()))</f>
        <v>1</v>
      </c>
      <c r="AD4902" s="55" t="n">
        <f aca="false">IF(AC4902,IF(01_因子設定!$B$13="最大化",AA4902-01_因子設定!$B$14,IF(01_因子設定!$B$13="最小化",01_因子設定!$B$15-AB4902,MIN(AA4902-01_因子設定!$B$14,01_因子設定!$B$15-AB4902))),-1E+030)</f>
        <v>0.525816412702007</v>
      </c>
      <c r="AE4902" s="55" t="n">
        <f aca="false">IF(AC4902,IF(01_因子設定!$B$13="最大化",X4902,IF(01_因子設定!$B$13="最小化",-X4902,-ABS(X4902-01_因子設定!$B$16))),-1E+030)</f>
        <v>48.4614309210526</v>
      </c>
      <c r="AF4902" s="55" t="n">
        <f aca="false">AD4902+ROW()*0.000000001</f>
        <v>0.525821314702007</v>
      </c>
      <c r="AG4902" s="55" t="n">
        <f aca="false">AE4902+ROW()*0.000000001</f>
        <v>48.4614358230526</v>
      </c>
    </row>
    <row r="4903" customFormat="false" ht="15" hidden="false" customHeight="false" outlineLevel="0" collapsed="false">
      <c r="A4903" s="0" t="n">
        <v>6</v>
      </c>
      <c r="B4903" s="0" t="n">
        <v>6</v>
      </c>
      <c r="C4903" s="0" t="n">
        <v>4</v>
      </c>
      <c r="D4903" s="0" t="n">
        <v>2</v>
      </c>
      <c r="E4903" s="0" t="n">
        <f aca="false">-1+A4903*0.25</f>
        <v>0.5</v>
      </c>
      <c r="F4903" s="0" t="n">
        <f aca="false">-1+B4903*0.25</f>
        <v>0.5</v>
      </c>
      <c r="G4903" s="0" t="n">
        <f aca="false">-1+C4903*0.25</f>
        <v>0</v>
      </c>
      <c r="H4903" s="0" t="n">
        <f aca="false">-1+D4903*0.25</f>
        <v>-0.5</v>
      </c>
      <c r="I4903" s="0" t="n">
        <f aca="false">1</f>
        <v>1</v>
      </c>
      <c r="J4903" s="0" t="n">
        <f aca="false">E4903</f>
        <v>0.5</v>
      </c>
      <c r="K4903" s="0" t="n">
        <f aca="false">F4903</f>
        <v>0.5</v>
      </c>
      <c r="L4903" s="0" t="n">
        <f aca="false">G4903</f>
        <v>0</v>
      </c>
      <c r="M4903" s="0" t="n">
        <f aca="false">H4903</f>
        <v>-0.5</v>
      </c>
      <c r="N4903" s="0" t="n">
        <f aca="false">E4903*F4903</f>
        <v>0.25</v>
      </c>
      <c r="O4903" s="0" t="n">
        <f aca="false">E4903*G4903</f>
        <v>0</v>
      </c>
      <c r="P4903" s="0" t="n">
        <f aca="false">E4903*H4903</f>
        <v>-0.25</v>
      </c>
      <c r="Q4903" s="0" t="n">
        <f aca="false">F4903*G4903</f>
        <v>0</v>
      </c>
      <c r="R4903" s="0" t="n">
        <f aca="false">F4903*H4903</f>
        <v>-0.25</v>
      </c>
      <c r="S4903" s="0" t="n">
        <f aca="false">G4903*H4903</f>
        <v>-0</v>
      </c>
      <c r="T4903" s="0" t="n">
        <f aca="false">E4903*E4903</f>
        <v>0.25</v>
      </c>
      <c r="U4903" s="0" t="n">
        <f aca="false">F4903*F4903</f>
        <v>0.25</v>
      </c>
      <c r="V4903" s="0" t="n">
        <f aca="false">G4903*G4903</f>
        <v>0</v>
      </c>
      <c r="W4903" s="0" t="n">
        <f aca="false">H4903*H4903</f>
        <v>0.25</v>
      </c>
      <c r="X4903" s="0" t="n">
        <f aca="false">SUMPRODUCT(I4903:W4903,_XtX!$B$96:$P$96)</f>
        <v>48.6713998538011</v>
      </c>
      <c r="Y4903" s="0" t="n">
        <f aca="false">SUMPRODUCT(MMULT(I4903:W4903,_XtX!$B$78:$P$92),I4903:W4903)</f>
        <v>0.140008223684211</v>
      </c>
      <c r="Z4903" s="0" t="n">
        <f aca="false">04_回帰ANOVA!$K$19*04_回帰ANOVA!$K$14*SQRT(1+Y4903)</f>
        <v>1.39172165492264</v>
      </c>
      <c r="AA4903" s="0" t="n">
        <f aca="false">X4903-Z4903</f>
        <v>47.2796781988785</v>
      </c>
      <c r="AB4903" s="0" t="n">
        <f aca="false">X4903+Z4903</f>
        <v>50.0631215087238</v>
      </c>
      <c r="AC4903" s="54" t="b">
        <f aca="false">AND(E4903&gt;=01_因子設定!$L$5-0.000000001,E4903&lt;=01_因子設定!$M$5+0.000000001,F4903&gt;=01_因子設定!$L$6-0.000000001,F4903&lt;=01_因子設定!$M$6+0.000000001,G4903&gt;=01_因子設定!$L$7-0.000000001,G4903&lt;=01_因子設定!$M$7+0.000000001,H4903&gt;=01_因子設定!$L$8-0.000000001,H4903&lt;=01_因子設定!$M$8+0.000000001,IF(01_因子設定!$B$20="Box-Behnken",E4903^2+F4903^2+G4903^2+H4903^2&lt;=2+0.000000001,TRUE()))</f>
        <v>1</v>
      </c>
      <c r="AD4903" s="55" t="n">
        <f aca="false">IF(AC4903,IF(01_因子設定!$B$13="最大化",AA4903-01_因子設定!$B$14,IF(01_因子設定!$B$13="最小化",01_因子設定!$B$15-AB4903,MIN(AA4903-01_因子設定!$B$14,01_因子設定!$B$15-AB4903))),-1E+030)</f>
        <v>0.7796781988785</v>
      </c>
      <c r="AE4903" s="55" t="n">
        <f aca="false">IF(AC4903,IF(01_因子設定!$B$13="最大化",X4903,IF(01_因子設定!$B$13="最小化",-X4903,-ABS(X4903-01_因子設定!$B$16))),-1E+030)</f>
        <v>48.6713998538011</v>
      </c>
      <c r="AF4903" s="55" t="n">
        <f aca="false">AD4903+ROW()*0.000000001</f>
        <v>0.7796831018785</v>
      </c>
      <c r="AG4903" s="55" t="n">
        <f aca="false">AE4903+ROW()*0.000000001</f>
        <v>48.6714047568011</v>
      </c>
    </row>
    <row r="4904" customFormat="false" ht="15" hidden="false" customHeight="false" outlineLevel="0" collapsed="false">
      <c r="A4904" s="0" t="n">
        <v>6</v>
      </c>
      <c r="B4904" s="0" t="n">
        <v>6</v>
      </c>
      <c r="C4904" s="0" t="n">
        <v>4</v>
      </c>
      <c r="D4904" s="0" t="n">
        <v>3</v>
      </c>
      <c r="E4904" s="0" t="n">
        <f aca="false">-1+A4904*0.25</f>
        <v>0.5</v>
      </c>
      <c r="F4904" s="0" t="n">
        <f aca="false">-1+B4904*0.25</f>
        <v>0.5</v>
      </c>
      <c r="G4904" s="0" t="n">
        <f aca="false">-1+C4904*0.25</f>
        <v>0</v>
      </c>
      <c r="H4904" s="0" t="n">
        <f aca="false">-1+D4904*0.25</f>
        <v>-0.25</v>
      </c>
      <c r="I4904" s="0" t="n">
        <f aca="false">1</f>
        <v>1</v>
      </c>
      <c r="J4904" s="0" t="n">
        <f aca="false">E4904</f>
        <v>0.5</v>
      </c>
      <c r="K4904" s="0" t="n">
        <f aca="false">F4904</f>
        <v>0.5</v>
      </c>
      <c r="L4904" s="0" t="n">
        <f aca="false">G4904</f>
        <v>0</v>
      </c>
      <c r="M4904" s="0" t="n">
        <f aca="false">H4904</f>
        <v>-0.25</v>
      </c>
      <c r="N4904" s="0" t="n">
        <f aca="false">E4904*F4904</f>
        <v>0.25</v>
      </c>
      <c r="O4904" s="0" t="n">
        <f aca="false">E4904*G4904</f>
        <v>0</v>
      </c>
      <c r="P4904" s="0" t="n">
        <f aca="false">E4904*H4904</f>
        <v>-0.125</v>
      </c>
      <c r="Q4904" s="0" t="n">
        <f aca="false">F4904*G4904</f>
        <v>0</v>
      </c>
      <c r="R4904" s="0" t="n">
        <f aca="false">F4904*H4904</f>
        <v>-0.125</v>
      </c>
      <c r="S4904" s="0" t="n">
        <f aca="false">G4904*H4904</f>
        <v>-0</v>
      </c>
      <c r="T4904" s="0" t="n">
        <f aca="false">E4904*E4904</f>
        <v>0.25</v>
      </c>
      <c r="U4904" s="0" t="n">
        <f aca="false">F4904*F4904</f>
        <v>0.25</v>
      </c>
      <c r="V4904" s="0" t="n">
        <f aca="false">G4904*G4904</f>
        <v>0</v>
      </c>
      <c r="W4904" s="0" t="n">
        <f aca="false">H4904*H4904</f>
        <v>0.0625</v>
      </c>
      <c r="X4904" s="0" t="n">
        <f aca="false">SUMPRODUCT(I4904:W4904,_XtX!$B$96:$P$96)</f>
        <v>48.8335617690058</v>
      </c>
      <c r="Y4904" s="0" t="n">
        <f aca="false">SUMPRODUCT(MMULT(I4904:W4904,_XtX!$B$78:$P$92),I4904:W4904)</f>
        <v>0.132367050438597</v>
      </c>
      <c r="Z4904" s="0" t="n">
        <f aca="false">04_回帰ANOVA!$K$19*04_回帰ANOVA!$K$14*SQRT(1+Y4904)</f>
        <v>1.38704964208329</v>
      </c>
      <c r="AA4904" s="0" t="n">
        <f aca="false">X4904-Z4904</f>
        <v>47.4465121269225</v>
      </c>
      <c r="AB4904" s="0" t="n">
        <f aca="false">X4904+Z4904</f>
        <v>50.2206114110891</v>
      </c>
      <c r="AC4904" s="54" t="b">
        <f aca="false">AND(E4904&gt;=01_因子設定!$L$5-0.000000001,E4904&lt;=01_因子設定!$M$5+0.000000001,F4904&gt;=01_因子設定!$L$6-0.000000001,F4904&lt;=01_因子設定!$M$6+0.000000001,G4904&gt;=01_因子設定!$L$7-0.000000001,G4904&lt;=01_因子設定!$M$7+0.000000001,H4904&gt;=01_因子設定!$L$8-0.000000001,H4904&lt;=01_因子設定!$M$8+0.000000001,IF(01_因子設定!$B$20="Box-Behnken",E4904^2+F4904^2+G4904^2+H4904^2&lt;=2+0.000000001,TRUE()))</f>
        <v>1</v>
      </c>
      <c r="AD4904" s="55" t="n">
        <f aca="false">IF(AC4904,IF(01_因子設定!$B$13="最大化",AA4904-01_因子設定!$B$14,IF(01_因子設定!$B$13="最小化",01_因子設定!$B$15-AB4904,MIN(AA4904-01_因子設定!$B$14,01_因子設定!$B$15-AB4904))),-1E+030)</f>
        <v>0.946512126922514</v>
      </c>
      <c r="AE4904" s="55" t="n">
        <f aca="false">IF(AC4904,IF(01_因子設定!$B$13="最大化",X4904,IF(01_因子設定!$B$13="最小化",-X4904,-ABS(X4904-01_因子設定!$B$16))),-1E+030)</f>
        <v>48.8335617690058</v>
      </c>
      <c r="AF4904" s="55" t="n">
        <f aca="false">AD4904+ROW()*0.000000001</f>
        <v>0.946517030922514</v>
      </c>
      <c r="AG4904" s="55" t="n">
        <f aca="false">AE4904+ROW()*0.000000001</f>
        <v>48.8335666730058</v>
      </c>
    </row>
    <row r="4905" customFormat="false" ht="15" hidden="false" customHeight="false" outlineLevel="0" collapsed="false">
      <c r="A4905" s="0" t="n">
        <v>6</v>
      </c>
      <c r="B4905" s="0" t="n">
        <v>6</v>
      </c>
      <c r="C4905" s="0" t="n">
        <v>4</v>
      </c>
      <c r="D4905" s="0" t="n">
        <v>4</v>
      </c>
      <c r="E4905" s="0" t="n">
        <f aca="false">-1+A4905*0.25</f>
        <v>0.5</v>
      </c>
      <c r="F4905" s="0" t="n">
        <f aca="false">-1+B4905*0.25</f>
        <v>0.5</v>
      </c>
      <c r="G4905" s="0" t="n">
        <f aca="false">-1+C4905*0.25</f>
        <v>0</v>
      </c>
      <c r="H4905" s="0" t="n">
        <f aca="false">-1+D4905*0.25</f>
        <v>0</v>
      </c>
      <c r="I4905" s="0" t="n">
        <f aca="false">1</f>
        <v>1</v>
      </c>
      <c r="J4905" s="0" t="n">
        <f aca="false">E4905</f>
        <v>0.5</v>
      </c>
      <c r="K4905" s="0" t="n">
        <f aca="false">F4905</f>
        <v>0.5</v>
      </c>
      <c r="L4905" s="0" t="n">
        <f aca="false">G4905</f>
        <v>0</v>
      </c>
      <c r="M4905" s="0" t="n">
        <f aca="false">H4905</f>
        <v>0</v>
      </c>
      <c r="N4905" s="0" t="n">
        <f aca="false">E4905*F4905</f>
        <v>0.25</v>
      </c>
      <c r="O4905" s="0" t="n">
        <f aca="false">E4905*G4905</f>
        <v>0</v>
      </c>
      <c r="P4905" s="0" t="n">
        <f aca="false">E4905*H4905</f>
        <v>0</v>
      </c>
      <c r="Q4905" s="0" t="n">
        <f aca="false">F4905*G4905</f>
        <v>0</v>
      </c>
      <c r="R4905" s="0" t="n">
        <f aca="false">F4905*H4905</f>
        <v>0</v>
      </c>
      <c r="S4905" s="0" t="n">
        <f aca="false">G4905*H4905</f>
        <v>0</v>
      </c>
      <c r="T4905" s="0" t="n">
        <f aca="false">E4905*E4905</f>
        <v>0.25</v>
      </c>
      <c r="U4905" s="0" t="n">
        <f aca="false">F4905*F4905</f>
        <v>0.25</v>
      </c>
      <c r="V4905" s="0" t="n">
        <f aca="false">G4905*G4905</f>
        <v>0</v>
      </c>
      <c r="W4905" s="0" t="n">
        <f aca="false">H4905*H4905</f>
        <v>0</v>
      </c>
      <c r="X4905" s="0" t="n">
        <f aca="false">SUMPRODUCT(I4905:W4905,_XtX!$B$96:$P$96)</f>
        <v>48.9479166666666</v>
      </c>
      <c r="Y4905" s="0" t="n">
        <f aca="false">SUMPRODUCT(MMULT(I4905:W4905,_XtX!$B$78:$P$92),I4905:W4905)</f>
        <v>0.135850694444444</v>
      </c>
      <c r="Z4905" s="0" t="n">
        <f aca="false">04_回帰ANOVA!$K$19*04_回帰ANOVA!$K$14*SQRT(1+Y4905)</f>
        <v>1.38918158179389</v>
      </c>
      <c r="AA4905" s="0" t="n">
        <f aca="false">X4905-Z4905</f>
        <v>47.5587350848727</v>
      </c>
      <c r="AB4905" s="0" t="n">
        <f aca="false">X4905+Z4905</f>
        <v>50.3370982484605</v>
      </c>
      <c r="AC4905" s="54" t="b">
        <f aca="false">AND(E4905&gt;=01_因子設定!$L$5-0.000000001,E4905&lt;=01_因子設定!$M$5+0.000000001,F4905&gt;=01_因子設定!$L$6-0.000000001,F4905&lt;=01_因子設定!$M$6+0.000000001,G4905&gt;=01_因子設定!$L$7-0.000000001,G4905&lt;=01_因子設定!$M$7+0.000000001,H4905&gt;=01_因子設定!$L$8-0.000000001,H4905&lt;=01_因子設定!$M$8+0.000000001,IF(01_因子設定!$B$20="Box-Behnken",E4905^2+F4905^2+G4905^2+H4905^2&lt;=2+0.000000001,TRUE()))</f>
        <v>1</v>
      </c>
      <c r="AD4905" s="55" t="n">
        <f aca="false">IF(AC4905,IF(01_因子設定!$B$13="最大化",AA4905-01_因子設定!$B$14,IF(01_因子設定!$B$13="最小化",01_因子設定!$B$15-AB4905,MIN(AA4905-01_因子設定!$B$14,01_因子設定!$B$15-AB4905))),-1E+030)</f>
        <v>1.05873508487273</v>
      </c>
      <c r="AE4905" s="55" t="n">
        <f aca="false">IF(AC4905,IF(01_因子設定!$B$13="最大化",X4905,IF(01_因子設定!$B$13="最小化",-X4905,-ABS(X4905-01_因子設定!$B$16))),-1E+030)</f>
        <v>48.9479166666666</v>
      </c>
      <c r="AF4905" s="55" t="n">
        <f aca="false">AD4905+ROW()*0.000000001</f>
        <v>1.05873998987273</v>
      </c>
      <c r="AG4905" s="55" t="n">
        <f aca="false">AE4905+ROW()*0.000000001</f>
        <v>48.9479215716666</v>
      </c>
    </row>
    <row r="4906" customFormat="false" ht="15" hidden="false" customHeight="false" outlineLevel="0" collapsed="false">
      <c r="A4906" s="0" t="n">
        <v>6</v>
      </c>
      <c r="B4906" s="0" t="n">
        <v>6</v>
      </c>
      <c r="C4906" s="0" t="n">
        <v>4</v>
      </c>
      <c r="D4906" s="0" t="n">
        <v>5</v>
      </c>
      <c r="E4906" s="0" t="n">
        <f aca="false">-1+A4906*0.25</f>
        <v>0.5</v>
      </c>
      <c r="F4906" s="0" t="n">
        <f aca="false">-1+B4906*0.25</f>
        <v>0.5</v>
      </c>
      <c r="G4906" s="0" t="n">
        <f aca="false">-1+C4906*0.25</f>
        <v>0</v>
      </c>
      <c r="H4906" s="0" t="n">
        <f aca="false">-1+D4906*0.25</f>
        <v>0.25</v>
      </c>
      <c r="I4906" s="0" t="n">
        <f aca="false">1</f>
        <v>1</v>
      </c>
      <c r="J4906" s="0" t="n">
        <f aca="false">E4906</f>
        <v>0.5</v>
      </c>
      <c r="K4906" s="0" t="n">
        <f aca="false">F4906</f>
        <v>0.5</v>
      </c>
      <c r="L4906" s="0" t="n">
        <f aca="false">G4906</f>
        <v>0</v>
      </c>
      <c r="M4906" s="0" t="n">
        <f aca="false">H4906</f>
        <v>0.25</v>
      </c>
      <c r="N4906" s="0" t="n">
        <f aca="false">E4906*F4906</f>
        <v>0.25</v>
      </c>
      <c r="O4906" s="0" t="n">
        <f aca="false">E4906*G4906</f>
        <v>0</v>
      </c>
      <c r="P4906" s="0" t="n">
        <f aca="false">E4906*H4906</f>
        <v>0.125</v>
      </c>
      <c r="Q4906" s="0" t="n">
        <f aca="false">F4906*G4906</f>
        <v>0</v>
      </c>
      <c r="R4906" s="0" t="n">
        <f aca="false">F4906*H4906</f>
        <v>0.125</v>
      </c>
      <c r="S4906" s="0" t="n">
        <f aca="false">G4906*H4906</f>
        <v>0</v>
      </c>
      <c r="T4906" s="0" t="n">
        <f aca="false">E4906*E4906</f>
        <v>0.25</v>
      </c>
      <c r="U4906" s="0" t="n">
        <f aca="false">F4906*F4906</f>
        <v>0.25</v>
      </c>
      <c r="V4906" s="0" t="n">
        <f aca="false">G4906*G4906</f>
        <v>0</v>
      </c>
      <c r="W4906" s="0" t="n">
        <f aca="false">H4906*H4906</f>
        <v>0.0625</v>
      </c>
      <c r="X4906" s="0" t="n">
        <f aca="false">SUMPRODUCT(I4906:W4906,_XtX!$B$96:$P$96)</f>
        <v>49.0144645467836</v>
      </c>
      <c r="Y4906" s="0" t="n">
        <f aca="false">SUMPRODUCT(MMULT(I4906:W4906,_XtX!$B$78:$P$92),I4906:W4906)</f>
        <v>0.132367050438597</v>
      </c>
      <c r="Z4906" s="0" t="n">
        <f aca="false">04_回帰ANOVA!$K$19*04_回帰ANOVA!$K$14*SQRT(1+Y4906)</f>
        <v>1.38704964208329</v>
      </c>
      <c r="AA4906" s="0" t="n">
        <f aca="false">X4906-Z4906</f>
        <v>47.6274149047003</v>
      </c>
      <c r="AB4906" s="0" t="n">
        <f aca="false">X4906+Z4906</f>
        <v>50.4015141888669</v>
      </c>
      <c r="AC4906" s="54" t="b">
        <f aca="false">AND(E4906&gt;=01_因子設定!$L$5-0.000000001,E4906&lt;=01_因子設定!$M$5+0.000000001,F4906&gt;=01_因子設定!$L$6-0.000000001,F4906&lt;=01_因子設定!$M$6+0.000000001,G4906&gt;=01_因子設定!$L$7-0.000000001,G4906&lt;=01_因子設定!$M$7+0.000000001,H4906&gt;=01_因子設定!$L$8-0.000000001,H4906&lt;=01_因子設定!$M$8+0.000000001,IF(01_因子設定!$B$20="Box-Behnken",E4906^2+F4906^2+G4906^2+H4906^2&lt;=2+0.000000001,TRUE()))</f>
        <v>1</v>
      </c>
      <c r="AD4906" s="55" t="n">
        <f aca="false">IF(AC4906,IF(01_因子設定!$B$13="最大化",AA4906-01_因子設定!$B$14,IF(01_因子設定!$B$13="最小化",01_因子設定!$B$15-AB4906,MIN(AA4906-01_因子設定!$B$14,01_因子設定!$B$15-AB4906))),-1E+030)</f>
        <v>1.1274149047003</v>
      </c>
      <c r="AE4906" s="55" t="n">
        <f aca="false">IF(AC4906,IF(01_因子設定!$B$13="最大化",X4906,IF(01_因子設定!$B$13="最小化",-X4906,-ABS(X4906-01_因子設定!$B$16))),-1E+030)</f>
        <v>49.0144645467836</v>
      </c>
      <c r="AF4906" s="55" t="n">
        <f aca="false">AD4906+ROW()*0.000000001</f>
        <v>1.1274198107003</v>
      </c>
      <c r="AG4906" s="55" t="n">
        <f aca="false">AE4906+ROW()*0.000000001</f>
        <v>49.0144694527836</v>
      </c>
    </row>
    <row r="4907" customFormat="false" ht="15" hidden="false" customHeight="false" outlineLevel="0" collapsed="false">
      <c r="A4907" s="0" t="n">
        <v>6</v>
      </c>
      <c r="B4907" s="0" t="n">
        <v>6</v>
      </c>
      <c r="C4907" s="0" t="n">
        <v>4</v>
      </c>
      <c r="D4907" s="0" t="n">
        <v>6</v>
      </c>
      <c r="E4907" s="0" t="n">
        <f aca="false">-1+A4907*0.25</f>
        <v>0.5</v>
      </c>
      <c r="F4907" s="0" t="n">
        <f aca="false">-1+B4907*0.25</f>
        <v>0.5</v>
      </c>
      <c r="G4907" s="0" t="n">
        <f aca="false">-1+C4907*0.25</f>
        <v>0</v>
      </c>
      <c r="H4907" s="0" t="n">
        <f aca="false">-1+D4907*0.25</f>
        <v>0.5</v>
      </c>
      <c r="I4907" s="0" t="n">
        <f aca="false">1</f>
        <v>1</v>
      </c>
      <c r="J4907" s="0" t="n">
        <f aca="false">E4907</f>
        <v>0.5</v>
      </c>
      <c r="K4907" s="0" t="n">
        <f aca="false">F4907</f>
        <v>0.5</v>
      </c>
      <c r="L4907" s="0" t="n">
        <f aca="false">G4907</f>
        <v>0</v>
      </c>
      <c r="M4907" s="0" t="n">
        <f aca="false">H4907</f>
        <v>0.5</v>
      </c>
      <c r="N4907" s="0" t="n">
        <f aca="false">E4907*F4907</f>
        <v>0.25</v>
      </c>
      <c r="O4907" s="0" t="n">
        <f aca="false">E4907*G4907</f>
        <v>0</v>
      </c>
      <c r="P4907" s="0" t="n">
        <f aca="false">E4907*H4907</f>
        <v>0.25</v>
      </c>
      <c r="Q4907" s="0" t="n">
        <f aca="false">F4907*G4907</f>
        <v>0</v>
      </c>
      <c r="R4907" s="0" t="n">
        <f aca="false">F4907*H4907</f>
        <v>0.25</v>
      </c>
      <c r="S4907" s="0" t="n">
        <f aca="false">G4907*H4907</f>
        <v>0</v>
      </c>
      <c r="T4907" s="0" t="n">
        <f aca="false">E4907*E4907</f>
        <v>0.25</v>
      </c>
      <c r="U4907" s="0" t="n">
        <f aca="false">F4907*F4907</f>
        <v>0.25</v>
      </c>
      <c r="V4907" s="0" t="n">
        <f aca="false">G4907*G4907</f>
        <v>0</v>
      </c>
      <c r="W4907" s="0" t="n">
        <f aca="false">H4907*H4907</f>
        <v>0.25</v>
      </c>
      <c r="X4907" s="0" t="n">
        <f aca="false">SUMPRODUCT(I4907:W4907,_XtX!$B$96:$P$96)</f>
        <v>49.0332054093567</v>
      </c>
      <c r="Y4907" s="0" t="n">
        <f aca="false">SUMPRODUCT(MMULT(I4907:W4907,_XtX!$B$78:$P$92),I4907:W4907)</f>
        <v>0.140008223684211</v>
      </c>
      <c r="Z4907" s="0" t="n">
        <f aca="false">04_回帰ANOVA!$K$19*04_回帰ANOVA!$K$14*SQRT(1+Y4907)</f>
        <v>1.39172165492264</v>
      </c>
      <c r="AA4907" s="0" t="n">
        <f aca="false">X4907-Z4907</f>
        <v>47.6414837544341</v>
      </c>
      <c r="AB4907" s="0" t="n">
        <f aca="false">X4907+Z4907</f>
        <v>50.4249270642793</v>
      </c>
      <c r="AC4907" s="54" t="b">
        <f aca="false">AND(E4907&gt;=01_因子設定!$L$5-0.000000001,E4907&lt;=01_因子設定!$M$5+0.000000001,F4907&gt;=01_因子設定!$L$6-0.000000001,F4907&lt;=01_因子設定!$M$6+0.000000001,G4907&gt;=01_因子設定!$L$7-0.000000001,G4907&lt;=01_因子設定!$M$7+0.000000001,H4907&gt;=01_因子設定!$L$8-0.000000001,H4907&lt;=01_因子設定!$M$8+0.000000001,IF(01_因子設定!$B$20="Box-Behnken",E4907^2+F4907^2+G4907^2+H4907^2&lt;=2+0.000000001,TRUE()))</f>
        <v>1</v>
      </c>
      <c r="AD4907" s="55" t="n">
        <f aca="false">IF(AC4907,IF(01_因子設定!$B$13="最大化",AA4907-01_因子設定!$B$14,IF(01_因子設定!$B$13="最小化",01_因子設定!$B$15-AB4907,MIN(AA4907-01_因子設定!$B$14,01_因子設定!$B$15-AB4907))),-1E+030)</f>
        <v>1.14148375443406</v>
      </c>
      <c r="AE4907" s="55" t="n">
        <f aca="false">IF(AC4907,IF(01_因子設定!$B$13="最大化",X4907,IF(01_因子設定!$B$13="最小化",-X4907,-ABS(X4907-01_因子設定!$B$16))),-1E+030)</f>
        <v>49.0332054093567</v>
      </c>
      <c r="AF4907" s="55" t="n">
        <f aca="false">AD4907+ROW()*0.000000001</f>
        <v>1.14148866143406</v>
      </c>
      <c r="AG4907" s="55" t="n">
        <f aca="false">AE4907+ROW()*0.000000001</f>
        <v>49.0332103163567</v>
      </c>
    </row>
    <row r="4908" customFormat="false" ht="15" hidden="false" customHeight="false" outlineLevel="0" collapsed="false">
      <c r="A4908" s="0" t="n">
        <v>6</v>
      </c>
      <c r="B4908" s="0" t="n">
        <v>6</v>
      </c>
      <c r="C4908" s="0" t="n">
        <v>4</v>
      </c>
      <c r="D4908" s="0" t="n">
        <v>7</v>
      </c>
      <c r="E4908" s="0" t="n">
        <f aca="false">-1+A4908*0.25</f>
        <v>0.5</v>
      </c>
      <c r="F4908" s="0" t="n">
        <f aca="false">-1+B4908*0.25</f>
        <v>0.5</v>
      </c>
      <c r="G4908" s="0" t="n">
        <f aca="false">-1+C4908*0.25</f>
        <v>0</v>
      </c>
      <c r="H4908" s="0" t="n">
        <f aca="false">-1+D4908*0.25</f>
        <v>0.75</v>
      </c>
      <c r="I4908" s="0" t="n">
        <f aca="false">1</f>
        <v>1</v>
      </c>
      <c r="J4908" s="0" t="n">
        <f aca="false">E4908</f>
        <v>0.5</v>
      </c>
      <c r="K4908" s="0" t="n">
        <f aca="false">F4908</f>
        <v>0.5</v>
      </c>
      <c r="L4908" s="0" t="n">
        <f aca="false">G4908</f>
        <v>0</v>
      </c>
      <c r="M4908" s="0" t="n">
        <f aca="false">H4908</f>
        <v>0.75</v>
      </c>
      <c r="N4908" s="0" t="n">
        <f aca="false">E4908*F4908</f>
        <v>0.25</v>
      </c>
      <c r="O4908" s="0" t="n">
        <f aca="false">E4908*G4908</f>
        <v>0</v>
      </c>
      <c r="P4908" s="0" t="n">
        <f aca="false">E4908*H4908</f>
        <v>0.375</v>
      </c>
      <c r="Q4908" s="0" t="n">
        <f aca="false">F4908*G4908</f>
        <v>0</v>
      </c>
      <c r="R4908" s="0" t="n">
        <f aca="false">F4908*H4908</f>
        <v>0.375</v>
      </c>
      <c r="S4908" s="0" t="n">
        <f aca="false">G4908*H4908</f>
        <v>0</v>
      </c>
      <c r="T4908" s="0" t="n">
        <f aca="false">E4908*E4908</f>
        <v>0.25</v>
      </c>
      <c r="U4908" s="0" t="n">
        <f aca="false">F4908*F4908</f>
        <v>0.25</v>
      </c>
      <c r="V4908" s="0" t="n">
        <f aca="false">G4908*G4908</f>
        <v>0</v>
      </c>
      <c r="W4908" s="0" t="n">
        <f aca="false">H4908*H4908</f>
        <v>0.5625</v>
      </c>
      <c r="X4908" s="0" t="n">
        <f aca="false">SUMPRODUCT(I4908:W4908,_XtX!$B$96:$P$96)</f>
        <v>49.0041392543859</v>
      </c>
      <c r="Y4908" s="0" t="n">
        <f aca="false">SUMPRODUCT(MMULT(I4908:W4908,_XtX!$B$78:$P$92),I4908:W4908)</f>
        <v>0.21305052997076</v>
      </c>
      <c r="Z4908" s="0" t="n">
        <f aca="false">04_回帰ANOVA!$K$19*04_回帰ANOVA!$K$14*SQRT(1+Y4908)</f>
        <v>1.43561450835061</v>
      </c>
      <c r="AA4908" s="0" t="n">
        <f aca="false">X4908-Z4908</f>
        <v>47.5685247460353</v>
      </c>
      <c r="AB4908" s="0" t="n">
        <f aca="false">X4908+Z4908</f>
        <v>50.4397537627365</v>
      </c>
      <c r="AC4908" s="54" t="b">
        <f aca="false">AND(E4908&gt;=01_因子設定!$L$5-0.000000001,E4908&lt;=01_因子設定!$M$5+0.000000001,F4908&gt;=01_因子設定!$L$6-0.000000001,F4908&lt;=01_因子設定!$M$6+0.000000001,G4908&gt;=01_因子設定!$L$7-0.000000001,G4908&lt;=01_因子設定!$M$7+0.000000001,H4908&gt;=01_因子設定!$L$8-0.000000001,H4908&lt;=01_因子設定!$M$8+0.000000001,IF(01_因子設定!$B$20="Box-Behnken",E4908^2+F4908^2+G4908^2+H4908^2&lt;=2+0.000000001,TRUE()))</f>
        <v>1</v>
      </c>
      <c r="AD4908" s="55" t="n">
        <f aca="false">IF(AC4908,IF(01_因子設定!$B$13="最大化",AA4908-01_因子設定!$B$14,IF(01_因子設定!$B$13="最小化",01_因子設定!$B$15-AB4908,MIN(AA4908-01_因子設定!$B$14,01_因子設定!$B$15-AB4908))),-1E+030)</f>
        <v>1.06852474603534</v>
      </c>
      <c r="AE4908" s="55" t="n">
        <f aca="false">IF(AC4908,IF(01_因子設定!$B$13="最大化",X4908,IF(01_因子設定!$B$13="最小化",-X4908,-ABS(X4908-01_因子設定!$B$16))),-1E+030)</f>
        <v>49.0041392543859</v>
      </c>
      <c r="AF4908" s="55" t="n">
        <f aca="false">AD4908+ROW()*0.000000001</f>
        <v>1.06852965403534</v>
      </c>
      <c r="AG4908" s="55" t="n">
        <f aca="false">AE4908+ROW()*0.000000001</f>
        <v>49.0041441623859</v>
      </c>
    </row>
    <row r="4909" customFormat="false" ht="15" hidden="false" customHeight="false" outlineLevel="0" collapsed="false">
      <c r="A4909" s="0" t="n">
        <v>6</v>
      </c>
      <c r="B4909" s="0" t="n">
        <v>6</v>
      </c>
      <c r="C4909" s="0" t="n">
        <v>4</v>
      </c>
      <c r="D4909" s="0" t="n">
        <v>8</v>
      </c>
      <c r="E4909" s="0" t="n">
        <f aca="false">-1+A4909*0.25</f>
        <v>0.5</v>
      </c>
      <c r="F4909" s="0" t="n">
        <f aca="false">-1+B4909*0.25</f>
        <v>0.5</v>
      </c>
      <c r="G4909" s="0" t="n">
        <f aca="false">-1+C4909*0.25</f>
        <v>0</v>
      </c>
      <c r="H4909" s="0" t="n">
        <f aca="false">-1+D4909*0.25</f>
        <v>1</v>
      </c>
      <c r="I4909" s="0" t="n">
        <f aca="false">1</f>
        <v>1</v>
      </c>
      <c r="J4909" s="0" t="n">
        <f aca="false">E4909</f>
        <v>0.5</v>
      </c>
      <c r="K4909" s="0" t="n">
        <f aca="false">F4909</f>
        <v>0.5</v>
      </c>
      <c r="L4909" s="0" t="n">
        <f aca="false">G4909</f>
        <v>0</v>
      </c>
      <c r="M4909" s="0" t="n">
        <f aca="false">H4909</f>
        <v>1</v>
      </c>
      <c r="N4909" s="0" t="n">
        <f aca="false">E4909*F4909</f>
        <v>0.25</v>
      </c>
      <c r="O4909" s="0" t="n">
        <f aca="false">E4909*G4909</f>
        <v>0</v>
      </c>
      <c r="P4909" s="0" t="n">
        <f aca="false">E4909*H4909</f>
        <v>0.5</v>
      </c>
      <c r="Q4909" s="0" t="n">
        <f aca="false">F4909*G4909</f>
        <v>0</v>
      </c>
      <c r="R4909" s="0" t="n">
        <f aca="false">F4909*H4909</f>
        <v>0.5</v>
      </c>
      <c r="S4909" s="0" t="n">
        <f aca="false">G4909*H4909</f>
        <v>0</v>
      </c>
      <c r="T4909" s="0" t="n">
        <f aca="false">E4909*E4909</f>
        <v>0.25</v>
      </c>
      <c r="U4909" s="0" t="n">
        <f aca="false">F4909*F4909</f>
        <v>0.25</v>
      </c>
      <c r="V4909" s="0" t="n">
        <f aca="false">G4909*G4909</f>
        <v>0</v>
      </c>
      <c r="W4909" s="0" t="n">
        <f aca="false">H4909*H4909</f>
        <v>1</v>
      </c>
      <c r="X4909" s="0" t="n">
        <f aca="false">SUMPRODUCT(I4909:W4909,_XtX!$B$96:$P$96)</f>
        <v>48.9272660818713</v>
      </c>
      <c r="Y4909" s="0" t="n">
        <f aca="false">SUMPRODUCT(MMULT(I4909:W4909,_XtX!$B$78:$P$92),I4909:W4909)</f>
        <v>0.441954495614035</v>
      </c>
      <c r="Z4909" s="0" t="n">
        <f aca="false">04_回帰ANOVA!$K$19*04_回帰ANOVA!$K$14*SQRT(1+Y4909)</f>
        <v>1.56521560968066</v>
      </c>
      <c r="AA4909" s="0" t="n">
        <f aca="false">X4909-Z4909</f>
        <v>47.3620504721907</v>
      </c>
      <c r="AB4909" s="0" t="n">
        <f aca="false">X4909+Z4909</f>
        <v>50.492481691552</v>
      </c>
      <c r="AC4909" s="54" t="b">
        <f aca="false">AND(E4909&gt;=01_因子設定!$L$5-0.000000001,E4909&lt;=01_因子設定!$M$5+0.000000001,F4909&gt;=01_因子設定!$L$6-0.000000001,F4909&lt;=01_因子設定!$M$6+0.000000001,G4909&gt;=01_因子設定!$L$7-0.000000001,G4909&lt;=01_因子設定!$M$7+0.000000001,H4909&gt;=01_因子設定!$L$8-0.000000001,H4909&lt;=01_因子設定!$M$8+0.000000001,IF(01_因子設定!$B$20="Box-Behnken",E4909^2+F4909^2+G4909^2+H4909^2&lt;=2+0.000000001,TRUE()))</f>
        <v>1</v>
      </c>
      <c r="AD4909" s="55" t="n">
        <f aca="false">IF(AC4909,IF(01_因子設定!$B$13="最大化",AA4909-01_因子設定!$B$14,IF(01_因子設定!$B$13="最小化",01_因子設定!$B$15-AB4909,MIN(AA4909-01_因子設定!$B$14,01_因子設定!$B$15-AB4909))),-1E+030)</f>
        <v>0.862050472190674</v>
      </c>
      <c r="AE4909" s="55" t="n">
        <f aca="false">IF(AC4909,IF(01_因子設定!$B$13="最大化",X4909,IF(01_因子設定!$B$13="最小化",-X4909,-ABS(X4909-01_因子設定!$B$16))),-1E+030)</f>
        <v>48.9272660818713</v>
      </c>
      <c r="AF4909" s="55" t="n">
        <f aca="false">AD4909+ROW()*0.000000001</f>
        <v>0.862055381190674</v>
      </c>
      <c r="AG4909" s="55" t="n">
        <f aca="false">AE4909+ROW()*0.000000001</f>
        <v>48.9272709908713</v>
      </c>
    </row>
    <row r="4910" customFormat="false" ht="15" hidden="false" customHeight="false" outlineLevel="0" collapsed="false">
      <c r="A4910" s="0" t="n">
        <v>6</v>
      </c>
      <c r="B4910" s="0" t="n">
        <v>6</v>
      </c>
      <c r="C4910" s="0" t="n">
        <v>5</v>
      </c>
      <c r="D4910" s="0" t="n">
        <v>0</v>
      </c>
      <c r="E4910" s="0" t="n">
        <f aca="false">-1+A4910*0.25</f>
        <v>0.5</v>
      </c>
      <c r="F4910" s="0" t="n">
        <f aca="false">-1+B4910*0.25</f>
        <v>0.5</v>
      </c>
      <c r="G4910" s="0" t="n">
        <f aca="false">-1+C4910*0.25</f>
        <v>0.25</v>
      </c>
      <c r="H4910" s="0" t="n">
        <f aca="false">-1+D4910*0.25</f>
        <v>-1</v>
      </c>
      <c r="I4910" s="0" t="n">
        <f aca="false">1</f>
        <v>1</v>
      </c>
      <c r="J4910" s="0" t="n">
        <f aca="false">E4910</f>
        <v>0.5</v>
      </c>
      <c r="K4910" s="0" t="n">
        <f aca="false">F4910</f>
        <v>0.5</v>
      </c>
      <c r="L4910" s="0" t="n">
        <f aca="false">G4910</f>
        <v>0.25</v>
      </c>
      <c r="M4910" s="0" t="n">
        <f aca="false">H4910</f>
        <v>-1</v>
      </c>
      <c r="N4910" s="0" t="n">
        <f aca="false">E4910*F4910</f>
        <v>0.25</v>
      </c>
      <c r="O4910" s="0" t="n">
        <f aca="false">E4910*G4910</f>
        <v>0.125</v>
      </c>
      <c r="P4910" s="0" t="n">
        <f aca="false">E4910*H4910</f>
        <v>-0.5</v>
      </c>
      <c r="Q4910" s="0" t="n">
        <f aca="false">F4910*G4910</f>
        <v>0.125</v>
      </c>
      <c r="R4910" s="0" t="n">
        <f aca="false">F4910*H4910</f>
        <v>-0.5</v>
      </c>
      <c r="S4910" s="0" t="n">
        <f aca="false">G4910*H4910</f>
        <v>-0.25</v>
      </c>
      <c r="T4910" s="0" t="n">
        <f aca="false">E4910*E4910</f>
        <v>0.25</v>
      </c>
      <c r="U4910" s="0" t="n">
        <f aca="false">F4910*F4910</f>
        <v>0.25</v>
      </c>
      <c r="V4910" s="0" t="n">
        <f aca="false">G4910*G4910</f>
        <v>0.0625</v>
      </c>
      <c r="W4910" s="0" t="n">
        <f aca="false">H4910*H4910</f>
        <v>1</v>
      </c>
      <c r="X4910" s="0" t="n">
        <f aca="false">SUMPRODUCT(I4910:W4910,_XtX!$B$96:$P$96)</f>
        <v>48.2927722953216</v>
      </c>
      <c r="Y4910" s="0" t="n">
        <f aca="false">SUMPRODUCT(MMULT(I4910:W4910,_XtX!$B$78:$P$92),I4910:W4910)</f>
        <v>0.428122715643275</v>
      </c>
      <c r="Z4910" s="0" t="n">
        <f aca="false">04_回帰ANOVA!$K$19*04_回帰ANOVA!$K$14*SQRT(1+Y4910)</f>
        <v>1.55769044623229</v>
      </c>
      <c r="AA4910" s="0" t="n">
        <f aca="false">X4910-Z4910</f>
        <v>46.7350818490893</v>
      </c>
      <c r="AB4910" s="0" t="n">
        <f aca="false">X4910+Z4910</f>
        <v>49.8504627415539</v>
      </c>
      <c r="AC4910" s="54" t="b">
        <f aca="false">AND(E4910&gt;=01_因子設定!$L$5-0.000000001,E4910&lt;=01_因子設定!$M$5+0.000000001,F4910&gt;=01_因子設定!$L$6-0.000000001,F4910&lt;=01_因子設定!$M$6+0.000000001,G4910&gt;=01_因子設定!$L$7-0.000000001,G4910&lt;=01_因子設定!$M$7+0.000000001,H4910&gt;=01_因子設定!$L$8-0.000000001,H4910&lt;=01_因子設定!$M$8+0.000000001,IF(01_因子設定!$B$20="Box-Behnken",E4910^2+F4910^2+G4910^2+H4910^2&lt;=2+0.000000001,TRUE()))</f>
        <v>1</v>
      </c>
      <c r="AD4910" s="55" t="n">
        <f aca="false">IF(AC4910,IF(01_因子設定!$B$13="最大化",AA4910-01_因子設定!$B$14,IF(01_因子設定!$B$13="最小化",01_因子設定!$B$15-AB4910,MIN(AA4910-01_因子設定!$B$14,01_因子設定!$B$15-AB4910))),-1E+030)</f>
        <v>0.23508184908934</v>
      </c>
      <c r="AE4910" s="55" t="n">
        <f aca="false">IF(AC4910,IF(01_因子設定!$B$13="最大化",X4910,IF(01_因子設定!$B$13="最小化",-X4910,-ABS(X4910-01_因子設定!$B$16))),-1E+030)</f>
        <v>48.2927722953216</v>
      </c>
      <c r="AF4910" s="55" t="n">
        <f aca="false">AD4910+ROW()*0.000000001</f>
        <v>0.23508675908934</v>
      </c>
      <c r="AG4910" s="55" t="n">
        <f aca="false">AE4910+ROW()*0.000000001</f>
        <v>48.2927772053216</v>
      </c>
    </row>
    <row r="4911" customFormat="false" ht="15" hidden="false" customHeight="false" outlineLevel="0" collapsed="false">
      <c r="A4911" s="0" t="n">
        <v>6</v>
      </c>
      <c r="B4911" s="0" t="n">
        <v>6</v>
      </c>
      <c r="C4911" s="0" t="n">
        <v>5</v>
      </c>
      <c r="D4911" s="0" t="n">
        <v>1</v>
      </c>
      <c r="E4911" s="0" t="n">
        <f aca="false">-1+A4911*0.25</f>
        <v>0.5</v>
      </c>
      <c r="F4911" s="0" t="n">
        <f aca="false">-1+B4911*0.25</f>
        <v>0.5</v>
      </c>
      <c r="G4911" s="0" t="n">
        <f aca="false">-1+C4911*0.25</f>
        <v>0.25</v>
      </c>
      <c r="H4911" s="0" t="n">
        <f aca="false">-1+D4911*0.25</f>
        <v>-0.75</v>
      </c>
      <c r="I4911" s="0" t="n">
        <f aca="false">1</f>
        <v>1</v>
      </c>
      <c r="J4911" s="0" t="n">
        <f aca="false">E4911</f>
        <v>0.5</v>
      </c>
      <c r="K4911" s="0" t="n">
        <f aca="false">F4911</f>
        <v>0.5</v>
      </c>
      <c r="L4911" s="0" t="n">
        <f aca="false">G4911</f>
        <v>0.25</v>
      </c>
      <c r="M4911" s="0" t="n">
        <f aca="false">H4911</f>
        <v>-0.75</v>
      </c>
      <c r="N4911" s="0" t="n">
        <f aca="false">E4911*F4911</f>
        <v>0.25</v>
      </c>
      <c r="O4911" s="0" t="n">
        <f aca="false">E4911*G4911</f>
        <v>0.125</v>
      </c>
      <c r="P4911" s="0" t="n">
        <f aca="false">E4911*H4911</f>
        <v>-0.375</v>
      </c>
      <c r="Q4911" s="0" t="n">
        <f aca="false">F4911*G4911</f>
        <v>0.125</v>
      </c>
      <c r="R4911" s="0" t="n">
        <f aca="false">F4911*H4911</f>
        <v>-0.375</v>
      </c>
      <c r="S4911" s="0" t="n">
        <f aca="false">G4911*H4911</f>
        <v>-0.1875</v>
      </c>
      <c r="T4911" s="0" t="n">
        <f aca="false">E4911*E4911</f>
        <v>0.25</v>
      </c>
      <c r="U4911" s="0" t="n">
        <f aca="false">F4911*F4911</f>
        <v>0.25</v>
      </c>
      <c r="V4911" s="0" t="n">
        <f aca="false">G4911*G4911</f>
        <v>0.0625</v>
      </c>
      <c r="W4911" s="0" t="n">
        <f aca="false">H4911*H4911</f>
        <v>0.5625</v>
      </c>
      <c r="X4911" s="0" t="n">
        <f aca="false">SUMPRODUCT(I4911:W4911,_XtX!$B$96:$P$96)</f>
        <v>48.568516995614</v>
      </c>
      <c r="Y4911" s="0" t="n">
        <f aca="false">SUMPRODUCT(MMULT(I4911:W4911,_XtX!$B$78:$P$92),I4911:W4911)</f>
        <v>0.203746059484649</v>
      </c>
      <c r="Z4911" s="0" t="n">
        <f aca="false">04_回帰ANOVA!$K$19*04_回帰ANOVA!$K$14*SQRT(1+Y4911)</f>
        <v>1.43009810755465</v>
      </c>
      <c r="AA4911" s="0" t="n">
        <f aca="false">X4911-Z4911</f>
        <v>47.1384188880594</v>
      </c>
      <c r="AB4911" s="0" t="n">
        <f aca="false">X4911+Z4911</f>
        <v>49.9986151031687</v>
      </c>
      <c r="AC4911" s="54" t="b">
        <f aca="false">AND(E4911&gt;=01_因子設定!$L$5-0.000000001,E4911&lt;=01_因子設定!$M$5+0.000000001,F4911&gt;=01_因子設定!$L$6-0.000000001,F4911&lt;=01_因子設定!$M$6+0.000000001,G4911&gt;=01_因子設定!$L$7-0.000000001,G4911&lt;=01_因子設定!$M$7+0.000000001,H4911&gt;=01_因子設定!$L$8-0.000000001,H4911&lt;=01_因子設定!$M$8+0.000000001,IF(01_因子設定!$B$20="Box-Behnken",E4911^2+F4911^2+G4911^2+H4911^2&lt;=2+0.000000001,TRUE()))</f>
        <v>1</v>
      </c>
      <c r="AD4911" s="55" t="n">
        <f aca="false">IF(AC4911,IF(01_因子設定!$B$13="最大化",AA4911-01_因子設定!$B$14,IF(01_因子設定!$B$13="最小化",01_因子設定!$B$15-AB4911,MIN(AA4911-01_因子設定!$B$14,01_因子設定!$B$15-AB4911))),-1E+030)</f>
        <v>0.638418888059363</v>
      </c>
      <c r="AE4911" s="55" t="n">
        <f aca="false">IF(AC4911,IF(01_因子設定!$B$13="最大化",X4911,IF(01_因子設定!$B$13="最小化",-X4911,-ABS(X4911-01_因子設定!$B$16))),-1E+030)</f>
        <v>48.568516995614</v>
      </c>
      <c r="AF4911" s="55" t="n">
        <f aca="false">AD4911+ROW()*0.000000001</f>
        <v>0.638423799059363</v>
      </c>
      <c r="AG4911" s="55" t="n">
        <f aca="false">AE4911+ROW()*0.000000001</f>
        <v>48.568521906614</v>
      </c>
    </row>
    <row r="4912" customFormat="false" ht="15" hidden="false" customHeight="false" outlineLevel="0" collapsed="false">
      <c r="A4912" s="0" t="n">
        <v>6</v>
      </c>
      <c r="B4912" s="0" t="n">
        <v>6</v>
      </c>
      <c r="C4912" s="0" t="n">
        <v>5</v>
      </c>
      <c r="D4912" s="0" t="n">
        <v>2</v>
      </c>
      <c r="E4912" s="0" t="n">
        <f aca="false">-1+A4912*0.25</f>
        <v>0.5</v>
      </c>
      <c r="F4912" s="0" t="n">
        <f aca="false">-1+B4912*0.25</f>
        <v>0.5</v>
      </c>
      <c r="G4912" s="0" t="n">
        <f aca="false">-1+C4912*0.25</f>
        <v>0.25</v>
      </c>
      <c r="H4912" s="0" t="n">
        <f aca="false">-1+D4912*0.25</f>
        <v>-0.5</v>
      </c>
      <c r="I4912" s="0" t="n">
        <f aca="false">1</f>
        <v>1</v>
      </c>
      <c r="J4912" s="0" t="n">
        <f aca="false">E4912</f>
        <v>0.5</v>
      </c>
      <c r="K4912" s="0" t="n">
        <f aca="false">F4912</f>
        <v>0.5</v>
      </c>
      <c r="L4912" s="0" t="n">
        <f aca="false">G4912</f>
        <v>0.25</v>
      </c>
      <c r="M4912" s="0" t="n">
        <f aca="false">H4912</f>
        <v>-0.5</v>
      </c>
      <c r="N4912" s="0" t="n">
        <f aca="false">E4912*F4912</f>
        <v>0.25</v>
      </c>
      <c r="O4912" s="0" t="n">
        <f aca="false">E4912*G4912</f>
        <v>0.125</v>
      </c>
      <c r="P4912" s="0" t="n">
        <f aca="false">E4912*H4912</f>
        <v>-0.25</v>
      </c>
      <c r="Q4912" s="0" t="n">
        <f aca="false">F4912*G4912</f>
        <v>0.125</v>
      </c>
      <c r="R4912" s="0" t="n">
        <f aca="false">F4912*H4912</f>
        <v>-0.25</v>
      </c>
      <c r="S4912" s="0" t="n">
        <f aca="false">G4912*H4912</f>
        <v>-0.125</v>
      </c>
      <c r="T4912" s="0" t="n">
        <f aca="false">E4912*E4912</f>
        <v>0.25</v>
      </c>
      <c r="U4912" s="0" t="n">
        <f aca="false">F4912*F4912</f>
        <v>0.25</v>
      </c>
      <c r="V4912" s="0" t="n">
        <f aca="false">G4912*G4912</f>
        <v>0.0625</v>
      </c>
      <c r="W4912" s="0" t="n">
        <f aca="false">H4912*H4912</f>
        <v>0.25</v>
      </c>
      <c r="X4912" s="0" t="n">
        <f aca="false">SUMPRODUCT(I4912:W4912,_XtX!$B$96:$P$96)</f>
        <v>48.7964546783625</v>
      </c>
      <c r="Y4912" s="0" t="n">
        <f aca="false">SUMPRODUCT(MMULT(I4912:W4912,_XtX!$B$78:$P$92),I4912:W4912)</f>
        <v>0.133937545687135</v>
      </c>
      <c r="Z4912" s="0" t="n">
        <f aca="false">04_回帰ANOVA!$K$19*04_回帰ANOVA!$K$14*SQRT(1+Y4912)</f>
        <v>1.38801116780825</v>
      </c>
      <c r="AA4912" s="0" t="n">
        <f aca="false">X4912-Z4912</f>
        <v>47.4084435105543</v>
      </c>
      <c r="AB4912" s="0" t="n">
        <f aca="false">X4912+Z4912</f>
        <v>50.1844658461708</v>
      </c>
      <c r="AC4912" s="54" t="b">
        <f aca="false">AND(E4912&gt;=01_因子設定!$L$5-0.000000001,E4912&lt;=01_因子設定!$M$5+0.000000001,F4912&gt;=01_因子設定!$L$6-0.000000001,F4912&lt;=01_因子設定!$M$6+0.000000001,G4912&gt;=01_因子設定!$L$7-0.000000001,G4912&lt;=01_因子設定!$M$7+0.000000001,H4912&gt;=01_因子設定!$L$8-0.000000001,H4912&lt;=01_因子設定!$M$8+0.000000001,IF(01_因子設定!$B$20="Box-Behnken",E4912^2+F4912^2+G4912^2+H4912^2&lt;=2+0.000000001,TRUE()))</f>
        <v>1</v>
      </c>
      <c r="AD4912" s="55" t="n">
        <f aca="false">IF(AC4912,IF(01_因子設定!$B$13="最大化",AA4912-01_因子設定!$B$14,IF(01_因子設定!$B$13="最小化",01_因子設定!$B$15-AB4912,MIN(AA4912-01_因子設定!$B$14,01_因子設定!$B$15-AB4912))),-1E+030)</f>
        <v>0.908443510554285</v>
      </c>
      <c r="AE4912" s="55" t="n">
        <f aca="false">IF(AC4912,IF(01_因子設定!$B$13="最大化",X4912,IF(01_因子設定!$B$13="最小化",-X4912,-ABS(X4912-01_因子設定!$B$16))),-1E+030)</f>
        <v>48.7964546783625</v>
      </c>
      <c r="AF4912" s="55" t="n">
        <f aca="false">AD4912+ROW()*0.000000001</f>
        <v>0.908448422554285</v>
      </c>
      <c r="AG4912" s="55" t="n">
        <f aca="false">AE4912+ROW()*0.000000001</f>
        <v>48.7964595903625</v>
      </c>
    </row>
    <row r="4913" customFormat="false" ht="15" hidden="false" customHeight="false" outlineLevel="0" collapsed="false">
      <c r="A4913" s="0" t="n">
        <v>6</v>
      </c>
      <c r="B4913" s="0" t="n">
        <v>6</v>
      </c>
      <c r="C4913" s="0" t="n">
        <v>5</v>
      </c>
      <c r="D4913" s="0" t="n">
        <v>3</v>
      </c>
      <c r="E4913" s="0" t="n">
        <f aca="false">-1+A4913*0.25</f>
        <v>0.5</v>
      </c>
      <c r="F4913" s="0" t="n">
        <f aca="false">-1+B4913*0.25</f>
        <v>0.5</v>
      </c>
      <c r="G4913" s="0" t="n">
        <f aca="false">-1+C4913*0.25</f>
        <v>0.25</v>
      </c>
      <c r="H4913" s="0" t="n">
        <f aca="false">-1+D4913*0.25</f>
        <v>-0.25</v>
      </c>
      <c r="I4913" s="0" t="n">
        <f aca="false">1</f>
        <v>1</v>
      </c>
      <c r="J4913" s="0" t="n">
        <f aca="false">E4913</f>
        <v>0.5</v>
      </c>
      <c r="K4913" s="0" t="n">
        <f aca="false">F4913</f>
        <v>0.5</v>
      </c>
      <c r="L4913" s="0" t="n">
        <f aca="false">G4913</f>
        <v>0.25</v>
      </c>
      <c r="M4913" s="0" t="n">
        <f aca="false">H4913</f>
        <v>-0.25</v>
      </c>
      <c r="N4913" s="0" t="n">
        <f aca="false">E4913*F4913</f>
        <v>0.25</v>
      </c>
      <c r="O4913" s="0" t="n">
        <f aca="false">E4913*G4913</f>
        <v>0.125</v>
      </c>
      <c r="P4913" s="0" t="n">
        <f aca="false">E4913*H4913</f>
        <v>-0.125</v>
      </c>
      <c r="Q4913" s="0" t="n">
        <f aca="false">F4913*G4913</f>
        <v>0.125</v>
      </c>
      <c r="R4913" s="0" t="n">
        <f aca="false">F4913*H4913</f>
        <v>-0.125</v>
      </c>
      <c r="S4913" s="0" t="n">
        <f aca="false">G4913*H4913</f>
        <v>-0.0625</v>
      </c>
      <c r="T4913" s="0" t="n">
        <f aca="false">E4913*E4913</f>
        <v>0.25</v>
      </c>
      <c r="U4913" s="0" t="n">
        <f aca="false">F4913*F4913</f>
        <v>0.25</v>
      </c>
      <c r="V4913" s="0" t="n">
        <f aca="false">G4913*G4913</f>
        <v>0.0625</v>
      </c>
      <c r="W4913" s="0" t="n">
        <f aca="false">H4913*H4913</f>
        <v>0.0625</v>
      </c>
      <c r="X4913" s="0" t="n">
        <f aca="false">SUMPRODUCT(I4913:W4913,_XtX!$B$96:$P$96)</f>
        <v>48.9765853435672</v>
      </c>
      <c r="Y4913" s="0" t="n">
        <f aca="false">SUMPRODUCT(MMULT(I4913:W4913,_XtX!$B$78:$P$92),I4913:W4913)</f>
        <v>0.128236647934942</v>
      </c>
      <c r="Z4913" s="0" t="n">
        <f aca="false">04_回帰ANOVA!$K$19*04_回帰ANOVA!$K$14*SQRT(1+Y4913)</f>
        <v>1.38451764188989</v>
      </c>
      <c r="AA4913" s="0" t="n">
        <f aca="false">X4913-Z4913</f>
        <v>47.5920677016773</v>
      </c>
      <c r="AB4913" s="0" t="n">
        <f aca="false">X4913+Z4913</f>
        <v>50.3611029854571</v>
      </c>
      <c r="AC4913" s="54" t="b">
        <f aca="false">AND(E4913&gt;=01_因子設定!$L$5-0.000000001,E4913&lt;=01_因子設定!$M$5+0.000000001,F4913&gt;=01_因子設定!$L$6-0.000000001,F4913&lt;=01_因子設定!$M$6+0.000000001,G4913&gt;=01_因子設定!$L$7-0.000000001,G4913&lt;=01_因子設定!$M$7+0.000000001,H4913&gt;=01_因子設定!$L$8-0.000000001,H4913&lt;=01_因子設定!$M$8+0.000000001,IF(01_因子設定!$B$20="Box-Behnken",E4913^2+F4913^2+G4913^2+H4913^2&lt;=2+0.000000001,TRUE()))</f>
        <v>1</v>
      </c>
      <c r="AD4913" s="55" t="n">
        <f aca="false">IF(AC4913,IF(01_因子設定!$B$13="最大化",AA4913-01_因子設定!$B$14,IF(01_因子設定!$B$13="最小化",01_因子設定!$B$15-AB4913,MIN(AA4913-01_因子設定!$B$14,01_因子設定!$B$15-AB4913))),-1E+030)</f>
        <v>1.09206770167732</v>
      </c>
      <c r="AE4913" s="55" t="n">
        <f aca="false">IF(AC4913,IF(01_因子設定!$B$13="最大化",X4913,IF(01_因子設定!$B$13="最小化",-X4913,-ABS(X4913-01_因子設定!$B$16))),-1E+030)</f>
        <v>48.9765853435672</v>
      </c>
      <c r="AF4913" s="55" t="n">
        <f aca="false">AD4913+ROW()*0.000000001</f>
        <v>1.09207261467732</v>
      </c>
      <c r="AG4913" s="55" t="n">
        <f aca="false">AE4913+ROW()*0.000000001</f>
        <v>48.9765902565672</v>
      </c>
    </row>
    <row r="4914" customFormat="false" ht="15" hidden="false" customHeight="false" outlineLevel="0" collapsed="false">
      <c r="A4914" s="0" t="n">
        <v>6</v>
      </c>
      <c r="B4914" s="0" t="n">
        <v>6</v>
      </c>
      <c r="C4914" s="0" t="n">
        <v>5</v>
      </c>
      <c r="D4914" s="0" t="n">
        <v>4</v>
      </c>
      <c r="E4914" s="0" t="n">
        <f aca="false">-1+A4914*0.25</f>
        <v>0.5</v>
      </c>
      <c r="F4914" s="0" t="n">
        <f aca="false">-1+B4914*0.25</f>
        <v>0.5</v>
      </c>
      <c r="G4914" s="0" t="n">
        <f aca="false">-1+C4914*0.25</f>
        <v>0.25</v>
      </c>
      <c r="H4914" s="0" t="n">
        <f aca="false">-1+D4914*0.25</f>
        <v>0</v>
      </c>
      <c r="I4914" s="0" t="n">
        <f aca="false">1</f>
        <v>1</v>
      </c>
      <c r="J4914" s="0" t="n">
        <f aca="false">E4914</f>
        <v>0.5</v>
      </c>
      <c r="K4914" s="0" t="n">
        <f aca="false">F4914</f>
        <v>0.5</v>
      </c>
      <c r="L4914" s="0" t="n">
        <f aca="false">G4914</f>
        <v>0.25</v>
      </c>
      <c r="M4914" s="0" t="n">
        <f aca="false">H4914</f>
        <v>0</v>
      </c>
      <c r="N4914" s="0" t="n">
        <f aca="false">E4914*F4914</f>
        <v>0.25</v>
      </c>
      <c r="O4914" s="0" t="n">
        <f aca="false">E4914*G4914</f>
        <v>0.125</v>
      </c>
      <c r="P4914" s="0" t="n">
        <f aca="false">E4914*H4914</f>
        <v>0</v>
      </c>
      <c r="Q4914" s="0" t="n">
        <f aca="false">F4914*G4914</f>
        <v>0.125</v>
      </c>
      <c r="R4914" s="0" t="n">
        <f aca="false">F4914*H4914</f>
        <v>0</v>
      </c>
      <c r="S4914" s="0" t="n">
        <f aca="false">G4914*H4914</f>
        <v>0</v>
      </c>
      <c r="T4914" s="0" t="n">
        <f aca="false">E4914*E4914</f>
        <v>0.25</v>
      </c>
      <c r="U4914" s="0" t="n">
        <f aca="false">F4914*F4914</f>
        <v>0.25</v>
      </c>
      <c r="V4914" s="0" t="n">
        <f aca="false">G4914*G4914</f>
        <v>0.0625</v>
      </c>
      <c r="W4914" s="0" t="n">
        <f aca="false">H4914*H4914</f>
        <v>0</v>
      </c>
      <c r="X4914" s="0" t="n">
        <f aca="false">SUMPRODUCT(I4914:W4914,_XtX!$B$96:$P$96)</f>
        <v>49.108908991228</v>
      </c>
      <c r="Y4914" s="0" t="n">
        <f aca="false">SUMPRODUCT(MMULT(I4914:W4914,_XtX!$B$78:$P$92),I4914:W4914)</f>
        <v>0.132367050438597</v>
      </c>
      <c r="Z4914" s="0" t="n">
        <f aca="false">04_回帰ANOVA!$K$19*04_回帰ANOVA!$K$14*SQRT(1+Y4914)</f>
        <v>1.38704964208329</v>
      </c>
      <c r="AA4914" s="0" t="n">
        <f aca="false">X4914-Z4914</f>
        <v>47.7218593491447</v>
      </c>
      <c r="AB4914" s="0" t="n">
        <f aca="false">X4914+Z4914</f>
        <v>50.4959586333113</v>
      </c>
      <c r="AC4914" s="54" t="b">
        <f aca="false">AND(E4914&gt;=01_因子設定!$L$5-0.000000001,E4914&lt;=01_因子設定!$M$5+0.000000001,F4914&gt;=01_因子設定!$L$6-0.000000001,F4914&lt;=01_因子設定!$M$6+0.000000001,G4914&gt;=01_因子設定!$L$7-0.000000001,G4914&lt;=01_因子設定!$M$7+0.000000001,H4914&gt;=01_因子設定!$L$8-0.000000001,H4914&lt;=01_因子設定!$M$8+0.000000001,IF(01_因子設定!$B$20="Box-Behnken",E4914^2+F4914^2+G4914^2+H4914^2&lt;=2+0.000000001,TRUE()))</f>
        <v>1</v>
      </c>
      <c r="AD4914" s="55" t="n">
        <f aca="false">IF(AC4914,IF(01_因子設定!$B$13="最大化",AA4914-01_因子設定!$B$14,IF(01_因子設定!$B$13="最小化",01_因子設定!$B$15-AB4914,MIN(AA4914-01_因子設定!$B$14,01_因子設定!$B$15-AB4914))),-1E+030)</f>
        <v>1.22185934914474</v>
      </c>
      <c r="AE4914" s="55" t="n">
        <f aca="false">IF(AC4914,IF(01_因子設定!$B$13="最大化",X4914,IF(01_因子設定!$B$13="最小化",-X4914,-ABS(X4914-01_因子設定!$B$16))),-1E+030)</f>
        <v>49.108908991228</v>
      </c>
      <c r="AF4914" s="55" t="n">
        <f aca="false">AD4914+ROW()*0.000000001</f>
        <v>1.22186426314474</v>
      </c>
      <c r="AG4914" s="55" t="n">
        <f aca="false">AE4914+ROW()*0.000000001</f>
        <v>49.108913905228</v>
      </c>
    </row>
    <row r="4915" customFormat="false" ht="15" hidden="false" customHeight="false" outlineLevel="0" collapsed="false">
      <c r="A4915" s="0" t="n">
        <v>6</v>
      </c>
      <c r="B4915" s="0" t="n">
        <v>6</v>
      </c>
      <c r="C4915" s="0" t="n">
        <v>5</v>
      </c>
      <c r="D4915" s="0" t="n">
        <v>5</v>
      </c>
      <c r="E4915" s="0" t="n">
        <f aca="false">-1+A4915*0.25</f>
        <v>0.5</v>
      </c>
      <c r="F4915" s="0" t="n">
        <f aca="false">-1+B4915*0.25</f>
        <v>0.5</v>
      </c>
      <c r="G4915" s="0" t="n">
        <f aca="false">-1+C4915*0.25</f>
        <v>0.25</v>
      </c>
      <c r="H4915" s="0" t="n">
        <f aca="false">-1+D4915*0.25</f>
        <v>0.25</v>
      </c>
      <c r="I4915" s="0" t="n">
        <f aca="false">1</f>
        <v>1</v>
      </c>
      <c r="J4915" s="0" t="n">
        <f aca="false">E4915</f>
        <v>0.5</v>
      </c>
      <c r="K4915" s="0" t="n">
        <f aca="false">F4915</f>
        <v>0.5</v>
      </c>
      <c r="L4915" s="0" t="n">
        <f aca="false">G4915</f>
        <v>0.25</v>
      </c>
      <c r="M4915" s="0" t="n">
        <f aca="false">H4915</f>
        <v>0.25</v>
      </c>
      <c r="N4915" s="0" t="n">
        <f aca="false">E4915*F4915</f>
        <v>0.25</v>
      </c>
      <c r="O4915" s="0" t="n">
        <f aca="false">E4915*G4915</f>
        <v>0.125</v>
      </c>
      <c r="P4915" s="0" t="n">
        <f aca="false">E4915*H4915</f>
        <v>0.125</v>
      </c>
      <c r="Q4915" s="0" t="n">
        <f aca="false">F4915*G4915</f>
        <v>0.125</v>
      </c>
      <c r="R4915" s="0" t="n">
        <f aca="false">F4915*H4915</f>
        <v>0.125</v>
      </c>
      <c r="S4915" s="0" t="n">
        <f aca="false">G4915*H4915</f>
        <v>0.0625</v>
      </c>
      <c r="T4915" s="0" t="n">
        <f aca="false">E4915*E4915</f>
        <v>0.25</v>
      </c>
      <c r="U4915" s="0" t="n">
        <f aca="false">F4915*F4915</f>
        <v>0.25</v>
      </c>
      <c r="V4915" s="0" t="n">
        <f aca="false">G4915*G4915</f>
        <v>0.0625</v>
      </c>
      <c r="W4915" s="0" t="n">
        <f aca="false">H4915*H4915</f>
        <v>0.0625</v>
      </c>
      <c r="X4915" s="0" t="n">
        <f aca="false">SUMPRODUCT(I4915:W4915,_XtX!$B$96:$P$96)</f>
        <v>49.193425621345</v>
      </c>
      <c r="Y4915" s="0" t="n">
        <f aca="false">SUMPRODUCT(MMULT(I4915:W4915,_XtX!$B$78:$P$92),I4915:W4915)</f>
        <v>0.128236647934942</v>
      </c>
      <c r="Z4915" s="0" t="n">
        <f aca="false">04_回帰ANOVA!$K$19*04_回帰ANOVA!$K$14*SQRT(1+Y4915)</f>
        <v>1.38451764188989</v>
      </c>
      <c r="AA4915" s="0" t="n">
        <f aca="false">X4915-Z4915</f>
        <v>47.8089079794551</v>
      </c>
      <c r="AB4915" s="0" t="n">
        <f aca="false">X4915+Z4915</f>
        <v>50.5779432632349</v>
      </c>
      <c r="AC4915" s="54" t="b">
        <f aca="false">AND(E4915&gt;=01_因子設定!$L$5-0.000000001,E4915&lt;=01_因子設定!$M$5+0.000000001,F4915&gt;=01_因子設定!$L$6-0.000000001,F4915&lt;=01_因子設定!$M$6+0.000000001,G4915&gt;=01_因子設定!$L$7-0.000000001,G4915&lt;=01_因子設定!$M$7+0.000000001,H4915&gt;=01_因子設定!$L$8-0.000000001,H4915&lt;=01_因子設定!$M$8+0.000000001,IF(01_因子設定!$B$20="Box-Behnken",E4915^2+F4915^2+G4915^2+H4915^2&lt;=2+0.000000001,TRUE()))</f>
        <v>1</v>
      </c>
      <c r="AD4915" s="55" t="n">
        <f aca="false">IF(AC4915,IF(01_因子設定!$B$13="最大化",AA4915-01_因子設定!$B$14,IF(01_因子設定!$B$13="最小化",01_因子設定!$B$15-AB4915,MIN(AA4915-01_因子設定!$B$14,01_因子設定!$B$15-AB4915))),-1E+030)</f>
        <v>1.3089079794551</v>
      </c>
      <c r="AE4915" s="55" t="n">
        <f aca="false">IF(AC4915,IF(01_因子設定!$B$13="最大化",X4915,IF(01_因子設定!$B$13="最小化",-X4915,-ABS(X4915-01_因子設定!$B$16))),-1E+030)</f>
        <v>49.193425621345</v>
      </c>
      <c r="AF4915" s="55" t="n">
        <f aca="false">AD4915+ROW()*0.000000001</f>
        <v>1.3089128944551</v>
      </c>
      <c r="AG4915" s="55" t="n">
        <f aca="false">AE4915+ROW()*0.000000001</f>
        <v>49.193430536345</v>
      </c>
    </row>
    <row r="4916" customFormat="false" ht="15" hidden="false" customHeight="false" outlineLevel="0" collapsed="false">
      <c r="A4916" s="0" t="n">
        <v>6</v>
      </c>
      <c r="B4916" s="0" t="n">
        <v>6</v>
      </c>
      <c r="C4916" s="0" t="n">
        <v>5</v>
      </c>
      <c r="D4916" s="0" t="n">
        <v>6</v>
      </c>
      <c r="E4916" s="0" t="n">
        <f aca="false">-1+A4916*0.25</f>
        <v>0.5</v>
      </c>
      <c r="F4916" s="0" t="n">
        <f aca="false">-1+B4916*0.25</f>
        <v>0.5</v>
      </c>
      <c r="G4916" s="0" t="n">
        <f aca="false">-1+C4916*0.25</f>
        <v>0.25</v>
      </c>
      <c r="H4916" s="0" t="n">
        <f aca="false">-1+D4916*0.25</f>
        <v>0.5</v>
      </c>
      <c r="I4916" s="0" t="n">
        <f aca="false">1</f>
        <v>1</v>
      </c>
      <c r="J4916" s="0" t="n">
        <f aca="false">E4916</f>
        <v>0.5</v>
      </c>
      <c r="K4916" s="0" t="n">
        <f aca="false">F4916</f>
        <v>0.5</v>
      </c>
      <c r="L4916" s="0" t="n">
        <f aca="false">G4916</f>
        <v>0.25</v>
      </c>
      <c r="M4916" s="0" t="n">
        <f aca="false">H4916</f>
        <v>0.5</v>
      </c>
      <c r="N4916" s="0" t="n">
        <f aca="false">E4916*F4916</f>
        <v>0.25</v>
      </c>
      <c r="O4916" s="0" t="n">
        <f aca="false">E4916*G4916</f>
        <v>0.125</v>
      </c>
      <c r="P4916" s="0" t="n">
        <f aca="false">E4916*H4916</f>
        <v>0.25</v>
      </c>
      <c r="Q4916" s="0" t="n">
        <f aca="false">F4916*G4916</f>
        <v>0.125</v>
      </c>
      <c r="R4916" s="0" t="n">
        <f aca="false">F4916*H4916</f>
        <v>0.25</v>
      </c>
      <c r="S4916" s="0" t="n">
        <f aca="false">G4916*H4916</f>
        <v>0.125</v>
      </c>
      <c r="T4916" s="0" t="n">
        <f aca="false">E4916*E4916</f>
        <v>0.25</v>
      </c>
      <c r="U4916" s="0" t="n">
        <f aca="false">F4916*F4916</f>
        <v>0.25</v>
      </c>
      <c r="V4916" s="0" t="n">
        <f aca="false">G4916*G4916</f>
        <v>0.0625</v>
      </c>
      <c r="W4916" s="0" t="n">
        <f aca="false">H4916*H4916</f>
        <v>0.25</v>
      </c>
      <c r="X4916" s="0" t="n">
        <f aca="false">SUMPRODUCT(I4916:W4916,_XtX!$B$96:$P$96)</f>
        <v>49.2301352339181</v>
      </c>
      <c r="Y4916" s="0" t="n">
        <f aca="false">SUMPRODUCT(MMULT(I4916:W4916,_XtX!$B$78:$P$92),I4916:W4916)</f>
        <v>0.133937545687135</v>
      </c>
      <c r="Z4916" s="0" t="n">
        <f aca="false">04_回帰ANOVA!$K$19*04_回帰ANOVA!$K$14*SQRT(1+Y4916)</f>
        <v>1.38801116780825</v>
      </c>
      <c r="AA4916" s="0" t="n">
        <f aca="false">X4916-Z4916</f>
        <v>47.8421240661098</v>
      </c>
      <c r="AB4916" s="0" t="n">
        <f aca="false">X4916+Z4916</f>
        <v>50.6181464017263</v>
      </c>
      <c r="AC4916" s="54" t="b">
        <f aca="false">AND(E4916&gt;=01_因子設定!$L$5-0.000000001,E4916&lt;=01_因子設定!$M$5+0.000000001,F4916&gt;=01_因子設定!$L$6-0.000000001,F4916&lt;=01_因子設定!$M$6+0.000000001,G4916&gt;=01_因子設定!$L$7-0.000000001,G4916&lt;=01_因子設定!$M$7+0.000000001,H4916&gt;=01_因子設定!$L$8-0.000000001,H4916&lt;=01_因子設定!$M$8+0.000000001,IF(01_因子設定!$B$20="Box-Behnken",E4916^2+F4916^2+G4916^2+H4916^2&lt;=2+0.000000001,TRUE()))</f>
        <v>1</v>
      </c>
      <c r="AD4916" s="55" t="n">
        <f aca="false">IF(AC4916,IF(01_因子設定!$B$13="最大化",AA4916-01_因子設定!$B$14,IF(01_因子設定!$B$13="最小化",01_因子設定!$B$15-AB4916,MIN(AA4916-01_因子設定!$B$14,01_因子設定!$B$15-AB4916))),-1E+030)</f>
        <v>1.34212406610984</v>
      </c>
      <c r="AE4916" s="55" t="n">
        <f aca="false">IF(AC4916,IF(01_因子設定!$B$13="最大化",X4916,IF(01_因子設定!$B$13="最小化",-X4916,-ABS(X4916-01_因子設定!$B$16))),-1E+030)</f>
        <v>49.2301352339181</v>
      </c>
      <c r="AF4916" s="55" t="n">
        <f aca="false">AD4916+ROW()*0.000000001</f>
        <v>1.34212898210984</v>
      </c>
      <c r="AG4916" s="55" t="n">
        <f aca="false">AE4916+ROW()*0.000000001</f>
        <v>49.2301401499181</v>
      </c>
    </row>
    <row r="4917" customFormat="false" ht="15" hidden="false" customHeight="false" outlineLevel="0" collapsed="false">
      <c r="A4917" s="0" t="n">
        <v>6</v>
      </c>
      <c r="B4917" s="0" t="n">
        <v>6</v>
      </c>
      <c r="C4917" s="0" t="n">
        <v>5</v>
      </c>
      <c r="D4917" s="0" t="n">
        <v>7</v>
      </c>
      <c r="E4917" s="0" t="n">
        <f aca="false">-1+A4917*0.25</f>
        <v>0.5</v>
      </c>
      <c r="F4917" s="0" t="n">
        <f aca="false">-1+B4917*0.25</f>
        <v>0.5</v>
      </c>
      <c r="G4917" s="0" t="n">
        <f aca="false">-1+C4917*0.25</f>
        <v>0.25</v>
      </c>
      <c r="H4917" s="0" t="n">
        <f aca="false">-1+D4917*0.25</f>
        <v>0.75</v>
      </c>
      <c r="I4917" s="0" t="n">
        <f aca="false">1</f>
        <v>1</v>
      </c>
      <c r="J4917" s="0" t="n">
        <f aca="false">E4917</f>
        <v>0.5</v>
      </c>
      <c r="K4917" s="0" t="n">
        <f aca="false">F4917</f>
        <v>0.5</v>
      </c>
      <c r="L4917" s="0" t="n">
        <f aca="false">G4917</f>
        <v>0.25</v>
      </c>
      <c r="M4917" s="0" t="n">
        <f aca="false">H4917</f>
        <v>0.75</v>
      </c>
      <c r="N4917" s="0" t="n">
        <f aca="false">E4917*F4917</f>
        <v>0.25</v>
      </c>
      <c r="O4917" s="0" t="n">
        <f aca="false">E4917*G4917</f>
        <v>0.125</v>
      </c>
      <c r="P4917" s="0" t="n">
        <f aca="false">E4917*H4917</f>
        <v>0.375</v>
      </c>
      <c r="Q4917" s="0" t="n">
        <f aca="false">F4917*G4917</f>
        <v>0.125</v>
      </c>
      <c r="R4917" s="0" t="n">
        <f aca="false">F4917*H4917</f>
        <v>0.375</v>
      </c>
      <c r="S4917" s="0" t="n">
        <f aca="false">G4917*H4917</f>
        <v>0.1875</v>
      </c>
      <c r="T4917" s="0" t="n">
        <f aca="false">E4917*E4917</f>
        <v>0.25</v>
      </c>
      <c r="U4917" s="0" t="n">
        <f aca="false">F4917*F4917</f>
        <v>0.25</v>
      </c>
      <c r="V4917" s="0" t="n">
        <f aca="false">G4917*G4917</f>
        <v>0.0625</v>
      </c>
      <c r="W4917" s="0" t="n">
        <f aca="false">H4917*H4917</f>
        <v>0.5625</v>
      </c>
      <c r="X4917" s="0" t="n">
        <f aca="false">SUMPRODUCT(I4917:W4917,_XtX!$B$96:$P$96)</f>
        <v>49.2190378289473</v>
      </c>
      <c r="Y4917" s="0" t="n">
        <f aca="false">SUMPRODUCT(MMULT(I4917:W4917,_XtX!$B$78:$P$92),I4917:W4917)</f>
        <v>0.203746059484649</v>
      </c>
      <c r="Z4917" s="0" t="n">
        <f aca="false">04_回帰ANOVA!$K$19*04_回帰ANOVA!$K$14*SQRT(1+Y4917)</f>
        <v>1.43009810755465</v>
      </c>
      <c r="AA4917" s="0" t="n">
        <f aca="false">X4917-Z4917</f>
        <v>47.7889397213927</v>
      </c>
      <c r="AB4917" s="0" t="n">
        <f aca="false">X4917+Z4917</f>
        <v>50.649135936502</v>
      </c>
      <c r="AC4917" s="54" t="b">
        <f aca="false">AND(E4917&gt;=01_因子設定!$L$5-0.000000001,E4917&lt;=01_因子設定!$M$5+0.000000001,F4917&gt;=01_因子設定!$L$6-0.000000001,F4917&lt;=01_因子設定!$M$6+0.000000001,G4917&gt;=01_因子設定!$L$7-0.000000001,G4917&lt;=01_因子設定!$M$7+0.000000001,H4917&gt;=01_因子設定!$L$8-0.000000001,H4917&lt;=01_因子設定!$M$8+0.000000001,IF(01_因子設定!$B$20="Box-Behnken",E4917^2+F4917^2+G4917^2+H4917^2&lt;=2+0.000000001,TRUE()))</f>
        <v>1</v>
      </c>
      <c r="AD4917" s="55" t="n">
        <f aca="false">IF(AC4917,IF(01_因子設定!$B$13="最大化",AA4917-01_因子設定!$B$14,IF(01_因子設定!$B$13="最小化",01_因子設定!$B$15-AB4917,MIN(AA4917-01_因子設定!$B$14,01_因子設定!$B$15-AB4917))),-1E+030)</f>
        <v>1.28893972139269</v>
      </c>
      <c r="AE4917" s="55" t="n">
        <f aca="false">IF(AC4917,IF(01_因子設定!$B$13="最大化",X4917,IF(01_因子設定!$B$13="最小化",-X4917,-ABS(X4917-01_因子設定!$B$16))),-1E+030)</f>
        <v>49.2190378289473</v>
      </c>
      <c r="AF4917" s="55" t="n">
        <f aca="false">AD4917+ROW()*0.000000001</f>
        <v>1.28894463839269</v>
      </c>
      <c r="AG4917" s="55" t="n">
        <f aca="false">AE4917+ROW()*0.000000001</f>
        <v>49.2190427459473</v>
      </c>
    </row>
    <row r="4918" customFormat="false" ht="15" hidden="false" customHeight="false" outlineLevel="0" collapsed="false">
      <c r="A4918" s="0" t="n">
        <v>6</v>
      </c>
      <c r="B4918" s="0" t="n">
        <v>6</v>
      </c>
      <c r="C4918" s="0" t="n">
        <v>5</v>
      </c>
      <c r="D4918" s="0" t="n">
        <v>8</v>
      </c>
      <c r="E4918" s="0" t="n">
        <f aca="false">-1+A4918*0.25</f>
        <v>0.5</v>
      </c>
      <c r="F4918" s="0" t="n">
        <f aca="false">-1+B4918*0.25</f>
        <v>0.5</v>
      </c>
      <c r="G4918" s="0" t="n">
        <f aca="false">-1+C4918*0.25</f>
        <v>0.25</v>
      </c>
      <c r="H4918" s="0" t="n">
        <f aca="false">-1+D4918*0.25</f>
        <v>1</v>
      </c>
      <c r="I4918" s="0" t="n">
        <f aca="false">1</f>
        <v>1</v>
      </c>
      <c r="J4918" s="0" t="n">
        <f aca="false">E4918</f>
        <v>0.5</v>
      </c>
      <c r="K4918" s="0" t="n">
        <f aca="false">F4918</f>
        <v>0.5</v>
      </c>
      <c r="L4918" s="0" t="n">
        <f aca="false">G4918</f>
        <v>0.25</v>
      </c>
      <c r="M4918" s="0" t="n">
        <f aca="false">H4918</f>
        <v>1</v>
      </c>
      <c r="N4918" s="0" t="n">
        <f aca="false">E4918*F4918</f>
        <v>0.25</v>
      </c>
      <c r="O4918" s="0" t="n">
        <f aca="false">E4918*G4918</f>
        <v>0.125</v>
      </c>
      <c r="P4918" s="0" t="n">
        <f aca="false">E4918*H4918</f>
        <v>0.5</v>
      </c>
      <c r="Q4918" s="0" t="n">
        <f aca="false">F4918*G4918</f>
        <v>0.125</v>
      </c>
      <c r="R4918" s="0" t="n">
        <f aca="false">F4918*H4918</f>
        <v>0.5</v>
      </c>
      <c r="S4918" s="0" t="n">
        <f aca="false">G4918*H4918</f>
        <v>0.25</v>
      </c>
      <c r="T4918" s="0" t="n">
        <f aca="false">E4918*E4918</f>
        <v>0.25</v>
      </c>
      <c r="U4918" s="0" t="n">
        <f aca="false">F4918*F4918</f>
        <v>0.25</v>
      </c>
      <c r="V4918" s="0" t="n">
        <f aca="false">G4918*G4918</f>
        <v>0.0625</v>
      </c>
      <c r="W4918" s="0" t="n">
        <f aca="false">H4918*H4918</f>
        <v>1</v>
      </c>
      <c r="X4918" s="0" t="n">
        <f aca="false">SUMPRODUCT(I4918:W4918,_XtX!$B$96:$P$96)</f>
        <v>49.1601334064327</v>
      </c>
      <c r="Y4918" s="0" t="n">
        <f aca="false">SUMPRODUCT(MMULT(I4918:W4918,_XtX!$B$78:$P$92),I4918:W4918)</f>
        <v>0.428122715643275</v>
      </c>
      <c r="Z4918" s="0" t="n">
        <f aca="false">04_回帰ANOVA!$K$19*04_回帰ANOVA!$K$14*SQRT(1+Y4918)</f>
        <v>1.55769044623229</v>
      </c>
      <c r="AA4918" s="0" t="n">
        <f aca="false">X4918-Z4918</f>
        <v>47.6024429602005</v>
      </c>
      <c r="AB4918" s="0" t="n">
        <f aca="false">X4918+Z4918</f>
        <v>50.717823852665</v>
      </c>
      <c r="AC4918" s="54" t="b">
        <f aca="false">AND(E4918&gt;=01_因子設定!$L$5-0.000000001,E4918&lt;=01_因子設定!$M$5+0.000000001,F4918&gt;=01_因子設定!$L$6-0.000000001,F4918&lt;=01_因子設定!$M$6+0.000000001,G4918&gt;=01_因子設定!$L$7-0.000000001,G4918&lt;=01_因子設定!$M$7+0.000000001,H4918&gt;=01_因子設定!$L$8-0.000000001,H4918&lt;=01_因子設定!$M$8+0.000000001,IF(01_因子設定!$B$20="Box-Behnken",E4918^2+F4918^2+G4918^2+H4918^2&lt;=2+0.000000001,TRUE()))</f>
        <v>1</v>
      </c>
      <c r="AD4918" s="55" t="n">
        <f aca="false">IF(AC4918,IF(01_因子設定!$B$13="最大化",AA4918-01_因子設定!$B$14,IF(01_因子設定!$B$13="最小化",01_因子設定!$B$15-AB4918,MIN(AA4918-01_因子設定!$B$14,01_因子設定!$B$15-AB4918))),-1E+030)</f>
        <v>1.10244296020045</v>
      </c>
      <c r="AE4918" s="55" t="n">
        <f aca="false">IF(AC4918,IF(01_因子設定!$B$13="最大化",X4918,IF(01_因子設定!$B$13="最小化",-X4918,-ABS(X4918-01_因子設定!$B$16))),-1E+030)</f>
        <v>49.1601334064327</v>
      </c>
      <c r="AF4918" s="55" t="n">
        <f aca="false">AD4918+ROW()*0.000000001</f>
        <v>1.10244787820045</v>
      </c>
      <c r="AG4918" s="55" t="n">
        <f aca="false">AE4918+ROW()*0.000000001</f>
        <v>49.1601383244327</v>
      </c>
    </row>
    <row r="4919" customFormat="false" ht="15" hidden="false" customHeight="false" outlineLevel="0" collapsed="false">
      <c r="A4919" s="0" t="n">
        <v>6</v>
      </c>
      <c r="B4919" s="0" t="n">
        <v>6</v>
      </c>
      <c r="C4919" s="0" t="n">
        <v>6</v>
      </c>
      <c r="D4919" s="0" t="n">
        <v>0</v>
      </c>
      <c r="E4919" s="0" t="n">
        <f aca="false">-1+A4919*0.25</f>
        <v>0.5</v>
      </c>
      <c r="F4919" s="0" t="n">
        <f aca="false">-1+B4919*0.25</f>
        <v>0.5</v>
      </c>
      <c r="G4919" s="0" t="n">
        <f aca="false">-1+C4919*0.25</f>
        <v>0.5</v>
      </c>
      <c r="H4919" s="0" t="n">
        <f aca="false">-1+D4919*0.25</f>
        <v>-1</v>
      </c>
      <c r="I4919" s="0" t="n">
        <f aca="false">1</f>
        <v>1</v>
      </c>
      <c r="J4919" s="0" t="n">
        <f aca="false">E4919</f>
        <v>0.5</v>
      </c>
      <c r="K4919" s="0" t="n">
        <f aca="false">F4919</f>
        <v>0.5</v>
      </c>
      <c r="L4919" s="0" t="n">
        <f aca="false">G4919</f>
        <v>0.5</v>
      </c>
      <c r="M4919" s="0" t="n">
        <f aca="false">H4919</f>
        <v>-1</v>
      </c>
      <c r="N4919" s="0" t="n">
        <f aca="false">E4919*F4919</f>
        <v>0.25</v>
      </c>
      <c r="O4919" s="0" t="n">
        <f aca="false">E4919*G4919</f>
        <v>0.25</v>
      </c>
      <c r="P4919" s="0" t="n">
        <f aca="false">E4919*H4919</f>
        <v>-0.5</v>
      </c>
      <c r="Q4919" s="0" t="n">
        <f aca="false">F4919*G4919</f>
        <v>0.25</v>
      </c>
      <c r="R4919" s="0" t="n">
        <f aca="false">F4919*H4919</f>
        <v>-0.5</v>
      </c>
      <c r="S4919" s="0" t="n">
        <f aca="false">G4919*H4919</f>
        <v>-0.5</v>
      </c>
      <c r="T4919" s="0" t="n">
        <f aca="false">E4919*E4919</f>
        <v>0.25</v>
      </c>
      <c r="U4919" s="0" t="n">
        <f aca="false">F4919*F4919</f>
        <v>0.25</v>
      </c>
      <c r="V4919" s="0" t="n">
        <f aca="false">G4919*G4919</f>
        <v>0.25</v>
      </c>
      <c r="W4919" s="0" t="n">
        <f aca="false">H4919*H4919</f>
        <v>1</v>
      </c>
      <c r="X4919" s="0" t="n">
        <f aca="false">SUMPRODUCT(I4919:W4919,_XtX!$B$96:$P$96)</f>
        <v>48.2965826023392</v>
      </c>
      <c r="Y4919" s="0" t="n">
        <f aca="false">SUMPRODUCT(MMULT(I4919:W4919,_XtX!$B$78:$P$92),I4919:W4919)</f>
        <v>0.404719480994152</v>
      </c>
      <c r="Z4919" s="0" t="n">
        <f aca="false">04_回帰ANOVA!$K$19*04_回帰ANOVA!$K$14*SQRT(1+Y4919)</f>
        <v>1.54487446697867</v>
      </c>
      <c r="AA4919" s="0" t="n">
        <f aca="false">X4919-Z4919</f>
        <v>46.7517081353605</v>
      </c>
      <c r="AB4919" s="0" t="n">
        <f aca="false">X4919+Z4919</f>
        <v>49.8414570693179</v>
      </c>
      <c r="AC4919" s="54" t="b">
        <f aca="false">AND(E4919&gt;=01_因子設定!$L$5-0.000000001,E4919&lt;=01_因子設定!$M$5+0.000000001,F4919&gt;=01_因子設定!$L$6-0.000000001,F4919&lt;=01_因子設定!$M$6+0.000000001,G4919&gt;=01_因子設定!$L$7-0.000000001,G4919&lt;=01_因子設定!$M$7+0.000000001,H4919&gt;=01_因子設定!$L$8-0.000000001,H4919&lt;=01_因子設定!$M$8+0.000000001,IF(01_因子設定!$B$20="Box-Behnken",E4919^2+F4919^2+G4919^2+H4919^2&lt;=2+0.000000001,TRUE()))</f>
        <v>1</v>
      </c>
      <c r="AD4919" s="55" t="n">
        <f aca="false">IF(AC4919,IF(01_因子設定!$B$13="最大化",AA4919-01_因子設定!$B$14,IF(01_因子設定!$B$13="最小化",01_因子設定!$B$15-AB4919,MIN(AA4919-01_因子設定!$B$14,01_因子設定!$B$15-AB4919))),-1E+030)</f>
        <v>0.251708135360502</v>
      </c>
      <c r="AE4919" s="55" t="n">
        <f aca="false">IF(AC4919,IF(01_因子設定!$B$13="最大化",X4919,IF(01_因子設定!$B$13="最小化",-X4919,-ABS(X4919-01_因子設定!$B$16))),-1E+030)</f>
        <v>48.2965826023392</v>
      </c>
      <c r="AF4919" s="55" t="n">
        <f aca="false">AD4919+ROW()*0.000000001</f>
        <v>0.251713054360502</v>
      </c>
      <c r="AG4919" s="55" t="n">
        <f aca="false">AE4919+ROW()*0.000000001</f>
        <v>48.2965875213392</v>
      </c>
    </row>
    <row r="4920" customFormat="false" ht="15" hidden="false" customHeight="false" outlineLevel="0" collapsed="false">
      <c r="A4920" s="0" t="n">
        <v>6</v>
      </c>
      <c r="B4920" s="0" t="n">
        <v>6</v>
      </c>
      <c r="C4920" s="0" t="n">
        <v>6</v>
      </c>
      <c r="D4920" s="0" t="n">
        <v>1</v>
      </c>
      <c r="E4920" s="0" t="n">
        <f aca="false">-1+A4920*0.25</f>
        <v>0.5</v>
      </c>
      <c r="F4920" s="0" t="n">
        <f aca="false">-1+B4920*0.25</f>
        <v>0.5</v>
      </c>
      <c r="G4920" s="0" t="n">
        <f aca="false">-1+C4920*0.25</f>
        <v>0.5</v>
      </c>
      <c r="H4920" s="0" t="n">
        <f aca="false">-1+D4920*0.25</f>
        <v>-0.75</v>
      </c>
      <c r="I4920" s="0" t="n">
        <f aca="false">1</f>
        <v>1</v>
      </c>
      <c r="J4920" s="0" t="n">
        <f aca="false">E4920</f>
        <v>0.5</v>
      </c>
      <c r="K4920" s="0" t="n">
        <f aca="false">F4920</f>
        <v>0.5</v>
      </c>
      <c r="L4920" s="0" t="n">
        <f aca="false">G4920</f>
        <v>0.5</v>
      </c>
      <c r="M4920" s="0" t="n">
        <f aca="false">H4920</f>
        <v>-0.75</v>
      </c>
      <c r="N4920" s="0" t="n">
        <f aca="false">E4920*F4920</f>
        <v>0.25</v>
      </c>
      <c r="O4920" s="0" t="n">
        <f aca="false">E4920*G4920</f>
        <v>0.25</v>
      </c>
      <c r="P4920" s="0" t="n">
        <f aca="false">E4920*H4920</f>
        <v>-0.375</v>
      </c>
      <c r="Q4920" s="0" t="n">
        <f aca="false">F4920*G4920</f>
        <v>0.25</v>
      </c>
      <c r="R4920" s="0" t="n">
        <f aca="false">F4920*H4920</f>
        <v>-0.375</v>
      </c>
      <c r="S4920" s="0" t="n">
        <f aca="false">G4920*H4920</f>
        <v>-0.375</v>
      </c>
      <c r="T4920" s="0" t="n">
        <f aca="false">E4920*E4920</f>
        <v>0.25</v>
      </c>
      <c r="U4920" s="0" t="n">
        <f aca="false">F4920*F4920</f>
        <v>0.25</v>
      </c>
      <c r="V4920" s="0" t="n">
        <f aca="false">G4920*G4920</f>
        <v>0.25</v>
      </c>
      <c r="W4920" s="0" t="n">
        <f aca="false">H4920*H4920</f>
        <v>0.5625</v>
      </c>
      <c r="X4920" s="0" t="n">
        <f aca="false">SUMPRODUCT(I4920:W4920,_XtX!$B$96:$P$96)</f>
        <v>48.5902960526316</v>
      </c>
      <c r="Y4920" s="0" t="n">
        <f aca="false">SUMPRODUCT(MMULT(I4920:W4920,_XtX!$B$78:$P$92),I4920:W4920)</f>
        <v>0.193924753289474</v>
      </c>
      <c r="Z4920" s="0" t="n">
        <f aca="false">04_回帰ANOVA!$K$19*04_回帰ANOVA!$K$14*SQRT(1+Y4920)</f>
        <v>1.4242521079916</v>
      </c>
      <c r="AA4920" s="0" t="n">
        <f aca="false">X4920-Z4920</f>
        <v>47.16604394464</v>
      </c>
      <c r="AB4920" s="0" t="n">
        <f aca="false">X4920+Z4920</f>
        <v>50.0145481606232</v>
      </c>
      <c r="AC4920" s="54" t="b">
        <f aca="false">AND(E4920&gt;=01_因子設定!$L$5-0.000000001,E4920&lt;=01_因子設定!$M$5+0.000000001,F4920&gt;=01_因子設定!$L$6-0.000000001,F4920&lt;=01_因子設定!$M$6+0.000000001,G4920&gt;=01_因子設定!$L$7-0.000000001,G4920&lt;=01_因子設定!$M$7+0.000000001,H4920&gt;=01_因子設定!$L$8-0.000000001,H4920&lt;=01_因子設定!$M$8+0.000000001,IF(01_因子設定!$B$20="Box-Behnken",E4920^2+F4920^2+G4920^2+H4920^2&lt;=2+0.000000001,TRUE()))</f>
        <v>1</v>
      </c>
      <c r="AD4920" s="55" t="n">
        <f aca="false">IF(AC4920,IF(01_因子設定!$B$13="最大化",AA4920-01_因子設定!$B$14,IF(01_因子設定!$B$13="最小化",01_因子設定!$B$15-AB4920,MIN(AA4920-01_因子設定!$B$14,01_因子設定!$B$15-AB4920))),-1E+030)</f>
        <v>0.666043944639959</v>
      </c>
      <c r="AE4920" s="55" t="n">
        <f aca="false">IF(AC4920,IF(01_因子設定!$B$13="最大化",X4920,IF(01_因子設定!$B$13="最小化",-X4920,-ABS(X4920-01_因子設定!$B$16))),-1E+030)</f>
        <v>48.5902960526316</v>
      </c>
      <c r="AF4920" s="55" t="n">
        <f aca="false">AD4920+ROW()*0.000000001</f>
        <v>0.666048864639959</v>
      </c>
      <c r="AG4920" s="55" t="n">
        <f aca="false">AE4920+ROW()*0.000000001</f>
        <v>48.5903009726316</v>
      </c>
    </row>
    <row r="4921" customFormat="false" ht="15" hidden="false" customHeight="false" outlineLevel="0" collapsed="false">
      <c r="A4921" s="0" t="n">
        <v>6</v>
      </c>
      <c r="B4921" s="0" t="n">
        <v>6</v>
      </c>
      <c r="C4921" s="0" t="n">
        <v>6</v>
      </c>
      <c r="D4921" s="0" t="n">
        <v>2</v>
      </c>
      <c r="E4921" s="0" t="n">
        <f aca="false">-1+A4921*0.25</f>
        <v>0.5</v>
      </c>
      <c r="F4921" s="0" t="n">
        <f aca="false">-1+B4921*0.25</f>
        <v>0.5</v>
      </c>
      <c r="G4921" s="0" t="n">
        <f aca="false">-1+C4921*0.25</f>
        <v>0.5</v>
      </c>
      <c r="H4921" s="0" t="n">
        <f aca="false">-1+D4921*0.25</f>
        <v>-0.5</v>
      </c>
      <c r="I4921" s="0" t="n">
        <f aca="false">1</f>
        <v>1</v>
      </c>
      <c r="J4921" s="0" t="n">
        <f aca="false">E4921</f>
        <v>0.5</v>
      </c>
      <c r="K4921" s="0" t="n">
        <f aca="false">F4921</f>
        <v>0.5</v>
      </c>
      <c r="L4921" s="0" t="n">
        <f aca="false">G4921</f>
        <v>0.5</v>
      </c>
      <c r="M4921" s="0" t="n">
        <f aca="false">H4921</f>
        <v>-0.5</v>
      </c>
      <c r="N4921" s="0" t="n">
        <f aca="false">E4921*F4921</f>
        <v>0.25</v>
      </c>
      <c r="O4921" s="0" t="n">
        <f aca="false">E4921*G4921</f>
        <v>0.25</v>
      </c>
      <c r="P4921" s="0" t="n">
        <f aca="false">E4921*H4921</f>
        <v>-0.25</v>
      </c>
      <c r="Q4921" s="0" t="n">
        <f aca="false">F4921*G4921</f>
        <v>0.25</v>
      </c>
      <c r="R4921" s="0" t="n">
        <f aca="false">F4921*H4921</f>
        <v>-0.25</v>
      </c>
      <c r="S4921" s="0" t="n">
        <f aca="false">G4921*H4921</f>
        <v>-0.25</v>
      </c>
      <c r="T4921" s="0" t="n">
        <f aca="false">E4921*E4921</f>
        <v>0.25</v>
      </c>
      <c r="U4921" s="0" t="n">
        <f aca="false">F4921*F4921</f>
        <v>0.25</v>
      </c>
      <c r="V4921" s="0" t="n">
        <f aca="false">G4921*G4921</f>
        <v>0.25</v>
      </c>
      <c r="W4921" s="0" t="n">
        <f aca="false">H4921*H4921</f>
        <v>0.25</v>
      </c>
      <c r="X4921" s="0" t="n">
        <f aca="false">SUMPRODUCT(I4921:W4921,_XtX!$B$96:$P$96)</f>
        <v>48.8362024853801</v>
      </c>
      <c r="Y4921" s="0" t="n">
        <f aca="false">SUMPRODUCT(MMULT(I4921:W4921,_XtX!$B$78:$P$92),I4921:W4921)</f>
        <v>0.133817616959064</v>
      </c>
      <c r="Z4921" s="0" t="n">
        <f aca="false">04_回帰ANOVA!$K$19*04_回帰ANOVA!$K$14*SQRT(1+Y4921)</f>
        <v>1.38793776569887</v>
      </c>
      <c r="AA4921" s="0" t="n">
        <f aca="false">X4921-Z4921</f>
        <v>47.4482647196812</v>
      </c>
      <c r="AB4921" s="0" t="n">
        <f aca="false">X4921+Z4921</f>
        <v>50.224140251079</v>
      </c>
      <c r="AC4921" s="54" t="b">
        <f aca="false">AND(E4921&gt;=01_因子設定!$L$5-0.000000001,E4921&lt;=01_因子設定!$M$5+0.000000001,F4921&gt;=01_因子設定!$L$6-0.000000001,F4921&lt;=01_因子設定!$M$6+0.000000001,G4921&gt;=01_因子設定!$L$7-0.000000001,G4921&lt;=01_因子設定!$M$7+0.000000001,H4921&gt;=01_因子設定!$L$8-0.000000001,H4921&lt;=01_因子設定!$M$8+0.000000001,IF(01_因子設定!$B$20="Box-Behnken",E4921^2+F4921^2+G4921^2+H4921^2&lt;=2+0.000000001,TRUE()))</f>
        <v>1</v>
      </c>
      <c r="AD4921" s="55" t="n">
        <f aca="false">IF(AC4921,IF(01_因子設定!$B$13="最大化",AA4921-01_因子設定!$B$14,IF(01_因子設定!$B$13="最小化",01_因子設定!$B$15-AB4921,MIN(AA4921-01_因子設定!$B$14,01_因子設定!$B$15-AB4921))),-1E+030)</f>
        <v>0.94826471968122</v>
      </c>
      <c r="AE4921" s="55" t="n">
        <f aca="false">IF(AC4921,IF(01_因子設定!$B$13="最大化",X4921,IF(01_因子設定!$B$13="最小化",-X4921,-ABS(X4921-01_因子設定!$B$16))),-1E+030)</f>
        <v>48.8362024853801</v>
      </c>
      <c r="AF4921" s="55" t="n">
        <f aca="false">AD4921+ROW()*0.000000001</f>
        <v>0.94826964068122</v>
      </c>
      <c r="AG4921" s="55" t="n">
        <f aca="false">AE4921+ROW()*0.000000001</f>
        <v>48.8362074063801</v>
      </c>
    </row>
    <row r="4922" customFormat="false" ht="15" hidden="false" customHeight="false" outlineLevel="0" collapsed="false">
      <c r="A4922" s="0" t="n">
        <v>6</v>
      </c>
      <c r="B4922" s="0" t="n">
        <v>6</v>
      </c>
      <c r="C4922" s="0" t="n">
        <v>6</v>
      </c>
      <c r="D4922" s="0" t="n">
        <v>3</v>
      </c>
      <c r="E4922" s="0" t="n">
        <f aca="false">-1+A4922*0.25</f>
        <v>0.5</v>
      </c>
      <c r="F4922" s="0" t="n">
        <f aca="false">-1+B4922*0.25</f>
        <v>0.5</v>
      </c>
      <c r="G4922" s="0" t="n">
        <f aca="false">-1+C4922*0.25</f>
        <v>0.5</v>
      </c>
      <c r="H4922" s="0" t="n">
        <f aca="false">-1+D4922*0.25</f>
        <v>-0.25</v>
      </c>
      <c r="I4922" s="0" t="n">
        <f aca="false">1</f>
        <v>1</v>
      </c>
      <c r="J4922" s="0" t="n">
        <f aca="false">E4922</f>
        <v>0.5</v>
      </c>
      <c r="K4922" s="0" t="n">
        <f aca="false">F4922</f>
        <v>0.5</v>
      </c>
      <c r="L4922" s="0" t="n">
        <f aca="false">G4922</f>
        <v>0.5</v>
      </c>
      <c r="M4922" s="0" t="n">
        <f aca="false">H4922</f>
        <v>-0.25</v>
      </c>
      <c r="N4922" s="0" t="n">
        <f aca="false">E4922*F4922</f>
        <v>0.25</v>
      </c>
      <c r="O4922" s="0" t="n">
        <f aca="false">E4922*G4922</f>
        <v>0.25</v>
      </c>
      <c r="P4922" s="0" t="n">
        <f aca="false">E4922*H4922</f>
        <v>-0.125</v>
      </c>
      <c r="Q4922" s="0" t="n">
        <f aca="false">F4922*G4922</f>
        <v>0.25</v>
      </c>
      <c r="R4922" s="0" t="n">
        <f aca="false">F4922*H4922</f>
        <v>-0.125</v>
      </c>
      <c r="S4922" s="0" t="n">
        <f aca="false">G4922*H4922</f>
        <v>-0.125</v>
      </c>
      <c r="T4922" s="0" t="n">
        <f aca="false">E4922*E4922</f>
        <v>0.25</v>
      </c>
      <c r="U4922" s="0" t="n">
        <f aca="false">F4922*F4922</f>
        <v>0.25</v>
      </c>
      <c r="V4922" s="0" t="n">
        <f aca="false">G4922*G4922</f>
        <v>0.25</v>
      </c>
      <c r="W4922" s="0" t="n">
        <f aca="false">H4922*H4922</f>
        <v>0.0625</v>
      </c>
      <c r="X4922" s="0" t="n">
        <f aca="false">SUMPRODUCT(I4922:W4922,_XtX!$B$96:$P$96)</f>
        <v>49.0343019005848</v>
      </c>
      <c r="Y4922" s="0" t="n">
        <f aca="false">SUMPRODUCT(MMULT(I4922:W4922,_XtX!$B$78:$P$92),I4922:W4922)</f>
        <v>0.133937545687135</v>
      </c>
      <c r="Z4922" s="0" t="n">
        <f aca="false">04_回帰ANOVA!$K$19*04_回帰ANOVA!$K$14*SQRT(1+Y4922)</f>
        <v>1.38801116780825</v>
      </c>
      <c r="AA4922" s="0" t="n">
        <f aca="false">X4922-Z4922</f>
        <v>47.6462907327765</v>
      </c>
      <c r="AB4922" s="0" t="n">
        <f aca="false">X4922+Z4922</f>
        <v>50.422313068393</v>
      </c>
      <c r="AC4922" s="54" t="b">
        <f aca="false">AND(E4922&gt;=01_因子設定!$L$5-0.000000001,E4922&lt;=01_因子設定!$M$5+0.000000001,F4922&gt;=01_因子設定!$L$6-0.000000001,F4922&lt;=01_因子設定!$M$6+0.000000001,G4922&gt;=01_因子設定!$L$7-0.000000001,G4922&lt;=01_因子設定!$M$7+0.000000001,H4922&gt;=01_因子設定!$L$8-0.000000001,H4922&lt;=01_因子設定!$M$8+0.000000001,IF(01_因子設定!$B$20="Box-Behnken",E4922^2+F4922^2+G4922^2+H4922^2&lt;=2+0.000000001,TRUE()))</f>
        <v>1</v>
      </c>
      <c r="AD4922" s="55" t="n">
        <f aca="false">IF(AC4922,IF(01_因子設定!$B$13="最大化",AA4922-01_因子設定!$B$14,IF(01_因子設定!$B$13="最小化",01_因子設定!$B$15-AB4922,MIN(AA4922-01_因子設定!$B$14,01_因子設定!$B$15-AB4922))),-1E+030)</f>
        <v>1.14629073277651</v>
      </c>
      <c r="AE4922" s="55" t="n">
        <f aca="false">IF(AC4922,IF(01_因子設定!$B$13="最大化",X4922,IF(01_因子設定!$B$13="最小化",-X4922,-ABS(X4922-01_因子設定!$B$16))),-1E+030)</f>
        <v>49.0343019005848</v>
      </c>
      <c r="AF4922" s="55" t="n">
        <f aca="false">AD4922+ROW()*0.000000001</f>
        <v>1.14629565477651</v>
      </c>
      <c r="AG4922" s="55" t="n">
        <f aca="false">AE4922+ROW()*0.000000001</f>
        <v>49.0343068225848</v>
      </c>
    </row>
    <row r="4923" customFormat="false" ht="15" hidden="false" customHeight="false" outlineLevel="0" collapsed="false">
      <c r="A4923" s="0" t="n">
        <v>6</v>
      </c>
      <c r="B4923" s="0" t="n">
        <v>6</v>
      </c>
      <c r="C4923" s="0" t="n">
        <v>6</v>
      </c>
      <c r="D4923" s="0" t="n">
        <v>4</v>
      </c>
      <c r="E4923" s="0" t="n">
        <f aca="false">-1+A4923*0.25</f>
        <v>0.5</v>
      </c>
      <c r="F4923" s="0" t="n">
        <f aca="false">-1+B4923*0.25</f>
        <v>0.5</v>
      </c>
      <c r="G4923" s="0" t="n">
        <f aca="false">-1+C4923*0.25</f>
        <v>0.5</v>
      </c>
      <c r="H4923" s="0" t="n">
        <f aca="false">-1+D4923*0.25</f>
        <v>0</v>
      </c>
      <c r="I4923" s="0" t="n">
        <f aca="false">1</f>
        <v>1</v>
      </c>
      <c r="J4923" s="0" t="n">
        <f aca="false">E4923</f>
        <v>0.5</v>
      </c>
      <c r="K4923" s="0" t="n">
        <f aca="false">F4923</f>
        <v>0.5</v>
      </c>
      <c r="L4923" s="0" t="n">
        <f aca="false">G4923</f>
        <v>0.5</v>
      </c>
      <c r="M4923" s="0" t="n">
        <f aca="false">H4923</f>
        <v>0</v>
      </c>
      <c r="N4923" s="0" t="n">
        <f aca="false">E4923*F4923</f>
        <v>0.25</v>
      </c>
      <c r="O4923" s="0" t="n">
        <f aca="false">E4923*G4923</f>
        <v>0.25</v>
      </c>
      <c r="P4923" s="0" t="n">
        <f aca="false">E4923*H4923</f>
        <v>0</v>
      </c>
      <c r="Q4923" s="0" t="n">
        <f aca="false">F4923*G4923</f>
        <v>0.25</v>
      </c>
      <c r="R4923" s="0" t="n">
        <f aca="false">F4923*H4923</f>
        <v>0</v>
      </c>
      <c r="S4923" s="0" t="n">
        <f aca="false">G4923*H4923</f>
        <v>0</v>
      </c>
      <c r="T4923" s="0" t="n">
        <f aca="false">E4923*E4923</f>
        <v>0.25</v>
      </c>
      <c r="U4923" s="0" t="n">
        <f aca="false">F4923*F4923</f>
        <v>0.25</v>
      </c>
      <c r="V4923" s="0" t="n">
        <f aca="false">G4923*G4923</f>
        <v>0.25</v>
      </c>
      <c r="W4923" s="0" t="n">
        <f aca="false">H4923*H4923</f>
        <v>0</v>
      </c>
      <c r="X4923" s="0" t="n">
        <f aca="false">SUMPRODUCT(I4923:W4923,_XtX!$B$96:$P$96)</f>
        <v>49.1845942982456</v>
      </c>
      <c r="Y4923" s="0" t="n">
        <f aca="false">SUMPRODUCT(MMULT(I4923:W4923,_XtX!$B$78:$P$92),I4923:W4923)</f>
        <v>0.140008223684211</v>
      </c>
      <c r="Z4923" s="0" t="n">
        <f aca="false">04_回帰ANOVA!$K$19*04_回帰ANOVA!$K$14*SQRT(1+Y4923)</f>
        <v>1.39172165492264</v>
      </c>
      <c r="AA4923" s="0" t="n">
        <f aca="false">X4923-Z4923</f>
        <v>47.7928726433229</v>
      </c>
      <c r="AB4923" s="0" t="n">
        <f aca="false">X4923+Z4923</f>
        <v>50.5763159531682</v>
      </c>
      <c r="AC4923" s="54" t="b">
        <f aca="false">AND(E4923&gt;=01_因子設定!$L$5-0.000000001,E4923&lt;=01_因子設定!$M$5+0.000000001,F4923&gt;=01_因子設定!$L$6-0.000000001,F4923&lt;=01_因子設定!$M$6+0.000000001,G4923&gt;=01_因子設定!$L$7-0.000000001,G4923&lt;=01_因子設定!$M$7+0.000000001,H4923&gt;=01_因子設定!$L$8-0.000000001,H4923&lt;=01_因子設定!$M$8+0.000000001,IF(01_因子設定!$B$20="Box-Behnken",E4923^2+F4923^2+G4923^2+H4923^2&lt;=2+0.000000001,TRUE()))</f>
        <v>1</v>
      </c>
      <c r="AD4923" s="55" t="n">
        <f aca="false">IF(AC4923,IF(01_因子設定!$B$13="最大化",AA4923-01_因子設定!$B$14,IF(01_因子設定!$B$13="最小化",01_因子設定!$B$15-AB4923,MIN(AA4923-01_因子設定!$B$14,01_因子設定!$B$15-AB4923))),-1E+030)</f>
        <v>1.29287264332294</v>
      </c>
      <c r="AE4923" s="55" t="n">
        <f aca="false">IF(AC4923,IF(01_因子設定!$B$13="最大化",X4923,IF(01_因子設定!$B$13="最小化",-X4923,-ABS(X4923-01_因子設定!$B$16))),-1E+030)</f>
        <v>49.1845942982456</v>
      </c>
      <c r="AF4923" s="55" t="n">
        <f aca="false">AD4923+ROW()*0.000000001</f>
        <v>1.29287756632294</v>
      </c>
      <c r="AG4923" s="55" t="n">
        <f aca="false">AE4923+ROW()*0.000000001</f>
        <v>49.1845992212456</v>
      </c>
    </row>
    <row r="4924" customFormat="false" ht="15" hidden="false" customHeight="false" outlineLevel="0" collapsed="false">
      <c r="A4924" s="0" t="n">
        <v>6</v>
      </c>
      <c r="B4924" s="0" t="n">
        <v>6</v>
      </c>
      <c r="C4924" s="0" t="n">
        <v>6</v>
      </c>
      <c r="D4924" s="0" t="n">
        <v>5</v>
      </c>
      <c r="E4924" s="0" t="n">
        <f aca="false">-1+A4924*0.25</f>
        <v>0.5</v>
      </c>
      <c r="F4924" s="0" t="n">
        <f aca="false">-1+B4924*0.25</f>
        <v>0.5</v>
      </c>
      <c r="G4924" s="0" t="n">
        <f aca="false">-1+C4924*0.25</f>
        <v>0.5</v>
      </c>
      <c r="H4924" s="0" t="n">
        <f aca="false">-1+D4924*0.25</f>
        <v>0.25</v>
      </c>
      <c r="I4924" s="0" t="n">
        <f aca="false">1</f>
        <v>1</v>
      </c>
      <c r="J4924" s="0" t="n">
        <f aca="false">E4924</f>
        <v>0.5</v>
      </c>
      <c r="K4924" s="0" t="n">
        <f aca="false">F4924</f>
        <v>0.5</v>
      </c>
      <c r="L4924" s="0" t="n">
        <f aca="false">G4924</f>
        <v>0.5</v>
      </c>
      <c r="M4924" s="0" t="n">
        <f aca="false">H4924</f>
        <v>0.25</v>
      </c>
      <c r="N4924" s="0" t="n">
        <f aca="false">E4924*F4924</f>
        <v>0.25</v>
      </c>
      <c r="O4924" s="0" t="n">
        <f aca="false">E4924*G4924</f>
        <v>0.25</v>
      </c>
      <c r="P4924" s="0" t="n">
        <f aca="false">E4924*H4924</f>
        <v>0.125</v>
      </c>
      <c r="Q4924" s="0" t="n">
        <f aca="false">F4924*G4924</f>
        <v>0.25</v>
      </c>
      <c r="R4924" s="0" t="n">
        <f aca="false">F4924*H4924</f>
        <v>0.125</v>
      </c>
      <c r="S4924" s="0" t="n">
        <f aca="false">G4924*H4924</f>
        <v>0.125</v>
      </c>
      <c r="T4924" s="0" t="n">
        <f aca="false">E4924*E4924</f>
        <v>0.25</v>
      </c>
      <c r="U4924" s="0" t="n">
        <f aca="false">F4924*F4924</f>
        <v>0.25</v>
      </c>
      <c r="V4924" s="0" t="n">
        <f aca="false">G4924*G4924</f>
        <v>0.25</v>
      </c>
      <c r="W4924" s="0" t="n">
        <f aca="false">H4924*H4924</f>
        <v>0.0625</v>
      </c>
      <c r="X4924" s="0" t="n">
        <f aca="false">SUMPRODUCT(I4924:W4924,_XtX!$B$96:$P$96)</f>
        <v>49.2870796783625</v>
      </c>
      <c r="Y4924" s="0" t="n">
        <f aca="false">SUMPRODUCT(MMULT(I4924:W4924,_XtX!$B$78:$P$92),I4924:W4924)</f>
        <v>0.133937545687135</v>
      </c>
      <c r="Z4924" s="0" t="n">
        <f aca="false">04_回帰ANOVA!$K$19*04_回帰ANOVA!$K$14*SQRT(1+Y4924)</f>
        <v>1.38801116780825</v>
      </c>
      <c r="AA4924" s="0" t="n">
        <f aca="false">X4924-Z4924</f>
        <v>47.8990685105543</v>
      </c>
      <c r="AB4924" s="0" t="n">
        <f aca="false">X4924+Z4924</f>
        <v>50.6750908461708</v>
      </c>
      <c r="AC4924" s="54" t="b">
        <f aca="false">AND(E4924&gt;=01_因子設定!$L$5-0.000000001,E4924&lt;=01_因子設定!$M$5+0.000000001,F4924&gt;=01_因子設定!$L$6-0.000000001,F4924&lt;=01_因子設定!$M$6+0.000000001,G4924&gt;=01_因子設定!$L$7-0.000000001,G4924&lt;=01_因子設定!$M$7+0.000000001,H4924&gt;=01_因子設定!$L$8-0.000000001,H4924&lt;=01_因子設定!$M$8+0.000000001,IF(01_因子設定!$B$20="Box-Behnken",E4924^2+F4924^2+G4924^2+H4924^2&lt;=2+0.000000001,TRUE()))</f>
        <v>1</v>
      </c>
      <c r="AD4924" s="55" t="n">
        <f aca="false">IF(AC4924,IF(01_因子設定!$B$13="最大化",AA4924-01_因子設定!$B$14,IF(01_因子設定!$B$13="最小化",01_因子設定!$B$15-AB4924,MIN(AA4924-01_因子設定!$B$14,01_因子設定!$B$15-AB4924))),-1E+030)</f>
        <v>1.39906851055428</v>
      </c>
      <c r="AE4924" s="55" t="n">
        <f aca="false">IF(AC4924,IF(01_因子設定!$B$13="最大化",X4924,IF(01_因子設定!$B$13="最小化",-X4924,-ABS(X4924-01_因子設定!$B$16))),-1E+030)</f>
        <v>49.2870796783625</v>
      </c>
      <c r="AF4924" s="55" t="n">
        <f aca="false">AD4924+ROW()*0.000000001</f>
        <v>1.39907343455428</v>
      </c>
      <c r="AG4924" s="55" t="n">
        <f aca="false">AE4924+ROW()*0.000000001</f>
        <v>49.2870846023625</v>
      </c>
    </row>
    <row r="4925" customFormat="false" ht="15" hidden="false" customHeight="false" outlineLevel="0" collapsed="false">
      <c r="A4925" s="0" t="n">
        <v>6</v>
      </c>
      <c r="B4925" s="0" t="n">
        <v>6</v>
      </c>
      <c r="C4925" s="0" t="n">
        <v>6</v>
      </c>
      <c r="D4925" s="0" t="n">
        <v>6</v>
      </c>
      <c r="E4925" s="0" t="n">
        <f aca="false">-1+A4925*0.25</f>
        <v>0.5</v>
      </c>
      <c r="F4925" s="0" t="n">
        <f aca="false">-1+B4925*0.25</f>
        <v>0.5</v>
      </c>
      <c r="G4925" s="0" t="n">
        <f aca="false">-1+C4925*0.25</f>
        <v>0.5</v>
      </c>
      <c r="H4925" s="0" t="n">
        <f aca="false">-1+D4925*0.25</f>
        <v>0.5</v>
      </c>
      <c r="I4925" s="0" t="n">
        <f aca="false">1</f>
        <v>1</v>
      </c>
      <c r="J4925" s="0" t="n">
        <f aca="false">E4925</f>
        <v>0.5</v>
      </c>
      <c r="K4925" s="0" t="n">
        <f aca="false">F4925</f>
        <v>0.5</v>
      </c>
      <c r="L4925" s="0" t="n">
        <f aca="false">G4925</f>
        <v>0.5</v>
      </c>
      <c r="M4925" s="0" t="n">
        <f aca="false">H4925</f>
        <v>0.5</v>
      </c>
      <c r="N4925" s="0" t="n">
        <f aca="false">E4925*F4925</f>
        <v>0.25</v>
      </c>
      <c r="O4925" s="0" t="n">
        <f aca="false">E4925*G4925</f>
        <v>0.25</v>
      </c>
      <c r="P4925" s="0" t="n">
        <f aca="false">E4925*H4925</f>
        <v>0.25</v>
      </c>
      <c r="Q4925" s="0" t="n">
        <f aca="false">F4925*G4925</f>
        <v>0.25</v>
      </c>
      <c r="R4925" s="0" t="n">
        <f aca="false">F4925*H4925</f>
        <v>0.25</v>
      </c>
      <c r="S4925" s="0" t="n">
        <f aca="false">G4925*H4925</f>
        <v>0.25</v>
      </c>
      <c r="T4925" s="0" t="n">
        <f aca="false">E4925*E4925</f>
        <v>0.25</v>
      </c>
      <c r="U4925" s="0" t="n">
        <f aca="false">F4925*F4925</f>
        <v>0.25</v>
      </c>
      <c r="V4925" s="0" t="n">
        <f aca="false">G4925*G4925</f>
        <v>0.25</v>
      </c>
      <c r="W4925" s="0" t="n">
        <f aca="false">H4925*H4925</f>
        <v>0.25</v>
      </c>
      <c r="X4925" s="0" t="n">
        <f aca="false">SUMPRODUCT(I4925:W4925,_XtX!$B$96:$P$96)</f>
        <v>49.3417580409356</v>
      </c>
      <c r="Y4925" s="0" t="n">
        <f aca="false">SUMPRODUCT(MMULT(I4925:W4925,_XtX!$B$78:$P$92),I4925:W4925)</f>
        <v>0.133817616959064</v>
      </c>
      <c r="Z4925" s="0" t="n">
        <f aca="false">04_回帰ANOVA!$K$19*04_回帰ANOVA!$K$14*SQRT(1+Y4925)</f>
        <v>1.38793776569887</v>
      </c>
      <c r="AA4925" s="0" t="n">
        <f aca="false">X4925-Z4925</f>
        <v>47.9538202752368</v>
      </c>
      <c r="AB4925" s="0" t="n">
        <f aca="false">X4925+Z4925</f>
        <v>50.7296958066345</v>
      </c>
      <c r="AC4925" s="54" t="b">
        <f aca="false">AND(E4925&gt;=01_因子設定!$L$5-0.000000001,E4925&lt;=01_因子設定!$M$5+0.000000001,F4925&gt;=01_因子設定!$L$6-0.000000001,F4925&lt;=01_因子設定!$M$6+0.000000001,G4925&gt;=01_因子設定!$L$7-0.000000001,G4925&lt;=01_因子設定!$M$7+0.000000001,H4925&gt;=01_因子設定!$L$8-0.000000001,H4925&lt;=01_因子設定!$M$8+0.000000001,IF(01_因子設定!$B$20="Box-Behnken",E4925^2+F4925^2+G4925^2+H4925^2&lt;=2+0.000000001,TRUE()))</f>
        <v>1</v>
      </c>
      <c r="AD4925" s="55" t="n">
        <f aca="false">IF(AC4925,IF(01_因子設定!$B$13="最大化",AA4925-01_因子設定!$B$14,IF(01_因子設定!$B$13="最小化",01_因子設定!$B$15-AB4925,MIN(AA4925-01_因子設定!$B$14,01_因子設定!$B$15-AB4925))),-1E+030)</f>
        <v>1.45382027523677</v>
      </c>
      <c r="AE4925" s="55" t="n">
        <f aca="false">IF(AC4925,IF(01_因子設定!$B$13="最大化",X4925,IF(01_因子設定!$B$13="最小化",-X4925,-ABS(X4925-01_因子設定!$B$16))),-1E+030)</f>
        <v>49.3417580409356</v>
      </c>
      <c r="AF4925" s="55" t="n">
        <f aca="false">AD4925+ROW()*0.000000001</f>
        <v>1.45382520023677</v>
      </c>
      <c r="AG4925" s="55" t="n">
        <f aca="false">AE4925+ROW()*0.000000001</f>
        <v>49.3417629659356</v>
      </c>
    </row>
    <row r="4926" customFormat="false" ht="15" hidden="false" customHeight="false" outlineLevel="0" collapsed="false">
      <c r="A4926" s="0" t="n">
        <v>6</v>
      </c>
      <c r="B4926" s="0" t="n">
        <v>6</v>
      </c>
      <c r="C4926" s="0" t="n">
        <v>6</v>
      </c>
      <c r="D4926" s="0" t="n">
        <v>7</v>
      </c>
      <c r="E4926" s="0" t="n">
        <f aca="false">-1+A4926*0.25</f>
        <v>0.5</v>
      </c>
      <c r="F4926" s="0" t="n">
        <f aca="false">-1+B4926*0.25</f>
        <v>0.5</v>
      </c>
      <c r="G4926" s="0" t="n">
        <f aca="false">-1+C4926*0.25</f>
        <v>0.5</v>
      </c>
      <c r="H4926" s="0" t="n">
        <f aca="false">-1+D4926*0.25</f>
        <v>0.75</v>
      </c>
      <c r="I4926" s="0" t="n">
        <f aca="false">1</f>
        <v>1</v>
      </c>
      <c r="J4926" s="0" t="n">
        <f aca="false">E4926</f>
        <v>0.5</v>
      </c>
      <c r="K4926" s="0" t="n">
        <f aca="false">F4926</f>
        <v>0.5</v>
      </c>
      <c r="L4926" s="0" t="n">
        <f aca="false">G4926</f>
        <v>0.5</v>
      </c>
      <c r="M4926" s="0" t="n">
        <f aca="false">H4926</f>
        <v>0.75</v>
      </c>
      <c r="N4926" s="0" t="n">
        <f aca="false">E4926*F4926</f>
        <v>0.25</v>
      </c>
      <c r="O4926" s="0" t="n">
        <f aca="false">E4926*G4926</f>
        <v>0.25</v>
      </c>
      <c r="P4926" s="0" t="n">
        <f aca="false">E4926*H4926</f>
        <v>0.375</v>
      </c>
      <c r="Q4926" s="0" t="n">
        <f aca="false">F4926*G4926</f>
        <v>0.25</v>
      </c>
      <c r="R4926" s="0" t="n">
        <f aca="false">F4926*H4926</f>
        <v>0.375</v>
      </c>
      <c r="S4926" s="0" t="n">
        <f aca="false">G4926*H4926</f>
        <v>0.375</v>
      </c>
      <c r="T4926" s="0" t="n">
        <f aca="false">E4926*E4926</f>
        <v>0.25</v>
      </c>
      <c r="U4926" s="0" t="n">
        <f aca="false">F4926*F4926</f>
        <v>0.25</v>
      </c>
      <c r="V4926" s="0" t="n">
        <f aca="false">G4926*G4926</f>
        <v>0.25</v>
      </c>
      <c r="W4926" s="0" t="n">
        <f aca="false">H4926*H4926</f>
        <v>0.5625</v>
      </c>
      <c r="X4926" s="0" t="n">
        <f aca="false">SUMPRODUCT(I4926:W4926,_XtX!$B$96:$P$96)</f>
        <v>49.3486293859649</v>
      </c>
      <c r="Y4926" s="0" t="n">
        <f aca="false">SUMPRODUCT(MMULT(I4926:W4926,_XtX!$B$78:$P$92),I4926:W4926)</f>
        <v>0.193924753289474</v>
      </c>
      <c r="Z4926" s="0" t="n">
        <f aca="false">04_回帰ANOVA!$K$19*04_回帰ANOVA!$K$14*SQRT(1+Y4926)</f>
        <v>1.4242521079916</v>
      </c>
      <c r="AA4926" s="0" t="n">
        <f aca="false">X4926-Z4926</f>
        <v>47.9243772779733</v>
      </c>
      <c r="AB4926" s="0" t="n">
        <f aca="false">X4926+Z4926</f>
        <v>50.7728814939565</v>
      </c>
      <c r="AC4926" s="54" t="b">
        <f aca="false">AND(E4926&gt;=01_因子設定!$L$5-0.000000001,E4926&lt;=01_因子設定!$M$5+0.000000001,F4926&gt;=01_因子設定!$L$6-0.000000001,F4926&lt;=01_因子設定!$M$6+0.000000001,G4926&gt;=01_因子設定!$L$7-0.000000001,G4926&lt;=01_因子設定!$M$7+0.000000001,H4926&gt;=01_因子設定!$L$8-0.000000001,H4926&lt;=01_因子設定!$M$8+0.000000001,IF(01_因子設定!$B$20="Box-Behnken",E4926^2+F4926^2+G4926^2+H4926^2&lt;=2+0.000000001,TRUE()))</f>
        <v>1</v>
      </c>
      <c r="AD4926" s="55" t="n">
        <f aca="false">IF(AC4926,IF(01_因子設定!$B$13="最大化",AA4926-01_因子設定!$B$14,IF(01_因子設定!$B$13="最小化",01_因子設定!$B$15-AB4926,MIN(AA4926-01_因子設定!$B$14,01_因子設定!$B$15-AB4926))),-1E+030)</f>
        <v>1.42437727797329</v>
      </c>
      <c r="AE4926" s="55" t="n">
        <f aca="false">IF(AC4926,IF(01_因子設定!$B$13="最大化",X4926,IF(01_因子設定!$B$13="最小化",-X4926,-ABS(X4926-01_因子設定!$B$16))),-1E+030)</f>
        <v>49.3486293859649</v>
      </c>
      <c r="AF4926" s="55" t="n">
        <f aca="false">AD4926+ROW()*0.000000001</f>
        <v>1.42438220397329</v>
      </c>
      <c r="AG4926" s="55" t="n">
        <f aca="false">AE4926+ROW()*0.000000001</f>
        <v>49.3486343119649</v>
      </c>
    </row>
    <row r="4927" customFormat="false" ht="15" hidden="false" customHeight="false" outlineLevel="0" collapsed="false">
      <c r="A4927" s="0" t="n">
        <v>6</v>
      </c>
      <c r="B4927" s="0" t="n">
        <v>6</v>
      </c>
      <c r="C4927" s="0" t="n">
        <v>6</v>
      </c>
      <c r="D4927" s="0" t="n">
        <v>8</v>
      </c>
      <c r="E4927" s="0" t="n">
        <f aca="false">-1+A4927*0.25</f>
        <v>0.5</v>
      </c>
      <c r="F4927" s="0" t="n">
        <f aca="false">-1+B4927*0.25</f>
        <v>0.5</v>
      </c>
      <c r="G4927" s="0" t="n">
        <f aca="false">-1+C4927*0.25</f>
        <v>0.5</v>
      </c>
      <c r="H4927" s="0" t="n">
        <f aca="false">-1+D4927*0.25</f>
        <v>1</v>
      </c>
      <c r="I4927" s="0" t="n">
        <f aca="false">1</f>
        <v>1</v>
      </c>
      <c r="J4927" s="0" t="n">
        <f aca="false">E4927</f>
        <v>0.5</v>
      </c>
      <c r="K4927" s="0" t="n">
        <f aca="false">F4927</f>
        <v>0.5</v>
      </c>
      <c r="L4927" s="0" t="n">
        <f aca="false">G4927</f>
        <v>0.5</v>
      </c>
      <c r="M4927" s="0" t="n">
        <f aca="false">H4927</f>
        <v>1</v>
      </c>
      <c r="N4927" s="0" t="n">
        <f aca="false">E4927*F4927</f>
        <v>0.25</v>
      </c>
      <c r="O4927" s="0" t="n">
        <f aca="false">E4927*G4927</f>
        <v>0.25</v>
      </c>
      <c r="P4927" s="0" t="n">
        <f aca="false">E4927*H4927</f>
        <v>0.5</v>
      </c>
      <c r="Q4927" s="0" t="n">
        <f aca="false">F4927*G4927</f>
        <v>0.25</v>
      </c>
      <c r="R4927" s="0" t="n">
        <f aca="false">F4927*H4927</f>
        <v>0.5</v>
      </c>
      <c r="S4927" s="0" t="n">
        <f aca="false">G4927*H4927</f>
        <v>0.5</v>
      </c>
      <c r="T4927" s="0" t="n">
        <f aca="false">E4927*E4927</f>
        <v>0.25</v>
      </c>
      <c r="U4927" s="0" t="n">
        <f aca="false">F4927*F4927</f>
        <v>0.25</v>
      </c>
      <c r="V4927" s="0" t="n">
        <f aca="false">G4927*G4927</f>
        <v>0.25</v>
      </c>
      <c r="W4927" s="0" t="n">
        <f aca="false">H4927*H4927</f>
        <v>1</v>
      </c>
      <c r="X4927" s="0" t="n">
        <f aca="false">SUMPRODUCT(I4927:W4927,_XtX!$B$96:$P$96)</f>
        <v>49.3076937134503</v>
      </c>
      <c r="Y4927" s="0" t="n">
        <f aca="false">SUMPRODUCT(MMULT(I4927:W4927,_XtX!$B$78:$P$92),I4927:W4927)</f>
        <v>0.404719480994152</v>
      </c>
      <c r="Z4927" s="0" t="n">
        <f aca="false">04_回帰ANOVA!$K$19*04_回帰ANOVA!$K$14*SQRT(1+Y4927)</f>
        <v>1.54487446697867</v>
      </c>
      <c r="AA4927" s="0" t="n">
        <f aca="false">X4927-Z4927</f>
        <v>47.7628192464716</v>
      </c>
      <c r="AB4927" s="0" t="n">
        <f aca="false">X4927+Z4927</f>
        <v>50.852568180429</v>
      </c>
      <c r="AC4927" s="54" t="b">
        <f aca="false">AND(E4927&gt;=01_因子設定!$L$5-0.000000001,E4927&lt;=01_因子設定!$M$5+0.000000001,F4927&gt;=01_因子設定!$L$6-0.000000001,F4927&lt;=01_因子設定!$M$6+0.000000001,G4927&gt;=01_因子設定!$L$7-0.000000001,G4927&lt;=01_因子設定!$M$7+0.000000001,H4927&gt;=01_因子設定!$L$8-0.000000001,H4927&lt;=01_因子設定!$M$8+0.000000001,IF(01_因子設定!$B$20="Box-Behnken",E4927^2+F4927^2+G4927^2+H4927^2&lt;=2+0.000000001,TRUE()))</f>
        <v>1</v>
      </c>
      <c r="AD4927" s="55" t="n">
        <f aca="false">IF(AC4927,IF(01_因子設定!$B$13="最大化",AA4927-01_因子設定!$B$14,IF(01_因子設定!$B$13="最小化",01_因子設定!$B$15-AB4927,MIN(AA4927-01_因子設定!$B$14,01_因子設定!$B$15-AB4927))),-1E+030)</f>
        <v>1.26281924647161</v>
      </c>
      <c r="AE4927" s="55" t="n">
        <f aca="false">IF(AC4927,IF(01_因子設定!$B$13="最大化",X4927,IF(01_因子設定!$B$13="最小化",-X4927,-ABS(X4927-01_因子設定!$B$16))),-1E+030)</f>
        <v>49.3076937134503</v>
      </c>
      <c r="AF4927" s="55" t="n">
        <f aca="false">AD4927+ROW()*0.000000001</f>
        <v>1.26282417347161</v>
      </c>
      <c r="AG4927" s="55" t="n">
        <f aca="false">AE4927+ROW()*0.000000001</f>
        <v>49.3076986404503</v>
      </c>
    </row>
    <row r="4928" customFormat="false" ht="15" hidden="false" customHeight="false" outlineLevel="0" collapsed="false">
      <c r="A4928" s="0" t="n">
        <v>6</v>
      </c>
      <c r="B4928" s="0" t="n">
        <v>6</v>
      </c>
      <c r="C4928" s="0" t="n">
        <v>7</v>
      </c>
      <c r="D4928" s="0" t="n">
        <v>0</v>
      </c>
      <c r="E4928" s="0" t="n">
        <f aca="false">-1+A4928*0.25</f>
        <v>0.5</v>
      </c>
      <c r="F4928" s="0" t="n">
        <f aca="false">-1+B4928*0.25</f>
        <v>0.5</v>
      </c>
      <c r="G4928" s="0" t="n">
        <f aca="false">-1+C4928*0.25</f>
        <v>0.75</v>
      </c>
      <c r="H4928" s="0" t="n">
        <f aca="false">-1+D4928*0.25</f>
        <v>-1</v>
      </c>
      <c r="I4928" s="0" t="n">
        <f aca="false">1</f>
        <v>1</v>
      </c>
      <c r="J4928" s="0" t="n">
        <f aca="false">E4928</f>
        <v>0.5</v>
      </c>
      <c r="K4928" s="0" t="n">
        <f aca="false">F4928</f>
        <v>0.5</v>
      </c>
      <c r="L4928" s="0" t="n">
        <f aca="false">G4928</f>
        <v>0.75</v>
      </c>
      <c r="M4928" s="0" t="n">
        <f aca="false">H4928</f>
        <v>-1</v>
      </c>
      <c r="N4928" s="0" t="n">
        <f aca="false">E4928*F4928</f>
        <v>0.25</v>
      </c>
      <c r="O4928" s="0" t="n">
        <f aca="false">E4928*G4928</f>
        <v>0.375</v>
      </c>
      <c r="P4928" s="0" t="n">
        <f aca="false">E4928*H4928</f>
        <v>-0.5</v>
      </c>
      <c r="Q4928" s="0" t="n">
        <f aca="false">F4928*G4928</f>
        <v>0.375</v>
      </c>
      <c r="R4928" s="0" t="n">
        <f aca="false">F4928*H4928</f>
        <v>-0.5</v>
      </c>
      <c r="S4928" s="0" t="n">
        <f aca="false">G4928*H4928</f>
        <v>-0.75</v>
      </c>
      <c r="T4928" s="0" t="n">
        <f aca="false">E4928*E4928</f>
        <v>0.25</v>
      </c>
      <c r="U4928" s="0" t="n">
        <f aca="false">F4928*F4928</f>
        <v>0.25</v>
      </c>
      <c r="V4928" s="0" t="n">
        <f aca="false">G4928*G4928</f>
        <v>0.5625</v>
      </c>
      <c r="W4928" s="0" t="n">
        <f aca="false">H4928*H4928</f>
        <v>1</v>
      </c>
      <c r="X4928" s="0" t="n">
        <f aca="false">SUMPRODUCT(I4928:W4928,_XtX!$B$96:$P$96)</f>
        <v>48.2150858918129</v>
      </c>
      <c r="Y4928" s="0" t="n">
        <f aca="false">SUMPRODUCT(MMULT(I4928:W4928,_XtX!$B$78:$P$92),I4928:W4928)</f>
        <v>0.42602110745614</v>
      </c>
      <c r="Z4928" s="0" t="n">
        <f aca="false">04_回帰ANOVA!$K$19*04_回帰ANOVA!$K$14*SQRT(1+Y4928)</f>
        <v>1.55654388501114</v>
      </c>
      <c r="AA4928" s="0" t="n">
        <f aca="false">X4928-Z4928</f>
        <v>46.6585420068017</v>
      </c>
      <c r="AB4928" s="0" t="n">
        <f aca="false">X4928+Z4928</f>
        <v>49.771629776824</v>
      </c>
      <c r="AC4928" s="54" t="b">
        <f aca="false">AND(E4928&gt;=01_因子設定!$L$5-0.000000001,E4928&lt;=01_因子設定!$M$5+0.000000001,F4928&gt;=01_因子設定!$L$6-0.000000001,F4928&lt;=01_因子設定!$M$6+0.000000001,G4928&gt;=01_因子設定!$L$7-0.000000001,G4928&lt;=01_因子設定!$M$7+0.000000001,H4928&gt;=01_因子設定!$L$8-0.000000001,H4928&lt;=01_因子設定!$M$8+0.000000001,IF(01_因子設定!$B$20="Box-Behnken",E4928^2+F4928^2+G4928^2+H4928^2&lt;=2+0.000000001,TRUE()))</f>
        <v>1</v>
      </c>
      <c r="AD4928" s="55" t="n">
        <f aca="false">IF(AC4928,IF(01_因子設定!$B$13="最大化",AA4928-01_因子設定!$B$14,IF(01_因子設定!$B$13="最小化",01_因子設定!$B$15-AB4928,MIN(AA4928-01_因子設定!$B$14,01_因子設定!$B$15-AB4928))),-1E+030)</f>
        <v>0.158542006801724</v>
      </c>
      <c r="AE4928" s="55" t="n">
        <f aca="false">IF(AC4928,IF(01_因子設定!$B$13="最大化",X4928,IF(01_因子設定!$B$13="最小化",-X4928,-ABS(X4928-01_因子設定!$B$16))),-1E+030)</f>
        <v>48.2150858918129</v>
      </c>
      <c r="AF4928" s="55" t="n">
        <f aca="false">AD4928+ROW()*0.000000001</f>
        <v>0.158546934801724</v>
      </c>
      <c r="AG4928" s="55" t="n">
        <f aca="false">AE4928+ROW()*0.000000001</f>
        <v>48.2150908198129</v>
      </c>
    </row>
    <row r="4929" customFormat="false" ht="15" hidden="false" customHeight="false" outlineLevel="0" collapsed="false">
      <c r="A4929" s="0" t="n">
        <v>6</v>
      </c>
      <c r="B4929" s="0" t="n">
        <v>6</v>
      </c>
      <c r="C4929" s="0" t="n">
        <v>7</v>
      </c>
      <c r="D4929" s="0" t="n">
        <v>1</v>
      </c>
      <c r="E4929" s="0" t="n">
        <f aca="false">-1+A4929*0.25</f>
        <v>0.5</v>
      </c>
      <c r="F4929" s="0" t="n">
        <f aca="false">-1+B4929*0.25</f>
        <v>0.5</v>
      </c>
      <c r="G4929" s="0" t="n">
        <f aca="false">-1+C4929*0.25</f>
        <v>0.75</v>
      </c>
      <c r="H4929" s="0" t="n">
        <f aca="false">-1+D4929*0.25</f>
        <v>-0.75</v>
      </c>
      <c r="I4929" s="0" t="n">
        <f aca="false">1</f>
        <v>1</v>
      </c>
      <c r="J4929" s="0" t="n">
        <f aca="false">E4929</f>
        <v>0.5</v>
      </c>
      <c r="K4929" s="0" t="n">
        <f aca="false">F4929</f>
        <v>0.5</v>
      </c>
      <c r="L4929" s="0" t="n">
        <f aca="false">G4929</f>
        <v>0.75</v>
      </c>
      <c r="M4929" s="0" t="n">
        <f aca="false">H4929</f>
        <v>-0.75</v>
      </c>
      <c r="N4929" s="0" t="n">
        <f aca="false">E4929*F4929</f>
        <v>0.25</v>
      </c>
      <c r="O4929" s="0" t="n">
        <f aca="false">E4929*G4929</f>
        <v>0.375</v>
      </c>
      <c r="P4929" s="0" t="n">
        <f aca="false">E4929*H4929</f>
        <v>-0.375</v>
      </c>
      <c r="Q4929" s="0" t="n">
        <f aca="false">F4929*G4929</f>
        <v>0.375</v>
      </c>
      <c r="R4929" s="0" t="n">
        <f aca="false">F4929*H4929</f>
        <v>-0.375</v>
      </c>
      <c r="S4929" s="0" t="n">
        <f aca="false">G4929*H4929</f>
        <v>-0.5625</v>
      </c>
      <c r="T4929" s="0" t="n">
        <f aca="false">E4929*E4929</f>
        <v>0.25</v>
      </c>
      <c r="U4929" s="0" t="n">
        <f aca="false">F4929*F4929</f>
        <v>0.25</v>
      </c>
      <c r="V4929" s="0" t="n">
        <f aca="false">G4929*G4929</f>
        <v>0.5625</v>
      </c>
      <c r="W4929" s="0" t="n">
        <f aca="false">H4929*H4929</f>
        <v>0.5625</v>
      </c>
      <c r="X4929" s="0" t="n">
        <f aca="false">SUMPRODUCT(I4929:W4929,_XtX!$B$96:$P$96)</f>
        <v>48.5267680921052</v>
      </c>
      <c r="Y4929" s="0" t="n">
        <f aca="false">SUMPRODUCT(MMULT(I4929:W4929,_XtX!$B$78:$P$92),I4929:W4929)</f>
        <v>0.237862927174708</v>
      </c>
      <c r="Z4929" s="0" t="n">
        <f aca="false">04_回帰ANOVA!$K$19*04_回帰ANOVA!$K$14*SQRT(1+Y4929)</f>
        <v>1.45022260708756</v>
      </c>
      <c r="AA4929" s="0" t="n">
        <f aca="false">X4929-Z4929</f>
        <v>47.0765454850177</v>
      </c>
      <c r="AB4929" s="0" t="n">
        <f aca="false">X4929+Z4929</f>
        <v>49.9769906991928</v>
      </c>
      <c r="AC4929" s="54" t="b">
        <f aca="false">AND(E4929&gt;=01_因子設定!$L$5-0.000000001,E4929&lt;=01_因子設定!$M$5+0.000000001,F4929&gt;=01_因子設定!$L$6-0.000000001,F4929&lt;=01_因子設定!$M$6+0.000000001,G4929&gt;=01_因子設定!$L$7-0.000000001,G4929&lt;=01_因子設定!$M$7+0.000000001,H4929&gt;=01_因子設定!$L$8-0.000000001,H4929&lt;=01_因子設定!$M$8+0.000000001,IF(01_因子設定!$B$20="Box-Behnken",E4929^2+F4929^2+G4929^2+H4929^2&lt;=2+0.000000001,TRUE()))</f>
        <v>1</v>
      </c>
      <c r="AD4929" s="55" t="n">
        <f aca="false">IF(AC4929,IF(01_因子設定!$B$13="最大化",AA4929-01_因子設定!$B$14,IF(01_因子設定!$B$13="最小化",01_因子設定!$B$15-AB4929,MIN(AA4929-01_因子設定!$B$14,01_因子設定!$B$15-AB4929))),-1E+030)</f>
        <v>0.576545485017682</v>
      </c>
      <c r="AE4929" s="55" t="n">
        <f aca="false">IF(AC4929,IF(01_因子設定!$B$13="最大化",X4929,IF(01_因子設定!$B$13="最小化",-X4929,-ABS(X4929-01_因子設定!$B$16))),-1E+030)</f>
        <v>48.5267680921052</v>
      </c>
      <c r="AF4929" s="55" t="n">
        <f aca="false">AD4929+ROW()*0.000000001</f>
        <v>0.576550414017682</v>
      </c>
      <c r="AG4929" s="55" t="n">
        <f aca="false">AE4929+ROW()*0.000000001</f>
        <v>48.5267730211052</v>
      </c>
    </row>
    <row r="4930" customFormat="false" ht="15" hidden="false" customHeight="false" outlineLevel="0" collapsed="false">
      <c r="A4930" s="0" t="n">
        <v>6</v>
      </c>
      <c r="B4930" s="0" t="n">
        <v>6</v>
      </c>
      <c r="C4930" s="0" t="n">
        <v>7</v>
      </c>
      <c r="D4930" s="0" t="n">
        <v>2</v>
      </c>
      <c r="E4930" s="0" t="n">
        <f aca="false">-1+A4930*0.25</f>
        <v>0.5</v>
      </c>
      <c r="F4930" s="0" t="n">
        <f aca="false">-1+B4930*0.25</f>
        <v>0.5</v>
      </c>
      <c r="G4930" s="0" t="n">
        <f aca="false">-1+C4930*0.25</f>
        <v>0.75</v>
      </c>
      <c r="H4930" s="0" t="n">
        <f aca="false">-1+D4930*0.25</f>
        <v>-0.5</v>
      </c>
      <c r="I4930" s="0" t="n">
        <f aca="false">1</f>
        <v>1</v>
      </c>
      <c r="J4930" s="0" t="n">
        <f aca="false">E4930</f>
        <v>0.5</v>
      </c>
      <c r="K4930" s="0" t="n">
        <f aca="false">F4930</f>
        <v>0.5</v>
      </c>
      <c r="L4930" s="0" t="n">
        <f aca="false">G4930</f>
        <v>0.75</v>
      </c>
      <c r="M4930" s="0" t="n">
        <f aca="false">H4930</f>
        <v>-0.5</v>
      </c>
      <c r="N4930" s="0" t="n">
        <f aca="false">E4930*F4930</f>
        <v>0.25</v>
      </c>
      <c r="O4930" s="0" t="n">
        <f aca="false">E4930*G4930</f>
        <v>0.375</v>
      </c>
      <c r="P4930" s="0" t="n">
        <f aca="false">E4930*H4930</f>
        <v>-0.25</v>
      </c>
      <c r="Q4930" s="0" t="n">
        <f aca="false">F4930*G4930</f>
        <v>0.375</v>
      </c>
      <c r="R4930" s="0" t="n">
        <f aca="false">F4930*H4930</f>
        <v>-0.25</v>
      </c>
      <c r="S4930" s="0" t="n">
        <f aca="false">G4930*H4930</f>
        <v>-0.375</v>
      </c>
      <c r="T4930" s="0" t="n">
        <f aca="false">E4930*E4930</f>
        <v>0.25</v>
      </c>
      <c r="U4930" s="0" t="n">
        <f aca="false">F4930*F4930</f>
        <v>0.25</v>
      </c>
      <c r="V4930" s="0" t="n">
        <f aca="false">G4930*G4930</f>
        <v>0.5625</v>
      </c>
      <c r="W4930" s="0" t="n">
        <f aca="false">H4930*H4930</f>
        <v>0.25</v>
      </c>
      <c r="X4930" s="0" t="n">
        <f aca="false">SUMPRODUCT(I4930:W4930,_XtX!$B$96:$P$96)</f>
        <v>48.7906432748538</v>
      </c>
      <c r="Y4930" s="0" t="n">
        <f aca="false">SUMPRODUCT(MMULT(I4930:W4930,_XtX!$B$78:$P$92),I4930:W4930)</f>
        <v>0.193924753289474</v>
      </c>
      <c r="Z4930" s="0" t="n">
        <f aca="false">04_回帰ANOVA!$K$19*04_回帰ANOVA!$K$14*SQRT(1+Y4930)</f>
        <v>1.4242521079916</v>
      </c>
      <c r="AA4930" s="0" t="n">
        <f aca="false">X4930-Z4930</f>
        <v>47.3663911668622</v>
      </c>
      <c r="AB4930" s="0" t="n">
        <f aca="false">X4930+Z4930</f>
        <v>50.2148953828454</v>
      </c>
      <c r="AC4930" s="54" t="b">
        <f aca="false">AND(E4930&gt;=01_因子設定!$L$5-0.000000001,E4930&lt;=01_因子設定!$M$5+0.000000001,F4930&gt;=01_因子設定!$L$6-0.000000001,F4930&lt;=01_因子設定!$M$6+0.000000001,G4930&gt;=01_因子設定!$L$7-0.000000001,G4930&lt;=01_因子設定!$M$7+0.000000001,H4930&gt;=01_因子設定!$L$8-0.000000001,H4930&lt;=01_因子設定!$M$8+0.000000001,IF(01_因子設定!$B$20="Box-Behnken",E4930^2+F4930^2+G4930^2+H4930^2&lt;=2+0.000000001,TRUE()))</f>
        <v>1</v>
      </c>
      <c r="AD4930" s="55" t="n">
        <f aca="false">IF(AC4930,IF(01_因子設定!$B$13="最大化",AA4930-01_因子設定!$B$14,IF(01_因子設定!$B$13="最小化",01_因子設定!$B$15-AB4930,MIN(AA4930-01_因子設定!$B$14,01_因子設定!$B$15-AB4930))),-1E+030)</f>
        <v>0.866391166862172</v>
      </c>
      <c r="AE4930" s="55" t="n">
        <f aca="false">IF(AC4930,IF(01_因子設定!$B$13="最大化",X4930,IF(01_因子設定!$B$13="最小化",-X4930,-ABS(X4930-01_因子設定!$B$16))),-1E+030)</f>
        <v>48.7906432748538</v>
      </c>
      <c r="AF4930" s="55" t="n">
        <f aca="false">AD4930+ROW()*0.000000001</f>
        <v>0.866396096862172</v>
      </c>
      <c r="AG4930" s="55" t="n">
        <f aca="false">AE4930+ROW()*0.000000001</f>
        <v>48.7906482048538</v>
      </c>
    </row>
    <row r="4931" customFormat="false" ht="15" hidden="false" customHeight="false" outlineLevel="0" collapsed="false">
      <c r="A4931" s="0" t="n">
        <v>6</v>
      </c>
      <c r="B4931" s="0" t="n">
        <v>6</v>
      </c>
      <c r="C4931" s="0" t="n">
        <v>7</v>
      </c>
      <c r="D4931" s="0" t="n">
        <v>3</v>
      </c>
      <c r="E4931" s="0" t="n">
        <f aca="false">-1+A4931*0.25</f>
        <v>0.5</v>
      </c>
      <c r="F4931" s="0" t="n">
        <f aca="false">-1+B4931*0.25</f>
        <v>0.5</v>
      </c>
      <c r="G4931" s="0" t="n">
        <f aca="false">-1+C4931*0.25</f>
        <v>0.75</v>
      </c>
      <c r="H4931" s="0" t="n">
        <f aca="false">-1+D4931*0.25</f>
        <v>-0.25</v>
      </c>
      <c r="I4931" s="0" t="n">
        <f aca="false">1</f>
        <v>1</v>
      </c>
      <c r="J4931" s="0" t="n">
        <f aca="false">E4931</f>
        <v>0.5</v>
      </c>
      <c r="K4931" s="0" t="n">
        <f aca="false">F4931</f>
        <v>0.5</v>
      </c>
      <c r="L4931" s="0" t="n">
        <f aca="false">G4931</f>
        <v>0.75</v>
      </c>
      <c r="M4931" s="0" t="n">
        <f aca="false">H4931</f>
        <v>-0.25</v>
      </c>
      <c r="N4931" s="0" t="n">
        <f aca="false">E4931*F4931</f>
        <v>0.25</v>
      </c>
      <c r="O4931" s="0" t="n">
        <f aca="false">E4931*G4931</f>
        <v>0.375</v>
      </c>
      <c r="P4931" s="0" t="n">
        <f aca="false">E4931*H4931</f>
        <v>-0.125</v>
      </c>
      <c r="Q4931" s="0" t="n">
        <f aca="false">F4931*G4931</f>
        <v>0.375</v>
      </c>
      <c r="R4931" s="0" t="n">
        <f aca="false">F4931*H4931</f>
        <v>-0.125</v>
      </c>
      <c r="S4931" s="0" t="n">
        <f aca="false">G4931*H4931</f>
        <v>-0.1875</v>
      </c>
      <c r="T4931" s="0" t="n">
        <f aca="false">E4931*E4931</f>
        <v>0.25</v>
      </c>
      <c r="U4931" s="0" t="n">
        <f aca="false">F4931*F4931</f>
        <v>0.25</v>
      </c>
      <c r="V4931" s="0" t="n">
        <f aca="false">G4931*G4931</f>
        <v>0.5625</v>
      </c>
      <c r="W4931" s="0" t="n">
        <f aca="false">H4931*H4931</f>
        <v>0.0625</v>
      </c>
      <c r="X4931" s="0" t="n">
        <f aca="false">SUMPRODUCT(I4931:W4931,_XtX!$B$96:$P$96)</f>
        <v>49.0067114400584</v>
      </c>
      <c r="Y4931" s="0" t="n">
        <f aca="false">SUMPRODUCT(MMULT(I4931:W4931,_XtX!$B$78:$P$92),I4931:W4931)</f>
        <v>0.203746059484649</v>
      </c>
      <c r="Z4931" s="0" t="n">
        <f aca="false">04_回帰ANOVA!$K$19*04_回帰ANOVA!$K$14*SQRT(1+Y4931)</f>
        <v>1.43009810755465</v>
      </c>
      <c r="AA4931" s="0" t="n">
        <f aca="false">X4931-Z4931</f>
        <v>47.5766133325038</v>
      </c>
      <c r="AB4931" s="0" t="n">
        <f aca="false">X4931+Z4931</f>
        <v>50.4368095476131</v>
      </c>
      <c r="AC4931" s="54" t="b">
        <f aca="false">AND(E4931&gt;=01_因子設定!$L$5-0.000000001,E4931&lt;=01_因子設定!$M$5+0.000000001,F4931&gt;=01_因子設定!$L$6-0.000000001,F4931&lt;=01_因子設定!$M$6+0.000000001,G4931&gt;=01_因子設定!$L$7-0.000000001,G4931&lt;=01_因子設定!$M$7+0.000000001,H4931&gt;=01_因子設定!$L$8-0.000000001,H4931&lt;=01_因子設定!$M$8+0.000000001,IF(01_因子設定!$B$20="Box-Behnken",E4931^2+F4931^2+G4931^2+H4931^2&lt;=2+0.000000001,TRUE()))</f>
        <v>1</v>
      </c>
      <c r="AD4931" s="55" t="n">
        <f aca="false">IF(AC4931,IF(01_因子設定!$B$13="最大化",AA4931-01_因子設定!$B$14,IF(01_因子設定!$B$13="最小化",01_因子設定!$B$15-AB4931,MIN(AA4931-01_因子設定!$B$14,01_因子設定!$B$15-AB4931))),-1E+030)</f>
        <v>1.07661333250379</v>
      </c>
      <c r="AE4931" s="55" t="n">
        <f aca="false">IF(AC4931,IF(01_因子設定!$B$13="最大化",X4931,IF(01_因子設定!$B$13="最小化",-X4931,-ABS(X4931-01_因子設定!$B$16))),-1E+030)</f>
        <v>49.0067114400584</v>
      </c>
      <c r="AF4931" s="55" t="n">
        <f aca="false">AD4931+ROW()*0.000000001</f>
        <v>1.07661826350379</v>
      </c>
      <c r="AG4931" s="55" t="n">
        <f aca="false">AE4931+ROW()*0.000000001</f>
        <v>49.0067163710584</v>
      </c>
    </row>
    <row r="4932" customFormat="false" ht="15" hidden="false" customHeight="false" outlineLevel="0" collapsed="false">
      <c r="A4932" s="0" t="n">
        <v>6</v>
      </c>
      <c r="B4932" s="0" t="n">
        <v>6</v>
      </c>
      <c r="C4932" s="0" t="n">
        <v>7</v>
      </c>
      <c r="D4932" s="0" t="n">
        <v>4</v>
      </c>
      <c r="E4932" s="0" t="n">
        <f aca="false">-1+A4932*0.25</f>
        <v>0.5</v>
      </c>
      <c r="F4932" s="0" t="n">
        <f aca="false">-1+B4932*0.25</f>
        <v>0.5</v>
      </c>
      <c r="G4932" s="0" t="n">
        <f aca="false">-1+C4932*0.25</f>
        <v>0.75</v>
      </c>
      <c r="H4932" s="0" t="n">
        <f aca="false">-1+D4932*0.25</f>
        <v>0</v>
      </c>
      <c r="I4932" s="0" t="n">
        <f aca="false">1</f>
        <v>1</v>
      </c>
      <c r="J4932" s="0" t="n">
        <f aca="false">E4932</f>
        <v>0.5</v>
      </c>
      <c r="K4932" s="0" t="n">
        <f aca="false">F4932</f>
        <v>0.5</v>
      </c>
      <c r="L4932" s="0" t="n">
        <f aca="false">G4932</f>
        <v>0.75</v>
      </c>
      <c r="M4932" s="0" t="n">
        <f aca="false">H4932</f>
        <v>0</v>
      </c>
      <c r="N4932" s="0" t="n">
        <f aca="false">E4932*F4932</f>
        <v>0.25</v>
      </c>
      <c r="O4932" s="0" t="n">
        <f aca="false">E4932*G4932</f>
        <v>0.375</v>
      </c>
      <c r="P4932" s="0" t="n">
        <f aca="false">E4932*H4932</f>
        <v>0</v>
      </c>
      <c r="Q4932" s="0" t="n">
        <f aca="false">F4932*G4932</f>
        <v>0.375</v>
      </c>
      <c r="R4932" s="0" t="n">
        <f aca="false">F4932*H4932</f>
        <v>0</v>
      </c>
      <c r="S4932" s="0" t="n">
        <f aca="false">G4932*H4932</f>
        <v>0</v>
      </c>
      <c r="T4932" s="0" t="n">
        <f aca="false">E4932*E4932</f>
        <v>0.25</v>
      </c>
      <c r="U4932" s="0" t="n">
        <f aca="false">F4932*F4932</f>
        <v>0.25</v>
      </c>
      <c r="V4932" s="0" t="n">
        <f aca="false">G4932*G4932</f>
        <v>0.5625</v>
      </c>
      <c r="W4932" s="0" t="n">
        <f aca="false">H4932*H4932</f>
        <v>0</v>
      </c>
      <c r="X4932" s="0" t="n">
        <f aca="false">SUMPRODUCT(I4932:W4932,_XtX!$B$96:$P$96)</f>
        <v>49.1749725877193</v>
      </c>
      <c r="Y4932" s="0" t="n">
        <f aca="false">SUMPRODUCT(MMULT(I4932:W4932,_XtX!$B$78:$P$92),I4932:W4932)</f>
        <v>0.21305052997076</v>
      </c>
      <c r="Z4932" s="0" t="n">
        <f aca="false">04_回帰ANOVA!$K$19*04_回帰ANOVA!$K$14*SQRT(1+Y4932)</f>
        <v>1.43561450835061</v>
      </c>
      <c r="AA4932" s="0" t="n">
        <f aca="false">X4932-Z4932</f>
        <v>47.7393580793687</v>
      </c>
      <c r="AB4932" s="0" t="n">
        <f aca="false">X4932+Z4932</f>
        <v>50.6105870960699</v>
      </c>
      <c r="AC4932" s="54" t="b">
        <f aca="false">AND(E4932&gt;=01_因子設定!$L$5-0.000000001,E4932&lt;=01_因子設定!$M$5+0.000000001,F4932&gt;=01_因子設定!$L$6-0.000000001,F4932&lt;=01_因子設定!$M$6+0.000000001,G4932&gt;=01_因子設定!$L$7-0.000000001,G4932&lt;=01_因子設定!$M$7+0.000000001,H4932&gt;=01_因子設定!$L$8-0.000000001,H4932&lt;=01_因子設定!$M$8+0.000000001,IF(01_因子設定!$B$20="Box-Behnken",E4932^2+F4932^2+G4932^2+H4932^2&lt;=2+0.000000001,TRUE()))</f>
        <v>1</v>
      </c>
      <c r="AD4932" s="55" t="n">
        <f aca="false">IF(AC4932,IF(01_因子設定!$B$13="最大化",AA4932-01_因子設定!$B$14,IF(01_因子設定!$B$13="最小化",01_因子設定!$B$15-AB4932,MIN(AA4932-01_因子設定!$B$14,01_因子設定!$B$15-AB4932))),-1E+030)</f>
        <v>1.23935807936865</v>
      </c>
      <c r="AE4932" s="55" t="n">
        <f aca="false">IF(AC4932,IF(01_因子設定!$B$13="最大化",X4932,IF(01_因子設定!$B$13="最小化",-X4932,-ABS(X4932-01_因子設定!$B$16))),-1E+030)</f>
        <v>49.1749725877193</v>
      </c>
      <c r="AF4932" s="55" t="n">
        <f aca="false">AD4932+ROW()*0.000000001</f>
        <v>1.23936301136865</v>
      </c>
      <c r="AG4932" s="55" t="n">
        <f aca="false">AE4932+ROW()*0.000000001</f>
        <v>49.1749775197193</v>
      </c>
    </row>
    <row r="4933" customFormat="false" ht="15" hidden="false" customHeight="false" outlineLevel="0" collapsed="false">
      <c r="A4933" s="0" t="n">
        <v>6</v>
      </c>
      <c r="B4933" s="0" t="n">
        <v>6</v>
      </c>
      <c r="C4933" s="0" t="n">
        <v>7</v>
      </c>
      <c r="D4933" s="0" t="n">
        <v>5</v>
      </c>
      <c r="E4933" s="0" t="n">
        <f aca="false">-1+A4933*0.25</f>
        <v>0.5</v>
      </c>
      <c r="F4933" s="0" t="n">
        <f aca="false">-1+B4933*0.25</f>
        <v>0.5</v>
      </c>
      <c r="G4933" s="0" t="n">
        <f aca="false">-1+C4933*0.25</f>
        <v>0.75</v>
      </c>
      <c r="H4933" s="0" t="n">
        <f aca="false">-1+D4933*0.25</f>
        <v>0.25</v>
      </c>
      <c r="I4933" s="0" t="n">
        <f aca="false">1</f>
        <v>1</v>
      </c>
      <c r="J4933" s="0" t="n">
        <f aca="false">E4933</f>
        <v>0.5</v>
      </c>
      <c r="K4933" s="0" t="n">
        <f aca="false">F4933</f>
        <v>0.5</v>
      </c>
      <c r="L4933" s="0" t="n">
        <f aca="false">G4933</f>
        <v>0.75</v>
      </c>
      <c r="M4933" s="0" t="n">
        <f aca="false">H4933</f>
        <v>0.25</v>
      </c>
      <c r="N4933" s="0" t="n">
        <f aca="false">E4933*F4933</f>
        <v>0.25</v>
      </c>
      <c r="O4933" s="0" t="n">
        <f aca="false">E4933*G4933</f>
        <v>0.375</v>
      </c>
      <c r="P4933" s="0" t="n">
        <f aca="false">E4933*H4933</f>
        <v>0.125</v>
      </c>
      <c r="Q4933" s="0" t="n">
        <f aca="false">F4933*G4933</f>
        <v>0.375</v>
      </c>
      <c r="R4933" s="0" t="n">
        <f aca="false">F4933*H4933</f>
        <v>0.125</v>
      </c>
      <c r="S4933" s="0" t="n">
        <f aca="false">G4933*H4933</f>
        <v>0.1875</v>
      </c>
      <c r="T4933" s="0" t="n">
        <f aca="false">E4933*E4933</f>
        <v>0.25</v>
      </c>
      <c r="U4933" s="0" t="n">
        <f aca="false">F4933*F4933</f>
        <v>0.25</v>
      </c>
      <c r="V4933" s="0" t="n">
        <f aca="false">G4933*G4933</f>
        <v>0.5625</v>
      </c>
      <c r="W4933" s="0" t="n">
        <f aca="false">H4933*H4933</f>
        <v>0.0625</v>
      </c>
      <c r="X4933" s="0" t="n">
        <f aca="false">SUMPRODUCT(I4933:W4933,_XtX!$B$96:$P$96)</f>
        <v>49.2954267178362</v>
      </c>
      <c r="Y4933" s="0" t="n">
        <f aca="false">SUMPRODUCT(MMULT(I4933:W4933,_XtX!$B$78:$P$92),I4933:W4933)</f>
        <v>0.203746059484649</v>
      </c>
      <c r="Z4933" s="0" t="n">
        <f aca="false">04_回帰ANOVA!$K$19*04_回帰ANOVA!$K$14*SQRT(1+Y4933)</f>
        <v>1.43009810755465</v>
      </c>
      <c r="AA4933" s="0" t="n">
        <f aca="false">X4933-Z4933</f>
        <v>47.8653286102816</v>
      </c>
      <c r="AB4933" s="0" t="n">
        <f aca="false">X4933+Z4933</f>
        <v>50.7255248253909</v>
      </c>
      <c r="AC4933" s="54" t="b">
        <f aca="false">AND(E4933&gt;=01_因子設定!$L$5-0.000000001,E4933&lt;=01_因子設定!$M$5+0.000000001,F4933&gt;=01_因子設定!$L$6-0.000000001,F4933&lt;=01_因子設定!$M$6+0.000000001,G4933&gt;=01_因子設定!$L$7-0.000000001,G4933&lt;=01_因子設定!$M$7+0.000000001,H4933&gt;=01_因子設定!$L$8-0.000000001,H4933&lt;=01_因子設定!$M$8+0.000000001,IF(01_因子設定!$B$20="Box-Behnken",E4933^2+F4933^2+G4933^2+H4933^2&lt;=2+0.000000001,TRUE()))</f>
        <v>1</v>
      </c>
      <c r="AD4933" s="55" t="n">
        <f aca="false">IF(AC4933,IF(01_因子設定!$B$13="最大化",AA4933-01_因子設定!$B$14,IF(01_因子設定!$B$13="最小化",01_因子設定!$B$15-AB4933,MIN(AA4933-01_因子設定!$B$14,01_因子設定!$B$15-AB4933))),-1E+030)</f>
        <v>1.36532861028157</v>
      </c>
      <c r="AE4933" s="55" t="n">
        <f aca="false">IF(AC4933,IF(01_因子設定!$B$13="最大化",X4933,IF(01_因子設定!$B$13="最小化",-X4933,-ABS(X4933-01_因子設定!$B$16))),-1E+030)</f>
        <v>49.2954267178362</v>
      </c>
      <c r="AF4933" s="55" t="n">
        <f aca="false">AD4933+ROW()*0.000000001</f>
        <v>1.36533354328157</v>
      </c>
      <c r="AG4933" s="55" t="n">
        <f aca="false">AE4933+ROW()*0.000000001</f>
        <v>49.2954316508362</v>
      </c>
    </row>
    <row r="4934" customFormat="false" ht="15" hidden="false" customHeight="false" outlineLevel="0" collapsed="false">
      <c r="A4934" s="0" t="n">
        <v>6</v>
      </c>
      <c r="B4934" s="0" t="n">
        <v>6</v>
      </c>
      <c r="C4934" s="0" t="n">
        <v>7</v>
      </c>
      <c r="D4934" s="0" t="n">
        <v>6</v>
      </c>
      <c r="E4934" s="0" t="n">
        <f aca="false">-1+A4934*0.25</f>
        <v>0.5</v>
      </c>
      <c r="F4934" s="0" t="n">
        <f aca="false">-1+B4934*0.25</f>
        <v>0.5</v>
      </c>
      <c r="G4934" s="0" t="n">
        <f aca="false">-1+C4934*0.25</f>
        <v>0.75</v>
      </c>
      <c r="H4934" s="0" t="n">
        <f aca="false">-1+D4934*0.25</f>
        <v>0.5</v>
      </c>
      <c r="I4934" s="0" t="n">
        <f aca="false">1</f>
        <v>1</v>
      </c>
      <c r="J4934" s="0" t="n">
        <f aca="false">E4934</f>
        <v>0.5</v>
      </c>
      <c r="K4934" s="0" t="n">
        <f aca="false">F4934</f>
        <v>0.5</v>
      </c>
      <c r="L4934" s="0" t="n">
        <f aca="false">G4934</f>
        <v>0.75</v>
      </c>
      <c r="M4934" s="0" t="n">
        <f aca="false">H4934</f>
        <v>0.5</v>
      </c>
      <c r="N4934" s="0" t="n">
        <f aca="false">E4934*F4934</f>
        <v>0.25</v>
      </c>
      <c r="O4934" s="0" t="n">
        <f aca="false">E4934*G4934</f>
        <v>0.375</v>
      </c>
      <c r="P4934" s="0" t="n">
        <f aca="false">E4934*H4934</f>
        <v>0.25</v>
      </c>
      <c r="Q4934" s="0" t="n">
        <f aca="false">F4934*G4934</f>
        <v>0.375</v>
      </c>
      <c r="R4934" s="0" t="n">
        <f aca="false">F4934*H4934</f>
        <v>0.25</v>
      </c>
      <c r="S4934" s="0" t="n">
        <f aca="false">G4934*H4934</f>
        <v>0.375</v>
      </c>
      <c r="T4934" s="0" t="n">
        <f aca="false">E4934*E4934</f>
        <v>0.25</v>
      </c>
      <c r="U4934" s="0" t="n">
        <f aca="false">F4934*F4934</f>
        <v>0.25</v>
      </c>
      <c r="V4934" s="0" t="n">
        <f aca="false">G4934*G4934</f>
        <v>0.5625</v>
      </c>
      <c r="W4934" s="0" t="n">
        <f aca="false">H4934*H4934</f>
        <v>0.25</v>
      </c>
      <c r="X4934" s="0" t="n">
        <f aca="false">SUMPRODUCT(I4934:W4934,_XtX!$B$96:$P$96)</f>
        <v>49.3680738304093</v>
      </c>
      <c r="Y4934" s="0" t="n">
        <f aca="false">SUMPRODUCT(MMULT(I4934:W4934,_XtX!$B$78:$P$92),I4934:W4934)</f>
        <v>0.193924753289474</v>
      </c>
      <c r="Z4934" s="0" t="n">
        <f aca="false">04_回帰ANOVA!$K$19*04_回帰ANOVA!$K$14*SQRT(1+Y4934)</f>
        <v>1.4242521079916</v>
      </c>
      <c r="AA4934" s="0" t="n">
        <f aca="false">X4934-Z4934</f>
        <v>47.9438217224177</v>
      </c>
      <c r="AB4934" s="0" t="n">
        <f aca="false">X4934+Z4934</f>
        <v>50.7923259384009</v>
      </c>
      <c r="AC4934" s="54" t="b">
        <f aca="false">AND(E4934&gt;=01_因子設定!$L$5-0.000000001,E4934&lt;=01_因子設定!$M$5+0.000000001,F4934&gt;=01_因子設定!$L$6-0.000000001,F4934&lt;=01_因子設定!$M$6+0.000000001,G4934&gt;=01_因子設定!$L$7-0.000000001,G4934&lt;=01_因子設定!$M$7+0.000000001,H4934&gt;=01_因子設定!$L$8-0.000000001,H4934&lt;=01_因子設定!$M$8+0.000000001,IF(01_因子設定!$B$20="Box-Behnken",E4934^2+F4934^2+G4934^2+H4934^2&lt;=2+0.000000001,TRUE()))</f>
        <v>1</v>
      </c>
      <c r="AD4934" s="55" t="n">
        <f aca="false">IF(AC4934,IF(01_因子設定!$B$13="最大化",AA4934-01_因子設定!$B$14,IF(01_因子設定!$B$13="最小化",01_因子設定!$B$15-AB4934,MIN(AA4934-01_因子設定!$B$14,01_因子設定!$B$15-AB4934))),-1E+030)</f>
        <v>1.44382172241772</v>
      </c>
      <c r="AE4934" s="55" t="n">
        <f aca="false">IF(AC4934,IF(01_因子設定!$B$13="最大化",X4934,IF(01_因子設定!$B$13="最小化",-X4934,-ABS(X4934-01_因子設定!$B$16))),-1E+030)</f>
        <v>49.3680738304093</v>
      </c>
      <c r="AF4934" s="55" t="n">
        <f aca="false">AD4934+ROW()*0.000000001</f>
        <v>1.44382665641772</v>
      </c>
      <c r="AG4934" s="55" t="n">
        <f aca="false">AE4934+ROW()*0.000000001</f>
        <v>49.3680787644093</v>
      </c>
    </row>
    <row r="4935" customFormat="false" ht="15" hidden="false" customHeight="false" outlineLevel="0" collapsed="false">
      <c r="A4935" s="0" t="n">
        <v>6</v>
      </c>
      <c r="B4935" s="0" t="n">
        <v>6</v>
      </c>
      <c r="C4935" s="0" t="n">
        <v>7</v>
      </c>
      <c r="D4935" s="0" t="n">
        <v>7</v>
      </c>
      <c r="E4935" s="0" t="n">
        <f aca="false">-1+A4935*0.25</f>
        <v>0.5</v>
      </c>
      <c r="F4935" s="0" t="n">
        <f aca="false">-1+B4935*0.25</f>
        <v>0.5</v>
      </c>
      <c r="G4935" s="0" t="n">
        <f aca="false">-1+C4935*0.25</f>
        <v>0.75</v>
      </c>
      <c r="H4935" s="0" t="n">
        <f aca="false">-1+D4935*0.25</f>
        <v>0.75</v>
      </c>
      <c r="I4935" s="0" t="n">
        <f aca="false">1</f>
        <v>1</v>
      </c>
      <c r="J4935" s="0" t="n">
        <f aca="false">E4935</f>
        <v>0.5</v>
      </c>
      <c r="K4935" s="0" t="n">
        <f aca="false">F4935</f>
        <v>0.5</v>
      </c>
      <c r="L4935" s="0" t="n">
        <f aca="false">G4935</f>
        <v>0.75</v>
      </c>
      <c r="M4935" s="0" t="n">
        <f aca="false">H4935</f>
        <v>0.75</v>
      </c>
      <c r="N4935" s="0" t="n">
        <f aca="false">E4935*F4935</f>
        <v>0.25</v>
      </c>
      <c r="O4935" s="0" t="n">
        <f aca="false">E4935*G4935</f>
        <v>0.375</v>
      </c>
      <c r="P4935" s="0" t="n">
        <f aca="false">E4935*H4935</f>
        <v>0.375</v>
      </c>
      <c r="Q4935" s="0" t="n">
        <f aca="false">F4935*G4935</f>
        <v>0.375</v>
      </c>
      <c r="R4935" s="0" t="n">
        <f aca="false">F4935*H4935</f>
        <v>0.375</v>
      </c>
      <c r="S4935" s="0" t="n">
        <f aca="false">G4935*H4935</f>
        <v>0.5625</v>
      </c>
      <c r="T4935" s="0" t="n">
        <f aca="false">E4935*E4935</f>
        <v>0.25</v>
      </c>
      <c r="U4935" s="0" t="n">
        <f aca="false">F4935*F4935</f>
        <v>0.25</v>
      </c>
      <c r="V4935" s="0" t="n">
        <f aca="false">G4935*G4935</f>
        <v>0.5625</v>
      </c>
      <c r="W4935" s="0" t="n">
        <f aca="false">H4935*H4935</f>
        <v>0.5625</v>
      </c>
      <c r="X4935" s="0" t="n">
        <f aca="false">SUMPRODUCT(I4935:W4935,_XtX!$B$96:$P$96)</f>
        <v>49.3929139254386</v>
      </c>
      <c r="Y4935" s="0" t="n">
        <f aca="false">SUMPRODUCT(MMULT(I4935:W4935,_XtX!$B$78:$P$92),I4935:W4935)</f>
        <v>0.237862927174708</v>
      </c>
      <c r="Z4935" s="0" t="n">
        <f aca="false">04_回帰ANOVA!$K$19*04_回帰ANOVA!$K$14*SQRT(1+Y4935)</f>
        <v>1.45022260708756</v>
      </c>
      <c r="AA4935" s="0" t="n">
        <f aca="false">X4935-Z4935</f>
        <v>47.942691318351</v>
      </c>
      <c r="AB4935" s="0" t="n">
        <f aca="false">X4935+Z4935</f>
        <v>50.8431365325261</v>
      </c>
      <c r="AC4935" s="54" t="b">
        <f aca="false">AND(E4935&gt;=01_因子設定!$L$5-0.000000001,E4935&lt;=01_因子設定!$M$5+0.000000001,F4935&gt;=01_因子設定!$L$6-0.000000001,F4935&lt;=01_因子設定!$M$6+0.000000001,G4935&gt;=01_因子設定!$L$7-0.000000001,G4935&lt;=01_因子設定!$M$7+0.000000001,H4935&gt;=01_因子設定!$L$8-0.000000001,H4935&lt;=01_因子設定!$M$8+0.000000001,IF(01_因子設定!$B$20="Box-Behnken",E4935^2+F4935^2+G4935^2+H4935^2&lt;=2+0.000000001,TRUE()))</f>
        <v>1</v>
      </c>
      <c r="AD4935" s="55" t="n">
        <f aca="false">IF(AC4935,IF(01_因子設定!$B$13="最大化",AA4935-01_因子設定!$B$14,IF(01_因子設定!$B$13="最小化",01_因子設定!$B$15-AB4935,MIN(AA4935-01_因子設定!$B$14,01_因子設定!$B$15-AB4935))),-1E+030)</f>
        <v>1.44269131835102</v>
      </c>
      <c r="AE4935" s="55" t="n">
        <f aca="false">IF(AC4935,IF(01_因子設定!$B$13="最大化",X4935,IF(01_因子設定!$B$13="最小化",-X4935,-ABS(X4935-01_因子設定!$B$16))),-1E+030)</f>
        <v>49.3929139254386</v>
      </c>
      <c r="AF4935" s="55" t="n">
        <f aca="false">AD4935+ROW()*0.000000001</f>
        <v>1.44269625335102</v>
      </c>
      <c r="AG4935" s="55" t="n">
        <f aca="false">AE4935+ROW()*0.000000001</f>
        <v>49.3929188604386</v>
      </c>
    </row>
    <row r="4936" customFormat="false" ht="15" hidden="false" customHeight="false" outlineLevel="0" collapsed="false">
      <c r="A4936" s="0" t="n">
        <v>6</v>
      </c>
      <c r="B4936" s="0" t="n">
        <v>6</v>
      </c>
      <c r="C4936" s="0" t="n">
        <v>7</v>
      </c>
      <c r="D4936" s="0" t="n">
        <v>8</v>
      </c>
      <c r="E4936" s="0" t="n">
        <f aca="false">-1+A4936*0.25</f>
        <v>0.5</v>
      </c>
      <c r="F4936" s="0" t="n">
        <f aca="false">-1+B4936*0.25</f>
        <v>0.5</v>
      </c>
      <c r="G4936" s="0" t="n">
        <f aca="false">-1+C4936*0.25</f>
        <v>0.75</v>
      </c>
      <c r="H4936" s="0" t="n">
        <f aca="false">-1+D4936*0.25</f>
        <v>1</v>
      </c>
      <c r="I4936" s="0" t="n">
        <f aca="false">1</f>
        <v>1</v>
      </c>
      <c r="J4936" s="0" t="n">
        <f aca="false">E4936</f>
        <v>0.5</v>
      </c>
      <c r="K4936" s="0" t="n">
        <f aca="false">F4936</f>
        <v>0.5</v>
      </c>
      <c r="L4936" s="0" t="n">
        <f aca="false">G4936</f>
        <v>0.75</v>
      </c>
      <c r="M4936" s="0" t="n">
        <f aca="false">H4936</f>
        <v>1</v>
      </c>
      <c r="N4936" s="0" t="n">
        <f aca="false">E4936*F4936</f>
        <v>0.25</v>
      </c>
      <c r="O4936" s="0" t="n">
        <f aca="false">E4936*G4936</f>
        <v>0.375</v>
      </c>
      <c r="P4936" s="0" t="n">
        <f aca="false">E4936*H4936</f>
        <v>0.5</v>
      </c>
      <c r="Q4936" s="0" t="n">
        <f aca="false">F4936*G4936</f>
        <v>0.375</v>
      </c>
      <c r="R4936" s="0" t="n">
        <f aca="false">F4936*H4936</f>
        <v>0.5</v>
      </c>
      <c r="S4936" s="0" t="n">
        <f aca="false">G4936*H4936</f>
        <v>0.75</v>
      </c>
      <c r="T4936" s="0" t="n">
        <f aca="false">E4936*E4936</f>
        <v>0.25</v>
      </c>
      <c r="U4936" s="0" t="n">
        <f aca="false">F4936*F4936</f>
        <v>0.25</v>
      </c>
      <c r="V4936" s="0" t="n">
        <f aca="false">G4936*G4936</f>
        <v>0.5625</v>
      </c>
      <c r="W4936" s="0" t="n">
        <f aca="false">H4936*H4936</f>
        <v>1</v>
      </c>
      <c r="X4936" s="0" t="n">
        <f aca="false">SUMPRODUCT(I4936:W4936,_XtX!$B$96:$P$96)</f>
        <v>49.369947002924</v>
      </c>
      <c r="Y4936" s="0" t="n">
        <f aca="false">SUMPRODUCT(MMULT(I4936:W4936,_XtX!$B$78:$P$92),I4936:W4936)</f>
        <v>0.42602110745614</v>
      </c>
      <c r="Z4936" s="0" t="n">
        <f aca="false">04_回帰ANOVA!$K$19*04_回帰ANOVA!$K$14*SQRT(1+Y4936)</f>
        <v>1.55654388501114</v>
      </c>
      <c r="AA4936" s="0" t="n">
        <f aca="false">X4936-Z4936</f>
        <v>47.8134031179128</v>
      </c>
      <c r="AB4936" s="0" t="n">
        <f aca="false">X4936+Z4936</f>
        <v>50.9264908879351</v>
      </c>
      <c r="AC4936" s="54" t="b">
        <f aca="false">AND(E4936&gt;=01_因子設定!$L$5-0.000000001,E4936&lt;=01_因子設定!$M$5+0.000000001,F4936&gt;=01_因子設定!$L$6-0.000000001,F4936&lt;=01_因子設定!$M$6+0.000000001,G4936&gt;=01_因子設定!$L$7-0.000000001,G4936&lt;=01_因子設定!$M$7+0.000000001,H4936&gt;=01_因子設定!$L$8-0.000000001,H4936&lt;=01_因子設定!$M$8+0.000000001,IF(01_因子設定!$B$20="Box-Behnken",E4936^2+F4936^2+G4936^2+H4936^2&lt;=2+0.000000001,TRUE()))</f>
        <v>1</v>
      </c>
      <c r="AD4936" s="55" t="n">
        <f aca="false">IF(AC4936,IF(01_因子設定!$B$13="最大化",AA4936-01_因子設定!$B$14,IF(01_因子設定!$B$13="最小化",01_因子設定!$B$15-AB4936,MIN(AA4936-01_因子設定!$B$14,01_因子設定!$B$15-AB4936))),-1E+030)</f>
        <v>1.31340311791283</v>
      </c>
      <c r="AE4936" s="55" t="n">
        <f aca="false">IF(AC4936,IF(01_因子設定!$B$13="最大化",X4936,IF(01_因子設定!$B$13="最小化",-X4936,-ABS(X4936-01_因子設定!$B$16))),-1E+030)</f>
        <v>49.369947002924</v>
      </c>
      <c r="AF4936" s="55" t="n">
        <f aca="false">AD4936+ROW()*0.000000001</f>
        <v>1.31340805391283</v>
      </c>
      <c r="AG4936" s="55" t="n">
        <f aca="false">AE4936+ROW()*0.000000001</f>
        <v>49.369951938924</v>
      </c>
    </row>
    <row r="4937" customFormat="false" ht="15" hidden="false" customHeight="false" outlineLevel="0" collapsed="false">
      <c r="A4937" s="0" t="n">
        <v>6</v>
      </c>
      <c r="B4937" s="0" t="n">
        <v>6</v>
      </c>
      <c r="C4937" s="0" t="n">
        <v>8</v>
      </c>
      <c r="D4937" s="0" t="n">
        <v>0</v>
      </c>
      <c r="E4937" s="0" t="n">
        <f aca="false">-1+A4937*0.25</f>
        <v>0.5</v>
      </c>
      <c r="F4937" s="0" t="n">
        <f aca="false">-1+B4937*0.25</f>
        <v>0.5</v>
      </c>
      <c r="G4937" s="0" t="n">
        <f aca="false">-1+C4937*0.25</f>
        <v>1</v>
      </c>
      <c r="H4937" s="0" t="n">
        <f aca="false">-1+D4937*0.25</f>
        <v>-1</v>
      </c>
      <c r="I4937" s="0" t="n">
        <f aca="false">1</f>
        <v>1</v>
      </c>
      <c r="J4937" s="0" t="n">
        <f aca="false">E4937</f>
        <v>0.5</v>
      </c>
      <c r="K4937" s="0" t="n">
        <f aca="false">F4937</f>
        <v>0.5</v>
      </c>
      <c r="L4937" s="0" t="n">
        <f aca="false">G4937</f>
        <v>1</v>
      </c>
      <c r="M4937" s="0" t="n">
        <f aca="false">H4937</f>
        <v>-1</v>
      </c>
      <c r="N4937" s="0" t="n">
        <f aca="false">E4937*F4937</f>
        <v>0.25</v>
      </c>
      <c r="O4937" s="0" t="n">
        <f aca="false">E4937*G4937</f>
        <v>0.5</v>
      </c>
      <c r="P4937" s="0" t="n">
        <f aca="false">E4937*H4937</f>
        <v>-0.5</v>
      </c>
      <c r="Q4937" s="0" t="n">
        <f aca="false">F4937*G4937</f>
        <v>0.5</v>
      </c>
      <c r="R4937" s="0" t="n">
        <f aca="false">F4937*H4937</f>
        <v>-0.5</v>
      </c>
      <c r="S4937" s="0" t="n">
        <f aca="false">G4937*H4937</f>
        <v>-1</v>
      </c>
      <c r="T4937" s="0" t="n">
        <f aca="false">E4937*E4937</f>
        <v>0.25</v>
      </c>
      <c r="U4937" s="0" t="n">
        <f aca="false">F4937*F4937</f>
        <v>0.25</v>
      </c>
      <c r="V4937" s="0" t="n">
        <f aca="false">G4937*G4937</f>
        <v>1</v>
      </c>
      <c r="W4937" s="0" t="n">
        <f aca="false">H4937*H4937</f>
        <v>1</v>
      </c>
      <c r="X4937" s="0" t="n">
        <f aca="false">SUMPRODUCT(I4937:W4937,_XtX!$B$96:$P$96)</f>
        <v>48.0482821637427</v>
      </c>
      <c r="Y4937" s="0" t="n">
        <f aca="false">SUMPRODUCT(MMULT(I4937:W4937,_XtX!$B$78:$P$92),I4937:W4937)</f>
        <v>0.582488121345029</v>
      </c>
      <c r="Z4937" s="0" t="n">
        <f aca="false">04_回帰ANOVA!$K$19*04_回帰ANOVA!$K$14*SQRT(1+Y4937)</f>
        <v>1.63971595338287</v>
      </c>
      <c r="AA4937" s="0" t="n">
        <f aca="false">X4937-Z4937</f>
        <v>46.4085662103598</v>
      </c>
      <c r="AB4937" s="0" t="n">
        <f aca="false">X4937+Z4937</f>
        <v>49.6879981171256</v>
      </c>
      <c r="AC4937" s="54" t="b">
        <f aca="false">AND(E4937&gt;=01_因子設定!$L$5-0.000000001,E4937&lt;=01_因子設定!$M$5+0.000000001,F4937&gt;=01_因子設定!$L$6-0.000000001,F4937&lt;=01_因子設定!$M$6+0.000000001,G4937&gt;=01_因子設定!$L$7-0.000000001,G4937&lt;=01_因子設定!$M$7+0.000000001,H4937&gt;=01_因子設定!$L$8-0.000000001,H4937&lt;=01_因子設定!$M$8+0.000000001,IF(01_因子設定!$B$20="Box-Behnken",E4937^2+F4937^2+G4937^2+H4937^2&lt;=2+0.000000001,TRUE()))</f>
        <v>1</v>
      </c>
      <c r="AD4937" s="55" t="n">
        <f aca="false">IF(AC4937,IF(01_因子設定!$B$13="最大化",AA4937-01_因子設定!$B$14,IF(01_因子設定!$B$13="最小化",01_因子設定!$B$15-AB4937,MIN(AA4937-01_因子設定!$B$14,01_因子設定!$B$15-AB4937))),-1E+030)</f>
        <v>-0.0914337896401776</v>
      </c>
      <c r="AE4937" s="55" t="n">
        <f aca="false">IF(AC4937,IF(01_因子設定!$B$13="最大化",X4937,IF(01_因子設定!$B$13="最小化",-X4937,-ABS(X4937-01_因子設定!$B$16))),-1E+030)</f>
        <v>48.0482821637427</v>
      </c>
      <c r="AF4937" s="55" t="n">
        <f aca="false">AD4937+ROW()*0.000000001</f>
        <v>-0.0914288526401776</v>
      </c>
      <c r="AG4937" s="55" t="n">
        <f aca="false">AE4937+ROW()*0.000000001</f>
        <v>48.0482871007427</v>
      </c>
    </row>
    <row r="4938" customFormat="false" ht="15" hidden="false" customHeight="false" outlineLevel="0" collapsed="false">
      <c r="A4938" s="0" t="n">
        <v>6</v>
      </c>
      <c r="B4938" s="0" t="n">
        <v>6</v>
      </c>
      <c r="C4938" s="0" t="n">
        <v>8</v>
      </c>
      <c r="D4938" s="0" t="n">
        <v>1</v>
      </c>
      <c r="E4938" s="0" t="n">
        <f aca="false">-1+A4938*0.25</f>
        <v>0.5</v>
      </c>
      <c r="F4938" s="0" t="n">
        <f aca="false">-1+B4938*0.25</f>
        <v>0.5</v>
      </c>
      <c r="G4938" s="0" t="n">
        <f aca="false">-1+C4938*0.25</f>
        <v>1</v>
      </c>
      <c r="H4938" s="0" t="n">
        <f aca="false">-1+D4938*0.25</f>
        <v>-0.75</v>
      </c>
      <c r="I4938" s="0" t="n">
        <f aca="false">1</f>
        <v>1</v>
      </c>
      <c r="J4938" s="0" t="n">
        <f aca="false">E4938</f>
        <v>0.5</v>
      </c>
      <c r="K4938" s="0" t="n">
        <f aca="false">F4938</f>
        <v>0.5</v>
      </c>
      <c r="L4938" s="0" t="n">
        <f aca="false">G4938</f>
        <v>1</v>
      </c>
      <c r="M4938" s="0" t="n">
        <f aca="false">H4938</f>
        <v>-0.75</v>
      </c>
      <c r="N4938" s="0" t="n">
        <f aca="false">E4938*F4938</f>
        <v>0.25</v>
      </c>
      <c r="O4938" s="0" t="n">
        <f aca="false">E4938*G4938</f>
        <v>0.5</v>
      </c>
      <c r="P4938" s="0" t="n">
        <f aca="false">E4938*H4938</f>
        <v>-0.375</v>
      </c>
      <c r="Q4938" s="0" t="n">
        <f aca="false">F4938*G4938</f>
        <v>0.5</v>
      </c>
      <c r="R4938" s="0" t="n">
        <f aca="false">F4938*H4938</f>
        <v>-0.375</v>
      </c>
      <c r="S4938" s="0" t="n">
        <f aca="false">G4938*H4938</f>
        <v>-0.75</v>
      </c>
      <c r="T4938" s="0" t="n">
        <f aca="false">E4938*E4938</f>
        <v>0.25</v>
      </c>
      <c r="U4938" s="0" t="n">
        <f aca="false">F4938*F4938</f>
        <v>0.25</v>
      </c>
      <c r="V4938" s="0" t="n">
        <f aca="false">G4938*G4938</f>
        <v>1</v>
      </c>
      <c r="W4938" s="0" t="n">
        <f aca="false">H4938*H4938</f>
        <v>0.5625</v>
      </c>
      <c r="X4938" s="0" t="n">
        <f aca="false">SUMPRODUCT(I4938:W4938,_XtX!$B$96:$P$96)</f>
        <v>48.3779331140351</v>
      </c>
      <c r="Y4938" s="0" t="n">
        <f aca="false">SUMPRODUCT(MMULT(I4938:W4938,_XtX!$B$78:$P$92),I4938:W4938)</f>
        <v>0.42602110745614</v>
      </c>
      <c r="Z4938" s="0" t="n">
        <f aca="false">04_回帰ANOVA!$K$19*04_回帰ANOVA!$K$14*SQRT(1+Y4938)</f>
        <v>1.55654388501114</v>
      </c>
      <c r="AA4938" s="0" t="n">
        <f aca="false">X4938-Z4938</f>
        <v>46.8213892290239</v>
      </c>
      <c r="AB4938" s="0" t="n">
        <f aca="false">X4938+Z4938</f>
        <v>49.9344769990462</v>
      </c>
      <c r="AC4938" s="54" t="b">
        <f aca="false">AND(E4938&gt;=01_因子設定!$L$5-0.000000001,E4938&lt;=01_因子設定!$M$5+0.000000001,F4938&gt;=01_因子設定!$L$6-0.000000001,F4938&lt;=01_因子設定!$M$6+0.000000001,G4938&gt;=01_因子設定!$L$7-0.000000001,G4938&lt;=01_因子設定!$M$7+0.000000001,H4938&gt;=01_因子設定!$L$8-0.000000001,H4938&lt;=01_因子設定!$M$8+0.000000001,IF(01_因子設定!$B$20="Box-Behnken",E4938^2+F4938^2+G4938^2+H4938^2&lt;=2+0.000000001,TRUE()))</f>
        <v>1</v>
      </c>
      <c r="AD4938" s="55" t="n">
        <f aca="false">IF(AC4938,IF(01_因子設定!$B$13="最大化",AA4938-01_因子設定!$B$14,IF(01_因子設定!$B$13="最小化",01_因子設定!$B$15-AB4938,MIN(AA4938-01_因子設定!$B$14,01_因子設定!$B$15-AB4938))),-1E+030)</f>
        <v>0.321389229023936</v>
      </c>
      <c r="AE4938" s="55" t="n">
        <f aca="false">IF(AC4938,IF(01_因子設定!$B$13="最大化",X4938,IF(01_因子設定!$B$13="最小化",-X4938,-ABS(X4938-01_因子設定!$B$16))),-1E+030)</f>
        <v>48.3779331140351</v>
      </c>
      <c r="AF4938" s="55" t="n">
        <f aca="false">AD4938+ROW()*0.000000001</f>
        <v>0.321394167023936</v>
      </c>
      <c r="AG4938" s="55" t="n">
        <f aca="false">AE4938+ROW()*0.000000001</f>
        <v>48.3779380520351</v>
      </c>
    </row>
    <row r="4939" customFormat="false" ht="15" hidden="false" customHeight="false" outlineLevel="0" collapsed="false">
      <c r="A4939" s="0" t="n">
        <v>6</v>
      </c>
      <c r="B4939" s="0" t="n">
        <v>6</v>
      </c>
      <c r="C4939" s="0" t="n">
        <v>8</v>
      </c>
      <c r="D4939" s="0" t="n">
        <v>2</v>
      </c>
      <c r="E4939" s="0" t="n">
        <f aca="false">-1+A4939*0.25</f>
        <v>0.5</v>
      </c>
      <c r="F4939" s="0" t="n">
        <f aca="false">-1+B4939*0.25</f>
        <v>0.5</v>
      </c>
      <c r="G4939" s="0" t="n">
        <f aca="false">-1+C4939*0.25</f>
        <v>1</v>
      </c>
      <c r="H4939" s="0" t="n">
        <f aca="false">-1+D4939*0.25</f>
        <v>-0.5</v>
      </c>
      <c r="I4939" s="0" t="n">
        <f aca="false">1</f>
        <v>1</v>
      </c>
      <c r="J4939" s="0" t="n">
        <f aca="false">E4939</f>
        <v>0.5</v>
      </c>
      <c r="K4939" s="0" t="n">
        <f aca="false">F4939</f>
        <v>0.5</v>
      </c>
      <c r="L4939" s="0" t="n">
        <f aca="false">G4939</f>
        <v>1</v>
      </c>
      <c r="M4939" s="0" t="n">
        <f aca="false">H4939</f>
        <v>-0.5</v>
      </c>
      <c r="N4939" s="0" t="n">
        <f aca="false">E4939*F4939</f>
        <v>0.25</v>
      </c>
      <c r="O4939" s="0" t="n">
        <f aca="false">E4939*G4939</f>
        <v>0.5</v>
      </c>
      <c r="P4939" s="0" t="n">
        <f aca="false">E4939*H4939</f>
        <v>-0.25</v>
      </c>
      <c r="Q4939" s="0" t="n">
        <f aca="false">F4939*G4939</f>
        <v>0.5</v>
      </c>
      <c r="R4939" s="0" t="n">
        <f aca="false">F4939*H4939</f>
        <v>-0.25</v>
      </c>
      <c r="S4939" s="0" t="n">
        <f aca="false">G4939*H4939</f>
        <v>-0.5</v>
      </c>
      <c r="T4939" s="0" t="n">
        <f aca="false">E4939*E4939</f>
        <v>0.25</v>
      </c>
      <c r="U4939" s="0" t="n">
        <f aca="false">F4939*F4939</f>
        <v>0.25</v>
      </c>
      <c r="V4939" s="0" t="n">
        <f aca="false">G4939*G4939</f>
        <v>1</v>
      </c>
      <c r="W4939" s="0" t="n">
        <f aca="false">H4939*H4939</f>
        <v>0.25</v>
      </c>
      <c r="X4939" s="0" t="n">
        <f aca="false">SUMPRODUCT(I4939:W4939,_XtX!$B$96:$P$96)</f>
        <v>48.6597770467836</v>
      </c>
      <c r="Y4939" s="0" t="n">
        <f aca="false">SUMPRODUCT(MMULT(I4939:W4939,_XtX!$B$78:$P$92),I4939:W4939)</f>
        <v>0.404719480994152</v>
      </c>
      <c r="Z4939" s="0" t="n">
        <f aca="false">04_回帰ANOVA!$K$19*04_回帰ANOVA!$K$14*SQRT(1+Y4939)</f>
        <v>1.54487446697867</v>
      </c>
      <c r="AA4939" s="0" t="n">
        <f aca="false">X4939-Z4939</f>
        <v>47.1149025798049</v>
      </c>
      <c r="AB4939" s="0" t="n">
        <f aca="false">X4939+Z4939</f>
        <v>50.2046515137623</v>
      </c>
      <c r="AC4939" s="54" t="b">
        <f aca="false">AND(E4939&gt;=01_因子設定!$L$5-0.000000001,E4939&lt;=01_因子設定!$M$5+0.000000001,F4939&gt;=01_因子設定!$L$6-0.000000001,F4939&lt;=01_因子設定!$M$6+0.000000001,G4939&gt;=01_因子設定!$L$7-0.000000001,G4939&lt;=01_因子設定!$M$7+0.000000001,H4939&gt;=01_因子設定!$L$8-0.000000001,H4939&lt;=01_因子設定!$M$8+0.000000001,IF(01_因子設定!$B$20="Box-Behnken",E4939^2+F4939^2+G4939^2+H4939^2&lt;=2+0.000000001,TRUE()))</f>
        <v>1</v>
      </c>
      <c r="AD4939" s="55" t="n">
        <f aca="false">IF(AC4939,IF(01_因子設定!$B$13="最大化",AA4939-01_因子設定!$B$14,IF(01_因子設定!$B$13="最小化",01_因子設定!$B$15-AB4939,MIN(AA4939-01_因子設定!$B$14,01_因子設定!$B$15-AB4939))),-1E+030)</f>
        <v>0.61490257980492</v>
      </c>
      <c r="AE4939" s="55" t="n">
        <f aca="false">IF(AC4939,IF(01_因子設定!$B$13="最大化",X4939,IF(01_因子設定!$B$13="最小化",-X4939,-ABS(X4939-01_因子設定!$B$16))),-1E+030)</f>
        <v>48.6597770467836</v>
      </c>
      <c r="AF4939" s="55" t="n">
        <f aca="false">AD4939+ROW()*0.000000001</f>
        <v>0.61490751880492</v>
      </c>
      <c r="AG4939" s="55" t="n">
        <f aca="false">AE4939+ROW()*0.000000001</f>
        <v>48.6597819857836</v>
      </c>
    </row>
    <row r="4940" customFormat="false" ht="15" hidden="false" customHeight="false" outlineLevel="0" collapsed="false">
      <c r="A4940" s="0" t="n">
        <v>6</v>
      </c>
      <c r="B4940" s="0" t="n">
        <v>6</v>
      </c>
      <c r="C4940" s="0" t="n">
        <v>8</v>
      </c>
      <c r="D4940" s="0" t="n">
        <v>3</v>
      </c>
      <c r="E4940" s="0" t="n">
        <f aca="false">-1+A4940*0.25</f>
        <v>0.5</v>
      </c>
      <c r="F4940" s="0" t="n">
        <f aca="false">-1+B4940*0.25</f>
        <v>0.5</v>
      </c>
      <c r="G4940" s="0" t="n">
        <f aca="false">-1+C4940*0.25</f>
        <v>1</v>
      </c>
      <c r="H4940" s="0" t="n">
        <f aca="false">-1+D4940*0.25</f>
        <v>-0.25</v>
      </c>
      <c r="I4940" s="0" t="n">
        <f aca="false">1</f>
        <v>1</v>
      </c>
      <c r="J4940" s="0" t="n">
        <f aca="false">E4940</f>
        <v>0.5</v>
      </c>
      <c r="K4940" s="0" t="n">
        <f aca="false">F4940</f>
        <v>0.5</v>
      </c>
      <c r="L4940" s="0" t="n">
        <f aca="false">G4940</f>
        <v>1</v>
      </c>
      <c r="M4940" s="0" t="n">
        <f aca="false">H4940</f>
        <v>-0.25</v>
      </c>
      <c r="N4940" s="0" t="n">
        <f aca="false">E4940*F4940</f>
        <v>0.25</v>
      </c>
      <c r="O4940" s="0" t="n">
        <f aca="false">E4940*G4940</f>
        <v>0.5</v>
      </c>
      <c r="P4940" s="0" t="n">
        <f aca="false">E4940*H4940</f>
        <v>-0.125</v>
      </c>
      <c r="Q4940" s="0" t="n">
        <f aca="false">F4940*G4940</f>
        <v>0.5</v>
      </c>
      <c r="R4940" s="0" t="n">
        <f aca="false">F4940*H4940</f>
        <v>-0.125</v>
      </c>
      <c r="S4940" s="0" t="n">
        <f aca="false">G4940*H4940</f>
        <v>-0.25</v>
      </c>
      <c r="T4940" s="0" t="n">
        <f aca="false">E4940*E4940</f>
        <v>0.25</v>
      </c>
      <c r="U4940" s="0" t="n">
        <f aca="false">F4940*F4940</f>
        <v>0.25</v>
      </c>
      <c r="V4940" s="0" t="n">
        <f aca="false">G4940*G4940</f>
        <v>1</v>
      </c>
      <c r="W4940" s="0" t="n">
        <f aca="false">H4940*H4940</f>
        <v>0.0625</v>
      </c>
      <c r="X4940" s="0" t="n">
        <f aca="false">SUMPRODUCT(I4940:W4940,_XtX!$B$96:$P$96)</f>
        <v>48.8938139619883</v>
      </c>
      <c r="Y4940" s="0" t="n">
        <f aca="false">SUMPRODUCT(MMULT(I4940:W4940,_XtX!$B$78:$P$92),I4940:W4940)</f>
        <v>0.428122715643275</v>
      </c>
      <c r="Z4940" s="0" t="n">
        <f aca="false">04_回帰ANOVA!$K$19*04_回帰ANOVA!$K$14*SQRT(1+Y4940)</f>
        <v>1.55769044623229</v>
      </c>
      <c r="AA4940" s="0" t="n">
        <f aca="false">X4940-Z4940</f>
        <v>47.336123515756</v>
      </c>
      <c r="AB4940" s="0" t="n">
        <f aca="false">X4940+Z4940</f>
        <v>50.4515044082206</v>
      </c>
      <c r="AC4940" s="54" t="b">
        <f aca="false">AND(E4940&gt;=01_因子設定!$L$5-0.000000001,E4940&lt;=01_因子設定!$M$5+0.000000001,F4940&gt;=01_因子設定!$L$6-0.000000001,F4940&lt;=01_因子設定!$M$6+0.000000001,G4940&gt;=01_因子設定!$L$7-0.000000001,G4940&lt;=01_因子設定!$M$7+0.000000001,H4940&gt;=01_因子設定!$L$8-0.000000001,H4940&lt;=01_因子設定!$M$8+0.000000001,IF(01_因子設定!$B$20="Box-Behnken",E4940^2+F4940^2+G4940^2+H4940^2&lt;=2+0.000000001,TRUE()))</f>
        <v>1</v>
      </c>
      <c r="AD4940" s="55" t="n">
        <f aca="false">IF(AC4940,IF(01_因子設定!$B$13="最大化",AA4940-01_因子設定!$B$14,IF(01_因子設定!$B$13="最小化",01_因子設定!$B$15-AB4940,MIN(AA4940-01_因子設定!$B$14,01_因子設定!$B$15-AB4940))),-1E+030)</f>
        <v>0.836123515755972</v>
      </c>
      <c r="AE4940" s="55" t="n">
        <f aca="false">IF(AC4940,IF(01_因子設定!$B$13="最大化",X4940,IF(01_因子設定!$B$13="最小化",-X4940,-ABS(X4940-01_因子設定!$B$16))),-1E+030)</f>
        <v>48.8938139619883</v>
      </c>
      <c r="AF4940" s="55" t="n">
        <f aca="false">AD4940+ROW()*0.000000001</f>
        <v>0.836128455755972</v>
      </c>
      <c r="AG4940" s="55" t="n">
        <f aca="false">AE4940+ROW()*0.000000001</f>
        <v>48.8938189019883</v>
      </c>
    </row>
    <row r="4941" customFormat="false" ht="15" hidden="false" customHeight="false" outlineLevel="0" collapsed="false">
      <c r="A4941" s="0" t="n">
        <v>6</v>
      </c>
      <c r="B4941" s="0" t="n">
        <v>6</v>
      </c>
      <c r="C4941" s="0" t="n">
        <v>8</v>
      </c>
      <c r="D4941" s="0" t="n">
        <v>4</v>
      </c>
      <c r="E4941" s="0" t="n">
        <f aca="false">-1+A4941*0.25</f>
        <v>0.5</v>
      </c>
      <c r="F4941" s="0" t="n">
        <f aca="false">-1+B4941*0.25</f>
        <v>0.5</v>
      </c>
      <c r="G4941" s="0" t="n">
        <f aca="false">-1+C4941*0.25</f>
        <v>1</v>
      </c>
      <c r="H4941" s="0" t="n">
        <f aca="false">-1+D4941*0.25</f>
        <v>0</v>
      </c>
      <c r="I4941" s="0" t="n">
        <f aca="false">1</f>
        <v>1</v>
      </c>
      <c r="J4941" s="0" t="n">
        <f aca="false">E4941</f>
        <v>0.5</v>
      </c>
      <c r="K4941" s="0" t="n">
        <f aca="false">F4941</f>
        <v>0.5</v>
      </c>
      <c r="L4941" s="0" t="n">
        <f aca="false">G4941</f>
        <v>1</v>
      </c>
      <c r="M4941" s="0" t="n">
        <f aca="false">H4941</f>
        <v>0</v>
      </c>
      <c r="N4941" s="0" t="n">
        <f aca="false">E4941*F4941</f>
        <v>0.25</v>
      </c>
      <c r="O4941" s="0" t="n">
        <f aca="false">E4941*G4941</f>
        <v>0.5</v>
      </c>
      <c r="P4941" s="0" t="n">
        <f aca="false">E4941*H4941</f>
        <v>0</v>
      </c>
      <c r="Q4941" s="0" t="n">
        <f aca="false">F4941*G4941</f>
        <v>0.5</v>
      </c>
      <c r="R4941" s="0" t="n">
        <f aca="false">F4941*H4941</f>
        <v>0</v>
      </c>
      <c r="S4941" s="0" t="n">
        <f aca="false">G4941*H4941</f>
        <v>0</v>
      </c>
      <c r="T4941" s="0" t="n">
        <f aca="false">E4941*E4941</f>
        <v>0.25</v>
      </c>
      <c r="U4941" s="0" t="n">
        <f aca="false">F4941*F4941</f>
        <v>0.25</v>
      </c>
      <c r="V4941" s="0" t="n">
        <f aca="false">G4941*G4941</f>
        <v>1</v>
      </c>
      <c r="W4941" s="0" t="n">
        <f aca="false">H4941*H4941</f>
        <v>0</v>
      </c>
      <c r="X4941" s="0" t="n">
        <f aca="false">SUMPRODUCT(I4941:W4941,_XtX!$B$96:$P$96)</f>
        <v>49.0800438596491</v>
      </c>
      <c r="Y4941" s="0" t="n">
        <f aca="false">SUMPRODUCT(MMULT(I4941:W4941,_XtX!$B$78:$P$92),I4941:W4941)</f>
        <v>0.441954495614035</v>
      </c>
      <c r="Z4941" s="0" t="n">
        <f aca="false">04_回帰ANOVA!$K$19*04_回帰ANOVA!$K$14*SQRT(1+Y4941)</f>
        <v>1.56521560968066</v>
      </c>
      <c r="AA4941" s="0" t="n">
        <f aca="false">X4941-Z4941</f>
        <v>47.5148282499684</v>
      </c>
      <c r="AB4941" s="0" t="n">
        <f aca="false">X4941+Z4941</f>
        <v>50.6452594693297</v>
      </c>
      <c r="AC4941" s="54" t="b">
        <f aca="false">AND(E4941&gt;=01_因子設定!$L$5-0.000000001,E4941&lt;=01_因子設定!$M$5+0.000000001,F4941&gt;=01_因子設定!$L$6-0.000000001,F4941&lt;=01_因子設定!$M$6+0.000000001,G4941&gt;=01_因子設定!$L$7-0.000000001,G4941&lt;=01_因子設定!$M$7+0.000000001,H4941&gt;=01_因子設定!$L$8-0.000000001,H4941&lt;=01_因子設定!$M$8+0.000000001,IF(01_因子設定!$B$20="Box-Behnken",E4941^2+F4941^2+G4941^2+H4941^2&lt;=2+0.000000001,TRUE()))</f>
        <v>1</v>
      </c>
      <c r="AD4941" s="55" t="n">
        <f aca="false">IF(AC4941,IF(01_因子設定!$B$13="最大化",AA4941-01_因子設定!$B$14,IF(01_因子設定!$B$13="最小化",01_因子設定!$B$15-AB4941,MIN(AA4941-01_因子設定!$B$14,01_因子設定!$B$15-AB4941))),-1E+030)</f>
        <v>1.01482824996842</v>
      </c>
      <c r="AE4941" s="55" t="n">
        <f aca="false">IF(AC4941,IF(01_因子設定!$B$13="最大化",X4941,IF(01_因子設定!$B$13="最小化",-X4941,-ABS(X4941-01_因子設定!$B$16))),-1E+030)</f>
        <v>49.0800438596491</v>
      </c>
      <c r="AF4941" s="55" t="n">
        <f aca="false">AD4941+ROW()*0.000000001</f>
        <v>1.01483319096842</v>
      </c>
      <c r="AG4941" s="55" t="n">
        <f aca="false">AE4941+ROW()*0.000000001</f>
        <v>49.0800488006491</v>
      </c>
    </row>
    <row r="4942" customFormat="false" ht="15" hidden="false" customHeight="false" outlineLevel="0" collapsed="false">
      <c r="A4942" s="0" t="n">
        <v>6</v>
      </c>
      <c r="B4942" s="0" t="n">
        <v>6</v>
      </c>
      <c r="C4942" s="0" t="n">
        <v>8</v>
      </c>
      <c r="D4942" s="0" t="n">
        <v>5</v>
      </c>
      <c r="E4942" s="0" t="n">
        <f aca="false">-1+A4942*0.25</f>
        <v>0.5</v>
      </c>
      <c r="F4942" s="0" t="n">
        <f aca="false">-1+B4942*0.25</f>
        <v>0.5</v>
      </c>
      <c r="G4942" s="0" t="n">
        <f aca="false">-1+C4942*0.25</f>
        <v>1</v>
      </c>
      <c r="H4942" s="0" t="n">
        <f aca="false">-1+D4942*0.25</f>
        <v>0.25</v>
      </c>
      <c r="I4942" s="0" t="n">
        <f aca="false">1</f>
        <v>1</v>
      </c>
      <c r="J4942" s="0" t="n">
        <f aca="false">E4942</f>
        <v>0.5</v>
      </c>
      <c r="K4942" s="0" t="n">
        <f aca="false">F4942</f>
        <v>0.5</v>
      </c>
      <c r="L4942" s="0" t="n">
        <f aca="false">G4942</f>
        <v>1</v>
      </c>
      <c r="M4942" s="0" t="n">
        <f aca="false">H4942</f>
        <v>0.25</v>
      </c>
      <c r="N4942" s="0" t="n">
        <f aca="false">E4942*F4942</f>
        <v>0.25</v>
      </c>
      <c r="O4942" s="0" t="n">
        <f aca="false">E4942*G4942</f>
        <v>0.5</v>
      </c>
      <c r="P4942" s="0" t="n">
        <f aca="false">E4942*H4942</f>
        <v>0.125</v>
      </c>
      <c r="Q4942" s="0" t="n">
        <f aca="false">F4942*G4942</f>
        <v>0.5</v>
      </c>
      <c r="R4942" s="0" t="n">
        <f aca="false">F4942*H4942</f>
        <v>0.125</v>
      </c>
      <c r="S4942" s="0" t="n">
        <f aca="false">G4942*H4942</f>
        <v>0.25</v>
      </c>
      <c r="T4942" s="0" t="n">
        <f aca="false">E4942*E4942</f>
        <v>0.25</v>
      </c>
      <c r="U4942" s="0" t="n">
        <f aca="false">F4942*F4942</f>
        <v>0.25</v>
      </c>
      <c r="V4942" s="0" t="n">
        <f aca="false">G4942*G4942</f>
        <v>1</v>
      </c>
      <c r="W4942" s="0" t="n">
        <f aca="false">H4942*H4942</f>
        <v>0.0625</v>
      </c>
      <c r="X4942" s="0" t="n">
        <f aca="false">SUMPRODUCT(I4942:W4942,_XtX!$B$96:$P$96)</f>
        <v>49.218466739766</v>
      </c>
      <c r="Y4942" s="0" t="n">
        <f aca="false">SUMPRODUCT(MMULT(I4942:W4942,_XtX!$B$78:$P$92),I4942:W4942)</f>
        <v>0.428122715643275</v>
      </c>
      <c r="Z4942" s="0" t="n">
        <f aca="false">04_回帰ANOVA!$K$19*04_回帰ANOVA!$K$14*SQRT(1+Y4942)</f>
        <v>1.55769044623229</v>
      </c>
      <c r="AA4942" s="0" t="n">
        <f aca="false">X4942-Z4942</f>
        <v>47.6607762935338</v>
      </c>
      <c r="AB4942" s="0" t="n">
        <f aca="false">X4942+Z4942</f>
        <v>50.7761571859983</v>
      </c>
      <c r="AC4942" s="54" t="b">
        <f aca="false">AND(E4942&gt;=01_因子設定!$L$5-0.000000001,E4942&lt;=01_因子設定!$M$5+0.000000001,F4942&gt;=01_因子設定!$L$6-0.000000001,F4942&lt;=01_因子設定!$M$6+0.000000001,G4942&gt;=01_因子設定!$L$7-0.000000001,G4942&lt;=01_因子設定!$M$7+0.000000001,H4942&gt;=01_因子設定!$L$8-0.000000001,H4942&lt;=01_因子設定!$M$8+0.000000001,IF(01_因子設定!$B$20="Box-Behnken",E4942^2+F4942^2+G4942^2+H4942^2&lt;=2+0.000000001,TRUE()))</f>
        <v>1</v>
      </c>
      <c r="AD4942" s="55" t="n">
        <f aca="false">IF(AC4942,IF(01_因子設定!$B$13="最大化",AA4942-01_因子設定!$B$14,IF(01_因子設定!$B$13="最小化",01_因子設定!$B$15-AB4942,MIN(AA4942-01_因子設定!$B$14,01_因子設定!$B$15-AB4942))),-1E+030)</f>
        <v>1.16077629353375</v>
      </c>
      <c r="AE4942" s="55" t="n">
        <f aca="false">IF(AC4942,IF(01_因子設定!$B$13="最大化",X4942,IF(01_因子設定!$B$13="最小化",-X4942,-ABS(X4942-01_因子設定!$B$16))),-1E+030)</f>
        <v>49.218466739766</v>
      </c>
      <c r="AF4942" s="55" t="n">
        <f aca="false">AD4942+ROW()*0.000000001</f>
        <v>1.16078123553375</v>
      </c>
      <c r="AG4942" s="55" t="n">
        <f aca="false">AE4942+ROW()*0.000000001</f>
        <v>49.218471681766</v>
      </c>
    </row>
    <row r="4943" customFormat="false" ht="15" hidden="false" customHeight="false" outlineLevel="0" collapsed="false">
      <c r="A4943" s="0" t="n">
        <v>6</v>
      </c>
      <c r="B4943" s="0" t="n">
        <v>6</v>
      </c>
      <c r="C4943" s="0" t="n">
        <v>8</v>
      </c>
      <c r="D4943" s="0" t="n">
        <v>6</v>
      </c>
      <c r="E4943" s="0" t="n">
        <f aca="false">-1+A4943*0.25</f>
        <v>0.5</v>
      </c>
      <c r="F4943" s="0" t="n">
        <f aca="false">-1+B4943*0.25</f>
        <v>0.5</v>
      </c>
      <c r="G4943" s="0" t="n">
        <f aca="false">-1+C4943*0.25</f>
        <v>1</v>
      </c>
      <c r="H4943" s="0" t="n">
        <f aca="false">-1+D4943*0.25</f>
        <v>0.5</v>
      </c>
      <c r="I4943" s="0" t="n">
        <f aca="false">1</f>
        <v>1</v>
      </c>
      <c r="J4943" s="0" t="n">
        <f aca="false">E4943</f>
        <v>0.5</v>
      </c>
      <c r="K4943" s="0" t="n">
        <f aca="false">F4943</f>
        <v>0.5</v>
      </c>
      <c r="L4943" s="0" t="n">
        <f aca="false">G4943</f>
        <v>1</v>
      </c>
      <c r="M4943" s="0" t="n">
        <f aca="false">H4943</f>
        <v>0.5</v>
      </c>
      <c r="N4943" s="0" t="n">
        <f aca="false">E4943*F4943</f>
        <v>0.25</v>
      </c>
      <c r="O4943" s="0" t="n">
        <f aca="false">E4943*G4943</f>
        <v>0.5</v>
      </c>
      <c r="P4943" s="0" t="n">
        <f aca="false">E4943*H4943</f>
        <v>0.25</v>
      </c>
      <c r="Q4943" s="0" t="n">
        <f aca="false">F4943*G4943</f>
        <v>0.5</v>
      </c>
      <c r="R4943" s="0" t="n">
        <f aca="false">F4943*H4943</f>
        <v>0.25</v>
      </c>
      <c r="S4943" s="0" t="n">
        <f aca="false">G4943*H4943</f>
        <v>0.5</v>
      </c>
      <c r="T4943" s="0" t="n">
        <f aca="false">E4943*E4943</f>
        <v>0.25</v>
      </c>
      <c r="U4943" s="0" t="n">
        <f aca="false">F4943*F4943</f>
        <v>0.25</v>
      </c>
      <c r="V4943" s="0" t="n">
        <f aca="false">G4943*G4943</f>
        <v>1</v>
      </c>
      <c r="W4943" s="0" t="n">
        <f aca="false">H4943*H4943</f>
        <v>0.25</v>
      </c>
      <c r="X4943" s="0" t="n">
        <f aca="false">SUMPRODUCT(I4943:W4943,_XtX!$B$96:$P$96)</f>
        <v>49.3090826023392</v>
      </c>
      <c r="Y4943" s="0" t="n">
        <f aca="false">SUMPRODUCT(MMULT(I4943:W4943,_XtX!$B$78:$P$92),I4943:W4943)</f>
        <v>0.404719480994152</v>
      </c>
      <c r="Z4943" s="0" t="n">
        <f aca="false">04_回帰ANOVA!$K$19*04_回帰ANOVA!$K$14*SQRT(1+Y4943)</f>
        <v>1.54487446697867</v>
      </c>
      <c r="AA4943" s="0" t="n">
        <f aca="false">X4943-Z4943</f>
        <v>47.7642081353605</v>
      </c>
      <c r="AB4943" s="0" t="n">
        <f aca="false">X4943+Z4943</f>
        <v>50.8539570693178</v>
      </c>
      <c r="AC4943" s="54" t="b">
        <f aca="false">AND(E4943&gt;=01_因子設定!$L$5-0.000000001,E4943&lt;=01_因子設定!$M$5+0.000000001,F4943&gt;=01_因子設定!$L$6-0.000000001,F4943&lt;=01_因子設定!$M$6+0.000000001,G4943&gt;=01_因子設定!$L$7-0.000000001,G4943&lt;=01_因子設定!$M$7+0.000000001,H4943&gt;=01_因子設定!$L$8-0.000000001,H4943&lt;=01_因子設定!$M$8+0.000000001,IF(01_因子設定!$B$20="Box-Behnken",E4943^2+F4943^2+G4943^2+H4943^2&lt;=2+0.000000001,TRUE()))</f>
        <v>1</v>
      </c>
      <c r="AD4943" s="55" t="n">
        <f aca="false">IF(AC4943,IF(01_因子設定!$B$13="最大化",AA4943-01_因子設定!$B$14,IF(01_因子設定!$B$13="最小化",01_因子設定!$B$15-AB4943,MIN(AA4943-01_因子設定!$B$14,01_因子設定!$B$15-AB4943))),-1E+030)</f>
        <v>1.26420813536048</v>
      </c>
      <c r="AE4943" s="55" t="n">
        <f aca="false">IF(AC4943,IF(01_因子設定!$B$13="最大化",X4943,IF(01_因子設定!$B$13="最小化",-X4943,-ABS(X4943-01_因子設定!$B$16))),-1E+030)</f>
        <v>49.3090826023392</v>
      </c>
      <c r="AF4943" s="55" t="n">
        <f aca="false">AD4943+ROW()*0.000000001</f>
        <v>1.26421307836048</v>
      </c>
      <c r="AG4943" s="55" t="n">
        <f aca="false">AE4943+ROW()*0.000000001</f>
        <v>49.3090875453392</v>
      </c>
    </row>
    <row r="4944" customFormat="false" ht="15" hidden="false" customHeight="false" outlineLevel="0" collapsed="false">
      <c r="A4944" s="0" t="n">
        <v>6</v>
      </c>
      <c r="B4944" s="0" t="n">
        <v>6</v>
      </c>
      <c r="C4944" s="0" t="n">
        <v>8</v>
      </c>
      <c r="D4944" s="0" t="n">
        <v>7</v>
      </c>
      <c r="E4944" s="0" t="n">
        <f aca="false">-1+A4944*0.25</f>
        <v>0.5</v>
      </c>
      <c r="F4944" s="0" t="n">
        <f aca="false">-1+B4944*0.25</f>
        <v>0.5</v>
      </c>
      <c r="G4944" s="0" t="n">
        <f aca="false">-1+C4944*0.25</f>
        <v>1</v>
      </c>
      <c r="H4944" s="0" t="n">
        <f aca="false">-1+D4944*0.25</f>
        <v>0.75</v>
      </c>
      <c r="I4944" s="0" t="n">
        <f aca="false">1</f>
        <v>1</v>
      </c>
      <c r="J4944" s="0" t="n">
        <f aca="false">E4944</f>
        <v>0.5</v>
      </c>
      <c r="K4944" s="0" t="n">
        <f aca="false">F4944</f>
        <v>0.5</v>
      </c>
      <c r="L4944" s="0" t="n">
        <f aca="false">G4944</f>
        <v>1</v>
      </c>
      <c r="M4944" s="0" t="n">
        <f aca="false">H4944</f>
        <v>0.75</v>
      </c>
      <c r="N4944" s="0" t="n">
        <f aca="false">E4944*F4944</f>
        <v>0.25</v>
      </c>
      <c r="O4944" s="0" t="n">
        <f aca="false">E4944*G4944</f>
        <v>0.5</v>
      </c>
      <c r="P4944" s="0" t="n">
        <f aca="false">E4944*H4944</f>
        <v>0.375</v>
      </c>
      <c r="Q4944" s="0" t="n">
        <f aca="false">F4944*G4944</f>
        <v>0.5</v>
      </c>
      <c r="R4944" s="0" t="n">
        <f aca="false">F4944*H4944</f>
        <v>0.375</v>
      </c>
      <c r="S4944" s="0" t="n">
        <f aca="false">G4944*H4944</f>
        <v>0.75</v>
      </c>
      <c r="T4944" s="0" t="n">
        <f aca="false">E4944*E4944</f>
        <v>0.25</v>
      </c>
      <c r="U4944" s="0" t="n">
        <f aca="false">F4944*F4944</f>
        <v>0.25</v>
      </c>
      <c r="V4944" s="0" t="n">
        <f aca="false">G4944*G4944</f>
        <v>1</v>
      </c>
      <c r="W4944" s="0" t="n">
        <f aca="false">H4944*H4944</f>
        <v>0.5625</v>
      </c>
      <c r="X4944" s="0" t="n">
        <f aca="false">SUMPRODUCT(I4944:W4944,_XtX!$B$96:$P$96)</f>
        <v>49.3518914473684</v>
      </c>
      <c r="Y4944" s="0" t="n">
        <f aca="false">SUMPRODUCT(MMULT(I4944:W4944,_XtX!$B$78:$P$92),I4944:W4944)</f>
        <v>0.42602110745614</v>
      </c>
      <c r="Z4944" s="0" t="n">
        <f aca="false">04_回帰ANOVA!$K$19*04_回帰ANOVA!$K$14*SQRT(1+Y4944)</f>
        <v>1.55654388501114</v>
      </c>
      <c r="AA4944" s="0" t="n">
        <f aca="false">X4944-Z4944</f>
        <v>47.7953475623573</v>
      </c>
      <c r="AB4944" s="0" t="n">
        <f aca="false">X4944+Z4944</f>
        <v>50.9084353323795</v>
      </c>
      <c r="AC4944" s="54" t="b">
        <f aca="false">AND(E4944&gt;=01_因子設定!$L$5-0.000000001,E4944&lt;=01_因子設定!$M$5+0.000000001,F4944&gt;=01_因子設定!$L$6-0.000000001,F4944&lt;=01_因子設定!$M$6+0.000000001,G4944&gt;=01_因子設定!$L$7-0.000000001,G4944&lt;=01_因子設定!$M$7+0.000000001,H4944&gt;=01_因子設定!$L$8-0.000000001,H4944&lt;=01_因子設定!$M$8+0.000000001,IF(01_因子設定!$B$20="Box-Behnken",E4944^2+F4944^2+G4944^2+H4944^2&lt;=2+0.000000001,TRUE()))</f>
        <v>1</v>
      </c>
      <c r="AD4944" s="55" t="n">
        <f aca="false">IF(AC4944,IF(01_因子設定!$B$13="最大化",AA4944-01_因子設定!$B$14,IF(01_因子設定!$B$13="最小化",01_因子設定!$B$15-AB4944,MIN(AA4944-01_因子設定!$B$14,01_因子設定!$B$15-AB4944))),-1E+030)</f>
        <v>1.29534756235726</v>
      </c>
      <c r="AE4944" s="55" t="n">
        <f aca="false">IF(AC4944,IF(01_因子設定!$B$13="最大化",X4944,IF(01_因子設定!$B$13="最小化",-X4944,-ABS(X4944-01_因子設定!$B$16))),-1E+030)</f>
        <v>49.3518914473684</v>
      </c>
      <c r="AF4944" s="55" t="n">
        <f aca="false">AD4944+ROW()*0.000000001</f>
        <v>1.29535250635726</v>
      </c>
      <c r="AG4944" s="55" t="n">
        <f aca="false">AE4944+ROW()*0.000000001</f>
        <v>49.3518963913684</v>
      </c>
    </row>
    <row r="4945" customFormat="false" ht="15" hidden="false" customHeight="false" outlineLevel="0" collapsed="false">
      <c r="A4945" s="0" t="n">
        <v>6</v>
      </c>
      <c r="B4945" s="0" t="n">
        <v>6</v>
      </c>
      <c r="C4945" s="0" t="n">
        <v>8</v>
      </c>
      <c r="D4945" s="0" t="n">
        <v>8</v>
      </c>
      <c r="E4945" s="0" t="n">
        <f aca="false">-1+A4945*0.25</f>
        <v>0.5</v>
      </c>
      <c r="F4945" s="0" t="n">
        <f aca="false">-1+B4945*0.25</f>
        <v>0.5</v>
      </c>
      <c r="G4945" s="0" t="n">
        <f aca="false">-1+C4945*0.25</f>
        <v>1</v>
      </c>
      <c r="H4945" s="0" t="n">
        <f aca="false">-1+D4945*0.25</f>
        <v>1</v>
      </c>
      <c r="I4945" s="0" t="n">
        <f aca="false">1</f>
        <v>1</v>
      </c>
      <c r="J4945" s="0" t="n">
        <f aca="false">E4945</f>
        <v>0.5</v>
      </c>
      <c r="K4945" s="0" t="n">
        <f aca="false">F4945</f>
        <v>0.5</v>
      </c>
      <c r="L4945" s="0" t="n">
        <f aca="false">G4945</f>
        <v>1</v>
      </c>
      <c r="M4945" s="0" t="n">
        <f aca="false">H4945</f>
        <v>1</v>
      </c>
      <c r="N4945" s="0" t="n">
        <f aca="false">E4945*F4945</f>
        <v>0.25</v>
      </c>
      <c r="O4945" s="0" t="n">
        <f aca="false">E4945*G4945</f>
        <v>0.5</v>
      </c>
      <c r="P4945" s="0" t="n">
        <f aca="false">E4945*H4945</f>
        <v>0.5</v>
      </c>
      <c r="Q4945" s="0" t="n">
        <f aca="false">F4945*G4945</f>
        <v>0.5</v>
      </c>
      <c r="R4945" s="0" t="n">
        <f aca="false">F4945*H4945</f>
        <v>0.5</v>
      </c>
      <c r="S4945" s="0" t="n">
        <f aca="false">G4945*H4945</f>
        <v>1</v>
      </c>
      <c r="T4945" s="0" t="n">
        <f aca="false">E4945*E4945</f>
        <v>0.25</v>
      </c>
      <c r="U4945" s="0" t="n">
        <f aca="false">F4945*F4945</f>
        <v>0.25</v>
      </c>
      <c r="V4945" s="0" t="n">
        <f aca="false">G4945*G4945</f>
        <v>1</v>
      </c>
      <c r="W4945" s="0" t="n">
        <f aca="false">H4945*H4945</f>
        <v>1</v>
      </c>
      <c r="X4945" s="0" t="n">
        <f aca="false">SUMPRODUCT(I4945:W4945,_XtX!$B$96:$P$96)</f>
        <v>49.3468932748538</v>
      </c>
      <c r="Y4945" s="0" t="n">
        <f aca="false">SUMPRODUCT(MMULT(I4945:W4945,_XtX!$B$78:$P$92),I4945:W4945)</f>
        <v>0.582488121345029</v>
      </c>
      <c r="Z4945" s="0" t="n">
        <f aca="false">04_回帰ANOVA!$K$19*04_回帰ANOVA!$K$14*SQRT(1+Y4945)</f>
        <v>1.63971595338287</v>
      </c>
      <c r="AA4945" s="0" t="n">
        <f aca="false">X4945-Z4945</f>
        <v>47.7071773214709</v>
      </c>
      <c r="AB4945" s="0" t="n">
        <f aca="false">X4945+Z4945</f>
        <v>50.9866092282367</v>
      </c>
      <c r="AC4945" s="54" t="b">
        <f aca="false">AND(E4945&gt;=01_因子設定!$L$5-0.000000001,E4945&lt;=01_因子設定!$M$5+0.000000001,F4945&gt;=01_因子設定!$L$6-0.000000001,F4945&lt;=01_因子設定!$M$6+0.000000001,G4945&gt;=01_因子設定!$L$7-0.000000001,G4945&lt;=01_因子設定!$M$7+0.000000001,H4945&gt;=01_因子設定!$L$8-0.000000001,H4945&lt;=01_因子設定!$M$8+0.000000001,IF(01_因子設定!$B$20="Box-Behnken",E4945^2+F4945^2+G4945^2+H4945^2&lt;=2+0.000000001,TRUE()))</f>
        <v>1</v>
      </c>
      <c r="AD4945" s="55" t="n">
        <f aca="false">IF(AC4945,IF(01_因子設定!$B$13="最大化",AA4945-01_因子設定!$B$14,IF(01_因子設定!$B$13="最小化",01_因子設定!$B$15-AB4945,MIN(AA4945-01_因子設定!$B$14,01_因子設定!$B$15-AB4945))),-1E+030)</f>
        <v>1.20717732147093</v>
      </c>
      <c r="AE4945" s="55" t="n">
        <f aca="false">IF(AC4945,IF(01_因子設定!$B$13="最大化",X4945,IF(01_因子設定!$B$13="最小化",-X4945,-ABS(X4945-01_因子設定!$B$16))),-1E+030)</f>
        <v>49.3468932748538</v>
      </c>
      <c r="AF4945" s="55" t="n">
        <f aca="false">AD4945+ROW()*0.000000001</f>
        <v>1.20718226647093</v>
      </c>
      <c r="AG4945" s="55" t="n">
        <f aca="false">AE4945+ROW()*0.000000001</f>
        <v>49.3468982198538</v>
      </c>
    </row>
    <row r="4946" customFormat="false" ht="15" hidden="false" customHeight="false" outlineLevel="0" collapsed="false">
      <c r="A4946" s="0" t="n">
        <v>6</v>
      </c>
      <c r="B4946" s="0" t="n">
        <v>7</v>
      </c>
      <c r="C4946" s="0" t="n">
        <v>0</v>
      </c>
      <c r="D4946" s="0" t="n">
        <v>0</v>
      </c>
      <c r="E4946" s="0" t="n">
        <f aca="false">-1+A4946*0.25</f>
        <v>0.5</v>
      </c>
      <c r="F4946" s="0" t="n">
        <f aca="false">-1+B4946*0.25</f>
        <v>0.75</v>
      </c>
      <c r="G4946" s="0" t="n">
        <f aca="false">-1+C4946*0.25</f>
        <v>-1</v>
      </c>
      <c r="H4946" s="0" t="n">
        <f aca="false">-1+D4946*0.25</f>
        <v>-1</v>
      </c>
      <c r="I4946" s="0" t="n">
        <f aca="false">1</f>
        <v>1</v>
      </c>
      <c r="J4946" s="0" t="n">
        <f aca="false">E4946</f>
        <v>0.5</v>
      </c>
      <c r="K4946" s="0" t="n">
        <f aca="false">F4946</f>
        <v>0.75</v>
      </c>
      <c r="L4946" s="0" t="n">
        <f aca="false">G4946</f>
        <v>-1</v>
      </c>
      <c r="M4946" s="0" t="n">
        <f aca="false">H4946</f>
        <v>-1</v>
      </c>
      <c r="N4946" s="0" t="n">
        <f aca="false">E4946*F4946</f>
        <v>0.375</v>
      </c>
      <c r="O4946" s="0" t="n">
        <f aca="false">E4946*G4946</f>
        <v>-0.5</v>
      </c>
      <c r="P4946" s="0" t="n">
        <f aca="false">E4946*H4946</f>
        <v>-0.5</v>
      </c>
      <c r="Q4946" s="0" t="n">
        <f aca="false">F4946*G4946</f>
        <v>-0.75</v>
      </c>
      <c r="R4946" s="0" t="n">
        <f aca="false">F4946*H4946</f>
        <v>-0.75</v>
      </c>
      <c r="S4946" s="0" t="n">
        <f aca="false">G4946*H4946</f>
        <v>1</v>
      </c>
      <c r="T4946" s="0" t="n">
        <f aca="false">E4946*E4946</f>
        <v>0.25</v>
      </c>
      <c r="U4946" s="0" t="n">
        <f aca="false">F4946*F4946</f>
        <v>0.5625</v>
      </c>
      <c r="V4946" s="0" t="n">
        <f aca="false">G4946*G4946</f>
        <v>1</v>
      </c>
      <c r="W4946" s="0" t="n">
        <f aca="false">H4946*H4946</f>
        <v>1</v>
      </c>
      <c r="X4946" s="0" t="n">
        <f aca="false">SUMPRODUCT(I4946:W4946,_XtX!$B$96:$P$96)</f>
        <v>46.8263340643275</v>
      </c>
      <c r="Y4946" s="0" t="n">
        <f aca="false">SUMPRODUCT(MMULT(I4946:W4946,_XtX!$B$78:$P$92),I4946:W4946)</f>
        <v>0.564984237938597</v>
      </c>
      <c r="Z4946" s="0" t="n">
        <f aca="false">04_回帰ANOVA!$K$19*04_回帰ANOVA!$K$14*SQRT(1+Y4946)</f>
        <v>1.63062229734503</v>
      </c>
      <c r="AA4946" s="0" t="n">
        <f aca="false">X4946-Z4946</f>
        <v>45.1957117669825</v>
      </c>
      <c r="AB4946" s="0" t="n">
        <f aca="false">X4946+Z4946</f>
        <v>48.4569563616725</v>
      </c>
      <c r="AC4946" s="54" t="b">
        <f aca="false">AND(E4946&gt;=01_因子設定!$L$5-0.000000001,E4946&lt;=01_因子設定!$M$5+0.000000001,F4946&gt;=01_因子設定!$L$6-0.000000001,F4946&lt;=01_因子設定!$M$6+0.000000001,G4946&gt;=01_因子設定!$L$7-0.000000001,G4946&lt;=01_因子設定!$M$7+0.000000001,H4946&gt;=01_因子設定!$L$8-0.000000001,H4946&lt;=01_因子設定!$M$8+0.000000001,IF(01_因子設定!$B$20="Box-Behnken",E4946^2+F4946^2+G4946^2+H4946^2&lt;=2+0.000000001,TRUE()))</f>
        <v>1</v>
      </c>
      <c r="AD4946" s="55" t="n">
        <f aca="false">IF(AC4946,IF(01_因子設定!$B$13="最大化",AA4946-01_因子設定!$B$14,IF(01_因子設定!$B$13="最小化",01_因子設定!$B$15-AB4946,MIN(AA4946-01_因子設定!$B$14,01_因子設定!$B$15-AB4946))),-1E+030)</f>
        <v>-1.30428823301755</v>
      </c>
      <c r="AE4946" s="55" t="n">
        <f aca="false">IF(AC4946,IF(01_因子設定!$B$13="最大化",X4946,IF(01_因子設定!$B$13="最小化",-X4946,-ABS(X4946-01_因子設定!$B$16))),-1E+030)</f>
        <v>46.8263340643275</v>
      </c>
      <c r="AF4946" s="55" t="n">
        <f aca="false">AD4946+ROW()*0.000000001</f>
        <v>-1.30428328701755</v>
      </c>
      <c r="AG4946" s="55" t="n">
        <f aca="false">AE4946+ROW()*0.000000001</f>
        <v>46.8263390103275</v>
      </c>
    </row>
    <row r="4947" customFormat="false" ht="15" hidden="false" customHeight="false" outlineLevel="0" collapsed="false">
      <c r="A4947" s="0" t="n">
        <v>6</v>
      </c>
      <c r="B4947" s="0" t="n">
        <v>7</v>
      </c>
      <c r="C4947" s="0" t="n">
        <v>0</v>
      </c>
      <c r="D4947" s="0" t="n">
        <v>1</v>
      </c>
      <c r="E4947" s="0" t="n">
        <f aca="false">-1+A4947*0.25</f>
        <v>0.5</v>
      </c>
      <c r="F4947" s="0" t="n">
        <f aca="false">-1+B4947*0.25</f>
        <v>0.75</v>
      </c>
      <c r="G4947" s="0" t="n">
        <f aca="false">-1+C4947*0.25</f>
        <v>-1</v>
      </c>
      <c r="H4947" s="0" t="n">
        <f aca="false">-1+D4947*0.25</f>
        <v>-0.75</v>
      </c>
      <c r="I4947" s="0" t="n">
        <f aca="false">1</f>
        <v>1</v>
      </c>
      <c r="J4947" s="0" t="n">
        <f aca="false">E4947</f>
        <v>0.5</v>
      </c>
      <c r="K4947" s="0" t="n">
        <f aca="false">F4947</f>
        <v>0.75</v>
      </c>
      <c r="L4947" s="0" t="n">
        <f aca="false">G4947</f>
        <v>-1</v>
      </c>
      <c r="M4947" s="0" t="n">
        <f aca="false">H4947</f>
        <v>-0.75</v>
      </c>
      <c r="N4947" s="0" t="n">
        <f aca="false">E4947*F4947</f>
        <v>0.375</v>
      </c>
      <c r="O4947" s="0" t="n">
        <f aca="false">E4947*G4947</f>
        <v>-0.5</v>
      </c>
      <c r="P4947" s="0" t="n">
        <f aca="false">E4947*H4947</f>
        <v>-0.375</v>
      </c>
      <c r="Q4947" s="0" t="n">
        <f aca="false">F4947*G4947</f>
        <v>-0.75</v>
      </c>
      <c r="R4947" s="0" t="n">
        <f aca="false">F4947*H4947</f>
        <v>-0.5625</v>
      </c>
      <c r="S4947" s="0" t="n">
        <f aca="false">G4947*H4947</f>
        <v>0.75</v>
      </c>
      <c r="T4947" s="0" t="n">
        <f aca="false">E4947*E4947</f>
        <v>0.25</v>
      </c>
      <c r="U4947" s="0" t="n">
        <f aca="false">F4947*F4947</f>
        <v>0.5625</v>
      </c>
      <c r="V4947" s="0" t="n">
        <f aca="false">G4947*G4947</f>
        <v>1</v>
      </c>
      <c r="W4947" s="0" t="n">
        <f aca="false">H4947*H4947</f>
        <v>0.5625</v>
      </c>
      <c r="X4947" s="0" t="n">
        <f aca="false">SUMPRODUCT(I4947:W4947,_XtX!$B$96:$P$96)</f>
        <v>46.9989537646199</v>
      </c>
      <c r="Y4947" s="0" t="n">
        <f aca="false">SUMPRODUCT(MMULT(I4947:W4947,_XtX!$B$78:$P$92),I4947:W4947)</f>
        <v>0.431153771472953</v>
      </c>
      <c r="Z4947" s="0" t="n">
        <f aca="false">04_回帰ANOVA!$K$19*04_回帰ANOVA!$K$14*SQRT(1+Y4947)</f>
        <v>1.55934259562563</v>
      </c>
      <c r="AA4947" s="0" t="n">
        <f aca="false">X4947-Z4947</f>
        <v>45.4396111689942</v>
      </c>
      <c r="AB4947" s="0" t="n">
        <f aca="false">X4947+Z4947</f>
        <v>48.5582963602455</v>
      </c>
      <c r="AC4947" s="54" t="b">
        <f aca="false">AND(E4947&gt;=01_因子設定!$L$5-0.000000001,E4947&lt;=01_因子設定!$M$5+0.000000001,F4947&gt;=01_因子設定!$L$6-0.000000001,F4947&lt;=01_因子設定!$M$6+0.000000001,G4947&gt;=01_因子設定!$L$7-0.000000001,G4947&lt;=01_因子設定!$M$7+0.000000001,H4947&gt;=01_因子設定!$L$8-0.000000001,H4947&lt;=01_因子設定!$M$8+0.000000001,IF(01_因子設定!$B$20="Box-Behnken",E4947^2+F4947^2+G4947^2+H4947^2&lt;=2+0.000000001,TRUE()))</f>
        <v>1</v>
      </c>
      <c r="AD4947" s="55" t="n">
        <f aca="false">IF(AC4947,IF(01_因子設定!$B$13="最大化",AA4947-01_因子設定!$B$14,IF(01_因子設定!$B$13="最小化",01_因子設定!$B$15-AB4947,MIN(AA4947-01_因子設定!$B$14,01_因子設定!$B$15-AB4947))),-1E+030)</f>
        <v>-1.06038883100577</v>
      </c>
      <c r="AE4947" s="55" t="n">
        <f aca="false">IF(AC4947,IF(01_因子設定!$B$13="最大化",X4947,IF(01_因子設定!$B$13="最小化",-X4947,-ABS(X4947-01_因子設定!$B$16))),-1E+030)</f>
        <v>46.9989537646199</v>
      </c>
      <c r="AF4947" s="55" t="n">
        <f aca="false">AD4947+ROW()*0.000000001</f>
        <v>-1.06038388400577</v>
      </c>
      <c r="AG4947" s="55" t="n">
        <f aca="false">AE4947+ROW()*0.000000001</f>
        <v>46.9989587116199</v>
      </c>
    </row>
    <row r="4948" customFormat="false" ht="15" hidden="false" customHeight="false" outlineLevel="0" collapsed="false">
      <c r="A4948" s="0" t="n">
        <v>6</v>
      </c>
      <c r="B4948" s="0" t="n">
        <v>7</v>
      </c>
      <c r="C4948" s="0" t="n">
        <v>0</v>
      </c>
      <c r="D4948" s="0" t="n">
        <v>2</v>
      </c>
      <c r="E4948" s="0" t="n">
        <f aca="false">-1+A4948*0.25</f>
        <v>0.5</v>
      </c>
      <c r="F4948" s="0" t="n">
        <f aca="false">-1+B4948*0.25</f>
        <v>0.75</v>
      </c>
      <c r="G4948" s="0" t="n">
        <f aca="false">-1+C4948*0.25</f>
        <v>-1</v>
      </c>
      <c r="H4948" s="0" t="n">
        <f aca="false">-1+D4948*0.25</f>
        <v>-0.5</v>
      </c>
      <c r="I4948" s="0" t="n">
        <f aca="false">1</f>
        <v>1</v>
      </c>
      <c r="J4948" s="0" t="n">
        <f aca="false">E4948</f>
        <v>0.5</v>
      </c>
      <c r="K4948" s="0" t="n">
        <f aca="false">F4948</f>
        <v>0.75</v>
      </c>
      <c r="L4948" s="0" t="n">
        <f aca="false">G4948</f>
        <v>-1</v>
      </c>
      <c r="M4948" s="0" t="n">
        <f aca="false">H4948</f>
        <v>-0.5</v>
      </c>
      <c r="N4948" s="0" t="n">
        <f aca="false">E4948*F4948</f>
        <v>0.375</v>
      </c>
      <c r="O4948" s="0" t="n">
        <f aca="false">E4948*G4948</f>
        <v>-0.5</v>
      </c>
      <c r="P4948" s="0" t="n">
        <f aca="false">E4948*H4948</f>
        <v>-0.25</v>
      </c>
      <c r="Q4948" s="0" t="n">
        <f aca="false">F4948*G4948</f>
        <v>-0.75</v>
      </c>
      <c r="R4948" s="0" t="n">
        <f aca="false">F4948*H4948</f>
        <v>-0.375</v>
      </c>
      <c r="S4948" s="0" t="n">
        <f aca="false">G4948*H4948</f>
        <v>0.5</v>
      </c>
      <c r="T4948" s="0" t="n">
        <f aca="false">E4948*E4948</f>
        <v>0.25</v>
      </c>
      <c r="U4948" s="0" t="n">
        <f aca="false">F4948*F4948</f>
        <v>0.5625</v>
      </c>
      <c r="V4948" s="0" t="n">
        <f aca="false">G4948*G4948</f>
        <v>1</v>
      </c>
      <c r="W4948" s="0" t="n">
        <f aca="false">H4948*H4948</f>
        <v>0.25</v>
      </c>
      <c r="X4948" s="0" t="n">
        <f aca="false">SUMPRODUCT(I4948:W4948,_XtX!$B$96:$P$96)</f>
        <v>47.1237664473684</v>
      </c>
      <c r="Y4948" s="0" t="n">
        <f aca="false">SUMPRODUCT(MMULT(I4948:W4948,_XtX!$B$78:$P$92),I4948:W4948)</f>
        <v>0.42602110745614</v>
      </c>
      <c r="Z4948" s="0" t="n">
        <f aca="false">04_回帰ANOVA!$K$19*04_回帰ANOVA!$K$14*SQRT(1+Y4948)</f>
        <v>1.55654388501114</v>
      </c>
      <c r="AA4948" s="0" t="n">
        <f aca="false">X4948-Z4948</f>
        <v>45.5672225623573</v>
      </c>
      <c r="AB4948" s="0" t="n">
        <f aca="false">X4948+Z4948</f>
        <v>48.6803103323795</v>
      </c>
      <c r="AC4948" s="54" t="b">
        <f aca="false">AND(E4948&gt;=01_因子設定!$L$5-0.000000001,E4948&lt;=01_因子設定!$M$5+0.000000001,F4948&gt;=01_因子設定!$L$6-0.000000001,F4948&lt;=01_因子設定!$M$6+0.000000001,G4948&gt;=01_因子設定!$L$7-0.000000001,G4948&lt;=01_因子設定!$M$7+0.000000001,H4948&gt;=01_因子設定!$L$8-0.000000001,H4948&lt;=01_因子設定!$M$8+0.000000001,IF(01_因子設定!$B$20="Box-Behnken",E4948^2+F4948^2+G4948^2+H4948^2&lt;=2+0.000000001,TRUE()))</f>
        <v>1</v>
      </c>
      <c r="AD4948" s="55" t="n">
        <f aca="false">IF(AC4948,IF(01_因子設定!$B$13="最大化",AA4948-01_因子設定!$B$14,IF(01_因子設定!$B$13="最小化",01_因子設定!$B$15-AB4948,MIN(AA4948-01_因子設定!$B$14,01_因子設定!$B$15-AB4948))),-1E+030)</f>
        <v>-0.932777437642749</v>
      </c>
      <c r="AE4948" s="55" t="n">
        <f aca="false">IF(AC4948,IF(01_因子設定!$B$13="最大化",X4948,IF(01_因子設定!$B$13="最小化",-X4948,-ABS(X4948-01_因子設定!$B$16))),-1E+030)</f>
        <v>47.1237664473684</v>
      </c>
      <c r="AF4948" s="55" t="n">
        <f aca="false">AD4948+ROW()*0.000000001</f>
        <v>-0.932772489642749</v>
      </c>
      <c r="AG4948" s="55" t="n">
        <f aca="false">AE4948+ROW()*0.000000001</f>
        <v>47.1237713953684</v>
      </c>
    </row>
    <row r="4949" customFormat="false" ht="15" hidden="false" customHeight="false" outlineLevel="0" collapsed="false">
      <c r="A4949" s="0" t="n">
        <v>6</v>
      </c>
      <c r="B4949" s="0" t="n">
        <v>7</v>
      </c>
      <c r="C4949" s="0" t="n">
        <v>0</v>
      </c>
      <c r="D4949" s="0" t="n">
        <v>3</v>
      </c>
      <c r="E4949" s="0" t="n">
        <f aca="false">-1+A4949*0.25</f>
        <v>0.5</v>
      </c>
      <c r="F4949" s="0" t="n">
        <f aca="false">-1+B4949*0.25</f>
        <v>0.75</v>
      </c>
      <c r="G4949" s="0" t="n">
        <f aca="false">-1+C4949*0.25</f>
        <v>-1</v>
      </c>
      <c r="H4949" s="0" t="n">
        <f aca="false">-1+D4949*0.25</f>
        <v>-0.25</v>
      </c>
      <c r="I4949" s="0" t="n">
        <f aca="false">1</f>
        <v>1</v>
      </c>
      <c r="J4949" s="0" t="n">
        <f aca="false">E4949</f>
        <v>0.5</v>
      </c>
      <c r="K4949" s="0" t="n">
        <f aca="false">F4949</f>
        <v>0.75</v>
      </c>
      <c r="L4949" s="0" t="n">
        <f aca="false">G4949</f>
        <v>-1</v>
      </c>
      <c r="M4949" s="0" t="n">
        <f aca="false">H4949</f>
        <v>-0.25</v>
      </c>
      <c r="N4949" s="0" t="n">
        <f aca="false">E4949*F4949</f>
        <v>0.375</v>
      </c>
      <c r="O4949" s="0" t="n">
        <f aca="false">E4949*G4949</f>
        <v>-0.5</v>
      </c>
      <c r="P4949" s="0" t="n">
        <f aca="false">E4949*H4949</f>
        <v>-0.125</v>
      </c>
      <c r="Q4949" s="0" t="n">
        <f aca="false">F4949*G4949</f>
        <v>-0.75</v>
      </c>
      <c r="R4949" s="0" t="n">
        <f aca="false">F4949*H4949</f>
        <v>-0.1875</v>
      </c>
      <c r="S4949" s="0" t="n">
        <f aca="false">G4949*H4949</f>
        <v>0.25</v>
      </c>
      <c r="T4949" s="0" t="n">
        <f aca="false">E4949*E4949</f>
        <v>0.25</v>
      </c>
      <c r="U4949" s="0" t="n">
        <f aca="false">F4949*F4949</f>
        <v>0.5625</v>
      </c>
      <c r="V4949" s="0" t="n">
        <f aca="false">G4949*G4949</f>
        <v>1</v>
      </c>
      <c r="W4949" s="0" t="n">
        <f aca="false">H4949*H4949</f>
        <v>0.0625</v>
      </c>
      <c r="X4949" s="0" t="n">
        <f aca="false">SUMPRODUCT(I4949:W4949,_XtX!$B$96:$P$96)</f>
        <v>47.2007721125731</v>
      </c>
      <c r="Y4949" s="0" t="n">
        <f aca="false">SUMPRODUCT(MMULT(I4949:W4949,_XtX!$B$78:$P$92),I4949:W4949)</f>
        <v>0.459125719572369</v>
      </c>
      <c r="Z4949" s="0" t="n">
        <f aca="false">04_回帰ANOVA!$K$19*04_回帰ANOVA!$K$14*SQRT(1+Y4949)</f>
        <v>1.57450755575573</v>
      </c>
      <c r="AA4949" s="0" t="n">
        <f aca="false">X4949-Z4949</f>
        <v>45.6262645568173</v>
      </c>
      <c r="AB4949" s="0" t="n">
        <f aca="false">X4949+Z4949</f>
        <v>48.7752796683288</v>
      </c>
      <c r="AC4949" s="54" t="b">
        <f aca="false">AND(E4949&gt;=01_因子設定!$L$5-0.000000001,E4949&lt;=01_因子設定!$M$5+0.000000001,F4949&gt;=01_因子設定!$L$6-0.000000001,F4949&lt;=01_因子設定!$M$6+0.000000001,G4949&gt;=01_因子設定!$L$7-0.000000001,G4949&lt;=01_因子設定!$M$7+0.000000001,H4949&gt;=01_因子設定!$L$8-0.000000001,H4949&lt;=01_因子設定!$M$8+0.000000001,IF(01_因子設定!$B$20="Box-Behnken",E4949^2+F4949^2+G4949^2+H4949^2&lt;=2+0.000000001,TRUE()))</f>
        <v>1</v>
      </c>
      <c r="AD4949" s="55" t="n">
        <f aca="false">IF(AC4949,IF(01_因子設定!$B$13="最大化",AA4949-01_因子設定!$B$14,IF(01_因子設定!$B$13="最小化",01_因子設定!$B$15-AB4949,MIN(AA4949-01_因子設定!$B$14,01_因子設定!$B$15-AB4949))),-1E+030)</f>
        <v>-0.873735443182667</v>
      </c>
      <c r="AE4949" s="55" t="n">
        <f aca="false">IF(AC4949,IF(01_因子設定!$B$13="最大化",X4949,IF(01_因子設定!$B$13="最小化",-X4949,-ABS(X4949-01_因子設定!$B$16))),-1E+030)</f>
        <v>47.2007721125731</v>
      </c>
      <c r="AF4949" s="55" t="n">
        <f aca="false">AD4949+ROW()*0.000000001</f>
        <v>-0.873730494182667</v>
      </c>
      <c r="AG4949" s="55" t="n">
        <f aca="false">AE4949+ROW()*0.000000001</f>
        <v>47.2007770615731</v>
      </c>
    </row>
    <row r="4950" customFormat="false" ht="15" hidden="false" customHeight="false" outlineLevel="0" collapsed="false">
      <c r="A4950" s="0" t="n">
        <v>6</v>
      </c>
      <c r="B4950" s="0" t="n">
        <v>7</v>
      </c>
      <c r="C4950" s="0" t="n">
        <v>0</v>
      </c>
      <c r="D4950" s="0" t="n">
        <v>4</v>
      </c>
      <c r="E4950" s="0" t="n">
        <f aca="false">-1+A4950*0.25</f>
        <v>0.5</v>
      </c>
      <c r="F4950" s="0" t="n">
        <f aca="false">-1+B4950*0.25</f>
        <v>0.75</v>
      </c>
      <c r="G4950" s="0" t="n">
        <f aca="false">-1+C4950*0.25</f>
        <v>-1</v>
      </c>
      <c r="H4950" s="0" t="n">
        <f aca="false">-1+D4950*0.25</f>
        <v>0</v>
      </c>
      <c r="I4950" s="0" t="n">
        <f aca="false">1</f>
        <v>1</v>
      </c>
      <c r="J4950" s="0" t="n">
        <f aca="false">E4950</f>
        <v>0.5</v>
      </c>
      <c r="K4950" s="0" t="n">
        <f aca="false">F4950</f>
        <v>0.75</v>
      </c>
      <c r="L4950" s="0" t="n">
        <f aca="false">G4950</f>
        <v>-1</v>
      </c>
      <c r="M4950" s="0" t="n">
        <f aca="false">H4950</f>
        <v>0</v>
      </c>
      <c r="N4950" s="0" t="n">
        <f aca="false">E4950*F4950</f>
        <v>0.375</v>
      </c>
      <c r="O4950" s="0" t="n">
        <f aca="false">E4950*G4950</f>
        <v>-0.5</v>
      </c>
      <c r="P4950" s="0" t="n">
        <f aca="false">E4950*H4950</f>
        <v>0</v>
      </c>
      <c r="Q4950" s="0" t="n">
        <f aca="false">F4950*G4950</f>
        <v>-0.75</v>
      </c>
      <c r="R4950" s="0" t="n">
        <f aca="false">F4950*H4950</f>
        <v>0</v>
      </c>
      <c r="S4950" s="0" t="n">
        <f aca="false">G4950*H4950</f>
        <v>-0</v>
      </c>
      <c r="T4950" s="0" t="n">
        <f aca="false">E4950*E4950</f>
        <v>0.25</v>
      </c>
      <c r="U4950" s="0" t="n">
        <f aca="false">F4950*F4950</f>
        <v>0.5625</v>
      </c>
      <c r="V4950" s="0" t="n">
        <f aca="false">G4950*G4950</f>
        <v>1</v>
      </c>
      <c r="W4950" s="0" t="n">
        <f aca="false">H4950*H4950</f>
        <v>0</v>
      </c>
      <c r="X4950" s="0" t="n">
        <f aca="false">SUMPRODUCT(I4950:W4950,_XtX!$B$96:$P$96)</f>
        <v>47.2299707602339</v>
      </c>
      <c r="Y4950" s="0" t="n">
        <f aca="false">SUMPRODUCT(MMULT(I4950:W4950,_XtX!$B$78:$P$92),I4950:W4950)</f>
        <v>0.476191292032164</v>
      </c>
      <c r="Z4950" s="0" t="n">
        <f aca="false">04_回帰ANOVA!$K$19*04_回帰ANOVA!$K$14*SQRT(1+Y4950)</f>
        <v>1.58368831471718</v>
      </c>
      <c r="AA4950" s="0" t="n">
        <f aca="false">X4950-Z4950</f>
        <v>45.6462824455167</v>
      </c>
      <c r="AB4950" s="0" t="n">
        <f aca="false">X4950+Z4950</f>
        <v>48.8136590749511</v>
      </c>
      <c r="AC4950" s="54" t="b">
        <f aca="false">AND(E4950&gt;=01_因子設定!$L$5-0.000000001,E4950&lt;=01_因子設定!$M$5+0.000000001,F4950&gt;=01_因子設定!$L$6-0.000000001,F4950&lt;=01_因子設定!$M$6+0.000000001,G4950&gt;=01_因子設定!$L$7-0.000000001,G4950&lt;=01_因子設定!$M$7+0.000000001,H4950&gt;=01_因子設定!$L$8-0.000000001,H4950&lt;=01_因子設定!$M$8+0.000000001,IF(01_因子設定!$B$20="Box-Behnken",E4950^2+F4950^2+G4950^2+H4950^2&lt;=2+0.000000001,TRUE()))</f>
        <v>1</v>
      </c>
      <c r="AD4950" s="55" t="n">
        <f aca="false">IF(AC4950,IF(01_因子設定!$B$13="最大化",AA4950-01_因子設定!$B$14,IF(01_因子設定!$B$13="最小化",01_因子設定!$B$15-AB4950,MIN(AA4950-01_因子設定!$B$14,01_因子設定!$B$15-AB4950))),-1E+030)</f>
        <v>-0.853717554483303</v>
      </c>
      <c r="AE4950" s="55" t="n">
        <f aca="false">IF(AC4950,IF(01_因子設定!$B$13="最大化",X4950,IF(01_因子設定!$B$13="最小化",-X4950,-ABS(X4950-01_因子設定!$B$16))),-1E+030)</f>
        <v>47.2299707602339</v>
      </c>
      <c r="AF4950" s="55" t="n">
        <f aca="false">AD4950+ROW()*0.000000001</f>
        <v>-0.853712604483303</v>
      </c>
      <c r="AG4950" s="55" t="n">
        <f aca="false">AE4950+ROW()*0.000000001</f>
        <v>47.2299757102339</v>
      </c>
    </row>
    <row r="4951" customFormat="false" ht="15" hidden="false" customHeight="false" outlineLevel="0" collapsed="false">
      <c r="A4951" s="0" t="n">
        <v>6</v>
      </c>
      <c r="B4951" s="0" t="n">
        <v>7</v>
      </c>
      <c r="C4951" s="0" t="n">
        <v>0</v>
      </c>
      <c r="D4951" s="0" t="n">
        <v>5</v>
      </c>
      <c r="E4951" s="0" t="n">
        <f aca="false">-1+A4951*0.25</f>
        <v>0.5</v>
      </c>
      <c r="F4951" s="0" t="n">
        <f aca="false">-1+B4951*0.25</f>
        <v>0.75</v>
      </c>
      <c r="G4951" s="0" t="n">
        <f aca="false">-1+C4951*0.25</f>
        <v>-1</v>
      </c>
      <c r="H4951" s="0" t="n">
        <f aca="false">-1+D4951*0.25</f>
        <v>0.25</v>
      </c>
      <c r="I4951" s="0" t="n">
        <f aca="false">1</f>
        <v>1</v>
      </c>
      <c r="J4951" s="0" t="n">
        <f aca="false">E4951</f>
        <v>0.5</v>
      </c>
      <c r="K4951" s="0" t="n">
        <f aca="false">F4951</f>
        <v>0.75</v>
      </c>
      <c r="L4951" s="0" t="n">
        <f aca="false">G4951</f>
        <v>-1</v>
      </c>
      <c r="M4951" s="0" t="n">
        <f aca="false">H4951</f>
        <v>0.25</v>
      </c>
      <c r="N4951" s="0" t="n">
        <f aca="false">E4951*F4951</f>
        <v>0.375</v>
      </c>
      <c r="O4951" s="0" t="n">
        <f aca="false">E4951*G4951</f>
        <v>-0.5</v>
      </c>
      <c r="P4951" s="0" t="n">
        <f aca="false">E4951*H4951</f>
        <v>0.125</v>
      </c>
      <c r="Q4951" s="0" t="n">
        <f aca="false">F4951*G4951</f>
        <v>-0.75</v>
      </c>
      <c r="R4951" s="0" t="n">
        <f aca="false">F4951*H4951</f>
        <v>0.1875</v>
      </c>
      <c r="S4951" s="0" t="n">
        <f aca="false">G4951*H4951</f>
        <v>-0.25</v>
      </c>
      <c r="T4951" s="0" t="n">
        <f aca="false">E4951*E4951</f>
        <v>0.25</v>
      </c>
      <c r="U4951" s="0" t="n">
        <f aca="false">F4951*F4951</f>
        <v>0.5625</v>
      </c>
      <c r="V4951" s="0" t="n">
        <f aca="false">G4951*G4951</f>
        <v>1</v>
      </c>
      <c r="W4951" s="0" t="n">
        <f aca="false">H4951*H4951</f>
        <v>0.0625</v>
      </c>
      <c r="X4951" s="0" t="n">
        <f aca="false">SUMPRODUCT(I4951:W4951,_XtX!$B$96:$P$96)</f>
        <v>47.2113623903508</v>
      </c>
      <c r="Y4951" s="0" t="n">
        <f aca="false">SUMPRODUCT(MMULT(I4951:W4951,_XtX!$B$78:$P$92),I4951:W4951)</f>
        <v>0.459125719572369</v>
      </c>
      <c r="Z4951" s="0" t="n">
        <f aca="false">04_回帰ANOVA!$K$19*04_回帰ANOVA!$K$14*SQRT(1+Y4951)</f>
        <v>1.57450755575573</v>
      </c>
      <c r="AA4951" s="0" t="n">
        <f aca="false">X4951-Z4951</f>
        <v>45.6368548345951</v>
      </c>
      <c r="AB4951" s="0" t="n">
        <f aca="false">X4951+Z4951</f>
        <v>48.7858699461066</v>
      </c>
      <c r="AC4951" s="54" t="b">
        <f aca="false">AND(E4951&gt;=01_因子設定!$L$5-0.000000001,E4951&lt;=01_因子設定!$M$5+0.000000001,F4951&gt;=01_因子設定!$L$6-0.000000001,F4951&lt;=01_因子設定!$M$6+0.000000001,G4951&gt;=01_因子設定!$L$7-0.000000001,G4951&lt;=01_因子設定!$M$7+0.000000001,H4951&gt;=01_因子設定!$L$8-0.000000001,H4951&lt;=01_因子設定!$M$8+0.000000001,IF(01_因子設定!$B$20="Box-Behnken",E4951^2+F4951^2+G4951^2+H4951^2&lt;=2+0.000000001,TRUE()))</f>
        <v>1</v>
      </c>
      <c r="AD4951" s="55" t="n">
        <f aca="false">IF(AC4951,IF(01_因子設定!$B$13="最大化",AA4951-01_因子設定!$B$14,IF(01_因子設定!$B$13="最小化",01_因子設定!$B$15-AB4951,MIN(AA4951-01_因子設定!$B$14,01_因子設定!$B$15-AB4951))),-1E+030)</f>
        <v>-0.863145165404887</v>
      </c>
      <c r="AE4951" s="55" t="n">
        <f aca="false">IF(AC4951,IF(01_因子設定!$B$13="最大化",X4951,IF(01_因子設定!$B$13="最小化",-X4951,-ABS(X4951-01_因子設定!$B$16))),-1E+030)</f>
        <v>47.2113623903508</v>
      </c>
      <c r="AF4951" s="55" t="n">
        <f aca="false">AD4951+ROW()*0.000000001</f>
        <v>-0.863140214404887</v>
      </c>
      <c r="AG4951" s="55" t="n">
        <f aca="false">AE4951+ROW()*0.000000001</f>
        <v>47.2113673413508</v>
      </c>
    </row>
    <row r="4952" customFormat="false" ht="15" hidden="false" customHeight="false" outlineLevel="0" collapsed="false">
      <c r="A4952" s="0" t="n">
        <v>6</v>
      </c>
      <c r="B4952" s="0" t="n">
        <v>7</v>
      </c>
      <c r="C4952" s="0" t="n">
        <v>0</v>
      </c>
      <c r="D4952" s="0" t="n">
        <v>6</v>
      </c>
      <c r="E4952" s="0" t="n">
        <f aca="false">-1+A4952*0.25</f>
        <v>0.5</v>
      </c>
      <c r="F4952" s="0" t="n">
        <f aca="false">-1+B4952*0.25</f>
        <v>0.75</v>
      </c>
      <c r="G4952" s="0" t="n">
        <f aca="false">-1+C4952*0.25</f>
        <v>-1</v>
      </c>
      <c r="H4952" s="0" t="n">
        <f aca="false">-1+D4952*0.25</f>
        <v>0.5</v>
      </c>
      <c r="I4952" s="0" t="n">
        <f aca="false">1</f>
        <v>1</v>
      </c>
      <c r="J4952" s="0" t="n">
        <f aca="false">E4952</f>
        <v>0.5</v>
      </c>
      <c r="K4952" s="0" t="n">
        <f aca="false">F4952</f>
        <v>0.75</v>
      </c>
      <c r="L4952" s="0" t="n">
        <f aca="false">G4952</f>
        <v>-1</v>
      </c>
      <c r="M4952" s="0" t="n">
        <f aca="false">H4952</f>
        <v>0.5</v>
      </c>
      <c r="N4952" s="0" t="n">
        <f aca="false">E4952*F4952</f>
        <v>0.375</v>
      </c>
      <c r="O4952" s="0" t="n">
        <f aca="false">E4952*G4952</f>
        <v>-0.5</v>
      </c>
      <c r="P4952" s="0" t="n">
        <f aca="false">E4952*H4952</f>
        <v>0.25</v>
      </c>
      <c r="Q4952" s="0" t="n">
        <f aca="false">F4952*G4952</f>
        <v>-0.75</v>
      </c>
      <c r="R4952" s="0" t="n">
        <f aca="false">F4952*H4952</f>
        <v>0.375</v>
      </c>
      <c r="S4952" s="0" t="n">
        <f aca="false">G4952*H4952</f>
        <v>-0.5</v>
      </c>
      <c r="T4952" s="0" t="n">
        <f aca="false">E4952*E4952</f>
        <v>0.25</v>
      </c>
      <c r="U4952" s="0" t="n">
        <f aca="false">F4952*F4952</f>
        <v>0.5625</v>
      </c>
      <c r="V4952" s="0" t="n">
        <f aca="false">G4952*G4952</f>
        <v>1</v>
      </c>
      <c r="W4952" s="0" t="n">
        <f aca="false">H4952*H4952</f>
        <v>0.25</v>
      </c>
      <c r="X4952" s="0" t="n">
        <f aca="false">SUMPRODUCT(I4952:W4952,_XtX!$B$96:$P$96)</f>
        <v>47.1449470029239</v>
      </c>
      <c r="Y4952" s="0" t="n">
        <f aca="false">SUMPRODUCT(MMULT(I4952:W4952,_XtX!$B$78:$P$92),I4952:W4952)</f>
        <v>0.42602110745614</v>
      </c>
      <c r="Z4952" s="0" t="n">
        <f aca="false">04_回帰ANOVA!$K$19*04_回帰ANOVA!$K$14*SQRT(1+Y4952)</f>
        <v>1.55654388501114</v>
      </c>
      <c r="AA4952" s="0" t="n">
        <f aca="false">X4952-Z4952</f>
        <v>45.5884031179128</v>
      </c>
      <c r="AB4952" s="0" t="n">
        <f aca="false">X4952+Z4952</f>
        <v>48.7014908879351</v>
      </c>
      <c r="AC4952" s="54" t="b">
        <f aca="false">AND(E4952&gt;=01_因子設定!$L$5-0.000000001,E4952&lt;=01_因子設定!$M$5+0.000000001,F4952&gt;=01_因子設定!$L$6-0.000000001,F4952&lt;=01_因子設定!$M$6+0.000000001,G4952&gt;=01_因子設定!$L$7-0.000000001,G4952&lt;=01_因子設定!$M$7+0.000000001,H4952&gt;=01_因子設定!$L$8-0.000000001,H4952&lt;=01_因子設定!$M$8+0.000000001,IF(01_因子設定!$B$20="Box-Behnken",E4952^2+F4952^2+G4952^2+H4952^2&lt;=2+0.000000001,TRUE()))</f>
        <v>1</v>
      </c>
      <c r="AD4952" s="55" t="n">
        <f aca="false">IF(AC4952,IF(01_因子設定!$B$13="最大化",AA4952-01_因子設定!$B$14,IF(01_因子設定!$B$13="最小化",01_因子設定!$B$15-AB4952,MIN(AA4952-01_因子設定!$B$14,01_因子設定!$B$15-AB4952))),-1E+030)</f>
        <v>-0.911596882087196</v>
      </c>
      <c r="AE4952" s="55" t="n">
        <f aca="false">IF(AC4952,IF(01_因子設定!$B$13="最大化",X4952,IF(01_因子設定!$B$13="最小化",-X4952,-ABS(X4952-01_因子設定!$B$16))),-1E+030)</f>
        <v>47.1449470029239</v>
      </c>
      <c r="AF4952" s="55" t="n">
        <f aca="false">AD4952+ROW()*0.000000001</f>
        <v>-0.911591930087196</v>
      </c>
      <c r="AG4952" s="55" t="n">
        <f aca="false">AE4952+ROW()*0.000000001</f>
        <v>47.1449519549239</v>
      </c>
    </row>
    <row r="4953" customFormat="false" ht="15" hidden="false" customHeight="false" outlineLevel="0" collapsed="false">
      <c r="A4953" s="0" t="n">
        <v>6</v>
      </c>
      <c r="B4953" s="0" t="n">
        <v>7</v>
      </c>
      <c r="C4953" s="0" t="n">
        <v>0</v>
      </c>
      <c r="D4953" s="0" t="n">
        <v>7</v>
      </c>
      <c r="E4953" s="0" t="n">
        <f aca="false">-1+A4953*0.25</f>
        <v>0.5</v>
      </c>
      <c r="F4953" s="0" t="n">
        <f aca="false">-1+B4953*0.25</f>
        <v>0.75</v>
      </c>
      <c r="G4953" s="0" t="n">
        <f aca="false">-1+C4953*0.25</f>
        <v>-1</v>
      </c>
      <c r="H4953" s="0" t="n">
        <f aca="false">-1+D4953*0.25</f>
        <v>0.75</v>
      </c>
      <c r="I4953" s="0" t="n">
        <f aca="false">1</f>
        <v>1</v>
      </c>
      <c r="J4953" s="0" t="n">
        <f aca="false">E4953</f>
        <v>0.5</v>
      </c>
      <c r="K4953" s="0" t="n">
        <f aca="false">F4953</f>
        <v>0.75</v>
      </c>
      <c r="L4953" s="0" t="n">
        <f aca="false">G4953</f>
        <v>-1</v>
      </c>
      <c r="M4953" s="0" t="n">
        <f aca="false">H4953</f>
        <v>0.75</v>
      </c>
      <c r="N4953" s="0" t="n">
        <f aca="false">E4953*F4953</f>
        <v>0.375</v>
      </c>
      <c r="O4953" s="0" t="n">
        <f aca="false">E4953*G4953</f>
        <v>-0.5</v>
      </c>
      <c r="P4953" s="0" t="n">
        <f aca="false">E4953*H4953</f>
        <v>0.375</v>
      </c>
      <c r="Q4953" s="0" t="n">
        <f aca="false">F4953*G4953</f>
        <v>-0.75</v>
      </c>
      <c r="R4953" s="0" t="n">
        <f aca="false">F4953*H4953</f>
        <v>0.5625</v>
      </c>
      <c r="S4953" s="0" t="n">
        <f aca="false">G4953*H4953</f>
        <v>-0.75</v>
      </c>
      <c r="T4953" s="0" t="n">
        <f aca="false">E4953*E4953</f>
        <v>0.25</v>
      </c>
      <c r="U4953" s="0" t="n">
        <f aca="false">F4953*F4953</f>
        <v>0.5625</v>
      </c>
      <c r="V4953" s="0" t="n">
        <f aca="false">G4953*G4953</f>
        <v>1</v>
      </c>
      <c r="W4953" s="0" t="n">
        <f aca="false">H4953*H4953</f>
        <v>0.5625</v>
      </c>
      <c r="X4953" s="0" t="n">
        <f aca="false">SUMPRODUCT(I4953:W4953,_XtX!$B$96:$P$96)</f>
        <v>47.0307245979532</v>
      </c>
      <c r="Y4953" s="0" t="n">
        <f aca="false">SUMPRODUCT(MMULT(I4953:W4953,_XtX!$B$78:$P$92),I4953:W4953)</f>
        <v>0.431153771472953</v>
      </c>
      <c r="Z4953" s="0" t="n">
        <f aca="false">04_回帰ANOVA!$K$19*04_回帰ANOVA!$K$14*SQRT(1+Y4953)</f>
        <v>1.55934259562563</v>
      </c>
      <c r="AA4953" s="0" t="n">
        <f aca="false">X4953-Z4953</f>
        <v>45.4713820023276</v>
      </c>
      <c r="AB4953" s="0" t="n">
        <f aca="false">X4953+Z4953</f>
        <v>48.5900671935788</v>
      </c>
      <c r="AC4953" s="54" t="b">
        <f aca="false">AND(E4953&gt;=01_因子設定!$L$5-0.000000001,E4953&lt;=01_因子設定!$M$5+0.000000001,F4953&gt;=01_因子設定!$L$6-0.000000001,F4953&lt;=01_因子設定!$M$6+0.000000001,G4953&gt;=01_因子設定!$L$7-0.000000001,G4953&lt;=01_因子設定!$M$7+0.000000001,H4953&gt;=01_因子設定!$L$8-0.000000001,H4953&lt;=01_因子設定!$M$8+0.000000001,IF(01_因子設定!$B$20="Box-Behnken",E4953^2+F4953^2+G4953^2+H4953^2&lt;=2+0.000000001,TRUE()))</f>
        <v>1</v>
      </c>
      <c r="AD4953" s="55" t="n">
        <f aca="false">IF(AC4953,IF(01_因子設定!$B$13="最大化",AA4953-01_因子設定!$B$14,IF(01_因子設定!$B$13="最小化",01_因子設定!$B$15-AB4953,MIN(AA4953-01_因子設定!$B$14,01_因子設定!$B$15-AB4953))),-1E+030)</f>
        <v>-1.02861799767243</v>
      </c>
      <c r="AE4953" s="55" t="n">
        <f aca="false">IF(AC4953,IF(01_因子設定!$B$13="最大化",X4953,IF(01_因子設定!$B$13="最小化",-X4953,-ABS(X4953-01_因子設定!$B$16))),-1E+030)</f>
        <v>47.0307245979532</v>
      </c>
      <c r="AF4953" s="55" t="n">
        <f aca="false">AD4953+ROW()*0.000000001</f>
        <v>-1.02861304467243</v>
      </c>
      <c r="AG4953" s="55" t="n">
        <f aca="false">AE4953+ROW()*0.000000001</f>
        <v>47.0307295509532</v>
      </c>
    </row>
    <row r="4954" customFormat="false" ht="15" hidden="false" customHeight="false" outlineLevel="0" collapsed="false">
      <c r="A4954" s="0" t="n">
        <v>6</v>
      </c>
      <c r="B4954" s="0" t="n">
        <v>7</v>
      </c>
      <c r="C4954" s="0" t="n">
        <v>0</v>
      </c>
      <c r="D4954" s="0" t="n">
        <v>8</v>
      </c>
      <c r="E4954" s="0" t="n">
        <f aca="false">-1+A4954*0.25</f>
        <v>0.5</v>
      </c>
      <c r="F4954" s="0" t="n">
        <f aca="false">-1+B4954*0.25</f>
        <v>0.75</v>
      </c>
      <c r="G4954" s="0" t="n">
        <f aca="false">-1+C4954*0.25</f>
        <v>-1</v>
      </c>
      <c r="H4954" s="0" t="n">
        <f aca="false">-1+D4954*0.25</f>
        <v>1</v>
      </c>
      <c r="I4954" s="0" t="n">
        <f aca="false">1</f>
        <v>1</v>
      </c>
      <c r="J4954" s="0" t="n">
        <f aca="false">E4954</f>
        <v>0.5</v>
      </c>
      <c r="K4954" s="0" t="n">
        <f aca="false">F4954</f>
        <v>0.75</v>
      </c>
      <c r="L4954" s="0" t="n">
        <f aca="false">G4954</f>
        <v>-1</v>
      </c>
      <c r="M4954" s="0" t="n">
        <f aca="false">H4954</f>
        <v>1</v>
      </c>
      <c r="N4954" s="0" t="n">
        <f aca="false">E4954*F4954</f>
        <v>0.375</v>
      </c>
      <c r="O4954" s="0" t="n">
        <f aca="false">E4954*G4954</f>
        <v>-0.5</v>
      </c>
      <c r="P4954" s="0" t="n">
        <f aca="false">E4954*H4954</f>
        <v>0.5</v>
      </c>
      <c r="Q4954" s="0" t="n">
        <f aca="false">F4954*G4954</f>
        <v>-0.75</v>
      </c>
      <c r="R4954" s="0" t="n">
        <f aca="false">F4954*H4954</f>
        <v>0.75</v>
      </c>
      <c r="S4954" s="0" t="n">
        <f aca="false">G4954*H4954</f>
        <v>-1</v>
      </c>
      <c r="T4954" s="0" t="n">
        <f aca="false">E4954*E4954</f>
        <v>0.25</v>
      </c>
      <c r="U4954" s="0" t="n">
        <f aca="false">F4954*F4954</f>
        <v>0.5625</v>
      </c>
      <c r="V4954" s="0" t="n">
        <f aca="false">G4954*G4954</f>
        <v>1</v>
      </c>
      <c r="W4954" s="0" t="n">
        <f aca="false">H4954*H4954</f>
        <v>1</v>
      </c>
      <c r="X4954" s="0" t="n">
        <f aca="false">SUMPRODUCT(I4954:W4954,_XtX!$B$96:$P$96)</f>
        <v>46.8686951754386</v>
      </c>
      <c r="Y4954" s="0" t="n">
        <f aca="false">SUMPRODUCT(MMULT(I4954:W4954,_XtX!$B$78:$P$92),I4954:W4954)</f>
        <v>0.564984237938597</v>
      </c>
      <c r="Z4954" s="0" t="n">
        <f aca="false">04_回帰ANOVA!$K$19*04_回帰ANOVA!$K$14*SQRT(1+Y4954)</f>
        <v>1.63062229734503</v>
      </c>
      <c r="AA4954" s="0" t="n">
        <f aca="false">X4954-Z4954</f>
        <v>45.2380728780936</v>
      </c>
      <c r="AB4954" s="0" t="n">
        <f aca="false">X4954+Z4954</f>
        <v>48.4993174727836</v>
      </c>
      <c r="AC4954" s="54" t="b">
        <f aca="false">AND(E4954&gt;=01_因子設定!$L$5-0.000000001,E4954&lt;=01_因子設定!$M$5+0.000000001,F4954&gt;=01_因子設定!$L$6-0.000000001,F4954&lt;=01_因子設定!$M$6+0.000000001,G4954&gt;=01_因子設定!$L$7-0.000000001,G4954&lt;=01_因子設定!$M$7+0.000000001,H4954&gt;=01_因子設定!$L$8-0.000000001,H4954&lt;=01_因子設定!$M$8+0.000000001,IF(01_因子設定!$B$20="Box-Behnken",E4954^2+F4954^2+G4954^2+H4954^2&lt;=2+0.000000001,TRUE()))</f>
        <v>1</v>
      </c>
      <c r="AD4954" s="55" t="n">
        <f aca="false">IF(AC4954,IF(01_因子設定!$B$13="最大化",AA4954-01_因子設定!$B$14,IF(01_因子設定!$B$13="最小化",01_因子設定!$B$15-AB4954,MIN(AA4954-01_因子設定!$B$14,01_因子設定!$B$15-AB4954))),-1E+030)</f>
        <v>-1.26192712190644</v>
      </c>
      <c r="AE4954" s="55" t="n">
        <f aca="false">IF(AC4954,IF(01_因子設定!$B$13="最大化",X4954,IF(01_因子設定!$B$13="最小化",-X4954,-ABS(X4954-01_因子設定!$B$16))),-1E+030)</f>
        <v>46.8686951754386</v>
      </c>
      <c r="AF4954" s="55" t="n">
        <f aca="false">AD4954+ROW()*0.000000001</f>
        <v>-1.26192216790644</v>
      </c>
      <c r="AG4954" s="55" t="n">
        <f aca="false">AE4954+ROW()*0.000000001</f>
        <v>46.8687001294386</v>
      </c>
    </row>
    <row r="4955" customFormat="false" ht="15" hidden="false" customHeight="false" outlineLevel="0" collapsed="false">
      <c r="A4955" s="0" t="n">
        <v>6</v>
      </c>
      <c r="B4955" s="0" t="n">
        <v>7</v>
      </c>
      <c r="C4955" s="0" t="n">
        <v>1</v>
      </c>
      <c r="D4955" s="0" t="n">
        <v>0</v>
      </c>
      <c r="E4955" s="0" t="n">
        <f aca="false">-1+A4955*0.25</f>
        <v>0.5</v>
      </c>
      <c r="F4955" s="0" t="n">
        <f aca="false">-1+B4955*0.25</f>
        <v>0.75</v>
      </c>
      <c r="G4955" s="0" t="n">
        <f aca="false">-1+C4955*0.25</f>
        <v>-0.75</v>
      </c>
      <c r="H4955" s="0" t="n">
        <f aca="false">-1+D4955*0.25</f>
        <v>-1</v>
      </c>
      <c r="I4955" s="0" t="n">
        <f aca="false">1</f>
        <v>1</v>
      </c>
      <c r="J4955" s="0" t="n">
        <f aca="false">E4955</f>
        <v>0.5</v>
      </c>
      <c r="K4955" s="0" t="n">
        <f aca="false">F4955</f>
        <v>0.75</v>
      </c>
      <c r="L4955" s="0" t="n">
        <f aca="false">G4955</f>
        <v>-0.75</v>
      </c>
      <c r="M4955" s="0" t="n">
        <f aca="false">H4955</f>
        <v>-1</v>
      </c>
      <c r="N4955" s="0" t="n">
        <f aca="false">E4955*F4955</f>
        <v>0.375</v>
      </c>
      <c r="O4955" s="0" t="n">
        <f aca="false">E4955*G4955</f>
        <v>-0.375</v>
      </c>
      <c r="P4955" s="0" t="n">
        <f aca="false">E4955*H4955</f>
        <v>-0.5</v>
      </c>
      <c r="Q4955" s="0" t="n">
        <f aca="false">F4955*G4955</f>
        <v>-0.5625</v>
      </c>
      <c r="R4955" s="0" t="n">
        <f aca="false">F4955*H4955</f>
        <v>-0.75</v>
      </c>
      <c r="S4955" s="0" t="n">
        <f aca="false">G4955*H4955</f>
        <v>0.75</v>
      </c>
      <c r="T4955" s="0" t="n">
        <f aca="false">E4955*E4955</f>
        <v>0.25</v>
      </c>
      <c r="U4955" s="0" t="n">
        <f aca="false">F4955*F4955</f>
        <v>0.5625</v>
      </c>
      <c r="V4955" s="0" t="n">
        <f aca="false">G4955*G4955</f>
        <v>0.5625</v>
      </c>
      <c r="W4955" s="0" t="n">
        <f aca="false">H4955*H4955</f>
        <v>1</v>
      </c>
      <c r="X4955" s="0" t="n">
        <f aca="false">SUMPRODUCT(I4955:W4955,_XtX!$B$96:$P$96)</f>
        <v>47.2762107090643</v>
      </c>
      <c r="Y4955" s="0" t="n">
        <f aca="false">SUMPRODUCT(MMULT(I4955:W4955,_XtX!$B$78:$P$92),I4955:W4955)</f>
        <v>0.431153771472953</v>
      </c>
      <c r="Z4955" s="0" t="n">
        <f aca="false">04_回帰ANOVA!$K$19*04_回帰ANOVA!$K$14*SQRT(1+Y4955)</f>
        <v>1.55934259562563</v>
      </c>
      <c r="AA4955" s="0" t="n">
        <f aca="false">X4955-Z4955</f>
        <v>45.7168681134387</v>
      </c>
      <c r="AB4955" s="0" t="n">
        <f aca="false">X4955+Z4955</f>
        <v>48.83555330469</v>
      </c>
      <c r="AC4955" s="54" t="b">
        <f aca="false">AND(E4955&gt;=01_因子設定!$L$5-0.000000001,E4955&lt;=01_因子設定!$M$5+0.000000001,F4955&gt;=01_因子設定!$L$6-0.000000001,F4955&lt;=01_因子設定!$M$6+0.000000001,G4955&gt;=01_因子設定!$L$7-0.000000001,G4955&lt;=01_因子設定!$M$7+0.000000001,H4955&gt;=01_因子設定!$L$8-0.000000001,H4955&lt;=01_因子設定!$M$8+0.000000001,IF(01_因子設定!$B$20="Box-Behnken",E4955^2+F4955^2+G4955^2+H4955^2&lt;=2+0.000000001,TRUE()))</f>
        <v>1</v>
      </c>
      <c r="AD4955" s="55" t="n">
        <f aca="false">IF(AC4955,IF(01_因子設定!$B$13="最大化",AA4955-01_因子設定!$B$14,IF(01_因子設定!$B$13="最小化",01_因子設定!$B$15-AB4955,MIN(AA4955-01_因子設定!$B$14,01_因子設定!$B$15-AB4955))),-1E+030)</f>
        <v>-0.783131886561307</v>
      </c>
      <c r="AE4955" s="55" t="n">
        <f aca="false">IF(AC4955,IF(01_因子設定!$B$13="最大化",X4955,IF(01_因子設定!$B$13="最小化",-X4955,-ABS(X4955-01_因子設定!$B$16))),-1E+030)</f>
        <v>47.2762107090643</v>
      </c>
      <c r="AF4955" s="55" t="n">
        <f aca="false">AD4955+ROW()*0.000000001</f>
        <v>-0.783126931561307</v>
      </c>
      <c r="AG4955" s="55" t="n">
        <f aca="false">AE4955+ROW()*0.000000001</f>
        <v>47.2762156640643</v>
      </c>
    </row>
    <row r="4956" customFormat="false" ht="15" hidden="false" customHeight="false" outlineLevel="0" collapsed="false">
      <c r="A4956" s="0" t="n">
        <v>6</v>
      </c>
      <c r="B4956" s="0" t="n">
        <v>7</v>
      </c>
      <c r="C4956" s="0" t="n">
        <v>1</v>
      </c>
      <c r="D4956" s="0" t="n">
        <v>1</v>
      </c>
      <c r="E4956" s="0" t="n">
        <f aca="false">-1+A4956*0.25</f>
        <v>0.5</v>
      </c>
      <c r="F4956" s="0" t="n">
        <f aca="false">-1+B4956*0.25</f>
        <v>0.75</v>
      </c>
      <c r="G4956" s="0" t="n">
        <f aca="false">-1+C4956*0.25</f>
        <v>-0.75</v>
      </c>
      <c r="H4956" s="0" t="n">
        <f aca="false">-1+D4956*0.25</f>
        <v>-0.75</v>
      </c>
      <c r="I4956" s="0" t="n">
        <f aca="false">1</f>
        <v>1</v>
      </c>
      <c r="J4956" s="0" t="n">
        <f aca="false">E4956</f>
        <v>0.5</v>
      </c>
      <c r="K4956" s="0" t="n">
        <f aca="false">F4956</f>
        <v>0.75</v>
      </c>
      <c r="L4956" s="0" t="n">
        <f aca="false">G4956</f>
        <v>-0.75</v>
      </c>
      <c r="M4956" s="0" t="n">
        <f aca="false">H4956</f>
        <v>-0.75</v>
      </c>
      <c r="N4956" s="0" t="n">
        <f aca="false">E4956*F4956</f>
        <v>0.375</v>
      </c>
      <c r="O4956" s="0" t="n">
        <f aca="false">E4956*G4956</f>
        <v>-0.375</v>
      </c>
      <c r="P4956" s="0" t="n">
        <f aca="false">E4956*H4956</f>
        <v>-0.375</v>
      </c>
      <c r="Q4956" s="0" t="n">
        <f aca="false">F4956*G4956</f>
        <v>-0.5625</v>
      </c>
      <c r="R4956" s="0" t="n">
        <f aca="false">F4956*H4956</f>
        <v>-0.5625</v>
      </c>
      <c r="S4956" s="0" t="n">
        <f aca="false">G4956*H4956</f>
        <v>0.5625</v>
      </c>
      <c r="T4956" s="0" t="n">
        <f aca="false">E4956*E4956</f>
        <v>0.25</v>
      </c>
      <c r="U4956" s="0" t="n">
        <f aca="false">F4956*F4956</f>
        <v>0.5625</v>
      </c>
      <c r="V4956" s="0" t="n">
        <f aca="false">G4956*G4956</f>
        <v>0.5625</v>
      </c>
      <c r="W4956" s="0" t="n">
        <f aca="false">H4956*H4956</f>
        <v>0.5625</v>
      </c>
      <c r="X4956" s="0" t="n">
        <f aca="false">SUMPRODUCT(I4956:W4956,_XtX!$B$96:$P$96)</f>
        <v>47.4667991593567</v>
      </c>
      <c r="Y4956" s="0" t="n">
        <f aca="false">SUMPRODUCT(MMULT(I4956:W4956,_XtX!$B$78:$P$92),I4956:W4956)</f>
        <v>0.265632138614766</v>
      </c>
      <c r="Z4956" s="0" t="n">
        <f aca="false">04_回帰ANOVA!$K$19*04_回帰ANOVA!$K$14*SQRT(1+Y4956)</f>
        <v>1.46639894654257</v>
      </c>
      <c r="AA4956" s="0" t="n">
        <f aca="false">X4956-Z4956</f>
        <v>46.0004002128141</v>
      </c>
      <c r="AB4956" s="0" t="n">
        <f aca="false">X4956+Z4956</f>
        <v>48.9331981058993</v>
      </c>
      <c r="AC4956" s="54" t="b">
        <f aca="false">AND(E4956&gt;=01_因子設定!$L$5-0.000000001,E4956&lt;=01_因子設定!$M$5+0.000000001,F4956&gt;=01_因子設定!$L$6-0.000000001,F4956&lt;=01_因子設定!$M$6+0.000000001,G4956&gt;=01_因子設定!$L$7-0.000000001,G4956&lt;=01_因子設定!$M$7+0.000000001,H4956&gt;=01_因子設定!$L$8-0.000000001,H4956&lt;=01_因子設定!$M$8+0.000000001,IF(01_因子設定!$B$20="Box-Behnken",E4956^2+F4956^2+G4956^2+H4956^2&lt;=2+0.000000001,TRUE()))</f>
        <v>1</v>
      </c>
      <c r="AD4956" s="55" t="n">
        <f aca="false">IF(AC4956,IF(01_因子設定!$B$13="最大化",AA4956-01_因子設定!$B$14,IF(01_因子設定!$B$13="最小化",01_因子設定!$B$15-AB4956,MIN(AA4956-01_因子設定!$B$14,01_因子設定!$B$15-AB4956))),-1E+030)</f>
        <v>-0.499599787185872</v>
      </c>
      <c r="AE4956" s="55" t="n">
        <f aca="false">IF(AC4956,IF(01_因子設定!$B$13="最大化",X4956,IF(01_因子設定!$B$13="最小化",-X4956,-ABS(X4956-01_因子設定!$B$16))),-1E+030)</f>
        <v>47.4667991593567</v>
      </c>
      <c r="AF4956" s="55" t="n">
        <f aca="false">AD4956+ROW()*0.000000001</f>
        <v>-0.499594831185872</v>
      </c>
      <c r="AG4956" s="55" t="n">
        <f aca="false">AE4956+ROW()*0.000000001</f>
        <v>47.4668041153567</v>
      </c>
    </row>
    <row r="4957" customFormat="false" ht="15" hidden="false" customHeight="false" outlineLevel="0" collapsed="false">
      <c r="A4957" s="0" t="n">
        <v>6</v>
      </c>
      <c r="B4957" s="0" t="n">
        <v>7</v>
      </c>
      <c r="C4957" s="0" t="n">
        <v>1</v>
      </c>
      <c r="D4957" s="0" t="n">
        <v>2</v>
      </c>
      <c r="E4957" s="0" t="n">
        <f aca="false">-1+A4957*0.25</f>
        <v>0.5</v>
      </c>
      <c r="F4957" s="0" t="n">
        <f aca="false">-1+B4957*0.25</f>
        <v>0.75</v>
      </c>
      <c r="G4957" s="0" t="n">
        <f aca="false">-1+C4957*0.25</f>
        <v>-0.75</v>
      </c>
      <c r="H4957" s="0" t="n">
        <f aca="false">-1+D4957*0.25</f>
        <v>-0.5</v>
      </c>
      <c r="I4957" s="0" t="n">
        <f aca="false">1</f>
        <v>1</v>
      </c>
      <c r="J4957" s="0" t="n">
        <f aca="false">E4957</f>
        <v>0.5</v>
      </c>
      <c r="K4957" s="0" t="n">
        <f aca="false">F4957</f>
        <v>0.75</v>
      </c>
      <c r="L4957" s="0" t="n">
        <f aca="false">G4957</f>
        <v>-0.75</v>
      </c>
      <c r="M4957" s="0" t="n">
        <f aca="false">H4957</f>
        <v>-0.5</v>
      </c>
      <c r="N4957" s="0" t="n">
        <f aca="false">E4957*F4957</f>
        <v>0.375</v>
      </c>
      <c r="O4957" s="0" t="n">
        <f aca="false">E4957*G4957</f>
        <v>-0.375</v>
      </c>
      <c r="P4957" s="0" t="n">
        <f aca="false">E4957*H4957</f>
        <v>-0.25</v>
      </c>
      <c r="Q4957" s="0" t="n">
        <f aca="false">F4957*G4957</f>
        <v>-0.5625</v>
      </c>
      <c r="R4957" s="0" t="n">
        <f aca="false">F4957*H4957</f>
        <v>-0.375</v>
      </c>
      <c r="S4957" s="0" t="n">
        <f aca="false">G4957*H4957</f>
        <v>0.375</v>
      </c>
      <c r="T4957" s="0" t="n">
        <f aca="false">E4957*E4957</f>
        <v>0.25</v>
      </c>
      <c r="U4957" s="0" t="n">
        <f aca="false">F4957*F4957</f>
        <v>0.5625</v>
      </c>
      <c r="V4957" s="0" t="n">
        <f aca="false">G4957*G4957</f>
        <v>0.5625</v>
      </c>
      <c r="W4957" s="0" t="n">
        <f aca="false">H4957*H4957</f>
        <v>0.25</v>
      </c>
      <c r="X4957" s="0" t="n">
        <f aca="false">SUMPRODUCT(I4957:W4957,_XtX!$B$96:$P$96)</f>
        <v>47.6095805921052</v>
      </c>
      <c r="Y4957" s="0" t="n">
        <f aca="false">SUMPRODUCT(MMULT(I4957:W4957,_XtX!$B$78:$P$92),I4957:W4957)</f>
        <v>0.237862927174708</v>
      </c>
      <c r="Z4957" s="0" t="n">
        <f aca="false">04_回帰ANOVA!$K$19*04_回帰ANOVA!$K$14*SQRT(1+Y4957)</f>
        <v>1.45022260708756</v>
      </c>
      <c r="AA4957" s="0" t="n">
        <f aca="false">X4957-Z4957</f>
        <v>46.1593579850177</v>
      </c>
      <c r="AB4957" s="0" t="n">
        <f aca="false">X4957+Z4957</f>
        <v>49.0598031991928</v>
      </c>
      <c r="AC4957" s="54" t="b">
        <f aca="false">AND(E4957&gt;=01_因子設定!$L$5-0.000000001,E4957&lt;=01_因子設定!$M$5+0.000000001,F4957&gt;=01_因子設定!$L$6-0.000000001,F4957&lt;=01_因子設定!$M$6+0.000000001,G4957&gt;=01_因子設定!$L$7-0.000000001,G4957&lt;=01_因子設定!$M$7+0.000000001,H4957&gt;=01_因子設定!$L$8-0.000000001,H4957&lt;=01_因子設定!$M$8+0.000000001,IF(01_因子設定!$B$20="Box-Behnken",E4957^2+F4957^2+G4957^2+H4957^2&lt;=2+0.000000001,TRUE()))</f>
        <v>1</v>
      </c>
      <c r="AD4957" s="55" t="n">
        <f aca="false">IF(AC4957,IF(01_因子設定!$B$13="最大化",AA4957-01_因子設定!$B$14,IF(01_因子設定!$B$13="最小化",01_因子設定!$B$15-AB4957,MIN(AA4957-01_因子設定!$B$14,01_因子設定!$B$15-AB4957))),-1E+030)</f>
        <v>-0.340642014982329</v>
      </c>
      <c r="AE4957" s="55" t="n">
        <f aca="false">IF(AC4957,IF(01_因子設定!$B$13="最大化",X4957,IF(01_因子設定!$B$13="最小化",-X4957,-ABS(X4957-01_因子設定!$B$16))),-1E+030)</f>
        <v>47.6095805921052</v>
      </c>
      <c r="AF4957" s="55" t="n">
        <f aca="false">AD4957+ROW()*0.000000001</f>
        <v>-0.340637057982329</v>
      </c>
      <c r="AG4957" s="55" t="n">
        <f aca="false">AE4957+ROW()*0.000000001</f>
        <v>47.6095855491052</v>
      </c>
    </row>
    <row r="4958" customFormat="false" ht="15" hidden="false" customHeight="false" outlineLevel="0" collapsed="false">
      <c r="A4958" s="0" t="n">
        <v>6</v>
      </c>
      <c r="B4958" s="0" t="n">
        <v>7</v>
      </c>
      <c r="C4958" s="0" t="n">
        <v>1</v>
      </c>
      <c r="D4958" s="0" t="n">
        <v>3</v>
      </c>
      <c r="E4958" s="0" t="n">
        <f aca="false">-1+A4958*0.25</f>
        <v>0.5</v>
      </c>
      <c r="F4958" s="0" t="n">
        <f aca="false">-1+B4958*0.25</f>
        <v>0.75</v>
      </c>
      <c r="G4958" s="0" t="n">
        <f aca="false">-1+C4958*0.25</f>
        <v>-0.75</v>
      </c>
      <c r="H4958" s="0" t="n">
        <f aca="false">-1+D4958*0.25</f>
        <v>-0.25</v>
      </c>
      <c r="I4958" s="0" t="n">
        <f aca="false">1</f>
        <v>1</v>
      </c>
      <c r="J4958" s="0" t="n">
        <f aca="false">E4958</f>
        <v>0.5</v>
      </c>
      <c r="K4958" s="0" t="n">
        <f aca="false">F4958</f>
        <v>0.75</v>
      </c>
      <c r="L4958" s="0" t="n">
        <f aca="false">G4958</f>
        <v>-0.75</v>
      </c>
      <c r="M4958" s="0" t="n">
        <f aca="false">H4958</f>
        <v>-0.25</v>
      </c>
      <c r="N4958" s="0" t="n">
        <f aca="false">E4958*F4958</f>
        <v>0.375</v>
      </c>
      <c r="O4958" s="0" t="n">
        <f aca="false">E4958*G4958</f>
        <v>-0.375</v>
      </c>
      <c r="P4958" s="0" t="n">
        <f aca="false">E4958*H4958</f>
        <v>-0.125</v>
      </c>
      <c r="Q4958" s="0" t="n">
        <f aca="false">F4958*G4958</f>
        <v>-0.5625</v>
      </c>
      <c r="R4958" s="0" t="n">
        <f aca="false">F4958*H4958</f>
        <v>-0.1875</v>
      </c>
      <c r="S4958" s="0" t="n">
        <f aca="false">G4958*H4958</f>
        <v>0.1875</v>
      </c>
      <c r="T4958" s="0" t="n">
        <f aca="false">E4958*E4958</f>
        <v>0.25</v>
      </c>
      <c r="U4958" s="0" t="n">
        <f aca="false">F4958*F4958</f>
        <v>0.5625</v>
      </c>
      <c r="V4958" s="0" t="n">
        <f aca="false">G4958*G4958</f>
        <v>0.5625</v>
      </c>
      <c r="W4958" s="0" t="n">
        <f aca="false">H4958*H4958</f>
        <v>0.0625</v>
      </c>
      <c r="X4958" s="0" t="n">
        <f aca="false">SUMPRODUCT(I4958:W4958,_XtX!$B$96:$P$96)</f>
        <v>47.7045550073099</v>
      </c>
      <c r="Y4958" s="0" t="n">
        <f aca="false">SUMPRODUCT(MMULT(I4958:W4958,_XtX!$B$78:$P$92),I4958:W4958)</f>
        <v>0.257385610836988</v>
      </c>
      <c r="Z4958" s="0" t="n">
        <f aca="false">04_回帰ANOVA!$K$19*04_回帰ANOVA!$K$14*SQRT(1+Y4958)</f>
        <v>1.46161380324158</v>
      </c>
      <c r="AA4958" s="0" t="n">
        <f aca="false">X4958-Z4958</f>
        <v>46.2429412040683</v>
      </c>
      <c r="AB4958" s="0" t="n">
        <f aca="false">X4958+Z4958</f>
        <v>49.1661688105515</v>
      </c>
      <c r="AC4958" s="54" t="b">
        <f aca="false">AND(E4958&gt;=01_因子設定!$L$5-0.000000001,E4958&lt;=01_因子設定!$M$5+0.000000001,F4958&gt;=01_因子設定!$L$6-0.000000001,F4958&lt;=01_因子設定!$M$6+0.000000001,G4958&gt;=01_因子設定!$L$7-0.000000001,G4958&lt;=01_因子設定!$M$7+0.000000001,H4958&gt;=01_因子設定!$L$8-0.000000001,H4958&lt;=01_因子設定!$M$8+0.000000001,IF(01_因子設定!$B$20="Box-Behnken",E4958^2+F4958^2+G4958^2+H4958^2&lt;=2+0.000000001,TRUE()))</f>
        <v>1</v>
      </c>
      <c r="AD4958" s="55" t="n">
        <f aca="false">IF(AC4958,IF(01_因子設定!$B$13="最大化",AA4958-01_因子設定!$B$14,IF(01_因子設定!$B$13="最小化",01_因子設定!$B$15-AB4958,MIN(AA4958-01_因子設定!$B$14,01_因子設定!$B$15-AB4958))),-1E+030)</f>
        <v>-0.257058795931684</v>
      </c>
      <c r="AE4958" s="55" t="n">
        <f aca="false">IF(AC4958,IF(01_因子設定!$B$13="最大化",X4958,IF(01_因子設定!$B$13="最小化",-X4958,-ABS(X4958-01_因子設定!$B$16))),-1E+030)</f>
        <v>47.7045550073099</v>
      </c>
      <c r="AF4958" s="55" t="n">
        <f aca="false">AD4958+ROW()*0.000000001</f>
        <v>-0.257053837931684</v>
      </c>
      <c r="AG4958" s="55" t="n">
        <f aca="false">AE4958+ROW()*0.000000001</f>
        <v>47.7045599653099</v>
      </c>
    </row>
    <row r="4959" customFormat="false" ht="15" hidden="false" customHeight="false" outlineLevel="0" collapsed="false">
      <c r="A4959" s="0" t="n">
        <v>6</v>
      </c>
      <c r="B4959" s="0" t="n">
        <v>7</v>
      </c>
      <c r="C4959" s="0" t="n">
        <v>1</v>
      </c>
      <c r="D4959" s="0" t="n">
        <v>4</v>
      </c>
      <c r="E4959" s="0" t="n">
        <f aca="false">-1+A4959*0.25</f>
        <v>0.5</v>
      </c>
      <c r="F4959" s="0" t="n">
        <f aca="false">-1+B4959*0.25</f>
        <v>0.75</v>
      </c>
      <c r="G4959" s="0" t="n">
        <f aca="false">-1+C4959*0.25</f>
        <v>-0.75</v>
      </c>
      <c r="H4959" s="0" t="n">
        <f aca="false">-1+D4959*0.25</f>
        <v>0</v>
      </c>
      <c r="I4959" s="0" t="n">
        <f aca="false">1</f>
        <v>1</v>
      </c>
      <c r="J4959" s="0" t="n">
        <f aca="false">E4959</f>
        <v>0.5</v>
      </c>
      <c r="K4959" s="0" t="n">
        <f aca="false">F4959</f>
        <v>0.75</v>
      </c>
      <c r="L4959" s="0" t="n">
        <f aca="false">G4959</f>
        <v>-0.75</v>
      </c>
      <c r="M4959" s="0" t="n">
        <f aca="false">H4959</f>
        <v>0</v>
      </c>
      <c r="N4959" s="0" t="n">
        <f aca="false">E4959*F4959</f>
        <v>0.375</v>
      </c>
      <c r="O4959" s="0" t="n">
        <f aca="false">E4959*G4959</f>
        <v>-0.375</v>
      </c>
      <c r="P4959" s="0" t="n">
        <f aca="false">E4959*H4959</f>
        <v>0</v>
      </c>
      <c r="Q4959" s="0" t="n">
        <f aca="false">F4959*G4959</f>
        <v>-0.5625</v>
      </c>
      <c r="R4959" s="0" t="n">
        <f aca="false">F4959*H4959</f>
        <v>0</v>
      </c>
      <c r="S4959" s="0" t="n">
        <f aca="false">G4959*H4959</f>
        <v>-0</v>
      </c>
      <c r="T4959" s="0" t="n">
        <f aca="false">E4959*E4959</f>
        <v>0.25</v>
      </c>
      <c r="U4959" s="0" t="n">
        <f aca="false">F4959*F4959</f>
        <v>0.5625</v>
      </c>
      <c r="V4959" s="0" t="n">
        <f aca="false">G4959*G4959</f>
        <v>0.5625</v>
      </c>
      <c r="W4959" s="0" t="n">
        <f aca="false">H4959*H4959</f>
        <v>0</v>
      </c>
      <c r="X4959" s="0" t="n">
        <f aca="false">SUMPRODUCT(I4959:W4959,_XtX!$B$96:$P$96)</f>
        <v>47.7517224049707</v>
      </c>
      <c r="Y4959" s="0" t="n">
        <f aca="false">SUMPRODUCT(MMULT(I4959:W4959,_XtX!$B$78:$P$92),I4959:W4959)</f>
        <v>0.269923873812135</v>
      </c>
      <c r="Z4959" s="0" t="n">
        <f aca="false">04_回帰ANOVA!$K$19*04_回帰ANOVA!$K$14*SQRT(1+Y4959)</f>
        <v>1.46888310825501</v>
      </c>
      <c r="AA4959" s="0" t="n">
        <f aca="false">X4959-Z4959</f>
        <v>46.2828392967157</v>
      </c>
      <c r="AB4959" s="0" t="n">
        <f aca="false">X4959+Z4959</f>
        <v>49.2206055132257</v>
      </c>
      <c r="AC4959" s="54" t="b">
        <f aca="false">AND(E4959&gt;=01_因子設定!$L$5-0.000000001,E4959&lt;=01_因子設定!$M$5+0.000000001,F4959&gt;=01_因子設定!$L$6-0.000000001,F4959&lt;=01_因子設定!$M$6+0.000000001,G4959&gt;=01_因子設定!$L$7-0.000000001,G4959&lt;=01_因子設定!$M$7+0.000000001,H4959&gt;=01_因子設定!$L$8-0.000000001,H4959&lt;=01_因子設定!$M$8+0.000000001,IF(01_因子設定!$B$20="Box-Behnken",E4959^2+F4959^2+G4959^2+H4959^2&lt;=2+0.000000001,TRUE()))</f>
        <v>1</v>
      </c>
      <c r="AD4959" s="55" t="n">
        <f aca="false">IF(AC4959,IF(01_因子設定!$B$13="最大化",AA4959-01_因子設定!$B$14,IF(01_因子設定!$B$13="最小化",01_因子設定!$B$15-AB4959,MIN(AA4959-01_因子設定!$B$14,01_因子設定!$B$15-AB4959))),-1E+030)</f>
        <v>-0.217160703284286</v>
      </c>
      <c r="AE4959" s="55" t="n">
        <f aca="false">IF(AC4959,IF(01_因子設定!$B$13="最大化",X4959,IF(01_因子設定!$B$13="最小化",-X4959,-ABS(X4959-01_因子設定!$B$16))),-1E+030)</f>
        <v>47.7517224049707</v>
      </c>
      <c r="AF4959" s="55" t="n">
        <f aca="false">AD4959+ROW()*0.000000001</f>
        <v>-0.217155744284286</v>
      </c>
      <c r="AG4959" s="55" t="n">
        <f aca="false">AE4959+ROW()*0.000000001</f>
        <v>47.7517273639707</v>
      </c>
    </row>
    <row r="4960" customFormat="false" ht="15" hidden="false" customHeight="false" outlineLevel="0" collapsed="false">
      <c r="A4960" s="0" t="n">
        <v>6</v>
      </c>
      <c r="B4960" s="0" t="n">
        <v>7</v>
      </c>
      <c r="C4960" s="0" t="n">
        <v>1</v>
      </c>
      <c r="D4960" s="0" t="n">
        <v>5</v>
      </c>
      <c r="E4960" s="0" t="n">
        <f aca="false">-1+A4960*0.25</f>
        <v>0.5</v>
      </c>
      <c r="F4960" s="0" t="n">
        <f aca="false">-1+B4960*0.25</f>
        <v>0.75</v>
      </c>
      <c r="G4960" s="0" t="n">
        <f aca="false">-1+C4960*0.25</f>
        <v>-0.75</v>
      </c>
      <c r="H4960" s="0" t="n">
        <f aca="false">-1+D4960*0.25</f>
        <v>0.25</v>
      </c>
      <c r="I4960" s="0" t="n">
        <f aca="false">1</f>
        <v>1</v>
      </c>
      <c r="J4960" s="0" t="n">
        <f aca="false">E4960</f>
        <v>0.5</v>
      </c>
      <c r="K4960" s="0" t="n">
        <f aca="false">F4960</f>
        <v>0.75</v>
      </c>
      <c r="L4960" s="0" t="n">
        <f aca="false">G4960</f>
        <v>-0.75</v>
      </c>
      <c r="M4960" s="0" t="n">
        <f aca="false">H4960</f>
        <v>0.25</v>
      </c>
      <c r="N4960" s="0" t="n">
        <f aca="false">E4960*F4960</f>
        <v>0.375</v>
      </c>
      <c r="O4960" s="0" t="n">
        <f aca="false">E4960*G4960</f>
        <v>-0.375</v>
      </c>
      <c r="P4960" s="0" t="n">
        <f aca="false">E4960*H4960</f>
        <v>0.125</v>
      </c>
      <c r="Q4960" s="0" t="n">
        <f aca="false">F4960*G4960</f>
        <v>-0.5625</v>
      </c>
      <c r="R4960" s="0" t="n">
        <f aca="false">F4960*H4960</f>
        <v>0.1875</v>
      </c>
      <c r="S4960" s="0" t="n">
        <f aca="false">G4960*H4960</f>
        <v>-0.1875</v>
      </c>
      <c r="T4960" s="0" t="n">
        <f aca="false">E4960*E4960</f>
        <v>0.25</v>
      </c>
      <c r="U4960" s="0" t="n">
        <f aca="false">F4960*F4960</f>
        <v>0.5625</v>
      </c>
      <c r="V4960" s="0" t="n">
        <f aca="false">G4960*G4960</f>
        <v>0.5625</v>
      </c>
      <c r="W4960" s="0" t="n">
        <f aca="false">H4960*H4960</f>
        <v>0.0625</v>
      </c>
      <c r="X4960" s="0" t="n">
        <f aca="false">SUMPRODUCT(I4960:W4960,_XtX!$B$96:$P$96)</f>
        <v>47.7510827850877</v>
      </c>
      <c r="Y4960" s="0" t="n">
        <f aca="false">SUMPRODUCT(MMULT(I4960:W4960,_XtX!$B$78:$P$92),I4960:W4960)</f>
        <v>0.257385610836988</v>
      </c>
      <c r="Z4960" s="0" t="n">
        <f aca="false">04_回帰ANOVA!$K$19*04_回帰ANOVA!$K$14*SQRT(1+Y4960)</f>
        <v>1.46161380324158</v>
      </c>
      <c r="AA4960" s="0" t="n">
        <f aca="false">X4960-Z4960</f>
        <v>46.2894689818461</v>
      </c>
      <c r="AB4960" s="0" t="n">
        <f aca="false">X4960+Z4960</f>
        <v>49.2126965883293</v>
      </c>
      <c r="AC4960" s="54" t="b">
        <f aca="false">AND(E4960&gt;=01_因子設定!$L$5-0.000000001,E4960&lt;=01_因子設定!$M$5+0.000000001,F4960&gt;=01_因子設定!$L$6-0.000000001,F4960&lt;=01_因子設定!$M$6+0.000000001,G4960&gt;=01_因子設定!$L$7-0.000000001,G4960&lt;=01_因子設定!$M$7+0.000000001,H4960&gt;=01_因子設定!$L$8-0.000000001,H4960&lt;=01_因子設定!$M$8+0.000000001,IF(01_因子設定!$B$20="Box-Behnken",E4960^2+F4960^2+G4960^2+H4960^2&lt;=2+0.000000001,TRUE()))</f>
        <v>1</v>
      </c>
      <c r="AD4960" s="55" t="n">
        <f aca="false">IF(AC4960,IF(01_因子設定!$B$13="最大化",AA4960-01_因子設定!$B$14,IF(01_因子設定!$B$13="最小化",01_因子設定!$B$15-AB4960,MIN(AA4960-01_因子設定!$B$14,01_因子設定!$B$15-AB4960))),-1E+030)</f>
        <v>-0.210531018153901</v>
      </c>
      <c r="AE4960" s="55" t="n">
        <f aca="false">IF(AC4960,IF(01_因子設定!$B$13="最大化",X4960,IF(01_因子設定!$B$13="最小化",-X4960,-ABS(X4960-01_因子設定!$B$16))),-1E+030)</f>
        <v>47.7510827850877</v>
      </c>
      <c r="AF4960" s="55" t="n">
        <f aca="false">AD4960+ROW()*0.000000001</f>
        <v>-0.210526058153901</v>
      </c>
      <c r="AG4960" s="55" t="n">
        <f aca="false">AE4960+ROW()*0.000000001</f>
        <v>47.7510877450877</v>
      </c>
    </row>
    <row r="4961" customFormat="false" ht="15" hidden="false" customHeight="false" outlineLevel="0" collapsed="false">
      <c r="A4961" s="0" t="n">
        <v>6</v>
      </c>
      <c r="B4961" s="0" t="n">
        <v>7</v>
      </c>
      <c r="C4961" s="0" t="n">
        <v>1</v>
      </c>
      <c r="D4961" s="0" t="n">
        <v>6</v>
      </c>
      <c r="E4961" s="0" t="n">
        <f aca="false">-1+A4961*0.25</f>
        <v>0.5</v>
      </c>
      <c r="F4961" s="0" t="n">
        <f aca="false">-1+B4961*0.25</f>
        <v>0.75</v>
      </c>
      <c r="G4961" s="0" t="n">
        <f aca="false">-1+C4961*0.25</f>
        <v>-0.75</v>
      </c>
      <c r="H4961" s="0" t="n">
        <f aca="false">-1+D4961*0.25</f>
        <v>0.5</v>
      </c>
      <c r="I4961" s="0" t="n">
        <f aca="false">1</f>
        <v>1</v>
      </c>
      <c r="J4961" s="0" t="n">
        <f aca="false">E4961</f>
        <v>0.5</v>
      </c>
      <c r="K4961" s="0" t="n">
        <f aca="false">F4961</f>
        <v>0.75</v>
      </c>
      <c r="L4961" s="0" t="n">
        <f aca="false">G4961</f>
        <v>-0.75</v>
      </c>
      <c r="M4961" s="0" t="n">
        <f aca="false">H4961</f>
        <v>0.5</v>
      </c>
      <c r="N4961" s="0" t="n">
        <f aca="false">E4961*F4961</f>
        <v>0.375</v>
      </c>
      <c r="O4961" s="0" t="n">
        <f aca="false">E4961*G4961</f>
        <v>-0.375</v>
      </c>
      <c r="P4961" s="0" t="n">
        <f aca="false">E4961*H4961</f>
        <v>0.25</v>
      </c>
      <c r="Q4961" s="0" t="n">
        <f aca="false">F4961*G4961</f>
        <v>-0.5625</v>
      </c>
      <c r="R4961" s="0" t="n">
        <f aca="false">F4961*H4961</f>
        <v>0.375</v>
      </c>
      <c r="S4961" s="0" t="n">
        <f aca="false">G4961*H4961</f>
        <v>-0.375</v>
      </c>
      <c r="T4961" s="0" t="n">
        <f aca="false">E4961*E4961</f>
        <v>0.25</v>
      </c>
      <c r="U4961" s="0" t="n">
        <f aca="false">F4961*F4961</f>
        <v>0.5625</v>
      </c>
      <c r="V4961" s="0" t="n">
        <f aca="false">G4961*G4961</f>
        <v>0.5625</v>
      </c>
      <c r="W4961" s="0" t="n">
        <f aca="false">H4961*H4961</f>
        <v>0.25</v>
      </c>
      <c r="X4961" s="0" t="n">
        <f aca="false">SUMPRODUCT(I4961:W4961,_XtX!$B$96:$P$96)</f>
        <v>47.7026361476608</v>
      </c>
      <c r="Y4961" s="0" t="n">
        <f aca="false">SUMPRODUCT(MMULT(I4961:W4961,_XtX!$B$78:$P$92),I4961:W4961)</f>
        <v>0.237862927174708</v>
      </c>
      <c r="Z4961" s="0" t="n">
        <f aca="false">04_回帰ANOVA!$K$19*04_回帰ANOVA!$K$14*SQRT(1+Y4961)</f>
        <v>1.45022260708756</v>
      </c>
      <c r="AA4961" s="0" t="n">
        <f aca="false">X4961-Z4961</f>
        <v>46.2524135405732</v>
      </c>
      <c r="AB4961" s="0" t="n">
        <f aca="false">X4961+Z4961</f>
        <v>49.1528587547483</v>
      </c>
      <c r="AC4961" s="54" t="b">
        <f aca="false">AND(E4961&gt;=01_因子設定!$L$5-0.000000001,E4961&lt;=01_因子設定!$M$5+0.000000001,F4961&gt;=01_因子設定!$L$6-0.000000001,F4961&lt;=01_因子設定!$M$6+0.000000001,G4961&gt;=01_因子設定!$L$7-0.000000001,G4961&lt;=01_因子設定!$M$7+0.000000001,H4961&gt;=01_因子設定!$L$8-0.000000001,H4961&lt;=01_因子設定!$M$8+0.000000001,IF(01_因子設定!$B$20="Box-Behnken",E4961^2+F4961^2+G4961^2+H4961^2&lt;=2+0.000000001,TRUE()))</f>
        <v>1</v>
      </c>
      <c r="AD4961" s="55" t="n">
        <f aca="false">IF(AC4961,IF(01_因子設定!$B$13="最大化",AA4961-01_因子設定!$B$14,IF(01_因子設定!$B$13="最小化",01_因子設定!$B$15-AB4961,MIN(AA4961-01_因子設定!$B$14,01_因子設定!$B$15-AB4961))),-1E+030)</f>
        <v>-0.247586459426778</v>
      </c>
      <c r="AE4961" s="55" t="n">
        <f aca="false">IF(AC4961,IF(01_因子設定!$B$13="最大化",X4961,IF(01_因子設定!$B$13="最小化",-X4961,-ABS(X4961-01_因子設定!$B$16))),-1E+030)</f>
        <v>47.7026361476608</v>
      </c>
      <c r="AF4961" s="55" t="n">
        <f aca="false">AD4961+ROW()*0.000000001</f>
        <v>-0.247581498426778</v>
      </c>
      <c r="AG4961" s="55" t="n">
        <f aca="false">AE4961+ROW()*0.000000001</f>
        <v>47.7026411086608</v>
      </c>
    </row>
    <row r="4962" customFormat="false" ht="15" hidden="false" customHeight="false" outlineLevel="0" collapsed="false">
      <c r="A4962" s="0" t="n">
        <v>6</v>
      </c>
      <c r="B4962" s="0" t="n">
        <v>7</v>
      </c>
      <c r="C4962" s="0" t="n">
        <v>1</v>
      </c>
      <c r="D4962" s="0" t="n">
        <v>7</v>
      </c>
      <c r="E4962" s="0" t="n">
        <f aca="false">-1+A4962*0.25</f>
        <v>0.5</v>
      </c>
      <c r="F4962" s="0" t="n">
        <f aca="false">-1+B4962*0.25</f>
        <v>0.75</v>
      </c>
      <c r="G4962" s="0" t="n">
        <f aca="false">-1+C4962*0.25</f>
        <v>-0.75</v>
      </c>
      <c r="H4962" s="0" t="n">
        <f aca="false">-1+D4962*0.25</f>
        <v>0.75</v>
      </c>
      <c r="I4962" s="0" t="n">
        <f aca="false">1</f>
        <v>1</v>
      </c>
      <c r="J4962" s="0" t="n">
        <f aca="false">E4962</f>
        <v>0.5</v>
      </c>
      <c r="K4962" s="0" t="n">
        <f aca="false">F4962</f>
        <v>0.75</v>
      </c>
      <c r="L4962" s="0" t="n">
        <f aca="false">G4962</f>
        <v>-0.75</v>
      </c>
      <c r="M4962" s="0" t="n">
        <f aca="false">H4962</f>
        <v>0.75</v>
      </c>
      <c r="N4962" s="0" t="n">
        <f aca="false">E4962*F4962</f>
        <v>0.375</v>
      </c>
      <c r="O4962" s="0" t="n">
        <f aca="false">E4962*G4962</f>
        <v>-0.375</v>
      </c>
      <c r="P4962" s="0" t="n">
        <f aca="false">E4962*H4962</f>
        <v>0.375</v>
      </c>
      <c r="Q4962" s="0" t="n">
        <f aca="false">F4962*G4962</f>
        <v>-0.5625</v>
      </c>
      <c r="R4962" s="0" t="n">
        <f aca="false">F4962*H4962</f>
        <v>0.5625</v>
      </c>
      <c r="S4962" s="0" t="n">
        <f aca="false">G4962*H4962</f>
        <v>-0.5625</v>
      </c>
      <c r="T4962" s="0" t="n">
        <f aca="false">E4962*E4962</f>
        <v>0.25</v>
      </c>
      <c r="U4962" s="0" t="n">
        <f aca="false">F4962*F4962</f>
        <v>0.5625</v>
      </c>
      <c r="V4962" s="0" t="n">
        <f aca="false">G4962*G4962</f>
        <v>0.5625</v>
      </c>
      <c r="W4962" s="0" t="n">
        <f aca="false">H4962*H4962</f>
        <v>0.5625</v>
      </c>
      <c r="X4962" s="0" t="n">
        <f aca="false">SUMPRODUCT(I4962:W4962,_XtX!$B$96:$P$96)</f>
        <v>47.60638249269</v>
      </c>
      <c r="Y4962" s="0" t="n">
        <f aca="false">SUMPRODUCT(MMULT(I4962:W4962,_XtX!$B$78:$P$92),I4962:W4962)</f>
        <v>0.265632138614766</v>
      </c>
      <c r="Z4962" s="0" t="n">
        <f aca="false">04_回帰ANOVA!$K$19*04_回帰ANOVA!$K$14*SQRT(1+Y4962)</f>
        <v>1.46639894654257</v>
      </c>
      <c r="AA4962" s="0" t="n">
        <f aca="false">X4962-Z4962</f>
        <v>46.1399835461475</v>
      </c>
      <c r="AB4962" s="0" t="n">
        <f aca="false">X4962+Z4962</f>
        <v>49.0727814392326</v>
      </c>
      <c r="AC4962" s="54" t="b">
        <f aca="false">AND(E4962&gt;=01_因子設定!$L$5-0.000000001,E4962&lt;=01_因子設定!$M$5+0.000000001,F4962&gt;=01_因子設定!$L$6-0.000000001,F4962&lt;=01_因子設定!$M$6+0.000000001,G4962&gt;=01_因子設定!$L$7-0.000000001,G4962&lt;=01_因子設定!$M$7+0.000000001,H4962&gt;=01_因子設定!$L$8-0.000000001,H4962&lt;=01_因子設定!$M$8+0.000000001,IF(01_因子設定!$B$20="Box-Behnken",E4962^2+F4962^2+G4962^2+H4962^2&lt;=2+0.000000001,TRUE()))</f>
        <v>1</v>
      </c>
      <c r="AD4962" s="55" t="n">
        <f aca="false">IF(AC4962,IF(01_因子設定!$B$13="最大化",AA4962-01_因子設定!$B$14,IF(01_因子設定!$B$13="最小化",01_因子設定!$B$15-AB4962,MIN(AA4962-01_因子設定!$B$14,01_因子設定!$B$15-AB4962))),-1E+030)</f>
        <v>-0.360016453852538</v>
      </c>
      <c r="AE4962" s="55" t="n">
        <f aca="false">IF(AC4962,IF(01_因子設定!$B$13="最大化",X4962,IF(01_因子設定!$B$13="最小化",-X4962,-ABS(X4962-01_因子設定!$B$16))),-1E+030)</f>
        <v>47.60638249269</v>
      </c>
      <c r="AF4962" s="55" t="n">
        <f aca="false">AD4962+ROW()*0.000000001</f>
        <v>-0.360011491852538</v>
      </c>
      <c r="AG4962" s="55" t="n">
        <f aca="false">AE4962+ROW()*0.000000001</f>
        <v>47.60638745469</v>
      </c>
    </row>
    <row r="4963" customFormat="false" ht="15" hidden="false" customHeight="false" outlineLevel="0" collapsed="false">
      <c r="A4963" s="0" t="n">
        <v>6</v>
      </c>
      <c r="B4963" s="0" t="n">
        <v>7</v>
      </c>
      <c r="C4963" s="0" t="n">
        <v>1</v>
      </c>
      <c r="D4963" s="0" t="n">
        <v>8</v>
      </c>
      <c r="E4963" s="0" t="n">
        <f aca="false">-1+A4963*0.25</f>
        <v>0.5</v>
      </c>
      <c r="F4963" s="0" t="n">
        <f aca="false">-1+B4963*0.25</f>
        <v>0.75</v>
      </c>
      <c r="G4963" s="0" t="n">
        <f aca="false">-1+C4963*0.25</f>
        <v>-0.75</v>
      </c>
      <c r="H4963" s="0" t="n">
        <f aca="false">-1+D4963*0.25</f>
        <v>1</v>
      </c>
      <c r="I4963" s="0" t="n">
        <f aca="false">1</f>
        <v>1</v>
      </c>
      <c r="J4963" s="0" t="n">
        <f aca="false">E4963</f>
        <v>0.5</v>
      </c>
      <c r="K4963" s="0" t="n">
        <f aca="false">F4963</f>
        <v>0.75</v>
      </c>
      <c r="L4963" s="0" t="n">
        <f aca="false">G4963</f>
        <v>-0.75</v>
      </c>
      <c r="M4963" s="0" t="n">
        <f aca="false">H4963</f>
        <v>1</v>
      </c>
      <c r="N4963" s="0" t="n">
        <f aca="false">E4963*F4963</f>
        <v>0.375</v>
      </c>
      <c r="O4963" s="0" t="n">
        <f aca="false">E4963*G4963</f>
        <v>-0.375</v>
      </c>
      <c r="P4963" s="0" t="n">
        <f aca="false">E4963*H4963</f>
        <v>0.5</v>
      </c>
      <c r="Q4963" s="0" t="n">
        <f aca="false">F4963*G4963</f>
        <v>-0.5625</v>
      </c>
      <c r="R4963" s="0" t="n">
        <f aca="false">F4963*H4963</f>
        <v>0.75</v>
      </c>
      <c r="S4963" s="0" t="n">
        <f aca="false">G4963*H4963</f>
        <v>-0.75</v>
      </c>
      <c r="T4963" s="0" t="n">
        <f aca="false">E4963*E4963</f>
        <v>0.25</v>
      </c>
      <c r="U4963" s="0" t="n">
        <f aca="false">F4963*F4963</f>
        <v>0.5625</v>
      </c>
      <c r="V4963" s="0" t="n">
        <f aca="false">G4963*G4963</f>
        <v>0.5625</v>
      </c>
      <c r="W4963" s="0" t="n">
        <f aca="false">H4963*H4963</f>
        <v>1</v>
      </c>
      <c r="X4963" s="0" t="n">
        <f aca="false">SUMPRODUCT(I4963:W4963,_XtX!$B$96:$P$96)</f>
        <v>47.4623218201754</v>
      </c>
      <c r="Y4963" s="0" t="n">
        <f aca="false">SUMPRODUCT(MMULT(I4963:W4963,_XtX!$B$78:$P$92),I4963:W4963)</f>
        <v>0.431153771472953</v>
      </c>
      <c r="Z4963" s="0" t="n">
        <f aca="false">04_回帰ANOVA!$K$19*04_回帰ANOVA!$K$14*SQRT(1+Y4963)</f>
        <v>1.55934259562563</v>
      </c>
      <c r="AA4963" s="0" t="n">
        <f aca="false">X4963-Z4963</f>
        <v>45.9029792245498</v>
      </c>
      <c r="AB4963" s="0" t="n">
        <f aca="false">X4963+Z4963</f>
        <v>49.0216644158011</v>
      </c>
      <c r="AC4963" s="54" t="b">
        <f aca="false">AND(E4963&gt;=01_因子設定!$L$5-0.000000001,E4963&lt;=01_因子設定!$M$5+0.000000001,F4963&gt;=01_因子設定!$L$6-0.000000001,F4963&lt;=01_因子設定!$M$6+0.000000001,G4963&gt;=01_因子設定!$L$7-0.000000001,G4963&lt;=01_因子設定!$M$7+0.000000001,H4963&gt;=01_因子設定!$L$8-0.000000001,H4963&lt;=01_因子設定!$M$8+0.000000001,IF(01_因子設定!$B$20="Box-Behnken",E4963^2+F4963^2+G4963^2+H4963^2&lt;=2+0.000000001,TRUE()))</f>
        <v>1</v>
      </c>
      <c r="AD4963" s="55" t="n">
        <f aca="false">IF(AC4963,IF(01_因子設定!$B$13="最大化",AA4963-01_因子設定!$B$14,IF(01_因子設定!$B$13="最小化",01_因子設定!$B$15-AB4963,MIN(AA4963-01_因子設定!$B$14,01_因子設定!$B$15-AB4963))),-1E+030)</f>
        <v>-0.597020775450197</v>
      </c>
      <c r="AE4963" s="55" t="n">
        <f aca="false">IF(AC4963,IF(01_因子設定!$B$13="最大化",X4963,IF(01_因子設定!$B$13="最小化",-X4963,-ABS(X4963-01_因子設定!$B$16))),-1E+030)</f>
        <v>47.4623218201754</v>
      </c>
      <c r="AF4963" s="55" t="n">
        <f aca="false">AD4963+ROW()*0.000000001</f>
        <v>-0.597015812450197</v>
      </c>
      <c r="AG4963" s="55" t="n">
        <f aca="false">AE4963+ROW()*0.000000001</f>
        <v>47.4623267831754</v>
      </c>
    </row>
    <row r="4964" customFormat="false" ht="15" hidden="false" customHeight="false" outlineLevel="0" collapsed="false">
      <c r="A4964" s="0" t="n">
        <v>6</v>
      </c>
      <c r="B4964" s="0" t="n">
        <v>7</v>
      </c>
      <c r="C4964" s="0" t="n">
        <v>2</v>
      </c>
      <c r="D4964" s="0" t="n">
        <v>0</v>
      </c>
      <c r="E4964" s="0" t="n">
        <f aca="false">-1+A4964*0.25</f>
        <v>0.5</v>
      </c>
      <c r="F4964" s="0" t="n">
        <f aca="false">-1+B4964*0.25</f>
        <v>0.75</v>
      </c>
      <c r="G4964" s="0" t="n">
        <f aca="false">-1+C4964*0.25</f>
        <v>-0.5</v>
      </c>
      <c r="H4964" s="0" t="n">
        <f aca="false">-1+D4964*0.25</f>
        <v>-1</v>
      </c>
      <c r="I4964" s="0" t="n">
        <f aca="false">1</f>
        <v>1</v>
      </c>
      <c r="J4964" s="0" t="n">
        <f aca="false">E4964</f>
        <v>0.5</v>
      </c>
      <c r="K4964" s="0" t="n">
        <f aca="false">F4964</f>
        <v>0.75</v>
      </c>
      <c r="L4964" s="0" t="n">
        <f aca="false">G4964</f>
        <v>-0.5</v>
      </c>
      <c r="M4964" s="0" t="n">
        <f aca="false">H4964</f>
        <v>-1</v>
      </c>
      <c r="N4964" s="0" t="n">
        <f aca="false">E4964*F4964</f>
        <v>0.375</v>
      </c>
      <c r="O4964" s="0" t="n">
        <f aca="false">E4964*G4964</f>
        <v>-0.25</v>
      </c>
      <c r="P4964" s="0" t="n">
        <f aca="false">E4964*H4964</f>
        <v>-0.5</v>
      </c>
      <c r="Q4964" s="0" t="n">
        <f aca="false">F4964*G4964</f>
        <v>-0.375</v>
      </c>
      <c r="R4964" s="0" t="n">
        <f aca="false">F4964*H4964</f>
        <v>-0.75</v>
      </c>
      <c r="S4964" s="0" t="n">
        <f aca="false">G4964*H4964</f>
        <v>0.5</v>
      </c>
      <c r="T4964" s="0" t="n">
        <f aca="false">E4964*E4964</f>
        <v>0.25</v>
      </c>
      <c r="U4964" s="0" t="n">
        <f aca="false">F4964*F4964</f>
        <v>0.5625</v>
      </c>
      <c r="V4964" s="0" t="n">
        <f aca="false">G4964*G4964</f>
        <v>0.25</v>
      </c>
      <c r="W4964" s="0" t="n">
        <f aca="false">H4964*H4964</f>
        <v>1</v>
      </c>
      <c r="X4964" s="0" t="n">
        <f aca="false">SUMPRODUCT(I4964:W4964,_XtX!$B$96:$P$96)</f>
        <v>47.6407803362573</v>
      </c>
      <c r="Y4964" s="0" t="n">
        <f aca="false">SUMPRODUCT(MMULT(I4964:W4964,_XtX!$B$78:$P$92),I4964:W4964)</f>
        <v>0.42602110745614</v>
      </c>
      <c r="Z4964" s="0" t="n">
        <f aca="false">04_回帰ANOVA!$K$19*04_回帰ANOVA!$K$14*SQRT(1+Y4964)</f>
        <v>1.55654388501114</v>
      </c>
      <c r="AA4964" s="0" t="n">
        <f aca="false">X4964-Z4964</f>
        <v>46.0842364512462</v>
      </c>
      <c r="AB4964" s="0" t="n">
        <f aca="false">X4964+Z4964</f>
        <v>49.1973242212684</v>
      </c>
      <c r="AC4964" s="54" t="b">
        <f aca="false">AND(E4964&gt;=01_因子設定!$L$5-0.000000001,E4964&lt;=01_因子設定!$M$5+0.000000001,F4964&gt;=01_因子設定!$L$6-0.000000001,F4964&lt;=01_因子設定!$M$6+0.000000001,G4964&gt;=01_因子設定!$L$7-0.000000001,G4964&lt;=01_因子設定!$M$7+0.000000001,H4964&gt;=01_因子設定!$L$8-0.000000001,H4964&lt;=01_因子設定!$M$8+0.000000001,IF(01_因子設定!$B$20="Box-Behnken",E4964^2+F4964^2+G4964^2+H4964^2&lt;=2+0.000000001,TRUE()))</f>
        <v>1</v>
      </c>
      <c r="AD4964" s="55" t="n">
        <f aca="false">IF(AC4964,IF(01_因子設定!$B$13="最大化",AA4964-01_因子設定!$B$14,IF(01_因子設定!$B$13="最小化",01_因子設定!$B$15-AB4964,MIN(AA4964-01_因子設定!$B$14,01_因子設定!$B$15-AB4964))),-1E+030)</f>
        <v>-0.41576354875383</v>
      </c>
      <c r="AE4964" s="55" t="n">
        <f aca="false">IF(AC4964,IF(01_因子設定!$B$13="最大化",X4964,IF(01_因子設定!$B$13="最小化",-X4964,-ABS(X4964-01_因子設定!$B$16))),-1E+030)</f>
        <v>47.6407803362573</v>
      </c>
      <c r="AF4964" s="55" t="n">
        <f aca="false">AD4964+ROW()*0.000000001</f>
        <v>-0.41575858475383</v>
      </c>
      <c r="AG4964" s="55" t="n">
        <f aca="false">AE4964+ROW()*0.000000001</f>
        <v>47.6407853002573</v>
      </c>
    </row>
    <row r="4965" customFormat="false" ht="15" hidden="false" customHeight="false" outlineLevel="0" collapsed="false">
      <c r="A4965" s="0" t="n">
        <v>6</v>
      </c>
      <c r="B4965" s="0" t="n">
        <v>7</v>
      </c>
      <c r="C4965" s="0" t="n">
        <v>2</v>
      </c>
      <c r="D4965" s="0" t="n">
        <v>1</v>
      </c>
      <c r="E4965" s="0" t="n">
        <f aca="false">-1+A4965*0.25</f>
        <v>0.5</v>
      </c>
      <c r="F4965" s="0" t="n">
        <f aca="false">-1+B4965*0.25</f>
        <v>0.75</v>
      </c>
      <c r="G4965" s="0" t="n">
        <f aca="false">-1+C4965*0.25</f>
        <v>-0.5</v>
      </c>
      <c r="H4965" s="0" t="n">
        <f aca="false">-1+D4965*0.25</f>
        <v>-0.75</v>
      </c>
      <c r="I4965" s="0" t="n">
        <f aca="false">1</f>
        <v>1</v>
      </c>
      <c r="J4965" s="0" t="n">
        <f aca="false">E4965</f>
        <v>0.5</v>
      </c>
      <c r="K4965" s="0" t="n">
        <f aca="false">F4965</f>
        <v>0.75</v>
      </c>
      <c r="L4965" s="0" t="n">
        <f aca="false">G4965</f>
        <v>-0.5</v>
      </c>
      <c r="M4965" s="0" t="n">
        <f aca="false">H4965</f>
        <v>-0.75</v>
      </c>
      <c r="N4965" s="0" t="n">
        <f aca="false">E4965*F4965</f>
        <v>0.375</v>
      </c>
      <c r="O4965" s="0" t="n">
        <f aca="false">E4965*G4965</f>
        <v>-0.25</v>
      </c>
      <c r="P4965" s="0" t="n">
        <f aca="false">E4965*H4965</f>
        <v>-0.375</v>
      </c>
      <c r="Q4965" s="0" t="n">
        <f aca="false">F4965*G4965</f>
        <v>-0.375</v>
      </c>
      <c r="R4965" s="0" t="n">
        <f aca="false">F4965*H4965</f>
        <v>-0.5625</v>
      </c>
      <c r="S4965" s="0" t="n">
        <f aca="false">G4965*H4965</f>
        <v>0.375</v>
      </c>
      <c r="T4965" s="0" t="n">
        <f aca="false">E4965*E4965</f>
        <v>0.25</v>
      </c>
      <c r="U4965" s="0" t="n">
        <f aca="false">F4965*F4965</f>
        <v>0.5625</v>
      </c>
      <c r="V4965" s="0" t="n">
        <f aca="false">G4965*G4965</f>
        <v>0.25</v>
      </c>
      <c r="W4965" s="0" t="n">
        <f aca="false">H4965*H4965</f>
        <v>0.5625</v>
      </c>
      <c r="X4965" s="0" t="n">
        <f aca="false">SUMPRODUCT(I4965:W4965,_XtX!$B$96:$P$96)</f>
        <v>47.8493375365497</v>
      </c>
      <c r="Y4965" s="0" t="n">
        <f aca="false">SUMPRODUCT(MMULT(I4965:W4965,_XtX!$B$78:$P$92),I4965:W4965)</f>
        <v>0.237862927174708</v>
      </c>
      <c r="Z4965" s="0" t="n">
        <f aca="false">04_回帰ANOVA!$K$19*04_回帰ANOVA!$K$14*SQRT(1+Y4965)</f>
        <v>1.45022260708756</v>
      </c>
      <c r="AA4965" s="0" t="n">
        <f aca="false">X4965-Z4965</f>
        <v>46.3991149294621</v>
      </c>
      <c r="AB4965" s="0" t="n">
        <f aca="false">X4965+Z4965</f>
        <v>49.2995601436372</v>
      </c>
      <c r="AC4965" s="54" t="b">
        <f aca="false">AND(E4965&gt;=01_因子設定!$L$5-0.000000001,E4965&lt;=01_因子設定!$M$5+0.000000001,F4965&gt;=01_因子設定!$L$6-0.000000001,F4965&lt;=01_因子設定!$M$6+0.000000001,G4965&gt;=01_因子設定!$L$7-0.000000001,G4965&lt;=01_因子設定!$M$7+0.000000001,H4965&gt;=01_因子設定!$L$8-0.000000001,H4965&lt;=01_因子設定!$M$8+0.000000001,IF(01_因子設定!$B$20="Box-Behnken",E4965^2+F4965^2+G4965^2+H4965^2&lt;=2+0.000000001,TRUE()))</f>
        <v>1</v>
      </c>
      <c r="AD4965" s="55" t="n">
        <f aca="false">IF(AC4965,IF(01_因子設定!$B$13="最大化",AA4965-01_因子設定!$B$14,IF(01_因子設定!$B$13="最小化",01_因子設定!$B$15-AB4965,MIN(AA4965-01_因子設定!$B$14,01_因子設定!$B$15-AB4965))),-1E+030)</f>
        <v>-0.100885070537878</v>
      </c>
      <c r="AE4965" s="55" t="n">
        <f aca="false">IF(AC4965,IF(01_因子設定!$B$13="最大化",X4965,IF(01_因子設定!$B$13="最小化",-X4965,-ABS(X4965-01_因子設定!$B$16))),-1E+030)</f>
        <v>47.8493375365497</v>
      </c>
      <c r="AF4965" s="55" t="n">
        <f aca="false">AD4965+ROW()*0.000000001</f>
        <v>-0.100880105537878</v>
      </c>
      <c r="AG4965" s="55" t="n">
        <f aca="false">AE4965+ROW()*0.000000001</f>
        <v>47.8493425015497</v>
      </c>
    </row>
    <row r="4966" customFormat="false" ht="15" hidden="false" customHeight="false" outlineLevel="0" collapsed="false">
      <c r="A4966" s="0" t="n">
        <v>6</v>
      </c>
      <c r="B4966" s="0" t="n">
        <v>7</v>
      </c>
      <c r="C4966" s="0" t="n">
        <v>2</v>
      </c>
      <c r="D4966" s="0" t="n">
        <v>2</v>
      </c>
      <c r="E4966" s="0" t="n">
        <f aca="false">-1+A4966*0.25</f>
        <v>0.5</v>
      </c>
      <c r="F4966" s="0" t="n">
        <f aca="false">-1+B4966*0.25</f>
        <v>0.75</v>
      </c>
      <c r="G4966" s="0" t="n">
        <f aca="false">-1+C4966*0.25</f>
        <v>-0.5</v>
      </c>
      <c r="H4966" s="0" t="n">
        <f aca="false">-1+D4966*0.25</f>
        <v>-0.5</v>
      </c>
      <c r="I4966" s="0" t="n">
        <f aca="false">1</f>
        <v>1</v>
      </c>
      <c r="J4966" s="0" t="n">
        <f aca="false">E4966</f>
        <v>0.5</v>
      </c>
      <c r="K4966" s="0" t="n">
        <f aca="false">F4966</f>
        <v>0.75</v>
      </c>
      <c r="L4966" s="0" t="n">
        <f aca="false">G4966</f>
        <v>-0.5</v>
      </c>
      <c r="M4966" s="0" t="n">
        <f aca="false">H4966</f>
        <v>-0.5</v>
      </c>
      <c r="N4966" s="0" t="n">
        <f aca="false">E4966*F4966</f>
        <v>0.375</v>
      </c>
      <c r="O4966" s="0" t="n">
        <f aca="false">E4966*G4966</f>
        <v>-0.25</v>
      </c>
      <c r="P4966" s="0" t="n">
        <f aca="false">E4966*H4966</f>
        <v>-0.25</v>
      </c>
      <c r="Q4966" s="0" t="n">
        <f aca="false">F4966*G4966</f>
        <v>-0.375</v>
      </c>
      <c r="R4966" s="0" t="n">
        <f aca="false">F4966*H4966</f>
        <v>-0.375</v>
      </c>
      <c r="S4966" s="0" t="n">
        <f aca="false">G4966*H4966</f>
        <v>0.25</v>
      </c>
      <c r="T4966" s="0" t="n">
        <f aca="false">E4966*E4966</f>
        <v>0.25</v>
      </c>
      <c r="U4966" s="0" t="n">
        <f aca="false">F4966*F4966</f>
        <v>0.5625</v>
      </c>
      <c r="V4966" s="0" t="n">
        <f aca="false">G4966*G4966</f>
        <v>0.25</v>
      </c>
      <c r="W4966" s="0" t="n">
        <f aca="false">H4966*H4966</f>
        <v>0.25</v>
      </c>
      <c r="X4966" s="0" t="n">
        <f aca="false">SUMPRODUCT(I4966:W4966,_XtX!$B$96:$P$96)</f>
        <v>48.0100877192982</v>
      </c>
      <c r="Y4966" s="0" t="n">
        <f aca="false">SUMPRODUCT(MMULT(I4966:W4966,_XtX!$B$78:$P$92),I4966:W4966)</f>
        <v>0.193924753289474</v>
      </c>
      <c r="Z4966" s="0" t="n">
        <f aca="false">04_回帰ANOVA!$K$19*04_回帰ANOVA!$K$14*SQRT(1+Y4966)</f>
        <v>1.4242521079916</v>
      </c>
      <c r="AA4966" s="0" t="n">
        <f aca="false">X4966-Z4966</f>
        <v>46.5858356113066</v>
      </c>
      <c r="AB4966" s="0" t="n">
        <f aca="false">X4966+Z4966</f>
        <v>49.4343398272898</v>
      </c>
      <c r="AC4966" s="54" t="b">
        <f aca="false">AND(E4966&gt;=01_因子設定!$L$5-0.000000001,E4966&lt;=01_因子設定!$M$5+0.000000001,F4966&gt;=01_因子設定!$L$6-0.000000001,F4966&lt;=01_因子設定!$M$6+0.000000001,G4966&gt;=01_因子設定!$L$7-0.000000001,G4966&lt;=01_因子設定!$M$7+0.000000001,H4966&gt;=01_因子設定!$L$8-0.000000001,H4966&lt;=01_因子設定!$M$8+0.000000001,IF(01_因子設定!$B$20="Box-Behnken",E4966^2+F4966^2+G4966^2+H4966^2&lt;=2+0.000000001,TRUE()))</f>
        <v>1</v>
      </c>
      <c r="AD4966" s="55" t="n">
        <f aca="false">IF(AC4966,IF(01_因子設定!$B$13="最大化",AA4966-01_因子設定!$B$14,IF(01_因子設定!$B$13="最小化",01_因子設定!$B$15-AB4966,MIN(AA4966-01_因子設定!$B$14,01_因子設定!$B$15-AB4966))),-1E+030)</f>
        <v>0.0858356113066137</v>
      </c>
      <c r="AE4966" s="55" t="n">
        <f aca="false">IF(AC4966,IF(01_因子設定!$B$13="最大化",X4966,IF(01_因子設定!$B$13="最小化",-X4966,-ABS(X4966-01_因子設定!$B$16))),-1E+030)</f>
        <v>48.0100877192982</v>
      </c>
      <c r="AF4966" s="55" t="n">
        <f aca="false">AD4966+ROW()*0.000000001</f>
        <v>0.0858405773066137</v>
      </c>
      <c r="AG4966" s="55" t="n">
        <f aca="false">AE4966+ROW()*0.000000001</f>
        <v>48.0100926852982</v>
      </c>
    </row>
    <row r="4967" customFormat="false" ht="15" hidden="false" customHeight="false" outlineLevel="0" collapsed="false">
      <c r="A4967" s="0" t="n">
        <v>6</v>
      </c>
      <c r="B4967" s="0" t="n">
        <v>7</v>
      </c>
      <c r="C4967" s="0" t="n">
        <v>2</v>
      </c>
      <c r="D4967" s="0" t="n">
        <v>3</v>
      </c>
      <c r="E4967" s="0" t="n">
        <f aca="false">-1+A4967*0.25</f>
        <v>0.5</v>
      </c>
      <c r="F4967" s="0" t="n">
        <f aca="false">-1+B4967*0.25</f>
        <v>0.75</v>
      </c>
      <c r="G4967" s="0" t="n">
        <f aca="false">-1+C4967*0.25</f>
        <v>-0.5</v>
      </c>
      <c r="H4967" s="0" t="n">
        <f aca="false">-1+D4967*0.25</f>
        <v>-0.25</v>
      </c>
      <c r="I4967" s="0" t="n">
        <f aca="false">1</f>
        <v>1</v>
      </c>
      <c r="J4967" s="0" t="n">
        <f aca="false">E4967</f>
        <v>0.5</v>
      </c>
      <c r="K4967" s="0" t="n">
        <f aca="false">F4967</f>
        <v>0.75</v>
      </c>
      <c r="L4967" s="0" t="n">
        <f aca="false">G4967</f>
        <v>-0.5</v>
      </c>
      <c r="M4967" s="0" t="n">
        <f aca="false">H4967</f>
        <v>-0.25</v>
      </c>
      <c r="N4967" s="0" t="n">
        <f aca="false">E4967*F4967</f>
        <v>0.375</v>
      </c>
      <c r="O4967" s="0" t="n">
        <f aca="false">E4967*G4967</f>
        <v>-0.25</v>
      </c>
      <c r="P4967" s="0" t="n">
        <f aca="false">E4967*H4967</f>
        <v>-0.125</v>
      </c>
      <c r="Q4967" s="0" t="n">
        <f aca="false">F4967*G4967</f>
        <v>-0.375</v>
      </c>
      <c r="R4967" s="0" t="n">
        <f aca="false">F4967*H4967</f>
        <v>-0.1875</v>
      </c>
      <c r="S4967" s="0" t="n">
        <f aca="false">G4967*H4967</f>
        <v>0.125</v>
      </c>
      <c r="T4967" s="0" t="n">
        <f aca="false">E4967*E4967</f>
        <v>0.25</v>
      </c>
      <c r="U4967" s="0" t="n">
        <f aca="false">F4967*F4967</f>
        <v>0.5625</v>
      </c>
      <c r="V4967" s="0" t="n">
        <f aca="false">G4967*G4967</f>
        <v>0.25</v>
      </c>
      <c r="W4967" s="0" t="n">
        <f aca="false">H4967*H4967</f>
        <v>0.0625</v>
      </c>
      <c r="X4967" s="0" t="n">
        <f aca="false">SUMPRODUCT(I4967:W4967,_XtX!$B$96:$P$96)</f>
        <v>48.1230308845029</v>
      </c>
      <c r="Y4967" s="0" t="n">
        <f aca="false">SUMPRODUCT(MMULT(I4967:W4967,_XtX!$B$78:$P$92),I4967:W4967)</f>
        <v>0.203746059484649</v>
      </c>
      <c r="Z4967" s="0" t="n">
        <f aca="false">04_回帰ANOVA!$K$19*04_回帰ANOVA!$K$14*SQRT(1+Y4967)</f>
        <v>1.43009810755465</v>
      </c>
      <c r="AA4967" s="0" t="n">
        <f aca="false">X4967-Z4967</f>
        <v>46.6929327769482</v>
      </c>
      <c r="AB4967" s="0" t="n">
        <f aca="false">X4967+Z4967</f>
        <v>49.5531289920575</v>
      </c>
      <c r="AC4967" s="54" t="b">
        <f aca="false">AND(E4967&gt;=01_因子設定!$L$5-0.000000001,E4967&lt;=01_因子設定!$M$5+0.000000001,F4967&gt;=01_因子設定!$L$6-0.000000001,F4967&lt;=01_因子設定!$M$6+0.000000001,G4967&gt;=01_因子設定!$L$7-0.000000001,G4967&lt;=01_因子設定!$M$7+0.000000001,H4967&gt;=01_因子設定!$L$8-0.000000001,H4967&lt;=01_因子設定!$M$8+0.000000001,IF(01_因子設定!$B$20="Box-Behnken",E4967^2+F4967^2+G4967^2+H4967^2&lt;=2+0.000000001,TRUE()))</f>
        <v>1</v>
      </c>
      <c r="AD4967" s="55" t="n">
        <f aca="false">IF(AC4967,IF(01_因子設定!$B$13="最大化",AA4967-01_因子設定!$B$14,IF(01_因子設定!$B$13="最小化",01_因子設定!$B$15-AB4967,MIN(AA4967-01_因子設定!$B$14,01_因子設定!$B$15-AB4967))),-1E+030)</f>
        <v>0.192932776948233</v>
      </c>
      <c r="AE4967" s="55" t="n">
        <f aca="false">IF(AC4967,IF(01_因子設定!$B$13="最大化",X4967,IF(01_因子設定!$B$13="最小化",-X4967,-ABS(X4967-01_因子設定!$B$16))),-1E+030)</f>
        <v>48.1230308845029</v>
      </c>
      <c r="AF4967" s="55" t="n">
        <f aca="false">AD4967+ROW()*0.000000001</f>
        <v>0.192937743948233</v>
      </c>
      <c r="AG4967" s="55" t="n">
        <f aca="false">AE4967+ROW()*0.000000001</f>
        <v>48.1230358515029</v>
      </c>
    </row>
    <row r="4968" customFormat="false" ht="15" hidden="false" customHeight="false" outlineLevel="0" collapsed="false">
      <c r="A4968" s="0" t="n">
        <v>6</v>
      </c>
      <c r="B4968" s="0" t="n">
        <v>7</v>
      </c>
      <c r="C4968" s="0" t="n">
        <v>2</v>
      </c>
      <c r="D4968" s="0" t="n">
        <v>4</v>
      </c>
      <c r="E4968" s="0" t="n">
        <f aca="false">-1+A4968*0.25</f>
        <v>0.5</v>
      </c>
      <c r="F4968" s="0" t="n">
        <f aca="false">-1+B4968*0.25</f>
        <v>0.75</v>
      </c>
      <c r="G4968" s="0" t="n">
        <f aca="false">-1+C4968*0.25</f>
        <v>-0.5</v>
      </c>
      <c r="H4968" s="0" t="n">
        <f aca="false">-1+D4968*0.25</f>
        <v>0</v>
      </c>
      <c r="I4968" s="0" t="n">
        <f aca="false">1</f>
        <v>1</v>
      </c>
      <c r="J4968" s="0" t="n">
        <f aca="false">E4968</f>
        <v>0.5</v>
      </c>
      <c r="K4968" s="0" t="n">
        <f aca="false">F4968</f>
        <v>0.75</v>
      </c>
      <c r="L4968" s="0" t="n">
        <f aca="false">G4968</f>
        <v>-0.5</v>
      </c>
      <c r="M4968" s="0" t="n">
        <f aca="false">H4968</f>
        <v>0</v>
      </c>
      <c r="N4968" s="0" t="n">
        <f aca="false">E4968*F4968</f>
        <v>0.375</v>
      </c>
      <c r="O4968" s="0" t="n">
        <f aca="false">E4968*G4968</f>
        <v>-0.25</v>
      </c>
      <c r="P4968" s="0" t="n">
        <f aca="false">E4968*H4968</f>
        <v>0</v>
      </c>
      <c r="Q4968" s="0" t="n">
        <f aca="false">F4968*G4968</f>
        <v>-0.375</v>
      </c>
      <c r="R4968" s="0" t="n">
        <f aca="false">F4968*H4968</f>
        <v>0</v>
      </c>
      <c r="S4968" s="0" t="n">
        <f aca="false">G4968*H4968</f>
        <v>-0</v>
      </c>
      <c r="T4968" s="0" t="n">
        <f aca="false">E4968*E4968</f>
        <v>0.25</v>
      </c>
      <c r="U4968" s="0" t="n">
        <f aca="false">F4968*F4968</f>
        <v>0.5625</v>
      </c>
      <c r="V4968" s="0" t="n">
        <f aca="false">G4968*G4968</f>
        <v>0.25</v>
      </c>
      <c r="W4968" s="0" t="n">
        <f aca="false">H4968*H4968</f>
        <v>0</v>
      </c>
      <c r="X4968" s="0" t="n">
        <f aca="false">SUMPRODUCT(I4968:W4968,_XtX!$B$96:$P$96)</f>
        <v>48.1881670321637</v>
      </c>
      <c r="Y4968" s="0" t="n">
        <f aca="false">SUMPRODUCT(MMULT(I4968:W4968,_XtX!$B$78:$P$92),I4968:W4968)</f>
        <v>0.21305052997076</v>
      </c>
      <c r="Z4968" s="0" t="n">
        <f aca="false">04_回帰ANOVA!$K$19*04_回帰ANOVA!$K$14*SQRT(1+Y4968)</f>
        <v>1.43561450835061</v>
      </c>
      <c r="AA4968" s="0" t="n">
        <f aca="false">X4968-Z4968</f>
        <v>46.7525525238131</v>
      </c>
      <c r="AB4968" s="0" t="n">
        <f aca="false">X4968+Z4968</f>
        <v>49.6237815405143</v>
      </c>
      <c r="AC4968" s="54" t="b">
        <f aca="false">AND(E4968&gt;=01_因子設定!$L$5-0.000000001,E4968&lt;=01_因子設定!$M$5+0.000000001,F4968&gt;=01_因子設定!$L$6-0.000000001,F4968&lt;=01_因子設定!$M$6+0.000000001,G4968&gt;=01_因子設定!$L$7-0.000000001,G4968&lt;=01_因子設定!$M$7+0.000000001,H4968&gt;=01_因子設定!$L$8-0.000000001,H4968&lt;=01_因子設定!$M$8+0.000000001,IF(01_因子設定!$B$20="Box-Behnken",E4968^2+F4968^2+G4968^2+H4968^2&lt;=2+0.000000001,TRUE()))</f>
        <v>1</v>
      </c>
      <c r="AD4968" s="55" t="n">
        <f aca="false">IF(AC4968,IF(01_因子設定!$B$13="最大化",AA4968-01_因子設定!$B$14,IF(01_因子設定!$B$13="最小化",01_因子設定!$B$15-AB4968,MIN(AA4968-01_因子設定!$B$14,01_因子設定!$B$15-AB4968))),-1E+030)</f>
        <v>0.252552523813094</v>
      </c>
      <c r="AE4968" s="55" t="n">
        <f aca="false">IF(AC4968,IF(01_因子設定!$B$13="最大化",X4968,IF(01_因子設定!$B$13="最小化",-X4968,-ABS(X4968-01_因子設定!$B$16))),-1E+030)</f>
        <v>48.1881670321637</v>
      </c>
      <c r="AF4968" s="55" t="n">
        <f aca="false">AD4968+ROW()*0.000000001</f>
        <v>0.252557491813094</v>
      </c>
      <c r="AG4968" s="55" t="n">
        <f aca="false">AE4968+ROW()*0.000000001</f>
        <v>48.1881720001637</v>
      </c>
    </row>
    <row r="4969" customFormat="false" ht="15" hidden="false" customHeight="false" outlineLevel="0" collapsed="false">
      <c r="A4969" s="0" t="n">
        <v>6</v>
      </c>
      <c r="B4969" s="0" t="n">
        <v>7</v>
      </c>
      <c r="C4969" s="0" t="n">
        <v>2</v>
      </c>
      <c r="D4969" s="0" t="n">
        <v>5</v>
      </c>
      <c r="E4969" s="0" t="n">
        <f aca="false">-1+A4969*0.25</f>
        <v>0.5</v>
      </c>
      <c r="F4969" s="0" t="n">
        <f aca="false">-1+B4969*0.25</f>
        <v>0.75</v>
      </c>
      <c r="G4969" s="0" t="n">
        <f aca="false">-1+C4969*0.25</f>
        <v>-0.5</v>
      </c>
      <c r="H4969" s="0" t="n">
        <f aca="false">-1+D4969*0.25</f>
        <v>0.25</v>
      </c>
      <c r="I4969" s="0" t="n">
        <f aca="false">1</f>
        <v>1</v>
      </c>
      <c r="J4969" s="0" t="n">
        <f aca="false">E4969</f>
        <v>0.5</v>
      </c>
      <c r="K4969" s="0" t="n">
        <f aca="false">F4969</f>
        <v>0.75</v>
      </c>
      <c r="L4969" s="0" t="n">
        <f aca="false">G4969</f>
        <v>-0.5</v>
      </c>
      <c r="M4969" s="0" t="n">
        <f aca="false">H4969</f>
        <v>0.25</v>
      </c>
      <c r="N4969" s="0" t="n">
        <f aca="false">E4969*F4969</f>
        <v>0.375</v>
      </c>
      <c r="O4969" s="0" t="n">
        <f aca="false">E4969*G4969</f>
        <v>-0.25</v>
      </c>
      <c r="P4969" s="0" t="n">
        <f aca="false">E4969*H4969</f>
        <v>0.125</v>
      </c>
      <c r="Q4969" s="0" t="n">
        <f aca="false">F4969*G4969</f>
        <v>-0.375</v>
      </c>
      <c r="R4969" s="0" t="n">
        <f aca="false">F4969*H4969</f>
        <v>0.1875</v>
      </c>
      <c r="S4969" s="0" t="n">
        <f aca="false">G4969*H4969</f>
        <v>-0.125</v>
      </c>
      <c r="T4969" s="0" t="n">
        <f aca="false">E4969*E4969</f>
        <v>0.25</v>
      </c>
      <c r="U4969" s="0" t="n">
        <f aca="false">F4969*F4969</f>
        <v>0.5625</v>
      </c>
      <c r="V4969" s="0" t="n">
        <f aca="false">G4969*G4969</f>
        <v>0.25</v>
      </c>
      <c r="W4969" s="0" t="n">
        <f aca="false">H4969*H4969</f>
        <v>0.0625</v>
      </c>
      <c r="X4969" s="0" t="n">
        <f aca="false">SUMPRODUCT(I4969:W4969,_XtX!$B$96:$P$96)</f>
        <v>48.2054961622807</v>
      </c>
      <c r="Y4969" s="0" t="n">
        <f aca="false">SUMPRODUCT(MMULT(I4969:W4969,_XtX!$B$78:$P$92),I4969:W4969)</f>
        <v>0.203746059484649</v>
      </c>
      <c r="Z4969" s="0" t="n">
        <f aca="false">04_回帰ANOVA!$K$19*04_回帰ANOVA!$K$14*SQRT(1+Y4969)</f>
        <v>1.43009810755465</v>
      </c>
      <c r="AA4969" s="0" t="n">
        <f aca="false">X4969-Z4969</f>
        <v>46.775398054726</v>
      </c>
      <c r="AB4969" s="0" t="n">
        <f aca="false">X4969+Z4969</f>
        <v>49.6355942698353</v>
      </c>
      <c r="AC4969" s="54" t="b">
        <f aca="false">AND(E4969&gt;=01_因子設定!$L$5-0.000000001,E4969&lt;=01_因子設定!$M$5+0.000000001,F4969&gt;=01_因子設定!$L$6-0.000000001,F4969&lt;=01_因子設定!$M$6+0.000000001,G4969&gt;=01_因子設定!$L$7-0.000000001,G4969&lt;=01_因子設定!$M$7+0.000000001,H4969&gt;=01_因子設定!$L$8-0.000000001,H4969&lt;=01_因子設定!$M$8+0.000000001,IF(01_因子設定!$B$20="Box-Behnken",E4969^2+F4969^2+G4969^2+H4969^2&lt;=2+0.000000001,TRUE()))</f>
        <v>1</v>
      </c>
      <c r="AD4969" s="55" t="n">
        <f aca="false">IF(AC4969,IF(01_因子設定!$B$13="最大化",AA4969-01_因子設定!$B$14,IF(01_因子設定!$B$13="最小化",01_因子設定!$B$15-AB4969,MIN(AA4969-01_因子設定!$B$14,01_因子設定!$B$15-AB4969))),-1E+030)</f>
        <v>0.275398054726011</v>
      </c>
      <c r="AE4969" s="55" t="n">
        <f aca="false">IF(AC4969,IF(01_因子設定!$B$13="最大化",X4969,IF(01_因子設定!$B$13="最小化",-X4969,-ABS(X4969-01_因子設定!$B$16))),-1E+030)</f>
        <v>48.2054961622807</v>
      </c>
      <c r="AF4969" s="55" t="n">
        <f aca="false">AD4969+ROW()*0.000000001</f>
        <v>0.275403023726011</v>
      </c>
      <c r="AG4969" s="55" t="n">
        <f aca="false">AE4969+ROW()*0.000000001</f>
        <v>48.2055011312807</v>
      </c>
    </row>
    <row r="4970" customFormat="false" ht="15" hidden="false" customHeight="false" outlineLevel="0" collapsed="false">
      <c r="A4970" s="0" t="n">
        <v>6</v>
      </c>
      <c r="B4970" s="0" t="n">
        <v>7</v>
      </c>
      <c r="C4970" s="0" t="n">
        <v>2</v>
      </c>
      <c r="D4970" s="0" t="n">
        <v>6</v>
      </c>
      <c r="E4970" s="0" t="n">
        <f aca="false">-1+A4970*0.25</f>
        <v>0.5</v>
      </c>
      <c r="F4970" s="0" t="n">
        <f aca="false">-1+B4970*0.25</f>
        <v>0.75</v>
      </c>
      <c r="G4970" s="0" t="n">
        <f aca="false">-1+C4970*0.25</f>
        <v>-0.5</v>
      </c>
      <c r="H4970" s="0" t="n">
        <f aca="false">-1+D4970*0.25</f>
        <v>0.5</v>
      </c>
      <c r="I4970" s="0" t="n">
        <f aca="false">1</f>
        <v>1</v>
      </c>
      <c r="J4970" s="0" t="n">
        <f aca="false">E4970</f>
        <v>0.5</v>
      </c>
      <c r="K4970" s="0" t="n">
        <f aca="false">F4970</f>
        <v>0.75</v>
      </c>
      <c r="L4970" s="0" t="n">
        <f aca="false">G4970</f>
        <v>-0.5</v>
      </c>
      <c r="M4970" s="0" t="n">
        <f aca="false">H4970</f>
        <v>0.5</v>
      </c>
      <c r="N4970" s="0" t="n">
        <f aca="false">E4970*F4970</f>
        <v>0.375</v>
      </c>
      <c r="O4970" s="0" t="n">
        <f aca="false">E4970*G4970</f>
        <v>-0.25</v>
      </c>
      <c r="P4970" s="0" t="n">
        <f aca="false">E4970*H4970</f>
        <v>0.25</v>
      </c>
      <c r="Q4970" s="0" t="n">
        <f aca="false">F4970*G4970</f>
        <v>-0.375</v>
      </c>
      <c r="R4970" s="0" t="n">
        <f aca="false">F4970*H4970</f>
        <v>0.375</v>
      </c>
      <c r="S4970" s="0" t="n">
        <f aca="false">G4970*H4970</f>
        <v>-0.25</v>
      </c>
      <c r="T4970" s="0" t="n">
        <f aca="false">E4970*E4970</f>
        <v>0.25</v>
      </c>
      <c r="U4970" s="0" t="n">
        <f aca="false">F4970*F4970</f>
        <v>0.5625</v>
      </c>
      <c r="V4970" s="0" t="n">
        <f aca="false">G4970*G4970</f>
        <v>0.25</v>
      </c>
      <c r="W4970" s="0" t="n">
        <f aca="false">H4970*H4970</f>
        <v>0.25</v>
      </c>
      <c r="X4970" s="0" t="n">
        <f aca="false">SUMPRODUCT(I4970:W4970,_XtX!$B$96:$P$96)</f>
        <v>48.1750182748538</v>
      </c>
      <c r="Y4970" s="0" t="n">
        <f aca="false">SUMPRODUCT(MMULT(I4970:W4970,_XtX!$B$78:$P$92),I4970:W4970)</f>
        <v>0.193924753289474</v>
      </c>
      <c r="Z4970" s="0" t="n">
        <f aca="false">04_回帰ANOVA!$K$19*04_回帰ANOVA!$K$14*SQRT(1+Y4970)</f>
        <v>1.4242521079916</v>
      </c>
      <c r="AA4970" s="0" t="n">
        <f aca="false">X4970-Z4970</f>
        <v>46.7507661668622</v>
      </c>
      <c r="AB4970" s="0" t="n">
        <f aca="false">X4970+Z4970</f>
        <v>49.5992703828454</v>
      </c>
      <c r="AC4970" s="54" t="b">
        <f aca="false">AND(E4970&gt;=01_因子設定!$L$5-0.000000001,E4970&lt;=01_因子設定!$M$5+0.000000001,F4970&gt;=01_因子設定!$L$6-0.000000001,F4970&lt;=01_因子設定!$M$6+0.000000001,G4970&gt;=01_因子設定!$L$7-0.000000001,G4970&lt;=01_因子設定!$M$7+0.000000001,H4970&gt;=01_因子設定!$L$8-0.000000001,H4970&lt;=01_因子設定!$M$8+0.000000001,IF(01_因子設定!$B$20="Box-Behnken",E4970^2+F4970^2+G4970^2+H4970^2&lt;=2+0.000000001,TRUE()))</f>
        <v>1</v>
      </c>
      <c r="AD4970" s="55" t="n">
        <f aca="false">IF(AC4970,IF(01_因子設定!$B$13="最大化",AA4970-01_因子設定!$B$14,IF(01_因子設定!$B$13="最小化",01_因子設定!$B$15-AB4970,MIN(AA4970-01_因子設定!$B$14,01_因子設定!$B$15-AB4970))),-1E+030)</f>
        <v>0.250766166862171</v>
      </c>
      <c r="AE4970" s="55" t="n">
        <f aca="false">IF(AC4970,IF(01_因子設定!$B$13="最大化",X4970,IF(01_因子設定!$B$13="最小化",-X4970,-ABS(X4970-01_因子設定!$B$16))),-1E+030)</f>
        <v>48.1750182748538</v>
      </c>
      <c r="AF4970" s="55" t="n">
        <f aca="false">AD4970+ROW()*0.000000001</f>
        <v>0.250771136862171</v>
      </c>
      <c r="AG4970" s="55" t="n">
        <f aca="false">AE4970+ROW()*0.000000001</f>
        <v>48.1750232448538</v>
      </c>
    </row>
    <row r="4971" customFormat="false" ht="15" hidden="false" customHeight="false" outlineLevel="0" collapsed="false">
      <c r="A4971" s="0" t="n">
        <v>6</v>
      </c>
      <c r="B4971" s="0" t="n">
        <v>7</v>
      </c>
      <c r="C4971" s="0" t="n">
        <v>2</v>
      </c>
      <c r="D4971" s="0" t="n">
        <v>7</v>
      </c>
      <c r="E4971" s="0" t="n">
        <f aca="false">-1+A4971*0.25</f>
        <v>0.5</v>
      </c>
      <c r="F4971" s="0" t="n">
        <f aca="false">-1+B4971*0.25</f>
        <v>0.75</v>
      </c>
      <c r="G4971" s="0" t="n">
        <f aca="false">-1+C4971*0.25</f>
        <v>-0.5</v>
      </c>
      <c r="H4971" s="0" t="n">
        <f aca="false">-1+D4971*0.25</f>
        <v>0.75</v>
      </c>
      <c r="I4971" s="0" t="n">
        <f aca="false">1</f>
        <v>1</v>
      </c>
      <c r="J4971" s="0" t="n">
        <f aca="false">E4971</f>
        <v>0.5</v>
      </c>
      <c r="K4971" s="0" t="n">
        <f aca="false">F4971</f>
        <v>0.75</v>
      </c>
      <c r="L4971" s="0" t="n">
        <f aca="false">G4971</f>
        <v>-0.5</v>
      </c>
      <c r="M4971" s="0" t="n">
        <f aca="false">H4971</f>
        <v>0.75</v>
      </c>
      <c r="N4971" s="0" t="n">
        <f aca="false">E4971*F4971</f>
        <v>0.375</v>
      </c>
      <c r="O4971" s="0" t="n">
        <f aca="false">E4971*G4971</f>
        <v>-0.25</v>
      </c>
      <c r="P4971" s="0" t="n">
        <f aca="false">E4971*H4971</f>
        <v>0.375</v>
      </c>
      <c r="Q4971" s="0" t="n">
        <f aca="false">F4971*G4971</f>
        <v>-0.375</v>
      </c>
      <c r="R4971" s="0" t="n">
        <f aca="false">F4971*H4971</f>
        <v>0.5625</v>
      </c>
      <c r="S4971" s="0" t="n">
        <f aca="false">G4971*H4971</f>
        <v>-0.375</v>
      </c>
      <c r="T4971" s="0" t="n">
        <f aca="false">E4971*E4971</f>
        <v>0.25</v>
      </c>
      <c r="U4971" s="0" t="n">
        <f aca="false">F4971*F4971</f>
        <v>0.5625</v>
      </c>
      <c r="V4971" s="0" t="n">
        <f aca="false">G4971*G4971</f>
        <v>0.25</v>
      </c>
      <c r="W4971" s="0" t="n">
        <f aca="false">H4971*H4971</f>
        <v>0.5625</v>
      </c>
      <c r="X4971" s="0" t="n">
        <f aca="false">SUMPRODUCT(I4971:W4971,_XtX!$B$96:$P$96)</f>
        <v>48.096733369883</v>
      </c>
      <c r="Y4971" s="0" t="n">
        <f aca="false">SUMPRODUCT(MMULT(I4971:W4971,_XtX!$B$78:$P$92),I4971:W4971)</f>
        <v>0.237862927174708</v>
      </c>
      <c r="Z4971" s="0" t="n">
        <f aca="false">04_回帰ANOVA!$K$19*04_回帰ANOVA!$K$14*SQRT(1+Y4971)</f>
        <v>1.45022260708756</v>
      </c>
      <c r="AA4971" s="0" t="n">
        <f aca="false">X4971-Z4971</f>
        <v>46.6465107627955</v>
      </c>
      <c r="AB4971" s="0" t="n">
        <f aca="false">X4971+Z4971</f>
        <v>49.5469559769706</v>
      </c>
      <c r="AC4971" s="54" t="b">
        <f aca="false">AND(E4971&gt;=01_因子設定!$L$5-0.000000001,E4971&lt;=01_因子設定!$M$5+0.000000001,F4971&gt;=01_因子設定!$L$6-0.000000001,F4971&lt;=01_因子設定!$M$6+0.000000001,G4971&gt;=01_因子設定!$L$7-0.000000001,G4971&lt;=01_因子設定!$M$7+0.000000001,H4971&gt;=01_因子設定!$L$8-0.000000001,H4971&lt;=01_因子設定!$M$8+0.000000001,IF(01_因子設定!$B$20="Box-Behnken",E4971^2+F4971^2+G4971^2+H4971^2&lt;=2+0.000000001,TRUE()))</f>
        <v>1</v>
      </c>
      <c r="AD4971" s="55" t="n">
        <f aca="false">IF(AC4971,IF(01_因子設定!$B$13="最大化",AA4971-01_因子設定!$B$14,IF(01_因子設定!$B$13="最小化",01_因子設定!$B$15-AB4971,MIN(AA4971-01_因子設定!$B$14,01_因子設定!$B$15-AB4971))),-1E+030)</f>
        <v>0.146510762795458</v>
      </c>
      <c r="AE4971" s="55" t="n">
        <f aca="false">IF(AC4971,IF(01_因子設定!$B$13="最大化",X4971,IF(01_因子設定!$B$13="最小化",-X4971,-ABS(X4971-01_因子設定!$B$16))),-1E+030)</f>
        <v>48.096733369883</v>
      </c>
      <c r="AF4971" s="55" t="n">
        <f aca="false">AD4971+ROW()*0.000000001</f>
        <v>0.146515733795458</v>
      </c>
      <c r="AG4971" s="55" t="n">
        <f aca="false">AE4971+ROW()*0.000000001</f>
        <v>48.096738340883</v>
      </c>
    </row>
    <row r="4972" customFormat="false" ht="15" hidden="false" customHeight="false" outlineLevel="0" collapsed="false">
      <c r="A4972" s="0" t="n">
        <v>6</v>
      </c>
      <c r="B4972" s="0" t="n">
        <v>7</v>
      </c>
      <c r="C4972" s="0" t="n">
        <v>2</v>
      </c>
      <c r="D4972" s="0" t="n">
        <v>8</v>
      </c>
      <c r="E4972" s="0" t="n">
        <f aca="false">-1+A4972*0.25</f>
        <v>0.5</v>
      </c>
      <c r="F4972" s="0" t="n">
        <f aca="false">-1+B4972*0.25</f>
        <v>0.75</v>
      </c>
      <c r="G4972" s="0" t="n">
        <f aca="false">-1+C4972*0.25</f>
        <v>-0.5</v>
      </c>
      <c r="H4972" s="0" t="n">
        <f aca="false">-1+D4972*0.25</f>
        <v>1</v>
      </c>
      <c r="I4972" s="0" t="n">
        <f aca="false">1</f>
        <v>1</v>
      </c>
      <c r="J4972" s="0" t="n">
        <f aca="false">E4972</f>
        <v>0.5</v>
      </c>
      <c r="K4972" s="0" t="n">
        <f aca="false">F4972</f>
        <v>0.75</v>
      </c>
      <c r="L4972" s="0" t="n">
        <f aca="false">G4972</f>
        <v>-0.5</v>
      </c>
      <c r="M4972" s="0" t="n">
        <f aca="false">H4972</f>
        <v>1</v>
      </c>
      <c r="N4972" s="0" t="n">
        <f aca="false">E4972*F4972</f>
        <v>0.375</v>
      </c>
      <c r="O4972" s="0" t="n">
        <f aca="false">E4972*G4972</f>
        <v>-0.25</v>
      </c>
      <c r="P4972" s="0" t="n">
        <f aca="false">E4972*H4972</f>
        <v>0.5</v>
      </c>
      <c r="Q4972" s="0" t="n">
        <f aca="false">F4972*G4972</f>
        <v>-0.375</v>
      </c>
      <c r="R4972" s="0" t="n">
        <f aca="false">F4972*H4972</f>
        <v>0.75</v>
      </c>
      <c r="S4972" s="0" t="n">
        <f aca="false">G4972*H4972</f>
        <v>-0.5</v>
      </c>
      <c r="T4972" s="0" t="n">
        <f aca="false">E4972*E4972</f>
        <v>0.25</v>
      </c>
      <c r="U4972" s="0" t="n">
        <f aca="false">F4972*F4972</f>
        <v>0.5625</v>
      </c>
      <c r="V4972" s="0" t="n">
        <f aca="false">G4972*G4972</f>
        <v>0.25</v>
      </c>
      <c r="W4972" s="0" t="n">
        <f aca="false">H4972*H4972</f>
        <v>1</v>
      </c>
      <c r="X4972" s="0" t="n">
        <f aca="false">SUMPRODUCT(I4972:W4972,_XtX!$B$96:$P$96)</f>
        <v>47.9706414473684</v>
      </c>
      <c r="Y4972" s="0" t="n">
        <f aca="false">SUMPRODUCT(MMULT(I4972:W4972,_XtX!$B$78:$P$92),I4972:W4972)</f>
        <v>0.42602110745614</v>
      </c>
      <c r="Z4972" s="0" t="n">
        <f aca="false">04_回帰ANOVA!$K$19*04_回帰ANOVA!$K$14*SQRT(1+Y4972)</f>
        <v>1.55654388501114</v>
      </c>
      <c r="AA4972" s="0" t="n">
        <f aca="false">X4972-Z4972</f>
        <v>46.4140975623573</v>
      </c>
      <c r="AB4972" s="0" t="n">
        <f aca="false">X4972+Z4972</f>
        <v>49.5271853323796</v>
      </c>
      <c r="AC4972" s="54" t="b">
        <f aca="false">AND(E4972&gt;=01_因子設定!$L$5-0.000000001,E4972&lt;=01_因子設定!$M$5+0.000000001,F4972&gt;=01_因子設定!$L$6-0.000000001,F4972&lt;=01_因子設定!$M$6+0.000000001,G4972&gt;=01_因子設定!$L$7-0.000000001,G4972&lt;=01_因子設定!$M$7+0.000000001,H4972&gt;=01_因子設定!$L$8-0.000000001,H4972&lt;=01_因子設定!$M$8+0.000000001,IF(01_因子設定!$B$20="Box-Behnken",E4972^2+F4972^2+G4972^2+H4972^2&lt;=2+0.000000001,TRUE()))</f>
        <v>1</v>
      </c>
      <c r="AD4972" s="55" t="n">
        <f aca="false">IF(AC4972,IF(01_因子設定!$B$13="最大化",AA4972-01_因子設定!$B$14,IF(01_因子設定!$B$13="最小化",01_因子設定!$B$15-AB4972,MIN(AA4972-01_因子設定!$B$14,01_因子設定!$B$15-AB4972))),-1E+030)</f>
        <v>-0.0859024376427229</v>
      </c>
      <c r="AE4972" s="55" t="n">
        <f aca="false">IF(AC4972,IF(01_因子設定!$B$13="最大化",X4972,IF(01_因子設定!$B$13="最小化",-X4972,-ABS(X4972-01_因子設定!$B$16))),-1E+030)</f>
        <v>47.9706414473684</v>
      </c>
      <c r="AF4972" s="55" t="n">
        <f aca="false">AD4972+ROW()*0.000000001</f>
        <v>-0.0858974656427229</v>
      </c>
      <c r="AG4972" s="55" t="n">
        <f aca="false">AE4972+ROW()*0.000000001</f>
        <v>47.9706464193684</v>
      </c>
    </row>
    <row r="4973" customFormat="false" ht="15" hidden="false" customHeight="false" outlineLevel="0" collapsed="false">
      <c r="A4973" s="0" t="n">
        <v>6</v>
      </c>
      <c r="B4973" s="0" t="n">
        <v>7</v>
      </c>
      <c r="C4973" s="0" t="n">
        <v>3</v>
      </c>
      <c r="D4973" s="0" t="n">
        <v>0</v>
      </c>
      <c r="E4973" s="0" t="n">
        <f aca="false">-1+A4973*0.25</f>
        <v>0.5</v>
      </c>
      <c r="F4973" s="0" t="n">
        <f aca="false">-1+B4973*0.25</f>
        <v>0.75</v>
      </c>
      <c r="G4973" s="0" t="n">
        <f aca="false">-1+C4973*0.25</f>
        <v>-0.25</v>
      </c>
      <c r="H4973" s="0" t="n">
        <f aca="false">-1+D4973*0.25</f>
        <v>-1</v>
      </c>
      <c r="I4973" s="0" t="n">
        <f aca="false">1</f>
        <v>1</v>
      </c>
      <c r="J4973" s="0" t="n">
        <f aca="false">E4973</f>
        <v>0.5</v>
      </c>
      <c r="K4973" s="0" t="n">
        <f aca="false">F4973</f>
        <v>0.75</v>
      </c>
      <c r="L4973" s="0" t="n">
        <f aca="false">G4973</f>
        <v>-0.25</v>
      </c>
      <c r="M4973" s="0" t="n">
        <f aca="false">H4973</f>
        <v>-1</v>
      </c>
      <c r="N4973" s="0" t="n">
        <f aca="false">E4973*F4973</f>
        <v>0.375</v>
      </c>
      <c r="O4973" s="0" t="n">
        <f aca="false">E4973*G4973</f>
        <v>-0.125</v>
      </c>
      <c r="P4973" s="0" t="n">
        <f aca="false">E4973*H4973</f>
        <v>-0.5</v>
      </c>
      <c r="Q4973" s="0" t="n">
        <f aca="false">F4973*G4973</f>
        <v>-0.1875</v>
      </c>
      <c r="R4973" s="0" t="n">
        <f aca="false">F4973*H4973</f>
        <v>-0.75</v>
      </c>
      <c r="S4973" s="0" t="n">
        <f aca="false">G4973*H4973</f>
        <v>0.25</v>
      </c>
      <c r="T4973" s="0" t="n">
        <f aca="false">E4973*E4973</f>
        <v>0.25</v>
      </c>
      <c r="U4973" s="0" t="n">
        <f aca="false">F4973*F4973</f>
        <v>0.5625</v>
      </c>
      <c r="V4973" s="0" t="n">
        <f aca="false">G4973*G4973</f>
        <v>0.0625</v>
      </c>
      <c r="W4973" s="0" t="n">
        <f aca="false">H4973*H4973</f>
        <v>1</v>
      </c>
      <c r="X4973" s="0" t="n">
        <f aca="false">SUMPRODUCT(I4973:W4973,_XtX!$B$96:$P$96)</f>
        <v>47.9200429459064</v>
      </c>
      <c r="Y4973" s="0" t="n">
        <f aca="false">SUMPRODUCT(MMULT(I4973:W4973,_XtX!$B$78:$P$92),I4973:W4973)</f>
        <v>0.459125719572369</v>
      </c>
      <c r="Z4973" s="0" t="n">
        <f aca="false">04_回帰ANOVA!$K$19*04_回帰ANOVA!$K$14*SQRT(1+Y4973)</f>
        <v>1.57450755575573</v>
      </c>
      <c r="AA4973" s="0" t="n">
        <f aca="false">X4973-Z4973</f>
        <v>46.3455353901507</v>
      </c>
      <c r="AB4973" s="0" t="n">
        <f aca="false">X4973+Z4973</f>
        <v>49.4945505016622</v>
      </c>
      <c r="AC4973" s="54" t="b">
        <f aca="false">AND(E4973&gt;=01_因子設定!$L$5-0.000000001,E4973&lt;=01_因子設定!$M$5+0.000000001,F4973&gt;=01_因子設定!$L$6-0.000000001,F4973&lt;=01_因子設定!$M$6+0.000000001,G4973&gt;=01_因子設定!$L$7-0.000000001,G4973&lt;=01_因子設定!$M$7+0.000000001,H4973&gt;=01_因子設定!$L$8-0.000000001,H4973&lt;=01_因子設定!$M$8+0.000000001,IF(01_因子設定!$B$20="Box-Behnken",E4973^2+F4973^2+G4973^2+H4973^2&lt;=2+0.000000001,TRUE()))</f>
        <v>1</v>
      </c>
      <c r="AD4973" s="55" t="n">
        <f aca="false">IF(AC4973,IF(01_因子設定!$B$13="最大化",AA4973-01_因子設定!$B$14,IF(01_因子設定!$B$13="最小化",01_因子設定!$B$15-AB4973,MIN(AA4973-01_因子設定!$B$14,01_因子設定!$B$15-AB4973))),-1E+030)</f>
        <v>-0.154464609849306</v>
      </c>
      <c r="AE4973" s="55" t="n">
        <f aca="false">IF(AC4973,IF(01_因子設定!$B$13="最大化",X4973,IF(01_因子設定!$B$13="最小化",-X4973,-ABS(X4973-01_因子設定!$B$16))),-1E+030)</f>
        <v>47.9200429459064</v>
      </c>
      <c r="AF4973" s="55" t="n">
        <f aca="false">AD4973+ROW()*0.000000001</f>
        <v>-0.154459636849306</v>
      </c>
      <c r="AG4973" s="55" t="n">
        <f aca="false">AE4973+ROW()*0.000000001</f>
        <v>47.9200479189064</v>
      </c>
    </row>
    <row r="4974" customFormat="false" ht="15" hidden="false" customHeight="false" outlineLevel="0" collapsed="false">
      <c r="A4974" s="0" t="n">
        <v>6</v>
      </c>
      <c r="B4974" s="0" t="n">
        <v>7</v>
      </c>
      <c r="C4974" s="0" t="n">
        <v>3</v>
      </c>
      <c r="D4974" s="0" t="n">
        <v>1</v>
      </c>
      <c r="E4974" s="0" t="n">
        <f aca="false">-1+A4974*0.25</f>
        <v>0.5</v>
      </c>
      <c r="F4974" s="0" t="n">
        <f aca="false">-1+B4974*0.25</f>
        <v>0.75</v>
      </c>
      <c r="G4974" s="0" t="n">
        <f aca="false">-1+C4974*0.25</f>
        <v>-0.25</v>
      </c>
      <c r="H4974" s="0" t="n">
        <f aca="false">-1+D4974*0.25</f>
        <v>-0.75</v>
      </c>
      <c r="I4974" s="0" t="n">
        <f aca="false">1</f>
        <v>1</v>
      </c>
      <c r="J4974" s="0" t="n">
        <f aca="false">E4974</f>
        <v>0.5</v>
      </c>
      <c r="K4974" s="0" t="n">
        <f aca="false">F4974</f>
        <v>0.75</v>
      </c>
      <c r="L4974" s="0" t="n">
        <f aca="false">G4974</f>
        <v>-0.25</v>
      </c>
      <c r="M4974" s="0" t="n">
        <f aca="false">H4974</f>
        <v>-0.75</v>
      </c>
      <c r="N4974" s="0" t="n">
        <f aca="false">E4974*F4974</f>
        <v>0.375</v>
      </c>
      <c r="O4974" s="0" t="n">
        <f aca="false">E4974*G4974</f>
        <v>-0.125</v>
      </c>
      <c r="P4974" s="0" t="n">
        <f aca="false">E4974*H4974</f>
        <v>-0.375</v>
      </c>
      <c r="Q4974" s="0" t="n">
        <f aca="false">F4974*G4974</f>
        <v>-0.1875</v>
      </c>
      <c r="R4974" s="0" t="n">
        <f aca="false">F4974*H4974</f>
        <v>-0.5625</v>
      </c>
      <c r="S4974" s="0" t="n">
        <f aca="false">G4974*H4974</f>
        <v>0.1875</v>
      </c>
      <c r="T4974" s="0" t="n">
        <f aca="false">E4974*E4974</f>
        <v>0.25</v>
      </c>
      <c r="U4974" s="0" t="n">
        <f aca="false">F4974*F4974</f>
        <v>0.5625</v>
      </c>
      <c r="V4974" s="0" t="n">
        <f aca="false">G4974*G4974</f>
        <v>0.0625</v>
      </c>
      <c r="W4974" s="0" t="n">
        <f aca="false">H4974*H4974</f>
        <v>0.5625</v>
      </c>
      <c r="X4974" s="0" t="n">
        <f aca="false">SUMPRODUCT(I4974:W4974,_XtX!$B$96:$P$96)</f>
        <v>48.1465688961988</v>
      </c>
      <c r="Y4974" s="0" t="n">
        <f aca="false">SUMPRODUCT(MMULT(I4974:W4974,_XtX!$B$78:$P$92),I4974:W4974)</f>
        <v>0.257385610836988</v>
      </c>
      <c r="Z4974" s="0" t="n">
        <f aca="false">04_回帰ANOVA!$K$19*04_回帰ANOVA!$K$14*SQRT(1+Y4974)</f>
        <v>1.46161380324158</v>
      </c>
      <c r="AA4974" s="0" t="n">
        <f aca="false">X4974-Z4974</f>
        <v>46.6849550929572</v>
      </c>
      <c r="AB4974" s="0" t="n">
        <f aca="false">X4974+Z4974</f>
        <v>49.6081826994404</v>
      </c>
      <c r="AC4974" s="54" t="b">
        <f aca="false">AND(E4974&gt;=01_因子設定!$L$5-0.000000001,E4974&lt;=01_因子設定!$M$5+0.000000001,F4974&gt;=01_因子設定!$L$6-0.000000001,F4974&lt;=01_因子設定!$M$6+0.000000001,G4974&gt;=01_因子設定!$L$7-0.000000001,G4974&lt;=01_因子設定!$M$7+0.000000001,H4974&gt;=01_因子設定!$L$8-0.000000001,H4974&lt;=01_因子設定!$M$8+0.000000001,IF(01_因子設定!$B$20="Box-Behnken",E4974^2+F4974^2+G4974^2+H4974^2&lt;=2+0.000000001,TRUE()))</f>
        <v>1</v>
      </c>
      <c r="AD4974" s="55" t="n">
        <f aca="false">IF(AC4974,IF(01_因子設定!$B$13="最大化",AA4974-01_因子設定!$B$14,IF(01_因子設定!$B$13="最小化",01_因子設定!$B$15-AB4974,MIN(AA4974-01_因子設定!$B$14,01_因子設定!$B$15-AB4974))),-1E+030)</f>
        <v>0.184955092957225</v>
      </c>
      <c r="AE4974" s="55" t="n">
        <f aca="false">IF(AC4974,IF(01_因子設定!$B$13="最大化",X4974,IF(01_因子設定!$B$13="最小化",-X4974,-ABS(X4974-01_因子設定!$B$16))),-1E+030)</f>
        <v>48.1465688961988</v>
      </c>
      <c r="AF4974" s="55" t="n">
        <f aca="false">AD4974+ROW()*0.000000001</f>
        <v>0.184960066957225</v>
      </c>
      <c r="AG4974" s="55" t="n">
        <f aca="false">AE4974+ROW()*0.000000001</f>
        <v>48.1465738701988</v>
      </c>
    </row>
    <row r="4975" customFormat="false" ht="15" hidden="false" customHeight="false" outlineLevel="0" collapsed="false">
      <c r="A4975" s="0" t="n">
        <v>6</v>
      </c>
      <c r="B4975" s="0" t="n">
        <v>7</v>
      </c>
      <c r="C4975" s="0" t="n">
        <v>3</v>
      </c>
      <c r="D4975" s="0" t="n">
        <v>2</v>
      </c>
      <c r="E4975" s="0" t="n">
        <f aca="false">-1+A4975*0.25</f>
        <v>0.5</v>
      </c>
      <c r="F4975" s="0" t="n">
        <f aca="false">-1+B4975*0.25</f>
        <v>0.75</v>
      </c>
      <c r="G4975" s="0" t="n">
        <f aca="false">-1+C4975*0.25</f>
        <v>-0.25</v>
      </c>
      <c r="H4975" s="0" t="n">
        <f aca="false">-1+D4975*0.25</f>
        <v>-0.5</v>
      </c>
      <c r="I4975" s="0" t="n">
        <f aca="false">1</f>
        <v>1</v>
      </c>
      <c r="J4975" s="0" t="n">
        <f aca="false">E4975</f>
        <v>0.5</v>
      </c>
      <c r="K4975" s="0" t="n">
        <f aca="false">F4975</f>
        <v>0.75</v>
      </c>
      <c r="L4975" s="0" t="n">
        <f aca="false">G4975</f>
        <v>-0.25</v>
      </c>
      <c r="M4975" s="0" t="n">
        <f aca="false">H4975</f>
        <v>-0.5</v>
      </c>
      <c r="N4975" s="0" t="n">
        <f aca="false">E4975*F4975</f>
        <v>0.375</v>
      </c>
      <c r="O4975" s="0" t="n">
        <f aca="false">E4975*G4975</f>
        <v>-0.125</v>
      </c>
      <c r="P4975" s="0" t="n">
        <f aca="false">E4975*H4975</f>
        <v>-0.25</v>
      </c>
      <c r="Q4975" s="0" t="n">
        <f aca="false">F4975*G4975</f>
        <v>-0.1875</v>
      </c>
      <c r="R4975" s="0" t="n">
        <f aca="false">F4975*H4975</f>
        <v>-0.375</v>
      </c>
      <c r="S4975" s="0" t="n">
        <f aca="false">G4975*H4975</f>
        <v>0.125</v>
      </c>
      <c r="T4975" s="0" t="n">
        <f aca="false">E4975*E4975</f>
        <v>0.25</v>
      </c>
      <c r="U4975" s="0" t="n">
        <f aca="false">F4975*F4975</f>
        <v>0.5625</v>
      </c>
      <c r="V4975" s="0" t="n">
        <f aca="false">G4975*G4975</f>
        <v>0.0625</v>
      </c>
      <c r="W4975" s="0" t="n">
        <f aca="false">H4975*H4975</f>
        <v>0.25</v>
      </c>
      <c r="X4975" s="0" t="n">
        <f aca="false">SUMPRODUCT(I4975:W4975,_XtX!$B$96:$P$96)</f>
        <v>48.3252878289473</v>
      </c>
      <c r="Y4975" s="0" t="n">
        <f aca="false">SUMPRODUCT(MMULT(I4975:W4975,_XtX!$B$78:$P$92),I4975:W4975)</f>
        <v>0.203746059484649</v>
      </c>
      <c r="Z4975" s="0" t="n">
        <f aca="false">04_回帰ANOVA!$K$19*04_回帰ANOVA!$K$14*SQRT(1+Y4975)</f>
        <v>1.43009810755465</v>
      </c>
      <c r="AA4975" s="0" t="n">
        <f aca="false">X4975-Z4975</f>
        <v>46.8951897213927</v>
      </c>
      <c r="AB4975" s="0" t="n">
        <f aca="false">X4975+Z4975</f>
        <v>49.755385936502</v>
      </c>
      <c r="AC4975" s="54" t="b">
        <f aca="false">AND(E4975&gt;=01_因子設定!$L$5-0.000000001,E4975&lt;=01_因子設定!$M$5+0.000000001,F4975&gt;=01_因子設定!$L$6-0.000000001,F4975&lt;=01_因子設定!$M$6+0.000000001,G4975&gt;=01_因子設定!$L$7-0.000000001,G4975&lt;=01_因子設定!$M$7+0.000000001,H4975&gt;=01_因子設定!$L$8-0.000000001,H4975&lt;=01_因子設定!$M$8+0.000000001,IF(01_因子設定!$B$20="Box-Behnken",E4975^2+F4975^2+G4975^2+H4975^2&lt;=2+0.000000001,TRUE()))</f>
        <v>1</v>
      </c>
      <c r="AD4975" s="55" t="n">
        <f aca="false">IF(AC4975,IF(01_因子設定!$B$13="最大化",AA4975-01_因子設定!$B$14,IF(01_因子設定!$B$13="最小化",01_因子設定!$B$15-AB4975,MIN(AA4975-01_因子設定!$B$14,01_因子設定!$B$15-AB4975))),-1E+030)</f>
        <v>0.395189721392683</v>
      </c>
      <c r="AE4975" s="55" t="n">
        <f aca="false">IF(AC4975,IF(01_因子設定!$B$13="最大化",X4975,IF(01_因子設定!$B$13="最小化",-X4975,-ABS(X4975-01_因子設定!$B$16))),-1E+030)</f>
        <v>48.3252878289473</v>
      </c>
      <c r="AF4975" s="55" t="n">
        <f aca="false">AD4975+ROW()*0.000000001</f>
        <v>0.395194696392683</v>
      </c>
      <c r="AG4975" s="55" t="n">
        <f aca="false">AE4975+ROW()*0.000000001</f>
        <v>48.3252928039473</v>
      </c>
    </row>
    <row r="4976" customFormat="false" ht="15" hidden="false" customHeight="false" outlineLevel="0" collapsed="false">
      <c r="A4976" s="0" t="n">
        <v>6</v>
      </c>
      <c r="B4976" s="0" t="n">
        <v>7</v>
      </c>
      <c r="C4976" s="0" t="n">
        <v>3</v>
      </c>
      <c r="D4976" s="0" t="n">
        <v>3</v>
      </c>
      <c r="E4976" s="0" t="n">
        <f aca="false">-1+A4976*0.25</f>
        <v>0.5</v>
      </c>
      <c r="F4976" s="0" t="n">
        <f aca="false">-1+B4976*0.25</f>
        <v>0.75</v>
      </c>
      <c r="G4976" s="0" t="n">
        <f aca="false">-1+C4976*0.25</f>
        <v>-0.25</v>
      </c>
      <c r="H4976" s="0" t="n">
        <f aca="false">-1+D4976*0.25</f>
        <v>-0.25</v>
      </c>
      <c r="I4976" s="0" t="n">
        <f aca="false">1</f>
        <v>1</v>
      </c>
      <c r="J4976" s="0" t="n">
        <f aca="false">E4976</f>
        <v>0.5</v>
      </c>
      <c r="K4976" s="0" t="n">
        <f aca="false">F4976</f>
        <v>0.75</v>
      </c>
      <c r="L4976" s="0" t="n">
        <f aca="false">G4976</f>
        <v>-0.25</v>
      </c>
      <c r="M4976" s="0" t="n">
        <f aca="false">H4976</f>
        <v>-0.25</v>
      </c>
      <c r="N4976" s="0" t="n">
        <f aca="false">E4976*F4976</f>
        <v>0.375</v>
      </c>
      <c r="O4976" s="0" t="n">
        <f aca="false">E4976*G4976</f>
        <v>-0.125</v>
      </c>
      <c r="P4976" s="0" t="n">
        <f aca="false">E4976*H4976</f>
        <v>-0.125</v>
      </c>
      <c r="Q4976" s="0" t="n">
        <f aca="false">F4976*G4976</f>
        <v>-0.1875</v>
      </c>
      <c r="R4976" s="0" t="n">
        <f aca="false">F4976*H4976</f>
        <v>-0.1875</v>
      </c>
      <c r="S4976" s="0" t="n">
        <f aca="false">G4976*H4976</f>
        <v>0.0625</v>
      </c>
      <c r="T4976" s="0" t="n">
        <f aca="false">E4976*E4976</f>
        <v>0.25</v>
      </c>
      <c r="U4976" s="0" t="n">
        <f aca="false">F4976*F4976</f>
        <v>0.5625</v>
      </c>
      <c r="V4976" s="0" t="n">
        <f aca="false">G4976*G4976</f>
        <v>0.0625</v>
      </c>
      <c r="W4976" s="0" t="n">
        <f aca="false">H4976*H4976</f>
        <v>0.0625</v>
      </c>
      <c r="X4976" s="0" t="n">
        <f aca="false">SUMPRODUCT(I4976:W4976,_XtX!$B$96:$P$96)</f>
        <v>48.456199744152</v>
      </c>
      <c r="Y4976" s="0" t="n">
        <f aca="false">SUMPRODUCT(MMULT(I4976:W4976,_XtX!$B$78:$P$92),I4976:W4976)</f>
        <v>0.207746539199561</v>
      </c>
      <c r="Z4976" s="0" t="n">
        <f aca="false">04_回帰ANOVA!$K$19*04_回帰ANOVA!$K$14*SQRT(1+Y4976)</f>
        <v>1.43247250081141</v>
      </c>
      <c r="AA4976" s="0" t="n">
        <f aca="false">X4976-Z4976</f>
        <v>47.0237272433406</v>
      </c>
      <c r="AB4976" s="0" t="n">
        <f aca="false">X4976+Z4976</f>
        <v>49.8886722449634</v>
      </c>
      <c r="AC4976" s="54" t="b">
        <f aca="false">AND(E4976&gt;=01_因子設定!$L$5-0.000000001,E4976&lt;=01_因子設定!$M$5+0.000000001,F4976&gt;=01_因子設定!$L$6-0.000000001,F4976&lt;=01_因子設定!$M$6+0.000000001,G4976&gt;=01_因子設定!$L$7-0.000000001,G4976&lt;=01_因子設定!$M$7+0.000000001,H4976&gt;=01_因子設定!$L$8-0.000000001,H4976&lt;=01_因子設定!$M$8+0.000000001,IF(01_因子設定!$B$20="Box-Behnken",E4976^2+F4976^2+G4976^2+H4976^2&lt;=2+0.000000001,TRUE()))</f>
        <v>1</v>
      </c>
      <c r="AD4976" s="55" t="n">
        <f aca="false">IF(AC4976,IF(01_因子設定!$B$13="最大化",AA4976-01_因子設定!$B$14,IF(01_因子設定!$B$13="最小化",01_因子設定!$B$15-AB4976,MIN(AA4976-01_因子設定!$B$14,01_因子設定!$B$15-AB4976))),-1E+030)</f>
        <v>0.523727243340595</v>
      </c>
      <c r="AE4976" s="55" t="n">
        <f aca="false">IF(AC4976,IF(01_因子設定!$B$13="最大化",X4976,IF(01_因子設定!$B$13="最小化",-X4976,-ABS(X4976-01_因子設定!$B$16))),-1E+030)</f>
        <v>48.456199744152</v>
      </c>
      <c r="AF4976" s="55" t="n">
        <f aca="false">AD4976+ROW()*0.000000001</f>
        <v>0.523732219340595</v>
      </c>
      <c r="AG4976" s="55" t="n">
        <f aca="false">AE4976+ROW()*0.000000001</f>
        <v>48.456204720152</v>
      </c>
    </row>
    <row r="4977" customFormat="false" ht="15" hidden="false" customHeight="false" outlineLevel="0" collapsed="false">
      <c r="A4977" s="0" t="n">
        <v>6</v>
      </c>
      <c r="B4977" s="0" t="n">
        <v>7</v>
      </c>
      <c r="C4977" s="0" t="n">
        <v>3</v>
      </c>
      <c r="D4977" s="0" t="n">
        <v>4</v>
      </c>
      <c r="E4977" s="0" t="n">
        <f aca="false">-1+A4977*0.25</f>
        <v>0.5</v>
      </c>
      <c r="F4977" s="0" t="n">
        <f aca="false">-1+B4977*0.25</f>
        <v>0.75</v>
      </c>
      <c r="G4977" s="0" t="n">
        <f aca="false">-1+C4977*0.25</f>
        <v>-0.25</v>
      </c>
      <c r="H4977" s="0" t="n">
        <f aca="false">-1+D4977*0.25</f>
        <v>0</v>
      </c>
      <c r="I4977" s="0" t="n">
        <f aca="false">1</f>
        <v>1</v>
      </c>
      <c r="J4977" s="0" t="n">
        <f aca="false">E4977</f>
        <v>0.5</v>
      </c>
      <c r="K4977" s="0" t="n">
        <f aca="false">F4977</f>
        <v>0.75</v>
      </c>
      <c r="L4977" s="0" t="n">
        <f aca="false">G4977</f>
        <v>-0.25</v>
      </c>
      <c r="M4977" s="0" t="n">
        <f aca="false">H4977</f>
        <v>0</v>
      </c>
      <c r="N4977" s="0" t="n">
        <f aca="false">E4977*F4977</f>
        <v>0.375</v>
      </c>
      <c r="O4977" s="0" t="n">
        <f aca="false">E4977*G4977</f>
        <v>-0.125</v>
      </c>
      <c r="P4977" s="0" t="n">
        <f aca="false">E4977*H4977</f>
        <v>0</v>
      </c>
      <c r="Q4977" s="0" t="n">
        <f aca="false">F4977*G4977</f>
        <v>-0.1875</v>
      </c>
      <c r="R4977" s="0" t="n">
        <f aca="false">F4977*H4977</f>
        <v>0</v>
      </c>
      <c r="S4977" s="0" t="n">
        <f aca="false">G4977*H4977</f>
        <v>-0</v>
      </c>
      <c r="T4977" s="0" t="n">
        <f aca="false">E4977*E4977</f>
        <v>0.25</v>
      </c>
      <c r="U4977" s="0" t="n">
        <f aca="false">F4977*F4977</f>
        <v>0.5625</v>
      </c>
      <c r="V4977" s="0" t="n">
        <f aca="false">G4977*G4977</f>
        <v>0.0625</v>
      </c>
      <c r="W4977" s="0" t="n">
        <f aca="false">H4977*H4977</f>
        <v>0</v>
      </c>
      <c r="X4977" s="0" t="n">
        <f aca="false">SUMPRODUCT(I4977:W4977,_XtX!$B$96:$P$96)</f>
        <v>48.5393046418128</v>
      </c>
      <c r="Y4977" s="0" t="n">
        <f aca="false">SUMPRODUCT(MMULT(I4977:W4977,_XtX!$B$78:$P$92),I4977:W4977)</f>
        <v>0.215110734192252</v>
      </c>
      <c r="Z4977" s="0" t="n">
        <f aca="false">04_回帰ANOVA!$K$19*04_回帰ANOVA!$K$14*SQRT(1+Y4977)</f>
        <v>1.43683309086864</v>
      </c>
      <c r="AA4977" s="0" t="n">
        <f aca="false">X4977-Z4977</f>
        <v>47.1024715509442</v>
      </c>
      <c r="AB4977" s="0" t="n">
        <f aca="false">X4977+Z4977</f>
        <v>49.9761377326815</v>
      </c>
      <c r="AC4977" s="54" t="b">
        <f aca="false">AND(E4977&gt;=01_因子設定!$L$5-0.000000001,E4977&lt;=01_因子設定!$M$5+0.000000001,F4977&gt;=01_因子設定!$L$6-0.000000001,F4977&lt;=01_因子設定!$M$6+0.000000001,G4977&gt;=01_因子設定!$L$7-0.000000001,G4977&lt;=01_因子設定!$M$7+0.000000001,H4977&gt;=01_因子設定!$L$8-0.000000001,H4977&lt;=01_因子設定!$M$8+0.000000001,IF(01_因子設定!$B$20="Box-Behnken",E4977^2+F4977^2+G4977^2+H4977^2&lt;=2+0.000000001,TRUE()))</f>
        <v>1</v>
      </c>
      <c r="AD4977" s="55" t="n">
        <f aca="false">IF(AC4977,IF(01_因子設定!$B$13="最大化",AA4977-01_因子設定!$B$14,IF(01_因子設定!$B$13="最小化",01_因子設定!$B$15-AB4977,MIN(AA4977-01_因子設定!$B$14,01_因子設定!$B$15-AB4977))),-1E+030)</f>
        <v>0.602471550944173</v>
      </c>
      <c r="AE4977" s="55" t="n">
        <f aca="false">IF(AC4977,IF(01_因子設定!$B$13="最大化",X4977,IF(01_因子設定!$B$13="最小化",-X4977,-ABS(X4977-01_因子設定!$B$16))),-1E+030)</f>
        <v>48.5393046418128</v>
      </c>
      <c r="AF4977" s="55" t="n">
        <f aca="false">AD4977+ROW()*0.000000001</f>
        <v>0.602476527944173</v>
      </c>
      <c r="AG4977" s="55" t="n">
        <f aca="false">AE4977+ROW()*0.000000001</f>
        <v>48.5393096188128</v>
      </c>
    </row>
    <row r="4978" customFormat="false" ht="15" hidden="false" customHeight="false" outlineLevel="0" collapsed="false">
      <c r="A4978" s="0" t="n">
        <v>6</v>
      </c>
      <c r="B4978" s="0" t="n">
        <v>7</v>
      </c>
      <c r="C4978" s="0" t="n">
        <v>3</v>
      </c>
      <c r="D4978" s="0" t="n">
        <v>5</v>
      </c>
      <c r="E4978" s="0" t="n">
        <f aca="false">-1+A4978*0.25</f>
        <v>0.5</v>
      </c>
      <c r="F4978" s="0" t="n">
        <f aca="false">-1+B4978*0.25</f>
        <v>0.75</v>
      </c>
      <c r="G4978" s="0" t="n">
        <f aca="false">-1+C4978*0.25</f>
        <v>-0.25</v>
      </c>
      <c r="H4978" s="0" t="n">
        <f aca="false">-1+D4978*0.25</f>
        <v>0.25</v>
      </c>
      <c r="I4978" s="0" t="n">
        <f aca="false">1</f>
        <v>1</v>
      </c>
      <c r="J4978" s="0" t="n">
        <f aca="false">E4978</f>
        <v>0.5</v>
      </c>
      <c r="K4978" s="0" t="n">
        <f aca="false">F4978</f>
        <v>0.75</v>
      </c>
      <c r="L4978" s="0" t="n">
        <f aca="false">G4978</f>
        <v>-0.25</v>
      </c>
      <c r="M4978" s="0" t="n">
        <f aca="false">H4978</f>
        <v>0.25</v>
      </c>
      <c r="N4978" s="0" t="n">
        <f aca="false">E4978*F4978</f>
        <v>0.375</v>
      </c>
      <c r="O4978" s="0" t="n">
        <f aca="false">E4978*G4978</f>
        <v>-0.125</v>
      </c>
      <c r="P4978" s="0" t="n">
        <f aca="false">E4978*H4978</f>
        <v>0.125</v>
      </c>
      <c r="Q4978" s="0" t="n">
        <f aca="false">F4978*G4978</f>
        <v>-0.1875</v>
      </c>
      <c r="R4978" s="0" t="n">
        <f aca="false">F4978*H4978</f>
        <v>0.1875</v>
      </c>
      <c r="S4978" s="0" t="n">
        <f aca="false">G4978*H4978</f>
        <v>-0.0625</v>
      </c>
      <c r="T4978" s="0" t="n">
        <f aca="false">E4978*E4978</f>
        <v>0.25</v>
      </c>
      <c r="U4978" s="0" t="n">
        <f aca="false">F4978*F4978</f>
        <v>0.5625</v>
      </c>
      <c r="V4978" s="0" t="n">
        <f aca="false">G4978*G4978</f>
        <v>0.0625</v>
      </c>
      <c r="W4978" s="0" t="n">
        <f aca="false">H4978*H4978</f>
        <v>0.0625</v>
      </c>
      <c r="X4978" s="0" t="n">
        <f aca="false">SUMPRODUCT(I4978:W4978,_XtX!$B$96:$P$96)</f>
        <v>48.5746025219298</v>
      </c>
      <c r="Y4978" s="0" t="n">
        <f aca="false">SUMPRODUCT(MMULT(I4978:W4978,_XtX!$B$78:$P$92),I4978:W4978)</f>
        <v>0.207746539199561</v>
      </c>
      <c r="Z4978" s="0" t="n">
        <f aca="false">04_回帰ANOVA!$K$19*04_回帰ANOVA!$K$14*SQRT(1+Y4978)</f>
        <v>1.43247250081141</v>
      </c>
      <c r="AA4978" s="0" t="n">
        <f aca="false">X4978-Z4978</f>
        <v>47.1421300211184</v>
      </c>
      <c r="AB4978" s="0" t="n">
        <f aca="false">X4978+Z4978</f>
        <v>50.0070750227412</v>
      </c>
      <c r="AC4978" s="54" t="b">
        <f aca="false">AND(E4978&gt;=01_因子設定!$L$5-0.000000001,E4978&lt;=01_因子設定!$M$5+0.000000001,F4978&gt;=01_因子設定!$L$6-0.000000001,F4978&lt;=01_因子設定!$M$6+0.000000001,G4978&gt;=01_因子設定!$L$7-0.000000001,G4978&lt;=01_因子設定!$M$7+0.000000001,H4978&gt;=01_因子設定!$L$8-0.000000001,H4978&lt;=01_因子設定!$M$8+0.000000001,IF(01_因子設定!$B$20="Box-Behnken",E4978^2+F4978^2+G4978^2+H4978^2&lt;=2+0.000000001,TRUE()))</f>
        <v>1</v>
      </c>
      <c r="AD4978" s="55" t="n">
        <f aca="false">IF(AC4978,IF(01_因子設定!$B$13="最大化",AA4978-01_因子設定!$B$14,IF(01_因子設定!$B$13="最小化",01_因子設定!$B$15-AB4978,MIN(AA4978-01_因子設定!$B$14,01_因子設定!$B$15-AB4978))),-1E+030)</f>
        <v>0.642130021118376</v>
      </c>
      <c r="AE4978" s="55" t="n">
        <f aca="false">IF(AC4978,IF(01_因子設定!$B$13="最大化",X4978,IF(01_因子設定!$B$13="最小化",-X4978,-ABS(X4978-01_因子設定!$B$16))),-1E+030)</f>
        <v>48.5746025219298</v>
      </c>
      <c r="AF4978" s="55" t="n">
        <f aca="false">AD4978+ROW()*0.000000001</f>
        <v>0.642134999118376</v>
      </c>
      <c r="AG4978" s="55" t="n">
        <f aca="false">AE4978+ROW()*0.000000001</f>
        <v>48.5746074999298</v>
      </c>
    </row>
    <row r="4979" customFormat="false" ht="15" hidden="false" customHeight="false" outlineLevel="0" collapsed="false">
      <c r="A4979" s="0" t="n">
        <v>6</v>
      </c>
      <c r="B4979" s="0" t="n">
        <v>7</v>
      </c>
      <c r="C4979" s="0" t="n">
        <v>3</v>
      </c>
      <c r="D4979" s="0" t="n">
        <v>6</v>
      </c>
      <c r="E4979" s="0" t="n">
        <f aca="false">-1+A4979*0.25</f>
        <v>0.5</v>
      </c>
      <c r="F4979" s="0" t="n">
        <f aca="false">-1+B4979*0.25</f>
        <v>0.75</v>
      </c>
      <c r="G4979" s="0" t="n">
        <f aca="false">-1+C4979*0.25</f>
        <v>-0.25</v>
      </c>
      <c r="H4979" s="0" t="n">
        <f aca="false">-1+D4979*0.25</f>
        <v>0.5</v>
      </c>
      <c r="I4979" s="0" t="n">
        <f aca="false">1</f>
        <v>1</v>
      </c>
      <c r="J4979" s="0" t="n">
        <f aca="false">E4979</f>
        <v>0.5</v>
      </c>
      <c r="K4979" s="0" t="n">
        <f aca="false">F4979</f>
        <v>0.75</v>
      </c>
      <c r="L4979" s="0" t="n">
        <f aca="false">G4979</f>
        <v>-0.25</v>
      </c>
      <c r="M4979" s="0" t="n">
        <f aca="false">H4979</f>
        <v>0.5</v>
      </c>
      <c r="N4979" s="0" t="n">
        <f aca="false">E4979*F4979</f>
        <v>0.375</v>
      </c>
      <c r="O4979" s="0" t="n">
        <f aca="false">E4979*G4979</f>
        <v>-0.125</v>
      </c>
      <c r="P4979" s="0" t="n">
        <f aca="false">E4979*H4979</f>
        <v>0.25</v>
      </c>
      <c r="Q4979" s="0" t="n">
        <f aca="false">F4979*G4979</f>
        <v>-0.1875</v>
      </c>
      <c r="R4979" s="0" t="n">
        <f aca="false">F4979*H4979</f>
        <v>0.375</v>
      </c>
      <c r="S4979" s="0" t="n">
        <f aca="false">G4979*H4979</f>
        <v>-0.125</v>
      </c>
      <c r="T4979" s="0" t="n">
        <f aca="false">E4979*E4979</f>
        <v>0.25</v>
      </c>
      <c r="U4979" s="0" t="n">
        <f aca="false">F4979*F4979</f>
        <v>0.5625</v>
      </c>
      <c r="V4979" s="0" t="n">
        <f aca="false">G4979*G4979</f>
        <v>0.0625</v>
      </c>
      <c r="W4979" s="0" t="n">
        <f aca="false">H4979*H4979</f>
        <v>0.25</v>
      </c>
      <c r="X4979" s="0" t="n">
        <f aca="false">SUMPRODUCT(I4979:W4979,_XtX!$B$96:$P$96)</f>
        <v>48.5620933845029</v>
      </c>
      <c r="Y4979" s="0" t="n">
        <f aca="false">SUMPRODUCT(MMULT(I4979:W4979,_XtX!$B$78:$P$92),I4979:W4979)</f>
        <v>0.203746059484649</v>
      </c>
      <c r="Z4979" s="0" t="n">
        <f aca="false">04_回帰ANOVA!$K$19*04_回帰ANOVA!$K$14*SQRT(1+Y4979)</f>
        <v>1.43009810755465</v>
      </c>
      <c r="AA4979" s="0" t="n">
        <f aca="false">X4979-Z4979</f>
        <v>47.1319952769482</v>
      </c>
      <c r="AB4979" s="0" t="n">
        <f aca="false">X4979+Z4979</f>
        <v>49.9921914920575</v>
      </c>
      <c r="AC4979" s="54" t="b">
        <f aca="false">AND(E4979&gt;=01_因子設定!$L$5-0.000000001,E4979&lt;=01_因子設定!$M$5+0.000000001,F4979&gt;=01_因子設定!$L$6-0.000000001,F4979&lt;=01_因子設定!$M$6+0.000000001,G4979&gt;=01_因子設定!$L$7-0.000000001,G4979&lt;=01_因子設定!$M$7+0.000000001,H4979&gt;=01_因子設定!$L$8-0.000000001,H4979&lt;=01_因子設定!$M$8+0.000000001,IF(01_因子設定!$B$20="Box-Behnken",E4979^2+F4979^2+G4979^2+H4979^2&lt;=2+0.000000001,TRUE()))</f>
        <v>1</v>
      </c>
      <c r="AD4979" s="55" t="n">
        <f aca="false">IF(AC4979,IF(01_因子設定!$B$13="最大化",AA4979-01_因子設定!$B$14,IF(01_因子設定!$B$13="最小化",01_因子設定!$B$15-AB4979,MIN(AA4979-01_因子設定!$B$14,01_因子設定!$B$15-AB4979))),-1E+030)</f>
        <v>0.631995276948238</v>
      </c>
      <c r="AE4979" s="55" t="n">
        <f aca="false">IF(AC4979,IF(01_因子設定!$B$13="最大化",X4979,IF(01_因子設定!$B$13="最小化",-X4979,-ABS(X4979-01_因子設定!$B$16))),-1E+030)</f>
        <v>48.5620933845029</v>
      </c>
      <c r="AF4979" s="55" t="n">
        <f aca="false">AD4979+ROW()*0.000000001</f>
        <v>0.632000255948238</v>
      </c>
      <c r="AG4979" s="55" t="n">
        <f aca="false">AE4979+ROW()*0.000000001</f>
        <v>48.5620983635029</v>
      </c>
    </row>
    <row r="4980" customFormat="false" ht="15" hidden="false" customHeight="false" outlineLevel="0" collapsed="false">
      <c r="A4980" s="0" t="n">
        <v>6</v>
      </c>
      <c r="B4980" s="0" t="n">
        <v>7</v>
      </c>
      <c r="C4980" s="0" t="n">
        <v>3</v>
      </c>
      <c r="D4980" s="0" t="n">
        <v>7</v>
      </c>
      <c r="E4980" s="0" t="n">
        <f aca="false">-1+A4980*0.25</f>
        <v>0.5</v>
      </c>
      <c r="F4980" s="0" t="n">
        <f aca="false">-1+B4980*0.25</f>
        <v>0.75</v>
      </c>
      <c r="G4980" s="0" t="n">
        <f aca="false">-1+C4980*0.25</f>
        <v>-0.25</v>
      </c>
      <c r="H4980" s="0" t="n">
        <f aca="false">-1+D4980*0.25</f>
        <v>0.75</v>
      </c>
      <c r="I4980" s="0" t="n">
        <f aca="false">1</f>
        <v>1</v>
      </c>
      <c r="J4980" s="0" t="n">
        <f aca="false">E4980</f>
        <v>0.5</v>
      </c>
      <c r="K4980" s="0" t="n">
        <f aca="false">F4980</f>
        <v>0.75</v>
      </c>
      <c r="L4980" s="0" t="n">
        <f aca="false">G4980</f>
        <v>-0.25</v>
      </c>
      <c r="M4980" s="0" t="n">
        <f aca="false">H4980</f>
        <v>0.75</v>
      </c>
      <c r="N4980" s="0" t="n">
        <f aca="false">E4980*F4980</f>
        <v>0.375</v>
      </c>
      <c r="O4980" s="0" t="n">
        <f aca="false">E4980*G4980</f>
        <v>-0.125</v>
      </c>
      <c r="P4980" s="0" t="n">
        <f aca="false">E4980*H4980</f>
        <v>0.375</v>
      </c>
      <c r="Q4980" s="0" t="n">
        <f aca="false">F4980*G4980</f>
        <v>-0.1875</v>
      </c>
      <c r="R4980" s="0" t="n">
        <f aca="false">F4980*H4980</f>
        <v>0.5625</v>
      </c>
      <c r="S4980" s="0" t="n">
        <f aca="false">G4980*H4980</f>
        <v>-0.1875</v>
      </c>
      <c r="T4980" s="0" t="n">
        <f aca="false">E4980*E4980</f>
        <v>0.25</v>
      </c>
      <c r="U4980" s="0" t="n">
        <f aca="false">F4980*F4980</f>
        <v>0.5625</v>
      </c>
      <c r="V4980" s="0" t="n">
        <f aca="false">G4980*G4980</f>
        <v>0.0625</v>
      </c>
      <c r="W4980" s="0" t="n">
        <f aca="false">H4980*H4980</f>
        <v>0.5625</v>
      </c>
      <c r="X4980" s="0" t="n">
        <f aca="false">SUMPRODUCT(I4980:W4980,_XtX!$B$96:$P$96)</f>
        <v>48.5017772295321</v>
      </c>
      <c r="Y4980" s="0" t="n">
        <f aca="false">SUMPRODUCT(MMULT(I4980:W4980,_XtX!$B$78:$P$92),I4980:W4980)</f>
        <v>0.257385610836988</v>
      </c>
      <c r="Z4980" s="0" t="n">
        <f aca="false">04_回帰ANOVA!$K$19*04_回帰ANOVA!$K$14*SQRT(1+Y4980)</f>
        <v>1.46161380324158</v>
      </c>
      <c r="AA4980" s="0" t="n">
        <f aca="false">X4980-Z4980</f>
        <v>47.0401634262906</v>
      </c>
      <c r="AB4980" s="0" t="n">
        <f aca="false">X4980+Z4980</f>
        <v>49.9633910327737</v>
      </c>
      <c r="AC4980" s="54" t="b">
        <f aca="false">AND(E4980&gt;=01_因子設定!$L$5-0.000000001,E4980&lt;=01_因子設定!$M$5+0.000000001,F4980&gt;=01_因子設定!$L$6-0.000000001,F4980&lt;=01_因子設定!$M$6+0.000000001,G4980&gt;=01_因子設定!$L$7-0.000000001,G4980&lt;=01_因子設定!$M$7+0.000000001,H4980&gt;=01_因子設定!$L$8-0.000000001,H4980&lt;=01_因子設定!$M$8+0.000000001,IF(01_因子設定!$B$20="Box-Behnken",E4980^2+F4980^2+G4980^2+H4980^2&lt;=2+0.000000001,TRUE()))</f>
        <v>1</v>
      </c>
      <c r="AD4980" s="55" t="n">
        <f aca="false">IF(AC4980,IF(01_因子設定!$B$13="最大化",AA4980-01_因子設定!$B$14,IF(01_因子設定!$B$13="最小化",01_因子設定!$B$15-AB4980,MIN(AA4980-01_因子設定!$B$14,01_因子設定!$B$15-AB4980))),-1E+030)</f>
        <v>0.540163426290555</v>
      </c>
      <c r="AE4980" s="55" t="n">
        <f aca="false">IF(AC4980,IF(01_因子設定!$B$13="最大化",X4980,IF(01_因子設定!$B$13="最小化",-X4980,-ABS(X4980-01_因子設定!$B$16))),-1E+030)</f>
        <v>48.5017772295321</v>
      </c>
      <c r="AF4980" s="55" t="n">
        <f aca="false">AD4980+ROW()*0.000000001</f>
        <v>0.540168406290555</v>
      </c>
      <c r="AG4980" s="55" t="n">
        <f aca="false">AE4980+ROW()*0.000000001</f>
        <v>48.5017822095321</v>
      </c>
    </row>
    <row r="4981" customFormat="false" ht="15" hidden="false" customHeight="false" outlineLevel="0" collapsed="false">
      <c r="A4981" s="0" t="n">
        <v>6</v>
      </c>
      <c r="B4981" s="0" t="n">
        <v>7</v>
      </c>
      <c r="C4981" s="0" t="n">
        <v>3</v>
      </c>
      <c r="D4981" s="0" t="n">
        <v>8</v>
      </c>
      <c r="E4981" s="0" t="n">
        <f aca="false">-1+A4981*0.25</f>
        <v>0.5</v>
      </c>
      <c r="F4981" s="0" t="n">
        <f aca="false">-1+B4981*0.25</f>
        <v>0.75</v>
      </c>
      <c r="G4981" s="0" t="n">
        <f aca="false">-1+C4981*0.25</f>
        <v>-0.25</v>
      </c>
      <c r="H4981" s="0" t="n">
        <f aca="false">-1+D4981*0.25</f>
        <v>1</v>
      </c>
      <c r="I4981" s="0" t="n">
        <f aca="false">1</f>
        <v>1</v>
      </c>
      <c r="J4981" s="0" t="n">
        <f aca="false">E4981</f>
        <v>0.5</v>
      </c>
      <c r="K4981" s="0" t="n">
        <f aca="false">F4981</f>
        <v>0.75</v>
      </c>
      <c r="L4981" s="0" t="n">
        <f aca="false">G4981</f>
        <v>-0.25</v>
      </c>
      <c r="M4981" s="0" t="n">
        <f aca="false">H4981</f>
        <v>1</v>
      </c>
      <c r="N4981" s="0" t="n">
        <f aca="false">E4981*F4981</f>
        <v>0.375</v>
      </c>
      <c r="O4981" s="0" t="n">
        <f aca="false">E4981*G4981</f>
        <v>-0.125</v>
      </c>
      <c r="P4981" s="0" t="n">
        <f aca="false">E4981*H4981</f>
        <v>0.5</v>
      </c>
      <c r="Q4981" s="0" t="n">
        <f aca="false">F4981*G4981</f>
        <v>-0.1875</v>
      </c>
      <c r="R4981" s="0" t="n">
        <f aca="false">F4981*H4981</f>
        <v>0.75</v>
      </c>
      <c r="S4981" s="0" t="n">
        <f aca="false">G4981*H4981</f>
        <v>-0.25</v>
      </c>
      <c r="T4981" s="0" t="n">
        <f aca="false">E4981*E4981</f>
        <v>0.25</v>
      </c>
      <c r="U4981" s="0" t="n">
        <f aca="false">F4981*F4981</f>
        <v>0.5625</v>
      </c>
      <c r="V4981" s="0" t="n">
        <f aca="false">G4981*G4981</f>
        <v>0.0625</v>
      </c>
      <c r="W4981" s="0" t="n">
        <f aca="false">H4981*H4981</f>
        <v>1</v>
      </c>
      <c r="X4981" s="0" t="n">
        <f aca="false">SUMPRODUCT(I4981:W4981,_XtX!$B$96:$P$96)</f>
        <v>48.3936540570175</v>
      </c>
      <c r="Y4981" s="0" t="n">
        <f aca="false">SUMPRODUCT(MMULT(I4981:W4981,_XtX!$B$78:$P$92),I4981:W4981)</f>
        <v>0.459125719572369</v>
      </c>
      <c r="Z4981" s="0" t="n">
        <f aca="false">04_回帰ANOVA!$K$19*04_回帰ANOVA!$K$14*SQRT(1+Y4981)</f>
        <v>1.57450755575573</v>
      </c>
      <c r="AA4981" s="0" t="n">
        <f aca="false">X4981-Z4981</f>
        <v>46.8191465012618</v>
      </c>
      <c r="AB4981" s="0" t="n">
        <f aca="false">X4981+Z4981</f>
        <v>49.9681616127733</v>
      </c>
      <c r="AC4981" s="54" t="b">
        <f aca="false">AND(E4981&gt;=01_因子設定!$L$5-0.000000001,E4981&lt;=01_因子設定!$M$5+0.000000001,F4981&gt;=01_因子設定!$L$6-0.000000001,F4981&lt;=01_因子設定!$M$6+0.000000001,G4981&gt;=01_因子設定!$L$7-0.000000001,G4981&lt;=01_因子設定!$M$7+0.000000001,H4981&gt;=01_因子設定!$L$8-0.000000001,H4981&lt;=01_因子設定!$M$8+0.000000001,IF(01_因子設定!$B$20="Box-Behnken",E4981^2+F4981^2+G4981^2+H4981^2&lt;=2+0.000000001,TRUE()))</f>
        <v>1</v>
      </c>
      <c r="AD4981" s="55" t="n">
        <f aca="false">IF(AC4981,IF(01_因子設定!$B$13="最大化",AA4981-01_因子設定!$B$14,IF(01_因子設定!$B$13="最小化",01_因子設定!$B$15-AB4981,MIN(AA4981-01_因子設定!$B$14,01_因子設定!$B$15-AB4981))),-1E+030)</f>
        <v>0.319146501261805</v>
      </c>
      <c r="AE4981" s="55" t="n">
        <f aca="false">IF(AC4981,IF(01_因子設定!$B$13="最大化",X4981,IF(01_因子設定!$B$13="最小化",-X4981,-ABS(X4981-01_因子設定!$B$16))),-1E+030)</f>
        <v>48.3936540570175</v>
      </c>
      <c r="AF4981" s="55" t="n">
        <f aca="false">AD4981+ROW()*0.000000001</f>
        <v>0.319151482261805</v>
      </c>
      <c r="AG4981" s="55" t="n">
        <f aca="false">AE4981+ROW()*0.000000001</f>
        <v>48.3936590380175</v>
      </c>
    </row>
    <row r="4982" customFormat="false" ht="15" hidden="false" customHeight="false" outlineLevel="0" collapsed="false">
      <c r="A4982" s="0" t="n">
        <v>6</v>
      </c>
      <c r="B4982" s="0" t="n">
        <v>7</v>
      </c>
      <c r="C4982" s="0" t="n">
        <v>4</v>
      </c>
      <c r="D4982" s="0" t="n">
        <v>0</v>
      </c>
      <c r="E4982" s="0" t="n">
        <f aca="false">-1+A4982*0.25</f>
        <v>0.5</v>
      </c>
      <c r="F4982" s="0" t="n">
        <f aca="false">-1+B4982*0.25</f>
        <v>0.75</v>
      </c>
      <c r="G4982" s="0" t="n">
        <f aca="false">-1+C4982*0.25</f>
        <v>0</v>
      </c>
      <c r="H4982" s="0" t="n">
        <f aca="false">-1+D4982*0.25</f>
        <v>-1</v>
      </c>
      <c r="I4982" s="0" t="n">
        <f aca="false">1</f>
        <v>1</v>
      </c>
      <c r="J4982" s="0" t="n">
        <f aca="false">E4982</f>
        <v>0.5</v>
      </c>
      <c r="K4982" s="0" t="n">
        <f aca="false">F4982</f>
        <v>0.75</v>
      </c>
      <c r="L4982" s="0" t="n">
        <f aca="false">G4982</f>
        <v>0</v>
      </c>
      <c r="M4982" s="0" t="n">
        <f aca="false">H4982</f>
        <v>-1</v>
      </c>
      <c r="N4982" s="0" t="n">
        <f aca="false">E4982*F4982</f>
        <v>0.375</v>
      </c>
      <c r="O4982" s="0" t="n">
        <f aca="false">E4982*G4982</f>
        <v>0</v>
      </c>
      <c r="P4982" s="0" t="n">
        <f aca="false">E4982*H4982</f>
        <v>-0.5</v>
      </c>
      <c r="Q4982" s="0" t="n">
        <f aca="false">F4982*G4982</f>
        <v>0</v>
      </c>
      <c r="R4982" s="0" t="n">
        <f aca="false">F4982*H4982</f>
        <v>-0.75</v>
      </c>
      <c r="S4982" s="0" t="n">
        <f aca="false">G4982*H4982</f>
        <v>-0</v>
      </c>
      <c r="T4982" s="0" t="n">
        <f aca="false">E4982*E4982</f>
        <v>0.25</v>
      </c>
      <c r="U4982" s="0" t="n">
        <f aca="false">F4982*F4982</f>
        <v>0.5625</v>
      </c>
      <c r="V4982" s="0" t="n">
        <f aca="false">G4982*G4982</f>
        <v>0</v>
      </c>
      <c r="W4982" s="0" t="n">
        <f aca="false">H4982*H4982</f>
        <v>1</v>
      </c>
      <c r="X4982" s="0" t="n">
        <f aca="false">SUMPRODUCT(I4982:W4982,_XtX!$B$96:$P$96)</f>
        <v>48.1139985380117</v>
      </c>
      <c r="Y4982" s="0" t="n">
        <f aca="false">SUMPRODUCT(MMULT(I4982:W4982,_XtX!$B$78:$P$92),I4982:W4982)</f>
        <v>0.476191292032164</v>
      </c>
      <c r="Z4982" s="0" t="n">
        <f aca="false">04_回帰ANOVA!$K$19*04_回帰ANOVA!$K$14*SQRT(1+Y4982)</f>
        <v>1.58368831471718</v>
      </c>
      <c r="AA4982" s="0" t="n">
        <f aca="false">X4982-Z4982</f>
        <v>46.5303102232945</v>
      </c>
      <c r="AB4982" s="0" t="n">
        <f aca="false">X4982+Z4982</f>
        <v>49.6976868527289</v>
      </c>
      <c r="AC4982" s="54" t="b">
        <f aca="false">AND(E4982&gt;=01_因子設定!$L$5-0.000000001,E4982&lt;=01_因子設定!$M$5+0.000000001,F4982&gt;=01_因子設定!$L$6-0.000000001,F4982&lt;=01_因子設定!$M$6+0.000000001,G4982&gt;=01_因子設定!$L$7-0.000000001,G4982&lt;=01_因子設定!$M$7+0.000000001,H4982&gt;=01_因子設定!$L$8-0.000000001,H4982&lt;=01_因子設定!$M$8+0.000000001,IF(01_因子設定!$B$20="Box-Behnken",E4982^2+F4982^2+G4982^2+H4982^2&lt;=2+0.000000001,TRUE()))</f>
        <v>1</v>
      </c>
      <c r="AD4982" s="55" t="n">
        <f aca="false">IF(AC4982,IF(01_因子設定!$B$13="最大化",AA4982-01_因子設定!$B$14,IF(01_因子設定!$B$13="最小化",01_因子設定!$B$15-AB4982,MIN(AA4982-01_因子設定!$B$14,01_因子設定!$B$15-AB4982))),-1E+030)</f>
        <v>0.0303102232945136</v>
      </c>
      <c r="AE4982" s="55" t="n">
        <f aca="false">IF(AC4982,IF(01_因子設定!$B$13="最大化",X4982,IF(01_因子設定!$B$13="最小化",-X4982,-ABS(X4982-01_因子設定!$B$16))),-1E+030)</f>
        <v>48.1139985380117</v>
      </c>
      <c r="AF4982" s="55" t="n">
        <f aca="false">AD4982+ROW()*0.000000001</f>
        <v>0.0303152052945136</v>
      </c>
      <c r="AG4982" s="55" t="n">
        <f aca="false">AE4982+ROW()*0.000000001</f>
        <v>48.1140035200117</v>
      </c>
    </row>
    <row r="4983" customFormat="false" ht="15" hidden="false" customHeight="false" outlineLevel="0" collapsed="false">
      <c r="A4983" s="0" t="n">
        <v>6</v>
      </c>
      <c r="B4983" s="0" t="n">
        <v>7</v>
      </c>
      <c r="C4983" s="0" t="n">
        <v>4</v>
      </c>
      <c r="D4983" s="0" t="n">
        <v>1</v>
      </c>
      <c r="E4983" s="0" t="n">
        <f aca="false">-1+A4983*0.25</f>
        <v>0.5</v>
      </c>
      <c r="F4983" s="0" t="n">
        <f aca="false">-1+B4983*0.25</f>
        <v>0.75</v>
      </c>
      <c r="G4983" s="0" t="n">
        <f aca="false">-1+C4983*0.25</f>
        <v>0</v>
      </c>
      <c r="H4983" s="0" t="n">
        <f aca="false">-1+D4983*0.25</f>
        <v>-0.75</v>
      </c>
      <c r="I4983" s="0" t="n">
        <f aca="false">1</f>
        <v>1</v>
      </c>
      <c r="J4983" s="0" t="n">
        <f aca="false">E4983</f>
        <v>0.5</v>
      </c>
      <c r="K4983" s="0" t="n">
        <f aca="false">F4983</f>
        <v>0.75</v>
      </c>
      <c r="L4983" s="0" t="n">
        <f aca="false">G4983</f>
        <v>0</v>
      </c>
      <c r="M4983" s="0" t="n">
        <f aca="false">H4983</f>
        <v>-0.75</v>
      </c>
      <c r="N4983" s="0" t="n">
        <f aca="false">E4983*F4983</f>
        <v>0.375</v>
      </c>
      <c r="O4983" s="0" t="n">
        <f aca="false">E4983*G4983</f>
        <v>0</v>
      </c>
      <c r="P4983" s="0" t="n">
        <f aca="false">E4983*H4983</f>
        <v>-0.375</v>
      </c>
      <c r="Q4983" s="0" t="n">
        <f aca="false">F4983*G4983</f>
        <v>0</v>
      </c>
      <c r="R4983" s="0" t="n">
        <f aca="false">F4983*H4983</f>
        <v>-0.5625</v>
      </c>
      <c r="S4983" s="0" t="n">
        <f aca="false">G4983*H4983</f>
        <v>-0</v>
      </c>
      <c r="T4983" s="0" t="n">
        <f aca="false">E4983*E4983</f>
        <v>0.25</v>
      </c>
      <c r="U4983" s="0" t="n">
        <f aca="false">F4983*F4983</f>
        <v>0.5625</v>
      </c>
      <c r="V4983" s="0" t="n">
        <f aca="false">G4983*G4983</f>
        <v>0</v>
      </c>
      <c r="W4983" s="0" t="n">
        <f aca="false">H4983*H4983</f>
        <v>0.5625</v>
      </c>
      <c r="X4983" s="0" t="n">
        <f aca="false">SUMPRODUCT(I4983:W4983,_XtX!$B$96:$P$96)</f>
        <v>48.3584932383041</v>
      </c>
      <c r="Y4983" s="0" t="n">
        <f aca="false">SUMPRODUCT(MMULT(I4983:W4983,_XtX!$B$78:$P$92),I4983:W4983)</f>
        <v>0.269923873812135</v>
      </c>
      <c r="Z4983" s="0" t="n">
        <f aca="false">04_回帰ANOVA!$K$19*04_回帰ANOVA!$K$14*SQRT(1+Y4983)</f>
        <v>1.46888310825501</v>
      </c>
      <c r="AA4983" s="0" t="n">
        <f aca="false">X4983-Z4983</f>
        <v>46.8896101300491</v>
      </c>
      <c r="AB4983" s="0" t="n">
        <f aca="false">X4983+Z4983</f>
        <v>49.8273763465591</v>
      </c>
      <c r="AC4983" s="54" t="b">
        <f aca="false">AND(E4983&gt;=01_因子設定!$L$5-0.000000001,E4983&lt;=01_因子設定!$M$5+0.000000001,F4983&gt;=01_因子設定!$L$6-0.000000001,F4983&lt;=01_因子設定!$M$6+0.000000001,G4983&gt;=01_因子設定!$L$7-0.000000001,G4983&lt;=01_因子設定!$M$7+0.000000001,H4983&gt;=01_因子設定!$L$8-0.000000001,H4983&lt;=01_因子設定!$M$8+0.000000001,IF(01_因子設定!$B$20="Box-Behnken",E4983^2+F4983^2+G4983^2+H4983^2&lt;=2+0.000000001,TRUE()))</f>
        <v>1</v>
      </c>
      <c r="AD4983" s="55" t="n">
        <f aca="false">IF(AC4983,IF(01_因子設定!$B$13="最大化",AA4983-01_因子設定!$B$14,IF(01_因子設定!$B$13="最小化",01_因子設定!$B$15-AB4983,MIN(AA4983-01_因子設定!$B$14,01_因子設定!$B$15-AB4983))),-1E+030)</f>
        <v>0.389610130049064</v>
      </c>
      <c r="AE4983" s="55" t="n">
        <f aca="false">IF(AC4983,IF(01_因子設定!$B$13="最大化",X4983,IF(01_因子設定!$B$13="最小化",-X4983,-ABS(X4983-01_因子設定!$B$16))),-1E+030)</f>
        <v>48.3584932383041</v>
      </c>
      <c r="AF4983" s="55" t="n">
        <f aca="false">AD4983+ROW()*0.000000001</f>
        <v>0.389615113049064</v>
      </c>
      <c r="AG4983" s="55" t="n">
        <f aca="false">AE4983+ROW()*0.000000001</f>
        <v>48.3584982213041</v>
      </c>
    </row>
    <row r="4984" customFormat="false" ht="15" hidden="false" customHeight="false" outlineLevel="0" collapsed="false">
      <c r="A4984" s="0" t="n">
        <v>6</v>
      </c>
      <c r="B4984" s="0" t="n">
        <v>7</v>
      </c>
      <c r="C4984" s="0" t="n">
        <v>4</v>
      </c>
      <c r="D4984" s="0" t="n">
        <v>2</v>
      </c>
      <c r="E4984" s="0" t="n">
        <f aca="false">-1+A4984*0.25</f>
        <v>0.5</v>
      </c>
      <c r="F4984" s="0" t="n">
        <f aca="false">-1+B4984*0.25</f>
        <v>0.75</v>
      </c>
      <c r="G4984" s="0" t="n">
        <f aca="false">-1+C4984*0.25</f>
        <v>0</v>
      </c>
      <c r="H4984" s="0" t="n">
        <f aca="false">-1+D4984*0.25</f>
        <v>-0.5</v>
      </c>
      <c r="I4984" s="0" t="n">
        <f aca="false">1</f>
        <v>1</v>
      </c>
      <c r="J4984" s="0" t="n">
        <f aca="false">E4984</f>
        <v>0.5</v>
      </c>
      <c r="K4984" s="0" t="n">
        <f aca="false">F4984</f>
        <v>0.75</v>
      </c>
      <c r="L4984" s="0" t="n">
        <f aca="false">G4984</f>
        <v>0</v>
      </c>
      <c r="M4984" s="0" t="n">
        <f aca="false">H4984</f>
        <v>-0.5</v>
      </c>
      <c r="N4984" s="0" t="n">
        <f aca="false">E4984*F4984</f>
        <v>0.375</v>
      </c>
      <c r="O4984" s="0" t="n">
        <f aca="false">E4984*G4984</f>
        <v>0</v>
      </c>
      <c r="P4984" s="0" t="n">
        <f aca="false">E4984*H4984</f>
        <v>-0.25</v>
      </c>
      <c r="Q4984" s="0" t="n">
        <f aca="false">F4984*G4984</f>
        <v>0</v>
      </c>
      <c r="R4984" s="0" t="n">
        <f aca="false">F4984*H4984</f>
        <v>-0.375</v>
      </c>
      <c r="S4984" s="0" t="n">
        <f aca="false">G4984*H4984</f>
        <v>-0</v>
      </c>
      <c r="T4984" s="0" t="n">
        <f aca="false">E4984*E4984</f>
        <v>0.25</v>
      </c>
      <c r="U4984" s="0" t="n">
        <f aca="false">F4984*F4984</f>
        <v>0.5625</v>
      </c>
      <c r="V4984" s="0" t="n">
        <f aca="false">G4984*G4984</f>
        <v>0</v>
      </c>
      <c r="W4984" s="0" t="n">
        <f aca="false">H4984*H4984</f>
        <v>0.25</v>
      </c>
      <c r="X4984" s="0" t="n">
        <f aca="false">SUMPRODUCT(I4984:W4984,_XtX!$B$96:$P$96)</f>
        <v>48.5551809210526</v>
      </c>
      <c r="Y4984" s="0" t="n">
        <f aca="false">SUMPRODUCT(MMULT(I4984:W4984,_XtX!$B$78:$P$92),I4984:W4984)</f>
        <v>0.21305052997076</v>
      </c>
      <c r="Z4984" s="0" t="n">
        <f aca="false">04_回帰ANOVA!$K$19*04_回帰ANOVA!$K$14*SQRT(1+Y4984)</f>
        <v>1.43561450835061</v>
      </c>
      <c r="AA4984" s="0" t="n">
        <f aca="false">X4984-Z4984</f>
        <v>47.119566412702</v>
      </c>
      <c r="AB4984" s="0" t="n">
        <f aca="false">X4984+Z4984</f>
        <v>49.9907954294032</v>
      </c>
      <c r="AC4984" s="54" t="b">
        <f aca="false">AND(E4984&gt;=01_因子設定!$L$5-0.000000001,E4984&lt;=01_因子設定!$M$5+0.000000001,F4984&gt;=01_因子設定!$L$6-0.000000001,F4984&lt;=01_因子設定!$M$6+0.000000001,G4984&gt;=01_因子設定!$L$7-0.000000001,G4984&lt;=01_因子設定!$M$7+0.000000001,H4984&gt;=01_因子設定!$L$8-0.000000001,H4984&lt;=01_因子設定!$M$8+0.000000001,IF(01_因子設定!$B$20="Box-Behnken",E4984^2+F4984^2+G4984^2+H4984^2&lt;=2+0.000000001,TRUE()))</f>
        <v>1</v>
      </c>
      <c r="AD4984" s="55" t="n">
        <f aca="false">IF(AC4984,IF(01_因子設定!$B$13="最大化",AA4984-01_因子設定!$B$14,IF(01_因子設定!$B$13="最小化",01_因子設定!$B$15-AB4984,MIN(AA4984-01_因子設定!$B$14,01_因子設定!$B$15-AB4984))),-1E+030)</f>
        <v>0.619566412701992</v>
      </c>
      <c r="AE4984" s="55" t="n">
        <f aca="false">IF(AC4984,IF(01_因子設定!$B$13="最大化",X4984,IF(01_因子設定!$B$13="最小化",-X4984,-ABS(X4984-01_因子設定!$B$16))),-1E+030)</f>
        <v>48.5551809210526</v>
      </c>
      <c r="AF4984" s="55" t="n">
        <f aca="false">AD4984+ROW()*0.000000001</f>
        <v>0.619571396701993</v>
      </c>
      <c r="AG4984" s="55" t="n">
        <f aca="false">AE4984+ROW()*0.000000001</f>
        <v>48.5551859050526</v>
      </c>
    </row>
    <row r="4985" customFormat="false" ht="15" hidden="false" customHeight="false" outlineLevel="0" collapsed="false">
      <c r="A4985" s="0" t="n">
        <v>6</v>
      </c>
      <c r="B4985" s="0" t="n">
        <v>7</v>
      </c>
      <c r="C4985" s="0" t="n">
        <v>4</v>
      </c>
      <c r="D4985" s="0" t="n">
        <v>3</v>
      </c>
      <c r="E4985" s="0" t="n">
        <f aca="false">-1+A4985*0.25</f>
        <v>0.5</v>
      </c>
      <c r="F4985" s="0" t="n">
        <f aca="false">-1+B4985*0.25</f>
        <v>0.75</v>
      </c>
      <c r="G4985" s="0" t="n">
        <f aca="false">-1+C4985*0.25</f>
        <v>0</v>
      </c>
      <c r="H4985" s="0" t="n">
        <f aca="false">-1+D4985*0.25</f>
        <v>-0.25</v>
      </c>
      <c r="I4985" s="0" t="n">
        <f aca="false">1</f>
        <v>1</v>
      </c>
      <c r="J4985" s="0" t="n">
        <f aca="false">E4985</f>
        <v>0.5</v>
      </c>
      <c r="K4985" s="0" t="n">
        <f aca="false">F4985</f>
        <v>0.75</v>
      </c>
      <c r="L4985" s="0" t="n">
        <f aca="false">G4985</f>
        <v>0</v>
      </c>
      <c r="M4985" s="0" t="n">
        <f aca="false">H4985</f>
        <v>-0.25</v>
      </c>
      <c r="N4985" s="0" t="n">
        <f aca="false">E4985*F4985</f>
        <v>0.375</v>
      </c>
      <c r="O4985" s="0" t="n">
        <f aca="false">E4985*G4985</f>
        <v>0</v>
      </c>
      <c r="P4985" s="0" t="n">
        <f aca="false">E4985*H4985</f>
        <v>-0.125</v>
      </c>
      <c r="Q4985" s="0" t="n">
        <f aca="false">F4985*G4985</f>
        <v>0</v>
      </c>
      <c r="R4985" s="0" t="n">
        <f aca="false">F4985*H4985</f>
        <v>-0.1875</v>
      </c>
      <c r="S4985" s="0" t="n">
        <f aca="false">G4985*H4985</f>
        <v>-0</v>
      </c>
      <c r="T4985" s="0" t="n">
        <f aca="false">E4985*E4985</f>
        <v>0.25</v>
      </c>
      <c r="U4985" s="0" t="n">
        <f aca="false">F4985*F4985</f>
        <v>0.5625</v>
      </c>
      <c r="V4985" s="0" t="n">
        <f aca="false">G4985*G4985</f>
        <v>0</v>
      </c>
      <c r="W4985" s="0" t="n">
        <f aca="false">H4985*H4985</f>
        <v>0.0625</v>
      </c>
      <c r="X4985" s="0" t="n">
        <f aca="false">SUMPRODUCT(I4985:W4985,_XtX!$B$96:$P$96)</f>
        <v>48.7040615862573</v>
      </c>
      <c r="Y4985" s="0" t="n">
        <f aca="false">SUMPRODUCT(MMULT(I4985:W4985,_XtX!$B$78:$P$92),I4985:W4985)</f>
        <v>0.215110734192252</v>
      </c>
      <c r="Z4985" s="0" t="n">
        <f aca="false">04_回帰ANOVA!$K$19*04_回帰ANOVA!$K$14*SQRT(1+Y4985)</f>
        <v>1.43683309086864</v>
      </c>
      <c r="AA4985" s="0" t="n">
        <f aca="false">X4985-Z4985</f>
        <v>47.2672284953886</v>
      </c>
      <c r="AB4985" s="0" t="n">
        <f aca="false">X4985+Z4985</f>
        <v>50.1408946771259</v>
      </c>
      <c r="AC4985" s="54" t="b">
        <f aca="false">AND(E4985&gt;=01_因子設定!$L$5-0.000000001,E4985&lt;=01_因子設定!$M$5+0.000000001,F4985&gt;=01_因子設定!$L$6-0.000000001,F4985&lt;=01_因子設定!$M$6+0.000000001,G4985&gt;=01_因子設定!$L$7-0.000000001,G4985&lt;=01_因子設定!$M$7+0.000000001,H4985&gt;=01_因子設定!$L$8-0.000000001,H4985&lt;=01_因子設定!$M$8+0.000000001,IF(01_因子設定!$B$20="Box-Behnken",E4985^2+F4985^2+G4985^2+H4985^2&lt;=2+0.000000001,TRUE()))</f>
        <v>1</v>
      </c>
      <c r="AD4985" s="55" t="n">
        <f aca="false">IF(AC4985,IF(01_因子設定!$B$13="最大化",AA4985-01_因子設定!$B$14,IF(01_因子設定!$B$13="最小化",01_因子設定!$B$15-AB4985,MIN(AA4985-01_因子設定!$B$14,01_因子設定!$B$15-AB4985))),-1E+030)</f>
        <v>0.767228495388622</v>
      </c>
      <c r="AE4985" s="55" t="n">
        <f aca="false">IF(AC4985,IF(01_因子設定!$B$13="最大化",X4985,IF(01_因子設定!$B$13="最小化",-X4985,-ABS(X4985-01_因子設定!$B$16))),-1E+030)</f>
        <v>48.7040615862573</v>
      </c>
      <c r="AF4985" s="55" t="n">
        <f aca="false">AD4985+ROW()*0.000000001</f>
        <v>0.767233480388622</v>
      </c>
      <c r="AG4985" s="55" t="n">
        <f aca="false">AE4985+ROW()*0.000000001</f>
        <v>48.7040665712573</v>
      </c>
    </row>
    <row r="4986" customFormat="false" ht="15" hidden="false" customHeight="false" outlineLevel="0" collapsed="false">
      <c r="A4986" s="0" t="n">
        <v>6</v>
      </c>
      <c r="B4986" s="0" t="n">
        <v>7</v>
      </c>
      <c r="C4986" s="0" t="n">
        <v>4</v>
      </c>
      <c r="D4986" s="0" t="n">
        <v>4</v>
      </c>
      <c r="E4986" s="0" t="n">
        <f aca="false">-1+A4986*0.25</f>
        <v>0.5</v>
      </c>
      <c r="F4986" s="0" t="n">
        <f aca="false">-1+B4986*0.25</f>
        <v>0.75</v>
      </c>
      <c r="G4986" s="0" t="n">
        <f aca="false">-1+C4986*0.25</f>
        <v>0</v>
      </c>
      <c r="H4986" s="0" t="n">
        <f aca="false">-1+D4986*0.25</f>
        <v>0</v>
      </c>
      <c r="I4986" s="0" t="n">
        <f aca="false">1</f>
        <v>1</v>
      </c>
      <c r="J4986" s="0" t="n">
        <f aca="false">E4986</f>
        <v>0.5</v>
      </c>
      <c r="K4986" s="0" t="n">
        <f aca="false">F4986</f>
        <v>0.75</v>
      </c>
      <c r="L4986" s="0" t="n">
        <f aca="false">G4986</f>
        <v>0</v>
      </c>
      <c r="M4986" s="0" t="n">
        <f aca="false">H4986</f>
        <v>0</v>
      </c>
      <c r="N4986" s="0" t="n">
        <f aca="false">E4986*F4986</f>
        <v>0.375</v>
      </c>
      <c r="O4986" s="0" t="n">
        <f aca="false">E4986*G4986</f>
        <v>0</v>
      </c>
      <c r="P4986" s="0" t="n">
        <f aca="false">E4986*H4986</f>
        <v>0</v>
      </c>
      <c r="Q4986" s="0" t="n">
        <f aca="false">F4986*G4986</f>
        <v>0</v>
      </c>
      <c r="R4986" s="0" t="n">
        <f aca="false">F4986*H4986</f>
        <v>0</v>
      </c>
      <c r="S4986" s="0" t="n">
        <f aca="false">G4986*H4986</f>
        <v>0</v>
      </c>
      <c r="T4986" s="0" t="n">
        <f aca="false">E4986*E4986</f>
        <v>0.25</v>
      </c>
      <c r="U4986" s="0" t="n">
        <f aca="false">F4986*F4986</f>
        <v>0.5625</v>
      </c>
      <c r="V4986" s="0" t="n">
        <f aca="false">G4986*G4986</f>
        <v>0</v>
      </c>
      <c r="W4986" s="0" t="n">
        <f aca="false">H4986*H4986</f>
        <v>0</v>
      </c>
      <c r="X4986" s="0" t="n">
        <f aca="false">SUMPRODUCT(I4986:W4986,_XtX!$B$96:$P$96)</f>
        <v>48.8051352339181</v>
      </c>
      <c r="Y4986" s="0" t="n">
        <f aca="false">SUMPRODUCT(MMULT(I4986:W4986,_XtX!$B$78:$P$92),I4986:W4986)</f>
        <v>0.221828170687135</v>
      </c>
      <c r="Z4986" s="0" t="n">
        <f aca="false">04_回帰ANOVA!$K$19*04_回帰ANOVA!$K$14*SQRT(1+Y4986)</f>
        <v>1.44079920361664</v>
      </c>
      <c r="AA4986" s="0" t="n">
        <f aca="false">X4986-Z4986</f>
        <v>47.3643360303014</v>
      </c>
      <c r="AB4986" s="0" t="n">
        <f aca="false">X4986+Z4986</f>
        <v>50.2459344375347</v>
      </c>
      <c r="AC4986" s="54" t="b">
        <f aca="false">AND(E4986&gt;=01_因子設定!$L$5-0.000000001,E4986&lt;=01_因子設定!$M$5+0.000000001,F4986&gt;=01_因子設定!$L$6-0.000000001,F4986&lt;=01_因子設定!$M$6+0.000000001,G4986&gt;=01_因子設定!$L$7-0.000000001,G4986&lt;=01_因子設定!$M$7+0.000000001,H4986&gt;=01_因子設定!$L$8-0.000000001,H4986&lt;=01_因子設定!$M$8+0.000000001,IF(01_因子設定!$B$20="Box-Behnken",E4986^2+F4986^2+G4986^2+H4986^2&lt;=2+0.000000001,TRUE()))</f>
        <v>1</v>
      </c>
      <c r="AD4986" s="55" t="n">
        <f aca="false">IF(AC4986,IF(01_因子設定!$B$13="最大化",AA4986-01_因子設定!$B$14,IF(01_因子設定!$B$13="最小化",01_因子設定!$B$15-AB4986,MIN(AA4986-01_因子設定!$B$14,01_因子設定!$B$15-AB4986))),-1E+030)</f>
        <v>0.864336030301445</v>
      </c>
      <c r="AE4986" s="55" t="n">
        <f aca="false">IF(AC4986,IF(01_因子設定!$B$13="最大化",X4986,IF(01_因子設定!$B$13="最小化",-X4986,-ABS(X4986-01_因子設定!$B$16))),-1E+030)</f>
        <v>48.8051352339181</v>
      </c>
      <c r="AF4986" s="55" t="n">
        <f aca="false">AD4986+ROW()*0.000000001</f>
        <v>0.864341016301445</v>
      </c>
      <c r="AG4986" s="55" t="n">
        <f aca="false">AE4986+ROW()*0.000000001</f>
        <v>48.8051402199181</v>
      </c>
    </row>
    <row r="4987" customFormat="false" ht="15" hidden="false" customHeight="false" outlineLevel="0" collapsed="false">
      <c r="A4987" s="0" t="n">
        <v>6</v>
      </c>
      <c r="B4987" s="0" t="n">
        <v>7</v>
      </c>
      <c r="C4987" s="0" t="n">
        <v>4</v>
      </c>
      <c r="D4987" s="0" t="n">
        <v>5</v>
      </c>
      <c r="E4987" s="0" t="n">
        <f aca="false">-1+A4987*0.25</f>
        <v>0.5</v>
      </c>
      <c r="F4987" s="0" t="n">
        <f aca="false">-1+B4987*0.25</f>
        <v>0.75</v>
      </c>
      <c r="G4987" s="0" t="n">
        <f aca="false">-1+C4987*0.25</f>
        <v>0</v>
      </c>
      <c r="H4987" s="0" t="n">
        <f aca="false">-1+D4987*0.25</f>
        <v>0.25</v>
      </c>
      <c r="I4987" s="0" t="n">
        <f aca="false">1</f>
        <v>1</v>
      </c>
      <c r="J4987" s="0" t="n">
        <f aca="false">E4987</f>
        <v>0.5</v>
      </c>
      <c r="K4987" s="0" t="n">
        <f aca="false">F4987</f>
        <v>0.75</v>
      </c>
      <c r="L4987" s="0" t="n">
        <f aca="false">G4987</f>
        <v>0</v>
      </c>
      <c r="M4987" s="0" t="n">
        <f aca="false">H4987</f>
        <v>0.25</v>
      </c>
      <c r="N4987" s="0" t="n">
        <f aca="false">E4987*F4987</f>
        <v>0.375</v>
      </c>
      <c r="O4987" s="0" t="n">
        <f aca="false">E4987*G4987</f>
        <v>0</v>
      </c>
      <c r="P4987" s="0" t="n">
        <f aca="false">E4987*H4987</f>
        <v>0.125</v>
      </c>
      <c r="Q4987" s="0" t="n">
        <f aca="false">F4987*G4987</f>
        <v>0</v>
      </c>
      <c r="R4987" s="0" t="n">
        <f aca="false">F4987*H4987</f>
        <v>0.1875</v>
      </c>
      <c r="S4987" s="0" t="n">
        <f aca="false">G4987*H4987</f>
        <v>0</v>
      </c>
      <c r="T4987" s="0" t="n">
        <f aca="false">E4987*E4987</f>
        <v>0.25</v>
      </c>
      <c r="U4987" s="0" t="n">
        <f aca="false">F4987*F4987</f>
        <v>0.5625</v>
      </c>
      <c r="V4987" s="0" t="n">
        <f aca="false">G4987*G4987</f>
        <v>0</v>
      </c>
      <c r="W4987" s="0" t="n">
        <f aca="false">H4987*H4987</f>
        <v>0.0625</v>
      </c>
      <c r="X4987" s="0" t="n">
        <f aca="false">SUMPRODUCT(I4987:W4987,_XtX!$B$96:$P$96)</f>
        <v>48.858401864035</v>
      </c>
      <c r="Y4987" s="0" t="n">
        <f aca="false">SUMPRODUCT(MMULT(I4987:W4987,_XtX!$B$78:$P$92),I4987:W4987)</f>
        <v>0.215110734192252</v>
      </c>
      <c r="Z4987" s="0" t="n">
        <f aca="false">04_回帰ANOVA!$K$19*04_回帰ANOVA!$K$14*SQRT(1+Y4987)</f>
        <v>1.43683309086864</v>
      </c>
      <c r="AA4987" s="0" t="n">
        <f aca="false">X4987-Z4987</f>
        <v>47.4215687731664</v>
      </c>
      <c r="AB4987" s="0" t="n">
        <f aca="false">X4987+Z4987</f>
        <v>50.2952349549037</v>
      </c>
      <c r="AC4987" s="54" t="b">
        <f aca="false">AND(E4987&gt;=01_因子設定!$L$5-0.000000001,E4987&lt;=01_因子設定!$M$5+0.000000001,F4987&gt;=01_因子設定!$L$6-0.000000001,F4987&lt;=01_因子設定!$M$6+0.000000001,G4987&gt;=01_因子設定!$L$7-0.000000001,G4987&lt;=01_因子設定!$M$7+0.000000001,H4987&gt;=01_因子設定!$L$8-0.000000001,H4987&lt;=01_因子設定!$M$8+0.000000001,IF(01_因子設定!$B$20="Box-Behnken",E4987^2+F4987^2+G4987^2+H4987^2&lt;=2+0.000000001,TRUE()))</f>
        <v>1</v>
      </c>
      <c r="AD4987" s="55" t="n">
        <f aca="false">IF(AC4987,IF(01_因子設定!$B$13="最大化",AA4987-01_因子設定!$B$14,IF(01_因子設定!$B$13="最小化",01_因子設定!$B$15-AB4987,MIN(AA4987-01_因子設定!$B$14,01_因子設定!$B$15-AB4987))),-1E+030)</f>
        <v>0.921568773166399</v>
      </c>
      <c r="AE4987" s="55" t="n">
        <f aca="false">IF(AC4987,IF(01_因子設定!$B$13="最大化",X4987,IF(01_因子設定!$B$13="最小化",-X4987,-ABS(X4987-01_因子設定!$B$16))),-1E+030)</f>
        <v>48.858401864035</v>
      </c>
      <c r="AF4987" s="55" t="n">
        <f aca="false">AD4987+ROW()*0.000000001</f>
        <v>0.921573760166399</v>
      </c>
      <c r="AG4987" s="55" t="n">
        <f aca="false">AE4987+ROW()*0.000000001</f>
        <v>48.858406851035</v>
      </c>
    </row>
    <row r="4988" customFormat="false" ht="15" hidden="false" customHeight="false" outlineLevel="0" collapsed="false">
      <c r="A4988" s="0" t="n">
        <v>6</v>
      </c>
      <c r="B4988" s="0" t="n">
        <v>7</v>
      </c>
      <c r="C4988" s="0" t="n">
        <v>4</v>
      </c>
      <c r="D4988" s="0" t="n">
        <v>6</v>
      </c>
      <c r="E4988" s="0" t="n">
        <f aca="false">-1+A4988*0.25</f>
        <v>0.5</v>
      </c>
      <c r="F4988" s="0" t="n">
        <f aca="false">-1+B4988*0.25</f>
        <v>0.75</v>
      </c>
      <c r="G4988" s="0" t="n">
        <f aca="false">-1+C4988*0.25</f>
        <v>0</v>
      </c>
      <c r="H4988" s="0" t="n">
        <f aca="false">-1+D4988*0.25</f>
        <v>0.5</v>
      </c>
      <c r="I4988" s="0" t="n">
        <f aca="false">1</f>
        <v>1</v>
      </c>
      <c r="J4988" s="0" t="n">
        <f aca="false">E4988</f>
        <v>0.5</v>
      </c>
      <c r="K4988" s="0" t="n">
        <f aca="false">F4988</f>
        <v>0.75</v>
      </c>
      <c r="L4988" s="0" t="n">
        <f aca="false">G4988</f>
        <v>0</v>
      </c>
      <c r="M4988" s="0" t="n">
        <f aca="false">H4988</f>
        <v>0.5</v>
      </c>
      <c r="N4988" s="0" t="n">
        <f aca="false">E4988*F4988</f>
        <v>0.375</v>
      </c>
      <c r="O4988" s="0" t="n">
        <f aca="false">E4988*G4988</f>
        <v>0</v>
      </c>
      <c r="P4988" s="0" t="n">
        <f aca="false">E4988*H4988</f>
        <v>0.25</v>
      </c>
      <c r="Q4988" s="0" t="n">
        <f aca="false">F4988*G4988</f>
        <v>0</v>
      </c>
      <c r="R4988" s="0" t="n">
        <f aca="false">F4988*H4988</f>
        <v>0.375</v>
      </c>
      <c r="S4988" s="0" t="n">
        <f aca="false">G4988*H4988</f>
        <v>0</v>
      </c>
      <c r="T4988" s="0" t="n">
        <f aca="false">E4988*E4988</f>
        <v>0.25</v>
      </c>
      <c r="U4988" s="0" t="n">
        <f aca="false">F4988*F4988</f>
        <v>0.5625</v>
      </c>
      <c r="V4988" s="0" t="n">
        <f aca="false">G4988*G4988</f>
        <v>0</v>
      </c>
      <c r="W4988" s="0" t="n">
        <f aca="false">H4988*H4988</f>
        <v>0.25</v>
      </c>
      <c r="X4988" s="0" t="n">
        <f aca="false">SUMPRODUCT(I4988:W4988,_XtX!$B$96:$P$96)</f>
        <v>48.8638614766082</v>
      </c>
      <c r="Y4988" s="0" t="n">
        <f aca="false">SUMPRODUCT(MMULT(I4988:W4988,_XtX!$B$78:$P$92),I4988:W4988)</f>
        <v>0.21305052997076</v>
      </c>
      <c r="Z4988" s="0" t="n">
        <f aca="false">04_回帰ANOVA!$K$19*04_回帰ANOVA!$K$14*SQRT(1+Y4988)</f>
        <v>1.43561450835061</v>
      </c>
      <c r="AA4988" s="0" t="n">
        <f aca="false">X4988-Z4988</f>
        <v>47.4282469682576</v>
      </c>
      <c r="AB4988" s="0" t="n">
        <f aca="false">X4988+Z4988</f>
        <v>50.2994759849588</v>
      </c>
      <c r="AC4988" s="54" t="b">
        <f aca="false">AND(E4988&gt;=01_因子設定!$L$5-0.000000001,E4988&lt;=01_因子設定!$M$5+0.000000001,F4988&gt;=01_因子設定!$L$6-0.000000001,F4988&lt;=01_因子設定!$M$6+0.000000001,G4988&gt;=01_因子設定!$L$7-0.000000001,G4988&lt;=01_因子設定!$M$7+0.000000001,H4988&gt;=01_因子設定!$L$8-0.000000001,H4988&lt;=01_因子設定!$M$8+0.000000001,IF(01_因子設定!$B$20="Box-Behnken",E4988^2+F4988^2+G4988^2+H4988^2&lt;=2+0.000000001,TRUE()))</f>
        <v>1</v>
      </c>
      <c r="AD4988" s="55" t="n">
        <f aca="false">IF(AC4988,IF(01_因子設定!$B$13="最大化",AA4988-01_因子設定!$B$14,IF(01_因子設定!$B$13="最小化",01_因子設定!$B$15-AB4988,MIN(AA4988-01_因子設定!$B$14,01_因子設定!$B$15-AB4988))),-1E+030)</f>
        <v>0.928246968257547</v>
      </c>
      <c r="AE4988" s="55" t="n">
        <f aca="false">IF(AC4988,IF(01_因子設定!$B$13="最大化",X4988,IF(01_因子設定!$B$13="最小化",-X4988,-ABS(X4988-01_因子設定!$B$16))),-1E+030)</f>
        <v>48.8638614766082</v>
      </c>
      <c r="AF4988" s="55" t="n">
        <f aca="false">AD4988+ROW()*0.000000001</f>
        <v>0.928251956257547</v>
      </c>
      <c r="AG4988" s="55" t="n">
        <f aca="false">AE4988+ROW()*0.000000001</f>
        <v>48.8638664646082</v>
      </c>
    </row>
    <row r="4989" customFormat="false" ht="15" hidden="false" customHeight="false" outlineLevel="0" collapsed="false">
      <c r="A4989" s="0" t="n">
        <v>6</v>
      </c>
      <c r="B4989" s="0" t="n">
        <v>7</v>
      </c>
      <c r="C4989" s="0" t="n">
        <v>4</v>
      </c>
      <c r="D4989" s="0" t="n">
        <v>7</v>
      </c>
      <c r="E4989" s="0" t="n">
        <f aca="false">-1+A4989*0.25</f>
        <v>0.5</v>
      </c>
      <c r="F4989" s="0" t="n">
        <f aca="false">-1+B4989*0.25</f>
        <v>0.75</v>
      </c>
      <c r="G4989" s="0" t="n">
        <f aca="false">-1+C4989*0.25</f>
        <v>0</v>
      </c>
      <c r="H4989" s="0" t="n">
        <f aca="false">-1+D4989*0.25</f>
        <v>0.75</v>
      </c>
      <c r="I4989" s="0" t="n">
        <f aca="false">1</f>
        <v>1</v>
      </c>
      <c r="J4989" s="0" t="n">
        <f aca="false">E4989</f>
        <v>0.5</v>
      </c>
      <c r="K4989" s="0" t="n">
        <f aca="false">F4989</f>
        <v>0.75</v>
      </c>
      <c r="L4989" s="0" t="n">
        <f aca="false">G4989</f>
        <v>0</v>
      </c>
      <c r="M4989" s="0" t="n">
        <f aca="false">H4989</f>
        <v>0.75</v>
      </c>
      <c r="N4989" s="0" t="n">
        <f aca="false">E4989*F4989</f>
        <v>0.375</v>
      </c>
      <c r="O4989" s="0" t="n">
        <f aca="false">E4989*G4989</f>
        <v>0</v>
      </c>
      <c r="P4989" s="0" t="n">
        <f aca="false">E4989*H4989</f>
        <v>0.375</v>
      </c>
      <c r="Q4989" s="0" t="n">
        <f aca="false">F4989*G4989</f>
        <v>0</v>
      </c>
      <c r="R4989" s="0" t="n">
        <f aca="false">F4989*H4989</f>
        <v>0.5625</v>
      </c>
      <c r="S4989" s="0" t="n">
        <f aca="false">G4989*H4989</f>
        <v>0</v>
      </c>
      <c r="T4989" s="0" t="n">
        <f aca="false">E4989*E4989</f>
        <v>0.25</v>
      </c>
      <c r="U4989" s="0" t="n">
        <f aca="false">F4989*F4989</f>
        <v>0.5625</v>
      </c>
      <c r="V4989" s="0" t="n">
        <f aca="false">G4989*G4989</f>
        <v>0</v>
      </c>
      <c r="W4989" s="0" t="n">
        <f aca="false">H4989*H4989</f>
        <v>0.5625</v>
      </c>
      <c r="X4989" s="0" t="n">
        <f aca="false">SUMPRODUCT(I4989:W4989,_XtX!$B$96:$P$96)</f>
        <v>48.8215140716374</v>
      </c>
      <c r="Y4989" s="0" t="n">
        <f aca="false">SUMPRODUCT(MMULT(I4989:W4989,_XtX!$B$78:$P$92),I4989:W4989)</f>
        <v>0.269923873812135</v>
      </c>
      <c r="Z4989" s="0" t="n">
        <f aca="false">04_回帰ANOVA!$K$19*04_回帰ANOVA!$K$14*SQRT(1+Y4989)</f>
        <v>1.46888310825501</v>
      </c>
      <c r="AA4989" s="0" t="n">
        <f aca="false">X4989-Z4989</f>
        <v>47.3526309633824</v>
      </c>
      <c r="AB4989" s="0" t="n">
        <f aca="false">X4989+Z4989</f>
        <v>50.2903971798924</v>
      </c>
      <c r="AC4989" s="54" t="b">
        <f aca="false">AND(E4989&gt;=01_因子設定!$L$5-0.000000001,E4989&lt;=01_因子設定!$M$5+0.000000001,F4989&gt;=01_因子設定!$L$6-0.000000001,F4989&lt;=01_因子設定!$M$6+0.000000001,G4989&gt;=01_因子設定!$L$7-0.000000001,G4989&lt;=01_因子設定!$M$7+0.000000001,H4989&gt;=01_因子設定!$L$8-0.000000001,H4989&lt;=01_因子設定!$M$8+0.000000001,IF(01_因子設定!$B$20="Box-Behnken",E4989^2+F4989^2+G4989^2+H4989^2&lt;=2+0.000000001,TRUE()))</f>
        <v>1</v>
      </c>
      <c r="AD4989" s="55" t="n">
        <f aca="false">IF(AC4989,IF(01_因子設定!$B$13="最大化",AA4989-01_因子設定!$B$14,IF(01_因子設定!$B$13="最小化",01_因子設定!$B$15-AB4989,MIN(AA4989-01_因子設定!$B$14,01_因子設定!$B$15-AB4989))),-1E+030)</f>
        <v>0.852630963382396</v>
      </c>
      <c r="AE4989" s="55" t="n">
        <f aca="false">IF(AC4989,IF(01_因子設定!$B$13="最大化",X4989,IF(01_因子設定!$B$13="最小化",-X4989,-ABS(X4989-01_因子設定!$B$16))),-1E+030)</f>
        <v>48.8215140716374</v>
      </c>
      <c r="AF4989" s="55" t="n">
        <f aca="false">AD4989+ROW()*0.000000001</f>
        <v>0.852635952382396</v>
      </c>
      <c r="AG4989" s="55" t="n">
        <f aca="false">AE4989+ROW()*0.000000001</f>
        <v>48.8215190606374</v>
      </c>
    </row>
    <row r="4990" customFormat="false" ht="15" hidden="false" customHeight="false" outlineLevel="0" collapsed="false">
      <c r="A4990" s="0" t="n">
        <v>6</v>
      </c>
      <c r="B4990" s="0" t="n">
        <v>7</v>
      </c>
      <c r="C4990" s="0" t="n">
        <v>4</v>
      </c>
      <c r="D4990" s="0" t="n">
        <v>8</v>
      </c>
      <c r="E4990" s="0" t="n">
        <f aca="false">-1+A4990*0.25</f>
        <v>0.5</v>
      </c>
      <c r="F4990" s="0" t="n">
        <f aca="false">-1+B4990*0.25</f>
        <v>0.75</v>
      </c>
      <c r="G4990" s="0" t="n">
        <f aca="false">-1+C4990*0.25</f>
        <v>0</v>
      </c>
      <c r="H4990" s="0" t="n">
        <f aca="false">-1+D4990*0.25</f>
        <v>1</v>
      </c>
      <c r="I4990" s="0" t="n">
        <f aca="false">1</f>
        <v>1</v>
      </c>
      <c r="J4990" s="0" t="n">
        <f aca="false">E4990</f>
        <v>0.5</v>
      </c>
      <c r="K4990" s="0" t="n">
        <f aca="false">F4990</f>
        <v>0.75</v>
      </c>
      <c r="L4990" s="0" t="n">
        <f aca="false">G4990</f>
        <v>0</v>
      </c>
      <c r="M4990" s="0" t="n">
        <f aca="false">H4990</f>
        <v>1</v>
      </c>
      <c r="N4990" s="0" t="n">
        <f aca="false">E4990*F4990</f>
        <v>0.375</v>
      </c>
      <c r="O4990" s="0" t="n">
        <f aca="false">E4990*G4990</f>
        <v>0</v>
      </c>
      <c r="P4990" s="0" t="n">
        <f aca="false">E4990*H4990</f>
        <v>0.5</v>
      </c>
      <c r="Q4990" s="0" t="n">
        <f aca="false">F4990*G4990</f>
        <v>0</v>
      </c>
      <c r="R4990" s="0" t="n">
        <f aca="false">F4990*H4990</f>
        <v>0.75</v>
      </c>
      <c r="S4990" s="0" t="n">
        <f aca="false">G4990*H4990</f>
        <v>0</v>
      </c>
      <c r="T4990" s="0" t="n">
        <f aca="false">E4990*E4990</f>
        <v>0.25</v>
      </c>
      <c r="U4990" s="0" t="n">
        <f aca="false">F4990*F4990</f>
        <v>0.5625</v>
      </c>
      <c r="V4990" s="0" t="n">
        <f aca="false">G4990*G4990</f>
        <v>0</v>
      </c>
      <c r="W4990" s="0" t="n">
        <f aca="false">H4990*H4990</f>
        <v>1</v>
      </c>
      <c r="X4990" s="0" t="n">
        <f aca="false">SUMPRODUCT(I4990:W4990,_XtX!$B$96:$P$96)</f>
        <v>48.7313596491228</v>
      </c>
      <c r="Y4990" s="0" t="n">
        <f aca="false">SUMPRODUCT(MMULT(I4990:W4990,_XtX!$B$78:$P$92),I4990:W4990)</f>
        <v>0.476191292032164</v>
      </c>
      <c r="Z4990" s="0" t="n">
        <f aca="false">04_回帰ANOVA!$K$19*04_回帰ANOVA!$K$14*SQRT(1+Y4990)</f>
        <v>1.58368831471718</v>
      </c>
      <c r="AA4990" s="0" t="n">
        <f aca="false">X4990-Z4990</f>
        <v>47.1476713344056</v>
      </c>
      <c r="AB4990" s="0" t="n">
        <f aca="false">X4990+Z4990</f>
        <v>50.31504796384</v>
      </c>
      <c r="AC4990" s="54" t="b">
        <f aca="false">AND(E4990&gt;=01_因子設定!$L$5-0.000000001,E4990&lt;=01_因子設定!$M$5+0.000000001,F4990&gt;=01_因子設定!$L$6-0.000000001,F4990&lt;=01_因子設定!$M$6+0.000000001,G4990&gt;=01_因子設定!$L$7-0.000000001,G4990&lt;=01_因子設定!$M$7+0.000000001,H4990&gt;=01_因子設定!$L$8-0.000000001,H4990&lt;=01_因子設定!$M$8+0.000000001,IF(01_因子設定!$B$20="Box-Behnken",E4990^2+F4990^2+G4990^2+H4990^2&lt;=2+0.000000001,TRUE()))</f>
        <v>1</v>
      </c>
      <c r="AD4990" s="55" t="n">
        <f aca="false">IF(AC4990,IF(01_因子設定!$B$13="最大化",AA4990-01_因子設定!$B$14,IF(01_因子設定!$B$13="最小化",01_因子設定!$B$15-AB4990,MIN(AA4990-01_因子設定!$B$14,01_因子設定!$B$15-AB4990))),-1E+030)</f>
        <v>0.647671334405622</v>
      </c>
      <c r="AE4990" s="55" t="n">
        <f aca="false">IF(AC4990,IF(01_因子設定!$B$13="最大化",X4990,IF(01_因子設定!$B$13="最小化",-X4990,-ABS(X4990-01_因子設定!$B$16))),-1E+030)</f>
        <v>48.7313596491228</v>
      </c>
      <c r="AF4990" s="55" t="n">
        <f aca="false">AD4990+ROW()*0.000000001</f>
        <v>0.647676324405622</v>
      </c>
      <c r="AG4990" s="55" t="n">
        <f aca="false">AE4990+ROW()*0.000000001</f>
        <v>48.7313646391228</v>
      </c>
    </row>
    <row r="4991" customFormat="false" ht="15" hidden="false" customHeight="false" outlineLevel="0" collapsed="false">
      <c r="A4991" s="0" t="n">
        <v>6</v>
      </c>
      <c r="B4991" s="0" t="n">
        <v>7</v>
      </c>
      <c r="C4991" s="0" t="n">
        <v>5</v>
      </c>
      <c r="D4991" s="0" t="n">
        <v>0</v>
      </c>
      <c r="E4991" s="0" t="n">
        <f aca="false">-1+A4991*0.25</f>
        <v>0.5</v>
      </c>
      <c r="F4991" s="0" t="n">
        <f aca="false">-1+B4991*0.25</f>
        <v>0.75</v>
      </c>
      <c r="G4991" s="0" t="n">
        <f aca="false">-1+C4991*0.25</f>
        <v>0.25</v>
      </c>
      <c r="H4991" s="0" t="n">
        <f aca="false">-1+D4991*0.25</f>
        <v>-1</v>
      </c>
      <c r="I4991" s="0" t="n">
        <f aca="false">1</f>
        <v>1</v>
      </c>
      <c r="J4991" s="0" t="n">
        <f aca="false">E4991</f>
        <v>0.5</v>
      </c>
      <c r="K4991" s="0" t="n">
        <f aca="false">F4991</f>
        <v>0.75</v>
      </c>
      <c r="L4991" s="0" t="n">
        <f aca="false">G4991</f>
        <v>0.25</v>
      </c>
      <c r="M4991" s="0" t="n">
        <f aca="false">H4991</f>
        <v>-1</v>
      </c>
      <c r="N4991" s="0" t="n">
        <f aca="false">E4991*F4991</f>
        <v>0.375</v>
      </c>
      <c r="O4991" s="0" t="n">
        <f aca="false">E4991*G4991</f>
        <v>0.125</v>
      </c>
      <c r="P4991" s="0" t="n">
        <f aca="false">E4991*H4991</f>
        <v>-0.5</v>
      </c>
      <c r="Q4991" s="0" t="n">
        <f aca="false">F4991*G4991</f>
        <v>0.1875</v>
      </c>
      <c r="R4991" s="0" t="n">
        <f aca="false">F4991*H4991</f>
        <v>-0.75</v>
      </c>
      <c r="S4991" s="0" t="n">
        <f aca="false">G4991*H4991</f>
        <v>-0.25</v>
      </c>
      <c r="T4991" s="0" t="n">
        <f aca="false">E4991*E4991</f>
        <v>0.25</v>
      </c>
      <c r="U4991" s="0" t="n">
        <f aca="false">F4991*F4991</f>
        <v>0.5625</v>
      </c>
      <c r="V4991" s="0" t="n">
        <f aca="false">G4991*G4991</f>
        <v>0.0625</v>
      </c>
      <c r="W4991" s="0" t="n">
        <f aca="false">H4991*H4991</f>
        <v>1</v>
      </c>
      <c r="X4991" s="0" t="n">
        <f aca="false">SUMPRODUCT(I4991:W4991,_XtX!$B$96:$P$96)</f>
        <v>48.2226471125731</v>
      </c>
      <c r="Y4991" s="0" t="n">
        <f aca="false">SUMPRODUCT(MMULT(I4991:W4991,_XtX!$B$78:$P$92),I4991:W4991)</f>
        <v>0.459125719572369</v>
      </c>
      <c r="Z4991" s="0" t="n">
        <f aca="false">04_回帰ANOVA!$K$19*04_回帰ANOVA!$K$14*SQRT(1+Y4991)</f>
        <v>1.57450755575573</v>
      </c>
      <c r="AA4991" s="0" t="n">
        <f aca="false">X4991-Z4991</f>
        <v>46.6481395568174</v>
      </c>
      <c r="AB4991" s="0" t="n">
        <f aca="false">X4991+Z4991</f>
        <v>49.7971546683288</v>
      </c>
      <c r="AC4991" s="54" t="b">
        <f aca="false">AND(E4991&gt;=01_因子設定!$L$5-0.000000001,E4991&lt;=01_因子設定!$M$5+0.000000001,F4991&gt;=01_因子設定!$L$6-0.000000001,F4991&lt;=01_因子設定!$M$6+0.000000001,G4991&gt;=01_因子設定!$L$7-0.000000001,G4991&lt;=01_因子設定!$M$7+0.000000001,H4991&gt;=01_因子設定!$L$8-0.000000001,H4991&lt;=01_因子設定!$M$8+0.000000001,IF(01_因子設定!$B$20="Box-Behnken",E4991^2+F4991^2+G4991^2+H4991^2&lt;=2+0.000000001,TRUE()))</f>
        <v>1</v>
      </c>
      <c r="AD4991" s="55" t="n">
        <f aca="false">IF(AC4991,IF(01_因子設定!$B$13="最大化",AA4991-01_因子設定!$B$14,IF(01_因子設定!$B$13="最小化",01_因子設定!$B$15-AB4991,MIN(AA4991-01_因子設定!$B$14,01_因子設定!$B$15-AB4991))),-1E+030)</f>
        <v>0.148139556817362</v>
      </c>
      <c r="AE4991" s="55" t="n">
        <f aca="false">IF(AC4991,IF(01_因子設定!$B$13="最大化",X4991,IF(01_因子設定!$B$13="最小化",-X4991,-ABS(X4991-01_因子設定!$B$16))),-1E+030)</f>
        <v>48.2226471125731</v>
      </c>
      <c r="AF4991" s="55" t="n">
        <f aca="false">AD4991+ROW()*0.000000001</f>
        <v>0.148144547817362</v>
      </c>
      <c r="AG4991" s="55" t="n">
        <f aca="false">AE4991+ROW()*0.000000001</f>
        <v>48.2226521035731</v>
      </c>
    </row>
    <row r="4992" customFormat="false" ht="15" hidden="false" customHeight="false" outlineLevel="0" collapsed="false">
      <c r="A4992" s="0" t="n">
        <v>6</v>
      </c>
      <c r="B4992" s="0" t="n">
        <v>7</v>
      </c>
      <c r="C4992" s="0" t="n">
        <v>5</v>
      </c>
      <c r="D4992" s="0" t="n">
        <v>1</v>
      </c>
      <c r="E4992" s="0" t="n">
        <f aca="false">-1+A4992*0.25</f>
        <v>0.5</v>
      </c>
      <c r="F4992" s="0" t="n">
        <f aca="false">-1+B4992*0.25</f>
        <v>0.75</v>
      </c>
      <c r="G4992" s="0" t="n">
        <f aca="false">-1+C4992*0.25</f>
        <v>0.25</v>
      </c>
      <c r="H4992" s="0" t="n">
        <f aca="false">-1+D4992*0.25</f>
        <v>-0.75</v>
      </c>
      <c r="I4992" s="0" t="n">
        <f aca="false">1</f>
        <v>1</v>
      </c>
      <c r="J4992" s="0" t="n">
        <f aca="false">E4992</f>
        <v>0.5</v>
      </c>
      <c r="K4992" s="0" t="n">
        <f aca="false">F4992</f>
        <v>0.75</v>
      </c>
      <c r="L4992" s="0" t="n">
        <f aca="false">G4992</f>
        <v>0.25</v>
      </c>
      <c r="M4992" s="0" t="n">
        <f aca="false">H4992</f>
        <v>-0.75</v>
      </c>
      <c r="N4992" s="0" t="n">
        <f aca="false">E4992*F4992</f>
        <v>0.375</v>
      </c>
      <c r="O4992" s="0" t="n">
        <f aca="false">E4992*G4992</f>
        <v>0.125</v>
      </c>
      <c r="P4992" s="0" t="n">
        <f aca="false">E4992*H4992</f>
        <v>-0.375</v>
      </c>
      <c r="Q4992" s="0" t="n">
        <f aca="false">F4992*G4992</f>
        <v>0.1875</v>
      </c>
      <c r="R4992" s="0" t="n">
        <f aca="false">F4992*H4992</f>
        <v>-0.5625</v>
      </c>
      <c r="S4992" s="0" t="n">
        <f aca="false">G4992*H4992</f>
        <v>-0.1875</v>
      </c>
      <c r="T4992" s="0" t="n">
        <f aca="false">E4992*E4992</f>
        <v>0.25</v>
      </c>
      <c r="U4992" s="0" t="n">
        <f aca="false">F4992*F4992</f>
        <v>0.5625</v>
      </c>
      <c r="V4992" s="0" t="n">
        <f aca="false">G4992*G4992</f>
        <v>0.0625</v>
      </c>
      <c r="W4992" s="0" t="n">
        <f aca="false">H4992*H4992</f>
        <v>0.5625</v>
      </c>
      <c r="X4992" s="0" t="n">
        <f aca="false">SUMPRODUCT(I4992:W4992,_XtX!$B$96:$P$96)</f>
        <v>48.4851105628655</v>
      </c>
      <c r="Y4992" s="0" t="n">
        <f aca="false">SUMPRODUCT(MMULT(I4992:W4992,_XtX!$B$78:$P$92),I4992:W4992)</f>
        <v>0.257385610836988</v>
      </c>
      <c r="Z4992" s="0" t="n">
        <f aca="false">04_回帰ANOVA!$K$19*04_回帰ANOVA!$K$14*SQRT(1+Y4992)</f>
        <v>1.46161380324158</v>
      </c>
      <c r="AA4992" s="0" t="n">
        <f aca="false">X4992-Z4992</f>
        <v>47.0234967596239</v>
      </c>
      <c r="AB4992" s="0" t="n">
        <f aca="false">X4992+Z4992</f>
        <v>49.9467243661071</v>
      </c>
      <c r="AC4992" s="54" t="b">
        <f aca="false">AND(E4992&gt;=01_因子設定!$L$5-0.000000001,E4992&lt;=01_因子設定!$M$5+0.000000001,F4992&gt;=01_因子設定!$L$6-0.000000001,F4992&lt;=01_因子設定!$M$6+0.000000001,G4992&gt;=01_因子設定!$L$7-0.000000001,G4992&lt;=01_因子設定!$M$7+0.000000001,H4992&gt;=01_因子設定!$L$8-0.000000001,H4992&lt;=01_因子設定!$M$8+0.000000001,IF(01_因子設定!$B$20="Box-Behnken",E4992^2+F4992^2+G4992^2+H4992^2&lt;=2+0.000000001,TRUE()))</f>
        <v>1</v>
      </c>
      <c r="AD4992" s="55" t="n">
        <f aca="false">IF(AC4992,IF(01_因子設定!$B$13="最大化",AA4992-01_因子設定!$B$14,IF(01_因子設定!$B$13="最小化",01_因子設定!$B$15-AB4992,MIN(AA4992-01_因子設定!$B$14,01_因子設定!$B$15-AB4992))),-1E+030)</f>
        <v>0.523496759623889</v>
      </c>
      <c r="AE4992" s="55" t="n">
        <f aca="false">IF(AC4992,IF(01_因子設定!$B$13="最大化",X4992,IF(01_因子設定!$B$13="最小化",-X4992,-ABS(X4992-01_因子設定!$B$16))),-1E+030)</f>
        <v>48.4851105628655</v>
      </c>
      <c r="AF4992" s="55" t="n">
        <f aca="false">AD4992+ROW()*0.000000001</f>
        <v>0.523501751623889</v>
      </c>
      <c r="AG4992" s="55" t="n">
        <f aca="false">AE4992+ROW()*0.000000001</f>
        <v>48.4851155548655</v>
      </c>
    </row>
    <row r="4993" customFormat="false" ht="15" hidden="false" customHeight="false" outlineLevel="0" collapsed="false">
      <c r="A4993" s="0" t="n">
        <v>6</v>
      </c>
      <c r="B4993" s="0" t="n">
        <v>7</v>
      </c>
      <c r="C4993" s="0" t="n">
        <v>5</v>
      </c>
      <c r="D4993" s="0" t="n">
        <v>2</v>
      </c>
      <c r="E4993" s="0" t="n">
        <f aca="false">-1+A4993*0.25</f>
        <v>0.5</v>
      </c>
      <c r="F4993" s="0" t="n">
        <f aca="false">-1+B4993*0.25</f>
        <v>0.75</v>
      </c>
      <c r="G4993" s="0" t="n">
        <f aca="false">-1+C4993*0.25</f>
        <v>0.25</v>
      </c>
      <c r="H4993" s="0" t="n">
        <f aca="false">-1+D4993*0.25</f>
        <v>-0.5</v>
      </c>
      <c r="I4993" s="0" t="n">
        <f aca="false">1</f>
        <v>1</v>
      </c>
      <c r="J4993" s="0" t="n">
        <f aca="false">E4993</f>
        <v>0.5</v>
      </c>
      <c r="K4993" s="0" t="n">
        <f aca="false">F4993</f>
        <v>0.75</v>
      </c>
      <c r="L4993" s="0" t="n">
        <f aca="false">G4993</f>
        <v>0.25</v>
      </c>
      <c r="M4993" s="0" t="n">
        <f aca="false">H4993</f>
        <v>-0.5</v>
      </c>
      <c r="N4993" s="0" t="n">
        <f aca="false">E4993*F4993</f>
        <v>0.375</v>
      </c>
      <c r="O4993" s="0" t="n">
        <f aca="false">E4993*G4993</f>
        <v>0.125</v>
      </c>
      <c r="P4993" s="0" t="n">
        <f aca="false">E4993*H4993</f>
        <v>-0.25</v>
      </c>
      <c r="Q4993" s="0" t="n">
        <f aca="false">F4993*G4993</f>
        <v>0.1875</v>
      </c>
      <c r="R4993" s="0" t="n">
        <f aca="false">F4993*H4993</f>
        <v>-0.375</v>
      </c>
      <c r="S4993" s="0" t="n">
        <f aca="false">G4993*H4993</f>
        <v>-0.125</v>
      </c>
      <c r="T4993" s="0" t="n">
        <f aca="false">E4993*E4993</f>
        <v>0.25</v>
      </c>
      <c r="U4993" s="0" t="n">
        <f aca="false">F4993*F4993</f>
        <v>0.5625</v>
      </c>
      <c r="V4993" s="0" t="n">
        <f aca="false">G4993*G4993</f>
        <v>0.0625</v>
      </c>
      <c r="W4993" s="0" t="n">
        <f aca="false">H4993*H4993</f>
        <v>0.25</v>
      </c>
      <c r="X4993" s="0" t="n">
        <f aca="false">SUMPRODUCT(I4993:W4993,_XtX!$B$96:$P$96)</f>
        <v>48.699766995614</v>
      </c>
      <c r="Y4993" s="0" t="n">
        <f aca="false">SUMPRODUCT(MMULT(I4993:W4993,_XtX!$B$78:$P$92),I4993:W4993)</f>
        <v>0.203746059484649</v>
      </c>
      <c r="Z4993" s="0" t="n">
        <f aca="false">04_回帰ANOVA!$K$19*04_回帰ANOVA!$K$14*SQRT(1+Y4993)</f>
        <v>1.43009810755465</v>
      </c>
      <c r="AA4993" s="0" t="n">
        <f aca="false">X4993-Z4993</f>
        <v>47.2696688880594</v>
      </c>
      <c r="AB4993" s="0" t="n">
        <f aca="false">X4993+Z4993</f>
        <v>50.1298651031687</v>
      </c>
      <c r="AC4993" s="54" t="b">
        <f aca="false">AND(E4993&gt;=01_因子設定!$L$5-0.000000001,E4993&lt;=01_因子設定!$M$5+0.000000001,F4993&gt;=01_因子設定!$L$6-0.000000001,F4993&lt;=01_因子設定!$M$6+0.000000001,G4993&gt;=01_因子設定!$L$7-0.000000001,G4993&lt;=01_因子設定!$M$7+0.000000001,H4993&gt;=01_因子設定!$L$8-0.000000001,H4993&lt;=01_因子設定!$M$8+0.000000001,IF(01_因子設定!$B$20="Box-Behnken",E4993^2+F4993^2+G4993^2+H4993^2&lt;=2+0.000000001,TRUE()))</f>
        <v>1</v>
      </c>
      <c r="AD4993" s="55" t="n">
        <f aca="false">IF(AC4993,IF(01_因子設定!$B$13="最大化",AA4993-01_因子設定!$B$14,IF(01_因子設定!$B$13="最小化",01_因子設定!$B$15-AB4993,MIN(AA4993-01_因子設定!$B$14,01_因子設定!$B$15-AB4993))),-1E+030)</f>
        <v>0.76966888805935</v>
      </c>
      <c r="AE4993" s="55" t="n">
        <f aca="false">IF(AC4993,IF(01_因子設定!$B$13="最大化",X4993,IF(01_因子設定!$B$13="最小化",-X4993,-ABS(X4993-01_因子設定!$B$16))),-1E+030)</f>
        <v>48.699766995614</v>
      </c>
      <c r="AF4993" s="55" t="n">
        <f aca="false">AD4993+ROW()*0.000000001</f>
        <v>0.76967388105935</v>
      </c>
      <c r="AG4993" s="55" t="n">
        <f aca="false">AE4993+ROW()*0.000000001</f>
        <v>48.699771988614</v>
      </c>
    </row>
    <row r="4994" customFormat="false" ht="15" hidden="false" customHeight="false" outlineLevel="0" collapsed="false">
      <c r="A4994" s="0" t="n">
        <v>6</v>
      </c>
      <c r="B4994" s="0" t="n">
        <v>7</v>
      </c>
      <c r="C4994" s="0" t="n">
        <v>5</v>
      </c>
      <c r="D4994" s="0" t="n">
        <v>3</v>
      </c>
      <c r="E4994" s="0" t="n">
        <f aca="false">-1+A4994*0.25</f>
        <v>0.5</v>
      </c>
      <c r="F4994" s="0" t="n">
        <f aca="false">-1+B4994*0.25</f>
        <v>0.75</v>
      </c>
      <c r="G4994" s="0" t="n">
        <f aca="false">-1+C4994*0.25</f>
        <v>0.25</v>
      </c>
      <c r="H4994" s="0" t="n">
        <f aca="false">-1+D4994*0.25</f>
        <v>-0.25</v>
      </c>
      <c r="I4994" s="0" t="n">
        <f aca="false">1</f>
        <v>1</v>
      </c>
      <c r="J4994" s="0" t="n">
        <f aca="false">E4994</f>
        <v>0.5</v>
      </c>
      <c r="K4994" s="0" t="n">
        <f aca="false">F4994</f>
        <v>0.75</v>
      </c>
      <c r="L4994" s="0" t="n">
        <f aca="false">G4994</f>
        <v>0.25</v>
      </c>
      <c r="M4994" s="0" t="n">
        <f aca="false">H4994</f>
        <v>-0.25</v>
      </c>
      <c r="N4994" s="0" t="n">
        <f aca="false">E4994*F4994</f>
        <v>0.375</v>
      </c>
      <c r="O4994" s="0" t="n">
        <f aca="false">E4994*G4994</f>
        <v>0.125</v>
      </c>
      <c r="P4994" s="0" t="n">
        <f aca="false">E4994*H4994</f>
        <v>-0.125</v>
      </c>
      <c r="Q4994" s="0" t="n">
        <f aca="false">F4994*G4994</f>
        <v>0.1875</v>
      </c>
      <c r="R4994" s="0" t="n">
        <f aca="false">F4994*H4994</f>
        <v>-0.1875</v>
      </c>
      <c r="S4994" s="0" t="n">
        <f aca="false">G4994*H4994</f>
        <v>-0.0625</v>
      </c>
      <c r="T4994" s="0" t="n">
        <f aca="false">E4994*E4994</f>
        <v>0.25</v>
      </c>
      <c r="U4994" s="0" t="n">
        <f aca="false">F4994*F4994</f>
        <v>0.5625</v>
      </c>
      <c r="V4994" s="0" t="n">
        <f aca="false">G4994*G4994</f>
        <v>0.0625</v>
      </c>
      <c r="W4994" s="0" t="n">
        <f aca="false">H4994*H4994</f>
        <v>0.0625</v>
      </c>
      <c r="X4994" s="0" t="n">
        <f aca="false">SUMPRODUCT(I4994:W4994,_XtX!$B$96:$P$96)</f>
        <v>48.8666164108187</v>
      </c>
      <c r="Y4994" s="0" t="n">
        <f aca="false">SUMPRODUCT(MMULT(I4994:W4994,_XtX!$B$78:$P$92),I4994:W4994)</f>
        <v>0.207746539199561</v>
      </c>
      <c r="Z4994" s="0" t="n">
        <f aca="false">04_回帰ANOVA!$K$19*04_回帰ANOVA!$K$14*SQRT(1+Y4994)</f>
        <v>1.43247250081141</v>
      </c>
      <c r="AA4994" s="0" t="n">
        <f aca="false">X4994-Z4994</f>
        <v>47.4341439100073</v>
      </c>
      <c r="AB4994" s="0" t="n">
        <f aca="false">X4994+Z4994</f>
        <v>50.2990889116301</v>
      </c>
      <c r="AC4994" s="54" t="b">
        <f aca="false">AND(E4994&gt;=01_因子設定!$L$5-0.000000001,E4994&lt;=01_因子設定!$M$5+0.000000001,F4994&gt;=01_因子設定!$L$6-0.000000001,F4994&lt;=01_因子設定!$M$6+0.000000001,G4994&gt;=01_因子設定!$L$7-0.000000001,G4994&lt;=01_因子設定!$M$7+0.000000001,H4994&gt;=01_因子設定!$L$8-0.000000001,H4994&lt;=01_因子設定!$M$8+0.000000001,IF(01_因子設定!$B$20="Box-Behnken",E4994^2+F4994^2+G4994^2+H4994^2&lt;=2+0.000000001,TRUE()))</f>
        <v>1</v>
      </c>
      <c r="AD4994" s="55" t="n">
        <f aca="false">IF(AC4994,IF(01_因子設定!$B$13="最大化",AA4994-01_因子設定!$B$14,IF(01_因子設定!$B$13="最小化",01_因子設定!$B$15-AB4994,MIN(AA4994-01_因子設定!$B$14,01_因子設定!$B$15-AB4994))),-1E+030)</f>
        <v>0.934143910007265</v>
      </c>
      <c r="AE4994" s="55" t="n">
        <f aca="false">IF(AC4994,IF(01_因子設定!$B$13="最大化",X4994,IF(01_因子設定!$B$13="最小化",-X4994,-ABS(X4994-01_因子設定!$B$16))),-1E+030)</f>
        <v>48.8666164108187</v>
      </c>
      <c r="AF4994" s="55" t="n">
        <f aca="false">AD4994+ROW()*0.000000001</f>
        <v>0.934148904007265</v>
      </c>
      <c r="AG4994" s="55" t="n">
        <f aca="false">AE4994+ROW()*0.000000001</f>
        <v>48.8666214048187</v>
      </c>
    </row>
    <row r="4995" customFormat="false" ht="15" hidden="false" customHeight="false" outlineLevel="0" collapsed="false">
      <c r="A4995" s="0" t="n">
        <v>6</v>
      </c>
      <c r="B4995" s="0" t="n">
        <v>7</v>
      </c>
      <c r="C4995" s="0" t="n">
        <v>5</v>
      </c>
      <c r="D4995" s="0" t="n">
        <v>4</v>
      </c>
      <c r="E4995" s="0" t="n">
        <f aca="false">-1+A4995*0.25</f>
        <v>0.5</v>
      </c>
      <c r="F4995" s="0" t="n">
        <f aca="false">-1+B4995*0.25</f>
        <v>0.75</v>
      </c>
      <c r="G4995" s="0" t="n">
        <f aca="false">-1+C4995*0.25</f>
        <v>0.25</v>
      </c>
      <c r="H4995" s="0" t="n">
        <f aca="false">-1+D4995*0.25</f>
        <v>0</v>
      </c>
      <c r="I4995" s="0" t="n">
        <f aca="false">1</f>
        <v>1</v>
      </c>
      <c r="J4995" s="0" t="n">
        <f aca="false">E4995</f>
        <v>0.5</v>
      </c>
      <c r="K4995" s="0" t="n">
        <f aca="false">F4995</f>
        <v>0.75</v>
      </c>
      <c r="L4995" s="0" t="n">
        <f aca="false">G4995</f>
        <v>0.25</v>
      </c>
      <c r="M4995" s="0" t="n">
        <f aca="false">H4995</f>
        <v>0</v>
      </c>
      <c r="N4995" s="0" t="n">
        <f aca="false">E4995*F4995</f>
        <v>0.375</v>
      </c>
      <c r="O4995" s="0" t="n">
        <f aca="false">E4995*G4995</f>
        <v>0.125</v>
      </c>
      <c r="P4995" s="0" t="n">
        <f aca="false">E4995*H4995</f>
        <v>0</v>
      </c>
      <c r="Q4995" s="0" t="n">
        <f aca="false">F4995*G4995</f>
        <v>0.1875</v>
      </c>
      <c r="R4995" s="0" t="n">
        <f aca="false">F4995*H4995</f>
        <v>0</v>
      </c>
      <c r="S4995" s="0" t="n">
        <f aca="false">G4995*H4995</f>
        <v>0</v>
      </c>
      <c r="T4995" s="0" t="n">
        <f aca="false">E4995*E4995</f>
        <v>0.25</v>
      </c>
      <c r="U4995" s="0" t="n">
        <f aca="false">F4995*F4995</f>
        <v>0.5625</v>
      </c>
      <c r="V4995" s="0" t="n">
        <f aca="false">G4995*G4995</f>
        <v>0.0625</v>
      </c>
      <c r="W4995" s="0" t="n">
        <f aca="false">H4995*H4995</f>
        <v>0</v>
      </c>
      <c r="X4995" s="0" t="n">
        <f aca="false">SUMPRODUCT(I4995:W4995,_XtX!$B$96:$P$96)</f>
        <v>48.9856588084795</v>
      </c>
      <c r="Y4995" s="0" t="n">
        <f aca="false">SUMPRODUCT(MMULT(I4995:W4995,_XtX!$B$78:$P$92),I4995:W4995)</f>
        <v>0.215110734192252</v>
      </c>
      <c r="Z4995" s="0" t="n">
        <f aca="false">04_回帰ANOVA!$K$19*04_回帰ANOVA!$K$14*SQRT(1+Y4995)</f>
        <v>1.43683309086864</v>
      </c>
      <c r="AA4995" s="0" t="n">
        <f aca="false">X4995-Z4995</f>
        <v>47.5488257176108</v>
      </c>
      <c r="AB4995" s="0" t="n">
        <f aca="false">X4995+Z4995</f>
        <v>50.4224918993481</v>
      </c>
      <c r="AC4995" s="54" t="b">
        <f aca="false">AND(E4995&gt;=01_因子設定!$L$5-0.000000001,E4995&lt;=01_因子設定!$M$5+0.000000001,F4995&gt;=01_因子設定!$L$6-0.000000001,F4995&lt;=01_因子設定!$M$6+0.000000001,G4995&gt;=01_因子設定!$L$7-0.000000001,G4995&lt;=01_因子設定!$M$7+0.000000001,H4995&gt;=01_因子設定!$L$8-0.000000001,H4995&lt;=01_因子設定!$M$8+0.000000001,IF(01_因子設定!$B$20="Box-Behnken",E4995^2+F4995^2+G4995^2+H4995^2&lt;=2+0.000000001,TRUE()))</f>
        <v>1</v>
      </c>
      <c r="AD4995" s="55" t="n">
        <f aca="false">IF(AC4995,IF(01_因子設定!$B$13="最大化",AA4995-01_因子設定!$B$14,IF(01_因子設定!$B$13="最小化",01_因子設定!$B$15-AB4995,MIN(AA4995-01_因子設定!$B$14,01_因子設定!$B$15-AB4995))),-1E+030)</f>
        <v>1.04882571761084</v>
      </c>
      <c r="AE4995" s="55" t="n">
        <f aca="false">IF(AC4995,IF(01_因子設定!$B$13="最大化",X4995,IF(01_因子設定!$B$13="最小化",-X4995,-ABS(X4995-01_因子設定!$B$16))),-1E+030)</f>
        <v>48.9856588084795</v>
      </c>
      <c r="AF4995" s="55" t="n">
        <f aca="false">AD4995+ROW()*0.000000001</f>
        <v>1.04883071261084</v>
      </c>
      <c r="AG4995" s="55" t="n">
        <f aca="false">AE4995+ROW()*0.000000001</f>
        <v>48.9856638034795</v>
      </c>
    </row>
    <row r="4996" customFormat="false" ht="15" hidden="false" customHeight="false" outlineLevel="0" collapsed="false">
      <c r="A4996" s="0" t="n">
        <v>6</v>
      </c>
      <c r="B4996" s="0" t="n">
        <v>7</v>
      </c>
      <c r="C4996" s="0" t="n">
        <v>5</v>
      </c>
      <c r="D4996" s="0" t="n">
        <v>5</v>
      </c>
      <c r="E4996" s="0" t="n">
        <f aca="false">-1+A4996*0.25</f>
        <v>0.5</v>
      </c>
      <c r="F4996" s="0" t="n">
        <f aca="false">-1+B4996*0.25</f>
        <v>0.75</v>
      </c>
      <c r="G4996" s="0" t="n">
        <f aca="false">-1+C4996*0.25</f>
        <v>0.25</v>
      </c>
      <c r="H4996" s="0" t="n">
        <f aca="false">-1+D4996*0.25</f>
        <v>0.25</v>
      </c>
      <c r="I4996" s="0" t="n">
        <f aca="false">1</f>
        <v>1</v>
      </c>
      <c r="J4996" s="0" t="n">
        <f aca="false">E4996</f>
        <v>0.5</v>
      </c>
      <c r="K4996" s="0" t="n">
        <f aca="false">F4996</f>
        <v>0.75</v>
      </c>
      <c r="L4996" s="0" t="n">
        <f aca="false">G4996</f>
        <v>0.25</v>
      </c>
      <c r="M4996" s="0" t="n">
        <f aca="false">H4996</f>
        <v>0.25</v>
      </c>
      <c r="N4996" s="0" t="n">
        <f aca="false">E4996*F4996</f>
        <v>0.375</v>
      </c>
      <c r="O4996" s="0" t="n">
        <f aca="false">E4996*G4996</f>
        <v>0.125</v>
      </c>
      <c r="P4996" s="0" t="n">
        <f aca="false">E4996*H4996</f>
        <v>0.125</v>
      </c>
      <c r="Q4996" s="0" t="n">
        <f aca="false">F4996*G4996</f>
        <v>0.1875</v>
      </c>
      <c r="R4996" s="0" t="n">
        <f aca="false">F4996*H4996</f>
        <v>0.1875</v>
      </c>
      <c r="S4996" s="0" t="n">
        <f aca="false">G4996*H4996</f>
        <v>0.0625</v>
      </c>
      <c r="T4996" s="0" t="n">
        <f aca="false">E4996*E4996</f>
        <v>0.25</v>
      </c>
      <c r="U4996" s="0" t="n">
        <f aca="false">F4996*F4996</f>
        <v>0.5625</v>
      </c>
      <c r="V4996" s="0" t="n">
        <f aca="false">G4996*G4996</f>
        <v>0.0625</v>
      </c>
      <c r="W4996" s="0" t="n">
        <f aca="false">H4996*H4996</f>
        <v>0.0625</v>
      </c>
      <c r="X4996" s="0" t="n">
        <f aca="false">SUMPRODUCT(I4996:W4996,_XtX!$B$96:$P$96)</f>
        <v>49.0568941885965</v>
      </c>
      <c r="Y4996" s="0" t="n">
        <f aca="false">SUMPRODUCT(MMULT(I4996:W4996,_XtX!$B$78:$P$92),I4996:W4996)</f>
        <v>0.207746539199561</v>
      </c>
      <c r="Z4996" s="0" t="n">
        <f aca="false">04_回帰ANOVA!$K$19*04_回帰ANOVA!$K$14*SQRT(1+Y4996)</f>
        <v>1.43247250081141</v>
      </c>
      <c r="AA4996" s="0" t="n">
        <f aca="false">X4996-Z4996</f>
        <v>47.624421687785</v>
      </c>
      <c r="AB4996" s="0" t="n">
        <f aca="false">X4996+Z4996</f>
        <v>50.4893666894079</v>
      </c>
      <c r="AC4996" s="54" t="b">
        <f aca="false">AND(E4996&gt;=01_因子設定!$L$5-0.000000001,E4996&lt;=01_因子設定!$M$5+0.000000001,F4996&gt;=01_因子設定!$L$6-0.000000001,F4996&lt;=01_因子設定!$M$6+0.000000001,G4996&gt;=01_因子設定!$L$7-0.000000001,G4996&lt;=01_因子設定!$M$7+0.000000001,H4996&gt;=01_因子設定!$L$8-0.000000001,H4996&lt;=01_因子設定!$M$8+0.000000001,IF(01_因子設定!$B$20="Box-Behnken",E4996^2+F4996^2+G4996^2+H4996^2&lt;=2+0.000000001,TRUE()))</f>
        <v>1</v>
      </c>
      <c r="AD4996" s="55" t="n">
        <f aca="false">IF(AC4996,IF(01_因子設定!$B$13="最大化",AA4996-01_因子設定!$B$14,IF(01_因子設定!$B$13="最小化",01_因子設定!$B$15-AB4996,MIN(AA4996-01_因子設定!$B$14,01_因子設定!$B$15-AB4996))),-1E+030)</f>
        <v>1.12442168778504</v>
      </c>
      <c r="AE4996" s="55" t="n">
        <f aca="false">IF(AC4996,IF(01_因子設定!$B$13="最大化",X4996,IF(01_因子設定!$B$13="最小化",-X4996,-ABS(X4996-01_因子設定!$B$16))),-1E+030)</f>
        <v>49.0568941885965</v>
      </c>
      <c r="AF4996" s="55" t="n">
        <f aca="false">AD4996+ROW()*0.000000001</f>
        <v>1.12442668378504</v>
      </c>
      <c r="AG4996" s="55" t="n">
        <f aca="false">AE4996+ROW()*0.000000001</f>
        <v>49.0568991845965</v>
      </c>
    </row>
    <row r="4997" customFormat="false" ht="15" hidden="false" customHeight="false" outlineLevel="0" collapsed="false">
      <c r="A4997" s="0" t="n">
        <v>6</v>
      </c>
      <c r="B4997" s="0" t="n">
        <v>7</v>
      </c>
      <c r="C4997" s="0" t="n">
        <v>5</v>
      </c>
      <c r="D4997" s="0" t="n">
        <v>6</v>
      </c>
      <c r="E4997" s="0" t="n">
        <f aca="false">-1+A4997*0.25</f>
        <v>0.5</v>
      </c>
      <c r="F4997" s="0" t="n">
        <f aca="false">-1+B4997*0.25</f>
        <v>0.75</v>
      </c>
      <c r="G4997" s="0" t="n">
        <f aca="false">-1+C4997*0.25</f>
        <v>0.25</v>
      </c>
      <c r="H4997" s="0" t="n">
        <f aca="false">-1+D4997*0.25</f>
        <v>0.5</v>
      </c>
      <c r="I4997" s="0" t="n">
        <f aca="false">1</f>
        <v>1</v>
      </c>
      <c r="J4997" s="0" t="n">
        <f aca="false">E4997</f>
        <v>0.5</v>
      </c>
      <c r="K4997" s="0" t="n">
        <f aca="false">F4997</f>
        <v>0.75</v>
      </c>
      <c r="L4997" s="0" t="n">
        <f aca="false">G4997</f>
        <v>0.25</v>
      </c>
      <c r="M4997" s="0" t="n">
        <f aca="false">H4997</f>
        <v>0.5</v>
      </c>
      <c r="N4997" s="0" t="n">
        <f aca="false">E4997*F4997</f>
        <v>0.375</v>
      </c>
      <c r="O4997" s="0" t="n">
        <f aca="false">E4997*G4997</f>
        <v>0.125</v>
      </c>
      <c r="P4997" s="0" t="n">
        <f aca="false">E4997*H4997</f>
        <v>0.25</v>
      </c>
      <c r="Q4997" s="0" t="n">
        <f aca="false">F4997*G4997</f>
        <v>0.1875</v>
      </c>
      <c r="R4997" s="0" t="n">
        <f aca="false">F4997*H4997</f>
        <v>0.375</v>
      </c>
      <c r="S4997" s="0" t="n">
        <f aca="false">G4997*H4997</f>
        <v>0.125</v>
      </c>
      <c r="T4997" s="0" t="n">
        <f aca="false">E4997*E4997</f>
        <v>0.25</v>
      </c>
      <c r="U4997" s="0" t="n">
        <f aca="false">F4997*F4997</f>
        <v>0.5625</v>
      </c>
      <c r="V4997" s="0" t="n">
        <f aca="false">G4997*G4997</f>
        <v>0.0625</v>
      </c>
      <c r="W4997" s="0" t="n">
        <f aca="false">H4997*H4997</f>
        <v>0.25</v>
      </c>
      <c r="X4997" s="0" t="n">
        <f aca="false">SUMPRODUCT(I4997:W4997,_XtX!$B$96:$P$96)</f>
        <v>49.0803225511696</v>
      </c>
      <c r="Y4997" s="0" t="n">
        <f aca="false">SUMPRODUCT(MMULT(I4997:W4997,_XtX!$B$78:$P$92),I4997:W4997)</f>
        <v>0.203746059484649</v>
      </c>
      <c r="Z4997" s="0" t="n">
        <f aca="false">04_回帰ANOVA!$K$19*04_回帰ANOVA!$K$14*SQRT(1+Y4997)</f>
        <v>1.43009810755465</v>
      </c>
      <c r="AA4997" s="0" t="n">
        <f aca="false">X4997-Z4997</f>
        <v>47.6502244436149</v>
      </c>
      <c r="AB4997" s="0" t="n">
        <f aca="false">X4997+Z4997</f>
        <v>50.5104206587242</v>
      </c>
      <c r="AC4997" s="54" t="b">
        <f aca="false">AND(E4997&gt;=01_因子設定!$L$5-0.000000001,E4997&lt;=01_因子設定!$M$5+0.000000001,F4997&gt;=01_因子設定!$L$6-0.000000001,F4997&lt;=01_因子設定!$M$6+0.000000001,G4997&gt;=01_因子設定!$L$7-0.000000001,G4997&lt;=01_因子設定!$M$7+0.000000001,H4997&gt;=01_因子設定!$L$8-0.000000001,H4997&lt;=01_因子設定!$M$8+0.000000001,IF(01_因子設定!$B$20="Box-Behnken",E4997^2+F4997^2+G4997^2+H4997^2&lt;=2+0.000000001,TRUE()))</f>
        <v>1</v>
      </c>
      <c r="AD4997" s="55" t="n">
        <f aca="false">IF(AC4997,IF(01_因子設定!$B$13="最大化",AA4997-01_因子設定!$B$14,IF(01_因子設定!$B$13="最小化",01_因子設定!$B$15-AB4997,MIN(AA4997-01_因子設定!$B$14,01_因子設定!$B$15-AB4997))),-1E+030)</f>
        <v>1.1502244436149</v>
      </c>
      <c r="AE4997" s="55" t="n">
        <f aca="false">IF(AC4997,IF(01_因子設定!$B$13="最大化",X4997,IF(01_因子設定!$B$13="最小化",-X4997,-ABS(X4997-01_因子設定!$B$16))),-1E+030)</f>
        <v>49.0803225511696</v>
      </c>
      <c r="AF4997" s="55" t="n">
        <f aca="false">AD4997+ROW()*0.000000001</f>
        <v>1.1502294406149</v>
      </c>
      <c r="AG4997" s="55" t="n">
        <f aca="false">AE4997+ROW()*0.000000001</f>
        <v>49.0803275481696</v>
      </c>
    </row>
    <row r="4998" customFormat="false" ht="15" hidden="false" customHeight="false" outlineLevel="0" collapsed="false">
      <c r="A4998" s="0" t="n">
        <v>6</v>
      </c>
      <c r="B4998" s="0" t="n">
        <v>7</v>
      </c>
      <c r="C4998" s="0" t="n">
        <v>5</v>
      </c>
      <c r="D4998" s="0" t="n">
        <v>7</v>
      </c>
      <c r="E4998" s="0" t="n">
        <f aca="false">-1+A4998*0.25</f>
        <v>0.5</v>
      </c>
      <c r="F4998" s="0" t="n">
        <f aca="false">-1+B4998*0.25</f>
        <v>0.75</v>
      </c>
      <c r="G4998" s="0" t="n">
        <f aca="false">-1+C4998*0.25</f>
        <v>0.25</v>
      </c>
      <c r="H4998" s="0" t="n">
        <f aca="false">-1+D4998*0.25</f>
        <v>0.75</v>
      </c>
      <c r="I4998" s="0" t="n">
        <f aca="false">1</f>
        <v>1</v>
      </c>
      <c r="J4998" s="0" t="n">
        <f aca="false">E4998</f>
        <v>0.5</v>
      </c>
      <c r="K4998" s="0" t="n">
        <f aca="false">F4998</f>
        <v>0.75</v>
      </c>
      <c r="L4998" s="0" t="n">
        <f aca="false">G4998</f>
        <v>0.25</v>
      </c>
      <c r="M4998" s="0" t="n">
        <f aca="false">H4998</f>
        <v>0.75</v>
      </c>
      <c r="N4998" s="0" t="n">
        <f aca="false">E4998*F4998</f>
        <v>0.375</v>
      </c>
      <c r="O4998" s="0" t="n">
        <f aca="false">E4998*G4998</f>
        <v>0.125</v>
      </c>
      <c r="P4998" s="0" t="n">
        <f aca="false">E4998*H4998</f>
        <v>0.375</v>
      </c>
      <c r="Q4998" s="0" t="n">
        <f aca="false">F4998*G4998</f>
        <v>0.1875</v>
      </c>
      <c r="R4998" s="0" t="n">
        <f aca="false">F4998*H4998</f>
        <v>0.5625</v>
      </c>
      <c r="S4998" s="0" t="n">
        <f aca="false">G4998*H4998</f>
        <v>0.1875</v>
      </c>
      <c r="T4998" s="0" t="n">
        <f aca="false">E4998*E4998</f>
        <v>0.25</v>
      </c>
      <c r="U4998" s="0" t="n">
        <f aca="false">F4998*F4998</f>
        <v>0.5625</v>
      </c>
      <c r="V4998" s="0" t="n">
        <f aca="false">G4998*G4998</f>
        <v>0.0625</v>
      </c>
      <c r="W4998" s="0" t="n">
        <f aca="false">H4998*H4998</f>
        <v>0.5625</v>
      </c>
      <c r="X4998" s="0" t="n">
        <f aca="false">SUMPRODUCT(I4998:W4998,_XtX!$B$96:$P$96)</f>
        <v>49.0559438961988</v>
      </c>
      <c r="Y4998" s="0" t="n">
        <f aca="false">SUMPRODUCT(MMULT(I4998:W4998,_XtX!$B$78:$P$92),I4998:W4998)</f>
        <v>0.257385610836988</v>
      </c>
      <c r="Z4998" s="0" t="n">
        <f aca="false">04_回帰ANOVA!$K$19*04_回帰ANOVA!$K$14*SQRT(1+Y4998)</f>
        <v>1.46161380324158</v>
      </c>
      <c r="AA4998" s="0" t="n">
        <f aca="false">X4998-Z4998</f>
        <v>47.5943300929572</v>
      </c>
      <c r="AB4998" s="0" t="n">
        <f aca="false">X4998+Z4998</f>
        <v>50.5175576994404</v>
      </c>
      <c r="AC4998" s="54" t="b">
        <f aca="false">AND(E4998&gt;=01_因子設定!$L$5-0.000000001,E4998&lt;=01_因子設定!$M$5+0.000000001,F4998&gt;=01_因子設定!$L$6-0.000000001,F4998&lt;=01_因子設定!$M$6+0.000000001,G4998&gt;=01_因子設定!$L$7-0.000000001,G4998&lt;=01_因子設定!$M$7+0.000000001,H4998&gt;=01_因子設定!$L$8-0.000000001,H4998&lt;=01_因子設定!$M$8+0.000000001,IF(01_因子設定!$B$20="Box-Behnken",E4998^2+F4998^2+G4998^2+H4998^2&lt;=2+0.000000001,TRUE()))</f>
        <v>1</v>
      </c>
      <c r="AD4998" s="55" t="n">
        <f aca="false">IF(AC4998,IF(01_因子設定!$B$13="最大化",AA4998-01_因子設定!$B$14,IF(01_因子設定!$B$13="最小化",01_因子設定!$B$15-AB4998,MIN(AA4998-01_因子設定!$B$14,01_因子設定!$B$15-AB4998))),-1E+030)</f>
        <v>1.09433009295722</v>
      </c>
      <c r="AE4998" s="55" t="n">
        <f aca="false">IF(AC4998,IF(01_因子設定!$B$13="最大化",X4998,IF(01_因子設定!$B$13="最小化",-X4998,-ABS(X4998-01_因子設定!$B$16))),-1E+030)</f>
        <v>49.0559438961988</v>
      </c>
      <c r="AF4998" s="55" t="n">
        <f aca="false">AD4998+ROW()*0.000000001</f>
        <v>1.09433509095722</v>
      </c>
      <c r="AG4998" s="55" t="n">
        <f aca="false">AE4998+ROW()*0.000000001</f>
        <v>49.0559488941988</v>
      </c>
    </row>
    <row r="4999" customFormat="false" ht="15" hidden="false" customHeight="false" outlineLevel="0" collapsed="false">
      <c r="A4999" s="0" t="n">
        <v>6</v>
      </c>
      <c r="B4999" s="0" t="n">
        <v>7</v>
      </c>
      <c r="C4999" s="0" t="n">
        <v>5</v>
      </c>
      <c r="D4999" s="0" t="n">
        <v>8</v>
      </c>
      <c r="E4999" s="0" t="n">
        <f aca="false">-1+A4999*0.25</f>
        <v>0.5</v>
      </c>
      <c r="F4999" s="0" t="n">
        <f aca="false">-1+B4999*0.25</f>
        <v>0.75</v>
      </c>
      <c r="G4999" s="0" t="n">
        <f aca="false">-1+C4999*0.25</f>
        <v>0.25</v>
      </c>
      <c r="H4999" s="0" t="n">
        <f aca="false">-1+D4999*0.25</f>
        <v>1</v>
      </c>
      <c r="I4999" s="0" t="n">
        <f aca="false">1</f>
        <v>1</v>
      </c>
      <c r="J4999" s="0" t="n">
        <f aca="false">E4999</f>
        <v>0.5</v>
      </c>
      <c r="K4999" s="0" t="n">
        <f aca="false">F4999</f>
        <v>0.75</v>
      </c>
      <c r="L4999" s="0" t="n">
        <f aca="false">G4999</f>
        <v>0.25</v>
      </c>
      <c r="M4999" s="0" t="n">
        <f aca="false">H4999</f>
        <v>1</v>
      </c>
      <c r="N4999" s="0" t="n">
        <f aca="false">E4999*F4999</f>
        <v>0.375</v>
      </c>
      <c r="O4999" s="0" t="n">
        <f aca="false">E4999*G4999</f>
        <v>0.125</v>
      </c>
      <c r="P4999" s="0" t="n">
        <f aca="false">E4999*H4999</f>
        <v>0.5</v>
      </c>
      <c r="Q4999" s="0" t="n">
        <f aca="false">F4999*G4999</f>
        <v>0.1875</v>
      </c>
      <c r="R4999" s="0" t="n">
        <f aca="false">F4999*H4999</f>
        <v>0.75</v>
      </c>
      <c r="S4999" s="0" t="n">
        <f aca="false">G4999*H4999</f>
        <v>0.25</v>
      </c>
      <c r="T4999" s="0" t="n">
        <f aca="false">E4999*E4999</f>
        <v>0.25</v>
      </c>
      <c r="U4999" s="0" t="n">
        <f aca="false">F4999*F4999</f>
        <v>0.5625</v>
      </c>
      <c r="V4999" s="0" t="n">
        <f aca="false">G4999*G4999</f>
        <v>0.0625</v>
      </c>
      <c r="W4999" s="0" t="n">
        <f aca="false">H4999*H4999</f>
        <v>1</v>
      </c>
      <c r="X4999" s="0" t="n">
        <f aca="false">SUMPRODUCT(I4999:W4999,_XtX!$B$96:$P$96)</f>
        <v>48.9837582236842</v>
      </c>
      <c r="Y4999" s="0" t="n">
        <f aca="false">SUMPRODUCT(MMULT(I4999:W4999,_XtX!$B$78:$P$92),I4999:W4999)</f>
        <v>0.459125719572369</v>
      </c>
      <c r="Z4999" s="0" t="n">
        <f aca="false">04_回帰ANOVA!$K$19*04_回帰ANOVA!$K$14*SQRT(1+Y4999)</f>
        <v>1.57450755575573</v>
      </c>
      <c r="AA4999" s="0" t="n">
        <f aca="false">X4999-Z4999</f>
        <v>47.4092506679285</v>
      </c>
      <c r="AB4999" s="0" t="n">
        <f aca="false">X4999+Z4999</f>
        <v>50.5582657794399</v>
      </c>
      <c r="AC4999" s="54" t="b">
        <f aca="false">AND(E4999&gt;=01_因子設定!$L$5-0.000000001,E4999&lt;=01_因子設定!$M$5+0.000000001,F4999&gt;=01_因子設定!$L$6-0.000000001,F4999&lt;=01_因子設定!$M$6+0.000000001,G4999&gt;=01_因子設定!$L$7-0.000000001,G4999&lt;=01_因子設定!$M$7+0.000000001,H4999&gt;=01_因子設定!$L$8-0.000000001,H4999&lt;=01_因子設定!$M$8+0.000000001,IF(01_因子設定!$B$20="Box-Behnken",E4999^2+F4999^2+G4999^2+H4999^2&lt;=2+0.000000001,TRUE()))</f>
        <v>1</v>
      </c>
      <c r="AD4999" s="55" t="n">
        <f aca="false">IF(AC4999,IF(01_因子設定!$B$13="最大化",AA4999-01_因子設定!$B$14,IF(01_因子設定!$B$13="最小化",01_因子設定!$B$15-AB4999,MIN(AA4999-01_因子設定!$B$14,01_因子設定!$B$15-AB4999))),-1E+030)</f>
        <v>0.909250667928475</v>
      </c>
      <c r="AE4999" s="55" t="n">
        <f aca="false">IF(AC4999,IF(01_因子設定!$B$13="最大化",X4999,IF(01_因子設定!$B$13="最小化",-X4999,-ABS(X4999-01_因子設定!$B$16))),-1E+030)</f>
        <v>48.9837582236842</v>
      </c>
      <c r="AF4999" s="55" t="n">
        <f aca="false">AD4999+ROW()*0.000000001</f>
        <v>0.909255666928475</v>
      </c>
      <c r="AG4999" s="55" t="n">
        <f aca="false">AE4999+ROW()*0.000000001</f>
        <v>48.9837632226842</v>
      </c>
    </row>
    <row r="5000" customFormat="false" ht="15" hidden="false" customHeight="false" outlineLevel="0" collapsed="false">
      <c r="A5000" s="0" t="n">
        <v>6</v>
      </c>
      <c r="B5000" s="0" t="n">
        <v>7</v>
      </c>
      <c r="C5000" s="0" t="n">
        <v>6</v>
      </c>
      <c r="D5000" s="0" t="n">
        <v>0</v>
      </c>
      <c r="E5000" s="0" t="n">
        <f aca="false">-1+A5000*0.25</f>
        <v>0.5</v>
      </c>
      <c r="F5000" s="0" t="n">
        <f aca="false">-1+B5000*0.25</f>
        <v>0.75</v>
      </c>
      <c r="G5000" s="0" t="n">
        <f aca="false">-1+C5000*0.25</f>
        <v>0.5</v>
      </c>
      <c r="H5000" s="0" t="n">
        <f aca="false">-1+D5000*0.25</f>
        <v>-1</v>
      </c>
      <c r="I5000" s="0" t="n">
        <f aca="false">1</f>
        <v>1</v>
      </c>
      <c r="J5000" s="0" t="n">
        <f aca="false">E5000</f>
        <v>0.5</v>
      </c>
      <c r="K5000" s="0" t="n">
        <f aca="false">F5000</f>
        <v>0.75</v>
      </c>
      <c r="L5000" s="0" t="n">
        <f aca="false">G5000</f>
        <v>0.5</v>
      </c>
      <c r="M5000" s="0" t="n">
        <f aca="false">H5000</f>
        <v>-1</v>
      </c>
      <c r="N5000" s="0" t="n">
        <f aca="false">E5000*F5000</f>
        <v>0.375</v>
      </c>
      <c r="O5000" s="0" t="n">
        <f aca="false">E5000*G5000</f>
        <v>0.25</v>
      </c>
      <c r="P5000" s="0" t="n">
        <f aca="false">E5000*H5000</f>
        <v>-0.5</v>
      </c>
      <c r="Q5000" s="0" t="n">
        <f aca="false">F5000*G5000</f>
        <v>0.375</v>
      </c>
      <c r="R5000" s="0" t="n">
        <f aca="false">F5000*H5000</f>
        <v>-0.75</v>
      </c>
      <c r="S5000" s="0" t="n">
        <f aca="false">G5000*H5000</f>
        <v>-0.5</v>
      </c>
      <c r="T5000" s="0" t="n">
        <f aca="false">E5000*E5000</f>
        <v>0.25</v>
      </c>
      <c r="U5000" s="0" t="n">
        <f aca="false">F5000*F5000</f>
        <v>0.5625</v>
      </c>
      <c r="V5000" s="0" t="n">
        <f aca="false">G5000*G5000</f>
        <v>0.25</v>
      </c>
      <c r="W5000" s="0" t="n">
        <f aca="false">H5000*H5000</f>
        <v>1</v>
      </c>
      <c r="X5000" s="0" t="n">
        <f aca="false">SUMPRODUCT(I5000:W5000,_XtX!$B$96:$P$96)</f>
        <v>48.2459886695906</v>
      </c>
      <c r="Y5000" s="0" t="n">
        <f aca="false">SUMPRODUCT(MMULT(I5000:W5000,_XtX!$B$78:$P$92),I5000:W5000)</f>
        <v>0.42602110745614</v>
      </c>
      <c r="Z5000" s="0" t="n">
        <f aca="false">04_回帰ANOVA!$K$19*04_回帰ANOVA!$K$14*SQRT(1+Y5000)</f>
        <v>1.55654388501114</v>
      </c>
      <c r="AA5000" s="0" t="n">
        <f aca="false">X5000-Z5000</f>
        <v>46.6894447845795</v>
      </c>
      <c r="AB5000" s="0" t="n">
        <f aca="false">X5000+Z5000</f>
        <v>49.8025325546018</v>
      </c>
      <c r="AC5000" s="54" t="b">
        <f aca="false">AND(E5000&gt;=01_因子設定!$L$5-0.000000001,E5000&lt;=01_因子設定!$M$5+0.000000001,F5000&gt;=01_因子設定!$L$6-0.000000001,F5000&lt;=01_因子設定!$M$6+0.000000001,G5000&gt;=01_因子設定!$L$7-0.000000001,G5000&lt;=01_因子設定!$M$7+0.000000001,H5000&gt;=01_因子設定!$L$8-0.000000001,H5000&lt;=01_因子設定!$M$8+0.000000001,IF(01_因子設定!$B$20="Box-Behnken",E5000^2+F5000^2+G5000^2+H5000^2&lt;=2+0.000000001,TRUE()))</f>
        <v>1</v>
      </c>
      <c r="AD5000" s="55" t="n">
        <f aca="false">IF(AC5000,IF(01_因子設定!$B$13="最大化",AA5000-01_因子設定!$B$14,IF(01_因子設定!$B$13="最小化",01_因子設定!$B$15-AB5000,MIN(AA5000-01_因子設定!$B$14,01_因子設定!$B$15-AB5000))),-1E+030)</f>
        <v>0.1894447845795</v>
      </c>
      <c r="AE5000" s="55" t="n">
        <f aca="false">IF(AC5000,IF(01_因子設定!$B$13="最大化",X5000,IF(01_因子設定!$B$13="最小化",-X5000,-ABS(X5000-01_因子設定!$B$16))),-1E+030)</f>
        <v>48.2459886695906</v>
      </c>
      <c r="AF5000" s="55" t="n">
        <f aca="false">AD5000+ROW()*0.000000001</f>
        <v>0.1894497845795</v>
      </c>
      <c r="AG5000" s="55" t="n">
        <f aca="false">AE5000+ROW()*0.000000001</f>
        <v>48.2459936695906</v>
      </c>
    </row>
    <row r="5001" customFormat="false" ht="15" hidden="false" customHeight="false" outlineLevel="0" collapsed="false">
      <c r="A5001" s="0" t="n">
        <v>6</v>
      </c>
      <c r="B5001" s="0" t="n">
        <v>7</v>
      </c>
      <c r="C5001" s="0" t="n">
        <v>6</v>
      </c>
      <c r="D5001" s="0" t="n">
        <v>1</v>
      </c>
      <c r="E5001" s="0" t="n">
        <f aca="false">-1+A5001*0.25</f>
        <v>0.5</v>
      </c>
      <c r="F5001" s="0" t="n">
        <f aca="false">-1+B5001*0.25</f>
        <v>0.75</v>
      </c>
      <c r="G5001" s="0" t="n">
        <f aca="false">-1+C5001*0.25</f>
        <v>0.5</v>
      </c>
      <c r="H5001" s="0" t="n">
        <f aca="false">-1+D5001*0.25</f>
        <v>-0.75</v>
      </c>
      <c r="I5001" s="0" t="n">
        <f aca="false">1</f>
        <v>1</v>
      </c>
      <c r="J5001" s="0" t="n">
        <f aca="false">E5001</f>
        <v>0.5</v>
      </c>
      <c r="K5001" s="0" t="n">
        <f aca="false">F5001</f>
        <v>0.75</v>
      </c>
      <c r="L5001" s="0" t="n">
        <f aca="false">G5001</f>
        <v>0.5</v>
      </c>
      <c r="M5001" s="0" t="n">
        <f aca="false">H5001</f>
        <v>-0.75</v>
      </c>
      <c r="N5001" s="0" t="n">
        <f aca="false">E5001*F5001</f>
        <v>0.375</v>
      </c>
      <c r="O5001" s="0" t="n">
        <f aca="false">E5001*G5001</f>
        <v>0.25</v>
      </c>
      <c r="P5001" s="0" t="n">
        <f aca="false">E5001*H5001</f>
        <v>-0.375</v>
      </c>
      <c r="Q5001" s="0" t="n">
        <f aca="false">F5001*G5001</f>
        <v>0.375</v>
      </c>
      <c r="R5001" s="0" t="n">
        <f aca="false">F5001*H5001</f>
        <v>-0.5625</v>
      </c>
      <c r="S5001" s="0" t="n">
        <f aca="false">G5001*H5001</f>
        <v>-0.375</v>
      </c>
      <c r="T5001" s="0" t="n">
        <f aca="false">E5001*E5001</f>
        <v>0.25</v>
      </c>
      <c r="U5001" s="0" t="n">
        <f aca="false">F5001*F5001</f>
        <v>0.5625</v>
      </c>
      <c r="V5001" s="0" t="n">
        <f aca="false">G5001*G5001</f>
        <v>0.25</v>
      </c>
      <c r="W5001" s="0" t="n">
        <f aca="false">H5001*H5001</f>
        <v>0.5625</v>
      </c>
      <c r="X5001" s="0" t="n">
        <f aca="false">SUMPRODUCT(I5001:W5001,_XtX!$B$96:$P$96)</f>
        <v>48.526420869883</v>
      </c>
      <c r="Y5001" s="0" t="n">
        <f aca="false">SUMPRODUCT(MMULT(I5001:W5001,_XtX!$B$78:$P$92),I5001:W5001)</f>
        <v>0.237862927174708</v>
      </c>
      <c r="Z5001" s="0" t="n">
        <f aca="false">04_回帰ANOVA!$K$19*04_回帰ANOVA!$K$14*SQRT(1+Y5001)</f>
        <v>1.45022260708756</v>
      </c>
      <c r="AA5001" s="0" t="n">
        <f aca="false">X5001-Z5001</f>
        <v>47.0761982627955</v>
      </c>
      <c r="AB5001" s="0" t="n">
        <f aca="false">X5001+Z5001</f>
        <v>49.9766434769706</v>
      </c>
      <c r="AC5001" s="54" t="b">
        <f aca="false">AND(E5001&gt;=01_因子設定!$L$5-0.000000001,E5001&lt;=01_因子設定!$M$5+0.000000001,F5001&gt;=01_因子設定!$L$6-0.000000001,F5001&lt;=01_因子設定!$M$6+0.000000001,G5001&gt;=01_因子設定!$L$7-0.000000001,G5001&lt;=01_因子設定!$M$7+0.000000001,H5001&gt;=01_因子設定!$L$8-0.000000001,H5001&lt;=01_因子設定!$M$8+0.000000001,IF(01_因子設定!$B$20="Box-Behnken",E5001^2+F5001^2+G5001^2+H5001^2&lt;=2+0.000000001,TRUE()))</f>
        <v>1</v>
      </c>
      <c r="AD5001" s="55" t="n">
        <f aca="false">IF(AC5001,IF(01_因子設定!$B$13="最大化",AA5001-01_因子設定!$B$14,IF(01_因子設定!$B$13="最小化",01_因子設定!$B$15-AB5001,MIN(AA5001-01_因子設定!$B$14,01_因子設定!$B$15-AB5001))),-1E+030)</f>
        <v>0.576198262795458</v>
      </c>
      <c r="AE5001" s="55" t="n">
        <f aca="false">IF(AC5001,IF(01_因子設定!$B$13="最大化",X5001,IF(01_因子設定!$B$13="最小化",-X5001,-ABS(X5001-01_因子設定!$B$16))),-1E+030)</f>
        <v>48.526420869883</v>
      </c>
      <c r="AF5001" s="55" t="n">
        <f aca="false">AD5001+ROW()*0.000000001</f>
        <v>0.576203263795458</v>
      </c>
      <c r="AG5001" s="55" t="n">
        <f aca="false">AE5001+ROW()*0.000000001</f>
        <v>48.526425870883</v>
      </c>
    </row>
    <row r="5002" customFormat="false" ht="15" hidden="false" customHeight="false" outlineLevel="0" collapsed="false">
      <c r="A5002" s="0" t="n">
        <v>6</v>
      </c>
      <c r="B5002" s="0" t="n">
        <v>7</v>
      </c>
      <c r="C5002" s="0" t="n">
        <v>6</v>
      </c>
      <c r="D5002" s="0" t="n">
        <v>2</v>
      </c>
      <c r="E5002" s="0" t="n">
        <f aca="false">-1+A5002*0.25</f>
        <v>0.5</v>
      </c>
      <c r="F5002" s="0" t="n">
        <f aca="false">-1+B5002*0.25</f>
        <v>0.75</v>
      </c>
      <c r="G5002" s="0" t="n">
        <f aca="false">-1+C5002*0.25</f>
        <v>0.5</v>
      </c>
      <c r="H5002" s="0" t="n">
        <f aca="false">-1+D5002*0.25</f>
        <v>-0.5</v>
      </c>
      <c r="I5002" s="0" t="n">
        <f aca="false">1</f>
        <v>1</v>
      </c>
      <c r="J5002" s="0" t="n">
        <f aca="false">E5002</f>
        <v>0.5</v>
      </c>
      <c r="K5002" s="0" t="n">
        <f aca="false">F5002</f>
        <v>0.75</v>
      </c>
      <c r="L5002" s="0" t="n">
        <f aca="false">G5002</f>
        <v>0.5</v>
      </c>
      <c r="M5002" s="0" t="n">
        <f aca="false">H5002</f>
        <v>-0.5</v>
      </c>
      <c r="N5002" s="0" t="n">
        <f aca="false">E5002*F5002</f>
        <v>0.375</v>
      </c>
      <c r="O5002" s="0" t="n">
        <f aca="false">E5002*G5002</f>
        <v>0.25</v>
      </c>
      <c r="P5002" s="0" t="n">
        <f aca="false">E5002*H5002</f>
        <v>-0.25</v>
      </c>
      <c r="Q5002" s="0" t="n">
        <f aca="false">F5002*G5002</f>
        <v>0.375</v>
      </c>
      <c r="R5002" s="0" t="n">
        <f aca="false">F5002*H5002</f>
        <v>-0.375</v>
      </c>
      <c r="S5002" s="0" t="n">
        <f aca="false">G5002*H5002</f>
        <v>-0.25</v>
      </c>
      <c r="T5002" s="0" t="n">
        <f aca="false">E5002*E5002</f>
        <v>0.25</v>
      </c>
      <c r="U5002" s="0" t="n">
        <f aca="false">F5002*F5002</f>
        <v>0.5625</v>
      </c>
      <c r="V5002" s="0" t="n">
        <f aca="false">G5002*G5002</f>
        <v>0.25</v>
      </c>
      <c r="W5002" s="0" t="n">
        <f aca="false">H5002*H5002</f>
        <v>0.25</v>
      </c>
      <c r="X5002" s="0" t="n">
        <f aca="false">SUMPRODUCT(I5002:W5002,_XtX!$B$96:$P$96)</f>
        <v>48.7590460526316</v>
      </c>
      <c r="Y5002" s="0" t="n">
        <f aca="false">SUMPRODUCT(MMULT(I5002:W5002,_XtX!$B$78:$P$92),I5002:W5002)</f>
        <v>0.193924753289474</v>
      </c>
      <c r="Z5002" s="0" t="n">
        <f aca="false">04_回帰ANOVA!$K$19*04_回帰ANOVA!$K$14*SQRT(1+Y5002)</f>
        <v>1.4242521079916</v>
      </c>
      <c r="AA5002" s="0" t="n">
        <f aca="false">X5002-Z5002</f>
        <v>47.33479394464</v>
      </c>
      <c r="AB5002" s="0" t="n">
        <f aca="false">X5002+Z5002</f>
        <v>50.1832981606231</v>
      </c>
      <c r="AC5002" s="54" t="b">
        <f aca="false">AND(E5002&gt;=01_因子設定!$L$5-0.000000001,E5002&lt;=01_因子設定!$M$5+0.000000001,F5002&gt;=01_因子設定!$L$6-0.000000001,F5002&lt;=01_因子設定!$M$6+0.000000001,G5002&gt;=01_因子設定!$L$7-0.000000001,G5002&lt;=01_因子設定!$M$7+0.000000001,H5002&gt;=01_因子設定!$L$8-0.000000001,H5002&lt;=01_因子設定!$M$8+0.000000001,IF(01_因子設定!$B$20="Box-Behnken",E5002^2+F5002^2+G5002^2+H5002^2&lt;=2+0.000000001,TRUE()))</f>
        <v>1</v>
      </c>
      <c r="AD5002" s="55" t="n">
        <f aca="false">IF(AC5002,IF(01_因子設定!$B$13="最大化",AA5002-01_因子設定!$B$14,IF(01_因子設定!$B$13="最小化",01_因子設定!$B$15-AB5002,MIN(AA5002-01_因子設定!$B$14,01_因子設定!$B$15-AB5002))),-1E+030)</f>
        <v>0.834793944639948</v>
      </c>
      <c r="AE5002" s="55" t="n">
        <f aca="false">IF(AC5002,IF(01_因子設定!$B$13="最大化",X5002,IF(01_因子設定!$B$13="最小化",-X5002,-ABS(X5002-01_因子設定!$B$16))),-1E+030)</f>
        <v>48.7590460526316</v>
      </c>
      <c r="AF5002" s="55" t="n">
        <f aca="false">AD5002+ROW()*0.000000001</f>
        <v>0.834798946639948</v>
      </c>
      <c r="AG5002" s="55" t="n">
        <f aca="false">AE5002+ROW()*0.000000001</f>
        <v>48.7590510546316</v>
      </c>
    </row>
    <row r="5003" customFormat="false" ht="15" hidden="false" customHeight="false" outlineLevel="0" collapsed="false">
      <c r="A5003" s="0" t="n">
        <v>6</v>
      </c>
      <c r="B5003" s="0" t="n">
        <v>7</v>
      </c>
      <c r="C5003" s="0" t="n">
        <v>6</v>
      </c>
      <c r="D5003" s="0" t="n">
        <v>3</v>
      </c>
      <c r="E5003" s="0" t="n">
        <f aca="false">-1+A5003*0.25</f>
        <v>0.5</v>
      </c>
      <c r="F5003" s="0" t="n">
        <f aca="false">-1+B5003*0.25</f>
        <v>0.75</v>
      </c>
      <c r="G5003" s="0" t="n">
        <f aca="false">-1+C5003*0.25</f>
        <v>0.5</v>
      </c>
      <c r="H5003" s="0" t="n">
        <f aca="false">-1+D5003*0.25</f>
        <v>-0.25</v>
      </c>
      <c r="I5003" s="0" t="n">
        <f aca="false">1</f>
        <v>1</v>
      </c>
      <c r="J5003" s="0" t="n">
        <f aca="false">E5003</f>
        <v>0.5</v>
      </c>
      <c r="K5003" s="0" t="n">
        <f aca="false">F5003</f>
        <v>0.75</v>
      </c>
      <c r="L5003" s="0" t="n">
        <f aca="false">G5003</f>
        <v>0.5</v>
      </c>
      <c r="M5003" s="0" t="n">
        <f aca="false">H5003</f>
        <v>-0.25</v>
      </c>
      <c r="N5003" s="0" t="n">
        <f aca="false">E5003*F5003</f>
        <v>0.375</v>
      </c>
      <c r="O5003" s="0" t="n">
        <f aca="false">E5003*G5003</f>
        <v>0.25</v>
      </c>
      <c r="P5003" s="0" t="n">
        <f aca="false">E5003*H5003</f>
        <v>-0.125</v>
      </c>
      <c r="Q5003" s="0" t="n">
        <f aca="false">F5003*G5003</f>
        <v>0.375</v>
      </c>
      <c r="R5003" s="0" t="n">
        <f aca="false">F5003*H5003</f>
        <v>-0.1875</v>
      </c>
      <c r="S5003" s="0" t="n">
        <f aca="false">G5003*H5003</f>
        <v>-0.125</v>
      </c>
      <c r="T5003" s="0" t="n">
        <f aca="false">E5003*E5003</f>
        <v>0.25</v>
      </c>
      <c r="U5003" s="0" t="n">
        <f aca="false">F5003*F5003</f>
        <v>0.5625</v>
      </c>
      <c r="V5003" s="0" t="n">
        <f aca="false">G5003*G5003</f>
        <v>0.25</v>
      </c>
      <c r="W5003" s="0" t="n">
        <f aca="false">H5003*H5003</f>
        <v>0.0625</v>
      </c>
      <c r="X5003" s="0" t="n">
        <f aca="false">SUMPRODUCT(I5003:W5003,_XtX!$B$96:$P$96)</f>
        <v>48.9438642178362</v>
      </c>
      <c r="Y5003" s="0" t="n">
        <f aca="false">SUMPRODUCT(MMULT(I5003:W5003,_XtX!$B$78:$P$92),I5003:W5003)</f>
        <v>0.203746059484649</v>
      </c>
      <c r="Z5003" s="0" t="n">
        <f aca="false">04_回帰ANOVA!$K$19*04_回帰ANOVA!$K$14*SQRT(1+Y5003)</f>
        <v>1.43009810755465</v>
      </c>
      <c r="AA5003" s="0" t="n">
        <f aca="false">X5003-Z5003</f>
        <v>47.5137661102816</v>
      </c>
      <c r="AB5003" s="0" t="n">
        <f aca="false">X5003+Z5003</f>
        <v>50.3739623253909</v>
      </c>
      <c r="AC5003" s="54" t="b">
        <f aca="false">AND(E5003&gt;=01_因子設定!$L$5-0.000000001,E5003&lt;=01_因子設定!$M$5+0.000000001,F5003&gt;=01_因子設定!$L$6-0.000000001,F5003&lt;=01_因子設定!$M$6+0.000000001,G5003&gt;=01_因子設定!$L$7-0.000000001,G5003&lt;=01_因子設定!$M$7+0.000000001,H5003&gt;=01_因子設定!$L$8-0.000000001,H5003&lt;=01_因子設定!$M$8+0.000000001,IF(01_因子設定!$B$20="Box-Behnken",E5003^2+F5003^2+G5003^2+H5003^2&lt;=2+0.000000001,TRUE()))</f>
        <v>1</v>
      </c>
      <c r="AD5003" s="55" t="n">
        <f aca="false">IF(AC5003,IF(01_因子設定!$B$13="最大化",AA5003-01_因子設定!$B$14,IF(01_因子設定!$B$13="最小化",01_因子設定!$B$15-AB5003,MIN(AA5003-01_因子設定!$B$14,01_因子設定!$B$15-AB5003))),-1E+030)</f>
        <v>1.01376611028157</v>
      </c>
      <c r="AE5003" s="55" t="n">
        <f aca="false">IF(AC5003,IF(01_因子設定!$B$13="最大化",X5003,IF(01_因子設定!$B$13="最小化",-X5003,-ABS(X5003-01_因子設定!$B$16))),-1E+030)</f>
        <v>48.9438642178362</v>
      </c>
      <c r="AF5003" s="55" t="n">
        <f aca="false">AD5003+ROW()*0.000000001</f>
        <v>1.01377111328157</v>
      </c>
      <c r="AG5003" s="55" t="n">
        <f aca="false">AE5003+ROW()*0.000000001</f>
        <v>48.9438692208362</v>
      </c>
    </row>
    <row r="5004" customFormat="false" ht="15" hidden="false" customHeight="false" outlineLevel="0" collapsed="false">
      <c r="A5004" s="0" t="n">
        <v>6</v>
      </c>
      <c r="B5004" s="0" t="n">
        <v>7</v>
      </c>
      <c r="C5004" s="0" t="n">
        <v>6</v>
      </c>
      <c r="D5004" s="0" t="n">
        <v>4</v>
      </c>
      <c r="E5004" s="0" t="n">
        <f aca="false">-1+A5004*0.25</f>
        <v>0.5</v>
      </c>
      <c r="F5004" s="0" t="n">
        <f aca="false">-1+B5004*0.25</f>
        <v>0.75</v>
      </c>
      <c r="G5004" s="0" t="n">
        <f aca="false">-1+C5004*0.25</f>
        <v>0.5</v>
      </c>
      <c r="H5004" s="0" t="n">
        <f aca="false">-1+D5004*0.25</f>
        <v>0</v>
      </c>
      <c r="I5004" s="0" t="n">
        <f aca="false">1</f>
        <v>1</v>
      </c>
      <c r="J5004" s="0" t="n">
        <f aca="false">E5004</f>
        <v>0.5</v>
      </c>
      <c r="K5004" s="0" t="n">
        <f aca="false">F5004</f>
        <v>0.75</v>
      </c>
      <c r="L5004" s="0" t="n">
        <f aca="false">G5004</f>
        <v>0.5</v>
      </c>
      <c r="M5004" s="0" t="n">
        <f aca="false">H5004</f>
        <v>0</v>
      </c>
      <c r="N5004" s="0" t="n">
        <f aca="false">E5004*F5004</f>
        <v>0.375</v>
      </c>
      <c r="O5004" s="0" t="n">
        <f aca="false">E5004*G5004</f>
        <v>0.25</v>
      </c>
      <c r="P5004" s="0" t="n">
        <f aca="false">E5004*H5004</f>
        <v>0</v>
      </c>
      <c r="Q5004" s="0" t="n">
        <f aca="false">F5004*G5004</f>
        <v>0.375</v>
      </c>
      <c r="R5004" s="0" t="n">
        <f aca="false">F5004*H5004</f>
        <v>0</v>
      </c>
      <c r="S5004" s="0" t="n">
        <f aca="false">G5004*H5004</f>
        <v>0</v>
      </c>
      <c r="T5004" s="0" t="n">
        <f aca="false">E5004*E5004</f>
        <v>0.25</v>
      </c>
      <c r="U5004" s="0" t="n">
        <f aca="false">F5004*F5004</f>
        <v>0.5625</v>
      </c>
      <c r="V5004" s="0" t="n">
        <f aca="false">G5004*G5004</f>
        <v>0.25</v>
      </c>
      <c r="W5004" s="0" t="n">
        <f aca="false">H5004*H5004</f>
        <v>0</v>
      </c>
      <c r="X5004" s="0" t="n">
        <f aca="false">SUMPRODUCT(I5004:W5004,_XtX!$B$96:$P$96)</f>
        <v>49.080875365497</v>
      </c>
      <c r="Y5004" s="0" t="n">
        <f aca="false">SUMPRODUCT(MMULT(I5004:W5004,_XtX!$B$78:$P$92),I5004:W5004)</f>
        <v>0.21305052997076</v>
      </c>
      <c r="Z5004" s="0" t="n">
        <f aca="false">04_回帰ANOVA!$K$19*04_回帰ANOVA!$K$14*SQRT(1+Y5004)</f>
        <v>1.43561450835061</v>
      </c>
      <c r="AA5004" s="0" t="n">
        <f aca="false">X5004-Z5004</f>
        <v>47.6452608571464</v>
      </c>
      <c r="AB5004" s="0" t="n">
        <f aca="false">X5004+Z5004</f>
        <v>50.5164898738476</v>
      </c>
      <c r="AC5004" s="54" t="b">
        <f aca="false">AND(E5004&gt;=01_因子設定!$L$5-0.000000001,E5004&lt;=01_因子設定!$M$5+0.000000001,F5004&gt;=01_因子設定!$L$6-0.000000001,F5004&lt;=01_因子設定!$M$6+0.000000001,G5004&gt;=01_因子設定!$L$7-0.000000001,G5004&lt;=01_因子設定!$M$7+0.000000001,H5004&gt;=01_因子設定!$L$8-0.000000001,H5004&lt;=01_因子設定!$M$8+0.000000001,IF(01_因子設定!$B$20="Box-Behnken",E5004^2+F5004^2+G5004^2+H5004^2&lt;=2+0.000000001,TRUE()))</f>
        <v>1</v>
      </c>
      <c r="AD5004" s="55" t="n">
        <f aca="false">IF(AC5004,IF(01_因子設定!$B$13="最大化",AA5004-01_因子設定!$B$14,IF(01_因子設定!$B$13="最小化",01_因子設定!$B$15-AB5004,MIN(AA5004-01_因子設定!$B$14,01_因子設定!$B$15-AB5004))),-1E+030)</f>
        <v>1.14526085714643</v>
      </c>
      <c r="AE5004" s="55" t="n">
        <f aca="false">IF(AC5004,IF(01_因子設定!$B$13="最大化",X5004,IF(01_因子設定!$B$13="最小化",-X5004,-ABS(X5004-01_因子設定!$B$16))),-1E+030)</f>
        <v>49.080875365497</v>
      </c>
      <c r="AF5004" s="55" t="n">
        <f aca="false">AD5004+ROW()*0.000000001</f>
        <v>1.14526586114643</v>
      </c>
      <c r="AG5004" s="55" t="n">
        <f aca="false">AE5004+ROW()*0.000000001</f>
        <v>49.080880369497</v>
      </c>
    </row>
    <row r="5005" customFormat="false" ht="15" hidden="false" customHeight="false" outlineLevel="0" collapsed="false">
      <c r="A5005" s="0" t="n">
        <v>6</v>
      </c>
      <c r="B5005" s="0" t="n">
        <v>7</v>
      </c>
      <c r="C5005" s="0" t="n">
        <v>6</v>
      </c>
      <c r="D5005" s="0" t="n">
        <v>5</v>
      </c>
      <c r="E5005" s="0" t="n">
        <f aca="false">-1+A5005*0.25</f>
        <v>0.5</v>
      </c>
      <c r="F5005" s="0" t="n">
        <f aca="false">-1+B5005*0.25</f>
        <v>0.75</v>
      </c>
      <c r="G5005" s="0" t="n">
        <f aca="false">-1+C5005*0.25</f>
        <v>0.5</v>
      </c>
      <c r="H5005" s="0" t="n">
        <f aca="false">-1+D5005*0.25</f>
        <v>0.25</v>
      </c>
      <c r="I5005" s="0" t="n">
        <f aca="false">1</f>
        <v>1</v>
      </c>
      <c r="J5005" s="0" t="n">
        <f aca="false">E5005</f>
        <v>0.5</v>
      </c>
      <c r="K5005" s="0" t="n">
        <f aca="false">F5005</f>
        <v>0.75</v>
      </c>
      <c r="L5005" s="0" t="n">
        <f aca="false">G5005</f>
        <v>0.5</v>
      </c>
      <c r="M5005" s="0" t="n">
        <f aca="false">H5005</f>
        <v>0.25</v>
      </c>
      <c r="N5005" s="0" t="n">
        <f aca="false">E5005*F5005</f>
        <v>0.375</v>
      </c>
      <c r="O5005" s="0" t="n">
        <f aca="false">E5005*G5005</f>
        <v>0.25</v>
      </c>
      <c r="P5005" s="0" t="n">
        <f aca="false">E5005*H5005</f>
        <v>0.125</v>
      </c>
      <c r="Q5005" s="0" t="n">
        <f aca="false">F5005*G5005</f>
        <v>0.375</v>
      </c>
      <c r="R5005" s="0" t="n">
        <f aca="false">F5005*H5005</f>
        <v>0.1875</v>
      </c>
      <c r="S5005" s="0" t="n">
        <f aca="false">G5005*H5005</f>
        <v>0.125</v>
      </c>
      <c r="T5005" s="0" t="n">
        <f aca="false">E5005*E5005</f>
        <v>0.25</v>
      </c>
      <c r="U5005" s="0" t="n">
        <f aca="false">F5005*F5005</f>
        <v>0.5625</v>
      </c>
      <c r="V5005" s="0" t="n">
        <f aca="false">G5005*G5005</f>
        <v>0.25</v>
      </c>
      <c r="W5005" s="0" t="n">
        <f aca="false">H5005*H5005</f>
        <v>0.0625</v>
      </c>
      <c r="X5005" s="0" t="n">
        <f aca="false">SUMPRODUCT(I5005:W5005,_XtX!$B$96:$P$96)</f>
        <v>49.170079495614</v>
      </c>
      <c r="Y5005" s="0" t="n">
        <f aca="false">SUMPRODUCT(MMULT(I5005:W5005,_XtX!$B$78:$P$92),I5005:W5005)</f>
        <v>0.203746059484649</v>
      </c>
      <c r="Z5005" s="0" t="n">
        <f aca="false">04_回帰ANOVA!$K$19*04_回帰ANOVA!$K$14*SQRT(1+Y5005)</f>
        <v>1.43009810755465</v>
      </c>
      <c r="AA5005" s="0" t="n">
        <f aca="false">X5005-Z5005</f>
        <v>47.7399813880593</v>
      </c>
      <c r="AB5005" s="0" t="n">
        <f aca="false">X5005+Z5005</f>
        <v>50.6001776031686</v>
      </c>
      <c r="AC5005" s="54" t="b">
        <f aca="false">AND(E5005&gt;=01_因子設定!$L$5-0.000000001,E5005&lt;=01_因子設定!$M$5+0.000000001,F5005&gt;=01_因子設定!$L$6-0.000000001,F5005&lt;=01_因子設定!$M$6+0.000000001,G5005&gt;=01_因子設定!$L$7-0.000000001,G5005&lt;=01_因子設定!$M$7+0.000000001,H5005&gt;=01_因子設定!$L$8-0.000000001,H5005&lt;=01_因子設定!$M$8+0.000000001,IF(01_因子設定!$B$20="Box-Behnken",E5005^2+F5005^2+G5005^2+H5005^2&lt;=2+0.000000001,TRUE()))</f>
        <v>1</v>
      </c>
      <c r="AD5005" s="55" t="n">
        <f aca="false">IF(AC5005,IF(01_因子設定!$B$13="最大化",AA5005-01_因子設定!$B$14,IF(01_因子設定!$B$13="最小化",01_因子設定!$B$15-AB5005,MIN(AA5005-01_因子設定!$B$14,01_因子設定!$B$15-AB5005))),-1E+030)</f>
        <v>1.23998138805934</v>
      </c>
      <c r="AE5005" s="55" t="n">
        <f aca="false">IF(AC5005,IF(01_因子設定!$B$13="最大化",X5005,IF(01_因子設定!$B$13="最小化",-X5005,-ABS(X5005-01_因子設定!$B$16))),-1E+030)</f>
        <v>49.170079495614</v>
      </c>
      <c r="AF5005" s="55" t="n">
        <f aca="false">AD5005+ROW()*0.000000001</f>
        <v>1.23998639305934</v>
      </c>
      <c r="AG5005" s="55" t="n">
        <f aca="false">AE5005+ROW()*0.000000001</f>
        <v>49.170084500614</v>
      </c>
    </row>
    <row r="5006" customFormat="false" ht="15" hidden="false" customHeight="false" outlineLevel="0" collapsed="false">
      <c r="A5006" s="0" t="n">
        <v>6</v>
      </c>
      <c r="B5006" s="0" t="n">
        <v>7</v>
      </c>
      <c r="C5006" s="0" t="n">
        <v>6</v>
      </c>
      <c r="D5006" s="0" t="n">
        <v>6</v>
      </c>
      <c r="E5006" s="0" t="n">
        <f aca="false">-1+A5006*0.25</f>
        <v>0.5</v>
      </c>
      <c r="F5006" s="0" t="n">
        <f aca="false">-1+B5006*0.25</f>
        <v>0.75</v>
      </c>
      <c r="G5006" s="0" t="n">
        <f aca="false">-1+C5006*0.25</f>
        <v>0.5</v>
      </c>
      <c r="H5006" s="0" t="n">
        <f aca="false">-1+D5006*0.25</f>
        <v>0.5</v>
      </c>
      <c r="I5006" s="0" t="n">
        <f aca="false">1</f>
        <v>1</v>
      </c>
      <c r="J5006" s="0" t="n">
        <f aca="false">E5006</f>
        <v>0.5</v>
      </c>
      <c r="K5006" s="0" t="n">
        <f aca="false">F5006</f>
        <v>0.75</v>
      </c>
      <c r="L5006" s="0" t="n">
        <f aca="false">G5006</f>
        <v>0.5</v>
      </c>
      <c r="M5006" s="0" t="n">
        <f aca="false">H5006</f>
        <v>0.5</v>
      </c>
      <c r="N5006" s="0" t="n">
        <f aca="false">E5006*F5006</f>
        <v>0.375</v>
      </c>
      <c r="O5006" s="0" t="n">
        <f aca="false">E5006*G5006</f>
        <v>0.25</v>
      </c>
      <c r="P5006" s="0" t="n">
        <f aca="false">E5006*H5006</f>
        <v>0.25</v>
      </c>
      <c r="Q5006" s="0" t="n">
        <f aca="false">F5006*G5006</f>
        <v>0.375</v>
      </c>
      <c r="R5006" s="0" t="n">
        <f aca="false">F5006*H5006</f>
        <v>0.375</v>
      </c>
      <c r="S5006" s="0" t="n">
        <f aca="false">G5006*H5006</f>
        <v>0.25</v>
      </c>
      <c r="T5006" s="0" t="n">
        <f aca="false">E5006*E5006</f>
        <v>0.25</v>
      </c>
      <c r="U5006" s="0" t="n">
        <f aca="false">F5006*F5006</f>
        <v>0.5625</v>
      </c>
      <c r="V5006" s="0" t="n">
        <f aca="false">G5006*G5006</f>
        <v>0.25</v>
      </c>
      <c r="W5006" s="0" t="n">
        <f aca="false">H5006*H5006</f>
        <v>0.25</v>
      </c>
      <c r="X5006" s="0" t="n">
        <f aca="false">SUMPRODUCT(I5006:W5006,_XtX!$B$96:$P$96)</f>
        <v>49.2114766081871</v>
      </c>
      <c r="Y5006" s="0" t="n">
        <f aca="false">SUMPRODUCT(MMULT(I5006:W5006,_XtX!$B$78:$P$92),I5006:W5006)</f>
        <v>0.193924753289474</v>
      </c>
      <c r="Z5006" s="0" t="n">
        <f aca="false">04_回帰ANOVA!$K$19*04_回帰ANOVA!$K$14*SQRT(1+Y5006)</f>
        <v>1.4242521079916</v>
      </c>
      <c r="AA5006" s="0" t="n">
        <f aca="false">X5006-Z5006</f>
        <v>47.7872245001955</v>
      </c>
      <c r="AB5006" s="0" t="n">
        <f aca="false">X5006+Z5006</f>
        <v>50.6357287161787</v>
      </c>
      <c r="AC5006" s="54" t="b">
        <f aca="false">AND(E5006&gt;=01_因子設定!$L$5-0.000000001,E5006&lt;=01_因子設定!$M$5+0.000000001,F5006&gt;=01_因子設定!$L$6-0.000000001,F5006&lt;=01_因子設定!$M$6+0.000000001,G5006&gt;=01_因子設定!$L$7-0.000000001,G5006&lt;=01_因子設定!$M$7+0.000000001,H5006&gt;=01_因子設定!$L$8-0.000000001,H5006&lt;=01_因子設定!$M$8+0.000000001,IF(01_因子設定!$B$20="Box-Behnken",E5006^2+F5006^2+G5006^2+H5006^2&lt;=2+0.000000001,TRUE()))</f>
        <v>1</v>
      </c>
      <c r="AD5006" s="55" t="n">
        <f aca="false">IF(AC5006,IF(01_因子設定!$B$13="最大化",AA5006-01_因子設定!$B$14,IF(01_因子設定!$B$13="最小化",01_因子設定!$B$15-AB5006,MIN(AA5006-01_因子設定!$B$14,01_因子設定!$B$15-AB5006))),-1E+030)</f>
        <v>1.2872245001955</v>
      </c>
      <c r="AE5006" s="55" t="n">
        <f aca="false">IF(AC5006,IF(01_因子設定!$B$13="最大化",X5006,IF(01_因子設定!$B$13="最小化",-X5006,-ABS(X5006-01_因子設定!$B$16))),-1E+030)</f>
        <v>49.2114766081871</v>
      </c>
      <c r="AF5006" s="55" t="n">
        <f aca="false">AD5006+ROW()*0.000000001</f>
        <v>1.2872295061955</v>
      </c>
      <c r="AG5006" s="55" t="n">
        <f aca="false">AE5006+ROW()*0.000000001</f>
        <v>49.2114816141871</v>
      </c>
    </row>
    <row r="5007" customFormat="false" ht="15" hidden="false" customHeight="false" outlineLevel="0" collapsed="false">
      <c r="A5007" s="0" t="n">
        <v>6</v>
      </c>
      <c r="B5007" s="0" t="n">
        <v>7</v>
      </c>
      <c r="C5007" s="0" t="n">
        <v>6</v>
      </c>
      <c r="D5007" s="0" t="n">
        <v>7</v>
      </c>
      <c r="E5007" s="0" t="n">
        <f aca="false">-1+A5007*0.25</f>
        <v>0.5</v>
      </c>
      <c r="F5007" s="0" t="n">
        <f aca="false">-1+B5007*0.25</f>
        <v>0.75</v>
      </c>
      <c r="G5007" s="0" t="n">
        <f aca="false">-1+C5007*0.25</f>
        <v>0.5</v>
      </c>
      <c r="H5007" s="0" t="n">
        <f aca="false">-1+D5007*0.25</f>
        <v>0.75</v>
      </c>
      <c r="I5007" s="0" t="n">
        <f aca="false">1</f>
        <v>1</v>
      </c>
      <c r="J5007" s="0" t="n">
        <f aca="false">E5007</f>
        <v>0.5</v>
      </c>
      <c r="K5007" s="0" t="n">
        <f aca="false">F5007</f>
        <v>0.75</v>
      </c>
      <c r="L5007" s="0" t="n">
        <f aca="false">G5007</f>
        <v>0.5</v>
      </c>
      <c r="M5007" s="0" t="n">
        <f aca="false">H5007</f>
        <v>0.75</v>
      </c>
      <c r="N5007" s="0" t="n">
        <f aca="false">E5007*F5007</f>
        <v>0.375</v>
      </c>
      <c r="O5007" s="0" t="n">
        <f aca="false">E5007*G5007</f>
        <v>0.25</v>
      </c>
      <c r="P5007" s="0" t="n">
        <f aca="false">E5007*H5007</f>
        <v>0.375</v>
      </c>
      <c r="Q5007" s="0" t="n">
        <f aca="false">F5007*G5007</f>
        <v>0.375</v>
      </c>
      <c r="R5007" s="0" t="n">
        <f aca="false">F5007*H5007</f>
        <v>0.5625</v>
      </c>
      <c r="S5007" s="0" t="n">
        <f aca="false">G5007*H5007</f>
        <v>0.375</v>
      </c>
      <c r="T5007" s="0" t="n">
        <f aca="false">E5007*E5007</f>
        <v>0.25</v>
      </c>
      <c r="U5007" s="0" t="n">
        <f aca="false">F5007*F5007</f>
        <v>0.5625</v>
      </c>
      <c r="V5007" s="0" t="n">
        <f aca="false">G5007*G5007</f>
        <v>0.25</v>
      </c>
      <c r="W5007" s="0" t="n">
        <f aca="false">H5007*H5007</f>
        <v>0.5625</v>
      </c>
      <c r="X5007" s="0" t="n">
        <f aca="false">SUMPRODUCT(I5007:W5007,_XtX!$B$96:$P$96)</f>
        <v>49.2050667032164</v>
      </c>
      <c r="Y5007" s="0" t="n">
        <f aca="false">SUMPRODUCT(MMULT(I5007:W5007,_XtX!$B$78:$P$92),I5007:W5007)</f>
        <v>0.237862927174708</v>
      </c>
      <c r="Z5007" s="0" t="n">
        <f aca="false">04_回帰ANOVA!$K$19*04_回帰ANOVA!$K$14*SQRT(1+Y5007)</f>
        <v>1.45022260708756</v>
      </c>
      <c r="AA5007" s="0" t="n">
        <f aca="false">X5007-Z5007</f>
        <v>47.7548440961288</v>
      </c>
      <c r="AB5007" s="0" t="n">
        <f aca="false">X5007+Z5007</f>
        <v>50.6552893103039</v>
      </c>
      <c r="AC5007" s="54" t="b">
        <f aca="false">AND(E5007&gt;=01_因子設定!$L$5-0.000000001,E5007&lt;=01_因子設定!$M$5+0.000000001,F5007&gt;=01_因子設定!$L$6-0.000000001,F5007&lt;=01_因子設定!$M$6+0.000000001,G5007&gt;=01_因子設定!$L$7-0.000000001,G5007&lt;=01_因子設定!$M$7+0.000000001,H5007&gt;=01_因子設定!$L$8-0.000000001,H5007&lt;=01_因子設定!$M$8+0.000000001,IF(01_因子設定!$B$20="Box-Behnken",E5007^2+F5007^2+G5007^2+H5007^2&lt;=2+0.000000001,TRUE()))</f>
        <v>1</v>
      </c>
      <c r="AD5007" s="55" t="n">
        <f aca="false">IF(AC5007,IF(01_因子設定!$B$13="最大化",AA5007-01_因子設定!$B$14,IF(01_因子設定!$B$13="最小化",01_因子設定!$B$15-AB5007,MIN(AA5007-01_因子設定!$B$14,01_因子設定!$B$15-AB5007))),-1E+030)</f>
        <v>1.25484409612879</v>
      </c>
      <c r="AE5007" s="55" t="n">
        <f aca="false">IF(AC5007,IF(01_因子設定!$B$13="最大化",X5007,IF(01_因子設定!$B$13="最小化",-X5007,-ABS(X5007-01_因子設定!$B$16))),-1E+030)</f>
        <v>49.2050667032164</v>
      </c>
      <c r="AF5007" s="55" t="n">
        <f aca="false">AD5007+ROW()*0.000000001</f>
        <v>1.25484910312879</v>
      </c>
      <c r="AG5007" s="55" t="n">
        <f aca="false">AE5007+ROW()*0.000000001</f>
        <v>49.2050717102164</v>
      </c>
    </row>
    <row r="5008" customFormat="false" ht="15" hidden="false" customHeight="false" outlineLevel="0" collapsed="false">
      <c r="A5008" s="0" t="n">
        <v>6</v>
      </c>
      <c r="B5008" s="0" t="n">
        <v>7</v>
      </c>
      <c r="C5008" s="0" t="n">
        <v>6</v>
      </c>
      <c r="D5008" s="0" t="n">
        <v>8</v>
      </c>
      <c r="E5008" s="0" t="n">
        <f aca="false">-1+A5008*0.25</f>
        <v>0.5</v>
      </c>
      <c r="F5008" s="0" t="n">
        <f aca="false">-1+B5008*0.25</f>
        <v>0.75</v>
      </c>
      <c r="G5008" s="0" t="n">
        <f aca="false">-1+C5008*0.25</f>
        <v>0.5</v>
      </c>
      <c r="H5008" s="0" t="n">
        <f aca="false">-1+D5008*0.25</f>
        <v>1</v>
      </c>
      <c r="I5008" s="0" t="n">
        <f aca="false">1</f>
        <v>1</v>
      </c>
      <c r="J5008" s="0" t="n">
        <f aca="false">E5008</f>
        <v>0.5</v>
      </c>
      <c r="K5008" s="0" t="n">
        <f aca="false">F5008</f>
        <v>0.75</v>
      </c>
      <c r="L5008" s="0" t="n">
        <f aca="false">G5008</f>
        <v>0.5</v>
      </c>
      <c r="M5008" s="0" t="n">
        <f aca="false">H5008</f>
        <v>1</v>
      </c>
      <c r="N5008" s="0" t="n">
        <f aca="false">E5008*F5008</f>
        <v>0.375</v>
      </c>
      <c r="O5008" s="0" t="n">
        <f aca="false">E5008*G5008</f>
        <v>0.25</v>
      </c>
      <c r="P5008" s="0" t="n">
        <f aca="false">E5008*H5008</f>
        <v>0.5</v>
      </c>
      <c r="Q5008" s="0" t="n">
        <f aca="false">F5008*G5008</f>
        <v>0.375</v>
      </c>
      <c r="R5008" s="0" t="n">
        <f aca="false">F5008*H5008</f>
        <v>0.75</v>
      </c>
      <c r="S5008" s="0" t="n">
        <f aca="false">G5008*H5008</f>
        <v>0.5</v>
      </c>
      <c r="T5008" s="0" t="n">
        <f aca="false">E5008*E5008</f>
        <v>0.25</v>
      </c>
      <c r="U5008" s="0" t="n">
        <f aca="false">F5008*F5008</f>
        <v>0.5625</v>
      </c>
      <c r="V5008" s="0" t="n">
        <f aca="false">G5008*G5008</f>
        <v>0.25</v>
      </c>
      <c r="W5008" s="0" t="n">
        <f aca="false">H5008*H5008</f>
        <v>1</v>
      </c>
      <c r="X5008" s="0" t="n">
        <f aca="false">SUMPRODUCT(I5008:W5008,_XtX!$B$96:$P$96)</f>
        <v>49.1508497807018</v>
      </c>
      <c r="Y5008" s="0" t="n">
        <f aca="false">SUMPRODUCT(MMULT(I5008:W5008,_XtX!$B$78:$P$92),I5008:W5008)</f>
        <v>0.42602110745614</v>
      </c>
      <c r="Z5008" s="0" t="n">
        <f aca="false">04_回帰ANOVA!$K$19*04_回帰ANOVA!$K$14*SQRT(1+Y5008)</f>
        <v>1.55654388501114</v>
      </c>
      <c r="AA5008" s="0" t="n">
        <f aca="false">X5008-Z5008</f>
        <v>47.5943058956906</v>
      </c>
      <c r="AB5008" s="0" t="n">
        <f aca="false">X5008+Z5008</f>
        <v>50.7073936657129</v>
      </c>
      <c r="AC5008" s="54" t="b">
        <f aca="false">AND(E5008&gt;=01_因子設定!$L$5-0.000000001,E5008&lt;=01_因子設定!$M$5+0.000000001,F5008&gt;=01_因子設定!$L$6-0.000000001,F5008&lt;=01_因子設定!$M$6+0.000000001,G5008&gt;=01_因子設定!$L$7-0.000000001,G5008&lt;=01_因子設定!$M$7+0.000000001,H5008&gt;=01_因子設定!$L$8-0.000000001,H5008&lt;=01_因子設定!$M$8+0.000000001,IF(01_因子設定!$B$20="Box-Behnken",E5008^2+F5008^2+G5008^2+H5008^2&lt;=2+0.000000001,TRUE()))</f>
        <v>1</v>
      </c>
      <c r="AD5008" s="55" t="n">
        <f aca="false">IF(AC5008,IF(01_因子設定!$B$13="最大化",AA5008-01_因子設定!$B$14,IF(01_因子設定!$B$13="最小化",01_因子設定!$B$15-AB5008,MIN(AA5008-01_因子設定!$B$14,01_因子設定!$B$15-AB5008))),-1E+030)</f>
        <v>1.09430589569061</v>
      </c>
      <c r="AE5008" s="55" t="n">
        <f aca="false">IF(AC5008,IF(01_因子設定!$B$13="最大化",X5008,IF(01_因子設定!$B$13="最小化",-X5008,-ABS(X5008-01_因子設定!$B$16))),-1E+030)</f>
        <v>49.1508497807018</v>
      </c>
      <c r="AF5008" s="55" t="n">
        <f aca="false">AD5008+ROW()*0.000000001</f>
        <v>1.09431090369061</v>
      </c>
      <c r="AG5008" s="55" t="n">
        <f aca="false">AE5008+ROW()*0.000000001</f>
        <v>49.1508547887018</v>
      </c>
    </row>
    <row r="5009" customFormat="false" ht="15" hidden="false" customHeight="false" outlineLevel="0" collapsed="false">
      <c r="A5009" s="0" t="n">
        <v>6</v>
      </c>
      <c r="B5009" s="0" t="n">
        <v>7</v>
      </c>
      <c r="C5009" s="0" t="n">
        <v>7</v>
      </c>
      <c r="D5009" s="0" t="n">
        <v>0</v>
      </c>
      <c r="E5009" s="0" t="n">
        <f aca="false">-1+A5009*0.25</f>
        <v>0.5</v>
      </c>
      <c r="F5009" s="0" t="n">
        <f aca="false">-1+B5009*0.25</f>
        <v>0.75</v>
      </c>
      <c r="G5009" s="0" t="n">
        <f aca="false">-1+C5009*0.25</f>
        <v>0.75</v>
      </c>
      <c r="H5009" s="0" t="n">
        <f aca="false">-1+D5009*0.25</f>
        <v>-1</v>
      </c>
      <c r="I5009" s="0" t="n">
        <f aca="false">1</f>
        <v>1</v>
      </c>
      <c r="J5009" s="0" t="n">
        <f aca="false">E5009</f>
        <v>0.5</v>
      </c>
      <c r="K5009" s="0" t="n">
        <f aca="false">F5009</f>
        <v>0.75</v>
      </c>
      <c r="L5009" s="0" t="n">
        <f aca="false">G5009</f>
        <v>0.75</v>
      </c>
      <c r="M5009" s="0" t="n">
        <f aca="false">H5009</f>
        <v>-1</v>
      </c>
      <c r="N5009" s="0" t="n">
        <f aca="false">E5009*F5009</f>
        <v>0.375</v>
      </c>
      <c r="O5009" s="0" t="n">
        <f aca="false">E5009*G5009</f>
        <v>0.375</v>
      </c>
      <c r="P5009" s="0" t="n">
        <f aca="false">E5009*H5009</f>
        <v>-0.5</v>
      </c>
      <c r="Q5009" s="0" t="n">
        <f aca="false">F5009*G5009</f>
        <v>0.5625</v>
      </c>
      <c r="R5009" s="0" t="n">
        <f aca="false">F5009*H5009</f>
        <v>-0.75</v>
      </c>
      <c r="S5009" s="0" t="n">
        <f aca="false">G5009*H5009</f>
        <v>-0.75</v>
      </c>
      <c r="T5009" s="0" t="n">
        <f aca="false">E5009*E5009</f>
        <v>0.25</v>
      </c>
      <c r="U5009" s="0" t="n">
        <f aca="false">F5009*F5009</f>
        <v>0.5625</v>
      </c>
      <c r="V5009" s="0" t="n">
        <f aca="false">G5009*G5009</f>
        <v>0.5625</v>
      </c>
      <c r="W5009" s="0" t="n">
        <f aca="false">H5009*H5009</f>
        <v>1</v>
      </c>
      <c r="X5009" s="0" t="n">
        <f aca="false">SUMPRODUCT(I5009:W5009,_XtX!$B$96:$P$96)</f>
        <v>48.1840232090643</v>
      </c>
      <c r="Y5009" s="0" t="n">
        <f aca="false">SUMPRODUCT(MMULT(I5009:W5009,_XtX!$B$78:$P$92),I5009:W5009)</f>
        <v>0.431153771472953</v>
      </c>
      <c r="Z5009" s="0" t="n">
        <f aca="false">04_回帰ANOVA!$K$19*04_回帰ANOVA!$K$14*SQRT(1+Y5009)</f>
        <v>1.55934259562563</v>
      </c>
      <c r="AA5009" s="0" t="n">
        <f aca="false">X5009-Z5009</f>
        <v>46.6246806134387</v>
      </c>
      <c r="AB5009" s="0" t="n">
        <f aca="false">X5009+Z5009</f>
        <v>49.74336580469</v>
      </c>
      <c r="AC5009" s="54" t="b">
        <f aca="false">AND(E5009&gt;=01_因子設定!$L$5-0.000000001,E5009&lt;=01_因子設定!$M$5+0.000000001,F5009&gt;=01_因子設定!$L$6-0.000000001,F5009&lt;=01_因子設定!$M$6+0.000000001,G5009&gt;=01_因子設定!$L$7-0.000000001,G5009&lt;=01_因子設定!$M$7+0.000000001,H5009&gt;=01_因子設定!$L$8-0.000000001,H5009&lt;=01_因子設定!$M$8+0.000000001,IF(01_因子設定!$B$20="Box-Behnken",E5009^2+F5009^2+G5009^2+H5009^2&lt;=2+0.000000001,TRUE()))</f>
        <v>1</v>
      </c>
      <c r="AD5009" s="55" t="n">
        <f aca="false">IF(AC5009,IF(01_因子設定!$B$13="最大化",AA5009-01_因子設定!$B$14,IF(01_因子設定!$B$13="最小化",01_因子設定!$B$15-AB5009,MIN(AA5009-01_因子設定!$B$14,01_因子設定!$B$15-AB5009))),-1E+030)</f>
        <v>0.124680613438692</v>
      </c>
      <c r="AE5009" s="55" t="n">
        <f aca="false">IF(AC5009,IF(01_因子設定!$B$13="最大化",X5009,IF(01_因子設定!$B$13="最小化",-X5009,-ABS(X5009-01_因子設定!$B$16))),-1E+030)</f>
        <v>48.1840232090643</v>
      </c>
      <c r="AF5009" s="55" t="n">
        <f aca="false">AD5009+ROW()*0.000000001</f>
        <v>0.124685622438692</v>
      </c>
      <c r="AG5009" s="55" t="n">
        <f aca="false">AE5009+ROW()*0.000000001</f>
        <v>48.1840282180643</v>
      </c>
    </row>
    <row r="5010" customFormat="false" ht="15" hidden="false" customHeight="false" outlineLevel="0" collapsed="false">
      <c r="A5010" s="0" t="n">
        <v>6</v>
      </c>
      <c r="B5010" s="0" t="n">
        <v>7</v>
      </c>
      <c r="C5010" s="0" t="n">
        <v>7</v>
      </c>
      <c r="D5010" s="0" t="n">
        <v>1</v>
      </c>
      <c r="E5010" s="0" t="n">
        <f aca="false">-1+A5010*0.25</f>
        <v>0.5</v>
      </c>
      <c r="F5010" s="0" t="n">
        <f aca="false">-1+B5010*0.25</f>
        <v>0.75</v>
      </c>
      <c r="G5010" s="0" t="n">
        <f aca="false">-1+C5010*0.25</f>
        <v>0.75</v>
      </c>
      <c r="H5010" s="0" t="n">
        <f aca="false">-1+D5010*0.25</f>
        <v>-0.75</v>
      </c>
      <c r="I5010" s="0" t="n">
        <f aca="false">1</f>
        <v>1</v>
      </c>
      <c r="J5010" s="0" t="n">
        <f aca="false">E5010</f>
        <v>0.5</v>
      </c>
      <c r="K5010" s="0" t="n">
        <f aca="false">F5010</f>
        <v>0.75</v>
      </c>
      <c r="L5010" s="0" t="n">
        <f aca="false">G5010</f>
        <v>0.75</v>
      </c>
      <c r="M5010" s="0" t="n">
        <f aca="false">H5010</f>
        <v>-0.75</v>
      </c>
      <c r="N5010" s="0" t="n">
        <f aca="false">E5010*F5010</f>
        <v>0.375</v>
      </c>
      <c r="O5010" s="0" t="n">
        <f aca="false">E5010*G5010</f>
        <v>0.375</v>
      </c>
      <c r="P5010" s="0" t="n">
        <f aca="false">E5010*H5010</f>
        <v>-0.375</v>
      </c>
      <c r="Q5010" s="0" t="n">
        <f aca="false">F5010*G5010</f>
        <v>0.5625</v>
      </c>
      <c r="R5010" s="0" t="n">
        <f aca="false">F5010*H5010</f>
        <v>-0.5625</v>
      </c>
      <c r="S5010" s="0" t="n">
        <f aca="false">G5010*H5010</f>
        <v>-0.5625</v>
      </c>
      <c r="T5010" s="0" t="n">
        <f aca="false">E5010*E5010</f>
        <v>0.25</v>
      </c>
      <c r="U5010" s="0" t="n">
        <f aca="false">F5010*F5010</f>
        <v>0.5625</v>
      </c>
      <c r="V5010" s="0" t="n">
        <f aca="false">G5010*G5010</f>
        <v>0.5625</v>
      </c>
      <c r="W5010" s="0" t="n">
        <f aca="false">H5010*H5010</f>
        <v>0.5625</v>
      </c>
      <c r="X5010" s="0" t="n">
        <f aca="false">SUMPRODUCT(I5010:W5010,_XtX!$B$96:$P$96)</f>
        <v>48.4824241593567</v>
      </c>
      <c r="Y5010" s="0" t="n">
        <f aca="false">SUMPRODUCT(MMULT(I5010:W5010,_XtX!$B$78:$P$92),I5010:W5010)</f>
        <v>0.265632138614766</v>
      </c>
      <c r="Z5010" s="0" t="n">
        <f aca="false">04_回帰ANOVA!$K$19*04_回帰ANOVA!$K$14*SQRT(1+Y5010)</f>
        <v>1.46639894654257</v>
      </c>
      <c r="AA5010" s="0" t="n">
        <f aca="false">X5010-Z5010</f>
        <v>47.0160252128141</v>
      </c>
      <c r="AB5010" s="0" t="n">
        <f aca="false">X5010+Z5010</f>
        <v>49.9488231058993</v>
      </c>
      <c r="AC5010" s="54" t="b">
        <f aca="false">AND(E5010&gt;=01_因子設定!$L$5-0.000000001,E5010&lt;=01_因子設定!$M$5+0.000000001,F5010&gt;=01_因子設定!$L$6-0.000000001,F5010&lt;=01_因子設定!$M$6+0.000000001,G5010&gt;=01_因子設定!$L$7-0.000000001,G5010&lt;=01_因子設定!$M$7+0.000000001,H5010&gt;=01_因子設定!$L$8-0.000000001,H5010&lt;=01_因子設定!$M$8+0.000000001,IF(01_因子設定!$B$20="Box-Behnken",E5010^2+F5010^2+G5010^2+H5010^2&lt;=2+0.000000001,TRUE()))</f>
        <v>1</v>
      </c>
      <c r="AD5010" s="55" t="n">
        <f aca="false">IF(AC5010,IF(01_因子設定!$B$13="最大化",AA5010-01_因子設定!$B$14,IF(01_因子設定!$B$13="最小化",01_因子設定!$B$15-AB5010,MIN(AA5010-01_因子設定!$B$14,01_因子設定!$B$15-AB5010))),-1E+030)</f>
        <v>0.516025212814128</v>
      </c>
      <c r="AE5010" s="55" t="n">
        <f aca="false">IF(AC5010,IF(01_因子設定!$B$13="最大化",X5010,IF(01_因子設定!$B$13="最小化",-X5010,-ABS(X5010-01_因子設定!$B$16))),-1E+030)</f>
        <v>48.4824241593567</v>
      </c>
      <c r="AF5010" s="55" t="n">
        <f aca="false">AD5010+ROW()*0.000000001</f>
        <v>0.516030222814128</v>
      </c>
      <c r="AG5010" s="55" t="n">
        <f aca="false">AE5010+ROW()*0.000000001</f>
        <v>48.4824291693567</v>
      </c>
    </row>
    <row r="5011" customFormat="false" ht="15" hidden="false" customHeight="false" outlineLevel="0" collapsed="false">
      <c r="A5011" s="0" t="n">
        <v>6</v>
      </c>
      <c r="B5011" s="0" t="n">
        <v>7</v>
      </c>
      <c r="C5011" s="0" t="n">
        <v>7</v>
      </c>
      <c r="D5011" s="0" t="n">
        <v>2</v>
      </c>
      <c r="E5011" s="0" t="n">
        <f aca="false">-1+A5011*0.25</f>
        <v>0.5</v>
      </c>
      <c r="F5011" s="0" t="n">
        <f aca="false">-1+B5011*0.25</f>
        <v>0.75</v>
      </c>
      <c r="G5011" s="0" t="n">
        <f aca="false">-1+C5011*0.25</f>
        <v>0.75</v>
      </c>
      <c r="H5011" s="0" t="n">
        <f aca="false">-1+D5011*0.25</f>
        <v>-0.5</v>
      </c>
      <c r="I5011" s="0" t="n">
        <f aca="false">1</f>
        <v>1</v>
      </c>
      <c r="J5011" s="0" t="n">
        <f aca="false">E5011</f>
        <v>0.5</v>
      </c>
      <c r="K5011" s="0" t="n">
        <f aca="false">F5011</f>
        <v>0.75</v>
      </c>
      <c r="L5011" s="0" t="n">
        <f aca="false">G5011</f>
        <v>0.75</v>
      </c>
      <c r="M5011" s="0" t="n">
        <f aca="false">H5011</f>
        <v>-0.5</v>
      </c>
      <c r="N5011" s="0" t="n">
        <f aca="false">E5011*F5011</f>
        <v>0.375</v>
      </c>
      <c r="O5011" s="0" t="n">
        <f aca="false">E5011*G5011</f>
        <v>0.375</v>
      </c>
      <c r="P5011" s="0" t="n">
        <f aca="false">E5011*H5011</f>
        <v>-0.25</v>
      </c>
      <c r="Q5011" s="0" t="n">
        <f aca="false">F5011*G5011</f>
        <v>0.5625</v>
      </c>
      <c r="R5011" s="0" t="n">
        <f aca="false">F5011*H5011</f>
        <v>-0.375</v>
      </c>
      <c r="S5011" s="0" t="n">
        <f aca="false">G5011*H5011</f>
        <v>-0.375</v>
      </c>
      <c r="T5011" s="0" t="n">
        <f aca="false">E5011*E5011</f>
        <v>0.25</v>
      </c>
      <c r="U5011" s="0" t="n">
        <f aca="false">F5011*F5011</f>
        <v>0.5625</v>
      </c>
      <c r="V5011" s="0" t="n">
        <f aca="false">G5011*G5011</f>
        <v>0.5625</v>
      </c>
      <c r="W5011" s="0" t="n">
        <f aca="false">H5011*H5011</f>
        <v>0.25</v>
      </c>
      <c r="X5011" s="0" t="n">
        <f aca="false">SUMPRODUCT(I5011:W5011,_XtX!$B$96:$P$96)</f>
        <v>48.7330180921052</v>
      </c>
      <c r="Y5011" s="0" t="n">
        <f aca="false">SUMPRODUCT(MMULT(I5011:W5011,_XtX!$B$78:$P$92),I5011:W5011)</f>
        <v>0.237862927174708</v>
      </c>
      <c r="Z5011" s="0" t="n">
        <f aca="false">04_回帰ANOVA!$K$19*04_回帰ANOVA!$K$14*SQRT(1+Y5011)</f>
        <v>1.45022260708756</v>
      </c>
      <c r="AA5011" s="0" t="n">
        <f aca="false">X5011-Z5011</f>
        <v>47.2827954850177</v>
      </c>
      <c r="AB5011" s="0" t="n">
        <f aca="false">X5011+Z5011</f>
        <v>50.1832406991928</v>
      </c>
      <c r="AC5011" s="54" t="b">
        <f aca="false">AND(E5011&gt;=01_因子設定!$L$5-0.000000001,E5011&lt;=01_因子設定!$M$5+0.000000001,F5011&gt;=01_因子設定!$L$6-0.000000001,F5011&lt;=01_因子設定!$M$6+0.000000001,G5011&gt;=01_因子設定!$L$7-0.000000001,G5011&lt;=01_因子設定!$M$7+0.000000001,H5011&gt;=01_因子設定!$L$8-0.000000001,H5011&lt;=01_因子設定!$M$8+0.000000001,IF(01_因子設定!$B$20="Box-Behnken",E5011^2+F5011^2+G5011^2+H5011^2&lt;=2+0.000000001,TRUE()))</f>
        <v>1</v>
      </c>
      <c r="AD5011" s="55" t="n">
        <f aca="false">IF(AC5011,IF(01_因子設定!$B$13="最大化",AA5011-01_因子設定!$B$14,IF(01_因子設定!$B$13="最小化",01_因子設定!$B$15-AB5011,MIN(AA5011-01_因子設定!$B$14,01_因子設定!$B$15-AB5011))),-1E+030)</f>
        <v>0.782795485017672</v>
      </c>
      <c r="AE5011" s="55" t="n">
        <f aca="false">IF(AC5011,IF(01_因子設定!$B$13="最大化",X5011,IF(01_因子設定!$B$13="最小化",-X5011,-ABS(X5011-01_因子設定!$B$16))),-1E+030)</f>
        <v>48.7330180921052</v>
      </c>
      <c r="AF5011" s="55" t="n">
        <f aca="false">AD5011+ROW()*0.000000001</f>
        <v>0.782800496017672</v>
      </c>
      <c r="AG5011" s="55" t="n">
        <f aca="false">AE5011+ROW()*0.000000001</f>
        <v>48.7330231031052</v>
      </c>
    </row>
    <row r="5012" customFormat="false" ht="15" hidden="false" customHeight="false" outlineLevel="0" collapsed="false">
      <c r="A5012" s="0" t="n">
        <v>6</v>
      </c>
      <c r="B5012" s="0" t="n">
        <v>7</v>
      </c>
      <c r="C5012" s="0" t="n">
        <v>7</v>
      </c>
      <c r="D5012" s="0" t="n">
        <v>3</v>
      </c>
      <c r="E5012" s="0" t="n">
        <f aca="false">-1+A5012*0.25</f>
        <v>0.5</v>
      </c>
      <c r="F5012" s="0" t="n">
        <f aca="false">-1+B5012*0.25</f>
        <v>0.75</v>
      </c>
      <c r="G5012" s="0" t="n">
        <f aca="false">-1+C5012*0.25</f>
        <v>0.75</v>
      </c>
      <c r="H5012" s="0" t="n">
        <f aca="false">-1+D5012*0.25</f>
        <v>-0.25</v>
      </c>
      <c r="I5012" s="0" t="n">
        <f aca="false">1</f>
        <v>1</v>
      </c>
      <c r="J5012" s="0" t="n">
        <f aca="false">E5012</f>
        <v>0.5</v>
      </c>
      <c r="K5012" s="0" t="n">
        <f aca="false">F5012</f>
        <v>0.75</v>
      </c>
      <c r="L5012" s="0" t="n">
        <f aca="false">G5012</f>
        <v>0.75</v>
      </c>
      <c r="M5012" s="0" t="n">
        <f aca="false">H5012</f>
        <v>-0.25</v>
      </c>
      <c r="N5012" s="0" t="n">
        <f aca="false">E5012*F5012</f>
        <v>0.375</v>
      </c>
      <c r="O5012" s="0" t="n">
        <f aca="false">E5012*G5012</f>
        <v>0.375</v>
      </c>
      <c r="P5012" s="0" t="n">
        <f aca="false">E5012*H5012</f>
        <v>-0.125</v>
      </c>
      <c r="Q5012" s="0" t="n">
        <f aca="false">F5012*G5012</f>
        <v>0.5625</v>
      </c>
      <c r="R5012" s="0" t="n">
        <f aca="false">F5012*H5012</f>
        <v>-0.1875</v>
      </c>
      <c r="S5012" s="0" t="n">
        <f aca="false">G5012*H5012</f>
        <v>-0.1875</v>
      </c>
      <c r="T5012" s="0" t="n">
        <f aca="false">E5012*E5012</f>
        <v>0.25</v>
      </c>
      <c r="U5012" s="0" t="n">
        <f aca="false">F5012*F5012</f>
        <v>0.5625</v>
      </c>
      <c r="V5012" s="0" t="n">
        <f aca="false">G5012*G5012</f>
        <v>0.5625</v>
      </c>
      <c r="W5012" s="0" t="n">
        <f aca="false">H5012*H5012</f>
        <v>0.0625</v>
      </c>
      <c r="X5012" s="0" t="n">
        <f aca="false">SUMPRODUCT(I5012:W5012,_XtX!$B$96:$P$96)</f>
        <v>48.9358050073099</v>
      </c>
      <c r="Y5012" s="0" t="n">
        <f aca="false">SUMPRODUCT(MMULT(I5012:W5012,_XtX!$B$78:$P$92),I5012:W5012)</f>
        <v>0.257385610836988</v>
      </c>
      <c r="Z5012" s="0" t="n">
        <f aca="false">04_回帰ANOVA!$K$19*04_回帰ANOVA!$K$14*SQRT(1+Y5012)</f>
        <v>1.46161380324158</v>
      </c>
      <c r="AA5012" s="0" t="n">
        <f aca="false">X5012-Z5012</f>
        <v>47.4741912040683</v>
      </c>
      <c r="AB5012" s="0" t="n">
        <f aca="false">X5012+Z5012</f>
        <v>50.3974188105515</v>
      </c>
      <c r="AC5012" s="54" t="b">
        <f aca="false">AND(E5012&gt;=01_因子設定!$L$5-0.000000001,E5012&lt;=01_因子設定!$M$5+0.000000001,F5012&gt;=01_因子設定!$L$6-0.000000001,F5012&lt;=01_因子設定!$M$6+0.000000001,G5012&gt;=01_因子設定!$L$7-0.000000001,G5012&lt;=01_因子設定!$M$7+0.000000001,H5012&gt;=01_因子設定!$L$8-0.000000001,H5012&lt;=01_因子設定!$M$8+0.000000001,IF(01_因子設定!$B$20="Box-Behnken",E5012^2+F5012^2+G5012^2+H5012^2&lt;=2+0.000000001,TRUE()))</f>
        <v>1</v>
      </c>
      <c r="AD5012" s="55" t="n">
        <f aca="false">IF(AC5012,IF(01_因子設定!$B$13="最大化",AA5012-01_因子設定!$B$14,IF(01_因子設定!$B$13="最小化",01_因子設定!$B$15-AB5012,MIN(AA5012-01_因子設定!$B$14,01_因子設定!$B$15-AB5012))),-1E+030)</f>
        <v>0.974191204068319</v>
      </c>
      <c r="AE5012" s="55" t="n">
        <f aca="false">IF(AC5012,IF(01_因子設定!$B$13="最大化",X5012,IF(01_因子設定!$B$13="最小化",-X5012,-ABS(X5012-01_因子設定!$B$16))),-1E+030)</f>
        <v>48.9358050073099</v>
      </c>
      <c r="AF5012" s="55" t="n">
        <f aca="false">AD5012+ROW()*0.000000001</f>
        <v>0.974196216068319</v>
      </c>
      <c r="AG5012" s="55" t="n">
        <f aca="false">AE5012+ROW()*0.000000001</f>
        <v>48.9358100193099</v>
      </c>
    </row>
    <row r="5013" customFormat="false" ht="15" hidden="false" customHeight="false" outlineLevel="0" collapsed="false">
      <c r="A5013" s="0" t="n">
        <v>6</v>
      </c>
      <c r="B5013" s="0" t="n">
        <v>7</v>
      </c>
      <c r="C5013" s="0" t="n">
        <v>7</v>
      </c>
      <c r="D5013" s="0" t="n">
        <v>4</v>
      </c>
      <c r="E5013" s="0" t="n">
        <f aca="false">-1+A5013*0.25</f>
        <v>0.5</v>
      </c>
      <c r="F5013" s="0" t="n">
        <f aca="false">-1+B5013*0.25</f>
        <v>0.75</v>
      </c>
      <c r="G5013" s="0" t="n">
        <f aca="false">-1+C5013*0.25</f>
        <v>0.75</v>
      </c>
      <c r="H5013" s="0" t="n">
        <f aca="false">-1+D5013*0.25</f>
        <v>0</v>
      </c>
      <c r="I5013" s="0" t="n">
        <f aca="false">1</f>
        <v>1</v>
      </c>
      <c r="J5013" s="0" t="n">
        <f aca="false">E5013</f>
        <v>0.5</v>
      </c>
      <c r="K5013" s="0" t="n">
        <f aca="false">F5013</f>
        <v>0.75</v>
      </c>
      <c r="L5013" s="0" t="n">
        <f aca="false">G5013</f>
        <v>0.75</v>
      </c>
      <c r="M5013" s="0" t="n">
        <f aca="false">H5013</f>
        <v>0</v>
      </c>
      <c r="N5013" s="0" t="n">
        <f aca="false">E5013*F5013</f>
        <v>0.375</v>
      </c>
      <c r="O5013" s="0" t="n">
        <f aca="false">E5013*G5013</f>
        <v>0.375</v>
      </c>
      <c r="P5013" s="0" t="n">
        <f aca="false">E5013*H5013</f>
        <v>0</v>
      </c>
      <c r="Q5013" s="0" t="n">
        <f aca="false">F5013*G5013</f>
        <v>0.5625</v>
      </c>
      <c r="R5013" s="0" t="n">
        <f aca="false">F5013*H5013</f>
        <v>0</v>
      </c>
      <c r="S5013" s="0" t="n">
        <f aca="false">G5013*H5013</f>
        <v>0</v>
      </c>
      <c r="T5013" s="0" t="n">
        <f aca="false">E5013*E5013</f>
        <v>0.25</v>
      </c>
      <c r="U5013" s="0" t="n">
        <f aca="false">F5013*F5013</f>
        <v>0.5625</v>
      </c>
      <c r="V5013" s="0" t="n">
        <f aca="false">G5013*G5013</f>
        <v>0.5625</v>
      </c>
      <c r="W5013" s="0" t="n">
        <f aca="false">H5013*H5013</f>
        <v>0</v>
      </c>
      <c r="X5013" s="0" t="n">
        <f aca="false">SUMPRODUCT(I5013:W5013,_XtX!$B$96:$P$96)</f>
        <v>49.0907849049707</v>
      </c>
      <c r="Y5013" s="0" t="n">
        <f aca="false">SUMPRODUCT(MMULT(I5013:W5013,_XtX!$B$78:$P$92),I5013:W5013)</f>
        <v>0.269923873812135</v>
      </c>
      <c r="Z5013" s="0" t="n">
        <f aca="false">04_回帰ANOVA!$K$19*04_回帰ANOVA!$K$14*SQRT(1+Y5013)</f>
        <v>1.46888310825501</v>
      </c>
      <c r="AA5013" s="0" t="n">
        <f aca="false">X5013-Z5013</f>
        <v>47.6219017967157</v>
      </c>
      <c r="AB5013" s="0" t="n">
        <f aca="false">X5013+Z5013</f>
        <v>50.5596680132257</v>
      </c>
      <c r="AC5013" s="54" t="b">
        <f aca="false">AND(E5013&gt;=01_因子設定!$L$5-0.000000001,E5013&lt;=01_因子設定!$M$5+0.000000001,F5013&gt;=01_因子設定!$L$6-0.000000001,F5013&lt;=01_因子設定!$M$6+0.000000001,G5013&gt;=01_因子設定!$L$7-0.000000001,G5013&lt;=01_因子設定!$M$7+0.000000001,H5013&gt;=01_因子設定!$L$8-0.000000001,H5013&lt;=01_因子設定!$M$8+0.000000001,IF(01_因子設定!$B$20="Box-Behnken",E5013^2+F5013^2+G5013^2+H5013^2&lt;=2+0.000000001,TRUE()))</f>
        <v>1</v>
      </c>
      <c r="AD5013" s="55" t="n">
        <f aca="false">IF(AC5013,IF(01_因子設定!$B$13="最大化",AA5013-01_因子設定!$B$14,IF(01_因子設定!$B$13="最小化",01_因子設定!$B$15-AB5013,MIN(AA5013-01_因子設定!$B$14,01_因子設定!$B$15-AB5013))),-1E+030)</f>
        <v>1.12190179671571</v>
      </c>
      <c r="AE5013" s="55" t="n">
        <f aca="false">IF(AC5013,IF(01_因子設定!$B$13="最大化",X5013,IF(01_因子設定!$B$13="最小化",-X5013,-ABS(X5013-01_因子設定!$B$16))),-1E+030)</f>
        <v>49.0907849049707</v>
      </c>
      <c r="AF5013" s="55" t="n">
        <f aca="false">AD5013+ROW()*0.000000001</f>
        <v>1.12190680971571</v>
      </c>
      <c r="AG5013" s="55" t="n">
        <f aca="false">AE5013+ROW()*0.000000001</f>
        <v>49.0907899179707</v>
      </c>
    </row>
    <row r="5014" customFormat="false" ht="15" hidden="false" customHeight="false" outlineLevel="0" collapsed="false">
      <c r="A5014" s="0" t="n">
        <v>6</v>
      </c>
      <c r="B5014" s="0" t="n">
        <v>7</v>
      </c>
      <c r="C5014" s="0" t="n">
        <v>7</v>
      </c>
      <c r="D5014" s="0" t="n">
        <v>5</v>
      </c>
      <c r="E5014" s="0" t="n">
        <f aca="false">-1+A5014*0.25</f>
        <v>0.5</v>
      </c>
      <c r="F5014" s="0" t="n">
        <f aca="false">-1+B5014*0.25</f>
        <v>0.75</v>
      </c>
      <c r="G5014" s="0" t="n">
        <f aca="false">-1+C5014*0.25</f>
        <v>0.75</v>
      </c>
      <c r="H5014" s="0" t="n">
        <f aca="false">-1+D5014*0.25</f>
        <v>0.25</v>
      </c>
      <c r="I5014" s="0" t="n">
        <f aca="false">1</f>
        <v>1</v>
      </c>
      <c r="J5014" s="0" t="n">
        <f aca="false">E5014</f>
        <v>0.5</v>
      </c>
      <c r="K5014" s="0" t="n">
        <f aca="false">F5014</f>
        <v>0.75</v>
      </c>
      <c r="L5014" s="0" t="n">
        <f aca="false">G5014</f>
        <v>0.75</v>
      </c>
      <c r="M5014" s="0" t="n">
        <f aca="false">H5014</f>
        <v>0.25</v>
      </c>
      <c r="N5014" s="0" t="n">
        <f aca="false">E5014*F5014</f>
        <v>0.375</v>
      </c>
      <c r="O5014" s="0" t="n">
        <f aca="false">E5014*G5014</f>
        <v>0.375</v>
      </c>
      <c r="P5014" s="0" t="n">
        <f aca="false">E5014*H5014</f>
        <v>0.125</v>
      </c>
      <c r="Q5014" s="0" t="n">
        <f aca="false">F5014*G5014</f>
        <v>0.5625</v>
      </c>
      <c r="R5014" s="0" t="n">
        <f aca="false">F5014*H5014</f>
        <v>0.1875</v>
      </c>
      <c r="S5014" s="0" t="n">
        <f aca="false">G5014*H5014</f>
        <v>0.1875</v>
      </c>
      <c r="T5014" s="0" t="n">
        <f aca="false">E5014*E5014</f>
        <v>0.25</v>
      </c>
      <c r="U5014" s="0" t="n">
        <f aca="false">F5014*F5014</f>
        <v>0.5625</v>
      </c>
      <c r="V5014" s="0" t="n">
        <f aca="false">G5014*G5014</f>
        <v>0.5625</v>
      </c>
      <c r="W5014" s="0" t="n">
        <f aca="false">H5014*H5014</f>
        <v>0.0625</v>
      </c>
      <c r="X5014" s="0" t="n">
        <f aca="false">SUMPRODUCT(I5014:W5014,_XtX!$B$96:$P$96)</f>
        <v>49.1979577850877</v>
      </c>
      <c r="Y5014" s="0" t="n">
        <f aca="false">SUMPRODUCT(MMULT(I5014:W5014,_XtX!$B$78:$P$92),I5014:W5014)</f>
        <v>0.257385610836988</v>
      </c>
      <c r="Z5014" s="0" t="n">
        <f aca="false">04_回帰ANOVA!$K$19*04_回帰ANOVA!$K$14*SQRT(1+Y5014)</f>
        <v>1.46161380324158</v>
      </c>
      <c r="AA5014" s="0" t="n">
        <f aca="false">X5014-Z5014</f>
        <v>47.7363439818461</v>
      </c>
      <c r="AB5014" s="0" t="n">
        <f aca="false">X5014+Z5014</f>
        <v>50.6595715883293</v>
      </c>
      <c r="AC5014" s="54" t="b">
        <f aca="false">AND(E5014&gt;=01_因子設定!$L$5-0.000000001,E5014&lt;=01_因子設定!$M$5+0.000000001,F5014&gt;=01_因子設定!$L$6-0.000000001,F5014&lt;=01_因子設定!$M$6+0.000000001,G5014&gt;=01_因子設定!$L$7-0.000000001,G5014&lt;=01_因子設定!$M$7+0.000000001,H5014&gt;=01_因子設定!$L$8-0.000000001,H5014&lt;=01_因子設定!$M$8+0.000000001,IF(01_因子設定!$B$20="Box-Behnken",E5014^2+F5014^2+G5014^2+H5014^2&lt;=2+0.000000001,TRUE()))</f>
        <v>1</v>
      </c>
      <c r="AD5014" s="55" t="n">
        <f aca="false">IF(AC5014,IF(01_因子設定!$B$13="最大化",AA5014-01_因子設定!$B$14,IF(01_因子設定!$B$13="最小化",01_因子設定!$B$15-AB5014,MIN(AA5014-01_因子設定!$B$14,01_因子設定!$B$15-AB5014))),-1E+030)</f>
        <v>1.2363439818461</v>
      </c>
      <c r="AE5014" s="55" t="n">
        <f aca="false">IF(AC5014,IF(01_因子設定!$B$13="最大化",X5014,IF(01_因子設定!$B$13="最小化",-X5014,-ABS(X5014-01_因子設定!$B$16))),-1E+030)</f>
        <v>49.1979577850877</v>
      </c>
      <c r="AF5014" s="55" t="n">
        <f aca="false">AD5014+ROW()*0.000000001</f>
        <v>1.2363489958461</v>
      </c>
      <c r="AG5014" s="55" t="n">
        <f aca="false">AE5014+ROW()*0.000000001</f>
        <v>49.1979627990877</v>
      </c>
    </row>
    <row r="5015" customFormat="false" ht="15" hidden="false" customHeight="false" outlineLevel="0" collapsed="false">
      <c r="A5015" s="0" t="n">
        <v>6</v>
      </c>
      <c r="B5015" s="0" t="n">
        <v>7</v>
      </c>
      <c r="C5015" s="0" t="n">
        <v>7</v>
      </c>
      <c r="D5015" s="0" t="n">
        <v>6</v>
      </c>
      <c r="E5015" s="0" t="n">
        <f aca="false">-1+A5015*0.25</f>
        <v>0.5</v>
      </c>
      <c r="F5015" s="0" t="n">
        <f aca="false">-1+B5015*0.25</f>
        <v>0.75</v>
      </c>
      <c r="G5015" s="0" t="n">
        <f aca="false">-1+C5015*0.25</f>
        <v>0.75</v>
      </c>
      <c r="H5015" s="0" t="n">
        <f aca="false">-1+D5015*0.25</f>
        <v>0.5</v>
      </c>
      <c r="I5015" s="0" t="n">
        <f aca="false">1</f>
        <v>1</v>
      </c>
      <c r="J5015" s="0" t="n">
        <f aca="false">E5015</f>
        <v>0.5</v>
      </c>
      <c r="K5015" s="0" t="n">
        <f aca="false">F5015</f>
        <v>0.75</v>
      </c>
      <c r="L5015" s="0" t="n">
        <f aca="false">G5015</f>
        <v>0.75</v>
      </c>
      <c r="M5015" s="0" t="n">
        <f aca="false">H5015</f>
        <v>0.5</v>
      </c>
      <c r="N5015" s="0" t="n">
        <f aca="false">E5015*F5015</f>
        <v>0.375</v>
      </c>
      <c r="O5015" s="0" t="n">
        <f aca="false">E5015*G5015</f>
        <v>0.375</v>
      </c>
      <c r="P5015" s="0" t="n">
        <f aca="false">E5015*H5015</f>
        <v>0.25</v>
      </c>
      <c r="Q5015" s="0" t="n">
        <f aca="false">F5015*G5015</f>
        <v>0.5625</v>
      </c>
      <c r="R5015" s="0" t="n">
        <f aca="false">F5015*H5015</f>
        <v>0.375</v>
      </c>
      <c r="S5015" s="0" t="n">
        <f aca="false">G5015*H5015</f>
        <v>0.375</v>
      </c>
      <c r="T5015" s="0" t="n">
        <f aca="false">E5015*E5015</f>
        <v>0.25</v>
      </c>
      <c r="U5015" s="0" t="n">
        <f aca="false">F5015*F5015</f>
        <v>0.5625</v>
      </c>
      <c r="V5015" s="0" t="n">
        <f aca="false">G5015*G5015</f>
        <v>0.5625</v>
      </c>
      <c r="W5015" s="0" t="n">
        <f aca="false">H5015*H5015</f>
        <v>0.25</v>
      </c>
      <c r="X5015" s="0" t="n">
        <f aca="false">SUMPRODUCT(I5015:W5015,_XtX!$B$96:$P$96)</f>
        <v>49.2573236476608</v>
      </c>
      <c r="Y5015" s="0" t="n">
        <f aca="false">SUMPRODUCT(MMULT(I5015:W5015,_XtX!$B$78:$P$92),I5015:W5015)</f>
        <v>0.237862927174708</v>
      </c>
      <c r="Z5015" s="0" t="n">
        <f aca="false">04_回帰ANOVA!$K$19*04_回帰ANOVA!$K$14*SQRT(1+Y5015)</f>
        <v>1.45022260708756</v>
      </c>
      <c r="AA5015" s="0" t="n">
        <f aca="false">X5015-Z5015</f>
        <v>47.8071010405732</v>
      </c>
      <c r="AB5015" s="0" t="n">
        <f aca="false">X5015+Z5015</f>
        <v>50.7075462547483</v>
      </c>
      <c r="AC5015" s="54" t="b">
        <f aca="false">AND(E5015&gt;=01_因子設定!$L$5-0.000000001,E5015&lt;=01_因子設定!$M$5+0.000000001,F5015&gt;=01_因子設定!$L$6-0.000000001,F5015&lt;=01_因子設定!$M$6+0.000000001,G5015&gt;=01_因子設定!$L$7-0.000000001,G5015&lt;=01_因子設定!$M$7+0.000000001,H5015&gt;=01_因子設定!$L$8-0.000000001,H5015&lt;=01_因子設定!$M$8+0.000000001,IF(01_因子設定!$B$20="Box-Behnken",E5015^2+F5015^2+G5015^2+H5015^2&lt;=2+0.000000001,TRUE()))</f>
        <v>1</v>
      </c>
      <c r="AD5015" s="55" t="n">
        <f aca="false">IF(AC5015,IF(01_因子設定!$B$13="最大化",AA5015-01_因子設定!$B$14,IF(01_因子設定!$B$13="最小化",01_因子設定!$B$15-AB5015,MIN(AA5015-01_因子設定!$B$14,01_因子設定!$B$15-AB5015))),-1E+030)</f>
        <v>1.30710104057322</v>
      </c>
      <c r="AE5015" s="55" t="n">
        <f aca="false">IF(AC5015,IF(01_因子設定!$B$13="最大化",X5015,IF(01_因子設定!$B$13="最小化",-X5015,-ABS(X5015-01_因子設定!$B$16))),-1E+030)</f>
        <v>49.2573236476608</v>
      </c>
      <c r="AF5015" s="55" t="n">
        <f aca="false">AD5015+ROW()*0.000000001</f>
        <v>1.30710605557322</v>
      </c>
      <c r="AG5015" s="55" t="n">
        <f aca="false">AE5015+ROW()*0.000000001</f>
        <v>49.2573286626608</v>
      </c>
    </row>
    <row r="5016" customFormat="false" ht="15" hidden="false" customHeight="false" outlineLevel="0" collapsed="false">
      <c r="A5016" s="0" t="n">
        <v>6</v>
      </c>
      <c r="B5016" s="0" t="n">
        <v>7</v>
      </c>
      <c r="C5016" s="0" t="n">
        <v>7</v>
      </c>
      <c r="D5016" s="0" t="n">
        <v>7</v>
      </c>
      <c r="E5016" s="0" t="n">
        <f aca="false">-1+A5016*0.25</f>
        <v>0.5</v>
      </c>
      <c r="F5016" s="0" t="n">
        <f aca="false">-1+B5016*0.25</f>
        <v>0.75</v>
      </c>
      <c r="G5016" s="0" t="n">
        <f aca="false">-1+C5016*0.25</f>
        <v>0.75</v>
      </c>
      <c r="H5016" s="0" t="n">
        <f aca="false">-1+D5016*0.25</f>
        <v>0.75</v>
      </c>
      <c r="I5016" s="0" t="n">
        <f aca="false">1</f>
        <v>1</v>
      </c>
      <c r="J5016" s="0" t="n">
        <f aca="false">E5016</f>
        <v>0.5</v>
      </c>
      <c r="K5016" s="0" t="n">
        <f aca="false">F5016</f>
        <v>0.75</v>
      </c>
      <c r="L5016" s="0" t="n">
        <f aca="false">G5016</f>
        <v>0.75</v>
      </c>
      <c r="M5016" s="0" t="n">
        <f aca="false">H5016</f>
        <v>0.75</v>
      </c>
      <c r="N5016" s="0" t="n">
        <f aca="false">E5016*F5016</f>
        <v>0.375</v>
      </c>
      <c r="O5016" s="0" t="n">
        <f aca="false">E5016*G5016</f>
        <v>0.375</v>
      </c>
      <c r="P5016" s="0" t="n">
        <f aca="false">E5016*H5016</f>
        <v>0.375</v>
      </c>
      <c r="Q5016" s="0" t="n">
        <f aca="false">F5016*G5016</f>
        <v>0.5625</v>
      </c>
      <c r="R5016" s="0" t="n">
        <f aca="false">F5016*H5016</f>
        <v>0.5625</v>
      </c>
      <c r="S5016" s="0" t="n">
        <f aca="false">G5016*H5016</f>
        <v>0.5625</v>
      </c>
      <c r="T5016" s="0" t="n">
        <f aca="false">E5016*E5016</f>
        <v>0.25</v>
      </c>
      <c r="U5016" s="0" t="n">
        <f aca="false">F5016*F5016</f>
        <v>0.5625</v>
      </c>
      <c r="V5016" s="0" t="n">
        <f aca="false">G5016*G5016</f>
        <v>0.5625</v>
      </c>
      <c r="W5016" s="0" t="n">
        <f aca="false">H5016*H5016</f>
        <v>0.5625</v>
      </c>
      <c r="X5016" s="0" t="n">
        <f aca="false">SUMPRODUCT(I5016:W5016,_XtX!$B$96:$P$96)</f>
        <v>49.26888249269</v>
      </c>
      <c r="Y5016" s="0" t="n">
        <f aca="false">SUMPRODUCT(MMULT(I5016:W5016,_XtX!$B$78:$P$92),I5016:W5016)</f>
        <v>0.265632138614766</v>
      </c>
      <c r="Z5016" s="0" t="n">
        <f aca="false">04_回帰ANOVA!$K$19*04_回帰ANOVA!$K$14*SQRT(1+Y5016)</f>
        <v>1.46639894654257</v>
      </c>
      <c r="AA5016" s="0" t="n">
        <f aca="false">X5016-Z5016</f>
        <v>47.8024835461475</v>
      </c>
      <c r="AB5016" s="0" t="n">
        <f aca="false">X5016+Z5016</f>
        <v>50.7352814392326</v>
      </c>
      <c r="AC5016" s="54" t="b">
        <f aca="false">AND(E5016&gt;=01_因子設定!$L$5-0.000000001,E5016&lt;=01_因子設定!$M$5+0.000000001,F5016&gt;=01_因子設定!$L$6-0.000000001,F5016&lt;=01_因子設定!$M$6+0.000000001,G5016&gt;=01_因子設定!$L$7-0.000000001,G5016&lt;=01_因子設定!$M$7+0.000000001,H5016&gt;=01_因子設定!$L$8-0.000000001,H5016&lt;=01_因子設定!$M$8+0.000000001,IF(01_因子設定!$B$20="Box-Behnken",E5016^2+F5016^2+G5016^2+H5016^2&lt;=2+0.000000001,TRUE()))</f>
        <v>1</v>
      </c>
      <c r="AD5016" s="55" t="n">
        <f aca="false">IF(AC5016,IF(01_因子設定!$B$13="最大化",AA5016-01_因子設定!$B$14,IF(01_因子設定!$B$13="最小化",01_因子設定!$B$15-AB5016,MIN(AA5016-01_因子設定!$B$14,01_因子設定!$B$15-AB5016))),-1E+030)</f>
        <v>1.30248354614746</v>
      </c>
      <c r="AE5016" s="55" t="n">
        <f aca="false">IF(AC5016,IF(01_因子設定!$B$13="最大化",X5016,IF(01_因子設定!$B$13="最小化",-X5016,-ABS(X5016-01_因子設定!$B$16))),-1E+030)</f>
        <v>49.26888249269</v>
      </c>
      <c r="AF5016" s="55" t="n">
        <f aca="false">AD5016+ROW()*0.000000001</f>
        <v>1.30248856214746</v>
      </c>
      <c r="AG5016" s="55" t="n">
        <f aca="false">AE5016+ROW()*0.000000001</f>
        <v>49.26888750869</v>
      </c>
    </row>
    <row r="5017" customFormat="false" ht="15" hidden="false" customHeight="false" outlineLevel="0" collapsed="false">
      <c r="A5017" s="0" t="n">
        <v>6</v>
      </c>
      <c r="B5017" s="0" t="n">
        <v>7</v>
      </c>
      <c r="C5017" s="0" t="n">
        <v>7</v>
      </c>
      <c r="D5017" s="0" t="n">
        <v>8</v>
      </c>
      <c r="E5017" s="0" t="n">
        <f aca="false">-1+A5017*0.25</f>
        <v>0.5</v>
      </c>
      <c r="F5017" s="0" t="n">
        <f aca="false">-1+B5017*0.25</f>
        <v>0.75</v>
      </c>
      <c r="G5017" s="0" t="n">
        <f aca="false">-1+C5017*0.25</f>
        <v>0.75</v>
      </c>
      <c r="H5017" s="0" t="n">
        <f aca="false">-1+D5017*0.25</f>
        <v>1</v>
      </c>
      <c r="I5017" s="0" t="n">
        <f aca="false">1</f>
        <v>1</v>
      </c>
      <c r="J5017" s="0" t="n">
        <f aca="false">E5017</f>
        <v>0.5</v>
      </c>
      <c r="K5017" s="0" t="n">
        <f aca="false">F5017</f>
        <v>0.75</v>
      </c>
      <c r="L5017" s="0" t="n">
        <f aca="false">G5017</f>
        <v>0.75</v>
      </c>
      <c r="M5017" s="0" t="n">
        <f aca="false">H5017</f>
        <v>1</v>
      </c>
      <c r="N5017" s="0" t="n">
        <f aca="false">E5017*F5017</f>
        <v>0.375</v>
      </c>
      <c r="O5017" s="0" t="n">
        <f aca="false">E5017*G5017</f>
        <v>0.375</v>
      </c>
      <c r="P5017" s="0" t="n">
        <f aca="false">E5017*H5017</f>
        <v>0.5</v>
      </c>
      <c r="Q5017" s="0" t="n">
        <f aca="false">F5017*G5017</f>
        <v>0.5625</v>
      </c>
      <c r="R5017" s="0" t="n">
        <f aca="false">F5017*H5017</f>
        <v>0.75</v>
      </c>
      <c r="S5017" s="0" t="n">
        <f aca="false">G5017*H5017</f>
        <v>0.75</v>
      </c>
      <c r="T5017" s="0" t="n">
        <f aca="false">E5017*E5017</f>
        <v>0.25</v>
      </c>
      <c r="U5017" s="0" t="n">
        <f aca="false">F5017*F5017</f>
        <v>0.5625</v>
      </c>
      <c r="V5017" s="0" t="n">
        <f aca="false">G5017*G5017</f>
        <v>0.5625</v>
      </c>
      <c r="W5017" s="0" t="n">
        <f aca="false">H5017*H5017</f>
        <v>1</v>
      </c>
      <c r="X5017" s="0" t="n">
        <f aca="false">SUMPRODUCT(I5017:W5017,_XtX!$B$96:$P$96)</f>
        <v>49.2326343201754</v>
      </c>
      <c r="Y5017" s="0" t="n">
        <f aca="false">SUMPRODUCT(MMULT(I5017:W5017,_XtX!$B$78:$P$92),I5017:W5017)</f>
        <v>0.431153771472953</v>
      </c>
      <c r="Z5017" s="0" t="n">
        <f aca="false">04_回帰ANOVA!$K$19*04_回帰ANOVA!$K$14*SQRT(1+Y5017)</f>
        <v>1.55934259562563</v>
      </c>
      <c r="AA5017" s="0" t="n">
        <f aca="false">X5017-Z5017</f>
        <v>47.6732917245498</v>
      </c>
      <c r="AB5017" s="0" t="n">
        <f aca="false">X5017+Z5017</f>
        <v>50.7919769158011</v>
      </c>
      <c r="AC5017" s="54" t="b">
        <f aca="false">AND(E5017&gt;=01_因子設定!$L$5-0.000000001,E5017&lt;=01_因子設定!$M$5+0.000000001,F5017&gt;=01_因子設定!$L$6-0.000000001,F5017&lt;=01_因子設定!$M$6+0.000000001,G5017&gt;=01_因子設定!$L$7-0.000000001,G5017&lt;=01_因子設定!$M$7+0.000000001,H5017&gt;=01_因子設定!$L$8-0.000000001,H5017&lt;=01_因子設定!$M$8+0.000000001,IF(01_因子設定!$B$20="Box-Behnken",E5017^2+F5017^2+G5017^2+H5017^2&lt;=2+0.000000001,TRUE()))</f>
        <v>1</v>
      </c>
      <c r="AD5017" s="55" t="n">
        <f aca="false">IF(AC5017,IF(01_因子設定!$B$13="最大化",AA5017-01_因子設定!$B$14,IF(01_因子設定!$B$13="最小化",01_因子設定!$B$15-AB5017,MIN(AA5017-01_因子設定!$B$14,01_因子設定!$B$15-AB5017))),-1E+030)</f>
        <v>1.17329172454981</v>
      </c>
      <c r="AE5017" s="55" t="n">
        <f aca="false">IF(AC5017,IF(01_因子設定!$B$13="最大化",X5017,IF(01_因子設定!$B$13="最小化",-X5017,-ABS(X5017-01_因子設定!$B$16))),-1E+030)</f>
        <v>49.2326343201754</v>
      </c>
      <c r="AF5017" s="55" t="n">
        <f aca="false">AD5017+ROW()*0.000000001</f>
        <v>1.17329674154981</v>
      </c>
      <c r="AG5017" s="55" t="n">
        <f aca="false">AE5017+ROW()*0.000000001</f>
        <v>49.2326393371754</v>
      </c>
    </row>
    <row r="5018" customFormat="false" ht="15" hidden="false" customHeight="false" outlineLevel="0" collapsed="false">
      <c r="A5018" s="0" t="n">
        <v>6</v>
      </c>
      <c r="B5018" s="0" t="n">
        <v>7</v>
      </c>
      <c r="C5018" s="0" t="n">
        <v>8</v>
      </c>
      <c r="D5018" s="0" t="n">
        <v>0</v>
      </c>
      <c r="E5018" s="0" t="n">
        <f aca="false">-1+A5018*0.25</f>
        <v>0.5</v>
      </c>
      <c r="F5018" s="0" t="n">
        <f aca="false">-1+B5018*0.25</f>
        <v>0.75</v>
      </c>
      <c r="G5018" s="0" t="n">
        <f aca="false">-1+C5018*0.25</f>
        <v>1</v>
      </c>
      <c r="H5018" s="0" t="n">
        <f aca="false">-1+D5018*0.25</f>
        <v>-1</v>
      </c>
      <c r="I5018" s="0" t="n">
        <f aca="false">1</f>
        <v>1</v>
      </c>
      <c r="J5018" s="0" t="n">
        <f aca="false">E5018</f>
        <v>0.5</v>
      </c>
      <c r="K5018" s="0" t="n">
        <f aca="false">F5018</f>
        <v>0.75</v>
      </c>
      <c r="L5018" s="0" t="n">
        <f aca="false">G5018</f>
        <v>1</v>
      </c>
      <c r="M5018" s="0" t="n">
        <f aca="false">H5018</f>
        <v>-1</v>
      </c>
      <c r="N5018" s="0" t="n">
        <f aca="false">E5018*F5018</f>
        <v>0.375</v>
      </c>
      <c r="O5018" s="0" t="n">
        <f aca="false">E5018*G5018</f>
        <v>0.5</v>
      </c>
      <c r="P5018" s="0" t="n">
        <f aca="false">E5018*H5018</f>
        <v>-0.5</v>
      </c>
      <c r="Q5018" s="0" t="n">
        <f aca="false">F5018*G5018</f>
        <v>0.75</v>
      </c>
      <c r="R5018" s="0" t="n">
        <f aca="false">F5018*H5018</f>
        <v>-0.75</v>
      </c>
      <c r="S5018" s="0" t="n">
        <f aca="false">G5018*H5018</f>
        <v>-1</v>
      </c>
      <c r="T5018" s="0" t="n">
        <f aca="false">E5018*E5018</f>
        <v>0.25</v>
      </c>
      <c r="U5018" s="0" t="n">
        <f aca="false">F5018*F5018</f>
        <v>0.5625</v>
      </c>
      <c r="V5018" s="0" t="n">
        <f aca="false">G5018*G5018</f>
        <v>1</v>
      </c>
      <c r="W5018" s="0" t="n">
        <f aca="false">H5018*H5018</f>
        <v>1</v>
      </c>
      <c r="X5018" s="0" t="n">
        <f aca="false">SUMPRODUCT(I5018:W5018,_XtX!$B$96:$P$96)</f>
        <v>48.0367507309942</v>
      </c>
      <c r="Y5018" s="0" t="n">
        <f aca="false">SUMPRODUCT(MMULT(I5018:W5018,_XtX!$B$78:$P$92),I5018:W5018)</f>
        <v>0.564984237938597</v>
      </c>
      <c r="Z5018" s="0" t="n">
        <f aca="false">04_回帰ANOVA!$K$19*04_回帰ANOVA!$K$14*SQRT(1+Y5018)</f>
        <v>1.63062229734503</v>
      </c>
      <c r="AA5018" s="0" t="n">
        <f aca="false">X5018-Z5018</f>
        <v>46.4061284336491</v>
      </c>
      <c r="AB5018" s="0" t="n">
        <f aca="false">X5018+Z5018</f>
        <v>49.6673730283392</v>
      </c>
      <c r="AC5018" s="54" t="b">
        <f aca="false">AND(E5018&gt;=01_因子設定!$L$5-0.000000001,E5018&lt;=01_因子設定!$M$5+0.000000001,F5018&gt;=01_因子設定!$L$6-0.000000001,F5018&lt;=01_因子設定!$M$6+0.000000001,G5018&gt;=01_因子設定!$L$7-0.000000001,G5018&lt;=01_因子設定!$M$7+0.000000001,H5018&gt;=01_因子設定!$L$8-0.000000001,H5018&lt;=01_因子設定!$M$8+0.000000001,IF(01_因子設定!$B$20="Box-Behnken",E5018^2+F5018^2+G5018^2+H5018^2&lt;=2+0.000000001,TRUE()))</f>
        <v>1</v>
      </c>
      <c r="AD5018" s="55" t="n">
        <f aca="false">IF(AC5018,IF(01_因子設定!$B$13="最大化",AA5018-01_因子設定!$B$14,IF(01_因子設定!$B$13="最小化",01_因子設定!$B$15-AB5018,MIN(AA5018-01_因子設定!$B$14,01_因子設定!$B$15-AB5018))),-1E+030)</f>
        <v>-0.0938715663508845</v>
      </c>
      <c r="AE5018" s="55" t="n">
        <f aca="false">IF(AC5018,IF(01_因子設定!$B$13="最大化",X5018,IF(01_因子設定!$B$13="最小化",-X5018,-ABS(X5018-01_因子設定!$B$16))),-1E+030)</f>
        <v>48.0367507309942</v>
      </c>
      <c r="AF5018" s="55" t="n">
        <f aca="false">AD5018+ROW()*0.000000001</f>
        <v>-0.0938665483508845</v>
      </c>
      <c r="AG5018" s="55" t="n">
        <f aca="false">AE5018+ROW()*0.000000001</f>
        <v>48.0367557489942</v>
      </c>
    </row>
    <row r="5019" customFormat="false" ht="15" hidden="false" customHeight="false" outlineLevel="0" collapsed="false">
      <c r="A5019" s="0" t="n">
        <v>6</v>
      </c>
      <c r="B5019" s="0" t="n">
        <v>7</v>
      </c>
      <c r="C5019" s="0" t="n">
        <v>8</v>
      </c>
      <c r="D5019" s="0" t="n">
        <v>1</v>
      </c>
      <c r="E5019" s="0" t="n">
        <f aca="false">-1+A5019*0.25</f>
        <v>0.5</v>
      </c>
      <c r="F5019" s="0" t="n">
        <f aca="false">-1+B5019*0.25</f>
        <v>0.75</v>
      </c>
      <c r="G5019" s="0" t="n">
        <f aca="false">-1+C5019*0.25</f>
        <v>1</v>
      </c>
      <c r="H5019" s="0" t="n">
        <f aca="false">-1+D5019*0.25</f>
        <v>-0.75</v>
      </c>
      <c r="I5019" s="0" t="n">
        <f aca="false">1</f>
        <v>1</v>
      </c>
      <c r="J5019" s="0" t="n">
        <f aca="false">E5019</f>
        <v>0.5</v>
      </c>
      <c r="K5019" s="0" t="n">
        <f aca="false">F5019</f>
        <v>0.75</v>
      </c>
      <c r="L5019" s="0" t="n">
        <f aca="false">G5019</f>
        <v>1</v>
      </c>
      <c r="M5019" s="0" t="n">
        <f aca="false">H5019</f>
        <v>-0.75</v>
      </c>
      <c r="N5019" s="0" t="n">
        <f aca="false">E5019*F5019</f>
        <v>0.375</v>
      </c>
      <c r="O5019" s="0" t="n">
        <f aca="false">E5019*G5019</f>
        <v>0.5</v>
      </c>
      <c r="P5019" s="0" t="n">
        <f aca="false">E5019*H5019</f>
        <v>-0.375</v>
      </c>
      <c r="Q5019" s="0" t="n">
        <f aca="false">F5019*G5019</f>
        <v>0.75</v>
      </c>
      <c r="R5019" s="0" t="n">
        <f aca="false">F5019*H5019</f>
        <v>-0.5625</v>
      </c>
      <c r="S5019" s="0" t="n">
        <f aca="false">G5019*H5019</f>
        <v>-0.75</v>
      </c>
      <c r="T5019" s="0" t="n">
        <f aca="false">E5019*E5019</f>
        <v>0.25</v>
      </c>
      <c r="U5019" s="0" t="n">
        <f aca="false">F5019*F5019</f>
        <v>0.5625</v>
      </c>
      <c r="V5019" s="0" t="n">
        <f aca="false">G5019*G5019</f>
        <v>1</v>
      </c>
      <c r="W5019" s="0" t="n">
        <f aca="false">H5019*H5019</f>
        <v>0.5625</v>
      </c>
      <c r="X5019" s="0" t="n">
        <f aca="false">SUMPRODUCT(I5019:W5019,_XtX!$B$96:$P$96)</f>
        <v>48.3531204312865</v>
      </c>
      <c r="Y5019" s="0" t="n">
        <f aca="false">SUMPRODUCT(MMULT(I5019:W5019,_XtX!$B$78:$P$92),I5019:W5019)</f>
        <v>0.431153771472953</v>
      </c>
      <c r="Z5019" s="0" t="n">
        <f aca="false">04_回帰ANOVA!$K$19*04_回帰ANOVA!$K$14*SQRT(1+Y5019)</f>
        <v>1.55934259562563</v>
      </c>
      <c r="AA5019" s="0" t="n">
        <f aca="false">X5019-Z5019</f>
        <v>46.7937778356609</v>
      </c>
      <c r="AB5019" s="0" t="n">
        <f aca="false">X5019+Z5019</f>
        <v>49.9124630269122</v>
      </c>
      <c r="AC5019" s="54" t="b">
        <f aca="false">AND(E5019&gt;=01_因子設定!$L$5-0.000000001,E5019&lt;=01_因子設定!$M$5+0.000000001,F5019&gt;=01_因子設定!$L$6-0.000000001,F5019&lt;=01_因子設定!$M$6+0.000000001,G5019&gt;=01_因子設定!$L$7-0.000000001,G5019&lt;=01_因子設定!$M$7+0.000000001,H5019&gt;=01_因子設定!$L$8-0.000000001,H5019&lt;=01_因子設定!$M$8+0.000000001,IF(01_因子設定!$B$20="Box-Behnken",E5019^2+F5019^2+G5019^2+H5019^2&lt;=2+0.000000001,TRUE()))</f>
        <v>1</v>
      </c>
      <c r="AD5019" s="55" t="n">
        <f aca="false">IF(AC5019,IF(01_因子設定!$B$13="最大化",AA5019-01_因子設定!$B$14,IF(01_因子設定!$B$13="最小化",01_因子設定!$B$15-AB5019,MIN(AA5019-01_因子設定!$B$14,01_因子設定!$B$15-AB5019))),-1E+030)</f>
        <v>0.293777835660904</v>
      </c>
      <c r="AE5019" s="55" t="n">
        <f aca="false">IF(AC5019,IF(01_因子設定!$B$13="最大化",X5019,IF(01_因子設定!$B$13="最小化",-X5019,-ABS(X5019-01_因子設定!$B$16))),-1E+030)</f>
        <v>48.3531204312865</v>
      </c>
      <c r="AF5019" s="55" t="n">
        <f aca="false">AD5019+ROW()*0.000000001</f>
        <v>0.293782854660904</v>
      </c>
      <c r="AG5019" s="55" t="n">
        <f aca="false">AE5019+ROW()*0.000000001</f>
        <v>48.3531254502865</v>
      </c>
    </row>
    <row r="5020" customFormat="false" ht="15" hidden="false" customHeight="false" outlineLevel="0" collapsed="false">
      <c r="A5020" s="0" t="n">
        <v>6</v>
      </c>
      <c r="B5020" s="0" t="n">
        <v>7</v>
      </c>
      <c r="C5020" s="0" t="n">
        <v>8</v>
      </c>
      <c r="D5020" s="0" t="n">
        <v>2</v>
      </c>
      <c r="E5020" s="0" t="n">
        <f aca="false">-1+A5020*0.25</f>
        <v>0.5</v>
      </c>
      <c r="F5020" s="0" t="n">
        <f aca="false">-1+B5020*0.25</f>
        <v>0.75</v>
      </c>
      <c r="G5020" s="0" t="n">
        <f aca="false">-1+C5020*0.25</f>
        <v>1</v>
      </c>
      <c r="H5020" s="0" t="n">
        <f aca="false">-1+D5020*0.25</f>
        <v>-0.5</v>
      </c>
      <c r="I5020" s="0" t="n">
        <f aca="false">1</f>
        <v>1</v>
      </c>
      <c r="J5020" s="0" t="n">
        <f aca="false">E5020</f>
        <v>0.5</v>
      </c>
      <c r="K5020" s="0" t="n">
        <f aca="false">F5020</f>
        <v>0.75</v>
      </c>
      <c r="L5020" s="0" t="n">
        <f aca="false">G5020</f>
        <v>1</v>
      </c>
      <c r="M5020" s="0" t="n">
        <f aca="false">H5020</f>
        <v>-0.5</v>
      </c>
      <c r="N5020" s="0" t="n">
        <f aca="false">E5020*F5020</f>
        <v>0.375</v>
      </c>
      <c r="O5020" s="0" t="n">
        <f aca="false">E5020*G5020</f>
        <v>0.5</v>
      </c>
      <c r="P5020" s="0" t="n">
        <f aca="false">E5020*H5020</f>
        <v>-0.25</v>
      </c>
      <c r="Q5020" s="0" t="n">
        <f aca="false">F5020*G5020</f>
        <v>0.75</v>
      </c>
      <c r="R5020" s="0" t="n">
        <f aca="false">F5020*H5020</f>
        <v>-0.375</v>
      </c>
      <c r="S5020" s="0" t="n">
        <f aca="false">G5020*H5020</f>
        <v>-0.5</v>
      </c>
      <c r="T5020" s="0" t="n">
        <f aca="false">E5020*E5020</f>
        <v>0.25</v>
      </c>
      <c r="U5020" s="0" t="n">
        <f aca="false">F5020*F5020</f>
        <v>0.5625</v>
      </c>
      <c r="V5020" s="0" t="n">
        <f aca="false">G5020*G5020</f>
        <v>1</v>
      </c>
      <c r="W5020" s="0" t="n">
        <f aca="false">H5020*H5020</f>
        <v>0.25</v>
      </c>
      <c r="X5020" s="0" t="n">
        <f aca="false">SUMPRODUCT(I5020:W5020,_XtX!$B$96:$P$96)</f>
        <v>48.6216831140351</v>
      </c>
      <c r="Y5020" s="0" t="n">
        <f aca="false">SUMPRODUCT(MMULT(I5020:W5020,_XtX!$B$78:$P$92),I5020:W5020)</f>
        <v>0.42602110745614</v>
      </c>
      <c r="Z5020" s="0" t="n">
        <f aca="false">04_回帰ANOVA!$K$19*04_回帰ANOVA!$K$14*SQRT(1+Y5020)</f>
        <v>1.55654388501114</v>
      </c>
      <c r="AA5020" s="0" t="n">
        <f aca="false">X5020-Z5020</f>
        <v>47.0651392290239</v>
      </c>
      <c r="AB5020" s="0" t="n">
        <f aca="false">X5020+Z5020</f>
        <v>50.1782269990462</v>
      </c>
      <c r="AC5020" s="54" t="b">
        <f aca="false">AND(E5020&gt;=01_因子設定!$L$5-0.000000001,E5020&lt;=01_因子設定!$M$5+0.000000001,F5020&gt;=01_因子設定!$L$6-0.000000001,F5020&lt;=01_因子設定!$M$6+0.000000001,G5020&gt;=01_因子設定!$L$7-0.000000001,G5020&lt;=01_因子設定!$M$7+0.000000001,H5020&gt;=01_因子設定!$L$8-0.000000001,H5020&lt;=01_因子設定!$M$8+0.000000001,IF(01_因子設定!$B$20="Box-Behnken",E5020^2+F5020^2+G5020^2+H5020^2&lt;=2+0.000000001,TRUE()))</f>
        <v>1</v>
      </c>
      <c r="AD5020" s="55" t="n">
        <f aca="false">IF(AC5020,IF(01_因子設定!$B$13="最大化",AA5020-01_因子設定!$B$14,IF(01_因子設定!$B$13="最小化",01_因子設定!$B$15-AB5020,MIN(AA5020-01_因子設定!$B$14,01_因子設定!$B$15-AB5020))),-1E+030)</f>
        <v>0.56513922902392</v>
      </c>
      <c r="AE5020" s="55" t="n">
        <f aca="false">IF(AC5020,IF(01_因子設定!$B$13="最大化",X5020,IF(01_因子設定!$B$13="最小化",-X5020,-ABS(X5020-01_因子設定!$B$16))),-1E+030)</f>
        <v>48.6216831140351</v>
      </c>
      <c r="AF5020" s="55" t="n">
        <f aca="false">AD5020+ROW()*0.000000001</f>
        <v>0.56514424902392</v>
      </c>
      <c r="AG5020" s="55" t="n">
        <f aca="false">AE5020+ROW()*0.000000001</f>
        <v>48.6216881340351</v>
      </c>
    </row>
    <row r="5021" customFormat="false" ht="15" hidden="false" customHeight="false" outlineLevel="0" collapsed="false">
      <c r="A5021" s="0" t="n">
        <v>6</v>
      </c>
      <c r="B5021" s="0" t="n">
        <v>7</v>
      </c>
      <c r="C5021" s="0" t="n">
        <v>8</v>
      </c>
      <c r="D5021" s="0" t="n">
        <v>3</v>
      </c>
      <c r="E5021" s="0" t="n">
        <f aca="false">-1+A5021*0.25</f>
        <v>0.5</v>
      </c>
      <c r="F5021" s="0" t="n">
        <f aca="false">-1+B5021*0.25</f>
        <v>0.75</v>
      </c>
      <c r="G5021" s="0" t="n">
        <f aca="false">-1+C5021*0.25</f>
        <v>1</v>
      </c>
      <c r="H5021" s="0" t="n">
        <f aca="false">-1+D5021*0.25</f>
        <v>-0.25</v>
      </c>
      <c r="I5021" s="0" t="n">
        <f aca="false">1</f>
        <v>1</v>
      </c>
      <c r="J5021" s="0" t="n">
        <f aca="false">E5021</f>
        <v>0.5</v>
      </c>
      <c r="K5021" s="0" t="n">
        <f aca="false">F5021</f>
        <v>0.75</v>
      </c>
      <c r="L5021" s="0" t="n">
        <f aca="false">G5021</f>
        <v>1</v>
      </c>
      <c r="M5021" s="0" t="n">
        <f aca="false">H5021</f>
        <v>-0.25</v>
      </c>
      <c r="N5021" s="0" t="n">
        <f aca="false">E5021*F5021</f>
        <v>0.375</v>
      </c>
      <c r="O5021" s="0" t="n">
        <f aca="false">E5021*G5021</f>
        <v>0.5</v>
      </c>
      <c r="P5021" s="0" t="n">
        <f aca="false">E5021*H5021</f>
        <v>-0.125</v>
      </c>
      <c r="Q5021" s="0" t="n">
        <f aca="false">F5021*G5021</f>
        <v>0.75</v>
      </c>
      <c r="R5021" s="0" t="n">
        <f aca="false">F5021*H5021</f>
        <v>-0.1875</v>
      </c>
      <c r="S5021" s="0" t="n">
        <f aca="false">G5021*H5021</f>
        <v>-0.25</v>
      </c>
      <c r="T5021" s="0" t="n">
        <f aca="false">E5021*E5021</f>
        <v>0.25</v>
      </c>
      <c r="U5021" s="0" t="n">
        <f aca="false">F5021*F5021</f>
        <v>0.5625</v>
      </c>
      <c r="V5021" s="0" t="n">
        <f aca="false">G5021*G5021</f>
        <v>1</v>
      </c>
      <c r="W5021" s="0" t="n">
        <f aca="false">H5021*H5021</f>
        <v>0.0625</v>
      </c>
      <c r="X5021" s="0" t="n">
        <f aca="false">SUMPRODUCT(I5021:W5021,_XtX!$B$96:$P$96)</f>
        <v>48.8424387792397</v>
      </c>
      <c r="Y5021" s="0" t="n">
        <f aca="false">SUMPRODUCT(MMULT(I5021:W5021,_XtX!$B$78:$P$92),I5021:W5021)</f>
        <v>0.459125719572369</v>
      </c>
      <c r="Z5021" s="0" t="n">
        <f aca="false">04_回帰ANOVA!$K$19*04_回帰ANOVA!$K$14*SQRT(1+Y5021)</f>
        <v>1.57450755575573</v>
      </c>
      <c r="AA5021" s="0" t="n">
        <f aca="false">X5021-Z5021</f>
        <v>47.267931223484</v>
      </c>
      <c r="AB5021" s="0" t="n">
        <f aca="false">X5021+Z5021</f>
        <v>50.4169463349955</v>
      </c>
      <c r="AC5021" s="54" t="b">
        <f aca="false">AND(E5021&gt;=01_因子設定!$L$5-0.000000001,E5021&lt;=01_因子設定!$M$5+0.000000001,F5021&gt;=01_因子設定!$L$6-0.000000001,F5021&lt;=01_因子設定!$M$6+0.000000001,G5021&gt;=01_因子設定!$L$7-0.000000001,G5021&lt;=01_因子設定!$M$7+0.000000001,H5021&gt;=01_因子設定!$L$8-0.000000001,H5021&lt;=01_因子設定!$M$8+0.000000001,IF(01_因子設定!$B$20="Box-Behnken",E5021^2+F5021^2+G5021^2+H5021^2&lt;=2+0.000000001,TRUE()))</f>
        <v>1</v>
      </c>
      <c r="AD5021" s="55" t="n">
        <f aca="false">IF(AC5021,IF(01_因子設定!$B$13="最大化",AA5021-01_因子設定!$B$14,IF(01_因子設定!$B$13="最小化",01_因子設定!$B$15-AB5021,MIN(AA5021-01_因子設定!$B$14,01_因子設定!$B$15-AB5021))),-1E+030)</f>
        <v>0.767931223483998</v>
      </c>
      <c r="AE5021" s="55" t="n">
        <f aca="false">IF(AC5021,IF(01_因子設定!$B$13="最大化",X5021,IF(01_因子設定!$B$13="最小化",-X5021,-ABS(X5021-01_因子設定!$B$16))),-1E+030)</f>
        <v>48.8424387792397</v>
      </c>
      <c r="AF5021" s="55" t="n">
        <f aca="false">AD5021+ROW()*0.000000001</f>
        <v>0.767936244483998</v>
      </c>
      <c r="AG5021" s="55" t="n">
        <f aca="false">AE5021+ROW()*0.000000001</f>
        <v>48.8424438002397</v>
      </c>
    </row>
    <row r="5022" customFormat="false" ht="15" hidden="false" customHeight="false" outlineLevel="0" collapsed="false">
      <c r="A5022" s="0" t="n">
        <v>6</v>
      </c>
      <c r="B5022" s="0" t="n">
        <v>7</v>
      </c>
      <c r="C5022" s="0" t="n">
        <v>8</v>
      </c>
      <c r="D5022" s="0" t="n">
        <v>4</v>
      </c>
      <c r="E5022" s="0" t="n">
        <f aca="false">-1+A5022*0.25</f>
        <v>0.5</v>
      </c>
      <c r="F5022" s="0" t="n">
        <f aca="false">-1+B5022*0.25</f>
        <v>0.75</v>
      </c>
      <c r="G5022" s="0" t="n">
        <f aca="false">-1+C5022*0.25</f>
        <v>1</v>
      </c>
      <c r="H5022" s="0" t="n">
        <f aca="false">-1+D5022*0.25</f>
        <v>0</v>
      </c>
      <c r="I5022" s="0" t="n">
        <f aca="false">1</f>
        <v>1</v>
      </c>
      <c r="J5022" s="0" t="n">
        <f aca="false">E5022</f>
        <v>0.5</v>
      </c>
      <c r="K5022" s="0" t="n">
        <f aca="false">F5022</f>
        <v>0.75</v>
      </c>
      <c r="L5022" s="0" t="n">
        <f aca="false">G5022</f>
        <v>1</v>
      </c>
      <c r="M5022" s="0" t="n">
        <f aca="false">H5022</f>
        <v>0</v>
      </c>
      <c r="N5022" s="0" t="n">
        <f aca="false">E5022*F5022</f>
        <v>0.375</v>
      </c>
      <c r="O5022" s="0" t="n">
        <f aca="false">E5022*G5022</f>
        <v>0.5</v>
      </c>
      <c r="P5022" s="0" t="n">
        <f aca="false">E5022*H5022</f>
        <v>0</v>
      </c>
      <c r="Q5022" s="0" t="n">
        <f aca="false">F5022*G5022</f>
        <v>0.75</v>
      </c>
      <c r="R5022" s="0" t="n">
        <f aca="false">F5022*H5022</f>
        <v>0</v>
      </c>
      <c r="S5022" s="0" t="n">
        <f aca="false">G5022*H5022</f>
        <v>0</v>
      </c>
      <c r="T5022" s="0" t="n">
        <f aca="false">E5022*E5022</f>
        <v>0.25</v>
      </c>
      <c r="U5022" s="0" t="n">
        <f aca="false">F5022*F5022</f>
        <v>0.5625</v>
      </c>
      <c r="V5022" s="0" t="n">
        <f aca="false">G5022*G5022</f>
        <v>1</v>
      </c>
      <c r="W5022" s="0" t="n">
        <f aca="false">H5022*H5022</f>
        <v>0</v>
      </c>
      <c r="X5022" s="0" t="n">
        <f aca="false">SUMPRODUCT(I5022:W5022,_XtX!$B$96:$P$96)</f>
        <v>49.0153874269005</v>
      </c>
      <c r="Y5022" s="0" t="n">
        <f aca="false">SUMPRODUCT(MMULT(I5022:W5022,_XtX!$B$78:$P$92),I5022:W5022)</f>
        <v>0.476191292032164</v>
      </c>
      <c r="Z5022" s="0" t="n">
        <f aca="false">04_回帰ANOVA!$K$19*04_回帰ANOVA!$K$14*SQRT(1+Y5022)</f>
        <v>1.58368831471718</v>
      </c>
      <c r="AA5022" s="0" t="n">
        <f aca="false">X5022-Z5022</f>
        <v>47.4316991121834</v>
      </c>
      <c r="AB5022" s="0" t="n">
        <f aca="false">X5022+Z5022</f>
        <v>50.5990757416177</v>
      </c>
      <c r="AC5022" s="54" t="b">
        <f aca="false">AND(E5022&gt;=01_因子設定!$L$5-0.000000001,E5022&lt;=01_因子設定!$M$5+0.000000001,F5022&gt;=01_因子設定!$L$6-0.000000001,F5022&lt;=01_因子設定!$M$6+0.000000001,G5022&gt;=01_因子設定!$L$7-0.000000001,G5022&lt;=01_因子設定!$M$7+0.000000001,H5022&gt;=01_因子設定!$L$8-0.000000001,H5022&lt;=01_因子設定!$M$8+0.000000001,IF(01_因子設定!$B$20="Box-Behnken",E5022^2+F5022^2+G5022^2+H5022^2&lt;=2+0.000000001,TRUE()))</f>
        <v>1</v>
      </c>
      <c r="AD5022" s="55" t="n">
        <f aca="false">IF(AC5022,IF(01_因子設定!$B$13="最大化",AA5022-01_因子設定!$B$14,IF(01_因子設定!$B$13="最小化",01_因子設定!$B$15-AB5022,MIN(AA5022-01_因子設定!$B$14,01_因子設定!$B$15-AB5022))),-1E+030)</f>
        <v>0.931699112183367</v>
      </c>
      <c r="AE5022" s="55" t="n">
        <f aca="false">IF(AC5022,IF(01_因子設定!$B$13="最大化",X5022,IF(01_因子設定!$B$13="最小化",-X5022,-ABS(X5022-01_因子設定!$B$16))),-1E+030)</f>
        <v>49.0153874269005</v>
      </c>
      <c r="AF5022" s="55" t="n">
        <f aca="false">AD5022+ROW()*0.000000001</f>
        <v>0.931704134183367</v>
      </c>
      <c r="AG5022" s="55" t="n">
        <f aca="false">AE5022+ROW()*0.000000001</f>
        <v>49.0153924489006</v>
      </c>
    </row>
    <row r="5023" customFormat="false" ht="15" hidden="false" customHeight="false" outlineLevel="0" collapsed="false">
      <c r="A5023" s="0" t="n">
        <v>6</v>
      </c>
      <c r="B5023" s="0" t="n">
        <v>7</v>
      </c>
      <c r="C5023" s="0" t="n">
        <v>8</v>
      </c>
      <c r="D5023" s="0" t="n">
        <v>5</v>
      </c>
      <c r="E5023" s="0" t="n">
        <f aca="false">-1+A5023*0.25</f>
        <v>0.5</v>
      </c>
      <c r="F5023" s="0" t="n">
        <f aca="false">-1+B5023*0.25</f>
        <v>0.75</v>
      </c>
      <c r="G5023" s="0" t="n">
        <f aca="false">-1+C5023*0.25</f>
        <v>1</v>
      </c>
      <c r="H5023" s="0" t="n">
        <f aca="false">-1+D5023*0.25</f>
        <v>0.25</v>
      </c>
      <c r="I5023" s="0" t="n">
        <f aca="false">1</f>
        <v>1</v>
      </c>
      <c r="J5023" s="0" t="n">
        <f aca="false">E5023</f>
        <v>0.5</v>
      </c>
      <c r="K5023" s="0" t="n">
        <f aca="false">F5023</f>
        <v>0.75</v>
      </c>
      <c r="L5023" s="0" t="n">
        <f aca="false">G5023</f>
        <v>1</v>
      </c>
      <c r="M5023" s="0" t="n">
        <f aca="false">H5023</f>
        <v>0.25</v>
      </c>
      <c r="N5023" s="0" t="n">
        <f aca="false">E5023*F5023</f>
        <v>0.375</v>
      </c>
      <c r="O5023" s="0" t="n">
        <f aca="false">E5023*G5023</f>
        <v>0.5</v>
      </c>
      <c r="P5023" s="0" t="n">
        <f aca="false">E5023*H5023</f>
        <v>0.125</v>
      </c>
      <c r="Q5023" s="0" t="n">
        <f aca="false">F5023*G5023</f>
        <v>0.75</v>
      </c>
      <c r="R5023" s="0" t="n">
        <f aca="false">F5023*H5023</f>
        <v>0.1875</v>
      </c>
      <c r="S5023" s="0" t="n">
        <f aca="false">G5023*H5023</f>
        <v>0.25</v>
      </c>
      <c r="T5023" s="0" t="n">
        <f aca="false">E5023*E5023</f>
        <v>0.25</v>
      </c>
      <c r="U5023" s="0" t="n">
        <f aca="false">F5023*F5023</f>
        <v>0.5625</v>
      </c>
      <c r="V5023" s="0" t="n">
        <f aca="false">G5023*G5023</f>
        <v>1</v>
      </c>
      <c r="W5023" s="0" t="n">
        <f aca="false">H5023*H5023</f>
        <v>0.0625</v>
      </c>
      <c r="X5023" s="0" t="n">
        <f aca="false">SUMPRODUCT(I5023:W5023,_XtX!$B$96:$P$96)</f>
        <v>49.1405290570175</v>
      </c>
      <c r="Y5023" s="0" t="n">
        <f aca="false">SUMPRODUCT(MMULT(I5023:W5023,_XtX!$B$78:$P$92),I5023:W5023)</f>
        <v>0.459125719572369</v>
      </c>
      <c r="Z5023" s="0" t="n">
        <f aca="false">04_回帰ANOVA!$K$19*04_回帰ANOVA!$K$14*SQRT(1+Y5023)</f>
        <v>1.57450755575573</v>
      </c>
      <c r="AA5023" s="0" t="n">
        <f aca="false">X5023-Z5023</f>
        <v>47.5660215012618</v>
      </c>
      <c r="AB5023" s="0" t="n">
        <f aca="false">X5023+Z5023</f>
        <v>50.7150366127732</v>
      </c>
      <c r="AC5023" s="54" t="b">
        <f aca="false">AND(E5023&gt;=01_因子設定!$L$5-0.000000001,E5023&lt;=01_因子設定!$M$5+0.000000001,F5023&gt;=01_因子設定!$L$6-0.000000001,F5023&lt;=01_因子設定!$M$6+0.000000001,G5023&gt;=01_因子設定!$L$7-0.000000001,G5023&lt;=01_因子設定!$M$7+0.000000001,H5023&gt;=01_因子設定!$L$8-0.000000001,H5023&lt;=01_因子設定!$M$8+0.000000001,IF(01_因子設定!$B$20="Box-Behnken",E5023^2+F5023^2+G5023^2+H5023^2&lt;=2+0.000000001,TRUE()))</f>
        <v>1</v>
      </c>
      <c r="AD5023" s="55" t="n">
        <f aca="false">IF(AC5023,IF(01_因子設定!$B$13="最大化",AA5023-01_因子設定!$B$14,IF(01_因子設定!$B$13="最小化",01_因子設定!$B$15-AB5023,MIN(AA5023-01_因子設定!$B$14,01_因子設定!$B$15-AB5023))),-1E+030)</f>
        <v>1.06602150126177</v>
      </c>
      <c r="AE5023" s="55" t="n">
        <f aca="false">IF(AC5023,IF(01_因子設定!$B$13="最大化",X5023,IF(01_因子設定!$B$13="最小化",-X5023,-ABS(X5023-01_因子設定!$B$16))),-1E+030)</f>
        <v>49.1405290570175</v>
      </c>
      <c r="AF5023" s="55" t="n">
        <f aca="false">AD5023+ROW()*0.000000001</f>
        <v>1.06602652426177</v>
      </c>
      <c r="AG5023" s="55" t="n">
        <f aca="false">AE5023+ROW()*0.000000001</f>
        <v>49.1405340800175</v>
      </c>
    </row>
    <row r="5024" customFormat="false" ht="15" hidden="false" customHeight="false" outlineLevel="0" collapsed="false">
      <c r="A5024" s="0" t="n">
        <v>6</v>
      </c>
      <c r="B5024" s="0" t="n">
        <v>7</v>
      </c>
      <c r="C5024" s="0" t="n">
        <v>8</v>
      </c>
      <c r="D5024" s="0" t="n">
        <v>6</v>
      </c>
      <c r="E5024" s="0" t="n">
        <f aca="false">-1+A5024*0.25</f>
        <v>0.5</v>
      </c>
      <c r="F5024" s="0" t="n">
        <f aca="false">-1+B5024*0.25</f>
        <v>0.75</v>
      </c>
      <c r="G5024" s="0" t="n">
        <f aca="false">-1+C5024*0.25</f>
        <v>1</v>
      </c>
      <c r="H5024" s="0" t="n">
        <f aca="false">-1+D5024*0.25</f>
        <v>0.5</v>
      </c>
      <c r="I5024" s="0" t="n">
        <f aca="false">1</f>
        <v>1</v>
      </c>
      <c r="J5024" s="0" t="n">
        <f aca="false">E5024</f>
        <v>0.5</v>
      </c>
      <c r="K5024" s="0" t="n">
        <f aca="false">F5024</f>
        <v>0.75</v>
      </c>
      <c r="L5024" s="0" t="n">
        <f aca="false">G5024</f>
        <v>1</v>
      </c>
      <c r="M5024" s="0" t="n">
        <f aca="false">H5024</f>
        <v>0.5</v>
      </c>
      <c r="N5024" s="0" t="n">
        <f aca="false">E5024*F5024</f>
        <v>0.375</v>
      </c>
      <c r="O5024" s="0" t="n">
        <f aca="false">E5024*G5024</f>
        <v>0.5</v>
      </c>
      <c r="P5024" s="0" t="n">
        <f aca="false">E5024*H5024</f>
        <v>0.25</v>
      </c>
      <c r="Q5024" s="0" t="n">
        <f aca="false">F5024*G5024</f>
        <v>0.75</v>
      </c>
      <c r="R5024" s="0" t="n">
        <f aca="false">F5024*H5024</f>
        <v>0.375</v>
      </c>
      <c r="S5024" s="0" t="n">
        <f aca="false">G5024*H5024</f>
        <v>0.5</v>
      </c>
      <c r="T5024" s="0" t="n">
        <f aca="false">E5024*E5024</f>
        <v>0.25</v>
      </c>
      <c r="U5024" s="0" t="n">
        <f aca="false">F5024*F5024</f>
        <v>0.5625</v>
      </c>
      <c r="V5024" s="0" t="n">
        <f aca="false">G5024*G5024</f>
        <v>1</v>
      </c>
      <c r="W5024" s="0" t="n">
        <f aca="false">H5024*H5024</f>
        <v>0.25</v>
      </c>
      <c r="X5024" s="0" t="n">
        <f aca="false">SUMPRODUCT(I5024:W5024,_XtX!$B$96:$P$96)</f>
        <v>49.2178636695906</v>
      </c>
      <c r="Y5024" s="0" t="n">
        <f aca="false">SUMPRODUCT(MMULT(I5024:W5024,_XtX!$B$78:$P$92),I5024:W5024)</f>
        <v>0.42602110745614</v>
      </c>
      <c r="Z5024" s="0" t="n">
        <f aca="false">04_回帰ANOVA!$K$19*04_回帰ANOVA!$K$14*SQRT(1+Y5024)</f>
        <v>1.55654388501114</v>
      </c>
      <c r="AA5024" s="0" t="n">
        <f aca="false">X5024-Z5024</f>
        <v>47.6613197845795</v>
      </c>
      <c r="AB5024" s="0" t="n">
        <f aca="false">X5024+Z5024</f>
        <v>50.7744075546018</v>
      </c>
      <c r="AC5024" s="54" t="b">
        <f aca="false">AND(E5024&gt;=01_因子設定!$L$5-0.000000001,E5024&lt;=01_因子設定!$M$5+0.000000001,F5024&gt;=01_因子設定!$L$6-0.000000001,F5024&lt;=01_因子設定!$M$6+0.000000001,G5024&gt;=01_因子設定!$L$7-0.000000001,G5024&lt;=01_因子設定!$M$7+0.000000001,H5024&gt;=01_因子設定!$L$8-0.000000001,H5024&lt;=01_因子設定!$M$8+0.000000001,IF(01_因子設定!$B$20="Box-Behnken",E5024^2+F5024^2+G5024^2+H5024^2&lt;=2+0.000000001,TRUE()))</f>
        <v>1</v>
      </c>
      <c r="AD5024" s="55" t="n">
        <f aca="false">IF(AC5024,IF(01_因子設定!$B$13="最大化",AA5024-01_因子設定!$B$14,IF(01_因子設定!$B$13="最小化",01_因子設定!$B$15-AB5024,MIN(AA5024-01_因子設定!$B$14,01_因子設定!$B$15-AB5024))),-1E+030)</f>
        <v>1.16131978457948</v>
      </c>
      <c r="AE5024" s="55" t="n">
        <f aca="false">IF(AC5024,IF(01_因子設定!$B$13="最大化",X5024,IF(01_因子設定!$B$13="最小化",-X5024,-ABS(X5024-01_因子設定!$B$16))),-1E+030)</f>
        <v>49.2178636695906</v>
      </c>
      <c r="AF5024" s="55" t="n">
        <f aca="false">AD5024+ROW()*0.000000001</f>
        <v>1.16132480857948</v>
      </c>
      <c r="AG5024" s="55" t="n">
        <f aca="false">AE5024+ROW()*0.000000001</f>
        <v>49.2178686935906</v>
      </c>
    </row>
    <row r="5025" customFormat="false" ht="15" hidden="false" customHeight="false" outlineLevel="0" collapsed="false">
      <c r="A5025" s="0" t="n">
        <v>6</v>
      </c>
      <c r="B5025" s="0" t="n">
        <v>7</v>
      </c>
      <c r="C5025" s="0" t="n">
        <v>8</v>
      </c>
      <c r="D5025" s="0" t="n">
        <v>7</v>
      </c>
      <c r="E5025" s="0" t="n">
        <f aca="false">-1+A5025*0.25</f>
        <v>0.5</v>
      </c>
      <c r="F5025" s="0" t="n">
        <f aca="false">-1+B5025*0.25</f>
        <v>0.75</v>
      </c>
      <c r="G5025" s="0" t="n">
        <f aca="false">-1+C5025*0.25</f>
        <v>1</v>
      </c>
      <c r="H5025" s="0" t="n">
        <f aca="false">-1+D5025*0.25</f>
        <v>0.75</v>
      </c>
      <c r="I5025" s="0" t="n">
        <f aca="false">1</f>
        <v>1</v>
      </c>
      <c r="J5025" s="0" t="n">
        <f aca="false">E5025</f>
        <v>0.5</v>
      </c>
      <c r="K5025" s="0" t="n">
        <f aca="false">F5025</f>
        <v>0.75</v>
      </c>
      <c r="L5025" s="0" t="n">
        <f aca="false">G5025</f>
        <v>1</v>
      </c>
      <c r="M5025" s="0" t="n">
        <f aca="false">H5025</f>
        <v>0.75</v>
      </c>
      <c r="N5025" s="0" t="n">
        <f aca="false">E5025*F5025</f>
        <v>0.375</v>
      </c>
      <c r="O5025" s="0" t="n">
        <f aca="false">E5025*G5025</f>
        <v>0.5</v>
      </c>
      <c r="P5025" s="0" t="n">
        <f aca="false">E5025*H5025</f>
        <v>0.375</v>
      </c>
      <c r="Q5025" s="0" t="n">
        <f aca="false">F5025*G5025</f>
        <v>0.75</v>
      </c>
      <c r="R5025" s="0" t="n">
        <f aca="false">F5025*H5025</f>
        <v>0.5625</v>
      </c>
      <c r="S5025" s="0" t="n">
        <f aca="false">G5025*H5025</f>
        <v>0.75</v>
      </c>
      <c r="T5025" s="0" t="n">
        <f aca="false">E5025*E5025</f>
        <v>0.25</v>
      </c>
      <c r="U5025" s="0" t="n">
        <f aca="false">F5025*F5025</f>
        <v>0.5625</v>
      </c>
      <c r="V5025" s="0" t="n">
        <f aca="false">G5025*G5025</f>
        <v>1</v>
      </c>
      <c r="W5025" s="0" t="n">
        <f aca="false">H5025*H5025</f>
        <v>0.5625</v>
      </c>
      <c r="X5025" s="0" t="n">
        <f aca="false">SUMPRODUCT(I5025:W5025,_XtX!$B$96:$P$96)</f>
        <v>49.2473912646199</v>
      </c>
      <c r="Y5025" s="0" t="n">
        <f aca="false">SUMPRODUCT(MMULT(I5025:W5025,_XtX!$B$78:$P$92),I5025:W5025)</f>
        <v>0.431153771472953</v>
      </c>
      <c r="Z5025" s="0" t="n">
        <f aca="false">04_回帰ANOVA!$K$19*04_回帰ANOVA!$K$14*SQRT(1+Y5025)</f>
        <v>1.55934259562563</v>
      </c>
      <c r="AA5025" s="0" t="n">
        <f aca="false">X5025-Z5025</f>
        <v>47.6880486689942</v>
      </c>
      <c r="AB5025" s="0" t="n">
        <f aca="false">X5025+Z5025</f>
        <v>50.8067338602455</v>
      </c>
      <c r="AC5025" s="54" t="b">
        <f aca="false">AND(E5025&gt;=01_因子設定!$L$5-0.000000001,E5025&lt;=01_因子設定!$M$5+0.000000001,F5025&gt;=01_因子設定!$L$6-0.000000001,F5025&lt;=01_因子設定!$M$6+0.000000001,G5025&gt;=01_因子設定!$L$7-0.000000001,G5025&lt;=01_因子設定!$M$7+0.000000001,H5025&gt;=01_因子設定!$L$8-0.000000001,H5025&lt;=01_因子設定!$M$8+0.000000001,IF(01_因子設定!$B$20="Box-Behnken",E5025^2+F5025^2+G5025^2+H5025^2&lt;=2+0.000000001,TRUE()))</f>
        <v>1</v>
      </c>
      <c r="AD5025" s="55" t="n">
        <f aca="false">IF(AC5025,IF(01_因子設定!$B$13="最大化",AA5025-01_因子設定!$B$14,IF(01_因子設定!$B$13="最小化",01_因子設定!$B$15-AB5025,MIN(AA5025-01_因子設定!$B$14,01_因子設定!$B$15-AB5025))),-1E+030)</f>
        <v>1.18804866899423</v>
      </c>
      <c r="AE5025" s="55" t="n">
        <f aca="false">IF(AC5025,IF(01_因子設定!$B$13="最大化",X5025,IF(01_因子設定!$B$13="最小化",-X5025,-ABS(X5025-01_因子設定!$B$16))),-1E+030)</f>
        <v>49.2473912646199</v>
      </c>
      <c r="AF5025" s="55" t="n">
        <f aca="false">AD5025+ROW()*0.000000001</f>
        <v>1.18805369399423</v>
      </c>
      <c r="AG5025" s="55" t="n">
        <f aca="false">AE5025+ROW()*0.000000001</f>
        <v>49.2473962896199</v>
      </c>
    </row>
    <row r="5026" customFormat="false" ht="15" hidden="false" customHeight="false" outlineLevel="0" collapsed="false">
      <c r="A5026" s="0" t="n">
        <v>6</v>
      </c>
      <c r="B5026" s="0" t="n">
        <v>7</v>
      </c>
      <c r="C5026" s="0" t="n">
        <v>8</v>
      </c>
      <c r="D5026" s="0" t="n">
        <v>8</v>
      </c>
      <c r="E5026" s="0" t="n">
        <f aca="false">-1+A5026*0.25</f>
        <v>0.5</v>
      </c>
      <c r="F5026" s="0" t="n">
        <f aca="false">-1+B5026*0.25</f>
        <v>0.75</v>
      </c>
      <c r="G5026" s="0" t="n">
        <f aca="false">-1+C5026*0.25</f>
        <v>1</v>
      </c>
      <c r="H5026" s="0" t="n">
        <f aca="false">-1+D5026*0.25</f>
        <v>1</v>
      </c>
      <c r="I5026" s="0" t="n">
        <f aca="false">1</f>
        <v>1</v>
      </c>
      <c r="J5026" s="0" t="n">
        <f aca="false">E5026</f>
        <v>0.5</v>
      </c>
      <c r="K5026" s="0" t="n">
        <f aca="false">F5026</f>
        <v>0.75</v>
      </c>
      <c r="L5026" s="0" t="n">
        <f aca="false">G5026</f>
        <v>1</v>
      </c>
      <c r="M5026" s="0" t="n">
        <f aca="false">H5026</f>
        <v>1</v>
      </c>
      <c r="N5026" s="0" t="n">
        <f aca="false">E5026*F5026</f>
        <v>0.375</v>
      </c>
      <c r="O5026" s="0" t="n">
        <f aca="false">E5026*G5026</f>
        <v>0.5</v>
      </c>
      <c r="P5026" s="0" t="n">
        <f aca="false">E5026*H5026</f>
        <v>0.5</v>
      </c>
      <c r="Q5026" s="0" t="n">
        <f aca="false">F5026*G5026</f>
        <v>0.75</v>
      </c>
      <c r="R5026" s="0" t="n">
        <f aca="false">F5026*H5026</f>
        <v>0.75</v>
      </c>
      <c r="S5026" s="0" t="n">
        <f aca="false">G5026*H5026</f>
        <v>1</v>
      </c>
      <c r="T5026" s="0" t="n">
        <f aca="false">E5026*E5026</f>
        <v>0.25</v>
      </c>
      <c r="U5026" s="0" t="n">
        <f aca="false">F5026*F5026</f>
        <v>0.5625</v>
      </c>
      <c r="V5026" s="0" t="n">
        <f aca="false">G5026*G5026</f>
        <v>1</v>
      </c>
      <c r="W5026" s="0" t="n">
        <f aca="false">H5026*H5026</f>
        <v>1</v>
      </c>
      <c r="X5026" s="0" t="n">
        <f aca="false">SUMPRODUCT(I5026:W5026,_XtX!$B$96:$P$96)</f>
        <v>49.2291118421053</v>
      </c>
      <c r="Y5026" s="0" t="n">
        <f aca="false">SUMPRODUCT(MMULT(I5026:W5026,_XtX!$B$78:$P$92),I5026:W5026)</f>
        <v>0.564984237938597</v>
      </c>
      <c r="Z5026" s="0" t="n">
        <f aca="false">04_回帰ANOVA!$K$19*04_回帰ANOVA!$K$14*SQRT(1+Y5026)</f>
        <v>1.63062229734503</v>
      </c>
      <c r="AA5026" s="0" t="n">
        <f aca="false">X5026-Z5026</f>
        <v>47.5984895447602</v>
      </c>
      <c r="AB5026" s="0" t="n">
        <f aca="false">X5026+Z5026</f>
        <v>50.8597341394503</v>
      </c>
      <c r="AC5026" s="54" t="b">
        <f aca="false">AND(E5026&gt;=01_因子設定!$L$5-0.000000001,E5026&lt;=01_因子設定!$M$5+0.000000001,F5026&gt;=01_因子設定!$L$6-0.000000001,F5026&lt;=01_因子設定!$M$6+0.000000001,G5026&gt;=01_因子設定!$L$7-0.000000001,G5026&lt;=01_因子設定!$M$7+0.000000001,H5026&gt;=01_因子設定!$L$8-0.000000001,H5026&lt;=01_因子設定!$M$8+0.000000001,IF(01_因子設定!$B$20="Box-Behnken",E5026^2+F5026^2+G5026^2+H5026^2&lt;=2+0.000000001,TRUE()))</f>
        <v>1</v>
      </c>
      <c r="AD5026" s="55" t="n">
        <f aca="false">IF(AC5026,IF(01_因子設定!$B$13="最大化",AA5026-01_因子設定!$B$14,IF(01_因子設定!$B$13="最小化",01_因子設定!$B$15-AB5026,MIN(AA5026-01_因子設定!$B$14,01_因子設定!$B$15-AB5026))),-1E+030)</f>
        <v>1.09848954476023</v>
      </c>
      <c r="AE5026" s="55" t="n">
        <f aca="false">IF(AC5026,IF(01_因子設定!$B$13="最大化",X5026,IF(01_因子設定!$B$13="最小化",-X5026,-ABS(X5026-01_因子設定!$B$16))),-1E+030)</f>
        <v>49.2291118421053</v>
      </c>
      <c r="AF5026" s="55" t="n">
        <f aca="false">AD5026+ROW()*0.000000001</f>
        <v>1.09849457076023</v>
      </c>
      <c r="AG5026" s="55" t="n">
        <f aca="false">AE5026+ROW()*0.000000001</f>
        <v>49.2291168681053</v>
      </c>
    </row>
    <row r="5027" customFormat="false" ht="15" hidden="false" customHeight="false" outlineLevel="0" collapsed="false">
      <c r="A5027" s="0" t="n">
        <v>6</v>
      </c>
      <c r="B5027" s="0" t="n">
        <v>8</v>
      </c>
      <c r="C5027" s="0" t="n">
        <v>0</v>
      </c>
      <c r="D5027" s="0" t="n">
        <v>0</v>
      </c>
      <c r="E5027" s="0" t="n">
        <f aca="false">-1+A5027*0.25</f>
        <v>0.5</v>
      </c>
      <c r="F5027" s="0" t="n">
        <f aca="false">-1+B5027*0.25</f>
        <v>1</v>
      </c>
      <c r="G5027" s="0" t="n">
        <f aca="false">-1+C5027*0.25</f>
        <v>-1</v>
      </c>
      <c r="H5027" s="0" t="n">
        <f aca="false">-1+D5027*0.25</f>
        <v>-1</v>
      </c>
      <c r="I5027" s="0" t="n">
        <f aca="false">1</f>
        <v>1</v>
      </c>
      <c r="J5027" s="0" t="n">
        <f aca="false">E5027</f>
        <v>0.5</v>
      </c>
      <c r="K5027" s="0" t="n">
        <f aca="false">F5027</f>
        <v>1</v>
      </c>
      <c r="L5027" s="0" t="n">
        <f aca="false">G5027</f>
        <v>-1</v>
      </c>
      <c r="M5027" s="0" t="n">
        <f aca="false">H5027</f>
        <v>-1</v>
      </c>
      <c r="N5027" s="0" t="n">
        <f aca="false">E5027*F5027</f>
        <v>0.5</v>
      </c>
      <c r="O5027" s="0" t="n">
        <f aca="false">E5027*G5027</f>
        <v>-0.5</v>
      </c>
      <c r="P5027" s="0" t="n">
        <f aca="false">E5027*H5027</f>
        <v>-0.5</v>
      </c>
      <c r="Q5027" s="0" t="n">
        <f aca="false">F5027*G5027</f>
        <v>-1</v>
      </c>
      <c r="R5027" s="0" t="n">
        <f aca="false">F5027*H5027</f>
        <v>-1</v>
      </c>
      <c r="S5027" s="0" t="n">
        <f aca="false">G5027*H5027</f>
        <v>1</v>
      </c>
      <c r="T5027" s="0" t="n">
        <f aca="false">E5027*E5027</f>
        <v>0.25</v>
      </c>
      <c r="U5027" s="0" t="n">
        <f aca="false">F5027*F5027</f>
        <v>1</v>
      </c>
      <c r="V5027" s="0" t="n">
        <f aca="false">G5027*G5027</f>
        <v>1</v>
      </c>
      <c r="W5027" s="0" t="n">
        <f aca="false">H5027*H5027</f>
        <v>1</v>
      </c>
      <c r="X5027" s="0" t="n">
        <f aca="false">SUMPRODUCT(I5027:W5027,_XtX!$B$96:$P$96)</f>
        <v>46.3357456140351</v>
      </c>
      <c r="Y5027" s="0" t="n">
        <f aca="false">SUMPRODUCT(MMULT(I5027:W5027,_XtX!$B$78:$P$92),I5027:W5027)</f>
        <v>0.667123538011696</v>
      </c>
      <c r="Z5027" s="0" t="n">
        <f aca="false">04_回帰ANOVA!$K$19*04_回帰ANOVA!$K$14*SQRT(1+Y5027)</f>
        <v>1.68299290213005</v>
      </c>
      <c r="AA5027" s="0" t="n">
        <f aca="false">X5027-Z5027</f>
        <v>44.652752711905</v>
      </c>
      <c r="AB5027" s="0" t="n">
        <f aca="false">X5027+Z5027</f>
        <v>48.0187385161651</v>
      </c>
      <c r="AC5027" s="54" t="b">
        <f aca="false">AND(E5027&gt;=01_因子設定!$L$5-0.000000001,E5027&lt;=01_因子設定!$M$5+0.000000001,F5027&gt;=01_因子設定!$L$6-0.000000001,F5027&lt;=01_因子設定!$M$6+0.000000001,G5027&gt;=01_因子設定!$L$7-0.000000001,G5027&lt;=01_因子設定!$M$7+0.000000001,H5027&gt;=01_因子設定!$L$8-0.000000001,H5027&lt;=01_因子設定!$M$8+0.000000001,IF(01_因子設定!$B$20="Box-Behnken",E5027^2+F5027^2+G5027^2+H5027^2&lt;=2+0.000000001,TRUE()))</f>
        <v>1</v>
      </c>
      <c r="AD5027" s="55" t="n">
        <f aca="false">IF(AC5027,IF(01_因子設定!$B$13="最大化",AA5027-01_因子設定!$B$14,IF(01_因子設定!$B$13="最小化",01_因子設定!$B$15-AB5027,MIN(AA5027-01_因子設定!$B$14,01_因子設定!$B$15-AB5027))),-1E+030)</f>
        <v>-1.84724728809497</v>
      </c>
      <c r="AE5027" s="55" t="n">
        <f aca="false">IF(AC5027,IF(01_因子設定!$B$13="最大化",X5027,IF(01_因子設定!$B$13="最小化",-X5027,-ABS(X5027-01_因子設定!$B$16))),-1E+030)</f>
        <v>46.3357456140351</v>
      </c>
      <c r="AF5027" s="55" t="n">
        <f aca="false">AD5027+ROW()*0.000000001</f>
        <v>-1.84724226109497</v>
      </c>
      <c r="AG5027" s="55" t="n">
        <f aca="false">AE5027+ROW()*0.000000001</f>
        <v>46.3357506410351</v>
      </c>
    </row>
    <row r="5028" customFormat="false" ht="15" hidden="false" customHeight="false" outlineLevel="0" collapsed="false">
      <c r="A5028" s="0" t="n">
        <v>6</v>
      </c>
      <c r="B5028" s="0" t="n">
        <v>8</v>
      </c>
      <c r="C5028" s="0" t="n">
        <v>0</v>
      </c>
      <c r="D5028" s="0" t="n">
        <v>1</v>
      </c>
      <c r="E5028" s="0" t="n">
        <f aca="false">-1+A5028*0.25</f>
        <v>0.5</v>
      </c>
      <c r="F5028" s="0" t="n">
        <f aca="false">-1+B5028*0.25</f>
        <v>1</v>
      </c>
      <c r="G5028" s="0" t="n">
        <f aca="false">-1+C5028*0.25</f>
        <v>-1</v>
      </c>
      <c r="H5028" s="0" t="n">
        <f aca="false">-1+D5028*0.25</f>
        <v>-0.75</v>
      </c>
      <c r="I5028" s="0" t="n">
        <f aca="false">1</f>
        <v>1</v>
      </c>
      <c r="J5028" s="0" t="n">
        <f aca="false">E5028</f>
        <v>0.5</v>
      </c>
      <c r="K5028" s="0" t="n">
        <f aca="false">F5028</f>
        <v>1</v>
      </c>
      <c r="L5028" s="0" t="n">
        <f aca="false">G5028</f>
        <v>-1</v>
      </c>
      <c r="M5028" s="0" t="n">
        <f aca="false">H5028</f>
        <v>-0.75</v>
      </c>
      <c r="N5028" s="0" t="n">
        <f aca="false">E5028*F5028</f>
        <v>0.5</v>
      </c>
      <c r="O5028" s="0" t="n">
        <f aca="false">E5028*G5028</f>
        <v>-0.5</v>
      </c>
      <c r="P5028" s="0" t="n">
        <f aca="false">E5028*H5028</f>
        <v>-0.375</v>
      </c>
      <c r="Q5028" s="0" t="n">
        <f aca="false">F5028*G5028</f>
        <v>-1</v>
      </c>
      <c r="R5028" s="0" t="n">
        <f aca="false">F5028*H5028</f>
        <v>-0.75</v>
      </c>
      <c r="S5028" s="0" t="n">
        <f aca="false">G5028*H5028</f>
        <v>0.75</v>
      </c>
      <c r="T5028" s="0" t="n">
        <f aca="false">E5028*E5028</f>
        <v>0.25</v>
      </c>
      <c r="U5028" s="0" t="n">
        <f aca="false">F5028*F5028</f>
        <v>1</v>
      </c>
      <c r="V5028" s="0" t="n">
        <f aca="false">G5028*G5028</f>
        <v>1</v>
      </c>
      <c r="W5028" s="0" t="n">
        <f aca="false">H5028*H5028</f>
        <v>0.5625</v>
      </c>
      <c r="X5028" s="0" t="n">
        <f aca="false">SUMPRODUCT(I5028:W5028,_XtX!$B$96:$P$96)</f>
        <v>46.4950840643275</v>
      </c>
      <c r="Y5028" s="0" t="n">
        <f aca="false">SUMPRODUCT(MMULT(I5028:W5028,_XtX!$B$78:$P$92),I5028:W5028)</f>
        <v>0.564984237938597</v>
      </c>
      <c r="Z5028" s="0" t="n">
        <f aca="false">04_回帰ANOVA!$K$19*04_回帰ANOVA!$K$14*SQRT(1+Y5028)</f>
        <v>1.63062229734503</v>
      </c>
      <c r="AA5028" s="0" t="n">
        <f aca="false">X5028-Z5028</f>
        <v>44.8644617669824</v>
      </c>
      <c r="AB5028" s="0" t="n">
        <f aca="false">X5028+Z5028</f>
        <v>48.1257063616725</v>
      </c>
      <c r="AC5028" s="54" t="b">
        <f aca="false">AND(E5028&gt;=01_因子設定!$L$5-0.000000001,E5028&lt;=01_因子設定!$M$5+0.000000001,F5028&gt;=01_因子設定!$L$6-0.000000001,F5028&lt;=01_因子設定!$M$6+0.000000001,G5028&gt;=01_因子設定!$L$7-0.000000001,G5028&lt;=01_因子設定!$M$7+0.000000001,H5028&gt;=01_因子設定!$L$8-0.000000001,H5028&lt;=01_因子設定!$M$8+0.000000001,IF(01_因子設定!$B$20="Box-Behnken",E5028^2+F5028^2+G5028^2+H5028^2&lt;=2+0.000000001,TRUE()))</f>
        <v>1</v>
      </c>
      <c r="AD5028" s="55" t="n">
        <f aca="false">IF(AC5028,IF(01_因子設定!$B$13="最大化",AA5028-01_因子設定!$B$14,IF(01_因子設定!$B$13="最小化",01_因子設定!$B$15-AB5028,MIN(AA5028-01_因子設定!$B$14,01_因子設定!$B$15-AB5028))),-1E+030)</f>
        <v>-1.63553823301757</v>
      </c>
      <c r="AE5028" s="55" t="n">
        <f aca="false">IF(AC5028,IF(01_因子設定!$B$13="最大化",X5028,IF(01_因子設定!$B$13="最小化",-X5028,-ABS(X5028-01_因子設定!$B$16))),-1E+030)</f>
        <v>46.4950840643275</v>
      </c>
      <c r="AF5028" s="55" t="n">
        <f aca="false">AD5028+ROW()*0.000000001</f>
        <v>-1.63553320501757</v>
      </c>
      <c r="AG5028" s="55" t="n">
        <f aca="false">AE5028+ROW()*0.000000001</f>
        <v>46.4950890923275</v>
      </c>
    </row>
    <row r="5029" customFormat="false" ht="15" hidden="false" customHeight="false" outlineLevel="0" collapsed="false">
      <c r="A5029" s="0" t="n">
        <v>6</v>
      </c>
      <c r="B5029" s="0" t="n">
        <v>8</v>
      </c>
      <c r="C5029" s="0" t="n">
        <v>0</v>
      </c>
      <c r="D5029" s="0" t="n">
        <v>2</v>
      </c>
      <c r="E5029" s="0" t="n">
        <f aca="false">-1+A5029*0.25</f>
        <v>0.5</v>
      </c>
      <c r="F5029" s="0" t="n">
        <f aca="false">-1+B5029*0.25</f>
        <v>1</v>
      </c>
      <c r="G5029" s="0" t="n">
        <f aca="false">-1+C5029*0.25</f>
        <v>-1</v>
      </c>
      <c r="H5029" s="0" t="n">
        <f aca="false">-1+D5029*0.25</f>
        <v>-0.5</v>
      </c>
      <c r="I5029" s="0" t="n">
        <f aca="false">1</f>
        <v>1</v>
      </c>
      <c r="J5029" s="0" t="n">
        <f aca="false">E5029</f>
        <v>0.5</v>
      </c>
      <c r="K5029" s="0" t="n">
        <f aca="false">F5029</f>
        <v>1</v>
      </c>
      <c r="L5029" s="0" t="n">
        <f aca="false">G5029</f>
        <v>-1</v>
      </c>
      <c r="M5029" s="0" t="n">
        <f aca="false">H5029</f>
        <v>-0.5</v>
      </c>
      <c r="N5029" s="0" t="n">
        <f aca="false">E5029*F5029</f>
        <v>0.5</v>
      </c>
      <c r="O5029" s="0" t="n">
        <f aca="false">E5029*G5029</f>
        <v>-0.5</v>
      </c>
      <c r="P5029" s="0" t="n">
        <f aca="false">E5029*H5029</f>
        <v>-0.25</v>
      </c>
      <c r="Q5029" s="0" t="n">
        <f aca="false">F5029*G5029</f>
        <v>-1</v>
      </c>
      <c r="R5029" s="0" t="n">
        <f aca="false">F5029*H5029</f>
        <v>-0.5</v>
      </c>
      <c r="S5029" s="0" t="n">
        <f aca="false">G5029*H5029</f>
        <v>0.5</v>
      </c>
      <c r="T5029" s="0" t="n">
        <f aca="false">E5029*E5029</f>
        <v>0.25</v>
      </c>
      <c r="U5029" s="0" t="n">
        <f aca="false">F5029*F5029</f>
        <v>1</v>
      </c>
      <c r="V5029" s="0" t="n">
        <f aca="false">G5029*G5029</f>
        <v>1</v>
      </c>
      <c r="W5029" s="0" t="n">
        <f aca="false">H5029*H5029</f>
        <v>0.25</v>
      </c>
      <c r="X5029" s="0" t="n">
        <f aca="false">SUMPRODUCT(I5029:W5029,_XtX!$B$96:$P$96)</f>
        <v>46.606615497076</v>
      </c>
      <c r="Y5029" s="0" t="n">
        <f aca="false">SUMPRODUCT(MMULT(I5029:W5029,_XtX!$B$78:$P$92),I5029:W5029)</f>
        <v>0.582488121345029</v>
      </c>
      <c r="Z5029" s="0" t="n">
        <f aca="false">04_回帰ANOVA!$K$19*04_回帰ANOVA!$K$14*SQRT(1+Y5029)</f>
        <v>1.63971595338287</v>
      </c>
      <c r="AA5029" s="0" t="n">
        <f aca="false">X5029-Z5029</f>
        <v>44.9668995436931</v>
      </c>
      <c r="AB5029" s="0" t="n">
        <f aca="false">X5029+Z5029</f>
        <v>48.2463314504589</v>
      </c>
      <c r="AC5029" s="54" t="b">
        <f aca="false">AND(E5029&gt;=01_因子設定!$L$5-0.000000001,E5029&lt;=01_因子設定!$M$5+0.000000001,F5029&gt;=01_因子設定!$L$6-0.000000001,F5029&lt;=01_因子設定!$M$6+0.000000001,G5029&gt;=01_因子設定!$L$7-0.000000001,G5029&lt;=01_因子設定!$M$7+0.000000001,H5029&gt;=01_因子設定!$L$8-0.000000001,H5029&lt;=01_因子設定!$M$8+0.000000001,IF(01_因子設定!$B$20="Box-Behnken",E5029^2+F5029^2+G5029^2+H5029^2&lt;=2+0.000000001,TRUE()))</f>
        <v>1</v>
      </c>
      <c r="AD5029" s="55" t="n">
        <f aca="false">IF(AC5029,IF(01_因子設定!$B$13="最大化",AA5029-01_因子設定!$B$14,IF(01_因子設定!$B$13="最小化",01_因子設定!$B$15-AB5029,MIN(AA5029-01_因子設定!$B$14,01_因子設定!$B$15-AB5029))),-1E+030)</f>
        <v>-1.53310045630688</v>
      </c>
      <c r="AE5029" s="55" t="n">
        <f aca="false">IF(AC5029,IF(01_因子設定!$B$13="最大化",X5029,IF(01_因子設定!$B$13="最小化",-X5029,-ABS(X5029-01_因子設定!$B$16))),-1E+030)</f>
        <v>46.606615497076</v>
      </c>
      <c r="AF5029" s="55" t="n">
        <f aca="false">AD5029+ROW()*0.000000001</f>
        <v>-1.53309542730688</v>
      </c>
      <c r="AG5029" s="55" t="n">
        <f aca="false">AE5029+ROW()*0.000000001</f>
        <v>46.606620526076</v>
      </c>
    </row>
    <row r="5030" customFormat="false" ht="15" hidden="false" customHeight="false" outlineLevel="0" collapsed="false">
      <c r="A5030" s="0" t="n">
        <v>6</v>
      </c>
      <c r="B5030" s="0" t="n">
        <v>8</v>
      </c>
      <c r="C5030" s="0" t="n">
        <v>0</v>
      </c>
      <c r="D5030" s="0" t="n">
        <v>3</v>
      </c>
      <c r="E5030" s="0" t="n">
        <f aca="false">-1+A5030*0.25</f>
        <v>0.5</v>
      </c>
      <c r="F5030" s="0" t="n">
        <f aca="false">-1+B5030*0.25</f>
        <v>1</v>
      </c>
      <c r="G5030" s="0" t="n">
        <f aca="false">-1+C5030*0.25</f>
        <v>-1</v>
      </c>
      <c r="H5030" s="0" t="n">
        <f aca="false">-1+D5030*0.25</f>
        <v>-0.25</v>
      </c>
      <c r="I5030" s="0" t="n">
        <f aca="false">1</f>
        <v>1</v>
      </c>
      <c r="J5030" s="0" t="n">
        <f aca="false">E5030</f>
        <v>0.5</v>
      </c>
      <c r="K5030" s="0" t="n">
        <f aca="false">F5030</f>
        <v>1</v>
      </c>
      <c r="L5030" s="0" t="n">
        <f aca="false">G5030</f>
        <v>-1</v>
      </c>
      <c r="M5030" s="0" t="n">
        <f aca="false">H5030</f>
        <v>-0.25</v>
      </c>
      <c r="N5030" s="0" t="n">
        <f aca="false">E5030*F5030</f>
        <v>0.5</v>
      </c>
      <c r="O5030" s="0" t="n">
        <f aca="false">E5030*G5030</f>
        <v>-0.5</v>
      </c>
      <c r="P5030" s="0" t="n">
        <f aca="false">E5030*H5030</f>
        <v>-0.125</v>
      </c>
      <c r="Q5030" s="0" t="n">
        <f aca="false">F5030*G5030</f>
        <v>-1</v>
      </c>
      <c r="R5030" s="0" t="n">
        <f aca="false">F5030*H5030</f>
        <v>-0.25</v>
      </c>
      <c r="S5030" s="0" t="n">
        <f aca="false">G5030*H5030</f>
        <v>0.25</v>
      </c>
      <c r="T5030" s="0" t="n">
        <f aca="false">E5030*E5030</f>
        <v>0.25</v>
      </c>
      <c r="U5030" s="0" t="n">
        <f aca="false">F5030*F5030</f>
        <v>1</v>
      </c>
      <c r="V5030" s="0" t="n">
        <f aca="false">G5030*G5030</f>
        <v>1</v>
      </c>
      <c r="W5030" s="0" t="n">
        <f aca="false">H5030*H5030</f>
        <v>0.0625</v>
      </c>
      <c r="X5030" s="0" t="n">
        <f aca="false">SUMPRODUCT(I5030:W5030,_XtX!$B$96:$P$96)</f>
        <v>46.6703399122807</v>
      </c>
      <c r="Y5030" s="0" t="n">
        <f aca="false">SUMPRODUCT(MMULT(I5030:W5030,_XtX!$B$78:$P$92),I5030:W5030)</f>
        <v>0.629174661915205</v>
      </c>
      <c r="Z5030" s="0" t="n">
        <f aca="false">04_回帰ANOVA!$K$19*04_回帰ANOVA!$K$14*SQRT(1+Y5030)</f>
        <v>1.66372758058297</v>
      </c>
      <c r="AA5030" s="0" t="n">
        <f aca="false">X5030-Z5030</f>
        <v>45.0066123316977</v>
      </c>
      <c r="AB5030" s="0" t="n">
        <f aca="false">X5030+Z5030</f>
        <v>48.3340674928636</v>
      </c>
      <c r="AC5030" s="54" t="b">
        <f aca="false">AND(E5030&gt;=01_因子設定!$L$5-0.000000001,E5030&lt;=01_因子設定!$M$5+0.000000001,F5030&gt;=01_因子設定!$L$6-0.000000001,F5030&lt;=01_因子設定!$M$6+0.000000001,G5030&gt;=01_因子設定!$L$7-0.000000001,G5030&lt;=01_因子設定!$M$7+0.000000001,H5030&gt;=01_因子設定!$L$8-0.000000001,H5030&lt;=01_因子設定!$M$8+0.000000001,IF(01_因子設定!$B$20="Box-Behnken",E5030^2+F5030^2+G5030^2+H5030^2&lt;=2+0.000000001,TRUE()))</f>
        <v>1</v>
      </c>
      <c r="AD5030" s="55" t="n">
        <f aca="false">IF(AC5030,IF(01_因子設定!$B$13="最大化",AA5030-01_因子設定!$B$14,IF(01_因子設定!$B$13="最小化",01_因子設定!$B$15-AB5030,MIN(AA5030-01_因子設定!$B$14,01_因子設定!$B$15-AB5030))),-1E+030)</f>
        <v>-1.4933876683023</v>
      </c>
      <c r="AE5030" s="55" t="n">
        <f aca="false">IF(AC5030,IF(01_因子設定!$B$13="最大化",X5030,IF(01_因子設定!$B$13="最小化",-X5030,-ABS(X5030-01_因子設定!$B$16))),-1E+030)</f>
        <v>46.6703399122807</v>
      </c>
      <c r="AF5030" s="55" t="n">
        <f aca="false">AD5030+ROW()*0.000000001</f>
        <v>-1.4933826383023</v>
      </c>
      <c r="AG5030" s="55" t="n">
        <f aca="false">AE5030+ROW()*0.000000001</f>
        <v>46.6703449422807</v>
      </c>
    </row>
    <row r="5031" customFormat="false" ht="15" hidden="false" customHeight="false" outlineLevel="0" collapsed="false">
      <c r="A5031" s="0" t="n">
        <v>6</v>
      </c>
      <c r="B5031" s="0" t="n">
        <v>8</v>
      </c>
      <c r="C5031" s="0" t="n">
        <v>0</v>
      </c>
      <c r="D5031" s="0" t="n">
        <v>4</v>
      </c>
      <c r="E5031" s="0" t="n">
        <f aca="false">-1+A5031*0.25</f>
        <v>0.5</v>
      </c>
      <c r="F5031" s="0" t="n">
        <f aca="false">-1+B5031*0.25</f>
        <v>1</v>
      </c>
      <c r="G5031" s="0" t="n">
        <f aca="false">-1+C5031*0.25</f>
        <v>-1</v>
      </c>
      <c r="H5031" s="0" t="n">
        <f aca="false">-1+D5031*0.25</f>
        <v>0</v>
      </c>
      <c r="I5031" s="0" t="n">
        <f aca="false">1</f>
        <v>1</v>
      </c>
      <c r="J5031" s="0" t="n">
        <f aca="false">E5031</f>
        <v>0.5</v>
      </c>
      <c r="K5031" s="0" t="n">
        <f aca="false">F5031</f>
        <v>1</v>
      </c>
      <c r="L5031" s="0" t="n">
        <f aca="false">G5031</f>
        <v>-1</v>
      </c>
      <c r="M5031" s="0" t="n">
        <f aca="false">H5031</f>
        <v>0</v>
      </c>
      <c r="N5031" s="0" t="n">
        <f aca="false">E5031*F5031</f>
        <v>0.5</v>
      </c>
      <c r="O5031" s="0" t="n">
        <f aca="false">E5031*G5031</f>
        <v>-0.5</v>
      </c>
      <c r="P5031" s="0" t="n">
        <f aca="false">E5031*H5031</f>
        <v>0</v>
      </c>
      <c r="Q5031" s="0" t="n">
        <f aca="false">F5031*G5031</f>
        <v>-1</v>
      </c>
      <c r="R5031" s="0" t="n">
        <f aca="false">F5031*H5031</f>
        <v>0</v>
      </c>
      <c r="S5031" s="0" t="n">
        <f aca="false">G5031*H5031</f>
        <v>-0</v>
      </c>
      <c r="T5031" s="0" t="n">
        <f aca="false">E5031*E5031</f>
        <v>0.25</v>
      </c>
      <c r="U5031" s="0" t="n">
        <f aca="false">F5031*F5031</f>
        <v>1</v>
      </c>
      <c r="V5031" s="0" t="n">
        <f aca="false">G5031*G5031</f>
        <v>1</v>
      </c>
      <c r="W5031" s="0" t="n">
        <f aca="false">H5031*H5031</f>
        <v>0</v>
      </c>
      <c r="X5031" s="0" t="n">
        <f aca="false">SUMPRODUCT(I5031:W5031,_XtX!$B$96:$P$96)</f>
        <v>46.6862573099415</v>
      </c>
      <c r="Y5031" s="0" t="n">
        <f aca="false">SUMPRODUCT(MMULT(I5031:W5031,_XtX!$B$78:$P$92),I5031:W5031)</f>
        <v>0.650767543859649</v>
      </c>
      <c r="Z5031" s="0" t="n">
        <f aca="false">04_回帰ANOVA!$K$19*04_回帰ANOVA!$K$14*SQRT(1+Y5031)</f>
        <v>1.67471670935165</v>
      </c>
      <c r="AA5031" s="0" t="n">
        <f aca="false">X5031-Z5031</f>
        <v>45.0115406005898</v>
      </c>
      <c r="AB5031" s="0" t="n">
        <f aca="false">X5031+Z5031</f>
        <v>48.3609740192931</v>
      </c>
      <c r="AC5031" s="54" t="b">
        <f aca="false">AND(E5031&gt;=01_因子設定!$L$5-0.000000001,E5031&lt;=01_因子設定!$M$5+0.000000001,F5031&gt;=01_因子設定!$L$6-0.000000001,F5031&lt;=01_因子設定!$M$6+0.000000001,G5031&gt;=01_因子設定!$L$7-0.000000001,G5031&lt;=01_因子設定!$M$7+0.000000001,H5031&gt;=01_因子設定!$L$8-0.000000001,H5031&lt;=01_因子設定!$M$8+0.000000001,IF(01_因子設定!$B$20="Box-Behnken",E5031^2+F5031^2+G5031^2+H5031^2&lt;=2+0.000000001,TRUE()))</f>
        <v>1</v>
      </c>
      <c r="AD5031" s="55" t="n">
        <f aca="false">IF(AC5031,IF(01_因子設定!$B$13="最大化",AA5031-01_因子設定!$B$14,IF(01_因子設定!$B$13="最小化",01_因子設定!$B$15-AB5031,MIN(AA5031-01_因子設定!$B$14,01_因子設定!$B$15-AB5031))),-1E+030)</f>
        <v>-1.48845939941017</v>
      </c>
      <c r="AE5031" s="55" t="n">
        <f aca="false">IF(AC5031,IF(01_因子設定!$B$13="最大化",X5031,IF(01_因子設定!$B$13="最小化",-X5031,-ABS(X5031-01_因子設定!$B$16))),-1E+030)</f>
        <v>46.6862573099415</v>
      </c>
      <c r="AF5031" s="55" t="n">
        <f aca="false">AD5031+ROW()*0.000000001</f>
        <v>-1.48845436841017</v>
      </c>
      <c r="AG5031" s="55" t="n">
        <f aca="false">AE5031+ROW()*0.000000001</f>
        <v>46.6862623409415</v>
      </c>
    </row>
    <row r="5032" customFormat="false" ht="15" hidden="false" customHeight="false" outlineLevel="0" collapsed="false">
      <c r="A5032" s="0" t="n">
        <v>6</v>
      </c>
      <c r="B5032" s="0" t="n">
        <v>8</v>
      </c>
      <c r="C5032" s="0" t="n">
        <v>0</v>
      </c>
      <c r="D5032" s="0" t="n">
        <v>5</v>
      </c>
      <c r="E5032" s="0" t="n">
        <f aca="false">-1+A5032*0.25</f>
        <v>0.5</v>
      </c>
      <c r="F5032" s="0" t="n">
        <f aca="false">-1+B5032*0.25</f>
        <v>1</v>
      </c>
      <c r="G5032" s="0" t="n">
        <f aca="false">-1+C5032*0.25</f>
        <v>-1</v>
      </c>
      <c r="H5032" s="0" t="n">
        <f aca="false">-1+D5032*0.25</f>
        <v>0.25</v>
      </c>
      <c r="I5032" s="0" t="n">
        <f aca="false">1</f>
        <v>1</v>
      </c>
      <c r="J5032" s="0" t="n">
        <f aca="false">E5032</f>
        <v>0.5</v>
      </c>
      <c r="K5032" s="0" t="n">
        <f aca="false">F5032</f>
        <v>1</v>
      </c>
      <c r="L5032" s="0" t="n">
        <f aca="false">G5032</f>
        <v>-1</v>
      </c>
      <c r="M5032" s="0" t="n">
        <f aca="false">H5032</f>
        <v>0.25</v>
      </c>
      <c r="N5032" s="0" t="n">
        <f aca="false">E5032*F5032</f>
        <v>0.5</v>
      </c>
      <c r="O5032" s="0" t="n">
        <f aca="false">E5032*G5032</f>
        <v>-0.5</v>
      </c>
      <c r="P5032" s="0" t="n">
        <f aca="false">E5032*H5032</f>
        <v>0.125</v>
      </c>
      <c r="Q5032" s="0" t="n">
        <f aca="false">F5032*G5032</f>
        <v>-1</v>
      </c>
      <c r="R5032" s="0" t="n">
        <f aca="false">F5032*H5032</f>
        <v>0.25</v>
      </c>
      <c r="S5032" s="0" t="n">
        <f aca="false">G5032*H5032</f>
        <v>-0.25</v>
      </c>
      <c r="T5032" s="0" t="n">
        <f aca="false">E5032*E5032</f>
        <v>0.25</v>
      </c>
      <c r="U5032" s="0" t="n">
        <f aca="false">F5032*F5032</f>
        <v>1</v>
      </c>
      <c r="V5032" s="0" t="n">
        <f aca="false">G5032*G5032</f>
        <v>1</v>
      </c>
      <c r="W5032" s="0" t="n">
        <f aca="false">H5032*H5032</f>
        <v>0.0625</v>
      </c>
      <c r="X5032" s="0" t="n">
        <f aca="false">SUMPRODUCT(I5032:W5032,_XtX!$B$96:$P$96)</f>
        <v>46.6543676900584</v>
      </c>
      <c r="Y5032" s="0" t="n">
        <f aca="false">SUMPRODUCT(MMULT(I5032:W5032,_XtX!$B$78:$P$92),I5032:W5032)</f>
        <v>0.629174661915205</v>
      </c>
      <c r="Z5032" s="0" t="n">
        <f aca="false">04_回帰ANOVA!$K$19*04_回帰ANOVA!$K$14*SQRT(1+Y5032)</f>
        <v>1.66372758058297</v>
      </c>
      <c r="AA5032" s="0" t="n">
        <f aca="false">X5032-Z5032</f>
        <v>44.9906401094755</v>
      </c>
      <c r="AB5032" s="0" t="n">
        <f aca="false">X5032+Z5032</f>
        <v>48.3180952706414</v>
      </c>
      <c r="AC5032" s="54" t="b">
        <f aca="false">AND(E5032&gt;=01_因子設定!$L$5-0.000000001,E5032&lt;=01_因子設定!$M$5+0.000000001,F5032&gt;=01_因子設定!$L$6-0.000000001,F5032&lt;=01_因子設定!$M$6+0.000000001,G5032&gt;=01_因子設定!$L$7-0.000000001,G5032&lt;=01_因子設定!$M$7+0.000000001,H5032&gt;=01_因子設定!$L$8-0.000000001,H5032&lt;=01_因子設定!$M$8+0.000000001,IF(01_因子設定!$B$20="Box-Behnken",E5032^2+F5032^2+G5032^2+H5032^2&lt;=2+0.000000001,TRUE()))</f>
        <v>1</v>
      </c>
      <c r="AD5032" s="55" t="n">
        <f aca="false">IF(AC5032,IF(01_因子設定!$B$13="最大化",AA5032-01_因子設定!$B$14,IF(01_因子設定!$B$13="最小化",01_因子設定!$B$15-AB5032,MIN(AA5032-01_因子設定!$B$14,01_因子設定!$B$15-AB5032))),-1E+030)</f>
        <v>-1.50935989052453</v>
      </c>
      <c r="AE5032" s="55" t="n">
        <f aca="false">IF(AC5032,IF(01_因子設定!$B$13="最大化",X5032,IF(01_因子設定!$B$13="最小化",-X5032,-ABS(X5032-01_因子設定!$B$16))),-1E+030)</f>
        <v>46.6543676900584</v>
      </c>
      <c r="AF5032" s="55" t="n">
        <f aca="false">AD5032+ROW()*0.000000001</f>
        <v>-1.50935485852453</v>
      </c>
      <c r="AG5032" s="55" t="n">
        <f aca="false">AE5032+ROW()*0.000000001</f>
        <v>46.6543727220584</v>
      </c>
    </row>
    <row r="5033" customFormat="false" ht="15" hidden="false" customHeight="false" outlineLevel="0" collapsed="false">
      <c r="A5033" s="0" t="n">
        <v>6</v>
      </c>
      <c r="B5033" s="0" t="n">
        <v>8</v>
      </c>
      <c r="C5033" s="0" t="n">
        <v>0</v>
      </c>
      <c r="D5033" s="0" t="n">
        <v>6</v>
      </c>
      <c r="E5033" s="0" t="n">
        <f aca="false">-1+A5033*0.25</f>
        <v>0.5</v>
      </c>
      <c r="F5033" s="0" t="n">
        <f aca="false">-1+B5033*0.25</f>
        <v>1</v>
      </c>
      <c r="G5033" s="0" t="n">
        <f aca="false">-1+C5033*0.25</f>
        <v>-1</v>
      </c>
      <c r="H5033" s="0" t="n">
        <f aca="false">-1+D5033*0.25</f>
        <v>0.5</v>
      </c>
      <c r="I5033" s="0" t="n">
        <f aca="false">1</f>
        <v>1</v>
      </c>
      <c r="J5033" s="0" t="n">
        <f aca="false">E5033</f>
        <v>0.5</v>
      </c>
      <c r="K5033" s="0" t="n">
        <f aca="false">F5033</f>
        <v>1</v>
      </c>
      <c r="L5033" s="0" t="n">
        <f aca="false">G5033</f>
        <v>-1</v>
      </c>
      <c r="M5033" s="0" t="n">
        <f aca="false">H5033</f>
        <v>0.5</v>
      </c>
      <c r="N5033" s="0" t="n">
        <f aca="false">E5033*F5033</f>
        <v>0.5</v>
      </c>
      <c r="O5033" s="0" t="n">
        <f aca="false">E5033*G5033</f>
        <v>-0.5</v>
      </c>
      <c r="P5033" s="0" t="n">
        <f aca="false">E5033*H5033</f>
        <v>0.25</v>
      </c>
      <c r="Q5033" s="0" t="n">
        <f aca="false">F5033*G5033</f>
        <v>-1</v>
      </c>
      <c r="R5033" s="0" t="n">
        <f aca="false">F5033*H5033</f>
        <v>0.5</v>
      </c>
      <c r="S5033" s="0" t="n">
        <f aca="false">G5033*H5033</f>
        <v>-0.5</v>
      </c>
      <c r="T5033" s="0" t="n">
        <f aca="false">E5033*E5033</f>
        <v>0.25</v>
      </c>
      <c r="U5033" s="0" t="n">
        <f aca="false">F5033*F5033</f>
        <v>1</v>
      </c>
      <c r="V5033" s="0" t="n">
        <f aca="false">G5033*G5033</f>
        <v>1</v>
      </c>
      <c r="W5033" s="0" t="n">
        <f aca="false">H5033*H5033</f>
        <v>0.25</v>
      </c>
      <c r="X5033" s="0" t="n">
        <f aca="false">SUMPRODUCT(I5033:W5033,_XtX!$B$96:$P$96)</f>
        <v>46.5746710526316</v>
      </c>
      <c r="Y5033" s="0" t="n">
        <f aca="false">SUMPRODUCT(MMULT(I5033:W5033,_XtX!$B$78:$P$92),I5033:W5033)</f>
        <v>0.582488121345029</v>
      </c>
      <c r="Z5033" s="0" t="n">
        <f aca="false">04_回帰ANOVA!$K$19*04_回帰ANOVA!$K$14*SQRT(1+Y5033)</f>
        <v>1.63971595338287</v>
      </c>
      <c r="AA5033" s="0" t="n">
        <f aca="false">X5033-Z5033</f>
        <v>44.9349550992487</v>
      </c>
      <c r="AB5033" s="0" t="n">
        <f aca="false">X5033+Z5033</f>
        <v>48.2143870060144</v>
      </c>
      <c r="AC5033" s="54" t="b">
        <f aca="false">AND(E5033&gt;=01_因子設定!$L$5-0.000000001,E5033&lt;=01_因子設定!$M$5+0.000000001,F5033&gt;=01_因子設定!$L$6-0.000000001,F5033&lt;=01_因子設定!$M$6+0.000000001,G5033&gt;=01_因子設定!$L$7-0.000000001,G5033&lt;=01_因子設定!$M$7+0.000000001,H5033&gt;=01_因子設定!$L$8-0.000000001,H5033&lt;=01_因子設定!$M$8+0.000000001,IF(01_因子設定!$B$20="Box-Behnken",E5033^2+F5033^2+G5033^2+H5033^2&lt;=2+0.000000001,TRUE()))</f>
        <v>1</v>
      </c>
      <c r="AD5033" s="55" t="n">
        <f aca="false">IF(AC5033,IF(01_因子設定!$B$13="最大化",AA5033-01_因子設定!$B$14,IF(01_因子設定!$B$13="最小化",01_因子設定!$B$15-AB5033,MIN(AA5033-01_因子設定!$B$14,01_因子設定!$B$15-AB5033))),-1E+030)</f>
        <v>-1.56504490075132</v>
      </c>
      <c r="AE5033" s="55" t="n">
        <f aca="false">IF(AC5033,IF(01_因子設定!$B$13="最大化",X5033,IF(01_因子設定!$B$13="最小化",-X5033,-ABS(X5033-01_因子設定!$B$16))),-1E+030)</f>
        <v>46.5746710526316</v>
      </c>
      <c r="AF5033" s="55" t="n">
        <f aca="false">AD5033+ROW()*0.000000001</f>
        <v>-1.56503986775132</v>
      </c>
      <c r="AG5033" s="55" t="n">
        <f aca="false">AE5033+ROW()*0.000000001</f>
        <v>46.5746760856316</v>
      </c>
    </row>
    <row r="5034" customFormat="false" ht="15" hidden="false" customHeight="false" outlineLevel="0" collapsed="false">
      <c r="A5034" s="0" t="n">
        <v>6</v>
      </c>
      <c r="B5034" s="0" t="n">
        <v>8</v>
      </c>
      <c r="C5034" s="0" t="n">
        <v>0</v>
      </c>
      <c r="D5034" s="0" t="n">
        <v>7</v>
      </c>
      <c r="E5034" s="0" t="n">
        <f aca="false">-1+A5034*0.25</f>
        <v>0.5</v>
      </c>
      <c r="F5034" s="0" t="n">
        <f aca="false">-1+B5034*0.25</f>
        <v>1</v>
      </c>
      <c r="G5034" s="0" t="n">
        <f aca="false">-1+C5034*0.25</f>
        <v>-1</v>
      </c>
      <c r="H5034" s="0" t="n">
        <f aca="false">-1+D5034*0.25</f>
        <v>0.75</v>
      </c>
      <c r="I5034" s="0" t="n">
        <f aca="false">1</f>
        <v>1</v>
      </c>
      <c r="J5034" s="0" t="n">
        <f aca="false">E5034</f>
        <v>0.5</v>
      </c>
      <c r="K5034" s="0" t="n">
        <f aca="false">F5034</f>
        <v>1</v>
      </c>
      <c r="L5034" s="0" t="n">
        <f aca="false">G5034</f>
        <v>-1</v>
      </c>
      <c r="M5034" s="0" t="n">
        <f aca="false">H5034</f>
        <v>0.75</v>
      </c>
      <c r="N5034" s="0" t="n">
        <f aca="false">E5034*F5034</f>
        <v>0.5</v>
      </c>
      <c r="O5034" s="0" t="n">
        <f aca="false">E5034*G5034</f>
        <v>-0.5</v>
      </c>
      <c r="P5034" s="0" t="n">
        <f aca="false">E5034*H5034</f>
        <v>0.375</v>
      </c>
      <c r="Q5034" s="0" t="n">
        <f aca="false">F5034*G5034</f>
        <v>-1</v>
      </c>
      <c r="R5034" s="0" t="n">
        <f aca="false">F5034*H5034</f>
        <v>0.75</v>
      </c>
      <c r="S5034" s="0" t="n">
        <f aca="false">G5034*H5034</f>
        <v>-0.75</v>
      </c>
      <c r="T5034" s="0" t="n">
        <f aca="false">E5034*E5034</f>
        <v>0.25</v>
      </c>
      <c r="U5034" s="0" t="n">
        <f aca="false">F5034*F5034</f>
        <v>1</v>
      </c>
      <c r="V5034" s="0" t="n">
        <f aca="false">G5034*G5034</f>
        <v>1</v>
      </c>
      <c r="W5034" s="0" t="n">
        <f aca="false">H5034*H5034</f>
        <v>0.5625</v>
      </c>
      <c r="X5034" s="0" t="n">
        <f aca="false">SUMPRODUCT(I5034:W5034,_XtX!$B$96:$P$96)</f>
        <v>46.4471673976608</v>
      </c>
      <c r="Y5034" s="0" t="n">
        <f aca="false">SUMPRODUCT(MMULT(I5034:W5034,_XtX!$B$78:$P$92),I5034:W5034)</f>
        <v>0.564984237938597</v>
      </c>
      <c r="Z5034" s="0" t="n">
        <f aca="false">04_回帰ANOVA!$K$19*04_回帰ANOVA!$K$14*SQRT(1+Y5034)</f>
        <v>1.63062229734503</v>
      </c>
      <c r="AA5034" s="0" t="n">
        <f aca="false">X5034-Z5034</f>
        <v>44.8165451003158</v>
      </c>
      <c r="AB5034" s="0" t="n">
        <f aca="false">X5034+Z5034</f>
        <v>48.0777896950058</v>
      </c>
      <c r="AC5034" s="54" t="b">
        <f aca="false">AND(E5034&gt;=01_因子設定!$L$5-0.000000001,E5034&lt;=01_因子設定!$M$5+0.000000001,F5034&gt;=01_因子設定!$L$6-0.000000001,F5034&lt;=01_因子設定!$M$6+0.000000001,G5034&gt;=01_因子設定!$L$7-0.000000001,G5034&lt;=01_因子設定!$M$7+0.000000001,H5034&gt;=01_因子設定!$L$8-0.000000001,H5034&lt;=01_因子設定!$M$8+0.000000001,IF(01_因子設定!$B$20="Box-Behnken",E5034^2+F5034^2+G5034^2+H5034^2&lt;=2+0.000000001,TRUE()))</f>
        <v>1</v>
      </c>
      <c r="AD5034" s="55" t="n">
        <f aca="false">IF(AC5034,IF(01_因子設定!$B$13="最大化",AA5034-01_因子設定!$B$14,IF(01_因子設定!$B$13="最小化",01_因子設定!$B$15-AB5034,MIN(AA5034-01_因子設定!$B$14,01_因子設定!$B$15-AB5034))),-1E+030)</f>
        <v>-1.68345489968424</v>
      </c>
      <c r="AE5034" s="55" t="n">
        <f aca="false">IF(AC5034,IF(01_因子設定!$B$13="最大化",X5034,IF(01_因子設定!$B$13="最小化",-X5034,-ABS(X5034-01_因子設定!$B$16))),-1E+030)</f>
        <v>46.4471673976608</v>
      </c>
      <c r="AF5034" s="55" t="n">
        <f aca="false">AD5034+ROW()*0.000000001</f>
        <v>-1.68344986568424</v>
      </c>
      <c r="AG5034" s="55" t="n">
        <f aca="false">AE5034+ROW()*0.000000001</f>
        <v>46.4471724316608</v>
      </c>
    </row>
    <row r="5035" customFormat="false" ht="15" hidden="false" customHeight="false" outlineLevel="0" collapsed="false">
      <c r="A5035" s="0" t="n">
        <v>6</v>
      </c>
      <c r="B5035" s="0" t="n">
        <v>8</v>
      </c>
      <c r="C5035" s="0" t="n">
        <v>0</v>
      </c>
      <c r="D5035" s="0" t="n">
        <v>8</v>
      </c>
      <c r="E5035" s="0" t="n">
        <f aca="false">-1+A5035*0.25</f>
        <v>0.5</v>
      </c>
      <c r="F5035" s="0" t="n">
        <f aca="false">-1+B5035*0.25</f>
        <v>1</v>
      </c>
      <c r="G5035" s="0" t="n">
        <f aca="false">-1+C5035*0.25</f>
        <v>-1</v>
      </c>
      <c r="H5035" s="0" t="n">
        <f aca="false">-1+D5035*0.25</f>
        <v>1</v>
      </c>
      <c r="I5035" s="0" t="n">
        <f aca="false">1</f>
        <v>1</v>
      </c>
      <c r="J5035" s="0" t="n">
        <f aca="false">E5035</f>
        <v>0.5</v>
      </c>
      <c r="K5035" s="0" t="n">
        <f aca="false">F5035</f>
        <v>1</v>
      </c>
      <c r="L5035" s="0" t="n">
        <f aca="false">G5035</f>
        <v>-1</v>
      </c>
      <c r="M5035" s="0" t="n">
        <f aca="false">H5035</f>
        <v>1</v>
      </c>
      <c r="N5035" s="0" t="n">
        <f aca="false">E5035*F5035</f>
        <v>0.5</v>
      </c>
      <c r="O5035" s="0" t="n">
        <f aca="false">E5035*G5035</f>
        <v>-0.5</v>
      </c>
      <c r="P5035" s="0" t="n">
        <f aca="false">E5035*H5035</f>
        <v>0.5</v>
      </c>
      <c r="Q5035" s="0" t="n">
        <f aca="false">F5035*G5035</f>
        <v>-1</v>
      </c>
      <c r="R5035" s="0" t="n">
        <f aca="false">F5035*H5035</f>
        <v>1</v>
      </c>
      <c r="S5035" s="0" t="n">
        <f aca="false">G5035*H5035</f>
        <v>-1</v>
      </c>
      <c r="T5035" s="0" t="n">
        <f aca="false">E5035*E5035</f>
        <v>0.25</v>
      </c>
      <c r="U5035" s="0" t="n">
        <f aca="false">F5035*F5035</f>
        <v>1</v>
      </c>
      <c r="V5035" s="0" t="n">
        <f aca="false">G5035*G5035</f>
        <v>1</v>
      </c>
      <c r="W5035" s="0" t="n">
        <f aca="false">H5035*H5035</f>
        <v>1</v>
      </c>
      <c r="X5035" s="0" t="n">
        <f aca="false">SUMPRODUCT(I5035:W5035,_XtX!$B$96:$P$96)</f>
        <v>46.2718567251462</v>
      </c>
      <c r="Y5035" s="0" t="n">
        <f aca="false">SUMPRODUCT(MMULT(I5035:W5035,_XtX!$B$78:$P$92),I5035:W5035)</f>
        <v>0.667123538011696</v>
      </c>
      <c r="Z5035" s="0" t="n">
        <f aca="false">04_回帰ANOVA!$K$19*04_回帰ANOVA!$K$14*SQRT(1+Y5035)</f>
        <v>1.68299290213005</v>
      </c>
      <c r="AA5035" s="0" t="n">
        <f aca="false">X5035-Z5035</f>
        <v>44.5888638230161</v>
      </c>
      <c r="AB5035" s="0" t="n">
        <f aca="false">X5035+Z5035</f>
        <v>47.9548496272762</v>
      </c>
      <c r="AC5035" s="54" t="b">
        <f aca="false">AND(E5035&gt;=01_因子設定!$L$5-0.000000001,E5035&lt;=01_因子設定!$M$5+0.000000001,F5035&gt;=01_因子設定!$L$6-0.000000001,F5035&lt;=01_因子設定!$M$6+0.000000001,G5035&gt;=01_因子設定!$L$7-0.000000001,G5035&lt;=01_因子設定!$M$7+0.000000001,H5035&gt;=01_因子設定!$L$8-0.000000001,H5035&lt;=01_因子設定!$M$8+0.000000001,IF(01_因子設定!$B$20="Box-Behnken",E5035^2+F5035^2+G5035^2+H5035^2&lt;=2+0.000000001,TRUE()))</f>
        <v>1</v>
      </c>
      <c r="AD5035" s="55" t="n">
        <f aca="false">IF(AC5035,IF(01_因子設定!$B$13="最大化",AA5035-01_因子設定!$B$14,IF(01_因子設定!$B$13="最小化",01_因子設定!$B$15-AB5035,MIN(AA5035-01_因子設定!$B$14,01_因子設定!$B$15-AB5035))),-1E+030)</f>
        <v>-1.91113617698386</v>
      </c>
      <c r="AE5035" s="55" t="n">
        <f aca="false">IF(AC5035,IF(01_因子設定!$B$13="最大化",X5035,IF(01_因子設定!$B$13="最小化",-X5035,-ABS(X5035-01_因子設定!$B$16))),-1E+030)</f>
        <v>46.2718567251462</v>
      </c>
      <c r="AF5035" s="55" t="n">
        <f aca="false">AD5035+ROW()*0.000000001</f>
        <v>-1.91113114198386</v>
      </c>
      <c r="AG5035" s="55" t="n">
        <f aca="false">AE5035+ROW()*0.000000001</f>
        <v>46.2718617601462</v>
      </c>
    </row>
    <row r="5036" customFormat="false" ht="15" hidden="false" customHeight="false" outlineLevel="0" collapsed="false">
      <c r="A5036" s="0" t="n">
        <v>6</v>
      </c>
      <c r="B5036" s="0" t="n">
        <v>8</v>
      </c>
      <c r="C5036" s="0" t="n">
        <v>1</v>
      </c>
      <c r="D5036" s="0" t="n">
        <v>0</v>
      </c>
      <c r="E5036" s="0" t="n">
        <f aca="false">-1+A5036*0.25</f>
        <v>0.5</v>
      </c>
      <c r="F5036" s="0" t="n">
        <f aca="false">-1+B5036*0.25</f>
        <v>1</v>
      </c>
      <c r="G5036" s="0" t="n">
        <f aca="false">-1+C5036*0.25</f>
        <v>-0.75</v>
      </c>
      <c r="H5036" s="0" t="n">
        <f aca="false">-1+D5036*0.25</f>
        <v>-1</v>
      </c>
      <c r="I5036" s="0" t="n">
        <f aca="false">1</f>
        <v>1</v>
      </c>
      <c r="J5036" s="0" t="n">
        <f aca="false">E5036</f>
        <v>0.5</v>
      </c>
      <c r="K5036" s="0" t="n">
        <f aca="false">F5036</f>
        <v>1</v>
      </c>
      <c r="L5036" s="0" t="n">
        <f aca="false">G5036</f>
        <v>-0.75</v>
      </c>
      <c r="M5036" s="0" t="n">
        <f aca="false">H5036</f>
        <v>-1</v>
      </c>
      <c r="N5036" s="0" t="n">
        <f aca="false">E5036*F5036</f>
        <v>0.5</v>
      </c>
      <c r="O5036" s="0" t="n">
        <f aca="false">E5036*G5036</f>
        <v>-0.375</v>
      </c>
      <c r="P5036" s="0" t="n">
        <f aca="false">E5036*H5036</f>
        <v>-0.5</v>
      </c>
      <c r="Q5036" s="0" t="n">
        <f aca="false">F5036*G5036</f>
        <v>-0.75</v>
      </c>
      <c r="R5036" s="0" t="n">
        <f aca="false">F5036*H5036</f>
        <v>-1</v>
      </c>
      <c r="S5036" s="0" t="n">
        <f aca="false">G5036*H5036</f>
        <v>0.75</v>
      </c>
      <c r="T5036" s="0" t="n">
        <f aca="false">E5036*E5036</f>
        <v>0.25</v>
      </c>
      <c r="U5036" s="0" t="n">
        <f aca="false">F5036*F5036</f>
        <v>1</v>
      </c>
      <c r="V5036" s="0" t="n">
        <f aca="false">G5036*G5036</f>
        <v>0.5625</v>
      </c>
      <c r="W5036" s="0" t="n">
        <f aca="false">H5036*H5036</f>
        <v>1</v>
      </c>
      <c r="X5036" s="0" t="n">
        <f aca="false">SUMPRODUCT(I5036:W5036,_XtX!$B$96:$P$96)</f>
        <v>46.8051535087719</v>
      </c>
      <c r="Y5036" s="0" t="n">
        <f aca="false">SUMPRODUCT(MMULT(I5036:W5036,_XtX!$B$78:$P$92),I5036:W5036)</f>
        <v>0.564984237938597</v>
      </c>
      <c r="Z5036" s="0" t="n">
        <f aca="false">04_回帰ANOVA!$K$19*04_回帰ANOVA!$K$14*SQRT(1+Y5036)</f>
        <v>1.63062229734503</v>
      </c>
      <c r="AA5036" s="0" t="n">
        <f aca="false">X5036-Z5036</f>
        <v>45.1745312114269</v>
      </c>
      <c r="AB5036" s="0" t="n">
        <f aca="false">X5036+Z5036</f>
        <v>48.435775806117</v>
      </c>
      <c r="AC5036" s="54" t="b">
        <f aca="false">AND(E5036&gt;=01_因子設定!$L$5-0.000000001,E5036&lt;=01_因子設定!$M$5+0.000000001,F5036&gt;=01_因子設定!$L$6-0.000000001,F5036&lt;=01_因子設定!$M$6+0.000000001,G5036&gt;=01_因子設定!$L$7-0.000000001,G5036&lt;=01_因子設定!$M$7+0.000000001,H5036&gt;=01_因子設定!$L$8-0.000000001,H5036&lt;=01_因子設定!$M$8+0.000000001,IF(01_因子設定!$B$20="Box-Behnken",E5036^2+F5036^2+G5036^2+H5036^2&lt;=2+0.000000001,TRUE()))</f>
        <v>1</v>
      </c>
      <c r="AD5036" s="55" t="n">
        <f aca="false">IF(AC5036,IF(01_因子設定!$B$13="最大化",AA5036-01_因子設定!$B$14,IF(01_因子設定!$B$13="最小化",01_因子設定!$B$15-AB5036,MIN(AA5036-01_因子設定!$B$14,01_因子設定!$B$15-AB5036))),-1E+030)</f>
        <v>-1.32546878857311</v>
      </c>
      <c r="AE5036" s="55" t="n">
        <f aca="false">IF(AC5036,IF(01_因子設定!$B$13="最大化",X5036,IF(01_因子設定!$B$13="最小化",-X5036,-ABS(X5036-01_因子設定!$B$16))),-1E+030)</f>
        <v>46.8051535087719</v>
      </c>
      <c r="AF5036" s="55" t="n">
        <f aca="false">AD5036+ROW()*0.000000001</f>
        <v>-1.32546375257311</v>
      </c>
      <c r="AG5036" s="55" t="n">
        <f aca="false">AE5036+ROW()*0.000000001</f>
        <v>46.8051585447719</v>
      </c>
    </row>
    <row r="5037" customFormat="false" ht="15" hidden="false" customHeight="false" outlineLevel="0" collapsed="false">
      <c r="A5037" s="0" t="n">
        <v>6</v>
      </c>
      <c r="B5037" s="0" t="n">
        <v>8</v>
      </c>
      <c r="C5037" s="0" t="n">
        <v>1</v>
      </c>
      <c r="D5037" s="0" t="n">
        <v>1</v>
      </c>
      <c r="E5037" s="0" t="n">
        <f aca="false">-1+A5037*0.25</f>
        <v>0.5</v>
      </c>
      <c r="F5037" s="0" t="n">
        <f aca="false">-1+B5037*0.25</f>
        <v>1</v>
      </c>
      <c r="G5037" s="0" t="n">
        <f aca="false">-1+C5037*0.25</f>
        <v>-0.75</v>
      </c>
      <c r="H5037" s="0" t="n">
        <f aca="false">-1+D5037*0.25</f>
        <v>-0.75</v>
      </c>
      <c r="I5037" s="0" t="n">
        <f aca="false">1</f>
        <v>1</v>
      </c>
      <c r="J5037" s="0" t="n">
        <f aca="false">E5037</f>
        <v>0.5</v>
      </c>
      <c r="K5037" s="0" t="n">
        <f aca="false">F5037</f>
        <v>1</v>
      </c>
      <c r="L5037" s="0" t="n">
        <f aca="false">G5037</f>
        <v>-0.75</v>
      </c>
      <c r="M5037" s="0" t="n">
        <f aca="false">H5037</f>
        <v>-0.75</v>
      </c>
      <c r="N5037" s="0" t="n">
        <f aca="false">E5037*F5037</f>
        <v>0.5</v>
      </c>
      <c r="O5037" s="0" t="n">
        <f aca="false">E5037*G5037</f>
        <v>-0.375</v>
      </c>
      <c r="P5037" s="0" t="n">
        <f aca="false">E5037*H5037</f>
        <v>-0.375</v>
      </c>
      <c r="Q5037" s="0" t="n">
        <f aca="false">F5037*G5037</f>
        <v>-0.75</v>
      </c>
      <c r="R5037" s="0" t="n">
        <f aca="false">F5037*H5037</f>
        <v>-0.75</v>
      </c>
      <c r="S5037" s="0" t="n">
        <f aca="false">G5037*H5037</f>
        <v>0.5625</v>
      </c>
      <c r="T5037" s="0" t="n">
        <f aca="false">E5037*E5037</f>
        <v>0.25</v>
      </c>
      <c r="U5037" s="0" t="n">
        <f aca="false">F5037*F5037</f>
        <v>1</v>
      </c>
      <c r="V5037" s="0" t="n">
        <f aca="false">G5037*G5037</f>
        <v>0.5625</v>
      </c>
      <c r="W5037" s="0" t="n">
        <f aca="false">H5037*H5037</f>
        <v>0.5625</v>
      </c>
      <c r="X5037" s="0" t="n">
        <f aca="false">SUMPRODUCT(I5037:W5037,_XtX!$B$96:$P$96)</f>
        <v>46.9824607090643</v>
      </c>
      <c r="Y5037" s="0" t="n">
        <f aca="false">SUMPRODUCT(MMULT(I5037:W5037,_XtX!$B$78:$P$92),I5037:W5037)</f>
        <v>0.431153771472953</v>
      </c>
      <c r="Z5037" s="0" t="n">
        <f aca="false">04_回帰ANOVA!$K$19*04_回帰ANOVA!$K$14*SQRT(1+Y5037)</f>
        <v>1.55934259562563</v>
      </c>
      <c r="AA5037" s="0" t="n">
        <f aca="false">X5037-Z5037</f>
        <v>45.4231181134387</v>
      </c>
      <c r="AB5037" s="0" t="n">
        <f aca="false">X5037+Z5037</f>
        <v>48.5418033046899</v>
      </c>
      <c r="AC5037" s="54" t="b">
        <f aca="false">AND(E5037&gt;=01_因子設定!$L$5-0.000000001,E5037&lt;=01_因子設定!$M$5+0.000000001,F5037&gt;=01_因子設定!$L$6-0.000000001,F5037&lt;=01_因子設定!$M$6+0.000000001,G5037&gt;=01_因子設定!$L$7-0.000000001,G5037&lt;=01_因子設定!$M$7+0.000000001,H5037&gt;=01_因子設定!$L$8-0.000000001,H5037&lt;=01_因子設定!$M$8+0.000000001,IF(01_因子設定!$B$20="Box-Behnken",E5037^2+F5037^2+G5037^2+H5037^2&lt;=2+0.000000001,TRUE()))</f>
        <v>1</v>
      </c>
      <c r="AD5037" s="55" t="n">
        <f aca="false">IF(AC5037,IF(01_因子設定!$B$13="最大化",AA5037-01_因子設定!$B$14,IF(01_因子設定!$B$13="最小化",01_因子設定!$B$15-AB5037,MIN(AA5037-01_因子設定!$B$14,01_因子設定!$B$15-AB5037))),-1E+030)</f>
        <v>-1.07688188656132</v>
      </c>
      <c r="AE5037" s="55" t="n">
        <f aca="false">IF(AC5037,IF(01_因子設定!$B$13="最大化",X5037,IF(01_因子設定!$B$13="最小化",-X5037,-ABS(X5037-01_因子設定!$B$16))),-1E+030)</f>
        <v>46.9824607090643</v>
      </c>
      <c r="AF5037" s="55" t="n">
        <f aca="false">AD5037+ROW()*0.000000001</f>
        <v>-1.07687684956132</v>
      </c>
      <c r="AG5037" s="55" t="n">
        <f aca="false">AE5037+ROW()*0.000000001</f>
        <v>46.9824657460643</v>
      </c>
    </row>
    <row r="5038" customFormat="false" ht="15" hidden="false" customHeight="false" outlineLevel="0" collapsed="false">
      <c r="A5038" s="0" t="n">
        <v>6</v>
      </c>
      <c r="B5038" s="0" t="n">
        <v>8</v>
      </c>
      <c r="C5038" s="0" t="n">
        <v>1</v>
      </c>
      <c r="D5038" s="0" t="n">
        <v>2</v>
      </c>
      <c r="E5038" s="0" t="n">
        <f aca="false">-1+A5038*0.25</f>
        <v>0.5</v>
      </c>
      <c r="F5038" s="0" t="n">
        <f aca="false">-1+B5038*0.25</f>
        <v>1</v>
      </c>
      <c r="G5038" s="0" t="n">
        <f aca="false">-1+C5038*0.25</f>
        <v>-0.75</v>
      </c>
      <c r="H5038" s="0" t="n">
        <f aca="false">-1+D5038*0.25</f>
        <v>-0.5</v>
      </c>
      <c r="I5038" s="0" t="n">
        <f aca="false">1</f>
        <v>1</v>
      </c>
      <c r="J5038" s="0" t="n">
        <f aca="false">E5038</f>
        <v>0.5</v>
      </c>
      <c r="K5038" s="0" t="n">
        <f aca="false">F5038</f>
        <v>1</v>
      </c>
      <c r="L5038" s="0" t="n">
        <f aca="false">G5038</f>
        <v>-0.75</v>
      </c>
      <c r="M5038" s="0" t="n">
        <f aca="false">H5038</f>
        <v>-0.5</v>
      </c>
      <c r="N5038" s="0" t="n">
        <f aca="false">E5038*F5038</f>
        <v>0.5</v>
      </c>
      <c r="O5038" s="0" t="n">
        <f aca="false">E5038*G5038</f>
        <v>-0.375</v>
      </c>
      <c r="P5038" s="0" t="n">
        <f aca="false">E5038*H5038</f>
        <v>-0.25</v>
      </c>
      <c r="Q5038" s="0" t="n">
        <f aca="false">F5038*G5038</f>
        <v>-0.75</v>
      </c>
      <c r="R5038" s="0" t="n">
        <f aca="false">F5038*H5038</f>
        <v>-0.5</v>
      </c>
      <c r="S5038" s="0" t="n">
        <f aca="false">G5038*H5038</f>
        <v>0.375</v>
      </c>
      <c r="T5038" s="0" t="n">
        <f aca="false">E5038*E5038</f>
        <v>0.25</v>
      </c>
      <c r="U5038" s="0" t="n">
        <f aca="false">F5038*F5038</f>
        <v>1</v>
      </c>
      <c r="V5038" s="0" t="n">
        <f aca="false">G5038*G5038</f>
        <v>0.5625</v>
      </c>
      <c r="W5038" s="0" t="n">
        <f aca="false">H5038*H5038</f>
        <v>0.25</v>
      </c>
      <c r="X5038" s="0" t="n">
        <f aca="false">SUMPRODUCT(I5038:W5038,_XtX!$B$96:$P$96)</f>
        <v>47.1119608918128</v>
      </c>
      <c r="Y5038" s="0" t="n">
        <f aca="false">SUMPRODUCT(MMULT(I5038:W5038,_XtX!$B$78:$P$92),I5038:W5038)</f>
        <v>0.42602110745614</v>
      </c>
      <c r="Z5038" s="0" t="n">
        <f aca="false">04_回帰ANOVA!$K$19*04_回帰ANOVA!$K$14*SQRT(1+Y5038)</f>
        <v>1.55654388501114</v>
      </c>
      <c r="AA5038" s="0" t="n">
        <f aca="false">X5038-Z5038</f>
        <v>45.5554170068017</v>
      </c>
      <c r="AB5038" s="0" t="n">
        <f aca="false">X5038+Z5038</f>
        <v>48.668504776824</v>
      </c>
      <c r="AC5038" s="54" t="b">
        <f aca="false">AND(E5038&gt;=01_因子設定!$L$5-0.000000001,E5038&lt;=01_因子設定!$M$5+0.000000001,F5038&gt;=01_因子設定!$L$6-0.000000001,F5038&lt;=01_因子設定!$M$6+0.000000001,G5038&gt;=01_因子設定!$L$7-0.000000001,G5038&lt;=01_因子設定!$M$7+0.000000001,H5038&gt;=01_因子設定!$L$8-0.000000001,H5038&lt;=01_因子設定!$M$8+0.000000001,IF(01_因子設定!$B$20="Box-Behnken",E5038^2+F5038^2+G5038^2+H5038^2&lt;=2+0.000000001,TRUE()))</f>
        <v>1</v>
      </c>
      <c r="AD5038" s="55" t="n">
        <f aca="false">IF(AC5038,IF(01_因子設定!$B$13="最大化",AA5038-01_因子設定!$B$14,IF(01_因子設定!$B$13="最小化",01_因子設定!$B$15-AB5038,MIN(AA5038-01_因子設定!$B$14,01_因子設定!$B$15-AB5038))),-1E+030)</f>
        <v>-0.944582993198303</v>
      </c>
      <c r="AE5038" s="55" t="n">
        <f aca="false">IF(AC5038,IF(01_因子設定!$B$13="最大化",X5038,IF(01_因子設定!$B$13="最小化",-X5038,-ABS(X5038-01_因子設定!$B$16))),-1E+030)</f>
        <v>47.1119608918128</v>
      </c>
      <c r="AF5038" s="55" t="n">
        <f aca="false">AD5038+ROW()*0.000000001</f>
        <v>-0.944577955198303</v>
      </c>
      <c r="AG5038" s="55" t="n">
        <f aca="false">AE5038+ROW()*0.000000001</f>
        <v>47.1119659298128</v>
      </c>
    </row>
    <row r="5039" customFormat="false" ht="15" hidden="false" customHeight="false" outlineLevel="0" collapsed="false">
      <c r="A5039" s="0" t="n">
        <v>6</v>
      </c>
      <c r="B5039" s="0" t="n">
        <v>8</v>
      </c>
      <c r="C5039" s="0" t="n">
        <v>1</v>
      </c>
      <c r="D5039" s="0" t="n">
        <v>3</v>
      </c>
      <c r="E5039" s="0" t="n">
        <f aca="false">-1+A5039*0.25</f>
        <v>0.5</v>
      </c>
      <c r="F5039" s="0" t="n">
        <f aca="false">-1+B5039*0.25</f>
        <v>1</v>
      </c>
      <c r="G5039" s="0" t="n">
        <f aca="false">-1+C5039*0.25</f>
        <v>-0.75</v>
      </c>
      <c r="H5039" s="0" t="n">
        <f aca="false">-1+D5039*0.25</f>
        <v>-0.25</v>
      </c>
      <c r="I5039" s="0" t="n">
        <f aca="false">1</f>
        <v>1</v>
      </c>
      <c r="J5039" s="0" t="n">
        <f aca="false">E5039</f>
        <v>0.5</v>
      </c>
      <c r="K5039" s="0" t="n">
        <f aca="false">F5039</f>
        <v>1</v>
      </c>
      <c r="L5039" s="0" t="n">
        <f aca="false">G5039</f>
        <v>-0.75</v>
      </c>
      <c r="M5039" s="0" t="n">
        <f aca="false">H5039</f>
        <v>-0.25</v>
      </c>
      <c r="N5039" s="0" t="n">
        <f aca="false">E5039*F5039</f>
        <v>0.5</v>
      </c>
      <c r="O5039" s="0" t="n">
        <f aca="false">E5039*G5039</f>
        <v>-0.375</v>
      </c>
      <c r="P5039" s="0" t="n">
        <f aca="false">E5039*H5039</f>
        <v>-0.125</v>
      </c>
      <c r="Q5039" s="0" t="n">
        <f aca="false">F5039*G5039</f>
        <v>-0.75</v>
      </c>
      <c r="R5039" s="0" t="n">
        <f aca="false">F5039*H5039</f>
        <v>-0.25</v>
      </c>
      <c r="S5039" s="0" t="n">
        <f aca="false">G5039*H5039</f>
        <v>0.1875</v>
      </c>
      <c r="T5039" s="0" t="n">
        <f aca="false">E5039*E5039</f>
        <v>0.25</v>
      </c>
      <c r="U5039" s="0" t="n">
        <f aca="false">F5039*F5039</f>
        <v>1</v>
      </c>
      <c r="V5039" s="0" t="n">
        <f aca="false">G5039*G5039</f>
        <v>0.5625</v>
      </c>
      <c r="W5039" s="0" t="n">
        <f aca="false">H5039*H5039</f>
        <v>0.0625</v>
      </c>
      <c r="X5039" s="0" t="n">
        <f aca="false">SUMPRODUCT(I5039:W5039,_XtX!$B$96:$P$96)</f>
        <v>47.1936540570175</v>
      </c>
      <c r="Y5039" s="0" t="n">
        <f aca="false">SUMPRODUCT(MMULT(I5039:W5039,_XtX!$B$78:$P$92),I5039:W5039)</f>
        <v>0.459125719572369</v>
      </c>
      <c r="Z5039" s="0" t="n">
        <f aca="false">04_回帰ANOVA!$K$19*04_回帰ANOVA!$K$14*SQRT(1+Y5039)</f>
        <v>1.57450755575573</v>
      </c>
      <c r="AA5039" s="0" t="n">
        <f aca="false">X5039-Z5039</f>
        <v>45.6191465012618</v>
      </c>
      <c r="AB5039" s="0" t="n">
        <f aca="false">X5039+Z5039</f>
        <v>48.7681616127732</v>
      </c>
      <c r="AC5039" s="54" t="b">
        <f aca="false">AND(E5039&gt;=01_因子設定!$L$5-0.000000001,E5039&lt;=01_因子設定!$M$5+0.000000001,F5039&gt;=01_因子設定!$L$6-0.000000001,F5039&lt;=01_因子設定!$M$6+0.000000001,G5039&gt;=01_因子設定!$L$7-0.000000001,G5039&lt;=01_因子設定!$M$7+0.000000001,H5039&gt;=01_因子設定!$L$8-0.000000001,H5039&lt;=01_因子設定!$M$8+0.000000001,IF(01_因子設定!$B$20="Box-Behnken",E5039^2+F5039^2+G5039^2+H5039^2&lt;=2+0.000000001,TRUE()))</f>
        <v>1</v>
      </c>
      <c r="AD5039" s="55" t="n">
        <f aca="false">IF(AC5039,IF(01_因子設定!$B$13="最大化",AA5039-01_因子設定!$B$14,IF(01_因子設定!$B$13="最小化",01_因子設定!$B$15-AB5039,MIN(AA5039-01_因子設定!$B$14,01_因子設定!$B$15-AB5039))),-1E+030)</f>
        <v>-0.880853498738226</v>
      </c>
      <c r="AE5039" s="55" t="n">
        <f aca="false">IF(AC5039,IF(01_因子設定!$B$13="最大化",X5039,IF(01_因子設定!$B$13="最小化",-X5039,-ABS(X5039-01_因子設定!$B$16))),-1E+030)</f>
        <v>47.1936540570175</v>
      </c>
      <c r="AF5039" s="55" t="n">
        <f aca="false">AD5039+ROW()*0.000000001</f>
        <v>-0.880848459738226</v>
      </c>
      <c r="AG5039" s="55" t="n">
        <f aca="false">AE5039+ROW()*0.000000001</f>
        <v>47.1936590960175</v>
      </c>
    </row>
    <row r="5040" customFormat="false" ht="15" hidden="false" customHeight="false" outlineLevel="0" collapsed="false">
      <c r="A5040" s="0" t="n">
        <v>6</v>
      </c>
      <c r="B5040" s="0" t="n">
        <v>8</v>
      </c>
      <c r="C5040" s="0" t="n">
        <v>1</v>
      </c>
      <c r="D5040" s="0" t="n">
        <v>4</v>
      </c>
      <c r="E5040" s="0" t="n">
        <f aca="false">-1+A5040*0.25</f>
        <v>0.5</v>
      </c>
      <c r="F5040" s="0" t="n">
        <f aca="false">-1+B5040*0.25</f>
        <v>1</v>
      </c>
      <c r="G5040" s="0" t="n">
        <f aca="false">-1+C5040*0.25</f>
        <v>-0.75</v>
      </c>
      <c r="H5040" s="0" t="n">
        <f aca="false">-1+D5040*0.25</f>
        <v>0</v>
      </c>
      <c r="I5040" s="0" t="n">
        <f aca="false">1</f>
        <v>1</v>
      </c>
      <c r="J5040" s="0" t="n">
        <f aca="false">E5040</f>
        <v>0.5</v>
      </c>
      <c r="K5040" s="0" t="n">
        <f aca="false">F5040</f>
        <v>1</v>
      </c>
      <c r="L5040" s="0" t="n">
        <f aca="false">G5040</f>
        <v>-0.75</v>
      </c>
      <c r="M5040" s="0" t="n">
        <f aca="false">H5040</f>
        <v>0</v>
      </c>
      <c r="N5040" s="0" t="n">
        <f aca="false">E5040*F5040</f>
        <v>0.5</v>
      </c>
      <c r="O5040" s="0" t="n">
        <f aca="false">E5040*G5040</f>
        <v>-0.375</v>
      </c>
      <c r="P5040" s="0" t="n">
        <f aca="false">E5040*H5040</f>
        <v>0</v>
      </c>
      <c r="Q5040" s="0" t="n">
        <f aca="false">F5040*G5040</f>
        <v>-0.75</v>
      </c>
      <c r="R5040" s="0" t="n">
        <f aca="false">F5040*H5040</f>
        <v>0</v>
      </c>
      <c r="S5040" s="0" t="n">
        <f aca="false">G5040*H5040</f>
        <v>-0</v>
      </c>
      <c r="T5040" s="0" t="n">
        <f aca="false">E5040*E5040</f>
        <v>0.25</v>
      </c>
      <c r="U5040" s="0" t="n">
        <f aca="false">F5040*F5040</f>
        <v>1</v>
      </c>
      <c r="V5040" s="0" t="n">
        <f aca="false">G5040*G5040</f>
        <v>0.5625</v>
      </c>
      <c r="W5040" s="0" t="n">
        <f aca="false">H5040*H5040</f>
        <v>0</v>
      </c>
      <c r="X5040" s="0" t="n">
        <f aca="false">SUMPRODUCT(I5040:W5040,_XtX!$B$96:$P$96)</f>
        <v>47.2275402046783</v>
      </c>
      <c r="Y5040" s="0" t="n">
        <f aca="false">SUMPRODUCT(MMULT(I5040:W5040,_XtX!$B$78:$P$92),I5040:W5040)</f>
        <v>0.476191292032164</v>
      </c>
      <c r="Z5040" s="0" t="n">
        <f aca="false">04_回帰ANOVA!$K$19*04_回帰ANOVA!$K$14*SQRT(1+Y5040)</f>
        <v>1.58368831471718</v>
      </c>
      <c r="AA5040" s="0" t="n">
        <f aca="false">X5040-Z5040</f>
        <v>45.6438518899611</v>
      </c>
      <c r="AB5040" s="0" t="n">
        <f aca="false">X5040+Z5040</f>
        <v>48.8112285193955</v>
      </c>
      <c r="AC5040" s="54" t="b">
        <f aca="false">AND(E5040&gt;=01_因子設定!$L$5-0.000000001,E5040&lt;=01_因子設定!$M$5+0.000000001,F5040&gt;=01_因子設定!$L$6-0.000000001,F5040&lt;=01_因子設定!$M$6+0.000000001,G5040&gt;=01_因子設定!$L$7-0.000000001,G5040&lt;=01_因子設定!$M$7+0.000000001,H5040&gt;=01_因子設定!$L$8-0.000000001,H5040&lt;=01_因子設定!$M$8+0.000000001,IF(01_因子設定!$B$20="Box-Behnken",E5040^2+F5040^2+G5040^2+H5040^2&lt;=2+0.000000001,TRUE()))</f>
        <v>1</v>
      </c>
      <c r="AD5040" s="55" t="n">
        <f aca="false">IF(AC5040,IF(01_因子設定!$B$13="最大化",AA5040-01_因子設定!$B$14,IF(01_因子設定!$B$13="最小化",01_因子設定!$B$15-AB5040,MIN(AA5040-01_因子設定!$B$14,01_因子設定!$B$15-AB5040))),-1E+030)</f>
        <v>-0.856148110038859</v>
      </c>
      <c r="AE5040" s="55" t="n">
        <f aca="false">IF(AC5040,IF(01_因子設定!$B$13="最大化",X5040,IF(01_因子設定!$B$13="最小化",-X5040,-ABS(X5040-01_因子設定!$B$16))),-1E+030)</f>
        <v>47.2275402046783</v>
      </c>
      <c r="AF5040" s="55" t="n">
        <f aca="false">AD5040+ROW()*0.000000001</f>
        <v>-0.856143070038859</v>
      </c>
      <c r="AG5040" s="55" t="n">
        <f aca="false">AE5040+ROW()*0.000000001</f>
        <v>47.2275452446783</v>
      </c>
    </row>
    <row r="5041" customFormat="false" ht="15" hidden="false" customHeight="false" outlineLevel="0" collapsed="false">
      <c r="A5041" s="0" t="n">
        <v>6</v>
      </c>
      <c r="B5041" s="0" t="n">
        <v>8</v>
      </c>
      <c r="C5041" s="0" t="n">
        <v>1</v>
      </c>
      <c r="D5041" s="0" t="n">
        <v>5</v>
      </c>
      <c r="E5041" s="0" t="n">
        <f aca="false">-1+A5041*0.25</f>
        <v>0.5</v>
      </c>
      <c r="F5041" s="0" t="n">
        <f aca="false">-1+B5041*0.25</f>
        <v>1</v>
      </c>
      <c r="G5041" s="0" t="n">
        <f aca="false">-1+C5041*0.25</f>
        <v>-0.75</v>
      </c>
      <c r="H5041" s="0" t="n">
        <f aca="false">-1+D5041*0.25</f>
        <v>0.25</v>
      </c>
      <c r="I5041" s="0" t="n">
        <f aca="false">1</f>
        <v>1</v>
      </c>
      <c r="J5041" s="0" t="n">
        <f aca="false">E5041</f>
        <v>0.5</v>
      </c>
      <c r="K5041" s="0" t="n">
        <f aca="false">F5041</f>
        <v>1</v>
      </c>
      <c r="L5041" s="0" t="n">
        <f aca="false">G5041</f>
        <v>-0.75</v>
      </c>
      <c r="M5041" s="0" t="n">
        <f aca="false">H5041</f>
        <v>0.25</v>
      </c>
      <c r="N5041" s="0" t="n">
        <f aca="false">E5041*F5041</f>
        <v>0.5</v>
      </c>
      <c r="O5041" s="0" t="n">
        <f aca="false">E5041*G5041</f>
        <v>-0.375</v>
      </c>
      <c r="P5041" s="0" t="n">
        <f aca="false">E5041*H5041</f>
        <v>0.125</v>
      </c>
      <c r="Q5041" s="0" t="n">
        <f aca="false">F5041*G5041</f>
        <v>-0.75</v>
      </c>
      <c r="R5041" s="0" t="n">
        <f aca="false">F5041*H5041</f>
        <v>0.25</v>
      </c>
      <c r="S5041" s="0" t="n">
        <f aca="false">G5041*H5041</f>
        <v>-0.1875</v>
      </c>
      <c r="T5041" s="0" t="n">
        <f aca="false">E5041*E5041</f>
        <v>0.25</v>
      </c>
      <c r="U5041" s="0" t="n">
        <f aca="false">F5041*F5041</f>
        <v>1</v>
      </c>
      <c r="V5041" s="0" t="n">
        <f aca="false">G5041*G5041</f>
        <v>0.5625</v>
      </c>
      <c r="W5041" s="0" t="n">
        <f aca="false">H5041*H5041</f>
        <v>0.0625</v>
      </c>
      <c r="X5041" s="0" t="n">
        <f aca="false">SUMPRODUCT(I5041:W5041,_XtX!$B$96:$P$96)</f>
        <v>47.2136193347953</v>
      </c>
      <c r="Y5041" s="0" t="n">
        <f aca="false">SUMPRODUCT(MMULT(I5041:W5041,_XtX!$B$78:$P$92),I5041:W5041)</f>
        <v>0.459125719572369</v>
      </c>
      <c r="Z5041" s="0" t="n">
        <f aca="false">04_回帰ANOVA!$K$19*04_回帰ANOVA!$K$14*SQRT(1+Y5041)</f>
        <v>1.57450755575573</v>
      </c>
      <c r="AA5041" s="0" t="n">
        <f aca="false">X5041-Z5041</f>
        <v>45.6391117790396</v>
      </c>
      <c r="AB5041" s="0" t="n">
        <f aca="false">X5041+Z5041</f>
        <v>48.788126890551</v>
      </c>
      <c r="AC5041" s="54" t="b">
        <f aca="false">AND(E5041&gt;=01_因子設定!$L$5-0.000000001,E5041&lt;=01_因子設定!$M$5+0.000000001,F5041&gt;=01_因子設定!$L$6-0.000000001,F5041&lt;=01_因子設定!$M$6+0.000000001,G5041&gt;=01_因子設定!$L$7-0.000000001,G5041&lt;=01_因子設定!$M$7+0.000000001,H5041&gt;=01_因子設定!$L$8-0.000000001,H5041&lt;=01_因子設定!$M$8+0.000000001,IF(01_因子設定!$B$20="Box-Behnken",E5041^2+F5041^2+G5041^2+H5041^2&lt;=2+0.000000001,TRUE()))</f>
        <v>1</v>
      </c>
      <c r="AD5041" s="55" t="n">
        <f aca="false">IF(AC5041,IF(01_因子設定!$B$13="最大化",AA5041-01_因子設定!$B$14,IF(01_因子設定!$B$13="最小化",01_因子設定!$B$15-AB5041,MIN(AA5041-01_因子設定!$B$14,01_因子設定!$B$15-AB5041))),-1E+030)</f>
        <v>-0.860888220960447</v>
      </c>
      <c r="AE5041" s="55" t="n">
        <f aca="false">IF(AC5041,IF(01_因子設定!$B$13="最大化",X5041,IF(01_因子設定!$B$13="最小化",-X5041,-ABS(X5041-01_因子設定!$B$16))),-1E+030)</f>
        <v>47.2136193347953</v>
      </c>
      <c r="AF5041" s="55" t="n">
        <f aca="false">AD5041+ROW()*0.000000001</f>
        <v>-0.860883179960447</v>
      </c>
      <c r="AG5041" s="55" t="n">
        <f aca="false">AE5041+ROW()*0.000000001</f>
        <v>47.2136243757953</v>
      </c>
    </row>
    <row r="5042" customFormat="false" ht="15" hidden="false" customHeight="false" outlineLevel="0" collapsed="false">
      <c r="A5042" s="0" t="n">
        <v>6</v>
      </c>
      <c r="B5042" s="0" t="n">
        <v>8</v>
      </c>
      <c r="C5042" s="0" t="n">
        <v>1</v>
      </c>
      <c r="D5042" s="0" t="n">
        <v>6</v>
      </c>
      <c r="E5042" s="0" t="n">
        <f aca="false">-1+A5042*0.25</f>
        <v>0.5</v>
      </c>
      <c r="F5042" s="0" t="n">
        <f aca="false">-1+B5042*0.25</f>
        <v>1</v>
      </c>
      <c r="G5042" s="0" t="n">
        <f aca="false">-1+C5042*0.25</f>
        <v>-0.75</v>
      </c>
      <c r="H5042" s="0" t="n">
        <f aca="false">-1+D5042*0.25</f>
        <v>0.5</v>
      </c>
      <c r="I5042" s="0" t="n">
        <f aca="false">1</f>
        <v>1</v>
      </c>
      <c r="J5042" s="0" t="n">
        <f aca="false">E5042</f>
        <v>0.5</v>
      </c>
      <c r="K5042" s="0" t="n">
        <f aca="false">F5042</f>
        <v>1</v>
      </c>
      <c r="L5042" s="0" t="n">
        <f aca="false">G5042</f>
        <v>-0.75</v>
      </c>
      <c r="M5042" s="0" t="n">
        <f aca="false">H5042</f>
        <v>0.5</v>
      </c>
      <c r="N5042" s="0" t="n">
        <f aca="false">E5042*F5042</f>
        <v>0.5</v>
      </c>
      <c r="O5042" s="0" t="n">
        <f aca="false">E5042*G5042</f>
        <v>-0.375</v>
      </c>
      <c r="P5042" s="0" t="n">
        <f aca="false">E5042*H5042</f>
        <v>0.25</v>
      </c>
      <c r="Q5042" s="0" t="n">
        <f aca="false">F5042*G5042</f>
        <v>-0.75</v>
      </c>
      <c r="R5042" s="0" t="n">
        <f aca="false">F5042*H5042</f>
        <v>0.5</v>
      </c>
      <c r="S5042" s="0" t="n">
        <f aca="false">G5042*H5042</f>
        <v>-0.375</v>
      </c>
      <c r="T5042" s="0" t="n">
        <f aca="false">E5042*E5042</f>
        <v>0.25</v>
      </c>
      <c r="U5042" s="0" t="n">
        <f aca="false">F5042*F5042</f>
        <v>1</v>
      </c>
      <c r="V5042" s="0" t="n">
        <f aca="false">G5042*G5042</f>
        <v>0.5625</v>
      </c>
      <c r="W5042" s="0" t="n">
        <f aca="false">H5042*H5042</f>
        <v>0.25</v>
      </c>
      <c r="X5042" s="0" t="n">
        <f aca="false">SUMPRODUCT(I5042:W5042,_XtX!$B$96:$P$96)</f>
        <v>47.1518914473684</v>
      </c>
      <c r="Y5042" s="0" t="n">
        <f aca="false">SUMPRODUCT(MMULT(I5042:W5042,_XtX!$B$78:$P$92),I5042:W5042)</f>
        <v>0.42602110745614</v>
      </c>
      <c r="Z5042" s="0" t="n">
        <f aca="false">04_回帰ANOVA!$K$19*04_回帰ANOVA!$K$14*SQRT(1+Y5042)</f>
        <v>1.55654388501114</v>
      </c>
      <c r="AA5042" s="0" t="n">
        <f aca="false">X5042-Z5042</f>
        <v>45.5953475623573</v>
      </c>
      <c r="AB5042" s="0" t="n">
        <f aca="false">X5042+Z5042</f>
        <v>48.7084353323795</v>
      </c>
      <c r="AC5042" s="54" t="b">
        <f aca="false">AND(E5042&gt;=01_因子設定!$L$5-0.000000001,E5042&lt;=01_因子設定!$M$5+0.000000001,F5042&gt;=01_因子設定!$L$6-0.000000001,F5042&lt;=01_因子設定!$M$6+0.000000001,G5042&gt;=01_因子設定!$L$7-0.000000001,G5042&lt;=01_因子設定!$M$7+0.000000001,H5042&gt;=01_因子設定!$L$8-0.000000001,H5042&lt;=01_因子設定!$M$8+0.000000001,IF(01_因子設定!$B$20="Box-Behnken",E5042^2+F5042^2+G5042^2+H5042^2&lt;=2+0.000000001,TRUE()))</f>
        <v>1</v>
      </c>
      <c r="AD5042" s="55" t="n">
        <f aca="false">IF(AC5042,IF(01_因子設定!$B$13="最大化",AA5042-01_因子設定!$B$14,IF(01_因子設定!$B$13="最小化",01_因子設定!$B$15-AB5042,MIN(AA5042-01_因子設定!$B$14,01_因子設定!$B$15-AB5042))),-1E+030)</f>
        <v>-0.904652437642753</v>
      </c>
      <c r="AE5042" s="55" t="n">
        <f aca="false">IF(AC5042,IF(01_因子設定!$B$13="最大化",X5042,IF(01_因子設定!$B$13="最小化",-X5042,-ABS(X5042-01_因子設定!$B$16))),-1E+030)</f>
        <v>47.1518914473684</v>
      </c>
      <c r="AF5042" s="55" t="n">
        <f aca="false">AD5042+ROW()*0.000000001</f>
        <v>-0.904647395642753</v>
      </c>
      <c r="AG5042" s="55" t="n">
        <f aca="false">AE5042+ROW()*0.000000001</f>
        <v>47.1518964893684</v>
      </c>
    </row>
    <row r="5043" customFormat="false" ht="15" hidden="false" customHeight="false" outlineLevel="0" collapsed="false">
      <c r="A5043" s="0" t="n">
        <v>6</v>
      </c>
      <c r="B5043" s="0" t="n">
        <v>8</v>
      </c>
      <c r="C5043" s="0" t="n">
        <v>1</v>
      </c>
      <c r="D5043" s="0" t="n">
        <v>7</v>
      </c>
      <c r="E5043" s="0" t="n">
        <f aca="false">-1+A5043*0.25</f>
        <v>0.5</v>
      </c>
      <c r="F5043" s="0" t="n">
        <f aca="false">-1+B5043*0.25</f>
        <v>1</v>
      </c>
      <c r="G5043" s="0" t="n">
        <f aca="false">-1+C5043*0.25</f>
        <v>-0.75</v>
      </c>
      <c r="H5043" s="0" t="n">
        <f aca="false">-1+D5043*0.25</f>
        <v>0.75</v>
      </c>
      <c r="I5043" s="0" t="n">
        <f aca="false">1</f>
        <v>1</v>
      </c>
      <c r="J5043" s="0" t="n">
        <f aca="false">E5043</f>
        <v>0.5</v>
      </c>
      <c r="K5043" s="0" t="n">
        <f aca="false">F5043</f>
        <v>1</v>
      </c>
      <c r="L5043" s="0" t="n">
        <f aca="false">G5043</f>
        <v>-0.75</v>
      </c>
      <c r="M5043" s="0" t="n">
        <f aca="false">H5043</f>
        <v>0.75</v>
      </c>
      <c r="N5043" s="0" t="n">
        <f aca="false">E5043*F5043</f>
        <v>0.5</v>
      </c>
      <c r="O5043" s="0" t="n">
        <f aca="false">E5043*G5043</f>
        <v>-0.375</v>
      </c>
      <c r="P5043" s="0" t="n">
        <f aca="false">E5043*H5043</f>
        <v>0.375</v>
      </c>
      <c r="Q5043" s="0" t="n">
        <f aca="false">F5043*G5043</f>
        <v>-0.75</v>
      </c>
      <c r="R5043" s="0" t="n">
        <f aca="false">F5043*H5043</f>
        <v>0.75</v>
      </c>
      <c r="S5043" s="0" t="n">
        <f aca="false">G5043*H5043</f>
        <v>-0.5625</v>
      </c>
      <c r="T5043" s="0" t="n">
        <f aca="false">E5043*E5043</f>
        <v>0.25</v>
      </c>
      <c r="U5043" s="0" t="n">
        <f aca="false">F5043*F5043</f>
        <v>1</v>
      </c>
      <c r="V5043" s="0" t="n">
        <f aca="false">G5043*G5043</f>
        <v>0.5625</v>
      </c>
      <c r="W5043" s="0" t="n">
        <f aca="false">H5043*H5043</f>
        <v>0.5625</v>
      </c>
      <c r="X5043" s="0" t="n">
        <f aca="false">SUMPRODUCT(I5043:W5043,_XtX!$B$96:$P$96)</f>
        <v>47.0423565423976</v>
      </c>
      <c r="Y5043" s="0" t="n">
        <f aca="false">SUMPRODUCT(MMULT(I5043:W5043,_XtX!$B$78:$P$92),I5043:W5043)</f>
        <v>0.431153771472953</v>
      </c>
      <c r="Z5043" s="0" t="n">
        <f aca="false">04_回帰ANOVA!$K$19*04_回帰ANOVA!$K$14*SQRT(1+Y5043)</f>
        <v>1.55934259562563</v>
      </c>
      <c r="AA5043" s="0" t="n">
        <f aca="false">X5043-Z5043</f>
        <v>45.483013946772</v>
      </c>
      <c r="AB5043" s="0" t="n">
        <f aca="false">X5043+Z5043</f>
        <v>48.6016991380233</v>
      </c>
      <c r="AC5043" s="54" t="b">
        <f aca="false">AND(E5043&gt;=01_因子設定!$L$5-0.000000001,E5043&lt;=01_因子設定!$M$5+0.000000001,F5043&gt;=01_因子設定!$L$6-0.000000001,F5043&lt;=01_因子設定!$M$6+0.000000001,G5043&gt;=01_因子設定!$L$7-0.000000001,G5043&lt;=01_因子設定!$M$7+0.000000001,H5043&gt;=01_因子設定!$L$8-0.000000001,H5043&lt;=01_因子設定!$M$8+0.000000001,IF(01_因子設定!$B$20="Box-Behnken",E5043^2+F5043^2+G5043^2+H5043^2&lt;=2+0.000000001,TRUE()))</f>
        <v>1</v>
      </c>
      <c r="AD5043" s="55" t="n">
        <f aca="false">IF(AC5043,IF(01_因子設定!$B$13="最大化",AA5043-01_因子設定!$B$14,IF(01_因子設定!$B$13="最小化",01_因子設定!$B$15-AB5043,MIN(AA5043-01_因子設定!$B$14,01_因子設定!$B$15-AB5043))),-1E+030)</f>
        <v>-1.01698605322799</v>
      </c>
      <c r="AE5043" s="55" t="n">
        <f aca="false">IF(AC5043,IF(01_因子設定!$B$13="最大化",X5043,IF(01_因子設定!$B$13="最小化",-X5043,-ABS(X5043-01_因子設定!$B$16))),-1E+030)</f>
        <v>47.0423565423976</v>
      </c>
      <c r="AF5043" s="55" t="n">
        <f aca="false">AD5043+ROW()*0.000000001</f>
        <v>-1.01698101022799</v>
      </c>
      <c r="AG5043" s="55" t="n">
        <f aca="false">AE5043+ROW()*0.000000001</f>
        <v>47.0423615853976</v>
      </c>
    </row>
    <row r="5044" customFormat="false" ht="15" hidden="false" customHeight="false" outlineLevel="0" collapsed="false">
      <c r="A5044" s="0" t="n">
        <v>6</v>
      </c>
      <c r="B5044" s="0" t="n">
        <v>8</v>
      </c>
      <c r="C5044" s="0" t="n">
        <v>1</v>
      </c>
      <c r="D5044" s="0" t="n">
        <v>8</v>
      </c>
      <c r="E5044" s="0" t="n">
        <f aca="false">-1+A5044*0.25</f>
        <v>0.5</v>
      </c>
      <c r="F5044" s="0" t="n">
        <f aca="false">-1+B5044*0.25</f>
        <v>1</v>
      </c>
      <c r="G5044" s="0" t="n">
        <f aca="false">-1+C5044*0.25</f>
        <v>-0.75</v>
      </c>
      <c r="H5044" s="0" t="n">
        <f aca="false">-1+D5044*0.25</f>
        <v>1</v>
      </c>
      <c r="I5044" s="0" t="n">
        <f aca="false">1</f>
        <v>1</v>
      </c>
      <c r="J5044" s="0" t="n">
        <f aca="false">E5044</f>
        <v>0.5</v>
      </c>
      <c r="K5044" s="0" t="n">
        <f aca="false">F5044</f>
        <v>1</v>
      </c>
      <c r="L5044" s="0" t="n">
        <f aca="false">G5044</f>
        <v>-0.75</v>
      </c>
      <c r="M5044" s="0" t="n">
        <f aca="false">H5044</f>
        <v>1</v>
      </c>
      <c r="N5044" s="0" t="n">
        <f aca="false">E5044*F5044</f>
        <v>0.5</v>
      </c>
      <c r="O5044" s="0" t="n">
        <f aca="false">E5044*G5044</f>
        <v>-0.375</v>
      </c>
      <c r="P5044" s="0" t="n">
        <f aca="false">E5044*H5044</f>
        <v>0.5</v>
      </c>
      <c r="Q5044" s="0" t="n">
        <f aca="false">F5044*G5044</f>
        <v>-0.75</v>
      </c>
      <c r="R5044" s="0" t="n">
        <f aca="false">F5044*H5044</f>
        <v>1</v>
      </c>
      <c r="S5044" s="0" t="n">
        <f aca="false">G5044*H5044</f>
        <v>-0.75</v>
      </c>
      <c r="T5044" s="0" t="n">
        <f aca="false">E5044*E5044</f>
        <v>0.25</v>
      </c>
      <c r="U5044" s="0" t="n">
        <f aca="false">F5044*F5044</f>
        <v>1</v>
      </c>
      <c r="V5044" s="0" t="n">
        <f aca="false">G5044*G5044</f>
        <v>0.5625</v>
      </c>
      <c r="W5044" s="0" t="n">
        <f aca="false">H5044*H5044</f>
        <v>1</v>
      </c>
      <c r="X5044" s="0" t="n">
        <f aca="false">SUMPRODUCT(I5044:W5044,_XtX!$B$96:$P$96)</f>
        <v>46.885014619883</v>
      </c>
      <c r="Y5044" s="0" t="n">
        <f aca="false">SUMPRODUCT(MMULT(I5044:W5044,_XtX!$B$78:$P$92),I5044:W5044)</f>
        <v>0.564984237938597</v>
      </c>
      <c r="Z5044" s="0" t="n">
        <f aca="false">04_回帰ANOVA!$K$19*04_回帰ANOVA!$K$14*SQRT(1+Y5044)</f>
        <v>1.63062229734503</v>
      </c>
      <c r="AA5044" s="0" t="n">
        <f aca="false">X5044-Z5044</f>
        <v>45.254392322538</v>
      </c>
      <c r="AB5044" s="0" t="n">
        <f aca="false">X5044+Z5044</f>
        <v>48.5156369172281</v>
      </c>
      <c r="AC5044" s="54" t="b">
        <f aca="false">AND(E5044&gt;=01_因子設定!$L$5-0.000000001,E5044&lt;=01_因子設定!$M$5+0.000000001,F5044&gt;=01_因子設定!$L$6-0.000000001,F5044&lt;=01_因子設定!$M$6+0.000000001,G5044&gt;=01_因子設定!$L$7-0.000000001,G5044&lt;=01_因子設定!$M$7+0.000000001,H5044&gt;=01_因子設定!$L$8-0.000000001,H5044&lt;=01_因子設定!$M$8+0.000000001,IF(01_因子設定!$B$20="Box-Behnken",E5044^2+F5044^2+G5044^2+H5044^2&lt;=2+0.000000001,TRUE()))</f>
        <v>1</v>
      </c>
      <c r="AD5044" s="55" t="n">
        <f aca="false">IF(AC5044,IF(01_因子設定!$B$13="最大化",AA5044-01_因子設定!$B$14,IF(01_因子設定!$B$13="最小化",01_因子設定!$B$15-AB5044,MIN(AA5044-01_因子設定!$B$14,01_因子設定!$B$15-AB5044))),-1E+030)</f>
        <v>-1.245607677462</v>
      </c>
      <c r="AE5044" s="55" t="n">
        <f aca="false">IF(AC5044,IF(01_因子設定!$B$13="最大化",X5044,IF(01_因子設定!$B$13="最小化",-X5044,-ABS(X5044-01_因子設定!$B$16))),-1E+030)</f>
        <v>46.885014619883</v>
      </c>
      <c r="AF5044" s="55" t="n">
        <f aca="false">AD5044+ROW()*0.000000001</f>
        <v>-1.245602633462</v>
      </c>
      <c r="AG5044" s="55" t="n">
        <f aca="false">AE5044+ROW()*0.000000001</f>
        <v>46.885019663883</v>
      </c>
    </row>
    <row r="5045" customFormat="false" ht="15" hidden="false" customHeight="false" outlineLevel="0" collapsed="false">
      <c r="A5045" s="0" t="n">
        <v>6</v>
      </c>
      <c r="B5045" s="0" t="n">
        <v>8</v>
      </c>
      <c r="C5045" s="0" t="n">
        <v>2</v>
      </c>
      <c r="D5045" s="0" t="n">
        <v>0</v>
      </c>
      <c r="E5045" s="0" t="n">
        <f aca="false">-1+A5045*0.25</f>
        <v>0.5</v>
      </c>
      <c r="F5045" s="0" t="n">
        <f aca="false">-1+B5045*0.25</f>
        <v>1</v>
      </c>
      <c r="G5045" s="0" t="n">
        <f aca="false">-1+C5045*0.25</f>
        <v>-0.5</v>
      </c>
      <c r="H5045" s="0" t="n">
        <f aca="false">-1+D5045*0.25</f>
        <v>-1</v>
      </c>
      <c r="I5045" s="0" t="n">
        <f aca="false">1</f>
        <v>1</v>
      </c>
      <c r="J5045" s="0" t="n">
        <f aca="false">E5045</f>
        <v>0.5</v>
      </c>
      <c r="K5045" s="0" t="n">
        <f aca="false">F5045</f>
        <v>1</v>
      </c>
      <c r="L5045" s="0" t="n">
        <f aca="false">G5045</f>
        <v>-0.5</v>
      </c>
      <c r="M5045" s="0" t="n">
        <f aca="false">H5045</f>
        <v>-1</v>
      </c>
      <c r="N5045" s="0" t="n">
        <f aca="false">E5045*F5045</f>
        <v>0.5</v>
      </c>
      <c r="O5045" s="0" t="n">
        <f aca="false">E5045*G5045</f>
        <v>-0.25</v>
      </c>
      <c r="P5045" s="0" t="n">
        <f aca="false">E5045*H5045</f>
        <v>-0.5</v>
      </c>
      <c r="Q5045" s="0" t="n">
        <f aca="false">F5045*G5045</f>
        <v>-0.5</v>
      </c>
      <c r="R5045" s="0" t="n">
        <f aca="false">F5045*H5045</f>
        <v>-1</v>
      </c>
      <c r="S5045" s="0" t="n">
        <f aca="false">G5045*H5045</f>
        <v>0.5</v>
      </c>
      <c r="T5045" s="0" t="n">
        <f aca="false">E5045*E5045</f>
        <v>0.25</v>
      </c>
      <c r="U5045" s="0" t="n">
        <f aca="false">F5045*F5045</f>
        <v>1</v>
      </c>
      <c r="V5045" s="0" t="n">
        <f aca="false">G5045*G5045</f>
        <v>0.25</v>
      </c>
      <c r="W5045" s="0" t="n">
        <f aca="false">H5045*H5045</f>
        <v>1</v>
      </c>
      <c r="X5045" s="0" t="n">
        <f aca="false">SUMPRODUCT(I5045:W5045,_XtX!$B$96:$P$96)</f>
        <v>47.1892543859649</v>
      </c>
      <c r="Y5045" s="0" t="n">
        <f aca="false">SUMPRODUCT(MMULT(I5045:W5045,_XtX!$B$78:$P$92),I5045:W5045)</f>
        <v>0.582488121345029</v>
      </c>
      <c r="Z5045" s="0" t="n">
        <f aca="false">04_回帰ANOVA!$K$19*04_回帰ANOVA!$K$14*SQRT(1+Y5045)</f>
        <v>1.63971595338287</v>
      </c>
      <c r="AA5045" s="0" t="n">
        <f aca="false">X5045-Z5045</f>
        <v>45.549538432582</v>
      </c>
      <c r="AB5045" s="0" t="n">
        <f aca="false">X5045+Z5045</f>
        <v>48.8289703393478</v>
      </c>
      <c r="AC5045" s="54" t="b">
        <f aca="false">AND(E5045&gt;=01_因子設定!$L$5-0.000000001,E5045&lt;=01_因子設定!$M$5+0.000000001,F5045&gt;=01_因子設定!$L$6-0.000000001,F5045&lt;=01_因子設定!$M$6+0.000000001,G5045&gt;=01_因子設定!$L$7-0.000000001,G5045&lt;=01_因子設定!$M$7+0.000000001,H5045&gt;=01_因子設定!$L$8-0.000000001,H5045&lt;=01_因子設定!$M$8+0.000000001,IF(01_因子設定!$B$20="Box-Behnken",E5045^2+F5045^2+G5045^2+H5045^2&lt;=2+0.000000001,TRUE()))</f>
        <v>1</v>
      </c>
      <c r="AD5045" s="55" t="n">
        <f aca="false">IF(AC5045,IF(01_因子設定!$B$13="最大化",AA5045-01_因子設定!$B$14,IF(01_因子設定!$B$13="最小化",01_因子設定!$B$15-AB5045,MIN(AA5045-01_因子設定!$B$14,01_因子設定!$B$15-AB5045))),-1E+030)</f>
        <v>-0.95046156741796</v>
      </c>
      <c r="AE5045" s="55" t="n">
        <f aca="false">IF(AC5045,IF(01_因子設定!$B$13="最大化",X5045,IF(01_因子設定!$B$13="最小化",-X5045,-ABS(X5045-01_因子設定!$B$16))),-1E+030)</f>
        <v>47.1892543859649</v>
      </c>
      <c r="AF5045" s="55" t="n">
        <f aca="false">AD5045+ROW()*0.000000001</f>
        <v>-0.95045652241796</v>
      </c>
      <c r="AG5045" s="55" t="n">
        <f aca="false">AE5045+ROW()*0.000000001</f>
        <v>47.1892594309649</v>
      </c>
    </row>
    <row r="5046" customFormat="false" ht="15" hidden="false" customHeight="false" outlineLevel="0" collapsed="false">
      <c r="A5046" s="0" t="n">
        <v>6</v>
      </c>
      <c r="B5046" s="0" t="n">
        <v>8</v>
      </c>
      <c r="C5046" s="0" t="n">
        <v>2</v>
      </c>
      <c r="D5046" s="0" t="n">
        <v>1</v>
      </c>
      <c r="E5046" s="0" t="n">
        <f aca="false">-1+A5046*0.25</f>
        <v>0.5</v>
      </c>
      <c r="F5046" s="0" t="n">
        <f aca="false">-1+B5046*0.25</f>
        <v>1</v>
      </c>
      <c r="G5046" s="0" t="n">
        <f aca="false">-1+C5046*0.25</f>
        <v>-0.5</v>
      </c>
      <c r="H5046" s="0" t="n">
        <f aca="false">-1+D5046*0.25</f>
        <v>-0.75</v>
      </c>
      <c r="I5046" s="0" t="n">
        <f aca="false">1</f>
        <v>1</v>
      </c>
      <c r="J5046" s="0" t="n">
        <f aca="false">E5046</f>
        <v>0.5</v>
      </c>
      <c r="K5046" s="0" t="n">
        <f aca="false">F5046</f>
        <v>1</v>
      </c>
      <c r="L5046" s="0" t="n">
        <f aca="false">G5046</f>
        <v>-0.5</v>
      </c>
      <c r="M5046" s="0" t="n">
        <f aca="false">H5046</f>
        <v>-0.75</v>
      </c>
      <c r="N5046" s="0" t="n">
        <f aca="false">E5046*F5046</f>
        <v>0.5</v>
      </c>
      <c r="O5046" s="0" t="n">
        <f aca="false">E5046*G5046</f>
        <v>-0.25</v>
      </c>
      <c r="P5046" s="0" t="n">
        <f aca="false">E5046*H5046</f>
        <v>-0.375</v>
      </c>
      <c r="Q5046" s="0" t="n">
        <f aca="false">F5046*G5046</f>
        <v>-0.5</v>
      </c>
      <c r="R5046" s="0" t="n">
        <f aca="false">F5046*H5046</f>
        <v>-0.75</v>
      </c>
      <c r="S5046" s="0" t="n">
        <f aca="false">G5046*H5046</f>
        <v>0.375</v>
      </c>
      <c r="T5046" s="0" t="n">
        <f aca="false">E5046*E5046</f>
        <v>0.25</v>
      </c>
      <c r="U5046" s="0" t="n">
        <f aca="false">F5046*F5046</f>
        <v>1</v>
      </c>
      <c r="V5046" s="0" t="n">
        <f aca="false">G5046*G5046</f>
        <v>0.25</v>
      </c>
      <c r="W5046" s="0" t="n">
        <f aca="false">H5046*H5046</f>
        <v>0.5625</v>
      </c>
      <c r="X5046" s="0" t="n">
        <f aca="false">SUMPRODUCT(I5046:W5046,_XtX!$B$96:$P$96)</f>
        <v>47.3845303362573</v>
      </c>
      <c r="Y5046" s="0" t="n">
        <f aca="false">SUMPRODUCT(MMULT(I5046:W5046,_XtX!$B$78:$P$92),I5046:W5046)</f>
        <v>0.42602110745614</v>
      </c>
      <c r="Z5046" s="0" t="n">
        <f aca="false">04_回帰ANOVA!$K$19*04_回帰ANOVA!$K$14*SQRT(1+Y5046)</f>
        <v>1.55654388501114</v>
      </c>
      <c r="AA5046" s="0" t="n">
        <f aca="false">X5046-Z5046</f>
        <v>45.8279864512462</v>
      </c>
      <c r="AB5046" s="0" t="n">
        <f aca="false">X5046+Z5046</f>
        <v>48.9410742212684</v>
      </c>
      <c r="AC5046" s="54" t="b">
        <f aca="false">AND(E5046&gt;=01_因子設定!$L$5-0.000000001,E5046&lt;=01_因子設定!$M$5+0.000000001,F5046&gt;=01_因子設定!$L$6-0.000000001,F5046&lt;=01_因子設定!$M$6+0.000000001,G5046&gt;=01_因子設定!$L$7-0.000000001,G5046&lt;=01_因子設定!$M$7+0.000000001,H5046&gt;=01_因子設定!$L$8-0.000000001,H5046&lt;=01_因子設定!$M$8+0.000000001,IF(01_因子設定!$B$20="Box-Behnken",E5046^2+F5046^2+G5046^2+H5046^2&lt;=2+0.000000001,TRUE()))</f>
        <v>1</v>
      </c>
      <c r="AD5046" s="55" t="n">
        <f aca="false">IF(AC5046,IF(01_因子設定!$B$13="最大化",AA5046-01_因子設定!$B$14,IF(01_因子設定!$B$13="最小化",01_因子設定!$B$15-AB5046,MIN(AA5046-01_因子設定!$B$14,01_因子設定!$B$15-AB5046))),-1E+030)</f>
        <v>-0.672013548753853</v>
      </c>
      <c r="AE5046" s="55" t="n">
        <f aca="false">IF(AC5046,IF(01_因子設定!$B$13="最大化",X5046,IF(01_因子設定!$B$13="最小化",-X5046,-ABS(X5046-01_因子設定!$B$16))),-1E+030)</f>
        <v>47.3845303362573</v>
      </c>
      <c r="AF5046" s="55" t="n">
        <f aca="false">AD5046+ROW()*0.000000001</f>
        <v>-0.672008502753853</v>
      </c>
      <c r="AG5046" s="55" t="n">
        <f aca="false">AE5046+ROW()*0.000000001</f>
        <v>47.3845353822573</v>
      </c>
    </row>
    <row r="5047" customFormat="false" ht="15" hidden="false" customHeight="false" outlineLevel="0" collapsed="false">
      <c r="A5047" s="0" t="n">
        <v>6</v>
      </c>
      <c r="B5047" s="0" t="n">
        <v>8</v>
      </c>
      <c r="C5047" s="0" t="n">
        <v>2</v>
      </c>
      <c r="D5047" s="0" t="n">
        <v>2</v>
      </c>
      <c r="E5047" s="0" t="n">
        <f aca="false">-1+A5047*0.25</f>
        <v>0.5</v>
      </c>
      <c r="F5047" s="0" t="n">
        <f aca="false">-1+B5047*0.25</f>
        <v>1</v>
      </c>
      <c r="G5047" s="0" t="n">
        <f aca="false">-1+C5047*0.25</f>
        <v>-0.5</v>
      </c>
      <c r="H5047" s="0" t="n">
        <f aca="false">-1+D5047*0.25</f>
        <v>-0.5</v>
      </c>
      <c r="I5047" s="0" t="n">
        <f aca="false">1</f>
        <v>1</v>
      </c>
      <c r="J5047" s="0" t="n">
        <f aca="false">E5047</f>
        <v>0.5</v>
      </c>
      <c r="K5047" s="0" t="n">
        <f aca="false">F5047</f>
        <v>1</v>
      </c>
      <c r="L5047" s="0" t="n">
        <f aca="false">G5047</f>
        <v>-0.5</v>
      </c>
      <c r="M5047" s="0" t="n">
        <f aca="false">H5047</f>
        <v>-0.5</v>
      </c>
      <c r="N5047" s="0" t="n">
        <f aca="false">E5047*F5047</f>
        <v>0.5</v>
      </c>
      <c r="O5047" s="0" t="n">
        <f aca="false">E5047*G5047</f>
        <v>-0.25</v>
      </c>
      <c r="P5047" s="0" t="n">
        <f aca="false">E5047*H5047</f>
        <v>-0.25</v>
      </c>
      <c r="Q5047" s="0" t="n">
        <f aca="false">F5047*G5047</f>
        <v>-0.5</v>
      </c>
      <c r="R5047" s="0" t="n">
        <f aca="false">F5047*H5047</f>
        <v>-0.5</v>
      </c>
      <c r="S5047" s="0" t="n">
        <f aca="false">G5047*H5047</f>
        <v>0.25</v>
      </c>
      <c r="T5047" s="0" t="n">
        <f aca="false">E5047*E5047</f>
        <v>0.25</v>
      </c>
      <c r="U5047" s="0" t="n">
        <f aca="false">F5047*F5047</f>
        <v>1</v>
      </c>
      <c r="V5047" s="0" t="n">
        <f aca="false">G5047*G5047</f>
        <v>0.25</v>
      </c>
      <c r="W5047" s="0" t="n">
        <f aca="false">H5047*H5047</f>
        <v>0.25</v>
      </c>
      <c r="X5047" s="0" t="n">
        <f aca="false">SUMPRODUCT(I5047:W5047,_XtX!$B$96:$P$96)</f>
        <v>47.5319992690058</v>
      </c>
      <c r="Y5047" s="0" t="n">
        <f aca="false">SUMPRODUCT(MMULT(I5047:W5047,_XtX!$B$78:$P$92),I5047:W5047)</f>
        <v>0.404719480994152</v>
      </c>
      <c r="Z5047" s="0" t="n">
        <f aca="false">04_回帰ANOVA!$K$19*04_回帰ANOVA!$K$14*SQRT(1+Y5047)</f>
        <v>1.54487446697867</v>
      </c>
      <c r="AA5047" s="0" t="n">
        <f aca="false">X5047-Z5047</f>
        <v>45.9871248020271</v>
      </c>
      <c r="AB5047" s="0" t="n">
        <f aca="false">X5047+Z5047</f>
        <v>49.0768737359845</v>
      </c>
      <c r="AC5047" s="54" t="b">
        <f aca="false">AND(E5047&gt;=01_因子設定!$L$5-0.000000001,E5047&lt;=01_因子設定!$M$5+0.000000001,F5047&gt;=01_因子設定!$L$6-0.000000001,F5047&lt;=01_因子設定!$M$6+0.000000001,G5047&gt;=01_因子設定!$L$7-0.000000001,G5047&lt;=01_因子設定!$M$7+0.000000001,H5047&gt;=01_因子設定!$L$8-0.000000001,H5047&lt;=01_因子設定!$M$8+0.000000001,IF(01_因子設定!$B$20="Box-Behnken",E5047^2+F5047^2+G5047^2+H5047^2&lt;=2+0.000000001,TRUE()))</f>
        <v>1</v>
      </c>
      <c r="AD5047" s="55" t="n">
        <f aca="false">IF(AC5047,IF(01_因子設定!$B$13="最大化",AA5047-01_因子設定!$B$14,IF(01_因子設定!$B$13="最小化",01_因子設定!$B$15-AB5047,MIN(AA5047-01_因子設定!$B$14,01_因子設定!$B$15-AB5047))),-1E+030)</f>
        <v>-0.512875197972861</v>
      </c>
      <c r="AE5047" s="55" t="n">
        <f aca="false">IF(AC5047,IF(01_因子設定!$B$13="最大化",X5047,IF(01_因子設定!$B$13="最小化",-X5047,-ABS(X5047-01_因子設定!$B$16))),-1E+030)</f>
        <v>47.5319992690058</v>
      </c>
      <c r="AF5047" s="55" t="n">
        <f aca="false">AD5047+ROW()*0.000000001</f>
        <v>-0.512870150972861</v>
      </c>
      <c r="AG5047" s="55" t="n">
        <f aca="false">AE5047+ROW()*0.000000001</f>
        <v>47.5320043160058</v>
      </c>
    </row>
    <row r="5048" customFormat="false" ht="15" hidden="false" customHeight="false" outlineLevel="0" collapsed="false">
      <c r="A5048" s="0" t="n">
        <v>6</v>
      </c>
      <c r="B5048" s="0" t="n">
        <v>8</v>
      </c>
      <c r="C5048" s="0" t="n">
        <v>2</v>
      </c>
      <c r="D5048" s="0" t="n">
        <v>3</v>
      </c>
      <c r="E5048" s="0" t="n">
        <f aca="false">-1+A5048*0.25</f>
        <v>0.5</v>
      </c>
      <c r="F5048" s="0" t="n">
        <f aca="false">-1+B5048*0.25</f>
        <v>1</v>
      </c>
      <c r="G5048" s="0" t="n">
        <f aca="false">-1+C5048*0.25</f>
        <v>-0.5</v>
      </c>
      <c r="H5048" s="0" t="n">
        <f aca="false">-1+D5048*0.25</f>
        <v>-0.25</v>
      </c>
      <c r="I5048" s="0" t="n">
        <f aca="false">1</f>
        <v>1</v>
      </c>
      <c r="J5048" s="0" t="n">
        <f aca="false">E5048</f>
        <v>0.5</v>
      </c>
      <c r="K5048" s="0" t="n">
        <f aca="false">F5048</f>
        <v>1</v>
      </c>
      <c r="L5048" s="0" t="n">
        <f aca="false">G5048</f>
        <v>-0.5</v>
      </c>
      <c r="M5048" s="0" t="n">
        <f aca="false">H5048</f>
        <v>-0.25</v>
      </c>
      <c r="N5048" s="0" t="n">
        <f aca="false">E5048*F5048</f>
        <v>0.5</v>
      </c>
      <c r="O5048" s="0" t="n">
        <f aca="false">E5048*G5048</f>
        <v>-0.25</v>
      </c>
      <c r="P5048" s="0" t="n">
        <f aca="false">E5048*H5048</f>
        <v>-0.125</v>
      </c>
      <c r="Q5048" s="0" t="n">
        <f aca="false">F5048*G5048</f>
        <v>-0.5</v>
      </c>
      <c r="R5048" s="0" t="n">
        <f aca="false">F5048*H5048</f>
        <v>-0.25</v>
      </c>
      <c r="S5048" s="0" t="n">
        <f aca="false">G5048*H5048</f>
        <v>0.125</v>
      </c>
      <c r="T5048" s="0" t="n">
        <f aca="false">E5048*E5048</f>
        <v>0.25</v>
      </c>
      <c r="U5048" s="0" t="n">
        <f aca="false">F5048*F5048</f>
        <v>1</v>
      </c>
      <c r="V5048" s="0" t="n">
        <f aca="false">G5048*G5048</f>
        <v>0.25</v>
      </c>
      <c r="W5048" s="0" t="n">
        <f aca="false">H5048*H5048</f>
        <v>0.0625</v>
      </c>
      <c r="X5048" s="0" t="n">
        <f aca="false">SUMPRODUCT(I5048:W5048,_XtX!$B$96:$P$96)</f>
        <v>47.6316611842105</v>
      </c>
      <c r="Y5048" s="0" t="n">
        <f aca="false">SUMPRODUCT(MMULT(I5048:W5048,_XtX!$B$78:$P$92),I5048:W5048)</f>
        <v>0.428122715643275</v>
      </c>
      <c r="Z5048" s="0" t="n">
        <f aca="false">04_回帰ANOVA!$K$19*04_回帰ANOVA!$K$14*SQRT(1+Y5048)</f>
        <v>1.55769044623229</v>
      </c>
      <c r="AA5048" s="0" t="n">
        <f aca="false">X5048-Z5048</f>
        <v>46.0739707379782</v>
      </c>
      <c r="AB5048" s="0" t="n">
        <f aca="false">X5048+Z5048</f>
        <v>49.1893516304428</v>
      </c>
      <c r="AC5048" s="54" t="b">
        <f aca="false">AND(E5048&gt;=01_因子設定!$L$5-0.000000001,E5048&lt;=01_因子設定!$M$5+0.000000001,F5048&gt;=01_因子設定!$L$6-0.000000001,F5048&lt;=01_因子設定!$M$6+0.000000001,G5048&gt;=01_因子設定!$L$7-0.000000001,G5048&lt;=01_因子設定!$M$7+0.000000001,H5048&gt;=01_因子設定!$L$8-0.000000001,H5048&lt;=01_因子設定!$M$8+0.000000001,IF(01_因子設定!$B$20="Box-Behnken",E5048^2+F5048^2+G5048^2+H5048^2&lt;=2+0.000000001,TRUE()))</f>
        <v>1</v>
      </c>
      <c r="AD5048" s="55" t="n">
        <f aca="false">IF(AC5048,IF(01_因子設定!$B$13="最大化",AA5048-01_因子設定!$B$14,IF(01_因子設定!$B$13="最小化",01_因子設定!$B$15-AB5048,MIN(AA5048-01_因子設定!$B$14,01_因子設定!$B$15-AB5048))),-1E+030)</f>
        <v>-0.426029262021807</v>
      </c>
      <c r="AE5048" s="55" t="n">
        <f aca="false">IF(AC5048,IF(01_因子設定!$B$13="最大化",X5048,IF(01_因子設定!$B$13="最小化",-X5048,-ABS(X5048-01_因子設定!$B$16))),-1E+030)</f>
        <v>47.6316611842105</v>
      </c>
      <c r="AF5048" s="55" t="n">
        <f aca="false">AD5048+ROW()*0.000000001</f>
        <v>-0.426024214021807</v>
      </c>
      <c r="AG5048" s="55" t="n">
        <f aca="false">AE5048+ROW()*0.000000001</f>
        <v>47.6316662322105</v>
      </c>
    </row>
    <row r="5049" customFormat="false" ht="15" hidden="false" customHeight="false" outlineLevel="0" collapsed="false">
      <c r="A5049" s="0" t="n">
        <v>6</v>
      </c>
      <c r="B5049" s="0" t="n">
        <v>8</v>
      </c>
      <c r="C5049" s="0" t="n">
        <v>2</v>
      </c>
      <c r="D5049" s="0" t="n">
        <v>4</v>
      </c>
      <c r="E5049" s="0" t="n">
        <f aca="false">-1+A5049*0.25</f>
        <v>0.5</v>
      </c>
      <c r="F5049" s="0" t="n">
        <f aca="false">-1+B5049*0.25</f>
        <v>1</v>
      </c>
      <c r="G5049" s="0" t="n">
        <f aca="false">-1+C5049*0.25</f>
        <v>-0.5</v>
      </c>
      <c r="H5049" s="0" t="n">
        <f aca="false">-1+D5049*0.25</f>
        <v>0</v>
      </c>
      <c r="I5049" s="0" t="n">
        <f aca="false">1</f>
        <v>1</v>
      </c>
      <c r="J5049" s="0" t="n">
        <f aca="false">E5049</f>
        <v>0.5</v>
      </c>
      <c r="K5049" s="0" t="n">
        <f aca="false">F5049</f>
        <v>1</v>
      </c>
      <c r="L5049" s="0" t="n">
        <f aca="false">G5049</f>
        <v>-0.5</v>
      </c>
      <c r="M5049" s="0" t="n">
        <f aca="false">H5049</f>
        <v>0</v>
      </c>
      <c r="N5049" s="0" t="n">
        <f aca="false">E5049*F5049</f>
        <v>0.5</v>
      </c>
      <c r="O5049" s="0" t="n">
        <f aca="false">E5049*G5049</f>
        <v>-0.25</v>
      </c>
      <c r="P5049" s="0" t="n">
        <f aca="false">E5049*H5049</f>
        <v>0</v>
      </c>
      <c r="Q5049" s="0" t="n">
        <f aca="false">F5049*G5049</f>
        <v>-0.5</v>
      </c>
      <c r="R5049" s="0" t="n">
        <f aca="false">F5049*H5049</f>
        <v>0</v>
      </c>
      <c r="S5049" s="0" t="n">
        <f aca="false">G5049*H5049</f>
        <v>-0</v>
      </c>
      <c r="T5049" s="0" t="n">
        <f aca="false">E5049*E5049</f>
        <v>0.25</v>
      </c>
      <c r="U5049" s="0" t="n">
        <f aca="false">F5049*F5049</f>
        <v>1</v>
      </c>
      <c r="V5049" s="0" t="n">
        <f aca="false">G5049*G5049</f>
        <v>0.25</v>
      </c>
      <c r="W5049" s="0" t="n">
        <f aca="false">H5049*H5049</f>
        <v>0</v>
      </c>
      <c r="X5049" s="0" t="n">
        <f aca="false">SUMPRODUCT(I5049:W5049,_XtX!$B$96:$P$96)</f>
        <v>47.6835160818713</v>
      </c>
      <c r="Y5049" s="0" t="n">
        <f aca="false">SUMPRODUCT(MMULT(I5049:W5049,_XtX!$B$78:$P$92),I5049:W5049)</f>
        <v>0.441954495614035</v>
      </c>
      <c r="Z5049" s="0" t="n">
        <f aca="false">04_回帰ANOVA!$K$19*04_回帰ANOVA!$K$14*SQRT(1+Y5049)</f>
        <v>1.56521560968066</v>
      </c>
      <c r="AA5049" s="0" t="n">
        <f aca="false">X5049-Z5049</f>
        <v>46.1183004721906</v>
      </c>
      <c r="AB5049" s="0" t="n">
        <f aca="false">X5049+Z5049</f>
        <v>49.248731691552</v>
      </c>
      <c r="AC5049" s="54" t="b">
        <f aca="false">AND(E5049&gt;=01_因子設定!$L$5-0.000000001,E5049&lt;=01_因子設定!$M$5+0.000000001,F5049&gt;=01_因子設定!$L$6-0.000000001,F5049&lt;=01_因子設定!$M$6+0.000000001,G5049&gt;=01_因子設定!$L$7-0.000000001,G5049&lt;=01_因子設定!$M$7+0.000000001,H5049&gt;=01_因子設定!$L$8-0.000000001,H5049&lt;=01_因子設定!$M$8+0.000000001,IF(01_因子設定!$B$20="Box-Behnken",E5049^2+F5049^2+G5049^2+H5049^2&lt;=2+0.000000001,TRUE()))</f>
        <v>1</v>
      </c>
      <c r="AD5049" s="55" t="n">
        <f aca="false">IF(AC5049,IF(01_因子設定!$B$13="最大化",AA5049-01_因子設定!$B$14,IF(01_因子設定!$B$13="最小化",01_因子設定!$B$15-AB5049,MIN(AA5049-01_因子設定!$B$14,01_因子設定!$B$15-AB5049))),-1E+030)</f>
        <v>-0.38169952780936</v>
      </c>
      <c r="AE5049" s="55" t="n">
        <f aca="false">IF(AC5049,IF(01_因子設定!$B$13="最大化",X5049,IF(01_因子設定!$B$13="最小化",-X5049,-ABS(X5049-01_因子設定!$B$16))),-1E+030)</f>
        <v>47.6835160818713</v>
      </c>
      <c r="AF5049" s="55" t="n">
        <f aca="false">AD5049+ROW()*0.000000001</f>
        <v>-0.38169447880936</v>
      </c>
      <c r="AG5049" s="55" t="n">
        <f aca="false">AE5049+ROW()*0.000000001</f>
        <v>47.6835211308713</v>
      </c>
    </row>
    <row r="5050" customFormat="false" ht="15" hidden="false" customHeight="false" outlineLevel="0" collapsed="false">
      <c r="A5050" s="0" t="n">
        <v>6</v>
      </c>
      <c r="B5050" s="0" t="n">
        <v>8</v>
      </c>
      <c r="C5050" s="0" t="n">
        <v>2</v>
      </c>
      <c r="D5050" s="0" t="n">
        <v>5</v>
      </c>
      <c r="E5050" s="0" t="n">
        <f aca="false">-1+A5050*0.25</f>
        <v>0.5</v>
      </c>
      <c r="F5050" s="0" t="n">
        <f aca="false">-1+B5050*0.25</f>
        <v>1</v>
      </c>
      <c r="G5050" s="0" t="n">
        <f aca="false">-1+C5050*0.25</f>
        <v>-0.5</v>
      </c>
      <c r="H5050" s="0" t="n">
        <f aca="false">-1+D5050*0.25</f>
        <v>0.25</v>
      </c>
      <c r="I5050" s="0" t="n">
        <f aca="false">1</f>
        <v>1</v>
      </c>
      <c r="J5050" s="0" t="n">
        <f aca="false">E5050</f>
        <v>0.5</v>
      </c>
      <c r="K5050" s="0" t="n">
        <f aca="false">F5050</f>
        <v>1</v>
      </c>
      <c r="L5050" s="0" t="n">
        <f aca="false">G5050</f>
        <v>-0.5</v>
      </c>
      <c r="M5050" s="0" t="n">
        <f aca="false">H5050</f>
        <v>0.25</v>
      </c>
      <c r="N5050" s="0" t="n">
        <f aca="false">E5050*F5050</f>
        <v>0.5</v>
      </c>
      <c r="O5050" s="0" t="n">
        <f aca="false">E5050*G5050</f>
        <v>-0.25</v>
      </c>
      <c r="P5050" s="0" t="n">
        <f aca="false">E5050*H5050</f>
        <v>0.125</v>
      </c>
      <c r="Q5050" s="0" t="n">
        <f aca="false">F5050*G5050</f>
        <v>-0.5</v>
      </c>
      <c r="R5050" s="0" t="n">
        <f aca="false">F5050*H5050</f>
        <v>0.25</v>
      </c>
      <c r="S5050" s="0" t="n">
        <f aca="false">G5050*H5050</f>
        <v>-0.125</v>
      </c>
      <c r="T5050" s="0" t="n">
        <f aca="false">E5050*E5050</f>
        <v>0.25</v>
      </c>
      <c r="U5050" s="0" t="n">
        <f aca="false">F5050*F5050</f>
        <v>1</v>
      </c>
      <c r="V5050" s="0" t="n">
        <f aca="false">G5050*G5050</f>
        <v>0.25</v>
      </c>
      <c r="W5050" s="0" t="n">
        <f aca="false">H5050*H5050</f>
        <v>0.0625</v>
      </c>
      <c r="X5050" s="0" t="n">
        <f aca="false">SUMPRODUCT(I5050:W5050,_XtX!$B$96:$P$96)</f>
        <v>47.6875639619883</v>
      </c>
      <c r="Y5050" s="0" t="n">
        <f aca="false">SUMPRODUCT(MMULT(I5050:W5050,_XtX!$B$78:$P$92),I5050:W5050)</f>
        <v>0.428122715643275</v>
      </c>
      <c r="Z5050" s="0" t="n">
        <f aca="false">04_回帰ANOVA!$K$19*04_回帰ANOVA!$K$14*SQRT(1+Y5050)</f>
        <v>1.55769044623229</v>
      </c>
      <c r="AA5050" s="0" t="n">
        <f aca="false">X5050-Z5050</f>
        <v>46.129873515756</v>
      </c>
      <c r="AB5050" s="0" t="n">
        <f aca="false">X5050+Z5050</f>
        <v>49.2452544082206</v>
      </c>
      <c r="AC5050" s="54" t="b">
        <f aca="false">AND(E5050&gt;=01_因子設定!$L$5-0.000000001,E5050&lt;=01_因子設定!$M$5+0.000000001,F5050&gt;=01_因子設定!$L$6-0.000000001,F5050&lt;=01_因子設定!$M$6+0.000000001,G5050&gt;=01_因子設定!$L$7-0.000000001,G5050&lt;=01_因子設定!$M$7+0.000000001,H5050&gt;=01_因子設定!$L$8-0.000000001,H5050&lt;=01_因子設定!$M$8+0.000000001,IF(01_因子設定!$B$20="Box-Behnken",E5050^2+F5050^2+G5050^2+H5050^2&lt;=2+0.000000001,TRUE()))</f>
        <v>1</v>
      </c>
      <c r="AD5050" s="55" t="n">
        <f aca="false">IF(AC5050,IF(01_因子設定!$B$13="最大化",AA5050-01_因子設定!$B$14,IF(01_因子設定!$B$13="最小化",01_因子設定!$B$15-AB5050,MIN(AA5050-01_因子設定!$B$14,01_因子設定!$B$15-AB5050))),-1E+030)</f>
        <v>-0.370126484244032</v>
      </c>
      <c r="AE5050" s="55" t="n">
        <f aca="false">IF(AC5050,IF(01_因子設定!$B$13="最大化",X5050,IF(01_因子設定!$B$13="最小化",-X5050,-ABS(X5050-01_因子設定!$B$16))),-1E+030)</f>
        <v>47.6875639619883</v>
      </c>
      <c r="AF5050" s="55" t="n">
        <f aca="false">AD5050+ROW()*0.000000001</f>
        <v>-0.370121434244032</v>
      </c>
      <c r="AG5050" s="55" t="n">
        <f aca="false">AE5050+ROW()*0.000000001</f>
        <v>47.6875690119883</v>
      </c>
    </row>
    <row r="5051" customFormat="false" ht="15" hidden="false" customHeight="false" outlineLevel="0" collapsed="false">
      <c r="A5051" s="0" t="n">
        <v>6</v>
      </c>
      <c r="B5051" s="0" t="n">
        <v>8</v>
      </c>
      <c r="C5051" s="0" t="n">
        <v>2</v>
      </c>
      <c r="D5051" s="0" t="n">
        <v>6</v>
      </c>
      <c r="E5051" s="0" t="n">
        <f aca="false">-1+A5051*0.25</f>
        <v>0.5</v>
      </c>
      <c r="F5051" s="0" t="n">
        <f aca="false">-1+B5051*0.25</f>
        <v>1</v>
      </c>
      <c r="G5051" s="0" t="n">
        <f aca="false">-1+C5051*0.25</f>
        <v>-0.5</v>
      </c>
      <c r="H5051" s="0" t="n">
        <f aca="false">-1+D5051*0.25</f>
        <v>0.5</v>
      </c>
      <c r="I5051" s="0" t="n">
        <f aca="false">1</f>
        <v>1</v>
      </c>
      <c r="J5051" s="0" t="n">
        <f aca="false">E5051</f>
        <v>0.5</v>
      </c>
      <c r="K5051" s="0" t="n">
        <f aca="false">F5051</f>
        <v>1</v>
      </c>
      <c r="L5051" s="0" t="n">
        <f aca="false">G5051</f>
        <v>-0.5</v>
      </c>
      <c r="M5051" s="0" t="n">
        <f aca="false">H5051</f>
        <v>0.5</v>
      </c>
      <c r="N5051" s="0" t="n">
        <f aca="false">E5051*F5051</f>
        <v>0.5</v>
      </c>
      <c r="O5051" s="0" t="n">
        <f aca="false">E5051*G5051</f>
        <v>-0.25</v>
      </c>
      <c r="P5051" s="0" t="n">
        <f aca="false">E5051*H5051</f>
        <v>0.25</v>
      </c>
      <c r="Q5051" s="0" t="n">
        <f aca="false">F5051*G5051</f>
        <v>-0.5</v>
      </c>
      <c r="R5051" s="0" t="n">
        <f aca="false">F5051*H5051</f>
        <v>0.5</v>
      </c>
      <c r="S5051" s="0" t="n">
        <f aca="false">G5051*H5051</f>
        <v>-0.25</v>
      </c>
      <c r="T5051" s="0" t="n">
        <f aca="false">E5051*E5051</f>
        <v>0.25</v>
      </c>
      <c r="U5051" s="0" t="n">
        <f aca="false">F5051*F5051</f>
        <v>1</v>
      </c>
      <c r="V5051" s="0" t="n">
        <f aca="false">G5051*G5051</f>
        <v>0.25</v>
      </c>
      <c r="W5051" s="0" t="n">
        <f aca="false">H5051*H5051</f>
        <v>0.25</v>
      </c>
      <c r="X5051" s="0" t="n">
        <f aca="false">SUMPRODUCT(I5051:W5051,_XtX!$B$96:$P$96)</f>
        <v>47.6438048245614</v>
      </c>
      <c r="Y5051" s="0" t="n">
        <f aca="false">SUMPRODUCT(MMULT(I5051:W5051,_XtX!$B$78:$P$92),I5051:W5051)</f>
        <v>0.404719480994152</v>
      </c>
      <c r="Z5051" s="0" t="n">
        <f aca="false">04_回帰ANOVA!$K$19*04_回帰ANOVA!$K$14*SQRT(1+Y5051)</f>
        <v>1.54487446697867</v>
      </c>
      <c r="AA5051" s="0" t="n">
        <f aca="false">X5051-Z5051</f>
        <v>46.0989303575827</v>
      </c>
      <c r="AB5051" s="0" t="n">
        <f aca="false">X5051+Z5051</f>
        <v>49.1886792915401</v>
      </c>
      <c r="AC5051" s="54" t="b">
        <f aca="false">AND(E5051&gt;=01_因子設定!$L$5-0.000000001,E5051&lt;=01_因子設定!$M$5+0.000000001,F5051&gt;=01_因子設定!$L$6-0.000000001,F5051&lt;=01_因子設定!$M$6+0.000000001,G5051&gt;=01_因子設定!$L$7-0.000000001,G5051&lt;=01_因子設定!$M$7+0.000000001,H5051&gt;=01_因子設定!$L$8-0.000000001,H5051&lt;=01_因子設定!$M$8+0.000000001,IF(01_因子設定!$B$20="Box-Behnken",E5051^2+F5051^2+G5051^2+H5051^2&lt;=2+0.000000001,TRUE()))</f>
        <v>1</v>
      </c>
      <c r="AD5051" s="55" t="n">
        <f aca="false">IF(AC5051,IF(01_因子設定!$B$13="最大化",AA5051-01_因子設定!$B$14,IF(01_因子設定!$B$13="最小化",01_因子設定!$B$15-AB5051,MIN(AA5051-01_因子設定!$B$14,01_因子設定!$B$15-AB5051))),-1E+030)</f>
        <v>-0.401069642417305</v>
      </c>
      <c r="AE5051" s="55" t="n">
        <f aca="false">IF(AC5051,IF(01_因子設定!$B$13="最大化",X5051,IF(01_因子設定!$B$13="最小化",-X5051,-ABS(X5051-01_因子設定!$B$16))),-1E+030)</f>
        <v>47.6438048245614</v>
      </c>
      <c r="AF5051" s="55" t="n">
        <f aca="false">AD5051+ROW()*0.000000001</f>
        <v>-0.401064591417305</v>
      </c>
      <c r="AG5051" s="55" t="n">
        <f aca="false">AE5051+ROW()*0.000000001</f>
        <v>47.6438098755614</v>
      </c>
    </row>
    <row r="5052" customFormat="false" ht="15" hidden="false" customHeight="false" outlineLevel="0" collapsed="false">
      <c r="A5052" s="0" t="n">
        <v>6</v>
      </c>
      <c r="B5052" s="0" t="n">
        <v>8</v>
      </c>
      <c r="C5052" s="0" t="n">
        <v>2</v>
      </c>
      <c r="D5052" s="0" t="n">
        <v>7</v>
      </c>
      <c r="E5052" s="0" t="n">
        <f aca="false">-1+A5052*0.25</f>
        <v>0.5</v>
      </c>
      <c r="F5052" s="0" t="n">
        <f aca="false">-1+B5052*0.25</f>
        <v>1</v>
      </c>
      <c r="G5052" s="0" t="n">
        <f aca="false">-1+C5052*0.25</f>
        <v>-0.5</v>
      </c>
      <c r="H5052" s="0" t="n">
        <f aca="false">-1+D5052*0.25</f>
        <v>0.75</v>
      </c>
      <c r="I5052" s="0" t="n">
        <f aca="false">1</f>
        <v>1</v>
      </c>
      <c r="J5052" s="0" t="n">
        <f aca="false">E5052</f>
        <v>0.5</v>
      </c>
      <c r="K5052" s="0" t="n">
        <f aca="false">F5052</f>
        <v>1</v>
      </c>
      <c r="L5052" s="0" t="n">
        <f aca="false">G5052</f>
        <v>-0.5</v>
      </c>
      <c r="M5052" s="0" t="n">
        <f aca="false">H5052</f>
        <v>0.75</v>
      </c>
      <c r="N5052" s="0" t="n">
        <f aca="false">E5052*F5052</f>
        <v>0.5</v>
      </c>
      <c r="O5052" s="0" t="n">
        <f aca="false">E5052*G5052</f>
        <v>-0.25</v>
      </c>
      <c r="P5052" s="0" t="n">
        <f aca="false">E5052*H5052</f>
        <v>0.375</v>
      </c>
      <c r="Q5052" s="0" t="n">
        <f aca="false">F5052*G5052</f>
        <v>-0.5</v>
      </c>
      <c r="R5052" s="0" t="n">
        <f aca="false">F5052*H5052</f>
        <v>0.75</v>
      </c>
      <c r="S5052" s="0" t="n">
        <f aca="false">G5052*H5052</f>
        <v>-0.375</v>
      </c>
      <c r="T5052" s="0" t="n">
        <f aca="false">E5052*E5052</f>
        <v>0.25</v>
      </c>
      <c r="U5052" s="0" t="n">
        <f aca="false">F5052*F5052</f>
        <v>1</v>
      </c>
      <c r="V5052" s="0" t="n">
        <f aca="false">G5052*G5052</f>
        <v>0.25</v>
      </c>
      <c r="W5052" s="0" t="n">
        <f aca="false">H5052*H5052</f>
        <v>0.5625</v>
      </c>
      <c r="X5052" s="0" t="n">
        <f aca="false">SUMPRODUCT(I5052:W5052,_XtX!$B$96:$P$96)</f>
        <v>47.5522386695906</v>
      </c>
      <c r="Y5052" s="0" t="n">
        <f aca="false">SUMPRODUCT(MMULT(I5052:W5052,_XtX!$B$78:$P$92),I5052:W5052)</f>
        <v>0.42602110745614</v>
      </c>
      <c r="Z5052" s="0" t="n">
        <f aca="false">04_回帰ANOVA!$K$19*04_回帰ANOVA!$K$14*SQRT(1+Y5052)</f>
        <v>1.55654388501114</v>
      </c>
      <c r="AA5052" s="0" t="n">
        <f aca="false">X5052-Z5052</f>
        <v>45.9956947845795</v>
      </c>
      <c r="AB5052" s="0" t="n">
        <f aca="false">X5052+Z5052</f>
        <v>49.1087825546018</v>
      </c>
      <c r="AC5052" s="54" t="b">
        <f aca="false">AND(E5052&gt;=01_因子設定!$L$5-0.000000001,E5052&lt;=01_因子設定!$M$5+0.000000001,F5052&gt;=01_因子設定!$L$6-0.000000001,F5052&lt;=01_因子設定!$M$6+0.000000001,G5052&gt;=01_因子設定!$L$7-0.000000001,G5052&lt;=01_因子設定!$M$7+0.000000001,H5052&gt;=01_因子設定!$L$8-0.000000001,H5052&lt;=01_因子設定!$M$8+0.000000001,IF(01_因子設定!$B$20="Box-Behnken",E5052^2+F5052^2+G5052^2+H5052^2&lt;=2+0.000000001,TRUE()))</f>
        <v>1</v>
      </c>
      <c r="AD5052" s="55" t="n">
        <f aca="false">IF(AC5052,IF(01_因子設定!$B$13="最大化",AA5052-01_因子設定!$B$14,IF(01_因子設定!$B$13="最小化",01_因子設定!$B$15-AB5052,MIN(AA5052-01_因子設定!$B$14,01_因子設定!$B$15-AB5052))),-1E+030)</f>
        <v>-0.504305215420516</v>
      </c>
      <c r="AE5052" s="55" t="n">
        <f aca="false">IF(AC5052,IF(01_因子設定!$B$13="最大化",X5052,IF(01_因子設定!$B$13="最小化",-X5052,-ABS(X5052-01_因子設定!$B$16))),-1E+030)</f>
        <v>47.5522386695906</v>
      </c>
      <c r="AF5052" s="55" t="n">
        <f aca="false">AD5052+ROW()*0.000000001</f>
        <v>-0.504300163420516</v>
      </c>
      <c r="AG5052" s="55" t="n">
        <f aca="false">AE5052+ROW()*0.000000001</f>
        <v>47.5522437215906</v>
      </c>
    </row>
    <row r="5053" customFormat="false" ht="15" hidden="false" customHeight="false" outlineLevel="0" collapsed="false">
      <c r="A5053" s="0" t="n">
        <v>6</v>
      </c>
      <c r="B5053" s="0" t="n">
        <v>8</v>
      </c>
      <c r="C5053" s="0" t="n">
        <v>2</v>
      </c>
      <c r="D5053" s="0" t="n">
        <v>8</v>
      </c>
      <c r="E5053" s="0" t="n">
        <f aca="false">-1+A5053*0.25</f>
        <v>0.5</v>
      </c>
      <c r="F5053" s="0" t="n">
        <f aca="false">-1+B5053*0.25</f>
        <v>1</v>
      </c>
      <c r="G5053" s="0" t="n">
        <f aca="false">-1+C5053*0.25</f>
        <v>-0.5</v>
      </c>
      <c r="H5053" s="0" t="n">
        <f aca="false">-1+D5053*0.25</f>
        <v>1</v>
      </c>
      <c r="I5053" s="0" t="n">
        <f aca="false">1</f>
        <v>1</v>
      </c>
      <c r="J5053" s="0" t="n">
        <f aca="false">E5053</f>
        <v>0.5</v>
      </c>
      <c r="K5053" s="0" t="n">
        <f aca="false">F5053</f>
        <v>1</v>
      </c>
      <c r="L5053" s="0" t="n">
        <f aca="false">G5053</f>
        <v>-0.5</v>
      </c>
      <c r="M5053" s="0" t="n">
        <f aca="false">H5053</f>
        <v>1</v>
      </c>
      <c r="N5053" s="0" t="n">
        <f aca="false">E5053*F5053</f>
        <v>0.5</v>
      </c>
      <c r="O5053" s="0" t="n">
        <f aca="false">E5053*G5053</f>
        <v>-0.25</v>
      </c>
      <c r="P5053" s="0" t="n">
        <f aca="false">E5053*H5053</f>
        <v>0.5</v>
      </c>
      <c r="Q5053" s="0" t="n">
        <f aca="false">F5053*G5053</f>
        <v>-0.5</v>
      </c>
      <c r="R5053" s="0" t="n">
        <f aca="false">F5053*H5053</f>
        <v>1</v>
      </c>
      <c r="S5053" s="0" t="n">
        <f aca="false">G5053*H5053</f>
        <v>-0.5</v>
      </c>
      <c r="T5053" s="0" t="n">
        <f aca="false">E5053*E5053</f>
        <v>0.25</v>
      </c>
      <c r="U5053" s="0" t="n">
        <f aca="false">F5053*F5053</f>
        <v>1</v>
      </c>
      <c r="V5053" s="0" t="n">
        <f aca="false">G5053*G5053</f>
        <v>0.25</v>
      </c>
      <c r="W5053" s="0" t="n">
        <f aca="false">H5053*H5053</f>
        <v>1</v>
      </c>
      <c r="X5053" s="0" t="n">
        <f aca="false">SUMPRODUCT(I5053:W5053,_XtX!$B$96:$P$96)</f>
        <v>47.412865497076</v>
      </c>
      <c r="Y5053" s="0" t="n">
        <f aca="false">SUMPRODUCT(MMULT(I5053:W5053,_XtX!$B$78:$P$92),I5053:W5053)</f>
        <v>0.582488121345029</v>
      </c>
      <c r="Z5053" s="0" t="n">
        <f aca="false">04_回帰ANOVA!$K$19*04_回帰ANOVA!$K$14*SQRT(1+Y5053)</f>
        <v>1.63971595338287</v>
      </c>
      <c r="AA5053" s="0" t="n">
        <f aca="false">X5053-Z5053</f>
        <v>45.7731495436931</v>
      </c>
      <c r="AB5053" s="0" t="n">
        <f aca="false">X5053+Z5053</f>
        <v>49.0525814504589</v>
      </c>
      <c r="AC5053" s="54" t="b">
        <f aca="false">AND(E5053&gt;=01_因子設定!$L$5-0.000000001,E5053&lt;=01_因子設定!$M$5+0.000000001,F5053&gt;=01_因子設定!$L$6-0.000000001,F5053&lt;=01_因子設定!$M$6+0.000000001,G5053&gt;=01_因子設定!$L$7-0.000000001,G5053&lt;=01_因子設定!$M$7+0.000000001,H5053&gt;=01_因子設定!$L$8-0.000000001,H5053&lt;=01_因子設定!$M$8+0.000000001,IF(01_因子設定!$B$20="Box-Behnken",E5053^2+F5053^2+G5053^2+H5053^2&lt;=2+0.000000001,TRUE()))</f>
        <v>1</v>
      </c>
      <c r="AD5053" s="55" t="n">
        <f aca="false">IF(AC5053,IF(01_因子設定!$B$13="最大化",AA5053-01_因子設定!$B$14,IF(01_因子設定!$B$13="最小化",01_因子設定!$B$15-AB5053,MIN(AA5053-01_因子設定!$B$14,01_因子設定!$B$15-AB5053))),-1E+030)</f>
        <v>-0.726850456306856</v>
      </c>
      <c r="AE5053" s="55" t="n">
        <f aca="false">IF(AC5053,IF(01_因子設定!$B$13="最大化",X5053,IF(01_因子設定!$B$13="最小化",-X5053,-ABS(X5053-01_因子設定!$B$16))),-1E+030)</f>
        <v>47.412865497076</v>
      </c>
      <c r="AF5053" s="55" t="n">
        <f aca="false">AD5053+ROW()*0.000000001</f>
        <v>-0.726845403306856</v>
      </c>
      <c r="AG5053" s="55" t="n">
        <f aca="false">AE5053+ROW()*0.000000001</f>
        <v>47.412870550076</v>
      </c>
    </row>
    <row r="5054" customFormat="false" ht="15" hidden="false" customHeight="false" outlineLevel="0" collapsed="false">
      <c r="A5054" s="0" t="n">
        <v>6</v>
      </c>
      <c r="B5054" s="0" t="n">
        <v>8</v>
      </c>
      <c r="C5054" s="0" t="n">
        <v>3</v>
      </c>
      <c r="D5054" s="0" t="n">
        <v>0</v>
      </c>
      <c r="E5054" s="0" t="n">
        <f aca="false">-1+A5054*0.25</f>
        <v>0.5</v>
      </c>
      <c r="F5054" s="0" t="n">
        <f aca="false">-1+B5054*0.25</f>
        <v>1</v>
      </c>
      <c r="G5054" s="0" t="n">
        <f aca="false">-1+C5054*0.25</f>
        <v>-0.25</v>
      </c>
      <c r="H5054" s="0" t="n">
        <f aca="false">-1+D5054*0.25</f>
        <v>-1</v>
      </c>
      <c r="I5054" s="0" t="n">
        <f aca="false">1</f>
        <v>1</v>
      </c>
      <c r="J5054" s="0" t="n">
        <f aca="false">E5054</f>
        <v>0.5</v>
      </c>
      <c r="K5054" s="0" t="n">
        <f aca="false">F5054</f>
        <v>1</v>
      </c>
      <c r="L5054" s="0" t="n">
        <f aca="false">G5054</f>
        <v>-0.25</v>
      </c>
      <c r="M5054" s="0" t="n">
        <f aca="false">H5054</f>
        <v>-1</v>
      </c>
      <c r="N5054" s="0" t="n">
        <f aca="false">E5054*F5054</f>
        <v>0.5</v>
      </c>
      <c r="O5054" s="0" t="n">
        <f aca="false">E5054*G5054</f>
        <v>-0.125</v>
      </c>
      <c r="P5054" s="0" t="n">
        <f aca="false">E5054*H5054</f>
        <v>-0.5</v>
      </c>
      <c r="Q5054" s="0" t="n">
        <f aca="false">F5054*G5054</f>
        <v>-0.25</v>
      </c>
      <c r="R5054" s="0" t="n">
        <f aca="false">F5054*H5054</f>
        <v>-1</v>
      </c>
      <c r="S5054" s="0" t="n">
        <f aca="false">G5054*H5054</f>
        <v>0.25</v>
      </c>
      <c r="T5054" s="0" t="n">
        <f aca="false">E5054*E5054</f>
        <v>0.25</v>
      </c>
      <c r="U5054" s="0" t="n">
        <f aca="false">F5054*F5054</f>
        <v>1</v>
      </c>
      <c r="V5054" s="0" t="n">
        <f aca="false">G5054*G5054</f>
        <v>0.0625</v>
      </c>
      <c r="W5054" s="0" t="n">
        <f aca="false">H5054*H5054</f>
        <v>1</v>
      </c>
      <c r="X5054" s="0" t="n">
        <f aca="false">SUMPRODUCT(I5054:W5054,_XtX!$B$96:$P$96)</f>
        <v>47.488048245614</v>
      </c>
      <c r="Y5054" s="0" t="n">
        <f aca="false">SUMPRODUCT(MMULT(I5054:W5054,_XtX!$B$78:$P$92),I5054:W5054)</f>
        <v>0.629174661915205</v>
      </c>
      <c r="Z5054" s="0" t="n">
        <f aca="false">04_回帰ANOVA!$K$19*04_回帰ANOVA!$K$14*SQRT(1+Y5054)</f>
        <v>1.66372758058297</v>
      </c>
      <c r="AA5054" s="0" t="n">
        <f aca="false">X5054-Z5054</f>
        <v>45.8243206650311</v>
      </c>
      <c r="AB5054" s="0" t="n">
        <f aca="false">X5054+Z5054</f>
        <v>49.151775826197</v>
      </c>
      <c r="AC5054" s="54" t="b">
        <f aca="false">AND(E5054&gt;=01_因子設定!$L$5-0.000000001,E5054&lt;=01_因子設定!$M$5+0.000000001,F5054&gt;=01_因子設定!$L$6-0.000000001,F5054&lt;=01_因子設定!$M$6+0.000000001,G5054&gt;=01_因子設定!$L$7-0.000000001,G5054&lt;=01_因子設定!$M$7+0.000000001,H5054&gt;=01_因子設定!$L$8-0.000000001,H5054&lt;=01_因子設定!$M$8+0.000000001,IF(01_因子設定!$B$20="Box-Behnken",E5054^2+F5054^2+G5054^2+H5054^2&lt;=2+0.000000001,TRUE()))</f>
        <v>1</v>
      </c>
      <c r="AD5054" s="55" t="n">
        <f aca="false">IF(AC5054,IF(01_因子設定!$B$13="最大化",AA5054-01_因子設定!$B$14,IF(01_因子設定!$B$13="最小化",01_因子設定!$B$15-AB5054,MIN(AA5054-01_因子設定!$B$14,01_因子設定!$B$15-AB5054))),-1E+030)</f>
        <v>-0.67567933496894</v>
      </c>
      <c r="AE5054" s="55" t="n">
        <f aca="false">IF(AC5054,IF(01_因子設定!$B$13="最大化",X5054,IF(01_因子設定!$B$13="最小化",-X5054,-ABS(X5054-01_因子設定!$B$16))),-1E+030)</f>
        <v>47.488048245614</v>
      </c>
      <c r="AF5054" s="55" t="n">
        <f aca="false">AD5054+ROW()*0.000000001</f>
        <v>-0.67567428096894</v>
      </c>
      <c r="AG5054" s="55" t="n">
        <f aca="false">AE5054+ROW()*0.000000001</f>
        <v>47.488053299614</v>
      </c>
    </row>
    <row r="5055" customFormat="false" ht="15" hidden="false" customHeight="false" outlineLevel="0" collapsed="false">
      <c r="A5055" s="0" t="n">
        <v>6</v>
      </c>
      <c r="B5055" s="0" t="n">
        <v>8</v>
      </c>
      <c r="C5055" s="0" t="n">
        <v>3</v>
      </c>
      <c r="D5055" s="0" t="n">
        <v>1</v>
      </c>
      <c r="E5055" s="0" t="n">
        <f aca="false">-1+A5055*0.25</f>
        <v>0.5</v>
      </c>
      <c r="F5055" s="0" t="n">
        <f aca="false">-1+B5055*0.25</f>
        <v>1</v>
      </c>
      <c r="G5055" s="0" t="n">
        <f aca="false">-1+C5055*0.25</f>
        <v>-0.25</v>
      </c>
      <c r="H5055" s="0" t="n">
        <f aca="false">-1+D5055*0.25</f>
        <v>-0.75</v>
      </c>
      <c r="I5055" s="0" t="n">
        <f aca="false">1</f>
        <v>1</v>
      </c>
      <c r="J5055" s="0" t="n">
        <f aca="false">E5055</f>
        <v>0.5</v>
      </c>
      <c r="K5055" s="0" t="n">
        <f aca="false">F5055</f>
        <v>1</v>
      </c>
      <c r="L5055" s="0" t="n">
        <f aca="false">G5055</f>
        <v>-0.25</v>
      </c>
      <c r="M5055" s="0" t="n">
        <f aca="false">H5055</f>
        <v>-0.75</v>
      </c>
      <c r="N5055" s="0" t="n">
        <f aca="false">E5055*F5055</f>
        <v>0.5</v>
      </c>
      <c r="O5055" s="0" t="n">
        <f aca="false">E5055*G5055</f>
        <v>-0.125</v>
      </c>
      <c r="P5055" s="0" t="n">
        <f aca="false">E5055*H5055</f>
        <v>-0.375</v>
      </c>
      <c r="Q5055" s="0" t="n">
        <f aca="false">F5055*G5055</f>
        <v>-0.25</v>
      </c>
      <c r="R5055" s="0" t="n">
        <f aca="false">F5055*H5055</f>
        <v>-0.75</v>
      </c>
      <c r="S5055" s="0" t="n">
        <f aca="false">G5055*H5055</f>
        <v>0.1875</v>
      </c>
      <c r="T5055" s="0" t="n">
        <f aca="false">E5055*E5055</f>
        <v>0.25</v>
      </c>
      <c r="U5055" s="0" t="n">
        <f aca="false">F5055*F5055</f>
        <v>1</v>
      </c>
      <c r="V5055" s="0" t="n">
        <f aca="false">G5055*G5055</f>
        <v>0.0625</v>
      </c>
      <c r="W5055" s="0" t="n">
        <f aca="false">H5055*H5055</f>
        <v>0.5625</v>
      </c>
      <c r="X5055" s="0" t="n">
        <f aca="false">SUMPRODUCT(I5055:W5055,_XtX!$B$96:$P$96)</f>
        <v>47.7012929459064</v>
      </c>
      <c r="Y5055" s="0" t="n">
        <f aca="false">SUMPRODUCT(MMULT(I5055:W5055,_XtX!$B$78:$P$92),I5055:W5055)</f>
        <v>0.459125719572369</v>
      </c>
      <c r="Z5055" s="0" t="n">
        <f aca="false">04_回帰ANOVA!$K$19*04_回帰ANOVA!$K$14*SQRT(1+Y5055)</f>
        <v>1.57450755575573</v>
      </c>
      <c r="AA5055" s="0" t="n">
        <f aca="false">X5055-Z5055</f>
        <v>46.1267853901507</v>
      </c>
      <c r="AB5055" s="0" t="n">
        <f aca="false">X5055+Z5055</f>
        <v>49.2758005016621</v>
      </c>
      <c r="AC5055" s="54" t="b">
        <f aca="false">AND(E5055&gt;=01_因子設定!$L$5-0.000000001,E5055&lt;=01_因子設定!$M$5+0.000000001,F5055&gt;=01_因子設定!$L$6-0.000000001,F5055&lt;=01_因子設定!$M$6+0.000000001,G5055&gt;=01_因子設定!$L$7-0.000000001,G5055&lt;=01_因子設定!$M$7+0.000000001,H5055&gt;=01_因子設定!$L$8-0.000000001,H5055&lt;=01_因子設定!$M$8+0.000000001,IF(01_因子設定!$B$20="Box-Behnken",E5055^2+F5055^2+G5055^2+H5055^2&lt;=2+0.000000001,TRUE()))</f>
        <v>1</v>
      </c>
      <c r="AD5055" s="55" t="n">
        <f aca="false">IF(AC5055,IF(01_因子設定!$B$13="最大化",AA5055-01_因子設定!$B$14,IF(01_因子設定!$B$13="最小化",01_因子設定!$B$15-AB5055,MIN(AA5055-01_因子設定!$B$14,01_因子設定!$B$15-AB5055))),-1E+030)</f>
        <v>-0.37321460984932</v>
      </c>
      <c r="AE5055" s="55" t="n">
        <f aca="false">IF(AC5055,IF(01_因子設定!$B$13="最大化",X5055,IF(01_因子設定!$B$13="最小化",-X5055,-ABS(X5055-01_因子設定!$B$16))),-1E+030)</f>
        <v>47.7012929459064</v>
      </c>
      <c r="AF5055" s="55" t="n">
        <f aca="false">AD5055+ROW()*0.000000001</f>
        <v>-0.37320955484932</v>
      </c>
      <c r="AG5055" s="55" t="n">
        <f aca="false">AE5055+ROW()*0.000000001</f>
        <v>47.7012980009064</v>
      </c>
    </row>
    <row r="5056" customFormat="false" ht="15" hidden="false" customHeight="false" outlineLevel="0" collapsed="false">
      <c r="A5056" s="0" t="n">
        <v>6</v>
      </c>
      <c r="B5056" s="0" t="n">
        <v>8</v>
      </c>
      <c r="C5056" s="0" t="n">
        <v>3</v>
      </c>
      <c r="D5056" s="0" t="n">
        <v>2</v>
      </c>
      <c r="E5056" s="0" t="n">
        <f aca="false">-1+A5056*0.25</f>
        <v>0.5</v>
      </c>
      <c r="F5056" s="0" t="n">
        <f aca="false">-1+B5056*0.25</f>
        <v>1</v>
      </c>
      <c r="G5056" s="0" t="n">
        <f aca="false">-1+C5056*0.25</f>
        <v>-0.25</v>
      </c>
      <c r="H5056" s="0" t="n">
        <f aca="false">-1+D5056*0.25</f>
        <v>-0.5</v>
      </c>
      <c r="I5056" s="0" t="n">
        <f aca="false">1</f>
        <v>1</v>
      </c>
      <c r="J5056" s="0" t="n">
        <f aca="false">E5056</f>
        <v>0.5</v>
      </c>
      <c r="K5056" s="0" t="n">
        <f aca="false">F5056</f>
        <v>1</v>
      </c>
      <c r="L5056" s="0" t="n">
        <f aca="false">G5056</f>
        <v>-0.25</v>
      </c>
      <c r="M5056" s="0" t="n">
        <f aca="false">H5056</f>
        <v>-0.5</v>
      </c>
      <c r="N5056" s="0" t="n">
        <f aca="false">E5056*F5056</f>
        <v>0.5</v>
      </c>
      <c r="O5056" s="0" t="n">
        <f aca="false">E5056*G5056</f>
        <v>-0.125</v>
      </c>
      <c r="P5056" s="0" t="n">
        <f aca="false">E5056*H5056</f>
        <v>-0.25</v>
      </c>
      <c r="Q5056" s="0" t="n">
        <f aca="false">F5056*G5056</f>
        <v>-0.25</v>
      </c>
      <c r="R5056" s="0" t="n">
        <f aca="false">F5056*H5056</f>
        <v>-0.5</v>
      </c>
      <c r="S5056" s="0" t="n">
        <f aca="false">G5056*H5056</f>
        <v>0.125</v>
      </c>
      <c r="T5056" s="0" t="n">
        <f aca="false">E5056*E5056</f>
        <v>0.25</v>
      </c>
      <c r="U5056" s="0" t="n">
        <f aca="false">F5056*F5056</f>
        <v>1</v>
      </c>
      <c r="V5056" s="0" t="n">
        <f aca="false">G5056*G5056</f>
        <v>0.0625</v>
      </c>
      <c r="W5056" s="0" t="n">
        <f aca="false">H5056*H5056</f>
        <v>0.25</v>
      </c>
      <c r="X5056" s="0" t="n">
        <f aca="false">SUMPRODUCT(I5056:W5056,_XtX!$B$96:$P$96)</f>
        <v>47.8667306286549</v>
      </c>
      <c r="Y5056" s="0" t="n">
        <f aca="false">SUMPRODUCT(MMULT(I5056:W5056,_XtX!$B$78:$P$92),I5056:W5056)</f>
        <v>0.428122715643275</v>
      </c>
      <c r="Z5056" s="0" t="n">
        <f aca="false">04_回帰ANOVA!$K$19*04_回帰ANOVA!$K$14*SQRT(1+Y5056)</f>
        <v>1.55769044623229</v>
      </c>
      <c r="AA5056" s="0" t="n">
        <f aca="false">X5056-Z5056</f>
        <v>46.3090401824226</v>
      </c>
      <c r="AB5056" s="0" t="n">
        <f aca="false">X5056+Z5056</f>
        <v>49.4244210748872</v>
      </c>
      <c r="AC5056" s="54" t="b">
        <f aca="false">AND(E5056&gt;=01_因子設定!$L$5-0.000000001,E5056&lt;=01_因子設定!$M$5+0.000000001,F5056&gt;=01_因子設定!$L$6-0.000000001,F5056&lt;=01_因子設定!$M$6+0.000000001,G5056&gt;=01_因子設定!$L$7-0.000000001,G5056&lt;=01_因子設定!$M$7+0.000000001,H5056&gt;=01_因子設定!$L$8-0.000000001,H5056&lt;=01_因子設定!$M$8+0.000000001,IF(01_因子設定!$B$20="Box-Behnken",E5056^2+F5056^2+G5056^2+H5056^2&lt;=2+0.000000001,TRUE()))</f>
        <v>1</v>
      </c>
      <c r="AD5056" s="55" t="n">
        <f aca="false">IF(AC5056,IF(01_因子設定!$B$13="最大化",AA5056-01_因子設定!$B$14,IF(01_因子設定!$B$13="最小化",01_因子設定!$B$15-AB5056,MIN(AA5056-01_因子設定!$B$14,01_因子設定!$B$15-AB5056))),-1E+030)</f>
        <v>-0.190959817577358</v>
      </c>
      <c r="AE5056" s="55" t="n">
        <f aca="false">IF(AC5056,IF(01_因子設定!$B$13="最大化",X5056,IF(01_因子設定!$B$13="最小化",-X5056,-ABS(X5056-01_因子設定!$B$16))),-1E+030)</f>
        <v>47.8667306286549</v>
      </c>
      <c r="AF5056" s="55" t="n">
        <f aca="false">AD5056+ROW()*0.000000001</f>
        <v>-0.190954761577358</v>
      </c>
      <c r="AG5056" s="55" t="n">
        <f aca="false">AE5056+ROW()*0.000000001</f>
        <v>47.8667356846549</v>
      </c>
    </row>
    <row r="5057" customFormat="false" ht="15" hidden="false" customHeight="false" outlineLevel="0" collapsed="false">
      <c r="A5057" s="0" t="n">
        <v>6</v>
      </c>
      <c r="B5057" s="0" t="n">
        <v>8</v>
      </c>
      <c r="C5057" s="0" t="n">
        <v>3</v>
      </c>
      <c r="D5057" s="0" t="n">
        <v>3</v>
      </c>
      <c r="E5057" s="0" t="n">
        <f aca="false">-1+A5057*0.25</f>
        <v>0.5</v>
      </c>
      <c r="F5057" s="0" t="n">
        <f aca="false">-1+B5057*0.25</f>
        <v>1</v>
      </c>
      <c r="G5057" s="0" t="n">
        <f aca="false">-1+C5057*0.25</f>
        <v>-0.25</v>
      </c>
      <c r="H5057" s="0" t="n">
        <f aca="false">-1+D5057*0.25</f>
        <v>-0.25</v>
      </c>
      <c r="I5057" s="0" t="n">
        <f aca="false">1</f>
        <v>1</v>
      </c>
      <c r="J5057" s="0" t="n">
        <f aca="false">E5057</f>
        <v>0.5</v>
      </c>
      <c r="K5057" s="0" t="n">
        <f aca="false">F5057</f>
        <v>1</v>
      </c>
      <c r="L5057" s="0" t="n">
        <f aca="false">G5057</f>
        <v>-0.25</v>
      </c>
      <c r="M5057" s="0" t="n">
        <f aca="false">H5057</f>
        <v>-0.25</v>
      </c>
      <c r="N5057" s="0" t="n">
        <f aca="false">E5057*F5057</f>
        <v>0.5</v>
      </c>
      <c r="O5057" s="0" t="n">
        <f aca="false">E5057*G5057</f>
        <v>-0.125</v>
      </c>
      <c r="P5057" s="0" t="n">
        <f aca="false">E5057*H5057</f>
        <v>-0.125</v>
      </c>
      <c r="Q5057" s="0" t="n">
        <f aca="false">F5057*G5057</f>
        <v>-0.25</v>
      </c>
      <c r="R5057" s="0" t="n">
        <f aca="false">F5057*H5057</f>
        <v>-0.25</v>
      </c>
      <c r="S5057" s="0" t="n">
        <f aca="false">G5057*H5057</f>
        <v>0.0625</v>
      </c>
      <c r="T5057" s="0" t="n">
        <f aca="false">E5057*E5057</f>
        <v>0.25</v>
      </c>
      <c r="U5057" s="0" t="n">
        <f aca="false">F5057*F5057</f>
        <v>1</v>
      </c>
      <c r="V5057" s="0" t="n">
        <f aca="false">G5057*G5057</f>
        <v>0.0625</v>
      </c>
      <c r="W5057" s="0" t="n">
        <f aca="false">H5057*H5057</f>
        <v>0.0625</v>
      </c>
      <c r="X5057" s="0" t="n">
        <f aca="false">SUMPRODUCT(I5057:W5057,_XtX!$B$96:$P$96)</f>
        <v>47.9843612938596</v>
      </c>
      <c r="Y5057" s="0" t="n">
        <f aca="false">SUMPRODUCT(MMULT(I5057:W5057,_XtX!$B$78:$P$92),I5057:W5057)</f>
        <v>0.445705123812135</v>
      </c>
      <c r="Z5057" s="0" t="n">
        <f aca="false">04_回帰ANOVA!$K$19*04_回帰ANOVA!$K$14*SQRT(1+Y5057)</f>
        <v>1.56724990734749</v>
      </c>
      <c r="AA5057" s="0" t="n">
        <f aca="false">X5057-Z5057</f>
        <v>46.4171113865121</v>
      </c>
      <c r="AB5057" s="0" t="n">
        <f aca="false">X5057+Z5057</f>
        <v>49.5516112012071</v>
      </c>
      <c r="AC5057" s="54" t="b">
        <f aca="false">AND(E5057&gt;=01_因子設定!$L$5-0.000000001,E5057&lt;=01_因子設定!$M$5+0.000000001,F5057&gt;=01_因子設定!$L$6-0.000000001,F5057&lt;=01_因子設定!$M$6+0.000000001,G5057&gt;=01_因子設定!$L$7-0.000000001,G5057&lt;=01_因子設定!$M$7+0.000000001,H5057&gt;=01_因子設定!$L$8-0.000000001,H5057&lt;=01_因子設定!$M$8+0.000000001,IF(01_因子設定!$B$20="Box-Behnken",E5057^2+F5057^2+G5057^2+H5057^2&lt;=2+0.000000001,TRUE()))</f>
        <v>1</v>
      </c>
      <c r="AD5057" s="55" t="n">
        <f aca="false">IF(AC5057,IF(01_因子設定!$B$13="最大化",AA5057-01_因子設定!$B$14,IF(01_因子設定!$B$13="最小化",01_因子設定!$B$15-AB5057,MIN(AA5057-01_因子設定!$B$14,01_因子設定!$B$15-AB5057))),-1E+030)</f>
        <v>-0.0828886134878815</v>
      </c>
      <c r="AE5057" s="55" t="n">
        <f aca="false">IF(AC5057,IF(01_因子設定!$B$13="最大化",X5057,IF(01_因子設定!$B$13="最小化",-X5057,-ABS(X5057-01_因子設定!$B$16))),-1E+030)</f>
        <v>47.9843612938596</v>
      </c>
      <c r="AF5057" s="55" t="n">
        <f aca="false">AD5057+ROW()*0.000000001</f>
        <v>-0.0828835564878815</v>
      </c>
      <c r="AG5057" s="55" t="n">
        <f aca="false">AE5057+ROW()*0.000000001</f>
        <v>47.9843663508596</v>
      </c>
    </row>
    <row r="5058" customFormat="false" ht="15" hidden="false" customHeight="false" outlineLevel="0" collapsed="false">
      <c r="A5058" s="0" t="n">
        <v>6</v>
      </c>
      <c r="B5058" s="0" t="n">
        <v>8</v>
      </c>
      <c r="C5058" s="0" t="n">
        <v>3</v>
      </c>
      <c r="D5058" s="0" t="n">
        <v>4</v>
      </c>
      <c r="E5058" s="0" t="n">
        <f aca="false">-1+A5058*0.25</f>
        <v>0.5</v>
      </c>
      <c r="F5058" s="0" t="n">
        <f aca="false">-1+B5058*0.25</f>
        <v>1</v>
      </c>
      <c r="G5058" s="0" t="n">
        <f aca="false">-1+C5058*0.25</f>
        <v>-0.25</v>
      </c>
      <c r="H5058" s="0" t="n">
        <f aca="false">-1+D5058*0.25</f>
        <v>0</v>
      </c>
      <c r="I5058" s="0" t="n">
        <f aca="false">1</f>
        <v>1</v>
      </c>
      <c r="J5058" s="0" t="n">
        <f aca="false">E5058</f>
        <v>0.5</v>
      </c>
      <c r="K5058" s="0" t="n">
        <f aca="false">F5058</f>
        <v>1</v>
      </c>
      <c r="L5058" s="0" t="n">
        <f aca="false">G5058</f>
        <v>-0.25</v>
      </c>
      <c r="M5058" s="0" t="n">
        <f aca="false">H5058</f>
        <v>0</v>
      </c>
      <c r="N5058" s="0" t="n">
        <f aca="false">E5058*F5058</f>
        <v>0.5</v>
      </c>
      <c r="O5058" s="0" t="n">
        <f aca="false">E5058*G5058</f>
        <v>-0.125</v>
      </c>
      <c r="P5058" s="0" t="n">
        <f aca="false">E5058*H5058</f>
        <v>0</v>
      </c>
      <c r="Q5058" s="0" t="n">
        <f aca="false">F5058*G5058</f>
        <v>-0.25</v>
      </c>
      <c r="R5058" s="0" t="n">
        <f aca="false">F5058*H5058</f>
        <v>0</v>
      </c>
      <c r="S5058" s="0" t="n">
        <f aca="false">G5058*H5058</f>
        <v>-0</v>
      </c>
      <c r="T5058" s="0" t="n">
        <f aca="false">E5058*E5058</f>
        <v>0.25</v>
      </c>
      <c r="U5058" s="0" t="n">
        <f aca="false">F5058*F5058</f>
        <v>1</v>
      </c>
      <c r="V5058" s="0" t="n">
        <f aca="false">G5058*G5058</f>
        <v>0.0625</v>
      </c>
      <c r="W5058" s="0" t="n">
        <f aca="false">H5058*H5058</f>
        <v>0</v>
      </c>
      <c r="X5058" s="0" t="n">
        <f aca="false">SUMPRODUCT(I5058:W5058,_XtX!$B$96:$P$96)</f>
        <v>48.0541849415204</v>
      </c>
      <c r="Y5058" s="0" t="n">
        <f aca="false">SUMPRODUCT(MMULT(I5058:W5058,_XtX!$B$78:$P$92),I5058:W5058)</f>
        <v>0.457596628289474</v>
      </c>
      <c r="Z5058" s="0" t="n">
        <f aca="false">04_回帰ANOVA!$K$19*04_回帰ANOVA!$K$14*SQRT(1+Y5058)</f>
        <v>1.57368233664366</v>
      </c>
      <c r="AA5058" s="0" t="n">
        <f aca="false">X5058-Z5058</f>
        <v>46.4805026048768</v>
      </c>
      <c r="AB5058" s="0" t="n">
        <f aca="false">X5058+Z5058</f>
        <v>49.6278672781641</v>
      </c>
      <c r="AC5058" s="54" t="b">
        <f aca="false">AND(E5058&gt;=01_因子設定!$L$5-0.000000001,E5058&lt;=01_因子設定!$M$5+0.000000001,F5058&gt;=01_因子設定!$L$6-0.000000001,F5058&lt;=01_因子設定!$M$6+0.000000001,G5058&gt;=01_因子設定!$L$7-0.000000001,G5058&lt;=01_因子設定!$M$7+0.000000001,H5058&gt;=01_因子設定!$L$8-0.000000001,H5058&lt;=01_因子設定!$M$8+0.000000001,IF(01_因子設定!$B$20="Box-Behnken",E5058^2+F5058^2+G5058^2+H5058^2&lt;=2+0.000000001,TRUE()))</f>
        <v>1</v>
      </c>
      <c r="AD5058" s="55" t="n">
        <f aca="false">IF(AC5058,IF(01_因子設定!$B$13="最大化",AA5058-01_因子設定!$B$14,IF(01_因子設定!$B$13="最小化",01_因子設定!$B$15-AB5058,MIN(AA5058-01_因子設定!$B$14,01_因子設定!$B$15-AB5058))),-1E+030)</f>
        <v>-0.0194973951232313</v>
      </c>
      <c r="AE5058" s="55" t="n">
        <f aca="false">IF(AC5058,IF(01_因子設定!$B$13="最大化",X5058,IF(01_因子設定!$B$13="最小化",-X5058,-ABS(X5058-01_因子設定!$B$16))),-1E+030)</f>
        <v>48.0541849415204</v>
      </c>
      <c r="AF5058" s="55" t="n">
        <f aca="false">AD5058+ROW()*0.000000001</f>
        <v>-0.0194923371232313</v>
      </c>
      <c r="AG5058" s="55" t="n">
        <f aca="false">AE5058+ROW()*0.000000001</f>
        <v>48.0541899995204</v>
      </c>
    </row>
    <row r="5059" customFormat="false" ht="15" hidden="false" customHeight="false" outlineLevel="0" collapsed="false">
      <c r="A5059" s="0" t="n">
        <v>6</v>
      </c>
      <c r="B5059" s="0" t="n">
        <v>8</v>
      </c>
      <c r="C5059" s="0" t="n">
        <v>3</v>
      </c>
      <c r="D5059" s="0" t="n">
        <v>5</v>
      </c>
      <c r="E5059" s="0" t="n">
        <f aca="false">-1+A5059*0.25</f>
        <v>0.5</v>
      </c>
      <c r="F5059" s="0" t="n">
        <f aca="false">-1+B5059*0.25</f>
        <v>1</v>
      </c>
      <c r="G5059" s="0" t="n">
        <f aca="false">-1+C5059*0.25</f>
        <v>-0.25</v>
      </c>
      <c r="H5059" s="0" t="n">
        <f aca="false">-1+D5059*0.25</f>
        <v>0.25</v>
      </c>
      <c r="I5059" s="0" t="n">
        <f aca="false">1</f>
        <v>1</v>
      </c>
      <c r="J5059" s="0" t="n">
        <f aca="false">E5059</f>
        <v>0.5</v>
      </c>
      <c r="K5059" s="0" t="n">
        <f aca="false">F5059</f>
        <v>1</v>
      </c>
      <c r="L5059" s="0" t="n">
        <f aca="false">G5059</f>
        <v>-0.25</v>
      </c>
      <c r="M5059" s="0" t="n">
        <f aca="false">H5059</f>
        <v>0.25</v>
      </c>
      <c r="N5059" s="0" t="n">
        <f aca="false">E5059*F5059</f>
        <v>0.5</v>
      </c>
      <c r="O5059" s="0" t="n">
        <f aca="false">E5059*G5059</f>
        <v>-0.125</v>
      </c>
      <c r="P5059" s="0" t="n">
        <f aca="false">E5059*H5059</f>
        <v>0.125</v>
      </c>
      <c r="Q5059" s="0" t="n">
        <f aca="false">F5059*G5059</f>
        <v>-0.25</v>
      </c>
      <c r="R5059" s="0" t="n">
        <f aca="false">F5059*H5059</f>
        <v>0.25</v>
      </c>
      <c r="S5059" s="0" t="n">
        <f aca="false">G5059*H5059</f>
        <v>-0.0625</v>
      </c>
      <c r="T5059" s="0" t="n">
        <f aca="false">E5059*E5059</f>
        <v>0.25</v>
      </c>
      <c r="U5059" s="0" t="n">
        <f aca="false">F5059*F5059</f>
        <v>1</v>
      </c>
      <c r="V5059" s="0" t="n">
        <f aca="false">G5059*G5059</f>
        <v>0.0625</v>
      </c>
      <c r="W5059" s="0" t="n">
        <f aca="false">H5059*H5059</f>
        <v>0.0625</v>
      </c>
      <c r="X5059" s="0" t="n">
        <f aca="false">SUMPRODUCT(I5059:W5059,_XtX!$B$96:$P$96)</f>
        <v>48.0762015716374</v>
      </c>
      <c r="Y5059" s="0" t="n">
        <f aca="false">SUMPRODUCT(MMULT(I5059:W5059,_XtX!$B$78:$P$92),I5059:W5059)</f>
        <v>0.445705123812135</v>
      </c>
      <c r="Z5059" s="0" t="n">
        <f aca="false">04_回帰ANOVA!$K$19*04_回帰ANOVA!$K$14*SQRT(1+Y5059)</f>
        <v>1.56724990734749</v>
      </c>
      <c r="AA5059" s="0" t="n">
        <f aca="false">X5059-Z5059</f>
        <v>46.5089516642899</v>
      </c>
      <c r="AB5059" s="0" t="n">
        <f aca="false">X5059+Z5059</f>
        <v>49.6434514789849</v>
      </c>
      <c r="AC5059" s="54" t="b">
        <f aca="false">AND(E5059&gt;=01_因子設定!$L$5-0.000000001,E5059&lt;=01_因子設定!$M$5+0.000000001,F5059&gt;=01_因子設定!$L$6-0.000000001,F5059&lt;=01_因子設定!$M$6+0.000000001,G5059&gt;=01_因子設定!$L$7-0.000000001,G5059&lt;=01_因子設定!$M$7+0.000000001,H5059&gt;=01_因子設定!$L$8-0.000000001,H5059&lt;=01_因子設定!$M$8+0.000000001,IF(01_因子設定!$B$20="Box-Behnken",E5059^2+F5059^2+G5059^2+H5059^2&lt;=2+0.000000001,TRUE()))</f>
        <v>1</v>
      </c>
      <c r="AD5059" s="55" t="n">
        <f aca="false">IF(AC5059,IF(01_因子設定!$B$13="最大化",AA5059-01_因子設定!$B$14,IF(01_因子設定!$B$13="最小化",01_因子設定!$B$15-AB5059,MIN(AA5059-01_因子設定!$B$14,01_因子設定!$B$15-AB5059))),-1E+030)</f>
        <v>0.00895166428989569</v>
      </c>
      <c r="AE5059" s="55" t="n">
        <f aca="false">IF(AC5059,IF(01_因子設定!$B$13="最大化",X5059,IF(01_因子設定!$B$13="最小化",-X5059,-ABS(X5059-01_因子設定!$B$16))),-1E+030)</f>
        <v>48.0762015716374</v>
      </c>
      <c r="AF5059" s="55" t="n">
        <f aca="false">AD5059+ROW()*0.000000001</f>
        <v>0.00895672328989569</v>
      </c>
      <c r="AG5059" s="55" t="n">
        <f aca="false">AE5059+ROW()*0.000000001</f>
        <v>48.0762066306374</v>
      </c>
    </row>
    <row r="5060" customFormat="false" ht="15" hidden="false" customHeight="false" outlineLevel="0" collapsed="false">
      <c r="A5060" s="0" t="n">
        <v>6</v>
      </c>
      <c r="B5060" s="0" t="n">
        <v>8</v>
      </c>
      <c r="C5060" s="0" t="n">
        <v>3</v>
      </c>
      <c r="D5060" s="0" t="n">
        <v>6</v>
      </c>
      <c r="E5060" s="0" t="n">
        <f aca="false">-1+A5060*0.25</f>
        <v>0.5</v>
      </c>
      <c r="F5060" s="0" t="n">
        <f aca="false">-1+B5060*0.25</f>
        <v>1</v>
      </c>
      <c r="G5060" s="0" t="n">
        <f aca="false">-1+C5060*0.25</f>
        <v>-0.25</v>
      </c>
      <c r="H5060" s="0" t="n">
        <f aca="false">-1+D5060*0.25</f>
        <v>0.5</v>
      </c>
      <c r="I5060" s="0" t="n">
        <f aca="false">1</f>
        <v>1</v>
      </c>
      <c r="J5060" s="0" t="n">
        <f aca="false">E5060</f>
        <v>0.5</v>
      </c>
      <c r="K5060" s="0" t="n">
        <f aca="false">F5060</f>
        <v>1</v>
      </c>
      <c r="L5060" s="0" t="n">
        <f aca="false">G5060</f>
        <v>-0.25</v>
      </c>
      <c r="M5060" s="0" t="n">
        <f aca="false">H5060</f>
        <v>0.5</v>
      </c>
      <c r="N5060" s="0" t="n">
        <f aca="false">E5060*F5060</f>
        <v>0.5</v>
      </c>
      <c r="O5060" s="0" t="n">
        <f aca="false">E5060*G5060</f>
        <v>-0.125</v>
      </c>
      <c r="P5060" s="0" t="n">
        <f aca="false">E5060*H5060</f>
        <v>0.25</v>
      </c>
      <c r="Q5060" s="0" t="n">
        <f aca="false">F5060*G5060</f>
        <v>-0.25</v>
      </c>
      <c r="R5060" s="0" t="n">
        <f aca="false">F5060*H5060</f>
        <v>0.5</v>
      </c>
      <c r="S5060" s="0" t="n">
        <f aca="false">G5060*H5060</f>
        <v>-0.125</v>
      </c>
      <c r="T5060" s="0" t="n">
        <f aca="false">E5060*E5060</f>
        <v>0.25</v>
      </c>
      <c r="U5060" s="0" t="n">
        <f aca="false">F5060*F5060</f>
        <v>1</v>
      </c>
      <c r="V5060" s="0" t="n">
        <f aca="false">G5060*G5060</f>
        <v>0.0625</v>
      </c>
      <c r="W5060" s="0" t="n">
        <f aca="false">H5060*H5060</f>
        <v>0.25</v>
      </c>
      <c r="X5060" s="0" t="n">
        <f aca="false">SUMPRODUCT(I5060:W5060,_XtX!$B$96:$P$96)</f>
        <v>48.0504111842105</v>
      </c>
      <c r="Y5060" s="0" t="n">
        <f aca="false">SUMPRODUCT(MMULT(I5060:W5060,_XtX!$B$78:$P$92),I5060:W5060)</f>
        <v>0.428122715643275</v>
      </c>
      <c r="Z5060" s="0" t="n">
        <f aca="false">04_回帰ANOVA!$K$19*04_回帰ANOVA!$K$14*SQRT(1+Y5060)</f>
        <v>1.55769044623229</v>
      </c>
      <c r="AA5060" s="0" t="n">
        <f aca="false">X5060-Z5060</f>
        <v>46.4927207379782</v>
      </c>
      <c r="AB5060" s="0" t="n">
        <f aca="false">X5060+Z5060</f>
        <v>49.6081016304428</v>
      </c>
      <c r="AC5060" s="54" t="b">
        <f aca="false">AND(E5060&gt;=01_因子設定!$L$5-0.000000001,E5060&lt;=01_因子設定!$M$5+0.000000001,F5060&gt;=01_因子設定!$L$6-0.000000001,F5060&lt;=01_因子設定!$M$6+0.000000001,G5060&gt;=01_因子設定!$L$7-0.000000001,G5060&lt;=01_因子設定!$M$7+0.000000001,H5060&gt;=01_因子設定!$L$8-0.000000001,H5060&lt;=01_因子設定!$M$8+0.000000001,IF(01_因子設定!$B$20="Box-Behnken",E5060^2+F5060^2+G5060^2+H5060^2&lt;=2+0.000000001,TRUE()))</f>
        <v>1</v>
      </c>
      <c r="AD5060" s="55" t="n">
        <f aca="false">IF(AC5060,IF(01_因子設定!$B$13="最大化",AA5060-01_因子設定!$B$14,IF(01_因子設定!$B$13="最小化",01_因子設定!$B$15-AB5060,MIN(AA5060-01_因子設定!$B$14,01_因子設定!$B$15-AB5060))),-1E+030)</f>
        <v>-0.00727926202180385</v>
      </c>
      <c r="AE5060" s="55" t="n">
        <f aca="false">IF(AC5060,IF(01_因子設定!$B$13="最大化",X5060,IF(01_因子設定!$B$13="最小化",-X5060,-ABS(X5060-01_因子設定!$B$16))),-1E+030)</f>
        <v>48.0504111842105</v>
      </c>
      <c r="AF5060" s="55" t="n">
        <f aca="false">AD5060+ROW()*0.000000001</f>
        <v>-0.00727420202180385</v>
      </c>
      <c r="AG5060" s="55" t="n">
        <f aca="false">AE5060+ROW()*0.000000001</f>
        <v>48.0504162442105</v>
      </c>
    </row>
    <row r="5061" customFormat="false" ht="15" hidden="false" customHeight="false" outlineLevel="0" collapsed="false">
      <c r="A5061" s="0" t="n">
        <v>6</v>
      </c>
      <c r="B5061" s="0" t="n">
        <v>8</v>
      </c>
      <c r="C5061" s="0" t="n">
        <v>3</v>
      </c>
      <c r="D5061" s="0" t="n">
        <v>7</v>
      </c>
      <c r="E5061" s="0" t="n">
        <f aca="false">-1+A5061*0.25</f>
        <v>0.5</v>
      </c>
      <c r="F5061" s="0" t="n">
        <f aca="false">-1+B5061*0.25</f>
        <v>1</v>
      </c>
      <c r="G5061" s="0" t="n">
        <f aca="false">-1+C5061*0.25</f>
        <v>-0.25</v>
      </c>
      <c r="H5061" s="0" t="n">
        <f aca="false">-1+D5061*0.25</f>
        <v>0.75</v>
      </c>
      <c r="I5061" s="0" t="n">
        <f aca="false">1</f>
        <v>1</v>
      </c>
      <c r="J5061" s="0" t="n">
        <f aca="false">E5061</f>
        <v>0.5</v>
      </c>
      <c r="K5061" s="0" t="n">
        <f aca="false">F5061</f>
        <v>1</v>
      </c>
      <c r="L5061" s="0" t="n">
        <f aca="false">G5061</f>
        <v>-0.25</v>
      </c>
      <c r="M5061" s="0" t="n">
        <f aca="false">H5061</f>
        <v>0.75</v>
      </c>
      <c r="N5061" s="0" t="n">
        <f aca="false">E5061*F5061</f>
        <v>0.5</v>
      </c>
      <c r="O5061" s="0" t="n">
        <f aca="false">E5061*G5061</f>
        <v>-0.125</v>
      </c>
      <c r="P5061" s="0" t="n">
        <f aca="false">E5061*H5061</f>
        <v>0.375</v>
      </c>
      <c r="Q5061" s="0" t="n">
        <f aca="false">F5061*G5061</f>
        <v>-0.25</v>
      </c>
      <c r="R5061" s="0" t="n">
        <f aca="false">F5061*H5061</f>
        <v>0.75</v>
      </c>
      <c r="S5061" s="0" t="n">
        <f aca="false">G5061*H5061</f>
        <v>-0.1875</v>
      </c>
      <c r="T5061" s="0" t="n">
        <f aca="false">E5061*E5061</f>
        <v>0.25</v>
      </c>
      <c r="U5061" s="0" t="n">
        <f aca="false">F5061*F5061</f>
        <v>1</v>
      </c>
      <c r="V5061" s="0" t="n">
        <f aca="false">G5061*G5061</f>
        <v>0.0625</v>
      </c>
      <c r="W5061" s="0" t="n">
        <f aca="false">H5061*H5061</f>
        <v>0.5625</v>
      </c>
      <c r="X5061" s="0" t="n">
        <f aca="false">SUMPRODUCT(I5061:W5061,_XtX!$B$96:$P$96)</f>
        <v>47.9768137792397</v>
      </c>
      <c r="Y5061" s="0" t="n">
        <f aca="false">SUMPRODUCT(MMULT(I5061:W5061,_XtX!$B$78:$P$92),I5061:W5061)</f>
        <v>0.459125719572369</v>
      </c>
      <c r="Z5061" s="0" t="n">
        <f aca="false">04_回帰ANOVA!$K$19*04_回帰ANOVA!$K$14*SQRT(1+Y5061)</f>
        <v>1.57450755575573</v>
      </c>
      <c r="AA5061" s="0" t="n">
        <f aca="false">X5061-Z5061</f>
        <v>46.402306223484</v>
      </c>
      <c r="AB5061" s="0" t="n">
        <f aca="false">X5061+Z5061</f>
        <v>49.5513213349955</v>
      </c>
      <c r="AC5061" s="54" t="b">
        <f aca="false">AND(E5061&gt;=01_因子設定!$L$5-0.000000001,E5061&lt;=01_因子設定!$M$5+0.000000001,F5061&gt;=01_因子設定!$L$6-0.000000001,F5061&lt;=01_因子設定!$M$6+0.000000001,G5061&gt;=01_因子設定!$L$7-0.000000001,G5061&lt;=01_因子設定!$M$7+0.000000001,H5061&gt;=01_因子設定!$L$8-0.000000001,H5061&lt;=01_因子設定!$M$8+0.000000001,IF(01_因子設定!$B$20="Box-Behnken",E5061^2+F5061^2+G5061^2+H5061^2&lt;=2+0.000000001,TRUE()))</f>
        <v>1</v>
      </c>
      <c r="AD5061" s="55" t="n">
        <f aca="false">IF(AC5061,IF(01_因子設定!$B$13="最大化",AA5061-01_因子設定!$B$14,IF(01_因子設定!$B$13="最小化",01_因子設定!$B$15-AB5061,MIN(AA5061-01_因子設定!$B$14,01_因子設定!$B$15-AB5061))),-1E+030)</f>
        <v>-0.0976937765159889</v>
      </c>
      <c r="AE5061" s="55" t="n">
        <f aca="false">IF(AC5061,IF(01_因子設定!$B$13="最大化",X5061,IF(01_因子設定!$B$13="最小化",-X5061,-ABS(X5061-01_因子設定!$B$16))),-1E+030)</f>
        <v>47.9768137792397</v>
      </c>
      <c r="AF5061" s="55" t="n">
        <f aca="false">AD5061+ROW()*0.000000001</f>
        <v>-0.0976887155159889</v>
      </c>
      <c r="AG5061" s="55" t="n">
        <f aca="false">AE5061+ROW()*0.000000001</f>
        <v>47.9768188402397</v>
      </c>
    </row>
    <row r="5062" customFormat="false" ht="15" hidden="false" customHeight="false" outlineLevel="0" collapsed="false">
      <c r="A5062" s="0" t="n">
        <v>6</v>
      </c>
      <c r="B5062" s="0" t="n">
        <v>8</v>
      </c>
      <c r="C5062" s="0" t="n">
        <v>3</v>
      </c>
      <c r="D5062" s="0" t="n">
        <v>8</v>
      </c>
      <c r="E5062" s="0" t="n">
        <f aca="false">-1+A5062*0.25</f>
        <v>0.5</v>
      </c>
      <c r="F5062" s="0" t="n">
        <f aca="false">-1+B5062*0.25</f>
        <v>1</v>
      </c>
      <c r="G5062" s="0" t="n">
        <f aca="false">-1+C5062*0.25</f>
        <v>-0.25</v>
      </c>
      <c r="H5062" s="0" t="n">
        <f aca="false">-1+D5062*0.25</f>
        <v>1</v>
      </c>
      <c r="I5062" s="0" t="n">
        <f aca="false">1</f>
        <v>1</v>
      </c>
      <c r="J5062" s="0" t="n">
        <f aca="false">E5062</f>
        <v>0.5</v>
      </c>
      <c r="K5062" s="0" t="n">
        <f aca="false">F5062</f>
        <v>1</v>
      </c>
      <c r="L5062" s="0" t="n">
        <f aca="false">G5062</f>
        <v>-0.25</v>
      </c>
      <c r="M5062" s="0" t="n">
        <f aca="false">H5062</f>
        <v>1</v>
      </c>
      <c r="N5062" s="0" t="n">
        <f aca="false">E5062*F5062</f>
        <v>0.5</v>
      </c>
      <c r="O5062" s="0" t="n">
        <f aca="false">E5062*G5062</f>
        <v>-0.125</v>
      </c>
      <c r="P5062" s="0" t="n">
        <f aca="false">E5062*H5062</f>
        <v>0.5</v>
      </c>
      <c r="Q5062" s="0" t="n">
        <f aca="false">F5062*G5062</f>
        <v>-0.25</v>
      </c>
      <c r="R5062" s="0" t="n">
        <f aca="false">F5062*H5062</f>
        <v>1</v>
      </c>
      <c r="S5062" s="0" t="n">
        <f aca="false">G5062*H5062</f>
        <v>-0.25</v>
      </c>
      <c r="T5062" s="0" t="n">
        <f aca="false">E5062*E5062</f>
        <v>0.25</v>
      </c>
      <c r="U5062" s="0" t="n">
        <f aca="false">F5062*F5062</f>
        <v>1</v>
      </c>
      <c r="V5062" s="0" t="n">
        <f aca="false">G5062*G5062</f>
        <v>0.0625</v>
      </c>
      <c r="W5062" s="0" t="n">
        <f aca="false">H5062*H5062</f>
        <v>1</v>
      </c>
      <c r="X5062" s="0" t="n">
        <f aca="false">SUMPRODUCT(I5062:W5062,_XtX!$B$96:$P$96)</f>
        <v>47.8554093567251</v>
      </c>
      <c r="Y5062" s="0" t="n">
        <f aca="false">SUMPRODUCT(MMULT(I5062:W5062,_XtX!$B$78:$P$92),I5062:W5062)</f>
        <v>0.629174661915205</v>
      </c>
      <c r="Z5062" s="0" t="n">
        <f aca="false">04_回帰ANOVA!$K$19*04_回帰ANOVA!$K$14*SQRT(1+Y5062)</f>
        <v>1.66372758058297</v>
      </c>
      <c r="AA5062" s="0" t="n">
        <f aca="false">X5062-Z5062</f>
        <v>46.1916817761422</v>
      </c>
      <c r="AB5062" s="0" t="n">
        <f aca="false">X5062+Z5062</f>
        <v>49.5191369373081</v>
      </c>
      <c r="AC5062" s="54" t="b">
        <f aca="false">AND(E5062&gt;=01_因子設定!$L$5-0.000000001,E5062&lt;=01_因子設定!$M$5+0.000000001,F5062&gt;=01_因子設定!$L$6-0.000000001,F5062&lt;=01_因子設定!$M$6+0.000000001,G5062&gt;=01_因子設定!$L$7-0.000000001,G5062&lt;=01_因子設定!$M$7+0.000000001,H5062&gt;=01_因子設定!$L$8-0.000000001,H5062&lt;=01_因子設定!$M$8+0.000000001,IF(01_因子設定!$B$20="Box-Behnken",E5062^2+F5062^2+G5062^2+H5062^2&lt;=2+0.000000001,TRUE()))</f>
        <v>1</v>
      </c>
      <c r="AD5062" s="55" t="n">
        <f aca="false">IF(AC5062,IF(01_因子設定!$B$13="最大化",AA5062-01_因子設定!$B$14,IF(01_因子設定!$B$13="最小化",01_因子設定!$B$15-AB5062,MIN(AA5062-01_因子設定!$B$14,01_因子設定!$B$15-AB5062))),-1E+030)</f>
        <v>-0.308318223857832</v>
      </c>
      <c r="AE5062" s="55" t="n">
        <f aca="false">IF(AC5062,IF(01_因子設定!$B$13="最大化",X5062,IF(01_因子設定!$B$13="最小化",-X5062,-ABS(X5062-01_因子設定!$B$16))),-1E+030)</f>
        <v>47.8554093567251</v>
      </c>
      <c r="AF5062" s="55" t="n">
        <f aca="false">AD5062+ROW()*0.000000001</f>
        <v>-0.308313161857832</v>
      </c>
      <c r="AG5062" s="55" t="n">
        <f aca="false">AE5062+ROW()*0.000000001</f>
        <v>47.8554144187251</v>
      </c>
    </row>
    <row r="5063" customFormat="false" ht="15" hidden="false" customHeight="false" outlineLevel="0" collapsed="false">
      <c r="A5063" s="0" t="n">
        <v>6</v>
      </c>
      <c r="B5063" s="0" t="n">
        <v>8</v>
      </c>
      <c r="C5063" s="0" t="n">
        <v>4</v>
      </c>
      <c r="D5063" s="0" t="n">
        <v>0</v>
      </c>
      <c r="E5063" s="0" t="n">
        <f aca="false">-1+A5063*0.25</f>
        <v>0.5</v>
      </c>
      <c r="F5063" s="0" t="n">
        <f aca="false">-1+B5063*0.25</f>
        <v>1</v>
      </c>
      <c r="G5063" s="0" t="n">
        <f aca="false">-1+C5063*0.25</f>
        <v>0</v>
      </c>
      <c r="H5063" s="0" t="n">
        <f aca="false">-1+D5063*0.25</f>
        <v>-1</v>
      </c>
      <c r="I5063" s="0" t="n">
        <f aca="false">1</f>
        <v>1</v>
      </c>
      <c r="J5063" s="0" t="n">
        <f aca="false">E5063</f>
        <v>0.5</v>
      </c>
      <c r="K5063" s="0" t="n">
        <f aca="false">F5063</f>
        <v>1</v>
      </c>
      <c r="L5063" s="0" t="n">
        <f aca="false">G5063</f>
        <v>0</v>
      </c>
      <c r="M5063" s="0" t="n">
        <f aca="false">H5063</f>
        <v>-1</v>
      </c>
      <c r="N5063" s="0" t="n">
        <f aca="false">E5063*F5063</f>
        <v>0.5</v>
      </c>
      <c r="O5063" s="0" t="n">
        <f aca="false">E5063*G5063</f>
        <v>0</v>
      </c>
      <c r="P5063" s="0" t="n">
        <f aca="false">E5063*H5063</f>
        <v>-0.5</v>
      </c>
      <c r="Q5063" s="0" t="n">
        <f aca="false">F5063*G5063</f>
        <v>0</v>
      </c>
      <c r="R5063" s="0" t="n">
        <f aca="false">F5063*H5063</f>
        <v>-1</v>
      </c>
      <c r="S5063" s="0" t="n">
        <f aca="false">G5063*H5063</f>
        <v>-0</v>
      </c>
      <c r="T5063" s="0" t="n">
        <f aca="false">E5063*E5063</f>
        <v>0.25</v>
      </c>
      <c r="U5063" s="0" t="n">
        <f aca="false">F5063*F5063</f>
        <v>1</v>
      </c>
      <c r="V5063" s="0" t="n">
        <f aca="false">G5063*G5063</f>
        <v>0</v>
      </c>
      <c r="W5063" s="0" t="n">
        <f aca="false">H5063*H5063</f>
        <v>1</v>
      </c>
      <c r="X5063" s="0" t="n">
        <f aca="false">SUMPRODUCT(I5063:W5063,_XtX!$B$96:$P$96)</f>
        <v>47.7015350877193</v>
      </c>
      <c r="Y5063" s="0" t="n">
        <f aca="false">SUMPRODUCT(MMULT(I5063:W5063,_XtX!$B$78:$P$92),I5063:W5063)</f>
        <v>0.650767543859649</v>
      </c>
      <c r="Z5063" s="0" t="n">
        <f aca="false">04_回帰ANOVA!$K$19*04_回帰ANOVA!$K$14*SQRT(1+Y5063)</f>
        <v>1.67471670935165</v>
      </c>
      <c r="AA5063" s="0" t="n">
        <f aca="false">X5063-Z5063</f>
        <v>46.0268183783676</v>
      </c>
      <c r="AB5063" s="0" t="n">
        <f aca="false">X5063+Z5063</f>
        <v>49.3762517970709</v>
      </c>
      <c r="AC5063" s="54" t="b">
        <f aca="false">AND(E5063&gt;=01_因子設定!$L$5-0.000000001,E5063&lt;=01_因子設定!$M$5+0.000000001,F5063&gt;=01_因子設定!$L$6-0.000000001,F5063&lt;=01_因子設定!$M$6+0.000000001,G5063&gt;=01_因子設定!$L$7-0.000000001,G5063&lt;=01_因子設定!$M$7+0.000000001,H5063&gt;=01_因子設定!$L$8-0.000000001,H5063&lt;=01_因子設定!$M$8+0.000000001,IF(01_因子設定!$B$20="Box-Behnken",E5063^2+F5063^2+G5063^2+H5063^2&lt;=2+0.000000001,TRUE()))</f>
        <v>1</v>
      </c>
      <c r="AD5063" s="55" t="n">
        <f aca="false">IF(AC5063,IF(01_因子設定!$B$13="最大化",AA5063-01_因子設定!$B$14,IF(01_因子設定!$B$13="最小化",01_因子設定!$B$15-AB5063,MIN(AA5063-01_因子設定!$B$14,01_因子設定!$B$15-AB5063))),-1E+030)</f>
        <v>-0.473181621632357</v>
      </c>
      <c r="AE5063" s="55" t="n">
        <f aca="false">IF(AC5063,IF(01_因子設定!$B$13="最大化",X5063,IF(01_因子設定!$B$13="最小化",-X5063,-ABS(X5063-01_因子設定!$B$16))),-1E+030)</f>
        <v>47.7015350877193</v>
      </c>
      <c r="AF5063" s="55" t="n">
        <f aca="false">AD5063+ROW()*0.000000001</f>
        <v>-0.473176558632357</v>
      </c>
      <c r="AG5063" s="55" t="n">
        <f aca="false">AE5063+ROW()*0.000000001</f>
        <v>47.7015401507193</v>
      </c>
    </row>
    <row r="5064" customFormat="false" ht="15" hidden="false" customHeight="false" outlineLevel="0" collapsed="false">
      <c r="A5064" s="0" t="n">
        <v>6</v>
      </c>
      <c r="B5064" s="0" t="n">
        <v>8</v>
      </c>
      <c r="C5064" s="0" t="n">
        <v>4</v>
      </c>
      <c r="D5064" s="0" t="n">
        <v>1</v>
      </c>
      <c r="E5064" s="0" t="n">
        <f aca="false">-1+A5064*0.25</f>
        <v>0.5</v>
      </c>
      <c r="F5064" s="0" t="n">
        <f aca="false">-1+B5064*0.25</f>
        <v>1</v>
      </c>
      <c r="G5064" s="0" t="n">
        <f aca="false">-1+C5064*0.25</f>
        <v>0</v>
      </c>
      <c r="H5064" s="0" t="n">
        <f aca="false">-1+D5064*0.25</f>
        <v>-0.75</v>
      </c>
      <c r="I5064" s="0" t="n">
        <f aca="false">1</f>
        <v>1</v>
      </c>
      <c r="J5064" s="0" t="n">
        <f aca="false">E5064</f>
        <v>0.5</v>
      </c>
      <c r="K5064" s="0" t="n">
        <f aca="false">F5064</f>
        <v>1</v>
      </c>
      <c r="L5064" s="0" t="n">
        <f aca="false">G5064</f>
        <v>0</v>
      </c>
      <c r="M5064" s="0" t="n">
        <f aca="false">H5064</f>
        <v>-0.75</v>
      </c>
      <c r="N5064" s="0" t="n">
        <f aca="false">E5064*F5064</f>
        <v>0.5</v>
      </c>
      <c r="O5064" s="0" t="n">
        <f aca="false">E5064*G5064</f>
        <v>0</v>
      </c>
      <c r="P5064" s="0" t="n">
        <f aca="false">E5064*H5064</f>
        <v>-0.375</v>
      </c>
      <c r="Q5064" s="0" t="n">
        <f aca="false">F5064*G5064</f>
        <v>0</v>
      </c>
      <c r="R5064" s="0" t="n">
        <f aca="false">F5064*H5064</f>
        <v>-0.75</v>
      </c>
      <c r="S5064" s="0" t="n">
        <f aca="false">G5064*H5064</f>
        <v>-0</v>
      </c>
      <c r="T5064" s="0" t="n">
        <f aca="false">E5064*E5064</f>
        <v>0.25</v>
      </c>
      <c r="U5064" s="0" t="n">
        <f aca="false">F5064*F5064</f>
        <v>1</v>
      </c>
      <c r="V5064" s="0" t="n">
        <f aca="false">G5064*G5064</f>
        <v>0</v>
      </c>
      <c r="W5064" s="0" t="n">
        <f aca="false">H5064*H5064</f>
        <v>0.5625</v>
      </c>
      <c r="X5064" s="0" t="n">
        <f aca="false">SUMPRODUCT(I5064:W5064,_XtX!$B$96:$P$96)</f>
        <v>47.9327485380117</v>
      </c>
      <c r="Y5064" s="0" t="n">
        <f aca="false">SUMPRODUCT(MMULT(I5064:W5064,_XtX!$B$78:$P$92),I5064:W5064)</f>
        <v>0.476191292032164</v>
      </c>
      <c r="Z5064" s="0" t="n">
        <f aca="false">04_回帰ANOVA!$K$19*04_回帰ANOVA!$K$14*SQRT(1+Y5064)</f>
        <v>1.58368831471718</v>
      </c>
      <c r="AA5064" s="0" t="n">
        <f aca="false">X5064-Z5064</f>
        <v>46.3490602232945</v>
      </c>
      <c r="AB5064" s="0" t="n">
        <f aca="false">X5064+Z5064</f>
        <v>49.5164368527289</v>
      </c>
      <c r="AC5064" s="54" t="b">
        <f aca="false">AND(E5064&gt;=01_因子設定!$L$5-0.000000001,E5064&lt;=01_因子設定!$M$5+0.000000001,F5064&gt;=01_因子設定!$L$6-0.000000001,F5064&lt;=01_因子設定!$M$6+0.000000001,G5064&gt;=01_因子設定!$L$7-0.000000001,G5064&lt;=01_因子設定!$M$7+0.000000001,H5064&gt;=01_因子設定!$L$8-0.000000001,H5064&lt;=01_因子設定!$M$8+0.000000001,IF(01_因子設定!$B$20="Box-Behnken",E5064^2+F5064^2+G5064^2+H5064^2&lt;=2+0.000000001,TRUE()))</f>
        <v>1</v>
      </c>
      <c r="AD5064" s="55" t="n">
        <f aca="false">IF(AC5064,IF(01_因子設定!$B$13="最大化",AA5064-01_因子設定!$B$14,IF(01_因子設定!$B$13="最小化",01_因子設定!$B$15-AB5064,MIN(AA5064-01_因子設定!$B$14,01_因子設定!$B$15-AB5064))),-1E+030)</f>
        <v>-0.150939776705506</v>
      </c>
      <c r="AE5064" s="55" t="n">
        <f aca="false">IF(AC5064,IF(01_因子設定!$B$13="最大化",X5064,IF(01_因子設定!$B$13="最小化",-X5064,-ABS(X5064-01_因子設定!$B$16))),-1E+030)</f>
        <v>47.9327485380117</v>
      </c>
      <c r="AF5064" s="55" t="n">
        <f aca="false">AD5064+ROW()*0.000000001</f>
        <v>-0.150934712705506</v>
      </c>
      <c r="AG5064" s="55" t="n">
        <f aca="false">AE5064+ROW()*0.000000001</f>
        <v>47.9327536020117</v>
      </c>
    </row>
    <row r="5065" customFormat="false" ht="15" hidden="false" customHeight="false" outlineLevel="0" collapsed="false">
      <c r="A5065" s="0" t="n">
        <v>6</v>
      </c>
      <c r="B5065" s="0" t="n">
        <v>8</v>
      </c>
      <c r="C5065" s="0" t="n">
        <v>4</v>
      </c>
      <c r="D5065" s="0" t="n">
        <v>2</v>
      </c>
      <c r="E5065" s="0" t="n">
        <f aca="false">-1+A5065*0.25</f>
        <v>0.5</v>
      </c>
      <c r="F5065" s="0" t="n">
        <f aca="false">-1+B5065*0.25</f>
        <v>1</v>
      </c>
      <c r="G5065" s="0" t="n">
        <f aca="false">-1+C5065*0.25</f>
        <v>0</v>
      </c>
      <c r="H5065" s="0" t="n">
        <f aca="false">-1+D5065*0.25</f>
        <v>-0.5</v>
      </c>
      <c r="I5065" s="0" t="n">
        <f aca="false">1</f>
        <v>1</v>
      </c>
      <c r="J5065" s="0" t="n">
        <f aca="false">E5065</f>
        <v>0.5</v>
      </c>
      <c r="K5065" s="0" t="n">
        <f aca="false">F5065</f>
        <v>1</v>
      </c>
      <c r="L5065" s="0" t="n">
        <f aca="false">G5065</f>
        <v>0</v>
      </c>
      <c r="M5065" s="0" t="n">
        <f aca="false">H5065</f>
        <v>-0.5</v>
      </c>
      <c r="N5065" s="0" t="n">
        <f aca="false">E5065*F5065</f>
        <v>0.5</v>
      </c>
      <c r="O5065" s="0" t="n">
        <f aca="false">E5065*G5065</f>
        <v>0</v>
      </c>
      <c r="P5065" s="0" t="n">
        <f aca="false">E5065*H5065</f>
        <v>-0.25</v>
      </c>
      <c r="Q5065" s="0" t="n">
        <f aca="false">F5065*G5065</f>
        <v>0</v>
      </c>
      <c r="R5065" s="0" t="n">
        <f aca="false">F5065*H5065</f>
        <v>-0.5</v>
      </c>
      <c r="S5065" s="0" t="n">
        <f aca="false">G5065*H5065</f>
        <v>-0</v>
      </c>
      <c r="T5065" s="0" t="n">
        <f aca="false">E5065*E5065</f>
        <v>0.25</v>
      </c>
      <c r="U5065" s="0" t="n">
        <f aca="false">F5065*F5065</f>
        <v>1</v>
      </c>
      <c r="V5065" s="0" t="n">
        <f aca="false">G5065*G5065</f>
        <v>0</v>
      </c>
      <c r="W5065" s="0" t="n">
        <f aca="false">H5065*H5065</f>
        <v>0.25</v>
      </c>
      <c r="X5065" s="0" t="n">
        <f aca="false">SUMPRODUCT(I5065:W5065,_XtX!$B$96:$P$96)</f>
        <v>48.1161549707602</v>
      </c>
      <c r="Y5065" s="0" t="n">
        <f aca="false">SUMPRODUCT(MMULT(I5065:W5065,_XtX!$B$78:$P$92),I5065:W5065)</f>
        <v>0.441954495614035</v>
      </c>
      <c r="Z5065" s="0" t="n">
        <f aca="false">04_回帰ANOVA!$K$19*04_回帰ANOVA!$K$14*SQRT(1+Y5065)</f>
        <v>1.56521560968066</v>
      </c>
      <c r="AA5065" s="0" t="n">
        <f aca="false">X5065-Z5065</f>
        <v>46.5509393610795</v>
      </c>
      <c r="AB5065" s="0" t="n">
        <f aca="false">X5065+Z5065</f>
        <v>49.6813705804409</v>
      </c>
      <c r="AC5065" s="54" t="b">
        <f aca="false">AND(E5065&gt;=01_因子設定!$L$5-0.000000001,E5065&lt;=01_因子設定!$M$5+0.000000001,F5065&gt;=01_因子設定!$L$6-0.000000001,F5065&lt;=01_因子設定!$M$6+0.000000001,G5065&gt;=01_因子設定!$L$7-0.000000001,G5065&lt;=01_因子設定!$M$7+0.000000001,H5065&gt;=01_因子設定!$L$8-0.000000001,H5065&lt;=01_因子設定!$M$8+0.000000001,IF(01_因子設定!$B$20="Box-Behnken",E5065^2+F5065^2+G5065^2+H5065^2&lt;=2+0.000000001,TRUE()))</f>
        <v>1</v>
      </c>
      <c r="AD5065" s="55" t="n">
        <f aca="false">IF(AC5065,IF(01_因子設定!$B$13="最大化",AA5065-01_因子設定!$B$14,IF(01_因子設定!$B$13="最小化",01_因子設定!$B$15-AB5065,MIN(AA5065-01_因子設定!$B$14,01_因子設定!$B$15-AB5065))),-1E+030)</f>
        <v>0.0509393610795357</v>
      </c>
      <c r="AE5065" s="55" t="n">
        <f aca="false">IF(AC5065,IF(01_因子設定!$B$13="最大化",X5065,IF(01_因子設定!$B$13="最小化",-X5065,-ABS(X5065-01_因子設定!$B$16))),-1E+030)</f>
        <v>48.1161549707602</v>
      </c>
      <c r="AF5065" s="55" t="n">
        <f aca="false">AD5065+ROW()*0.000000001</f>
        <v>0.0509444260795357</v>
      </c>
      <c r="AG5065" s="55" t="n">
        <f aca="false">AE5065+ROW()*0.000000001</f>
        <v>48.1161600357602</v>
      </c>
    </row>
    <row r="5066" customFormat="false" ht="15" hidden="false" customHeight="false" outlineLevel="0" collapsed="false">
      <c r="A5066" s="0" t="n">
        <v>6</v>
      </c>
      <c r="B5066" s="0" t="n">
        <v>8</v>
      </c>
      <c r="C5066" s="0" t="n">
        <v>4</v>
      </c>
      <c r="D5066" s="0" t="n">
        <v>3</v>
      </c>
      <c r="E5066" s="0" t="n">
        <f aca="false">-1+A5066*0.25</f>
        <v>0.5</v>
      </c>
      <c r="F5066" s="0" t="n">
        <f aca="false">-1+B5066*0.25</f>
        <v>1</v>
      </c>
      <c r="G5066" s="0" t="n">
        <f aca="false">-1+C5066*0.25</f>
        <v>0</v>
      </c>
      <c r="H5066" s="0" t="n">
        <f aca="false">-1+D5066*0.25</f>
        <v>-0.25</v>
      </c>
      <c r="I5066" s="0" t="n">
        <f aca="false">1</f>
        <v>1</v>
      </c>
      <c r="J5066" s="0" t="n">
        <f aca="false">E5066</f>
        <v>0.5</v>
      </c>
      <c r="K5066" s="0" t="n">
        <f aca="false">F5066</f>
        <v>1</v>
      </c>
      <c r="L5066" s="0" t="n">
        <f aca="false">G5066</f>
        <v>0</v>
      </c>
      <c r="M5066" s="0" t="n">
        <f aca="false">H5066</f>
        <v>-0.25</v>
      </c>
      <c r="N5066" s="0" t="n">
        <f aca="false">E5066*F5066</f>
        <v>0.5</v>
      </c>
      <c r="O5066" s="0" t="n">
        <f aca="false">E5066*G5066</f>
        <v>0</v>
      </c>
      <c r="P5066" s="0" t="n">
        <f aca="false">E5066*H5066</f>
        <v>-0.125</v>
      </c>
      <c r="Q5066" s="0" t="n">
        <f aca="false">F5066*G5066</f>
        <v>0</v>
      </c>
      <c r="R5066" s="0" t="n">
        <f aca="false">F5066*H5066</f>
        <v>-0.25</v>
      </c>
      <c r="S5066" s="0" t="n">
        <f aca="false">G5066*H5066</f>
        <v>-0</v>
      </c>
      <c r="T5066" s="0" t="n">
        <f aca="false">E5066*E5066</f>
        <v>0.25</v>
      </c>
      <c r="U5066" s="0" t="n">
        <f aca="false">F5066*F5066</f>
        <v>1</v>
      </c>
      <c r="V5066" s="0" t="n">
        <f aca="false">G5066*G5066</f>
        <v>0</v>
      </c>
      <c r="W5066" s="0" t="n">
        <f aca="false">H5066*H5066</f>
        <v>0.0625</v>
      </c>
      <c r="X5066" s="0" t="n">
        <f aca="false">SUMPRODUCT(I5066:W5066,_XtX!$B$96:$P$96)</f>
        <v>48.2517543859649</v>
      </c>
      <c r="Y5066" s="0" t="n">
        <f aca="false">SUMPRODUCT(MMULT(I5066:W5066,_XtX!$B$78:$P$92),I5066:W5066)</f>
        <v>0.457596628289474</v>
      </c>
      <c r="Z5066" s="0" t="n">
        <f aca="false">04_回帰ANOVA!$K$19*04_回帰ANOVA!$K$14*SQRT(1+Y5066)</f>
        <v>1.57368233664366</v>
      </c>
      <c r="AA5066" s="0" t="n">
        <f aca="false">X5066-Z5066</f>
        <v>46.6780720493212</v>
      </c>
      <c r="AB5066" s="0" t="n">
        <f aca="false">X5066+Z5066</f>
        <v>49.8254367226085</v>
      </c>
      <c r="AC5066" s="54" t="b">
        <f aca="false">AND(E5066&gt;=01_因子設定!$L$5-0.000000001,E5066&lt;=01_因子設定!$M$5+0.000000001,F5066&gt;=01_因子設定!$L$6-0.000000001,F5066&lt;=01_因子設定!$M$6+0.000000001,G5066&gt;=01_因子設定!$L$7-0.000000001,G5066&lt;=01_因子設定!$M$7+0.000000001,H5066&gt;=01_因子設定!$L$8-0.000000001,H5066&lt;=01_因子設定!$M$8+0.000000001,IF(01_因子設定!$B$20="Box-Behnken",E5066^2+F5066^2+G5066^2+H5066^2&lt;=2+0.000000001,TRUE()))</f>
        <v>1</v>
      </c>
      <c r="AD5066" s="55" t="n">
        <f aca="false">IF(AC5066,IF(01_因子設定!$B$13="最大化",AA5066-01_因子設定!$B$14,IF(01_因子設定!$B$13="最小化",01_因子設定!$B$15-AB5066,MIN(AA5066-01_因子設定!$B$14,01_因子設定!$B$15-AB5066))),-1E+030)</f>
        <v>0.178072049321216</v>
      </c>
      <c r="AE5066" s="55" t="n">
        <f aca="false">IF(AC5066,IF(01_因子設定!$B$13="最大化",X5066,IF(01_因子設定!$B$13="最小化",-X5066,-ABS(X5066-01_因子設定!$B$16))),-1E+030)</f>
        <v>48.2517543859649</v>
      </c>
      <c r="AF5066" s="55" t="n">
        <f aca="false">AD5066+ROW()*0.000000001</f>
        <v>0.178077115321216</v>
      </c>
      <c r="AG5066" s="55" t="n">
        <f aca="false">AE5066+ROW()*0.000000001</f>
        <v>48.2517594519649</v>
      </c>
    </row>
    <row r="5067" customFormat="false" ht="15" hidden="false" customHeight="false" outlineLevel="0" collapsed="false">
      <c r="A5067" s="0" t="n">
        <v>6</v>
      </c>
      <c r="B5067" s="0" t="n">
        <v>8</v>
      </c>
      <c r="C5067" s="0" t="n">
        <v>4</v>
      </c>
      <c r="D5067" s="0" t="n">
        <v>4</v>
      </c>
      <c r="E5067" s="0" t="n">
        <f aca="false">-1+A5067*0.25</f>
        <v>0.5</v>
      </c>
      <c r="F5067" s="0" t="n">
        <f aca="false">-1+B5067*0.25</f>
        <v>1</v>
      </c>
      <c r="G5067" s="0" t="n">
        <f aca="false">-1+C5067*0.25</f>
        <v>0</v>
      </c>
      <c r="H5067" s="0" t="n">
        <f aca="false">-1+D5067*0.25</f>
        <v>0</v>
      </c>
      <c r="I5067" s="0" t="n">
        <f aca="false">1</f>
        <v>1</v>
      </c>
      <c r="J5067" s="0" t="n">
        <f aca="false">E5067</f>
        <v>0.5</v>
      </c>
      <c r="K5067" s="0" t="n">
        <f aca="false">F5067</f>
        <v>1</v>
      </c>
      <c r="L5067" s="0" t="n">
        <f aca="false">G5067</f>
        <v>0</v>
      </c>
      <c r="M5067" s="0" t="n">
        <f aca="false">H5067</f>
        <v>0</v>
      </c>
      <c r="N5067" s="0" t="n">
        <f aca="false">E5067*F5067</f>
        <v>0.5</v>
      </c>
      <c r="O5067" s="0" t="n">
        <f aca="false">E5067*G5067</f>
        <v>0</v>
      </c>
      <c r="P5067" s="0" t="n">
        <f aca="false">E5067*H5067</f>
        <v>0</v>
      </c>
      <c r="Q5067" s="0" t="n">
        <f aca="false">F5067*G5067</f>
        <v>0</v>
      </c>
      <c r="R5067" s="0" t="n">
        <f aca="false">F5067*H5067</f>
        <v>0</v>
      </c>
      <c r="S5067" s="0" t="n">
        <f aca="false">G5067*H5067</f>
        <v>0</v>
      </c>
      <c r="T5067" s="0" t="n">
        <f aca="false">E5067*E5067</f>
        <v>0.25</v>
      </c>
      <c r="U5067" s="0" t="n">
        <f aca="false">F5067*F5067</f>
        <v>1</v>
      </c>
      <c r="V5067" s="0" t="n">
        <f aca="false">G5067*G5067</f>
        <v>0</v>
      </c>
      <c r="W5067" s="0" t="n">
        <f aca="false">H5067*H5067</f>
        <v>0</v>
      </c>
      <c r="X5067" s="0" t="n">
        <f aca="false">SUMPRODUCT(I5067:W5067,_XtX!$B$96:$P$96)</f>
        <v>48.3395467836257</v>
      </c>
      <c r="Y5067" s="0" t="n">
        <f aca="false">SUMPRODUCT(MMULT(I5067:W5067,_XtX!$B$78:$P$92),I5067:W5067)</f>
        <v>0.468841374269006</v>
      </c>
      <c r="Z5067" s="0" t="n">
        <f aca="false">04_回帰ANOVA!$K$19*04_回帰ANOVA!$K$14*SQRT(1+Y5067)</f>
        <v>1.57974082366087</v>
      </c>
      <c r="AA5067" s="0" t="n">
        <f aca="false">X5067-Z5067</f>
        <v>46.7598059599648</v>
      </c>
      <c r="AB5067" s="0" t="n">
        <f aca="false">X5067+Z5067</f>
        <v>49.9192876072866</v>
      </c>
      <c r="AC5067" s="54" t="b">
        <f aca="false">AND(E5067&gt;=01_因子設定!$L$5-0.000000001,E5067&lt;=01_因子設定!$M$5+0.000000001,F5067&gt;=01_因子設定!$L$6-0.000000001,F5067&lt;=01_因子設定!$M$6+0.000000001,G5067&gt;=01_因子設定!$L$7-0.000000001,G5067&lt;=01_因子設定!$M$7+0.000000001,H5067&gt;=01_因子設定!$L$8-0.000000001,H5067&lt;=01_因子設定!$M$8+0.000000001,IF(01_因子設定!$B$20="Box-Behnken",E5067^2+F5067^2+G5067^2+H5067^2&lt;=2+0.000000001,TRUE()))</f>
        <v>1</v>
      </c>
      <c r="AD5067" s="55" t="n">
        <f aca="false">IF(AC5067,IF(01_因子設定!$B$13="最大化",AA5067-01_因子設定!$B$14,IF(01_因子設定!$B$13="最小化",01_因子設定!$B$15-AB5067,MIN(AA5067-01_因子設定!$B$14,01_因子設定!$B$15-AB5067))),-1E+030)</f>
        <v>0.259805959964808</v>
      </c>
      <c r="AE5067" s="55" t="n">
        <f aca="false">IF(AC5067,IF(01_因子設定!$B$13="最大化",X5067,IF(01_因子設定!$B$13="最小化",-X5067,-ABS(X5067-01_因子設定!$B$16))),-1E+030)</f>
        <v>48.3395467836257</v>
      </c>
      <c r="AF5067" s="55" t="n">
        <f aca="false">AD5067+ROW()*0.000000001</f>
        <v>0.259811026964808</v>
      </c>
      <c r="AG5067" s="55" t="n">
        <f aca="false">AE5067+ROW()*0.000000001</f>
        <v>48.3395518506257</v>
      </c>
    </row>
    <row r="5068" customFormat="false" ht="15" hidden="false" customHeight="false" outlineLevel="0" collapsed="false">
      <c r="A5068" s="0" t="n">
        <v>6</v>
      </c>
      <c r="B5068" s="0" t="n">
        <v>8</v>
      </c>
      <c r="C5068" s="0" t="n">
        <v>4</v>
      </c>
      <c r="D5068" s="0" t="n">
        <v>5</v>
      </c>
      <c r="E5068" s="0" t="n">
        <f aca="false">-1+A5068*0.25</f>
        <v>0.5</v>
      </c>
      <c r="F5068" s="0" t="n">
        <f aca="false">-1+B5068*0.25</f>
        <v>1</v>
      </c>
      <c r="G5068" s="0" t="n">
        <f aca="false">-1+C5068*0.25</f>
        <v>0</v>
      </c>
      <c r="H5068" s="0" t="n">
        <f aca="false">-1+D5068*0.25</f>
        <v>0.25</v>
      </c>
      <c r="I5068" s="0" t="n">
        <f aca="false">1</f>
        <v>1</v>
      </c>
      <c r="J5068" s="0" t="n">
        <f aca="false">E5068</f>
        <v>0.5</v>
      </c>
      <c r="K5068" s="0" t="n">
        <f aca="false">F5068</f>
        <v>1</v>
      </c>
      <c r="L5068" s="0" t="n">
        <f aca="false">G5068</f>
        <v>0</v>
      </c>
      <c r="M5068" s="0" t="n">
        <f aca="false">H5068</f>
        <v>0.25</v>
      </c>
      <c r="N5068" s="0" t="n">
        <f aca="false">E5068*F5068</f>
        <v>0.5</v>
      </c>
      <c r="O5068" s="0" t="n">
        <f aca="false">E5068*G5068</f>
        <v>0</v>
      </c>
      <c r="P5068" s="0" t="n">
        <f aca="false">E5068*H5068</f>
        <v>0.125</v>
      </c>
      <c r="Q5068" s="0" t="n">
        <f aca="false">F5068*G5068</f>
        <v>0</v>
      </c>
      <c r="R5068" s="0" t="n">
        <f aca="false">F5068*H5068</f>
        <v>0.25</v>
      </c>
      <c r="S5068" s="0" t="n">
        <f aca="false">G5068*H5068</f>
        <v>0</v>
      </c>
      <c r="T5068" s="0" t="n">
        <f aca="false">E5068*E5068</f>
        <v>0.25</v>
      </c>
      <c r="U5068" s="0" t="n">
        <f aca="false">F5068*F5068</f>
        <v>1</v>
      </c>
      <c r="V5068" s="0" t="n">
        <f aca="false">G5068*G5068</f>
        <v>0</v>
      </c>
      <c r="W5068" s="0" t="n">
        <f aca="false">H5068*H5068</f>
        <v>0.0625</v>
      </c>
      <c r="X5068" s="0" t="n">
        <f aca="false">SUMPRODUCT(I5068:W5068,_XtX!$B$96:$P$96)</f>
        <v>48.3795321637426</v>
      </c>
      <c r="Y5068" s="0" t="n">
        <f aca="false">SUMPRODUCT(MMULT(I5068:W5068,_XtX!$B$78:$P$92),I5068:W5068)</f>
        <v>0.457596628289474</v>
      </c>
      <c r="Z5068" s="0" t="n">
        <f aca="false">04_回帰ANOVA!$K$19*04_回帰ANOVA!$K$14*SQRT(1+Y5068)</f>
        <v>1.57368233664366</v>
      </c>
      <c r="AA5068" s="0" t="n">
        <f aca="false">X5068-Z5068</f>
        <v>46.805849827099</v>
      </c>
      <c r="AB5068" s="0" t="n">
        <f aca="false">X5068+Z5068</f>
        <v>49.9532145003863</v>
      </c>
      <c r="AC5068" s="54" t="b">
        <f aca="false">AND(E5068&gt;=01_因子設定!$L$5-0.000000001,E5068&lt;=01_因子設定!$M$5+0.000000001,F5068&gt;=01_因子設定!$L$6-0.000000001,F5068&lt;=01_因子設定!$M$6+0.000000001,G5068&gt;=01_因子設定!$L$7-0.000000001,G5068&lt;=01_因子設定!$M$7+0.000000001,H5068&gt;=01_因子設定!$L$8-0.000000001,H5068&lt;=01_因子設定!$M$8+0.000000001,IF(01_因子設定!$B$20="Box-Behnken",E5068^2+F5068^2+G5068^2+H5068^2&lt;=2+0.000000001,TRUE()))</f>
        <v>1</v>
      </c>
      <c r="AD5068" s="55" t="n">
        <f aca="false">IF(AC5068,IF(01_因子設定!$B$13="最大化",AA5068-01_因子設定!$B$14,IF(01_因子設定!$B$13="最小化",01_因子設定!$B$15-AB5068,MIN(AA5068-01_因子設定!$B$14,01_因子設定!$B$15-AB5068))),-1E+030)</f>
        <v>0.305849827098989</v>
      </c>
      <c r="AE5068" s="55" t="n">
        <f aca="false">IF(AC5068,IF(01_因子設定!$B$13="最大化",X5068,IF(01_因子設定!$B$13="最小化",-X5068,-ABS(X5068-01_因子設定!$B$16))),-1E+030)</f>
        <v>48.3795321637426</v>
      </c>
      <c r="AF5068" s="55" t="n">
        <f aca="false">AD5068+ROW()*0.000000001</f>
        <v>0.305854895098989</v>
      </c>
      <c r="AG5068" s="55" t="n">
        <f aca="false">AE5068+ROW()*0.000000001</f>
        <v>48.3795372317426</v>
      </c>
    </row>
    <row r="5069" customFormat="false" ht="15" hidden="false" customHeight="false" outlineLevel="0" collapsed="false">
      <c r="A5069" s="0" t="n">
        <v>6</v>
      </c>
      <c r="B5069" s="0" t="n">
        <v>8</v>
      </c>
      <c r="C5069" s="0" t="n">
        <v>4</v>
      </c>
      <c r="D5069" s="0" t="n">
        <v>6</v>
      </c>
      <c r="E5069" s="0" t="n">
        <f aca="false">-1+A5069*0.25</f>
        <v>0.5</v>
      </c>
      <c r="F5069" s="0" t="n">
        <f aca="false">-1+B5069*0.25</f>
        <v>1</v>
      </c>
      <c r="G5069" s="0" t="n">
        <f aca="false">-1+C5069*0.25</f>
        <v>0</v>
      </c>
      <c r="H5069" s="0" t="n">
        <f aca="false">-1+D5069*0.25</f>
        <v>0.5</v>
      </c>
      <c r="I5069" s="0" t="n">
        <f aca="false">1</f>
        <v>1</v>
      </c>
      <c r="J5069" s="0" t="n">
        <f aca="false">E5069</f>
        <v>0.5</v>
      </c>
      <c r="K5069" s="0" t="n">
        <f aca="false">F5069</f>
        <v>1</v>
      </c>
      <c r="L5069" s="0" t="n">
        <f aca="false">G5069</f>
        <v>0</v>
      </c>
      <c r="M5069" s="0" t="n">
        <f aca="false">H5069</f>
        <v>0.5</v>
      </c>
      <c r="N5069" s="0" t="n">
        <f aca="false">E5069*F5069</f>
        <v>0.5</v>
      </c>
      <c r="O5069" s="0" t="n">
        <f aca="false">E5069*G5069</f>
        <v>0</v>
      </c>
      <c r="P5069" s="0" t="n">
        <f aca="false">E5069*H5069</f>
        <v>0.25</v>
      </c>
      <c r="Q5069" s="0" t="n">
        <f aca="false">F5069*G5069</f>
        <v>0</v>
      </c>
      <c r="R5069" s="0" t="n">
        <f aca="false">F5069*H5069</f>
        <v>0.5</v>
      </c>
      <c r="S5069" s="0" t="n">
        <f aca="false">G5069*H5069</f>
        <v>0</v>
      </c>
      <c r="T5069" s="0" t="n">
        <f aca="false">E5069*E5069</f>
        <v>0.25</v>
      </c>
      <c r="U5069" s="0" t="n">
        <f aca="false">F5069*F5069</f>
        <v>1</v>
      </c>
      <c r="V5069" s="0" t="n">
        <f aca="false">G5069*G5069</f>
        <v>0</v>
      </c>
      <c r="W5069" s="0" t="n">
        <f aca="false">H5069*H5069</f>
        <v>0.25</v>
      </c>
      <c r="X5069" s="0" t="n">
        <f aca="false">SUMPRODUCT(I5069:W5069,_XtX!$B$96:$P$96)</f>
        <v>48.3717105263158</v>
      </c>
      <c r="Y5069" s="0" t="n">
        <f aca="false">SUMPRODUCT(MMULT(I5069:W5069,_XtX!$B$78:$P$92),I5069:W5069)</f>
        <v>0.441954495614035</v>
      </c>
      <c r="Z5069" s="0" t="n">
        <f aca="false">04_回帰ANOVA!$K$19*04_回帰ANOVA!$K$14*SQRT(1+Y5069)</f>
        <v>1.56521560968066</v>
      </c>
      <c r="AA5069" s="0" t="n">
        <f aca="false">X5069-Z5069</f>
        <v>46.8064949166351</v>
      </c>
      <c r="AB5069" s="0" t="n">
        <f aca="false">X5069+Z5069</f>
        <v>49.9369261359964</v>
      </c>
      <c r="AC5069" s="54" t="b">
        <f aca="false">AND(E5069&gt;=01_因子設定!$L$5-0.000000001,E5069&lt;=01_因子設定!$M$5+0.000000001,F5069&gt;=01_因子設定!$L$6-0.000000001,F5069&lt;=01_因子設定!$M$6+0.000000001,G5069&gt;=01_因子設定!$L$7-0.000000001,G5069&lt;=01_因子設定!$M$7+0.000000001,H5069&gt;=01_因子設定!$L$8-0.000000001,H5069&lt;=01_因子設定!$M$8+0.000000001,IF(01_因子設定!$B$20="Box-Behnken",E5069^2+F5069^2+G5069^2+H5069^2&lt;=2+0.000000001,TRUE()))</f>
        <v>1</v>
      </c>
      <c r="AD5069" s="55" t="n">
        <f aca="false">IF(AC5069,IF(01_因子設定!$B$13="最大化",AA5069-01_因子設定!$B$14,IF(01_因子設定!$B$13="最小化",01_因子設定!$B$15-AB5069,MIN(AA5069-01_因子設定!$B$14,01_因子設定!$B$15-AB5069))),-1E+030)</f>
        <v>0.306494916635089</v>
      </c>
      <c r="AE5069" s="55" t="n">
        <f aca="false">IF(AC5069,IF(01_因子設定!$B$13="最大化",X5069,IF(01_因子設定!$B$13="最小化",-X5069,-ABS(X5069-01_因子設定!$B$16))),-1E+030)</f>
        <v>48.3717105263158</v>
      </c>
      <c r="AF5069" s="55" t="n">
        <f aca="false">AD5069+ROW()*0.000000001</f>
        <v>0.306499985635089</v>
      </c>
      <c r="AG5069" s="55" t="n">
        <f aca="false">AE5069+ROW()*0.000000001</f>
        <v>48.3717155953158</v>
      </c>
    </row>
    <row r="5070" customFormat="false" ht="15" hidden="false" customHeight="false" outlineLevel="0" collapsed="false">
      <c r="A5070" s="0" t="n">
        <v>6</v>
      </c>
      <c r="B5070" s="0" t="n">
        <v>8</v>
      </c>
      <c r="C5070" s="0" t="n">
        <v>4</v>
      </c>
      <c r="D5070" s="0" t="n">
        <v>7</v>
      </c>
      <c r="E5070" s="0" t="n">
        <f aca="false">-1+A5070*0.25</f>
        <v>0.5</v>
      </c>
      <c r="F5070" s="0" t="n">
        <f aca="false">-1+B5070*0.25</f>
        <v>1</v>
      </c>
      <c r="G5070" s="0" t="n">
        <f aca="false">-1+C5070*0.25</f>
        <v>0</v>
      </c>
      <c r="H5070" s="0" t="n">
        <f aca="false">-1+D5070*0.25</f>
        <v>0.75</v>
      </c>
      <c r="I5070" s="0" t="n">
        <f aca="false">1</f>
        <v>1</v>
      </c>
      <c r="J5070" s="0" t="n">
        <f aca="false">E5070</f>
        <v>0.5</v>
      </c>
      <c r="K5070" s="0" t="n">
        <f aca="false">F5070</f>
        <v>1</v>
      </c>
      <c r="L5070" s="0" t="n">
        <f aca="false">G5070</f>
        <v>0</v>
      </c>
      <c r="M5070" s="0" t="n">
        <f aca="false">H5070</f>
        <v>0.75</v>
      </c>
      <c r="N5070" s="0" t="n">
        <f aca="false">E5070*F5070</f>
        <v>0.5</v>
      </c>
      <c r="O5070" s="0" t="n">
        <f aca="false">E5070*G5070</f>
        <v>0</v>
      </c>
      <c r="P5070" s="0" t="n">
        <f aca="false">E5070*H5070</f>
        <v>0.375</v>
      </c>
      <c r="Q5070" s="0" t="n">
        <f aca="false">F5070*G5070</f>
        <v>0</v>
      </c>
      <c r="R5070" s="0" t="n">
        <f aca="false">F5070*H5070</f>
        <v>0.75</v>
      </c>
      <c r="S5070" s="0" t="n">
        <f aca="false">G5070*H5070</f>
        <v>0</v>
      </c>
      <c r="T5070" s="0" t="n">
        <f aca="false">E5070*E5070</f>
        <v>0.25</v>
      </c>
      <c r="U5070" s="0" t="n">
        <f aca="false">F5070*F5070</f>
        <v>1</v>
      </c>
      <c r="V5070" s="0" t="n">
        <f aca="false">G5070*G5070</f>
        <v>0</v>
      </c>
      <c r="W5070" s="0" t="n">
        <f aca="false">H5070*H5070</f>
        <v>0.5625</v>
      </c>
      <c r="X5070" s="0" t="n">
        <f aca="false">SUMPRODUCT(I5070:W5070,_XtX!$B$96:$P$96)</f>
        <v>48.316081871345</v>
      </c>
      <c r="Y5070" s="0" t="n">
        <f aca="false">SUMPRODUCT(MMULT(I5070:W5070,_XtX!$B$78:$P$92),I5070:W5070)</f>
        <v>0.476191292032164</v>
      </c>
      <c r="Z5070" s="0" t="n">
        <f aca="false">04_回帰ANOVA!$K$19*04_回帰ANOVA!$K$14*SQRT(1+Y5070)</f>
        <v>1.58368831471718</v>
      </c>
      <c r="AA5070" s="0" t="n">
        <f aca="false">X5070-Z5070</f>
        <v>46.7323935566278</v>
      </c>
      <c r="AB5070" s="0" t="n">
        <f aca="false">X5070+Z5070</f>
        <v>49.8997701860622</v>
      </c>
      <c r="AC5070" s="54" t="b">
        <f aca="false">AND(E5070&gt;=01_因子設定!$L$5-0.000000001,E5070&lt;=01_因子設定!$M$5+0.000000001,F5070&gt;=01_因子設定!$L$6-0.000000001,F5070&lt;=01_因子設定!$M$6+0.000000001,G5070&gt;=01_因子設定!$L$7-0.000000001,G5070&lt;=01_因子設定!$M$7+0.000000001,H5070&gt;=01_因子設定!$L$8-0.000000001,H5070&lt;=01_因子設定!$M$8+0.000000001,IF(01_因子設定!$B$20="Box-Behnken",E5070^2+F5070^2+G5070^2+H5070^2&lt;=2+0.000000001,TRUE()))</f>
        <v>1</v>
      </c>
      <c r="AD5070" s="55" t="n">
        <f aca="false">IF(AC5070,IF(01_因子設定!$B$13="最大化",AA5070-01_因子設定!$B$14,IF(01_因子設定!$B$13="最小化",01_因子設定!$B$15-AB5070,MIN(AA5070-01_因子設定!$B$14,01_因子設定!$B$15-AB5070))),-1E+030)</f>
        <v>0.232393556627827</v>
      </c>
      <c r="AE5070" s="55" t="n">
        <f aca="false">IF(AC5070,IF(01_因子設定!$B$13="最大化",X5070,IF(01_因子設定!$B$13="最小化",-X5070,-ABS(X5070-01_因子設定!$B$16))),-1E+030)</f>
        <v>48.316081871345</v>
      </c>
      <c r="AF5070" s="55" t="n">
        <f aca="false">AD5070+ROW()*0.000000001</f>
        <v>0.232398626627827</v>
      </c>
      <c r="AG5070" s="55" t="n">
        <f aca="false">AE5070+ROW()*0.000000001</f>
        <v>48.316086941345</v>
      </c>
    </row>
    <row r="5071" customFormat="false" ht="15" hidden="false" customHeight="false" outlineLevel="0" collapsed="false">
      <c r="A5071" s="0" t="n">
        <v>6</v>
      </c>
      <c r="B5071" s="0" t="n">
        <v>8</v>
      </c>
      <c r="C5071" s="0" t="n">
        <v>4</v>
      </c>
      <c r="D5071" s="0" t="n">
        <v>8</v>
      </c>
      <c r="E5071" s="0" t="n">
        <f aca="false">-1+A5071*0.25</f>
        <v>0.5</v>
      </c>
      <c r="F5071" s="0" t="n">
        <f aca="false">-1+B5071*0.25</f>
        <v>1</v>
      </c>
      <c r="G5071" s="0" t="n">
        <f aca="false">-1+C5071*0.25</f>
        <v>0</v>
      </c>
      <c r="H5071" s="0" t="n">
        <f aca="false">-1+D5071*0.25</f>
        <v>1</v>
      </c>
      <c r="I5071" s="0" t="n">
        <f aca="false">1</f>
        <v>1</v>
      </c>
      <c r="J5071" s="0" t="n">
        <f aca="false">E5071</f>
        <v>0.5</v>
      </c>
      <c r="K5071" s="0" t="n">
        <f aca="false">F5071</f>
        <v>1</v>
      </c>
      <c r="L5071" s="0" t="n">
        <f aca="false">G5071</f>
        <v>0</v>
      </c>
      <c r="M5071" s="0" t="n">
        <f aca="false">H5071</f>
        <v>1</v>
      </c>
      <c r="N5071" s="0" t="n">
        <f aca="false">E5071*F5071</f>
        <v>0.5</v>
      </c>
      <c r="O5071" s="0" t="n">
        <f aca="false">E5071*G5071</f>
        <v>0</v>
      </c>
      <c r="P5071" s="0" t="n">
        <f aca="false">E5071*H5071</f>
        <v>0.5</v>
      </c>
      <c r="Q5071" s="0" t="n">
        <f aca="false">F5071*G5071</f>
        <v>0</v>
      </c>
      <c r="R5071" s="0" t="n">
        <f aca="false">F5071*H5071</f>
        <v>1</v>
      </c>
      <c r="S5071" s="0" t="n">
        <f aca="false">G5071*H5071</f>
        <v>0</v>
      </c>
      <c r="T5071" s="0" t="n">
        <f aca="false">E5071*E5071</f>
        <v>0.25</v>
      </c>
      <c r="U5071" s="0" t="n">
        <f aca="false">F5071*F5071</f>
        <v>1</v>
      </c>
      <c r="V5071" s="0" t="n">
        <f aca="false">G5071*G5071</f>
        <v>0</v>
      </c>
      <c r="W5071" s="0" t="n">
        <f aca="false">H5071*H5071</f>
        <v>1</v>
      </c>
      <c r="X5071" s="0" t="n">
        <f aca="false">SUMPRODUCT(I5071:W5071,_XtX!$B$96:$P$96)</f>
        <v>48.2126461988304</v>
      </c>
      <c r="Y5071" s="0" t="n">
        <f aca="false">SUMPRODUCT(MMULT(I5071:W5071,_XtX!$B$78:$P$92),I5071:W5071)</f>
        <v>0.650767543859649</v>
      </c>
      <c r="Z5071" s="0" t="n">
        <f aca="false">04_回帰ANOVA!$K$19*04_回帰ANOVA!$K$14*SQRT(1+Y5071)</f>
        <v>1.67471670935165</v>
      </c>
      <c r="AA5071" s="0" t="n">
        <f aca="false">X5071-Z5071</f>
        <v>46.5379294894788</v>
      </c>
      <c r="AB5071" s="0" t="n">
        <f aca="false">X5071+Z5071</f>
        <v>49.8873629081821</v>
      </c>
      <c r="AC5071" s="54" t="b">
        <f aca="false">AND(E5071&gt;=01_因子設定!$L$5-0.000000001,E5071&lt;=01_因子設定!$M$5+0.000000001,F5071&gt;=01_因子設定!$L$6-0.000000001,F5071&lt;=01_因子設定!$M$6+0.000000001,G5071&gt;=01_因子設定!$L$7-0.000000001,G5071&lt;=01_因子設定!$M$7+0.000000001,H5071&gt;=01_因子設定!$L$8-0.000000001,H5071&lt;=01_因子設定!$M$8+0.000000001,IF(01_因子設定!$B$20="Box-Behnken",E5071^2+F5071^2+G5071^2+H5071^2&lt;=2+0.000000001,TRUE()))</f>
        <v>1</v>
      </c>
      <c r="AD5071" s="55" t="n">
        <f aca="false">IF(AC5071,IF(01_因子設定!$B$13="最大化",AA5071-01_因子設定!$B$14,IF(01_因子設定!$B$13="最小化",01_因子設定!$B$15-AB5071,MIN(AA5071-01_因子設定!$B$14,01_因子設定!$B$15-AB5071))),-1E+030)</f>
        <v>0.0379294894787492</v>
      </c>
      <c r="AE5071" s="55" t="n">
        <f aca="false">IF(AC5071,IF(01_因子設定!$B$13="最大化",X5071,IF(01_因子設定!$B$13="最小化",-X5071,-ABS(X5071-01_因子設定!$B$16))),-1E+030)</f>
        <v>48.2126461988304</v>
      </c>
      <c r="AF5071" s="55" t="n">
        <f aca="false">AD5071+ROW()*0.000000001</f>
        <v>0.0379345604787492</v>
      </c>
      <c r="AG5071" s="55" t="n">
        <f aca="false">AE5071+ROW()*0.000000001</f>
        <v>48.2126512698304</v>
      </c>
    </row>
    <row r="5072" customFormat="false" ht="15" hidden="false" customHeight="false" outlineLevel="0" collapsed="false">
      <c r="A5072" s="0" t="n">
        <v>6</v>
      </c>
      <c r="B5072" s="0" t="n">
        <v>8</v>
      </c>
      <c r="C5072" s="0" t="n">
        <v>5</v>
      </c>
      <c r="D5072" s="0" t="n">
        <v>0</v>
      </c>
      <c r="E5072" s="0" t="n">
        <f aca="false">-1+A5072*0.25</f>
        <v>0.5</v>
      </c>
      <c r="F5072" s="0" t="n">
        <f aca="false">-1+B5072*0.25</f>
        <v>1</v>
      </c>
      <c r="G5072" s="0" t="n">
        <f aca="false">-1+C5072*0.25</f>
        <v>0.25</v>
      </c>
      <c r="H5072" s="0" t="n">
        <f aca="false">-1+D5072*0.25</f>
        <v>-1</v>
      </c>
      <c r="I5072" s="0" t="n">
        <f aca="false">1</f>
        <v>1</v>
      </c>
      <c r="J5072" s="0" t="n">
        <f aca="false">E5072</f>
        <v>0.5</v>
      </c>
      <c r="K5072" s="0" t="n">
        <f aca="false">F5072</f>
        <v>1</v>
      </c>
      <c r="L5072" s="0" t="n">
        <f aca="false">G5072</f>
        <v>0.25</v>
      </c>
      <c r="M5072" s="0" t="n">
        <f aca="false">H5072</f>
        <v>-1</v>
      </c>
      <c r="N5072" s="0" t="n">
        <f aca="false">E5072*F5072</f>
        <v>0.5</v>
      </c>
      <c r="O5072" s="0" t="n">
        <f aca="false">E5072*G5072</f>
        <v>0.125</v>
      </c>
      <c r="P5072" s="0" t="n">
        <f aca="false">E5072*H5072</f>
        <v>-0.5</v>
      </c>
      <c r="Q5072" s="0" t="n">
        <f aca="false">F5072*G5072</f>
        <v>0.25</v>
      </c>
      <c r="R5072" s="0" t="n">
        <f aca="false">F5072*H5072</f>
        <v>-1</v>
      </c>
      <c r="S5072" s="0" t="n">
        <f aca="false">G5072*H5072</f>
        <v>-0.25</v>
      </c>
      <c r="T5072" s="0" t="n">
        <f aca="false">E5072*E5072</f>
        <v>0.25</v>
      </c>
      <c r="U5072" s="0" t="n">
        <f aca="false">F5072*F5072</f>
        <v>1</v>
      </c>
      <c r="V5072" s="0" t="n">
        <f aca="false">G5072*G5072</f>
        <v>0.0625</v>
      </c>
      <c r="W5072" s="0" t="n">
        <f aca="false">H5072*H5072</f>
        <v>1</v>
      </c>
      <c r="X5072" s="0" t="n">
        <f aca="false">SUMPRODUCT(I5072:W5072,_XtX!$B$96:$P$96)</f>
        <v>47.8297149122807</v>
      </c>
      <c r="Y5072" s="0" t="n">
        <f aca="false">SUMPRODUCT(MMULT(I5072:W5072,_XtX!$B$78:$P$92),I5072:W5072)</f>
        <v>0.629174661915205</v>
      </c>
      <c r="Z5072" s="0" t="n">
        <f aca="false">04_回帰ANOVA!$K$19*04_回帰ANOVA!$K$14*SQRT(1+Y5072)</f>
        <v>1.66372758058297</v>
      </c>
      <c r="AA5072" s="0" t="n">
        <f aca="false">X5072-Z5072</f>
        <v>46.1659873316977</v>
      </c>
      <c r="AB5072" s="0" t="n">
        <f aca="false">X5072+Z5072</f>
        <v>49.4934424928637</v>
      </c>
      <c r="AC5072" s="54" t="b">
        <f aca="false">AND(E5072&gt;=01_因子設定!$L$5-0.000000001,E5072&lt;=01_因子設定!$M$5+0.000000001,F5072&gt;=01_因子設定!$L$6-0.000000001,F5072&lt;=01_因子設定!$M$6+0.000000001,G5072&gt;=01_因子設定!$L$7-0.000000001,G5072&lt;=01_因子設定!$M$7+0.000000001,H5072&gt;=01_因子設定!$L$8-0.000000001,H5072&lt;=01_因子設定!$M$8+0.000000001,IF(01_因子設定!$B$20="Box-Behnken",E5072^2+F5072^2+G5072^2+H5072^2&lt;=2+0.000000001,TRUE()))</f>
        <v>1</v>
      </c>
      <c r="AD5072" s="55" t="n">
        <f aca="false">IF(AC5072,IF(01_因子設定!$B$13="最大化",AA5072-01_因子設定!$B$14,IF(01_因子設定!$B$13="最小化",01_因子設定!$B$15-AB5072,MIN(AA5072-01_因子設定!$B$14,01_因子設定!$B$15-AB5072))),-1E+030)</f>
        <v>-0.334012668302279</v>
      </c>
      <c r="AE5072" s="55" t="n">
        <f aca="false">IF(AC5072,IF(01_因子設定!$B$13="最大化",X5072,IF(01_因子設定!$B$13="最小化",-X5072,-ABS(X5072-01_因子設定!$B$16))),-1E+030)</f>
        <v>47.8297149122807</v>
      </c>
      <c r="AF5072" s="55" t="n">
        <f aca="false">AD5072+ROW()*0.000000001</f>
        <v>-0.334007596302279</v>
      </c>
      <c r="AG5072" s="55" t="n">
        <f aca="false">AE5072+ROW()*0.000000001</f>
        <v>47.8297199842807</v>
      </c>
    </row>
    <row r="5073" customFormat="false" ht="15" hidden="false" customHeight="false" outlineLevel="0" collapsed="false">
      <c r="A5073" s="0" t="n">
        <v>6</v>
      </c>
      <c r="B5073" s="0" t="n">
        <v>8</v>
      </c>
      <c r="C5073" s="0" t="n">
        <v>5</v>
      </c>
      <c r="D5073" s="0" t="n">
        <v>1</v>
      </c>
      <c r="E5073" s="0" t="n">
        <f aca="false">-1+A5073*0.25</f>
        <v>0.5</v>
      </c>
      <c r="F5073" s="0" t="n">
        <f aca="false">-1+B5073*0.25</f>
        <v>1</v>
      </c>
      <c r="G5073" s="0" t="n">
        <f aca="false">-1+C5073*0.25</f>
        <v>0.25</v>
      </c>
      <c r="H5073" s="0" t="n">
        <f aca="false">-1+D5073*0.25</f>
        <v>-0.75</v>
      </c>
      <c r="I5073" s="0" t="n">
        <f aca="false">1</f>
        <v>1</v>
      </c>
      <c r="J5073" s="0" t="n">
        <f aca="false">E5073</f>
        <v>0.5</v>
      </c>
      <c r="K5073" s="0" t="n">
        <f aca="false">F5073</f>
        <v>1</v>
      </c>
      <c r="L5073" s="0" t="n">
        <f aca="false">G5073</f>
        <v>0.25</v>
      </c>
      <c r="M5073" s="0" t="n">
        <f aca="false">H5073</f>
        <v>-0.75</v>
      </c>
      <c r="N5073" s="0" t="n">
        <f aca="false">E5073*F5073</f>
        <v>0.5</v>
      </c>
      <c r="O5073" s="0" t="n">
        <f aca="false">E5073*G5073</f>
        <v>0.125</v>
      </c>
      <c r="P5073" s="0" t="n">
        <f aca="false">E5073*H5073</f>
        <v>-0.375</v>
      </c>
      <c r="Q5073" s="0" t="n">
        <f aca="false">F5073*G5073</f>
        <v>0.25</v>
      </c>
      <c r="R5073" s="0" t="n">
        <f aca="false">F5073*H5073</f>
        <v>-0.75</v>
      </c>
      <c r="S5073" s="0" t="n">
        <f aca="false">G5073*H5073</f>
        <v>-0.1875</v>
      </c>
      <c r="T5073" s="0" t="n">
        <f aca="false">E5073*E5073</f>
        <v>0.25</v>
      </c>
      <c r="U5073" s="0" t="n">
        <f aca="false">F5073*F5073</f>
        <v>1</v>
      </c>
      <c r="V5073" s="0" t="n">
        <f aca="false">G5073*G5073</f>
        <v>0.0625</v>
      </c>
      <c r="W5073" s="0" t="n">
        <f aca="false">H5073*H5073</f>
        <v>0.5625</v>
      </c>
      <c r="X5073" s="0" t="n">
        <f aca="false">SUMPRODUCT(I5073:W5073,_XtX!$B$96:$P$96)</f>
        <v>48.0788971125731</v>
      </c>
      <c r="Y5073" s="0" t="n">
        <f aca="false">SUMPRODUCT(MMULT(I5073:W5073,_XtX!$B$78:$P$92),I5073:W5073)</f>
        <v>0.459125719572369</v>
      </c>
      <c r="Z5073" s="0" t="n">
        <f aca="false">04_回帰ANOVA!$K$19*04_回帰ANOVA!$K$14*SQRT(1+Y5073)</f>
        <v>1.57450755575573</v>
      </c>
      <c r="AA5073" s="0" t="n">
        <f aca="false">X5073-Z5073</f>
        <v>46.5043895568173</v>
      </c>
      <c r="AB5073" s="0" t="n">
        <f aca="false">X5073+Z5073</f>
        <v>49.6534046683288</v>
      </c>
      <c r="AC5073" s="54" t="b">
        <f aca="false">AND(E5073&gt;=01_因子設定!$L$5-0.000000001,E5073&lt;=01_因子設定!$M$5+0.000000001,F5073&gt;=01_因子設定!$L$6-0.000000001,F5073&lt;=01_因子設定!$M$6+0.000000001,G5073&gt;=01_因子設定!$L$7-0.000000001,G5073&lt;=01_因子設定!$M$7+0.000000001,H5073&gt;=01_因子設定!$L$8-0.000000001,H5073&lt;=01_因子設定!$M$8+0.000000001,IF(01_因子設定!$B$20="Box-Behnken",E5073^2+F5073^2+G5073^2+H5073^2&lt;=2+0.000000001,TRUE()))</f>
        <v>1</v>
      </c>
      <c r="AD5073" s="55" t="n">
        <f aca="false">IF(AC5073,IF(01_因子設定!$B$13="最大化",AA5073-01_因子設定!$B$14,IF(01_因子設定!$B$13="最小化",01_因子設定!$B$15-AB5073,MIN(AA5073-01_因子設定!$B$14,01_因子設定!$B$15-AB5073))),-1E+030)</f>
        <v>0.00438955681734399</v>
      </c>
      <c r="AE5073" s="55" t="n">
        <f aca="false">IF(AC5073,IF(01_因子設定!$B$13="最大化",X5073,IF(01_因子設定!$B$13="最小化",-X5073,-ABS(X5073-01_因子設定!$B$16))),-1E+030)</f>
        <v>48.0788971125731</v>
      </c>
      <c r="AF5073" s="55" t="n">
        <f aca="false">AD5073+ROW()*0.000000001</f>
        <v>0.00439462981734399</v>
      </c>
      <c r="AG5073" s="55" t="n">
        <f aca="false">AE5073+ROW()*0.000000001</f>
        <v>48.0789021855731</v>
      </c>
    </row>
    <row r="5074" customFormat="false" ht="15" hidden="false" customHeight="false" outlineLevel="0" collapsed="false">
      <c r="A5074" s="0" t="n">
        <v>6</v>
      </c>
      <c r="B5074" s="0" t="n">
        <v>8</v>
      </c>
      <c r="C5074" s="0" t="n">
        <v>5</v>
      </c>
      <c r="D5074" s="0" t="n">
        <v>2</v>
      </c>
      <c r="E5074" s="0" t="n">
        <f aca="false">-1+A5074*0.25</f>
        <v>0.5</v>
      </c>
      <c r="F5074" s="0" t="n">
        <f aca="false">-1+B5074*0.25</f>
        <v>1</v>
      </c>
      <c r="G5074" s="0" t="n">
        <f aca="false">-1+C5074*0.25</f>
        <v>0.25</v>
      </c>
      <c r="H5074" s="0" t="n">
        <f aca="false">-1+D5074*0.25</f>
        <v>-0.5</v>
      </c>
      <c r="I5074" s="0" t="n">
        <f aca="false">1</f>
        <v>1</v>
      </c>
      <c r="J5074" s="0" t="n">
        <f aca="false">E5074</f>
        <v>0.5</v>
      </c>
      <c r="K5074" s="0" t="n">
        <f aca="false">F5074</f>
        <v>1</v>
      </c>
      <c r="L5074" s="0" t="n">
        <f aca="false">G5074</f>
        <v>0.25</v>
      </c>
      <c r="M5074" s="0" t="n">
        <f aca="false">H5074</f>
        <v>-0.5</v>
      </c>
      <c r="N5074" s="0" t="n">
        <f aca="false">E5074*F5074</f>
        <v>0.5</v>
      </c>
      <c r="O5074" s="0" t="n">
        <f aca="false">E5074*G5074</f>
        <v>0.125</v>
      </c>
      <c r="P5074" s="0" t="n">
        <f aca="false">E5074*H5074</f>
        <v>-0.25</v>
      </c>
      <c r="Q5074" s="0" t="n">
        <f aca="false">F5074*G5074</f>
        <v>0.25</v>
      </c>
      <c r="R5074" s="0" t="n">
        <f aca="false">F5074*H5074</f>
        <v>-0.5</v>
      </c>
      <c r="S5074" s="0" t="n">
        <f aca="false">G5074*H5074</f>
        <v>-0.125</v>
      </c>
      <c r="T5074" s="0" t="n">
        <f aca="false">E5074*E5074</f>
        <v>0.25</v>
      </c>
      <c r="U5074" s="0" t="n">
        <f aca="false">F5074*F5074</f>
        <v>1</v>
      </c>
      <c r="V5074" s="0" t="n">
        <f aca="false">G5074*G5074</f>
        <v>0.0625</v>
      </c>
      <c r="W5074" s="0" t="n">
        <f aca="false">H5074*H5074</f>
        <v>0.25</v>
      </c>
      <c r="X5074" s="0" t="n">
        <f aca="false">SUMPRODUCT(I5074:W5074,_XtX!$B$96:$P$96)</f>
        <v>48.2802722953216</v>
      </c>
      <c r="Y5074" s="0" t="n">
        <f aca="false">SUMPRODUCT(MMULT(I5074:W5074,_XtX!$B$78:$P$92),I5074:W5074)</f>
        <v>0.428122715643275</v>
      </c>
      <c r="Z5074" s="0" t="n">
        <f aca="false">04_回帰ANOVA!$K$19*04_回帰ANOVA!$K$14*SQRT(1+Y5074)</f>
        <v>1.55769044623229</v>
      </c>
      <c r="AA5074" s="0" t="n">
        <f aca="false">X5074-Z5074</f>
        <v>46.7225818490893</v>
      </c>
      <c r="AB5074" s="0" t="n">
        <f aca="false">X5074+Z5074</f>
        <v>49.8379627415539</v>
      </c>
      <c r="AC5074" s="54" t="b">
        <f aca="false">AND(E5074&gt;=01_因子設定!$L$5-0.000000001,E5074&lt;=01_因子設定!$M$5+0.000000001,F5074&gt;=01_因子設定!$L$6-0.000000001,F5074&lt;=01_因子設定!$M$6+0.000000001,G5074&gt;=01_因子設定!$L$7-0.000000001,G5074&lt;=01_因子設定!$M$7+0.000000001,H5074&gt;=01_因子設定!$L$8-0.000000001,H5074&lt;=01_因子設定!$M$8+0.000000001,IF(01_因子設定!$B$20="Box-Behnken",E5074^2+F5074^2+G5074^2+H5074^2&lt;=2+0.000000001,TRUE()))</f>
        <v>1</v>
      </c>
      <c r="AD5074" s="55" t="n">
        <f aca="false">IF(AC5074,IF(01_因子設定!$B$13="最大化",AA5074-01_因子設定!$B$14,IF(01_因子設定!$B$13="最小化",01_因子設定!$B$15-AB5074,MIN(AA5074-01_因子設定!$B$14,01_因子設定!$B$15-AB5074))),-1E+030)</f>
        <v>0.222581849089309</v>
      </c>
      <c r="AE5074" s="55" t="n">
        <f aca="false">IF(AC5074,IF(01_因子設定!$B$13="最大化",X5074,IF(01_因子設定!$B$13="最小化",-X5074,-ABS(X5074-01_因子設定!$B$16))),-1E+030)</f>
        <v>48.2802722953216</v>
      </c>
      <c r="AF5074" s="55" t="n">
        <f aca="false">AD5074+ROW()*0.000000001</f>
        <v>0.222586923089309</v>
      </c>
      <c r="AG5074" s="55" t="n">
        <f aca="false">AE5074+ROW()*0.000000001</f>
        <v>48.2802773693216</v>
      </c>
    </row>
    <row r="5075" customFormat="false" ht="15" hidden="false" customHeight="false" outlineLevel="0" collapsed="false">
      <c r="A5075" s="0" t="n">
        <v>6</v>
      </c>
      <c r="B5075" s="0" t="n">
        <v>8</v>
      </c>
      <c r="C5075" s="0" t="n">
        <v>5</v>
      </c>
      <c r="D5075" s="0" t="n">
        <v>3</v>
      </c>
      <c r="E5075" s="0" t="n">
        <f aca="false">-1+A5075*0.25</f>
        <v>0.5</v>
      </c>
      <c r="F5075" s="0" t="n">
        <f aca="false">-1+B5075*0.25</f>
        <v>1</v>
      </c>
      <c r="G5075" s="0" t="n">
        <f aca="false">-1+C5075*0.25</f>
        <v>0.25</v>
      </c>
      <c r="H5075" s="0" t="n">
        <f aca="false">-1+D5075*0.25</f>
        <v>-0.25</v>
      </c>
      <c r="I5075" s="0" t="n">
        <f aca="false">1</f>
        <v>1</v>
      </c>
      <c r="J5075" s="0" t="n">
        <f aca="false">E5075</f>
        <v>0.5</v>
      </c>
      <c r="K5075" s="0" t="n">
        <f aca="false">F5075</f>
        <v>1</v>
      </c>
      <c r="L5075" s="0" t="n">
        <f aca="false">G5075</f>
        <v>0.25</v>
      </c>
      <c r="M5075" s="0" t="n">
        <f aca="false">H5075</f>
        <v>-0.25</v>
      </c>
      <c r="N5075" s="0" t="n">
        <f aca="false">E5075*F5075</f>
        <v>0.5</v>
      </c>
      <c r="O5075" s="0" t="n">
        <f aca="false">E5075*G5075</f>
        <v>0.125</v>
      </c>
      <c r="P5075" s="0" t="n">
        <f aca="false">E5075*H5075</f>
        <v>-0.125</v>
      </c>
      <c r="Q5075" s="0" t="n">
        <f aca="false">F5075*G5075</f>
        <v>0.25</v>
      </c>
      <c r="R5075" s="0" t="n">
        <f aca="false">F5075*H5075</f>
        <v>-0.25</v>
      </c>
      <c r="S5075" s="0" t="n">
        <f aca="false">G5075*H5075</f>
        <v>-0.0625</v>
      </c>
      <c r="T5075" s="0" t="n">
        <f aca="false">E5075*E5075</f>
        <v>0.25</v>
      </c>
      <c r="U5075" s="0" t="n">
        <f aca="false">F5075*F5075</f>
        <v>1</v>
      </c>
      <c r="V5075" s="0" t="n">
        <f aca="false">G5075*G5075</f>
        <v>0.0625</v>
      </c>
      <c r="W5075" s="0" t="n">
        <f aca="false">H5075*H5075</f>
        <v>0.0625</v>
      </c>
      <c r="X5075" s="0" t="n">
        <f aca="false">SUMPRODUCT(I5075:W5075,_XtX!$B$96:$P$96)</f>
        <v>48.4338404605263</v>
      </c>
      <c r="Y5075" s="0" t="n">
        <f aca="false">SUMPRODUCT(MMULT(I5075:W5075,_XtX!$B$78:$P$92),I5075:W5075)</f>
        <v>0.445705123812135</v>
      </c>
      <c r="Z5075" s="0" t="n">
        <f aca="false">04_回帰ANOVA!$K$19*04_回帰ANOVA!$K$14*SQRT(1+Y5075)</f>
        <v>1.56724990734749</v>
      </c>
      <c r="AA5075" s="0" t="n">
        <f aca="false">X5075-Z5075</f>
        <v>46.8665905531788</v>
      </c>
      <c r="AB5075" s="0" t="n">
        <f aca="false">X5075+Z5075</f>
        <v>50.0010903678738</v>
      </c>
      <c r="AC5075" s="54" t="b">
        <f aca="false">AND(E5075&gt;=01_因子設定!$L$5-0.000000001,E5075&lt;=01_因子設定!$M$5+0.000000001,F5075&gt;=01_因子設定!$L$6-0.000000001,F5075&lt;=01_因子設定!$M$6+0.000000001,G5075&gt;=01_因子設定!$L$7-0.000000001,G5075&lt;=01_因子設定!$M$7+0.000000001,H5075&gt;=01_因子設定!$L$8-0.000000001,H5075&lt;=01_因子設定!$M$8+0.000000001,IF(01_因子設定!$B$20="Box-Behnken",E5075^2+F5075^2+G5075^2+H5075^2&lt;=2+0.000000001,TRUE()))</f>
        <v>1</v>
      </c>
      <c r="AD5075" s="55" t="n">
        <f aca="false">IF(AC5075,IF(01_因子設定!$B$13="最大化",AA5075-01_因子設定!$B$14,IF(01_因子設定!$B$13="最小化",01_因子設定!$B$15-AB5075,MIN(AA5075-01_因子設定!$B$14,01_因子設定!$B$15-AB5075))),-1E+030)</f>
        <v>0.366590553178789</v>
      </c>
      <c r="AE5075" s="55" t="n">
        <f aca="false">IF(AC5075,IF(01_因子設定!$B$13="最大化",X5075,IF(01_因子設定!$B$13="最小化",-X5075,-ABS(X5075-01_因子設定!$B$16))),-1E+030)</f>
        <v>48.4338404605263</v>
      </c>
      <c r="AF5075" s="55" t="n">
        <f aca="false">AD5075+ROW()*0.000000001</f>
        <v>0.366595628178789</v>
      </c>
      <c r="AG5075" s="55" t="n">
        <f aca="false">AE5075+ROW()*0.000000001</f>
        <v>48.4338455355263</v>
      </c>
    </row>
    <row r="5076" customFormat="false" ht="15" hidden="false" customHeight="false" outlineLevel="0" collapsed="false">
      <c r="A5076" s="0" t="n">
        <v>6</v>
      </c>
      <c r="B5076" s="0" t="n">
        <v>8</v>
      </c>
      <c r="C5076" s="0" t="n">
        <v>5</v>
      </c>
      <c r="D5076" s="0" t="n">
        <v>4</v>
      </c>
      <c r="E5076" s="0" t="n">
        <f aca="false">-1+A5076*0.25</f>
        <v>0.5</v>
      </c>
      <c r="F5076" s="0" t="n">
        <f aca="false">-1+B5076*0.25</f>
        <v>1</v>
      </c>
      <c r="G5076" s="0" t="n">
        <f aca="false">-1+C5076*0.25</f>
        <v>0.25</v>
      </c>
      <c r="H5076" s="0" t="n">
        <f aca="false">-1+D5076*0.25</f>
        <v>0</v>
      </c>
      <c r="I5076" s="0" t="n">
        <f aca="false">1</f>
        <v>1</v>
      </c>
      <c r="J5076" s="0" t="n">
        <f aca="false">E5076</f>
        <v>0.5</v>
      </c>
      <c r="K5076" s="0" t="n">
        <f aca="false">F5076</f>
        <v>1</v>
      </c>
      <c r="L5076" s="0" t="n">
        <f aca="false">G5076</f>
        <v>0.25</v>
      </c>
      <c r="M5076" s="0" t="n">
        <f aca="false">H5076</f>
        <v>0</v>
      </c>
      <c r="N5076" s="0" t="n">
        <f aca="false">E5076*F5076</f>
        <v>0.5</v>
      </c>
      <c r="O5076" s="0" t="n">
        <f aca="false">E5076*G5076</f>
        <v>0.125</v>
      </c>
      <c r="P5076" s="0" t="n">
        <f aca="false">E5076*H5076</f>
        <v>0</v>
      </c>
      <c r="Q5076" s="0" t="n">
        <f aca="false">F5076*G5076</f>
        <v>0.25</v>
      </c>
      <c r="R5076" s="0" t="n">
        <f aca="false">F5076*H5076</f>
        <v>0</v>
      </c>
      <c r="S5076" s="0" t="n">
        <f aca="false">G5076*H5076</f>
        <v>0</v>
      </c>
      <c r="T5076" s="0" t="n">
        <f aca="false">E5076*E5076</f>
        <v>0.25</v>
      </c>
      <c r="U5076" s="0" t="n">
        <f aca="false">F5076*F5076</f>
        <v>1</v>
      </c>
      <c r="V5076" s="0" t="n">
        <f aca="false">G5076*G5076</f>
        <v>0.0625</v>
      </c>
      <c r="W5076" s="0" t="n">
        <f aca="false">H5076*H5076</f>
        <v>0</v>
      </c>
      <c r="X5076" s="0" t="n">
        <f aca="false">SUMPRODUCT(I5076:W5076,_XtX!$B$96:$P$96)</f>
        <v>48.5396016081871</v>
      </c>
      <c r="Y5076" s="0" t="n">
        <f aca="false">SUMPRODUCT(MMULT(I5076:W5076,_XtX!$B$78:$P$92),I5076:W5076)</f>
        <v>0.457596628289474</v>
      </c>
      <c r="Z5076" s="0" t="n">
        <f aca="false">04_回帰ANOVA!$K$19*04_回帰ANOVA!$K$14*SQRT(1+Y5076)</f>
        <v>1.57368233664366</v>
      </c>
      <c r="AA5076" s="0" t="n">
        <f aca="false">X5076-Z5076</f>
        <v>46.9659192715434</v>
      </c>
      <c r="AB5076" s="0" t="n">
        <f aca="false">X5076+Z5076</f>
        <v>50.1132839448308</v>
      </c>
      <c r="AC5076" s="54" t="b">
        <f aca="false">AND(E5076&gt;=01_因子設定!$L$5-0.000000001,E5076&lt;=01_因子設定!$M$5+0.000000001,F5076&gt;=01_因子設定!$L$6-0.000000001,F5076&lt;=01_因子設定!$M$6+0.000000001,G5076&gt;=01_因子設定!$L$7-0.000000001,G5076&lt;=01_因子設定!$M$7+0.000000001,H5076&gt;=01_因子設定!$L$8-0.000000001,H5076&lt;=01_因子設定!$M$8+0.000000001,IF(01_因子設定!$B$20="Box-Behnken",E5076^2+F5076^2+G5076^2+H5076^2&lt;=2+0.000000001,TRUE()))</f>
        <v>1</v>
      </c>
      <c r="AD5076" s="55" t="n">
        <f aca="false">IF(AC5076,IF(01_因子設定!$B$13="最大化",AA5076-01_因子設定!$B$14,IF(01_因子設定!$B$13="最小化",01_因子設定!$B$15-AB5076,MIN(AA5076-01_因子設定!$B$14,01_因子設定!$B$15-AB5076))),-1E+030)</f>
        <v>0.465919271543434</v>
      </c>
      <c r="AE5076" s="55" t="n">
        <f aca="false">IF(AC5076,IF(01_因子設定!$B$13="最大化",X5076,IF(01_因子設定!$B$13="最小化",-X5076,-ABS(X5076-01_因子設定!$B$16))),-1E+030)</f>
        <v>48.5396016081871</v>
      </c>
      <c r="AF5076" s="55" t="n">
        <f aca="false">AD5076+ROW()*0.000000001</f>
        <v>0.465924347543434</v>
      </c>
      <c r="AG5076" s="55" t="n">
        <f aca="false">AE5076+ROW()*0.000000001</f>
        <v>48.5396066841871</v>
      </c>
    </row>
    <row r="5077" customFormat="false" ht="15" hidden="false" customHeight="false" outlineLevel="0" collapsed="false">
      <c r="A5077" s="0" t="n">
        <v>6</v>
      </c>
      <c r="B5077" s="0" t="n">
        <v>8</v>
      </c>
      <c r="C5077" s="0" t="n">
        <v>5</v>
      </c>
      <c r="D5077" s="0" t="n">
        <v>5</v>
      </c>
      <c r="E5077" s="0" t="n">
        <f aca="false">-1+A5077*0.25</f>
        <v>0.5</v>
      </c>
      <c r="F5077" s="0" t="n">
        <f aca="false">-1+B5077*0.25</f>
        <v>1</v>
      </c>
      <c r="G5077" s="0" t="n">
        <f aca="false">-1+C5077*0.25</f>
        <v>0.25</v>
      </c>
      <c r="H5077" s="0" t="n">
        <f aca="false">-1+D5077*0.25</f>
        <v>0.25</v>
      </c>
      <c r="I5077" s="0" t="n">
        <f aca="false">1</f>
        <v>1</v>
      </c>
      <c r="J5077" s="0" t="n">
        <f aca="false">E5077</f>
        <v>0.5</v>
      </c>
      <c r="K5077" s="0" t="n">
        <f aca="false">F5077</f>
        <v>1</v>
      </c>
      <c r="L5077" s="0" t="n">
        <f aca="false">G5077</f>
        <v>0.25</v>
      </c>
      <c r="M5077" s="0" t="n">
        <f aca="false">H5077</f>
        <v>0.25</v>
      </c>
      <c r="N5077" s="0" t="n">
        <f aca="false">E5077*F5077</f>
        <v>0.5</v>
      </c>
      <c r="O5077" s="0" t="n">
        <f aca="false">E5077*G5077</f>
        <v>0.125</v>
      </c>
      <c r="P5077" s="0" t="n">
        <f aca="false">E5077*H5077</f>
        <v>0.125</v>
      </c>
      <c r="Q5077" s="0" t="n">
        <f aca="false">F5077*G5077</f>
        <v>0.25</v>
      </c>
      <c r="R5077" s="0" t="n">
        <f aca="false">F5077*H5077</f>
        <v>0.25</v>
      </c>
      <c r="S5077" s="0" t="n">
        <f aca="false">G5077*H5077</f>
        <v>0.0625</v>
      </c>
      <c r="T5077" s="0" t="n">
        <f aca="false">E5077*E5077</f>
        <v>0.25</v>
      </c>
      <c r="U5077" s="0" t="n">
        <f aca="false">F5077*F5077</f>
        <v>1</v>
      </c>
      <c r="V5077" s="0" t="n">
        <f aca="false">G5077*G5077</f>
        <v>0.0625</v>
      </c>
      <c r="W5077" s="0" t="n">
        <f aca="false">H5077*H5077</f>
        <v>0.0625</v>
      </c>
      <c r="X5077" s="0" t="n">
        <f aca="false">SUMPRODUCT(I5077:W5077,_XtX!$B$96:$P$96)</f>
        <v>48.5975557383041</v>
      </c>
      <c r="Y5077" s="0" t="n">
        <f aca="false">SUMPRODUCT(MMULT(I5077:W5077,_XtX!$B$78:$P$92),I5077:W5077)</f>
        <v>0.445705123812135</v>
      </c>
      <c r="Z5077" s="0" t="n">
        <f aca="false">04_回帰ANOVA!$K$19*04_回帰ANOVA!$K$14*SQRT(1+Y5077)</f>
        <v>1.56724990734749</v>
      </c>
      <c r="AA5077" s="0" t="n">
        <f aca="false">X5077-Z5077</f>
        <v>47.0303058309566</v>
      </c>
      <c r="AB5077" s="0" t="n">
        <f aca="false">X5077+Z5077</f>
        <v>50.1648056456515</v>
      </c>
      <c r="AC5077" s="54" t="b">
        <f aca="false">AND(E5077&gt;=01_因子設定!$L$5-0.000000001,E5077&lt;=01_因子設定!$M$5+0.000000001,F5077&gt;=01_因子設定!$L$6-0.000000001,F5077&lt;=01_因子設定!$M$6+0.000000001,G5077&gt;=01_因子設定!$L$7-0.000000001,G5077&lt;=01_因子設定!$M$7+0.000000001,H5077&gt;=01_因子設定!$L$8-0.000000001,H5077&lt;=01_因子設定!$M$8+0.000000001,IF(01_因子設定!$B$20="Box-Behnken",E5077^2+F5077^2+G5077^2+H5077^2&lt;=2+0.000000001,TRUE()))</f>
        <v>1</v>
      </c>
      <c r="AD5077" s="55" t="n">
        <f aca="false">IF(AC5077,IF(01_因子設定!$B$13="最大化",AA5077-01_因子設定!$B$14,IF(01_因子設定!$B$13="最小化",01_因子設定!$B$15-AB5077,MIN(AA5077-01_因子設定!$B$14,01_因子設定!$B$15-AB5077))),-1E+030)</f>
        <v>0.530305830956564</v>
      </c>
      <c r="AE5077" s="55" t="n">
        <f aca="false">IF(AC5077,IF(01_因子設定!$B$13="最大化",X5077,IF(01_因子設定!$B$13="最小化",-X5077,-ABS(X5077-01_因子設定!$B$16))),-1E+030)</f>
        <v>48.5975557383041</v>
      </c>
      <c r="AF5077" s="55" t="n">
        <f aca="false">AD5077+ROW()*0.000000001</f>
        <v>0.530310907956564</v>
      </c>
      <c r="AG5077" s="55" t="n">
        <f aca="false">AE5077+ROW()*0.000000001</f>
        <v>48.5975608153041</v>
      </c>
    </row>
    <row r="5078" customFormat="false" ht="15" hidden="false" customHeight="false" outlineLevel="0" collapsed="false">
      <c r="A5078" s="0" t="n">
        <v>6</v>
      </c>
      <c r="B5078" s="0" t="n">
        <v>8</v>
      </c>
      <c r="C5078" s="0" t="n">
        <v>5</v>
      </c>
      <c r="D5078" s="0" t="n">
        <v>6</v>
      </c>
      <c r="E5078" s="0" t="n">
        <f aca="false">-1+A5078*0.25</f>
        <v>0.5</v>
      </c>
      <c r="F5078" s="0" t="n">
        <f aca="false">-1+B5078*0.25</f>
        <v>1</v>
      </c>
      <c r="G5078" s="0" t="n">
        <f aca="false">-1+C5078*0.25</f>
        <v>0.25</v>
      </c>
      <c r="H5078" s="0" t="n">
        <f aca="false">-1+D5078*0.25</f>
        <v>0.5</v>
      </c>
      <c r="I5078" s="0" t="n">
        <f aca="false">1</f>
        <v>1</v>
      </c>
      <c r="J5078" s="0" t="n">
        <f aca="false">E5078</f>
        <v>0.5</v>
      </c>
      <c r="K5078" s="0" t="n">
        <f aca="false">F5078</f>
        <v>1</v>
      </c>
      <c r="L5078" s="0" t="n">
        <f aca="false">G5078</f>
        <v>0.25</v>
      </c>
      <c r="M5078" s="0" t="n">
        <f aca="false">H5078</f>
        <v>0.5</v>
      </c>
      <c r="N5078" s="0" t="n">
        <f aca="false">E5078*F5078</f>
        <v>0.5</v>
      </c>
      <c r="O5078" s="0" t="n">
        <f aca="false">E5078*G5078</f>
        <v>0.125</v>
      </c>
      <c r="P5078" s="0" t="n">
        <f aca="false">E5078*H5078</f>
        <v>0.25</v>
      </c>
      <c r="Q5078" s="0" t="n">
        <f aca="false">F5078*G5078</f>
        <v>0.25</v>
      </c>
      <c r="R5078" s="0" t="n">
        <f aca="false">F5078*H5078</f>
        <v>0.5</v>
      </c>
      <c r="S5078" s="0" t="n">
        <f aca="false">G5078*H5078</f>
        <v>0.125</v>
      </c>
      <c r="T5078" s="0" t="n">
        <f aca="false">E5078*E5078</f>
        <v>0.25</v>
      </c>
      <c r="U5078" s="0" t="n">
        <f aca="false">F5078*F5078</f>
        <v>1</v>
      </c>
      <c r="V5078" s="0" t="n">
        <f aca="false">G5078*G5078</f>
        <v>0.0625</v>
      </c>
      <c r="W5078" s="0" t="n">
        <f aca="false">H5078*H5078</f>
        <v>0.25</v>
      </c>
      <c r="X5078" s="0" t="n">
        <f aca="false">SUMPRODUCT(I5078:W5078,_XtX!$B$96:$P$96)</f>
        <v>48.6077028508772</v>
      </c>
      <c r="Y5078" s="0" t="n">
        <f aca="false">SUMPRODUCT(MMULT(I5078:W5078,_XtX!$B$78:$P$92),I5078:W5078)</f>
        <v>0.428122715643275</v>
      </c>
      <c r="Z5078" s="0" t="n">
        <f aca="false">04_回帰ANOVA!$K$19*04_回帰ANOVA!$K$14*SQRT(1+Y5078)</f>
        <v>1.55769044623229</v>
      </c>
      <c r="AA5078" s="0" t="n">
        <f aca="false">X5078-Z5078</f>
        <v>47.0500124046449</v>
      </c>
      <c r="AB5078" s="0" t="n">
        <f aca="false">X5078+Z5078</f>
        <v>50.1653932971095</v>
      </c>
      <c r="AC5078" s="54" t="b">
        <f aca="false">AND(E5078&gt;=01_因子設定!$L$5-0.000000001,E5078&lt;=01_因子設定!$M$5+0.000000001,F5078&gt;=01_因子設定!$L$6-0.000000001,F5078&lt;=01_因子設定!$M$6+0.000000001,G5078&gt;=01_因子設定!$L$7-0.000000001,G5078&lt;=01_因子設定!$M$7+0.000000001,H5078&gt;=01_因子設定!$L$8-0.000000001,H5078&lt;=01_因子設定!$M$8+0.000000001,IF(01_因子設定!$B$20="Box-Behnken",E5078^2+F5078^2+G5078^2+H5078^2&lt;=2+0.000000001,TRUE()))</f>
        <v>1</v>
      </c>
      <c r="AD5078" s="55" t="n">
        <f aca="false">IF(AC5078,IF(01_因子設定!$B$13="最大化",AA5078-01_因子設定!$B$14,IF(01_因子設定!$B$13="最小化",01_因子設定!$B$15-AB5078,MIN(AA5078-01_因子設定!$B$14,01_因子設定!$B$15-AB5078))),-1E+030)</f>
        <v>0.550012404644868</v>
      </c>
      <c r="AE5078" s="55" t="n">
        <f aca="false">IF(AC5078,IF(01_因子設定!$B$13="最大化",X5078,IF(01_因子設定!$B$13="最小化",-X5078,-ABS(X5078-01_因子設定!$B$16))),-1E+030)</f>
        <v>48.6077028508772</v>
      </c>
      <c r="AF5078" s="55" t="n">
        <f aca="false">AD5078+ROW()*0.000000001</f>
        <v>0.550017482644868</v>
      </c>
      <c r="AG5078" s="55" t="n">
        <f aca="false">AE5078+ROW()*0.000000001</f>
        <v>48.6077079288772</v>
      </c>
    </row>
    <row r="5079" customFormat="false" ht="15" hidden="false" customHeight="false" outlineLevel="0" collapsed="false">
      <c r="A5079" s="0" t="n">
        <v>6</v>
      </c>
      <c r="B5079" s="0" t="n">
        <v>8</v>
      </c>
      <c r="C5079" s="0" t="n">
        <v>5</v>
      </c>
      <c r="D5079" s="0" t="n">
        <v>7</v>
      </c>
      <c r="E5079" s="0" t="n">
        <f aca="false">-1+A5079*0.25</f>
        <v>0.5</v>
      </c>
      <c r="F5079" s="0" t="n">
        <f aca="false">-1+B5079*0.25</f>
        <v>1</v>
      </c>
      <c r="G5079" s="0" t="n">
        <f aca="false">-1+C5079*0.25</f>
        <v>0.25</v>
      </c>
      <c r="H5079" s="0" t="n">
        <f aca="false">-1+D5079*0.25</f>
        <v>0.75</v>
      </c>
      <c r="I5079" s="0" t="n">
        <f aca="false">1</f>
        <v>1</v>
      </c>
      <c r="J5079" s="0" t="n">
        <f aca="false">E5079</f>
        <v>0.5</v>
      </c>
      <c r="K5079" s="0" t="n">
        <f aca="false">F5079</f>
        <v>1</v>
      </c>
      <c r="L5079" s="0" t="n">
        <f aca="false">G5079</f>
        <v>0.25</v>
      </c>
      <c r="M5079" s="0" t="n">
        <f aca="false">H5079</f>
        <v>0.75</v>
      </c>
      <c r="N5079" s="0" t="n">
        <f aca="false">E5079*F5079</f>
        <v>0.5</v>
      </c>
      <c r="O5079" s="0" t="n">
        <f aca="false">E5079*G5079</f>
        <v>0.125</v>
      </c>
      <c r="P5079" s="0" t="n">
        <f aca="false">E5079*H5079</f>
        <v>0.375</v>
      </c>
      <c r="Q5079" s="0" t="n">
        <f aca="false">F5079*G5079</f>
        <v>0.25</v>
      </c>
      <c r="R5079" s="0" t="n">
        <f aca="false">F5079*H5079</f>
        <v>0.75</v>
      </c>
      <c r="S5079" s="0" t="n">
        <f aca="false">G5079*H5079</f>
        <v>0.1875</v>
      </c>
      <c r="T5079" s="0" t="n">
        <f aca="false">E5079*E5079</f>
        <v>0.25</v>
      </c>
      <c r="U5079" s="0" t="n">
        <f aca="false">F5079*F5079</f>
        <v>1</v>
      </c>
      <c r="V5079" s="0" t="n">
        <f aca="false">G5079*G5079</f>
        <v>0.0625</v>
      </c>
      <c r="W5079" s="0" t="n">
        <f aca="false">H5079*H5079</f>
        <v>0.5625</v>
      </c>
      <c r="X5079" s="0" t="n">
        <f aca="false">SUMPRODUCT(I5079:W5079,_XtX!$B$96:$P$96)</f>
        <v>48.5700429459064</v>
      </c>
      <c r="Y5079" s="0" t="n">
        <f aca="false">SUMPRODUCT(MMULT(I5079:W5079,_XtX!$B$78:$P$92),I5079:W5079)</f>
        <v>0.459125719572369</v>
      </c>
      <c r="Z5079" s="0" t="n">
        <f aca="false">04_回帰ANOVA!$K$19*04_回帰ANOVA!$K$14*SQRT(1+Y5079)</f>
        <v>1.57450755575573</v>
      </c>
      <c r="AA5079" s="0" t="n">
        <f aca="false">X5079-Z5079</f>
        <v>46.9955353901507</v>
      </c>
      <c r="AB5079" s="0" t="n">
        <f aca="false">X5079+Z5079</f>
        <v>50.1445505016621</v>
      </c>
      <c r="AC5079" s="54" t="b">
        <f aca="false">AND(E5079&gt;=01_因子設定!$L$5-0.000000001,E5079&lt;=01_因子設定!$M$5+0.000000001,F5079&gt;=01_因子設定!$L$6-0.000000001,F5079&lt;=01_因子設定!$M$6+0.000000001,G5079&gt;=01_因子設定!$L$7-0.000000001,G5079&lt;=01_因子設定!$M$7+0.000000001,H5079&gt;=01_因子設定!$L$8-0.000000001,H5079&lt;=01_因子設定!$M$8+0.000000001,IF(01_因子設定!$B$20="Box-Behnken",E5079^2+F5079^2+G5079^2+H5079^2&lt;=2+0.000000001,TRUE()))</f>
        <v>1</v>
      </c>
      <c r="AD5079" s="55" t="n">
        <f aca="false">IF(AC5079,IF(01_因子設定!$B$13="最大化",AA5079-01_因子設定!$B$14,IF(01_因子設定!$B$13="最小化",01_因子設定!$B$15-AB5079,MIN(AA5079-01_因子設定!$B$14,01_因子設定!$B$15-AB5079))),-1E+030)</f>
        <v>0.495535390150678</v>
      </c>
      <c r="AE5079" s="55" t="n">
        <f aca="false">IF(AC5079,IF(01_因子設定!$B$13="最大化",X5079,IF(01_因子設定!$B$13="最小化",-X5079,-ABS(X5079-01_因子設定!$B$16))),-1E+030)</f>
        <v>48.5700429459064</v>
      </c>
      <c r="AF5079" s="55" t="n">
        <f aca="false">AD5079+ROW()*0.000000001</f>
        <v>0.495540469150678</v>
      </c>
      <c r="AG5079" s="55" t="n">
        <f aca="false">AE5079+ROW()*0.000000001</f>
        <v>48.5700480249064</v>
      </c>
    </row>
    <row r="5080" customFormat="false" ht="15" hidden="false" customHeight="false" outlineLevel="0" collapsed="false">
      <c r="A5080" s="0" t="n">
        <v>6</v>
      </c>
      <c r="B5080" s="0" t="n">
        <v>8</v>
      </c>
      <c r="C5080" s="0" t="n">
        <v>5</v>
      </c>
      <c r="D5080" s="0" t="n">
        <v>8</v>
      </c>
      <c r="E5080" s="0" t="n">
        <f aca="false">-1+A5080*0.25</f>
        <v>0.5</v>
      </c>
      <c r="F5080" s="0" t="n">
        <f aca="false">-1+B5080*0.25</f>
        <v>1</v>
      </c>
      <c r="G5080" s="0" t="n">
        <f aca="false">-1+C5080*0.25</f>
        <v>0.25</v>
      </c>
      <c r="H5080" s="0" t="n">
        <f aca="false">-1+D5080*0.25</f>
        <v>1</v>
      </c>
      <c r="I5080" s="0" t="n">
        <f aca="false">1</f>
        <v>1</v>
      </c>
      <c r="J5080" s="0" t="n">
        <f aca="false">E5080</f>
        <v>0.5</v>
      </c>
      <c r="K5080" s="0" t="n">
        <f aca="false">F5080</f>
        <v>1</v>
      </c>
      <c r="L5080" s="0" t="n">
        <f aca="false">G5080</f>
        <v>0.25</v>
      </c>
      <c r="M5080" s="0" t="n">
        <f aca="false">H5080</f>
        <v>1</v>
      </c>
      <c r="N5080" s="0" t="n">
        <f aca="false">E5080*F5080</f>
        <v>0.5</v>
      </c>
      <c r="O5080" s="0" t="n">
        <f aca="false">E5080*G5080</f>
        <v>0.125</v>
      </c>
      <c r="P5080" s="0" t="n">
        <f aca="false">E5080*H5080</f>
        <v>0.5</v>
      </c>
      <c r="Q5080" s="0" t="n">
        <f aca="false">F5080*G5080</f>
        <v>0.25</v>
      </c>
      <c r="R5080" s="0" t="n">
        <f aca="false">F5080*H5080</f>
        <v>1</v>
      </c>
      <c r="S5080" s="0" t="n">
        <f aca="false">G5080*H5080</f>
        <v>0.25</v>
      </c>
      <c r="T5080" s="0" t="n">
        <f aca="false">E5080*E5080</f>
        <v>0.25</v>
      </c>
      <c r="U5080" s="0" t="n">
        <f aca="false">F5080*F5080</f>
        <v>1</v>
      </c>
      <c r="V5080" s="0" t="n">
        <f aca="false">G5080*G5080</f>
        <v>0.0625</v>
      </c>
      <c r="W5080" s="0" t="n">
        <f aca="false">H5080*H5080</f>
        <v>1</v>
      </c>
      <c r="X5080" s="0" t="n">
        <f aca="false">SUMPRODUCT(I5080:W5080,_XtX!$B$96:$P$96)</f>
        <v>48.4845760233918</v>
      </c>
      <c r="Y5080" s="0" t="n">
        <f aca="false">SUMPRODUCT(MMULT(I5080:W5080,_XtX!$B$78:$P$92),I5080:W5080)</f>
        <v>0.629174661915205</v>
      </c>
      <c r="Z5080" s="0" t="n">
        <f aca="false">04_回帰ANOVA!$K$19*04_回帰ANOVA!$K$14*SQRT(1+Y5080)</f>
        <v>1.66372758058297</v>
      </c>
      <c r="AA5080" s="0" t="n">
        <f aca="false">X5080-Z5080</f>
        <v>46.8208484428088</v>
      </c>
      <c r="AB5080" s="0" t="n">
        <f aca="false">X5080+Z5080</f>
        <v>50.1483036039748</v>
      </c>
      <c r="AC5080" s="54" t="b">
        <f aca="false">AND(E5080&gt;=01_因子設定!$L$5-0.000000001,E5080&lt;=01_因子設定!$M$5+0.000000001,F5080&gt;=01_因子設定!$L$6-0.000000001,F5080&lt;=01_因子設定!$M$6+0.000000001,G5080&gt;=01_因子設定!$L$7-0.000000001,G5080&lt;=01_因子設定!$M$7+0.000000001,H5080&gt;=01_因子設定!$L$8-0.000000001,H5080&lt;=01_因子設定!$M$8+0.000000001,IF(01_因子設定!$B$20="Box-Behnken",E5080^2+F5080^2+G5080^2+H5080^2&lt;=2+0.000000001,TRUE()))</f>
        <v>1</v>
      </c>
      <c r="AD5080" s="55" t="n">
        <f aca="false">IF(AC5080,IF(01_因子設定!$B$13="最大化",AA5080-01_因子設定!$B$14,IF(01_因子設定!$B$13="最小化",01_因子設定!$B$15-AB5080,MIN(AA5080-01_因子設定!$B$14,01_因子設定!$B$15-AB5080))),-1E+030)</f>
        <v>0.320848442808831</v>
      </c>
      <c r="AE5080" s="55" t="n">
        <f aca="false">IF(AC5080,IF(01_因子設定!$B$13="最大化",X5080,IF(01_因子設定!$B$13="最小化",-X5080,-ABS(X5080-01_因子設定!$B$16))),-1E+030)</f>
        <v>48.4845760233918</v>
      </c>
      <c r="AF5080" s="55" t="n">
        <f aca="false">AD5080+ROW()*0.000000001</f>
        <v>0.320853522808831</v>
      </c>
      <c r="AG5080" s="55" t="n">
        <f aca="false">AE5080+ROW()*0.000000001</f>
        <v>48.4845811033918</v>
      </c>
    </row>
    <row r="5081" customFormat="false" ht="15" hidden="false" customHeight="false" outlineLevel="0" collapsed="false">
      <c r="A5081" s="0" t="n">
        <v>6</v>
      </c>
      <c r="B5081" s="0" t="n">
        <v>8</v>
      </c>
      <c r="C5081" s="0" t="n">
        <v>6</v>
      </c>
      <c r="D5081" s="0" t="n">
        <v>0</v>
      </c>
      <c r="E5081" s="0" t="n">
        <f aca="false">-1+A5081*0.25</f>
        <v>0.5</v>
      </c>
      <c r="F5081" s="0" t="n">
        <f aca="false">-1+B5081*0.25</f>
        <v>1</v>
      </c>
      <c r="G5081" s="0" t="n">
        <f aca="false">-1+C5081*0.25</f>
        <v>0.5</v>
      </c>
      <c r="H5081" s="0" t="n">
        <f aca="false">-1+D5081*0.25</f>
        <v>-1</v>
      </c>
      <c r="I5081" s="0" t="n">
        <f aca="false">1</f>
        <v>1</v>
      </c>
      <c r="J5081" s="0" t="n">
        <f aca="false">E5081</f>
        <v>0.5</v>
      </c>
      <c r="K5081" s="0" t="n">
        <f aca="false">F5081</f>
        <v>1</v>
      </c>
      <c r="L5081" s="0" t="n">
        <f aca="false">G5081</f>
        <v>0.5</v>
      </c>
      <c r="M5081" s="0" t="n">
        <f aca="false">H5081</f>
        <v>-1</v>
      </c>
      <c r="N5081" s="0" t="n">
        <f aca="false">E5081*F5081</f>
        <v>0.5</v>
      </c>
      <c r="O5081" s="0" t="n">
        <f aca="false">E5081*G5081</f>
        <v>0.25</v>
      </c>
      <c r="P5081" s="0" t="n">
        <f aca="false">E5081*H5081</f>
        <v>-0.5</v>
      </c>
      <c r="Q5081" s="0" t="n">
        <f aca="false">F5081*G5081</f>
        <v>0.5</v>
      </c>
      <c r="R5081" s="0" t="n">
        <f aca="false">F5081*H5081</f>
        <v>-1</v>
      </c>
      <c r="S5081" s="0" t="n">
        <f aca="false">G5081*H5081</f>
        <v>-0.5</v>
      </c>
      <c r="T5081" s="0" t="n">
        <f aca="false">E5081*E5081</f>
        <v>0.25</v>
      </c>
      <c r="U5081" s="0" t="n">
        <f aca="false">F5081*F5081</f>
        <v>1</v>
      </c>
      <c r="V5081" s="0" t="n">
        <f aca="false">G5081*G5081</f>
        <v>0.25</v>
      </c>
      <c r="W5081" s="0" t="n">
        <f aca="false">H5081*H5081</f>
        <v>1</v>
      </c>
      <c r="X5081" s="0" t="n">
        <f aca="false">SUMPRODUCT(I5081:W5081,_XtX!$B$96:$P$96)</f>
        <v>47.8725877192982</v>
      </c>
      <c r="Y5081" s="0" t="n">
        <f aca="false">SUMPRODUCT(MMULT(I5081:W5081,_XtX!$B$78:$P$92),I5081:W5081)</f>
        <v>0.582488121345029</v>
      </c>
      <c r="Z5081" s="0" t="n">
        <f aca="false">04_回帰ANOVA!$K$19*04_回帰ANOVA!$K$14*SQRT(1+Y5081)</f>
        <v>1.63971595338287</v>
      </c>
      <c r="AA5081" s="0" t="n">
        <f aca="false">X5081-Z5081</f>
        <v>46.2328717659154</v>
      </c>
      <c r="AB5081" s="0" t="n">
        <f aca="false">X5081+Z5081</f>
        <v>49.5123036726811</v>
      </c>
      <c r="AC5081" s="54" t="b">
        <f aca="false">AND(E5081&gt;=01_因子設定!$L$5-0.000000001,E5081&lt;=01_因子設定!$M$5+0.000000001,F5081&gt;=01_因子設定!$L$6-0.000000001,F5081&lt;=01_因子設定!$M$6+0.000000001,G5081&gt;=01_因子設定!$L$7-0.000000001,G5081&lt;=01_因子設定!$M$7+0.000000001,H5081&gt;=01_因子設定!$L$8-0.000000001,H5081&lt;=01_因子設定!$M$8+0.000000001,IF(01_因子設定!$B$20="Box-Behnken",E5081^2+F5081^2+G5081^2+H5081^2&lt;=2+0.000000001,TRUE()))</f>
        <v>1</v>
      </c>
      <c r="AD5081" s="55" t="n">
        <f aca="false">IF(AC5081,IF(01_因子設定!$B$13="最大化",AA5081-01_因子設定!$B$14,IF(01_因子設定!$B$13="最小化",01_因子設定!$B$15-AB5081,MIN(AA5081-01_因子設定!$B$14,01_因子設定!$B$15-AB5081))),-1E+030)</f>
        <v>-0.26712823408463</v>
      </c>
      <c r="AE5081" s="55" t="n">
        <f aca="false">IF(AC5081,IF(01_因子設定!$B$13="最大化",X5081,IF(01_因子設定!$B$13="最小化",-X5081,-ABS(X5081-01_因子設定!$B$16))),-1E+030)</f>
        <v>47.8725877192982</v>
      </c>
      <c r="AF5081" s="55" t="n">
        <f aca="false">AD5081+ROW()*0.000000001</f>
        <v>-0.26712315308463</v>
      </c>
      <c r="AG5081" s="55" t="n">
        <f aca="false">AE5081+ROW()*0.000000001</f>
        <v>47.8725928002982</v>
      </c>
    </row>
    <row r="5082" customFormat="false" ht="15" hidden="false" customHeight="false" outlineLevel="0" collapsed="false">
      <c r="A5082" s="0" t="n">
        <v>6</v>
      </c>
      <c r="B5082" s="0" t="n">
        <v>8</v>
      </c>
      <c r="C5082" s="0" t="n">
        <v>6</v>
      </c>
      <c r="D5082" s="0" t="n">
        <v>1</v>
      </c>
      <c r="E5082" s="0" t="n">
        <f aca="false">-1+A5082*0.25</f>
        <v>0.5</v>
      </c>
      <c r="F5082" s="0" t="n">
        <f aca="false">-1+B5082*0.25</f>
        <v>1</v>
      </c>
      <c r="G5082" s="0" t="n">
        <f aca="false">-1+C5082*0.25</f>
        <v>0.5</v>
      </c>
      <c r="H5082" s="0" t="n">
        <f aca="false">-1+D5082*0.25</f>
        <v>-0.75</v>
      </c>
      <c r="I5082" s="0" t="n">
        <f aca="false">1</f>
        <v>1</v>
      </c>
      <c r="J5082" s="0" t="n">
        <f aca="false">E5082</f>
        <v>0.5</v>
      </c>
      <c r="K5082" s="0" t="n">
        <f aca="false">F5082</f>
        <v>1</v>
      </c>
      <c r="L5082" s="0" t="n">
        <f aca="false">G5082</f>
        <v>0.5</v>
      </c>
      <c r="M5082" s="0" t="n">
        <f aca="false">H5082</f>
        <v>-0.75</v>
      </c>
      <c r="N5082" s="0" t="n">
        <f aca="false">E5082*F5082</f>
        <v>0.5</v>
      </c>
      <c r="O5082" s="0" t="n">
        <f aca="false">E5082*G5082</f>
        <v>0.25</v>
      </c>
      <c r="P5082" s="0" t="n">
        <f aca="false">E5082*H5082</f>
        <v>-0.375</v>
      </c>
      <c r="Q5082" s="0" t="n">
        <f aca="false">F5082*G5082</f>
        <v>0.5</v>
      </c>
      <c r="R5082" s="0" t="n">
        <f aca="false">F5082*H5082</f>
        <v>-0.75</v>
      </c>
      <c r="S5082" s="0" t="n">
        <f aca="false">G5082*H5082</f>
        <v>-0.375</v>
      </c>
      <c r="T5082" s="0" t="n">
        <f aca="false">E5082*E5082</f>
        <v>0.25</v>
      </c>
      <c r="U5082" s="0" t="n">
        <f aca="false">F5082*F5082</f>
        <v>1</v>
      </c>
      <c r="V5082" s="0" t="n">
        <f aca="false">G5082*G5082</f>
        <v>0.25</v>
      </c>
      <c r="W5082" s="0" t="n">
        <f aca="false">H5082*H5082</f>
        <v>0.5625</v>
      </c>
      <c r="X5082" s="0" t="n">
        <f aca="false">SUMPRODUCT(I5082:W5082,_XtX!$B$96:$P$96)</f>
        <v>48.1397386695906</v>
      </c>
      <c r="Y5082" s="0" t="n">
        <f aca="false">SUMPRODUCT(MMULT(I5082:W5082,_XtX!$B$78:$P$92),I5082:W5082)</f>
        <v>0.42602110745614</v>
      </c>
      <c r="Z5082" s="0" t="n">
        <f aca="false">04_回帰ANOVA!$K$19*04_回帰ANOVA!$K$14*SQRT(1+Y5082)</f>
        <v>1.55654388501114</v>
      </c>
      <c r="AA5082" s="0" t="n">
        <f aca="false">X5082-Z5082</f>
        <v>46.5831947845795</v>
      </c>
      <c r="AB5082" s="0" t="n">
        <f aca="false">X5082+Z5082</f>
        <v>49.6962825546018</v>
      </c>
      <c r="AC5082" s="54" t="b">
        <f aca="false">AND(E5082&gt;=01_因子設定!$L$5-0.000000001,E5082&lt;=01_因子設定!$M$5+0.000000001,F5082&gt;=01_因子設定!$L$6-0.000000001,F5082&lt;=01_因子設定!$M$6+0.000000001,G5082&gt;=01_因子設定!$L$7-0.000000001,G5082&lt;=01_因子設定!$M$7+0.000000001,H5082&gt;=01_因子設定!$L$8-0.000000001,H5082&lt;=01_因子設定!$M$8+0.000000001,IF(01_因子設定!$B$20="Box-Behnken",E5082^2+F5082^2+G5082^2+H5082^2&lt;=2+0.000000001,TRUE()))</f>
        <v>1</v>
      </c>
      <c r="AD5082" s="55" t="n">
        <f aca="false">IF(AC5082,IF(01_因子設定!$B$13="最大化",AA5082-01_因子設定!$B$14,IF(01_因子設定!$B$13="最小化",01_因子設定!$B$15-AB5082,MIN(AA5082-01_因子設定!$B$14,01_因子設定!$B$15-AB5082))),-1E+030)</f>
        <v>0.0831947845794829</v>
      </c>
      <c r="AE5082" s="55" t="n">
        <f aca="false">IF(AC5082,IF(01_因子設定!$B$13="最大化",X5082,IF(01_因子設定!$B$13="最小化",-X5082,-ABS(X5082-01_因子設定!$B$16))),-1E+030)</f>
        <v>48.1397386695906</v>
      </c>
      <c r="AF5082" s="55" t="n">
        <f aca="false">AD5082+ROW()*0.000000001</f>
        <v>0.0831998665794829</v>
      </c>
      <c r="AG5082" s="55" t="n">
        <f aca="false">AE5082+ROW()*0.000000001</f>
        <v>48.1397437515906</v>
      </c>
    </row>
    <row r="5083" customFormat="false" ht="15" hidden="false" customHeight="false" outlineLevel="0" collapsed="false">
      <c r="A5083" s="0" t="n">
        <v>6</v>
      </c>
      <c r="B5083" s="0" t="n">
        <v>8</v>
      </c>
      <c r="C5083" s="0" t="n">
        <v>6</v>
      </c>
      <c r="D5083" s="0" t="n">
        <v>2</v>
      </c>
      <c r="E5083" s="0" t="n">
        <f aca="false">-1+A5083*0.25</f>
        <v>0.5</v>
      </c>
      <c r="F5083" s="0" t="n">
        <f aca="false">-1+B5083*0.25</f>
        <v>1</v>
      </c>
      <c r="G5083" s="0" t="n">
        <f aca="false">-1+C5083*0.25</f>
        <v>0.5</v>
      </c>
      <c r="H5083" s="0" t="n">
        <f aca="false">-1+D5083*0.25</f>
        <v>-0.5</v>
      </c>
      <c r="I5083" s="0" t="n">
        <f aca="false">1</f>
        <v>1</v>
      </c>
      <c r="J5083" s="0" t="n">
        <f aca="false">E5083</f>
        <v>0.5</v>
      </c>
      <c r="K5083" s="0" t="n">
        <f aca="false">F5083</f>
        <v>1</v>
      </c>
      <c r="L5083" s="0" t="n">
        <f aca="false">G5083</f>
        <v>0.5</v>
      </c>
      <c r="M5083" s="0" t="n">
        <f aca="false">H5083</f>
        <v>-0.5</v>
      </c>
      <c r="N5083" s="0" t="n">
        <f aca="false">E5083*F5083</f>
        <v>0.5</v>
      </c>
      <c r="O5083" s="0" t="n">
        <f aca="false">E5083*G5083</f>
        <v>0.25</v>
      </c>
      <c r="P5083" s="0" t="n">
        <f aca="false">E5083*H5083</f>
        <v>-0.25</v>
      </c>
      <c r="Q5083" s="0" t="n">
        <f aca="false">F5083*G5083</f>
        <v>0.5</v>
      </c>
      <c r="R5083" s="0" t="n">
        <f aca="false">F5083*H5083</f>
        <v>-0.5</v>
      </c>
      <c r="S5083" s="0" t="n">
        <f aca="false">G5083*H5083</f>
        <v>-0.25</v>
      </c>
      <c r="T5083" s="0" t="n">
        <f aca="false">E5083*E5083</f>
        <v>0.25</v>
      </c>
      <c r="U5083" s="0" t="n">
        <f aca="false">F5083*F5083</f>
        <v>1</v>
      </c>
      <c r="V5083" s="0" t="n">
        <f aca="false">G5083*G5083</f>
        <v>0.25</v>
      </c>
      <c r="W5083" s="0" t="n">
        <f aca="false">H5083*H5083</f>
        <v>0.25</v>
      </c>
      <c r="X5083" s="0" t="n">
        <f aca="false">SUMPRODUCT(I5083:W5083,_XtX!$B$96:$P$96)</f>
        <v>48.3590826023392</v>
      </c>
      <c r="Y5083" s="0" t="n">
        <f aca="false">SUMPRODUCT(MMULT(I5083:W5083,_XtX!$B$78:$P$92),I5083:W5083)</f>
        <v>0.404719480994152</v>
      </c>
      <c r="Z5083" s="0" t="n">
        <f aca="false">04_回帰ANOVA!$K$19*04_回帰ANOVA!$K$14*SQRT(1+Y5083)</f>
        <v>1.54487446697867</v>
      </c>
      <c r="AA5083" s="0" t="n">
        <f aca="false">X5083-Z5083</f>
        <v>46.8142081353605</v>
      </c>
      <c r="AB5083" s="0" t="n">
        <f aca="false">X5083+Z5083</f>
        <v>49.9039570693178</v>
      </c>
      <c r="AC5083" s="54" t="b">
        <f aca="false">AND(E5083&gt;=01_因子設定!$L$5-0.000000001,E5083&lt;=01_因子設定!$M$5+0.000000001,F5083&gt;=01_因子設定!$L$6-0.000000001,F5083&lt;=01_因子設定!$M$6+0.000000001,G5083&gt;=01_因子設定!$L$7-0.000000001,G5083&lt;=01_因子設定!$M$7+0.000000001,H5083&gt;=01_因子設定!$L$8-0.000000001,H5083&lt;=01_因子設定!$M$8+0.000000001,IF(01_因子設定!$B$20="Box-Behnken",E5083^2+F5083^2+G5083^2+H5083^2&lt;=2+0.000000001,TRUE()))</f>
        <v>1</v>
      </c>
      <c r="AD5083" s="55" t="n">
        <f aca="false">IF(AC5083,IF(01_因子設定!$B$13="最大化",AA5083-01_因子設定!$B$14,IF(01_因子設定!$B$13="最小化",01_因子設定!$B$15-AB5083,MIN(AA5083-01_因子設定!$B$14,01_因子設定!$B$15-AB5083))),-1E+030)</f>
        <v>0.314208135360474</v>
      </c>
      <c r="AE5083" s="55" t="n">
        <f aca="false">IF(AC5083,IF(01_因子設定!$B$13="最大化",X5083,IF(01_因子設定!$B$13="最小化",-X5083,-ABS(X5083-01_因子設定!$B$16))),-1E+030)</f>
        <v>48.3590826023392</v>
      </c>
      <c r="AF5083" s="55" t="n">
        <f aca="false">AD5083+ROW()*0.000000001</f>
        <v>0.314213218360474</v>
      </c>
      <c r="AG5083" s="55" t="n">
        <f aca="false">AE5083+ROW()*0.000000001</f>
        <v>48.3590876853392</v>
      </c>
    </row>
    <row r="5084" customFormat="false" ht="15" hidden="false" customHeight="false" outlineLevel="0" collapsed="false">
      <c r="A5084" s="0" t="n">
        <v>6</v>
      </c>
      <c r="B5084" s="0" t="n">
        <v>8</v>
      </c>
      <c r="C5084" s="0" t="n">
        <v>6</v>
      </c>
      <c r="D5084" s="0" t="n">
        <v>3</v>
      </c>
      <c r="E5084" s="0" t="n">
        <f aca="false">-1+A5084*0.25</f>
        <v>0.5</v>
      </c>
      <c r="F5084" s="0" t="n">
        <f aca="false">-1+B5084*0.25</f>
        <v>1</v>
      </c>
      <c r="G5084" s="0" t="n">
        <f aca="false">-1+C5084*0.25</f>
        <v>0.5</v>
      </c>
      <c r="H5084" s="0" t="n">
        <f aca="false">-1+D5084*0.25</f>
        <v>-0.25</v>
      </c>
      <c r="I5084" s="0" t="n">
        <f aca="false">1</f>
        <v>1</v>
      </c>
      <c r="J5084" s="0" t="n">
        <f aca="false">E5084</f>
        <v>0.5</v>
      </c>
      <c r="K5084" s="0" t="n">
        <f aca="false">F5084</f>
        <v>1</v>
      </c>
      <c r="L5084" s="0" t="n">
        <f aca="false">G5084</f>
        <v>0.5</v>
      </c>
      <c r="M5084" s="0" t="n">
        <f aca="false">H5084</f>
        <v>-0.25</v>
      </c>
      <c r="N5084" s="0" t="n">
        <f aca="false">E5084*F5084</f>
        <v>0.5</v>
      </c>
      <c r="O5084" s="0" t="n">
        <f aca="false">E5084*G5084</f>
        <v>0.25</v>
      </c>
      <c r="P5084" s="0" t="n">
        <f aca="false">E5084*H5084</f>
        <v>-0.125</v>
      </c>
      <c r="Q5084" s="0" t="n">
        <f aca="false">F5084*G5084</f>
        <v>0.5</v>
      </c>
      <c r="R5084" s="0" t="n">
        <f aca="false">F5084*H5084</f>
        <v>-0.25</v>
      </c>
      <c r="S5084" s="0" t="n">
        <f aca="false">G5084*H5084</f>
        <v>-0.125</v>
      </c>
      <c r="T5084" s="0" t="n">
        <f aca="false">E5084*E5084</f>
        <v>0.25</v>
      </c>
      <c r="U5084" s="0" t="n">
        <f aca="false">F5084*F5084</f>
        <v>1</v>
      </c>
      <c r="V5084" s="0" t="n">
        <f aca="false">G5084*G5084</f>
        <v>0.25</v>
      </c>
      <c r="W5084" s="0" t="n">
        <f aca="false">H5084*H5084</f>
        <v>0.0625</v>
      </c>
      <c r="X5084" s="0" t="n">
        <f aca="false">SUMPRODUCT(I5084:W5084,_XtX!$B$96:$P$96)</f>
        <v>48.5306195175438</v>
      </c>
      <c r="Y5084" s="0" t="n">
        <f aca="false">SUMPRODUCT(MMULT(I5084:W5084,_XtX!$B$78:$P$92),I5084:W5084)</f>
        <v>0.428122715643275</v>
      </c>
      <c r="Z5084" s="0" t="n">
        <f aca="false">04_回帰ANOVA!$K$19*04_回帰ANOVA!$K$14*SQRT(1+Y5084)</f>
        <v>1.55769044623229</v>
      </c>
      <c r="AA5084" s="0" t="n">
        <f aca="false">X5084-Z5084</f>
        <v>46.9729290713115</v>
      </c>
      <c r="AB5084" s="0" t="n">
        <f aca="false">X5084+Z5084</f>
        <v>50.0883099637761</v>
      </c>
      <c r="AC5084" s="54" t="b">
        <f aca="false">AND(E5084&gt;=01_因子設定!$L$5-0.000000001,E5084&lt;=01_因子設定!$M$5+0.000000001,F5084&gt;=01_因子設定!$L$6-0.000000001,F5084&lt;=01_因子設定!$M$6+0.000000001,G5084&gt;=01_因子設定!$L$7-0.000000001,G5084&lt;=01_因子設定!$M$7+0.000000001,H5084&gt;=01_因子設定!$L$8-0.000000001,H5084&lt;=01_因子設定!$M$8+0.000000001,IF(01_因子設定!$B$20="Box-Behnken",E5084^2+F5084^2+G5084^2+H5084^2&lt;=2+0.000000001,TRUE()))</f>
        <v>1</v>
      </c>
      <c r="AD5084" s="55" t="n">
        <f aca="false">IF(AC5084,IF(01_因子設定!$B$13="最大化",AA5084-01_因子設定!$B$14,IF(01_因子設定!$B$13="最小化",01_因子設定!$B$15-AB5084,MIN(AA5084-01_因子設定!$B$14,01_因子設定!$B$15-AB5084))),-1E+030)</f>
        <v>0.472929071311526</v>
      </c>
      <c r="AE5084" s="55" t="n">
        <f aca="false">IF(AC5084,IF(01_因子設定!$B$13="最大化",X5084,IF(01_因子設定!$B$13="最小化",-X5084,-ABS(X5084-01_因子設定!$B$16))),-1E+030)</f>
        <v>48.5306195175438</v>
      </c>
      <c r="AF5084" s="55" t="n">
        <f aca="false">AD5084+ROW()*0.000000001</f>
        <v>0.472934155311526</v>
      </c>
      <c r="AG5084" s="55" t="n">
        <f aca="false">AE5084+ROW()*0.000000001</f>
        <v>48.5306246015438</v>
      </c>
    </row>
    <row r="5085" customFormat="false" ht="15" hidden="false" customHeight="false" outlineLevel="0" collapsed="false">
      <c r="A5085" s="0" t="n">
        <v>6</v>
      </c>
      <c r="B5085" s="0" t="n">
        <v>8</v>
      </c>
      <c r="C5085" s="0" t="n">
        <v>6</v>
      </c>
      <c r="D5085" s="0" t="n">
        <v>4</v>
      </c>
      <c r="E5085" s="0" t="n">
        <f aca="false">-1+A5085*0.25</f>
        <v>0.5</v>
      </c>
      <c r="F5085" s="0" t="n">
        <f aca="false">-1+B5085*0.25</f>
        <v>1</v>
      </c>
      <c r="G5085" s="0" t="n">
        <f aca="false">-1+C5085*0.25</f>
        <v>0.5</v>
      </c>
      <c r="H5085" s="0" t="n">
        <f aca="false">-1+D5085*0.25</f>
        <v>0</v>
      </c>
      <c r="I5085" s="0" t="n">
        <f aca="false">1</f>
        <v>1</v>
      </c>
      <c r="J5085" s="0" t="n">
        <f aca="false">E5085</f>
        <v>0.5</v>
      </c>
      <c r="K5085" s="0" t="n">
        <f aca="false">F5085</f>
        <v>1</v>
      </c>
      <c r="L5085" s="0" t="n">
        <f aca="false">G5085</f>
        <v>0.5</v>
      </c>
      <c r="M5085" s="0" t="n">
        <f aca="false">H5085</f>
        <v>0</v>
      </c>
      <c r="N5085" s="0" t="n">
        <f aca="false">E5085*F5085</f>
        <v>0.5</v>
      </c>
      <c r="O5085" s="0" t="n">
        <f aca="false">E5085*G5085</f>
        <v>0.25</v>
      </c>
      <c r="P5085" s="0" t="n">
        <f aca="false">E5085*H5085</f>
        <v>0</v>
      </c>
      <c r="Q5085" s="0" t="n">
        <f aca="false">F5085*G5085</f>
        <v>0.5</v>
      </c>
      <c r="R5085" s="0" t="n">
        <f aca="false">F5085*H5085</f>
        <v>0</v>
      </c>
      <c r="S5085" s="0" t="n">
        <f aca="false">G5085*H5085</f>
        <v>0</v>
      </c>
      <c r="T5085" s="0" t="n">
        <f aca="false">E5085*E5085</f>
        <v>0.25</v>
      </c>
      <c r="U5085" s="0" t="n">
        <f aca="false">F5085*F5085</f>
        <v>1</v>
      </c>
      <c r="V5085" s="0" t="n">
        <f aca="false">G5085*G5085</f>
        <v>0.25</v>
      </c>
      <c r="W5085" s="0" t="n">
        <f aca="false">H5085*H5085</f>
        <v>0</v>
      </c>
      <c r="X5085" s="0" t="n">
        <f aca="false">SUMPRODUCT(I5085:W5085,_XtX!$B$96:$P$96)</f>
        <v>48.6543494152046</v>
      </c>
      <c r="Y5085" s="0" t="n">
        <f aca="false">SUMPRODUCT(MMULT(I5085:W5085,_XtX!$B$78:$P$92),I5085:W5085)</f>
        <v>0.441954495614035</v>
      </c>
      <c r="Z5085" s="0" t="n">
        <f aca="false">04_回帰ANOVA!$K$19*04_回帰ANOVA!$K$14*SQRT(1+Y5085)</f>
        <v>1.56521560968066</v>
      </c>
      <c r="AA5085" s="0" t="n">
        <f aca="false">X5085-Z5085</f>
        <v>47.089133805524</v>
      </c>
      <c r="AB5085" s="0" t="n">
        <f aca="false">X5085+Z5085</f>
        <v>50.2195650248853</v>
      </c>
      <c r="AC5085" s="54" t="b">
        <f aca="false">AND(E5085&gt;=01_因子設定!$L$5-0.000000001,E5085&lt;=01_因子設定!$M$5+0.000000001,F5085&gt;=01_因子設定!$L$6-0.000000001,F5085&lt;=01_因子設定!$M$6+0.000000001,G5085&gt;=01_因子設定!$L$7-0.000000001,G5085&lt;=01_因子設定!$M$7+0.000000001,H5085&gt;=01_因子設定!$L$8-0.000000001,H5085&lt;=01_因子設定!$M$8+0.000000001,IF(01_因子設定!$B$20="Box-Behnken",E5085^2+F5085^2+G5085^2+H5085^2&lt;=2+0.000000001,TRUE()))</f>
        <v>1</v>
      </c>
      <c r="AD5085" s="55" t="n">
        <f aca="false">IF(AC5085,IF(01_因子設定!$B$13="最大化",AA5085-01_因子設定!$B$14,IF(01_因子設定!$B$13="最小化",01_因子設定!$B$15-AB5085,MIN(AA5085-01_因子設定!$B$14,01_因子設定!$B$15-AB5085))),-1E+030)</f>
        <v>0.589133805523971</v>
      </c>
      <c r="AE5085" s="55" t="n">
        <f aca="false">IF(AC5085,IF(01_因子設定!$B$13="最大化",X5085,IF(01_因子設定!$B$13="最小化",-X5085,-ABS(X5085-01_因子設定!$B$16))),-1E+030)</f>
        <v>48.6543494152046</v>
      </c>
      <c r="AF5085" s="55" t="n">
        <f aca="false">AD5085+ROW()*0.000000001</f>
        <v>0.589138890523971</v>
      </c>
      <c r="AG5085" s="55" t="n">
        <f aca="false">AE5085+ROW()*0.000000001</f>
        <v>48.6543545002046</v>
      </c>
    </row>
    <row r="5086" customFormat="false" ht="15" hidden="false" customHeight="false" outlineLevel="0" collapsed="false">
      <c r="A5086" s="0" t="n">
        <v>6</v>
      </c>
      <c r="B5086" s="0" t="n">
        <v>8</v>
      </c>
      <c r="C5086" s="0" t="n">
        <v>6</v>
      </c>
      <c r="D5086" s="0" t="n">
        <v>5</v>
      </c>
      <c r="E5086" s="0" t="n">
        <f aca="false">-1+A5086*0.25</f>
        <v>0.5</v>
      </c>
      <c r="F5086" s="0" t="n">
        <f aca="false">-1+B5086*0.25</f>
        <v>1</v>
      </c>
      <c r="G5086" s="0" t="n">
        <f aca="false">-1+C5086*0.25</f>
        <v>0.5</v>
      </c>
      <c r="H5086" s="0" t="n">
        <f aca="false">-1+D5086*0.25</f>
        <v>0.25</v>
      </c>
      <c r="I5086" s="0" t="n">
        <f aca="false">1</f>
        <v>1</v>
      </c>
      <c r="J5086" s="0" t="n">
        <f aca="false">E5086</f>
        <v>0.5</v>
      </c>
      <c r="K5086" s="0" t="n">
        <f aca="false">F5086</f>
        <v>1</v>
      </c>
      <c r="L5086" s="0" t="n">
        <f aca="false">G5086</f>
        <v>0.5</v>
      </c>
      <c r="M5086" s="0" t="n">
        <f aca="false">H5086</f>
        <v>0.25</v>
      </c>
      <c r="N5086" s="0" t="n">
        <f aca="false">E5086*F5086</f>
        <v>0.5</v>
      </c>
      <c r="O5086" s="0" t="n">
        <f aca="false">E5086*G5086</f>
        <v>0.25</v>
      </c>
      <c r="P5086" s="0" t="n">
        <f aca="false">E5086*H5086</f>
        <v>0.125</v>
      </c>
      <c r="Q5086" s="0" t="n">
        <f aca="false">F5086*G5086</f>
        <v>0.5</v>
      </c>
      <c r="R5086" s="0" t="n">
        <f aca="false">F5086*H5086</f>
        <v>0.25</v>
      </c>
      <c r="S5086" s="0" t="n">
        <f aca="false">G5086*H5086</f>
        <v>0.125</v>
      </c>
      <c r="T5086" s="0" t="n">
        <f aca="false">E5086*E5086</f>
        <v>0.25</v>
      </c>
      <c r="U5086" s="0" t="n">
        <f aca="false">F5086*F5086</f>
        <v>1</v>
      </c>
      <c r="V5086" s="0" t="n">
        <f aca="false">G5086*G5086</f>
        <v>0.25</v>
      </c>
      <c r="W5086" s="0" t="n">
        <f aca="false">H5086*H5086</f>
        <v>0.0625</v>
      </c>
      <c r="X5086" s="0" t="n">
        <f aca="false">SUMPRODUCT(I5086:W5086,_XtX!$B$96:$P$96)</f>
        <v>48.7302722953216</v>
      </c>
      <c r="Y5086" s="0" t="n">
        <f aca="false">SUMPRODUCT(MMULT(I5086:W5086,_XtX!$B$78:$P$92),I5086:W5086)</f>
        <v>0.428122715643275</v>
      </c>
      <c r="Z5086" s="0" t="n">
        <f aca="false">04_回帰ANOVA!$K$19*04_回帰ANOVA!$K$14*SQRT(1+Y5086)</f>
        <v>1.55769044623229</v>
      </c>
      <c r="AA5086" s="0" t="n">
        <f aca="false">X5086-Z5086</f>
        <v>47.1725818490893</v>
      </c>
      <c r="AB5086" s="0" t="n">
        <f aca="false">X5086+Z5086</f>
        <v>50.2879627415539</v>
      </c>
      <c r="AC5086" s="54" t="b">
        <f aca="false">AND(E5086&gt;=01_因子設定!$L$5-0.000000001,E5086&lt;=01_因子設定!$M$5+0.000000001,F5086&gt;=01_因子設定!$L$6-0.000000001,F5086&lt;=01_因子設定!$M$6+0.000000001,G5086&gt;=01_因子設定!$L$7-0.000000001,G5086&lt;=01_因子設定!$M$7+0.000000001,H5086&gt;=01_因子設定!$L$8-0.000000001,H5086&lt;=01_因子設定!$M$8+0.000000001,IF(01_因子設定!$B$20="Box-Behnken",E5086^2+F5086^2+G5086^2+H5086^2&lt;=2+0.000000001,TRUE()))</f>
        <v>1</v>
      </c>
      <c r="AD5086" s="55" t="n">
        <f aca="false">IF(AC5086,IF(01_因子設定!$B$13="最大化",AA5086-01_因子設定!$B$14,IF(01_因子設定!$B$13="最小化",01_因子設定!$B$15-AB5086,MIN(AA5086-01_因子設定!$B$14,01_因子設定!$B$15-AB5086))),-1E+030)</f>
        <v>0.672581849089305</v>
      </c>
      <c r="AE5086" s="55" t="n">
        <f aca="false">IF(AC5086,IF(01_因子設定!$B$13="最大化",X5086,IF(01_因子設定!$B$13="最小化",-X5086,-ABS(X5086-01_因子設定!$B$16))),-1E+030)</f>
        <v>48.7302722953216</v>
      </c>
      <c r="AF5086" s="55" t="n">
        <f aca="false">AD5086+ROW()*0.000000001</f>
        <v>0.672586935089305</v>
      </c>
      <c r="AG5086" s="55" t="n">
        <f aca="false">AE5086+ROW()*0.000000001</f>
        <v>48.7302773813216</v>
      </c>
    </row>
    <row r="5087" customFormat="false" ht="15" hidden="false" customHeight="false" outlineLevel="0" collapsed="false">
      <c r="A5087" s="0" t="n">
        <v>6</v>
      </c>
      <c r="B5087" s="0" t="n">
        <v>8</v>
      </c>
      <c r="C5087" s="0" t="n">
        <v>6</v>
      </c>
      <c r="D5087" s="0" t="n">
        <v>6</v>
      </c>
      <c r="E5087" s="0" t="n">
        <f aca="false">-1+A5087*0.25</f>
        <v>0.5</v>
      </c>
      <c r="F5087" s="0" t="n">
        <f aca="false">-1+B5087*0.25</f>
        <v>1</v>
      </c>
      <c r="G5087" s="0" t="n">
        <f aca="false">-1+C5087*0.25</f>
        <v>0.5</v>
      </c>
      <c r="H5087" s="0" t="n">
        <f aca="false">-1+D5087*0.25</f>
        <v>0.5</v>
      </c>
      <c r="I5087" s="0" t="n">
        <f aca="false">1</f>
        <v>1</v>
      </c>
      <c r="J5087" s="0" t="n">
        <f aca="false">E5087</f>
        <v>0.5</v>
      </c>
      <c r="K5087" s="0" t="n">
        <f aca="false">F5087</f>
        <v>1</v>
      </c>
      <c r="L5087" s="0" t="n">
        <f aca="false">G5087</f>
        <v>0.5</v>
      </c>
      <c r="M5087" s="0" t="n">
        <f aca="false">H5087</f>
        <v>0.5</v>
      </c>
      <c r="N5087" s="0" t="n">
        <f aca="false">E5087*F5087</f>
        <v>0.5</v>
      </c>
      <c r="O5087" s="0" t="n">
        <f aca="false">E5087*G5087</f>
        <v>0.25</v>
      </c>
      <c r="P5087" s="0" t="n">
        <f aca="false">E5087*H5087</f>
        <v>0.25</v>
      </c>
      <c r="Q5087" s="0" t="n">
        <f aca="false">F5087*G5087</f>
        <v>0.5</v>
      </c>
      <c r="R5087" s="0" t="n">
        <f aca="false">F5087*H5087</f>
        <v>0.5</v>
      </c>
      <c r="S5087" s="0" t="n">
        <f aca="false">G5087*H5087</f>
        <v>0.25</v>
      </c>
      <c r="T5087" s="0" t="n">
        <f aca="false">E5087*E5087</f>
        <v>0.25</v>
      </c>
      <c r="U5087" s="0" t="n">
        <f aca="false">F5087*F5087</f>
        <v>1</v>
      </c>
      <c r="V5087" s="0" t="n">
        <f aca="false">G5087*G5087</f>
        <v>0.25</v>
      </c>
      <c r="W5087" s="0" t="n">
        <f aca="false">H5087*H5087</f>
        <v>0.25</v>
      </c>
      <c r="X5087" s="0" t="n">
        <f aca="false">SUMPRODUCT(I5087:W5087,_XtX!$B$96:$P$96)</f>
        <v>48.7583881578947</v>
      </c>
      <c r="Y5087" s="0" t="n">
        <f aca="false">SUMPRODUCT(MMULT(I5087:W5087,_XtX!$B$78:$P$92),I5087:W5087)</f>
        <v>0.404719480994152</v>
      </c>
      <c r="Z5087" s="0" t="n">
        <f aca="false">04_回帰ANOVA!$K$19*04_回帰ANOVA!$K$14*SQRT(1+Y5087)</f>
        <v>1.54487446697867</v>
      </c>
      <c r="AA5087" s="0" t="n">
        <f aca="false">X5087-Z5087</f>
        <v>47.213513690916</v>
      </c>
      <c r="AB5087" s="0" t="n">
        <f aca="false">X5087+Z5087</f>
        <v>50.3032626248734</v>
      </c>
      <c r="AC5087" s="54" t="b">
        <f aca="false">AND(E5087&gt;=01_因子設定!$L$5-0.000000001,E5087&lt;=01_因子設定!$M$5+0.000000001,F5087&gt;=01_因子設定!$L$6-0.000000001,F5087&lt;=01_因子設定!$M$6+0.000000001,G5087&gt;=01_因子設定!$L$7-0.000000001,G5087&lt;=01_因子設定!$M$7+0.000000001,H5087&gt;=01_因子設定!$L$8-0.000000001,H5087&lt;=01_因子設定!$M$8+0.000000001,IF(01_因子設定!$B$20="Box-Behnken",E5087^2+F5087^2+G5087^2+H5087^2&lt;=2+0.000000001,TRUE()))</f>
        <v>1</v>
      </c>
      <c r="AD5087" s="55" t="n">
        <f aca="false">IF(AC5087,IF(01_因子設定!$B$13="最大化",AA5087-01_因子設定!$B$14,IF(01_因子設定!$B$13="最小化",01_因子設定!$B$15-AB5087,MIN(AA5087-01_因子設定!$B$14,01_因子設定!$B$15-AB5087))),-1E+030)</f>
        <v>0.713513690916024</v>
      </c>
      <c r="AE5087" s="55" t="n">
        <f aca="false">IF(AC5087,IF(01_因子設定!$B$13="最大化",X5087,IF(01_因子設定!$B$13="最小化",-X5087,-ABS(X5087-01_因子設定!$B$16))),-1E+030)</f>
        <v>48.7583881578947</v>
      </c>
      <c r="AF5087" s="55" t="n">
        <f aca="false">AD5087+ROW()*0.000000001</f>
        <v>0.713518777916024</v>
      </c>
      <c r="AG5087" s="55" t="n">
        <f aca="false">AE5087+ROW()*0.000000001</f>
        <v>48.7583932448947</v>
      </c>
    </row>
    <row r="5088" customFormat="false" ht="15" hidden="false" customHeight="false" outlineLevel="0" collapsed="false">
      <c r="A5088" s="0" t="n">
        <v>6</v>
      </c>
      <c r="B5088" s="0" t="n">
        <v>8</v>
      </c>
      <c r="C5088" s="0" t="n">
        <v>6</v>
      </c>
      <c r="D5088" s="0" t="n">
        <v>7</v>
      </c>
      <c r="E5088" s="0" t="n">
        <f aca="false">-1+A5088*0.25</f>
        <v>0.5</v>
      </c>
      <c r="F5088" s="0" t="n">
        <f aca="false">-1+B5088*0.25</f>
        <v>1</v>
      </c>
      <c r="G5088" s="0" t="n">
        <f aca="false">-1+C5088*0.25</f>
        <v>0.5</v>
      </c>
      <c r="H5088" s="0" t="n">
        <f aca="false">-1+D5088*0.25</f>
        <v>0.75</v>
      </c>
      <c r="I5088" s="0" t="n">
        <f aca="false">1</f>
        <v>1</v>
      </c>
      <c r="J5088" s="0" t="n">
        <f aca="false">E5088</f>
        <v>0.5</v>
      </c>
      <c r="K5088" s="0" t="n">
        <f aca="false">F5088</f>
        <v>1</v>
      </c>
      <c r="L5088" s="0" t="n">
        <f aca="false">G5088</f>
        <v>0.5</v>
      </c>
      <c r="M5088" s="0" t="n">
        <f aca="false">H5088</f>
        <v>0.75</v>
      </c>
      <c r="N5088" s="0" t="n">
        <f aca="false">E5088*F5088</f>
        <v>0.5</v>
      </c>
      <c r="O5088" s="0" t="n">
        <f aca="false">E5088*G5088</f>
        <v>0.25</v>
      </c>
      <c r="P5088" s="0" t="n">
        <f aca="false">E5088*H5088</f>
        <v>0.375</v>
      </c>
      <c r="Q5088" s="0" t="n">
        <f aca="false">F5088*G5088</f>
        <v>0.5</v>
      </c>
      <c r="R5088" s="0" t="n">
        <f aca="false">F5088*H5088</f>
        <v>0.75</v>
      </c>
      <c r="S5088" s="0" t="n">
        <f aca="false">G5088*H5088</f>
        <v>0.375</v>
      </c>
      <c r="T5088" s="0" t="n">
        <f aca="false">E5088*E5088</f>
        <v>0.25</v>
      </c>
      <c r="U5088" s="0" t="n">
        <f aca="false">F5088*F5088</f>
        <v>1</v>
      </c>
      <c r="V5088" s="0" t="n">
        <f aca="false">G5088*G5088</f>
        <v>0.25</v>
      </c>
      <c r="W5088" s="0" t="n">
        <f aca="false">H5088*H5088</f>
        <v>0.5625</v>
      </c>
      <c r="X5088" s="0" t="n">
        <f aca="false">SUMPRODUCT(I5088:W5088,_XtX!$B$96:$P$96)</f>
        <v>48.738697002924</v>
      </c>
      <c r="Y5088" s="0" t="n">
        <f aca="false">SUMPRODUCT(MMULT(I5088:W5088,_XtX!$B$78:$P$92),I5088:W5088)</f>
        <v>0.42602110745614</v>
      </c>
      <c r="Z5088" s="0" t="n">
        <f aca="false">04_回帰ANOVA!$K$19*04_回帰ANOVA!$K$14*SQRT(1+Y5088)</f>
        <v>1.55654388501114</v>
      </c>
      <c r="AA5088" s="0" t="n">
        <f aca="false">X5088-Z5088</f>
        <v>47.1821531179128</v>
      </c>
      <c r="AB5088" s="0" t="n">
        <f aca="false">X5088+Z5088</f>
        <v>50.2952408879351</v>
      </c>
      <c r="AC5088" s="54" t="b">
        <f aca="false">AND(E5088&gt;=01_因子設定!$L$5-0.000000001,E5088&lt;=01_因子設定!$M$5+0.000000001,F5088&gt;=01_因子設定!$L$6-0.000000001,F5088&lt;=01_因子設定!$M$6+0.000000001,G5088&gt;=01_因子設定!$L$7-0.000000001,G5088&lt;=01_因子設定!$M$7+0.000000001,H5088&gt;=01_因子設定!$L$8-0.000000001,H5088&lt;=01_因子設定!$M$8+0.000000001,IF(01_因子設定!$B$20="Box-Behnken",E5088^2+F5088^2+G5088^2+H5088^2&lt;=2+0.000000001,TRUE()))</f>
        <v>1</v>
      </c>
      <c r="AD5088" s="55" t="n">
        <f aca="false">IF(AC5088,IF(01_因子設定!$B$13="最大化",AA5088-01_因子設定!$B$14,IF(01_因子設定!$B$13="最小化",01_因子設定!$B$15-AB5088,MIN(AA5088-01_因子設定!$B$14,01_因子設定!$B$15-AB5088))),-1E+030)</f>
        <v>0.682153117912812</v>
      </c>
      <c r="AE5088" s="55" t="n">
        <f aca="false">IF(AC5088,IF(01_因子設定!$B$13="最大化",X5088,IF(01_因子設定!$B$13="最小化",-X5088,-ABS(X5088-01_因子設定!$B$16))),-1E+030)</f>
        <v>48.738697002924</v>
      </c>
      <c r="AF5088" s="55" t="n">
        <f aca="false">AD5088+ROW()*0.000000001</f>
        <v>0.682158205912812</v>
      </c>
      <c r="AG5088" s="55" t="n">
        <f aca="false">AE5088+ROW()*0.000000001</f>
        <v>48.738702090924</v>
      </c>
    </row>
    <row r="5089" customFormat="false" ht="15" hidden="false" customHeight="false" outlineLevel="0" collapsed="false">
      <c r="A5089" s="0" t="n">
        <v>6</v>
      </c>
      <c r="B5089" s="0" t="n">
        <v>8</v>
      </c>
      <c r="C5089" s="0" t="n">
        <v>6</v>
      </c>
      <c r="D5089" s="0" t="n">
        <v>8</v>
      </c>
      <c r="E5089" s="0" t="n">
        <f aca="false">-1+A5089*0.25</f>
        <v>0.5</v>
      </c>
      <c r="F5089" s="0" t="n">
        <f aca="false">-1+B5089*0.25</f>
        <v>1</v>
      </c>
      <c r="G5089" s="0" t="n">
        <f aca="false">-1+C5089*0.25</f>
        <v>0.5</v>
      </c>
      <c r="H5089" s="0" t="n">
        <f aca="false">-1+D5089*0.25</f>
        <v>1</v>
      </c>
      <c r="I5089" s="0" t="n">
        <f aca="false">1</f>
        <v>1</v>
      </c>
      <c r="J5089" s="0" t="n">
        <f aca="false">E5089</f>
        <v>0.5</v>
      </c>
      <c r="K5089" s="0" t="n">
        <f aca="false">F5089</f>
        <v>1</v>
      </c>
      <c r="L5089" s="0" t="n">
        <f aca="false">G5089</f>
        <v>0.5</v>
      </c>
      <c r="M5089" s="0" t="n">
        <f aca="false">H5089</f>
        <v>1</v>
      </c>
      <c r="N5089" s="0" t="n">
        <f aca="false">E5089*F5089</f>
        <v>0.5</v>
      </c>
      <c r="O5089" s="0" t="n">
        <f aca="false">E5089*G5089</f>
        <v>0.25</v>
      </c>
      <c r="P5089" s="0" t="n">
        <f aca="false">E5089*H5089</f>
        <v>0.5</v>
      </c>
      <c r="Q5089" s="0" t="n">
        <f aca="false">F5089*G5089</f>
        <v>0.5</v>
      </c>
      <c r="R5089" s="0" t="n">
        <f aca="false">F5089*H5089</f>
        <v>1</v>
      </c>
      <c r="S5089" s="0" t="n">
        <f aca="false">G5089*H5089</f>
        <v>0.5</v>
      </c>
      <c r="T5089" s="0" t="n">
        <f aca="false">E5089*E5089</f>
        <v>0.25</v>
      </c>
      <c r="U5089" s="0" t="n">
        <f aca="false">F5089*F5089</f>
        <v>1</v>
      </c>
      <c r="V5089" s="0" t="n">
        <f aca="false">G5089*G5089</f>
        <v>0.25</v>
      </c>
      <c r="W5089" s="0" t="n">
        <f aca="false">H5089*H5089</f>
        <v>1</v>
      </c>
      <c r="X5089" s="0" t="n">
        <f aca="false">SUMPRODUCT(I5089:W5089,_XtX!$B$96:$P$96)</f>
        <v>48.6711988304094</v>
      </c>
      <c r="Y5089" s="0" t="n">
        <f aca="false">SUMPRODUCT(MMULT(I5089:W5089,_XtX!$B$78:$P$92),I5089:W5089)</f>
        <v>0.582488121345029</v>
      </c>
      <c r="Z5089" s="0" t="n">
        <f aca="false">04_回帰ANOVA!$K$19*04_回帰ANOVA!$K$14*SQRT(1+Y5089)</f>
        <v>1.63971595338287</v>
      </c>
      <c r="AA5089" s="0" t="n">
        <f aca="false">X5089-Z5089</f>
        <v>47.0314828770265</v>
      </c>
      <c r="AB5089" s="0" t="n">
        <f aca="false">X5089+Z5089</f>
        <v>50.3109147837922</v>
      </c>
      <c r="AC5089" s="54" t="b">
        <f aca="false">AND(E5089&gt;=01_因子設定!$L$5-0.000000001,E5089&lt;=01_因子設定!$M$5+0.000000001,F5089&gt;=01_因子設定!$L$6-0.000000001,F5089&lt;=01_因子設定!$M$6+0.000000001,G5089&gt;=01_因子設定!$L$7-0.000000001,G5089&lt;=01_因子設定!$M$7+0.000000001,H5089&gt;=01_因子設定!$L$8-0.000000001,H5089&lt;=01_因子設定!$M$8+0.000000001,IF(01_因子設定!$B$20="Box-Behnken",E5089^2+F5089^2+G5089^2+H5089^2&lt;=2+0.000000001,TRUE()))</f>
        <v>1</v>
      </c>
      <c r="AD5089" s="55" t="n">
        <f aca="false">IF(AC5089,IF(01_因子設定!$B$13="最大化",AA5089-01_因子設定!$B$14,IF(01_因子設定!$B$13="最小化",01_因子設定!$B$15-AB5089,MIN(AA5089-01_因子設定!$B$14,01_因子設定!$B$15-AB5089))),-1E+030)</f>
        <v>0.531482877026484</v>
      </c>
      <c r="AE5089" s="55" t="n">
        <f aca="false">IF(AC5089,IF(01_因子設定!$B$13="最大化",X5089,IF(01_因子設定!$B$13="最小化",-X5089,-ABS(X5089-01_因子設定!$B$16))),-1E+030)</f>
        <v>48.6711988304094</v>
      </c>
      <c r="AF5089" s="55" t="n">
        <f aca="false">AD5089+ROW()*0.000000001</f>
        <v>0.531487966026484</v>
      </c>
      <c r="AG5089" s="55" t="n">
        <f aca="false">AE5089+ROW()*0.000000001</f>
        <v>48.6712039194094</v>
      </c>
    </row>
    <row r="5090" customFormat="false" ht="15" hidden="false" customHeight="false" outlineLevel="0" collapsed="false">
      <c r="A5090" s="0" t="n">
        <v>6</v>
      </c>
      <c r="B5090" s="0" t="n">
        <v>8</v>
      </c>
      <c r="C5090" s="0" t="n">
        <v>7</v>
      </c>
      <c r="D5090" s="0" t="n">
        <v>0</v>
      </c>
      <c r="E5090" s="0" t="n">
        <f aca="false">-1+A5090*0.25</f>
        <v>0.5</v>
      </c>
      <c r="F5090" s="0" t="n">
        <f aca="false">-1+B5090*0.25</f>
        <v>1</v>
      </c>
      <c r="G5090" s="0" t="n">
        <f aca="false">-1+C5090*0.25</f>
        <v>0.75</v>
      </c>
      <c r="H5090" s="0" t="n">
        <f aca="false">-1+D5090*0.25</f>
        <v>-1</v>
      </c>
      <c r="I5090" s="0" t="n">
        <f aca="false">1</f>
        <v>1</v>
      </c>
      <c r="J5090" s="0" t="n">
        <f aca="false">E5090</f>
        <v>0.5</v>
      </c>
      <c r="K5090" s="0" t="n">
        <f aca="false">F5090</f>
        <v>1</v>
      </c>
      <c r="L5090" s="0" t="n">
        <f aca="false">G5090</f>
        <v>0.75</v>
      </c>
      <c r="M5090" s="0" t="n">
        <f aca="false">H5090</f>
        <v>-1</v>
      </c>
      <c r="N5090" s="0" t="n">
        <f aca="false">E5090*F5090</f>
        <v>0.5</v>
      </c>
      <c r="O5090" s="0" t="n">
        <f aca="false">E5090*G5090</f>
        <v>0.375</v>
      </c>
      <c r="P5090" s="0" t="n">
        <f aca="false">E5090*H5090</f>
        <v>-0.5</v>
      </c>
      <c r="Q5090" s="0" t="n">
        <f aca="false">F5090*G5090</f>
        <v>0.75</v>
      </c>
      <c r="R5090" s="0" t="n">
        <f aca="false">F5090*H5090</f>
        <v>-1</v>
      </c>
      <c r="S5090" s="0" t="n">
        <f aca="false">G5090*H5090</f>
        <v>-0.75</v>
      </c>
      <c r="T5090" s="0" t="n">
        <f aca="false">E5090*E5090</f>
        <v>0.25</v>
      </c>
      <c r="U5090" s="0" t="n">
        <f aca="false">F5090*F5090</f>
        <v>1</v>
      </c>
      <c r="V5090" s="0" t="n">
        <f aca="false">G5090*G5090</f>
        <v>0.5625</v>
      </c>
      <c r="W5090" s="0" t="n">
        <f aca="false">H5090*H5090</f>
        <v>1</v>
      </c>
      <c r="X5090" s="0" t="n">
        <f aca="false">SUMPRODUCT(I5090:W5090,_XtX!$B$96:$P$96)</f>
        <v>47.8301535087719</v>
      </c>
      <c r="Y5090" s="0" t="n">
        <f aca="false">SUMPRODUCT(MMULT(I5090:W5090,_XtX!$B$78:$P$92),I5090:W5090)</f>
        <v>0.564984237938597</v>
      </c>
      <c r="Z5090" s="0" t="n">
        <f aca="false">04_回帰ANOVA!$K$19*04_回帰ANOVA!$K$14*SQRT(1+Y5090)</f>
        <v>1.63062229734503</v>
      </c>
      <c r="AA5090" s="0" t="n">
        <f aca="false">X5090-Z5090</f>
        <v>46.1995312114269</v>
      </c>
      <c r="AB5090" s="0" t="n">
        <f aca="false">X5090+Z5090</f>
        <v>49.460775806117</v>
      </c>
      <c r="AC5090" s="54" t="b">
        <f aca="false">AND(E5090&gt;=01_因子設定!$L$5-0.000000001,E5090&lt;=01_因子設定!$M$5+0.000000001,F5090&gt;=01_因子設定!$L$6-0.000000001,F5090&lt;=01_因子設定!$M$6+0.000000001,G5090&gt;=01_因子設定!$L$7-0.000000001,G5090&lt;=01_因子設定!$M$7+0.000000001,H5090&gt;=01_因子設定!$L$8-0.000000001,H5090&lt;=01_因子設定!$M$8+0.000000001,IF(01_因子設定!$B$20="Box-Behnken",E5090^2+F5090^2+G5090^2+H5090^2&lt;=2+0.000000001,TRUE()))</f>
        <v>1</v>
      </c>
      <c r="AD5090" s="55" t="n">
        <f aca="false">IF(AC5090,IF(01_因子設定!$B$13="最大化",AA5090-01_因子設定!$B$14,IF(01_因子設定!$B$13="最小化",01_因子設定!$B$15-AB5090,MIN(AA5090-01_因子設定!$B$14,01_因子設定!$B$15-AB5090))),-1E+030)</f>
        <v>-0.300468788573106</v>
      </c>
      <c r="AE5090" s="55" t="n">
        <f aca="false">IF(AC5090,IF(01_因子設定!$B$13="最大化",X5090,IF(01_因子設定!$B$13="最小化",-X5090,-ABS(X5090-01_因子設定!$B$16))),-1E+030)</f>
        <v>47.8301535087719</v>
      </c>
      <c r="AF5090" s="55" t="n">
        <f aca="false">AD5090+ROW()*0.000000001</f>
        <v>-0.300463698573106</v>
      </c>
      <c r="AG5090" s="55" t="n">
        <f aca="false">AE5090+ROW()*0.000000001</f>
        <v>47.8301585987719</v>
      </c>
    </row>
    <row r="5091" customFormat="false" ht="15" hidden="false" customHeight="false" outlineLevel="0" collapsed="false">
      <c r="A5091" s="0" t="n">
        <v>6</v>
      </c>
      <c r="B5091" s="0" t="n">
        <v>8</v>
      </c>
      <c r="C5091" s="0" t="n">
        <v>7</v>
      </c>
      <c r="D5091" s="0" t="n">
        <v>1</v>
      </c>
      <c r="E5091" s="0" t="n">
        <f aca="false">-1+A5091*0.25</f>
        <v>0.5</v>
      </c>
      <c r="F5091" s="0" t="n">
        <f aca="false">-1+B5091*0.25</f>
        <v>1</v>
      </c>
      <c r="G5091" s="0" t="n">
        <f aca="false">-1+C5091*0.25</f>
        <v>0.75</v>
      </c>
      <c r="H5091" s="0" t="n">
        <f aca="false">-1+D5091*0.25</f>
        <v>-0.75</v>
      </c>
      <c r="I5091" s="0" t="n">
        <f aca="false">1</f>
        <v>1</v>
      </c>
      <c r="J5091" s="0" t="n">
        <f aca="false">E5091</f>
        <v>0.5</v>
      </c>
      <c r="K5091" s="0" t="n">
        <f aca="false">F5091</f>
        <v>1</v>
      </c>
      <c r="L5091" s="0" t="n">
        <f aca="false">G5091</f>
        <v>0.75</v>
      </c>
      <c r="M5091" s="0" t="n">
        <f aca="false">H5091</f>
        <v>-0.75</v>
      </c>
      <c r="N5091" s="0" t="n">
        <f aca="false">E5091*F5091</f>
        <v>0.5</v>
      </c>
      <c r="O5091" s="0" t="n">
        <f aca="false">E5091*G5091</f>
        <v>0.375</v>
      </c>
      <c r="P5091" s="0" t="n">
        <f aca="false">E5091*H5091</f>
        <v>-0.375</v>
      </c>
      <c r="Q5091" s="0" t="n">
        <f aca="false">F5091*G5091</f>
        <v>0.75</v>
      </c>
      <c r="R5091" s="0" t="n">
        <f aca="false">F5091*H5091</f>
        <v>-0.75</v>
      </c>
      <c r="S5091" s="0" t="n">
        <f aca="false">G5091*H5091</f>
        <v>-0.5625</v>
      </c>
      <c r="T5091" s="0" t="n">
        <f aca="false">E5091*E5091</f>
        <v>0.25</v>
      </c>
      <c r="U5091" s="0" t="n">
        <f aca="false">F5091*F5091</f>
        <v>1</v>
      </c>
      <c r="V5091" s="0" t="n">
        <f aca="false">G5091*G5091</f>
        <v>0.5625</v>
      </c>
      <c r="W5091" s="0" t="n">
        <f aca="false">H5091*H5091</f>
        <v>0.5625</v>
      </c>
      <c r="X5091" s="0" t="n">
        <f aca="false">SUMPRODUCT(I5091:W5091,_XtX!$B$96:$P$96)</f>
        <v>48.1152732090643</v>
      </c>
      <c r="Y5091" s="0" t="n">
        <f aca="false">SUMPRODUCT(MMULT(I5091:W5091,_XtX!$B$78:$P$92),I5091:W5091)</f>
        <v>0.431153771472953</v>
      </c>
      <c r="Z5091" s="0" t="n">
        <f aca="false">04_回帰ANOVA!$K$19*04_回帰ANOVA!$K$14*SQRT(1+Y5091)</f>
        <v>1.55934259562563</v>
      </c>
      <c r="AA5091" s="0" t="n">
        <f aca="false">X5091-Z5091</f>
        <v>46.5559306134387</v>
      </c>
      <c r="AB5091" s="0" t="n">
        <f aca="false">X5091+Z5091</f>
        <v>49.6746158046899</v>
      </c>
      <c r="AC5091" s="54" t="b">
        <f aca="false">AND(E5091&gt;=01_因子設定!$L$5-0.000000001,E5091&lt;=01_因子設定!$M$5+0.000000001,F5091&gt;=01_因子設定!$L$6-0.000000001,F5091&lt;=01_因子設定!$M$6+0.000000001,G5091&gt;=01_因子設定!$L$7-0.000000001,G5091&lt;=01_因子設定!$M$7+0.000000001,H5091&gt;=01_因子設定!$L$8-0.000000001,H5091&lt;=01_因子設定!$M$8+0.000000001,IF(01_因子設定!$B$20="Box-Behnken",E5091^2+F5091^2+G5091^2+H5091^2&lt;=2+0.000000001,TRUE()))</f>
        <v>1</v>
      </c>
      <c r="AD5091" s="55" t="n">
        <f aca="false">IF(AC5091,IF(01_因子設定!$B$13="最大化",AA5091-01_因子設定!$B$14,IF(01_因子設定!$B$13="最小化",01_因子設定!$B$15-AB5091,MIN(AA5091-01_因子設定!$B$14,01_因子設定!$B$15-AB5091))),-1E+030)</f>
        <v>0.0559306134386759</v>
      </c>
      <c r="AE5091" s="55" t="n">
        <f aca="false">IF(AC5091,IF(01_因子設定!$B$13="最大化",X5091,IF(01_因子設定!$B$13="最小化",-X5091,-ABS(X5091-01_因子設定!$B$16))),-1E+030)</f>
        <v>48.1152732090643</v>
      </c>
      <c r="AF5091" s="55" t="n">
        <f aca="false">AD5091+ROW()*0.000000001</f>
        <v>0.0559357044386759</v>
      </c>
      <c r="AG5091" s="55" t="n">
        <f aca="false">AE5091+ROW()*0.000000001</f>
        <v>48.1152783000643</v>
      </c>
    </row>
    <row r="5092" customFormat="false" ht="15" hidden="false" customHeight="false" outlineLevel="0" collapsed="false">
      <c r="A5092" s="0" t="n">
        <v>6</v>
      </c>
      <c r="B5092" s="0" t="n">
        <v>8</v>
      </c>
      <c r="C5092" s="0" t="n">
        <v>7</v>
      </c>
      <c r="D5092" s="0" t="n">
        <v>2</v>
      </c>
      <c r="E5092" s="0" t="n">
        <f aca="false">-1+A5092*0.25</f>
        <v>0.5</v>
      </c>
      <c r="F5092" s="0" t="n">
        <f aca="false">-1+B5092*0.25</f>
        <v>1</v>
      </c>
      <c r="G5092" s="0" t="n">
        <f aca="false">-1+C5092*0.25</f>
        <v>0.75</v>
      </c>
      <c r="H5092" s="0" t="n">
        <f aca="false">-1+D5092*0.25</f>
        <v>-0.5</v>
      </c>
      <c r="I5092" s="0" t="n">
        <f aca="false">1</f>
        <v>1</v>
      </c>
      <c r="J5092" s="0" t="n">
        <f aca="false">E5092</f>
        <v>0.5</v>
      </c>
      <c r="K5092" s="0" t="n">
        <f aca="false">F5092</f>
        <v>1</v>
      </c>
      <c r="L5092" s="0" t="n">
        <f aca="false">G5092</f>
        <v>0.75</v>
      </c>
      <c r="M5092" s="0" t="n">
        <f aca="false">H5092</f>
        <v>-0.5</v>
      </c>
      <c r="N5092" s="0" t="n">
        <f aca="false">E5092*F5092</f>
        <v>0.5</v>
      </c>
      <c r="O5092" s="0" t="n">
        <f aca="false">E5092*G5092</f>
        <v>0.375</v>
      </c>
      <c r="P5092" s="0" t="n">
        <f aca="false">E5092*H5092</f>
        <v>-0.25</v>
      </c>
      <c r="Q5092" s="0" t="n">
        <f aca="false">F5092*G5092</f>
        <v>0.75</v>
      </c>
      <c r="R5092" s="0" t="n">
        <f aca="false">F5092*H5092</f>
        <v>-0.5</v>
      </c>
      <c r="S5092" s="0" t="n">
        <f aca="false">G5092*H5092</f>
        <v>-0.375</v>
      </c>
      <c r="T5092" s="0" t="n">
        <f aca="false">E5092*E5092</f>
        <v>0.25</v>
      </c>
      <c r="U5092" s="0" t="n">
        <f aca="false">F5092*F5092</f>
        <v>1</v>
      </c>
      <c r="V5092" s="0" t="n">
        <f aca="false">G5092*G5092</f>
        <v>0.5625</v>
      </c>
      <c r="W5092" s="0" t="n">
        <f aca="false">H5092*H5092</f>
        <v>0.25</v>
      </c>
      <c r="X5092" s="0" t="n">
        <f aca="false">SUMPRODUCT(I5092:W5092,_XtX!$B$96:$P$96)</f>
        <v>48.3525858918128</v>
      </c>
      <c r="Y5092" s="0" t="n">
        <f aca="false">SUMPRODUCT(MMULT(I5092:W5092,_XtX!$B$78:$P$92),I5092:W5092)</f>
        <v>0.42602110745614</v>
      </c>
      <c r="Z5092" s="0" t="n">
        <f aca="false">04_回帰ANOVA!$K$19*04_回帰ANOVA!$K$14*SQRT(1+Y5092)</f>
        <v>1.55654388501114</v>
      </c>
      <c r="AA5092" s="0" t="n">
        <f aca="false">X5092-Z5092</f>
        <v>46.7960420068017</v>
      </c>
      <c r="AB5092" s="0" t="n">
        <f aca="false">X5092+Z5092</f>
        <v>49.909129776824</v>
      </c>
      <c r="AC5092" s="54" t="b">
        <f aca="false">AND(E5092&gt;=01_因子設定!$L$5-0.000000001,E5092&lt;=01_因子設定!$M$5+0.000000001,F5092&gt;=01_因子設定!$L$6-0.000000001,F5092&lt;=01_因子設定!$M$6+0.000000001,G5092&gt;=01_因子設定!$L$7-0.000000001,G5092&lt;=01_因子設定!$M$7+0.000000001,H5092&gt;=01_因子設定!$L$8-0.000000001,H5092&lt;=01_因子設定!$M$8+0.000000001,IF(01_因子設定!$B$20="Box-Behnken",E5092^2+F5092^2+G5092^2+H5092^2&lt;=2+0.000000001,TRUE()))</f>
        <v>1</v>
      </c>
      <c r="AD5092" s="55" t="n">
        <f aca="false">IF(AC5092,IF(01_因子設定!$B$13="最大化",AA5092-01_因子設定!$B$14,IF(01_因子設定!$B$13="最小化",01_因子設定!$B$15-AB5092,MIN(AA5092-01_因子設定!$B$14,01_因子設定!$B$15-AB5092))),-1E+030)</f>
        <v>0.296042006801699</v>
      </c>
      <c r="AE5092" s="55" t="n">
        <f aca="false">IF(AC5092,IF(01_因子設定!$B$13="最大化",X5092,IF(01_因子設定!$B$13="最小化",-X5092,-ABS(X5092-01_因子設定!$B$16))),-1E+030)</f>
        <v>48.3525858918128</v>
      </c>
      <c r="AF5092" s="55" t="n">
        <f aca="false">AD5092+ROW()*0.000000001</f>
        <v>0.296047098801699</v>
      </c>
      <c r="AG5092" s="55" t="n">
        <f aca="false">AE5092+ROW()*0.000000001</f>
        <v>48.3525909838128</v>
      </c>
    </row>
    <row r="5093" customFormat="false" ht="15" hidden="false" customHeight="false" outlineLevel="0" collapsed="false">
      <c r="A5093" s="0" t="n">
        <v>6</v>
      </c>
      <c r="B5093" s="0" t="n">
        <v>8</v>
      </c>
      <c r="C5093" s="0" t="n">
        <v>7</v>
      </c>
      <c r="D5093" s="0" t="n">
        <v>3</v>
      </c>
      <c r="E5093" s="0" t="n">
        <f aca="false">-1+A5093*0.25</f>
        <v>0.5</v>
      </c>
      <c r="F5093" s="0" t="n">
        <f aca="false">-1+B5093*0.25</f>
        <v>1</v>
      </c>
      <c r="G5093" s="0" t="n">
        <f aca="false">-1+C5093*0.25</f>
        <v>0.75</v>
      </c>
      <c r="H5093" s="0" t="n">
        <f aca="false">-1+D5093*0.25</f>
        <v>-0.25</v>
      </c>
      <c r="I5093" s="0" t="n">
        <f aca="false">1</f>
        <v>1</v>
      </c>
      <c r="J5093" s="0" t="n">
        <f aca="false">E5093</f>
        <v>0.5</v>
      </c>
      <c r="K5093" s="0" t="n">
        <f aca="false">F5093</f>
        <v>1</v>
      </c>
      <c r="L5093" s="0" t="n">
        <f aca="false">G5093</f>
        <v>0.75</v>
      </c>
      <c r="M5093" s="0" t="n">
        <f aca="false">H5093</f>
        <v>-0.25</v>
      </c>
      <c r="N5093" s="0" t="n">
        <f aca="false">E5093*F5093</f>
        <v>0.5</v>
      </c>
      <c r="O5093" s="0" t="n">
        <f aca="false">E5093*G5093</f>
        <v>0.375</v>
      </c>
      <c r="P5093" s="0" t="n">
        <f aca="false">E5093*H5093</f>
        <v>-0.125</v>
      </c>
      <c r="Q5093" s="0" t="n">
        <f aca="false">F5093*G5093</f>
        <v>0.75</v>
      </c>
      <c r="R5093" s="0" t="n">
        <f aca="false">F5093*H5093</f>
        <v>-0.25</v>
      </c>
      <c r="S5093" s="0" t="n">
        <f aca="false">G5093*H5093</f>
        <v>-0.1875</v>
      </c>
      <c r="T5093" s="0" t="n">
        <f aca="false">E5093*E5093</f>
        <v>0.25</v>
      </c>
      <c r="U5093" s="0" t="n">
        <f aca="false">F5093*F5093</f>
        <v>1</v>
      </c>
      <c r="V5093" s="0" t="n">
        <f aca="false">G5093*G5093</f>
        <v>0.5625</v>
      </c>
      <c r="W5093" s="0" t="n">
        <f aca="false">H5093*H5093</f>
        <v>0.0625</v>
      </c>
      <c r="X5093" s="0" t="n">
        <f aca="false">SUMPRODUCT(I5093:W5093,_XtX!$B$96:$P$96)</f>
        <v>48.5420915570175</v>
      </c>
      <c r="Y5093" s="0" t="n">
        <f aca="false">SUMPRODUCT(MMULT(I5093:W5093,_XtX!$B$78:$P$92),I5093:W5093)</f>
        <v>0.459125719572369</v>
      </c>
      <c r="Z5093" s="0" t="n">
        <f aca="false">04_回帰ANOVA!$K$19*04_回帰ANOVA!$K$14*SQRT(1+Y5093)</f>
        <v>1.57450755575573</v>
      </c>
      <c r="AA5093" s="0" t="n">
        <f aca="false">X5093-Z5093</f>
        <v>46.9675840012618</v>
      </c>
      <c r="AB5093" s="0" t="n">
        <f aca="false">X5093+Z5093</f>
        <v>50.1165991127732</v>
      </c>
      <c r="AC5093" s="54" t="b">
        <f aca="false">AND(E5093&gt;=01_因子設定!$L$5-0.000000001,E5093&lt;=01_因子設定!$M$5+0.000000001,F5093&gt;=01_因子設定!$L$6-0.000000001,F5093&lt;=01_因子設定!$M$6+0.000000001,G5093&gt;=01_因子設定!$L$7-0.000000001,G5093&lt;=01_因子設定!$M$7+0.000000001,H5093&gt;=01_因子設定!$L$8-0.000000001,H5093&lt;=01_因子設定!$M$8+0.000000001,IF(01_因子設定!$B$20="Box-Behnken",E5093^2+F5093^2+G5093^2+H5093^2&lt;=2+0.000000001,TRUE()))</f>
        <v>1</v>
      </c>
      <c r="AD5093" s="55" t="n">
        <f aca="false">IF(AC5093,IF(01_因子設定!$B$13="最大化",AA5093-01_因子設定!$B$14,IF(01_因子設定!$B$13="最小化",01_因子設定!$B$15-AB5093,MIN(AA5093-01_因子設定!$B$14,01_因子設定!$B$15-AB5093))),-1E+030)</f>
        <v>0.467584001261777</v>
      </c>
      <c r="AE5093" s="55" t="n">
        <f aca="false">IF(AC5093,IF(01_因子設定!$B$13="最大化",X5093,IF(01_因子設定!$B$13="最小化",-X5093,-ABS(X5093-01_因子設定!$B$16))),-1E+030)</f>
        <v>48.5420915570175</v>
      </c>
      <c r="AF5093" s="55" t="n">
        <f aca="false">AD5093+ROW()*0.000000001</f>
        <v>0.467589094261777</v>
      </c>
      <c r="AG5093" s="55" t="n">
        <f aca="false">AE5093+ROW()*0.000000001</f>
        <v>48.5420966500175</v>
      </c>
    </row>
    <row r="5094" customFormat="false" ht="15" hidden="false" customHeight="false" outlineLevel="0" collapsed="false">
      <c r="A5094" s="0" t="n">
        <v>6</v>
      </c>
      <c r="B5094" s="0" t="n">
        <v>8</v>
      </c>
      <c r="C5094" s="0" t="n">
        <v>7</v>
      </c>
      <c r="D5094" s="0" t="n">
        <v>4</v>
      </c>
      <c r="E5094" s="0" t="n">
        <f aca="false">-1+A5094*0.25</f>
        <v>0.5</v>
      </c>
      <c r="F5094" s="0" t="n">
        <f aca="false">-1+B5094*0.25</f>
        <v>1</v>
      </c>
      <c r="G5094" s="0" t="n">
        <f aca="false">-1+C5094*0.25</f>
        <v>0.75</v>
      </c>
      <c r="H5094" s="0" t="n">
        <f aca="false">-1+D5094*0.25</f>
        <v>0</v>
      </c>
      <c r="I5094" s="0" t="n">
        <f aca="false">1</f>
        <v>1</v>
      </c>
      <c r="J5094" s="0" t="n">
        <f aca="false">E5094</f>
        <v>0.5</v>
      </c>
      <c r="K5094" s="0" t="n">
        <f aca="false">F5094</f>
        <v>1</v>
      </c>
      <c r="L5094" s="0" t="n">
        <f aca="false">G5094</f>
        <v>0.75</v>
      </c>
      <c r="M5094" s="0" t="n">
        <f aca="false">H5094</f>
        <v>0</v>
      </c>
      <c r="N5094" s="0" t="n">
        <f aca="false">E5094*F5094</f>
        <v>0.5</v>
      </c>
      <c r="O5094" s="0" t="n">
        <f aca="false">E5094*G5094</f>
        <v>0.375</v>
      </c>
      <c r="P5094" s="0" t="n">
        <f aca="false">E5094*H5094</f>
        <v>0</v>
      </c>
      <c r="Q5094" s="0" t="n">
        <f aca="false">F5094*G5094</f>
        <v>0.75</v>
      </c>
      <c r="R5094" s="0" t="n">
        <f aca="false">F5094*H5094</f>
        <v>0</v>
      </c>
      <c r="S5094" s="0" t="n">
        <f aca="false">G5094*H5094</f>
        <v>0</v>
      </c>
      <c r="T5094" s="0" t="n">
        <f aca="false">E5094*E5094</f>
        <v>0.25</v>
      </c>
      <c r="U5094" s="0" t="n">
        <f aca="false">F5094*F5094</f>
        <v>1</v>
      </c>
      <c r="V5094" s="0" t="n">
        <f aca="false">G5094*G5094</f>
        <v>0.5625</v>
      </c>
      <c r="W5094" s="0" t="n">
        <f aca="false">H5094*H5094</f>
        <v>0</v>
      </c>
      <c r="X5094" s="0" t="n">
        <f aca="false">SUMPRODUCT(I5094:W5094,_XtX!$B$96:$P$96)</f>
        <v>48.6837902046783</v>
      </c>
      <c r="Y5094" s="0" t="n">
        <f aca="false">SUMPRODUCT(MMULT(I5094:W5094,_XtX!$B$78:$P$92),I5094:W5094)</f>
        <v>0.476191292032164</v>
      </c>
      <c r="Z5094" s="0" t="n">
        <f aca="false">04_回帰ANOVA!$K$19*04_回帰ANOVA!$K$14*SQRT(1+Y5094)</f>
        <v>1.58368831471718</v>
      </c>
      <c r="AA5094" s="0" t="n">
        <f aca="false">X5094-Z5094</f>
        <v>47.1001018899611</v>
      </c>
      <c r="AB5094" s="0" t="n">
        <f aca="false">X5094+Z5094</f>
        <v>50.2674785193955</v>
      </c>
      <c r="AC5094" s="54" t="b">
        <f aca="false">AND(E5094&gt;=01_因子設定!$L$5-0.000000001,E5094&lt;=01_因子設定!$M$5+0.000000001,F5094&gt;=01_因子設定!$L$6-0.000000001,F5094&lt;=01_因子設定!$M$6+0.000000001,G5094&gt;=01_因子設定!$L$7-0.000000001,G5094&lt;=01_因子設定!$M$7+0.000000001,H5094&gt;=01_因子設定!$L$8-0.000000001,H5094&lt;=01_因子設定!$M$8+0.000000001,IF(01_因子設定!$B$20="Box-Behnken",E5094^2+F5094^2+G5094^2+H5094^2&lt;=2+0.000000001,TRUE()))</f>
        <v>1</v>
      </c>
      <c r="AD5094" s="55" t="n">
        <f aca="false">IF(AC5094,IF(01_因子設定!$B$13="最大化",AA5094-01_因子設定!$B$14,IF(01_因子設定!$B$13="最小化",01_因子設定!$B$15-AB5094,MIN(AA5094-01_因子設定!$B$14,01_因子設定!$B$15-AB5094))),-1E+030)</f>
        <v>0.600101889961138</v>
      </c>
      <c r="AE5094" s="55" t="n">
        <f aca="false">IF(AC5094,IF(01_因子設定!$B$13="最大化",X5094,IF(01_因子設定!$B$13="最小化",-X5094,-ABS(X5094-01_因子設定!$B$16))),-1E+030)</f>
        <v>48.6837902046783</v>
      </c>
      <c r="AF5094" s="55" t="n">
        <f aca="false">AD5094+ROW()*0.000000001</f>
        <v>0.600106983961138</v>
      </c>
      <c r="AG5094" s="55" t="n">
        <f aca="false">AE5094+ROW()*0.000000001</f>
        <v>48.6837952986783</v>
      </c>
    </row>
    <row r="5095" customFormat="false" ht="15" hidden="false" customHeight="false" outlineLevel="0" collapsed="false">
      <c r="A5095" s="0" t="n">
        <v>6</v>
      </c>
      <c r="B5095" s="0" t="n">
        <v>8</v>
      </c>
      <c r="C5095" s="0" t="n">
        <v>7</v>
      </c>
      <c r="D5095" s="0" t="n">
        <v>5</v>
      </c>
      <c r="E5095" s="0" t="n">
        <f aca="false">-1+A5095*0.25</f>
        <v>0.5</v>
      </c>
      <c r="F5095" s="0" t="n">
        <f aca="false">-1+B5095*0.25</f>
        <v>1</v>
      </c>
      <c r="G5095" s="0" t="n">
        <f aca="false">-1+C5095*0.25</f>
        <v>0.75</v>
      </c>
      <c r="H5095" s="0" t="n">
        <f aca="false">-1+D5095*0.25</f>
        <v>0.25</v>
      </c>
      <c r="I5095" s="0" t="n">
        <f aca="false">1</f>
        <v>1</v>
      </c>
      <c r="J5095" s="0" t="n">
        <f aca="false">E5095</f>
        <v>0.5</v>
      </c>
      <c r="K5095" s="0" t="n">
        <f aca="false">F5095</f>
        <v>1</v>
      </c>
      <c r="L5095" s="0" t="n">
        <f aca="false">G5095</f>
        <v>0.75</v>
      </c>
      <c r="M5095" s="0" t="n">
        <f aca="false">H5095</f>
        <v>0.25</v>
      </c>
      <c r="N5095" s="0" t="n">
        <f aca="false">E5095*F5095</f>
        <v>0.5</v>
      </c>
      <c r="O5095" s="0" t="n">
        <f aca="false">E5095*G5095</f>
        <v>0.375</v>
      </c>
      <c r="P5095" s="0" t="n">
        <f aca="false">E5095*H5095</f>
        <v>0.125</v>
      </c>
      <c r="Q5095" s="0" t="n">
        <f aca="false">F5095*G5095</f>
        <v>0.75</v>
      </c>
      <c r="R5095" s="0" t="n">
        <f aca="false">F5095*H5095</f>
        <v>0.25</v>
      </c>
      <c r="S5095" s="0" t="n">
        <f aca="false">G5095*H5095</f>
        <v>0.1875</v>
      </c>
      <c r="T5095" s="0" t="n">
        <f aca="false">E5095*E5095</f>
        <v>0.25</v>
      </c>
      <c r="U5095" s="0" t="n">
        <f aca="false">F5095*F5095</f>
        <v>1</v>
      </c>
      <c r="V5095" s="0" t="n">
        <f aca="false">G5095*G5095</f>
        <v>0.5625</v>
      </c>
      <c r="W5095" s="0" t="n">
        <f aca="false">H5095*H5095</f>
        <v>0.0625</v>
      </c>
      <c r="X5095" s="0" t="n">
        <f aca="false">SUMPRODUCT(I5095:W5095,_XtX!$B$96:$P$96)</f>
        <v>48.7776818347953</v>
      </c>
      <c r="Y5095" s="0" t="n">
        <f aca="false">SUMPRODUCT(MMULT(I5095:W5095,_XtX!$B$78:$P$92),I5095:W5095)</f>
        <v>0.459125719572369</v>
      </c>
      <c r="Z5095" s="0" t="n">
        <f aca="false">04_回帰ANOVA!$K$19*04_回帰ANOVA!$K$14*SQRT(1+Y5095)</f>
        <v>1.57450755575573</v>
      </c>
      <c r="AA5095" s="0" t="n">
        <f aca="false">X5095-Z5095</f>
        <v>47.2031742790396</v>
      </c>
      <c r="AB5095" s="0" t="n">
        <f aca="false">X5095+Z5095</f>
        <v>50.352189390551</v>
      </c>
      <c r="AC5095" s="54" t="b">
        <f aca="false">AND(E5095&gt;=01_因子設定!$L$5-0.000000001,E5095&lt;=01_因子設定!$M$5+0.000000001,F5095&gt;=01_因子設定!$L$6-0.000000001,F5095&lt;=01_因子設定!$M$6+0.000000001,G5095&gt;=01_因子設定!$L$7-0.000000001,G5095&lt;=01_因子設定!$M$7+0.000000001,H5095&gt;=01_因子設定!$L$8-0.000000001,H5095&lt;=01_因子設定!$M$8+0.000000001,IF(01_因子設定!$B$20="Box-Behnken",E5095^2+F5095^2+G5095^2+H5095^2&lt;=2+0.000000001,TRUE()))</f>
        <v>1</v>
      </c>
      <c r="AD5095" s="55" t="n">
        <f aca="false">IF(AC5095,IF(01_因子設定!$B$13="最大化",AA5095-01_因子設定!$B$14,IF(01_因子設定!$B$13="最小化",01_因子設定!$B$15-AB5095,MIN(AA5095-01_因子設定!$B$14,01_因子設定!$B$15-AB5095))),-1E+030)</f>
        <v>0.703174279039551</v>
      </c>
      <c r="AE5095" s="55" t="n">
        <f aca="false">IF(AC5095,IF(01_因子設定!$B$13="最大化",X5095,IF(01_因子設定!$B$13="最小化",-X5095,-ABS(X5095-01_因子設定!$B$16))),-1E+030)</f>
        <v>48.7776818347953</v>
      </c>
      <c r="AF5095" s="55" t="n">
        <f aca="false">AD5095+ROW()*0.000000001</f>
        <v>0.703179374039551</v>
      </c>
      <c r="AG5095" s="55" t="n">
        <f aca="false">AE5095+ROW()*0.000000001</f>
        <v>48.7776869297953</v>
      </c>
    </row>
    <row r="5096" customFormat="false" ht="15" hidden="false" customHeight="false" outlineLevel="0" collapsed="false">
      <c r="A5096" s="0" t="n">
        <v>6</v>
      </c>
      <c r="B5096" s="0" t="n">
        <v>8</v>
      </c>
      <c r="C5096" s="0" t="n">
        <v>7</v>
      </c>
      <c r="D5096" s="0" t="n">
        <v>6</v>
      </c>
      <c r="E5096" s="0" t="n">
        <f aca="false">-1+A5096*0.25</f>
        <v>0.5</v>
      </c>
      <c r="F5096" s="0" t="n">
        <f aca="false">-1+B5096*0.25</f>
        <v>1</v>
      </c>
      <c r="G5096" s="0" t="n">
        <f aca="false">-1+C5096*0.25</f>
        <v>0.75</v>
      </c>
      <c r="H5096" s="0" t="n">
        <f aca="false">-1+D5096*0.25</f>
        <v>0.5</v>
      </c>
      <c r="I5096" s="0" t="n">
        <f aca="false">1</f>
        <v>1</v>
      </c>
      <c r="J5096" s="0" t="n">
        <f aca="false">E5096</f>
        <v>0.5</v>
      </c>
      <c r="K5096" s="0" t="n">
        <f aca="false">F5096</f>
        <v>1</v>
      </c>
      <c r="L5096" s="0" t="n">
        <f aca="false">G5096</f>
        <v>0.75</v>
      </c>
      <c r="M5096" s="0" t="n">
        <f aca="false">H5096</f>
        <v>0.5</v>
      </c>
      <c r="N5096" s="0" t="n">
        <f aca="false">E5096*F5096</f>
        <v>0.5</v>
      </c>
      <c r="O5096" s="0" t="n">
        <f aca="false">E5096*G5096</f>
        <v>0.375</v>
      </c>
      <c r="P5096" s="0" t="n">
        <f aca="false">E5096*H5096</f>
        <v>0.25</v>
      </c>
      <c r="Q5096" s="0" t="n">
        <f aca="false">F5096*G5096</f>
        <v>0.75</v>
      </c>
      <c r="R5096" s="0" t="n">
        <f aca="false">F5096*H5096</f>
        <v>0.5</v>
      </c>
      <c r="S5096" s="0" t="n">
        <f aca="false">G5096*H5096</f>
        <v>0.375</v>
      </c>
      <c r="T5096" s="0" t="n">
        <f aca="false">E5096*E5096</f>
        <v>0.25</v>
      </c>
      <c r="U5096" s="0" t="n">
        <f aca="false">F5096*F5096</f>
        <v>1</v>
      </c>
      <c r="V5096" s="0" t="n">
        <f aca="false">G5096*G5096</f>
        <v>0.5625</v>
      </c>
      <c r="W5096" s="0" t="n">
        <f aca="false">H5096*H5096</f>
        <v>0.25</v>
      </c>
      <c r="X5096" s="0" t="n">
        <f aca="false">SUMPRODUCT(I5096:W5096,_XtX!$B$96:$P$96)</f>
        <v>48.8237664473684</v>
      </c>
      <c r="Y5096" s="0" t="n">
        <f aca="false">SUMPRODUCT(MMULT(I5096:W5096,_XtX!$B$78:$P$92),I5096:W5096)</f>
        <v>0.42602110745614</v>
      </c>
      <c r="Z5096" s="0" t="n">
        <f aca="false">04_回帰ANOVA!$K$19*04_回帰ANOVA!$K$14*SQRT(1+Y5096)</f>
        <v>1.55654388501114</v>
      </c>
      <c r="AA5096" s="0" t="n">
        <f aca="false">X5096-Z5096</f>
        <v>47.2672225623573</v>
      </c>
      <c r="AB5096" s="0" t="n">
        <f aca="false">X5096+Z5096</f>
        <v>50.3803103323795</v>
      </c>
      <c r="AC5096" s="54" t="b">
        <f aca="false">AND(E5096&gt;=01_因子設定!$L$5-0.000000001,E5096&lt;=01_因子設定!$M$5+0.000000001,F5096&gt;=01_因子設定!$L$6-0.000000001,F5096&lt;=01_因子設定!$M$6+0.000000001,G5096&gt;=01_因子設定!$L$7-0.000000001,G5096&lt;=01_因子設定!$M$7+0.000000001,H5096&gt;=01_因子設定!$L$8-0.000000001,H5096&lt;=01_因子設定!$M$8+0.000000001,IF(01_因子設定!$B$20="Box-Behnken",E5096^2+F5096^2+G5096^2+H5096^2&lt;=2+0.000000001,TRUE()))</f>
        <v>1</v>
      </c>
      <c r="AD5096" s="55" t="n">
        <f aca="false">IF(AC5096,IF(01_因子設定!$B$13="最大化",AA5096-01_因子設定!$B$14,IF(01_因子設定!$B$13="最小化",01_因子設定!$B$15-AB5096,MIN(AA5096-01_因子設定!$B$14,01_因子設定!$B$15-AB5096))),-1E+030)</f>
        <v>0.767222562357247</v>
      </c>
      <c r="AE5096" s="55" t="n">
        <f aca="false">IF(AC5096,IF(01_因子設定!$B$13="最大化",X5096,IF(01_因子設定!$B$13="最小化",-X5096,-ABS(X5096-01_因子設定!$B$16))),-1E+030)</f>
        <v>48.8237664473684</v>
      </c>
      <c r="AF5096" s="55" t="n">
        <f aca="false">AD5096+ROW()*0.000000001</f>
        <v>0.767227658357247</v>
      </c>
      <c r="AG5096" s="55" t="n">
        <f aca="false">AE5096+ROW()*0.000000001</f>
        <v>48.8237715433684</v>
      </c>
    </row>
    <row r="5097" customFormat="false" ht="15" hidden="false" customHeight="false" outlineLevel="0" collapsed="false">
      <c r="A5097" s="0" t="n">
        <v>6</v>
      </c>
      <c r="B5097" s="0" t="n">
        <v>8</v>
      </c>
      <c r="C5097" s="0" t="n">
        <v>7</v>
      </c>
      <c r="D5097" s="0" t="n">
        <v>7</v>
      </c>
      <c r="E5097" s="0" t="n">
        <f aca="false">-1+A5097*0.25</f>
        <v>0.5</v>
      </c>
      <c r="F5097" s="0" t="n">
        <f aca="false">-1+B5097*0.25</f>
        <v>1</v>
      </c>
      <c r="G5097" s="0" t="n">
        <f aca="false">-1+C5097*0.25</f>
        <v>0.75</v>
      </c>
      <c r="H5097" s="0" t="n">
        <f aca="false">-1+D5097*0.25</f>
        <v>0.75</v>
      </c>
      <c r="I5097" s="0" t="n">
        <f aca="false">1</f>
        <v>1</v>
      </c>
      <c r="J5097" s="0" t="n">
        <f aca="false">E5097</f>
        <v>0.5</v>
      </c>
      <c r="K5097" s="0" t="n">
        <f aca="false">F5097</f>
        <v>1</v>
      </c>
      <c r="L5097" s="0" t="n">
        <f aca="false">G5097</f>
        <v>0.75</v>
      </c>
      <c r="M5097" s="0" t="n">
        <f aca="false">H5097</f>
        <v>0.75</v>
      </c>
      <c r="N5097" s="0" t="n">
        <f aca="false">E5097*F5097</f>
        <v>0.5</v>
      </c>
      <c r="O5097" s="0" t="n">
        <f aca="false">E5097*G5097</f>
        <v>0.375</v>
      </c>
      <c r="P5097" s="0" t="n">
        <f aca="false">E5097*H5097</f>
        <v>0.375</v>
      </c>
      <c r="Q5097" s="0" t="n">
        <f aca="false">F5097*G5097</f>
        <v>0.75</v>
      </c>
      <c r="R5097" s="0" t="n">
        <f aca="false">F5097*H5097</f>
        <v>0.75</v>
      </c>
      <c r="S5097" s="0" t="n">
        <f aca="false">G5097*H5097</f>
        <v>0.5625</v>
      </c>
      <c r="T5097" s="0" t="n">
        <f aca="false">E5097*E5097</f>
        <v>0.25</v>
      </c>
      <c r="U5097" s="0" t="n">
        <f aca="false">F5097*F5097</f>
        <v>1</v>
      </c>
      <c r="V5097" s="0" t="n">
        <f aca="false">G5097*G5097</f>
        <v>0.5625</v>
      </c>
      <c r="W5097" s="0" t="n">
        <f aca="false">H5097*H5097</f>
        <v>0.5625</v>
      </c>
      <c r="X5097" s="0" t="n">
        <f aca="false">SUMPRODUCT(I5097:W5097,_XtX!$B$96:$P$96)</f>
        <v>48.8220440423976</v>
      </c>
      <c r="Y5097" s="0" t="n">
        <f aca="false">SUMPRODUCT(MMULT(I5097:W5097,_XtX!$B$78:$P$92),I5097:W5097)</f>
        <v>0.431153771472953</v>
      </c>
      <c r="Z5097" s="0" t="n">
        <f aca="false">04_回帰ANOVA!$K$19*04_回帰ANOVA!$K$14*SQRT(1+Y5097)</f>
        <v>1.55934259562563</v>
      </c>
      <c r="AA5097" s="0" t="n">
        <f aca="false">X5097-Z5097</f>
        <v>47.262701446772</v>
      </c>
      <c r="AB5097" s="0" t="n">
        <f aca="false">X5097+Z5097</f>
        <v>50.3813866380233</v>
      </c>
      <c r="AC5097" s="54" t="b">
        <f aca="false">AND(E5097&gt;=01_因子設定!$L$5-0.000000001,E5097&lt;=01_因子設定!$M$5+0.000000001,F5097&gt;=01_因子設定!$L$6-0.000000001,F5097&lt;=01_因子設定!$M$6+0.000000001,G5097&gt;=01_因子設定!$L$7-0.000000001,G5097&lt;=01_因子設定!$M$7+0.000000001,H5097&gt;=01_因子設定!$L$8-0.000000001,H5097&lt;=01_因子設定!$M$8+0.000000001,IF(01_因子設定!$B$20="Box-Behnken",E5097^2+F5097^2+G5097^2+H5097^2&lt;=2+0.000000001,TRUE()))</f>
        <v>1</v>
      </c>
      <c r="AD5097" s="55" t="n">
        <f aca="false">IF(AC5097,IF(01_因子設定!$B$13="最大化",AA5097-01_因子設定!$B$14,IF(01_因子設定!$B$13="最小化",01_因子設定!$B$15-AB5097,MIN(AA5097-01_因子設定!$B$14,01_因子設定!$B$15-AB5097))),-1E+030)</f>
        <v>0.762701446772006</v>
      </c>
      <c r="AE5097" s="55" t="n">
        <f aca="false">IF(AC5097,IF(01_因子設定!$B$13="最大化",X5097,IF(01_因子設定!$B$13="最小化",-X5097,-ABS(X5097-01_因子設定!$B$16))),-1E+030)</f>
        <v>48.8220440423976</v>
      </c>
      <c r="AF5097" s="55" t="n">
        <f aca="false">AD5097+ROW()*0.000000001</f>
        <v>0.762706543772006</v>
      </c>
      <c r="AG5097" s="55" t="n">
        <f aca="false">AE5097+ROW()*0.000000001</f>
        <v>48.8220491393976</v>
      </c>
    </row>
    <row r="5098" customFormat="false" ht="15" hidden="false" customHeight="false" outlineLevel="0" collapsed="false">
      <c r="A5098" s="0" t="n">
        <v>6</v>
      </c>
      <c r="B5098" s="0" t="n">
        <v>8</v>
      </c>
      <c r="C5098" s="0" t="n">
        <v>7</v>
      </c>
      <c r="D5098" s="0" t="n">
        <v>8</v>
      </c>
      <c r="E5098" s="0" t="n">
        <f aca="false">-1+A5098*0.25</f>
        <v>0.5</v>
      </c>
      <c r="F5098" s="0" t="n">
        <f aca="false">-1+B5098*0.25</f>
        <v>1</v>
      </c>
      <c r="G5098" s="0" t="n">
        <f aca="false">-1+C5098*0.25</f>
        <v>0.75</v>
      </c>
      <c r="H5098" s="0" t="n">
        <f aca="false">-1+D5098*0.25</f>
        <v>1</v>
      </c>
      <c r="I5098" s="0" t="n">
        <f aca="false">1</f>
        <v>1</v>
      </c>
      <c r="J5098" s="0" t="n">
        <f aca="false">E5098</f>
        <v>0.5</v>
      </c>
      <c r="K5098" s="0" t="n">
        <f aca="false">F5098</f>
        <v>1</v>
      </c>
      <c r="L5098" s="0" t="n">
        <f aca="false">G5098</f>
        <v>0.75</v>
      </c>
      <c r="M5098" s="0" t="n">
        <f aca="false">H5098</f>
        <v>1</v>
      </c>
      <c r="N5098" s="0" t="n">
        <f aca="false">E5098*F5098</f>
        <v>0.5</v>
      </c>
      <c r="O5098" s="0" t="n">
        <f aca="false">E5098*G5098</f>
        <v>0.375</v>
      </c>
      <c r="P5098" s="0" t="n">
        <f aca="false">E5098*H5098</f>
        <v>0.5</v>
      </c>
      <c r="Q5098" s="0" t="n">
        <f aca="false">F5098*G5098</f>
        <v>0.75</v>
      </c>
      <c r="R5098" s="0" t="n">
        <f aca="false">F5098*H5098</f>
        <v>1</v>
      </c>
      <c r="S5098" s="0" t="n">
        <f aca="false">G5098*H5098</f>
        <v>0.75</v>
      </c>
      <c r="T5098" s="0" t="n">
        <f aca="false">E5098*E5098</f>
        <v>0.25</v>
      </c>
      <c r="U5098" s="0" t="n">
        <f aca="false">F5098*F5098</f>
        <v>1</v>
      </c>
      <c r="V5098" s="0" t="n">
        <f aca="false">G5098*G5098</f>
        <v>0.5625</v>
      </c>
      <c r="W5098" s="0" t="n">
        <f aca="false">H5098*H5098</f>
        <v>1</v>
      </c>
      <c r="X5098" s="0" t="n">
        <f aca="false">SUMPRODUCT(I5098:W5098,_XtX!$B$96:$P$96)</f>
        <v>48.772514619883</v>
      </c>
      <c r="Y5098" s="0" t="n">
        <f aca="false">SUMPRODUCT(MMULT(I5098:W5098,_XtX!$B$78:$P$92),I5098:W5098)</f>
        <v>0.564984237938597</v>
      </c>
      <c r="Z5098" s="0" t="n">
        <f aca="false">04_回帰ANOVA!$K$19*04_回帰ANOVA!$K$14*SQRT(1+Y5098)</f>
        <v>1.63062229734503</v>
      </c>
      <c r="AA5098" s="0" t="n">
        <f aca="false">X5098-Z5098</f>
        <v>47.141892322538</v>
      </c>
      <c r="AB5098" s="0" t="n">
        <f aca="false">X5098+Z5098</f>
        <v>50.4031369172281</v>
      </c>
      <c r="AC5098" s="54" t="b">
        <f aca="false">AND(E5098&gt;=01_因子設定!$L$5-0.000000001,E5098&lt;=01_因子設定!$M$5+0.000000001,F5098&gt;=01_因子設定!$L$6-0.000000001,F5098&lt;=01_因子設定!$M$6+0.000000001,G5098&gt;=01_因子設定!$L$7-0.000000001,G5098&lt;=01_因子設定!$M$7+0.000000001,H5098&gt;=01_因子設定!$L$8-0.000000001,H5098&lt;=01_因子設定!$M$8+0.000000001,IF(01_因子設定!$B$20="Box-Behnken",E5098^2+F5098^2+G5098^2+H5098^2&lt;=2+0.000000001,TRUE()))</f>
        <v>1</v>
      </c>
      <c r="AD5098" s="55" t="n">
        <f aca="false">IF(AC5098,IF(01_因子設定!$B$13="最大化",AA5098-01_因子設定!$B$14,IF(01_因子設定!$B$13="最小化",01_因子設定!$B$15-AB5098,MIN(AA5098-01_因子設定!$B$14,01_因子設定!$B$15-AB5098))),-1E+030)</f>
        <v>0.641892322537998</v>
      </c>
      <c r="AE5098" s="55" t="n">
        <f aca="false">IF(AC5098,IF(01_因子設定!$B$13="最大化",X5098,IF(01_因子設定!$B$13="最小化",-X5098,-ABS(X5098-01_因子設定!$B$16))),-1E+030)</f>
        <v>48.772514619883</v>
      </c>
      <c r="AF5098" s="55" t="n">
        <f aca="false">AD5098+ROW()*0.000000001</f>
        <v>0.641897420537999</v>
      </c>
      <c r="AG5098" s="55" t="n">
        <f aca="false">AE5098+ROW()*0.000000001</f>
        <v>48.772519717883</v>
      </c>
    </row>
    <row r="5099" customFormat="false" ht="15" hidden="false" customHeight="false" outlineLevel="0" collapsed="false">
      <c r="A5099" s="0" t="n">
        <v>6</v>
      </c>
      <c r="B5099" s="0" t="n">
        <v>8</v>
      </c>
      <c r="C5099" s="0" t="n">
        <v>8</v>
      </c>
      <c r="D5099" s="0" t="n">
        <v>0</v>
      </c>
      <c r="E5099" s="0" t="n">
        <f aca="false">-1+A5099*0.25</f>
        <v>0.5</v>
      </c>
      <c r="F5099" s="0" t="n">
        <f aca="false">-1+B5099*0.25</f>
        <v>1</v>
      </c>
      <c r="G5099" s="0" t="n">
        <f aca="false">-1+C5099*0.25</f>
        <v>1</v>
      </c>
      <c r="H5099" s="0" t="n">
        <f aca="false">-1+D5099*0.25</f>
        <v>-1</v>
      </c>
      <c r="I5099" s="0" t="n">
        <f aca="false">1</f>
        <v>1</v>
      </c>
      <c r="J5099" s="0" t="n">
        <f aca="false">E5099</f>
        <v>0.5</v>
      </c>
      <c r="K5099" s="0" t="n">
        <f aca="false">F5099</f>
        <v>1</v>
      </c>
      <c r="L5099" s="0" t="n">
        <f aca="false">G5099</f>
        <v>1</v>
      </c>
      <c r="M5099" s="0" t="n">
        <f aca="false">H5099</f>
        <v>-1</v>
      </c>
      <c r="N5099" s="0" t="n">
        <f aca="false">E5099*F5099</f>
        <v>0.5</v>
      </c>
      <c r="O5099" s="0" t="n">
        <f aca="false">E5099*G5099</f>
        <v>0.5</v>
      </c>
      <c r="P5099" s="0" t="n">
        <f aca="false">E5099*H5099</f>
        <v>-0.5</v>
      </c>
      <c r="Q5099" s="0" t="n">
        <f aca="false">F5099*G5099</f>
        <v>1</v>
      </c>
      <c r="R5099" s="0" t="n">
        <f aca="false">F5099*H5099</f>
        <v>-1</v>
      </c>
      <c r="S5099" s="0" t="n">
        <f aca="false">G5099*H5099</f>
        <v>-1</v>
      </c>
      <c r="T5099" s="0" t="n">
        <f aca="false">E5099*E5099</f>
        <v>0.25</v>
      </c>
      <c r="U5099" s="0" t="n">
        <f aca="false">F5099*F5099</f>
        <v>1</v>
      </c>
      <c r="V5099" s="0" t="n">
        <f aca="false">G5099*G5099</f>
        <v>1</v>
      </c>
      <c r="W5099" s="0" t="n">
        <f aca="false">H5099*H5099</f>
        <v>1</v>
      </c>
      <c r="X5099" s="0" t="n">
        <f aca="false">SUMPRODUCT(I5099:W5099,_XtX!$B$96:$P$96)</f>
        <v>47.7024122807018</v>
      </c>
      <c r="Y5099" s="0" t="n">
        <f aca="false">SUMPRODUCT(MMULT(I5099:W5099,_XtX!$B$78:$P$92),I5099:W5099)</f>
        <v>0.667123538011696</v>
      </c>
      <c r="Z5099" s="0" t="n">
        <f aca="false">04_回帰ANOVA!$K$19*04_回帰ANOVA!$K$14*SQRT(1+Y5099)</f>
        <v>1.68299290213005</v>
      </c>
      <c r="AA5099" s="0" t="n">
        <f aca="false">X5099-Z5099</f>
        <v>46.0194193785717</v>
      </c>
      <c r="AB5099" s="0" t="n">
        <f aca="false">X5099+Z5099</f>
        <v>49.3854051828318</v>
      </c>
      <c r="AC5099" s="54" t="b">
        <f aca="false">AND(E5099&gt;=01_因子設定!$L$5-0.000000001,E5099&lt;=01_因子設定!$M$5+0.000000001,F5099&gt;=01_因子設定!$L$6-0.000000001,F5099&lt;=01_因子設定!$M$6+0.000000001,G5099&gt;=01_因子設定!$L$7-0.000000001,G5099&lt;=01_因子設定!$M$7+0.000000001,H5099&gt;=01_因子設定!$L$8-0.000000001,H5099&lt;=01_因子設定!$M$8+0.000000001,IF(01_因子設定!$B$20="Box-Behnken",E5099^2+F5099^2+G5099^2+H5099^2&lt;=2+0.000000001,TRUE()))</f>
        <v>1</v>
      </c>
      <c r="AD5099" s="55" t="n">
        <f aca="false">IF(AC5099,IF(01_因子設定!$B$13="最大化",AA5099-01_因子設定!$B$14,IF(01_因子設定!$B$13="最小化",01_因子設定!$B$15-AB5099,MIN(AA5099-01_因子設定!$B$14,01_因子設定!$B$15-AB5099))),-1E+030)</f>
        <v>-0.480580621428302</v>
      </c>
      <c r="AE5099" s="55" t="n">
        <f aca="false">IF(AC5099,IF(01_因子設定!$B$13="最大化",X5099,IF(01_因子設定!$B$13="最小化",-X5099,-ABS(X5099-01_因子設定!$B$16))),-1E+030)</f>
        <v>47.7024122807018</v>
      </c>
      <c r="AF5099" s="55" t="n">
        <f aca="false">AD5099+ROW()*0.000000001</f>
        <v>-0.480575522428302</v>
      </c>
      <c r="AG5099" s="55" t="n">
        <f aca="false">AE5099+ROW()*0.000000001</f>
        <v>47.7024173797018</v>
      </c>
    </row>
    <row r="5100" customFormat="false" ht="15" hidden="false" customHeight="false" outlineLevel="0" collapsed="false">
      <c r="A5100" s="0" t="n">
        <v>6</v>
      </c>
      <c r="B5100" s="0" t="n">
        <v>8</v>
      </c>
      <c r="C5100" s="0" t="n">
        <v>8</v>
      </c>
      <c r="D5100" s="0" t="n">
        <v>1</v>
      </c>
      <c r="E5100" s="0" t="n">
        <f aca="false">-1+A5100*0.25</f>
        <v>0.5</v>
      </c>
      <c r="F5100" s="0" t="n">
        <f aca="false">-1+B5100*0.25</f>
        <v>1</v>
      </c>
      <c r="G5100" s="0" t="n">
        <f aca="false">-1+C5100*0.25</f>
        <v>1</v>
      </c>
      <c r="H5100" s="0" t="n">
        <f aca="false">-1+D5100*0.25</f>
        <v>-0.75</v>
      </c>
      <c r="I5100" s="0" t="n">
        <f aca="false">1</f>
        <v>1</v>
      </c>
      <c r="J5100" s="0" t="n">
        <f aca="false">E5100</f>
        <v>0.5</v>
      </c>
      <c r="K5100" s="0" t="n">
        <f aca="false">F5100</f>
        <v>1</v>
      </c>
      <c r="L5100" s="0" t="n">
        <f aca="false">G5100</f>
        <v>1</v>
      </c>
      <c r="M5100" s="0" t="n">
        <f aca="false">H5100</f>
        <v>-0.75</v>
      </c>
      <c r="N5100" s="0" t="n">
        <f aca="false">E5100*F5100</f>
        <v>0.5</v>
      </c>
      <c r="O5100" s="0" t="n">
        <f aca="false">E5100*G5100</f>
        <v>0.5</v>
      </c>
      <c r="P5100" s="0" t="n">
        <f aca="false">E5100*H5100</f>
        <v>-0.375</v>
      </c>
      <c r="Q5100" s="0" t="n">
        <f aca="false">F5100*G5100</f>
        <v>1</v>
      </c>
      <c r="R5100" s="0" t="n">
        <f aca="false">F5100*H5100</f>
        <v>-0.75</v>
      </c>
      <c r="S5100" s="0" t="n">
        <f aca="false">G5100*H5100</f>
        <v>-0.75</v>
      </c>
      <c r="T5100" s="0" t="n">
        <f aca="false">E5100*E5100</f>
        <v>0.25</v>
      </c>
      <c r="U5100" s="0" t="n">
        <f aca="false">F5100*F5100</f>
        <v>1</v>
      </c>
      <c r="V5100" s="0" t="n">
        <f aca="false">G5100*G5100</f>
        <v>1</v>
      </c>
      <c r="W5100" s="0" t="n">
        <f aca="false">H5100*H5100</f>
        <v>0.5625</v>
      </c>
      <c r="X5100" s="0" t="n">
        <f aca="false">SUMPRODUCT(I5100:W5100,_XtX!$B$96:$P$96)</f>
        <v>48.0055007309941</v>
      </c>
      <c r="Y5100" s="0" t="n">
        <f aca="false">SUMPRODUCT(MMULT(I5100:W5100,_XtX!$B$78:$P$92),I5100:W5100)</f>
        <v>0.564984237938597</v>
      </c>
      <c r="Z5100" s="0" t="n">
        <f aca="false">04_回帰ANOVA!$K$19*04_回帰ANOVA!$K$14*SQRT(1+Y5100)</f>
        <v>1.63062229734503</v>
      </c>
      <c r="AA5100" s="0" t="n">
        <f aca="false">X5100-Z5100</f>
        <v>46.3748784336491</v>
      </c>
      <c r="AB5100" s="0" t="n">
        <f aca="false">X5100+Z5100</f>
        <v>49.6361230283392</v>
      </c>
      <c r="AC5100" s="54" t="b">
        <f aca="false">AND(E5100&gt;=01_因子設定!$L$5-0.000000001,E5100&lt;=01_因子設定!$M$5+0.000000001,F5100&gt;=01_因子設定!$L$6-0.000000001,F5100&lt;=01_因子設定!$M$6+0.000000001,G5100&gt;=01_因子設定!$L$7-0.000000001,G5100&lt;=01_因子設定!$M$7+0.000000001,H5100&gt;=01_因子設定!$L$8-0.000000001,H5100&lt;=01_因子設定!$M$8+0.000000001,IF(01_因子設定!$B$20="Box-Behnken",E5100^2+F5100^2+G5100^2+H5100^2&lt;=2+0.000000001,TRUE()))</f>
        <v>1</v>
      </c>
      <c r="AD5100" s="55" t="n">
        <f aca="false">IF(AC5100,IF(01_因子設定!$B$13="最大化",AA5100-01_因子設定!$B$14,IF(01_因子設定!$B$13="最小化",01_因子設定!$B$15-AB5100,MIN(AA5100-01_因子設定!$B$14,01_因子設定!$B$15-AB5100))),-1E+030)</f>
        <v>-0.125121566350899</v>
      </c>
      <c r="AE5100" s="55" t="n">
        <f aca="false">IF(AC5100,IF(01_因子設定!$B$13="最大化",X5100,IF(01_因子設定!$B$13="最小化",-X5100,-ABS(X5100-01_因子設定!$B$16))),-1E+030)</f>
        <v>48.0055007309941</v>
      </c>
      <c r="AF5100" s="55" t="n">
        <f aca="false">AD5100+ROW()*0.000000001</f>
        <v>-0.125116466350899</v>
      </c>
      <c r="AG5100" s="55" t="n">
        <f aca="false">AE5100+ROW()*0.000000001</f>
        <v>48.0055058309941</v>
      </c>
    </row>
    <row r="5101" customFormat="false" ht="15" hidden="false" customHeight="false" outlineLevel="0" collapsed="false">
      <c r="A5101" s="0" t="n">
        <v>6</v>
      </c>
      <c r="B5101" s="0" t="n">
        <v>8</v>
      </c>
      <c r="C5101" s="0" t="n">
        <v>8</v>
      </c>
      <c r="D5101" s="0" t="n">
        <v>2</v>
      </c>
      <c r="E5101" s="0" t="n">
        <f aca="false">-1+A5101*0.25</f>
        <v>0.5</v>
      </c>
      <c r="F5101" s="0" t="n">
        <f aca="false">-1+B5101*0.25</f>
        <v>1</v>
      </c>
      <c r="G5101" s="0" t="n">
        <f aca="false">-1+C5101*0.25</f>
        <v>1</v>
      </c>
      <c r="H5101" s="0" t="n">
        <f aca="false">-1+D5101*0.25</f>
        <v>-0.5</v>
      </c>
      <c r="I5101" s="0" t="n">
        <f aca="false">1</f>
        <v>1</v>
      </c>
      <c r="J5101" s="0" t="n">
        <f aca="false">E5101</f>
        <v>0.5</v>
      </c>
      <c r="K5101" s="0" t="n">
        <f aca="false">F5101</f>
        <v>1</v>
      </c>
      <c r="L5101" s="0" t="n">
        <f aca="false">G5101</f>
        <v>1</v>
      </c>
      <c r="M5101" s="0" t="n">
        <f aca="false">H5101</f>
        <v>-0.5</v>
      </c>
      <c r="N5101" s="0" t="n">
        <f aca="false">E5101*F5101</f>
        <v>0.5</v>
      </c>
      <c r="O5101" s="0" t="n">
        <f aca="false">E5101*G5101</f>
        <v>0.5</v>
      </c>
      <c r="P5101" s="0" t="n">
        <f aca="false">E5101*H5101</f>
        <v>-0.25</v>
      </c>
      <c r="Q5101" s="0" t="n">
        <f aca="false">F5101*G5101</f>
        <v>1</v>
      </c>
      <c r="R5101" s="0" t="n">
        <f aca="false">F5101*H5101</f>
        <v>-0.5</v>
      </c>
      <c r="S5101" s="0" t="n">
        <f aca="false">G5101*H5101</f>
        <v>-0.5</v>
      </c>
      <c r="T5101" s="0" t="n">
        <f aca="false">E5101*E5101</f>
        <v>0.25</v>
      </c>
      <c r="U5101" s="0" t="n">
        <f aca="false">F5101*F5101</f>
        <v>1</v>
      </c>
      <c r="V5101" s="0" t="n">
        <f aca="false">G5101*G5101</f>
        <v>1</v>
      </c>
      <c r="W5101" s="0" t="n">
        <f aca="false">H5101*H5101</f>
        <v>0.25</v>
      </c>
      <c r="X5101" s="0" t="n">
        <f aca="false">SUMPRODUCT(I5101:W5101,_XtX!$B$96:$P$96)</f>
        <v>48.2607821637427</v>
      </c>
      <c r="Y5101" s="0" t="n">
        <f aca="false">SUMPRODUCT(MMULT(I5101:W5101,_XtX!$B$78:$P$92),I5101:W5101)</f>
        <v>0.582488121345029</v>
      </c>
      <c r="Z5101" s="0" t="n">
        <f aca="false">04_回帰ANOVA!$K$19*04_回帰ANOVA!$K$14*SQRT(1+Y5101)</f>
        <v>1.63971595338287</v>
      </c>
      <c r="AA5101" s="0" t="n">
        <f aca="false">X5101-Z5101</f>
        <v>46.6210662103598</v>
      </c>
      <c r="AB5101" s="0" t="n">
        <f aca="false">X5101+Z5101</f>
        <v>49.9004981171255</v>
      </c>
      <c r="AC5101" s="54" t="b">
        <f aca="false">AND(E5101&gt;=01_因子設定!$L$5-0.000000001,E5101&lt;=01_因子設定!$M$5+0.000000001,F5101&gt;=01_因子設定!$L$6-0.000000001,F5101&lt;=01_因子設定!$M$6+0.000000001,G5101&gt;=01_因子設定!$L$7-0.000000001,G5101&lt;=01_因子設定!$M$7+0.000000001,H5101&gt;=01_因子設定!$L$8-0.000000001,H5101&lt;=01_因子設定!$M$8+0.000000001,IF(01_因子設定!$B$20="Box-Behnken",E5101^2+F5101^2+G5101^2+H5101^2&lt;=2+0.000000001,TRUE()))</f>
        <v>1</v>
      </c>
      <c r="AD5101" s="55" t="n">
        <f aca="false">IF(AC5101,IF(01_因子設定!$B$13="最大化",AA5101-01_因子設定!$B$14,IF(01_因子設定!$B$13="最小化",01_因子設定!$B$15-AB5101,MIN(AA5101-01_因子設定!$B$14,01_因子設定!$B$15-AB5101))),-1E+030)</f>
        <v>0.121066210359793</v>
      </c>
      <c r="AE5101" s="55" t="n">
        <f aca="false">IF(AC5101,IF(01_因子設定!$B$13="最大化",X5101,IF(01_因子設定!$B$13="最小化",-X5101,-ABS(X5101-01_因子設定!$B$16))),-1E+030)</f>
        <v>48.2607821637427</v>
      </c>
      <c r="AF5101" s="55" t="n">
        <f aca="false">AD5101+ROW()*0.000000001</f>
        <v>0.121071311359793</v>
      </c>
      <c r="AG5101" s="55" t="n">
        <f aca="false">AE5101+ROW()*0.000000001</f>
        <v>48.2607872647427</v>
      </c>
    </row>
    <row r="5102" customFormat="false" ht="15" hidden="false" customHeight="false" outlineLevel="0" collapsed="false">
      <c r="A5102" s="0" t="n">
        <v>6</v>
      </c>
      <c r="B5102" s="0" t="n">
        <v>8</v>
      </c>
      <c r="C5102" s="0" t="n">
        <v>8</v>
      </c>
      <c r="D5102" s="0" t="n">
        <v>3</v>
      </c>
      <c r="E5102" s="0" t="n">
        <f aca="false">-1+A5102*0.25</f>
        <v>0.5</v>
      </c>
      <c r="F5102" s="0" t="n">
        <f aca="false">-1+B5102*0.25</f>
        <v>1</v>
      </c>
      <c r="G5102" s="0" t="n">
        <f aca="false">-1+C5102*0.25</f>
        <v>1</v>
      </c>
      <c r="H5102" s="0" t="n">
        <f aca="false">-1+D5102*0.25</f>
        <v>-0.25</v>
      </c>
      <c r="I5102" s="0" t="n">
        <f aca="false">1</f>
        <v>1</v>
      </c>
      <c r="J5102" s="0" t="n">
        <f aca="false">E5102</f>
        <v>0.5</v>
      </c>
      <c r="K5102" s="0" t="n">
        <f aca="false">F5102</f>
        <v>1</v>
      </c>
      <c r="L5102" s="0" t="n">
        <f aca="false">G5102</f>
        <v>1</v>
      </c>
      <c r="M5102" s="0" t="n">
        <f aca="false">H5102</f>
        <v>-0.25</v>
      </c>
      <c r="N5102" s="0" t="n">
        <f aca="false">E5102*F5102</f>
        <v>0.5</v>
      </c>
      <c r="O5102" s="0" t="n">
        <f aca="false">E5102*G5102</f>
        <v>0.5</v>
      </c>
      <c r="P5102" s="0" t="n">
        <f aca="false">E5102*H5102</f>
        <v>-0.125</v>
      </c>
      <c r="Q5102" s="0" t="n">
        <f aca="false">F5102*G5102</f>
        <v>1</v>
      </c>
      <c r="R5102" s="0" t="n">
        <f aca="false">F5102*H5102</f>
        <v>-0.25</v>
      </c>
      <c r="S5102" s="0" t="n">
        <f aca="false">G5102*H5102</f>
        <v>-0.25</v>
      </c>
      <c r="T5102" s="0" t="n">
        <f aca="false">E5102*E5102</f>
        <v>0.25</v>
      </c>
      <c r="U5102" s="0" t="n">
        <f aca="false">F5102*F5102</f>
        <v>1</v>
      </c>
      <c r="V5102" s="0" t="n">
        <f aca="false">G5102*G5102</f>
        <v>1</v>
      </c>
      <c r="W5102" s="0" t="n">
        <f aca="false">H5102*H5102</f>
        <v>0.0625</v>
      </c>
      <c r="X5102" s="0" t="n">
        <f aca="false">SUMPRODUCT(I5102:W5102,_XtX!$B$96:$P$96)</f>
        <v>48.4682565789473</v>
      </c>
      <c r="Y5102" s="0" t="n">
        <f aca="false">SUMPRODUCT(MMULT(I5102:W5102,_XtX!$B$78:$P$92),I5102:W5102)</f>
        <v>0.629174661915205</v>
      </c>
      <c r="Z5102" s="0" t="n">
        <f aca="false">04_回帰ANOVA!$K$19*04_回帰ANOVA!$K$14*SQRT(1+Y5102)</f>
        <v>1.66372758058297</v>
      </c>
      <c r="AA5102" s="0" t="n">
        <f aca="false">X5102-Z5102</f>
        <v>46.8045289983644</v>
      </c>
      <c r="AB5102" s="0" t="n">
        <f aca="false">X5102+Z5102</f>
        <v>50.1319841595303</v>
      </c>
      <c r="AC5102" s="54" t="b">
        <f aca="false">AND(E5102&gt;=01_因子設定!$L$5-0.000000001,E5102&lt;=01_因子設定!$M$5+0.000000001,F5102&gt;=01_因子設定!$L$6-0.000000001,F5102&lt;=01_因子設定!$M$6+0.000000001,G5102&gt;=01_因子設定!$L$7-0.000000001,G5102&lt;=01_因子設定!$M$7+0.000000001,H5102&gt;=01_因子設定!$L$8-0.000000001,H5102&lt;=01_因子設定!$M$8+0.000000001,IF(01_因子設定!$B$20="Box-Behnken",E5102^2+F5102^2+G5102^2+H5102^2&lt;=2+0.000000001,TRUE()))</f>
        <v>1</v>
      </c>
      <c r="AD5102" s="55" t="n">
        <f aca="false">IF(AC5102,IF(01_因子設定!$B$13="最大化",AA5102-01_因子設定!$B$14,IF(01_因子設定!$B$13="最小化",01_因子設定!$B$15-AB5102,MIN(AA5102-01_因子設定!$B$14,01_因子設定!$B$15-AB5102))),-1E+030)</f>
        <v>0.304528998364361</v>
      </c>
      <c r="AE5102" s="55" t="n">
        <f aca="false">IF(AC5102,IF(01_因子設定!$B$13="最大化",X5102,IF(01_因子設定!$B$13="最小化",-X5102,-ABS(X5102-01_因子設定!$B$16))),-1E+030)</f>
        <v>48.4682565789473</v>
      </c>
      <c r="AF5102" s="55" t="n">
        <f aca="false">AD5102+ROW()*0.000000001</f>
        <v>0.304534100364361</v>
      </c>
      <c r="AG5102" s="55" t="n">
        <f aca="false">AE5102+ROW()*0.000000001</f>
        <v>48.4682616809473</v>
      </c>
    </row>
    <row r="5103" customFormat="false" ht="15" hidden="false" customHeight="false" outlineLevel="0" collapsed="false">
      <c r="A5103" s="0" t="n">
        <v>6</v>
      </c>
      <c r="B5103" s="0" t="n">
        <v>8</v>
      </c>
      <c r="C5103" s="0" t="n">
        <v>8</v>
      </c>
      <c r="D5103" s="0" t="n">
        <v>4</v>
      </c>
      <c r="E5103" s="0" t="n">
        <f aca="false">-1+A5103*0.25</f>
        <v>0.5</v>
      </c>
      <c r="F5103" s="0" t="n">
        <f aca="false">-1+B5103*0.25</f>
        <v>1</v>
      </c>
      <c r="G5103" s="0" t="n">
        <f aca="false">-1+C5103*0.25</f>
        <v>1</v>
      </c>
      <c r="H5103" s="0" t="n">
        <f aca="false">-1+D5103*0.25</f>
        <v>0</v>
      </c>
      <c r="I5103" s="0" t="n">
        <f aca="false">1</f>
        <v>1</v>
      </c>
      <c r="J5103" s="0" t="n">
        <f aca="false">E5103</f>
        <v>0.5</v>
      </c>
      <c r="K5103" s="0" t="n">
        <f aca="false">F5103</f>
        <v>1</v>
      </c>
      <c r="L5103" s="0" t="n">
        <f aca="false">G5103</f>
        <v>1</v>
      </c>
      <c r="M5103" s="0" t="n">
        <f aca="false">H5103</f>
        <v>0</v>
      </c>
      <c r="N5103" s="0" t="n">
        <f aca="false">E5103*F5103</f>
        <v>0.5</v>
      </c>
      <c r="O5103" s="0" t="n">
        <f aca="false">E5103*G5103</f>
        <v>0.5</v>
      </c>
      <c r="P5103" s="0" t="n">
        <f aca="false">E5103*H5103</f>
        <v>0</v>
      </c>
      <c r="Q5103" s="0" t="n">
        <f aca="false">F5103*G5103</f>
        <v>1</v>
      </c>
      <c r="R5103" s="0" t="n">
        <f aca="false">F5103*H5103</f>
        <v>0</v>
      </c>
      <c r="S5103" s="0" t="n">
        <f aca="false">G5103*H5103</f>
        <v>0</v>
      </c>
      <c r="T5103" s="0" t="n">
        <f aca="false">E5103*E5103</f>
        <v>0.25</v>
      </c>
      <c r="U5103" s="0" t="n">
        <f aca="false">F5103*F5103</f>
        <v>1</v>
      </c>
      <c r="V5103" s="0" t="n">
        <f aca="false">G5103*G5103</f>
        <v>1</v>
      </c>
      <c r="W5103" s="0" t="n">
        <f aca="false">H5103*H5103</f>
        <v>0</v>
      </c>
      <c r="X5103" s="0" t="n">
        <f aca="false">SUMPRODUCT(I5103:W5103,_XtX!$B$96:$P$96)</f>
        <v>48.6279239766081</v>
      </c>
      <c r="Y5103" s="0" t="n">
        <f aca="false">SUMPRODUCT(MMULT(I5103:W5103,_XtX!$B$78:$P$92),I5103:W5103)</f>
        <v>0.650767543859649</v>
      </c>
      <c r="Z5103" s="0" t="n">
        <f aca="false">04_回帰ANOVA!$K$19*04_回帰ANOVA!$K$14*SQRT(1+Y5103)</f>
        <v>1.67471670935165</v>
      </c>
      <c r="AA5103" s="0" t="n">
        <f aca="false">X5103-Z5103</f>
        <v>46.9532072672565</v>
      </c>
      <c r="AB5103" s="0" t="n">
        <f aca="false">X5103+Z5103</f>
        <v>50.3026406859598</v>
      </c>
      <c r="AC5103" s="54" t="b">
        <f aca="false">AND(E5103&gt;=01_因子設定!$L$5-0.000000001,E5103&lt;=01_因子設定!$M$5+0.000000001,F5103&gt;=01_因子設定!$L$6-0.000000001,F5103&lt;=01_因子設定!$M$6+0.000000001,G5103&gt;=01_因子設定!$L$7-0.000000001,G5103&lt;=01_因子設定!$M$7+0.000000001,H5103&gt;=01_因子設定!$L$8-0.000000001,H5103&lt;=01_因子設定!$M$8+0.000000001,IF(01_因子設定!$B$20="Box-Behnken",E5103^2+F5103^2+G5103^2+H5103^2&lt;=2+0.000000001,TRUE()))</f>
        <v>1</v>
      </c>
      <c r="AD5103" s="55" t="n">
        <f aca="false">IF(AC5103,IF(01_因子設定!$B$13="最大化",AA5103-01_因子設定!$B$14,IF(01_因子設定!$B$13="最小化",01_因子設定!$B$15-AB5103,MIN(AA5103-01_因子設定!$B$14,01_因子設定!$B$15-AB5103))),-1E+030)</f>
        <v>0.453207267256495</v>
      </c>
      <c r="AE5103" s="55" t="n">
        <f aca="false">IF(AC5103,IF(01_因子設定!$B$13="最大化",X5103,IF(01_因子設定!$B$13="最小化",-X5103,-ABS(X5103-01_因子設定!$B$16))),-1E+030)</f>
        <v>48.6279239766081</v>
      </c>
      <c r="AF5103" s="55" t="n">
        <f aca="false">AD5103+ROW()*0.000000001</f>
        <v>0.453212370256495</v>
      </c>
      <c r="AG5103" s="55" t="n">
        <f aca="false">AE5103+ROW()*0.000000001</f>
        <v>48.6279290796081</v>
      </c>
    </row>
    <row r="5104" customFormat="false" ht="15" hidden="false" customHeight="false" outlineLevel="0" collapsed="false">
      <c r="A5104" s="0" t="n">
        <v>6</v>
      </c>
      <c r="B5104" s="0" t="n">
        <v>8</v>
      </c>
      <c r="C5104" s="0" t="n">
        <v>8</v>
      </c>
      <c r="D5104" s="0" t="n">
        <v>5</v>
      </c>
      <c r="E5104" s="0" t="n">
        <f aca="false">-1+A5104*0.25</f>
        <v>0.5</v>
      </c>
      <c r="F5104" s="0" t="n">
        <f aca="false">-1+B5104*0.25</f>
        <v>1</v>
      </c>
      <c r="G5104" s="0" t="n">
        <f aca="false">-1+C5104*0.25</f>
        <v>1</v>
      </c>
      <c r="H5104" s="0" t="n">
        <f aca="false">-1+D5104*0.25</f>
        <v>0.25</v>
      </c>
      <c r="I5104" s="0" t="n">
        <f aca="false">1</f>
        <v>1</v>
      </c>
      <c r="J5104" s="0" t="n">
        <f aca="false">E5104</f>
        <v>0.5</v>
      </c>
      <c r="K5104" s="0" t="n">
        <f aca="false">F5104</f>
        <v>1</v>
      </c>
      <c r="L5104" s="0" t="n">
        <f aca="false">G5104</f>
        <v>1</v>
      </c>
      <c r="M5104" s="0" t="n">
        <f aca="false">H5104</f>
        <v>0.25</v>
      </c>
      <c r="N5104" s="0" t="n">
        <f aca="false">E5104*F5104</f>
        <v>0.5</v>
      </c>
      <c r="O5104" s="0" t="n">
        <f aca="false">E5104*G5104</f>
        <v>0.5</v>
      </c>
      <c r="P5104" s="0" t="n">
        <f aca="false">E5104*H5104</f>
        <v>0.125</v>
      </c>
      <c r="Q5104" s="0" t="n">
        <f aca="false">F5104*G5104</f>
        <v>1</v>
      </c>
      <c r="R5104" s="0" t="n">
        <f aca="false">F5104*H5104</f>
        <v>0.25</v>
      </c>
      <c r="S5104" s="0" t="n">
        <f aca="false">G5104*H5104</f>
        <v>0.25</v>
      </c>
      <c r="T5104" s="0" t="n">
        <f aca="false">E5104*E5104</f>
        <v>0.25</v>
      </c>
      <c r="U5104" s="0" t="n">
        <f aca="false">F5104*F5104</f>
        <v>1</v>
      </c>
      <c r="V5104" s="0" t="n">
        <f aca="false">G5104*G5104</f>
        <v>1</v>
      </c>
      <c r="W5104" s="0" t="n">
        <f aca="false">H5104*H5104</f>
        <v>0.0625</v>
      </c>
      <c r="X5104" s="0" t="n">
        <f aca="false">SUMPRODUCT(I5104:W5104,_XtX!$B$96:$P$96)</f>
        <v>48.7397843567251</v>
      </c>
      <c r="Y5104" s="0" t="n">
        <f aca="false">SUMPRODUCT(MMULT(I5104:W5104,_XtX!$B$78:$P$92),I5104:W5104)</f>
        <v>0.629174661915205</v>
      </c>
      <c r="Z5104" s="0" t="n">
        <f aca="false">04_回帰ANOVA!$K$19*04_回帰ANOVA!$K$14*SQRT(1+Y5104)</f>
        <v>1.66372758058297</v>
      </c>
      <c r="AA5104" s="0" t="n">
        <f aca="false">X5104-Z5104</f>
        <v>47.0760567761421</v>
      </c>
      <c r="AB5104" s="0" t="n">
        <f aca="false">X5104+Z5104</f>
        <v>50.4035119373081</v>
      </c>
      <c r="AC5104" s="54" t="b">
        <f aca="false">AND(E5104&gt;=01_因子設定!$L$5-0.000000001,E5104&lt;=01_因子設定!$M$5+0.000000001,F5104&gt;=01_因子設定!$L$6-0.000000001,F5104&lt;=01_因子設定!$M$6+0.000000001,G5104&gt;=01_因子設定!$L$7-0.000000001,G5104&lt;=01_因子設定!$M$7+0.000000001,H5104&gt;=01_因子設定!$L$8-0.000000001,H5104&lt;=01_因子設定!$M$8+0.000000001,IF(01_因子設定!$B$20="Box-Behnken",E5104^2+F5104^2+G5104^2+H5104^2&lt;=2+0.000000001,TRUE()))</f>
        <v>1</v>
      </c>
      <c r="AD5104" s="55" t="n">
        <f aca="false">IF(AC5104,IF(01_因子設定!$B$13="最大化",AA5104-01_因子設定!$B$14,IF(01_因子設定!$B$13="最小化",01_因子設定!$B$15-AB5104,MIN(AA5104-01_因子設定!$B$14,01_因子設定!$B$15-AB5104))),-1E+030)</f>
        <v>0.576056776142139</v>
      </c>
      <c r="AE5104" s="55" t="n">
        <f aca="false">IF(AC5104,IF(01_因子設定!$B$13="最大化",X5104,IF(01_因子設定!$B$13="最小化",-X5104,-ABS(X5104-01_因子設定!$B$16))),-1E+030)</f>
        <v>48.7397843567251</v>
      </c>
      <c r="AF5104" s="55" t="n">
        <f aca="false">AD5104+ROW()*0.000000001</f>
        <v>0.576061880142138</v>
      </c>
      <c r="AG5104" s="55" t="n">
        <f aca="false">AE5104+ROW()*0.000000001</f>
        <v>48.7397894607251</v>
      </c>
    </row>
    <row r="5105" customFormat="false" ht="15" hidden="false" customHeight="false" outlineLevel="0" collapsed="false">
      <c r="A5105" s="0" t="n">
        <v>6</v>
      </c>
      <c r="B5105" s="0" t="n">
        <v>8</v>
      </c>
      <c r="C5105" s="0" t="n">
        <v>8</v>
      </c>
      <c r="D5105" s="0" t="n">
        <v>6</v>
      </c>
      <c r="E5105" s="0" t="n">
        <f aca="false">-1+A5105*0.25</f>
        <v>0.5</v>
      </c>
      <c r="F5105" s="0" t="n">
        <f aca="false">-1+B5105*0.25</f>
        <v>1</v>
      </c>
      <c r="G5105" s="0" t="n">
        <f aca="false">-1+C5105*0.25</f>
        <v>1</v>
      </c>
      <c r="H5105" s="0" t="n">
        <f aca="false">-1+D5105*0.25</f>
        <v>0.5</v>
      </c>
      <c r="I5105" s="0" t="n">
        <f aca="false">1</f>
        <v>1</v>
      </c>
      <c r="J5105" s="0" t="n">
        <f aca="false">E5105</f>
        <v>0.5</v>
      </c>
      <c r="K5105" s="0" t="n">
        <f aca="false">F5105</f>
        <v>1</v>
      </c>
      <c r="L5105" s="0" t="n">
        <f aca="false">G5105</f>
        <v>1</v>
      </c>
      <c r="M5105" s="0" t="n">
        <f aca="false">H5105</f>
        <v>0.5</v>
      </c>
      <c r="N5105" s="0" t="n">
        <f aca="false">E5105*F5105</f>
        <v>0.5</v>
      </c>
      <c r="O5105" s="0" t="n">
        <f aca="false">E5105*G5105</f>
        <v>0.5</v>
      </c>
      <c r="P5105" s="0" t="n">
        <f aca="false">E5105*H5105</f>
        <v>0.25</v>
      </c>
      <c r="Q5105" s="0" t="n">
        <f aca="false">F5105*G5105</f>
        <v>1</v>
      </c>
      <c r="R5105" s="0" t="n">
        <f aca="false">F5105*H5105</f>
        <v>0.5</v>
      </c>
      <c r="S5105" s="0" t="n">
        <f aca="false">G5105*H5105</f>
        <v>0.5</v>
      </c>
      <c r="T5105" s="0" t="n">
        <f aca="false">E5105*E5105</f>
        <v>0.25</v>
      </c>
      <c r="U5105" s="0" t="n">
        <f aca="false">F5105*F5105</f>
        <v>1</v>
      </c>
      <c r="V5105" s="0" t="n">
        <f aca="false">G5105*G5105</f>
        <v>1</v>
      </c>
      <c r="W5105" s="0" t="n">
        <f aca="false">H5105*H5105</f>
        <v>0.25</v>
      </c>
      <c r="X5105" s="0" t="n">
        <f aca="false">SUMPRODUCT(I5105:W5105,_XtX!$B$96:$P$96)</f>
        <v>48.8038377192982</v>
      </c>
      <c r="Y5105" s="0" t="n">
        <f aca="false">SUMPRODUCT(MMULT(I5105:W5105,_XtX!$B$78:$P$92),I5105:W5105)</f>
        <v>0.582488121345029</v>
      </c>
      <c r="Z5105" s="0" t="n">
        <f aca="false">04_回帰ANOVA!$K$19*04_回帰ANOVA!$K$14*SQRT(1+Y5105)</f>
        <v>1.63971595338287</v>
      </c>
      <c r="AA5105" s="0" t="n">
        <f aca="false">X5105-Z5105</f>
        <v>47.1641217659154</v>
      </c>
      <c r="AB5105" s="0" t="n">
        <f aca="false">X5105+Z5105</f>
        <v>50.4435536726811</v>
      </c>
      <c r="AC5105" s="54" t="b">
        <f aca="false">AND(E5105&gt;=01_因子設定!$L$5-0.000000001,E5105&lt;=01_因子設定!$M$5+0.000000001,F5105&gt;=01_因子設定!$L$6-0.000000001,F5105&lt;=01_因子設定!$M$6+0.000000001,G5105&gt;=01_因子設定!$L$7-0.000000001,G5105&lt;=01_因子設定!$M$7+0.000000001,H5105&gt;=01_因子設定!$L$8-0.000000001,H5105&lt;=01_因子設定!$M$8+0.000000001,IF(01_因子設定!$B$20="Box-Behnken",E5105^2+F5105^2+G5105^2+H5105^2&lt;=2+0.000000001,TRUE()))</f>
        <v>1</v>
      </c>
      <c r="AD5105" s="55" t="n">
        <f aca="false">IF(AC5105,IF(01_因子設定!$B$13="最大化",AA5105-01_因子設定!$B$14,IF(01_因子設定!$B$13="最小化",01_因子設定!$B$15-AB5105,MIN(AA5105-01_因子設定!$B$14,01_因子設定!$B$15-AB5105))),-1E+030)</f>
        <v>0.664121765915347</v>
      </c>
      <c r="AE5105" s="55" t="n">
        <f aca="false">IF(AC5105,IF(01_因子設定!$B$13="最大化",X5105,IF(01_因子設定!$B$13="最小化",-X5105,-ABS(X5105-01_因子設定!$B$16))),-1E+030)</f>
        <v>48.8038377192982</v>
      </c>
      <c r="AF5105" s="55" t="n">
        <f aca="false">AD5105+ROW()*0.000000001</f>
        <v>0.664126870915347</v>
      </c>
      <c r="AG5105" s="55" t="n">
        <f aca="false">AE5105+ROW()*0.000000001</f>
        <v>48.8038428242982</v>
      </c>
    </row>
    <row r="5106" customFormat="false" ht="15" hidden="false" customHeight="false" outlineLevel="0" collapsed="false">
      <c r="A5106" s="0" t="n">
        <v>6</v>
      </c>
      <c r="B5106" s="0" t="n">
        <v>8</v>
      </c>
      <c r="C5106" s="0" t="n">
        <v>8</v>
      </c>
      <c r="D5106" s="0" t="n">
        <v>7</v>
      </c>
      <c r="E5106" s="0" t="n">
        <f aca="false">-1+A5106*0.25</f>
        <v>0.5</v>
      </c>
      <c r="F5106" s="0" t="n">
        <f aca="false">-1+B5106*0.25</f>
        <v>1</v>
      </c>
      <c r="G5106" s="0" t="n">
        <f aca="false">-1+C5106*0.25</f>
        <v>1</v>
      </c>
      <c r="H5106" s="0" t="n">
        <f aca="false">-1+D5106*0.25</f>
        <v>0.75</v>
      </c>
      <c r="I5106" s="0" t="n">
        <f aca="false">1</f>
        <v>1</v>
      </c>
      <c r="J5106" s="0" t="n">
        <f aca="false">E5106</f>
        <v>0.5</v>
      </c>
      <c r="K5106" s="0" t="n">
        <f aca="false">F5106</f>
        <v>1</v>
      </c>
      <c r="L5106" s="0" t="n">
        <f aca="false">G5106</f>
        <v>1</v>
      </c>
      <c r="M5106" s="0" t="n">
        <f aca="false">H5106</f>
        <v>0.75</v>
      </c>
      <c r="N5106" s="0" t="n">
        <f aca="false">E5106*F5106</f>
        <v>0.5</v>
      </c>
      <c r="O5106" s="0" t="n">
        <f aca="false">E5106*G5106</f>
        <v>0.5</v>
      </c>
      <c r="P5106" s="0" t="n">
        <f aca="false">E5106*H5106</f>
        <v>0.375</v>
      </c>
      <c r="Q5106" s="0" t="n">
        <f aca="false">F5106*G5106</f>
        <v>1</v>
      </c>
      <c r="R5106" s="0" t="n">
        <f aca="false">F5106*H5106</f>
        <v>0.75</v>
      </c>
      <c r="S5106" s="0" t="n">
        <f aca="false">G5106*H5106</f>
        <v>0.75</v>
      </c>
      <c r="T5106" s="0" t="n">
        <f aca="false">E5106*E5106</f>
        <v>0.25</v>
      </c>
      <c r="U5106" s="0" t="n">
        <f aca="false">F5106*F5106</f>
        <v>1</v>
      </c>
      <c r="V5106" s="0" t="n">
        <f aca="false">G5106*G5106</f>
        <v>1</v>
      </c>
      <c r="W5106" s="0" t="n">
        <f aca="false">H5106*H5106</f>
        <v>0.5625</v>
      </c>
      <c r="X5106" s="0" t="n">
        <f aca="false">SUMPRODUCT(I5106:W5106,_XtX!$B$96:$P$96)</f>
        <v>48.8200840643275</v>
      </c>
      <c r="Y5106" s="0" t="n">
        <f aca="false">SUMPRODUCT(MMULT(I5106:W5106,_XtX!$B$78:$P$92),I5106:W5106)</f>
        <v>0.564984237938597</v>
      </c>
      <c r="Z5106" s="0" t="n">
        <f aca="false">04_回帰ANOVA!$K$19*04_回帰ANOVA!$K$14*SQRT(1+Y5106)</f>
        <v>1.63062229734503</v>
      </c>
      <c r="AA5106" s="0" t="n">
        <f aca="false">X5106-Z5106</f>
        <v>47.1894617669824</v>
      </c>
      <c r="AB5106" s="0" t="n">
        <f aca="false">X5106+Z5106</f>
        <v>50.4507063616725</v>
      </c>
      <c r="AC5106" s="54" t="b">
        <f aca="false">AND(E5106&gt;=01_因子設定!$L$5-0.000000001,E5106&lt;=01_因子設定!$M$5+0.000000001,F5106&gt;=01_因子設定!$L$6-0.000000001,F5106&lt;=01_因子設定!$M$6+0.000000001,G5106&gt;=01_因子設定!$L$7-0.000000001,G5106&lt;=01_因子設定!$M$7+0.000000001,H5106&gt;=01_因子設定!$L$8-0.000000001,H5106&lt;=01_因子設定!$M$8+0.000000001,IF(01_因子設定!$B$20="Box-Behnken",E5106^2+F5106^2+G5106^2+H5106^2&lt;=2+0.000000001,TRUE()))</f>
        <v>1</v>
      </c>
      <c r="AD5106" s="55" t="n">
        <f aca="false">IF(AC5106,IF(01_因子設定!$B$13="最大化",AA5106-01_因子設定!$B$14,IF(01_因子設定!$B$13="最小化",01_因子設定!$B$15-AB5106,MIN(AA5106-01_因子設定!$B$14,01_因子設定!$B$15-AB5106))),-1E+030)</f>
        <v>0.689461766982433</v>
      </c>
      <c r="AE5106" s="55" t="n">
        <f aca="false">IF(AC5106,IF(01_因子設定!$B$13="最大化",X5106,IF(01_因子設定!$B$13="最小化",-X5106,-ABS(X5106-01_因子設定!$B$16))),-1E+030)</f>
        <v>48.8200840643275</v>
      </c>
      <c r="AF5106" s="55" t="n">
        <f aca="false">AD5106+ROW()*0.000000001</f>
        <v>0.689466872982433</v>
      </c>
      <c r="AG5106" s="55" t="n">
        <f aca="false">AE5106+ROW()*0.000000001</f>
        <v>48.8200891703275</v>
      </c>
    </row>
    <row r="5107" customFormat="false" ht="15" hidden="false" customHeight="false" outlineLevel="0" collapsed="false">
      <c r="A5107" s="0" t="n">
        <v>6</v>
      </c>
      <c r="B5107" s="0" t="n">
        <v>8</v>
      </c>
      <c r="C5107" s="0" t="n">
        <v>8</v>
      </c>
      <c r="D5107" s="0" t="n">
        <v>8</v>
      </c>
      <c r="E5107" s="0" t="n">
        <f aca="false">-1+A5107*0.25</f>
        <v>0.5</v>
      </c>
      <c r="F5107" s="0" t="n">
        <f aca="false">-1+B5107*0.25</f>
        <v>1</v>
      </c>
      <c r="G5107" s="0" t="n">
        <f aca="false">-1+C5107*0.25</f>
        <v>1</v>
      </c>
      <c r="H5107" s="0" t="n">
        <f aca="false">-1+D5107*0.25</f>
        <v>1</v>
      </c>
      <c r="I5107" s="0" t="n">
        <f aca="false">1</f>
        <v>1</v>
      </c>
      <c r="J5107" s="0" t="n">
        <f aca="false">E5107</f>
        <v>0.5</v>
      </c>
      <c r="K5107" s="0" t="n">
        <f aca="false">F5107</f>
        <v>1</v>
      </c>
      <c r="L5107" s="0" t="n">
        <f aca="false">G5107</f>
        <v>1</v>
      </c>
      <c r="M5107" s="0" t="n">
        <f aca="false">H5107</f>
        <v>1</v>
      </c>
      <c r="N5107" s="0" t="n">
        <f aca="false">E5107*F5107</f>
        <v>0.5</v>
      </c>
      <c r="O5107" s="0" t="n">
        <f aca="false">E5107*G5107</f>
        <v>0.5</v>
      </c>
      <c r="P5107" s="0" t="n">
        <f aca="false">E5107*H5107</f>
        <v>0.5</v>
      </c>
      <c r="Q5107" s="0" t="n">
        <f aca="false">F5107*G5107</f>
        <v>1</v>
      </c>
      <c r="R5107" s="0" t="n">
        <f aca="false">F5107*H5107</f>
        <v>1</v>
      </c>
      <c r="S5107" s="0" t="n">
        <f aca="false">G5107*H5107</f>
        <v>1</v>
      </c>
      <c r="T5107" s="0" t="n">
        <f aca="false">E5107*E5107</f>
        <v>0.25</v>
      </c>
      <c r="U5107" s="0" t="n">
        <f aca="false">F5107*F5107</f>
        <v>1</v>
      </c>
      <c r="V5107" s="0" t="n">
        <f aca="false">G5107*G5107</f>
        <v>1</v>
      </c>
      <c r="W5107" s="0" t="n">
        <f aca="false">H5107*H5107</f>
        <v>1</v>
      </c>
      <c r="X5107" s="0" t="n">
        <f aca="false">SUMPRODUCT(I5107:W5107,_XtX!$B$96:$P$96)</f>
        <v>48.7885233918129</v>
      </c>
      <c r="Y5107" s="0" t="n">
        <f aca="false">SUMPRODUCT(MMULT(I5107:W5107,_XtX!$B$78:$P$92),I5107:W5107)</f>
        <v>0.667123538011696</v>
      </c>
      <c r="Z5107" s="0" t="n">
        <f aca="false">04_回帰ANOVA!$K$19*04_回帰ANOVA!$K$14*SQRT(1+Y5107)</f>
        <v>1.68299290213005</v>
      </c>
      <c r="AA5107" s="0" t="n">
        <f aca="false">X5107-Z5107</f>
        <v>47.1055304896828</v>
      </c>
      <c r="AB5107" s="0" t="n">
        <f aca="false">X5107+Z5107</f>
        <v>50.4715162939429</v>
      </c>
      <c r="AC5107" s="54" t="b">
        <f aca="false">AND(E5107&gt;=01_因子設定!$L$5-0.000000001,E5107&lt;=01_因子設定!$M$5+0.000000001,F5107&gt;=01_因子設定!$L$6-0.000000001,F5107&lt;=01_因子設定!$M$6+0.000000001,G5107&gt;=01_因子設定!$L$7-0.000000001,G5107&lt;=01_因子設定!$M$7+0.000000001,H5107&gt;=01_因子設定!$L$8-0.000000001,H5107&lt;=01_因子設定!$M$8+0.000000001,IF(01_因子設定!$B$20="Box-Behnken",E5107^2+F5107^2+G5107^2+H5107^2&lt;=2+0.000000001,TRUE()))</f>
        <v>1</v>
      </c>
      <c r="AD5107" s="55" t="n">
        <f aca="false">IF(AC5107,IF(01_因子設定!$B$13="最大化",AA5107-01_因子設定!$B$14,IF(01_因子設定!$B$13="最小化",01_因子設定!$B$15-AB5107,MIN(AA5107-01_因子設定!$B$14,01_因子設定!$B$15-AB5107))),-1E+030)</f>
        <v>0.605530489682806</v>
      </c>
      <c r="AE5107" s="55" t="n">
        <f aca="false">IF(AC5107,IF(01_因子設定!$B$13="最大化",X5107,IF(01_因子設定!$B$13="最小化",-X5107,-ABS(X5107-01_因子設定!$B$16))),-1E+030)</f>
        <v>48.7885233918129</v>
      </c>
      <c r="AF5107" s="55" t="n">
        <f aca="false">AD5107+ROW()*0.000000001</f>
        <v>0.605535596682806</v>
      </c>
      <c r="AG5107" s="55" t="n">
        <f aca="false">AE5107+ROW()*0.000000001</f>
        <v>48.7885284988129</v>
      </c>
    </row>
    <row r="5108" customFormat="false" ht="15" hidden="false" customHeight="false" outlineLevel="0" collapsed="false">
      <c r="A5108" s="0" t="n">
        <v>7</v>
      </c>
      <c r="B5108" s="0" t="n">
        <v>0</v>
      </c>
      <c r="C5108" s="0" t="n">
        <v>0</v>
      </c>
      <c r="D5108" s="0" t="n">
        <v>0</v>
      </c>
      <c r="E5108" s="0" t="n">
        <f aca="false">-1+A5108*0.25</f>
        <v>0.75</v>
      </c>
      <c r="F5108" s="0" t="n">
        <f aca="false">-1+B5108*0.25</f>
        <v>-1</v>
      </c>
      <c r="G5108" s="0" t="n">
        <f aca="false">-1+C5108*0.25</f>
        <v>-1</v>
      </c>
      <c r="H5108" s="0" t="n">
        <f aca="false">-1+D5108*0.25</f>
        <v>-1</v>
      </c>
      <c r="I5108" s="0" t="n">
        <f aca="false">1</f>
        <v>1</v>
      </c>
      <c r="J5108" s="0" t="n">
        <f aca="false">E5108</f>
        <v>0.75</v>
      </c>
      <c r="K5108" s="0" t="n">
        <f aca="false">F5108</f>
        <v>-1</v>
      </c>
      <c r="L5108" s="0" t="n">
        <f aca="false">G5108</f>
        <v>-1</v>
      </c>
      <c r="M5108" s="0" t="n">
        <f aca="false">H5108</f>
        <v>-1</v>
      </c>
      <c r="N5108" s="0" t="n">
        <f aca="false">E5108*F5108</f>
        <v>-0.75</v>
      </c>
      <c r="O5108" s="0" t="n">
        <f aca="false">E5108*G5108</f>
        <v>-0.75</v>
      </c>
      <c r="P5108" s="0" t="n">
        <f aca="false">E5108*H5108</f>
        <v>-0.75</v>
      </c>
      <c r="Q5108" s="0" t="n">
        <f aca="false">F5108*G5108</f>
        <v>1</v>
      </c>
      <c r="R5108" s="0" t="n">
        <f aca="false">F5108*H5108</f>
        <v>1</v>
      </c>
      <c r="S5108" s="0" t="n">
        <f aca="false">G5108*H5108</f>
        <v>1</v>
      </c>
      <c r="T5108" s="0" t="n">
        <f aca="false">E5108*E5108</f>
        <v>0.5625</v>
      </c>
      <c r="U5108" s="0" t="n">
        <f aca="false">F5108*F5108</f>
        <v>1</v>
      </c>
      <c r="V5108" s="0" t="n">
        <f aca="false">G5108*G5108</f>
        <v>1</v>
      </c>
      <c r="W5108" s="0" t="n">
        <f aca="false">H5108*H5108</f>
        <v>1</v>
      </c>
      <c r="X5108" s="0" t="n">
        <f aca="false">SUMPRODUCT(I5108:W5108,_XtX!$B$96:$P$96)</f>
        <v>40.7662280701755</v>
      </c>
      <c r="Y5108" s="0" t="n">
        <f aca="false">SUMPRODUCT(MMULT(I5108:W5108,_XtX!$B$78:$P$92),I5108:W5108)</f>
        <v>0.610814144736842</v>
      </c>
      <c r="Z5108" s="0" t="n">
        <f aca="false">04_回帰ANOVA!$K$19*04_回帰ANOVA!$K$14*SQRT(1+Y5108)</f>
        <v>1.6543260558361</v>
      </c>
      <c r="AA5108" s="0" t="n">
        <f aca="false">X5108-Z5108</f>
        <v>39.1119020143394</v>
      </c>
      <c r="AB5108" s="0" t="n">
        <f aca="false">X5108+Z5108</f>
        <v>42.4205541260116</v>
      </c>
      <c r="AC5108" s="54" t="b">
        <f aca="false">AND(E5108&gt;=01_因子設定!$L$5-0.000000001,E5108&lt;=01_因子設定!$M$5+0.000000001,F5108&gt;=01_因子設定!$L$6-0.000000001,F5108&lt;=01_因子設定!$M$6+0.000000001,G5108&gt;=01_因子設定!$L$7-0.000000001,G5108&lt;=01_因子設定!$M$7+0.000000001,H5108&gt;=01_因子設定!$L$8-0.000000001,H5108&lt;=01_因子設定!$M$8+0.000000001,IF(01_因子設定!$B$20="Box-Behnken",E5108^2+F5108^2+G5108^2+H5108^2&lt;=2+0.000000001,TRUE()))</f>
        <v>1</v>
      </c>
      <c r="AD5108" s="55" t="n">
        <f aca="false">IF(AC5108,IF(01_因子設定!$B$13="最大化",AA5108-01_因子設定!$B$14,IF(01_因子設定!$B$13="最小化",01_因子設定!$B$15-AB5108,MIN(AA5108-01_因子設定!$B$14,01_因子設定!$B$15-AB5108))),-1E+030)</f>
        <v>-7.38809798566063</v>
      </c>
      <c r="AE5108" s="55" t="n">
        <f aca="false">IF(AC5108,IF(01_因子設定!$B$13="最大化",X5108,IF(01_因子設定!$B$13="最小化",-X5108,-ABS(X5108-01_因子設定!$B$16))),-1E+030)</f>
        <v>40.7662280701755</v>
      </c>
      <c r="AF5108" s="55" t="n">
        <f aca="false">AD5108+ROW()*0.000000001</f>
        <v>-7.38809287766063</v>
      </c>
      <c r="AG5108" s="55" t="n">
        <f aca="false">AE5108+ROW()*0.000000001</f>
        <v>40.7662331781755</v>
      </c>
    </row>
    <row r="5109" customFormat="false" ht="15" hidden="false" customHeight="false" outlineLevel="0" collapsed="false">
      <c r="A5109" s="0" t="n">
        <v>7</v>
      </c>
      <c r="B5109" s="0" t="n">
        <v>0</v>
      </c>
      <c r="C5109" s="0" t="n">
        <v>0</v>
      </c>
      <c r="D5109" s="0" t="n">
        <v>1</v>
      </c>
      <c r="E5109" s="0" t="n">
        <f aca="false">-1+A5109*0.25</f>
        <v>0.75</v>
      </c>
      <c r="F5109" s="0" t="n">
        <f aca="false">-1+B5109*0.25</f>
        <v>-1</v>
      </c>
      <c r="G5109" s="0" t="n">
        <f aca="false">-1+C5109*0.25</f>
        <v>-1</v>
      </c>
      <c r="H5109" s="0" t="n">
        <f aca="false">-1+D5109*0.25</f>
        <v>-0.75</v>
      </c>
      <c r="I5109" s="0" t="n">
        <f aca="false">1</f>
        <v>1</v>
      </c>
      <c r="J5109" s="0" t="n">
        <f aca="false">E5109</f>
        <v>0.75</v>
      </c>
      <c r="K5109" s="0" t="n">
        <f aca="false">F5109</f>
        <v>-1</v>
      </c>
      <c r="L5109" s="0" t="n">
        <f aca="false">G5109</f>
        <v>-1</v>
      </c>
      <c r="M5109" s="0" t="n">
        <f aca="false">H5109</f>
        <v>-0.75</v>
      </c>
      <c r="N5109" s="0" t="n">
        <f aca="false">E5109*F5109</f>
        <v>-0.75</v>
      </c>
      <c r="O5109" s="0" t="n">
        <f aca="false">E5109*G5109</f>
        <v>-0.75</v>
      </c>
      <c r="P5109" s="0" t="n">
        <f aca="false">E5109*H5109</f>
        <v>-0.5625</v>
      </c>
      <c r="Q5109" s="0" t="n">
        <f aca="false">F5109*G5109</f>
        <v>1</v>
      </c>
      <c r="R5109" s="0" t="n">
        <f aca="false">F5109*H5109</f>
        <v>0.75</v>
      </c>
      <c r="S5109" s="0" t="n">
        <f aca="false">G5109*H5109</f>
        <v>0.75</v>
      </c>
      <c r="T5109" s="0" t="n">
        <f aca="false">E5109*E5109</f>
        <v>0.5625</v>
      </c>
      <c r="U5109" s="0" t="n">
        <f aca="false">F5109*F5109</f>
        <v>1</v>
      </c>
      <c r="V5109" s="0" t="n">
        <f aca="false">G5109*G5109</f>
        <v>1</v>
      </c>
      <c r="W5109" s="0" t="n">
        <f aca="false">H5109*H5109</f>
        <v>0.5625</v>
      </c>
      <c r="X5109" s="0" t="n">
        <f aca="false">SUMPRODUCT(I5109:W5109,_XtX!$B$96:$P$96)</f>
        <v>41.0396290204678</v>
      </c>
      <c r="Y5109" s="0" t="n">
        <f aca="false">SUMPRODUCT(MMULT(I5109:W5109,_XtX!$B$78:$P$92),I5109:W5109)</f>
        <v>0.531311392086988</v>
      </c>
      <c r="Z5109" s="0" t="n">
        <f aca="false">04_回帰ANOVA!$K$19*04_回帰ANOVA!$K$14*SQRT(1+Y5109)</f>
        <v>1.61298433431428</v>
      </c>
      <c r="AA5109" s="0" t="n">
        <f aca="false">X5109-Z5109</f>
        <v>39.4266446861536</v>
      </c>
      <c r="AB5109" s="0" t="n">
        <f aca="false">X5109+Z5109</f>
        <v>42.6526133547821</v>
      </c>
      <c r="AC5109" s="54" t="b">
        <f aca="false">AND(E5109&gt;=01_因子設定!$L$5-0.000000001,E5109&lt;=01_因子設定!$M$5+0.000000001,F5109&gt;=01_因子設定!$L$6-0.000000001,F5109&lt;=01_因子設定!$M$6+0.000000001,G5109&gt;=01_因子設定!$L$7-0.000000001,G5109&lt;=01_因子設定!$M$7+0.000000001,H5109&gt;=01_因子設定!$L$8-0.000000001,H5109&lt;=01_因子設定!$M$8+0.000000001,IF(01_因子設定!$B$20="Box-Behnken",E5109^2+F5109^2+G5109^2+H5109^2&lt;=2+0.000000001,TRUE()))</f>
        <v>1</v>
      </c>
      <c r="AD5109" s="55" t="n">
        <f aca="false">IF(AC5109,IF(01_因子設定!$B$13="最大化",AA5109-01_因子設定!$B$14,IF(01_因子設定!$B$13="最小化",01_因子設定!$B$15-AB5109,MIN(AA5109-01_因子設定!$B$14,01_因子設定!$B$15-AB5109))),-1E+030)</f>
        <v>-7.07335531384644</v>
      </c>
      <c r="AE5109" s="55" t="n">
        <f aca="false">IF(AC5109,IF(01_因子設定!$B$13="最大化",X5109,IF(01_因子設定!$B$13="最小化",-X5109,-ABS(X5109-01_因子設定!$B$16))),-1E+030)</f>
        <v>41.0396290204678</v>
      </c>
      <c r="AF5109" s="55" t="n">
        <f aca="false">AD5109+ROW()*0.000000001</f>
        <v>-7.07335020484644</v>
      </c>
      <c r="AG5109" s="55" t="n">
        <f aca="false">AE5109+ROW()*0.000000001</f>
        <v>41.0396341294678</v>
      </c>
    </row>
    <row r="5110" customFormat="false" ht="15" hidden="false" customHeight="false" outlineLevel="0" collapsed="false">
      <c r="A5110" s="0" t="n">
        <v>7</v>
      </c>
      <c r="B5110" s="0" t="n">
        <v>0</v>
      </c>
      <c r="C5110" s="0" t="n">
        <v>0</v>
      </c>
      <c r="D5110" s="0" t="n">
        <v>2</v>
      </c>
      <c r="E5110" s="0" t="n">
        <f aca="false">-1+A5110*0.25</f>
        <v>0.75</v>
      </c>
      <c r="F5110" s="0" t="n">
        <f aca="false">-1+B5110*0.25</f>
        <v>-1</v>
      </c>
      <c r="G5110" s="0" t="n">
        <f aca="false">-1+C5110*0.25</f>
        <v>-1</v>
      </c>
      <c r="H5110" s="0" t="n">
        <f aca="false">-1+D5110*0.25</f>
        <v>-0.5</v>
      </c>
      <c r="I5110" s="0" t="n">
        <f aca="false">1</f>
        <v>1</v>
      </c>
      <c r="J5110" s="0" t="n">
        <f aca="false">E5110</f>
        <v>0.75</v>
      </c>
      <c r="K5110" s="0" t="n">
        <f aca="false">F5110</f>
        <v>-1</v>
      </c>
      <c r="L5110" s="0" t="n">
        <f aca="false">G5110</f>
        <v>-1</v>
      </c>
      <c r="M5110" s="0" t="n">
        <f aca="false">H5110</f>
        <v>-0.5</v>
      </c>
      <c r="N5110" s="0" t="n">
        <f aca="false">E5110*F5110</f>
        <v>-0.75</v>
      </c>
      <c r="O5110" s="0" t="n">
        <f aca="false">E5110*G5110</f>
        <v>-0.75</v>
      </c>
      <c r="P5110" s="0" t="n">
        <f aca="false">E5110*H5110</f>
        <v>-0.375</v>
      </c>
      <c r="Q5110" s="0" t="n">
        <f aca="false">F5110*G5110</f>
        <v>1</v>
      </c>
      <c r="R5110" s="0" t="n">
        <f aca="false">F5110*H5110</f>
        <v>0.5</v>
      </c>
      <c r="S5110" s="0" t="n">
        <f aca="false">G5110*H5110</f>
        <v>0.5</v>
      </c>
      <c r="T5110" s="0" t="n">
        <f aca="false">E5110*E5110</f>
        <v>0.5625</v>
      </c>
      <c r="U5110" s="0" t="n">
        <f aca="false">F5110*F5110</f>
        <v>1</v>
      </c>
      <c r="V5110" s="0" t="n">
        <f aca="false">G5110*G5110</f>
        <v>1</v>
      </c>
      <c r="W5110" s="0" t="n">
        <f aca="false">H5110*H5110</f>
        <v>0.25</v>
      </c>
      <c r="X5110" s="0" t="n">
        <f aca="false">SUMPRODUCT(I5110:W5110,_XtX!$B$96:$P$96)</f>
        <v>41.2652229532164</v>
      </c>
      <c r="Y5110" s="0" t="n">
        <f aca="false">SUMPRODUCT(MMULT(I5110:W5110,_XtX!$B$78:$P$92),I5110:W5110)</f>
        <v>0.564984237938597</v>
      </c>
      <c r="Z5110" s="0" t="n">
        <f aca="false">04_回帰ANOVA!$K$19*04_回帰ANOVA!$K$14*SQRT(1+Y5110)</f>
        <v>1.63062229734503</v>
      </c>
      <c r="AA5110" s="0" t="n">
        <f aca="false">X5110-Z5110</f>
        <v>39.6346006558713</v>
      </c>
      <c r="AB5110" s="0" t="n">
        <f aca="false">X5110+Z5110</f>
        <v>42.8958452505614</v>
      </c>
      <c r="AC5110" s="54" t="b">
        <f aca="false">AND(E5110&gt;=01_因子設定!$L$5-0.000000001,E5110&lt;=01_因子設定!$M$5+0.000000001,F5110&gt;=01_因子設定!$L$6-0.000000001,F5110&lt;=01_因子設定!$M$6+0.000000001,G5110&gt;=01_因子設定!$L$7-0.000000001,G5110&lt;=01_因子設定!$M$7+0.000000001,H5110&gt;=01_因子設定!$L$8-0.000000001,H5110&lt;=01_因子設定!$M$8+0.000000001,IF(01_因子設定!$B$20="Box-Behnken",E5110^2+F5110^2+G5110^2+H5110^2&lt;=2+0.000000001,TRUE()))</f>
        <v>1</v>
      </c>
      <c r="AD5110" s="55" t="n">
        <f aca="false">IF(AC5110,IF(01_因子設定!$B$13="最大化",AA5110-01_因子設定!$B$14,IF(01_因子設定!$B$13="最小化",01_因子設定!$B$15-AB5110,MIN(AA5110-01_因子設定!$B$14,01_因子設定!$B$15-AB5110))),-1E+030)</f>
        <v>-6.86539934412866</v>
      </c>
      <c r="AE5110" s="55" t="n">
        <f aca="false">IF(AC5110,IF(01_因子設定!$B$13="最大化",X5110,IF(01_因子設定!$B$13="最小化",-X5110,-ABS(X5110-01_因子設定!$B$16))),-1E+030)</f>
        <v>41.2652229532164</v>
      </c>
      <c r="AF5110" s="55" t="n">
        <f aca="false">AD5110+ROW()*0.000000001</f>
        <v>-6.86539423412866</v>
      </c>
      <c r="AG5110" s="55" t="n">
        <f aca="false">AE5110+ROW()*0.000000001</f>
        <v>41.2652280632164</v>
      </c>
    </row>
    <row r="5111" customFormat="false" ht="15" hidden="false" customHeight="false" outlineLevel="0" collapsed="false">
      <c r="A5111" s="0" t="n">
        <v>7</v>
      </c>
      <c r="B5111" s="0" t="n">
        <v>0</v>
      </c>
      <c r="C5111" s="0" t="n">
        <v>0</v>
      </c>
      <c r="D5111" s="0" t="n">
        <v>3</v>
      </c>
      <c r="E5111" s="0" t="n">
        <f aca="false">-1+A5111*0.25</f>
        <v>0.75</v>
      </c>
      <c r="F5111" s="0" t="n">
        <f aca="false">-1+B5111*0.25</f>
        <v>-1</v>
      </c>
      <c r="G5111" s="0" t="n">
        <f aca="false">-1+C5111*0.25</f>
        <v>-1</v>
      </c>
      <c r="H5111" s="0" t="n">
        <f aca="false">-1+D5111*0.25</f>
        <v>-0.25</v>
      </c>
      <c r="I5111" s="0" t="n">
        <f aca="false">1</f>
        <v>1</v>
      </c>
      <c r="J5111" s="0" t="n">
        <f aca="false">E5111</f>
        <v>0.75</v>
      </c>
      <c r="K5111" s="0" t="n">
        <f aca="false">F5111</f>
        <v>-1</v>
      </c>
      <c r="L5111" s="0" t="n">
        <f aca="false">G5111</f>
        <v>-1</v>
      </c>
      <c r="M5111" s="0" t="n">
        <f aca="false">H5111</f>
        <v>-0.25</v>
      </c>
      <c r="N5111" s="0" t="n">
        <f aca="false">E5111*F5111</f>
        <v>-0.75</v>
      </c>
      <c r="O5111" s="0" t="n">
        <f aca="false">E5111*G5111</f>
        <v>-0.75</v>
      </c>
      <c r="P5111" s="0" t="n">
        <f aca="false">E5111*H5111</f>
        <v>-0.1875</v>
      </c>
      <c r="Q5111" s="0" t="n">
        <f aca="false">F5111*G5111</f>
        <v>1</v>
      </c>
      <c r="R5111" s="0" t="n">
        <f aca="false">F5111*H5111</f>
        <v>0.25</v>
      </c>
      <c r="S5111" s="0" t="n">
        <f aca="false">G5111*H5111</f>
        <v>0.25</v>
      </c>
      <c r="T5111" s="0" t="n">
        <f aca="false">E5111*E5111</f>
        <v>0.5625</v>
      </c>
      <c r="U5111" s="0" t="n">
        <f aca="false">F5111*F5111</f>
        <v>1</v>
      </c>
      <c r="V5111" s="0" t="n">
        <f aca="false">G5111*G5111</f>
        <v>1</v>
      </c>
      <c r="W5111" s="0" t="n">
        <f aca="false">H5111*H5111</f>
        <v>0.0625</v>
      </c>
      <c r="X5111" s="0" t="n">
        <f aca="false">SUMPRODUCT(I5111:W5111,_XtX!$B$96:$P$96)</f>
        <v>41.443009868421</v>
      </c>
      <c r="Y5111" s="0" t="n">
        <f aca="false">SUMPRODUCT(MMULT(I5111:W5111,_XtX!$B$78:$P$92),I5111:W5111)</f>
        <v>0.621372155975877</v>
      </c>
      <c r="Z5111" s="0" t="n">
        <f aca="false">04_回帰ANOVA!$K$19*04_回帰ANOVA!$K$14*SQRT(1+Y5111)</f>
        <v>1.65973880499872</v>
      </c>
      <c r="AA5111" s="0" t="n">
        <f aca="false">X5111-Z5111</f>
        <v>39.7832710634223</v>
      </c>
      <c r="AB5111" s="0" t="n">
        <f aca="false">X5111+Z5111</f>
        <v>43.1027486734198</v>
      </c>
      <c r="AC5111" s="54" t="b">
        <f aca="false">AND(E5111&gt;=01_因子設定!$L$5-0.000000001,E5111&lt;=01_因子設定!$M$5+0.000000001,F5111&gt;=01_因子設定!$L$6-0.000000001,F5111&lt;=01_因子設定!$M$6+0.000000001,G5111&gt;=01_因子設定!$L$7-0.000000001,G5111&lt;=01_因子設定!$M$7+0.000000001,H5111&gt;=01_因子設定!$L$8-0.000000001,H5111&lt;=01_因子設定!$M$8+0.000000001,IF(01_因子設定!$B$20="Box-Behnken",E5111^2+F5111^2+G5111^2+H5111^2&lt;=2+0.000000001,TRUE()))</f>
        <v>1</v>
      </c>
      <c r="AD5111" s="55" t="n">
        <f aca="false">IF(AC5111,IF(01_因子設定!$B$13="最大化",AA5111-01_因子設定!$B$14,IF(01_因子設定!$B$13="最小化",01_因子設定!$B$15-AB5111,MIN(AA5111-01_因子設定!$B$14,01_因子設定!$B$15-AB5111))),-1E+030)</f>
        <v>-6.71672893657767</v>
      </c>
      <c r="AE5111" s="55" t="n">
        <f aca="false">IF(AC5111,IF(01_因子設定!$B$13="最大化",X5111,IF(01_因子設定!$B$13="最小化",-X5111,-ABS(X5111-01_因子設定!$B$16))),-1E+030)</f>
        <v>41.443009868421</v>
      </c>
      <c r="AF5111" s="55" t="n">
        <f aca="false">AD5111+ROW()*0.000000001</f>
        <v>-6.71672382557767</v>
      </c>
      <c r="AG5111" s="55" t="n">
        <f aca="false">AE5111+ROW()*0.000000001</f>
        <v>41.443014979421</v>
      </c>
    </row>
    <row r="5112" customFormat="false" ht="15" hidden="false" customHeight="false" outlineLevel="0" collapsed="false">
      <c r="A5112" s="0" t="n">
        <v>7</v>
      </c>
      <c r="B5112" s="0" t="n">
        <v>0</v>
      </c>
      <c r="C5112" s="0" t="n">
        <v>0</v>
      </c>
      <c r="D5112" s="0" t="n">
        <v>4</v>
      </c>
      <c r="E5112" s="0" t="n">
        <f aca="false">-1+A5112*0.25</f>
        <v>0.75</v>
      </c>
      <c r="F5112" s="0" t="n">
        <f aca="false">-1+B5112*0.25</f>
        <v>-1</v>
      </c>
      <c r="G5112" s="0" t="n">
        <f aca="false">-1+C5112*0.25</f>
        <v>-1</v>
      </c>
      <c r="H5112" s="0" t="n">
        <f aca="false">-1+D5112*0.25</f>
        <v>0</v>
      </c>
      <c r="I5112" s="0" t="n">
        <f aca="false">1</f>
        <v>1</v>
      </c>
      <c r="J5112" s="0" t="n">
        <f aca="false">E5112</f>
        <v>0.75</v>
      </c>
      <c r="K5112" s="0" t="n">
        <f aca="false">F5112</f>
        <v>-1</v>
      </c>
      <c r="L5112" s="0" t="n">
        <f aca="false">G5112</f>
        <v>-1</v>
      </c>
      <c r="M5112" s="0" t="n">
        <f aca="false">H5112</f>
        <v>0</v>
      </c>
      <c r="N5112" s="0" t="n">
        <f aca="false">E5112*F5112</f>
        <v>-0.75</v>
      </c>
      <c r="O5112" s="0" t="n">
        <f aca="false">E5112*G5112</f>
        <v>-0.75</v>
      </c>
      <c r="P5112" s="0" t="n">
        <f aca="false">E5112*H5112</f>
        <v>0</v>
      </c>
      <c r="Q5112" s="0" t="n">
        <f aca="false">F5112*G5112</f>
        <v>1</v>
      </c>
      <c r="R5112" s="0" t="n">
        <f aca="false">F5112*H5112</f>
        <v>-0</v>
      </c>
      <c r="S5112" s="0" t="n">
        <f aca="false">G5112*H5112</f>
        <v>-0</v>
      </c>
      <c r="T5112" s="0" t="n">
        <f aca="false">E5112*E5112</f>
        <v>0.5625</v>
      </c>
      <c r="U5112" s="0" t="n">
        <f aca="false">F5112*F5112</f>
        <v>1</v>
      </c>
      <c r="V5112" s="0" t="n">
        <f aca="false">G5112*G5112</f>
        <v>1</v>
      </c>
      <c r="W5112" s="0" t="n">
        <f aca="false">H5112*H5112</f>
        <v>0</v>
      </c>
      <c r="X5112" s="0" t="n">
        <f aca="false">SUMPRODUCT(I5112:W5112,_XtX!$B$96:$P$96)</f>
        <v>41.5729897660819</v>
      </c>
      <c r="Y5112" s="0" t="n">
        <f aca="false">SUMPRODUCT(MMULT(I5112:W5112,_XtX!$B$78:$P$92),I5112:W5112)</f>
        <v>0.646198830409357</v>
      </c>
      <c r="Z5112" s="0" t="n">
        <f aca="false">04_回帰ANOVA!$K$19*04_回帰ANOVA!$K$14*SQRT(1+Y5112)</f>
        <v>1.67239760569756</v>
      </c>
      <c r="AA5112" s="0" t="n">
        <f aca="false">X5112-Z5112</f>
        <v>39.9005921603843</v>
      </c>
      <c r="AB5112" s="0" t="n">
        <f aca="false">X5112+Z5112</f>
        <v>43.2453873717794</v>
      </c>
      <c r="AC5112" s="54" t="b">
        <f aca="false">AND(E5112&gt;=01_因子設定!$L$5-0.000000001,E5112&lt;=01_因子設定!$M$5+0.000000001,F5112&gt;=01_因子設定!$L$6-0.000000001,F5112&lt;=01_因子設定!$M$6+0.000000001,G5112&gt;=01_因子設定!$L$7-0.000000001,G5112&lt;=01_因子設定!$M$7+0.000000001,H5112&gt;=01_因子設定!$L$8-0.000000001,H5112&lt;=01_因子設定!$M$8+0.000000001,IF(01_因子設定!$B$20="Box-Behnken",E5112^2+F5112^2+G5112^2+H5112^2&lt;=2+0.000000001,TRUE()))</f>
        <v>1</v>
      </c>
      <c r="AD5112" s="55" t="n">
        <f aca="false">IF(AC5112,IF(01_因子設定!$B$13="最大化",AA5112-01_因子設定!$B$14,IF(01_因子設定!$B$13="最小化",01_因子設定!$B$15-AB5112,MIN(AA5112-01_因子設定!$B$14,01_因子設定!$B$15-AB5112))),-1E+030)</f>
        <v>-6.59940783961569</v>
      </c>
      <c r="AE5112" s="55" t="n">
        <f aca="false">IF(AC5112,IF(01_因子設定!$B$13="最大化",X5112,IF(01_因子設定!$B$13="最小化",-X5112,-ABS(X5112-01_因子設定!$B$16))),-1E+030)</f>
        <v>41.5729897660819</v>
      </c>
      <c r="AF5112" s="55" t="n">
        <f aca="false">AD5112+ROW()*0.000000001</f>
        <v>-6.59940272761569</v>
      </c>
      <c r="AG5112" s="55" t="n">
        <f aca="false">AE5112+ROW()*0.000000001</f>
        <v>41.5729948780819</v>
      </c>
    </row>
    <row r="5113" customFormat="false" ht="15" hidden="false" customHeight="false" outlineLevel="0" collapsed="false">
      <c r="A5113" s="0" t="n">
        <v>7</v>
      </c>
      <c r="B5113" s="0" t="n">
        <v>0</v>
      </c>
      <c r="C5113" s="0" t="n">
        <v>0</v>
      </c>
      <c r="D5113" s="0" t="n">
        <v>5</v>
      </c>
      <c r="E5113" s="0" t="n">
        <f aca="false">-1+A5113*0.25</f>
        <v>0.75</v>
      </c>
      <c r="F5113" s="0" t="n">
        <f aca="false">-1+B5113*0.25</f>
        <v>-1</v>
      </c>
      <c r="G5113" s="0" t="n">
        <f aca="false">-1+C5113*0.25</f>
        <v>-1</v>
      </c>
      <c r="H5113" s="0" t="n">
        <f aca="false">-1+D5113*0.25</f>
        <v>0.25</v>
      </c>
      <c r="I5113" s="0" t="n">
        <f aca="false">1</f>
        <v>1</v>
      </c>
      <c r="J5113" s="0" t="n">
        <f aca="false">E5113</f>
        <v>0.75</v>
      </c>
      <c r="K5113" s="0" t="n">
        <f aca="false">F5113</f>
        <v>-1</v>
      </c>
      <c r="L5113" s="0" t="n">
        <f aca="false">G5113</f>
        <v>-1</v>
      </c>
      <c r="M5113" s="0" t="n">
        <f aca="false">H5113</f>
        <v>0.25</v>
      </c>
      <c r="N5113" s="0" t="n">
        <f aca="false">E5113*F5113</f>
        <v>-0.75</v>
      </c>
      <c r="O5113" s="0" t="n">
        <f aca="false">E5113*G5113</f>
        <v>-0.75</v>
      </c>
      <c r="P5113" s="0" t="n">
        <f aca="false">E5113*H5113</f>
        <v>0.1875</v>
      </c>
      <c r="Q5113" s="0" t="n">
        <f aca="false">F5113*G5113</f>
        <v>1</v>
      </c>
      <c r="R5113" s="0" t="n">
        <f aca="false">F5113*H5113</f>
        <v>-0.25</v>
      </c>
      <c r="S5113" s="0" t="n">
        <f aca="false">G5113*H5113</f>
        <v>-0.25</v>
      </c>
      <c r="T5113" s="0" t="n">
        <f aca="false">E5113*E5113</f>
        <v>0.5625</v>
      </c>
      <c r="U5113" s="0" t="n">
        <f aca="false">F5113*F5113</f>
        <v>1</v>
      </c>
      <c r="V5113" s="0" t="n">
        <f aca="false">G5113*G5113</f>
        <v>1</v>
      </c>
      <c r="W5113" s="0" t="n">
        <f aca="false">H5113*H5113</f>
        <v>0.0625</v>
      </c>
      <c r="X5113" s="0" t="n">
        <f aca="false">SUMPRODUCT(I5113:W5113,_XtX!$B$96:$P$96)</f>
        <v>41.6551626461988</v>
      </c>
      <c r="Y5113" s="0" t="n">
        <f aca="false">SUMPRODUCT(MMULT(I5113:W5113,_XtX!$B$78:$P$92),I5113:W5113)</f>
        <v>0.621372155975877</v>
      </c>
      <c r="Z5113" s="0" t="n">
        <f aca="false">04_回帰ANOVA!$K$19*04_回帰ANOVA!$K$14*SQRT(1+Y5113)</f>
        <v>1.65973880499872</v>
      </c>
      <c r="AA5113" s="0" t="n">
        <f aca="false">X5113-Z5113</f>
        <v>39.9954238412001</v>
      </c>
      <c r="AB5113" s="0" t="n">
        <f aca="false">X5113+Z5113</f>
        <v>43.3149014511975</v>
      </c>
      <c r="AC5113" s="54" t="b">
        <f aca="false">AND(E5113&gt;=01_因子設定!$L$5-0.000000001,E5113&lt;=01_因子設定!$M$5+0.000000001,F5113&gt;=01_因子設定!$L$6-0.000000001,F5113&lt;=01_因子設定!$M$6+0.000000001,G5113&gt;=01_因子設定!$L$7-0.000000001,G5113&lt;=01_因子設定!$M$7+0.000000001,H5113&gt;=01_因子設定!$L$8-0.000000001,H5113&lt;=01_因子設定!$M$8+0.000000001,IF(01_因子設定!$B$20="Box-Behnken",E5113^2+F5113^2+G5113^2+H5113^2&lt;=2+0.000000001,TRUE()))</f>
        <v>1</v>
      </c>
      <c r="AD5113" s="55" t="n">
        <f aca="false">IF(AC5113,IF(01_因子設定!$B$13="最大化",AA5113-01_因子設定!$B$14,IF(01_因子設定!$B$13="最小化",01_因子設定!$B$15-AB5113,MIN(AA5113-01_因子設定!$B$14,01_因子設定!$B$15-AB5113))),-1E+030)</f>
        <v>-6.5045761587999</v>
      </c>
      <c r="AE5113" s="55" t="n">
        <f aca="false">IF(AC5113,IF(01_因子設定!$B$13="最大化",X5113,IF(01_因子設定!$B$13="最小化",-X5113,-ABS(X5113-01_因子設定!$B$16))),-1E+030)</f>
        <v>41.6551626461988</v>
      </c>
      <c r="AF5113" s="55" t="n">
        <f aca="false">AD5113+ROW()*0.000000001</f>
        <v>-6.5045710457999</v>
      </c>
      <c r="AG5113" s="55" t="n">
        <f aca="false">AE5113+ROW()*0.000000001</f>
        <v>41.6551677591988</v>
      </c>
    </row>
    <row r="5114" customFormat="false" ht="15" hidden="false" customHeight="false" outlineLevel="0" collapsed="false">
      <c r="A5114" s="0" t="n">
        <v>7</v>
      </c>
      <c r="B5114" s="0" t="n">
        <v>0</v>
      </c>
      <c r="C5114" s="0" t="n">
        <v>0</v>
      </c>
      <c r="D5114" s="0" t="n">
        <v>6</v>
      </c>
      <c r="E5114" s="0" t="n">
        <f aca="false">-1+A5114*0.25</f>
        <v>0.75</v>
      </c>
      <c r="F5114" s="0" t="n">
        <f aca="false">-1+B5114*0.25</f>
        <v>-1</v>
      </c>
      <c r="G5114" s="0" t="n">
        <f aca="false">-1+C5114*0.25</f>
        <v>-1</v>
      </c>
      <c r="H5114" s="0" t="n">
        <f aca="false">-1+D5114*0.25</f>
        <v>0.5</v>
      </c>
      <c r="I5114" s="0" t="n">
        <f aca="false">1</f>
        <v>1</v>
      </c>
      <c r="J5114" s="0" t="n">
        <f aca="false">E5114</f>
        <v>0.75</v>
      </c>
      <c r="K5114" s="0" t="n">
        <f aca="false">F5114</f>
        <v>-1</v>
      </c>
      <c r="L5114" s="0" t="n">
        <f aca="false">G5114</f>
        <v>-1</v>
      </c>
      <c r="M5114" s="0" t="n">
        <f aca="false">H5114</f>
        <v>0.5</v>
      </c>
      <c r="N5114" s="0" t="n">
        <f aca="false">E5114*F5114</f>
        <v>-0.75</v>
      </c>
      <c r="O5114" s="0" t="n">
        <f aca="false">E5114*G5114</f>
        <v>-0.75</v>
      </c>
      <c r="P5114" s="0" t="n">
        <f aca="false">E5114*H5114</f>
        <v>0.375</v>
      </c>
      <c r="Q5114" s="0" t="n">
        <f aca="false">F5114*G5114</f>
        <v>1</v>
      </c>
      <c r="R5114" s="0" t="n">
        <f aca="false">F5114*H5114</f>
        <v>-0.5</v>
      </c>
      <c r="S5114" s="0" t="n">
        <f aca="false">G5114*H5114</f>
        <v>-0.5</v>
      </c>
      <c r="T5114" s="0" t="n">
        <f aca="false">E5114*E5114</f>
        <v>0.5625</v>
      </c>
      <c r="U5114" s="0" t="n">
        <f aca="false">F5114*F5114</f>
        <v>1</v>
      </c>
      <c r="V5114" s="0" t="n">
        <f aca="false">G5114*G5114</f>
        <v>1</v>
      </c>
      <c r="W5114" s="0" t="n">
        <f aca="false">H5114*H5114</f>
        <v>0.25</v>
      </c>
      <c r="X5114" s="0" t="n">
        <f aca="false">SUMPRODUCT(I5114:W5114,_XtX!$B$96:$P$96)</f>
        <v>41.6895285087719</v>
      </c>
      <c r="Y5114" s="0" t="n">
        <f aca="false">SUMPRODUCT(MMULT(I5114:W5114,_XtX!$B$78:$P$92),I5114:W5114)</f>
        <v>0.564984237938597</v>
      </c>
      <c r="Z5114" s="0" t="n">
        <f aca="false">04_回帰ANOVA!$K$19*04_回帰ANOVA!$K$14*SQRT(1+Y5114)</f>
        <v>1.63062229734503</v>
      </c>
      <c r="AA5114" s="0" t="n">
        <f aca="false">X5114-Z5114</f>
        <v>40.0589062114269</v>
      </c>
      <c r="AB5114" s="0" t="n">
        <f aca="false">X5114+Z5114</f>
        <v>43.320150806117</v>
      </c>
      <c r="AC5114" s="54" t="b">
        <f aca="false">AND(E5114&gt;=01_因子設定!$L$5-0.000000001,E5114&lt;=01_因子設定!$M$5+0.000000001,F5114&gt;=01_因子設定!$L$6-0.000000001,F5114&lt;=01_因子設定!$M$6+0.000000001,G5114&gt;=01_因子設定!$L$7-0.000000001,G5114&lt;=01_因子設定!$M$7+0.000000001,H5114&gt;=01_因子設定!$L$8-0.000000001,H5114&lt;=01_因子設定!$M$8+0.000000001,IF(01_因子設定!$B$20="Box-Behnken",E5114^2+F5114^2+G5114^2+H5114^2&lt;=2+0.000000001,TRUE()))</f>
        <v>1</v>
      </c>
      <c r="AD5114" s="55" t="n">
        <f aca="false">IF(AC5114,IF(01_因子設定!$B$13="最大化",AA5114-01_因子設定!$B$14,IF(01_因子設定!$B$13="最小化",01_因子設定!$B$15-AB5114,MIN(AA5114-01_因子設定!$B$14,01_因子設定!$B$15-AB5114))),-1E+030)</f>
        <v>-6.44109378857311</v>
      </c>
      <c r="AE5114" s="55" t="n">
        <f aca="false">IF(AC5114,IF(01_因子設定!$B$13="最大化",X5114,IF(01_因子設定!$B$13="最小化",-X5114,-ABS(X5114-01_因子設定!$B$16))),-1E+030)</f>
        <v>41.6895285087719</v>
      </c>
      <c r="AF5114" s="55" t="n">
        <f aca="false">AD5114+ROW()*0.000000001</f>
        <v>-6.44108867457311</v>
      </c>
      <c r="AG5114" s="55" t="n">
        <f aca="false">AE5114+ROW()*0.000000001</f>
        <v>41.6895336227719</v>
      </c>
    </row>
    <row r="5115" customFormat="false" ht="15" hidden="false" customHeight="false" outlineLevel="0" collapsed="false">
      <c r="A5115" s="0" t="n">
        <v>7</v>
      </c>
      <c r="B5115" s="0" t="n">
        <v>0</v>
      </c>
      <c r="C5115" s="0" t="n">
        <v>0</v>
      </c>
      <c r="D5115" s="0" t="n">
        <v>7</v>
      </c>
      <c r="E5115" s="0" t="n">
        <f aca="false">-1+A5115*0.25</f>
        <v>0.75</v>
      </c>
      <c r="F5115" s="0" t="n">
        <f aca="false">-1+B5115*0.25</f>
        <v>-1</v>
      </c>
      <c r="G5115" s="0" t="n">
        <f aca="false">-1+C5115*0.25</f>
        <v>-1</v>
      </c>
      <c r="H5115" s="0" t="n">
        <f aca="false">-1+D5115*0.25</f>
        <v>0.75</v>
      </c>
      <c r="I5115" s="0" t="n">
        <f aca="false">1</f>
        <v>1</v>
      </c>
      <c r="J5115" s="0" t="n">
        <f aca="false">E5115</f>
        <v>0.75</v>
      </c>
      <c r="K5115" s="0" t="n">
        <f aca="false">F5115</f>
        <v>-1</v>
      </c>
      <c r="L5115" s="0" t="n">
        <f aca="false">G5115</f>
        <v>-1</v>
      </c>
      <c r="M5115" s="0" t="n">
        <f aca="false">H5115</f>
        <v>0.75</v>
      </c>
      <c r="N5115" s="0" t="n">
        <f aca="false">E5115*F5115</f>
        <v>-0.75</v>
      </c>
      <c r="O5115" s="0" t="n">
        <f aca="false">E5115*G5115</f>
        <v>-0.75</v>
      </c>
      <c r="P5115" s="0" t="n">
        <f aca="false">E5115*H5115</f>
        <v>0.5625</v>
      </c>
      <c r="Q5115" s="0" t="n">
        <f aca="false">F5115*G5115</f>
        <v>1</v>
      </c>
      <c r="R5115" s="0" t="n">
        <f aca="false">F5115*H5115</f>
        <v>-0.75</v>
      </c>
      <c r="S5115" s="0" t="n">
        <f aca="false">G5115*H5115</f>
        <v>-0.75</v>
      </c>
      <c r="T5115" s="0" t="n">
        <f aca="false">E5115*E5115</f>
        <v>0.5625</v>
      </c>
      <c r="U5115" s="0" t="n">
        <f aca="false">F5115*F5115</f>
        <v>1</v>
      </c>
      <c r="V5115" s="0" t="n">
        <f aca="false">G5115*G5115</f>
        <v>1</v>
      </c>
      <c r="W5115" s="0" t="n">
        <f aca="false">H5115*H5115</f>
        <v>0.5625</v>
      </c>
      <c r="X5115" s="0" t="n">
        <f aca="false">SUMPRODUCT(I5115:W5115,_XtX!$B$96:$P$96)</f>
        <v>41.6760873538012</v>
      </c>
      <c r="Y5115" s="0" t="n">
        <f aca="false">SUMPRODUCT(MMULT(I5115:W5115,_XtX!$B$78:$P$92),I5115:W5115)</f>
        <v>0.531311392086988</v>
      </c>
      <c r="Z5115" s="0" t="n">
        <f aca="false">04_回帰ANOVA!$K$19*04_回帰ANOVA!$K$14*SQRT(1+Y5115)</f>
        <v>1.61298433431428</v>
      </c>
      <c r="AA5115" s="0" t="n">
        <f aca="false">X5115-Z5115</f>
        <v>40.0631030194869</v>
      </c>
      <c r="AB5115" s="0" t="n">
        <f aca="false">X5115+Z5115</f>
        <v>43.2890716881155</v>
      </c>
      <c r="AC5115" s="54" t="b">
        <f aca="false">AND(E5115&gt;=01_因子設定!$L$5-0.000000001,E5115&lt;=01_因子設定!$M$5+0.000000001,F5115&gt;=01_因子設定!$L$6-0.000000001,F5115&lt;=01_因子設定!$M$6+0.000000001,G5115&gt;=01_因子設定!$L$7-0.000000001,G5115&lt;=01_因子設定!$M$7+0.000000001,H5115&gt;=01_因子設定!$L$8-0.000000001,H5115&lt;=01_因子設定!$M$8+0.000000001,IF(01_因子設定!$B$20="Box-Behnken",E5115^2+F5115^2+G5115^2+H5115^2&lt;=2+0.000000001,TRUE()))</f>
        <v>1</v>
      </c>
      <c r="AD5115" s="55" t="n">
        <f aca="false">IF(AC5115,IF(01_因子設定!$B$13="最大化",AA5115-01_因子設定!$B$14,IF(01_因子設定!$B$13="最小化",01_因子設定!$B$15-AB5115,MIN(AA5115-01_因子設定!$B$14,01_因子設定!$B$15-AB5115))),-1E+030)</f>
        <v>-6.4368969805131</v>
      </c>
      <c r="AE5115" s="55" t="n">
        <f aca="false">IF(AC5115,IF(01_因子設定!$B$13="最大化",X5115,IF(01_因子設定!$B$13="最小化",-X5115,-ABS(X5115-01_因子設定!$B$16))),-1E+030)</f>
        <v>41.6760873538012</v>
      </c>
      <c r="AF5115" s="55" t="n">
        <f aca="false">AD5115+ROW()*0.000000001</f>
        <v>-6.4368918655131</v>
      </c>
      <c r="AG5115" s="55" t="n">
        <f aca="false">AE5115+ROW()*0.000000001</f>
        <v>41.6760924688012</v>
      </c>
    </row>
    <row r="5116" customFormat="false" ht="15" hidden="false" customHeight="false" outlineLevel="0" collapsed="false">
      <c r="A5116" s="0" t="n">
        <v>7</v>
      </c>
      <c r="B5116" s="0" t="n">
        <v>0</v>
      </c>
      <c r="C5116" s="0" t="n">
        <v>0</v>
      </c>
      <c r="D5116" s="0" t="n">
        <v>8</v>
      </c>
      <c r="E5116" s="0" t="n">
        <f aca="false">-1+A5116*0.25</f>
        <v>0.75</v>
      </c>
      <c r="F5116" s="0" t="n">
        <f aca="false">-1+B5116*0.25</f>
        <v>-1</v>
      </c>
      <c r="G5116" s="0" t="n">
        <f aca="false">-1+C5116*0.25</f>
        <v>-1</v>
      </c>
      <c r="H5116" s="0" t="n">
        <f aca="false">-1+D5116*0.25</f>
        <v>1</v>
      </c>
      <c r="I5116" s="0" t="n">
        <f aca="false">1</f>
        <v>1</v>
      </c>
      <c r="J5116" s="0" t="n">
        <f aca="false">E5116</f>
        <v>0.75</v>
      </c>
      <c r="K5116" s="0" t="n">
        <f aca="false">F5116</f>
        <v>-1</v>
      </c>
      <c r="L5116" s="0" t="n">
        <f aca="false">G5116</f>
        <v>-1</v>
      </c>
      <c r="M5116" s="0" t="n">
        <f aca="false">H5116</f>
        <v>1</v>
      </c>
      <c r="N5116" s="0" t="n">
        <f aca="false">E5116*F5116</f>
        <v>-0.75</v>
      </c>
      <c r="O5116" s="0" t="n">
        <f aca="false">E5116*G5116</f>
        <v>-0.75</v>
      </c>
      <c r="P5116" s="0" t="n">
        <f aca="false">E5116*H5116</f>
        <v>0.75</v>
      </c>
      <c r="Q5116" s="0" t="n">
        <f aca="false">F5116*G5116</f>
        <v>1</v>
      </c>
      <c r="R5116" s="0" t="n">
        <f aca="false">F5116*H5116</f>
        <v>-1</v>
      </c>
      <c r="S5116" s="0" t="n">
        <f aca="false">G5116*H5116</f>
        <v>-1</v>
      </c>
      <c r="T5116" s="0" t="n">
        <f aca="false">E5116*E5116</f>
        <v>0.5625</v>
      </c>
      <c r="U5116" s="0" t="n">
        <f aca="false">F5116*F5116</f>
        <v>1</v>
      </c>
      <c r="V5116" s="0" t="n">
        <f aca="false">G5116*G5116</f>
        <v>1</v>
      </c>
      <c r="W5116" s="0" t="n">
        <f aca="false">H5116*H5116</f>
        <v>1</v>
      </c>
      <c r="X5116" s="0" t="n">
        <f aca="false">SUMPRODUCT(I5116:W5116,_XtX!$B$96:$P$96)</f>
        <v>41.6148391812866</v>
      </c>
      <c r="Y5116" s="0" t="n">
        <f aca="false">SUMPRODUCT(MMULT(I5116:W5116,_XtX!$B$78:$P$92),I5116:W5116)</f>
        <v>0.610814144736842</v>
      </c>
      <c r="Z5116" s="0" t="n">
        <f aca="false">04_回帰ANOVA!$K$19*04_回帰ANOVA!$K$14*SQRT(1+Y5116)</f>
        <v>1.6543260558361</v>
      </c>
      <c r="AA5116" s="0" t="n">
        <f aca="false">X5116-Z5116</f>
        <v>39.9605131254505</v>
      </c>
      <c r="AB5116" s="0" t="n">
        <f aca="false">X5116+Z5116</f>
        <v>43.2691652371227</v>
      </c>
      <c r="AC5116" s="54" t="b">
        <f aca="false">AND(E5116&gt;=01_因子設定!$L$5-0.000000001,E5116&lt;=01_因子設定!$M$5+0.000000001,F5116&gt;=01_因子設定!$L$6-0.000000001,F5116&lt;=01_因子設定!$M$6+0.000000001,G5116&gt;=01_因子設定!$L$7-0.000000001,G5116&lt;=01_因子設定!$M$7+0.000000001,H5116&gt;=01_因子設定!$L$8-0.000000001,H5116&lt;=01_因子設定!$M$8+0.000000001,IF(01_因子設定!$B$20="Box-Behnken",E5116^2+F5116^2+G5116^2+H5116^2&lt;=2+0.000000001,TRUE()))</f>
        <v>1</v>
      </c>
      <c r="AD5116" s="55" t="n">
        <f aca="false">IF(AC5116,IF(01_因子設定!$B$13="最大化",AA5116-01_因子設定!$B$14,IF(01_因子設定!$B$13="最小化",01_因子設定!$B$15-AB5116,MIN(AA5116-01_因子設定!$B$14,01_因子設定!$B$15-AB5116))),-1E+030)</f>
        <v>-6.53948687454952</v>
      </c>
      <c r="AE5116" s="55" t="n">
        <f aca="false">IF(AC5116,IF(01_因子設定!$B$13="最大化",X5116,IF(01_因子設定!$B$13="最小化",-X5116,-ABS(X5116-01_因子設定!$B$16))),-1E+030)</f>
        <v>41.6148391812866</v>
      </c>
      <c r="AF5116" s="55" t="n">
        <f aca="false">AD5116+ROW()*0.000000001</f>
        <v>-6.53948175854952</v>
      </c>
      <c r="AG5116" s="55" t="n">
        <f aca="false">AE5116+ROW()*0.000000001</f>
        <v>41.6148442972866</v>
      </c>
    </row>
    <row r="5117" customFormat="false" ht="15" hidden="false" customHeight="false" outlineLevel="0" collapsed="false">
      <c r="A5117" s="0" t="n">
        <v>7</v>
      </c>
      <c r="B5117" s="0" t="n">
        <v>0</v>
      </c>
      <c r="C5117" s="0" t="n">
        <v>1</v>
      </c>
      <c r="D5117" s="0" t="n">
        <v>0</v>
      </c>
      <c r="E5117" s="0" t="n">
        <f aca="false">-1+A5117*0.25</f>
        <v>0.75</v>
      </c>
      <c r="F5117" s="0" t="n">
        <f aca="false">-1+B5117*0.25</f>
        <v>-1</v>
      </c>
      <c r="G5117" s="0" t="n">
        <f aca="false">-1+C5117*0.25</f>
        <v>-0.75</v>
      </c>
      <c r="H5117" s="0" t="n">
        <f aca="false">-1+D5117*0.25</f>
        <v>-1</v>
      </c>
      <c r="I5117" s="0" t="n">
        <f aca="false">1</f>
        <v>1</v>
      </c>
      <c r="J5117" s="0" t="n">
        <f aca="false">E5117</f>
        <v>0.75</v>
      </c>
      <c r="K5117" s="0" t="n">
        <f aca="false">F5117</f>
        <v>-1</v>
      </c>
      <c r="L5117" s="0" t="n">
        <f aca="false">G5117</f>
        <v>-0.75</v>
      </c>
      <c r="M5117" s="0" t="n">
        <f aca="false">H5117</f>
        <v>-1</v>
      </c>
      <c r="N5117" s="0" t="n">
        <f aca="false">E5117*F5117</f>
        <v>-0.75</v>
      </c>
      <c r="O5117" s="0" t="n">
        <f aca="false">E5117*G5117</f>
        <v>-0.5625</v>
      </c>
      <c r="P5117" s="0" t="n">
        <f aca="false">E5117*H5117</f>
        <v>-0.75</v>
      </c>
      <c r="Q5117" s="0" t="n">
        <f aca="false">F5117*G5117</f>
        <v>0.75</v>
      </c>
      <c r="R5117" s="0" t="n">
        <f aca="false">F5117*H5117</f>
        <v>1</v>
      </c>
      <c r="S5117" s="0" t="n">
        <f aca="false">G5117*H5117</f>
        <v>0.75</v>
      </c>
      <c r="T5117" s="0" t="n">
        <f aca="false">E5117*E5117</f>
        <v>0.5625</v>
      </c>
      <c r="U5117" s="0" t="n">
        <f aca="false">F5117*F5117</f>
        <v>1</v>
      </c>
      <c r="V5117" s="0" t="n">
        <f aca="false">G5117*G5117</f>
        <v>0.5625</v>
      </c>
      <c r="W5117" s="0" t="n">
        <f aca="false">H5117*H5117</f>
        <v>1</v>
      </c>
      <c r="X5117" s="0" t="n">
        <f aca="false">SUMPRODUCT(I5117:W5117,_XtX!$B$96:$P$96)</f>
        <v>41.0387609649123</v>
      </c>
      <c r="Y5117" s="0" t="n">
        <f aca="false">SUMPRODUCT(MMULT(I5117:W5117,_XtX!$B$78:$P$92),I5117:W5117)</f>
        <v>0.531311392086988</v>
      </c>
      <c r="Z5117" s="0" t="n">
        <f aca="false">04_回帰ANOVA!$K$19*04_回帰ANOVA!$K$14*SQRT(1+Y5117)</f>
        <v>1.61298433431428</v>
      </c>
      <c r="AA5117" s="0" t="n">
        <f aca="false">X5117-Z5117</f>
        <v>39.425776630598</v>
      </c>
      <c r="AB5117" s="0" t="n">
        <f aca="false">X5117+Z5117</f>
        <v>42.6517452992266</v>
      </c>
      <c r="AC5117" s="54" t="b">
        <f aca="false">AND(E5117&gt;=01_因子設定!$L$5-0.000000001,E5117&lt;=01_因子設定!$M$5+0.000000001,F5117&gt;=01_因子設定!$L$6-0.000000001,F5117&lt;=01_因子設定!$M$6+0.000000001,G5117&gt;=01_因子設定!$L$7-0.000000001,G5117&lt;=01_因子設定!$M$7+0.000000001,H5117&gt;=01_因子設定!$L$8-0.000000001,H5117&lt;=01_因子設定!$M$8+0.000000001,IF(01_因子設定!$B$20="Box-Behnken",E5117^2+F5117^2+G5117^2+H5117^2&lt;=2+0.000000001,TRUE()))</f>
        <v>1</v>
      </c>
      <c r="AD5117" s="55" t="n">
        <f aca="false">IF(AC5117,IF(01_因子設定!$B$13="最大化",AA5117-01_因子設定!$B$14,IF(01_因子設定!$B$13="最小化",01_因子設定!$B$15-AB5117,MIN(AA5117-01_因子設定!$B$14,01_因子設定!$B$15-AB5117))),-1E+030)</f>
        <v>-7.07422336940198</v>
      </c>
      <c r="AE5117" s="55" t="n">
        <f aca="false">IF(AC5117,IF(01_因子設定!$B$13="最大化",X5117,IF(01_因子設定!$B$13="最小化",-X5117,-ABS(X5117-01_因子設定!$B$16))),-1E+030)</f>
        <v>41.0387609649123</v>
      </c>
      <c r="AF5117" s="55" t="n">
        <f aca="false">AD5117+ROW()*0.000000001</f>
        <v>-7.07421825240198</v>
      </c>
      <c r="AG5117" s="55" t="n">
        <f aca="false">AE5117+ROW()*0.000000001</f>
        <v>41.0387660819123</v>
      </c>
    </row>
    <row r="5118" customFormat="false" ht="15" hidden="false" customHeight="false" outlineLevel="0" collapsed="false">
      <c r="A5118" s="0" t="n">
        <v>7</v>
      </c>
      <c r="B5118" s="0" t="n">
        <v>0</v>
      </c>
      <c r="C5118" s="0" t="n">
        <v>1</v>
      </c>
      <c r="D5118" s="0" t="n">
        <v>1</v>
      </c>
      <c r="E5118" s="0" t="n">
        <f aca="false">-1+A5118*0.25</f>
        <v>0.75</v>
      </c>
      <c r="F5118" s="0" t="n">
        <f aca="false">-1+B5118*0.25</f>
        <v>-1</v>
      </c>
      <c r="G5118" s="0" t="n">
        <f aca="false">-1+C5118*0.25</f>
        <v>-0.75</v>
      </c>
      <c r="H5118" s="0" t="n">
        <f aca="false">-1+D5118*0.25</f>
        <v>-0.75</v>
      </c>
      <c r="I5118" s="0" t="n">
        <f aca="false">1</f>
        <v>1</v>
      </c>
      <c r="J5118" s="0" t="n">
        <f aca="false">E5118</f>
        <v>0.75</v>
      </c>
      <c r="K5118" s="0" t="n">
        <f aca="false">F5118</f>
        <v>-1</v>
      </c>
      <c r="L5118" s="0" t="n">
        <f aca="false">G5118</f>
        <v>-0.75</v>
      </c>
      <c r="M5118" s="0" t="n">
        <f aca="false">H5118</f>
        <v>-0.75</v>
      </c>
      <c r="N5118" s="0" t="n">
        <f aca="false">E5118*F5118</f>
        <v>-0.75</v>
      </c>
      <c r="O5118" s="0" t="n">
        <f aca="false">E5118*G5118</f>
        <v>-0.5625</v>
      </c>
      <c r="P5118" s="0" t="n">
        <f aca="false">E5118*H5118</f>
        <v>-0.5625</v>
      </c>
      <c r="Q5118" s="0" t="n">
        <f aca="false">F5118*G5118</f>
        <v>0.75</v>
      </c>
      <c r="R5118" s="0" t="n">
        <f aca="false">F5118*H5118</f>
        <v>0.75</v>
      </c>
      <c r="S5118" s="0" t="n">
        <f aca="false">G5118*H5118</f>
        <v>0.5625</v>
      </c>
      <c r="T5118" s="0" t="n">
        <f aca="false">E5118*E5118</f>
        <v>0.5625</v>
      </c>
      <c r="U5118" s="0" t="n">
        <f aca="false">F5118*F5118</f>
        <v>1</v>
      </c>
      <c r="V5118" s="0" t="n">
        <f aca="false">G5118*G5118</f>
        <v>0.5625</v>
      </c>
      <c r="W5118" s="0" t="n">
        <f aca="false">H5118*H5118</f>
        <v>0.5625</v>
      </c>
      <c r="X5118" s="0" t="n">
        <f aca="false">SUMPRODUCT(I5118:W5118,_XtX!$B$96:$P$96)</f>
        <v>41.3301306652047</v>
      </c>
      <c r="Y5118" s="0" t="n">
        <f aca="false">SUMPRODUCT(MMULT(I5118:W5118,_XtX!$B$78:$P$92),I5118:W5118)</f>
        <v>0.420117473044591</v>
      </c>
      <c r="Z5118" s="0" t="n">
        <f aca="false">04_回帰ANOVA!$K$19*04_回帰ANOVA!$K$14*SQRT(1+Y5118)</f>
        <v>1.55331854827765</v>
      </c>
      <c r="AA5118" s="0" t="n">
        <f aca="false">X5118-Z5118</f>
        <v>39.776812116927</v>
      </c>
      <c r="AB5118" s="0" t="n">
        <f aca="false">X5118+Z5118</f>
        <v>42.8834492134823</v>
      </c>
      <c r="AC5118" s="54" t="b">
        <f aca="false">AND(E5118&gt;=01_因子設定!$L$5-0.000000001,E5118&lt;=01_因子設定!$M$5+0.000000001,F5118&gt;=01_因子設定!$L$6-0.000000001,F5118&lt;=01_因子設定!$M$6+0.000000001,G5118&gt;=01_因子設定!$L$7-0.000000001,G5118&lt;=01_因子設定!$M$7+0.000000001,H5118&gt;=01_因子設定!$L$8-0.000000001,H5118&lt;=01_因子設定!$M$8+0.000000001,IF(01_因子設定!$B$20="Box-Behnken",E5118^2+F5118^2+G5118^2+H5118^2&lt;=2+0.000000001,TRUE()))</f>
        <v>1</v>
      </c>
      <c r="AD5118" s="55" t="n">
        <f aca="false">IF(AC5118,IF(01_因子設定!$B$13="最大化",AA5118-01_因子設定!$B$14,IF(01_因子設定!$B$13="最小化",01_因子設定!$B$15-AB5118,MIN(AA5118-01_因子設定!$B$14,01_因子設定!$B$15-AB5118))),-1E+030)</f>
        <v>-6.72318788307296</v>
      </c>
      <c r="AE5118" s="55" t="n">
        <f aca="false">IF(AC5118,IF(01_因子設定!$B$13="最大化",X5118,IF(01_因子設定!$B$13="最小化",-X5118,-ABS(X5118-01_因子設定!$B$16))),-1E+030)</f>
        <v>41.3301306652047</v>
      </c>
      <c r="AF5118" s="55" t="n">
        <f aca="false">AD5118+ROW()*0.000000001</f>
        <v>-6.72318276507296</v>
      </c>
      <c r="AG5118" s="55" t="n">
        <f aca="false">AE5118+ROW()*0.000000001</f>
        <v>41.3301357832047</v>
      </c>
    </row>
    <row r="5119" customFormat="false" ht="15" hidden="false" customHeight="false" outlineLevel="0" collapsed="false">
      <c r="A5119" s="0" t="n">
        <v>7</v>
      </c>
      <c r="B5119" s="0" t="n">
        <v>0</v>
      </c>
      <c r="C5119" s="0" t="n">
        <v>1</v>
      </c>
      <c r="D5119" s="0" t="n">
        <v>2</v>
      </c>
      <c r="E5119" s="0" t="n">
        <f aca="false">-1+A5119*0.25</f>
        <v>0.75</v>
      </c>
      <c r="F5119" s="0" t="n">
        <f aca="false">-1+B5119*0.25</f>
        <v>-1</v>
      </c>
      <c r="G5119" s="0" t="n">
        <f aca="false">-1+C5119*0.25</f>
        <v>-0.75</v>
      </c>
      <c r="H5119" s="0" t="n">
        <f aca="false">-1+D5119*0.25</f>
        <v>-0.5</v>
      </c>
      <c r="I5119" s="0" t="n">
        <f aca="false">1</f>
        <v>1</v>
      </c>
      <c r="J5119" s="0" t="n">
        <f aca="false">E5119</f>
        <v>0.75</v>
      </c>
      <c r="K5119" s="0" t="n">
        <f aca="false">F5119</f>
        <v>-1</v>
      </c>
      <c r="L5119" s="0" t="n">
        <f aca="false">G5119</f>
        <v>-0.75</v>
      </c>
      <c r="M5119" s="0" t="n">
        <f aca="false">H5119</f>
        <v>-0.5</v>
      </c>
      <c r="N5119" s="0" t="n">
        <f aca="false">E5119*F5119</f>
        <v>-0.75</v>
      </c>
      <c r="O5119" s="0" t="n">
        <f aca="false">E5119*G5119</f>
        <v>-0.5625</v>
      </c>
      <c r="P5119" s="0" t="n">
        <f aca="false">E5119*H5119</f>
        <v>-0.375</v>
      </c>
      <c r="Q5119" s="0" t="n">
        <f aca="false">F5119*G5119</f>
        <v>0.75</v>
      </c>
      <c r="R5119" s="0" t="n">
        <f aca="false">F5119*H5119</f>
        <v>0.5</v>
      </c>
      <c r="S5119" s="0" t="n">
        <f aca="false">G5119*H5119</f>
        <v>0.375</v>
      </c>
      <c r="T5119" s="0" t="n">
        <f aca="false">E5119*E5119</f>
        <v>0.5625</v>
      </c>
      <c r="U5119" s="0" t="n">
        <f aca="false">F5119*F5119</f>
        <v>1</v>
      </c>
      <c r="V5119" s="0" t="n">
        <f aca="false">G5119*G5119</f>
        <v>0.5625</v>
      </c>
      <c r="W5119" s="0" t="n">
        <f aca="false">H5119*H5119</f>
        <v>0.25</v>
      </c>
      <c r="X5119" s="0" t="n">
        <f aca="false">SUMPRODUCT(I5119:W5119,_XtX!$B$96:$P$96)</f>
        <v>41.5736933479532</v>
      </c>
      <c r="Y5119" s="0" t="n">
        <f aca="false">SUMPRODUCT(MMULT(I5119:W5119,_XtX!$B$78:$P$92),I5119:W5119)</f>
        <v>0.431153771472953</v>
      </c>
      <c r="Z5119" s="0" t="n">
        <f aca="false">04_回帰ANOVA!$K$19*04_回帰ANOVA!$K$14*SQRT(1+Y5119)</f>
        <v>1.55934259562563</v>
      </c>
      <c r="AA5119" s="0" t="n">
        <f aca="false">X5119-Z5119</f>
        <v>40.0143507523276</v>
      </c>
      <c r="AB5119" s="0" t="n">
        <f aca="false">X5119+Z5119</f>
        <v>43.1330359435788</v>
      </c>
      <c r="AC5119" s="54" t="b">
        <f aca="false">AND(E5119&gt;=01_因子設定!$L$5-0.000000001,E5119&lt;=01_因子設定!$M$5+0.000000001,F5119&gt;=01_因子設定!$L$6-0.000000001,F5119&lt;=01_因子設定!$M$6+0.000000001,G5119&gt;=01_因子設定!$L$7-0.000000001,G5119&lt;=01_因子設定!$M$7+0.000000001,H5119&gt;=01_因子設定!$L$8-0.000000001,H5119&lt;=01_因子設定!$M$8+0.000000001,IF(01_因子設定!$B$20="Box-Behnken",E5119^2+F5119^2+G5119^2+H5119^2&lt;=2+0.000000001,TRUE()))</f>
        <v>1</v>
      </c>
      <c r="AD5119" s="55" t="n">
        <f aca="false">IF(AC5119,IF(01_因子設定!$B$13="最大化",AA5119-01_因子設定!$B$14,IF(01_因子設定!$B$13="最小化",01_因子設定!$B$15-AB5119,MIN(AA5119-01_因子設定!$B$14,01_因子設定!$B$15-AB5119))),-1E+030)</f>
        <v>-6.48564924767242</v>
      </c>
      <c r="AE5119" s="55" t="n">
        <f aca="false">IF(AC5119,IF(01_因子設定!$B$13="最大化",X5119,IF(01_因子設定!$B$13="最小化",-X5119,-ABS(X5119-01_因子設定!$B$16))),-1E+030)</f>
        <v>41.5736933479532</v>
      </c>
      <c r="AF5119" s="55" t="n">
        <f aca="false">AD5119+ROW()*0.000000001</f>
        <v>-6.48564412867242</v>
      </c>
      <c r="AG5119" s="55" t="n">
        <f aca="false">AE5119+ROW()*0.000000001</f>
        <v>41.5736984669532</v>
      </c>
    </row>
    <row r="5120" customFormat="false" ht="15" hidden="false" customHeight="false" outlineLevel="0" collapsed="false">
      <c r="A5120" s="0" t="n">
        <v>7</v>
      </c>
      <c r="B5120" s="0" t="n">
        <v>0</v>
      </c>
      <c r="C5120" s="0" t="n">
        <v>1</v>
      </c>
      <c r="D5120" s="0" t="n">
        <v>3</v>
      </c>
      <c r="E5120" s="0" t="n">
        <f aca="false">-1+A5120*0.25</f>
        <v>0.75</v>
      </c>
      <c r="F5120" s="0" t="n">
        <f aca="false">-1+B5120*0.25</f>
        <v>-1</v>
      </c>
      <c r="G5120" s="0" t="n">
        <f aca="false">-1+C5120*0.25</f>
        <v>-0.75</v>
      </c>
      <c r="H5120" s="0" t="n">
        <f aca="false">-1+D5120*0.25</f>
        <v>-0.25</v>
      </c>
      <c r="I5120" s="0" t="n">
        <f aca="false">1</f>
        <v>1</v>
      </c>
      <c r="J5120" s="0" t="n">
        <f aca="false">E5120</f>
        <v>0.75</v>
      </c>
      <c r="K5120" s="0" t="n">
        <f aca="false">F5120</f>
        <v>-1</v>
      </c>
      <c r="L5120" s="0" t="n">
        <f aca="false">G5120</f>
        <v>-0.75</v>
      </c>
      <c r="M5120" s="0" t="n">
        <f aca="false">H5120</f>
        <v>-0.25</v>
      </c>
      <c r="N5120" s="0" t="n">
        <f aca="false">E5120*F5120</f>
        <v>-0.75</v>
      </c>
      <c r="O5120" s="0" t="n">
        <f aca="false">E5120*G5120</f>
        <v>-0.5625</v>
      </c>
      <c r="P5120" s="0" t="n">
        <f aca="false">E5120*H5120</f>
        <v>-0.1875</v>
      </c>
      <c r="Q5120" s="0" t="n">
        <f aca="false">F5120*G5120</f>
        <v>0.75</v>
      </c>
      <c r="R5120" s="0" t="n">
        <f aca="false">F5120*H5120</f>
        <v>0.25</v>
      </c>
      <c r="S5120" s="0" t="n">
        <f aca="false">G5120*H5120</f>
        <v>0.1875</v>
      </c>
      <c r="T5120" s="0" t="n">
        <f aca="false">E5120*E5120</f>
        <v>0.5625</v>
      </c>
      <c r="U5120" s="0" t="n">
        <f aca="false">F5120*F5120</f>
        <v>1</v>
      </c>
      <c r="V5120" s="0" t="n">
        <f aca="false">G5120*G5120</f>
        <v>0.5625</v>
      </c>
      <c r="W5120" s="0" t="n">
        <f aca="false">H5120*H5120</f>
        <v>0.0625</v>
      </c>
      <c r="X5120" s="0" t="n">
        <f aca="false">SUMPRODUCT(I5120:W5120,_XtX!$B$96:$P$96)</f>
        <v>41.7694490131579</v>
      </c>
      <c r="Y5120" s="0" t="n">
        <f aca="false">SUMPRODUCT(MMULT(I5120:W5120,_XtX!$B$78:$P$92),I5120:W5120)</f>
        <v>0.473959761056287</v>
      </c>
      <c r="Z5120" s="0" t="n">
        <f aca="false">04_回帰ANOVA!$K$19*04_回帰ANOVA!$K$14*SQRT(1+Y5120)</f>
        <v>1.58249084588329</v>
      </c>
      <c r="AA5120" s="0" t="n">
        <f aca="false">X5120-Z5120</f>
        <v>40.1869581672746</v>
      </c>
      <c r="AB5120" s="0" t="n">
        <f aca="false">X5120+Z5120</f>
        <v>43.3519398590412</v>
      </c>
      <c r="AC5120" s="54" t="b">
        <f aca="false">AND(E5120&gt;=01_因子設定!$L$5-0.000000001,E5120&lt;=01_因子設定!$M$5+0.000000001,F5120&gt;=01_因子設定!$L$6-0.000000001,F5120&lt;=01_因子設定!$M$6+0.000000001,G5120&gt;=01_因子設定!$L$7-0.000000001,G5120&lt;=01_因子設定!$M$7+0.000000001,H5120&gt;=01_因子設定!$L$8-0.000000001,H5120&lt;=01_因子設定!$M$8+0.000000001,IF(01_因子設定!$B$20="Box-Behnken",E5120^2+F5120^2+G5120^2+H5120^2&lt;=2+0.000000001,TRUE()))</f>
        <v>1</v>
      </c>
      <c r="AD5120" s="55" t="n">
        <f aca="false">IF(AC5120,IF(01_因子設定!$B$13="最大化",AA5120-01_因子設定!$B$14,IF(01_因子設定!$B$13="最小化",01_因子設定!$B$15-AB5120,MIN(AA5120-01_因子設定!$B$14,01_因子設定!$B$15-AB5120))),-1E+030)</f>
        <v>-6.3130418327254</v>
      </c>
      <c r="AE5120" s="55" t="n">
        <f aca="false">IF(AC5120,IF(01_因子設定!$B$13="最大化",X5120,IF(01_因子設定!$B$13="最小化",-X5120,-ABS(X5120-01_因子設定!$B$16))),-1E+030)</f>
        <v>41.7694490131579</v>
      </c>
      <c r="AF5120" s="55" t="n">
        <f aca="false">AD5120+ROW()*0.000000001</f>
        <v>-6.3130367127254</v>
      </c>
      <c r="AG5120" s="55" t="n">
        <f aca="false">AE5120+ROW()*0.000000001</f>
        <v>41.7694541331579</v>
      </c>
    </row>
    <row r="5121" customFormat="false" ht="15" hidden="false" customHeight="false" outlineLevel="0" collapsed="false">
      <c r="A5121" s="0" t="n">
        <v>7</v>
      </c>
      <c r="B5121" s="0" t="n">
        <v>0</v>
      </c>
      <c r="C5121" s="0" t="n">
        <v>1</v>
      </c>
      <c r="D5121" s="0" t="n">
        <v>4</v>
      </c>
      <c r="E5121" s="0" t="n">
        <f aca="false">-1+A5121*0.25</f>
        <v>0.75</v>
      </c>
      <c r="F5121" s="0" t="n">
        <f aca="false">-1+B5121*0.25</f>
        <v>-1</v>
      </c>
      <c r="G5121" s="0" t="n">
        <f aca="false">-1+C5121*0.25</f>
        <v>-0.75</v>
      </c>
      <c r="H5121" s="0" t="n">
        <f aca="false">-1+D5121*0.25</f>
        <v>0</v>
      </c>
      <c r="I5121" s="0" t="n">
        <f aca="false">1</f>
        <v>1</v>
      </c>
      <c r="J5121" s="0" t="n">
        <f aca="false">E5121</f>
        <v>0.75</v>
      </c>
      <c r="K5121" s="0" t="n">
        <f aca="false">F5121</f>
        <v>-1</v>
      </c>
      <c r="L5121" s="0" t="n">
        <f aca="false">G5121</f>
        <v>-0.75</v>
      </c>
      <c r="M5121" s="0" t="n">
        <f aca="false">H5121</f>
        <v>0</v>
      </c>
      <c r="N5121" s="0" t="n">
        <f aca="false">E5121*F5121</f>
        <v>-0.75</v>
      </c>
      <c r="O5121" s="0" t="n">
        <f aca="false">E5121*G5121</f>
        <v>-0.5625</v>
      </c>
      <c r="P5121" s="0" t="n">
        <f aca="false">E5121*H5121</f>
        <v>0</v>
      </c>
      <c r="Q5121" s="0" t="n">
        <f aca="false">F5121*G5121</f>
        <v>0.75</v>
      </c>
      <c r="R5121" s="0" t="n">
        <f aca="false">F5121*H5121</f>
        <v>-0</v>
      </c>
      <c r="S5121" s="0" t="n">
        <f aca="false">G5121*H5121</f>
        <v>-0</v>
      </c>
      <c r="T5121" s="0" t="n">
        <f aca="false">E5121*E5121</f>
        <v>0.5625</v>
      </c>
      <c r="U5121" s="0" t="n">
        <f aca="false">F5121*F5121</f>
        <v>1</v>
      </c>
      <c r="V5121" s="0" t="n">
        <f aca="false">G5121*G5121</f>
        <v>0.5625</v>
      </c>
      <c r="W5121" s="0" t="n">
        <f aca="false">H5121*H5121</f>
        <v>0</v>
      </c>
      <c r="X5121" s="0" t="n">
        <f aca="false">SUMPRODUCT(I5121:W5121,_XtX!$B$96:$P$96)</f>
        <v>41.9173976608187</v>
      </c>
      <c r="Y5121" s="0" t="n">
        <f aca="false">SUMPRODUCT(MMULT(I5121:W5121,_XtX!$B$78:$P$92),I5121:W5121)</f>
        <v>0.494259126005117</v>
      </c>
      <c r="Z5121" s="0" t="n">
        <f aca="false">04_回帰ANOVA!$K$19*04_回帰ANOVA!$K$14*SQRT(1+Y5121)</f>
        <v>1.59335061078203</v>
      </c>
      <c r="AA5121" s="0" t="n">
        <f aca="false">X5121-Z5121</f>
        <v>40.3240470500367</v>
      </c>
      <c r="AB5121" s="0" t="n">
        <f aca="false">X5121+Z5121</f>
        <v>43.5107482716007</v>
      </c>
      <c r="AC5121" s="54" t="b">
        <f aca="false">AND(E5121&gt;=01_因子設定!$L$5-0.000000001,E5121&lt;=01_因子設定!$M$5+0.000000001,F5121&gt;=01_因子設定!$L$6-0.000000001,F5121&lt;=01_因子設定!$M$6+0.000000001,G5121&gt;=01_因子設定!$L$7-0.000000001,G5121&lt;=01_因子設定!$M$7+0.000000001,H5121&gt;=01_因子設定!$L$8-0.000000001,H5121&lt;=01_因子設定!$M$8+0.000000001,IF(01_因子設定!$B$20="Box-Behnken",E5121^2+F5121^2+G5121^2+H5121^2&lt;=2+0.000000001,TRUE()))</f>
        <v>1</v>
      </c>
      <c r="AD5121" s="55" t="n">
        <f aca="false">IF(AC5121,IF(01_因子設定!$B$13="最大化",AA5121-01_因子設定!$B$14,IF(01_因子設定!$B$13="最小化",01_因子設定!$B$15-AB5121,MIN(AA5121-01_因子設定!$B$14,01_因子設定!$B$15-AB5121))),-1E+030)</f>
        <v>-6.17595294996333</v>
      </c>
      <c r="AE5121" s="55" t="n">
        <f aca="false">IF(AC5121,IF(01_因子設定!$B$13="最大化",X5121,IF(01_因子設定!$B$13="最小化",-X5121,-ABS(X5121-01_因子設定!$B$16))),-1E+030)</f>
        <v>41.9173976608187</v>
      </c>
      <c r="AF5121" s="55" t="n">
        <f aca="false">AD5121+ROW()*0.000000001</f>
        <v>-6.17594782896332</v>
      </c>
      <c r="AG5121" s="55" t="n">
        <f aca="false">AE5121+ROW()*0.000000001</f>
        <v>41.9174027818187</v>
      </c>
    </row>
    <row r="5122" customFormat="false" ht="15" hidden="false" customHeight="false" outlineLevel="0" collapsed="false">
      <c r="A5122" s="0" t="n">
        <v>7</v>
      </c>
      <c r="B5122" s="0" t="n">
        <v>0</v>
      </c>
      <c r="C5122" s="0" t="n">
        <v>1</v>
      </c>
      <c r="D5122" s="0" t="n">
        <v>5</v>
      </c>
      <c r="E5122" s="0" t="n">
        <f aca="false">-1+A5122*0.25</f>
        <v>0.75</v>
      </c>
      <c r="F5122" s="0" t="n">
        <f aca="false">-1+B5122*0.25</f>
        <v>-1</v>
      </c>
      <c r="G5122" s="0" t="n">
        <f aca="false">-1+C5122*0.25</f>
        <v>-0.75</v>
      </c>
      <c r="H5122" s="0" t="n">
        <f aca="false">-1+D5122*0.25</f>
        <v>0.25</v>
      </c>
      <c r="I5122" s="0" t="n">
        <f aca="false">1</f>
        <v>1</v>
      </c>
      <c r="J5122" s="0" t="n">
        <f aca="false">E5122</f>
        <v>0.75</v>
      </c>
      <c r="K5122" s="0" t="n">
        <f aca="false">F5122</f>
        <v>-1</v>
      </c>
      <c r="L5122" s="0" t="n">
        <f aca="false">G5122</f>
        <v>-0.75</v>
      </c>
      <c r="M5122" s="0" t="n">
        <f aca="false">H5122</f>
        <v>0.25</v>
      </c>
      <c r="N5122" s="0" t="n">
        <f aca="false">E5122*F5122</f>
        <v>-0.75</v>
      </c>
      <c r="O5122" s="0" t="n">
        <f aca="false">E5122*G5122</f>
        <v>-0.5625</v>
      </c>
      <c r="P5122" s="0" t="n">
        <f aca="false">E5122*H5122</f>
        <v>0.1875</v>
      </c>
      <c r="Q5122" s="0" t="n">
        <f aca="false">F5122*G5122</f>
        <v>0.75</v>
      </c>
      <c r="R5122" s="0" t="n">
        <f aca="false">F5122*H5122</f>
        <v>-0.25</v>
      </c>
      <c r="S5122" s="0" t="n">
        <f aca="false">G5122*H5122</f>
        <v>-0.1875</v>
      </c>
      <c r="T5122" s="0" t="n">
        <f aca="false">E5122*E5122</f>
        <v>0.5625</v>
      </c>
      <c r="U5122" s="0" t="n">
        <f aca="false">F5122*F5122</f>
        <v>1</v>
      </c>
      <c r="V5122" s="0" t="n">
        <f aca="false">G5122*G5122</f>
        <v>0.5625</v>
      </c>
      <c r="W5122" s="0" t="n">
        <f aca="false">H5122*H5122</f>
        <v>0.0625</v>
      </c>
      <c r="X5122" s="0" t="n">
        <f aca="false">SUMPRODUCT(I5122:W5122,_XtX!$B$96:$P$96)</f>
        <v>42.0175392909357</v>
      </c>
      <c r="Y5122" s="0" t="n">
        <f aca="false">SUMPRODUCT(MMULT(I5122:W5122,_XtX!$B$78:$P$92),I5122:W5122)</f>
        <v>0.473959761056287</v>
      </c>
      <c r="Z5122" s="0" t="n">
        <f aca="false">04_回帰ANOVA!$K$19*04_回帰ANOVA!$K$14*SQRT(1+Y5122)</f>
        <v>1.58249084588329</v>
      </c>
      <c r="AA5122" s="0" t="n">
        <f aca="false">X5122-Z5122</f>
        <v>40.4350484450524</v>
      </c>
      <c r="AB5122" s="0" t="n">
        <f aca="false">X5122+Z5122</f>
        <v>43.6000301368189</v>
      </c>
      <c r="AC5122" s="54" t="b">
        <f aca="false">AND(E5122&gt;=01_因子設定!$L$5-0.000000001,E5122&lt;=01_因子設定!$M$5+0.000000001,F5122&gt;=01_因子設定!$L$6-0.000000001,F5122&lt;=01_因子設定!$M$6+0.000000001,G5122&gt;=01_因子設定!$L$7-0.000000001,G5122&lt;=01_因子設定!$M$7+0.000000001,H5122&gt;=01_因子設定!$L$8-0.000000001,H5122&lt;=01_因子設定!$M$8+0.000000001,IF(01_因子設定!$B$20="Box-Behnken",E5122^2+F5122^2+G5122^2+H5122^2&lt;=2+0.000000001,TRUE()))</f>
        <v>1</v>
      </c>
      <c r="AD5122" s="55" t="n">
        <f aca="false">IF(AC5122,IF(01_因子設定!$B$13="最大化",AA5122-01_因子設定!$B$14,IF(01_因子設定!$B$13="最小化",01_因子設定!$B$15-AB5122,MIN(AA5122-01_因子設定!$B$14,01_因子設定!$B$15-AB5122))),-1E+030)</f>
        <v>-6.06495155494763</v>
      </c>
      <c r="AE5122" s="55" t="n">
        <f aca="false">IF(AC5122,IF(01_因子設定!$B$13="最大化",X5122,IF(01_因子設定!$B$13="最小化",-X5122,-ABS(X5122-01_因子設定!$B$16))),-1E+030)</f>
        <v>42.0175392909357</v>
      </c>
      <c r="AF5122" s="55" t="n">
        <f aca="false">AD5122+ROW()*0.000000001</f>
        <v>-6.06494643294763</v>
      </c>
      <c r="AG5122" s="55" t="n">
        <f aca="false">AE5122+ROW()*0.000000001</f>
        <v>42.0175444129357</v>
      </c>
    </row>
    <row r="5123" customFormat="false" ht="15" hidden="false" customHeight="false" outlineLevel="0" collapsed="false">
      <c r="A5123" s="0" t="n">
        <v>7</v>
      </c>
      <c r="B5123" s="0" t="n">
        <v>0</v>
      </c>
      <c r="C5123" s="0" t="n">
        <v>1</v>
      </c>
      <c r="D5123" s="0" t="n">
        <v>6</v>
      </c>
      <c r="E5123" s="0" t="n">
        <f aca="false">-1+A5123*0.25</f>
        <v>0.75</v>
      </c>
      <c r="F5123" s="0" t="n">
        <f aca="false">-1+B5123*0.25</f>
        <v>-1</v>
      </c>
      <c r="G5123" s="0" t="n">
        <f aca="false">-1+C5123*0.25</f>
        <v>-0.75</v>
      </c>
      <c r="H5123" s="0" t="n">
        <f aca="false">-1+D5123*0.25</f>
        <v>0.5</v>
      </c>
      <c r="I5123" s="0" t="n">
        <f aca="false">1</f>
        <v>1</v>
      </c>
      <c r="J5123" s="0" t="n">
        <f aca="false">E5123</f>
        <v>0.75</v>
      </c>
      <c r="K5123" s="0" t="n">
        <f aca="false">F5123</f>
        <v>-1</v>
      </c>
      <c r="L5123" s="0" t="n">
        <f aca="false">G5123</f>
        <v>-0.75</v>
      </c>
      <c r="M5123" s="0" t="n">
        <f aca="false">H5123</f>
        <v>0.5</v>
      </c>
      <c r="N5123" s="0" t="n">
        <f aca="false">E5123*F5123</f>
        <v>-0.75</v>
      </c>
      <c r="O5123" s="0" t="n">
        <f aca="false">E5123*G5123</f>
        <v>-0.5625</v>
      </c>
      <c r="P5123" s="0" t="n">
        <f aca="false">E5123*H5123</f>
        <v>0.375</v>
      </c>
      <c r="Q5123" s="0" t="n">
        <f aca="false">F5123*G5123</f>
        <v>0.75</v>
      </c>
      <c r="R5123" s="0" t="n">
        <f aca="false">F5123*H5123</f>
        <v>-0.5</v>
      </c>
      <c r="S5123" s="0" t="n">
        <f aca="false">G5123*H5123</f>
        <v>-0.375</v>
      </c>
      <c r="T5123" s="0" t="n">
        <f aca="false">E5123*E5123</f>
        <v>0.5625</v>
      </c>
      <c r="U5123" s="0" t="n">
        <f aca="false">F5123*F5123</f>
        <v>1</v>
      </c>
      <c r="V5123" s="0" t="n">
        <f aca="false">G5123*G5123</f>
        <v>0.5625</v>
      </c>
      <c r="W5123" s="0" t="n">
        <f aca="false">H5123*H5123</f>
        <v>0.25</v>
      </c>
      <c r="X5123" s="0" t="n">
        <f aca="false">SUMPRODUCT(I5123:W5123,_XtX!$B$96:$P$96)</f>
        <v>42.0698739035088</v>
      </c>
      <c r="Y5123" s="0" t="n">
        <f aca="false">SUMPRODUCT(MMULT(I5123:W5123,_XtX!$B$78:$P$92),I5123:W5123)</f>
        <v>0.431153771472953</v>
      </c>
      <c r="Z5123" s="0" t="n">
        <f aca="false">04_回帰ANOVA!$K$19*04_回帰ANOVA!$K$14*SQRT(1+Y5123)</f>
        <v>1.55934259562563</v>
      </c>
      <c r="AA5123" s="0" t="n">
        <f aca="false">X5123-Z5123</f>
        <v>40.5105313078831</v>
      </c>
      <c r="AB5123" s="0" t="n">
        <f aca="false">X5123+Z5123</f>
        <v>43.6292164991344</v>
      </c>
      <c r="AC5123" s="54" t="b">
        <f aca="false">AND(E5123&gt;=01_因子設定!$L$5-0.000000001,E5123&lt;=01_因子設定!$M$5+0.000000001,F5123&gt;=01_因子設定!$L$6-0.000000001,F5123&lt;=01_因子設定!$M$6+0.000000001,G5123&gt;=01_因子設定!$L$7-0.000000001,G5123&lt;=01_因子設定!$M$7+0.000000001,H5123&gt;=01_因子設定!$L$8-0.000000001,H5123&lt;=01_因子設定!$M$8+0.000000001,IF(01_因子設定!$B$20="Box-Behnken",E5123^2+F5123^2+G5123^2+H5123^2&lt;=2+0.000000001,TRUE()))</f>
        <v>1</v>
      </c>
      <c r="AD5123" s="55" t="n">
        <f aca="false">IF(AC5123,IF(01_因子設定!$B$13="最大化",AA5123-01_因子設定!$B$14,IF(01_因子設定!$B$13="最小化",01_因子設定!$B$15-AB5123,MIN(AA5123-01_因子設定!$B$14,01_因子設定!$B$15-AB5123))),-1E+030)</f>
        <v>-5.98946869211687</v>
      </c>
      <c r="AE5123" s="55" t="n">
        <f aca="false">IF(AC5123,IF(01_因子設定!$B$13="最大化",X5123,IF(01_因子設定!$B$13="最小化",-X5123,-ABS(X5123-01_因子設定!$B$16))),-1E+030)</f>
        <v>42.0698739035088</v>
      </c>
      <c r="AF5123" s="55" t="n">
        <f aca="false">AD5123+ROW()*0.000000001</f>
        <v>-5.98946356911687</v>
      </c>
      <c r="AG5123" s="55" t="n">
        <f aca="false">AE5123+ROW()*0.000000001</f>
        <v>42.0698790265088</v>
      </c>
    </row>
    <row r="5124" customFormat="false" ht="15" hidden="false" customHeight="false" outlineLevel="0" collapsed="false">
      <c r="A5124" s="0" t="n">
        <v>7</v>
      </c>
      <c r="B5124" s="0" t="n">
        <v>0</v>
      </c>
      <c r="C5124" s="0" t="n">
        <v>1</v>
      </c>
      <c r="D5124" s="0" t="n">
        <v>7</v>
      </c>
      <c r="E5124" s="0" t="n">
        <f aca="false">-1+A5124*0.25</f>
        <v>0.75</v>
      </c>
      <c r="F5124" s="0" t="n">
        <f aca="false">-1+B5124*0.25</f>
        <v>-1</v>
      </c>
      <c r="G5124" s="0" t="n">
        <f aca="false">-1+C5124*0.25</f>
        <v>-0.75</v>
      </c>
      <c r="H5124" s="0" t="n">
        <f aca="false">-1+D5124*0.25</f>
        <v>0.75</v>
      </c>
      <c r="I5124" s="0" t="n">
        <f aca="false">1</f>
        <v>1</v>
      </c>
      <c r="J5124" s="0" t="n">
        <f aca="false">E5124</f>
        <v>0.75</v>
      </c>
      <c r="K5124" s="0" t="n">
        <f aca="false">F5124</f>
        <v>-1</v>
      </c>
      <c r="L5124" s="0" t="n">
        <f aca="false">G5124</f>
        <v>-0.75</v>
      </c>
      <c r="M5124" s="0" t="n">
        <f aca="false">H5124</f>
        <v>0.75</v>
      </c>
      <c r="N5124" s="0" t="n">
        <f aca="false">E5124*F5124</f>
        <v>-0.75</v>
      </c>
      <c r="O5124" s="0" t="n">
        <f aca="false">E5124*G5124</f>
        <v>-0.5625</v>
      </c>
      <c r="P5124" s="0" t="n">
        <f aca="false">E5124*H5124</f>
        <v>0.5625</v>
      </c>
      <c r="Q5124" s="0" t="n">
        <f aca="false">F5124*G5124</f>
        <v>0.75</v>
      </c>
      <c r="R5124" s="0" t="n">
        <f aca="false">F5124*H5124</f>
        <v>-0.75</v>
      </c>
      <c r="S5124" s="0" t="n">
        <f aca="false">G5124*H5124</f>
        <v>-0.5625</v>
      </c>
      <c r="T5124" s="0" t="n">
        <f aca="false">E5124*E5124</f>
        <v>0.5625</v>
      </c>
      <c r="U5124" s="0" t="n">
        <f aca="false">F5124*F5124</f>
        <v>1</v>
      </c>
      <c r="V5124" s="0" t="n">
        <f aca="false">G5124*G5124</f>
        <v>0.5625</v>
      </c>
      <c r="W5124" s="0" t="n">
        <f aca="false">H5124*H5124</f>
        <v>0.5625</v>
      </c>
      <c r="X5124" s="0" t="n">
        <f aca="false">SUMPRODUCT(I5124:W5124,_XtX!$B$96:$P$96)</f>
        <v>42.074401498538</v>
      </c>
      <c r="Y5124" s="0" t="n">
        <f aca="false">SUMPRODUCT(MMULT(I5124:W5124,_XtX!$B$78:$P$92),I5124:W5124)</f>
        <v>0.420117473044591</v>
      </c>
      <c r="Z5124" s="0" t="n">
        <f aca="false">04_回帰ANOVA!$K$19*04_回帰ANOVA!$K$14*SQRT(1+Y5124)</f>
        <v>1.55331854827765</v>
      </c>
      <c r="AA5124" s="0" t="n">
        <f aca="false">X5124-Z5124</f>
        <v>40.5210829502604</v>
      </c>
      <c r="AB5124" s="0" t="n">
        <f aca="false">X5124+Z5124</f>
        <v>43.6277200468157</v>
      </c>
      <c r="AC5124" s="54" t="b">
        <f aca="false">AND(E5124&gt;=01_因子設定!$L$5-0.000000001,E5124&lt;=01_因子設定!$M$5+0.000000001,F5124&gt;=01_因子設定!$L$6-0.000000001,F5124&lt;=01_因子設定!$M$6+0.000000001,G5124&gt;=01_因子設定!$L$7-0.000000001,G5124&lt;=01_因子設定!$M$7+0.000000001,H5124&gt;=01_因子設定!$L$8-0.000000001,H5124&lt;=01_因子設定!$M$8+0.000000001,IF(01_因子設定!$B$20="Box-Behnken",E5124^2+F5124^2+G5124^2+H5124^2&lt;=2+0.000000001,TRUE()))</f>
        <v>1</v>
      </c>
      <c r="AD5124" s="55" t="n">
        <f aca="false">IF(AC5124,IF(01_因子設定!$B$13="最大化",AA5124-01_因子設定!$B$14,IF(01_因子設定!$B$13="最小化",01_因子設定!$B$15-AB5124,MIN(AA5124-01_因子設定!$B$14,01_因子設定!$B$15-AB5124))),-1E+030)</f>
        <v>-5.97891704973963</v>
      </c>
      <c r="AE5124" s="55" t="n">
        <f aca="false">IF(AC5124,IF(01_因子設定!$B$13="最大化",X5124,IF(01_因子設定!$B$13="最小化",-X5124,-ABS(X5124-01_因子設定!$B$16))),-1E+030)</f>
        <v>42.074401498538</v>
      </c>
      <c r="AF5124" s="55" t="n">
        <f aca="false">AD5124+ROW()*0.000000001</f>
        <v>-5.97891192573963</v>
      </c>
      <c r="AG5124" s="55" t="n">
        <f aca="false">AE5124+ROW()*0.000000001</f>
        <v>42.074406622538</v>
      </c>
    </row>
    <row r="5125" customFormat="false" ht="15" hidden="false" customHeight="false" outlineLevel="0" collapsed="false">
      <c r="A5125" s="0" t="n">
        <v>7</v>
      </c>
      <c r="B5125" s="0" t="n">
        <v>0</v>
      </c>
      <c r="C5125" s="0" t="n">
        <v>1</v>
      </c>
      <c r="D5125" s="0" t="n">
        <v>8</v>
      </c>
      <c r="E5125" s="0" t="n">
        <f aca="false">-1+A5125*0.25</f>
        <v>0.75</v>
      </c>
      <c r="F5125" s="0" t="n">
        <f aca="false">-1+B5125*0.25</f>
        <v>-1</v>
      </c>
      <c r="G5125" s="0" t="n">
        <f aca="false">-1+C5125*0.25</f>
        <v>-0.75</v>
      </c>
      <c r="H5125" s="0" t="n">
        <f aca="false">-1+D5125*0.25</f>
        <v>1</v>
      </c>
      <c r="I5125" s="0" t="n">
        <f aca="false">1</f>
        <v>1</v>
      </c>
      <c r="J5125" s="0" t="n">
        <f aca="false">E5125</f>
        <v>0.75</v>
      </c>
      <c r="K5125" s="0" t="n">
        <f aca="false">F5125</f>
        <v>-1</v>
      </c>
      <c r="L5125" s="0" t="n">
        <f aca="false">G5125</f>
        <v>-0.75</v>
      </c>
      <c r="M5125" s="0" t="n">
        <f aca="false">H5125</f>
        <v>1</v>
      </c>
      <c r="N5125" s="0" t="n">
        <f aca="false">E5125*F5125</f>
        <v>-0.75</v>
      </c>
      <c r="O5125" s="0" t="n">
        <f aca="false">E5125*G5125</f>
        <v>-0.5625</v>
      </c>
      <c r="P5125" s="0" t="n">
        <f aca="false">E5125*H5125</f>
        <v>0.75</v>
      </c>
      <c r="Q5125" s="0" t="n">
        <f aca="false">F5125*G5125</f>
        <v>0.75</v>
      </c>
      <c r="R5125" s="0" t="n">
        <f aca="false">F5125*H5125</f>
        <v>-1</v>
      </c>
      <c r="S5125" s="0" t="n">
        <f aca="false">G5125*H5125</f>
        <v>-0.75</v>
      </c>
      <c r="T5125" s="0" t="n">
        <f aca="false">E5125*E5125</f>
        <v>0.5625</v>
      </c>
      <c r="U5125" s="0" t="n">
        <f aca="false">F5125*F5125</f>
        <v>1</v>
      </c>
      <c r="V5125" s="0" t="n">
        <f aca="false">G5125*G5125</f>
        <v>0.5625</v>
      </c>
      <c r="W5125" s="0" t="n">
        <f aca="false">H5125*H5125</f>
        <v>1</v>
      </c>
      <c r="X5125" s="0" t="n">
        <f aca="false">SUMPRODUCT(I5125:W5125,_XtX!$B$96:$P$96)</f>
        <v>42.0311220760234</v>
      </c>
      <c r="Y5125" s="0" t="n">
        <f aca="false">SUMPRODUCT(MMULT(I5125:W5125,_XtX!$B$78:$P$92),I5125:W5125)</f>
        <v>0.531311392086988</v>
      </c>
      <c r="Z5125" s="0" t="n">
        <f aca="false">04_回帰ANOVA!$K$19*04_回帰ANOVA!$K$14*SQRT(1+Y5125)</f>
        <v>1.61298433431428</v>
      </c>
      <c r="AA5125" s="0" t="n">
        <f aca="false">X5125-Z5125</f>
        <v>40.4181377417091</v>
      </c>
      <c r="AB5125" s="0" t="n">
        <f aca="false">X5125+Z5125</f>
        <v>43.6441064103377</v>
      </c>
      <c r="AC5125" s="54" t="b">
        <f aca="false">AND(E5125&gt;=01_因子設定!$L$5-0.000000001,E5125&lt;=01_因子設定!$M$5+0.000000001,F5125&gt;=01_因子設定!$L$6-0.000000001,F5125&lt;=01_因子設定!$M$6+0.000000001,G5125&gt;=01_因子設定!$L$7-0.000000001,G5125&lt;=01_因子設定!$M$7+0.000000001,H5125&gt;=01_因子設定!$L$8-0.000000001,H5125&lt;=01_因子設定!$M$8+0.000000001,IF(01_因子設定!$B$20="Box-Behnken",E5125^2+F5125^2+G5125^2+H5125^2&lt;=2+0.000000001,TRUE()))</f>
        <v>1</v>
      </c>
      <c r="AD5125" s="55" t="n">
        <f aca="false">IF(AC5125,IF(01_因子設定!$B$13="最大化",AA5125-01_因子設定!$B$14,IF(01_因子設定!$B$13="最小化",01_因子設定!$B$15-AB5125,MIN(AA5125-01_因子設定!$B$14,01_因子設定!$B$15-AB5125))),-1E+030)</f>
        <v>-6.08186225829087</v>
      </c>
      <c r="AE5125" s="55" t="n">
        <f aca="false">IF(AC5125,IF(01_因子設定!$B$13="最大化",X5125,IF(01_因子設定!$B$13="最小化",-X5125,-ABS(X5125-01_因子設定!$B$16))),-1E+030)</f>
        <v>42.0311220760234</v>
      </c>
      <c r="AF5125" s="55" t="n">
        <f aca="false">AD5125+ROW()*0.000000001</f>
        <v>-6.08185713329087</v>
      </c>
      <c r="AG5125" s="55" t="n">
        <f aca="false">AE5125+ROW()*0.000000001</f>
        <v>42.0311272010234</v>
      </c>
    </row>
    <row r="5126" customFormat="false" ht="15" hidden="false" customHeight="false" outlineLevel="0" collapsed="false">
      <c r="A5126" s="0" t="n">
        <v>7</v>
      </c>
      <c r="B5126" s="0" t="n">
        <v>0</v>
      </c>
      <c r="C5126" s="0" t="n">
        <v>2</v>
      </c>
      <c r="D5126" s="0" t="n">
        <v>0</v>
      </c>
      <c r="E5126" s="0" t="n">
        <f aca="false">-1+A5126*0.25</f>
        <v>0.75</v>
      </c>
      <c r="F5126" s="0" t="n">
        <f aca="false">-1+B5126*0.25</f>
        <v>-1</v>
      </c>
      <c r="G5126" s="0" t="n">
        <f aca="false">-1+C5126*0.25</f>
        <v>-0.5</v>
      </c>
      <c r="H5126" s="0" t="n">
        <f aca="false">-1+D5126*0.25</f>
        <v>-1</v>
      </c>
      <c r="I5126" s="0" t="n">
        <f aca="false">1</f>
        <v>1</v>
      </c>
      <c r="J5126" s="0" t="n">
        <f aca="false">E5126</f>
        <v>0.75</v>
      </c>
      <c r="K5126" s="0" t="n">
        <f aca="false">F5126</f>
        <v>-1</v>
      </c>
      <c r="L5126" s="0" t="n">
        <f aca="false">G5126</f>
        <v>-0.5</v>
      </c>
      <c r="M5126" s="0" t="n">
        <f aca="false">H5126</f>
        <v>-1</v>
      </c>
      <c r="N5126" s="0" t="n">
        <f aca="false">E5126*F5126</f>
        <v>-0.75</v>
      </c>
      <c r="O5126" s="0" t="n">
        <f aca="false">E5126*G5126</f>
        <v>-0.375</v>
      </c>
      <c r="P5126" s="0" t="n">
        <f aca="false">E5126*H5126</f>
        <v>-0.75</v>
      </c>
      <c r="Q5126" s="0" t="n">
        <f aca="false">F5126*G5126</f>
        <v>0.5</v>
      </c>
      <c r="R5126" s="0" t="n">
        <f aca="false">F5126*H5126</f>
        <v>1</v>
      </c>
      <c r="S5126" s="0" t="n">
        <f aca="false">G5126*H5126</f>
        <v>0.5</v>
      </c>
      <c r="T5126" s="0" t="n">
        <f aca="false">E5126*E5126</f>
        <v>0.5625</v>
      </c>
      <c r="U5126" s="0" t="n">
        <f aca="false">F5126*F5126</f>
        <v>1</v>
      </c>
      <c r="V5126" s="0" t="n">
        <f aca="false">G5126*G5126</f>
        <v>0.25</v>
      </c>
      <c r="W5126" s="0" t="n">
        <f aca="false">H5126*H5126</f>
        <v>1</v>
      </c>
      <c r="X5126" s="0" t="n">
        <f aca="false">SUMPRODUCT(I5126:W5126,_XtX!$B$96:$P$96)</f>
        <v>41.2259868421053</v>
      </c>
      <c r="Y5126" s="0" t="n">
        <f aca="false">SUMPRODUCT(MMULT(I5126:W5126,_XtX!$B$78:$P$92),I5126:W5126)</f>
        <v>0.564984237938597</v>
      </c>
      <c r="Z5126" s="0" t="n">
        <f aca="false">04_回帰ANOVA!$K$19*04_回帰ANOVA!$K$14*SQRT(1+Y5126)</f>
        <v>1.63062229734503</v>
      </c>
      <c r="AA5126" s="0" t="n">
        <f aca="false">X5126-Z5126</f>
        <v>39.5953645447603</v>
      </c>
      <c r="AB5126" s="0" t="n">
        <f aca="false">X5126+Z5126</f>
        <v>42.8566091394503</v>
      </c>
      <c r="AC5126" s="54" t="b">
        <f aca="false">AND(E5126&gt;=01_因子設定!$L$5-0.000000001,E5126&lt;=01_因子設定!$M$5+0.000000001,F5126&gt;=01_因子設定!$L$6-0.000000001,F5126&lt;=01_因子設定!$M$6+0.000000001,G5126&gt;=01_因子設定!$L$7-0.000000001,G5126&lt;=01_因子設定!$M$7+0.000000001,H5126&gt;=01_因子設定!$L$8-0.000000001,H5126&lt;=01_因子設定!$M$8+0.000000001,IF(01_因子設定!$B$20="Box-Behnken",E5126^2+F5126^2+G5126^2+H5126^2&lt;=2+0.000000001,TRUE()))</f>
        <v>1</v>
      </c>
      <c r="AD5126" s="55" t="n">
        <f aca="false">IF(AC5126,IF(01_因子設定!$B$13="最大化",AA5126-01_因子設定!$B$14,IF(01_因子設定!$B$13="最小化",01_因子設定!$B$15-AB5126,MIN(AA5126-01_因子設定!$B$14,01_因子設定!$B$15-AB5126))),-1E+030)</f>
        <v>-6.90463545523975</v>
      </c>
      <c r="AE5126" s="55" t="n">
        <f aca="false">IF(AC5126,IF(01_因子設定!$B$13="最大化",X5126,IF(01_因子設定!$B$13="最小化",-X5126,-ABS(X5126-01_因子設定!$B$16))),-1E+030)</f>
        <v>41.2259868421053</v>
      </c>
      <c r="AF5126" s="55" t="n">
        <f aca="false">AD5126+ROW()*0.000000001</f>
        <v>-6.90463032923975</v>
      </c>
      <c r="AG5126" s="55" t="n">
        <f aca="false">AE5126+ROW()*0.000000001</f>
        <v>41.2259919681053</v>
      </c>
    </row>
    <row r="5127" customFormat="false" ht="15" hidden="false" customHeight="false" outlineLevel="0" collapsed="false">
      <c r="A5127" s="0" t="n">
        <v>7</v>
      </c>
      <c r="B5127" s="0" t="n">
        <v>0</v>
      </c>
      <c r="C5127" s="0" t="n">
        <v>2</v>
      </c>
      <c r="D5127" s="0" t="n">
        <v>1</v>
      </c>
      <c r="E5127" s="0" t="n">
        <f aca="false">-1+A5127*0.25</f>
        <v>0.75</v>
      </c>
      <c r="F5127" s="0" t="n">
        <f aca="false">-1+B5127*0.25</f>
        <v>-1</v>
      </c>
      <c r="G5127" s="0" t="n">
        <f aca="false">-1+C5127*0.25</f>
        <v>-0.5</v>
      </c>
      <c r="H5127" s="0" t="n">
        <f aca="false">-1+D5127*0.25</f>
        <v>-0.75</v>
      </c>
      <c r="I5127" s="0" t="n">
        <f aca="false">1</f>
        <v>1</v>
      </c>
      <c r="J5127" s="0" t="n">
        <f aca="false">E5127</f>
        <v>0.75</v>
      </c>
      <c r="K5127" s="0" t="n">
        <f aca="false">F5127</f>
        <v>-1</v>
      </c>
      <c r="L5127" s="0" t="n">
        <f aca="false">G5127</f>
        <v>-0.5</v>
      </c>
      <c r="M5127" s="0" t="n">
        <f aca="false">H5127</f>
        <v>-0.75</v>
      </c>
      <c r="N5127" s="0" t="n">
        <f aca="false">E5127*F5127</f>
        <v>-0.75</v>
      </c>
      <c r="O5127" s="0" t="n">
        <f aca="false">E5127*G5127</f>
        <v>-0.375</v>
      </c>
      <c r="P5127" s="0" t="n">
        <f aca="false">E5127*H5127</f>
        <v>-0.5625</v>
      </c>
      <c r="Q5127" s="0" t="n">
        <f aca="false">F5127*G5127</f>
        <v>0.5</v>
      </c>
      <c r="R5127" s="0" t="n">
        <f aca="false">F5127*H5127</f>
        <v>0.75</v>
      </c>
      <c r="S5127" s="0" t="n">
        <f aca="false">G5127*H5127</f>
        <v>0.375</v>
      </c>
      <c r="T5127" s="0" t="n">
        <f aca="false">E5127*E5127</f>
        <v>0.5625</v>
      </c>
      <c r="U5127" s="0" t="n">
        <f aca="false">F5127*F5127</f>
        <v>1</v>
      </c>
      <c r="V5127" s="0" t="n">
        <f aca="false">G5127*G5127</f>
        <v>0.25</v>
      </c>
      <c r="W5127" s="0" t="n">
        <f aca="false">H5127*H5127</f>
        <v>0.5625</v>
      </c>
      <c r="X5127" s="0" t="n">
        <f aca="false">SUMPRODUCT(I5127:W5127,_XtX!$B$96:$P$96)</f>
        <v>41.5353252923977</v>
      </c>
      <c r="Y5127" s="0" t="n">
        <f aca="false">SUMPRODUCT(MMULT(I5127:W5127,_XtX!$B$78:$P$92),I5127:W5127)</f>
        <v>0.431153771472953</v>
      </c>
      <c r="Z5127" s="0" t="n">
        <f aca="false">04_回帰ANOVA!$K$19*04_回帰ANOVA!$K$14*SQRT(1+Y5127)</f>
        <v>1.55934259562563</v>
      </c>
      <c r="AA5127" s="0" t="n">
        <f aca="false">X5127-Z5127</f>
        <v>39.975982696772</v>
      </c>
      <c r="AB5127" s="0" t="n">
        <f aca="false">X5127+Z5127</f>
        <v>43.0946678880233</v>
      </c>
      <c r="AC5127" s="54" t="b">
        <f aca="false">AND(E5127&gt;=01_因子設定!$L$5-0.000000001,E5127&lt;=01_因子設定!$M$5+0.000000001,F5127&gt;=01_因子設定!$L$6-0.000000001,F5127&lt;=01_因子設定!$M$6+0.000000001,G5127&gt;=01_因子設定!$L$7-0.000000001,G5127&lt;=01_因子設定!$M$7+0.000000001,H5127&gt;=01_因子設定!$L$8-0.000000001,H5127&lt;=01_因子設定!$M$8+0.000000001,IF(01_因子設定!$B$20="Box-Behnken",E5127^2+F5127^2+G5127^2+H5127^2&lt;=2+0.000000001,TRUE()))</f>
        <v>1</v>
      </c>
      <c r="AD5127" s="55" t="n">
        <f aca="false">IF(AC5127,IF(01_因子設定!$B$13="最大化",AA5127-01_因子設定!$B$14,IF(01_因子設定!$B$13="最小化",01_因子設定!$B$15-AB5127,MIN(AA5127-01_因子設定!$B$14,01_因子設定!$B$15-AB5127))),-1E+030)</f>
        <v>-6.52401730322796</v>
      </c>
      <c r="AE5127" s="55" t="n">
        <f aca="false">IF(AC5127,IF(01_因子設定!$B$13="最大化",X5127,IF(01_因子設定!$B$13="最小化",-X5127,-ABS(X5127-01_因子設定!$B$16))),-1E+030)</f>
        <v>41.5353252923977</v>
      </c>
      <c r="AF5127" s="55" t="n">
        <f aca="false">AD5127+ROW()*0.000000001</f>
        <v>-6.52401217622797</v>
      </c>
      <c r="AG5127" s="55" t="n">
        <f aca="false">AE5127+ROW()*0.000000001</f>
        <v>41.5353304193977</v>
      </c>
    </row>
    <row r="5128" customFormat="false" ht="15" hidden="false" customHeight="false" outlineLevel="0" collapsed="false">
      <c r="A5128" s="0" t="n">
        <v>7</v>
      </c>
      <c r="B5128" s="0" t="n">
        <v>0</v>
      </c>
      <c r="C5128" s="0" t="n">
        <v>2</v>
      </c>
      <c r="D5128" s="0" t="n">
        <v>2</v>
      </c>
      <c r="E5128" s="0" t="n">
        <f aca="false">-1+A5128*0.25</f>
        <v>0.75</v>
      </c>
      <c r="F5128" s="0" t="n">
        <f aca="false">-1+B5128*0.25</f>
        <v>-1</v>
      </c>
      <c r="G5128" s="0" t="n">
        <f aca="false">-1+C5128*0.25</f>
        <v>-0.5</v>
      </c>
      <c r="H5128" s="0" t="n">
        <f aca="false">-1+D5128*0.25</f>
        <v>-0.5</v>
      </c>
      <c r="I5128" s="0" t="n">
        <f aca="false">1</f>
        <v>1</v>
      </c>
      <c r="J5128" s="0" t="n">
        <f aca="false">E5128</f>
        <v>0.75</v>
      </c>
      <c r="K5128" s="0" t="n">
        <f aca="false">F5128</f>
        <v>-1</v>
      </c>
      <c r="L5128" s="0" t="n">
        <f aca="false">G5128</f>
        <v>-0.5</v>
      </c>
      <c r="M5128" s="0" t="n">
        <f aca="false">H5128</f>
        <v>-0.5</v>
      </c>
      <c r="N5128" s="0" t="n">
        <f aca="false">E5128*F5128</f>
        <v>-0.75</v>
      </c>
      <c r="O5128" s="0" t="n">
        <f aca="false">E5128*G5128</f>
        <v>-0.375</v>
      </c>
      <c r="P5128" s="0" t="n">
        <f aca="false">E5128*H5128</f>
        <v>-0.375</v>
      </c>
      <c r="Q5128" s="0" t="n">
        <f aca="false">F5128*G5128</f>
        <v>0.5</v>
      </c>
      <c r="R5128" s="0" t="n">
        <f aca="false">F5128*H5128</f>
        <v>0.5</v>
      </c>
      <c r="S5128" s="0" t="n">
        <f aca="false">G5128*H5128</f>
        <v>0.25</v>
      </c>
      <c r="T5128" s="0" t="n">
        <f aca="false">E5128*E5128</f>
        <v>0.5625</v>
      </c>
      <c r="U5128" s="0" t="n">
        <f aca="false">F5128*F5128</f>
        <v>1</v>
      </c>
      <c r="V5128" s="0" t="n">
        <f aca="false">G5128*G5128</f>
        <v>0.25</v>
      </c>
      <c r="W5128" s="0" t="n">
        <f aca="false">H5128*H5128</f>
        <v>0.25</v>
      </c>
      <c r="X5128" s="0" t="n">
        <f aca="false">SUMPRODUCT(I5128:W5128,_XtX!$B$96:$P$96)</f>
        <v>41.7968567251462</v>
      </c>
      <c r="Y5128" s="0" t="n">
        <f aca="false">SUMPRODUCT(MMULT(I5128:W5128,_XtX!$B$78:$P$92),I5128:W5128)</f>
        <v>0.42602110745614</v>
      </c>
      <c r="Z5128" s="0" t="n">
        <f aca="false">04_回帰ANOVA!$K$19*04_回帰ANOVA!$K$14*SQRT(1+Y5128)</f>
        <v>1.55654388501114</v>
      </c>
      <c r="AA5128" s="0" t="n">
        <f aca="false">X5128-Z5128</f>
        <v>40.2403128401351</v>
      </c>
      <c r="AB5128" s="0" t="n">
        <f aca="false">X5128+Z5128</f>
        <v>43.3534006101573</v>
      </c>
      <c r="AC5128" s="54" t="b">
        <f aca="false">AND(E5128&gt;=01_因子設定!$L$5-0.000000001,E5128&lt;=01_因子設定!$M$5+0.000000001,F5128&gt;=01_因子設定!$L$6-0.000000001,F5128&lt;=01_因子設定!$M$6+0.000000001,G5128&gt;=01_因子設定!$L$7-0.000000001,G5128&lt;=01_因子設定!$M$7+0.000000001,H5128&gt;=01_因子設定!$L$8-0.000000001,H5128&lt;=01_因子設定!$M$8+0.000000001,IF(01_因子設定!$B$20="Box-Behnken",E5128^2+F5128^2+G5128^2+H5128^2&lt;=2+0.000000001,TRUE()))</f>
        <v>1</v>
      </c>
      <c r="AD5128" s="55" t="n">
        <f aca="false">IF(AC5128,IF(01_因子設定!$B$13="最大化",AA5128-01_因子設定!$B$14,IF(01_因子設定!$B$13="最小化",01_因子設定!$B$15-AB5128,MIN(AA5128-01_因子設定!$B$14,01_因子設定!$B$15-AB5128))),-1E+030)</f>
        <v>-6.25968715986495</v>
      </c>
      <c r="AE5128" s="55" t="n">
        <f aca="false">IF(AC5128,IF(01_因子設定!$B$13="最大化",X5128,IF(01_因子設定!$B$13="最小化",-X5128,-ABS(X5128-01_因子設定!$B$16))),-1E+030)</f>
        <v>41.7968567251462</v>
      </c>
      <c r="AF5128" s="55" t="n">
        <f aca="false">AD5128+ROW()*0.000000001</f>
        <v>-6.25968203186495</v>
      </c>
      <c r="AG5128" s="55" t="n">
        <f aca="false">AE5128+ROW()*0.000000001</f>
        <v>41.7968618531462</v>
      </c>
    </row>
    <row r="5129" customFormat="false" ht="15" hidden="false" customHeight="false" outlineLevel="0" collapsed="false">
      <c r="A5129" s="0" t="n">
        <v>7</v>
      </c>
      <c r="B5129" s="0" t="n">
        <v>0</v>
      </c>
      <c r="C5129" s="0" t="n">
        <v>2</v>
      </c>
      <c r="D5129" s="0" t="n">
        <v>3</v>
      </c>
      <c r="E5129" s="0" t="n">
        <f aca="false">-1+A5129*0.25</f>
        <v>0.75</v>
      </c>
      <c r="F5129" s="0" t="n">
        <f aca="false">-1+B5129*0.25</f>
        <v>-1</v>
      </c>
      <c r="G5129" s="0" t="n">
        <f aca="false">-1+C5129*0.25</f>
        <v>-0.5</v>
      </c>
      <c r="H5129" s="0" t="n">
        <f aca="false">-1+D5129*0.25</f>
        <v>-0.25</v>
      </c>
      <c r="I5129" s="0" t="n">
        <f aca="false">1</f>
        <v>1</v>
      </c>
      <c r="J5129" s="0" t="n">
        <f aca="false">E5129</f>
        <v>0.75</v>
      </c>
      <c r="K5129" s="0" t="n">
        <f aca="false">F5129</f>
        <v>-1</v>
      </c>
      <c r="L5129" s="0" t="n">
        <f aca="false">G5129</f>
        <v>-0.5</v>
      </c>
      <c r="M5129" s="0" t="n">
        <f aca="false">H5129</f>
        <v>-0.25</v>
      </c>
      <c r="N5129" s="0" t="n">
        <f aca="false">E5129*F5129</f>
        <v>-0.75</v>
      </c>
      <c r="O5129" s="0" t="n">
        <f aca="false">E5129*G5129</f>
        <v>-0.375</v>
      </c>
      <c r="P5129" s="0" t="n">
        <f aca="false">E5129*H5129</f>
        <v>-0.1875</v>
      </c>
      <c r="Q5129" s="0" t="n">
        <f aca="false">F5129*G5129</f>
        <v>0.5</v>
      </c>
      <c r="R5129" s="0" t="n">
        <f aca="false">F5129*H5129</f>
        <v>0.25</v>
      </c>
      <c r="S5129" s="0" t="n">
        <f aca="false">G5129*H5129</f>
        <v>0.125</v>
      </c>
      <c r="T5129" s="0" t="n">
        <f aca="false">E5129*E5129</f>
        <v>0.5625</v>
      </c>
      <c r="U5129" s="0" t="n">
        <f aca="false">F5129*F5129</f>
        <v>1</v>
      </c>
      <c r="V5129" s="0" t="n">
        <f aca="false">G5129*G5129</f>
        <v>0.25</v>
      </c>
      <c r="W5129" s="0" t="n">
        <f aca="false">H5129*H5129</f>
        <v>0.0625</v>
      </c>
      <c r="X5129" s="0" t="n">
        <f aca="false">SUMPRODUCT(I5129:W5129,_XtX!$B$96:$P$96)</f>
        <v>42.0105811403509</v>
      </c>
      <c r="Y5129" s="0" t="n">
        <f aca="false">SUMPRODUCT(MMULT(I5129:W5129,_XtX!$B$78:$P$92),I5129:W5129)</f>
        <v>0.459125719572369</v>
      </c>
      <c r="Z5129" s="0" t="n">
        <f aca="false">04_回帰ANOVA!$K$19*04_回帰ANOVA!$K$14*SQRT(1+Y5129)</f>
        <v>1.57450755575573</v>
      </c>
      <c r="AA5129" s="0" t="n">
        <f aca="false">X5129-Z5129</f>
        <v>40.4360735845951</v>
      </c>
      <c r="AB5129" s="0" t="n">
        <f aca="false">X5129+Z5129</f>
        <v>43.5850886961066</v>
      </c>
      <c r="AC5129" s="54" t="b">
        <f aca="false">AND(E5129&gt;=01_因子設定!$L$5-0.000000001,E5129&lt;=01_因子設定!$M$5+0.000000001,F5129&gt;=01_因子設定!$L$6-0.000000001,F5129&lt;=01_因子設定!$M$6+0.000000001,G5129&gt;=01_因子設定!$L$7-0.000000001,G5129&lt;=01_因子設定!$M$7+0.000000001,H5129&gt;=01_因子設定!$L$8-0.000000001,H5129&lt;=01_因子設定!$M$8+0.000000001,IF(01_因子設定!$B$20="Box-Behnken",E5129^2+F5129^2+G5129^2+H5129^2&lt;=2+0.000000001,TRUE()))</f>
        <v>1</v>
      </c>
      <c r="AD5129" s="55" t="n">
        <f aca="false">IF(AC5129,IF(01_因子設定!$B$13="最大化",AA5129-01_因子設定!$B$14,IF(01_因子設定!$B$13="最小化",01_因子設定!$B$15-AB5129,MIN(AA5129-01_因子設定!$B$14,01_因子設定!$B$15-AB5129))),-1E+030)</f>
        <v>-6.06392641540487</v>
      </c>
      <c r="AE5129" s="55" t="n">
        <f aca="false">IF(AC5129,IF(01_因子設定!$B$13="最大化",X5129,IF(01_因子設定!$B$13="最小化",-X5129,-ABS(X5129-01_因子設定!$B$16))),-1E+030)</f>
        <v>42.0105811403509</v>
      </c>
      <c r="AF5129" s="55" t="n">
        <f aca="false">AD5129+ROW()*0.000000001</f>
        <v>-6.06392128640487</v>
      </c>
      <c r="AG5129" s="55" t="n">
        <f aca="false">AE5129+ROW()*0.000000001</f>
        <v>42.0105862693509</v>
      </c>
    </row>
    <row r="5130" customFormat="false" ht="15" hidden="false" customHeight="false" outlineLevel="0" collapsed="false">
      <c r="A5130" s="0" t="n">
        <v>7</v>
      </c>
      <c r="B5130" s="0" t="n">
        <v>0</v>
      </c>
      <c r="C5130" s="0" t="n">
        <v>2</v>
      </c>
      <c r="D5130" s="0" t="n">
        <v>4</v>
      </c>
      <c r="E5130" s="0" t="n">
        <f aca="false">-1+A5130*0.25</f>
        <v>0.75</v>
      </c>
      <c r="F5130" s="0" t="n">
        <f aca="false">-1+B5130*0.25</f>
        <v>-1</v>
      </c>
      <c r="G5130" s="0" t="n">
        <f aca="false">-1+C5130*0.25</f>
        <v>-0.5</v>
      </c>
      <c r="H5130" s="0" t="n">
        <f aca="false">-1+D5130*0.25</f>
        <v>0</v>
      </c>
      <c r="I5130" s="0" t="n">
        <f aca="false">1</f>
        <v>1</v>
      </c>
      <c r="J5130" s="0" t="n">
        <f aca="false">E5130</f>
        <v>0.75</v>
      </c>
      <c r="K5130" s="0" t="n">
        <f aca="false">F5130</f>
        <v>-1</v>
      </c>
      <c r="L5130" s="0" t="n">
        <f aca="false">G5130</f>
        <v>-0.5</v>
      </c>
      <c r="M5130" s="0" t="n">
        <f aca="false">H5130</f>
        <v>0</v>
      </c>
      <c r="N5130" s="0" t="n">
        <f aca="false">E5130*F5130</f>
        <v>-0.75</v>
      </c>
      <c r="O5130" s="0" t="n">
        <f aca="false">E5130*G5130</f>
        <v>-0.375</v>
      </c>
      <c r="P5130" s="0" t="n">
        <f aca="false">E5130*H5130</f>
        <v>0</v>
      </c>
      <c r="Q5130" s="0" t="n">
        <f aca="false">F5130*G5130</f>
        <v>0.5</v>
      </c>
      <c r="R5130" s="0" t="n">
        <f aca="false">F5130*H5130</f>
        <v>-0</v>
      </c>
      <c r="S5130" s="0" t="n">
        <f aca="false">G5130*H5130</f>
        <v>-0</v>
      </c>
      <c r="T5130" s="0" t="n">
        <f aca="false">E5130*E5130</f>
        <v>0.5625</v>
      </c>
      <c r="U5130" s="0" t="n">
        <f aca="false">F5130*F5130</f>
        <v>1</v>
      </c>
      <c r="V5130" s="0" t="n">
        <f aca="false">G5130*G5130</f>
        <v>0.25</v>
      </c>
      <c r="W5130" s="0" t="n">
        <f aca="false">H5130*H5130</f>
        <v>0</v>
      </c>
      <c r="X5130" s="0" t="n">
        <f aca="false">SUMPRODUCT(I5130:W5130,_XtX!$B$96:$P$96)</f>
        <v>42.1764985380117</v>
      </c>
      <c r="Y5130" s="0" t="n">
        <f aca="false">SUMPRODUCT(MMULT(I5130:W5130,_XtX!$B$78:$P$92),I5130:W5130)</f>
        <v>0.476191292032164</v>
      </c>
      <c r="Z5130" s="0" t="n">
        <f aca="false">04_回帰ANOVA!$K$19*04_回帰ANOVA!$K$14*SQRT(1+Y5130)</f>
        <v>1.58368831471718</v>
      </c>
      <c r="AA5130" s="0" t="n">
        <f aca="false">X5130-Z5130</f>
        <v>40.5928102232945</v>
      </c>
      <c r="AB5130" s="0" t="n">
        <f aca="false">X5130+Z5130</f>
        <v>43.7601868527289</v>
      </c>
      <c r="AC5130" s="54" t="b">
        <f aca="false">AND(E5130&gt;=01_因子設定!$L$5-0.000000001,E5130&lt;=01_因子設定!$M$5+0.000000001,F5130&gt;=01_因子設定!$L$6-0.000000001,F5130&lt;=01_因子設定!$M$6+0.000000001,G5130&gt;=01_因子設定!$L$7-0.000000001,G5130&lt;=01_因子設定!$M$7+0.000000001,H5130&gt;=01_因子設定!$L$8-0.000000001,H5130&lt;=01_因子設定!$M$8+0.000000001,IF(01_因子設定!$B$20="Box-Behnken",E5130^2+F5130^2+G5130^2+H5130^2&lt;=2+0.000000001,TRUE()))</f>
        <v>1</v>
      </c>
      <c r="AD5130" s="55" t="n">
        <f aca="false">IF(AC5130,IF(01_因子設定!$B$13="最大化",AA5130-01_因子設定!$B$14,IF(01_因子設定!$B$13="最小化",01_因子設定!$B$15-AB5130,MIN(AA5130-01_因子設定!$B$14,01_因子設定!$B$15-AB5130))),-1E+030)</f>
        <v>-5.9071897767055</v>
      </c>
      <c r="AE5130" s="55" t="n">
        <f aca="false">IF(AC5130,IF(01_因子設定!$B$13="最大化",X5130,IF(01_因子設定!$B$13="最小化",-X5130,-ABS(X5130-01_因子設定!$B$16))),-1E+030)</f>
        <v>42.1764985380117</v>
      </c>
      <c r="AF5130" s="55" t="n">
        <f aca="false">AD5130+ROW()*0.000000001</f>
        <v>-5.9071846467055</v>
      </c>
      <c r="AG5130" s="55" t="n">
        <f aca="false">AE5130+ROW()*0.000000001</f>
        <v>42.1765036680117</v>
      </c>
    </row>
    <row r="5131" customFormat="false" ht="15" hidden="false" customHeight="false" outlineLevel="0" collapsed="false">
      <c r="A5131" s="0" t="n">
        <v>7</v>
      </c>
      <c r="B5131" s="0" t="n">
        <v>0</v>
      </c>
      <c r="C5131" s="0" t="n">
        <v>2</v>
      </c>
      <c r="D5131" s="0" t="n">
        <v>5</v>
      </c>
      <c r="E5131" s="0" t="n">
        <f aca="false">-1+A5131*0.25</f>
        <v>0.75</v>
      </c>
      <c r="F5131" s="0" t="n">
        <f aca="false">-1+B5131*0.25</f>
        <v>-1</v>
      </c>
      <c r="G5131" s="0" t="n">
        <f aca="false">-1+C5131*0.25</f>
        <v>-0.5</v>
      </c>
      <c r="H5131" s="0" t="n">
        <f aca="false">-1+D5131*0.25</f>
        <v>0.25</v>
      </c>
      <c r="I5131" s="0" t="n">
        <f aca="false">1</f>
        <v>1</v>
      </c>
      <c r="J5131" s="0" t="n">
        <f aca="false">E5131</f>
        <v>0.75</v>
      </c>
      <c r="K5131" s="0" t="n">
        <f aca="false">F5131</f>
        <v>-1</v>
      </c>
      <c r="L5131" s="0" t="n">
        <f aca="false">G5131</f>
        <v>-0.5</v>
      </c>
      <c r="M5131" s="0" t="n">
        <f aca="false">H5131</f>
        <v>0.25</v>
      </c>
      <c r="N5131" s="0" t="n">
        <f aca="false">E5131*F5131</f>
        <v>-0.75</v>
      </c>
      <c r="O5131" s="0" t="n">
        <f aca="false">E5131*G5131</f>
        <v>-0.375</v>
      </c>
      <c r="P5131" s="0" t="n">
        <f aca="false">E5131*H5131</f>
        <v>0.1875</v>
      </c>
      <c r="Q5131" s="0" t="n">
        <f aca="false">F5131*G5131</f>
        <v>0.5</v>
      </c>
      <c r="R5131" s="0" t="n">
        <f aca="false">F5131*H5131</f>
        <v>-0.25</v>
      </c>
      <c r="S5131" s="0" t="n">
        <f aca="false">G5131*H5131</f>
        <v>-0.125</v>
      </c>
      <c r="T5131" s="0" t="n">
        <f aca="false">E5131*E5131</f>
        <v>0.5625</v>
      </c>
      <c r="U5131" s="0" t="n">
        <f aca="false">F5131*F5131</f>
        <v>1</v>
      </c>
      <c r="V5131" s="0" t="n">
        <f aca="false">G5131*G5131</f>
        <v>0.25</v>
      </c>
      <c r="W5131" s="0" t="n">
        <f aca="false">H5131*H5131</f>
        <v>0.0625</v>
      </c>
      <c r="X5131" s="0" t="n">
        <f aca="false">SUMPRODUCT(I5131:W5131,_XtX!$B$96:$P$96)</f>
        <v>42.2946089181286</v>
      </c>
      <c r="Y5131" s="0" t="n">
        <f aca="false">SUMPRODUCT(MMULT(I5131:W5131,_XtX!$B$78:$P$92),I5131:W5131)</f>
        <v>0.459125719572369</v>
      </c>
      <c r="Z5131" s="0" t="n">
        <f aca="false">04_回帰ANOVA!$K$19*04_回帰ANOVA!$K$14*SQRT(1+Y5131)</f>
        <v>1.57450755575573</v>
      </c>
      <c r="AA5131" s="0" t="n">
        <f aca="false">X5131-Z5131</f>
        <v>40.7201013623729</v>
      </c>
      <c r="AB5131" s="0" t="n">
        <f aca="false">X5131+Z5131</f>
        <v>43.8691164738844</v>
      </c>
      <c r="AC5131" s="54" t="b">
        <f aca="false">AND(E5131&gt;=01_因子設定!$L$5-0.000000001,E5131&lt;=01_因子設定!$M$5+0.000000001,F5131&gt;=01_因子設定!$L$6-0.000000001,F5131&lt;=01_因子設定!$M$6+0.000000001,G5131&gt;=01_因子設定!$L$7-0.000000001,G5131&lt;=01_因子設定!$M$7+0.000000001,H5131&gt;=01_因子設定!$L$8-0.000000001,H5131&lt;=01_因子設定!$M$8+0.000000001,IF(01_因子設定!$B$20="Box-Behnken",E5131^2+F5131^2+G5131^2+H5131^2&lt;=2+0.000000001,TRUE()))</f>
        <v>1</v>
      </c>
      <c r="AD5131" s="55" t="n">
        <f aca="false">IF(AC5131,IF(01_因子設定!$B$13="最大化",AA5131-01_因子設定!$B$14,IF(01_因子設定!$B$13="最小化",01_因子設定!$B$15-AB5131,MIN(AA5131-01_因子設定!$B$14,01_因子設定!$B$15-AB5131))),-1E+030)</f>
        <v>-5.77989863762709</v>
      </c>
      <c r="AE5131" s="55" t="n">
        <f aca="false">IF(AC5131,IF(01_因子設定!$B$13="最大化",X5131,IF(01_因子設定!$B$13="最小化",-X5131,-ABS(X5131-01_因子設定!$B$16))),-1E+030)</f>
        <v>42.2946089181286</v>
      </c>
      <c r="AF5131" s="55" t="n">
        <f aca="false">AD5131+ROW()*0.000000001</f>
        <v>-5.77989350662709</v>
      </c>
      <c r="AG5131" s="55" t="n">
        <f aca="false">AE5131+ROW()*0.000000001</f>
        <v>42.2946140491286</v>
      </c>
    </row>
    <row r="5132" customFormat="false" ht="15" hidden="false" customHeight="false" outlineLevel="0" collapsed="false">
      <c r="A5132" s="0" t="n">
        <v>7</v>
      </c>
      <c r="B5132" s="0" t="n">
        <v>0</v>
      </c>
      <c r="C5132" s="0" t="n">
        <v>2</v>
      </c>
      <c r="D5132" s="0" t="n">
        <v>6</v>
      </c>
      <c r="E5132" s="0" t="n">
        <f aca="false">-1+A5132*0.25</f>
        <v>0.75</v>
      </c>
      <c r="F5132" s="0" t="n">
        <f aca="false">-1+B5132*0.25</f>
        <v>-1</v>
      </c>
      <c r="G5132" s="0" t="n">
        <f aca="false">-1+C5132*0.25</f>
        <v>-0.5</v>
      </c>
      <c r="H5132" s="0" t="n">
        <f aca="false">-1+D5132*0.25</f>
        <v>0.5</v>
      </c>
      <c r="I5132" s="0" t="n">
        <f aca="false">1</f>
        <v>1</v>
      </c>
      <c r="J5132" s="0" t="n">
        <f aca="false">E5132</f>
        <v>0.75</v>
      </c>
      <c r="K5132" s="0" t="n">
        <f aca="false">F5132</f>
        <v>-1</v>
      </c>
      <c r="L5132" s="0" t="n">
        <f aca="false">G5132</f>
        <v>-0.5</v>
      </c>
      <c r="M5132" s="0" t="n">
        <f aca="false">H5132</f>
        <v>0.5</v>
      </c>
      <c r="N5132" s="0" t="n">
        <f aca="false">E5132*F5132</f>
        <v>-0.75</v>
      </c>
      <c r="O5132" s="0" t="n">
        <f aca="false">E5132*G5132</f>
        <v>-0.375</v>
      </c>
      <c r="P5132" s="0" t="n">
        <f aca="false">E5132*H5132</f>
        <v>0.375</v>
      </c>
      <c r="Q5132" s="0" t="n">
        <f aca="false">F5132*G5132</f>
        <v>0.5</v>
      </c>
      <c r="R5132" s="0" t="n">
        <f aca="false">F5132*H5132</f>
        <v>-0.5</v>
      </c>
      <c r="S5132" s="0" t="n">
        <f aca="false">G5132*H5132</f>
        <v>-0.25</v>
      </c>
      <c r="T5132" s="0" t="n">
        <f aca="false">E5132*E5132</f>
        <v>0.5625</v>
      </c>
      <c r="U5132" s="0" t="n">
        <f aca="false">F5132*F5132</f>
        <v>1</v>
      </c>
      <c r="V5132" s="0" t="n">
        <f aca="false">G5132*G5132</f>
        <v>0.25</v>
      </c>
      <c r="W5132" s="0" t="n">
        <f aca="false">H5132*H5132</f>
        <v>0.25</v>
      </c>
      <c r="X5132" s="0" t="n">
        <f aca="false">SUMPRODUCT(I5132:W5132,_XtX!$B$96:$P$96)</f>
        <v>42.3649122807017</v>
      </c>
      <c r="Y5132" s="0" t="n">
        <f aca="false">SUMPRODUCT(MMULT(I5132:W5132,_XtX!$B$78:$P$92),I5132:W5132)</f>
        <v>0.42602110745614</v>
      </c>
      <c r="Z5132" s="0" t="n">
        <f aca="false">04_回帰ANOVA!$K$19*04_回帰ANOVA!$K$14*SQRT(1+Y5132)</f>
        <v>1.55654388501114</v>
      </c>
      <c r="AA5132" s="0" t="n">
        <f aca="false">X5132-Z5132</f>
        <v>40.8083683956906</v>
      </c>
      <c r="AB5132" s="0" t="n">
        <f aca="false">X5132+Z5132</f>
        <v>43.9214561657129</v>
      </c>
      <c r="AC5132" s="54" t="b">
        <f aca="false">AND(E5132&gt;=01_因子設定!$L$5-0.000000001,E5132&lt;=01_因子設定!$M$5+0.000000001,F5132&gt;=01_因子設定!$L$6-0.000000001,F5132&lt;=01_因子設定!$M$6+0.000000001,G5132&gt;=01_因子設定!$L$7-0.000000001,G5132&lt;=01_因子設定!$M$7+0.000000001,H5132&gt;=01_因子設定!$L$8-0.000000001,H5132&lt;=01_因子設定!$M$8+0.000000001,IF(01_因子設定!$B$20="Box-Behnken",E5132^2+F5132^2+G5132^2+H5132^2&lt;=2+0.000000001,TRUE()))</f>
        <v>1</v>
      </c>
      <c r="AD5132" s="55" t="n">
        <f aca="false">IF(AC5132,IF(01_因子設定!$B$13="最大化",AA5132-01_因子設定!$B$14,IF(01_因子設定!$B$13="最小化",01_因子設定!$B$15-AB5132,MIN(AA5132-01_因子設定!$B$14,01_因子設定!$B$15-AB5132))),-1E+030)</f>
        <v>-5.69163160430939</v>
      </c>
      <c r="AE5132" s="55" t="n">
        <f aca="false">IF(AC5132,IF(01_因子設定!$B$13="最大化",X5132,IF(01_因子設定!$B$13="最小化",-X5132,-ABS(X5132-01_因子設定!$B$16))),-1E+030)</f>
        <v>42.3649122807017</v>
      </c>
      <c r="AF5132" s="55" t="n">
        <f aca="false">AD5132+ROW()*0.000000001</f>
        <v>-5.69162647230939</v>
      </c>
      <c r="AG5132" s="55" t="n">
        <f aca="false">AE5132+ROW()*0.000000001</f>
        <v>42.3649174127017</v>
      </c>
    </row>
    <row r="5133" customFormat="false" ht="15" hidden="false" customHeight="false" outlineLevel="0" collapsed="false">
      <c r="A5133" s="0" t="n">
        <v>7</v>
      </c>
      <c r="B5133" s="0" t="n">
        <v>0</v>
      </c>
      <c r="C5133" s="0" t="n">
        <v>2</v>
      </c>
      <c r="D5133" s="0" t="n">
        <v>7</v>
      </c>
      <c r="E5133" s="0" t="n">
        <f aca="false">-1+A5133*0.25</f>
        <v>0.75</v>
      </c>
      <c r="F5133" s="0" t="n">
        <f aca="false">-1+B5133*0.25</f>
        <v>-1</v>
      </c>
      <c r="G5133" s="0" t="n">
        <f aca="false">-1+C5133*0.25</f>
        <v>-0.5</v>
      </c>
      <c r="H5133" s="0" t="n">
        <f aca="false">-1+D5133*0.25</f>
        <v>0.75</v>
      </c>
      <c r="I5133" s="0" t="n">
        <f aca="false">1</f>
        <v>1</v>
      </c>
      <c r="J5133" s="0" t="n">
        <f aca="false">E5133</f>
        <v>0.75</v>
      </c>
      <c r="K5133" s="0" t="n">
        <f aca="false">F5133</f>
        <v>-1</v>
      </c>
      <c r="L5133" s="0" t="n">
        <f aca="false">G5133</f>
        <v>-0.5</v>
      </c>
      <c r="M5133" s="0" t="n">
        <f aca="false">H5133</f>
        <v>0.75</v>
      </c>
      <c r="N5133" s="0" t="n">
        <f aca="false">E5133*F5133</f>
        <v>-0.75</v>
      </c>
      <c r="O5133" s="0" t="n">
        <f aca="false">E5133*G5133</f>
        <v>-0.375</v>
      </c>
      <c r="P5133" s="0" t="n">
        <f aca="false">E5133*H5133</f>
        <v>0.5625</v>
      </c>
      <c r="Q5133" s="0" t="n">
        <f aca="false">F5133*G5133</f>
        <v>0.5</v>
      </c>
      <c r="R5133" s="0" t="n">
        <f aca="false">F5133*H5133</f>
        <v>-0.75</v>
      </c>
      <c r="S5133" s="0" t="n">
        <f aca="false">G5133*H5133</f>
        <v>-0.375</v>
      </c>
      <c r="T5133" s="0" t="n">
        <f aca="false">E5133*E5133</f>
        <v>0.5625</v>
      </c>
      <c r="U5133" s="0" t="n">
        <f aca="false">F5133*F5133</f>
        <v>1</v>
      </c>
      <c r="V5133" s="0" t="n">
        <f aca="false">G5133*G5133</f>
        <v>0.25</v>
      </c>
      <c r="W5133" s="0" t="n">
        <f aca="false">H5133*H5133</f>
        <v>0.5625</v>
      </c>
      <c r="X5133" s="0" t="n">
        <f aca="false">SUMPRODUCT(I5133:W5133,_XtX!$B$96:$P$96)</f>
        <v>42.387408625731</v>
      </c>
      <c r="Y5133" s="0" t="n">
        <f aca="false">SUMPRODUCT(MMULT(I5133:W5133,_XtX!$B$78:$P$92),I5133:W5133)</f>
        <v>0.431153771472953</v>
      </c>
      <c r="Z5133" s="0" t="n">
        <f aca="false">04_回帰ANOVA!$K$19*04_回帰ANOVA!$K$14*SQRT(1+Y5133)</f>
        <v>1.55934259562563</v>
      </c>
      <c r="AA5133" s="0" t="n">
        <f aca="false">X5133-Z5133</f>
        <v>40.8280660301054</v>
      </c>
      <c r="AB5133" s="0" t="n">
        <f aca="false">X5133+Z5133</f>
        <v>43.9467512213566</v>
      </c>
      <c r="AC5133" s="54" t="b">
        <f aca="false">AND(E5133&gt;=01_因子設定!$L$5-0.000000001,E5133&lt;=01_因子設定!$M$5+0.000000001,F5133&gt;=01_因子設定!$L$6-0.000000001,F5133&lt;=01_因子設定!$M$6+0.000000001,G5133&gt;=01_因子設定!$L$7-0.000000001,G5133&lt;=01_因子設定!$M$7+0.000000001,H5133&gt;=01_因子設定!$L$8-0.000000001,H5133&lt;=01_因子設定!$M$8+0.000000001,IF(01_因子設定!$B$20="Box-Behnken",E5133^2+F5133^2+G5133^2+H5133^2&lt;=2+0.000000001,TRUE()))</f>
        <v>1</v>
      </c>
      <c r="AD5133" s="55" t="n">
        <f aca="false">IF(AC5133,IF(01_因子設定!$B$13="最大化",AA5133-01_因子設定!$B$14,IF(01_因子設定!$B$13="最小化",01_因子設定!$B$15-AB5133,MIN(AA5133-01_因子設定!$B$14,01_因子設定!$B$15-AB5133))),-1E+030)</f>
        <v>-5.67193396989463</v>
      </c>
      <c r="AE5133" s="55" t="n">
        <f aca="false">IF(AC5133,IF(01_因子設定!$B$13="最大化",X5133,IF(01_因子設定!$B$13="最小化",-X5133,-ABS(X5133-01_因子設定!$B$16))),-1E+030)</f>
        <v>42.387408625731</v>
      </c>
      <c r="AF5133" s="55" t="n">
        <f aca="false">AD5133+ROW()*0.000000001</f>
        <v>-5.67192883689463</v>
      </c>
      <c r="AG5133" s="55" t="n">
        <f aca="false">AE5133+ROW()*0.000000001</f>
        <v>42.387413758731</v>
      </c>
    </row>
    <row r="5134" customFormat="false" ht="15" hidden="false" customHeight="false" outlineLevel="0" collapsed="false">
      <c r="A5134" s="0" t="n">
        <v>7</v>
      </c>
      <c r="B5134" s="0" t="n">
        <v>0</v>
      </c>
      <c r="C5134" s="0" t="n">
        <v>2</v>
      </c>
      <c r="D5134" s="0" t="n">
        <v>8</v>
      </c>
      <c r="E5134" s="0" t="n">
        <f aca="false">-1+A5134*0.25</f>
        <v>0.75</v>
      </c>
      <c r="F5134" s="0" t="n">
        <f aca="false">-1+B5134*0.25</f>
        <v>-1</v>
      </c>
      <c r="G5134" s="0" t="n">
        <f aca="false">-1+C5134*0.25</f>
        <v>-0.5</v>
      </c>
      <c r="H5134" s="0" t="n">
        <f aca="false">-1+D5134*0.25</f>
        <v>1</v>
      </c>
      <c r="I5134" s="0" t="n">
        <f aca="false">1</f>
        <v>1</v>
      </c>
      <c r="J5134" s="0" t="n">
        <f aca="false">E5134</f>
        <v>0.75</v>
      </c>
      <c r="K5134" s="0" t="n">
        <f aca="false">F5134</f>
        <v>-1</v>
      </c>
      <c r="L5134" s="0" t="n">
        <f aca="false">G5134</f>
        <v>-0.5</v>
      </c>
      <c r="M5134" s="0" t="n">
        <f aca="false">H5134</f>
        <v>1</v>
      </c>
      <c r="N5134" s="0" t="n">
        <f aca="false">E5134*F5134</f>
        <v>-0.75</v>
      </c>
      <c r="O5134" s="0" t="n">
        <f aca="false">E5134*G5134</f>
        <v>-0.375</v>
      </c>
      <c r="P5134" s="0" t="n">
        <f aca="false">E5134*H5134</f>
        <v>0.75</v>
      </c>
      <c r="Q5134" s="0" t="n">
        <f aca="false">F5134*G5134</f>
        <v>0.5</v>
      </c>
      <c r="R5134" s="0" t="n">
        <f aca="false">F5134*H5134</f>
        <v>-1</v>
      </c>
      <c r="S5134" s="0" t="n">
        <f aca="false">G5134*H5134</f>
        <v>-0.5</v>
      </c>
      <c r="T5134" s="0" t="n">
        <f aca="false">E5134*E5134</f>
        <v>0.5625</v>
      </c>
      <c r="U5134" s="0" t="n">
        <f aca="false">F5134*F5134</f>
        <v>1</v>
      </c>
      <c r="V5134" s="0" t="n">
        <f aca="false">G5134*G5134</f>
        <v>0.25</v>
      </c>
      <c r="W5134" s="0" t="n">
        <f aca="false">H5134*H5134</f>
        <v>1</v>
      </c>
      <c r="X5134" s="0" t="n">
        <f aca="false">SUMPRODUCT(I5134:W5134,_XtX!$B$96:$P$96)</f>
        <v>42.3620979532164</v>
      </c>
      <c r="Y5134" s="0" t="n">
        <f aca="false">SUMPRODUCT(MMULT(I5134:W5134,_XtX!$B$78:$P$92),I5134:W5134)</f>
        <v>0.564984237938597</v>
      </c>
      <c r="Z5134" s="0" t="n">
        <f aca="false">04_回帰ANOVA!$K$19*04_回帰ANOVA!$K$14*SQRT(1+Y5134)</f>
        <v>1.63062229734503</v>
      </c>
      <c r="AA5134" s="0" t="n">
        <f aca="false">X5134-Z5134</f>
        <v>40.7314756558714</v>
      </c>
      <c r="AB5134" s="0" t="n">
        <f aca="false">X5134+Z5134</f>
        <v>43.9927202505614</v>
      </c>
      <c r="AC5134" s="54" t="b">
        <f aca="false">AND(E5134&gt;=01_因子設定!$L$5-0.000000001,E5134&lt;=01_因子設定!$M$5+0.000000001,F5134&gt;=01_因子設定!$L$6-0.000000001,F5134&lt;=01_因子設定!$M$6+0.000000001,G5134&gt;=01_因子設定!$L$7-0.000000001,G5134&lt;=01_因子設定!$M$7+0.000000001,H5134&gt;=01_因子設定!$L$8-0.000000001,H5134&lt;=01_因子設定!$M$8+0.000000001,IF(01_因子設定!$B$20="Box-Behnken",E5134^2+F5134^2+G5134^2+H5134^2&lt;=2+0.000000001,TRUE()))</f>
        <v>1</v>
      </c>
      <c r="AD5134" s="55" t="n">
        <f aca="false">IF(AC5134,IF(01_因子設定!$B$13="最大化",AA5134-01_因子設定!$B$14,IF(01_因子設定!$B$13="最小化",01_因子設定!$B$15-AB5134,MIN(AA5134-01_因子設定!$B$14,01_因子設定!$B$15-AB5134))),-1E+030)</f>
        <v>-5.76852434412864</v>
      </c>
      <c r="AE5134" s="55" t="n">
        <f aca="false">IF(AC5134,IF(01_因子設定!$B$13="最大化",X5134,IF(01_因子設定!$B$13="最小化",-X5134,-ABS(X5134-01_因子設定!$B$16))),-1E+030)</f>
        <v>42.3620979532164</v>
      </c>
      <c r="AF5134" s="55" t="n">
        <f aca="false">AD5134+ROW()*0.000000001</f>
        <v>-5.76851921012864</v>
      </c>
      <c r="AG5134" s="55" t="n">
        <f aca="false">AE5134+ROW()*0.000000001</f>
        <v>42.3621030872164</v>
      </c>
    </row>
    <row r="5135" customFormat="false" ht="15" hidden="false" customHeight="false" outlineLevel="0" collapsed="false">
      <c r="A5135" s="0" t="n">
        <v>7</v>
      </c>
      <c r="B5135" s="0" t="n">
        <v>0</v>
      </c>
      <c r="C5135" s="0" t="n">
        <v>3</v>
      </c>
      <c r="D5135" s="0" t="n">
        <v>0</v>
      </c>
      <c r="E5135" s="0" t="n">
        <f aca="false">-1+A5135*0.25</f>
        <v>0.75</v>
      </c>
      <c r="F5135" s="0" t="n">
        <f aca="false">-1+B5135*0.25</f>
        <v>-1</v>
      </c>
      <c r="G5135" s="0" t="n">
        <f aca="false">-1+C5135*0.25</f>
        <v>-0.25</v>
      </c>
      <c r="H5135" s="0" t="n">
        <f aca="false">-1+D5135*0.25</f>
        <v>-1</v>
      </c>
      <c r="I5135" s="0" t="n">
        <f aca="false">1</f>
        <v>1</v>
      </c>
      <c r="J5135" s="0" t="n">
        <f aca="false">E5135</f>
        <v>0.75</v>
      </c>
      <c r="K5135" s="0" t="n">
        <f aca="false">F5135</f>
        <v>-1</v>
      </c>
      <c r="L5135" s="0" t="n">
        <f aca="false">G5135</f>
        <v>-0.25</v>
      </c>
      <c r="M5135" s="0" t="n">
        <f aca="false">H5135</f>
        <v>-1</v>
      </c>
      <c r="N5135" s="0" t="n">
        <f aca="false">E5135*F5135</f>
        <v>-0.75</v>
      </c>
      <c r="O5135" s="0" t="n">
        <f aca="false">E5135*G5135</f>
        <v>-0.1875</v>
      </c>
      <c r="P5135" s="0" t="n">
        <f aca="false">E5135*H5135</f>
        <v>-0.75</v>
      </c>
      <c r="Q5135" s="0" t="n">
        <f aca="false">F5135*G5135</f>
        <v>0.25</v>
      </c>
      <c r="R5135" s="0" t="n">
        <f aca="false">F5135*H5135</f>
        <v>1</v>
      </c>
      <c r="S5135" s="0" t="n">
        <f aca="false">G5135*H5135</f>
        <v>0.25</v>
      </c>
      <c r="T5135" s="0" t="n">
        <f aca="false">E5135*E5135</f>
        <v>0.5625</v>
      </c>
      <c r="U5135" s="0" t="n">
        <f aca="false">F5135*F5135</f>
        <v>1</v>
      </c>
      <c r="V5135" s="0" t="n">
        <f aca="false">G5135*G5135</f>
        <v>0.0625</v>
      </c>
      <c r="W5135" s="0" t="n">
        <f aca="false">H5135*H5135</f>
        <v>1</v>
      </c>
      <c r="X5135" s="0" t="n">
        <f aca="false">SUMPRODUCT(I5135:W5135,_XtX!$B$96:$P$96)</f>
        <v>41.3279057017544</v>
      </c>
      <c r="Y5135" s="0" t="n">
        <f aca="false">SUMPRODUCT(MMULT(I5135:W5135,_XtX!$B$78:$P$92),I5135:W5135)</f>
        <v>0.621372155975877</v>
      </c>
      <c r="Z5135" s="0" t="n">
        <f aca="false">04_回帰ANOVA!$K$19*04_回帰ANOVA!$K$14*SQRT(1+Y5135)</f>
        <v>1.65973880499872</v>
      </c>
      <c r="AA5135" s="0" t="n">
        <f aca="false">X5135-Z5135</f>
        <v>39.6681668967557</v>
      </c>
      <c r="AB5135" s="0" t="n">
        <f aca="false">X5135+Z5135</f>
        <v>42.9876445067531</v>
      </c>
      <c r="AC5135" s="54" t="b">
        <f aca="false">AND(E5135&gt;=01_因子設定!$L$5-0.000000001,E5135&lt;=01_因子設定!$M$5+0.000000001,F5135&gt;=01_因子設定!$L$6-0.000000001,F5135&lt;=01_因子設定!$M$6+0.000000001,G5135&gt;=01_因子設定!$L$7-0.000000001,G5135&lt;=01_因子設定!$M$7+0.000000001,H5135&gt;=01_因子設定!$L$8-0.000000001,H5135&lt;=01_因子設定!$M$8+0.000000001,IF(01_因子設定!$B$20="Box-Behnken",E5135^2+F5135^2+G5135^2+H5135^2&lt;=2+0.000000001,TRUE()))</f>
        <v>1</v>
      </c>
      <c r="AD5135" s="55" t="n">
        <f aca="false">IF(AC5135,IF(01_因子設定!$B$13="最大化",AA5135-01_因子設定!$B$14,IF(01_因子設定!$B$13="最小化",01_因子設定!$B$15-AB5135,MIN(AA5135-01_因子設定!$B$14,01_因子設定!$B$15-AB5135))),-1E+030)</f>
        <v>-6.83183310324431</v>
      </c>
      <c r="AE5135" s="55" t="n">
        <f aca="false">IF(AC5135,IF(01_因子設定!$B$13="最大化",X5135,IF(01_因子設定!$B$13="最小化",-X5135,-ABS(X5135-01_因子設定!$B$16))),-1E+030)</f>
        <v>41.3279057017544</v>
      </c>
      <c r="AF5135" s="55" t="n">
        <f aca="false">AD5135+ROW()*0.000000001</f>
        <v>-6.83182796824431</v>
      </c>
      <c r="AG5135" s="55" t="n">
        <f aca="false">AE5135+ROW()*0.000000001</f>
        <v>41.3279108367544</v>
      </c>
    </row>
    <row r="5136" customFormat="false" ht="15" hidden="false" customHeight="false" outlineLevel="0" collapsed="false">
      <c r="A5136" s="0" t="n">
        <v>7</v>
      </c>
      <c r="B5136" s="0" t="n">
        <v>0</v>
      </c>
      <c r="C5136" s="0" t="n">
        <v>3</v>
      </c>
      <c r="D5136" s="0" t="n">
        <v>1</v>
      </c>
      <c r="E5136" s="0" t="n">
        <f aca="false">-1+A5136*0.25</f>
        <v>0.75</v>
      </c>
      <c r="F5136" s="0" t="n">
        <f aca="false">-1+B5136*0.25</f>
        <v>-1</v>
      </c>
      <c r="G5136" s="0" t="n">
        <f aca="false">-1+C5136*0.25</f>
        <v>-0.25</v>
      </c>
      <c r="H5136" s="0" t="n">
        <f aca="false">-1+D5136*0.25</f>
        <v>-0.75</v>
      </c>
      <c r="I5136" s="0" t="n">
        <f aca="false">1</f>
        <v>1</v>
      </c>
      <c r="J5136" s="0" t="n">
        <f aca="false">E5136</f>
        <v>0.75</v>
      </c>
      <c r="K5136" s="0" t="n">
        <f aca="false">F5136</f>
        <v>-1</v>
      </c>
      <c r="L5136" s="0" t="n">
        <f aca="false">G5136</f>
        <v>-0.25</v>
      </c>
      <c r="M5136" s="0" t="n">
        <f aca="false">H5136</f>
        <v>-0.75</v>
      </c>
      <c r="N5136" s="0" t="n">
        <f aca="false">E5136*F5136</f>
        <v>-0.75</v>
      </c>
      <c r="O5136" s="0" t="n">
        <f aca="false">E5136*G5136</f>
        <v>-0.1875</v>
      </c>
      <c r="P5136" s="0" t="n">
        <f aca="false">E5136*H5136</f>
        <v>-0.5625</v>
      </c>
      <c r="Q5136" s="0" t="n">
        <f aca="false">F5136*G5136</f>
        <v>0.25</v>
      </c>
      <c r="R5136" s="0" t="n">
        <f aca="false">F5136*H5136</f>
        <v>0.75</v>
      </c>
      <c r="S5136" s="0" t="n">
        <f aca="false">G5136*H5136</f>
        <v>0.1875</v>
      </c>
      <c r="T5136" s="0" t="n">
        <f aca="false">E5136*E5136</f>
        <v>0.5625</v>
      </c>
      <c r="U5136" s="0" t="n">
        <f aca="false">F5136*F5136</f>
        <v>1</v>
      </c>
      <c r="V5136" s="0" t="n">
        <f aca="false">G5136*G5136</f>
        <v>0.0625</v>
      </c>
      <c r="W5136" s="0" t="n">
        <f aca="false">H5136*H5136</f>
        <v>0.5625</v>
      </c>
      <c r="X5136" s="0" t="n">
        <f aca="false">SUMPRODUCT(I5136:W5136,_XtX!$B$96:$P$96)</f>
        <v>41.6552129020468</v>
      </c>
      <c r="Y5136" s="0" t="n">
        <f aca="false">SUMPRODUCT(MMULT(I5136:W5136,_XtX!$B$78:$P$92),I5136:W5136)</f>
        <v>0.473959761056287</v>
      </c>
      <c r="Z5136" s="0" t="n">
        <f aca="false">04_回帰ANOVA!$K$19*04_回帰ANOVA!$K$14*SQRT(1+Y5136)</f>
        <v>1.58249084588329</v>
      </c>
      <c r="AA5136" s="0" t="n">
        <f aca="false">X5136-Z5136</f>
        <v>40.0727220561635</v>
      </c>
      <c r="AB5136" s="0" t="n">
        <f aca="false">X5136+Z5136</f>
        <v>43.2377037479301</v>
      </c>
      <c r="AC5136" s="54" t="b">
        <f aca="false">AND(E5136&gt;=01_因子設定!$L$5-0.000000001,E5136&lt;=01_因子設定!$M$5+0.000000001,F5136&gt;=01_因子設定!$L$6-0.000000001,F5136&lt;=01_因子設定!$M$6+0.000000001,G5136&gt;=01_因子設定!$L$7-0.000000001,G5136&lt;=01_因子設定!$M$7+0.000000001,H5136&gt;=01_因子設定!$L$8-0.000000001,H5136&lt;=01_因子設定!$M$8+0.000000001,IF(01_因子設定!$B$20="Box-Behnken",E5136^2+F5136^2+G5136^2+H5136^2&lt;=2+0.000000001,TRUE()))</f>
        <v>1</v>
      </c>
      <c r="AD5136" s="55" t="n">
        <f aca="false">IF(AC5136,IF(01_因子設定!$B$13="最大化",AA5136-01_因子設定!$B$14,IF(01_因子設定!$B$13="最小化",01_因子設定!$B$15-AB5136,MIN(AA5136-01_因子設定!$B$14,01_因子設定!$B$15-AB5136))),-1E+030)</f>
        <v>-6.42727794383649</v>
      </c>
      <c r="AE5136" s="55" t="n">
        <f aca="false">IF(AC5136,IF(01_因子設定!$B$13="最大化",X5136,IF(01_因子設定!$B$13="最小化",-X5136,-ABS(X5136-01_因子設定!$B$16))),-1E+030)</f>
        <v>41.6552129020468</v>
      </c>
      <c r="AF5136" s="55" t="n">
        <f aca="false">AD5136+ROW()*0.000000001</f>
        <v>-6.42727280783649</v>
      </c>
      <c r="AG5136" s="55" t="n">
        <f aca="false">AE5136+ROW()*0.000000001</f>
        <v>41.6552180380468</v>
      </c>
    </row>
    <row r="5137" customFormat="false" ht="15" hidden="false" customHeight="false" outlineLevel="0" collapsed="false">
      <c r="A5137" s="0" t="n">
        <v>7</v>
      </c>
      <c r="B5137" s="0" t="n">
        <v>0</v>
      </c>
      <c r="C5137" s="0" t="n">
        <v>3</v>
      </c>
      <c r="D5137" s="0" t="n">
        <v>2</v>
      </c>
      <c r="E5137" s="0" t="n">
        <f aca="false">-1+A5137*0.25</f>
        <v>0.75</v>
      </c>
      <c r="F5137" s="0" t="n">
        <f aca="false">-1+B5137*0.25</f>
        <v>-1</v>
      </c>
      <c r="G5137" s="0" t="n">
        <f aca="false">-1+C5137*0.25</f>
        <v>-0.25</v>
      </c>
      <c r="H5137" s="0" t="n">
        <f aca="false">-1+D5137*0.25</f>
        <v>-0.5</v>
      </c>
      <c r="I5137" s="0" t="n">
        <f aca="false">1</f>
        <v>1</v>
      </c>
      <c r="J5137" s="0" t="n">
        <f aca="false">E5137</f>
        <v>0.75</v>
      </c>
      <c r="K5137" s="0" t="n">
        <f aca="false">F5137</f>
        <v>-1</v>
      </c>
      <c r="L5137" s="0" t="n">
        <f aca="false">G5137</f>
        <v>-0.25</v>
      </c>
      <c r="M5137" s="0" t="n">
        <f aca="false">H5137</f>
        <v>-0.5</v>
      </c>
      <c r="N5137" s="0" t="n">
        <f aca="false">E5137*F5137</f>
        <v>-0.75</v>
      </c>
      <c r="O5137" s="0" t="n">
        <f aca="false">E5137*G5137</f>
        <v>-0.1875</v>
      </c>
      <c r="P5137" s="0" t="n">
        <f aca="false">E5137*H5137</f>
        <v>-0.375</v>
      </c>
      <c r="Q5137" s="0" t="n">
        <f aca="false">F5137*G5137</f>
        <v>0.25</v>
      </c>
      <c r="R5137" s="0" t="n">
        <f aca="false">F5137*H5137</f>
        <v>0.5</v>
      </c>
      <c r="S5137" s="0" t="n">
        <f aca="false">G5137*H5137</f>
        <v>0.125</v>
      </c>
      <c r="T5137" s="0" t="n">
        <f aca="false">E5137*E5137</f>
        <v>0.5625</v>
      </c>
      <c r="U5137" s="0" t="n">
        <f aca="false">F5137*F5137</f>
        <v>1</v>
      </c>
      <c r="V5137" s="0" t="n">
        <f aca="false">G5137*G5137</f>
        <v>0.0625</v>
      </c>
      <c r="W5137" s="0" t="n">
        <f aca="false">H5137*H5137</f>
        <v>0.25</v>
      </c>
      <c r="X5137" s="0" t="n">
        <f aca="false">SUMPRODUCT(I5137:W5137,_XtX!$B$96:$P$96)</f>
        <v>41.9347130847953</v>
      </c>
      <c r="Y5137" s="0" t="n">
        <f aca="false">SUMPRODUCT(MMULT(I5137:W5137,_XtX!$B$78:$P$92),I5137:W5137)</f>
        <v>0.459125719572369</v>
      </c>
      <c r="Z5137" s="0" t="n">
        <f aca="false">04_回帰ANOVA!$K$19*04_回帰ANOVA!$K$14*SQRT(1+Y5137)</f>
        <v>1.57450755575573</v>
      </c>
      <c r="AA5137" s="0" t="n">
        <f aca="false">X5137-Z5137</f>
        <v>40.3602055290396</v>
      </c>
      <c r="AB5137" s="0" t="n">
        <f aca="false">X5137+Z5137</f>
        <v>43.509220640551</v>
      </c>
      <c r="AC5137" s="54" t="b">
        <f aca="false">AND(E5137&gt;=01_因子設定!$L$5-0.000000001,E5137&lt;=01_因子設定!$M$5+0.000000001,F5137&gt;=01_因子設定!$L$6-0.000000001,F5137&lt;=01_因子設定!$M$6+0.000000001,G5137&gt;=01_因子設定!$L$7-0.000000001,G5137&lt;=01_因子設定!$M$7+0.000000001,H5137&gt;=01_因子設定!$L$8-0.000000001,H5137&lt;=01_因子設定!$M$8+0.000000001,IF(01_因子設定!$B$20="Box-Behnken",E5137^2+F5137^2+G5137^2+H5137^2&lt;=2+0.000000001,TRUE()))</f>
        <v>1</v>
      </c>
      <c r="AD5137" s="55" t="n">
        <f aca="false">IF(AC5137,IF(01_因子設定!$B$13="最大化",AA5137-01_因子設定!$B$14,IF(01_因子設定!$B$13="最小化",01_因子設定!$B$15-AB5137,MIN(AA5137-01_因子設定!$B$14,01_因子設定!$B$15-AB5137))),-1E+030)</f>
        <v>-6.13979447096042</v>
      </c>
      <c r="AE5137" s="55" t="n">
        <f aca="false">IF(AC5137,IF(01_因子設定!$B$13="最大化",X5137,IF(01_因子設定!$B$13="最小化",-X5137,-ABS(X5137-01_因子設定!$B$16))),-1E+030)</f>
        <v>41.9347130847953</v>
      </c>
      <c r="AF5137" s="55" t="n">
        <f aca="false">AD5137+ROW()*0.000000001</f>
        <v>-6.13978933396042</v>
      </c>
      <c r="AG5137" s="55" t="n">
        <f aca="false">AE5137+ROW()*0.000000001</f>
        <v>41.9347182217953</v>
      </c>
    </row>
    <row r="5138" customFormat="false" ht="15" hidden="false" customHeight="false" outlineLevel="0" collapsed="false">
      <c r="A5138" s="0" t="n">
        <v>7</v>
      </c>
      <c r="B5138" s="0" t="n">
        <v>0</v>
      </c>
      <c r="C5138" s="0" t="n">
        <v>3</v>
      </c>
      <c r="D5138" s="0" t="n">
        <v>3</v>
      </c>
      <c r="E5138" s="0" t="n">
        <f aca="false">-1+A5138*0.25</f>
        <v>0.75</v>
      </c>
      <c r="F5138" s="0" t="n">
        <f aca="false">-1+B5138*0.25</f>
        <v>-1</v>
      </c>
      <c r="G5138" s="0" t="n">
        <f aca="false">-1+C5138*0.25</f>
        <v>-0.25</v>
      </c>
      <c r="H5138" s="0" t="n">
        <f aca="false">-1+D5138*0.25</f>
        <v>-0.25</v>
      </c>
      <c r="I5138" s="0" t="n">
        <f aca="false">1</f>
        <v>1</v>
      </c>
      <c r="J5138" s="0" t="n">
        <f aca="false">E5138</f>
        <v>0.75</v>
      </c>
      <c r="K5138" s="0" t="n">
        <f aca="false">F5138</f>
        <v>-1</v>
      </c>
      <c r="L5138" s="0" t="n">
        <f aca="false">G5138</f>
        <v>-0.25</v>
      </c>
      <c r="M5138" s="0" t="n">
        <f aca="false">H5138</f>
        <v>-0.25</v>
      </c>
      <c r="N5138" s="0" t="n">
        <f aca="false">E5138*F5138</f>
        <v>-0.75</v>
      </c>
      <c r="O5138" s="0" t="n">
        <f aca="false">E5138*G5138</f>
        <v>-0.1875</v>
      </c>
      <c r="P5138" s="0" t="n">
        <f aca="false">E5138*H5138</f>
        <v>-0.1875</v>
      </c>
      <c r="Q5138" s="0" t="n">
        <f aca="false">F5138*G5138</f>
        <v>0.25</v>
      </c>
      <c r="R5138" s="0" t="n">
        <f aca="false">F5138*H5138</f>
        <v>0.25</v>
      </c>
      <c r="S5138" s="0" t="n">
        <f aca="false">G5138*H5138</f>
        <v>0.0625</v>
      </c>
      <c r="T5138" s="0" t="n">
        <f aca="false">E5138*E5138</f>
        <v>0.5625</v>
      </c>
      <c r="U5138" s="0" t="n">
        <f aca="false">F5138*F5138</f>
        <v>1</v>
      </c>
      <c r="V5138" s="0" t="n">
        <f aca="false">G5138*G5138</f>
        <v>0.0625</v>
      </c>
      <c r="W5138" s="0" t="n">
        <f aca="false">H5138*H5138</f>
        <v>0.0625</v>
      </c>
      <c r="X5138" s="0" t="n">
        <f aca="false">SUMPRODUCT(I5138:W5138,_XtX!$B$96:$P$96)</f>
        <v>42.16640625</v>
      </c>
      <c r="Y5138" s="0" t="n">
        <f aca="false">SUMPRODUCT(MMULT(I5138:W5138,_XtX!$B$78:$P$92),I5138:W5138)</f>
        <v>0.486409505208334</v>
      </c>
      <c r="Z5138" s="0" t="n">
        <f aca="false">04_回帰ANOVA!$K$19*04_回帰ANOVA!$K$14*SQRT(1+Y5138)</f>
        <v>1.58916001665498</v>
      </c>
      <c r="AA5138" s="0" t="n">
        <f aca="false">X5138-Z5138</f>
        <v>40.577246233345</v>
      </c>
      <c r="AB5138" s="0" t="n">
        <f aca="false">X5138+Z5138</f>
        <v>43.755566266655</v>
      </c>
      <c r="AC5138" s="54" t="b">
        <f aca="false">AND(E5138&gt;=01_因子設定!$L$5-0.000000001,E5138&lt;=01_因子設定!$M$5+0.000000001,F5138&gt;=01_因子設定!$L$6-0.000000001,F5138&lt;=01_因子設定!$M$6+0.000000001,G5138&gt;=01_因子設定!$L$7-0.000000001,G5138&lt;=01_因子設定!$M$7+0.000000001,H5138&gt;=01_因子設定!$L$8-0.000000001,H5138&lt;=01_因子設定!$M$8+0.000000001,IF(01_因子設定!$B$20="Box-Behnken",E5138^2+F5138^2+G5138^2+H5138^2&lt;=2+0.000000001,TRUE()))</f>
        <v>1</v>
      </c>
      <c r="AD5138" s="55" t="n">
        <f aca="false">IF(AC5138,IF(01_因子設定!$B$13="最大化",AA5138-01_因子設定!$B$14,IF(01_因子設定!$B$13="最小化",01_因子設定!$B$15-AB5138,MIN(AA5138-01_因子設定!$B$14,01_因子設定!$B$15-AB5138))),-1E+030)</f>
        <v>-5.92275376665499</v>
      </c>
      <c r="AE5138" s="55" t="n">
        <f aca="false">IF(AC5138,IF(01_因子設定!$B$13="最大化",X5138,IF(01_因子設定!$B$13="最小化",-X5138,-ABS(X5138-01_因子設定!$B$16))),-1E+030)</f>
        <v>42.16640625</v>
      </c>
      <c r="AF5138" s="55" t="n">
        <f aca="false">AD5138+ROW()*0.000000001</f>
        <v>-5.92274862865499</v>
      </c>
      <c r="AG5138" s="55" t="n">
        <f aca="false">AE5138+ROW()*0.000000001</f>
        <v>42.166411388</v>
      </c>
    </row>
    <row r="5139" customFormat="false" ht="15" hidden="false" customHeight="false" outlineLevel="0" collapsed="false">
      <c r="A5139" s="0" t="n">
        <v>7</v>
      </c>
      <c r="B5139" s="0" t="n">
        <v>0</v>
      </c>
      <c r="C5139" s="0" t="n">
        <v>3</v>
      </c>
      <c r="D5139" s="0" t="n">
        <v>4</v>
      </c>
      <c r="E5139" s="0" t="n">
        <f aca="false">-1+A5139*0.25</f>
        <v>0.75</v>
      </c>
      <c r="F5139" s="0" t="n">
        <f aca="false">-1+B5139*0.25</f>
        <v>-1</v>
      </c>
      <c r="G5139" s="0" t="n">
        <f aca="false">-1+C5139*0.25</f>
        <v>-0.25</v>
      </c>
      <c r="H5139" s="0" t="n">
        <f aca="false">-1+D5139*0.25</f>
        <v>0</v>
      </c>
      <c r="I5139" s="0" t="n">
        <f aca="false">1</f>
        <v>1</v>
      </c>
      <c r="J5139" s="0" t="n">
        <f aca="false">E5139</f>
        <v>0.75</v>
      </c>
      <c r="K5139" s="0" t="n">
        <f aca="false">F5139</f>
        <v>-1</v>
      </c>
      <c r="L5139" s="0" t="n">
        <f aca="false">G5139</f>
        <v>-0.25</v>
      </c>
      <c r="M5139" s="0" t="n">
        <f aca="false">H5139</f>
        <v>0</v>
      </c>
      <c r="N5139" s="0" t="n">
        <f aca="false">E5139*F5139</f>
        <v>-0.75</v>
      </c>
      <c r="O5139" s="0" t="n">
        <f aca="false">E5139*G5139</f>
        <v>-0.1875</v>
      </c>
      <c r="P5139" s="0" t="n">
        <f aca="false">E5139*H5139</f>
        <v>0</v>
      </c>
      <c r="Q5139" s="0" t="n">
        <f aca="false">F5139*G5139</f>
        <v>0.25</v>
      </c>
      <c r="R5139" s="0" t="n">
        <f aca="false">F5139*H5139</f>
        <v>-0</v>
      </c>
      <c r="S5139" s="0" t="n">
        <f aca="false">G5139*H5139</f>
        <v>-0</v>
      </c>
      <c r="T5139" s="0" t="n">
        <f aca="false">E5139*E5139</f>
        <v>0.5625</v>
      </c>
      <c r="U5139" s="0" t="n">
        <f aca="false">F5139*F5139</f>
        <v>1</v>
      </c>
      <c r="V5139" s="0" t="n">
        <f aca="false">G5139*G5139</f>
        <v>0.0625</v>
      </c>
      <c r="W5139" s="0" t="n">
        <f aca="false">H5139*H5139</f>
        <v>0</v>
      </c>
      <c r="X5139" s="0" t="n">
        <f aca="false">SUMPRODUCT(I5139:W5139,_XtX!$B$96:$P$96)</f>
        <v>42.3502923976608</v>
      </c>
      <c r="Y5139" s="0" t="n">
        <f aca="false">SUMPRODUCT(MMULT(I5139:W5139,_XtX!$B$78:$P$92),I5139:W5139)</f>
        <v>0.501534802174708</v>
      </c>
      <c r="Z5139" s="0" t="n">
        <f aca="false">04_回帰ANOVA!$K$19*04_回帰ANOVA!$K$14*SQRT(1+Y5139)</f>
        <v>1.59722498091333</v>
      </c>
      <c r="AA5139" s="0" t="n">
        <f aca="false">X5139-Z5139</f>
        <v>40.7530674167475</v>
      </c>
      <c r="AB5139" s="0" t="n">
        <f aca="false">X5139+Z5139</f>
        <v>43.9475173785741</v>
      </c>
      <c r="AC5139" s="54" t="b">
        <f aca="false">AND(E5139&gt;=01_因子設定!$L$5-0.000000001,E5139&lt;=01_因子設定!$M$5+0.000000001,F5139&gt;=01_因子設定!$L$6-0.000000001,F5139&lt;=01_因子設定!$M$6+0.000000001,G5139&gt;=01_因子設定!$L$7-0.000000001,G5139&lt;=01_因子設定!$M$7+0.000000001,H5139&gt;=01_因子設定!$L$8-0.000000001,H5139&lt;=01_因子設定!$M$8+0.000000001,IF(01_因子設定!$B$20="Box-Behnken",E5139^2+F5139^2+G5139^2+H5139^2&lt;=2+0.000000001,TRUE()))</f>
        <v>1</v>
      </c>
      <c r="AD5139" s="55" t="n">
        <f aca="false">IF(AC5139,IF(01_因子設定!$B$13="最大化",AA5139-01_因子設定!$B$14,IF(01_因子設定!$B$13="最小化",01_因子設定!$B$15-AB5139,MIN(AA5139-01_因子設定!$B$14,01_因子設定!$B$15-AB5139))),-1E+030)</f>
        <v>-5.74693258325253</v>
      </c>
      <c r="AE5139" s="55" t="n">
        <f aca="false">IF(AC5139,IF(01_因子設定!$B$13="最大化",X5139,IF(01_因子設定!$B$13="最小化",-X5139,-ABS(X5139-01_因子設定!$B$16))),-1E+030)</f>
        <v>42.3502923976608</v>
      </c>
      <c r="AF5139" s="55" t="n">
        <f aca="false">AD5139+ROW()*0.000000001</f>
        <v>-5.74692744425253</v>
      </c>
      <c r="AG5139" s="55" t="n">
        <f aca="false">AE5139+ROW()*0.000000001</f>
        <v>42.3502975366608</v>
      </c>
    </row>
    <row r="5140" customFormat="false" ht="15" hidden="false" customHeight="false" outlineLevel="0" collapsed="false">
      <c r="A5140" s="0" t="n">
        <v>7</v>
      </c>
      <c r="B5140" s="0" t="n">
        <v>0</v>
      </c>
      <c r="C5140" s="0" t="n">
        <v>3</v>
      </c>
      <c r="D5140" s="0" t="n">
        <v>5</v>
      </c>
      <c r="E5140" s="0" t="n">
        <f aca="false">-1+A5140*0.25</f>
        <v>0.75</v>
      </c>
      <c r="F5140" s="0" t="n">
        <f aca="false">-1+B5140*0.25</f>
        <v>-1</v>
      </c>
      <c r="G5140" s="0" t="n">
        <f aca="false">-1+C5140*0.25</f>
        <v>-0.25</v>
      </c>
      <c r="H5140" s="0" t="n">
        <f aca="false">-1+D5140*0.25</f>
        <v>0.25</v>
      </c>
      <c r="I5140" s="0" t="n">
        <f aca="false">1</f>
        <v>1</v>
      </c>
      <c r="J5140" s="0" t="n">
        <f aca="false">E5140</f>
        <v>0.75</v>
      </c>
      <c r="K5140" s="0" t="n">
        <f aca="false">F5140</f>
        <v>-1</v>
      </c>
      <c r="L5140" s="0" t="n">
        <f aca="false">G5140</f>
        <v>-0.25</v>
      </c>
      <c r="M5140" s="0" t="n">
        <f aca="false">H5140</f>
        <v>0.25</v>
      </c>
      <c r="N5140" s="0" t="n">
        <f aca="false">E5140*F5140</f>
        <v>-0.75</v>
      </c>
      <c r="O5140" s="0" t="n">
        <f aca="false">E5140*G5140</f>
        <v>-0.1875</v>
      </c>
      <c r="P5140" s="0" t="n">
        <f aca="false">E5140*H5140</f>
        <v>0.1875</v>
      </c>
      <c r="Q5140" s="0" t="n">
        <f aca="false">F5140*G5140</f>
        <v>0.25</v>
      </c>
      <c r="R5140" s="0" t="n">
        <f aca="false">F5140*H5140</f>
        <v>-0.25</v>
      </c>
      <c r="S5140" s="0" t="n">
        <f aca="false">G5140*H5140</f>
        <v>-0.0625</v>
      </c>
      <c r="T5140" s="0" t="n">
        <f aca="false">E5140*E5140</f>
        <v>0.5625</v>
      </c>
      <c r="U5140" s="0" t="n">
        <f aca="false">F5140*F5140</f>
        <v>1</v>
      </c>
      <c r="V5140" s="0" t="n">
        <f aca="false">G5140*G5140</f>
        <v>0.0625</v>
      </c>
      <c r="W5140" s="0" t="n">
        <f aca="false">H5140*H5140</f>
        <v>0.0625</v>
      </c>
      <c r="X5140" s="0" t="n">
        <f aca="false">SUMPRODUCT(I5140:W5140,_XtX!$B$96:$P$96)</f>
        <v>42.4863715277778</v>
      </c>
      <c r="Y5140" s="0" t="n">
        <f aca="false">SUMPRODUCT(MMULT(I5140:W5140,_XtX!$B$78:$P$92),I5140:W5140)</f>
        <v>0.486409505208334</v>
      </c>
      <c r="Z5140" s="0" t="n">
        <f aca="false">04_回帰ANOVA!$K$19*04_回帰ANOVA!$K$14*SQRT(1+Y5140)</f>
        <v>1.58916001665498</v>
      </c>
      <c r="AA5140" s="0" t="n">
        <f aca="false">X5140-Z5140</f>
        <v>40.8972115111228</v>
      </c>
      <c r="AB5140" s="0" t="n">
        <f aca="false">X5140+Z5140</f>
        <v>44.0755315444327</v>
      </c>
      <c r="AC5140" s="54" t="b">
        <f aca="false">AND(E5140&gt;=01_因子設定!$L$5-0.000000001,E5140&lt;=01_因子設定!$M$5+0.000000001,F5140&gt;=01_因子設定!$L$6-0.000000001,F5140&lt;=01_因子設定!$M$6+0.000000001,G5140&gt;=01_因子設定!$L$7-0.000000001,G5140&lt;=01_因子設定!$M$7+0.000000001,H5140&gt;=01_因子設定!$L$8-0.000000001,H5140&lt;=01_因子設定!$M$8+0.000000001,IF(01_因子設定!$B$20="Box-Behnken",E5140^2+F5140^2+G5140^2+H5140^2&lt;=2+0.000000001,TRUE()))</f>
        <v>1</v>
      </c>
      <c r="AD5140" s="55" t="n">
        <f aca="false">IF(AC5140,IF(01_因子設定!$B$13="最大化",AA5140-01_因子設定!$B$14,IF(01_因子設定!$B$13="最小化",01_因子設定!$B$15-AB5140,MIN(AA5140-01_因子設定!$B$14,01_因子設定!$B$15-AB5140))),-1E+030)</f>
        <v>-5.60278848887722</v>
      </c>
      <c r="AE5140" s="55" t="n">
        <f aca="false">IF(AC5140,IF(01_因子設定!$B$13="最大化",X5140,IF(01_因子設定!$B$13="最小化",-X5140,-ABS(X5140-01_因子設定!$B$16))),-1E+030)</f>
        <v>42.4863715277778</v>
      </c>
      <c r="AF5140" s="55" t="n">
        <f aca="false">AD5140+ROW()*0.000000001</f>
        <v>-5.60278334887722</v>
      </c>
      <c r="AG5140" s="55" t="n">
        <f aca="false">AE5140+ROW()*0.000000001</f>
        <v>42.4863766677778</v>
      </c>
    </row>
    <row r="5141" customFormat="false" ht="15" hidden="false" customHeight="false" outlineLevel="0" collapsed="false">
      <c r="A5141" s="0" t="n">
        <v>7</v>
      </c>
      <c r="B5141" s="0" t="n">
        <v>0</v>
      </c>
      <c r="C5141" s="0" t="n">
        <v>3</v>
      </c>
      <c r="D5141" s="0" t="n">
        <v>6</v>
      </c>
      <c r="E5141" s="0" t="n">
        <f aca="false">-1+A5141*0.25</f>
        <v>0.75</v>
      </c>
      <c r="F5141" s="0" t="n">
        <f aca="false">-1+B5141*0.25</f>
        <v>-1</v>
      </c>
      <c r="G5141" s="0" t="n">
        <f aca="false">-1+C5141*0.25</f>
        <v>-0.25</v>
      </c>
      <c r="H5141" s="0" t="n">
        <f aca="false">-1+D5141*0.25</f>
        <v>0.5</v>
      </c>
      <c r="I5141" s="0" t="n">
        <f aca="false">1</f>
        <v>1</v>
      </c>
      <c r="J5141" s="0" t="n">
        <f aca="false">E5141</f>
        <v>0.75</v>
      </c>
      <c r="K5141" s="0" t="n">
        <f aca="false">F5141</f>
        <v>-1</v>
      </c>
      <c r="L5141" s="0" t="n">
        <f aca="false">G5141</f>
        <v>-0.25</v>
      </c>
      <c r="M5141" s="0" t="n">
        <f aca="false">H5141</f>
        <v>0.5</v>
      </c>
      <c r="N5141" s="0" t="n">
        <f aca="false">E5141*F5141</f>
        <v>-0.75</v>
      </c>
      <c r="O5141" s="0" t="n">
        <f aca="false">E5141*G5141</f>
        <v>-0.1875</v>
      </c>
      <c r="P5141" s="0" t="n">
        <f aca="false">E5141*H5141</f>
        <v>0.375</v>
      </c>
      <c r="Q5141" s="0" t="n">
        <f aca="false">F5141*G5141</f>
        <v>0.25</v>
      </c>
      <c r="R5141" s="0" t="n">
        <f aca="false">F5141*H5141</f>
        <v>-0.5</v>
      </c>
      <c r="S5141" s="0" t="n">
        <f aca="false">G5141*H5141</f>
        <v>-0.125</v>
      </c>
      <c r="T5141" s="0" t="n">
        <f aca="false">E5141*E5141</f>
        <v>0.5625</v>
      </c>
      <c r="U5141" s="0" t="n">
        <f aca="false">F5141*F5141</f>
        <v>1</v>
      </c>
      <c r="V5141" s="0" t="n">
        <f aca="false">G5141*G5141</f>
        <v>0.0625</v>
      </c>
      <c r="W5141" s="0" t="n">
        <f aca="false">H5141*H5141</f>
        <v>0.25</v>
      </c>
      <c r="X5141" s="0" t="n">
        <f aca="false">SUMPRODUCT(I5141:W5141,_XtX!$B$96:$P$96)</f>
        <v>42.5746436403509</v>
      </c>
      <c r="Y5141" s="0" t="n">
        <f aca="false">SUMPRODUCT(MMULT(I5141:W5141,_XtX!$B$78:$P$92),I5141:W5141)</f>
        <v>0.459125719572369</v>
      </c>
      <c r="Z5141" s="0" t="n">
        <f aca="false">04_回帰ANOVA!$K$19*04_回帰ANOVA!$K$14*SQRT(1+Y5141)</f>
        <v>1.57450755575573</v>
      </c>
      <c r="AA5141" s="0" t="n">
        <f aca="false">X5141-Z5141</f>
        <v>41.0001360845951</v>
      </c>
      <c r="AB5141" s="0" t="n">
        <f aca="false">X5141+Z5141</f>
        <v>44.1491511961066</v>
      </c>
      <c r="AC5141" s="54" t="b">
        <f aca="false">AND(E5141&gt;=01_因子設定!$L$5-0.000000001,E5141&lt;=01_因子設定!$M$5+0.000000001,F5141&gt;=01_因子設定!$L$6-0.000000001,F5141&lt;=01_因子設定!$M$6+0.000000001,G5141&gt;=01_因子設定!$L$7-0.000000001,G5141&lt;=01_因子設定!$M$7+0.000000001,H5141&gt;=01_因子設定!$L$8-0.000000001,H5141&lt;=01_因子設定!$M$8+0.000000001,IF(01_因子設定!$B$20="Box-Behnken",E5141^2+F5141^2+G5141^2+H5141^2&lt;=2+0.000000001,TRUE()))</f>
        <v>1</v>
      </c>
      <c r="AD5141" s="55" t="n">
        <f aca="false">IF(AC5141,IF(01_因子設定!$B$13="最大化",AA5141-01_因子設定!$B$14,IF(01_因子設定!$B$13="最小化",01_因子設定!$B$15-AB5141,MIN(AA5141-01_因子設定!$B$14,01_因子設定!$B$15-AB5141))),-1E+030)</f>
        <v>-5.49986391540486</v>
      </c>
      <c r="AE5141" s="55" t="n">
        <f aca="false">IF(AC5141,IF(01_因子設定!$B$13="最大化",X5141,IF(01_因子設定!$B$13="最小化",-X5141,-ABS(X5141-01_因子設定!$B$16))),-1E+030)</f>
        <v>42.5746436403509</v>
      </c>
      <c r="AF5141" s="55" t="n">
        <f aca="false">AD5141+ROW()*0.000000001</f>
        <v>-5.49985877440486</v>
      </c>
      <c r="AG5141" s="55" t="n">
        <f aca="false">AE5141+ROW()*0.000000001</f>
        <v>42.5746487813509</v>
      </c>
    </row>
    <row r="5142" customFormat="false" ht="15" hidden="false" customHeight="false" outlineLevel="0" collapsed="false">
      <c r="A5142" s="0" t="n">
        <v>7</v>
      </c>
      <c r="B5142" s="0" t="n">
        <v>0</v>
      </c>
      <c r="C5142" s="0" t="n">
        <v>3</v>
      </c>
      <c r="D5142" s="0" t="n">
        <v>7</v>
      </c>
      <c r="E5142" s="0" t="n">
        <f aca="false">-1+A5142*0.25</f>
        <v>0.75</v>
      </c>
      <c r="F5142" s="0" t="n">
        <f aca="false">-1+B5142*0.25</f>
        <v>-1</v>
      </c>
      <c r="G5142" s="0" t="n">
        <f aca="false">-1+C5142*0.25</f>
        <v>-0.25</v>
      </c>
      <c r="H5142" s="0" t="n">
        <f aca="false">-1+D5142*0.25</f>
        <v>0.75</v>
      </c>
      <c r="I5142" s="0" t="n">
        <f aca="false">1</f>
        <v>1</v>
      </c>
      <c r="J5142" s="0" t="n">
        <f aca="false">E5142</f>
        <v>0.75</v>
      </c>
      <c r="K5142" s="0" t="n">
        <f aca="false">F5142</f>
        <v>-1</v>
      </c>
      <c r="L5142" s="0" t="n">
        <f aca="false">G5142</f>
        <v>-0.25</v>
      </c>
      <c r="M5142" s="0" t="n">
        <f aca="false">H5142</f>
        <v>0.75</v>
      </c>
      <c r="N5142" s="0" t="n">
        <f aca="false">E5142*F5142</f>
        <v>-0.75</v>
      </c>
      <c r="O5142" s="0" t="n">
        <f aca="false">E5142*G5142</f>
        <v>-0.1875</v>
      </c>
      <c r="P5142" s="0" t="n">
        <f aca="false">E5142*H5142</f>
        <v>0.5625</v>
      </c>
      <c r="Q5142" s="0" t="n">
        <f aca="false">F5142*G5142</f>
        <v>0.25</v>
      </c>
      <c r="R5142" s="0" t="n">
        <f aca="false">F5142*H5142</f>
        <v>-0.75</v>
      </c>
      <c r="S5142" s="0" t="n">
        <f aca="false">G5142*H5142</f>
        <v>-0.1875</v>
      </c>
      <c r="T5142" s="0" t="n">
        <f aca="false">E5142*E5142</f>
        <v>0.5625</v>
      </c>
      <c r="U5142" s="0" t="n">
        <f aca="false">F5142*F5142</f>
        <v>1</v>
      </c>
      <c r="V5142" s="0" t="n">
        <f aca="false">G5142*G5142</f>
        <v>0.0625</v>
      </c>
      <c r="W5142" s="0" t="n">
        <f aca="false">H5142*H5142</f>
        <v>0.5625</v>
      </c>
      <c r="X5142" s="0" t="n">
        <f aca="false">SUMPRODUCT(I5142:W5142,_XtX!$B$96:$P$96)</f>
        <v>42.6151087353801</v>
      </c>
      <c r="Y5142" s="0" t="n">
        <f aca="false">SUMPRODUCT(MMULT(I5142:W5142,_XtX!$B$78:$P$92),I5142:W5142)</f>
        <v>0.473959761056287</v>
      </c>
      <c r="Z5142" s="0" t="n">
        <f aca="false">04_回帰ANOVA!$K$19*04_回帰ANOVA!$K$14*SQRT(1+Y5142)</f>
        <v>1.58249084588329</v>
      </c>
      <c r="AA5142" s="0" t="n">
        <f aca="false">X5142-Z5142</f>
        <v>41.0326178894968</v>
      </c>
      <c r="AB5142" s="0" t="n">
        <f aca="false">X5142+Z5142</f>
        <v>44.1975995812634</v>
      </c>
      <c r="AC5142" s="54" t="b">
        <f aca="false">AND(E5142&gt;=01_因子設定!$L$5-0.000000001,E5142&lt;=01_因子設定!$M$5+0.000000001,F5142&gt;=01_因子設定!$L$6-0.000000001,F5142&lt;=01_因子設定!$M$6+0.000000001,G5142&gt;=01_因子設定!$L$7-0.000000001,G5142&lt;=01_因子設定!$M$7+0.000000001,H5142&gt;=01_因子設定!$L$8-0.000000001,H5142&lt;=01_因子設定!$M$8+0.000000001,IF(01_因子設定!$B$20="Box-Behnken",E5142^2+F5142^2+G5142^2+H5142^2&lt;=2+0.000000001,TRUE()))</f>
        <v>1</v>
      </c>
      <c r="AD5142" s="55" t="n">
        <f aca="false">IF(AC5142,IF(01_因子設定!$B$13="最大化",AA5142-01_因子設定!$B$14,IF(01_因子設定!$B$13="最小化",01_因子設定!$B$15-AB5142,MIN(AA5142-01_因子設定!$B$14,01_因子設定!$B$15-AB5142))),-1E+030)</f>
        <v>-5.46738211050317</v>
      </c>
      <c r="AE5142" s="55" t="n">
        <f aca="false">IF(AC5142,IF(01_因子設定!$B$13="最大化",X5142,IF(01_因子設定!$B$13="最小化",-X5142,-ABS(X5142-01_因子設定!$B$16))),-1E+030)</f>
        <v>42.6151087353801</v>
      </c>
      <c r="AF5142" s="55" t="n">
        <f aca="false">AD5142+ROW()*0.000000001</f>
        <v>-5.46737696850317</v>
      </c>
      <c r="AG5142" s="55" t="n">
        <f aca="false">AE5142+ROW()*0.000000001</f>
        <v>42.6151138773801</v>
      </c>
    </row>
    <row r="5143" customFormat="false" ht="15" hidden="false" customHeight="false" outlineLevel="0" collapsed="false">
      <c r="A5143" s="0" t="n">
        <v>7</v>
      </c>
      <c r="B5143" s="0" t="n">
        <v>0</v>
      </c>
      <c r="C5143" s="0" t="n">
        <v>3</v>
      </c>
      <c r="D5143" s="0" t="n">
        <v>8</v>
      </c>
      <c r="E5143" s="0" t="n">
        <f aca="false">-1+A5143*0.25</f>
        <v>0.75</v>
      </c>
      <c r="F5143" s="0" t="n">
        <f aca="false">-1+B5143*0.25</f>
        <v>-1</v>
      </c>
      <c r="G5143" s="0" t="n">
        <f aca="false">-1+C5143*0.25</f>
        <v>-0.25</v>
      </c>
      <c r="H5143" s="0" t="n">
        <f aca="false">-1+D5143*0.25</f>
        <v>1</v>
      </c>
      <c r="I5143" s="0" t="n">
        <f aca="false">1</f>
        <v>1</v>
      </c>
      <c r="J5143" s="0" t="n">
        <f aca="false">E5143</f>
        <v>0.75</v>
      </c>
      <c r="K5143" s="0" t="n">
        <f aca="false">F5143</f>
        <v>-1</v>
      </c>
      <c r="L5143" s="0" t="n">
        <f aca="false">G5143</f>
        <v>-0.25</v>
      </c>
      <c r="M5143" s="0" t="n">
        <f aca="false">H5143</f>
        <v>1</v>
      </c>
      <c r="N5143" s="0" t="n">
        <f aca="false">E5143*F5143</f>
        <v>-0.75</v>
      </c>
      <c r="O5143" s="0" t="n">
        <f aca="false">E5143*G5143</f>
        <v>-0.1875</v>
      </c>
      <c r="P5143" s="0" t="n">
        <f aca="false">E5143*H5143</f>
        <v>0.75</v>
      </c>
      <c r="Q5143" s="0" t="n">
        <f aca="false">F5143*G5143</f>
        <v>0.25</v>
      </c>
      <c r="R5143" s="0" t="n">
        <f aca="false">F5143*H5143</f>
        <v>-1</v>
      </c>
      <c r="S5143" s="0" t="n">
        <f aca="false">G5143*H5143</f>
        <v>-0.25</v>
      </c>
      <c r="T5143" s="0" t="n">
        <f aca="false">E5143*E5143</f>
        <v>0.5625</v>
      </c>
      <c r="U5143" s="0" t="n">
        <f aca="false">F5143*F5143</f>
        <v>1</v>
      </c>
      <c r="V5143" s="0" t="n">
        <f aca="false">G5143*G5143</f>
        <v>0.0625</v>
      </c>
      <c r="W5143" s="0" t="n">
        <f aca="false">H5143*H5143</f>
        <v>1</v>
      </c>
      <c r="X5143" s="0" t="n">
        <f aca="false">SUMPRODUCT(I5143:W5143,_XtX!$B$96:$P$96)</f>
        <v>42.6077668128655</v>
      </c>
      <c r="Y5143" s="0" t="n">
        <f aca="false">SUMPRODUCT(MMULT(I5143:W5143,_XtX!$B$78:$P$92),I5143:W5143)</f>
        <v>0.621372155975877</v>
      </c>
      <c r="Z5143" s="0" t="n">
        <f aca="false">04_回帰ANOVA!$K$19*04_回帰ANOVA!$K$14*SQRT(1+Y5143)</f>
        <v>1.65973880499872</v>
      </c>
      <c r="AA5143" s="0" t="n">
        <f aca="false">X5143-Z5143</f>
        <v>40.9480280078668</v>
      </c>
      <c r="AB5143" s="0" t="n">
        <f aca="false">X5143+Z5143</f>
        <v>44.2675056178642</v>
      </c>
      <c r="AC5143" s="54" t="b">
        <f aca="false">AND(E5143&gt;=01_因子設定!$L$5-0.000000001,E5143&lt;=01_因子設定!$M$5+0.000000001,F5143&gt;=01_因子設定!$L$6-0.000000001,F5143&lt;=01_因子設定!$M$6+0.000000001,G5143&gt;=01_因子設定!$L$7-0.000000001,G5143&lt;=01_因子設定!$M$7+0.000000001,H5143&gt;=01_因子設定!$L$8-0.000000001,H5143&lt;=01_因子設定!$M$8+0.000000001,IF(01_因子設定!$B$20="Box-Behnken",E5143^2+F5143^2+G5143^2+H5143^2&lt;=2+0.000000001,TRUE()))</f>
        <v>1</v>
      </c>
      <c r="AD5143" s="55" t="n">
        <f aca="false">IF(AC5143,IF(01_因子設定!$B$13="最大化",AA5143-01_因子設定!$B$14,IF(01_因子設定!$B$13="最小化",01_因子設定!$B$15-AB5143,MIN(AA5143-01_因子設定!$B$14,01_因子設定!$B$15-AB5143))),-1E+030)</f>
        <v>-5.5519719921332</v>
      </c>
      <c r="AE5143" s="55" t="n">
        <f aca="false">IF(AC5143,IF(01_因子設定!$B$13="最大化",X5143,IF(01_因子設定!$B$13="最小化",-X5143,-ABS(X5143-01_因子設定!$B$16))),-1E+030)</f>
        <v>42.6077668128655</v>
      </c>
      <c r="AF5143" s="55" t="n">
        <f aca="false">AD5143+ROW()*0.000000001</f>
        <v>-5.5519668491332</v>
      </c>
      <c r="AG5143" s="55" t="n">
        <f aca="false">AE5143+ROW()*0.000000001</f>
        <v>42.6077719558655</v>
      </c>
    </row>
    <row r="5144" customFormat="false" ht="15" hidden="false" customHeight="false" outlineLevel="0" collapsed="false">
      <c r="A5144" s="0" t="n">
        <v>7</v>
      </c>
      <c r="B5144" s="0" t="n">
        <v>0</v>
      </c>
      <c r="C5144" s="0" t="n">
        <v>4</v>
      </c>
      <c r="D5144" s="0" t="n">
        <v>0</v>
      </c>
      <c r="E5144" s="0" t="n">
        <f aca="false">-1+A5144*0.25</f>
        <v>0.75</v>
      </c>
      <c r="F5144" s="0" t="n">
        <f aca="false">-1+B5144*0.25</f>
        <v>-1</v>
      </c>
      <c r="G5144" s="0" t="n">
        <f aca="false">-1+C5144*0.25</f>
        <v>0</v>
      </c>
      <c r="H5144" s="0" t="n">
        <f aca="false">-1+D5144*0.25</f>
        <v>-1</v>
      </c>
      <c r="I5144" s="0" t="n">
        <f aca="false">1</f>
        <v>1</v>
      </c>
      <c r="J5144" s="0" t="n">
        <f aca="false">E5144</f>
        <v>0.75</v>
      </c>
      <c r="K5144" s="0" t="n">
        <f aca="false">F5144</f>
        <v>-1</v>
      </c>
      <c r="L5144" s="0" t="n">
        <f aca="false">G5144</f>
        <v>0</v>
      </c>
      <c r="M5144" s="0" t="n">
        <f aca="false">H5144</f>
        <v>-1</v>
      </c>
      <c r="N5144" s="0" t="n">
        <f aca="false">E5144*F5144</f>
        <v>-0.75</v>
      </c>
      <c r="O5144" s="0" t="n">
        <f aca="false">E5144*G5144</f>
        <v>0</v>
      </c>
      <c r="P5144" s="0" t="n">
        <f aca="false">E5144*H5144</f>
        <v>-0.75</v>
      </c>
      <c r="Q5144" s="0" t="n">
        <f aca="false">F5144*G5144</f>
        <v>-0</v>
      </c>
      <c r="R5144" s="0" t="n">
        <f aca="false">F5144*H5144</f>
        <v>1</v>
      </c>
      <c r="S5144" s="0" t="n">
        <f aca="false">G5144*H5144</f>
        <v>-0</v>
      </c>
      <c r="T5144" s="0" t="n">
        <f aca="false">E5144*E5144</f>
        <v>0.5625</v>
      </c>
      <c r="U5144" s="0" t="n">
        <f aca="false">F5144*F5144</f>
        <v>1</v>
      </c>
      <c r="V5144" s="0" t="n">
        <f aca="false">G5144*G5144</f>
        <v>0</v>
      </c>
      <c r="W5144" s="0" t="n">
        <f aca="false">H5144*H5144</f>
        <v>1</v>
      </c>
      <c r="X5144" s="0" t="n">
        <f aca="false">SUMPRODUCT(I5144:W5144,_XtX!$B$96:$P$96)</f>
        <v>41.3445175438597</v>
      </c>
      <c r="Y5144" s="0" t="n">
        <f aca="false">SUMPRODUCT(MMULT(I5144:W5144,_XtX!$B$78:$P$92),I5144:W5144)</f>
        <v>0.646198830409357</v>
      </c>
      <c r="Z5144" s="0" t="n">
        <f aca="false">04_回帰ANOVA!$K$19*04_回帰ANOVA!$K$14*SQRT(1+Y5144)</f>
        <v>1.67239760569756</v>
      </c>
      <c r="AA5144" s="0" t="n">
        <f aca="false">X5144-Z5144</f>
        <v>39.6721199381621</v>
      </c>
      <c r="AB5144" s="0" t="n">
        <f aca="false">X5144+Z5144</f>
        <v>43.0169151495572</v>
      </c>
      <c r="AC5144" s="54" t="b">
        <f aca="false">AND(E5144&gt;=01_因子設定!$L$5-0.000000001,E5144&lt;=01_因子設定!$M$5+0.000000001,F5144&gt;=01_因子設定!$L$6-0.000000001,F5144&lt;=01_因子設定!$M$6+0.000000001,G5144&gt;=01_因子設定!$L$7-0.000000001,G5144&lt;=01_因子設定!$M$7+0.000000001,H5144&gt;=01_因子設定!$L$8-0.000000001,H5144&lt;=01_因子設定!$M$8+0.000000001,IF(01_因子設定!$B$20="Box-Behnken",E5144^2+F5144^2+G5144^2+H5144^2&lt;=2+0.000000001,TRUE()))</f>
        <v>1</v>
      </c>
      <c r="AD5144" s="55" t="n">
        <f aca="false">IF(AC5144,IF(01_因子設定!$B$13="最大化",AA5144-01_因子設定!$B$14,IF(01_因子設定!$B$13="最小化",01_因子設定!$B$15-AB5144,MIN(AA5144-01_因子設定!$B$14,01_因子設定!$B$15-AB5144))),-1E+030)</f>
        <v>-6.82788006183788</v>
      </c>
      <c r="AE5144" s="55" t="n">
        <f aca="false">IF(AC5144,IF(01_因子設定!$B$13="最大化",X5144,IF(01_因子設定!$B$13="最小化",-X5144,-ABS(X5144-01_因子設定!$B$16))),-1E+030)</f>
        <v>41.3445175438597</v>
      </c>
      <c r="AF5144" s="55" t="n">
        <f aca="false">AD5144+ROW()*0.000000001</f>
        <v>-6.82787491783788</v>
      </c>
      <c r="AG5144" s="55" t="n">
        <f aca="false">AE5144+ROW()*0.000000001</f>
        <v>41.3445226878597</v>
      </c>
    </row>
    <row r="5145" customFormat="false" ht="15" hidden="false" customHeight="false" outlineLevel="0" collapsed="false">
      <c r="A5145" s="0" t="n">
        <v>7</v>
      </c>
      <c r="B5145" s="0" t="n">
        <v>0</v>
      </c>
      <c r="C5145" s="0" t="n">
        <v>4</v>
      </c>
      <c r="D5145" s="0" t="n">
        <v>1</v>
      </c>
      <c r="E5145" s="0" t="n">
        <f aca="false">-1+A5145*0.25</f>
        <v>0.75</v>
      </c>
      <c r="F5145" s="0" t="n">
        <f aca="false">-1+B5145*0.25</f>
        <v>-1</v>
      </c>
      <c r="G5145" s="0" t="n">
        <f aca="false">-1+C5145*0.25</f>
        <v>0</v>
      </c>
      <c r="H5145" s="0" t="n">
        <f aca="false">-1+D5145*0.25</f>
        <v>-0.75</v>
      </c>
      <c r="I5145" s="0" t="n">
        <f aca="false">1</f>
        <v>1</v>
      </c>
      <c r="J5145" s="0" t="n">
        <f aca="false">E5145</f>
        <v>0.75</v>
      </c>
      <c r="K5145" s="0" t="n">
        <f aca="false">F5145</f>
        <v>-1</v>
      </c>
      <c r="L5145" s="0" t="n">
        <f aca="false">G5145</f>
        <v>0</v>
      </c>
      <c r="M5145" s="0" t="n">
        <f aca="false">H5145</f>
        <v>-0.75</v>
      </c>
      <c r="N5145" s="0" t="n">
        <f aca="false">E5145*F5145</f>
        <v>-0.75</v>
      </c>
      <c r="O5145" s="0" t="n">
        <f aca="false">E5145*G5145</f>
        <v>0</v>
      </c>
      <c r="P5145" s="0" t="n">
        <f aca="false">E5145*H5145</f>
        <v>-0.5625</v>
      </c>
      <c r="Q5145" s="0" t="n">
        <f aca="false">F5145*G5145</f>
        <v>-0</v>
      </c>
      <c r="R5145" s="0" t="n">
        <f aca="false">F5145*H5145</f>
        <v>0.75</v>
      </c>
      <c r="S5145" s="0" t="n">
        <f aca="false">G5145*H5145</f>
        <v>-0</v>
      </c>
      <c r="T5145" s="0" t="n">
        <f aca="false">E5145*E5145</f>
        <v>0.5625</v>
      </c>
      <c r="U5145" s="0" t="n">
        <f aca="false">F5145*F5145</f>
        <v>1</v>
      </c>
      <c r="V5145" s="0" t="n">
        <f aca="false">G5145*G5145</f>
        <v>0</v>
      </c>
      <c r="W5145" s="0" t="n">
        <f aca="false">H5145*H5145</f>
        <v>0.5625</v>
      </c>
      <c r="X5145" s="0" t="n">
        <f aca="false">SUMPRODUCT(I5145:W5145,_XtX!$B$96:$P$96)</f>
        <v>41.6897934941521</v>
      </c>
      <c r="Y5145" s="0" t="n">
        <f aca="false">SUMPRODUCT(MMULT(I5145:W5145,_XtX!$B$78:$P$92),I5145:W5145)</f>
        <v>0.494259126005117</v>
      </c>
      <c r="Z5145" s="0" t="n">
        <f aca="false">04_回帰ANOVA!$K$19*04_回帰ANOVA!$K$14*SQRT(1+Y5145)</f>
        <v>1.59335061078203</v>
      </c>
      <c r="AA5145" s="0" t="n">
        <f aca="false">X5145-Z5145</f>
        <v>40.09644288337</v>
      </c>
      <c r="AB5145" s="0" t="n">
        <f aca="false">X5145+Z5145</f>
        <v>43.2831441049341</v>
      </c>
      <c r="AC5145" s="54" t="b">
        <f aca="false">AND(E5145&gt;=01_因子設定!$L$5-0.000000001,E5145&lt;=01_因子設定!$M$5+0.000000001,F5145&gt;=01_因子設定!$L$6-0.000000001,F5145&lt;=01_因子設定!$M$6+0.000000001,G5145&gt;=01_因子設定!$L$7-0.000000001,G5145&lt;=01_因子設定!$M$7+0.000000001,H5145&gt;=01_因子設定!$L$8-0.000000001,H5145&lt;=01_因子設定!$M$8+0.000000001,IF(01_因子設定!$B$20="Box-Behnken",E5145^2+F5145^2+G5145^2+H5145^2&lt;=2+0.000000001,TRUE()))</f>
        <v>1</v>
      </c>
      <c r="AD5145" s="55" t="n">
        <f aca="false">IF(AC5145,IF(01_因子設定!$B$13="最大化",AA5145-01_因子設定!$B$14,IF(01_因子設定!$B$13="最小化",01_因子設定!$B$15-AB5145,MIN(AA5145-01_因子設定!$B$14,01_因子設定!$B$15-AB5145))),-1E+030)</f>
        <v>-6.40355711662998</v>
      </c>
      <c r="AE5145" s="55" t="n">
        <f aca="false">IF(AC5145,IF(01_因子設定!$B$13="最大化",X5145,IF(01_因子設定!$B$13="最小化",-X5145,-ABS(X5145-01_因子設定!$B$16))),-1E+030)</f>
        <v>41.6897934941521</v>
      </c>
      <c r="AF5145" s="55" t="n">
        <f aca="false">AD5145+ROW()*0.000000001</f>
        <v>-6.40355197162998</v>
      </c>
      <c r="AG5145" s="55" t="n">
        <f aca="false">AE5145+ROW()*0.000000001</f>
        <v>41.6897986391521</v>
      </c>
    </row>
    <row r="5146" customFormat="false" ht="15" hidden="false" customHeight="false" outlineLevel="0" collapsed="false">
      <c r="A5146" s="0" t="n">
        <v>7</v>
      </c>
      <c r="B5146" s="0" t="n">
        <v>0</v>
      </c>
      <c r="C5146" s="0" t="n">
        <v>4</v>
      </c>
      <c r="D5146" s="0" t="n">
        <v>2</v>
      </c>
      <c r="E5146" s="0" t="n">
        <f aca="false">-1+A5146*0.25</f>
        <v>0.75</v>
      </c>
      <c r="F5146" s="0" t="n">
        <f aca="false">-1+B5146*0.25</f>
        <v>-1</v>
      </c>
      <c r="G5146" s="0" t="n">
        <f aca="false">-1+C5146*0.25</f>
        <v>0</v>
      </c>
      <c r="H5146" s="0" t="n">
        <f aca="false">-1+D5146*0.25</f>
        <v>-0.5</v>
      </c>
      <c r="I5146" s="0" t="n">
        <f aca="false">1</f>
        <v>1</v>
      </c>
      <c r="J5146" s="0" t="n">
        <f aca="false">E5146</f>
        <v>0.75</v>
      </c>
      <c r="K5146" s="0" t="n">
        <f aca="false">F5146</f>
        <v>-1</v>
      </c>
      <c r="L5146" s="0" t="n">
        <f aca="false">G5146</f>
        <v>0</v>
      </c>
      <c r="M5146" s="0" t="n">
        <f aca="false">H5146</f>
        <v>-0.5</v>
      </c>
      <c r="N5146" s="0" t="n">
        <f aca="false">E5146*F5146</f>
        <v>-0.75</v>
      </c>
      <c r="O5146" s="0" t="n">
        <f aca="false">E5146*G5146</f>
        <v>0</v>
      </c>
      <c r="P5146" s="0" t="n">
        <f aca="false">E5146*H5146</f>
        <v>-0.375</v>
      </c>
      <c r="Q5146" s="0" t="n">
        <f aca="false">F5146*G5146</f>
        <v>-0</v>
      </c>
      <c r="R5146" s="0" t="n">
        <f aca="false">F5146*H5146</f>
        <v>0.5</v>
      </c>
      <c r="S5146" s="0" t="n">
        <f aca="false">G5146*H5146</f>
        <v>-0</v>
      </c>
      <c r="T5146" s="0" t="n">
        <f aca="false">E5146*E5146</f>
        <v>0.5625</v>
      </c>
      <c r="U5146" s="0" t="n">
        <f aca="false">F5146*F5146</f>
        <v>1</v>
      </c>
      <c r="V5146" s="0" t="n">
        <f aca="false">G5146*G5146</f>
        <v>0</v>
      </c>
      <c r="W5146" s="0" t="n">
        <f aca="false">H5146*H5146</f>
        <v>0.25</v>
      </c>
      <c r="X5146" s="0" t="n">
        <f aca="false">SUMPRODUCT(I5146:W5146,_XtX!$B$96:$P$96)</f>
        <v>41.9872624269006</v>
      </c>
      <c r="Y5146" s="0" t="n">
        <f aca="false">SUMPRODUCT(MMULT(I5146:W5146,_XtX!$B$78:$P$92),I5146:W5146)</f>
        <v>0.476191292032164</v>
      </c>
      <c r="Z5146" s="0" t="n">
        <f aca="false">04_回帰ANOVA!$K$19*04_回帰ANOVA!$K$14*SQRT(1+Y5146)</f>
        <v>1.58368831471718</v>
      </c>
      <c r="AA5146" s="0" t="n">
        <f aca="false">X5146-Z5146</f>
        <v>40.4035741121834</v>
      </c>
      <c r="AB5146" s="0" t="n">
        <f aca="false">X5146+Z5146</f>
        <v>43.5709507416178</v>
      </c>
      <c r="AC5146" s="54" t="b">
        <f aca="false">AND(E5146&gt;=01_因子設定!$L$5-0.000000001,E5146&lt;=01_因子設定!$M$5+0.000000001,F5146&gt;=01_因子設定!$L$6-0.000000001,F5146&lt;=01_因子設定!$M$6+0.000000001,G5146&gt;=01_因子設定!$L$7-0.000000001,G5146&lt;=01_因子設定!$M$7+0.000000001,H5146&gt;=01_因子設定!$L$8-0.000000001,H5146&lt;=01_因子設定!$M$8+0.000000001,IF(01_因子設定!$B$20="Box-Behnken",E5146^2+F5146^2+G5146^2+H5146^2&lt;=2+0.000000001,TRUE()))</f>
        <v>1</v>
      </c>
      <c r="AD5146" s="55" t="n">
        <f aca="false">IF(AC5146,IF(01_因子設定!$B$13="最大化",AA5146-01_因子設定!$B$14,IF(01_因子設定!$B$13="最小化",01_因子設定!$B$15-AB5146,MIN(AA5146-01_因子設定!$B$14,01_因子設定!$B$15-AB5146))),-1E+030)</f>
        <v>-6.0964258878166</v>
      </c>
      <c r="AE5146" s="55" t="n">
        <f aca="false">IF(AC5146,IF(01_因子設定!$B$13="最大化",X5146,IF(01_因子設定!$B$13="最小化",-X5146,-ABS(X5146-01_因子設定!$B$16))),-1E+030)</f>
        <v>41.9872624269006</v>
      </c>
      <c r="AF5146" s="55" t="n">
        <f aca="false">AD5146+ROW()*0.000000001</f>
        <v>-6.0964207418166</v>
      </c>
      <c r="AG5146" s="55" t="n">
        <f aca="false">AE5146+ROW()*0.000000001</f>
        <v>41.9872675729006</v>
      </c>
    </row>
    <row r="5147" customFormat="false" ht="15" hidden="false" customHeight="false" outlineLevel="0" collapsed="false">
      <c r="A5147" s="0" t="n">
        <v>7</v>
      </c>
      <c r="B5147" s="0" t="n">
        <v>0</v>
      </c>
      <c r="C5147" s="0" t="n">
        <v>4</v>
      </c>
      <c r="D5147" s="0" t="n">
        <v>3</v>
      </c>
      <c r="E5147" s="0" t="n">
        <f aca="false">-1+A5147*0.25</f>
        <v>0.75</v>
      </c>
      <c r="F5147" s="0" t="n">
        <f aca="false">-1+B5147*0.25</f>
        <v>-1</v>
      </c>
      <c r="G5147" s="0" t="n">
        <f aca="false">-1+C5147*0.25</f>
        <v>0</v>
      </c>
      <c r="H5147" s="0" t="n">
        <f aca="false">-1+D5147*0.25</f>
        <v>-0.25</v>
      </c>
      <c r="I5147" s="0" t="n">
        <f aca="false">1</f>
        <v>1</v>
      </c>
      <c r="J5147" s="0" t="n">
        <f aca="false">E5147</f>
        <v>0.75</v>
      </c>
      <c r="K5147" s="0" t="n">
        <f aca="false">F5147</f>
        <v>-1</v>
      </c>
      <c r="L5147" s="0" t="n">
        <f aca="false">G5147</f>
        <v>0</v>
      </c>
      <c r="M5147" s="0" t="n">
        <f aca="false">H5147</f>
        <v>-0.25</v>
      </c>
      <c r="N5147" s="0" t="n">
        <f aca="false">E5147*F5147</f>
        <v>-0.75</v>
      </c>
      <c r="O5147" s="0" t="n">
        <f aca="false">E5147*G5147</f>
        <v>0</v>
      </c>
      <c r="P5147" s="0" t="n">
        <f aca="false">E5147*H5147</f>
        <v>-0.1875</v>
      </c>
      <c r="Q5147" s="0" t="n">
        <f aca="false">F5147*G5147</f>
        <v>-0</v>
      </c>
      <c r="R5147" s="0" t="n">
        <f aca="false">F5147*H5147</f>
        <v>0.25</v>
      </c>
      <c r="S5147" s="0" t="n">
        <f aca="false">G5147*H5147</f>
        <v>-0</v>
      </c>
      <c r="T5147" s="0" t="n">
        <f aca="false">E5147*E5147</f>
        <v>0.5625</v>
      </c>
      <c r="U5147" s="0" t="n">
        <f aca="false">F5147*F5147</f>
        <v>1</v>
      </c>
      <c r="V5147" s="0" t="n">
        <f aca="false">G5147*G5147</f>
        <v>0</v>
      </c>
      <c r="W5147" s="0" t="n">
        <f aca="false">H5147*H5147</f>
        <v>0.0625</v>
      </c>
      <c r="X5147" s="0" t="n">
        <f aca="false">SUMPRODUCT(I5147:W5147,_XtX!$B$96:$P$96)</f>
        <v>42.2369243421053</v>
      </c>
      <c r="Y5147" s="0" t="n">
        <f aca="false">SUMPRODUCT(MMULT(I5147:W5147,_XtX!$B$78:$P$92),I5147:W5147)</f>
        <v>0.501534802174708</v>
      </c>
      <c r="Z5147" s="0" t="n">
        <f aca="false">04_回帰ANOVA!$K$19*04_回帰ANOVA!$K$14*SQRT(1+Y5147)</f>
        <v>1.59722498091333</v>
      </c>
      <c r="AA5147" s="0" t="n">
        <f aca="false">X5147-Z5147</f>
        <v>40.6396993611919</v>
      </c>
      <c r="AB5147" s="0" t="n">
        <f aca="false">X5147+Z5147</f>
        <v>43.8341493230186</v>
      </c>
      <c r="AC5147" s="54" t="b">
        <f aca="false">AND(E5147&gt;=01_因子設定!$L$5-0.000000001,E5147&lt;=01_因子設定!$M$5+0.000000001,F5147&gt;=01_因子設定!$L$6-0.000000001,F5147&lt;=01_因子設定!$M$6+0.000000001,G5147&gt;=01_因子設定!$L$7-0.000000001,G5147&lt;=01_因子設定!$M$7+0.000000001,H5147&gt;=01_因子設定!$L$8-0.000000001,H5147&lt;=01_因子設定!$M$8+0.000000001,IF(01_因子設定!$B$20="Box-Behnken",E5147^2+F5147^2+G5147^2+H5147^2&lt;=2+0.000000001,TRUE()))</f>
        <v>1</v>
      </c>
      <c r="AD5147" s="55" t="n">
        <f aca="false">IF(AC5147,IF(01_因子設定!$B$13="最大化",AA5147-01_因子設定!$B$14,IF(01_因子設定!$B$13="最小化",01_因子設定!$B$15-AB5147,MIN(AA5147-01_因子設定!$B$14,01_因子設定!$B$15-AB5147))),-1E+030)</f>
        <v>-5.86030063880808</v>
      </c>
      <c r="AE5147" s="55" t="n">
        <f aca="false">IF(AC5147,IF(01_因子設定!$B$13="最大化",X5147,IF(01_因子設定!$B$13="最小化",-X5147,-ABS(X5147-01_因子設定!$B$16))),-1E+030)</f>
        <v>42.2369243421053</v>
      </c>
      <c r="AF5147" s="55" t="n">
        <f aca="false">AD5147+ROW()*0.000000001</f>
        <v>-5.86029549180808</v>
      </c>
      <c r="AG5147" s="55" t="n">
        <f aca="false">AE5147+ROW()*0.000000001</f>
        <v>42.2369294891053</v>
      </c>
    </row>
    <row r="5148" customFormat="false" ht="15" hidden="false" customHeight="false" outlineLevel="0" collapsed="false">
      <c r="A5148" s="0" t="n">
        <v>7</v>
      </c>
      <c r="B5148" s="0" t="n">
        <v>0</v>
      </c>
      <c r="C5148" s="0" t="n">
        <v>4</v>
      </c>
      <c r="D5148" s="0" t="n">
        <v>4</v>
      </c>
      <c r="E5148" s="0" t="n">
        <f aca="false">-1+A5148*0.25</f>
        <v>0.75</v>
      </c>
      <c r="F5148" s="0" t="n">
        <f aca="false">-1+B5148*0.25</f>
        <v>-1</v>
      </c>
      <c r="G5148" s="0" t="n">
        <f aca="false">-1+C5148*0.25</f>
        <v>0</v>
      </c>
      <c r="H5148" s="0" t="n">
        <f aca="false">-1+D5148*0.25</f>
        <v>0</v>
      </c>
      <c r="I5148" s="0" t="n">
        <f aca="false">1</f>
        <v>1</v>
      </c>
      <c r="J5148" s="0" t="n">
        <f aca="false">E5148</f>
        <v>0.75</v>
      </c>
      <c r="K5148" s="0" t="n">
        <f aca="false">F5148</f>
        <v>-1</v>
      </c>
      <c r="L5148" s="0" t="n">
        <f aca="false">G5148</f>
        <v>0</v>
      </c>
      <c r="M5148" s="0" t="n">
        <f aca="false">H5148</f>
        <v>0</v>
      </c>
      <c r="N5148" s="0" t="n">
        <f aca="false">E5148*F5148</f>
        <v>-0.75</v>
      </c>
      <c r="O5148" s="0" t="n">
        <f aca="false">E5148*G5148</f>
        <v>0</v>
      </c>
      <c r="P5148" s="0" t="n">
        <f aca="false">E5148*H5148</f>
        <v>0</v>
      </c>
      <c r="Q5148" s="0" t="n">
        <f aca="false">F5148*G5148</f>
        <v>-0</v>
      </c>
      <c r="R5148" s="0" t="n">
        <f aca="false">F5148*H5148</f>
        <v>-0</v>
      </c>
      <c r="S5148" s="0" t="n">
        <f aca="false">G5148*H5148</f>
        <v>0</v>
      </c>
      <c r="T5148" s="0" t="n">
        <f aca="false">E5148*E5148</f>
        <v>0.5625</v>
      </c>
      <c r="U5148" s="0" t="n">
        <f aca="false">F5148*F5148</f>
        <v>1</v>
      </c>
      <c r="V5148" s="0" t="n">
        <f aca="false">G5148*G5148</f>
        <v>0</v>
      </c>
      <c r="W5148" s="0" t="n">
        <f aca="false">H5148*H5148</f>
        <v>0</v>
      </c>
      <c r="X5148" s="0" t="n">
        <f aca="false">SUMPRODUCT(I5148:W5148,_XtX!$B$96:$P$96)</f>
        <v>42.4387792397661</v>
      </c>
      <c r="Y5148" s="0" t="n">
        <f aca="false">SUMPRODUCT(MMULT(I5148:W5148,_XtX!$B$78:$P$92),I5148:W5148)</f>
        <v>0.516013340643275</v>
      </c>
      <c r="Z5148" s="0" t="n">
        <f aca="false">04_回帰ANOVA!$K$19*04_回帰ANOVA!$K$14*SQRT(1+Y5148)</f>
        <v>1.60490712175667</v>
      </c>
      <c r="AA5148" s="0" t="n">
        <f aca="false">X5148-Z5148</f>
        <v>40.8338721180094</v>
      </c>
      <c r="AB5148" s="0" t="n">
        <f aca="false">X5148+Z5148</f>
        <v>44.0436863615227</v>
      </c>
      <c r="AC5148" s="54" t="b">
        <f aca="false">AND(E5148&gt;=01_因子設定!$L$5-0.000000001,E5148&lt;=01_因子設定!$M$5+0.000000001,F5148&gt;=01_因子設定!$L$6-0.000000001,F5148&lt;=01_因子設定!$M$6+0.000000001,G5148&gt;=01_因子設定!$L$7-0.000000001,G5148&lt;=01_因子設定!$M$7+0.000000001,H5148&gt;=01_因子設定!$L$8-0.000000001,H5148&lt;=01_因子設定!$M$8+0.000000001,IF(01_因子設定!$B$20="Box-Behnken",E5148^2+F5148^2+G5148^2+H5148^2&lt;=2+0.000000001,TRUE()))</f>
        <v>1</v>
      </c>
      <c r="AD5148" s="55" t="n">
        <f aca="false">IF(AC5148,IF(01_因子設定!$B$13="最大化",AA5148-01_因子設定!$B$14,IF(01_因子設定!$B$13="最小化",01_因子設定!$B$15-AB5148,MIN(AA5148-01_因子設定!$B$14,01_因子設定!$B$15-AB5148))),-1E+030)</f>
        <v>-5.6661278819906</v>
      </c>
      <c r="AE5148" s="55" t="n">
        <f aca="false">IF(AC5148,IF(01_因子設定!$B$13="最大化",X5148,IF(01_因子設定!$B$13="最小化",-X5148,-ABS(X5148-01_因子設定!$B$16))),-1E+030)</f>
        <v>42.4387792397661</v>
      </c>
      <c r="AF5148" s="55" t="n">
        <f aca="false">AD5148+ROW()*0.000000001</f>
        <v>-5.66612273399061</v>
      </c>
      <c r="AG5148" s="55" t="n">
        <f aca="false">AE5148+ROW()*0.000000001</f>
        <v>42.4387843877661</v>
      </c>
    </row>
    <row r="5149" customFormat="false" ht="15" hidden="false" customHeight="false" outlineLevel="0" collapsed="false">
      <c r="A5149" s="0" t="n">
        <v>7</v>
      </c>
      <c r="B5149" s="0" t="n">
        <v>0</v>
      </c>
      <c r="C5149" s="0" t="n">
        <v>4</v>
      </c>
      <c r="D5149" s="0" t="n">
        <v>5</v>
      </c>
      <c r="E5149" s="0" t="n">
        <f aca="false">-1+A5149*0.25</f>
        <v>0.75</v>
      </c>
      <c r="F5149" s="0" t="n">
        <f aca="false">-1+B5149*0.25</f>
        <v>-1</v>
      </c>
      <c r="G5149" s="0" t="n">
        <f aca="false">-1+C5149*0.25</f>
        <v>0</v>
      </c>
      <c r="H5149" s="0" t="n">
        <f aca="false">-1+D5149*0.25</f>
        <v>0.25</v>
      </c>
      <c r="I5149" s="0" t="n">
        <f aca="false">1</f>
        <v>1</v>
      </c>
      <c r="J5149" s="0" t="n">
        <f aca="false">E5149</f>
        <v>0.75</v>
      </c>
      <c r="K5149" s="0" t="n">
        <f aca="false">F5149</f>
        <v>-1</v>
      </c>
      <c r="L5149" s="0" t="n">
        <f aca="false">G5149</f>
        <v>0</v>
      </c>
      <c r="M5149" s="0" t="n">
        <f aca="false">H5149</f>
        <v>0.25</v>
      </c>
      <c r="N5149" s="0" t="n">
        <f aca="false">E5149*F5149</f>
        <v>-0.75</v>
      </c>
      <c r="O5149" s="0" t="n">
        <f aca="false">E5149*G5149</f>
        <v>0</v>
      </c>
      <c r="P5149" s="0" t="n">
        <f aca="false">E5149*H5149</f>
        <v>0.1875</v>
      </c>
      <c r="Q5149" s="0" t="n">
        <f aca="false">F5149*G5149</f>
        <v>-0</v>
      </c>
      <c r="R5149" s="0" t="n">
        <f aca="false">F5149*H5149</f>
        <v>-0.25</v>
      </c>
      <c r="S5149" s="0" t="n">
        <f aca="false">G5149*H5149</f>
        <v>0</v>
      </c>
      <c r="T5149" s="0" t="n">
        <f aca="false">E5149*E5149</f>
        <v>0.5625</v>
      </c>
      <c r="U5149" s="0" t="n">
        <f aca="false">F5149*F5149</f>
        <v>1</v>
      </c>
      <c r="V5149" s="0" t="n">
        <f aca="false">G5149*G5149</f>
        <v>0</v>
      </c>
      <c r="W5149" s="0" t="n">
        <f aca="false">H5149*H5149</f>
        <v>0.0625</v>
      </c>
      <c r="X5149" s="0" t="n">
        <f aca="false">SUMPRODUCT(I5149:W5149,_XtX!$B$96:$P$96)</f>
        <v>42.592827119883</v>
      </c>
      <c r="Y5149" s="0" t="n">
        <f aca="false">SUMPRODUCT(MMULT(I5149:W5149,_XtX!$B$78:$P$92),I5149:W5149)</f>
        <v>0.501534802174708</v>
      </c>
      <c r="Z5149" s="0" t="n">
        <f aca="false">04_回帰ANOVA!$K$19*04_回帰ANOVA!$K$14*SQRT(1+Y5149)</f>
        <v>1.59722498091333</v>
      </c>
      <c r="AA5149" s="0" t="n">
        <f aca="false">X5149-Z5149</f>
        <v>40.9956021389697</v>
      </c>
      <c r="AB5149" s="0" t="n">
        <f aca="false">X5149+Z5149</f>
        <v>44.1900521007964</v>
      </c>
      <c r="AC5149" s="54" t="b">
        <f aca="false">AND(E5149&gt;=01_因子設定!$L$5-0.000000001,E5149&lt;=01_因子設定!$M$5+0.000000001,F5149&gt;=01_因子設定!$L$6-0.000000001,F5149&lt;=01_因子設定!$M$6+0.000000001,G5149&gt;=01_因子設定!$L$7-0.000000001,G5149&lt;=01_因子設定!$M$7+0.000000001,H5149&gt;=01_因子設定!$L$8-0.000000001,H5149&lt;=01_因子設定!$M$8+0.000000001,IF(01_因子設定!$B$20="Box-Behnken",E5149^2+F5149^2+G5149^2+H5149^2&lt;=2+0.000000001,TRUE()))</f>
        <v>1</v>
      </c>
      <c r="AD5149" s="55" t="n">
        <f aca="false">IF(AC5149,IF(01_因子設定!$B$13="最大化",AA5149-01_因子設定!$B$14,IF(01_因子設定!$B$13="最小化",01_因子設定!$B$15-AB5149,MIN(AA5149-01_因子設定!$B$14,01_因子設定!$B$15-AB5149))),-1E+030)</f>
        <v>-5.50439786103031</v>
      </c>
      <c r="AE5149" s="55" t="n">
        <f aca="false">IF(AC5149,IF(01_因子設定!$B$13="最大化",X5149,IF(01_因子設定!$B$13="最小化",-X5149,-ABS(X5149-01_因子設定!$B$16))),-1E+030)</f>
        <v>42.592827119883</v>
      </c>
      <c r="AF5149" s="55" t="n">
        <f aca="false">AD5149+ROW()*0.000000001</f>
        <v>-5.50439271203031</v>
      </c>
      <c r="AG5149" s="55" t="n">
        <f aca="false">AE5149+ROW()*0.000000001</f>
        <v>42.592832268883</v>
      </c>
    </row>
    <row r="5150" customFormat="false" ht="15" hidden="false" customHeight="false" outlineLevel="0" collapsed="false">
      <c r="A5150" s="0" t="n">
        <v>7</v>
      </c>
      <c r="B5150" s="0" t="n">
        <v>0</v>
      </c>
      <c r="C5150" s="0" t="n">
        <v>4</v>
      </c>
      <c r="D5150" s="0" t="n">
        <v>6</v>
      </c>
      <c r="E5150" s="0" t="n">
        <f aca="false">-1+A5150*0.25</f>
        <v>0.75</v>
      </c>
      <c r="F5150" s="0" t="n">
        <f aca="false">-1+B5150*0.25</f>
        <v>-1</v>
      </c>
      <c r="G5150" s="0" t="n">
        <f aca="false">-1+C5150*0.25</f>
        <v>0</v>
      </c>
      <c r="H5150" s="0" t="n">
        <f aca="false">-1+D5150*0.25</f>
        <v>0.5</v>
      </c>
      <c r="I5150" s="0" t="n">
        <f aca="false">1</f>
        <v>1</v>
      </c>
      <c r="J5150" s="0" t="n">
        <f aca="false">E5150</f>
        <v>0.75</v>
      </c>
      <c r="K5150" s="0" t="n">
        <f aca="false">F5150</f>
        <v>-1</v>
      </c>
      <c r="L5150" s="0" t="n">
        <f aca="false">G5150</f>
        <v>0</v>
      </c>
      <c r="M5150" s="0" t="n">
        <f aca="false">H5150</f>
        <v>0.5</v>
      </c>
      <c r="N5150" s="0" t="n">
        <f aca="false">E5150*F5150</f>
        <v>-0.75</v>
      </c>
      <c r="O5150" s="0" t="n">
        <f aca="false">E5150*G5150</f>
        <v>0</v>
      </c>
      <c r="P5150" s="0" t="n">
        <f aca="false">E5150*H5150</f>
        <v>0.375</v>
      </c>
      <c r="Q5150" s="0" t="n">
        <f aca="false">F5150*G5150</f>
        <v>-0</v>
      </c>
      <c r="R5150" s="0" t="n">
        <f aca="false">F5150*H5150</f>
        <v>-0.5</v>
      </c>
      <c r="S5150" s="0" t="n">
        <f aca="false">G5150*H5150</f>
        <v>0</v>
      </c>
      <c r="T5150" s="0" t="n">
        <f aca="false">E5150*E5150</f>
        <v>0.5625</v>
      </c>
      <c r="U5150" s="0" t="n">
        <f aca="false">F5150*F5150</f>
        <v>1</v>
      </c>
      <c r="V5150" s="0" t="n">
        <f aca="false">G5150*G5150</f>
        <v>0</v>
      </c>
      <c r="W5150" s="0" t="n">
        <f aca="false">H5150*H5150</f>
        <v>0.25</v>
      </c>
      <c r="X5150" s="0" t="n">
        <f aca="false">SUMPRODUCT(I5150:W5150,_XtX!$B$96:$P$96)</f>
        <v>42.6990679824561</v>
      </c>
      <c r="Y5150" s="0" t="n">
        <f aca="false">SUMPRODUCT(MMULT(I5150:W5150,_XtX!$B$78:$P$92),I5150:W5150)</f>
        <v>0.476191292032164</v>
      </c>
      <c r="Z5150" s="0" t="n">
        <f aca="false">04_回帰ANOVA!$K$19*04_回帰ANOVA!$K$14*SQRT(1+Y5150)</f>
        <v>1.58368831471718</v>
      </c>
      <c r="AA5150" s="0" t="n">
        <f aca="false">X5150-Z5150</f>
        <v>41.115379667739</v>
      </c>
      <c r="AB5150" s="0" t="n">
        <f aca="false">X5150+Z5150</f>
        <v>44.2827562971733</v>
      </c>
      <c r="AC5150" s="54" t="b">
        <f aca="false">AND(E5150&gt;=01_因子設定!$L$5-0.000000001,E5150&lt;=01_因子設定!$M$5+0.000000001,F5150&gt;=01_因子設定!$L$6-0.000000001,F5150&lt;=01_因子設定!$M$6+0.000000001,G5150&gt;=01_因子設定!$L$7-0.000000001,G5150&lt;=01_因子設定!$M$7+0.000000001,H5150&gt;=01_因子設定!$L$8-0.000000001,H5150&lt;=01_因子設定!$M$8+0.000000001,IF(01_因子設定!$B$20="Box-Behnken",E5150^2+F5150^2+G5150^2+H5150^2&lt;=2+0.000000001,TRUE()))</f>
        <v>1</v>
      </c>
      <c r="AD5150" s="55" t="n">
        <f aca="false">IF(AC5150,IF(01_因子設定!$B$13="最大化",AA5150-01_因子設定!$B$14,IF(01_因子設定!$B$13="最小化",01_因子設定!$B$15-AB5150,MIN(AA5150-01_因子設定!$B$14,01_因子設定!$B$15-AB5150))),-1E+030)</f>
        <v>-5.38462033226104</v>
      </c>
      <c r="AE5150" s="55" t="n">
        <f aca="false">IF(AC5150,IF(01_因子設定!$B$13="最大化",X5150,IF(01_因子設定!$B$13="最小化",-X5150,-ABS(X5150-01_因子設定!$B$16))),-1E+030)</f>
        <v>42.6990679824561</v>
      </c>
      <c r="AF5150" s="55" t="n">
        <f aca="false">AD5150+ROW()*0.000000001</f>
        <v>-5.38461518226104</v>
      </c>
      <c r="AG5150" s="55" t="n">
        <f aca="false">AE5150+ROW()*0.000000001</f>
        <v>42.6990731324561</v>
      </c>
    </row>
    <row r="5151" customFormat="false" ht="15" hidden="false" customHeight="false" outlineLevel="0" collapsed="false">
      <c r="A5151" s="0" t="n">
        <v>7</v>
      </c>
      <c r="B5151" s="0" t="n">
        <v>0</v>
      </c>
      <c r="C5151" s="0" t="n">
        <v>4</v>
      </c>
      <c r="D5151" s="0" t="n">
        <v>7</v>
      </c>
      <c r="E5151" s="0" t="n">
        <f aca="false">-1+A5151*0.25</f>
        <v>0.75</v>
      </c>
      <c r="F5151" s="0" t="n">
        <f aca="false">-1+B5151*0.25</f>
        <v>-1</v>
      </c>
      <c r="G5151" s="0" t="n">
        <f aca="false">-1+C5151*0.25</f>
        <v>0</v>
      </c>
      <c r="H5151" s="0" t="n">
        <f aca="false">-1+D5151*0.25</f>
        <v>0.75</v>
      </c>
      <c r="I5151" s="0" t="n">
        <f aca="false">1</f>
        <v>1</v>
      </c>
      <c r="J5151" s="0" t="n">
        <f aca="false">E5151</f>
        <v>0.75</v>
      </c>
      <c r="K5151" s="0" t="n">
        <f aca="false">F5151</f>
        <v>-1</v>
      </c>
      <c r="L5151" s="0" t="n">
        <f aca="false">G5151</f>
        <v>0</v>
      </c>
      <c r="M5151" s="0" t="n">
        <f aca="false">H5151</f>
        <v>0.75</v>
      </c>
      <c r="N5151" s="0" t="n">
        <f aca="false">E5151*F5151</f>
        <v>-0.75</v>
      </c>
      <c r="O5151" s="0" t="n">
        <f aca="false">E5151*G5151</f>
        <v>0</v>
      </c>
      <c r="P5151" s="0" t="n">
        <f aca="false">E5151*H5151</f>
        <v>0.5625</v>
      </c>
      <c r="Q5151" s="0" t="n">
        <f aca="false">F5151*G5151</f>
        <v>-0</v>
      </c>
      <c r="R5151" s="0" t="n">
        <f aca="false">F5151*H5151</f>
        <v>-0.75</v>
      </c>
      <c r="S5151" s="0" t="n">
        <f aca="false">G5151*H5151</f>
        <v>0</v>
      </c>
      <c r="T5151" s="0" t="n">
        <f aca="false">E5151*E5151</f>
        <v>0.5625</v>
      </c>
      <c r="U5151" s="0" t="n">
        <f aca="false">F5151*F5151</f>
        <v>1</v>
      </c>
      <c r="V5151" s="0" t="n">
        <f aca="false">G5151*G5151</f>
        <v>0</v>
      </c>
      <c r="W5151" s="0" t="n">
        <f aca="false">H5151*H5151</f>
        <v>0.5625</v>
      </c>
      <c r="X5151" s="0" t="n">
        <f aca="false">SUMPRODUCT(I5151:W5151,_XtX!$B$96:$P$96)</f>
        <v>42.7575018274854</v>
      </c>
      <c r="Y5151" s="0" t="n">
        <f aca="false">SUMPRODUCT(MMULT(I5151:W5151,_XtX!$B$78:$P$92),I5151:W5151)</f>
        <v>0.494259126005117</v>
      </c>
      <c r="Z5151" s="0" t="n">
        <f aca="false">04_回帰ANOVA!$K$19*04_回帰ANOVA!$K$14*SQRT(1+Y5151)</f>
        <v>1.59335061078203</v>
      </c>
      <c r="AA5151" s="0" t="n">
        <f aca="false">X5151-Z5151</f>
        <v>41.1641512167034</v>
      </c>
      <c r="AB5151" s="0" t="n">
        <f aca="false">X5151+Z5151</f>
        <v>44.3508524382674</v>
      </c>
      <c r="AC5151" s="54" t="b">
        <f aca="false">AND(E5151&gt;=01_因子設定!$L$5-0.000000001,E5151&lt;=01_因子設定!$M$5+0.000000001,F5151&gt;=01_因子設定!$L$6-0.000000001,F5151&lt;=01_因子設定!$M$6+0.000000001,G5151&gt;=01_因子設定!$L$7-0.000000001,G5151&lt;=01_因子設定!$M$7+0.000000001,H5151&gt;=01_因子設定!$L$8-0.000000001,H5151&lt;=01_因子設定!$M$8+0.000000001,IF(01_因子設定!$B$20="Box-Behnken",E5151^2+F5151^2+G5151^2+H5151^2&lt;=2+0.000000001,TRUE()))</f>
        <v>1</v>
      </c>
      <c r="AD5151" s="55" t="n">
        <f aca="false">IF(AC5151,IF(01_因子設定!$B$13="最大化",AA5151-01_因子設定!$B$14,IF(01_因子設定!$B$13="最小化",01_因子設定!$B$15-AB5151,MIN(AA5151-01_因子設定!$B$14,01_因子設定!$B$15-AB5151))),-1E+030)</f>
        <v>-5.33584878329664</v>
      </c>
      <c r="AE5151" s="55" t="n">
        <f aca="false">IF(AC5151,IF(01_因子設定!$B$13="最大化",X5151,IF(01_因子設定!$B$13="最小化",-X5151,-ABS(X5151-01_因子設定!$B$16))),-1E+030)</f>
        <v>42.7575018274854</v>
      </c>
      <c r="AF5151" s="55" t="n">
        <f aca="false">AD5151+ROW()*0.000000001</f>
        <v>-5.33584363229664</v>
      </c>
      <c r="AG5151" s="55" t="n">
        <f aca="false">AE5151+ROW()*0.000000001</f>
        <v>42.7575069784854</v>
      </c>
    </row>
    <row r="5152" customFormat="false" ht="15" hidden="false" customHeight="false" outlineLevel="0" collapsed="false">
      <c r="A5152" s="0" t="n">
        <v>7</v>
      </c>
      <c r="B5152" s="0" t="n">
        <v>0</v>
      </c>
      <c r="C5152" s="0" t="n">
        <v>4</v>
      </c>
      <c r="D5152" s="0" t="n">
        <v>8</v>
      </c>
      <c r="E5152" s="0" t="n">
        <f aca="false">-1+A5152*0.25</f>
        <v>0.75</v>
      </c>
      <c r="F5152" s="0" t="n">
        <f aca="false">-1+B5152*0.25</f>
        <v>-1</v>
      </c>
      <c r="G5152" s="0" t="n">
        <f aca="false">-1+C5152*0.25</f>
        <v>0</v>
      </c>
      <c r="H5152" s="0" t="n">
        <f aca="false">-1+D5152*0.25</f>
        <v>1</v>
      </c>
      <c r="I5152" s="0" t="n">
        <f aca="false">1</f>
        <v>1</v>
      </c>
      <c r="J5152" s="0" t="n">
        <f aca="false">E5152</f>
        <v>0.75</v>
      </c>
      <c r="K5152" s="0" t="n">
        <f aca="false">F5152</f>
        <v>-1</v>
      </c>
      <c r="L5152" s="0" t="n">
        <f aca="false">G5152</f>
        <v>0</v>
      </c>
      <c r="M5152" s="0" t="n">
        <f aca="false">H5152</f>
        <v>1</v>
      </c>
      <c r="N5152" s="0" t="n">
        <f aca="false">E5152*F5152</f>
        <v>-0.75</v>
      </c>
      <c r="O5152" s="0" t="n">
        <f aca="false">E5152*G5152</f>
        <v>0</v>
      </c>
      <c r="P5152" s="0" t="n">
        <f aca="false">E5152*H5152</f>
        <v>0.75</v>
      </c>
      <c r="Q5152" s="0" t="n">
        <f aca="false">F5152*G5152</f>
        <v>-0</v>
      </c>
      <c r="R5152" s="0" t="n">
        <f aca="false">F5152*H5152</f>
        <v>-1</v>
      </c>
      <c r="S5152" s="0" t="n">
        <f aca="false">G5152*H5152</f>
        <v>0</v>
      </c>
      <c r="T5152" s="0" t="n">
        <f aca="false">E5152*E5152</f>
        <v>0.5625</v>
      </c>
      <c r="U5152" s="0" t="n">
        <f aca="false">F5152*F5152</f>
        <v>1</v>
      </c>
      <c r="V5152" s="0" t="n">
        <f aca="false">G5152*G5152</f>
        <v>0</v>
      </c>
      <c r="W5152" s="0" t="n">
        <f aca="false">H5152*H5152</f>
        <v>1</v>
      </c>
      <c r="X5152" s="0" t="n">
        <f aca="false">SUMPRODUCT(I5152:W5152,_XtX!$B$96:$P$96)</f>
        <v>42.7681286549708</v>
      </c>
      <c r="Y5152" s="0" t="n">
        <f aca="false">SUMPRODUCT(MMULT(I5152:W5152,_XtX!$B$78:$P$92),I5152:W5152)</f>
        <v>0.646198830409357</v>
      </c>
      <c r="Z5152" s="0" t="n">
        <f aca="false">04_回帰ANOVA!$K$19*04_回帰ANOVA!$K$14*SQRT(1+Y5152)</f>
        <v>1.67239760569756</v>
      </c>
      <c r="AA5152" s="0" t="n">
        <f aca="false">X5152-Z5152</f>
        <v>41.0957310492732</v>
      </c>
      <c r="AB5152" s="0" t="n">
        <f aca="false">X5152+Z5152</f>
        <v>44.4405262606683</v>
      </c>
      <c r="AC5152" s="54" t="b">
        <f aca="false">AND(E5152&gt;=01_因子設定!$L$5-0.000000001,E5152&lt;=01_因子設定!$M$5+0.000000001,F5152&gt;=01_因子設定!$L$6-0.000000001,F5152&lt;=01_因子設定!$M$6+0.000000001,G5152&gt;=01_因子設定!$L$7-0.000000001,G5152&lt;=01_因子設定!$M$7+0.000000001,H5152&gt;=01_因子設定!$L$8-0.000000001,H5152&lt;=01_因子設定!$M$8+0.000000001,IF(01_因子設定!$B$20="Box-Behnken",E5152^2+F5152^2+G5152^2+H5152^2&lt;=2+0.000000001,TRUE()))</f>
        <v>1</v>
      </c>
      <c r="AD5152" s="55" t="n">
        <f aca="false">IF(AC5152,IF(01_因子設定!$B$13="最大化",AA5152-01_因子設定!$B$14,IF(01_因子設定!$B$13="最小化",01_因子設定!$B$15-AB5152,MIN(AA5152-01_因子設定!$B$14,01_因子設定!$B$15-AB5152))),-1E+030)</f>
        <v>-5.40426895072677</v>
      </c>
      <c r="AE5152" s="55" t="n">
        <f aca="false">IF(AC5152,IF(01_因子設定!$B$13="最大化",X5152,IF(01_因子設定!$B$13="最小化",-X5152,-ABS(X5152-01_因子設定!$B$16))),-1E+030)</f>
        <v>42.7681286549708</v>
      </c>
      <c r="AF5152" s="55" t="n">
        <f aca="false">AD5152+ROW()*0.000000001</f>
        <v>-5.40426379872677</v>
      </c>
      <c r="AG5152" s="55" t="n">
        <f aca="false">AE5152+ROW()*0.000000001</f>
        <v>42.7681338069708</v>
      </c>
    </row>
    <row r="5153" customFormat="false" ht="15" hidden="false" customHeight="false" outlineLevel="0" collapsed="false">
      <c r="A5153" s="0" t="n">
        <v>7</v>
      </c>
      <c r="B5153" s="0" t="n">
        <v>0</v>
      </c>
      <c r="C5153" s="0" t="n">
        <v>5</v>
      </c>
      <c r="D5153" s="0" t="n">
        <v>0</v>
      </c>
      <c r="E5153" s="0" t="n">
        <f aca="false">-1+A5153*0.25</f>
        <v>0.75</v>
      </c>
      <c r="F5153" s="0" t="n">
        <f aca="false">-1+B5153*0.25</f>
        <v>-1</v>
      </c>
      <c r="G5153" s="0" t="n">
        <f aca="false">-1+C5153*0.25</f>
        <v>0.25</v>
      </c>
      <c r="H5153" s="0" t="n">
        <f aca="false">-1+D5153*0.25</f>
        <v>-1</v>
      </c>
      <c r="I5153" s="0" t="n">
        <f aca="false">1</f>
        <v>1</v>
      </c>
      <c r="J5153" s="0" t="n">
        <f aca="false">E5153</f>
        <v>0.75</v>
      </c>
      <c r="K5153" s="0" t="n">
        <f aca="false">F5153</f>
        <v>-1</v>
      </c>
      <c r="L5153" s="0" t="n">
        <f aca="false">G5153</f>
        <v>0.25</v>
      </c>
      <c r="M5153" s="0" t="n">
        <f aca="false">H5153</f>
        <v>-1</v>
      </c>
      <c r="N5153" s="0" t="n">
        <f aca="false">E5153*F5153</f>
        <v>-0.75</v>
      </c>
      <c r="O5153" s="0" t="n">
        <f aca="false">E5153*G5153</f>
        <v>0.1875</v>
      </c>
      <c r="P5153" s="0" t="n">
        <f aca="false">E5153*H5153</f>
        <v>-0.75</v>
      </c>
      <c r="Q5153" s="0" t="n">
        <f aca="false">F5153*G5153</f>
        <v>-0.25</v>
      </c>
      <c r="R5153" s="0" t="n">
        <f aca="false">F5153*H5153</f>
        <v>1</v>
      </c>
      <c r="S5153" s="0" t="n">
        <f aca="false">G5153*H5153</f>
        <v>-0.25</v>
      </c>
      <c r="T5153" s="0" t="n">
        <f aca="false">E5153*E5153</f>
        <v>0.5625</v>
      </c>
      <c r="U5153" s="0" t="n">
        <f aca="false">F5153*F5153</f>
        <v>1</v>
      </c>
      <c r="V5153" s="0" t="n">
        <f aca="false">G5153*G5153</f>
        <v>0.0625</v>
      </c>
      <c r="W5153" s="0" t="n">
        <f aca="false">H5153*H5153</f>
        <v>1</v>
      </c>
      <c r="X5153" s="0" t="n">
        <f aca="false">SUMPRODUCT(I5153:W5153,_XtX!$B$96:$P$96)</f>
        <v>41.2758223684211</v>
      </c>
      <c r="Y5153" s="0" t="n">
        <f aca="false">SUMPRODUCT(MMULT(I5153:W5153,_XtX!$B$78:$P$92),I5153:W5153)</f>
        <v>0.621372155975877</v>
      </c>
      <c r="Z5153" s="0" t="n">
        <f aca="false">04_回帰ANOVA!$K$19*04_回帰ANOVA!$K$14*SQRT(1+Y5153)</f>
        <v>1.65973880499872</v>
      </c>
      <c r="AA5153" s="0" t="n">
        <f aca="false">X5153-Z5153</f>
        <v>39.6160835634224</v>
      </c>
      <c r="AB5153" s="0" t="n">
        <f aca="false">X5153+Z5153</f>
        <v>42.9355611734198</v>
      </c>
      <c r="AC5153" s="54" t="b">
        <f aca="false">AND(E5153&gt;=01_因子設定!$L$5-0.000000001,E5153&lt;=01_因子設定!$M$5+0.000000001,F5153&gt;=01_因子設定!$L$6-0.000000001,F5153&lt;=01_因子設定!$M$6+0.000000001,G5153&gt;=01_因子設定!$L$7-0.000000001,G5153&lt;=01_因子設定!$M$7+0.000000001,H5153&gt;=01_因子設定!$L$8-0.000000001,H5153&lt;=01_因子設定!$M$8+0.000000001,IF(01_因子設定!$B$20="Box-Behnken",E5153^2+F5153^2+G5153^2+H5153^2&lt;=2+0.000000001,TRUE()))</f>
        <v>1</v>
      </c>
      <c r="AD5153" s="55" t="n">
        <f aca="false">IF(AC5153,IF(01_因子設定!$B$13="最大化",AA5153-01_因子設定!$B$14,IF(01_因子設定!$B$13="最小化",01_因子設定!$B$15-AB5153,MIN(AA5153-01_因子設定!$B$14,01_因子設定!$B$15-AB5153))),-1E+030)</f>
        <v>-6.88391643657764</v>
      </c>
      <c r="AE5153" s="55" t="n">
        <f aca="false">IF(AC5153,IF(01_因子設定!$B$13="最大化",X5153,IF(01_因子設定!$B$13="最小化",-X5153,-ABS(X5153-01_因子設定!$B$16))),-1E+030)</f>
        <v>41.2758223684211</v>
      </c>
      <c r="AF5153" s="55" t="n">
        <f aca="false">AD5153+ROW()*0.000000001</f>
        <v>-6.88391128357764</v>
      </c>
      <c r="AG5153" s="55" t="n">
        <f aca="false">AE5153+ROW()*0.000000001</f>
        <v>41.2758275214211</v>
      </c>
    </row>
    <row r="5154" customFormat="false" ht="15" hidden="false" customHeight="false" outlineLevel="0" collapsed="false">
      <c r="A5154" s="0" t="n">
        <v>7</v>
      </c>
      <c r="B5154" s="0" t="n">
        <v>0</v>
      </c>
      <c r="C5154" s="0" t="n">
        <v>5</v>
      </c>
      <c r="D5154" s="0" t="n">
        <v>1</v>
      </c>
      <c r="E5154" s="0" t="n">
        <f aca="false">-1+A5154*0.25</f>
        <v>0.75</v>
      </c>
      <c r="F5154" s="0" t="n">
        <f aca="false">-1+B5154*0.25</f>
        <v>-1</v>
      </c>
      <c r="G5154" s="0" t="n">
        <f aca="false">-1+C5154*0.25</f>
        <v>0.25</v>
      </c>
      <c r="H5154" s="0" t="n">
        <f aca="false">-1+D5154*0.25</f>
        <v>-0.75</v>
      </c>
      <c r="I5154" s="0" t="n">
        <f aca="false">1</f>
        <v>1</v>
      </c>
      <c r="J5154" s="0" t="n">
        <f aca="false">E5154</f>
        <v>0.75</v>
      </c>
      <c r="K5154" s="0" t="n">
        <f aca="false">F5154</f>
        <v>-1</v>
      </c>
      <c r="L5154" s="0" t="n">
        <f aca="false">G5154</f>
        <v>0.25</v>
      </c>
      <c r="M5154" s="0" t="n">
        <f aca="false">H5154</f>
        <v>-0.75</v>
      </c>
      <c r="N5154" s="0" t="n">
        <f aca="false">E5154*F5154</f>
        <v>-0.75</v>
      </c>
      <c r="O5154" s="0" t="n">
        <f aca="false">E5154*G5154</f>
        <v>0.1875</v>
      </c>
      <c r="P5154" s="0" t="n">
        <f aca="false">E5154*H5154</f>
        <v>-0.5625</v>
      </c>
      <c r="Q5154" s="0" t="n">
        <f aca="false">F5154*G5154</f>
        <v>-0.25</v>
      </c>
      <c r="R5154" s="0" t="n">
        <f aca="false">F5154*H5154</f>
        <v>0.75</v>
      </c>
      <c r="S5154" s="0" t="n">
        <f aca="false">G5154*H5154</f>
        <v>-0.1875</v>
      </c>
      <c r="T5154" s="0" t="n">
        <f aca="false">E5154*E5154</f>
        <v>0.5625</v>
      </c>
      <c r="U5154" s="0" t="n">
        <f aca="false">F5154*F5154</f>
        <v>1</v>
      </c>
      <c r="V5154" s="0" t="n">
        <f aca="false">G5154*G5154</f>
        <v>0.0625</v>
      </c>
      <c r="W5154" s="0" t="n">
        <f aca="false">H5154*H5154</f>
        <v>0.5625</v>
      </c>
      <c r="X5154" s="0" t="n">
        <f aca="false">SUMPRODUCT(I5154:W5154,_XtX!$B$96:$P$96)</f>
        <v>41.6390670687135</v>
      </c>
      <c r="Y5154" s="0" t="n">
        <f aca="false">SUMPRODUCT(MMULT(I5154:W5154,_XtX!$B$78:$P$92),I5154:W5154)</f>
        <v>0.473959761056287</v>
      </c>
      <c r="Z5154" s="0" t="n">
        <f aca="false">04_回帰ANOVA!$K$19*04_回帰ANOVA!$K$14*SQRT(1+Y5154)</f>
        <v>1.58249084588329</v>
      </c>
      <c r="AA5154" s="0" t="n">
        <f aca="false">X5154-Z5154</f>
        <v>40.0565762228302</v>
      </c>
      <c r="AB5154" s="0" t="n">
        <f aca="false">X5154+Z5154</f>
        <v>43.2215579145967</v>
      </c>
      <c r="AC5154" s="54" t="b">
        <f aca="false">AND(E5154&gt;=01_因子設定!$L$5-0.000000001,E5154&lt;=01_因子設定!$M$5+0.000000001,F5154&gt;=01_因子設定!$L$6-0.000000001,F5154&lt;=01_因子設定!$M$6+0.000000001,G5154&gt;=01_因子設定!$L$7-0.000000001,G5154&lt;=01_因子設定!$M$7+0.000000001,H5154&gt;=01_因子設定!$L$8-0.000000001,H5154&lt;=01_因子設定!$M$8+0.000000001,IF(01_因子設定!$B$20="Box-Behnken",E5154^2+F5154^2+G5154^2+H5154^2&lt;=2+0.000000001,TRUE()))</f>
        <v>1</v>
      </c>
      <c r="AD5154" s="55" t="n">
        <f aca="false">IF(AC5154,IF(01_因子設定!$B$13="最大化",AA5154-01_因子設定!$B$14,IF(01_因子設定!$B$13="最小化",01_因子設定!$B$15-AB5154,MIN(AA5154-01_因子設定!$B$14,01_因子設定!$B$15-AB5154))),-1E+030)</f>
        <v>-6.44342377716983</v>
      </c>
      <c r="AE5154" s="55" t="n">
        <f aca="false">IF(AC5154,IF(01_因子設定!$B$13="最大化",X5154,IF(01_因子設定!$B$13="最小化",-X5154,-ABS(X5154-01_因子設定!$B$16))),-1E+030)</f>
        <v>41.6390670687135</v>
      </c>
      <c r="AF5154" s="55" t="n">
        <f aca="false">AD5154+ROW()*0.000000001</f>
        <v>-6.44341862316983</v>
      </c>
      <c r="AG5154" s="55" t="n">
        <f aca="false">AE5154+ROW()*0.000000001</f>
        <v>41.6390722227135</v>
      </c>
    </row>
    <row r="5155" customFormat="false" ht="15" hidden="false" customHeight="false" outlineLevel="0" collapsed="false">
      <c r="A5155" s="0" t="n">
        <v>7</v>
      </c>
      <c r="B5155" s="0" t="n">
        <v>0</v>
      </c>
      <c r="C5155" s="0" t="n">
        <v>5</v>
      </c>
      <c r="D5155" s="0" t="n">
        <v>2</v>
      </c>
      <c r="E5155" s="0" t="n">
        <f aca="false">-1+A5155*0.25</f>
        <v>0.75</v>
      </c>
      <c r="F5155" s="0" t="n">
        <f aca="false">-1+B5155*0.25</f>
        <v>-1</v>
      </c>
      <c r="G5155" s="0" t="n">
        <f aca="false">-1+C5155*0.25</f>
        <v>0.25</v>
      </c>
      <c r="H5155" s="0" t="n">
        <f aca="false">-1+D5155*0.25</f>
        <v>-0.5</v>
      </c>
      <c r="I5155" s="0" t="n">
        <f aca="false">1</f>
        <v>1</v>
      </c>
      <c r="J5155" s="0" t="n">
        <f aca="false">E5155</f>
        <v>0.75</v>
      </c>
      <c r="K5155" s="0" t="n">
        <f aca="false">F5155</f>
        <v>-1</v>
      </c>
      <c r="L5155" s="0" t="n">
        <f aca="false">G5155</f>
        <v>0.25</v>
      </c>
      <c r="M5155" s="0" t="n">
        <f aca="false">H5155</f>
        <v>-0.5</v>
      </c>
      <c r="N5155" s="0" t="n">
        <f aca="false">E5155*F5155</f>
        <v>-0.75</v>
      </c>
      <c r="O5155" s="0" t="n">
        <f aca="false">E5155*G5155</f>
        <v>0.1875</v>
      </c>
      <c r="P5155" s="0" t="n">
        <f aca="false">E5155*H5155</f>
        <v>-0.375</v>
      </c>
      <c r="Q5155" s="0" t="n">
        <f aca="false">F5155*G5155</f>
        <v>-0.25</v>
      </c>
      <c r="R5155" s="0" t="n">
        <f aca="false">F5155*H5155</f>
        <v>0.5</v>
      </c>
      <c r="S5155" s="0" t="n">
        <f aca="false">G5155*H5155</f>
        <v>-0.125</v>
      </c>
      <c r="T5155" s="0" t="n">
        <f aca="false">E5155*E5155</f>
        <v>0.5625</v>
      </c>
      <c r="U5155" s="0" t="n">
        <f aca="false">F5155*F5155</f>
        <v>1</v>
      </c>
      <c r="V5155" s="0" t="n">
        <f aca="false">G5155*G5155</f>
        <v>0.0625</v>
      </c>
      <c r="W5155" s="0" t="n">
        <f aca="false">H5155*H5155</f>
        <v>0.25</v>
      </c>
      <c r="X5155" s="0" t="n">
        <f aca="false">SUMPRODUCT(I5155:W5155,_XtX!$B$96:$P$96)</f>
        <v>41.954504751462</v>
      </c>
      <c r="Y5155" s="0" t="n">
        <f aca="false">SUMPRODUCT(MMULT(I5155:W5155,_XtX!$B$78:$P$92),I5155:W5155)</f>
        <v>0.459125719572369</v>
      </c>
      <c r="Z5155" s="0" t="n">
        <f aca="false">04_回帰ANOVA!$K$19*04_回帰ANOVA!$K$14*SQRT(1+Y5155)</f>
        <v>1.57450755575573</v>
      </c>
      <c r="AA5155" s="0" t="n">
        <f aca="false">X5155-Z5155</f>
        <v>40.3799971957063</v>
      </c>
      <c r="AB5155" s="0" t="n">
        <f aca="false">X5155+Z5155</f>
        <v>43.5290123072177</v>
      </c>
      <c r="AC5155" s="54" t="b">
        <f aca="false">AND(E5155&gt;=01_因子設定!$L$5-0.000000001,E5155&lt;=01_因子設定!$M$5+0.000000001,F5155&gt;=01_因子設定!$L$6-0.000000001,F5155&lt;=01_因子設定!$M$6+0.000000001,G5155&gt;=01_因子設定!$L$7-0.000000001,G5155&lt;=01_因子設定!$M$7+0.000000001,H5155&gt;=01_因子設定!$L$8-0.000000001,H5155&lt;=01_因子設定!$M$8+0.000000001,IF(01_因子設定!$B$20="Box-Behnken",E5155^2+F5155^2+G5155^2+H5155^2&lt;=2+0.000000001,TRUE()))</f>
        <v>1</v>
      </c>
      <c r="AD5155" s="55" t="n">
        <f aca="false">IF(AC5155,IF(01_因子設定!$B$13="最大化",AA5155-01_因子設定!$B$14,IF(01_因子設定!$B$13="最小化",01_因子設定!$B$15-AB5155,MIN(AA5155-01_因子設定!$B$14,01_因子設定!$B$15-AB5155))),-1E+030)</f>
        <v>-6.12000280429375</v>
      </c>
      <c r="AE5155" s="55" t="n">
        <f aca="false">IF(AC5155,IF(01_因子設定!$B$13="最大化",X5155,IF(01_因子設定!$B$13="最小化",-X5155,-ABS(X5155-01_因子設定!$B$16))),-1E+030)</f>
        <v>41.954504751462</v>
      </c>
      <c r="AF5155" s="55" t="n">
        <f aca="false">AD5155+ROW()*0.000000001</f>
        <v>-6.11999764929375</v>
      </c>
      <c r="AG5155" s="55" t="n">
        <f aca="false">AE5155+ROW()*0.000000001</f>
        <v>41.954509906462</v>
      </c>
    </row>
    <row r="5156" customFormat="false" ht="15" hidden="false" customHeight="false" outlineLevel="0" collapsed="false">
      <c r="A5156" s="0" t="n">
        <v>7</v>
      </c>
      <c r="B5156" s="0" t="n">
        <v>0</v>
      </c>
      <c r="C5156" s="0" t="n">
        <v>5</v>
      </c>
      <c r="D5156" s="0" t="n">
        <v>3</v>
      </c>
      <c r="E5156" s="0" t="n">
        <f aca="false">-1+A5156*0.25</f>
        <v>0.75</v>
      </c>
      <c r="F5156" s="0" t="n">
        <f aca="false">-1+B5156*0.25</f>
        <v>-1</v>
      </c>
      <c r="G5156" s="0" t="n">
        <f aca="false">-1+C5156*0.25</f>
        <v>0.25</v>
      </c>
      <c r="H5156" s="0" t="n">
        <f aca="false">-1+D5156*0.25</f>
        <v>-0.25</v>
      </c>
      <c r="I5156" s="0" t="n">
        <f aca="false">1</f>
        <v>1</v>
      </c>
      <c r="J5156" s="0" t="n">
        <f aca="false">E5156</f>
        <v>0.75</v>
      </c>
      <c r="K5156" s="0" t="n">
        <f aca="false">F5156</f>
        <v>-1</v>
      </c>
      <c r="L5156" s="0" t="n">
        <f aca="false">G5156</f>
        <v>0.25</v>
      </c>
      <c r="M5156" s="0" t="n">
        <f aca="false">H5156</f>
        <v>-0.25</v>
      </c>
      <c r="N5156" s="0" t="n">
        <f aca="false">E5156*F5156</f>
        <v>-0.75</v>
      </c>
      <c r="O5156" s="0" t="n">
        <f aca="false">E5156*G5156</f>
        <v>0.1875</v>
      </c>
      <c r="P5156" s="0" t="n">
        <f aca="false">E5156*H5156</f>
        <v>-0.1875</v>
      </c>
      <c r="Q5156" s="0" t="n">
        <f aca="false">F5156*G5156</f>
        <v>-0.25</v>
      </c>
      <c r="R5156" s="0" t="n">
        <f aca="false">F5156*H5156</f>
        <v>0.25</v>
      </c>
      <c r="S5156" s="0" t="n">
        <f aca="false">G5156*H5156</f>
        <v>-0.0625</v>
      </c>
      <c r="T5156" s="0" t="n">
        <f aca="false">E5156*E5156</f>
        <v>0.5625</v>
      </c>
      <c r="U5156" s="0" t="n">
        <f aca="false">F5156*F5156</f>
        <v>1</v>
      </c>
      <c r="V5156" s="0" t="n">
        <f aca="false">G5156*G5156</f>
        <v>0.0625</v>
      </c>
      <c r="W5156" s="0" t="n">
        <f aca="false">H5156*H5156</f>
        <v>0.0625</v>
      </c>
      <c r="X5156" s="0" t="n">
        <f aca="false">SUMPRODUCT(I5156:W5156,_XtX!$B$96:$P$96)</f>
        <v>42.2221354166667</v>
      </c>
      <c r="Y5156" s="0" t="n">
        <f aca="false">SUMPRODUCT(MMULT(I5156:W5156,_XtX!$B$78:$P$92),I5156:W5156)</f>
        <v>0.486409505208334</v>
      </c>
      <c r="Z5156" s="0" t="n">
        <f aca="false">04_回帰ANOVA!$K$19*04_回帰ANOVA!$K$14*SQRT(1+Y5156)</f>
        <v>1.58916001665498</v>
      </c>
      <c r="AA5156" s="0" t="n">
        <f aca="false">X5156-Z5156</f>
        <v>40.6329754000117</v>
      </c>
      <c r="AB5156" s="0" t="n">
        <f aca="false">X5156+Z5156</f>
        <v>43.8112954333216</v>
      </c>
      <c r="AC5156" s="54" t="b">
        <f aca="false">AND(E5156&gt;=01_因子設定!$L$5-0.000000001,E5156&lt;=01_因子設定!$M$5+0.000000001,F5156&gt;=01_因子設定!$L$6-0.000000001,F5156&lt;=01_因子設定!$M$6+0.000000001,G5156&gt;=01_因子設定!$L$7-0.000000001,G5156&lt;=01_因子設定!$M$7+0.000000001,H5156&gt;=01_因子設定!$L$8-0.000000001,H5156&lt;=01_因子設定!$M$8+0.000000001,IF(01_因子設定!$B$20="Box-Behnken",E5156^2+F5156^2+G5156^2+H5156^2&lt;=2+0.000000001,TRUE()))</f>
        <v>1</v>
      </c>
      <c r="AD5156" s="55" t="n">
        <f aca="false">IF(AC5156,IF(01_因子設定!$B$13="最大化",AA5156-01_因子設定!$B$14,IF(01_因子設定!$B$13="最小化",01_因子設定!$B$15-AB5156,MIN(AA5156-01_因子設定!$B$14,01_因子設定!$B$15-AB5156))),-1E+030)</f>
        <v>-5.86702459998833</v>
      </c>
      <c r="AE5156" s="55" t="n">
        <f aca="false">IF(AC5156,IF(01_因子設定!$B$13="最大化",X5156,IF(01_因子設定!$B$13="最小化",-X5156,-ABS(X5156-01_因子設定!$B$16))),-1E+030)</f>
        <v>42.2221354166667</v>
      </c>
      <c r="AF5156" s="55" t="n">
        <f aca="false">AD5156+ROW()*0.000000001</f>
        <v>-5.86701944398833</v>
      </c>
      <c r="AG5156" s="55" t="n">
        <f aca="false">AE5156+ROW()*0.000000001</f>
        <v>42.2221405726667</v>
      </c>
    </row>
    <row r="5157" customFormat="false" ht="15" hidden="false" customHeight="false" outlineLevel="0" collapsed="false">
      <c r="A5157" s="0" t="n">
        <v>7</v>
      </c>
      <c r="B5157" s="0" t="n">
        <v>0</v>
      </c>
      <c r="C5157" s="0" t="n">
        <v>5</v>
      </c>
      <c r="D5157" s="0" t="n">
        <v>4</v>
      </c>
      <c r="E5157" s="0" t="n">
        <f aca="false">-1+A5157*0.25</f>
        <v>0.75</v>
      </c>
      <c r="F5157" s="0" t="n">
        <f aca="false">-1+B5157*0.25</f>
        <v>-1</v>
      </c>
      <c r="G5157" s="0" t="n">
        <f aca="false">-1+C5157*0.25</f>
        <v>0.25</v>
      </c>
      <c r="H5157" s="0" t="n">
        <f aca="false">-1+D5157*0.25</f>
        <v>0</v>
      </c>
      <c r="I5157" s="0" t="n">
        <f aca="false">1</f>
        <v>1</v>
      </c>
      <c r="J5157" s="0" t="n">
        <f aca="false">E5157</f>
        <v>0.75</v>
      </c>
      <c r="K5157" s="0" t="n">
        <f aca="false">F5157</f>
        <v>-1</v>
      </c>
      <c r="L5157" s="0" t="n">
        <f aca="false">G5157</f>
        <v>0.25</v>
      </c>
      <c r="M5157" s="0" t="n">
        <f aca="false">H5157</f>
        <v>0</v>
      </c>
      <c r="N5157" s="0" t="n">
        <f aca="false">E5157*F5157</f>
        <v>-0.75</v>
      </c>
      <c r="O5157" s="0" t="n">
        <f aca="false">E5157*G5157</f>
        <v>0.1875</v>
      </c>
      <c r="P5157" s="0" t="n">
        <f aca="false">E5157*H5157</f>
        <v>0</v>
      </c>
      <c r="Q5157" s="0" t="n">
        <f aca="false">F5157*G5157</f>
        <v>-0.25</v>
      </c>
      <c r="R5157" s="0" t="n">
        <f aca="false">F5157*H5157</f>
        <v>-0</v>
      </c>
      <c r="S5157" s="0" t="n">
        <f aca="false">G5157*H5157</f>
        <v>0</v>
      </c>
      <c r="T5157" s="0" t="n">
        <f aca="false">E5157*E5157</f>
        <v>0.5625</v>
      </c>
      <c r="U5157" s="0" t="n">
        <f aca="false">F5157*F5157</f>
        <v>1</v>
      </c>
      <c r="V5157" s="0" t="n">
        <f aca="false">G5157*G5157</f>
        <v>0.0625</v>
      </c>
      <c r="W5157" s="0" t="n">
        <f aca="false">H5157*H5157</f>
        <v>0</v>
      </c>
      <c r="X5157" s="0" t="n">
        <f aca="false">SUMPRODUCT(I5157:W5157,_XtX!$B$96:$P$96)</f>
        <v>42.4419590643275</v>
      </c>
      <c r="Y5157" s="0" t="n">
        <f aca="false">SUMPRODUCT(MMULT(I5157:W5157,_XtX!$B$78:$P$92),I5157:W5157)</f>
        <v>0.501534802174708</v>
      </c>
      <c r="Z5157" s="0" t="n">
        <f aca="false">04_回帰ANOVA!$K$19*04_回帰ANOVA!$K$14*SQRT(1+Y5157)</f>
        <v>1.59722498091333</v>
      </c>
      <c r="AA5157" s="0" t="n">
        <f aca="false">X5157-Z5157</f>
        <v>40.8447340834141</v>
      </c>
      <c r="AB5157" s="0" t="n">
        <f aca="false">X5157+Z5157</f>
        <v>44.0391840452408</v>
      </c>
      <c r="AC5157" s="54" t="b">
        <f aca="false">AND(E5157&gt;=01_因子設定!$L$5-0.000000001,E5157&lt;=01_因子設定!$M$5+0.000000001,F5157&gt;=01_因子設定!$L$6-0.000000001,F5157&lt;=01_因子設定!$M$6+0.000000001,G5157&gt;=01_因子設定!$L$7-0.000000001,G5157&lt;=01_因子設定!$M$7+0.000000001,H5157&gt;=01_因子設定!$L$8-0.000000001,H5157&lt;=01_因子設定!$M$8+0.000000001,IF(01_因子設定!$B$20="Box-Behnken",E5157^2+F5157^2+G5157^2+H5157^2&lt;=2+0.000000001,TRUE()))</f>
        <v>1</v>
      </c>
      <c r="AD5157" s="55" t="n">
        <f aca="false">IF(AC5157,IF(01_因子設定!$B$13="最大化",AA5157-01_因子設定!$B$14,IF(01_因子設定!$B$13="最小化",01_因子設定!$B$15-AB5157,MIN(AA5157-01_因子設定!$B$14,01_因子設定!$B$15-AB5157))),-1E+030)</f>
        <v>-5.65526591658586</v>
      </c>
      <c r="AE5157" s="55" t="n">
        <f aca="false">IF(AC5157,IF(01_因子設定!$B$13="最大化",X5157,IF(01_因子設定!$B$13="最小化",-X5157,-ABS(X5157-01_因子設定!$B$16))),-1E+030)</f>
        <v>42.4419590643275</v>
      </c>
      <c r="AF5157" s="55" t="n">
        <f aca="false">AD5157+ROW()*0.000000001</f>
        <v>-5.65526075958586</v>
      </c>
      <c r="AG5157" s="55" t="n">
        <f aca="false">AE5157+ROW()*0.000000001</f>
        <v>42.4419642213275</v>
      </c>
    </row>
    <row r="5158" customFormat="false" ht="15" hidden="false" customHeight="false" outlineLevel="0" collapsed="false">
      <c r="A5158" s="0" t="n">
        <v>7</v>
      </c>
      <c r="B5158" s="0" t="n">
        <v>0</v>
      </c>
      <c r="C5158" s="0" t="n">
        <v>5</v>
      </c>
      <c r="D5158" s="0" t="n">
        <v>5</v>
      </c>
      <c r="E5158" s="0" t="n">
        <f aca="false">-1+A5158*0.25</f>
        <v>0.75</v>
      </c>
      <c r="F5158" s="0" t="n">
        <f aca="false">-1+B5158*0.25</f>
        <v>-1</v>
      </c>
      <c r="G5158" s="0" t="n">
        <f aca="false">-1+C5158*0.25</f>
        <v>0.25</v>
      </c>
      <c r="H5158" s="0" t="n">
        <f aca="false">-1+D5158*0.25</f>
        <v>0.25</v>
      </c>
      <c r="I5158" s="0" t="n">
        <f aca="false">1</f>
        <v>1</v>
      </c>
      <c r="J5158" s="0" t="n">
        <f aca="false">E5158</f>
        <v>0.75</v>
      </c>
      <c r="K5158" s="0" t="n">
        <f aca="false">F5158</f>
        <v>-1</v>
      </c>
      <c r="L5158" s="0" t="n">
        <f aca="false">G5158</f>
        <v>0.25</v>
      </c>
      <c r="M5158" s="0" t="n">
        <f aca="false">H5158</f>
        <v>0.25</v>
      </c>
      <c r="N5158" s="0" t="n">
        <f aca="false">E5158*F5158</f>
        <v>-0.75</v>
      </c>
      <c r="O5158" s="0" t="n">
        <f aca="false">E5158*G5158</f>
        <v>0.1875</v>
      </c>
      <c r="P5158" s="0" t="n">
        <f aca="false">E5158*H5158</f>
        <v>0.1875</v>
      </c>
      <c r="Q5158" s="0" t="n">
        <f aca="false">F5158*G5158</f>
        <v>-0.25</v>
      </c>
      <c r="R5158" s="0" t="n">
        <f aca="false">F5158*H5158</f>
        <v>-0.25</v>
      </c>
      <c r="S5158" s="0" t="n">
        <f aca="false">G5158*H5158</f>
        <v>0.0625</v>
      </c>
      <c r="T5158" s="0" t="n">
        <f aca="false">E5158*E5158</f>
        <v>0.5625</v>
      </c>
      <c r="U5158" s="0" t="n">
        <f aca="false">F5158*F5158</f>
        <v>1</v>
      </c>
      <c r="V5158" s="0" t="n">
        <f aca="false">G5158*G5158</f>
        <v>0.0625</v>
      </c>
      <c r="W5158" s="0" t="n">
        <f aca="false">H5158*H5158</f>
        <v>0.0625</v>
      </c>
      <c r="X5158" s="0" t="n">
        <f aca="false">SUMPRODUCT(I5158:W5158,_XtX!$B$96:$P$96)</f>
        <v>42.6139756944444</v>
      </c>
      <c r="Y5158" s="0" t="n">
        <f aca="false">SUMPRODUCT(MMULT(I5158:W5158,_XtX!$B$78:$P$92),I5158:W5158)</f>
        <v>0.486409505208334</v>
      </c>
      <c r="Z5158" s="0" t="n">
        <f aca="false">04_回帰ANOVA!$K$19*04_回帰ANOVA!$K$14*SQRT(1+Y5158)</f>
        <v>1.58916001665498</v>
      </c>
      <c r="AA5158" s="0" t="n">
        <f aca="false">X5158-Z5158</f>
        <v>41.0248156777895</v>
      </c>
      <c r="AB5158" s="0" t="n">
        <f aca="false">X5158+Z5158</f>
        <v>44.2031357110994</v>
      </c>
      <c r="AC5158" s="54" t="b">
        <f aca="false">AND(E5158&gt;=01_因子設定!$L$5-0.000000001,E5158&lt;=01_因子設定!$M$5+0.000000001,F5158&gt;=01_因子設定!$L$6-0.000000001,F5158&lt;=01_因子設定!$M$6+0.000000001,G5158&gt;=01_因子設定!$L$7-0.000000001,G5158&lt;=01_因子設定!$M$7+0.000000001,H5158&gt;=01_因子設定!$L$8-0.000000001,H5158&lt;=01_因子設定!$M$8+0.000000001,IF(01_因子設定!$B$20="Box-Behnken",E5158^2+F5158^2+G5158^2+H5158^2&lt;=2+0.000000001,TRUE()))</f>
        <v>1</v>
      </c>
      <c r="AD5158" s="55" t="n">
        <f aca="false">IF(AC5158,IF(01_因子設定!$B$13="最大化",AA5158-01_因子設定!$B$14,IF(01_因子設定!$B$13="最小化",01_因子設定!$B$15-AB5158,MIN(AA5158-01_因子設定!$B$14,01_因子設定!$B$15-AB5158))),-1E+030)</f>
        <v>-5.47518432221055</v>
      </c>
      <c r="AE5158" s="55" t="n">
        <f aca="false">IF(AC5158,IF(01_因子設定!$B$13="最大化",X5158,IF(01_因子設定!$B$13="最小化",-X5158,-ABS(X5158-01_因子設定!$B$16))),-1E+030)</f>
        <v>42.6139756944444</v>
      </c>
      <c r="AF5158" s="55" t="n">
        <f aca="false">AD5158+ROW()*0.000000001</f>
        <v>-5.47517916421055</v>
      </c>
      <c r="AG5158" s="55" t="n">
        <f aca="false">AE5158+ROW()*0.000000001</f>
        <v>42.6139808524444</v>
      </c>
    </row>
    <row r="5159" customFormat="false" ht="15" hidden="false" customHeight="false" outlineLevel="0" collapsed="false">
      <c r="A5159" s="0" t="n">
        <v>7</v>
      </c>
      <c r="B5159" s="0" t="n">
        <v>0</v>
      </c>
      <c r="C5159" s="0" t="n">
        <v>5</v>
      </c>
      <c r="D5159" s="0" t="n">
        <v>6</v>
      </c>
      <c r="E5159" s="0" t="n">
        <f aca="false">-1+A5159*0.25</f>
        <v>0.75</v>
      </c>
      <c r="F5159" s="0" t="n">
        <f aca="false">-1+B5159*0.25</f>
        <v>-1</v>
      </c>
      <c r="G5159" s="0" t="n">
        <f aca="false">-1+C5159*0.25</f>
        <v>0.25</v>
      </c>
      <c r="H5159" s="0" t="n">
        <f aca="false">-1+D5159*0.25</f>
        <v>0.5</v>
      </c>
      <c r="I5159" s="0" t="n">
        <f aca="false">1</f>
        <v>1</v>
      </c>
      <c r="J5159" s="0" t="n">
        <f aca="false">E5159</f>
        <v>0.75</v>
      </c>
      <c r="K5159" s="0" t="n">
        <f aca="false">F5159</f>
        <v>-1</v>
      </c>
      <c r="L5159" s="0" t="n">
        <f aca="false">G5159</f>
        <v>0.25</v>
      </c>
      <c r="M5159" s="0" t="n">
        <f aca="false">H5159</f>
        <v>0.5</v>
      </c>
      <c r="N5159" s="0" t="n">
        <f aca="false">E5159*F5159</f>
        <v>-0.75</v>
      </c>
      <c r="O5159" s="0" t="n">
        <f aca="false">E5159*G5159</f>
        <v>0.1875</v>
      </c>
      <c r="P5159" s="0" t="n">
        <f aca="false">E5159*H5159</f>
        <v>0.375</v>
      </c>
      <c r="Q5159" s="0" t="n">
        <f aca="false">F5159*G5159</f>
        <v>-0.25</v>
      </c>
      <c r="R5159" s="0" t="n">
        <f aca="false">F5159*H5159</f>
        <v>-0.5</v>
      </c>
      <c r="S5159" s="0" t="n">
        <f aca="false">G5159*H5159</f>
        <v>0.125</v>
      </c>
      <c r="T5159" s="0" t="n">
        <f aca="false">E5159*E5159</f>
        <v>0.5625</v>
      </c>
      <c r="U5159" s="0" t="n">
        <f aca="false">F5159*F5159</f>
        <v>1</v>
      </c>
      <c r="V5159" s="0" t="n">
        <f aca="false">G5159*G5159</f>
        <v>0.0625</v>
      </c>
      <c r="W5159" s="0" t="n">
        <f aca="false">H5159*H5159</f>
        <v>0.25</v>
      </c>
      <c r="X5159" s="0" t="n">
        <f aca="false">SUMPRODUCT(I5159:W5159,_XtX!$B$96:$P$96)</f>
        <v>42.7381853070175</v>
      </c>
      <c r="Y5159" s="0" t="n">
        <f aca="false">SUMPRODUCT(MMULT(I5159:W5159,_XtX!$B$78:$P$92),I5159:W5159)</f>
        <v>0.459125719572369</v>
      </c>
      <c r="Z5159" s="0" t="n">
        <f aca="false">04_回帰ANOVA!$K$19*04_回帰ANOVA!$K$14*SQRT(1+Y5159)</f>
        <v>1.57450755575573</v>
      </c>
      <c r="AA5159" s="0" t="n">
        <f aca="false">X5159-Z5159</f>
        <v>41.1636777512618</v>
      </c>
      <c r="AB5159" s="0" t="n">
        <f aca="false">X5159+Z5159</f>
        <v>44.3126928627733</v>
      </c>
      <c r="AC5159" s="54" t="b">
        <f aca="false">AND(E5159&gt;=01_因子設定!$L$5-0.000000001,E5159&lt;=01_因子設定!$M$5+0.000000001,F5159&gt;=01_因子設定!$L$6-0.000000001,F5159&lt;=01_因子設定!$M$6+0.000000001,G5159&gt;=01_因子設定!$L$7-0.000000001,G5159&lt;=01_因子設定!$M$7+0.000000001,H5159&gt;=01_因子設定!$L$8-0.000000001,H5159&lt;=01_因子設定!$M$8+0.000000001,IF(01_因子設定!$B$20="Box-Behnken",E5159^2+F5159^2+G5159^2+H5159^2&lt;=2+0.000000001,TRUE()))</f>
        <v>1</v>
      </c>
      <c r="AD5159" s="55" t="n">
        <f aca="false">IF(AC5159,IF(01_因子設定!$B$13="最大化",AA5159-01_因子設定!$B$14,IF(01_因子設定!$B$13="最小化",01_因子設定!$B$15-AB5159,MIN(AA5159-01_因子設定!$B$14,01_因子設定!$B$15-AB5159))),-1E+030)</f>
        <v>-5.33632224873819</v>
      </c>
      <c r="AE5159" s="55" t="n">
        <f aca="false">IF(AC5159,IF(01_因子設定!$B$13="最大化",X5159,IF(01_因子設定!$B$13="最小化",-X5159,-ABS(X5159-01_因子設定!$B$16))),-1E+030)</f>
        <v>42.7381853070175</v>
      </c>
      <c r="AF5159" s="55" t="n">
        <f aca="false">AD5159+ROW()*0.000000001</f>
        <v>-5.33631708973819</v>
      </c>
      <c r="AG5159" s="55" t="n">
        <f aca="false">AE5159+ROW()*0.000000001</f>
        <v>42.7381904660175</v>
      </c>
    </row>
    <row r="5160" customFormat="false" ht="15" hidden="false" customHeight="false" outlineLevel="0" collapsed="false">
      <c r="A5160" s="0" t="n">
        <v>7</v>
      </c>
      <c r="B5160" s="0" t="n">
        <v>0</v>
      </c>
      <c r="C5160" s="0" t="n">
        <v>5</v>
      </c>
      <c r="D5160" s="0" t="n">
        <v>7</v>
      </c>
      <c r="E5160" s="0" t="n">
        <f aca="false">-1+A5160*0.25</f>
        <v>0.75</v>
      </c>
      <c r="F5160" s="0" t="n">
        <f aca="false">-1+B5160*0.25</f>
        <v>-1</v>
      </c>
      <c r="G5160" s="0" t="n">
        <f aca="false">-1+C5160*0.25</f>
        <v>0.25</v>
      </c>
      <c r="H5160" s="0" t="n">
        <f aca="false">-1+D5160*0.25</f>
        <v>0.75</v>
      </c>
      <c r="I5160" s="0" t="n">
        <f aca="false">1</f>
        <v>1</v>
      </c>
      <c r="J5160" s="0" t="n">
        <f aca="false">E5160</f>
        <v>0.75</v>
      </c>
      <c r="K5160" s="0" t="n">
        <f aca="false">F5160</f>
        <v>-1</v>
      </c>
      <c r="L5160" s="0" t="n">
        <f aca="false">G5160</f>
        <v>0.25</v>
      </c>
      <c r="M5160" s="0" t="n">
        <f aca="false">H5160</f>
        <v>0.75</v>
      </c>
      <c r="N5160" s="0" t="n">
        <f aca="false">E5160*F5160</f>
        <v>-0.75</v>
      </c>
      <c r="O5160" s="0" t="n">
        <f aca="false">E5160*G5160</f>
        <v>0.1875</v>
      </c>
      <c r="P5160" s="0" t="n">
        <f aca="false">E5160*H5160</f>
        <v>0.5625</v>
      </c>
      <c r="Q5160" s="0" t="n">
        <f aca="false">F5160*G5160</f>
        <v>-0.25</v>
      </c>
      <c r="R5160" s="0" t="n">
        <f aca="false">F5160*H5160</f>
        <v>-0.75</v>
      </c>
      <c r="S5160" s="0" t="n">
        <f aca="false">G5160*H5160</f>
        <v>0.1875</v>
      </c>
      <c r="T5160" s="0" t="n">
        <f aca="false">E5160*E5160</f>
        <v>0.5625</v>
      </c>
      <c r="U5160" s="0" t="n">
        <f aca="false">F5160*F5160</f>
        <v>1</v>
      </c>
      <c r="V5160" s="0" t="n">
        <f aca="false">G5160*G5160</f>
        <v>0.0625</v>
      </c>
      <c r="W5160" s="0" t="n">
        <f aca="false">H5160*H5160</f>
        <v>0.5625</v>
      </c>
      <c r="X5160" s="0" t="n">
        <f aca="false">SUMPRODUCT(I5160:W5160,_XtX!$B$96:$P$96)</f>
        <v>42.8145879020468</v>
      </c>
      <c r="Y5160" s="0" t="n">
        <f aca="false">SUMPRODUCT(MMULT(I5160:W5160,_XtX!$B$78:$P$92),I5160:W5160)</f>
        <v>0.473959761056287</v>
      </c>
      <c r="Z5160" s="0" t="n">
        <f aca="false">04_回帰ANOVA!$K$19*04_回帰ANOVA!$K$14*SQRT(1+Y5160)</f>
        <v>1.58249084588329</v>
      </c>
      <c r="AA5160" s="0" t="n">
        <f aca="false">X5160-Z5160</f>
        <v>41.2320970561635</v>
      </c>
      <c r="AB5160" s="0" t="n">
        <f aca="false">X5160+Z5160</f>
        <v>44.3970787479301</v>
      </c>
      <c r="AC5160" s="54" t="b">
        <f aca="false">AND(E5160&gt;=01_因子設定!$L$5-0.000000001,E5160&lt;=01_因子設定!$M$5+0.000000001,F5160&gt;=01_因子設定!$L$6-0.000000001,F5160&lt;=01_因子設定!$M$6+0.000000001,G5160&gt;=01_因子設定!$L$7-0.000000001,G5160&lt;=01_因子設定!$M$7+0.000000001,H5160&gt;=01_因子設定!$L$8-0.000000001,H5160&lt;=01_因子設定!$M$8+0.000000001,IF(01_因子設定!$B$20="Box-Behnken",E5160^2+F5160^2+G5160^2+H5160^2&lt;=2+0.000000001,TRUE()))</f>
        <v>1</v>
      </c>
      <c r="AD5160" s="55" t="n">
        <f aca="false">IF(AC5160,IF(01_因子設定!$B$13="最大化",AA5160-01_因子設定!$B$14,IF(01_因子設定!$B$13="最小化",01_因子設定!$B$15-AB5160,MIN(AA5160-01_因子設定!$B$14,01_因子設定!$B$15-AB5160))),-1E+030)</f>
        <v>-5.2679029438365</v>
      </c>
      <c r="AE5160" s="55" t="n">
        <f aca="false">IF(AC5160,IF(01_因子設定!$B$13="最大化",X5160,IF(01_因子設定!$B$13="最小化",-X5160,-ABS(X5160-01_因子設定!$B$16))),-1E+030)</f>
        <v>42.8145879020468</v>
      </c>
      <c r="AF5160" s="55" t="n">
        <f aca="false">AD5160+ROW()*0.000000001</f>
        <v>-5.2678977838365</v>
      </c>
      <c r="AG5160" s="55" t="n">
        <f aca="false">AE5160+ROW()*0.000000001</f>
        <v>42.8145930620468</v>
      </c>
    </row>
    <row r="5161" customFormat="false" ht="15" hidden="false" customHeight="false" outlineLevel="0" collapsed="false">
      <c r="A5161" s="0" t="n">
        <v>7</v>
      </c>
      <c r="B5161" s="0" t="n">
        <v>0</v>
      </c>
      <c r="C5161" s="0" t="n">
        <v>5</v>
      </c>
      <c r="D5161" s="0" t="n">
        <v>8</v>
      </c>
      <c r="E5161" s="0" t="n">
        <f aca="false">-1+A5161*0.25</f>
        <v>0.75</v>
      </c>
      <c r="F5161" s="0" t="n">
        <f aca="false">-1+B5161*0.25</f>
        <v>-1</v>
      </c>
      <c r="G5161" s="0" t="n">
        <f aca="false">-1+C5161*0.25</f>
        <v>0.25</v>
      </c>
      <c r="H5161" s="0" t="n">
        <f aca="false">-1+D5161*0.25</f>
        <v>1</v>
      </c>
      <c r="I5161" s="0" t="n">
        <f aca="false">1</f>
        <v>1</v>
      </c>
      <c r="J5161" s="0" t="n">
        <f aca="false">E5161</f>
        <v>0.75</v>
      </c>
      <c r="K5161" s="0" t="n">
        <f aca="false">F5161</f>
        <v>-1</v>
      </c>
      <c r="L5161" s="0" t="n">
        <f aca="false">G5161</f>
        <v>0.25</v>
      </c>
      <c r="M5161" s="0" t="n">
        <f aca="false">H5161</f>
        <v>1</v>
      </c>
      <c r="N5161" s="0" t="n">
        <f aca="false">E5161*F5161</f>
        <v>-0.75</v>
      </c>
      <c r="O5161" s="0" t="n">
        <f aca="false">E5161*G5161</f>
        <v>0.1875</v>
      </c>
      <c r="P5161" s="0" t="n">
        <f aca="false">E5161*H5161</f>
        <v>0.75</v>
      </c>
      <c r="Q5161" s="0" t="n">
        <f aca="false">F5161*G5161</f>
        <v>-0.25</v>
      </c>
      <c r="R5161" s="0" t="n">
        <f aca="false">F5161*H5161</f>
        <v>-1</v>
      </c>
      <c r="S5161" s="0" t="n">
        <f aca="false">G5161*H5161</f>
        <v>0.25</v>
      </c>
      <c r="T5161" s="0" t="n">
        <f aca="false">E5161*E5161</f>
        <v>0.5625</v>
      </c>
      <c r="U5161" s="0" t="n">
        <f aca="false">F5161*F5161</f>
        <v>1</v>
      </c>
      <c r="V5161" s="0" t="n">
        <f aca="false">G5161*G5161</f>
        <v>0.0625</v>
      </c>
      <c r="W5161" s="0" t="n">
        <f aca="false">H5161*H5161</f>
        <v>1</v>
      </c>
      <c r="X5161" s="0" t="n">
        <f aca="false">SUMPRODUCT(I5161:W5161,_XtX!$B$96:$P$96)</f>
        <v>42.8431834795322</v>
      </c>
      <c r="Y5161" s="0" t="n">
        <f aca="false">SUMPRODUCT(MMULT(I5161:W5161,_XtX!$B$78:$P$92),I5161:W5161)</f>
        <v>0.621372155975877</v>
      </c>
      <c r="Z5161" s="0" t="n">
        <f aca="false">04_回帰ANOVA!$K$19*04_回帰ANOVA!$K$14*SQRT(1+Y5161)</f>
        <v>1.65973880499872</v>
      </c>
      <c r="AA5161" s="0" t="n">
        <f aca="false">X5161-Z5161</f>
        <v>41.1834446745335</v>
      </c>
      <c r="AB5161" s="0" t="n">
        <f aca="false">X5161+Z5161</f>
        <v>44.5029222845309</v>
      </c>
      <c r="AC5161" s="54" t="b">
        <f aca="false">AND(E5161&gt;=01_因子設定!$L$5-0.000000001,E5161&lt;=01_因子設定!$M$5+0.000000001,F5161&gt;=01_因子設定!$L$6-0.000000001,F5161&lt;=01_因子設定!$M$6+0.000000001,G5161&gt;=01_因子設定!$L$7-0.000000001,G5161&lt;=01_因子設定!$M$7+0.000000001,H5161&gt;=01_因子設定!$L$8-0.000000001,H5161&lt;=01_因子設定!$M$8+0.000000001,IF(01_因子設定!$B$20="Box-Behnken",E5161^2+F5161^2+G5161^2+H5161^2&lt;=2+0.000000001,TRUE()))</f>
        <v>1</v>
      </c>
      <c r="AD5161" s="55" t="n">
        <f aca="false">IF(AC5161,IF(01_因子設定!$B$13="最大化",AA5161-01_因子設定!$B$14,IF(01_因子設定!$B$13="最小化",01_因子設定!$B$15-AB5161,MIN(AA5161-01_因子設定!$B$14,01_因子設定!$B$15-AB5161))),-1E+030)</f>
        <v>-5.31655532546653</v>
      </c>
      <c r="AE5161" s="55" t="n">
        <f aca="false">IF(AC5161,IF(01_因子設定!$B$13="最大化",X5161,IF(01_因子設定!$B$13="最小化",-X5161,-ABS(X5161-01_因子設定!$B$16))),-1E+030)</f>
        <v>42.8431834795322</v>
      </c>
      <c r="AF5161" s="55" t="n">
        <f aca="false">AD5161+ROW()*0.000000001</f>
        <v>-5.31655016446653</v>
      </c>
      <c r="AG5161" s="55" t="n">
        <f aca="false">AE5161+ROW()*0.000000001</f>
        <v>42.8431886405322</v>
      </c>
    </row>
    <row r="5162" customFormat="false" ht="15" hidden="false" customHeight="false" outlineLevel="0" collapsed="false">
      <c r="A5162" s="0" t="n">
        <v>7</v>
      </c>
      <c r="B5162" s="0" t="n">
        <v>0</v>
      </c>
      <c r="C5162" s="0" t="n">
        <v>6</v>
      </c>
      <c r="D5162" s="0" t="n">
        <v>0</v>
      </c>
      <c r="E5162" s="0" t="n">
        <f aca="false">-1+A5162*0.25</f>
        <v>0.75</v>
      </c>
      <c r="F5162" s="0" t="n">
        <f aca="false">-1+B5162*0.25</f>
        <v>-1</v>
      </c>
      <c r="G5162" s="0" t="n">
        <f aca="false">-1+C5162*0.25</f>
        <v>0.5</v>
      </c>
      <c r="H5162" s="0" t="n">
        <f aca="false">-1+D5162*0.25</f>
        <v>-1</v>
      </c>
      <c r="I5162" s="0" t="n">
        <f aca="false">1</f>
        <v>1</v>
      </c>
      <c r="J5162" s="0" t="n">
        <f aca="false">E5162</f>
        <v>0.75</v>
      </c>
      <c r="K5162" s="0" t="n">
        <f aca="false">F5162</f>
        <v>-1</v>
      </c>
      <c r="L5162" s="0" t="n">
        <f aca="false">G5162</f>
        <v>0.5</v>
      </c>
      <c r="M5162" s="0" t="n">
        <f aca="false">H5162</f>
        <v>-1</v>
      </c>
      <c r="N5162" s="0" t="n">
        <f aca="false">E5162*F5162</f>
        <v>-0.75</v>
      </c>
      <c r="O5162" s="0" t="n">
        <f aca="false">E5162*G5162</f>
        <v>0.375</v>
      </c>
      <c r="P5162" s="0" t="n">
        <f aca="false">E5162*H5162</f>
        <v>-0.75</v>
      </c>
      <c r="Q5162" s="0" t="n">
        <f aca="false">F5162*G5162</f>
        <v>-0.5</v>
      </c>
      <c r="R5162" s="0" t="n">
        <f aca="false">F5162*H5162</f>
        <v>1</v>
      </c>
      <c r="S5162" s="0" t="n">
        <f aca="false">G5162*H5162</f>
        <v>-0.5</v>
      </c>
      <c r="T5162" s="0" t="n">
        <f aca="false">E5162*E5162</f>
        <v>0.5625</v>
      </c>
      <c r="U5162" s="0" t="n">
        <f aca="false">F5162*F5162</f>
        <v>1</v>
      </c>
      <c r="V5162" s="0" t="n">
        <f aca="false">G5162*G5162</f>
        <v>0.25</v>
      </c>
      <c r="W5162" s="0" t="n">
        <f aca="false">H5162*H5162</f>
        <v>1</v>
      </c>
      <c r="X5162" s="0" t="n">
        <f aca="false">SUMPRODUCT(I5162:W5162,_XtX!$B$96:$P$96)</f>
        <v>41.1218201754386</v>
      </c>
      <c r="Y5162" s="0" t="n">
        <f aca="false">SUMPRODUCT(MMULT(I5162:W5162,_XtX!$B$78:$P$92),I5162:W5162)</f>
        <v>0.564984237938597</v>
      </c>
      <c r="Z5162" s="0" t="n">
        <f aca="false">04_回帰ANOVA!$K$19*04_回帰ANOVA!$K$14*SQRT(1+Y5162)</f>
        <v>1.63062229734503</v>
      </c>
      <c r="AA5162" s="0" t="n">
        <f aca="false">X5162-Z5162</f>
        <v>39.4911978780936</v>
      </c>
      <c r="AB5162" s="0" t="n">
        <f aca="false">X5162+Z5162</f>
        <v>42.7524424727837</v>
      </c>
      <c r="AC5162" s="54" t="b">
        <f aca="false">AND(E5162&gt;=01_因子設定!$L$5-0.000000001,E5162&lt;=01_因子設定!$M$5+0.000000001,F5162&gt;=01_因子設定!$L$6-0.000000001,F5162&lt;=01_因子設定!$M$6+0.000000001,G5162&gt;=01_因子設定!$L$7-0.000000001,G5162&lt;=01_因子設定!$M$7+0.000000001,H5162&gt;=01_因子設定!$L$8-0.000000001,H5162&lt;=01_因子設定!$M$8+0.000000001,IF(01_因子設定!$B$20="Box-Behnken",E5162^2+F5162^2+G5162^2+H5162^2&lt;=2+0.000000001,TRUE()))</f>
        <v>1</v>
      </c>
      <c r="AD5162" s="55" t="n">
        <f aca="false">IF(AC5162,IF(01_因子設定!$B$13="最大化",AA5162-01_因子設定!$B$14,IF(01_因子設定!$B$13="最小化",01_因子設定!$B$15-AB5162,MIN(AA5162-01_因子設定!$B$14,01_因子設定!$B$15-AB5162))),-1E+030)</f>
        <v>-7.00880212190641</v>
      </c>
      <c r="AE5162" s="55" t="n">
        <f aca="false">IF(AC5162,IF(01_因子設定!$B$13="最大化",X5162,IF(01_因子設定!$B$13="最小化",-X5162,-ABS(X5162-01_因子設定!$B$16))),-1E+030)</f>
        <v>41.1218201754386</v>
      </c>
      <c r="AF5162" s="55" t="n">
        <f aca="false">AD5162+ROW()*0.000000001</f>
        <v>-7.00879695990641</v>
      </c>
      <c r="AG5162" s="55" t="n">
        <f aca="false">AE5162+ROW()*0.000000001</f>
        <v>41.1218253374386</v>
      </c>
    </row>
    <row r="5163" customFormat="false" ht="15" hidden="false" customHeight="false" outlineLevel="0" collapsed="false">
      <c r="A5163" s="0" t="n">
        <v>7</v>
      </c>
      <c r="B5163" s="0" t="n">
        <v>0</v>
      </c>
      <c r="C5163" s="0" t="n">
        <v>6</v>
      </c>
      <c r="D5163" s="0" t="n">
        <v>1</v>
      </c>
      <c r="E5163" s="0" t="n">
        <f aca="false">-1+A5163*0.25</f>
        <v>0.75</v>
      </c>
      <c r="F5163" s="0" t="n">
        <f aca="false">-1+B5163*0.25</f>
        <v>-1</v>
      </c>
      <c r="G5163" s="0" t="n">
        <f aca="false">-1+C5163*0.25</f>
        <v>0.5</v>
      </c>
      <c r="H5163" s="0" t="n">
        <f aca="false">-1+D5163*0.25</f>
        <v>-0.75</v>
      </c>
      <c r="I5163" s="0" t="n">
        <f aca="false">1</f>
        <v>1</v>
      </c>
      <c r="J5163" s="0" t="n">
        <f aca="false">E5163</f>
        <v>0.75</v>
      </c>
      <c r="K5163" s="0" t="n">
        <f aca="false">F5163</f>
        <v>-1</v>
      </c>
      <c r="L5163" s="0" t="n">
        <f aca="false">G5163</f>
        <v>0.5</v>
      </c>
      <c r="M5163" s="0" t="n">
        <f aca="false">H5163</f>
        <v>-0.75</v>
      </c>
      <c r="N5163" s="0" t="n">
        <f aca="false">E5163*F5163</f>
        <v>-0.75</v>
      </c>
      <c r="O5163" s="0" t="n">
        <f aca="false">E5163*G5163</f>
        <v>0.375</v>
      </c>
      <c r="P5163" s="0" t="n">
        <f aca="false">E5163*H5163</f>
        <v>-0.5625</v>
      </c>
      <c r="Q5163" s="0" t="n">
        <f aca="false">F5163*G5163</f>
        <v>-0.5</v>
      </c>
      <c r="R5163" s="0" t="n">
        <f aca="false">F5163*H5163</f>
        <v>0.75</v>
      </c>
      <c r="S5163" s="0" t="n">
        <f aca="false">G5163*H5163</f>
        <v>-0.375</v>
      </c>
      <c r="T5163" s="0" t="n">
        <f aca="false">E5163*E5163</f>
        <v>0.5625</v>
      </c>
      <c r="U5163" s="0" t="n">
        <f aca="false">F5163*F5163</f>
        <v>1</v>
      </c>
      <c r="V5163" s="0" t="n">
        <f aca="false">G5163*G5163</f>
        <v>0.25</v>
      </c>
      <c r="W5163" s="0" t="n">
        <f aca="false">H5163*H5163</f>
        <v>0.5625</v>
      </c>
      <c r="X5163" s="0" t="n">
        <f aca="false">SUMPRODUCT(I5163:W5163,_XtX!$B$96:$P$96)</f>
        <v>41.503033625731</v>
      </c>
      <c r="Y5163" s="0" t="n">
        <f aca="false">SUMPRODUCT(MMULT(I5163:W5163,_XtX!$B$78:$P$92),I5163:W5163)</f>
        <v>0.431153771472953</v>
      </c>
      <c r="Z5163" s="0" t="n">
        <f aca="false">04_回帰ANOVA!$K$19*04_回帰ANOVA!$K$14*SQRT(1+Y5163)</f>
        <v>1.55934259562563</v>
      </c>
      <c r="AA5163" s="0" t="n">
        <f aca="false">X5163-Z5163</f>
        <v>39.9436910301054</v>
      </c>
      <c r="AB5163" s="0" t="n">
        <f aca="false">X5163+Z5163</f>
        <v>43.0623762213566</v>
      </c>
      <c r="AC5163" s="54" t="b">
        <f aca="false">AND(E5163&gt;=01_因子設定!$L$5-0.000000001,E5163&lt;=01_因子設定!$M$5+0.000000001,F5163&gt;=01_因子設定!$L$6-0.000000001,F5163&lt;=01_因子設定!$M$6+0.000000001,G5163&gt;=01_因子設定!$L$7-0.000000001,G5163&lt;=01_因子設定!$M$7+0.000000001,H5163&gt;=01_因子設定!$L$8-0.000000001,H5163&lt;=01_因子設定!$M$8+0.000000001,IF(01_因子設定!$B$20="Box-Behnken",E5163^2+F5163^2+G5163^2+H5163^2&lt;=2+0.000000001,TRUE()))</f>
        <v>1</v>
      </c>
      <c r="AD5163" s="55" t="n">
        <f aca="false">IF(AC5163,IF(01_因子設定!$B$13="最大化",AA5163-01_因子設定!$B$14,IF(01_因子設定!$B$13="最小化",01_因子設定!$B$15-AB5163,MIN(AA5163-01_因子設定!$B$14,01_因子設定!$B$15-AB5163))),-1E+030)</f>
        <v>-6.55630896989463</v>
      </c>
      <c r="AE5163" s="55" t="n">
        <f aca="false">IF(AC5163,IF(01_因子設定!$B$13="最大化",X5163,IF(01_因子設定!$B$13="最小化",-X5163,-ABS(X5163-01_因子設定!$B$16))),-1E+030)</f>
        <v>41.503033625731</v>
      </c>
      <c r="AF5163" s="55" t="n">
        <f aca="false">AD5163+ROW()*0.000000001</f>
        <v>-6.55630380689463</v>
      </c>
      <c r="AG5163" s="55" t="n">
        <f aca="false">AE5163+ROW()*0.000000001</f>
        <v>41.503038788731</v>
      </c>
    </row>
    <row r="5164" customFormat="false" ht="15" hidden="false" customHeight="false" outlineLevel="0" collapsed="false">
      <c r="A5164" s="0" t="n">
        <v>7</v>
      </c>
      <c r="B5164" s="0" t="n">
        <v>0</v>
      </c>
      <c r="C5164" s="0" t="n">
        <v>6</v>
      </c>
      <c r="D5164" s="0" t="n">
        <v>2</v>
      </c>
      <c r="E5164" s="0" t="n">
        <f aca="false">-1+A5164*0.25</f>
        <v>0.75</v>
      </c>
      <c r="F5164" s="0" t="n">
        <f aca="false">-1+B5164*0.25</f>
        <v>-1</v>
      </c>
      <c r="G5164" s="0" t="n">
        <f aca="false">-1+C5164*0.25</f>
        <v>0.5</v>
      </c>
      <c r="H5164" s="0" t="n">
        <f aca="false">-1+D5164*0.25</f>
        <v>-0.5</v>
      </c>
      <c r="I5164" s="0" t="n">
        <f aca="false">1</f>
        <v>1</v>
      </c>
      <c r="J5164" s="0" t="n">
        <f aca="false">E5164</f>
        <v>0.75</v>
      </c>
      <c r="K5164" s="0" t="n">
        <f aca="false">F5164</f>
        <v>-1</v>
      </c>
      <c r="L5164" s="0" t="n">
        <f aca="false">G5164</f>
        <v>0.5</v>
      </c>
      <c r="M5164" s="0" t="n">
        <f aca="false">H5164</f>
        <v>-0.5</v>
      </c>
      <c r="N5164" s="0" t="n">
        <f aca="false">E5164*F5164</f>
        <v>-0.75</v>
      </c>
      <c r="O5164" s="0" t="n">
        <f aca="false">E5164*G5164</f>
        <v>0.375</v>
      </c>
      <c r="P5164" s="0" t="n">
        <f aca="false">E5164*H5164</f>
        <v>-0.375</v>
      </c>
      <c r="Q5164" s="0" t="n">
        <f aca="false">F5164*G5164</f>
        <v>-0.5</v>
      </c>
      <c r="R5164" s="0" t="n">
        <f aca="false">F5164*H5164</f>
        <v>0.5</v>
      </c>
      <c r="S5164" s="0" t="n">
        <f aca="false">G5164*H5164</f>
        <v>-0.25</v>
      </c>
      <c r="T5164" s="0" t="n">
        <f aca="false">E5164*E5164</f>
        <v>0.5625</v>
      </c>
      <c r="U5164" s="0" t="n">
        <f aca="false">F5164*F5164</f>
        <v>1</v>
      </c>
      <c r="V5164" s="0" t="n">
        <f aca="false">G5164*G5164</f>
        <v>0.25</v>
      </c>
      <c r="W5164" s="0" t="n">
        <f aca="false">H5164*H5164</f>
        <v>0.25</v>
      </c>
      <c r="X5164" s="0" t="n">
        <f aca="false">SUMPRODUCT(I5164:W5164,_XtX!$B$96:$P$96)</f>
        <v>41.8364400584795</v>
      </c>
      <c r="Y5164" s="0" t="n">
        <f aca="false">SUMPRODUCT(MMULT(I5164:W5164,_XtX!$B$78:$P$92),I5164:W5164)</f>
        <v>0.42602110745614</v>
      </c>
      <c r="Z5164" s="0" t="n">
        <f aca="false">04_回帰ANOVA!$K$19*04_回帰ANOVA!$K$14*SQRT(1+Y5164)</f>
        <v>1.55654388501114</v>
      </c>
      <c r="AA5164" s="0" t="n">
        <f aca="false">X5164-Z5164</f>
        <v>40.2798961734684</v>
      </c>
      <c r="AB5164" s="0" t="n">
        <f aca="false">X5164+Z5164</f>
        <v>43.3929839434907</v>
      </c>
      <c r="AC5164" s="54" t="b">
        <f aca="false">AND(E5164&gt;=01_因子設定!$L$5-0.000000001,E5164&lt;=01_因子設定!$M$5+0.000000001,F5164&gt;=01_因子設定!$L$6-0.000000001,F5164&lt;=01_因子設定!$M$6+0.000000001,G5164&gt;=01_因子設定!$L$7-0.000000001,G5164&lt;=01_因子設定!$M$7+0.000000001,H5164&gt;=01_因子設定!$L$8-0.000000001,H5164&lt;=01_因子設定!$M$8+0.000000001,IF(01_因子設定!$B$20="Box-Behnken",E5164^2+F5164^2+G5164^2+H5164^2&lt;=2+0.000000001,TRUE()))</f>
        <v>1</v>
      </c>
      <c r="AD5164" s="55" t="n">
        <f aca="false">IF(AC5164,IF(01_因子設定!$B$13="最大化",AA5164-01_因子設定!$B$14,IF(01_因子設定!$B$13="最小化",01_因子設定!$B$15-AB5164,MIN(AA5164-01_因子設定!$B$14,01_因子設定!$B$15-AB5164))),-1E+030)</f>
        <v>-6.22010382653161</v>
      </c>
      <c r="AE5164" s="55" t="n">
        <f aca="false">IF(AC5164,IF(01_因子設定!$B$13="最大化",X5164,IF(01_因子設定!$B$13="最小化",-X5164,-ABS(X5164-01_因子設定!$B$16))),-1E+030)</f>
        <v>41.8364400584795</v>
      </c>
      <c r="AF5164" s="55" t="n">
        <f aca="false">AD5164+ROW()*0.000000001</f>
        <v>-6.22009866253161</v>
      </c>
      <c r="AG5164" s="55" t="n">
        <f aca="false">AE5164+ROW()*0.000000001</f>
        <v>41.8364452224795</v>
      </c>
    </row>
    <row r="5165" customFormat="false" ht="15" hidden="false" customHeight="false" outlineLevel="0" collapsed="false">
      <c r="A5165" s="0" t="n">
        <v>7</v>
      </c>
      <c r="B5165" s="0" t="n">
        <v>0</v>
      </c>
      <c r="C5165" s="0" t="n">
        <v>6</v>
      </c>
      <c r="D5165" s="0" t="n">
        <v>3</v>
      </c>
      <c r="E5165" s="0" t="n">
        <f aca="false">-1+A5165*0.25</f>
        <v>0.75</v>
      </c>
      <c r="F5165" s="0" t="n">
        <f aca="false">-1+B5165*0.25</f>
        <v>-1</v>
      </c>
      <c r="G5165" s="0" t="n">
        <f aca="false">-1+C5165*0.25</f>
        <v>0.5</v>
      </c>
      <c r="H5165" s="0" t="n">
        <f aca="false">-1+D5165*0.25</f>
        <v>-0.25</v>
      </c>
      <c r="I5165" s="0" t="n">
        <f aca="false">1</f>
        <v>1</v>
      </c>
      <c r="J5165" s="0" t="n">
        <f aca="false">E5165</f>
        <v>0.75</v>
      </c>
      <c r="K5165" s="0" t="n">
        <f aca="false">F5165</f>
        <v>-1</v>
      </c>
      <c r="L5165" s="0" t="n">
        <f aca="false">G5165</f>
        <v>0.5</v>
      </c>
      <c r="M5165" s="0" t="n">
        <f aca="false">H5165</f>
        <v>-0.25</v>
      </c>
      <c r="N5165" s="0" t="n">
        <f aca="false">E5165*F5165</f>
        <v>-0.75</v>
      </c>
      <c r="O5165" s="0" t="n">
        <f aca="false">E5165*G5165</f>
        <v>0.375</v>
      </c>
      <c r="P5165" s="0" t="n">
        <f aca="false">E5165*H5165</f>
        <v>-0.1875</v>
      </c>
      <c r="Q5165" s="0" t="n">
        <f aca="false">F5165*G5165</f>
        <v>-0.5</v>
      </c>
      <c r="R5165" s="0" t="n">
        <f aca="false">F5165*H5165</f>
        <v>0.25</v>
      </c>
      <c r="S5165" s="0" t="n">
        <f aca="false">G5165*H5165</f>
        <v>-0.125</v>
      </c>
      <c r="T5165" s="0" t="n">
        <f aca="false">E5165*E5165</f>
        <v>0.5625</v>
      </c>
      <c r="U5165" s="0" t="n">
        <f aca="false">F5165*F5165</f>
        <v>1</v>
      </c>
      <c r="V5165" s="0" t="n">
        <f aca="false">G5165*G5165</f>
        <v>0.25</v>
      </c>
      <c r="W5165" s="0" t="n">
        <f aca="false">H5165*H5165</f>
        <v>0.0625</v>
      </c>
      <c r="X5165" s="0" t="n">
        <f aca="false">SUMPRODUCT(I5165:W5165,_XtX!$B$96:$P$96)</f>
        <v>42.1220394736842</v>
      </c>
      <c r="Y5165" s="0" t="n">
        <f aca="false">SUMPRODUCT(MMULT(I5165:W5165,_XtX!$B$78:$P$92),I5165:W5165)</f>
        <v>0.459125719572369</v>
      </c>
      <c r="Z5165" s="0" t="n">
        <f aca="false">04_回帰ANOVA!$K$19*04_回帰ANOVA!$K$14*SQRT(1+Y5165)</f>
        <v>1.57450755575573</v>
      </c>
      <c r="AA5165" s="0" t="n">
        <f aca="false">X5165-Z5165</f>
        <v>40.5475319179285</v>
      </c>
      <c r="AB5165" s="0" t="n">
        <f aca="false">X5165+Z5165</f>
        <v>43.6965470294399</v>
      </c>
      <c r="AC5165" s="54" t="b">
        <f aca="false">AND(E5165&gt;=01_因子設定!$L$5-0.000000001,E5165&lt;=01_因子設定!$M$5+0.000000001,F5165&gt;=01_因子設定!$L$6-0.000000001,F5165&lt;=01_因子設定!$M$6+0.000000001,G5165&gt;=01_因子設定!$L$7-0.000000001,G5165&lt;=01_因子設定!$M$7+0.000000001,H5165&gt;=01_因子設定!$L$8-0.000000001,H5165&lt;=01_因子設定!$M$8+0.000000001,IF(01_因子設定!$B$20="Box-Behnken",E5165^2+F5165^2+G5165^2+H5165^2&lt;=2+0.000000001,TRUE()))</f>
        <v>1</v>
      </c>
      <c r="AD5165" s="55" t="n">
        <f aca="false">IF(AC5165,IF(01_因子設定!$B$13="最大化",AA5165-01_因子設定!$B$14,IF(01_因子設定!$B$13="最小化",01_因子設定!$B$15-AB5165,MIN(AA5165-01_因子設定!$B$14,01_因子設定!$B$15-AB5165))),-1E+030)</f>
        <v>-5.95246808207153</v>
      </c>
      <c r="AE5165" s="55" t="n">
        <f aca="false">IF(AC5165,IF(01_因子設定!$B$13="最大化",X5165,IF(01_因子設定!$B$13="最小化",-X5165,-ABS(X5165-01_因子設定!$B$16))),-1E+030)</f>
        <v>42.1220394736842</v>
      </c>
      <c r="AF5165" s="55" t="n">
        <f aca="false">AD5165+ROW()*0.000000001</f>
        <v>-5.95246291707153</v>
      </c>
      <c r="AG5165" s="55" t="n">
        <f aca="false">AE5165+ROW()*0.000000001</f>
        <v>42.1220446386842</v>
      </c>
    </row>
    <row r="5166" customFormat="false" ht="15" hidden="false" customHeight="false" outlineLevel="0" collapsed="false">
      <c r="A5166" s="0" t="n">
        <v>7</v>
      </c>
      <c r="B5166" s="0" t="n">
        <v>0</v>
      </c>
      <c r="C5166" s="0" t="n">
        <v>6</v>
      </c>
      <c r="D5166" s="0" t="n">
        <v>4</v>
      </c>
      <c r="E5166" s="0" t="n">
        <f aca="false">-1+A5166*0.25</f>
        <v>0.75</v>
      </c>
      <c r="F5166" s="0" t="n">
        <f aca="false">-1+B5166*0.25</f>
        <v>-1</v>
      </c>
      <c r="G5166" s="0" t="n">
        <f aca="false">-1+C5166*0.25</f>
        <v>0.5</v>
      </c>
      <c r="H5166" s="0" t="n">
        <f aca="false">-1+D5166*0.25</f>
        <v>0</v>
      </c>
      <c r="I5166" s="0" t="n">
        <f aca="false">1</f>
        <v>1</v>
      </c>
      <c r="J5166" s="0" t="n">
        <f aca="false">E5166</f>
        <v>0.75</v>
      </c>
      <c r="K5166" s="0" t="n">
        <f aca="false">F5166</f>
        <v>-1</v>
      </c>
      <c r="L5166" s="0" t="n">
        <f aca="false">G5166</f>
        <v>0.5</v>
      </c>
      <c r="M5166" s="0" t="n">
        <f aca="false">H5166</f>
        <v>0</v>
      </c>
      <c r="N5166" s="0" t="n">
        <f aca="false">E5166*F5166</f>
        <v>-0.75</v>
      </c>
      <c r="O5166" s="0" t="n">
        <f aca="false">E5166*G5166</f>
        <v>0.375</v>
      </c>
      <c r="P5166" s="0" t="n">
        <f aca="false">E5166*H5166</f>
        <v>0</v>
      </c>
      <c r="Q5166" s="0" t="n">
        <f aca="false">F5166*G5166</f>
        <v>-0.5</v>
      </c>
      <c r="R5166" s="0" t="n">
        <f aca="false">F5166*H5166</f>
        <v>-0</v>
      </c>
      <c r="S5166" s="0" t="n">
        <f aca="false">G5166*H5166</f>
        <v>0</v>
      </c>
      <c r="T5166" s="0" t="n">
        <f aca="false">E5166*E5166</f>
        <v>0.5625</v>
      </c>
      <c r="U5166" s="0" t="n">
        <f aca="false">F5166*F5166</f>
        <v>1</v>
      </c>
      <c r="V5166" s="0" t="n">
        <f aca="false">G5166*G5166</f>
        <v>0.25</v>
      </c>
      <c r="W5166" s="0" t="n">
        <f aca="false">H5166*H5166</f>
        <v>0</v>
      </c>
      <c r="X5166" s="0" t="n">
        <f aca="false">SUMPRODUCT(I5166:W5166,_XtX!$B$96:$P$96)</f>
        <v>42.359831871345</v>
      </c>
      <c r="Y5166" s="0" t="n">
        <f aca="false">SUMPRODUCT(MMULT(I5166:W5166,_XtX!$B$78:$P$92),I5166:W5166)</f>
        <v>0.476191292032164</v>
      </c>
      <c r="Z5166" s="0" t="n">
        <f aca="false">04_回帰ANOVA!$K$19*04_回帰ANOVA!$K$14*SQRT(1+Y5166)</f>
        <v>1.58368831471718</v>
      </c>
      <c r="AA5166" s="0" t="n">
        <f aca="false">X5166-Z5166</f>
        <v>40.7761435566278</v>
      </c>
      <c r="AB5166" s="0" t="n">
        <f aca="false">X5166+Z5166</f>
        <v>43.9435201860622</v>
      </c>
      <c r="AC5166" s="54" t="b">
        <f aca="false">AND(E5166&gt;=01_因子設定!$L$5-0.000000001,E5166&lt;=01_因子設定!$M$5+0.000000001,F5166&gt;=01_因子設定!$L$6-0.000000001,F5166&lt;=01_因子設定!$M$6+0.000000001,G5166&gt;=01_因子設定!$L$7-0.000000001,G5166&lt;=01_因子設定!$M$7+0.000000001,H5166&gt;=01_因子設定!$L$8-0.000000001,H5166&lt;=01_因子設定!$M$8+0.000000001,IF(01_因子設定!$B$20="Box-Behnken",E5166^2+F5166^2+G5166^2+H5166^2&lt;=2+0.000000001,TRUE()))</f>
        <v>1</v>
      </c>
      <c r="AD5166" s="55" t="n">
        <f aca="false">IF(AC5166,IF(01_因子設定!$B$13="最大化",AA5166-01_因子設定!$B$14,IF(01_因子設定!$B$13="最小化",01_因子設定!$B$15-AB5166,MIN(AA5166-01_因子設定!$B$14,01_因子設定!$B$15-AB5166))),-1E+030)</f>
        <v>-5.72385644337216</v>
      </c>
      <c r="AE5166" s="55" t="n">
        <f aca="false">IF(AC5166,IF(01_因子設定!$B$13="最大化",X5166,IF(01_因子設定!$B$13="最小化",-X5166,-ABS(X5166-01_因子設定!$B$16))),-1E+030)</f>
        <v>42.359831871345</v>
      </c>
      <c r="AF5166" s="55" t="n">
        <f aca="false">AD5166+ROW()*0.000000001</f>
        <v>-5.72385127737216</v>
      </c>
      <c r="AG5166" s="55" t="n">
        <f aca="false">AE5166+ROW()*0.000000001</f>
        <v>42.359837037345</v>
      </c>
    </row>
    <row r="5167" customFormat="false" ht="15" hidden="false" customHeight="false" outlineLevel="0" collapsed="false">
      <c r="A5167" s="0" t="n">
        <v>7</v>
      </c>
      <c r="B5167" s="0" t="n">
        <v>0</v>
      </c>
      <c r="C5167" s="0" t="n">
        <v>6</v>
      </c>
      <c r="D5167" s="0" t="n">
        <v>5</v>
      </c>
      <c r="E5167" s="0" t="n">
        <f aca="false">-1+A5167*0.25</f>
        <v>0.75</v>
      </c>
      <c r="F5167" s="0" t="n">
        <f aca="false">-1+B5167*0.25</f>
        <v>-1</v>
      </c>
      <c r="G5167" s="0" t="n">
        <f aca="false">-1+C5167*0.25</f>
        <v>0.5</v>
      </c>
      <c r="H5167" s="0" t="n">
        <f aca="false">-1+D5167*0.25</f>
        <v>0.25</v>
      </c>
      <c r="I5167" s="0" t="n">
        <f aca="false">1</f>
        <v>1</v>
      </c>
      <c r="J5167" s="0" t="n">
        <f aca="false">E5167</f>
        <v>0.75</v>
      </c>
      <c r="K5167" s="0" t="n">
        <f aca="false">F5167</f>
        <v>-1</v>
      </c>
      <c r="L5167" s="0" t="n">
        <f aca="false">G5167</f>
        <v>0.5</v>
      </c>
      <c r="M5167" s="0" t="n">
        <f aca="false">H5167</f>
        <v>0.25</v>
      </c>
      <c r="N5167" s="0" t="n">
        <f aca="false">E5167*F5167</f>
        <v>-0.75</v>
      </c>
      <c r="O5167" s="0" t="n">
        <f aca="false">E5167*G5167</f>
        <v>0.375</v>
      </c>
      <c r="P5167" s="0" t="n">
        <f aca="false">E5167*H5167</f>
        <v>0.1875</v>
      </c>
      <c r="Q5167" s="0" t="n">
        <f aca="false">F5167*G5167</f>
        <v>-0.5</v>
      </c>
      <c r="R5167" s="0" t="n">
        <f aca="false">F5167*H5167</f>
        <v>-0.25</v>
      </c>
      <c r="S5167" s="0" t="n">
        <f aca="false">G5167*H5167</f>
        <v>0.125</v>
      </c>
      <c r="T5167" s="0" t="n">
        <f aca="false">E5167*E5167</f>
        <v>0.5625</v>
      </c>
      <c r="U5167" s="0" t="n">
        <f aca="false">F5167*F5167</f>
        <v>1</v>
      </c>
      <c r="V5167" s="0" t="n">
        <f aca="false">G5167*G5167</f>
        <v>0.25</v>
      </c>
      <c r="W5167" s="0" t="n">
        <f aca="false">H5167*H5167</f>
        <v>0.0625</v>
      </c>
      <c r="X5167" s="0" t="n">
        <f aca="false">SUMPRODUCT(I5167:W5167,_XtX!$B$96:$P$96)</f>
        <v>42.549817251462</v>
      </c>
      <c r="Y5167" s="0" t="n">
        <f aca="false">SUMPRODUCT(MMULT(I5167:W5167,_XtX!$B$78:$P$92),I5167:W5167)</f>
        <v>0.459125719572369</v>
      </c>
      <c r="Z5167" s="0" t="n">
        <f aca="false">04_回帰ANOVA!$K$19*04_回帰ANOVA!$K$14*SQRT(1+Y5167)</f>
        <v>1.57450755575573</v>
      </c>
      <c r="AA5167" s="0" t="n">
        <f aca="false">X5167-Z5167</f>
        <v>40.9753096957062</v>
      </c>
      <c r="AB5167" s="0" t="n">
        <f aca="false">X5167+Z5167</f>
        <v>44.1243248072177</v>
      </c>
      <c r="AC5167" s="54" t="b">
        <f aca="false">AND(E5167&gt;=01_因子設定!$L$5-0.000000001,E5167&lt;=01_因子設定!$M$5+0.000000001,F5167&gt;=01_因子設定!$L$6-0.000000001,F5167&lt;=01_因子設定!$M$6+0.000000001,G5167&gt;=01_因子設定!$L$7-0.000000001,G5167&lt;=01_因子設定!$M$7+0.000000001,H5167&gt;=01_因子設定!$L$8-0.000000001,H5167&lt;=01_因子設定!$M$8+0.000000001,IF(01_因子設定!$B$20="Box-Behnken",E5167^2+F5167^2+G5167^2+H5167^2&lt;=2+0.000000001,TRUE()))</f>
        <v>1</v>
      </c>
      <c r="AD5167" s="55" t="n">
        <f aca="false">IF(AC5167,IF(01_因子設定!$B$13="最大化",AA5167-01_因子設定!$B$14,IF(01_因子設定!$B$13="最小化",01_因子設定!$B$15-AB5167,MIN(AA5167-01_因子設定!$B$14,01_因子設定!$B$15-AB5167))),-1E+030)</f>
        <v>-5.52469030429376</v>
      </c>
      <c r="AE5167" s="55" t="n">
        <f aca="false">IF(AC5167,IF(01_因子設定!$B$13="最大化",X5167,IF(01_因子設定!$B$13="最小化",-X5167,-ABS(X5167-01_因子設定!$B$16))),-1E+030)</f>
        <v>42.549817251462</v>
      </c>
      <c r="AF5167" s="55" t="n">
        <f aca="false">AD5167+ROW()*0.000000001</f>
        <v>-5.52468513729376</v>
      </c>
      <c r="AG5167" s="55" t="n">
        <f aca="false">AE5167+ROW()*0.000000001</f>
        <v>42.549822418462</v>
      </c>
    </row>
    <row r="5168" customFormat="false" ht="15" hidden="false" customHeight="false" outlineLevel="0" collapsed="false">
      <c r="A5168" s="0" t="n">
        <v>7</v>
      </c>
      <c r="B5168" s="0" t="n">
        <v>0</v>
      </c>
      <c r="C5168" s="0" t="n">
        <v>6</v>
      </c>
      <c r="D5168" s="0" t="n">
        <v>6</v>
      </c>
      <c r="E5168" s="0" t="n">
        <f aca="false">-1+A5168*0.25</f>
        <v>0.75</v>
      </c>
      <c r="F5168" s="0" t="n">
        <f aca="false">-1+B5168*0.25</f>
        <v>-1</v>
      </c>
      <c r="G5168" s="0" t="n">
        <f aca="false">-1+C5168*0.25</f>
        <v>0.5</v>
      </c>
      <c r="H5168" s="0" t="n">
        <f aca="false">-1+D5168*0.25</f>
        <v>0.5</v>
      </c>
      <c r="I5168" s="0" t="n">
        <f aca="false">1</f>
        <v>1</v>
      </c>
      <c r="J5168" s="0" t="n">
        <f aca="false">E5168</f>
        <v>0.75</v>
      </c>
      <c r="K5168" s="0" t="n">
        <f aca="false">F5168</f>
        <v>-1</v>
      </c>
      <c r="L5168" s="0" t="n">
        <f aca="false">G5168</f>
        <v>0.5</v>
      </c>
      <c r="M5168" s="0" t="n">
        <f aca="false">H5168</f>
        <v>0.5</v>
      </c>
      <c r="N5168" s="0" t="n">
        <f aca="false">E5168*F5168</f>
        <v>-0.75</v>
      </c>
      <c r="O5168" s="0" t="n">
        <f aca="false">E5168*G5168</f>
        <v>0.375</v>
      </c>
      <c r="P5168" s="0" t="n">
        <f aca="false">E5168*H5168</f>
        <v>0.375</v>
      </c>
      <c r="Q5168" s="0" t="n">
        <f aca="false">F5168*G5168</f>
        <v>-0.5</v>
      </c>
      <c r="R5168" s="0" t="n">
        <f aca="false">F5168*H5168</f>
        <v>-0.5</v>
      </c>
      <c r="S5168" s="0" t="n">
        <f aca="false">G5168*H5168</f>
        <v>0.25</v>
      </c>
      <c r="T5168" s="0" t="n">
        <f aca="false">E5168*E5168</f>
        <v>0.5625</v>
      </c>
      <c r="U5168" s="0" t="n">
        <f aca="false">F5168*F5168</f>
        <v>1</v>
      </c>
      <c r="V5168" s="0" t="n">
        <f aca="false">G5168*G5168</f>
        <v>0.25</v>
      </c>
      <c r="W5168" s="0" t="n">
        <f aca="false">H5168*H5168</f>
        <v>0.25</v>
      </c>
      <c r="X5168" s="0" t="n">
        <f aca="false">SUMPRODUCT(I5168:W5168,_XtX!$B$96:$P$96)</f>
        <v>42.6919956140351</v>
      </c>
      <c r="Y5168" s="0" t="n">
        <f aca="false">SUMPRODUCT(MMULT(I5168:W5168,_XtX!$B$78:$P$92),I5168:W5168)</f>
        <v>0.42602110745614</v>
      </c>
      <c r="Z5168" s="0" t="n">
        <f aca="false">04_回帰ANOVA!$K$19*04_回帰ANOVA!$K$14*SQRT(1+Y5168)</f>
        <v>1.55654388501114</v>
      </c>
      <c r="AA5168" s="0" t="n">
        <f aca="false">X5168-Z5168</f>
        <v>41.1354517290239</v>
      </c>
      <c r="AB5168" s="0" t="n">
        <f aca="false">X5168+Z5168</f>
        <v>44.2485394990462</v>
      </c>
      <c r="AC5168" s="54" t="b">
        <f aca="false">AND(E5168&gt;=01_因子設定!$L$5-0.000000001,E5168&lt;=01_因子設定!$M$5+0.000000001,F5168&gt;=01_因子設定!$L$6-0.000000001,F5168&lt;=01_因子設定!$M$6+0.000000001,G5168&gt;=01_因子設定!$L$7-0.000000001,G5168&lt;=01_因子設定!$M$7+0.000000001,H5168&gt;=01_因子設定!$L$8-0.000000001,H5168&lt;=01_因子設定!$M$8+0.000000001,IF(01_因子設定!$B$20="Box-Behnken",E5168^2+F5168^2+G5168^2+H5168^2&lt;=2+0.000000001,TRUE()))</f>
        <v>1</v>
      </c>
      <c r="AD5168" s="55" t="n">
        <f aca="false">IF(AC5168,IF(01_因子設定!$B$13="最大化",AA5168-01_因子設定!$B$14,IF(01_因子設定!$B$13="最小化",01_因子設定!$B$15-AB5168,MIN(AA5168-01_因子設定!$B$14,01_因子設定!$B$15-AB5168))),-1E+030)</f>
        <v>-5.36454827097606</v>
      </c>
      <c r="AE5168" s="55" t="n">
        <f aca="false">IF(AC5168,IF(01_因子設定!$B$13="最大化",X5168,IF(01_因子設定!$B$13="最小化",-X5168,-ABS(X5168-01_因子設定!$B$16))),-1E+030)</f>
        <v>42.6919956140351</v>
      </c>
      <c r="AF5168" s="55" t="n">
        <f aca="false">AD5168+ROW()*0.000000001</f>
        <v>-5.36454310297606</v>
      </c>
      <c r="AG5168" s="55" t="n">
        <f aca="false">AE5168+ROW()*0.000000001</f>
        <v>42.6920007820351</v>
      </c>
    </row>
    <row r="5169" customFormat="false" ht="15" hidden="false" customHeight="false" outlineLevel="0" collapsed="false">
      <c r="A5169" s="0" t="n">
        <v>7</v>
      </c>
      <c r="B5169" s="0" t="n">
        <v>0</v>
      </c>
      <c r="C5169" s="0" t="n">
        <v>6</v>
      </c>
      <c r="D5169" s="0" t="n">
        <v>7</v>
      </c>
      <c r="E5169" s="0" t="n">
        <f aca="false">-1+A5169*0.25</f>
        <v>0.75</v>
      </c>
      <c r="F5169" s="0" t="n">
        <f aca="false">-1+B5169*0.25</f>
        <v>-1</v>
      </c>
      <c r="G5169" s="0" t="n">
        <f aca="false">-1+C5169*0.25</f>
        <v>0.5</v>
      </c>
      <c r="H5169" s="0" t="n">
        <f aca="false">-1+D5169*0.25</f>
        <v>0.75</v>
      </c>
      <c r="I5169" s="0" t="n">
        <f aca="false">1</f>
        <v>1</v>
      </c>
      <c r="J5169" s="0" t="n">
        <f aca="false">E5169</f>
        <v>0.75</v>
      </c>
      <c r="K5169" s="0" t="n">
        <f aca="false">F5169</f>
        <v>-1</v>
      </c>
      <c r="L5169" s="0" t="n">
        <f aca="false">G5169</f>
        <v>0.5</v>
      </c>
      <c r="M5169" s="0" t="n">
        <f aca="false">H5169</f>
        <v>0.75</v>
      </c>
      <c r="N5169" s="0" t="n">
        <f aca="false">E5169*F5169</f>
        <v>-0.75</v>
      </c>
      <c r="O5169" s="0" t="n">
        <f aca="false">E5169*G5169</f>
        <v>0.375</v>
      </c>
      <c r="P5169" s="0" t="n">
        <f aca="false">E5169*H5169</f>
        <v>0.5625</v>
      </c>
      <c r="Q5169" s="0" t="n">
        <f aca="false">F5169*G5169</f>
        <v>-0.5</v>
      </c>
      <c r="R5169" s="0" t="n">
        <f aca="false">F5169*H5169</f>
        <v>-0.75</v>
      </c>
      <c r="S5169" s="0" t="n">
        <f aca="false">G5169*H5169</f>
        <v>0.375</v>
      </c>
      <c r="T5169" s="0" t="n">
        <f aca="false">E5169*E5169</f>
        <v>0.5625</v>
      </c>
      <c r="U5169" s="0" t="n">
        <f aca="false">F5169*F5169</f>
        <v>1</v>
      </c>
      <c r="V5169" s="0" t="n">
        <f aca="false">G5169*G5169</f>
        <v>0.25</v>
      </c>
      <c r="W5169" s="0" t="n">
        <f aca="false">H5169*H5169</f>
        <v>0.5625</v>
      </c>
      <c r="X5169" s="0" t="n">
        <f aca="false">SUMPRODUCT(I5169:W5169,_XtX!$B$96:$P$96)</f>
        <v>42.7863669590643</v>
      </c>
      <c r="Y5169" s="0" t="n">
        <f aca="false">SUMPRODUCT(MMULT(I5169:W5169,_XtX!$B$78:$P$92),I5169:W5169)</f>
        <v>0.431153771472953</v>
      </c>
      <c r="Z5169" s="0" t="n">
        <f aca="false">04_回帰ANOVA!$K$19*04_回帰ANOVA!$K$14*SQRT(1+Y5169)</f>
        <v>1.55934259562563</v>
      </c>
      <c r="AA5169" s="0" t="n">
        <f aca="false">X5169-Z5169</f>
        <v>41.2270243634387</v>
      </c>
      <c r="AB5169" s="0" t="n">
        <f aca="false">X5169+Z5169</f>
        <v>44.34570955469</v>
      </c>
      <c r="AC5169" s="54" t="b">
        <f aca="false">AND(E5169&gt;=01_因子設定!$L$5-0.000000001,E5169&lt;=01_因子設定!$M$5+0.000000001,F5169&gt;=01_因子設定!$L$6-0.000000001,F5169&lt;=01_因子設定!$M$6+0.000000001,G5169&gt;=01_因子設定!$L$7-0.000000001,G5169&lt;=01_因子設定!$M$7+0.000000001,H5169&gt;=01_因子設定!$L$8-0.000000001,H5169&lt;=01_因子設定!$M$8+0.000000001,IF(01_因子設定!$B$20="Box-Behnken",E5169^2+F5169^2+G5169^2+H5169^2&lt;=2+0.000000001,TRUE()))</f>
        <v>1</v>
      </c>
      <c r="AD5169" s="55" t="n">
        <f aca="false">IF(AC5169,IF(01_因子設定!$B$13="最大化",AA5169-01_因子設定!$B$14,IF(01_因子設定!$B$13="最小化",01_因子設定!$B$15-AB5169,MIN(AA5169-01_因子設定!$B$14,01_因子設定!$B$15-AB5169))),-1E+030)</f>
        <v>-5.2729756365613</v>
      </c>
      <c r="AE5169" s="55" t="n">
        <f aca="false">IF(AC5169,IF(01_因子設定!$B$13="最大化",X5169,IF(01_因子設定!$B$13="最小化",-X5169,-ABS(X5169-01_因子設定!$B$16))),-1E+030)</f>
        <v>42.7863669590643</v>
      </c>
      <c r="AF5169" s="55" t="n">
        <f aca="false">AD5169+ROW()*0.000000001</f>
        <v>-5.2729704675613</v>
      </c>
      <c r="AG5169" s="55" t="n">
        <f aca="false">AE5169+ROW()*0.000000001</f>
        <v>42.7863721280643</v>
      </c>
    </row>
    <row r="5170" customFormat="false" ht="15" hidden="false" customHeight="false" outlineLevel="0" collapsed="false">
      <c r="A5170" s="0" t="n">
        <v>7</v>
      </c>
      <c r="B5170" s="0" t="n">
        <v>0</v>
      </c>
      <c r="C5170" s="0" t="n">
        <v>6</v>
      </c>
      <c r="D5170" s="0" t="n">
        <v>8</v>
      </c>
      <c r="E5170" s="0" t="n">
        <f aca="false">-1+A5170*0.25</f>
        <v>0.75</v>
      </c>
      <c r="F5170" s="0" t="n">
        <f aca="false">-1+B5170*0.25</f>
        <v>-1</v>
      </c>
      <c r="G5170" s="0" t="n">
        <f aca="false">-1+C5170*0.25</f>
        <v>0.5</v>
      </c>
      <c r="H5170" s="0" t="n">
        <f aca="false">-1+D5170*0.25</f>
        <v>1</v>
      </c>
      <c r="I5170" s="0" t="n">
        <f aca="false">1</f>
        <v>1</v>
      </c>
      <c r="J5170" s="0" t="n">
        <f aca="false">E5170</f>
        <v>0.75</v>
      </c>
      <c r="K5170" s="0" t="n">
        <f aca="false">F5170</f>
        <v>-1</v>
      </c>
      <c r="L5170" s="0" t="n">
        <f aca="false">G5170</f>
        <v>0.5</v>
      </c>
      <c r="M5170" s="0" t="n">
        <f aca="false">H5170</f>
        <v>1</v>
      </c>
      <c r="N5170" s="0" t="n">
        <f aca="false">E5170*F5170</f>
        <v>-0.75</v>
      </c>
      <c r="O5170" s="0" t="n">
        <f aca="false">E5170*G5170</f>
        <v>0.375</v>
      </c>
      <c r="P5170" s="0" t="n">
        <f aca="false">E5170*H5170</f>
        <v>0.75</v>
      </c>
      <c r="Q5170" s="0" t="n">
        <f aca="false">F5170*G5170</f>
        <v>-0.5</v>
      </c>
      <c r="R5170" s="0" t="n">
        <f aca="false">F5170*H5170</f>
        <v>-1</v>
      </c>
      <c r="S5170" s="0" t="n">
        <f aca="false">G5170*H5170</f>
        <v>0.5</v>
      </c>
      <c r="T5170" s="0" t="n">
        <f aca="false">E5170*E5170</f>
        <v>0.5625</v>
      </c>
      <c r="U5170" s="0" t="n">
        <f aca="false">F5170*F5170</f>
        <v>1</v>
      </c>
      <c r="V5170" s="0" t="n">
        <f aca="false">G5170*G5170</f>
        <v>0.25</v>
      </c>
      <c r="W5170" s="0" t="n">
        <f aca="false">H5170*H5170</f>
        <v>1</v>
      </c>
      <c r="X5170" s="0" t="n">
        <f aca="false">SUMPRODUCT(I5170:W5170,_XtX!$B$96:$P$96)</f>
        <v>42.8329312865497</v>
      </c>
      <c r="Y5170" s="0" t="n">
        <f aca="false">SUMPRODUCT(MMULT(I5170:W5170,_XtX!$B$78:$P$92),I5170:W5170)</f>
        <v>0.564984237938597</v>
      </c>
      <c r="Z5170" s="0" t="n">
        <f aca="false">04_回帰ANOVA!$K$19*04_回帰ANOVA!$K$14*SQRT(1+Y5170)</f>
        <v>1.63062229734503</v>
      </c>
      <c r="AA5170" s="0" t="n">
        <f aca="false">X5170-Z5170</f>
        <v>41.2023089892047</v>
      </c>
      <c r="AB5170" s="0" t="n">
        <f aca="false">X5170+Z5170</f>
        <v>44.4635535838948</v>
      </c>
      <c r="AC5170" s="54" t="b">
        <f aca="false">AND(E5170&gt;=01_因子設定!$L$5-0.000000001,E5170&lt;=01_因子設定!$M$5+0.000000001,F5170&gt;=01_因子設定!$L$6-0.000000001,F5170&lt;=01_因子設定!$M$6+0.000000001,G5170&gt;=01_因子設定!$L$7-0.000000001,G5170&lt;=01_因子設定!$M$7+0.000000001,H5170&gt;=01_因子設定!$L$8-0.000000001,H5170&lt;=01_因子設定!$M$8+0.000000001,IF(01_因子設定!$B$20="Box-Behnken",E5170^2+F5170^2+G5170^2+H5170^2&lt;=2+0.000000001,TRUE()))</f>
        <v>1</v>
      </c>
      <c r="AD5170" s="55" t="n">
        <f aca="false">IF(AC5170,IF(01_因子設定!$B$13="最大化",AA5170-01_因子設定!$B$14,IF(01_因子設定!$B$13="最小化",01_因子設定!$B$15-AB5170,MIN(AA5170-01_因子設定!$B$14,01_因子設定!$B$15-AB5170))),-1E+030)</f>
        <v>-5.29769101079531</v>
      </c>
      <c r="AE5170" s="55" t="n">
        <f aca="false">IF(AC5170,IF(01_因子設定!$B$13="最大化",X5170,IF(01_因子設定!$B$13="最小化",-X5170,-ABS(X5170-01_因子設定!$B$16))),-1E+030)</f>
        <v>42.8329312865497</v>
      </c>
      <c r="AF5170" s="55" t="n">
        <f aca="false">AD5170+ROW()*0.000000001</f>
        <v>-5.29768584079531</v>
      </c>
      <c r="AG5170" s="55" t="n">
        <f aca="false">AE5170+ROW()*0.000000001</f>
        <v>42.8329364565497</v>
      </c>
    </row>
    <row r="5171" customFormat="false" ht="15" hidden="false" customHeight="false" outlineLevel="0" collapsed="false">
      <c r="A5171" s="0" t="n">
        <v>7</v>
      </c>
      <c r="B5171" s="0" t="n">
        <v>0</v>
      </c>
      <c r="C5171" s="0" t="n">
        <v>7</v>
      </c>
      <c r="D5171" s="0" t="n">
        <v>0</v>
      </c>
      <c r="E5171" s="0" t="n">
        <f aca="false">-1+A5171*0.25</f>
        <v>0.75</v>
      </c>
      <c r="F5171" s="0" t="n">
        <f aca="false">-1+B5171*0.25</f>
        <v>-1</v>
      </c>
      <c r="G5171" s="0" t="n">
        <f aca="false">-1+C5171*0.25</f>
        <v>0.75</v>
      </c>
      <c r="H5171" s="0" t="n">
        <f aca="false">-1+D5171*0.25</f>
        <v>-1</v>
      </c>
      <c r="I5171" s="0" t="n">
        <f aca="false">1</f>
        <v>1</v>
      </c>
      <c r="J5171" s="0" t="n">
        <f aca="false">E5171</f>
        <v>0.75</v>
      </c>
      <c r="K5171" s="0" t="n">
        <f aca="false">F5171</f>
        <v>-1</v>
      </c>
      <c r="L5171" s="0" t="n">
        <f aca="false">G5171</f>
        <v>0.75</v>
      </c>
      <c r="M5171" s="0" t="n">
        <f aca="false">H5171</f>
        <v>-1</v>
      </c>
      <c r="N5171" s="0" t="n">
        <f aca="false">E5171*F5171</f>
        <v>-0.75</v>
      </c>
      <c r="O5171" s="0" t="n">
        <f aca="false">E5171*G5171</f>
        <v>0.5625</v>
      </c>
      <c r="P5171" s="0" t="n">
        <f aca="false">E5171*H5171</f>
        <v>-0.75</v>
      </c>
      <c r="Q5171" s="0" t="n">
        <f aca="false">F5171*G5171</f>
        <v>-0.75</v>
      </c>
      <c r="R5171" s="0" t="n">
        <f aca="false">F5171*H5171</f>
        <v>1</v>
      </c>
      <c r="S5171" s="0" t="n">
        <f aca="false">G5171*H5171</f>
        <v>-0.75</v>
      </c>
      <c r="T5171" s="0" t="n">
        <f aca="false">E5171*E5171</f>
        <v>0.5625</v>
      </c>
      <c r="U5171" s="0" t="n">
        <f aca="false">F5171*F5171</f>
        <v>1</v>
      </c>
      <c r="V5171" s="0" t="n">
        <f aca="false">G5171*G5171</f>
        <v>0.5625</v>
      </c>
      <c r="W5171" s="0" t="n">
        <f aca="false">H5171*H5171</f>
        <v>1</v>
      </c>
      <c r="X5171" s="0" t="n">
        <f aca="false">SUMPRODUCT(I5171:W5171,_XtX!$B$96:$P$96)</f>
        <v>40.8825109649123</v>
      </c>
      <c r="Y5171" s="0" t="n">
        <f aca="false">SUMPRODUCT(MMULT(I5171:W5171,_XtX!$B$78:$P$92),I5171:W5171)</f>
        <v>0.531311392086988</v>
      </c>
      <c r="Z5171" s="0" t="n">
        <f aca="false">04_回帰ANOVA!$K$19*04_回帰ANOVA!$K$14*SQRT(1+Y5171)</f>
        <v>1.61298433431428</v>
      </c>
      <c r="AA5171" s="0" t="n">
        <f aca="false">X5171-Z5171</f>
        <v>39.269526630598</v>
      </c>
      <c r="AB5171" s="0" t="n">
        <f aca="false">X5171+Z5171</f>
        <v>42.4954952992266</v>
      </c>
      <c r="AC5171" s="54" t="b">
        <f aca="false">AND(E5171&gt;=01_因子設定!$L$5-0.000000001,E5171&lt;=01_因子設定!$M$5+0.000000001,F5171&gt;=01_因子設定!$L$6-0.000000001,F5171&lt;=01_因子設定!$M$6+0.000000001,G5171&gt;=01_因子設定!$L$7-0.000000001,G5171&lt;=01_因子設定!$M$7+0.000000001,H5171&gt;=01_因子設定!$L$8-0.000000001,H5171&lt;=01_因子設定!$M$8+0.000000001,IF(01_因子設定!$B$20="Box-Behnken",E5171^2+F5171^2+G5171^2+H5171^2&lt;=2+0.000000001,TRUE()))</f>
        <v>1</v>
      </c>
      <c r="AD5171" s="55" t="n">
        <f aca="false">IF(AC5171,IF(01_因子設定!$B$13="最大化",AA5171-01_因子設定!$B$14,IF(01_因子設定!$B$13="最小化",01_因子設定!$B$15-AB5171,MIN(AA5171-01_因子設定!$B$14,01_因子設定!$B$15-AB5171))),-1E+030)</f>
        <v>-7.23047336940198</v>
      </c>
      <c r="AE5171" s="55" t="n">
        <f aca="false">IF(AC5171,IF(01_因子設定!$B$13="最大化",X5171,IF(01_因子設定!$B$13="最小化",-X5171,-ABS(X5171-01_因子設定!$B$16))),-1E+030)</f>
        <v>40.8825109649123</v>
      </c>
      <c r="AF5171" s="55" t="n">
        <f aca="false">AD5171+ROW()*0.000000001</f>
        <v>-7.23046819840198</v>
      </c>
      <c r="AG5171" s="55" t="n">
        <f aca="false">AE5171+ROW()*0.000000001</f>
        <v>40.8825161359123</v>
      </c>
    </row>
    <row r="5172" customFormat="false" ht="15" hidden="false" customHeight="false" outlineLevel="0" collapsed="false">
      <c r="A5172" s="0" t="n">
        <v>7</v>
      </c>
      <c r="B5172" s="0" t="n">
        <v>0</v>
      </c>
      <c r="C5172" s="0" t="n">
        <v>7</v>
      </c>
      <c r="D5172" s="0" t="n">
        <v>1</v>
      </c>
      <c r="E5172" s="0" t="n">
        <f aca="false">-1+A5172*0.25</f>
        <v>0.75</v>
      </c>
      <c r="F5172" s="0" t="n">
        <f aca="false">-1+B5172*0.25</f>
        <v>-1</v>
      </c>
      <c r="G5172" s="0" t="n">
        <f aca="false">-1+C5172*0.25</f>
        <v>0.75</v>
      </c>
      <c r="H5172" s="0" t="n">
        <f aca="false">-1+D5172*0.25</f>
        <v>-0.75</v>
      </c>
      <c r="I5172" s="0" t="n">
        <f aca="false">1</f>
        <v>1</v>
      </c>
      <c r="J5172" s="0" t="n">
        <f aca="false">E5172</f>
        <v>0.75</v>
      </c>
      <c r="K5172" s="0" t="n">
        <f aca="false">F5172</f>
        <v>-1</v>
      </c>
      <c r="L5172" s="0" t="n">
        <f aca="false">G5172</f>
        <v>0.75</v>
      </c>
      <c r="M5172" s="0" t="n">
        <f aca="false">H5172</f>
        <v>-0.75</v>
      </c>
      <c r="N5172" s="0" t="n">
        <f aca="false">E5172*F5172</f>
        <v>-0.75</v>
      </c>
      <c r="O5172" s="0" t="n">
        <f aca="false">E5172*G5172</f>
        <v>0.5625</v>
      </c>
      <c r="P5172" s="0" t="n">
        <f aca="false">E5172*H5172</f>
        <v>-0.5625</v>
      </c>
      <c r="Q5172" s="0" t="n">
        <f aca="false">F5172*G5172</f>
        <v>-0.75</v>
      </c>
      <c r="R5172" s="0" t="n">
        <f aca="false">F5172*H5172</f>
        <v>0.75</v>
      </c>
      <c r="S5172" s="0" t="n">
        <f aca="false">G5172*H5172</f>
        <v>-0.5625</v>
      </c>
      <c r="T5172" s="0" t="n">
        <f aca="false">E5172*E5172</f>
        <v>0.5625</v>
      </c>
      <c r="U5172" s="0" t="n">
        <f aca="false">F5172*F5172</f>
        <v>1</v>
      </c>
      <c r="V5172" s="0" t="n">
        <f aca="false">G5172*G5172</f>
        <v>0.5625</v>
      </c>
      <c r="W5172" s="0" t="n">
        <f aca="false">H5172*H5172</f>
        <v>0.5625</v>
      </c>
      <c r="X5172" s="0" t="n">
        <f aca="false">SUMPRODUCT(I5172:W5172,_XtX!$B$96:$P$96)</f>
        <v>41.2816931652047</v>
      </c>
      <c r="Y5172" s="0" t="n">
        <f aca="false">SUMPRODUCT(MMULT(I5172:W5172,_XtX!$B$78:$P$92),I5172:W5172)</f>
        <v>0.420117473044591</v>
      </c>
      <c r="Z5172" s="0" t="n">
        <f aca="false">04_回帰ANOVA!$K$19*04_回帰ANOVA!$K$14*SQRT(1+Y5172)</f>
        <v>1.55331854827765</v>
      </c>
      <c r="AA5172" s="0" t="n">
        <f aca="false">X5172-Z5172</f>
        <v>39.728374616927</v>
      </c>
      <c r="AB5172" s="0" t="n">
        <f aca="false">X5172+Z5172</f>
        <v>42.8350117134823</v>
      </c>
      <c r="AC5172" s="54" t="b">
        <f aca="false">AND(E5172&gt;=01_因子設定!$L$5-0.000000001,E5172&lt;=01_因子設定!$M$5+0.000000001,F5172&gt;=01_因子設定!$L$6-0.000000001,F5172&lt;=01_因子設定!$M$6+0.000000001,G5172&gt;=01_因子設定!$L$7-0.000000001,G5172&lt;=01_因子設定!$M$7+0.000000001,H5172&gt;=01_因子設定!$L$8-0.000000001,H5172&lt;=01_因子設定!$M$8+0.000000001,IF(01_因子設定!$B$20="Box-Behnken",E5172^2+F5172^2+G5172^2+H5172^2&lt;=2+0.000000001,TRUE()))</f>
        <v>1</v>
      </c>
      <c r="AD5172" s="55" t="n">
        <f aca="false">IF(AC5172,IF(01_因子設定!$B$13="最大化",AA5172-01_因子設定!$B$14,IF(01_因子設定!$B$13="最小化",01_因子設定!$B$15-AB5172,MIN(AA5172-01_因子設定!$B$14,01_因子設定!$B$15-AB5172))),-1E+030)</f>
        <v>-6.77162538307296</v>
      </c>
      <c r="AE5172" s="55" t="n">
        <f aca="false">IF(AC5172,IF(01_因子設定!$B$13="最大化",X5172,IF(01_因子設定!$B$13="最小化",-X5172,-ABS(X5172-01_因子設定!$B$16))),-1E+030)</f>
        <v>41.2816931652047</v>
      </c>
      <c r="AF5172" s="55" t="n">
        <f aca="false">AD5172+ROW()*0.000000001</f>
        <v>-6.77162021107296</v>
      </c>
      <c r="AG5172" s="55" t="n">
        <f aca="false">AE5172+ROW()*0.000000001</f>
        <v>41.2816983372047</v>
      </c>
    </row>
    <row r="5173" customFormat="false" ht="15" hidden="false" customHeight="false" outlineLevel="0" collapsed="false">
      <c r="A5173" s="0" t="n">
        <v>7</v>
      </c>
      <c r="B5173" s="0" t="n">
        <v>0</v>
      </c>
      <c r="C5173" s="0" t="n">
        <v>7</v>
      </c>
      <c r="D5173" s="0" t="n">
        <v>2</v>
      </c>
      <c r="E5173" s="0" t="n">
        <f aca="false">-1+A5173*0.25</f>
        <v>0.75</v>
      </c>
      <c r="F5173" s="0" t="n">
        <f aca="false">-1+B5173*0.25</f>
        <v>-1</v>
      </c>
      <c r="G5173" s="0" t="n">
        <f aca="false">-1+C5173*0.25</f>
        <v>0.75</v>
      </c>
      <c r="H5173" s="0" t="n">
        <f aca="false">-1+D5173*0.25</f>
        <v>-0.5</v>
      </c>
      <c r="I5173" s="0" t="n">
        <f aca="false">1</f>
        <v>1</v>
      </c>
      <c r="J5173" s="0" t="n">
        <f aca="false">E5173</f>
        <v>0.75</v>
      </c>
      <c r="K5173" s="0" t="n">
        <f aca="false">F5173</f>
        <v>-1</v>
      </c>
      <c r="L5173" s="0" t="n">
        <f aca="false">G5173</f>
        <v>0.75</v>
      </c>
      <c r="M5173" s="0" t="n">
        <f aca="false">H5173</f>
        <v>-0.5</v>
      </c>
      <c r="N5173" s="0" t="n">
        <f aca="false">E5173*F5173</f>
        <v>-0.75</v>
      </c>
      <c r="O5173" s="0" t="n">
        <f aca="false">E5173*G5173</f>
        <v>0.5625</v>
      </c>
      <c r="P5173" s="0" t="n">
        <f aca="false">E5173*H5173</f>
        <v>-0.375</v>
      </c>
      <c r="Q5173" s="0" t="n">
        <f aca="false">F5173*G5173</f>
        <v>-0.75</v>
      </c>
      <c r="R5173" s="0" t="n">
        <f aca="false">F5173*H5173</f>
        <v>0.5</v>
      </c>
      <c r="S5173" s="0" t="n">
        <f aca="false">G5173*H5173</f>
        <v>-0.375</v>
      </c>
      <c r="T5173" s="0" t="n">
        <f aca="false">E5173*E5173</f>
        <v>0.5625</v>
      </c>
      <c r="U5173" s="0" t="n">
        <f aca="false">F5173*F5173</f>
        <v>1</v>
      </c>
      <c r="V5173" s="0" t="n">
        <f aca="false">G5173*G5173</f>
        <v>0.5625</v>
      </c>
      <c r="W5173" s="0" t="n">
        <f aca="false">H5173*H5173</f>
        <v>0.25</v>
      </c>
      <c r="X5173" s="0" t="n">
        <f aca="false">SUMPRODUCT(I5173:W5173,_XtX!$B$96:$P$96)</f>
        <v>41.6330683479532</v>
      </c>
      <c r="Y5173" s="0" t="n">
        <f aca="false">SUMPRODUCT(MMULT(I5173:W5173,_XtX!$B$78:$P$92),I5173:W5173)</f>
        <v>0.431153771472953</v>
      </c>
      <c r="Z5173" s="0" t="n">
        <f aca="false">04_回帰ANOVA!$K$19*04_回帰ANOVA!$K$14*SQRT(1+Y5173)</f>
        <v>1.55934259562563</v>
      </c>
      <c r="AA5173" s="0" t="n">
        <f aca="false">X5173-Z5173</f>
        <v>40.0737257523276</v>
      </c>
      <c r="AB5173" s="0" t="n">
        <f aca="false">X5173+Z5173</f>
        <v>43.1924109435788</v>
      </c>
      <c r="AC5173" s="54" t="b">
        <f aca="false">AND(E5173&gt;=01_因子設定!$L$5-0.000000001,E5173&lt;=01_因子設定!$M$5+0.000000001,F5173&gt;=01_因子設定!$L$6-0.000000001,F5173&lt;=01_因子設定!$M$6+0.000000001,G5173&gt;=01_因子設定!$L$7-0.000000001,G5173&lt;=01_因子設定!$M$7+0.000000001,H5173&gt;=01_因子設定!$L$8-0.000000001,H5173&lt;=01_因子設定!$M$8+0.000000001,IF(01_因子設定!$B$20="Box-Behnken",E5173^2+F5173^2+G5173^2+H5173^2&lt;=2+0.000000001,TRUE()))</f>
        <v>1</v>
      </c>
      <c r="AD5173" s="55" t="n">
        <f aca="false">IF(AC5173,IF(01_因子設定!$B$13="最大化",AA5173-01_因子設定!$B$14,IF(01_因子設定!$B$13="最小化",01_因子設定!$B$15-AB5173,MIN(AA5173-01_因子設定!$B$14,01_因子設定!$B$15-AB5173))),-1E+030)</f>
        <v>-6.42627424767242</v>
      </c>
      <c r="AE5173" s="55" t="n">
        <f aca="false">IF(AC5173,IF(01_因子設定!$B$13="最大化",X5173,IF(01_因子設定!$B$13="最小化",-X5173,-ABS(X5173-01_因子設定!$B$16))),-1E+030)</f>
        <v>41.6330683479532</v>
      </c>
      <c r="AF5173" s="55" t="n">
        <f aca="false">AD5173+ROW()*0.000000001</f>
        <v>-6.42626907467242</v>
      </c>
      <c r="AG5173" s="55" t="n">
        <f aca="false">AE5173+ROW()*0.000000001</f>
        <v>41.6330735209532</v>
      </c>
    </row>
    <row r="5174" customFormat="false" ht="15" hidden="false" customHeight="false" outlineLevel="0" collapsed="false">
      <c r="A5174" s="0" t="n">
        <v>7</v>
      </c>
      <c r="B5174" s="0" t="n">
        <v>0</v>
      </c>
      <c r="C5174" s="0" t="n">
        <v>7</v>
      </c>
      <c r="D5174" s="0" t="n">
        <v>3</v>
      </c>
      <c r="E5174" s="0" t="n">
        <f aca="false">-1+A5174*0.25</f>
        <v>0.75</v>
      </c>
      <c r="F5174" s="0" t="n">
        <f aca="false">-1+B5174*0.25</f>
        <v>-1</v>
      </c>
      <c r="G5174" s="0" t="n">
        <f aca="false">-1+C5174*0.25</f>
        <v>0.75</v>
      </c>
      <c r="H5174" s="0" t="n">
        <f aca="false">-1+D5174*0.25</f>
        <v>-0.25</v>
      </c>
      <c r="I5174" s="0" t="n">
        <f aca="false">1</f>
        <v>1</v>
      </c>
      <c r="J5174" s="0" t="n">
        <f aca="false">E5174</f>
        <v>0.75</v>
      </c>
      <c r="K5174" s="0" t="n">
        <f aca="false">F5174</f>
        <v>-1</v>
      </c>
      <c r="L5174" s="0" t="n">
        <f aca="false">G5174</f>
        <v>0.75</v>
      </c>
      <c r="M5174" s="0" t="n">
        <f aca="false">H5174</f>
        <v>-0.25</v>
      </c>
      <c r="N5174" s="0" t="n">
        <f aca="false">E5174*F5174</f>
        <v>-0.75</v>
      </c>
      <c r="O5174" s="0" t="n">
        <f aca="false">E5174*G5174</f>
        <v>0.5625</v>
      </c>
      <c r="P5174" s="0" t="n">
        <f aca="false">E5174*H5174</f>
        <v>-0.1875</v>
      </c>
      <c r="Q5174" s="0" t="n">
        <f aca="false">F5174*G5174</f>
        <v>-0.75</v>
      </c>
      <c r="R5174" s="0" t="n">
        <f aca="false">F5174*H5174</f>
        <v>0.25</v>
      </c>
      <c r="S5174" s="0" t="n">
        <f aca="false">G5174*H5174</f>
        <v>-0.1875</v>
      </c>
      <c r="T5174" s="0" t="n">
        <f aca="false">E5174*E5174</f>
        <v>0.5625</v>
      </c>
      <c r="U5174" s="0" t="n">
        <f aca="false">F5174*F5174</f>
        <v>1</v>
      </c>
      <c r="V5174" s="0" t="n">
        <f aca="false">G5174*G5174</f>
        <v>0.5625</v>
      </c>
      <c r="W5174" s="0" t="n">
        <f aca="false">H5174*H5174</f>
        <v>0.0625</v>
      </c>
      <c r="X5174" s="0" t="n">
        <f aca="false">SUMPRODUCT(I5174:W5174,_XtX!$B$96:$P$96)</f>
        <v>41.9366365131579</v>
      </c>
      <c r="Y5174" s="0" t="n">
        <f aca="false">SUMPRODUCT(MMULT(I5174:W5174,_XtX!$B$78:$P$92),I5174:W5174)</f>
        <v>0.473959761056287</v>
      </c>
      <c r="Z5174" s="0" t="n">
        <f aca="false">04_回帰ANOVA!$K$19*04_回帰ANOVA!$K$14*SQRT(1+Y5174)</f>
        <v>1.58249084588329</v>
      </c>
      <c r="AA5174" s="0" t="n">
        <f aca="false">X5174-Z5174</f>
        <v>40.3541456672746</v>
      </c>
      <c r="AB5174" s="0" t="n">
        <f aca="false">X5174+Z5174</f>
        <v>43.5191273590412</v>
      </c>
      <c r="AC5174" s="54" t="b">
        <f aca="false">AND(E5174&gt;=01_因子設定!$L$5-0.000000001,E5174&lt;=01_因子設定!$M$5+0.000000001,F5174&gt;=01_因子設定!$L$6-0.000000001,F5174&lt;=01_因子設定!$M$6+0.000000001,G5174&gt;=01_因子設定!$L$7-0.000000001,G5174&lt;=01_因子設定!$M$7+0.000000001,H5174&gt;=01_因子設定!$L$8-0.000000001,H5174&lt;=01_因子設定!$M$8+0.000000001,IF(01_因子設定!$B$20="Box-Behnken",E5174^2+F5174^2+G5174^2+H5174^2&lt;=2+0.000000001,TRUE()))</f>
        <v>1</v>
      </c>
      <c r="AD5174" s="55" t="n">
        <f aca="false">IF(AC5174,IF(01_因子設定!$B$13="最大化",AA5174-01_因子設定!$B$14,IF(01_因子設定!$B$13="最小化",01_因子設定!$B$15-AB5174,MIN(AA5174-01_因子設定!$B$14,01_因子設定!$B$15-AB5174))),-1E+030)</f>
        <v>-6.1458543327254</v>
      </c>
      <c r="AE5174" s="55" t="n">
        <f aca="false">IF(AC5174,IF(01_因子設定!$B$13="最大化",X5174,IF(01_因子設定!$B$13="最小化",-X5174,-ABS(X5174-01_因子設定!$B$16))),-1E+030)</f>
        <v>41.9366365131579</v>
      </c>
      <c r="AF5174" s="55" t="n">
        <f aca="false">AD5174+ROW()*0.000000001</f>
        <v>-6.1458491587254</v>
      </c>
      <c r="AG5174" s="55" t="n">
        <f aca="false">AE5174+ROW()*0.000000001</f>
        <v>41.9366416871579</v>
      </c>
    </row>
    <row r="5175" customFormat="false" ht="15" hidden="false" customHeight="false" outlineLevel="0" collapsed="false">
      <c r="A5175" s="0" t="n">
        <v>7</v>
      </c>
      <c r="B5175" s="0" t="n">
        <v>0</v>
      </c>
      <c r="C5175" s="0" t="n">
        <v>7</v>
      </c>
      <c r="D5175" s="0" t="n">
        <v>4</v>
      </c>
      <c r="E5175" s="0" t="n">
        <f aca="false">-1+A5175*0.25</f>
        <v>0.75</v>
      </c>
      <c r="F5175" s="0" t="n">
        <f aca="false">-1+B5175*0.25</f>
        <v>-1</v>
      </c>
      <c r="G5175" s="0" t="n">
        <f aca="false">-1+C5175*0.25</f>
        <v>0.75</v>
      </c>
      <c r="H5175" s="0" t="n">
        <f aca="false">-1+D5175*0.25</f>
        <v>0</v>
      </c>
      <c r="I5175" s="0" t="n">
        <f aca="false">1</f>
        <v>1</v>
      </c>
      <c r="J5175" s="0" t="n">
        <f aca="false">E5175</f>
        <v>0.75</v>
      </c>
      <c r="K5175" s="0" t="n">
        <f aca="false">F5175</f>
        <v>-1</v>
      </c>
      <c r="L5175" s="0" t="n">
        <f aca="false">G5175</f>
        <v>0.75</v>
      </c>
      <c r="M5175" s="0" t="n">
        <f aca="false">H5175</f>
        <v>0</v>
      </c>
      <c r="N5175" s="0" t="n">
        <f aca="false">E5175*F5175</f>
        <v>-0.75</v>
      </c>
      <c r="O5175" s="0" t="n">
        <f aca="false">E5175*G5175</f>
        <v>0.5625</v>
      </c>
      <c r="P5175" s="0" t="n">
        <f aca="false">E5175*H5175</f>
        <v>0</v>
      </c>
      <c r="Q5175" s="0" t="n">
        <f aca="false">F5175*G5175</f>
        <v>-0.75</v>
      </c>
      <c r="R5175" s="0" t="n">
        <f aca="false">F5175*H5175</f>
        <v>-0</v>
      </c>
      <c r="S5175" s="0" t="n">
        <f aca="false">G5175*H5175</f>
        <v>0</v>
      </c>
      <c r="T5175" s="0" t="n">
        <f aca="false">E5175*E5175</f>
        <v>0.5625</v>
      </c>
      <c r="U5175" s="0" t="n">
        <f aca="false">F5175*F5175</f>
        <v>1</v>
      </c>
      <c r="V5175" s="0" t="n">
        <f aca="false">G5175*G5175</f>
        <v>0.5625</v>
      </c>
      <c r="W5175" s="0" t="n">
        <f aca="false">H5175*H5175</f>
        <v>0</v>
      </c>
      <c r="X5175" s="0" t="n">
        <f aca="false">SUMPRODUCT(I5175:W5175,_XtX!$B$96:$P$96)</f>
        <v>42.1923976608187</v>
      </c>
      <c r="Y5175" s="0" t="n">
        <f aca="false">SUMPRODUCT(MMULT(I5175:W5175,_XtX!$B$78:$P$92),I5175:W5175)</f>
        <v>0.494259126005117</v>
      </c>
      <c r="Z5175" s="0" t="n">
        <f aca="false">04_回帰ANOVA!$K$19*04_回帰ANOVA!$K$14*SQRT(1+Y5175)</f>
        <v>1.59335061078203</v>
      </c>
      <c r="AA5175" s="0" t="n">
        <f aca="false">X5175-Z5175</f>
        <v>40.5990470500367</v>
      </c>
      <c r="AB5175" s="0" t="n">
        <f aca="false">X5175+Z5175</f>
        <v>43.7857482716007</v>
      </c>
      <c r="AC5175" s="54" t="b">
        <f aca="false">AND(E5175&gt;=01_因子設定!$L$5-0.000000001,E5175&lt;=01_因子設定!$M$5+0.000000001,F5175&gt;=01_因子設定!$L$6-0.000000001,F5175&lt;=01_因子設定!$M$6+0.000000001,G5175&gt;=01_因子設定!$L$7-0.000000001,G5175&lt;=01_因子設定!$M$7+0.000000001,H5175&gt;=01_因子設定!$L$8-0.000000001,H5175&lt;=01_因子設定!$M$8+0.000000001,IF(01_因子設定!$B$20="Box-Behnken",E5175^2+F5175^2+G5175^2+H5175^2&lt;=2+0.000000001,TRUE()))</f>
        <v>1</v>
      </c>
      <c r="AD5175" s="55" t="n">
        <f aca="false">IF(AC5175,IF(01_因子設定!$B$13="最大化",AA5175-01_因子設定!$B$14,IF(01_因子設定!$B$13="最小化",01_因子設定!$B$15-AB5175,MIN(AA5175-01_因子設定!$B$14,01_因子設定!$B$15-AB5175))),-1E+030)</f>
        <v>-5.90095294996333</v>
      </c>
      <c r="AE5175" s="55" t="n">
        <f aca="false">IF(AC5175,IF(01_因子設定!$B$13="最大化",X5175,IF(01_因子設定!$B$13="最小化",-X5175,-ABS(X5175-01_因子設定!$B$16))),-1E+030)</f>
        <v>42.1923976608187</v>
      </c>
      <c r="AF5175" s="55" t="n">
        <f aca="false">AD5175+ROW()*0.000000001</f>
        <v>-5.90094777496333</v>
      </c>
      <c r="AG5175" s="55" t="n">
        <f aca="false">AE5175+ROW()*0.000000001</f>
        <v>42.1924028358187</v>
      </c>
    </row>
    <row r="5176" customFormat="false" ht="15" hidden="false" customHeight="false" outlineLevel="0" collapsed="false">
      <c r="A5176" s="0" t="n">
        <v>7</v>
      </c>
      <c r="B5176" s="0" t="n">
        <v>0</v>
      </c>
      <c r="C5176" s="0" t="n">
        <v>7</v>
      </c>
      <c r="D5176" s="0" t="n">
        <v>5</v>
      </c>
      <c r="E5176" s="0" t="n">
        <f aca="false">-1+A5176*0.25</f>
        <v>0.75</v>
      </c>
      <c r="F5176" s="0" t="n">
        <f aca="false">-1+B5176*0.25</f>
        <v>-1</v>
      </c>
      <c r="G5176" s="0" t="n">
        <f aca="false">-1+C5176*0.25</f>
        <v>0.75</v>
      </c>
      <c r="H5176" s="0" t="n">
        <f aca="false">-1+D5176*0.25</f>
        <v>0.25</v>
      </c>
      <c r="I5176" s="0" t="n">
        <f aca="false">1</f>
        <v>1</v>
      </c>
      <c r="J5176" s="0" t="n">
        <f aca="false">E5176</f>
        <v>0.75</v>
      </c>
      <c r="K5176" s="0" t="n">
        <f aca="false">F5176</f>
        <v>-1</v>
      </c>
      <c r="L5176" s="0" t="n">
        <f aca="false">G5176</f>
        <v>0.75</v>
      </c>
      <c r="M5176" s="0" t="n">
        <f aca="false">H5176</f>
        <v>0.25</v>
      </c>
      <c r="N5176" s="0" t="n">
        <f aca="false">E5176*F5176</f>
        <v>-0.75</v>
      </c>
      <c r="O5176" s="0" t="n">
        <f aca="false">E5176*G5176</f>
        <v>0.5625</v>
      </c>
      <c r="P5176" s="0" t="n">
        <f aca="false">E5176*H5176</f>
        <v>0.1875</v>
      </c>
      <c r="Q5176" s="0" t="n">
        <f aca="false">F5176*G5176</f>
        <v>-0.75</v>
      </c>
      <c r="R5176" s="0" t="n">
        <f aca="false">F5176*H5176</f>
        <v>-0.25</v>
      </c>
      <c r="S5176" s="0" t="n">
        <f aca="false">G5176*H5176</f>
        <v>0.1875</v>
      </c>
      <c r="T5176" s="0" t="n">
        <f aca="false">E5176*E5176</f>
        <v>0.5625</v>
      </c>
      <c r="U5176" s="0" t="n">
        <f aca="false">F5176*F5176</f>
        <v>1</v>
      </c>
      <c r="V5176" s="0" t="n">
        <f aca="false">G5176*G5176</f>
        <v>0.5625</v>
      </c>
      <c r="W5176" s="0" t="n">
        <f aca="false">H5176*H5176</f>
        <v>0.0625</v>
      </c>
      <c r="X5176" s="0" t="n">
        <f aca="false">SUMPRODUCT(I5176:W5176,_XtX!$B$96:$P$96)</f>
        <v>42.4003517909357</v>
      </c>
      <c r="Y5176" s="0" t="n">
        <f aca="false">SUMPRODUCT(MMULT(I5176:W5176,_XtX!$B$78:$P$92),I5176:W5176)</f>
        <v>0.473959761056287</v>
      </c>
      <c r="Z5176" s="0" t="n">
        <f aca="false">04_回帰ANOVA!$K$19*04_回帰ANOVA!$K$14*SQRT(1+Y5176)</f>
        <v>1.58249084588329</v>
      </c>
      <c r="AA5176" s="0" t="n">
        <f aca="false">X5176-Z5176</f>
        <v>40.8178609450524</v>
      </c>
      <c r="AB5176" s="0" t="n">
        <f aca="false">X5176+Z5176</f>
        <v>43.9828426368189</v>
      </c>
      <c r="AC5176" s="54" t="b">
        <f aca="false">AND(E5176&gt;=01_因子設定!$L$5-0.000000001,E5176&lt;=01_因子設定!$M$5+0.000000001,F5176&gt;=01_因子設定!$L$6-0.000000001,F5176&lt;=01_因子設定!$M$6+0.000000001,G5176&gt;=01_因子設定!$L$7-0.000000001,G5176&lt;=01_因子設定!$M$7+0.000000001,H5176&gt;=01_因子設定!$L$8-0.000000001,H5176&lt;=01_因子設定!$M$8+0.000000001,IF(01_因子設定!$B$20="Box-Behnken",E5176^2+F5176^2+G5176^2+H5176^2&lt;=2+0.000000001,TRUE()))</f>
        <v>1</v>
      </c>
      <c r="AD5176" s="55" t="n">
        <f aca="false">IF(AC5176,IF(01_因子設定!$B$13="最大化",AA5176-01_因子設定!$B$14,IF(01_因子設定!$B$13="最小化",01_因子設定!$B$15-AB5176,MIN(AA5176-01_因子設定!$B$14,01_因子設定!$B$15-AB5176))),-1E+030)</f>
        <v>-5.68213905494763</v>
      </c>
      <c r="AE5176" s="55" t="n">
        <f aca="false">IF(AC5176,IF(01_因子設定!$B$13="最大化",X5176,IF(01_因子設定!$B$13="最小化",-X5176,-ABS(X5176-01_因子設定!$B$16))),-1E+030)</f>
        <v>42.4003517909357</v>
      </c>
      <c r="AF5176" s="55" t="n">
        <f aca="false">AD5176+ROW()*0.000000001</f>
        <v>-5.68213387894763</v>
      </c>
      <c r="AG5176" s="55" t="n">
        <f aca="false">AE5176+ROW()*0.000000001</f>
        <v>42.4003569669357</v>
      </c>
    </row>
    <row r="5177" customFormat="false" ht="15" hidden="false" customHeight="false" outlineLevel="0" collapsed="false">
      <c r="A5177" s="0" t="n">
        <v>7</v>
      </c>
      <c r="B5177" s="0" t="n">
        <v>0</v>
      </c>
      <c r="C5177" s="0" t="n">
        <v>7</v>
      </c>
      <c r="D5177" s="0" t="n">
        <v>6</v>
      </c>
      <c r="E5177" s="0" t="n">
        <f aca="false">-1+A5177*0.25</f>
        <v>0.75</v>
      </c>
      <c r="F5177" s="0" t="n">
        <f aca="false">-1+B5177*0.25</f>
        <v>-1</v>
      </c>
      <c r="G5177" s="0" t="n">
        <f aca="false">-1+C5177*0.25</f>
        <v>0.75</v>
      </c>
      <c r="H5177" s="0" t="n">
        <f aca="false">-1+D5177*0.25</f>
        <v>0.5</v>
      </c>
      <c r="I5177" s="0" t="n">
        <f aca="false">1</f>
        <v>1</v>
      </c>
      <c r="J5177" s="0" t="n">
        <f aca="false">E5177</f>
        <v>0.75</v>
      </c>
      <c r="K5177" s="0" t="n">
        <f aca="false">F5177</f>
        <v>-1</v>
      </c>
      <c r="L5177" s="0" t="n">
        <f aca="false">G5177</f>
        <v>0.75</v>
      </c>
      <c r="M5177" s="0" t="n">
        <f aca="false">H5177</f>
        <v>0.5</v>
      </c>
      <c r="N5177" s="0" t="n">
        <f aca="false">E5177*F5177</f>
        <v>-0.75</v>
      </c>
      <c r="O5177" s="0" t="n">
        <f aca="false">E5177*G5177</f>
        <v>0.5625</v>
      </c>
      <c r="P5177" s="0" t="n">
        <f aca="false">E5177*H5177</f>
        <v>0.375</v>
      </c>
      <c r="Q5177" s="0" t="n">
        <f aca="false">F5177*G5177</f>
        <v>-0.75</v>
      </c>
      <c r="R5177" s="0" t="n">
        <f aca="false">F5177*H5177</f>
        <v>-0.5</v>
      </c>
      <c r="S5177" s="0" t="n">
        <f aca="false">G5177*H5177</f>
        <v>0.375</v>
      </c>
      <c r="T5177" s="0" t="n">
        <f aca="false">E5177*E5177</f>
        <v>0.5625</v>
      </c>
      <c r="U5177" s="0" t="n">
        <f aca="false">F5177*F5177</f>
        <v>1</v>
      </c>
      <c r="V5177" s="0" t="n">
        <f aca="false">G5177*G5177</f>
        <v>0.5625</v>
      </c>
      <c r="W5177" s="0" t="n">
        <f aca="false">H5177*H5177</f>
        <v>0.25</v>
      </c>
      <c r="X5177" s="0" t="n">
        <f aca="false">SUMPRODUCT(I5177:W5177,_XtX!$B$96:$P$96)</f>
        <v>42.5604989035088</v>
      </c>
      <c r="Y5177" s="0" t="n">
        <f aca="false">SUMPRODUCT(MMULT(I5177:W5177,_XtX!$B$78:$P$92),I5177:W5177)</f>
        <v>0.431153771472953</v>
      </c>
      <c r="Z5177" s="0" t="n">
        <f aca="false">04_回帰ANOVA!$K$19*04_回帰ANOVA!$K$14*SQRT(1+Y5177)</f>
        <v>1.55934259562563</v>
      </c>
      <c r="AA5177" s="0" t="n">
        <f aca="false">X5177-Z5177</f>
        <v>41.0011563078831</v>
      </c>
      <c r="AB5177" s="0" t="n">
        <f aca="false">X5177+Z5177</f>
        <v>44.1198414991344</v>
      </c>
      <c r="AC5177" s="54" t="b">
        <f aca="false">AND(E5177&gt;=01_因子設定!$L$5-0.000000001,E5177&lt;=01_因子設定!$M$5+0.000000001,F5177&gt;=01_因子設定!$L$6-0.000000001,F5177&lt;=01_因子設定!$M$6+0.000000001,G5177&gt;=01_因子設定!$L$7-0.000000001,G5177&lt;=01_因子設定!$M$7+0.000000001,H5177&gt;=01_因子設定!$L$8-0.000000001,H5177&lt;=01_因子設定!$M$8+0.000000001,IF(01_因子設定!$B$20="Box-Behnken",E5177^2+F5177^2+G5177^2+H5177^2&lt;=2+0.000000001,TRUE()))</f>
        <v>1</v>
      </c>
      <c r="AD5177" s="55" t="n">
        <f aca="false">IF(AC5177,IF(01_因子設定!$B$13="最大化",AA5177-01_因子設定!$B$14,IF(01_因子設定!$B$13="最小化",01_因子設定!$B$15-AB5177,MIN(AA5177-01_因子設定!$B$14,01_因子設定!$B$15-AB5177))),-1E+030)</f>
        <v>-5.49884369211686</v>
      </c>
      <c r="AE5177" s="55" t="n">
        <f aca="false">IF(AC5177,IF(01_因子設定!$B$13="最大化",X5177,IF(01_因子設定!$B$13="最小化",-X5177,-ABS(X5177-01_因子設定!$B$16))),-1E+030)</f>
        <v>42.5604989035088</v>
      </c>
      <c r="AF5177" s="55" t="n">
        <f aca="false">AD5177+ROW()*0.000000001</f>
        <v>-5.49883851511686</v>
      </c>
      <c r="AG5177" s="55" t="n">
        <f aca="false">AE5177+ROW()*0.000000001</f>
        <v>42.5605040805088</v>
      </c>
    </row>
    <row r="5178" customFormat="false" ht="15" hidden="false" customHeight="false" outlineLevel="0" collapsed="false">
      <c r="A5178" s="0" t="n">
        <v>7</v>
      </c>
      <c r="B5178" s="0" t="n">
        <v>0</v>
      </c>
      <c r="C5178" s="0" t="n">
        <v>7</v>
      </c>
      <c r="D5178" s="0" t="n">
        <v>7</v>
      </c>
      <c r="E5178" s="0" t="n">
        <f aca="false">-1+A5178*0.25</f>
        <v>0.75</v>
      </c>
      <c r="F5178" s="0" t="n">
        <f aca="false">-1+B5178*0.25</f>
        <v>-1</v>
      </c>
      <c r="G5178" s="0" t="n">
        <f aca="false">-1+C5178*0.25</f>
        <v>0.75</v>
      </c>
      <c r="H5178" s="0" t="n">
        <f aca="false">-1+D5178*0.25</f>
        <v>0.75</v>
      </c>
      <c r="I5178" s="0" t="n">
        <f aca="false">1</f>
        <v>1</v>
      </c>
      <c r="J5178" s="0" t="n">
        <f aca="false">E5178</f>
        <v>0.75</v>
      </c>
      <c r="K5178" s="0" t="n">
        <f aca="false">F5178</f>
        <v>-1</v>
      </c>
      <c r="L5178" s="0" t="n">
        <f aca="false">G5178</f>
        <v>0.75</v>
      </c>
      <c r="M5178" s="0" t="n">
        <f aca="false">H5178</f>
        <v>0.75</v>
      </c>
      <c r="N5178" s="0" t="n">
        <f aca="false">E5178*F5178</f>
        <v>-0.75</v>
      </c>
      <c r="O5178" s="0" t="n">
        <f aca="false">E5178*G5178</f>
        <v>0.5625</v>
      </c>
      <c r="P5178" s="0" t="n">
        <f aca="false">E5178*H5178</f>
        <v>0.5625</v>
      </c>
      <c r="Q5178" s="0" t="n">
        <f aca="false">F5178*G5178</f>
        <v>-0.75</v>
      </c>
      <c r="R5178" s="0" t="n">
        <f aca="false">F5178*H5178</f>
        <v>-0.75</v>
      </c>
      <c r="S5178" s="0" t="n">
        <f aca="false">G5178*H5178</f>
        <v>0.5625</v>
      </c>
      <c r="T5178" s="0" t="n">
        <f aca="false">E5178*E5178</f>
        <v>0.5625</v>
      </c>
      <c r="U5178" s="0" t="n">
        <f aca="false">F5178*F5178</f>
        <v>1</v>
      </c>
      <c r="V5178" s="0" t="n">
        <f aca="false">G5178*G5178</f>
        <v>0.5625</v>
      </c>
      <c r="W5178" s="0" t="n">
        <f aca="false">H5178*H5178</f>
        <v>0.5625</v>
      </c>
      <c r="X5178" s="0" t="n">
        <f aca="false">SUMPRODUCT(I5178:W5178,_XtX!$B$96:$P$96)</f>
        <v>42.672838998538</v>
      </c>
      <c r="Y5178" s="0" t="n">
        <f aca="false">SUMPRODUCT(MMULT(I5178:W5178,_XtX!$B$78:$P$92),I5178:W5178)</f>
        <v>0.420117473044591</v>
      </c>
      <c r="Z5178" s="0" t="n">
        <f aca="false">04_回帰ANOVA!$K$19*04_回帰ANOVA!$K$14*SQRT(1+Y5178)</f>
        <v>1.55331854827765</v>
      </c>
      <c r="AA5178" s="0" t="n">
        <f aca="false">X5178-Z5178</f>
        <v>41.1195204502604</v>
      </c>
      <c r="AB5178" s="0" t="n">
        <f aca="false">X5178+Z5178</f>
        <v>44.2261575468157</v>
      </c>
      <c r="AC5178" s="54" t="b">
        <f aca="false">AND(E5178&gt;=01_因子設定!$L$5-0.000000001,E5178&lt;=01_因子設定!$M$5+0.000000001,F5178&gt;=01_因子設定!$L$6-0.000000001,F5178&lt;=01_因子設定!$M$6+0.000000001,G5178&gt;=01_因子設定!$L$7-0.000000001,G5178&lt;=01_因子設定!$M$7+0.000000001,H5178&gt;=01_因子設定!$L$8-0.000000001,H5178&lt;=01_因子設定!$M$8+0.000000001,IF(01_因子設定!$B$20="Box-Behnken",E5178^2+F5178^2+G5178^2+H5178^2&lt;=2+0.000000001,TRUE()))</f>
        <v>1</v>
      </c>
      <c r="AD5178" s="55" t="n">
        <f aca="false">IF(AC5178,IF(01_因子設定!$B$13="最大化",AA5178-01_因子設定!$B$14,IF(01_因子設定!$B$13="最小化",01_因子設定!$B$15-AB5178,MIN(AA5178-01_因子設定!$B$14,01_因子設定!$B$15-AB5178))),-1E+030)</f>
        <v>-5.38047954973963</v>
      </c>
      <c r="AE5178" s="55" t="n">
        <f aca="false">IF(AC5178,IF(01_因子設定!$B$13="最大化",X5178,IF(01_因子設定!$B$13="最小化",-X5178,-ABS(X5178-01_因子設定!$B$16))),-1E+030)</f>
        <v>42.672838998538</v>
      </c>
      <c r="AF5178" s="55" t="n">
        <f aca="false">AD5178+ROW()*0.000000001</f>
        <v>-5.38047437173963</v>
      </c>
      <c r="AG5178" s="55" t="n">
        <f aca="false">AE5178+ROW()*0.000000001</f>
        <v>42.672844176538</v>
      </c>
    </row>
    <row r="5179" customFormat="false" ht="15" hidden="false" customHeight="false" outlineLevel="0" collapsed="false">
      <c r="A5179" s="0" t="n">
        <v>7</v>
      </c>
      <c r="B5179" s="0" t="n">
        <v>0</v>
      </c>
      <c r="C5179" s="0" t="n">
        <v>7</v>
      </c>
      <c r="D5179" s="0" t="n">
        <v>8</v>
      </c>
      <c r="E5179" s="0" t="n">
        <f aca="false">-1+A5179*0.25</f>
        <v>0.75</v>
      </c>
      <c r="F5179" s="0" t="n">
        <f aca="false">-1+B5179*0.25</f>
        <v>-1</v>
      </c>
      <c r="G5179" s="0" t="n">
        <f aca="false">-1+C5179*0.25</f>
        <v>0.75</v>
      </c>
      <c r="H5179" s="0" t="n">
        <f aca="false">-1+D5179*0.25</f>
        <v>1</v>
      </c>
      <c r="I5179" s="0" t="n">
        <f aca="false">1</f>
        <v>1</v>
      </c>
      <c r="J5179" s="0" t="n">
        <f aca="false">E5179</f>
        <v>0.75</v>
      </c>
      <c r="K5179" s="0" t="n">
        <f aca="false">F5179</f>
        <v>-1</v>
      </c>
      <c r="L5179" s="0" t="n">
        <f aca="false">G5179</f>
        <v>0.75</v>
      </c>
      <c r="M5179" s="0" t="n">
        <f aca="false">H5179</f>
        <v>1</v>
      </c>
      <c r="N5179" s="0" t="n">
        <f aca="false">E5179*F5179</f>
        <v>-0.75</v>
      </c>
      <c r="O5179" s="0" t="n">
        <f aca="false">E5179*G5179</f>
        <v>0.5625</v>
      </c>
      <c r="P5179" s="0" t="n">
        <f aca="false">E5179*H5179</f>
        <v>0.75</v>
      </c>
      <c r="Q5179" s="0" t="n">
        <f aca="false">F5179*G5179</f>
        <v>-0.75</v>
      </c>
      <c r="R5179" s="0" t="n">
        <f aca="false">F5179*H5179</f>
        <v>-1</v>
      </c>
      <c r="S5179" s="0" t="n">
        <f aca="false">G5179*H5179</f>
        <v>0.75</v>
      </c>
      <c r="T5179" s="0" t="n">
        <f aca="false">E5179*E5179</f>
        <v>0.5625</v>
      </c>
      <c r="U5179" s="0" t="n">
        <f aca="false">F5179*F5179</f>
        <v>1</v>
      </c>
      <c r="V5179" s="0" t="n">
        <f aca="false">G5179*G5179</f>
        <v>0.5625</v>
      </c>
      <c r="W5179" s="0" t="n">
        <f aca="false">H5179*H5179</f>
        <v>1</v>
      </c>
      <c r="X5179" s="0" t="n">
        <f aca="false">SUMPRODUCT(I5179:W5179,_XtX!$B$96:$P$96)</f>
        <v>42.7373720760234</v>
      </c>
      <c r="Y5179" s="0" t="n">
        <f aca="false">SUMPRODUCT(MMULT(I5179:W5179,_XtX!$B$78:$P$92),I5179:W5179)</f>
        <v>0.531311392086988</v>
      </c>
      <c r="Z5179" s="0" t="n">
        <f aca="false">04_回帰ANOVA!$K$19*04_回帰ANOVA!$K$14*SQRT(1+Y5179)</f>
        <v>1.61298433431428</v>
      </c>
      <c r="AA5179" s="0" t="n">
        <f aca="false">X5179-Z5179</f>
        <v>41.1243877417091</v>
      </c>
      <c r="AB5179" s="0" t="n">
        <f aca="false">X5179+Z5179</f>
        <v>44.3503564103377</v>
      </c>
      <c r="AC5179" s="54" t="b">
        <f aca="false">AND(E5179&gt;=01_因子設定!$L$5-0.000000001,E5179&lt;=01_因子設定!$M$5+0.000000001,F5179&gt;=01_因子設定!$L$6-0.000000001,F5179&lt;=01_因子設定!$M$6+0.000000001,G5179&gt;=01_因子設定!$L$7-0.000000001,G5179&lt;=01_因子設定!$M$7+0.000000001,H5179&gt;=01_因子設定!$L$8-0.000000001,H5179&lt;=01_因子設定!$M$8+0.000000001,IF(01_因子設定!$B$20="Box-Behnken",E5179^2+F5179^2+G5179^2+H5179^2&lt;=2+0.000000001,TRUE()))</f>
        <v>1</v>
      </c>
      <c r="AD5179" s="55" t="n">
        <f aca="false">IF(AC5179,IF(01_因子設定!$B$13="最大化",AA5179-01_因子設定!$B$14,IF(01_因子設定!$B$13="最小化",01_因子設定!$B$15-AB5179,MIN(AA5179-01_因子設定!$B$14,01_因子設定!$B$15-AB5179))),-1E+030)</f>
        <v>-5.37561225829087</v>
      </c>
      <c r="AE5179" s="55" t="n">
        <f aca="false">IF(AC5179,IF(01_因子設定!$B$13="最大化",X5179,IF(01_因子設定!$B$13="最小化",-X5179,-ABS(X5179-01_因子設定!$B$16))),-1E+030)</f>
        <v>42.7373720760234</v>
      </c>
      <c r="AF5179" s="55" t="n">
        <f aca="false">AD5179+ROW()*0.000000001</f>
        <v>-5.37560707929087</v>
      </c>
      <c r="AG5179" s="55" t="n">
        <f aca="false">AE5179+ROW()*0.000000001</f>
        <v>42.7373772550234</v>
      </c>
    </row>
    <row r="5180" customFormat="false" ht="15" hidden="false" customHeight="false" outlineLevel="0" collapsed="false">
      <c r="A5180" s="0" t="n">
        <v>7</v>
      </c>
      <c r="B5180" s="0" t="n">
        <v>0</v>
      </c>
      <c r="C5180" s="0" t="n">
        <v>8</v>
      </c>
      <c r="D5180" s="0" t="n">
        <v>0</v>
      </c>
      <c r="E5180" s="0" t="n">
        <f aca="false">-1+A5180*0.25</f>
        <v>0.75</v>
      </c>
      <c r="F5180" s="0" t="n">
        <f aca="false">-1+B5180*0.25</f>
        <v>-1</v>
      </c>
      <c r="G5180" s="0" t="n">
        <f aca="false">-1+C5180*0.25</f>
        <v>1</v>
      </c>
      <c r="H5180" s="0" t="n">
        <f aca="false">-1+D5180*0.25</f>
        <v>-1</v>
      </c>
      <c r="I5180" s="0" t="n">
        <f aca="false">1</f>
        <v>1</v>
      </c>
      <c r="J5180" s="0" t="n">
        <f aca="false">E5180</f>
        <v>0.75</v>
      </c>
      <c r="K5180" s="0" t="n">
        <f aca="false">F5180</f>
        <v>-1</v>
      </c>
      <c r="L5180" s="0" t="n">
        <f aca="false">G5180</f>
        <v>1</v>
      </c>
      <c r="M5180" s="0" t="n">
        <f aca="false">H5180</f>
        <v>-1</v>
      </c>
      <c r="N5180" s="0" t="n">
        <f aca="false">E5180*F5180</f>
        <v>-0.75</v>
      </c>
      <c r="O5180" s="0" t="n">
        <f aca="false">E5180*G5180</f>
        <v>0.75</v>
      </c>
      <c r="P5180" s="0" t="n">
        <f aca="false">E5180*H5180</f>
        <v>-0.75</v>
      </c>
      <c r="Q5180" s="0" t="n">
        <f aca="false">F5180*G5180</f>
        <v>-1</v>
      </c>
      <c r="R5180" s="0" t="n">
        <f aca="false">F5180*H5180</f>
        <v>1</v>
      </c>
      <c r="S5180" s="0" t="n">
        <f aca="false">G5180*H5180</f>
        <v>-1</v>
      </c>
      <c r="T5180" s="0" t="n">
        <f aca="false">E5180*E5180</f>
        <v>0.5625</v>
      </c>
      <c r="U5180" s="0" t="n">
        <f aca="false">F5180*F5180</f>
        <v>1</v>
      </c>
      <c r="V5180" s="0" t="n">
        <f aca="false">G5180*G5180</f>
        <v>1</v>
      </c>
      <c r="W5180" s="0" t="n">
        <f aca="false">H5180*H5180</f>
        <v>1</v>
      </c>
      <c r="X5180" s="0" t="n">
        <f aca="false">SUMPRODUCT(I5180:W5180,_XtX!$B$96:$P$96)</f>
        <v>40.5578947368421</v>
      </c>
      <c r="Y5180" s="0" t="n">
        <f aca="false">SUMPRODUCT(MMULT(I5180:W5180,_XtX!$B$78:$P$92),I5180:W5180)</f>
        <v>0.610814144736842</v>
      </c>
      <c r="Z5180" s="0" t="n">
        <f aca="false">04_回帰ANOVA!$K$19*04_回帰ANOVA!$K$14*SQRT(1+Y5180)</f>
        <v>1.6543260558361</v>
      </c>
      <c r="AA5180" s="0" t="n">
        <f aca="false">X5180-Z5180</f>
        <v>38.903568681006</v>
      </c>
      <c r="AB5180" s="0" t="n">
        <f aca="false">X5180+Z5180</f>
        <v>42.2122207926782</v>
      </c>
      <c r="AC5180" s="54" t="b">
        <f aca="false">AND(E5180&gt;=01_因子設定!$L$5-0.000000001,E5180&lt;=01_因子設定!$M$5+0.000000001,F5180&gt;=01_因子設定!$L$6-0.000000001,F5180&lt;=01_因子設定!$M$6+0.000000001,G5180&gt;=01_因子設定!$L$7-0.000000001,G5180&lt;=01_因子設定!$M$7+0.000000001,H5180&gt;=01_因子設定!$L$8-0.000000001,H5180&lt;=01_因子設定!$M$8+0.000000001,IF(01_因子設定!$B$20="Box-Behnken",E5180^2+F5180^2+G5180^2+H5180^2&lt;=2+0.000000001,TRUE()))</f>
        <v>1</v>
      </c>
      <c r="AD5180" s="55" t="n">
        <f aca="false">IF(AC5180,IF(01_因子設定!$B$13="最大化",AA5180-01_因子設定!$B$14,IF(01_因子設定!$B$13="最小化",01_因子設定!$B$15-AB5180,MIN(AA5180-01_因子設定!$B$14,01_因子設定!$B$15-AB5180))),-1E+030)</f>
        <v>-7.59643131899396</v>
      </c>
      <c r="AE5180" s="55" t="n">
        <f aca="false">IF(AC5180,IF(01_因子設定!$B$13="最大化",X5180,IF(01_因子設定!$B$13="最小化",-X5180,-ABS(X5180-01_因子設定!$B$16))),-1E+030)</f>
        <v>40.5578947368421</v>
      </c>
      <c r="AF5180" s="55" t="n">
        <f aca="false">AD5180+ROW()*0.000000001</f>
        <v>-7.59642613899397</v>
      </c>
      <c r="AG5180" s="55" t="n">
        <f aca="false">AE5180+ROW()*0.000000001</f>
        <v>40.5578999168421</v>
      </c>
    </row>
    <row r="5181" customFormat="false" ht="15" hidden="false" customHeight="false" outlineLevel="0" collapsed="false">
      <c r="A5181" s="0" t="n">
        <v>7</v>
      </c>
      <c r="B5181" s="0" t="n">
        <v>0</v>
      </c>
      <c r="C5181" s="0" t="n">
        <v>8</v>
      </c>
      <c r="D5181" s="0" t="n">
        <v>1</v>
      </c>
      <c r="E5181" s="0" t="n">
        <f aca="false">-1+A5181*0.25</f>
        <v>0.75</v>
      </c>
      <c r="F5181" s="0" t="n">
        <f aca="false">-1+B5181*0.25</f>
        <v>-1</v>
      </c>
      <c r="G5181" s="0" t="n">
        <f aca="false">-1+C5181*0.25</f>
        <v>1</v>
      </c>
      <c r="H5181" s="0" t="n">
        <f aca="false">-1+D5181*0.25</f>
        <v>-0.75</v>
      </c>
      <c r="I5181" s="0" t="n">
        <f aca="false">1</f>
        <v>1</v>
      </c>
      <c r="J5181" s="0" t="n">
        <f aca="false">E5181</f>
        <v>0.75</v>
      </c>
      <c r="K5181" s="0" t="n">
        <f aca="false">F5181</f>
        <v>-1</v>
      </c>
      <c r="L5181" s="0" t="n">
        <f aca="false">G5181</f>
        <v>1</v>
      </c>
      <c r="M5181" s="0" t="n">
        <f aca="false">H5181</f>
        <v>-0.75</v>
      </c>
      <c r="N5181" s="0" t="n">
        <f aca="false">E5181*F5181</f>
        <v>-0.75</v>
      </c>
      <c r="O5181" s="0" t="n">
        <f aca="false">E5181*G5181</f>
        <v>0.75</v>
      </c>
      <c r="P5181" s="0" t="n">
        <f aca="false">E5181*H5181</f>
        <v>-0.5625</v>
      </c>
      <c r="Q5181" s="0" t="n">
        <f aca="false">F5181*G5181</f>
        <v>-1</v>
      </c>
      <c r="R5181" s="0" t="n">
        <f aca="false">F5181*H5181</f>
        <v>0.75</v>
      </c>
      <c r="S5181" s="0" t="n">
        <f aca="false">G5181*H5181</f>
        <v>-0.75</v>
      </c>
      <c r="T5181" s="0" t="n">
        <f aca="false">E5181*E5181</f>
        <v>0.5625</v>
      </c>
      <c r="U5181" s="0" t="n">
        <f aca="false">F5181*F5181</f>
        <v>1</v>
      </c>
      <c r="V5181" s="0" t="n">
        <f aca="false">G5181*G5181</f>
        <v>1</v>
      </c>
      <c r="W5181" s="0" t="n">
        <f aca="false">H5181*H5181</f>
        <v>0.5625</v>
      </c>
      <c r="X5181" s="0" t="n">
        <f aca="false">SUMPRODUCT(I5181:W5181,_XtX!$B$96:$P$96)</f>
        <v>40.9750456871345</v>
      </c>
      <c r="Y5181" s="0" t="n">
        <f aca="false">SUMPRODUCT(MMULT(I5181:W5181,_XtX!$B$78:$P$92),I5181:W5181)</f>
        <v>0.531311392086988</v>
      </c>
      <c r="Z5181" s="0" t="n">
        <f aca="false">04_回帰ANOVA!$K$19*04_回帰ANOVA!$K$14*SQRT(1+Y5181)</f>
        <v>1.61298433431428</v>
      </c>
      <c r="AA5181" s="0" t="n">
        <f aca="false">X5181-Z5181</f>
        <v>39.3620613528202</v>
      </c>
      <c r="AB5181" s="0" t="n">
        <f aca="false">X5181+Z5181</f>
        <v>42.5880300214488</v>
      </c>
      <c r="AC5181" s="54" t="b">
        <f aca="false">AND(E5181&gt;=01_因子設定!$L$5-0.000000001,E5181&lt;=01_因子設定!$M$5+0.000000001,F5181&gt;=01_因子設定!$L$6-0.000000001,F5181&lt;=01_因子設定!$M$6+0.000000001,G5181&gt;=01_因子設定!$L$7-0.000000001,G5181&lt;=01_因子設定!$M$7+0.000000001,H5181&gt;=01_因子設定!$L$8-0.000000001,H5181&lt;=01_因子設定!$M$8+0.000000001,IF(01_因子設定!$B$20="Box-Behnken",E5181^2+F5181^2+G5181^2+H5181^2&lt;=2+0.000000001,TRUE()))</f>
        <v>1</v>
      </c>
      <c r="AD5181" s="55" t="n">
        <f aca="false">IF(AC5181,IF(01_因子設定!$B$13="最大化",AA5181-01_因子設定!$B$14,IF(01_因子設定!$B$13="最小化",01_因子設定!$B$15-AB5181,MIN(AA5181-01_因子設定!$B$14,01_因子設定!$B$15-AB5181))),-1E+030)</f>
        <v>-7.13793864717977</v>
      </c>
      <c r="AE5181" s="55" t="n">
        <f aca="false">IF(AC5181,IF(01_因子設定!$B$13="最大化",X5181,IF(01_因子設定!$B$13="最小化",-X5181,-ABS(X5181-01_因子設定!$B$16))),-1E+030)</f>
        <v>40.9750456871345</v>
      </c>
      <c r="AF5181" s="55" t="n">
        <f aca="false">AD5181+ROW()*0.000000001</f>
        <v>-7.13793346617977</v>
      </c>
      <c r="AG5181" s="55" t="n">
        <f aca="false">AE5181+ROW()*0.000000001</f>
        <v>40.9750508681345</v>
      </c>
    </row>
    <row r="5182" customFormat="false" ht="15" hidden="false" customHeight="false" outlineLevel="0" collapsed="false">
      <c r="A5182" s="0" t="n">
        <v>7</v>
      </c>
      <c r="B5182" s="0" t="n">
        <v>0</v>
      </c>
      <c r="C5182" s="0" t="n">
        <v>8</v>
      </c>
      <c r="D5182" s="0" t="n">
        <v>2</v>
      </c>
      <c r="E5182" s="0" t="n">
        <f aca="false">-1+A5182*0.25</f>
        <v>0.75</v>
      </c>
      <c r="F5182" s="0" t="n">
        <f aca="false">-1+B5182*0.25</f>
        <v>-1</v>
      </c>
      <c r="G5182" s="0" t="n">
        <f aca="false">-1+C5182*0.25</f>
        <v>1</v>
      </c>
      <c r="H5182" s="0" t="n">
        <f aca="false">-1+D5182*0.25</f>
        <v>-0.5</v>
      </c>
      <c r="I5182" s="0" t="n">
        <f aca="false">1</f>
        <v>1</v>
      </c>
      <c r="J5182" s="0" t="n">
        <f aca="false">E5182</f>
        <v>0.75</v>
      </c>
      <c r="K5182" s="0" t="n">
        <f aca="false">F5182</f>
        <v>-1</v>
      </c>
      <c r="L5182" s="0" t="n">
        <f aca="false">G5182</f>
        <v>1</v>
      </c>
      <c r="M5182" s="0" t="n">
        <f aca="false">H5182</f>
        <v>-0.5</v>
      </c>
      <c r="N5182" s="0" t="n">
        <f aca="false">E5182*F5182</f>
        <v>-0.75</v>
      </c>
      <c r="O5182" s="0" t="n">
        <f aca="false">E5182*G5182</f>
        <v>0.75</v>
      </c>
      <c r="P5182" s="0" t="n">
        <f aca="false">E5182*H5182</f>
        <v>-0.375</v>
      </c>
      <c r="Q5182" s="0" t="n">
        <f aca="false">F5182*G5182</f>
        <v>-1</v>
      </c>
      <c r="R5182" s="0" t="n">
        <f aca="false">F5182*H5182</f>
        <v>0.5</v>
      </c>
      <c r="S5182" s="0" t="n">
        <f aca="false">G5182*H5182</f>
        <v>-0.5</v>
      </c>
      <c r="T5182" s="0" t="n">
        <f aca="false">E5182*E5182</f>
        <v>0.5625</v>
      </c>
      <c r="U5182" s="0" t="n">
        <f aca="false">F5182*F5182</f>
        <v>1</v>
      </c>
      <c r="V5182" s="0" t="n">
        <f aca="false">G5182*G5182</f>
        <v>1</v>
      </c>
      <c r="W5182" s="0" t="n">
        <f aca="false">H5182*H5182</f>
        <v>0.25</v>
      </c>
      <c r="X5182" s="0" t="n">
        <f aca="false">SUMPRODUCT(I5182:W5182,_XtX!$B$96:$P$96)</f>
        <v>41.344389619883</v>
      </c>
      <c r="Y5182" s="0" t="n">
        <f aca="false">SUMPRODUCT(MMULT(I5182:W5182,_XtX!$B$78:$P$92),I5182:W5182)</f>
        <v>0.564984237938597</v>
      </c>
      <c r="Z5182" s="0" t="n">
        <f aca="false">04_回帰ANOVA!$K$19*04_回帰ANOVA!$K$14*SQRT(1+Y5182)</f>
        <v>1.63062229734503</v>
      </c>
      <c r="AA5182" s="0" t="n">
        <f aca="false">X5182-Z5182</f>
        <v>39.713767322538</v>
      </c>
      <c r="AB5182" s="0" t="n">
        <f aca="false">X5182+Z5182</f>
        <v>42.9750119172281</v>
      </c>
      <c r="AC5182" s="54" t="b">
        <f aca="false">AND(E5182&gt;=01_因子設定!$L$5-0.000000001,E5182&lt;=01_因子設定!$M$5+0.000000001,F5182&gt;=01_因子設定!$L$6-0.000000001,F5182&lt;=01_因子設定!$M$6+0.000000001,G5182&gt;=01_因子設定!$L$7-0.000000001,G5182&lt;=01_因子設定!$M$7+0.000000001,H5182&gt;=01_因子設定!$L$8-0.000000001,H5182&lt;=01_因子設定!$M$8+0.000000001,IF(01_因子設定!$B$20="Box-Behnken",E5182^2+F5182^2+G5182^2+H5182^2&lt;=2+0.000000001,TRUE()))</f>
        <v>1</v>
      </c>
      <c r="AD5182" s="55" t="n">
        <f aca="false">IF(AC5182,IF(01_因子設定!$B$13="最大化",AA5182-01_因子設定!$B$14,IF(01_因子設定!$B$13="最小化",01_因子設定!$B$15-AB5182,MIN(AA5182-01_因子設定!$B$14,01_因子設定!$B$15-AB5182))),-1E+030)</f>
        <v>-6.786232677462</v>
      </c>
      <c r="AE5182" s="55" t="n">
        <f aca="false">IF(AC5182,IF(01_因子設定!$B$13="最大化",X5182,IF(01_因子設定!$B$13="最小化",-X5182,-ABS(X5182-01_因子設定!$B$16))),-1E+030)</f>
        <v>41.344389619883</v>
      </c>
      <c r="AF5182" s="55" t="n">
        <f aca="false">AD5182+ROW()*0.000000001</f>
        <v>-6.786227495462</v>
      </c>
      <c r="AG5182" s="55" t="n">
        <f aca="false">AE5182+ROW()*0.000000001</f>
        <v>41.344394801883</v>
      </c>
    </row>
    <row r="5183" customFormat="false" ht="15" hidden="false" customHeight="false" outlineLevel="0" collapsed="false">
      <c r="A5183" s="0" t="n">
        <v>7</v>
      </c>
      <c r="B5183" s="0" t="n">
        <v>0</v>
      </c>
      <c r="C5183" s="0" t="n">
        <v>8</v>
      </c>
      <c r="D5183" s="0" t="n">
        <v>3</v>
      </c>
      <c r="E5183" s="0" t="n">
        <f aca="false">-1+A5183*0.25</f>
        <v>0.75</v>
      </c>
      <c r="F5183" s="0" t="n">
        <f aca="false">-1+B5183*0.25</f>
        <v>-1</v>
      </c>
      <c r="G5183" s="0" t="n">
        <f aca="false">-1+C5183*0.25</f>
        <v>1</v>
      </c>
      <c r="H5183" s="0" t="n">
        <f aca="false">-1+D5183*0.25</f>
        <v>-0.25</v>
      </c>
      <c r="I5183" s="0" t="n">
        <f aca="false">1</f>
        <v>1</v>
      </c>
      <c r="J5183" s="0" t="n">
        <f aca="false">E5183</f>
        <v>0.75</v>
      </c>
      <c r="K5183" s="0" t="n">
        <f aca="false">F5183</f>
        <v>-1</v>
      </c>
      <c r="L5183" s="0" t="n">
        <f aca="false">G5183</f>
        <v>1</v>
      </c>
      <c r="M5183" s="0" t="n">
        <f aca="false">H5183</f>
        <v>-0.25</v>
      </c>
      <c r="N5183" s="0" t="n">
        <f aca="false">E5183*F5183</f>
        <v>-0.75</v>
      </c>
      <c r="O5183" s="0" t="n">
        <f aca="false">E5183*G5183</f>
        <v>0.75</v>
      </c>
      <c r="P5183" s="0" t="n">
        <f aca="false">E5183*H5183</f>
        <v>-0.1875</v>
      </c>
      <c r="Q5183" s="0" t="n">
        <f aca="false">F5183*G5183</f>
        <v>-1</v>
      </c>
      <c r="R5183" s="0" t="n">
        <f aca="false">F5183*H5183</f>
        <v>0.25</v>
      </c>
      <c r="S5183" s="0" t="n">
        <f aca="false">G5183*H5183</f>
        <v>-0.25</v>
      </c>
      <c r="T5183" s="0" t="n">
        <f aca="false">E5183*E5183</f>
        <v>0.5625</v>
      </c>
      <c r="U5183" s="0" t="n">
        <f aca="false">F5183*F5183</f>
        <v>1</v>
      </c>
      <c r="V5183" s="0" t="n">
        <f aca="false">G5183*G5183</f>
        <v>1</v>
      </c>
      <c r="W5183" s="0" t="n">
        <f aca="false">H5183*H5183</f>
        <v>0.0625</v>
      </c>
      <c r="X5183" s="0" t="n">
        <f aca="false">SUMPRODUCT(I5183:W5183,_XtX!$B$96:$P$96)</f>
        <v>41.6659265350877</v>
      </c>
      <c r="Y5183" s="0" t="n">
        <f aca="false">SUMPRODUCT(MMULT(I5183:W5183,_XtX!$B$78:$P$92),I5183:W5183)</f>
        <v>0.621372155975877</v>
      </c>
      <c r="Z5183" s="0" t="n">
        <f aca="false">04_回帰ANOVA!$K$19*04_回帰ANOVA!$K$14*SQRT(1+Y5183)</f>
        <v>1.65973880499872</v>
      </c>
      <c r="AA5183" s="0" t="n">
        <f aca="false">X5183-Z5183</f>
        <v>40.006187730089</v>
      </c>
      <c r="AB5183" s="0" t="n">
        <f aca="false">X5183+Z5183</f>
        <v>43.3256653400864</v>
      </c>
      <c r="AC5183" s="54" t="b">
        <f aca="false">AND(E5183&gt;=01_因子設定!$L$5-0.000000001,E5183&lt;=01_因子設定!$M$5+0.000000001,F5183&gt;=01_因子設定!$L$6-0.000000001,F5183&lt;=01_因子設定!$M$6+0.000000001,G5183&gt;=01_因子設定!$L$7-0.000000001,G5183&lt;=01_因子設定!$M$7+0.000000001,H5183&gt;=01_因子設定!$L$8-0.000000001,H5183&lt;=01_因子設定!$M$8+0.000000001,IF(01_因子設定!$B$20="Box-Behnken",E5183^2+F5183^2+G5183^2+H5183^2&lt;=2+0.000000001,TRUE()))</f>
        <v>1</v>
      </c>
      <c r="AD5183" s="55" t="n">
        <f aca="false">IF(AC5183,IF(01_因子設定!$B$13="最大化",AA5183-01_因子設定!$B$14,IF(01_因子設定!$B$13="最小化",01_因子設定!$B$15-AB5183,MIN(AA5183-01_因子設定!$B$14,01_因子設定!$B$15-AB5183))),-1E+030)</f>
        <v>-6.49381226991101</v>
      </c>
      <c r="AE5183" s="55" t="n">
        <f aca="false">IF(AC5183,IF(01_因子設定!$B$13="最大化",X5183,IF(01_因子設定!$B$13="最小化",-X5183,-ABS(X5183-01_因子設定!$B$16))),-1E+030)</f>
        <v>41.6659265350877</v>
      </c>
      <c r="AF5183" s="55" t="n">
        <f aca="false">AD5183+ROW()*0.000000001</f>
        <v>-6.49380708691101</v>
      </c>
      <c r="AG5183" s="55" t="n">
        <f aca="false">AE5183+ROW()*0.000000001</f>
        <v>41.6659317180877</v>
      </c>
    </row>
    <row r="5184" customFormat="false" ht="15" hidden="false" customHeight="false" outlineLevel="0" collapsed="false">
      <c r="A5184" s="0" t="n">
        <v>7</v>
      </c>
      <c r="B5184" s="0" t="n">
        <v>0</v>
      </c>
      <c r="C5184" s="0" t="n">
        <v>8</v>
      </c>
      <c r="D5184" s="0" t="n">
        <v>4</v>
      </c>
      <c r="E5184" s="0" t="n">
        <f aca="false">-1+A5184*0.25</f>
        <v>0.75</v>
      </c>
      <c r="F5184" s="0" t="n">
        <f aca="false">-1+B5184*0.25</f>
        <v>-1</v>
      </c>
      <c r="G5184" s="0" t="n">
        <f aca="false">-1+C5184*0.25</f>
        <v>1</v>
      </c>
      <c r="H5184" s="0" t="n">
        <f aca="false">-1+D5184*0.25</f>
        <v>0</v>
      </c>
      <c r="I5184" s="0" t="n">
        <f aca="false">1</f>
        <v>1</v>
      </c>
      <c r="J5184" s="0" t="n">
        <f aca="false">E5184</f>
        <v>0.75</v>
      </c>
      <c r="K5184" s="0" t="n">
        <f aca="false">F5184</f>
        <v>-1</v>
      </c>
      <c r="L5184" s="0" t="n">
        <f aca="false">G5184</f>
        <v>1</v>
      </c>
      <c r="M5184" s="0" t="n">
        <f aca="false">H5184</f>
        <v>0</v>
      </c>
      <c r="N5184" s="0" t="n">
        <f aca="false">E5184*F5184</f>
        <v>-0.75</v>
      </c>
      <c r="O5184" s="0" t="n">
        <f aca="false">E5184*G5184</f>
        <v>0.75</v>
      </c>
      <c r="P5184" s="0" t="n">
        <f aca="false">E5184*H5184</f>
        <v>0</v>
      </c>
      <c r="Q5184" s="0" t="n">
        <f aca="false">F5184*G5184</f>
        <v>-1</v>
      </c>
      <c r="R5184" s="0" t="n">
        <f aca="false">F5184*H5184</f>
        <v>-0</v>
      </c>
      <c r="S5184" s="0" t="n">
        <f aca="false">G5184*H5184</f>
        <v>0</v>
      </c>
      <c r="T5184" s="0" t="n">
        <f aca="false">E5184*E5184</f>
        <v>0.5625</v>
      </c>
      <c r="U5184" s="0" t="n">
        <f aca="false">F5184*F5184</f>
        <v>1</v>
      </c>
      <c r="V5184" s="0" t="n">
        <f aca="false">G5184*G5184</f>
        <v>1</v>
      </c>
      <c r="W5184" s="0" t="n">
        <f aca="false">H5184*H5184</f>
        <v>0</v>
      </c>
      <c r="X5184" s="0" t="n">
        <f aca="false">SUMPRODUCT(I5184:W5184,_XtX!$B$96:$P$96)</f>
        <v>41.9396564327485</v>
      </c>
      <c r="Y5184" s="0" t="n">
        <f aca="false">SUMPRODUCT(MMULT(I5184:W5184,_XtX!$B$78:$P$92),I5184:W5184)</f>
        <v>0.646198830409357</v>
      </c>
      <c r="Z5184" s="0" t="n">
        <f aca="false">04_回帰ANOVA!$K$19*04_回帰ANOVA!$K$14*SQRT(1+Y5184)</f>
        <v>1.67239760569756</v>
      </c>
      <c r="AA5184" s="0" t="n">
        <f aca="false">X5184-Z5184</f>
        <v>40.267258827051</v>
      </c>
      <c r="AB5184" s="0" t="n">
        <f aca="false">X5184+Z5184</f>
        <v>43.6120540384461</v>
      </c>
      <c r="AC5184" s="54" t="b">
        <f aca="false">AND(E5184&gt;=01_因子設定!$L$5-0.000000001,E5184&lt;=01_因子設定!$M$5+0.000000001,F5184&gt;=01_因子設定!$L$6-0.000000001,F5184&lt;=01_因子設定!$M$6+0.000000001,G5184&gt;=01_因子設定!$L$7-0.000000001,G5184&lt;=01_因子設定!$M$7+0.000000001,H5184&gt;=01_因子設定!$L$8-0.000000001,H5184&lt;=01_因子設定!$M$8+0.000000001,IF(01_因子設定!$B$20="Box-Behnken",E5184^2+F5184^2+G5184^2+H5184^2&lt;=2+0.000000001,TRUE()))</f>
        <v>1</v>
      </c>
      <c r="AD5184" s="55" t="n">
        <f aca="false">IF(AC5184,IF(01_因子設定!$B$13="最大化",AA5184-01_因子設定!$B$14,IF(01_因子設定!$B$13="最小化",01_因子設定!$B$15-AB5184,MIN(AA5184-01_因子設定!$B$14,01_因子設定!$B$15-AB5184))),-1E+030)</f>
        <v>-6.23274117294903</v>
      </c>
      <c r="AE5184" s="55" t="n">
        <f aca="false">IF(AC5184,IF(01_因子設定!$B$13="最大化",X5184,IF(01_因子設定!$B$13="最小化",-X5184,-ABS(X5184-01_因子設定!$B$16))),-1E+030)</f>
        <v>41.9396564327485</v>
      </c>
      <c r="AF5184" s="55" t="n">
        <f aca="false">AD5184+ROW()*0.000000001</f>
        <v>-6.23273598894903</v>
      </c>
      <c r="AG5184" s="55" t="n">
        <f aca="false">AE5184+ROW()*0.000000001</f>
        <v>41.9396616167485</v>
      </c>
    </row>
    <row r="5185" customFormat="false" ht="15" hidden="false" customHeight="false" outlineLevel="0" collapsed="false">
      <c r="A5185" s="0" t="n">
        <v>7</v>
      </c>
      <c r="B5185" s="0" t="n">
        <v>0</v>
      </c>
      <c r="C5185" s="0" t="n">
        <v>8</v>
      </c>
      <c r="D5185" s="0" t="n">
        <v>5</v>
      </c>
      <c r="E5185" s="0" t="n">
        <f aca="false">-1+A5185*0.25</f>
        <v>0.75</v>
      </c>
      <c r="F5185" s="0" t="n">
        <f aca="false">-1+B5185*0.25</f>
        <v>-1</v>
      </c>
      <c r="G5185" s="0" t="n">
        <f aca="false">-1+C5185*0.25</f>
        <v>1</v>
      </c>
      <c r="H5185" s="0" t="n">
        <f aca="false">-1+D5185*0.25</f>
        <v>0.25</v>
      </c>
      <c r="I5185" s="0" t="n">
        <f aca="false">1</f>
        <v>1</v>
      </c>
      <c r="J5185" s="0" t="n">
        <f aca="false">E5185</f>
        <v>0.75</v>
      </c>
      <c r="K5185" s="0" t="n">
        <f aca="false">F5185</f>
        <v>-1</v>
      </c>
      <c r="L5185" s="0" t="n">
        <f aca="false">G5185</f>
        <v>1</v>
      </c>
      <c r="M5185" s="0" t="n">
        <f aca="false">H5185</f>
        <v>0.25</v>
      </c>
      <c r="N5185" s="0" t="n">
        <f aca="false">E5185*F5185</f>
        <v>-0.75</v>
      </c>
      <c r="O5185" s="0" t="n">
        <f aca="false">E5185*G5185</f>
        <v>0.75</v>
      </c>
      <c r="P5185" s="0" t="n">
        <f aca="false">E5185*H5185</f>
        <v>0.1875</v>
      </c>
      <c r="Q5185" s="0" t="n">
        <f aca="false">F5185*G5185</f>
        <v>-1</v>
      </c>
      <c r="R5185" s="0" t="n">
        <f aca="false">F5185*H5185</f>
        <v>-0.25</v>
      </c>
      <c r="S5185" s="0" t="n">
        <f aca="false">G5185*H5185</f>
        <v>0.25</v>
      </c>
      <c r="T5185" s="0" t="n">
        <f aca="false">E5185*E5185</f>
        <v>0.5625</v>
      </c>
      <c r="U5185" s="0" t="n">
        <f aca="false">F5185*F5185</f>
        <v>1</v>
      </c>
      <c r="V5185" s="0" t="n">
        <f aca="false">G5185*G5185</f>
        <v>1</v>
      </c>
      <c r="W5185" s="0" t="n">
        <f aca="false">H5185*H5185</f>
        <v>0.0625</v>
      </c>
      <c r="X5185" s="0" t="n">
        <f aca="false">SUMPRODUCT(I5185:W5185,_XtX!$B$96:$P$96)</f>
        <v>42.1655793128655</v>
      </c>
      <c r="Y5185" s="0" t="n">
        <f aca="false">SUMPRODUCT(MMULT(I5185:W5185,_XtX!$B$78:$P$92),I5185:W5185)</f>
        <v>0.621372155975877</v>
      </c>
      <c r="Z5185" s="0" t="n">
        <f aca="false">04_回帰ANOVA!$K$19*04_回帰ANOVA!$K$14*SQRT(1+Y5185)</f>
        <v>1.65973880499872</v>
      </c>
      <c r="AA5185" s="0" t="n">
        <f aca="false">X5185-Z5185</f>
        <v>40.5058405078668</v>
      </c>
      <c r="AB5185" s="0" t="n">
        <f aca="false">X5185+Z5185</f>
        <v>43.8253181178642</v>
      </c>
      <c r="AC5185" s="54" t="b">
        <f aca="false">AND(E5185&gt;=01_因子設定!$L$5-0.000000001,E5185&lt;=01_因子設定!$M$5+0.000000001,F5185&gt;=01_因子設定!$L$6-0.000000001,F5185&lt;=01_因子設定!$M$6+0.000000001,G5185&gt;=01_因子設定!$L$7-0.000000001,G5185&lt;=01_因子設定!$M$7+0.000000001,H5185&gt;=01_因子設定!$L$8-0.000000001,H5185&lt;=01_因子設定!$M$8+0.000000001,IF(01_因子設定!$B$20="Box-Behnken",E5185^2+F5185^2+G5185^2+H5185^2&lt;=2+0.000000001,TRUE()))</f>
        <v>1</v>
      </c>
      <c r="AD5185" s="55" t="n">
        <f aca="false">IF(AC5185,IF(01_因子設定!$B$13="最大化",AA5185-01_因子設定!$B$14,IF(01_因子設定!$B$13="最小化",01_因子設定!$B$15-AB5185,MIN(AA5185-01_因子設定!$B$14,01_因子設定!$B$15-AB5185))),-1E+030)</f>
        <v>-5.99415949213323</v>
      </c>
      <c r="AE5185" s="55" t="n">
        <f aca="false">IF(AC5185,IF(01_因子設定!$B$13="最大化",X5185,IF(01_因子設定!$B$13="最小化",-X5185,-ABS(X5185-01_因子設定!$B$16))),-1E+030)</f>
        <v>42.1655793128655</v>
      </c>
      <c r="AF5185" s="55" t="n">
        <f aca="false">AD5185+ROW()*0.000000001</f>
        <v>-5.99415430713323</v>
      </c>
      <c r="AG5185" s="55" t="n">
        <f aca="false">AE5185+ROW()*0.000000001</f>
        <v>42.1655844978655</v>
      </c>
    </row>
    <row r="5186" customFormat="false" ht="15" hidden="false" customHeight="false" outlineLevel="0" collapsed="false">
      <c r="A5186" s="0" t="n">
        <v>7</v>
      </c>
      <c r="B5186" s="0" t="n">
        <v>0</v>
      </c>
      <c r="C5186" s="0" t="n">
        <v>8</v>
      </c>
      <c r="D5186" s="0" t="n">
        <v>6</v>
      </c>
      <c r="E5186" s="0" t="n">
        <f aca="false">-1+A5186*0.25</f>
        <v>0.75</v>
      </c>
      <c r="F5186" s="0" t="n">
        <f aca="false">-1+B5186*0.25</f>
        <v>-1</v>
      </c>
      <c r="G5186" s="0" t="n">
        <f aca="false">-1+C5186*0.25</f>
        <v>1</v>
      </c>
      <c r="H5186" s="0" t="n">
        <f aca="false">-1+D5186*0.25</f>
        <v>0.5</v>
      </c>
      <c r="I5186" s="0" t="n">
        <f aca="false">1</f>
        <v>1</v>
      </c>
      <c r="J5186" s="0" t="n">
        <f aca="false">E5186</f>
        <v>0.75</v>
      </c>
      <c r="K5186" s="0" t="n">
        <f aca="false">F5186</f>
        <v>-1</v>
      </c>
      <c r="L5186" s="0" t="n">
        <f aca="false">G5186</f>
        <v>1</v>
      </c>
      <c r="M5186" s="0" t="n">
        <f aca="false">H5186</f>
        <v>0.5</v>
      </c>
      <c r="N5186" s="0" t="n">
        <f aca="false">E5186*F5186</f>
        <v>-0.75</v>
      </c>
      <c r="O5186" s="0" t="n">
        <f aca="false">E5186*G5186</f>
        <v>0.75</v>
      </c>
      <c r="P5186" s="0" t="n">
        <f aca="false">E5186*H5186</f>
        <v>0.375</v>
      </c>
      <c r="Q5186" s="0" t="n">
        <f aca="false">F5186*G5186</f>
        <v>-1</v>
      </c>
      <c r="R5186" s="0" t="n">
        <f aca="false">F5186*H5186</f>
        <v>-0.5</v>
      </c>
      <c r="S5186" s="0" t="n">
        <f aca="false">G5186*H5186</f>
        <v>0.5</v>
      </c>
      <c r="T5186" s="0" t="n">
        <f aca="false">E5186*E5186</f>
        <v>0.5625</v>
      </c>
      <c r="U5186" s="0" t="n">
        <f aca="false">F5186*F5186</f>
        <v>1</v>
      </c>
      <c r="V5186" s="0" t="n">
        <f aca="false">G5186*G5186</f>
        <v>1</v>
      </c>
      <c r="W5186" s="0" t="n">
        <f aca="false">H5186*H5186</f>
        <v>0.25</v>
      </c>
      <c r="X5186" s="0" t="n">
        <f aca="false">SUMPRODUCT(I5186:W5186,_XtX!$B$96:$P$96)</f>
        <v>42.3436951754386</v>
      </c>
      <c r="Y5186" s="0" t="n">
        <f aca="false">SUMPRODUCT(MMULT(I5186:W5186,_XtX!$B$78:$P$92),I5186:W5186)</f>
        <v>0.564984237938597</v>
      </c>
      <c r="Z5186" s="0" t="n">
        <f aca="false">04_回帰ANOVA!$K$19*04_回帰ANOVA!$K$14*SQRT(1+Y5186)</f>
        <v>1.63062229734503</v>
      </c>
      <c r="AA5186" s="0" t="n">
        <f aca="false">X5186-Z5186</f>
        <v>40.7130728780936</v>
      </c>
      <c r="AB5186" s="0" t="n">
        <f aca="false">X5186+Z5186</f>
        <v>43.9743174727836</v>
      </c>
      <c r="AC5186" s="54" t="b">
        <f aca="false">AND(E5186&gt;=01_因子設定!$L$5-0.000000001,E5186&lt;=01_因子設定!$M$5+0.000000001,F5186&gt;=01_因子設定!$L$6-0.000000001,F5186&lt;=01_因子設定!$M$6+0.000000001,G5186&gt;=01_因子設定!$L$7-0.000000001,G5186&lt;=01_因子設定!$M$7+0.000000001,H5186&gt;=01_因子設定!$L$8-0.000000001,H5186&lt;=01_因子設定!$M$8+0.000000001,IF(01_因子設定!$B$20="Box-Behnken",E5186^2+F5186^2+G5186^2+H5186^2&lt;=2+0.000000001,TRUE()))</f>
        <v>1</v>
      </c>
      <c r="AD5186" s="55" t="n">
        <f aca="false">IF(AC5186,IF(01_因子設定!$B$13="最大化",AA5186-01_因子設定!$B$14,IF(01_因子設定!$B$13="最小化",01_因子設定!$B$15-AB5186,MIN(AA5186-01_因子設定!$B$14,01_因子設定!$B$15-AB5186))),-1E+030)</f>
        <v>-5.78692712190644</v>
      </c>
      <c r="AE5186" s="55" t="n">
        <f aca="false">IF(AC5186,IF(01_因子設定!$B$13="最大化",X5186,IF(01_因子設定!$B$13="最小化",-X5186,-ABS(X5186-01_因子設定!$B$16))),-1E+030)</f>
        <v>42.3436951754386</v>
      </c>
      <c r="AF5186" s="55" t="n">
        <f aca="false">AD5186+ROW()*0.000000001</f>
        <v>-5.78692193590644</v>
      </c>
      <c r="AG5186" s="55" t="n">
        <f aca="false">AE5186+ROW()*0.000000001</f>
        <v>42.3437003614386</v>
      </c>
    </row>
    <row r="5187" customFormat="false" ht="15" hidden="false" customHeight="false" outlineLevel="0" collapsed="false">
      <c r="A5187" s="0" t="n">
        <v>7</v>
      </c>
      <c r="B5187" s="0" t="n">
        <v>0</v>
      </c>
      <c r="C5187" s="0" t="n">
        <v>8</v>
      </c>
      <c r="D5187" s="0" t="n">
        <v>7</v>
      </c>
      <c r="E5187" s="0" t="n">
        <f aca="false">-1+A5187*0.25</f>
        <v>0.75</v>
      </c>
      <c r="F5187" s="0" t="n">
        <f aca="false">-1+B5187*0.25</f>
        <v>-1</v>
      </c>
      <c r="G5187" s="0" t="n">
        <f aca="false">-1+C5187*0.25</f>
        <v>1</v>
      </c>
      <c r="H5187" s="0" t="n">
        <f aca="false">-1+D5187*0.25</f>
        <v>0.75</v>
      </c>
      <c r="I5187" s="0" t="n">
        <f aca="false">1</f>
        <v>1</v>
      </c>
      <c r="J5187" s="0" t="n">
        <f aca="false">E5187</f>
        <v>0.75</v>
      </c>
      <c r="K5187" s="0" t="n">
        <f aca="false">F5187</f>
        <v>-1</v>
      </c>
      <c r="L5187" s="0" t="n">
        <f aca="false">G5187</f>
        <v>1</v>
      </c>
      <c r="M5187" s="0" t="n">
        <f aca="false">H5187</f>
        <v>0.75</v>
      </c>
      <c r="N5187" s="0" t="n">
        <f aca="false">E5187*F5187</f>
        <v>-0.75</v>
      </c>
      <c r="O5187" s="0" t="n">
        <f aca="false">E5187*G5187</f>
        <v>0.75</v>
      </c>
      <c r="P5187" s="0" t="n">
        <f aca="false">E5187*H5187</f>
        <v>0.5625</v>
      </c>
      <c r="Q5187" s="0" t="n">
        <f aca="false">F5187*G5187</f>
        <v>-1</v>
      </c>
      <c r="R5187" s="0" t="n">
        <f aca="false">F5187*H5187</f>
        <v>-0.75</v>
      </c>
      <c r="S5187" s="0" t="n">
        <f aca="false">G5187*H5187</f>
        <v>0.75</v>
      </c>
      <c r="T5187" s="0" t="n">
        <f aca="false">E5187*E5187</f>
        <v>0.5625</v>
      </c>
      <c r="U5187" s="0" t="n">
        <f aca="false">F5187*F5187</f>
        <v>1</v>
      </c>
      <c r="V5187" s="0" t="n">
        <f aca="false">G5187*G5187</f>
        <v>1</v>
      </c>
      <c r="W5187" s="0" t="n">
        <f aca="false">H5187*H5187</f>
        <v>0.5625</v>
      </c>
      <c r="X5187" s="0" t="n">
        <f aca="false">SUMPRODUCT(I5187:W5187,_XtX!$B$96:$P$96)</f>
        <v>42.4740040204678</v>
      </c>
      <c r="Y5187" s="0" t="n">
        <f aca="false">SUMPRODUCT(MMULT(I5187:W5187,_XtX!$B$78:$P$92),I5187:W5187)</f>
        <v>0.531311392086988</v>
      </c>
      <c r="Z5187" s="0" t="n">
        <f aca="false">04_回帰ANOVA!$K$19*04_回帰ANOVA!$K$14*SQRT(1+Y5187)</f>
        <v>1.61298433431428</v>
      </c>
      <c r="AA5187" s="0" t="n">
        <f aca="false">X5187-Z5187</f>
        <v>40.8610196861536</v>
      </c>
      <c r="AB5187" s="0" t="n">
        <f aca="false">X5187+Z5187</f>
        <v>44.0869883547821</v>
      </c>
      <c r="AC5187" s="54" t="b">
        <f aca="false">AND(E5187&gt;=01_因子設定!$L$5-0.000000001,E5187&lt;=01_因子設定!$M$5+0.000000001,F5187&gt;=01_因子設定!$L$6-0.000000001,F5187&lt;=01_因子設定!$M$6+0.000000001,G5187&gt;=01_因子設定!$L$7-0.000000001,G5187&lt;=01_因子設定!$M$7+0.000000001,H5187&gt;=01_因子設定!$L$8-0.000000001,H5187&lt;=01_因子設定!$M$8+0.000000001,IF(01_因子設定!$B$20="Box-Behnken",E5187^2+F5187^2+G5187^2+H5187^2&lt;=2+0.000000001,TRUE()))</f>
        <v>1</v>
      </c>
      <c r="AD5187" s="55" t="n">
        <f aca="false">IF(AC5187,IF(01_因子設定!$B$13="最大化",AA5187-01_因子設定!$B$14,IF(01_因子設定!$B$13="最小化",01_因子設定!$B$15-AB5187,MIN(AA5187-01_因子設定!$B$14,01_因子設定!$B$15-AB5187))),-1E+030)</f>
        <v>-5.63898031384644</v>
      </c>
      <c r="AE5187" s="55" t="n">
        <f aca="false">IF(AC5187,IF(01_因子設定!$B$13="最大化",X5187,IF(01_因子設定!$B$13="最小化",-X5187,-ABS(X5187-01_因子設定!$B$16))),-1E+030)</f>
        <v>42.4740040204678</v>
      </c>
      <c r="AF5187" s="55" t="n">
        <f aca="false">AD5187+ROW()*0.000000001</f>
        <v>-5.63897512684644</v>
      </c>
      <c r="AG5187" s="55" t="n">
        <f aca="false">AE5187+ROW()*0.000000001</f>
        <v>42.4740092074678</v>
      </c>
    </row>
    <row r="5188" customFormat="false" ht="15" hidden="false" customHeight="false" outlineLevel="0" collapsed="false">
      <c r="A5188" s="0" t="n">
        <v>7</v>
      </c>
      <c r="B5188" s="0" t="n">
        <v>0</v>
      </c>
      <c r="C5188" s="0" t="n">
        <v>8</v>
      </c>
      <c r="D5188" s="0" t="n">
        <v>8</v>
      </c>
      <c r="E5188" s="0" t="n">
        <f aca="false">-1+A5188*0.25</f>
        <v>0.75</v>
      </c>
      <c r="F5188" s="0" t="n">
        <f aca="false">-1+B5188*0.25</f>
        <v>-1</v>
      </c>
      <c r="G5188" s="0" t="n">
        <f aca="false">-1+C5188*0.25</f>
        <v>1</v>
      </c>
      <c r="H5188" s="0" t="n">
        <f aca="false">-1+D5188*0.25</f>
        <v>1</v>
      </c>
      <c r="I5188" s="0" t="n">
        <f aca="false">1</f>
        <v>1</v>
      </c>
      <c r="J5188" s="0" t="n">
        <f aca="false">E5188</f>
        <v>0.75</v>
      </c>
      <c r="K5188" s="0" t="n">
        <f aca="false">F5188</f>
        <v>-1</v>
      </c>
      <c r="L5188" s="0" t="n">
        <f aca="false">G5188</f>
        <v>1</v>
      </c>
      <c r="M5188" s="0" t="n">
        <f aca="false">H5188</f>
        <v>1</v>
      </c>
      <c r="N5188" s="0" t="n">
        <f aca="false">E5188*F5188</f>
        <v>-0.75</v>
      </c>
      <c r="O5188" s="0" t="n">
        <f aca="false">E5188*G5188</f>
        <v>0.75</v>
      </c>
      <c r="P5188" s="0" t="n">
        <f aca="false">E5188*H5188</f>
        <v>0.75</v>
      </c>
      <c r="Q5188" s="0" t="n">
        <f aca="false">F5188*G5188</f>
        <v>-1</v>
      </c>
      <c r="R5188" s="0" t="n">
        <f aca="false">F5188*H5188</f>
        <v>-1</v>
      </c>
      <c r="S5188" s="0" t="n">
        <f aca="false">G5188*H5188</f>
        <v>1</v>
      </c>
      <c r="T5188" s="0" t="n">
        <f aca="false">E5188*E5188</f>
        <v>0.5625</v>
      </c>
      <c r="U5188" s="0" t="n">
        <f aca="false">F5188*F5188</f>
        <v>1</v>
      </c>
      <c r="V5188" s="0" t="n">
        <f aca="false">G5188*G5188</f>
        <v>1</v>
      </c>
      <c r="W5188" s="0" t="n">
        <f aca="false">H5188*H5188</f>
        <v>1</v>
      </c>
      <c r="X5188" s="0" t="n">
        <f aca="false">SUMPRODUCT(I5188:W5188,_XtX!$B$96:$P$96)</f>
        <v>42.5565058479532</v>
      </c>
      <c r="Y5188" s="0" t="n">
        <f aca="false">SUMPRODUCT(MMULT(I5188:W5188,_XtX!$B$78:$P$92),I5188:W5188)</f>
        <v>0.610814144736842</v>
      </c>
      <c r="Z5188" s="0" t="n">
        <f aca="false">04_回帰ANOVA!$K$19*04_回帰ANOVA!$K$14*SQRT(1+Y5188)</f>
        <v>1.6543260558361</v>
      </c>
      <c r="AA5188" s="0" t="n">
        <f aca="false">X5188-Z5188</f>
        <v>40.9021797921171</v>
      </c>
      <c r="AB5188" s="0" t="n">
        <f aca="false">X5188+Z5188</f>
        <v>44.2108319037893</v>
      </c>
      <c r="AC5188" s="54" t="b">
        <f aca="false">AND(E5188&gt;=01_因子設定!$L$5-0.000000001,E5188&lt;=01_因子設定!$M$5+0.000000001,F5188&gt;=01_因子設定!$L$6-0.000000001,F5188&lt;=01_因子設定!$M$6+0.000000001,G5188&gt;=01_因子設定!$L$7-0.000000001,G5188&lt;=01_因子設定!$M$7+0.000000001,H5188&gt;=01_因子設定!$L$8-0.000000001,H5188&lt;=01_因子設定!$M$8+0.000000001,IF(01_因子設定!$B$20="Box-Behnken",E5188^2+F5188^2+G5188^2+H5188^2&lt;=2+0.000000001,TRUE()))</f>
        <v>1</v>
      </c>
      <c r="AD5188" s="55" t="n">
        <f aca="false">IF(AC5188,IF(01_因子設定!$B$13="最大化",AA5188-01_因子設定!$B$14,IF(01_因子設定!$B$13="最小化",01_因子設定!$B$15-AB5188,MIN(AA5188-01_因子設定!$B$14,01_因子設定!$B$15-AB5188))),-1E+030)</f>
        <v>-5.59782020788285</v>
      </c>
      <c r="AE5188" s="55" t="n">
        <f aca="false">IF(AC5188,IF(01_因子設定!$B$13="最大化",X5188,IF(01_因子設定!$B$13="最小化",-X5188,-ABS(X5188-01_因子設定!$B$16))),-1E+030)</f>
        <v>42.5565058479532</v>
      </c>
      <c r="AF5188" s="55" t="n">
        <f aca="false">AD5188+ROW()*0.000000001</f>
        <v>-5.59781501988285</v>
      </c>
      <c r="AG5188" s="55" t="n">
        <f aca="false">AE5188+ROW()*0.000000001</f>
        <v>42.5565110359532</v>
      </c>
    </row>
    <row r="5189" customFormat="false" ht="15" hidden="false" customHeight="false" outlineLevel="0" collapsed="false">
      <c r="A5189" s="0" t="n">
        <v>7</v>
      </c>
      <c r="B5189" s="0" t="n">
        <v>1</v>
      </c>
      <c r="C5189" s="0" t="n">
        <v>0</v>
      </c>
      <c r="D5189" s="0" t="n">
        <v>0</v>
      </c>
      <c r="E5189" s="0" t="n">
        <f aca="false">-1+A5189*0.25</f>
        <v>0.75</v>
      </c>
      <c r="F5189" s="0" t="n">
        <f aca="false">-1+B5189*0.25</f>
        <v>-0.75</v>
      </c>
      <c r="G5189" s="0" t="n">
        <f aca="false">-1+C5189*0.25</f>
        <v>-1</v>
      </c>
      <c r="H5189" s="0" t="n">
        <f aca="false">-1+D5189*0.25</f>
        <v>-1</v>
      </c>
      <c r="I5189" s="0" t="n">
        <f aca="false">1</f>
        <v>1</v>
      </c>
      <c r="J5189" s="0" t="n">
        <f aca="false">E5189</f>
        <v>0.75</v>
      </c>
      <c r="K5189" s="0" t="n">
        <f aca="false">F5189</f>
        <v>-0.75</v>
      </c>
      <c r="L5189" s="0" t="n">
        <f aca="false">G5189</f>
        <v>-1</v>
      </c>
      <c r="M5189" s="0" t="n">
        <f aca="false">H5189</f>
        <v>-1</v>
      </c>
      <c r="N5189" s="0" t="n">
        <f aca="false">E5189*F5189</f>
        <v>-0.5625</v>
      </c>
      <c r="O5189" s="0" t="n">
        <f aca="false">E5189*G5189</f>
        <v>-0.75</v>
      </c>
      <c r="P5189" s="0" t="n">
        <f aca="false">E5189*H5189</f>
        <v>-0.75</v>
      </c>
      <c r="Q5189" s="0" t="n">
        <f aca="false">F5189*G5189</f>
        <v>0.75</v>
      </c>
      <c r="R5189" s="0" t="n">
        <f aca="false">F5189*H5189</f>
        <v>0.75</v>
      </c>
      <c r="S5189" s="0" t="n">
        <f aca="false">G5189*H5189</f>
        <v>1</v>
      </c>
      <c r="T5189" s="0" t="n">
        <f aca="false">E5189*E5189</f>
        <v>0.5625</v>
      </c>
      <c r="U5189" s="0" t="n">
        <f aca="false">F5189*F5189</f>
        <v>0.5625</v>
      </c>
      <c r="V5189" s="0" t="n">
        <f aca="false">G5189*G5189</f>
        <v>1</v>
      </c>
      <c r="W5189" s="0" t="n">
        <f aca="false">H5189*H5189</f>
        <v>1</v>
      </c>
      <c r="X5189" s="0" t="n">
        <f aca="false">SUMPRODUCT(I5189:W5189,_XtX!$B$96:$P$96)</f>
        <v>42.6056012426901</v>
      </c>
      <c r="Y5189" s="0" t="n">
        <f aca="false">SUMPRODUCT(MMULT(I5189:W5189,_XtX!$B$78:$P$92),I5189:W5189)</f>
        <v>0.531311392086988</v>
      </c>
      <c r="Z5189" s="0" t="n">
        <f aca="false">04_回帰ANOVA!$K$19*04_回帰ANOVA!$K$14*SQRT(1+Y5189)</f>
        <v>1.61298433431428</v>
      </c>
      <c r="AA5189" s="0" t="n">
        <f aca="false">X5189-Z5189</f>
        <v>40.9926169083758</v>
      </c>
      <c r="AB5189" s="0" t="n">
        <f aca="false">X5189+Z5189</f>
        <v>44.2185855770044</v>
      </c>
      <c r="AC5189" s="54" t="b">
        <f aca="false">AND(E5189&gt;=01_因子設定!$L$5-0.000000001,E5189&lt;=01_因子設定!$M$5+0.000000001,F5189&gt;=01_因子設定!$L$6-0.000000001,F5189&lt;=01_因子設定!$M$6+0.000000001,G5189&gt;=01_因子設定!$L$7-0.000000001,G5189&lt;=01_因子設定!$M$7+0.000000001,H5189&gt;=01_因子設定!$L$8-0.000000001,H5189&lt;=01_因子設定!$M$8+0.000000001,IF(01_因子設定!$B$20="Box-Behnken",E5189^2+F5189^2+G5189^2+H5189^2&lt;=2+0.000000001,TRUE()))</f>
        <v>1</v>
      </c>
      <c r="AD5189" s="55" t="n">
        <f aca="false">IF(AC5189,IF(01_因子設定!$B$13="最大化",AA5189-01_因子設定!$B$14,IF(01_因子設定!$B$13="最小化",01_因子設定!$B$15-AB5189,MIN(AA5189-01_因子設定!$B$14,01_因子設定!$B$15-AB5189))),-1E+030)</f>
        <v>-5.5073830916242</v>
      </c>
      <c r="AE5189" s="55" t="n">
        <f aca="false">IF(AC5189,IF(01_因子設定!$B$13="最大化",X5189,IF(01_因子設定!$B$13="最小化",-X5189,-ABS(X5189-01_因子設定!$B$16))),-1E+030)</f>
        <v>42.6056012426901</v>
      </c>
      <c r="AF5189" s="55" t="n">
        <f aca="false">AD5189+ROW()*0.000000001</f>
        <v>-5.5073779026242</v>
      </c>
      <c r="AG5189" s="55" t="n">
        <f aca="false">AE5189+ROW()*0.000000001</f>
        <v>42.6056064316901</v>
      </c>
    </row>
    <row r="5190" customFormat="false" ht="15" hidden="false" customHeight="false" outlineLevel="0" collapsed="false">
      <c r="A5190" s="0" t="n">
        <v>7</v>
      </c>
      <c r="B5190" s="0" t="n">
        <v>1</v>
      </c>
      <c r="C5190" s="0" t="n">
        <v>0</v>
      </c>
      <c r="D5190" s="0" t="n">
        <v>1</v>
      </c>
      <c r="E5190" s="0" t="n">
        <f aca="false">-1+A5190*0.25</f>
        <v>0.75</v>
      </c>
      <c r="F5190" s="0" t="n">
        <f aca="false">-1+B5190*0.25</f>
        <v>-0.75</v>
      </c>
      <c r="G5190" s="0" t="n">
        <f aca="false">-1+C5190*0.25</f>
        <v>-1</v>
      </c>
      <c r="H5190" s="0" t="n">
        <f aca="false">-1+D5190*0.25</f>
        <v>-0.75</v>
      </c>
      <c r="I5190" s="0" t="n">
        <f aca="false">1</f>
        <v>1</v>
      </c>
      <c r="J5190" s="0" t="n">
        <f aca="false">E5190</f>
        <v>0.75</v>
      </c>
      <c r="K5190" s="0" t="n">
        <f aca="false">F5190</f>
        <v>-0.75</v>
      </c>
      <c r="L5190" s="0" t="n">
        <f aca="false">G5190</f>
        <v>-1</v>
      </c>
      <c r="M5190" s="0" t="n">
        <f aca="false">H5190</f>
        <v>-0.75</v>
      </c>
      <c r="N5190" s="0" t="n">
        <f aca="false">E5190*F5190</f>
        <v>-0.5625</v>
      </c>
      <c r="O5190" s="0" t="n">
        <f aca="false">E5190*G5190</f>
        <v>-0.75</v>
      </c>
      <c r="P5190" s="0" t="n">
        <f aca="false">E5190*H5190</f>
        <v>-0.5625</v>
      </c>
      <c r="Q5190" s="0" t="n">
        <f aca="false">F5190*G5190</f>
        <v>0.75</v>
      </c>
      <c r="R5190" s="0" t="n">
        <f aca="false">F5190*H5190</f>
        <v>0.5625</v>
      </c>
      <c r="S5190" s="0" t="n">
        <f aca="false">G5190*H5190</f>
        <v>0.75</v>
      </c>
      <c r="T5190" s="0" t="n">
        <f aca="false">E5190*E5190</f>
        <v>0.5625</v>
      </c>
      <c r="U5190" s="0" t="n">
        <f aca="false">F5190*F5190</f>
        <v>0.5625</v>
      </c>
      <c r="V5190" s="0" t="n">
        <f aca="false">G5190*G5190</f>
        <v>1</v>
      </c>
      <c r="W5190" s="0" t="n">
        <f aca="false">H5190*H5190</f>
        <v>0.5625</v>
      </c>
      <c r="X5190" s="0" t="n">
        <f aca="false">SUMPRODUCT(I5190:W5190,_XtX!$B$96:$P$96)</f>
        <v>42.8657209429825</v>
      </c>
      <c r="Y5190" s="0" t="n">
        <f aca="false">SUMPRODUCT(MMULT(I5190:W5190,_XtX!$B$78:$P$92),I5190:W5190)</f>
        <v>0.420117473044591</v>
      </c>
      <c r="Z5190" s="0" t="n">
        <f aca="false">04_回帰ANOVA!$K$19*04_回帰ANOVA!$K$14*SQRT(1+Y5190)</f>
        <v>1.55331854827765</v>
      </c>
      <c r="AA5190" s="0" t="n">
        <f aca="false">X5190-Z5190</f>
        <v>41.3124023947048</v>
      </c>
      <c r="AB5190" s="0" t="n">
        <f aca="false">X5190+Z5190</f>
        <v>44.4190394912601</v>
      </c>
      <c r="AC5190" s="54" t="b">
        <f aca="false">AND(E5190&gt;=01_因子設定!$L$5-0.000000001,E5190&lt;=01_因子設定!$M$5+0.000000001,F5190&gt;=01_因子設定!$L$6-0.000000001,F5190&lt;=01_因子設定!$M$6+0.000000001,G5190&gt;=01_因子設定!$L$7-0.000000001,G5190&lt;=01_因子設定!$M$7+0.000000001,H5190&gt;=01_因子設定!$L$8-0.000000001,H5190&lt;=01_因子設定!$M$8+0.000000001,IF(01_因子設定!$B$20="Box-Behnken",E5190^2+F5190^2+G5190^2+H5190^2&lt;=2+0.000000001,TRUE()))</f>
        <v>1</v>
      </c>
      <c r="AD5190" s="55" t="n">
        <f aca="false">IF(AC5190,IF(01_因子設定!$B$13="最大化",AA5190-01_因子設定!$B$14,IF(01_因子設定!$B$13="最小化",01_因子設定!$B$15-AB5190,MIN(AA5190-01_因子設定!$B$14,01_因子設定!$B$15-AB5190))),-1E+030)</f>
        <v>-5.18759760529518</v>
      </c>
      <c r="AE5190" s="55" t="n">
        <f aca="false">IF(AC5190,IF(01_因子設定!$B$13="最大化",X5190,IF(01_因子設定!$B$13="最小化",-X5190,-ABS(X5190-01_因子設定!$B$16))),-1E+030)</f>
        <v>42.8657209429825</v>
      </c>
      <c r="AF5190" s="55" t="n">
        <f aca="false">AD5190+ROW()*0.000000001</f>
        <v>-5.18759241529518</v>
      </c>
      <c r="AG5190" s="55" t="n">
        <f aca="false">AE5190+ROW()*0.000000001</f>
        <v>42.8657261329825</v>
      </c>
    </row>
    <row r="5191" customFormat="false" ht="15" hidden="false" customHeight="false" outlineLevel="0" collapsed="false">
      <c r="A5191" s="0" t="n">
        <v>7</v>
      </c>
      <c r="B5191" s="0" t="n">
        <v>1</v>
      </c>
      <c r="C5191" s="0" t="n">
        <v>0</v>
      </c>
      <c r="D5191" s="0" t="n">
        <v>2</v>
      </c>
      <c r="E5191" s="0" t="n">
        <f aca="false">-1+A5191*0.25</f>
        <v>0.75</v>
      </c>
      <c r="F5191" s="0" t="n">
        <f aca="false">-1+B5191*0.25</f>
        <v>-0.75</v>
      </c>
      <c r="G5191" s="0" t="n">
        <f aca="false">-1+C5191*0.25</f>
        <v>-1</v>
      </c>
      <c r="H5191" s="0" t="n">
        <f aca="false">-1+D5191*0.25</f>
        <v>-0.5</v>
      </c>
      <c r="I5191" s="0" t="n">
        <f aca="false">1</f>
        <v>1</v>
      </c>
      <c r="J5191" s="0" t="n">
        <f aca="false">E5191</f>
        <v>0.75</v>
      </c>
      <c r="K5191" s="0" t="n">
        <f aca="false">F5191</f>
        <v>-0.75</v>
      </c>
      <c r="L5191" s="0" t="n">
        <f aca="false">G5191</f>
        <v>-1</v>
      </c>
      <c r="M5191" s="0" t="n">
        <f aca="false">H5191</f>
        <v>-0.5</v>
      </c>
      <c r="N5191" s="0" t="n">
        <f aca="false">E5191*F5191</f>
        <v>-0.5625</v>
      </c>
      <c r="O5191" s="0" t="n">
        <f aca="false">E5191*G5191</f>
        <v>-0.75</v>
      </c>
      <c r="P5191" s="0" t="n">
        <f aca="false">E5191*H5191</f>
        <v>-0.375</v>
      </c>
      <c r="Q5191" s="0" t="n">
        <f aca="false">F5191*G5191</f>
        <v>0.75</v>
      </c>
      <c r="R5191" s="0" t="n">
        <f aca="false">F5191*H5191</f>
        <v>0.375</v>
      </c>
      <c r="S5191" s="0" t="n">
        <f aca="false">G5191*H5191</f>
        <v>0.5</v>
      </c>
      <c r="T5191" s="0" t="n">
        <f aca="false">E5191*E5191</f>
        <v>0.5625</v>
      </c>
      <c r="U5191" s="0" t="n">
        <f aca="false">F5191*F5191</f>
        <v>0.5625</v>
      </c>
      <c r="V5191" s="0" t="n">
        <f aca="false">G5191*G5191</f>
        <v>1</v>
      </c>
      <c r="W5191" s="0" t="n">
        <f aca="false">H5191*H5191</f>
        <v>0.25</v>
      </c>
      <c r="X5191" s="0" t="n">
        <f aca="false">SUMPRODUCT(I5191:W5191,_XtX!$B$96:$P$96)</f>
        <v>43.078033625731</v>
      </c>
      <c r="Y5191" s="0" t="n">
        <f aca="false">SUMPRODUCT(MMULT(I5191:W5191,_XtX!$B$78:$P$92),I5191:W5191)</f>
        <v>0.431153771472953</v>
      </c>
      <c r="Z5191" s="0" t="n">
        <f aca="false">04_回帰ANOVA!$K$19*04_回帰ANOVA!$K$14*SQRT(1+Y5191)</f>
        <v>1.55934259562563</v>
      </c>
      <c r="AA5191" s="0" t="n">
        <f aca="false">X5191-Z5191</f>
        <v>41.5186910301054</v>
      </c>
      <c r="AB5191" s="0" t="n">
        <f aca="false">X5191+Z5191</f>
        <v>44.6373762213566</v>
      </c>
      <c r="AC5191" s="54" t="b">
        <f aca="false">AND(E5191&gt;=01_因子設定!$L$5-0.000000001,E5191&lt;=01_因子設定!$M$5+0.000000001,F5191&gt;=01_因子設定!$L$6-0.000000001,F5191&lt;=01_因子設定!$M$6+0.000000001,G5191&gt;=01_因子設定!$L$7-0.000000001,G5191&lt;=01_因子設定!$M$7+0.000000001,H5191&gt;=01_因子設定!$L$8-0.000000001,H5191&lt;=01_因子設定!$M$8+0.000000001,IF(01_因子設定!$B$20="Box-Behnken",E5191^2+F5191^2+G5191^2+H5191^2&lt;=2+0.000000001,TRUE()))</f>
        <v>1</v>
      </c>
      <c r="AD5191" s="55" t="n">
        <f aca="false">IF(AC5191,IF(01_因子設定!$B$13="最大化",AA5191-01_因子設定!$B$14,IF(01_因子設定!$B$13="最小化",01_因子設定!$B$15-AB5191,MIN(AA5191-01_因子設定!$B$14,01_因子設定!$B$15-AB5191))),-1E+030)</f>
        <v>-4.98130896989463</v>
      </c>
      <c r="AE5191" s="55" t="n">
        <f aca="false">IF(AC5191,IF(01_因子設定!$B$13="最大化",X5191,IF(01_因子設定!$B$13="最小化",-X5191,-ABS(X5191-01_因子設定!$B$16))),-1E+030)</f>
        <v>43.078033625731</v>
      </c>
      <c r="AF5191" s="55" t="n">
        <f aca="false">AD5191+ROW()*0.000000001</f>
        <v>-4.98130377889464</v>
      </c>
      <c r="AG5191" s="55" t="n">
        <f aca="false">AE5191+ROW()*0.000000001</f>
        <v>43.078038816731</v>
      </c>
    </row>
    <row r="5192" customFormat="false" ht="15" hidden="false" customHeight="false" outlineLevel="0" collapsed="false">
      <c r="A5192" s="0" t="n">
        <v>7</v>
      </c>
      <c r="B5192" s="0" t="n">
        <v>1</v>
      </c>
      <c r="C5192" s="0" t="n">
        <v>0</v>
      </c>
      <c r="D5192" s="0" t="n">
        <v>3</v>
      </c>
      <c r="E5192" s="0" t="n">
        <f aca="false">-1+A5192*0.25</f>
        <v>0.75</v>
      </c>
      <c r="F5192" s="0" t="n">
        <f aca="false">-1+B5192*0.25</f>
        <v>-0.75</v>
      </c>
      <c r="G5192" s="0" t="n">
        <f aca="false">-1+C5192*0.25</f>
        <v>-1</v>
      </c>
      <c r="H5192" s="0" t="n">
        <f aca="false">-1+D5192*0.25</f>
        <v>-0.25</v>
      </c>
      <c r="I5192" s="0" t="n">
        <f aca="false">1</f>
        <v>1</v>
      </c>
      <c r="J5192" s="0" t="n">
        <f aca="false">E5192</f>
        <v>0.75</v>
      </c>
      <c r="K5192" s="0" t="n">
        <f aca="false">F5192</f>
        <v>-0.75</v>
      </c>
      <c r="L5192" s="0" t="n">
        <f aca="false">G5192</f>
        <v>-1</v>
      </c>
      <c r="M5192" s="0" t="n">
        <f aca="false">H5192</f>
        <v>-0.25</v>
      </c>
      <c r="N5192" s="0" t="n">
        <f aca="false">E5192*F5192</f>
        <v>-0.5625</v>
      </c>
      <c r="O5192" s="0" t="n">
        <f aca="false">E5192*G5192</f>
        <v>-0.75</v>
      </c>
      <c r="P5192" s="0" t="n">
        <f aca="false">E5192*H5192</f>
        <v>-0.1875</v>
      </c>
      <c r="Q5192" s="0" t="n">
        <f aca="false">F5192*G5192</f>
        <v>0.75</v>
      </c>
      <c r="R5192" s="0" t="n">
        <f aca="false">F5192*H5192</f>
        <v>0.1875</v>
      </c>
      <c r="S5192" s="0" t="n">
        <f aca="false">G5192*H5192</f>
        <v>0.25</v>
      </c>
      <c r="T5192" s="0" t="n">
        <f aca="false">E5192*E5192</f>
        <v>0.5625</v>
      </c>
      <c r="U5192" s="0" t="n">
        <f aca="false">F5192*F5192</f>
        <v>0.5625</v>
      </c>
      <c r="V5192" s="0" t="n">
        <f aca="false">G5192*G5192</f>
        <v>1</v>
      </c>
      <c r="W5192" s="0" t="n">
        <f aca="false">H5192*H5192</f>
        <v>0.0625</v>
      </c>
      <c r="X5192" s="0" t="n">
        <f aca="false">SUMPRODUCT(I5192:W5192,_XtX!$B$96:$P$96)</f>
        <v>43.2425392909357</v>
      </c>
      <c r="Y5192" s="0" t="n">
        <f aca="false">SUMPRODUCT(MMULT(I5192:W5192,_XtX!$B$78:$P$92),I5192:W5192)</f>
        <v>0.473959761056287</v>
      </c>
      <c r="Z5192" s="0" t="n">
        <f aca="false">04_回帰ANOVA!$K$19*04_回帰ANOVA!$K$14*SQRT(1+Y5192)</f>
        <v>1.58249084588329</v>
      </c>
      <c r="AA5192" s="0" t="n">
        <f aca="false">X5192-Z5192</f>
        <v>41.6600484450524</v>
      </c>
      <c r="AB5192" s="0" t="n">
        <f aca="false">X5192+Z5192</f>
        <v>44.8250301368189</v>
      </c>
      <c r="AC5192" s="54" t="b">
        <f aca="false">AND(E5192&gt;=01_因子設定!$L$5-0.000000001,E5192&lt;=01_因子設定!$M$5+0.000000001,F5192&gt;=01_因子設定!$L$6-0.000000001,F5192&lt;=01_因子設定!$M$6+0.000000001,G5192&gt;=01_因子設定!$L$7-0.000000001,G5192&lt;=01_因子設定!$M$7+0.000000001,H5192&gt;=01_因子設定!$L$8-0.000000001,H5192&lt;=01_因子設定!$M$8+0.000000001,IF(01_因子設定!$B$20="Box-Behnken",E5192^2+F5192^2+G5192^2+H5192^2&lt;=2+0.000000001,TRUE()))</f>
        <v>1</v>
      </c>
      <c r="AD5192" s="55" t="n">
        <f aca="false">IF(AC5192,IF(01_因子設定!$B$13="最大化",AA5192-01_因子設定!$B$14,IF(01_因子設定!$B$13="最小化",01_因子設定!$B$15-AB5192,MIN(AA5192-01_因子設定!$B$14,01_因子設定!$B$15-AB5192))),-1E+030)</f>
        <v>-4.83995155494763</v>
      </c>
      <c r="AE5192" s="55" t="n">
        <f aca="false">IF(AC5192,IF(01_因子設定!$B$13="最大化",X5192,IF(01_因子設定!$B$13="最小化",-X5192,-ABS(X5192-01_因子設定!$B$16))),-1E+030)</f>
        <v>43.2425392909357</v>
      </c>
      <c r="AF5192" s="55" t="n">
        <f aca="false">AD5192+ROW()*0.000000001</f>
        <v>-4.83994636294763</v>
      </c>
      <c r="AG5192" s="55" t="n">
        <f aca="false">AE5192+ROW()*0.000000001</f>
        <v>43.2425444829357</v>
      </c>
    </row>
    <row r="5193" customFormat="false" ht="15" hidden="false" customHeight="false" outlineLevel="0" collapsed="false">
      <c r="A5193" s="0" t="n">
        <v>7</v>
      </c>
      <c r="B5193" s="0" t="n">
        <v>1</v>
      </c>
      <c r="C5193" s="0" t="n">
        <v>0</v>
      </c>
      <c r="D5193" s="0" t="n">
        <v>4</v>
      </c>
      <c r="E5193" s="0" t="n">
        <f aca="false">-1+A5193*0.25</f>
        <v>0.75</v>
      </c>
      <c r="F5193" s="0" t="n">
        <f aca="false">-1+B5193*0.25</f>
        <v>-0.75</v>
      </c>
      <c r="G5193" s="0" t="n">
        <f aca="false">-1+C5193*0.25</f>
        <v>-1</v>
      </c>
      <c r="H5193" s="0" t="n">
        <f aca="false">-1+D5193*0.25</f>
        <v>0</v>
      </c>
      <c r="I5193" s="0" t="n">
        <f aca="false">1</f>
        <v>1</v>
      </c>
      <c r="J5193" s="0" t="n">
        <f aca="false">E5193</f>
        <v>0.75</v>
      </c>
      <c r="K5193" s="0" t="n">
        <f aca="false">F5193</f>
        <v>-0.75</v>
      </c>
      <c r="L5193" s="0" t="n">
        <f aca="false">G5193</f>
        <v>-1</v>
      </c>
      <c r="M5193" s="0" t="n">
        <f aca="false">H5193</f>
        <v>0</v>
      </c>
      <c r="N5193" s="0" t="n">
        <f aca="false">E5193*F5193</f>
        <v>-0.5625</v>
      </c>
      <c r="O5193" s="0" t="n">
        <f aca="false">E5193*G5193</f>
        <v>-0.75</v>
      </c>
      <c r="P5193" s="0" t="n">
        <f aca="false">E5193*H5193</f>
        <v>0</v>
      </c>
      <c r="Q5193" s="0" t="n">
        <f aca="false">F5193*G5193</f>
        <v>0.75</v>
      </c>
      <c r="R5193" s="0" t="n">
        <f aca="false">F5193*H5193</f>
        <v>-0</v>
      </c>
      <c r="S5193" s="0" t="n">
        <f aca="false">G5193*H5193</f>
        <v>-0</v>
      </c>
      <c r="T5193" s="0" t="n">
        <f aca="false">E5193*E5193</f>
        <v>0.5625</v>
      </c>
      <c r="U5193" s="0" t="n">
        <f aca="false">F5193*F5193</f>
        <v>0.5625</v>
      </c>
      <c r="V5193" s="0" t="n">
        <f aca="false">G5193*G5193</f>
        <v>1</v>
      </c>
      <c r="W5193" s="0" t="n">
        <f aca="false">H5193*H5193</f>
        <v>0</v>
      </c>
      <c r="X5193" s="0" t="n">
        <f aca="false">SUMPRODUCT(I5193:W5193,_XtX!$B$96:$P$96)</f>
        <v>43.3592379385965</v>
      </c>
      <c r="Y5193" s="0" t="n">
        <f aca="false">SUMPRODUCT(MMULT(I5193:W5193,_XtX!$B$78:$P$92),I5193:W5193)</f>
        <v>0.494259126005117</v>
      </c>
      <c r="Z5193" s="0" t="n">
        <f aca="false">04_回帰ANOVA!$K$19*04_回帰ANOVA!$K$14*SQRT(1+Y5193)</f>
        <v>1.59335061078203</v>
      </c>
      <c r="AA5193" s="0" t="n">
        <f aca="false">X5193-Z5193</f>
        <v>41.7658873278145</v>
      </c>
      <c r="AB5193" s="0" t="n">
        <f aca="false">X5193+Z5193</f>
        <v>44.9525885493785</v>
      </c>
      <c r="AC5193" s="54" t="b">
        <f aca="false">AND(E5193&gt;=01_因子設定!$L$5-0.000000001,E5193&lt;=01_因子設定!$M$5+0.000000001,F5193&gt;=01_因子設定!$L$6-0.000000001,F5193&lt;=01_因子設定!$M$6+0.000000001,G5193&gt;=01_因子設定!$L$7-0.000000001,G5193&lt;=01_因子設定!$M$7+0.000000001,H5193&gt;=01_因子設定!$L$8-0.000000001,H5193&lt;=01_因子設定!$M$8+0.000000001,IF(01_因子設定!$B$20="Box-Behnken",E5193^2+F5193^2+G5193^2+H5193^2&lt;=2+0.000000001,TRUE()))</f>
        <v>1</v>
      </c>
      <c r="AD5193" s="55" t="n">
        <f aca="false">IF(AC5193,IF(01_因子設定!$B$13="最大化",AA5193-01_因子設定!$B$14,IF(01_因子設定!$B$13="最小化",01_因子設定!$B$15-AB5193,MIN(AA5193-01_因子設定!$B$14,01_因子設定!$B$15-AB5193))),-1E+030)</f>
        <v>-4.73411267218555</v>
      </c>
      <c r="AE5193" s="55" t="n">
        <f aca="false">IF(AC5193,IF(01_因子設定!$B$13="最大化",X5193,IF(01_因子設定!$B$13="最小化",-X5193,-ABS(X5193-01_因子設定!$B$16))),-1E+030)</f>
        <v>43.3592379385965</v>
      </c>
      <c r="AF5193" s="55" t="n">
        <f aca="false">AD5193+ROW()*0.000000001</f>
        <v>-4.73410747918555</v>
      </c>
      <c r="AG5193" s="55" t="n">
        <f aca="false">AE5193+ROW()*0.000000001</f>
        <v>43.3592431315965</v>
      </c>
    </row>
    <row r="5194" customFormat="false" ht="15" hidden="false" customHeight="false" outlineLevel="0" collapsed="false">
      <c r="A5194" s="0" t="n">
        <v>7</v>
      </c>
      <c r="B5194" s="0" t="n">
        <v>1</v>
      </c>
      <c r="C5194" s="0" t="n">
        <v>0</v>
      </c>
      <c r="D5194" s="0" t="n">
        <v>5</v>
      </c>
      <c r="E5194" s="0" t="n">
        <f aca="false">-1+A5194*0.25</f>
        <v>0.75</v>
      </c>
      <c r="F5194" s="0" t="n">
        <f aca="false">-1+B5194*0.25</f>
        <v>-0.75</v>
      </c>
      <c r="G5194" s="0" t="n">
        <f aca="false">-1+C5194*0.25</f>
        <v>-1</v>
      </c>
      <c r="H5194" s="0" t="n">
        <f aca="false">-1+D5194*0.25</f>
        <v>0.25</v>
      </c>
      <c r="I5194" s="0" t="n">
        <f aca="false">1</f>
        <v>1</v>
      </c>
      <c r="J5194" s="0" t="n">
        <f aca="false">E5194</f>
        <v>0.75</v>
      </c>
      <c r="K5194" s="0" t="n">
        <f aca="false">F5194</f>
        <v>-0.75</v>
      </c>
      <c r="L5194" s="0" t="n">
        <f aca="false">G5194</f>
        <v>-1</v>
      </c>
      <c r="M5194" s="0" t="n">
        <f aca="false">H5194</f>
        <v>0.25</v>
      </c>
      <c r="N5194" s="0" t="n">
        <f aca="false">E5194*F5194</f>
        <v>-0.5625</v>
      </c>
      <c r="O5194" s="0" t="n">
        <f aca="false">E5194*G5194</f>
        <v>-0.75</v>
      </c>
      <c r="P5194" s="0" t="n">
        <f aca="false">E5194*H5194</f>
        <v>0.1875</v>
      </c>
      <c r="Q5194" s="0" t="n">
        <f aca="false">F5194*G5194</f>
        <v>0.75</v>
      </c>
      <c r="R5194" s="0" t="n">
        <f aca="false">F5194*H5194</f>
        <v>-0.1875</v>
      </c>
      <c r="S5194" s="0" t="n">
        <f aca="false">G5194*H5194</f>
        <v>-0.25</v>
      </c>
      <c r="T5194" s="0" t="n">
        <f aca="false">E5194*E5194</f>
        <v>0.5625</v>
      </c>
      <c r="U5194" s="0" t="n">
        <f aca="false">F5194*F5194</f>
        <v>0.5625</v>
      </c>
      <c r="V5194" s="0" t="n">
        <f aca="false">G5194*G5194</f>
        <v>1</v>
      </c>
      <c r="W5194" s="0" t="n">
        <f aca="false">H5194*H5194</f>
        <v>0.0625</v>
      </c>
      <c r="X5194" s="0" t="n">
        <f aca="false">SUMPRODUCT(I5194:W5194,_XtX!$B$96:$P$96)</f>
        <v>43.4281295687134</v>
      </c>
      <c r="Y5194" s="0" t="n">
        <f aca="false">SUMPRODUCT(MMULT(I5194:W5194,_XtX!$B$78:$P$92),I5194:W5194)</f>
        <v>0.473959761056287</v>
      </c>
      <c r="Z5194" s="0" t="n">
        <f aca="false">04_回帰ANOVA!$K$19*04_回帰ANOVA!$K$14*SQRT(1+Y5194)</f>
        <v>1.58249084588329</v>
      </c>
      <c r="AA5194" s="0" t="n">
        <f aca="false">X5194-Z5194</f>
        <v>41.8456387228302</v>
      </c>
      <c r="AB5194" s="0" t="n">
        <f aca="false">X5194+Z5194</f>
        <v>45.0106204145967</v>
      </c>
      <c r="AC5194" s="54" t="b">
        <f aca="false">AND(E5194&gt;=01_因子設定!$L$5-0.000000001,E5194&lt;=01_因子設定!$M$5+0.000000001,F5194&gt;=01_因子設定!$L$6-0.000000001,F5194&lt;=01_因子設定!$M$6+0.000000001,G5194&gt;=01_因子設定!$L$7-0.000000001,G5194&lt;=01_因子設定!$M$7+0.000000001,H5194&gt;=01_因子設定!$L$8-0.000000001,H5194&lt;=01_因子設定!$M$8+0.000000001,IF(01_因子設定!$B$20="Box-Behnken",E5194^2+F5194^2+G5194^2+H5194^2&lt;=2+0.000000001,TRUE()))</f>
        <v>1</v>
      </c>
      <c r="AD5194" s="55" t="n">
        <f aca="false">IF(AC5194,IF(01_因子設定!$B$13="最大化",AA5194-01_因子設定!$B$14,IF(01_因子設定!$B$13="最小化",01_因子設定!$B$15-AB5194,MIN(AA5194-01_因子設定!$B$14,01_因子設定!$B$15-AB5194))),-1E+030)</f>
        <v>-4.65436127716984</v>
      </c>
      <c r="AE5194" s="55" t="n">
        <f aca="false">IF(AC5194,IF(01_因子設定!$B$13="最大化",X5194,IF(01_因子設定!$B$13="最小化",-X5194,-ABS(X5194-01_因子設定!$B$16))),-1E+030)</f>
        <v>43.4281295687134</v>
      </c>
      <c r="AF5194" s="55" t="n">
        <f aca="false">AD5194+ROW()*0.000000001</f>
        <v>-4.65435608316984</v>
      </c>
      <c r="AG5194" s="55" t="n">
        <f aca="false">AE5194+ROW()*0.000000001</f>
        <v>43.4281347627135</v>
      </c>
    </row>
    <row r="5195" customFormat="false" ht="15" hidden="false" customHeight="false" outlineLevel="0" collapsed="false">
      <c r="A5195" s="0" t="n">
        <v>7</v>
      </c>
      <c r="B5195" s="0" t="n">
        <v>1</v>
      </c>
      <c r="C5195" s="0" t="n">
        <v>0</v>
      </c>
      <c r="D5195" s="0" t="n">
        <v>6</v>
      </c>
      <c r="E5195" s="0" t="n">
        <f aca="false">-1+A5195*0.25</f>
        <v>0.75</v>
      </c>
      <c r="F5195" s="0" t="n">
        <f aca="false">-1+B5195*0.25</f>
        <v>-0.75</v>
      </c>
      <c r="G5195" s="0" t="n">
        <f aca="false">-1+C5195*0.25</f>
        <v>-1</v>
      </c>
      <c r="H5195" s="0" t="n">
        <f aca="false">-1+D5195*0.25</f>
        <v>0.5</v>
      </c>
      <c r="I5195" s="0" t="n">
        <f aca="false">1</f>
        <v>1</v>
      </c>
      <c r="J5195" s="0" t="n">
        <f aca="false">E5195</f>
        <v>0.75</v>
      </c>
      <c r="K5195" s="0" t="n">
        <f aca="false">F5195</f>
        <v>-0.75</v>
      </c>
      <c r="L5195" s="0" t="n">
        <f aca="false">G5195</f>
        <v>-1</v>
      </c>
      <c r="M5195" s="0" t="n">
        <f aca="false">H5195</f>
        <v>0.5</v>
      </c>
      <c r="N5195" s="0" t="n">
        <f aca="false">E5195*F5195</f>
        <v>-0.5625</v>
      </c>
      <c r="O5195" s="0" t="n">
        <f aca="false">E5195*G5195</f>
        <v>-0.75</v>
      </c>
      <c r="P5195" s="0" t="n">
        <f aca="false">E5195*H5195</f>
        <v>0.375</v>
      </c>
      <c r="Q5195" s="0" t="n">
        <f aca="false">F5195*G5195</f>
        <v>0.75</v>
      </c>
      <c r="R5195" s="0" t="n">
        <f aca="false">F5195*H5195</f>
        <v>-0.375</v>
      </c>
      <c r="S5195" s="0" t="n">
        <f aca="false">G5195*H5195</f>
        <v>-0.5</v>
      </c>
      <c r="T5195" s="0" t="n">
        <f aca="false">E5195*E5195</f>
        <v>0.5625</v>
      </c>
      <c r="U5195" s="0" t="n">
        <f aca="false">F5195*F5195</f>
        <v>0.5625</v>
      </c>
      <c r="V5195" s="0" t="n">
        <f aca="false">G5195*G5195</f>
        <v>1</v>
      </c>
      <c r="W5195" s="0" t="n">
        <f aca="false">H5195*H5195</f>
        <v>0.25</v>
      </c>
      <c r="X5195" s="0" t="n">
        <f aca="false">SUMPRODUCT(I5195:W5195,_XtX!$B$96:$P$96)</f>
        <v>43.4492141812866</v>
      </c>
      <c r="Y5195" s="0" t="n">
        <f aca="false">SUMPRODUCT(MMULT(I5195:W5195,_XtX!$B$78:$P$92),I5195:W5195)</f>
        <v>0.431153771472953</v>
      </c>
      <c r="Z5195" s="0" t="n">
        <f aca="false">04_回帰ANOVA!$K$19*04_回帰ANOVA!$K$14*SQRT(1+Y5195)</f>
        <v>1.55934259562563</v>
      </c>
      <c r="AA5195" s="0" t="n">
        <f aca="false">X5195-Z5195</f>
        <v>41.8898715856609</v>
      </c>
      <c r="AB5195" s="0" t="n">
        <f aca="false">X5195+Z5195</f>
        <v>45.0085567769122</v>
      </c>
      <c r="AC5195" s="54" t="b">
        <f aca="false">AND(E5195&gt;=01_因子設定!$L$5-0.000000001,E5195&lt;=01_因子設定!$M$5+0.000000001,F5195&gt;=01_因子設定!$L$6-0.000000001,F5195&lt;=01_因子設定!$M$6+0.000000001,G5195&gt;=01_因子設定!$L$7-0.000000001,G5195&lt;=01_因子設定!$M$7+0.000000001,H5195&gt;=01_因子設定!$L$8-0.000000001,H5195&lt;=01_因子設定!$M$8+0.000000001,IF(01_因子設定!$B$20="Box-Behnken",E5195^2+F5195^2+G5195^2+H5195^2&lt;=2+0.000000001,TRUE()))</f>
        <v>1</v>
      </c>
      <c r="AD5195" s="55" t="n">
        <f aca="false">IF(AC5195,IF(01_因子設定!$B$13="最大化",AA5195-01_因子設定!$B$14,IF(01_因子設定!$B$13="最小化",01_因子設定!$B$15-AB5195,MIN(AA5195-01_因子設定!$B$14,01_因子設定!$B$15-AB5195))),-1E+030)</f>
        <v>-4.61012841433908</v>
      </c>
      <c r="AE5195" s="55" t="n">
        <f aca="false">IF(AC5195,IF(01_因子設定!$B$13="最大化",X5195,IF(01_因子設定!$B$13="最小化",-X5195,-ABS(X5195-01_因子設定!$B$16))),-1E+030)</f>
        <v>43.4492141812866</v>
      </c>
      <c r="AF5195" s="55" t="n">
        <f aca="false">AD5195+ROW()*0.000000001</f>
        <v>-4.61012321933908</v>
      </c>
      <c r="AG5195" s="55" t="n">
        <f aca="false">AE5195+ROW()*0.000000001</f>
        <v>43.4492193762866</v>
      </c>
    </row>
    <row r="5196" customFormat="false" ht="15" hidden="false" customHeight="false" outlineLevel="0" collapsed="false">
      <c r="A5196" s="0" t="n">
        <v>7</v>
      </c>
      <c r="B5196" s="0" t="n">
        <v>1</v>
      </c>
      <c r="C5196" s="0" t="n">
        <v>0</v>
      </c>
      <c r="D5196" s="0" t="n">
        <v>7</v>
      </c>
      <c r="E5196" s="0" t="n">
        <f aca="false">-1+A5196*0.25</f>
        <v>0.75</v>
      </c>
      <c r="F5196" s="0" t="n">
        <f aca="false">-1+B5196*0.25</f>
        <v>-0.75</v>
      </c>
      <c r="G5196" s="0" t="n">
        <f aca="false">-1+C5196*0.25</f>
        <v>-1</v>
      </c>
      <c r="H5196" s="0" t="n">
        <f aca="false">-1+D5196*0.25</f>
        <v>0.75</v>
      </c>
      <c r="I5196" s="0" t="n">
        <f aca="false">1</f>
        <v>1</v>
      </c>
      <c r="J5196" s="0" t="n">
        <f aca="false">E5196</f>
        <v>0.75</v>
      </c>
      <c r="K5196" s="0" t="n">
        <f aca="false">F5196</f>
        <v>-0.75</v>
      </c>
      <c r="L5196" s="0" t="n">
        <f aca="false">G5196</f>
        <v>-1</v>
      </c>
      <c r="M5196" s="0" t="n">
        <f aca="false">H5196</f>
        <v>0.75</v>
      </c>
      <c r="N5196" s="0" t="n">
        <f aca="false">E5196*F5196</f>
        <v>-0.5625</v>
      </c>
      <c r="O5196" s="0" t="n">
        <f aca="false">E5196*G5196</f>
        <v>-0.75</v>
      </c>
      <c r="P5196" s="0" t="n">
        <f aca="false">E5196*H5196</f>
        <v>0.5625</v>
      </c>
      <c r="Q5196" s="0" t="n">
        <f aca="false">F5196*G5196</f>
        <v>0.75</v>
      </c>
      <c r="R5196" s="0" t="n">
        <f aca="false">F5196*H5196</f>
        <v>-0.5625</v>
      </c>
      <c r="S5196" s="0" t="n">
        <f aca="false">G5196*H5196</f>
        <v>-0.75</v>
      </c>
      <c r="T5196" s="0" t="n">
        <f aca="false">E5196*E5196</f>
        <v>0.5625</v>
      </c>
      <c r="U5196" s="0" t="n">
        <f aca="false">F5196*F5196</f>
        <v>0.5625</v>
      </c>
      <c r="V5196" s="0" t="n">
        <f aca="false">G5196*G5196</f>
        <v>1</v>
      </c>
      <c r="W5196" s="0" t="n">
        <f aca="false">H5196*H5196</f>
        <v>0.5625</v>
      </c>
      <c r="X5196" s="0" t="n">
        <f aca="false">SUMPRODUCT(I5196:W5196,_XtX!$B$96:$P$96)</f>
        <v>43.4224917763158</v>
      </c>
      <c r="Y5196" s="0" t="n">
        <f aca="false">SUMPRODUCT(MMULT(I5196:W5196,_XtX!$B$78:$P$92),I5196:W5196)</f>
        <v>0.420117473044591</v>
      </c>
      <c r="Z5196" s="0" t="n">
        <f aca="false">04_回帰ANOVA!$K$19*04_回帰ANOVA!$K$14*SQRT(1+Y5196)</f>
        <v>1.55331854827765</v>
      </c>
      <c r="AA5196" s="0" t="n">
        <f aca="false">X5196-Z5196</f>
        <v>41.8691732280382</v>
      </c>
      <c r="AB5196" s="0" t="n">
        <f aca="false">X5196+Z5196</f>
        <v>44.9758103245934</v>
      </c>
      <c r="AC5196" s="54" t="b">
        <f aca="false">AND(E5196&gt;=01_因子設定!$L$5-0.000000001,E5196&lt;=01_因子設定!$M$5+0.000000001,F5196&gt;=01_因子設定!$L$6-0.000000001,F5196&lt;=01_因子設定!$M$6+0.000000001,G5196&gt;=01_因子設定!$L$7-0.000000001,G5196&lt;=01_因子設定!$M$7+0.000000001,H5196&gt;=01_因子設定!$L$8-0.000000001,H5196&lt;=01_因子設定!$M$8+0.000000001,IF(01_因子設定!$B$20="Box-Behnken",E5196^2+F5196^2+G5196^2+H5196^2&lt;=2+0.000000001,TRUE()))</f>
        <v>1</v>
      </c>
      <c r="AD5196" s="55" t="n">
        <f aca="false">IF(AC5196,IF(01_因子設定!$B$13="最大化",AA5196-01_因子設定!$B$14,IF(01_因子設定!$B$13="最小化",01_因子設定!$B$15-AB5196,MIN(AA5196-01_因子設定!$B$14,01_因子設定!$B$15-AB5196))),-1E+030)</f>
        <v>-4.63082677196184</v>
      </c>
      <c r="AE5196" s="55" t="n">
        <f aca="false">IF(AC5196,IF(01_因子設定!$B$13="最大化",X5196,IF(01_因子設定!$B$13="最小化",-X5196,-ABS(X5196-01_因子設定!$B$16))),-1E+030)</f>
        <v>43.4224917763158</v>
      </c>
      <c r="AF5196" s="55" t="n">
        <f aca="false">AD5196+ROW()*0.000000001</f>
        <v>-4.63082157596184</v>
      </c>
      <c r="AG5196" s="55" t="n">
        <f aca="false">AE5196+ROW()*0.000000001</f>
        <v>43.4224969723158</v>
      </c>
    </row>
    <row r="5197" customFormat="false" ht="15" hidden="false" customHeight="false" outlineLevel="0" collapsed="false">
      <c r="A5197" s="0" t="n">
        <v>7</v>
      </c>
      <c r="B5197" s="0" t="n">
        <v>1</v>
      </c>
      <c r="C5197" s="0" t="n">
        <v>0</v>
      </c>
      <c r="D5197" s="0" t="n">
        <v>8</v>
      </c>
      <c r="E5197" s="0" t="n">
        <f aca="false">-1+A5197*0.25</f>
        <v>0.75</v>
      </c>
      <c r="F5197" s="0" t="n">
        <f aca="false">-1+B5197*0.25</f>
        <v>-0.75</v>
      </c>
      <c r="G5197" s="0" t="n">
        <f aca="false">-1+C5197*0.25</f>
        <v>-1</v>
      </c>
      <c r="H5197" s="0" t="n">
        <f aca="false">-1+D5197*0.25</f>
        <v>1</v>
      </c>
      <c r="I5197" s="0" t="n">
        <f aca="false">1</f>
        <v>1</v>
      </c>
      <c r="J5197" s="0" t="n">
        <f aca="false">E5197</f>
        <v>0.75</v>
      </c>
      <c r="K5197" s="0" t="n">
        <f aca="false">F5197</f>
        <v>-0.75</v>
      </c>
      <c r="L5197" s="0" t="n">
        <f aca="false">G5197</f>
        <v>-1</v>
      </c>
      <c r="M5197" s="0" t="n">
        <f aca="false">H5197</f>
        <v>1</v>
      </c>
      <c r="N5197" s="0" t="n">
        <f aca="false">E5197*F5197</f>
        <v>-0.5625</v>
      </c>
      <c r="O5197" s="0" t="n">
        <f aca="false">E5197*G5197</f>
        <v>-0.75</v>
      </c>
      <c r="P5197" s="0" t="n">
        <f aca="false">E5197*H5197</f>
        <v>0.75</v>
      </c>
      <c r="Q5197" s="0" t="n">
        <f aca="false">F5197*G5197</f>
        <v>0.75</v>
      </c>
      <c r="R5197" s="0" t="n">
        <f aca="false">F5197*H5197</f>
        <v>-0.75</v>
      </c>
      <c r="S5197" s="0" t="n">
        <f aca="false">G5197*H5197</f>
        <v>-1</v>
      </c>
      <c r="T5197" s="0" t="n">
        <f aca="false">E5197*E5197</f>
        <v>0.5625</v>
      </c>
      <c r="U5197" s="0" t="n">
        <f aca="false">F5197*F5197</f>
        <v>0.5625</v>
      </c>
      <c r="V5197" s="0" t="n">
        <f aca="false">G5197*G5197</f>
        <v>1</v>
      </c>
      <c r="W5197" s="0" t="n">
        <f aca="false">H5197*H5197</f>
        <v>1</v>
      </c>
      <c r="X5197" s="0" t="n">
        <f aca="false">SUMPRODUCT(I5197:W5197,_XtX!$B$96:$P$96)</f>
        <v>43.3479623538012</v>
      </c>
      <c r="Y5197" s="0" t="n">
        <f aca="false">SUMPRODUCT(MMULT(I5197:W5197,_XtX!$B$78:$P$92),I5197:W5197)</f>
        <v>0.531311392086988</v>
      </c>
      <c r="Z5197" s="0" t="n">
        <f aca="false">04_回帰ANOVA!$K$19*04_回帰ANOVA!$K$14*SQRT(1+Y5197)</f>
        <v>1.61298433431428</v>
      </c>
      <c r="AA5197" s="0" t="n">
        <f aca="false">X5197-Z5197</f>
        <v>41.7349780194869</v>
      </c>
      <c r="AB5197" s="0" t="n">
        <f aca="false">X5197+Z5197</f>
        <v>44.9609466881155</v>
      </c>
      <c r="AC5197" s="54" t="b">
        <f aca="false">AND(E5197&gt;=01_因子設定!$L$5-0.000000001,E5197&lt;=01_因子設定!$M$5+0.000000001,F5197&gt;=01_因子設定!$L$6-0.000000001,F5197&lt;=01_因子設定!$M$6+0.000000001,G5197&gt;=01_因子設定!$L$7-0.000000001,G5197&lt;=01_因子設定!$M$7+0.000000001,H5197&gt;=01_因子設定!$L$8-0.000000001,H5197&lt;=01_因子設定!$M$8+0.000000001,IF(01_因子設定!$B$20="Box-Behnken",E5197^2+F5197^2+G5197^2+H5197^2&lt;=2+0.000000001,TRUE()))</f>
        <v>1</v>
      </c>
      <c r="AD5197" s="55" t="n">
        <f aca="false">IF(AC5197,IF(01_因子設定!$B$13="最大化",AA5197-01_因子設定!$B$14,IF(01_因子設定!$B$13="最小化",01_因子設定!$B$15-AB5197,MIN(AA5197-01_因子設定!$B$14,01_因子設定!$B$15-AB5197))),-1E+030)</f>
        <v>-4.76502198051309</v>
      </c>
      <c r="AE5197" s="55" t="n">
        <f aca="false">IF(AC5197,IF(01_因子設定!$B$13="最大化",X5197,IF(01_因子設定!$B$13="最小化",-X5197,-ABS(X5197-01_因子設定!$B$16))),-1E+030)</f>
        <v>43.3479623538012</v>
      </c>
      <c r="AF5197" s="55" t="n">
        <f aca="false">AD5197+ROW()*0.000000001</f>
        <v>-4.76501678351309</v>
      </c>
      <c r="AG5197" s="55" t="n">
        <f aca="false">AE5197+ROW()*0.000000001</f>
        <v>43.3479675508012</v>
      </c>
    </row>
    <row r="5198" customFormat="false" ht="15" hidden="false" customHeight="false" outlineLevel="0" collapsed="false">
      <c r="A5198" s="0" t="n">
        <v>7</v>
      </c>
      <c r="B5198" s="0" t="n">
        <v>1</v>
      </c>
      <c r="C5198" s="0" t="n">
        <v>1</v>
      </c>
      <c r="D5198" s="0" t="n">
        <v>0</v>
      </c>
      <c r="E5198" s="0" t="n">
        <f aca="false">-1+A5198*0.25</f>
        <v>0.75</v>
      </c>
      <c r="F5198" s="0" t="n">
        <f aca="false">-1+B5198*0.25</f>
        <v>-0.75</v>
      </c>
      <c r="G5198" s="0" t="n">
        <f aca="false">-1+C5198*0.25</f>
        <v>-0.75</v>
      </c>
      <c r="H5198" s="0" t="n">
        <f aca="false">-1+D5198*0.25</f>
        <v>-1</v>
      </c>
      <c r="I5198" s="0" t="n">
        <f aca="false">1</f>
        <v>1</v>
      </c>
      <c r="J5198" s="0" t="n">
        <f aca="false">E5198</f>
        <v>0.75</v>
      </c>
      <c r="K5198" s="0" t="n">
        <f aca="false">F5198</f>
        <v>-0.75</v>
      </c>
      <c r="L5198" s="0" t="n">
        <f aca="false">G5198</f>
        <v>-0.75</v>
      </c>
      <c r="M5198" s="0" t="n">
        <f aca="false">H5198</f>
        <v>-1</v>
      </c>
      <c r="N5198" s="0" t="n">
        <f aca="false">E5198*F5198</f>
        <v>-0.5625</v>
      </c>
      <c r="O5198" s="0" t="n">
        <f aca="false">E5198*G5198</f>
        <v>-0.5625</v>
      </c>
      <c r="P5198" s="0" t="n">
        <f aca="false">E5198*H5198</f>
        <v>-0.75</v>
      </c>
      <c r="Q5198" s="0" t="n">
        <f aca="false">F5198*G5198</f>
        <v>0.5625</v>
      </c>
      <c r="R5198" s="0" t="n">
        <f aca="false">F5198*H5198</f>
        <v>0.75</v>
      </c>
      <c r="S5198" s="0" t="n">
        <f aca="false">G5198*H5198</f>
        <v>0.75</v>
      </c>
      <c r="T5198" s="0" t="n">
        <f aca="false">E5198*E5198</f>
        <v>0.5625</v>
      </c>
      <c r="U5198" s="0" t="n">
        <f aca="false">F5198*F5198</f>
        <v>0.5625</v>
      </c>
      <c r="V5198" s="0" t="n">
        <f aca="false">G5198*G5198</f>
        <v>0.5625</v>
      </c>
      <c r="W5198" s="0" t="n">
        <f aca="false">H5198*H5198</f>
        <v>1</v>
      </c>
      <c r="X5198" s="0" t="n">
        <f aca="false">SUMPRODUCT(I5198:W5198,_XtX!$B$96:$P$96)</f>
        <v>42.8976653874269</v>
      </c>
      <c r="Y5198" s="0" t="n">
        <f aca="false">SUMPRODUCT(MMULT(I5198:W5198,_XtX!$B$78:$P$92),I5198:W5198)</f>
        <v>0.420117473044591</v>
      </c>
      <c r="Z5198" s="0" t="n">
        <f aca="false">04_回帰ANOVA!$K$19*04_回帰ANOVA!$K$14*SQRT(1+Y5198)</f>
        <v>1.55331854827765</v>
      </c>
      <c r="AA5198" s="0" t="n">
        <f aca="false">X5198-Z5198</f>
        <v>41.3443468391493</v>
      </c>
      <c r="AB5198" s="0" t="n">
        <f aca="false">X5198+Z5198</f>
        <v>44.4509839357046</v>
      </c>
      <c r="AC5198" s="54" t="b">
        <f aca="false">AND(E5198&gt;=01_因子設定!$L$5-0.000000001,E5198&lt;=01_因子設定!$M$5+0.000000001,F5198&gt;=01_因子設定!$L$6-0.000000001,F5198&lt;=01_因子設定!$M$6+0.000000001,G5198&gt;=01_因子設定!$L$7-0.000000001,G5198&lt;=01_因子設定!$M$7+0.000000001,H5198&gt;=01_因子設定!$L$8-0.000000001,H5198&lt;=01_因子設定!$M$8+0.000000001,IF(01_因子設定!$B$20="Box-Behnken",E5198^2+F5198^2+G5198^2+H5198^2&lt;=2+0.000000001,TRUE()))</f>
        <v>1</v>
      </c>
      <c r="AD5198" s="55" t="n">
        <f aca="false">IF(AC5198,IF(01_因子設定!$B$13="最大化",AA5198-01_因子設定!$B$14,IF(01_因子設定!$B$13="最小化",01_因子設定!$B$15-AB5198,MIN(AA5198-01_因子設定!$B$14,01_因子設定!$B$15-AB5198))),-1E+030)</f>
        <v>-5.15565316085072</v>
      </c>
      <c r="AE5198" s="55" t="n">
        <f aca="false">IF(AC5198,IF(01_因子設定!$B$13="最大化",X5198,IF(01_因子設定!$B$13="最小化",-X5198,-ABS(X5198-01_因子設定!$B$16))),-1E+030)</f>
        <v>42.8976653874269</v>
      </c>
      <c r="AF5198" s="55" t="n">
        <f aca="false">AD5198+ROW()*0.000000001</f>
        <v>-5.15564796285072</v>
      </c>
      <c r="AG5198" s="55" t="n">
        <f aca="false">AE5198+ROW()*0.000000001</f>
        <v>42.8976705854269</v>
      </c>
    </row>
    <row r="5199" customFormat="false" ht="15" hidden="false" customHeight="false" outlineLevel="0" collapsed="false">
      <c r="A5199" s="0" t="n">
        <v>7</v>
      </c>
      <c r="B5199" s="0" t="n">
        <v>1</v>
      </c>
      <c r="C5199" s="0" t="n">
        <v>1</v>
      </c>
      <c r="D5199" s="0" t="n">
        <v>1</v>
      </c>
      <c r="E5199" s="0" t="n">
        <f aca="false">-1+A5199*0.25</f>
        <v>0.75</v>
      </c>
      <c r="F5199" s="0" t="n">
        <f aca="false">-1+B5199*0.25</f>
        <v>-0.75</v>
      </c>
      <c r="G5199" s="0" t="n">
        <f aca="false">-1+C5199*0.25</f>
        <v>-0.75</v>
      </c>
      <c r="H5199" s="0" t="n">
        <f aca="false">-1+D5199*0.25</f>
        <v>-0.75</v>
      </c>
      <c r="I5199" s="0" t="n">
        <f aca="false">1</f>
        <v>1</v>
      </c>
      <c r="J5199" s="0" t="n">
        <f aca="false">E5199</f>
        <v>0.75</v>
      </c>
      <c r="K5199" s="0" t="n">
        <f aca="false">F5199</f>
        <v>-0.75</v>
      </c>
      <c r="L5199" s="0" t="n">
        <f aca="false">G5199</f>
        <v>-0.75</v>
      </c>
      <c r="M5199" s="0" t="n">
        <f aca="false">H5199</f>
        <v>-0.75</v>
      </c>
      <c r="N5199" s="0" t="n">
        <f aca="false">E5199*F5199</f>
        <v>-0.5625</v>
      </c>
      <c r="O5199" s="0" t="n">
        <f aca="false">E5199*G5199</f>
        <v>-0.5625</v>
      </c>
      <c r="P5199" s="0" t="n">
        <f aca="false">E5199*H5199</f>
        <v>-0.5625</v>
      </c>
      <c r="Q5199" s="0" t="n">
        <f aca="false">F5199*G5199</f>
        <v>0.5625</v>
      </c>
      <c r="R5199" s="0" t="n">
        <f aca="false">F5199*H5199</f>
        <v>0.5625</v>
      </c>
      <c r="S5199" s="0" t="n">
        <f aca="false">G5199*H5199</f>
        <v>0.5625</v>
      </c>
      <c r="T5199" s="0" t="n">
        <f aca="false">E5199*E5199</f>
        <v>0.5625</v>
      </c>
      <c r="U5199" s="0" t="n">
        <f aca="false">F5199*F5199</f>
        <v>0.5625</v>
      </c>
      <c r="V5199" s="0" t="n">
        <f aca="false">G5199*G5199</f>
        <v>0.5625</v>
      </c>
      <c r="W5199" s="0" t="n">
        <f aca="false">H5199*H5199</f>
        <v>0.5625</v>
      </c>
      <c r="X5199" s="0" t="n">
        <f aca="false">SUMPRODUCT(I5199:W5199,_XtX!$B$96:$P$96)</f>
        <v>43.1757538377193</v>
      </c>
      <c r="Y5199" s="0" t="n">
        <f aca="false">SUMPRODUCT(MMULT(I5199:W5199,_XtX!$B$78:$P$92),I5199:W5199)</f>
        <v>0.277232387609649</v>
      </c>
      <c r="Z5199" s="0" t="n">
        <f aca="false">04_回帰ANOVA!$K$19*04_回帰ANOVA!$K$14*SQRT(1+Y5199)</f>
        <v>1.47310381441991</v>
      </c>
      <c r="AA5199" s="0" t="n">
        <f aca="false">X5199-Z5199</f>
        <v>41.7026500232994</v>
      </c>
      <c r="AB5199" s="0" t="n">
        <f aca="false">X5199+Z5199</f>
        <v>44.6488576521392</v>
      </c>
      <c r="AC5199" s="54" t="b">
        <f aca="false">AND(E5199&gt;=01_因子設定!$L$5-0.000000001,E5199&lt;=01_因子設定!$M$5+0.000000001,F5199&gt;=01_因子設定!$L$6-0.000000001,F5199&lt;=01_因子設定!$M$6+0.000000001,G5199&gt;=01_因子設定!$L$7-0.000000001,G5199&lt;=01_因子設定!$M$7+0.000000001,H5199&gt;=01_因子設定!$L$8-0.000000001,H5199&lt;=01_因子設定!$M$8+0.000000001,IF(01_因子設定!$B$20="Box-Behnken",E5199^2+F5199^2+G5199^2+H5199^2&lt;=2+0.000000001,TRUE()))</f>
        <v>1</v>
      </c>
      <c r="AD5199" s="55" t="n">
        <f aca="false">IF(AC5199,IF(01_因子設定!$B$13="最大化",AA5199-01_因子設定!$B$14,IF(01_因子設定!$B$13="最小化",01_因子設定!$B$15-AB5199,MIN(AA5199-01_因子設定!$B$14,01_因子設定!$B$15-AB5199))),-1E+030)</f>
        <v>-4.7973499767006</v>
      </c>
      <c r="AE5199" s="55" t="n">
        <f aca="false">IF(AC5199,IF(01_因子設定!$B$13="最大化",X5199,IF(01_因子設定!$B$13="最小化",-X5199,-ABS(X5199-01_因子設定!$B$16))),-1E+030)</f>
        <v>43.1757538377193</v>
      </c>
      <c r="AF5199" s="55" t="n">
        <f aca="false">AD5199+ROW()*0.000000001</f>
        <v>-4.7973447777006</v>
      </c>
      <c r="AG5199" s="55" t="n">
        <f aca="false">AE5199+ROW()*0.000000001</f>
        <v>43.1757590367193</v>
      </c>
    </row>
    <row r="5200" customFormat="false" ht="15" hidden="false" customHeight="false" outlineLevel="0" collapsed="false">
      <c r="A5200" s="0" t="n">
        <v>7</v>
      </c>
      <c r="B5200" s="0" t="n">
        <v>1</v>
      </c>
      <c r="C5200" s="0" t="n">
        <v>1</v>
      </c>
      <c r="D5200" s="0" t="n">
        <v>2</v>
      </c>
      <c r="E5200" s="0" t="n">
        <f aca="false">-1+A5200*0.25</f>
        <v>0.75</v>
      </c>
      <c r="F5200" s="0" t="n">
        <f aca="false">-1+B5200*0.25</f>
        <v>-0.75</v>
      </c>
      <c r="G5200" s="0" t="n">
        <f aca="false">-1+C5200*0.25</f>
        <v>-0.75</v>
      </c>
      <c r="H5200" s="0" t="n">
        <f aca="false">-1+D5200*0.25</f>
        <v>-0.5</v>
      </c>
      <c r="I5200" s="0" t="n">
        <f aca="false">1</f>
        <v>1</v>
      </c>
      <c r="J5200" s="0" t="n">
        <f aca="false">E5200</f>
        <v>0.75</v>
      </c>
      <c r="K5200" s="0" t="n">
        <f aca="false">F5200</f>
        <v>-0.75</v>
      </c>
      <c r="L5200" s="0" t="n">
        <f aca="false">G5200</f>
        <v>-0.75</v>
      </c>
      <c r="M5200" s="0" t="n">
        <f aca="false">H5200</f>
        <v>-0.5</v>
      </c>
      <c r="N5200" s="0" t="n">
        <f aca="false">E5200*F5200</f>
        <v>-0.5625</v>
      </c>
      <c r="O5200" s="0" t="n">
        <f aca="false">E5200*G5200</f>
        <v>-0.5625</v>
      </c>
      <c r="P5200" s="0" t="n">
        <f aca="false">E5200*H5200</f>
        <v>-0.375</v>
      </c>
      <c r="Q5200" s="0" t="n">
        <f aca="false">F5200*G5200</f>
        <v>0.5625</v>
      </c>
      <c r="R5200" s="0" t="n">
        <f aca="false">F5200*H5200</f>
        <v>0.375</v>
      </c>
      <c r="S5200" s="0" t="n">
        <f aca="false">G5200*H5200</f>
        <v>0.375</v>
      </c>
      <c r="T5200" s="0" t="n">
        <f aca="false">E5200*E5200</f>
        <v>0.5625</v>
      </c>
      <c r="U5200" s="0" t="n">
        <f aca="false">F5200*F5200</f>
        <v>0.5625</v>
      </c>
      <c r="V5200" s="0" t="n">
        <f aca="false">G5200*G5200</f>
        <v>0.5625</v>
      </c>
      <c r="W5200" s="0" t="n">
        <f aca="false">H5200*H5200</f>
        <v>0.25</v>
      </c>
      <c r="X5200" s="0" t="n">
        <f aca="false">SUMPRODUCT(I5200:W5200,_XtX!$B$96:$P$96)</f>
        <v>43.4060352704678</v>
      </c>
      <c r="Y5200" s="0" t="n">
        <f aca="false">SUMPRODUCT(MMULT(I5200:W5200,_XtX!$B$78:$P$92),I5200:W5200)</f>
        <v>0.265632138614766</v>
      </c>
      <c r="Z5200" s="0" t="n">
        <f aca="false">04_回帰ANOVA!$K$19*04_回帰ANOVA!$K$14*SQRT(1+Y5200)</f>
        <v>1.46639894654257</v>
      </c>
      <c r="AA5200" s="0" t="n">
        <f aca="false">X5200-Z5200</f>
        <v>41.9396363239253</v>
      </c>
      <c r="AB5200" s="0" t="n">
        <f aca="false">X5200+Z5200</f>
        <v>44.8724342170104</v>
      </c>
      <c r="AC5200" s="54" t="b">
        <f aca="false">AND(E5200&gt;=01_因子設定!$L$5-0.000000001,E5200&lt;=01_因子設定!$M$5+0.000000001,F5200&gt;=01_因子設定!$L$6-0.000000001,F5200&lt;=01_因子設定!$M$6+0.000000001,G5200&gt;=01_因子設定!$L$7-0.000000001,G5200&lt;=01_因子設定!$M$7+0.000000001,H5200&gt;=01_因子設定!$L$8-0.000000001,H5200&lt;=01_因子設定!$M$8+0.000000001,IF(01_因子設定!$B$20="Box-Behnken",E5200^2+F5200^2+G5200^2+H5200^2&lt;=2+0.000000001,TRUE()))</f>
        <v>1</v>
      </c>
      <c r="AD5200" s="55" t="n">
        <f aca="false">IF(AC5200,IF(01_因子設定!$B$13="最大化",AA5200-01_因子設定!$B$14,IF(01_因子設定!$B$13="最小化",01_因子設定!$B$15-AB5200,MIN(AA5200-01_因子設定!$B$14,01_因子設定!$B$15-AB5200))),-1E+030)</f>
        <v>-4.56036367607474</v>
      </c>
      <c r="AE5200" s="55" t="n">
        <f aca="false">IF(AC5200,IF(01_因子設定!$B$13="最大化",X5200,IF(01_因子設定!$B$13="最小化",-X5200,-ABS(X5200-01_因子設定!$B$16))),-1E+030)</f>
        <v>43.4060352704678</v>
      </c>
      <c r="AF5200" s="55" t="n">
        <f aca="false">AD5200+ROW()*0.000000001</f>
        <v>-4.56035847607474</v>
      </c>
      <c r="AG5200" s="55" t="n">
        <f aca="false">AE5200+ROW()*0.000000001</f>
        <v>43.4060404704678</v>
      </c>
    </row>
    <row r="5201" customFormat="false" ht="15" hidden="false" customHeight="false" outlineLevel="0" collapsed="false">
      <c r="A5201" s="0" t="n">
        <v>7</v>
      </c>
      <c r="B5201" s="0" t="n">
        <v>1</v>
      </c>
      <c r="C5201" s="0" t="n">
        <v>1</v>
      </c>
      <c r="D5201" s="0" t="n">
        <v>3</v>
      </c>
      <c r="E5201" s="0" t="n">
        <f aca="false">-1+A5201*0.25</f>
        <v>0.75</v>
      </c>
      <c r="F5201" s="0" t="n">
        <f aca="false">-1+B5201*0.25</f>
        <v>-0.75</v>
      </c>
      <c r="G5201" s="0" t="n">
        <f aca="false">-1+C5201*0.25</f>
        <v>-0.75</v>
      </c>
      <c r="H5201" s="0" t="n">
        <f aca="false">-1+D5201*0.25</f>
        <v>-0.25</v>
      </c>
      <c r="I5201" s="0" t="n">
        <f aca="false">1</f>
        <v>1</v>
      </c>
      <c r="J5201" s="0" t="n">
        <f aca="false">E5201</f>
        <v>0.75</v>
      </c>
      <c r="K5201" s="0" t="n">
        <f aca="false">F5201</f>
        <v>-0.75</v>
      </c>
      <c r="L5201" s="0" t="n">
        <f aca="false">G5201</f>
        <v>-0.75</v>
      </c>
      <c r="M5201" s="0" t="n">
        <f aca="false">H5201</f>
        <v>-0.25</v>
      </c>
      <c r="N5201" s="0" t="n">
        <f aca="false">E5201*F5201</f>
        <v>-0.5625</v>
      </c>
      <c r="O5201" s="0" t="n">
        <f aca="false">E5201*G5201</f>
        <v>-0.5625</v>
      </c>
      <c r="P5201" s="0" t="n">
        <f aca="false">E5201*H5201</f>
        <v>-0.1875</v>
      </c>
      <c r="Q5201" s="0" t="n">
        <f aca="false">F5201*G5201</f>
        <v>0.5625</v>
      </c>
      <c r="R5201" s="0" t="n">
        <f aca="false">F5201*H5201</f>
        <v>0.1875</v>
      </c>
      <c r="S5201" s="0" t="n">
        <f aca="false">G5201*H5201</f>
        <v>0.1875</v>
      </c>
      <c r="T5201" s="0" t="n">
        <f aca="false">E5201*E5201</f>
        <v>0.5625</v>
      </c>
      <c r="U5201" s="0" t="n">
        <f aca="false">F5201*F5201</f>
        <v>0.5625</v>
      </c>
      <c r="V5201" s="0" t="n">
        <f aca="false">G5201*G5201</f>
        <v>0.5625</v>
      </c>
      <c r="W5201" s="0" t="n">
        <f aca="false">H5201*H5201</f>
        <v>0.0625</v>
      </c>
      <c r="X5201" s="0" t="n">
        <f aca="false">SUMPRODUCT(I5201:W5201,_XtX!$B$96:$P$96)</f>
        <v>43.5885096856725</v>
      </c>
      <c r="Y5201" s="0" t="n">
        <f aca="false">SUMPRODUCT(MMULT(I5201:W5201,_XtX!$B$78:$P$92),I5201:W5201)</f>
        <v>0.294856199744152</v>
      </c>
      <c r="Z5201" s="0" t="n">
        <f aca="false">04_回帰ANOVA!$K$19*04_回帰ANOVA!$K$14*SQRT(1+Y5201)</f>
        <v>1.48323226089013</v>
      </c>
      <c r="AA5201" s="0" t="n">
        <f aca="false">X5201-Z5201</f>
        <v>42.1052774247824</v>
      </c>
      <c r="AB5201" s="0" t="n">
        <f aca="false">X5201+Z5201</f>
        <v>45.0717419465626</v>
      </c>
      <c r="AC5201" s="54" t="b">
        <f aca="false">AND(E5201&gt;=01_因子設定!$L$5-0.000000001,E5201&lt;=01_因子設定!$M$5+0.000000001,F5201&gt;=01_因子設定!$L$6-0.000000001,F5201&lt;=01_因子設定!$M$6+0.000000001,G5201&gt;=01_因子設定!$L$7-0.000000001,G5201&lt;=01_因子設定!$M$7+0.000000001,H5201&gt;=01_因子設定!$L$8-0.000000001,H5201&lt;=01_因子設定!$M$8+0.000000001,IF(01_因子設定!$B$20="Box-Behnken",E5201^2+F5201^2+G5201^2+H5201^2&lt;=2+0.000000001,TRUE()))</f>
        <v>1</v>
      </c>
      <c r="AD5201" s="55" t="n">
        <f aca="false">IF(AC5201,IF(01_因子設定!$B$13="最大化",AA5201-01_因子設定!$B$14,IF(01_因子設定!$B$13="最小化",01_因子設定!$B$15-AB5201,MIN(AA5201-01_因子設定!$B$14,01_因子設定!$B$15-AB5201))),-1E+030)</f>
        <v>-4.39472257521763</v>
      </c>
      <c r="AE5201" s="55" t="n">
        <f aca="false">IF(AC5201,IF(01_因子設定!$B$13="最大化",X5201,IF(01_因子設定!$B$13="最小化",-X5201,-ABS(X5201-01_因子設定!$B$16))),-1E+030)</f>
        <v>43.5885096856725</v>
      </c>
      <c r="AF5201" s="55" t="n">
        <f aca="false">AD5201+ROW()*0.000000001</f>
        <v>-4.39471737421763</v>
      </c>
      <c r="AG5201" s="55" t="n">
        <f aca="false">AE5201+ROW()*0.000000001</f>
        <v>43.5885148866725</v>
      </c>
    </row>
    <row r="5202" customFormat="false" ht="15" hidden="false" customHeight="false" outlineLevel="0" collapsed="false">
      <c r="A5202" s="0" t="n">
        <v>7</v>
      </c>
      <c r="B5202" s="0" t="n">
        <v>1</v>
      </c>
      <c r="C5202" s="0" t="n">
        <v>1</v>
      </c>
      <c r="D5202" s="0" t="n">
        <v>4</v>
      </c>
      <c r="E5202" s="0" t="n">
        <f aca="false">-1+A5202*0.25</f>
        <v>0.75</v>
      </c>
      <c r="F5202" s="0" t="n">
        <f aca="false">-1+B5202*0.25</f>
        <v>-0.75</v>
      </c>
      <c r="G5202" s="0" t="n">
        <f aca="false">-1+C5202*0.25</f>
        <v>-0.75</v>
      </c>
      <c r="H5202" s="0" t="n">
        <f aca="false">-1+D5202*0.25</f>
        <v>0</v>
      </c>
      <c r="I5202" s="0" t="n">
        <f aca="false">1</f>
        <v>1</v>
      </c>
      <c r="J5202" s="0" t="n">
        <f aca="false">E5202</f>
        <v>0.75</v>
      </c>
      <c r="K5202" s="0" t="n">
        <f aca="false">F5202</f>
        <v>-0.75</v>
      </c>
      <c r="L5202" s="0" t="n">
        <f aca="false">G5202</f>
        <v>-0.75</v>
      </c>
      <c r="M5202" s="0" t="n">
        <f aca="false">H5202</f>
        <v>0</v>
      </c>
      <c r="N5202" s="0" t="n">
        <f aca="false">E5202*F5202</f>
        <v>-0.5625</v>
      </c>
      <c r="O5202" s="0" t="n">
        <f aca="false">E5202*G5202</f>
        <v>-0.5625</v>
      </c>
      <c r="P5202" s="0" t="n">
        <f aca="false">E5202*H5202</f>
        <v>0</v>
      </c>
      <c r="Q5202" s="0" t="n">
        <f aca="false">F5202*G5202</f>
        <v>0.5625</v>
      </c>
      <c r="R5202" s="0" t="n">
        <f aca="false">F5202*H5202</f>
        <v>-0</v>
      </c>
      <c r="S5202" s="0" t="n">
        <f aca="false">G5202*H5202</f>
        <v>-0</v>
      </c>
      <c r="T5202" s="0" t="n">
        <f aca="false">E5202*E5202</f>
        <v>0.5625</v>
      </c>
      <c r="U5202" s="0" t="n">
        <f aca="false">F5202*F5202</f>
        <v>0.5625</v>
      </c>
      <c r="V5202" s="0" t="n">
        <f aca="false">G5202*G5202</f>
        <v>0.5625</v>
      </c>
      <c r="W5202" s="0" t="n">
        <f aca="false">H5202*H5202</f>
        <v>0</v>
      </c>
      <c r="X5202" s="0" t="n">
        <f aca="false">SUMPRODUCT(I5202:W5202,_XtX!$B$96:$P$96)</f>
        <v>43.7231770833333</v>
      </c>
      <c r="Y5202" s="0" t="n">
        <f aca="false">SUMPRODUCT(MMULT(I5202:W5202,_XtX!$B$78:$P$92),I5202:W5202)</f>
        <v>0.310628255208333</v>
      </c>
      <c r="Z5202" s="0" t="n">
        <f aca="false">04_回帰ANOVA!$K$19*04_回帰ANOVA!$K$14*SQRT(1+Y5202)</f>
        <v>1.49223820892344</v>
      </c>
      <c r="AA5202" s="0" t="n">
        <f aca="false">X5202-Z5202</f>
        <v>42.2309388744099</v>
      </c>
      <c r="AB5202" s="0" t="n">
        <f aca="false">X5202+Z5202</f>
        <v>45.2154152922568</v>
      </c>
      <c r="AC5202" s="54" t="b">
        <f aca="false">AND(E5202&gt;=01_因子設定!$L$5-0.000000001,E5202&lt;=01_因子設定!$M$5+0.000000001,F5202&gt;=01_因子設定!$L$6-0.000000001,F5202&lt;=01_因子設定!$M$6+0.000000001,G5202&gt;=01_因子設定!$L$7-0.000000001,G5202&lt;=01_因子設定!$M$7+0.000000001,H5202&gt;=01_因子設定!$L$8-0.000000001,H5202&lt;=01_因子設定!$M$8+0.000000001,IF(01_因子設定!$B$20="Box-Behnken",E5202^2+F5202^2+G5202^2+H5202^2&lt;=2+0.000000001,TRUE()))</f>
        <v>1</v>
      </c>
      <c r="AD5202" s="55" t="n">
        <f aca="false">IF(AC5202,IF(01_因子設定!$B$13="最大化",AA5202-01_因子設定!$B$14,IF(01_因子設定!$B$13="最小化",01_因子設定!$B$15-AB5202,MIN(AA5202-01_因子設定!$B$14,01_因子設定!$B$15-AB5202))),-1E+030)</f>
        <v>-4.26906112559012</v>
      </c>
      <c r="AE5202" s="55" t="n">
        <f aca="false">IF(AC5202,IF(01_因子設定!$B$13="最大化",X5202,IF(01_因子設定!$B$13="最小化",-X5202,-ABS(X5202-01_因子設定!$B$16))),-1E+030)</f>
        <v>43.7231770833333</v>
      </c>
      <c r="AF5202" s="55" t="n">
        <f aca="false">AD5202+ROW()*0.000000001</f>
        <v>-4.26905592359012</v>
      </c>
      <c r="AG5202" s="55" t="n">
        <f aca="false">AE5202+ROW()*0.000000001</f>
        <v>43.7231822853333</v>
      </c>
    </row>
    <row r="5203" customFormat="false" ht="15" hidden="false" customHeight="false" outlineLevel="0" collapsed="false">
      <c r="A5203" s="0" t="n">
        <v>7</v>
      </c>
      <c r="B5203" s="0" t="n">
        <v>1</v>
      </c>
      <c r="C5203" s="0" t="n">
        <v>1</v>
      </c>
      <c r="D5203" s="0" t="n">
        <v>5</v>
      </c>
      <c r="E5203" s="0" t="n">
        <f aca="false">-1+A5203*0.25</f>
        <v>0.75</v>
      </c>
      <c r="F5203" s="0" t="n">
        <f aca="false">-1+B5203*0.25</f>
        <v>-0.75</v>
      </c>
      <c r="G5203" s="0" t="n">
        <f aca="false">-1+C5203*0.25</f>
        <v>-0.75</v>
      </c>
      <c r="H5203" s="0" t="n">
        <f aca="false">-1+D5203*0.25</f>
        <v>0.25</v>
      </c>
      <c r="I5203" s="0" t="n">
        <f aca="false">1</f>
        <v>1</v>
      </c>
      <c r="J5203" s="0" t="n">
        <f aca="false">E5203</f>
        <v>0.75</v>
      </c>
      <c r="K5203" s="0" t="n">
        <f aca="false">F5203</f>
        <v>-0.75</v>
      </c>
      <c r="L5203" s="0" t="n">
        <f aca="false">G5203</f>
        <v>-0.75</v>
      </c>
      <c r="M5203" s="0" t="n">
        <f aca="false">H5203</f>
        <v>0.25</v>
      </c>
      <c r="N5203" s="0" t="n">
        <f aca="false">E5203*F5203</f>
        <v>-0.5625</v>
      </c>
      <c r="O5203" s="0" t="n">
        <f aca="false">E5203*G5203</f>
        <v>-0.5625</v>
      </c>
      <c r="P5203" s="0" t="n">
        <f aca="false">E5203*H5203</f>
        <v>0.1875</v>
      </c>
      <c r="Q5203" s="0" t="n">
        <f aca="false">F5203*G5203</f>
        <v>0.5625</v>
      </c>
      <c r="R5203" s="0" t="n">
        <f aca="false">F5203*H5203</f>
        <v>-0.1875</v>
      </c>
      <c r="S5203" s="0" t="n">
        <f aca="false">G5203*H5203</f>
        <v>-0.1875</v>
      </c>
      <c r="T5203" s="0" t="n">
        <f aca="false">E5203*E5203</f>
        <v>0.5625</v>
      </c>
      <c r="U5203" s="0" t="n">
        <f aca="false">F5203*F5203</f>
        <v>0.5625</v>
      </c>
      <c r="V5203" s="0" t="n">
        <f aca="false">G5203*G5203</f>
        <v>0.5625</v>
      </c>
      <c r="W5203" s="0" t="n">
        <f aca="false">H5203*H5203</f>
        <v>0.0625</v>
      </c>
      <c r="X5203" s="0" t="n">
        <f aca="false">SUMPRODUCT(I5203:W5203,_XtX!$B$96:$P$96)</f>
        <v>43.8100374634503</v>
      </c>
      <c r="Y5203" s="0" t="n">
        <f aca="false">SUMPRODUCT(MMULT(I5203:W5203,_XtX!$B$78:$P$92),I5203:W5203)</f>
        <v>0.294856199744152</v>
      </c>
      <c r="Z5203" s="0" t="n">
        <f aca="false">04_回帰ANOVA!$K$19*04_回帰ANOVA!$K$14*SQRT(1+Y5203)</f>
        <v>1.48323226089013</v>
      </c>
      <c r="AA5203" s="0" t="n">
        <f aca="false">X5203-Z5203</f>
        <v>42.3268052025601</v>
      </c>
      <c r="AB5203" s="0" t="n">
        <f aca="false">X5203+Z5203</f>
        <v>45.2932697243404</v>
      </c>
      <c r="AC5203" s="54" t="b">
        <f aca="false">AND(E5203&gt;=01_因子設定!$L$5-0.000000001,E5203&lt;=01_因子設定!$M$5+0.000000001,F5203&gt;=01_因子設定!$L$6-0.000000001,F5203&lt;=01_因子設定!$M$6+0.000000001,G5203&gt;=01_因子設定!$L$7-0.000000001,G5203&lt;=01_因子設定!$M$7+0.000000001,H5203&gt;=01_因子設定!$L$8-0.000000001,H5203&lt;=01_因子設定!$M$8+0.000000001,IF(01_因子設定!$B$20="Box-Behnken",E5203^2+F5203^2+G5203^2+H5203^2&lt;=2+0.000000001,TRUE()))</f>
        <v>1</v>
      </c>
      <c r="AD5203" s="55" t="n">
        <f aca="false">IF(AC5203,IF(01_因子設定!$B$13="最大化",AA5203-01_因子設定!$B$14,IF(01_因子設定!$B$13="最小化",01_因子設定!$B$15-AB5203,MIN(AA5203-01_因子設定!$B$14,01_因子設定!$B$15-AB5203))),-1E+030)</f>
        <v>-4.17319479743986</v>
      </c>
      <c r="AE5203" s="55" t="n">
        <f aca="false">IF(AC5203,IF(01_因子設定!$B$13="最大化",X5203,IF(01_因子設定!$B$13="最小化",-X5203,-ABS(X5203-01_因子設定!$B$16))),-1E+030)</f>
        <v>43.8100374634503</v>
      </c>
      <c r="AF5203" s="55" t="n">
        <f aca="false">AD5203+ROW()*0.000000001</f>
        <v>-4.17318959443986</v>
      </c>
      <c r="AG5203" s="55" t="n">
        <f aca="false">AE5203+ROW()*0.000000001</f>
        <v>43.8100426664503</v>
      </c>
    </row>
    <row r="5204" customFormat="false" ht="15" hidden="false" customHeight="false" outlineLevel="0" collapsed="false">
      <c r="A5204" s="0" t="n">
        <v>7</v>
      </c>
      <c r="B5204" s="0" t="n">
        <v>1</v>
      </c>
      <c r="C5204" s="0" t="n">
        <v>1</v>
      </c>
      <c r="D5204" s="0" t="n">
        <v>6</v>
      </c>
      <c r="E5204" s="0" t="n">
        <f aca="false">-1+A5204*0.25</f>
        <v>0.75</v>
      </c>
      <c r="F5204" s="0" t="n">
        <f aca="false">-1+B5204*0.25</f>
        <v>-0.75</v>
      </c>
      <c r="G5204" s="0" t="n">
        <f aca="false">-1+C5204*0.25</f>
        <v>-0.75</v>
      </c>
      <c r="H5204" s="0" t="n">
        <f aca="false">-1+D5204*0.25</f>
        <v>0.5</v>
      </c>
      <c r="I5204" s="0" t="n">
        <f aca="false">1</f>
        <v>1</v>
      </c>
      <c r="J5204" s="0" t="n">
        <f aca="false">E5204</f>
        <v>0.75</v>
      </c>
      <c r="K5204" s="0" t="n">
        <f aca="false">F5204</f>
        <v>-0.75</v>
      </c>
      <c r="L5204" s="0" t="n">
        <f aca="false">G5204</f>
        <v>-0.75</v>
      </c>
      <c r="M5204" s="0" t="n">
        <f aca="false">H5204</f>
        <v>0.5</v>
      </c>
      <c r="N5204" s="0" t="n">
        <f aca="false">E5204*F5204</f>
        <v>-0.5625</v>
      </c>
      <c r="O5204" s="0" t="n">
        <f aca="false">E5204*G5204</f>
        <v>-0.5625</v>
      </c>
      <c r="P5204" s="0" t="n">
        <f aca="false">E5204*H5204</f>
        <v>0.375</v>
      </c>
      <c r="Q5204" s="0" t="n">
        <f aca="false">F5204*G5204</f>
        <v>0.5625</v>
      </c>
      <c r="R5204" s="0" t="n">
        <f aca="false">F5204*H5204</f>
        <v>-0.375</v>
      </c>
      <c r="S5204" s="0" t="n">
        <f aca="false">G5204*H5204</f>
        <v>-0.375</v>
      </c>
      <c r="T5204" s="0" t="n">
        <f aca="false">E5204*E5204</f>
        <v>0.5625</v>
      </c>
      <c r="U5204" s="0" t="n">
        <f aca="false">F5204*F5204</f>
        <v>0.5625</v>
      </c>
      <c r="V5204" s="0" t="n">
        <f aca="false">G5204*G5204</f>
        <v>0.5625</v>
      </c>
      <c r="W5204" s="0" t="n">
        <f aca="false">H5204*H5204</f>
        <v>0.25</v>
      </c>
      <c r="X5204" s="0" t="n">
        <f aca="false">SUMPRODUCT(I5204:W5204,_XtX!$B$96:$P$96)</f>
        <v>43.8490908260234</v>
      </c>
      <c r="Y5204" s="0" t="n">
        <f aca="false">SUMPRODUCT(MMULT(I5204:W5204,_XtX!$B$78:$P$92),I5204:W5204)</f>
        <v>0.265632138614766</v>
      </c>
      <c r="Z5204" s="0" t="n">
        <f aca="false">04_回帰ANOVA!$K$19*04_回帰ANOVA!$K$14*SQRT(1+Y5204)</f>
        <v>1.46639894654257</v>
      </c>
      <c r="AA5204" s="0" t="n">
        <f aca="false">X5204-Z5204</f>
        <v>42.3826918794808</v>
      </c>
      <c r="AB5204" s="0" t="n">
        <f aca="false">X5204+Z5204</f>
        <v>45.315489772566</v>
      </c>
      <c r="AC5204" s="54" t="b">
        <f aca="false">AND(E5204&gt;=01_因子設定!$L$5-0.000000001,E5204&lt;=01_因子設定!$M$5+0.000000001,F5204&gt;=01_因子設定!$L$6-0.000000001,F5204&lt;=01_因子設定!$M$6+0.000000001,G5204&gt;=01_因子設定!$L$7-0.000000001,G5204&lt;=01_因子設定!$M$7+0.000000001,H5204&gt;=01_因子設定!$L$8-0.000000001,H5204&lt;=01_因子設定!$M$8+0.000000001,IF(01_因子設定!$B$20="Box-Behnken",E5204^2+F5204^2+G5204^2+H5204^2&lt;=2+0.000000001,TRUE()))</f>
        <v>1</v>
      </c>
      <c r="AD5204" s="55" t="n">
        <f aca="false">IF(AC5204,IF(01_因子設定!$B$13="最大化",AA5204-01_因子設定!$B$14,IF(01_因子設定!$B$13="最小化",01_因子設定!$B$15-AB5204,MIN(AA5204-01_因子設定!$B$14,01_因子設定!$B$15-AB5204))),-1E+030)</f>
        <v>-4.11730812051919</v>
      </c>
      <c r="AE5204" s="55" t="n">
        <f aca="false">IF(AC5204,IF(01_因子設定!$B$13="最大化",X5204,IF(01_因子設定!$B$13="最小化",-X5204,-ABS(X5204-01_因子設定!$B$16))),-1E+030)</f>
        <v>43.8490908260234</v>
      </c>
      <c r="AF5204" s="55" t="n">
        <f aca="false">AD5204+ROW()*0.000000001</f>
        <v>-4.11730291651919</v>
      </c>
      <c r="AG5204" s="55" t="n">
        <f aca="false">AE5204+ROW()*0.000000001</f>
        <v>43.8490960300234</v>
      </c>
    </row>
    <row r="5205" customFormat="false" ht="15" hidden="false" customHeight="false" outlineLevel="0" collapsed="false">
      <c r="A5205" s="0" t="n">
        <v>7</v>
      </c>
      <c r="B5205" s="0" t="n">
        <v>1</v>
      </c>
      <c r="C5205" s="0" t="n">
        <v>1</v>
      </c>
      <c r="D5205" s="0" t="n">
        <v>7</v>
      </c>
      <c r="E5205" s="0" t="n">
        <f aca="false">-1+A5205*0.25</f>
        <v>0.75</v>
      </c>
      <c r="F5205" s="0" t="n">
        <f aca="false">-1+B5205*0.25</f>
        <v>-0.75</v>
      </c>
      <c r="G5205" s="0" t="n">
        <f aca="false">-1+C5205*0.25</f>
        <v>-0.75</v>
      </c>
      <c r="H5205" s="0" t="n">
        <f aca="false">-1+D5205*0.25</f>
        <v>0.75</v>
      </c>
      <c r="I5205" s="0" t="n">
        <f aca="false">1</f>
        <v>1</v>
      </c>
      <c r="J5205" s="0" t="n">
        <f aca="false">E5205</f>
        <v>0.75</v>
      </c>
      <c r="K5205" s="0" t="n">
        <f aca="false">F5205</f>
        <v>-0.75</v>
      </c>
      <c r="L5205" s="0" t="n">
        <f aca="false">G5205</f>
        <v>-0.75</v>
      </c>
      <c r="M5205" s="0" t="n">
        <f aca="false">H5205</f>
        <v>0.75</v>
      </c>
      <c r="N5205" s="0" t="n">
        <f aca="false">E5205*F5205</f>
        <v>-0.5625</v>
      </c>
      <c r="O5205" s="0" t="n">
        <f aca="false">E5205*G5205</f>
        <v>-0.5625</v>
      </c>
      <c r="P5205" s="0" t="n">
        <f aca="false">E5205*H5205</f>
        <v>0.5625</v>
      </c>
      <c r="Q5205" s="0" t="n">
        <f aca="false">F5205*G5205</f>
        <v>0.5625</v>
      </c>
      <c r="R5205" s="0" t="n">
        <f aca="false">F5205*H5205</f>
        <v>-0.5625</v>
      </c>
      <c r="S5205" s="0" t="n">
        <f aca="false">G5205*H5205</f>
        <v>-0.5625</v>
      </c>
      <c r="T5205" s="0" t="n">
        <f aca="false">E5205*E5205</f>
        <v>0.5625</v>
      </c>
      <c r="U5205" s="0" t="n">
        <f aca="false">F5205*F5205</f>
        <v>0.5625</v>
      </c>
      <c r="V5205" s="0" t="n">
        <f aca="false">G5205*G5205</f>
        <v>0.5625</v>
      </c>
      <c r="W5205" s="0" t="n">
        <f aca="false">H5205*H5205</f>
        <v>0.5625</v>
      </c>
      <c r="X5205" s="0" t="n">
        <f aca="false">SUMPRODUCT(I5205:W5205,_XtX!$B$96:$P$96)</f>
        <v>43.8403371710526</v>
      </c>
      <c r="Y5205" s="0" t="n">
        <f aca="false">SUMPRODUCT(MMULT(I5205:W5205,_XtX!$B$78:$P$92),I5205:W5205)</f>
        <v>0.277232387609649</v>
      </c>
      <c r="Z5205" s="0" t="n">
        <f aca="false">04_回帰ANOVA!$K$19*04_回帰ANOVA!$K$14*SQRT(1+Y5205)</f>
        <v>1.47310381441991</v>
      </c>
      <c r="AA5205" s="0" t="n">
        <f aca="false">X5205-Z5205</f>
        <v>42.3672333566327</v>
      </c>
      <c r="AB5205" s="0" t="n">
        <f aca="false">X5205+Z5205</f>
        <v>45.3134409854725</v>
      </c>
      <c r="AC5205" s="54" t="b">
        <f aca="false">AND(E5205&gt;=01_因子設定!$L$5-0.000000001,E5205&lt;=01_因子設定!$M$5+0.000000001,F5205&gt;=01_因子設定!$L$6-0.000000001,F5205&lt;=01_因子設定!$M$6+0.000000001,G5205&gt;=01_因子設定!$L$7-0.000000001,G5205&lt;=01_因子設定!$M$7+0.000000001,H5205&gt;=01_因子設定!$L$8-0.000000001,H5205&lt;=01_因子設定!$M$8+0.000000001,IF(01_因子設定!$B$20="Box-Behnken",E5205^2+F5205^2+G5205^2+H5205^2&lt;=2+0.000000001,TRUE()))</f>
        <v>1</v>
      </c>
      <c r="AD5205" s="55" t="n">
        <f aca="false">IF(AC5205,IF(01_因子設定!$B$13="最大化",AA5205-01_因子設定!$B$14,IF(01_因子設定!$B$13="最小化",01_因子設定!$B$15-AB5205,MIN(AA5205-01_因子設定!$B$14,01_因子設定!$B$15-AB5205))),-1E+030)</f>
        <v>-4.13276664336727</v>
      </c>
      <c r="AE5205" s="55" t="n">
        <f aca="false">IF(AC5205,IF(01_因子設定!$B$13="最大化",X5205,IF(01_因子設定!$B$13="最小化",-X5205,-ABS(X5205-01_因子設定!$B$16))),-1E+030)</f>
        <v>43.8403371710526</v>
      </c>
      <c r="AF5205" s="55" t="n">
        <f aca="false">AD5205+ROW()*0.000000001</f>
        <v>-4.13276143836727</v>
      </c>
      <c r="AG5205" s="55" t="n">
        <f aca="false">AE5205+ROW()*0.000000001</f>
        <v>43.8403423760526</v>
      </c>
    </row>
    <row r="5206" customFormat="false" ht="15" hidden="false" customHeight="false" outlineLevel="0" collapsed="false">
      <c r="A5206" s="0" t="n">
        <v>7</v>
      </c>
      <c r="B5206" s="0" t="n">
        <v>1</v>
      </c>
      <c r="C5206" s="0" t="n">
        <v>1</v>
      </c>
      <c r="D5206" s="0" t="n">
        <v>8</v>
      </c>
      <c r="E5206" s="0" t="n">
        <f aca="false">-1+A5206*0.25</f>
        <v>0.75</v>
      </c>
      <c r="F5206" s="0" t="n">
        <f aca="false">-1+B5206*0.25</f>
        <v>-0.75</v>
      </c>
      <c r="G5206" s="0" t="n">
        <f aca="false">-1+C5206*0.25</f>
        <v>-0.75</v>
      </c>
      <c r="H5206" s="0" t="n">
        <f aca="false">-1+D5206*0.25</f>
        <v>1</v>
      </c>
      <c r="I5206" s="0" t="n">
        <f aca="false">1</f>
        <v>1</v>
      </c>
      <c r="J5206" s="0" t="n">
        <f aca="false">E5206</f>
        <v>0.75</v>
      </c>
      <c r="K5206" s="0" t="n">
        <f aca="false">F5206</f>
        <v>-0.75</v>
      </c>
      <c r="L5206" s="0" t="n">
        <f aca="false">G5206</f>
        <v>-0.75</v>
      </c>
      <c r="M5206" s="0" t="n">
        <f aca="false">H5206</f>
        <v>1</v>
      </c>
      <c r="N5206" s="0" t="n">
        <f aca="false">E5206*F5206</f>
        <v>-0.5625</v>
      </c>
      <c r="O5206" s="0" t="n">
        <f aca="false">E5206*G5206</f>
        <v>-0.5625</v>
      </c>
      <c r="P5206" s="0" t="n">
        <f aca="false">E5206*H5206</f>
        <v>0.75</v>
      </c>
      <c r="Q5206" s="0" t="n">
        <f aca="false">F5206*G5206</f>
        <v>0.5625</v>
      </c>
      <c r="R5206" s="0" t="n">
        <f aca="false">F5206*H5206</f>
        <v>-0.75</v>
      </c>
      <c r="S5206" s="0" t="n">
        <f aca="false">G5206*H5206</f>
        <v>-0.75</v>
      </c>
      <c r="T5206" s="0" t="n">
        <f aca="false">E5206*E5206</f>
        <v>0.5625</v>
      </c>
      <c r="U5206" s="0" t="n">
        <f aca="false">F5206*F5206</f>
        <v>0.5625</v>
      </c>
      <c r="V5206" s="0" t="n">
        <f aca="false">G5206*G5206</f>
        <v>0.5625</v>
      </c>
      <c r="W5206" s="0" t="n">
        <f aca="false">H5206*H5206</f>
        <v>1</v>
      </c>
      <c r="X5206" s="0" t="n">
        <f aca="false">SUMPRODUCT(I5206:W5206,_XtX!$B$96:$P$96)</f>
        <v>43.783776498538</v>
      </c>
      <c r="Y5206" s="0" t="n">
        <f aca="false">SUMPRODUCT(MMULT(I5206:W5206,_XtX!$B$78:$P$92),I5206:W5206)</f>
        <v>0.420117473044591</v>
      </c>
      <c r="Z5206" s="0" t="n">
        <f aca="false">04_回帰ANOVA!$K$19*04_回帰ANOVA!$K$14*SQRT(1+Y5206)</f>
        <v>1.55331854827765</v>
      </c>
      <c r="AA5206" s="0" t="n">
        <f aca="false">X5206-Z5206</f>
        <v>42.2304579502604</v>
      </c>
      <c r="AB5206" s="0" t="n">
        <f aca="false">X5206+Z5206</f>
        <v>45.3370950468157</v>
      </c>
      <c r="AC5206" s="54" t="b">
        <f aca="false">AND(E5206&gt;=01_因子設定!$L$5-0.000000001,E5206&lt;=01_因子設定!$M$5+0.000000001,F5206&gt;=01_因子設定!$L$6-0.000000001,F5206&lt;=01_因子設定!$M$6+0.000000001,G5206&gt;=01_因子設定!$L$7-0.000000001,G5206&lt;=01_因子設定!$M$7+0.000000001,H5206&gt;=01_因子設定!$L$8-0.000000001,H5206&lt;=01_因子設定!$M$8+0.000000001,IF(01_因子設定!$B$20="Box-Behnken",E5206^2+F5206^2+G5206^2+H5206^2&lt;=2+0.000000001,TRUE()))</f>
        <v>1</v>
      </c>
      <c r="AD5206" s="55" t="n">
        <f aca="false">IF(AC5206,IF(01_因子設定!$B$13="最大化",AA5206-01_因子設定!$B$14,IF(01_因子設定!$B$13="最小化",01_因子設定!$B$15-AB5206,MIN(AA5206-01_因子設定!$B$14,01_因子設定!$B$15-AB5206))),-1E+030)</f>
        <v>-4.26954204973961</v>
      </c>
      <c r="AE5206" s="55" t="n">
        <f aca="false">IF(AC5206,IF(01_因子設定!$B$13="最大化",X5206,IF(01_因子設定!$B$13="最小化",-X5206,-ABS(X5206-01_因子設定!$B$16))),-1E+030)</f>
        <v>43.783776498538</v>
      </c>
      <c r="AF5206" s="55" t="n">
        <f aca="false">AD5206+ROW()*0.000000001</f>
        <v>-4.26953684373961</v>
      </c>
      <c r="AG5206" s="55" t="n">
        <f aca="false">AE5206+ROW()*0.000000001</f>
        <v>43.783781704538</v>
      </c>
    </row>
    <row r="5207" customFormat="false" ht="15" hidden="false" customHeight="false" outlineLevel="0" collapsed="false">
      <c r="A5207" s="0" t="n">
        <v>7</v>
      </c>
      <c r="B5207" s="0" t="n">
        <v>1</v>
      </c>
      <c r="C5207" s="0" t="n">
        <v>2</v>
      </c>
      <c r="D5207" s="0" t="n">
        <v>0</v>
      </c>
      <c r="E5207" s="0" t="n">
        <f aca="false">-1+A5207*0.25</f>
        <v>0.75</v>
      </c>
      <c r="F5207" s="0" t="n">
        <f aca="false">-1+B5207*0.25</f>
        <v>-0.75</v>
      </c>
      <c r="G5207" s="0" t="n">
        <f aca="false">-1+C5207*0.25</f>
        <v>-0.5</v>
      </c>
      <c r="H5207" s="0" t="n">
        <f aca="false">-1+D5207*0.25</f>
        <v>-1</v>
      </c>
      <c r="I5207" s="0" t="n">
        <f aca="false">1</f>
        <v>1</v>
      </c>
      <c r="J5207" s="0" t="n">
        <f aca="false">E5207</f>
        <v>0.75</v>
      </c>
      <c r="K5207" s="0" t="n">
        <f aca="false">F5207</f>
        <v>-0.75</v>
      </c>
      <c r="L5207" s="0" t="n">
        <f aca="false">G5207</f>
        <v>-0.5</v>
      </c>
      <c r="M5207" s="0" t="n">
        <f aca="false">H5207</f>
        <v>-1</v>
      </c>
      <c r="N5207" s="0" t="n">
        <f aca="false">E5207*F5207</f>
        <v>-0.5625</v>
      </c>
      <c r="O5207" s="0" t="n">
        <f aca="false">E5207*G5207</f>
        <v>-0.375</v>
      </c>
      <c r="P5207" s="0" t="n">
        <f aca="false">E5207*H5207</f>
        <v>-0.75</v>
      </c>
      <c r="Q5207" s="0" t="n">
        <f aca="false">F5207*G5207</f>
        <v>0.375</v>
      </c>
      <c r="R5207" s="0" t="n">
        <f aca="false">F5207*H5207</f>
        <v>0.75</v>
      </c>
      <c r="S5207" s="0" t="n">
        <f aca="false">G5207*H5207</f>
        <v>0.5</v>
      </c>
      <c r="T5207" s="0" t="n">
        <f aca="false">E5207*E5207</f>
        <v>0.5625</v>
      </c>
      <c r="U5207" s="0" t="n">
        <f aca="false">F5207*F5207</f>
        <v>0.5625</v>
      </c>
      <c r="V5207" s="0" t="n">
        <f aca="false">G5207*G5207</f>
        <v>0.25</v>
      </c>
      <c r="W5207" s="0" t="n">
        <f aca="false">H5207*H5207</f>
        <v>1</v>
      </c>
      <c r="X5207" s="0" t="n">
        <f aca="false">SUMPRODUCT(I5207:W5207,_XtX!$B$96:$P$96)</f>
        <v>43.1044225146199</v>
      </c>
      <c r="Y5207" s="0" t="n">
        <f aca="false">SUMPRODUCT(MMULT(I5207:W5207,_XtX!$B$78:$P$92),I5207:W5207)</f>
        <v>0.431153771472953</v>
      </c>
      <c r="Z5207" s="0" t="n">
        <f aca="false">04_回帰ANOVA!$K$19*04_回帰ANOVA!$K$14*SQRT(1+Y5207)</f>
        <v>1.55934259562563</v>
      </c>
      <c r="AA5207" s="0" t="n">
        <f aca="false">X5207-Z5207</f>
        <v>41.5450799189943</v>
      </c>
      <c r="AB5207" s="0" t="n">
        <f aca="false">X5207+Z5207</f>
        <v>44.6637651102455</v>
      </c>
      <c r="AC5207" s="54" t="b">
        <f aca="false">AND(E5207&gt;=01_因子設定!$L$5-0.000000001,E5207&lt;=01_因子設定!$M$5+0.000000001,F5207&gt;=01_因子設定!$L$6-0.000000001,F5207&lt;=01_因子設定!$M$6+0.000000001,G5207&gt;=01_因子設定!$L$7-0.000000001,G5207&lt;=01_因子設定!$M$7+0.000000001,H5207&gt;=01_因子設定!$L$8-0.000000001,H5207&lt;=01_因子設定!$M$8+0.000000001,IF(01_因子設定!$B$20="Box-Behnken",E5207^2+F5207^2+G5207^2+H5207^2&lt;=2+0.000000001,TRUE()))</f>
        <v>1</v>
      </c>
      <c r="AD5207" s="55" t="n">
        <f aca="false">IF(AC5207,IF(01_因子設定!$B$13="最大化",AA5207-01_因子設定!$B$14,IF(01_因子設定!$B$13="最小化",01_因子設定!$B$15-AB5207,MIN(AA5207-01_因子設定!$B$14,01_因子設定!$B$15-AB5207))),-1E+030)</f>
        <v>-4.95492008100572</v>
      </c>
      <c r="AE5207" s="55" t="n">
        <f aca="false">IF(AC5207,IF(01_因子設定!$B$13="最大化",X5207,IF(01_因子設定!$B$13="最小化",-X5207,-ABS(X5207-01_因子設定!$B$16))),-1E+030)</f>
        <v>43.1044225146199</v>
      </c>
      <c r="AF5207" s="55" t="n">
        <f aca="false">AD5207+ROW()*0.000000001</f>
        <v>-4.95491487400572</v>
      </c>
      <c r="AG5207" s="55" t="n">
        <f aca="false">AE5207+ROW()*0.000000001</f>
        <v>43.1044277216199</v>
      </c>
    </row>
    <row r="5208" customFormat="false" ht="15" hidden="false" customHeight="false" outlineLevel="0" collapsed="false">
      <c r="A5208" s="0" t="n">
        <v>7</v>
      </c>
      <c r="B5208" s="0" t="n">
        <v>1</v>
      </c>
      <c r="C5208" s="0" t="n">
        <v>2</v>
      </c>
      <c r="D5208" s="0" t="n">
        <v>1</v>
      </c>
      <c r="E5208" s="0" t="n">
        <f aca="false">-1+A5208*0.25</f>
        <v>0.75</v>
      </c>
      <c r="F5208" s="0" t="n">
        <f aca="false">-1+B5208*0.25</f>
        <v>-0.75</v>
      </c>
      <c r="G5208" s="0" t="n">
        <f aca="false">-1+C5208*0.25</f>
        <v>-0.5</v>
      </c>
      <c r="H5208" s="0" t="n">
        <f aca="false">-1+D5208*0.25</f>
        <v>-0.75</v>
      </c>
      <c r="I5208" s="0" t="n">
        <f aca="false">1</f>
        <v>1</v>
      </c>
      <c r="J5208" s="0" t="n">
        <f aca="false">E5208</f>
        <v>0.75</v>
      </c>
      <c r="K5208" s="0" t="n">
        <f aca="false">F5208</f>
        <v>-0.75</v>
      </c>
      <c r="L5208" s="0" t="n">
        <f aca="false">G5208</f>
        <v>-0.5</v>
      </c>
      <c r="M5208" s="0" t="n">
        <f aca="false">H5208</f>
        <v>-0.75</v>
      </c>
      <c r="N5208" s="0" t="n">
        <f aca="false">E5208*F5208</f>
        <v>-0.5625</v>
      </c>
      <c r="O5208" s="0" t="n">
        <f aca="false">E5208*G5208</f>
        <v>-0.375</v>
      </c>
      <c r="P5208" s="0" t="n">
        <f aca="false">E5208*H5208</f>
        <v>-0.5625</v>
      </c>
      <c r="Q5208" s="0" t="n">
        <f aca="false">F5208*G5208</f>
        <v>0.375</v>
      </c>
      <c r="R5208" s="0" t="n">
        <f aca="false">F5208*H5208</f>
        <v>0.5625</v>
      </c>
      <c r="S5208" s="0" t="n">
        <f aca="false">G5208*H5208</f>
        <v>0.375</v>
      </c>
      <c r="T5208" s="0" t="n">
        <f aca="false">E5208*E5208</f>
        <v>0.5625</v>
      </c>
      <c r="U5208" s="0" t="n">
        <f aca="false">F5208*F5208</f>
        <v>0.5625</v>
      </c>
      <c r="V5208" s="0" t="n">
        <f aca="false">G5208*G5208</f>
        <v>0.25</v>
      </c>
      <c r="W5208" s="0" t="n">
        <f aca="false">H5208*H5208</f>
        <v>0.5625</v>
      </c>
      <c r="X5208" s="0" t="n">
        <f aca="false">SUMPRODUCT(I5208:W5208,_XtX!$B$96:$P$96)</f>
        <v>43.4004797149123</v>
      </c>
      <c r="Y5208" s="0" t="n">
        <f aca="false">SUMPRODUCT(MMULT(I5208:W5208,_XtX!$B$78:$P$92),I5208:W5208)</f>
        <v>0.265632138614766</v>
      </c>
      <c r="Z5208" s="0" t="n">
        <f aca="false">04_回帰ANOVA!$K$19*04_回帰ANOVA!$K$14*SQRT(1+Y5208)</f>
        <v>1.46639894654257</v>
      </c>
      <c r="AA5208" s="0" t="n">
        <f aca="false">X5208-Z5208</f>
        <v>41.9340807683697</v>
      </c>
      <c r="AB5208" s="0" t="n">
        <f aca="false">X5208+Z5208</f>
        <v>44.8668786614549</v>
      </c>
      <c r="AC5208" s="54" t="b">
        <f aca="false">AND(E5208&gt;=01_因子設定!$L$5-0.000000001,E5208&lt;=01_因子設定!$M$5+0.000000001,F5208&gt;=01_因子設定!$L$6-0.000000001,F5208&lt;=01_因子設定!$M$6+0.000000001,G5208&gt;=01_因子設定!$L$7-0.000000001,G5208&lt;=01_因子設定!$M$7+0.000000001,H5208&gt;=01_因子設定!$L$8-0.000000001,H5208&lt;=01_因子設定!$M$8+0.000000001,IF(01_因子設定!$B$20="Box-Behnken",E5208^2+F5208^2+G5208^2+H5208^2&lt;=2+0.000000001,TRUE()))</f>
        <v>1</v>
      </c>
      <c r="AD5208" s="55" t="n">
        <f aca="false">IF(AC5208,IF(01_因子設定!$B$13="最大化",AA5208-01_因子設定!$B$14,IF(01_因子設定!$B$13="最小化",01_因子設定!$B$15-AB5208,MIN(AA5208-01_因子設定!$B$14,01_因子設定!$B$15-AB5208))),-1E+030)</f>
        <v>-4.56591923163029</v>
      </c>
      <c r="AE5208" s="55" t="n">
        <f aca="false">IF(AC5208,IF(01_因子設定!$B$13="最大化",X5208,IF(01_因子設定!$B$13="最小化",-X5208,-ABS(X5208-01_因子設定!$B$16))),-1E+030)</f>
        <v>43.4004797149123</v>
      </c>
      <c r="AF5208" s="55" t="n">
        <f aca="false">AD5208+ROW()*0.000000001</f>
        <v>-4.56591402363029</v>
      </c>
      <c r="AG5208" s="55" t="n">
        <f aca="false">AE5208+ROW()*0.000000001</f>
        <v>43.4004849229123</v>
      </c>
    </row>
    <row r="5209" customFormat="false" ht="15" hidden="false" customHeight="false" outlineLevel="0" collapsed="false">
      <c r="A5209" s="0" t="n">
        <v>7</v>
      </c>
      <c r="B5209" s="0" t="n">
        <v>1</v>
      </c>
      <c r="C5209" s="0" t="n">
        <v>2</v>
      </c>
      <c r="D5209" s="0" t="n">
        <v>2</v>
      </c>
      <c r="E5209" s="0" t="n">
        <f aca="false">-1+A5209*0.25</f>
        <v>0.75</v>
      </c>
      <c r="F5209" s="0" t="n">
        <f aca="false">-1+B5209*0.25</f>
        <v>-0.75</v>
      </c>
      <c r="G5209" s="0" t="n">
        <f aca="false">-1+C5209*0.25</f>
        <v>-0.5</v>
      </c>
      <c r="H5209" s="0" t="n">
        <f aca="false">-1+D5209*0.25</f>
        <v>-0.5</v>
      </c>
      <c r="I5209" s="0" t="n">
        <f aca="false">1</f>
        <v>1</v>
      </c>
      <c r="J5209" s="0" t="n">
        <f aca="false">E5209</f>
        <v>0.75</v>
      </c>
      <c r="K5209" s="0" t="n">
        <f aca="false">F5209</f>
        <v>-0.75</v>
      </c>
      <c r="L5209" s="0" t="n">
        <f aca="false">G5209</f>
        <v>-0.5</v>
      </c>
      <c r="M5209" s="0" t="n">
        <f aca="false">H5209</f>
        <v>-0.5</v>
      </c>
      <c r="N5209" s="0" t="n">
        <f aca="false">E5209*F5209</f>
        <v>-0.5625</v>
      </c>
      <c r="O5209" s="0" t="n">
        <f aca="false">E5209*G5209</f>
        <v>-0.375</v>
      </c>
      <c r="P5209" s="0" t="n">
        <f aca="false">E5209*H5209</f>
        <v>-0.375</v>
      </c>
      <c r="Q5209" s="0" t="n">
        <f aca="false">F5209*G5209</f>
        <v>0.375</v>
      </c>
      <c r="R5209" s="0" t="n">
        <f aca="false">F5209*H5209</f>
        <v>0.375</v>
      </c>
      <c r="S5209" s="0" t="n">
        <f aca="false">G5209*H5209</f>
        <v>0.25</v>
      </c>
      <c r="T5209" s="0" t="n">
        <f aca="false">E5209*E5209</f>
        <v>0.5625</v>
      </c>
      <c r="U5209" s="0" t="n">
        <f aca="false">F5209*F5209</f>
        <v>0.5625</v>
      </c>
      <c r="V5209" s="0" t="n">
        <f aca="false">G5209*G5209</f>
        <v>0.25</v>
      </c>
      <c r="W5209" s="0" t="n">
        <f aca="false">H5209*H5209</f>
        <v>0.25</v>
      </c>
      <c r="X5209" s="0" t="n">
        <f aca="false">SUMPRODUCT(I5209:W5209,_XtX!$B$96:$P$96)</f>
        <v>43.6487298976608</v>
      </c>
      <c r="Y5209" s="0" t="n">
        <f aca="false">SUMPRODUCT(MMULT(I5209:W5209,_XtX!$B$78:$P$92),I5209:W5209)</f>
        <v>0.237862927174708</v>
      </c>
      <c r="Z5209" s="0" t="n">
        <f aca="false">04_回帰ANOVA!$K$19*04_回帰ANOVA!$K$14*SQRT(1+Y5209)</f>
        <v>1.45022260708756</v>
      </c>
      <c r="AA5209" s="0" t="n">
        <f aca="false">X5209-Z5209</f>
        <v>42.1985072905733</v>
      </c>
      <c r="AB5209" s="0" t="n">
        <f aca="false">X5209+Z5209</f>
        <v>45.0989525047484</v>
      </c>
      <c r="AC5209" s="54" t="b">
        <f aca="false">AND(E5209&gt;=01_因子設定!$L$5-0.000000001,E5209&lt;=01_因子設定!$M$5+0.000000001,F5209&gt;=01_因子設定!$L$6-0.000000001,F5209&lt;=01_因子設定!$M$6+0.000000001,G5209&gt;=01_因子設定!$L$7-0.000000001,G5209&lt;=01_因子設定!$M$7+0.000000001,H5209&gt;=01_因子設定!$L$8-0.000000001,H5209&lt;=01_因子設定!$M$8+0.000000001,IF(01_因子設定!$B$20="Box-Behnken",E5209^2+F5209^2+G5209^2+H5209^2&lt;=2+0.000000001,TRUE()))</f>
        <v>1</v>
      </c>
      <c r="AD5209" s="55" t="n">
        <f aca="false">IF(AC5209,IF(01_因子設定!$B$13="最大化",AA5209-01_因子設定!$B$14,IF(01_因子設定!$B$13="最小化",01_因子設定!$B$15-AB5209,MIN(AA5209-01_因子設定!$B$14,01_因子設定!$B$15-AB5209))),-1E+030)</f>
        <v>-4.30149270942675</v>
      </c>
      <c r="AE5209" s="55" t="n">
        <f aca="false">IF(AC5209,IF(01_因子設定!$B$13="最大化",X5209,IF(01_因子設定!$B$13="最小化",-X5209,-ABS(X5209-01_因子設定!$B$16))),-1E+030)</f>
        <v>43.6487298976608</v>
      </c>
      <c r="AF5209" s="55" t="n">
        <f aca="false">AD5209+ROW()*0.000000001</f>
        <v>-4.30148750042675</v>
      </c>
      <c r="AG5209" s="55" t="n">
        <f aca="false">AE5209+ROW()*0.000000001</f>
        <v>43.6487351066608</v>
      </c>
    </row>
    <row r="5210" customFormat="false" ht="15" hidden="false" customHeight="false" outlineLevel="0" collapsed="false">
      <c r="A5210" s="0" t="n">
        <v>7</v>
      </c>
      <c r="B5210" s="0" t="n">
        <v>1</v>
      </c>
      <c r="C5210" s="0" t="n">
        <v>2</v>
      </c>
      <c r="D5210" s="0" t="n">
        <v>3</v>
      </c>
      <c r="E5210" s="0" t="n">
        <f aca="false">-1+A5210*0.25</f>
        <v>0.75</v>
      </c>
      <c r="F5210" s="0" t="n">
        <f aca="false">-1+B5210*0.25</f>
        <v>-0.75</v>
      </c>
      <c r="G5210" s="0" t="n">
        <f aca="false">-1+C5210*0.25</f>
        <v>-0.5</v>
      </c>
      <c r="H5210" s="0" t="n">
        <f aca="false">-1+D5210*0.25</f>
        <v>-0.25</v>
      </c>
      <c r="I5210" s="0" t="n">
        <f aca="false">1</f>
        <v>1</v>
      </c>
      <c r="J5210" s="0" t="n">
        <f aca="false">E5210</f>
        <v>0.75</v>
      </c>
      <c r="K5210" s="0" t="n">
        <f aca="false">F5210</f>
        <v>-0.75</v>
      </c>
      <c r="L5210" s="0" t="n">
        <f aca="false">G5210</f>
        <v>-0.5</v>
      </c>
      <c r="M5210" s="0" t="n">
        <f aca="false">H5210</f>
        <v>-0.25</v>
      </c>
      <c r="N5210" s="0" t="n">
        <f aca="false">E5210*F5210</f>
        <v>-0.5625</v>
      </c>
      <c r="O5210" s="0" t="n">
        <f aca="false">E5210*G5210</f>
        <v>-0.375</v>
      </c>
      <c r="P5210" s="0" t="n">
        <f aca="false">E5210*H5210</f>
        <v>-0.1875</v>
      </c>
      <c r="Q5210" s="0" t="n">
        <f aca="false">F5210*G5210</f>
        <v>0.375</v>
      </c>
      <c r="R5210" s="0" t="n">
        <f aca="false">F5210*H5210</f>
        <v>0.1875</v>
      </c>
      <c r="S5210" s="0" t="n">
        <f aca="false">G5210*H5210</f>
        <v>0.125</v>
      </c>
      <c r="T5210" s="0" t="n">
        <f aca="false">E5210*E5210</f>
        <v>0.5625</v>
      </c>
      <c r="U5210" s="0" t="n">
        <f aca="false">F5210*F5210</f>
        <v>0.5625</v>
      </c>
      <c r="V5210" s="0" t="n">
        <f aca="false">G5210*G5210</f>
        <v>0.25</v>
      </c>
      <c r="W5210" s="0" t="n">
        <f aca="false">H5210*H5210</f>
        <v>0.0625</v>
      </c>
      <c r="X5210" s="0" t="n">
        <f aca="false">SUMPRODUCT(I5210:W5210,_XtX!$B$96:$P$96)</f>
        <v>43.8491730628655</v>
      </c>
      <c r="Y5210" s="0" t="n">
        <f aca="false">SUMPRODUCT(MMULT(I5210:W5210,_XtX!$B$78:$P$92),I5210:W5210)</f>
        <v>0.257385610836988</v>
      </c>
      <c r="Z5210" s="0" t="n">
        <f aca="false">04_回帰ANOVA!$K$19*04_回帰ANOVA!$K$14*SQRT(1+Y5210)</f>
        <v>1.46161380324158</v>
      </c>
      <c r="AA5210" s="0" t="n">
        <f aca="false">X5210-Z5210</f>
        <v>42.3875592596239</v>
      </c>
      <c r="AB5210" s="0" t="n">
        <f aca="false">X5210+Z5210</f>
        <v>45.3107868661071</v>
      </c>
      <c r="AC5210" s="54" t="b">
        <f aca="false">AND(E5210&gt;=01_因子設定!$L$5-0.000000001,E5210&lt;=01_因子設定!$M$5+0.000000001,F5210&gt;=01_因子設定!$L$6-0.000000001,F5210&lt;=01_因子設定!$M$6+0.000000001,G5210&gt;=01_因子設定!$L$7-0.000000001,G5210&lt;=01_因子設定!$M$7+0.000000001,H5210&gt;=01_因子設定!$L$8-0.000000001,H5210&lt;=01_因子設定!$M$8+0.000000001,IF(01_因子設定!$B$20="Box-Behnken",E5210^2+F5210^2+G5210^2+H5210^2&lt;=2+0.000000001,TRUE()))</f>
        <v>1</v>
      </c>
      <c r="AD5210" s="55" t="n">
        <f aca="false">IF(AC5210,IF(01_因子設定!$B$13="最大化",AA5210-01_因子設定!$B$14,IF(01_因子設定!$B$13="最小化",01_因子設定!$B$15-AB5210,MIN(AA5210-01_因子設定!$B$14,01_因子設定!$B$15-AB5210))),-1E+030)</f>
        <v>-4.1124407403761</v>
      </c>
      <c r="AE5210" s="55" t="n">
        <f aca="false">IF(AC5210,IF(01_因子設定!$B$13="最大化",X5210,IF(01_因子設定!$B$13="最小化",-X5210,-ABS(X5210-01_因子設定!$B$16))),-1E+030)</f>
        <v>43.8491730628655</v>
      </c>
      <c r="AF5210" s="55" t="n">
        <f aca="false">AD5210+ROW()*0.000000001</f>
        <v>-4.1124355303761</v>
      </c>
      <c r="AG5210" s="55" t="n">
        <f aca="false">AE5210+ROW()*0.000000001</f>
        <v>43.8491782728655</v>
      </c>
    </row>
    <row r="5211" customFormat="false" ht="15" hidden="false" customHeight="false" outlineLevel="0" collapsed="false">
      <c r="A5211" s="0" t="n">
        <v>7</v>
      </c>
      <c r="B5211" s="0" t="n">
        <v>1</v>
      </c>
      <c r="C5211" s="0" t="n">
        <v>2</v>
      </c>
      <c r="D5211" s="0" t="n">
        <v>4</v>
      </c>
      <c r="E5211" s="0" t="n">
        <f aca="false">-1+A5211*0.25</f>
        <v>0.75</v>
      </c>
      <c r="F5211" s="0" t="n">
        <f aca="false">-1+B5211*0.25</f>
        <v>-0.75</v>
      </c>
      <c r="G5211" s="0" t="n">
        <f aca="false">-1+C5211*0.25</f>
        <v>-0.5</v>
      </c>
      <c r="H5211" s="0" t="n">
        <f aca="false">-1+D5211*0.25</f>
        <v>0</v>
      </c>
      <c r="I5211" s="0" t="n">
        <f aca="false">1</f>
        <v>1</v>
      </c>
      <c r="J5211" s="0" t="n">
        <f aca="false">E5211</f>
        <v>0.75</v>
      </c>
      <c r="K5211" s="0" t="n">
        <f aca="false">F5211</f>
        <v>-0.75</v>
      </c>
      <c r="L5211" s="0" t="n">
        <f aca="false">G5211</f>
        <v>-0.5</v>
      </c>
      <c r="M5211" s="0" t="n">
        <f aca="false">H5211</f>
        <v>0</v>
      </c>
      <c r="N5211" s="0" t="n">
        <f aca="false">E5211*F5211</f>
        <v>-0.5625</v>
      </c>
      <c r="O5211" s="0" t="n">
        <f aca="false">E5211*G5211</f>
        <v>-0.375</v>
      </c>
      <c r="P5211" s="0" t="n">
        <f aca="false">E5211*H5211</f>
        <v>0</v>
      </c>
      <c r="Q5211" s="0" t="n">
        <f aca="false">F5211*G5211</f>
        <v>0.375</v>
      </c>
      <c r="R5211" s="0" t="n">
        <f aca="false">F5211*H5211</f>
        <v>-0</v>
      </c>
      <c r="S5211" s="0" t="n">
        <f aca="false">G5211*H5211</f>
        <v>-0</v>
      </c>
      <c r="T5211" s="0" t="n">
        <f aca="false">E5211*E5211</f>
        <v>0.5625</v>
      </c>
      <c r="U5211" s="0" t="n">
        <f aca="false">F5211*F5211</f>
        <v>0.5625</v>
      </c>
      <c r="V5211" s="0" t="n">
        <f aca="false">G5211*G5211</f>
        <v>0.25</v>
      </c>
      <c r="W5211" s="0" t="n">
        <f aca="false">H5211*H5211</f>
        <v>0</v>
      </c>
      <c r="X5211" s="0" t="n">
        <f aca="false">SUMPRODUCT(I5211:W5211,_XtX!$B$96:$P$96)</f>
        <v>44.0018092105263</v>
      </c>
      <c r="Y5211" s="0" t="n">
        <f aca="false">SUMPRODUCT(MMULT(I5211:W5211,_XtX!$B$78:$P$92),I5211:W5211)</f>
        <v>0.269923873812135</v>
      </c>
      <c r="Z5211" s="0" t="n">
        <f aca="false">04_回帰ANOVA!$K$19*04_回帰ANOVA!$K$14*SQRT(1+Y5211)</f>
        <v>1.46888310825501</v>
      </c>
      <c r="AA5211" s="0" t="n">
        <f aca="false">X5211-Z5211</f>
        <v>42.5329261022713</v>
      </c>
      <c r="AB5211" s="0" t="n">
        <f aca="false">X5211+Z5211</f>
        <v>45.4706923187813</v>
      </c>
      <c r="AC5211" s="54" t="b">
        <f aca="false">AND(E5211&gt;=01_因子設定!$L$5-0.000000001,E5211&lt;=01_因子設定!$M$5+0.000000001,F5211&gt;=01_因子設定!$L$6-0.000000001,F5211&lt;=01_因子設定!$M$6+0.000000001,G5211&gt;=01_因子設定!$L$7-0.000000001,G5211&lt;=01_因子設定!$M$7+0.000000001,H5211&gt;=01_因子設定!$L$8-0.000000001,H5211&lt;=01_因子設定!$M$8+0.000000001,IF(01_因子設定!$B$20="Box-Behnken",E5211^2+F5211^2+G5211^2+H5211^2&lt;=2+0.000000001,TRUE()))</f>
        <v>1</v>
      </c>
      <c r="AD5211" s="55" t="n">
        <f aca="false">IF(AC5211,IF(01_因子設定!$B$13="最大化",AA5211-01_因子設定!$B$14,IF(01_因子設定!$B$13="最小化",01_因子設定!$B$15-AB5211,MIN(AA5211-01_因子設定!$B$14,01_因子設定!$B$15-AB5211))),-1E+030)</f>
        <v>-3.9670738977287</v>
      </c>
      <c r="AE5211" s="55" t="n">
        <f aca="false">IF(AC5211,IF(01_因子設定!$B$13="最大化",X5211,IF(01_因子設定!$B$13="最小化",-X5211,-ABS(X5211-01_因子設定!$B$16))),-1E+030)</f>
        <v>44.0018092105263</v>
      </c>
      <c r="AF5211" s="55" t="n">
        <f aca="false">AD5211+ROW()*0.000000001</f>
        <v>-3.9670686867287</v>
      </c>
      <c r="AG5211" s="55" t="n">
        <f aca="false">AE5211+ROW()*0.000000001</f>
        <v>44.0018144215263</v>
      </c>
    </row>
    <row r="5212" customFormat="false" ht="15" hidden="false" customHeight="false" outlineLevel="0" collapsed="false">
      <c r="A5212" s="0" t="n">
        <v>7</v>
      </c>
      <c r="B5212" s="0" t="n">
        <v>1</v>
      </c>
      <c r="C5212" s="0" t="n">
        <v>2</v>
      </c>
      <c r="D5212" s="0" t="n">
        <v>5</v>
      </c>
      <c r="E5212" s="0" t="n">
        <f aca="false">-1+A5212*0.25</f>
        <v>0.75</v>
      </c>
      <c r="F5212" s="0" t="n">
        <f aca="false">-1+B5212*0.25</f>
        <v>-0.75</v>
      </c>
      <c r="G5212" s="0" t="n">
        <f aca="false">-1+C5212*0.25</f>
        <v>-0.5</v>
      </c>
      <c r="H5212" s="0" t="n">
        <f aca="false">-1+D5212*0.25</f>
        <v>0.25</v>
      </c>
      <c r="I5212" s="0" t="n">
        <f aca="false">1</f>
        <v>1</v>
      </c>
      <c r="J5212" s="0" t="n">
        <f aca="false">E5212</f>
        <v>0.75</v>
      </c>
      <c r="K5212" s="0" t="n">
        <f aca="false">F5212</f>
        <v>-0.75</v>
      </c>
      <c r="L5212" s="0" t="n">
        <f aca="false">G5212</f>
        <v>-0.5</v>
      </c>
      <c r="M5212" s="0" t="n">
        <f aca="false">H5212</f>
        <v>0.25</v>
      </c>
      <c r="N5212" s="0" t="n">
        <f aca="false">E5212*F5212</f>
        <v>-0.5625</v>
      </c>
      <c r="O5212" s="0" t="n">
        <f aca="false">E5212*G5212</f>
        <v>-0.375</v>
      </c>
      <c r="P5212" s="0" t="n">
        <f aca="false">E5212*H5212</f>
        <v>0.1875</v>
      </c>
      <c r="Q5212" s="0" t="n">
        <f aca="false">F5212*G5212</f>
        <v>0.375</v>
      </c>
      <c r="R5212" s="0" t="n">
        <f aca="false">F5212*H5212</f>
        <v>-0.1875</v>
      </c>
      <c r="S5212" s="0" t="n">
        <f aca="false">G5212*H5212</f>
        <v>-0.125</v>
      </c>
      <c r="T5212" s="0" t="n">
        <f aca="false">E5212*E5212</f>
        <v>0.5625</v>
      </c>
      <c r="U5212" s="0" t="n">
        <f aca="false">F5212*F5212</f>
        <v>0.5625</v>
      </c>
      <c r="V5212" s="0" t="n">
        <f aca="false">G5212*G5212</f>
        <v>0.25</v>
      </c>
      <c r="W5212" s="0" t="n">
        <f aca="false">H5212*H5212</f>
        <v>0.0625</v>
      </c>
      <c r="X5212" s="0" t="n">
        <f aca="false">SUMPRODUCT(I5212:W5212,_XtX!$B$96:$P$96)</f>
        <v>44.1066383406433</v>
      </c>
      <c r="Y5212" s="0" t="n">
        <f aca="false">SUMPRODUCT(MMULT(I5212:W5212,_XtX!$B$78:$P$92),I5212:W5212)</f>
        <v>0.257385610836988</v>
      </c>
      <c r="Z5212" s="0" t="n">
        <f aca="false">04_回帰ANOVA!$K$19*04_回帰ANOVA!$K$14*SQRT(1+Y5212)</f>
        <v>1.46161380324158</v>
      </c>
      <c r="AA5212" s="0" t="n">
        <f aca="false">X5212-Z5212</f>
        <v>42.6450245374017</v>
      </c>
      <c r="AB5212" s="0" t="n">
        <f aca="false">X5212+Z5212</f>
        <v>45.5682521438849</v>
      </c>
      <c r="AC5212" s="54" t="b">
        <f aca="false">AND(E5212&gt;=01_因子設定!$L$5-0.000000001,E5212&lt;=01_因子設定!$M$5+0.000000001,F5212&gt;=01_因子設定!$L$6-0.000000001,F5212&lt;=01_因子設定!$M$6+0.000000001,G5212&gt;=01_因子設定!$L$7-0.000000001,G5212&lt;=01_因子設定!$M$7+0.000000001,H5212&gt;=01_因子設定!$L$8-0.000000001,H5212&lt;=01_因子設定!$M$8+0.000000001,IF(01_因子設定!$B$20="Box-Behnken",E5212^2+F5212^2+G5212^2+H5212^2&lt;=2+0.000000001,TRUE()))</f>
        <v>1</v>
      </c>
      <c r="AD5212" s="55" t="n">
        <f aca="false">IF(AC5212,IF(01_因子設定!$B$13="最大化",AA5212-01_因子設定!$B$14,IF(01_因子設定!$B$13="最小化",01_因子設定!$B$15-AB5212,MIN(AA5212-01_因子設定!$B$14,01_因子設定!$B$15-AB5212))),-1E+030)</f>
        <v>-3.85497546259832</v>
      </c>
      <c r="AE5212" s="55" t="n">
        <f aca="false">IF(AC5212,IF(01_因子設定!$B$13="最大化",X5212,IF(01_因子設定!$B$13="最小化",-X5212,-ABS(X5212-01_因子設定!$B$16))),-1E+030)</f>
        <v>44.1066383406433</v>
      </c>
      <c r="AF5212" s="55" t="n">
        <f aca="false">AD5212+ROW()*0.000000001</f>
        <v>-3.85497025059832</v>
      </c>
      <c r="AG5212" s="55" t="n">
        <f aca="false">AE5212+ROW()*0.000000001</f>
        <v>44.1066435526433</v>
      </c>
    </row>
    <row r="5213" customFormat="false" ht="15" hidden="false" customHeight="false" outlineLevel="0" collapsed="false">
      <c r="A5213" s="0" t="n">
        <v>7</v>
      </c>
      <c r="B5213" s="0" t="n">
        <v>1</v>
      </c>
      <c r="C5213" s="0" t="n">
        <v>2</v>
      </c>
      <c r="D5213" s="0" t="n">
        <v>6</v>
      </c>
      <c r="E5213" s="0" t="n">
        <f aca="false">-1+A5213*0.25</f>
        <v>0.75</v>
      </c>
      <c r="F5213" s="0" t="n">
        <f aca="false">-1+B5213*0.25</f>
        <v>-0.75</v>
      </c>
      <c r="G5213" s="0" t="n">
        <f aca="false">-1+C5213*0.25</f>
        <v>-0.5</v>
      </c>
      <c r="H5213" s="0" t="n">
        <f aca="false">-1+D5213*0.25</f>
        <v>0.5</v>
      </c>
      <c r="I5213" s="0" t="n">
        <f aca="false">1</f>
        <v>1</v>
      </c>
      <c r="J5213" s="0" t="n">
        <f aca="false">E5213</f>
        <v>0.75</v>
      </c>
      <c r="K5213" s="0" t="n">
        <f aca="false">F5213</f>
        <v>-0.75</v>
      </c>
      <c r="L5213" s="0" t="n">
        <f aca="false">G5213</f>
        <v>-0.5</v>
      </c>
      <c r="M5213" s="0" t="n">
        <f aca="false">H5213</f>
        <v>0.5</v>
      </c>
      <c r="N5213" s="0" t="n">
        <f aca="false">E5213*F5213</f>
        <v>-0.5625</v>
      </c>
      <c r="O5213" s="0" t="n">
        <f aca="false">E5213*G5213</f>
        <v>-0.375</v>
      </c>
      <c r="P5213" s="0" t="n">
        <f aca="false">E5213*H5213</f>
        <v>0.375</v>
      </c>
      <c r="Q5213" s="0" t="n">
        <f aca="false">F5213*G5213</f>
        <v>0.375</v>
      </c>
      <c r="R5213" s="0" t="n">
        <f aca="false">F5213*H5213</f>
        <v>-0.375</v>
      </c>
      <c r="S5213" s="0" t="n">
        <f aca="false">G5213*H5213</f>
        <v>-0.25</v>
      </c>
      <c r="T5213" s="0" t="n">
        <f aca="false">E5213*E5213</f>
        <v>0.5625</v>
      </c>
      <c r="U5213" s="0" t="n">
        <f aca="false">F5213*F5213</f>
        <v>0.5625</v>
      </c>
      <c r="V5213" s="0" t="n">
        <f aca="false">G5213*G5213</f>
        <v>0.25</v>
      </c>
      <c r="W5213" s="0" t="n">
        <f aca="false">H5213*H5213</f>
        <v>0.25</v>
      </c>
      <c r="X5213" s="0" t="n">
        <f aca="false">SUMPRODUCT(I5213:W5213,_XtX!$B$96:$P$96)</f>
        <v>44.1636604532164</v>
      </c>
      <c r="Y5213" s="0" t="n">
        <f aca="false">SUMPRODUCT(MMULT(I5213:W5213,_XtX!$B$78:$P$92),I5213:W5213)</f>
        <v>0.237862927174708</v>
      </c>
      <c r="Z5213" s="0" t="n">
        <f aca="false">04_回帰ANOVA!$K$19*04_回帰ANOVA!$K$14*SQRT(1+Y5213)</f>
        <v>1.45022260708756</v>
      </c>
      <c r="AA5213" s="0" t="n">
        <f aca="false">X5213-Z5213</f>
        <v>42.7134378461288</v>
      </c>
      <c r="AB5213" s="0" t="n">
        <f aca="false">X5213+Z5213</f>
        <v>45.6138830603039</v>
      </c>
      <c r="AC5213" s="54" t="b">
        <f aca="false">AND(E5213&gt;=01_因子設定!$L$5-0.000000001,E5213&lt;=01_因子設定!$M$5+0.000000001,F5213&gt;=01_因子設定!$L$6-0.000000001,F5213&lt;=01_因子設定!$M$6+0.000000001,G5213&gt;=01_因子設定!$L$7-0.000000001,G5213&lt;=01_因子設定!$M$7+0.000000001,H5213&gt;=01_因子設定!$L$8-0.000000001,H5213&lt;=01_因子設定!$M$8+0.000000001,IF(01_因子設定!$B$20="Box-Behnken",E5213^2+F5213^2+G5213^2+H5213^2&lt;=2+0.000000001,TRUE()))</f>
        <v>1</v>
      </c>
      <c r="AD5213" s="55" t="n">
        <f aca="false">IF(AC5213,IF(01_因子設定!$B$13="最大化",AA5213-01_因子設定!$B$14,IF(01_因子設定!$B$13="最小化",01_因子設定!$B$15-AB5213,MIN(AA5213-01_因子設定!$B$14,01_因子設定!$B$15-AB5213))),-1E+030)</f>
        <v>-3.7865621538712</v>
      </c>
      <c r="AE5213" s="55" t="n">
        <f aca="false">IF(AC5213,IF(01_因子設定!$B$13="最大化",X5213,IF(01_因子設定!$B$13="最小化",-X5213,-ABS(X5213-01_因子設定!$B$16))),-1E+030)</f>
        <v>44.1636604532164</v>
      </c>
      <c r="AF5213" s="55" t="n">
        <f aca="false">AD5213+ROW()*0.000000001</f>
        <v>-3.78655694087119</v>
      </c>
      <c r="AG5213" s="55" t="n">
        <f aca="false">AE5213+ROW()*0.000000001</f>
        <v>44.1636656662164</v>
      </c>
    </row>
    <row r="5214" customFormat="false" ht="15" hidden="false" customHeight="false" outlineLevel="0" collapsed="false">
      <c r="A5214" s="0" t="n">
        <v>7</v>
      </c>
      <c r="B5214" s="0" t="n">
        <v>1</v>
      </c>
      <c r="C5214" s="0" t="n">
        <v>2</v>
      </c>
      <c r="D5214" s="0" t="n">
        <v>7</v>
      </c>
      <c r="E5214" s="0" t="n">
        <f aca="false">-1+A5214*0.25</f>
        <v>0.75</v>
      </c>
      <c r="F5214" s="0" t="n">
        <f aca="false">-1+B5214*0.25</f>
        <v>-0.75</v>
      </c>
      <c r="G5214" s="0" t="n">
        <f aca="false">-1+C5214*0.25</f>
        <v>-0.5</v>
      </c>
      <c r="H5214" s="0" t="n">
        <f aca="false">-1+D5214*0.25</f>
        <v>0.75</v>
      </c>
      <c r="I5214" s="0" t="n">
        <f aca="false">1</f>
        <v>1</v>
      </c>
      <c r="J5214" s="0" t="n">
        <f aca="false">E5214</f>
        <v>0.75</v>
      </c>
      <c r="K5214" s="0" t="n">
        <f aca="false">F5214</f>
        <v>-0.75</v>
      </c>
      <c r="L5214" s="0" t="n">
        <f aca="false">G5214</f>
        <v>-0.5</v>
      </c>
      <c r="M5214" s="0" t="n">
        <f aca="false">H5214</f>
        <v>0.75</v>
      </c>
      <c r="N5214" s="0" t="n">
        <f aca="false">E5214*F5214</f>
        <v>-0.5625</v>
      </c>
      <c r="O5214" s="0" t="n">
        <f aca="false">E5214*G5214</f>
        <v>-0.375</v>
      </c>
      <c r="P5214" s="0" t="n">
        <f aca="false">E5214*H5214</f>
        <v>0.5625</v>
      </c>
      <c r="Q5214" s="0" t="n">
        <f aca="false">F5214*G5214</f>
        <v>0.375</v>
      </c>
      <c r="R5214" s="0" t="n">
        <f aca="false">F5214*H5214</f>
        <v>-0.5625</v>
      </c>
      <c r="S5214" s="0" t="n">
        <f aca="false">G5214*H5214</f>
        <v>-0.375</v>
      </c>
      <c r="T5214" s="0" t="n">
        <f aca="false">E5214*E5214</f>
        <v>0.5625</v>
      </c>
      <c r="U5214" s="0" t="n">
        <f aca="false">F5214*F5214</f>
        <v>0.5625</v>
      </c>
      <c r="V5214" s="0" t="n">
        <f aca="false">G5214*G5214</f>
        <v>0.25</v>
      </c>
      <c r="W5214" s="0" t="n">
        <f aca="false">H5214*H5214</f>
        <v>0.5625</v>
      </c>
      <c r="X5214" s="0" t="n">
        <f aca="false">SUMPRODUCT(I5214:W5214,_XtX!$B$96:$P$96)</f>
        <v>44.1728755482456</v>
      </c>
      <c r="Y5214" s="0" t="n">
        <f aca="false">SUMPRODUCT(MMULT(I5214:W5214,_XtX!$B$78:$P$92),I5214:W5214)</f>
        <v>0.265632138614766</v>
      </c>
      <c r="Z5214" s="0" t="n">
        <f aca="false">04_回帰ANOVA!$K$19*04_回帰ANOVA!$K$14*SQRT(1+Y5214)</f>
        <v>1.46639894654257</v>
      </c>
      <c r="AA5214" s="0" t="n">
        <f aca="false">X5214-Z5214</f>
        <v>42.706476601703</v>
      </c>
      <c r="AB5214" s="0" t="n">
        <f aca="false">X5214+Z5214</f>
        <v>45.6392744947882</v>
      </c>
      <c r="AC5214" s="54" t="b">
        <f aca="false">AND(E5214&gt;=01_因子設定!$L$5-0.000000001,E5214&lt;=01_因子設定!$M$5+0.000000001,F5214&gt;=01_因子設定!$L$6-0.000000001,F5214&lt;=01_因子設定!$M$6+0.000000001,G5214&gt;=01_因子設定!$L$7-0.000000001,G5214&lt;=01_因子設定!$M$7+0.000000001,H5214&gt;=01_因子設定!$L$8-0.000000001,H5214&lt;=01_因子設定!$M$8+0.000000001,IF(01_因子設定!$B$20="Box-Behnken",E5214^2+F5214^2+G5214^2+H5214^2&lt;=2+0.000000001,TRUE()))</f>
        <v>1</v>
      </c>
      <c r="AD5214" s="55" t="n">
        <f aca="false">IF(AC5214,IF(01_因子設定!$B$13="最大化",AA5214-01_因子設定!$B$14,IF(01_因子設定!$B$13="最小化",01_因子設定!$B$15-AB5214,MIN(AA5214-01_因子設定!$B$14,01_因子設定!$B$15-AB5214))),-1E+030)</f>
        <v>-3.79352339829696</v>
      </c>
      <c r="AE5214" s="55" t="n">
        <f aca="false">IF(AC5214,IF(01_因子設定!$B$13="最大化",X5214,IF(01_因子設定!$B$13="最小化",-X5214,-ABS(X5214-01_因子設定!$B$16))),-1E+030)</f>
        <v>44.1728755482456</v>
      </c>
      <c r="AF5214" s="55" t="n">
        <f aca="false">AD5214+ROW()*0.000000001</f>
        <v>-3.79351818429695</v>
      </c>
      <c r="AG5214" s="55" t="n">
        <f aca="false">AE5214+ROW()*0.000000001</f>
        <v>44.1728807622456</v>
      </c>
    </row>
    <row r="5215" customFormat="false" ht="15" hidden="false" customHeight="false" outlineLevel="0" collapsed="false">
      <c r="A5215" s="0" t="n">
        <v>7</v>
      </c>
      <c r="B5215" s="0" t="n">
        <v>1</v>
      </c>
      <c r="C5215" s="0" t="n">
        <v>2</v>
      </c>
      <c r="D5215" s="0" t="n">
        <v>8</v>
      </c>
      <c r="E5215" s="0" t="n">
        <f aca="false">-1+A5215*0.25</f>
        <v>0.75</v>
      </c>
      <c r="F5215" s="0" t="n">
        <f aca="false">-1+B5215*0.25</f>
        <v>-0.75</v>
      </c>
      <c r="G5215" s="0" t="n">
        <f aca="false">-1+C5215*0.25</f>
        <v>-0.5</v>
      </c>
      <c r="H5215" s="0" t="n">
        <f aca="false">-1+D5215*0.25</f>
        <v>1</v>
      </c>
      <c r="I5215" s="0" t="n">
        <f aca="false">1</f>
        <v>1</v>
      </c>
      <c r="J5215" s="0" t="n">
        <f aca="false">E5215</f>
        <v>0.75</v>
      </c>
      <c r="K5215" s="0" t="n">
        <f aca="false">F5215</f>
        <v>-0.75</v>
      </c>
      <c r="L5215" s="0" t="n">
        <f aca="false">G5215</f>
        <v>-0.5</v>
      </c>
      <c r="M5215" s="0" t="n">
        <f aca="false">H5215</f>
        <v>1</v>
      </c>
      <c r="N5215" s="0" t="n">
        <f aca="false">E5215*F5215</f>
        <v>-0.5625</v>
      </c>
      <c r="O5215" s="0" t="n">
        <f aca="false">E5215*G5215</f>
        <v>-0.375</v>
      </c>
      <c r="P5215" s="0" t="n">
        <f aca="false">E5215*H5215</f>
        <v>0.75</v>
      </c>
      <c r="Q5215" s="0" t="n">
        <f aca="false">F5215*G5215</f>
        <v>0.375</v>
      </c>
      <c r="R5215" s="0" t="n">
        <f aca="false">F5215*H5215</f>
        <v>-0.75</v>
      </c>
      <c r="S5215" s="0" t="n">
        <f aca="false">G5215*H5215</f>
        <v>-0.5</v>
      </c>
      <c r="T5215" s="0" t="n">
        <f aca="false">E5215*E5215</f>
        <v>0.5625</v>
      </c>
      <c r="U5215" s="0" t="n">
        <f aca="false">F5215*F5215</f>
        <v>0.5625</v>
      </c>
      <c r="V5215" s="0" t="n">
        <f aca="false">G5215*G5215</f>
        <v>0.25</v>
      </c>
      <c r="W5215" s="0" t="n">
        <f aca="false">H5215*H5215</f>
        <v>1</v>
      </c>
      <c r="X5215" s="0" t="n">
        <f aca="false">SUMPRODUCT(I5215:W5215,_XtX!$B$96:$P$96)</f>
        <v>44.134283625731</v>
      </c>
      <c r="Y5215" s="0" t="n">
        <f aca="false">SUMPRODUCT(MMULT(I5215:W5215,_XtX!$B$78:$P$92),I5215:W5215)</f>
        <v>0.431153771472953</v>
      </c>
      <c r="Z5215" s="0" t="n">
        <f aca="false">04_回帰ANOVA!$K$19*04_回帰ANOVA!$K$14*SQRT(1+Y5215)</f>
        <v>1.55934259562563</v>
      </c>
      <c r="AA5215" s="0" t="n">
        <f aca="false">X5215-Z5215</f>
        <v>42.5749410301054</v>
      </c>
      <c r="AB5215" s="0" t="n">
        <f aca="false">X5215+Z5215</f>
        <v>45.6936262213566</v>
      </c>
      <c r="AC5215" s="54" t="b">
        <f aca="false">AND(E5215&gt;=01_因子設定!$L$5-0.000000001,E5215&lt;=01_因子設定!$M$5+0.000000001,F5215&gt;=01_因子設定!$L$6-0.000000001,F5215&lt;=01_因子設定!$M$6+0.000000001,G5215&gt;=01_因子設定!$L$7-0.000000001,G5215&lt;=01_因子設定!$M$7+0.000000001,H5215&gt;=01_因子設定!$L$8-0.000000001,H5215&lt;=01_因子設定!$M$8+0.000000001,IF(01_因子設定!$B$20="Box-Behnken",E5215^2+F5215^2+G5215^2+H5215^2&lt;=2+0.000000001,TRUE()))</f>
        <v>1</v>
      </c>
      <c r="AD5215" s="55" t="n">
        <f aca="false">IF(AC5215,IF(01_因子設定!$B$13="最大化",AA5215-01_因子設定!$B$14,IF(01_因子設定!$B$13="最小化",01_因子設定!$B$15-AB5215,MIN(AA5215-01_因子設定!$B$14,01_因子設定!$B$15-AB5215))),-1E+030)</f>
        <v>-3.92505896989461</v>
      </c>
      <c r="AE5215" s="55" t="n">
        <f aca="false">IF(AC5215,IF(01_因子設定!$B$13="最大化",X5215,IF(01_因子設定!$B$13="最小化",-X5215,-ABS(X5215-01_因子設定!$B$16))),-1E+030)</f>
        <v>44.134283625731</v>
      </c>
      <c r="AF5215" s="55" t="n">
        <f aca="false">AD5215+ROW()*0.000000001</f>
        <v>-3.92505375489461</v>
      </c>
      <c r="AG5215" s="55" t="n">
        <f aca="false">AE5215+ROW()*0.000000001</f>
        <v>44.134288840731</v>
      </c>
    </row>
    <row r="5216" customFormat="false" ht="15" hidden="false" customHeight="false" outlineLevel="0" collapsed="false">
      <c r="A5216" s="0" t="n">
        <v>7</v>
      </c>
      <c r="B5216" s="0" t="n">
        <v>1</v>
      </c>
      <c r="C5216" s="0" t="n">
        <v>3</v>
      </c>
      <c r="D5216" s="0" t="n">
        <v>0</v>
      </c>
      <c r="E5216" s="0" t="n">
        <f aca="false">-1+A5216*0.25</f>
        <v>0.75</v>
      </c>
      <c r="F5216" s="0" t="n">
        <f aca="false">-1+B5216*0.25</f>
        <v>-0.75</v>
      </c>
      <c r="G5216" s="0" t="n">
        <f aca="false">-1+C5216*0.25</f>
        <v>-0.25</v>
      </c>
      <c r="H5216" s="0" t="n">
        <f aca="false">-1+D5216*0.25</f>
        <v>-1</v>
      </c>
      <c r="I5216" s="0" t="n">
        <f aca="false">1</f>
        <v>1</v>
      </c>
      <c r="J5216" s="0" t="n">
        <f aca="false">E5216</f>
        <v>0.75</v>
      </c>
      <c r="K5216" s="0" t="n">
        <f aca="false">F5216</f>
        <v>-0.75</v>
      </c>
      <c r="L5216" s="0" t="n">
        <f aca="false">G5216</f>
        <v>-0.25</v>
      </c>
      <c r="M5216" s="0" t="n">
        <f aca="false">H5216</f>
        <v>-1</v>
      </c>
      <c r="N5216" s="0" t="n">
        <f aca="false">E5216*F5216</f>
        <v>-0.5625</v>
      </c>
      <c r="O5216" s="0" t="n">
        <f aca="false">E5216*G5216</f>
        <v>-0.1875</v>
      </c>
      <c r="P5216" s="0" t="n">
        <f aca="false">E5216*H5216</f>
        <v>-0.75</v>
      </c>
      <c r="Q5216" s="0" t="n">
        <f aca="false">F5216*G5216</f>
        <v>0.1875</v>
      </c>
      <c r="R5216" s="0" t="n">
        <f aca="false">F5216*H5216</f>
        <v>0.75</v>
      </c>
      <c r="S5216" s="0" t="n">
        <f aca="false">G5216*H5216</f>
        <v>0.25</v>
      </c>
      <c r="T5216" s="0" t="n">
        <f aca="false">E5216*E5216</f>
        <v>0.5625</v>
      </c>
      <c r="U5216" s="0" t="n">
        <f aca="false">F5216*F5216</f>
        <v>0.5625</v>
      </c>
      <c r="V5216" s="0" t="n">
        <f aca="false">G5216*G5216</f>
        <v>0.0625</v>
      </c>
      <c r="W5216" s="0" t="n">
        <f aca="false">H5216*H5216</f>
        <v>1</v>
      </c>
      <c r="X5216" s="0" t="n">
        <f aca="false">SUMPRODUCT(I5216:W5216,_XtX!$B$96:$P$96)</f>
        <v>43.225872624269</v>
      </c>
      <c r="Y5216" s="0" t="n">
        <f aca="false">SUMPRODUCT(MMULT(I5216:W5216,_XtX!$B$78:$P$92),I5216:W5216)</f>
        <v>0.473959761056287</v>
      </c>
      <c r="Z5216" s="0" t="n">
        <f aca="false">04_回帰ANOVA!$K$19*04_回帰ANOVA!$K$14*SQRT(1+Y5216)</f>
        <v>1.58249084588329</v>
      </c>
      <c r="AA5216" s="0" t="n">
        <f aca="false">X5216-Z5216</f>
        <v>41.6433817783857</v>
      </c>
      <c r="AB5216" s="0" t="n">
        <f aca="false">X5216+Z5216</f>
        <v>44.8083634701523</v>
      </c>
      <c r="AC5216" s="54" t="b">
        <f aca="false">AND(E5216&gt;=01_因子設定!$L$5-0.000000001,E5216&lt;=01_因子設定!$M$5+0.000000001,F5216&gt;=01_因子設定!$L$6-0.000000001,F5216&lt;=01_因子設定!$M$6+0.000000001,G5216&gt;=01_因子設定!$L$7-0.000000001,G5216&lt;=01_因子設定!$M$7+0.000000001,H5216&gt;=01_因子設定!$L$8-0.000000001,H5216&lt;=01_因子設定!$M$8+0.000000001,IF(01_因子設定!$B$20="Box-Behnken",E5216^2+F5216^2+G5216^2+H5216^2&lt;=2+0.000000001,TRUE()))</f>
        <v>1</v>
      </c>
      <c r="AD5216" s="55" t="n">
        <f aca="false">IF(AC5216,IF(01_因子設定!$B$13="最大化",AA5216-01_因子設定!$B$14,IF(01_因子設定!$B$13="最小化",01_因子設定!$B$15-AB5216,MIN(AA5216-01_因子設定!$B$14,01_因子設定!$B$15-AB5216))),-1E+030)</f>
        <v>-4.85661822161426</v>
      </c>
      <c r="AE5216" s="55" t="n">
        <f aca="false">IF(AC5216,IF(01_因子設定!$B$13="最大化",X5216,IF(01_因子設定!$B$13="最小化",-X5216,-ABS(X5216-01_因子設定!$B$16))),-1E+030)</f>
        <v>43.225872624269</v>
      </c>
      <c r="AF5216" s="55" t="n">
        <f aca="false">AD5216+ROW()*0.000000001</f>
        <v>-4.85661300561426</v>
      </c>
      <c r="AG5216" s="55" t="n">
        <f aca="false">AE5216+ROW()*0.000000001</f>
        <v>43.225877840269</v>
      </c>
    </row>
    <row r="5217" customFormat="false" ht="15" hidden="false" customHeight="false" outlineLevel="0" collapsed="false">
      <c r="A5217" s="0" t="n">
        <v>7</v>
      </c>
      <c r="B5217" s="0" t="n">
        <v>1</v>
      </c>
      <c r="C5217" s="0" t="n">
        <v>3</v>
      </c>
      <c r="D5217" s="0" t="n">
        <v>1</v>
      </c>
      <c r="E5217" s="0" t="n">
        <f aca="false">-1+A5217*0.25</f>
        <v>0.75</v>
      </c>
      <c r="F5217" s="0" t="n">
        <f aca="false">-1+B5217*0.25</f>
        <v>-0.75</v>
      </c>
      <c r="G5217" s="0" t="n">
        <f aca="false">-1+C5217*0.25</f>
        <v>-0.25</v>
      </c>
      <c r="H5217" s="0" t="n">
        <f aca="false">-1+D5217*0.25</f>
        <v>-0.75</v>
      </c>
      <c r="I5217" s="0" t="n">
        <f aca="false">1</f>
        <v>1</v>
      </c>
      <c r="J5217" s="0" t="n">
        <f aca="false">E5217</f>
        <v>0.75</v>
      </c>
      <c r="K5217" s="0" t="n">
        <f aca="false">F5217</f>
        <v>-0.75</v>
      </c>
      <c r="L5217" s="0" t="n">
        <f aca="false">G5217</f>
        <v>-0.25</v>
      </c>
      <c r="M5217" s="0" t="n">
        <f aca="false">H5217</f>
        <v>-0.75</v>
      </c>
      <c r="N5217" s="0" t="n">
        <f aca="false">E5217*F5217</f>
        <v>-0.5625</v>
      </c>
      <c r="O5217" s="0" t="n">
        <f aca="false">E5217*G5217</f>
        <v>-0.1875</v>
      </c>
      <c r="P5217" s="0" t="n">
        <f aca="false">E5217*H5217</f>
        <v>-0.5625</v>
      </c>
      <c r="Q5217" s="0" t="n">
        <f aca="false">F5217*G5217</f>
        <v>0.1875</v>
      </c>
      <c r="R5217" s="0" t="n">
        <f aca="false">F5217*H5217</f>
        <v>0.5625</v>
      </c>
      <c r="S5217" s="0" t="n">
        <f aca="false">G5217*H5217</f>
        <v>0.1875</v>
      </c>
      <c r="T5217" s="0" t="n">
        <f aca="false">E5217*E5217</f>
        <v>0.5625</v>
      </c>
      <c r="U5217" s="0" t="n">
        <f aca="false">F5217*F5217</f>
        <v>0.5625</v>
      </c>
      <c r="V5217" s="0" t="n">
        <f aca="false">G5217*G5217</f>
        <v>0.0625</v>
      </c>
      <c r="W5217" s="0" t="n">
        <f aca="false">H5217*H5217</f>
        <v>0.5625</v>
      </c>
      <c r="X5217" s="0" t="n">
        <f aca="false">SUMPRODUCT(I5217:W5217,_XtX!$B$96:$P$96)</f>
        <v>43.5398985745614</v>
      </c>
      <c r="Y5217" s="0" t="n">
        <f aca="false">SUMPRODUCT(MMULT(I5217:W5217,_XtX!$B$78:$P$92),I5217:W5217)</f>
        <v>0.294856199744152</v>
      </c>
      <c r="Z5217" s="0" t="n">
        <f aca="false">04_回帰ANOVA!$K$19*04_回帰ANOVA!$K$14*SQRT(1+Y5217)</f>
        <v>1.48323226089013</v>
      </c>
      <c r="AA5217" s="0" t="n">
        <f aca="false">X5217-Z5217</f>
        <v>42.0566663136713</v>
      </c>
      <c r="AB5217" s="0" t="n">
        <f aca="false">X5217+Z5217</f>
        <v>45.0231308354515</v>
      </c>
      <c r="AC5217" s="54" t="b">
        <f aca="false">AND(E5217&gt;=01_因子設定!$L$5-0.000000001,E5217&lt;=01_因子設定!$M$5+0.000000001,F5217&gt;=01_因子設定!$L$6-0.000000001,F5217&lt;=01_因子設定!$M$6+0.000000001,G5217&gt;=01_因子設定!$L$7-0.000000001,G5217&lt;=01_因子設定!$M$7+0.000000001,H5217&gt;=01_因子設定!$L$8-0.000000001,H5217&lt;=01_因子設定!$M$8+0.000000001,IF(01_因子設定!$B$20="Box-Behnken",E5217^2+F5217^2+G5217^2+H5217^2&lt;=2+0.000000001,TRUE()))</f>
        <v>1</v>
      </c>
      <c r="AD5217" s="55" t="n">
        <f aca="false">IF(AC5217,IF(01_因子設定!$B$13="最大化",AA5217-01_因子設定!$B$14,IF(01_因子設定!$B$13="最小化",01_因子設定!$B$15-AB5217,MIN(AA5217-01_因子設定!$B$14,01_因子設定!$B$15-AB5217))),-1E+030)</f>
        <v>-4.44333368632873</v>
      </c>
      <c r="AE5217" s="55" t="n">
        <f aca="false">IF(AC5217,IF(01_因子設定!$B$13="最大化",X5217,IF(01_因子設定!$B$13="最小化",-X5217,-ABS(X5217-01_因子設定!$B$16))),-1E+030)</f>
        <v>43.5398985745614</v>
      </c>
      <c r="AF5217" s="55" t="n">
        <f aca="false">AD5217+ROW()*0.000000001</f>
        <v>-4.44332846932873</v>
      </c>
      <c r="AG5217" s="55" t="n">
        <f aca="false">AE5217+ROW()*0.000000001</f>
        <v>43.5399037915614</v>
      </c>
    </row>
    <row r="5218" customFormat="false" ht="15" hidden="false" customHeight="false" outlineLevel="0" collapsed="false">
      <c r="A5218" s="0" t="n">
        <v>7</v>
      </c>
      <c r="B5218" s="0" t="n">
        <v>1</v>
      </c>
      <c r="C5218" s="0" t="n">
        <v>3</v>
      </c>
      <c r="D5218" s="0" t="n">
        <v>2</v>
      </c>
      <c r="E5218" s="0" t="n">
        <f aca="false">-1+A5218*0.25</f>
        <v>0.75</v>
      </c>
      <c r="F5218" s="0" t="n">
        <f aca="false">-1+B5218*0.25</f>
        <v>-0.75</v>
      </c>
      <c r="G5218" s="0" t="n">
        <f aca="false">-1+C5218*0.25</f>
        <v>-0.25</v>
      </c>
      <c r="H5218" s="0" t="n">
        <f aca="false">-1+D5218*0.25</f>
        <v>-0.5</v>
      </c>
      <c r="I5218" s="0" t="n">
        <f aca="false">1</f>
        <v>1</v>
      </c>
      <c r="J5218" s="0" t="n">
        <f aca="false">E5218</f>
        <v>0.75</v>
      </c>
      <c r="K5218" s="0" t="n">
        <f aca="false">F5218</f>
        <v>-0.75</v>
      </c>
      <c r="L5218" s="0" t="n">
        <f aca="false">G5218</f>
        <v>-0.25</v>
      </c>
      <c r="M5218" s="0" t="n">
        <f aca="false">H5218</f>
        <v>-0.5</v>
      </c>
      <c r="N5218" s="0" t="n">
        <f aca="false">E5218*F5218</f>
        <v>-0.5625</v>
      </c>
      <c r="O5218" s="0" t="n">
        <f aca="false">E5218*G5218</f>
        <v>-0.1875</v>
      </c>
      <c r="P5218" s="0" t="n">
        <f aca="false">E5218*H5218</f>
        <v>-0.375</v>
      </c>
      <c r="Q5218" s="0" t="n">
        <f aca="false">F5218*G5218</f>
        <v>0.1875</v>
      </c>
      <c r="R5218" s="0" t="n">
        <f aca="false">F5218*H5218</f>
        <v>0.375</v>
      </c>
      <c r="S5218" s="0" t="n">
        <f aca="false">G5218*H5218</f>
        <v>0.125</v>
      </c>
      <c r="T5218" s="0" t="n">
        <f aca="false">E5218*E5218</f>
        <v>0.5625</v>
      </c>
      <c r="U5218" s="0" t="n">
        <f aca="false">F5218*F5218</f>
        <v>0.5625</v>
      </c>
      <c r="V5218" s="0" t="n">
        <f aca="false">G5218*G5218</f>
        <v>0.0625</v>
      </c>
      <c r="W5218" s="0" t="n">
        <f aca="false">H5218*H5218</f>
        <v>0.25</v>
      </c>
      <c r="X5218" s="0" t="n">
        <f aca="false">SUMPRODUCT(I5218:W5218,_XtX!$B$96:$P$96)</f>
        <v>43.8061175073099</v>
      </c>
      <c r="Y5218" s="0" t="n">
        <f aca="false">SUMPRODUCT(MMULT(I5218:W5218,_XtX!$B$78:$P$92),I5218:W5218)</f>
        <v>0.257385610836988</v>
      </c>
      <c r="Z5218" s="0" t="n">
        <f aca="false">04_回帰ANOVA!$K$19*04_回帰ANOVA!$K$14*SQRT(1+Y5218)</f>
        <v>1.46161380324158</v>
      </c>
      <c r="AA5218" s="0" t="n">
        <f aca="false">X5218-Z5218</f>
        <v>42.3445037040684</v>
      </c>
      <c r="AB5218" s="0" t="n">
        <f aca="false">X5218+Z5218</f>
        <v>45.2677313105515</v>
      </c>
      <c r="AC5218" s="54" t="b">
        <f aca="false">AND(E5218&gt;=01_因子設定!$L$5-0.000000001,E5218&lt;=01_因子設定!$M$5+0.000000001,F5218&gt;=01_因子設定!$L$6-0.000000001,F5218&lt;=01_因子設定!$M$6+0.000000001,G5218&gt;=01_因子設定!$L$7-0.000000001,G5218&lt;=01_因子設定!$M$7+0.000000001,H5218&gt;=01_因子設定!$L$8-0.000000001,H5218&lt;=01_因子設定!$M$8+0.000000001,IF(01_因子設定!$B$20="Box-Behnken",E5218^2+F5218^2+G5218^2+H5218^2&lt;=2+0.000000001,TRUE()))</f>
        <v>1</v>
      </c>
      <c r="AD5218" s="55" t="n">
        <f aca="false">IF(AC5218,IF(01_因子設定!$B$13="最大化",AA5218-01_因子設定!$B$14,IF(01_因子設定!$B$13="最小化",01_因子設定!$B$15-AB5218,MIN(AA5218-01_因子設定!$B$14,01_因子設定!$B$15-AB5218))),-1E+030)</f>
        <v>-4.15549629593165</v>
      </c>
      <c r="AE5218" s="55" t="n">
        <f aca="false">IF(AC5218,IF(01_因子設定!$B$13="最大化",X5218,IF(01_因子設定!$B$13="最小化",-X5218,-ABS(X5218-01_因子設定!$B$16))),-1E+030)</f>
        <v>43.8061175073099</v>
      </c>
      <c r="AF5218" s="55" t="n">
        <f aca="false">AD5218+ROW()*0.000000001</f>
        <v>-4.15549107793165</v>
      </c>
      <c r="AG5218" s="55" t="n">
        <f aca="false">AE5218+ROW()*0.000000001</f>
        <v>43.8061227253099</v>
      </c>
    </row>
    <row r="5219" customFormat="false" ht="15" hidden="false" customHeight="false" outlineLevel="0" collapsed="false">
      <c r="A5219" s="0" t="n">
        <v>7</v>
      </c>
      <c r="B5219" s="0" t="n">
        <v>1</v>
      </c>
      <c r="C5219" s="0" t="n">
        <v>3</v>
      </c>
      <c r="D5219" s="0" t="n">
        <v>3</v>
      </c>
      <c r="E5219" s="0" t="n">
        <f aca="false">-1+A5219*0.25</f>
        <v>0.75</v>
      </c>
      <c r="F5219" s="0" t="n">
        <f aca="false">-1+B5219*0.25</f>
        <v>-0.75</v>
      </c>
      <c r="G5219" s="0" t="n">
        <f aca="false">-1+C5219*0.25</f>
        <v>-0.25</v>
      </c>
      <c r="H5219" s="0" t="n">
        <f aca="false">-1+D5219*0.25</f>
        <v>-0.25</v>
      </c>
      <c r="I5219" s="0" t="n">
        <f aca="false">1</f>
        <v>1</v>
      </c>
      <c r="J5219" s="0" t="n">
        <f aca="false">E5219</f>
        <v>0.75</v>
      </c>
      <c r="K5219" s="0" t="n">
        <f aca="false">F5219</f>
        <v>-0.75</v>
      </c>
      <c r="L5219" s="0" t="n">
        <f aca="false">G5219</f>
        <v>-0.25</v>
      </c>
      <c r="M5219" s="0" t="n">
        <f aca="false">H5219</f>
        <v>-0.25</v>
      </c>
      <c r="N5219" s="0" t="n">
        <f aca="false">E5219*F5219</f>
        <v>-0.5625</v>
      </c>
      <c r="O5219" s="0" t="n">
        <f aca="false">E5219*G5219</f>
        <v>-0.1875</v>
      </c>
      <c r="P5219" s="0" t="n">
        <f aca="false">E5219*H5219</f>
        <v>-0.1875</v>
      </c>
      <c r="Q5219" s="0" t="n">
        <f aca="false">F5219*G5219</f>
        <v>0.1875</v>
      </c>
      <c r="R5219" s="0" t="n">
        <f aca="false">F5219*H5219</f>
        <v>0.1875</v>
      </c>
      <c r="S5219" s="0" t="n">
        <f aca="false">G5219*H5219</f>
        <v>0.0625</v>
      </c>
      <c r="T5219" s="0" t="n">
        <f aca="false">E5219*E5219</f>
        <v>0.5625</v>
      </c>
      <c r="U5219" s="0" t="n">
        <f aca="false">F5219*F5219</f>
        <v>0.5625</v>
      </c>
      <c r="V5219" s="0" t="n">
        <f aca="false">G5219*G5219</f>
        <v>0.0625</v>
      </c>
      <c r="W5219" s="0" t="n">
        <f aca="false">H5219*H5219</f>
        <v>0.0625</v>
      </c>
      <c r="X5219" s="0" t="n">
        <f aca="false">SUMPRODUCT(I5219:W5219,_XtX!$B$96:$P$96)</f>
        <v>44.0245294225146</v>
      </c>
      <c r="Y5219" s="0" t="n">
        <f aca="false">SUMPRODUCT(MMULT(I5219:W5219,_XtX!$B$78:$P$92),I5219:W5219)</f>
        <v>0.271087468019006</v>
      </c>
      <c r="Z5219" s="0" t="n">
        <f aca="false">04_回帰ANOVA!$K$19*04_回帰ANOVA!$K$14*SQRT(1+Y5219)</f>
        <v>1.46955590155034</v>
      </c>
      <c r="AA5219" s="0" t="n">
        <f aca="false">X5219-Z5219</f>
        <v>42.5549735209643</v>
      </c>
      <c r="AB5219" s="0" t="n">
        <f aca="false">X5219+Z5219</f>
        <v>45.494085324065</v>
      </c>
      <c r="AC5219" s="54" t="b">
        <f aca="false">AND(E5219&gt;=01_因子設定!$L$5-0.000000001,E5219&lt;=01_因子設定!$M$5+0.000000001,F5219&gt;=01_因子設定!$L$6-0.000000001,F5219&lt;=01_因子設定!$M$6+0.000000001,G5219&gt;=01_因子設定!$L$7-0.000000001,G5219&lt;=01_因子設定!$M$7+0.000000001,H5219&gt;=01_因子設定!$L$8-0.000000001,H5219&lt;=01_因子設定!$M$8+0.000000001,IF(01_因子設定!$B$20="Box-Behnken",E5219^2+F5219^2+G5219^2+H5219^2&lt;=2+0.000000001,TRUE()))</f>
        <v>1</v>
      </c>
      <c r="AD5219" s="55" t="n">
        <f aca="false">IF(AC5219,IF(01_因子設定!$B$13="最大化",AA5219-01_因子設定!$B$14,IF(01_因子設定!$B$13="最小化",01_因子設定!$B$15-AB5219,MIN(AA5219-01_因子設定!$B$14,01_因子設定!$B$15-AB5219))),-1E+030)</f>
        <v>-3.94502647903574</v>
      </c>
      <c r="AE5219" s="55" t="n">
        <f aca="false">IF(AC5219,IF(01_因子設定!$B$13="最大化",X5219,IF(01_因子設定!$B$13="最小化",-X5219,-ABS(X5219-01_因子設定!$B$16))),-1E+030)</f>
        <v>44.0245294225146</v>
      </c>
      <c r="AF5219" s="55" t="n">
        <f aca="false">AD5219+ROW()*0.000000001</f>
        <v>-3.94502126003574</v>
      </c>
      <c r="AG5219" s="55" t="n">
        <f aca="false">AE5219+ROW()*0.000000001</f>
        <v>44.0245346415146</v>
      </c>
    </row>
    <row r="5220" customFormat="false" ht="15" hidden="false" customHeight="false" outlineLevel="0" collapsed="false">
      <c r="A5220" s="0" t="n">
        <v>7</v>
      </c>
      <c r="B5220" s="0" t="n">
        <v>1</v>
      </c>
      <c r="C5220" s="0" t="n">
        <v>3</v>
      </c>
      <c r="D5220" s="0" t="n">
        <v>4</v>
      </c>
      <c r="E5220" s="0" t="n">
        <f aca="false">-1+A5220*0.25</f>
        <v>0.75</v>
      </c>
      <c r="F5220" s="0" t="n">
        <f aca="false">-1+B5220*0.25</f>
        <v>-0.75</v>
      </c>
      <c r="G5220" s="0" t="n">
        <f aca="false">-1+C5220*0.25</f>
        <v>-0.25</v>
      </c>
      <c r="H5220" s="0" t="n">
        <f aca="false">-1+D5220*0.25</f>
        <v>0</v>
      </c>
      <c r="I5220" s="0" t="n">
        <f aca="false">1</f>
        <v>1</v>
      </c>
      <c r="J5220" s="0" t="n">
        <f aca="false">E5220</f>
        <v>0.75</v>
      </c>
      <c r="K5220" s="0" t="n">
        <f aca="false">F5220</f>
        <v>-0.75</v>
      </c>
      <c r="L5220" s="0" t="n">
        <f aca="false">G5220</f>
        <v>-0.25</v>
      </c>
      <c r="M5220" s="0" t="n">
        <f aca="false">H5220</f>
        <v>0</v>
      </c>
      <c r="N5220" s="0" t="n">
        <f aca="false">E5220*F5220</f>
        <v>-0.5625</v>
      </c>
      <c r="O5220" s="0" t="n">
        <f aca="false">E5220*G5220</f>
        <v>-0.1875</v>
      </c>
      <c r="P5220" s="0" t="n">
        <f aca="false">E5220*H5220</f>
        <v>0</v>
      </c>
      <c r="Q5220" s="0" t="n">
        <f aca="false">F5220*G5220</f>
        <v>0.1875</v>
      </c>
      <c r="R5220" s="0" t="n">
        <f aca="false">F5220*H5220</f>
        <v>-0</v>
      </c>
      <c r="S5220" s="0" t="n">
        <f aca="false">G5220*H5220</f>
        <v>-0</v>
      </c>
      <c r="T5220" s="0" t="n">
        <f aca="false">E5220*E5220</f>
        <v>0.5625</v>
      </c>
      <c r="U5220" s="0" t="n">
        <f aca="false">F5220*F5220</f>
        <v>0.5625</v>
      </c>
      <c r="V5220" s="0" t="n">
        <f aca="false">G5220*G5220</f>
        <v>0.0625</v>
      </c>
      <c r="W5220" s="0" t="n">
        <f aca="false">H5220*H5220</f>
        <v>0</v>
      </c>
      <c r="X5220" s="0" t="n">
        <f aca="false">SUMPRODUCT(I5220:W5220,_XtX!$B$96:$P$96)</f>
        <v>44.1951343201754</v>
      </c>
      <c r="Y5220" s="0" t="n">
        <f aca="false">SUMPRODUCT(MMULT(I5220:W5220,_XtX!$B$78:$P$92),I5220:W5220)</f>
        <v>0.281685455500731</v>
      </c>
      <c r="Z5220" s="0" t="n">
        <f aca="false">04_回帰ANOVA!$K$19*04_回帰ANOVA!$K$14*SQRT(1+Y5220)</f>
        <v>1.47566956658694</v>
      </c>
      <c r="AA5220" s="0" t="n">
        <f aca="false">X5220-Z5220</f>
        <v>42.7194647535885</v>
      </c>
      <c r="AB5220" s="0" t="n">
        <f aca="false">X5220+Z5220</f>
        <v>45.6708038867624</v>
      </c>
      <c r="AC5220" s="54" t="b">
        <f aca="false">AND(E5220&gt;=01_因子設定!$L$5-0.000000001,E5220&lt;=01_因子設定!$M$5+0.000000001,F5220&gt;=01_因子設定!$L$6-0.000000001,F5220&lt;=01_因子設定!$M$6+0.000000001,G5220&gt;=01_因子設定!$L$7-0.000000001,G5220&lt;=01_因子設定!$M$7+0.000000001,H5220&gt;=01_因子設定!$L$8-0.000000001,H5220&lt;=01_因子設定!$M$8+0.000000001,IF(01_因子設定!$B$20="Box-Behnken",E5220^2+F5220^2+G5220^2+H5220^2&lt;=2+0.000000001,TRUE()))</f>
        <v>1</v>
      </c>
      <c r="AD5220" s="55" t="n">
        <f aca="false">IF(AC5220,IF(01_因子設定!$B$13="最大化",AA5220-01_因子設定!$B$14,IF(01_因子設定!$B$13="最小化",01_因子設定!$B$15-AB5220,MIN(AA5220-01_因子設定!$B$14,01_因子設定!$B$15-AB5220))),-1E+030)</f>
        <v>-3.78053524641152</v>
      </c>
      <c r="AE5220" s="55" t="n">
        <f aca="false">IF(AC5220,IF(01_因子設定!$B$13="最大化",X5220,IF(01_因子設定!$B$13="最小化",-X5220,-ABS(X5220-01_因子設定!$B$16))),-1E+030)</f>
        <v>44.1951343201754</v>
      </c>
      <c r="AF5220" s="55" t="n">
        <f aca="false">AD5220+ROW()*0.000000001</f>
        <v>-3.78053002641152</v>
      </c>
      <c r="AG5220" s="55" t="n">
        <f aca="false">AE5220+ROW()*0.000000001</f>
        <v>44.1951395401754</v>
      </c>
    </row>
    <row r="5221" customFormat="false" ht="15" hidden="false" customHeight="false" outlineLevel="0" collapsed="false">
      <c r="A5221" s="0" t="n">
        <v>7</v>
      </c>
      <c r="B5221" s="0" t="n">
        <v>1</v>
      </c>
      <c r="C5221" s="0" t="n">
        <v>3</v>
      </c>
      <c r="D5221" s="0" t="n">
        <v>5</v>
      </c>
      <c r="E5221" s="0" t="n">
        <f aca="false">-1+A5221*0.25</f>
        <v>0.75</v>
      </c>
      <c r="F5221" s="0" t="n">
        <f aca="false">-1+B5221*0.25</f>
        <v>-0.75</v>
      </c>
      <c r="G5221" s="0" t="n">
        <f aca="false">-1+C5221*0.25</f>
        <v>-0.25</v>
      </c>
      <c r="H5221" s="0" t="n">
        <f aca="false">-1+D5221*0.25</f>
        <v>0.25</v>
      </c>
      <c r="I5221" s="0" t="n">
        <f aca="false">1</f>
        <v>1</v>
      </c>
      <c r="J5221" s="0" t="n">
        <f aca="false">E5221</f>
        <v>0.75</v>
      </c>
      <c r="K5221" s="0" t="n">
        <f aca="false">F5221</f>
        <v>-0.75</v>
      </c>
      <c r="L5221" s="0" t="n">
        <f aca="false">G5221</f>
        <v>-0.25</v>
      </c>
      <c r="M5221" s="0" t="n">
        <f aca="false">H5221</f>
        <v>0.25</v>
      </c>
      <c r="N5221" s="0" t="n">
        <f aca="false">E5221*F5221</f>
        <v>-0.5625</v>
      </c>
      <c r="O5221" s="0" t="n">
        <f aca="false">E5221*G5221</f>
        <v>-0.1875</v>
      </c>
      <c r="P5221" s="0" t="n">
        <f aca="false">E5221*H5221</f>
        <v>0.1875</v>
      </c>
      <c r="Q5221" s="0" t="n">
        <f aca="false">F5221*G5221</f>
        <v>0.1875</v>
      </c>
      <c r="R5221" s="0" t="n">
        <f aca="false">F5221*H5221</f>
        <v>-0.1875</v>
      </c>
      <c r="S5221" s="0" t="n">
        <f aca="false">G5221*H5221</f>
        <v>-0.0625</v>
      </c>
      <c r="T5221" s="0" t="n">
        <f aca="false">E5221*E5221</f>
        <v>0.5625</v>
      </c>
      <c r="U5221" s="0" t="n">
        <f aca="false">F5221*F5221</f>
        <v>0.5625</v>
      </c>
      <c r="V5221" s="0" t="n">
        <f aca="false">G5221*G5221</f>
        <v>0.0625</v>
      </c>
      <c r="W5221" s="0" t="n">
        <f aca="false">H5221*H5221</f>
        <v>0.0625</v>
      </c>
      <c r="X5221" s="0" t="n">
        <f aca="false">SUMPRODUCT(I5221:W5221,_XtX!$B$96:$P$96)</f>
        <v>44.3179322002924</v>
      </c>
      <c r="Y5221" s="0" t="n">
        <f aca="false">SUMPRODUCT(MMULT(I5221:W5221,_XtX!$B$78:$P$92),I5221:W5221)</f>
        <v>0.271087468019006</v>
      </c>
      <c r="Z5221" s="0" t="n">
        <f aca="false">04_回帰ANOVA!$K$19*04_回帰ANOVA!$K$14*SQRT(1+Y5221)</f>
        <v>1.46955590155034</v>
      </c>
      <c r="AA5221" s="0" t="n">
        <f aca="false">X5221-Z5221</f>
        <v>42.848376298742</v>
      </c>
      <c r="AB5221" s="0" t="n">
        <f aca="false">X5221+Z5221</f>
        <v>45.7874881018427</v>
      </c>
      <c r="AC5221" s="54" t="b">
        <f aca="false">AND(E5221&gt;=01_因子設定!$L$5-0.000000001,E5221&lt;=01_因子設定!$M$5+0.000000001,F5221&gt;=01_因子設定!$L$6-0.000000001,F5221&lt;=01_因子設定!$M$6+0.000000001,G5221&gt;=01_因子設定!$L$7-0.000000001,G5221&lt;=01_因子設定!$M$7+0.000000001,H5221&gt;=01_因子設定!$L$8-0.000000001,H5221&lt;=01_因子設定!$M$8+0.000000001,IF(01_因子設定!$B$20="Box-Behnken",E5221^2+F5221^2+G5221^2+H5221^2&lt;=2+0.000000001,TRUE()))</f>
        <v>1</v>
      </c>
      <c r="AD5221" s="55" t="n">
        <f aca="false">IF(AC5221,IF(01_因子設定!$B$13="最大化",AA5221-01_因子設定!$B$14,IF(01_因子設定!$B$13="最小化",01_因子設定!$B$15-AB5221,MIN(AA5221-01_因子設定!$B$14,01_因子設定!$B$15-AB5221))),-1E+030)</f>
        <v>-3.65162370125796</v>
      </c>
      <c r="AE5221" s="55" t="n">
        <f aca="false">IF(AC5221,IF(01_因子設定!$B$13="最大化",X5221,IF(01_因子設定!$B$13="最小化",-X5221,-ABS(X5221-01_因子設定!$B$16))),-1E+030)</f>
        <v>44.3179322002924</v>
      </c>
      <c r="AF5221" s="55" t="n">
        <f aca="false">AD5221+ROW()*0.000000001</f>
        <v>-3.65161848025796</v>
      </c>
      <c r="AG5221" s="55" t="n">
        <f aca="false">AE5221+ROW()*0.000000001</f>
        <v>44.3179374212924</v>
      </c>
    </row>
    <row r="5222" customFormat="false" ht="15" hidden="false" customHeight="false" outlineLevel="0" collapsed="false">
      <c r="A5222" s="0" t="n">
        <v>7</v>
      </c>
      <c r="B5222" s="0" t="n">
        <v>1</v>
      </c>
      <c r="C5222" s="0" t="n">
        <v>3</v>
      </c>
      <c r="D5222" s="0" t="n">
        <v>6</v>
      </c>
      <c r="E5222" s="0" t="n">
        <f aca="false">-1+A5222*0.25</f>
        <v>0.75</v>
      </c>
      <c r="F5222" s="0" t="n">
        <f aca="false">-1+B5222*0.25</f>
        <v>-0.75</v>
      </c>
      <c r="G5222" s="0" t="n">
        <f aca="false">-1+C5222*0.25</f>
        <v>-0.25</v>
      </c>
      <c r="H5222" s="0" t="n">
        <f aca="false">-1+D5222*0.25</f>
        <v>0.5</v>
      </c>
      <c r="I5222" s="0" t="n">
        <f aca="false">1</f>
        <v>1</v>
      </c>
      <c r="J5222" s="0" t="n">
        <f aca="false">E5222</f>
        <v>0.75</v>
      </c>
      <c r="K5222" s="0" t="n">
        <f aca="false">F5222</f>
        <v>-0.75</v>
      </c>
      <c r="L5222" s="0" t="n">
        <f aca="false">G5222</f>
        <v>-0.25</v>
      </c>
      <c r="M5222" s="0" t="n">
        <f aca="false">H5222</f>
        <v>0.5</v>
      </c>
      <c r="N5222" s="0" t="n">
        <f aca="false">E5222*F5222</f>
        <v>-0.5625</v>
      </c>
      <c r="O5222" s="0" t="n">
        <f aca="false">E5222*G5222</f>
        <v>-0.1875</v>
      </c>
      <c r="P5222" s="0" t="n">
        <f aca="false">E5222*H5222</f>
        <v>0.375</v>
      </c>
      <c r="Q5222" s="0" t="n">
        <f aca="false">F5222*G5222</f>
        <v>0.1875</v>
      </c>
      <c r="R5222" s="0" t="n">
        <f aca="false">F5222*H5222</f>
        <v>-0.375</v>
      </c>
      <c r="S5222" s="0" t="n">
        <f aca="false">G5222*H5222</f>
        <v>-0.125</v>
      </c>
      <c r="T5222" s="0" t="n">
        <f aca="false">E5222*E5222</f>
        <v>0.5625</v>
      </c>
      <c r="U5222" s="0" t="n">
        <f aca="false">F5222*F5222</f>
        <v>0.5625</v>
      </c>
      <c r="V5222" s="0" t="n">
        <f aca="false">G5222*G5222</f>
        <v>0.0625</v>
      </c>
      <c r="W5222" s="0" t="n">
        <f aca="false">H5222*H5222</f>
        <v>0.25</v>
      </c>
      <c r="X5222" s="0" t="n">
        <f aca="false">SUMPRODUCT(I5222:W5222,_XtX!$B$96:$P$96)</f>
        <v>44.3929230628655</v>
      </c>
      <c r="Y5222" s="0" t="n">
        <f aca="false">SUMPRODUCT(MMULT(I5222:W5222,_XtX!$B$78:$P$92),I5222:W5222)</f>
        <v>0.257385610836988</v>
      </c>
      <c r="Z5222" s="0" t="n">
        <f aca="false">04_回帰ANOVA!$K$19*04_回帰ANOVA!$K$14*SQRT(1+Y5222)</f>
        <v>1.46161380324158</v>
      </c>
      <c r="AA5222" s="0" t="n">
        <f aca="false">X5222-Z5222</f>
        <v>42.9313092596239</v>
      </c>
      <c r="AB5222" s="0" t="n">
        <f aca="false">X5222+Z5222</f>
        <v>45.8545368661071</v>
      </c>
      <c r="AC5222" s="54" t="b">
        <f aca="false">AND(E5222&gt;=01_因子設定!$L$5-0.000000001,E5222&lt;=01_因子設定!$M$5+0.000000001,F5222&gt;=01_因子設定!$L$6-0.000000001,F5222&lt;=01_因子設定!$M$6+0.000000001,G5222&gt;=01_因子設定!$L$7-0.000000001,G5222&lt;=01_因子設定!$M$7+0.000000001,H5222&gt;=01_因子設定!$L$8-0.000000001,H5222&lt;=01_因子設定!$M$8+0.000000001,IF(01_因子設定!$B$20="Box-Behnken",E5222^2+F5222^2+G5222^2+H5222^2&lt;=2+0.000000001,TRUE()))</f>
        <v>1</v>
      </c>
      <c r="AD5222" s="55" t="n">
        <f aca="false">IF(AC5222,IF(01_因子設定!$B$13="最大化",AA5222-01_因子設定!$B$14,IF(01_因子設定!$B$13="最小化",01_因子設定!$B$15-AB5222,MIN(AA5222-01_因子設定!$B$14,01_因子設定!$B$15-AB5222))),-1E+030)</f>
        <v>-3.56869074037609</v>
      </c>
      <c r="AE5222" s="55" t="n">
        <f aca="false">IF(AC5222,IF(01_因子設定!$B$13="最大化",X5222,IF(01_因子設定!$B$13="最小化",-X5222,-ABS(X5222-01_因子設定!$B$16))),-1E+030)</f>
        <v>44.3929230628655</v>
      </c>
      <c r="AF5222" s="55" t="n">
        <f aca="false">AD5222+ROW()*0.000000001</f>
        <v>-3.56868551837609</v>
      </c>
      <c r="AG5222" s="55" t="n">
        <f aca="false">AE5222+ROW()*0.000000001</f>
        <v>44.3929282848655</v>
      </c>
    </row>
    <row r="5223" customFormat="false" ht="15" hidden="false" customHeight="false" outlineLevel="0" collapsed="false">
      <c r="A5223" s="0" t="n">
        <v>7</v>
      </c>
      <c r="B5223" s="0" t="n">
        <v>1</v>
      </c>
      <c r="C5223" s="0" t="n">
        <v>3</v>
      </c>
      <c r="D5223" s="0" t="n">
        <v>7</v>
      </c>
      <c r="E5223" s="0" t="n">
        <f aca="false">-1+A5223*0.25</f>
        <v>0.75</v>
      </c>
      <c r="F5223" s="0" t="n">
        <f aca="false">-1+B5223*0.25</f>
        <v>-0.75</v>
      </c>
      <c r="G5223" s="0" t="n">
        <f aca="false">-1+C5223*0.25</f>
        <v>-0.25</v>
      </c>
      <c r="H5223" s="0" t="n">
        <f aca="false">-1+D5223*0.25</f>
        <v>0.75</v>
      </c>
      <c r="I5223" s="0" t="n">
        <f aca="false">1</f>
        <v>1</v>
      </c>
      <c r="J5223" s="0" t="n">
        <f aca="false">E5223</f>
        <v>0.75</v>
      </c>
      <c r="K5223" s="0" t="n">
        <f aca="false">F5223</f>
        <v>-0.75</v>
      </c>
      <c r="L5223" s="0" t="n">
        <f aca="false">G5223</f>
        <v>-0.25</v>
      </c>
      <c r="M5223" s="0" t="n">
        <f aca="false">H5223</f>
        <v>0.75</v>
      </c>
      <c r="N5223" s="0" t="n">
        <f aca="false">E5223*F5223</f>
        <v>-0.5625</v>
      </c>
      <c r="O5223" s="0" t="n">
        <f aca="false">E5223*G5223</f>
        <v>-0.1875</v>
      </c>
      <c r="P5223" s="0" t="n">
        <f aca="false">E5223*H5223</f>
        <v>0.5625</v>
      </c>
      <c r="Q5223" s="0" t="n">
        <f aca="false">F5223*G5223</f>
        <v>0.1875</v>
      </c>
      <c r="R5223" s="0" t="n">
        <f aca="false">F5223*H5223</f>
        <v>-0.5625</v>
      </c>
      <c r="S5223" s="0" t="n">
        <f aca="false">G5223*H5223</f>
        <v>-0.1875</v>
      </c>
      <c r="T5223" s="0" t="n">
        <f aca="false">E5223*E5223</f>
        <v>0.5625</v>
      </c>
      <c r="U5223" s="0" t="n">
        <f aca="false">F5223*F5223</f>
        <v>0.5625</v>
      </c>
      <c r="V5223" s="0" t="n">
        <f aca="false">G5223*G5223</f>
        <v>0.0625</v>
      </c>
      <c r="W5223" s="0" t="n">
        <f aca="false">H5223*H5223</f>
        <v>0.5625</v>
      </c>
      <c r="X5223" s="0" t="n">
        <f aca="false">SUMPRODUCT(I5223:W5223,_XtX!$B$96:$P$96)</f>
        <v>44.4201069078947</v>
      </c>
      <c r="Y5223" s="0" t="n">
        <f aca="false">SUMPRODUCT(MMULT(I5223:W5223,_XtX!$B$78:$P$92),I5223:W5223)</f>
        <v>0.294856199744152</v>
      </c>
      <c r="Z5223" s="0" t="n">
        <f aca="false">04_回帰ANOVA!$K$19*04_回帰ANOVA!$K$14*SQRT(1+Y5223)</f>
        <v>1.48323226089013</v>
      </c>
      <c r="AA5223" s="0" t="n">
        <f aca="false">X5223-Z5223</f>
        <v>42.9368746470046</v>
      </c>
      <c r="AB5223" s="0" t="n">
        <f aca="false">X5223+Z5223</f>
        <v>45.9033391687849</v>
      </c>
      <c r="AC5223" s="54" t="b">
        <f aca="false">AND(E5223&gt;=01_因子設定!$L$5-0.000000001,E5223&lt;=01_因子設定!$M$5+0.000000001,F5223&gt;=01_因子設定!$L$6-0.000000001,F5223&lt;=01_因子設定!$M$6+0.000000001,G5223&gt;=01_因子設定!$L$7-0.000000001,G5223&lt;=01_因子設定!$M$7+0.000000001,H5223&gt;=01_因子設定!$L$8-0.000000001,H5223&lt;=01_因子設定!$M$8+0.000000001,IF(01_因子設定!$B$20="Box-Behnken",E5223^2+F5223^2+G5223^2+H5223^2&lt;=2+0.000000001,TRUE()))</f>
        <v>1</v>
      </c>
      <c r="AD5223" s="55" t="n">
        <f aca="false">IF(AC5223,IF(01_因子設定!$B$13="最大化",AA5223-01_因子設定!$B$14,IF(01_因子設定!$B$13="最小化",01_因子設定!$B$15-AB5223,MIN(AA5223-01_因子設定!$B$14,01_因子設定!$B$15-AB5223))),-1E+030)</f>
        <v>-3.56312535299539</v>
      </c>
      <c r="AE5223" s="55" t="n">
        <f aca="false">IF(AC5223,IF(01_因子設定!$B$13="最大化",X5223,IF(01_因子設定!$B$13="最小化",-X5223,-ABS(X5223-01_因子設定!$B$16))),-1E+030)</f>
        <v>44.4201069078947</v>
      </c>
      <c r="AF5223" s="55" t="n">
        <f aca="false">AD5223+ROW()*0.000000001</f>
        <v>-3.56312012999539</v>
      </c>
      <c r="AG5223" s="55" t="n">
        <f aca="false">AE5223+ROW()*0.000000001</f>
        <v>44.4201121308947</v>
      </c>
    </row>
    <row r="5224" customFormat="false" ht="15" hidden="false" customHeight="false" outlineLevel="0" collapsed="false">
      <c r="A5224" s="0" t="n">
        <v>7</v>
      </c>
      <c r="B5224" s="0" t="n">
        <v>1</v>
      </c>
      <c r="C5224" s="0" t="n">
        <v>3</v>
      </c>
      <c r="D5224" s="0" t="n">
        <v>8</v>
      </c>
      <c r="E5224" s="0" t="n">
        <f aca="false">-1+A5224*0.25</f>
        <v>0.75</v>
      </c>
      <c r="F5224" s="0" t="n">
        <f aca="false">-1+B5224*0.25</f>
        <v>-0.75</v>
      </c>
      <c r="G5224" s="0" t="n">
        <f aca="false">-1+C5224*0.25</f>
        <v>-0.25</v>
      </c>
      <c r="H5224" s="0" t="n">
        <f aca="false">-1+D5224*0.25</f>
        <v>1</v>
      </c>
      <c r="I5224" s="0" t="n">
        <f aca="false">1</f>
        <v>1</v>
      </c>
      <c r="J5224" s="0" t="n">
        <f aca="false">E5224</f>
        <v>0.75</v>
      </c>
      <c r="K5224" s="0" t="n">
        <f aca="false">F5224</f>
        <v>-0.75</v>
      </c>
      <c r="L5224" s="0" t="n">
        <f aca="false">G5224</f>
        <v>-0.25</v>
      </c>
      <c r="M5224" s="0" t="n">
        <f aca="false">H5224</f>
        <v>1</v>
      </c>
      <c r="N5224" s="0" t="n">
        <f aca="false">E5224*F5224</f>
        <v>-0.5625</v>
      </c>
      <c r="O5224" s="0" t="n">
        <f aca="false">E5224*G5224</f>
        <v>-0.1875</v>
      </c>
      <c r="P5224" s="0" t="n">
        <f aca="false">E5224*H5224</f>
        <v>0.75</v>
      </c>
      <c r="Q5224" s="0" t="n">
        <f aca="false">F5224*G5224</f>
        <v>0.1875</v>
      </c>
      <c r="R5224" s="0" t="n">
        <f aca="false">F5224*H5224</f>
        <v>-0.75</v>
      </c>
      <c r="S5224" s="0" t="n">
        <f aca="false">G5224*H5224</f>
        <v>-0.25</v>
      </c>
      <c r="T5224" s="0" t="n">
        <f aca="false">E5224*E5224</f>
        <v>0.5625</v>
      </c>
      <c r="U5224" s="0" t="n">
        <f aca="false">F5224*F5224</f>
        <v>0.5625</v>
      </c>
      <c r="V5224" s="0" t="n">
        <f aca="false">G5224*G5224</f>
        <v>0.0625</v>
      </c>
      <c r="W5224" s="0" t="n">
        <f aca="false">H5224*H5224</f>
        <v>1</v>
      </c>
      <c r="X5224" s="0" t="n">
        <f aca="false">SUMPRODUCT(I5224:W5224,_XtX!$B$96:$P$96)</f>
        <v>44.3994837353801</v>
      </c>
      <c r="Y5224" s="0" t="n">
        <f aca="false">SUMPRODUCT(MMULT(I5224:W5224,_XtX!$B$78:$P$92),I5224:W5224)</f>
        <v>0.473959761056287</v>
      </c>
      <c r="Z5224" s="0" t="n">
        <f aca="false">04_回帰ANOVA!$K$19*04_回帰ANOVA!$K$14*SQRT(1+Y5224)</f>
        <v>1.58249084588329</v>
      </c>
      <c r="AA5224" s="0" t="n">
        <f aca="false">X5224-Z5224</f>
        <v>42.8169928894969</v>
      </c>
      <c r="AB5224" s="0" t="n">
        <f aca="false">X5224+Z5224</f>
        <v>45.9819745812634</v>
      </c>
      <c r="AC5224" s="54" t="b">
        <f aca="false">AND(E5224&gt;=01_因子設定!$L$5-0.000000001,E5224&lt;=01_因子設定!$M$5+0.000000001,F5224&gt;=01_因子設定!$L$6-0.000000001,F5224&lt;=01_因子設定!$M$6+0.000000001,G5224&gt;=01_因子設定!$L$7-0.000000001,G5224&lt;=01_因子設定!$M$7+0.000000001,H5224&gt;=01_因子設定!$L$8-0.000000001,H5224&lt;=01_因子設定!$M$8+0.000000001,IF(01_因子設定!$B$20="Box-Behnken",E5224^2+F5224^2+G5224^2+H5224^2&lt;=2+0.000000001,TRUE()))</f>
        <v>1</v>
      </c>
      <c r="AD5224" s="55" t="n">
        <f aca="false">IF(AC5224,IF(01_因子設定!$B$13="最大化",AA5224-01_因子設定!$B$14,IF(01_因子設定!$B$13="最小化",01_因子設定!$B$15-AB5224,MIN(AA5224-01_因子設定!$B$14,01_因子設定!$B$15-AB5224))),-1E+030)</f>
        <v>-3.68300711050315</v>
      </c>
      <c r="AE5224" s="55" t="n">
        <f aca="false">IF(AC5224,IF(01_因子設定!$B$13="最大化",X5224,IF(01_因子設定!$B$13="最小化",-X5224,-ABS(X5224-01_因子設定!$B$16))),-1E+030)</f>
        <v>44.3994837353801</v>
      </c>
      <c r="AF5224" s="55" t="n">
        <f aca="false">AD5224+ROW()*0.000000001</f>
        <v>-3.68300188650315</v>
      </c>
      <c r="AG5224" s="55" t="n">
        <f aca="false">AE5224+ROW()*0.000000001</f>
        <v>44.3994889593801</v>
      </c>
    </row>
    <row r="5225" customFormat="false" ht="15" hidden="false" customHeight="false" outlineLevel="0" collapsed="false">
      <c r="A5225" s="0" t="n">
        <v>7</v>
      </c>
      <c r="B5225" s="0" t="n">
        <v>1</v>
      </c>
      <c r="C5225" s="0" t="n">
        <v>4</v>
      </c>
      <c r="D5225" s="0" t="n">
        <v>0</v>
      </c>
      <c r="E5225" s="0" t="n">
        <f aca="false">-1+A5225*0.25</f>
        <v>0.75</v>
      </c>
      <c r="F5225" s="0" t="n">
        <f aca="false">-1+B5225*0.25</f>
        <v>-0.75</v>
      </c>
      <c r="G5225" s="0" t="n">
        <f aca="false">-1+C5225*0.25</f>
        <v>0</v>
      </c>
      <c r="H5225" s="0" t="n">
        <f aca="false">-1+D5225*0.25</f>
        <v>-1</v>
      </c>
      <c r="I5225" s="0" t="n">
        <f aca="false">1</f>
        <v>1</v>
      </c>
      <c r="J5225" s="0" t="n">
        <f aca="false">E5225</f>
        <v>0.75</v>
      </c>
      <c r="K5225" s="0" t="n">
        <f aca="false">F5225</f>
        <v>-0.75</v>
      </c>
      <c r="L5225" s="0" t="n">
        <f aca="false">G5225</f>
        <v>0</v>
      </c>
      <c r="M5225" s="0" t="n">
        <f aca="false">H5225</f>
        <v>-1</v>
      </c>
      <c r="N5225" s="0" t="n">
        <f aca="false">E5225*F5225</f>
        <v>-0.5625</v>
      </c>
      <c r="O5225" s="0" t="n">
        <f aca="false">E5225*G5225</f>
        <v>0</v>
      </c>
      <c r="P5225" s="0" t="n">
        <f aca="false">E5225*H5225</f>
        <v>-0.75</v>
      </c>
      <c r="Q5225" s="0" t="n">
        <f aca="false">F5225*G5225</f>
        <v>-0</v>
      </c>
      <c r="R5225" s="0" t="n">
        <f aca="false">F5225*H5225</f>
        <v>0.75</v>
      </c>
      <c r="S5225" s="0" t="n">
        <f aca="false">G5225*H5225</f>
        <v>-0</v>
      </c>
      <c r="T5225" s="0" t="n">
        <f aca="false">E5225*E5225</f>
        <v>0.5625</v>
      </c>
      <c r="U5225" s="0" t="n">
        <f aca="false">F5225*F5225</f>
        <v>0.5625</v>
      </c>
      <c r="V5225" s="0" t="n">
        <f aca="false">G5225*G5225</f>
        <v>0</v>
      </c>
      <c r="W5225" s="0" t="n">
        <f aca="false">H5225*H5225</f>
        <v>1</v>
      </c>
      <c r="X5225" s="0" t="n">
        <f aca="false">SUMPRODUCT(I5225:W5225,_XtX!$B$96:$P$96)</f>
        <v>43.2620157163743</v>
      </c>
      <c r="Y5225" s="0" t="n">
        <f aca="false">SUMPRODUCT(MMULT(I5225:W5225,_XtX!$B$78:$P$92),I5225:W5225)</f>
        <v>0.494259126005117</v>
      </c>
      <c r="Z5225" s="0" t="n">
        <f aca="false">04_回帰ANOVA!$K$19*04_回帰ANOVA!$K$14*SQRT(1+Y5225)</f>
        <v>1.59335061078203</v>
      </c>
      <c r="AA5225" s="0" t="n">
        <f aca="false">X5225-Z5225</f>
        <v>41.6686651055923</v>
      </c>
      <c r="AB5225" s="0" t="n">
        <f aca="false">X5225+Z5225</f>
        <v>44.8553663271563</v>
      </c>
      <c r="AC5225" s="54" t="b">
        <f aca="false">AND(E5225&gt;=01_因子設定!$L$5-0.000000001,E5225&lt;=01_因子設定!$M$5+0.000000001,F5225&gt;=01_因子設定!$L$6-0.000000001,F5225&lt;=01_因子設定!$M$6+0.000000001,G5225&gt;=01_因子設定!$L$7-0.000000001,G5225&lt;=01_因子設定!$M$7+0.000000001,H5225&gt;=01_因子設定!$L$8-0.000000001,H5225&lt;=01_因子設定!$M$8+0.000000001,IF(01_因子設定!$B$20="Box-Behnken",E5225^2+F5225^2+G5225^2+H5225^2&lt;=2+0.000000001,TRUE()))</f>
        <v>1</v>
      </c>
      <c r="AD5225" s="55" t="n">
        <f aca="false">IF(AC5225,IF(01_因子設定!$B$13="最大化",AA5225-01_因子設定!$B$14,IF(01_因子設定!$B$13="最小化",01_因子設定!$B$15-AB5225,MIN(AA5225-01_因子設定!$B$14,01_因子設定!$B$15-AB5225))),-1E+030)</f>
        <v>-4.83133489440773</v>
      </c>
      <c r="AE5225" s="55" t="n">
        <f aca="false">IF(AC5225,IF(01_因子設定!$B$13="最大化",X5225,IF(01_因子設定!$B$13="最小化",-X5225,-ABS(X5225-01_因子設定!$B$16))),-1E+030)</f>
        <v>43.2620157163743</v>
      </c>
      <c r="AF5225" s="55" t="n">
        <f aca="false">AD5225+ROW()*0.000000001</f>
        <v>-4.83132966940773</v>
      </c>
      <c r="AG5225" s="55" t="n">
        <f aca="false">AE5225+ROW()*0.000000001</f>
        <v>43.2620209413743</v>
      </c>
    </row>
    <row r="5226" customFormat="false" ht="15" hidden="false" customHeight="false" outlineLevel="0" collapsed="false">
      <c r="A5226" s="0" t="n">
        <v>7</v>
      </c>
      <c r="B5226" s="0" t="n">
        <v>1</v>
      </c>
      <c r="C5226" s="0" t="n">
        <v>4</v>
      </c>
      <c r="D5226" s="0" t="n">
        <v>1</v>
      </c>
      <c r="E5226" s="0" t="n">
        <f aca="false">-1+A5226*0.25</f>
        <v>0.75</v>
      </c>
      <c r="F5226" s="0" t="n">
        <f aca="false">-1+B5226*0.25</f>
        <v>-0.75</v>
      </c>
      <c r="G5226" s="0" t="n">
        <f aca="false">-1+C5226*0.25</f>
        <v>0</v>
      </c>
      <c r="H5226" s="0" t="n">
        <f aca="false">-1+D5226*0.25</f>
        <v>-0.75</v>
      </c>
      <c r="I5226" s="0" t="n">
        <f aca="false">1</f>
        <v>1</v>
      </c>
      <c r="J5226" s="0" t="n">
        <f aca="false">E5226</f>
        <v>0.75</v>
      </c>
      <c r="K5226" s="0" t="n">
        <f aca="false">F5226</f>
        <v>-0.75</v>
      </c>
      <c r="L5226" s="0" t="n">
        <f aca="false">G5226</f>
        <v>0</v>
      </c>
      <c r="M5226" s="0" t="n">
        <f aca="false">H5226</f>
        <v>-0.75</v>
      </c>
      <c r="N5226" s="0" t="n">
        <f aca="false">E5226*F5226</f>
        <v>-0.5625</v>
      </c>
      <c r="O5226" s="0" t="n">
        <f aca="false">E5226*G5226</f>
        <v>0</v>
      </c>
      <c r="P5226" s="0" t="n">
        <f aca="false">E5226*H5226</f>
        <v>-0.5625</v>
      </c>
      <c r="Q5226" s="0" t="n">
        <f aca="false">F5226*G5226</f>
        <v>-0</v>
      </c>
      <c r="R5226" s="0" t="n">
        <f aca="false">F5226*H5226</f>
        <v>0.5625</v>
      </c>
      <c r="S5226" s="0" t="n">
        <f aca="false">G5226*H5226</f>
        <v>-0</v>
      </c>
      <c r="T5226" s="0" t="n">
        <f aca="false">E5226*E5226</f>
        <v>0.5625</v>
      </c>
      <c r="U5226" s="0" t="n">
        <f aca="false">F5226*F5226</f>
        <v>0.5625</v>
      </c>
      <c r="V5226" s="0" t="n">
        <f aca="false">G5226*G5226</f>
        <v>0</v>
      </c>
      <c r="W5226" s="0" t="n">
        <f aca="false">H5226*H5226</f>
        <v>0.5625</v>
      </c>
      <c r="X5226" s="0" t="n">
        <f aca="false">SUMPRODUCT(I5226:W5226,_XtX!$B$96:$P$96)</f>
        <v>43.5940104166667</v>
      </c>
      <c r="Y5226" s="0" t="n">
        <f aca="false">SUMPRODUCT(MMULT(I5226:W5226,_XtX!$B$78:$P$92),I5226:W5226)</f>
        <v>0.310628255208333</v>
      </c>
      <c r="Z5226" s="0" t="n">
        <f aca="false">04_回帰ANOVA!$K$19*04_回帰ANOVA!$K$14*SQRT(1+Y5226)</f>
        <v>1.49223820892344</v>
      </c>
      <c r="AA5226" s="0" t="n">
        <f aca="false">X5226-Z5226</f>
        <v>42.1017722077432</v>
      </c>
      <c r="AB5226" s="0" t="n">
        <f aca="false">X5226+Z5226</f>
        <v>45.0862486255901</v>
      </c>
      <c r="AC5226" s="54" t="b">
        <f aca="false">AND(E5226&gt;=01_因子設定!$L$5-0.000000001,E5226&lt;=01_因子設定!$M$5+0.000000001,F5226&gt;=01_因子設定!$L$6-0.000000001,F5226&lt;=01_因子設定!$M$6+0.000000001,G5226&gt;=01_因子設定!$L$7-0.000000001,G5226&lt;=01_因子設定!$M$7+0.000000001,H5226&gt;=01_因子設定!$L$8-0.000000001,H5226&lt;=01_因子設定!$M$8+0.000000001,IF(01_因子設定!$B$20="Box-Behnken",E5226^2+F5226^2+G5226^2+H5226^2&lt;=2+0.000000001,TRUE()))</f>
        <v>1</v>
      </c>
      <c r="AD5226" s="55" t="n">
        <f aca="false">IF(AC5226,IF(01_因子設定!$B$13="最大化",AA5226-01_因子設定!$B$14,IF(01_因子設定!$B$13="最小化",01_因子設定!$B$15-AB5226,MIN(AA5226-01_因子設定!$B$14,01_因子設定!$B$15-AB5226))),-1E+030)</f>
        <v>-4.39822779225677</v>
      </c>
      <c r="AE5226" s="55" t="n">
        <f aca="false">IF(AC5226,IF(01_因子設定!$B$13="最大化",X5226,IF(01_因子設定!$B$13="最小化",-X5226,-ABS(X5226-01_因子設定!$B$16))),-1E+030)</f>
        <v>43.5940104166667</v>
      </c>
      <c r="AF5226" s="55" t="n">
        <f aca="false">AD5226+ROW()*0.000000001</f>
        <v>-4.39822256625677</v>
      </c>
      <c r="AG5226" s="55" t="n">
        <f aca="false">AE5226+ROW()*0.000000001</f>
        <v>43.5940156426667</v>
      </c>
    </row>
    <row r="5227" customFormat="false" ht="15" hidden="false" customHeight="false" outlineLevel="0" collapsed="false">
      <c r="A5227" s="0" t="n">
        <v>7</v>
      </c>
      <c r="B5227" s="0" t="n">
        <v>1</v>
      </c>
      <c r="C5227" s="0" t="n">
        <v>4</v>
      </c>
      <c r="D5227" s="0" t="n">
        <v>2</v>
      </c>
      <c r="E5227" s="0" t="n">
        <f aca="false">-1+A5227*0.25</f>
        <v>0.75</v>
      </c>
      <c r="F5227" s="0" t="n">
        <f aca="false">-1+B5227*0.25</f>
        <v>-0.75</v>
      </c>
      <c r="G5227" s="0" t="n">
        <f aca="false">-1+C5227*0.25</f>
        <v>0</v>
      </c>
      <c r="H5227" s="0" t="n">
        <f aca="false">-1+D5227*0.25</f>
        <v>-0.5</v>
      </c>
      <c r="I5227" s="0" t="n">
        <f aca="false">1</f>
        <v>1</v>
      </c>
      <c r="J5227" s="0" t="n">
        <f aca="false">E5227</f>
        <v>0.75</v>
      </c>
      <c r="K5227" s="0" t="n">
        <f aca="false">F5227</f>
        <v>-0.75</v>
      </c>
      <c r="L5227" s="0" t="n">
        <f aca="false">G5227</f>
        <v>0</v>
      </c>
      <c r="M5227" s="0" t="n">
        <f aca="false">H5227</f>
        <v>-0.5</v>
      </c>
      <c r="N5227" s="0" t="n">
        <f aca="false">E5227*F5227</f>
        <v>-0.5625</v>
      </c>
      <c r="O5227" s="0" t="n">
        <f aca="false">E5227*G5227</f>
        <v>0</v>
      </c>
      <c r="P5227" s="0" t="n">
        <f aca="false">E5227*H5227</f>
        <v>-0.375</v>
      </c>
      <c r="Q5227" s="0" t="n">
        <f aca="false">F5227*G5227</f>
        <v>-0</v>
      </c>
      <c r="R5227" s="0" t="n">
        <f aca="false">F5227*H5227</f>
        <v>0.375</v>
      </c>
      <c r="S5227" s="0" t="n">
        <f aca="false">G5227*H5227</f>
        <v>-0</v>
      </c>
      <c r="T5227" s="0" t="n">
        <f aca="false">E5227*E5227</f>
        <v>0.5625</v>
      </c>
      <c r="U5227" s="0" t="n">
        <f aca="false">F5227*F5227</f>
        <v>0.5625</v>
      </c>
      <c r="V5227" s="0" t="n">
        <f aca="false">G5227*G5227</f>
        <v>0</v>
      </c>
      <c r="W5227" s="0" t="n">
        <f aca="false">H5227*H5227</f>
        <v>0.25</v>
      </c>
      <c r="X5227" s="0" t="n">
        <f aca="false">SUMPRODUCT(I5227:W5227,_XtX!$B$96:$P$96)</f>
        <v>43.8781980994152</v>
      </c>
      <c r="Y5227" s="0" t="n">
        <f aca="false">SUMPRODUCT(MMULT(I5227:W5227,_XtX!$B$78:$P$92),I5227:W5227)</f>
        <v>0.269923873812135</v>
      </c>
      <c r="Z5227" s="0" t="n">
        <f aca="false">04_回帰ANOVA!$K$19*04_回帰ANOVA!$K$14*SQRT(1+Y5227)</f>
        <v>1.46888310825501</v>
      </c>
      <c r="AA5227" s="0" t="n">
        <f aca="false">X5227-Z5227</f>
        <v>42.4093149911602</v>
      </c>
      <c r="AB5227" s="0" t="n">
        <f aca="false">X5227+Z5227</f>
        <v>45.3470812076702</v>
      </c>
      <c r="AC5227" s="54" t="b">
        <f aca="false">AND(E5227&gt;=01_因子設定!$L$5-0.000000001,E5227&lt;=01_因子設定!$M$5+0.000000001,F5227&gt;=01_因子設定!$L$6-0.000000001,F5227&lt;=01_因子設定!$M$6+0.000000001,G5227&gt;=01_因子設定!$L$7-0.000000001,G5227&lt;=01_因子設定!$M$7+0.000000001,H5227&gt;=01_因子設定!$L$8-0.000000001,H5227&lt;=01_因子設定!$M$8+0.000000001,IF(01_因子設定!$B$20="Box-Behnken",E5227^2+F5227^2+G5227^2+H5227^2&lt;=2+0.000000001,TRUE()))</f>
        <v>1</v>
      </c>
      <c r="AD5227" s="55" t="n">
        <f aca="false">IF(AC5227,IF(01_因子設定!$B$13="最大化",AA5227-01_因子設定!$B$14,IF(01_因子設定!$B$13="最小化",01_因子設定!$B$15-AB5227,MIN(AA5227-01_因子設定!$B$14,01_因子設定!$B$15-AB5227))),-1E+030)</f>
        <v>-4.09068500883981</v>
      </c>
      <c r="AE5227" s="55" t="n">
        <f aca="false">IF(AC5227,IF(01_因子設定!$B$13="最大化",X5227,IF(01_因子設定!$B$13="最小化",-X5227,-ABS(X5227-01_因子設定!$B$16))),-1E+030)</f>
        <v>43.8781980994152</v>
      </c>
      <c r="AF5227" s="55" t="n">
        <f aca="false">AD5227+ROW()*0.000000001</f>
        <v>-4.09067978183981</v>
      </c>
      <c r="AG5227" s="55" t="n">
        <f aca="false">AE5227+ROW()*0.000000001</f>
        <v>43.8782033264152</v>
      </c>
    </row>
    <row r="5228" customFormat="false" ht="15" hidden="false" customHeight="false" outlineLevel="0" collapsed="false">
      <c r="A5228" s="0" t="n">
        <v>7</v>
      </c>
      <c r="B5228" s="0" t="n">
        <v>1</v>
      </c>
      <c r="C5228" s="0" t="n">
        <v>4</v>
      </c>
      <c r="D5228" s="0" t="n">
        <v>3</v>
      </c>
      <c r="E5228" s="0" t="n">
        <f aca="false">-1+A5228*0.25</f>
        <v>0.75</v>
      </c>
      <c r="F5228" s="0" t="n">
        <f aca="false">-1+B5228*0.25</f>
        <v>-0.75</v>
      </c>
      <c r="G5228" s="0" t="n">
        <f aca="false">-1+C5228*0.25</f>
        <v>0</v>
      </c>
      <c r="H5228" s="0" t="n">
        <f aca="false">-1+D5228*0.25</f>
        <v>-0.25</v>
      </c>
      <c r="I5228" s="0" t="n">
        <f aca="false">1</f>
        <v>1</v>
      </c>
      <c r="J5228" s="0" t="n">
        <f aca="false">E5228</f>
        <v>0.75</v>
      </c>
      <c r="K5228" s="0" t="n">
        <f aca="false">F5228</f>
        <v>-0.75</v>
      </c>
      <c r="L5228" s="0" t="n">
        <f aca="false">G5228</f>
        <v>0</v>
      </c>
      <c r="M5228" s="0" t="n">
        <f aca="false">H5228</f>
        <v>-0.25</v>
      </c>
      <c r="N5228" s="0" t="n">
        <f aca="false">E5228*F5228</f>
        <v>-0.5625</v>
      </c>
      <c r="O5228" s="0" t="n">
        <f aca="false">E5228*G5228</f>
        <v>0</v>
      </c>
      <c r="P5228" s="0" t="n">
        <f aca="false">E5228*H5228</f>
        <v>-0.1875</v>
      </c>
      <c r="Q5228" s="0" t="n">
        <f aca="false">F5228*G5228</f>
        <v>-0</v>
      </c>
      <c r="R5228" s="0" t="n">
        <f aca="false">F5228*H5228</f>
        <v>0.1875</v>
      </c>
      <c r="S5228" s="0" t="n">
        <f aca="false">G5228*H5228</f>
        <v>-0</v>
      </c>
      <c r="T5228" s="0" t="n">
        <f aca="false">E5228*E5228</f>
        <v>0.5625</v>
      </c>
      <c r="U5228" s="0" t="n">
        <f aca="false">F5228*F5228</f>
        <v>0.5625</v>
      </c>
      <c r="V5228" s="0" t="n">
        <f aca="false">G5228*G5228</f>
        <v>0</v>
      </c>
      <c r="W5228" s="0" t="n">
        <f aca="false">H5228*H5228</f>
        <v>0.0625</v>
      </c>
      <c r="X5228" s="0" t="n">
        <f aca="false">SUMPRODUCT(I5228:W5228,_XtX!$B$96:$P$96)</f>
        <v>44.1145787646199</v>
      </c>
      <c r="Y5228" s="0" t="n">
        <f aca="false">SUMPRODUCT(MMULT(I5228:W5228,_XtX!$B$78:$P$92),I5228:W5228)</f>
        <v>0.281685455500731</v>
      </c>
      <c r="Z5228" s="0" t="n">
        <f aca="false">04_回帰ANOVA!$K$19*04_回帰ANOVA!$K$14*SQRT(1+Y5228)</f>
        <v>1.47566956658694</v>
      </c>
      <c r="AA5228" s="0" t="n">
        <f aca="false">X5228-Z5228</f>
        <v>42.6389091980329</v>
      </c>
      <c r="AB5228" s="0" t="n">
        <f aca="false">X5228+Z5228</f>
        <v>45.5902483312068</v>
      </c>
      <c r="AC5228" s="54" t="b">
        <f aca="false">AND(E5228&gt;=01_因子設定!$L$5-0.000000001,E5228&lt;=01_因子設定!$M$5+0.000000001,F5228&gt;=01_因子設定!$L$6-0.000000001,F5228&lt;=01_因子設定!$M$6+0.000000001,G5228&gt;=01_因子設定!$L$7-0.000000001,G5228&lt;=01_因子設定!$M$7+0.000000001,H5228&gt;=01_因子設定!$L$8-0.000000001,H5228&lt;=01_因子設定!$M$8+0.000000001,IF(01_因子設定!$B$20="Box-Behnken",E5228^2+F5228^2+G5228^2+H5228^2&lt;=2+0.000000001,TRUE()))</f>
        <v>1</v>
      </c>
      <c r="AD5228" s="55" t="n">
        <f aca="false">IF(AC5228,IF(01_因子設定!$B$13="最大化",AA5228-01_因子設定!$B$14,IF(01_因子設定!$B$13="最小化",01_因子設定!$B$15-AB5228,MIN(AA5228-01_因子設定!$B$14,01_因子設定!$B$15-AB5228))),-1E+030)</f>
        <v>-3.86109080196707</v>
      </c>
      <c r="AE5228" s="55" t="n">
        <f aca="false">IF(AC5228,IF(01_因子設定!$B$13="最大化",X5228,IF(01_因子設定!$B$13="最小化",-X5228,-ABS(X5228-01_因子設定!$B$16))),-1E+030)</f>
        <v>44.1145787646199</v>
      </c>
      <c r="AF5228" s="55" t="n">
        <f aca="false">AD5228+ROW()*0.000000001</f>
        <v>-3.86108557396707</v>
      </c>
      <c r="AG5228" s="55" t="n">
        <f aca="false">AE5228+ROW()*0.000000001</f>
        <v>44.1145839926199</v>
      </c>
    </row>
    <row r="5229" customFormat="false" ht="15" hidden="false" customHeight="false" outlineLevel="0" collapsed="false">
      <c r="A5229" s="0" t="n">
        <v>7</v>
      </c>
      <c r="B5229" s="0" t="n">
        <v>1</v>
      </c>
      <c r="C5229" s="0" t="n">
        <v>4</v>
      </c>
      <c r="D5229" s="0" t="n">
        <v>4</v>
      </c>
      <c r="E5229" s="0" t="n">
        <f aca="false">-1+A5229*0.25</f>
        <v>0.75</v>
      </c>
      <c r="F5229" s="0" t="n">
        <f aca="false">-1+B5229*0.25</f>
        <v>-0.75</v>
      </c>
      <c r="G5229" s="0" t="n">
        <f aca="false">-1+C5229*0.25</f>
        <v>0</v>
      </c>
      <c r="H5229" s="0" t="n">
        <f aca="false">-1+D5229*0.25</f>
        <v>0</v>
      </c>
      <c r="I5229" s="0" t="n">
        <f aca="false">1</f>
        <v>1</v>
      </c>
      <c r="J5229" s="0" t="n">
        <f aca="false">E5229</f>
        <v>0.75</v>
      </c>
      <c r="K5229" s="0" t="n">
        <f aca="false">F5229</f>
        <v>-0.75</v>
      </c>
      <c r="L5229" s="0" t="n">
        <f aca="false">G5229</f>
        <v>0</v>
      </c>
      <c r="M5229" s="0" t="n">
        <f aca="false">H5229</f>
        <v>0</v>
      </c>
      <c r="N5229" s="0" t="n">
        <f aca="false">E5229*F5229</f>
        <v>-0.5625</v>
      </c>
      <c r="O5229" s="0" t="n">
        <f aca="false">E5229*G5229</f>
        <v>0</v>
      </c>
      <c r="P5229" s="0" t="n">
        <f aca="false">E5229*H5229</f>
        <v>0</v>
      </c>
      <c r="Q5229" s="0" t="n">
        <f aca="false">F5229*G5229</f>
        <v>-0</v>
      </c>
      <c r="R5229" s="0" t="n">
        <f aca="false">F5229*H5229</f>
        <v>-0</v>
      </c>
      <c r="S5229" s="0" t="n">
        <f aca="false">G5229*H5229</f>
        <v>0</v>
      </c>
      <c r="T5229" s="0" t="n">
        <f aca="false">E5229*E5229</f>
        <v>0.5625</v>
      </c>
      <c r="U5229" s="0" t="n">
        <f aca="false">F5229*F5229</f>
        <v>0.5625</v>
      </c>
      <c r="V5229" s="0" t="n">
        <f aca="false">G5229*G5229</f>
        <v>0</v>
      </c>
      <c r="W5229" s="0" t="n">
        <f aca="false">H5229*H5229</f>
        <v>0</v>
      </c>
      <c r="X5229" s="0" t="n">
        <f aca="false">SUMPRODUCT(I5229:W5229,_XtX!$B$96:$P$96)</f>
        <v>44.3031524122807</v>
      </c>
      <c r="Y5229" s="0" t="n">
        <f aca="false">SUMPRODUCT(MMULT(I5229:W5229,_XtX!$B$78:$P$92),I5229:W5229)</f>
        <v>0.291636684484649</v>
      </c>
      <c r="Z5229" s="0" t="n">
        <f aca="false">04_回帰ANOVA!$K$19*04_回帰ANOVA!$K$14*SQRT(1+Y5229)</f>
        <v>1.48138716762813</v>
      </c>
      <c r="AA5229" s="0" t="n">
        <f aca="false">X5229-Z5229</f>
        <v>42.8217652446526</v>
      </c>
      <c r="AB5229" s="0" t="n">
        <f aca="false">X5229+Z5229</f>
        <v>45.7845395799088</v>
      </c>
      <c r="AC5229" s="54" t="b">
        <f aca="false">AND(E5229&gt;=01_因子設定!$L$5-0.000000001,E5229&lt;=01_因子設定!$M$5+0.000000001,F5229&gt;=01_因子設定!$L$6-0.000000001,F5229&lt;=01_因子設定!$M$6+0.000000001,G5229&gt;=01_因子設定!$L$7-0.000000001,G5229&lt;=01_因子設定!$M$7+0.000000001,H5229&gt;=01_因子設定!$L$8-0.000000001,H5229&lt;=01_因子設定!$M$8+0.000000001,IF(01_因子設定!$B$20="Box-Behnken",E5229^2+F5229^2+G5229^2+H5229^2&lt;=2+0.000000001,TRUE()))</f>
        <v>1</v>
      </c>
      <c r="AD5229" s="55" t="n">
        <f aca="false">IF(AC5229,IF(01_因子設定!$B$13="最大化",AA5229-01_因子設定!$B$14,IF(01_因子設定!$B$13="最小化",01_因子設定!$B$15-AB5229,MIN(AA5229-01_因子設定!$B$14,01_因子設定!$B$15-AB5229))),-1E+030)</f>
        <v>-3.67823475534744</v>
      </c>
      <c r="AE5229" s="55" t="n">
        <f aca="false">IF(AC5229,IF(01_因子設定!$B$13="最大化",X5229,IF(01_因子設定!$B$13="最小化",-X5229,-ABS(X5229-01_因子設定!$B$16))),-1E+030)</f>
        <v>44.3031524122807</v>
      </c>
      <c r="AF5229" s="55" t="n">
        <f aca="false">AD5229+ROW()*0.000000001</f>
        <v>-3.67822952634744</v>
      </c>
      <c r="AG5229" s="55" t="n">
        <f aca="false">AE5229+ROW()*0.000000001</f>
        <v>44.3031576412807</v>
      </c>
    </row>
    <row r="5230" customFormat="false" ht="15" hidden="false" customHeight="false" outlineLevel="0" collapsed="false">
      <c r="A5230" s="0" t="n">
        <v>7</v>
      </c>
      <c r="B5230" s="0" t="n">
        <v>1</v>
      </c>
      <c r="C5230" s="0" t="n">
        <v>4</v>
      </c>
      <c r="D5230" s="0" t="n">
        <v>5</v>
      </c>
      <c r="E5230" s="0" t="n">
        <f aca="false">-1+A5230*0.25</f>
        <v>0.75</v>
      </c>
      <c r="F5230" s="0" t="n">
        <f aca="false">-1+B5230*0.25</f>
        <v>-0.75</v>
      </c>
      <c r="G5230" s="0" t="n">
        <f aca="false">-1+C5230*0.25</f>
        <v>0</v>
      </c>
      <c r="H5230" s="0" t="n">
        <f aca="false">-1+D5230*0.25</f>
        <v>0.25</v>
      </c>
      <c r="I5230" s="0" t="n">
        <f aca="false">1</f>
        <v>1</v>
      </c>
      <c r="J5230" s="0" t="n">
        <f aca="false">E5230</f>
        <v>0.75</v>
      </c>
      <c r="K5230" s="0" t="n">
        <f aca="false">F5230</f>
        <v>-0.75</v>
      </c>
      <c r="L5230" s="0" t="n">
        <f aca="false">G5230</f>
        <v>0</v>
      </c>
      <c r="M5230" s="0" t="n">
        <f aca="false">H5230</f>
        <v>0.25</v>
      </c>
      <c r="N5230" s="0" t="n">
        <f aca="false">E5230*F5230</f>
        <v>-0.5625</v>
      </c>
      <c r="O5230" s="0" t="n">
        <f aca="false">E5230*G5230</f>
        <v>0</v>
      </c>
      <c r="P5230" s="0" t="n">
        <f aca="false">E5230*H5230</f>
        <v>0.1875</v>
      </c>
      <c r="Q5230" s="0" t="n">
        <f aca="false">F5230*G5230</f>
        <v>-0</v>
      </c>
      <c r="R5230" s="0" t="n">
        <f aca="false">F5230*H5230</f>
        <v>-0.1875</v>
      </c>
      <c r="S5230" s="0" t="n">
        <f aca="false">G5230*H5230</f>
        <v>0</v>
      </c>
      <c r="T5230" s="0" t="n">
        <f aca="false">E5230*E5230</f>
        <v>0.5625</v>
      </c>
      <c r="U5230" s="0" t="n">
        <f aca="false">F5230*F5230</f>
        <v>0.5625</v>
      </c>
      <c r="V5230" s="0" t="n">
        <f aca="false">G5230*G5230</f>
        <v>0</v>
      </c>
      <c r="W5230" s="0" t="n">
        <f aca="false">H5230*H5230</f>
        <v>0.0625</v>
      </c>
      <c r="X5230" s="0" t="n">
        <f aca="false">SUMPRODUCT(I5230:W5230,_XtX!$B$96:$P$96)</f>
        <v>44.4439190423976</v>
      </c>
      <c r="Y5230" s="0" t="n">
        <f aca="false">SUMPRODUCT(MMULT(I5230:W5230,_XtX!$B$78:$P$92),I5230:W5230)</f>
        <v>0.281685455500731</v>
      </c>
      <c r="Z5230" s="0" t="n">
        <f aca="false">04_回帰ANOVA!$K$19*04_回帰ANOVA!$K$14*SQRT(1+Y5230)</f>
        <v>1.47566956658694</v>
      </c>
      <c r="AA5230" s="0" t="n">
        <f aca="false">X5230-Z5230</f>
        <v>42.9682494758107</v>
      </c>
      <c r="AB5230" s="0" t="n">
        <f aca="false">X5230+Z5230</f>
        <v>45.9195886089846</v>
      </c>
      <c r="AC5230" s="54" t="b">
        <f aca="false">AND(E5230&gt;=01_因子設定!$L$5-0.000000001,E5230&lt;=01_因子設定!$M$5+0.000000001,F5230&gt;=01_因子設定!$L$6-0.000000001,F5230&lt;=01_因子設定!$M$6+0.000000001,G5230&gt;=01_因子設定!$L$7-0.000000001,G5230&lt;=01_因子設定!$M$7+0.000000001,H5230&gt;=01_因子設定!$L$8-0.000000001,H5230&lt;=01_因子設定!$M$8+0.000000001,IF(01_因子設定!$B$20="Box-Behnken",E5230^2+F5230^2+G5230^2+H5230^2&lt;=2+0.000000001,TRUE()))</f>
        <v>1</v>
      </c>
      <c r="AD5230" s="55" t="n">
        <f aca="false">IF(AC5230,IF(01_因子設定!$B$13="最大化",AA5230-01_因子設定!$B$14,IF(01_因子設定!$B$13="最小化",01_因子設定!$B$15-AB5230,MIN(AA5230-01_因子設定!$B$14,01_因子設定!$B$15-AB5230))),-1E+030)</f>
        <v>-3.53175052418929</v>
      </c>
      <c r="AE5230" s="55" t="n">
        <f aca="false">IF(AC5230,IF(01_因子設定!$B$13="最大化",X5230,IF(01_因子設定!$B$13="最小化",-X5230,-ABS(X5230-01_因子設定!$B$16))),-1E+030)</f>
        <v>44.4439190423976</v>
      </c>
      <c r="AF5230" s="55" t="n">
        <f aca="false">AD5230+ROW()*0.000000001</f>
        <v>-3.53174529418929</v>
      </c>
      <c r="AG5230" s="55" t="n">
        <f aca="false">AE5230+ROW()*0.000000001</f>
        <v>44.4439242723976</v>
      </c>
    </row>
    <row r="5231" customFormat="false" ht="15" hidden="false" customHeight="false" outlineLevel="0" collapsed="false">
      <c r="A5231" s="0" t="n">
        <v>7</v>
      </c>
      <c r="B5231" s="0" t="n">
        <v>1</v>
      </c>
      <c r="C5231" s="0" t="n">
        <v>4</v>
      </c>
      <c r="D5231" s="0" t="n">
        <v>6</v>
      </c>
      <c r="E5231" s="0" t="n">
        <f aca="false">-1+A5231*0.25</f>
        <v>0.75</v>
      </c>
      <c r="F5231" s="0" t="n">
        <f aca="false">-1+B5231*0.25</f>
        <v>-0.75</v>
      </c>
      <c r="G5231" s="0" t="n">
        <f aca="false">-1+C5231*0.25</f>
        <v>0</v>
      </c>
      <c r="H5231" s="0" t="n">
        <f aca="false">-1+D5231*0.25</f>
        <v>0.5</v>
      </c>
      <c r="I5231" s="0" t="n">
        <f aca="false">1</f>
        <v>1</v>
      </c>
      <c r="J5231" s="0" t="n">
        <f aca="false">E5231</f>
        <v>0.75</v>
      </c>
      <c r="K5231" s="0" t="n">
        <f aca="false">F5231</f>
        <v>-0.75</v>
      </c>
      <c r="L5231" s="0" t="n">
        <f aca="false">G5231</f>
        <v>0</v>
      </c>
      <c r="M5231" s="0" t="n">
        <f aca="false">H5231</f>
        <v>0.5</v>
      </c>
      <c r="N5231" s="0" t="n">
        <f aca="false">E5231*F5231</f>
        <v>-0.5625</v>
      </c>
      <c r="O5231" s="0" t="n">
        <f aca="false">E5231*G5231</f>
        <v>0</v>
      </c>
      <c r="P5231" s="0" t="n">
        <f aca="false">E5231*H5231</f>
        <v>0.375</v>
      </c>
      <c r="Q5231" s="0" t="n">
        <f aca="false">F5231*G5231</f>
        <v>-0</v>
      </c>
      <c r="R5231" s="0" t="n">
        <f aca="false">F5231*H5231</f>
        <v>-0.375</v>
      </c>
      <c r="S5231" s="0" t="n">
        <f aca="false">G5231*H5231</f>
        <v>0</v>
      </c>
      <c r="T5231" s="0" t="n">
        <f aca="false">E5231*E5231</f>
        <v>0.5625</v>
      </c>
      <c r="U5231" s="0" t="n">
        <f aca="false">F5231*F5231</f>
        <v>0.5625</v>
      </c>
      <c r="V5231" s="0" t="n">
        <f aca="false">G5231*G5231</f>
        <v>0</v>
      </c>
      <c r="W5231" s="0" t="n">
        <f aca="false">H5231*H5231</f>
        <v>0.25</v>
      </c>
      <c r="X5231" s="0" t="n">
        <f aca="false">SUMPRODUCT(I5231:W5231,_XtX!$B$96:$P$96)</f>
        <v>44.5368786549708</v>
      </c>
      <c r="Y5231" s="0" t="n">
        <f aca="false">SUMPRODUCT(MMULT(I5231:W5231,_XtX!$B$78:$P$92),I5231:W5231)</f>
        <v>0.269923873812135</v>
      </c>
      <c r="Z5231" s="0" t="n">
        <f aca="false">04_回帰ANOVA!$K$19*04_回帰ANOVA!$K$14*SQRT(1+Y5231)</f>
        <v>1.46888310825501</v>
      </c>
      <c r="AA5231" s="0" t="n">
        <f aca="false">X5231-Z5231</f>
        <v>43.0679955467157</v>
      </c>
      <c r="AB5231" s="0" t="n">
        <f aca="false">X5231+Z5231</f>
        <v>46.0057617632258</v>
      </c>
      <c r="AC5231" s="54" t="b">
        <f aca="false">AND(E5231&gt;=01_因子設定!$L$5-0.000000001,E5231&lt;=01_因子設定!$M$5+0.000000001,F5231&gt;=01_因子設定!$L$6-0.000000001,F5231&lt;=01_因子設定!$M$6+0.000000001,G5231&gt;=01_因子設定!$L$7-0.000000001,G5231&lt;=01_因子設定!$M$7+0.000000001,H5231&gt;=01_因子設定!$L$8-0.000000001,H5231&lt;=01_因子設定!$M$8+0.000000001,IF(01_因子設定!$B$20="Box-Behnken",E5231^2+F5231^2+G5231^2+H5231^2&lt;=2+0.000000001,TRUE()))</f>
        <v>1</v>
      </c>
      <c r="AD5231" s="55" t="n">
        <f aca="false">IF(AC5231,IF(01_因子設定!$B$13="最大化",AA5231-01_因子設定!$B$14,IF(01_因子設定!$B$13="最小化",01_因子設定!$B$15-AB5231,MIN(AA5231-01_因子設定!$B$14,01_因子設定!$B$15-AB5231))),-1E+030)</f>
        <v>-3.43200445328426</v>
      </c>
      <c r="AE5231" s="55" t="n">
        <f aca="false">IF(AC5231,IF(01_因子設定!$B$13="最大化",X5231,IF(01_因子設定!$B$13="最小化",-X5231,-ABS(X5231-01_因子設定!$B$16))),-1E+030)</f>
        <v>44.5368786549708</v>
      </c>
      <c r="AF5231" s="55" t="n">
        <f aca="false">AD5231+ROW()*0.000000001</f>
        <v>-3.43199922228426</v>
      </c>
      <c r="AG5231" s="55" t="n">
        <f aca="false">AE5231+ROW()*0.000000001</f>
        <v>44.5368838859708</v>
      </c>
    </row>
    <row r="5232" customFormat="false" ht="15" hidden="false" customHeight="false" outlineLevel="0" collapsed="false">
      <c r="A5232" s="0" t="n">
        <v>7</v>
      </c>
      <c r="B5232" s="0" t="n">
        <v>1</v>
      </c>
      <c r="C5232" s="0" t="n">
        <v>4</v>
      </c>
      <c r="D5232" s="0" t="n">
        <v>7</v>
      </c>
      <c r="E5232" s="0" t="n">
        <f aca="false">-1+A5232*0.25</f>
        <v>0.75</v>
      </c>
      <c r="F5232" s="0" t="n">
        <f aca="false">-1+B5232*0.25</f>
        <v>-0.75</v>
      </c>
      <c r="G5232" s="0" t="n">
        <f aca="false">-1+C5232*0.25</f>
        <v>0</v>
      </c>
      <c r="H5232" s="0" t="n">
        <f aca="false">-1+D5232*0.25</f>
        <v>0.75</v>
      </c>
      <c r="I5232" s="0" t="n">
        <f aca="false">1</f>
        <v>1</v>
      </c>
      <c r="J5232" s="0" t="n">
        <f aca="false">E5232</f>
        <v>0.75</v>
      </c>
      <c r="K5232" s="0" t="n">
        <f aca="false">F5232</f>
        <v>-0.75</v>
      </c>
      <c r="L5232" s="0" t="n">
        <f aca="false">G5232</f>
        <v>0</v>
      </c>
      <c r="M5232" s="0" t="n">
        <f aca="false">H5232</f>
        <v>0.75</v>
      </c>
      <c r="N5232" s="0" t="n">
        <f aca="false">E5232*F5232</f>
        <v>-0.5625</v>
      </c>
      <c r="O5232" s="0" t="n">
        <f aca="false">E5232*G5232</f>
        <v>0</v>
      </c>
      <c r="P5232" s="0" t="n">
        <f aca="false">E5232*H5232</f>
        <v>0.5625</v>
      </c>
      <c r="Q5232" s="0" t="n">
        <f aca="false">F5232*G5232</f>
        <v>-0</v>
      </c>
      <c r="R5232" s="0" t="n">
        <f aca="false">F5232*H5232</f>
        <v>-0.5625</v>
      </c>
      <c r="S5232" s="0" t="n">
        <f aca="false">G5232*H5232</f>
        <v>0</v>
      </c>
      <c r="T5232" s="0" t="n">
        <f aca="false">E5232*E5232</f>
        <v>0.5625</v>
      </c>
      <c r="U5232" s="0" t="n">
        <f aca="false">F5232*F5232</f>
        <v>0.5625</v>
      </c>
      <c r="V5232" s="0" t="n">
        <f aca="false">G5232*G5232</f>
        <v>0</v>
      </c>
      <c r="W5232" s="0" t="n">
        <f aca="false">H5232*H5232</f>
        <v>0.5625</v>
      </c>
      <c r="X5232" s="0" t="n">
        <f aca="false">SUMPRODUCT(I5232:W5232,_XtX!$B$96:$P$96)</f>
        <v>44.58203125</v>
      </c>
      <c r="Y5232" s="0" t="n">
        <f aca="false">SUMPRODUCT(MMULT(I5232:W5232,_XtX!$B$78:$P$92),I5232:W5232)</f>
        <v>0.310628255208333</v>
      </c>
      <c r="Z5232" s="0" t="n">
        <f aca="false">04_回帰ANOVA!$K$19*04_回帰ANOVA!$K$14*SQRT(1+Y5232)</f>
        <v>1.49223820892344</v>
      </c>
      <c r="AA5232" s="0" t="n">
        <f aca="false">X5232-Z5232</f>
        <v>43.0897930410766</v>
      </c>
      <c r="AB5232" s="0" t="n">
        <f aca="false">X5232+Z5232</f>
        <v>46.0742694589234</v>
      </c>
      <c r="AC5232" s="54" t="b">
        <f aca="false">AND(E5232&gt;=01_因子設定!$L$5-0.000000001,E5232&lt;=01_因子設定!$M$5+0.000000001,F5232&gt;=01_因子設定!$L$6-0.000000001,F5232&lt;=01_因子設定!$M$6+0.000000001,G5232&gt;=01_因子設定!$L$7-0.000000001,G5232&lt;=01_因子設定!$M$7+0.000000001,H5232&gt;=01_因子設定!$L$8-0.000000001,H5232&lt;=01_因子設定!$M$8+0.000000001,IF(01_因子設定!$B$20="Box-Behnken",E5232^2+F5232^2+G5232^2+H5232^2&lt;=2+0.000000001,TRUE()))</f>
        <v>1</v>
      </c>
      <c r="AD5232" s="55" t="n">
        <f aca="false">IF(AC5232,IF(01_因子設定!$B$13="最大化",AA5232-01_因子設定!$B$14,IF(01_因子設定!$B$13="最小化",01_因子設定!$B$15-AB5232,MIN(AA5232-01_因子設定!$B$14,01_因子設定!$B$15-AB5232))),-1E+030)</f>
        <v>-3.41020695892343</v>
      </c>
      <c r="AE5232" s="55" t="n">
        <f aca="false">IF(AC5232,IF(01_因子設定!$B$13="最大化",X5232,IF(01_因子設定!$B$13="最小化",-X5232,-ABS(X5232-01_因子設定!$B$16))),-1E+030)</f>
        <v>44.58203125</v>
      </c>
      <c r="AF5232" s="55" t="n">
        <f aca="false">AD5232+ROW()*0.000000001</f>
        <v>-3.41020172692343</v>
      </c>
      <c r="AG5232" s="55" t="n">
        <f aca="false">AE5232+ROW()*0.000000001</f>
        <v>44.582036482</v>
      </c>
    </row>
    <row r="5233" customFormat="false" ht="15" hidden="false" customHeight="false" outlineLevel="0" collapsed="false">
      <c r="A5233" s="0" t="n">
        <v>7</v>
      </c>
      <c r="B5233" s="0" t="n">
        <v>1</v>
      </c>
      <c r="C5233" s="0" t="n">
        <v>4</v>
      </c>
      <c r="D5233" s="0" t="n">
        <v>8</v>
      </c>
      <c r="E5233" s="0" t="n">
        <f aca="false">-1+A5233*0.25</f>
        <v>0.75</v>
      </c>
      <c r="F5233" s="0" t="n">
        <f aca="false">-1+B5233*0.25</f>
        <v>-0.75</v>
      </c>
      <c r="G5233" s="0" t="n">
        <f aca="false">-1+C5233*0.25</f>
        <v>0</v>
      </c>
      <c r="H5233" s="0" t="n">
        <f aca="false">-1+D5233*0.25</f>
        <v>1</v>
      </c>
      <c r="I5233" s="0" t="n">
        <f aca="false">1</f>
        <v>1</v>
      </c>
      <c r="J5233" s="0" t="n">
        <f aca="false">E5233</f>
        <v>0.75</v>
      </c>
      <c r="K5233" s="0" t="n">
        <f aca="false">F5233</f>
        <v>-0.75</v>
      </c>
      <c r="L5233" s="0" t="n">
        <f aca="false">G5233</f>
        <v>0</v>
      </c>
      <c r="M5233" s="0" t="n">
        <f aca="false">H5233</f>
        <v>1</v>
      </c>
      <c r="N5233" s="0" t="n">
        <f aca="false">E5233*F5233</f>
        <v>-0.5625</v>
      </c>
      <c r="O5233" s="0" t="n">
        <f aca="false">E5233*G5233</f>
        <v>0</v>
      </c>
      <c r="P5233" s="0" t="n">
        <f aca="false">E5233*H5233</f>
        <v>0.75</v>
      </c>
      <c r="Q5233" s="0" t="n">
        <f aca="false">F5233*G5233</f>
        <v>-0</v>
      </c>
      <c r="R5233" s="0" t="n">
        <f aca="false">F5233*H5233</f>
        <v>-0.75</v>
      </c>
      <c r="S5233" s="0" t="n">
        <f aca="false">G5233*H5233</f>
        <v>0</v>
      </c>
      <c r="T5233" s="0" t="n">
        <f aca="false">E5233*E5233</f>
        <v>0.5625</v>
      </c>
      <c r="U5233" s="0" t="n">
        <f aca="false">F5233*F5233</f>
        <v>0.5625</v>
      </c>
      <c r="V5233" s="0" t="n">
        <f aca="false">G5233*G5233</f>
        <v>0</v>
      </c>
      <c r="W5233" s="0" t="n">
        <f aca="false">H5233*H5233</f>
        <v>1</v>
      </c>
      <c r="X5233" s="0" t="n">
        <f aca="false">SUMPRODUCT(I5233:W5233,_XtX!$B$96:$P$96)</f>
        <v>44.5793768274854</v>
      </c>
      <c r="Y5233" s="0" t="n">
        <f aca="false">SUMPRODUCT(MMULT(I5233:W5233,_XtX!$B$78:$P$92),I5233:W5233)</f>
        <v>0.494259126005117</v>
      </c>
      <c r="Z5233" s="0" t="n">
        <f aca="false">04_回帰ANOVA!$K$19*04_回帰ANOVA!$K$14*SQRT(1+Y5233)</f>
        <v>1.59335061078203</v>
      </c>
      <c r="AA5233" s="0" t="n">
        <f aca="false">X5233-Z5233</f>
        <v>42.9860262167034</v>
      </c>
      <c r="AB5233" s="0" t="n">
        <f aca="false">X5233+Z5233</f>
        <v>46.1727274382674</v>
      </c>
      <c r="AC5233" s="54" t="b">
        <f aca="false">AND(E5233&gt;=01_因子設定!$L$5-0.000000001,E5233&lt;=01_因子設定!$M$5+0.000000001,F5233&gt;=01_因子設定!$L$6-0.000000001,F5233&lt;=01_因子設定!$M$6+0.000000001,G5233&gt;=01_因子設定!$L$7-0.000000001,G5233&lt;=01_因子設定!$M$7+0.000000001,H5233&gt;=01_因子設定!$L$8-0.000000001,H5233&lt;=01_因子設定!$M$8+0.000000001,IF(01_因子設定!$B$20="Box-Behnken",E5233^2+F5233^2+G5233^2+H5233^2&lt;=2+0.000000001,TRUE()))</f>
        <v>1</v>
      </c>
      <c r="AD5233" s="55" t="n">
        <f aca="false">IF(AC5233,IF(01_因子設定!$B$13="最大化",AA5233-01_因子設定!$B$14,IF(01_因子設定!$B$13="最小化",01_因子設定!$B$15-AB5233,MIN(AA5233-01_因子設定!$B$14,01_因子設定!$B$15-AB5233))),-1E+030)</f>
        <v>-3.51397378329663</v>
      </c>
      <c r="AE5233" s="55" t="n">
        <f aca="false">IF(AC5233,IF(01_因子設定!$B$13="最大化",X5233,IF(01_因子設定!$B$13="最小化",-X5233,-ABS(X5233-01_因子設定!$B$16))),-1E+030)</f>
        <v>44.5793768274854</v>
      </c>
      <c r="AF5233" s="55" t="n">
        <f aca="false">AD5233+ROW()*0.000000001</f>
        <v>-3.51396855029663</v>
      </c>
      <c r="AG5233" s="55" t="n">
        <f aca="false">AE5233+ROW()*0.000000001</f>
        <v>44.5793820604854</v>
      </c>
    </row>
    <row r="5234" customFormat="false" ht="15" hidden="false" customHeight="false" outlineLevel="0" collapsed="false">
      <c r="A5234" s="0" t="n">
        <v>7</v>
      </c>
      <c r="B5234" s="0" t="n">
        <v>1</v>
      </c>
      <c r="C5234" s="0" t="n">
        <v>5</v>
      </c>
      <c r="D5234" s="0" t="n">
        <v>0</v>
      </c>
      <c r="E5234" s="0" t="n">
        <f aca="false">-1+A5234*0.25</f>
        <v>0.75</v>
      </c>
      <c r="F5234" s="0" t="n">
        <f aca="false">-1+B5234*0.25</f>
        <v>-0.75</v>
      </c>
      <c r="G5234" s="0" t="n">
        <f aca="false">-1+C5234*0.25</f>
        <v>0.25</v>
      </c>
      <c r="H5234" s="0" t="n">
        <f aca="false">-1+D5234*0.25</f>
        <v>-1</v>
      </c>
      <c r="I5234" s="0" t="n">
        <f aca="false">1</f>
        <v>1</v>
      </c>
      <c r="J5234" s="0" t="n">
        <f aca="false">E5234</f>
        <v>0.75</v>
      </c>
      <c r="K5234" s="0" t="n">
        <f aca="false">F5234</f>
        <v>-0.75</v>
      </c>
      <c r="L5234" s="0" t="n">
        <f aca="false">G5234</f>
        <v>0.25</v>
      </c>
      <c r="M5234" s="0" t="n">
        <f aca="false">H5234</f>
        <v>-1</v>
      </c>
      <c r="N5234" s="0" t="n">
        <f aca="false">E5234*F5234</f>
        <v>-0.5625</v>
      </c>
      <c r="O5234" s="0" t="n">
        <f aca="false">E5234*G5234</f>
        <v>0.1875</v>
      </c>
      <c r="P5234" s="0" t="n">
        <f aca="false">E5234*H5234</f>
        <v>-0.75</v>
      </c>
      <c r="Q5234" s="0" t="n">
        <f aca="false">F5234*G5234</f>
        <v>-0.1875</v>
      </c>
      <c r="R5234" s="0" t="n">
        <f aca="false">F5234*H5234</f>
        <v>0.75</v>
      </c>
      <c r="S5234" s="0" t="n">
        <f aca="false">G5234*H5234</f>
        <v>-0.25</v>
      </c>
      <c r="T5234" s="0" t="n">
        <f aca="false">E5234*E5234</f>
        <v>0.5625</v>
      </c>
      <c r="U5234" s="0" t="n">
        <f aca="false">F5234*F5234</f>
        <v>0.5625</v>
      </c>
      <c r="V5234" s="0" t="n">
        <f aca="false">G5234*G5234</f>
        <v>0.0625</v>
      </c>
      <c r="W5234" s="0" t="n">
        <f aca="false">H5234*H5234</f>
        <v>1</v>
      </c>
      <c r="X5234" s="0" t="n">
        <f aca="false">SUMPRODUCT(I5234:W5234,_XtX!$B$96:$P$96)</f>
        <v>43.2128517909357</v>
      </c>
      <c r="Y5234" s="0" t="n">
        <f aca="false">SUMPRODUCT(MMULT(I5234:W5234,_XtX!$B$78:$P$92),I5234:W5234)</f>
        <v>0.473959761056287</v>
      </c>
      <c r="Z5234" s="0" t="n">
        <f aca="false">04_回帰ANOVA!$K$19*04_回帰ANOVA!$K$14*SQRT(1+Y5234)</f>
        <v>1.58249084588329</v>
      </c>
      <c r="AA5234" s="0" t="n">
        <f aca="false">X5234-Z5234</f>
        <v>41.6303609450524</v>
      </c>
      <c r="AB5234" s="0" t="n">
        <f aca="false">X5234+Z5234</f>
        <v>44.795342636819</v>
      </c>
      <c r="AC5234" s="54" t="b">
        <f aca="false">AND(E5234&gt;=01_因子設定!$L$5-0.000000001,E5234&lt;=01_因子設定!$M$5+0.000000001,F5234&gt;=01_因子設定!$L$6-0.000000001,F5234&lt;=01_因子設定!$M$6+0.000000001,G5234&gt;=01_因子設定!$L$7-0.000000001,G5234&lt;=01_因子設定!$M$7+0.000000001,H5234&gt;=01_因子設定!$L$8-0.000000001,H5234&lt;=01_因子設定!$M$8+0.000000001,IF(01_因子設定!$B$20="Box-Behnken",E5234^2+F5234^2+G5234^2+H5234^2&lt;=2+0.000000001,TRUE()))</f>
        <v>1</v>
      </c>
      <c r="AD5234" s="55" t="n">
        <f aca="false">IF(AC5234,IF(01_因子設定!$B$13="最大化",AA5234-01_因子設定!$B$14,IF(01_因子設定!$B$13="最小化",01_因子設定!$B$15-AB5234,MIN(AA5234-01_因子設定!$B$14,01_因子設定!$B$15-AB5234))),-1E+030)</f>
        <v>-4.86963905494759</v>
      </c>
      <c r="AE5234" s="55" t="n">
        <f aca="false">IF(AC5234,IF(01_因子設定!$B$13="最大化",X5234,IF(01_因子設定!$B$13="最小化",-X5234,-ABS(X5234-01_因子設定!$B$16))),-1E+030)</f>
        <v>43.2128517909357</v>
      </c>
      <c r="AF5234" s="55" t="n">
        <f aca="false">AD5234+ROW()*0.000000001</f>
        <v>-4.86963382094759</v>
      </c>
      <c r="AG5234" s="55" t="n">
        <f aca="false">AE5234+ROW()*0.000000001</f>
        <v>43.2128570249357</v>
      </c>
    </row>
    <row r="5235" customFormat="false" ht="15" hidden="false" customHeight="false" outlineLevel="0" collapsed="false">
      <c r="A5235" s="0" t="n">
        <v>7</v>
      </c>
      <c r="B5235" s="0" t="n">
        <v>1</v>
      </c>
      <c r="C5235" s="0" t="n">
        <v>5</v>
      </c>
      <c r="D5235" s="0" t="n">
        <v>1</v>
      </c>
      <c r="E5235" s="0" t="n">
        <f aca="false">-1+A5235*0.25</f>
        <v>0.75</v>
      </c>
      <c r="F5235" s="0" t="n">
        <f aca="false">-1+B5235*0.25</f>
        <v>-0.75</v>
      </c>
      <c r="G5235" s="0" t="n">
        <f aca="false">-1+C5235*0.25</f>
        <v>0.25</v>
      </c>
      <c r="H5235" s="0" t="n">
        <f aca="false">-1+D5235*0.25</f>
        <v>-0.75</v>
      </c>
      <c r="I5235" s="0" t="n">
        <f aca="false">1</f>
        <v>1</v>
      </c>
      <c r="J5235" s="0" t="n">
        <f aca="false">E5235</f>
        <v>0.75</v>
      </c>
      <c r="K5235" s="0" t="n">
        <f aca="false">F5235</f>
        <v>-0.75</v>
      </c>
      <c r="L5235" s="0" t="n">
        <f aca="false">G5235</f>
        <v>0.25</v>
      </c>
      <c r="M5235" s="0" t="n">
        <f aca="false">H5235</f>
        <v>-0.75</v>
      </c>
      <c r="N5235" s="0" t="n">
        <f aca="false">E5235*F5235</f>
        <v>-0.5625</v>
      </c>
      <c r="O5235" s="0" t="n">
        <f aca="false">E5235*G5235</f>
        <v>0.1875</v>
      </c>
      <c r="P5235" s="0" t="n">
        <f aca="false">E5235*H5235</f>
        <v>-0.5625</v>
      </c>
      <c r="Q5235" s="0" t="n">
        <f aca="false">F5235*G5235</f>
        <v>-0.1875</v>
      </c>
      <c r="R5235" s="0" t="n">
        <f aca="false">F5235*H5235</f>
        <v>0.5625</v>
      </c>
      <c r="S5235" s="0" t="n">
        <f aca="false">G5235*H5235</f>
        <v>-0.1875</v>
      </c>
      <c r="T5235" s="0" t="n">
        <f aca="false">E5235*E5235</f>
        <v>0.5625</v>
      </c>
      <c r="U5235" s="0" t="n">
        <f aca="false">F5235*F5235</f>
        <v>0.5625</v>
      </c>
      <c r="V5235" s="0" t="n">
        <f aca="false">G5235*G5235</f>
        <v>0.0625</v>
      </c>
      <c r="W5235" s="0" t="n">
        <f aca="false">H5235*H5235</f>
        <v>0.5625</v>
      </c>
      <c r="X5235" s="0" t="n">
        <f aca="false">SUMPRODUCT(I5235:W5235,_XtX!$B$96:$P$96)</f>
        <v>43.5628152412281</v>
      </c>
      <c r="Y5235" s="0" t="n">
        <f aca="false">SUMPRODUCT(MMULT(I5235:W5235,_XtX!$B$78:$P$92),I5235:W5235)</f>
        <v>0.294856199744152</v>
      </c>
      <c r="Z5235" s="0" t="n">
        <f aca="false">04_回帰ANOVA!$K$19*04_回帰ANOVA!$K$14*SQRT(1+Y5235)</f>
        <v>1.48323226089013</v>
      </c>
      <c r="AA5235" s="0" t="n">
        <f aca="false">X5235-Z5235</f>
        <v>42.0795829803379</v>
      </c>
      <c r="AB5235" s="0" t="n">
        <f aca="false">X5235+Z5235</f>
        <v>45.0460475021182</v>
      </c>
      <c r="AC5235" s="54" t="b">
        <f aca="false">AND(E5235&gt;=01_因子設定!$L$5-0.000000001,E5235&lt;=01_因子設定!$M$5+0.000000001,F5235&gt;=01_因子設定!$L$6-0.000000001,F5235&lt;=01_因子設定!$M$6+0.000000001,G5235&gt;=01_因子設定!$L$7-0.000000001,G5235&lt;=01_因子設定!$M$7+0.000000001,H5235&gt;=01_因子設定!$L$8-0.000000001,H5235&lt;=01_因子設定!$M$8+0.000000001,IF(01_因子設定!$B$20="Box-Behnken",E5235^2+F5235^2+G5235^2+H5235^2&lt;=2+0.000000001,TRUE()))</f>
        <v>1</v>
      </c>
      <c r="AD5235" s="55" t="n">
        <f aca="false">IF(AC5235,IF(01_因子設定!$B$13="最大化",AA5235-01_因子設定!$B$14,IF(01_因子設定!$B$13="最小化",01_因子設定!$B$15-AB5235,MIN(AA5235-01_因子設定!$B$14,01_因子設定!$B$15-AB5235))),-1E+030)</f>
        <v>-4.42041701966206</v>
      </c>
      <c r="AE5235" s="55" t="n">
        <f aca="false">IF(AC5235,IF(01_因子設定!$B$13="最大化",X5235,IF(01_因子設定!$B$13="最小化",-X5235,-ABS(X5235-01_因子設定!$B$16))),-1E+030)</f>
        <v>43.5628152412281</v>
      </c>
      <c r="AF5235" s="55" t="n">
        <f aca="false">AD5235+ROW()*0.000000001</f>
        <v>-4.42041178466206</v>
      </c>
      <c r="AG5235" s="55" t="n">
        <f aca="false">AE5235+ROW()*0.000000001</f>
        <v>43.5628204762281</v>
      </c>
    </row>
    <row r="5236" customFormat="false" ht="15" hidden="false" customHeight="false" outlineLevel="0" collapsed="false">
      <c r="A5236" s="0" t="n">
        <v>7</v>
      </c>
      <c r="B5236" s="0" t="n">
        <v>1</v>
      </c>
      <c r="C5236" s="0" t="n">
        <v>5</v>
      </c>
      <c r="D5236" s="0" t="n">
        <v>2</v>
      </c>
      <c r="E5236" s="0" t="n">
        <f aca="false">-1+A5236*0.25</f>
        <v>0.75</v>
      </c>
      <c r="F5236" s="0" t="n">
        <f aca="false">-1+B5236*0.25</f>
        <v>-0.75</v>
      </c>
      <c r="G5236" s="0" t="n">
        <f aca="false">-1+C5236*0.25</f>
        <v>0.25</v>
      </c>
      <c r="H5236" s="0" t="n">
        <f aca="false">-1+D5236*0.25</f>
        <v>-0.5</v>
      </c>
      <c r="I5236" s="0" t="n">
        <f aca="false">1</f>
        <v>1</v>
      </c>
      <c r="J5236" s="0" t="n">
        <f aca="false">E5236</f>
        <v>0.75</v>
      </c>
      <c r="K5236" s="0" t="n">
        <f aca="false">F5236</f>
        <v>-0.75</v>
      </c>
      <c r="L5236" s="0" t="n">
        <f aca="false">G5236</f>
        <v>0.25</v>
      </c>
      <c r="M5236" s="0" t="n">
        <f aca="false">H5236</f>
        <v>-0.5</v>
      </c>
      <c r="N5236" s="0" t="n">
        <f aca="false">E5236*F5236</f>
        <v>-0.5625</v>
      </c>
      <c r="O5236" s="0" t="n">
        <f aca="false">E5236*G5236</f>
        <v>0.1875</v>
      </c>
      <c r="P5236" s="0" t="n">
        <f aca="false">E5236*H5236</f>
        <v>-0.375</v>
      </c>
      <c r="Q5236" s="0" t="n">
        <f aca="false">F5236*G5236</f>
        <v>-0.1875</v>
      </c>
      <c r="R5236" s="0" t="n">
        <f aca="false">F5236*H5236</f>
        <v>0.375</v>
      </c>
      <c r="S5236" s="0" t="n">
        <f aca="false">G5236*H5236</f>
        <v>-0.125</v>
      </c>
      <c r="T5236" s="0" t="n">
        <f aca="false">E5236*E5236</f>
        <v>0.5625</v>
      </c>
      <c r="U5236" s="0" t="n">
        <f aca="false">F5236*F5236</f>
        <v>0.5625</v>
      </c>
      <c r="V5236" s="0" t="n">
        <f aca="false">G5236*G5236</f>
        <v>0.0625</v>
      </c>
      <c r="W5236" s="0" t="n">
        <f aca="false">H5236*H5236</f>
        <v>0.25</v>
      </c>
      <c r="X5236" s="0" t="n">
        <f aca="false">SUMPRODUCT(I5236:W5236,_XtX!$B$96:$P$96)</f>
        <v>43.8649716739766</v>
      </c>
      <c r="Y5236" s="0" t="n">
        <f aca="false">SUMPRODUCT(MMULT(I5236:W5236,_XtX!$B$78:$P$92),I5236:W5236)</f>
        <v>0.257385610836988</v>
      </c>
      <c r="Z5236" s="0" t="n">
        <f aca="false">04_回帰ANOVA!$K$19*04_回帰ANOVA!$K$14*SQRT(1+Y5236)</f>
        <v>1.46161380324158</v>
      </c>
      <c r="AA5236" s="0" t="n">
        <f aca="false">X5236-Z5236</f>
        <v>42.403357870735</v>
      </c>
      <c r="AB5236" s="0" t="n">
        <f aca="false">X5236+Z5236</f>
        <v>45.3265854772182</v>
      </c>
      <c r="AC5236" s="54" t="b">
        <f aca="false">AND(E5236&gt;=01_因子設定!$L$5-0.000000001,E5236&lt;=01_因子設定!$M$5+0.000000001,F5236&gt;=01_因子設定!$L$6-0.000000001,F5236&lt;=01_因子設定!$M$6+0.000000001,G5236&gt;=01_因子設定!$L$7-0.000000001,G5236&lt;=01_因子設定!$M$7+0.000000001,H5236&gt;=01_因子設定!$L$8-0.000000001,H5236&lt;=01_因子設定!$M$8+0.000000001,IF(01_因子設定!$B$20="Box-Behnken",E5236^2+F5236^2+G5236^2+H5236^2&lt;=2+0.000000001,TRUE()))</f>
        <v>1</v>
      </c>
      <c r="AD5236" s="55" t="n">
        <f aca="false">IF(AC5236,IF(01_因子設定!$B$13="最大化",AA5236-01_因子設定!$B$14,IF(01_因子設定!$B$13="最小化",01_因子設定!$B$15-AB5236,MIN(AA5236-01_因子設定!$B$14,01_因子設定!$B$15-AB5236))),-1E+030)</f>
        <v>-4.09664212926498</v>
      </c>
      <c r="AE5236" s="55" t="n">
        <f aca="false">IF(AC5236,IF(01_因子設定!$B$13="最大化",X5236,IF(01_因子設定!$B$13="最小化",-X5236,-ABS(X5236-01_因子設定!$B$16))),-1E+030)</f>
        <v>43.8649716739766</v>
      </c>
      <c r="AF5236" s="55" t="n">
        <f aca="false">AD5236+ROW()*0.000000001</f>
        <v>-4.09663689326498</v>
      </c>
      <c r="AG5236" s="55" t="n">
        <f aca="false">AE5236+ROW()*0.000000001</f>
        <v>43.8649769099766</v>
      </c>
    </row>
    <row r="5237" customFormat="false" ht="15" hidden="false" customHeight="false" outlineLevel="0" collapsed="false">
      <c r="A5237" s="0" t="n">
        <v>7</v>
      </c>
      <c r="B5237" s="0" t="n">
        <v>1</v>
      </c>
      <c r="C5237" s="0" t="n">
        <v>5</v>
      </c>
      <c r="D5237" s="0" t="n">
        <v>3</v>
      </c>
      <c r="E5237" s="0" t="n">
        <f aca="false">-1+A5237*0.25</f>
        <v>0.75</v>
      </c>
      <c r="F5237" s="0" t="n">
        <f aca="false">-1+B5237*0.25</f>
        <v>-0.75</v>
      </c>
      <c r="G5237" s="0" t="n">
        <f aca="false">-1+C5237*0.25</f>
        <v>0.25</v>
      </c>
      <c r="H5237" s="0" t="n">
        <f aca="false">-1+D5237*0.25</f>
        <v>-0.25</v>
      </c>
      <c r="I5237" s="0" t="n">
        <f aca="false">1</f>
        <v>1</v>
      </c>
      <c r="J5237" s="0" t="n">
        <f aca="false">E5237</f>
        <v>0.75</v>
      </c>
      <c r="K5237" s="0" t="n">
        <f aca="false">F5237</f>
        <v>-0.75</v>
      </c>
      <c r="L5237" s="0" t="n">
        <f aca="false">G5237</f>
        <v>0.25</v>
      </c>
      <c r="M5237" s="0" t="n">
        <f aca="false">H5237</f>
        <v>-0.25</v>
      </c>
      <c r="N5237" s="0" t="n">
        <f aca="false">E5237*F5237</f>
        <v>-0.5625</v>
      </c>
      <c r="O5237" s="0" t="n">
        <f aca="false">E5237*G5237</f>
        <v>0.1875</v>
      </c>
      <c r="P5237" s="0" t="n">
        <f aca="false">E5237*H5237</f>
        <v>-0.1875</v>
      </c>
      <c r="Q5237" s="0" t="n">
        <f aca="false">F5237*G5237</f>
        <v>-0.1875</v>
      </c>
      <c r="R5237" s="0" t="n">
        <f aca="false">F5237*H5237</f>
        <v>0.1875</v>
      </c>
      <c r="S5237" s="0" t="n">
        <f aca="false">G5237*H5237</f>
        <v>-0.0625</v>
      </c>
      <c r="T5237" s="0" t="n">
        <f aca="false">E5237*E5237</f>
        <v>0.5625</v>
      </c>
      <c r="U5237" s="0" t="n">
        <f aca="false">F5237*F5237</f>
        <v>0.5625</v>
      </c>
      <c r="V5237" s="0" t="n">
        <f aca="false">G5237*G5237</f>
        <v>0.0625</v>
      </c>
      <c r="W5237" s="0" t="n">
        <f aca="false">H5237*H5237</f>
        <v>0.0625</v>
      </c>
      <c r="X5237" s="0" t="n">
        <f aca="false">SUMPRODUCT(I5237:W5237,_XtX!$B$96:$P$96)</f>
        <v>44.1193210891813</v>
      </c>
      <c r="Y5237" s="0" t="n">
        <f aca="false">SUMPRODUCT(MMULT(I5237:W5237,_XtX!$B$78:$P$92),I5237:W5237)</f>
        <v>0.271087468019006</v>
      </c>
      <c r="Z5237" s="0" t="n">
        <f aca="false">04_回帰ANOVA!$K$19*04_回帰ANOVA!$K$14*SQRT(1+Y5237)</f>
        <v>1.46955590155034</v>
      </c>
      <c r="AA5237" s="0" t="n">
        <f aca="false">X5237-Z5237</f>
        <v>42.6497651876309</v>
      </c>
      <c r="AB5237" s="0" t="n">
        <f aca="false">X5237+Z5237</f>
        <v>45.5888769907316</v>
      </c>
      <c r="AC5237" s="54" t="b">
        <f aca="false">AND(E5237&gt;=01_因子設定!$L$5-0.000000001,E5237&lt;=01_因子設定!$M$5+0.000000001,F5237&gt;=01_因子設定!$L$6-0.000000001,F5237&lt;=01_因子設定!$M$6+0.000000001,G5237&gt;=01_因子設定!$L$7-0.000000001,G5237&lt;=01_因子設定!$M$7+0.000000001,H5237&gt;=01_因子設定!$L$8-0.000000001,H5237&lt;=01_因子設定!$M$8+0.000000001,IF(01_因子設定!$B$20="Box-Behnken",E5237^2+F5237^2+G5237^2+H5237^2&lt;=2+0.000000001,TRUE()))</f>
        <v>1</v>
      </c>
      <c r="AD5237" s="55" t="n">
        <f aca="false">IF(AC5237,IF(01_因子設定!$B$13="最大化",AA5237-01_因子設定!$B$14,IF(01_因子設定!$B$13="最小化",01_因子設定!$B$15-AB5237,MIN(AA5237-01_因子設定!$B$14,01_因子設定!$B$15-AB5237))),-1E+030)</f>
        <v>-3.85023481236907</v>
      </c>
      <c r="AE5237" s="55" t="n">
        <f aca="false">IF(AC5237,IF(01_因子設定!$B$13="最大化",X5237,IF(01_因子設定!$B$13="最小化",-X5237,-ABS(X5237-01_因子設定!$B$16))),-1E+030)</f>
        <v>44.1193210891813</v>
      </c>
      <c r="AF5237" s="55" t="n">
        <f aca="false">AD5237+ROW()*0.000000001</f>
        <v>-3.85022957536907</v>
      </c>
      <c r="AG5237" s="55" t="n">
        <f aca="false">AE5237+ROW()*0.000000001</f>
        <v>44.1193263261813</v>
      </c>
    </row>
    <row r="5238" customFormat="false" ht="15" hidden="false" customHeight="false" outlineLevel="0" collapsed="false">
      <c r="A5238" s="0" t="n">
        <v>7</v>
      </c>
      <c r="B5238" s="0" t="n">
        <v>1</v>
      </c>
      <c r="C5238" s="0" t="n">
        <v>5</v>
      </c>
      <c r="D5238" s="0" t="n">
        <v>4</v>
      </c>
      <c r="E5238" s="0" t="n">
        <f aca="false">-1+A5238*0.25</f>
        <v>0.75</v>
      </c>
      <c r="F5238" s="0" t="n">
        <f aca="false">-1+B5238*0.25</f>
        <v>-0.75</v>
      </c>
      <c r="G5238" s="0" t="n">
        <f aca="false">-1+C5238*0.25</f>
        <v>0.25</v>
      </c>
      <c r="H5238" s="0" t="n">
        <f aca="false">-1+D5238*0.25</f>
        <v>0</v>
      </c>
      <c r="I5238" s="0" t="n">
        <f aca="false">1</f>
        <v>1</v>
      </c>
      <c r="J5238" s="0" t="n">
        <f aca="false">E5238</f>
        <v>0.75</v>
      </c>
      <c r="K5238" s="0" t="n">
        <f aca="false">F5238</f>
        <v>-0.75</v>
      </c>
      <c r="L5238" s="0" t="n">
        <f aca="false">G5238</f>
        <v>0.25</v>
      </c>
      <c r="M5238" s="0" t="n">
        <f aca="false">H5238</f>
        <v>0</v>
      </c>
      <c r="N5238" s="0" t="n">
        <f aca="false">E5238*F5238</f>
        <v>-0.5625</v>
      </c>
      <c r="O5238" s="0" t="n">
        <f aca="false">E5238*G5238</f>
        <v>0.1875</v>
      </c>
      <c r="P5238" s="0" t="n">
        <f aca="false">E5238*H5238</f>
        <v>0</v>
      </c>
      <c r="Q5238" s="0" t="n">
        <f aca="false">F5238*G5238</f>
        <v>-0.1875</v>
      </c>
      <c r="R5238" s="0" t="n">
        <f aca="false">F5238*H5238</f>
        <v>-0</v>
      </c>
      <c r="S5238" s="0" t="n">
        <f aca="false">G5238*H5238</f>
        <v>0</v>
      </c>
      <c r="T5238" s="0" t="n">
        <f aca="false">E5238*E5238</f>
        <v>0.5625</v>
      </c>
      <c r="U5238" s="0" t="n">
        <f aca="false">F5238*F5238</f>
        <v>0.5625</v>
      </c>
      <c r="V5238" s="0" t="n">
        <f aca="false">G5238*G5238</f>
        <v>0.0625</v>
      </c>
      <c r="W5238" s="0" t="n">
        <f aca="false">H5238*H5238</f>
        <v>0</v>
      </c>
      <c r="X5238" s="0" t="n">
        <f aca="false">SUMPRODUCT(I5238:W5238,_XtX!$B$96:$P$96)</f>
        <v>44.3258634868421</v>
      </c>
      <c r="Y5238" s="0" t="n">
        <f aca="false">SUMPRODUCT(MMULT(I5238:W5238,_XtX!$B$78:$P$92),I5238:W5238)</f>
        <v>0.281685455500731</v>
      </c>
      <c r="Z5238" s="0" t="n">
        <f aca="false">04_回帰ANOVA!$K$19*04_回帰ANOVA!$K$14*SQRT(1+Y5238)</f>
        <v>1.47566956658694</v>
      </c>
      <c r="AA5238" s="0" t="n">
        <f aca="false">X5238-Z5238</f>
        <v>42.8501939202552</v>
      </c>
      <c r="AB5238" s="0" t="n">
        <f aca="false">X5238+Z5238</f>
        <v>45.801533053429</v>
      </c>
      <c r="AC5238" s="54" t="b">
        <f aca="false">AND(E5238&gt;=01_因子設定!$L$5-0.000000001,E5238&lt;=01_因子設定!$M$5+0.000000001,F5238&gt;=01_因子設定!$L$6-0.000000001,F5238&lt;=01_因子設定!$M$6+0.000000001,G5238&gt;=01_因子設定!$L$7-0.000000001,G5238&lt;=01_因子設定!$M$7+0.000000001,H5238&gt;=01_因子設定!$L$8-0.000000001,H5238&lt;=01_因子設定!$M$8+0.000000001,IF(01_因子設定!$B$20="Box-Behnken",E5238^2+F5238^2+G5238^2+H5238^2&lt;=2+0.000000001,TRUE()))</f>
        <v>1</v>
      </c>
      <c r="AD5238" s="55" t="n">
        <f aca="false">IF(AC5238,IF(01_因子設定!$B$13="最大化",AA5238-01_因子設定!$B$14,IF(01_因子設定!$B$13="最小化",01_因子設定!$B$15-AB5238,MIN(AA5238-01_因子設定!$B$14,01_因子設定!$B$15-AB5238))),-1E+030)</f>
        <v>-3.64980607974485</v>
      </c>
      <c r="AE5238" s="55" t="n">
        <f aca="false">IF(AC5238,IF(01_因子設定!$B$13="最大化",X5238,IF(01_因子設定!$B$13="最小化",-X5238,-ABS(X5238-01_因子設定!$B$16))),-1E+030)</f>
        <v>44.3258634868421</v>
      </c>
      <c r="AF5238" s="55" t="n">
        <f aca="false">AD5238+ROW()*0.000000001</f>
        <v>-3.64980084174485</v>
      </c>
      <c r="AG5238" s="55" t="n">
        <f aca="false">AE5238+ROW()*0.000000001</f>
        <v>44.3258687248421</v>
      </c>
    </row>
    <row r="5239" customFormat="false" ht="15" hidden="false" customHeight="false" outlineLevel="0" collapsed="false">
      <c r="A5239" s="0" t="n">
        <v>7</v>
      </c>
      <c r="B5239" s="0" t="n">
        <v>1</v>
      </c>
      <c r="C5239" s="0" t="n">
        <v>5</v>
      </c>
      <c r="D5239" s="0" t="n">
        <v>5</v>
      </c>
      <c r="E5239" s="0" t="n">
        <f aca="false">-1+A5239*0.25</f>
        <v>0.75</v>
      </c>
      <c r="F5239" s="0" t="n">
        <f aca="false">-1+B5239*0.25</f>
        <v>-0.75</v>
      </c>
      <c r="G5239" s="0" t="n">
        <f aca="false">-1+C5239*0.25</f>
        <v>0.25</v>
      </c>
      <c r="H5239" s="0" t="n">
        <f aca="false">-1+D5239*0.25</f>
        <v>0.25</v>
      </c>
      <c r="I5239" s="0" t="n">
        <f aca="false">1</f>
        <v>1</v>
      </c>
      <c r="J5239" s="0" t="n">
        <f aca="false">E5239</f>
        <v>0.75</v>
      </c>
      <c r="K5239" s="0" t="n">
        <f aca="false">F5239</f>
        <v>-0.75</v>
      </c>
      <c r="L5239" s="0" t="n">
        <f aca="false">G5239</f>
        <v>0.25</v>
      </c>
      <c r="M5239" s="0" t="n">
        <f aca="false">H5239</f>
        <v>0.25</v>
      </c>
      <c r="N5239" s="0" t="n">
        <f aca="false">E5239*F5239</f>
        <v>-0.5625</v>
      </c>
      <c r="O5239" s="0" t="n">
        <f aca="false">E5239*G5239</f>
        <v>0.1875</v>
      </c>
      <c r="P5239" s="0" t="n">
        <f aca="false">E5239*H5239</f>
        <v>0.1875</v>
      </c>
      <c r="Q5239" s="0" t="n">
        <f aca="false">F5239*G5239</f>
        <v>-0.1875</v>
      </c>
      <c r="R5239" s="0" t="n">
        <f aca="false">F5239*H5239</f>
        <v>-0.1875</v>
      </c>
      <c r="S5239" s="0" t="n">
        <f aca="false">G5239*H5239</f>
        <v>0.0625</v>
      </c>
      <c r="T5239" s="0" t="n">
        <f aca="false">E5239*E5239</f>
        <v>0.5625</v>
      </c>
      <c r="U5239" s="0" t="n">
        <f aca="false">F5239*F5239</f>
        <v>0.5625</v>
      </c>
      <c r="V5239" s="0" t="n">
        <f aca="false">G5239*G5239</f>
        <v>0.0625</v>
      </c>
      <c r="W5239" s="0" t="n">
        <f aca="false">H5239*H5239</f>
        <v>0.0625</v>
      </c>
      <c r="X5239" s="0" t="n">
        <f aca="false">SUMPRODUCT(I5239:W5239,_XtX!$B$96:$P$96)</f>
        <v>44.4845988669591</v>
      </c>
      <c r="Y5239" s="0" t="n">
        <f aca="false">SUMPRODUCT(MMULT(I5239:W5239,_XtX!$B$78:$P$92),I5239:W5239)</f>
        <v>0.271087468019006</v>
      </c>
      <c r="Z5239" s="0" t="n">
        <f aca="false">04_回帰ANOVA!$K$19*04_回帰ANOVA!$K$14*SQRT(1+Y5239)</f>
        <v>1.46955590155034</v>
      </c>
      <c r="AA5239" s="0" t="n">
        <f aca="false">X5239-Z5239</f>
        <v>43.0150429654087</v>
      </c>
      <c r="AB5239" s="0" t="n">
        <f aca="false">X5239+Z5239</f>
        <v>45.9541547685094</v>
      </c>
      <c r="AC5239" s="54" t="b">
        <f aca="false">AND(E5239&gt;=01_因子設定!$L$5-0.000000001,E5239&lt;=01_因子設定!$M$5+0.000000001,F5239&gt;=01_因子設定!$L$6-0.000000001,F5239&lt;=01_因子設定!$M$6+0.000000001,G5239&gt;=01_因子設定!$L$7-0.000000001,G5239&lt;=01_因子設定!$M$7+0.000000001,H5239&gt;=01_因子設定!$L$8-0.000000001,H5239&lt;=01_因子設定!$M$8+0.000000001,IF(01_因子設定!$B$20="Box-Behnken",E5239^2+F5239^2+G5239^2+H5239^2&lt;=2+0.000000001,TRUE()))</f>
        <v>1</v>
      </c>
      <c r="AD5239" s="55" t="n">
        <f aca="false">IF(AC5239,IF(01_因子設定!$B$13="最大化",AA5239-01_因子設定!$B$14,IF(01_因子設定!$B$13="最小化",01_因子設定!$B$15-AB5239,MIN(AA5239-01_因子設定!$B$14,01_因子設定!$B$15-AB5239))),-1E+030)</f>
        <v>-3.4849570345913</v>
      </c>
      <c r="AE5239" s="55" t="n">
        <f aca="false">IF(AC5239,IF(01_因子設定!$B$13="最大化",X5239,IF(01_因子設定!$B$13="最小化",-X5239,-ABS(X5239-01_因子設定!$B$16))),-1E+030)</f>
        <v>44.4845988669591</v>
      </c>
      <c r="AF5239" s="55" t="n">
        <f aca="false">AD5239+ROW()*0.000000001</f>
        <v>-3.4849517955913</v>
      </c>
      <c r="AG5239" s="55" t="n">
        <f aca="false">AE5239+ROW()*0.000000001</f>
        <v>44.484604105959</v>
      </c>
    </row>
    <row r="5240" customFormat="false" ht="15" hidden="false" customHeight="false" outlineLevel="0" collapsed="false">
      <c r="A5240" s="0" t="n">
        <v>7</v>
      </c>
      <c r="B5240" s="0" t="n">
        <v>1</v>
      </c>
      <c r="C5240" s="0" t="n">
        <v>5</v>
      </c>
      <c r="D5240" s="0" t="n">
        <v>6</v>
      </c>
      <c r="E5240" s="0" t="n">
        <f aca="false">-1+A5240*0.25</f>
        <v>0.75</v>
      </c>
      <c r="F5240" s="0" t="n">
        <f aca="false">-1+B5240*0.25</f>
        <v>-0.75</v>
      </c>
      <c r="G5240" s="0" t="n">
        <f aca="false">-1+C5240*0.25</f>
        <v>0.25</v>
      </c>
      <c r="H5240" s="0" t="n">
        <f aca="false">-1+D5240*0.25</f>
        <v>0.5</v>
      </c>
      <c r="I5240" s="0" t="n">
        <f aca="false">1</f>
        <v>1</v>
      </c>
      <c r="J5240" s="0" t="n">
        <f aca="false">E5240</f>
        <v>0.75</v>
      </c>
      <c r="K5240" s="0" t="n">
        <f aca="false">F5240</f>
        <v>-0.75</v>
      </c>
      <c r="L5240" s="0" t="n">
        <f aca="false">G5240</f>
        <v>0.25</v>
      </c>
      <c r="M5240" s="0" t="n">
        <f aca="false">H5240</f>
        <v>0.5</v>
      </c>
      <c r="N5240" s="0" t="n">
        <f aca="false">E5240*F5240</f>
        <v>-0.5625</v>
      </c>
      <c r="O5240" s="0" t="n">
        <f aca="false">E5240*G5240</f>
        <v>0.1875</v>
      </c>
      <c r="P5240" s="0" t="n">
        <f aca="false">E5240*H5240</f>
        <v>0.375</v>
      </c>
      <c r="Q5240" s="0" t="n">
        <f aca="false">F5240*G5240</f>
        <v>-0.1875</v>
      </c>
      <c r="R5240" s="0" t="n">
        <f aca="false">F5240*H5240</f>
        <v>-0.375</v>
      </c>
      <c r="S5240" s="0" t="n">
        <f aca="false">G5240*H5240</f>
        <v>0.125</v>
      </c>
      <c r="T5240" s="0" t="n">
        <f aca="false">E5240*E5240</f>
        <v>0.5625</v>
      </c>
      <c r="U5240" s="0" t="n">
        <f aca="false">F5240*F5240</f>
        <v>0.5625</v>
      </c>
      <c r="V5240" s="0" t="n">
        <f aca="false">G5240*G5240</f>
        <v>0.0625</v>
      </c>
      <c r="W5240" s="0" t="n">
        <f aca="false">H5240*H5240</f>
        <v>0.25</v>
      </c>
      <c r="X5240" s="0" t="n">
        <f aca="false">SUMPRODUCT(I5240:W5240,_XtX!$B$96:$P$96)</f>
        <v>44.5955272295322</v>
      </c>
      <c r="Y5240" s="0" t="n">
        <f aca="false">SUMPRODUCT(MMULT(I5240:W5240,_XtX!$B$78:$P$92),I5240:W5240)</f>
        <v>0.257385610836988</v>
      </c>
      <c r="Z5240" s="0" t="n">
        <f aca="false">04_回帰ANOVA!$K$19*04_回帰ANOVA!$K$14*SQRT(1+Y5240)</f>
        <v>1.46161380324158</v>
      </c>
      <c r="AA5240" s="0" t="n">
        <f aca="false">X5240-Z5240</f>
        <v>43.1339134262906</v>
      </c>
      <c r="AB5240" s="0" t="n">
        <f aca="false">X5240+Z5240</f>
        <v>46.0571410327737</v>
      </c>
      <c r="AC5240" s="54" t="b">
        <f aca="false">AND(E5240&gt;=01_因子設定!$L$5-0.000000001,E5240&lt;=01_因子設定!$M$5+0.000000001,F5240&gt;=01_因子設定!$L$6-0.000000001,F5240&lt;=01_因子設定!$M$6+0.000000001,G5240&gt;=01_因子設定!$L$7-0.000000001,G5240&lt;=01_因子設定!$M$7+0.000000001,H5240&gt;=01_因子設定!$L$8-0.000000001,H5240&lt;=01_因子設定!$M$8+0.000000001,IF(01_因子設定!$B$20="Box-Behnken",E5240^2+F5240^2+G5240^2+H5240^2&lt;=2+0.000000001,TRUE()))</f>
        <v>1</v>
      </c>
      <c r="AD5240" s="55" t="n">
        <f aca="false">IF(AC5240,IF(01_因子設定!$B$13="最大化",AA5240-01_因子設定!$B$14,IF(01_因子設定!$B$13="最小化",01_因子設定!$B$15-AB5240,MIN(AA5240-01_因子設定!$B$14,01_因子設定!$B$15-AB5240))),-1E+030)</f>
        <v>-3.36608657370942</v>
      </c>
      <c r="AE5240" s="55" t="n">
        <f aca="false">IF(AC5240,IF(01_因子設定!$B$13="最大化",X5240,IF(01_因子設定!$B$13="最小化",-X5240,-ABS(X5240-01_因子設定!$B$16))),-1E+030)</f>
        <v>44.5955272295322</v>
      </c>
      <c r="AF5240" s="55" t="n">
        <f aca="false">AD5240+ROW()*0.000000001</f>
        <v>-3.36608133370942</v>
      </c>
      <c r="AG5240" s="55" t="n">
        <f aca="false">AE5240+ROW()*0.000000001</f>
        <v>44.5955324695322</v>
      </c>
    </row>
    <row r="5241" customFormat="false" ht="15" hidden="false" customHeight="false" outlineLevel="0" collapsed="false">
      <c r="A5241" s="0" t="n">
        <v>7</v>
      </c>
      <c r="B5241" s="0" t="n">
        <v>1</v>
      </c>
      <c r="C5241" s="0" t="n">
        <v>5</v>
      </c>
      <c r="D5241" s="0" t="n">
        <v>7</v>
      </c>
      <c r="E5241" s="0" t="n">
        <f aca="false">-1+A5241*0.25</f>
        <v>0.75</v>
      </c>
      <c r="F5241" s="0" t="n">
        <f aca="false">-1+B5241*0.25</f>
        <v>-0.75</v>
      </c>
      <c r="G5241" s="0" t="n">
        <f aca="false">-1+C5241*0.25</f>
        <v>0.25</v>
      </c>
      <c r="H5241" s="0" t="n">
        <f aca="false">-1+D5241*0.25</f>
        <v>0.75</v>
      </c>
      <c r="I5241" s="0" t="n">
        <f aca="false">1</f>
        <v>1</v>
      </c>
      <c r="J5241" s="0" t="n">
        <f aca="false">E5241</f>
        <v>0.75</v>
      </c>
      <c r="K5241" s="0" t="n">
        <f aca="false">F5241</f>
        <v>-0.75</v>
      </c>
      <c r="L5241" s="0" t="n">
        <f aca="false">G5241</f>
        <v>0.25</v>
      </c>
      <c r="M5241" s="0" t="n">
        <f aca="false">H5241</f>
        <v>0.75</v>
      </c>
      <c r="N5241" s="0" t="n">
        <f aca="false">E5241*F5241</f>
        <v>-0.5625</v>
      </c>
      <c r="O5241" s="0" t="n">
        <f aca="false">E5241*G5241</f>
        <v>0.1875</v>
      </c>
      <c r="P5241" s="0" t="n">
        <f aca="false">E5241*H5241</f>
        <v>0.5625</v>
      </c>
      <c r="Q5241" s="0" t="n">
        <f aca="false">F5241*G5241</f>
        <v>-0.1875</v>
      </c>
      <c r="R5241" s="0" t="n">
        <f aca="false">F5241*H5241</f>
        <v>-0.5625</v>
      </c>
      <c r="S5241" s="0" t="n">
        <f aca="false">G5241*H5241</f>
        <v>0.1875</v>
      </c>
      <c r="T5241" s="0" t="n">
        <f aca="false">E5241*E5241</f>
        <v>0.5625</v>
      </c>
      <c r="U5241" s="0" t="n">
        <f aca="false">F5241*F5241</f>
        <v>0.5625</v>
      </c>
      <c r="V5241" s="0" t="n">
        <f aca="false">G5241*G5241</f>
        <v>0.0625</v>
      </c>
      <c r="W5241" s="0" t="n">
        <f aca="false">H5241*H5241</f>
        <v>0.5625</v>
      </c>
      <c r="X5241" s="0" t="n">
        <f aca="false">SUMPRODUCT(I5241:W5241,_XtX!$B$96:$P$96)</f>
        <v>44.6586485745614</v>
      </c>
      <c r="Y5241" s="0" t="n">
        <f aca="false">SUMPRODUCT(MMULT(I5241:W5241,_XtX!$B$78:$P$92),I5241:W5241)</f>
        <v>0.294856199744152</v>
      </c>
      <c r="Z5241" s="0" t="n">
        <f aca="false">04_回帰ANOVA!$K$19*04_回帰ANOVA!$K$14*SQRT(1+Y5241)</f>
        <v>1.48323226089013</v>
      </c>
      <c r="AA5241" s="0" t="n">
        <f aca="false">X5241-Z5241</f>
        <v>43.1754163136713</v>
      </c>
      <c r="AB5241" s="0" t="n">
        <f aca="false">X5241+Z5241</f>
        <v>46.1418808354515</v>
      </c>
      <c r="AC5241" s="54" t="b">
        <f aca="false">AND(E5241&gt;=01_因子設定!$L$5-0.000000001,E5241&lt;=01_因子設定!$M$5+0.000000001,F5241&gt;=01_因子設定!$L$6-0.000000001,F5241&lt;=01_因子設定!$M$6+0.000000001,G5241&gt;=01_因子設定!$L$7-0.000000001,G5241&lt;=01_因子設定!$M$7+0.000000001,H5241&gt;=01_因子設定!$L$8-0.000000001,H5241&lt;=01_因子設定!$M$8+0.000000001,IF(01_因子設定!$B$20="Box-Behnken",E5241^2+F5241^2+G5241^2+H5241^2&lt;=2+0.000000001,TRUE()))</f>
        <v>1</v>
      </c>
      <c r="AD5241" s="55" t="n">
        <f aca="false">IF(AC5241,IF(01_因子設定!$B$13="最大化",AA5241-01_因子設定!$B$14,IF(01_因子設定!$B$13="最小化",01_因子設定!$B$15-AB5241,MIN(AA5241-01_因子設定!$B$14,01_因子設定!$B$15-AB5241))),-1E+030)</f>
        <v>-3.32458368632872</v>
      </c>
      <c r="AE5241" s="55" t="n">
        <f aca="false">IF(AC5241,IF(01_因子設定!$B$13="最大化",X5241,IF(01_因子設定!$B$13="最小化",-X5241,-ABS(X5241-01_因子設定!$B$16))),-1E+030)</f>
        <v>44.6586485745614</v>
      </c>
      <c r="AF5241" s="55" t="n">
        <f aca="false">AD5241+ROW()*0.000000001</f>
        <v>-3.32457844532872</v>
      </c>
      <c r="AG5241" s="55" t="n">
        <f aca="false">AE5241+ROW()*0.000000001</f>
        <v>44.6586538155614</v>
      </c>
    </row>
    <row r="5242" customFormat="false" ht="15" hidden="false" customHeight="false" outlineLevel="0" collapsed="false">
      <c r="A5242" s="0" t="n">
        <v>7</v>
      </c>
      <c r="B5242" s="0" t="n">
        <v>1</v>
      </c>
      <c r="C5242" s="0" t="n">
        <v>5</v>
      </c>
      <c r="D5242" s="0" t="n">
        <v>8</v>
      </c>
      <c r="E5242" s="0" t="n">
        <f aca="false">-1+A5242*0.25</f>
        <v>0.75</v>
      </c>
      <c r="F5242" s="0" t="n">
        <f aca="false">-1+B5242*0.25</f>
        <v>-0.75</v>
      </c>
      <c r="G5242" s="0" t="n">
        <f aca="false">-1+C5242*0.25</f>
        <v>0.25</v>
      </c>
      <c r="H5242" s="0" t="n">
        <f aca="false">-1+D5242*0.25</f>
        <v>1</v>
      </c>
      <c r="I5242" s="0" t="n">
        <f aca="false">1</f>
        <v>1</v>
      </c>
      <c r="J5242" s="0" t="n">
        <f aca="false">E5242</f>
        <v>0.75</v>
      </c>
      <c r="K5242" s="0" t="n">
        <f aca="false">F5242</f>
        <v>-0.75</v>
      </c>
      <c r="L5242" s="0" t="n">
        <f aca="false">G5242</f>
        <v>0.25</v>
      </c>
      <c r="M5242" s="0" t="n">
        <f aca="false">H5242</f>
        <v>1</v>
      </c>
      <c r="N5242" s="0" t="n">
        <f aca="false">E5242*F5242</f>
        <v>-0.5625</v>
      </c>
      <c r="O5242" s="0" t="n">
        <f aca="false">E5242*G5242</f>
        <v>0.1875</v>
      </c>
      <c r="P5242" s="0" t="n">
        <f aca="false">E5242*H5242</f>
        <v>0.75</v>
      </c>
      <c r="Q5242" s="0" t="n">
        <f aca="false">F5242*G5242</f>
        <v>-0.1875</v>
      </c>
      <c r="R5242" s="0" t="n">
        <f aca="false">F5242*H5242</f>
        <v>-0.75</v>
      </c>
      <c r="S5242" s="0" t="n">
        <f aca="false">G5242*H5242</f>
        <v>0.25</v>
      </c>
      <c r="T5242" s="0" t="n">
        <f aca="false">E5242*E5242</f>
        <v>0.5625</v>
      </c>
      <c r="U5242" s="0" t="n">
        <f aca="false">F5242*F5242</f>
        <v>0.5625</v>
      </c>
      <c r="V5242" s="0" t="n">
        <f aca="false">G5242*G5242</f>
        <v>0.0625</v>
      </c>
      <c r="W5242" s="0" t="n">
        <f aca="false">H5242*H5242</f>
        <v>1</v>
      </c>
      <c r="X5242" s="0" t="n">
        <f aca="false">SUMPRODUCT(I5242:W5242,_XtX!$B$96:$P$96)</f>
        <v>44.6739629020468</v>
      </c>
      <c r="Y5242" s="0" t="n">
        <f aca="false">SUMPRODUCT(MMULT(I5242:W5242,_XtX!$B$78:$P$92),I5242:W5242)</f>
        <v>0.473959761056287</v>
      </c>
      <c r="Z5242" s="0" t="n">
        <f aca="false">04_回帰ANOVA!$K$19*04_回帰ANOVA!$K$14*SQRT(1+Y5242)</f>
        <v>1.58249084588329</v>
      </c>
      <c r="AA5242" s="0" t="n">
        <f aca="false">X5242-Z5242</f>
        <v>43.0914720561635</v>
      </c>
      <c r="AB5242" s="0" t="n">
        <f aca="false">X5242+Z5242</f>
        <v>46.2564537479301</v>
      </c>
      <c r="AC5242" s="54" t="b">
        <f aca="false">AND(E5242&gt;=01_因子設定!$L$5-0.000000001,E5242&lt;=01_因子設定!$M$5+0.000000001,F5242&gt;=01_因子設定!$L$6-0.000000001,F5242&lt;=01_因子設定!$M$6+0.000000001,G5242&gt;=01_因子設定!$L$7-0.000000001,G5242&lt;=01_因子設定!$M$7+0.000000001,H5242&gt;=01_因子設定!$L$8-0.000000001,H5242&lt;=01_因子設定!$M$8+0.000000001,IF(01_因子設定!$B$20="Box-Behnken",E5242^2+F5242^2+G5242^2+H5242^2&lt;=2+0.000000001,TRUE()))</f>
        <v>1</v>
      </c>
      <c r="AD5242" s="55" t="n">
        <f aca="false">IF(AC5242,IF(01_因子設定!$B$13="最大化",AA5242-01_因子設定!$B$14,IF(01_因子設定!$B$13="最小化",01_因子設定!$B$15-AB5242,MIN(AA5242-01_因子設定!$B$14,01_因子設定!$B$15-AB5242))),-1E+030)</f>
        <v>-3.40852794383648</v>
      </c>
      <c r="AE5242" s="55" t="n">
        <f aca="false">IF(AC5242,IF(01_因子設定!$B$13="最大化",X5242,IF(01_因子設定!$B$13="最小化",-X5242,-ABS(X5242-01_因子設定!$B$16))),-1E+030)</f>
        <v>44.6739629020468</v>
      </c>
      <c r="AF5242" s="55" t="n">
        <f aca="false">AD5242+ROW()*0.000000001</f>
        <v>-3.40852270183648</v>
      </c>
      <c r="AG5242" s="55" t="n">
        <f aca="false">AE5242+ROW()*0.000000001</f>
        <v>44.6739681440468</v>
      </c>
    </row>
    <row r="5243" customFormat="false" ht="15" hidden="false" customHeight="false" outlineLevel="0" collapsed="false">
      <c r="A5243" s="0" t="n">
        <v>7</v>
      </c>
      <c r="B5243" s="0" t="n">
        <v>1</v>
      </c>
      <c r="C5243" s="0" t="n">
        <v>6</v>
      </c>
      <c r="D5243" s="0" t="n">
        <v>0</v>
      </c>
      <c r="E5243" s="0" t="n">
        <f aca="false">-1+A5243*0.25</f>
        <v>0.75</v>
      </c>
      <c r="F5243" s="0" t="n">
        <f aca="false">-1+B5243*0.25</f>
        <v>-0.75</v>
      </c>
      <c r="G5243" s="0" t="n">
        <f aca="false">-1+C5243*0.25</f>
        <v>0.5</v>
      </c>
      <c r="H5243" s="0" t="n">
        <f aca="false">-1+D5243*0.25</f>
        <v>-1</v>
      </c>
      <c r="I5243" s="0" t="n">
        <f aca="false">1</f>
        <v>1</v>
      </c>
      <c r="J5243" s="0" t="n">
        <f aca="false">E5243</f>
        <v>0.75</v>
      </c>
      <c r="K5243" s="0" t="n">
        <f aca="false">F5243</f>
        <v>-0.75</v>
      </c>
      <c r="L5243" s="0" t="n">
        <f aca="false">G5243</f>
        <v>0.5</v>
      </c>
      <c r="M5243" s="0" t="n">
        <f aca="false">H5243</f>
        <v>-1</v>
      </c>
      <c r="N5243" s="0" t="n">
        <f aca="false">E5243*F5243</f>
        <v>-0.5625</v>
      </c>
      <c r="O5243" s="0" t="n">
        <f aca="false">E5243*G5243</f>
        <v>0.375</v>
      </c>
      <c r="P5243" s="0" t="n">
        <f aca="false">E5243*H5243</f>
        <v>-0.75</v>
      </c>
      <c r="Q5243" s="0" t="n">
        <f aca="false">F5243*G5243</f>
        <v>-0.375</v>
      </c>
      <c r="R5243" s="0" t="n">
        <f aca="false">F5243*H5243</f>
        <v>0.75</v>
      </c>
      <c r="S5243" s="0" t="n">
        <f aca="false">G5243*H5243</f>
        <v>-0.5</v>
      </c>
      <c r="T5243" s="0" t="n">
        <f aca="false">E5243*E5243</f>
        <v>0.5625</v>
      </c>
      <c r="U5243" s="0" t="n">
        <f aca="false">F5243*F5243</f>
        <v>0.5625</v>
      </c>
      <c r="V5243" s="0" t="n">
        <f aca="false">G5243*G5243</f>
        <v>0.25</v>
      </c>
      <c r="W5243" s="0" t="n">
        <f aca="false">H5243*H5243</f>
        <v>1</v>
      </c>
      <c r="X5243" s="0" t="n">
        <f aca="false">SUMPRODUCT(I5243:W5243,_XtX!$B$96:$P$96)</f>
        <v>43.0783808479532</v>
      </c>
      <c r="Y5243" s="0" t="n">
        <f aca="false">SUMPRODUCT(MMULT(I5243:W5243,_XtX!$B$78:$P$92),I5243:W5243)</f>
        <v>0.431153771472953</v>
      </c>
      <c r="Z5243" s="0" t="n">
        <f aca="false">04_回帰ANOVA!$K$19*04_回帰ANOVA!$K$14*SQRT(1+Y5243)</f>
        <v>1.55934259562563</v>
      </c>
      <c r="AA5243" s="0" t="n">
        <f aca="false">X5243-Z5243</f>
        <v>41.5190382523276</v>
      </c>
      <c r="AB5243" s="0" t="n">
        <f aca="false">X5243+Z5243</f>
        <v>44.6377234435789</v>
      </c>
      <c r="AC5243" s="54" t="b">
        <f aca="false">AND(E5243&gt;=01_因子設定!$L$5-0.000000001,E5243&lt;=01_因子設定!$M$5+0.000000001,F5243&gt;=01_因子設定!$L$6-0.000000001,F5243&lt;=01_因子設定!$M$6+0.000000001,G5243&gt;=01_因子設定!$L$7-0.000000001,G5243&lt;=01_因子設定!$M$7+0.000000001,H5243&gt;=01_因子設定!$L$8-0.000000001,H5243&lt;=01_因子設定!$M$8+0.000000001,IF(01_因子設定!$B$20="Box-Behnken",E5243^2+F5243^2+G5243^2+H5243^2&lt;=2+0.000000001,TRUE()))</f>
        <v>1</v>
      </c>
      <c r="AD5243" s="55" t="n">
        <f aca="false">IF(AC5243,IF(01_因子設定!$B$13="最大化",AA5243-01_因子設定!$B$14,IF(01_因子設定!$B$13="最小化",01_因子設定!$B$15-AB5243,MIN(AA5243-01_因子設定!$B$14,01_因子設定!$B$15-AB5243))),-1E+030)</f>
        <v>-4.98096174767239</v>
      </c>
      <c r="AE5243" s="55" t="n">
        <f aca="false">IF(AC5243,IF(01_因子設定!$B$13="最大化",X5243,IF(01_因子設定!$B$13="最小化",-X5243,-ABS(X5243-01_因子設定!$B$16))),-1E+030)</f>
        <v>43.0783808479532</v>
      </c>
      <c r="AF5243" s="55" t="n">
        <f aca="false">AD5243+ROW()*0.000000001</f>
        <v>-4.98095650467239</v>
      </c>
      <c r="AG5243" s="55" t="n">
        <f aca="false">AE5243+ROW()*0.000000001</f>
        <v>43.0783860909532</v>
      </c>
    </row>
    <row r="5244" customFormat="false" ht="15" hidden="false" customHeight="false" outlineLevel="0" collapsed="false">
      <c r="A5244" s="0" t="n">
        <v>7</v>
      </c>
      <c r="B5244" s="0" t="n">
        <v>1</v>
      </c>
      <c r="C5244" s="0" t="n">
        <v>6</v>
      </c>
      <c r="D5244" s="0" t="n">
        <v>1</v>
      </c>
      <c r="E5244" s="0" t="n">
        <f aca="false">-1+A5244*0.25</f>
        <v>0.75</v>
      </c>
      <c r="F5244" s="0" t="n">
        <f aca="false">-1+B5244*0.25</f>
        <v>-0.75</v>
      </c>
      <c r="G5244" s="0" t="n">
        <f aca="false">-1+C5244*0.25</f>
        <v>0.5</v>
      </c>
      <c r="H5244" s="0" t="n">
        <f aca="false">-1+D5244*0.25</f>
        <v>-0.75</v>
      </c>
      <c r="I5244" s="0" t="n">
        <f aca="false">1</f>
        <v>1</v>
      </c>
      <c r="J5244" s="0" t="n">
        <f aca="false">E5244</f>
        <v>0.75</v>
      </c>
      <c r="K5244" s="0" t="n">
        <f aca="false">F5244</f>
        <v>-0.75</v>
      </c>
      <c r="L5244" s="0" t="n">
        <f aca="false">G5244</f>
        <v>0.5</v>
      </c>
      <c r="M5244" s="0" t="n">
        <f aca="false">H5244</f>
        <v>-0.75</v>
      </c>
      <c r="N5244" s="0" t="n">
        <f aca="false">E5244*F5244</f>
        <v>-0.5625</v>
      </c>
      <c r="O5244" s="0" t="n">
        <f aca="false">E5244*G5244</f>
        <v>0.375</v>
      </c>
      <c r="P5244" s="0" t="n">
        <f aca="false">E5244*H5244</f>
        <v>-0.5625</v>
      </c>
      <c r="Q5244" s="0" t="n">
        <f aca="false">F5244*G5244</f>
        <v>-0.375</v>
      </c>
      <c r="R5244" s="0" t="n">
        <f aca="false">F5244*H5244</f>
        <v>0.5625</v>
      </c>
      <c r="S5244" s="0" t="n">
        <f aca="false">G5244*H5244</f>
        <v>-0.375</v>
      </c>
      <c r="T5244" s="0" t="n">
        <f aca="false">E5244*E5244</f>
        <v>0.5625</v>
      </c>
      <c r="U5244" s="0" t="n">
        <f aca="false">F5244*F5244</f>
        <v>0.5625</v>
      </c>
      <c r="V5244" s="0" t="n">
        <f aca="false">G5244*G5244</f>
        <v>0.25</v>
      </c>
      <c r="W5244" s="0" t="n">
        <f aca="false">H5244*H5244</f>
        <v>0.5625</v>
      </c>
      <c r="X5244" s="0" t="n">
        <f aca="false">SUMPRODUCT(I5244:W5244,_XtX!$B$96:$P$96)</f>
        <v>43.4463130482456</v>
      </c>
      <c r="Y5244" s="0" t="n">
        <f aca="false">SUMPRODUCT(MMULT(I5244:W5244,_XtX!$B$78:$P$92),I5244:W5244)</f>
        <v>0.265632138614766</v>
      </c>
      <c r="Z5244" s="0" t="n">
        <f aca="false">04_回帰ANOVA!$K$19*04_回帰ANOVA!$K$14*SQRT(1+Y5244)</f>
        <v>1.46639894654257</v>
      </c>
      <c r="AA5244" s="0" t="n">
        <f aca="false">X5244-Z5244</f>
        <v>41.979914101703</v>
      </c>
      <c r="AB5244" s="0" t="n">
        <f aca="false">X5244+Z5244</f>
        <v>44.9127119947882</v>
      </c>
      <c r="AC5244" s="54" t="b">
        <f aca="false">AND(E5244&gt;=01_因子設定!$L$5-0.000000001,E5244&lt;=01_因子設定!$M$5+0.000000001,F5244&gt;=01_因子設定!$L$6-0.000000001,F5244&lt;=01_因子設定!$M$6+0.000000001,G5244&gt;=01_因子設定!$L$7-0.000000001,G5244&lt;=01_因子設定!$M$7+0.000000001,H5244&gt;=01_因子設定!$L$8-0.000000001,H5244&lt;=01_因子設定!$M$8+0.000000001,IF(01_因子設定!$B$20="Box-Behnken",E5244^2+F5244^2+G5244^2+H5244^2&lt;=2+0.000000001,TRUE()))</f>
        <v>1</v>
      </c>
      <c r="AD5244" s="55" t="n">
        <f aca="false">IF(AC5244,IF(01_因子設定!$B$13="最大化",AA5244-01_因子設定!$B$14,IF(01_因子設定!$B$13="最小化",01_因子設定!$B$15-AB5244,MIN(AA5244-01_因子設定!$B$14,01_因子設定!$B$15-AB5244))),-1E+030)</f>
        <v>-4.52008589829696</v>
      </c>
      <c r="AE5244" s="55" t="n">
        <f aca="false">IF(AC5244,IF(01_因子設定!$B$13="最大化",X5244,IF(01_因子設定!$B$13="最小化",-X5244,-ABS(X5244-01_因子設定!$B$16))),-1E+030)</f>
        <v>43.4463130482456</v>
      </c>
      <c r="AF5244" s="55" t="n">
        <f aca="false">AD5244+ROW()*0.000000001</f>
        <v>-4.52008065429696</v>
      </c>
      <c r="AG5244" s="55" t="n">
        <f aca="false">AE5244+ROW()*0.000000001</f>
        <v>43.4463182922456</v>
      </c>
    </row>
    <row r="5245" customFormat="false" ht="15" hidden="false" customHeight="false" outlineLevel="0" collapsed="false">
      <c r="A5245" s="0" t="n">
        <v>7</v>
      </c>
      <c r="B5245" s="0" t="n">
        <v>1</v>
      </c>
      <c r="C5245" s="0" t="n">
        <v>6</v>
      </c>
      <c r="D5245" s="0" t="n">
        <v>2</v>
      </c>
      <c r="E5245" s="0" t="n">
        <f aca="false">-1+A5245*0.25</f>
        <v>0.75</v>
      </c>
      <c r="F5245" s="0" t="n">
        <f aca="false">-1+B5245*0.25</f>
        <v>-0.75</v>
      </c>
      <c r="G5245" s="0" t="n">
        <f aca="false">-1+C5245*0.25</f>
        <v>0.5</v>
      </c>
      <c r="H5245" s="0" t="n">
        <f aca="false">-1+D5245*0.25</f>
        <v>-0.5</v>
      </c>
      <c r="I5245" s="0" t="n">
        <f aca="false">1</f>
        <v>1</v>
      </c>
      <c r="J5245" s="0" t="n">
        <f aca="false">E5245</f>
        <v>0.75</v>
      </c>
      <c r="K5245" s="0" t="n">
        <f aca="false">F5245</f>
        <v>-0.75</v>
      </c>
      <c r="L5245" s="0" t="n">
        <f aca="false">G5245</f>
        <v>0.5</v>
      </c>
      <c r="M5245" s="0" t="n">
        <f aca="false">H5245</f>
        <v>-0.5</v>
      </c>
      <c r="N5245" s="0" t="n">
        <f aca="false">E5245*F5245</f>
        <v>-0.5625</v>
      </c>
      <c r="O5245" s="0" t="n">
        <f aca="false">E5245*G5245</f>
        <v>0.375</v>
      </c>
      <c r="P5245" s="0" t="n">
        <f aca="false">E5245*H5245</f>
        <v>-0.375</v>
      </c>
      <c r="Q5245" s="0" t="n">
        <f aca="false">F5245*G5245</f>
        <v>-0.375</v>
      </c>
      <c r="R5245" s="0" t="n">
        <f aca="false">F5245*H5245</f>
        <v>0.375</v>
      </c>
      <c r="S5245" s="0" t="n">
        <f aca="false">G5245*H5245</f>
        <v>-0.25</v>
      </c>
      <c r="T5245" s="0" t="n">
        <f aca="false">E5245*E5245</f>
        <v>0.5625</v>
      </c>
      <c r="U5245" s="0" t="n">
        <f aca="false">F5245*F5245</f>
        <v>0.5625</v>
      </c>
      <c r="V5245" s="0" t="n">
        <f aca="false">G5245*G5245</f>
        <v>0.25</v>
      </c>
      <c r="W5245" s="0" t="n">
        <f aca="false">H5245*H5245</f>
        <v>0.25</v>
      </c>
      <c r="X5245" s="0" t="n">
        <f aca="false">SUMPRODUCT(I5245:W5245,_XtX!$B$96:$P$96)</f>
        <v>43.7664382309942</v>
      </c>
      <c r="Y5245" s="0" t="n">
        <f aca="false">SUMPRODUCT(MMULT(I5245:W5245,_XtX!$B$78:$P$92),I5245:W5245)</f>
        <v>0.237862927174708</v>
      </c>
      <c r="Z5245" s="0" t="n">
        <f aca="false">04_回帰ANOVA!$K$19*04_回帰ANOVA!$K$14*SQRT(1+Y5245)</f>
        <v>1.45022260708756</v>
      </c>
      <c r="AA5245" s="0" t="n">
        <f aca="false">X5245-Z5245</f>
        <v>42.3162156239066</v>
      </c>
      <c r="AB5245" s="0" t="n">
        <f aca="false">X5245+Z5245</f>
        <v>45.2166608380817</v>
      </c>
      <c r="AC5245" s="54" t="b">
        <f aca="false">AND(E5245&gt;=01_因子設定!$L$5-0.000000001,E5245&lt;=01_因子設定!$M$5+0.000000001,F5245&gt;=01_因子設定!$L$6-0.000000001,F5245&lt;=01_因子設定!$M$6+0.000000001,G5245&gt;=01_因子設定!$L$7-0.000000001,G5245&lt;=01_因子設定!$M$7+0.000000001,H5245&gt;=01_因子設定!$L$8-0.000000001,H5245&lt;=01_因子設定!$M$8+0.000000001,IF(01_因子設定!$B$20="Box-Behnken",E5245^2+F5245^2+G5245^2+H5245^2&lt;=2+0.000000001,TRUE()))</f>
        <v>1</v>
      </c>
      <c r="AD5245" s="55" t="n">
        <f aca="false">IF(AC5245,IF(01_因子設定!$B$13="最大化",AA5245-01_因子設定!$B$14,IF(01_因子設定!$B$13="最小化",01_因子設定!$B$15-AB5245,MIN(AA5245-01_因子設定!$B$14,01_因子設定!$B$15-AB5245))),-1E+030)</f>
        <v>-4.18378437609341</v>
      </c>
      <c r="AE5245" s="55" t="n">
        <f aca="false">IF(AC5245,IF(01_因子設定!$B$13="最大化",X5245,IF(01_因子設定!$B$13="最小化",-X5245,-ABS(X5245-01_因子設定!$B$16))),-1E+030)</f>
        <v>43.7664382309942</v>
      </c>
      <c r="AF5245" s="55" t="n">
        <f aca="false">AD5245+ROW()*0.000000001</f>
        <v>-4.18377913109341</v>
      </c>
      <c r="AG5245" s="55" t="n">
        <f aca="false">AE5245+ROW()*0.000000001</f>
        <v>43.7664434759941</v>
      </c>
    </row>
    <row r="5246" customFormat="false" ht="15" hidden="false" customHeight="false" outlineLevel="0" collapsed="false">
      <c r="A5246" s="0" t="n">
        <v>7</v>
      </c>
      <c r="B5246" s="0" t="n">
        <v>1</v>
      </c>
      <c r="C5246" s="0" t="n">
        <v>6</v>
      </c>
      <c r="D5246" s="0" t="n">
        <v>3</v>
      </c>
      <c r="E5246" s="0" t="n">
        <f aca="false">-1+A5246*0.25</f>
        <v>0.75</v>
      </c>
      <c r="F5246" s="0" t="n">
        <f aca="false">-1+B5246*0.25</f>
        <v>-0.75</v>
      </c>
      <c r="G5246" s="0" t="n">
        <f aca="false">-1+C5246*0.25</f>
        <v>0.5</v>
      </c>
      <c r="H5246" s="0" t="n">
        <f aca="false">-1+D5246*0.25</f>
        <v>-0.25</v>
      </c>
      <c r="I5246" s="0" t="n">
        <f aca="false">1</f>
        <v>1</v>
      </c>
      <c r="J5246" s="0" t="n">
        <f aca="false">E5246</f>
        <v>0.75</v>
      </c>
      <c r="K5246" s="0" t="n">
        <f aca="false">F5246</f>
        <v>-0.75</v>
      </c>
      <c r="L5246" s="0" t="n">
        <f aca="false">G5246</f>
        <v>0.5</v>
      </c>
      <c r="M5246" s="0" t="n">
        <f aca="false">H5246</f>
        <v>-0.25</v>
      </c>
      <c r="N5246" s="0" t="n">
        <f aca="false">E5246*F5246</f>
        <v>-0.5625</v>
      </c>
      <c r="O5246" s="0" t="n">
        <f aca="false">E5246*G5246</f>
        <v>0.375</v>
      </c>
      <c r="P5246" s="0" t="n">
        <f aca="false">E5246*H5246</f>
        <v>-0.1875</v>
      </c>
      <c r="Q5246" s="0" t="n">
        <f aca="false">F5246*G5246</f>
        <v>-0.375</v>
      </c>
      <c r="R5246" s="0" t="n">
        <f aca="false">F5246*H5246</f>
        <v>0.1875</v>
      </c>
      <c r="S5246" s="0" t="n">
        <f aca="false">G5246*H5246</f>
        <v>-0.125</v>
      </c>
      <c r="T5246" s="0" t="n">
        <f aca="false">E5246*E5246</f>
        <v>0.5625</v>
      </c>
      <c r="U5246" s="0" t="n">
        <f aca="false">F5246*F5246</f>
        <v>0.5625</v>
      </c>
      <c r="V5246" s="0" t="n">
        <f aca="false">G5246*G5246</f>
        <v>0.25</v>
      </c>
      <c r="W5246" s="0" t="n">
        <f aca="false">H5246*H5246</f>
        <v>0.0625</v>
      </c>
      <c r="X5246" s="0" t="n">
        <f aca="false">SUMPRODUCT(I5246:W5246,_XtX!$B$96:$P$96)</f>
        <v>44.0387563961988</v>
      </c>
      <c r="Y5246" s="0" t="n">
        <f aca="false">SUMPRODUCT(MMULT(I5246:W5246,_XtX!$B$78:$P$92),I5246:W5246)</f>
        <v>0.257385610836988</v>
      </c>
      <c r="Z5246" s="0" t="n">
        <f aca="false">04_回帰ANOVA!$K$19*04_回帰ANOVA!$K$14*SQRT(1+Y5246)</f>
        <v>1.46161380324158</v>
      </c>
      <c r="AA5246" s="0" t="n">
        <f aca="false">X5246-Z5246</f>
        <v>42.5771425929572</v>
      </c>
      <c r="AB5246" s="0" t="n">
        <f aca="false">X5246+Z5246</f>
        <v>45.5003701994404</v>
      </c>
      <c r="AC5246" s="54" t="b">
        <f aca="false">AND(E5246&gt;=01_因子設定!$L$5-0.000000001,E5246&lt;=01_因子設定!$M$5+0.000000001,F5246&gt;=01_因子設定!$L$6-0.000000001,F5246&lt;=01_因子設定!$M$6+0.000000001,G5246&gt;=01_因子設定!$L$7-0.000000001,G5246&lt;=01_因子設定!$M$7+0.000000001,H5246&gt;=01_因子設定!$L$8-0.000000001,H5246&lt;=01_因子設定!$M$8+0.000000001,IF(01_因子設定!$B$20="Box-Behnken",E5246^2+F5246^2+G5246^2+H5246^2&lt;=2+0.000000001,TRUE()))</f>
        <v>1</v>
      </c>
      <c r="AD5246" s="55" t="n">
        <f aca="false">IF(AC5246,IF(01_因子設定!$B$13="最大化",AA5246-01_因子設定!$B$14,IF(01_因子設定!$B$13="最小化",01_因子設定!$B$15-AB5246,MIN(AA5246-01_因子設定!$B$14,01_因子設定!$B$15-AB5246))),-1E+030)</f>
        <v>-3.92285740704276</v>
      </c>
      <c r="AE5246" s="55" t="n">
        <f aca="false">IF(AC5246,IF(01_因子設定!$B$13="最大化",X5246,IF(01_因子設定!$B$13="最小化",-X5246,-ABS(X5246-01_因子設定!$B$16))),-1E+030)</f>
        <v>44.0387563961988</v>
      </c>
      <c r="AF5246" s="55" t="n">
        <f aca="false">AD5246+ROW()*0.000000001</f>
        <v>-3.92285216104276</v>
      </c>
      <c r="AG5246" s="55" t="n">
        <f aca="false">AE5246+ROW()*0.000000001</f>
        <v>44.0387616421988</v>
      </c>
    </row>
    <row r="5247" customFormat="false" ht="15" hidden="false" customHeight="false" outlineLevel="0" collapsed="false">
      <c r="A5247" s="0" t="n">
        <v>7</v>
      </c>
      <c r="B5247" s="0" t="n">
        <v>1</v>
      </c>
      <c r="C5247" s="0" t="n">
        <v>6</v>
      </c>
      <c r="D5247" s="0" t="n">
        <v>4</v>
      </c>
      <c r="E5247" s="0" t="n">
        <f aca="false">-1+A5247*0.25</f>
        <v>0.75</v>
      </c>
      <c r="F5247" s="0" t="n">
        <f aca="false">-1+B5247*0.25</f>
        <v>-0.75</v>
      </c>
      <c r="G5247" s="0" t="n">
        <f aca="false">-1+C5247*0.25</f>
        <v>0.5</v>
      </c>
      <c r="H5247" s="0" t="n">
        <f aca="false">-1+D5247*0.25</f>
        <v>0</v>
      </c>
      <c r="I5247" s="0" t="n">
        <f aca="false">1</f>
        <v>1</v>
      </c>
      <c r="J5247" s="0" t="n">
        <f aca="false">E5247</f>
        <v>0.75</v>
      </c>
      <c r="K5247" s="0" t="n">
        <f aca="false">F5247</f>
        <v>-0.75</v>
      </c>
      <c r="L5247" s="0" t="n">
        <f aca="false">G5247</f>
        <v>0.5</v>
      </c>
      <c r="M5247" s="0" t="n">
        <f aca="false">H5247</f>
        <v>0</v>
      </c>
      <c r="N5247" s="0" t="n">
        <f aca="false">E5247*F5247</f>
        <v>-0.5625</v>
      </c>
      <c r="O5247" s="0" t="n">
        <f aca="false">E5247*G5247</f>
        <v>0.375</v>
      </c>
      <c r="P5247" s="0" t="n">
        <f aca="false">E5247*H5247</f>
        <v>0</v>
      </c>
      <c r="Q5247" s="0" t="n">
        <f aca="false">F5247*G5247</f>
        <v>-0.375</v>
      </c>
      <c r="R5247" s="0" t="n">
        <f aca="false">F5247*H5247</f>
        <v>-0</v>
      </c>
      <c r="S5247" s="0" t="n">
        <f aca="false">G5247*H5247</f>
        <v>0</v>
      </c>
      <c r="T5247" s="0" t="n">
        <f aca="false">E5247*E5247</f>
        <v>0.5625</v>
      </c>
      <c r="U5247" s="0" t="n">
        <f aca="false">F5247*F5247</f>
        <v>0.5625</v>
      </c>
      <c r="V5247" s="0" t="n">
        <f aca="false">G5247*G5247</f>
        <v>0.25</v>
      </c>
      <c r="W5247" s="0" t="n">
        <f aca="false">H5247*H5247</f>
        <v>0</v>
      </c>
      <c r="X5247" s="0" t="n">
        <f aca="false">SUMPRODUCT(I5247:W5247,_XtX!$B$96:$P$96)</f>
        <v>44.2632675438596</v>
      </c>
      <c r="Y5247" s="0" t="n">
        <f aca="false">SUMPRODUCT(MMULT(I5247:W5247,_XtX!$B$78:$P$92),I5247:W5247)</f>
        <v>0.269923873812135</v>
      </c>
      <c r="Z5247" s="0" t="n">
        <f aca="false">04_回帰ANOVA!$K$19*04_回帰ANOVA!$K$14*SQRT(1+Y5247)</f>
        <v>1.46888310825501</v>
      </c>
      <c r="AA5247" s="0" t="n">
        <f aca="false">X5247-Z5247</f>
        <v>42.7943844356046</v>
      </c>
      <c r="AB5247" s="0" t="n">
        <f aca="false">X5247+Z5247</f>
        <v>45.7321506521146</v>
      </c>
      <c r="AC5247" s="54" t="b">
        <f aca="false">AND(E5247&gt;=01_因子設定!$L$5-0.000000001,E5247&lt;=01_因子設定!$M$5+0.000000001,F5247&gt;=01_因子設定!$L$6-0.000000001,F5247&lt;=01_因子設定!$M$6+0.000000001,G5247&gt;=01_因子設定!$L$7-0.000000001,G5247&lt;=01_因子設定!$M$7+0.000000001,H5247&gt;=01_因子設定!$L$8-0.000000001,H5247&lt;=01_因子設定!$M$8+0.000000001,IF(01_因子設定!$B$20="Box-Behnken",E5247^2+F5247^2+G5247^2+H5247^2&lt;=2+0.000000001,TRUE()))</f>
        <v>1</v>
      </c>
      <c r="AD5247" s="55" t="n">
        <f aca="false">IF(AC5247,IF(01_因子設定!$B$13="最大化",AA5247-01_因子設定!$B$14,IF(01_因子設定!$B$13="最小化",01_因子設定!$B$15-AB5247,MIN(AA5247-01_因子設定!$B$14,01_因子設定!$B$15-AB5247))),-1E+030)</f>
        <v>-3.70561556439537</v>
      </c>
      <c r="AE5247" s="55" t="n">
        <f aca="false">IF(AC5247,IF(01_因子設定!$B$13="最大化",X5247,IF(01_因子設定!$B$13="最小化",-X5247,-ABS(X5247-01_因子設定!$B$16))),-1E+030)</f>
        <v>44.2632675438596</v>
      </c>
      <c r="AF5247" s="55" t="n">
        <f aca="false">AD5247+ROW()*0.000000001</f>
        <v>-3.70561031739537</v>
      </c>
      <c r="AG5247" s="55" t="n">
        <f aca="false">AE5247+ROW()*0.000000001</f>
        <v>44.2632727908596</v>
      </c>
    </row>
    <row r="5248" customFormat="false" ht="15" hidden="false" customHeight="false" outlineLevel="0" collapsed="false">
      <c r="A5248" s="0" t="n">
        <v>7</v>
      </c>
      <c r="B5248" s="0" t="n">
        <v>1</v>
      </c>
      <c r="C5248" s="0" t="n">
        <v>6</v>
      </c>
      <c r="D5248" s="0" t="n">
        <v>5</v>
      </c>
      <c r="E5248" s="0" t="n">
        <f aca="false">-1+A5248*0.25</f>
        <v>0.75</v>
      </c>
      <c r="F5248" s="0" t="n">
        <f aca="false">-1+B5248*0.25</f>
        <v>-0.75</v>
      </c>
      <c r="G5248" s="0" t="n">
        <f aca="false">-1+C5248*0.25</f>
        <v>0.5</v>
      </c>
      <c r="H5248" s="0" t="n">
        <f aca="false">-1+D5248*0.25</f>
        <v>0.25</v>
      </c>
      <c r="I5248" s="0" t="n">
        <f aca="false">1</f>
        <v>1</v>
      </c>
      <c r="J5248" s="0" t="n">
        <f aca="false">E5248</f>
        <v>0.75</v>
      </c>
      <c r="K5248" s="0" t="n">
        <f aca="false">F5248</f>
        <v>-0.75</v>
      </c>
      <c r="L5248" s="0" t="n">
        <f aca="false">G5248</f>
        <v>0.5</v>
      </c>
      <c r="M5248" s="0" t="n">
        <f aca="false">H5248</f>
        <v>0.25</v>
      </c>
      <c r="N5248" s="0" t="n">
        <f aca="false">E5248*F5248</f>
        <v>-0.5625</v>
      </c>
      <c r="O5248" s="0" t="n">
        <f aca="false">E5248*G5248</f>
        <v>0.375</v>
      </c>
      <c r="P5248" s="0" t="n">
        <f aca="false">E5248*H5248</f>
        <v>0.1875</v>
      </c>
      <c r="Q5248" s="0" t="n">
        <f aca="false">F5248*G5248</f>
        <v>-0.375</v>
      </c>
      <c r="R5248" s="0" t="n">
        <f aca="false">F5248*H5248</f>
        <v>-0.1875</v>
      </c>
      <c r="S5248" s="0" t="n">
        <f aca="false">G5248*H5248</f>
        <v>0.125</v>
      </c>
      <c r="T5248" s="0" t="n">
        <f aca="false">E5248*E5248</f>
        <v>0.5625</v>
      </c>
      <c r="U5248" s="0" t="n">
        <f aca="false">F5248*F5248</f>
        <v>0.5625</v>
      </c>
      <c r="V5248" s="0" t="n">
        <f aca="false">G5248*G5248</f>
        <v>0.25</v>
      </c>
      <c r="W5248" s="0" t="n">
        <f aca="false">H5248*H5248</f>
        <v>0.0625</v>
      </c>
      <c r="X5248" s="0" t="n">
        <f aca="false">SUMPRODUCT(I5248:W5248,_XtX!$B$96:$P$96)</f>
        <v>44.4399716739766</v>
      </c>
      <c r="Y5248" s="0" t="n">
        <f aca="false">SUMPRODUCT(MMULT(I5248:W5248,_XtX!$B$78:$P$92),I5248:W5248)</f>
        <v>0.257385610836988</v>
      </c>
      <c r="Z5248" s="0" t="n">
        <f aca="false">04_回帰ANOVA!$K$19*04_回帰ANOVA!$K$14*SQRT(1+Y5248)</f>
        <v>1.46161380324158</v>
      </c>
      <c r="AA5248" s="0" t="n">
        <f aca="false">X5248-Z5248</f>
        <v>42.978357870735</v>
      </c>
      <c r="AB5248" s="0" t="n">
        <f aca="false">X5248+Z5248</f>
        <v>45.9015854772182</v>
      </c>
      <c r="AC5248" s="54" t="b">
        <f aca="false">AND(E5248&gt;=01_因子設定!$L$5-0.000000001,E5248&lt;=01_因子設定!$M$5+0.000000001,F5248&gt;=01_因子設定!$L$6-0.000000001,F5248&lt;=01_因子設定!$M$6+0.000000001,G5248&gt;=01_因子設定!$L$7-0.000000001,G5248&lt;=01_因子設定!$M$7+0.000000001,H5248&gt;=01_因子設定!$L$8-0.000000001,H5248&lt;=01_因子設定!$M$8+0.000000001,IF(01_因子設定!$B$20="Box-Behnken",E5248^2+F5248^2+G5248^2+H5248^2&lt;=2+0.000000001,TRUE()))</f>
        <v>1</v>
      </c>
      <c r="AD5248" s="55" t="n">
        <f aca="false">IF(AC5248,IF(01_因子設定!$B$13="最大化",AA5248-01_因子設定!$B$14,IF(01_因子設定!$B$13="最小化",01_因子設定!$B$15-AB5248,MIN(AA5248-01_因子設定!$B$14,01_因子設定!$B$15-AB5248))),-1E+030)</f>
        <v>-3.52164212926499</v>
      </c>
      <c r="AE5248" s="55" t="n">
        <f aca="false">IF(AC5248,IF(01_因子設定!$B$13="最大化",X5248,IF(01_因子設定!$B$13="最小化",-X5248,-ABS(X5248-01_因子設定!$B$16))),-1E+030)</f>
        <v>44.4399716739766</v>
      </c>
      <c r="AF5248" s="55" t="n">
        <f aca="false">AD5248+ROW()*0.000000001</f>
        <v>-3.52163688126499</v>
      </c>
      <c r="AG5248" s="55" t="n">
        <f aca="false">AE5248+ROW()*0.000000001</f>
        <v>44.4399769219766</v>
      </c>
    </row>
    <row r="5249" customFormat="false" ht="15" hidden="false" customHeight="false" outlineLevel="0" collapsed="false">
      <c r="A5249" s="0" t="n">
        <v>7</v>
      </c>
      <c r="B5249" s="0" t="n">
        <v>1</v>
      </c>
      <c r="C5249" s="0" t="n">
        <v>6</v>
      </c>
      <c r="D5249" s="0" t="n">
        <v>6</v>
      </c>
      <c r="E5249" s="0" t="n">
        <f aca="false">-1+A5249*0.25</f>
        <v>0.75</v>
      </c>
      <c r="F5249" s="0" t="n">
        <f aca="false">-1+B5249*0.25</f>
        <v>-0.75</v>
      </c>
      <c r="G5249" s="0" t="n">
        <f aca="false">-1+C5249*0.25</f>
        <v>0.5</v>
      </c>
      <c r="H5249" s="0" t="n">
        <f aca="false">-1+D5249*0.25</f>
        <v>0.5</v>
      </c>
      <c r="I5249" s="0" t="n">
        <f aca="false">1</f>
        <v>1</v>
      </c>
      <c r="J5249" s="0" t="n">
        <f aca="false">E5249</f>
        <v>0.75</v>
      </c>
      <c r="K5249" s="0" t="n">
        <f aca="false">F5249</f>
        <v>-0.75</v>
      </c>
      <c r="L5249" s="0" t="n">
        <f aca="false">G5249</f>
        <v>0.5</v>
      </c>
      <c r="M5249" s="0" t="n">
        <f aca="false">H5249</f>
        <v>0.5</v>
      </c>
      <c r="N5249" s="0" t="n">
        <f aca="false">E5249*F5249</f>
        <v>-0.5625</v>
      </c>
      <c r="O5249" s="0" t="n">
        <f aca="false">E5249*G5249</f>
        <v>0.375</v>
      </c>
      <c r="P5249" s="0" t="n">
        <f aca="false">E5249*H5249</f>
        <v>0.375</v>
      </c>
      <c r="Q5249" s="0" t="n">
        <f aca="false">F5249*G5249</f>
        <v>-0.375</v>
      </c>
      <c r="R5249" s="0" t="n">
        <f aca="false">F5249*H5249</f>
        <v>-0.375</v>
      </c>
      <c r="S5249" s="0" t="n">
        <f aca="false">G5249*H5249</f>
        <v>0.25</v>
      </c>
      <c r="T5249" s="0" t="n">
        <f aca="false">E5249*E5249</f>
        <v>0.5625</v>
      </c>
      <c r="U5249" s="0" t="n">
        <f aca="false">F5249*F5249</f>
        <v>0.5625</v>
      </c>
      <c r="V5249" s="0" t="n">
        <f aca="false">G5249*G5249</f>
        <v>0.25</v>
      </c>
      <c r="W5249" s="0" t="n">
        <f aca="false">H5249*H5249</f>
        <v>0.25</v>
      </c>
      <c r="X5249" s="0" t="n">
        <f aca="false">SUMPRODUCT(I5249:W5249,_XtX!$B$96:$P$96)</f>
        <v>44.5688687865497</v>
      </c>
      <c r="Y5249" s="0" t="n">
        <f aca="false">SUMPRODUCT(MMULT(I5249:W5249,_XtX!$B$78:$P$92),I5249:W5249)</f>
        <v>0.237862927174708</v>
      </c>
      <c r="Z5249" s="0" t="n">
        <f aca="false">04_回帰ANOVA!$K$19*04_回帰ANOVA!$K$14*SQRT(1+Y5249)</f>
        <v>1.45022260708756</v>
      </c>
      <c r="AA5249" s="0" t="n">
        <f aca="false">X5249-Z5249</f>
        <v>43.1186461794621</v>
      </c>
      <c r="AB5249" s="0" t="n">
        <f aca="false">X5249+Z5249</f>
        <v>46.0190913936373</v>
      </c>
      <c r="AC5249" s="54" t="b">
        <f aca="false">AND(E5249&gt;=01_因子設定!$L$5-0.000000001,E5249&lt;=01_因子設定!$M$5+0.000000001,F5249&gt;=01_因子設定!$L$6-0.000000001,F5249&lt;=01_因子設定!$M$6+0.000000001,G5249&gt;=01_因子設定!$L$7-0.000000001,G5249&lt;=01_因子設定!$M$7+0.000000001,H5249&gt;=01_因子設定!$L$8-0.000000001,H5249&lt;=01_因子設定!$M$8+0.000000001,IF(01_因子設定!$B$20="Box-Behnken",E5249^2+F5249^2+G5249^2+H5249^2&lt;=2+0.000000001,TRUE()))</f>
        <v>1</v>
      </c>
      <c r="AD5249" s="55" t="n">
        <f aca="false">IF(AC5249,IF(01_因子設定!$B$13="最大化",AA5249-01_因子設定!$B$14,IF(01_因子設定!$B$13="最小化",01_因子設定!$B$15-AB5249,MIN(AA5249-01_因子設定!$B$14,01_因子設定!$B$15-AB5249))),-1E+030)</f>
        <v>-3.38135382053786</v>
      </c>
      <c r="AE5249" s="55" t="n">
        <f aca="false">IF(AC5249,IF(01_因子設定!$B$13="最大化",X5249,IF(01_因子設定!$B$13="最小化",-X5249,-ABS(X5249-01_因子設定!$B$16))),-1E+030)</f>
        <v>44.5688687865497</v>
      </c>
      <c r="AF5249" s="55" t="n">
        <f aca="false">AD5249+ROW()*0.000000001</f>
        <v>-3.38134857153786</v>
      </c>
      <c r="AG5249" s="55" t="n">
        <f aca="false">AE5249+ROW()*0.000000001</f>
        <v>44.5688740355497</v>
      </c>
    </row>
    <row r="5250" customFormat="false" ht="15" hidden="false" customHeight="false" outlineLevel="0" collapsed="false">
      <c r="A5250" s="0" t="n">
        <v>7</v>
      </c>
      <c r="B5250" s="0" t="n">
        <v>1</v>
      </c>
      <c r="C5250" s="0" t="n">
        <v>6</v>
      </c>
      <c r="D5250" s="0" t="n">
        <v>7</v>
      </c>
      <c r="E5250" s="0" t="n">
        <f aca="false">-1+A5250*0.25</f>
        <v>0.75</v>
      </c>
      <c r="F5250" s="0" t="n">
        <f aca="false">-1+B5250*0.25</f>
        <v>-0.75</v>
      </c>
      <c r="G5250" s="0" t="n">
        <f aca="false">-1+C5250*0.25</f>
        <v>0.5</v>
      </c>
      <c r="H5250" s="0" t="n">
        <f aca="false">-1+D5250*0.25</f>
        <v>0.75</v>
      </c>
      <c r="I5250" s="0" t="n">
        <f aca="false">1</f>
        <v>1</v>
      </c>
      <c r="J5250" s="0" t="n">
        <f aca="false">E5250</f>
        <v>0.75</v>
      </c>
      <c r="K5250" s="0" t="n">
        <f aca="false">F5250</f>
        <v>-0.75</v>
      </c>
      <c r="L5250" s="0" t="n">
        <f aca="false">G5250</f>
        <v>0.5</v>
      </c>
      <c r="M5250" s="0" t="n">
        <f aca="false">H5250</f>
        <v>0.75</v>
      </c>
      <c r="N5250" s="0" t="n">
        <f aca="false">E5250*F5250</f>
        <v>-0.5625</v>
      </c>
      <c r="O5250" s="0" t="n">
        <f aca="false">E5250*G5250</f>
        <v>0.375</v>
      </c>
      <c r="P5250" s="0" t="n">
        <f aca="false">E5250*H5250</f>
        <v>0.5625</v>
      </c>
      <c r="Q5250" s="0" t="n">
        <f aca="false">F5250*G5250</f>
        <v>-0.375</v>
      </c>
      <c r="R5250" s="0" t="n">
        <f aca="false">F5250*H5250</f>
        <v>-0.5625</v>
      </c>
      <c r="S5250" s="0" t="n">
        <f aca="false">G5250*H5250</f>
        <v>0.375</v>
      </c>
      <c r="T5250" s="0" t="n">
        <f aca="false">E5250*E5250</f>
        <v>0.5625</v>
      </c>
      <c r="U5250" s="0" t="n">
        <f aca="false">F5250*F5250</f>
        <v>0.5625</v>
      </c>
      <c r="V5250" s="0" t="n">
        <f aca="false">G5250*G5250</f>
        <v>0.25</v>
      </c>
      <c r="W5250" s="0" t="n">
        <f aca="false">H5250*H5250</f>
        <v>0.5625</v>
      </c>
      <c r="X5250" s="0" t="n">
        <f aca="false">SUMPRODUCT(I5250:W5250,_XtX!$B$96:$P$96)</f>
        <v>44.649958881579</v>
      </c>
      <c r="Y5250" s="0" t="n">
        <f aca="false">SUMPRODUCT(MMULT(I5250:W5250,_XtX!$B$78:$P$92),I5250:W5250)</f>
        <v>0.265632138614766</v>
      </c>
      <c r="Z5250" s="0" t="n">
        <f aca="false">04_回帰ANOVA!$K$19*04_回帰ANOVA!$K$14*SQRT(1+Y5250)</f>
        <v>1.46639894654257</v>
      </c>
      <c r="AA5250" s="0" t="n">
        <f aca="false">X5250-Z5250</f>
        <v>43.1835599350364</v>
      </c>
      <c r="AB5250" s="0" t="n">
        <f aca="false">X5250+Z5250</f>
        <v>46.1163578281215</v>
      </c>
      <c r="AC5250" s="54" t="b">
        <f aca="false">AND(E5250&gt;=01_因子設定!$L$5-0.000000001,E5250&lt;=01_因子設定!$M$5+0.000000001,F5250&gt;=01_因子設定!$L$6-0.000000001,F5250&lt;=01_因子設定!$M$6+0.000000001,G5250&gt;=01_因子設定!$L$7-0.000000001,G5250&lt;=01_因子設定!$M$7+0.000000001,H5250&gt;=01_因子設定!$L$8-0.000000001,H5250&lt;=01_因子設定!$M$8+0.000000001,IF(01_因子設定!$B$20="Box-Behnken",E5250^2+F5250^2+G5250^2+H5250^2&lt;=2+0.000000001,TRUE()))</f>
        <v>1</v>
      </c>
      <c r="AD5250" s="55" t="n">
        <f aca="false">IF(AC5250,IF(01_因子設定!$B$13="最大化",AA5250-01_因子設定!$B$14,IF(01_因子設定!$B$13="最小化",01_因子設定!$B$15-AB5250,MIN(AA5250-01_因子設定!$B$14,01_因子設定!$B$15-AB5250))),-1E+030)</f>
        <v>-3.31644006496362</v>
      </c>
      <c r="AE5250" s="55" t="n">
        <f aca="false">IF(AC5250,IF(01_因子設定!$B$13="最大化",X5250,IF(01_因子設定!$B$13="最小化",-X5250,-ABS(X5250-01_因子設定!$B$16))),-1E+030)</f>
        <v>44.649958881579</v>
      </c>
      <c r="AF5250" s="55" t="n">
        <f aca="false">AD5250+ROW()*0.000000001</f>
        <v>-3.31643481496362</v>
      </c>
      <c r="AG5250" s="55" t="n">
        <f aca="false">AE5250+ROW()*0.000000001</f>
        <v>44.649964131579</v>
      </c>
    </row>
    <row r="5251" customFormat="false" ht="15" hidden="false" customHeight="false" outlineLevel="0" collapsed="false">
      <c r="A5251" s="0" t="n">
        <v>7</v>
      </c>
      <c r="B5251" s="0" t="n">
        <v>1</v>
      </c>
      <c r="C5251" s="0" t="n">
        <v>6</v>
      </c>
      <c r="D5251" s="0" t="n">
        <v>8</v>
      </c>
      <c r="E5251" s="0" t="n">
        <f aca="false">-1+A5251*0.25</f>
        <v>0.75</v>
      </c>
      <c r="F5251" s="0" t="n">
        <f aca="false">-1+B5251*0.25</f>
        <v>-0.75</v>
      </c>
      <c r="G5251" s="0" t="n">
        <f aca="false">-1+C5251*0.25</f>
        <v>0.5</v>
      </c>
      <c r="H5251" s="0" t="n">
        <f aca="false">-1+D5251*0.25</f>
        <v>1</v>
      </c>
      <c r="I5251" s="0" t="n">
        <f aca="false">1</f>
        <v>1</v>
      </c>
      <c r="J5251" s="0" t="n">
        <f aca="false">E5251</f>
        <v>0.75</v>
      </c>
      <c r="K5251" s="0" t="n">
        <f aca="false">F5251</f>
        <v>-0.75</v>
      </c>
      <c r="L5251" s="0" t="n">
        <f aca="false">G5251</f>
        <v>0.5</v>
      </c>
      <c r="M5251" s="0" t="n">
        <f aca="false">H5251</f>
        <v>1</v>
      </c>
      <c r="N5251" s="0" t="n">
        <f aca="false">E5251*F5251</f>
        <v>-0.5625</v>
      </c>
      <c r="O5251" s="0" t="n">
        <f aca="false">E5251*G5251</f>
        <v>0.375</v>
      </c>
      <c r="P5251" s="0" t="n">
        <f aca="false">E5251*H5251</f>
        <v>0.75</v>
      </c>
      <c r="Q5251" s="0" t="n">
        <f aca="false">F5251*G5251</f>
        <v>-0.375</v>
      </c>
      <c r="R5251" s="0" t="n">
        <f aca="false">F5251*H5251</f>
        <v>-0.75</v>
      </c>
      <c r="S5251" s="0" t="n">
        <f aca="false">G5251*H5251</f>
        <v>0.5</v>
      </c>
      <c r="T5251" s="0" t="n">
        <f aca="false">E5251*E5251</f>
        <v>0.5625</v>
      </c>
      <c r="U5251" s="0" t="n">
        <f aca="false">F5251*F5251</f>
        <v>0.5625</v>
      </c>
      <c r="V5251" s="0" t="n">
        <f aca="false">G5251*G5251</f>
        <v>0.25</v>
      </c>
      <c r="W5251" s="0" t="n">
        <f aca="false">H5251*H5251</f>
        <v>1</v>
      </c>
      <c r="X5251" s="0" t="n">
        <f aca="false">SUMPRODUCT(I5251:W5251,_XtX!$B$96:$P$96)</f>
        <v>44.6832419590644</v>
      </c>
      <c r="Y5251" s="0" t="n">
        <f aca="false">SUMPRODUCT(MMULT(I5251:W5251,_XtX!$B$78:$P$92),I5251:W5251)</f>
        <v>0.431153771472953</v>
      </c>
      <c r="Z5251" s="0" t="n">
        <f aca="false">04_回帰ANOVA!$K$19*04_回帰ANOVA!$K$14*SQRT(1+Y5251)</f>
        <v>1.55934259562563</v>
      </c>
      <c r="AA5251" s="0" t="n">
        <f aca="false">X5251-Z5251</f>
        <v>43.1238993634387</v>
      </c>
      <c r="AB5251" s="0" t="n">
        <f aca="false">X5251+Z5251</f>
        <v>46.24258455469</v>
      </c>
      <c r="AC5251" s="54" t="b">
        <f aca="false">AND(E5251&gt;=01_因子設定!$L$5-0.000000001,E5251&lt;=01_因子設定!$M$5+0.000000001,F5251&gt;=01_因子設定!$L$6-0.000000001,F5251&lt;=01_因子設定!$M$6+0.000000001,G5251&gt;=01_因子設定!$L$7-0.000000001,G5251&lt;=01_因子設定!$M$7+0.000000001,H5251&gt;=01_因子設定!$L$8-0.000000001,H5251&lt;=01_因子設定!$M$8+0.000000001,IF(01_因子設定!$B$20="Box-Behnken",E5251^2+F5251^2+G5251^2+H5251^2&lt;=2+0.000000001,TRUE()))</f>
        <v>1</v>
      </c>
      <c r="AD5251" s="55" t="n">
        <f aca="false">IF(AC5251,IF(01_因子設定!$B$13="最大化",AA5251-01_因子設定!$B$14,IF(01_因子設定!$B$13="最小化",01_因子設定!$B$15-AB5251,MIN(AA5251-01_因子設定!$B$14,01_因子設定!$B$15-AB5251))),-1E+030)</f>
        <v>-3.37610063656128</v>
      </c>
      <c r="AE5251" s="55" t="n">
        <f aca="false">IF(AC5251,IF(01_因子設定!$B$13="最大化",X5251,IF(01_因子設定!$B$13="最小化",-X5251,-ABS(X5251-01_因子設定!$B$16))),-1E+030)</f>
        <v>44.6832419590644</v>
      </c>
      <c r="AF5251" s="55" t="n">
        <f aca="false">AD5251+ROW()*0.000000001</f>
        <v>-3.37609538556128</v>
      </c>
      <c r="AG5251" s="55" t="n">
        <f aca="false">AE5251+ROW()*0.000000001</f>
        <v>44.6832472100643</v>
      </c>
    </row>
    <row r="5252" customFormat="false" ht="15" hidden="false" customHeight="false" outlineLevel="0" collapsed="false">
      <c r="A5252" s="0" t="n">
        <v>7</v>
      </c>
      <c r="B5252" s="0" t="n">
        <v>1</v>
      </c>
      <c r="C5252" s="0" t="n">
        <v>7</v>
      </c>
      <c r="D5252" s="0" t="n">
        <v>0</v>
      </c>
      <c r="E5252" s="0" t="n">
        <f aca="false">-1+A5252*0.25</f>
        <v>0.75</v>
      </c>
      <c r="F5252" s="0" t="n">
        <f aca="false">-1+B5252*0.25</f>
        <v>-0.75</v>
      </c>
      <c r="G5252" s="0" t="n">
        <f aca="false">-1+C5252*0.25</f>
        <v>0.75</v>
      </c>
      <c r="H5252" s="0" t="n">
        <f aca="false">-1+D5252*0.25</f>
        <v>-1</v>
      </c>
      <c r="I5252" s="0" t="n">
        <f aca="false">1</f>
        <v>1</v>
      </c>
      <c r="J5252" s="0" t="n">
        <f aca="false">E5252</f>
        <v>0.75</v>
      </c>
      <c r="K5252" s="0" t="n">
        <f aca="false">F5252</f>
        <v>-0.75</v>
      </c>
      <c r="L5252" s="0" t="n">
        <f aca="false">G5252</f>
        <v>0.75</v>
      </c>
      <c r="M5252" s="0" t="n">
        <f aca="false">H5252</f>
        <v>-1</v>
      </c>
      <c r="N5252" s="0" t="n">
        <f aca="false">E5252*F5252</f>
        <v>-0.5625</v>
      </c>
      <c r="O5252" s="0" t="n">
        <f aca="false">E5252*G5252</f>
        <v>0.5625</v>
      </c>
      <c r="P5252" s="0" t="n">
        <f aca="false">E5252*H5252</f>
        <v>-0.75</v>
      </c>
      <c r="Q5252" s="0" t="n">
        <f aca="false">F5252*G5252</f>
        <v>-0.5625</v>
      </c>
      <c r="R5252" s="0" t="n">
        <f aca="false">F5252*H5252</f>
        <v>0.75</v>
      </c>
      <c r="S5252" s="0" t="n">
        <f aca="false">G5252*H5252</f>
        <v>-0.75</v>
      </c>
      <c r="T5252" s="0" t="n">
        <f aca="false">E5252*E5252</f>
        <v>0.5625</v>
      </c>
      <c r="U5252" s="0" t="n">
        <f aca="false">F5252*F5252</f>
        <v>0.5625</v>
      </c>
      <c r="V5252" s="0" t="n">
        <f aca="false">G5252*G5252</f>
        <v>0.5625</v>
      </c>
      <c r="W5252" s="0" t="n">
        <f aca="false">H5252*H5252</f>
        <v>1</v>
      </c>
      <c r="X5252" s="0" t="n">
        <f aca="false">SUMPRODUCT(I5252:W5252,_XtX!$B$96:$P$96)</f>
        <v>42.8586028874269</v>
      </c>
      <c r="Y5252" s="0" t="n">
        <f aca="false">SUMPRODUCT(MMULT(I5252:W5252,_XtX!$B$78:$P$92),I5252:W5252)</f>
        <v>0.420117473044591</v>
      </c>
      <c r="Z5252" s="0" t="n">
        <f aca="false">04_回帰ANOVA!$K$19*04_回帰ANOVA!$K$14*SQRT(1+Y5252)</f>
        <v>1.55331854827765</v>
      </c>
      <c r="AA5252" s="0" t="n">
        <f aca="false">X5252-Z5252</f>
        <v>41.3052843391493</v>
      </c>
      <c r="AB5252" s="0" t="n">
        <f aca="false">X5252+Z5252</f>
        <v>44.4119214357046</v>
      </c>
      <c r="AC5252" s="54" t="b">
        <f aca="false">AND(E5252&gt;=01_因子設定!$L$5-0.000000001,E5252&lt;=01_因子設定!$M$5+0.000000001,F5252&gt;=01_因子設定!$L$6-0.000000001,F5252&lt;=01_因子設定!$M$6+0.000000001,G5252&gt;=01_因子設定!$L$7-0.000000001,G5252&lt;=01_因子設定!$M$7+0.000000001,H5252&gt;=01_因子設定!$L$8-0.000000001,H5252&lt;=01_因子設定!$M$8+0.000000001,IF(01_因子設定!$B$20="Box-Behnken",E5252^2+F5252^2+G5252^2+H5252^2&lt;=2+0.000000001,TRUE()))</f>
        <v>1</v>
      </c>
      <c r="AD5252" s="55" t="n">
        <f aca="false">IF(AC5252,IF(01_因子設定!$B$13="最大化",AA5252-01_因子設定!$B$14,IF(01_因子設定!$B$13="最小化",01_因子設定!$B$15-AB5252,MIN(AA5252-01_因子設定!$B$14,01_因子設定!$B$15-AB5252))),-1E+030)</f>
        <v>-5.19471566085072</v>
      </c>
      <c r="AE5252" s="55" t="n">
        <f aca="false">IF(AC5252,IF(01_因子設定!$B$13="最大化",X5252,IF(01_因子設定!$B$13="最小化",-X5252,-ABS(X5252-01_因子設定!$B$16))),-1E+030)</f>
        <v>42.8586028874269</v>
      </c>
      <c r="AF5252" s="55" t="n">
        <f aca="false">AD5252+ROW()*0.000000001</f>
        <v>-5.19471040885072</v>
      </c>
      <c r="AG5252" s="55" t="n">
        <f aca="false">AE5252+ROW()*0.000000001</f>
        <v>42.8586081394269</v>
      </c>
    </row>
    <row r="5253" customFormat="false" ht="15" hidden="false" customHeight="false" outlineLevel="0" collapsed="false">
      <c r="A5253" s="0" t="n">
        <v>7</v>
      </c>
      <c r="B5253" s="0" t="n">
        <v>1</v>
      </c>
      <c r="C5253" s="0" t="n">
        <v>7</v>
      </c>
      <c r="D5253" s="0" t="n">
        <v>1</v>
      </c>
      <c r="E5253" s="0" t="n">
        <f aca="false">-1+A5253*0.25</f>
        <v>0.75</v>
      </c>
      <c r="F5253" s="0" t="n">
        <f aca="false">-1+B5253*0.25</f>
        <v>-0.75</v>
      </c>
      <c r="G5253" s="0" t="n">
        <f aca="false">-1+C5253*0.25</f>
        <v>0.75</v>
      </c>
      <c r="H5253" s="0" t="n">
        <f aca="false">-1+D5253*0.25</f>
        <v>-0.75</v>
      </c>
      <c r="I5253" s="0" t="n">
        <f aca="false">1</f>
        <v>1</v>
      </c>
      <c r="J5253" s="0" t="n">
        <f aca="false">E5253</f>
        <v>0.75</v>
      </c>
      <c r="K5253" s="0" t="n">
        <f aca="false">F5253</f>
        <v>-0.75</v>
      </c>
      <c r="L5253" s="0" t="n">
        <f aca="false">G5253</f>
        <v>0.75</v>
      </c>
      <c r="M5253" s="0" t="n">
        <f aca="false">H5253</f>
        <v>-0.75</v>
      </c>
      <c r="N5253" s="0" t="n">
        <f aca="false">E5253*F5253</f>
        <v>-0.5625</v>
      </c>
      <c r="O5253" s="0" t="n">
        <f aca="false">E5253*G5253</f>
        <v>0.5625</v>
      </c>
      <c r="P5253" s="0" t="n">
        <f aca="false">E5253*H5253</f>
        <v>-0.5625</v>
      </c>
      <c r="Q5253" s="0" t="n">
        <f aca="false">F5253*G5253</f>
        <v>-0.5625</v>
      </c>
      <c r="R5253" s="0" t="n">
        <f aca="false">F5253*H5253</f>
        <v>0.5625</v>
      </c>
      <c r="S5253" s="0" t="n">
        <f aca="false">G5253*H5253</f>
        <v>-0.5625</v>
      </c>
      <c r="T5253" s="0" t="n">
        <f aca="false">E5253*E5253</f>
        <v>0.5625</v>
      </c>
      <c r="U5253" s="0" t="n">
        <f aca="false">F5253*F5253</f>
        <v>0.5625</v>
      </c>
      <c r="V5253" s="0" t="n">
        <f aca="false">G5253*G5253</f>
        <v>0.5625</v>
      </c>
      <c r="W5253" s="0" t="n">
        <f aca="false">H5253*H5253</f>
        <v>0.5625</v>
      </c>
      <c r="X5253" s="0" t="n">
        <f aca="false">SUMPRODUCT(I5253:W5253,_XtX!$B$96:$P$96)</f>
        <v>43.2445038377193</v>
      </c>
      <c r="Y5253" s="0" t="n">
        <f aca="false">SUMPRODUCT(MMULT(I5253:W5253,_XtX!$B$78:$P$92),I5253:W5253)</f>
        <v>0.277232387609649</v>
      </c>
      <c r="Z5253" s="0" t="n">
        <f aca="false">04_回帰ANOVA!$K$19*04_回帰ANOVA!$K$14*SQRT(1+Y5253)</f>
        <v>1.47310381441991</v>
      </c>
      <c r="AA5253" s="0" t="n">
        <f aca="false">X5253-Z5253</f>
        <v>41.7714000232994</v>
      </c>
      <c r="AB5253" s="0" t="n">
        <f aca="false">X5253+Z5253</f>
        <v>44.7176076521392</v>
      </c>
      <c r="AC5253" s="54" t="b">
        <f aca="false">AND(E5253&gt;=01_因子設定!$L$5-0.000000001,E5253&lt;=01_因子設定!$M$5+0.000000001,F5253&gt;=01_因子設定!$L$6-0.000000001,F5253&lt;=01_因子設定!$M$6+0.000000001,G5253&gt;=01_因子設定!$L$7-0.000000001,G5253&lt;=01_因子設定!$M$7+0.000000001,H5253&gt;=01_因子設定!$L$8-0.000000001,H5253&lt;=01_因子設定!$M$8+0.000000001,IF(01_因子設定!$B$20="Box-Behnken",E5253^2+F5253^2+G5253^2+H5253^2&lt;=2+0.000000001,TRUE()))</f>
        <v>1</v>
      </c>
      <c r="AD5253" s="55" t="n">
        <f aca="false">IF(AC5253,IF(01_因子設定!$B$13="最大化",AA5253-01_因子設定!$B$14,IF(01_因子設定!$B$13="最小化",01_因子設定!$B$15-AB5253,MIN(AA5253-01_因子設定!$B$14,01_因子設定!$B$15-AB5253))),-1E+030)</f>
        <v>-4.7285999767006</v>
      </c>
      <c r="AE5253" s="55" t="n">
        <f aca="false">IF(AC5253,IF(01_因子設定!$B$13="最大化",X5253,IF(01_因子設定!$B$13="最小化",-X5253,-ABS(X5253-01_因子設定!$B$16))),-1E+030)</f>
        <v>43.2445038377193</v>
      </c>
      <c r="AF5253" s="55" t="n">
        <f aca="false">AD5253+ROW()*0.000000001</f>
        <v>-4.7285947237006</v>
      </c>
      <c r="AG5253" s="55" t="n">
        <f aca="false">AE5253+ROW()*0.000000001</f>
        <v>43.2445090907193</v>
      </c>
    </row>
    <row r="5254" customFormat="false" ht="15" hidden="false" customHeight="false" outlineLevel="0" collapsed="false">
      <c r="A5254" s="0" t="n">
        <v>7</v>
      </c>
      <c r="B5254" s="0" t="n">
        <v>1</v>
      </c>
      <c r="C5254" s="0" t="n">
        <v>7</v>
      </c>
      <c r="D5254" s="0" t="n">
        <v>2</v>
      </c>
      <c r="E5254" s="0" t="n">
        <f aca="false">-1+A5254*0.25</f>
        <v>0.75</v>
      </c>
      <c r="F5254" s="0" t="n">
        <f aca="false">-1+B5254*0.25</f>
        <v>-0.75</v>
      </c>
      <c r="G5254" s="0" t="n">
        <f aca="false">-1+C5254*0.25</f>
        <v>0.75</v>
      </c>
      <c r="H5254" s="0" t="n">
        <f aca="false">-1+D5254*0.25</f>
        <v>-0.5</v>
      </c>
      <c r="I5254" s="0" t="n">
        <f aca="false">1</f>
        <v>1</v>
      </c>
      <c r="J5254" s="0" t="n">
        <f aca="false">E5254</f>
        <v>0.75</v>
      </c>
      <c r="K5254" s="0" t="n">
        <f aca="false">F5254</f>
        <v>-0.75</v>
      </c>
      <c r="L5254" s="0" t="n">
        <f aca="false">G5254</f>
        <v>0.75</v>
      </c>
      <c r="M5254" s="0" t="n">
        <f aca="false">H5254</f>
        <v>-0.5</v>
      </c>
      <c r="N5254" s="0" t="n">
        <f aca="false">E5254*F5254</f>
        <v>-0.5625</v>
      </c>
      <c r="O5254" s="0" t="n">
        <f aca="false">E5254*G5254</f>
        <v>0.5625</v>
      </c>
      <c r="P5254" s="0" t="n">
        <f aca="false">E5254*H5254</f>
        <v>-0.375</v>
      </c>
      <c r="Q5254" s="0" t="n">
        <f aca="false">F5254*G5254</f>
        <v>-0.5625</v>
      </c>
      <c r="R5254" s="0" t="n">
        <f aca="false">F5254*H5254</f>
        <v>0.375</v>
      </c>
      <c r="S5254" s="0" t="n">
        <f aca="false">G5254*H5254</f>
        <v>-0.375</v>
      </c>
      <c r="T5254" s="0" t="n">
        <f aca="false">E5254*E5254</f>
        <v>0.5625</v>
      </c>
      <c r="U5254" s="0" t="n">
        <f aca="false">F5254*F5254</f>
        <v>0.5625</v>
      </c>
      <c r="V5254" s="0" t="n">
        <f aca="false">G5254*G5254</f>
        <v>0.5625</v>
      </c>
      <c r="W5254" s="0" t="n">
        <f aca="false">H5254*H5254</f>
        <v>0.25</v>
      </c>
      <c r="X5254" s="0" t="n">
        <f aca="false">SUMPRODUCT(I5254:W5254,_XtX!$B$96:$P$96)</f>
        <v>43.5825977704678</v>
      </c>
      <c r="Y5254" s="0" t="n">
        <f aca="false">SUMPRODUCT(MMULT(I5254:W5254,_XtX!$B$78:$P$92),I5254:W5254)</f>
        <v>0.265632138614766</v>
      </c>
      <c r="Z5254" s="0" t="n">
        <f aca="false">04_回帰ANOVA!$K$19*04_回帰ANOVA!$K$14*SQRT(1+Y5254)</f>
        <v>1.46639894654257</v>
      </c>
      <c r="AA5254" s="0" t="n">
        <f aca="false">X5254-Z5254</f>
        <v>42.1161988239253</v>
      </c>
      <c r="AB5254" s="0" t="n">
        <f aca="false">X5254+Z5254</f>
        <v>45.0489967170104</v>
      </c>
      <c r="AC5254" s="54" t="b">
        <f aca="false">AND(E5254&gt;=01_因子設定!$L$5-0.000000001,E5254&lt;=01_因子設定!$M$5+0.000000001,F5254&gt;=01_因子設定!$L$6-0.000000001,F5254&lt;=01_因子設定!$M$6+0.000000001,G5254&gt;=01_因子設定!$L$7-0.000000001,G5254&lt;=01_因子設定!$M$7+0.000000001,H5254&gt;=01_因子設定!$L$8-0.000000001,H5254&lt;=01_因子設定!$M$8+0.000000001,IF(01_因子設定!$B$20="Box-Behnken",E5254^2+F5254^2+G5254^2+H5254^2&lt;=2+0.000000001,TRUE()))</f>
        <v>1</v>
      </c>
      <c r="AD5254" s="55" t="n">
        <f aca="false">IF(AC5254,IF(01_因子設定!$B$13="最大化",AA5254-01_因子設定!$B$14,IF(01_因子設定!$B$13="最小化",01_因子設定!$B$15-AB5254,MIN(AA5254-01_因子設定!$B$14,01_因子設定!$B$15-AB5254))),-1E+030)</f>
        <v>-4.38380117607474</v>
      </c>
      <c r="AE5254" s="55" t="n">
        <f aca="false">IF(AC5254,IF(01_因子設定!$B$13="最大化",X5254,IF(01_因子設定!$B$13="最小化",-X5254,-ABS(X5254-01_因子設定!$B$16))),-1E+030)</f>
        <v>43.5825977704678</v>
      </c>
      <c r="AF5254" s="55" t="n">
        <f aca="false">AD5254+ROW()*0.000000001</f>
        <v>-4.38379592207474</v>
      </c>
      <c r="AG5254" s="55" t="n">
        <f aca="false">AE5254+ROW()*0.000000001</f>
        <v>43.5826030244678</v>
      </c>
    </row>
    <row r="5255" customFormat="false" ht="15" hidden="false" customHeight="false" outlineLevel="0" collapsed="false">
      <c r="A5255" s="0" t="n">
        <v>7</v>
      </c>
      <c r="B5255" s="0" t="n">
        <v>1</v>
      </c>
      <c r="C5255" s="0" t="n">
        <v>7</v>
      </c>
      <c r="D5255" s="0" t="n">
        <v>3</v>
      </c>
      <c r="E5255" s="0" t="n">
        <f aca="false">-1+A5255*0.25</f>
        <v>0.75</v>
      </c>
      <c r="F5255" s="0" t="n">
        <f aca="false">-1+B5255*0.25</f>
        <v>-0.75</v>
      </c>
      <c r="G5255" s="0" t="n">
        <f aca="false">-1+C5255*0.25</f>
        <v>0.75</v>
      </c>
      <c r="H5255" s="0" t="n">
        <f aca="false">-1+D5255*0.25</f>
        <v>-0.25</v>
      </c>
      <c r="I5255" s="0" t="n">
        <f aca="false">1</f>
        <v>1</v>
      </c>
      <c r="J5255" s="0" t="n">
        <f aca="false">E5255</f>
        <v>0.75</v>
      </c>
      <c r="K5255" s="0" t="n">
        <f aca="false">F5255</f>
        <v>-0.75</v>
      </c>
      <c r="L5255" s="0" t="n">
        <f aca="false">G5255</f>
        <v>0.75</v>
      </c>
      <c r="M5255" s="0" t="n">
        <f aca="false">H5255</f>
        <v>-0.25</v>
      </c>
      <c r="N5255" s="0" t="n">
        <f aca="false">E5255*F5255</f>
        <v>-0.5625</v>
      </c>
      <c r="O5255" s="0" t="n">
        <f aca="false">E5255*G5255</f>
        <v>0.5625</v>
      </c>
      <c r="P5255" s="0" t="n">
        <f aca="false">E5255*H5255</f>
        <v>-0.1875</v>
      </c>
      <c r="Q5255" s="0" t="n">
        <f aca="false">F5255*G5255</f>
        <v>-0.5625</v>
      </c>
      <c r="R5255" s="0" t="n">
        <f aca="false">F5255*H5255</f>
        <v>0.1875</v>
      </c>
      <c r="S5255" s="0" t="n">
        <f aca="false">G5255*H5255</f>
        <v>-0.1875</v>
      </c>
      <c r="T5255" s="0" t="n">
        <f aca="false">E5255*E5255</f>
        <v>0.5625</v>
      </c>
      <c r="U5255" s="0" t="n">
        <f aca="false">F5255*F5255</f>
        <v>0.5625</v>
      </c>
      <c r="V5255" s="0" t="n">
        <f aca="false">G5255*G5255</f>
        <v>0.5625</v>
      </c>
      <c r="W5255" s="0" t="n">
        <f aca="false">H5255*H5255</f>
        <v>0.0625</v>
      </c>
      <c r="X5255" s="0" t="n">
        <f aca="false">SUMPRODUCT(I5255:W5255,_XtX!$B$96:$P$96)</f>
        <v>43.8728846856725</v>
      </c>
      <c r="Y5255" s="0" t="n">
        <f aca="false">SUMPRODUCT(MMULT(I5255:W5255,_XtX!$B$78:$P$92),I5255:W5255)</f>
        <v>0.294856199744152</v>
      </c>
      <c r="Z5255" s="0" t="n">
        <f aca="false">04_回帰ANOVA!$K$19*04_回帰ANOVA!$K$14*SQRT(1+Y5255)</f>
        <v>1.48323226089013</v>
      </c>
      <c r="AA5255" s="0" t="n">
        <f aca="false">X5255-Z5255</f>
        <v>42.3896524247824</v>
      </c>
      <c r="AB5255" s="0" t="n">
        <f aca="false">X5255+Z5255</f>
        <v>45.3561169465626</v>
      </c>
      <c r="AC5255" s="54" t="b">
        <f aca="false">AND(E5255&gt;=01_因子設定!$L$5-0.000000001,E5255&lt;=01_因子設定!$M$5+0.000000001,F5255&gt;=01_因子設定!$L$6-0.000000001,F5255&lt;=01_因子設定!$M$6+0.000000001,G5255&gt;=01_因子設定!$L$7-0.000000001,G5255&lt;=01_因子設定!$M$7+0.000000001,H5255&gt;=01_因子設定!$L$8-0.000000001,H5255&lt;=01_因子設定!$M$8+0.000000001,IF(01_因子設定!$B$20="Box-Behnken",E5255^2+F5255^2+G5255^2+H5255^2&lt;=2+0.000000001,TRUE()))</f>
        <v>1</v>
      </c>
      <c r="AD5255" s="55" t="n">
        <f aca="false">IF(AC5255,IF(01_因子設定!$B$13="最大化",AA5255-01_因子設定!$B$14,IF(01_因子設定!$B$13="最小化",01_因子設定!$B$15-AB5255,MIN(AA5255-01_因子設定!$B$14,01_因子設定!$B$15-AB5255))),-1E+030)</f>
        <v>-4.11034757521763</v>
      </c>
      <c r="AE5255" s="55" t="n">
        <f aca="false">IF(AC5255,IF(01_因子設定!$B$13="最大化",X5255,IF(01_因子設定!$B$13="最小化",-X5255,-ABS(X5255-01_因子設定!$B$16))),-1E+030)</f>
        <v>43.8728846856725</v>
      </c>
      <c r="AF5255" s="55" t="n">
        <f aca="false">AD5255+ROW()*0.000000001</f>
        <v>-4.11034232021763</v>
      </c>
      <c r="AG5255" s="55" t="n">
        <f aca="false">AE5255+ROW()*0.000000001</f>
        <v>43.8728899406725</v>
      </c>
    </row>
    <row r="5256" customFormat="false" ht="15" hidden="false" customHeight="false" outlineLevel="0" collapsed="false">
      <c r="A5256" s="0" t="n">
        <v>7</v>
      </c>
      <c r="B5256" s="0" t="n">
        <v>1</v>
      </c>
      <c r="C5256" s="0" t="n">
        <v>7</v>
      </c>
      <c r="D5256" s="0" t="n">
        <v>4</v>
      </c>
      <c r="E5256" s="0" t="n">
        <f aca="false">-1+A5256*0.25</f>
        <v>0.75</v>
      </c>
      <c r="F5256" s="0" t="n">
        <f aca="false">-1+B5256*0.25</f>
        <v>-0.75</v>
      </c>
      <c r="G5256" s="0" t="n">
        <f aca="false">-1+C5256*0.25</f>
        <v>0.75</v>
      </c>
      <c r="H5256" s="0" t="n">
        <f aca="false">-1+D5256*0.25</f>
        <v>0</v>
      </c>
      <c r="I5256" s="0" t="n">
        <f aca="false">1</f>
        <v>1</v>
      </c>
      <c r="J5256" s="0" t="n">
        <f aca="false">E5256</f>
        <v>0.75</v>
      </c>
      <c r="K5256" s="0" t="n">
        <f aca="false">F5256</f>
        <v>-0.75</v>
      </c>
      <c r="L5256" s="0" t="n">
        <f aca="false">G5256</f>
        <v>0.75</v>
      </c>
      <c r="M5256" s="0" t="n">
        <f aca="false">H5256</f>
        <v>0</v>
      </c>
      <c r="N5256" s="0" t="n">
        <f aca="false">E5256*F5256</f>
        <v>-0.5625</v>
      </c>
      <c r="O5256" s="0" t="n">
        <f aca="false">E5256*G5256</f>
        <v>0.5625</v>
      </c>
      <c r="P5256" s="0" t="n">
        <f aca="false">E5256*H5256</f>
        <v>0</v>
      </c>
      <c r="Q5256" s="0" t="n">
        <f aca="false">F5256*G5256</f>
        <v>-0.5625</v>
      </c>
      <c r="R5256" s="0" t="n">
        <f aca="false">F5256*H5256</f>
        <v>-0</v>
      </c>
      <c r="S5256" s="0" t="n">
        <f aca="false">G5256*H5256</f>
        <v>0</v>
      </c>
      <c r="T5256" s="0" t="n">
        <f aca="false">E5256*E5256</f>
        <v>0.5625</v>
      </c>
      <c r="U5256" s="0" t="n">
        <f aca="false">F5256*F5256</f>
        <v>0.5625</v>
      </c>
      <c r="V5256" s="0" t="n">
        <f aca="false">G5256*G5256</f>
        <v>0.5625</v>
      </c>
      <c r="W5256" s="0" t="n">
        <f aca="false">H5256*H5256</f>
        <v>0</v>
      </c>
      <c r="X5256" s="0" t="n">
        <f aca="false">SUMPRODUCT(I5256:W5256,_XtX!$B$96:$P$96)</f>
        <v>44.1153645833333</v>
      </c>
      <c r="Y5256" s="0" t="n">
        <f aca="false">SUMPRODUCT(MMULT(I5256:W5256,_XtX!$B$78:$P$92),I5256:W5256)</f>
        <v>0.310628255208333</v>
      </c>
      <c r="Z5256" s="0" t="n">
        <f aca="false">04_回帰ANOVA!$K$19*04_回帰ANOVA!$K$14*SQRT(1+Y5256)</f>
        <v>1.49223820892344</v>
      </c>
      <c r="AA5256" s="0" t="n">
        <f aca="false">X5256-Z5256</f>
        <v>42.6231263744099</v>
      </c>
      <c r="AB5256" s="0" t="n">
        <f aca="false">X5256+Z5256</f>
        <v>45.6076027922568</v>
      </c>
      <c r="AC5256" s="54" t="b">
        <f aca="false">AND(E5256&gt;=01_因子設定!$L$5-0.000000001,E5256&lt;=01_因子設定!$M$5+0.000000001,F5256&gt;=01_因子設定!$L$6-0.000000001,F5256&lt;=01_因子設定!$M$6+0.000000001,G5256&gt;=01_因子設定!$L$7-0.000000001,G5256&lt;=01_因子設定!$M$7+0.000000001,H5256&gt;=01_因子設定!$L$8-0.000000001,H5256&lt;=01_因子設定!$M$8+0.000000001,IF(01_因子設定!$B$20="Box-Behnken",E5256^2+F5256^2+G5256^2+H5256^2&lt;=2+0.000000001,TRUE()))</f>
        <v>1</v>
      </c>
      <c r="AD5256" s="55" t="n">
        <f aca="false">IF(AC5256,IF(01_因子設定!$B$13="最大化",AA5256-01_因子設定!$B$14,IF(01_因子設定!$B$13="最小化",01_因子設定!$B$15-AB5256,MIN(AA5256-01_因子設定!$B$14,01_因子設定!$B$15-AB5256))),-1E+030)</f>
        <v>-3.87687362559012</v>
      </c>
      <c r="AE5256" s="55" t="n">
        <f aca="false">IF(AC5256,IF(01_因子設定!$B$13="最大化",X5256,IF(01_因子設定!$B$13="最小化",-X5256,-ABS(X5256-01_因子設定!$B$16))),-1E+030)</f>
        <v>44.1153645833333</v>
      </c>
      <c r="AF5256" s="55" t="n">
        <f aca="false">AD5256+ROW()*0.000000001</f>
        <v>-3.87686836959012</v>
      </c>
      <c r="AG5256" s="55" t="n">
        <f aca="false">AE5256+ROW()*0.000000001</f>
        <v>44.1153698393333</v>
      </c>
    </row>
    <row r="5257" customFormat="false" ht="15" hidden="false" customHeight="false" outlineLevel="0" collapsed="false">
      <c r="A5257" s="0" t="n">
        <v>7</v>
      </c>
      <c r="B5257" s="0" t="n">
        <v>1</v>
      </c>
      <c r="C5257" s="0" t="n">
        <v>7</v>
      </c>
      <c r="D5257" s="0" t="n">
        <v>5</v>
      </c>
      <c r="E5257" s="0" t="n">
        <f aca="false">-1+A5257*0.25</f>
        <v>0.75</v>
      </c>
      <c r="F5257" s="0" t="n">
        <f aca="false">-1+B5257*0.25</f>
        <v>-0.75</v>
      </c>
      <c r="G5257" s="0" t="n">
        <f aca="false">-1+C5257*0.25</f>
        <v>0.75</v>
      </c>
      <c r="H5257" s="0" t="n">
        <f aca="false">-1+D5257*0.25</f>
        <v>0.25</v>
      </c>
      <c r="I5257" s="0" t="n">
        <f aca="false">1</f>
        <v>1</v>
      </c>
      <c r="J5257" s="0" t="n">
        <f aca="false">E5257</f>
        <v>0.75</v>
      </c>
      <c r="K5257" s="0" t="n">
        <f aca="false">F5257</f>
        <v>-0.75</v>
      </c>
      <c r="L5257" s="0" t="n">
        <f aca="false">G5257</f>
        <v>0.75</v>
      </c>
      <c r="M5257" s="0" t="n">
        <f aca="false">H5257</f>
        <v>0.25</v>
      </c>
      <c r="N5257" s="0" t="n">
        <f aca="false">E5257*F5257</f>
        <v>-0.5625</v>
      </c>
      <c r="O5257" s="0" t="n">
        <f aca="false">E5257*G5257</f>
        <v>0.5625</v>
      </c>
      <c r="P5257" s="0" t="n">
        <f aca="false">E5257*H5257</f>
        <v>0.1875</v>
      </c>
      <c r="Q5257" s="0" t="n">
        <f aca="false">F5257*G5257</f>
        <v>-0.5625</v>
      </c>
      <c r="R5257" s="0" t="n">
        <f aca="false">F5257*H5257</f>
        <v>-0.1875</v>
      </c>
      <c r="S5257" s="0" t="n">
        <f aca="false">G5257*H5257</f>
        <v>0.1875</v>
      </c>
      <c r="T5257" s="0" t="n">
        <f aca="false">E5257*E5257</f>
        <v>0.5625</v>
      </c>
      <c r="U5257" s="0" t="n">
        <f aca="false">F5257*F5257</f>
        <v>0.5625</v>
      </c>
      <c r="V5257" s="0" t="n">
        <f aca="false">G5257*G5257</f>
        <v>0.5625</v>
      </c>
      <c r="W5257" s="0" t="n">
        <f aca="false">H5257*H5257</f>
        <v>0.0625</v>
      </c>
      <c r="X5257" s="0" t="n">
        <f aca="false">SUMPRODUCT(I5257:W5257,_XtX!$B$96:$P$96)</f>
        <v>44.3100374634503</v>
      </c>
      <c r="Y5257" s="0" t="n">
        <f aca="false">SUMPRODUCT(MMULT(I5257:W5257,_XtX!$B$78:$P$92),I5257:W5257)</f>
        <v>0.294856199744152</v>
      </c>
      <c r="Z5257" s="0" t="n">
        <f aca="false">04_回帰ANOVA!$K$19*04_回帰ANOVA!$K$14*SQRT(1+Y5257)</f>
        <v>1.48323226089013</v>
      </c>
      <c r="AA5257" s="0" t="n">
        <f aca="false">X5257-Z5257</f>
        <v>42.8268052025601</v>
      </c>
      <c r="AB5257" s="0" t="n">
        <f aca="false">X5257+Z5257</f>
        <v>45.7932697243404</v>
      </c>
      <c r="AC5257" s="54" t="b">
        <f aca="false">AND(E5257&gt;=01_因子設定!$L$5-0.000000001,E5257&lt;=01_因子設定!$M$5+0.000000001,F5257&gt;=01_因子設定!$L$6-0.000000001,F5257&lt;=01_因子設定!$M$6+0.000000001,G5257&gt;=01_因子設定!$L$7-0.000000001,G5257&lt;=01_因子設定!$M$7+0.000000001,H5257&gt;=01_因子設定!$L$8-0.000000001,H5257&lt;=01_因子設定!$M$8+0.000000001,IF(01_因子設定!$B$20="Box-Behnken",E5257^2+F5257^2+G5257^2+H5257^2&lt;=2+0.000000001,TRUE()))</f>
        <v>1</v>
      </c>
      <c r="AD5257" s="55" t="n">
        <f aca="false">IF(AC5257,IF(01_因子設定!$B$13="最大化",AA5257-01_因子設定!$B$14,IF(01_因子設定!$B$13="最小化",01_因子設定!$B$15-AB5257,MIN(AA5257-01_因子設定!$B$14,01_因子設定!$B$15-AB5257))),-1E+030)</f>
        <v>-3.67319479743986</v>
      </c>
      <c r="AE5257" s="55" t="n">
        <f aca="false">IF(AC5257,IF(01_因子設定!$B$13="最大化",X5257,IF(01_因子設定!$B$13="最小化",-X5257,-ABS(X5257-01_因子設定!$B$16))),-1E+030)</f>
        <v>44.3100374634503</v>
      </c>
      <c r="AF5257" s="55" t="n">
        <f aca="false">AD5257+ROW()*0.000000001</f>
        <v>-3.67318954043986</v>
      </c>
      <c r="AG5257" s="55" t="n">
        <f aca="false">AE5257+ROW()*0.000000001</f>
        <v>44.3100427204503</v>
      </c>
    </row>
    <row r="5258" customFormat="false" ht="15" hidden="false" customHeight="false" outlineLevel="0" collapsed="false">
      <c r="A5258" s="0" t="n">
        <v>7</v>
      </c>
      <c r="B5258" s="0" t="n">
        <v>1</v>
      </c>
      <c r="C5258" s="0" t="n">
        <v>7</v>
      </c>
      <c r="D5258" s="0" t="n">
        <v>6</v>
      </c>
      <c r="E5258" s="0" t="n">
        <f aca="false">-1+A5258*0.25</f>
        <v>0.75</v>
      </c>
      <c r="F5258" s="0" t="n">
        <f aca="false">-1+B5258*0.25</f>
        <v>-0.75</v>
      </c>
      <c r="G5258" s="0" t="n">
        <f aca="false">-1+C5258*0.25</f>
        <v>0.75</v>
      </c>
      <c r="H5258" s="0" t="n">
        <f aca="false">-1+D5258*0.25</f>
        <v>0.5</v>
      </c>
      <c r="I5258" s="0" t="n">
        <f aca="false">1</f>
        <v>1</v>
      </c>
      <c r="J5258" s="0" t="n">
        <f aca="false">E5258</f>
        <v>0.75</v>
      </c>
      <c r="K5258" s="0" t="n">
        <f aca="false">F5258</f>
        <v>-0.75</v>
      </c>
      <c r="L5258" s="0" t="n">
        <f aca="false">G5258</f>
        <v>0.75</v>
      </c>
      <c r="M5258" s="0" t="n">
        <f aca="false">H5258</f>
        <v>0.5</v>
      </c>
      <c r="N5258" s="0" t="n">
        <f aca="false">E5258*F5258</f>
        <v>-0.5625</v>
      </c>
      <c r="O5258" s="0" t="n">
        <f aca="false">E5258*G5258</f>
        <v>0.5625</v>
      </c>
      <c r="P5258" s="0" t="n">
        <f aca="false">E5258*H5258</f>
        <v>0.375</v>
      </c>
      <c r="Q5258" s="0" t="n">
        <f aca="false">F5258*G5258</f>
        <v>-0.5625</v>
      </c>
      <c r="R5258" s="0" t="n">
        <f aca="false">F5258*H5258</f>
        <v>-0.375</v>
      </c>
      <c r="S5258" s="0" t="n">
        <f aca="false">G5258*H5258</f>
        <v>0.375</v>
      </c>
      <c r="T5258" s="0" t="n">
        <f aca="false">E5258*E5258</f>
        <v>0.5625</v>
      </c>
      <c r="U5258" s="0" t="n">
        <f aca="false">F5258*F5258</f>
        <v>0.5625</v>
      </c>
      <c r="V5258" s="0" t="n">
        <f aca="false">G5258*G5258</f>
        <v>0.5625</v>
      </c>
      <c r="W5258" s="0" t="n">
        <f aca="false">H5258*H5258</f>
        <v>0.25</v>
      </c>
      <c r="X5258" s="0" t="n">
        <f aca="false">SUMPRODUCT(I5258:W5258,_XtX!$B$96:$P$96)</f>
        <v>44.4569033260234</v>
      </c>
      <c r="Y5258" s="0" t="n">
        <f aca="false">SUMPRODUCT(MMULT(I5258:W5258,_XtX!$B$78:$P$92),I5258:W5258)</f>
        <v>0.265632138614766</v>
      </c>
      <c r="Z5258" s="0" t="n">
        <f aca="false">04_回帰ANOVA!$K$19*04_回帰ANOVA!$K$14*SQRT(1+Y5258)</f>
        <v>1.46639894654257</v>
      </c>
      <c r="AA5258" s="0" t="n">
        <f aca="false">X5258-Z5258</f>
        <v>42.9905043794808</v>
      </c>
      <c r="AB5258" s="0" t="n">
        <f aca="false">X5258+Z5258</f>
        <v>45.923302272566</v>
      </c>
      <c r="AC5258" s="54" t="b">
        <f aca="false">AND(E5258&gt;=01_因子設定!$L$5-0.000000001,E5258&lt;=01_因子設定!$M$5+0.000000001,F5258&gt;=01_因子設定!$L$6-0.000000001,F5258&lt;=01_因子設定!$M$6+0.000000001,G5258&gt;=01_因子設定!$L$7-0.000000001,G5258&lt;=01_因子設定!$M$7+0.000000001,H5258&gt;=01_因子設定!$L$8-0.000000001,H5258&lt;=01_因子設定!$M$8+0.000000001,IF(01_因子設定!$B$20="Box-Behnken",E5258^2+F5258^2+G5258^2+H5258^2&lt;=2+0.000000001,TRUE()))</f>
        <v>1</v>
      </c>
      <c r="AD5258" s="55" t="n">
        <f aca="false">IF(AC5258,IF(01_因子設定!$B$13="最大化",AA5258-01_因子設定!$B$14,IF(01_因子設定!$B$13="最小化",01_因子設定!$B$15-AB5258,MIN(AA5258-01_因子設定!$B$14,01_因子設定!$B$15-AB5258))),-1E+030)</f>
        <v>-3.50949562051919</v>
      </c>
      <c r="AE5258" s="55" t="n">
        <f aca="false">IF(AC5258,IF(01_因子設定!$B$13="最大化",X5258,IF(01_因子設定!$B$13="最小化",-X5258,-ABS(X5258-01_因子設定!$B$16))),-1E+030)</f>
        <v>44.4569033260234</v>
      </c>
      <c r="AF5258" s="55" t="n">
        <f aca="false">AD5258+ROW()*0.000000001</f>
        <v>-3.50949036251919</v>
      </c>
      <c r="AG5258" s="55" t="n">
        <f aca="false">AE5258+ROW()*0.000000001</f>
        <v>44.4569085840234</v>
      </c>
    </row>
    <row r="5259" customFormat="false" ht="15" hidden="false" customHeight="false" outlineLevel="0" collapsed="false">
      <c r="A5259" s="0" t="n">
        <v>7</v>
      </c>
      <c r="B5259" s="0" t="n">
        <v>1</v>
      </c>
      <c r="C5259" s="0" t="n">
        <v>7</v>
      </c>
      <c r="D5259" s="0" t="n">
        <v>7</v>
      </c>
      <c r="E5259" s="0" t="n">
        <f aca="false">-1+A5259*0.25</f>
        <v>0.75</v>
      </c>
      <c r="F5259" s="0" t="n">
        <f aca="false">-1+B5259*0.25</f>
        <v>-0.75</v>
      </c>
      <c r="G5259" s="0" t="n">
        <f aca="false">-1+C5259*0.25</f>
        <v>0.75</v>
      </c>
      <c r="H5259" s="0" t="n">
        <f aca="false">-1+D5259*0.25</f>
        <v>0.75</v>
      </c>
      <c r="I5259" s="0" t="n">
        <f aca="false">1</f>
        <v>1</v>
      </c>
      <c r="J5259" s="0" t="n">
        <f aca="false">E5259</f>
        <v>0.75</v>
      </c>
      <c r="K5259" s="0" t="n">
        <f aca="false">F5259</f>
        <v>-0.75</v>
      </c>
      <c r="L5259" s="0" t="n">
        <f aca="false">G5259</f>
        <v>0.75</v>
      </c>
      <c r="M5259" s="0" t="n">
        <f aca="false">H5259</f>
        <v>0.75</v>
      </c>
      <c r="N5259" s="0" t="n">
        <f aca="false">E5259*F5259</f>
        <v>-0.5625</v>
      </c>
      <c r="O5259" s="0" t="n">
        <f aca="false">E5259*G5259</f>
        <v>0.5625</v>
      </c>
      <c r="P5259" s="0" t="n">
        <f aca="false">E5259*H5259</f>
        <v>0.5625</v>
      </c>
      <c r="Q5259" s="0" t="n">
        <f aca="false">F5259*G5259</f>
        <v>-0.5625</v>
      </c>
      <c r="R5259" s="0" t="n">
        <f aca="false">F5259*H5259</f>
        <v>-0.5625</v>
      </c>
      <c r="S5259" s="0" t="n">
        <f aca="false">G5259*H5259</f>
        <v>0.5625</v>
      </c>
      <c r="T5259" s="0" t="n">
        <f aca="false">E5259*E5259</f>
        <v>0.5625</v>
      </c>
      <c r="U5259" s="0" t="n">
        <f aca="false">F5259*F5259</f>
        <v>0.5625</v>
      </c>
      <c r="V5259" s="0" t="n">
        <f aca="false">G5259*G5259</f>
        <v>0.5625</v>
      </c>
      <c r="W5259" s="0" t="n">
        <f aca="false">H5259*H5259</f>
        <v>0.5625</v>
      </c>
      <c r="X5259" s="0" t="n">
        <f aca="false">SUMPRODUCT(I5259:W5259,_XtX!$B$96:$P$96)</f>
        <v>44.5559621710526</v>
      </c>
      <c r="Y5259" s="0" t="n">
        <f aca="false">SUMPRODUCT(MMULT(I5259:W5259,_XtX!$B$78:$P$92),I5259:W5259)</f>
        <v>0.277232387609649</v>
      </c>
      <c r="Z5259" s="0" t="n">
        <f aca="false">04_回帰ANOVA!$K$19*04_回帰ANOVA!$K$14*SQRT(1+Y5259)</f>
        <v>1.47310381441991</v>
      </c>
      <c r="AA5259" s="0" t="n">
        <f aca="false">X5259-Z5259</f>
        <v>43.0828583566327</v>
      </c>
      <c r="AB5259" s="0" t="n">
        <f aca="false">X5259+Z5259</f>
        <v>46.0290659854726</v>
      </c>
      <c r="AC5259" s="54" t="b">
        <f aca="false">AND(E5259&gt;=01_因子設定!$L$5-0.000000001,E5259&lt;=01_因子設定!$M$5+0.000000001,F5259&gt;=01_因子設定!$L$6-0.000000001,F5259&lt;=01_因子設定!$M$6+0.000000001,G5259&gt;=01_因子設定!$L$7-0.000000001,G5259&lt;=01_因子設定!$M$7+0.000000001,H5259&gt;=01_因子設定!$L$8-0.000000001,H5259&lt;=01_因子設定!$M$8+0.000000001,IF(01_因子設定!$B$20="Box-Behnken",E5259^2+F5259^2+G5259^2+H5259^2&lt;=2+0.000000001,TRUE()))</f>
        <v>1</v>
      </c>
      <c r="AD5259" s="55" t="n">
        <f aca="false">IF(AC5259,IF(01_因子設定!$B$13="最大化",AA5259-01_因子設定!$B$14,IF(01_因子設定!$B$13="最小化",01_因子設定!$B$15-AB5259,MIN(AA5259-01_因子設定!$B$14,01_因子設定!$B$15-AB5259))),-1E+030)</f>
        <v>-3.41714164336727</v>
      </c>
      <c r="AE5259" s="55" t="n">
        <f aca="false">IF(AC5259,IF(01_因子設定!$B$13="最大化",X5259,IF(01_因子設定!$B$13="最小化",-X5259,-ABS(X5259-01_因子設定!$B$16))),-1E+030)</f>
        <v>44.5559621710526</v>
      </c>
      <c r="AF5259" s="55" t="n">
        <f aca="false">AD5259+ROW()*0.000000001</f>
        <v>-3.41713638436727</v>
      </c>
      <c r="AG5259" s="55" t="n">
        <f aca="false">AE5259+ROW()*0.000000001</f>
        <v>44.5559674300526</v>
      </c>
    </row>
    <row r="5260" customFormat="false" ht="15" hidden="false" customHeight="false" outlineLevel="0" collapsed="false">
      <c r="A5260" s="0" t="n">
        <v>7</v>
      </c>
      <c r="B5260" s="0" t="n">
        <v>1</v>
      </c>
      <c r="C5260" s="0" t="n">
        <v>7</v>
      </c>
      <c r="D5260" s="0" t="n">
        <v>8</v>
      </c>
      <c r="E5260" s="0" t="n">
        <f aca="false">-1+A5260*0.25</f>
        <v>0.75</v>
      </c>
      <c r="F5260" s="0" t="n">
        <f aca="false">-1+B5260*0.25</f>
        <v>-0.75</v>
      </c>
      <c r="G5260" s="0" t="n">
        <f aca="false">-1+C5260*0.25</f>
        <v>0.75</v>
      </c>
      <c r="H5260" s="0" t="n">
        <f aca="false">-1+D5260*0.25</f>
        <v>1</v>
      </c>
      <c r="I5260" s="0" t="n">
        <f aca="false">1</f>
        <v>1</v>
      </c>
      <c r="J5260" s="0" t="n">
        <f aca="false">E5260</f>
        <v>0.75</v>
      </c>
      <c r="K5260" s="0" t="n">
        <f aca="false">F5260</f>
        <v>-0.75</v>
      </c>
      <c r="L5260" s="0" t="n">
        <f aca="false">G5260</f>
        <v>0.75</v>
      </c>
      <c r="M5260" s="0" t="n">
        <f aca="false">H5260</f>
        <v>1</v>
      </c>
      <c r="N5260" s="0" t="n">
        <f aca="false">E5260*F5260</f>
        <v>-0.5625</v>
      </c>
      <c r="O5260" s="0" t="n">
        <f aca="false">E5260*G5260</f>
        <v>0.5625</v>
      </c>
      <c r="P5260" s="0" t="n">
        <f aca="false">E5260*H5260</f>
        <v>0.75</v>
      </c>
      <c r="Q5260" s="0" t="n">
        <f aca="false">F5260*G5260</f>
        <v>-0.5625</v>
      </c>
      <c r="R5260" s="0" t="n">
        <f aca="false">F5260*H5260</f>
        <v>-0.75</v>
      </c>
      <c r="S5260" s="0" t="n">
        <f aca="false">G5260*H5260</f>
        <v>0.75</v>
      </c>
      <c r="T5260" s="0" t="n">
        <f aca="false">E5260*E5260</f>
        <v>0.5625</v>
      </c>
      <c r="U5260" s="0" t="n">
        <f aca="false">F5260*F5260</f>
        <v>0.5625</v>
      </c>
      <c r="V5260" s="0" t="n">
        <f aca="false">G5260*G5260</f>
        <v>0.5625</v>
      </c>
      <c r="W5260" s="0" t="n">
        <f aca="false">H5260*H5260</f>
        <v>1</v>
      </c>
      <c r="X5260" s="0" t="n">
        <f aca="false">SUMPRODUCT(I5260:W5260,_XtX!$B$96:$P$96)</f>
        <v>44.607213998538</v>
      </c>
      <c r="Y5260" s="0" t="n">
        <f aca="false">SUMPRODUCT(MMULT(I5260:W5260,_XtX!$B$78:$P$92),I5260:W5260)</f>
        <v>0.420117473044591</v>
      </c>
      <c r="Z5260" s="0" t="n">
        <f aca="false">04_回帰ANOVA!$K$19*04_回帰ANOVA!$K$14*SQRT(1+Y5260)</f>
        <v>1.55331854827765</v>
      </c>
      <c r="AA5260" s="0" t="n">
        <f aca="false">X5260-Z5260</f>
        <v>43.0538954502604</v>
      </c>
      <c r="AB5260" s="0" t="n">
        <f aca="false">X5260+Z5260</f>
        <v>46.1605325468157</v>
      </c>
      <c r="AC5260" s="54" t="b">
        <f aca="false">AND(E5260&gt;=01_因子設定!$L$5-0.000000001,E5260&lt;=01_因子設定!$M$5+0.000000001,F5260&gt;=01_因子設定!$L$6-0.000000001,F5260&lt;=01_因子設定!$M$6+0.000000001,G5260&gt;=01_因子設定!$L$7-0.000000001,G5260&lt;=01_因子設定!$M$7+0.000000001,H5260&gt;=01_因子設定!$L$8-0.000000001,H5260&lt;=01_因子設定!$M$8+0.000000001,IF(01_因子設定!$B$20="Box-Behnken",E5260^2+F5260^2+G5260^2+H5260^2&lt;=2+0.000000001,TRUE()))</f>
        <v>1</v>
      </c>
      <c r="AD5260" s="55" t="n">
        <f aca="false">IF(AC5260,IF(01_因子設定!$B$13="最大化",AA5260-01_因子設定!$B$14,IF(01_因子設定!$B$13="最小化",01_因子設定!$B$15-AB5260,MIN(AA5260-01_因子設定!$B$14,01_因子設定!$B$15-AB5260))),-1E+030)</f>
        <v>-3.44610454973961</v>
      </c>
      <c r="AE5260" s="55" t="n">
        <f aca="false">IF(AC5260,IF(01_因子設定!$B$13="最大化",X5260,IF(01_因子設定!$B$13="最小化",-X5260,-ABS(X5260-01_因子設定!$B$16))),-1E+030)</f>
        <v>44.607213998538</v>
      </c>
      <c r="AF5260" s="55" t="n">
        <f aca="false">AD5260+ROW()*0.000000001</f>
        <v>-3.44609928973961</v>
      </c>
      <c r="AG5260" s="55" t="n">
        <f aca="false">AE5260+ROW()*0.000000001</f>
        <v>44.607219258538</v>
      </c>
    </row>
    <row r="5261" customFormat="false" ht="15" hidden="false" customHeight="false" outlineLevel="0" collapsed="false">
      <c r="A5261" s="0" t="n">
        <v>7</v>
      </c>
      <c r="B5261" s="0" t="n">
        <v>1</v>
      </c>
      <c r="C5261" s="0" t="n">
        <v>8</v>
      </c>
      <c r="D5261" s="0" t="n">
        <v>0</v>
      </c>
      <c r="E5261" s="0" t="n">
        <f aca="false">-1+A5261*0.25</f>
        <v>0.75</v>
      </c>
      <c r="F5261" s="0" t="n">
        <f aca="false">-1+B5261*0.25</f>
        <v>-0.75</v>
      </c>
      <c r="G5261" s="0" t="n">
        <f aca="false">-1+C5261*0.25</f>
        <v>1</v>
      </c>
      <c r="H5261" s="0" t="n">
        <f aca="false">-1+D5261*0.25</f>
        <v>-1</v>
      </c>
      <c r="I5261" s="0" t="n">
        <f aca="false">1</f>
        <v>1</v>
      </c>
      <c r="J5261" s="0" t="n">
        <f aca="false">E5261</f>
        <v>0.75</v>
      </c>
      <c r="K5261" s="0" t="n">
        <f aca="false">F5261</f>
        <v>-0.75</v>
      </c>
      <c r="L5261" s="0" t="n">
        <f aca="false">G5261</f>
        <v>1</v>
      </c>
      <c r="M5261" s="0" t="n">
        <f aca="false">H5261</f>
        <v>-1</v>
      </c>
      <c r="N5261" s="0" t="n">
        <f aca="false">E5261*F5261</f>
        <v>-0.5625</v>
      </c>
      <c r="O5261" s="0" t="n">
        <f aca="false">E5261*G5261</f>
        <v>0.75</v>
      </c>
      <c r="P5261" s="0" t="n">
        <f aca="false">E5261*H5261</f>
        <v>-0.75</v>
      </c>
      <c r="Q5261" s="0" t="n">
        <f aca="false">F5261*G5261</f>
        <v>-0.75</v>
      </c>
      <c r="R5261" s="0" t="n">
        <f aca="false">F5261*H5261</f>
        <v>0.75</v>
      </c>
      <c r="S5261" s="0" t="n">
        <f aca="false">G5261*H5261</f>
        <v>-1</v>
      </c>
      <c r="T5261" s="0" t="n">
        <f aca="false">E5261*E5261</f>
        <v>0.5625</v>
      </c>
      <c r="U5261" s="0" t="n">
        <f aca="false">F5261*F5261</f>
        <v>0.5625</v>
      </c>
      <c r="V5261" s="0" t="n">
        <f aca="false">G5261*G5261</f>
        <v>1</v>
      </c>
      <c r="W5261" s="0" t="n">
        <f aca="false">H5261*H5261</f>
        <v>1</v>
      </c>
      <c r="X5261" s="0" t="n">
        <f aca="false">SUMPRODUCT(I5261:W5261,_XtX!$B$96:$P$96)</f>
        <v>42.5535179093568</v>
      </c>
      <c r="Y5261" s="0" t="n">
        <f aca="false">SUMPRODUCT(MMULT(I5261:W5261,_XtX!$B$78:$P$92),I5261:W5261)</f>
        <v>0.531311392086988</v>
      </c>
      <c r="Z5261" s="0" t="n">
        <f aca="false">04_回帰ANOVA!$K$19*04_回帰ANOVA!$K$14*SQRT(1+Y5261)</f>
        <v>1.61298433431428</v>
      </c>
      <c r="AA5261" s="0" t="n">
        <f aca="false">X5261-Z5261</f>
        <v>40.9405335750425</v>
      </c>
      <c r="AB5261" s="0" t="n">
        <f aca="false">X5261+Z5261</f>
        <v>44.166502243671</v>
      </c>
      <c r="AC5261" s="54" t="b">
        <f aca="false">AND(E5261&gt;=01_因子設定!$L$5-0.000000001,E5261&lt;=01_因子設定!$M$5+0.000000001,F5261&gt;=01_因子設定!$L$6-0.000000001,F5261&lt;=01_因子設定!$M$6+0.000000001,G5261&gt;=01_因子設定!$L$7-0.000000001,G5261&lt;=01_因子設定!$M$7+0.000000001,H5261&gt;=01_因子設定!$L$8-0.000000001,H5261&lt;=01_因子設定!$M$8+0.000000001,IF(01_因子設定!$B$20="Box-Behnken",E5261^2+F5261^2+G5261^2+H5261^2&lt;=2+0.000000001,TRUE()))</f>
        <v>1</v>
      </c>
      <c r="AD5261" s="55" t="n">
        <f aca="false">IF(AC5261,IF(01_因子設定!$B$13="最大化",AA5261-01_因子設定!$B$14,IF(01_因子設定!$B$13="最小化",01_因子設定!$B$15-AB5261,MIN(AA5261-01_因子設定!$B$14,01_因子設定!$B$15-AB5261))),-1E+030)</f>
        <v>-5.55946642495753</v>
      </c>
      <c r="AE5261" s="55" t="n">
        <f aca="false">IF(AC5261,IF(01_因子設定!$B$13="最大化",X5261,IF(01_因子設定!$B$13="最小化",-X5261,-ABS(X5261-01_因子設定!$B$16))),-1E+030)</f>
        <v>42.5535179093568</v>
      </c>
      <c r="AF5261" s="55" t="n">
        <f aca="false">AD5261+ROW()*0.000000001</f>
        <v>-5.55946116395753</v>
      </c>
      <c r="AG5261" s="55" t="n">
        <f aca="false">AE5261+ROW()*0.000000001</f>
        <v>42.5535231703568</v>
      </c>
    </row>
    <row r="5262" customFormat="false" ht="15" hidden="false" customHeight="false" outlineLevel="0" collapsed="false">
      <c r="A5262" s="0" t="n">
        <v>7</v>
      </c>
      <c r="B5262" s="0" t="n">
        <v>1</v>
      </c>
      <c r="C5262" s="0" t="n">
        <v>8</v>
      </c>
      <c r="D5262" s="0" t="n">
        <v>1</v>
      </c>
      <c r="E5262" s="0" t="n">
        <f aca="false">-1+A5262*0.25</f>
        <v>0.75</v>
      </c>
      <c r="F5262" s="0" t="n">
        <f aca="false">-1+B5262*0.25</f>
        <v>-0.75</v>
      </c>
      <c r="G5262" s="0" t="n">
        <f aca="false">-1+C5262*0.25</f>
        <v>1</v>
      </c>
      <c r="H5262" s="0" t="n">
        <f aca="false">-1+D5262*0.25</f>
        <v>-0.75</v>
      </c>
      <c r="I5262" s="0" t="n">
        <f aca="false">1</f>
        <v>1</v>
      </c>
      <c r="J5262" s="0" t="n">
        <f aca="false">E5262</f>
        <v>0.75</v>
      </c>
      <c r="K5262" s="0" t="n">
        <f aca="false">F5262</f>
        <v>-0.75</v>
      </c>
      <c r="L5262" s="0" t="n">
        <f aca="false">G5262</f>
        <v>1</v>
      </c>
      <c r="M5262" s="0" t="n">
        <f aca="false">H5262</f>
        <v>-0.75</v>
      </c>
      <c r="N5262" s="0" t="n">
        <f aca="false">E5262*F5262</f>
        <v>-0.5625</v>
      </c>
      <c r="O5262" s="0" t="n">
        <f aca="false">E5262*G5262</f>
        <v>0.75</v>
      </c>
      <c r="P5262" s="0" t="n">
        <f aca="false">E5262*H5262</f>
        <v>-0.5625</v>
      </c>
      <c r="Q5262" s="0" t="n">
        <f aca="false">F5262*G5262</f>
        <v>-0.75</v>
      </c>
      <c r="R5262" s="0" t="n">
        <f aca="false">F5262*H5262</f>
        <v>0.5625</v>
      </c>
      <c r="S5262" s="0" t="n">
        <f aca="false">G5262*H5262</f>
        <v>-0.75</v>
      </c>
      <c r="T5262" s="0" t="n">
        <f aca="false">E5262*E5262</f>
        <v>0.5625</v>
      </c>
      <c r="U5262" s="0" t="n">
        <f aca="false">F5262*F5262</f>
        <v>0.5625</v>
      </c>
      <c r="V5262" s="0" t="n">
        <f aca="false">G5262*G5262</f>
        <v>1</v>
      </c>
      <c r="W5262" s="0" t="n">
        <f aca="false">H5262*H5262</f>
        <v>0.5625</v>
      </c>
      <c r="X5262" s="0" t="n">
        <f aca="false">SUMPRODUCT(I5262:W5262,_XtX!$B$96:$P$96)</f>
        <v>42.9573876096491</v>
      </c>
      <c r="Y5262" s="0" t="n">
        <f aca="false">SUMPRODUCT(MMULT(I5262:W5262,_XtX!$B$78:$P$92),I5262:W5262)</f>
        <v>0.420117473044591</v>
      </c>
      <c r="Z5262" s="0" t="n">
        <f aca="false">04_回帰ANOVA!$K$19*04_回帰ANOVA!$K$14*SQRT(1+Y5262)</f>
        <v>1.55331854827765</v>
      </c>
      <c r="AA5262" s="0" t="n">
        <f aca="false">X5262-Z5262</f>
        <v>41.4040690613715</v>
      </c>
      <c r="AB5262" s="0" t="n">
        <f aca="false">X5262+Z5262</f>
        <v>44.5107061579268</v>
      </c>
      <c r="AC5262" s="54" t="b">
        <f aca="false">AND(E5262&gt;=01_因子設定!$L$5-0.000000001,E5262&lt;=01_因子設定!$M$5+0.000000001,F5262&gt;=01_因子設定!$L$6-0.000000001,F5262&lt;=01_因子設定!$M$6+0.000000001,G5262&gt;=01_因子設定!$L$7-0.000000001,G5262&lt;=01_因子設定!$M$7+0.000000001,H5262&gt;=01_因子設定!$L$8-0.000000001,H5262&lt;=01_因子設定!$M$8+0.000000001,IF(01_因子設定!$B$20="Box-Behnken",E5262^2+F5262^2+G5262^2+H5262^2&lt;=2+0.000000001,TRUE()))</f>
        <v>1</v>
      </c>
      <c r="AD5262" s="55" t="n">
        <f aca="false">IF(AC5262,IF(01_因子設定!$B$13="最大化",AA5262-01_因子設定!$B$14,IF(01_因子設定!$B$13="最小化",01_因子設定!$B$15-AB5262,MIN(AA5262-01_因子設定!$B$14,01_因子設定!$B$15-AB5262))),-1E+030)</f>
        <v>-5.09593093862851</v>
      </c>
      <c r="AE5262" s="55" t="n">
        <f aca="false">IF(AC5262,IF(01_因子設定!$B$13="最大化",X5262,IF(01_因子設定!$B$13="最小化",-X5262,-ABS(X5262-01_因子設定!$B$16))),-1E+030)</f>
        <v>42.9573876096491</v>
      </c>
      <c r="AF5262" s="55" t="n">
        <f aca="false">AD5262+ROW()*0.000000001</f>
        <v>-5.09592567662851</v>
      </c>
      <c r="AG5262" s="55" t="n">
        <f aca="false">AE5262+ROW()*0.000000001</f>
        <v>42.9573928716491</v>
      </c>
    </row>
    <row r="5263" customFormat="false" ht="15" hidden="false" customHeight="false" outlineLevel="0" collapsed="false">
      <c r="A5263" s="0" t="n">
        <v>7</v>
      </c>
      <c r="B5263" s="0" t="n">
        <v>1</v>
      </c>
      <c r="C5263" s="0" t="n">
        <v>8</v>
      </c>
      <c r="D5263" s="0" t="n">
        <v>2</v>
      </c>
      <c r="E5263" s="0" t="n">
        <f aca="false">-1+A5263*0.25</f>
        <v>0.75</v>
      </c>
      <c r="F5263" s="0" t="n">
        <f aca="false">-1+B5263*0.25</f>
        <v>-0.75</v>
      </c>
      <c r="G5263" s="0" t="n">
        <f aca="false">-1+C5263*0.25</f>
        <v>1</v>
      </c>
      <c r="H5263" s="0" t="n">
        <f aca="false">-1+D5263*0.25</f>
        <v>-0.5</v>
      </c>
      <c r="I5263" s="0" t="n">
        <f aca="false">1</f>
        <v>1</v>
      </c>
      <c r="J5263" s="0" t="n">
        <f aca="false">E5263</f>
        <v>0.75</v>
      </c>
      <c r="K5263" s="0" t="n">
        <f aca="false">F5263</f>
        <v>-0.75</v>
      </c>
      <c r="L5263" s="0" t="n">
        <f aca="false">G5263</f>
        <v>1</v>
      </c>
      <c r="M5263" s="0" t="n">
        <f aca="false">H5263</f>
        <v>-0.5</v>
      </c>
      <c r="N5263" s="0" t="n">
        <f aca="false">E5263*F5263</f>
        <v>-0.5625</v>
      </c>
      <c r="O5263" s="0" t="n">
        <f aca="false">E5263*G5263</f>
        <v>0.75</v>
      </c>
      <c r="P5263" s="0" t="n">
        <f aca="false">E5263*H5263</f>
        <v>-0.375</v>
      </c>
      <c r="Q5263" s="0" t="n">
        <f aca="false">F5263*G5263</f>
        <v>-0.75</v>
      </c>
      <c r="R5263" s="0" t="n">
        <f aca="false">F5263*H5263</f>
        <v>0.375</v>
      </c>
      <c r="S5263" s="0" t="n">
        <f aca="false">G5263*H5263</f>
        <v>-0.5</v>
      </c>
      <c r="T5263" s="0" t="n">
        <f aca="false">E5263*E5263</f>
        <v>0.5625</v>
      </c>
      <c r="U5263" s="0" t="n">
        <f aca="false">F5263*F5263</f>
        <v>0.5625</v>
      </c>
      <c r="V5263" s="0" t="n">
        <f aca="false">G5263*G5263</f>
        <v>1</v>
      </c>
      <c r="W5263" s="0" t="n">
        <f aca="false">H5263*H5263</f>
        <v>0.25</v>
      </c>
      <c r="X5263" s="0" t="n">
        <f aca="false">SUMPRODUCT(I5263:W5263,_XtX!$B$96:$P$96)</f>
        <v>43.3134502923977</v>
      </c>
      <c r="Y5263" s="0" t="n">
        <f aca="false">SUMPRODUCT(MMULT(I5263:W5263,_XtX!$B$78:$P$92),I5263:W5263)</f>
        <v>0.431153771472953</v>
      </c>
      <c r="Z5263" s="0" t="n">
        <f aca="false">04_回帰ANOVA!$K$19*04_回帰ANOVA!$K$14*SQRT(1+Y5263)</f>
        <v>1.55934259562563</v>
      </c>
      <c r="AA5263" s="0" t="n">
        <f aca="false">X5263-Z5263</f>
        <v>41.754107696772</v>
      </c>
      <c r="AB5263" s="0" t="n">
        <f aca="false">X5263+Z5263</f>
        <v>44.8727928880233</v>
      </c>
      <c r="AC5263" s="54" t="b">
        <f aca="false">AND(E5263&gt;=01_因子設定!$L$5-0.000000001,E5263&lt;=01_因子設定!$M$5+0.000000001,F5263&gt;=01_因子設定!$L$6-0.000000001,F5263&lt;=01_因子設定!$M$6+0.000000001,G5263&gt;=01_因子設定!$L$7-0.000000001,G5263&lt;=01_因子設定!$M$7+0.000000001,H5263&gt;=01_因子設定!$L$8-0.000000001,H5263&lt;=01_因子設定!$M$8+0.000000001,IF(01_因子設定!$B$20="Box-Behnken",E5263^2+F5263^2+G5263^2+H5263^2&lt;=2+0.000000001,TRUE()))</f>
        <v>1</v>
      </c>
      <c r="AD5263" s="55" t="n">
        <f aca="false">IF(AC5263,IF(01_因子設定!$B$13="最大化",AA5263-01_因子設定!$B$14,IF(01_因子設定!$B$13="最小化",01_因子設定!$B$15-AB5263,MIN(AA5263-01_因子設定!$B$14,01_因子設定!$B$15-AB5263))),-1E+030)</f>
        <v>-4.74589230322797</v>
      </c>
      <c r="AE5263" s="55" t="n">
        <f aca="false">IF(AC5263,IF(01_因子設定!$B$13="最大化",X5263,IF(01_因子設定!$B$13="最小化",-X5263,-ABS(X5263-01_因子設定!$B$16))),-1E+030)</f>
        <v>43.3134502923977</v>
      </c>
      <c r="AF5263" s="55" t="n">
        <f aca="false">AD5263+ROW()*0.000000001</f>
        <v>-4.74588704022797</v>
      </c>
      <c r="AG5263" s="55" t="n">
        <f aca="false">AE5263+ROW()*0.000000001</f>
        <v>43.3134555553977</v>
      </c>
    </row>
    <row r="5264" customFormat="false" ht="15" hidden="false" customHeight="false" outlineLevel="0" collapsed="false">
      <c r="A5264" s="0" t="n">
        <v>7</v>
      </c>
      <c r="B5264" s="0" t="n">
        <v>1</v>
      </c>
      <c r="C5264" s="0" t="n">
        <v>8</v>
      </c>
      <c r="D5264" s="0" t="n">
        <v>3</v>
      </c>
      <c r="E5264" s="0" t="n">
        <f aca="false">-1+A5264*0.25</f>
        <v>0.75</v>
      </c>
      <c r="F5264" s="0" t="n">
        <f aca="false">-1+B5264*0.25</f>
        <v>-0.75</v>
      </c>
      <c r="G5264" s="0" t="n">
        <f aca="false">-1+C5264*0.25</f>
        <v>1</v>
      </c>
      <c r="H5264" s="0" t="n">
        <f aca="false">-1+D5264*0.25</f>
        <v>-0.25</v>
      </c>
      <c r="I5264" s="0" t="n">
        <f aca="false">1</f>
        <v>1</v>
      </c>
      <c r="J5264" s="0" t="n">
        <f aca="false">E5264</f>
        <v>0.75</v>
      </c>
      <c r="K5264" s="0" t="n">
        <f aca="false">F5264</f>
        <v>-0.75</v>
      </c>
      <c r="L5264" s="0" t="n">
        <f aca="false">G5264</f>
        <v>1</v>
      </c>
      <c r="M5264" s="0" t="n">
        <f aca="false">H5264</f>
        <v>-0.25</v>
      </c>
      <c r="N5264" s="0" t="n">
        <f aca="false">E5264*F5264</f>
        <v>-0.5625</v>
      </c>
      <c r="O5264" s="0" t="n">
        <f aca="false">E5264*G5264</f>
        <v>0.75</v>
      </c>
      <c r="P5264" s="0" t="n">
        <f aca="false">E5264*H5264</f>
        <v>-0.1875</v>
      </c>
      <c r="Q5264" s="0" t="n">
        <f aca="false">F5264*G5264</f>
        <v>-0.75</v>
      </c>
      <c r="R5264" s="0" t="n">
        <f aca="false">F5264*H5264</f>
        <v>0.1875</v>
      </c>
      <c r="S5264" s="0" t="n">
        <f aca="false">G5264*H5264</f>
        <v>-0.25</v>
      </c>
      <c r="T5264" s="0" t="n">
        <f aca="false">E5264*E5264</f>
        <v>0.5625</v>
      </c>
      <c r="U5264" s="0" t="n">
        <f aca="false">F5264*F5264</f>
        <v>0.5625</v>
      </c>
      <c r="V5264" s="0" t="n">
        <f aca="false">G5264*G5264</f>
        <v>1</v>
      </c>
      <c r="W5264" s="0" t="n">
        <f aca="false">H5264*H5264</f>
        <v>0.0625</v>
      </c>
      <c r="X5264" s="0" t="n">
        <f aca="false">SUMPRODUCT(I5264:W5264,_XtX!$B$96:$P$96)</f>
        <v>43.6217059576023</v>
      </c>
      <c r="Y5264" s="0" t="n">
        <f aca="false">SUMPRODUCT(MMULT(I5264:W5264,_XtX!$B$78:$P$92),I5264:W5264)</f>
        <v>0.473959761056287</v>
      </c>
      <c r="Z5264" s="0" t="n">
        <f aca="false">04_回帰ANOVA!$K$19*04_回帰ANOVA!$K$14*SQRT(1+Y5264)</f>
        <v>1.58249084588329</v>
      </c>
      <c r="AA5264" s="0" t="n">
        <f aca="false">X5264-Z5264</f>
        <v>42.039215111719</v>
      </c>
      <c r="AB5264" s="0" t="n">
        <f aca="false">X5264+Z5264</f>
        <v>45.2041968034856</v>
      </c>
      <c r="AC5264" s="54" t="b">
        <f aca="false">AND(E5264&gt;=01_因子設定!$L$5-0.000000001,E5264&lt;=01_因子設定!$M$5+0.000000001,F5264&gt;=01_因子設定!$L$6-0.000000001,F5264&lt;=01_因子設定!$M$6+0.000000001,G5264&gt;=01_因子設定!$L$7-0.000000001,G5264&lt;=01_因子設定!$M$7+0.000000001,H5264&gt;=01_因子設定!$L$8-0.000000001,H5264&lt;=01_因子設定!$M$8+0.000000001,IF(01_因子設定!$B$20="Box-Behnken",E5264^2+F5264^2+G5264^2+H5264^2&lt;=2+0.000000001,TRUE()))</f>
        <v>1</v>
      </c>
      <c r="AD5264" s="55" t="n">
        <f aca="false">IF(AC5264,IF(01_因子設定!$B$13="最大化",AA5264-01_因子設定!$B$14,IF(01_因子設定!$B$13="最小化",01_因子設定!$B$15-AB5264,MIN(AA5264-01_因子設定!$B$14,01_因子設定!$B$15-AB5264))),-1E+030)</f>
        <v>-4.46078488828096</v>
      </c>
      <c r="AE5264" s="55" t="n">
        <f aca="false">IF(AC5264,IF(01_因子設定!$B$13="最大化",X5264,IF(01_因子設定!$B$13="最小化",-X5264,-ABS(X5264-01_因子設定!$B$16))),-1E+030)</f>
        <v>43.6217059576023</v>
      </c>
      <c r="AF5264" s="55" t="n">
        <f aca="false">AD5264+ROW()*0.000000001</f>
        <v>-4.46077962428095</v>
      </c>
      <c r="AG5264" s="55" t="n">
        <f aca="false">AE5264+ROW()*0.000000001</f>
        <v>43.6217112216023</v>
      </c>
    </row>
    <row r="5265" customFormat="false" ht="15" hidden="false" customHeight="false" outlineLevel="0" collapsed="false">
      <c r="A5265" s="0" t="n">
        <v>7</v>
      </c>
      <c r="B5265" s="0" t="n">
        <v>1</v>
      </c>
      <c r="C5265" s="0" t="n">
        <v>8</v>
      </c>
      <c r="D5265" s="0" t="n">
        <v>4</v>
      </c>
      <c r="E5265" s="0" t="n">
        <f aca="false">-1+A5265*0.25</f>
        <v>0.75</v>
      </c>
      <c r="F5265" s="0" t="n">
        <f aca="false">-1+B5265*0.25</f>
        <v>-0.75</v>
      </c>
      <c r="G5265" s="0" t="n">
        <f aca="false">-1+C5265*0.25</f>
        <v>1</v>
      </c>
      <c r="H5265" s="0" t="n">
        <f aca="false">-1+D5265*0.25</f>
        <v>0</v>
      </c>
      <c r="I5265" s="0" t="n">
        <f aca="false">1</f>
        <v>1</v>
      </c>
      <c r="J5265" s="0" t="n">
        <f aca="false">E5265</f>
        <v>0.75</v>
      </c>
      <c r="K5265" s="0" t="n">
        <f aca="false">F5265</f>
        <v>-0.75</v>
      </c>
      <c r="L5265" s="0" t="n">
        <f aca="false">G5265</f>
        <v>1</v>
      </c>
      <c r="M5265" s="0" t="n">
        <f aca="false">H5265</f>
        <v>0</v>
      </c>
      <c r="N5265" s="0" t="n">
        <f aca="false">E5265*F5265</f>
        <v>-0.5625</v>
      </c>
      <c r="O5265" s="0" t="n">
        <f aca="false">E5265*G5265</f>
        <v>0.75</v>
      </c>
      <c r="P5265" s="0" t="n">
        <f aca="false">E5265*H5265</f>
        <v>0</v>
      </c>
      <c r="Q5265" s="0" t="n">
        <f aca="false">F5265*G5265</f>
        <v>-0.75</v>
      </c>
      <c r="R5265" s="0" t="n">
        <f aca="false">F5265*H5265</f>
        <v>-0</v>
      </c>
      <c r="S5265" s="0" t="n">
        <f aca="false">G5265*H5265</f>
        <v>0</v>
      </c>
      <c r="T5265" s="0" t="n">
        <f aca="false">E5265*E5265</f>
        <v>0.5625</v>
      </c>
      <c r="U5265" s="0" t="n">
        <f aca="false">F5265*F5265</f>
        <v>0.5625</v>
      </c>
      <c r="V5265" s="0" t="n">
        <f aca="false">G5265*G5265</f>
        <v>1</v>
      </c>
      <c r="W5265" s="0" t="n">
        <f aca="false">H5265*H5265</f>
        <v>0</v>
      </c>
      <c r="X5265" s="0" t="n">
        <f aca="false">SUMPRODUCT(I5265:W5265,_XtX!$B$96:$P$96)</f>
        <v>43.8821546052631</v>
      </c>
      <c r="Y5265" s="0" t="n">
        <f aca="false">SUMPRODUCT(MMULT(I5265:W5265,_XtX!$B$78:$P$92),I5265:W5265)</f>
        <v>0.494259126005117</v>
      </c>
      <c r="Z5265" s="0" t="n">
        <f aca="false">04_回帰ANOVA!$K$19*04_回帰ANOVA!$K$14*SQRT(1+Y5265)</f>
        <v>1.59335061078203</v>
      </c>
      <c r="AA5265" s="0" t="n">
        <f aca="false">X5265-Z5265</f>
        <v>42.2888039944811</v>
      </c>
      <c r="AB5265" s="0" t="n">
        <f aca="false">X5265+Z5265</f>
        <v>45.4755052160452</v>
      </c>
      <c r="AC5265" s="54" t="b">
        <f aca="false">AND(E5265&gt;=01_因子設定!$L$5-0.000000001,E5265&lt;=01_因子設定!$M$5+0.000000001,F5265&gt;=01_因子設定!$L$6-0.000000001,F5265&lt;=01_因子設定!$M$6+0.000000001,G5265&gt;=01_因子設定!$L$7-0.000000001,G5265&lt;=01_因子設定!$M$7+0.000000001,H5265&gt;=01_因子設定!$L$8-0.000000001,H5265&lt;=01_因子設定!$M$8+0.000000001,IF(01_因子設定!$B$20="Box-Behnken",E5265^2+F5265^2+G5265^2+H5265^2&lt;=2+0.000000001,TRUE()))</f>
        <v>1</v>
      </c>
      <c r="AD5265" s="55" t="n">
        <f aca="false">IF(AC5265,IF(01_因子設定!$B$13="最大化",AA5265-01_因子設定!$B$14,IF(01_因子設定!$B$13="最小化",01_因子設定!$B$15-AB5265,MIN(AA5265-01_因子設定!$B$14,01_因子設定!$B$15-AB5265))),-1E+030)</f>
        <v>-4.21119600551888</v>
      </c>
      <c r="AE5265" s="55" t="n">
        <f aca="false">IF(AC5265,IF(01_因子設定!$B$13="最大化",X5265,IF(01_因子設定!$B$13="最小化",-X5265,-ABS(X5265-01_因子設定!$B$16))),-1E+030)</f>
        <v>43.8821546052631</v>
      </c>
      <c r="AF5265" s="55" t="n">
        <f aca="false">AD5265+ROW()*0.000000001</f>
        <v>-4.21119074051888</v>
      </c>
      <c r="AG5265" s="55" t="n">
        <f aca="false">AE5265+ROW()*0.000000001</f>
        <v>43.8821598702631</v>
      </c>
    </row>
    <row r="5266" customFormat="false" ht="15" hidden="false" customHeight="false" outlineLevel="0" collapsed="false">
      <c r="A5266" s="0" t="n">
        <v>7</v>
      </c>
      <c r="B5266" s="0" t="n">
        <v>1</v>
      </c>
      <c r="C5266" s="0" t="n">
        <v>8</v>
      </c>
      <c r="D5266" s="0" t="n">
        <v>5</v>
      </c>
      <c r="E5266" s="0" t="n">
        <f aca="false">-1+A5266*0.25</f>
        <v>0.75</v>
      </c>
      <c r="F5266" s="0" t="n">
        <f aca="false">-1+B5266*0.25</f>
        <v>-0.75</v>
      </c>
      <c r="G5266" s="0" t="n">
        <f aca="false">-1+C5266*0.25</f>
        <v>1</v>
      </c>
      <c r="H5266" s="0" t="n">
        <f aca="false">-1+D5266*0.25</f>
        <v>0.25</v>
      </c>
      <c r="I5266" s="0" t="n">
        <f aca="false">1</f>
        <v>1</v>
      </c>
      <c r="J5266" s="0" t="n">
        <f aca="false">E5266</f>
        <v>0.75</v>
      </c>
      <c r="K5266" s="0" t="n">
        <f aca="false">F5266</f>
        <v>-0.75</v>
      </c>
      <c r="L5266" s="0" t="n">
        <f aca="false">G5266</f>
        <v>1</v>
      </c>
      <c r="M5266" s="0" t="n">
        <f aca="false">H5266</f>
        <v>0.25</v>
      </c>
      <c r="N5266" s="0" t="n">
        <f aca="false">E5266*F5266</f>
        <v>-0.5625</v>
      </c>
      <c r="O5266" s="0" t="n">
        <f aca="false">E5266*G5266</f>
        <v>0.75</v>
      </c>
      <c r="P5266" s="0" t="n">
        <f aca="false">E5266*H5266</f>
        <v>0.1875</v>
      </c>
      <c r="Q5266" s="0" t="n">
        <f aca="false">F5266*G5266</f>
        <v>-0.75</v>
      </c>
      <c r="R5266" s="0" t="n">
        <f aca="false">F5266*H5266</f>
        <v>-0.1875</v>
      </c>
      <c r="S5266" s="0" t="n">
        <f aca="false">G5266*H5266</f>
        <v>0.25</v>
      </c>
      <c r="T5266" s="0" t="n">
        <f aca="false">E5266*E5266</f>
        <v>0.5625</v>
      </c>
      <c r="U5266" s="0" t="n">
        <f aca="false">F5266*F5266</f>
        <v>0.5625</v>
      </c>
      <c r="V5266" s="0" t="n">
        <f aca="false">G5266*G5266</f>
        <v>1</v>
      </c>
      <c r="W5266" s="0" t="n">
        <f aca="false">H5266*H5266</f>
        <v>0.0625</v>
      </c>
      <c r="X5266" s="0" t="n">
        <f aca="false">SUMPRODUCT(I5266:W5266,_XtX!$B$96:$P$96)</f>
        <v>44.0947962353801</v>
      </c>
      <c r="Y5266" s="0" t="n">
        <f aca="false">SUMPRODUCT(MMULT(I5266:W5266,_XtX!$B$78:$P$92),I5266:W5266)</f>
        <v>0.473959761056287</v>
      </c>
      <c r="Z5266" s="0" t="n">
        <f aca="false">04_回帰ANOVA!$K$19*04_回帰ANOVA!$K$14*SQRT(1+Y5266)</f>
        <v>1.58249084588329</v>
      </c>
      <c r="AA5266" s="0" t="n">
        <f aca="false">X5266-Z5266</f>
        <v>42.5123053894968</v>
      </c>
      <c r="AB5266" s="0" t="n">
        <f aca="false">X5266+Z5266</f>
        <v>45.6772870812634</v>
      </c>
      <c r="AC5266" s="54" t="b">
        <f aca="false">AND(E5266&gt;=01_因子設定!$L$5-0.000000001,E5266&lt;=01_因子設定!$M$5+0.000000001,F5266&gt;=01_因子設定!$L$6-0.000000001,F5266&lt;=01_因子設定!$M$6+0.000000001,G5266&gt;=01_因子設定!$L$7-0.000000001,G5266&lt;=01_因子設定!$M$7+0.000000001,H5266&gt;=01_因子設定!$L$8-0.000000001,H5266&lt;=01_因子設定!$M$8+0.000000001,IF(01_因子設定!$B$20="Box-Behnken",E5266^2+F5266^2+G5266^2+H5266^2&lt;=2+0.000000001,TRUE()))</f>
        <v>1</v>
      </c>
      <c r="AD5266" s="55" t="n">
        <f aca="false">IF(AC5266,IF(01_因子設定!$B$13="最大化",AA5266-01_因子設定!$B$14,IF(01_因子設定!$B$13="最小化",01_因子設定!$B$15-AB5266,MIN(AA5266-01_因子設定!$B$14,01_因子設定!$B$15-AB5266))),-1E+030)</f>
        <v>-3.98769461050318</v>
      </c>
      <c r="AE5266" s="55" t="n">
        <f aca="false">IF(AC5266,IF(01_因子設定!$B$13="最大化",X5266,IF(01_因子設定!$B$13="最小化",-X5266,-ABS(X5266-01_因子設定!$B$16))),-1E+030)</f>
        <v>44.0947962353801</v>
      </c>
      <c r="AF5266" s="55" t="n">
        <f aca="false">AD5266+ROW()*0.000000001</f>
        <v>-3.98768934450318</v>
      </c>
      <c r="AG5266" s="55" t="n">
        <f aca="false">AE5266+ROW()*0.000000001</f>
        <v>44.0948015013801</v>
      </c>
    </row>
    <row r="5267" customFormat="false" ht="15" hidden="false" customHeight="false" outlineLevel="0" collapsed="false">
      <c r="A5267" s="0" t="n">
        <v>7</v>
      </c>
      <c r="B5267" s="0" t="n">
        <v>1</v>
      </c>
      <c r="C5267" s="0" t="n">
        <v>8</v>
      </c>
      <c r="D5267" s="0" t="n">
        <v>6</v>
      </c>
      <c r="E5267" s="0" t="n">
        <f aca="false">-1+A5267*0.25</f>
        <v>0.75</v>
      </c>
      <c r="F5267" s="0" t="n">
        <f aca="false">-1+B5267*0.25</f>
        <v>-0.75</v>
      </c>
      <c r="G5267" s="0" t="n">
        <f aca="false">-1+C5267*0.25</f>
        <v>1</v>
      </c>
      <c r="H5267" s="0" t="n">
        <f aca="false">-1+D5267*0.25</f>
        <v>0.5</v>
      </c>
      <c r="I5267" s="0" t="n">
        <f aca="false">1</f>
        <v>1</v>
      </c>
      <c r="J5267" s="0" t="n">
        <f aca="false">E5267</f>
        <v>0.75</v>
      </c>
      <c r="K5267" s="0" t="n">
        <f aca="false">F5267</f>
        <v>-0.75</v>
      </c>
      <c r="L5267" s="0" t="n">
        <f aca="false">G5267</f>
        <v>1</v>
      </c>
      <c r="M5267" s="0" t="n">
        <f aca="false">H5267</f>
        <v>0.5</v>
      </c>
      <c r="N5267" s="0" t="n">
        <f aca="false">E5267*F5267</f>
        <v>-0.5625</v>
      </c>
      <c r="O5267" s="0" t="n">
        <f aca="false">E5267*G5267</f>
        <v>0.75</v>
      </c>
      <c r="P5267" s="0" t="n">
        <f aca="false">E5267*H5267</f>
        <v>0.375</v>
      </c>
      <c r="Q5267" s="0" t="n">
        <f aca="false">F5267*G5267</f>
        <v>-0.75</v>
      </c>
      <c r="R5267" s="0" t="n">
        <f aca="false">F5267*H5267</f>
        <v>-0.375</v>
      </c>
      <c r="S5267" s="0" t="n">
        <f aca="false">G5267*H5267</f>
        <v>0.5</v>
      </c>
      <c r="T5267" s="0" t="n">
        <f aca="false">E5267*E5267</f>
        <v>0.5625</v>
      </c>
      <c r="U5267" s="0" t="n">
        <f aca="false">F5267*F5267</f>
        <v>0.5625</v>
      </c>
      <c r="V5267" s="0" t="n">
        <f aca="false">G5267*G5267</f>
        <v>1</v>
      </c>
      <c r="W5267" s="0" t="n">
        <f aca="false">H5267*H5267</f>
        <v>0.25</v>
      </c>
      <c r="X5267" s="0" t="n">
        <f aca="false">SUMPRODUCT(I5267:W5267,_XtX!$B$96:$P$96)</f>
        <v>44.2596308479532</v>
      </c>
      <c r="Y5267" s="0" t="n">
        <f aca="false">SUMPRODUCT(MMULT(I5267:W5267,_XtX!$B$78:$P$92),I5267:W5267)</f>
        <v>0.431153771472953</v>
      </c>
      <c r="Z5267" s="0" t="n">
        <f aca="false">04_回帰ANOVA!$K$19*04_回帰ANOVA!$K$14*SQRT(1+Y5267)</f>
        <v>1.55934259562563</v>
      </c>
      <c r="AA5267" s="0" t="n">
        <f aca="false">X5267-Z5267</f>
        <v>42.7002882523276</v>
      </c>
      <c r="AB5267" s="0" t="n">
        <f aca="false">X5267+Z5267</f>
        <v>45.8189734435788</v>
      </c>
      <c r="AC5267" s="54" t="b">
        <f aca="false">AND(E5267&gt;=01_因子設定!$L$5-0.000000001,E5267&lt;=01_因子設定!$M$5+0.000000001,F5267&gt;=01_因子設定!$L$6-0.000000001,F5267&lt;=01_因子設定!$M$6+0.000000001,G5267&gt;=01_因子設定!$L$7-0.000000001,G5267&lt;=01_因子設定!$M$7+0.000000001,H5267&gt;=01_因子設定!$L$8-0.000000001,H5267&lt;=01_因子設定!$M$8+0.000000001,IF(01_因子設定!$B$20="Box-Behnken",E5267^2+F5267^2+G5267^2+H5267^2&lt;=2+0.000000001,TRUE()))</f>
        <v>1</v>
      </c>
      <c r="AD5267" s="55" t="n">
        <f aca="false">IF(AC5267,IF(01_因子設定!$B$13="最大化",AA5267-01_因子設定!$B$14,IF(01_因子設定!$B$13="最小化",01_因子設定!$B$15-AB5267,MIN(AA5267-01_因子設定!$B$14,01_因子設定!$B$15-AB5267))),-1E+030)</f>
        <v>-3.79971174767242</v>
      </c>
      <c r="AE5267" s="55" t="n">
        <f aca="false">IF(AC5267,IF(01_因子設定!$B$13="最大化",X5267,IF(01_因子設定!$B$13="最小化",-X5267,-ABS(X5267-01_因子設定!$B$16))),-1E+030)</f>
        <v>44.2596308479532</v>
      </c>
      <c r="AF5267" s="55" t="n">
        <f aca="false">AD5267+ROW()*0.000000001</f>
        <v>-3.79970648067242</v>
      </c>
      <c r="AG5267" s="55" t="n">
        <f aca="false">AE5267+ROW()*0.000000001</f>
        <v>44.2596361149532</v>
      </c>
    </row>
    <row r="5268" customFormat="false" ht="15" hidden="false" customHeight="false" outlineLevel="0" collapsed="false">
      <c r="A5268" s="0" t="n">
        <v>7</v>
      </c>
      <c r="B5268" s="0" t="n">
        <v>1</v>
      </c>
      <c r="C5268" s="0" t="n">
        <v>8</v>
      </c>
      <c r="D5268" s="0" t="n">
        <v>7</v>
      </c>
      <c r="E5268" s="0" t="n">
        <f aca="false">-1+A5268*0.25</f>
        <v>0.75</v>
      </c>
      <c r="F5268" s="0" t="n">
        <f aca="false">-1+B5268*0.25</f>
        <v>-0.75</v>
      </c>
      <c r="G5268" s="0" t="n">
        <f aca="false">-1+C5268*0.25</f>
        <v>1</v>
      </c>
      <c r="H5268" s="0" t="n">
        <f aca="false">-1+D5268*0.25</f>
        <v>0.75</v>
      </c>
      <c r="I5268" s="0" t="n">
        <f aca="false">1</f>
        <v>1</v>
      </c>
      <c r="J5268" s="0" t="n">
        <f aca="false">E5268</f>
        <v>0.75</v>
      </c>
      <c r="K5268" s="0" t="n">
        <f aca="false">F5268</f>
        <v>-0.75</v>
      </c>
      <c r="L5268" s="0" t="n">
        <f aca="false">G5268</f>
        <v>1</v>
      </c>
      <c r="M5268" s="0" t="n">
        <f aca="false">H5268</f>
        <v>0.75</v>
      </c>
      <c r="N5268" s="0" t="n">
        <f aca="false">E5268*F5268</f>
        <v>-0.5625</v>
      </c>
      <c r="O5268" s="0" t="n">
        <f aca="false">E5268*G5268</f>
        <v>0.75</v>
      </c>
      <c r="P5268" s="0" t="n">
        <f aca="false">E5268*H5268</f>
        <v>0.5625</v>
      </c>
      <c r="Q5268" s="0" t="n">
        <f aca="false">F5268*G5268</f>
        <v>-0.75</v>
      </c>
      <c r="R5268" s="0" t="n">
        <f aca="false">F5268*H5268</f>
        <v>-0.5625</v>
      </c>
      <c r="S5268" s="0" t="n">
        <f aca="false">G5268*H5268</f>
        <v>0.75</v>
      </c>
      <c r="T5268" s="0" t="n">
        <f aca="false">E5268*E5268</f>
        <v>0.5625</v>
      </c>
      <c r="U5268" s="0" t="n">
        <f aca="false">F5268*F5268</f>
        <v>0.5625</v>
      </c>
      <c r="V5268" s="0" t="n">
        <f aca="false">G5268*G5268</f>
        <v>1</v>
      </c>
      <c r="W5268" s="0" t="n">
        <f aca="false">H5268*H5268</f>
        <v>0.5625</v>
      </c>
      <c r="X5268" s="0" t="n">
        <f aca="false">SUMPRODUCT(I5268:W5268,_XtX!$B$96:$P$96)</f>
        <v>44.3766584429825</v>
      </c>
      <c r="Y5268" s="0" t="n">
        <f aca="false">SUMPRODUCT(MMULT(I5268:W5268,_XtX!$B$78:$P$92),I5268:W5268)</f>
        <v>0.420117473044591</v>
      </c>
      <c r="Z5268" s="0" t="n">
        <f aca="false">04_回帰ANOVA!$K$19*04_回帰ANOVA!$K$14*SQRT(1+Y5268)</f>
        <v>1.55331854827765</v>
      </c>
      <c r="AA5268" s="0" t="n">
        <f aca="false">X5268-Z5268</f>
        <v>42.8233398947048</v>
      </c>
      <c r="AB5268" s="0" t="n">
        <f aca="false">X5268+Z5268</f>
        <v>45.9299769912601</v>
      </c>
      <c r="AC5268" s="54" t="b">
        <f aca="false">AND(E5268&gt;=01_因子設定!$L$5-0.000000001,E5268&lt;=01_因子設定!$M$5+0.000000001,F5268&gt;=01_因子設定!$L$6-0.000000001,F5268&lt;=01_因子設定!$M$6+0.000000001,G5268&gt;=01_因子設定!$L$7-0.000000001,G5268&lt;=01_因子設定!$M$7+0.000000001,H5268&gt;=01_因子設定!$L$8-0.000000001,H5268&lt;=01_因子設定!$M$8+0.000000001,IF(01_因子設定!$B$20="Box-Behnken",E5268^2+F5268^2+G5268^2+H5268^2&lt;=2+0.000000001,TRUE()))</f>
        <v>1</v>
      </c>
      <c r="AD5268" s="55" t="n">
        <f aca="false">IF(AC5268,IF(01_因子設定!$B$13="最大化",AA5268-01_因子設定!$B$14,IF(01_因子設定!$B$13="最小化",01_因子設定!$B$15-AB5268,MIN(AA5268-01_因子設定!$B$14,01_因子設定!$B$15-AB5268))),-1E+030)</f>
        <v>-3.67666010529518</v>
      </c>
      <c r="AE5268" s="55" t="n">
        <f aca="false">IF(AC5268,IF(01_因子設定!$B$13="最大化",X5268,IF(01_因子設定!$B$13="最小化",-X5268,-ABS(X5268-01_因子設定!$B$16))),-1E+030)</f>
        <v>44.3766584429825</v>
      </c>
      <c r="AF5268" s="55" t="n">
        <f aca="false">AD5268+ROW()*0.000000001</f>
        <v>-3.67665483729518</v>
      </c>
      <c r="AG5268" s="55" t="n">
        <f aca="false">AE5268+ROW()*0.000000001</f>
        <v>44.3766637109825</v>
      </c>
    </row>
    <row r="5269" customFormat="false" ht="15" hidden="false" customHeight="false" outlineLevel="0" collapsed="false">
      <c r="A5269" s="0" t="n">
        <v>7</v>
      </c>
      <c r="B5269" s="0" t="n">
        <v>1</v>
      </c>
      <c r="C5269" s="0" t="n">
        <v>8</v>
      </c>
      <c r="D5269" s="0" t="n">
        <v>8</v>
      </c>
      <c r="E5269" s="0" t="n">
        <f aca="false">-1+A5269*0.25</f>
        <v>0.75</v>
      </c>
      <c r="F5269" s="0" t="n">
        <f aca="false">-1+B5269*0.25</f>
        <v>-0.75</v>
      </c>
      <c r="G5269" s="0" t="n">
        <f aca="false">-1+C5269*0.25</f>
        <v>1</v>
      </c>
      <c r="H5269" s="0" t="n">
        <f aca="false">-1+D5269*0.25</f>
        <v>1</v>
      </c>
      <c r="I5269" s="0" t="n">
        <f aca="false">1</f>
        <v>1</v>
      </c>
      <c r="J5269" s="0" t="n">
        <f aca="false">E5269</f>
        <v>0.75</v>
      </c>
      <c r="K5269" s="0" t="n">
        <f aca="false">F5269</f>
        <v>-0.75</v>
      </c>
      <c r="L5269" s="0" t="n">
        <f aca="false">G5269</f>
        <v>1</v>
      </c>
      <c r="M5269" s="0" t="n">
        <f aca="false">H5269</f>
        <v>1</v>
      </c>
      <c r="N5269" s="0" t="n">
        <f aca="false">E5269*F5269</f>
        <v>-0.5625</v>
      </c>
      <c r="O5269" s="0" t="n">
        <f aca="false">E5269*G5269</f>
        <v>0.75</v>
      </c>
      <c r="P5269" s="0" t="n">
        <f aca="false">E5269*H5269</f>
        <v>0.75</v>
      </c>
      <c r="Q5269" s="0" t="n">
        <f aca="false">F5269*G5269</f>
        <v>-0.75</v>
      </c>
      <c r="R5269" s="0" t="n">
        <f aca="false">F5269*H5269</f>
        <v>-0.75</v>
      </c>
      <c r="S5269" s="0" t="n">
        <f aca="false">G5269*H5269</f>
        <v>1</v>
      </c>
      <c r="T5269" s="0" t="n">
        <f aca="false">E5269*E5269</f>
        <v>0.5625</v>
      </c>
      <c r="U5269" s="0" t="n">
        <f aca="false">F5269*F5269</f>
        <v>0.5625</v>
      </c>
      <c r="V5269" s="0" t="n">
        <f aca="false">G5269*G5269</f>
        <v>1</v>
      </c>
      <c r="W5269" s="0" t="n">
        <f aca="false">H5269*H5269</f>
        <v>1</v>
      </c>
      <c r="X5269" s="0" t="n">
        <f aca="false">SUMPRODUCT(I5269:W5269,_XtX!$B$96:$P$96)</f>
        <v>44.4458790204679</v>
      </c>
      <c r="Y5269" s="0" t="n">
        <f aca="false">SUMPRODUCT(MMULT(I5269:W5269,_XtX!$B$78:$P$92),I5269:W5269)</f>
        <v>0.531311392086988</v>
      </c>
      <c r="Z5269" s="0" t="n">
        <f aca="false">04_回帰ANOVA!$K$19*04_回帰ANOVA!$K$14*SQRT(1+Y5269)</f>
        <v>1.61298433431428</v>
      </c>
      <c r="AA5269" s="0" t="n">
        <f aca="false">X5269-Z5269</f>
        <v>42.8328946861536</v>
      </c>
      <c r="AB5269" s="0" t="n">
        <f aca="false">X5269+Z5269</f>
        <v>46.0588633547822</v>
      </c>
      <c r="AC5269" s="54" t="b">
        <f aca="false">AND(E5269&gt;=01_因子設定!$L$5-0.000000001,E5269&lt;=01_因子設定!$M$5+0.000000001,F5269&gt;=01_因子設定!$L$6-0.000000001,F5269&lt;=01_因子設定!$M$6+0.000000001,G5269&gt;=01_因子設定!$L$7-0.000000001,G5269&lt;=01_因子設定!$M$7+0.000000001,H5269&gt;=01_因子設定!$L$8-0.000000001,H5269&lt;=01_因子設定!$M$8+0.000000001,IF(01_因子設定!$B$20="Box-Behnken",E5269^2+F5269^2+G5269^2+H5269^2&lt;=2+0.000000001,TRUE()))</f>
        <v>1</v>
      </c>
      <c r="AD5269" s="55" t="n">
        <f aca="false">IF(AC5269,IF(01_因子設定!$B$13="最大化",AA5269-01_因子設定!$B$14,IF(01_因子設定!$B$13="最小化",01_因子設定!$B$15-AB5269,MIN(AA5269-01_因子設定!$B$14,01_因子設定!$B$15-AB5269))),-1E+030)</f>
        <v>-3.66710531384642</v>
      </c>
      <c r="AE5269" s="55" t="n">
        <f aca="false">IF(AC5269,IF(01_因子設定!$B$13="最大化",X5269,IF(01_因子設定!$B$13="最小化",-X5269,-ABS(X5269-01_因子設定!$B$16))),-1E+030)</f>
        <v>44.4458790204679</v>
      </c>
      <c r="AF5269" s="55" t="n">
        <f aca="false">AD5269+ROW()*0.000000001</f>
        <v>-3.66710004484642</v>
      </c>
      <c r="AG5269" s="55" t="n">
        <f aca="false">AE5269+ROW()*0.000000001</f>
        <v>44.4458842894679</v>
      </c>
    </row>
    <row r="5270" customFormat="false" ht="15" hidden="false" customHeight="false" outlineLevel="0" collapsed="false">
      <c r="A5270" s="0" t="n">
        <v>7</v>
      </c>
      <c r="B5270" s="0" t="n">
        <v>2</v>
      </c>
      <c r="C5270" s="0" t="n">
        <v>0</v>
      </c>
      <c r="D5270" s="0" t="n">
        <v>0</v>
      </c>
      <c r="E5270" s="0" t="n">
        <f aca="false">-1+A5270*0.25</f>
        <v>0.75</v>
      </c>
      <c r="F5270" s="0" t="n">
        <f aca="false">-1+B5270*0.25</f>
        <v>-0.5</v>
      </c>
      <c r="G5270" s="0" t="n">
        <f aca="false">-1+C5270*0.25</f>
        <v>-1</v>
      </c>
      <c r="H5270" s="0" t="n">
        <f aca="false">-1+D5270*0.25</f>
        <v>-1</v>
      </c>
      <c r="I5270" s="0" t="n">
        <f aca="false">1</f>
        <v>1</v>
      </c>
      <c r="J5270" s="0" t="n">
        <f aca="false">E5270</f>
        <v>0.75</v>
      </c>
      <c r="K5270" s="0" t="n">
        <f aca="false">F5270</f>
        <v>-0.5</v>
      </c>
      <c r="L5270" s="0" t="n">
        <f aca="false">G5270</f>
        <v>-1</v>
      </c>
      <c r="M5270" s="0" t="n">
        <f aca="false">H5270</f>
        <v>-1</v>
      </c>
      <c r="N5270" s="0" t="n">
        <f aca="false">E5270*F5270</f>
        <v>-0.375</v>
      </c>
      <c r="O5270" s="0" t="n">
        <f aca="false">E5270*G5270</f>
        <v>-0.75</v>
      </c>
      <c r="P5270" s="0" t="n">
        <f aca="false">E5270*H5270</f>
        <v>-0.75</v>
      </c>
      <c r="Q5270" s="0" t="n">
        <f aca="false">F5270*G5270</f>
        <v>0.5</v>
      </c>
      <c r="R5270" s="0" t="n">
        <f aca="false">F5270*H5270</f>
        <v>0.5</v>
      </c>
      <c r="S5270" s="0" t="n">
        <f aca="false">G5270*H5270</f>
        <v>1</v>
      </c>
      <c r="T5270" s="0" t="n">
        <f aca="false">E5270*E5270</f>
        <v>0.5625</v>
      </c>
      <c r="U5270" s="0" t="n">
        <f aca="false">F5270*F5270</f>
        <v>0.25</v>
      </c>
      <c r="V5270" s="0" t="n">
        <f aca="false">G5270*G5270</f>
        <v>1</v>
      </c>
      <c r="W5270" s="0" t="n">
        <f aca="false">H5270*H5270</f>
        <v>1</v>
      </c>
      <c r="X5270" s="0" t="n">
        <f aca="false">SUMPRODUCT(I5270:W5270,_XtX!$B$96:$P$96)</f>
        <v>44.1221673976608</v>
      </c>
      <c r="Y5270" s="0" t="n">
        <f aca="false">SUMPRODUCT(MMULT(I5270:W5270,_XtX!$B$78:$P$92),I5270:W5270)</f>
        <v>0.564984237938597</v>
      </c>
      <c r="Z5270" s="0" t="n">
        <f aca="false">04_回帰ANOVA!$K$19*04_回帰ANOVA!$K$14*SQRT(1+Y5270)</f>
        <v>1.63062229734503</v>
      </c>
      <c r="AA5270" s="0" t="n">
        <f aca="false">X5270-Z5270</f>
        <v>42.4915451003158</v>
      </c>
      <c r="AB5270" s="0" t="n">
        <f aca="false">X5270+Z5270</f>
        <v>45.7527896950059</v>
      </c>
      <c r="AC5270" s="54" t="b">
        <f aca="false">AND(E5270&gt;=01_因子設定!$L$5-0.000000001,E5270&lt;=01_因子設定!$M$5+0.000000001,F5270&gt;=01_因子設定!$L$6-0.000000001,F5270&lt;=01_因子設定!$M$6+0.000000001,G5270&gt;=01_因子設定!$L$7-0.000000001,G5270&lt;=01_因子設定!$M$7+0.000000001,H5270&gt;=01_因子設定!$L$8-0.000000001,H5270&lt;=01_因子設定!$M$8+0.000000001,IF(01_因子設定!$B$20="Box-Behnken",E5270^2+F5270^2+G5270^2+H5270^2&lt;=2+0.000000001,TRUE()))</f>
        <v>1</v>
      </c>
      <c r="AD5270" s="55" t="n">
        <f aca="false">IF(AC5270,IF(01_因子設定!$B$13="最大化",AA5270-01_因子設定!$B$14,IF(01_因子設定!$B$13="最小化",01_因子設定!$B$15-AB5270,MIN(AA5270-01_因子設定!$B$14,01_因子設定!$B$15-AB5270))),-1E+030)</f>
        <v>-4.00845489968419</v>
      </c>
      <c r="AE5270" s="55" t="n">
        <f aca="false">IF(AC5270,IF(01_因子設定!$B$13="最大化",X5270,IF(01_因子設定!$B$13="最小化",-X5270,-ABS(X5270-01_因子設定!$B$16))),-1E+030)</f>
        <v>44.1221673976608</v>
      </c>
      <c r="AF5270" s="55" t="n">
        <f aca="false">AD5270+ROW()*0.000000001</f>
        <v>-4.00844962968419</v>
      </c>
      <c r="AG5270" s="55" t="n">
        <f aca="false">AE5270+ROW()*0.000000001</f>
        <v>44.1221726676609</v>
      </c>
    </row>
    <row r="5271" customFormat="false" ht="15" hidden="false" customHeight="false" outlineLevel="0" collapsed="false">
      <c r="A5271" s="0" t="n">
        <v>7</v>
      </c>
      <c r="B5271" s="0" t="n">
        <v>2</v>
      </c>
      <c r="C5271" s="0" t="n">
        <v>0</v>
      </c>
      <c r="D5271" s="0" t="n">
        <v>1</v>
      </c>
      <c r="E5271" s="0" t="n">
        <f aca="false">-1+A5271*0.25</f>
        <v>0.75</v>
      </c>
      <c r="F5271" s="0" t="n">
        <f aca="false">-1+B5271*0.25</f>
        <v>-0.5</v>
      </c>
      <c r="G5271" s="0" t="n">
        <f aca="false">-1+C5271*0.25</f>
        <v>-1</v>
      </c>
      <c r="H5271" s="0" t="n">
        <f aca="false">-1+D5271*0.25</f>
        <v>-0.75</v>
      </c>
      <c r="I5271" s="0" t="n">
        <f aca="false">1</f>
        <v>1</v>
      </c>
      <c r="J5271" s="0" t="n">
        <f aca="false">E5271</f>
        <v>0.75</v>
      </c>
      <c r="K5271" s="0" t="n">
        <f aca="false">F5271</f>
        <v>-0.5</v>
      </c>
      <c r="L5271" s="0" t="n">
        <f aca="false">G5271</f>
        <v>-1</v>
      </c>
      <c r="M5271" s="0" t="n">
        <f aca="false">H5271</f>
        <v>-0.75</v>
      </c>
      <c r="N5271" s="0" t="n">
        <f aca="false">E5271*F5271</f>
        <v>-0.375</v>
      </c>
      <c r="O5271" s="0" t="n">
        <f aca="false">E5271*G5271</f>
        <v>-0.75</v>
      </c>
      <c r="P5271" s="0" t="n">
        <f aca="false">E5271*H5271</f>
        <v>-0.5625</v>
      </c>
      <c r="Q5271" s="0" t="n">
        <f aca="false">F5271*G5271</f>
        <v>0.5</v>
      </c>
      <c r="R5271" s="0" t="n">
        <f aca="false">F5271*H5271</f>
        <v>0.375</v>
      </c>
      <c r="S5271" s="0" t="n">
        <f aca="false">G5271*H5271</f>
        <v>0.75</v>
      </c>
      <c r="T5271" s="0" t="n">
        <f aca="false">E5271*E5271</f>
        <v>0.5625</v>
      </c>
      <c r="U5271" s="0" t="n">
        <f aca="false">F5271*F5271</f>
        <v>0.25</v>
      </c>
      <c r="V5271" s="0" t="n">
        <f aca="false">G5271*G5271</f>
        <v>1</v>
      </c>
      <c r="W5271" s="0" t="n">
        <f aca="false">H5271*H5271</f>
        <v>0.5625</v>
      </c>
      <c r="X5271" s="0" t="n">
        <f aca="false">SUMPRODUCT(I5271:W5271,_XtX!$B$96:$P$96)</f>
        <v>44.3690058479532</v>
      </c>
      <c r="Y5271" s="0" t="n">
        <f aca="false">SUMPRODUCT(MMULT(I5271:W5271,_XtX!$B$78:$P$92),I5271:W5271)</f>
        <v>0.431153771472953</v>
      </c>
      <c r="Z5271" s="0" t="n">
        <f aca="false">04_回帰ANOVA!$K$19*04_回帰ANOVA!$K$14*SQRT(1+Y5271)</f>
        <v>1.55934259562563</v>
      </c>
      <c r="AA5271" s="0" t="n">
        <f aca="false">X5271-Z5271</f>
        <v>42.8096632523276</v>
      </c>
      <c r="AB5271" s="0" t="n">
        <f aca="false">X5271+Z5271</f>
        <v>45.9283484435789</v>
      </c>
      <c r="AC5271" s="54" t="b">
        <f aca="false">AND(E5271&gt;=01_因子設定!$L$5-0.000000001,E5271&lt;=01_因子設定!$M$5+0.000000001,F5271&gt;=01_因子設定!$L$6-0.000000001,F5271&lt;=01_因子設定!$M$6+0.000000001,G5271&gt;=01_因子設定!$L$7-0.000000001,G5271&lt;=01_因子設定!$M$7+0.000000001,H5271&gt;=01_因子設定!$L$8-0.000000001,H5271&lt;=01_因子設定!$M$8+0.000000001,IF(01_因子設定!$B$20="Box-Behnken",E5271^2+F5271^2+G5271^2+H5271^2&lt;=2+0.000000001,TRUE()))</f>
        <v>1</v>
      </c>
      <c r="AD5271" s="55" t="n">
        <f aca="false">IF(AC5271,IF(01_因子設定!$B$13="最大化",AA5271-01_因子設定!$B$14,IF(01_因子設定!$B$13="最小化",01_因子設定!$B$15-AB5271,MIN(AA5271-01_因子設定!$B$14,01_因子設定!$B$15-AB5271))),-1E+030)</f>
        <v>-3.6903367476724</v>
      </c>
      <c r="AE5271" s="55" t="n">
        <f aca="false">IF(AC5271,IF(01_因子設定!$B$13="最大化",X5271,IF(01_因子設定!$B$13="最小化",-X5271,-ABS(X5271-01_因子設定!$B$16))),-1E+030)</f>
        <v>44.3690058479532</v>
      </c>
      <c r="AF5271" s="55" t="n">
        <f aca="false">AD5271+ROW()*0.000000001</f>
        <v>-3.6903314766724</v>
      </c>
      <c r="AG5271" s="55" t="n">
        <f aca="false">AE5271+ROW()*0.000000001</f>
        <v>44.3690111189532</v>
      </c>
    </row>
    <row r="5272" customFormat="false" ht="15" hidden="false" customHeight="false" outlineLevel="0" collapsed="false">
      <c r="A5272" s="0" t="n">
        <v>7</v>
      </c>
      <c r="B5272" s="0" t="n">
        <v>2</v>
      </c>
      <c r="C5272" s="0" t="n">
        <v>0</v>
      </c>
      <c r="D5272" s="0" t="n">
        <v>2</v>
      </c>
      <c r="E5272" s="0" t="n">
        <f aca="false">-1+A5272*0.25</f>
        <v>0.75</v>
      </c>
      <c r="F5272" s="0" t="n">
        <f aca="false">-1+B5272*0.25</f>
        <v>-0.5</v>
      </c>
      <c r="G5272" s="0" t="n">
        <f aca="false">-1+C5272*0.25</f>
        <v>-1</v>
      </c>
      <c r="H5272" s="0" t="n">
        <f aca="false">-1+D5272*0.25</f>
        <v>-0.5</v>
      </c>
      <c r="I5272" s="0" t="n">
        <f aca="false">1</f>
        <v>1</v>
      </c>
      <c r="J5272" s="0" t="n">
        <f aca="false">E5272</f>
        <v>0.75</v>
      </c>
      <c r="K5272" s="0" t="n">
        <f aca="false">F5272</f>
        <v>-0.5</v>
      </c>
      <c r="L5272" s="0" t="n">
        <f aca="false">G5272</f>
        <v>-1</v>
      </c>
      <c r="M5272" s="0" t="n">
        <f aca="false">H5272</f>
        <v>-0.5</v>
      </c>
      <c r="N5272" s="0" t="n">
        <f aca="false">E5272*F5272</f>
        <v>-0.375</v>
      </c>
      <c r="O5272" s="0" t="n">
        <f aca="false">E5272*G5272</f>
        <v>-0.75</v>
      </c>
      <c r="P5272" s="0" t="n">
        <f aca="false">E5272*H5272</f>
        <v>-0.375</v>
      </c>
      <c r="Q5272" s="0" t="n">
        <f aca="false">F5272*G5272</f>
        <v>0.5</v>
      </c>
      <c r="R5272" s="0" t="n">
        <f aca="false">F5272*H5272</f>
        <v>0.25</v>
      </c>
      <c r="S5272" s="0" t="n">
        <f aca="false">G5272*H5272</f>
        <v>0.5</v>
      </c>
      <c r="T5272" s="0" t="n">
        <f aca="false">E5272*E5272</f>
        <v>0.5625</v>
      </c>
      <c r="U5272" s="0" t="n">
        <f aca="false">F5272*F5272</f>
        <v>0.25</v>
      </c>
      <c r="V5272" s="0" t="n">
        <f aca="false">G5272*G5272</f>
        <v>1</v>
      </c>
      <c r="W5272" s="0" t="n">
        <f aca="false">H5272*H5272</f>
        <v>0.25</v>
      </c>
      <c r="X5272" s="0" t="n">
        <f aca="false">SUMPRODUCT(I5272:W5272,_XtX!$B$96:$P$96)</f>
        <v>44.5680372807018</v>
      </c>
      <c r="Y5272" s="0" t="n">
        <f aca="false">SUMPRODUCT(MMULT(I5272:W5272,_XtX!$B$78:$P$92),I5272:W5272)</f>
        <v>0.42602110745614</v>
      </c>
      <c r="Z5272" s="0" t="n">
        <f aca="false">04_回帰ANOVA!$K$19*04_回帰ANOVA!$K$14*SQRT(1+Y5272)</f>
        <v>1.55654388501114</v>
      </c>
      <c r="AA5272" s="0" t="n">
        <f aca="false">X5272-Z5272</f>
        <v>43.0114933956906</v>
      </c>
      <c r="AB5272" s="0" t="n">
        <f aca="false">X5272+Z5272</f>
        <v>46.1245811657129</v>
      </c>
      <c r="AC5272" s="54" t="b">
        <f aca="false">AND(E5272&gt;=01_因子設定!$L$5-0.000000001,E5272&lt;=01_因子設定!$M$5+0.000000001,F5272&gt;=01_因子設定!$L$6-0.000000001,F5272&lt;=01_因子設定!$M$6+0.000000001,G5272&gt;=01_因子設定!$L$7-0.000000001,G5272&lt;=01_因子設定!$M$7+0.000000001,H5272&gt;=01_因子設定!$L$8-0.000000001,H5272&lt;=01_因子設定!$M$8+0.000000001,IF(01_因子設定!$B$20="Box-Behnken",E5272^2+F5272^2+G5272^2+H5272^2&lt;=2+0.000000001,TRUE()))</f>
        <v>1</v>
      </c>
      <c r="AD5272" s="55" t="n">
        <f aca="false">IF(AC5272,IF(01_因子設定!$B$13="最大化",AA5272-01_因子設定!$B$14,IF(01_因子設定!$B$13="最小化",01_因子設定!$B$15-AB5272,MIN(AA5272-01_因子設定!$B$14,01_因子設定!$B$15-AB5272))),-1E+030)</f>
        <v>-3.48850660430939</v>
      </c>
      <c r="AE5272" s="55" t="n">
        <f aca="false">IF(AC5272,IF(01_因子設定!$B$13="最大化",X5272,IF(01_因子設定!$B$13="最小化",-X5272,-ABS(X5272-01_因子設定!$B$16))),-1E+030)</f>
        <v>44.5680372807018</v>
      </c>
      <c r="AF5272" s="55" t="n">
        <f aca="false">AD5272+ROW()*0.000000001</f>
        <v>-3.48850133230939</v>
      </c>
      <c r="AG5272" s="55" t="n">
        <f aca="false">AE5272+ROW()*0.000000001</f>
        <v>44.5680425527018</v>
      </c>
    </row>
    <row r="5273" customFormat="false" ht="15" hidden="false" customHeight="false" outlineLevel="0" collapsed="false">
      <c r="A5273" s="0" t="n">
        <v>7</v>
      </c>
      <c r="B5273" s="0" t="n">
        <v>2</v>
      </c>
      <c r="C5273" s="0" t="n">
        <v>0</v>
      </c>
      <c r="D5273" s="0" t="n">
        <v>3</v>
      </c>
      <c r="E5273" s="0" t="n">
        <f aca="false">-1+A5273*0.25</f>
        <v>0.75</v>
      </c>
      <c r="F5273" s="0" t="n">
        <f aca="false">-1+B5273*0.25</f>
        <v>-0.5</v>
      </c>
      <c r="G5273" s="0" t="n">
        <f aca="false">-1+C5273*0.25</f>
        <v>-1</v>
      </c>
      <c r="H5273" s="0" t="n">
        <f aca="false">-1+D5273*0.25</f>
        <v>-0.25</v>
      </c>
      <c r="I5273" s="0" t="n">
        <f aca="false">1</f>
        <v>1</v>
      </c>
      <c r="J5273" s="0" t="n">
        <f aca="false">E5273</f>
        <v>0.75</v>
      </c>
      <c r="K5273" s="0" t="n">
        <f aca="false">F5273</f>
        <v>-0.5</v>
      </c>
      <c r="L5273" s="0" t="n">
        <f aca="false">G5273</f>
        <v>-1</v>
      </c>
      <c r="M5273" s="0" t="n">
        <f aca="false">H5273</f>
        <v>-0.25</v>
      </c>
      <c r="N5273" s="0" t="n">
        <f aca="false">E5273*F5273</f>
        <v>-0.375</v>
      </c>
      <c r="O5273" s="0" t="n">
        <f aca="false">E5273*G5273</f>
        <v>-0.75</v>
      </c>
      <c r="P5273" s="0" t="n">
        <f aca="false">E5273*H5273</f>
        <v>-0.1875</v>
      </c>
      <c r="Q5273" s="0" t="n">
        <f aca="false">F5273*G5273</f>
        <v>0.5</v>
      </c>
      <c r="R5273" s="0" t="n">
        <f aca="false">F5273*H5273</f>
        <v>0.125</v>
      </c>
      <c r="S5273" s="0" t="n">
        <f aca="false">G5273*H5273</f>
        <v>0.25</v>
      </c>
      <c r="T5273" s="0" t="n">
        <f aca="false">E5273*E5273</f>
        <v>0.5625</v>
      </c>
      <c r="U5273" s="0" t="n">
        <f aca="false">F5273*F5273</f>
        <v>0.25</v>
      </c>
      <c r="V5273" s="0" t="n">
        <f aca="false">G5273*G5273</f>
        <v>1</v>
      </c>
      <c r="W5273" s="0" t="n">
        <f aca="false">H5273*H5273</f>
        <v>0.0625</v>
      </c>
      <c r="X5273" s="0" t="n">
        <f aca="false">SUMPRODUCT(I5273:W5273,_XtX!$B$96:$P$96)</f>
        <v>44.7192616959064</v>
      </c>
      <c r="Y5273" s="0" t="n">
        <f aca="false">SUMPRODUCT(MMULT(I5273:W5273,_XtX!$B$78:$P$92),I5273:W5273)</f>
        <v>0.459125719572369</v>
      </c>
      <c r="Z5273" s="0" t="n">
        <f aca="false">04_回帰ANOVA!$K$19*04_回帰ANOVA!$K$14*SQRT(1+Y5273)</f>
        <v>1.57450755575573</v>
      </c>
      <c r="AA5273" s="0" t="n">
        <f aca="false">X5273-Z5273</f>
        <v>43.1447541401507</v>
      </c>
      <c r="AB5273" s="0" t="n">
        <f aca="false">X5273+Z5273</f>
        <v>46.2937692516622</v>
      </c>
      <c r="AC5273" s="54" t="b">
        <f aca="false">AND(E5273&gt;=01_因子設定!$L$5-0.000000001,E5273&lt;=01_因子設定!$M$5+0.000000001,F5273&gt;=01_因子設定!$L$6-0.000000001,F5273&lt;=01_因子設定!$M$6+0.000000001,G5273&gt;=01_因子設定!$L$7-0.000000001,G5273&lt;=01_因子設定!$M$7+0.000000001,H5273&gt;=01_因子設定!$L$8-0.000000001,H5273&lt;=01_因子設定!$M$8+0.000000001,IF(01_因子設定!$B$20="Box-Behnken",E5273^2+F5273^2+G5273^2+H5273^2&lt;=2+0.000000001,TRUE()))</f>
        <v>1</v>
      </c>
      <c r="AD5273" s="55" t="n">
        <f aca="false">IF(AC5273,IF(01_因子設定!$B$13="最大化",AA5273-01_因子設定!$B$14,IF(01_因子設定!$B$13="最小化",01_因子設定!$B$15-AB5273,MIN(AA5273-01_因子設定!$B$14,01_因子設定!$B$15-AB5273))),-1E+030)</f>
        <v>-3.3552458598493</v>
      </c>
      <c r="AE5273" s="55" t="n">
        <f aca="false">IF(AC5273,IF(01_因子設定!$B$13="最大化",X5273,IF(01_因子設定!$B$13="最小化",-X5273,-ABS(X5273-01_因子設定!$B$16))),-1E+030)</f>
        <v>44.7192616959064</v>
      </c>
      <c r="AF5273" s="55" t="n">
        <f aca="false">AD5273+ROW()*0.000000001</f>
        <v>-3.3552405868493</v>
      </c>
      <c r="AG5273" s="55" t="n">
        <f aca="false">AE5273+ROW()*0.000000001</f>
        <v>44.7192669689064</v>
      </c>
    </row>
    <row r="5274" customFormat="false" ht="15" hidden="false" customHeight="false" outlineLevel="0" collapsed="false">
      <c r="A5274" s="0" t="n">
        <v>7</v>
      </c>
      <c r="B5274" s="0" t="n">
        <v>2</v>
      </c>
      <c r="C5274" s="0" t="n">
        <v>0</v>
      </c>
      <c r="D5274" s="0" t="n">
        <v>4</v>
      </c>
      <c r="E5274" s="0" t="n">
        <f aca="false">-1+A5274*0.25</f>
        <v>0.75</v>
      </c>
      <c r="F5274" s="0" t="n">
        <f aca="false">-1+B5274*0.25</f>
        <v>-0.5</v>
      </c>
      <c r="G5274" s="0" t="n">
        <f aca="false">-1+C5274*0.25</f>
        <v>-1</v>
      </c>
      <c r="H5274" s="0" t="n">
        <f aca="false">-1+D5274*0.25</f>
        <v>0</v>
      </c>
      <c r="I5274" s="0" t="n">
        <f aca="false">1</f>
        <v>1</v>
      </c>
      <c r="J5274" s="0" t="n">
        <f aca="false">E5274</f>
        <v>0.75</v>
      </c>
      <c r="K5274" s="0" t="n">
        <f aca="false">F5274</f>
        <v>-0.5</v>
      </c>
      <c r="L5274" s="0" t="n">
        <f aca="false">G5274</f>
        <v>-1</v>
      </c>
      <c r="M5274" s="0" t="n">
        <f aca="false">H5274</f>
        <v>0</v>
      </c>
      <c r="N5274" s="0" t="n">
        <f aca="false">E5274*F5274</f>
        <v>-0.375</v>
      </c>
      <c r="O5274" s="0" t="n">
        <f aca="false">E5274*G5274</f>
        <v>-0.75</v>
      </c>
      <c r="P5274" s="0" t="n">
        <f aca="false">E5274*H5274</f>
        <v>0</v>
      </c>
      <c r="Q5274" s="0" t="n">
        <f aca="false">F5274*G5274</f>
        <v>0.5</v>
      </c>
      <c r="R5274" s="0" t="n">
        <f aca="false">F5274*H5274</f>
        <v>-0</v>
      </c>
      <c r="S5274" s="0" t="n">
        <f aca="false">G5274*H5274</f>
        <v>-0</v>
      </c>
      <c r="T5274" s="0" t="n">
        <f aca="false">E5274*E5274</f>
        <v>0.5625</v>
      </c>
      <c r="U5274" s="0" t="n">
        <f aca="false">F5274*F5274</f>
        <v>0.25</v>
      </c>
      <c r="V5274" s="0" t="n">
        <f aca="false">G5274*G5274</f>
        <v>1</v>
      </c>
      <c r="W5274" s="0" t="n">
        <f aca="false">H5274*H5274</f>
        <v>0</v>
      </c>
      <c r="X5274" s="0" t="n">
        <f aca="false">SUMPRODUCT(I5274:W5274,_XtX!$B$96:$P$96)</f>
        <v>44.8226790935672</v>
      </c>
      <c r="Y5274" s="0" t="n">
        <f aca="false">SUMPRODUCT(MMULT(I5274:W5274,_XtX!$B$78:$P$92),I5274:W5274)</f>
        <v>0.476191292032164</v>
      </c>
      <c r="Z5274" s="0" t="n">
        <f aca="false">04_回帰ANOVA!$K$19*04_回帰ANOVA!$K$14*SQRT(1+Y5274)</f>
        <v>1.58368831471718</v>
      </c>
      <c r="AA5274" s="0" t="n">
        <f aca="false">X5274-Z5274</f>
        <v>43.2389907788501</v>
      </c>
      <c r="AB5274" s="0" t="n">
        <f aca="false">X5274+Z5274</f>
        <v>46.4063674082844</v>
      </c>
      <c r="AC5274" s="54" t="b">
        <f aca="false">AND(E5274&gt;=01_因子設定!$L$5-0.000000001,E5274&lt;=01_因子設定!$M$5+0.000000001,F5274&gt;=01_因子設定!$L$6-0.000000001,F5274&lt;=01_因子設定!$M$6+0.000000001,G5274&gt;=01_因子設定!$L$7-0.000000001,G5274&lt;=01_因子設定!$M$7+0.000000001,H5274&gt;=01_因子設定!$L$8-0.000000001,H5274&lt;=01_因子設定!$M$8+0.000000001,IF(01_因子設定!$B$20="Box-Behnken",E5274^2+F5274^2+G5274^2+H5274^2&lt;=2+0.000000001,TRUE()))</f>
        <v>1</v>
      </c>
      <c r="AD5274" s="55" t="n">
        <f aca="false">IF(AC5274,IF(01_因子設定!$B$13="最大化",AA5274-01_因子設定!$B$14,IF(01_因子設定!$B$13="最小化",01_因子設定!$B$15-AB5274,MIN(AA5274-01_因子設定!$B$14,01_因子設定!$B$15-AB5274))),-1E+030)</f>
        <v>-3.26100922114994</v>
      </c>
      <c r="AE5274" s="55" t="n">
        <f aca="false">IF(AC5274,IF(01_因子設定!$B$13="最大化",X5274,IF(01_因子設定!$B$13="最小化",-X5274,-ABS(X5274-01_因子設定!$B$16))),-1E+030)</f>
        <v>44.8226790935672</v>
      </c>
      <c r="AF5274" s="55" t="n">
        <f aca="false">AD5274+ROW()*0.000000001</f>
        <v>-3.26100394714994</v>
      </c>
      <c r="AG5274" s="55" t="n">
        <f aca="false">AE5274+ROW()*0.000000001</f>
        <v>44.8226843675672</v>
      </c>
    </row>
    <row r="5275" customFormat="false" ht="15" hidden="false" customHeight="false" outlineLevel="0" collapsed="false">
      <c r="A5275" s="0" t="n">
        <v>7</v>
      </c>
      <c r="B5275" s="0" t="n">
        <v>2</v>
      </c>
      <c r="C5275" s="0" t="n">
        <v>0</v>
      </c>
      <c r="D5275" s="0" t="n">
        <v>5</v>
      </c>
      <c r="E5275" s="0" t="n">
        <f aca="false">-1+A5275*0.25</f>
        <v>0.75</v>
      </c>
      <c r="F5275" s="0" t="n">
        <f aca="false">-1+B5275*0.25</f>
        <v>-0.5</v>
      </c>
      <c r="G5275" s="0" t="n">
        <f aca="false">-1+C5275*0.25</f>
        <v>-1</v>
      </c>
      <c r="H5275" s="0" t="n">
        <f aca="false">-1+D5275*0.25</f>
        <v>0.25</v>
      </c>
      <c r="I5275" s="0" t="n">
        <f aca="false">1</f>
        <v>1</v>
      </c>
      <c r="J5275" s="0" t="n">
        <f aca="false">E5275</f>
        <v>0.75</v>
      </c>
      <c r="K5275" s="0" t="n">
        <f aca="false">F5275</f>
        <v>-0.5</v>
      </c>
      <c r="L5275" s="0" t="n">
        <f aca="false">G5275</f>
        <v>-1</v>
      </c>
      <c r="M5275" s="0" t="n">
        <f aca="false">H5275</f>
        <v>0.25</v>
      </c>
      <c r="N5275" s="0" t="n">
        <f aca="false">E5275*F5275</f>
        <v>-0.375</v>
      </c>
      <c r="O5275" s="0" t="n">
        <f aca="false">E5275*G5275</f>
        <v>-0.75</v>
      </c>
      <c r="P5275" s="0" t="n">
        <f aca="false">E5275*H5275</f>
        <v>0.1875</v>
      </c>
      <c r="Q5275" s="0" t="n">
        <f aca="false">F5275*G5275</f>
        <v>0.5</v>
      </c>
      <c r="R5275" s="0" t="n">
        <f aca="false">F5275*H5275</f>
        <v>-0.125</v>
      </c>
      <c r="S5275" s="0" t="n">
        <f aca="false">G5275*H5275</f>
        <v>-0.25</v>
      </c>
      <c r="T5275" s="0" t="n">
        <f aca="false">E5275*E5275</f>
        <v>0.5625</v>
      </c>
      <c r="U5275" s="0" t="n">
        <f aca="false">F5275*F5275</f>
        <v>0.25</v>
      </c>
      <c r="V5275" s="0" t="n">
        <f aca="false">G5275*G5275</f>
        <v>1</v>
      </c>
      <c r="W5275" s="0" t="n">
        <f aca="false">H5275*H5275</f>
        <v>0.0625</v>
      </c>
      <c r="X5275" s="0" t="n">
        <f aca="false">SUMPRODUCT(I5275:W5275,_XtX!$B$96:$P$96)</f>
        <v>44.8782894736842</v>
      </c>
      <c r="Y5275" s="0" t="n">
        <f aca="false">SUMPRODUCT(MMULT(I5275:W5275,_XtX!$B$78:$P$92),I5275:W5275)</f>
        <v>0.459125719572369</v>
      </c>
      <c r="Z5275" s="0" t="n">
        <f aca="false">04_回帰ANOVA!$K$19*04_回帰ANOVA!$K$14*SQRT(1+Y5275)</f>
        <v>1.57450755575573</v>
      </c>
      <c r="AA5275" s="0" t="n">
        <f aca="false">X5275-Z5275</f>
        <v>43.3037819179285</v>
      </c>
      <c r="AB5275" s="0" t="n">
        <f aca="false">X5275+Z5275</f>
        <v>46.4527970294399</v>
      </c>
      <c r="AC5275" s="54" t="b">
        <f aca="false">AND(E5275&gt;=01_因子設定!$L$5-0.000000001,E5275&lt;=01_因子設定!$M$5+0.000000001,F5275&gt;=01_因子設定!$L$6-0.000000001,F5275&lt;=01_因子設定!$M$6+0.000000001,G5275&gt;=01_因子設定!$L$7-0.000000001,G5275&lt;=01_因子設定!$M$7+0.000000001,H5275&gt;=01_因子設定!$L$8-0.000000001,H5275&lt;=01_因子設定!$M$8+0.000000001,IF(01_因子設定!$B$20="Box-Behnken",E5275^2+F5275^2+G5275^2+H5275^2&lt;=2+0.000000001,TRUE()))</f>
        <v>1</v>
      </c>
      <c r="AD5275" s="55" t="n">
        <f aca="false">IF(AC5275,IF(01_因子設定!$B$13="最大化",AA5275-01_因子設定!$B$14,IF(01_因子設定!$B$13="最小化",01_因子設定!$B$15-AB5275,MIN(AA5275-01_因子設定!$B$14,01_因子設定!$B$15-AB5275))),-1E+030)</f>
        <v>-3.19621808207153</v>
      </c>
      <c r="AE5275" s="55" t="n">
        <f aca="false">IF(AC5275,IF(01_因子設定!$B$13="最大化",X5275,IF(01_因子設定!$B$13="最小化",-X5275,-ABS(X5275-01_因子設定!$B$16))),-1E+030)</f>
        <v>44.8782894736842</v>
      </c>
      <c r="AF5275" s="55" t="n">
        <f aca="false">AD5275+ROW()*0.000000001</f>
        <v>-3.19621280707153</v>
      </c>
      <c r="AG5275" s="55" t="n">
        <f aca="false">AE5275+ROW()*0.000000001</f>
        <v>44.8782947486842</v>
      </c>
    </row>
    <row r="5276" customFormat="false" ht="15" hidden="false" customHeight="false" outlineLevel="0" collapsed="false">
      <c r="A5276" s="0" t="n">
        <v>7</v>
      </c>
      <c r="B5276" s="0" t="n">
        <v>2</v>
      </c>
      <c r="C5276" s="0" t="n">
        <v>0</v>
      </c>
      <c r="D5276" s="0" t="n">
        <v>6</v>
      </c>
      <c r="E5276" s="0" t="n">
        <f aca="false">-1+A5276*0.25</f>
        <v>0.75</v>
      </c>
      <c r="F5276" s="0" t="n">
        <f aca="false">-1+B5276*0.25</f>
        <v>-0.5</v>
      </c>
      <c r="G5276" s="0" t="n">
        <f aca="false">-1+C5276*0.25</f>
        <v>-1</v>
      </c>
      <c r="H5276" s="0" t="n">
        <f aca="false">-1+D5276*0.25</f>
        <v>0.5</v>
      </c>
      <c r="I5276" s="0" t="n">
        <f aca="false">1</f>
        <v>1</v>
      </c>
      <c r="J5276" s="0" t="n">
        <f aca="false">E5276</f>
        <v>0.75</v>
      </c>
      <c r="K5276" s="0" t="n">
        <f aca="false">F5276</f>
        <v>-0.5</v>
      </c>
      <c r="L5276" s="0" t="n">
        <f aca="false">G5276</f>
        <v>-1</v>
      </c>
      <c r="M5276" s="0" t="n">
        <f aca="false">H5276</f>
        <v>0.5</v>
      </c>
      <c r="N5276" s="0" t="n">
        <f aca="false">E5276*F5276</f>
        <v>-0.375</v>
      </c>
      <c r="O5276" s="0" t="n">
        <f aca="false">E5276*G5276</f>
        <v>-0.75</v>
      </c>
      <c r="P5276" s="0" t="n">
        <f aca="false">E5276*H5276</f>
        <v>0.375</v>
      </c>
      <c r="Q5276" s="0" t="n">
        <f aca="false">F5276*G5276</f>
        <v>0.5</v>
      </c>
      <c r="R5276" s="0" t="n">
        <f aca="false">F5276*H5276</f>
        <v>-0.25</v>
      </c>
      <c r="S5276" s="0" t="n">
        <f aca="false">G5276*H5276</f>
        <v>-0.5</v>
      </c>
      <c r="T5276" s="0" t="n">
        <f aca="false">E5276*E5276</f>
        <v>0.5625</v>
      </c>
      <c r="U5276" s="0" t="n">
        <f aca="false">F5276*F5276</f>
        <v>0.25</v>
      </c>
      <c r="V5276" s="0" t="n">
        <f aca="false">G5276*G5276</f>
        <v>1</v>
      </c>
      <c r="W5276" s="0" t="n">
        <f aca="false">H5276*H5276</f>
        <v>0.25</v>
      </c>
      <c r="X5276" s="0" t="n">
        <f aca="false">SUMPRODUCT(I5276:W5276,_XtX!$B$96:$P$96)</f>
        <v>44.8860928362573</v>
      </c>
      <c r="Y5276" s="0" t="n">
        <f aca="false">SUMPRODUCT(MMULT(I5276:W5276,_XtX!$B$78:$P$92),I5276:W5276)</f>
        <v>0.42602110745614</v>
      </c>
      <c r="Z5276" s="0" t="n">
        <f aca="false">04_回帰ANOVA!$K$19*04_回帰ANOVA!$K$14*SQRT(1+Y5276)</f>
        <v>1.55654388501114</v>
      </c>
      <c r="AA5276" s="0" t="n">
        <f aca="false">X5276-Z5276</f>
        <v>43.3295489512462</v>
      </c>
      <c r="AB5276" s="0" t="n">
        <f aca="false">X5276+Z5276</f>
        <v>46.4426367212684</v>
      </c>
      <c r="AC5276" s="54" t="b">
        <f aca="false">AND(E5276&gt;=01_因子設定!$L$5-0.000000001,E5276&lt;=01_因子設定!$M$5+0.000000001,F5276&gt;=01_因子設定!$L$6-0.000000001,F5276&lt;=01_因子設定!$M$6+0.000000001,G5276&gt;=01_因子設定!$L$7-0.000000001,G5276&lt;=01_因子設定!$M$7+0.000000001,H5276&gt;=01_因子設定!$L$8-0.000000001,H5276&lt;=01_因子設定!$M$8+0.000000001,IF(01_因子設定!$B$20="Box-Behnken",E5276^2+F5276^2+G5276^2+H5276^2&lt;=2+0.000000001,TRUE()))</f>
        <v>1</v>
      </c>
      <c r="AD5276" s="55" t="n">
        <f aca="false">IF(AC5276,IF(01_因子設定!$B$13="最大化",AA5276-01_因子設定!$B$14,IF(01_因子設定!$B$13="最小化",01_因子設定!$B$15-AB5276,MIN(AA5276-01_因子設定!$B$14,01_因子設定!$B$15-AB5276))),-1E+030)</f>
        <v>-3.17045104875383</v>
      </c>
      <c r="AE5276" s="55" t="n">
        <f aca="false">IF(AC5276,IF(01_因子設定!$B$13="最大化",X5276,IF(01_因子設定!$B$13="最小化",-X5276,-ABS(X5276-01_因子設定!$B$16))),-1E+030)</f>
        <v>44.8860928362573</v>
      </c>
      <c r="AF5276" s="55" t="n">
        <f aca="false">AD5276+ROW()*0.000000001</f>
        <v>-3.17044577275383</v>
      </c>
      <c r="AG5276" s="55" t="n">
        <f aca="false">AE5276+ROW()*0.000000001</f>
        <v>44.8860981122573</v>
      </c>
    </row>
    <row r="5277" customFormat="false" ht="15" hidden="false" customHeight="false" outlineLevel="0" collapsed="false">
      <c r="A5277" s="0" t="n">
        <v>7</v>
      </c>
      <c r="B5277" s="0" t="n">
        <v>2</v>
      </c>
      <c r="C5277" s="0" t="n">
        <v>0</v>
      </c>
      <c r="D5277" s="0" t="n">
        <v>7</v>
      </c>
      <c r="E5277" s="0" t="n">
        <f aca="false">-1+A5277*0.25</f>
        <v>0.75</v>
      </c>
      <c r="F5277" s="0" t="n">
        <f aca="false">-1+B5277*0.25</f>
        <v>-0.5</v>
      </c>
      <c r="G5277" s="0" t="n">
        <f aca="false">-1+C5277*0.25</f>
        <v>-1</v>
      </c>
      <c r="H5277" s="0" t="n">
        <f aca="false">-1+D5277*0.25</f>
        <v>0.75</v>
      </c>
      <c r="I5277" s="0" t="n">
        <f aca="false">1</f>
        <v>1</v>
      </c>
      <c r="J5277" s="0" t="n">
        <f aca="false">E5277</f>
        <v>0.75</v>
      </c>
      <c r="K5277" s="0" t="n">
        <f aca="false">F5277</f>
        <v>-0.5</v>
      </c>
      <c r="L5277" s="0" t="n">
        <f aca="false">G5277</f>
        <v>-1</v>
      </c>
      <c r="M5277" s="0" t="n">
        <f aca="false">H5277</f>
        <v>0.75</v>
      </c>
      <c r="N5277" s="0" t="n">
        <f aca="false">E5277*F5277</f>
        <v>-0.375</v>
      </c>
      <c r="O5277" s="0" t="n">
        <f aca="false">E5277*G5277</f>
        <v>-0.75</v>
      </c>
      <c r="P5277" s="0" t="n">
        <f aca="false">E5277*H5277</f>
        <v>0.5625</v>
      </c>
      <c r="Q5277" s="0" t="n">
        <f aca="false">F5277*G5277</f>
        <v>0.5</v>
      </c>
      <c r="R5277" s="0" t="n">
        <f aca="false">F5277*H5277</f>
        <v>-0.375</v>
      </c>
      <c r="S5277" s="0" t="n">
        <f aca="false">G5277*H5277</f>
        <v>-0.75</v>
      </c>
      <c r="T5277" s="0" t="n">
        <f aca="false">E5277*E5277</f>
        <v>0.5625</v>
      </c>
      <c r="U5277" s="0" t="n">
        <f aca="false">F5277*F5277</f>
        <v>0.25</v>
      </c>
      <c r="V5277" s="0" t="n">
        <f aca="false">G5277*G5277</f>
        <v>1</v>
      </c>
      <c r="W5277" s="0" t="n">
        <f aca="false">H5277*H5277</f>
        <v>0.5625</v>
      </c>
      <c r="X5277" s="0" t="n">
        <f aca="false">SUMPRODUCT(I5277:W5277,_XtX!$B$96:$P$96)</f>
        <v>44.8460891812866</v>
      </c>
      <c r="Y5277" s="0" t="n">
        <f aca="false">SUMPRODUCT(MMULT(I5277:W5277,_XtX!$B$78:$P$92),I5277:W5277)</f>
        <v>0.431153771472953</v>
      </c>
      <c r="Z5277" s="0" t="n">
        <f aca="false">04_回帰ANOVA!$K$19*04_回帰ANOVA!$K$14*SQRT(1+Y5277)</f>
        <v>1.55934259562563</v>
      </c>
      <c r="AA5277" s="0" t="n">
        <f aca="false">X5277-Z5277</f>
        <v>43.2867465856609</v>
      </c>
      <c r="AB5277" s="0" t="n">
        <f aca="false">X5277+Z5277</f>
        <v>46.4054317769122</v>
      </c>
      <c r="AC5277" s="54" t="b">
        <f aca="false">AND(E5277&gt;=01_因子設定!$L$5-0.000000001,E5277&lt;=01_因子設定!$M$5+0.000000001,F5277&gt;=01_因子設定!$L$6-0.000000001,F5277&lt;=01_因子設定!$M$6+0.000000001,G5277&gt;=01_因子設定!$L$7-0.000000001,G5277&lt;=01_因子設定!$M$7+0.000000001,H5277&gt;=01_因子設定!$L$8-0.000000001,H5277&lt;=01_因子設定!$M$8+0.000000001,IF(01_因子設定!$B$20="Box-Behnken",E5277^2+F5277^2+G5277^2+H5277^2&lt;=2+0.000000001,TRUE()))</f>
        <v>1</v>
      </c>
      <c r="AD5277" s="55" t="n">
        <f aca="false">IF(AC5277,IF(01_因子設定!$B$13="最大化",AA5277-01_因子設定!$B$14,IF(01_因子設定!$B$13="最小化",01_因子設定!$B$15-AB5277,MIN(AA5277-01_因子設定!$B$14,01_因子設定!$B$15-AB5277))),-1E+030)</f>
        <v>-3.21325341433907</v>
      </c>
      <c r="AE5277" s="55" t="n">
        <f aca="false">IF(AC5277,IF(01_因子設定!$B$13="最大化",X5277,IF(01_因子設定!$B$13="最小化",-X5277,-ABS(X5277-01_因子設定!$B$16))),-1E+030)</f>
        <v>44.8460891812866</v>
      </c>
      <c r="AF5277" s="55" t="n">
        <f aca="false">AD5277+ROW()*0.000000001</f>
        <v>-3.21324813733907</v>
      </c>
      <c r="AG5277" s="55" t="n">
        <f aca="false">AE5277+ROW()*0.000000001</f>
        <v>44.8460944582866</v>
      </c>
    </row>
    <row r="5278" customFormat="false" ht="15" hidden="false" customHeight="false" outlineLevel="0" collapsed="false">
      <c r="A5278" s="0" t="n">
        <v>7</v>
      </c>
      <c r="B5278" s="0" t="n">
        <v>2</v>
      </c>
      <c r="C5278" s="0" t="n">
        <v>0</v>
      </c>
      <c r="D5278" s="0" t="n">
        <v>8</v>
      </c>
      <c r="E5278" s="0" t="n">
        <f aca="false">-1+A5278*0.25</f>
        <v>0.75</v>
      </c>
      <c r="F5278" s="0" t="n">
        <f aca="false">-1+B5278*0.25</f>
        <v>-0.5</v>
      </c>
      <c r="G5278" s="0" t="n">
        <f aca="false">-1+C5278*0.25</f>
        <v>-1</v>
      </c>
      <c r="H5278" s="0" t="n">
        <f aca="false">-1+D5278*0.25</f>
        <v>1</v>
      </c>
      <c r="I5278" s="0" t="n">
        <f aca="false">1</f>
        <v>1</v>
      </c>
      <c r="J5278" s="0" t="n">
        <f aca="false">E5278</f>
        <v>0.75</v>
      </c>
      <c r="K5278" s="0" t="n">
        <f aca="false">F5278</f>
        <v>-0.5</v>
      </c>
      <c r="L5278" s="0" t="n">
        <f aca="false">G5278</f>
        <v>-1</v>
      </c>
      <c r="M5278" s="0" t="n">
        <f aca="false">H5278</f>
        <v>1</v>
      </c>
      <c r="N5278" s="0" t="n">
        <f aca="false">E5278*F5278</f>
        <v>-0.375</v>
      </c>
      <c r="O5278" s="0" t="n">
        <f aca="false">E5278*G5278</f>
        <v>-0.75</v>
      </c>
      <c r="P5278" s="0" t="n">
        <f aca="false">E5278*H5278</f>
        <v>0.75</v>
      </c>
      <c r="Q5278" s="0" t="n">
        <f aca="false">F5278*G5278</f>
        <v>0.5</v>
      </c>
      <c r="R5278" s="0" t="n">
        <f aca="false">F5278*H5278</f>
        <v>-0.5</v>
      </c>
      <c r="S5278" s="0" t="n">
        <f aca="false">G5278*H5278</f>
        <v>-1</v>
      </c>
      <c r="T5278" s="0" t="n">
        <f aca="false">E5278*E5278</f>
        <v>0.5625</v>
      </c>
      <c r="U5278" s="0" t="n">
        <f aca="false">F5278*F5278</f>
        <v>0.25</v>
      </c>
      <c r="V5278" s="0" t="n">
        <f aca="false">G5278*G5278</f>
        <v>1</v>
      </c>
      <c r="W5278" s="0" t="n">
        <f aca="false">H5278*H5278</f>
        <v>1</v>
      </c>
      <c r="X5278" s="0" t="n">
        <f aca="false">SUMPRODUCT(I5278:W5278,_XtX!$B$96:$P$96)</f>
        <v>44.758278508772</v>
      </c>
      <c r="Y5278" s="0" t="n">
        <f aca="false">SUMPRODUCT(MMULT(I5278:W5278,_XtX!$B$78:$P$92),I5278:W5278)</f>
        <v>0.564984237938597</v>
      </c>
      <c r="Z5278" s="0" t="n">
        <f aca="false">04_回帰ANOVA!$K$19*04_回帰ANOVA!$K$14*SQRT(1+Y5278)</f>
        <v>1.63062229734503</v>
      </c>
      <c r="AA5278" s="0" t="n">
        <f aca="false">X5278-Z5278</f>
        <v>43.1276562114269</v>
      </c>
      <c r="AB5278" s="0" t="n">
        <f aca="false">X5278+Z5278</f>
        <v>46.388900806117</v>
      </c>
      <c r="AC5278" s="54" t="b">
        <f aca="false">AND(E5278&gt;=01_因子設定!$L$5-0.000000001,E5278&lt;=01_因子設定!$M$5+0.000000001,F5278&gt;=01_因子設定!$L$6-0.000000001,F5278&lt;=01_因子設定!$M$6+0.000000001,G5278&gt;=01_因子設定!$L$7-0.000000001,G5278&lt;=01_因子設定!$M$7+0.000000001,H5278&gt;=01_因子設定!$L$8-0.000000001,H5278&lt;=01_因子設定!$M$8+0.000000001,IF(01_因子設定!$B$20="Box-Behnken",E5278^2+F5278^2+G5278^2+H5278^2&lt;=2+0.000000001,TRUE()))</f>
        <v>1</v>
      </c>
      <c r="AD5278" s="55" t="n">
        <f aca="false">IF(AC5278,IF(01_因子設定!$B$13="最大化",AA5278-01_因子設定!$B$14,IF(01_因子設定!$B$13="最小化",01_因子設定!$B$15-AB5278,MIN(AA5278-01_因子設定!$B$14,01_因子設定!$B$15-AB5278))),-1E+030)</f>
        <v>-3.37234378857308</v>
      </c>
      <c r="AE5278" s="55" t="n">
        <f aca="false">IF(AC5278,IF(01_因子設定!$B$13="最大化",X5278,IF(01_因子設定!$B$13="最小化",-X5278,-ABS(X5278-01_因子設定!$B$16))),-1E+030)</f>
        <v>44.758278508772</v>
      </c>
      <c r="AF5278" s="55" t="n">
        <f aca="false">AD5278+ROW()*0.000000001</f>
        <v>-3.37233851057308</v>
      </c>
      <c r="AG5278" s="55" t="n">
        <f aca="false">AE5278+ROW()*0.000000001</f>
        <v>44.758283786772</v>
      </c>
    </row>
    <row r="5279" customFormat="false" ht="15" hidden="false" customHeight="false" outlineLevel="0" collapsed="false">
      <c r="A5279" s="0" t="n">
        <v>7</v>
      </c>
      <c r="B5279" s="0" t="n">
        <v>2</v>
      </c>
      <c r="C5279" s="0" t="n">
        <v>1</v>
      </c>
      <c r="D5279" s="0" t="n">
        <v>0</v>
      </c>
      <c r="E5279" s="0" t="n">
        <f aca="false">-1+A5279*0.25</f>
        <v>0.75</v>
      </c>
      <c r="F5279" s="0" t="n">
        <f aca="false">-1+B5279*0.25</f>
        <v>-0.5</v>
      </c>
      <c r="G5279" s="0" t="n">
        <f aca="false">-1+C5279*0.25</f>
        <v>-0.75</v>
      </c>
      <c r="H5279" s="0" t="n">
        <f aca="false">-1+D5279*0.25</f>
        <v>-1</v>
      </c>
      <c r="I5279" s="0" t="n">
        <f aca="false">1</f>
        <v>1</v>
      </c>
      <c r="J5279" s="0" t="n">
        <f aca="false">E5279</f>
        <v>0.75</v>
      </c>
      <c r="K5279" s="0" t="n">
        <f aca="false">F5279</f>
        <v>-0.5</v>
      </c>
      <c r="L5279" s="0" t="n">
        <f aca="false">G5279</f>
        <v>-0.75</v>
      </c>
      <c r="M5279" s="0" t="n">
        <f aca="false">H5279</f>
        <v>-1</v>
      </c>
      <c r="N5279" s="0" t="n">
        <f aca="false">E5279*F5279</f>
        <v>-0.375</v>
      </c>
      <c r="O5279" s="0" t="n">
        <f aca="false">E5279*G5279</f>
        <v>-0.5625</v>
      </c>
      <c r="P5279" s="0" t="n">
        <f aca="false">E5279*H5279</f>
        <v>-0.75</v>
      </c>
      <c r="Q5279" s="0" t="n">
        <f aca="false">F5279*G5279</f>
        <v>0.375</v>
      </c>
      <c r="R5279" s="0" t="n">
        <f aca="false">F5279*H5279</f>
        <v>0.5</v>
      </c>
      <c r="S5279" s="0" t="n">
        <f aca="false">G5279*H5279</f>
        <v>0.75</v>
      </c>
      <c r="T5279" s="0" t="n">
        <f aca="false">E5279*E5279</f>
        <v>0.5625</v>
      </c>
      <c r="U5279" s="0" t="n">
        <f aca="false">F5279*F5279</f>
        <v>0.25</v>
      </c>
      <c r="V5279" s="0" t="n">
        <f aca="false">G5279*G5279</f>
        <v>0.5625</v>
      </c>
      <c r="W5279" s="0" t="n">
        <f aca="false">H5279*H5279</f>
        <v>1</v>
      </c>
      <c r="X5279" s="0" t="n">
        <f aca="false">SUMPRODUCT(I5279:W5279,_XtX!$B$96:$P$96)</f>
        <v>44.4337627923977</v>
      </c>
      <c r="Y5279" s="0" t="n">
        <f aca="false">SUMPRODUCT(MMULT(I5279:W5279,_XtX!$B$78:$P$92),I5279:W5279)</f>
        <v>0.431153771472953</v>
      </c>
      <c r="Z5279" s="0" t="n">
        <f aca="false">04_回帰ANOVA!$K$19*04_回帰ANOVA!$K$14*SQRT(1+Y5279)</f>
        <v>1.55934259562563</v>
      </c>
      <c r="AA5279" s="0" t="n">
        <f aca="false">X5279-Z5279</f>
        <v>42.8744201967721</v>
      </c>
      <c r="AB5279" s="0" t="n">
        <f aca="false">X5279+Z5279</f>
        <v>45.9931053880233</v>
      </c>
      <c r="AC5279" s="54" t="b">
        <f aca="false">AND(E5279&gt;=01_因子設定!$L$5-0.000000001,E5279&lt;=01_因子設定!$M$5+0.000000001,F5279&gt;=01_因子設定!$L$6-0.000000001,F5279&lt;=01_因子設定!$M$6+0.000000001,G5279&gt;=01_因子設定!$L$7-0.000000001,G5279&lt;=01_因子設定!$M$7+0.000000001,H5279&gt;=01_因子設定!$L$8-0.000000001,H5279&lt;=01_因子設定!$M$8+0.000000001,IF(01_因子設定!$B$20="Box-Behnken",E5279^2+F5279^2+G5279^2+H5279^2&lt;=2+0.000000001,TRUE()))</f>
        <v>1</v>
      </c>
      <c r="AD5279" s="55" t="n">
        <f aca="false">IF(AC5279,IF(01_因子設定!$B$13="最大化",AA5279-01_因子設定!$B$14,IF(01_因子設定!$B$13="最小化",01_因子設定!$B$15-AB5279,MIN(AA5279-01_因子設定!$B$14,01_因子設定!$B$15-AB5279))),-1E+030)</f>
        <v>-3.62557980322794</v>
      </c>
      <c r="AE5279" s="55" t="n">
        <f aca="false">IF(AC5279,IF(01_因子設定!$B$13="最大化",X5279,IF(01_因子設定!$B$13="最小化",-X5279,-ABS(X5279-01_因子設定!$B$16))),-1E+030)</f>
        <v>44.4337627923977</v>
      </c>
      <c r="AF5279" s="55" t="n">
        <f aca="false">AD5279+ROW()*0.000000001</f>
        <v>-3.62557452422794</v>
      </c>
      <c r="AG5279" s="55" t="n">
        <f aca="false">AE5279+ROW()*0.000000001</f>
        <v>44.4337680713977</v>
      </c>
    </row>
    <row r="5280" customFormat="false" ht="15" hidden="false" customHeight="false" outlineLevel="0" collapsed="false">
      <c r="A5280" s="0" t="n">
        <v>7</v>
      </c>
      <c r="B5280" s="0" t="n">
        <v>2</v>
      </c>
      <c r="C5280" s="0" t="n">
        <v>1</v>
      </c>
      <c r="D5280" s="0" t="n">
        <v>1</v>
      </c>
      <c r="E5280" s="0" t="n">
        <f aca="false">-1+A5280*0.25</f>
        <v>0.75</v>
      </c>
      <c r="F5280" s="0" t="n">
        <f aca="false">-1+B5280*0.25</f>
        <v>-0.5</v>
      </c>
      <c r="G5280" s="0" t="n">
        <f aca="false">-1+C5280*0.25</f>
        <v>-0.75</v>
      </c>
      <c r="H5280" s="0" t="n">
        <f aca="false">-1+D5280*0.25</f>
        <v>-0.75</v>
      </c>
      <c r="I5280" s="0" t="n">
        <f aca="false">1</f>
        <v>1</v>
      </c>
      <c r="J5280" s="0" t="n">
        <f aca="false">E5280</f>
        <v>0.75</v>
      </c>
      <c r="K5280" s="0" t="n">
        <f aca="false">F5280</f>
        <v>-0.5</v>
      </c>
      <c r="L5280" s="0" t="n">
        <f aca="false">G5280</f>
        <v>-0.75</v>
      </c>
      <c r="M5280" s="0" t="n">
        <f aca="false">H5280</f>
        <v>-0.75</v>
      </c>
      <c r="N5280" s="0" t="n">
        <f aca="false">E5280*F5280</f>
        <v>-0.375</v>
      </c>
      <c r="O5280" s="0" t="n">
        <f aca="false">E5280*G5280</f>
        <v>-0.5625</v>
      </c>
      <c r="P5280" s="0" t="n">
        <f aca="false">E5280*H5280</f>
        <v>-0.5625</v>
      </c>
      <c r="Q5280" s="0" t="n">
        <f aca="false">F5280*G5280</f>
        <v>0.375</v>
      </c>
      <c r="R5280" s="0" t="n">
        <f aca="false">F5280*H5280</f>
        <v>0.375</v>
      </c>
      <c r="S5280" s="0" t="n">
        <f aca="false">G5280*H5280</f>
        <v>0.5625</v>
      </c>
      <c r="T5280" s="0" t="n">
        <f aca="false">E5280*E5280</f>
        <v>0.5625</v>
      </c>
      <c r="U5280" s="0" t="n">
        <f aca="false">F5280*F5280</f>
        <v>0.25</v>
      </c>
      <c r="V5280" s="0" t="n">
        <f aca="false">G5280*G5280</f>
        <v>0.5625</v>
      </c>
      <c r="W5280" s="0" t="n">
        <f aca="false">H5280*H5280</f>
        <v>0.5625</v>
      </c>
      <c r="X5280" s="0" t="n">
        <f aca="false">SUMPRODUCT(I5280:W5280,_XtX!$B$96:$P$96)</f>
        <v>44.6985699926901</v>
      </c>
      <c r="Y5280" s="0" t="n">
        <f aca="false">SUMPRODUCT(MMULT(I5280:W5280,_XtX!$B$78:$P$92),I5280:W5280)</f>
        <v>0.265632138614766</v>
      </c>
      <c r="Z5280" s="0" t="n">
        <f aca="false">04_回帰ANOVA!$K$19*04_回帰ANOVA!$K$14*SQRT(1+Y5280)</f>
        <v>1.46639894654257</v>
      </c>
      <c r="AA5280" s="0" t="n">
        <f aca="false">X5280-Z5280</f>
        <v>43.2321710461475</v>
      </c>
      <c r="AB5280" s="0" t="n">
        <f aca="false">X5280+Z5280</f>
        <v>46.1649689392326</v>
      </c>
      <c r="AC5280" s="54" t="b">
        <f aca="false">AND(E5280&gt;=01_因子設定!$L$5-0.000000001,E5280&lt;=01_因子設定!$M$5+0.000000001,F5280&gt;=01_因子設定!$L$6-0.000000001,F5280&lt;=01_因子設定!$M$6+0.000000001,G5280&gt;=01_因子設定!$L$7-0.000000001,G5280&lt;=01_因子設定!$M$7+0.000000001,H5280&gt;=01_因子設定!$L$8-0.000000001,H5280&lt;=01_因子設定!$M$8+0.000000001,IF(01_因子設定!$B$20="Box-Behnken",E5280^2+F5280^2+G5280^2+H5280^2&lt;=2+0.000000001,TRUE()))</f>
        <v>1</v>
      </c>
      <c r="AD5280" s="55" t="n">
        <f aca="false">IF(AC5280,IF(01_因子設定!$B$13="最大化",AA5280-01_因子設定!$B$14,IF(01_因子設定!$B$13="最小化",01_因子設定!$B$15-AB5280,MIN(AA5280-01_因子設定!$B$14,01_因子設定!$B$15-AB5280))),-1E+030)</f>
        <v>-3.26782895385251</v>
      </c>
      <c r="AE5280" s="55" t="n">
        <f aca="false">IF(AC5280,IF(01_因子設定!$B$13="最大化",X5280,IF(01_因子設定!$B$13="最小化",-X5280,-ABS(X5280-01_因子設定!$B$16))),-1E+030)</f>
        <v>44.6985699926901</v>
      </c>
      <c r="AF5280" s="55" t="n">
        <f aca="false">AD5280+ROW()*0.000000001</f>
        <v>-3.26782367385251</v>
      </c>
      <c r="AG5280" s="55" t="n">
        <f aca="false">AE5280+ROW()*0.000000001</f>
        <v>44.6985752726901</v>
      </c>
    </row>
    <row r="5281" customFormat="false" ht="15" hidden="false" customHeight="false" outlineLevel="0" collapsed="false">
      <c r="A5281" s="0" t="n">
        <v>7</v>
      </c>
      <c r="B5281" s="0" t="n">
        <v>2</v>
      </c>
      <c r="C5281" s="0" t="n">
        <v>1</v>
      </c>
      <c r="D5281" s="0" t="n">
        <v>2</v>
      </c>
      <c r="E5281" s="0" t="n">
        <f aca="false">-1+A5281*0.25</f>
        <v>0.75</v>
      </c>
      <c r="F5281" s="0" t="n">
        <f aca="false">-1+B5281*0.25</f>
        <v>-0.5</v>
      </c>
      <c r="G5281" s="0" t="n">
        <f aca="false">-1+C5281*0.25</f>
        <v>-0.75</v>
      </c>
      <c r="H5281" s="0" t="n">
        <f aca="false">-1+D5281*0.25</f>
        <v>-0.5</v>
      </c>
      <c r="I5281" s="0" t="n">
        <f aca="false">1</f>
        <v>1</v>
      </c>
      <c r="J5281" s="0" t="n">
        <f aca="false">E5281</f>
        <v>0.75</v>
      </c>
      <c r="K5281" s="0" t="n">
        <f aca="false">F5281</f>
        <v>-0.5</v>
      </c>
      <c r="L5281" s="0" t="n">
        <f aca="false">G5281</f>
        <v>-0.75</v>
      </c>
      <c r="M5281" s="0" t="n">
        <f aca="false">H5281</f>
        <v>-0.5</v>
      </c>
      <c r="N5281" s="0" t="n">
        <f aca="false">E5281*F5281</f>
        <v>-0.375</v>
      </c>
      <c r="O5281" s="0" t="n">
        <f aca="false">E5281*G5281</f>
        <v>-0.5625</v>
      </c>
      <c r="P5281" s="0" t="n">
        <f aca="false">E5281*H5281</f>
        <v>-0.375</v>
      </c>
      <c r="Q5281" s="0" t="n">
        <f aca="false">F5281*G5281</f>
        <v>0.375</v>
      </c>
      <c r="R5281" s="0" t="n">
        <f aca="false">F5281*H5281</f>
        <v>0.25</v>
      </c>
      <c r="S5281" s="0" t="n">
        <f aca="false">G5281*H5281</f>
        <v>0.375</v>
      </c>
      <c r="T5281" s="0" t="n">
        <f aca="false">E5281*E5281</f>
        <v>0.5625</v>
      </c>
      <c r="U5281" s="0" t="n">
        <f aca="false">F5281*F5281</f>
        <v>0.25</v>
      </c>
      <c r="V5281" s="0" t="n">
        <f aca="false">G5281*G5281</f>
        <v>0.5625</v>
      </c>
      <c r="W5281" s="0" t="n">
        <f aca="false">H5281*H5281</f>
        <v>0.25</v>
      </c>
      <c r="X5281" s="0" t="n">
        <f aca="false">SUMPRODUCT(I5281:W5281,_XtX!$B$96:$P$96)</f>
        <v>44.9155701754386</v>
      </c>
      <c r="Y5281" s="0" t="n">
        <f aca="false">SUMPRODUCT(MMULT(I5281:W5281,_XtX!$B$78:$P$92),I5281:W5281)</f>
        <v>0.237862927174708</v>
      </c>
      <c r="Z5281" s="0" t="n">
        <f aca="false">04_回帰ANOVA!$K$19*04_回帰ANOVA!$K$14*SQRT(1+Y5281)</f>
        <v>1.45022260708756</v>
      </c>
      <c r="AA5281" s="0" t="n">
        <f aca="false">X5281-Z5281</f>
        <v>43.465347568351</v>
      </c>
      <c r="AB5281" s="0" t="n">
        <f aca="false">X5281+Z5281</f>
        <v>46.3657927825262</v>
      </c>
      <c r="AC5281" s="54" t="b">
        <f aca="false">AND(E5281&gt;=01_因子設定!$L$5-0.000000001,E5281&lt;=01_因子設定!$M$5+0.000000001,F5281&gt;=01_因子設定!$L$6-0.000000001,F5281&lt;=01_因子設定!$M$6+0.000000001,G5281&gt;=01_因子設定!$L$7-0.000000001,G5281&lt;=01_因子設定!$M$7+0.000000001,H5281&gt;=01_因子設定!$L$8-0.000000001,H5281&lt;=01_因子設定!$M$8+0.000000001,IF(01_因子設定!$B$20="Box-Behnken",E5281^2+F5281^2+G5281^2+H5281^2&lt;=2+0.000000001,TRUE()))</f>
        <v>1</v>
      </c>
      <c r="AD5281" s="55" t="n">
        <f aca="false">IF(AC5281,IF(01_因子設定!$B$13="最大化",AA5281-01_因子設定!$B$14,IF(01_因子設定!$B$13="最小化",01_因子設定!$B$15-AB5281,MIN(AA5281-01_因子設定!$B$14,01_因子設定!$B$15-AB5281))),-1E+030)</f>
        <v>-3.03465243164897</v>
      </c>
      <c r="AE5281" s="55" t="n">
        <f aca="false">IF(AC5281,IF(01_因子設定!$B$13="最大化",X5281,IF(01_因子設定!$B$13="最小化",-X5281,-ABS(X5281-01_因子設定!$B$16))),-1E+030)</f>
        <v>44.9155701754386</v>
      </c>
      <c r="AF5281" s="55" t="n">
        <f aca="false">AD5281+ROW()*0.000000001</f>
        <v>-3.03464715064897</v>
      </c>
      <c r="AG5281" s="55" t="n">
        <f aca="false">AE5281+ROW()*0.000000001</f>
        <v>44.9155754564386</v>
      </c>
    </row>
    <row r="5282" customFormat="false" ht="15" hidden="false" customHeight="false" outlineLevel="0" collapsed="false">
      <c r="A5282" s="0" t="n">
        <v>7</v>
      </c>
      <c r="B5282" s="0" t="n">
        <v>2</v>
      </c>
      <c r="C5282" s="0" t="n">
        <v>1</v>
      </c>
      <c r="D5282" s="0" t="n">
        <v>3</v>
      </c>
      <c r="E5282" s="0" t="n">
        <f aca="false">-1+A5282*0.25</f>
        <v>0.75</v>
      </c>
      <c r="F5282" s="0" t="n">
        <f aca="false">-1+B5282*0.25</f>
        <v>-0.5</v>
      </c>
      <c r="G5282" s="0" t="n">
        <f aca="false">-1+C5282*0.25</f>
        <v>-0.75</v>
      </c>
      <c r="H5282" s="0" t="n">
        <f aca="false">-1+D5282*0.25</f>
        <v>-0.25</v>
      </c>
      <c r="I5282" s="0" t="n">
        <f aca="false">1</f>
        <v>1</v>
      </c>
      <c r="J5282" s="0" t="n">
        <f aca="false">E5282</f>
        <v>0.75</v>
      </c>
      <c r="K5282" s="0" t="n">
        <f aca="false">F5282</f>
        <v>-0.5</v>
      </c>
      <c r="L5282" s="0" t="n">
        <f aca="false">G5282</f>
        <v>-0.75</v>
      </c>
      <c r="M5282" s="0" t="n">
        <f aca="false">H5282</f>
        <v>-0.25</v>
      </c>
      <c r="N5282" s="0" t="n">
        <f aca="false">E5282*F5282</f>
        <v>-0.375</v>
      </c>
      <c r="O5282" s="0" t="n">
        <f aca="false">E5282*G5282</f>
        <v>-0.5625</v>
      </c>
      <c r="P5282" s="0" t="n">
        <f aca="false">E5282*H5282</f>
        <v>-0.1875</v>
      </c>
      <c r="Q5282" s="0" t="n">
        <f aca="false">F5282*G5282</f>
        <v>0.375</v>
      </c>
      <c r="R5282" s="0" t="n">
        <f aca="false">F5282*H5282</f>
        <v>0.125</v>
      </c>
      <c r="S5282" s="0" t="n">
        <f aca="false">G5282*H5282</f>
        <v>0.1875</v>
      </c>
      <c r="T5282" s="0" t="n">
        <f aca="false">E5282*E5282</f>
        <v>0.5625</v>
      </c>
      <c r="U5282" s="0" t="n">
        <f aca="false">F5282*F5282</f>
        <v>0.25</v>
      </c>
      <c r="V5282" s="0" t="n">
        <f aca="false">G5282*G5282</f>
        <v>0.5625</v>
      </c>
      <c r="W5282" s="0" t="n">
        <f aca="false">H5282*H5282</f>
        <v>0.0625</v>
      </c>
      <c r="X5282" s="0" t="n">
        <f aca="false">SUMPRODUCT(I5282:W5282,_XtX!$B$96:$P$96)</f>
        <v>45.0847633406433</v>
      </c>
      <c r="Y5282" s="0" t="n">
        <f aca="false">SUMPRODUCT(MMULT(I5282:W5282,_XtX!$B$78:$P$92),I5282:W5282)</f>
        <v>0.257385610836988</v>
      </c>
      <c r="Z5282" s="0" t="n">
        <f aca="false">04_回帰ANOVA!$K$19*04_回帰ANOVA!$K$14*SQRT(1+Y5282)</f>
        <v>1.46161380324158</v>
      </c>
      <c r="AA5282" s="0" t="n">
        <f aca="false">X5282-Z5282</f>
        <v>43.6231495374017</v>
      </c>
      <c r="AB5282" s="0" t="n">
        <f aca="false">X5282+Z5282</f>
        <v>46.5463771438849</v>
      </c>
      <c r="AC5282" s="54" t="b">
        <f aca="false">AND(E5282&gt;=01_因子設定!$L$5-0.000000001,E5282&lt;=01_因子設定!$M$5+0.000000001,F5282&gt;=01_因子設定!$L$6-0.000000001,F5282&lt;=01_因子設定!$M$6+0.000000001,G5282&gt;=01_因子設定!$L$7-0.000000001,G5282&lt;=01_因子設定!$M$7+0.000000001,H5282&gt;=01_因子設定!$L$8-0.000000001,H5282&lt;=01_因子設定!$M$8+0.000000001,IF(01_因子設定!$B$20="Box-Behnken",E5282^2+F5282^2+G5282^2+H5282^2&lt;=2+0.000000001,TRUE()))</f>
        <v>1</v>
      </c>
      <c r="AD5282" s="55" t="n">
        <f aca="false">IF(AC5282,IF(01_因子設定!$B$13="最大化",AA5282-01_因子設定!$B$14,IF(01_因子設定!$B$13="最小化",01_因子設定!$B$15-AB5282,MIN(AA5282-01_因子設定!$B$14,01_因子設定!$B$15-AB5282))),-1E+030)</f>
        <v>-2.87685046259832</v>
      </c>
      <c r="AE5282" s="55" t="n">
        <f aca="false">IF(AC5282,IF(01_因子設定!$B$13="最大化",X5282,IF(01_因子設定!$B$13="最小化",-X5282,-ABS(X5282-01_因子設定!$B$16))),-1E+030)</f>
        <v>45.0847633406433</v>
      </c>
      <c r="AF5282" s="55" t="n">
        <f aca="false">AD5282+ROW()*0.000000001</f>
        <v>-2.87684518059832</v>
      </c>
      <c r="AG5282" s="55" t="n">
        <f aca="false">AE5282+ROW()*0.000000001</f>
        <v>45.0847686226433</v>
      </c>
    </row>
    <row r="5283" customFormat="false" ht="15" hidden="false" customHeight="false" outlineLevel="0" collapsed="false">
      <c r="A5283" s="0" t="n">
        <v>7</v>
      </c>
      <c r="B5283" s="0" t="n">
        <v>2</v>
      </c>
      <c r="C5283" s="0" t="n">
        <v>1</v>
      </c>
      <c r="D5283" s="0" t="n">
        <v>4</v>
      </c>
      <c r="E5283" s="0" t="n">
        <f aca="false">-1+A5283*0.25</f>
        <v>0.75</v>
      </c>
      <c r="F5283" s="0" t="n">
        <f aca="false">-1+B5283*0.25</f>
        <v>-0.5</v>
      </c>
      <c r="G5283" s="0" t="n">
        <f aca="false">-1+C5283*0.25</f>
        <v>-0.75</v>
      </c>
      <c r="H5283" s="0" t="n">
        <f aca="false">-1+D5283*0.25</f>
        <v>0</v>
      </c>
      <c r="I5283" s="0" t="n">
        <f aca="false">1</f>
        <v>1</v>
      </c>
      <c r="J5283" s="0" t="n">
        <f aca="false">E5283</f>
        <v>0.75</v>
      </c>
      <c r="K5283" s="0" t="n">
        <f aca="false">F5283</f>
        <v>-0.5</v>
      </c>
      <c r="L5283" s="0" t="n">
        <f aca="false">G5283</f>
        <v>-0.75</v>
      </c>
      <c r="M5283" s="0" t="n">
        <f aca="false">H5283</f>
        <v>0</v>
      </c>
      <c r="N5283" s="0" t="n">
        <f aca="false">E5283*F5283</f>
        <v>-0.375</v>
      </c>
      <c r="O5283" s="0" t="n">
        <f aca="false">E5283*G5283</f>
        <v>-0.5625</v>
      </c>
      <c r="P5283" s="0" t="n">
        <f aca="false">E5283*H5283</f>
        <v>0</v>
      </c>
      <c r="Q5283" s="0" t="n">
        <f aca="false">F5283*G5283</f>
        <v>0.375</v>
      </c>
      <c r="R5283" s="0" t="n">
        <f aca="false">F5283*H5283</f>
        <v>-0</v>
      </c>
      <c r="S5283" s="0" t="n">
        <f aca="false">G5283*H5283</f>
        <v>-0</v>
      </c>
      <c r="T5283" s="0" t="n">
        <f aca="false">E5283*E5283</f>
        <v>0.5625</v>
      </c>
      <c r="U5283" s="0" t="n">
        <f aca="false">F5283*F5283</f>
        <v>0.25</v>
      </c>
      <c r="V5283" s="0" t="n">
        <f aca="false">G5283*G5283</f>
        <v>0.5625</v>
      </c>
      <c r="W5283" s="0" t="n">
        <f aca="false">H5283*H5283</f>
        <v>0</v>
      </c>
      <c r="X5283" s="0" t="n">
        <f aca="false">SUMPRODUCT(I5283:W5283,_XtX!$B$96:$P$96)</f>
        <v>45.2061494883041</v>
      </c>
      <c r="Y5283" s="0" t="n">
        <f aca="false">SUMPRODUCT(MMULT(I5283:W5283,_XtX!$B$78:$P$92),I5283:W5283)</f>
        <v>0.269923873812135</v>
      </c>
      <c r="Z5283" s="0" t="n">
        <f aca="false">04_回帰ANOVA!$K$19*04_回帰ANOVA!$K$14*SQRT(1+Y5283)</f>
        <v>1.46888310825501</v>
      </c>
      <c r="AA5283" s="0" t="n">
        <f aca="false">X5283-Z5283</f>
        <v>43.7372663800491</v>
      </c>
      <c r="AB5283" s="0" t="n">
        <f aca="false">X5283+Z5283</f>
        <v>46.6750325965591</v>
      </c>
      <c r="AC5283" s="54" t="b">
        <f aca="false">AND(E5283&gt;=01_因子設定!$L$5-0.000000001,E5283&lt;=01_因子設定!$M$5+0.000000001,F5283&gt;=01_因子設定!$L$6-0.000000001,F5283&lt;=01_因子設定!$M$6+0.000000001,G5283&gt;=01_因子設定!$L$7-0.000000001,G5283&lt;=01_因子設定!$M$7+0.000000001,H5283&gt;=01_因子設定!$L$8-0.000000001,H5283&lt;=01_因子設定!$M$8+0.000000001,IF(01_因子設定!$B$20="Box-Behnken",E5283^2+F5283^2+G5283^2+H5283^2&lt;=2+0.000000001,TRUE()))</f>
        <v>1</v>
      </c>
      <c r="AD5283" s="55" t="n">
        <f aca="false">IF(AC5283,IF(01_因子設定!$B$13="最大化",AA5283-01_因子設定!$B$14,IF(01_因子設定!$B$13="最小化",01_因子設定!$B$15-AB5283,MIN(AA5283-01_因子設定!$B$14,01_因子設定!$B$15-AB5283))),-1E+030)</f>
        <v>-2.76273361995093</v>
      </c>
      <c r="AE5283" s="55" t="n">
        <f aca="false">IF(AC5283,IF(01_因子設定!$B$13="最大化",X5283,IF(01_因子設定!$B$13="最小化",-X5283,-ABS(X5283-01_因子設定!$B$16))),-1E+030)</f>
        <v>45.2061494883041</v>
      </c>
      <c r="AF5283" s="55" t="n">
        <f aca="false">AD5283+ROW()*0.000000001</f>
        <v>-2.76272833695093</v>
      </c>
      <c r="AG5283" s="55" t="n">
        <f aca="false">AE5283+ROW()*0.000000001</f>
        <v>45.2061547713041</v>
      </c>
    </row>
    <row r="5284" customFormat="false" ht="15" hidden="false" customHeight="false" outlineLevel="0" collapsed="false">
      <c r="A5284" s="0" t="n">
        <v>7</v>
      </c>
      <c r="B5284" s="0" t="n">
        <v>2</v>
      </c>
      <c r="C5284" s="0" t="n">
        <v>1</v>
      </c>
      <c r="D5284" s="0" t="n">
        <v>5</v>
      </c>
      <c r="E5284" s="0" t="n">
        <f aca="false">-1+A5284*0.25</f>
        <v>0.75</v>
      </c>
      <c r="F5284" s="0" t="n">
        <f aca="false">-1+B5284*0.25</f>
        <v>-0.5</v>
      </c>
      <c r="G5284" s="0" t="n">
        <f aca="false">-1+C5284*0.25</f>
        <v>-0.75</v>
      </c>
      <c r="H5284" s="0" t="n">
        <f aca="false">-1+D5284*0.25</f>
        <v>0.25</v>
      </c>
      <c r="I5284" s="0" t="n">
        <f aca="false">1</f>
        <v>1</v>
      </c>
      <c r="J5284" s="0" t="n">
        <f aca="false">E5284</f>
        <v>0.75</v>
      </c>
      <c r="K5284" s="0" t="n">
        <f aca="false">F5284</f>
        <v>-0.5</v>
      </c>
      <c r="L5284" s="0" t="n">
        <f aca="false">G5284</f>
        <v>-0.75</v>
      </c>
      <c r="M5284" s="0" t="n">
        <f aca="false">H5284</f>
        <v>0.25</v>
      </c>
      <c r="N5284" s="0" t="n">
        <f aca="false">E5284*F5284</f>
        <v>-0.375</v>
      </c>
      <c r="O5284" s="0" t="n">
        <f aca="false">E5284*G5284</f>
        <v>-0.5625</v>
      </c>
      <c r="P5284" s="0" t="n">
        <f aca="false">E5284*H5284</f>
        <v>0.1875</v>
      </c>
      <c r="Q5284" s="0" t="n">
        <f aca="false">F5284*G5284</f>
        <v>0.375</v>
      </c>
      <c r="R5284" s="0" t="n">
        <f aca="false">F5284*H5284</f>
        <v>-0.125</v>
      </c>
      <c r="S5284" s="0" t="n">
        <f aca="false">G5284*H5284</f>
        <v>-0.1875</v>
      </c>
      <c r="T5284" s="0" t="n">
        <f aca="false">E5284*E5284</f>
        <v>0.5625</v>
      </c>
      <c r="U5284" s="0" t="n">
        <f aca="false">F5284*F5284</f>
        <v>0.25</v>
      </c>
      <c r="V5284" s="0" t="n">
        <f aca="false">G5284*G5284</f>
        <v>0.5625</v>
      </c>
      <c r="W5284" s="0" t="n">
        <f aca="false">H5284*H5284</f>
        <v>0.0625</v>
      </c>
      <c r="X5284" s="0" t="n">
        <f aca="false">SUMPRODUCT(I5284:W5284,_XtX!$B$96:$P$96)</f>
        <v>45.279728618421</v>
      </c>
      <c r="Y5284" s="0" t="n">
        <f aca="false">SUMPRODUCT(MMULT(I5284:W5284,_XtX!$B$78:$P$92),I5284:W5284)</f>
        <v>0.257385610836988</v>
      </c>
      <c r="Z5284" s="0" t="n">
        <f aca="false">04_回帰ANOVA!$K$19*04_回帰ANOVA!$K$14*SQRT(1+Y5284)</f>
        <v>1.46161380324158</v>
      </c>
      <c r="AA5284" s="0" t="n">
        <f aca="false">X5284-Z5284</f>
        <v>43.8181148151795</v>
      </c>
      <c r="AB5284" s="0" t="n">
        <f aca="false">X5284+Z5284</f>
        <v>46.7413424216626</v>
      </c>
      <c r="AC5284" s="54" t="b">
        <f aca="false">AND(E5284&gt;=01_因子設定!$L$5-0.000000001,E5284&lt;=01_因子設定!$M$5+0.000000001,F5284&gt;=01_因子設定!$L$6-0.000000001,F5284&lt;=01_因子設定!$M$6+0.000000001,G5284&gt;=01_因子設定!$L$7-0.000000001,G5284&lt;=01_因子設定!$M$7+0.000000001,H5284&gt;=01_因子設定!$L$8-0.000000001,H5284&lt;=01_因子設定!$M$8+0.000000001,IF(01_因子設定!$B$20="Box-Behnken",E5284^2+F5284^2+G5284^2+H5284^2&lt;=2+0.000000001,TRUE()))</f>
        <v>1</v>
      </c>
      <c r="AD5284" s="55" t="n">
        <f aca="false">IF(AC5284,IF(01_因子設定!$B$13="最大化",AA5284-01_因子設定!$B$14,IF(01_因子設定!$B$13="最小化",01_因子設定!$B$15-AB5284,MIN(AA5284-01_因子設定!$B$14,01_因子設定!$B$15-AB5284))),-1E+030)</f>
        <v>-2.68188518482054</v>
      </c>
      <c r="AE5284" s="55" t="n">
        <f aca="false">IF(AC5284,IF(01_因子設定!$B$13="最大化",X5284,IF(01_因子設定!$B$13="最小化",-X5284,-ABS(X5284-01_因子設定!$B$16))),-1E+030)</f>
        <v>45.279728618421</v>
      </c>
      <c r="AF5284" s="55" t="n">
        <f aca="false">AD5284+ROW()*0.000000001</f>
        <v>-2.68187990082054</v>
      </c>
      <c r="AG5284" s="55" t="n">
        <f aca="false">AE5284+ROW()*0.000000001</f>
        <v>45.279733902421</v>
      </c>
    </row>
    <row r="5285" customFormat="false" ht="15" hidden="false" customHeight="false" outlineLevel="0" collapsed="false">
      <c r="A5285" s="0" t="n">
        <v>7</v>
      </c>
      <c r="B5285" s="0" t="n">
        <v>2</v>
      </c>
      <c r="C5285" s="0" t="n">
        <v>1</v>
      </c>
      <c r="D5285" s="0" t="n">
        <v>6</v>
      </c>
      <c r="E5285" s="0" t="n">
        <f aca="false">-1+A5285*0.25</f>
        <v>0.75</v>
      </c>
      <c r="F5285" s="0" t="n">
        <f aca="false">-1+B5285*0.25</f>
        <v>-0.5</v>
      </c>
      <c r="G5285" s="0" t="n">
        <f aca="false">-1+C5285*0.25</f>
        <v>-0.75</v>
      </c>
      <c r="H5285" s="0" t="n">
        <f aca="false">-1+D5285*0.25</f>
        <v>0.5</v>
      </c>
      <c r="I5285" s="0" t="n">
        <f aca="false">1</f>
        <v>1</v>
      </c>
      <c r="J5285" s="0" t="n">
        <f aca="false">E5285</f>
        <v>0.75</v>
      </c>
      <c r="K5285" s="0" t="n">
        <f aca="false">F5285</f>
        <v>-0.5</v>
      </c>
      <c r="L5285" s="0" t="n">
        <f aca="false">G5285</f>
        <v>-0.75</v>
      </c>
      <c r="M5285" s="0" t="n">
        <f aca="false">H5285</f>
        <v>0.5</v>
      </c>
      <c r="N5285" s="0" t="n">
        <f aca="false">E5285*F5285</f>
        <v>-0.375</v>
      </c>
      <c r="O5285" s="0" t="n">
        <f aca="false">E5285*G5285</f>
        <v>-0.5625</v>
      </c>
      <c r="P5285" s="0" t="n">
        <f aca="false">E5285*H5285</f>
        <v>0.375</v>
      </c>
      <c r="Q5285" s="0" t="n">
        <f aca="false">F5285*G5285</f>
        <v>0.375</v>
      </c>
      <c r="R5285" s="0" t="n">
        <f aca="false">F5285*H5285</f>
        <v>-0.25</v>
      </c>
      <c r="S5285" s="0" t="n">
        <f aca="false">G5285*H5285</f>
        <v>-0.375</v>
      </c>
      <c r="T5285" s="0" t="n">
        <f aca="false">E5285*E5285</f>
        <v>0.5625</v>
      </c>
      <c r="U5285" s="0" t="n">
        <f aca="false">F5285*F5285</f>
        <v>0.25</v>
      </c>
      <c r="V5285" s="0" t="n">
        <f aca="false">G5285*G5285</f>
        <v>0.5625</v>
      </c>
      <c r="W5285" s="0" t="n">
        <f aca="false">H5285*H5285</f>
        <v>0.25</v>
      </c>
      <c r="X5285" s="0" t="n">
        <f aca="false">SUMPRODUCT(I5285:W5285,_XtX!$B$96:$P$96)</f>
        <v>45.3055007309942</v>
      </c>
      <c r="Y5285" s="0" t="n">
        <f aca="false">SUMPRODUCT(MMULT(I5285:W5285,_XtX!$B$78:$P$92),I5285:W5285)</f>
        <v>0.237862927174708</v>
      </c>
      <c r="Z5285" s="0" t="n">
        <f aca="false">04_回帰ANOVA!$K$19*04_回帰ANOVA!$K$14*SQRT(1+Y5285)</f>
        <v>1.45022260708756</v>
      </c>
      <c r="AA5285" s="0" t="n">
        <f aca="false">X5285-Z5285</f>
        <v>43.8552781239066</v>
      </c>
      <c r="AB5285" s="0" t="n">
        <f aca="false">X5285+Z5285</f>
        <v>46.7557233380817</v>
      </c>
      <c r="AC5285" s="54" t="b">
        <f aca="false">AND(E5285&gt;=01_因子設定!$L$5-0.000000001,E5285&lt;=01_因子設定!$M$5+0.000000001,F5285&gt;=01_因子設定!$L$6-0.000000001,F5285&lt;=01_因子設定!$M$6+0.000000001,G5285&gt;=01_因子設定!$L$7-0.000000001,G5285&lt;=01_因子設定!$M$7+0.000000001,H5285&gt;=01_因子設定!$L$8-0.000000001,H5285&lt;=01_因子設定!$M$8+0.000000001,IF(01_因子設定!$B$20="Box-Behnken",E5285^2+F5285^2+G5285^2+H5285^2&lt;=2+0.000000001,TRUE()))</f>
        <v>1</v>
      </c>
      <c r="AD5285" s="55" t="n">
        <f aca="false">IF(AC5285,IF(01_因子設定!$B$13="最大化",AA5285-01_因子設定!$B$14,IF(01_因子設定!$B$13="最小化",01_因子設定!$B$15-AB5285,MIN(AA5285-01_因子設定!$B$14,01_因子設定!$B$15-AB5285))),-1E+030)</f>
        <v>-2.64472187609341</v>
      </c>
      <c r="AE5285" s="55" t="n">
        <f aca="false">IF(AC5285,IF(01_因子設定!$B$13="最大化",X5285,IF(01_因子設定!$B$13="最小化",-X5285,-ABS(X5285-01_因子設定!$B$16))),-1E+030)</f>
        <v>45.3055007309942</v>
      </c>
      <c r="AF5285" s="55" t="n">
        <f aca="false">AD5285+ROW()*0.000000001</f>
        <v>-2.64471659109341</v>
      </c>
      <c r="AG5285" s="55" t="n">
        <f aca="false">AE5285+ROW()*0.000000001</f>
        <v>45.3055060159942</v>
      </c>
    </row>
    <row r="5286" customFormat="false" ht="15" hidden="false" customHeight="false" outlineLevel="0" collapsed="false">
      <c r="A5286" s="0" t="n">
        <v>7</v>
      </c>
      <c r="B5286" s="0" t="n">
        <v>2</v>
      </c>
      <c r="C5286" s="0" t="n">
        <v>1</v>
      </c>
      <c r="D5286" s="0" t="n">
        <v>7</v>
      </c>
      <c r="E5286" s="0" t="n">
        <f aca="false">-1+A5286*0.25</f>
        <v>0.75</v>
      </c>
      <c r="F5286" s="0" t="n">
        <f aca="false">-1+B5286*0.25</f>
        <v>-0.5</v>
      </c>
      <c r="G5286" s="0" t="n">
        <f aca="false">-1+C5286*0.25</f>
        <v>-0.75</v>
      </c>
      <c r="H5286" s="0" t="n">
        <f aca="false">-1+D5286*0.25</f>
        <v>0.75</v>
      </c>
      <c r="I5286" s="0" t="n">
        <f aca="false">1</f>
        <v>1</v>
      </c>
      <c r="J5286" s="0" t="n">
        <f aca="false">E5286</f>
        <v>0.75</v>
      </c>
      <c r="K5286" s="0" t="n">
        <f aca="false">F5286</f>
        <v>-0.5</v>
      </c>
      <c r="L5286" s="0" t="n">
        <f aca="false">G5286</f>
        <v>-0.75</v>
      </c>
      <c r="M5286" s="0" t="n">
        <f aca="false">H5286</f>
        <v>0.75</v>
      </c>
      <c r="N5286" s="0" t="n">
        <f aca="false">E5286*F5286</f>
        <v>-0.375</v>
      </c>
      <c r="O5286" s="0" t="n">
        <f aca="false">E5286*G5286</f>
        <v>-0.5625</v>
      </c>
      <c r="P5286" s="0" t="n">
        <f aca="false">E5286*H5286</f>
        <v>0.5625</v>
      </c>
      <c r="Q5286" s="0" t="n">
        <f aca="false">F5286*G5286</f>
        <v>0.375</v>
      </c>
      <c r="R5286" s="0" t="n">
        <f aca="false">F5286*H5286</f>
        <v>-0.375</v>
      </c>
      <c r="S5286" s="0" t="n">
        <f aca="false">G5286*H5286</f>
        <v>-0.5625</v>
      </c>
      <c r="T5286" s="0" t="n">
        <f aca="false">E5286*E5286</f>
        <v>0.5625</v>
      </c>
      <c r="U5286" s="0" t="n">
        <f aca="false">F5286*F5286</f>
        <v>0.25</v>
      </c>
      <c r="V5286" s="0" t="n">
        <f aca="false">G5286*G5286</f>
        <v>0.5625</v>
      </c>
      <c r="W5286" s="0" t="n">
        <f aca="false">H5286*H5286</f>
        <v>0.5625</v>
      </c>
      <c r="X5286" s="0" t="n">
        <f aca="false">SUMPRODUCT(I5286:W5286,_XtX!$B$96:$P$96)</f>
        <v>45.2834658260234</v>
      </c>
      <c r="Y5286" s="0" t="n">
        <f aca="false">SUMPRODUCT(MMULT(I5286:W5286,_XtX!$B$78:$P$92),I5286:W5286)</f>
        <v>0.265632138614766</v>
      </c>
      <c r="Z5286" s="0" t="n">
        <f aca="false">04_回帰ANOVA!$K$19*04_回帰ANOVA!$K$14*SQRT(1+Y5286)</f>
        <v>1.46639894654257</v>
      </c>
      <c r="AA5286" s="0" t="n">
        <f aca="false">X5286-Z5286</f>
        <v>43.8170668794808</v>
      </c>
      <c r="AB5286" s="0" t="n">
        <f aca="false">X5286+Z5286</f>
        <v>46.749864772566</v>
      </c>
      <c r="AC5286" s="54" t="b">
        <f aca="false">AND(E5286&gt;=01_因子設定!$L$5-0.000000001,E5286&lt;=01_因子設定!$M$5+0.000000001,F5286&gt;=01_因子設定!$L$6-0.000000001,F5286&lt;=01_因子設定!$M$6+0.000000001,G5286&gt;=01_因子設定!$L$7-0.000000001,G5286&lt;=01_因子設定!$M$7+0.000000001,H5286&gt;=01_因子設定!$L$8-0.000000001,H5286&lt;=01_因子設定!$M$8+0.000000001,IF(01_因子設定!$B$20="Box-Behnken",E5286^2+F5286^2+G5286^2+H5286^2&lt;=2+0.000000001,TRUE()))</f>
        <v>1</v>
      </c>
      <c r="AD5286" s="55" t="n">
        <f aca="false">IF(AC5286,IF(01_因子設定!$B$13="最大化",AA5286-01_因子設定!$B$14,IF(01_因子設定!$B$13="最小化",01_因子設定!$B$15-AB5286,MIN(AA5286-01_因子設定!$B$14,01_因子設定!$B$15-AB5286))),-1E+030)</f>
        <v>-2.68293312051917</v>
      </c>
      <c r="AE5286" s="55" t="n">
        <f aca="false">IF(AC5286,IF(01_因子設定!$B$13="最大化",X5286,IF(01_因子設定!$B$13="最小化",-X5286,-ABS(X5286-01_因子設定!$B$16))),-1E+030)</f>
        <v>45.2834658260234</v>
      </c>
      <c r="AF5286" s="55" t="n">
        <f aca="false">AD5286+ROW()*0.000000001</f>
        <v>-2.68292783451917</v>
      </c>
      <c r="AG5286" s="55" t="n">
        <f aca="false">AE5286+ROW()*0.000000001</f>
        <v>45.2834711120234</v>
      </c>
    </row>
    <row r="5287" customFormat="false" ht="15" hidden="false" customHeight="false" outlineLevel="0" collapsed="false">
      <c r="A5287" s="0" t="n">
        <v>7</v>
      </c>
      <c r="B5287" s="0" t="n">
        <v>2</v>
      </c>
      <c r="C5287" s="0" t="n">
        <v>1</v>
      </c>
      <c r="D5287" s="0" t="n">
        <v>8</v>
      </c>
      <c r="E5287" s="0" t="n">
        <f aca="false">-1+A5287*0.25</f>
        <v>0.75</v>
      </c>
      <c r="F5287" s="0" t="n">
        <f aca="false">-1+B5287*0.25</f>
        <v>-0.5</v>
      </c>
      <c r="G5287" s="0" t="n">
        <f aca="false">-1+C5287*0.25</f>
        <v>-0.75</v>
      </c>
      <c r="H5287" s="0" t="n">
        <f aca="false">-1+D5287*0.25</f>
        <v>1</v>
      </c>
      <c r="I5287" s="0" t="n">
        <f aca="false">1</f>
        <v>1</v>
      </c>
      <c r="J5287" s="0" t="n">
        <f aca="false">E5287</f>
        <v>0.75</v>
      </c>
      <c r="K5287" s="0" t="n">
        <f aca="false">F5287</f>
        <v>-0.5</v>
      </c>
      <c r="L5287" s="0" t="n">
        <f aca="false">G5287</f>
        <v>-0.75</v>
      </c>
      <c r="M5287" s="0" t="n">
        <f aca="false">H5287</f>
        <v>1</v>
      </c>
      <c r="N5287" s="0" t="n">
        <f aca="false">E5287*F5287</f>
        <v>-0.375</v>
      </c>
      <c r="O5287" s="0" t="n">
        <f aca="false">E5287*G5287</f>
        <v>-0.5625</v>
      </c>
      <c r="P5287" s="0" t="n">
        <f aca="false">E5287*H5287</f>
        <v>0.75</v>
      </c>
      <c r="Q5287" s="0" t="n">
        <f aca="false">F5287*G5287</f>
        <v>0.375</v>
      </c>
      <c r="R5287" s="0" t="n">
        <f aca="false">F5287*H5287</f>
        <v>-0.5</v>
      </c>
      <c r="S5287" s="0" t="n">
        <f aca="false">G5287*H5287</f>
        <v>-0.75</v>
      </c>
      <c r="T5287" s="0" t="n">
        <f aca="false">E5287*E5287</f>
        <v>0.5625</v>
      </c>
      <c r="U5287" s="0" t="n">
        <f aca="false">F5287*F5287</f>
        <v>0.25</v>
      </c>
      <c r="V5287" s="0" t="n">
        <f aca="false">G5287*G5287</f>
        <v>0.5625</v>
      </c>
      <c r="W5287" s="0" t="n">
        <f aca="false">H5287*H5287</f>
        <v>1</v>
      </c>
      <c r="X5287" s="0" t="n">
        <f aca="false">SUMPRODUCT(I5287:W5287,_XtX!$B$96:$P$96)</f>
        <v>45.2136239035088</v>
      </c>
      <c r="Y5287" s="0" t="n">
        <f aca="false">SUMPRODUCT(MMULT(I5287:W5287,_XtX!$B$78:$P$92),I5287:W5287)</f>
        <v>0.431153771472953</v>
      </c>
      <c r="Z5287" s="0" t="n">
        <f aca="false">04_回帰ANOVA!$K$19*04_回帰ANOVA!$K$14*SQRT(1+Y5287)</f>
        <v>1.55934259562563</v>
      </c>
      <c r="AA5287" s="0" t="n">
        <f aca="false">X5287-Z5287</f>
        <v>43.6542813078832</v>
      </c>
      <c r="AB5287" s="0" t="n">
        <f aca="false">X5287+Z5287</f>
        <v>46.7729664991344</v>
      </c>
      <c r="AC5287" s="54" t="b">
        <f aca="false">AND(E5287&gt;=01_因子設定!$L$5-0.000000001,E5287&lt;=01_因子設定!$M$5+0.000000001,F5287&gt;=01_因子設定!$L$6-0.000000001,F5287&lt;=01_因子設定!$M$6+0.000000001,G5287&gt;=01_因子設定!$L$7-0.000000001,G5287&lt;=01_因子設定!$M$7+0.000000001,H5287&gt;=01_因子設定!$L$8-0.000000001,H5287&lt;=01_因子設定!$M$8+0.000000001,IF(01_因子設定!$B$20="Box-Behnken",E5287^2+F5287^2+G5287^2+H5287^2&lt;=2+0.000000001,TRUE()))</f>
        <v>1</v>
      </c>
      <c r="AD5287" s="55" t="n">
        <f aca="false">IF(AC5287,IF(01_因子設定!$B$13="最大化",AA5287-01_因子設定!$B$14,IF(01_因子設定!$B$13="最小化",01_因子設定!$B$15-AB5287,MIN(AA5287-01_因子設定!$B$14,01_因子設定!$B$15-AB5287))),-1E+030)</f>
        <v>-2.84571869211683</v>
      </c>
      <c r="AE5287" s="55" t="n">
        <f aca="false">IF(AC5287,IF(01_因子設定!$B$13="最大化",X5287,IF(01_因子設定!$B$13="最小化",-X5287,-ABS(X5287-01_因子設定!$B$16))),-1E+030)</f>
        <v>45.2136239035088</v>
      </c>
      <c r="AF5287" s="55" t="n">
        <f aca="false">AD5287+ROW()*0.000000001</f>
        <v>-2.84571340511683</v>
      </c>
      <c r="AG5287" s="55" t="n">
        <f aca="false">AE5287+ROW()*0.000000001</f>
        <v>45.2136291905088</v>
      </c>
    </row>
    <row r="5288" customFormat="false" ht="15" hidden="false" customHeight="false" outlineLevel="0" collapsed="false">
      <c r="A5288" s="0" t="n">
        <v>7</v>
      </c>
      <c r="B5288" s="0" t="n">
        <v>2</v>
      </c>
      <c r="C5288" s="0" t="n">
        <v>2</v>
      </c>
      <c r="D5288" s="0" t="n">
        <v>0</v>
      </c>
      <c r="E5288" s="0" t="n">
        <f aca="false">-1+A5288*0.25</f>
        <v>0.75</v>
      </c>
      <c r="F5288" s="0" t="n">
        <f aca="false">-1+B5288*0.25</f>
        <v>-0.5</v>
      </c>
      <c r="G5288" s="0" t="n">
        <f aca="false">-1+C5288*0.25</f>
        <v>-0.5</v>
      </c>
      <c r="H5288" s="0" t="n">
        <f aca="false">-1+D5288*0.25</f>
        <v>-1</v>
      </c>
      <c r="I5288" s="0" t="n">
        <f aca="false">1</f>
        <v>1</v>
      </c>
      <c r="J5288" s="0" t="n">
        <f aca="false">E5288</f>
        <v>0.75</v>
      </c>
      <c r="K5288" s="0" t="n">
        <f aca="false">F5288</f>
        <v>-0.5</v>
      </c>
      <c r="L5288" s="0" t="n">
        <f aca="false">G5288</f>
        <v>-0.5</v>
      </c>
      <c r="M5288" s="0" t="n">
        <f aca="false">H5288</f>
        <v>-1</v>
      </c>
      <c r="N5288" s="0" t="n">
        <f aca="false">E5288*F5288</f>
        <v>-0.375</v>
      </c>
      <c r="O5288" s="0" t="n">
        <f aca="false">E5288*G5288</f>
        <v>-0.375</v>
      </c>
      <c r="P5288" s="0" t="n">
        <f aca="false">E5288*H5288</f>
        <v>-0.75</v>
      </c>
      <c r="Q5288" s="0" t="n">
        <f aca="false">F5288*G5288</f>
        <v>0.25</v>
      </c>
      <c r="R5288" s="0" t="n">
        <f aca="false">F5288*H5288</f>
        <v>0.5</v>
      </c>
      <c r="S5288" s="0" t="n">
        <f aca="false">G5288*H5288</f>
        <v>0.5</v>
      </c>
      <c r="T5288" s="0" t="n">
        <f aca="false">E5288*E5288</f>
        <v>0.5625</v>
      </c>
      <c r="U5288" s="0" t="n">
        <f aca="false">F5288*F5288</f>
        <v>0.25</v>
      </c>
      <c r="V5288" s="0" t="n">
        <f aca="false">G5288*G5288</f>
        <v>0.25</v>
      </c>
      <c r="W5288" s="0" t="n">
        <f aca="false">H5288*H5288</f>
        <v>1</v>
      </c>
      <c r="X5288" s="0" t="n">
        <f aca="false">SUMPRODUCT(I5288:W5288,_XtX!$B$96:$P$96)</f>
        <v>44.6600511695907</v>
      </c>
      <c r="Y5288" s="0" t="n">
        <f aca="false">SUMPRODUCT(MMULT(I5288:W5288,_XtX!$B$78:$P$92),I5288:W5288)</f>
        <v>0.42602110745614</v>
      </c>
      <c r="Z5288" s="0" t="n">
        <f aca="false">04_回帰ANOVA!$K$19*04_回帰ANOVA!$K$14*SQRT(1+Y5288)</f>
        <v>1.55654388501114</v>
      </c>
      <c r="AA5288" s="0" t="n">
        <f aca="false">X5288-Z5288</f>
        <v>43.1035072845795</v>
      </c>
      <c r="AB5288" s="0" t="n">
        <f aca="false">X5288+Z5288</f>
        <v>46.2165950546018</v>
      </c>
      <c r="AC5288" s="54" t="b">
        <f aca="false">AND(E5288&gt;=01_因子設定!$L$5-0.000000001,E5288&lt;=01_因子設定!$M$5+0.000000001,F5288&gt;=01_因子設定!$L$6-0.000000001,F5288&lt;=01_因子設定!$M$6+0.000000001,G5288&gt;=01_因子設定!$L$7-0.000000001,G5288&lt;=01_因子設定!$M$7+0.000000001,H5288&gt;=01_因子設定!$L$8-0.000000001,H5288&lt;=01_因子設定!$M$8+0.000000001,IF(01_因子設定!$B$20="Box-Behnken",E5288^2+F5288^2+G5288^2+H5288^2&lt;=2+0.000000001,TRUE()))</f>
        <v>1</v>
      </c>
      <c r="AD5288" s="55" t="n">
        <f aca="false">IF(AC5288,IF(01_因子設定!$B$13="最大化",AA5288-01_因子設定!$B$14,IF(01_因子設定!$B$13="最小化",01_因子設定!$B$15-AB5288,MIN(AA5288-01_因子設定!$B$14,01_因子設定!$B$15-AB5288))),-1E+030)</f>
        <v>-3.39649271542047</v>
      </c>
      <c r="AE5288" s="55" t="n">
        <f aca="false">IF(AC5288,IF(01_因子設定!$B$13="最大化",X5288,IF(01_因子設定!$B$13="最小化",-X5288,-ABS(X5288-01_因子設定!$B$16))),-1E+030)</f>
        <v>44.6600511695907</v>
      </c>
      <c r="AF5288" s="55" t="n">
        <f aca="false">AD5288+ROW()*0.000000001</f>
        <v>-3.39648742742047</v>
      </c>
      <c r="AG5288" s="55" t="n">
        <f aca="false">AE5288+ROW()*0.000000001</f>
        <v>44.6600564575907</v>
      </c>
    </row>
    <row r="5289" customFormat="false" ht="15" hidden="false" customHeight="false" outlineLevel="0" collapsed="false">
      <c r="A5289" s="0" t="n">
        <v>7</v>
      </c>
      <c r="B5289" s="0" t="n">
        <v>2</v>
      </c>
      <c r="C5289" s="0" t="n">
        <v>2</v>
      </c>
      <c r="D5289" s="0" t="n">
        <v>1</v>
      </c>
      <c r="E5289" s="0" t="n">
        <f aca="false">-1+A5289*0.25</f>
        <v>0.75</v>
      </c>
      <c r="F5289" s="0" t="n">
        <f aca="false">-1+B5289*0.25</f>
        <v>-0.5</v>
      </c>
      <c r="G5289" s="0" t="n">
        <f aca="false">-1+C5289*0.25</f>
        <v>-0.5</v>
      </c>
      <c r="H5289" s="0" t="n">
        <f aca="false">-1+D5289*0.25</f>
        <v>-0.75</v>
      </c>
      <c r="I5289" s="0" t="n">
        <f aca="false">1</f>
        <v>1</v>
      </c>
      <c r="J5289" s="0" t="n">
        <f aca="false">E5289</f>
        <v>0.75</v>
      </c>
      <c r="K5289" s="0" t="n">
        <f aca="false">F5289</f>
        <v>-0.5</v>
      </c>
      <c r="L5289" s="0" t="n">
        <f aca="false">G5289</f>
        <v>-0.5</v>
      </c>
      <c r="M5289" s="0" t="n">
        <f aca="false">H5289</f>
        <v>-0.75</v>
      </c>
      <c r="N5289" s="0" t="n">
        <f aca="false">E5289*F5289</f>
        <v>-0.375</v>
      </c>
      <c r="O5289" s="0" t="n">
        <f aca="false">E5289*G5289</f>
        <v>-0.375</v>
      </c>
      <c r="P5289" s="0" t="n">
        <f aca="false">E5289*H5289</f>
        <v>-0.5625</v>
      </c>
      <c r="Q5289" s="0" t="n">
        <f aca="false">F5289*G5289</f>
        <v>0.25</v>
      </c>
      <c r="R5289" s="0" t="n">
        <f aca="false">F5289*H5289</f>
        <v>0.375</v>
      </c>
      <c r="S5289" s="0" t="n">
        <f aca="false">G5289*H5289</f>
        <v>0.375</v>
      </c>
      <c r="T5289" s="0" t="n">
        <f aca="false">E5289*E5289</f>
        <v>0.5625</v>
      </c>
      <c r="U5289" s="0" t="n">
        <f aca="false">F5289*F5289</f>
        <v>0.25</v>
      </c>
      <c r="V5289" s="0" t="n">
        <f aca="false">G5289*G5289</f>
        <v>0.25</v>
      </c>
      <c r="W5289" s="0" t="n">
        <f aca="false">H5289*H5289</f>
        <v>0.5625</v>
      </c>
      <c r="X5289" s="0" t="n">
        <f aca="false">SUMPRODUCT(I5289:W5289,_XtX!$B$96:$P$96)</f>
        <v>44.9428271198831</v>
      </c>
      <c r="Y5289" s="0" t="n">
        <f aca="false">SUMPRODUCT(MMULT(I5289:W5289,_XtX!$B$78:$P$92),I5289:W5289)</f>
        <v>0.237862927174708</v>
      </c>
      <c r="Z5289" s="0" t="n">
        <f aca="false">04_回帰ANOVA!$K$19*04_回帰ANOVA!$K$14*SQRT(1+Y5289)</f>
        <v>1.45022260708756</v>
      </c>
      <c r="AA5289" s="0" t="n">
        <f aca="false">X5289-Z5289</f>
        <v>43.4926045127955</v>
      </c>
      <c r="AB5289" s="0" t="n">
        <f aca="false">X5289+Z5289</f>
        <v>46.3930497269706</v>
      </c>
      <c r="AC5289" s="54" t="b">
        <f aca="false">AND(E5289&gt;=01_因子設定!$L$5-0.000000001,E5289&lt;=01_因子設定!$M$5+0.000000001,F5289&gt;=01_因子設定!$L$6-0.000000001,F5289&lt;=01_因子設定!$M$6+0.000000001,G5289&gt;=01_因子設定!$L$7-0.000000001,G5289&lt;=01_因子設定!$M$7+0.000000001,H5289&gt;=01_因子設定!$L$8-0.000000001,H5289&lt;=01_因子設定!$M$8+0.000000001,IF(01_因子設定!$B$20="Box-Behnken",E5289^2+F5289^2+G5289^2+H5289^2&lt;=2+0.000000001,TRUE()))</f>
        <v>1</v>
      </c>
      <c r="AD5289" s="55" t="n">
        <f aca="false">IF(AC5289,IF(01_因子設定!$B$13="最大化",AA5289-01_因子設定!$B$14,IF(01_因子設定!$B$13="最小化",01_因子設定!$B$15-AB5289,MIN(AA5289-01_因子設定!$B$14,01_因子設定!$B$15-AB5289))),-1E+030)</f>
        <v>-3.00739548720451</v>
      </c>
      <c r="AE5289" s="55" t="n">
        <f aca="false">IF(AC5289,IF(01_因子設定!$B$13="最大化",X5289,IF(01_因子設定!$B$13="最小化",-X5289,-ABS(X5289-01_因子設定!$B$16))),-1E+030)</f>
        <v>44.9428271198831</v>
      </c>
      <c r="AF5289" s="55" t="n">
        <f aca="false">AD5289+ROW()*0.000000001</f>
        <v>-3.00739019820451</v>
      </c>
      <c r="AG5289" s="55" t="n">
        <f aca="false">AE5289+ROW()*0.000000001</f>
        <v>44.9428324088831</v>
      </c>
    </row>
    <row r="5290" customFormat="false" ht="15" hidden="false" customHeight="false" outlineLevel="0" collapsed="false">
      <c r="A5290" s="0" t="n">
        <v>7</v>
      </c>
      <c r="B5290" s="0" t="n">
        <v>2</v>
      </c>
      <c r="C5290" s="0" t="n">
        <v>2</v>
      </c>
      <c r="D5290" s="0" t="n">
        <v>2</v>
      </c>
      <c r="E5290" s="0" t="n">
        <f aca="false">-1+A5290*0.25</f>
        <v>0.75</v>
      </c>
      <c r="F5290" s="0" t="n">
        <f aca="false">-1+B5290*0.25</f>
        <v>-0.5</v>
      </c>
      <c r="G5290" s="0" t="n">
        <f aca="false">-1+C5290*0.25</f>
        <v>-0.5</v>
      </c>
      <c r="H5290" s="0" t="n">
        <f aca="false">-1+D5290*0.25</f>
        <v>-0.5</v>
      </c>
      <c r="I5290" s="0" t="n">
        <f aca="false">1</f>
        <v>1</v>
      </c>
      <c r="J5290" s="0" t="n">
        <f aca="false">E5290</f>
        <v>0.75</v>
      </c>
      <c r="K5290" s="0" t="n">
        <f aca="false">F5290</f>
        <v>-0.5</v>
      </c>
      <c r="L5290" s="0" t="n">
        <f aca="false">G5290</f>
        <v>-0.5</v>
      </c>
      <c r="M5290" s="0" t="n">
        <f aca="false">H5290</f>
        <v>-0.5</v>
      </c>
      <c r="N5290" s="0" t="n">
        <f aca="false">E5290*F5290</f>
        <v>-0.375</v>
      </c>
      <c r="O5290" s="0" t="n">
        <f aca="false">E5290*G5290</f>
        <v>-0.375</v>
      </c>
      <c r="P5290" s="0" t="n">
        <f aca="false">E5290*H5290</f>
        <v>-0.375</v>
      </c>
      <c r="Q5290" s="0" t="n">
        <f aca="false">F5290*G5290</f>
        <v>0.25</v>
      </c>
      <c r="R5290" s="0" t="n">
        <f aca="false">F5290*H5290</f>
        <v>0.25</v>
      </c>
      <c r="S5290" s="0" t="n">
        <f aca="false">G5290*H5290</f>
        <v>0.25</v>
      </c>
      <c r="T5290" s="0" t="n">
        <f aca="false">E5290*E5290</f>
        <v>0.5625</v>
      </c>
      <c r="U5290" s="0" t="n">
        <f aca="false">F5290*F5290</f>
        <v>0.25</v>
      </c>
      <c r="V5290" s="0" t="n">
        <f aca="false">G5290*G5290</f>
        <v>0.25</v>
      </c>
      <c r="W5290" s="0" t="n">
        <f aca="false">H5290*H5290</f>
        <v>0.25</v>
      </c>
      <c r="X5290" s="0" t="n">
        <f aca="false">SUMPRODUCT(I5290:W5290,_XtX!$B$96:$P$96)</f>
        <v>45.1777960526316</v>
      </c>
      <c r="Y5290" s="0" t="n">
        <f aca="false">SUMPRODUCT(MMULT(I5290:W5290,_XtX!$B$78:$P$92),I5290:W5290)</f>
        <v>0.193924753289474</v>
      </c>
      <c r="Z5290" s="0" t="n">
        <f aca="false">04_回帰ANOVA!$K$19*04_回帰ANOVA!$K$14*SQRT(1+Y5290)</f>
        <v>1.4242521079916</v>
      </c>
      <c r="AA5290" s="0" t="n">
        <f aca="false">X5290-Z5290</f>
        <v>43.75354394464</v>
      </c>
      <c r="AB5290" s="0" t="n">
        <f aca="false">X5290+Z5290</f>
        <v>46.6020481606232</v>
      </c>
      <c r="AC5290" s="54" t="b">
        <f aca="false">AND(E5290&gt;=01_因子設定!$L$5-0.000000001,E5290&lt;=01_因子設定!$M$5+0.000000001,F5290&gt;=01_因子設定!$L$6-0.000000001,F5290&lt;=01_因子設定!$M$6+0.000000001,G5290&gt;=01_因子設定!$L$7-0.000000001,G5290&lt;=01_因子設定!$M$7+0.000000001,H5290&gt;=01_因子設定!$L$8-0.000000001,H5290&lt;=01_因子設定!$M$8+0.000000001,IF(01_因子設定!$B$20="Box-Behnken",E5290^2+F5290^2+G5290^2+H5290^2&lt;=2+0.000000001,TRUE()))</f>
        <v>1</v>
      </c>
      <c r="AD5290" s="55" t="n">
        <f aca="false">IF(AC5290,IF(01_因子設定!$B$13="最大化",AA5290-01_因子設定!$B$14,IF(01_因子設定!$B$13="最小化",01_因子設定!$B$15-AB5290,MIN(AA5290-01_因子設定!$B$14,01_因子設定!$B$15-AB5290))),-1E+030)</f>
        <v>-2.74645605536003</v>
      </c>
      <c r="AE5290" s="55" t="n">
        <f aca="false">IF(AC5290,IF(01_因子設定!$B$13="最大化",X5290,IF(01_因子設定!$B$13="最小化",-X5290,-ABS(X5290-01_因子設定!$B$16))),-1E+030)</f>
        <v>45.1777960526316</v>
      </c>
      <c r="AF5290" s="55" t="n">
        <f aca="false">AD5290+ROW()*0.000000001</f>
        <v>-2.74645076536003</v>
      </c>
      <c r="AG5290" s="55" t="n">
        <f aca="false">AE5290+ROW()*0.000000001</f>
        <v>45.1778013426316</v>
      </c>
    </row>
    <row r="5291" customFormat="false" ht="15" hidden="false" customHeight="false" outlineLevel="0" collapsed="false">
      <c r="A5291" s="0" t="n">
        <v>7</v>
      </c>
      <c r="B5291" s="0" t="n">
        <v>2</v>
      </c>
      <c r="C5291" s="0" t="n">
        <v>2</v>
      </c>
      <c r="D5291" s="0" t="n">
        <v>3</v>
      </c>
      <c r="E5291" s="0" t="n">
        <f aca="false">-1+A5291*0.25</f>
        <v>0.75</v>
      </c>
      <c r="F5291" s="0" t="n">
        <f aca="false">-1+B5291*0.25</f>
        <v>-0.5</v>
      </c>
      <c r="G5291" s="0" t="n">
        <f aca="false">-1+C5291*0.25</f>
        <v>-0.5</v>
      </c>
      <c r="H5291" s="0" t="n">
        <f aca="false">-1+D5291*0.25</f>
        <v>-0.25</v>
      </c>
      <c r="I5291" s="0" t="n">
        <f aca="false">1</f>
        <v>1</v>
      </c>
      <c r="J5291" s="0" t="n">
        <f aca="false">E5291</f>
        <v>0.75</v>
      </c>
      <c r="K5291" s="0" t="n">
        <f aca="false">F5291</f>
        <v>-0.5</v>
      </c>
      <c r="L5291" s="0" t="n">
        <f aca="false">G5291</f>
        <v>-0.5</v>
      </c>
      <c r="M5291" s="0" t="n">
        <f aca="false">H5291</f>
        <v>-0.25</v>
      </c>
      <c r="N5291" s="0" t="n">
        <f aca="false">E5291*F5291</f>
        <v>-0.375</v>
      </c>
      <c r="O5291" s="0" t="n">
        <f aca="false">E5291*G5291</f>
        <v>-0.375</v>
      </c>
      <c r="P5291" s="0" t="n">
        <f aca="false">E5291*H5291</f>
        <v>-0.1875</v>
      </c>
      <c r="Q5291" s="0" t="n">
        <f aca="false">F5291*G5291</f>
        <v>0.25</v>
      </c>
      <c r="R5291" s="0" t="n">
        <f aca="false">F5291*H5291</f>
        <v>0.125</v>
      </c>
      <c r="S5291" s="0" t="n">
        <f aca="false">G5291*H5291</f>
        <v>0.125</v>
      </c>
      <c r="T5291" s="0" t="n">
        <f aca="false">E5291*E5291</f>
        <v>0.5625</v>
      </c>
      <c r="U5291" s="0" t="n">
        <f aca="false">F5291*F5291</f>
        <v>0.25</v>
      </c>
      <c r="V5291" s="0" t="n">
        <f aca="false">G5291*G5291</f>
        <v>0.25</v>
      </c>
      <c r="W5291" s="0" t="n">
        <f aca="false">H5291*H5291</f>
        <v>0.0625</v>
      </c>
      <c r="X5291" s="0" t="n">
        <f aca="false">SUMPRODUCT(I5291:W5291,_XtX!$B$96:$P$96)</f>
        <v>45.3649579678363</v>
      </c>
      <c r="Y5291" s="0" t="n">
        <f aca="false">SUMPRODUCT(MMULT(I5291:W5291,_XtX!$B$78:$P$92),I5291:W5291)</f>
        <v>0.203746059484649</v>
      </c>
      <c r="Z5291" s="0" t="n">
        <f aca="false">04_回帰ANOVA!$K$19*04_回帰ANOVA!$K$14*SQRT(1+Y5291)</f>
        <v>1.43009810755465</v>
      </c>
      <c r="AA5291" s="0" t="n">
        <f aca="false">X5291-Z5291</f>
        <v>43.9348598602816</v>
      </c>
      <c r="AB5291" s="0" t="n">
        <f aca="false">X5291+Z5291</f>
        <v>46.7950560753909</v>
      </c>
      <c r="AC5291" s="54" t="b">
        <f aca="false">AND(E5291&gt;=01_因子設定!$L$5-0.000000001,E5291&lt;=01_因子設定!$M$5+0.000000001,F5291&gt;=01_因子設定!$L$6-0.000000001,F5291&lt;=01_因子設定!$M$6+0.000000001,G5291&gt;=01_因子設定!$L$7-0.000000001,G5291&lt;=01_因子設定!$M$7+0.000000001,H5291&gt;=01_因子設定!$L$8-0.000000001,H5291&lt;=01_因子設定!$M$8+0.000000001,IF(01_因子設定!$B$20="Box-Behnken",E5291^2+F5291^2+G5291^2+H5291^2&lt;=2+0.000000001,TRUE()))</f>
        <v>1</v>
      </c>
      <c r="AD5291" s="55" t="n">
        <f aca="false">IF(AC5291,IF(01_因子設定!$B$13="最大化",AA5291-01_因子設定!$B$14,IF(01_因子設定!$B$13="最小化",01_因子設定!$B$15-AB5291,MIN(AA5291-01_因子設定!$B$14,01_因子設定!$B$15-AB5291))),-1E+030)</f>
        <v>-2.5651401397184</v>
      </c>
      <c r="AE5291" s="55" t="n">
        <f aca="false">IF(AC5291,IF(01_因子設定!$B$13="最大化",X5291,IF(01_因子設定!$B$13="最小化",-X5291,-ABS(X5291-01_因子設定!$B$16))),-1E+030)</f>
        <v>45.3649579678363</v>
      </c>
      <c r="AF5291" s="55" t="n">
        <f aca="false">AD5291+ROW()*0.000000001</f>
        <v>-2.5651348487184</v>
      </c>
      <c r="AG5291" s="55" t="n">
        <f aca="false">AE5291+ROW()*0.000000001</f>
        <v>45.3649632588363</v>
      </c>
    </row>
    <row r="5292" customFormat="false" ht="15" hidden="false" customHeight="false" outlineLevel="0" collapsed="false">
      <c r="A5292" s="0" t="n">
        <v>7</v>
      </c>
      <c r="B5292" s="0" t="n">
        <v>2</v>
      </c>
      <c r="C5292" s="0" t="n">
        <v>2</v>
      </c>
      <c r="D5292" s="0" t="n">
        <v>4</v>
      </c>
      <c r="E5292" s="0" t="n">
        <f aca="false">-1+A5292*0.25</f>
        <v>0.75</v>
      </c>
      <c r="F5292" s="0" t="n">
        <f aca="false">-1+B5292*0.25</f>
        <v>-0.5</v>
      </c>
      <c r="G5292" s="0" t="n">
        <f aca="false">-1+C5292*0.25</f>
        <v>-0.5</v>
      </c>
      <c r="H5292" s="0" t="n">
        <f aca="false">-1+D5292*0.25</f>
        <v>0</v>
      </c>
      <c r="I5292" s="0" t="n">
        <f aca="false">1</f>
        <v>1</v>
      </c>
      <c r="J5292" s="0" t="n">
        <f aca="false">E5292</f>
        <v>0.75</v>
      </c>
      <c r="K5292" s="0" t="n">
        <f aca="false">F5292</f>
        <v>-0.5</v>
      </c>
      <c r="L5292" s="0" t="n">
        <f aca="false">G5292</f>
        <v>-0.5</v>
      </c>
      <c r="M5292" s="0" t="n">
        <f aca="false">H5292</f>
        <v>0</v>
      </c>
      <c r="N5292" s="0" t="n">
        <f aca="false">E5292*F5292</f>
        <v>-0.375</v>
      </c>
      <c r="O5292" s="0" t="n">
        <f aca="false">E5292*G5292</f>
        <v>-0.375</v>
      </c>
      <c r="P5292" s="0" t="n">
        <f aca="false">E5292*H5292</f>
        <v>0</v>
      </c>
      <c r="Q5292" s="0" t="n">
        <f aca="false">F5292*G5292</f>
        <v>0.25</v>
      </c>
      <c r="R5292" s="0" t="n">
        <f aca="false">F5292*H5292</f>
        <v>-0</v>
      </c>
      <c r="S5292" s="0" t="n">
        <f aca="false">G5292*H5292</f>
        <v>-0</v>
      </c>
      <c r="T5292" s="0" t="n">
        <f aca="false">E5292*E5292</f>
        <v>0.5625</v>
      </c>
      <c r="U5292" s="0" t="n">
        <f aca="false">F5292*F5292</f>
        <v>0.25</v>
      </c>
      <c r="V5292" s="0" t="n">
        <f aca="false">G5292*G5292</f>
        <v>0.25</v>
      </c>
      <c r="W5292" s="0" t="n">
        <f aca="false">H5292*H5292</f>
        <v>0</v>
      </c>
      <c r="X5292" s="0" t="n">
        <f aca="false">SUMPRODUCT(I5292:W5292,_XtX!$B$96:$P$96)</f>
        <v>45.5043128654971</v>
      </c>
      <c r="Y5292" s="0" t="n">
        <f aca="false">SUMPRODUCT(MMULT(I5292:W5292,_XtX!$B$78:$P$92),I5292:W5292)</f>
        <v>0.21305052997076</v>
      </c>
      <c r="Z5292" s="0" t="n">
        <f aca="false">04_回帰ANOVA!$K$19*04_回帰ANOVA!$K$14*SQRT(1+Y5292)</f>
        <v>1.43561450835061</v>
      </c>
      <c r="AA5292" s="0" t="n">
        <f aca="false">X5292-Z5292</f>
        <v>44.0686983571465</v>
      </c>
      <c r="AB5292" s="0" t="n">
        <f aca="false">X5292+Z5292</f>
        <v>46.9399273738477</v>
      </c>
      <c r="AC5292" s="54" t="b">
        <f aca="false">AND(E5292&gt;=01_因子設定!$L$5-0.000000001,E5292&lt;=01_因子設定!$M$5+0.000000001,F5292&gt;=01_因子設定!$L$6-0.000000001,F5292&lt;=01_因子設定!$M$6+0.000000001,G5292&gt;=01_因子設定!$L$7-0.000000001,G5292&lt;=01_因子設定!$M$7+0.000000001,H5292&gt;=01_因子設定!$L$8-0.000000001,H5292&lt;=01_因子設定!$M$8+0.000000001,IF(01_因子設定!$B$20="Box-Behnken",E5292^2+F5292^2+G5292^2+H5292^2&lt;=2+0.000000001,TRUE()))</f>
        <v>1</v>
      </c>
      <c r="AD5292" s="55" t="n">
        <f aca="false">IF(AC5292,IF(01_因子設定!$B$13="最大化",AA5292-01_因子設定!$B$14,IF(01_因子設定!$B$13="最小化",01_因子設定!$B$15-AB5292,MIN(AA5292-01_因子設定!$B$14,01_因子設定!$B$15-AB5292))),-1E+030)</f>
        <v>-2.43130164285354</v>
      </c>
      <c r="AE5292" s="55" t="n">
        <f aca="false">IF(AC5292,IF(01_因子設定!$B$13="最大化",X5292,IF(01_因子設定!$B$13="最小化",-X5292,-ABS(X5292-01_因子設定!$B$16))),-1E+030)</f>
        <v>45.5043128654971</v>
      </c>
      <c r="AF5292" s="55" t="n">
        <f aca="false">AD5292+ROW()*0.000000001</f>
        <v>-2.43129635085354</v>
      </c>
      <c r="AG5292" s="55" t="n">
        <f aca="false">AE5292+ROW()*0.000000001</f>
        <v>45.5043181574971</v>
      </c>
    </row>
    <row r="5293" customFormat="false" ht="15" hidden="false" customHeight="false" outlineLevel="0" collapsed="false">
      <c r="A5293" s="0" t="n">
        <v>7</v>
      </c>
      <c r="B5293" s="0" t="n">
        <v>2</v>
      </c>
      <c r="C5293" s="0" t="n">
        <v>2</v>
      </c>
      <c r="D5293" s="0" t="n">
        <v>5</v>
      </c>
      <c r="E5293" s="0" t="n">
        <f aca="false">-1+A5293*0.25</f>
        <v>0.75</v>
      </c>
      <c r="F5293" s="0" t="n">
        <f aca="false">-1+B5293*0.25</f>
        <v>-0.5</v>
      </c>
      <c r="G5293" s="0" t="n">
        <f aca="false">-1+C5293*0.25</f>
        <v>-0.5</v>
      </c>
      <c r="H5293" s="0" t="n">
        <f aca="false">-1+D5293*0.25</f>
        <v>0.25</v>
      </c>
      <c r="I5293" s="0" t="n">
        <f aca="false">1</f>
        <v>1</v>
      </c>
      <c r="J5293" s="0" t="n">
        <f aca="false">E5293</f>
        <v>0.75</v>
      </c>
      <c r="K5293" s="0" t="n">
        <f aca="false">F5293</f>
        <v>-0.5</v>
      </c>
      <c r="L5293" s="0" t="n">
        <f aca="false">G5293</f>
        <v>-0.5</v>
      </c>
      <c r="M5293" s="0" t="n">
        <f aca="false">H5293</f>
        <v>0.25</v>
      </c>
      <c r="N5293" s="0" t="n">
        <f aca="false">E5293*F5293</f>
        <v>-0.375</v>
      </c>
      <c r="O5293" s="0" t="n">
        <f aca="false">E5293*G5293</f>
        <v>-0.375</v>
      </c>
      <c r="P5293" s="0" t="n">
        <f aca="false">E5293*H5293</f>
        <v>0.1875</v>
      </c>
      <c r="Q5293" s="0" t="n">
        <f aca="false">F5293*G5293</f>
        <v>0.25</v>
      </c>
      <c r="R5293" s="0" t="n">
        <f aca="false">F5293*H5293</f>
        <v>-0.125</v>
      </c>
      <c r="S5293" s="0" t="n">
        <f aca="false">G5293*H5293</f>
        <v>-0.125</v>
      </c>
      <c r="T5293" s="0" t="n">
        <f aca="false">E5293*E5293</f>
        <v>0.5625</v>
      </c>
      <c r="U5293" s="0" t="n">
        <f aca="false">F5293*F5293</f>
        <v>0.25</v>
      </c>
      <c r="V5293" s="0" t="n">
        <f aca="false">G5293*G5293</f>
        <v>0.25</v>
      </c>
      <c r="W5293" s="0" t="n">
        <f aca="false">H5293*H5293</f>
        <v>0.0625</v>
      </c>
      <c r="X5293" s="0" t="n">
        <f aca="false">SUMPRODUCT(I5293:W5293,_XtX!$B$96:$P$96)</f>
        <v>45.595860745614</v>
      </c>
      <c r="Y5293" s="0" t="n">
        <f aca="false">SUMPRODUCT(MMULT(I5293:W5293,_XtX!$B$78:$P$92),I5293:W5293)</f>
        <v>0.203746059484649</v>
      </c>
      <c r="Z5293" s="0" t="n">
        <f aca="false">04_回帰ANOVA!$K$19*04_回帰ANOVA!$K$14*SQRT(1+Y5293)</f>
        <v>1.43009810755465</v>
      </c>
      <c r="AA5293" s="0" t="n">
        <f aca="false">X5293-Z5293</f>
        <v>44.1657626380594</v>
      </c>
      <c r="AB5293" s="0" t="n">
        <f aca="false">X5293+Z5293</f>
        <v>47.0259588531687</v>
      </c>
      <c r="AC5293" s="54" t="b">
        <f aca="false">AND(E5293&gt;=01_因子設定!$L$5-0.000000001,E5293&lt;=01_因子設定!$M$5+0.000000001,F5293&gt;=01_因子設定!$L$6-0.000000001,F5293&lt;=01_因子設定!$M$6+0.000000001,G5293&gt;=01_因子設定!$L$7-0.000000001,G5293&lt;=01_因子設定!$M$7+0.000000001,H5293&gt;=01_因子設定!$L$8-0.000000001,H5293&lt;=01_因子設定!$M$8+0.000000001,IF(01_因子設定!$B$20="Box-Behnken",E5293^2+F5293^2+G5293^2+H5293^2&lt;=2+0.000000001,TRUE()))</f>
        <v>1</v>
      </c>
      <c r="AD5293" s="55" t="n">
        <f aca="false">IF(AC5293,IF(01_因子設定!$B$13="最大化",AA5293-01_因子設定!$B$14,IF(01_因子設定!$B$13="最小化",01_因子設定!$B$15-AB5293,MIN(AA5293-01_因子設定!$B$14,01_因子設定!$B$15-AB5293))),-1E+030)</f>
        <v>-2.33423736194062</v>
      </c>
      <c r="AE5293" s="55" t="n">
        <f aca="false">IF(AC5293,IF(01_因子設定!$B$13="最大化",X5293,IF(01_因子設定!$B$13="最小化",-X5293,-ABS(X5293-01_因子設定!$B$16))),-1E+030)</f>
        <v>45.595860745614</v>
      </c>
      <c r="AF5293" s="55" t="n">
        <f aca="false">AD5293+ROW()*0.000000001</f>
        <v>-2.33423206894062</v>
      </c>
      <c r="AG5293" s="55" t="n">
        <f aca="false">AE5293+ROW()*0.000000001</f>
        <v>45.595866038614</v>
      </c>
    </row>
    <row r="5294" customFormat="false" ht="15" hidden="false" customHeight="false" outlineLevel="0" collapsed="false">
      <c r="A5294" s="0" t="n">
        <v>7</v>
      </c>
      <c r="B5294" s="0" t="n">
        <v>2</v>
      </c>
      <c r="C5294" s="0" t="n">
        <v>2</v>
      </c>
      <c r="D5294" s="0" t="n">
        <v>6</v>
      </c>
      <c r="E5294" s="0" t="n">
        <f aca="false">-1+A5294*0.25</f>
        <v>0.75</v>
      </c>
      <c r="F5294" s="0" t="n">
        <f aca="false">-1+B5294*0.25</f>
        <v>-0.5</v>
      </c>
      <c r="G5294" s="0" t="n">
        <f aca="false">-1+C5294*0.25</f>
        <v>-0.5</v>
      </c>
      <c r="H5294" s="0" t="n">
        <f aca="false">-1+D5294*0.25</f>
        <v>0.5</v>
      </c>
      <c r="I5294" s="0" t="n">
        <f aca="false">1</f>
        <v>1</v>
      </c>
      <c r="J5294" s="0" t="n">
        <f aca="false">E5294</f>
        <v>0.75</v>
      </c>
      <c r="K5294" s="0" t="n">
        <f aca="false">F5294</f>
        <v>-0.5</v>
      </c>
      <c r="L5294" s="0" t="n">
        <f aca="false">G5294</f>
        <v>-0.5</v>
      </c>
      <c r="M5294" s="0" t="n">
        <f aca="false">H5294</f>
        <v>0.5</v>
      </c>
      <c r="N5294" s="0" t="n">
        <f aca="false">E5294*F5294</f>
        <v>-0.375</v>
      </c>
      <c r="O5294" s="0" t="n">
        <f aca="false">E5294*G5294</f>
        <v>-0.375</v>
      </c>
      <c r="P5294" s="0" t="n">
        <f aca="false">E5294*H5294</f>
        <v>0.375</v>
      </c>
      <c r="Q5294" s="0" t="n">
        <f aca="false">F5294*G5294</f>
        <v>0.25</v>
      </c>
      <c r="R5294" s="0" t="n">
        <f aca="false">F5294*H5294</f>
        <v>-0.25</v>
      </c>
      <c r="S5294" s="0" t="n">
        <f aca="false">G5294*H5294</f>
        <v>-0.25</v>
      </c>
      <c r="T5294" s="0" t="n">
        <f aca="false">E5294*E5294</f>
        <v>0.5625</v>
      </c>
      <c r="U5294" s="0" t="n">
        <f aca="false">F5294*F5294</f>
        <v>0.25</v>
      </c>
      <c r="V5294" s="0" t="n">
        <f aca="false">G5294*G5294</f>
        <v>0.25</v>
      </c>
      <c r="W5294" s="0" t="n">
        <f aca="false">H5294*H5294</f>
        <v>0.25</v>
      </c>
      <c r="X5294" s="0" t="n">
        <f aca="false">SUMPRODUCT(I5294:W5294,_XtX!$B$96:$P$96)</f>
        <v>45.6396016081871</v>
      </c>
      <c r="Y5294" s="0" t="n">
        <f aca="false">SUMPRODUCT(MMULT(I5294:W5294,_XtX!$B$78:$P$92),I5294:W5294)</f>
        <v>0.193924753289474</v>
      </c>
      <c r="Z5294" s="0" t="n">
        <f aca="false">04_回帰ANOVA!$K$19*04_回帰ANOVA!$K$14*SQRT(1+Y5294)</f>
        <v>1.4242521079916</v>
      </c>
      <c r="AA5294" s="0" t="n">
        <f aca="false">X5294-Z5294</f>
        <v>44.2153495001955</v>
      </c>
      <c r="AB5294" s="0" t="n">
        <f aca="false">X5294+Z5294</f>
        <v>47.0638537161787</v>
      </c>
      <c r="AC5294" s="54" t="b">
        <f aca="false">AND(E5294&gt;=01_因子設定!$L$5-0.000000001,E5294&lt;=01_因子設定!$M$5+0.000000001,F5294&gt;=01_因子設定!$L$6-0.000000001,F5294&lt;=01_因子設定!$M$6+0.000000001,G5294&gt;=01_因子設定!$L$7-0.000000001,G5294&lt;=01_因子設定!$M$7+0.000000001,H5294&gt;=01_因子設定!$L$8-0.000000001,H5294&lt;=01_因子設定!$M$8+0.000000001,IF(01_因子設定!$B$20="Box-Behnken",E5294^2+F5294^2+G5294^2+H5294^2&lt;=2+0.000000001,TRUE()))</f>
        <v>1</v>
      </c>
      <c r="AD5294" s="55" t="n">
        <f aca="false">IF(AC5294,IF(01_因子設定!$B$13="最大化",AA5294-01_因子設定!$B$14,IF(01_因子設定!$B$13="最小化",01_因子設定!$B$15-AB5294,MIN(AA5294-01_因子設定!$B$14,01_因子設定!$B$15-AB5294))),-1E+030)</f>
        <v>-2.28465049980447</v>
      </c>
      <c r="AE5294" s="55" t="n">
        <f aca="false">IF(AC5294,IF(01_因子設定!$B$13="最大化",X5294,IF(01_因子設定!$B$13="最小化",-X5294,-ABS(X5294-01_因子設定!$B$16))),-1E+030)</f>
        <v>45.6396016081871</v>
      </c>
      <c r="AF5294" s="55" t="n">
        <f aca="false">AD5294+ROW()*0.000000001</f>
        <v>-2.28464520580447</v>
      </c>
      <c r="AG5294" s="55" t="n">
        <f aca="false">AE5294+ROW()*0.000000001</f>
        <v>45.6396069021871</v>
      </c>
    </row>
    <row r="5295" customFormat="false" ht="15" hidden="false" customHeight="false" outlineLevel="0" collapsed="false">
      <c r="A5295" s="0" t="n">
        <v>7</v>
      </c>
      <c r="B5295" s="0" t="n">
        <v>2</v>
      </c>
      <c r="C5295" s="0" t="n">
        <v>2</v>
      </c>
      <c r="D5295" s="0" t="n">
        <v>7</v>
      </c>
      <c r="E5295" s="0" t="n">
        <f aca="false">-1+A5295*0.25</f>
        <v>0.75</v>
      </c>
      <c r="F5295" s="0" t="n">
        <f aca="false">-1+B5295*0.25</f>
        <v>-0.5</v>
      </c>
      <c r="G5295" s="0" t="n">
        <f aca="false">-1+C5295*0.25</f>
        <v>-0.5</v>
      </c>
      <c r="H5295" s="0" t="n">
        <f aca="false">-1+D5295*0.25</f>
        <v>0.75</v>
      </c>
      <c r="I5295" s="0" t="n">
        <f aca="false">1</f>
        <v>1</v>
      </c>
      <c r="J5295" s="0" t="n">
        <f aca="false">E5295</f>
        <v>0.75</v>
      </c>
      <c r="K5295" s="0" t="n">
        <f aca="false">F5295</f>
        <v>-0.5</v>
      </c>
      <c r="L5295" s="0" t="n">
        <f aca="false">G5295</f>
        <v>-0.5</v>
      </c>
      <c r="M5295" s="0" t="n">
        <f aca="false">H5295</f>
        <v>0.75</v>
      </c>
      <c r="N5295" s="0" t="n">
        <f aca="false">E5295*F5295</f>
        <v>-0.375</v>
      </c>
      <c r="O5295" s="0" t="n">
        <f aca="false">E5295*G5295</f>
        <v>-0.375</v>
      </c>
      <c r="P5295" s="0" t="n">
        <f aca="false">E5295*H5295</f>
        <v>0.5625</v>
      </c>
      <c r="Q5295" s="0" t="n">
        <f aca="false">F5295*G5295</f>
        <v>0.25</v>
      </c>
      <c r="R5295" s="0" t="n">
        <f aca="false">F5295*H5295</f>
        <v>-0.375</v>
      </c>
      <c r="S5295" s="0" t="n">
        <f aca="false">G5295*H5295</f>
        <v>-0.375</v>
      </c>
      <c r="T5295" s="0" t="n">
        <f aca="false">E5295*E5295</f>
        <v>0.5625</v>
      </c>
      <c r="U5295" s="0" t="n">
        <f aca="false">F5295*F5295</f>
        <v>0.25</v>
      </c>
      <c r="V5295" s="0" t="n">
        <f aca="false">G5295*G5295</f>
        <v>0.25</v>
      </c>
      <c r="W5295" s="0" t="n">
        <f aca="false">H5295*H5295</f>
        <v>0.5625</v>
      </c>
      <c r="X5295" s="0" t="n">
        <f aca="false">SUMPRODUCT(I5295:W5295,_XtX!$B$96:$P$96)</f>
        <v>45.6355354532164</v>
      </c>
      <c r="Y5295" s="0" t="n">
        <f aca="false">SUMPRODUCT(MMULT(I5295:W5295,_XtX!$B$78:$P$92),I5295:W5295)</f>
        <v>0.237862927174708</v>
      </c>
      <c r="Z5295" s="0" t="n">
        <f aca="false">04_回帰ANOVA!$K$19*04_回帰ANOVA!$K$14*SQRT(1+Y5295)</f>
        <v>1.45022260708756</v>
      </c>
      <c r="AA5295" s="0" t="n">
        <f aca="false">X5295-Z5295</f>
        <v>44.1853128461288</v>
      </c>
      <c r="AB5295" s="0" t="n">
        <f aca="false">X5295+Z5295</f>
        <v>47.0857580603039</v>
      </c>
      <c r="AC5295" s="54" t="b">
        <f aca="false">AND(E5295&gt;=01_因子設定!$L$5-0.000000001,E5295&lt;=01_因子設定!$M$5+0.000000001,F5295&gt;=01_因子設定!$L$6-0.000000001,F5295&lt;=01_因子設定!$M$6+0.000000001,G5295&gt;=01_因子設定!$L$7-0.000000001,G5295&lt;=01_因子設定!$M$7+0.000000001,H5295&gt;=01_因子設定!$L$8-0.000000001,H5295&lt;=01_因子設定!$M$8+0.000000001,IF(01_因子設定!$B$20="Box-Behnken",E5295^2+F5295^2+G5295^2+H5295^2&lt;=2+0.000000001,TRUE()))</f>
        <v>1</v>
      </c>
      <c r="AD5295" s="55" t="n">
        <f aca="false">IF(AC5295,IF(01_因子設定!$B$13="最大化",AA5295-01_因子設定!$B$14,IF(01_因子設定!$B$13="最小化",01_因子設定!$B$15-AB5295,MIN(AA5295-01_因子設定!$B$14,01_因子設定!$B$15-AB5295))),-1E+030)</f>
        <v>-2.31468715387118</v>
      </c>
      <c r="AE5295" s="55" t="n">
        <f aca="false">IF(AC5295,IF(01_因子設定!$B$13="最大化",X5295,IF(01_因子設定!$B$13="最小化",-X5295,-ABS(X5295-01_因子設定!$B$16))),-1E+030)</f>
        <v>45.6355354532164</v>
      </c>
      <c r="AF5295" s="55" t="n">
        <f aca="false">AD5295+ROW()*0.000000001</f>
        <v>-2.31468185887118</v>
      </c>
      <c r="AG5295" s="55" t="n">
        <f aca="false">AE5295+ROW()*0.000000001</f>
        <v>45.6355407482164</v>
      </c>
    </row>
    <row r="5296" customFormat="false" ht="15" hidden="false" customHeight="false" outlineLevel="0" collapsed="false">
      <c r="A5296" s="0" t="n">
        <v>7</v>
      </c>
      <c r="B5296" s="0" t="n">
        <v>2</v>
      </c>
      <c r="C5296" s="0" t="n">
        <v>2</v>
      </c>
      <c r="D5296" s="0" t="n">
        <v>8</v>
      </c>
      <c r="E5296" s="0" t="n">
        <f aca="false">-1+A5296*0.25</f>
        <v>0.75</v>
      </c>
      <c r="F5296" s="0" t="n">
        <f aca="false">-1+B5296*0.25</f>
        <v>-0.5</v>
      </c>
      <c r="G5296" s="0" t="n">
        <f aca="false">-1+C5296*0.25</f>
        <v>-0.5</v>
      </c>
      <c r="H5296" s="0" t="n">
        <f aca="false">-1+D5296*0.25</f>
        <v>1</v>
      </c>
      <c r="I5296" s="0" t="n">
        <f aca="false">1</f>
        <v>1</v>
      </c>
      <c r="J5296" s="0" t="n">
        <f aca="false">E5296</f>
        <v>0.75</v>
      </c>
      <c r="K5296" s="0" t="n">
        <f aca="false">F5296</f>
        <v>-0.5</v>
      </c>
      <c r="L5296" s="0" t="n">
        <f aca="false">G5296</f>
        <v>-0.5</v>
      </c>
      <c r="M5296" s="0" t="n">
        <f aca="false">H5296</f>
        <v>1</v>
      </c>
      <c r="N5296" s="0" t="n">
        <f aca="false">E5296*F5296</f>
        <v>-0.375</v>
      </c>
      <c r="O5296" s="0" t="n">
        <f aca="false">E5296*G5296</f>
        <v>-0.375</v>
      </c>
      <c r="P5296" s="0" t="n">
        <f aca="false">E5296*H5296</f>
        <v>0.75</v>
      </c>
      <c r="Q5296" s="0" t="n">
        <f aca="false">F5296*G5296</f>
        <v>0.25</v>
      </c>
      <c r="R5296" s="0" t="n">
        <f aca="false">F5296*H5296</f>
        <v>-0.5</v>
      </c>
      <c r="S5296" s="0" t="n">
        <f aca="false">G5296*H5296</f>
        <v>-0.5</v>
      </c>
      <c r="T5296" s="0" t="n">
        <f aca="false">E5296*E5296</f>
        <v>0.5625</v>
      </c>
      <c r="U5296" s="0" t="n">
        <f aca="false">F5296*F5296</f>
        <v>0.25</v>
      </c>
      <c r="V5296" s="0" t="n">
        <f aca="false">G5296*G5296</f>
        <v>0.25</v>
      </c>
      <c r="W5296" s="0" t="n">
        <f aca="false">H5296*H5296</f>
        <v>1</v>
      </c>
      <c r="X5296" s="0" t="n">
        <f aca="false">SUMPRODUCT(I5296:W5296,_XtX!$B$96:$P$96)</f>
        <v>45.5836622807018</v>
      </c>
      <c r="Y5296" s="0" t="n">
        <f aca="false">SUMPRODUCT(MMULT(I5296:W5296,_XtX!$B$78:$P$92),I5296:W5296)</f>
        <v>0.42602110745614</v>
      </c>
      <c r="Z5296" s="0" t="n">
        <f aca="false">04_回帰ANOVA!$K$19*04_回帰ANOVA!$K$14*SQRT(1+Y5296)</f>
        <v>1.55654388501114</v>
      </c>
      <c r="AA5296" s="0" t="n">
        <f aca="false">X5296-Z5296</f>
        <v>44.0271183956906</v>
      </c>
      <c r="AB5296" s="0" t="n">
        <f aca="false">X5296+Z5296</f>
        <v>47.1402061657129</v>
      </c>
      <c r="AC5296" s="54" t="b">
        <f aca="false">AND(E5296&gt;=01_因子設定!$L$5-0.000000001,E5296&lt;=01_因子設定!$M$5+0.000000001,F5296&gt;=01_因子設定!$L$6-0.000000001,F5296&lt;=01_因子設定!$M$6+0.000000001,G5296&gt;=01_因子設定!$L$7-0.000000001,G5296&lt;=01_因子設定!$M$7+0.000000001,H5296&gt;=01_因子設定!$L$8-0.000000001,H5296&lt;=01_因子設定!$M$8+0.000000001,IF(01_因子設定!$B$20="Box-Behnken",E5296^2+F5296^2+G5296^2+H5296^2&lt;=2+0.000000001,TRUE()))</f>
        <v>1</v>
      </c>
      <c r="AD5296" s="55" t="n">
        <f aca="false">IF(AC5296,IF(01_因子設定!$B$13="最大化",AA5296-01_因子設定!$B$14,IF(01_因子設定!$B$13="最小化",01_因子設定!$B$15-AB5296,MIN(AA5296-01_因子設定!$B$14,01_因子設定!$B$15-AB5296))),-1E+030)</f>
        <v>-2.47288160430936</v>
      </c>
      <c r="AE5296" s="55" t="n">
        <f aca="false">IF(AC5296,IF(01_因子設定!$B$13="最大化",X5296,IF(01_因子設定!$B$13="最小化",-X5296,-ABS(X5296-01_因子設定!$B$16))),-1E+030)</f>
        <v>45.5836622807018</v>
      </c>
      <c r="AF5296" s="55" t="n">
        <f aca="false">AD5296+ROW()*0.000000001</f>
        <v>-2.47287630830936</v>
      </c>
      <c r="AG5296" s="55" t="n">
        <f aca="false">AE5296+ROW()*0.000000001</f>
        <v>45.5836675767018</v>
      </c>
    </row>
    <row r="5297" customFormat="false" ht="15" hidden="false" customHeight="false" outlineLevel="0" collapsed="false">
      <c r="A5297" s="0" t="n">
        <v>7</v>
      </c>
      <c r="B5297" s="0" t="n">
        <v>2</v>
      </c>
      <c r="C5297" s="0" t="n">
        <v>3</v>
      </c>
      <c r="D5297" s="0" t="n">
        <v>0</v>
      </c>
      <c r="E5297" s="0" t="n">
        <f aca="false">-1+A5297*0.25</f>
        <v>0.75</v>
      </c>
      <c r="F5297" s="0" t="n">
        <f aca="false">-1+B5297*0.25</f>
        <v>-0.5</v>
      </c>
      <c r="G5297" s="0" t="n">
        <f aca="false">-1+C5297*0.25</f>
        <v>-0.25</v>
      </c>
      <c r="H5297" s="0" t="n">
        <f aca="false">-1+D5297*0.25</f>
        <v>-1</v>
      </c>
      <c r="I5297" s="0" t="n">
        <f aca="false">1</f>
        <v>1</v>
      </c>
      <c r="J5297" s="0" t="n">
        <f aca="false">E5297</f>
        <v>0.75</v>
      </c>
      <c r="K5297" s="0" t="n">
        <f aca="false">F5297</f>
        <v>-0.5</v>
      </c>
      <c r="L5297" s="0" t="n">
        <f aca="false">G5297</f>
        <v>-0.25</v>
      </c>
      <c r="M5297" s="0" t="n">
        <f aca="false">H5297</f>
        <v>-1</v>
      </c>
      <c r="N5297" s="0" t="n">
        <f aca="false">E5297*F5297</f>
        <v>-0.375</v>
      </c>
      <c r="O5297" s="0" t="n">
        <f aca="false">E5297*G5297</f>
        <v>-0.1875</v>
      </c>
      <c r="P5297" s="0" t="n">
        <f aca="false">E5297*H5297</f>
        <v>-0.75</v>
      </c>
      <c r="Q5297" s="0" t="n">
        <f aca="false">F5297*G5297</f>
        <v>0.125</v>
      </c>
      <c r="R5297" s="0" t="n">
        <f aca="false">F5297*H5297</f>
        <v>0.5</v>
      </c>
      <c r="S5297" s="0" t="n">
        <f aca="false">G5297*H5297</f>
        <v>0.25</v>
      </c>
      <c r="T5297" s="0" t="n">
        <f aca="false">E5297*E5297</f>
        <v>0.5625</v>
      </c>
      <c r="U5297" s="0" t="n">
        <f aca="false">F5297*F5297</f>
        <v>0.25</v>
      </c>
      <c r="V5297" s="0" t="n">
        <f aca="false">G5297*G5297</f>
        <v>0.0625</v>
      </c>
      <c r="W5297" s="0" t="n">
        <f aca="false">H5297*H5297</f>
        <v>1</v>
      </c>
      <c r="X5297" s="0" t="n">
        <f aca="false">SUMPRODUCT(I5297:W5297,_XtX!$B$96:$P$96)</f>
        <v>44.8010325292398</v>
      </c>
      <c r="Y5297" s="0" t="n">
        <f aca="false">SUMPRODUCT(MMULT(I5297:W5297,_XtX!$B$78:$P$92),I5297:W5297)</f>
        <v>0.459125719572369</v>
      </c>
      <c r="Z5297" s="0" t="n">
        <f aca="false">04_回帰ANOVA!$K$19*04_回帰ANOVA!$K$14*SQRT(1+Y5297)</f>
        <v>1.57450755575573</v>
      </c>
      <c r="AA5297" s="0" t="n">
        <f aca="false">X5297-Z5297</f>
        <v>43.2265249734841</v>
      </c>
      <c r="AB5297" s="0" t="n">
        <f aca="false">X5297+Z5297</f>
        <v>46.3755400849955</v>
      </c>
      <c r="AC5297" s="54" t="b">
        <f aca="false">AND(E5297&gt;=01_因子設定!$L$5-0.000000001,E5297&lt;=01_因子設定!$M$5+0.000000001,F5297&gt;=01_因子設定!$L$6-0.000000001,F5297&lt;=01_因子設定!$M$6+0.000000001,G5297&gt;=01_因子設定!$L$7-0.000000001,G5297&lt;=01_因子設定!$M$7+0.000000001,H5297&gt;=01_因子設定!$L$8-0.000000001,H5297&lt;=01_因子設定!$M$8+0.000000001,IF(01_因子設定!$B$20="Box-Behnken",E5297^2+F5297^2+G5297^2+H5297^2&lt;=2+0.000000001,TRUE()))</f>
        <v>1</v>
      </c>
      <c r="AD5297" s="55" t="n">
        <f aca="false">IF(AC5297,IF(01_因子設定!$B$13="最大化",AA5297-01_因子設定!$B$14,IF(01_因子設定!$B$13="最小化",01_因子設定!$B$15-AB5297,MIN(AA5297-01_因子設定!$B$14,01_因子設定!$B$15-AB5297))),-1E+030)</f>
        <v>-3.27347502651594</v>
      </c>
      <c r="AE5297" s="55" t="n">
        <f aca="false">IF(AC5297,IF(01_因子設定!$B$13="最大化",X5297,IF(01_因子設定!$B$13="最小化",-X5297,-ABS(X5297-01_因子設定!$B$16))),-1E+030)</f>
        <v>44.8010325292398</v>
      </c>
      <c r="AF5297" s="55" t="n">
        <f aca="false">AD5297+ROW()*0.000000001</f>
        <v>-3.27346972951594</v>
      </c>
      <c r="AG5297" s="55" t="n">
        <f aca="false">AE5297+ROW()*0.000000001</f>
        <v>44.8010378262398</v>
      </c>
    </row>
    <row r="5298" customFormat="false" ht="15" hidden="false" customHeight="false" outlineLevel="0" collapsed="false">
      <c r="A5298" s="0" t="n">
        <v>7</v>
      </c>
      <c r="B5298" s="0" t="n">
        <v>2</v>
      </c>
      <c r="C5298" s="0" t="n">
        <v>3</v>
      </c>
      <c r="D5298" s="0" t="n">
        <v>1</v>
      </c>
      <c r="E5298" s="0" t="n">
        <f aca="false">-1+A5298*0.25</f>
        <v>0.75</v>
      </c>
      <c r="F5298" s="0" t="n">
        <f aca="false">-1+B5298*0.25</f>
        <v>-0.5</v>
      </c>
      <c r="G5298" s="0" t="n">
        <f aca="false">-1+C5298*0.25</f>
        <v>-0.25</v>
      </c>
      <c r="H5298" s="0" t="n">
        <f aca="false">-1+D5298*0.25</f>
        <v>-0.75</v>
      </c>
      <c r="I5298" s="0" t="n">
        <f aca="false">1</f>
        <v>1</v>
      </c>
      <c r="J5298" s="0" t="n">
        <f aca="false">E5298</f>
        <v>0.75</v>
      </c>
      <c r="K5298" s="0" t="n">
        <f aca="false">F5298</f>
        <v>-0.5</v>
      </c>
      <c r="L5298" s="0" t="n">
        <f aca="false">G5298</f>
        <v>-0.25</v>
      </c>
      <c r="M5298" s="0" t="n">
        <f aca="false">H5298</f>
        <v>-0.75</v>
      </c>
      <c r="N5298" s="0" t="n">
        <f aca="false">E5298*F5298</f>
        <v>-0.375</v>
      </c>
      <c r="O5298" s="0" t="n">
        <f aca="false">E5298*G5298</f>
        <v>-0.1875</v>
      </c>
      <c r="P5298" s="0" t="n">
        <f aca="false">E5298*H5298</f>
        <v>-0.5625</v>
      </c>
      <c r="Q5298" s="0" t="n">
        <f aca="false">F5298*G5298</f>
        <v>0.125</v>
      </c>
      <c r="R5298" s="0" t="n">
        <f aca="false">F5298*H5298</f>
        <v>0.375</v>
      </c>
      <c r="S5298" s="0" t="n">
        <f aca="false">G5298*H5298</f>
        <v>0.1875</v>
      </c>
      <c r="T5298" s="0" t="n">
        <f aca="false">E5298*E5298</f>
        <v>0.5625</v>
      </c>
      <c r="U5298" s="0" t="n">
        <f aca="false">F5298*F5298</f>
        <v>0.25</v>
      </c>
      <c r="V5298" s="0" t="n">
        <f aca="false">G5298*G5298</f>
        <v>0.0625</v>
      </c>
      <c r="W5298" s="0" t="n">
        <f aca="false">H5298*H5298</f>
        <v>0.5625</v>
      </c>
      <c r="X5298" s="0" t="n">
        <f aca="false">SUMPRODUCT(I5298:W5298,_XtX!$B$96:$P$96)</f>
        <v>45.1017772295322</v>
      </c>
      <c r="Y5298" s="0" t="n">
        <f aca="false">SUMPRODUCT(MMULT(I5298:W5298,_XtX!$B$78:$P$92),I5298:W5298)</f>
        <v>0.257385610836988</v>
      </c>
      <c r="Z5298" s="0" t="n">
        <f aca="false">04_回帰ANOVA!$K$19*04_回帰ANOVA!$K$14*SQRT(1+Y5298)</f>
        <v>1.46161380324158</v>
      </c>
      <c r="AA5298" s="0" t="n">
        <f aca="false">X5298-Z5298</f>
        <v>43.6401634262906</v>
      </c>
      <c r="AB5298" s="0" t="n">
        <f aca="false">X5298+Z5298</f>
        <v>46.5633910327738</v>
      </c>
      <c r="AC5298" s="54" t="b">
        <f aca="false">AND(E5298&gt;=01_因子設定!$L$5-0.000000001,E5298&lt;=01_因子設定!$M$5+0.000000001,F5298&gt;=01_因子設定!$L$6-0.000000001,F5298&lt;=01_因子設定!$M$6+0.000000001,G5298&gt;=01_因子設定!$L$7-0.000000001,G5298&lt;=01_因子設定!$M$7+0.000000001,H5298&gt;=01_因子設定!$L$8-0.000000001,H5298&lt;=01_因子設定!$M$8+0.000000001,IF(01_因子設定!$B$20="Box-Behnken",E5298^2+F5298^2+G5298^2+H5298^2&lt;=2+0.000000001,TRUE()))</f>
        <v>1</v>
      </c>
      <c r="AD5298" s="55" t="n">
        <f aca="false">IF(AC5298,IF(01_因子設定!$B$13="最大化",AA5298-01_因子設定!$B$14,IF(01_因子設定!$B$13="最小化",01_因子設定!$B$15-AB5298,MIN(AA5298-01_因子設定!$B$14,01_因子設定!$B$15-AB5298))),-1E+030)</f>
        <v>-2.85983657370942</v>
      </c>
      <c r="AE5298" s="55" t="n">
        <f aca="false">IF(AC5298,IF(01_因子設定!$B$13="最大化",X5298,IF(01_因子設定!$B$13="最小化",-X5298,-ABS(X5298-01_因子設定!$B$16))),-1E+030)</f>
        <v>45.1017772295322</v>
      </c>
      <c r="AF5298" s="55" t="n">
        <f aca="false">AD5298+ROW()*0.000000001</f>
        <v>-2.85983127570942</v>
      </c>
      <c r="AG5298" s="55" t="n">
        <f aca="false">AE5298+ROW()*0.000000001</f>
        <v>45.1017825275322</v>
      </c>
    </row>
    <row r="5299" customFormat="false" ht="15" hidden="false" customHeight="false" outlineLevel="0" collapsed="false">
      <c r="A5299" s="0" t="n">
        <v>7</v>
      </c>
      <c r="B5299" s="0" t="n">
        <v>2</v>
      </c>
      <c r="C5299" s="0" t="n">
        <v>3</v>
      </c>
      <c r="D5299" s="0" t="n">
        <v>2</v>
      </c>
      <c r="E5299" s="0" t="n">
        <f aca="false">-1+A5299*0.25</f>
        <v>0.75</v>
      </c>
      <c r="F5299" s="0" t="n">
        <f aca="false">-1+B5299*0.25</f>
        <v>-0.5</v>
      </c>
      <c r="G5299" s="0" t="n">
        <f aca="false">-1+C5299*0.25</f>
        <v>-0.25</v>
      </c>
      <c r="H5299" s="0" t="n">
        <f aca="false">-1+D5299*0.25</f>
        <v>-0.5</v>
      </c>
      <c r="I5299" s="0" t="n">
        <f aca="false">1</f>
        <v>1</v>
      </c>
      <c r="J5299" s="0" t="n">
        <f aca="false">E5299</f>
        <v>0.75</v>
      </c>
      <c r="K5299" s="0" t="n">
        <f aca="false">F5299</f>
        <v>-0.5</v>
      </c>
      <c r="L5299" s="0" t="n">
        <f aca="false">G5299</f>
        <v>-0.25</v>
      </c>
      <c r="M5299" s="0" t="n">
        <f aca="false">H5299</f>
        <v>-0.5</v>
      </c>
      <c r="N5299" s="0" t="n">
        <f aca="false">E5299*F5299</f>
        <v>-0.375</v>
      </c>
      <c r="O5299" s="0" t="n">
        <f aca="false">E5299*G5299</f>
        <v>-0.1875</v>
      </c>
      <c r="P5299" s="0" t="n">
        <f aca="false">E5299*H5299</f>
        <v>-0.375</v>
      </c>
      <c r="Q5299" s="0" t="n">
        <f aca="false">F5299*G5299</f>
        <v>0.125</v>
      </c>
      <c r="R5299" s="0" t="n">
        <f aca="false">F5299*H5299</f>
        <v>0.25</v>
      </c>
      <c r="S5299" s="0" t="n">
        <f aca="false">G5299*H5299</f>
        <v>0.125</v>
      </c>
      <c r="T5299" s="0" t="n">
        <f aca="false">E5299*E5299</f>
        <v>0.5625</v>
      </c>
      <c r="U5299" s="0" t="n">
        <f aca="false">F5299*F5299</f>
        <v>0.25</v>
      </c>
      <c r="V5299" s="0" t="n">
        <f aca="false">G5299*G5299</f>
        <v>0.0625</v>
      </c>
      <c r="W5299" s="0" t="n">
        <f aca="false">H5299*H5299</f>
        <v>0.25</v>
      </c>
      <c r="X5299" s="0" t="n">
        <f aca="false">SUMPRODUCT(I5299:W5299,_XtX!$B$96:$P$96)</f>
        <v>45.3547149122807</v>
      </c>
      <c r="Y5299" s="0" t="n">
        <f aca="false">SUMPRODUCT(MMULT(I5299:W5299,_XtX!$B$78:$P$92),I5299:W5299)</f>
        <v>0.203746059484649</v>
      </c>
      <c r="Z5299" s="0" t="n">
        <f aca="false">04_回帰ANOVA!$K$19*04_回帰ANOVA!$K$14*SQRT(1+Y5299)</f>
        <v>1.43009810755465</v>
      </c>
      <c r="AA5299" s="0" t="n">
        <f aca="false">X5299-Z5299</f>
        <v>43.9246168047261</v>
      </c>
      <c r="AB5299" s="0" t="n">
        <f aca="false">X5299+Z5299</f>
        <v>46.7848130198354</v>
      </c>
      <c r="AC5299" s="54" t="b">
        <f aca="false">AND(E5299&gt;=01_因子設定!$L$5-0.000000001,E5299&lt;=01_因子設定!$M$5+0.000000001,F5299&gt;=01_因子設定!$L$6-0.000000001,F5299&lt;=01_因子設定!$M$6+0.000000001,G5299&gt;=01_因子設定!$L$7-0.000000001,G5299&lt;=01_因子設定!$M$7+0.000000001,H5299&gt;=01_因子設定!$L$8-0.000000001,H5299&lt;=01_因子設定!$M$8+0.000000001,IF(01_因子設定!$B$20="Box-Behnken",E5299^2+F5299^2+G5299^2+H5299^2&lt;=2+0.000000001,TRUE()))</f>
        <v>1</v>
      </c>
      <c r="AD5299" s="55" t="n">
        <f aca="false">IF(AC5299,IF(01_因子設定!$B$13="最大化",AA5299-01_因子設定!$B$14,IF(01_因子設定!$B$13="最小化",01_因子設定!$B$15-AB5299,MIN(AA5299-01_因子設定!$B$14,01_因子設定!$B$15-AB5299))),-1E+030)</f>
        <v>-2.57538319527395</v>
      </c>
      <c r="AE5299" s="55" t="n">
        <f aca="false">IF(AC5299,IF(01_因子設定!$B$13="最大化",X5299,IF(01_因子設定!$B$13="最小化",-X5299,-ABS(X5299-01_因子設定!$B$16))),-1E+030)</f>
        <v>45.3547149122807</v>
      </c>
      <c r="AF5299" s="55" t="n">
        <f aca="false">AD5299+ROW()*0.000000001</f>
        <v>-2.57537789627395</v>
      </c>
      <c r="AG5299" s="55" t="n">
        <f aca="false">AE5299+ROW()*0.000000001</f>
        <v>45.3547202112807</v>
      </c>
    </row>
    <row r="5300" customFormat="false" ht="15" hidden="false" customHeight="false" outlineLevel="0" collapsed="false">
      <c r="A5300" s="0" t="n">
        <v>7</v>
      </c>
      <c r="B5300" s="0" t="n">
        <v>2</v>
      </c>
      <c r="C5300" s="0" t="n">
        <v>3</v>
      </c>
      <c r="D5300" s="0" t="n">
        <v>3</v>
      </c>
      <c r="E5300" s="0" t="n">
        <f aca="false">-1+A5300*0.25</f>
        <v>0.75</v>
      </c>
      <c r="F5300" s="0" t="n">
        <f aca="false">-1+B5300*0.25</f>
        <v>-0.5</v>
      </c>
      <c r="G5300" s="0" t="n">
        <f aca="false">-1+C5300*0.25</f>
        <v>-0.25</v>
      </c>
      <c r="H5300" s="0" t="n">
        <f aca="false">-1+D5300*0.25</f>
        <v>-0.25</v>
      </c>
      <c r="I5300" s="0" t="n">
        <f aca="false">1</f>
        <v>1</v>
      </c>
      <c r="J5300" s="0" t="n">
        <f aca="false">E5300</f>
        <v>0.75</v>
      </c>
      <c r="K5300" s="0" t="n">
        <f aca="false">F5300</f>
        <v>-0.5</v>
      </c>
      <c r="L5300" s="0" t="n">
        <f aca="false">G5300</f>
        <v>-0.25</v>
      </c>
      <c r="M5300" s="0" t="n">
        <f aca="false">H5300</f>
        <v>-0.25</v>
      </c>
      <c r="N5300" s="0" t="n">
        <f aca="false">E5300*F5300</f>
        <v>-0.375</v>
      </c>
      <c r="O5300" s="0" t="n">
        <f aca="false">E5300*G5300</f>
        <v>-0.1875</v>
      </c>
      <c r="P5300" s="0" t="n">
        <f aca="false">E5300*H5300</f>
        <v>-0.1875</v>
      </c>
      <c r="Q5300" s="0" t="n">
        <f aca="false">F5300*G5300</f>
        <v>0.125</v>
      </c>
      <c r="R5300" s="0" t="n">
        <f aca="false">F5300*H5300</f>
        <v>0.125</v>
      </c>
      <c r="S5300" s="0" t="n">
        <f aca="false">G5300*H5300</f>
        <v>0.0625</v>
      </c>
      <c r="T5300" s="0" t="n">
        <f aca="false">E5300*E5300</f>
        <v>0.5625</v>
      </c>
      <c r="U5300" s="0" t="n">
        <f aca="false">F5300*F5300</f>
        <v>0.25</v>
      </c>
      <c r="V5300" s="0" t="n">
        <f aca="false">G5300*G5300</f>
        <v>0.0625</v>
      </c>
      <c r="W5300" s="0" t="n">
        <f aca="false">H5300*H5300</f>
        <v>0.0625</v>
      </c>
      <c r="X5300" s="0" t="n">
        <f aca="false">SUMPRODUCT(I5300:W5300,_XtX!$B$96:$P$96)</f>
        <v>45.5598455774854</v>
      </c>
      <c r="Y5300" s="0" t="n">
        <f aca="false">SUMPRODUCT(MMULT(I5300:W5300,_XtX!$B$78:$P$92),I5300:W5300)</f>
        <v>0.207746539199561</v>
      </c>
      <c r="Z5300" s="0" t="n">
        <f aca="false">04_回帰ANOVA!$K$19*04_回帰ANOVA!$K$14*SQRT(1+Y5300)</f>
        <v>1.43247250081141</v>
      </c>
      <c r="AA5300" s="0" t="n">
        <f aca="false">X5300-Z5300</f>
        <v>44.127373076674</v>
      </c>
      <c r="AB5300" s="0" t="n">
        <f aca="false">X5300+Z5300</f>
        <v>46.9923180782968</v>
      </c>
      <c r="AC5300" s="54" t="b">
        <f aca="false">AND(E5300&gt;=01_因子設定!$L$5-0.000000001,E5300&lt;=01_因子設定!$M$5+0.000000001,F5300&gt;=01_因子設定!$L$6-0.000000001,F5300&lt;=01_因子設定!$M$6+0.000000001,G5300&gt;=01_因子設定!$L$7-0.000000001,G5300&lt;=01_因子設定!$M$7+0.000000001,H5300&gt;=01_因子設定!$L$8-0.000000001,H5300&lt;=01_因子設定!$M$8+0.000000001,IF(01_因子設定!$B$20="Box-Behnken",E5300^2+F5300^2+G5300^2+H5300^2&lt;=2+0.000000001,TRUE()))</f>
        <v>1</v>
      </c>
      <c r="AD5300" s="55" t="n">
        <f aca="false">IF(AC5300,IF(01_因子設定!$B$13="最大化",AA5300-01_因子設定!$B$14,IF(01_因子設定!$B$13="最小化",01_因子設定!$B$15-AB5300,MIN(AA5300-01_因子設定!$B$14,01_因子設定!$B$15-AB5300))),-1E+030)</f>
        <v>-2.37262692332604</v>
      </c>
      <c r="AE5300" s="55" t="n">
        <f aca="false">IF(AC5300,IF(01_因子設定!$B$13="最大化",X5300,IF(01_因子設定!$B$13="最小化",-X5300,-ABS(X5300-01_因子設定!$B$16))),-1E+030)</f>
        <v>45.5598455774854</v>
      </c>
      <c r="AF5300" s="55" t="n">
        <f aca="false">AD5300+ROW()*0.000000001</f>
        <v>-2.37262162332604</v>
      </c>
      <c r="AG5300" s="55" t="n">
        <f aca="false">AE5300+ROW()*0.000000001</f>
        <v>45.5598508774854</v>
      </c>
    </row>
    <row r="5301" customFormat="false" ht="15" hidden="false" customHeight="false" outlineLevel="0" collapsed="false">
      <c r="A5301" s="0" t="n">
        <v>7</v>
      </c>
      <c r="B5301" s="0" t="n">
        <v>2</v>
      </c>
      <c r="C5301" s="0" t="n">
        <v>3</v>
      </c>
      <c r="D5301" s="0" t="n">
        <v>4</v>
      </c>
      <c r="E5301" s="0" t="n">
        <f aca="false">-1+A5301*0.25</f>
        <v>0.75</v>
      </c>
      <c r="F5301" s="0" t="n">
        <f aca="false">-1+B5301*0.25</f>
        <v>-0.5</v>
      </c>
      <c r="G5301" s="0" t="n">
        <f aca="false">-1+C5301*0.25</f>
        <v>-0.25</v>
      </c>
      <c r="H5301" s="0" t="n">
        <f aca="false">-1+D5301*0.25</f>
        <v>0</v>
      </c>
      <c r="I5301" s="0" t="n">
        <f aca="false">1</f>
        <v>1</v>
      </c>
      <c r="J5301" s="0" t="n">
        <f aca="false">E5301</f>
        <v>0.75</v>
      </c>
      <c r="K5301" s="0" t="n">
        <f aca="false">F5301</f>
        <v>-0.5</v>
      </c>
      <c r="L5301" s="0" t="n">
        <f aca="false">G5301</f>
        <v>-0.25</v>
      </c>
      <c r="M5301" s="0" t="n">
        <f aca="false">H5301</f>
        <v>0</v>
      </c>
      <c r="N5301" s="0" t="n">
        <f aca="false">E5301*F5301</f>
        <v>-0.375</v>
      </c>
      <c r="O5301" s="0" t="n">
        <f aca="false">E5301*G5301</f>
        <v>-0.1875</v>
      </c>
      <c r="P5301" s="0" t="n">
        <f aca="false">E5301*H5301</f>
        <v>0</v>
      </c>
      <c r="Q5301" s="0" t="n">
        <f aca="false">F5301*G5301</f>
        <v>0.125</v>
      </c>
      <c r="R5301" s="0" t="n">
        <f aca="false">F5301*H5301</f>
        <v>-0</v>
      </c>
      <c r="S5301" s="0" t="n">
        <f aca="false">G5301*H5301</f>
        <v>-0</v>
      </c>
      <c r="T5301" s="0" t="n">
        <f aca="false">E5301*E5301</f>
        <v>0.5625</v>
      </c>
      <c r="U5301" s="0" t="n">
        <f aca="false">F5301*F5301</f>
        <v>0.25</v>
      </c>
      <c r="V5301" s="0" t="n">
        <f aca="false">G5301*G5301</f>
        <v>0.0625</v>
      </c>
      <c r="W5301" s="0" t="n">
        <f aca="false">H5301*H5301</f>
        <v>0</v>
      </c>
      <c r="X5301" s="0" t="n">
        <f aca="false">SUMPRODUCT(I5301:W5301,_XtX!$B$96:$P$96)</f>
        <v>45.7171692251462</v>
      </c>
      <c r="Y5301" s="0" t="n">
        <f aca="false">SUMPRODUCT(MMULT(I5301:W5301,_XtX!$B$78:$P$92),I5301:W5301)</f>
        <v>0.215110734192252</v>
      </c>
      <c r="Z5301" s="0" t="n">
        <f aca="false">04_回帰ANOVA!$K$19*04_回帰ANOVA!$K$14*SQRT(1+Y5301)</f>
        <v>1.43683309086864</v>
      </c>
      <c r="AA5301" s="0" t="n">
        <f aca="false">X5301-Z5301</f>
        <v>44.2803361342775</v>
      </c>
      <c r="AB5301" s="0" t="n">
        <f aca="false">X5301+Z5301</f>
        <v>47.1540023160148</v>
      </c>
      <c r="AC5301" s="54" t="b">
        <f aca="false">AND(E5301&gt;=01_因子設定!$L$5-0.000000001,E5301&lt;=01_因子設定!$M$5+0.000000001,F5301&gt;=01_因子設定!$L$6-0.000000001,F5301&lt;=01_因子設定!$M$6+0.000000001,G5301&gt;=01_因子設定!$L$7-0.000000001,G5301&lt;=01_因子設定!$M$7+0.000000001,H5301&gt;=01_因子設定!$L$8-0.000000001,H5301&lt;=01_因子設定!$M$8+0.000000001,IF(01_因子設定!$B$20="Box-Behnken",E5301^2+F5301^2+G5301^2+H5301^2&lt;=2+0.000000001,TRUE()))</f>
        <v>1</v>
      </c>
      <c r="AD5301" s="55" t="n">
        <f aca="false">IF(AC5301,IF(01_因子設定!$B$13="最大化",AA5301-01_因子設定!$B$14,IF(01_因子設定!$B$13="最小化",01_因子設定!$B$15-AB5301,MIN(AA5301-01_因子設定!$B$14,01_因子設定!$B$15-AB5301))),-1E+030)</f>
        <v>-2.21966386572246</v>
      </c>
      <c r="AE5301" s="55" t="n">
        <f aca="false">IF(AC5301,IF(01_因子設定!$B$13="最大化",X5301,IF(01_因子設定!$B$13="最小化",-X5301,-ABS(X5301-01_因子設定!$B$16))),-1E+030)</f>
        <v>45.7171692251462</v>
      </c>
      <c r="AF5301" s="55" t="n">
        <f aca="false">AD5301+ROW()*0.000000001</f>
        <v>-2.21965856472246</v>
      </c>
      <c r="AG5301" s="55" t="n">
        <f aca="false">AE5301+ROW()*0.000000001</f>
        <v>45.7171745261462</v>
      </c>
    </row>
    <row r="5302" customFormat="false" ht="15" hidden="false" customHeight="false" outlineLevel="0" collapsed="false">
      <c r="A5302" s="0" t="n">
        <v>7</v>
      </c>
      <c r="B5302" s="0" t="n">
        <v>2</v>
      </c>
      <c r="C5302" s="0" t="n">
        <v>3</v>
      </c>
      <c r="D5302" s="0" t="n">
        <v>5</v>
      </c>
      <c r="E5302" s="0" t="n">
        <f aca="false">-1+A5302*0.25</f>
        <v>0.75</v>
      </c>
      <c r="F5302" s="0" t="n">
        <f aca="false">-1+B5302*0.25</f>
        <v>-0.5</v>
      </c>
      <c r="G5302" s="0" t="n">
        <f aca="false">-1+C5302*0.25</f>
        <v>-0.25</v>
      </c>
      <c r="H5302" s="0" t="n">
        <f aca="false">-1+D5302*0.25</f>
        <v>0.25</v>
      </c>
      <c r="I5302" s="0" t="n">
        <f aca="false">1</f>
        <v>1</v>
      </c>
      <c r="J5302" s="0" t="n">
        <f aca="false">E5302</f>
        <v>0.75</v>
      </c>
      <c r="K5302" s="0" t="n">
        <f aca="false">F5302</f>
        <v>-0.5</v>
      </c>
      <c r="L5302" s="0" t="n">
        <f aca="false">G5302</f>
        <v>-0.25</v>
      </c>
      <c r="M5302" s="0" t="n">
        <f aca="false">H5302</f>
        <v>0.25</v>
      </c>
      <c r="N5302" s="0" t="n">
        <f aca="false">E5302*F5302</f>
        <v>-0.375</v>
      </c>
      <c r="O5302" s="0" t="n">
        <f aca="false">E5302*G5302</f>
        <v>-0.1875</v>
      </c>
      <c r="P5302" s="0" t="n">
        <f aca="false">E5302*H5302</f>
        <v>0.1875</v>
      </c>
      <c r="Q5302" s="0" t="n">
        <f aca="false">F5302*G5302</f>
        <v>0.125</v>
      </c>
      <c r="R5302" s="0" t="n">
        <f aca="false">F5302*H5302</f>
        <v>-0.125</v>
      </c>
      <c r="S5302" s="0" t="n">
        <f aca="false">G5302*H5302</f>
        <v>-0.0625</v>
      </c>
      <c r="T5302" s="0" t="n">
        <f aca="false">E5302*E5302</f>
        <v>0.5625</v>
      </c>
      <c r="U5302" s="0" t="n">
        <f aca="false">F5302*F5302</f>
        <v>0.25</v>
      </c>
      <c r="V5302" s="0" t="n">
        <f aca="false">G5302*G5302</f>
        <v>0.0625</v>
      </c>
      <c r="W5302" s="0" t="n">
        <f aca="false">H5302*H5302</f>
        <v>0.0625</v>
      </c>
      <c r="X5302" s="0" t="n">
        <f aca="false">SUMPRODUCT(I5302:W5302,_XtX!$B$96:$P$96)</f>
        <v>45.8266858552631</v>
      </c>
      <c r="Y5302" s="0" t="n">
        <f aca="false">SUMPRODUCT(MMULT(I5302:W5302,_XtX!$B$78:$P$92),I5302:W5302)</f>
        <v>0.207746539199561</v>
      </c>
      <c r="Z5302" s="0" t="n">
        <f aca="false">04_回帰ANOVA!$K$19*04_回帰ANOVA!$K$14*SQRT(1+Y5302)</f>
        <v>1.43247250081141</v>
      </c>
      <c r="AA5302" s="0" t="n">
        <f aca="false">X5302-Z5302</f>
        <v>44.3942133544517</v>
      </c>
      <c r="AB5302" s="0" t="n">
        <f aca="false">X5302+Z5302</f>
        <v>47.2591583560746</v>
      </c>
      <c r="AC5302" s="54" t="b">
        <f aca="false">AND(E5302&gt;=01_因子設定!$L$5-0.000000001,E5302&lt;=01_因子設定!$M$5+0.000000001,F5302&gt;=01_因子設定!$L$6-0.000000001,F5302&lt;=01_因子設定!$M$6+0.000000001,G5302&gt;=01_因子設定!$L$7-0.000000001,G5302&lt;=01_因子設定!$M$7+0.000000001,H5302&gt;=01_因子設定!$L$8-0.000000001,H5302&lt;=01_因子設定!$M$8+0.000000001,IF(01_因子設定!$B$20="Box-Behnken",E5302^2+F5302^2+G5302^2+H5302^2&lt;=2+0.000000001,TRUE()))</f>
        <v>1</v>
      </c>
      <c r="AD5302" s="55" t="n">
        <f aca="false">IF(AC5302,IF(01_因子設定!$B$13="最大化",AA5302-01_因子設定!$B$14,IF(01_因子設定!$B$13="最小化",01_因子設定!$B$15-AB5302,MIN(AA5302-01_因子設定!$B$14,01_因子設定!$B$15-AB5302))),-1E+030)</f>
        <v>-2.10578664554826</v>
      </c>
      <c r="AE5302" s="55" t="n">
        <f aca="false">IF(AC5302,IF(01_因子設定!$B$13="最大化",X5302,IF(01_因子設定!$B$13="最小化",-X5302,-ABS(X5302-01_因子設定!$B$16))),-1E+030)</f>
        <v>45.8266858552631</v>
      </c>
      <c r="AF5302" s="55" t="n">
        <f aca="false">AD5302+ROW()*0.000000001</f>
        <v>-2.10578134354826</v>
      </c>
      <c r="AG5302" s="55" t="n">
        <f aca="false">AE5302+ROW()*0.000000001</f>
        <v>45.8266911572631</v>
      </c>
    </row>
    <row r="5303" customFormat="false" ht="15" hidden="false" customHeight="false" outlineLevel="0" collapsed="false">
      <c r="A5303" s="0" t="n">
        <v>7</v>
      </c>
      <c r="B5303" s="0" t="n">
        <v>2</v>
      </c>
      <c r="C5303" s="0" t="n">
        <v>3</v>
      </c>
      <c r="D5303" s="0" t="n">
        <v>6</v>
      </c>
      <c r="E5303" s="0" t="n">
        <f aca="false">-1+A5303*0.25</f>
        <v>0.75</v>
      </c>
      <c r="F5303" s="0" t="n">
        <f aca="false">-1+B5303*0.25</f>
        <v>-0.5</v>
      </c>
      <c r="G5303" s="0" t="n">
        <f aca="false">-1+C5303*0.25</f>
        <v>-0.25</v>
      </c>
      <c r="H5303" s="0" t="n">
        <f aca="false">-1+D5303*0.25</f>
        <v>0.5</v>
      </c>
      <c r="I5303" s="0" t="n">
        <f aca="false">1</f>
        <v>1</v>
      </c>
      <c r="J5303" s="0" t="n">
        <f aca="false">E5303</f>
        <v>0.75</v>
      </c>
      <c r="K5303" s="0" t="n">
        <f aca="false">F5303</f>
        <v>-0.5</v>
      </c>
      <c r="L5303" s="0" t="n">
        <f aca="false">G5303</f>
        <v>-0.25</v>
      </c>
      <c r="M5303" s="0" t="n">
        <f aca="false">H5303</f>
        <v>0.5</v>
      </c>
      <c r="N5303" s="0" t="n">
        <f aca="false">E5303*F5303</f>
        <v>-0.375</v>
      </c>
      <c r="O5303" s="0" t="n">
        <f aca="false">E5303*G5303</f>
        <v>-0.1875</v>
      </c>
      <c r="P5303" s="0" t="n">
        <f aca="false">E5303*H5303</f>
        <v>0.375</v>
      </c>
      <c r="Q5303" s="0" t="n">
        <f aca="false">F5303*G5303</f>
        <v>0.125</v>
      </c>
      <c r="R5303" s="0" t="n">
        <f aca="false">F5303*H5303</f>
        <v>-0.25</v>
      </c>
      <c r="S5303" s="0" t="n">
        <f aca="false">G5303*H5303</f>
        <v>-0.125</v>
      </c>
      <c r="T5303" s="0" t="n">
        <f aca="false">E5303*E5303</f>
        <v>0.5625</v>
      </c>
      <c r="U5303" s="0" t="n">
        <f aca="false">F5303*F5303</f>
        <v>0.25</v>
      </c>
      <c r="V5303" s="0" t="n">
        <f aca="false">G5303*G5303</f>
        <v>0.0625</v>
      </c>
      <c r="W5303" s="0" t="n">
        <f aca="false">H5303*H5303</f>
        <v>0.25</v>
      </c>
      <c r="X5303" s="0" t="n">
        <f aca="false">SUMPRODUCT(I5303:W5303,_XtX!$B$96:$P$96)</f>
        <v>45.8883954678363</v>
      </c>
      <c r="Y5303" s="0" t="n">
        <f aca="false">SUMPRODUCT(MMULT(I5303:W5303,_XtX!$B$78:$P$92),I5303:W5303)</f>
        <v>0.203746059484649</v>
      </c>
      <c r="Z5303" s="0" t="n">
        <f aca="false">04_回帰ANOVA!$K$19*04_回帰ANOVA!$K$14*SQRT(1+Y5303)</f>
        <v>1.43009810755465</v>
      </c>
      <c r="AA5303" s="0" t="n">
        <f aca="false">X5303-Z5303</f>
        <v>44.4582973602816</v>
      </c>
      <c r="AB5303" s="0" t="n">
        <f aca="false">X5303+Z5303</f>
        <v>47.3184935753909</v>
      </c>
      <c r="AC5303" s="54" t="b">
        <f aca="false">AND(E5303&gt;=01_因子設定!$L$5-0.000000001,E5303&lt;=01_因子設定!$M$5+0.000000001,F5303&gt;=01_因子設定!$L$6-0.000000001,F5303&lt;=01_因子設定!$M$6+0.000000001,G5303&gt;=01_因子設定!$L$7-0.000000001,G5303&lt;=01_因子設定!$M$7+0.000000001,H5303&gt;=01_因子設定!$L$8-0.000000001,H5303&lt;=01_因子設定!$M$8+0.000000001,IF(01_因子設定!$B$20="Box-Behnken",E5303^2+F5303^2+G5303^2+H5303^2&lt;=2+0.000000001,TRUE()))</f>
        <v>1</v>
      </c>
      <c r="AD5303" s="55" t="n">
        <f aca="false">IF(AC5303,IF(01_因子設定!$B$13="最大化",AA5303-01_因子設定!$B$14,IF(01_因子設定!$B$13="最小化",01_因子設定!$B$15-AB5303,MIN(AA5303-01_因子設定!$B$14,01_因子設定!$B$15-AB5303))),-1E+030)</f>
        <v>-2.0417026397184</v>
      </c>
      <c r="AE5303" s="55" t="n">
        <f aca="false">IF(AC5303,IF(01_因子設定!$B$13="最大化",X5303,IF(01_因子設定!$B$13="最小化",-X5303,-ABS(X5303-01_因子設定!$B$16))),-1E+030)</f>
        <v>45.8883954678363</v>
      </c>
      <c r="AF5303" s="55" t="n">
        <f aca="false">AD5303+ROW()*0.000000001</f>
        <v>-2.0416973367184</v>
      </c>
      <c r="AG5303" s="55" t="n">
        <f aca="false">AE5303+ROW()*0.000000001</f>
        <v>45.8884007708363</v>
      </c>
    </row>
    <row r="5304" customFormat="false" ht="15" hidden="false" customHeight="false" outlineLevel="0" collapsed="false">
      <c r="A5304" s="0" t="n">
        <v>7</v>
      </c>
      <c r="B5304" s="0" t="n">
        <v>2</v>
      </c>
      <c r="C5304" s="0" t="n">
        <v>3</v>
      </c>
      <c r="D5304" s="0" t="n">
        <v>7</v>
      </c>
      <c r="E5304" s="0" t="n">
        <f aca="false">-1+A5304*0.25</f>
        <v>0.75</v>
      </c>
      <c r="F5304" s="0" t="n">
        <f aca="false">-1+B5304*0.25</f>
        <v>-0.5</v>
      </c>
      <c r="G5304" s="0" t="n">
        <f aca="false">-1+C5304*0.25</f>
        <v>-0.25</v>
      </c>
      <c r="H5304" s="0" t="n">
        <f aca="false">-1+D5304*0.25</f>
        <v>0.75</v>
      </c>
      <c r="I5304" s="0" t="n">
        <f aca="false">1</f>
        <v>1</v>
      </c>
      <c r="J5304" s="0" t="n">
        <f aca="false">E5304</f>
        <v>0.75</v>
      </c>
      <c r="K5304" s="0" t="n">
        <f aca="false">F5304</f>
        <v>-0.5</v>
      </c>
      <c r="L5304" s="0" t="n">
        <f aca="false">G5304</f>
        <v>-0.25</v>
      </c>
      <c r="M5304" s="0" t="n">
        <f aca="false">H5304</f>
        <v>0.75</v>
      </c>
      <c r="N5304" s="0" t="n">
        <f aca="false">E5304*F5304</f>
        <v>-0.375</v>
      </c>
      <c r="O5304" s="0" t="n">
        <f aca="false">E5304*G5304</f>
        <v>-0.1875</v>
      </c>
      <c r="P5304" s="0" t="n">
        <f aca="false">E5304*H5304</f>
        <v>0.5625</v>
      </c>
      <c r="Q5304" s="0" t="n">
        <f aca="false">F5304*G5304</f>
        <v>0.125</v>
      </c>
      <c r="R5304" s="0" t="n">
        <f aca="false">F5304*H5304</f>
        <v>-0.375</v>
      </c>
      <c r="S5304" s="0" t="n">
        <f aca="false">G5304*H5304</f>
        <v>-0.1875</v>
      </c>
      <c r="T5304" s="0" t="n">
        <f aca="false">E5304*E5304</f>
        <v>0.5625</v>
      </c>
      <c r="U5304" s="0" t="n">
        <f aca="false">F5304*F5304</f>
        <v>0.25</v>
      </c>
      <c r="V5304" s="0" t="n">
        <f aca="false">G5304*G5304</f>
        <v>0.0625</v>
      </c>
      <c r="W5304" s="0" t="n">
        <f aca="false">H5304*H5304</f>
        <v>0.5625</v>
      </c>
      <c r="X5304" s="0" t="n">
        <f aca="false">SUMPRODUCT(I5304:W5304,_XtX!$B$96:$P$96)</f>
        <v>45.9022980628655</v>
      </c>
      <c r="Y5304" s="0" t="n">
        <f aca="false">SUMPRODUCT(MMULT(I5304:W5304,_XtX!$B$78:$P$92),I5304:W5304)</f>
        <v>0.257385610836988</v>
      </c>
      <c r="Z5304" s="0" t="n">
        <f aca="false">04_回帰ANOVA!$K$19*04_回帰ANOVA!$K$14*SQRT(1+Y5304)</f>
        <v>1.46161380324158</v>
      </c>
      <c r="AA5304" s="0" t="n">
        <f aca="false">X5304-Z5304</f>
        <v>44.4406842596239</v>
      </c>
      <c r="AB5304" s="0" t="n">
        <f aca="false">X5304+Z5304</f>
        <v>47.3639118661071</v>
      </c>
      <c r="AC5304" s="54" t="b">
        <f aca="false">AND(E5304&gt;=01_因子設定!$L$5-0.000000001,E5304&lt;=01_因子設定!$M$5+0.000000001,F5304&gt;=01_因子設定!$L$6-0.000000001,F5304&lt;=01_因子設定!$M$6+0.000000001,G5304&gt;=01_因子設定!$L$7-0.000000001,G5304&lt;=01_因子設定!$M$7+0.000000001,H5304&gt;=01_因子設定!$L$8-0.000000001,H5304&lt;=01_因子設定!$M$8+0.000000001,IF(01_因子設定!$B$20="Box-Behnken",E5304^2+F5304^2+G5304^2+H5304^2&lt;=2+0.000000001,TRUE()))</f>
        <v>1</v>
      </c>
      <c r="AD5304" s="55" t="n">
        <f aca="false">IF(AC5304,IF(01_因子設定!$B$13="最大化",AA5304-01_因子設定!$B$14,IF(01_因子設定!$B$13="最小化",01_因子設定!$B$15-AB5304,MIN(AA5304-01_因子設定!$B$14,01_因子設定!$B$15-AB5304))),-1E+030)</f>
        <v>-2.05931574037608</v>
      </c>
      <c r="AE5304" s="55" t="n">
        <f aca="false">IF(AC5304,IF(01_因子設定!$B$13="最大化",X5304,IF(01_因子設定!$B$13="最小化",-X5304,-ABS(X5304-01_因子設定!$B$16))),-1E+030)</f>
        <v>45.9022980628655</v>
      </c>
      <c r="AF5304" s="55" t="n">
        <f aca="false">AD5304+ROW()*0.000000001</f>
        <v>-2.05931043637608</v>
      </c>
      <c r="AG5304" s="55" t="n">
        <f aca="false">AE5304+ROW()*0.000000001</f>
        <v>45.9023033668655</v>
      </c>
    </row>
    <row r="5305" customFormat="false" ht="15" hidden="false" customHeight="false" outlineLevel="0" collapsed="false">
      <c r="A5305" s="0" t="n">
        <v>7</v>
      </c>
      <c r="B5305" s="0" t="n">
        <v>2</v>
      </c>
      <c r="C5305" s="0" t="n">
        <v>3</v>
      </c>
      <c r="D5305" s="0" t="n">
        <v>8</v>
      </c>
      <c r="E5305" s="0" t="n">
        <f aca="false">-1+A5305*0.25</f>
        <v>0.75</v>
      </c>
      <c r="F5305" s="0" t="n">
        <f aca="false">-1+B5305*0.25</f>
        <v>-0.5</v>
      </c>
      <c r="G5305" s="0" t="n">
        <f aca="false">-1+C5305*0.25</f>
        <v>-0.25</v>
      </c>
      <c r="H5305" s="0" t="n">
        <f aca="false">-1+D5305*0.25</f>
        <v>1</v>
      </c>
      <c r="I5305" s="0" t="n">
        <f aca="false">1</f>
        <v>1</v>
      </c>
      <c r="J5305" s="0" t="n">
        <f aca="false">E5305</f>
        <v>0.75</v>
      </c>
      <c r="K5305" s="0" t="n">
        <f aca="false">F5305</f>
        <v>-0.5</v>
      </c>
      <c r="L5305" s="0" t="n">
        <f aca="false">G5305</f>
        <v>-0.25</v>
      </c>
      <c r="M5305" s="0" t="n">
        <f aca="false">H5305</f>
        <v>1</v>
      </c>
      <c r="N5305" s="0" t="n">
        <f aca="false">E5305*F5305</f>
        <v>-0.375</v>
      </c>
      <c r="O5305" s="0" t="n">
        <f aca="false">E5305*G5305</f>
        <v>-0.1875</v>
      </c>
      <c r="P5305" s="0" t="n">
        <f aca="false">E5305*H5305</f>
        <v>0.75</v>
      </c>
      <c r="Q5305" s="0" t="n">
        <f aca="false">F5305*G5305</f>
        <v>0.125</v>
      </c>
      <c r="R5305" s="0" t="n">
        <f aca="false">F5305*H5305</f>
        <v>-0.5</v>
      </c>
      <c r="S5305" s="0" t="n">
        <f aca="false">G5305*H5305</f>
        <v>-0.25</v>
      </c>
      <c r="T5305" s="0" t="n">
        <f aca="false">E5305*E5305</f>
        <v>0.5625</v>
      </c>
      <c r="U5305" s="0" t="n">
        <f aca="false">F5305*F5305</f>
        <v>0.25</v>
      </c>
      <c r="V5305" s="0" t="n">
        <f aca="false">G5305*G5305</f>
        <v>0.0625</v>
      </c>
      <c r="W5305" s="0" t="n">
        <f aca="false">H5305*H5305</f>
        <v>1</v>
      </c>
      <c r="X5305" s="0" t="n">
        <f aca="false">SUMPRODUCT(I5305:W5305,_XtX!$B$96:$P$96)</f>
        <v>45.8683936403509</v>
      </c>
      <c r="Y5305" s="0" t="n">
        <f aca="false">SUMPRODUCT(MMULT(I5305:W5305,_XtX!$B$78:$P$92),I5305:W5305)</f>
        <v>0.459125719572369</v>
      </c>
      <c r="Z5305" s="0" t="n">
        <f aca="false">04_回帰ANOVA!$K$19*04_回帰ANOVA!$K$14*SQRT(1+Y5305)</f>
        <v>1.57450755575573</v>
      </c>
      <c r="AA5305" s="0" t="n">
        <f aca="false">X5305-Z5305</f>
        <v>44.2938860845952</v>
      </c>
      <c r="AB5305" s="0" t="n">
        <f aca="false">X5305+Z5305</f>
        <v>47.4429011961066</v>
      </c>
      <c r="AC5305" s="54" t="b">
        <f aca="false">AND(E5305&gt;=01_因子設定!$L$5-0.000000001,E5305&lt;=01_因子設定!$M$5+0.000000001,F5305&gt;=01_因子設定!$L$6-0.000000001,F5305&lt;=01_因子設定!$M$6+0.000000001,G5305&gt;=01_因子設定!$L$7-0.000000001,G5305&lt;=01_因子設定!$M$7+0.000000001,H5305&gt;=01_因子設定!$L$8-0.000000001,H5305&lt;=01_因子設定!$M$8+0.000000001,IF(01_因子設定!$B$20="Box-Behnken",E5305^2+F5305^2+G5305^2+H5305^2&lt;=2+0.000000001,TRUE()))</f>
        <v>1</v>
      </c>
      <c r="AD5305" s="55" t="n">
        <f aca="false">IF(AC5305,IF(01_因子設定!$B$13="最大化",AA5305-01_因子設定!$B$14,IF(01_因子設定!$B$13="最小化",01_因子設定!$B$15-AB5305,MIN(AA5305-01_因子設定!$B$14,01_因子設定!$B$15-AB5305))),-1E+030)</f>
        <v>-2.20611391540484</v>
      </c>
      <c r="AE5305" s="55" t="n">
        <f aca="false">IF(AC5305,IF(01_因子設定!$B$13="最大化",X5305,IF(01_因子設定!$B$13="最小化",-X5305,-ABS(X5305-01_因子設定!$B$16))),-1E+030)</f>
        <v>45.8683936403509</v>
      </c>
      <c r="AF5305" s="55" t="n">
        <f aca="false">AD5305+ROW()*0.000000001</f>
        <v>-2.20610861040483</v>
      </c>
      <c r="AG5305" s="55" t="n">
        <f aca="false">AE5305+ROW()*0.000000001</f>
        <v>45.8683989453509</v>
      </c>
    </row>
    <row r="5306" customFormat="false" ht="15" hidden="false" customHeight="false" outlineLevel="0" collapsed="false">
      <c r="A5306" s="0" t="n">
        <v>7</v>
      </c>
      <c r="B5306" s="0" t="n">
        <v>2</v>
      </c>
      <c r="C5306" s="0" t="n">
        <v>4</v>
      </c>
      <c r="D5306" s="0" t="n">
        <v>0</v>
      </c>
      <c r="E5306" s="0" t="n">
        <f aca="false">-1+A5306*0.25</f>
        <v>0.75</v>
      </c>
      <c r="F5306" s="0" t="n">
        <f aca="false">-1+B5306*0.25</f>
        <v>-0.5</v>
      </c>
      <c r="G5306" s="0" t="n">
        <f aca="false">-1+C5306*0.25</f>
        <v>0</v>
      </c>
      <c r="H5306" s="0" t="n">
        <f aca="false">-1+D5306*0.25</f>
        <v>-1</v>
      </c>
      <c r="I5306" s="0" t="n">
        <f aca="false">1</f>
        <v>1</v>
      </c>
      <c r="J5306" s="0" t="n">
        <f aca="false">E5306</f>
        <v>0.75</v>
      </c>
      <c r="K5306" s="0" t="n">
        <f aca="false">F5306</f>
        <v>-0.5</v>
      </c>
      <c r="L5306" s="0" t="n">
        <f aca="false">G5306</f>
        <v>0</v>
      </c>
      <c r="M5306" s="0" t="n">
        <f aca="false">H5306</f>
        <v>-1</v>
      </c>
      <c r="N5306" s="0" t="n">
        <f aca="false">E5306*F5306</f>
        <v>-0.375</v>
      </c>
      <c r="O5306" s="0" t="n">
        <f aca="false">E5306*G5306</f>
        <v>0</v>
      </c>
      <c r="P5306" s="0" t="n">
        <f aca="false">E5306*H5306</f>
        <v>-0.75</v>
      </c>
      <c r="Q5306" s="0" t="n">
        <f aca="false">F5306*G5306</f>
        <v>-0</v>
      </c>
      <c r="R5306" s="0" t="n">
        <f aca="false">F5306*H5306</f>
        <v>0.5</v>
      </c>
      <c r="S5306" s="0" t="n">
        <f aca="false">G5306*H5306</f>
        <v>-0</v>
      </c>
      <c r="T5306" s="0" t="n">
        <f aca="false">E5306*E5306</f>
        <v>0.5625</v>
      </c>
      <c r="U5306" s="0" t="n">
        <f aca="false">F5306*F5306</f>
        <v>0.25</v>
      </c>
      <c r="V5306" s="0" t="n">
        <f aca="false">G5306*G5306</f>
        <v>0</v>
      </c>
      <c r="W5306" s="0" t="n">
        <f aca="false">H5306*H5306</f>
        <v>1</v>
      </c>
      <c r="X5306" s="0" t="n">
        <f aca="false">SUMPRODUCT(I5306:W5306,_XtX!$B$96:$P$96)</f>
        <v>44.8567068713451</v>
      </c>
      <c r="Y5306" s="0" t="n">
        <f aca="false">SUMPRODUCT(MMULT(I5306:W5306,_XtX!$B$78:$P$92),I5306:W5306)</f>
        <v>0.476191292032164</v>
      </c>
      <c r="Z5306" s="0" t="n">
        <f aca="false">04_回帰ANOVA!$K$19*04_回帰ANOVA!$K$14*SQRT(1+Y5306)</f>
        <v>1.58368831471718</v>
      </c>
      <c r="AA5306" s="0" t="n">
        <f aca="false">X5306-Z5306</f>
        <v>43.2730185566279</v>
      </c>
      <c r="AB5306" s="0" t="n">
        <f aca="false">X5306+Z5306</f>
        <v>46.4403951860622</v>
      </c>
      <c r="AC5306" s="54" t="b">
        <f aca="false">AND(E5306&gt;=01_因子設定!$L$5-0.000000001,E5306&lt;=01_因子設定!$M$5+0.000000001,F5306&gt;=01_因子設定!$L$6-0.000000001,F5306&lt;=01_因子設定!$M$6+0.000000001,G5306&gt;=01_因子設定!$L$7-0.000000001,G5306&lt;=01_因子設定!$M$7+0.000000001,H5306&gt;=01_因子設定!$L$8-0.000000001,H5306&lt;=01_因子設定!$M$8+0.000000001,IF(01_因子設定!$B$20="Box-Behnken",E5306^2+F5306^2+G5306^2+H5306^2&lt;=2+0.000000001,TRUE()))</f>
        <v>1</v>
      </c>
      <c r="AD5306" s="55" t="n">
        <f aca="false">IF(AC5306,IF(01_因子設定!$B$13="最大化",AA5306-01_因子設定!$B$14,IF(01_因子設定!$B$13="最小化",01_因子設定!$B$15-AB5306,MIN(AA5306-01_因子設定!$B$14,01_因子設定!$B$15-AB5306))),-1E+030)</f>
        <v>-3.22698144337213</v>
      </c>
      <c r="AE5306" s="55" t="n">
        <f aca="false">IF(AC5306,IF(01_因子設定!$B$13="最大化",X5306,IF(01_因子設定!$B$13="最小化",-X5306,-ABS(X5306-01_因子設定!$B$16))),-1E+030)</f>
        <v>44.8567068713451</v>
      </c>
      <c r="AF5306" s="55" t="n">
        <f aca="false">AD5306+ROW()*0.000000001</f>
        <v>-3.22697613737213</v>
      </c>
      <c r="AG5306" s="55" t="n">
        <f aca="false">AE5306+ROW()*0.000000001</f>
        <v>44.8567121773451</v>
      </c>
    </row>
    <row r="5307" customFormat="false" ht="15" hidden="false" customHeight="false" outlineLevel="0" collapsed="false">
      <c r="A5307" s="0" t="n">
        <v>7</v>
      </c>
      <c r="B5307" s="0" t="n">
        <v>2</v>
      </c>
      <c r="C5307" s="0" t="n">
        <v>4</v>
      </c>
      <c r="D5307" s="0" t="n">
        <v>1</v>
      </c>
      <c r="E5307" s="0" t="n">
        <f aca="false">-1+A5307*0.25</f>
        <v>0.75</v>
      </c>
      <c r="F5307" s="0" t="n">
        <f aca="false">-1+B5307*0.25</f>
        <v>-0.5</v>
      </c>
      <c r="G5307" s="0" t="n">
        <f aca="false">-1+C5307*0.25</f>
        <v>0</v>
      </c>
      <c r="H5307" s="0" t="n">
        <f aca="false">-1+D5307*0.25</f>
        <v>-0.75</v>
      </c>
      <c r="I5307" s="0" t="n">
        <f aca="false">1</f>
        <v>1</v>
      </c>
      <c r="J5307" s="0" t="n">
        <f aca="false">E5307</f>
        <v>0.75</v>
      </c>
      <c r="K5307" s="0" t="n">
        <f aca="false">F5307</f>
        <v>-0.5</v>
      </c>
      <c r="L5307" s="0" t="n">
        <f aca="false">G5307</f>
        <v>0</v>
      </c>
      <c r="M5307" s="0" t="n">
        <f aca="false">H5307</f>
        <v>-0.75</v>
      </c>
      <c r="N5307" s="0" t="n">
        <f aca="false">E5307*F5307</f>
        <v>-0.375</v>
      </c>
      <c r="O5307" s="0" t="n">
        <f aca="false">E5307*G5307</f>
        <v>0</v>
      </c>
      <c r="P5307" s="0" t="n">
        <f aca="false">E5307*H5307</f>
        <v>-0.5625</v>
      </c>
      <c r="Q5307" s="0" t="n">
        <f aca="false">F5307*G5307</f>
        <v>-0</v>
      </c>
      <c r="R5307" s="0" t="n">
        <f aca="false">F5307*H5307</f>
        <v>0.375</v>
      </c>
      <c r="S5307" s="0" t="n">
        <f aca="false">G5307*H5307</f>
        <v>-0</v>
      </c>
      <c r="T5307" s="0" t="n">
        <f aca="false">E5307*E5307</f>
        <v>0.5625</v>
      </c>
      <c r="U5307" s="0" t="n">
        <f aca="false">F5307*F5307</f>
        <v>0.25</v>
      </c>
      <c r="V5307" s="0" t="n">
        <f aca="false">G5307*G5307</f>
        <v>0</v>
      </c>
      <c r="W5307" s="0" t="n">
        <f aca="false">H5307*H5307</f>
        <v>0.5625</v>
      </c>
      <c r="X5307" s="0" t="n">
        <f aca="false">SUMPRODUCT(I5307:W5307,_XtX!$B$96:$P$96)</f>
        <v>45.1754203216374</v>
      </c>
      <c r="Y5307" s="0" t="n">
        <f aca="false">SUMPRODUCT(MMULT(I5307:W5307,_XtX!$B$78:$P$92),I5307:W5307)</f>
        <v>0.269923873812135</v>
      </c>
      <c r="Z5307" s="0" t="n">
        <f aca="false">04_回帰ANOVA!$K$19*04_回帰ANOVA!$K$14*SQRT(1+Y5307)</f>
        <v>1.46888310825501</v>
      </c>
      <c r="AA5307" s="0" t="n">
        <f aca="false">X5307-Z5307</f>
        <v>43.7065372133824</v>
      </c>
      <c r="AB5307" s="0" t="n">
        <f aca="false">X5307+Z5307</f>
        <v>46.6443034298924</v>
      </c>
      <c r="AC5307" s="54" t="b">
        <f aca="false">AND(E5307&gt;=01_因子設定!$L$5-0.000000001,E5307&lt;=01_因子設定!$M$5+0.000000001,F5307&gt;=01_因子設定!$L$6-0.000000001,F5307&lt;=01_因子設定!$M$6+0.000000001,G5307&gt;=01_因子設定!$L$7-0.000000001,G5307&lt;=01_因子設定!$M$7+0.000000001,H5307&gt;=01_因子設定!$L$8-0.000000001,H5307&lt;=01_因子設定!$M$8+0.000000001,IF(01_因子設定!$B$20="Box-Behnken",E5307^2+F5307^2+G5307^2+H5307^2&lt;=2+0.000000001,TRUE()))</f>
        <v>1</v>
      </c>
      <c r="AD5307" s="55" t="n">
        <f aca="false">IF(AC5307,IF(01_因子設定!$B$13="最大化",AA5307-01_因子設定!$B$14,IF(01_因子設定!$B$13="最小化",01_因子設定!$B$15-AB5307,MIN(AA5307-01_因子設定!$B$14,01_因子設定!$B$15-AB5307))),-1E+030)</f>
        <v>-2.79346278661757</v>
      </c>
      <c r="AE5307" s="55" t="n">
        <f aca="false">IF(AC5307,IF(01_因子設定!$B$13="最大化",X5307,IF(01_因子設定!$B$13="最小化",-X5307,-ABS(X5307-01_因子設定!$B$16))),-1E+030)</f>
        <v>45.1754203216374</v>
      </c>
      <c r="AF5307" s="55" t="n">
        <f aca="false">AD5307+ROW()*0.000000001</f>
        <v>-2.79345747961757</v>
      </c>
      <c r="AG5307" s="55" t="n">
        <f aca="false">AE5307+ROW()*0.000000001</f>
        <v>45.1754256286374</v>
      </c>
    </row>
    <row r="5308" customFormat="false" ht="15" hidden="false" customHeight="false" outlineLevel="0" collapsed="false">
      <c r="A5308" s="0" t="n">
        <v>7</v>
      </c>
      <c r="B5308" s="0" t="n">
        <v>2</v>
      </c>
      <c r="C5308" s="0" t="n">
        <v>4</v>
      </c>
      <c r="D5308" s="0" t="n">
        <v>2</v>
      </c>
      <c r="E5308" s="0" t="n">
        <f aca="false">-1+A5308*0.25</f>
        <v>0.75</v>
      </c>
      <c r="F5308" s="0" t="n">
        <f aca="false">-1+B5308*0.25</f>
        <v>-0.5</v>
      </c>
      <c r="G5308" s="0" t="n">
        <f aca="false">-1+C5308*0.25</f>
        <v>0</v>
      </c>
      <c r="H5308" s="0" t="n">
        <f aca="false">-1+D5308*0.25</f>
        <v>-0.5</v>
      </c>
      <c r="I5308" s="0" t="n">
        <f aca="false">1</f>
        <v>1</v>
      </c>
      <c r="J5308" s="0" t="n">
        <f aca="false">E5308</f>
        <v>0.75</v>
      </c>
      <c r="K5308" s="0" t="n">
        <f aca="false">F5308</f>
        <v>-0.5</v>
      </c>
      <c r="L5308" s="0" t="n">
        <f aca="false">G5308</f>
        <v>0</v>
      </c>
      <c r="M5308" s="0" t="n">
        <f aca="false">H5308</f>
        <v>-0.5</v>
      </c>
      <c r="N5308" s="0" t="n">
        <f aca="false">E5308*F5308</f>
        <v>-0.375</v>
      </c>
      <c r="O5308" s="0" t="n">
        <f aca="false">E5308*G5308</f>
        <v>0</v>
      </c>
      <c r="P5308" s="0" t="n">
        <f aca="false">E5308*H5308</f>
        <v>-0.375</v>
      </c>
      <c r="Q5308" s="0" t="n">
        <f aca="false">F5308*G5308</f>
        <v>-0</v>
      </c>
      <c r="R5308" s="0" t="n">
        <f aca="false">F5308*H5308</f>
        <v>0.25</v>
      </c>
      <c r="S5308" s="0" t="n">
        <f aca="false">G5308*H5308</f>
        <v>-0</v>
      </c>
      <c r="T5308" s="0" t="n">
        <f aca="false">E5308*E5308</f>
        <v>0.5625</v>
      </c>
      <c r="U5308" s="0" t="n">
        <f aca="false">F5308*F5308</f>
        <v>0.25</v>
      </c>
      <c r="V5308" s="0" t="n">
        <f aca="false">G5308*G5308</f>
        <v>0</v>
      </c>
      <c r="W5308" s="0" t="n">
        <f aca="false">H5308*H5308</f>
        <v>0.25</v>
      </c>
      <c r="X5308" s="0" t="n">
        <f aca="false">SUMPRODUCT(I5308:W5308,_XtX!$B$96:$P$96)</f>
        <v>45.446326754386</v>
      </c>
      <c r="Y5308" s="0" t="n">
        <f aca="false">SUMPRODUCT(MMULT(I5308:W5308,_XtX!$B$78:$P$92),I5308:W5308)</f>
        <v>0.21305052997076</v>
      </c>
      <c r="Z5308" s="0" t="n">
        <f aca="false">04_回帰ANOVA!$K$19*04_回帰ANOVA!$K$14*SQRT(1+Y5308)</f>
        <v>1.43561450835061</v>
      </c>
      <c r="AA5308" s="0" t="n">
        <f aca="false">X5308-Z5308</f>
        <v>44.0107122460354</v>
      </c>
      <c r="AB5308" s="0" t="n">
        <f aca="false">X5308+Z5308</f>
        <v>46.8819412627366</v>
      </c>
      <c r="AC5308" s="54" t="b">
        <f aca="false">AND(E5308&gt;=01_因子設定!$L$5-0.000000001,E5308&lt;=01_因子設定!$M$5+0.000000001,F5308&gt;=01_因子設定!$L$6-0.000000001,F5308&lt;=01_因子設定!$M$6+0.000000001,G5308&gt;=01_因子設定!$L$7-0.000000001,G5308&lt;=01_因子設定!$M$7+0.000000001,H5308&gt;=01_因子設定!$L$8-0.000000001,H5308&lt;=01_因子設定!$M$8+0.000000001,IF(01_因子設定!$B$20="Box-Behnken",E5308^2+F5308^2+G5308^2+H5308^2&lt;=2+0.000000001,TRUE()))</f>
        <v>1</v>
      </c>
      <c r="AD5308" s="55" t="n">
        <f aca="false">IF(AC5308,IF(01_因子設定!$B$13="最大化",AA5308-01_因子設定!$B$14,IF(01_因子設定!$B$13="最小化",01_因子設定!$B$15-AB5308,MIN(AA5308-01_因子設定!$B$14,01_因子設定!$B$15-AB5308))),-1E+030)</f>
        <v>-2.48928775396465</v>
      </c>
      <c r="AE5308" s="55" t="n">
        <f aca="false">IF(AC5308,IF(01_因子設定!$B$13="最大化",X5308,IF(01_因子設定!$B$13="最小化",-X5308,-ABS(X5308-01_因子設定!$B$16))),-1E+030)</f>
        <v>45.446326754386</v>
      </c>
      <c r="AF5308" s="55" t="n">
        <f aca="false">AD5308+ROW()*0.000000001</f>
        <v>-2.48928244596465</v>
      </c>
      <c r="AG5308" s="55" t="n">
        <f aca="false">AE5308+ROW()*0.000000001</f>
        <v>45.446332062386</v>
      </c>
    </row>
    <row r="5309" customFormat="false" ht="15" hidden="false" customHeight="false" outlineLevel="0" collapsed="false">
      <c r="A5309" s="0" t="n">
        <v>7</v>
      </c>
      <c r="B5309" s="0" t="n">
        <v>2</v>
      </c>
      <c r="C5309" s="0" t="n">
        <v>4</v>
      </c>
      <c r="D5309" s="0" t="n">
        <v>3</v>
      </c>
      <c r="E5309" s="0" t="n">
        <f aca="false">-1+A5309*0.25</f>
        <v>0.75</v>
      </c>
      <c r="F5309" s="0" t="n">
        <f aca="false">-1+B5309*0.25</f>
        <v>-0.5</v>
      </c>
      <c r="G5309" s="0" t="n">
        <f aca="false">-1+C5309*0.25</f>
        <v>0</v>
      </c>
      <c r="H5309" s="0" t="n">
        <f aca="false">-1+D5309*0.25</f>
        <v>-0.25</v>
      </c>
      <c r="I5309" s="0" t="n">
        <f aca="false">1</f>
        <v>1</v>
      </c>
      <c r="J5309" s="0" t="n">
        <f aca="false">E5309</f>
        <v>0.75</v>
      </c>
      <c r="K5309" s="0" t="n">
        <f aca="false">F5309</f>
        <v>-0.5</v>
      </c>
      <c r="L5309" s="0" t="n">
        <f aca="false">G5309</f>
        <v>0</v>
      </c>
      <c r="M5309" s="0" t="n">
        <f aca="false">H5309</f>
        <v>-0.25</v>
      </c>
      <c r="N5309" s="0" t="n">
        <f aca="false">E5309*F5309</f>
        <v>-0.375</v>
      </c>
      <c r="O5309" s="0" t="n">
        <f aca="false">E5309*G5309</f>
        <v>0</v>
      </c>
      <c r="P5309" s="0" t="n">
        <f aca="false">E5309*H5309</f>
        <v>-0.1875</v>
      </c>
      <c r="Q5309" s="0" t="n">
        <f aca="false">F5309*G5309</f>
        <v>-0</v>
      </c>
      <c r="R5309" s="0" t="n">
        <f aca="false">F5309*H5309</f>
        <v>0.125</v>
      </c>
      <c r="S5309" s="0" t="n">
        <f aca="false">G5309*H5309</f>
        <v>-0</v>
      </c>
      <c r="T5309" s="0" t="n">
        <f aca="false">E5309*E5309</f>
        <v>0.5625</v>
      </c>
      <c r="U5309" s="0" t="n">
        <f aca="false">F5309*F5309</f>
        <v>0.25</v>
      </c>
      <c r="V5309" s="0" t="n">
        <f aca="false">G5309*G5309</f>
        <v>0</v>
      </c>
      <c r="W5309" s="0" t="n">
        <f aca="false">H5309*H5309</f>
        <v>0.0625</v>
      </c>
      <c r="X5309" s="0" t="n">
        <f aca="false">SUMPRODUCT(I5309:W5309,_XtX!$B$96:$P$96)</f>
        <v>45.6694261695906</v>
      </c>
      <c r="Y5309" s="0" t="n">
        <f aca="false">SUMPRODUCT(MMULT(I5309:W5309,_XtX!$B$78:$P$92),I5309:W5309)</f>
        <v>0.215110734192252</v>
      </c>
      <c r="Z5309" s="0" t="n">
        <f aca="false">04_回帰ANOVA!$K$19*04_回帰ANOVA!$K$14*SQRT(1+Y5309)</f>
        <v>1.43683309086864</v>
      </c>
      <c r="AA5309" s="0" t="n">
        <f aca="false">X5309-Z5309</f>
        <v>44.232593078722</v>
      </c>
      <c r="AB5309" s="0" t="n">
        <f aca="false">X5309+Z5309</f>
        <v>47.1062592604593</v>
      </c>
      <c r="AC5309" s="54" t="b">
        <f aca="false">AND(E5309&gt;=01_因子設定!$L$5-0.000000001,E5309&lt;=01_因子設定!$M$5+0.000000001,F5309&gt;=01_因子設定!$L$6-0.000000001,F5309&lt;=01_因子設定!$M$6+0.000000001,G5309&gt;=01_因子設定!$L$7-0.000000001,G5309&lt;=01_因子設定!$M$7+0.000000001,H5309&gt;=01_因子設定!$L$8-0.000000001,H5309&lt;=01_因子設定!$M$8+0.000000001,IF(01_因子設定!$B$20="Box-Behnken",E5309^2+F5309^2+G5309^2+H5309^2&lt;=2+0.000000001,TRUE()))</f>
        <v>1</v>
      </c>
      <c r="AD5309" s="55" t="n">
        <f aca="false">IF(AC5309,IF(01_因子設定!$B$13="最大化",AA5309-01_因子設定!$B$14,IF(01_因子設定!$B$13="最小化",01_因子設定!$B$15-AB5309,MIN(AA5309-01_因子設定!$B$14,01_因子設定!$B$15-AB5309))),-1E+030)</f>
        <v>-2.26740692127802</v>
      </c>
      <c r="AE5309" s="55" t="n">
        <f aca="false">IF(AC5309,IF(01_因子設定!$B$13="最大化",X5309,IF(01_因子設定!$B$13="最小化",-X5309,-ABS(X5309-01_因子設定!$B$16))),-1E+030)</f>
        <v>45.6694261695906</v>
      </c>
      <c r="AF5309" s="55" t="n">
        <f aca="false">AD5309+ROW()*0.000000001</f>
        <v>-2.26740161227802</v>
      </c>
      <c r="AG5309" s="55" t="n">
        <f aca="false">AE5309+ROW()*0.000000001</f>
        <v>45.6694314785906</v>
      </c>
    </row>
    <row r="5310" customFormat="false" ht="15" hidden="false" customHeight="false" outlineLevel="0" collapsed="false">
      <c r="A5310" s="0" t="n">
        <v>7</v>
      </c>
      <c r="B5310" s="0" t="n">
        <v>2</v>
      </c>
      <c r="C5310" s="0" t="n">
        <v>4</v>
      </c>
      <c r="D5310" s="0" t="n">
        <v>4</v>
      </c>
      <c r="E5310" s="0" t="n">
        <f aca="false">-1+A5310*0.25</f>
        <v>0.75</v>
      </c>
      <c r="F5310" s="0" t="n">
        <f aca="false">-1+B5310*0.25</f>
        <v>-0.5</v>
      </c>
      <c r="G5310" s="0" t="n">
        <f aca="false">-1+C5310*0.25</f>
        <v>0</v>
      </c>
      <c r="H5310" s="0" t="n">
        <f aca="false">-1+D5310*0.25</f>
        <v>0</v>
      </c>
      <c r="I5310" s="0" t="n">
        <f aca="false">1</f>
        <v>1</v>
      </c>
      <c r="J5310" s="0" t="n">
        <f aca="false">E5310</f>
        <v>0.75</v>
      </c>
      <c r="K5310" s="0" t="n">
        <f aca="false">F5310</f>
        <v>-0.5</v>
      </c>
      <c r="L5310" s="0" t="n">
        <f aca="false">G5310</f>
        <v>0</v>
      </c>
      <c r="M5310" s="0" t="n">
        <f aca="false">H5310</f>
        <v>0</v>
      </c>
      <c r="N5310" s="0" t="n">
        <f aca="false">E5310*F5310</f>
        <v>-0.375</v>
      </c>
      <c r="O5310" s="0" t="n">
        <f aca="false">E5310*G5310</f>
        <v>0</v>
      </c>
      <c r="P5310" s="0" t="n">
        <f aca="false">E5310*H5310</f>
        <v>0</v>
      </c>
      <c r="Q5310" s="0" t="n">
        <f aca="false">F5310*G5310</f>
        <v>-0</v>
      </c>
      <c r="R5310" s="0" t="n">
        <f aca="false">F5310*H5310</f>
        <v>-0</v>
      </c>
      <c r="S5310" s="0" t="n">
        <f aca="false">G5310*H5310</f>
        <v>0</v>
      </c>
      <c r="T5310" s="0" t="n">
        <f aca="false">E5310*E5310</f>
        <v>0.5625</v>
      </c>
      <c r="U5310" s="0" t="n">
        <f aca="false">F5310*F5310</f>
        <v>0.25</v>
      </c>
      <c r="V5310" s="0" t="n">
        <f aca="false">G5310*G5310</f>
        <v>0</v>
      </c>
      <c r="W5310" s="0" t="n">
        <f aca="false">H5310*H5310</f>
        <v>0</v>
      </c>
      <c r="X5310" s="0" t="n">
        <f aca="false">SUMPRODUCT(I5310:W5310,_XtX!$B$96:$P$96)</f>
        <v>45.8447185672515</v>
      </c>
      <c r="Y5310" s="0" t="n">
        <f aca="false">SUMPRODUCT(MMULT(I5310:W5310,_XtX!$B$78:$P$92),I5310:W5310)</f>
        <v>0.221828170687135</v>
      </c>
      <c r="Z5310" s="0" t="n">
        <f aca="false">04_回帰ANOVA!$K$19*04_回帰ANOVA!$K$14*SQRT(1+Y5310)</f>
        <v>1.44079920361664</v>
      </c>
      <c r="AA5310" s="0" t="n">
        <f aca="false">X5310-Z5310</f>
        <v>44.4039193636348</v>
      </c>
      <c r="AB5310" s="0" t="n">
        <f aca="false">X5310+Z5310</f>
        <v>47.2855177708681</v>
      </c>
      <c r="AC5310" s="54" t="b">
        <f aca="false">AND(E5310&gt;=01_因子設定!$L$5-0.000000001,E5310&lt;=01_因子設定!$M$5+0.000000001,F5310&gt;=01_因子設定!$L$6-0.000000001,F5310&lt;=01_因子設定!$M$6+0.000000001,G5310&gt;=01_因子設定!$L$7-0.000000001,G5310&lt;=01_因子設定!$M$7+0.000000001,H5310&gt;=01_因子設定!$L$8-0.000000001,H5310&lt;=01_因子設定!$M$8+0.000000001,IF(01_因子設定!$B$20="Box-Behnken",E5310^2+F5310^2+G5310^2+H5310^2&lt;=2+0.000000001,TRUE()))</f>
        <v>1</v>
      </c>
      <c r="AD5310" s="55" t="n">
        <f aca="false">IF(AC5310,IF(01_因子設定!$B$13="最大化",AA5310-01_因子設定!$B$14,IF(01_因子設定!$B$13="最小化",01_因子設定!$B$15-AB5310,MIN(AA5310-01_因子設定!$B$14,01_因子設定!$B$15-AB5310))),-1E+030)</f>
        <v>-2.09608063636519</v>
      </c>
      <c r="AE5310" s="55" t="n">
        <f aca="false">IF(AC5310,IF(01_因子設定!$B$13="最大化",X5310,IF(01_因子設定!$B$13="最小化",-X5310,-ABS(X5310-01_因子設定!$B$16))),-1E+030)</f>
        <v>45.8447185672515</v>
      </c>
      <c r="AF5310" s="55" t="n">
        <f aca="false">AD5310+ROW()*0.000000001</f>
        <v>-2.09607532636519</v>
      </c>
      <c r="AG5310" s="55" t="n">
        <f aca="false">AE5310+ROW()*0.000000001</f>
        <v>45.8447238772515</v>
      </c>
    </row>
    <row r="5311" customFormat="false" ht="15" hidden="false" customHeight="false" outlineLevel="0" collapsed="false">
      <c r="A5311" s="0" t="n">
        <v>7</v>
      </c>
      <c r="B5311" s="0" t="n">
        <v>2</v>
      </c>
      <c r="C5311" s="0" t="n">
        <v>4</v>
      </c>
      <c r="D5311" s="0" t="n">
        <v>5</v>
      </c>
      <c r="E5311" s="0" t="n">
        <f aca="false">-1+A5311*0.25</f>
        <v>0.75</v>
      </c>
      <c r="F5311" s="0" t="n">
        <f aca="false">-1+B5311*0.25</f>
        <v>-0.5</v>
      </c>
      <c r="G5311" s="0" t="n">
        <f aca="false">-1+C5311*0.25</f>
        <v>0</v>
      </c>
      <c r="H5311" s="0" t="n">
        <f aca="false">-1+D5311*0.25</f>
        <v>0.25</v>
      </c>
      <c r="I5311" s="0" t="n">
        <f aca="false">1</f>
        <v>1</v>
      </c>
      <c r="J5311" s="0" t="n">
        <f aca="false">E5311</f>
        <v>0.75</v>
      </c>
      <c r="K5311" s="0" t="n">
        <f aca="false">F5311</f>
        <v>-0.5</v>
      </c>
      <c r="L5311" s="0" t="n">
        <f aca="false">G5311</f>
        <v>0</v>
      </c>
      <c r="M5311" s="0" t="n">
        <f aca="false">H5311</f>
        <v>0.25</v>
      </c>
      <c r="N5311" s="0" t="n">
        <f aca="false">E5311*F5311</f>
        <v>-0.375</v>
      </c>
      <c r="O5311" s="0" t="n">
        <f aca="false">E5311*G5311</f>
        <v>0</v>
      </c>
      <c r="P5311" s="0" t="n">
        <f aca="false">E5311*H5311</f>
        <v>0.1875</v>
      </c>
      <c r="Q5311" s="0" t="n">
        <f aca="false">F5311*G5311</f>
        <v>-0</v>
      </c>
      <c r="R5311" s="0" t="n">
        <f aca="false">F5311*H5311</f>
        <v>-0.125</v>
      </c>
      <c r="S5311" s="0" t="n">
        <f aca="false">G5311*H5311</f>
        <v>0</v>
      </c>
      <c r="T5311" s="0" t="n">
        <f aca="false">E5311*E5311</f>
        <v>0.5625</v>
      </c>
      <c r="U5311" s="0" t="n">
        <f aca="false">F5311*F5311</f>
        <v>0.25</v>
      </c>
      <c r="V5311" s="0" t="n">
        <f aca="false">G5311*G5311</f>
        <v>0</v>
      </c>
      <c r="W5311" s="0" t="n">
        <f aca="false">H5311*H5311</f>
        <v>0.0625</v>
      </c>
      <c r="X5311" s="0" t="n">
        <f aca="false">SUMPRODUCT(I5311:W5311,_XtX!$B$96:$P$96)</f>
        <v>45.9722039473684</v>
      </c>
      <c r="Y5311" s="0" t="n">
        <f aca="false">SUMPRODUCT(MMULT(I5311:W5311,_XtX!$B$78:$P$92),I5311:W5311)</f>
        <v>0.215110734192252</v>
      </c>
      <c r="Z5311" s="0" t="n">
        <f aca="false">04_回帰ANOVA!$K$19*04_回帰ANOVA!$K$14*SQRT(1+Y5311)</f>
        <v>1.43683309086864</v>
      </c>
      <c r="AA5311" s="0" t="n">
        <f aca="false">X5311-Z5311</f>
        <v>44.5353708564998</v>
      </c>
      <c r="AB5311" s="0" t="n">
        <f aca="false">X5311+Z5311</f>
        <v>47.4090370382371</v>
      </c>
      <c r="AC5311" s="54" t="b">
        <f aca="false">AND(E5311&gt;=01_因子設定!$L$5-0.000000001,E5311&lt;=01_因子設定!$M$5+0.000000001,F5311&gt;=01_因子設定!$L$6-0.000000001,F5311&lt;=01_因子設定!$M$6+0.000000001,G5311&gt;=01_因子設定!$L$7-0.000000001,G5311&lt;=01_因子設定!$M$7+0.000000001,H5311&gt;=01_因子設定!$L$8-0.000000001,H5311&lt;=01_因子設定!$M$8+0.000000001,IF(01_因子設定!$B$20="Box-Behnken",E5311^2+F5311^2+G5311^2+H5311^2&lt;=2+0.000000001,TRUE()))</f>
        <v>1</v>
      </c>
      <c r="AD5311" s="55" t="n">
        <f aca="false">IF(AC5311,IF(01_因子設定!$B$13="最大化",AA5311-01_因子設定!$B$14,IF(01_因子設定!$B$13="最小化",01_因子設定!$B$15-AB5311,MIN(AA5311-01_因子設定!$B$14,01_因子設定!$B$15-AB5311))),-1E+030)</f>
        <v>-1.96462914350024</v>
      </c>
      <c r="AE5311" s="55" t="n">
        <f aca="false">IF(AC5311,IF(01_因子設定!$B$13="最大化",X5311,IF(01_因子設定!$B$13="最小化",-X5311,-ABS(X5311-01_因子設定!$B$16))),-1E+030)</f>
        <v>45.9722039473684</v>
      </c>
      <c r="AF5311" s="55" t="n">
        <f aca="false">AD5311+ROW()*0.000000001</f>
        <v>-1.96462383250024</v>
      </c>
      <c r="AG5311" s="55" t="n">
        <f aca="false">AE5311+ROW()*0.000000001</f>
        <v>45.9722092583684</v>
      </c>
    </row>
    <row r="5312" customFormat="false" ht="15" hidden="false" customHeight="false" outlineLevel="0" collapsed="false">
      <c r="A5312" s="0" t="n">
        <v>7</v>
      </c>
      <c r="B5312" s="0" t="n">
        <v>2</v>
      </c>
      <c r="C5312" s="0" t="n">
        <v>4</v>
      </c>
      <c r="D5312" s="0" t="n">
        <v>6</v>
      </c>
      <c r="E5312" s="0" t="n">
        <f aca="false">-1+A5312*0.25</f>
        <v>0.75</v>
      </c>
      <c r="F5312" s="0" t="n">
        <f aca="false">-1+B5312*0.25</f>
        <v>-0.5</v>
      </c>
      <c r="G5312" s="0" t="n">
        <f aca="false">-1+C5312*0.25</f>
        <v>0</v>
      </c>
      <c r="H5312" s="0" t="n">
        <f aca="false">-1+D5312*0.25</f>
        <v>0.5</v>
      </c>
      <c r="I5312" s="0" t="n">
        <f aca="false">1</f>
        <v>1</v>
      </c>
      <c r="J5312" s="0" t="n">
        <f aca="false">E5312</f>
        <v>0.75</v>
      </c>
      <c r="K5312" s="0" t="n">
        <f aca="false">F5312</f>
        <v>-0.5</v>
      </c>
      <c r="L5312" s="0" t="n">
        <f aca="false">G5312</f>
        <v>0</v>
      </c>
      <c r="M5312" s="0" t="n">
        <f aca="false">H5312</f>
        <v>0.5</v>
      </c>
      <c r="N5312" s="0" t="n">
        <f aca="false">E5312*F5312</f>
        <v>-0.375</v>
      </c>
      <c r="O5312" s="0" t="n">
        <f aca="false">E5312*G5312</f>
        <v>0</v>
      </c>
      <c r="P5312" s="0" t="n">
        <f aca="false">E5312*H5312</f>
        <v>0.375</v>
      </c>
      <c r="Q5312" s="0" t="n">
        <f aca="false">F5312*G5312</f>
        <v>-0</v>
      </c>
      <c r="R5312" s="0" t="n">
        <f aca="false">F5312*H5312</f>
        <v>-0.25</v>
      </c>
      <c r="S5312" s="0" t="n">
        <f aca="false">G5312*H5312</f>
        <v>0</v>
      </c>
      <c r="T5312" s="0" t="n">
        <f aca="false">E5312*E5312</f>
        <v>0.5625</v>
      </c>
      <c r="U5312" s="0" t="n">
        <f aca="false">F5312*F5312</f>
        <v>0.25</v>
      </c>
      <c r="V5312" s="0" t="n">
        <f aca="false">G5312*G5312</f>
        <v>0</v>
      </c>
      <c r="W5312" s="0" t="n">
        <f aca="false">H5312*H5312</f>
        <v>0.25</v>
      </c>
      <c r="X5312" s="0" t="n">
        <f aca="false">SUMPRODUCT(I5312:W5312,_XtX!$B$96:$P$96)</f>
        <v>46.0518823099415</v>
      </c>
      <c r="Y5312" s="0" t="n">
        <f aca="false">SUMPRODUCT(MMULT(I5312:W5312,_XtX!$B$78:$P$92),I5312:W5312)</f>
        <v>0.21305052997076</v>
      </c>
      <c r="Z5312" s="0" t="n">
        <f aca="false">04_回帰ANOVA!$K$19*04_回帰ANOVA!$K$14*SQRT(1+Y5312)</f>
        <v>1.43561450835061</v>
      </c>
      <c r="AA5312" s="0" t="n">
        <f aca="false">X5312-Z5312</f>
        <v>44.6162678015909</v>
      </c>
      <c r="AB5312" s="0" t="n">
        <f aca="false">X5312+Z5312</f>
        <v>47.4874968182921</v>
      </c>
      <c r="AC5312" s="54" t="b">
        <f aca="false">AND(E5312&gt;=01_因子設定!$L$5-0.000000001,E5312&lt;=01_因子設定!$M$5+0.000000001,F5312&gt;=01_因子設定!$L$6-0.000000001,F5312&lt;=01_因子設定!$M$6+0.000000001,G5312&gt;=01_因子設定!$L$7-0.000000001,G5312&lt;=01_因子設定!$M$7+0.000000001,H5312&gt;=01_因子設定!$L$8-0.000000001,H5312&lt;=01_因子設定!$M$8+0.000000001,IF(01_因子設定!$B$20="Box-Behnken",E5312^2+F5312^2+G5312^2+H5312^2&lt;=2+0.000000001,TRUE()))</f>
        <v>1</v>
      </c>
      <c r="AD5312" s="55" t="n">
        <f aca="false">IF(AC5312,IF(01_因子設定!$B$13="最大化",AA5312-01_因子設定!$B$14,IF(01_因子設定!$B$13="最小化",01_因子設定!$B$15-AB5312,MIN(AA5312-01_因子設定!$B$14,01_因子設定!$B$15-AB5312))),-1E+030)</f>
        <v>-1.88373219840909</v>
      </c>
      <c r="AE5312" s="55" t="n">
        <f aca="false">IF(AC5312,IF(01_因子設定!$B$13="最大化",X5312,IF(01_因子設定!$B$13="最小化",-X5312,-ABS(X5312-01_因子設定!$B$16))),-1E+030)</f>
        <v>46.0518823099415</v>
      </c>
      <c r="AF5312" s="55" t="n">
        <f aca="false">AD5312+ROW()*0.000000001</f>
        <v>-1.88372688640909</v>
      </c>
      <c r="AG5312" s="55" t="n">
        <f aca="false">AE5312+ROW()*0.000000001</f>
        <v>46.0518876219415</v>
      </c>
    </row>
    <row r="5313" customFormat="false" ht="15" hidden="false" customHeight="false" outlineLevel="0" collapsed="false">
      <c r="A5313" s="0" t="n">
        <v>7</v>
      </c>
      <c r="B5313" s="0" t="n">
        <v>2</v>
      </c>
      <c r="C5313" s="0" t="n">
        <v>4</v>
      </c>
      <c r="D5313" s="0" t="n">
        <v>7</v>
      </c>
      <c r="E5313" s="0" t="n">
        <f aca="false">-1+A5313*0.25</f>
        <v>0.75</v>
      </c>
      <c r="F5313" s="0" t="n">
        <f aca="false">-1+B5313*0.25</f>
        <v>-0.5</v>
      </c>
      <c r="G5313" s="0" t="n">
        <f aca="false">-1+C5313*0.25</f>
        <v>0</v>
      </c>
      <c r="H5313" s="0" t="n">
        <f aca="false">-1+D5313*0.25</f>
        <v>0.75</v>
      </c>
      <c r="I5313" s="0" t="n">
        <f aca="false">1</f>
        <v>1</v>
      </c>
      <c r="J5313" s="0" t="n">
        <f aca="false">E5313</f>
        <v>0.75</v>
      </c>
      <c r="K5313" s="0" t="n">
        <f aca="false">F5313</f>
        <v>-0.5</v>
      </c>
      <c r="L5313" s="0" t="n">
        <f aca="false">G5313</f>
        <v>0</v>
      </c>
      <c r="M5313" s="0" t="n">
        <f aca="false">H5313</f>
        <v>0.75</v>
      </c>
      <c r="N5313" s="0" t="n">
        <f aca="false">E5313*F5313</f>
        <v>-0.375</v>
      </c>
      <c r="O5313" s="0" t="n">
        <f aca="false">E5313*G5313</f>
        <v>0</v>
      </c>
      <c r="P5313" s="0" t="n">
        <f aca="false">E5313*H5313</f>
        <v>0.5625</v>
      </c>
      <c r="Q5313" s="0" t="n">
        <f aca="false">F5313*G5313</f>
        <v>-0</v>
      </c>
      <c r="R5313" s="0" t="n">
        <f aca="false">F5313*H5313</f>
        <v>-0.375</v>
      </c>
      <c r="S5313" s="0" t="n">
        <f aca="false">G5313*H5313</f>
        <v>0</v>
      </c>
      <c r="T5313" s="0" t="n">
        <f aca="false">E5313*E5313</f>
        <v>0.5625</v>
      </c>
      <c r="U5313" s="0" t="n">
        <f aca="false">F5313*F5313</f>
        <v>0.25</v>
      </c>
      <c r="V5313" s="0" t="n">
        <f aca="false">G5313*G5313</f>
        <v>0</v>
      </c>
      <c r="W5313" s="0" t="n">
        <f aca="false">H5313*H5313</f>
        <v>0.5625</v>
      </c>
      <c r="X5313" s="0" t="n">
        <f aca="false">SUMPRODUCT(I5313:W5313,_XtX!$B$96:$P$96)</f>
        <v>46.0837536549708</v>
      </c>
      <c r="Y5313" s="0" t="n">
        <f aca="false">SUMPRODUCT(MMULT(I5313:W5313,_XtX!$B$78:$P$92),I5313:W5313)</f>
        <v>0.269923873812135</v>
      </c>
      <c r="Z5313" s="0" t="n">
        <f aca="false">04_回帰ANOVA!$K$19*04_回帰ANOVA!$K$14*SQRT(1+Y5313)</f>
        <v>1.46888310825501</v>
      </c>
      <c r="AA5313" s="0" t="n">
        <f aca="false">X5313-Z5313</f>
        <v>44.6148705467158</v>
      </c>
      <c r="AB5313" s="0" t="n">
        <f aca="false">X5313+Z5313</f>
        <v>47.5526367632258</v>
      </c>
      <c r="AC5313" s="54" t="b">
        <f aca="false">AND(E5313&gt;=01_因子設定!$L$5-0.000000001,E5313&lt;=01_因子設定!$M$5+0.000000001,F5313&gt;=01_因子設定!$L$6-0.000000001,F5313&lt;=01_因子設定!$M$6+0.000000001,G5313&gt;=01_因子設定!$L$7-0.000000001,G5313&lt;=01_因子設定!$M$7+0.000000001,H5313&gt;=01_因子設定!$L$8-0.000000001,H5313&lt;=01_因子設定!$M$8+0.000000001,IF(01_因子設定!$B$20="Box-Behnken",E5313^2+F5313^2+G5313^2+H5313^2&lt;=2+0.000000001,TRUE()))</f>
        <v>1</v>
      </c>
      <c r="AD5313" s="55" t="n">
        <f aca="false">IF(AC5313,IF(01_因子設定!$B$13="最大化",AA5313-01_因子設定!$B$14,IF(01_因子設定!$B$13="最小化",01_因子設定!$B$15-AB5313,MIN(AA5313-01_因子設定!$B$14,01_因子設定!$B$15-AB5313))),-1E+030)</f>
        <v>-1.88512945328424</v>
      </c>
      <c r="AE5313" s="55" t="n">
        <f aca="false">IF(AC5313,IF(01_因子設定!$B$13="最大化",X5313,IF(01_因子設定!$B$13="最小化",-X5313,-ABS(X5313-01_因子設定!$B$16))),-1E+030)</f>
        <v>46.0837536549708</v>
      </c>
      <c r="AF5313" s="55" t="n">
        <f aca="false">AD5313+ROW()*0.000000001</f>
        <v>-1.88512414028424</v>
      </c>
      <c r="AG5313" s="55" t="n">
        <f aca="false">AE5313+ROW()*0.000000001</f>
        <v>46.0837589679708</v>
      </c>
    </row>
    <row r="5314" customFormat="false" ht="15" hidden="false" customHeight="false" outlineLevel="0" collapsed="false">
      <c r="A5314" s="0" t="n">
        <v>7</v>
      </c>
      <c r="B5314" s="0" t="n">
        <v>2</v>
      </c>
      <c r="C5314" s="0" t="n">
        <v>4</v>
      </c>
      <c r="D5314" s="0" t="n">
        <v>8</v>
      </c>
      <c r="E5314" s="0" t="n">
        <f aca="false">-1+A5314*0.25</f>
        <v>0.75</v>
      </c>
      <c r="F5314" s="0" t="n">
        <f aca="false">-1+B5314*0.25</f>
        <v>-0.5</v>
      </c>
      <c r="G5314" s="0" t="n">
        <f aca="false">-1+C5314*0.25</f>
        <v>0</v>
      </c>
      <c r="H5314" s="0" t="n">
        <f aca="false">-1+D5314*0.25</f>
        <v>1</v>
      </c>
      <c r="I5314" s="0" t="n">
        <f aca="false">1</f>
        <v>1</v>
      </c>
      <c r="J5314" s="0" t="n">
        <f aca="false">E5314</f>
        <v>0.75</v>
      </c>
      <c r="K5314" s="0" t="n">
        <f aca="false">F5314</f>
        <v>-0.5</v>
      </c>
      <c r="L5314" s="0" t="n">
        <f aca="false">G5314</f>
        <v>0</v>
      </c>
      <c r="M5314" s="0" t="n">
        <f aca="false">H5314</f>
        <v>1</v>
      </c>
      <c r="N5314" s="0" t="n">
        <f aca="false">E5314*F5314</f>
        <v>-0.375</v>
      </c>
      <c r="O5314" s="0" t="n">
        <f aca="false">E5314*G5314</f>
        <v>0</v>
      </c>
      <c r="P5314" s="0" t="n">
        <f aca="false">E5314*H5314</f>
        <v>0.75</v>
      </c>
      <c r="Q5314" s="0" t="n">
        <f aca="false">F5314*G5314</f>
        <v>-0</v>
      </c>
      <c r="R5314" s="0" t="n">
        <f aca="false">F5314*H5314</f>
        <v>-0.5</v>
      </c>
      <c r="S5314" s="0" t="n">
        <f aca="false">G5314*H5314</f>
        <v>0</v>
      </c>
      <c r="T5314" s="0" t="n">
        <f aca="false">E5314*E5314</f>
        <v>0.5625</v>
      </c>
      <c r="U5314" s="0" t="n">
        <f aca="false">F5314*F5314</f>
        <v>0.25</v>
      </c>
      <c r="V5314" s="0" t="n">
        <f aca="false">G5314*G5314</f>
        <v>0</v>
      </c>
      <c r="W5314" s="0" t="n">
        <f aca="false">H5314*H5314</f>
        <v>1</v>
      </c>
      <c r="X5314" s="0" t="n">
        <f aca="false">SUMPRODUCT(I5314:W5314,_XtX!$B$96:$P$96)</f>
        <v>46.0678179824562</v>
      </c>
      <c r="Y5314" s="0" t="n">
        <f aca="false">SUMPRODUCT(MMULT(I5314:W5314,_XtX!$B$78:$P$92),I5314:W5314)</f>
        <v>0.476191292032164</v>
      </c>
      <c r="Z5314" s="0" t="n">
        <f aca="false">04_回帰ANOVA!$K$19*04_回帰ANOVA!$K$14*SQRT(1+Y5314)</f>
        <v>1.58368831471718</v>
      </c>
      <c r="AA5314" s="0" t="n">
        <f aca="false">X5314-Z5314</f>
        <v>44.484129667739</v>
      </c>
      <c r="AB5314" s="0" t="n">
        <f aca="false">X5314+Z5314</f>
        <v>47.6515062971733</v>
      </c>
      <c r="AC5314" s="54" t="b">
        <f aca="false">AND(E5314&gt;=01_因子設定!$L$5-0.000000001,E5314&lt;=01_因子設定!$M$5+0.000000001,F5314&gt;=01_因子設定!$L$6-0.000000001,F5314&lt;=01_因子設定!$M$6+0.000000001,G5314&gt;=01_因子設定!$L$7-0.000000001,G5314&lt;=01_因子設定!$M$7+0.000000001,H5314&gt;=01_因子設定!$L$8-0.000000001,H5314&lt;=01_因子設定!$M$8+0.000000001,IF(01_因子設定!$B$20="Box-Behnken",E5314^2+F5314^2+G5314^2+H5314^2&lt;=2+0.000000001,TRUE()))</f>
        <v>1</v>
      </c>
      <c r="AD5314" s="55" t="n">
        <f aca="false">IF(AC5314,IF(01_因子設定!$B$13="最大化",AA5314-01_因子設定!$B$14,IF(01_因子設定!$B$13="最小化",01_因子設定!$B$15-AB5314,MIN(AA5314-01_因子設定!$B$14,01_因子設定!$B$15-AB5314))),-1E+030)</f>
        <v>-2.01587033226102</v>
      </c>
      <c r="AE5314" s="55" t="n">
        <f aca="false">IF(AC5314,IF(01_因子設定!$B$13="最大化",X5314,IF(01_因子設定!$B$13="最小化",-X5314,-ABS(X5314-01_因子設定!$B$16))),-1E+030)</f>
        <v>46.0678179824562</v>
      </c>
      <c r="AF5314" s="55" t="n">
        <f aca="false">AD5314+ROW()*0.000000001</f>
        <v>-2.01586501826102</v>
      </c>
      <c r="AG5314" s="55" t="n">
        <f aca="false">AE5314+ROW()*0.000000001</f>
        <v>46.0678232964562</v>
      </c>
    </row>
    <row r="5315" customFormat="false" ht="15" hidden="false" customHeight="false" outlineLevel="0" collapsed="false">
      <c r="A5315" s="0" t="n">
        <v>7</v>
      </c>
      <c r="B5315" s="0" t="n">
        <v>2</v>
      </c>
      <c r="C5315" s="0" t="n">
        <v>5</v>
      </c>
      <c r="D5315" s="0" t="n">
        <v>0</v>
      </c>
      <c r="E5315" s="0" t="n">
        <f aca="false">-1+A5315*0.25</f>
        <v>0.75</v>
      </c>
      <c r="F5315" s="0" t="n">
        <f aca="false">-1+B5315*0.25</f>
        <v>-0.5</v>
      </c>
      <c r="G5315" s="0" t="n">
        <f aca="false">-1+C5315*0.25</f>
        <v>0.25</v>
      </c>
      <c r="H5315" s="0" t="n">
        <f aca="false">-1+D5315*0.25</f>
        <v>-1</v>
      </c>
      <c r="I5315" s="0" t="n">
        <f aca="false">1</f>
        <v>1</v>
      </c>
      <c r="J5315" s="0" t="n">
        <f aca="false">E5315</f>
        <v>0.75</v>
      </c>
      <c r="K5315" s="0" t="n">
        <f aca="false">F5315</f>
        <v>-0.5</v>
      </c>
      <c r="L5315" s="0" t="n">
        <f aca="false">G5315</f>
        <v>0.25</v>
      </c>
      <c r="M5315" s="0" t="n">
        <f aca="false">H5315</f>
        <v>-1</v>
      </c>
      <c r="N5315" s="0" t="n">
        <f aca="false">E5315*F5315</f>
        <v>-0.375</v>
      </c>
      <c r="O5315" s="0" t="n">
        <f aca="false">E5315*G5315</f>
        <v>0.1875</v>
      </c>
      <c r="P5315" s="0" t="n">
        <f aca="false">E5315*H5315</f>
        <v>-0.75</v>
      </c>
      <c r="Q5315" s="0" t="n">
        <f aca="false">F5315*G5315</f>
        <v>-0.125</v>
      </c>
      <c r="R5315" s="0" t="n">
        <f aca="false">F5315*H5315</f>
        <v>0.5</v>
      </c>
      <c r="S5315" s="0" t="n">
        <f aca="false">G5315*H5315</f>
        <v>-0.25</v>
      </c>
      <c r="T5315" s="0" t="n">
        <f aca="false">E5315*E5315</f>
        <v>0.5625</v>
      </c>
      <c r="U5315" s="0" t="n">
        <f aca="false">F5315*F5315</f>
        <v>0.25</v>
      </c>
      <c r="V5315" s="0" t="n">
        <f aca="false">G5315*G5315</f>
        <v>0.0625</v>
      </c>
      <c r="W5315" s="0" t="n">
        <f aca="false">H5315*H5315</f>
        <v>1</v>
      </c>
      <c r="X5315" s="0" t="n">
        <f aca="false">SUMPRODUCT(I5315:W5315,_XtX!$B$96:$P$96)</f>
        <v>44.8270741959065</v>
      </c>
      <c r="Y5315" s="0" t="n">
        <f aca="false">SUMPRODUCT(MMULT(I5315:W5315,_XtX!$B$78:$P$92),I5315:W5315)</f>
        <v>0.459125719572369</v>
      </c>
      <c r="Z5315" s="0" t="n">
        <f aca="false">04_回帰ANOVA!$K$19*04_回帰ANOVA!$K$14*SQRT(1+Y5315)</f>
        <v>1.57450755575573</v>
      </c>
      <c r="AA5315" s="0" t="n">
        <f aca="false">X5315-Z5315</f>
        <v>43.2525666401507</v>
      </c>
      <c r="AB5315" s="0" t="n">
        <f aca="false">X5315+Z5315</f>
        <v>46.4015817516622</v>
      </c>
      <c r="AC5315" s="54" t="b">
        <f aca="false">AND(E5315&gt;=01_因子設定!$L$5-0.000000001,E5315&lt;=01_因子設定!$M$5+0.000000001,F5315&gt;=01_因子設定!$L$6-0.000000001,F5315&lt;=01_因子設定!$M$6+0.000000001,G5315&gt;=01_因子設定!$L$7-0.000000001,G5315&lt;=01_因子設定!$M$7+0.000000001,H5315&gt;=01_因子設定!$L$8-0.000000001,H5315&lt;=01_因子設定!$M$8+0.000000001,IF(01_因子設定!$B$20="Box-Behnken",E5315^2+F5315^2+G5315^2+H5315^2&lt;=2+0.000000001,TRUE()))</f>
        <v>1</v>
      </c>
      <c r="AD5315" s="55" t="n">
        <f aca="false">IF(AC5315,IF(01_因子設定!$B$13="最大化",AA5315-01_因子設定!$B$14,IF(01_因子設定!$B$13="最小化",01_因子設定!$B$15-AB5315,MIN(AA5315-01_因子設定!$B$14,01_因子設定!$B$15-AB5315))),-1E+030)</f>
        <v>-3.24743335984928</v>
      </c>
      <c r="AE5315" s="55" t="n">
        <f aca="false">IF(AC5315,IF(01_因子設定!$B$13="最大化",X5315,IF(01_因子設定!$B$13="最小化",-X5315,-ABS(X5315-01_因子設定!$B$16))),-1E+030)</f>
        <v>44.8270741959065</v>
      </c>
      <c r="AF5315" s="55" t="n">
        <f aca="false">AD5315+ROW()*0.000000001</f>
        <v>-3.24742804484927</v>
      </c>
      <c r="AG5315" s="55" t="n">
        <f aca="false">AE5315+ROW()*0.000000001</f>
        <v>44.8270795109065</v>
      </c>
    </row>
    <row r="5316" customFormat="false" ht="15" hidden="false" customHeight="false" outlineLevel="0" collapsed="false">
      <c r="A5316" s="0" t="n">
        <v>7</v>
      </c>
      <c r="B5316" s="0" t="n">
        <v>2</v>
      </c>
      <c r="C5316" s="0" t="n">
        <v>5</v>
      </c>
      <c r="D5316" s="0" t="n">
        <v>1</v>
      </c>
      <c r="E5316" s="0" t="n">
        <f aca="false">-1+A5316*0.25</f>
        <v>0.75</v>
      </c>
      <c r="F5316" s="0" t="n">
        <f aca="false">-1+B5316*0.25</f>
        <v>-0.5</v>
      </c>
      <c r="G5316" s="0" t="n">
        <f aca="false">-1+C5316*0.25</f>
        <v>0.25</v>
      </c>
      <c r="H5316" s="0" t="n">
        <f aca="false">-1+D5316*0.25</f>
        <v>-0.75</v>
      </c>
      <c r="I5316" s="0" t="n">
        <f aca="false">1</f>
        <v>1</v>
      </c>
      <c r="J5316" s="0" t="n">
        <f aca="false">E5316</f>
        <v>0.75</v>
      </c>
      <c r="K5316" s="0" t="n">
        <f aca="false">F5316</f>
        <v>-0.5</v>
      </c>
      <c r="L5316" s="0" t="n">
        <f aca="false">G5316</f>
        <v>0.25</v>
      </c>
      <c r="M5316" s="0" t="n">
        <f aca="false">H5316</f>
        <v>-0.75</v>
      </c>
      <c r="N5316" s="0" t="n">
        <f aca="false">E5316*F5316</f>
        <v>-0.375</v>
      </c>
      <c r="O5316" s="0" t="n">
        <f aca="false">E5316*G5316</f>
        <v>0.1875</v>
      </c>
      <c r="P5316" s="0" t="n">
        <f aca="false">E5316*H5316</f>
        <v>-0.5625</v>
      </c>
      <c r="Q5316" s="0" t="n">
        <f aca="false">F5316*G5316</f>
        <v>-0.125</v>
      </c>
      <c r="R5316" s="0" t="n">
        <f aca="false">F5316*H5316</f>
        <v>0.375</v>
      </c>
      <c r="S5316" s="0" t="n">
        <f aca="false">G5316*H5316</f>
        <v>-0.1875</v>
      </c>
      <c r="T5316" s="0" t="n">
        <f aca="false">E5316*E5316</f>
        <v>0.5625</v>
      </c>
      <c r="U5316" s="0" t="n">
        <f aca="false">F5316*F5316</f>
        <v>0.25</v>
      </c>
      <c r="V5316" s="0" t="n">
        <f aca="false">G5316*G5316</f>
        <v>0.0625</v>
      </c>
      <c r="W5316" s="0" t="n">
        <f aca="false">H5316*H5316</f>
        <v>0.5625</v>
      </c>
      <c r="X5316" s="0" t="n">
        <f aca="false">SUMPRODUCT(I5316:W5316,_XtX!$B$96:$P$96)</f>
        <v>45.1637563961988</v>
      </c>
      <c r="Y5316" s="0" t="n">
        <f aca="false">SUMPRODUCT(MMULT(I5316:W5316,_XtX!$B$78:$P$92),I5316:W5316)</f>
        <v>0.257385610836988</v>
      </c>
      <c r="Z5316" s="0" t="n">
        <f aca="false">04_回帰ANOVA!$K$19*04_回帰ANOVA!$K$14*SQRT(1+Y5316)</f>
        <v>1.46161380324158</v>
      </c>
      <c r="AA5316" s="0" t="n">
        <f aca="false">X5316-Z5316</f>
        <v>43.7021425929573</v>
      </c>
      <c r="AB5316" s="0" t="n">
        <f aca="false">X5316+Z5316</f>
        <v>46.6253701994404</v>
      </c>
      <c r="AC5316" s="54" t="b">
        <f aca="false">AND(E5316&gt;=01_因子設定!$L$5-0.000000001,E5316&lt;=01_因子設定!$M$5+0.000000001,F5316&gt;=01_因子設定!$L$6-0.000000001,F5316&lt;=01_因子設定!$M$6+0.000000001,G5316&gt;=01_因子設定!$L$7-0.000000001,G5316&lt;=01_因子設定!$M$7+0.000000001,H5316&gt;=01_因子設定!$L$8-0.000000001,H5316&lt;=01_因子設定!$M$8+0.000000001,IF(01_因子設定!$B$20="Box-Behnken",E5316^2+F5316^2+G5316^2+H5316^2&lt;=2+0.000000001,TRUE()))</f>
        <v>1</v>
      </c>
      <c r="AD5316" s="55" t="n">
        <f aca="false">IF(AC5316,IF(01_因子設定!$B$13="最大化",AA5316-01_因子設定!$B$14,IF(01_因子設定!$B$13="最小化",01_因子設定!$B$15-AB5316,MIN(AA5316-01_因子設定!$B$14,01_因子設定!$B$15-AB5316))),-1E+030)</f>
        <v>-2.79785740704275</v>
      </c>
      <c r="AE5316" s="55" t="n">
        <f aca="false">IF(AC5316,IF(01_因子設定!$B$13="最大化",X5316,IF(01_因子設定!$B$13="最小化",-X5316,-ABS(X5316-01_因子設定!$B$16))),-1E+030)</f>
        <v>45.1637563961988</v>
      </c>
      <c r="AF5316" s="55" t="n">
        <f aca="false">AD5316+ROW()*0.000000001</f>
        <v>-2.79785209104275</v>
      </c>
      <c r="AG5316" s="55" t="n">
        <f aca="false">AE5316+ROW()*0.000000001</f>
        <v>45.1637617121988</v>
      </c>
    </row>
    <row r="5317" customFormat="false" ht="15" hidden="false" customHeight="false" outlineLevel="0" collapsed="false">
      <c r="A5317" s="0" t="n">
        <v>7</v>
      </c>
      <c r="B5317" s="0" t="n">
        <v>2</v>
      </c>
      <c r="C5317" s="0" t="n">
        <v>5</v>
      </c>
      <c r="D5317" s="0" t="n">
        <v>2</v>
      </c>
      <c r="E5317" s="0" t="n">
        <f aca="false">-1+A5317*0.25</f>
        <v>0.75</v>
      </c>
      <c r="F5317" s="0" t="n">
        <f aca="false">-1+B5317*0.25</f>
        <v>-0.5</v>
      </c>
      <c r="G5317" s="0" t="n">
        <f aca="false">-1+C5317*0.25</f>
        <v>0.25</v>
      </c>
      <c r="H5317" s="0" t="n">
        <f aca="false">-1+D5317*0.25</f>
        <v>-0.5</v>
      </c>
      <c r="I5317" s="0" t="n">
        <f aca="false">1</f>
        <v>1</v>
      </c>
      <c r="J5317" s="0" t="n">
        <f aca="false">E5317</f>
        <v>0.75</v>
      </c>
      <c r="K5317" s="0" t="n">
        <f aca="false">F5317</f>
        <v>-0.5</v>
      </c>
      <c r="L5317" s="0" t="n">
        <f aca="false">G5317</f>
        <v>0.25</v>
      </c>
      <c r="M5317" s="0" t="n">
        <f aca="false">H5317</f>
        <v>-0.5</v>
      </c>
      <c r="N5317" s="0" t="n">
        <f aca="false">E5317*F5317</f>
        <v>-0.375</v>
      </c>
      <c r="O5317" s="0" t="n">
        <f aca="false">E5317*G5317</f>
        <v>0.1875</v>
      </c>
      <c r="P5317" s="0" t="n">
        <f aca="false">E5317*H5317</f>
        <v>-0.375</v>
      </c>
      <c r="Q5317" s="0" t="n">
        <f aca="false">F5317*G5317</f>
        <v>-0.125</v>
      </c>
      <c r="R5317" s="0" t="n">
        <f aca="false">F5317*H5317</f>
        <v>0.25</v>
      </c>
      <c r="S5317" s="0" t="n">
        <f aca="false">G5317*H5317</f>
        <v>-0.125</v>
      </c>
      <c r="T5317" s="0" t="n">
        <f aca="false">E5317*E5317</f>
        <v>0.5625</v>
      </c>
      <c r="U5317" s="0" t="n">
        <f aca="false">F5317*F5317</f>
        <v>0.25</v>
      </c>
      <c r="V5317" s="0" t="n">
        <f aca="false">G5317*G5317</f>
        <v>0.0625</v>
      </c>
      <c r="W5317" s="0" t="n">
        <f aca="false">H5317*H5317</f>
        <v>0.25</v>
      </c>
      <c r="X5317" s="0" t="n">
        <f aca="false">SUMPRODUCT(I5317:W5317,_XtX!$B$96:$P$96)</f>
        <v>45.4526315789474</v>
      </c>
      <c r="Y5317" s="0" t="n">
        <f aca="false">SUMPRODUCT(MMULT(I5317:W5317,_XtX!$B$78:$P$92),I5317:W5317)</f>
        <v>0.203746059484649</v>
      </c>
      <c r="Z5317" s="0" t="n">
        <f aca="false">04_回帰ANOVA!$K$19*04_回帰ANOVA!$K$14*SQRT(1+Y5317)</f>
        <v>1.43009810755465</v>
      </c>
      <c r="AA5317" s="0" t="n">
        <f aca="false">X5317-Z5317</f>
        <v>44.0225334713927</v>
      </c>
      <c r="AB5317" s="0" t="n">
        <f aca="false">X5317+Z5317</f>
        <v>46.882729686502</v>
      </c>
      <c r="AC5317" s="54" t="b">
        <f aca="false">AND(E5317&gt;=01_因子設定!$L$5-0.000000001,E5317&lt;=01_因子設定!$M$5+0.000000001,F5317&gt;=01_因子設定!$L$6-0.000000001,F5317&lt;=01_因子設定!$M$6+0.000000001,G5317&gt;=01_因子設定!$L$7-0.000000001,G5317&lt;=01_因子設定!$M$7+0.000000001,H5317&gt;=01_因子設定!$L$8-0.000000001,H5317&lt;=01_因子設定!$M$8+0.000000001,IF(01_因子設定!$B$20="Box-Behnken",E5317^2+F5317^2+G5317^2+H5317^2&lt;=2+0.000000001,TRUE()))</f>
        <v>1</v>
      </c>
      <c r="AD5317" s="55" t="n">
        <f aca="false">IF(AC5317,IF(01_因子設定!$B$13="最大化",AA5317-01_因子設定!$B$14,IF(01_因子設定!$B$13="最小化",01_因子設定!$B$15-AB5317,MIN(AA5317-01_因子設定!$B$14,01_因子設定!$B$15-AB5317))),-1E+030)</f>
        <v>-2.47746652860729</v>
      </c>
      <c r="AE5317" s="55" t="n">
        <f aca="false">IF(AC5317,IF(01_因子設定!$B$13="最大化",X5317,IF(01_因子設定!$B$13="最小化",-X5317,-ABS(X5317-01_因子設定!$B$16))),-1E+030)</f>
        <v>45.4526315789474</v>
      </c>
      <c r="AF5317" s="55" t="n">
        <f aca="false">AD5317+ROW()*0.000000001</f>
        <v>-2.47746121160729</v>
      </c>
      <c r="AG5317" s="55" t="n">
        <f aca="false">AE5317+ROW()*0.000000001</f>
        <v>45.4526368959474</v>
      </c>
    </row>
    <row r="5318" customFormat="false" ht="15" hidden="false" customHeight="false" outlineLevel="0" collapsed="false">
      <c r="A5318" s="0" t="n">
        <v>7</v>
      </c>
      <c r="B5318" s="0" t="n">
        <v>2</v>
      </c>
      <c r="C5318" s="0" t="n">
        <v>5</v>
      </c>
      <c r="D5318" s="0" t="n">
        <v>3</v>
      </c>
      <c r="E5318" s="0" t="n">
        <f aca="false">-1+A5318*0.25</f>
        <v>0.75</v>
      </c>
      <c r="F5318" s="0" t="n">
        <f aca="false">-1+B5318*0.25</f>
        <v>-0.5</v>
      </c>
      <c r="G5318" s="0" t="n">
        <f aca="false">-1+C5318*0.25</f>
        <v>0.25</v>
      </c>
      <c r="H5318" s="0" t="n">
        <f aca="false">-1+D5318*0.25</f>
        <v>-0.25</v>
      </c>
      <c r="I5318" s="0" t="n">
        <f aca="false">1</f>
        <v>1</v>
      </c>
      <c r="J5318" s="0" t="n">
        <f aca="false">E5318</f>
        <v>0.75</v>
      </c>
      <c r="K5318" s="0" t="n">
        <f aca="false">F5318</f>
        <v>-0.5</v>
      </c>
      <c r="L5318" s="0" t="n">
        <f aca="false">G5318</f>
        <v>0.25</v>
      </c>
      <c r="M5318" s="0" t="n">
        <f aca="false">H5318</f>
        <v>-0.25</v>
      </c>
      <c r="N5318" s="0" t="n">
        <f aca="false">E5318*F5318</f>
        <v>-0.375</v>
      </c>
      <c r="O5318" s="0" t="n">
        <f aca="false">E5318*G5318</f>
        <v>0.1875</v>
      </c>
      <c r="P5318" s="0" t="n">
        <f aca="false">E5318*H5318</f>
        <v>-0.1875</v>
      </c>
      <c r="Q5318" s="0" t="n">
        <f aca="false">F5318*G5318</f>
        <v>-0.125</v>
      </c>
      <c r="R5318" s="0" t="n">
        <f aca="false">F5318*H5318</f>
        <v>0.125</v>
      </c>
      <c r="S5318" s="0" t="n">
        <f aca="false">G5318*H5318</f>
        <v>-0.0625</v>
      </c>
      <c r="T5318" s="0" t="n">
        <f aca="false">E5318*E5318</f>
        <v>0.5625</v>
      </c>
      <c r="U5318" s="0" t="n">
        <f aca="false">F5318*F5318</f>
        <v>0.25</v>
      </c>
      <c r="V5318" s="0" t="n">
        <f aca="false">G5318*G5318</f>
        <v>0.0625</v>
      </c>
      <c r="W5318" s="0" t="n">
        <f aca="false">H5318*H5318</f>
        <v>0.0625</v>
      </c>
      <c r="X5318" s="0" t="n">
        <f aca="false">SUMPRODUCT(I5318:W5318,_XtX!$B$96:$P$96)</f>
        <v>45.693699744152</v>
      </c>
      <c r="Y5318" s="0" t="n">
        <f aca="false">SUMPRODUCT(MMULT(I5318:W5318,_XtX!$B$78:$P$92),I5318:W5318)</f>
        <v>0.207746539199561</v>
      </c>
      <c r="Z5318" s="0" t="n">
        <f aca="false">04_回帰ANOVA!$K$19*04_回帰ANOVA!$K$14*SQRT(1+Y5318)</f>
        <v>1.43247250081141</v>
      </c>
      <c r="AA5318" s="0" t="n">
        <f aca="false">X5318-Z5318</f>
        <v>44.2612272433406</v>
      </c>
      <c r="AB5318" s="0" t="n">
        <f aca="false">X5318+Z5318</f>
        <v>47.1261722449634</v>
      </c>
      <c r="AC5318" s="54" t="b">
        <f aca="false">AND(E5318&gt;=01_因子設定!$L$5-0.000000001,E5318&lt;=01_因子設定!$M$5+0.000000001,F5318&gt;=01_因子設定!$L$6-0.000000001,F5318&lt;=01_因子設定!$M$6+0.000000001,G5318&gt;=01_因子設定!$L$7-0.000000001,G5318&lt;=01_因子設定!$M$7+0.000000001,H5318&gt;=01_因子設定!$L$8-0.000000001,H5318&lt;=01_因子設定!$M$8+0.000000001,IF(01_因子設定!$B$20="Box-Behnken",E5318^2+F5318^2+G5318^2+H5318^2&lt;=2+0.000000001,TRUE()))</f>
        <v>1</v>
      </c>
      <c r="AD5318" s="55" t="n">
        <f aca="false">IF(AC5318,IF(01_因子設定!$B$13="最大化",AA5318-01_因子設定!$B$14,IF(01_因子設定!$B$13="最小化",01_因子設定!$B$15-AB5318,MIN(AA5318-01_因子設定!$B$14,01_因子設定!$B$15-AB5318))),-1E+030)</f>
        <v>-2.23877275665937</v>
      </c>
      <c r="AE5318" s="55" t="n">
        <f aca="false">IF(AC5318,IF(01_因子設定!$B$13="最大化",X5318,IF(01_因子設定!$B$13="最小化",-X5318,-ABS(X5318-01_因子設定!$B$16))),-1E+030)</f>
        <v>45.693699744152</v>
      </c>
      <c r="AF5318" s="55" t="n">
        <f aca="false">AD5318+ROW()*0.000000001</f>
        <v>-2.23876743865937</v>
      </c>
      <c r="AG5318" s="55" t="n">
        <f aca="false">AE5318+ROW()*0.000000001</f>
        <v>45.693705062152</v>
      </c>
    </row>
    <row r="5319" customFormat="false" ht="15" hidden="false" customHeight="false" outlineLevel="0" collapsed="false">
      <c r="A5319" s="0" t="n">
        <v>7</v>
      </c>
      <c r="B5319" s="0" t="n">
        <v>2</v>
      </c>
      <c r="C5319" s="0" t="n">
        <v>5</v>
      </c>
      <c r="D5319" s="0" t="n">
        <v>4</v>
      </c>
      <c r="E5319" s="0" t="n">
        <f aca="false">-1+A5319*0.25</f>
        <v>0.75</v>
      </c>
      <c r="F5319" s="0" t="n">
        <f aca="false">-1+B5319*0.25</f>
        <v>-0.5</v>
      </c>
      <c r="G5319" s="0" t="n">
        <f aca="false">-1+C5319*0.25</f>
        <v>0.25</v>
      </c>
      <c r="H5319" s="0" t="n">
        <f aca="false">-1+D5319*0.25</f>
        <v>0</v>
      </c>
      <c r="I5319" s="0" t="n">
        <f aca="false">1</f>
        <v>1</v>
      </c>
      <c r="J5319" s="0" t="n">
        <f aca="false">E5319</f>
        <v>0.75</v>
      </c>
      <c r="K5319" s="0" t="n">
        <f aca="false">F5319</f>
        <v>-0.5</v>
      </c>
      <c r="L5319" s="0" t="n">
        <f aca="false">G5319</f>
        <v>0.25</v>
      </c>
      <c r="M5319" s="0" t="n">
        <f aca="false">H5319</f>
        <v>0</v>
      </c>
      <c r="N5319" s="0" t="n">
        <f aca="false">E5319*F5319</f>
        <v>-0.375</v>
      </c>
      <c r="O5319" s="0" t="n">
        <f aca="false">E5319*G5319</f>
        <v>0.1875</v>
      </c>
      <c r="P5319" s="0" t="n">
        <f aca="false">E5319*H5319</f>
        <v>0</v>
      </c>
      <c r="Q5319" s="0" t="n">
        <f aca="false">F5319*G5319</f>
        <v>-0.125</v>
      </c>
      <c r="R5319" s="0" t="n">
        <f aca="false">F5319*H5319</f>
        <v>-0</v>
      </c>
      <c r="S5319" s="0" t="n">
        <f aca="false">G5319*H5319</f>
        <v>0</v>
      </c>
      <c r="T5319" s="0" t="n">
        <f aca="false">E5319*E5319</f>
        <v>0.5625</v>
      </c>
      <c r="U5319" s="0" t="n">
        <f aca="false">F5319*F5319</f>
        <v>0.25</v>
      </c>
      <c r="V5319" s="0" t="n">
        <f aca="false">G5319*G5319</f>
        <v>0.0625</v>
      </c>
      <c r="W5319" s="0" t="n">
        <f aca="false">H5319*H5319</f>
        <v>0</v>
      </c>
      <c r="X5319" s="0" t="n">
        <f aca="false">SUMPRODUCT(I5319:W5319,_XtX!$B$96:$P$96)</f>
        <v>45.8869608918129</v>
      </c>
      <c r="Y5319" s="0" t="n">
        <f aca="false">SUMPRODUCT(MMULT(I5319:W5319,_XtX!$B$78:$P$92),I5319:W5319)</f>
        <v>0.215110734192252</v>
      </c>
      <c r="Z5319" s="0" t="n">
        <f aca="false">04_回帰ANOVA!$K$19*04_回帰ANOVA!$K$14*SQRT(1+Y5319)</f>
        <v>1.43683309086864</v>
      </c>
      <c r="AA5319" s="0" t="n">
        <f aca="false">X5319-Z5319</f>
        <v>44.4501278009442</v>
      </c>
      <c r="AB5319" s="0" t="n">
        <f aca="false">X5319+Z5319</f>
        <v>47.3237939826815</v>
      </c>
      <c r="AC5319" s="54" t="b">
        <f aca="false">AND(E5319&gt;=01_因子設定!$L$5-0.000000001,E5319&lt;=01_因子設定!$M$5+0.000000001,F5319&gt;=01_因子設定!$L$6-0.000000001,F5319&lt;=01_因子設定!$M$6+0.000000001,G5319&gt;=01_因子設定!$L$7-0.000000001,G5319&lt;=01_因子設定!$M$7+0.000000001,H5319&gt;=01_因子設定!$L$8-0.000000001,H5319&lt;=01_因子設定!$M$8+0.000000001,IF(01_因子設定!$B$20="Box-Behnken",E5319^2+F5319^2+G5319^2+H5319^2&lt;=2+0.000000001,TRUE()))</f>
        <v>1</v>
      </c>
      <c r="AD5319" s="55" t="n">
        <f aca="false">IF(AC5319,IF(01_因子設定!$B$13="最大化",AA5319-01_因子設定!$B$14,IF(01_因子設定!$B$13="最小化",01_因子設定!$B$15-AB5319,MIN(AA5319-01_因子設定!$B$14,01_因子設定!$B$15-AB5319))),-1E+030)</f>
        <v>-2.0498721990558</v>
      </c>
      <c r="AE5319" s="55" t="n">
        <f aca="false">IF(AC5319,IF(01_因子設定!$B$13="最大化",X5319,IF(01_因子設定!$B$13="最小化",-X5319,-ABS(X5319-01_因子設定!$B$16))),-1E+030)</f>
        <v>45.8869608918129</v>
      </c>
      <c r="AF5319" s="55" t="n">
        <f aca="false">AD5319+ROW()*0.000000001</f>
        <v>-2.0498668800558</v>
      </c>
      <c r="AG5319" s="55" t="n">
        <f aca="false">AE5319+ROW()*0.000000001</f>
        <v>45.8869662108129</v>
      </c>
    </row>
    <row r="5320" customFormat="false" ht="15" hidden="false" customHeight="false" outlineLevel="0" collapsed="false">
      <c r="A5320" s="0" t="n">
        <v>7</v>
      </c>
      <c r="B5320" s="0" t="n">
        <v>2</v>
      </c>
      <c r="C5320" s="0" t="n">
        <v>5</v>
      </c>
      <c r="D5320" s="0" t="n">
        <v>5</v>
      </c>
      <c r="E5320" s="0" t="n">
        <f aca="false">-1+A5320*0.25</f>
        <v>0.75</v>
      </c>
      <c r="F5320" s="0" t="n">
        <f aca="false">-1+B5320*0.25</f>
        <v>-0.5</v>
      </c>
      <c r="G5320" s="0" t="n">
        <f aca="false">-1+C5320*0.25</f>
        <v>0.25</v>
      </c>
      <c r="H5320" s="0" t="n">
        <f aca="false">-1+D5320*0.25</f>
        <v>0.25</v>
      </c>
      <c r="I5320" s="0" t="n">
        <f aca="false">1</f>
        <v>1</v>
      </c>
      <c r="J5320" s="0" t="n">
        <f aca="false">E5320</f>
        <v>0.75</v>
      </c>
      <c r="K5320" s="0" t="n">
        <f aca="false">F5320</f>
        <v>-0.5</v>
      </c>
      <c r="L5320" s="0" t="n">
        <f aca="false">G5320</f>
        <v>0.25</v>
      </c>
      <c r="M5320" s="0" t="n">
        <f aca="false">H5320</f>
        <v>0.25</v>
      </c>
      <c r="N5320" s="0" t="n">
        <f aca="false">E5320*F5320</f>
        <v>-0.375</v>
      </c>
      <c r="O5320" s="0" t="n">
        <f aca="false">E5320*G5320</f>
        <v>0.1875</v>
      </c>
      <c r="P5320" s="0" t="n">
        <f aca="false">E5320*H5320</f>
        <v>0.1875</v>
      </c>
      <c r="Q5320" s="0" t="n">
        <f aca="false">F5320*G5320</f>
        <v>-0.125</v>
      </c>
      <c r="R5320" s="0" t="n">
        <f aca="false">F5320*H5320</f>
        <v>-0.125</v>
      </c>
      <c r="S5320" s="0" t="n">
        <f aca="false">G5320*H5320</f>
        <v>0.0625</v>
      </c>
      <c r="T5320" s="0" t="n">
        <f aca="false">E5320*E5320</f>
        <v>0.5625</v>
      </c>
      <c r="U5320" s="0" t="n">
        <f aca="false">F5320*F5320</f>
        <v>0.25</v>
      </c>
      <c r="V5320" s="0" t="n">
        <f aca="false">G5320*G5320</f>
        <v>0.0625</v>
      </c>
      <c r="W5320" s="0" t="n">
        <f aca="false">H5320*H5320</f>
        <v>0.0625</v>
      </c>
      <c r="X5320" s="0" t="n">
        <f aca="false">SUMPRODUCT(I5320:W5320,_XtX!$B$96:$P$96)</f>
        <v>46.0324150219298</v>
      </c>
      <c r="Y5320" s="0" t="n">
        <f aca="false">SUMPRODUCT(MMULT(I5320:W5320,_XtX!$B$78:$P$92),I5320:W5320)</f>
        <v>0.207746539199561</v>
      </c>
      <c r="Z5320" s="0" t="n">
        <f aca="false">04_回帰ANOVA!$K$19*04_回帰ANOVA!$K$14*SQRT(1+Y5320)</f>
        <v>1.43247250081141</v>
      </c>
      <c r="AA5320" s="0" t="n">
        <f aca="false">X5320-Z5320</f>
        <v>44.5999425211184</v>
      </c>
      <c r="AB5320" s="0" t="n">
        <f aca="false">X5320+Z5320</f>
        <v>47.4648875227412</v>
      </c>
      <c r="AC5320" s="54" t="b">
        <f aca="false">AND(E5320&gt;=01_因子設定!$L$5-0.000000001,E5320&lt;=01_因子設定!$M$5+0.000000001,F5320&gt;=01_因子設定!$L$6-0.000000001,F5320&lt;=01_因子設定!$M$6+0.000000001,G5320&gt;=01_因子設定!$L$7-0.000000001,G5320&lt;=01_因子設定!$M$7+0.000000001,H5320&gt;=01_因子設定!$L$8-0.000000001,H5320&lt;=01_因子設定!$M$8+0.000000001,IF(01_因子設定!$B$20="Box-Behnken",E5320^2+F5320^2+G5320^2+H5320^2&lt;=2+0.000000001,TRUE()))</f>
        <v>1</v>
      </c>
      <c r="AD5320" s="55" t="n">
        <f aca="false">IF(AC5320,IF(01_因子設定!$B$13="最大化",AA5320-01_因子設定!$B$14,IF(01_因子設定!$B$13="最小化",01_因子設定!$B$15-AB5320,MIN(AA5320-01_因子設定!$B$14,01_因子設定!$B$15-AB5320))),-1E+030)</f>
        <v>-1.9000574788816</v>
      </c>
      <c r="AE5320" s="55" t="n">
        <f aca="false">IF(AC5320,IF(01_因子設定!$B$13="最大化",X5320,IF(01_因子設定!$B$13="最小化",-X5320,-ABS(X5320-01_因子設定!$B$16))),-1E+030)</f>
        <v>46.0324150219298</v>
      </c>
      <c r="AF5320" s="55" t="n">
        <f aca="false">AD5320+ROW()*0.000000001</f>
        <v>-1.9000521588816</v>
      </c>
      <c r="AG5320" s="55" t="n">
        <f aca="false">AE5320+ROW()*0.000000001</f>
        <v>46.0324203419298</v>
      </c>
    </row>
    <row r="5321" customFormat="false" ht="15" hidden="false" customHeight="false" outlineLevel="0" collapsed="false">
      <c r="A5321" s="0" t="n">
        <v>7</v>
      </c>
      <c r="B5321" s="0" t="n">
        <v>2</v>
      </c>
      <c r="C5321" s="0" t="n">
        <v>5</v>
      </c>
      <c r="D5321" s="0" t="n">
        <v>6</v>
      </c>
      <c r="E5321" s="0" t="n">
        <f aca="false">-1+A5321*0.25</f>
        <v>0.75</v>
      </c>
      <c r="F5321" s="0" t="n">
        <f aca="false">-1+B5321*0.25</f>
        <v>-0.5</v>
      </c>
      <c r="G5321" s="0" t="n">
        <f aca="false">-1+C5321*0.25</f>
        <v>0.25</v>
      </c>
      <c r="H5321" s="0" t="n">
        <f aca="false">-1+D5321*0.25</f>
        <v>0.5</v>
      </c>
      <c r="I5321" s="0" t="n">
        <f aca="false">1</f>
        <v>1</v>
      </c>
      <c r="J5321" s="0" t="n">
        <f aca="false">E5321</f>
        <v>0.75</v>
      </c>
      <c r="K5321" s="0" t="n">
        <f aca="false">F5321</f>
        <v>-0.5</v>
      </c>
      <c r="L5321" s="0" t="n">
        <f aca="false">G5321</f>
        <v>0.25</v>
      </c>
      <c r="M5321" s="0" t="n">
        <f aca="false">H5321</f>
        <v>0.5</v>
      </c>
      <c r="N5321" s="0" t="n">
        <f aca="false">E5321*F5321</f>
        <v>-0.375</v>
      </c>
      <c r="O5321" s="0" t="n">
        <f aca="false">E5321*G5321</f>
        <v>0.1875</v>
      </c>
      <c r="P5321" s="0" t="n">
        <f aca="false">E5321*H5321</f>
        <v>0.375</v>
      </c>
      <c r="Q5321" s="0" t="n">
        <f aca="false">F5321*G5321</f>
        <v>-0.125</v>
      </c>
      <c r="R5321" s="0" t="n">
        <f aca="false">F5321*H5321</f>
        <v>-0.25</v>
      </c>
      <c r="S5321" s="0" t="n">
        <f aca="false">G5321*H5321</f>
        <v>0.125</v>
      </c>
      <c r="T5321" s="0" t="n">
        <f aca="false">E5321*E5321</f>
        <v>0.5625</v>
      </c>
      <c r="U5321" s="0" t="n">
        <f aca="false">F5321*F5321</f>
        <v>0.25</v>
      </c>
      <c r="V5321" s="0" t="n">
        <f aca="false">G5321*G5321</f>
        <v>0.0625</v>
      </c>
      <c r="W5321" s="0" t="n">
        <f aca="false">H5321*H5321</f>
        <v>0.25</v>
      </c>
      <c r="X5321" s="0" t="n">
        <f aca="false">SUMPRODUCT(I5321:W5321,_XtX!$B$96:$P$96)</f>
        <v>46.1300621345029</v>
      </c>
      <c r="Y5321" s="0" t="n">
        <f aca="false">SUMPRODUCT(MMULT(I5321:W5321,_XtX!$B$78:$P$92),I5321:W5321)</f>
        <v>0.203746059484649</v>
      </c>
      <c r="Z5321" s="0" t="n">
        <f aca="false">04_回帰ANOVA!$K$19*04_回帰ANOVA!$K$14*SQRT(1+Y5321)</f>
        <v>1.43009810755465</v>
      </c>
      <c r="AA5321" s="0" t="n">
        <f aca="false">X5321-Z5321</f>
        <v>44.6999640269483</v>
      </c>
      <c r="AB5321" s="0" t="n">
        <f aca="false">X5321+Z5321</f>
        <v>47.5601602420576</v>
      </c>
      <c r="AC5321" s="54" t="b">
        <f aca="false">AND(E5321&gt;=01_因子設定!$L$5-0.000000001,E5321&lt;=01_因子設定!$M$5+0.000000001,F5321&gt;=01_因子設定!$L$6-0.000000001,F5321&lt;=01_因子設定!$M$6+0.000000001,G5321&gt;=01_因子設定!$L$7-0.000000001,G5321&lt;=01_因子設定!$M$7+0.000000001,H5321&gt;=01_因子設定!$L$8-0.000000001,H5321&lt;=01_因子設定!$M$8+0.000000001,IF(01_因子設定!$B$20="Box-Behnken",E5321^2+F5321^2+G5321^2+H5321^2&lt;=2+0.000000001,TRUE()))</f>
        <v>1</v>
      </c>
      <c r="AD5321" s="55" t="n">
        <f aca="false">IF(AC5321,IF(01_因子設定!$B$13="最大化",AA5321-01_因子設定!$B$14,IF(01_因子設定!$B$13="最小化",01_因子設定!$B$15-AB5321,MIN(AA5321-01_因子設定!$B$14,01_因子設定!$B$15-AB5321))),-1E+030)</f>
        <v>-1.80003597305173</v>
      </c>
      <c r="AE5321" s="55" t="n">
        <f aca="false">IF(AC5321,IF(01_因子設定!$B$13="最大化",X5321,IF(01_因子設定!$B$13="最小化",-X5321,-ABS(X5321-01_因子設定!$B$16))),-1E+030)</f>
        <v>46.1300621345029</v>
      </c>
      <c r="AF5321" s="55" t="n">
        <f aca="false">AD5321+ROW()*0.000000001</f>
        <v>-1.80003065205173</v>
      </c>
      <c r="AG5321" s="55" t="n">
        <f aca="false">AE5321+ROW()*0.000000001</f>
        <v>46.1300674555029</v>
      </c>
    </row>
    <row r="5322" customFormat="false" ht="15" hidden="false" customHeight="false" outlineLevel="0" collapsed="false">
      <c r="A5322" s="0" t="n">
        <v>7</v>
      </c>
      <c r="B5322" s="0" t="n">
        <v>2</v>
      </c>
      <c r="C5322" s="0" t="n">
        <v>5</v>
      </c>
      <c r="D5322" s="0" t="n">
        <v>7</v>
      </c>
      <c r="E5322" s="0" t="n">
        <f aca="false">-1+A5322*0.25</f>
        <v>0.75</v>
      </c>
      <c r="F5322" s="0" t="n">
        <f aca="false">-1+B5322*0.25</f>
        <v>-0.5</v>
      </c>
      <c r="G5322" s="0" t="n">
        <f aca="false">-1+C5322*0.25</f>
        <v>0.25</v>
      </c>
      <c r="H5322" s="0" t="n">
        <f aca="false">-1+D5322*0.25</f>
        <v>0.75</v>
      </c>
      <c r="I5322" s="0" t="n">
        <f aca="false">1</f>
        <v>1</v>
      </c>
      <c r="J5322" s="0" t="n">
        <f aca="false">E5322</f>
        <v>0.75</v>
      </c>
      <c r="K5322" s="0" t="n">
        <f aca="false">F5322</f>
        <v>-0.5</v>
      </c>
      <c r="L5322" s="0" t="n">
        <f aca="false">G5322</f>
        <v>0.25</v>
      </c>
      <c r="M5322" s="0" t="n">
        <f aca="false">H5322</f>
        <v>0.75</v>
      </c>
      <c r="N5322" s="0" t="n">
        <f aca="false">E5322*F5322</f>
        <v>-0.375</v>
      </c>
      <c r="O5322" s="0" t="n">
        <f aca="false">E5322*G5322</f>
        <v>0.1875</v>
      </c>
      <c r="P5322" s="0" t="n">
        <f aca="false">E5322*H5322</f>
        <v>0.5625</v>
      </c>
      <c r="Q5322" s="0" t="n">
        <f aca="false">F5322*G5322</f>
        <v>-0.125</v>
      </c>
      <c r="R5322" s="0" t="n">
        <f aca="false">F5322*H5322</f>
        <v>-0.375</v>
      </c>
      <c r="S5322" s="0" t="n">
        <f aca="false">G5322*H5322</f>
        <v>0.1875</v>
      </c>
      <c r="T5322" s="0" t="n">
        <f aca="false">E5322*E5322</f>
        <v>0.5625</v>
      </c>
      <c r="U5322" s="0" t="n">
        <f aca="false">F5322*F5322</f>
        <v>0.25</v>
      </c>
      <c r="V5322" s="0" t="n">
        <f aca="false">G5322*G5322</f>
        <v>0.0625</v>
      </c>
      <c r="W5322" s="0" t="n">
        <f aca="false">H5322*H5322</f>
        <v>0.5625</v>
      </c>
      <c r="X5322" s="0" t="n">
        <f aca="false">SUMPRODUCT(I5322:W5322,_XtX!$B$96:$P$96)</f>
        <v>46.1799022295322</v>
      </c>
      <c r="Y5322" s="0" t="n">
        <f aca="false">SUMPRODUCT(MMULT(I5322:W5322,_XtX!$B$78:$P$92),I5322:W5322)</f>
        <v>0.257385610836988</v>
      </c>
      <c r="Z5322" s="0" t="n">
        <f aca="false">04_回帰ANOVA!$K$19*04_回帰ANOVA!$K$14*SQRT(1+Y5322)</f>
        <v>1.46161380324158</v>
      </c>
      <c r="AA5322" s="0" t="n">
        <f aca="false">X5322-Z5322</f>
        <v>44.7182884262906</v>
      </c>
      <c r="AB5322" s="0" t="n">
        <f aca="false">X5322+Z5322</f>
        <v>47.6415160327738</v>
      </c>
      <c r="AC5322" s="54" t="b">
        <f aca="false">AND(E5322&gt;=01_因子設定!$L$5-0.000000001,E5322&lt;=01_因子設定!$M$5+0.000000001,F5322&gt;=01_因子設定!$L$6-0.000000001,F5322&lt;=01_因子設定!$M$6+0.000000001,G5322&gt;=01_因子設定!$L$7-0.000000001,G5322&lt;=01_因子設定!$M$7+0.000000001,H5322&gt;=01_因子設定!$L$8-0.000000001,H5322&lt;=01_因子設定!$M$8+0.000000001,IF(01_因子設定!$B$20="Box-Behnken",E5322^2+F5322^2+G5322^2+H5322^2&lt;=2+0.000000001,TRUE()))</f>
        <v>1</v>
      </c>
      <c r="AD5322" s="55" t="n">
        <f aca="false">IF(AC5322,IF(01_因子設定!$B$13="最大化",AA5322-01_因子設定!$B$14,IF(01_因子設定!$B$13="最小化",01_因子設定!$B$15-AB5322,MIN(AA5322-01_因子設定!$B$14,01_因子設定!$B$15-AB5322))),-1E+030)</f>
        <v>-1.78171157370942</v>
      </c>
      <c r="AE5322" s="55" t="n">
        <f aca="false">IF(AC5322,IF(01_因子設定!$B$13="最大化",X5322,IF(01_因子設定!$B$13="最小化",-X5322,-ABS(X5322-01_因子設定!$B$16))),-1E+030)</f>
        <v>46.1799022295322</v>
      </c>
      <c r="AF5322" s="55" t="n">
        <f aca="false">AD5322+ROW()*0.000000001</f>
        <v>-1.78170625170942</v>
      </c>
      <c r="AG5322" s="55" t="n">
        <f aca="false">AE5322+ROW()*0.000000001</f>
        <v>46.1799075515322</v>
      </c>
    </row>
    <row r="5323" customFormat="false" ht="15" hidden="false" customHeight="false" outlineLevel="0" collapsed="false">
      <c r="A5323" s="0" t="n">
        <v>7</v>
      </c>
      <c r="B5323" s="0" t="n">
        <v>2</v>
      </c>
      <c r="C5323" s="0" t="n">
        <v>5</v>
      </c>
      <c r="D5323" s="0" t="n">
        <v>8</v>
      </c>
      <c r="E5323" s="0" t="n">
        <f aca="false">-1+A5323*0.25</f>
        <v>0.75</v>
      </c>
      <c r="F5323" s="0" t="n">
        <f aca="false">-1+B5323*0.25</f>
        <v>-0.5</v>
      </c>
      <c r="G5323" s="0" t="n">
        <f aca="false">-1+C5323*0.25</f>
        <v>0.25</v>
      </c>
      <c r="H5323" s="0" t="n">
        <f aca="false">-1+D5323*0.25</f>
        <v>1</v>
      </c>
      <c r="I5323" s="0" t="n">
        <f aca="false">1</f>
        <v>1</v>
      </c>
      <c r="J5323" s="0" t="n">
        <f aca="false">E5323</f>
        <v>0.75</v>
      </c>
      <c r="K5323" s="0" t="n">
        <f aca="false">F5323</f>
        <v>-0.5</v>
      </c>
      <c r="L5323" s="0" t="n">
        <f aca="false">G5323</f>
        <v>0.25</v>
      </c>
      <c r="M5323" s="0" t="n">
        <f aca="false">H5323</f>
        <v>1</v>
      </c>
      <c r="N5323" s="0" t="n">
        <f aca="false">E5323*F5323</f>
        <v>-0.375</v>
      </c>
      <c r="O5323" s="0" t="n">
        <f aca="false">E5323*G5323</f>
        <v>0.1875</v>
      </c>
      <c r="P5323" s="0" t="n">
        <f aca="false">E5323*H5323</f>
        <v>0.75</v>
      </c>
      <c r="Q5323" s="0" t="n">
        <f aca="false">F5323*G5323</f>
        <v>-0.125</v>
      </c>
      <c r="R5323" s="0" t="n">
        <f aca="false">F5323*H5323</f>
        <v>-0.5</v>
      </c>
      <c r="S5323" s="0" t="n">
        <f aca="false">G5323*H5323</f>
        <v>0.25</v>
      </c>
      <c r="T5323" s="0" t="n">
        <f aca="false">E5323*E5323</f>
        <v>0.5625</v>
      </c>
      <c r="U5323" s="0" t="n">
        <f aca="false">F5323*F5323</f>
        <v>0.25</v>
      </c>
      <c r="V5323" s="0" t="n">
        <f aca="false">G5323*G5323</f>
        <v>0.0625</v>
      </c>
      <c r="W5323" s="0" t="n">
        <f aca="false">H5323*H5323</f>
        <v>1</v>
      </c>
      <c r="X5323" s="0" t="n">
        <f aca="false">SUMPRODUCT(I5323:W5323,_XtX!$B$96:$P$96)</f>
        <v>46.1819353070176</v>
      </c>
      <c r="Y5323" s="0" t="n">
        <f aca="false">SUMPRODUCT(MMULT(I5323:W5323,_XtX!$B$78:$P$92),I5323:W5323)</f>
        <v>0.459125719572369</v>
      </c>
      <c r="Z5323" s="0" t="n">
        <f aca="false">04_回帰ANOVA!$K$19*04_回帰ANOVA!$K$14*SQRT(1+Y5323)</f>
        <v>1.57450755575573</v>
      </c>
      <c r="AA5323" s="0" t="n">
        <f aca="false">X5323-Z5323</f>
        <v>44.6074277512618</v>
      </c>
      <c r="AB5323" s="0" t="n">
        <f aca="false">X5323+Z5323</f>
        <v>47.7564428627733</v>
      </c>
      <c r="AC5323" s="54" t="b">
        <f aca="false">AND(E5323&gt;=01_因子設定!$L$5-0.000000001,E5323&lt;=01_因子設定!$M$5+0.000000001,F5323&gt;=01_因子設定!$L$6-0.000000001,F5323&lt;=01_因子設定!$M$6+0.000000001,G5323&gt;=01_因子設定!$L$7-0.000000001,G5323&lt;=01_因子設定!$M$7+0.000000001,H5323&gt;=01_因子設定!$L$8-0.000000001,H5323&lt;=01_因子設定!$M$8+0.000000001,IF(01_因子設定!$B$20="Box-Behnken",E5323^2+F5323^2+G5323^2+H5323^2&lt;=2+0.000000001,TRUE()))</f>
        <v>1</v>
      </c>
      <c r="AD5323" s="55" t="n">
        <f aca="false">IF(AC5323,IF(01_因子設定!$B$13="最大化",AA5323-01_因子設定!$B$14,IF(01_因子設定!$B$13="最小化",01_因子設定!$B$15-AB5323,MIN(AA5323-01_因子設定!$B$14,01_因子設定!$B$15-AB5323))),-1E+030)</f>
        <v>-1.89257224873816</v>
      </c>
      <c r="AE5323" s="55" t="n">
        <f aca="false">IF(AC5323,IF(01_因子設定!$B$13="最大化",X5323,IF(01_因子設定!$B$13="最小化",-X5323,-ABS(X5323-01_因子設定!$B$16))),-1E+030)</f>
        <v>46.1819353070176</v>
      </c>
      <c r="AF5323" s="55" t="n">
        <f aca="false">AD5323+ROW()*0.000000001</f>
        <v>-1.89256692573816</v>
      </c>
      <c r="AG5323" s="55" t="n">
        <f aca="false">AE5323+ROW()*0.000000001</f>
        <v>46.1819406300176</v>
      </c>
    </row>
    <row r="5324" customFormat="false" ht="15" hidden="false" customHeight="false" outlineLevel="0" collapsed="false">
      <c r="A5324" s="0" t="n">
        <v>7</v>
      </c>
      <c r="B5324" s="0" t="n">
        <v>2</v>
      </c>
      <c r="C5324" s="0" t="n">
        <v>6</v>
      </c>
      <c r="D5324" s="0" t="n">
        <v>0</v>
      </c>
      <c r="E5324" s="0" t="n">
        <f aca="false">-1+A5324*0.25</f>
        <v>0.75</v>
      </c>
      <c r="F5324" s="0" t="n">
        <f aca="false">-1+B5324*0.25</f>
        <v>-0.5</v>
      </c>
      <c r="G5324" s="0" t="n">
        <f aca="false">-1+C5324*0.25</f>
        <v>0.5</v>
      </c>
      <c r="H5324" s="0" t="n">
        <f aca="false">-1+D5324*0.25</f>
        <v>-1</v>
      </c>
      <c r="I5324" s="0" t="n">
        <f aca="false">1</f>
        <v>1</v>
      </c>
      <c r="J5324" s="0" t="n">
        <f aca="false">E5324</f>
        <v>0.75</v>
      </c>
      <c r="K5324" s="0" t="n">
        <f aca="false">F5324</f>
        <v>-0.5</v>
      </c>
      <c r="L5324" s="0" t="n">
        <f aca="false">G5324</f>
        <v>0.5</v>
      </c>
      <c r="M5324" s="0" t="n">
        <f aca="false">H5324</f>
        <v>-1</v>
      </c>
      <c r="N5324" s="0" t="n">
        <f aca="false">E5324*F5324</f>
        <v>-0.375</v>
      </c>
      <c r="O5324" s="0" t="n">
        <f aca="false">E5324*G5324</f>
        <v>0.375</v>
      </c>
      <c r="P5324" s="0" t="n">
        <f aca="false">E5324*H5324</f>
        <v>-0.75</v>
      </c>
      <c r="Q5324" s="0" t="n">
        <f aca="false">F5324*G5324</f>
        <v>-0.25</v>
      </c>
      <c r="R5324" s="0" t="n">
        <f aca="false">F5324*H5324</f>
        <v>0.5</v>
      </c>
      <c r="S5324" s="0" t="n">
        <f aca="false">G5324*H5324</f>
        <v>-0.5</v>
      </c>
      <c r="T5324" s="0" t="n">
        <f aca="false">E5324*E5324</f>
        <v>0.5625</v>
      </c>
      <c r="U5324" s="0" t="n">
        <f aca="false">F5324*F5324</f>
        <v>0.25</v>
      </c>
      <c r="V5324" s="0" t="n">
        <f aca="false">G5324*G5324</f>
        <v>0.25</v>
      </c>
      <c r="W5324" s="0" t="n">
        <f aca="false">H5324*H5324</f>
        <v>1</v>
      </c>
      <c r="X5324" s="0" t="n">
        <f aca="false">SUMPRODUCT(I5324:W5324,_XtX!$B$96:$P$96)</f>
        <v>44.712134502924</v>
      </c>
      <c r="Y5324" s="0" t="n">
        <f aca="false">SUMPRODUCT(MMULT(I5324:W5324,_XtX!$B$78:$P$92),I5324:W5324)</f>
        <v>0.42602110745614</v>
      </c>
      <c r="Z5324" s="0" t="n">
        <f aca="false">04_回帰ANOVA!$K$19*04_回帰ANOVA!$K$14*SQRT(1+Y5324)</f>
        <v>1.55654388501114</v>
      </c>
      <c r="AA5324" s="0" t="n">
        <f aca="false">X5324-Z5324</f>
        <v>43.1555906179129</v>
      </c>
      <c r="AB5324" s="0" t="n">
        <f aca="false">X5324+Z5324</f>
        <v>46.2686783879351</v>
      </c>
      <c r="AC5324" s="54" t="b">
        <f aca="false">AND(E5324&gt;=01_因子設定!$L$5-0.000000001,E5324&lt;=01_因子設定!$M$5+0.000000001,F5324&gt;=01_因子設定!$L$6-0.000000001,F5324&lt;=01_因子設定!$M$6+0.000000001,G5324&gt;=01_因子設定!$L$7-0.000000001,G5324&lt;=01_因子設定!$M$7+0.000000001,H5324&gt;=01_因子設定!$L$8-0.000000001,H5324&lt;=01_因子設定!$M$8+0.000000001,IF(01_因子設定!$B$20="Box-Behnken",E5324^2+F5324^2+G5324^2+H5324^2&lt;=2+0.000000001,TRUE()))</f>
        <v>1</v>
      </c>
      <c r="AD5324" s="55" t="n">
        <f aca="false">IF(AC5324,IF(01_因子設定!$B$13="最大化",AA5324-01_因子設定!$B$14,IF(01_因子設定!$B$13="最小化",01_因子設定!$B$15-AB5324,MIN(AA5324-01_因子設定!$B$14,01_因子設定!$B$15-AB5324))),-1E+030)</f>
        <v>-3.34440938208714</v>
      </c>
      <c r="AE5324" s="55" t="n">
        <f aca="false">IF(AC5324,IF(01_因子設定!$B$13="最大化",X5324,IF(01_因子設定!$B$13="最小化",-X5324,-ABS(X5324-01_因子設定!$B$16))),-1E+030)</f>
        <v>44.712134502924</v>
      </c>
      <c r="AF5324" s="55" t="n">
        <f aca="false">AD5324+ROW()*0.000000001</f>
        <v>-3.34440405808714</v>
      </c>
      <c r="AG5324" s="55" t="n">
        <f aca="false">AE5324+ROW()*0.000000001</f>
        <v>44.712139826924</v>
      </c>
    </row>
    <row r="5325" customFormat="false" ht="15" hidden="false" customHeight="false" outlineLevel="0" collapsed="false">
      <c r="A5325" s="0" t="n">
        <v>7</v>
      </c>
      <c r="B5325" s="0" t="n">
        <v>2</v>
      </c>
      <c r="C5325" s="0" t="n">
        <v>6</v>
      </c>
      <c r="D5325" s="0" t="n">
        <v>1</v>
      </c>
      <c r="E5325" s="0" t="n">
        <f aca="false">-1+A5325*0.25</f>
        <v>0.75</v>
      </c>
      <c r="F5325" s="0" t="n">
        <f aca="false">-1+B5325*0.25</f>
        <v>-0.5</v>
      </c>
      <c r="G5325" s="0" t="n">
        <f aca="false">-1+C5325*0.25</f>
        <v>0.5</v>
      </c>
      <c r="H5325" s="0" t="n">
        <f aca="false">-1+D5325*0.25</f>
        <v>-0.75</v>
      </c>
      <c r="I5325" s="0" t="n">
        <f aca="false">1</f>
        <v>1</v>
      </c>
      <c r="J5325" s="0" t="n">
        <f aca="false">E5325</f>
        <v>0.75</v>
      </c>
      <c r="K5325" s="0" t="n">
        <f aca="false">F5325</f>
        <v>-0.5</v>
      </c>
      <c r="L5325" s="0" t="n">
        <f aca="false">G5325</f>
        <v>0.5</v>
      </c>
      <c r="M5325" s="0" t="n">
        <f aca="false">H5325</f>
        <v>-0.75</v>
      </c>
      <c r="N5325" s="0" t="n">
        <f aca="false">E5325*F5325</f>
        <v>-0.375</v>
      </c>
      <c r="O5325" s="0" t="n">
        <f aca="false">E5325*G5325</f>
        <v>0.375</v>
      </c>
      <c r="P5325" s="0" t="n">
        <f aca="false">E5325*H5325</f>
        <v>-0.5625</v>
      </c>
      <c r="Q5325" s="0" t="n">
        <f aca="false">F5325*G5325</f>
        <v>-0.25</v>
      </c>
      <c r="R5325" s="0" t="n">
        <f aca="false">F5325*H5325</f>
        <v>0.375</v>
      </c>
      <c r="S5325" s="0" t="n">
        <f aca="false">G5325*H5325</f>
        <v>-0.375</v>
      </c>
      <c r="T5325" s="0" t="n">
        <f aca="false">E5325*E5325</f>
        <v>0.5625</v>
      </c>
      <c r="U5325" s="0" t="n">
        <f aca="false">F5325*F5325</f>
        <v>0.25</v>
      </c>
      <c r="V5325" s="0" t="n">
        <f aca="false">G5325*G5325</f>
        <v>0.25</v>
      </c>
      <c r="W5325" s="0" t="n">
        <f aca="false">H5325*H5325</f>
        <v>0.5625</v>
      </c>
      <c r="X5325" s="0" t="n">
        <f aca="false">SUMPRODUCT(I5325:W5325,_XtX!$B$96:$P$96)</f>
        <v>45.0667854532164</v>
      </c>
      <c r="Y5325" s="0" t="n">
        <f aca="false">SUMPRODUCT(MMULT(I5325:W5325,_XtX!$B$78:$P$92),I5325:W5325)</f>
        <v>0.237862927174708</v>
      </c>
      <c r="Z5325" s="0" t="n">
        <f aca="false">04_回帰ANOVA!$K$19*04_回帰ANOVA!$K$14*SQRT(1+Y5325)</f>
        <v>1.45022260708756</v>
      </c>
      <c r="AA5325" s="0" t="n">
        <f aca="false">X5325-Z5325</f>
        <v>43.6165628461288</v>
      </c>
      <c r="AB5325" s="0" t="n">
        <f aca="false">X5325+Z5325</f>
        <v>46.5170080603039</v>
      </c>
      <c r="AC5325" s="54" t="b">
        <f aca="false">AND(E5325&gt;=01_因子設定!$L$5-0.000000001,E5325&lt;=01_因子設定!$M$5+0.000000001,F5325&gt;=01_因子設定!$L$6-0.000000001,F5325&lt;=01_因子設定!$M$6+0.000000001,G5325&gt;=01_因子設定!$L$7-0.000000001,G5325&lt;=01_因子設定!$M$7+0.000000001,H5325&gt;=01_因子設定!$L$8-0.000000001,H5325&lt;=01_因子設定!$M$8+0.000000001,IF(01_因子設定!$B$20="Box-Behnken",E5325^2+F5325^2+G5325^2+H5325^2&lt;=2+0.000000001,TRUE()))</f>
        <v>1</v>
      </c>
      <c r="AD5325" s="55" t="n">
        <f aca="false">IF(AC5325,IF(01_因子設定!$B$13="最大化",AA5325-01_因子設定!$B$14,IF(01_因子設定!$B$13="最小化",01_因子設定!$B$15-AB5325,MIN(AA5325-01_因子設定!$B$14,01_因子設定!$B$15-AB5325))),-1E+030)</f>
        <v>-2.88343715387118</v>
      </c>
      <c r="AE5325" s="55" t="n">
        <f aca="false">IF(AC5325,IF(01_因子設定!$B$13="最大化",X5325,IF(01_因子設定!$B$13="最小化",-X5325,-ABS(X5325-01_因子設定!$B$16))),-1E+030)</f>
        <v>45.0667854532164</v>
      </c>
      <c r="AF5325" s="55" t="n">
        <f aca="false">AD5325+ROW()*0.000000001</f>
        <v>-2.88343182887118</v>
      </c>
      <c r="AG5325" s="55" t="n">
        <f aca="false">AE5325+ROW()*0.000000001</f>
        <v>45.0667907782164</v>
      </c>
    </row>
    <row r="5326" customFormat="false" ht="15" hidden="false" customHeight="false" outlineLevel="0" collapsed="false">
      <c r="A5326" s="0" t="n">
        <v>7</v>
      </c>
      <c r="B5326" s="0" t="n">
        <v>2</v>
      </c>
      <c r="C5326" s="0" t="n">
        <v>6</v>
      </c>
      <c r="D5326" s="0" t="n">
        <v>2</v>
      </c>
      <c r="E5326" s="0" t="n">
        <f aca="false">-1+A5326*0.25</f>
        <v>0.75</v>
      </c>
      <c r="F5326" s="0" t="n">
        <f aca="false">-1+B5326*0.25</f>
        <v>-0.5</v>
      </c>
      <c r="G5326" s="0" t="n">
        <f aca="false">-1+C5326*0.25</f>
        <v>0.5</v>
      </c>
      <c r="H5326" s="0" t="n">
        <f aca="false">-1+D5326*0.25</f>
        <v>-0.5</v>
      </c>
      <c r="I5326" s="0" t="n">
        <f aca="false">1</f>
        <v>1</v>
      </c>
      <c r="J5326" s="0" t="n">
        <f aca="false">E5326</f>
        <v>0.75</v>
      </c>
      <c r="K5326" s="0" t="n">
        <f aca="false">F5326</f>
        <v>-0.5</v>
      </c>
      <c r="L5326" s="0" t="n">
        <f aca="false">G5326</f>
        <v>0.5</v>
      </c>
      <c r="M5326" s="0" t="n">
        <f aca="false">H5326</f>
        <v>-0.5</v>
      </c>
      <c r="N5326" s="0" t="n">
        <f aca="false">E5326*F5326</f>
        <v>-0.375</v>
      </c>
      <c r="O5326" s="0" t="n">
        <f aca="false">E5326*G5326</f>
        <v>0.375</v>
      </c>
      <c r="P5326" s="0" t="n">
        <f aca="false">E5326*H5326</f>
        <v>-0.375</v>
      </c>
      <c r="Q5326" s="0" t="n">
        <f aca="false">F5326*G5326</f>
        <v>-0.25</v>
      </c>
      <c r="R5326" s="0" t="n">
        <f aca="false">F5326*H5326</f>
        <v>0.25</v>
      </c>
      <c r="S5326" s="0" t="n">
        <f aca="false">G5326*H5326</f>
        <v>-0.25</v>
      </c>
      <c r="T5326" s="0" t="n">
        <f aca="false">E5326*E5326</f>
        <v>0.5625</v>
      </c>
      <c r="U5326" s="0" t="n">
        <f aca="false">F5326*F5326</f>
        <v>0.25</v>
      </c>
      <c r="V5326" s="0" t="n">
        <f aca="false">G5326*G5326</f>
        <v>0.25</v>
      </c>
      <c r="W5326" s="0" t="n">
        <f aca="false">H5326*H5326</f>
        <v>0.25</v>
      </c>
      <c r="X5326" s="0" t="n">
        <f aca="false">SUMPRODUCT(I5326:W5326,_XtX!$B$96:$P$96)</f>
        <v>45.3736293859649</v>
      </c>
      <c r="Y5326" s="0" t="n">
        <f aca="false">SUMPRODUCT(MMULT(I5326:W5326,_XtX!$B$78:$P$92),I5326:W5326)</f>
        <v>0.193924753289474</v>
      </c>
      <c r="Z5326" s="0" t="n">
        <f aca="false">04_回帰ANOVA!$K$19*04_回帰ANOVA!$K$14*SQRT(1+Y5326)</f>
        <v>1.4242521079916</v>
      </c>
      <c r="AA5326" s="0" t="n">
        <f aca="false">X5326-Z5326</f>
        <v>43.9493772779733</v>
      </c>
      <c r="AB5326" s="0" t="n">
        <f aca="false">X5326+Z5326</f>
        <v>46.7978814939565</v>
      </c>
      <c r="AC5326" s="54" t="b">
        <f aca="false">AND(E5326&gt;=01_因子設定!$L$5-0.000000001,E5326&lt;=01_因子設定!$M$5+0.000000001,F5326&gt;=01_因子設定!$L$6-0.000000001,F5326&lt;=01_因子設定!$M$6+0.000000001,G5326&gt;=01_因子設定!$L$7-0.000000001,G5326&lt;=01_因子設定!$M$7+0.000000001,H5326&gt;=01_因子設定!$L$8-0.000000001,H5326&lt;=01_因子設定!$M$8+0.000000001,IF(01_因子設定!$B$20="Box-Behnken",E5326^2+F5326^2+G5326^2+H5326^2&lt;=2+0.000000001,TRUE()))</f>
        <v>1</v>
      </c>
      <c r="AD5326" s="55" t="n">
        <f aca="false">IF(AC5326,IF(01_因子設定!$B$13="最大化",AA5326-01_因子設定!$B$14,IF(01_因子設定!$B$13="最小化",01_因子設定!$B$15-AB5326,MIN(AA5326-01_因子設定!$B$14,01_因子設定!$B$15-AB5326))),-1E+030)</f>
        <v>-2.5506227220267</v>
      </c>
      <c r="AE5326" s="55" t="n">
        <f aca="false">IF(AC5326,IF(01_因子設定!$B$13="最大化",X5326,IF(01_因子設定!$B$13="最小化",-X5326,-ABS(X5326-01_因子設定!$B$16))),-1E+030)</f>
        <v>45.3736293859649</v>
      </c>
      <c r="AF5326" s="55" t="n">
        <f aca="false">AD5326+ROW()*0.000000001</f>
        <v>-2.5506173960267</v>
      </c>
      <c r="AG5326" s="55" t="n">
        <f aca="false">AE5326+ROW()*0.000000001</f>
        <v>45.3736347119649</v>
      </c>
    </row>
    <row r="5327" customFormat="false" ht="15" hidden="false" customHeight="false" outlineLevel="0" collapsed="false">
      <c r="A5327" s="0" t="n">
        <v>7</v>
      </c>
      <c r="B5327" s="0" t="n">
        <v>2</v>
      </c>
      <c r="C5327" s="0" t="n">
        <v>6</v>
      </c>
      <c r="D5327" s="0" t="n">
        <v>3</v>
      </c>
      <c r="E5327" s="0" t="n">
        <f aca="false">-1+A5327*0.25</f>
        <v>0.75</v>
      </c>
      <c r="F5327" s="0" t="n">
        <f aca="false">-1+B5327*0.25</f>
        <v>-0.5</v>
      </c>
      <c r="G5327" s="0" t="n">
        <f aca="false">-1+C5327*0.25</f>
        <v>0.5</v>
      </c>
      <c r="H5327" s="0" t="n">
        <f aca="false">-1+D5327*0.25</f>
        <v>-0.25</v>
      </c>
      <c r="I5327" s="0" t="n">
        <f aca="false">1</f>
        <v>1</v>
      </c>
      <c r="J5327" s="0" t="n">
        <f aca="false">E5327</f>
        <v>0.75</v>
      </c>
      <c r="K5327" s="0" t="n">
        <f aca="false">F5327</f>
        <v>-0.5</v>
      </c>
      <c r="L5327" s="0" t="n">
        <f aca="false">G5327</f>
        <v>0.5</v>
      </c>
      <c r="M5327" s="0" t="n">
        <f aca="false">H5327</f>
        <v>-0.25</v>
      </c>
      <c r="N5327" s="0" t="n">
        <f aca="false">E5327*F5327</f>
        <v>-0.375</v>
      </c>
      <c r="O5327" s="0" t="n">
        <f aca="false">E5327*G5327</f>
        <v>0.375</v>
      </c>
      <c r="P5327" s="0" t="n">
        <f aca="false">E5327*H5327</f>
        <v>-0.1875</v>
      </c>
      <c r="Q5327" s="0" t="n">
        <f aca="false">F5327*G5327</f>
        <v>-0.25</v>
      </c>
      <c r="R5327" s="0" t="n">
        <f aca="false">F5327*H5327</f>
        <v>0.125</v>
      </c>
      <c r="S5327" s="0" t="n">
        <f aca="false">G5327*H5327</f>
        <v>-0.125</v>
      </c>
      <c r="T5327" s="0" t="n">
        <f aca="false">E5327*E5327</f>
        <v>0.5625</v>
      </c>
      <c r="U5327" s="0" t="n">
        <f aca="false">F5327*F5327</f>
        <v>0.25</v>
      </c>
      <c r="V5327" s="0" t="n">
        <f aca="false">G5327*G5327</f>
        <v>0.25</v>
      </c>
      <c r="W5327" s="0" t="n">
        <f aca="false">H5327*H5327</f>
        <v>0.0625</v>
      </c>
      <c r="X5327" s="0" t="n">
        <f aca="false">SUMPRODUCT(I5327:W5327,_XtX!$B$96:$P$96)</f>
        <v>45.6326663011696</v>
      </c>
      <c r="Y5327" s="0" t="n">
        <f aca="false">SUMPRODUCT(MMULT(I5327:W5327,_XtX!$B$78:$P$92),I5327:W5327)</f>
        <v>0.203746059484649</v>
      </c>
      <c r="Z5327" s="0" t="n">
        <f aca="false">04_回帰ANOVA!$K$19*04_回帰ANOVA!$K$14*SQRT(1+Y5327)</f>
        <v>1.43009810755465</v>
      </c>
      <c r="AA5327" s="0" t="n">
        <f aca="false">X5327-Z5327</f>
        <v>44.2025681936149</v>
      </c>
      <c r="AB5327" s="0" t="n">
        <f aca="false">X5327+Z5327</f>
        <v>47.0627644087242</v>
      </c>
      <c r="AC5327" s="54" t="b">
        <f aca="false">AND(E5327&gt;=01_因子設定!$L$5-0.000000001,E5327&lt;=01_因子設定!$M$5+0.000000001,F5327&gt;=01_因子設定!$L$6-0.000000001,F5327&lt;=01_因子設定!$M$6+0.000000001,G5327&gt;=01_因子設定!$L$7-0.000000001,G5327&lt;=01_因子設定!$M$7+0.000000001,H5327&gt;=01_因子設定!$L$8-0.000000001,H5327&lt;=01_因子設定!$M$8+0.000000001,IF(01_因子設定!$B$20="Box-Behnken",E5327^2+F5327^2+G5327^2+H5327^2&lt;=2+0.000000001,TRUE()))</f>
        <v>1</v>
      </c>
      <c r="AD5327" s="55" t="n">
        <f aca="false">IF(AC5327,IF(01_因子設定!$B$13="最大化",AA5327-01_因子設定!$B$14,IF(01_因子設定!$B$13="最小化",01_因子設定!$B$15-AB5327,MIN(AA5327-01_因子設定!$B$14,01_因子設定!$B$15-AB5327))),-1E+030)</f>
        <v>-2.29743180638507</v>
      </c>
      <c r="AE5327" s="55" t="n">
        <f aca="false">IF(AC5327,IF(01_因子設定!$B$13="最大化",X5327,IF(01_因子設定!$B$13="最小化",-X5327,-ABS(X5327-01_因子設定!$B$16))),-1E+030)</f>
        <v>45.6326663011696</v>
      </c>
      <c r="AF5327" s="55" t="n">
        <f aca="false">AD5327+ROW()*0.000000001</f>
        <v>-2.29742647938507</v>
      </c>
      <c r="AG5327" s="55" t="n">
        <f aca="false">AE5327+ROW()*0.000000001</f>
        <v>45.6326716281696</v>
      </c>
    </row>
    <row r="5328" customFormat="false" ht="15" hidden="false" customHeight="false" outlineLevel="0" collapsed="false">
      <c r="A5328" s="0" t="n">
        <v>7</v>
      </c>
      <c r="B5328" s="0" t="n">
        <v>2</v>
      </c>
      <c r="C5328" s="0" t="n">
        <v>6</v>
      </c>
      <c r="D5328" s="0" t="n">
        <v>4</v>
      </c>
      <c r="E5328" s="0" t="n">
        <f aca="false">-1+A5328*0.25</f>
        <v>0.75</v>
      </c>
      <c r="F5328" s="0" t="n">
        <f aca="false">-1+B5328*0.25</f>
        <v>-0.5</v>
      </c>
      <c r="G5328" s="0" t="n">
        <f aca="false">-1+C5328*0.25</f>
        <v>0.5</v>
      </c>
      <c r="H5328" s="0" t="n">
        <f aca="false">-1+D5328*0.25</f>
        <v>0</v>
      </c>
      <c r="I5328" s="0" t="n">
        <f aca="false">1</f>
        <v>1</v>
      </c>
      <c r="J5328" s="0" t="n">
        <f aca="false">E5328</f>
        <v>0.75</v>
      </c>
      <c r="K5328" s="0" t="n">
        <f aca="false">F5328</f>
        <v>-0.5</v>
      </c>
      <c r="L5328" s="0" t="n">
        <f aca="false">G5328</f>
        <v>0.5</v>
      </c>
      <c r="M5328" s="0" t="n">
        <f aca="false">H5328</f>
        <v>0</v>
      </c>
      <c r="N5328" s="0" t="n">
        <f aca="false">E5328*F5328</f>
        <v>-0.375</v>
      </c>
      <c r="O5328" s="0" t="n">
        <f aca="false">E5328*G5328</f>
        <v>0.375</v>
      </c>
      <c r="P5328" s="0" t="n">
        <f aca="false">E5328*H5328</f>
        <v>0</v>
      </c>
      <c r="Q5328" s="0" t="n">
        <f aca="false">F5328*G5328</f>
        <v>-0.25</v>
      </c>
      <c r="R5328" s="0" t="n">
        <f aca="false">F5328*H5328</f>
        <v>-0</v>
      </c>
      <c r="S5328" s="0" t="n">
        <f aca="false">G5328*H5328</f>
        <v>0</v>
      </c>
      <c r="T5328" s="0" t="n">
        <f aca="false">E5328*E5328</f>
        <v>0.5625</v>
      </c>
      <c r="U5328" s="0" t="n">
        <f aca="false">F5328*F5328</f>
        <v>0.25</v>
      </c>
      <c r="V5328" s="0" t="n">
        <f aca="false">G5328*G5328</f>
        <v>0.25</v>
      </c>
      <c r="W5328" s="0" t="n">
        <f aca="false">H5328*H5328</f>
        <v>0</v>
      </c>
      <c r="X5328" s="0" t="n">
        <f aca="false">SUMPRODUCT(I5328:W5328,_XtX!$B$96:$P$96)</f>
        <v>45.8438961988304</v>
      </c>
      <c r="Y5328" s="0" t="n">
        <f aca="false">SUMPRODUCT(MMULT(I5328:W5328,_XtX!$B$78:$P$92),I5328:W5328)</f>
        <v>0.21305052997076</v>
      </c>
      <c r="Z5328" s="0" t="n">
        <f aca="false">04_回帰ANOVA!$K$19*04_回帰ANOVA!$K$14*SQRT(1+Y5328)</f>
        <v>1.43561450835061</v>
      </c>
      <c r="AA5328" s="0" t="n">
        <f aca="false">X5328-Z5328</f>
        <v>44.4082816904798</v>
      </c>
      <c r="AB5328" s="0" t="n">
        <f aca="false">X5328+Z5328</f>
        <v>47.279510707181</v>
      </c>
      <c r="AC5328" s="54" t="b">
        <f aca="false">AND(E5328&gt;=01_因子設定!$L$5-0.000000001,E5328&lt;=01_因子設定!$M$5+0.000000001,F5328&gt;=01_因子設定!$L$6-0.000000001,F5328&lt;=01_因子設定!$M$6+0.000000001,G5328&gt;=01_因子設定!$L$7-0.000000001,G5328&lt;=01_因子設定!$M$7+0.000000001,H5328&gt;=01_因子設定!$L$8-0.000000001,H5328&lt;=01_因子設定!$M$8+0.000000001,IF(01_因子設定!$B$20="Box-Behnken",E5328^2+F5328^2+G5328^2+H5328^2&lt;=2+0.000000001,TRUE()))</f>
        <v>1</v>
      </c>
      <c r="AD5328" s="55" t="n">
        <f aca="false">IF(AC5328,IF(01_因子設定!$B$13="最大化",AA5328-01_因子設定!$B$14,IF(01_因子設定!$B$13="最小化",01_因子設定!$B$15-AB5328,MIN(AA5328-01_因子設定!$B$14,01_因子設定!$B$15-AB5328))),-1E+030)</f>
        <v>-2.09171830952021</v>
      </c>
      <c r="AE5328" s="55" t="n">
        <f aca="false">IF(AC5328,IF(01_因子設定!$B$13="最大化",X5328,IF(01_因子設定!$B$13="最小化",-X5328,-ABS(X5328-01_因子設定!$B$16))),-1E+030)</f>
        <v>45.8438961988304</v>
      </c>
      <c r="AF5328" s="55" t="n">
        <f aca="false">AD5328+ROW()*0.000000001</f>
        <v>-2.09171298152021</v>
      </c>
      <c r="AG5328" s="55" t="n">
        <f aca="false">AE5328+ROW()*0.000000001</f>
        <v>45.8439015268304</v>
      </c>
    </row>
    <row r="5329" customFormat="false" ht="15" hidden="false" customHeight="false" outlineLevel="0" collapsed="false">
      <c r="A5329" s="0" t="n">
        <v>7</v>
      </c>
      <c r="B5329" s="0" t="n">
        <v>2</v>
      </c>
      <c r="C5329" s="0" t="n">
        <v>6</v>
      </c>
      <c r="D5329" s="0" t="n">
        <v>5</v>
      </c>
      <c r="E5329" s="0" t="n">
        <f aca="false">-1+A5329*0.25</f>
        <v>0.75</v>
      </c>
      <c r="F5329" s="0" t="n">
        <f aca="false">-1+B5329*0.25</f>
        <v>-0.5</v>
      </c>
      <c r="G5329" s="0" t="n">
        <f aca="false">-1+C5329*0.25</f>
        <v>0.5</v>
      </c>
      <c r="H5329" s="0" t="n">
        <f aca="false">-1+D5329*0.25</f>
        <v>0.25</v>
      </c>
      <c r="I5329" s="0" t="n">
        <f aca="false">1</f>
        <v>1</v>
      </c>
      <c r="J5329" s="0" t="n">
        <f aca="false">E5329</f>
        <v>0.75</v>
      </c>
      <c r="K5329" s="0" t="n">
        <f aca="false">F5329</f>
        <v>-0.5</v>
      </c>
      <c r="L5329" s="0" t="n">
        <f aca="false">G5329</f>
        <v>0.5</v>
      </c>
      <c r="M5329" s="0" t="n">
        <f aca="false">H5329</f>
        <v>0.25</v>
      </c>
      <c r="N5329" s="0" t="n">
        <f aca="false">E5329*F5329</f>
        <v>-0.375</v>
      </c>
      <c r="O5329" s="0" t="n">
        <f aca="false">E5329*G5329</f>
        <v>0.375</v>
      </c>
      <c r="P5329" s="0" t="n">
        <f aca="false">E5329*H5329</f>
        <v>0.1875</v>
      </c>
      <c r="Q5329" s="0" t="n">
        <f aca="false">F5329*G5329</f>
        <v>-0.25</v>
      </c>
      <c r="R5329" s="0" t="n">
        <f aca="false">F5329*H5329</f>
        <v>-0.125</v>
      </c>
      <c r="S5329" s="0" t="n">
        <f aca="false">G5329*H5329</f>
        <v>0.125</v>
      </c>
      <c r="T5329" s="0" t="n">
        <f aca="false">E5329*E5329</f>
        <v>0.5625</v>
      </c>
      <c r="U5329" s="0" t="n">
        <f aca="false">F5329*F5329</f>
        <v>0.25</v>
      </c>
      <c r="V5329" s="0" t="n">
        <f aca="false">G5329*G5329</f>
        <v>0.25</v>
      </c>
      <c r="W5329" s="0" t="n">
        <f aca="false">H5329*H5329</f>
        <v>0.0625</v>
      </c>
      <c r="X5329" s="0" t="n">
        <f aca="false">SUMPRODUCT(I5329:W5329,_XtX!$B$96:$P$96)</f>
        <v>46.0073190789474</v>
      </c>
      <c r="Y5329" s="0" t="n">
        <f aca="false">SUMPRODUCT(MMULT(I5329:W5329,_XtX!$B$78:$P$92),I5329:W5329)</f>
        <v>0.203746059484649</v>
      </c>
      <c r="Z5329" s="0" t="n">
        <f aca="false">04_回帰ANOVA!$K$19*04_回帰ANOVA!$K$14*SQRT(1+Y5329)</f>
        <v>1.43009810755465</v>
      </c>
      <c r="AA5329" s="0" t="n">
        <f aca="false">X5329-Z5329</f>
        <v>44.5772209713927</v>
      </c>
      <c r="AB5329" s="0" t="n">
        <f aca="false">X5329+Z5329</f>
        <v>47.437417186502</v>
      </c>
      <c r="AC5329" s="54" t="b">
        <f aca="false">AND(E5329&gt;=01_因子設定!$L$5-0.000000001,E5329&lt;=01_因子設定!$M$5+0.000000001,F5329&gt;=01_因子設定!$L$6-0.000000001,F5329&lt;=01_因子設定!$M$6+0.000000001,G5329&gt;=01_因子設定!$L$7-0.000000001,G5329&lt;=01_因子設定!$M$7+0.000000001,H5329&gt;=01_因子設定!$L$8-0.000000001,H5329&lt;=01_因子設定!$M$8+0.000000001,IF(01_因子設定!$B$20="Box-Behnken",E5329^2+F5329^2+G5329^2+H5329^2&lt;=2+0.000000001,TRUE()))</f>
        <v>1</v>
      </c>
      <c r="AD5329" s="55" t="n">
        <f aca="false">IF(AC5329,IF(01_因子設定!$B$13="最大化",AA5329-01_因子設定!$B$14,IF(01_因子設定!$B$13="最小化",01_因子設定!$B$15-AB5329,MIN(AA5329-01_因子設定!$B$14,01_因子設定!$B$15-AB5329))),-1E+030)</f>
        <v>-1.92277902860729</v>
      </c>
      <c r="AE5329" s="55" t="n">
        <f aca="false">IF(AC5329,IF(01_因子設定!$B$13="最大化",X5329,IF(01_因子設定!$B$13="最小化",-X5329,-ABS(X5329-01_因子設定!$B$16))),-1E+030)</f>
        <v>46.0073190789474</v>
      </c>
      <c r="AF5329" s="55" t="n">
        <f aca="false">AD5329+ROW()*0.000000001</f>
        <v>-1.92277369960729</v>
      </c>
      <c r="AG5329" s="55" t="n">
        <f aca="false">AE5329+ROW()*0.000000001</f>
        <v>46.0073244079474</v>
      </c>
    </row>
    <row r="5330" customFormat="false" ht="15" hidden="false" customHeight="false" outlineLevel="0" collapsed="false">
      <c r="A5330" s="0" t="n">
        <v>7</v>
      </c>
      <c r="B5330" s="0" t="n">
        <v>2</v>
      </c>
      <c r="C5330" s="0" t="n">
        <v>6</v>
      </c>
      <c r="D5330" s="0" t="n">
        <v>6</v>
      </c>
      <c r="E5330" s="0" t="n">
        <f aca="false">-1+A5330*0.25</f>
        <v>0.75</v>
      </c>
      <c r="F5330" s="0" t="n">
        <f aca="false">-1+B5330*0.25</f>
        <v>-0.5</v>
      </c>
      <c r="G5330" s="0" t="n">
        <f aca="false">-1+C5330*0.25</f>
        <v>0.5</v>
      </c>
      <c r="H5330" s="0" t="n">
        <f aca="false">-1+D5330*0.25</f>
        <v>0.5</v>
      </c>
      <c r="I5330" s="0" t="n">
        <f aca="false">1</f>
        <v>1</v>
      </c>
      <c r="J5330" s="0" t="n">
        <f aca="false">E5330</f>
        <v>0.75</v>
      </c>
      <c r="K5330" s="0" t="n">
        <f aca="false">F5330</f>
        <v>-0.5</v>
      </c>
      <c r="L5330" s="0" t="n">
        <f aca="false">G5330</f>
        <v>0.5</v>
      </c>
      <c r="M5330" s="0" t="n">
        <f aca="false">H5330</f>
        <v>0.5</v>
      </c>
      <c r="N5330" s="0" t="n">
        <f aca="false">E5330*F5330</f>
        <v>-0.375</v>
      </c>
      <c r="O5330" s="0" t="n">
        <f aca="false">E5330*G5330</f>
        <v>0.375</v>
      </c>
      <c r="P5330" s="0" t="n">
        <f aca="false">E5330*H5330</f>
        <v>0.375</v>
      </c>
      <c r="Q5330" s="0" t="n">
        <f aca="false">F5330*G5330</f>
        <v>-0.25</v>
      </c>
      <c r="R5330" s="0" t="n">
        <f aca="false">F5330*H5330</f>
        <v>-0.25</v>
      </c>
      <c r="S5330" s="0" t="n">
        <f aca="false">G5330*H5330</f>
        <v>0.25</v>
      </c>
      <c r="T5330" s="0" t="n">
        <f aca="false">E5330*E5330</f>
        <v>0.5625</v>
      </c>
      <c r="U5330" s="0" t="n">
        <f aca="false">F5330*F5330</f>
        <v>0.25</v>
      </c>
      <c r="V5330" s="0" t="n">
        <f aca="false">G5330*G5330</f>
        <v>0.25</v>
      </c>
      <c r="W5330" s="0" t="n">
        <f aca="false">H5330*H5330</f>
        <v>0.25</v>
      </c>
      <c r="X5330" s="0" t="n">
        <f aca="false">SUMPRODUCT(I5330:W5330,_XtX!$B$96:$P$96)</f>
        <v>46.1229349415205</v>
      </c>
      <c r="Y5330" s="0" t="n">
        <f aca="false">SUMPRODUCT(MMULT(I5330:W5330,_XtX!$B$78:$P$92),I5330:W5330)</f>
        <v>0.193924753289474</v>
      </c>
      <c r="Z5330" s="0" t="n">
        <f aca="false">04_回帰ANOVA!$K$19*04_回帰ANOVA!$K$14*SQRT(1+Y5330)</f>
        <v>1.4242521079916</v>
      </c>
      <c r="AA5330" s="0" t="n">
        <f aca="false">X5330-Z5330</f>
        <v>44.6986828335289</v>
      </c>
      <c r="AB5330" s="0" t="n">
        <f aca="false">X5330+Z5330</f>
        <v>47.5471870495121</v>
      </c>
      <c r="AC5330" s="54" t="b">
        <f aca="false">AND(E5330&gt;=01_因子設定!$L$5-0.000000001,E5330&lt;=01_因子設定!$M$5+0.000000001,F5330&gt;=01_因子設定!$L$6-0.000000001,F5330&lt;=01_因子設定!$M$6+0.000000001,G5330&gt;=01_因子設定!$L$7-0.000000001,G5330&lt;=01_因子設定!$M$7+0.000000001,H5330&gt;=01_因子設定!$L$8-0.000000001,H5330&lt;=01_因子設定!$M$8+0.000000001,IF(01_因子設定!$B$20="Box-Behnken",E5330^2+F5330^2+G5330^2+H5330^2&lt;=2+0.000000001,TRUE()))</f>
        <v>1</v>
      </c>
      <c r="AD5330" s="55" t="n">
        <f aca="false">IF(AC5330,IF(01_因子設定!$B$13="最大化",AA5330-01_因子設定!$B$14,IF(01_因子設定!$B$13="最小化",01_因子設定!$B$15-AB5330,MIN(AA5330-01_因子設定!$B$14,01_因子設定!$B$15-AB5330))),-1E+030)</f>
        <v>-1.80131716647114</v>
      </c>
      <c r="AE5330" s="55" t="n">
        <f aca="false">IF(AC5330,IF(01_因子設定!$B$13="最大化",X5330,IF(01_因子設定!$B$13="最小化",-X5330,-ABS(X5330-01_因子設定!$B$16))),-1E+030)</f>
        <v>46.1229349415205</v>
      </c>
      <c r="AF5330" s="55" t="n">
        <f aca="false">AD5330+ROW()*0.000000001</f>
        <v>-1.80131183647114</v>
      </c>
      <c r="AG5330" s="55" t="n">
        <f aca="false">AE5330+ROW()*0.000000001</f>
        <v>46.1229402715205</v>
      </c>
    </row>
    <row r="5331" customFormat="false" ht="15" hidden="false" customHeight="false" outlineLevel="0" collapsed="false">
      <c r="A5331" s="0" t="n">
        <v>7</v>
      </c>
      <c r="B5331" s="0" t="n">
        <v>2</v>
      </c>
      <c r="C5331" s="0" t="n">
        <v>6</v>
      </c>
      <c r="D5331" s="0" t="n">
        <v>7</v>
      </c>
      <c r="E5331" s="0" t="n">
        <f aca="false">-1+A5331*0.25</f>
        <v>0.75</v>
      </c>
      <c r="F5331" s="0" t="n">
        <f aca="false">-1+B5331*0.25</f>
        <v>-0.5</v>
      </c>
      <c r="G5331" s="0" t="n">
        <f aca="false">-1+C5331*0.25</f>
        <v>0.5</v>
      </c>
      <c r="H5331" s="0" t="n">
        <f aca="false">-1+D5331*0.25</f>
        <v>0.75</v>
      </c>
      <c r="I5331" s="0" t="n">
        <f aca="false">1</f>
        <v>1</v>
      </c>
      <c r="J5331" s="0" t="n">
        <f aca="false">E5331</f>
        <v>0.75</v>
      </c>
      <c r="K5331" s="0" t="n">
        <f aca="false">F5331</f>
        <v>-0.5</v>
      </c>
      <c r="L5331" s="0" t="n">
        <f aca="false">G5331</f>
        <v>0.5</v>
      </c>
      <c r="M5331" s="0" t="n">
        <f aca="false">H5331</f>
        <v>0.75</v>
      </c>
      <c r="N5331" s="0" t="n">
        <f aca="false">E5331*F5331</f>
        <v>-0.375</v>
      </c>
      <c r="O5331" s="0" t="n">
        <f aca="false">E5331*G5331</f>
        <v>0.375</v>
      </c>
      <c r="P5331" s="0" t="n">
        <f aca="false">E5331*H5331</f>
        <v>0.5625</v>
      </c>
      <c r="Q5331" s="0" t="n">
        <f aca="false">F5331*G5331</f>
        <v>-0.25</v>
      </c>
      <c r="R5331" s="0" t="n">
        <f aca="false">F5331*H5331</f>
        <v>-0.375</v>
      </c>
      <c r="S5331" s="0" t="n">
        <f aca="false">G5331*H5331</f>
        <v>0.375</v>
      </c>
      <c r="T5331" s="0" t="n">
        <f aca="false">E5331*E5331</f>
        <v>0.5625</v>
      </c>
      <c r="U5331" s="0" t="n">
        <f aca="false">F5331*F5331</f>
        <v>0.25</v>
      </c>
      <c r="V5331" s="0" t="n">
        <f aca="false">G5331*G5331</f>
        <v>0.25</v>
      </c>
      <c r="W5331" s="0" t="n">
        <f aca="false">H5331*H5331</f>
        <v>0.5625</v>
      </c>
      <c r="X5331" s="0" t="n">
        <f aca="false">SUMPRODUCT(I5331:W5331,_XtX!$B$96:$P$96)</f>
        <v>46.1907437865497</v>
      </c>
      <c r="Y5331" s="0" t="n">
        <f aca="false">SUMPRODUCT(MMULT(I5331:W5331,_XtX!$B$78:$P$92),I5331:W5331)</f>
        <v>0.237862927174708</v>
      </c>
      <c r="Z5331" s="0" t="n">
        <f aca="false">04_回帰ANOVA!$K$19*04_回帰ANOVA!$K$14*SQRT(1+Y5331)</f>
        <v>1.45022260708756</v>
      </c>
      <c r="AA5331" s="0" t="n">
        <f aca="false">X5331-Z5331</f>
        <v>44.7405211794622</v>
      </c>
      <c r="AB5331" s="0" t="n">
        <f aca="false">X5331+Z5331</f>
        <v>47.6409663936373</v>
      </c>
      <c r="AC5331" s="54" t="b">
        <f aca="false">AND(E5331&gt;=01_因子設定!$L$5-0.000000001,E5331&lt;=01_因子設定!$M$5+0.000000001,F5331&gt;=01_因子設定!$L$6-0.000000001,F5331&lt;=01_因子設定!$M$6+0.000000001,G5331&gt;=01_因子設定!$L$7-0.000000001,G5331&lt;=01_因子設定!$M$7+0.000000001,H5331&gt;=01_因子設定!$L$8-0.000000001,H5331&lt;=01_因子設定!$M$8+0.000000001,IF(01_因子設定!$B$20="Box-Behnken",E5331^2+F5331^2+G5331^2+H5331^2&lt;=2+0.000000001,TRUE()))</f>
        <v>1</v>
      </c>
      <c r="AD5331" s="55" t="n">
        <f aca="false">IF(AC5331,IF(01_因子設定!$B$13="最大化",AA5331-01_因子設定!$B$14,IF(01_因子設定!$B$13="最小化",01_因子設定!$B$15-AB5331,MIN(AA5331-01_因子設定!$B$14,01_因子設定!$B$15-AB5331))),-1E+030)</f>
        <v>-1.75947882053785</v>
      </c>
      <c r="AE5331" s="55" t="n">
        <f aca="false">IF(AC5331,IF(01_因子設定!$B$13="最大化",X5331,IF(01_因子設定!$B$13="最小化",-X5331,-ABS(X5331-01_因子設定!$B$16))),-1E+030)</f>
        <v>46.1907437865497</v>
      </c>
      <c r="AF5331" s="55" t="n">
        <f aca="false">AD5331+ROW()*0.000000001</f>
        <v>-1.75947348953785</v>
      </c>
      <c r="AG5331" s="55" t="n">
        <f aca="false">AE5331+ROW()*0.000000001</f>
        <v>46.1907491175497</v>
      </c>
    </row>
    <row r="5332" customFormat="false" ht="15" hidden="false" customHeight="false" outlineLevel="0" collapsed="false">
      <c r="A5332" s="0" t="n">
        <v>7</v>
      </c>
      <c r="B5332" s="0" t="n">
        <v>2</v>
      </c>
      <c r="C5332" s="0" t="n">
        <v>6</v>
      </c>
      <c r="D5332" s="0" t="n">
        <v>8</v>
      </c>
      <c r="E5332" s="0" t="n">
        <f aca="false">-1+A5332*0.25</f>
        <v>0.75</v>
      </c>
      <c r="F5332" s="0" t="n">
        <f aca="false">-1+B5332*0.25</f>
        <v>-0.5</v>
      </c>
      <c r="G5332" s="0" t="n">
        <f aca="false">-1+C5332*0.25</f>
        <v>0.5</v>
      </c>
      <c r="H5332" s="0" t="n">
        <f aca="false">-1+D5332*0.25</f>
        <v>1</v>
      </c>
      <c r="I5332" s="0" t="n">
        <f aca="false">1</f>
        <v>1</v>
      </c>
      <c r="J5332" s="0" t="n">
        <f aca="false">E5332</f>
        <v>0.75</v>
      </c>
      <c r="K5332" s="0" t="n">
        <f aca="false">F5332</f>
        <v>-0.5</v>
      </c>
      <c r="L5332" s="0" t="n">
        <f aca="false">G5332</f>
        <v>0.5</v>
      </c>
      <c r="M5332" s="0" t="n">
        <f aca="false">H5332</f>
        <v>1</v>
      </c>
      <c r="N5332" s="0" t="n">
        <f aca="false">E5332*F5332</f>
        <v>-0.375</v>
      </c>
      <c r="O5332" s="0" t="n">
        <f aca="false">E5332*G5332</f>
        <v>0.375</v>
      </c>
      <c r="P5332" s="0" t="n">
        <f aca="false">E5332*H5332</f>
        <v>0.75</v>
      </c>
      <c r="Q5332" s="0" t="n">
        <f aca="false">F5332*G5332</f>
        <v>-0.25</v>
      </c>
      <c r="R5332" s="0" t="n">
        <f aca="false">F5332*H5332</f>
        <v>-0.5</v>
      </c>
      <c r="S5332" s="0" t="n">
        <f aca="false">G5332*H5332</f>
        <v>0.5</v>
      </c>
      <c r="T5332" s="0" t="n">
        <f aca="false">E5332*E5332</f>
        <v>0.5625</v>
      </c>
      <c r="U5332" s="0" t="n">
        <f aca="false">F5332*F5332</f>
        <v>0.25</v>
      </c>
      <c r="V5332" s="0" t="n">
        <f aca="false">G5332*G5332</f>
        <v>0.25</v>
      </c>
      <c r="W5332" s="0" t="n">
        <f aca="false">H5332*H5332</f>
        <v>1</v>
      </c>
      <c r="X5332" s="0" t="n">
        <f aca="false">SUMPRODUCT(I5332:W5332,_XtX!$B$96:$P$96)</f>
        <v>46.2107456140351</v>
      </c>
      <c r="Y5332" s="0" t="n">
        <f aca="false">SUMPRODUCT(MMULT(I5332:W5332,_XtX!$B$78:$P$92),I5332:W5332)</f>
        <v>0.42602110745614</v>
      </c>
      <c r="Z5332" s="0" t="n">
        <f aca="false">04_回帰ANOVA!$K$19*04_回帰ANOVA!$K$14*SQRT(1+Y5332)</f>
        <v>1.55654388501114</v>
      </c>
      <c r="AA5332" s="0" t="n">
        <f aca="false">X5332-Z5332</f>
        <v>44.654201729024</v>
      </c>
      <c r="AB5332" s="0" t="n">
        <f aca="false">X5332+Z5332</f>
        <v>47.7672894990463</v>
      </c>
      <c r="AC5332" s="54" t="b">
        <f aca="false">AND(E5332&gt;=01_因子設定!$L$5-0.000000001,E5332&lt;=01_因子設定!$M$5+0.000000001,F5332&gt;=01_因子設定!$L$6-0.000000001,F5332&lt;=01_因子設定!$M$6+0.000000001,G5332&gt;=01_因子設定!$L$7-0.000000001,G5332&lt;=01_因子設定!$M$7+0.000000001,H5332&gt;=01_因子設定!$L$8-0.000000001,H5332&lt;=01_因子設定!$M$8+0.000000001,IF(01_因子設定!$B$20="Box-Behnken",E5332^2+F5332^2+G5332^2+H5332^2&lt;=2+0.000000001,TRUE()))</f>
        <v>1</v>
      </c>
      <c r="AD5332" s="55" t="n">
        <f aca="false">IF(AC5332,IF(01_因子設定!$B$13="最大化",AA5332-01_因子設定!$B$14,IF(01_因子設定!$B$13="最小化",01_因子設定!$B$15-AB5332,MIN(AA5332-01_因子設定!$B$14,01_因子設定!$B$15-AB5332))),-1E+030)</f>
        <v>-1.84579827097603</v>
      </c>
      <c r="AE5332" s="55" t="n">
        <f aca="false">IF(AC5332,IF(01_因子設定!$B$13="最大化",X5332,IF(01_因子設定!$B$13="最小化",-X5332,-ABS(X5332-01_因子設定!$B$16))),-1E+030)</f>
        <v>46.2107456140351</v>
      </c>
      <c r="AF5332" s="55" t="n">
        <f aca="false">AD5332+ROW()*0.000000001</f>
        <v>-1.84579293897603</v>
      </c>
      <c r="AG5332" s="55" t="n">
        <f aca="false">AE5332+ROW()*0.000000001</f>
        <v>46.2107509460351</v>
      </c>
    </row>
    <row r="5333" customFormat="false" ht="15" hidden="false" customHeight="false" outlineLevel="0" collapsed="false">
      <c r="A5333" s="0" t="n">
        <v>7</v>
      </c>
      <c r="B5333" s="0" t="n">
        <v>2</v>
      </c>
      <c r="C5333" s="0" t="n">
        <v>7</v>
      </c>
      <c r="D5333" s="0" t="n">
        <v>0</v>
      </c>
      <c r="E5333" s="0" t="n">
        <f aca="false">-1+A5333*0.25</f>
        <v>0.75</v>
      </c>
      <c r="F5333" s="0" t="n">
        <f aca="false">-1+B5333*0.25</f>
        <v>-0.5</v>
      </c>
      <c r="G5333" s="0" t="n">
        <f aca="false">-1+C5333*0.25</f>
        <v>0.75</v>
      </c>
      <c r="H5333" s="0" t="n">
        <f aca="false">-1+D5333*0.25</f>
        <v>-1</v>
      </c>
      <c r="I5333" s="0" t="n">
        <f aca="false">1</f>
        <v>1</v>
      </c>
      <c r="J5333" s="0" t="n">
        <f aca="false">E5333</f>
        <v>0.75</v>
      </c>
      <c r="K5333" s="0" t="n">
        <f aca="false">F5333</f>
        <v>-0.5</v>
      </c>
      <c r="L5333" s="0" t="n">
        <f aca="false">G5333</f>
        <v>0.75</v>
      </c>
      <c r="M5333" s="0" t="n">
        <f aca="false">H5333</f>
        <v>-1</v>
      </c>
      <c r="N5333" s="0" t="n">
        <f aca="false">E5333*F5333</f>
        <v>-0.375</v>
      </c>
      <c r="O5333" s="0" t="n">
        <f aca="false">E5333*G5333</f>
        <v>0.5625</v>
      </c>
      <c r="P5333" s="0" t="n">
        <f aca="false">E5333*H5333</f>
        <v>-0.75</v>
      </c>
      <c r="Q5333" s="0" t="n">
        <f aca="false">F5333*G5333</f>
        <v>-0.375</v>
      </c>
      <c r="R5333" s="0" t="n">
        <f aca="false">F5333*H5333</f>
        <v>0.5</v>
      </c>
      <c r="S5333" s="0" t="n">
        <f aca="false">G5333*H5333</f>
        <v>-0.75</v>
      </c>
      <c r="T5333" s="0" t="n">
        <f aca="false">E5333*E5333</f>
        <v>0.5625</v>
      </c>
      <c r="U5333" s="0" t="n">
        <f aca="false">F5333*F5333</f>
        <v>0.25</v>
      </c>
      <c r="V5333" s="0" t="n">
        <f aca="false">G5333*G5333</f>
        <v>0.5625</v>
      </c>
      <c r="W5333" s="0" t="n">
        <f aca="false">H5333*H5333</f>
        <v>1</v>
      </c>
      <c r="X5333" s="0" t="n">
        <f aca="false">SUMPRODUCT(I5333:W5333,_XtX!$B$96:$P$96)</f>
        <v>44.5118877923977</v>
      </c>
      <c r="Y5333" s="0" t="n">
        <f aca="false">SUMPRODUCT(MMULT(I5333:W5333,_XtX!$B$78:$P$92),I5333:W5333)</f>
        <v>0.431153771472953</v>
      </c>
      <c r="Z5333" s="0" t="n">
        <f aca="false">04_回帰ANOVA!$K$19*04_回帰ANOVA!$K$14*SQRT(1+Y5333)</f>
        <v>1.55934259562563</v>
      </c>
      <c r="AA5333" s="0" t="n">
        <f aca="false">X5333-Z5333</f>
        <v>42.9525451967721</v>
      </c>
      <c r="AB5333" s="0" t="n">
        <f aca="false">X5333+Z5333</f>
        <v>46.0712303880233</v>
      </c>
      <c r="AC5333" s="54" t="b">
        <f aca="false">AND(E5333&gt;=01_因子設定!$L$5-0.000000001,E5333&lt;=01_因子設定!$M$5+0.000000001,F5333&gt;=01_因子設定!$L$6-0.000000001,F5333&lt;=01_因子設定!$M$6+0.000000001,G5333&gt;=01_因子設定!$L$7-0.000000001,G5333&lt;=01_因子設定!$M$7+0.000000001,H5333&gt;=01_因子設定!$L$8-0.000000001,H5333&lt;=01_因子設定!$M$8+0.000000001,IF(01_因子設定!$B$20="Box-Behnken",E5333^2+F5333^2+G5333^2+H5333^2&lt;=2+0.000000001,TRUE()))</f>
        <v>1</v>
      </c>
      <c r="AD5333" s="55" t="n">
        <f aca="false">IF(AC5333,IF(01_因子設定!$B$13="最大化",AA5333-01_因子設定!$B$14,IF(01_因子設定!$B$13="最小化",01_因子設定!$B$15-AB5333,MIN(AA5333-01_因子設定!$B$14,01_因子設定!$B$15-AB5333))),-1E+030)</f>
        <v>-3.54745480322794</v>
      </c>
      <c r="AE5333" s="55" t="n">
        <f aca="false">IF(AC5333,IF(01_因子設定!$B$13="最大化",X5333,IF(01_因子設定!$B$13="最小化",-X5333,-ABS(X5333-01_因子設定!$B$16))),-1E+030)</f>
        <v>44.5118877923977</v>
      </c>
      <c r="AF5333" s="55" t="n">
        <f aca="false">AD5333+ROW()*0.000000001</f>
        <v>-3.54744947022794</v>
      </c>
      <c r="AG5333" s="55" t="n">
        <f aca="false">AE5333+ROW()*0.000000001</f>
        <v>44.5118931253977</v>
      </c>
    </row>
    <row r="5334" customFormat="false" ht="15" hidden="false" customHeight="false" outlineLevel="0" collapsed="false">
      <c r="A5334" s="0" t="n">
        <v>7</v>
      </c>
      <c r="B5334" s="0" t="n">
        <v>2</v>
      </c>
      <c r="C5334" s="0" t="n">
        <v>7</v>
      </c>
      <c r="D5334" s="0" t="n">
        <v>1</v>
      </c>
      <c r="E5334" s="0" t="n">
        <f aca="false">-1+A5334*0.25</f>
        <v>0.75</v>
      </c>
      <c r="F5334" s="0" t="n">
        <f aca="false">-1+B5334*0.25</f>
        <v>-0.5</v>
      </c>
      <c r="G5334" s="0" t="n">
        <f aca="false">-1+C5334*0.25</f>
        <v>0.75</v>
      </c>
      <c r="H5334" s="0" t="n">
        <f aca="false">-1+D5334*0.25</f>
        <v>-0.75</v>
      </c>
      <c r="I5334" s="0" t="n">
        <f aca="false">1</f>
        <v>1</v>
      </c>
      <c r="J5334" s="0" t="n">
        <f aca="false">E5334</f>
        <v>0.75</v>
      </c>
      <c r="K5334" s="0" t="n">
        <f aca="false">F5334</f>
        <v>-0.5</v>
      </c>
      <c r="L5334" s="0" t="n">
        <f aca="false">G5334</f>
        <v>0.75</v>
      </c>
      <c r="M5334" s="0" t="n">
        <f aca="false">H5334</f>
        <v>-0.75</v>
      </c>
      <c r="N5334" s="0" t="n">
        <f aca="false">E5334*F5334</f>
        <v>-0.375</v>
      </c>
      <c r="O5334" s="0" t="n">
        <f aca="false">E5334*G5334</f>
        <v>0.5625</v>
      </c>
      <c r="P5334" s="0" t="n">
        <f aca="false">E5334*H5334</f>
        <v>-0.5625</v>
      </c>
      <c r="Q5334" s="0" t="n">
        <f aca="false">F5334*G5334</f>
        <v>-0.375</v>
      </c>
      <c r="R5334" s="0" t="n">
        <f aca="false">F5334*H5334</f>
        <v>0.375</v>
      </c>
      <c r="S5334" s="0" t="n">
        <f aca="false">G5334*H5334</f>
        <v>-0.5625</v>
      </c>
      <c r="T5334" s="0" t="n">
        <f aca="false">E5334*E5334</f>
        <v>0.5625</v>
      </c>
      <c r="U5334" s="0" t="n">
        <f aca="false">F5334*F5334</f>
        <v>0.25</v>
      </c>
      <c r="V5334" s="0" t="n">
        <f aca="false">G5334*G5334</f>
        <v>0.5625</v>
      </c>
      <c r="W5334" s="0" t="n">
        <f aca="false">H5334*H5334</f>
        <v>0.5625</v>
      </c>
      <c r="X5334" s="0" t="n">
        <f aca="false">SUMPRODUCT(I5334:W5334,_XtX!$B$96:$P$96)</f>
        <v>44.8845074926901</v>
      </c>
      <c r="Y5334" s="0" t="n">
        <f aca="false">SUMPRODUCT(MMULT(I5334:W5334,_XtX!$B$78:$P$92),I5334:W5334)</f>
        <v>0.265632138614766</v>
      </c>
      <c r="Z5334" s="0" t="n">
        <f aca="false">04_回帰ANOVA!$K$19*04_回帰ANOVA!$K$14*SQRT(1+Y5334)</f>
        <v>1.46639894654257</v>
      </c>
      <c r="AA5334" s="0" t="n">
        <f aca="false">X5334-Z5334</f>
        <v>43.4181085461475</v>
      </c>
      <c r="AB5334" s="0" t="n">
        <f aca="false">X5334+Z5334</f>
        <v>46.3509064392326</v>
      </c>
      <c r="AC5334" s="54" t="b">
        <f aca="false">AND(E5334&gt;=01_因子設定!$L$5-0.000000001,E5334&lt;=01_因子設定!$M$5+0.000000001,F5334&gt;=01_因子設定!$L$6-0.000000001,F5334&lt;=01_因子設定!$M$6+0.000000001,G5334&gt;=01_因子設定!$L$7-0.000000001,G5334&lt;=01_因子設定!$M$7+0.000000001,H5334&gt;=01_因子設定!$L$8-0.000000001,H5334&lt;=01_因子設定!$M$8+0.000000001,IF(01_因子設定!$B$20="Box-Behnken",E5334^2+F5334^2+G5334^2+H5334^2&lt;=2+0.000000001,TRUE()))</f>
        <v>1</v>
      </c>
      <c r="AD5334" s="55" t="n">
        <f aca="false">IF(AC5334,IF(01_因子設定!$B$13="最大化",AA5334-01_因子設定!$B$14,IF(01_因子設定!$B$13="最小化",01_因子設定!$B$15-AB5334,MIN(AA5334-01_因子設定!$B$14,01_因子設定!$B$15-AB5334))),-1E+030)</f>
        <v>-3.08189145385251</v>
      </c>
      <c r="AE5334" s="55" t="n">
        <f aca="false">IF(AC5334,IF(01_因子設定!$B$13="最大化",X5334,IF(01_因子設定!$B$13="最小化",-X5334,-ABS(X5334-01_因子設定!$B$16))),-1E+030)</f>
        <v>44.8845074926901</v>
      </c>
      <c r="AF5334" s="55" t="n">
        <f aca="false">AD5334+ROW()*0.000000001</f>
        <v>-3.08188611985251</v>
      </c>
      <c r="AG5334" s="55" t="n">
        <f aca="false">AE5334+ROW()*0.000000001</f>
        <v>44.8845128266901</v>
      </c>
    </row>
    <row r="5335" customFormat="false" ht="15" hidden="false" customHeight="false" outlineLevel="0" collapsed="false">
      <c r="A5335" s="0" t="n">
        <v>7</v>
      </c>
      <c r="B5335" s="0" t="n">
        <v>2</v>
      </c>
      <c r="C5335" s="0" t="n">
        <v>7</v>
      </c>
      <c r="D5335" s="0" t="n">
        <v>2</v>
      </c>
      <c r="E5335" s="0" t="n">
        <f aca="false">-1+A5335*0.25</f>
        <v>0.75</v>
      </c>
      <c r="F5335" s="0" t="n">
        <f aca="false">-1+B5335*0.25</f>
        <v>-0.5</v>
      </c>
      <c r="G5335" s="0" t="n">
        <f aca="false">-1+C5335*0.25</f>
        <v>0.75</v>
      </c>
      <c r="H5335" s="0" t="n">
        <f aca="false">-1+D5335*0.25</f>
        <v>-0.5</v>
      </c>
      <c r="I5335" s="0" t="n">
        <f aca="false">1</f>
        <v>1</v>
      </c>
      <c r="J5335" s="0" t="n">
        <f aca="false">E5335</f>
        <v>0.75</v>
      </c>
      <c r="K5335" s="0" t="n">
        <f aca="false">F5335</f>
        <v>-0.5</v>
      </c>
      <c r="L5335" s="0" t="n">
        <f aca="false">G5335</f>
        <v>0.75</v>
      </c>
      <c r="M5335" s="0" t="n">
        <f aca="false">H5335</f>
        <v>-0.5</v>
      </c>
      <c r="N5335" s="0" t="n">
        <f aca="false">E5335*F5335</f>
        <v>-0.375</v>
      </c>
      <c r="O5335" s="0" t="n">
        <f aca="false">E5335*G5335</f>
        <v>0.5625</v>
      </c>
      <c r="P5335" s="0" t="n">
        <f aca="false">E5335*H5335</f>
        <v>-0.375</v>
      </c>
      <c r="Q5335" s="0" t="n">
        <f aca="false">F5335*G5335</f>
        <v>-0.375</v>
      </c>
      <c r="R5335" s="0" t="n">
        <f aca="false">F5335*H5335</f>
        <v>0.25</v>
      </c>
      <c r="S5335" s="0" t="n">
        <f aca="false">G5335*H5335</f>
        <v>-0.375</v>
      </c>
      <c r="T5335" s="0" t="n">
        <f aca="false">E5335*E5335</f>
        <v>0.5625</v>
      </c>
      <c r="U5335" s="0" t="n">
        <f aca="false">F5335*F5335</f>
        <v>0.25</v>
      </c>
      <c r="V5335" s="0" t="n">
        <f aca="false">G5335*G5335</f>
        <v>0.5625</v>
      </c>
      <c r="W5335" s="0" t="n">
        <f aca="false">H5335*H5335</f>
        <v>0.25</v>
      </c>
      <c r="X5335" s="0" t="n">
        <f aca="false">SUMPRODUCT(I5335:W5335,_XtX!$B$96:$P$96)</f>
        <v>45.2093201754386</v>
      </c>
      <c r="Y5335" s="0" t="n">
        <f aca="false">SUMPRODUCT(MMULT(I5335:W5335,_XtX!$B$78:$P$92),I5335:W5335)</f>
        <v>0.237862927174708</v>
      </c>
      <c r="Z5335" s="0" t="n">
        <f aca="false">04_回帰ANOVA!$K$19*04_回帰ANOVA!$K$14*SQRT(1+Y5335)</f>
        <v>1.45022260708756</v>
      </c>
      <c r="AA5335" s="0" t="n">
        <f aca="false">X5335-Z5335</f>
        <v>43.759097568351</v>
      </c>
      <c r="AB5335" s="0" t="n">
        <f aca="false">X5335+Z5335</f>
        <v>46.6595427825262</v>
      </c>
      <c r="AC5335" s="54" t="b">
        <f aca="false">AND(E5335&gt;=01_因子設定!$L$5-0.000000001,E5335&lt;=01_因子設定!$M$5+0.000000001,F5335&gt;=01_因子設定!$L$6-0.000000001,F5335&lt;=01_因子設定!$M$6+0.000000001,G5335&gt;=01_因子設定!$L$7-0.000000001,G5335&lt;=01_因子設定!$M$7+0.000000001,H5335&gt;=01_因子設定!$L$8-0.000000001,H5335&lt;=01_因子設定!$M$8+0.000000001,IF(01_因子設定!$B$20="Box-Behnken",E5335^2+F5335^2+G5335^2+H5335^2&lt;=2+0.000000001,TRUE()))</f>
        <v>1</v>
      </c>
      <c r="AD5335" s="55" t="n">
        <f aca="false">IF(AC5335,IF(01_因子設定!$B$13="最大化",AA5335-01_因子設定!$B$14,IF(01_因子設定!$B$13="最小化",01_因子設定!$B$15-AB5335,MIN(AA5335-01_因子設定!$B$14,01_因子設定!$B$15-AB5335))),-1E+030)</f>
        <v>-2.74090243164897</v>
      </c>
      <c r="AE5335" s="55" t="n">
        <f aca="false">IF(AC5335,IF(01_因子設定!$B$13="最大化",X5335,IF(01_因子設定!$B$13="最小化",-X5335,-ABS(X5335-01_因子設定!$B$16))),-1E+030)</f>
        <v>45.2093201754386</v>
      </c>
      <c r="AF5335" s="55" t="n">
        <f aca="false">AD5335+ROW()*0.000000001</f>
        <v>-2.74089709664897</v>
      </c>
      <c r="AG5335" s="55" t="n">
        <f aca="false">AE5335+ROW()*0.000000001</f>
        <v>45.2093255104386</v>
      </c>
    </row>
    <row r="5336" customFormat="false" ht="15" hidden="false" customHeight="false" outlineLevel="0" collapsed="false">
      <c r="A5336" s="0" t="n">
        <v>7</v>
      </c>
      <c r="B5336" s="0" t="n">
        <v>2</v>
      </c>
      <c r="C5336" s="0" t="n">
        <v>7</v>
      </c>
      <c r="D5336" s="0" t="n">
        <v>3</v>
      </c>
      <c r="E5336" s="0" t="n">
        <f aca="false">-1+A5336*0.25</f>
        <v>0.75</v>
      </c>
      <c r="F5336" s="0" t="n">
        <f aca="false">-1+B5336*0.25</f>
        <v>-0.5</v>
      </c>
      <c r="G5336" s="0" t="n">
        <f aca="false">-1+C5336*0.25</f>
        <v>0.75</v>
      </c>
      <c r="H5336" s="0" t="n">
        <f aca="false">-1+D5336*0.25</f>
        <v>-0.25</v>
      </c>
      <c r="I5336" s="0" t="n">
        <f aca="false">1</f>
        <v>1</v>
      </c>
      <c r="J5336" s="0" t="n">
        <f aca="false">E5336</f>
        <v>0.75</v>
      </c>
      <c r="K5336" s="0" t="n">
        <f aca="false">F5336</f>
        <v>-0.5</v>
      </c>
      <c r="L5336" s="0" t="n">
        <f aca="false">G5336</f>
        <v>0.75</v>
      </c>
      <c r="M5336" s="0" t="n">
        <f aca="false">H5336</f>
        <v>-0.25</v>
      </c>
      <c r="N5336" s="0" t="n">
        <f aca="false">E5336*F5336</f>
        <v>-0.375</v>
      </c>
      <c r="O5336" s="0" t="n">
        <f aca="false">E5336*G5336</f>
        <v>0.5625</v>
      </c>
      <c r="P5336" s="0" t="n">
        <f aca="false">E5336*H5336</f>
        <v>-0.1875</v>
      </c>
      <c r="Q5336" s="0" t="n">
        <f aca="false">F5336*G5336</f>
        <v>-0.375</v>
      </c>
      <c r="R5336" s="0" t="n">
        <f aca="false">F5336*H5336</f>
        <v>0.125</v>
      </c>
      <c r="S5336" s="0" t="n">
        <f aca="false">G5336*H5336</f>
        <v>-0.1875</v>
      </c>
      <c r="T5336" s="0" t="n">
        <f aca="false">E5336*E5336</f>
        <v>0.5625</v>
      </c>
      <c r="U5336" s="0" t="n">
        <f aca="false">F5336*F5336</f>
        <v>0.25</v>
      </c>
      <c r="V5336" s="0" t="n">
        <f aca="false">G5336*G5336</f>
        <v>0.5625</v>
      </c>
      <c r="W5336" s="0" t="n">
        <f aca="false">H5336*H5336</f>
        <v>0.0625</v>
      </c>
      <c r="X5336" s="0" t="n">
        <f aca="false">SUMPRODUCT(I5336:W5336,_XtX!$B$96:$P$96)</f>
        <v>45.4863258406433</v>
      </c>
      <c r="Y5336" s="0" t="n">
        <f aca="false">SUMPRODUCT(MMULT(I5336:W5336,_XtX!$B$78:$P$92),I5336:W5336)</f>
        <v>0.257385610836988</v>
      </c>
      <c r="Z5336" s="0" t="n">
        <f aca="false">04_回帰ANOVA!$K$19*04_回帰ANOVA!$K$14*SQRT(1+Y5336)</f>
        <v>1.46161380324158</v>
      </c>
      <c r="AA5336" s="0" t="n">
        <f aca="false">X5336-Z5336</f>
        <v>44.0247120374017</v>
      </c>
      <c r="AB5336" s="0" t="n">
        <f aca="false">X5336+Z5336</f>
        <v>46.9479396438848</v>
      </c>
      <c r="AC5336" s="54" t="b">
        <f aca="false">AND(E5336&gt;=01_因子設定!$L$5-0.000000001,E5336&lt;=01_因子設定!$M$5+0.000000001,F5336&gt;=01_因子設定!$L$6-0.000000001,F5336&lt;=01_因子設定!$M$6+0.000000001,G5336&gt;=01_因子設定!$L$7-0.000000001,G5336&lt;=01_因子設定!$M$7+0.000000001,H5336&gt;=01_因子設定!$L$8-0.000000001,H5336&lt;=01_因子設定!$M$8+0.000000001,IF(01_因子設定!$B$20="Box-Behnken",E5336^2+F5336^2+G5336^2+H5336^2&lt;=2+0.000000001,TRUE()))</f>
        <v>1</v>
      </c>
      <c r="AD5336" s="55" t="n">
        <f aca="false">IF(AC5336,IF(01_因子設定!$B$13="最大化",AA5336-01_因子設定!$B$14,IF(01_因子設定!$B$13="最小化",01_因子設定!$B$15-AB5336,MIN(AA5336-01_因子設定!$B$14,01_因子設定!$B$15-AB5336))),-1E+030)</f>
        <v>-2.47528796259832</v>
      </c>
      <c r="AE5336" s="55" t="n">
        <f aca="false">IF(AC5336,IF(01_因子設定!$B$13="最大化",X5336,IF(01_因子設定!$B$13="最小化",-X5336,-ABS(X5336-01_因子設定!$B$16))),-1E+030)</f>
        <v>45.4863258406433</v>
      </c>
      <c r="AF5336" s="55" t="n">
        <f aca="false">AD5336+ROW()*0.000000001</f>
        <v>-2.47528262659832</v>
      </c>
      <c r="AG5336" s="55" t="n">
        <f aca="false">AE5336+ROW()*0.000000001</f>
        <v>45.4863311766433</v>
      </c>
    </row>
    <row r="5337" customFormat="false" ht="15" hidden="false" customHeight="false" outlineLevel="0" collapsed="false">
      <c r="A5337" s="0" t="n">
        <v>7</v>
      </c>
      <c r="B5337" s="0" t="n">
        <v>2</v>
      </c>
      <c r="C5337" s="0" t="n">
        <v>7</v>
      </c>
      <c r="D5337" s="0" t="n">
        <v>4</v>
      </c>
      <c r="E5337" s="0" t="n">
        <f aca="false">-1+A5337*0.25</f>
        <v>0.75</v>
      </c>
      <c r="F5337" s="0" t="n">
        <f aca="false">-1+B5337*0.25</f>
        <v>-0.5</v>
      </c>
      <c r="G5337" s="0" t="n">
        <f aca="false">-1+C5337*0.25</f>
        <v>0.75</v>
      </c>
      <c r="H5337" s="0" t="n">
        <f aca="false">-1+D5337*0.25</f>
        <v>0</v>
      </c>
      <c r="I5337" s="0" t="n">
        <f aca="false">1</f>
        <v>1</v>
      </c>
      <c r="J5337" s="0" t="n">
        <f aca="false">E5337</f>
        <v>0.75</v>
      </c>
      <c r="K5337" s="0" t="n">
        <f aca="false">F5337</f>
        <v>-0.5</v>
      </c>
      <c r="L5337" s="0" t="n">
        <f aca="false">G5337</f>
        <v>0.75</v>
      </c>
      <c r="M5337" s="0" t="n">
        <f aca="false">H5337</f>
        <v>0</v>
      </c>
      <c r="N5337" s="0" t="n">
        <f aca="false">E5337*F5337</f>
        <v>-0.375</v>
      </c>
      <c r="O5337" s="0" t="n">
        <f aca="false">E5337*G5337</f>
        <v>0.5625</v>
      </c>
      <c r="P5337" s="0" t="n">
        <f aca="false">E5337*H5337</f>
        <v>0</v>
      </c>
      <c r="Q5337" s="0" t="n">
        <f aca="false">F5337*G5337</f>
        <v>-0.375</v>
      </c>
      <c r="R5337" s="0" t="n">
        <f aca="false">F5337*H5337</f>
        <v>-0</v>
      </c>
      <c r="S5337" s="0" t="n">
        <f aca="false">G5337*H5337</f>
        <v>0</v>
      </c>
      <c r="T5337" s="0" t="n">
        <f aca="false">E5337*E5337</f>
        <v>0.5625</v>
      </c>
      <c r="U5337" s="0" t="n">
        <f aca="false">F5337*F5337</f>
        <v>0.25</v>
      </c>
      <c r="V5337" s="0" t="n">
        <f aca="false">G5337*G5337</f>
        <v>0.5625</v>
      </c>
      <c r="W5337" s="0" t="n">
        <f aca="false">H5337*H5337</f>
        <v>0</v>
      </c>
      <c r="X5337" s="0" t="n">
        <f aca="false">SUMPRODUCT(I5337:W5337,_XtX!$B$96:$P$96)</f>
        <v>45.7155244883041</v>
      </c>
      <c r="Y5337" s="0" t="n">
        <f aca="false">SUMPRODUCT(MMULT(I5337:W5337,_XtX!$B$78:$P$92),I5337:W5337)</f>
        <v>0.269923873812135</v>
      </c>
      <c r="Z5337" s="0" t="n">
        <f aca="false">04_回帰ANOVA!$K$19*04_回帰ANOVA!$K$14*SQRT(1+Y5337)</f>
        <v>1.46888310825501</v>
      </c>
      <c r="AA5337" s="0" t="n">
        <f aca="false">X5337-Z5337</f>
        <v>44.2466413800491</v>
      </c>
      <c r="AB5337" s="0" t="n">
        <f aca="false">X5337+Z5337</f>
        <v>47.1844075965591</v>
      </c>
      <c r="AC5337" s="54" t="b">
        <f aca="false">AND(E5337&gt;=01_因子設定!$L$5-0.000000001,E5337&lt;=01_因子設定!$M$5+0.000000001,F5337&gt;=01_因子設定!$L$6-0.000000001,F5337&lt;=01_因子設定!$M$6+0.000000001,G5337&gt;=01_因子設定!$L$7-0.000000001,G5337&lt;=01_因子設定!$M$7+0.000000001,H5337&gt;=01_因子設定!$L$8-0.000000001,H5337&lt;=01_因子設定!$M$8+0.000000001,IF(01_因子設定!$B$20="Box-Behnken",E5337^2+F5337^2+G5337^2+H5337^2&lt;=2+0.000000001,TRUE()))</f>
        <v>1</v>
      </c>
      <c r="AD5337" s="55" t="n">
        <f aca="false">IF(AC5337,IF(01_因子設定!$B$13="最大化",AA5337-01_因子設定!$B$14,IF(01_因子設定!$B$13="最小化",01_因子設定!$B$15-AB5337,MIN(AA5337-01_因子設定!$B$14,01_因子設定!$B$15-AB5337))),-1E+030)</f>
        <v>-2.25335861995093</v>
      </c>
      <c r="AE5337" s="55" t="n">
        <f aca="false">IF(AC5337,IF(01_因子設定!$B$13="最大化",X5337,IF(01_因子設定!$B$13="最小化",-X5337,-ABS(X5337-01_因子設定!$B$16))),-1E+030)</f>
        <v>45.7155244883041</v>
      </c>
      <c r="AF5337" s="55" t="n">
        <f aca="false">AD5337+ROW()*0.000000001</f>
        <v>-2.25335328295093</v>
      </c>
      <c r="AG5337" s="55" t="n">
        <f aca="false">AE5337+ROW()*0.000000001</f>
        <v>45.7155298253041</v>
      </c>
    </row>
    <row r="5338" customFormat="false" ht="15" hidden="false" customHeight="false" outlineLevel="0" collapsed="false">
      <c r="A5338" s="0" t="n">
        <v>7</v>
      </c>
      <c r="B5338" s="0" t="n">
        <v>2</v>
      </c>
      <c r="C5338" s="0" t="n">
        <v>7</v>
      </c>
      <c r="D5338" s="0" t="n">
        <v>5</v>
      </c>
      <c r="E5338" s="0" t="n">
        <f aca="false">-1+A5338*0.25</f>
        <v>0.75</v>
      </c>
      <c r="F5338" s="0" t="n">
        <f aca="false">-1+B5338*0.25</f>
        <v>-0.5</v>
      </c>
      <c r="G5338" s="0" t="n">
        <f aca="false">-1+C5338*0.25</f>
        <v>0.75</v>
      </c>
      <c r="H5338" s="0" t="n">
        <f aca="false">-1+D5338*0.25</f>
        <v>0.25</v>
      </c>
      <c r="I5338" s="0" t="n">
        <f aca="false">1</f>
        <v>1</v>
      </c>
      <c r="J5338" s="0" t="n">
        <f aca="false">E5338</f>
        <v>0.75</v>
      </c>
      <c r="K5338" s="0" t="n">
        <f aca="false">F5338</f>
        <v>-0.5</v>
      </c>
      <c r="L5338" s="0" t="n">
        <f aca="false">G5338</f>
        <v>0.75</v>
      </c>
      <c r="M5338" s="0" t="n">
        <f aca="false">H5338</f>
        <v>0.25</v>
      </c>
      <c r="N5338" s="0" t="n">
        <f aca="false">E5338*F5338</f>
        <v>-0.375</v>
      </c>
      <c r="O5338" s="0" t="n">
        <f aca="false">E5338*G5338</f>
        <v>0.5625</v>
      </c>
      <c r="P5338" s="0" t="n">
        <f aca="false">E5338*H5338</f>
        <v>0.1875</v>
      </c>
      <c r="Q5338" s="0" t="n">
        <f aca="false">F5338*G5338</f>
        <v>-0.375</v>
      </c>
      <c r="R5338" s="0" t="n">
        <f aca="false">F5338*H5338</f>
        <v>-0.125</v>
      </c>
      <c r="S5338" s="0" t="n">
        <f aca="false">G5338*H5338</f>
        <v>0.1875</v>
      </c>
      <c r="T5338" s="0" t="n">
        <f aca="false">E5338*E5338</f>
        <v>0.5625</v>
      </c>
      <c r="U5338" s="0" t="n">
        <f aca="false">F5338*F5338</f>
        <v>0.25</v>
      </c>
      <c r="V5338" s="0" t="n">
        <f aca="false">G5338*G5338</f>
        <v>0.5625</v>
      </c>
      <c r="W5338" s="0" t="n">
        <f aca="false">H5338*H5338</f>
        <v>0.0625</v>
      </c>
      <c r="X5338" s="0" t="n">
        <f aca="false">SUMPRODUCT(I5338:W5338,_XtX!$B$96:$P$96)</f>
        <v>45.896916118421</v>
      </c>
      <c r="Y5338" s="0" t="n">
        <f aca="false">SUMPRODUCT(MMULT(I5338:W5338,_XtX!$B$78:$P$92),I5338:W5338)</f>
        <v>0.257385610836988</v>
      </c>
      <c r="Z5338" s="0" t="n">
        <f aca="false">04_回帰ANOVA!$K$19*04_回帰ANOVA!$K$14*SQRT(1+Y5338)</f>
        <v>1.46161380324158</v>
      </c>
      <c r="AA5338" s="0" t="n">
        <f aca="false">X5338-Z5338</f>
        <v>44.4353023151795</v>
      </c>
      <c r="AB5338" s="0" t="n">
        <f aca="false">X5338+Z5338</f>
        <v>47.3585299216626</v>
      </c>
      <c r="AC5338" s="54" t="b">
        <f aca="false">AND(E5338&gt;=01_因子設定!$L$5-0.000000001,E5338&lt;=01_因子設定!$M$5+0.000000001,F5338&gt;=01_因子設定!$L$6-0.000000001,F5338&lt;=01_因子設定!$M$6+0.000000001,G5338&gt;=01_因子設定!$L$7-0.000000001,G5338&lt;=01_因子設定!$M$7+0.000000001,H5338&gt;=01_因子設定!$L$8-0.000000001,H5338&lt;=01_因子設定!$M$8+0.000000001,IF(01_因子設定!$B$20="Box-Behnken",E5338^2+F5338^2+G5338^2+H5338^2&lt;=2+0.000000001,TRUE()))</f>
        <v>1</v>
      </c>
      <c r="AD5338" s="55" t="n">
        <f aca="false">IF(AC5338,IF(01_因子設定!$B$13="最大化",AA5338-01_因子設定!$B$14,IF(01_因子設定!$B$13="最小化",01_因子設定!$B$15-AB5338,MIN(AA5338-01_因子設定!$B$14,01_因子設定!$B$15-AB5338))),-1E+030)</f>
        <v>-2.06469768482054</v>
      </c>
      <c r="AE5338" s="55" t="n">
        <f aca="false">IF(AC5338,IF(01_因子設定!$B$13="最大化",X5338,IF(01_因子設定!$B$13="最小化",-X5338,-ABS(X5338-01_因子設定!$B$16))),-1E+030)</f>
        <v>45.896916118421</v>
      </c>
      <c r="AF5338" s="55" t="n">
        <f aca="false">AD5338+ROW()*0.000000001</f>
        <v>-2.06469234682054</v>
      </c>
      <c r="AG5338" s="55" t="n">
        <f aca="false">AE5338+ROW()*0.000000001</f>
        <v>45.896921456421</v>
      </c>
    </row>
    <row r="5339" customFormat="false" ht="15" hidden="false" customHeight="false" outlineLevel="0" collapsed="false">
      <c r="A5339" s="0" t="n">
        <v>7</v>
      </c>
      <c r="B5339" s="0" t="n">
        <v>2</v>
      </c>
      <c r="C5339" s="0" t="n">
        <v>7</v>
      </c>
      <c r="D5339" s="0" t="n">
        <v>6</v>
      </c>
      <c r="E5339" s="0" t="n">
        <f aca="false">-1+A5339*0.25</f>
        <v>0.75</v>
      </c>
      <c r="F5339" s="0" t="n">
        <f aca="false">-1+B5339*0.25</f>
        <v>-0.5</v>
      </c>
      <c r="G5339" s="0" t="n">
        <f aca="false">-1+C5339*0.25</f>
        <v>0.75</v>
      </c>
      <c r="H5339" s="0" t="n">
        <f aca="false">-1+D5339*0.25</f>
        <v>0.5</v>
      </c>
      <c r="I5339" s="0" t="n">
        <f aca="false">1</f>
        <v>1</v>
      </c>
      <c r="J5339" s="0" t="n">
        <f aca="false">E5339</f>
        <v>0.75</v>
      </c>
      <c r="K5339" s="0" t="n">
        <f aca="false">F5339</f>
        <v>-0.5</v>
      </c>
      <c r="L5339" s="0" t="n">
        <f aca="false">G5339</f>
        <v>0.75</v>
      </c>
      <c r="M5339" s="0" t="n">
        <f aca="false">H5339</f>
        <v>0.5</v>
      </c>
      <c r="N5339" s="0" t="n">
        <f aca="false">E5339*F5339</f>
        <v>-0.375</v>
      </c>
      <c r="O5339" s="0" t="n">
        <f aca="false">E5339*G5339</f>
        <v>0.5625</v>
      </c>
      <c r="P5339" s="0" t="n">
        <f aca="false">E5339*H5339</f>
        <v>0.375</v>
      </c>
      <c r="Q5339" s="0" t="n">
        <f aca="false">F5339*G5339</f>
        <v>-0.375</v>
      </c>
      <c r="R5339" s="0" t="n">
        <f aca="false">F5339*H5339</f>
        <v>-0.25</v>
      </c>
      <c r="S5339" s="0" t="n">
        <f aca="false">G5339*H5339</f>
        <v>0.375</v>
      </c>
      <c r="T5339" s="0" t="n">
        <f aca="false">E5339*E5339</f>
        <v>0.5625</v>
      </c>
      <c r="U5339" s="0" t="n">
        <f aca="false">F5339*F5339</f>
        <v>0.25</v>
      </c>
      <c r="V5339" s="0" t="n">
        <f aca="false">G5339*G5339</f>
        <v>0.5625</v>
      </c>
      <c r="W5339" s="0" t="n">
        <f aca="false">H5339*H5339</f>
        <v>0.25</v>
      </c>
      <c r="X5339" s="0" t="n">
        <f aca="false">SUMPRODUCT(I5339:W5339,_XtX!$B$96:$P$96)</f>
        <v>46.0305007309942</v>
      </c>
      <c r="Y5339" s="0" t="n">
        <f aca="false">SUMPRODUCT(MMULT(I5339:W5339,_XtX!$B$78:$P$92),I5339:W5339)</f>
        <v>0.237862927174708</v>
      </c>
      <c r="Z5339" s="0" t="n">
        <f aca="false">04_回帰ANOVA!$K$19*04_回帰ANOVA!$K$14*SQRT(1+Y5339)</f>
        <v>1.45022260708756</v>
      </c>
      <c r="AA5339" s="0" t="n">
        <f aca="false">X5339-Z5339</f>
        <v>44.5802781239066</v>
      </c>
      <c r="AB5339" s="0" t="n">
        <f aca="false">X5339+Z5339</f>
        <v>47.4807233380817</v>
      </c>
      <c r="AC5339" s="54" t="b">
        <f aca="false">AND(E5339&gt;=01_因子設定!$L$5-0.000000001,E5339&lt;=01_因子設定!$M$5+0.000000001,F5339&gt;=01_因子設定!$L$6-0.000000001,F5339&lt;=01_因子設定!$M$6+0.000000001,G5339&gt;=01_因子設定!$L$7-0.000000001,G5339&lt;=01_因子設定!$M$7+0.000000001,H5339&gt;=01_因子設定!$L$8-0.000000001,H5339&lt;=01_因子設定!$M$8+0.000000001,IF(01_因子設定!$B$20="Box-Behnken",E5339^2+F5339^2+G5339^2+H5339^2&lt;=2+0.000000001,TRUE()))</f>
        <v>1</v>
      </c>
      <c r="AD5339" s="55" t="n">
        <f aca="false">IF(AC5339,IF(01_因子設定!$B$13="最大化",AA5339-01_因子設定!$B$14,IF(01_因子設定!$B$13="最小化",01_因子設定!$B$15-AB5339,MIN(AA5339-01_因子設定!$B$14,01_因子設定!$B$15-AB5339))),-1E+030)</f>
        <v>-1.91972187609341</v>
      </c>
      <c r="AE5339" s="55" t="n">
        <f aca="false">IF(AC5339,IF(01_因子設定!$B$13="最大化",X5339,IF(01_因子設定!$B$13="最小化",-X5339,-ABS(X5339-01_因子設定!$B$16))),-1E+030)</f>
        <v>46.0305007309942</v>
      </c>
      <c r="AF5339" s="55" t="n">
        <f aca="false">AD5339+ROW()*0.000000001</f>
        <v>-1.91971653709341</v>
      </c>
      <c r="AG5339" s="55" t="n">
        <f aca="false">AE5339+ROW()*0.000000001</f>
        <v>46.0305060699941</v>
      </c>
    </row>
    <row r="5340" customFormat="false" ht="15" hidden="false" customHeight="false" outlineLevel="0" collapsed="false">
      <c r="A5340" s="0" t="n">
        <v>7</v>
      </c>
      <c r="B5340" s="0" t="n">
        <v>2</v>
      </c>
      <c r="C5340" s="0" t="n">
        <v>7</v>
      </c>
      <c r="D5340" s="0" t="n">
        <v>7</v>
      </c>
      <c r="E5340" s="0" t="n">
        <f aca="false">-1+A5340*0.25</f>
        <v>0.75</v>
      </c>
      <c r="F5340" s="0" t="n">
        <f aca="false">-1+B5340*0.25</f>
        <v>-0.5</v>
      </c>
      <c r="G5340" s="0" t="n">
        <f aca="false">-1+C5340*0.25</f>
        <v>0.75</v>
      </c>
      <c r="H5340" s="0" t="n">
        <f aca="false">-1+D5340*0.25</f>
        <v>0.75</v>
      </c>
      <c r="I5340" s="0" t="n">
        <f aca="false">1</f>
        <v>1</v>
      </c>
      <c r="J5340" s="0" t="n">
        <f aca="false">E5340</f>
        <v>0.75</v>
      </c>
      <c r="K5340" s="0" t="n">
        <f aca="false">F5340</f>
        <v>-0.5</v>
      </c>
      <c r="L5340" s="0" t="n">
        <f aca="false">G5340</f>
        <v>0.75</v>
      </c>
      <c r="M5340" s="0" t="n">
        <f aca="false">H5340</f>
        <v>0.75</v>
      </c>
      <c r="N5340" s="0" t="n">
        <f aca="false">E5340*F5340</f>
        <v>-0.375</v>
      </c>
      <c r="O5340" s="0" t="n">
        <f aca="false">E5340*G5340</f>
        <v>0.5625</v>
      </c>
      <c r="P5340" s="0" t="n">
        <f aca="false">E5340*H5340</f>
        <v>0.5625</v>
      </c>
      <c r="Q5340" s="0" t="n">
        <f aca="false">F5340*G5340</f>
        <v>-0.375</v>
      </c>
      <c r="R5340" s="0" t="n">
        <f aca="false">F5340*H5340</f>
        <v>-0.375</v>
      </c>
      <c r="S5340" s="0" t="n">
        <f aca="false">G5340*H5340</f>
        <v>0.5625</v>
      </c>
      <c r="T5340" s="0" t="n">
        <f aca="false">E5340*E5340</f>
        <v>0.5625</v>
      </c>
      <c r="U5340" s="0" t="n">
        <f aca="false">F5340*F5340</f>
        <v>0.25</v>
      </c>
      <c r="V5340" s="0" t="n">
        <f aca="false">G5340*G5340</f>
        <v>0.5625</v>
      </c>
      <c r="W5340" s="0" t="n">
        <f aca="false">H5340*H5340</f>
        <v>0.5625</v>
      </c>
      <c r="X5340" s="0" t="n">
        <f aca="false">SUMPRODUCT(I5340:W5340,_XtX!$B$96:$P$96)</f>
        <v>46.1162783260234</v>
      </c>
      <c r="Y5340" s="0" t="n">
        <f aca="false">SUMPRODUCT(MMULT(I5340:W5340,_XtX!$B$78:$P$92),I5340:W5340)</f>
        <v>0.265632138614766</v>
      </c>
      <c r="Z5340" s="0" t="n">
        <f aca="false">04_回帰ANOVA!$K$19*04_回帰ANOVA!$K$14*SQRT(1+Y5340)</f>
        <v>1.46639894654257</v>
      </c>
      <c r="AA5340" s="0" t="n">
        <f aca="false">X5340-Z5340</f>
        <v>44.6498793794808</v>
      </c>
      <c r="AB5340" s="0" t="n">
        <f aca="false">X5340+Z5340</f>
        <v>47.582677272566</v>
      </c>
      <c r="AC5340" s="54" t="b">
        <f aca="false">AND(E5340&gt;=01_因子設定!$L$5-0.000000001,E5340&lt;=01_因子設定!$M$5+0.000000001,F5340&gt;=01_因子設定!$L$6-0.000000001,F5340&lt;=01_因子設定!$M$6+0.000000001,G5340&gt;=01_因子設定!$L$7-0.000000001,G5340&lt;=01_因子設定!$M$7+0.000000001,H5340&gt;=01_因子設定!$L$8-0.000000001,H5340&lt;=01_因子設定!$M$8+0.000000001,IF(01_因子設定!$B$20="Box-Behnken",E5340^2+F5340^2+G5340^2+H5340^2&lt;=2+0.000000001,TRUE()))</f>
        <v>1</v>
      </c>
      <c r="AD5340" s="55" t="n">
        <f aca="false">IF(AC5340,IF(01_因子設定!$B$13="最大化",AA5340-01_因子設定!$B$14,IF(01_因子設定!$B$13="最小化",01_因子設定!$B$15-AB5340,MIN(AA5340-01_因子設定!$B$14,01_因子設定!$B$15-AB5340))),-1E+030)</f>
        <v>-1.85012062051918</v>
      </c>
      <c r="AE5340" s="55" t="n">
        <f aca="false">IF(AC5340,IF(01_因子設定!$B$13="最大化",X5340,IF(01_因子設定!$B$13="最小化",-X5340,-ABS(X5340-01_因子設定!$B$16))),-1E+030)</f>
        <v>46.1162783260234</v>
      </c>
      <c r="AF5340" s="55" t="n">
        <f aca="false">AD5340+ROW()*0.000000001</f>
        <v>-1.85011528051918</v>
      </c>
      <c r="AG5340" s="55" t="n">
        <f aca="false">AE5340+ROW()*0.000000001</f>
        <v>46.1162836660234</v>
      </c>
    </row>
    <row r="5341" customFormat="false" ht="15" hidden="false" customHeight="false" outlineLevel="0" collapsed="false">
      <c r="A5341" s="0" t="n">
        <v>7</v>
      </c>
      <c r="B5341" s="0" t="n">
        <v>2</v>
      </c>
      <c r="C5341" s="0" t="n">
        <v>7</v>
      </c>
      <c r="D5341" s="0" t="n">
        <v>8</v>
      </c>
      <c r="E5341" s="0" t="n">
        <f aca="false">-1+A5341*0.25</f>
        <v>0.75</v>
      </c>
      <c r="F5341" s="0" t="n">
        <f aca="false">-1+B5341*0.25</f>
        <v>-0.5</v>
      </c>
      <c r="G5341" s="0" t="n">
        <f aca="false">-1+C5341*0.25</f>
        <v>0.75</v>
      </c>
      <c r="H5341" s="0" t="n">
        <f aca="false">-1+D5341*0.25</f>
        <v>1</v>
      </c>
      <c r="I5341" s="0" t="n">
        <f aca="false">1</f>
        <v>1</v>
      </c>
      <c r="J5341" s="0" t="n">
        <f aca="false">E5341</f>
        <v>0.75</v>
      </c>
      <c r="K5341" s="0" t="n">
        <f aca="false">F5341</f>
        <v>-0.5</v>
      </c>
      <c r="L5341" s="0" t="n">
        <f aca="false">G5341</f>
        <v>0.75</v>
      </c>
      <c r="M5341" s="0" t="n">
        <f aca="false">H5341</f>
        <v>1</v>
      </c>
      <c r="N5341" s="0" t="n">
        <f aca="false">E5341*F5341</f>
        <v>-0.375</v>
      </c>
      <c r="O5341" s="0" t="n">
        <f aca="false">E5341*G5341</f>
        <v>0.5625</v>
      </c>
      <c r="P5341" s="0" t="n">
        <f aca="false">E5341*H5341</f>
        <v>0.75</v>
      </c>
      <c r="Q5341" s="0" t="n">
        <f aca="false">F5341*G5341</f>
        <v>-0.375</v>
      </c>
      <c r="R5341" s="0" t="n">
        <f aca="false">F5341*H5341</f>
        <v>-0.5</v>
      </c>
      <c r="S5341" s="0" t="n">
        <f aca="false">G5341*H5341</f>
        <v>0.75</v>
      </c>
      <c r="T5341" s="0" t="n">
        <f aca="false">E5341*E5341</f>
        <v>0.5625</v>
      </c>
      <c r="U5341" s="0" t="n">
        <f aca="false">F5341*F5341</f>
        <v>0.25</v>
      </c>
      <c r="V5341" s="0" t="n">
        <f aca="false">G5341*G5341</f>
        <v>0.5625</v>
      </c>
      <c r="W5341" s="0" t="n">
        <f aca="false">H5341*H5341</f>
        <v>1</v>
      </c>
      <c r="X5341" s="0" t="n">
        <f aca="false">SUMPRODUCT(I5341:W5341,_XtX!$B$96:$P$96)</f>
        <v>46.1542489035088</v>
      </c>
      <c r="Y5341" s="0" t="n">
        <f aca="false">SUMPRODUCT(MMULT(I5341:W5341,_XtX!$B$78:$P$92),I5341:W5341)</f>
        <v>0.431153771472953</v>
      </c>
      <c r="Z5341" s="0" t="n">
        <f aca="false">04_回帰ANOVA!$K$19*04_回帰ANOVA!$K$14*SQRT(1+Y5341)</f>
        <v>1.55934259562563</v>
      </c>
      <c r="AA5341" s="0" t="n">
        <f aca="false">X5341-Z5341</f>
        <v>44.5949063078832</v>
      </c>
      <c r="AB5341" s="0" t="n">
        <f aca="false">X5341+Z5341</f>
        <v>47.7135914991344</v>
      </c>
      <c r="AC5341" s="54" t="b">
        <f aca="false">AND(E5341&gt;=01_因子設定!$L$5-0.000000001,E5341&lt;=01_因子設定!$M$5+0.000000001,F5341&gt;=01_因子設定!$L$6-0.000000001,F5341&lt;=01_因子設定!$M$6+0.000000001,G5341&gt;=01_因子設定!$L$7-0.000000001,G5341&lt;=01_因子設定!$M$7+0.000000001,H5341&gt;=01_因子設定!$L$8-0.000000001,H5341&lt;=01_因子設定!$M$8+0.000000001,IF(01_因子設定!$B$20="Box-Behnken",E5341^2+F5341^2+G5341^2+H5341^2&lt;=2+0.000000001,TRUE()))</f>
        <v>1</v>
      </c>
      <c r="AD5341" s="55" t="n">
        <f aca="false">IF(AC5341,IF(01_因子設定!$B$13="最大化",AA5341-01_因子設定!$B$14,IF(01_因子設定!$B$13="最小化",01_因子設定!$B$15-AB5341,MIN(AA5341-01_因子設定!$B$14,01_因子設定!$B$15-AB5341))),-1E+030)</f>
        <v>-1.90509369211684</v>
      </c>
      <c r="AE5341" s="55" t="n">
        <f aca="false">IF(AC5341,IF(01_因子設定!$B$13="最大化",X5341,IF(01_因子設定!$B$13="最小化",-X5341,-ABS(X5341-01_因子設定!$B$16))),-1E+030)</f>
        <v>46.1542489035088</v>
      </c>
      <c r="AF5341" s="55" t="n">
        <f aca="false">AD5341+ROW()*0.000000001</f>
        <v>-1.90508835111684</v>
      </c>
      <c r="AG5341" s="55" t="n">
        <f aca="false">AE5341+ROW()*0.000000001</f>
        <v>46.1542542445088</v>
      </c>
    </row>
    <row r="5342" customFormat="false" ht="15" hidden="false" customHeight="false" outlineLevel="0" collapsed="false">
      <c r="A5342" s="0" t="n">
        <v>7</v>
      </c>
      <c r="B5342" s="0" t="n">
        <v>2</v>
      </c>
      <c r="C5342" s="0" t="n">
        <v>8</v>
      </c>
      <c r="D5342" s="0" t="n">
        <v>0</v>
      </c>
      <c r="E5342" s="0" t="n">
        <f aca="false">-1+A5342*0.25</f>
        <v>0.75</v>
      </c>
      <c r="F5342" s="0" t="n">
        <f aca="false">-1+B5342*0.25</f>
        <v>-0.5</v>
      </c>
      <c r="G5342" s="0" t="n">
        <f aca="false">-1+C5342*0.25</f>
        <v>1</v>
      </c>
      <c r="H5342" s="0" t="n">
        <f aca="false">-1+D5342*0.25</f>
        <v>-1</v>
      </c>
      <c r="I5342" s="0" t="n">
        <f aca="false">1</f>
        <v>1</v>
      </c>
      <c r="J5342" s="0" t="n">
        <f aca="false">E5342</f>
        <v>0.75</v>
      </c>
      <c r="K5342" s="0" t="n">
        <f aca="false">F5342</f>
        <v>-0.5</v>
      </c>
      <c r="L5342" s="0" t="n">
        <f aca="false">G5342</f>
        <v>1</v>
      </c>
      <c r="M5342" s="0" t="n">
        <f aca="false">H5342</f>
        <v>-1</v>
      </c>
      <c r="N5342" s="0" t="n">
        <f aca="false">E5342*F5342</f>
        <v>-0.375</v>
      </c>
      <c r="O5342" s="0" t="n">
        <f aca="false">E5342*G5342</f>
        <v>0.75</v>
      </c>
      <c r="P5342" s="0" t="n">
        <f aca="false">E5342*H5342</f>
        <v>-0.75</v>
      </c>
      <c r="Q5342" s="0" t="n">
        <f aca="false">F5342*G5342</f>
        <v>-0.5</v>
      </c>
      <c r="R5342" s="0" t="n">
        <f aca="false">F5342*H5342</f>
        <v>0.5</v>
      </c>
      <c r="S5342" s="0" t="n">
        <f aca="false">G5342*H5342</f>
        <v>-1</v>
      </c>
      <c r="T5342" s="0" t="n">
        <f aca="false">E5342*E5342</f>
        <v>0.5625</v>
      </c>
      <c r="U5342" s="0" t="n">
        <f aca="false">F5342*F5342</f>
        <v>0.25</v>
      </c>
      <c r="V5342" s="0" t="n">
        <f aca="false">G5342*G5342</f>
        <v>1</v>
      </c>
      <c r="W5342" s="0" t="n">
        <f aca="false">H5342*H5342</f>
        <v>1</v>
      </c>
      <c r="X5342" s="0" t="n">
        <f aca="false">SUMPRODUCT(I5342:W5342,_XtX!$B$96:$P$96)</f>
        <v>44.2263340643275</v>
      </c>
      <c r="Y5342" s="0" t="n">
        <f aca="false">SUMPRODUCT(MMULT(I5342:W5342,_XtX!$B$78:$P$92),I5342:W5342)</f>
        <v>0.564984237938597</v>
      </c>
      <c r="Z5342" s="0" t="n">
        <f aca="false">04_回帰ANOVA!$K$19*04_回帰ANOVA!$K$14*SQRT(1+Y5342)</f>
        <v>1.63062229734503</v>
      </c>
      <c r="AA5342" s="0" t="n">
        <f aca="false">X5342-Z5342</f>
        <v>42.5957117669825</v>
      </c>
      <c r="AB5342" s="0" t="n">
        <f aca="false">X5342+Z5342</f>
        <v>45.8569563616725</v>
      </c>
      <c r="AC5342" s="54" t="b">
        <f aca="false">AND(E5342&gt;=01_因子設定!$L$5-0.000000001,E5342&lt;=01_因子設定!$M$5+0.000000001,F5342&gt;=01_因子設定!$L$6-0.000000001,F5342&lt;=01_因子設定!$M$6+0.000000001,G5342&gt;=01_因子設定!$L$7-0.000000001,G5342&lt;=01_因子設定!$M$7+0.000000001,H5342&gt;=01_因子設定!$L$8-0.000000001,H5342&lt;=01_因子設定!$M$8+0.000000001,IF(01_因子設定!$B$20="Box-Behnken",E5342^2+F5342^2+G5342^2+H5342^2&lt;=2+0.000000001,TRUE()))</f>
        <v>1</v>
      </c>
      <c r="AD5342" s="55" t="n">
        <f aca="false">IF(AC5342,IF(01_因子設定!$B$13="最大化",AA5342-01_因子設定!$B$14,IF(01_因子設定!$B$13="最小化",01_因子設定!$B$15-AB5342,MIN(AA5342-01_因子設定!$B$14,01_因子設定!$B$15-AB5342))),-1E+030)</f>
        <v>-3.90428823301752</v>
      </c>
      <c r="AE5342" s="55" t="n">
        <f aca="false">IF(AC5342,IF(01_因子設定!$B$13="最大化",X5342,IF(01_因子設定!$B$13="最小化",-X5342,-ABS(X5342-01_因子設定!$B$16))),-1E+030)</f>
        <v>44.2263340643275</v>
      </c>
      <c r="AF5342" s="55" t="n">
        <f aca="false">AD5342+ROW()*0.000000001</f>
        <v>-3.90428289101752</v>
      </c>
      <c r="AG5342" s="55" t="n">
        <f aca="false">AE5342+ROW()*0.000000001</f>
        <v>44.2263394063275</v>
      </c>
    </row>
    <row r="5343" customFormat="false" ht="15" hidden="false" customHeight="false" outlineLevel="0" collapsed="false">
      <c r="A5343" s="0" t="n">
        <v>7</v>
      </c>
      <c r="B5343" s="0" t="n">
        <v>2</v>
      </c>
      <c r="C5343" s="0" t="n">
        <v>8</v>
      </c>
      <c r="D5343" s="0" t="n">
        <v>1</v>
      </c>
      <c r="E5343" s="0" t="n">
        <f aca="false">-1+A5343*0.25</f>
        <v>0.75</v>
      </c>
      <c r="F5343" s="0" t="n">
        <f aca="false">-1+B5343*0.25</f>
        <v>-0.5</v>
      </c>
      <c r="G5343" s="0" t="n">
        <f aca="false">-1+C5343*0.25</f>
        <v>1</v>
      </c>
      <c r="H5343" s="0" t="n">
        <f aca="false">-1+D5343*0.25</f>
        <v>-0.75</v>
      </c>
      <c r="I5343" s="0" t="n">
        <f aca="false">1</f>
        <v>1</v>
      </c>
      <c r="J5343" s="0" t="n">
        <f aca="false">E5343</f>
        <v>0.75</v>
      </c>
      <c r="K5343" s="0" t="n">
        <f aca="false">F5343</f>
        <v>-0.5</v>
      </c>
      <c r="L5343" s="0" t="n">
        <f aca="false">G5343</f>
        <v>1</v>
      </c>
      <c r="M5343" s="0" t="n">
        <f aca="false">H5343</f>
        <v>-0.75</v>
      </c>
      <c r="N5343" s="0" t="n">
        <f aca="false">E5343*F5343</f>
        <v>-0.375</v>
      </c>
      <c r="O5343" s="0" t="n">
        <f aca="false">E5343*G5343</f>
        <v>0.75</v>
      </c>
      <c r="P5343" s="0" t="n">
        <f aca="false">E5343*H5343</f>
        <v>-0.5625</v>
      </c>
      <c r="Q5343" s="0" t="n">
        <f aca="false">F5343*G5343</f>
        <v>-0.5</v>
      </c>
      <c r="R5343" s="0" t="n">
        <f aca="false">F5343*H5343</f>
        <v>0.375</v>
      </c>
      <c r="S5343" s="0" t="n">
        <f aca="false">G5343*H5343</f>
        <v>-0.75</v>
      </c>
      <c r="T5343" s="0" t="n">
        <f aca="false">E5343*E5343</f>
        <v>0.5625</v>
      </c>
      <c r="U5343" s="0" t="n">
        <f aca="false">F5343*F5343</f>
        <v>0.25</v>
      </c>
      <c r="V5343" s="0" t="n">
        <f aca="false">G5343*G5343</f>
        <v>1</v>
      </c>
      <c r="W5343" s="0" t="n">
        <f aca="false">H5343*H5343</f>
        <v>0.5625</v>
      </c>
      <c r="X5343" s="0" t="n">
        <f aca="false">SUMPRODUCT(I5343:W5343,_XtX!$B$96:$P$96)</f>
        <v>44.6169225146199</v>
      </c>
      <c r="Y5343" s="0" t="n">
        <f aca="false">SUMPRODUCT(MMULT(I5343:W5343,_XtX!$B$78:$P$92),I5343:W5343)</f>
        <v>0.431153771472953</v>
      </c>
      <c r="Z5343" s="0" t="n">
        <f aca="false">04_回帰ANOVA!$K$19*04_回帰ANOVA!$K$14*SQRT(1+Y5343)</f>
        <v>1.55934259562563</v>
      </c>
      <c r="AA5343" s="0" t="n">
        <f aca="false">X5343-Z5343</f>
        <v>43.0575799189943</v>
      </c>
      <c r="AB5343" s="0" t="n">
        <f aca="false">X5343+Z5343</f>
        <v>46.1762651102455</v>
      </c>
      <c r="AC5343" s="54" t="b">
        <f aca="false">AND(E5343&gt;=01_因子設定!$L$5-0.000000001,E5343&lt;=01_因子設定!$M$5+0.000000001,F5343&gt;=01_因子設定!$L$6-0.000000001,F5343&lt;=01_因子設定!$M$6+0.000000001,G5343&gt;=01_因子設定!$L$7-0.000000001,G5343&lt;=01_因子設定!$M$7+0.000000001,H5343&gt;=01_因子設定!$L$8-0.000000001,H5343&lt;=01_因子設定!$M$8+0.000000001,IF(01_因子設定!$B$20="Box-Behnken",E5343^2+F5343^2+G5343^2+H5343^2&lt;=2+0.000000001,TRUE()))</f>
        <v>1</v>
      </c>
      <c r="AD5343" s="55" t="n">
        <f aca="false">IF(AC5343,IF(01_因子設定!$B$13="最大化",AA5343-01_因子設定!$B$14,IF(01_因子設定!$B$13="最小化",01_因子設定!$B$15-AB5343,MIN(AA5343-01_因子設定!$B$14,01_因子設定!$B$15-AB5343))),-1E+030)</f>
        <v>-3.44242008100574</v>
      </c>
      <c r="AE5343" s="55" t="n">
        <f aca="false">IF(AC5343,IF(01_因子設定!$B$13="最大化",X5343,IF(01_因子設定!$B$13="最小化",-X5343,-ABS(X5343-01_因子設定!$B$16))),-1E+030)</f>
        <v>44.6169225146199</v>
      </c>
      <c r="AF5343" s="55" t="n">
        <f aca="false">AD5343+ROW()*0.000000001</f>
        <v>-3.44241473800574</v>
      </c>
      <c r="AG5343" s="55" t="n">
        <f aca="false">AE5343+ROW()*0.000000001</f>
        <v>44.6169278576199</v>
      </c>
    </row>
    <row r="5344" customFormat="false" ht="15" hidden="false" customHeight="false" outlineLevel="0" collapsed="false">
      <c r="A5344" s="0" t="n">
        <v>7</v>
      </c>
      <c r="B5344" s="0" t="n">
        <v>2</v>
      </c>
      <c r="C5344" s="0" t="n">
        <v>8</v>
      </c>
      <c r="D5344" s="0" t="n">
        <v>2</v>
      </c>
      <c r="E5344" s="0" t="n">
        <f aca="false">-1+A5344*0.25</f>
        <v>0.75</v>
      </c>
      <c r="F5344" s="0" t="n">
        <f aca="false">-1+B5344*0.25</f>
        <v>-0.5</v>
      </c>
      <c r="G5344" s="0" t="n">
        <f aca="false">-1+C5344*0.25</f>
        <v>1</v>
      </c>
      <c r="H5344" s="0" t="n">
        <f aca="false">-1+D5344*0.25</f>
        <v>-0.5</v>
      </c>
      <c r="I5344" s="0" t="n">
        <f aca="false">1</f>
        <v>1</v>
      </c>
      <c r="J5344" s="0" t="n">
        <f aca="false">E5344</f>
        <v>0.75</v>
      </c>
      <c r="K5344" s="0" t="n">
        <f aca="false">F5344</f>
        <v>-0.5</v>
      </c>
      <c r="L5344" s="0" t="n">
        <f aca="false">G5344</f>
        <v>1</v>
      </c>
      <c r="M5344" s="0" t="n">
        <f aca="false">H5344</f>
        <v>-0.5</v>
      </c>
      <c r="N5344" s="0" t="n">
        <f aca="false">E5344*F5344</f>
        <v>-0.375</v>
      </c>
      <c r="O5344" s="0" t="n">
        <f aca="false">E5344*G5344</f>
        <v>0.75</v>
      </c>
      <c r="P5344" s="0" t="n">
        <f aca="false">E5344*H5344</f>
        <v>-0.375</v>
      </c>
      <c r="Q5344" s="0" t="n">
        <f aca="false">F5344*G5344</f>
        <v>-0.5</v>
      </c>
      <c r="R5344" s="0" t="n">
        <f aca="false">F5344*H5344</f>
        <v>0.25</v>
      </c>
      <c r="S5344" s="0" t="n">
        <f aca="false">G5344*H5344</f>
        <v>-0.5</v>
      </c>
      <c r="T5344" s="0" t="n">
        <f aca="false">E5344*E5344</f>
        <v>0.5625</v>
      </c>
      <c r="U5344" s="0" t="n">
        <f aca="false">F5344*F5344</f>
        <v>0.25</v>
      </c>
      <c r="V5344" s="0" t="n">
        <f aca="false">G5344*G5344</f>
        <v>1</v>
      </c>
      <c r="W5344" s="0" t="n">
        <f aca="false">H5344*H5344</f>
        <v>0.25</v>
      </c>
      <c r="X5344" s="0" t="n">
        <f aca="false">SUMPRODUCT(I5344:W5344,_XtX!$B$96:$P$96)</f>
        <v>44.9597039473684</v>
      </c>
      <c r="Y5344" s="0" t="n">
        <f aca="false">SUMPRODUCT(MMULT(I5344:W5344,_XtX!$B$78:$P$92),I5344:W5344)</f>
        <v>0.42602110745614</v>
      </c>
      <c r="Z5344" s="0" t="n">
        <f aca="false">04_回帰ANOVA!$K$19*04_回帰ANOVA!$K$14*SQRT(1+Y5344)</f>
        <v>1.55654388501114</v>
      </c>
      <c r="AA5344" s="0" t="n">
        <f aca="false">X5344-Z5344</f>
        <v>43.4031600623573</v>
      </c>
      <c r="AB5344" s="0" t="n">
        <f aca="false">X5344+Z5344</f>
        <v>46.5162478323796</v>
      </c>
      <c r="AC5344" s="54" t="b">
        <f aca="false">AND(E5344&gt;=01_因子設定!$L$5-0.000000001,E5344&lt;=01_因子設定!$M$5+0.000000001,F5344&gt;=01_因子設定!$L$6-0.000000001,F5344&lt;=01_因子設定!$M$6+0.000000001,G5344&gt;=01_因子設定!$L$7-0.000000001,G5344&lt;=01_因子設定!$M$7+0.000000001,H5344&gt;=01_因子設定!$L$8-0.000000001,H5344&lt;=01_因子設定!$M$8+0.000000001,IF(01_因子設定!$B$20="Box-Behnken",E5344^2+F5344^2+G5344^2+H5344^2&lt;=2+0.000000001,TRUE()))</f>
        <v>1</v>
      </c>
      <c r="AD5344" s="55" t="n">
        <f aca="false">IF(AC5344,IF(01_因子設定!$B$13="最大化",AA5344-01_因子設定!$B$14,IF(01_因子設定!$B$13="最小化",01_因子設定!$B$15-AB5344,MIN(AA5344-01_因子設定!$B$14,01_因子設定!$B$15-AB5344))),-1E+030)</f>
        <v>-3.09683993764272</v>
      </c>
      <c r="AE5344" s="55" t="n">
        <f aca="false">IF(AC5344,IF(01_因子設定!$B$13="最大化",X5344,IF(01_因子設定!$B$13="最小化",-X5344,-ABS(X5344-01_因子設定!$B$16))),-1E+030)</f>
        <v>44.9597039473684</v>
      </c>
      <c r="AF5344" s="55" t="n">
        <f aca="false">AD5344+ROW()*0.000000001</f>
        <v>-3.09683459364272</v>
      </c>
      <c r="AG5344" s="55" t="n">
        <f aca="false">AE5344+ROW()*0.000000001</f>
        <v>44.9597092913684</v>
      </c>
    </row>
    <row r="5345" customFormat="false" ht="15" hidden="false" customHeight="false" outlineLevel="0" collapsed="false">
      <c r="A5345" s="0" t="n">
        <v>7</v>
      </c>
      <c r="B5345" s="0" t="n">
        <v>2</v>
      </c>
      <c r="C5345" s="0" t="n">
        <v>8</v>
      </c>
      <c r="D5345" s="0" t="n">
        <v>3</v>
      </c>
      <c r="E5345" s="0" t="n">
        <f aca="false">-1+A5345*0.25</f>
        <v>0.75</v>
      </c>
      <c r="F5345" s="0" t="n">
        <f aca="false">-1+B5345*0.25</f>
        <v>-0.5</v>
      </c>
      <c r="G5345" s="0" t="n">
        <f aca="false">-1+C5345*0.25</f>
        <v>1</v>
      </c>
      <c r="H5345" s="0" t="n">
        <f aca="false">-1+D5345*0.25</f>
        <v>-0.25</v>
      </c>
      <c r="I5345" s="0" t="n">
        <f aca="false">1</f>
        <v>1</v>
      </c>
      <c r="J5345" s="0" t="n">
        <f aca="false">E5345</f>
        <v>0.75</v>
      </c>
      <c r="K5345" s="0" t="n">
        <f aca="false">F5345</f>
        <v>-0.5</v>
      </c>
      <c r="L5345" s="0" t="n">
        <f aca="false">G5345</f>
        <v>1</v>
      </c>
      <c r="M5345" s="0" t="n">
        <f aca="false">H5345</f>
        <v>-0.25</v>
      </c>
      <c r="N5345" s="0" t="n">
        <f aca="false">E5345*F5345</f>
        <v>-0.375</v>
      </c>
      <c r="O5345" s="0" t="n">
        <f aca="false">E5345*G5345</f>
        <v>0.75</v>
      </c>
      <c r="P5345" s="0" t="n">
        <f aca="false">E5345*H5345</f>
        <v>-0.1875</v>
      </c>
      <c r="Q5345" s="0" t="n">
        <f aca="false">F5345*G5345</f>
        <v>-0.5</v>
      </c>
      <c r="R5345" s="0" t="n">
        <f aca="false">F5345*H5345</f>
        <v>0.125</v>
      </c>
      <c r="S5345" s="0" t="n">
        <f aca="false">G5345*H5345</f>
        <v>-0.25</v>
      </c>
      <c r="T5345" s="0" t="n">
        <f aca="false">E5345*E5345</f>
        <v>0.5625</v>
      </c>
      <c r="U5345" s="0" t="n">
        <f aca="false">F5345*F5345</f>
        <v>0.25</v>
      </c>
      <c r="V5345" s="0" t="n">
        <f aca="false">G5345*G5345</f>
        <v>1</v>
      </c>
      <c r="W5345" s="0" t="n">
        <f aca="false">H5345*H5345</f>
        <v>0.0625</v>
      </c>
      <c r="X5345" s="0" t="n">
        <f aca="false">SUMPRODUCT(I5345:W5345,_XtX!$B$96:$P$96)</f>
        <v>45.2546783625731</v>
      </c>
      <c r="Y5345" s="0" t="n">
        <f aca="false">SUMPRODUCT(MMULT(I5345:W5345,_XtX!$B$78:$P$92),I5345:W5345)</f>
        <v>0.459125719572369</v>
      </c>
      <c r="Z5345" s="0" t="n">
        <f aca="false">04_回帰ANOVA!$K$19*04_回帰ANOVA!$K$14*SQRT(1+Y5345)</f>
        <v>1.57450755575573</v>
      </c>
      <c r="AA5345" s="0" t="n">
        <f aca="false">X5345-Z5345</f>
        <v>43.6801708068174</v>
      </c>
      <c r="AB5345" s="0" t="n">
        <f aca="false">X5345+Z5345</f>
        <v>46.8291859183288</v>
      </c>
      <c r="AC5345" s="54" t="b">
        <f aca="false">AND(E5345&gt;=01_因子設定!$L$5-0.000000001,E5345&lt;=01_因子設定!$M$5+0.000000001,F5345&gt;=01_因子設定!$L$6-0.000000001,F5345&lt;=01_因子設定!$M$6+0.000000001,G5345&gt;=01_因子設定!$L$7-0.000000001,G5345&lt;=01_因子設定!$M$7+0.000000001,H5345&gt;=01_因子設定!$L$8-0.000000001,H5345&lt;=01_因子設定!$M$8+0.000000001,IF(01_因子設定!$B$20="Box-Behnken",E5345^2+F5345^2+G5345^2+H5345^2&lt;=2+0.000000001,TRUE()))</f>
        <v>1</v>
      </c>
      <c r="AD5345" s="55" t="n">
        <f aca="false">IF(AC5345,IF(01_因子設定!$B$13="最大化",AA5345-01_因子設定!$B$14,IF(01_因子設定!$B$13="最小化",01_因子設定!$B$15-AB5345,MIN(AA5345-01_因子設定!$B$14,01_因子設定!$B$15-AB5345))),-1E+030)</f>
        <v>-2.81982919318264</v>
      </c>
      <c r="AE5345" s="55" t="n">
        <f aca="false">IF(AC5345,IF(01_因子設定!$B$13="最大化",X5345,IF(01_因子設定!$B$13="最小化",-X5345,-ABS(X5345-01_因子設定!$B$16))),-1E+030)</f>
        <v>45.2546783625731</v>
      </c>
      <c r="AF5345" s="55" t="n">
        <f aca="false">AD5345+ROW()*0.000000001</f>
        <v>-2.81982384818264</v>
      </c>
      <c r="AG5345" s="55" t="n">
        <f aca="false">AE5345+ROW()*0.000000001</f>
        <v>45.2546837075731</v>
      </c>
    </row>
    <row r="5346" customFormat="false" ht="15" hidden="false" customHeight="false" outlineLevel="0" collapsed="false">
      <c r="A5346" s="0" t="n">
        <v>7</v>
      </c>
      <c r="B5346" s="0" t="n">
        <v>2</v>
      </c>
      <c r="C5346" s="0" t="n">
        <v>8</v>
      </c>
      <c r="D5346" s="0" t="n">
        <v>4</v>
      </c>
      <c r="E5346" s="0" t="n">
        <f aca="false">-1+A5346*0.25</f>
        <v>0.75</v>
      </c>
      <c r="F5346" s="0" t="n">
        <f aca="false">-1+B5346*0.25</f>
        <v>-0.5</v>
      </c>
      <c r="G5346" s="0" t="n">
        <f aca="false">-1+C5346*0.25</f>
        <v>1</v>
      </c>
      <c r="H5346" s="0" t="n">
        <f aca="false">-1+D5346*0.25</f>
        <v>0</v>
      </c>
      <c r="I5346" s="0" t="n">
        <f aca="false">1</f>
        <v>1</v>
      </c>
      <c r="J5346" s="0" t="n">
        <f aca="false">E5346</f>
        <v>0.75</v>
      </c>
      <c r="K5346" s="0" t="n">
        <f aca="false">F5346</f>
        <v>-0.5</v>
      </c>
      <c r="L5346" s="0" t="n">
        <f aca="false">G5346</f>
        <v>1</v>
      </c>
      <c r="M5346" s="0" t="n">
        <f aca="false">H5346</f>
        <v>0</v>
      </c>
      <c r="N5346" s="0" t="n">
        <f aca="false">E5346*F5346</f>
        <v>-0.375</v>
      </c>
      <c r="O5346" s="0" t="n">
        <f aca="false">E5346*G5346</f>
        <v>0.75</v>
      </c>
      <c r="P5346" s="0" t="n">
        <f aca="false">E5346*H5346</f>
        <v>0</v>
      </c>
      <c r="Q5346" s="0" t="n">
        <f aca="false">F5346*G5346</f>
        <v>-0.5</v>
      </c>
      <c r="R5346" s="0" t="n">
        <f aca="false">F5346*H5346</f>
        <v>-0</v>
      </c>
      <c r="S5346" s="0" t="n">
        <f aca="false">G5346*H5346</f>
        <v>0</v>
      </c>
      <c r="T5346" s="0" t="n">
        <f aca="false">E5346*E5346</f>
        <v>0.5625</v>
      </c>
      <c r="U5346" s="0" t="n">
        <f aca="false">F5346*F5346</f>
        <v>0.25</v>
      </c>
      <c r="V5346" s="0" t="n">
        <f aca="false">G5346*G5346</f>
        <v>1</v>
      </c>
      <c r="W5346" s="0" t="n">
        <f aca="false">H5346*H5346</f>
        <v>0</v>
      </c>
      <c r="X5346" s="0" t="n">
        <f aca="false">SUMPRODUCT(I5346:W5346,_XtX!$B$96:$P$96)</f>
        <v>45.5018457602339</v>
      </c>
      <c r="Y5346" s="0" t="n">
        <f aca="false">SUMPRODUCT(MMULT(I5346:W5346,_XtX!$B$78:$P$92),I5346:W5346)</f>
        <v>0.476191292032164</v>
      </c>
      <c r="Z5346" s="0" t="n">
        <f aca="false">04_回帰ANOVA!$K$19*04_回帰ANOVA!$K$14*SQRT(1+Y5346)</f>
        <v>1.58368831471718</v>
      </c>
      <c r="AA5346" s="0" t="n">
        <f aca="false">X5346-Z5346</f>
        <v>43.9181574455167</v>
      </c>
      <c r="AB5346" s="0" t="n">
        <f aca="false">X5346+Z5346</f>
        <v>47.0855340749511</v>
      </c>
      <c r="AC5346" s="54" t="b">
        <f aca="false">AND(E5346&gt;=01_因子設定!$L$5-0.000000001,E5346&lt;=01_因子設定!$M$5+0.000000001,F5346&gt;=01_因子設定!$L$6-0.000000001,F5346&lt;=01_因子設定!$M$6+0.000000001,G5346&gt;=01_因子設定!$L$7-0.000000001,G5346&lt;=01_因子設定!$M$7+0.000000001,H5346&gt;=01_因子設定!$L$8-0.000000001,H5346&lt;=01_因子設定!$M$8+0.000000001,IF(01_因子設定!$B$20="Box-Behnken",E5346^2+F5346^2+G5346^2+H5346^2&lt;=2+0.000000001,TRUE()))</f>
        <v>1</v>
      </c>
      <c r="AD5346" s="55" t="n">
        <f aca="false">IF(AC5346,IF(01_因子設定!$B$13="最大化",AA5346-01_因子設定!$B$14,IF(01_因子設定!$B$13="最小化",01_因子設定!$B$15-AB5346,MIN(AA5346-01_因子設定!$B$14,01_因子設定!$B$15-AB5346))),-1E+030)</f>
        <v>-2.58184255448327</v>
      </c>
      <c r="AE5346" s="55" t="n">
        <f aca="false">IF(AC5346,IF(01_因子設定!$B$13="最大化",X5346,IF(01_因子設定!$B$13="最小化",-X5346,-ABS(X5346-01_因子設定!$B$16))),-1E+030)</f>
        <v>45.5018457602339</v>
      </c>
      <c r="AF5346" s="55" t="n">
        <f aca="false">AD5346+ROW()*0.000000001</f>
        <v>-2.58183720848327</v>
      </c>
      <c r="AG5346" s="55" t="n">
        <f aca="false">AE5346+ROW()*0.000000001</f>
        <v>45.5018511062339</v>
      </c>
    </row>
    <row r="5347" customFormat="false" ht="15" hidden="false" customHeight="false" outlineLevel="0" collapsed="false">
      <c r="A5347" s="0" t="n">
        <v>7</v>
      </c>
      <c r="B5347" s="0" t="n">
        <v>2</v>
      </c>
      <c r="C5347" s="0" t="n">
        <v>8</v>
      </c>
      <c r="D5347" s="0" t="n">
        <v>5</v>
      </c>
      <c r="E5347" s="0" t="n">
        <f aca="false">-1+A5347*0.25</f>
        <v>0.75</v>
      </c>
      <c r="F5347" s="0" t="n">
        <f aca="false">-1+B5347*0.25</f>
        <v>-0.5</v>
      </c>
      <c r="G5347" s="0" t="n">
        <f aca="false">-1+C5347*0.25</f>
        <v>1</v>
      </c>
      <c r="H5347" s="0" t="n">
        <f aca="false">-1+D5347*0.25</f>
        <v>0.25</v>
      </c>
      <c r="I5347" s="0" t="n">
        <f aca="false">1</f>
        <v>1</v>
      </c>
      <c r="J5347" s="0" t="n">
        <f aca="false">E5347</f>
        <v>0.75</v>
      </c>
      <c r="K5347" s="0" t="n">
        <f aca="false">F5347</f>
        <v>-0.5</v>
      </c>
      <c r="L5347" s="0" t="n">
        <f aca="false">G5347</f>
        <v>1</v>
      </c>
      <c r="M5347" s="0" t="n">
        <f aca="false">H5347</f>
        <v>0.25</v>
      </c>
      <c r="N5347" s="0" t="n">
        <f aca="false">E5347*F5347</f>
        <v>-0.375</v>
      </c>
      <c r="O5347" s="0" t="n">
        <f aca="false">E5347*G5347</f>
        <v>0.75</v>
      </c>
      <c r="P5347" s="0" t="n">
        <f aca="false">E5347*H5347</f>
        <v>0.1875</v>
      </c>
      <c r="Q5347" s="0" t="n">
        <f aca="false">F5347*G5347</f>
        <v>-0.5</v>
      </c>
      <c r="R5347" s="0" t="n">
        <f aca="false">F5347*H5347</f>
        <v>-0.125</v>
      </c>
      <c r="S5347" s="0" t="n">
        <f aca="false">G5347*H5347</f>
        <v>0.25</v>
      </c>
      <c r="T5347" s="0" t="n">
        <f aca="false">E5347*E5347</f>
        <v>0.5625</v>
      </c>
      <c r="U5347" s="0" t="n">
        <f aca="false">F5347*F5347</f>
        <v>0.25</v>
      </c>
      <c r="V5347" s="0" t="n">
        <f aca="false">G5347*G5347</f>
        <v>1</v>
      </c>
      <c r="W5347" s="0" t="n">
        <f aca="false">H5347*H5347</f>
        <v>0.0625</v>
      </c>
      <c r="X5347" s="0" t="n">
        <f aca="false">SUMPRODUCT(I5347:W5347,_XtX!$B$96:$P$96)</f>
        <v>45.7012061403509</v>
      </c>
      <c r="Y5347" s="0" t="n">
        <f aca="false">SUMPRODUCT(MMULT(I5347:W5347,_XtX!$B$78:$P$92),I5347:W5347)</f>
        <v>0.459125719572369</v>
      </c>
      <c r="Z5347" s="0" t="n">
        <f aca="false">04_回帰ANOVA!$K$19*04_回帰ANOVA!$K$14*SQRT(1+Y5347)</f>
        <v>1.57450755575573</v>
      </c>
      <c r="AA5347" s="0" t="n">
        <f aca="false">X5347-Z5347</f>
        <v>44.1266985845951</v>
      </c>
      <c r="AB5347" s="0" t="n">
        <f aca="false">X5347+Z5347</f>
        <v>47.2757136961066</v>
      </c>
      <c r="AC5347" s="54" t="b">
        <f aca="false">AND(E5347&gt;=01_因子設定!$L$5-0.000000001,E5347&lt;=01_因子設定!$M$5+0.000000001,F5347&gt;=01_因子設定!$L$6-0.000000001,F5347&lt;=01_因子設定!$M$6+0.000000001,G5347&gt;=01_因子設定!$L$7-0.000000001,G5347&lt;=01_因子設定!$M$7+0.000000001,H5347&gt;=01_因子設定!$L$8-0.000000001,H5347&lt;=01_因子設定!$M$8+0.000000001,IF(01_因子設定!$B$20="Box-Behnken",E5347^2+F5347^2+G5347^2+H5347^2&lt;=2+0.000000001,TRUE()))</f>
        <v>1</v>
      </c>
      <c r="AD5347" s="55" t="n">
        <f aca="false">IF(AC5347,IF(01_因子設定!$B$13="最大化",AA5347-01_因子設定!$B$14,IF(01_因子設定!$B$13="最小化",01_因子設定!$B$15-AB5347,MIN(AA5347-01_因子設定!$B$14,01_因子設定!$B$15-AB5347))),-1E+030)</f>
        <v>-2.37330141540486</v>
      </c>
      <c r="AE5347" s="55" t="n">
        <f aca="false">IF(AC5347,IF(01_因子設定!$B$13="最大化",X5347,IF(01_因子設定!$B$13="最小化",-X5347,-ABS(X5347-01_因子設定!$B$16))),-1E+030)</f>
        <v>45.7012061403509</v>
      </c>
      <c r="AF5347" s="55" t="n">
        <f aca="false">AD5347+ROW()*0.000000001</f>
        <v>-2.37329606840486</v>
      </c>
      <c r="AG5347" s="55" t="n">
        <f aca="false">AE5347+ROW()*0.000000001</f>
        <v>45.7012114873509</v>
      </c>
    </row>
    <row r="5348" customFormat="false" ht="15" hidden="false" customHeight="false" outlineLevel="0" collapsed="false">
      <c r="A5348" s="0" t="n">
        <v>7</v>
      </c>
      <c r="B5348" s="0" t="n">
        <v>2</v>
      </c>
      <c r="C5348" s="0" t="n">
        <v>8</v>
      </c>
      <c r="D5348" s="0" t="n">
        <v>6</v>
      </c>
      <c r="E5348" s="0" t="n">
        <f aca="false">-1+A5348*0.25</f>
        <v>0.75</v>
      </c>
      <c r="F5348" s="0" t="n">
        <f aca="false">-1+B5348*0.25</f>
        <v>-0.5</v>
      </c>
      <c r="G5348" s="0" t="n">
        <f aca="false">-1+C5348*0.25</f>
        <v>1</v>
      </c>
      <c r="H5348" s="0" t="n">
        <f aca="false">-1+D5348*0.25</f>
        <v>0.5</v>
      </c>
      <c r="I5348" s="0" t="n">
        <f aca="false">1</f>
        <v>1</v>
      </c>
      <c r="J5348" s="0" t="n">
        <f aca="false">E5348</f>
        <v>0.75</v>
      </c>
      <c r="K5348" s="0" t="n">
        <f aca="false">F5348</f>
        <v>-0.5</v>
      </c>
      <c r="L5348" s="0" t="n">
        <f aca="false">G5348</f>
        <v>1</v>
      </c>
      <c r="M5348" s="0" t="n">
        <f aca="false">H5348</f>
        <v>0.5</v>
      </c>
      <c r="N5348" s="0" t="n">
        <f aca="false">E5348*F5348</f>
        <v>-0.375</v>
      </c>
      <c r="O5348" s="0" t="n">
        <f aca="false">E5348*G5348</f>
        <v>0.75</v>
      </c>
      <c r="P5348" s="0" t="n">
        <f aca="false">E5348*H5348</f>
        <v>0.375</v>
      </c>
      <c r="Q5348" s="0" t="n">
        <f aca="false">F5348*G5348</f>
        <v>-0.5</v>
      </c>
      <c r="R5348" s="0" t="n">
        <f aca="false">F5348*H5348</f>
        <v>-0.25</v>
      </c>
      <c r="S5348" s="0" t="n">
        <f aca="false">G5348*H5348</f>
        <v>0.5</v>
      </c>
      <c r="T5348" s="0" t="n">
        <f aca="false">E5348*E5348</f>
        <v>0.5625</v>
      </c>
      <c r="U5348" s="0" t="n">
        <f aca="false">F5348*F5348</f>
        <v>0.25</v>
      </c>
      <c r="V5348" s="0" t="n">
        <f aca="false">G5348*G5348</f>
        <v>1</v>
      </c>
      <c r="W5348" s="0" t="n">
        <f aca="false">H5348*H5348</f>
        <v>0.25</v>
      </c>
      <c r="X5348" s="0" t="n">
        <f aca="false">SUMPRODUCT(I5348:W5348,_XtX!$B$96:$P$96)</f>
        <v>45.852759502924</v>
      </c>
      <c r="Y5348" s="0" t="n">
        <f aca="false">SUMPRODUCT(MMULT(I5348:W5348,_XtX!$B$78:$P$92),I5348:W5348)</f>
        <v>0.42602110745614</v>
      </c>
      <c r="Z5348" s="0" t="n">
        <f aca="false">04_回帰ANOVA!$K$19*04_回帰ANOVA!$K$14*SQRT(1+Y5348)</f>
        <v>1.55654388501114</v>
      </c>
      <c r="AA5348" s="0" t="n">
        <f aca="false">X5348-Z5348</f>
        <v>44.2962156179128</v>
      </c>
      <c r="AB5348" s="0" t="n">
        <f aca="false">X5348+Z5348</f>
        <v>47.4093033879351</v>
      </c>
      <c r="AC5348" s="54" t="b">
        <f aca="false">AND(E5348&gt;=01_因子設定!$L$5-0.000000001,E5348&lt;=01_因子設定!$M$5+0.000000001,F5348&gt;=01_因子設定!$L$6-0.000000001,F5348&lt;=01_因子設定!$M$6+0.000000001,G5348&gt;=01_因子設定!$L$7-0.000000001,G5348&lt;=01_因子設定!$M$7+0.000000001,H5348&gt;=01_因子設定!$L$8-0.000000001,H5348&lt;=01_因子設定!$M$8+0.000000001,IF(01_因子設定!$B$20="Box-Behnken",E5348^2+F5348^2+G5348^2+H5348^2&lt;=2+0.000000001,TRUE()))</f>
        <v>1</v>
      </c>
      <c r="AD5348" s="55" t="n">
        <f aca="false">IF(AC5348,IF(01_因子設定!$B$13="最大化",AA5348-01_因子設定!$B$14,IF(01_因子設定!$B$13="最小化",01_因子設定!$B$15-AB5348,MIN(AA5348-01_因子設定!$B$14,01_因子設定!$B$15-AB5348))),-1E+030)</f>
        <v>-2.20378438208716</v>
      </c>
      <c r="AE5348" s="55" t="n">
        <f aca="false">IF(AC5348,IF(01_因子設定!$B$13="最大化",X5348,IF(01_因子設定!$B$13="最小化",-X5348,-ABS(X5348-01_因子設定!$B$16))),-1E+030)</f>
        <v>45.852759502924</v>
      </c>
      <c r="AF5348" s="55" t="n">
        <f aca="false">AD5348+ROW()*0.000000001</f>
        <v>-2.20377903408716</v>
      </c>
      <c r="AG5348" s="55" t="n">
        <f aca="false">AE5348+ROW()*0.000000001</f>
        <v>45.852764850924</v>
      </c>
    </row>
    <row r="5349" customFormat="false" ht="15" hidden="false" customHeight="false" outlineLevel="0" collapsed="false">
      <c r="A5349" s="0" t="n">
        <v>7</v>
      </c>
      <c r="B5349" s="0" t="n">
        <v>2</v>
      </c>
      <c r="C5349" s="0" t="n">
        <v>8</v>
      </c>
      <c r="D5349" s="0" t="n">
        <v>7</v>
      </c>
      <c r="E5349" s="0" t="n">
        <f aca="false">-1+A5349*0.25</f>
        <v>0.75</v>
      </c>
      <c r="F5349" s="0" t="n">
        <f aca="false">-1+B5349*0.25</f>
        <v>-0.5</v>
      </c>
      <c r="G5349" s="0" t="n">
        <f aca="false">-1+C5349*0.25</f>
        <v>1</v>
      </c>
      <c r="H5349" s="0" t="n">
        <f aca="false">-1+D5349*0.25</f>
        <v>0.75</v>
      </c>
      <c r="I5349" s="0" t="n">
        <f aca="false">1</f>
        <v>1</v>
      </c>
      <c r="J5349" s="0" t="n">
        <f aca="false">E5349</f>
        <v>0.75</v>
      </c>
      <c r="K5349" s="0" t="n">
        <f aca="false">F5349</f>
        <v>-0.5</v>
      </c>
      <c r="L5349" s="0" t="n">
        <f aca="false">G5349</f>
        <v>1</v>
      </c>
      <c r="M5349" s="0" t="n">
        <f aca="false">H5349</f>
        <v>0.75</v>
      </c>
      <c r="N5349" s="0" t="n">
        <f aca="false">E5349*F5349</f>
        <v>-0.375</v>
      </c>
      <c r="O5349" s="0" t="n">
        <f aca="false">E5349*G5349</f>
        <v>0.75</v>
      </c>
      <c r="P5349" s="0" t="n">
        <f aca="false">E5349*H5349</f>
        <v>0.5625</v>
      </c>
      <c r="Q5349" s="0" t="n">
        <f aca="false">F5349*G5349</f>
        <v>-0.5</v>
      </c>
      <c r="R5349" s="0" t="n">
        <f aca="false">F5349*H5349</f>
        <v>-0.375</v>
      </c>
      <c r="S5349" s="0" t="n">
        <f aca="false">G5349*H5349</f>
        <v>0.75</v>
      </c>
      <c r="T5349" s="0" t="n">
        <f aca="false">E5349*E5349</f>
        <v>0.5625</v>
      </c>
      <c r="U5349" s="0" t="n">
        <f aca="false">F5349*F5349</f>
        <v>0.25</v>
      </c>
      <c r="V5349" s="0" t="n">
        <f aca="false">G5349*G5349</f>
        <v>1</v>
      </c>
      <c r="W5349" s="0" t="n">
        <f aca="false">H5349*H5349</f>
        <v>0.5625</v>
      </c>
      <c r="X5349" s="0" t="n">
        <f aca="false">SUMPRODUCT(I5349:W5349,_XtX!$B$96:$P$96)</f>
        <v>45.9565058479532</v>
      </c>
      <c r="Y5349" s="0" t="n">
        <f aca="false">SUMPRODUCT(MMULT(I5349:W5349,_XtX!$B$78:$P$92),I5349:W5349)</f>
        <v>0.431153771472953</v>
      </c>
      <c r="Z5349" s="0" t="n">
        <f aca="false">04_回帰ANOVA!$K$19*04_回帰ANOVA!$K$14*SQRT(1+Y5349)</f>
        <v>1.55934259562563</v>
      </c>
      <c r="AA5349" s="0" t="n">
        <f aca="false">X5349-Z5349</f>
        <v>44.3971632523276</v>
      </c>
      <c r="AB5349" s="0" t="n">
        <f aca="false">X5349+Z5349</f>
        <v>47.5158484435789</v>
      </c>
      <c r="AC5349" s="54" t="b">
        <f aca="false">AND(E5349&gt;=01_因子設定!$L$5-0.000000001,E5349&lt;=01_因子設定!$M$5+0.000000001,F5349&gt;=01_因子設定!$L$6-0.000000001,F5349&lt;=01_因子設定!$M$6+0.000000001,G5349&gt;=01_因子設定!$L$7-0.000000001,G5349&lt;=01_因子設定!$M$7+0.000000001,H5349&gt;=01_因子設定!$L$8-0.000000001,H5349&lt;=01_因子設定!$M$8+0.000000001,IF(01_因子設定!$B$20="Box-Behnken",E5349^2+F5349^2+G5349^2+H5349^2&lt;=2+0.000000001,TRUE()))</f>
        <v>1</v>
      </c>
      <c r="AD5349" s="55" t="n">
        <f aca="false">IF(AC5349,IF(01_因子設定!$B$13="最大化",AA5349-01_因子設定!$B$14,IF(01_因子設定!$B$13="最小化",01_因子設定!$B$15-AB5349,MIN(AA5349-01_因子設定!$B$14,01_因子設定!$B$15-AB5349))),-1E+030)</f>
        <v>-2.10283674767241</v>
      </c>
      <c r="AE5349" s="55" t="n">
        <f aca="false">IF(AC5349,IF(01_因子設定!$B$13="最大化",X5349,IF(01_因子設定!$B$13="最小化",-X5349,-ABS(X5349-01_因子設定!$B$16))),-1E+030)</f>
        <v>45.9565058479532</v>
      </c>
      <c r="AF5349" s="55" t="n">
        <f aca="false">AD5349+ROW()*0.000000001</f>
        <v>-2.10283139867241</v>
      </c>
      <c r="AG5349" s="55" t="n">
        <f aca="false">AE5349+ROW()*0.000000001</f>
        <v>45.9565111969532</v>
      </c>
    </row>
    <row r="5350" customFormat="false" ht="15" hidden="false" customHeight="false" outlineLevel="0" collapsed="false">
      <c r="A5350" s="0" t="n">
        <v>7</v>
      </c>
      <c r="B5350" s="0" t="n">
        <v>2</v>
      </c>
      <c r="C5350" s="0" t="n">
        <v>8</v>
      </c>
      <c r="D5350" s="0" t="n">
        <v>8</v>
      </c>
      <c r="E5350" s="0" t="n">
        <f aca="false">-1+A5350*0.25</f>
        <v>0.75</v>
      </c>
      <c r="F5350" s="0" t="n">
        <f aca="false">-1+B5350*0.25</f>
        <v>-0.5</v>
      </c>
      <c r="G5350" s="0" t="n">
        <f aca="false">-1+C5350*0.25</f>
        <v>1</v>
      </c>
      <c r="H5350" s="0" t="n">
        <f aca="false">-1+D5350*0.25</f>
        <v>1</v>
      </c>
      <c r="I5350" s="0" t="n">
        <f aca="false">1</f>
        <v>1</v>
      </c>
      <c r="J5350" s="0" t="n">
        <f aca="false">E5350</f>
        <v>0.75</v>
      </c>
      <c r="K5350" s="0" t="n">
        <f aca="false">F5350</f>
        <v>-0.5</v>
      </c>
      <c r="L5350" s="0" t="n">
        <f aca="false">G5350</f>
        <v>1</v>
      </c>
      <c r="M5350" s="0" t="n">
        <f aca="false">H5350</f>
        <v>1</v>
      </c>
      <c r="N5350" s="0" t="n">
        <f aca="false">E5350*F5350</f>
        <v>-0.375</v>
      </c>
      <c r="O5350" s="0" t="n">
        <f aca="false">E5350*G5350</f>
        <v>0.75</v>
      </c>
      <c r="P5350" s="0" t="n">
        <f aca="false">E5350*H5350</f>
        <v>0.75</v>
      </c>
      <c r="Q5350" s="0" t="n">
        <f aca="false">F5350*G5350</f>
        <v>-0.5</v>
      </c>
      <c r="R5350" s="0" t="n">
        <f aca="false">F5350*H5350</f>
        <v>-0.5</v>
      </c>
      <c r="S5350" s="0" t="n">
        <f aca="false">G5350*H5350</f>
        <v>1</v>
      </c>
      <c r="T5350" s="0" t="n">
        <f aca="false">E5350*E5350</f>
        <v>0.5625</v>
      </c>
      <c r="U5350" s="0" t="n">
        <f aca="false">F5350*F5350</f>
        <v>0.25</v>
      </c>
      <c r="V5350" s="0" t="n">
        <f aca="false">G5350*G5350</f>
        <v>1</v>
      </c>
      <c r="W5350" s="0" t="n">
        <f aca="false">H5350*H5350</f>
        <v>1</v>
      </c>
      <c r="X5350" s="0" t="n">
        <f aca="false">SUMPRODUCT(I5350:W5350,_XtX!$B$96:$P$96)</f>
        <v>46.0124451754386</v>
      </c>
      <c r="Y5350" s="0" t="n">
        <f aca="false">SUMPRODUCT(MMULT(I5350:W5350,_XtX!$B$78:$P$92),I5350:W5350)</f>
        <v>0.564984237938597</v>
      </c>
      <c r="Z5350" s="0" t="n">
        <f aca="false">04_回帰ANOVA!$K$19*04_回帰ANOVA!$K$14*SQRT(1+Y5350)</f>
        <v>1.63062229734503</v>
      </c>
      <c r="AA5350" s="0" t="n">
        <f aca="false">X5350-Z5350</f>
        <v>44.3818228780936</v>
      </c>
      <c r="AB5350" s="0" t="n">
        <f aca="false">X5350+Z5350</f>
        <v>47.6430674727837</v>
      </c>
      <c r="AC5350" s="54" t="b">
        <f aca="false">AND(E5350&gt;=01_因子設定!$L$5-0.000000001,E5350&lt;=01_因子設定!$M$5+0.000000001,F5350&gt;=01_因子設定!$L$6-0.000000001,F5350&lt;=01_因子設定!$M$6+0.000000001,G5350&gt;=01_因子設定!$L$7-0.000000001,G5350&lt;=01_因子設定!$M$7+0.000000001,H5350&gt;=01_因子設定!$L$8-0.000000001,H5350&lt;=01_因子設定!$M$8+0.000000001,IF(01_因子設定!$B$20="Box-Behnken",E5350^2+F5350^2+G5350^2+H5350^2&lt;=2+0.000000001,TRUE()))</f>
        <v>1</v>
      </c>
      <c r="AD5350" s="55" t="n">
        <f aca="false">IF(AC5350,IF(01_因子設定!$B$13="最大化",AA5350-01_因子設定!$B$14,IF(01_因子設定!$B$13="最小化",01_因子設定!$B$15-AB5350,MIN(AA5350-01_因子設定!$B$14,01_因子設定!$B$15-AB5350))),-1E+030)</f>
        <v>-2.11817712190641</v>
      </c>
      <c r="AE5350" s="55" t="n">
        <f aca="false">IF(AC5350,IF(01_因子設定!$B$13="最大化",X5350,IF(01_因子設定!$B$13="最小化",-X5350,-ABS(X5350-01_因子設定!$B$16))),-1E+030)</f>
        <v>46.0124451754386</v>
      </c>
      <c r="AF5350" s="55" t="n">
        <f aca="false">AD5350+ROW()*0.000000001</f>
        <v>-2.11817177190641</v>
      </c>
      <c r="AG5350" s="55" t="n">
        <f aca="false">AE5350+ROW()*0.000000001</f>
        <v>46.0124505254386</v>
      </c>
    </row>
    <row r="5351" customFormat="false" ht="15" hidden="false" customHeight="false" outlineLevel="0" collapsed="false">
      <c r="A5351" s="0" t="n">
        <v>7</v>
      </c>
      <c r="B5351" s="0" t="n">
        <v>3</v>
      </c>
      <c r="C5351" s="0" t="n">
        <v>0</v>
      </c>
      <c r="D5351" s="0" t="n">
        <v>0</v>
      </c>
      <c r="E5351" s="0" t="n">
        <f aca="false">-1+A5351*0.25</f>
        <v>0.75</v>
      </c>
      <c r="F5351" s="0" t="n">
        <f aca="false">-1+B5351*0.25</f>
        <v>-0.25</v>
      </c>
      <c r="G5351" s="0" t="n">
        <f aca="false">-1+C5351*0.25</f>
        <v>-1</v>
      </c>
      <c r="H5351" s="0" t="n">
        <f aca="false">-1+D5351*0.25</f>
        <v>-1</v>
      </c>
      <c r="I5351" s="0" t="n">
        <f aca="false">1</f>
        <v>1</v>
      </c>
      <c r="J5351" s="0" t="n">
        <f aca="false">E5351</f>
        <v>0.75</v>
      </c>
      <c r="K5351" s="0" t="n">
        <f aca="false">F5351</f>
        <v>-0.25</v>
      </c>
      <c r="L5351" s="0" t="n">
        <f aca="false">G5351</f>
        <v>-1</v>
      </c>
      <c r="M5351" s="0" t="n">
        <f aca="false">H5351</f>
        <v>-1</v>
      </c>
      <c r="N5351" s="0" t="n">
        <f aca="false">E5351*F5351</f>
        <v>-0.1875</v>
      </c>
      <c r="O5351" s="0" t="n">
        <f aca="false">E5351*G5351</f>
        <v>-0.75</v>
      </c>
      <c r="P5351" s="0" t="n">
        <f aca="false">E5351*H5351</f>
        <v>-0.75</v>
      </c>
      <c r="Q5351" s="0" t="n">
        <f aca="false">F5351*G5351</f>
        <v>0.25</v>
      </c>
      <c r="R5351" s="0" t="n">
        <f aca="false">F5351*H5351</f>
        <v>0.25</v>
      </c>
      <c r="S5351" s="0" t="n">
        <f aca="false">G5351*H5351</f>
        <v>1</v>
      </c>
      <c r="T5351" s="0" t="n">
        <f aca="false">E5351*E5351</f>
        <v>0.5625</v>
      </c>
      <c r="U5351" s="0" t="n">
        <f aca="false">F5351*F5351</f>
        <v>0.0625</v>
      </c>
      <c r="V5351" s="0" t="n">
        <f aca="false">G5351*G5351</f>
        <v>1</v>
      </c>
      <c r="W5351" s="0" t="n">
        <f aca="false">H5351*H5351</f>
        <v>1</v>
      </c>
      <c r="X5351" s="0" t="n">
        <f aca="false">SUMPRODUCT(I5351:W5351,_XtX!$B$96:$P$96)</f>
        <v>45.3159265350878</v>
      </c>
      <c r="Y5351" s="0" t="n">
        <f aca="false">SUMPRODUCT(MMULT(I5351:W5351,_XtX!$B$78:$P$92),I5351:W5351)</f>
        <v>0.621372155975877</v>
      </c>
      <c r="Z5351" s="0" t="n">
        <f aca="false">04_回帰ANOVA!$K$19*04_回帰ANOVA!$K$14*SQRT(1+Y5351)</f>
        <v>1.65973880499872</v>
      </c>
      <c r="AA5351" s="0" t="n">
        <f aca="false">X5351-Z5351</f>
        <v>43.656187730089</v>
      </c>
      <c r="AB5351" s="0" t="n">
        <f aca="false">X5351+Z5351</f>
        <v>46.9756653400865</v>
      </c>
      <c r="AC5351" s="54" t="b">
        <f aca="false">AND(E5351&gt;=01_因子設定!$L$5-0.000000001,E5351&lt;=01_因子設定!$M$5+0.000000001,F5351&gt;=01_因子設定!$L$6-0.000000001,F5351&lt;=01_因子設定!$M$6+0.000000001,G5351&gt;=01_因子設定!$L$7-0.000000001,G5351&lt;=01_因子設定!$M$7+0.000000001,H5351&gt;=01_因子設定!$L$8-0.000000001,H5351&lt;=01_因子設定!$M$8+0.000000001,IF(01_因子設定!$B$20="Box-Behnken",E5351^2+F5351^2+G5351^2+H5351^2&lt;=2+0.000000001,TRUE()))</f>
        <v>1</v>
      </c>
      <c r="AD5351" s="55" t="n">
        <f aca="false">IF(AC5351,IF(01_因子設定!$B$13="最大化",AA5351-01_因子設定!$B$14,IF(01_因子設定!$B$13="最小化",01_因子設定!$B$15-AB5351,MIN(AA5351-01_因子設定!$B$14,01_因子設定!$B$15-AB5351))),-1E+030)</f>
        <v>-2.84381226991097</v>
      </c>
      <c r="AE5351" s="55" t="n">
        <f aca="false">IF(AC5351,IF(01_因子設定!$B$13="最大化",X5351,IF(01_因子設定!$B$13="最小化",-X5351,-ABS(X5351-01_因子設定!$B$16))),-1E+030)</f>
        <v>45.3159265350878</v>
      </c>
      <c r="AF5351" s="55" t="n">
        <f aca="false">AD5351+ROW()*0.000000001</f>
        <v>-2.84380691891097</v>
      </c>
      <c r="AG5351" s="55" t="n">
        <f aca="false">AE5351+ROW()*0.000000001</f>
        <v>45.3159318860877</v>
      </c>
    </row>
    <row r="5352" customFormat="false" ht="15" hidden="false" customHeight="false" outlineLevel="0" collapsed="false">
      <c r="A5352" s="0" t="n">
        <v>7</v>
      </c>
      <c r="B5352" s="0" t="n">
        <v>3</v>
      </c>
      <c r="C5352" s="0" t="n">
        <v>0</v>
      </c>
      <c r="D5352" s="0" t="n">
        <v>1</v>
      </c>
      <c r="E5352" s="0" t="n">
        <f aca="false">-1+A5352*0.25</f>
        <v>0.75</v>
      </c>
      <c r="F5352" s="0" t="n">
        <f aca="false">-1+B5352*0.25</f>
        <v>-0.25</v>
      </c>
      <c r="G5352" s="0" t="n">
        <f aca="false">-1+C5352*0.25</f>
        <v>-1</v>
      </c>
      <c r="H5352" s="0" t="n">
        <f aca="false">-1+D5352*0.25</f>
        <v>-0.75</v>
      </c>
      <c r="I5352" s="0" t="n">
        <f aca="false">1</f>
        <v>1</v>
      </c>
      <c r="J5352" s="0" t="n">
        <f aca="false">E5352</f>
        <v>0.75</v>
      </c>
      <c r="K5352" s="0" t="n">
        <f aca="false">F5352</f>
        <v>-0.25</v>
      </c>
      <c r="L5352" s="0" t="n">
        <f aca="false">G5352</f>
        <v>-1</v>
      </c>
      <c r="M5352" s="0" t="n">
        <f aca="false">H5352</f>
        <v>-0.75</v>
      </c>
      <c r="N5352" s="0" t="n">
        <f aca="false">E5352*F5352</f>
        <v>-0.1875</v>
      </c>
      <c r="O5352" s="0" t="n">
        <f aca="false">E5352*G5352</f>
        <v>-0.75</v>
      </c>
      <c r="P5352" s="0" t="n">
        <f aca="false">E5352*H5352</f>
        <v>-0.5625</v>
      </c>
      <c r="Q5352" s="0" t="n">
        <f aca="false">F5352*G5352</f>
        <v>0.25</v>
      </c>
      <c r="R5352" s="0" t="n">
        <f aca="false">F5352*H5352</f>
        <v>0.1875</v>
      </c>
      <c r="S5352" s="0" t="n">
        <f aca="false">G5352*H5352</f>
        <v>0.75</v>
      </c>
      <c r="T5352" s="0" t="n">
        <f aca="false">E5352*E5352</f>
        <v>0.5625</v>
      </c>
      <c r="U5352" s="0" t="n">
        <f aca="false">F5352*F5352</f>
        <v>0.0625</v>
      </c>
      <c r="V5352" s="0" t="n">
        <f aca="false">G5352*G5352</f>
        <v>1</v>
      </c>
      <c r="W5352" s="0" t="n">
        <f aca="false">H5352*H5352</f>
        <v>0.5625</v>
      </c>
      <c r="X5352" s="0" t="n">
        <f aca="false">SUMPRODUCT(I5352:W5352,_XtX!$B$96:$P$96)</f>
        <v>45.5494837353801</v>
      </c>
      <c r="Y5352" s="0" t="n">
        <f aca="false">SUMPRODUCT(MMULT(I5352:W5352,_XtX!$B$78:$P$92),I5352:W5352)</f>
        <v>0.473959761056287</v>
      </c>
      <c r="Z5352" s="0" t="n">
        <f aca="false">04_回帰ANOVA!$K$19*04_回帰ANOVA!$K$14*SQRT(1+Y5352)</f>
        <v>1.58249084588329</v>
      </c>
      <c r="AA5352" s="0" t="n">
        <f aca="false">X5352-Z5352</f>
        <v>43.9669928894968</v>
      </c>
      <c r="AB5352" s="0" t="n">
        <f aca="false">X5352+Z5352</f>
        <v>47.1319745812634</v>
      </c>
      <c r="AC5352" s="54" t="b">
        <f aca="false">AND(E5352&gt;=01_因子設定!$L$5-0.000000001,E5352&lt;=01_因子設定!$M$5+0.000000001,F5352&gt;=01_因子設定!$L$6-0.000000001,F5352&lt;=01_因子設定!$M$6+0.000000001,G5352&gt;=01_因子設定!$L$7-0.000000001,G5352&lt;=01_因子設定!$M$7+0.000000001,H5352&gt;=01_因子設定!$L$8-0.000000001,H5352&lt;=01_因子設定!$M$8+0.000000001,IF(01_因子設定!$B$20="Box-Behnken",E5352^2+F5352^2+G5352^2+H5352^2&lt;=2+0.000000001,TRUE()))</f>
        <v>1</v>
      </c>
      <c r="AD5352" s="55" t="n">
        <f aca="false">IF(AC5352,IF(01_因子設定!$B$13="最大化",AA5352-01_因子設定!$B$14,IF(01_因子設定!$B$13="最小化",01_因子設定!$B$15-AB5352,MIN(AA5352-01_因子設定!$B$14,01_因子設定!$B$15-AB5352))),-1E+030)</f>
        <v>-2.53300711050316</v>
      </c>
      <c r="AE5352" s="55" t="n">
        <f aca="false">IF(AC5352,IF(01_因子設定!$B$13="最大化",X5352,IF(01_因子設定!$B$13="最小化",-X5352,-ABS(X5352-01_因子設定!$B$16))),-1E+030)</f>
        <v>45.5494837353801</v>
      </c>
      <c r="AF5352" s="55" t="n">
        <f aca="false">AD5352+ROW()*0.000000001</f>
        <v>-2.53300175850316</v>
      </c>
      <c r="AG5352" s="55" t="n">
        <f aca="false">AE5352+ROW()*0.000000001</f>
        <v>45.5494890873801</v>
      </c>
    </row>
    <row r="5353" customFormat="false" ht="15" hidden="false" customHeight="false" outlineLevel="0" collapsed="false">
      <c r="A5353" s="0" t="n">
        <v>7</v>
      </c>
      <c r="B5353" s="0" t="n">
        <v>3</v>
      </c>
      <c r="C5353" s="0" t="n">
        <v>0</v>
      </c>
      <c r="D5353" s="0" t="n">
        <v>2</v>
      </c>
      <c r="E5353" s="0" t="n">
        <f aca="false">-1+A5353*0.25</f>
        <v>0.75</v>
      </c>
      <c r="F5353" s="0" t="n">
        <f aca="false">-1+B5353*0.25</f>
        <v>-0.25</v>
      </c>
      <c r="G5353" s="0" t="n">
        <f aca="false">-1+C5353*0.25</f>
        <v>-1</v>
      </c>
      <c r="H5353" s="0" t="n">
        <f aca="false">-1+D5353*0.25</f>
        <v>-0.5</v>
      </c>
      <c r="I5353" s="0" t="n">
        <f aca="false">1</f>
        <v>1</v>
      </c>
      <c r="J5353" s="0" t="n">
        <f aca="false">E5353</f>
        <v>0.75</v>
      </c>
      <c r="K5353" s="0" t="n">
        <f aca="false">F5353</f>
        <v>-0.25</v>
      </c>
      <c r="L5353" s="0" t="n">
        <f aca="false">G5353</f>
        <v>-1</v>
      </c>
      <c r="M5353" s="0" t="n">
        <f aca="false">H5353</f>
        <v>-0.5</v>
      </c>
      <c r="N5353" s="0" t="n">
        <f aca="false">E5353*F5353</f>
        <v>-0.1875</v>
      </c>
      <c r="O5353" s="0" t="n">
        <f aca="false">E5353*G5353</f>
        <v>-0.75</v>
      </c>
      <c r="P5353" s="0" t="n">
        <f aca="false">E5353*H5353</f>
        <v>-0.375</v>
      </c>
      <c r="Q5353" s="0" t="n">
        <f aca="false">F5353*G5353</f>
        <v>0.25</v>
      </c>
      <c r="R5353" s="0" t="n">
        <f aca="false">F5353*H5353</f>
        <v>0.125</v>
      </c>
      <c r="S5353" s="0" t="n">
        <f aca="false">G5353*H5353</f>
        <v>0.5</v>
      </c>
      <c r="T5353" s="0" t="n">
        <f aca="false">E5353*E5353</f>
        <v>0.5625</v>
      </c>
      <c r="U5353" s="0" t="n">
        <f aca="false">F5353*F5353</f>
        <v>0.0625</v>
      </c>
      <c r="V5353" s="0" t="n">
        <f aca="false">G5353*G5353</f>
        <v>1</v>
      </c>
      <c r="W5353" s="0" t="n">
        <f aca="false">H5353*H5353</f>
        <v>0.25</v>
      </c>
      <c r="X5353" s="0" t="n">
        <f aca="false">SUMPRODUCT(I5353:W5353,_XtX!$B$96:$P$96)</f>
        <v>45.7352339181287</v>
      </c>
      <c r="Y5353" s="0" t="n">
        <f aca="false">SUMPRODUCT(MMULT(I5353:W5353,_XtX!$B$78:$P$92),I5353:W5353)</f>
        <v>0.459125719572369</v>
      </c>
      <c r="Z5353" s="0" t="n">
        <f aca="false">04_回帰ANOVA!$K$19*04_回帰ANOVA!$K$14*SQRT(1+Y5353)</f>
        <v>1.57450755575573</v>
      </c>
      <c r="AA5353" s="0" t="n">
        <f aca="false">X5353-Z5353</f>
        <v>44.1607263623729</v>
      </c>
      <c r="AB5353" s="0" t="n">
        <f aca="false">X5353+Z5353</f>
        <v>47.3097414738844</v>
      </c>
      <c r="AC5353" s="54" t="b">
        <f aca="false">AND(E5353&gt;=01_因子設定!$L$5-0.000000001,E5353&lt;=01_因子設定!$M$5+0.000000001,F5353&gt;=01_因子設定!$L$6-0.000000001,F5353&lt;=01_因子設定!$M$6+0.000000001,G5353&gt;=01_因子設定!$L$7-0.000000001,G5353&lt;=01_因子設定!$M$7+0.000000001,H5353&gt;=01_因子設定!$L$8-0.000000001,H5353&lt;=01_因子設定!$M$8+0.000000001,IF(01_因子設定!$B$20="Box-Behnken",E5353^2+F5353^2+G5353^2+H5353^2&lt;=2+0.000000001,TRUE()))</f>
        <v>1</v>
      </c>
      <c r="AD5353" s="55" t="n">
        <f aca="false">IF(AC5353,IF(01_因子設定!$B$13="最大化",AA5353-01_因子設定!$B$14,IF(01_因子設定!$B$13="最小化",01_因子設定!$B$15-AB5353,MIN(AA5353-01_因子設定!$B$14,01_因子設定!$B$15-AB5353))),-1E+030)</f>
        <v>-2.33927363762707</v>
      </c>
      <c r="AE5353" s="55" t="n">
        <f aca="false">IF(AC5353,IF(01_因子設定!$B$13="最大化",X5353,IF(01_因子設定!$B$13="最小化",-X5353,-ABS(X5353-01_因子設定!$B$16))),-1E+030)</f>
        <v>45.7352339181287</v>
      </c>
      <c r="AF5353" s="55" t="n">
        <f aca="false">AD5353+ROW()*0.000000001</f>
        <v>-2.33926828462707</v>
      </c>
      <c r="AG5353" s="55" t="n">
        <f aca="false">AE5353+ROW()*0.000000001</f>
        <v>45.7352392711287</v>
      </c>
    </row>
    <row r="5354" customFormat="false" ht="15" hidden="false" customHeight="false" outlineLevel="0" collapsed="false">
      <c r="A5354" s="0" t="n">
        <v>7</v>
      </c>
      <c r="B5354" s="0" t="n">
        <v>3</v>
      </c>
      <c r="C5354" s="0" t="n">
        <v>0</v>
      </c>
      <c r="D5354" s="0" t="n">
        <v>3</v>
      </c>
      <c r="E5354" s="0" t="n">
        <f aca="false">-1+A5354*0.25</f>
        <v>0.75</v>
      </c>
      <c r="F5354" s="0" t="n">
        <f aca="false">-1+B5354*0.25</f>
        <v>-0.25</v>
      </c>
      <c r="G5354" s="0" t="n">
        <f aca="false">-1+C5354*0.25</f>
        <v>-1</v>
      </c>
      <c r="H5354" s="0" t="n">
        <f aca="false">-1+D5354*0.25</f>
        <v>-0.25</v>
      </c>
      <c r="I5354" s="0" t="n">
        <f aca="false">1</f>
        <v>1</v>
      </c>
      <c r="J5354" s="0" t="n">
        <f aca="false">E5354</f>
        <v>0.75</v>
      </c>
      <c r="K5354" s="0" t="n">
        <f aca="false">F5354</f>
        <v>-0.25</v>
      </c>
      <c r="L5354" s="0" t="n">
        <f aca="false">G5354</f>
        <v>-1</v>
      </c>
      <c r="M5354" s="0" t="n">
        <f aca="false">H5354</f>
        <v>-0.25</v>
      </c>
      <c r="N5354" s="0" t="n">
        <f aca="false">E5354*F5354</f>
        <v>-0.1875</v>
      </c>
      <c r="O5354" s="0" t="n">
        <f aca="false">E5354*G5354</f>
        <v>-0.75</v>
      </c>
      <c r="P5354" s="0" t="n">
        <f aca="false">E5354*H5354</f>
        <v>-0.1875</v>
      </c>
      <c r="Q5354" s="0" t="n">
        <f aca="false">F5354*G5354</f>
        <v>0.25</v>
      </c>
      <c r="R5354" s="0" t="n">
        <f aca="false">F5354*H5354</f>
        <v>0.0625</v>
      </c>
      <c r="S5354" s="0" t="n">
        <f aca="false">G5354*H5354</f>
        <v>0.25</v>
      </c>
      <c r="T5354" s="0" t="n">
        <f aca="false">E5354*E5354</f>
        <v>0.5625</v>
      </c>
      <c r="U5354" s="0" t="n">
        <f aca="false">F5354*F5354</f>
        <v>0.0625</v>
      </c>
      <c r="V5354" s="0" t="n">
        <f aca="false">G5354*G5354</f>
        <v>1</v>
      </c>
      <c r="W5354" s="0" t="n">
        <f aca="false">H5354*H5354</f>
        <v>0.0625</v>
      </c>
      <c r="X5354" s="0" t="n">
        <f aca="false">SUMPRODUCT(I5354:W5354,_XtX!$B$96:$P$96)</f>
        <v>45.8731770833333</v>
      </c>
      <c r="Y5354" s="0" t="n">
        <f aca="false">SUMPRODUCT(MMULT(I5354:W5354,_XtX!$B$78:$P$92),I5354:W5354)</f>
        <v>0.486409505208334</v>
      </c>
      <c r="Z5354" s="0" t="n">
        <f aca="false">04_回帰ANOVA!$K$19*04_回帰ANOVA!$K$14*SQRT(1+Y5354)</f>
        <v>1.58916001665498</v>
      </c>
      <c r="AA5354" s="0" t="n">
        <f aca="false">X5354-Z5354</f>
        <v>44.2840170666783</v>
      </c>
      <c r="AB5354" s="0" t="n">
        <f aca="false">X5354+Z5354</f>
        <v>47.4623370999883</v>
      </c>
      <c r="AC5354" s="54" t="b">
        <f aca="false">AND(E5354&gt;=01_因子設定!$L$5-0.000000001,E5354&lt;=01_因子設定!$M$5+0.000000001,F5354&gt;=01_因子設定!$L$6-0.000000001,F5354&lt;=01_因子設定!$M$6+0.000000001,G5354&gt;=01_因子設定!$L$7-0.000000001,G5354&lt;=01_因子設定!$M$7+0.000000001,H5354&gt;=01_因子設定!$L$8-0.000000001,H5354&lt;=01_因子設定!$M$8+0.000000001,IF(01_因子設定!$B$20="Box-Behnken",E5354^2+F5354^2+G5354^2+H5354^2&lt;=2+0.000000001,TRUE()))</f>
        <v>1</v>
      </c>
      <c r="AD5354" s="55" t="n">
        <f aca="false">IF(AC5354,IF(01_因子設定!$B$13="最大化",AA5354-01_因子設定!$B$14,IF(01_因子設定!$B$13="最小化",01_因子設定!$B$15-AB5354,MIN(AA5354-01_因子設定!$B$14,01_因子設定!$B$15-AB5354))),-1E+030)</f>
        <v>-2.21598293332166</v>
      </c>
      <c r="AE5354" s="55" t="n">
        <f aca="false">IF(AC5354,IF(01_因子設定!$B$13="最大化",X5354,IF(01_因子設定!$B$13="最小化",-X5354,-ABS(X5354-01_因子設定!$B$16))),-1E+030)</f>
        <v>45.8731770833333</v>
      </c>
      <c r="AF5354" s="55" t="n">
        <f aca="false">AD5354+ROW()*0.000000001</f>
        <v>-2.21597757932166</v>
      </c>
      <c r="AG5354" s="55" t="n">
        <f aca="false">AE5354+ROW()*0.000000001</f>
        <v>45.8731824373333</v>
      </c>
    </row>
    <row r="5355" customFormat="false" ht="15" hidden="false" customHeight="false" outlineLevel="0" collapsed="false">
      <c r="A5355" s="0" t="n">
        <v>7</v>
      </c>
      <c r="B5355" s="0" t="n">
        <v>3</v>
      </c>
      <c r="C5355" s="0" t="n">
        <v>0</v>
      </c>
      <c r="D5355" s="0" t="n">
        <v>4</v>
      </c>
      <c r="E5355" s="0" t="n">
        <f aca="false">-1+A5355*0.25</f>
        <v>0.75</v>
      </c>
      <c r="F5355" s="0" t="n">
        <f aca="false">-1+B5355*0.25</f>
        <v>-0.25</v>
      </c>
      <c r="G5355" s="0" t="n">
        <f aca="false">-1+C5355*0.25</f>
        <v>-1</v>
      </c>
      <c r="H5355" s="0" t="n">
        <f aca="false">-1+D5355*0.25</f>
        <v>0</v>
      </c>
      <c r="I5355" s="0" t="n">
        <f aca="false">1</f>
        <v>1</v>
      </c>
      <c r="J5355" s="0" t="n">
        <f aca="false">E5355</f>
        <v>0.75</v>
      </c>
      <c r="K5355" s="0" t="n">
        <f aca="false">F5355</f>
        <v>-0.25</v>
      </c>
      <c r="L5355" s="0" t="n">
        <f aca="false">G5355</f>
        <v>-1</v>
      </c>
      <c r="M5355" s="0" t="n">
        <f aca="false">H5355</f>
        <v>0</v>
      </c>
      <c r="N5355" s="0" t="n">
        <f aca="false">E5355*F5355</f>
        <v>-0.1875</v>
      </c>
      <c r="O5355" s="0" t="n">
        <f aca="false">E5355*G5355</f>
        <v>-0.75</v>
      </c>
      <c r="P5355" s="0" t="n">
        <f aca="false">E5355*H5355</f>
        <v>0</v>
      </c>
      <c r="Q5355" s="0" t="n">
        <f aca="false">F5355*G5355</f>
        <v>0.25</v>
      </c>
      <c r="R5355" s="0" t="n">
        <f aca="false">F5355*H5355</f>
        <v>-0</v>
      </c>
      <c r="S5355" s="0" t="n">
        <f aca="false">G5355*H5355</f>
        <v>-0</v>
      </c>
      <c r="T5355" s="0" t="n">
        <f aca="false">E5355*E5355</f>
        <v>0.5625</v>
      </c>
      <c r="U5355" s="0" t="n">
        <f aca="false">F5355*F5355</f>
        <v>0.0625</v>
      </c>
      <c r="V5355" s="0" t="n">
        <f aca="false">G5355*G5355</f>
        <v>1</v>
      </c>
      <c r="W5355" s="0" t="n">
        <f aca="false">H5355*H5355</f>
        <v>0</v>
      </c>
      <c r="X5355" s="0" t="n">
        <f aca="false">SUMPRODUCT(I5355:W5355,_XtX!$B$96:$P$96)</f>
        <v>45.9633132309941</v>
      </c>
      <c r="Y5355" s="0" t="n">
        <f aca="false">SUMPRODUCT(MMULT(I5355:W5355,_XtX!$B$78:$P$92),I5355:W5355)</f>
        <v>0.501534802174708</v>
      </c>
      <c r="Z5355" s="0" t="n">
        <f aca="false">04_回帰ANOVA!$K$19*04_回帰ANOVA!$K$14*SQRT(1+Y5355)</f>
        <v>1.59722498091333</v>
      </c>
      <c r="AA5355" s="0" t="n">
        <f aca="false">X5355-Z5355</f>
        <v>44.3660882500808</v>
      </c>
      <c r="AB5355" s="0" t="n">
        <f aca="false">X5355+Z5355</f>
        <v>47.5605382119075</v>
      </c>
      <c r="AC5355" s="54" t="b">
        <f aca="false">AND(E5355&gt;=01_因子設定!$L$5-0.000000001,E5355&lt;=01_因子設定!$M$5+0.000000001,F5355&gt;=01_因子設定!$L$6-0.000000001,F5355&lt;=01_因子設定!$M$6+0.000000001,G5355&gt;=01_因子設定!$L$7-0.000000001,G5355&lt;=01_因子設定!$M$7+0.000000001,H5355&gt;=01_因子設定!$L$8-0.000000001,H5355&lt;=01_因子設定!$M$8+0.000000001,IF(01_因子設定!$B$20="Box-Behnken",E5355^2+F5355^2+G5355^2+H5355^2&lt;=2+0.000000001,TRUE()))</f>
        <v>1</v>
      </c>
      <c r="AD5355" s="55" t="n">
        <f aca="false">IF(AC5355,IF(01_因子設定!$B$13="最大化",AA5355-01_因子設定!$B$14,IF(01_因子設定!$B$13="最小化",01_因子設定!$B$15-AB5355,MIN(AA5355-01_因子設定!$B$14,01_因子設定!$B$15-AB5355))),-1E+030)</f>
        <v>-2.13391174991919</v>
      </c>
      <c r="AE5355" s="55" t="n">
        <f aca="false">IF(AC5355,IF(01_因子設定!$B$13="最大化",X5355,IF(01_因子設定!$B$13="最小化",-X5355,-ABS(X5355-01_因子設定!$B$16))),-1E+030)</f>
        <v>45.9633132309941</v>
      </c>
      <c r="AF5355" s="55" t="n">
        <f aca="false">AD5355+ROW()*0.000000001</f>
        <v>-2.13390639491919</v>
      </c>
      <c r="AG5355" s="55" t="n">
        <f aca="false">AE5355+ROW()*0.000000001</f>
        <v>45.9633185859941</v>
      </c>
    </row>
    <row r="5356" customFormat="false" ht="15" hidden="false" customHeight="false" outlineLevel="0" collapsed="false">
      <c r="A5356" s="0" t="n">
        <v>7</v>
      </c>
      <c r="B5356" s="0" t="n">
        <v>3</v>
      </c>
      <c r="C5356" s="0" t="n">
        <v>0</v>
      </c>
      <c r="D5356" s="0" t="n">
        <v>5</v>
      </c>
      <c r="E5356" s="0" t="n">
        <f aca="false">-1+A5356*0.25</f>
        <v>0.75</v>
      </c>
      <c r="F5356" s="0" t="n">
        <f aca="false">-1+B5356*0.25</f>
        <v>-0.25</v>
      </c>
      <c r="G5356" s="0" t="n">
        <f aca="false">-1+C5356*0.25</f>
        <v>-1</v>
      </c>
      <c r="H5356" s="0" t="n">
        <f aca="false">-1+D5356*0.25</f>
        <v>0.25</v>
      </c>
      <c r="I5356" s="0" t="n">
        <f aca="false">1</f>
        <v>1</v>
      </c>
      <c r="J5356" s="0" t="n">
        <f aca="false">E5356</f>
        <v>0.75</v>
      </c>
      <c r="K5356" s="0" t="n">
        <f aca="false">F5356</f>
        <v>-0.25</v>
      </c>
      <c r="L5356" s="0" t="n">
        <f aca="false">G5356</f>
        <v>-1</v>
      </c>
      <c r="M5356" s="0" t="n">
        <f aca="false">H5356</f>
        <v>0.25</v>
      </c>
      <c r="N5356" s="0" t="n">
        <f aca="false">E5356*F5356</f>
        <v>-0.1875</v>
      </c>
      <c r="O5356" s="0" t="n">
        <f aca="false">E5356*G5356</f>
        <v>-0.75</v>
      </c>
      <c r="P5356" s="0" t="n">
        <f aca="false">E5356*H5356</f>
        <v>0.1875</v>
      </c>
      <c r="Q5356" s="0" t="n">
        <f aca="false">F5356*G5356</f>
        <v>0.25</v>
      </c>
      <c r="R5356" s="0" t="n">
        <f aca="false">F5356*H5356</f>
        <v>-0.0625</v>
      </c>
      <c r="S5356" s="0" t="n">
        <f aca="false">G5356*H5356</f>
        <v>-0.25</v>
      </c>
      <c r="T5356" s="0" t="n">
        <f aca="false">E5356*E5356</f>
        <v>0.5625</v>
      </c>
      <c r="U5356" s="0" t="n">
        <f aca="false">F5356*F5356</f>
        <v>0.0625</v>
      </c>
      <c r="V5356" s="0" t="n">
        <f aca="false">G5356*G5356</f>
        <v>1</v>
      </c>
      <c r="W5356" s="0" t="n">
        <f aca="false">H5356*H5356</f>
        <v>0.0625</v>
      </c>
      <c r="X5356" s="0" t="n">
        <f aca="false">SUMPRODUCT(I5356:W5356,_XtX!$B$96:$P$96)</f>
        <v>46.0056423611111</v>
      </c>
      <c r="Y5356" s="0" t="n">
        <f aca="false">SUMPRODUCT(MMULT(I5356:W5356,_XtX!$B$78:$P$92),I5356:W5356)</f>
        <v>0.486409505208334</v>
      </c>
      <c r="Z5356" s="0" t="n">
        <f aca="false">04_回帰ANOVA!$K$19*04_回帰ANOVA!$K$14*SQRT(1+Y5356)</f>
        <v>1.58916001665498</v>
      </c>
      <c r="AA5356" s="0" t="n">
        <f aca="false">X5356-Z5356</f>
        <v>44.4164823444561</v>
      </c>
      <c r="AB5356" s="0" t="n">
        <f aca="false">X5356+Z5356</f>
        <v>47.5948023777661</v>
      </c>
      <c r="AC5356" s="54" t="b">
        <f aca="false">AND(E5356&gt;=01_因子設定!$L$5-0.000000001,E5356&lt;=01_因子設定!$M$5+0.000000001,F5356&gt;=01_因子設定!$L$6-0.000000001,F5356&lt;=01_因子設定!$M$6+0.000000001,G5356&gt;=01_因子設定!$L$7-0.000000001,G5356&lt;=01_因子設定!$M$7+0.000000001,H5356&gt;=01_因子設定!$L$8-0.000000001,H5356&lt;=01_因子設定!$M$8+0.000000001,IF(01_因子設定!$B$20="Box-Behnken",E5356^2+F5356^2+G5356^2+H5356^2&lt;=2+0.000000001,TRUE()))</f>
        <v>1</v>
      </c>
      <c r="AD5356" s="55" t="n">
        <f aca="false">IF(AC5356,IF(01_因子設定!$B$13="最大化",AA5356-01_因子設定!$B$14,IF(01_因子設定!$B$13="最小化",01_因子設定!$B$15-AB5356,MIN(AA5356-01_因子設定!$B$14,01_因子設定!$B$15-AB5356))),-1E+030)</f>
        <v>-2.08351765554388</v>
      </c>
      <c r="AE5356" s="55" t="n">
        <f aca="false">IF(AC5356,IF(01_因子設定!$B$13="最大化",X5356,IF(01_因子設定!$B$13="最小化",-X5356,-ABS(X5356-01_因子設定!$B$16))),-1E+030)</f>
        <v>46.0056423611111</v>
      </c>
      <c r="AF5356" s="55" t="n">
        <f aca="false">AD5356+ROW()*0.000000001</f>
        <v>-2.08351229954388</v>
      </c>
      <c r="AG5356" s="55" t="n">
        <f aca="false">AE5356+ROW()*0.000000001</f>
        <v>46.0056477171111</v>
      </c>
    </row>
    <row r="5357" customFormat="false" ht="15" hidden="false" customHeight="false" outlineLevel="0" collapsed="false">
      <c r="A5357" s="0" t="n">
        <v>7</v>
      </c>
      <c r="B5357" s="0" t="n">
        <v>3</v>
      </c>
      <c r="C5357" s="0" t="n">
        <v>0</v>
      </c>
      <c r="D5357" s="0" t="n">
        <v>6</v>
      </c>
      <c r="E5357" s="0" t="n">
        <f aca="false">-1+A5357*0.25</f>
        <v>0.75</v>
      </c>
      <c r="F5357" s="0" t="n">
        <f aca="false">-1+B5357*0.25</f>
        <v>-0.25</v>
      </c>
      <c r="G5357" s="0" t="n">
        <f aca="false">-1+C5357*0.25</f>
        <v>-1</v>
      </c>
      <c r="H5357" s="0" t="n">
        <f aca="false">-1+D5357*0.25</f>
        <v>0.5</v>
      </c>
      <c r="I5357" s="0" t="n">
        <f aca="false">1</f>
        <v>1</v>
      </c>
      <c r="J5357" s="0" t="n">
        <f aca="false">E5357</f>
        <v>0.75</v>
      </c>
      <c r="K5357" s="0" t="n">
        <f aca="false">F5357</f>
        <v>-0.25</v>
      </c>
      <c r="L5357" s="0" t="n">
        <f aca="false">G5357</f>
        <v>-1</v>
      </c>
      <c r="M5357" s="0" t="n">
        <f aca="false">H5357</f>
        <v>0.5</v>
      </c>
      <c r="N5357" s="0" t="n">
        <f aca="false">E5357*F5357</f>
        <v>-0.1875</v>
      </c>
      <c r="O5357" s="0" t="n">
        <f aca="false">E5357*G5357</f>
        <v>-0.75</v>
      </c>
      <c r="P5357" s="0" t="n">
        <f aca="false">E5357*H5357</f>
        <v>0.375</v>
      </c>
      <c r="Q5357" s="0" t="n">
        <f aca="false">F5357*G5357</f>
        <v>0.25</v>
      </c>
      <c r="R5357" s="0" t="n">
        <f aca="false">F5357*H5357</f>
        <v>-0.125</v>
      </c>
      <c r="S5357" s="0" t="n">
        <f aca="false">G5357*H5357</f>
        <v>-0.5</v>
      </c>
      <c r="T5357" s="0" t="n">
        <f aca="false">E5357*E5357</f>
        <v>0.5625</v>
      </c>
      <c r="U5357" s="0" t="n">
        <f aca="false">F5357*F5357</f>
        <v>0.0625</v>
      </c>
      <c r="V5357" s="0" t="n">
        <f aca="false">G5357*G5357</f>
        <v>1</v>
      </c>
      <c r="W5357" s="0" t="n">
        <f aca="false">H5357*H5357</f>
        <v>0.25</v>
      </c>
      <c r="X5357" s="0" t="n">
        <f aca="false">SUMPRODUCT(I5357:W5357,_XtX!$B$96:$P$96)</f>
        <v>46.0001644736842</v>
      </c>
      <c r="Y5357" s="0" t="n">
        <f aca="false">SUMPRODUCT(MMULT(I5357:W5357,_XtX!$B$78:$P$92),I5357:W5357)</f>
        <v>0.459125719572369</v>
      </c>
      <c r="Z5357" s="0" t="n">
        <f aca="false">04_回帰ANOVA!$K$19*04_回帰ANOVA!$K$14*SQRT(1+Y5357)</f>
        <v>1.57450755575573</v>
      </c>
      <c r="AA5357" s="0" t="n">
        <f aca="false">X5357-Z5357</f>
        <v>44.4256569179285</v>
      </c>
      <c r="AB5357" s="0" t="n">
        <f aca="false">X5357+Z5357</f>
        <v>47.5746720294399</v>
      </c>
      <c r="AC5357" s="54" t="b">
        <f aca="false">AND(E5357&gt;=01_因子設定!$L$5-0.000000001,E5357&lt;=01_因子設定!$M$5+0.000000001,F5357&gt;=01_因子設定!$L$6-0.000000001,F5357&lt;=01_因子設定!$M$6+0.000000001,G5357&gt;=01_因子設定!$L$7-0.000000001,G5357&lt;=01_因子設定!$M$7+0.000000001,H5357&gt;=01_因子設定!$L$8-0.000000001,H5357&lt;=01_因子設定!$M$8+0.000000001,IF(01_因子設定!$B$20="Box-Behnken",E5357^2+F5357^2+G5357^2+H5357^2&lt;=2+0.000000001,TRUE()))</f>
        <v>1</v>
      </c>
      <c r="AD5357" s="55" t="n">
        <f aca="false">IF(AC5357,IF(01_因子設定!$B$13="最大化",AA5357-01_因子設定!$B$14,IF(01_因子設定!$B$13="最小化",01_因子設定!$B$15-AB5357,MIN(AA5357-01_因子設定!$B$14,01_因子設定!$B$15-AB5357))),-1E+030)</f>
        <v>-2.07434308207152</v>
      </c>
      <c r="AE5357" s="55" t="n">
        <f aca="false">IF(AC5357,IF(01_因子設定!$B$13="最大化",X5357,IF(01_因子設定!$B$13="最小化",-X5357,-ABS(X5357-01_因子設定!$B$16))),-1E+030)</f>
        <v>46.0001644736842</v>
      </c>
      <c r="AF5357" s="55" t="n">
        <f aca="false">AD5357+ROW()*0.000000001</f>
        <v>-2.07433772507152</v>
      </c>
      <c r="AG5357" s="55" t="n">
        <f aca="false">AE5357+ROW()*0.000000001</f>
        <v>46.0001698306842</v>
      </c>
    </row>
    <row r="5358" customFormat="false" ht="15" hidden="false" customHeight="false" outlineLevel="0" collapsed="false">
      <c r="A5358" s="0" t="n">
        <v>7</v>
      </c>
      <c r="B5358" s="0" t="n">
        <v>3</v>
      </c>
      <c r="C5358" s="0" t="n">
        <v>0</v>
      </c>
      <c r="D5358" s="0" t="n">
        <v>7</v>
      </c>
      <c r="E5358" s="0" t="n">
        <f aca="false">-1+A5358*0.25</f>
        <v>0.75</v>
      </c>
      <c r="F5358" s="0" t="n">
        <f aca="false">-1+B5358*0.25</f>
        <v>-0.25</v>
      </c>
      <c r="G5358" s="0" t="n">
        <f aca="false">-1+C5358*0.25</f>
        <v>-1</v>
      </c>
      <c r="H5358" s="0" t="n">
        <f aca="false">-1+D5358*0.25</f>
        <v>0.75</v>
      </c>
      <c r="I5358" s="0" t="n">
        <f aca="false">1</f>
        <v>1</v>
      </c>
      <c r="J5358" s="0" t="n">
        <f aca="false">E5358</f>
        <v>0.75</v>
      </c>
      <c r="K5358" s="0" t="n">
        <f aca="false">F5358</f>
        <v>-0.25</v>
      </c>
      <c r="L5358" s="0" t="n">
        <f aca="false">G5358</f>
        <v>-1</v>
      </c>
      <c r="M5358" s="0" t="n">
        <f aca="false">H5358</f>
        <v>0.75</v>
      </c>
      <c r="N5358" s="0" t="n">
        <f aca="false">E5358*F5358</f>
        <v>-0.1875</v>
      </c>
      <c r="O5358" s="0" t="n">
        <f aca="false">E5358*G5358</f>
        <v>-0.75</v>
      </c>
      <c r="P5358" s="0" t="n">
        <f aca="false">E5358*H5358</f>
        <v>0.5625</v>
      </c>
      <c r="Q5358" s="0" t="n">
        <f aca="false">F5358*G5358</f>
        <v>0.25</v>
      </c>
      <c r="R5358" s="0" t="n">
        <f aca="false">F5358*H5358</f>
        <v>-0.1875</v>
      </c>
      <c r="S5358" s="0" t="n">
        <f aca="false">G5358*H5358</f>
        <v>-0.75</v>
      </c>
      <c r="T5358" s="0" t="n">
        <f aca="false">E5358*E5358</f>
        <v>0.5625</v>
      </c>
      <c r="U5358" s="0" t="n">
        <f aca="false">F5358*F5358</f>
        <v>0.0625</v>
      </c>
      <c r="V5358" s="0" t="n">
        <f aca="false">G5358*G5358</f>
        <v>1</v>
      </c>
      <c r="W5358" s="0" t="n">
        <f aca="false">H5358*H5358</f>
        <v>0.5625</v>
      </c>
      <c r="X5358" s="0" t="n">
        <f aca="false">SUMPRODUCT(I5358:W5358,_XtX!$B$96:$P$96)</f>
        <v>45.9468795687135</v>
      </c>
      <c r="Y5358" s="0" t="n">
        <f aca="false">SUMPRODUCT(MMULT(I5358:W5358,_XtX!$B$78:$P$92),I5358:W5358)</f>
        <v>0.473959761056287</v>
      </c>
      <c r="Z5358" s="0" t="n">
        <f aca="false">04_回帰ANOVA!$K$19*04_回帰ANOVA!$K$14*SQRT(1+Y5358)</f>
        <v>1.58249084588329</v>
      </c>
      <c r="AA5358" s="0" t="n">
        <f aca="false">X5358-Z5358</f>
        <v>44.3643887228302</v>
      </c>
      <c r="AB5358" s="0" t="n">
        <f aca="false">X5358+Z5358</f>
        <v>47.5293704145968</v>
      </c>
      <c r="AC5358" s="54" t="b">
        <f aca="false">AND(E5358&gt;=01_因子設定!$L$5-0.000000001,E5358&lt;=01_因子設定!$M$5+0.000000001,F5358&gt;=01_因子設定!$L$6-0.000000001,F5358&lt;=01_因子設定!$M$6+0.000000001,G5358&gt;=01_因子設定!$L$7-0.000000001,G5358&lt;=01_因子設定!$M$7+0.000000001,H5358&gt;=01_因子設定!$L$8-0.000000001,H5358&lt;=01_因子設定!$M$8+0.000000001,IF(01_因子設定!$B$20="Box-Behnken",E5358^2+F5358^2+G5358^2+H5358^2&lt;=2+0.000000001,TRUE()))</f>
        <v>1</v>
      </c>
      <c r="AD5358" s="55" t="n">
        <f aca="false">IF(AC5358,IF(01_因子設定!$B$13="最大化",AA5358-01_因子設定!$B$14,IF(01_因子設定!$B$13="最小化",01_因子設定!$B$15-AB5358,MIN(AA5358-01_因子設定!$B$14,01_因子設定!$B$15-AB5358))),-1E+030)</f>
        <v>-2.13561127716982</v>
      </c>
      <c r="AE5358" s="55" t="n">
        <f aca="false">IF(AC5358,IF(01_因子設定!$B$13="最大化",X5358,IF(01_因子設定!$B$13="最小化",-X5358,-ABS(X5358-01_因子設定!$B$16))),-1E+030)</f>
        <v>45.9468795687135</v>
      </c>
      <c r="AF5358" s="55" t="n">
        <f aca="false">AD5358+ROW()*0.000000001</f>
        <v>-2.13560591916982</v>
      </c>
      <c r="AG5358" s="55" t="n">
        <f aca="false">AE5358+ROW()*0.000000001</f>
        <v>45.9468849267135</v>
      </c>
    </row>
    <row r="5359" customFormat="false" ht="15" hidden="false" customHeight="false" outlineLevel="0" collapsed="false">
      <c r="A5359" s="0" t="n">
        <v>7</v>
      </c>
      <c r="B5359" s="0" t="n">
        <v>3</v>
      </c>
      <c r="C5359" s="0" t="n">
        <v>0</v>
      </c>
      <c r="D5359" s="0" t="n">
        <v>8</v>
      </c>
      <c r="E5359" s="0" t="n">
        <f aca="false">-1+A5359*0.25</f>
        <v>0.75</v>
      </c>
      <c r="F5359" s="0" t="n">
        <f aca="false">-1+B5359*0.25</f>
        <v>-0.25</v>
      </c>
      <c r="G5359" s="0" t="n">
        <f aca="false">-1+C5359*0.25</f>
        <v>-1</v>
      </c>
      <c r="H5359" s="0" t="n">
        <f aca="false">-1+D5359*0.25</f>
        <v>1</v>
      </c>
      <c r="I5359" s="0" t="n">
        <f aca="false">1</f>
        <v>1</v>
      </c>
      <c r="J5359" s="0" t="n">
        <f aca="false">E5359</f>
        <v>0.75</v>
      </c>
      <c r="K5359" s="0" t="n">
        <f aca="false">F5359</f>
        <v>-0.25</v>
      </c>
      <c r="L5359" s="0" t="n">
        <f aca="false">G5359</f>
        <v>-1</v>
      </c>
      <c r="M5359" s="0" t="n">
        <f aca="false">H5359</f>
        <v>1</v>
      </c>
      <c r="N5359" s="0" t="n">
        <f aca="false">E5359*F5359</f>
        <v>-0.1875</v>
      </c>
      <c r="O5359" s="0" t="n">
        <f aca="false">E5359*G5359</f>
        <v>-0.75</v>
      </c>
      <c r="P5359" s="0" t="n">
        <f aca="false">E5359*H5359</f>
        <v>0.75</v>
      </c>
      <c r="Q5359" s="0" t="n">
        <f aca="false">F5359*G5359</f>
        <v>0.25</v>
      </c>
      <c r="R5359" s="0" t="n">
        <f aca="false">F5359*H5359</f>
        <v>-0.25</v>
      </c>
      <c r="S5359" s="0" t="n">
        <f aca="false">G5359*H5359</f>
        <v>-1</v>
      </c>
      <c r="T5359" s="0" t="n">
        <f aca="false">E5359*E5359</f>
        <v>0.5625</v>
      </c>
      <c r="U5359" s="0" t="n">
        <f aca="false">F5359*F5359</f>
        <v>0.0625</v>
      </c>
      <c r="V5359" s="0" t="n">
        <f aca="false">G5359*G5359</f>
        <v>1</v>
      </c>
      <c r="W5359" s="0" t="n">
        <f aca="false">H5359*H5359</f>
        <v>1</v>
      </c>
      <c r="X5359" s="0" t="n">
        <f aca="false">SUMPRODUCT(I5359:W5359,_XtX!$B$96:$P$96)</f>
        <v>45.8457876461989</v>
      </c>
      <c r="Y5359" s="0" t="n">
        <f aca="false">SUMPRODUCT(MMULT(I5359:W5359,_XtX!$B$78:$P$92),I5359:W5359)</f>
        <v>0.621372155975877</v>
      </c>
      <c r="Z5359" s="0" t="n">
        <f aca="false">04_回帰ANOVA!$K$19*04_回帰ANOVA!$K$14*SQRT(1+Y5359)</f>
        <v>1.65973880499872</v>
      </c>
      <c r="AA5359" s="0" t="n">
        <f aca="false">X5359-Z5359</f>
        <v>44.1860488412001</v>
      </c>
      <c r="AB5359" s="0" t="n">
        <f aca="false">X5359+Z5359</f>
        <v>47.5055264511976</v>
      </c>
      <c r="AC5359" s="54" t="b">
        <f aca="false">AND(E5359&gt;=01_因子設定!$L$5-0.000000001,E5359&lt;=01_因子設定!$M$5+0.000000001,F5359&gt;=01_因子設定!$L$6-0.000000001,F5359&lt;=01_因子設定!$M$6+0.000000001,G5359&gt;=01_因子設定!$L$7-0.000000001,G5359&lt;=01_因子設定!$M$7+0.000000001,H5359&gt;=01_因子設定!$L$8-0.000000001,H5359&lt;=01_因子設定!$M$8+0.000000001,IF(01_因子設定!$B$20="Box-Behnken",E5359^2+F5359^2+G5359^2+H5359^2&lt;=2+0.000000001,TRUE()))</f>
        <v>1</v>
      </c>
      <c r="AD5359" s="55" t="n">
        <f aca="false">IF(AC5359,IF(01_因子設定!$B$13="最大化",AA5359-01_因子設定!$B$14,IF(01_因子設定!$B$13="最小化",01_因子設定!$B$15-AB5359,MIN(AA5359-01_因子設定!$B$14,01_因子設定!$B$15-AB5359))),-1E+030)</f>
        <v>-2.31395115879986</v>
      </c>
      <c r="AE5359" s="55" t="n">
        <f aca="false">IF(AC5359,IF(01_因子設定!$B$13="最大化",X5359,IF(01_因子設定!$B$13="最小化",-X5359,-ABS(X5359-01_因子設定!$B$16))),-1E+030)</f>
        <v>45.8457876461989</v>
      </c>
      <c r="AF5359" s="55" t="n">
        <f aca="false">AD5359+ROW()*0.000000001</f>
        <v>-2.31394579979986</v>
      </c>
      <c r="AG5359" s="55" t="n">
        <f aca="false">AE5359+ROW()*0.000000001</f>
        <v>45.8457930051989</v>
      </c>
    </row>
    <row r="5360" customFormat="false" ht="15" hidden="false" customHeight="false" outlineLevel="0" collapsed="false">
      <c r="A5360" s="0" t="n">
        <v>7</v>
      </c>
      <c r="B5360" s="0" t="n">
        <v>3</v>
      </c>
      <c r="C5360" s="0" t="n">
        <v>1</v>
      </c>
      <c r="D5360" s="0" t="n">
        <v>0</v>
      </c>
      <c r="E5360" s="0" t="n">
        <f aca="false">-1+A5360*0.25</f>
        <v>0.75</v>
      </c>
      <c r="F5360" s="0" t="n">
        <f aca="false">-1+B5360*0.25</f>
        <v>-0.25</v>
      </c>
      <c r="G5360" s="0" t="n">
        <f aca="false">-1+C5360*0.25</f>
        <v>-0.75</v>
      </c>
      <c r="H5360" s="0" t="n">
        <f aca="false">-1+D5360*0.25</f>
        <v>-1</v>
      </c>
      <c r="I5360" s="0" t="n">
        <f aca="false">1</f>
        <v>1</v>
      </c>
      <c r="J5360" s="0" t="n">
        <f aca="false">E5360</f>
        <v>0.75</v>
      </c>
      <c r="K5360" s="0" t="n">
        <f aca="false">F5360</f>
        <v>-0.25</v>
      </c>
      <c r="L5360" s="0" t="n">
        <f aca="false">G5360</f>
        <v>-0.75</v>
      </c>
      <c r="M5360" s="0" t="n">
        <f aca="false">H5360</f>
        <v>-1</v>
      </c>
      <c r="N5360" s="0" t="n">
        <f aca="false">E5360*F5360</f>
        <v>-0.1875</v>
      </c>
      <c r="O5360" s="0" t="n">
        <f aca="false">E5360*G5360</f>
        <v>-0.5625</v>
      </c>
      <c r="P5360" s="0" t="n">
        <f aca="false">E5360*H5360</f>
        <v>-0.75</v>
      </c>
      <c r="Q5360" s="0" t="n">
        <f aca="false">F5360*G5360</f>
        <v>0.1875</v>
      </c>
      <c r="R5360" s="0" t="n">
        <f aca="false">F5360*H5360</f>
        <v>0.25</v>
      </c>
      <c r="S5360" s="0" t="n">
        <f aca="false">G5360*H5360</f>
        <v>0.75</v>
      </c>
      <c r="T5360" s="0" t="n">
        <f aca="false">E5360*E5360</f>
        <v>0.5625</v>
      </c>
      <c r="U5360" s="0" t="n">
        <f aca="false">F5360*F5360</f>
        <v>0.0625</v>
      </c>
      <c r="V5360" s="0" t="n">
        <f aca="false">G5360*G5360</f>
        <v>0.5625</v>
      </c>
      <c r="W5360" s="0" t="n">
        <f aca="false">H5360*H5360</f>
        <v>1</v>
      </c>
      <c r="X5360" s="0" t="n">
        <f aca="false">SUMPRODUCT(I5360:W5360,_XtX!$B$96:$P$96)</f>
        <v>45.6470531798246</v>
      </c>
      <c r="Y5360" s="0" t="n">
        <f aca="false">SUMPRODUCT(MMULT(I5360:W5360,_XtX!$B$78:$P$92),I5360:W5360)</f>
        <v>0.473959761056287</v>
      </c>
      <c r="Z5360" s="0" t="n">
        <f aca="false">04_回帰ANOVA!$K$19*04_回帰ANOVA!$K$14*SQRT(1+Y5360)</f>
        <v>1.58249084588329</v>
      </c>
      <c r="AA5360" s="0" t="n">
        <f aca="false">X5360-Z5360</f>
        <v>44.0645623339413</v>
      </c>
      <c r="AB5360" s="0" t="n">
        <f aca="false">X5360+Z5360</f>
        <v>47.2295440257079</v>
      </c>
      <c r="AC5360" s="54" t="b">
        <f aca="false">AND(E5360&gt;=01_因子設定!$L$5-0.000000001,E5360&lt;=01_因子設定!$M$5+0.000000001,F5360&gt;=01_因子設定!$L$6-0.000000001,F5360&lt;=01_因子設定!$M$6+0.000000001,G5360&gt;=01_因子設定!$L$7-0.000000001,G5360&lt;=01_因子設定!$M$7+0.000000001,H5360&gt;=01_因子設定!$L$8-0.000000001,H5360&lt;=01_因子設定!$M$8+0.000000001,IF(01_因子設定!$B$20="Box-Behnken",E5360^2+F5360^2+G5360^2+H5360^2&lt;=2+0.000000001,TRUE()))</f>
        <v>1</v>
      </c>
      <c r="AD5360" s="55" t="n">
        <f aca="false">IF(AC5360,IF(01_因子設定!$B$13="最大化",AA5360-01_因子設定!$B$14,IF(01_因子設定!$B$13="最小化",01_因子設定!$B$15-AB5360,MIN(AA5360-01_因子設定!$B$14,01_因子設定!$B$15-AB5360))),-1E+030)</f>
        <v>-2.4354376660587</v>
      </c>
      <c r="AE5360" s="55" t="n">
        <f aca="false">IF(AC5360,IF(01_因子設定!$B$13="最大化",X5360,IF(01_因子設定!$B$13="最小化",-X5360,-ABS(X5360-01_因子設定!$B$16))),-1E+030)</f>
        <v>45.6470531798246</v>
      </c>
      <c r="AF5360" s="55" t="n">
        <f aca="false">AD5360+ROW()*0.000000001</f>
        <v>-2.4354323060587</v>
      </c>
      <c r="AG5360" s="55" t="n">
        <f aca="false">AE5360+ROW()*0.000000001</f>
        <v>45.6470585398246</v>
      </c>
    </row>
    <row r="5361" customFormat="false" ht="15" hidden="false" customHeight="false" outlineLevel="0" collapsed="false">
      <c r="A5361" s="0" t="n">
        <v>7</v>
      </c>
      <c r="B5361" s="0" t="n">
        <v>3</v>
      </c>
      <c r="C5361" s="0" t="n">
        <v>1</v>
      </c>
      <c r="D5361" s="0" t="n">
        <v>1</v>
      </c>
      <c r="E5361" s="0" t="n">
        <f aca="false">-1+A5361*0.25</f>
        <v>0.75</v>
      </c>
      <c r="F5361" s="0" t="n">
        <f aca="false">-1+B5361*0.25</f>
        <v>-0.25</v>
      </c>
      <c r="G5361" s="0" t="n">
        <f aca="false">-1+C5361*0.25</f>
        <v>-0.75</v>
      </c>
      <c r="H5361" s="0" t="n">
        <f aca="false">-1+D5361*0.25</f>
        <v>-0.75</v>
      </c>
      <c r="I5361" s="0" t="n">
        <f aca="false">1</f>
        <v>1</v>
      </c>
      <c r="J5361" s="0" t="n">
        <f aca="false">E5361</f>
        <v>0.75</v>
      </c>
      <c r="K5361" s="0" t="n">
        <f aca="false">F5361</f>
        <v>-0.25</v>
      </c>
      <c r="L5361" s="0" t="n">
        <f aca="false">G5361</f>
        <v>-0.75</v>
      </c>
      <c r="M5361" s="0" t="n">
        <f aca="false">H5361</f>
        <v>-0.75</v>
      </c>
      <c r="N5361" s="0" t="n">
        <f aca="false">E5361*F5361</f>
        <v>-0.1875</v>
      </c>
      <c r="O5361" s="0" t="n">
        <f aca="false">E5361*G5361</f>
        <v>-0.5625</v>
      </c>
      <c r="P5361" s="0" t="n">
        <f aca="false">E5361*H5361</f>
        <v>-0.5625</v>
      </c>
      <c r="Q5361" s="0" t="n">
        <f aca="false">F5361*G5361</f>
        <v>0.1875</v>
      </c>
      <c r="R5361" s="0" t="n">
        <f aca="false">F5361*H5361</f>
        <v>0.1875</v>
      </c>
      <c r="S5361" s="0" t="n">
        <f aca="false">G5361*H5361</f>
        <v>0.5625</v>
      </c>
      <c r="T5361" s="0" t="n">
        <f aca="false">E5361*E5361</f>
        <v>0.5625</v>
      </c>
      <c r="U5361" s="0" t="n">
        <f aca="false">F5361*F5361</f>
        <v>0.0625</v>
      </c>
      <c r="V5361" s="0" t="n">
        <f aca="false">G5361*G5361</f>
        <v>0.5625</v>
      </c>
      <c r="W5361" s="0" t="n">
        <f aca="false">H5361*H5361</f>
        <v>0.5625</v>
      </c>
      <c r="X5361" s="0" t="n">
        <f aca="false">SUMPRODUCT(I5361:W5361,_XtX!$B$96:$P$96)</f>
        <v>45.898579130117</v>
      </c>
      <c r="Y5361" s="0" t="n">
        <f aca="false">SUMPRODUCT(MMULT(I5361:W5361,_XtX!$B$78:$P$92),I5361:W5361)</f>
        <v>0.294856199744152</v>
      </c>
      <c r="Z5361" s="0" t="n">
        <f aca="false">04_回帰ANOVA!$K$19*04_回帰ANOVA!$K$14*SQRT(1+Y5361)</f>
        <v>1.48323226089013</v>
      </c>
      <c r="AA5361" s="0" t="n">
        <f aca="false">X5361-Z5361</f>
        <v>44.4153468692268</v>
      </c>
      <c r="AB5361" s="0" t="n">
        <f aca="false">X5361+Z5361</f>
        <v>47.3818113910071</v>
      </c>
      <c r="AC5361" s="54" t="b">
        <f aca="false">AND(E5361&gt;=01_因子設定!$L$5-0.000000001,E5361&lt;=01_因子設定!$M$5+0.000000001,F5361&gt;=01_因子設定!$L$6-0.000000001,F5361&lt;=01_因子設定!$M$6+0.000000001,G5361&gt;=01_因子設定!$L$7-0.000000001,G5361&lt;=01_因子設定!$M$7+0.000000001,H5361&gt;=01_因子設定!$L$8-0.000000001,H5361&lt;=01_因子設定!$M$8+0.000000001,IF(01_因子設定!$B$20="Box-Behnken",E5361^2+F5361^2+G5361^2+H5361^2&lt;=2+0.000000001,TRUE()))</f>
        <v>1</v>
      </c>
      <c r="AD5361" s="55" t="n">
        <f aca="false">IF(AC5361,IF(01_因子設定!$B$13="最大化",AA5361-01_因子設定!$B$14,IF(01_因子設定!$B$13="最小化",01_因子設定!$B$15-AB5361,MIN(AA5361-01_因子設定!$B$14,01_因子設定!$B$15-AB5361))),-1E+030)</f>
        <v>-2.08465313077317</v>
      </c>
      <c r="AE5361" s="55" t="n">
        <f aca="false">IF(AC5361,IF(01_因子設定!$B$13="最大化",X5361,IF(01_因子設定!$B$13="最小化",-X5361,-ABS(X5361-01_因子設定!$B$16))),-1E+030)</f>
        <v>45.898579130117</v>
      </c>
      <c r="AF5361" s="55" t="n">
        <f aca="false">AD5361+ROW()*0.000000001</f>
        <v>-2.08464776977317</v>
      </c>
      <c r="AG5361" s="55" t="n">
        <f aca="false">AE5361+ROW()*0.000000001</f>
        <v>45.898584491117</v>
      </c>
    </row>
    <row r="5362" customFormat="false" ht="15" hidden="false" customHeight="false" outlineLevel="0" collapsed="false">
      <c r="A5362" s="0" t="n">
        <v>7</v>
      </c>
      <c r="B5362" s="0" t="n">
        <v>3</v>
      </c>
      <c r="C5362" s="0" t="n">
        <v>1</v>
      </c>
      <c r="D5362" s="0" t="n">
        <v>2</v>
      </c>
      <c r="E5362" s="0" t="n">
        <f aca="false">-1+A5362*0.25</f>
        <v>0.75</v>
      </c>
      <c r="F5362" s="0" t="n">
        <f aca="false">-1+B5362*0.25</f>
        <v>-0.25</v>
      </c>
      <c r="G5362" s="0" t="n">
        <f aca="false">-1+C5362*0.25</f>
        <v>-0.75</v>
      </c>
      <c r="H5362" s="0" t="n">
        <f aca="false">-1+D5362*0.25</f>
        <v>-0.5</v>
      </c>
      <c r="I5362" s="0" t="n">
        <f aca="false">1</f>
        <v>1</v>
      </c>
      <c r="J5362" s="0" t="n">
        <f aca="false">E5362</f>
        <v>0.75</v>
      </c>
      <c r="K5362" s="0" t="n">
        <f aca="false">F5362</f>
        <v>-0.25</v>
      </c>
      <c r="L5362" s="0" t="n">
        <f aca="false">G5362</f>
        <v>-0.75</v>
      </c>
      <c r="M5362" s="0" t="n">
        <f aca="false">H5362</f>
        <v>-0.5</v>
      </c>
      <c r="N5362" s="0" t="n">
        <f aca="false">E5362*F5362</f>
        <v>-0.1875</v>
      </c>
      <c r="O5362" s="0" t="n">
        <f aca="false">E5362*G5362</f>
        <v>-0.5625</v>
      </c>
      <c r="P5362" s="0" t="n">
        <f aca="false">E5362*H5362</f>
        <v>-0.375</v>
      </c>
      <c r="Q5362" s="0" t="n">
        <f aca="false">F5362*G5362</f>
        <v>0.1875</v>
      </c>
      <c r="R5362" s="0" t="n">
        <f aca="false">F5362*H5362</f>
        <v>0.125</v>
      </c>
      <c r="S5362" s="0" t="n">
        <f aca="false">G5362*H5362</f>
        <v>0.375</v>
      </c>
      <c r="T5362" s="0" t="n">
        <f aca="false">E5362*E5362</f>
        <v>0.5625</v>
      </c>
      <c r="U5362" s="0" t="n">
        <f aca="false">F5362*F5362</f>
        <v>0.0625</v>
      </c>
      <c r="V5362" s="0" t="n">
        <f aca="false">G5362*G5362</f>
        <v>0.5625</v>
      </c>
      <c r="W5362" s="0" t="n">
        <f aca="false">H5362*H5362</f>
        <v>0.25</v>
      </c>
      <c r="X5362" s="0" t="n">
        <f aca="false">SUMPRODUCT(I5362:W5362,_XtX!$B$96:$P$96)</f>
        <v>46.1022980628655</v>
      </c>
      <c r="Y5362" s="0" t="n">
        <f aca="false">SUMPRODUCT(MMULT(I5362:W5362,_XtX!$B$78:$P$92),I5362:W5362)</f>
        <v>0.257385610836988</v>
      </c>
      <c r="Z5362" s="0" t="n">
        <f aca="false">04_回帰ANOVA!$K$19*04_回帰ANOVA!$K$14*SQRT(1+Y5362)</f>
        <v>1.46161380324158</v>
      </c>
      <c r="AA5362" s="0" t="n">
        <f aca="false">X5362-Z5362</f>
        <v>44.6406842596239</v>
      </c>
      <c r="AB5362" s="0" t="n">
        <f aca="false">X5362+Z5362</f>
        <v>47.5639118661071</v>
      </c>
      <c r="AC5362" s="54" t="b">
        <f aca="false">AND(E5362&gt;=01_因子設定!$L$5-0.000000001,E5362&lt;=01_因子設定!$M$5+0.000000001,F5362&gt;=01_因子設定!$L$6-0.000000001,F5362&lt;=01_因子設定!$M$6+0.000000001,G5362&gt;=01_因子設定!$L$7-0.000000001,G5362&lt;=01_因子設定!$M$7+0.000000001,H5362&gt;=01_因子設定!$L$8-0.000000001,H5362&lt;=01_因子設定!$M$8+0.000000001,IF(01_因子設定!$B$20="Box-Behnken",E5362^2+F5362^2+G5362^2+H5362^2&lt;=2+0.000000001,TRUE()))</f>
        <v>1</v>
      </c>
      <c r="AD5362" s="55" t="n">
        <f aca="false">IF(AC5362,IF(01_因子設定!$B$13="最大化",AA5362-01_因子設定!$B$14,IF(01_因子設定!$B$13="最小化",01_因子設定!$B$15-AB5362,MIN(AA5362-01_因子設定!$B$14,01_因子設定!$B$15-AB5362))),-1E+030)</f>
        <v>-1.85931574037609</v>
      </c>
      <c r="AE5362" s="55" t="n">
        <f aca="false">IF(AC5362,IF(01_因子設定!$B$13="最大化",X5362,IF(01_因子設定!$B$13="最小化",-X5362,-ABS(X5362-01_因子設定!$B$16))),-1E+030)</f>
        <v>46.1022980628655</v>
      </c>
      <c r="AF5362" s="55" t="n">
        <f aca="false">AD5362+ROW()*0.000000001</f>
        <v>-1.85931037837609</v>
      </c>
      <c r="AG5362" s="55" t="n">
        <f aca="false">AE5362+ROW()*0.000000001</f>
        <v>46.1023034248655</v>
      </c>
    </row>
    <row r="5363" customFormat="false" ht="15" hidden="false" customHeight="false" outlineLevel="0" collapsed="false">
      <c r="A5363" s="0" t="n">
        <v>7</v>
      </c>
      <c r="B5363" s="0" t="n">
        <v>3</v>
      </c>
      <c r="C5363" s="0" t="n">
        <v>1</v>
      </c>
      <c r="D5363" s="0" t="n">
        <v>3</v>
      </c>
      <c r="E5363" s="0" t="n">
        <f aca="false">-1+A5363*0.25</f>
        <v>0.75</v>
      </c>
      <c r="F5363" s="0" t="n">
        <f aca="false">-1+B5363*0.25</f>
        <v>-0.25</v>
      </c>
      <c r="G5363" s="0" t="n">
        <f aca="false">-1+C5363*0.25</f>
        <v>-0.75</v>
      </c>
      <c r="H5363" s="0" t="n">
        <f aca="false">-1+D5363*0.25</f>
        <v>-0.25</v>
      </c>
      <c r="I5363" s="0" t="n">
        <f aca="false">1</f>
        <v>1</v>
      </c>
      <c r="J5363" s="0" t="n">
        <f aca="false">E5363</f>
        <v>0.75</v>
      </c>
      <c r="K5363" s="0" t="n">
        <f aca="false">F5363</f>
        <v>-0.25</v>
      </c>
      <c r="L5363" s="0" t="n">
        <f aca="false">G5363</f>
        <v>-0.75</v>
      </c>
      <c r="M5363" s="0" t="n">
        <f aca="false">H5363</f>
        <v>-0.25</v>
      </c>
      <c r="N5363" s="0" t="n">
        <f aca="false">E5363*F5363</f>
        <v>-0.1875</v>
      </c>
      <c r="O5363" s="0" t="n">
        <f aca="false">E5363*G5363</f>
        <v>-0.5625</v>
      </c>
      <c r="P5363" s="0" t="n">
        <f aca="false">E5363*H5363</f>
        <v>-0.1875</v>
      </c>
      <c r="Q5363" s="0" t="n">
        <f aca="false">F5363*G5363</f>
        <v>0.1875</v>
      </c>
      <c r="R5363" s="0" t="n">
        <f aca="false">F5363*H5363</f>
        <v>0.0625</v>
      </c>
      <c r="S5363" s="0" t="n">
        <f aca="false">G5363*H5363</f>
        <v>0.1875</v>
      </c>
      <c r="T5363" s="0" t="n">
        <f aca="false">E5363*E5363</f>
        <v>0.5625</v>
      </c>
      <c r="U5363" s="0" t="n">
        <f aca="false">F5363*F5363</f>
        <v>0.0625</v>
      </c>
      <c r="V5363" s="0" t="n">
        <f aca="false">G5363*G5363</f>
        <v>0.5625</v>
      </c>
      <c r="W5363" s="0" t="n">
        <f aca="false">H5363*H5363</f>
        <v>0.0625</v>
      </c>
      <c r="X5363" s="0" t="n">
        <f aca="false">SUMPRODUCT(I5363:W5363,_XtX!$B$96:$P$96)</f>
        <v>46.2582099780702</v>
      </c>
      <c r="Y5363" s="0" t="n">
        <f aca="false">SUMPRODUCT(MMULT(I5363:W5363,_XtX!$B$78:$P$92),I5363:W5363)</f>
        <v>0.271087468019006</v>
      </c>
      <c r="Z5363" s="0" t="n">
        <f aca="false">04_回帰ANOVA!$K$19*04_回帰ANOVA!$K$14*SQRT(1+Y5363)</f>
        <v>1.46955590155034</v>
      </c>
      <c r="AA5363" s="0" t="n">
        <f aca="false">X5363-Z5363</f>
        <v>44.7886540765198</v>
      </c>
      <c r="AB5363" s="0" t="n">
        <f aca="false">X5363+Z5363</f>
        <v>47.7277658796205</v>
      </c>
      <c r="AC5363" s="54" t="b">
        <f aca="false">AND(E5363&gt;=01_因子設定!$L$5-0.000000001,E5363&lt;=01_因子設定!$M$5+0.000000001,F5363&gt;=01_因子設定!$L$6-0.000000001,F5363&lt;=01_因子設定!$M$6+0.000000001,G5363&gt;=01_因子設定!$L$7-0.000000001,G5363&lt;=01_因子設定!$M$7+0.000000001,H5363&gt;=01_因子設定!$L$8-0.000000001,H5363&lt;=01_因子設定!$M$8+0.000000001,IF(01_因子設定!$B$20="Box-Behnken",E5363^2+F5363^2+G5363^2+H5363^2&lt;=2+0.000000001,TRUE()))</f>
        <v>1</v>
      </c>
      <c r="AD5363" s="55" t="n">
        <f aca="false">IF(AC5363,IF(01_因子設定!$B$13="最大化",AA5363-01_因子設定!$B$14,IF(01_因子設定!$B$13="最小化",01_因子設定!$B$15-AB5363,MIN(AA5363-01_因子設定!$B$14,01_因子設定!$B$15-AB5363))),-1E+030)</f>
        <v>-1.71134592348018</v>
      </c>
      <c r="AE5363" s="55" t="n">
        <f aca="false">IF(AC5363,IF(01_因子設定!$B$13="最大化",X5363,IF(01_因子設定!$B$13="最小化",-X5363,-ABS(X5363-01_因子設定!$B$16))),-1E+030)</f>
        <v>46.2582099780702</v>
      </c>
      <c r="AF5363" s="55" t="n">
        <f aca="false">AD5363+ROW()*0.000000001</f>
        <v>-1.71134056048018</v>
      </c>
      <c r="AG5363" s="55" t="n">
        <f aca="false">AE5363+ROW()*0.000000001</f>
        <v>46.2582153410702</v>
      </c>
    </row>
    <row r="5364" customFormat="false" ht="15" hidden="false" customHeight="false" outlineLevel="0" collapsed="false">
      <c r="A5364" s="0" t="n">
        <v>7</v>
      </c>
      <c r="B5364" s="0" t="n">
        <v>3</v>
      </c>
      <c r="C5364" s="0" t="n">
        <v>1</v>
      </c>
      <c r="D5364" s="0" t="n">
        <v>4</v>
      </c>
      <c r="E5364" s="0" t="n">
        <f aca="false">-1+A5364*0.25</f>
        <v>0.75</v>
      </c>
      <c r="F5364" s="0" t="n">
        <f aca="false">-1+B5364*0.25</f>
        <v>-0.25</v>
      </c>
      <c r="G5364" s="0" t="n">
        <f aca="false">-1+C5364*0.25</f>
        <v>-0.75</v>
      </c>
      <c r="H5364" s="0" t="n">
        <f aca="false">-1+D5364*0.25</f>
        <v>0</v>
      </c>
      <c r="I5364" s="0" t="n">
        <f aca="false">1</f>
        <v>1</v>
      </c>
      <c r="J5364" s="0" t="n">
        <f aca="false">E5364</f>
        <v>0.75</v>
      </c>
      <c r="K5364" s="0" t="n">
        <f aca="false">F5364</f>
        <v>-0.25</v>
      </c>
      <c r="L5364" s="0" t="n">
        <f aca="false">G5364</f>
        <v>-0.75</v>
      </c>
      <c r="M5364" s="0" t="n">
        <f aca="false">H5364</f>
        <v>0</v>
      </c>
      <c r="N5364" s="0" t="n">
        <f aca="false">E5364*F5364</f>
        <v>-0.1875</v>
      </c>
      <c r="O5364" s="0" t="n">
        <f aca="false">E5364*G5364</f>
        <v>-0.5625</v>
      </c>
      <c r="P5364" s="0" t="n">
        <f aca="false">E5364*H5364</f>
        <v>0</v>
      </c>
      <c r="Q5364" s="0" t="n">
        <f aca="false">F5364*G5364</f>
        <v>0.1875</v>
      </c>
      <c r="R5364" s="0" t="n">
        <f aca="false">F5364*H5364</f>
        <v>-0</v>
      </c>
      <c r="S5364" s="0" t="n">
        <f aca="false">G5364*H5364</f>
        <v>-0</v>
      </c>
      <c r="T5364" s="0" t="n">
        <f aca="false">E5364*E5364</f>
        <v>0.5625</v>
      </c>
      <c r="U5364" s="0" t="n">
        <f aca="false">F5364*F5364</f>
        <v>0.0625</v>
      </c>
      <c r="V5364" s="0" t="n">
        <f aca="false">G5364*G5364</f>
        <v>0.5625</v>
      </c>
      <c r="W5364" s="0" t="n">
        <f aca="false">H5364*H5364</f>
        <v>0</v>
      </c>
      <c r="X5364" s="0" t="n">
        <f aca="false">SUMPRODUCT(I5364:W5364,_XtX!$B$96:$P$96)</f>
        <v>46.366314875731</v>
      </c>
      <c r="Y5364" s="0" t="n">
        <f aca="false">SUMPRODUCT(MMULT(I5364:W5364,_XtX!$B$78:$P$92),I5364:W5364)</f>
        <v>0.281685455500731</v>
      </c>
      <c r="Z5364" s="0" t="n">
        <f aca="false">04_回帰ANOVA!$K$19*04_回帰ANOVA!$K$14*SQRT(1+Y5364)</f>
        <v>1.47566956658694</v>
      </c>
      <c r="AA5364" s="0" t="n">
        <f aca="false">X5364-Z5364</f>
        <v>44.890645309144</v>
      </c>
      <c r="AB5364" s="0" t="n">
        <f aca="false">X5364+Z5364</f>
        <v>47.8419844423179</v>
      </c>
      <c r="AC5364" s="54" t="b">
        <f aca="false">AND(E5364&gt;=01_因子設定!$L$5-0.000000001,E5364&lt;=01_因子設定!$M$5+0.000000001,F5364&gt;=01_因子設定!$L$6-0.000000001,F5364&lt;=01_因子設定!$M$6+0.000000001,G5364&gt;=01_因子設定!$L$7-0.000000001,G5364&lt;=01_因子設定!$M$7+0.000000001,H5364&gt;=01_因子設定!$L$8-0.000000001,H5364&lt;=01_因子設定!$M$8+0.000000001,IF(01_因子設定!$B$20="Box-Behnken",E5364^2+F5364^2+G5364^2+H5364^2&lt;=2+0.000000001,TRUE()))</f>
        <v>1</v>
      </c>
      <c r="AD5364" s="55" t="n">
        <f aca="false">IF(AC5364,IF(01_因子設定!$B$13="最大化",AA5364-01_因子設定!$B$14,IF(01_因子設定!$B$13="最小化",01_因子設定!$B$15-AB5364,MIN(AA5364-01_因子設定!$B$14,01_因子設定!$B$15-AB5364))),-1E+030)</f>
        <v>-1.60935469085596</v>
      </c>
      <c r="AE5364" s="55" t="n">
        <f aca="false">IF(AC5364,IF(01_因子設定!$B$13="最大化",X5364,IF(01_因子設定!$B$13="最小化",-X5364,-ABS(X5364-01_因子設定!$B$16))),-1E+030)</f>
        <v>46.366314875731</v>
      </c>
      <c r="AF5364" s="55" t="n">
        <f aca="false">AD5364+ROW()*0.000000001</f>
        <v>-1.60934932685596</v>
      </c>
      <c r="AG5364" s="55" t="n">
        <f aca="false">AE5364+ROW()*0.000000001</f>
        <v>46.366320239731</v>
      </c>
    </row>
    <row r="5365" customFormat="false" ht="15" hidden="false" customHeight="false" outlineLevel="0" collapsed="false">
      <c r="A5365" s="0" t="n">
        <v>7</v>
      </c>
      <c r="B5365" s="0" t="n">
        <v>3</v>
      </c>
      <c r="C5365" s="0" t="n">
        <v>1</v>
      </c>
      <c r="D5365" s="0" t="n">
        <v>5</v>
      </c>
      <c r="E5365" s="0" t="n">
        <f aca="false">-1+A5365*0.25</f>
        <v>0.75</v>
      </c>
      <c r="F5365" s="0" t="n">
        <f aca="false">-1+B5365*0.25</f>
        <v>-0.25</v>
      </c>
      <c r="G5365" s="0" t="n">
        <f aca="false">-1+C5365*0.25</f>
        <v>-0.75</v>
      </c>
      <c r="H5365" s="0" t="n">
        <f aca="false">-1+D5365*0.25</f>
        <v>0.25</v>
      </c>
      <c r="I5365" s="0" t="n">
        <f aca="false">1</f>
        <v>1</v>
      </c>
      <c r="J5365" s="0" t="n">
        <f aca="false">E5365</f>
        <v>0.75</v>
      </c>
      <c r="K5365" s="0" t="n">
        <f aca="false">F5365</f>
        <v>-0.25</v>
      </c>
      <c r="L5365" s="0" t="n">
        <f aca="false">G5365</f>
        <v>-0.75</v>
      </c>
      <c r="M5365" s="0" t="n">
        <f aca="false">H5365</f>
        <v>0.25</v>
      </c>
      <c r="N5365" s="0" t="n">
        <f aca="false">E5365*F5365</f>
        <v>-0.1875</v>
      </c>
      <c r="O5365" s="0" t="n">
        <f aca="false">E5365*G5365</f>
        <v>-0.5625</v>
      </c>
      <c r="P5365" s="0" t="n">
        <f aca="false">E5365*H5365</f>
        <v>0.1875</v>
      </c>
      <c r="Q5365" s="0" t="n">
        <f aca="false">F5365*G5365</f>
        <v>0.1875</v>
      </c>
      <c r="R5365" s="0" t="n">
        <f aca="false">F5365*H5365</f>
        <v>-0.0625</v>
      </c>
      <c r="S5365" s="0" t="n">
        <f aca="false">G5365*H5365</f>
        <v>-0.1875</v>
      </c>
      <c r="T5365" s="0" t="n">
        <f aca="false">E5365*E5365</f>
        <v>0.5625</v>
      </c>
      <c r="U5365" s="0" t="n">
        <f aca="false">F5365*F5365</f>
        <v>0.0625</v>
      </c>
      <c r="V5365" s="0" t="n">
        <f aca="false">G5365*G5365</f>
        <v>0.5625</v>
      </c>
      <c r="W5365" s="0" t="n">
        <f aca="false">H5365*H5365</f>
        <v>0.0625</v>
      </c>
      <c r="X5365" s="0" t="n">
        <f aca="false">SUMPRODUCT(I5365:W5365,_XtX!$B$96:$P$96)</f>
        <v>46.4266127558479</v>
      </c>
      <c r="Y5365" s="0" t="n">
        <f aca="false">SUMPRODUCT(MMULT(I5365:W5365,_XtX!$B$78:$P$92),I5365:W5365)</f>
        <v>0.271087468019006</v>
      </c>
      <c r="Z5365" s="0" t="n">
        <f aca="false">04_回帰ANOVA!$K$19*04_回帰ANOVA!$K$14*SQRT(1+Y5365)</f>
        <v>1.46955590155034</v>
      </c>
      <c r="AA5365" s="0" t="n">
        <f aca="false">X5365-Z5365</f>
        <v>44.9570568542976</v>
      </c>
      <c r="AB5365" s="0" t="n">
        <f aca="false">X5365+Z5365</f>
        <v>47.8961686573983</v>
      </c>
      <c r="AC5365" s="54" t="b">
        <f aca="false">AND(E5365&gt;=01_因子設定!$L$5-0.000000001,E5365&lt;=01_因子設定!$M$5+0.000000001,F5365&gt;=01_因子設定!$L$6-0.000000001,F5365&lt;=01_因子設定!$M$6+0.000000001,G5365&gt;=01_因子設定!$L$7-0.000000001,G5365&lt;=01_因子設定!$M$7+0.000000001,H5365&gt;=01_因子設定!$L$8-0.000000001,H5365&lt;=01_因子設定!$M$8+0.000000001,IF(01_因子設定!$B$20="Box-Behnken",E5365^2+F5365^2+G5365^2+H5365^2&lt;=2+0.000000001,TRUE()))</f>
        <v>1</v>
      </c>
      <c r="AD5365" s="55" t="n">
        <f aca="false">IF(AC5365,IF(01_因子設定!$B$13="最大化",AA5365-01_因子設定!$B$14,IF(01_因子設定!$B$13="最小化",01_因子設定!$B$15-AB5365,MIN(AA5365-01_因子設定!$B$14,01_因子設定!$B$15-AB5365))),-1E+030)</f>
        <v>-1.5429431457024</v>
      </c>
      <c r="AE5365" s="55" t="n">
        <f aca="false">IF(AC5365,IF(01_因子設定!$B$13="最大化",X5365,IF(01_因子設定!$B$13="最小化",-X5365,-ABS(X5365-01_因子設定!$B$16))),-1E+030)</f>
        <v>46.4266127558479</v>
      </c>
      <c r="AF5365" s="55" t="n">
        <f aca="false">AD5365+ROW()*0.000000001</f>
        <v>-1.5429377807024</v>
      </c>
      <c r="AG5365" s="55" t="n">
        <f aca="false">AE5365+ROW()*0.000000001</f>
        <v>46.4266181208479</v>
      </c>
    </row>
    <row r="5366" customFormat="false" ht="15" hidden="false" customHeight="false" outlineLevel="0" collapsed="false">
      <c r="A5366" s="0" t="n">
        <v>7</v>
      </c>
      <c r="B5366" s="0" t="n">
        <v>3</v>
      </c>
      <c r="C5366" s="0" t="n">
        <v>1</v>
      </c>
      <c r="D5366" s="0" t="n">
        <v>6</v>
      </c>
      <c r="E5366" s="0" t="n">
        <f aca="false">-1+A5366*0.25</f>
        <v>0.75</v>
      </c>
      <c r="F5366" s="0" t="n">
        <f aca="false">-1+B5366*0.25</f>
        <v>-0.25</v>
      </c>
      <c r="G5366" s="0" t="n">
        <f aca="false">-1+C5366*0.25</f>
        <v>-0.75</v>
      </c>
      <c r="H5366" s="0" t="n">
        <f aca="false">-1+D5366*0.25</f>
        <v>0.5</v>
      </c>
      <c r="I5366" s="0" t="n">
        <f aca="false">1</f>
        <v>1</v>
      </c>
      <c r="J5366" s="0" t="n">
        <f aca="false">E5366</f>
        <v>0.75</v>
      </c>
      <c r="K5366" s="0" t="n">
        <f aca="false">F5366</f>
        <v>-0.25</v>
      </c>
      <c r="L5366" s="0" t="n">
        <f aca="false">G5366</f>
        <v>-0.75</v>
      </c>
      <c r="M5366" s="0" t="n">
        <f aca="false">H5366</f>
        <v>0.5</v>
      </c>
      <c r="N5366" s="0" t="n">
        <f aca="false">E5366*F5366</f>
        <v>-0.1875</v>
      </c>
      <c r="O5366" s="0" t="n">
        <f aca="false">E5366*G5366</f>
        <v>-0.5625</v>
      </c>
      <c r="P5366" s="0" t="n">
        <f aca="false">E5366*H5366</f>
        <v>0.375</v>
      </c>
      <c r="Q5366" s="0" t="n">
        <f aca="false">F5366*G5366</f>
        <v>0.1875</v>
      </c>
      <c r="R5366" s="0" t="n">
        <f aca="false">F5366*H5366</f>
        <v>-0.125</v>
      </c>
      <c r="S5366" s="0" t="n">
        <f aca="false">G5366*H5366</f>
        <v>-0.375</v>
      </c>
      <c r="T5366" s="0" t="n">
        <f aca="false">E5366*E5366</f>
        <v>0.5625</v>
      </c>
      <c r="U5366" s="0" t="n">
        <f aca="false">F5366*F5366</f>
        <v>0.0625</v>
      </c>
      <c r="V5366" s="0" t="n">
        <f aca="false">G5366*G5366</f>
        <v>0.5625</v>
      </c>
      <c r="W5366" s="0" t="n">
        <f aca="false">H5366*H5366</f>
        <v>0.25</v>
      </c>
      <c r="X5366" s="0" t="n">
        <f aca="false">SUMPRODUCT(I5366:W5366,_XtX!$B$96:$P$96)</f>
        <v>46.4391036184211</v>
      </c>
      <c r="Y5366" s="0" t="n">
        <f aca="false">SUMPRODUCT(MMULT(I5366:W5366,_XtX!$B$78:$P$92),I5366:W5366)</f>
        <v>0.257385610836988</v>
      </c>
      <c r="Z5366" s="0" t="n">
        <f aca="false">04_回帰ANOVA!$K$19*04_回帰ANOVA!$K$14*SQRT(1+Y5366)</f>
        <v>1.46161380324158</v>
      </c>
      <c r="AA5366" s="0" t="n">
        <f aca="false">X5366-Z5366</f>
        <v>44.9774898151795</v>
      </c>
      <c r="AB5366" s="0" t="n">
        <f aca="false">X5366+Z5366</f>
        <v>47.9007174216626</v>
      </c>
      <c r="AC5366" s="54" t="b">
        <f aca="false">AND(E5366&gt;=01_因子設定!$L$5-0.000000001,E5366&lt;=01_因子設定!$M$5+0.000000001,F5366&gt;=01_因子設定!$L$6-0.000000001,F5366&lt;=01_因子設定!$M$6+0.000000001,G5366&gt;=01_因子設定!$L$7-0.000000001,G5366&lt;=01_因子設定!$M$7+0.000000001,H5366&gt;=01_因子設定!$L$8-0.000000001,H5366&lt;=01_因子設定!$M$8+0.000000001,IF(01_因子設定!$B$20="Box-Behnken",E5366^2+F5366^2+G5366^2+H5366^2&lt;=2+0.000000001,TRUE()))</f>
        <v>1</v>
      </c>
      <c r="AD5366" s="55" t="n">
        <f aca="false">IF(AC5366,IF(01_因子設定!$B$13="最大化",AA5366-01_因子設定!$B$14,IF(01_因子設定!$B$13="最小化",01_因子設定!$B$15-AB5366,MIN(AA5366-01_因子設定!$B$14,01_因子設定!$B$15-AB5366))),-1E+030)</f>
        <v>-1.52251018482053</v>
      </c>
      <c r="AE5366" s="55" t="n">
        <f aca="false">IF(AC5366,IF(01_因子設定!$B$13="最大化",X5366,IF(01_因子設定!$B$13="最小化",-X5366,-ABS(X5366-01_因子設定!$B$16))),-1E+030)</f>
        <v>46.4391036184211</v>
      </c>
      <c r="AF5366" s="55" t="n">
        <f aca="false">AD5366+ROW()*0.000000001</f>
        <v>-1.52250481882053</v>
      </c>
      <c r="AG5366" s="55" t="n">
        <f aca="false">AE5366+ROW()*0.000000001</f>
        <v>46.4391089844211</v>
      </c>
    </row>
    <row r="5367" customFormat="false" ht="15" hidden="false" customHeight="false" outlineLevel="0" collapsed="false">
      <c r="A5367" s="0" t="n">
        <v>7</v>
      </c>
      <c r="B5367" s="0" t="n">
        <v>3</v>
      </c>
      <c r="C5367" s="0" t="n">
        <v>1</v>
      </c>
      <c r="D5367" s="0" t="n">
        <v>7</v>
      </c>
      <c r="E5367" s="0" t="n">
        <f aca="false">-1+A5367*0.25</f>
        <v>0.75</v>
      </c>
      <c r="F5367" s="0" t="n">
        <f aca="false">-1+B5367*0.25</f>
        <v>-0.25</v>
      </c>
      <c r="G5367" s="0" t="n">
        <f aca="false">-1+C5367*0.25</f>
        <v>-0.75</v>
      </c>
      <c r="H5367" s="0" t="n">
        <f aca="false">-1+D5367*0.25</f>
        <v>0.75</v>
      </c>
      <c r="I5367" s="0" t="n">
        <f aca="false">1</f>
        <v>1</v>
      </c>
      <c r="J5367" s="0" t="n">
        <f aca="false">E5367</f>
        <v>0.75</v>
      </c>
      <c r="K5367" s="0" t="n">
        <f aca="false">F5367</f>
        <v>-0.25</v>
      </c>
      <c r="L5367" s="0" t="n">
        <f aca="false">G5367</f>
        <v>-0.75</v>
      </c>
      <c r="M5367" s="0" t="n">
        <f aca="false">H5367</f>
        <v>0.75</v>
      </c>
      <c r="N5367" s="0" t="n">
        <f aca="false">E5367*F5367</f>
        <v>-0.1875</v>
      </c>
      <c r="O5367" s="0" t="n">
        <f aca="false">E5367*G5367</f>
        <v>-0.5625</v>
      </c>
      <c r="P5367" s="0" t="n">
        <f aca="false">E5367*H5367</f>
        <v>0.5625</v>
      </c>
      <c r="Q5367" s="0" t="n">
        <f aca="false">F5367*G5367</f>
        <v>0.1875</v>
      </c>
      <c r="R5367" s="0" t="n">
        <f aca="false">F5367*H5367</f>
        <v>-0.1875</v>
      </c>
      <c r="S5367" s="0" t="n">
        <f aca="false">G5367*H5367</f>
        <v>-0.5625</v>
      </c>
      <c r="T5367" s="0" t="n">
        <f aca="false">E5367*E5367</f>
        <v>0.5625</v>
      </c>
      <c r="U5367" s="0" t="n">
        <f aca="false">F5367*F5367</f>
        <v>0.0625</v>
      </c>
      <c r="V5367" s="0" t="n">
        <f aca="false">G5367*G5367</f>
        <v>0.5625</v>
      </c>
      <c r="W5367" s="0" t="n">
        <f aca="false">H5367*H5367</f>
        <v>0.5625</v>
      </c>
      <c r="X5367" s="0" t="n">
        <f aca="false">SUMPRODUCT(I5367:W5367,_XtX!$B$96:$P$96)</f>
        <v>46.4037874634503</v>
      </c>
      <c r="Y5367" s="0" t="n">
        <f aca="false">SUMPRODUCT(MMULT(I5367:W5367,_XtX!$B$78:$P$92),I5367:W5367)</f>
        <v>0.294856199744152</v>
      </c>
      <c r="Z5367" s="0" t="n">
        <f aca="false">04_回帰ANOVA!$K$19*04_回帰ANOVA!$K$14*SQRT(1+Y5367)</f>
        <v>1.48323226089013</v>
      </c>
      <c r="AA5367" s="0" t="n">
        <f aca="false">X5367-Z5367</f>
        <v>44.9205552025602</v>
      </c>
      <c r="AB5367" s="0" t="n">
        <f aca="false">X5367+Z5367</f>
        <v>47.8870197243404</v>
      </c>
      <c r="AC5367" s="54" t="b">
        <f aca="false">AND(E5367&gt;=01_因子設定!$L$5-0.000000001,E5367&lt;=01_因子設定!$M$5+0.000000001,F5367&gt;=01_因子設定!$L$6-0.000000001,F5367&lt;=01_因子設定!$M$6+0.000000001,G5367&gt;=01_因子設定!$L$7-0.000000001,G5367&lt;=01_因子設定!$M$7+0.000000001,H5367&gt;=01_因子設定!$L$8-0.000000001,H5367&lt;=01_因子設定!$M$8+0.000000001,IF(01_因子設定!$B$20="Box-Behnken",E5367^2+F5367^2+G5367^2+H5367^2&lt;=2+0.000000001,TRUE()))</f>
        <v>1</v>
      </c>
      <c r="AD5367" s="55" t="n">
        <f aca="false">IF(AC5367,IF(01_因子設定!$B$13="最大化",AA5367-01_因子設定!$B$14,IF(01_因子設定!$B$13="最小化",01_因子設定!$B$15-AB5367,MIN(AA5367-01_因子設定!$B$14,01_因子設定!$B$15-AB5367))),-1E+030)</f>
        <v>-1.57944479743983</v>
      </c>
      <c r="AE5367" s="55" t="n">
        <f aca="false">IF(AC5367,IF(01_因子設定!$B$13="最大化",X5367,IF(01_因子設定!$B$13="最小化",-X5367,-ABS(X5367-01_因子設定!$B$16))),-1E+030)</f>
        <v>46.4037874634503</v>
      </c>
      <c r="AF5367" s="55" t="n">
        <f aca="false">AD5367+ROW()*0.000000001</f>
        <v>-1.57943943043983</v>
      </c>
      <c r="AG5367" s="55" t="n">
        <f aca="false">AE5367+ROW()*0.000000001</f>
        <v>46.4037928304503</v>
      </c>
    </row>
    <row r="5368" customFormat="false" ht="15" hidden="false" customHeight="false" outlineLevel="0" collapsed="false">
      <c r="A5368" s="0" t="n">
        <v>7</v>
      </c>
      <c r="B5368" s="0" t="n">
        <v>3</v>
      </c>
      <c r="C5368" s="0" t="n">
        <v>1</v>
      </c>
      <c r="D5368" s="0" t="n">
        <v>8</v>
      </c>
      <c r="E5368" s="0" t="n">
        <f aca="false">-1+A5368*0.25</f>
        <v>0.75</v>
      </c>
      <c r="F5368" s="0" t="n">
        <f aca="false">-1+B5368*0.25</f>
        <v>-0.25</v>
      </c>
      <c r="G5368" s="0" t="n">
        <f aca="false">-1+C5368*0.25</f>
        <v>-0.75</v>
      </c>
      <c r="H5368" s="0" t="n">
        <f aca="false">-1+D5368*0.25</f>
        <v>1</v>
      </c>
      <c r="I5368" s="0" t="n">
        <f aca="false">1</f>
        <v>1</v>
      </c>
      <c r="J5368" s="0" t="n">
        <f aca="false">E5368</f>
        <v>0.75</v>
      </c>
      <c r="K5368" s="0" t="n">
        <f aca="false">F5368</f>
        <v>-0.25</v>
      </c>
      <c r="L5368" s="0" t="n">
        <f aca="false">G5368</f>
        <v>-0.75</v>
      </c>
      <c r="M5368" s="0" t="n">
        <f aca="false">H5368</f>
        <v>1</v>
      </c>
      <c r="N5368" s="0" t="n">
        <f aca="false">E5368*F5368</f>
        <v>-0.1875</v>
      </c>
      <c r="O5368" s="0" t="n">
        <f aca="false">E5368*G5368</f>
        <v>-0.5625</v>
      </c>
      <c r="P5368" s="0" t="n">
        <f aca="false">E5368*H5368</f>
        <v>0.75</v>
      </c>
      <c r="Q5368" s="0" t="n">
        <f aca="false">F5368*G5368</f>
        <v>0.1875</v>
      </c>
      <c r="R5368" s="0" t="n">
        <f aca="false">F5368*H5368</f>
        <v>-0.25</v>
      </c>
      <c r="S5368" s="0" t="n">
        <f aca="false">G5368*H5368</f>
        <v>-0.75</v>
      </c>
      <c r="T5368" s="0" t="n">
        <f aca="false">E5368*E5368</f>
        <v>0.5625</v>
      </c>
      <c r="U5368" s="0" t="n">
        <f aca="false">F5368*F5368</f>
        <v>0.0625</v>
      </c>
      <c r="V5368" s="0" t="n">
        <f aca="false">G5368*G5368</f>
        <v>0.5625</v>
      </c>
      <c r="W5368" s="0" t="n">
        <f aca="false">H5368*H5368</f>
        <v>1</v>
      </c>
      <c r="X5368" s="0" t="n">
        <f aca="false">SUMPRODUCT(I5368:W5368,_XtX!$B$96:$P$96)</f>
        <v>46.3206642909357</v>
      </c>
      <c r="Y5368" s="0" t="n">
        <f aca="false">SUMPRODUCT(MMULT(I5368:W5368,_XtX!$B$78:$P$92),I5368:W5368)</f>
        <v>0.473959761056287</v>
      </c>
      <c r="Z5368" s="0" t="n">
        <f aca="false">04_回帰ANOVA!$K$19*04_回帰ANOVA!$K$14*SQRT(1+Y5368)</f>
        <v>1.58249084588329</v>
      </c>
      <c r="AA5368" s="0" t="n">
        <f aca="false">X5368-Z5368</f>
        <v>44.7381734450524</v>
      </c>
      <c r="AB5368" s="0" t="n">
        <f aca="false">X5368+Z5368</f>
        <v>47.903155136819</v>
      </c>
      <c r="AC5368" s="54" t="b">
        <f aca="false">AND(E5368&gt;=01_因子設定!$L$5-0.000000001,E5368&lt;=01_因子設定!$M$5+0.000000001,F5368&gt;=01_因子設定!$L$6-0.000000001,F5368&lt;=01_因子設定!$M$6+0.000000001,G5368&gt;=01_因子設定!$L$7-0.000000001,G5368&lt;=01_因子設定!$M$7+0.000000001,H5368&gt;=01_因子設定!$L$8-0.000000001,H5368&lt;=01_因子設定!$M$8+0.000000001,IF(01_因子設定!$B$20="Box-Behnken",E5368^2+F5368^2+G5368^2+H5368^2&lt;=2+0.000000001,TRUE()))</f>
        <v>1</v>
      </c>
      <c r="AD5368" s="55" t="n">
        <f aca="false">IF(AC5368,IF(01_因子設定!$B$13="最大化",AA5368-01_因子設定!$B$14,IF(01_因子設定!$B$13="最小化",01_因子設定!$B$15-AB5368,MIN(AA5368-01_因子設定!$B$14,01_因子設定!$B$15-AB5368))),-1E+030)</f>
        <v>-1.76182655494759</v>
      </c>
      <c r="AE5368" s="55" t="n">
        <f aca="false">IF(AC5368,IF(01_因子設定!$B$13="最大化",X5368,IF(01_因子設定!$B$13="最小化",-X5368,-ABS(X5368-01_因子設定!$B$16))),-1E+030)</f>
        <v>46.3206642909357</v>
      </c>
      <c r="AF5368" s="55" t="n">
        <f aca="false">AD5368+ROW()*0.000000001</f>
        <v>-1.76182118694759</v>
      </c>
      <c r="AG5368" s="55" t="n">
        <f aca="false">AE5368+ROW()*0.000000001</f>
        <v>46.3206696589357</v>
      </c>
    </row>
    <row r="5369" customFormat="false" ht="15" hidden="false" customHeight="false" outlineLevel="0" collapsed="false">
      <c r="A5369" s="0" t="n">
        <v>7</v>
      </c>
      <c r="B5369" s="0" t="n">
        <v>3</v>
      </c>
      <c r="C5369" s="0" t="n">
        <v>2</v>
      </c>
      <c r="D5369" s="0" t="n">
        <v>0</v>
      </c>
      <c r="E5369" s="0" t="n">
        <f aca="false">-1+A5369*0.25</f>
        <v>0.75</v>
      </c>
      <c r="F5369" s="0" t="n">
        <f aca="false">-1+B5369*0.25</f>
        <v>-0.25</v>
      </c>
      <c r="G5369" s="0" t="n">
        <f aca="false">-1+C5369*0.25</f>
        <v>-0.5</v>
      </c>
      <c r="H5369" s="0" t="n">
        <f aca="false">-1+D5369*0.25</f>
        <v>-1</v>
      </c>
      <c r="I5369" s="0" t="n">
        <f aca="false">1</f>
        <v>1</v>
      </c>
      <c r="J5369" s="0" t="n">
        <f aca="false">E5369</f>
        <v>0.75</v>
      </c>
      <c r="K5369" s="0" t="n">
        <f aca="false">F5369</f>
        <v>-0.25</v>
      </c>
      <c r="L5369" s="0" t="n">
        <f aca="false">G5369</f>
        <v>-0.5</v>
      </c>
      <c r="M5369" s="0" t="n">
        <f aca="false">H5369</f>
        <v>-1</v>
      </c>
      <c r="N5369" s="0" t="n">
        <f aca="false">E5369*F5369</f>
        <v>-0.1875</v>
      </c>
      <c r="O5369" s="0" t="n">
        <f aca="false">E5369*G5369</f>
        <v>-0.375</v>
      </c>
      <c r="P5369" s="0" t="n">
        <f aca="false">E5369*H5369</f>
        <v>-0.75</v>
      </c>
      <c r="Q5369" s="0" t="n">
        <f aca="false">F5369*G5369</f>
        <v>0.125</v>
      </c>
      <c r="R5369" s="0" t="n">
        <f aca="false">F5369*H5369</f>
        <v>0.25</v>
      </c>
      <c r="S5369" s="0" t="n">
        <f aca="false">G5369*H5369</f>
        <v>0.5</v>
      </c>
      <c r="T5369" s="0" t="n">
        <f aca="false">E5369*E5369</f>
        <v>0.5625</v>
      </c>
      <c r="U5369" s="0" t="n">
        <f aca="false">F5369*F5369</f>
        <v>0.0625</v>
      </c>
      <c r="V5369" s="0" t="n">
        <f aca="false">G5369*G5369</f>
        <v>0.25</v>
      </c>
      <c r="W5369" s="0" t="n">
        <f aca="false">H5369*H5369</f>
        <v>1</v>
      </c>
      <c r="X5369" s="0" t="n">
        <f aca="false">SUMPRODUCT(I5369:W5369,_XtX!$B$96:$P$96)</f>
        <v>45.8928728070176</v>
      </c>
      <c r="Y5369" s="0" t="n">
        <f aca="false">SUMPRODUCT(MMULT(I5369:W5369,_XtX!$B$78:$P$92),I5369:W5369)</f>
        <v>0.459125719572369</v>
      </c>
      <c r="Z5369" s="0" t="n">
        <f aca="false">04_回帰ANOVA!$K$19*04_回帰ANOVA!$K$14*SQRT(1+Y5369)</f>
        <v>1.57450755575573</v>
      </c>
      <c r="AA5369" s="0" t="n">
        <f aca="false">X5369-Z5369</f>
        <v>44.3183652512618</v>
      </c>
      <c r="AB5369" s="0" t="n">
        <f aca="false">X5369+Z5369</f>
        <v>47.4673803627733</v>
      </c>
      <c r="AC5369" s="54" t="b">
        <f aca="false">AND(E5369&gt;=01_因子設定!$L$5-0.000000001,E5369&lt;=01_因子設定!$M$5+0.000000001,F5369&gt;=01_因子設定!$L$6-0.000000001,F5369&lt;=01_因子設定!$M$6+0.000000001,G5369&gt;=01_因子設定!$L$7-0.000000001,G5369&lt;=01_因子設定!$M$7+0.000000001,H5369&gt;=01_因子設定!$L$8-0.000000001,H5369&lt;=01_因子設定!$M$8+0.000000001,IF(01_因子設定!$B$20="Box-Behnken",E5369^2+F5369^2+G5369^2+H5369^2&lt;=2+0.000000001,TRUE()))</f>
        <v>1</v>
      </c>
      <c r="AD5369" s="55" t="n">
        <f aca="false">IF(AC5369,IF(01_因子設定!$B$13="最大化",AA5369-01_因子設定!$B$14,IF(01_因子設定!$B$13="最小化",01_因子設定!$B$15-AB5369,MIN(AA5369-01_因子設定!$B$14,01_因子設定!$B$15-AB5369))),-1E+030)</f>
        <v>-2.18163474873816</v>
      </c>
      <c r="AE5369" s="55" t="n">
        <f aca="false">IF(AC5369,IF(01_因子設定!$B$13="最大化",X5369,IF(01_因子設定!$B$13="最小化",-X5369,-ABS(X5369-01_因子設定!$B$16))),-1E+030)</f>
        <v>45.8928728070176</v>
      </c>
      <c r="AF5369" s="55" t="n">
        <f aca="false">AD5369+ROW()*0.000000001</f>
        <v>-2.18162937973816</v>
      </c>
      <c r="AG5369" s="55" t="n">
        <f aca="false">AE5369+ROW()*0.000000001</f>
        <v>45.8928781760176</v>
      </c>
    </row>
    <row r="5370" customFormat="false" ht="15" hidden="false" customHeight="false" outlineLevel="0" collapsed="false">
      <c r="A5370" s="0" t="n">
        <v>7</v>
      </c>
      <c r="B5370" s="0" t="n">
        <v>3</v>
      </c>
      <c r="C5370" s="0" t="n">
        <v>2</v>
      </c>
      <c r="D5370" s="0" t="n">
        <v>1</v>
      </c>
      <c r="E5370" s="0" t="n">
        <f aca="false">-1+A5370*0.25</f>
        <v>0.75</v>
      </c>
      <c r="F5370" s="0" t="n">
        <f aca="false">-1+B5370*0.25</f>
        <v>-0.25</v>
      </c>
      <c r="G5370" s="0" t="n">
        <f aca="false">-1+C5370*0.25</f>
        <v>-0.5</v>
      </c>
      <c r="H5370" s="0" t="n">
        <f aca="false">-1+D5370*0.25</f>
        <v>-0.75</v>
      </c>
      <c r="I5370" s="0" t="n">
        <f aca="false">1</f>
        <v>1</v>
      </c>
      <c r="J5370" s="0" t="n">
        <f aca="false">E5370</f>
        <v>0.75</v>
      </c>
      <c r="K5370" s="0" t="n">
        <f aca="false">F5370</f>
        <v>-0.25</v>
      </c>
      <c r="L5370" s="0" t="n">
        <f aca="false">G5370</f>
        <v>-0.5</v>
      </c>
      <c r="M5370" s="0" t="n">
        <f aca="false">H5370</f>
        <v>-0.75</v>
      </c>
      <c r="N5370" s="0" t="n">
        <f aca="false">E5370*F5370</f>
        <v>-0.1875</v>
      </c>
      <c r="O5370" s="0" t="n">
        <f aca="false">E5370*G5370</f>
        <v>-0.375</v>
      </c>
      <c r="P5370" s="0" t="n">
        <f aca="false">E5370*H5370</f>
        <v>-0.5625</v>
      </c>
      <c r="Q5370" s="0" t="n">
        <f aca="false">F5370*G5370</f>
        <v>0.125</v>
      </c>
      <c r="R5370" s="0" t="n">
        <f aca="false">F5370*H5370</f>
        <v>0.1875</v>
      </c>
      <c r="S5370" s="0" t="n">
        <f aca="false">G5370*H5370</f>
        <v>0.375</v>
      </c>
      <c r="T5370" s="0" t="n">
        <f aca="false">E5370*E5370</f>
        <v>0.5625</v>
      </c>
      <c r="U5370" s="0" t="n">
        <f aca="false">F5370*F5370</f>
        <v>0.0625</v>
      </c>
      <c r="V5370" s="0" t="n">
        <f aca="false">G5370*G5370</f>
        <v>0.25</v>
      </c>
      <c r="W5370" s="0" t="n">
        <f aca="false">H5370*H5370</f>
        <v>0.5625</v>
      </c>
      <c r="X5370" s="0" t="n">
        <f aca="false">SUMPRODUCT(I5370:W5370,_XtX!$B$96:$P$96)</f>
        <v>46.16236750731</v>
      </c>
      <c r="Y5370" s="0" t="n">
        <f aca="false">SUMPRODUCT(MMULT(I5370:W5370,_XtX!$B$78:$P$92),I5370:W5370)</f>
        <v>0.257385610836988</v>
      </c>
      <c r="Z5370" s="0" t="n">
        <f aca="false">04_回帰ANOVA!$K$19*04_回帰ANOVA!$K$14*SQRT(1+Y5370)</f>
        <v>1.46161380324158</v>
      </c>
      <c r="AA5370" s="0" t="n">
        <f aca="false">X5370-Z5370</f>
        <v>44.7007537040684</v>
      </c>
      <c r="AB5370" s="0" t="n">
        <f aca="false">X5370+Z5370</f>
        <v>47.6239813105515</v>
      </c>
      <c r="AC5370" s="54" t="b">
        <f aca="false">AND(E5370&gt;=01_因子設定!$L$5-0.000000001,E5370&lt;=01_因子設定!$M$5+0.000000001,F5370&gt;=01_因子設定!$L$6-0.000000001,F5370&lt;=01_因子設定!$M$6+0.000000001,G5370&gt;=01_因子設定!$L$7-0.000000001,G5370&lt;=01_因子設定!$M$7+0.000000001,H5370&gt;=01_因子設定!$L$8-0.000000001,H5370&lt;=01_因子設定!$M$8+0.000000001,IF(01_因子設定!$B$20="Box-Behnken",E5370^2+F5370^2+G5370^2+H5370^2&lt;=2+0.000000001,TRUE()))</f>
        <v>1</v>
      </c>
      <c r="AD5370" s="55" t="n">
        <f aca="false">IF(AC5370,IF(01_因子設定!$B$13="最大化",AA5370-01_因子設定!$B$14,IF(01_因子設定!$B$13="最小化",01_因子設定!$B$15-AB5370,MIN(AA5370-01_因子設定!$B$14,01_因子設定!$B$15-AB5370))),-1E+030)</f>
        <v>-1.79924629593163</v>
      </c>
      <c r="AE5370" s="55" t="n">
        <f aca="false">IF(AC5370,IF(01_因子設定!$B$13="最大化",X5370,IF(01_因子設定!$B$13="最小化",-X5370,-ABS(X5370-01_因子設定!$B$16))),-1E+030)</f>
        <v>46.16236750731</v>
      </c>
      <c r="AF5370" s="55" t="n">
        <f aca="false">AD5370+ROW()*0.000000001</f>
        <v>-1.79924092593163</v>
      </c>
      <c r="AG5370" s="55" t="n">
        <f aca="false">AE5370+ROW()*0.000000001</f>
        <v>46.16237287731</v>
      </c>
    </row>
    <row r="5371" customFormat="false" ht="15" hidden="false" customHeight="false" outlineLevel="0" collapsed="false">
      <c r="A5371" s="0" t="n">
        <v>7</v>
      </c>
      <c r="B5371" s="0" t="n">
        <v>3</v>
      </c>
      <c r="C5371" s="0" t="n">
        <v>2</v>
      </c>
      <c r="D5371" s="0" t="n">
        <v>2</v>
      </c>
      <c r="E5371" s="0" t="n">
        <f aca="false">-1+A5371*0.25</f>
        <v>0.75</v>
      </c>
      <c r="F5371" s="0" t="n">
        <f aca="false">-1+B5371*0.25</f>
        <v>-0.25</v>
      </c>
      <c r="G5371" s="0" t="n">
        <f aca="false">-1+C5371*0.25</f>
        <v>-0.5</v>
      </c>
      <c r="H5371" s="0" t="n">
        <f aca="false">-1+D5371*0.25</f>
        <v>-0.5</v>
      </c>
      <c r="I5371" s="0" t="n">
        <f aca="false">1</f>
        <v>1</v>
      </c>
      <c r="J5371" s="0" t="n">
        <f aca="false">E5371</f>
        <v>0.75</v>
      </c>
      <c r="K5371" s="0" t="n">
        <f aca="false">F5371</f>
        <v>-0.25</v>
      </c>
      <c r="L5371" s="0" t="n">
        <f aca="false">G5371</f>
        <v>-0.5</v>
      </c>
      <c r="M5371" s="0" t="n">
        <f aca="false">H5371</f>
        <v>-0.5</v>
      </c>
      <c r="N5371" s="0" t="n">
        <f aca="false">E5371*F5371</f>
        <v>-0.1875</v>
      </c>
      <c r="O5371" s="0" t="n">
        <f aca="false">E5371*G5371</f>
        <v>-0.375</v>
      </c>
      <c r="P5371" s="0" t="n">
        <f aca="false">E5371*H5371</f>
        <v>-0.375</v>
      </c>
      <c r="Q5371" s="0" t="n">
        <f aca="false">F5371*G5371</f>
        <v>0.125</v>
      </c>
      <c r="R5371" s="0" t="n">
        <f aca="false">F5371*H5371</f>
        <v>0.125</v>
      </c>
      <c r="S5371" s="0" t="n">
        <f aca="false">G5371*H5371</f>
        <v>0.25</v>
      </c>
      <c r="T5371" s="0" t="n">
        <f aca="false">E5371*E5371</f>
        <v>0.5625</v>
      </c>
      <c r="U5371" s="0" t="n">
        <f aca="false">F5371*F5371</f>
        <v>0.0625</v>
      </c>
      <c r="V5371" s="0" t="n">
        <f aca="false">G5371*G5371</f>
        <v>0.25</v>
      </c>
      <c r="W5371" s="0" t="n">
        <f aca="false">H5371*H5371</f>
        <v>0.25</v>
      </c>
      <c r="X5371" s="0" t="n">
        <f aca="false">SUMPRODUCT(I5371:W5371,_XtX!$B$96:$P$96)</f>
        <v>46.3840551900585</v>
      </c>
      <c r="Y5371" s="0" t="n">
        <f aca="false">SUMPRODUCT(MMULT(I5371:W5371,_XtX!$B$78:$P$92),I5371:W5371)</f>
        <v>0.203746059484649</v>
      </c>
      <c r="Z5371" s="0" t="n">
        <f aca="false">04_回帰ANOVA!$K$19*04_回帰ANOVA!$K$14*SQRT(1+Y5371)</f>
        <v>1.43009810755465</v>
      </c>
      <c r="AA5371" s="0" t="n">
        <f aca="false">X5371-Z5371</f>
        <v>44.9539570825038</v>
      </c>
      <c r="AB5371" s="0" t="n">
        <f aca="false">X5371+Z5371</f>
        <v>47.8141532976131</v>
      </c>
      <c r="AC5371" s="54" t="b">
        <f aca="false">AND(E5371&gt;=01_因子設定!$L$5-0.000000001,E5371&lt;=01_因子設定!$M$5+0.000000001,F5371&gt;=01_因子設定!$L$6-0.000000001,F5371&lt;=01_因子設定!$M$6+0.000000001,G5371&gt;=01_因子設定!$L$7-0.000000001,G5371&lt;=01_因子設定!$M$7+0.000000001,H5371&gt;=01_因子設定!$L$8-0.000000001,H5371&lt;=01_因子設定!$M$8+0.000000001,IF(01_因子設定!$B$20="Box-Behnken",E5371^2+F5371^2+G5371^2+H5371^2&lt;=2+0.000000001,TRUE()))</f>
        <v>1</v>
      </c>
      <c r="AD5371" s="55" t="n">
        <f aca="false">IF(AC5371,IF(01_因子設定!$B$13="最大化",AA5371-01_因子設定!$B$14,IF(01_因子設定!$B$13="最小化",01_因子設定!$B$15-AB5371,MIN(AA5371-01_因子設定!$B$14,01_因子設定!$B$15-AB5371))),-1E+030)</f>
        <v>-1.54604291749617</v>
      </c>
      <c r="AE5371" s="55" t="n">
        <f aca="false">IF(AC5371,IF(01_因子設定!$B$13="最大化",X5371,IF(01_因子設定!$B$13="最小化",-X5371,-ABS(X5371-01_因子設定!$B$16))),-1E+030)</f>
        <v>46.3840551900585</v>
      </c>
      <c r="AF5371" s="55" t="n">
        <f aca="false">AD5371+ROW()*0.000000001</f>
        <v>-1.54603754649617</v>
      </c>
      <c r="AG5371" s="55" t="n">
        <f aca="false">AE5371+ROW()*0.000000001</f>
        <v>46.3840605610585</v>
      </c>
    </row>
    <row r="5372" customFormat="false" ht="15" hidden="false" customHeight="false" outlineLevel="0" collapsed="false">
      <c r="A5372" s="0" t="n">
        <v>7</v>
      </c>
      <c r="B5372" s="0" t="n">
        <v>3</v>
      </c>
      <c r="C5372" s="0" t="n">
        <v>2</v>
      </c>
      <c r="D5372" s="0" t="n">
        <v>3</v>
      </c>
      <c r="E5372" s="0" t="n">
        <f aca="false">-1+A5372*0.25</f>
        <v>0.75</v>
      </c>
      <c r="F5372" s="0" t="n">
        <f aca="false">-1+B5372*0.25</f>
        <v>-0.25</v>
      </c>
      <c r="G5372" s="0" t="n">
        <f aca="false">-1+C5372*0.25</f>
        <v>-0.5</v>
      </c>
      <c r="H5372" s="0" t="n">
        <f aca="false">-1+D5372*0.25</f>
        <v>-0.25</v>
      </c>
      <c r="I5372" s="0" t="n">
        <f aca="false">1</f>
        <v>1</v>
      </c>
      <c r="J5372" s="0" t="n">
        <f aca="false">E5372</f>
        <v>0.75</v>
      </c>
      <c r="K5372" s="0" t="n">
        <f aca="false">F5372</f>
        <v>-0.25</v>
      </c>
      <c r="L5372" s="0" t="n">
        <f aca="false">G5372</f>
        <v>-0.5</v>
      </c>
      <c r="M5372" s="0" t="n">
        <f aca="false">H5372</f>
        <v>-0.25</v>
      </c>
      <c r="N5372" s="0" t="n">
        <f aca="false">E5372*F5372</f>
        <v>-0.1875</v>
      </c>
      <c r="O5372" s="0" t="n">
        <f aca="false">E5372*G5372</f>
        <v>-0.375</v>
      </c>
      <c r="P5372" s="0" t="n">
        <f aca="false">E5372*H5372</f>
        <v>-0.1875</v>
      </c>
      <c r="Q5372" s="0" t="n">
        <f aca="false">F5372*G5372</f>
        <v>0.125</v>
      </c>
      <c r="R5372" s="0" t="n">
        <f aca="false">F5372*H5372</f>
        <v>0.0625</v>
      </c>
      <c r="S5372" s="0" t="n">
        <f aca="false">G5372*H5372</f>
        <v>0.125</v>
      </c>
      <c r="T5372" s="0" t="n">
        <f aca="false">E5372*E5372</f>
        <v>0.5625</v>
      </c>
      <c r="U5372" s="0" t="n">
        <f aca="false">F5372*F5372</f>
        <v>0.0625</v>
      </c>
      <c r="V5372" s="0" t="n">
        <f aca="false">G5372*G5372</f>
        <v>0.25</v>
      </c>
      <c r="W5372" s="0" t="n">
        <f aca="false">H5372*H5372</f>
        <v>0.0625</v>
      </c>
      <c r="X5372" s="0" t="n">
        <f aca="false">SUMPRODUCT(I5372:W5372,_XtX!$B$96:$P$96)</f>
        <v>46.5579358552631</v>
      </c>
      <c r="Y5372" s="0" t="n">
        <f aca="false">SUMPRODUCT(MMULT(I5372:W5372,_XtX!$B$78:$P$92),I5372:W5372)</f>
        <v>0.207746539199561</v>
      </c>
      <c r="Z5372" s="0" t="n">
        <f aca="false">04_回帰ANOVA!$K$19*04_回帰ANOVA!$K$14*SQRT(1+Y5372)</f>
        <v>1.43247250081141</v>
      </c>
      <c r="AA5372" s="0" t="n">
        <f aca="false">X5372-Z5372</f>
        <v>45.1254633544517</v>
      </c>
      <c r="AB5372" s="0" t="n">
        <f aca="false">X5372+Z5372</f>
        <v>47.9904083560746</v>
      </c>
      <c r="AC5372" s="54" t="b">
        <f aca="false">AND(E5372&gt;=01_因子設定!$L$5-0.000000001,E5372&lt;=01_因子設定!$M$5+0.000000001,F5372&gt;=01_因子設定!$L$6-0.000000001,F5372&lt;=01_因子設定!$M$6+0.000000001,G5372&gt;=01_因子設定!$L$7-0.000000001,G5372&lt;=01_因子設定!$M$7+0.000000001,H5372&gt;=01_因子設定!$L$8-0.000000001,H5372&lt;=01_因子設定!$M$8+0.000000001,IF(01_因子設定!$B$20="Box-Behnken",E5372^2+F5372^2+G5372^2+H5372^2&lt;=2+0.000000001,TRUE()))</f>
        <v>1</v>
      </c>
      <c r="AD5372" s="55" t="n">
        <f aca="false">IF(AC5372,IF(01_因子設定!$B$13="最大化",AA5372-01_因子設定!$B$14,IF(01_因子設定!$B$13="最小化",01_因子設定!$B$15-AB5372,MIN(AA5372-01_因子設定!$B$14,01_因子設定!$B$15-AB5372))),-1E+030)</f>
        <v>-1.37453664554826</v>
      </c>
      <c r="AE5372" s="55" t="n">
        <f aca="false">IF(AC5372,IF(01_因子設定!$B$13="最大化",X5372,IF(01_因子設定!$B$13="最小化",-X5372,-ABS(X5372-01_因子設定!$B$16))),-1E+030)</f>
        <v>46.5579358552631</v>
      </c>
      <c r="AF5372" s="55" t="n">
        <f aca="false">AD5372+ROW()*0.000000001</f>
        <v>-1.37453127354826</v>
      </c>
      <c r="AG5372" s="55" t="n">
        <f aca="false">AE5372+ROW()*0.000000001</f>
        <v>46.5579412272631</v>
      </c>
    </row>
    <row r="5373" customFormat="false" ht="15" hidden="false" customHeight="false" outlineLevel="0" collapsed="false">
      <c r="A5373" s="0" t="n">
        <v>7</v>
      </c>
      <c r="B5373" s="0" t="n">
        <v>3</v>
      </c>
      <c r="C5373" s="0" t="n">
        <v>2</v>
      </c>
      <c r="D5373" s="0" t="n">
        <v>4</v>
      </c>
      <c r="E5373" s="0" t="n">
        <f aca="false">-1+A5373*0.25</f>
        <v>0.75</v>
      </c>
      <c r="F5373" s="0" t="n">
        <f aca="false">-1+B5373*0.25</f>
        <v>-0.25</v>
      </c>
      <c r="G5373" s="0" t="n">
        <f aca="false">-1+C5373*0.25</f>
        <v>-0.5</v>
      </c>
      <c r="H5373" s="0" t="n">
        <f aca="false">-1+D5373*0.25</f>
        <v>0</v>
      </c>
      <c r="I5373" s="0" t="n">
        <f aca="false">1</f>
        <v>1</v>
      </c>
      <c r="J5373" s="0" t="n">
        <f aca="false">E5373</f>
        <v>0.75</v>
      </c>
      <c r="K5373" s="0" t="n">
        <f aca="false">F5373</f>
        <v>-0.25</v>
      </c>
      <c r="L5373" s="0" t="n">
        <f aca="false">G5373</f>
        <v>-0.5</v>
      </c>
      <c r="M5373" s="0" t="n">
        <f aca="false">H5373</f>
        <v>0</v>
      </c>
      <c r="N5373" s="0" t="n">
        <f aca="false">E5373*F5373</f>
        <v>-0.1875</v>
      </c>
      <c r="O5373" s="0" t="n">
        <f aca="false">E5373*G5373</f>
        <v>-0.375</v>
      </c>
      <c r="P5373" s="0" t="n">
        <f aca="false">E5373*H5373</f>
        <v>0</v>
      </c>
      <c r="Q5373" s="0" t="n">
        <f aca="false">F5373*G5373</f>
        <v>0.125</v>
      </c>
      <c r="R5373" s="0" t="n">
        <f aca="false">F5373*H5373</f>
        <v>-0</v>
      </c>
      <c r="S5373" s="0" t="n">
        <f aca="false">G5373*H5373</f>
        <v>-0</v>
      </c>
      <c r="T5373" s="0" t="n">
        <f aca="false">E5373*E5373</f>
        <v>0.5625</v>
      </c>
      <c r="U5373" s="0" t="n">
        <f aca="false">F5373*F5373</f>
        <v>0.0625</v>
      </c>
      <c r="V5373" s="0" t="n">
        <f aca="false">G5373*G5373</f>
        <v>0.25</v>
      </c>
      <c r="W5373" s="0" t="n">
        <f aca="false">H5373*H5373</f>
        <v>0</v>
      </c>
      <c r="X5373" s="0" t="n">
        <f aca="false">SUMPRODUCT(I5373:W5373,_XtX!$B$96:$P$96)</f>
        <v>46.684009502924</v>
      </c>
      <c r="Y5373" s="0" t="n">
        <f aca="false">SUMPRODUCT(MMULT(I5373:W5373,_XtX!$B$78:$P$92),I5373:W5373)</f>
        <v>0.215110734192252</v>
      </c>
      <c r="Z5373" s="0" t="n">
        <f aca="false">04_回帰ANOVA!$K$19*04_回帰ANOVA!$K$14*SQRT(1+Y5373)</f>
        <v>1.43683309086864</v>
      </c>
      <c r="AA5373" s="0" t="n">
        <f aca="false">X5373-Z5373</f>
        <v>45.2471764120553</v>
      </c>
      <c r="AB5373" s="0" t="n">
        <f aca="false">X5373+Z5373</f>
        <v>48.1208425937926</v>
      </c>
      <c r="AC5373" s="54" t="b">
        <f aca="false">AND(E5373&gt;=01_因子設定!$L$5-0.000000001,E5373&lt;=01_因子設定!$M$5+0.000000001,F5373&gt;=01_因子設定!$L$6-0.000000001,F5373&lt;=01_因子設定!$M$6+0.000000001,G5373&gt;=01_因子設定!$L$7-0.000000001,G5373&lt;=01_因子設定!$M$7+0.000000001,H5373&gt;=01_因子設定!$L$8-0.000000001,H5373&lt;=01_因子設定!$M$8+0.000000001,IF(01_因子設定!$B$20="Box-Behnken",E5373^2+F5373^2+G5373^2+H5373^2&lt;=2+0.000000001,TRUE()))</f>
        <v>1</v>
      </c>
      <c r="AD5373" s="55" t="n">
        <f aca="false">IF(AC5373,IF(01_因子設定!$B$13="最大化",AA5373-01_因子設定!$B$14,IF(01_因子設定!$B$13="最小化",01_因子設定!$B$15-AB5373,MIN(AA5373-01_因子設定!$B$14,01_因子設定!$B$15-AB5373))),-1E+030)</f>
        <v>-1.25282358794468</v>
      </c>
      <c r="AE5373" s="55" t="n">
        <f aca="false">IF(AC5373,IF(01_因子設定!$B$13="最大化",X5373,IF(01_因子設定!$B$13="最小化",-X5373,-ABS(X5373-01_因子設定!$B$16))),-1E+030)</f>
        <v>46.684009502924</v>
      </c>
      <c r="AF5373" s="55" t="n">
        <f aca="false">AD5373+ROW()*0.000000001</f>
        <v>-1.25281821494468</v>
      </c>
      <c r="AG5373" s="55" t="n">
        <f aca="false">AE5373+ROW()*0.000000001</f>
        <v>46.684014875924</v>
      </c>
    </row>
    <row r="5374" customFormat="false" ht="15" hidden="false" customHeight="false" outlineLevel="0" collapsed="false">
      <c r="A5374" s="0" t="n">
        <v>7</v>
      </c>
      <c r="B5374" s="0" t="n">
        <v>3</v>
      </c>
      <c r="C5374" s="0" t="n">
        <v>2</v>
      </c>
      <c r="D5374" s="0" t="n">
        <v>5</v>
      </c>
      <c r="E5374" s="0" t="n">
        <f aca="false">-1+A5374*0.25</f>
        <v>0.75</v>
      </c>
      <c r="F5374" s="0" t="n">
        <f aca="false">-1+B5374*0.25</f>
        <v>-0.25</v>
      </c>
      <c r="G5374" s="0" t="n">
        <f aca="false">-1+C5374*0.25</f>
        <v>-0.5</v>
      </c>
      <c r="H5374" s="0" t="n">
        <f aca="false">-1+D5374*0.25</f>
        <v>0.25</v>
      </c>
      <c r="I5374" s="0" t="n">
        <f aca="false">1</f>
        <v>1</v>
      </c>
      <c r="J5374" s="0" t="n">
        <f aca="false">E5374</f>
        <v>0.75</v>
      </c>
      <c r="K5374" s="0" t="n">
        <f aca="false">F5374</f>
        <v>-0.25</v>
      </c>
      <c r="L5374" s="0" t="n">
        <f aca="false">G5374</f>
        <v>-0.5</v>
      </c>
      <c r="M5374" s="0" t="n">
        <f aca="false">H5374</f>
        <v>0.25</v>
      </c>
      <c r="N5374" s="0" t="n">
        <f aca="false">E5374*F5374</f>
        <v>-0.1875</v>
      </c>
      <c r="O5374" s="0" t="n">
        <f aca="false">E5374*G5374</f>
        <v>-0.375</v>
      </c>
      <c r="P5374" s="0" t="n">
        <f aca="false">E5374*H5374</f>
        <v>0.1875</v>
      </c>
      <c r="Q5374" s="0" t="n">
        <f aca="false">F5374*G5374</f>
        <v>0.125</v>
      </c>
      <c r="R5374" s="0" t="n">
        <f aca="false">F5374*H5374</f>
        <v>-0.0625</v>
      </c>
      <c r="S5374" s="0" t="n">
        <f aca="false">G5374*H5374</f>
        <v>-0.125</v>
      </c>
      <c r="T5374" s="0" t="n">
        <f aca="false">E5374*E5374</f>
        <v>0.5625</v>
      </c>
      <c r="U5374" s="0" t="n">
        <f aca="false">F5374*F5374</f>
        <v>0.0625</v>
      </c>
      <c r="V5374" s="0" t="n">
        <f aca="false">G5374*G5374</f>
        <v>0.25</v>
      </c>
      <c r="W5374" s="0" t="n">
        <f aca="false">H5374*H5374</f>
        <v>0.0625</v>
      </c>
      <c r="X5374" s="0" t="n">
        <f aca="false">SUMPRODUCT(I5374:W5374,_XtX!$B$96:$P$96)</f>
        <v>46.7622761330409</v>
      </c>
      <c r="Y5374" s="0" t="n">
        <f aca="false">SUMPRODUCT(MMULT(I5374:W5374,_XtX!$B$78:$P$92),I5374:W5374)</f>
        <v>0.207746539199561</v>
      </c>
      <c r="Z5374" s="0" t="n">
        <f aca="false">04_回帰ANOVA!$K$19*04_回帰ANOVA!$K$14*SQRT(1+Y5374)</f>
        <v>1.43247250081141</v>
      </c>
      <c r="AA5374" s="0" t="n">
        <f aca="false">X5374-Z5374</f>
        <v>45.3298036322295</v>
      </c>
      <c r="AB5374" s="0" t="n">
        <f aca="false">X5374+Z5374</f>
        <v>48.1947486338523</v>
      </c>
      <c r="AC5374" s="54" t="b">
        <f aca="false">AND(E5374&gt;=01_因子設定!$L$5-0.000000001,E5374&lt;=01_因子設定!$M$5+0.000000001,F5374&gt;=01_因子設定!$L$6-0.000000001,F5374&lt;=01_因子設定!$M$6+0.000000001,G5374&gt;=01_因子設定!$L$7-0.000000001,G5374&lt;=01_因子設定!$M$7+0.000000001,H5374&gt;=01_因子設定!$L$8-0.000000001,H5374&lt;=01_因子設定!$M$8+0.000000001,IF(01_因子設定!$B$20="Box-Behnken",E5374^2+F5374^2+G5374^2+H5374^2&lt;=2+0.000000001,TRUE()))</f>
        <v>1</v>
      </c>
      <c r="AD5374" s="55" t="n">
        <f aca="false">IF(AC5374,IF(01_因子設定!$B$13="最大化",AA5374-01_因子設定!$B$14,IF(01_因子設定!$B$13="最小化",01_因子設定!$B$15-AB5374,MIN(AA5374-01_因子設定!$B$14,01_因子設定!$B$15-AB5374))),-1E+030)</f>
        <v>-1.17019636777049</v>
      </c>
      <c r="AE5374" s="55" t="n">
        <f aca="false">IF(AC5374,IF(01_因子設定!$B$13="最大化",X5374,IF(01_因子設定!$B$13="最小化",-X5374,-ABS(X5374-01_因子設定!$B$16))),-1E+030)</f>
        <v>46.7622761330409</v>
      </c>
      <c r="AF5374" s="55" t="n">
        <f aca="false">AD5374+ROW()*0.000000001</f>
        <v>-1.17019099377049</v>
      </c>
      <c r="AG5374" s="55" t="n">
        <f aca="false">AE5374+ROW()*0.000000001</f>
        <v>46.7622815070409</v>
      </c>
    </row>
    <row r="5375" customFormat="false" ht="15" hidden="false" customHeight="false" outlineLevel="0" collapsed="false">
      <c r="A5375" s="0" t="n">
        <v>7</v>
      </c>
      <c r="B5375" s="0" t="n">
        <v>3</v>
      </c>
      <c r="C5375" s="0" t="n">
        <v>2</v>
      </c>
      <c r="D5375" s="0" t="n">
        <v>6</v>
      </c>
      <c r="E5375" s="0" t="n">
        <f aca="false">-1+A5375*0.25</f>
        <v>0.75</v>
      </c>
      <c r="F5375" s="0" t="n">
        <f aca="false">-1+B5375*0.25</f>
        <v>-0.25</v>
      </c>
      <c r="G5375" s="0" t="n">
        <f aca="false">-1+C5375*0.25</f>
        <v>-0.5</v>
      </c>
      <c r="H5375" s="0" t="n">
        <f aca="false">-1+D5375*0.25</f>
        <v>0.5</v>
      </c>
      <c r="I5375" s="0" t="n">
        <f aca="false">1</f>
        <v>1</v>
      </c>
      <c r="J5375" s="0" t="n">
        <f aca="false">E5375</f>
        <v>0.75</v>
      </c>
      <c r="K5375" s="0" t="n">
        <f aca="false">F5375</f>
        <v>-0.25</v>
      </c>
      <c r="L5375" s="0" t="n">
        <f aca="false">G5375</f>
        <v>-0.5</v>
      </c>
      <c r="M5375" s="0" t="n">
        <f aca="false">H5375</f>
        <v>0.5</v>
      </c>
      <c r="N5375" s="0" t="n">
        <f aca="false">E5375*F5375</f>
        <v>-0.1875</v>
      </c>
      <c r="O5375" s="0" t="n">
        <f aca="false">E5375*G5375</f>
        <v>-0.375</v>
      </c>
      <c r="P5375" s="0" t="n">
        <f aca="false">E5375*H5375</f>
        <v>0.375</v>
      </c>
      <c r="Q5375" s="0" t="n">
        <f aca="false">F5375*G5375</f>
        <v>0.125</v>
      </c>
      <c r="R5375" s="0" t="n">
        <f aca="false">F5375*H5375</f>
        <v>-0.125</v>
      </c>
      <c r="S5375" s="0" t="n">
        <f aca="false">G5375*H5375</f>
        <v>-0.25</v>
      </c>
      <c r="T5375" s="0" t="n">
        <f aca="false">E5375*E5375</f>
        <v>0.5625</v>
      </c>
      <c r="U5375" s="0" t="n">
        <f aca="false">F5375*F5375</f>
        <v>0.0625</v>
      </c>
      <c r="V5375" s="0" t="n">
        <f aca="false">G5375*G5375</f>
        <v>0.25</v>
      </c>
      <c r="W5375" s="0" t="n">
        <f aca="false">H5375*H5375</f>
        <v>0.25</v>
      </c>
      <c r="X5375" s="0" t="n">
        <f aca="false">SUMPRODUCT(I5375:W5375,_XtX!$B$96:$P$96)</f>
        <v>46.792735745614</v>
      </c>
      <c r="Y5375" s="0" t="n">
        <f aca="false">SUMPRODUCT(MMULT(I5375:W5375,_XtX!$B$78:$P$92),I5375:W5375)</f>
        <v>0.203746059484649</v>
      </c>
      <c r="Z5375" s="0" t="n">
        <f aca="false">04_回帰ANOVA!$K$19*04_回帰ANOVA!$K$14*SQRT(1+Y5375)</f>
        <v>1.43009810755465</v>
      </c>
      <c r="AA5375" s="0" t="n">
        <f aca="false">X5375-Z5375</f>
        <v>45.3626376380594</v>
      </c>
      <c r="AB5375" s="0" t="n">
        <f aca="false">X5375+Z5375</f>
        <v>48.2228338531687</v>
      </c>
      <c r="AC5375" s="54" t="b">
        <f aca="false">AND(E5375&gt;=01_因子設定!$L$5-0.000000001,E5375&lt;=01_因子設定!$M$5+0.000000001,F5375&gt;=01_因子設定!$L$6-0.000000001,F5375&lt;=01_因子設定!$M$6+0.000000001,G5375&gt;=01_因子設定!$L$7-0.000000001,G5375&lt;=01_因子設定!$M$7+0.000000001,H5375&gt;=01_因子設定!$L$8-0.000000001,H5375&lt;=01_因子設定!$M$8+0.000000001,IF(01_因子設定!$B$20="Box-Behnken",E5375^2+F5375^2+G5375^2+H5375^2&lt;=2+0.000000001,TRUE()))</f>
        <v>1</v>
      </c>
      <c r="AD5375" s="55" t="n">
        <f aca="false">IF(AC5375,IF(01_因子設定!$B$13="最大化",AA5375-01_因子設定!$B$14,IF(01_因子設定!$B$13="最小化",01_因子設定!$B$15-AB5375,MIN(AA5375-01_因子設定!$B$14,01_因子設定!$B$15-AB5375))),-1E+030)</f>
        <v>-1.13736236194062</v>
      </c>
      <c r="AE5375" s="55" t="n">
        <f aca="false">IF(AC5375,IF(01_因子設定!$B$13="最大化",X5375,IF(01_因子設定!$B$13="最小化",-X5375,-ABS(X5375-01_因子設定!$B$16))),-1E+030)</f>
        <v>46.792735745614</v>
      </c>
      <c r="AF5375" s="55" t="n">
        <f aca="false">AD5375+ROW()*0.000000001</f>
        <v>-1.13735698694062</v>
      </c>
      <c r="AG5375" s="55" t="n">
        <f aca="false">AE5375+ROW()*0.000000001</f>
        <v>46.792741120614</v>
      </c>
    </row>
    <row r="5376" customFormat="false" ht="15" hidden="false" customHeight="false" outlineLevel="0" collapsed="false">
      <c r="A5376" s="0" t="n">
        <v>7</v>
      </c>
      <c r="B5376" s="0" t="n">
        <v>3</v>
      </c>
      <c r="C5376" s="0" t="n">
        <v>2</v>
      </c>
      <c r="D5376" s="0" t="n">
        <v>7</v>
      </c>
      <c r="E5376" s="0" t="n">
        <f aca="false">-1+A5376*0.25</f>
        <v>0.75</v>
      </c>
      <c r="F5376" s="0" t="n">
        <f aca="false">-1+B5376*0.25</f>
        <v>-0.25</v>
      </c>
      <c r="G5376" s="0" t="n">
        <f aca="false">-1+C5376*0.25</f>
        <v>-0.5</v>
      </c>
      <c r="H5376" s="0" t="n">
        <f aca="false">-1+D5376*0.25</f>
        <v>0.75</v>
      </c>
      <c r="I5376" s="0" t="n">
        <f aca="false">1</f>
        <v>1</v>
      </c>
      <c r="J5376" s="0" t="n">
        <f aca="false">E5376</f>
        <v>0.75</v>
      </c>
      <c r="K5376" s="0" t="n">
        <f aca="false">F5376</f>
        <v>-0.25</v>
      </c>
      <c r="L5376" s="0" t="n">
        <f aca="false">G5376</f>
        <v>-0.5</v>
      </c>
      <c r="M5376" s="0" t="n">
        <f aca="false">H5376</f>
        <v>0.75</v>
      </c>
      <c r="N5376" s="0" t="n">
        <f aca="false">E5376*F5376</f>
        <v>-0.1875</v>
      </c>
      <c r="O5376" s="0" t="n">
        <f aca="false">E5376*G5376</f>
        <v>-0.375</v>
      </c>
      <c r="P5376" s="0" t="n">
        <f aca="false">E5376*H5376</f>
        <v>0.5625</v>
      </c>
      <c r="Q5376" s="0" t="n">
        <f aca="false">F5376*G5376</f>
        <v>0.125</v>
      </c>
      <c r="R5376" s="0" t="n">
        <f aca="false">F5376*H5376</f>
        <v>-0.1875</v>
      </c>
      <c r="S5376" s="0" t="n">
        <f aca="false">G5376*H5376</f>
        <v>-0.375</v>
      </c>
      <c r="T5376" s="0" t="n">
        <f aca="false">E5376*E5376</f>
        <v>0.5625</v>
      </c>
      <c r="U5376" s="0" t="n">
        <f aca="false">F5376*F5376</f>
        <v>0.0625</v>
      </c>
      <c r="V5376" s="0" t="n">
        <f aca="false">G5376*G5376</f>
        <v>0.25</v>
      </c>
      <c r="W5376" s="0" t="n">
        <f aca="false">H5376*H5376</f>
        <v>0.5625</v>
      </c>
      <c r="X5376" s="0" t="n">
        <f aca="false">SUMPRODUCT(I5376:W5376,_XtX!$B$96:$P$96)</f>
        <v>46.7753883406433</v>
      </c>
      <c r="Y5376" s="0" t="n">
        <f aca="false">SUMPRODUCT(MMULT(I5376:W5376,_XtX!$B$78:$P$92),I5376:W5376)</f>
        <v>0.257385610836988</v>
      </c>
      <c r="Z5376" s="0" t="n">
        <f aca="false">04_回帰ANOVA!$K$19*04_回帰ANOVA!$K$14*SQRT(1+Y5376)</f>
        <v>1.46161380324158</v>
      </c>
      <c r="AA5376" s="0" t="n">
        <f aca="false">X5376-Z5376</f>
        <v>45.3137745374017</v>
      </c>
      <c r="AB5376" s="0" t="n">
        <f aca="false">X5376+Z5376</f>
        <v>48.2370021438849</v>
      </c>
      <c r="AC5376" s="54" t="b">
        <f aca="false">AND(E5376&gt;=01_因子設定!$L$5-0.000000001,E5376&lt;=01_因子設定!$M$5+0.000000001,F5376&gt;=01_因子設定!$L$6-0.000000001,F5376&lt;=01_因子設定!$M$6+0.000000001,G5376&gt;=01_因子設定!$L$7-0.000000001,G5376&lt;=01_因子設定!$M$7+0.000000001,H5376&gt;=01_因子設定!$L$8-0.000000001,H5376&lt;=01_因子設定!$M$8+0.000000001,IF(01_因子設定!$B$20="Box-Behnken",E5376^2+F5376^2+G5376^2+H5376^2&lt;=2+0.000000001,TRUE()))</f>
        <v>1</v>
      </c>
      <c r="AD5376" s="55" t="n">
        <f aca="false">IF(AC5376,IF(01_因子設定!$B$13="最大化",AA5376-01_因子設定!$B$14,IF(01_因子設定!$B$13="最小化",01_因子設定!$B$15-AB5376,MIN(AA5376-01_因子設定!$B$14,01_因子設定!$B$15-AB5376))),-1E+030)</f>
        <v>-1.1862254625983</v>
      </c>
      <c r="AE5376" s="55" t="n">
        <f aca="false">IF(AC5376,IF(01_因子設定!$B$13="最大化",X5376,IF(01_因子設定!$B$13="最小化",-X5376,-ABS(X5376-01_因子設定!$B$16))),-1E+030)</f>
        <v>46.7753883406433</v>
      </c>
      <c r="AF5376" s="55" t="n">
        <f aca="false">AD5376+ROW()*0.000000001</f>
        <v>-1.1862200865983</v>
      </c>
      <c r="AG5376" s="55" t="n">
        <f aca="false">AE5376+ROW()*0.000000001</f>
        <v>46.7753937166433</v>
      </c>
    </row>
    <row r="5377" customFormat="false" ht="15" hidden="false" customHeight="false" outlineLevel="0" collapsed="false">
      <c r="A5377" s="0" t="n">
        <v>7</v>
      </c>
      <c r="B5377" s="0" t="n">
        <v>3</v>
      </c>
      <c r="C5377" s="0" t="n">
        <v>2</v>
      </c>
      <c r="D5377" s="0" t="n">
        <v>8</v>
      </c>
      <c r="E5377" s="0" t="n">
        <f aca="false">-1+A5377*0.25</f>
        <v>0.75</v>
      </c>
      <c r="F5377" s="0" t="n">
        <f aca="false">-1+B5377*0.25</f>
        <v>-0.25</v>
      </c>
      <c r="G5377" s="0" t="n">
        <f aca="false">-1+C5377*0.25</f>
        <v>-0.5</v>
      </c>
      <c r="H5377" s="0" t="n">
        <f aca="false">-1+D5377*0.25</f>
        <v>1</v>
      </c>
      <c r="I5377" s="0" t="n">
        <f aca="false">1</f>
        <v>1</v>
      </c>
      <c r="J5377" s="0" t="n">
        <f aca="false">E5377</f>
        <v>0.75</v>
      </c>
      <c r="K5377" s="0" t="n">
        <f aca="false">F5377</f>
        <v>-0.25</v>
      </c>
      <c r="L5377" s="0" t="n">
        <f aca="false">G5377</f>
        <v>-0.5</v>
      </c>
      <c r="M5377" s="0" t="n">
        <f aca="false">H5377</f>
        <v>1</v>
      </c>
      <c r="N5377" s="0" t="n">
        <f aca="false">E5377*F5377</f>
        <v>-0.1875</v>
      </c>
      <c r="O5377" s="0" t="n">
        <f aca="false">E5377*G5377</f>
        <v>-0.375</v>
      </c>
      <c r="P5377" s="0" t="n">
        <f aca="false">E5377*H5377</f>
        <v>0.75</v>
      </c>
      <c r="Q5377" s="0" t="n">
        <f aca="false">F5377*G5377</f>
        <v>0.125</v>
      </c>
      <c r="R5377" s="0" t="n">
        <f aca="false">F5377*H5377</f>
        <v>-0.25</v>
      </c>
      <c r="S5377" s="0" t="n">
        <f aca="false">G5377*H5377</f>
        <v>-0.5</v>
      </c>
      <c r="T5377" s="0" t="n">
        <f aca="false">E5377*E5377</f>
        <v>0.5625</v>
      </c>
      <c r="U5377" s="0" t="n">
        <f aca="false">F5377*F5377</f>
        <v>0.0625</v>
      </c>
      <c r="V5377" s="0" t="n">
        <f aca="false">G5377*G5377</f>
        <v>0.25</v>
      </c>
      <c r="W5377" s="0" t="n">
        <f aca="false">H5377*H5377</f>
        <v>1</v>
      </c>
      <c r="X5377" s="0" t="n">
        <f aca="false">SUMPRODUCT(I5377:W5377,_XtX!$B$96:$P$96)</f>
        <v>46.7102339181287</v>
      </c>
      <c r="Y5377" s="0" t="n">
        <f aca="false">SUMPRODUCT(MMULT(I5377:W5377,_XtX!$B$78:$P$92),I5377:W5377)</f>
        <v>0.459125719572369</v>
      </c>
      <c r="Z5377" s="0" t="n">
        <f aca="false">04_回帰ANOVA!$K$19*04_回帰ANOVA!$K$14*SQRT(1+Y5377)</f>
        <v>1.57450755575573</v>
      </c>
      <c r="AA5377" s="0" t="n">
        <f aca="false">X5377-Z5377</f>
        <v>45.135726362373</v>
      </c>
      <c r="AB5377" s="0" t="n">
        <f aca="false">X5377+Z5377</f>
        <v>48.2847414738844</v>
      </c>
      <c r="AC5377" s="54" t="b">
        <f aca="false">AND(E5377&gt;=01_因子設定!$L$5-0.000000001,E5377&lt;=01_因子設定!$M$5+0.000000001,F5377&gt;=01_因子設定!$L$6-0.000000001,F5377&lt;=01_因子設定!$M$6+0.000000001,G5377&gt;=01_因子設定!$L$7-0.000000001,G5377&lt;=01_因子設定!$M$7+0.000000001,H5377&gt;=01_因子設定!$L$8-0.000000001,H5377&lt;=01_因子設定!$M$8+0.000000001,IF(01_因子設定!$B$20="Box-Behnken",E5377^2+F5377^2+G5377^2+H5377^2&lt;=2+0.000000001,TRUE()))</f>
        <v>1</v>
      </c>
      <c r="AD5377" s="55" t="n">
        <f aca="false">IF(AC5377,IF(01_因子設定!$B$13="最大化",AA5377-01_因子設定!$B$14,IF(01_因子設定!$B$13="最小化",01_因子設定!$B$15-AB5377,MIN(AA5377-01_因子設定!$B$14,01_因子設定!$B$15-AB5377))),-1E+030)</f>
        <v>-1.36427363762705</v>
      </c>
      <c r="AE5377" s="55" t="n">
        <f aca="false">IF(AC5377,IF(01_因子設定!$B$13="最大化",X5377,IF(01_因子設定!$B$13="最小化",-X5377,-ABS(X5377-01_因子設定!$B$16))),-1E+030)</f>
        <v>46.7102339181287</v>
      </c>
      <c r="AF5377" s="55" t="n">
        <f aca="false">AD5377+ROW()*0.000000001</f>
        <v>-1.36426826062705</v>
      </c>
      <c r="AG5377" s="55" t="n">
        <f aca="false">AE5377+ROW()*0.000000001</f>
        <v>46.7102392951287</v>
      </c>
    </row>
    <row r="5378" customFormat="false" ht="15" hidden="false" customHeight="false" outlineLevel="0" collapsed="false">
      <c r="A5378" s="0" t="n">
        <v>7</v>
      </c>
      <c r="B5378" s="0" t="n">
        <v>3</v>
      </c>
      <c r="C5378" s="0" t="n">
        <v>3</v>
      </c>
      <c r="D5378" s="0" t="n">
        <v>0</v>
      </c>
      <c r="E5378" s="0" t="n">
        <f aca="false">-1+A5378*0.25</f>
        <v>0.75</v>
      </c>
      <c r="F5378" s="0" t="n">
        <f aca="false">-1+B5378*0.25</f>
        <v>-0.25</v>
      </c>
      <c r="G5378" s="0" t="n">
        <f aca="false">-1+C5378*0.25</f>
        <v>-0.25</v>
      </c>
      <c r="H5378" s="0" t="n">
        <f aca="false">-1+D5378*0.25</f>
        <v>-1</v>
      </c>
      <c r="I5378" s="0" t="n">
        <f aca="false">1</f>
        <v>1</v>
      </c>
      <c r="J5378" s="0" t="n">
        <f aca="false">E5378</f>
        <v>0.75</v>
      </c>
      <c r="K5378" s="0" t="n">
        <f aca="false">F5378</f>
        <v>-0.25</v>
      </c>
      <c r="L5378" s="0" t="n">
        <f aca="false">G5378</f>
        <v>-0.25</v>
      </c>
      <c r="M5378" s="0" t="n">
        <f aca="false">H5378</f>
        <v>-1</v>
      </c>
      <c r="N5378" s="0" t="n">
        <f aca="false">E5378*F5378</f>
        <v>-0.1875</v>
      </c>
      <c r="O5378" s="0" t="n">
        <f aca="false">E5378*G5378</f>
        <v>-0.1875</v>
      </c>
      <c r="P5378" s="0" t="n">
        <f aca="false">E5378*H5378</f>
        <v>-0.75</v>
      </c>
      <c r="Q5378" s="0" t="n">
        <f aca="false">F5378*G5378</f>
        <v>0.0625</v>
      </c>
      <c r="R5378" s="0" t="n">
        <f aca="false">F5378*H5378</f>
        <v>0.25</v>
      </c>
      <c r="S5378" s="0" t="n">
        <f aca="false">G5378*H5378</f>
        <v>0.25</v>
      </c>
      <c r="T5378" s="0" t="n">
        <f aca="false">E5378*E5378</f>
        <v>0.5625</v>
      </c>
      <c r="U5378" s="0" t="n">
        <f aca="false">F5378*F5378</f>
        <v>0.0625</v>
      </c>
      <c r="V5378" s="0" t="n">
        <f aca="false">G5378*G5378</f>
        <v>0.0625</v>
      </c>
      <c r="W5378" s="0" t="n">
        <f aca="false">H5378*H5378</f>
        <v>1</v>
      </c>
      <c r="X5378" s="0" t="n">
        <f aca="false">SUMPRODUCT(I5378:W5378,_XtX!$B$96:$P$96)</f>
        <v>46.0533854166667</v>
      </c>
      <c r="Y5378" s="0" t="n">
        <f aca="false">SUMPRODUCT(MMULT(I5378:W5378,_XtX!$B$78:$P$92),I5378:W5378)</f>
        <v>0.486409505208334</v>
      </c>
      <c r="Z5378" s="0" t="n">
        <f aca="false">04_回帰ANOVA!$K$19*04_回帰ANOVA!$K$14*SQRT(1+Y5378)</f>
        <v>1.58916001665498</v>
      </c>
      <c r="AA5378" s="0" t="n">
        <f aca="false">X5378-Z5378</f>
        <v>44.4642254000117</v>
      </c>
      <c r="AB5378" s="0" t="n">
        <f aca="false">X5378+Z5378</f>
        <v>47.6425454333217</v>
      </c>
      <c r="AC5378" s="54" t="b">
        <f aca="false">AND(E5378&gt;=01_因子設定!$L$5-0.000000001,E5378&lt;=01_因子設定!$M$5+0.000000001,F5378&gt;=01_因子設定!$L$6-0.000000001,F5378&lt;=01_因子設定!$M$6+0.000000001,G5378&gt;=01_因子設定!$L$7-0.000000001,G5378&lt;=01_因子設定!$M$7+0.000000001,H5378&gt;=01_因子設定!$L$8-0.000000001,H5378&lt;=01_因子設定!$M$8+0.000000001,IF(01_因子設定!$B$20="Box-Behnken",E5378^2+F5378^2+G5378^2+H5378^2&lt;=2+0.000000001,TRUE()))</f>
        <v>1</v>
      </c>
      <c r="AD5378" s="55" t="n">
        <f aca="false">IF(AC5378,IF(01_因子設定!$B$13="最大化",AA5378-01_因子設定!$B$14,IF(01_因子設定!$B$13="最小化",01_因子設定!$B$15-AB5378,MIN(AA5378-01_因子設定!$B$14,01_因子設定!$B$15-AB5378))),-1E+030)</f>
        <v>-2.03577459998829</v>
      </c>
      <c r="AE5378" s="55" t="n">
        <f aca="false">IF(AC5378,IF(01_因子設定!$B$13="最大化",X5378,IF(01_因子設定!$B$13="最小化",-X5378,-ABS(X5378-01_因子設定!$B$16))),-1E+030)</f>
        <v>46.0533854166667</v>
      </c>
      <c r="AF5378" s="55" t="n">
        <f aca="false">AD5378+ROW()*0.000000001</f>
        <v>-2.03576922198829</v>
      </c>
      <c r="AG5378" s="55" t="n">
        <f aca="false">AE5378+ROW()*0.000000001</f>
        <v>46.0533907946667</v>
      </c>
    </row>
    <row r="5379" customFormat="false" ht="15" hidden="false" customHeight="false" outlineLevel="0" collapsed="false">
      <c r="A5379" s="0" t="n">
        <v>7</v>
      </c>
      <c r="B5379" s="0" t="n">
        <v>3</v>
      </c>
      <c r="C5379" s="0" t="n">
        <v>3</v>
      </c>
      <c r="D5379" s="0" t="n">
        <v>1</v>
      </c>
      <c r="E5379" s="0" t="n">
        <f aca="false">-1+A5379*0.25</f>
        <v>0.75</v>
      </c>
      <c r="F5379" s="0" t="n">
        <f aca="false">-1+B5379*0.25</f>
        <v>-0.25</v>
      </c>
      <c r="G5379" s="0" t="n">
        <f aca="false">-1+C5379*0.25</f>
        <v>-0.25</v>
      </c>
      <c r="H5379" s="0" t="n">
        <f aca="false">-1+D5379*0.25</f>
        <v>-0.75</v>
      </c>
      <c r="I5379" s="0" t="n">
        <f aca="false">1</f>
        <v>1</v>
      </c>
      <c r="J5379" s="0" t="n">
        <f aca="false">E5379</f>
        <v>0.75</v>
      </c>
      <c r="K5379" s="0" t="n">
        <f aca="false">F5379</f>
        <v>-0.25</v>
      </c>
      <c r="L5379" s="0" t="n">
        <f aca="false">G5379</f>
        <v>-0.25</v>
      </c>
      <c r="M5379" s="0" t="n">
        <f aca="false">H5379</f>
        <v>-0.75</v>
      </c>
      <c r="N5379" s="0" t="n">
        <f aca="false">E5379*F5379</f>
        <v>-0.1875</v>
      </c>
      <c r="O5379" s="0" t="n">
        <f aca="false">E5379*G5379</f>
        <v>-0.1875</v>
      </c>
      <c r="P5379" s="0" t="n">
        <f aca="false">E5379*H5379</f>
        <v>-0.5625</v>
      </c>
      <c r="Q5379" s="0" t="n">
        <f aca="false">F5379*G5379</f>
        <v>0.0625</v>
      </c>
      <c r="R5379" s="0" t="n">
        <f aca="false">F5379*H5379</f>
        <v>0.1875</v>
      </c>
      <c r="S5379" s="0" t="n">
        <f aca="false">G5379*H5379</f>
        <v>0.1875</v>
      </c>
      <c r="T5379" s="0" t="n">
        <f aca="false">E5379*E5379</f>
        <v>0.5625</v>
      </c>
      <c r="U5379" s="0" t="n">
        <f aca="false">F5379*F5379</f>
        <v>0.0625</v>
      </c>
      <c r="V5379" s="0" t="n">
        <f aca="false">G5379*G5379</f>
        <v>0.0625</v>
      </c>
      <c r="W5379" s="0" t="n">
        <f aca="false">H5379*H5379</f>
        <v>0.5625</v>
      </c>
      <c r="X5379" s="0" t="n">
        <f aca="false">SUMPRODUCT(I5379:W5379,_XtX!$B$96:$P$96)</f>
        <v>46.3408488669591</v>
      </c>
      <c r="Y5379" s="0" t="n">
        <f aca="false">SUMPRODUCT(MMULT(I5379:W5379,_XtX!$B$78:$P$92),I5379:W5379)</f>
        <v>0.271087468019006</v>
      </c>
      <c r="Z5379" s="0" t="n">
        <f aca="false">04_回帰ANOVA!$K$19*04_回帰ANOVA!$K$14*SQRT(1+Y5379)</f>
        <v>1.46955590155034</v>
      </c>
      <c r="AA5379" s="0" t="n">
        <f aca="false">X5379-Z5379</f>
        <v>44.8712929654087</v>
      </c>
      <c r="AB5379" s="0" t="n">
        <f aca="false">X5379+Z5379</f>
        <v>47.8104047685094</v>
      </c>
      <c r="AC5379" s="54" t="b">
        <f aca="false">AND(E5379&gt;=01_因子設定!$L$5-0.000000001,E5379&lt;=01_因子設定!$M$5+0.000000001,F5379&gt;=01_因子設定!$L$6-0.000000001,F5379&lt;=01_因子設定!$M$6+0.000000001,G5379&gt;=01_因子設定!$L$7-0.000000001,G5379&lt;=01_因子設定!$M$7+0.000000001,H5379&gt;=01_因子設定!$L$8-0.000000001,H5379&lt;=01_因子設定!$M$8+0.000000001,IF(01_因子設定!$B$20="Box-Behnken",E5379^2+F5379^2+G5379^2+H5379^2&lt;=2+0.000000001,TRUE()))</f>
        <v>1</v>
      </c>
      <c r="AD5379" s="55" t="n">
        <f aca="false">IF(AC5379,IF(01_因子設定!$B$13="最大化",AA5379-01_因子設定!$B$14,IF(01_因子設定!$B$13="最小化",01_因子設定!$B$15-AB5379,MIN(AA5379-01_因子設定!$B$14,01_因子設定!$B$15-AB5379))),-1E+030)</f>
        <v>-1.62870703459127</v>
      </c>
      <c r="AE5379" s="55" t="n">
        <f aca="false">IF(AC5379,IF(01_因子設定!$B$13="最大化",X5379,IF(01_因子設定!$B$13="最小化",-X5379,-ABS(X5379-01_因子設定!$B$16))),-1E+030)</f>
        <v>46.3408488669591</v>
      </c>
      <c r="AF5379" s="55" t="n">
        <f aca="false">AD5379+ROW()*0.000000001</f>
        <v>-1.62870165559127</v>
      </c>
      <c r="AG5379" s="55" t="n">
        <f aca="false">AE5379+ROW()*0.000000001</f>
        <v>46.3408542459591</v>
      </c>
    </row>
    <row r="5380" customFormat="false" ht="15" hidden="false" customHeight="false" outlineLevel="0" collapsed="false">
      <c r="A5380" s="0" t="n">
        <v>7</v>
      </c>
      <c r="B5380" s="0" t="n">
        <v>3</v>
      </c>
      <c r="C5380" s="0" t="n">
        <v>3</v>
      </c>
      <c r="D5380" s="0" t="n">
        <v>2</v>
      </c>
      <c r="E5380" s="0" t="n">
        <f aca="false">-1+A5380*0.25</f>
        <v>0.75</v>
      </c>
      <c r="F5380" s="0" t="n">
        <f aca="false">-1+B5380*0.25</f>
        <v>-0.25</v>
      </c>
      <c r="G5380" s="0" t="n">
        <f aca="false">-1+C5380*0.25</f>
        <v>-0.25</v>
      </c>
      <c r="H5380" s="0" t="n">
        <f aca="false">-1+D5380*0.25</f>
        <v>-0.5</v>
      </c>
      <c r="I5380" s="0" t="n">
        <f aca="false">1</f>
        <v>1</v>
      </c>
      <c r="J5380" s="0" t="n">
        <f aca="false">E5380</f>
        <v>0.75</v>
      </c>
      <c r="K5380" s="0" t="n">
        <f aca="false">F5380</f>
        <v>-0.25</v>
      </c>
      <c r="L5380" s="0" t="n">
        <f aca="false">G5380</f>
        <v>-0.25</v>
      </c>
      <c r="M5380" s="0" t="n">
        <f aca="false">H5380</f>
        <v>-0.5</v>
      </c>
      <c r="N5380" s="0" t="n">
        <f aca="false">E5380*F5380</f>
        <v>-0.1875</v>
      </c>
      <c r="O5380" s="0" t="n">
        <f aca="false">E5380*G5380</f>
        <v>-0.1875</v>
      </c>
      <c r="P5380" s="0" t="n">
        <f aca="false">E5380*H5380</f>
        <v>-0.375</v>
      </c>
      <c r="Q5380" s="0" t="n">
        <f aca="false">F5380*G5380</f>
        <v>0.0625</v>
      </c>
      <c r="R5380" s="0" t="n">
        <f aca="false">F5380*H5380</f>
        <v>0.125</v>
      </c>
      <c r="S5380" s="0" t="n">
        <f aca="false">G5380*H5380</f>
        <v>0.125</v>
      </c>
      <c r="T5380" s="0" t="n">
        <f aca="false">E5380*E5380</f>
        <v>0.5625</v>
      </c>
      <c r="U5380" s="0" t="n">
        <f aca="false">F5380*F5380</f>
        <v>0.0625</v>
      </c>
      <c r="V5380" s="0" t="n">
        <f aca="false">G5380*G5380</f>
        <v>0.0625</v>
      </c>
      <c r="W5380" s="0" t="n">
        <f aca="false">H5380*H5380</f>
        <v>0.25</v>
      </c>
      <c r="X5380" s="0" t="n">
        <f aca="false">SUMPRODUCT(I5380:W5380,_XtX!$B$96:$P$96)</f>
        <v>46.5805052997076</v>
      </c>
      <c r="Y5380" s="0" t="n">
        <f aca="false">SUMPRODUCT(MMULT(I5380:W5380,_XtX!$B$78:$P$92),I5380:W5380)</f>
        <v>0.207746539199561</v>
      </c>
      <c r="Z5380" s="0" t="n">
        <f aca="false">04_回帰ANOVA!$K$19*04_回帰ANOVA!$K$14*SQRT(1+Y5380)</f>
        <v>1.43247250081141</v>
      </c>
      <c r="AA5380" s="0" t="n">
        <f aca="false">X5380-Z5380</f>
        <v>45.1480327988962</v>
      </c>
      <c r="AB5380" s="0" t="n">
        <f aca="false">X5380+Z5380</f>
        <v>48.012977800519</v>
      </c>
      <c r="AC5380" s="54" t="b">
        <f aca="false">AND(E5380&gt;=01_因子設定!$L$5-0.000000001,E5380&lt;=01_因子設定!$M$5+0.000000001,F5380&gt;=01_因子設定!$L$6-0.000000001,F5380&lt;=01_因子設定!$M$6+0.000000001,G5380&gt;=01_因子設定!$L$7-0.000000001,G5380&lt;=01_因子設定!$M$7+0.000000001,H5380&gt;=01_因子設定!$L$8-0.000000001,H5380&lt;=01_因子設定!$M$8+0.000000001,IF(01_因子設定!$B$20="Box-Behnken",E5380^2+F5380^2+G5380^2+H5380^2&lt;=2+0.000000001,TRUE()))</f>
        <v>1</v>
      </c>
      <c r="AD5380" s="55" t="n">
        <f aca="false">IF(AC5380,IF(01_因子設定!$B$13="最大化",AA5380-01_因子設定!$B$14,IF(01_因子設定!$B$13="最小化",01_因子設定!$B$15-AB5380,MIN(AA5380-01_因子設定!$B$14,01_因子設定!$B$15-AB5380))),-1E+030)</f>
        <v>-1.35196720110381</v>
      </c>
      <c r="AE5380" s="55" t="n">
        <f aca="false">IF(AC5380,IF(01_因子設定!$B$13="最大化",X5380,IF(01_因子設定!$B$13="最小化",-X5380,-ABS(X5380-01_因子設定!$B$16))),-1E+030)</f>
        <v>46.5805052997076</v>
      </c>
      <c r="AF5380" s="55" t="n">
        <f aca="false">AD5380+ROW()*0.000000001</f>
        <v>-1.35196182110381</v>
      </c>
      <c r="AG5380" s="55" t="n">
        <f aca="false">AE5380+ROW()*0.000000001</f>
        <v>46.5805106797076</v>
      </c>
    </row>
    <row r="5381" customFormat="false" ht="15" hidden="false" customHeight="false" outlineLevel="0" collapsed="false">
      <c r="A5381" s="0" t="n">
        <v>7</v>
      </c>
      <c r="B5381" s="0" t="n">
        <v>3</v>
      </c>
      <c r="C5381" s="0" t="n">
        <v>3</v>
      </c>
      <c r="D5381" s="0" t="n">
        <v>3</v>
      </c>
      <c r="E5381" s="0" t="n">
        <f aca="false">-1+A5381*0.25</f>
        <v>0.75</v>
      </c>
      <c r="F5381" s="0" t="n">
        <f aca="false">-1+B5381*0.25</f>
        <v>-0.25</v>
      </c>
      <c r="G5381" s="0" t="n">
        <f aca="false">-1+C5381*0.25</f>
        <v>-0.25</v>
      </c>
      <c r="H5381" s="0" t="n">
        <f aca="false">-1+D5381*0.25</f>
        <v>-0.25</v>
      </c>
      <c r="I5381" s="0" t="n">
        <f aca="false">1</f>
        <v>1</v>
      </c>
      <c r="J5381" s="0" t="n">
        <f aca="false">E5381</f>
        <v>0.75</v>
      </c>
      <c r="K5381" s="0" t="n">
        <f aca="false">F5381</f>
        <v>-0.25</v>
      </c>
      <c r="L5381" s="0" t="n">
        <f aca="false">G5381</f>
        <v>-0.25</v>
      </c>
      <c r="M5381" s="0" t="n">
        <f aca="false">H5381</f>
        <v>-0.25</v>
      </c>
      <c r="N5381" s="0" t="n">
        <f aca="false">E5381*F5381</f>
        <v>-0.1875</v>
      </c>
      <c r="O5381" s="0" t="n">
        <f aca="false">E5381*G5381</f>
        <v>-0.1875</v>
      </c>
      <c r="P5381" s="0" t="n">
        <f aca="false">E5381*H5381</f>
        <v>-0.1875</v>
      </c>
      <c r="Q5381" s="0" t="n">
        <f aca="false">F5381*G5381</f>
        <v>0.0625</v>
      </c>
      <c r="R5381" s="0" t="n">
        <f aca="false">F5381*H5381</f>
        <v>0.0625</v>
      </c>
      <c r="S5381" s="0" t="n">
        <f aca="false">G5381*H5381</f>
        <v>0.0625</v>
      </c>
      <c r="T5381" s="0" t="n">
        <f aca="false">E5381*E5381</f>
        <v>0.5625</v>
      </c>
      <c r="U5381" s="0" t="n">
        <f aca="false">F5381*F5381</f>
        <v>0.0625</v>
      </c>
      <c r="V5381" s="0" t="n">
        <f aca="false">G5381*G5381</f>
        <v>0.0625</v>
      </c>
      <c r="W5381" s="0" t="n">
        <f aca="false">H5381*H5381</f>
        <v>0.0625</v>
      </c>
      <c r="X5381" s="0" t="n">
        <f aca="false">SUMPRODUCT(I5381:W5381,_XtX!$B$96:$P$96)</f>
        <v>46.7723547149123</v>
      </c>
      <c r="Y5381" s="0" t="n">
        <f aca="false">SUMPRODUCT(MMULT(I5381:W5381,_XtX!$B$78:$P$92),I5381:W5381)</f>
        <v>0.205926192434211</v>
      </c>
      <c r="Z5381" s="0" t="n">
        <f aca="false">04_回帰ANOVA!$K$19*04_回帰ANOVA!$K$14*SQRT(1+Y5381)</f>
        <v>1.43139256396246</v>
      </c>
      <c r="AA5381" s="0" t="n">
        <f aca="false">X5381-Z5381</f>
        <v>45.3409621509498</v>
      </c>
      <c r="AB5381" s="0" t="n">
        <f aca="false">X5381+Z5381</f>
        <v>48.2037472788747</v>
      </c>
      <c r="AC5381" s="54" t="b">
        <f aca="false">AND(E5381&gt;=01_因子設定!$L$5-0.000000001,E5381&lt;=01_因子設定!$M$5+0.000000001,F5381&gt;=01_因子設定!$L$6-0.000000001,F5381&lt;=01_因子設定!$M$6+0.000000001,G5381&gt;=01_因子設定!$L$7-0.000000001,G5381&lt;=01_因子設定!$M$7+0.000000001,H5381&gt;=01_因子設定!$L$8-0.000000001,H5381&lt;=01_因子設定!$M$8+0.000000001,IF(01_因子設定!$B$20="Box-Behnken",E5381^2+F5381^2+G5381^2+H5381^2&lt;=2+0.000000001,TRUE()))</f>
        <v>1</v>
      </c>
      <c r="AD5381" s="55" t="n">
        <f aca="false">IF(AC5381,IF(01_因子設定!$B$13="最大化",AA5381-01_因子設定!$B$14,IF(01_因子設定!$B$13="最小化",01_因子設定!$B$15-AB5381,MIN(AA5381-01_因子設定!$B$14,01_因子設定!$B$15-AB5381))),-1E+030)</f>
        <v>-1.15903784905019</v>
      </c>
      <c r="AE5381" s="55" t="n">
        <f aca="false">IF(AC5381,IF(01_因子設定!$B$13="最大化",X5381,IF(01_因子設定!$B$13="最小化",-X5381,-ABS(X5381-01_因子設定!$B$16))),-1E+030)</f>
        <v>46.7723547149123</v>
      </c>
      <c r="AF5381" s="55" t="n">
        <f aca="false">AD5381+ROW()*0.000000001</f>
        <v>-1.15903246805019</v>
      </c>
      <c r="AG5381" s="55" t="n">
        <f aca="false">AE5381+ROW()*0.000000001</f>
        <v>46.7723600959123</v>
      </c>
    </row>
    <row r="5382" customFormat="false" ht="15" hidden="false" customHeight="false" outlineLevel="0" collapsed="false">
      <c r="A5382" s="0" t="n">
        <v>7</v>
      </c>
      <c r="B5382" s="0" t="n">
        <v>3</v>
      </c>
      <c r="C5382" s="0" t="n">
        <v>3</v>
      </c>
      <c r="D5382" s="0" t="n">
        <v>4</v>
      </c>
      <c r="E5382" s="0" t="n">
        <f aca="false">-1+A5382*0.25</f>
        <v>0.75</v>
      </c>
      <c r="F5382" s="0" t="n">
        <f aca="false">-1+B5382*0.25</f>
        <v>-0.25</v>
      </c>
      <c r="G5382" s="0" t="n">
        <f aca="false">-1+C5382*0.25</f>
        <v>-0.25</v>
      </c>
      <c r="H5382" s="0" t="n">
        <f aca="false">-1+D5382*0.25</f>
        <v>0</v>
      </c>
      <c r="I5382" s="0" t="n">
        <f aca="false">1</f>
        <v>1</v>
      </c>
      <c r="J5382" s="0" t="n">
        <f aca="false">E5382</f>
        <v>0.75</v>
      </c>
      <c r="K5382" s="0" t="n">
        <f aca="false">F5382</f>
        <v>-0.25</v>
      </c>
      <c r="L5382" s="0" t="n">
        <f aca="false">G5382</f>
        <v>-0.25</v>
      </c>
      <c r="M5382" s="0" t="n">
        <f aca="false">H5382</f>
        <v>0</v>
      </c>
      <c r="N5382" s="0" t="n">
        <f aca="false">E5382*F5382</f>
        <v>-0.1875</v>
      </c>
      <c r="O5382" s="0" t="n">
        <f aca="false">E5382*G5382</f>
        <v>-0.1875</v>
      </c>
      <c r="P5382" s="0" t="n">
        <f aca="false">E5382*H5382</f>
        <v>0</v>
      </c>
      <c r="Q5382" s="0" t="n">
        <f aca="false">F5382*G5382</f>
        <v>0.0625</v>
      </c>
      <c r="R5382" s="0" t="n">
        <f aca="false">F5382*H5382</f>
        <v>-0</v>
      </c>
      <c r="S5382" s="0" t="n">
        <f aca="false">G5382*H5382</f>
        <v>-0</v>
      </c>
      <c r="T5382" s="0" t="n">
        <f aca="false">E5382*E5382</f>
        <v>0.5625</v>
      </c>
      <c r="U5382" s="0" t="n">
        <f aca="false">F5382*F5382</f>
        <v>0.0625</v>
      </c>
      <c r="V5382" s="0" t="n">
        <f aca="false">G5382*G5382</f>
        <v>0.0625</v>
      </c>
      <c r="W5382" s="0" t="n">
        <f aca="false">H5382*H5382</f>
        <v>0</v>
      </c>
      <c r="X5382" s="0" t="n">
        <f aca="false">SUMPRODUCT(I5382:W5382,_XtX!$B$96:$P$96)</f>
        <v>46.9163971125731</v>
      </c>
      <c r="Y5382" s="0" t="n">
        <f aca="false">SUMPRODUCT(MMULT(I5382:W5382,_XtX!$B$78:$P$92),I5382:W5382)</f>
        <v>0.21135011193348</v>
      </c>
      <c r="Z5382" s="0" t="n">
        <f aca="false">04_回帰ANOVA!$K$19*04_回帰ANOVA!$K$14*SQRT(1+Y5382)</f>
        <v>1.43460795469709</v>
      </c>
      <c r="AA5382" s="0" t="n">
        <f aca="false">X5382-Z5382</f>
        <v>45.481789157876</v>
      </c>
      <c r="AB5382" s="0" t="n">
        <f aca="false">X5382+Z5382</f>
        <v>48.3510050672702</v>
      </c>
      <c r="AC5382" s="54" t="b">
        <f aca="false">AND(E5382&gt;=01_因子設定!$L$5-0.000000001,E5382&lt;=01_因子設定!$M$5+0.000000001,F5382&gt;=01_因子設定!$L$6-0.000000001,F5382&lt;=01_因子設定!$M$6+0.000000001,G5382&gt;=01_因子設定!$L$7-0.000000001,G5382&lt;=01_因子設定!$M$7+0.000000001,H5382&gt;=01_因子設定!$L$8-0.000000001,H5382&lt;=01_因子設定!$M$8+0.000000001,IF(01_因子設定!$B$20="Box-Behnken",E5382^2+F5382^2+G5382^2+H5382^2&lt;=2+0.000000001,TRUE()))</f>
        <v>1</v>
      </c>
      <c r="AD5382" s="55" t="n">
        <f aca="false">IF(AC5382,IF(01_因子設定!$B$13="最大化",AA5382-01_因子設定!$B$14,IF(01_因子設定!$B$13="最小化",01_因子設定!$B$15-AB5382,MIN(AA5382-01_因子設定!$B$14,01_因子設定!$B$15-AB5382))),-1E+030)</f>
        <v>-1.018210842124</v>
      </c>
      <c r="AE5382" s="55" t="n">
        <f aca="false">IF(AC5382,IF(01_因子設定!$B$13="最大化",X5382,IF(01_因子設定!$B$13="最小化",-X5382,-ABS(X5382-01_因子設定!$B$16))),-1E+030)</f>
        <v>46.9163971125731</v>
      </c>
      <c r="AF5382" s="55" t="n">
        <f aca="false">AD5382+ROW()*0.000000001</f>
        <v>-1.018205460124</v>
      </c>
      <c r="AG5382" s="55" t="n">
        <f aca="false">AE5382+ROW()*0.000000001</f>
        <v>46.9164024945731</v>
      </c>
    </row>
    <row r="5383" customFormat="false" ht="15" hidden="false" customHeight="false" outlineLevel="0" collapsed="false">
      <c r="A5383" s="0" t="n">
        <v>7</v>
      </c>
      <c r="B5383" s="0" t="n">
        <v>3</v>
      </c>
      <c r="C5383" s="0" t="n">
        <v>3</v>
      </c>
      <c r="D5383" s="0" t="n">
        <v>5</v>
      </c>
      <c r="E5383" s="0" t="n">
        <f aca="false">-1+A5383*0.25</f>
        <v>0.75</v>
      </c>
      <c r="F5383" s="0" t="n">
        <f aca="false">-1+B5383*0.25</f>
        <v>-0.25</v>
      </c>
      <c r="G5383" s="0" t="n">
        <f aca="false">-1+C5383*0.25</f>
        <v>-0.25</v>
      </c>
      <c r="H5383" s="0" t="n">
        <f aca="false">-1+D5383*0.25</f>
        <v>0.25</v>
      </c>
      <c r="I5383" s="0" t="n">
        <f aca="false">1</f>
        <v>1</v>
      </c>
      <c r="J5383" s="0" t="n">
        <f aca="false">E5383</f>
        <v>0.75</v>
      </c>
      <c r="K5383" s="0" t="n">
        <f aca="false">F5383</f>
        <v>-0.25</v>
      </c>
      <c r="L5383" s="0" t="n">
        <f aca="false">G5383</f>
        <v>-0.25</v>
      </c>
      <c r="M5383" s="0" t="n">
        <f aca="false">H5383</f>
        <v>0.25</v>
      </c>
      <c r="N5383" s="0" t="n">
        <f aca="false">E5383*F5383</f>
        <v>-0.1875</v>
      </c>
      <c r="O5383" s="0" t="n">
        <f aca="false">E5383*G5383</f>
        <v>-0.1875</v>
      </c>
      <c r="P5383" s="0" t="n">
        <f aca="false">E5383*H5383</f>
        <v>0.1875</v>
      </c>
      <c r="Q5383" s="0" t="n">
        <f aca="false">F5383*G5383</f>
        <v>0.0625</v>
      </c>
      <c r="R5383" s="0" t="n">
        <f aca="false">F5383*H5383</f>
        <v>-0.0625</v>
      </c>
      <c r="S5383" s="0" t="n">
        <f aca="false">G5383*H5383</f>
        <v>-0.0625</v>
      </c>
      <c r="T5383" s="0" t="n">
        <f aca="false">E5383*E5383</f>
        <v>0.5625</v>
      </c>
      <c r="U5383" s="0" t="n">
        <f aca="false">F5383*F5383</f>
        <v>0.0625</v>
      </c>
      <c r="V5383" s="0" t="n">
        <f aca="false">G5383*G5383</f>
        <v>0.0625</v>
      </c>
      <c r="W5383" s="0" t="n">
        <f aca="false">H5383*H5383</f>
        <v>0.0625</v>
      </c>
      <c r="X5383" s="0" t="n">
        <f aca="false">SUMPRODUCT(I5383:W5383,_XtX!$B$96:$P$96)</f>
        <v>47.01263249269</v>
      </c>
      <c r="Y5383" s="0" t="n">
        <f aca="false">SUMPRODUCT(MMULT(I5383:W5383,_XtX!$B$78:$P$92),I5383:W5383)</f>
        <v>0.205926192434211</v>
      </c>
      <c r="Z5383" s="0" t="n">
        <f aca="false">04_回帰ANOVA!$K$19*04_回帰ANOVA!$K$14*SQRT(1+Y5383)</f>
        <v>1.43139256396246</v>
      </c>
      <c r="AA5383" s="0" t="n">
        <f aca="false">X5383-Z5383</f>
        <v>45.5812399287276</v>
      </c>
      <c r="AB5383" s="0" t="n">
        <f aca="false">X5383+Z5383</f>
        <v>48.4440250566525</v>
      </c>
      <c r="AC5383" s="54" t="b">
        <f aca="false">AND(E5383&gt;=01_因子設定!$L$5-0.000000001,E5383&lt;=01_因子設定!$M$5+0.000000001,F5383&gt;=01_因子設定!$L$6-0.000000001,F5383&lt;=01_因子設定!$M$6+0.000000001,G5383&gt;=01_因子設定!$L$7-0.000000001,G5383&lt;=01_因子設定!$M$7+0.000000001,H5383&gt;=01_因子設定!$L$8-0.000000001,H5383&lt;=01_因子設定!$M$8+0.000000001,IF(01_因子設定!$B$20="Box-Behnken",E5383^2+F5383^2+G5383^2+H5383^2&lt;=2+0.000000001,TRUE()))</f>
        <v>1</v>
      </c>
      <c r="AD5383" s="55" t="n">
        <f aca="false">IF(AC5383,IF(01_因子設定!$B$13="最大化",AA5383-01_因子設定!$B$14,IF(01_因子設定!$B$13="最小化",01_因子設定!$B$15-AB5383,MIN(AA5383-01_因子設定!$B$14,01_因子設定!$B$15-AB5383))),-1E+030)</f>
        <v>-0.918760071272416</v>
      </c>
      <c r="AE5383" s="55" t="n">
        <f aca="false">IF(AC5383,IF(01_因子設定!$B$13="最大化",X5383,IF(01_因子設定!$B$13="最小化",-X5383,-ABS(X5383-01_因子設定!$B$16))),-1E+030)</f>
        <v>47.01263249269</v>
      </c>
      <c r="AF5383" s="55" t="n">
        <f aca="false">AD5383+ROW()*0.000000001</f>
        <v>-0.918754688272416</v>
      </c>
      <c r="AG5383" s="55" t="n">
        <f aca="false">AE5383+ROW()*0.000000001</f>
        <v>47.0126378756901</v>
      </c>
    </row>
    <row r="5384" customFormat="false" ht="15" hidden="false" customHeight="false" outlineLevel="0" collapsed="false">
      <c r="A5384" s="0" t="n">
        <v>7</v>
      </c>
      <c r="B5384" s="0" t="n">
        <v>3</v>
      </c>
      <c r="C5384" s="0" t="n">
        <v>3</v>
      </c>
      <c r="D5384" s="0" t="n">
        <v>6</v>
      </c>
      <c r="E5384" s="0" t="n">
        <f aca="false">-1+A5384*0.25</f>
        <v>0.75</v>
      </c>
      <c r="F5384" s="0" t="n">
        <f aca="false">-1+B5384*0.25</f>
        <v>-0.25</v>
      </c>
      <c r="G5384" s="0" t="n">
        <f aca="false">-1+C5384*0.25</f>
        <v>-0.25</v>
      </c>
      <c r="H5384" s="0" t="n">
        <f aca="false">-1+D5384*0.25</f>
        <v>0.5</v>
      </c>
      <c r="I5384" s="0" t="n">
        <f aca="false">1</f>
        <v>1</v>
      </c>
      <c r="J5384" s="0" t="n">
        <f aca="false">E5384</f>
        <v>0.75</v>
      </c>
      <c r="K5384" s="0" t="n">
        <f aca="false">F5384</f>
        <v>-0.25</v>
      </c>
      <c r="L5384" s="0" t="n">
        <f aca="false">G5384</f>
        <v>-0.25</v>
      </c>
      <c r="M5384" s="0" t="n">
        <f aca="false">H5384</f>
        <v>0.5</v>
      </c>
      <c r="N5384" s="0" t="n">
        <f aca="false">E5384*F5384</f>
        <v>-0.1875</v>
      </c>
      <c r="O5384" s="0" t="n">
        <f aca="false">E5384*G5384</f>
        <v>-0.1875</v>
      </c>
      <c r="P5384" s="0" t="n">
        <f aca="false">E5384*H5384</f>
        <v>0.375</v>
      </c>
      <c r="Q5384" s="0" t="n">
        <f aca="false">F5384*G5384</f>
        <v>0.0625</v>
      </c>
      <c r="R5384" s="0" t="n">
        <f aca="false">F5384*H5384</f>
        <v>-0.125</v>
      </c>
      <c r="S5384" s="0" t="n">
        <f aca="false">G5384*H5384</f>
        <v>-0.125</v>
      </c>
      <c r="T5384" s="0" t="n">
        <f aca="false">E5384*E5384</f>
        <v>0.5625</v>
      </c>
      <c r="U5384" s="0" t="n">
        <f aca="false">F5384*F5384</f>
        <v>0.0625</v>
      </c>
      <c r="V5384" s="0" t="n">
        <f aca="false">G5384*G5384</f>
        <v>0.0625</v>
      </c>
      <c r="W5384" s="0" t="n">
        <f aca="false">H5384*H5384</f>
        <v>0.25</v>
      </c>
      <c r="X5384" s="0" t="n">
        <f aca="false">SUMPRODUCT(I5384:W5384,_XtX!$B$96:$P$96)</f>
        <v>47.0610608552632</v>
      </c>
      <c r="Y5384" s="0" t="n">
        <f aca="false">SUMPRODUCT(MMULT(I5384:W5384,_XtX!$B$78:$P$92),I5384:W5384)</f>
        <v>0.207746539199561</v>
      </c>
      <c r="Z5384" s="0" t="n">
        <f aca="false">04_回帰ANOVA!$K$19*04_回帰ANOVA!$K$14*SQRT(1+Y5384)</f>
        <v>1.43247250081141</v>
      </c>
      <c r="AA5384" s="0" t="n">
        <f aca="false">X5384-Z5384</f>
        <v>45.6285883544517</v>
      </c>
      <c r="AB5384" s="0" t="n">
        <f aca="false">X5384+Z5384</f>
        <v>48.4935333560746</v>
      </c>
      <c r="AC5384" s="54" t="b">
        <f aca="false">AND(E5384&gt;=01_因子設定!$L$5-0.000000001,E5384&lt;=01_因子設定!$M$5+0.000000001,F5384&gt;=01_因子設定!$L$6-0.000000001,F5384&lt;=01_因子設定!$M$6+0.000000001,G5384&gt;=01_因子設定!$L$7-0.000000001,G5384&lt;=01_因子設定!$M$7+0.000000001,H5384&gt;=01_因子設定!$L$8-0.000000001,H5384&lt;=01_因子設定!$M$8+0.000000001,IF(01_因子設定!$B$20="Box-Behnken",E5384^2+F5384^2+G5384^2+H5384^2&lt;=2+0.000000001,TRUE()))</f>
        <v>1</v>
      </c>
      <c r="AD5384" s="55" t="n">
        <f aca="false">IF(AC5384,IF(01_因子設定!$B$13="最大化",AA5384-01_因子設定!$B$14,IF(01_因子設定!$B$13="最小化",01_因子設定!$B$15-AB5384,MIN(AA5384-01_因子設定!$B$14,01_因子設定!$B$15-AB5384))),-1E+030)</f>
        <v>-0.871411645548257</v>
      </c>
      <c r="AE5384" s="55" t="n">
        <f aca="false">IF(AC5384,IF(01_因子設定!$B$13="最大化",X5384,IF(01_因子設定!$B$13="最小化",-X5384,-ABS(X5384-01_因子設定!$B$16))),-1E+030)</f>
        <v>47.0610608552632</v>
      </c>
      <c r="AF5384" s="55" t="n">
        <f aca="false">AD5384+ROW()*0.000000001</f>
        <v>-0.871406261548257</v>
      </c>
      <c r="AG5384" s="55" t="n">
        <f aca="false">AE5384+ROW()*0.000000001</f>
        <v>47.0610662392632</v>
      </c>
    </row>
    <row r="5385" customFormat="false" ht="15" hidden="false" customHeight="false" outlineLevel="0" collapsed="false">
      <c r="A5385" s="0" t="n">
        <v>7</v>
      </c>
      <c r="B5385" s="0" t="n">
        <v>3</v>
      </c>
      <c r="C5385" s="0" t="n">
        <v>3</v>
      </c>
      <c r="D5385" s="0" t="n">
        <v>7</v>
      </c>
      <c r="E5385" s="0" t="n">
        <f aca="false">-1+A5385*0.25</f>
        <v>0.75</v>
      </c>
      <c r="F5385" s="0" t="n">
        <f aca="false">-1+B5385*0.25</f>
        <v>-0.25</v>
      </c>
      <c r="G5385" s="0" t="n">
        <f aca="false">-1+C5385*0.25</f>
        <v>-0.25</v>
      </c>
      <c r="H5385" s="0" t="n">
        <f aca="false">-1+D5385*0.25</f>
        <v>0.75</v>
      </c>
      <c r="I5385" s="0" t="n">
        <f aca="false">1</f>
        <v>1</v>
      </c>
      <c r="J5385" s="0" t="n">
        <f aca="false">E5385</f>
        <v>0.75</v>
      </c>
      <c r="K5385" s="0" t="n">
        <f aca="false">F5385</f>
        <v>-0.25</v>
      </c>
      <c r="L5385" s="0" t="n">
        <f aca="false">G5385</f>
        <v>-0.25</v>
      </c>
      <c r="M5385" s="0" t="n">
        <f aca="false">H5385</f>
        <v>0.75</v>
      </c>
      <c r="N5385" s="0" t="n">
        <f aca="false">E5385*F5385</f>
        <v>-0.1875</v>
      </c>
      <c r="O5385" s="0" t="n">
        <f aca="false">E5385*G5385</f>
        <v>-0.1875</v>
      </c>
      <c r="P5385" s="0" t="n">
        <f aca="false">E5385*H5385</f>
        <v>0.5625</v>
      </c>
      <c r="Q5385" s="0" t="n">
        <f aca="false">F5385*G5385</f>
        <v>0.0625</v>
      </c>
      <c r="R5385" s="0" t="n">
        <f aca="false">F5385*H5385</f>
        <v>-0.1875</v>
      </c>
      <c r="S5385" s="0" t="n">
        <f aca="false">G5385*H5385</f>
        <v>-0.1875</v>
      </c>
      <c r="T5385" s="0" t="n">
        <f aca="false">E5385*E5385</f>
        <v>0.5625</v>
      </c>
      <c r="U5385" s="0" t="n">
        <f aca="false">F5385*F5385</f>
        <v>0.0625</v>
      </c>
      <c r="V5385" s="0" t="n">
        <f aca="false">G5385*G5385</f>
        <v>0.0625</v>
      </c>
      <c r="W5385" s="0" t="n">
        <f aca="false">H5385*H5385</f>
        <v>0.5625</v>
      </c>
      <c r="X5385" s="0" t="n">
        <f aca="false">SUMPRODUCT(I5385:W5385,_XtX!$B$96:$P$96)</f>
        <v>47.0616822002924</v>
      </c>
      <c r="Y5385" s="0" t="n">
        <f aca="false">SUMPRODUCT(MMULT(I5385:W5385,_XtX!$B$78:$P$92),I5385:W5385)</f>
        <v>0.271087468019006</v>
      </c>
      <c r="Z5385" s="0" t="n">
        <f aca="false">04_回帰ANOVA!$K$19*04_回帰ANOVA!$K$14*SQRT(1+Y5385)</f>
        <v>1.46955590155034</v>
      </c>
      <c r="AA5385" s="0" t="n">
        <f aca="false">X5385-Z5385</f>
        <v>45.5921262987421</v>
      </c>
      <c r="AB5385" s="0" t="n">
        <f aca="false">X5385+Z5385</f>
        <v>48.5312381018427</v>
      </c>
      <c r="AC5385" s="54" t="b">
        <f aca="false">AND(E5385&gt;=01_因子設定!$L$5-0.000000001,E5385&lt;=01_因子設定!$M$5+0.000000001,F5385&gt;=01_因子設定!$L$6-0.000000001,F5385&lt;=01_因子設定!$M$6+0.000000001,G5385&gt;=01_因子設定!$L$7-0.000000001,G5385&lt;=01_因子設定!$M$7+0.000000001,H5385&gt;=01_因子設定!$L$8-0.000000001,H5385&lt;=01_因子設定!$M$8+0.000000001,IF(01_因子設定!$B$20="Box-Behnken",E5385^2+F5385^2+G5385^2+H5385^2&lt;=2+0.000000001,TRUE()))</f>
        <v>1</v>
      </c>
      <c r="AD5385" s="55" t="n">
        <f aca="false">IF(AC5385,IF(01_因子設定!$B$13="最大化",AA5385-01_因子設定!$B$14,IF(01_因子設定!$B$13="最小化",01_因子設定!$B$15-AB5385,MIN(AA5385-01_因子設定!$B$14,01_因子設定!$B$15-AB5385))),-1E+030)</f>
        <v>-0.907873701257941</v>
      </c>
      <c r="AE5385" s="55" t="n">
        <f aca="false">IF(AC5385,IF(01_因子設定!$B$13="最大化",X5385,IF(01_因子設定!$B$13="最小化",-X5385,-ABS(X5385-01_因子設定!$B$16))),-1E+030)</f>
        <v>47.0616822002924</v>
      </c>
      <c r="AF5385" s="55" t="n">
        <f aca="false">AD5385+ROW()*0.000000001</f>
        <v>-0.907868316257941</v>
      </c>
      <c r="AG5385" s="55" t="n">
        <f aca="false">AE5385+ROW()*0.000000001</f>
        <v>47.0616875852924</v>
      </c>
    </row>
    <row r="5386" customFormat="false" ht="15" hidden="false" customHeight="false" outlineLevel="0" collapsed="false">
      <c r="A5386" s="0" t="n">
        <v>7</v>
      </c>
      <c r="B5386" s="0" t="n">
        <v>3</v>
      </c>
      <c r="C5386" s="0" t="n">
        <v>3</v>
      </c>
      <c r="D5386" s="0" t="n">
        <v>8</v>
      </c>
      <c r="E5386" s="0" t="n">
        <f aca="false">-1+A5386*0.25</f>
        <v>0.75</v>
      </c>
      <c r="F5386" s="0" t="n">
        <f aca="false">-1+B5386*0.25</f>
        <v>-0.25</v>
      </c>
      <c r="G5386" s="0" t="n">
        <f aca="false">-1+C5386*0.25</f>
        <v>-0.25</v>
      </c>
      <c r="H5386" s="0" t="n">
        <f aca="false">-1+D5386*0.25</f>
        <v>1</v>
      </c>
      <c r="I5386" s="0" t="n">
        <f aca="false">1</f>
        <v>1</v>
      </c>
      <c r="J5386" s="0" t="n">
        <f aca="false">E5386</f>
        <v>0.75</v>
      </c>
      <c r="K5386" s="0" t="n">
        <f aca="false">F5386</f>
        <v>-0.25</v>
      </c>
      <c r="L5386" s="0" t="n">
        <f aca="false">G5386</f>
        <v>-0.25</v>
      </c>
      <c r="M5386" s="0" t="n">
        <f aca="false">H5386</f>
        <v>1</v>
      </c>
      <c r="N5386" s="0" t="n">
        <f aca="false">E5386*F5386</f>
        <v>-0.1875</v>
      </c>
      <c r="O5386" s="0" t="n">
        <f aca="false">E5386*G5386</f>
        <v>-0.1875</v>
      </c>
      <c r="P5386" s="0" t="n">
        <f aca="false">E5386*H5386</f>
        <v>0.75</v>
      </c>
      <c r="Q5386" s="0" t="n">
        <f aca="false">F5386*G5386</f>
        <v>0.0625</v>
      </c>
      <c r="R5386" s="0" t="n">
        <f aca="false">F5386*H5386</f>
        <v>-0.25</v>
      </c>
      <c r="S5386" s="0" t="n">
        <f aca="false">G5386*H5386</f>
        <v>-0.25</v>
      </c>
      <c r="T5386" s="0" t="n">
        <f aca="false">E5386*E5386</f>
        <v>0.5625</v>
      </c>
      <c r="U5386" s="0" t="n">
        <f aca="false">F5386*F5386</f>
        <v>0.0625</v>
      </c>
      <c r="V5386" s="0" t="n">
        <f aca="false">G5386*G5386</f>
        <v>0.0625</v>
      </c>
      <c r="W5386" s="0" t="n">
        <f aca="false">H5386*H5386</f>
        <v>1</v>
      </c>
      <c r="X5386" s="0" t="n">
        <f aca="false">SUMPRODUCT(I5386:W5386,_XtX!$B$96:$P$96)</f>
        <v>47.0144965277778</v>
      </c>
      <c r="Y5386" s="0" t="n">
        <f aca="false">SUMPRODUCT(MMULT(I5386:W5386,_XtX!$B$78:$P$92),I5386:W5386)</f>
        <v>0.486409505208334</v>
      </c>
      <c r="Z5386" s="0" t="n">
        <f aca="false">04_回帰ANOVA!$K$19*04_回帰ANOVA!$K$14*SQRT(1+Y5386)</f>
        <v>1.58916001665498</v>
      </c>
      <c r="AA5386" s="0" t="n">
        <f aca="false">X5386-Z5386</f>
        <v>45.4253365111228</v>
      </c>
      <c r="AB5386" s="0" t="n">
        <f aca="false">X5386+Z5386</f>
        <v>48.6036565444328</v>
      </c>
      <c r="AC5386" s="54" t="b">
        <f aca="false">AND(E5386&gt;=01_因子設定!$L$5-0.000000001,E5386&lt;=01_因子設定!$M$5+0.000000001,F5386&gt;=01_因子設定!$L$6-0.000000001,F5386&lt;=01_因子設定!$M$6+0.000000001,G5386&gt;=01_因子設定!$L$7-0.000000001,G5386&lt;=01_因子設定!$M$7+0.000000001,H5386&gt;=01_因子設定!$L$8-0.000000001,H5386&lt;=01_因子設定!$M$8+0.000000001,IF(01_因子設定!$B$20="Box-Behnken",E5386^2+F5386^2+G5386^2+H5386^2&lt;=2+0.000000001,TRUE()))</f>
        <v>1</v>
      </c>
      <c r="AD5386" s="55" t="n">
        <f aca="false">IF(AC5386,IF(01_因子設定!$B$13="最大化",AA5386-01_因子設定!$B$14,IF(01_因子設定!$B$13="最小化",01_因子設定!$B$15-AB5386,MIN(AA5386-01_因子設定!$B$14,01_因子設定!$B$15-AB5386))),-1E+030)</f>
        <v>-1.07466348887718</v>
      </c>
      <c r="AE5386" s="55" t="n">
        <f aca="false">IF(AC5386,IF(01_因子設定!$B$13="最大化",X5386,IF(01_因子設定!$B$13="最小化",-X5386,-ABS(X5386-01_因子設定!$B$16))),-1E+030)</f>
        <v>47.0144965277778</v>
      </c>
      <c r="AF5386" s="55" t="n">
        <f aca="false">AD5386+ROW()*0.000000001</f>
        <v>-1.07465810287718</v>
      </c>
      <c r="AG5386" s="55" t="n">
        <f aca="false">AE5386+ROW()*0.000000001</f>
        <v>47.0145019137778</v>
      </c>
    </row>
    <row r="5387" customFormat="false" ht="15" hidden="false" customHeight="false" outlineLevel="0" collapsed="false">
      <c r="A5387" s="0" t="n">
        <v>7</v>
      </c>
      <c r="B5387" s="0" t="n">
        <v>3</v>
      </c>
      <c r="C5387" s="0" t="n">
        <v>4</v>
      </c>
      <c r="D5387" s="0" t="n">
        <v>0</v>
      </c>
      <c r="E5387" s="0" t="n">
        <f aca="false">-1+A5387*0.25</f>
        <v>0.75</v>
      </c>
      <c r="F5387" s="0" t="n">
        <f aca="false">-1+B5387*0.25</f>
        <v>-0.25</v>
      </c>
      <c r="G5387" s="0" t="n">
        <f aca="false">-1+C5387*0.25</f>
        <v>0</v>
      </c>
      <c r="H5387" s="0" t="n">
        <f aca="false">-1+D5387*0.25</f>
        <v>-1</v>
      </c>
      <c r="I5387" s="0" t="n">
        <f aca="false">1</f>
        <v>1</v>
      </c>
      <c r="J5387" s="0" t="n">
        <f aca="false">E5387</f>
        <v>0.75</v>
      </c>
      <c r="K5387" s="0" t="n">
        <f aca="false">F5387</f>
        <v>-0.25</v>
      </c>
      <c r="L5387" s="0" t="n">
        <f aca="false">G5387</f>
        <v>0</v>
      </c>
      <c r="M5387" s="0" t="n">
        <f aca="false">H5387</f>
        <v>-1</v>
      </c>
      <c r="N5387" s="0" t="n">
        <f aca="false">E5387*F5387</f>
        <v>-0.1875</v>
      </c>
      <c r="O5387" s="0" t="n">
        <f aca="false">E5387*G5387</f>
        <v>0</v>
      </c>
      <c r="P5387" s="0" t="n">
        <f aca="false">E5387*H5387</f>
        <v>-0.75</v>
      </c>
      <c r="Q5387" s="0" t="n">
        <f aca="false">F5387*G5387</f>
        <v>-0</v>
      </c>
      <c r="R5387" s="0" t="n">
        <f aca="false">F5387*H5387</f>
        <v>0.25</v>
      </c>
      <c r="S5387" s="0" t="n">
        <f aca="false">G5387*H5387</f>
        <v>-0</v>
      </c>
      <c r="T5387" s="0" t="n">
        <f aca="false">E5387*E5387</f>
        <v>0.5625</v>
      </c>
      <c r="U5387" s="0" t="n">
        <f aca="false">F5387*F5387</f>
        <v>0.0625</v>
      </c>
      <c r="V5387" s="0" t="n">
        <f aca="false">G5387*G5387</f>
        <v>0</v>
      </c>
      <c r="W5387" s="0" t="n">
        <f aca="false">H5387*H5387</f>
        <v>1</v>
      </c>
      <c r="X5387" s="0" t="n">
        <f aca="false">SUMPRODUCT(I5387:W5387,_XtX!$B$96:$P$96)</f>
        <v>46.128591008772</v>
      </c>
      <c r="Y5387" s="0" t="n">
        <f aca="false">SUMPRODUCT(MMULT(I5387:W5387,_XtX!$B$78:$P$92),I5387:W5387)</f>
        <v>0.501534802174708</v>
      </c>
      <c r="Z5387" s="0" t="n">
        <f aca="false">04_回帰ANOVA!$K$19*04_回帰ANOVA!$K$14*SQRT(1+Y5387)</f>
        <v>1.59722498091333</v>
      </c>
      <c r="AA5387" s="0" t="n">
        <f aca="false">X5387-Z5387</f>
        <v>44.5313660278586</v>
      </c>
      <c r="AB5387" s="0" t="n">
        <f aca="false">X5387+Z5387</f>
        <v>47.7258159896853</v>
      </c>
      <c r="AC5387" s="54" t="b">
        <f aca="false">AND(E5387&gt;=01_因子設定!$L$5-0.000000001,E5387&lt;=01_因子設定!$M$5+0.000000001,F5387&gt;=01_因子設定!$L$6-0.000000001,F5387&lt;=01_因子設定!$M$6+0.000000001,G5387&gt;=01_因子設定!$L$7-0.000000001,G5387&lt;=01_因子設定!$M$7+0.000000001,H5387&gt;=01_因子設定!$L$8-0.000000001,H5387&lt;=01_因子設定!$M$8+0.000000001,IF(01_因子設定!$B$20="Box-Behnken",E5387^2+F5387^2+G5387^2+H5387^2&lt;=2+0.000000001,TRUE()))</f>
        <v>1</v>
      </c>
      <c r="AD5387" s="55" t="n">
        <f aca="false">IF(AC5387,IF(01_因子設定!$B$13="最大化",AA5387-01_因子設定!$B$14,IF(01_因子設定!$B$13="最小化",01_因子設定!$B$15-AB5387,MIN(AA5387-01_因子設定!$B$14,01_因子設定!$B$15-AB5387))),-1E+030)</f>
        <v>-1.96863397214138</v>
      </c>
      <c r="AE5387" s="55" t="n">
        <f aca="false">IF(AC5387,IF(01_因子設定!$B$13="最大化",X5387,IF(01_因子設定!$B$13="最小化",-X5387,-ABS(X5387-01_因子設定!$B$16))),-1E+030)</f>
        <v>46.128591008772</v>
      </c>
      <c r="AF5387" s="55" t="n">
        <f aca="false">AD5387+ROW()*0.000000001</f>
        <v>-1.96862858514138</v>
      </c>
      <c r="AG5387" s="55" t="n">
        <f aca="false">AE5387+ROW()*0.000000001</f>
        <v>46.128596395772</v>
      </c>
    </row>
    <row r="5388" customFormat="false" ht="15" hidden="false" customHeight="false" outlineLevel="0" collapsed="false">
      <c r="A5388" s="0" t="n">
        <v>7</v>
      </c>
      <c r="B5388" s="0" t="n">
        <v>3</v>
      </c>
      <c r="C5388" s="0" t="n">
        <v>4</v>
      </c>
      <c r="D5388" s="0" t="n">
        <v>1</v>
      </c>
      <c r="E5388" s="0" t="n">
        <f aca="false">-1+A5388*0.25</f>
        <v>0.75</v>
      </c>
      <c r="F5388" s="0" t="n">
        <f aca="false">-1+B5388*0.25</f>
        <v>-0.25</v>
      </c>
      <c r="G5388" s="0" t="n">
        <f aca="false">-1+C5388*0.25</f>
        <v>0</v>
      </c>
      <c r="H5388" s="0" t="n">
        <f aca="false">-1+D5388*0.25</f>
        <v>-0.75</v>
      </c>
      <c r="I5388" s="0" t="n">
        <f aca="false">1</f>
        <v>1</v>
      </c>
      <c r="J5388" s="0" t="n">
        <f aca="false">E5388</f>
        <v>0.75</v>
      </c>
      <c r="K5388" s="0" t="n">
        <f aca="false">F5388</f>
        <v>-0.25</v>
      </c>
      <c r="L5388" s="0" t="n">
        <f aca="false">G5388</f>
        <v>0</v>
      </c>
      <c r="M5388" s="0" t="n">
        <f aca="false">H5388</f>
        <v>-0.75</v>
      </c>
      <c r="N5388" s="0" t="n">
        <f aca="false">E5388*F5388</f>
        <v>-0.1875</v>
      </c>
      <c r="O5388" s="0" t="n">
        <f aca="false">E5388*G5388</f>
        <v>0</v>
      </c>
      <c r="P5388" s="0" t="n">
        <f aca="false">E5388*H5388</f>
        <v>-0.5625</v>
      </c>
      <c r="Q5388" s="0" t="n">
        <f aca="false">F5388*G5388</f>
        <v>-0</v>
      </c>
      <c r="R5388" s="0" t="n">
        <f aca="false">F5388*H5388</f>
        <v>0.1875</v>
      </c>
      <c r="S5388" s="0" t="n">
        <f aca="false">G5388*H5388</f>
        <v>-0</v>
      </c>
      <c r="T5388" s="0" t="n">
        <f aca="false">E5388*E5388</f>
        <v>0.5625</v>
      </c>
      <c r="U5388" s="0" t="n">
        <f aca="false">F5388*F5388</f>
        <v>0.0625</v>
      </c>
      <c r="V5388" s="0" t="n">
        <f aca="false">G5388*G5388</f>
        <v>0</v>
      </c>
      <c r="W5388" s="0" t="n">
        <f aca="false">H5388*H5388</f>
        <v>0.5625</v>
      </c>
      <c r="X5388" s="0" t="n">
        <f aca="false">SUMPRODUCT(I5388:W5388,_XtX!$B$96:$P$96)</f>
        <v>46.4340232090643</v>
      </c>
      <c r="Y5388" s="0" t="n">
        <f aca="false">SUMPRODUCT(MMULT(I5388:W5388,_XtX!$B$78:$P$92),I5388:W5388)</f>
        <v>0.281685455500731</v>
      </c>
      <c r="Z5388" s="0" t="n">
        <f aca="false">04_回帰ANOVA!$K$19*04_回帰ANOVA!$K$14*SQRT(1+Y5388)</f>
        <v>1.47566956658694</v>
      </c>
      <c r="AA5388" s="0" t="n">
        <f aca="false">X5388-Z5388</f>
        <v>44.9583536424774</v>
      </c>
      <c r="AB5388" s="0" t="n">
        <f aca="false">X5388+Z5388</f>
        <v>47.9096927756513</v>
      </c>
      <c r="AC5388" s="54" t="b">
        <f aca="false">AND(E5388&gt;=01_因子設定!$L$5-0.000000001,E5388&lt;=01_因子設定!$M$5+0.000000001,F5388&gt;=01_因子設定!$L$6-0.000000001,F5388&lt;=01_因子設定!$M$6+0.000000001,G5388&gt;=01_因子設定!$L$7-0.000000001,G5388&lt;=01_因子設定!$M$7+0.000000001,H5388&gt;=01_因子設定!$L$8-0.000000001,H5388&lt;=01_因子設定!$M$8+0.000000001,IF(01_因子設定!$B$20="Box-Behnken",E5388^2+F5388^2+G5388^2+H5388^2&lt;=2+0.000000001,TRUE()))</f>
        <v>1</v>
      </c>
      <c r="AD5388" s="55" t="n">
        <f aca="false">IF(AC5388,IF(01_因子設定!$B$13="最大化",AA5388-01_因子設定!$B$14,IF(01_因子設定!$B$13="最小化",01_因子設定!$B$15-AB5388,MIN(AA5388-01_因子設定!$B$14,01_因子設定!$B$15-AB5388))),-1E+030)</f>
        <v>-1.5416463575226</v>
      </c>
      <c r="AE5388" s="55" t="n">
        <f aca="false">IF(AC5388,IF(01_因子設定!$B$13="最大化",X5388,IF(01_因子設定!$B$13="最小化",-X5388,-ABS(X5388-01_因子設定!$B$16))),-1E+030)</f>
        <v>46.4340232090643</v>
      </c>
      <c r="AF5388" s="55" t="n">
        <f aca="false">AD5388+ROW()*0.000000001</f>
        <v>-1.5416409695226</v>
      </c>
      <c r="AG5388" s="55" t="n">
        <f aca="false">AE5388+ROW()*0.000000001</f>
        <v>46.4340285970643</v>
      </c>
    </row>
    <row r="5389" customFormat="false" ht="15" hidden="false" customHeight="false" outlineLevel="0" collapsed="false">
      <c r="A5389" s="0" t="n">
        <v>7</v>
      </c>
      <c r="B5389" s="0" t="n">
        <v>3</v>
      </c>
      <c r="C5389" s="0" t="n">
        <v>4</v>
      </c>
      <c r="D5389" s="0" t="n">
        <v>2</v>
      </c>
      <c r="E5389" s="0" t="n">
        <f aca="false">-1+A5389*0.25</f>
        <v>0.75</v>
      </c>
      <c r="F5389" s="0" t="n">
        <f aca="false">-1+B5389*0.25</f>
        <v>-0.25</v>
      </c>
      <c r="G5389" s="0" t="n">
        <f aca="false">-1+C5389*0.25</f>
        <v>0</v>
      </c>
      <c r="H5389" s="0" t="n">
        <f aca="false">-1+D5389*0.25</f>
        <v>-0.5</v>
      </c>
      <c r="I5389" s="0" t="n">
        <f aca="false">1</f>
        <v>1</v>
      </c>
      <c r="J5389" s="0" t="n">
        <f aca="false">E5389</f>
        <v>0.75</v>
      </c>
      <c r="K5389" s="0" t="n">
        <f aca="false">F5389</f>
        <v>-0.25</v>
      </c>
      <c r="L5389" s="0" t="n">
        <f aca="false">G5389</f>
        <v>0</v>
      </c>
      <c r="M5389" s="0" t="n">
        <f aca="false">H5389</f>
        <v>-0.5</v>
      </c>
      <c r="N5389" s="0" t="n">
        <f aca="false">E5389*F5389</f>
        <v>-0.1875</v>
      </c>
      <c r="O5389" s="0" t="n">
        <f aca="false">E5389*G5389</f>
        <v>0</v>
      </c>
      <c r="P5389" s="0" t="n">
        <f aca="false">E5389*H5389</f>
        <v>-0.375</v>
      </c>
      <c r="Q5389" s="0" t="n">
        <f aca="false">F5389*G5389</f>
        <v>-0</v>
      </c>
      <c r="R5389" s="0" t="n">
        <f aca="false">F5389*H5389</f>
        <v>0.125</v>
      </c>
      <c r="S5389" s="0" t="n">
        <f aca="false">G5389*H5389</f>
        <v>-0</v>
      </c>
      <c r="T5389" s="0" t="n">
        <f aca="false">E5389*E5389</f>
        <v>0.5625</v>
      </c>
      <c r="U5389" s="0" t="n">
        <f aca="false">F5389*F5389</f>
        <v>0.0625</v>
      </c>
      <c r="V5389" s="0" t="n">
        <f aca="false">G5389*G5389</f>
        <v>0</v>
      </c>
      <c r="W5389" s="0" t="n">
        <f aca="false">H5389*H5389</f>
        <v>0.25</v>
      </c>
      <c r="X5389" s="0" t="n">
        <f aca="false">SUMPRODUCT(I5389:W5389,_XtX!$B$96:$P$96)</f>
        <v>46.6916483918129</v>
      </c>
      <c r="Y5389" s="0" t="n">
        <f aca="false">SUMPRODUCT(MMULT(I5389:W5389,_XtX!$B$78:$P$92),I5389:W5389)</f>
        <v>0.215110734192252</v>
      </c>
      <c r="Z5389" s="0" t="n">
        <f aca="false">04_回帰ANOVA!$K$19*04_回帰ANOVA!$K$14*SQRT(1+Y5389)</f>
        <v>1.43683309086864</v>
      </c>
      <c r="AA5389" s="0" t="n">
        <f aca="false">X5389-Z5389</f>
        <v>45.2548153009442</v>
      </c>
      <c r="AB5389" s="0" t="n">
        <f aca="false">X5389+Z5389</f>
        <v>48.1284814826815</v>
      </c>
      <c r="AC5389" s="54" t="b">
        <f aca="false">AND(E5389&gt;=01_因子設定!$L$5-0.000000001,E5389&lt;=01_因子設定!$M$5+0.000000001,F5389&gt;=01_因子設定!$L$6-0.000000001,F5389&lt;=01_因子設定!$M$6+0.000000001,G5389&gt;=01_因子設定!$L$7-0.000000001,G5389&lt;=01_因子設定!$M$7+0.000000001,H5389&gt;=01_因子設定!$L$8-0.000000001,H5389&lt;=01_因子設定!$M$8+0.000000001,IF(01_因子設定!$B$20="Box-Behnken",E5389^2+F5389^2+G5389^2+H5389^2&lt;=2+0.000000001,TRUE()))</f>
        <v>1</v>
      </c>
      <c r="AD5389" s="55" t="n">
        <f aca="false">IF(AC5389,IF(01_因子設定!$B$13="最大化",AA5389-01_因子設定!$B$14,IF(01_因子設定!$B$13="最小化",01_因子設定!$B$15-AB5389,MIN(AA5389-01_因子設定!$B$14,01_因子設定!$B$15-AB5389))),-1E+030)</f>
        <v>-1.24518469905578</v>
      </c>
      <c r="AE5389" s="55" t="n">
        <f aca="false">IF(AC5389,IF(01_因子設定!$B$13="最大化",X5389,IF(01_因子設定!$B$13="最小化",-X5389,-ABS(X5389-01_因子設定!$B$16))),-1E+030)</f>
        <v>46.6916483918129</v>
      </c>
      <c r="AF5389" s="55" t="n">
        <f aca="false">AD5389+ROW()*0.000000001</f>
        <v>-1.24517931005578</v>
      </c>
      <c r="AG5389" s="55" t="n">
        <f aca="false">AE5389+ROW()*0.000000001</f>
        <v>46.6916537808129</v>
      </c>
    </row>
    <row r="5390" customFormat="false" ht="15" hidden="false" customHeight="false" outlineLevel="0" collapsed="false">
      <c r="A5390" s="0" t="n">
        <v>7</v>
      </c>
      <c r="B5390" s="0" t="n">
        <v>3</v>
      </c>
      <c r="C5390" s="0" t="n">
        <v>4</v>
      </c>
      <c r="D5390" s="0" t="n">
        <v>3</v>
      </c>
      <c r="E5390" s="0" t="n">
        <f aca="false">-1+A5390*0.25</f>
        <v>0.75</v>
      </c>
      <c r="F5390" s="0" t="n">
        <f aca="false">-1+B5390*0.25</f>
        <v>-0.25</v>
      </c>
      <c r="G5390" s="0" t="n">
        <f aca="false">-1+C5390*0.25</f>
        <v>0</v>
      </c>
      <c r="H5390" s="0" t="n">
        <f aca="false">-1+D5390*0.25</f>
        <v>-0.25</v>
      </c>
      <c r="I5390" s="0" t="n">
        <f aca="false">1</f>
        <v>1</v>
      </c>
      <c r="J5390" s="0" t="n">
        <f aca="false">E5390</f>
        <v>0.75</v>
      </c>
      <c r="K5390" s="0" t="n">
        <f aca="false">F5390</f>
        <v>-0.25</v>
      </c>
      <c r="L5390" s="0" t="n">
        <f aca="false">G5390</f>
        <v>0</v>
      </c>
      <c r="M5390" s="0" t="n">
        <f aca="false">H5390</f>
        <v>-0.25</v>
      </c>
      <c r="N5390" s="0" t="n">
        <f aca="false">E5390*F5390</f>
        <v>-0.1875</v>
      </c>
      <c r="O5390" s="0" t="n">
        <f aca="false">E5390*G5390</f>
        <v>0</v>
      </c>
      <c r="P5390" s="0" t="n">
        <f aca="false">E5390*H5390</f>
        <v>-0.1875</v>
      </c>
      <c r="Q5390" s="0" t="n">
        <f aca="false">F5390*G5390</f>
        <v>-0</v>
      </c>
      <c r="R5390" s="0" t="n">
        <f aca="false">F5390*H5390</f>
        <v>0.0625</v>
      </c>
      <c r="S5390" s="0" t="n">
        <f aca="false">G5390*H5390</f>
        <v>-0</v>
      </c>
      <c r="T5390" s="0" t="n">
        <f aca="false">E5390*E5390</f>
        <v>0.5625</v>
      </c>
      <c r="U5390" s="0" t="n">
        <f aca="false">F5390*F5390</f>
        <v>0.0625</v>
      </c>
      <c r="V5390" s="0" t="n">
        <f aca="false">G5390*G5390</f>
        <v>0</v>
      </c>
      <c r="W5390" s="0" t="n">
        <f aca="false">H5390*H5390</f>
        <v>0.0625</v>
      </c>
      <c r="X5390" s="0" t="n">
        <f aca="false">SUMPRODUCT(I5390:W5390,_XtX!$B$96:$P$96)</f>
        <v>46.9014665570175</v>
      </c>
      <c r="Y5390" s="0" t="n">
        <f aca="false">SUMPRODUCT(MMULT(I5390:W5390,_XtX!$B$78:$P$92),I5390:W5390)</f>
        <v>0.21135011193348</v>
      </c>
      <c r="Z5390" s="0" t="n">
        <f aca="false">04_回帰ANOVA!$K$19*04_回帰ANOVA!$K$14*SQRT(1+Y5390)</f>
        <v>1.43460795469709</v>
      </c>
      <c r="AA5390" s="0" t="n">
        <f aca="false">X5390-Z5390</f>
        <v>45.4668586023204</v>
      </c>
      <c r="AB5390" s="0" t="n">
        <f aca="false">X5390+Z5390</f>
        <v>48.3360745117146</v>
      </c>
      <c r="AC5390" s="54" t="b">
        <f aca="false">AND(E5390&gt;=01_因子設定!$L$5-0.000000001,E5390&lt;=01_因子設定!$M$5+0.000000001,F5390&gt;=01_因子設定!$L$6-0.000000001,F5390&lt;=01_因子設定!$M$6+0.000000001,G5390&gt;=01_因子設定!$L$7-0.000000001,G5390&lt;=01_因子設定!$M$7+0.000000001,H5390&gt;=01_因子設定!$L$8-0.000000001,H5390&lt;=01_因子設定!$M$8+0.000000001,IF(01_因子設定!$B$20="Box-Behnken",E5390^2+F5390^2+G5390^2+H5390^2&lt;=2+0.000000001,TRUE()))</f>
        <v>1</v>
      </c>
      <c r="AD5390" s="55" t="n">
        <f aca="false">IF(AC5390,IF(01_因子設定!$B$13="最大化",AA5390-01_因子設定!$B$14,IF(01_因子設定!$B$13="最小化",01_因子設定!$B$15-AB5390,MIN(AA5390-01_因子設定!$B$14,01_因子設定!$B$15-AB5390))),-1E+030)</f>
        <v>-1.03314139767956</v>
      </c>
      <c r="AE5390" s="55" t="n">
        <f aca="false">IF(AC5390,IF(01_因子設定!$B$13="最大化",X5390,IF(01_因子設定!$B$13="最小化",-X5390,-ABS(X5390-01_因子設定!$B$16))),-1E+030)</f>
        <v>46.9014665570175</v>
      </c>
      <c r="AF5390" s="55" t="n">
        <f aca="false">AD5390+ROW()*0.000000001</f>
        <v>-1.03313600767956</v>
      </c>
      <c r="AG5390" s="55" t="n">
        <f aca="false">AE5390+ROW()*0.000000001</f>
        <v>46.9014719470175</v>
      </c>
    </row>
    <row r="5391" customFormat="false" ht="15" hidden="false" customHeight="false" outlineLevel="0" collapsed="false">
      <c r="A5391" s="0" t="n">
        <v>7</v>
      </c>
      <c r="B5391" s="0" t="n">
        <v>3</v>
      </c>
      <c r="C5391" s="0" t="n">
        <v>4</v>
      </c>
      <c r="D5391" s="0" t="n">
        <v>4</v>
      </c>
      <c r="E5391" s="0" t="n">
        <f aca="false">-1+A5391*0.25</f>
        <v>0.75</v>
      </c>
      <c r="F5391" s="0" t="n">
        <f aca="false">-1+B5391*0.25</f>
        <v>-0.25</v>
      </c>
      <c r="G5391" s="0" t="n">
        <f aca="false">-1+C5391*0.25</f>
        <v>0</v>
      </c>
      <c r="H5391" s="0" t="n">
        <f aca="false">-1+D5391*0.25</f>
        <v>0</v>
      </c>
      <c r="I5391" s="0" t="n">
        <f aca="false">1</f>
        <v>1</v>
      </c>
      <c r="J5391" s="0" t="n">
        <f aca="false">E5391</f>
        <v>0.75</v>
      </c>
      <c r="K5391" s="0" t="n">
        <f aca="false">F5391</f>
        <v>-0.25</v>
      </c>
      <c r="L5391" s="0" t="n">
        <f aca="false">G5391</f>
        <v>0</v>
      </c>
      <c r="M5391" s="0" t="n">
        <f aca="false">H5391</f>
        <v>0</v>
      </c>
      <c r="N5391" s="0" t="n">
        <f aca="false">E5391*F5391</f>
        <v>-0.1875</v>
      </c>
      <c r="O5391" s="0" t="n">
        <f aca="false">E5391*G5391</f>
        <v>0</v>
      </c>
      <c r="P5391" s="0" t="n">
        <f aca="false">E5391*H5391</f>
        <v>0</v>
      </c>
      <c r="Q5391" s="0" t="n">
        <f aca="false">F5391*G5391</f>
        <v>-0</v>
      </c>
      <c r="R5391" s="0" t="n">
        <f aca="false">F5391*H5391</f>
        <v>-0</v>
      </c>
      <c r="S5391" s="0" t="n">
        <f aca="false">G5391*H5391</f>
        <v>0</v>
      </c>
      <c r="T5391" s="0" t="n">
        <f aca="false">E5391*E5391</f>
        <v>0.5625</v>
      </c>
      <c r="U5391" s="0" t="n">
        <f aca="false">F5391*F5391</f>
        <v>0.0625</v>
      </c>
      <c r="V5391" s="0" t="n">
        <f aca="false">G5391*G5391</f>
        <v>0</v>
      </c>
      <c r="W5391" s="0" t="n">
        <f aca="false">H5391*H5391</f>
        <v>0</v>
      </c>
      <c r="X5391" s="0" t="n">
        <f aca="false">SUMPRODUCT(I5391:W5391,_XtX!$B$96:$P$96)</f>
        <v>47.0634777046784</v>
      </c>
      <c r="Y5391" s="0" t="n">
        <f aca="false">SUMPRODUCT(MMULT(I5391:W5391,_XtX!$B$78:$P$92),I5391:W5391)</f>
        <v>0.216127272934942</v>
      </c>
      <c r="Z5391" s="0" t="n">
        <f aca="false">04_回帰ANOVA!$K$19*04_回帰ANOVA!$K$14*SQRT(1+Y5391)</f>
        <v>1.43743397896608</v>
      </c>
      <c r="AA5391" s="0" t="n">
        <f aca="false">X5391-Z5391</f>
        <v>45.6260437257123</v>
      </c>
      <c r="AB5391" s="0" t="n">
        <f aca="false">X5391+Z5391</f>
        <v>48.5009116836444</v>
      </c>
      <c r="AC5391" s="54" t="b">
        <f aca="false">AND(E5391&gt;=01_因子設定!$L$5-0.000000001,E5391&lt;=01_因子設定!$M$5+0.000000001,F5391&gt;=01_因子設定!$L$6-0.000000001,F5391&lt;=01_因子設定!$M$6+0.000000001,G5391&gt;=01_因子設定!$L$7-0.000000001,G5391&lt;=01_因子設定!$M$7+0.000000001,H5391&gt;=01_因子設定!$L$8-0.000000001,H5391&lt;=01_因子設定!$M$8+0.000000001,IF(01_因子設定!$B$20="Box-Behnken",E5391^2+F5391^2+G5391^2+H5391^2&lt;=2+0.000000001,TRUE()))</f>
        <v>1</v>
      </c>
      <c r="AD5391" s="55" t="n">
        <f aca="false">IF(AC5391,IF(01_因子設定!$B$13="最大化",AA5391-01_因子設定!$B$14,IF(01_因子設定!$B$13="最小化",01_因子設定!$B$15-AB5391,MIN(AA5391-01_因子設定!$B$14,01_因子設定!$B$15-AB5391))),-1E+030)</f>
        <v>-0.873956274287728</v>
      </c>
      <c r="AE5391" s="55" t="n">
        <f aca="false">IF(AC5391,IF(01_因子設定!$B$13="最大化",X5391,IF(01_因子設定!$B$13="最小化",-X5391,-ABS(X5391-01_因子設定!$B$16))),-1E+030)</f>
        <v>47.0634777046784</v>
      </c>
      <c r="AF5391" s="55" t="n">
        <f aca="false">AD5391+ROW()*0.000000001</f>
        <v>-0.873950883287728</v>
      </c>
      <c r="AG5391" s="55" t="n">
        <f aca="false">AE5391+ROW()*0.000000001</f>
        <v>47.0634830956784</v>
      </c>
    </row>
    <row r="5392" customFormat="false" ht="15" hidden="false" customHeight="false" outlineLevel="0" collapsed="false">
      <c r="A5392" s="0" t="n">
        <v>7</v>
      </c>
      <c r="B5392" s="0" t="n">
        <v>3</v>
      </c>
      <c r="C5392" s="0" t="n">
        <v>4</v>
      </c>
      <c r="D5392" s="0" t="n">
        <v>5</v>
      </c>
      <c r="E5392" s="0" t="n">
        <f aca="false">-1+A5392*0.25</f>
        <v>0.75</v>
      </c>
      <c r="F5392" s="0" t="n">
        <f aca="false">-1+B5392*0.25</f>
        <v>-0.25</v>
      </c>
      <c r="G5392" s="0" t="n">
        <f aca="false">-1+C5392*0.25</f>
        <v>0</v>
      </c>
      <c r="H5392" s="0" t="n">
        <f aca="false">-1+D5392*0.25</f>
        <v>0.25</v>
      </c>
      <c r="I5392" s="0" t="n">
        <f aca="false">1</f>
        <v>1</v>
      </c>
      <c r="J5392" s="0" t="n">
        <f aca="false">E5392</f>
        <v>0.75</v>
      </c>
      <c r="K5392" s="0" t="n">
        <f aca="false">F5392</f>
        <v>-0.25</v>
      </c>
      <c r="L5392" s="0" t="n">
        <f aca="false">G5392</f>
        <v>0</v>
      </c>
      <c r="M5392" s="0" t="n">
        <f aca="false">H5392</f>
        <v>0.25</v>
      </c>
      <c r="N5392" s="0" t="n">
        <f aca="false">E5392*F5392</f>
        <v>-0.1875</v>
      </c>
      <c r="O5392" s="0" t="n">
        <f aca="false">E5392*G5392</f>
        <v>0</v>
      </c>
      <c r="P5392" s="0" t="n">
        <f aca="false">E5392*H5392</f>
        <v>0.1875</v>
      </c>
      <c r="Q5392" s="0" t="n">
        <f aca="false">F5392*G5392</f>
        <v>-0</v>
      </c>
      <c r="R5392" s="0" t="n">
        <f aca="false">F5392*H5392</f>
        <v>-0.0625</v>
      </c>
      <c r="S5392" s="0" t="n">
        <f aca="false">G5392*H5392</f>
        <v>0</v>
      </c>
      <c r="T5392" s="0" t="n">
        <f aca="false">E5392*E5392</f>
        <v>0.5625</v>
      </c>
      <c r="U5392" s="0" t="n">
        <f aca="false">F5392*F5392</f>
        <v>0.0625</v>
      </c>
      <c r="V5392" s="0" t="n">
        <f aca="false">G5392*G5392</f>
        <v>0</v>
      </c>
      <c r="W5392" s="0" t="n">
        <f aca="false">H5392*H5392</f>
        <v>0.0625</v>
      </c>
      <c r="X5392" s="0" t="n">
        <f aca="false">SUMPRODUCT(I5392:W5392,_XtX!$B$96:$P$96)</f>
        <v>47.1776818347953</v>
      </c>
      <c r="Y5392" s="0" t="n">
        <f aca="false">SUMPRODUCT(MMULT(I5392:W5392,_XtX!$B$78:$P$92),I5392:W5392)</f>
        <v>0.21135011193348</v>
      </c>
      <c r="Z5392" s="0" t="n">
        <f aca="false">04_回帰ANOVA!$K$19*04_回帰ANOVA!$K$14*SQRT(1+Y5392)</f>
        <v>1.43460795469709</v>
      </c>
      <c r="AA5392" s="0" t="n">
        <f aca="false">X5392-Z5392</f>
        <v>45.7430738800982</v>
      </c>
      <c r="AB5392" s="0" t="n">
        <f aca="false">X5392+Z5392</f>
        <v>48.6122897894924</v>
      </c>
      <c r="AC5392" s="54" t="b">
        <f aca="false">AND(E5392&gt;=01_因子設定!$L$5-0.000000001,E5392&lt;=01_因子設定!$M$5+0.000000001,F5392&gt;=01_因子設定!$L$6-0.000000001,F5392&lt;=01_因子設定!$M$6+0.000000001,G5392&gt;=01_因子設定!$L$7-0.000000001,G5392&lt;=01_因子設定!$M$7+0.000000001,H5392&gt;=01_因子設定!$L$8-0.000000001,H5392&lt;=01_因子設定!$M$8+0.000000001,IF(01_因子設定!$B$20="Box-Behnken",E5392^2+F5392^2+G5392^2+H5392^2&lt;=2+0.000000001,TRUE()))</f>
        <v>1</v>
      </c>
      <c r="AD5392" s="55" t="n">
        <f aca="false">IF(AC5392,IF(01_因子設定!$B$13="最大化",AA5392-01_因子設定!$B$14,IF(01_因子設定!$B$13="最小化",01_因子設定!$B$15-AB5392,MIN(AA5392-01_因子設定!$B$14,01_因子設定!$B$15-AB5392))),-1E+030)</f>
        <v>-0.756926119901777</v>
      </c>
      <c r="AE5392" s="55" t="n">
        <f aca="false">IF(AC5392,IF(01_因子設定!$B$13="最大化",X5392,IF(01_因子設定!$B$13="最小化",-X5392,-ABS(X5392-01_因子設定!$B$16))),-1E+030)</f>
        <v>47.1776818347953</v>
      </c>
      <c r="AF5392" s="55" t="n">
        <f aca="false">AD5392+ROW()*0.000000001</f>
        <v>-0.756920727901777</v>
      </c>
      <c r="AG5392" s="55" t="n">
        <f aca="false">AE5392+ROW()*0.000000001</f>
        <v>47.1776872267953</v>
      </c>
    </row>
    <row r="5393" customFormat="false" ht="15" hidden="false" customHeight="false" outlineLevel="0" collapsed="false">
      <c r="A5393" s="0" t="n">
        <v>7</v>
      </c>
      <c r="B5393" s="0" t="n">
        <v>3</v>
      </c>
      <c r="C5393" s="0" t="n">
        <v>4</v>
      </c>
      <c r="D5393" s="0" t="n">
        <v>6</v>
      </c>
      <c r="E5393" s="0" t="n">
        <f aca="false">-1+A5393*0.25</f>
        <v>0.75</v>
      </c>
      <c r="F5393" s="0" t="n">
        <f aca="false">-1+B5393*0.25</f>
        <v>-0.25</v>
      </c>
      <c r="G5393" s="0" t="n">
        <f aca="false">-1+C5393*0.25</f>
        <v>0</v>
      </c>
      <c r="H5393" s="0" t="n">
        <f aca="false">-1+D5393*0.25</f>
        <v>0.5</v>
      </c>
      <c r="I5393" s="0" t="n">
        <f aca="false">1</f>
        <v>1</v>
      </c>
      <c r="J5393" s="0" t="n">
        <f aca="false">E5393</f>
        <v>0.75</v>
      </c>
      <c r="K5393" s="0" t="n">
        <f aca="false">F5393</f>
        <v>-0.25</v>
      </c>
      <c r="L5393" s="0" t="n">
        <f aca="false">G5393</f>
        <v>0</v>
      </c>
      <c r="M5393" s="0" t="n">
        <f aca="false">H5393</f>
        <v>0.5</v>
      </c>
      <c r="N5393" s="0" t="n">
        <f aca="false">E5393*F5393</f>
        <v>-0.1875</v>
      </c>
      <c r="O5393" s="0" t="n">
        <f aca="false">E5393*G5393</f>
        <v>0</v>
      </c>
      <c r="P5393" s="0" t="n">
        <f aca="false">E5393*H5393</f>
        <v>0.375</v>
      </c>
      <c r="Q5393" s="0" t="n">
        <f aca="false">F5393*G5393</f>
        <v>-0</v>
      </c>
      <c r="R5393" s="0" t="n">
        <f aca="false">F5393*H5393</f>
        <v>-0.125</v>
      </c>
      <c r="S5393" s="0" t="n">
        <f aca="false">G5393*H5393</f>
        <v>0</v>
      </c>
      <c r="T5393" s="0" t="n">
        <f aca="false">E5393*E5393</f>
        <v>0.5625</v>
      </c>
      <c r="U5393" s="0" t="n">
        <f aca="false">F5393*F5393</f>
        <v>0.0625</v>
      </c>
      <c r="V5393" s="0" t="n">
        <f aca="false">G5393*G5393</f>
        <v>0</v>
      </c>
      <c r="W5393" s="0" t="n">
        <f aca="false">H5393*H5393</f>
        <v>0.25</v>
      </c>
      <c r="X5393" s="0" t="n">
        <f aca="false">SUMPRODUCT(I5393:W5393,_XtX!$B$96:$P$96)</f>
        <v>47.2440789473684</v>
      </c>
      <c r="Y5393" s="0" t="n">
        <f aca="false">SUMPRODUCT(MMULT(I5393:W5393,_XtX!$B$78:$P$92),I5393:W5393)</f>
        <v>0.215110734192252</v>
      </c>
      <c r="Z5393" s="0" t="n">
        <f aca="false">04_回帰ANOVA!$K$19*04_回帰ANOVA!$K$14*SQRT(1+Y5393)</f>
        <v>1.43683309086864</v>
      </c>
      <c r="AA5393" s="0" t="n">
        <f aca="false">X5393-Z5393</f>
        <v>45.8072458564998</v>
      </c>
      <c r="AB5393" s="0" t="n">
        <f aca="false">X5393+Z5393</f>
        <v>48.6809120382371</v>
      </c>
      <c r="AC5393" s="54" t="b">
        <f aca="false">AND(E5393&gt;=01_因子設定!$L$5-0.000000001,E5393&lt;=01_因子設定!$M$5+0.000000001,F5393&gt;=01_因子設定!$L$6-0.000000001,F5393&lt;=01_因子設定!$M$6+0.000000001,G5393&gt;=01_因子設定!$L$7-0.000000001,G5393&lt;=01_因子設定!$M$7+0.000000001,H5393&gt;=01_因子設定!$L$8-0.000000001,H5393&lt;=01_因子設定!$M$8+0.000000001,IF(01_因子設定!$B$20="Box-Behnken",E5393^2+F5393^2+G5393^2+H5393^2&lt;=2+0.000000001,TRUE()))</f>
        <v>1</v>
      </c>
      <c r="AD5393" s="55" t="n">
        <f aca="false">IF(AC5393,IF(01_因子設定!$B$13="最大化",AA5393-01_因子設定!$B$14,IF(01_因子設定!$B$13="最小化",01_因子設定!$B$15-AB5393,MIN(AA5393-01_因子設定!$B$14,01_因子設定!$B$15-AB5393))),-1E+030)</f>
        <v>-0.692754143500231</v>
      </c>
      <c r="AE5393" s="55" t="n">
        <f aca="false">IF(AC5393,IF(01_因子設定!$B$13="最大化",X5393,IF(01_因子設定!$B$13="最小化",-X5393,-ABS(X5393-01_因子設定!$B$16))),-1E+030)</f>
        <v>47.2440789473684</v>
      </c>
      <c r="AF5393" s="55" t="n">
        <f aca="false">AD5393+ROW()*0.000000001</f>
        <v>-0.692748750500231</v>
      </c>
      <c r="AG5393" s="55" t="n">
        <f aca="false">AE5393+ROW()*0.000000001</f>
        <v>47.2440843403684</v>
      </c>
    </row>
    <row r="5394" customFormat="false" ht="15" hidden="false" customHeight="false" outlineLevel="0" collapsed="false">
      <c r="A5394" s="0" t="n">
        <v>7</v>
      </c>
      <c r="B5394" s="0" t="n">
        <v>3</v>
      </c>
      <c r="C5394" s="0" t="n">
        <v>4</v>
      </c>
      <c r="D5394" s="0" t="n">
        <v>7</v>
      </c>
      <c r="E5394" s="0" t="n">
        <f aca="false">-1+A5394*0.25</f>
        <v>0.75</v>
      </c>
      <c r="F5394" s="0" t="n">
        <f aca="false">-1+B5394*0.25</f>
        <v>-0.25</v>
      </c>
      <c r="G5394" s="0" t="n">
        <f aca="false">-1+C5394*0.25</f>
        <v>0</v>
      </c>
      <c r="H5394" s="0" t="n">
        <f aca="false">-1+D5394*0.25</f>
        <v>0.75</v>
      </c>
      <c r="I5394" s="0" t="n">
        <f aca="false">1</f>
        <v>1</v>
      </c>
      <c r="J5394" s="0" t="n">
        <f aca="false">E5394</f>
        <v>0.75</v>
      </c>
      <c r="K5394" s="0" t="n">
        <f aca="false">F5394</f>
        <v>-0.25</v>
      </c>
      <c r="L5394" s="0" t="n">
        <f aca="false">G5394</f>
        <v>0</v>
      </c>
      <c r="M5394" s="0" t="n">
        <f aca="false">H5394</f>
        <v>0.75</v>
      </c>
      <c r="N5394" s="0" t="n">
        <f aca="false">E5394*F5394</f>
        <v>-0.1875</v>
      </c>
      <c r="O5394" s="0" t="n">
        <f aca="false">E5394*G5394</f>
        <v>0</v>
      </c>
      <c r="P5394" s="0" t="n">
        <f aca="false">E5394*H5394</f>
        <v>0.5625</v>
      </c>
      <c r="Q5394" s="0" t="n">
        <f aca="false">F5394*G5394</f>
        <v>-0</v>
      </c>
      <c r="R5394" s="0" t="n">
        <f aca="false">F5394*H5394</f>
        <v>-0.1875</v>
      </c>
      <c r="S5394" s="0" t="n">
        <f aca="false">G5394*H5394</f>
        <v>0</v>
      </c>
      <c r="T5394" s="0" t="n">
        <f aca="false">E5394*E5394</f>
        <v>0.5625</v>
      </c>
      <c r="U5394" s="0" t="n">
        <f aca="false">F5394*F5394</f>
        <v>0.0625</v>
      </c>
      <c r="V5394" s="0" t="n">
        <f aca="false">G5394*G5394</f>
        <v>0</v>
      </c>
      <c r="W5394" s="0" t="n">
        <f aca="false">H5394*H5394</f>
        <v>0.5625</v>
      </c>
      <c r="X5394" s="0" t="n">
        <f aca="false">SUMPRODUCT(I5394:W5394,_XtX!$B$96:$P$96)</f>
        <v>47.2626690423977</v>
      </c>
      <c r="Y5394" s="0" t="n">
        <f aca="false">SUMPRODUCT(MMULT(I5394:W5394,_XtX!$B$78:$P$92),I5394:W5394)</f>
        <v>0.281685455500731</v>
      </c>
      <c r="Z5394" s="0" t="n">
        <f aca="false">04_回帰ANOVA!$K$19*04_回帰ANOVA!$K$14*SQRT(1+Y5394)</f>
        <v>1.47566956658694</v>
      </c>
      <c r="AA5394" s="0" t="n">
        <f aca="false">X5394-Z5394</f>
        <v>45.7869994758107</v>
      </c>
      <c r="AB5394" s="0" t="n">
        <f aca="false">X5394+Z5394</f>
        <v>48.7383386089846</v>
      </c>
      <c r="AC5394" s="54" t="b">
        <f aca="false">AND(E5394&gt;=01_因子設定!$L$5-0.000000001,E5394&lt;=01_因子設定!$M$5+0.000000001,F5394&gt;=01_因子設定!$L$6-0.000000001,F5394&lt;=01_因子設定!$M$6+0.000000001,G5394&gt;=01_因子設定!$L$7-0.000000001,G5394&lt;=01_因子設定!$M$7+0.000000001,H5394&gt;=01_因子設定!$L$8-0.000000001,H5394&lt;=01_因子設定!$M$8+0.000000001,IF(01_因子設定!$B$20="Box-Behnken",E5394^2+F5394^2+G5394^2+H5394^2&lt;=2+0.000000001,TRUE()))</f>
        <v>1</v>
      </c>
      <c r="AD5394" s="55" t="n">
        <f aca="false">IF(AC5394,IF(01_因子設定!$B$13="最大化",AA5394-01_因子設定!$B$14,IF(01_因子設定!$B$13="最小化",01_因子設定!$B$15-AB5394,MIN(AA5394-01_因子設定!$B$14,01_因子設定!$B$15-AB5394))),-1E+030)</f>
        <v>-0.713000524189269</v>
      </c>
      <c r="AE5394" s="55" t="n">
        <f aca="false">IF(AC5394,IF(01_因子設定!$B$13="最大化",X5394,IF(01_因子設定!$B$13="最小化",-X5394,-ABS(X5394-01_因子設定!$B$16))),-1E+030)</f>
        <v>47.2626690423977</v>
      </c>
      <c r="AF5394" s="55" t="n">
        <f aca="false">AD5394+ROW()*0.000000001</f>
        <v>-0.712995130189269</v>
      </c>
      <c r="AG5394" s="55" t="n">
        <f aca="false">AE5394+ROW()*0.000000001</f>
        <v>47.2626744363977</v>
      </c>
    </row>
    <row r="5395" customFormat="false" ht="15" hidden="false" customHeight="false" outlineLevel="0" collapsed="false">
      <c r="A5395" s="0" t="n">
        <v>7</v>
      </c>
      <c r="B5395" s="0" t="n">
        <v>3</v>
      </c>
      <c r="C5395" s="0" t="n">
        <v>4</v>
      </c>
      <c r="D5395" s="0" t="n">
        <v>8</v>
      </c>
      <c r="E5395" s="0" t="n">
        <f aca="false">-1+A5395*0.25</f>
        <v>0.75</v>
      </c>
      <c r="F5395" s="0" t="n">
        <f aca="false">-1+B5395*0.25</f>
        <v>-0.25</v>
      </c>
      <c r="G5395" s="0" t="n">
        <f aca="false">-1+C5395*0.25</f>
        <v>0</v>
      </c>
      <c r="H5395" s="0" t="n">
        <f aca="false">-1+D5395*0.25</f>
        <v>1</v>
      </c>
      <c r="I5395" s="0" t="n">
        <f aca="false">1</f>
        <v>1</v>
      </c>
      <c r="J5395" s="0" t="n">
        <f aca="false">E5395</f>
        <v>0.75</v>
      </c>
      <c r="K5395" s="0" t="n">
        <f aca="false">F5395</f>
        <v>-0.25</v>
      </c>
      <c r="L5395" s="0" t="n">
        <f aca="false">G5395</f>
        <v>0</v>
      </c>
      <c r="M5395" s="0" t="n">
        <f aca="false">H5395</f>
        <v>1</v>
      </c>
      <c r="N5395" s="0" t="n">
        <f aca="false">E5395*F5395</f>
        <v>-0.1875</v>
      </c>
      <c r="O5395" s="0" t="n">
        <f aca="false">E5395*G5395</f>
        <v>0</v>
      </c>
      <c r="P5395" s="0" t="n">
        <f aca="false">E5395*H5395</f>
        <v>0.75</v>
      </c>
      <c r="Q5395" s="0" t="n">
        <f aca="false">F5395*G5395</f>
        <v>-0</v>
      </c>
      <c r="R5395" s="0" t="n">
        <f aca="false">F5395*H5395</f>
        <v>-0.25</v>
      </c>
      <c r="S5395" s="0" t="n">
        <f aca="false">G5395*H5395</f>
        <v>0</v>
      </c>
      <c r="T5395" s="0" t="n">
        <f aca="false">E5395*E5395</f>
        <v>0.5625</v>
      </c>
      <c r="U5395" s="0" t="n">
        <f aca="false">F5395*F5395</f>
        <v>0.0625</v>
      </c>
      <c r="V5395" s="0" t="n">
        <f aca="false">G5395*G5395</f>
        <v>0</v>
      </c>
      <c r="W5395" s="0" t="n">
        <f aca="false">H5395*H5395</f>
        <v>1</v>
      </c>
      <c r="X5395" s="0" t="n">
        <f aca="false">SUMPRODUCT(I5395:W5395,_XtX!$B$96:$P$96)</f>
        <v>47.2334521198831</v>
      </c>
      <c r="Y5395" s="0" t="n">
        <f aca="false">SUMPRODUCT(MMULT(I5395:W5395,_XtX!$B$78:$P$92),I5395:W5395)</f>
        <v>0.501534802174708</v>
      </c>
      <c r="Z5395" s="0" t="n">
        <f aca="false">04_回帰ANOVA!$K$19*04_回帰ANOVA!$K$14*SQRT(1+Y5395)</f>
        <v>1.59722498091333</v>
      </c>
      <c r="AA5395" s="0" t="n">
        <f aca="false">X5395-Z5395</f>
        <v>45.6362271389697</v>
      </c>
      <c r="AB5395" s="0" t="n">
        <f aca="false">X5395+Z5395</f>
        <v>48.8306771007964</v>
      </c>
      <c r="AC5395" s="54" t="b">
        <f aca="false">AND(E5395&gt;=01_因子設定!$L$5-0.000000001,E5395&lt;=01_因子設定!$M$5+0.000000001,F5395&gt;=01_因子設定!$L$6-0.000000001,F5395&lt;=01_因子設定!$M$6+0.000000001,G5395&gt;=01_因子設定!$L$7-0.000000001,G5395&lt;=01_因子設定!$M$7+0.000000001,H5395&gt;=01_因子設定!$L$8-0.000000001,H5395&lt;=01_因子設定!$M$8+0.000000001,IF(01_因子設定!$B$20="Box-Behnken",E5395^2+F5395^2+G5395^2+H5395^2&lt;=2+0.000000001,TRUE()))</f>
        <v>1</v>
      </c>
      <c r="AD5395" s="55" t="n">
        <f aca="false">IF(AC5395,IF(01_因子設定!$B$13="最大化",AA5395-01_因子設定!$B$14,IF(01_因子設定!$B$13="最小化",01_因子設定!$B$15-AB5395,MIN(AA5395-01_因子設定!$B$14,01_因子設定!$B$15-AB5395))),-1E+030)</f>
        <v>-0.86377286103027</v>
      </c>
      <c r="AE5395" s="55" t="n">
        <f aca="false">IF(AC5395,IF(01_因子設定!$B$13="最大化",X5395,IF(01_因子設定!$B$13="最小化",-X5395,-ABS(X5395-01_因子設定!$B$16))),-1E+030)</f>
        <v>47.2334521198831</v>
      </c>
      <c r="AF5395" s="55" t="n">
        <f aca="false">AD5395+ROW()*0.000000001</f>
        <v>-0.86376746603027</v>
      </c>
      <c r="AG5395" s="55" t="n">
        <f aca="false">AE5395+ROW()*0.000000001</f>
        <v>47.2334575148831</v>
      </c>
    </row>
    <row r="5396" customFormat="false" ht="15" hidden="false" customHeight="false" outlineLevel="0" collapsed="false">
      <c r="A5396" s="0" t="n">
        <v>7</v>
      </c>
      <c r="B5396" s="0" t="n">
        <v>3</v>
      </c>
      <c r="C5396" s="0" t="n">
        <v>5</v>
      </c>
      <c r="D5396" s="0" t="n">
        <v>0</v>
      </c>
      <c r="E5396" s="0" t="n">
        <f aca="false">-1+A5396*0.25</f>
        <v>0.75</v>
      </c>
      <c r="F5396" s="0" t="n">
        <f aca="false">-1+B5396*0.25</f>
        <v>-0.25</v>
      </c>
      <c r="G5396" s="0" t="n">
        <f aca="false">-1+C5396*0.25</f>
        <v>0.25</v>
      </c>
      <c r="H5396" s="0" t="n">
        <f aca="false">-1+D5396*0.25</f>
        <v>-1</v>
      </c>
      <c r="I5396" s="0" t="n">
        <f aca="false">1</f>
        <v>1</v>
      </c>
      <c r="J5396" s="0" t="n">
        <f aca="false">E5396</f>
        <v>0.75</v>
      </c>
      <c r="K5396" s="0" t="n">
        <f aca="false">F5396</f>
        <v>-0.25</v>
      </c>
      <c r="L5396" s="0" t="n">
        <f aca="false">G5396</f>
        <v>0.25</v>
      </c>
      <c r="M5396" s="0" t="n">
        <f aca="false">H5396</f>
        <v>-1</v>
      </c>
      <c r="N5396" s="0" t="n">
        <f aca="false">E5396*F5396</f>
        <v>-0.1875</v>
      </c>
      <c r="O5396" s="0" t="n">
        <f aca="false">E5396*G5396</f>
        <v>0.1875</v>
      </c>
      <c r="P5396" s="0" t="n">
        <f aca="false">E5396*H5396</f>
        <v>-0.75</v>
      </c>
      <c r="Q5396" s="0" t="n">
        <f aca="false">F5396*G5396</f>
        <v>-0.0625</v>
      </c>
      <c r="R5396" s="0" t="n">
        <f aca="false">F5396*H5396</f>
        <v>0.25</v>
      </c>
      <c r="S5396" s="0" t="n">
        <f aca="false">G5396*H5396</f>
        <v>-0.25</v>
      </c>
      <c r="T5396" s="0" t="n">
        <f aca="false">E5396*E5396</f>
        <v>0.5625</v>
      </c>
      <c r="U5396" s="0" t="n">
        <f aca="false">F5396*F5396</f>
        <v>0.0625</v>
      </c>
      <c r="V5396" s="0" t="n">
        <f aca="false">G5396*G5396</f>
        <v>0.0625</v>
      </c>
      <c r="W5396" s="0" t="n">
        <f aca="false">H5396*H5396</f>
        <v>1</v>
      </c>
      <c r="X5396" s="0" t="n">
        <f aca="false">SUMPRODUCT(I5396:W5396,_XtX!$B$96:$P$96)</f>
        <v>46.1184895833334</v>
      </c>
      <c r="Y5396" s="0" t="n">
        <f aca="false">SUMPRODUCT(MMULT(I5396:W5396,_XtX!$B$78:$P$92),I5396:W5396)</f>
        <v>0.486409505208334</v>
      </c>
      <c r="Z5396" s="0" t="n">
        <f aca="false">04_回帰ANOVA!$K$19*04_回帰ANOVA!$K$14*SQRT(1+Y5396)</f>
        <v>1.58916001665498</v>
      </c>
      <c r="AA5396" s="0" t="n">
        <f aca="false">X5396-Z5396</f>
        <v>44.5293295666784</v>
      </c>
      <c r="AB5396" s="0" t="n">
        <f aca="false">X5396+Z5396</f>
        <v>47.7076495999883</v>
      </c>
      <c r="AC5396" s="54" t="b">
        <f aca="false">AND(E5396&gt;=01_因子設定!$L$5-0.000000001,E5396&lt;=01_因子設定!$M$5+0.000000001,F5396&gt;=01_因子設定!$L$6-0.000000001,F5396&lt;=01_因子設定!$M$6+0.000000001,G5396&gt;=01_因子設定!$L$7-0.000000001,G5396&lt;=01_因子設定!$M$7+0.000000001,H5396&gt;=01_因子設定!$L$8-0.000000001,H5396&lt;=01_因子設定!$M$8+0.000000001,IF(01_因子設定!$B$20="Box-Behnken",E5396^2+F5396^2+G5396^2+H5396^2&lt;=2+0.000000001,TRUE()))</f>
        <v>1</v>
      </c>
      <c r="AD5396" s="55" t="n">
        <f aca="false">IF(AC5396,IF(01_因子設定!$B$13="最大化",AA5396-01_因子設定!$B$14,IF(01_因子設定!$B$13="最小化",01_因子設定!$B$15-AB5396,MIN(AA5396-01_因子設定!$B$14,01_因子設定!$B$15-AB5396))),-1E+030)</f>
        <v>-1.97067043332162</v>
      </c>
      <c r="AE5396" s="55" t="n">
        <f aca="false">IF(AC5396,IF(01_因子設定!$B$13="最大化",X5396,IF(01_因子設定!$B$13="最小化",-X5396,-ABS(X5396-01_因子設定!$B$16))),-1E+030)</f>
        <v>46.1184895833334</v>
      </c>
      <c r="AF5396" s="55" t="n">
        <f aca="false">AD5396+ROW()*0.000000001</f>
        <v>-1.97066503732162</v>
      </c>
      <c r="AG5396" s="55" t="n">
        <f aca="false">AE5396+ROW()*0.000000001</f>
        <v>46.1184949793334</v>
      </c>
    </row>
    <row r="5397" customFormat="false" ht="15" hidden="false" customHeight="false" outlineLevel="0" collapsed="false">
      <c r="A5397" s="0" t="n">
        <v>7</v>
      </c>
      <c r="B5397" s="0" t="n">
        <v>3</v>
      </c>
      <c r="C5397" s="0" t="n">
        <v>5</v>
      </c>
      <c r="D5397" s="0" t="n">
        <v>1</v>
      </c>
      <c r="E5397" s="0" t="n">
        <f aca="false">-1+A5397*0.25</f>
        <v>0.75</v>
      </c>
      <c r="F5397" s="0" t="n">
        <f aca="false">-1+B5397*0.25</f>
        <v>-0.25</v>
      </c>
      <c r="G5397" s="0" t="n">
        <f aca="false">-1+C5397*0.25</f>
        <v>0.25</v>
      </c>
      <c r="H5397" s="0" t="n">
        <f aca="false">-1+D5397*0.25</f>
        <v>-0.75</v>
      </c>
      <c r="I5397" s="0" t="n">
        <f aca="false">1</f>
        <v>1</v>
      </c>
      <c r="J5397" s="0" t="n">
        <f aca="false">E5397</f>
        <v>0.75</v>
      </c>
      <c r="K5397" s="0" t="n">
        <f aca="false">F5397</f>
        <v>-0.25</v>
      </c>
      <c r="L5397" s="0" t="n">
        <f aca="false">G5397</f>
        <v>0.25</v>
      </c>
      <c r="M5397" s="0" t="n">
        <f aca="false">H5397</f>
        <v>-0.75</v>
      </c>
      <c r="N5397" s="0" t="n">
        <f aca="false">E5397*F5397</f>
        <v>-0.1875</v>
      </c>
      <c r="O5397" s="0" t="n">
        <f aca="false">E5397*G5397</f>
        <v>0.1875</v>
      </c>
      <c r="P5397" s="0" t="n">
        <f aca="false">E5397*H5397</f>
        <v>-0.5625</v>
      </c>
      <c r="Q5397" s="0" t="n">
        <f aca="false">F5397*G5397</f>
        <v>-0.0625</v>
      </c>
      <c r="R5397" s="0" t="n">
        <f aca="false">F5397*H5397</f>
        <v>0.1875</v>
      </c>
      <c r="S5397" s="0" t="n">
        <f aca="false">G5397*H5397</f>
        <v>-0.1875</v>
      </c>
      <c r="T5397" s="0" t="n">
        <f aca="false">E5397*E5397</f>
        <v>0.5625</v>
      </c>
      <c r="U5397" s="0" t="n">
        <f aca="false">F5397*F5397</f>
        <v>0.0625</v>
      </c>
      <c r="V5397" s="0" t="n">
        <f aca="false">G5397*G5397</f>
        <v>0.0625</v>
      </c>
      <c r="W5397" s="0" t="n">
        <f aca="false">H5397*H5397</f>
        <v>0.5625</v>
      </c>
      <c r="X5397" s="0" t="n">
        <f aca="false">SUMPRODUCT(I5397:W5397,_XtX!$B$96:$P$96)</f>
        <v>46.4418905336257</v>
      </c>
      <c r="Y5397" s="0" t="n">
        <f aca="false">SUMPRODUCT(MMULT(I5397:W5397,_XtX!$B$78:$P$92),I5397:W5397)</f>
        <v>0.271087468019006</v>
      </c>
      <c r="Z5397" s="0" t="n">
        <f aca="false">04_回帰ANOVA!$K$19*04_回帰ANOVA!$K$14*SQRT(1+Y5397)</f>
        <v>1.46955590155034</v>
      </c>
      <c r="AA5397" s="0" t="n">
        <f aca="false">X5397-Z5397</f>
        <v>44.9723346320754</v>
      </c>
      <c r="AB5397" s="0" t="n">
        <f aca="false">X5397+Z5397</f>
        <v>47.9114464351761</v>
      </c>
      <c r="AC5397" s="54" t="b">
        <f aca="false">AND(E5397&gt;=01_因子設定!$L$5-0.000000001,E5397&lt;=01_因子設定!$M$5+0.000000001,F5397&gt;=01_因子設定!$L$6-0.000000001,F5397&lt;=01_因子設定!$M$6+0.000000001,G5397&gt;=01_因子設定!$L$7-0.000000001,G5397&lt;=01_因子設定!$M$7+0.000000001,H5397&gt;=01_因子設定!$L$8-0.000000001,H5397&lt;=01_因子設定!$M$8+0.000000001,IF(01_因子設定!$B$20="Box-Behnken",E5397^2+F5397^2+G5397^2+H5397^2&lt;=2+0.000000001,TRUE()))</f>
        <v>1</v>
      </c>
      <c r="AD5397" s="55" t="n">
        <f aca="false">IF(AC5397,IF(01_因子設定!$B$13="最大化",AA5397-01_因子設定!$B$14,IF(01_因子設定!$B$13="最小化",01_因子設定!$B$15-AB5397,MIN(AA5397-01_因子設定!$B$14,01_因子設定!$B$15-AB5397))),-1E+030)</f>
        <v>-1.52766536792461</v>
      </c>
      <c r="AE5397" s="55" t="n">
        <f aca="false">IF(AC5397,IF(01_因子設定!$B$13="最大化",X5397,IF(01_因子設定!$B$13="最小化",-X5397,-ABS(X5397-01_因子設定!$B$16))),-1E+030)</f>
        <v>46.4418905336257</v>
      </c>
      <c r="AF5397" s="55" t="n">
        <f aca="false">AD5397+ROW()*0.000000001</f>
        <v>-1.52765997092461</v>
      </c>
      <c r="AG5397" s="55" t="n">
        <f aca="false">AE5397+ROW()*0.000000001</f>
        <v>46.4418959306257</v>
      </c>
    </row>
    <row r="5398" customFormat="false" ht="15" hidden="false" customHeight="false" outlineLevel="0" collapsed="false">
      <c r="A5398" s="0" t="n">
        <v>7</v>
      </c>
      <c r="B5398" s="0" t="n">
        <v>3</v>
      </c>
      <c r="C5398" s="0" t="n">
        <v>5</v>
      </c>
      <c r="D5398" s="0" t="n">
        <v>2</v>
      </c>
      <c r="E5398" s="0" t="n">
        <f aca="false">-1+A5398*0.25</f>
        <v>0.75</v>
      </c>
      <c r="F5398" s="0" t="n">
        <f aca="false">-1+B5398*0.25</f>
        <v>-0.25</v>
      </c>
      <c r="G5398" s="0" t="n">
        <f aca="false">-1+C5398*0.25</f>
        <v>0.25</v>
      </c>
      <c r="H5398" s="0" t="n">
        <f aca="false">-1+D5398*0.25</f>
        <v>-0.5</v>
      </c>
      <c r="I5398" s="0" t="n">
        <f aca="false">1</f>
        <v>1</v>
      </c>
      <c r="J5398" s="0" t="n">
        <f aca="false">E5398</f>
        <v>0.75</v>
      </c>
      <c r="K5398" s="0" t="n">
        <f aca="false">F5398</f>
        <v>-0.25</v>
      </c>
      <c r="L5398" s="0" t="n">
        <f aca="false">G5398</f>
        <v>0.25</v>
      </c>
      <c r="M5398" s="0" t="n">
        <f aca="false">H5398</f>
        <v>-0.5</v>
      </c>
      <c r="N5398" s="0" t="n">
        <f aca="false">E5398*F5398</f>
        <v>-0.1875</v>
      </c>
      <c r="O5398" s="0" t="n">
        <f aca="false">E5398*G5398</f>
        <v>0.1875</v>
      </c>
      <c r="P5398" s="0" t="n">
        <f aca="false">E5398*H5398</f>
        <v>-0.375</v>
      </c>
      <c r="Q5398" s="0" t="n">
        <f aca="false">F5398*G5398</f>
        <v>-0.0625</v>
      </c>
      <c r="R5398" s="0" t="n">
        <f aca="false">F5398*H5398</f>
        <v>0.125</v>
      </c>
      <c r="S5398" s="0" t="n">
        <f aca="false">G5398*H5398</f>
        <v>-0.125</v>
      </c>
      <c r="T5398" s="0" t="n">
        <f aca="false">E5398*E5398</f>
        <v>0.5625</v>
      </c>
      <c r="U5398" s="0" t="n">
        <f aca="false">F5398*F5398</f>
        <v>0.0625</v>
      </c>
      <c r="V5398" s="0" t="n">
        <f aca="false">G5398*G5398</f>
        <v>0.0625</v>
      </c>
      <c r="W5398" s="0" t="n">
        <f aca="false">H5398*H5398</f>
        <v>0.25</v>
      </c>
      <c r="X5398" s="0" t="n">
        <f aca="false">SUMPRODUCT(I5398:W5398,_XtX!$B$96:$P$96)</f>
        <v>46.7174844663743</v>
      </c>
      <c r="Y5398" s="0" t="n">
        <f aca="false">SUMPRODUCT(MMULT(I5398:W5398,_XtX!$B$78:$P$92),I5398:W5398)</f>
        <v>0.207746539199561</v>
      </c>
      <c r="Z5398" s="0" t="n">
        <f aca="false">04_回帰ANOVA!$K$19*04_回帰ANOVA!$K$14*SQRT(1+Y5398)</f>
        <v>1.43247250081141</v>
      </c>
      <c r="AA5398" s="0" t="n">
        <f aca="false">X5398-Z5398</f>
        <v>45.2850119655629</v>
      </c>
      <c r="AB5398" s="0" t="n">
        <f aca="false">X5398+Z5398</f>
        <v>48.1499569671857</v>
      </c>
      <c r="AC5398" s="54" t="b">
        <f aca="false">AND(E5398&gt;=01_因子設定!$L$5-0.000000001,E5398&lt;=01_因子設定!$M$5+0.000000001,F5398&gt;=01_因子設定!$L$6-0.000000001,F5398&lt;=01_因子設定!$M$6+0.000000001,G5398&gt;=01_因子設定!$L$7-0.000000001,G5398&lt;=01_因子設定!$M$7+0.000000001,H5398&gt;=01_因子設定!$L$8-0.000000001,H5398&lt;=01_因子設定!$M$8+0.000000001,IF(01_因子設定!$B$20="Box-Behnken",E5398^2+F5398^2+G5398^2+H5398^2&lt;=2+0.000000001,TRUE()))</f>
        <v>1</v>
      </c>
      <c r="AD5398" s="55" t="n">
        <f aca="false">IF(AC5398,IF(01_因子設定!$B$13="最大化",AA5398-01_因子設定!$B$14,IF(01_因子設定!$B$13="最小化",01_因子設定!$B$15-AB5398,MIN(AA5398-01_因子設定!$B$14,01_因子設定!$B$15-AB5398))),-1E+030)</f>
        <v>-1.21498803443714</v>
      </c>
      <c r="AE5398" s="55" t="n">
        <f aca="false">IF(AC5398,IF(01_因子設定!$B$13="最大化",X5398,IF(01_因子設定!$B$13="最小化",-X5398,-ABS(X5398-01_因子設定!$B$16))),-1E+030)</f>
        <v>46.7174844663743</v>
      </c>
      <c r="AF5398" s="55" t="n">
        <f aca="false">AD5398+ROW()*0.000000001</f>
        <v>-1.21498263643714</v>
      </c>
      <c r="AG5398" s="55" t="n">
        <f aca="false">AE5398+ROW()*0.000000001</f>
        <v>46.7174898643743</v>
      </c>
    </row>
    <row r="5399" customFormat="false" ht="15" hidden="false" customHeight="false" outlineLevel="0" collapsed="false">
      <c r="A5399" s="0" t="n">
        <v>7</v>
      </c>
      <c r="B5399" s="0" t="n">
        <v>3</v>
      </c>
      <c r="C5399" s="0" t="n">
        <v>5</v>
      </c>
      <c r="D5399" s="0" t="n">
        <v>3</v>
      </c>
      <c r="E5399" s="0" t="n">
        <f aca="false">-1+A5399*0.25</f>
        <v>0.75</v>
      </c>
      <c r="F5399" s="0" t="n">
        <f aca="false">-1+B5399*0.25</f>
        <v>-0.25</v>
      </c>
      <c r="G5399" s="0" t="n">
        <f aca="false">-1+C5399*0.25</f>
        <v>0.25</v>
      </c>
      <c r="H5399" s="0" t="n">
        <f aca="false">-1+D5399*0.25</f>
        <v>-0.25</v>
      </c>
      <c r="I5399" s="0" t="n">
        <f aca="false">1</f>
        <v>1</v>
      </c>
      <c r="J5399" s="0" t="n">
        <f aca="false">E5399</f>
        <v>0.75</v>
      </c>
      <c r="K5399" s="0" t="n">
        <f aca="false">F5399</f>
        <v>-0.25</v>
      </c>
      <c r="L5399" s="0" t="n">
        <f aca="false">G5399</f>
        <v>0.25</v>
      </c>
      <c r="M5399" s="0" t="n">
        <f aca="false">H5399</f>
        <v>-0.25</v>
      </c>
      <c r="N5399" s="0" t="n">
        <f aca="false">E5399*F5399</f>
        <v>-0.1875</v>
      </c>
      <c r="O5399" s="0" t="n">
        <f aca="false">E5399*G5399</f>
        <v>0.1875</v>
      </c>
      <c r="P5399" s="0" t="n">
        <f aca="false">E5399*H5399</f>
        <v>-0.1875</v>
      </c>
      <c r="Q5399" s="0" t="n">
        <f aca="false">F5399*G5399</f>
        <v>-0.0625</v>
      </c>
      <c r="R5399" s="0" t="n">
        <f aca="false">F5399*H5399</f>
        <v>0.0625</v>
      </c>
      <c r="S5399" s="0" t="n">
        <f aca="false">G5399*H5399</f>
        <v>-0.0625</v>
      </c>
      <c r="T5399" s="0" t="n">
        <f aca="false">E5399*E5399</f>
        <v>0.5625</v>
      </c>
      <c r="U5399" s="0" t="n">
        <f aca="false">F5399*F5399</f>
        <v>0.0625</v>
      </c>
      <c r="V5399" s="0" t="n">
        <f aca="false">G5399*G5399</f>
        <v>0.0625</v>
      </c>
      <c r="W5399" s="0" t="n">
        <f aca="false">H5399*H5399</f>
        <v>0.0625</v>
      </c>
      <c r="X5399" s="0" t="n">
        <f aca="false">SUMPRODUCT(I5399:W5399,_XtX!$B$96:$P$96)</f>
        <v>46.9452713815789</v>
      </c>
      <c r="Y5399" s="0" t="n">
        <f aca="false">SUMPRODUCT(MMULT(I5399:W5399,_XtX!$B$78:$P$92),I5399:W5399)</f>
        <v>0.205926192434211</v>
      </c>
      <c r="Z5399" s="0" t="n">
        <f aca="false">04_回帰ANOVA!$K$19*04_回帰ANOVA!$K$14*SQRT(1+Y5399)</f>
        <v>1.43139256396246</v>
      </c>
      <c r="AA5399" s="0" t="n">
        <f aca="false">X5399-Z5399</f>
        <v>45.5138788176165</v>
      </c>
      <c r="AB5399" s="0" t="n">
        <f aca="false">X5399+Z5399</f>
        <v>48.3766639455414</v>
      </c>
      <c r="AC5399" s="54" t="b">
        <f aca="false">AND(E5399&gt;=01_因子設定!$L$5-0.000000001,E5399&lt;=01_因子設定!$M$5+0.000000001,F5399&gt;=01_因子設定!$L$6-0.000000001,F5399&lt;=01_因子設定!$M$6+0.000000001,G5399&gt;=01_因子設定!$L$7-0.000000001,G5399&lt;=01_因子設定!$M$7+0.000000001,H5399&gt;=01_因子設定!$L$8-0.000000001,H5399&lt;=01_因子設定!$M$8+0.000000001,IF(01_因子設定!$B$20="Box-Behnken",E5399^2+F5399^2+G5399^2+H5399^2&lt;=2+0.000000001,TRUE()))</f>
        <v>1</v>
      </c>
      <c r="AD5399" s="55" t="n">
        <f aca="false">IF(AC5399,IF(01_因子設定!$B$13="最大化",AA5399-01_因子設定!$B$14,IF(01_因子設定!$B$13="最小化",01_因子設定!$B$15-AB5399,MIN(AA5399-01_因子設定!$B$14,01_因子設定!$B$15-AB5399))),-1E+030)</f>
        <v>-0.986121182383528</v>
      </c>
      <c r="AE5399" s="55" t="n">
        <f aca="false">IF(AC5399,IF(01_因子設定!$B$13="最大化",X5399,IF(01_因子設定!$B$13="最小化",-X5399,-ABS(X5399-01_因子設定!$B$16))),-1E+030)</f>
        <v>46.9452713815789</v>
      </c>
      <c r="AF5399" s="55" t="n">
        <f aca="false">AD5399+ROW()*0.000000001</f>
        <v>-0.986115783383528</v>
      </c>
      <c r="AG5399" s="55" t="n">
        <f aca="false">AE5399+ROW()*0.000000001</f>
        <v>46.9452767805789</v>
      </c>
    </row>
    <row r="5400" customFormat="false" ht="15" hidden="false" customHeight="false" outlineLevel="0" collapsed="false">
      <c r="A5400" s="0" t="n">
        <v>7</v>
      </c>
      <c r="B5400" s="0" t="n">
        <v>3</v>
      </c>
      <c r="C5400" s="0" t="n">
        <v>5</v>
      </c>
      <c r="D5400" s="0" t="n">
        <v>4</v>
      </c>
      <c r="E5400" s="0" t="n">
        <f aca="false">-1+A5400*0.25</f>
        <v>0.75</v>
      </c>
      <c r="F5400" s="0" t="n">
        <f aca="false">-1+B5400*0.25</f>
        <v>-0.25</v>
      </c>
      <c r="G5400" s="0" t="n">
        <f aca="false">-1+C5400*0.25</f>
        <v>0.25</v>
      </c>
      <c r="H5400" s="0" t="n">
        <f aca="false">-1+D5400*0.25</f>
        <v>0</v>
      </c>
      <c r="I5400" s="0" t="n">
        <f aca="false">1</f>
        <v>1</v>
      </c>
      <c r="J5400" s="0" t="n">
        <f aca="false">E5400</f>
        <v>0.75</v>
      </c>
      <c r="K5400" s="0" t="n">
        <f aca="false">F5400</f>
        <v>-0.25</v>
      </c>
      <c r="L5400" s="0" t="n">
        <f aca="false">G5400</f>
        <v>0.25</v>
      </c>
      <c r="M5400" s="0" t="n">
        <f aca="false">H5400</f>
        <v>0</v>
      </c>
      <c r="N5400" s="0" t="n">
        <f aca="false">E5400*F5400</f>
        <v>-0.1875</v>
      </c>
      <c r="O5400" s="0" t="n">
        <f aca="false">E5400*G5400</f>
        <v>0.1875</v>
      </c>
      <c r="P5400" s="0" t="n">
        <f aca="false">E5400*H5400</f>
        <v>0</v>
      </c>
      <c r="Q5400" s="0" t="n">
        <f aca="false">F5400*G5400</f>
        <v>-0.0625</v>
      </c>
      <c r="R5400" s="0" t="n">
        <f aca="false">F5400*H5400</f>
        <v>-0</v>
      </c>
      <c r="S5400" s="0" t="n">
        <f aca="false">G5400*H5400</f>
        <v>0</v>
      </c>
      <c r="T5400" s="0" t="n">
        <f aca="false">E5400*E5400</f>
        <v>0.5625</v>
      </c>
      <c r="U5400" s="0" t="n">
        <f aca="false">F5400*F5400</f>
        <v>0.0625</v>
      </c>
      <c r="V5400" s="0" t="n">
        <f aca="false">G5400*G5400</f>
        <v>0.0625</v>
      </c>
      <c r="W5400" s="0" t="n">
        <f aca="false">H5400*H5400</f>
        <v>0</v>
      </c>
      <c r="X5400" s="0" t="n">
        <f aca="false">SUMPRODUCT(I5400:W5400,_XtX!$B$96:$P$96)</f>
        <v>47.1252512792398</v>
      </c>
      <c r="Y5400" s="0" t="n">
        <f aca="false">SUMPRODUCT(MMULT(I5400:W5400,_XtX!$B$78:$P$92),I5400:W5400)</f>
        <v>0.21135011193348</v>
      </c>
      <c r="Z5400" s="0" t="n">
        <f aca="false">04_回帰ANOVA!$K$19*04_回帰ANOVA!$K$14*SQRT(1+Y5400)</f>
        <v>1.43460795469709</v>
      </c>
      <c r="AA5400" s="0" t="n">
        <f aca="false">X5400-Z5400</f>
        <v>45.6906433245427</v>
      </c>
      <c r="AB5400" s="0" t="n">
        <f aca="false">X5400+Z5400</f>
        <v>48.5598592339368</v>
      </c>
      <c r="AC5400" s="54" t="b">
        <f aca="false">AND(E5400&gt;=01_因子設定!$L$5-0.000000001,E5400&lt;=01_因子設定!$M$5+0.000000001,F5400&gt;=01_因子設定!$L$6-0.000000001,F5400&lt;=01_因子設定!$M$6+0.000000001,G5400&gt;=01_因子設定!$L$7-0.000000001,G5400&lt;=01_因子設定!$M$7+0.000000001,H5400&gt;=01_因子設定!$L$8-0.000000001,H5400&lt;=01_因子設定!$M$8+0.000000001,IF(01_因子設定!$B$20="Box-Behnken",E5400^2+F5400^2+G5400^2+H5400^2&lt;=2+0.000000001,TRUE()))</f>
        <v>1</v>
      </c>
      <c r="AD5400" s="55" t="n">
        <f aca="false">IF(AC5400,IF(01_因子設定!$B$13="最大化",AA5400-01_因子設定!$B$14,IF(01_因子設定!$B$13="最小化",01_因子設定!$B$15-AB5400,MIN(AA5400-01_因子設定!$B$14,01_因子設定!$B$15-AB5400))),-1E+030)</f>
        <v>-0.809356675457337</v>
      </c>
      <c r="AE5400" s="55" t="n">
        <f aca="false">IF(AC5400,IF(01_因子設定!$B$13="最大化",X5400,IF(01_因子設定!$B$13="最小化",-X5400,-ABS(X5400-01_因子設定!$B$16))),-1E+030)</f>
        <v>47.1252512792398</v>
      </c>
      <c r="AF5400" s="55" t="n">
        <f aca="false">AD5400+ROW()*0.000000001</f>
        <v>-0.809351275457337</v>
      </c>
      <c r="AG5400" s="55" t="n">
        <f aca="false">AE5400+ROW()*0.000000001</f>
        <v>47.1252566792398</v>
      </c>
    </row>
    <row r="5401" customFormat="false" ht="15" hidden="false" customHeight="false" outlineLevel="0" collapsed="false">
      <c r="A5401" s="0" t="n">
        <v>7</v>
      </c>
      <c r="B5401" s="0" t="n">
        <v>3</v>
      </c>
      <c r="C5401" s="0" t="n">
        <v>5</v>
      </c>
      <c r="D5401" s="0" t="n">
        <v>5</v>
      </c>
      <c r="E5401" s="0" t="n">
        <f aca="false">-1+A5401*0.25</f>
        <v>0.75</v>
      </c>
      <c r="F5401" s="0" t="n">
        <f aca="false">-1+B5401*0.25</f>
        <v>-0.25</v>
      </c>
      <c r="G5401" s="0" t="n">
        <f aca="false">-1+C5401*0.25</f>
        <v>0.25</v>
      </c>
      <c r="H5401" s="0" t="n">
        <f aca="false">-1+D5401*0.25</f>
        <v>0.25</v>
      </c>
      <c r="I5401" s="0" t="n">
        <f aca="false">1</f>
        <v>1</v>
      </c>
      <c r="J5401" s="0" t="n">
        <f aca="false">E5401</f>
        <v>0.75</v>
      </c>
      <c r="K5401" s="0" t="n">
        <f aca="false">F5401</f>
        <v>-0.25</v>
      </c>
      <c r="L5401" s="0" t="n">
        <f aca="false">G5401</f>
        <v>0.25</v>
      </c>
      <c r="M5401" s="0" t="n">
        <f aca="false">H5401</f>
        <v>0.25</v>
      </c>
      <c r="N5401" s="0" t="n">
        <f aca="false">E5401*F5401</f>
        <v>-0.1875</v>
      </c>
      <c r="O5401" s="0" t="n">
        <f aca="false">E5401*G5401</f>
        <v>0.1875</v>
      </c>
      <c r="P5401" s="0" t="n">
        <f aca="false">E5401*H5401</f>
        <v>0.1875</v>
      </c>
      <c r="Q5401" s="0" t="n">
        <f aca="false">F5401*G5401</f>
        <v>-0.0625</v>
      </c>
      <c r="R5401" s="0" t="n">
        <f aca="false">F5401*H5401</f>
        <v>-0.0625</v>
      </c>
      <c r="S5401" s="0" t="n">
        <f aca="false">G5401*H5401</f>
        <v>0.0625</v>
      </c>
      <c r="T5401" s="0" t="n">
        <f aca="false">E5401*E5401</f>
        <v>0.5625</v>
      </c>
      <c r="U5401" s="0" t="n">
        <f aca="false">F5401*F5401</f>
        <v>0.0625</v>
      </c>
      <c r="V5401" s="0" t="n">
        <f aca="false">G5401*G5401</f>
        <v>0.0625</v>
      </c>
      <c r="W5401" s="0" t="n">
        <f aca="false">H5401*H5401</f>
        <v>0.0625</v>
      </c>
      <c r="X5401" s="0" t="n">
        <f aca="false">SUMPRODUCT(I5401:W5401,_XtX!$B$96:$P$96)</f>
        <v>47.2574241593567</v>
      </c>
      <c r="Y5401" s="0" t="n">
        <f aca="false">SUMPRODUCT(MMULT(I5401:W5401,_XtX!$B$78:$P$92),I5401:W5401)</f>
        <v>0.205926192434211</v>
      </c>
      <c r="Z5401" s="0" t="n">
        <f aca="false">04_回帰ANOVA!$K$19*04_回帰ANOVA!$K$14*SQRT(1+Y5401)</f>
        <v>1.43139256396246</v>
      </c>
      <c r="AA5401" s="0" t="n">
        <f aca="false">X5401-Z5401</f>
        <v>45.8260315953943</v>
      </c>
      <c r="AB5401" s="0" t="n">
        <f aca="false">X5401+Z5401</f>
        <v>48.6888167233192</v>
      </c>
      <c r="AC5401" s="54" t="b">
        <f aca="false">AND(E5401&gt;=01_因子設定!$L$5-0.000000001,E5401&lt;=01_因子設定!$M$5+0.000000001,F5401&gt;=01_因子設定!$L$6-0.000000001,F5401&lt;=01_因子設定!$M$6+0.000000001,G5401&gt;=01_因子設定!$L$7-0.000000001,G5401&lt;=01_因子設定!$M$7+0.000000001,H5401&gt;=01_因子設定!$L$8-0.000000001,H5401&lt;=01_因子設定!$M$8+0.000000001,IF(01_因子設定!$B$20="Box-Behnken",E5401^2+F5401^2+G5401^2+H5401^2&lt;=2+0.000000001,TRUE()))</f>
        <v>1</v>
      </c>
      <c r="AD5401" s="55" t="n">
        <f aca="false">IF(AC5401,IF(01_因子設定!$B$13="最大化",AA5401-01_因子設定!$B$14,IF(01_因子設定!$B$13="最小化",01_因子設定!$B$15-AB5401,MIN(AA5401-01_因子設定!$B$14,01_因子設定!$B$15-AB5401))),-1E+030)</f>
        <v>-0.673968404605752</v>
      </c>
      <c r="AE5401" s="55" t="n">
        <f aca="false">IF(AC5401,IF(01_因子設定!$B$13="最大化",X5401,IF(01_因子設定!$B$13="最小化",-X5401,-ABS(X5401-01_因子設定!$B$16))),-1E+030)</f>
        <v>47.2574241593567</v>
      </c>
      <c r="AF5401" s="55" t="n">
        <f aca="false">AD5401+ROW()*0.000000001</f>
        <v>-0.673963003605752</v>
      </c>
      <c r="AG5401" s="55" t="n">
        <f aca="false">AE5401+ROW()*0.000000001</f>
        <v>47.2574295603567</v>
      </c>
    </row>
    <row r="5402" customFormat="false" ht="15" hidden="false" customHeight="false" outlineLevel="0" collapsed="false">
      <c r="A5402" s="0" t="n">
        <v>7</v>
      </c>
      <c r="B5402" s="0" t="n">
        <v>3</v>
      </c>
      <c r="C5402" s="0" t="n">
        <v>5</v>
      </c>
      <c r="D5402" s="0" t="n">
        <v>6</v>
      </c>
      <c r="E5402" s="0" t="n">
        <f aca="false">-1+A5402*0.25</f>
        <v>0.75</v>
      </c>
      <c r="F5402" s="0" t="n">
        <f aca="false">-1+B5402*0.25</f>
        <v>-0.25</v>
      </c>
      <c r="G5402" s="0" t="n">
        <f aca="false">-1+C5402*0.25</f>
        <v>0.25</v>
      </c>
      <c r="H5402" s="0" t="n">
        <f aca="false">-1+D5402*0.25</f>
        <v>0.5</v>
      </c>
      <c r="I5402" s="0" t="n">
        <f aca="false">1</f>
        <v>1</v>
      </c>
      <c r="J5402" s="0" t="n">
        <f aca="false">E5402</f>
        <v>0.75</v>
      </c>
      <c r="K5402" s="0" t="n">
        <f aca="false">F5402</f>
        <v>-0.25</v>
      </c>
      <c r="L5402" s="0" t="n">
        <f aca="false">G5402</f>
        <v>0.25</v>
      </c>
      <c r="M5402" s="0" t="n">
        <f aca="false">H5402</f>
        <v>0.5</v>
      </c>
      <c r="N5402" s="0" t="n">
        <f aca="false">E5402*F5402</f>
        <v>-0.1875</v>
      </c>
      <c r="O5402" s="0" t="n">
        <f aca="false">E5402*G5402</f>
        <v>0.1875</v>
      </c>
      <c r="P5402" s="0" t="n">
        <f aca="false">E5402*H5402</f>
        <v>0.375</v>
      </c>
      <c r="Q5402" s="0" t="n">
        <f aca="false">F5402*G5402</f>
        <v>-0.0625</v>
      </c>
      <c r="R5402" s="0" t="n">
        <f aca="false">F5402*H5402</f>
        <v>-0.125</v>
      </c>
      <c r="S5402" s="0" t="n">
        <f aca="false">G5402*H5402</f>
        <v>0.125</v>
      </c>
      <c r="T5402" s="0" t="n">
        <f aca="false">E5402*E5402</f>
        <v>0.5625</v>
      </c>
      <c r="U5402" s="0" t="n">
        <f aca="false">F5402*F5402</f>
        <v>0.0625</v>
      </c>
      <c r="V5402" s="0" t="n">
        <f aca="false">G5402*G5402</f>
        <v>0.0625</v>
      </c>
      <c r="W5402" s="0" t="n">
        <f aca="false">H5402*H5402</f>
        <v>0.25</v>
      </c>
      <c r="X5402" s="0" t="n">
        <f aca="false">SUMPRODUCT(I5402:W5402,_XtX!$B$96:$P$96)</f>
        <v>47.3417900219298</v>
      </c>
      <c r="Y5402" s="0" t="n">
        <f aca="false">SUMPRODUCT(MMULT(I5402:W5402,_XtX!$B$78:$P$92),I5402:W5402)</f>
        <v>0.207746539199561</v>
      </c>
      <c r="Z5402" s="0" t="n">
        <f aca="false">04_回帰ANOVA!$K$19*04_回帰ANOVA!$K$14*SQRT(1+Y5402)</f>
        <v>1.43247250081141</v>
      </c>
      <c r="AA5402" s="0" t="n">
        <f aca="false">X5402-Z5402</f>
        <v>45.9093175211184</v>
      </c>
      <c r="AB5402" s="0" t="n">
        <f aca="false">X5402+Z5402</f>
        <v>48.7742625227412</v>
      </c>
      <c r="AC5402" s="54" t="b">
        <f aca="false">AND(E5402&gt;=01_因子設定!$L$5-0.000000001,E5402&lt;=01_因子設定!$M$5+0.000000001,F5402&gt;=01_因子設定!$L$6-0.000000001,F5402&lt;=01_因子設定!$M$6+0.000000001,G5402&gt;=01_因子設定!$L$7-0.000000001,G5402&lt;=01_因子設定!$M$7+0.000000001,H5402&gt;=01_因子設定!$L$8-0.000000001,H5402&lt;=01_因子設定!$M$8+0.000000001,IF(01_因子設定!$B$20="Box-Behnken",E5402^2+F5402^2+G5402^2+H5402^2&lt;=2+0.000000001,TRUE()))</f>
        <v>1</v>
      </c>
      <c r="AD5402" s="55" t="n">
        <f aca="false">IF(AC5402,IF(01_因子設定!$B$13="最大化",AA5402-01_因子設定!$B$14,IF(01_因子設定!$B$13="最小化",01_因子設定!$B$15-AB5402,MIN(AA5402-01_因子設定!$B$14,01_因子設定!$B$15-AB5402))),-1E+030)</f>
        <v>-0.59068247888159</v>
      </c>
      <c r="AE5402" s="55" t="n">
        <f aca="false">IF(AC5402,IF(01_因子設定!$B$13="最大化",X5402,IF(01_因子設定!$B$13="最小化",-X5402,-ABS(X5402-01_因子設定!$B$16))),-1E+030)</f>
        <v>47.3417900219298</v>
      </c>
      <c r="AF5402" s="55" t="n">
        <f aca="false">AD5402+ROW()*0.000000001</f>
        <v>-0.59067707688159</v>
      </c>
      <c r="AG5402" s="55" t="n">
        <f aca="false">AE5402+ROW()*0.000000001</f>
        <v>47.3417954239298</v>
      </c>
    </row>
    <row r="5403" customFormat="false" ht="15" hidden="false" customHeight="false" outlineLevel="0" collapsed="false">
      <c r="A5403" s="0" t="n">
        <v>7</v>
      </c>
      <c r="B5403" s="0" t="n">
        <v>3</v>
      </c>
      <c r="C5403" s="0" t="n">
        <v>5</v>
      </c>
      <c r="D5403" s="0" t="n">
        <v>7</v>
      </c>
      <c r="E5403" s="0" t="n">
        <f aca="false">-1+A5403*0.25</f>
        <v>0.75</v>
      </c>
      <c r="F5403" s="0" t="n">
        <f aca="false">-1+B5403*0.25</f>
        <v>-0.25</v>
      </c>
      <c r="G5403" s="0" t="n">
        <f aca="false">-1+C5403*0.25</f>
        <v>0.25</v>
      </c>
      <c r="H5403" s="0" t="n">
        <f aca="false">-1+D5403*0.25</f>
        <v>0.75</v>
      </c>
      <c r="I5403" s="0" t="n">
        <f aca="false">1</f>
        <v>1</v>
      </c>
      <c r="J5403" s="0" t="n">
        <f aca="false">E5403</f>
        <v>0.75</v>
      </c>
      <c r="K5403" s="0" t="n">
        <f aca="false">F5403</f>
        <v>-0.25</v>
      </c>
      <c r="L5403" s="0" t="n">
        <f aca="false">G5403</f>
        <v>0.25</v>
      </c>
      <c r="M5403" s="0" t="n">
        <f aca="false">H5403</f>
        <v>0.75</v>
      </c>
      <c r="N5403" s="0" t="n">
        <f aca="false">E5403*F5403</f>
        <v>-0.1875</v>
      </c>
      <c r="O5403" s="0" t="n">
        <f aca="false">E5403*G5403</f>
        <v>0.1875</v>
      </c>
      <c r="P5403" s="0" t="n">
        <f aca="false">E5403*H5403</f>
        <v>0.5625</v>
      </c>
      <c r="Q5403" s="0" t="n">
        <f aca="false">F5403*G5403</f>
        <v>-0.0625</v>
      </c>
      <c r="R5403" s="0" t="n">
        <f aca="false">F5403*H5403</f>
        <v>-0.1875</v>
      </c>
      <c r="S5403" s="0" t="n">
        <f aca="false">G5403*H5403</f>
        <v>0.1875</v>
      </c>
      <c r="T5403" s="0" t="n">
        <f aca="false">E5403*E5403</f>
        <v>0.5625</v>
      </c>
      <c r="U5403" s="0" t="n">
        <f aca="false">F5403*F5403</f>
        <v>0.0625</v>
      </c>
      <c r="V5403" s="0" t="n">
        <f aca="false">G5403*G5403</f>
        <v>0.0625</v>
      </c>
      <c r="W5403" s="0" t="n">
        <f aca="false">H5403*H5403</f>
        <v>0.5625</v>
      </c>
      <c r="X5403" s="0" t="n">
        <f aca="false">SUMPRODUCT(I5403:W5403,_XtX!$B$96:$P$96)</f>
        <v>47.3783488669591</v>
      </c>
      <c r="Y5403" s="0" t="n">
        <f aca="false">SUMPRODUCT(MMULT(I5403:W5403,_XtX!$B$78:$P$92),I5403:W5403)</f>
        <v>0.271087468019006</v>
      </c>
      <c r="Z5403" s="0" t="n">
        <f aca="false">04_回帰ANOVA!$K$19*04_回帰ANOVA!$K$14*SQRT(1+Y5403)</f>
        <v>1.46955590155034</v>
      </c>
      <c r="AA5403" s="0" t="n">
        <f aca="false">X5403-Z5403</f>
        <v>45.9087929654087</v>
      </c>
      <c r="AB5403" s="0" t="n">
        <f aca="false">X5403+Z5403</f>
        <v>48.8479047685094</v>
      </c>
      <c r="AC5403" s="54" t="b">
        <f aca="false">AND(E5403&gt;=01_因子設定!$L$5-0.000000001,E5403&lt;=01_因子設定!$M$5+0.000000001,F5403&gt;=01_因子設定!$L$6-0.000000001,F5403&lt;=01_因子設定!$M$6+0.000000001,G5403&gt;=01_因子設定!$L$7-0.000000001,G5403&lt;=01_因子設定!$M$7+0.000000001,H5403&gt;=01_因子設定!$L$8-0.000000001,H5403&lt;=01_因子設定!$M$8+0.000000001,IF(01_因子設定!$B$20="Box-Behnken",E5403^2+F5403^2+G5403^2+H5403^2&lt;=2+0.000000001,TRUE()))</f>
        <v>1</v>
      </c>
      <c r="AD5403" s="55" t="n">
        <f aca="false">IF(AC5403,IF(01_因子設定!$B$13="最大化",AA5403-01_因子設定!$B$14,IF(01_因子設定!$B$13="最小化",01_因子設定!$B$15-AB5403,MIN(AA5403-01_因子設定!$B$14,01_因子設定!$B$15-AB5403))),-1E+030)</f>
        <v>-0.591207034591271</v>
      </c>
      <c r="AE5403" s="55" t="n">
        <f aca="false">IF(AC5403,IF(01_因子設定!$B$13="最大化",X5403,IF(01_因子設定!$B$13="最小化",-X5403,-ABS(X5403-01_因子設定!$B$16))),-1E+030)</f>
        <v>47.3783488669591</v>
      </c>
      <c r="AF5403" s="55" t="n">
        <f aca="false">AD5403+ROW()*0.000000001</f>
        <v>-0.591201631591271</v>
      </c>
      <c r="AG5403" s="55" t="n">
        <f aca="false">AE5403+ROW()*0.000000001</f>
        <v>47.3783542699591</v>
      </c>
    </row>
    <row r="5404" customFormat="false" ht="15" hidden="false" customHeight="false" outlineLevel="0" collapsed="false">
      <c r="A5404" s="0" t="n">
        <v>7</v>
      </c>
      <c r="B5404" s="0" t="n">
        <v>3</v>
      </c>
      <c r="C5404" s="0" t="n">
        <v>5</v>
      </c>
      <c r="D5404" s="0" t="n">
        <v>8</v>
      </c>
      <c r="E5404" s="0" t="n">
        <f aca="false">-1+A5404*0.25</f>
        <v>0.75</v>
      </c>
      <c r="F5404" s="0" t="n">
        <f aca="false">-1+B5404*0.25</f>
        <v>-0.25</v>
      </c>
      <c r="G5404" s="0" t="n">
        <f aca="false">-1+C5404*0.25</f>
        <v>0.25</v>
      </c>
      <c r="H5404" s="0" t="n">
        <f aca="false">-1+D5404*0.25</f>
        <v>1</v>
      </c>
      <c r="I5404" s="0" t="n">
        <f aca="false">1</f>
        <v>1</v>
      </c>
      <c r="J5404" s="0" t="n">
        <f aca="false">E5404</f>
        <v>0.75</v>
      </c>
      <c r="K5404" s="0" t="n">
        <f aca="false">F5404</f>
        <v>-0.25</v>
      </c>
      <c r="L5404" s="0" t="n">
        <f aca="false">G5404</f>
        <v>0.25</v>
      </c>
      <c r="M5404" s="0" t="n">
        <f aca="false">H5404</f>
        <v>1</v>
      </c>
      <c r="N5404" s="0" t="n">
        <f aca="false">E5404*F5404</f>
        <v>-0.1875</v>
      </c>
      <c r="O5404" s="0" t="n">
        <f aca="false">E5404*G5404</f>
        <v>0.1875</v>
      </c>
      <c r="P5404" s="0" t="n">
        <f aca="false">E5404*H5404</f>
        <v>0.75</v>
      </c>
      <c r="Q5404" s="0" t="n">
        <f aca="false">F5404*G5404</f>
        <v>-0.0625</v>
      </c>
      <c r="R5404" s="0" t="n">
        <f aca="false">F5404*H5404</f>
        <v>-0.25</v>
      </c>
      <c r="S5404" s="0" t="n">
        <f aca="false">G5404*H5404</f>
        <v>0.25</v>
      </c>
      <c r="T5404" s="0" t="n">
        <f aca="false">E5404*E5404</f>
        <v>0.5625</v>
      </c>
      <c r="U5404" s="0" t="n">
        <f aca="false">F5404*F5404</f>
        <v>0.0625</v>
      </c>
      <c r="V5404" s="0" t="n">
        <f aca="false">G5404*G5404</f>
        <v>0.0625</v>
      </c>
      <c r="W5404" s="0" t="n">
        <f aca="false">H5404*H5404</f>
        <v>1</v>
      </c>
      <c r="X5404" s="0" t="n">
        <f aca="false">SUMPRODUCT(I5404:W5404,_XtX!$B$96:$P$96)</f>
        <v>47.3671006944445</v>
      </c>
      <c r="Y5404" s="0" t="n">
        <f aca="false">SUMPRODUCT(MMULT(I5404:W5404,_XtX!$B$78:$P$92),I5404:W5404)</f>
        <v>0.486409505208334</v>
      </c>
      <c r="Z5404" s="0" t="n">
        <f aca="false">04_回帰ANOVA!$K$19*04_回帰ANOVA!$K$14*SQRT(1+Y5404)</f>
        <v>1.58916001665498</v>
      </c>
      <c r="AA5404" s="0" t="n">
        <f aca="false">X5404-Z5404</f>
        <v>45.7779406777895</v>
      </c>
      <c r="AB5404" s="0" t="n">
        <f aca="false">X5404+Z5404</f>
        <v>48.9562607110994</v>
      </c>
      <c r="AC5404" s="54" t="b">
        <f aca="false">AND(E5404&gt;=01_因子設定!$L$5-0.000000001,E5404&lt;=01_因子設定!$M$5+0.000000001,F5404&gt;=01_因子設定!$L$6-0.000000001,F5404&lt;=01_因子設定!$M$6+0.000000001,G5404&gt;=01_因子設定!$L$7-0.000000001,G5404&lt;=01_因子設定!$M$7+0.000000001,H5404&gt;=01_因子設定!$L$8-0.000000001,H5404&lt;=01_因子設定!$M$8+0.000000001,IF(01_因子設定!$B$20="Box-Behnken",E5404^2+F5404^2+G5404^2+H5404^2&lt;=2+0.000000001,TRUE()))</f>
        <v>1</v>
      </c>
      <c r="AD5404" s="55" t="n">
        <f aca="false">IF(AC5404,IF(01_因子設定!$B$13="最大化",AA5404-01_因子設定!$B$14,IF(01_因子設定!$B$13="最小化",01_因子設定!$B$15-AB5404,MIN(AA5404-01_因子設定!$B$14,01_因子設定!$B$15-AB5404))),-1E+030)</f>
        <v>-0.722059322210512</v>
      </c>
      <c r="AE5404" s="55" t="n">
        <f aca="false">IF(AC5404,IF(01_因子設定!$B$13="最大化",X5404,IF(01_因子設定!$B$13="最小化",-X5404,-ABS(X5404-01_因子設定!$B$16))),-1E+030)</f>
        <v>47.3671006944445</v>
      </c>
      <c r="AF5404" s="55" t="n">
        <f aca="false">AD5404+ROW()*0.000000001</f>
        <v>-0.722053918210512</v>
      </c>
      <c r="AG5404" s="55" t="n">
        <f aca="false">AE5404+ROW()*0.000000001</f>
        <v>47.3671060984445</v>
      </c>
    </row>
    <row r="5405" customFormat="false" ht="15" hidden="false" customHeight="false" outlineLevel="0" collapsed="false">
      <c r="A5405" s="0" t="n">
        <v>7</v>
      </c>
      <c r="B5405" s="0" t="n">
        <v>3</v>
      </c>
      <c r="C5405" s="0" t="n">
        <v>6</v>
      </c>
      <c r="D5405" s="0" t="n">
        <v>0</v>
      </c>
      <c r="E5405" s="0" t="n">
        <f aca="false">-1+A5405*0.25</f>
        <v>0.75</v>
      </c>
      <c r="F5405" s="0" t="n">
        <f aca="false">-1+B5405*0.25</f>
        <v>-0.25</v>
      </c>
      <c r="G5405" s="0" t="n">
        <f aca="false">-1+C5405*0.25</f>
        <v>0.5</v>
      </c>
      <c r="H5405" s="0" t="n">
        <f aca="false">-1+D5405*0.25</f>
        <v>-1</v>
      </c>
      <c r="I5405" s="0" t="n">
        <f aca="false">1</f>
        <v>1</v>
      </c>
      <c r="J5405" s="0" t="n">
        <f aca="false">E5405</f>
        <v>0.75</v>
      </c>
      <c r="K5405" s="0" t="n">
        <f aca="false">F5405</f>
        <v>-0.25</v>
      </c>
      <c r="L5405" s="0" t="n">
        <f aca="false">G5405</f>
        <v>0.5</v>
      </c>
      <c r="M5405" s="0" t="n">
        <f aca="false">H5405</f>
        <v>-1</v>
      </c>
      <c r="N5405" s="0" t="n">
        <f aca="false">E5405*F5405</f>
        <v>-0.1875</v>
      </c>
      <c r="O5405" s="0" t="n">
        <f aca="false">E5405*G5405</f>
        <v>0.375</v>
      </c>
      <c r="P5405" s="0" t="n">
        <f aca="false">E5405*H5405</f>
        <v>-0.75</v>
      </c>
      <c r="Q5405" s="0" t="n">
        <f aca="false">F5405*G5405</f>
        <v>-0.125</v>
      </c>
      <c r="R5405" s="0" t="n">
        <f aca="false">F5405*H5405</f>
        <v>0.25</v>
      </c>
      <c r="S5405" s="0" t="n">
        <f aca="false">G5405*H5405</f>
        <v>-0.5</v>
      </c>
      <c r="T5405" s="0" t="n">
        <f aca="false">E5405*E5405</f>
        <v>0.5625</v>
      </c>
      <c r="U5405" s="0" t="n">
        <f aca="false">F5405*F5405</f>
        <v>0.0625</v>
      </c>
      <c r="V5405" s="0" t="n">
        <f aca="false">G5405*G5405</f>
        <v>0.25</v>
      </c>
      <c r="W5405" s="0" t="n">
        <f aca="false">H5405*H5405</f>
        <v>1</v>
      </c>
      <c r="X5405" s="0" t="n">
        <f aca="false">SUMPRODUCT(I5405:W5405,_XtX!$B$96:$P$96)</f>
        <v>46.0230811403509</v>
      </c>
      <c r="Y5405" s="0" t="n">
        <f aca="false">SUMPRODUCT(MMULT(I5405:W5405,_XtX!$B$78:$P$92),I5405:W5405)</f>
        <v>0.459125719572369</v>
      </c>
      <c r="Z5405" s="0" t="n">
        <f aca="false">04_回帰ANOVA!$K$19*04_回帰ANOVA!$K$14*SQRT(1+Y5405)</f>
        <v>1.57450755575573</v>
      </c>
      <c r="AA5405" s="0" t="n">
        <f aca="false">X5405-Z5405</f>
        <v>44.4485735845952</v>
      </c>
      <c r="AB5405" s="0" t="n">
        <f aca="false">X5405+Z5405</f>
        <v>47.5975886961066</v>
      </c>
      <c r="AC5405" s="54" t="b">
        <f aca="false">AND(E5405&gt;=01_因子設定!$L$5-0.000000001,E5405&lt;=01_因子設定!$M$5+0.000000001,F5405&gt;=01_因子設定!$L$6-0.000000001,F5405&lt;=01_因子設定!$M$6+0.000000001,G5405&gt;=01_因子設定!$L$7-0.000000001,G5405&lt;=01_因子設定!$M$7+0.000000001,H5405&gt;=01_因子設定!$L$8-0.000000001,H5405&lt;=01_因子設定!$M$8+0.000000001,IF(01_因子設定!$B$20="Box-Behnken",E5405^2+F5405^2+G5405^2+H5405^2&lt;=2+0.000000001,TRUE()))</f>
        <v>1</v>
      </c>
      <c r="AD5405" s="55" t="n">
        <f aca="false">IF(AC5405,IF(01_因子設定!$B$13="最大化",AA5405-01_因子設定!$B$14,IF(01_因子設定!$B$13="最小化",01_因子設定!$B$15-AB5405,MIN(AA5405-01_因子設定!$B$14,01_因子設定!$B$15-AB5405))),-1E+030)</f>
        <v>-2.05142641540483</v>
      </c>
      <c r="AE5405" s="55" t="n">
        <f aca="false">IF(AC5405,IF(01_因子設定!$B$13="最大化",X5405,IF(01_因子設定!$B$13="最小化",-X5405,-ABS(X5405-01_因子設定!$B$16))),-1E+030)</f>
        <v>46.0230811403509</v>
      </c>
      <c r="AF5405" s="55" t="n">
        <f aca="false">AD5405+ROW()*0.000000001</f>
        <v>-2.05142101040483</v>
      </c>
      <c r="AG5405" s="55" t="n">
        <f aca="false">AE5405+ROW()*0.000000001</f>
        <v>46.0230865453509</v>
      </c>
    </row>
    <row r="5406" customFormat="false" ht="15" hidden="false" customHeight="false" outlineLevel="0" collapsed="false">
      <c r="A5406" s="0" t="n">
        <v>7</v>
      </c>
      <c r="B5406" s="0" t="n">
        <v>3</v>
      </c>
      <c r="C5406" s="0" t="n">
        <v>6</v>
      </c>
      <c r="D5406" s="0" t="n">
        <v>1</v>
      </c>
      <c r="E5406" s="0" t="n">
        <f aca="false">-1+A5406*0.25</f>
        <v>0.75</v>
      </c>
      <c r="F5406" s="0" t="n">
        <f aca="false">-1+B5406*0.25</f>
        <v>-0.25</v>
      </c>
      <c r="G5406" s="0" t="n">
        <f aca="false">-1+C5406*0.25</f>
        <v>0.5</v>
      </c>
      <c r="H5406" s="0" t="n">
        <f aca="false">-1+D5406*0.25</f>
        <v>-0.75</v>
      </c>
      <c r="I5406" s="0" t="n">
        <f aca="false">1</f>
        <v>1</v>
      </c>
      <c r="J5406" s="0" t="n">
        <f aca="false">E5406</f>
        <v>0.75</v>
      </c>
      <c r="K5406" s="0" t="n">
        <f aca="false">F5406</f>
        <v>-0.25</v>
      </c>
      <c r="L5406" s="0" t="n">
        <f aca="false">G5406</f>
        <v>0.5</v>
      </c>
      <c r="M5406" s="0" t="n">
        <f aca="false">H5406</f>
        <v>-0.75</v>
      </c>
      <c r="N5406" s="0" t="n">
        <f aca="false">E5406*F5406</f>
        <v>-0.1875</v>
      </c>
      <c r="O5406" s="0" t="n">
        <f aca="false">E5406*G5406</f>
        <v>0.375</v>
      </c>
      <c r="P5406" s="0" t="n">
        <f aca="false">E5406*H5406</f>
        <v>-0.5625</v>
      </c>
      <c r="Q5406" s="0" t="n">
        <f aca="false">F5406*G5406</f>
        <v>-0.125</v>
      </c>
      <c r="R5406" s="0" t="n">
        <f aca="false">F5406*H5406</f>
        <v>0.1875</v>
      </c>
      <c r="S5406" s="0" t="n">
        <f aca="false">G5406*H5406</f>
        <v>-0.375</v>
      </c>
      <c r="T5406" s="0" t="n">
        <f aca="false">E5406*E5406</f>
        <v>0.5625</v>
      </c>
      <c r="U5406" s="0" t="n">
        <f aca="false">F5406*F5406</f>
        <v>0.0625</v>
      </c>
      <c r="V5406" s="0" t="n">
        <f aca="false">G5406*G5406</f>
        <v>0.25</v>
      </c>
      <c r="W5406" s="0" t="n">
        <f aca="false">H5406*H5406</f>
        <v>0.5625</v>
      </c>
      <c r="X5406" s="0" t="n">
        <f aca="false">SUMPRODUCT(I5406:W5406,_XtX!$B$96:$P$96)</f>
        <v>46.3644508406433</v>
      </c>
      <c r="Y5406" s="0" t="n">
        <f aca="false">SUMPRODUCT(MMULT(I5406:W5406,_XtX!$B$78:$P$92),I5406:W5406)</f>
        <v>0.257385610836988</v>
      </c>
      <c r="Z5406" s="0" t="n">
        <f aca="false">04_回帰ANOVA!$K$19*04_回帰ANOVA!$K$14*SQRT(1+Y5406)</f>
        <v>1.46161380324158</v>
      </c>
      <c r="AA5406" s="0" t="n">
        <f aca="false">X5406-Z5406</f>
        <v>44.9028370374017</v>
      </c>
      <c r="AB5406" s="0" t="n">
        <f aca="false">X5406+Z5406</f>
        <v>47.8260646438849</v>
      </c>
      <c r="AC5406" s="54" t="b">
        <f aca="false">AND(E5406&gt;=01_因子設定!$L$5-0.000000001,E5406&lt;=01_因子設定!$M$5+0.000000001,F5406&gt;=01_因子設定!$L$6-0.000000001,F5406&lt;=01_因子設定!$M$6+0.000000001,G5406&gt;=01_因子設定!$L$7-0.000000001,G5406&lt;=01_因子設定!$M$7+0.000000001,H5406&gt;=01_因子設定!$L$8-0.000000001,H5406&lt;=01_因子設定!$M$8+0.000000001,IF(01_因子設定!$B$20="Box-Behnken",E5406^2+F5406^2+G5406^2+H5406^2&lt;=2+0.000000001,TRUE()))</f>
        <v>1</v>
      </c>
      <c r="AD5406" s="55" t="n">
        <f aca="false">IF(AC5406,IF(01_因子設定!$B$13="最大化",AA5406-01_因子設定!$B$14,IF(01_因子設定!$B$13="最小化",01_因子設定!$B$15-AB5406,MIN(AA5406-01_因子設定!$B$14,01_因子設定!$B$15-AB5406))),-1E+030)</f>
        <v>-1.5971629625983</v>
      </c>
      <c r="AE5406" s="55" t="n">
        <f aca="false">IF(AC5406,IF(01_因子設定!$B$13="最大化",X5406,IF(01_因子設定!$B$13="最小化",-X5406,-ABS(X5406-01_因子設定!$B$16))),-1E+030)</f>
        <v>46.3644508406433</v>
      </c>
      <c r="AF5406" s="55" t="n">
        <f aca="false">AD5406+ROW()*0.000000001</f>
        <v>-1.5971575565983</v>
      </c>
      <c r="AG5406" s="55" t="n">
        <f aca="false">AE5406+ROW()*0.000000001</f>
        <v>46.3644562466433</v>
      </c>
    </row>
    <row r="5407" customFormat="false" ht="15" hidden="false" customHeight="false" outlineLevel="0" collapsed="false">
      <c r="A5407" s="0" t="n">
        <v>7</v>
      </c>
      <c r="B5407" s="0" t="n">
        <v>3</v>
      </c>
      <c r="C5407" s="0" t="n">
        <v>6</v>
      </c>
      <c r="D5407" s="0" t="n">
        <v>2</v>
      </c>
      <c r="E5407" s="0" t="n">
        <f aca="false">-1+A5407*0.25</f>
        <v>0.75</v>
      </c>
      <c r="F5407" s="0" t="n">
        <f aca="false">-1+B5407*0.25</f>
        <v>-0.25</v>
      </c>
      <c r="G5407" s="0" t="n">
        <f aca="false">-1+C5407*0.25</f>
        <v>0.5</v>
      </c>
      <c r="H5407" s="0" t="n">
        <f aca="false">-1+D5407*0.25</f>
        <v>-0.5</v>
      </c>
      <c r="I5407" s="0" t="n">
        <f aca="false">1</f>
        <v>1</v>
      </c>
      <c r="J5407" s="0" t="n">
        <f aca="false">E5407</f>
        <v>0.75</v>
      </c>
      <c r="K5407" s="0" t="n">
        <f aca="false">F5407</f>
        <v>-0.25</v>
      </c>
      <c r="L5407" s="0" t="n">
        <f aca="false">G5407</f>
        <v>0.5</v>
      </c>
      <c r="M5407" s="0" t="n">
        <f aca="false">H5407</f>
        <v>-0.5</v>
      </c>
      <c r="N5407" s="0" t="n">
        <f aca="false">E5407*F5407</f>
        <v>-0.1875</v>
      </c>
      <c r="O5407" s="0" t="n">
        <f aca="false">E5407*G5407</f>
        <v>0.375</v>
      </c>
      <c r="P5407" s="0" t="n">
        <f aca="false">E5407*H5407</f>
        <v>-0.375</v>
      </c>
      <c r="Q5407" s="0" t="n">
        <f aca="false">F5407*G5407</f>
        <v>-0.125</v>
      </c>
      <c r="R5407" s="0" t="n">
        <f aca="false">F5407*H5407</f>
        <v>0.125</v>
      </c>
      <c r="S5407" s="0" t="n">
        <f aca="false">G5407*H5407</f>
        <v>-0.25</v>
      </c>
      <c r="T5407" s="0" t="n">
        <f aca="false">E5407*E5407</f>
        <v>0.5625</v>
      </c>
      <c r="U5407" s="0" t="n">
        <f aca="false">F5407*F5407</f>
        <v>0.0625</v>
      </c>
      <c r="V5407" s="0" t="n">
        <f aca="false">G5407*G5407</f>
        <v>0.25</v>
      </c>
      <c r="W5407" s="0" t="n">
        <f aca="false">H5407*H5407</f>
        <v>0.25</v>
      </c>
      <c r="X5407" s="0" t="n">
        <f aca="false">SUMPRODUCT(I5407:W5407,_XtX!$B$96:$P$96)</f>
        <v>46.6580135233918</v>
      </c>
      <c r="Y5407" s="0" t="n">
        <f aca="false">SUMPRODUCT(MMULT(I5407:W5407,_XtX!$B$78:$P$92),I5407:W5407)</f>
        <v>0.203746059484649</v>
      </c>
      <c r="Z5407" s="0" t="n">
        <f aca="false">04_回帰ANOVA!$K$19*04_回帰ANOVA!$K$14*SQRT(1+Y5407)</f>
        <v>1.43009810755465</v>
      </c>
      <c r="AA5407" s="0" t="n">
        <f aca="false">X5407-Z5407</f>
        <v>45.2279154158372</v>
      </c>
      <c r="AB5407" s="0" t="n">
        <f aca="false">X5407+Z5407</f>
        <v>48.0881116309465</v>
      </c>
      <c r="AC5407" s="54" t="b">
        <f aca="false">AND(E5407&gt;=01_因子設定!$L$5-0.000000001,E5407&lt;=01_因子設定!$M$5+0.000000001,F5407&gt;=01_因子設定!$L$6-0.000000001,F5407&lt;=01_因子設定!$M$6+0.000000001,G5407&gt;=01_因子設定!$L$7-0.000000001,G5407&lt;=01_因子設定!$M$7+0.000000001,H5407&gt;=01_因子設定!$L$8-0.000000001,H5407&lt;=01_因子設定!$M$8+0.000000001,IF(01_因子設定!$B$20="Box-Behnken",E5407^2+F5407^2+G5407^2+H5407^2&lt;=2+0.000000001,TRUE()))</f>
        <v>1</v>
      </c>
      <c r="AD5407" s="55" t="n">
        <f aca="false">IF(AC5407,IF(01_因子設定!$B$13="最大化",AA5407-01_因子設定!$B$14,IF(01_因子設定!$B$13="最小化",01_因子設定!$B$15-AB5407,MIN(AA5407-01_因子設定!$B$14,01_因子設定!$B$15-AB5407))),-1E+030)</f>
        <v>-1.27208458416284</v>
      </c>
      <c r="AE5407" s="55" t="n">
        <f aca="false">IF(AC5407,IF(01_因子設定!$B$13="最大化",X5407,IF(01_因子設定!$B$13="最小化",-X5407,-ABS(X5407-01_因子設定!$B$16))),-1E+030)</f>
        <v>46.6580135233918</v>
      </c>
      <c r="AF5407" s="55" t="n">
        <f aca="false">AD5407+ROW()*0.000000001</f>
        <v>-1.27207917716284</v>
      </c>
      <c r="AG5407" s="55" t="n">
        <f aca="false">AE5407+ROW()*0.000000001</f>
        <v>46.6580189303918</v>
      </c>
    </row>
    <row r="5408" customFormat="false" ht="15" hidden="false" customHeight="false" outlineLevel="0" collapsed="false">
      <c r="A5408" s="0" t="n">
        <v>7</v>
      </c>
      <c r="B5408" s="0" t="n">
        <v>3</v>
      </c>
      <c r="C5408" s="0" t="n">
        <v>6</v>
      </c>
      <c r="D5408" s="0" t="n">
        <v>3</v>
      </c>
      <c r="E5408" s="0" t="n">
        <f aca="false">-1+A5408*0.25</f>
        <v>0.75</v>
      </c>
      <c r="F5408" s="0" t="n">
        <f aca="false">-1+B5408*0.25</f>
        <v>-0.25</v>
      </c>
      <c r="G5408" s="0" t="n">
        <f aca="false">-1+C5408*0.25</f>
        <v>0.5</v>
      </c>
      <c r="H5408" s="0" t="n">
        <f aca="false">-1+D5408*0.25</f>
        <v>-0.25</v>
      </c>
      <c r="I5408" s="0" t="n">
        <f aca="false">1</f>
        <v>1</v>
      </c>
      <c r="J5408" s="0" t="n">
        <f aca="false">E5408</f>
        <v>0.75</v>
      </c>
      <c r="K5408" s="0" t="n">
        <f aca="false">F5408</f>
        <v>-0.25</v>
      </c>
      <c r="L5408" s="0" t="n">
        <f aca="false">G5408</f>
        <v>0.5</v>
      </c>
      <c r="M5408" s="0" t="n">
        <f aca="false">H5408</f>
        <v>-0.25</v>
      </c>
      <c r="N5408" s="0" t="n">
        <f aca="false">E5408*F5408</f>
        <v>-0.1875</v>
      </c>
      <c r="O5408" s="0" t="n">
        <f aca="false">E5408*G5408</f>
        <v>0.375</v>
      </c>
      <c r="P5408" s="0" t="n">
        <f aca="false">E5408*H5408</f>
        <v>-0.1875</v>
      </c>
      <c r="Q5408" s="0" t="n">
        <f aca="false">F5408*G5408</f>
        <v>-0.125</v>
      </c>
      <c r="R5408" s="0" t="n">
        <f aca="false">F5408*H5408</f>
        <v>0.0625</v>
      </c>
      <c r="S5408" s="0" t="n">
        <f aca="false">G5408*H5408</f>
        <v>-0.125</v>
      </c>
      <c r="T5408" s="0" t="n">
        <f aca="false">E5408*E5408</f>
        <v>0.5625</v>
      </c>
      <c r="U5408" s="0" t="n">
        <f aca="false">F5408*F5408</f>
        <v>0.0625</v>
      </c>
      <c r="V5408" s="0" t="n">
        <f aca="false">G5408*G5408</f>
        <v>0.25</v>
      </c>
      <c r="W5408" s="0" t="n">
        <f aca="false">H5408*H5408</f>
        <v>0.0625</v>
      </c>
      <c r="X5408" s="0" t="n">
        <f aca="false">SUMPRODUCT(I5408:W5408,_XtX!$B$96:$P$96)</f>
        <v>46.9037691885965</v>
      </c>
      <c r="Y5408" s="0" t="n">
        <f aca="false">SUMPRODUCT(MMULT(I5408:W5408,_XtX!$B$78:$P$92),I5408:W5408)</f>
        <v>0.207746539199561</v>
      </c>
      <c r="Z5408" s="0" t="n">
        <f aca="false">04_回帰ANOVA!$K$19*04_回帰ANOVA!$K$14*SQRT(1+Y5408)</f>
        <v>1.43247250081141</v>
      </c>
      <c r="AA5408" s="0" t="n">
        <f aca="false">X5408-Z5408</f>
        <v>45.4712966877851</v>
      </c>
      <c r="AB5408" s="0" t="n">
        <f aca="false">X5408+Z5408</f>
        <v>48.3362416894079</v>
      </c>
      <c r="AC5408" s="54" t="b">
        <f aca="false">AND(E5408&gt;=01_因子設定!$L$5-0.000000001,E5408&lt;=01_因子設定!$M$5+0.000000001,F5408&gt;=01_因子設定!$L$6-0.000000001,F5408&lt;=01_因子設定!$M$6+0.000000001,G5408&gt;=01_因子設定!$L$7-0.000000001,G5408&lt;=01_因子設定!$M$7+0.000000001,H5408&gt;=01_因子設定!$L$8-0.000000001,H5408&lt;=01_因子設定!$M$8+0.000000001,IF(01_因子設定!$B$20="Box-Behnken",E5408^2+F5408^2+G5408^2+H5408^2&lt;=2+0.000000001,TRUE()))</f>
        <v>1</v>
      </c>
      <c r="AD5408" s="55" t="n">
        <f aca="false">IF(AC5408,IF(01_因子設定!$B$13="最大化",AA5408-01_因子設定!$B$14,IF(01_因子設定!$B$13="最小化",01_因子設定!$B$15-AB5408,MIN(AA5408-01_因子設定!$B$14,01_因子設定!$B$15-AB5408))),-1E+030)</f>
        <v>-1.02870331221493</v>
      </c>
      <c r="AE5408" s="55" t="n">
        <f aca="false">IF(AC5408,IF(01_因子設定!$B$13="最大化",X5408,IF(01_因子設定!$B$13="最小化",-X5408,-ABS(X5408-01_因子設定!$B$16))),-1E+030)</f>
        <v>46.9037691885965</v>
      </c>
      <c r="AF5408" s="55" t="n">
        <f aca="false">AD5408+ROW()*0.000000001</f>
        <v>-1.02869790421493</v>
      </c>
      <c r="AG5408" s="55" t="n">
        <f aca="false">AE5408+ROW()*0.000000001</f>
        <v>46.9037745965965</v>
      </c>
    </row>
    <row r="5409" customFormat="false" ht="15" hidden="false" customHeight="false" outlineLevel="0" collapsed="false">
      <c r="A5409" s="0" t="n">
        <v>7</v>
      </c>
      <c r="B5409" s="0" t="n">
        <v>3</v>
      </c>
      <c r="C5409" s="0" t="n">
        <v>6</v>
      </c>
      <c r="D5409" s="0" t="n">
        <v>4</v>
      </c>
      <c r="E5409" s="0" t="n">
        <f aca="false">-1+A5409*0.25</f>
        <v>0.75</v>
      </c>
      <c r="F5409" s="0" t="n">
        <f aca="false">-1+B5409*0.25</f>
        <v>-0.25</v>
      </c>
      <c r="G5409" s="0" t="n">
        <f aca="false">-1+C5409*0.25</f>
        <v>0.5</v>
      </c>
      <c r="H5409" s="0" t="n">
        <f aca="false">-1+D5409*0.25</f>
        <v>0</v>
      </c>
      <c r="I5409" s="0" t="n">
        <f aca="false">1</f>
        <v>1</v>
      </c>
      <c r="J5409" s="0" t="n">
        <f aca="false">E5409</f>
        <v>0.75</v>
      </c>
      <c r="K5409" s="0" t="n">
        <f aca="false">F5409</f>
        <v>-0.25</v>
      </c>
      <c r="L5409" s="0" t="n">
        <f aca="false">G5409</f>
        <v>0.5</v>
      </c>
      <c r="M5409" s="0" t="n">
        <f aca="false">H5409</f>
        <v>0</v>
      </c>
      <c r="N5409" s="0" t="n">
        <f aca="false">E5409*F5409</f>
        <v>-0.1875</v>
      </c>
      <c r="O5409" s="0" t="n">
        <f aca="false">E5409*G5409</f>
        <v>0.375</v>
      </c>
      <c r="P5409" s="0" t="n">
        <f aca="false">E5409*H5409</f>
        <v>0</v>
      </c>
      <c r="Q5409" s="0" t="n">
        <f aca="false">F5409*G5409</f>
        <v>-0.125</v>
      </c>
      <c r="R5409" s="0" t="n">
        <f aca="false">F5409*H5409</f>
        <v>-0</v>
      </c>
      <c r="S5409" s="0" t="n">
        <f aca="false">G5409*H5409</f>
        <v>0</v>
      </c>
      <c r="T5409" s="0" t="n">
        <f aca="false">E5409*E5409</f>
        <v>0.5625</v>
      </c>
      <c r="U5409" s="0" t="n">
        <f aca="false">F5409*F5409</f>
        <v>0.0625</v>
      </c>
      <c r="V5409" s="0" t="n">
        <f aca="false">G5409*G5409</f>
        <v>0.25</v>
      </c>
      <c r="W5409" s="0" t="n">
        <f aca="false">H5409*H5409</f>
        <v>0</v>
      </c>
      <c r="X5409" s="0" t="n">
        <f aca="false">SUMPRODUCT(I5409:W5409,_XtX!$B$96:$P$96)</f>
        <v>47.1017178362573</v>
      </c>
      <c r="Y5409" s="0" t="n">
        <f aca="false">SUMPRODUCT(MMULT(I5409:W5409,_XtX!$B$78:$P$92),I5409:W5409)</f>
        <v>0.215110734192252</v>
      </c>
      <c r="Z5409" s="0" t="n">
        <f aca="false">04_回帰ANOVA!$K$19*04_回帰ANOVA!$K$14*SQRT(1+Y5409)</f>
        <v>1.43683309086864</v>
      </c>
      <c r="AA5409" s="0" t="n">
        <f aca="false">X5409-Z5409</f>
        <v>45.6648847453887</v>
      </c>
      <c r="AB5409" s="0" t="n">
        <f aca="false">X5409+Z5409</f>
        <v>48.5385509271259</v>
      </c>
      <c r="AC5409" s="54" t="b">
        <f aca="false">AND(E5409&gt;=01_因子設定!$L$5-0.000000001,E5409&lt;=01_因子設定!$M$5+0.000000001,F5409&gt;=01_因子設定!$L$6-0.000000001,F5409&lt;=01_因子設定!$M$6+0.000000001,G5409&gt;=01_因子設定!$L$7-0.000000001,G5409&lt;=01_因子設定!$M$7+0.000000001,H5409&gt;=01_因子設定!$L$8-0.000000001,H5409&lt;=01_因子設定!$M$8+0.000000001,IF(01_因子設定!$B$20="Box-Behnken",E5409^2+F5409^2+G5409^2+H5409^2&lt;=2+0.000000001,TRUE()))</f>
        <v>1</v>
      </c>
      <c r="AD5409" s="55" t="n">
        <f aca="false">IF(AC5409,IF(01_因子設定!$B$13="最大化",AA5409-01_因子設定!$B$14,IF(01_因子設定!$B$13="最小化",01_因子設定!$B$15-AB5409,MIN(AA5409-01_因子設定!$B$14,01_因子設定!$B$15-AB5409))),-1E+030)</f>
        <v>-0.835115254611353</v>
      </c>
      <c r="AE5409" s="55" t="n">
        <f aca="false">IF(AC5409,IF(01_因子設定!$B$13="最大化",X5409,IF(01_因子設定!$B$13="最小化",-X5409,-ABS(X5409-01_因子設定!$B$16))),-1E+030)</f>
        <v>47.1017178362573</v>
      </c>
      <c r="AF5409" s="55" t="n">
        <f aca="false">AD5409+ROW()*0.000000001</f>
        <v>-0.835109845611353</v>
      </c>
      <c r="AG5409" s="55" t="n">
        <f aca="false">AE5409+ROW()*0.000000001</f>
        <v>47.1017232452573</v>
      </c>
    </row>
    <row r="5410" customFormat="false" ht="15" hidden="false" customHeight="false" outlineLevel="0" collapsed="false">
      <c r="A5410" s="0" t="n">
        <v>7</v>
      </c>
      <c r="B5410" s="0" t="n">
        <v>3</v>
      </c>
      <c r="C5410" s="0" t="n">
        <v>6</v>
      </c>
      <c r="D5410" s="0" t="n">
        <v>5</v>
      </c>
      <c r="E5410" s="0" t="n">
        <f aca="false">-1+A5410*0.25</f>
        <v>0.75</v>
      </c>
      <c r="F5410" s="0" t="n">
        <f aca="false">-1+B5410*0.25</f>
        <v>-0.25</v>
      </c>
      <c r="G5410" s="0" t="n">
        <f aca="false">-1+C5410*0.25</f>
        <v>0.5</v>
      </c>
      <c r="H5410" s="0" t="n">
        <f aca="false">-1+D5410*0.25</f>
        <v>0.25</v>
      </c>
      <c r="I5410" s="0" t="n">
        <f aca="false">1</f>
        <v>1</v>
      </c>
      <c r="J5410" s="0" t="n">
        <f aca="false">E5410</f>
        <v>0.75</v>
      </c>
      <c r="K5410" s="0" t="n">
        <f aca="false">F5410</f>
        <v>-0.25</v>
      </c>
      <c r="L5410" s="0" t="n">
        <f aca="false">G5410</f>
        <v>0.5</v>
      </c>
      <c r="M5410" s="0" t="n">
        <f aca="false">H5410</f>
        <v>0.25</v>
      </c>
      <c r="N5410" s="0" t="n">
        <f aca="false">E5410*F5410</f>
        <v>-0.1875</v>
      </c>
      <c r="O5410" s="0" t="n">
        <f aca="false">E5410*G5410</f>
        <v>0.375</v>
      </c>
      <c r="P5410" s="0" t="n">
        <f aca="false">E5410*H5410</f>
        <v>0.1875</v>
      </c>
      <c r="Q5410" s="0" t="n">
        <f aca="false">F5410*G5410</f>
        <v>-0.125</v>
      </c>
      <c r="R5410" s="0" t="n">
        <f aca="false">F5410*H5410</f>
        <v>-0.0625</v>
      </c>
      <c r="S5410" s="0" t="n">
        <f aca="false">G5410*H5410</f>
        <v>0.125</v>
      </c>
      <c r="T5410" s="0" t="n">
        <f aca="false">E5410*E5410</f>
        <v>0.5625</v>
      </c>
      <c r="U5410" s="0" t="n">
        <f aca="false">F5410*F5410</f>
        <v>0.0625</v>
      </c>
      <c r="V5410" s="0" t="n">
        <f aca="false">G5410*G5410</f>
        <v>0.25</v>
      </c>
      <c r="W5410" s="0" t="n">
        <f aca="false">H5410*H5410</f>
        <v>0.0625</v>
      </c>
      <c r="X5410" s="0" t="n">
        <f aca="false">SUMPRODUCT(I5410:W5410,_XtX!$B$96:$P$96)</f>
        <v>47.2518594663743</v>
      </c>
      <c r="Y5410" s="0" t="n">
        <f aca="false">SUMPRODUCT(MMULT(I5410:W5410,_XtX!$B$78:$P$92),I5410:W5410)</f>
        <v>0.207746539199561</v>
      </c>
      <c r="Z5410" s="0" t="n">
        <f aca="false">04_回帰ANOVA!$K$19*04_回帰ANOVA!$K$14*SQRT(1+Y5410)</f>
        <v>1.43247250081141</v>
      </c>
      <c r="AA5410" s="0" t="n">
        <f aca="false">X5410-Z5410</f>
        <v>45.8193869655629</v>
      </c>
      <c r="AB5410" s="0" t="n">
        <f aca="false">X5410+Z5410</f>
        <v>48.6843319671857</v>
      </c>
      <c r="AC5410" s="54" t="b">
        <f aca="false">AND(E5410&gt;=01_因子設定!$L$5-0.000000001,E5410&lt;=01_因子設定!$M$5+0.000000001,F5410&gt;=01_因子設定!$L$6-0.000000001,F5410&lt;=01_因子設定!$M$6+0.000000001,G5410&gt;=01_因子設定!$L$7-0.000000001,G5410&lt;=01_因子設定!$M$7+0.000000001,H5410&gt;=01_因子設定!$L$8-0.000000001,H5410&lt;=01_因子設定!$M$8+0.000000001,IF(01_因子設定!$B$20="Box-Behnken",E5410^2+F5410^2+G5410^2+H5410^2&lt;=2+0.000000001,TRUE()))</f>
        <v>1</v>
      </c>
      <c r="AD5410" s="55" t="n">
        <f aca="false">IF(AC5410,IF(01_因子設定!$B$13="最大化",AA5410-01_因子設定!$B$14,IF(01_因子設定!$B$13="最小化",01_因子設定!$B$15-AB5410,MIN(AA5410-01_因子設定!$B$14,01_因子設定!$B$15-AB5410))),-1E+030)</f>
        <v>-0.680613034437151</v>
      </c>
      <c r="AE5410" s="55" t="n">
        <f aca="false">IF(AC5410,IF(01_因子設定!$B$13="最大化",X5410,IF(01_因子設定!$B$13="最小化",-X5410,-ABS(X5410-01_因子設定!$B$16))),-1E+030)</f>
        <v>47.2518594663743</v>
      </c>
      <c r="AF5410" s="55" t="n">
        <f aca="false">AD5410+ROW()*0.000000001</f>
        <v>-0.680607624437151</v>
      </c>
      <c r="AG5410" s="55" t="n">
        <f aca="false">AE5410+ROW()*0.000000001</f>
        <v>47.2518648763743</v>
      </c>
    </row>
    <row r="5411" customFormat="false" ht="15" hidden="false" customHeight="false" outlineLevel="0" collapsed="false">
      <c r="A5411" s="0" t="n">
        <v>7</v>
      </c>
      <c r="B5411" s="0" t="n">
        <v>3</v>
      </c>
      <c r="C5411" s="0" t="n">
        <v>6</v>
      </c>
      <c r="D5411" s="0" t="n">
        <v>6</v>
      </c>
      <c r="E5411" s="0" t="n">
        <f aca="false">-1+A5411*0.25</f>
        <v>0.75</v>
      </c>
      <c r="F5411" s="0" t="n">
        <f aca="false">-1+B5411*0.25</f>
        <v>-0.25</v>
      </c>
      <c r="G5411" s="0" t="n">
        <f aca="false">-1+C5411*0.25</f>
        <v>0.5</v>
      </c>
      <c r="H5411" s="0" t="n">
        <f aca="false">-1+D5411*0.25</f>
        <v>0.5</v>
      </c>
      <c r="I5411" s="0" t="n">
        <f aca="false">1</f>
        <v>1</v>
      </c>
      <c r="J5411" s="0" t="n">
        <f aca="false">E5411</f>
        <v>0.75</v>
      </c>
      <c r="K5411" s="0" t="n">
        <f aca="false">F5411</f>
        <v>-0.25</v>
      </c>
      <c r="L5411" s="0" t="n">
        <f aca="false">G5411</f>
        <v>0.5</v>
      </c>
      <c r="M5411" s="0" t="n">
        <f aca="false">H5411</f>
        <v>0.5</v>
      </c>
      <c r="N5411" s="0" t="n">
        <f aca="false">E5411*F5411</f>
        <v>-0.1875</v>
      </c>
      <c r="O5411" s="0" t="n">
        <f aca="false">E5411*G5411</f>
        <v>0.375</v>
      </c>
      <c r="P5411" s="0" t="n">
        <f aca="false">E5411*H5411</f>
        <v>0.375</v>
      </c>
      <c r="Q5411" s="0" t="n">
        <f aca="false">F5411*G5411</f>
        <v>-0.125</v>
      </c>
      <c r="R5411" s="0" t="n">
        <f aca="false">F5411*H5411</f>
        <v>-0.125</v>
      </c>
      <c r="S5411" s="0" t="n">
        <f aca="false">G5411*H5411</f>
        <v>0.25</v>
      </c>
      <c r="T5411" s="0" t="n">
        <f aca="false">E5411*E5411</f>
        <v>0.5625</v>
      </c>
      <c r="U5411" s="0" t="n">
        <f aca="false">F5411*F5411</f>
        <v>0.0625</v>
      </c>
      <c r="V5411" s="0" t="n">
        <f aca="false">G5411*G5411</f>
        <v>0.25</v>
      </c>
      <c r="W5411" s="0" t="n">
        <f aca="false">H5411*H5411</f>
        <v>0.25</v>
      </c>
      <c r="X5411" s="0" t="n">
        <f aca="false">SUMPRODUCT(I5411:W5411,_XtX!$B$96:$P$96)</f>
        <v>47.3541940789474</v>
      </c>
      <c r="Y5411" s="0" t="n">
        <f aca="false">SUMPRODUCT(MMULT(I5411:W5411,_XtX!$B$78:$P$92),I5411:W5411)</f>
        <v>0.203746059484649</v>
      </c>
      <c r="Z5411" s="0" t="n">
        <f aca="false">04_回帰ANOVA!$K$19*04_回帰ANOVA!$K$14*SQRT(1+Y5411)</f>
        <v>1.43009810755465</v>
      </c>
      <c r="AA5411" s="0" t="n">
        <f aca="false">X5411-Z5411</f>
        <v>45.9240959713927</v>
      </c>
      <c r="AB5411" s="0" t="n">
        <f aca="false">X5411+Z5411</f>
        <v>48.784292186502</v>
      </c>
      <c r="AC5411" s="54" t="b">
        <f aca="false">AND(E5411&gt;=01_因子設定!$L$5-0.000000001,E5411&lt;=01_因子設定!$M$5+0.000000001,F5411&gt;=01_因子設定!$L$6-0.000000001,F5411&lt;=01_因子設定!$M$6+0.000000001,G5411&gt;=01_因子設定!$L$7-0.000000001,G5411&lt;=01_因子設定!$M$7+0.000000001,H5411&gt;=01_因子設定!$L$8-0.000000001,H5411&lt;=01_因子設定!$M$8+0.000000001,IF(01_因子設定!$B$20="Box-Behnken",E5411^2+F5411^2+G5411^2+H5411^2&lt;=2+0.000000001,TRUE()))</f>
        <v>1</v>
      </c>
      <c r="AD5411" s="55" t="n">
        <f aca="false">IF(AC5411,IF(01_因子設定!$B$13="最大化",AA5411-01_因子設定!$B$14,IF(01_因子設定!$B$13="最小化",01_因子設定!$B$15-AB5411,MIN(AA5411-01_因子設定!$B$14,01_因子設定!$B$15-AB5411))),-1E+030)</f>
        <v>-0.575904028607283</v>
      </c>
      <c r="AE5411" s="55" t="n">
        <f aca="false">IF(AC5411,IF(01_因子設定!$B$13="最大化",X5411,IF(01_因子設定!$B$13="最小化",-X5411,-ABS(X5411-01_因子設定!$B$16))),-1E+030)</f>
        <v>47.3541940789474</v>
      </c>
      <c r="AF5411" s="55" t="n">
        <f aca="false">AD5411+ROW()*0.000000001</f>
        <v>-0.575898617607283</v>
      </c>
      <c r="AG5411" s="55" t="n">
        <f aca="false">AE5411+ROW()*0.000000001</f>
        <v>47.3541994899474</v>
      </c>
    </row>
    <row r="5412" customFormat="false" ht="15" hidden="false" customHeight="false" outlineLevel="0" collapsed="false">
      <c r="A5412" s="0" t="n">
        <v>7</v>
      </c>
      <c r="B5412" s="0" t="n">
        <v>3</v>
      </c>
      <c r="C5412" s="0" t="n">
        <v>6</v>
      </c>
      <c r="D5412" s="0" t="n">
        <v>7</v>
      </c>
      <c r="E5412" s="0" t="n">
        <f aca="false">-1+A5412*0.25</f>
        <v>0.75</v>
      </c>
      <c r="F5412" s="0" t="n">
        <f aca="false">-1+B5412*0.25</f>
        <v>-0.25</v>
      </c>
      <c r="G5412" s="0" t="n">
        <f aca="false">-1+C5412*0.25</f>
        <v>0.5</v>
      </c>
      <c r="H5412" s="0" t="n">
        <f aca="false">-1+D5412*0.25</f>
        <v>0.75</v>
      </c>
      <c r="I5412" s="0" t="n">
        <f aca="false">1</f>
        <v>1</v>
      </c>
      <c r="J5412" s="0" t="n">
        <f aca="false">E5412</f>
        <v>0.75</v>
      </c>
      <c r="K5412" s="0" t="n">
        <f aca="false">F5412</f>
        <v>-0.25</v>
      </c>
      <c r="L5412" s="0" t="n">
        <f aca="false">G5412</f>
        <v>0.5</v>
      </c>
      <c r="M5412" s="0" t="n">
        <f aca="false">H5412</f>
        <v>0.75</v>
      </c>
      <c r="N5412" s="0" t="n">
        <f aca="false">E5412*F5412</f>
        <v>-0.1875</v>
      </c>
      <c r="O5412" s="0" t="n">
        <f aca="false">E5412*G5412</f>
        <v>0.375</v>
      </c>
      <c r="P5412" s="0" t="n">
        <f aca="false">E5412*H5412</f>
        <v>0.5625</v>
      </c>
      <c r="Q5412" s="0" t="n">
        <f aca="false">F5412*G5412</f>
        <v>-0.125</v>
      </c>
      <c r="R5412" s="0" t="n">
        <f aca="false">F5412*H5412</f>
        <v>-0.1875</v>
      </c>
      <c r="S5412" s="0" t="n">
        <f aca="false">G5412*H5412</f>
        <v>0.375</v>
      </c>
      <c r="T5412" s="0" t="n">
        <f aca="false">E5412*E5412</f>
        <v>0.5625</v>
      </c>
      <c r="U5412" s="0" t="n">
        <f aca="false">F5412*F5412</f>
        <v>0.0625</v>
      </c>
      <c r="V5412" s="0" t="n">
        <f aca="false">G5412*G5412</f>
        <v>0.25</v>
      </c>
      <c r="W5412" s="0" t="n">
        <f aca="false">H5412*H5412</f>
        <v>0.5625</v>
      </c>
      <c r="X5412" s="0" t="n">
        <f aca="false">SUMPRODUCT(I5412:W5412,_XtX!$B$96:$P$96)</f>
        <v>47.4087216739766</v>
      </c>
      <c r="Y5412" s="0" t="n">
        <f aca="false">SUMPRODUCT(MMULT(I5412:W5412,_XtX!$B$78:$P$92),I5412:W5412)</f>
        <v>0.257385610836988</v>
      </c>
      <c r="Z5412" s="0" t="n">
        <f aca="false">04_回帰ANOVA!$K$19*04_回帰ANOVA!$K$14*SQRT(1+Y5412)</f>
        <v>1.46161380324158</v>
      </c>
      <c r="AA5412" s="0" t="n">
        <f aca="false">X5412-Z5412</f>
        <v>45.947107870735</v>
      </c>
      <c r="AB5412" s="0" t="n">
        <f aca="false">X5412+Z5412</f>
        <v>48.8703354772182</v>
      </c>
      <c r="AC5412" s="54" t="b">
        <f aca="false">AND(E5412&gt;=01_因子設定!$L$5-0.000000001,E5412&lt;=01_因子設定!$M$5+0.000000001,F5412&gt;=01_因子設定!$L$6-0.000000001,F5412&lt;=01_因子設定!$M$6+0.000000001,G5412&gt;=01_因子設定!$L$7-0.000000001,G5412&lt;=01_因子設定!$M$7+0.000000001,H5412&gt;=01_因子設定!$L$8-0.000000001,H5412&lt;=01_因子設定!$M$8+0.000000001,IF(01_因子設定!$B$20="Box-Behnken",E5412^2+F5412^2+G5412^2+H5412^2&lt;=2+0.000000001,TRUE()))</f>
        <v>1</v>
      </c>
      <c r="AD5412" s="55" t="n">
        <f aca="false">IF(AC5412,IF(01_因子設定!$B$13="最大化",AA5412-01_因子設定!$B$14,IF(01_因子設定!$B$13="最小化",01_因子設定!$B$15-AB5412,MIN(AA5412-01_因子設定!$B$14,01_因子設定!$B$15-AB5412))),-1E+030)</f>
        <v>-0.552892129264968</v>
      </c>
      <c r="AE5412" s="55" t="n">
        <f aca="false">IF(AC5412,IF(01_因子設定!$B$13="最大化",X5412,IF(01_因子設定!$B$13="最小化",-X5412,-ABS(X5412-01_因子設定!$B$16))),-1E+030)</f>
        <v>47.4087216739766</v>
      </c>
      <c r="AF5412" s="55" t="n">
        <f aca="false">AD5412+ROW()*0.000000001</f>
        <v>-0.552886717264968</v>
      </c>
      <c r="AG5412" s="55" t="n">
        <f aca="false">AE5412+ROW()*0.000000001</f>
        <v>47.4087270859766</v>
      </c>
    </row>
    <row r="5413" customFormat="false" ht="15" hidden="false" customHeight="false" outlineLevel="0" collapsed="false">
      <c r="A5413" s="0" t="n">
        <v>7</v>
      </c>
      <c r="B5413" s="0" t="n">
        <v>3</v>
      </c>
      <c r="C5413" s="0" t="n">
        <v>6</v>
      </c>
      <c r="D5413" s="0" t="n">
        <v>8</v>
      </c>
      <c r="E5413" s="0" t="n">
        <f aca="false">-1+A5413*0.25</f>
        <v>0.75</v>
      </c>
      <c r="F5413" s="0" t="n">
        <f aca="false">-1+B5413*0.25</f>
        <v>-0.25</v>
      </c>
      <c r="G5413" s="0" t="n">
        <f aca="false">-1+C5413*0.25</f>
        <v>0.5</v>
      </c>
      <c r="H5413" s="0" t="n">
        <f aca="false">-1+D5413*0.25</f>
        <v>1</v>
      </c>
      <c r="I5413" s="0" t="n">
        <f aca="false">1</f>
        <v>1</v>
      </c>
      <c r="J5413" s="0" t="n">
        <f aca="false">E5413</f>
        <v>0.75</v>
      </c>
      <c r="K5413" s="0" t="n">
        <f aca="false">F5413</f>
        <v>-0.25</v>
      </c>
      <c r="L5413" s="0" t="n">
        <f aca="false">G5413</f>
        <v>0.5</v>
      </c>
      <c r="M5413" s="0" t="n">
        <f aca="false">H5413</f>
        <v>1</v>
      </c>
      <c r="N5413" s="0" t="n">
        <f aca="false">E5413*F5413</f>
        <v>-0.1875</v>
      </c>
      <c r="O5413" s="0" t="n">
        <f aca="false">E5413*G5413</f>
        <v>0.375</v>
      </c>
      <c r="P5413" s="0" t="n">
        <f aca="false">E5413*H5413</f>
        <v>0.75</v>
      </c>
      <c r="Q5413" s="0" t="n">
        <f aca="false">F5413*G5413</f>
        <v>-0.125</v>
      </c>
      <c r="R5413" s="0" t="n">
        <f aca="false">F5413*H5413</f>
        <v>-0.25</v>
      </c>
      <c r="S5413" s="0" t="n">
        <f aca="false">G5413*H5413</f>
        <v>0.5</v>
      </c>
      <c r="T5413" s="0" t="n">
        <f aca="false">E5413*E5413</f>
        <v>0.5625</v>
      </c>
      <c r="U5413" s="0" t="n">
        <f aca="false">F5413*F5413</f>
        <v>0.0625</v>
      </c>
      <c r="V5413" s="0" t="n">
        <f aca="false">G5413*G5413</f>
        <v>0.25</v>
      </c>
      <c r="W5413" s="0" t="n">
        <f aca="false">H5413*H5413</f>
        <v>1</v>
      </c>
      <c r="X5413" s="0" t="n">
        <f aca="false">SUMPRODUCT(I5413:W5413,_XtX!$B$96:$P$96)</f>
        <v>47.415442251462</v>
      </c>
      <c r="Y5413" s="0" t="n">
        <f aca="false">SUMPRODUCT(MMULT(I5413:W5413,_XtX!$B$78:$P$92),I5413:W5413)</f>
        <v>0.459125719572369</v>
      </c>
      <c r="Z5413" s="0" t="n">
        <f aca="false">04_回帰ANOVA!$K$19*04_回帰ANOVA!$K$14*SQRT(1+Y5413)</f>
        <v>1.57450755575573</v>
      </c>
      <c r="AA5413" s="0" t="n">
        <f aca="false">X5413-Z5413</f>
        <v>45.8409346957063</v>
      </c>
      <c r="AB5413" s="0" t="n">
        <f aca="false">X5413+Z5413</f>
        <v>48.9899498072177</v>
      </c>
      <c r="AC5413" s="54" t="b">
        <f aca="false">AND(E5413&gt;=01_因子設定!$L$5-0.000000001,E5413&lt;=01_因子設定!$M$5+0.000000001,F5413&gt;=01_因子設定!$L$6-0.000000001,F5413&lt;=01_因子設定!$M$6+0.000000001,G5413&gt;=01_因子設定!$L$7-0.000000001,G5413&lt;=01_因子設定!$M$7+0.000000001,H5413&gt;=01_因子設定!$L$8-0.000000001,H5413&lt;=01_因子設定!$M$8+0.000000001,IF(01_因子設定!$B$20="Box-Behnken",E5413^2+F5413^2+G5413^2+H5413^2&lt;=2+0.000000001,TRUE()))</f>
        <v>1</v>
      </c>
      <c r="AD5413" s="55" t="n">
        <f aca="false">IF(AC5413,IF(01_因子設定!$B$13="最大化",AA5413-01_因子設定!$B$14,IF(01_因子設定!$B$13="最小化",01_因子設定!$B$15-AB5413,MIN(AA5413-01_因子設定!$B$14,01_因子設定!$B$15-AB5413))),-1E+030)</f>
        <v>-0.659065304293719</v>
      </c>
      <c r="AE5413" s="55" t="n">
        <f aca="false">IF(AC5413,IF(01_因子設定!$B$13="最大化",X5413,IF(01_因子設定!$B$13="最小化",-X5413,-ABS(X5413-01_因子設定!$B$16))),-1E+030)</f>
        <v>47.415442251462</v>
      </c>
      <c r="AF5413" s="55" t="n">
        <f aca="false">AD5413+ROW()*0.000000001</f>
        <v>-0.659059891293719</v>
      </c>
      <c r="AG5413" s="55" t="n">
        <f aca="false">AE5413+ROW()*0.000000001</f>
        <v>47.415447664462</v>
      </c>
    </row>
    <row r="5414" customFormat="false" ht="15" hidden="false" customHeight="false" outlineLevel="0" collapsed="false">
      <c r="A5414" s="0" t="n">
        <v>7</v>
      </c>
      <c r="B5414" s="0" t="n">
        <v>3</v>
      </c>
      <c r="C5414" s="0" t="n">
        <v>7</v>
      </c>
      <c r="D5414" s="0" t="n">
        <v>0</v>
      </c>
      <c r="E5414" s="0" t="n">
        <f aca="false">-1+A5414*0.25</f>
        <v>0.75</v>
      </c>
      <c r="F5414" s="0" t="n">
        <f aca="false">-1+B5414*0.25</f>
        <v>-0.25</v>
      </c>
      <c r="G5414" s="0" t="n">
        <f aca="false">-1+C5414*0.25</f>
        <v>0.75</v>
      </c>
      <c r="H5414" s="0" t="n">
        <f aca="false">-1+D5414*0.25</f>
        <v>-1</v>
      </c>
      <c r="I5414" s="0" t="n">
        <f aca="false">1</f>
        <v>1</v>
      </c>
      <c r="J5414" s="0" t="n">
        <f aca="false">E5414</f>
        <v>0.75</v>
      </c>
      <c r="K5414" s="0" t="n">
        <f aca="false">F5414</f>
        <v>-0.25</v>
      </c>
      <c r="L5414" s="0" t="n">
        <f aca="false">G5414</f>
        <v>0.75</v>
      </c>
      <c r="M5414" s="0" t="n">
        <f aca="false">H5414</f>
        <v>-1</v>
      </c>
      <c r="N5414" s="0" t="n">
        <f aca="false">E5414*F5414</f>
        <v>-0.1875</v>
      </c>
      <c r="O5414" s="0" t="n">
        <f aca="false">E5414*G5414</f>
        <v>0.5625</v>
      </c>
      <c r="P5414" s="0" t="n">
        <f aca="false">E5414*H5414</f>
        <v>-0.75</v>
      </c>
      <c r="Q5414" s="0" t="n">
        <f aca="false">F5414*G5414</f>
        <v>-0.1875</v>
      </c>
      <c r="R5414" s="0" t="n">
        <f aca="false">F5414*H5414</f>
        <v>0.25</v>
      </c>
      <c r="S5414" s="0" t="n">
        <f aca="false">G5414*H5414</f>
        <v>-0.75</v>
      </c>
      <c r="T5414" s="0" t="n">
        <f aca="false">E5414*E5414</f>
        <v>0.5625</v>
      </c>
      <c r="U5414" s="0" t="n">
        <f aca="false">F5414*F5414</f>
        <v>0.0625</v>
      </c>
      <c r="V5414" s="0" t="n">
        <f aca="false">G5414*G5414</f>
        <v>0.5625</v>
      </c>
      <c r="W5414" s="0" t="n">
        <f aca="false">H5414*H5414</f>
        <v>1</v>
      </c>
      <c r="X5414" s="0" t="n">
        <f aca="false">SUMPRODUCT(I5414:W5414,_XtX!$B$96:$P$96)</f>
        <v>45.8423656798246</v>
      </c>
      <c r="Y5414" s="0" t="n">
        <f aca="false">SUMPRODUCT(MMULT(I5414:W5414,_XtX!$B$78:$P$92),I5414:W5414)</f>
        <v>0.473959761056287</v>
      </c>
      <c r="Z5414" s="0" t="n">
        <f aca="false">04_回帰ANOVA!$K$19*04_回帰ANOVA!$K$14*SQRT(1+Y5414)</f>
        <v>1.58249084588329</v>
      </c>
      <c r="AA5414" s="0" t="n">
        <f aca="false">X5414-Z5414</f>
        <v>44.2598748339413</v>
      </c>
      <c r="AB5414" s="0" t="n">
        <f aca="false">X5414+Z5414</f>
        <v>47.4248565257079</v>
      </c>
      <c r="AC5414" s="54" t="b">
        <f aca="false">AND(E5414&gt;=01_因子設定!$L$5-0.000000001,E5414&lt;=01_因子設定!$M$5+0.000000001,F5414&gt;=01_因子設定!$L$6-0.000000001,F5414&lt;=01_因子設定!$M$6+0.000000001,G5414&gt;=01_因子設定!$L$7-0.000000001,G5414&lt;=01_因子設定!$M$7+0.000000001,H5414&gt;=01_因子設定!$L$8-0.000000001,H5414&lt;=01_因子設定!$M$8+0.000000001,IF(01_因子設定!$B$20="Box-Behnken",E5414^2+F5414^2+G5414^2+H5414^2&lt;=2+0.000000001,TRUE()))</f>
        <v>1</v>
      </c>
      <c r="AD5414" s="55" t="n">
        <f aca="false">IF(AC5414,IF(01_因子設定!$B$13="最大化",AA5414-01_因子設定!$B$14,IF(01_因子設定!$B$13="最小化",01_因子設定!$B$15-AB5414,MIN(AA5414-01_因子設定!$B$14,01_因子設定!$B$15-AB5414))),-1E+030)</f>
        <v>-2.2401251660587</v>
      </c>
      <c r="AE5414" s="55" t="n">
        <f aca="false">IF(AC5414,IF(01_因子設定!$B$13="最大化",X5414,IF(01_因子設定!$B$13="最小化",-X5414,-ABS(X5414-01_因子設定!$B$16))),-1E+030)</f>
        <v>45.8423656798246</v>
      </c>
      <c r="AF5414" s="55" t="n">
        <f aca="false">AD5414+ROW()*0.000000001</f>
        <v>-2.2401197520587</v>
      </c>
      <c r="AG5414" s="55" t="n">
        <f aca="false">AE5414+ROW()*0.000000001</f>
        <v>45.8423710938246</v>
      </c>
    </row>
    <row r="5415" customFormat="false" ht="15" hidden="false" customHeight="false" outlineLevel="0" collapsed="false">
      <c r="A5415" s="0" t="n">
        <v>7</v>
      </c>
      <c r="B5415" s="0" t="n">
        <v>3</v>
      </c>
      <c r="C5415" s="0" t="n">
        <v>7</v>
      </c>
      <c r="D5415" s="0" t="n">
        <v>1</v>
      </c>
      <c r="E5415" s="0" t="n">
        <f aca="false">-1+A5415*0.25</f>
        <v>0.75</v>
      </c>
      <c r="F5415" s="0" t="n">
        <f aca="false">-1+B5415*0.25</f>
        <v>-0.25</v>
      </c>
      <c r="G5415" s="0" t="n">
        <f aca="false">-1+C5415*0.25</f>
        <v>0.75</v>
      </c>
      <c r="H5415" s="0" t="n">
        <f aca="false">-1+D5415*0.25</f>
        <v>-0.75</v>
      </c>
      <c r="I5415" s="0" t="n">
        <f aca="false">1</f>
        <v>1</v>
      </c>
      <c r="J5415" s="0" t="n">
        <f aca="false">E5415</f>
        <v>0.75</v>
      </c>
      <c r="K5415" s="0" t="n">
        <f aca="false">F5415</f>
        <v>-0.25</v>
      </c>
      <c r="L5415" s="0" t="n">
        <f aca="false">G5415</f>
        <v>0.75</v>
      </c>
      <c r="M5415" s="0" t="n">
        <f aca="false">H5415</f>
        <v>-0.75</v>
      </c>
      <c r="N5415" s="0" t="n">
        <f aca="false">E5415*F5415</f>
        <v>-0.1875</v>
      </c>
      <c r="O5415" s="0" t="n">
        <f aca="false">E5415*G5415</f>
        <v>0.5625</v>
      </c>
      <c r="P5415" s="0" t="n">
        <f aca="false">E5415*H5415</f>
        <v>-0.5625</v>
      </c>
      <c r="Q5415" s="0" t="n">
        <f aca="false">F5415*G5415</f>
        <v>-0.1875</v>
      </c>
      <c r="R5415" s="0" t="n">
        <f aca="false">F5415*H5415</f>
        <v>0.1875</v>
      </c>
      <c r="S5415" s="0" t="n">
        <f aca="false">G5415*H5415</f>
        <v>-0.5625</v>
      </c>
      <c r="T5415" s="0" t="n">
        <f aca="false">E5415*E5415</f>
        <v>0.5625</v>
      </c>
      <c r="U5415" s="0" t="n">
        <f aca="false">F5415*F5415</f>
        <v>0.0625</v>
      </c>
      <c r="V5415" s="0" t="n">
        <f aca="false">G5415*G5415</f>
        <v>0.5625</v>
      </c>
      <c r="W5415" s="0" t="n">
        <f aca="false">H5415*H5415</f>
        <v>0.5625</v>
      </c>
      <c r="X5415" s="0" t="n">
        <f aca="false">SUMPRODUCT(I5415:W5415,_XtX!$B$96:$P$96)</f>
        <v>46.201704130117</v>
      </c>
      <c r="Y5415" s="0" t="n">
        <f aca="false">SUMPRODUCT(MMULT(I5415:W5415,_XtX!$B$78:$P$92),I5415:W5415)</f>
        <v>0.294856199744152</v>
      </c>
      <c r="Z5415" s="0" t="n">
        <f aca="false">04_回帰ANOVA!$K$19*04_回帰ANOVA!$K$14*SQRT(1+Y5415)</f>
        <v>1.48323226089013</v>
      </c>
      <c r="AA5415" s="0" t="n">
        <f aca="false">X5415-Z5415</f>
        <v>44.7184718692268</v>
      </c>
      <c r="AB5415" s="0" t="n">
        <f aca="false">X5415+Z5415</f>
        <v>47.6849363910071</v>
      </c>
      <c r="AC5415" s="54" t="b">
        <f aca="false">AND(E5415&gt;=01_因子設定!$L$5-0.000000001,E5415&lt;=01_因子設定!$M$5+0.000000001,F5415&gt;=01_因子設定!$L$6-0.000000001,F5415&lt;=01_因子設定!$M$6+0.000000001,G5415&gt;=01_因子設定!$L$7-0.000000001,G5415&lt;=01_因子設定!$M$7+0.000000001,H5415&gt;=01_因子設定!$L$8-0.000000001,H5415&lt;=01_因子設定!$M$8+0.000000001,IF(01_因子設定!$B$20="Box-Behnken",E5415^2+F5415^2+G5415^2+H5415^2&lt;=2+0.000000001,TRUE()))</f>
        <v>1</v>
      </c>
      <c r="AD5415" s="55" t="n">
        <f aca="false">IF(AC5415,IF(01_因子設定!$B$13="最大化",AA5415-01_因子設定!$B$14,IF(01_因子設定!$B$13="最小化",01_因子設定!$B$15-AB5415,MIN(AA5415-01_因子設定!$B$14,01_因子設定!$B$15-AB5415))),-1E+030)</f>
        <v>-1.78152813077317</v>
      </c>
      <c r="AE5415" s="55" t="n">
        <f aca="false">IF(AC5415,IF(01_因子設定!$B$13="最大化",X5415,IF(01_因子設定!$B$13="最小化",-X5415,-ABS(X5415-01_因子設定!$B$16))),-1E+030)</f>
        <v>46.201704130117</v>
      </c>
      <c r="AF5415" s="55" t="n">
        <f aca="false">AD5415+ROW()*0.000000001</f>
        <v>-1.78152271577317</v>
      </c>
      <c r="AG5415" s="55" t="n">
        <f aca="false">AE5415+ROW()*0.000000001</f>
        <v>46.201709545117</v>
      </c>
    </row>
    <row r="5416" customFormat="false" ht="15" hidden="false" customHeight="false" outlineLevel="0" collapsed="false">
      <c r="A5416" s="0" t="n">
        <v>7</v>
      </c>
      <c r="B5416" s="0" t="n">
        <v>3</v>
      </c>
      <c r="C5416" s="0" t="n">
        <v>7</v>
      </c>
      <c r="D5416" s="0" t="n">
        <v>2</v>
      </c>
      <c r="E5416" s="0" t="n">
        <f aca="false">-1+A5416*0.25</f>
        <v>0.75</v>
      </c>
      <c r="F5416" s="0" t="n">
        <f aca="false">-1+B5416*0.25</f>
        <v>-0.25</v>
      </c>
      <c r="G5416" s="0" t="n">
        <f aca="false">-1+C5416*0.25</f>
        <v>0.75</v>
      </c>
      <c r="H5416" s="0" t="n">
        <f aca="false">-1+D5416*0.25</f>
        <v>-0.5</v>
      </c>
      <c r="I5416" s="0" t="n">
        <f aca="false">1</f>
        <v>1</v>
      </c>
      <c r="J5416" s="0" t="n">
        <f aca="false">E5416</f>
        <v>0.75</v>
      </c>
      <c r="K5416" s="0" t="n">
        <f aca="false">F5416</f>
        <v>-0.25</v>
      </c>
      <c r="L5416" s="0" t="n">
        <f aca="false">G5416</f>
        <v>0.75</v>
      </c>
      <c r="M5416" s="0" t="n">
        <f aca="false">H5416</f>
        <v>-0.5</v>
      </c>
      <c r="N5416" s="0" t="n">
        <f aca="false">E5416*F5416</f>
        <v>-0.1875</v>
      </c>
      <c r="O5416" s="0" t="n">
        <f aca="false">E5416*G5416</f>
        <v>0.5625</v>
      </c>
      <c r="P5416" s="0" t="n">
        <f aca="false">E5416*H5416</f>
        <v>-0.375</v>
      </c>
      <c r="Q5416" s="0" t="n">
        <f aca="false">F5416*G5416</f>
        <v>-0.1875</v>
      </c>
      <c r="R5416" s="0" t="n">
        <f aca="false">F5416*H5416</f>
        <v>0.125</v>
      </c>
      <c r="S5416" s="0" t="n">
        <f aca="false">G5416*H5416</f>
        <v>-0.375</v>
      </c>
      <c r="T5416" s="0" t="n">
        <f aca="false">E5416*E5416</f>
        <v>0.5625</v>
      </c>
      <c r="U5416" s="0" t="n">
        <f aca="false">F5416*F5416</f>
        <v>0.0625</v>
      </c>
      <c r="V5416" s="0" t="n">
        <f aca="false">G5416*G5416</f>
        <v>0.5625</v>
      </c>
      <c r="W5416" s="0" t="n">
        <f aca="false">H5416*H5416</f>
        <v>0.25</v>
      </c>
      <c r="X5416" s="0" t="n">
        <f aca="false">SUMPRODUCT(I5416:W5416,_XtX!$B$96:$P$96)</f>
        <v>46.5132355628655</v>
      </c>
      <c r="Y5416" s="0" t="n">
        <f aca="false">SUMPRODUCT(MMULT(I5416:W5416,_XtX!$B$78:$P$92),I5416:W5416)</f>
        <v>0.257385610836988</v>
      </c>
      <c r="Z5416" s="0" t="n">
        <f aca="false">04_回帰ANOVA!$K$19*04_回帰ANOVA!$K$14*SQRT(1+Y5416)</f>
        <v>1.46161380324158</v>
      </c>
      <c r="AA5416" s="0" t="n">
        <f aca="false">X5416-Z5416</f>
        <v>45.0516217596239</v>
      </c>
      <c r="AB5416" s="0" t="n">
        <f aca="false">X5416+Z5416</f>
        <v>47.9748493661071</v>
      </c>
      <c r="AC5416" s="54" t="b">
        <f aca="false">AND(E5416&gt;=01_因子設定!$L$5-0.000000001,E5416&lt;=01_因子設定!$M$5+0.000000001,F5416&gt;=01_因子設定!$L$6-0.000000001,F5416&lt;=01_因子設定!$M$6+0.000000001,G5416&gt;=01_因子設定!$L$7-0.000000001,G5416&lt;=01_因子設定!$M$7+0.000000001,H5416&gt;=01_因子設定!$L$8-0.000000001,H5416&lt;=01_因子設定!$M$8+0.000000001,IF(01_因子設定!$B$20="Box-Behnken",E5416^2+F5416^2+G5416^2+H5416^2&lt;=2+0.000000001,TRUE()))</f>
        <v>1</v>
      </c>
      <c r="AD5416" s="55" t="n">
        <f aca="false">IF(AC5416,IF(01_因子設定!$B$13="最大化",AA5416-01_因子設定!$B$14,IF(01_因子設定!$B$13="最小化",01_因子設定!$B$15-AB5416,MIN(AA5416-01_因子設定!$B$14,01_因子設定!$B$15-AB5416))),-1E+030)</f>
        <v>-1.44837824037609</v>
      </c>
      <c r="AE5416" s="55" t="n">
        <f aca="false">IF(AC5416,IF(01_因子設定!$B$13="最大化",X5416,IF(01_因子設定!$B$13="最小化",-X5416,-ABS(X5416-01_因子設定!$B$16))),-1E+030)</f>
        <v>46.5132355628655</v>
      </c>
      <c r="AF5416" s="55" t="n">
        <f aca="false">AD5416+ROW()*0.000000001</f>
        <v>-1.44837282437609</v>
      </c>
      <c r="AG5416" s="55" t="n">
        <f aca="false">AE5416+ROW()*0.000000001</f>
        <v>46.5132409788655</v>
      </c>
    </row>
    <row r="5417" customFormat="false" ht="15" hidden="false" customHeight="false" outlineLevel="0" collapsed="false">
      <c r="A5417" s="0" t="n">
        <v>7</v>
      </c>
      <c r="B5417" s="0" t="n">
        <v>3</v>
      </c>
      <c r="C5417" s="0" t="n">
        <v>7</v>
      </c>
      <c r="D5417" s="0" t="n">
        <v>3</v>
      </c>
      <c r="E5417" s="0" t="n">
        <f aca="false">-1+A5417*0.25</f>
        <v>0.75</v>
      </c>
      <c r="F5417" s="0" t="n">
        <f aca="false">-1+B5417*0.25</f>
        <v>-0.25</v>
      </c>
      <c r="G5417" s="0" t="n">
        <f aca="false">-1+C5417*0.25</f>
        <v>0.75</v>
      </c>
      <c r="H5417" s="0" t="n">
        <f aca="false">-1+D5417*0.25</f>
        <v>-0.25</v>
      </c>
      <c r="I5417" s="0" t="n">
        <f aca="false">1</f>
        <v>1</v>
      </c>
      <c r="J5417" s="0" t="n">
        <f aca="false">E5417</f>
        <v>0.75</v>
      </c>
      <c r="K5417" s="0" t="n">
        <f aca="false">F5417</f>
        <v>-0.25</v>
      </c>
      <c r="L5417" s="0" t="n">
        <f aca="false">G5417</f>
        <v>0.75</v>
      </c>
      <c r="M5417" s="0" t="n">
        <f aca="false">H5417</f>
        <v>-0.25</v>
      </c>
      <c r="N5417" s="0" t="n">
        <f aca="false">E5417*F5417</f>
        <v>-0.1875</v>
      </c>
      <c r="O5417" s="0" t="n">
        <f aca="false">E5417*G5417</f>
        <v>0.5625</v>
      </c>
      <c r="P5417" s="0" t="n">
        <f aca="false">E5417*H5417</f>
        <v>-0.1875</v>
      </c>
      <c r="Q5417" s="0" t="n">
        <f aca="false">F5417*G5417</f>
        <v>-0.1875</v>
      </c>
      <c r="R5417" s="0" t="n">
        <f aca="false">F5417*H5417</f>
        <v>0.0625</v>
      </c>
      <c r="S5417" s="0" t="n">
        <f aca="false">G5417*H5417</f>
        <v>-0.1875</v>
      </c>
      <c r="T5417" s="0" t="n">
        <f aca="false">E5417*E5417</f>
        <v>0.5625</v>
      </c>
      <c r="U5417" s="0" t="n">
        <f aca="false">F5417*F5417</f>
        <v>0.0625</v>
      </c>
      <c r="V5417" s="0" t="n">
        <f aca="false">G5417*G5417</f>
        <v>0.5625</v>
      </c>
      <c r="W5417" s="0" t="n">
        <f aca="false">H5417*H5417</f>
        <v>0.0625</v>
      </c>
      <c r="X5417" s="0" t="n">
        <f aca="false">SUMPRODUCT(I5417:W5417,_XtX!$B$96:$P$96)</f>
        <v>46.7769599780702</v>
      </c>
      <c r="Y5417" s="0" t="n">
        <f aca="false">SUMPRODUCT(MMULT(I5417:W5417,_XtX!$B$78:$P$92),I5417:W5417)</f>
        <v>0.271087468019006</v>
      </c>
      <c r="Z5417" s="0" t="n">
        <f aca="false">04_回帰ANOVA!$K$19*04_回帰ANOVA!$K$14*SQRT(1+Y5417)</f>
        <v>1.46955590155034</v>
      </c>
      <c r="AA5417" s="0" t="n">
        <f aca="false">X5417-Z5417</f>
        <v>45.3074040765198</v>
      </c>
      <c r="AB5417" s="0" t="n">
        <f aca="false">X5417+Z5417</f>
        <v>48.2465158796205</v>
      </c>
      <c r="AC5417" s="54" t="b">
        <f aca="false">AND(E5417&gt;=01_因子設定!$L$5-0.000000001,E5417&lt;=01_因子設定!$M$5+0.000000001,F5417&gt;=01_因子設定!$L$6-0.000000001,F5417&lt;=01_因子設定!$M$6+0.000000001,G5417&gt;=01_因子設定!$L$7-0.000000001,G5417&lt;=01_因子設定!$M$7+0.000000001,H5417&gt;=01_因子設定!$L$8-0.000000001,H5417&lt;=01_因子設定!$M$8+0.000000001,IF(01_因子設定!$B$20="Box-Behnken",E5417^2+F5417^2+G5417^2+H5417^2&lt;=2+0.000000001,TRUE()))</f>
        <v>1</v>
      </c>
      <c r="AD5417" s="55" t="n">
        <f aca="false">IF(AC5417,IF(01_因子設定!$B$13="最大化",AA5417-01_因子設定!$B$14,IF(01_因子設定!$B$13="最小化",01_因子設定!$B$15-AB5417,MIN(AA5417-01_因子設定!$B$14,01_因子設定!$B$15-AB5417))),-1E+030)</f>
        <v>-1.19259592348018</v>
      </c>
      <c r="AE5417" s="55" t="n">
        <f aca="false">IF(AC5417,IF(01_因子設定!$B$13="最大化",X5417,IF(01_因子設定!$B$13="最小化",-X5417,-ABS(X5417-01_因子設定!$B$16))),-1E+030)</f>
        <v>46.7769599780702</v>
      </c>
      <c r="AF5417" s="55" t="n">
        <f aca="false">AD5417+ROW()*0.000000001</f>
        <v>-1.19259050648018</v>
      </c>
      <c r="AG5417" s="55" t="n">
        <f aca="false">AE5417+ROW()*0.000000001</f>
        <v>46.7769653950702</v>
      </c>
    </row>
    <row r="5418" customFormat="false" ht="15" hidden="false" customHeight="false" outlineLevel="0" collapsed="false">
      <c r="A5418" s="0" t="n">
        <v>7</v>
      </c>
      <c r="B5418" s="0" t="n">
        <v>3</v>
      </c>
      <c r="C5418" s="0" t="n">
        <v>7</v>
      </c>
      <c r="D5418" s="0" t="n">
        <v>4</v>
      </c>
      <c r="E5418" s="0" t="n">
        <f aca="false">-1+A5418*0.25</f>
        <v>0.75</v>
      </c>
      <c r="F5418" s="0" t="n">
        <f aca="false">-1+B5418*0.25</f>
        <v>-0.25</v>
      </c>
      <c r="G5418" s="0" t="n">
        <f aca="false">-1+C5418*0.25</f>
        <v>0.75</v>
      </c>
      <c r="H5418" s="0" t="n">
        <f aca="false">-1+D5418*0.25</f>
        <v>0</v>
      </c>
      <c r="I5418" s="0" t="n">
        <f aca="false">1</f>
        <v>1</v>
      </c>
      <c r="J5418" s="0" t="n">
        <f aca="false">E5418</f>
        <v>0.75</v>
      </c>
      <c r="K5418" s="0" t="n">
        <f aca="false">F5418</f>
        <v>-0.25</v>
      </c>
      <c r="L5418" s="0" t="n">
        <f aca="false">G5418</f>
        <v>0.75</v>
      </c>
      <c r="M5418" s="0" t="n">
        <f aca="false">H5418</f>
        <v>0</v>
      </c>
      <c r="N5418" s="0" t="n">
        <f aca="false">E5418*F5418</f>
        <v>-0.1875</v>
      </c>
      <c r="O5418" s="0" t="n">
        <f aca="false">E5418*G5418</f>
        <v>0.5625</v>
      </c>
      <c r="P5418" s="0" t="n">
        <f aca="false">E5418*H5418</f>
        <v>0</v>
      </c>
      <c r="Q5418" s="0" t="n">
        <f aca="false">F5418*G5418</f>
        <v>-0.1875</v>
      </c>
      <c r="R5418" s="0" t="n">
        <f aca="false">F5418*H5418</f>
        <v>-0</v>
      </c>
      <c r="S5418" s="0" t="n">
        <f aca="false">G5418*H5418</f>
        <v>0</v>
      </c>
      <c r="T5418" s="0" t="n">
        <f aca="false">E5418*E5418</f>
        <v>0.5625</v>
      </c>
      <c r="U5418" s="0" t="n">
        <f aca="false">F5418*F5418</f>
        <v>0.0625</v>
      </c>
      <c r="V5418" s="0" t="n">
        <f aca="false">G5418*G5418</f>
        <v>0.5625</v>
      </c>
      <c r="W5418" s="0" t="n">
        <f aca="false">H5418*H5418</f>
        <v>0</v>
      </c>
      <c r="X5418" s="0" t="n">
        <f aca="false">SUMPRODUCT(I5418:W5418,_XtX!$B$96:$P$96)</f>
        <v>46.992877375731</v>
      </c>
      <c r="Y5418" s="0" t="n">
        <f aca="false">SUMPRODUCT(MMULT(I5418:W5418,_XtX!$B$78:$P$92),I5418:W5418)</f>
        <v>0.281685455500731</v>
      </c>
      <c r="Z5418" s="0" t="n">
        <f aca="false">04_回帰ANOVA!$K$19*04_回帰ANOVA!$K$14*SQRT(1+Y5418)</f>
        <v>1.47566956658694</v>
      </c>
      <c r="AA5418" s="0" t="n">
        <f aca="false">X5418-Z5418</f>
        <v>45.5172078091441</v>
      </c>
      <c r="AB5418" s="0" t="n">
        <f aca="false">X5418+Z5418</f>
        <v>48.4685469423179</v>
      </c>
      <c r="AC5418" s="54" t="b">
        <f aca="false">AND(E5418&gt;=01_因子設定!$L$5-0.000000001,E5418&lt;=01_因子設定!$M$5+0.000000001,F5418&gt;=01_因子設定!$L$6-0.000000001,F5418&lt;=01_因子設定!$M$6+0.000000001,G5418&gt;=01_因子設定!$L$7-0.000000001,G5418&lt;=01_因子設定!$M$7+0.000000001,H5418&gt;=01_因子設定!$L$8-0.000000001,H5418&lt;=01_因子設定!$M$8+0.000000001,IF(01_因子設定!$B$20="Box-Behnken",E5418^2+F5418^2+G5418^2+H5418^2&lt;=2+0.000000001,TRUE()))</f>
        <v>1</v>
      </c>
      <c r="AD5418" s="55" t="n">
        <f aca="false">IF(AC5418,IF(01_因子設定!$B$13="最大化",AA5418-01_因子設定!$B$14,IF(01_因子設定!$B$13="最小化",01_因子設定!$B$15-AB5418,MIN(AA5418-01_因子設定!$B$14,01_因子設定!$B$15-AB5418))),-1E+030)</f>
        <v>-0.982792190855953</v>
      </c>
      <c r="AE5418" s="55" t="n">
        <f aca="false">IF(AC5418,IF(01_因子設定!$B$13="最大化",X5418,IF(01_因子設定!$B$13="最小化",-X5418,-ABS(X5418-01_因子設定!$B$16))),-1E+030)</f>
        <v>46.992877375731</v>
      </c>
      <c r="AF5418" s="55" t="n">
        <f aca="false">AD5418+ROW()*0.000000001</f>
        <v>-0.982786772855953</v>
      </c>
      <c r="AG5418" s="55" t="n">
        <f aca="false">AE5418+ROW()*0.000000001</f>
        <v>46.992882793731</v>
      </c>
    </row>
    <row r="5419" customFormat="false" ht="15" hidden="false" customHeight="false" outlineLevel="0" collapsed="false">
      <c r="A5419" s="0" t="n">
        <v>7</v>
      </c>
      <c r="B5419" s="0" t="n">
        <v>3</v>
      </c>
      <c r="C5419" s="0" t="n">
        <v>7</v>
      </c>
      <c r="D5419" s="0" t="n">
        <v>5</v>
      </c>
      <c r="E5419" s="0" t="n">
        <f aca="false">-1+A5419*0.25</f>
        <v>0.75</v>
      </c>
      <c r="F5419" s="0" t="n">
        <f aca="false">-1+B5419*0.25</f>
        <v>-0.25</v>
      </c>
      <c r="G5419" s="0" t="n">
        <f aca="false">-1+C5419*0.25</f>
        <v>0.75</v>
      </c>
      <c r="H5419" s="0" t="n">
        <f aca="false">-1+D5419*0.25</f>
        <v>0.25</v>
      </c>
      <c r="I5419" s="0" t="n">
        <f aca="false">1</f>
        <v>1</v>
      </c>
      <c r="J5419" s="0" t="n">
        <f aca="false">E5419</f>
        <v>0.75</v>
      </c>
      <c r="K5419" s="0" t="n">
        <f aca="false">F5419</f>
        <v>-0.25</v>
      </c>
      <c r="L5419" s="0" t="n">
        <f aca="false">G5419</f>
        <v>0.75</v>
      </c>
      <c r="M5419" s="0" t="n">
        <f aca="false">H5419</f>
        <v>0.25</v>
      </c>
      <c r="N5419" s="0" t="n">
        <f aca="false">E5419*F5419</f>
        <v>-0.1875</v>
      </c>
      <c r="O5419" s="0" t="n">
        <f aca="false">E5419*G5419</f>
        <v>0.5625</v>
      </c>
      <c r="P5419" s="0" t="n">
        <f aca="false">E5419*H5419</f>
        <v>0.1875</v>
      </c>
      <c r="Q5419" s="0" t="n">
        <f aca="false">F5419*G5419</f>
        <v>-0.1875</v>
      </c>
      <c r="R5419" s="0" t="n">
        <f aca="false">F5419*H5419</f>
        <v>-0.0625</v>
      </c>
      <c r="S5419" s="0" t="n">
        <f aca="false">G5419*H5419</f>
        <v>0.1875</v>
      </c>
      <c r="T5419" s="0" t="n">
        <f aca="false">E5419*E5419</f>
        <v>0.5625</v>
      </c>
      <c r="U5419" s="0" t="n">
        <f aca="false">F5419*F5419</f>
        <v>0.0625</v>
      </c>
      <c r="V5419" s="0" t="n">
        <f aca="false">G5419*G5419</f>
        <v>0.5625</v>
      </c>
      <c r="W5419" s="0" t="n">
        <f aca="false">H5419*H5419</f>
        <v>0.0625</v>
      </c>
      <c r="X5419" s="0" t="n">
        <f aca="false">SUMPRODUCT(I5419:W5419,_XtX!$B$96:$P$96)</f>
        <v>47.1609877558479</v>
      </c>
      <c r="Y5419" s="0" t="n">
        <f aca="false">SUMPRODUCT(MMULT(I5419:W5419,_XtX!$B$78:$P$92),I5419:W5419)</f>
        <v>0.271087468019006</v>
      </c>
      <c r="Z5419" s="0" t="n">
        <f aca="false">04_回帰ANOVA!$K$19*04_回帰ANOVA!$K$14*SQRT(1+Y5419)</f>
        <v>1.46955590155034</v>
      </c>
      <c r="AA5419" s="0" t="n">
        <f aca="false">X5419-Z5419</f>
        <v>45.6914318542976</v>
      </c>
      <c r="AB5419" s="0" t="n">
        <f aca="false">X5419+Z5419</f>
        <v>48.6305436573983</v>
      </c>
      <c r="AC5419" s="54" t="b">
        <f aca="false">AND(E5419&gt;=01_因子設定!$L$5-0.000000001,E5419&lt;=01_因子設定!$M$5+0.000000001,F5419&gt;=01_因子設定!$L$6-0.000000001,F5419&lt;=01_因子設定!$M$6+0.000000001,G5419&gt;=01_因子設定!$L$7-0.000000001,G5419&lt;=01_因子設定!$M$7+0.000000001,H5419&gt;=01_因子設定!$L$8-0.000000001,H5419&lt;=01_因子設定!$M$8+0.000000001,IF(01_因子設定!$B$20="Box-Behnken",E5419^2+F5419^2+G5419^2+H5419^2&lt;=2+0.000000001,TRUE()))</f>
        <v>1</v>
      </c>
      <c r="AD5419" s="55" t="n">
        <f aca="false">IF(AC5419,IF(01_因子設定!$B$13="最大化",AA5419-01_因子設定!$B$14,IF(01_因子設定!$B$13="最小化",01_因子設定!$B$15-AB5419,MIN(AA5419-01_因子設定!$B$14,01_因子設定!$B$15-AB5419))),-1E+030)</f>
        <v>-0.808568145702402</v>
      </c>
      <c r="AE5419" s="55" t="n">
        <f aca="false">IF(AC5419,IF(01_因子設定!$B$13="最大化",X5419,IF(01_因子設定!$B$13="最小化",-X5419,-ABS(X5419-01_因子設定!$B$16))),-1E+030)</f>
        <v>47.1609877558479</v>
      </c>
      <c r="AF5419" s="55" t="n">
        <f aca="false">AD5419+ROW()*0.000000001</f>
        <v>-0.808562726702402</v>
      </c>
      <c r="AG5419" s="55" t="n">
        <f aca="false">AE5419+ROW()*0.000000001</f>
        <v>47.1609931748479</v>
      </c>
    </row>
    <row r="5420" customFormat="false" ht="15" hidden="false" customHeight="false" outlineLevel="0" collapsed="false">
      <c r="A5420" s="0" t="n">
        <v>7</v>
      </c>
      <c r="B5420" s="0" t="n">
        <v>3</v>
      </c>
      <c r="C5420" s="0" t="n">
        <v>7</v>
      </c>
      <c r="D5420" s="0" t="n">
        <v>6</v>
      </c>
      <c r="E5420" s="0" t="n">
        <f aca="false">-1+A5420*0.25</f>
        <v>0.75</v>
      </c>
      <c r="F5420" s="0" t="n">
        <f aca="false">-1+B5420*0.25</f>
        <v>-0.25</v>
      </c>
      <c r="G5420" s="0" t="n">
        <f aca="false">-1+C5420*0.25</f>
        <v>0.75</v>
      </c>
      <c r="H5420" s="0" t="n">
        <f aca="false">-1+D5420*0.25</f>
        <v>0.5</v>
      </c>
      <c r="I5420" s="0" t="n">
        <f aca="false">1</f>
        <v>1</v>
      </c>
      <c r="J5420" s="0" t="n">
        <f aca="false">E5420</f>
        <v>0.75</v>
      </c>
      <c r="K5420" s="0" t="n">
        <f aca="false">F5420</f>
        <v>-0.25</v>
      </c>
      <c r="L5420" s="0" t="n">
        <f aca="false">G5420</f>
        <v>0.75</v>
      </c>
      <c r="M5420" s="0" t="n">
        <f aca="false">H5420</f>
        <v>0.5</v>
      </c>
      <c r="N5420" s="0" t="n">
        <f aca="false">E5420*F5420</f>
        <v>-0.1875</v>
      </c>
      <c r="O5420" s="0" t="n">
        <f aca="false">E5420*G5420</f>
        <v>0.5625</v>
      </c>
      <c r="P5420" s="0" t="n">
        <f aca="false">E5420*H5420</f>
        <v>0.375</v>
      </c>
      <c r="Q5420" s="0" t="n">
        <f aca="false">F5420*G5420</f>
        <v>-0.1875</v>
      </c>
      <c r="R5420" s="0" t="n">
        <f aca="false">F5420*H5420</f>
        <v>-0.125</v>
      </c>
      <c r="S5420" s="0" t="n">
        <f aca="false">G5420*H5420</f>
        <v>0.375</v>
      </c>
      <c r="T5420" s="0" t="n">
        <f aca="false">E5420*E5420</f>
        <v>0.5625</v>
      </c>
      <c r="U5420" s="0" t="n">
        <f aca="false">F5420*F5420</f>
        <v>0.0625</v>
      </c>
      <c r="V5420" s="0" t="n">
        <f aca="false">G5420*G5420</f>
        <v>0.5625</v>
      </c>
      <c r="W5420" s="0" t="n">
        <f aca="false">H5420*H5420</f>
        <v>0.25</v>
      </c>
      <c r="X5420" s="0" t="n">
        <f aca="false">SUMPRODUCT(I5420:W5420,_XtX!$B$96:$P$96)</f>
        <v>47.281291118421</v>
      </c>
      <c r="Y5420" s="0" t="n">
        <f aca="false">SUMPRODUCT(MMULT(I5420:W5420,_XtX!$B$78:$P$92),I5420:W5420)</f>
        <v>0.257385610836988</v>
      </c>
      <c r="Z5420" s="0" t="n">
        <f aca="false">04_回帰ANOVA!$K$19*04_回帰ANOVA!$K$14*SQRT(1+Y5420)</f>
        <v>1.46161380324158</v>
      </c>
      <c r="AA5420" s="0" t="n">
        <f aca="false">X5420-Z5420</f>
        <v>45.8196773151795</v>
      </c>
      <c r="AB5420" s="0" t="n">
        <f aca="false">X5420+Z5420</f>
        <v>48.7429049216626</v>
      </c>
      <c r="AC5420" s="54" t="b">
        <f aca="false">AND(E5420&gt;=01_因子設定!$L$5-0.000000001,E5420&lt;=01_因子設定!$M$5+0.000000001,F5420&gt;=01_因子設定!$L$6-0.000000001,F5420&lt;=01_因子設定!$M$6+0.000000001,G5420&gt;=01_因子設定!$L$7-0.000000001,G5420&lt;=01_因子設定!$M$7+0.000000001,H5420&gt;=01_因子設定!$L$8-0.000000001,H5420&lt;=01_因子設定!$M$8+0.000000001,IF(01_因子設定!$B$20="Box-Behnken",E5420^2+F5420^2+G5420^2+H5420^2&lt;=2+0.000000001,TRUE()))</f>
        <v>1</v>
      </c>
      <c r="AD5420" s="55" t="n">
        <f aca="false">IF(AC5420,IF(01_因子設定!$B$13="最大化",AA5420-01_因子設定!$B$14,IF(01_因子設定!$B$13="最小化",01_因子設定!$B$15-AB5420,MIN(AA5420-01_因子設定!$B$14,01_因子設定!$B$15-AB5420))),-1E+030)</f>
        <v>-0.680322684820538</v>
      </c>
      <c r="AE5420" s="55" t="n">
        <f aca="false">IF(AC5420,IF(01_因子設定!$B$13="最大化",X5420,IF(01_因子設定!$B$13="最小化",-X5420,-ABS(X5420-01_因子設定!$B$16))),-1E+030)</f>
        <v>47.281291118421</v>
      </c>
      <c r="AF5420" s="55" t="n">
        <f aca="false">AD5420+ROW()*0.000000001</f>
        <v>-0.680317264820538</v>
      </c>
      <c r="AG5420" s="55" t="n">
        <f aca="false">AE5420+ROW()*0.000000001</f>
        <v>47.281296538421</v>
      </c>
    </row>
    <row r="5421" customFormat="false" ht="15" hidden="false" customHeight="false" outlineLevel="0" collapsed="false">
      <c r="A5421" s="0" t="n">
        <v>7</v>
      </c>
      <c r="B5421" s="0" t="n">
        <v>3</v>
      </c>
      <c r="C5421" s="0" t="n">
        <v>7</v>
      </c>
      <c r="D5421" s="0" t="n">
        <v>7</v>
      </c>
      <c r="E5421" s="0" t="n">
        <f aca="false">-1+A5421*0.25</f>
        <v>0.75</v>
      </c>
      <c r="F5421" s="0" t="n">
        <f aca="false">-1+B5421*0.25</f>
        <v>-0.25</v>
      </c>
      <c r="G5421" s="0" t="n">
        <f aca="false">-1+C5421*0.25</f>
        <v>0.75</v>
      </c>
      <c r="H5421" s="0" t="n">
        <f aca="false">-1+D5421*0.25</f>
        <v>0.75</v>
      </c>
      <c r="I5421" s="0" t="n">
        <f aca="false">1</f>
        <v>1</v>
      </c>
      <c r="J5421" s="0" t="n">
        <f aca="false">E5421</f>
        <v>0.75</v>
      </c>
      <c r="K5421" s="0" t="n">
        <f aca="false">F5421</f>
        <v>-0.25</v>
      </c>
      <c r="L5421" s="0" t="n">
        <f aca="false">G5421</f>
        <v>0.75</v>
      </c>
      <c r="M5421" s="0" t="n">
        <f aca="false">H5421</f>
        <v>0.75</v>
      </c>
      <c r="N5421" s="0" t="n">
        <f aca="false">E5421*F5421</f>
        <v>-0.1875</v>
      </c>
      <c r="O5421" s="0" t="n">
        <f aca="false">E5421*G5421</f>
        <v>0.5625</v>
      </c>
      <c r="P5421" s="0" t="n">
        <f aca="false">E5421*H5421</f>
        <v>0.5625</v>
      </c>
      <c r="Q5421" s="0" t="n">
        <f aca="false">F5421*G5421</f>
        <v>-0.1875</v>
      </c>
      <c r="R5421" s="0" t="n">
        <f aca="false">F5421*H5421</f>
        <v>-0.1875</v>
      </c>
      <c r="S5421" s="0" t="n">
        <f aca="false">G5421*H5421</f>
        <v>0.5625</v>
      </c>
      <c r="T5421" s="0" t="n">
        <f aca="false">E5421*E5421</f>
        <v>0.5625</v>
      </c>
      <c r="U5421" s="0" t="n">
        <f aca="false">F5421*F5421</f>
        <v>0.0625</v>
      </c>
      <c r="V5421" s="0" t="n">
        <f aca="false">G5421*G5421</f>
        <v>0.5625</v>
      </c>
      <c r="W5421" s="0" t="n">
        <f aca="false">H5421*H5421</f>
        <v>0.5625</v>
      </c>
      <c r="X5421" s="0" t="n">
        <f aca="false">SUMPRODUCT(I5421:W5421,_XtX!$B$96:$P$96)</f>
        <v>47.3537874634503</v>
      </c>
      <c r="Y5421" s="0" t="n">
        <f aca="false">SUMPRODUCT(MMULT(I5421:W5421,_XtX!$B$78:$P$92),I5421:W5421)</f>
        <v>0.294856199744152</v>
      </c>
      <c r="Z5421" s="0" t="n">
        <f aca="false">04_回帰ANOVA!$K$19*04_回帰ANOVA!$K$14*SQRT(1+Y5421)</f>
        <v>1.48323226089013</v>
      </c>
      <c r="AA5421" s="0" t="n">
        <f aca="false">X5421-Z5421</f>
        <v>45.8705552025602</v>
      </c>
      <c r="AB5421" s="0" t="n">
        <f aca="false">X5421+Z5421</f>
        <v>48.8370197243404</v>
      </c>
      <c r="AC5421" s="54" t="b">
        <f aca="false">AND(E5421&gt;=01_因子設定!$L$5-0.000000001,E5421&lt;=01_因子設定!$M$5+0.000000001,F5421&gt;=01_因子設定!$L$6-0.000000001,F5421&lt;=01_因子設定!$M$6+0.000000001,G5421&gt;=01_因子設定!$L$7-0.000000001,G5421&lt;=01_因子設定!$M$7+0.000000001,H5421&gt;=01_因子設定!$L$8-0.000000001,H5421&lt;=01_因子設定!$M$8+0.000000001,IF(01_因子設定!$B$20="Box-Behnken",E5421^2+F5421^2+G5421^2+H5421^2&lt;=2+0.000000001,TRUE()))</f>
        <v>1</v>
      </c>
      <c r="AD5421" s="55" t="n">
        <f aca="false">IF(AC5421,IF(01_因子設定!$B$13="最大化",AA5421-01_因子設定!$B$14,IF(01_因子設定!$B$13="最小化",01_因子設定!$B$15-AB5421,MIN(AA5421-01_因子設定!$B$14,01_因子設定!$B$15-AB5421))),-1E+030)</f>
        <v>-0.629444797439831</v>
      </c>
      <c r="AE5421" s="55" t="n">
        <f aca="false">IF(AC5421,IF(01_因子設定!$B$13="最大化",X5421,IF(01_因子設定!$B$13="最小化",-X5421,-ABS(X5421-01_因子設定!$B$16))),-1E+030)</f>
        <v>47.3537874634503</v>
      </c>
      <c r="AF5421" s="55" t="n">
        <f aca="false">AD5421+ROW()*0.000000001</f>
        <v>-0.629439376439831</v>
      </c>
      <c r="AG5421" s="55" t="n">
        <f aca="false">AE5421+ROW()*0.000000001</f>
        <v>47.3537928844503</v>
      </c>
    </row>
    <row r="5422" customFormat="false" ht="15" hidden="false" customHeight="false" outlineLevel="0" collapsed="false">
      <c r="A5422" s="0" t="n">
        <v>7</v>
      </c>
      <c r="B5422" s="0" t="n">
        <v>3</v>
      </c>
      <c r="C5422" s="0" t="n">
        <v>7</v>
      </c>
      <c r="D5422" s="0" t="n">
        <v>8</v>
      </c>
      <c r="E5422" s="0" t="n">
        <f aca="false">-1+A5422*0.25</f>
        <v>0.75</v>
      </c>
      <c r="F5422" s="0" t="n">
        <f aca="false">-1+B5422*0.25</f>
        <v>-0.25</v>
      </c>
      <c r="G5422" s="0" t="n">
        <f aca="false">-1+C5422*0.25</f>
        <v>0.75</v>
      </c>
      <c r="H5422" s="0" t="n">
        <f aca="false">-1+D5422*0.25</f>
        <v>1</v>
      </c>
      <c r="I5422" s="0" t="n">
        <f aca="false">1</f>
        <v>1</v>
      </c>
      <c r="J5422" s="0" t="n">
        <f aca="false">E5422</f>
        <v>0.75</v>
      </c>
      <c r="K5422" s="0" t="n">
        <f aca="false">F5422</f>
        <v>-0.25</v>
      </c>
      <c r="L5422" s="0" t="n">
        <f aca="false">G5422</f>
        <v>0.75</v>
      </c>
      <c r="M5422" s="0" t="n">
        <f aca="false">H5422</f>
        <v>1</v>
      </c>
      <c r="N5422" s="0" t="n">
        <f aca="false">E5422*F5422</f>
        <v>-0.1875</v>
      </c>
      <c r="O5422" s="0" t="n">
        <f aca="false">E5422*G5422</f>
        <v>0.5625</v>
      </c>
      <c r="P5422" s="0" t="n">
        <f aca="false">E5422*H5422</f>
        <v>0.75</v>
      </c>
      <c r="Q5422" s="0" t="n">
        <f aca="false">F5422*G5422</f>
        <v>-0.1875</v>
      </c>
      <c r="R5422" s="0" t="n">
        <f aca="false">F5422*H5422</f>
        <v>-0.25</v>
      </c>
      <c r="S5422" s="0" t="n">
        <f aca="false">G5422*H5422</f>
        <v>0.75</v>
      </c>
      <c r="T5422" s="0" t="n">
        <f aca="false">E5422*E5422</f>
        <v>0.5625</v>
      </c>
      <c r="U5422" s="0" t="n">
        <f aca="false">F5422*F5422</f>
        <v>0.0625</v>
      </c>
      <c r="V5422" s="0" t="n">
        <f aca="false">G5422*G5422</f>
        <v>0.5625</v>
      </c>
      <c r="W5422" s="0" t="n">
        <f aca="false">H5422*H5422</f>
        <v>1</v>
      </c>
      <c r="X5422" s="0" t="n">
        <f aca="false">SUMPRODUCT(I5422:W5422,_XtX!$B$96:$P$96)</f>
        <v>47.3784767909357</v>
      </c>
      <c r="Y5422" s="0" t="n">
        <f aca="false">SUMPRODUCT(MMULT(I5422:W5422,_XtX!$B$78:$P$92),I5422:W5422)</f>
        <v>0.473959761056287</v>
      </c>
      <c r="Z5422" s="0" t="n">
        <f aca="false">04_回帰ANOVA!$K$19*04_回帰ANOVA!$K$14*SQRT(1+Y5422)</f>
        <v>1.58249084588329</v>
      </c>
      <c r="AA5422" s="0" t="n">
        <f aca="false">X5422-Z5422</f>
        <v>45.7959859450524</v>
      </c>
      <c r="AB5422" s="0" t="n">
        <f aca="false">X5422+Z5422</f>
        <v>48.960967636819</v>
      </c>
      <c r="AC5422" s="54" t="b">
        <f aca="false">AND(E5422&gt;=01_因子設定!$L$5-0.000000001,E5422&lt;=01_因子設定!$M$5+0.000000001,F5422&gt;=01_因子設定!$L$6-0.000000001,F5422&lt;=01_因子設定!$M$6+0.000000001,G5422&gt;=01_因子設定!$L$7-0.000000001,G5422&lt;=01_因子設定!$M$7+0.000000001,H5422&gt;=01_因子設定!$L$8-0.000000001,H5422&lt;=01_因子設定!$M$8+0.000000001,IF(01_因子設定!$B$20="Box-Behnken",E5422^2+F5422^2+G5422^2+H5422^2&lt;=2+0.000000001,TRUE()))</f>
        <v>1</v>
      </c>
      <c r="AD5422" s="55" t="n">
        <f aca="false">IF(AC5422,IF(01_因子設定!$B$13="最大化",AA5422-01_因子設定!$B$14,IF(01_因子設定!$B$13="最小化",01_因子設定!$B$15-AB5422,MIN(AA5422-01_因子設定!$B$14,01_因子設定!$B$15-AB5422))),-1E+030)</f>
        <v>-0.704014054947592</v>
      </c>
      <c r="AE5422" s="55" t="n">
        <f aca="false">IF(AC5422,IF(01_因子設定!$B$13="最大化",X5422,IF(01_因子設定!$B$13="最小化",-X5422,-ABS(X5422-01_因子設定!$B$16))),-1E+030)</f>
        <v>47.3784767909357</v>
      </c>
      <c r="AF5422" s="55" t="n">
        <f aca="false">AD5422+ROW()*0.000000001</f>
        <v>-0.704008632947592</v>
      </c>
      <c r="AG5422" s="55" t="n">
        <f aca="false">AE5422+ROW()*0.000000001</f>
        <v>47.3784822129357</v>
      </c>
    </row>
    <row r="5423" customFormat="false" ht="15" hidden="false" customHeight="false" outlineLevel="0" collapsed="false">
      <c r="A5423" s="0" t="n">
        <v>7</v>
      </c>
      <c r="B5423" s="0" t="n">
        <v>3</v>
      </c>
      <c r="C5423" s="0" t="n">
        <v>8</v>
      </c>
      <c r="D5423" s="0" t="n">
        <v>0</v>
      </c>
      <c r="E5423" s="0" t="n">
        <f aca="false">-1+A5423*0.25</f>
        <v>0.75</v>
      </c>
      <c r="F5423" s="0" t="n">
        <f aca="false">-1+B5423*0.25</f>
        <v>-0.25</v>
      </c>
      <c r="G5423" s="0" t="n">
        <f aca="false">-1+C5423*0.25</f>
        <v>1</v>
      </c>
      <c r="H5423" s="0" t="n">
        <f aca="false">-1+D5423*0.25</f>
        <v>-1</v>
      </c>
      <c r="I5423" s="0" t="n">
        <f aca="false">1</f>
        <v>1</v>
      </c>
      <c r="J5423" s="0" t="n">
        <f aca="false">E5423</f>
        <v>0.75</v>
      </c>
      <c r="K5423" s="0" t="n">
        <f aca="false">F5423</f>
        <v>-0.25</v>
      </c>
      <c r="L5423" s="0" t="n">
        <f aca="false">G5423</f>
        <v>1</v>
      </c>
      <c r="M5423" s="0" t="n">
        <f aca="false">H5423</f>
        <v>-1</v>
      </c>
      <c r="N5423" s="0" t="n">
        <f aca="false">E5423*F5423</f>
        <v>-0.1875</v>
      </c>
      <c r="O5423" s="0" t="n">
        <f aca="false">E5423*G5423</f>
        <v>0.75</v>
      </c>
      <c r="P5423" s="0" t="n">
        <f aca="false">E5423*H5423</f>
        <v>-0.75</v>
      </c>
      <c r="Q5423" s="0" t="n">
        <f aca="false">F5423*G5423</f>
        <v>-0.25</v>
      </c>
      <c r="R5423" s="0" t="n">
        <f aca="false">F5423*H5423</f>
        <v>0.25</v>
      </c>
      <c r="S5423" s="0" t="n">
        <f aca="false">G5423*H5423</f>
        <v>-1</v>
      </c>
      <c r="T5423" s="0" t="n">
        <f aca="false">E5423*E5423</f>
        <v>0.5625</v>
      </c>
      <c r="U5423" s="0" t="n">
        <f aca="false">F5423*F5423</f>
        <v>0.0625</v>
      </c>
      <c r="V5423" s="0" t="n">
        <f aca="false">G5423*G5423</f>
        <v>1</v>
      </c>
      <c r="W5423" s="0" t="n">
        <f aca="false">H5423*H5423</f>
        <v>1</v>
      </c>
      <c r="X5423" s="0" t="n">
        <f aca="false">SUMPRODUCT(I5423:W5423,_XtX!$B$96:$P$96)</f>
        <v>45.5763432017544</v>
      </c>
      <c r="Y5423" s="0" t="n">
        <f aca="false">SUMPRODUCT(MMULT(I5423:W5423,_XtX!$B$78:$P$92),I5423:W5423)</f>
        <v>0.621372155975877</v>
      </c>
      <c r="Z5423" s="0" t="n">
        <f aca="false">04_回帰ANOVA!$K$19*04_回帰ANOVA!$K$14*SQRT(1+Y5423)</f>
        <v>1.65973880499872</v>
      </c>
      <c r="AA5423" s="0" t="n">
        <f aca="false">X5423-Z5423</f>
        <v>43.9166043967557</v>
      </c>
      <c r="AB5423" s="0" t="n">
        <f aca="false">X5423+Z5423</f>
        <v>47.2360820067531</v>
      </c>
      <c r="AC5423" s="54" t="b">
        <f aca="false">AND(E5423&gt;=01_因子設定!$L$5-0.000000001,E5423&lt;=01_因子設定!$M$5+0.000000001,F5423&gt;=01_因子設定!$L$6-0.000000001,F5423&lt;=01_因子設定!$M$6+0.000000001,G5423&gt;=01_因子設定!$L$7-0.000000001,G5423&lt;=01_因子設定!$M$7+0.000000001,H5423&gt;=01_因子設定!$L$8-0.000000001,H5423&lt;=01_因子設定!$M$8+0.000000001,IF(01_因子設定!$B$20="Box-Behnken",E5423^2+F5423^2+G5423^2+H5423^2&lt;=2+0.000000001,TRUE()))</f>
        <v>1</v>
      </c>
      <c r="AD5423" s="55" t="n">
        <f aca="false">IF(AC5423,IF(01_因子設定!$B$13="最大化",AA5423-01_因子設定!$B$14,IF(01_因子設定!$B$13="最小化",01_因子設定!$B$15-AB5423,MIN(AA5423-01_因子設定!$B$14,01_因子設定!$B$15-AB5423))),-1E+030)</f>
        <v>-2.58339560324431</v>
      </c>
      <c r="AE5423" s="55" t="n">
        <f aca="false">IF(AC5423,IF(01_因子設定!$B$13="最大化",X5423,IF(01_因子設定!$B$13="最小化",-X5423,-ABS(X5423-01_因子設定!$B$16))),-1E+030)</f>
        <v>45.5763432017544</v>
      </c>
      <c r="AF5423" s="55" t="n">
        <f aca="false">AD5423+ROW()*0.000000001</f>
        <v>-2.58339018024431</v>
      </c>
      <c r="AG5423" s="55" t="n">
        <f aca="false">AE5423+ROW()*0.000000001</f>
        <v>45.5763486247544</v>
      </c>
    </row>
    <row r="5424" customFormat="false" ht="15" hidden="false" customHeight="false" outlineLevel="0" collapsed="false">
      <c r="A5424" s="0" t="n">
        <v>7</v>
      </c>
      <c r="B5424" s="0" t="n">
        <v>3</v>
      </c>
      <c r="C5424" s="0" t="n">
        <v>8</v>
      </c>
      <c r="D5424" s="0" t="n">
        <v>1</v>
      </c>
      <c r="E5424" s="0" t="n">
        <f aca="false">-1+A5424*0.25</f>
        <v>0.75</v>
      </c>
      <c r="F5424" s="0" t="n">
        <f aca="false">-1+B5424*0.25</f>
        <v>-0.25</v>
      </c>
      <c r="G5424" s="0" t="n">
        <f aca="false">-1+C5424*0.25</f>
        <v>1</v>
      </c>
      <c r="H5424" s="0" t="n">
        <f aca="false">-1+D5424*0.25</f>
        <v>-0.75</v>
      </c>
      <c r="I5424" s="0" t="n">
        <f aca="false">1</f>
        <v>1</v>
      </c>
      <c r="J5424" s="0" t="n">
        <f aca="false">E5424</f>
        <v>0.75</v>
      </c>
      <c r="K5424" s="0" t="n">
        <f aca="false">F5424</f>
        <v>-0.25</v>
      </c>
      <c r="L5424" s="0" t="n">
        <f aca="false">G5424</f>
        <v>1</v>
      </c>
      <c r="M5424" s="0" t="n">
        <f aca="false">H5424</f>
        <v>-0.75</v>
      </c>
      <c r="N5424" s="0" t="n">
        <f aca="false">E5424*F5424</f>
        <v>-0.1875</v>
      </c>
      <c r="O5424" s="0" t="n">
        <f aca="false">E5424*G5424</f>
        <v>0.75</v>
      </c>
      <c r="P5424" s="0" t="n">
        <f aca="false">E5424*H5424</f>
        <v>-0.5625</v>
      </c>
      <c r="Q5424" s="0" t="n">
        <f aca="false">F5424*G5424</f>
        <v>-0.25</v>
      </c>
      <c r="R5424" s="0" t="n">
        <f aca="false">F5424*H5424</f>
        <v>0.1875</v>
      </c>
      <c r="S5424" s="0" t="n">
        <f aca="false">G5424*H5424</f>
        <v>-0.75</v>
      </c>
      <c r="T5424" s="0" t="n">
        <f aca="false">E5424*E5424</f>
        <v>0.5625</v>
      </c>
      <c r="U5424" s="0" t="n">
        <f aca="false">F5424*F5424</f>
        <v>0.0625</v>
      </c>
      <c r="V5424" s="0" t="n">
        <f aca="false">G5424*G5424</f>
        <v>1</v>
      </c>
      <c r="W5424" s="0" t="n">
        <f aca="false">H5424*H5424</f>
        <v>0.5625</v>
      </c>
      <c r="X5424" s="0" t="n">
        <f aca="false">SUMPRODUCT(I5424:W5424,_XtX!$B$96:$P$96)</f>
        <v>45.9536504020468</v>
      </c>
      <c r="Y5424" s="0" t="n">
        <f aca="false">SUMPRODUCT(MMULT(I5424:W5424,_XtX!$B$78:$P$92),I5424:W5424)</f>
        <v>0.473959761056287</v>
      </c>
      <c r="Z5424" s="0" t="n">
        <f aca="false">04_回帰ANOVA!$K$19*04_回帰ANOVA!$K$14*SQRT(1+Y5424)</f>
        <v>1.58249084588329</v>
      </c>
      <c r="AA5424" s="0" t="n">
        <f aca="false">X5424-Z5424</f>
        <v>44.3711595561635</v>
      </c>
      <c r="AB5424" s="0" t="n">
        <f aca="false">X5424+Z5424</f>
        <v>47.5361412479301</v>
      </c>
      <c r="AC5424" s="54" t="b">
        <f aca="false">AND(E5424&gt;=01_因子設定!$L$5-0.000000001,E5424&lt;=01_因子設定!$M$5+0.000000001,F5424&gt;=01_因子設定!$L$6-0.000000001,F5424&lt;=01_因子設定!$M$6+0.000000001,G5424&gt;=01_因子設定!$L$7-0.000000001,G5424&lt;=01_因子設定!$M$7+0.000000001,H5424&gt;=01_因子設定!$L$8-0.000000001,H5424&lt;=01_因子設定!$M$8+0.000000001,IF(01_因子設定!$B$20="Box-Behnken",E5424^2+F5424^2+G5424^2+H5424^2&lt;=2+0.000000001,TRUE()))</f>
        <v>1</v>
      </c>
      <c r="AD5424" s="55" t="n">
        <f aca="false">IF(AC5424,IF(01_因子設定!$B$13="最大化",AA5424-01_因子設定!$B$14,IF(01_因子設定!$B$13="最小化",01_因子設定!$B$15-AB5424,MIN(AA5424-01_因子設定!$B$14,01_因子設定!$B$15-AB5424))),-1E+030)</f>
        <v>-2.12884044383649</v>
      </c>
      <c r="AE5424" s="55" t="n">
        <f aca="false">IF(AC5424,IF(01_因子設定!$B$13="最大化",X5424,IF(01_因子設定!$B$13="最小化",-X5424,-ABS(X5424-01_因子設定!$B$16))),-1E+030)</f>
        <v>45.9536504020468</v>
      </c>
      <c r="AF5424" s="55" t="n">
        <f aca="false">AD5424+ROW()*0.000000001</f>
        <v>-2.12883501983649</v>
      </c>
      <c r="AG5424" s="55" t="n">
        <f aca="false">AE5424+ROW()*0.000000001</f>
        <v>45.9536558260468</v>
      </c>
    </row>
    <row r="5425" customFormat="false" ht="15" hidden="false" customHeight="false" outlineLevel="0" collapsed="false">
      <c r="A5425" s="0" t="n">
        <v>7</v>
      </c>
      <c r="B5425" s="0" t="n">
        <v>3</v>
      </c>
      <c r="C5425" s="0" t="n">
        <v>8</v>
      </c>
      <c r="D5425" s="0" t="n">
        <v>2</v>
      </c>
      <c r="E5425" s="0" t="n">
        <f aca="false">-1+A5425*0.25</f>
        <v>0.75</v>
      </c>
      <c r="F5425" s="0" t="n">
        <f aca="false">-1+B5425*0.25</f>
        <v>-0.25</v>
      </c>
      <c r="G5425" s="0" t="n">
        <f aca="false">-1+C5425*0.25</f>
        <v>1</v>
      </c>
      <c r="H5425" s="0" t="n">
        <f aca="false">-1+D5425*0.25</f>
        <v>-0.5</v>
      </c>
      <c r="I5425" s="0" t="n">
        <f aca="false">1</f>
        <v>1</v>
      </c>
      <c r="J5425" s="0" t="n">
        <f aca="false">E5425</f>
        <v>0.75</v>
      </c>
      <c r="K5425" s="0" t="n">
        <f aca="false">F5425</f>
        <v>-0.25</v>
      </c>
      <c r="L5425" s="0" t="n">
        <f aca="false">G5425</f>
        <v>1</v>
      </c>
      <c r="M5425" s="0" t="n">
        <f aca="false">H5425</f>
        <v>-0.5</v>
      </c>
      <c r="N5425" s="0" t="n">
        <f aca="false">E5425*F5425</f>
        <v>-0.1875</v>
      </c>
      <c r="O5425" s="0" t="n">
        <f aca="false">E5425*G5425</f>
        <v>0.75</v>
      </c>
      <c r="P5425" s="0" t="n">
        <f aca="false">E5425*H5425</f>
        <v>-0.375</v>
      </c>
      <c r="Q5425" s="0" t="n">
        <f aca="false">F5425*G5425</f>
        <v>-0.25</v>
      </c>
      <c r="R5425" s="0" t="n">
        <f aca="false">F5425*H5425</f>
        <v>0.125</v>
      </c>
      <c r="S5425" s="0" t="n">
        <f aca="false">G5425*H5425</f>
        <v>-0.5</v>
      </c>
      <c r="T5425" s="0" t="n">
        <f aca="false">E5425*E5425</f>
        <v>0.5625</v>
      </c>
      <c r="U5425" s="0" t="n">
        <f aca="false">F5425*F5425</f>
        <v>0.0625</v>
      </c>
      <c r="V5425" s="0" t="n">
        <f aca="false">G5425*G5425</f>
        <v>1</v>
      </c>
      <c r="W5425" s="0" t="n">
        <f aca="false">H5425*H5425</f>
        <v>0.25</v>
      </c>
      <c r="X5425" s="0" t="n">
        <f aca="false">SUMPRODUCT(I5425:W5425,_XtX!$B$96:$P$96)</f>
        <v>46.2831505847953</v>
      </c>
      <c r="Y5425" s="0" t="n">
        <f aca="false">SUMPRODUCT(MMULT(I5425:W5425,_XtX!$B$78:$P$92),I5425:W5425)</f>
        <v>0.459125719572369</v>
      </c>
      <c r="Z5425" s="0" t="n">
        <f aca="false">04_回帰ANOVA!$K$19*04_回帰ANOVA!$K$14*SQRT(1+Y5425)</f>
        <v>1.57450755575573</v>
      </c>
      <c r="AA5425" s="0" t="n">
        <f aca="false">X5425-Z5425</f>
        <v>44.7086430290396</v>
      </c>
      <c r="AB5425" s="0" t="n">
        <f aca="false">X5425+Z5425</f>
        <v>47.8576581405511</v>
      </c>
      <c r="AC5425" s="54" t="b">
        <f aca="false">AND(E5425&gt;=01_因子設定!$L$5-0.000000001,E5425&lt;=01_因子設定!$M$5+0.000000001,F5425&gt;=01_因子設定!$L$6-0.000000001,F5425&lt;=01_因子設定!$M$6+0.000000001,G5425&gt;=01_因子設定!$L$7-0.000000001,G5425&lt;=01_因子設定!$M$7+0.000000001,H5425&gt;=01_因子設定!$L$8-0.000000001,H5425&lt;=01_因子設定!$M$8+0.000000001,IF(01_因子設定!$B$20="Box-Behnken",E5425^2+F5425^2+G5425^2+H5425^2&lt;=2+0.000000001,TRUE()))</f>
        <v>1</v>
      </c>
      <c r="AD5425" s="55" t="n">
        <f aca="false">IF(AC5425,IF(01_因子設定!$B$13="最大化",AA5425-01_因子設定!$B$14,IF(01_因子設定!$B$13="最小化",01_因子設定!$B$15-AB5425,MIN(AA5425-01_因子設定!$B$14,01_因子設定!$B$15-AB5425))),-1E+030)</f>
        <v>-1.79135697096041</v>
      </c>
      <c r="AE5425" s="55" t="n">
        <f aca="false">IF(AC5425,IF(01_因子設定!$B$13="最大化",X5425,IF(01_因子設定!$B$13="最小化",-X5425,-ABS(X5425-01_因子設定!$B$16))),-1E+030)</f>
        <v>46.2831505847953</v>
      </c>
      <c r="AF5425" s="55" t="n">
        <f aca="false">AD5425+ROW()*0.000000001</f>
        <v>-1.79135154596041</v>
      </c>
      <c r="AG5425" s="55" t="n">
        <f aca="false">AE5425+ROW()*0.000000001</f>
        <v>46.2831560097953</v>
      </c>
    </row>
    <row r="5426" customFormat="false" ht="15" hidden="false" customHeight="false" outlineLevel="0" collapsed="false">
      <c r="A5426" s="0" t="n">
        <v>7</v>
      </c>
      <c r="B5426" s="0" t="n">
        <v>3</v>
      </c>
      <c r="C5426" s="0" t="n">
        <v>8</v>
      </c>
      <c r="D5426" s="0" t="n">
        <v>3</v>
      </c>
      <c r="E5426" s="0" t="n">
        <f aca="false">-1+A5426*0.25</f>
        <v>0.75</v>
      </c>
      <c r="F5426" s="0" t="n">
        <f aca="false">-1+B5426*0.25</f>
        <v>-0.25</v>
      </c>
      <c r="G5426" s="0" t="n">
        <f aca="false">-1+C5426*0.25</f>
        <v>1</v>
      </c>
      <c r="H5426" s="0" t="n">
        <f aca="false">-1+D5426*0.25</f>
        <v>-0.25</v>
      </c>
      <c r="I5426" s="0" t="n">
        <f aca="false">1</f>
        <v>1</v>
      </c>
      <c r="J5426" s="0" t="n">
        <f aca="false">E5426</f>
        <v>0.75</v>
      </c>
      <c r="K5426" s="0" t="n">
        <f aca="false">F5426</f>
        <v>-0.25</v>
      </c>
      <c r="L5426" s="0" t="n">
        <f aca="false">G5426</f>
        <v>1</v>
      </c>
      <c r="M5426" s="0" t="n">
        <f aca="false">H5426</f>
        <v>-0.25</v>
      </c>
      <c r="N5426" s="0" t="n">
        <f aca="false">E5426*F5426</f>
        <v>-0.1875</v>
      </c>
      <c r="O5426" s="0" t="n">
        <f aca="false">E5426*G5426</f>
        <v>0.75</v>
      </c>
      <c r="P5426" s="0" t="n">
        <f aca="false">E5426*H5426</f>
        <v>-0.1875</v>
      </c>
      <c r="Q5426" s="0" t="n">
        <f aca="false">F5426*G5426</f>
        <v>-0.25</v>
      </c>
      <c r="R5426" s="0" t="n">
        <f aca="false">F5426*H5426</f>
        <v>0.0625</v>
      </c>
      <c r="S5426" s="0" t="n">
        <f aca="false">G5426*H5426</f>
        <v>-0.25</v>
      </c>
      <c r="T5426" s="0" t="n">
        <f aca="false">E5426*E5426</f>
        <v>0.5625</v>
      </c>
      <c r="U5426" s="0" t="n">
        <f aca="false">F5426*F5426</f>
        <v>0.0625</v>
      </c>
      <c r="V5426" s="0" t="n">
        <f aca="false">G5426*G5426</f>
        <v>1</v>
      </c>
      <c r="W5426" s="0" t="n">
        <f aca="false">H5426*H5426</f>
        <v>0.0625</v>
      </c>
      <c r="X5426" s="0" t="n">
        <f aca="false">SUMPRODUCT(I5426:W5426,_XtX!$B$96:$P$96)</f>
        <v>46.56484375</v>
      </c>
      <c r="Y5426" s="0" t="n">
        <f aca="false">SUMPRODUCT(MMULT(I5426:W5426,_XtX!$B$78:$P$92),I5426:W5426)</f>
        <v>0.486409505208334</v>
      </c>
      <c r="Z5426" s="0" t="n">
        <f aca="false">04_回帰ANOVA!$K$19*04_回帰ANOVA!$K$14*SQRT(1+Y5426)</f>
        <v>1.58916001665498</v>
      </c>
      <c r="AA5426" s="0" t="n">
        <f aca="false">X5426-Z5426</f>
        <v>44.975683733345</v>
      </c>
      <c r="AB5426" s="0" t="n">
        <f aca="false">X5426+Z5426</f>
        <v>48.154003766655</v>
      </c>
      <c r="AC5426" s="54" t="b">
        <f aca="false">AND(E5426&gt;=01_因子設定!$L$5-0.000000001,E5426&lt;=01_因子設定!$M$5+0.000000001,F5426&gt;=01_因子設定!$L$6-0.000000001,F5426&lt;=01_因子設定!$M$6+0.000000001,G5426&gt;=01_因子設定!$L$7-0.000000001,G5426&lt;=01_因子設定!$M$7+0.000000001,H5426&gt;=01_因子設定!$L$8-0.000000001,H5426&lt;=01_因子設定!$M$8+0.000000001,IF(01_因子設定!$B$20="Box-Behnken",E5426^2+F5426^2+G5426^2+H5426^2&lt;=2+0.000000001,TRUE()))</f>
        <v>1</v>
      </c>
      <c r="AD5426" s="55" t="n">
        <f aca="false">IF(AC5426,IF(01_因子設定!$B$13="最大化",AA5426-01_因子設定!$B$14,IF(01_因子設定!$B$13="最小化",01_因子設定!$B$15-AB5426,MIN(AA5426-01_因子設定!$B$14,01_因子設定!$B$15-AB5426))),-1E+030)</f>
        <v>-1.52431626665499</v>
      </c>
      <c r="AE5426" s="55" t="n">
        <f aca="false">IF(AC5426,IF(01_因子設定!$B$13="最大化",X5426,IF(01_因子設定!$B$13="最小化",-X5426,-ABS(X5426-01_因子設定!$B$16))),-1E+030)</f>
        <v>46.56484375</v>
      </c>
      <c r="AF5426" s="55" t="n">
        <f aca="false">AD5426+ROW()*0.000000001</f>
        <v>-1.52431084065499</v>
      </c>
      <c r="AG5426" s="55" t="n">
        <f aca="false">AE5426+ROW()*0.000000001</f>
        <v>46.564849176</v>
      </c>
    </row>
    <row r="5427" customFormat="false" ht="15" hidden="false" customHeight="false" outlineLevel="0" collapsed="false">
      <c r="A5427" s="0" t="n">
        <v>7</v>
      </c>
      <c r="B5427" s="0" t="n">
        <v>3</v>
      </c>
      <c r="C5427" s="0" t="n">
        <v>8</v>
      </c>
      <c r="D5427" s="0" t="n">
        <v>4</v>
      </c>
      <c r="E5427" s="0" t="n">
        <f aca="false">-1+A5427*0.25</f>
        <v>0.75</v>
      </c>
      <c r="F5427" s="0" t="n">
        <f aca="false">-1+B5427*0.25</f>
        <v>-0.25</v>
      </c>
      <c r="G5427" s="0" t="n">
        <f aca="false">-1+C5427*0.25</f>
        <v>1</v>
      </c>
      <c r="H5427" s="0" t="n">
        <f aca="false">-1+D5427*0.25</f>
        <v>0</v>
      </c>
      <c r="I5427" s="0" t="n">
        <f aca="false">1</f>
        <v>1</v>
      </c>
      <c r="J5427" s="0" t="n">
        <f aca="false">E5427</f>
        <v>0.75</v>
      </c>
      <c r="K5427" s="0" t="n">
        <f aca="false">F5427</f>
        <v>-0.25</v>
      </c>
      <c r="L5427" s="0" t="n">
        <f aca="false">G5427</f>
        <v>1</v>
      </c>
      <c r="M5427" s="0" t="n">
        <f aca="false">H5427</f>
        <v>0</v>
      </c>
      <c r="N5427" s="0" t="n">
        <f aca="false">E5427*F5427</f>
        <v>-0.1875</v>
      </c>
      <c r="O5427" s="0" t="n">
        <f aca="false">E5427*G5427</f>
        <v>0.75</v>
      </c>
      <c r="P5427" s="0" t="n">
        <f aca="false">E5427*H5427</f>
        <v>0</v>
      </c>
      <c r="Q5427" s="0" t="n">
        <f aca="false">F5427*G5427</f>
        <v>-0.25</v>
      </c>
      <c r="R5427" s="0" t="n">
        <f aca="false">F5427*H5427</f>
        <v>-0</v>
      </c>
      <c r="S5427" s="0" t="n">
        <f aca="false">G5427*H5427</f>
        <v>0</v>
      </c>
      <c r="T5427" s="0" t="n">
        <f aca="false">E5427*E5427</f>
        <v>0.5625</v>
      </c>
      <c r="U5427" s="0" t="n">
        <f aca="false">F5427*F5427</f>
        <v>0.0625</v>
      </c>
      <c r="V5427" s="0" t="n">
        <f aca="false">G5427*G5427</f>
        <v>1</v>
      </c>
      <c r="W5427" s="0" t="n">
        <f aca="false">H5427*H5427</f>
        <v>0</v>
      </c>
      <c r="X5427" s="0" t="n">
        <f aca="false">SUMPRODUCT(I5427:W5427,_XtX!$B$96:$P$96)</f>
        <v>46.7987298976608</v>
      </c>
      <c r="Y5427" s="0" t="n">
        <f aca="false">SUMPRODUCT(MMULT(I5427:W5427,_XtX!$B$78:$P$92),I5427:W5427)</f>
        <v>0.501534802174708</v>
      </c>
      <c r="Z5427" s="0" t="n">
        <f aca="false">04_回帰ANOVA!$K$19*04_回帰ANOVA!$K$14*SQRT(1+Y5427)</f>
        <v>1.59722498091333</v>
      </c>
      <c r="AA5427" s="0" t="n">
        <f aca="false">X5427-Z5427</f>
        <v>45.2015049167475</v>
      </c>
      <c r="AB5427" s="0" t="n">
        <f aca="false">X5427+Z5427</f>
        <v>48.3959548785741</v>
      </c>
      <c r="AC5427" s="54" t="b">
        <f aca="false">AND(E5427&gt;=01_因子設定!$L$5-0.000000001,E5427&lt;=01_因子設定!$M$5+0.000000001,F5427&gt;=01_因子設定!$L$6-0.000000001,F5427&lt;=01_因子設定!$M$6+0.000000001,G5427&gt;=01_因子設定!$L$7-0.000000001,G5427&lt;=01_因子設定!$M$7+0.000000001,H5427&gt;=01_因子設定!$L$8-0.000000001,H5427&lt;=01_因子設定!$M$8+0.000000001,IF(01_因子設定!$B$20="Box-Behnken",E5427^2+F5427^2+G5427^2+H5427^2&lt;=2+0.000000001,TRUE()))</f>
        <v>1</v>
      </c>
      <c r="AD5427" s="55" t="n">
        <f aca="false">IF(AC5427,IF(01_因子設定!$B$13="最大化",AA5427-01_因子設定!$B$14,IF(01_因子設定!$B$13="最小化",01_因子設定!$B$15-AB5427,MIN(AA5427-01_因子設定!$B$14,01_因子設定!$B$15-AB5427))),-1E+030)</f>
        <v>-1.29849508325253</v>
      </c>
      <c r="AE5427" s="55" t="n">
        <f aca="false">IF(AC5427,IF(01_因子設定!$B$13="最大化",X5427,IF(01_因子設定!$B$13="最小化",-X5427,-ABS(X5427-01_因子設定!$B$16))),-1E+030)</f>
        <v>46.7987298976608</v>
      </c>
      <c r="AF5427" s="55" t="n">
        <f aca="false">AD5427+ROW()*0.000000001</f>
        <v>-1.29848965625253</v>
      </c>
      <c r="AG5427" s="55" t="n">
        <f aca="false">AE5427+ROW()*0.000000001</f>
        <v>46.7987353246608</v>
      </c>
    </row>
    <row r="5428" customFormat="false" ht="15" hidden="false" customHeight="false" outlineLevel="0" collapsed="false">
      <c r="A5428" s="0" t="n">
        <v>7</v>
      </c>
      <c r="B5428" s="0" t="n">
        <v>3</v>
      </c>
      <c r="C5428" s="0" t="n">
        <v>8</v>
      </c>
      <c r="D5428" s="0" t="n">
        <v>5</v>
      </c>
      <c r="E5428" s="0" t="n">
        <f aca="false">-1+A5428*0.25</f>
        <v>0.75</v>
      </c>
      <c r="F5428" s="0" t="n">
        <f aca="false">-1+B5428*0.25</f>
        <v>-0.25</v>
      </c>
      <c r="G5428" s="0" t="n">
        <f aca="false">-1+C5428*0.25</f>
        <v>1</v>
      </c>
      <c r="H5428" s="0" t="n">
        <f aca="false">-1+D5428*0.25</f>
        <v>0.25</v>
      </c>
      <c r="I5428" s="0" t="n">
        <f aca="false">1</f>
        <v>1</v>
      </c>
      <c r="J5428" s="0" t="n">
        <f aca="false">E5428</f>
        <v>0.75</v>
      </c>
      <c r="K5428" s="0" t="n">
        <f aca="false">F5428</f>
        <v>-0.25</v>
      </c>
      <c r="L5428" s="0" t="n">
        <f aca="false">G5428</f>
        <v>1</v>
      </c>
      <c r="M5428" s="0" t="n">
        <f aca="false">H5428</f>
        <v>0.25</v>
      </c>
      <c r="N5428" s="0" t="n">
        <f aca="false">E5428*F5428</f>
        <v>-0.1875</v>
      </c>
      <c r="O5428" s="0" t="n">
        <f aca="false">E5428*G5428</f>
        <v>0.75</v>
      </c>
      <c r="P5428" s="0" t="n">
        <f aca="false">E5428*H5428</f>
        <v>0.1875</v>
      </c>
      <c r="Q5428" s="0" t="n">
        <f aca="false">F5428*G5428</f>
        <v>-0.25</v>
      </c>
      <c r="R5428" s="0" t="n">
        <f aca="false">F5428*H5428</f>
        <v>-0.0625</v>
      </c>
      <c r="S5428" s="0" t="n">
        <f aca="false">G5428*H5428</f>
        <v>0.25</v>
      </c>
      <c r="T5428" s="0" t="n">
        <f aca="false">E5428*E5428</f>
        <v>0.5625</v>
      </c>
      <c r="U5428" s="0" t="n">
        <f aca="false">F5428*F5428</f>
        <v>0.0625</v>
      </c>
      <c r="V5428" s="0" t="n">
        <f aca="false">G5428*G5428</f>
        <v>1</v>
      </c>
      <c r="W5428" s="0" t="n">
        <f aca="false">H5428*H5428</f>
        <v>0.0625</v>
      </c>
      <c r="X5428" s="0" t="n">
        <f aca="false">SUMPRODUCT(I5428:W5428,_XtX!$B$96:$P$96)</f>
        <v>46.9848090277778</v>
      </c>
      <c r="Y5428" s="0" t="n">
        <f aca="false">SUMPRODUCT(MMULT(I5428:W5428,_XtX!$B$78:$P$92),I5428:W5428)</f>
        <v>0.486409505208334</v>
      </c>
      <c r="Z5428" s="0" t="n">
        <f aca="false">04_回帰ANOVA!$K$19*04_回帰ANOVA!$K$14*SQRT(1+Y5428)</f>
        <v>1.58916001665498</v>
      </c>
      <c r="AA5428" s="0" t="n">
        <f aca="false">X5428-Z5428</f>
        <v>45.3956490111228</v>
      </c>
      <c r="AB5428" s="0" t="n">
        <f aca="false">X5428+Z5428</f>
        <v>48.5739690444328</v>
      </c>
      <c r="AC5428" s="54" t="b">
        <f aca="false">AND(E5428&gt;=01_因子設定!$L$5-0.000000001,E5428&lt;=01_因子設定!$M$5+0.000000001,F5428&gt;=01_因子設定!$L$6-0.000000001,F5428&lt;=01_因子設定!$M$6+0.000000001,G5428&gt;=01_因子設定!$L$7-0.000000001,G5428&lt;=01_因子設定!$M$7+0.000000001,H5428&gt;=01_因子設定!$L$8-0.000000001,H5428&lt;=01_因子設定!$M$8+0.000000001,IF(01_因子設定!$B$20="Box-Behnken",E5428^2+F5428^2+G5428^2+H5428^2&lt;=2+0.000000001,TRUE()))</f>
        <v>1</v>
      </c>
      <c r="AD5428" s="55" t="n">
        <f aca="false">IF(AC5428,IF(01_因子設定!$B$13="最大化",AA5428-01_因子設定!$B$14,IF(01_因子設定!$B$13="最小化",01_因子設定!$B$15-AB5428,MIN(AA5428-01_因子設定!$B$14,01_因子設定!$B$15-AB5428))),-1E+030)</f>
        <v>-1.10435098887721</v>
      </c>
      <c r="AE5428" s="55" t="n">
        <f aca="false">IF(AC5428,IF(01_因子設定!$B$13="最大化",X5428,IF(01_因子設定!$B$13="最小化",-X5428,-ABS(X5428-01_因子設定!$B$16))),-1E+030)</f>
        <v>46.9848090277778</v>
      </c>
      <c r="AF5428" s="55" t="n">
        <f aca="false">AD5428+ROW()*0.000000001</f>
        <v>-1.10434556087721</v>
      </c>
      <c r="AG5428" s="55" t="n">
        <f aca="false">AE5428+ROW()*0.000000001</f>
        <v>46.9848144557778</v>
      </c>
    </row>
    <row r="5429" customFormat="false" ht="15" hidden="false" customHeight="false" outlineLevel="0" collapsed="false">
      <c r="A5429" s="0" t="n">
        <v>7</v>
      </c>
      <c r="B5429" s="0" t="n">
        <v>3</v>
      </c>
      <c r="C5429" s="0" t="n">
        <v>8</v>
      </c>
      <c r="D5429" s="0" t="n">
        <v>6</v>
      </c>
      <c r="E5429" s="0" t="n">
        <f aca="false">-1+A5429*0.25</f>
        <v>0.75</v>
      </c>
      <c r="F5429" s="0" t="n">
        <f aca="false">-1+B5429*0.25</f>
        <v>-0.25</v>
      </c>
      <c r="G5429" s="0" t="n">
        <f aca="false">-1+C5429*0.25</f>
        <v>1</v>
      </c>
      <c r="H5429" s="0" t="n">
        <f aca="false">-1+D5429*0.25</f>
        <v>0.5</v>
      </c>
      <c r="I5429" s="0" t="n">
        <f aca="false">1</f>
        <v>1</v>
      </c>
      <c r="J5429" s="0" t="n">
        <f aca="false">E5429</f>
        <v>0.75</v>
      </c>
      <c r="K5429" s="0" t="n">
        <f aca="false">F5429</f>
        <v>-0.25</v>
      </c>
      <c r="L5429" s="0" t="n">
        <f aca="false">G5429</f>
        <v>1</v>
      </c>
      <c r="M5429" s="0" t="n">
        <f aca="false">H5429</f>
        <v>0.5</v>
      </c>
      <c r="N5429" s="0" t="n">
        <f aca="false">E5429*F5429</f>
        <v>-0.1875</v>
      </c>
      <c r="O5429" s="0" t="n">
        <f aca="false">E5429*G5429</f>
        <v>0.75</v>
      </c>
      <c r="P5429" s="0" t="n">
        <f aca="false">E5429*H5429</f>
        <v>0.375</v>
      </c>
      <c r="Q5429" s="0" t="n">
        <f aca="false">F5429*G5429</f>
        <v>-0.25</v>
      </c>
      <c r="R5429" s="0" t="n">
        <f aca="false">F5429*H5429</f>
        <v>-0.125</v>
      </c>
      <c r="S5429" s="0" t="n">
        <f aca="false">G5429*H5429</f>
        <v>0.5</v>
      </c>
      <c r="T5429" s="0" t="n">
        <f aca="false">E5429*E5429</f>
        <v>0.5625</v>
      </c>
      <c r="U5429" s="0" t="n">
        <f aca="false">F5429*F5429</f>
        <v>0.0625</v>
      </c>
      <c r="V5429" s="0" t="n">
        <f aca="false">G5429*G5429</f>
        <v>1</v>
      </c>
      <c r="W5429" s="0" t="n">
        <f aca="false">H5429*H5429</f>
        <v>0.25</v>
      </c>
      <c r="X5429" s="0" t="n">
        <f aca="false">SUMPRODUCT(I5429:W5429,_XtX!$B$96:$P$96)</f>
        <v>47.1230811403509</v>
      </c>
      <c r="Y5429" s="0" t="n">
        <f aca="false">SUMPRODUCT(MMULT(I5429:W5429,_XtX!$B$78:$P$92),I5429:W5429)</f>
        <v>0.459125719572369</v>
      </c>
      <c r="Z5429" s="0" t="n">
        <f aca="false">04_回帰ANOVA!$K$19*04_回帰ANOVA!$K$14*SQRT(1+Y5429)</f>
        <v>1.57450755575573</v>
      </c>
      <c r="AA5429" s="0" t="n">
        <f aca="false">X5429-Z5429</f>
        <v>45.5485735845952</v>
      </c>
      <c r="AB5429" s="0" t="n">
        <f aca="false">X5429+Z5429</f>
        <v>48.6975886961066</v>
      </c>
      <c r="AC5429" s="54" t="b">
        <f aca="false">AND(E5429&gt;=01_因子設定!$L$5-0.000000001,E5429&lt;=01_因子設定!$M$5+0.000000001,F5429&gt;=01_因子設定!$L$6-0.000000001,F5429&lt;=01_因子設定!$M$6+0.000000001,G5429&gt;=01_因子設定!$L$7-0.000000001,G5429&lt;=01_因子設定!$M$7+0.000000001,H5429&gt;=01_因子設定!$L$8-0.000000001,H5429&lt;=01_因子設定!$M$8+0.000000001,IF(01_因子設定!$B$20="Box-Behnken",E5429^2+F5429^2+G5429^2+H5429^2&lt;=2+0.000000001,TRUE()))</f>
        <v>1</v>
      </c>
      <c r="AD5429" s="55" t="n">
        <f aca="false">IF(AC5429,IF(01_因子設定!$B$13="最大化",AA5429-01_因子設定!$B$14,IF(01_因子設定!$B$13="最小化",01_因子設定!$B$15-AB5429,MIN(AA5429-01_因子設定!$B$14,01_因子設定!$B$15-AB5429))),-1E+030)</f>
        <v>-0.951426415404853</v>
      </c>
      <c r="AE5429" s="55" t="n">
        <f aca="false">IF(AC5429,IF(01_因子設定!$B$13="最大化",X5429,IF(01_因子設定!$B$13="最小化",-X5429,-ABS(X5429-01_因子設定!$B$16))),-1E+030)</f>
        <v>47.1230811403509</v>
      </c>
      <c r="AF5429" s="55" t="n">
        <f aca="false">AD5429+ROW()*0.000000001</f>
        <v>-0.951420986404853</v>
      </c>
      <c r="AG5429" s="55" t="n">
        <f aca="false">AE5429+ROW()*0.000000001</f>
        <v>47.1230865693509</v>
      </c>
    </row>
    <row r="5430" customFormat="false" ht="15" hidden="false" customHeight="false" outlineLevel="0" collapsed="false">
      <c r="A5430" s="0" t="n">
        <v>7</v>
      </c>
      <c r="B5430" s="0" t="n">
        <v>3</v>
      </c>
      <c r="C5430" s="0" t="n">
        <v>8</v>
      </c>
      <c r="D5430" s="0" t="n">
        <v>7</v>
      </c>
      <c r="E5430" s="0" t="n">
        <f aca="false">-1+A5430*0.25</f>
        <v>0.75</v>
      </c>
      <c r="F5430" s="0" t="n">
        <f aca="false">-1+B5430*0.25</f>
        <v>-0.25</v>
      </c>
      <c r="G5430" s="0" t="n">
        <f aca="false">-1+C5430*0.25</f>
        <v>1</v>
      </c>
      <c r="H5430" s="0" t="n">
        <f aca="false">-1+D5430*0.25</f>
        <v>0.75</v>
      </c>
      <c r="I5430" s="0" t="n">
        <f aca="false">1</f>
        <v>1</v>
      </c>
      <c r="J5430" s="0" t="n">
        <f aca="false">E5430</f>
        <v>0.75</v>
      </c>
      <c r="K5430" s="0" t="n">
        <f aca="false">F5430</f>
        <v>-0.25</v>
      </c>
      <c r="L5430" s="0" t="n">
        <f aca="false">G5430</f>
        <v>1</v>
      </c>
      <c r="M5430" s="0" t="n">
        <f aca="false">H5430</f>
        <v>0.75</v>
      </c>
      <c r="N5430" s="0" t="n">
        <f aca="false">E5430*F5430</f>
        <v>-0.1875</v>
      </c>
      <c r="O5430" s="0" t="n">
        <f aca="false">E5430*G5430</f>
        <v>0.75</v>
      </c>
      <c r="P5430" s="0" t="n">
        <f aca="false">E5430*H5430</f>
        <v>0.5625</v>
      </c>
      <c r="Q5430" s="0" t="n">
        <f aca="false">F5430*G5430</f>
        <v>-0.25</v>
      </c>
      <c r="R5430" s="0" t="n">
        <f aca="false">F5430*H5430</f>
        <v>-0.1875</v>
      </c>
      <c r="S5430" s="0" t="n">
        <f aca="false">G5430*H5430</f>
        <v>0.75</v>
      </c>
      <c r="T5430" s="0" t="n">
        <f aca="false">E5430*E5430</f>
        <v>0.5625</v>
      </c>
      <c r="U5430" s="0" t="n">
        <f aca="false">F5430*F5430</f>
        <v>0.0625</v>
      </c>
      <c r="V5430" s="0" t="n">
        <f aca="false">G5430*G5430</f>
        <v>1</v>
      </c>
      <c r="W5430" s="0" t="n">
        <f aca="false">H5430*H5430</f>
        <v>0.5625</v>
      </c>
      <c r="X5430" s="0" t="n">
        <f aca="false">SUMPRODUCT(I5430:W5430,_XtX!$B$96:$P$96)</f>
        <v>47.2135462353801</v>
      </c>
      <c r="Y5430" s="0" t="n">
        <f aca="false">SUMPRODUCT(MMULT(I5430:W5430,_XtX!$B$78:$P$92),I5430:W5430)</f>
        <v>0.473959761056287</v>
      </c>
      <c r="Z5430" s="0" t="n">
        <f aca="false">04_回帰ANOVA!$K$19*04_回帰ANOVA!$K$14*SQRT(1+Y5430)</f>
        <v>1.58249084588329</v>
      </c>
      <c r="AA5430" s="0" t="n">
        <f aca="false">X5430-Z5430</f>
        <v>45.6310553894968</v>
      </c>
      <c r="AB5430" s="0" t="n">
        <f aca="false">X5430+Z5430</f>
        <v>48.7960370812634</v>
      </c>
      <c r="AC5430" s="54" t="b">
        <f aca="false">AND(E5430&gt;=01_因子設定!$L$5-0.000000001,E5430&lt;=01_因子設定!$M$5+0.000000001,F5430&gt;=01_因子設定!$L$6-0.000000001,F5430&lt;=01_因子設定!$M$6+0.000000001,G5430&gt;=01_因子設定!$L$7-0.000000001,G5430&lt;=01_因子設定!$M$7+0.000000001,H5430&gt;=01_因子設定!$L$8-0.000000001,H5430&lt;=01_因子設定!$M$8+0.000000001,IF(01_因子設定!$B$20="Box-Behnken",E5430^2+F5430^2+G5430^2+H5430^2&lt;=2+0.000000001,TRUE()))</f>
        <v>1</v>
      </c>
      <c r="AD5430" s="55" t="n">
        <f aca="false">IF(AC5430,IF(01_因子設定!$B$13="最大化",AA5430-01_因子設定!$B$14,IF(01_因子設定!$B$13="最小化",01_因子設定!$B$15-AB5430,MIN(AA5430-01_因子設定!$B$14,01_因子設定!$B$15-AB5430))),-1E+030)</f>
        <v>-0.868944610503156</v>
      </c>
      <c r="AE5430" s="55" t="n">
        <f aca="false">IF(AC5430,IF(01_因子設定!$B$13="最大化",X5430,IF(01_因子設定!$B$13="最小化",-X5430,-ABS(X5430-01_因子設定!$B$16))),-1E+030)</f>
        <v>47.2135462353801</v>
      </c>
      <c r="AF5430" s="55" t="n">
        <f aca="false">AD5430+ROW()*0.000000001</f>
        <v>-0.868939180503156</v>
      </c>
      <c r="AG5430" s="55" t="n">
        <f aca="false">AE5430+ROW()*0.000000001</f>
        <v>47.2135516653801</v>
      </c>
    </row>
    <row r="5431" customFormat="false" ht="15" hidden="false" customHeight="false" outlineLevel="0" collapsed="false">
      <c r="A5431" s="0" t="n">
        <v>7</v>
      </c>
      <c r="B5431" s="0" t="n">
        <v>3</v>
      </c>
      <c r="C5431" s="0" t="n">
        <v>8</v>
      </c>
      <c r="D5431" s="0" t="n">
        <v>8</v>
      </c>
      <c r="E5431" s="0" t="n">
        <f aca="false">-1+A5431*0.25</f>
        <v>0.75</v>
      </c>
      <c r="F5431" s="0" t="n">
        <f aca="false">-1+B5431*0.25</f>
        <v>-0.25</v>
      </c>
      <c r="G5431" s="0" t="n">
        <f aca="false">-1+C5431*0.25</f>
        <v>1</v>
      </c>
      <c r="H5431" s="0" t="n">
        <f aca="false">-1+D5431*0.25</f>
        <v>1</v>
      </c>
      <c r="I5431" s="0" t="n">
        <f aca="false">1</f>
        <v>1</v>
      </c>
      <c r="J5431" s="0" t="n">
        <f aca="false">E5431</f>
        <v>0.75</v>
      </c>
      <c r="K5431" s="0" t="n">
        <f aca="false">F5431</f>
        <v>-0.25</v>
      </c>
      <c r="L5431" s="0" t="n">
        <f aca="false">G5431</f>
        <v>1</v>
      </c>
      <c r="M5431" s="0" t="n">
        <f aca="false">H5431</f>
        <v>1</v>
      </c>
      <c r="N5431" s="0" t="n">
        <f aca="false">E5431*F5431</f>
        <v>-0.1875</v>
      </c>
      <c r="O5431" s="0" t="n">
        <f aca="false">E5431*G5431</f>
        <v>0.75</v>
      </c>
      <c r="P5431" s="0" t="n">
        <f aca="false">E5431*H5431</f>
        <v>0.75</v>
      </c>
      <c r="Q5431" s="0" t="n">
        <f aca="false">F5431*G5431</f>
        <v>-0.25</v>
      </c>
      <c r="R5431" s="0" t="n">
        <f aca="false">F5431*H5431</f>
        <v>-0.25</v>
      </c>
      <c r="S5431" s="0" t="n">
        <f aca="false">G5431*H5431</f>
        <v>1</v>
      </c>
      <c r="T5431" s="0" t="n">
        <f aca="false">E5431*E5431</f>
        <v>0.5625</v>
      </c>
      <c r="U5431" s="0" t="n">
        <f aca="false">F5431*F5431</f>
        <v>0.0625</v>
      </c>
      <c r="V5431" s="0" t="n">
        <f aca="false">G5431*G5431</f>
        <v>1</v>
      </c>
      <c r="W5431" s="0" t="n">
        <f aca="false">H5431*H5431</f>
        <v>1</v>
      </c>
      <c r="X5431" s="0" t="n">
        <f aca="false">SUMPRODUCT(I5431:W5431,_XtX!$B$96:$P$96)</f>
        <v>47.2562043128655</v>
      </c>
      <c r="Y5431" s="0" t="n">
        <f aca="false">SUMPRODUCT(MMULT(I5431:W5431,_XtX!$B$78:$P$92),I5431:W5431)</f>
        <v>0.621372155975877</v>
      </c>
      <c r="Z5431" s="0" t="n">
        <f aca="false">04_回帰ANOVA!$K$19*04_回帰ANOVA!$K$14*SQRT(1+Y5431)</f>
        <v>1.65973880499872</v>
      </c>
      <c r="AA5431" s="0" t="n">
        <f aca="false">X5431-Z5431</f>
        <v>45.5964655078668</v>
      </c>
      <c r="AB5431" s="0" t="n">
        <f aca="false">X5431+Z5431</f>
        <v>48.9159431178642</v>
      </c>
      <c r="AC5431" s="54" t="b">
        <f aca="false">AND(E5431&gt;=01_因子設定!$L$5-0.000000001,E5431&lt;=01_因子設定!$M$5+0.000000001,F5431&gt;=01_因子設定!$L$6-0.000000001,F5431&lt;=01_因子設定!$M$6+0.000000001,G5431&gt;=01_因子設定!$L$7-0.000000001,G5431&lt;=01_因子設定!$M$7+0.000000001,H5431&gt;=01_因子設定!$L$8-0.000000001,H5431&lt;=01_因子設定!$M$8+0.000000001,IF(01_因子設定!$B$20="Box-Behnken",E5431^2+F5431^2+G5431^2+H5431^2&lt;=2+0.000000001,TRUE()))</f>
        <v>1</v>
      </c>
      <c r="AD5431" s="55" t="n">
        <f aca="false">IF(AC5431,IF(01_因子設定!$B$13="最大化",AA5431-01_因子設定!$B$14,IF(01_因子設定!$B$13="最小化",01_因子設定!$B$15-AB5431,MIN(AA5431-01_因子設定!$B$14,01_因子設定!$B$15-AB5431))),-1E+030)</f>
        <v>-0.903534492133197</v>
      </c>
      <c r="AE5431" s="55" t="n">
        <f aca="false">IF(AC5431,IF(01_因子設定!$B$13="最大化",X5431,IF(01_因子設定!$B$13="最小化",-X5431,-ABS(X5431-01_因子設定!$B$16))),-1E+030)</f>
        <v>47.2562043128655</v>
      </c>
      <c r="AF5431" s="55" t="n">
        <f aca="false">AD5431+ROW()*0.000000001</f>
        <v>-0.903529061133197</v>
      </c>
      <c r="AG5431" s="55" t="n">
        <f aca="false">AE5431+ROW()*0.000000001</f>
        <v>47.2562097438655</v>
      </c>
    </row>
    <row r="5432" customFormat="false" ht="15" hidden="false" customHeight="false" outlineLevel="0" collapsed="false">
      <c r="A5432" s="0" t="n">
        <v>7</v>
      </c>
      <c r="B5432" s="0" t="n">
        <v>4</v>
      </c>
      <c r="C5432" s="0" t="n">
        <v>0</v>
      </c>
      <c r="D5432" s="0" t="n">
        <v>0</v>
      </c>
      <c r="E5432" s="0" t="n">
        <f aca="false">-1+A5432*0.25</f>
        <v>0.75</v>
      </c>
      <c r="F5432" s="0" t="n">
        <f aca="false">-1+B5432*0.25</f>
        <v>0</v>
      </c>
      <c r="G5432" s="0" t="n">
        <f aca="false">-1+C5432*0.25</f>
        <v>-1</v>
      </c>
      <c r="H5432" s="0" t="n">
        <f aca="false">-1+D5432*0.25</f>
        <v>-1</v>
      </c>
      <c r="I5432" s="0" t="n">
        <f aca="false">1</f>
        <v>1</v>
      </c>
      <c r="J5432" s="0" t="n">
        <f aca="false">E5432</f>
        <v>0.75</v>
      </c>
      <c r="K5432" s="0" t="n">
        <f aca="false">F5432</f>
        <v>0</v>
      </c>
      <c r="L5432" s="0" t="n">
        <f aca="false">G5432</f>
        <v>-1</v>
      </c>
      <c r="M5432" s="0" t="n">
        <f aca="false">H5432</f>
        <v>-1</v>
      </c>
      <c r="N5432" s="0" t="n">
        <f aca="false">E5432*F5432</f>
        <v>0</v>
      </c>
      <c r="O5432" s="0" t="n">
        <f aca="false">E5432*G5432</f>
        <v>-0.75</v>
      </c>
      <c r="P5432" s="0" t="n">
        <f aca="false">E5432*H5432</f>
        <v>-0.75</v>
      </c>
      <c r="Q5432" s="0" t="n">
        <f aca="false">F5432*G5432</f>
        <v>-0</v>
      </c>
      <c r="R5432" s="0" t="n">
        <f aca="false">F5432*H5432</f>
        <v>-0</v>
      </c>
      <c r="S5432" s="0" t="n">
        <f aca="false">G5432*H5432</f>
        <v>1</v>
      </c>
      <c r="T5432" s="0" t="n">
        <f aca="false">E5432*E5432</f>
        <v>0.5625</v>
      </c>
      <c r="U5432" s="0" t="n">
        <f aca="false">F5432*F5432</f>
        <v>0</v>
      </c>
      <c r="V5432" s="0" t="n">
        <f aca="false">G5432*G5432</f>
        <v>1</v>
      </c>
      <c r="W5432" s="0" t="n">
        <f aca="false">H5432*H5432</f>
        <v>1</v>
      </c>
      <c r="X5432" s="0" t="n">
        <f aca="false">SUMPRODUCT(I5432:W5432,_XtX!$B$96:$P$96)</f>
        <v>46.1868786549708</v>
      </c>
      <c r="Y5432" s="0" t="n">
        <f aca="false">SUMPRODUCT(MMULT(I5432:W5432,_XtX!$B$78:$P$92),I5432:W5432)</f>
        <v>0.646198830409357</v>
      </c>
      <c r="Z5432" s="0" t="n">
        <f aca="false">04_回帰ANOVA!$K$19*04_回帰ANOVA!$K$14*SQRT(1+Y5432)</f>
        <v>1.67239760569756</v>
      </c>
      <c r="AA5432" s="0" t="n">
        <f aca="false">X5432-Z5432</f>
        <v>44.5144810492732</v>
      </c>
      <c r="AB5432" s="0" t="n">
        <f aca="false">X5432+Z5432</f>
        <v>47.8592762606683</v>
      </c>
      <c r="AC5432" s="54" t="b">
        <f aca="false">AND(E5432&gt;=01_因子設定!$L$5-0.000000001,E5432&lt;=01_因子設定!$M$5+0.000000001,F5432&gt;=01_因子設定!$L$6-0.000000001,F5432&lt;=01_因子設定!$M$6+0.000000001,G5432&gt;=01_因子設定!$L$7-0.000000001,G5432&lt;=01_因子設定!$M$7+0.000000001,H5432&gt;=01_因子設定!$L$8-0.000000001,H5432&lt;=01_因子設定!$M$8+0.000000001,IF(01_因子設定!$B$20="Box-Behnken",E5432^2+F5432^2+G5432^2+H5432^2&lt;=2+0.000000001,TRUE()))</f>
        <v>1</v>
      </c>
      <c r="AD5432" s="55" t="n">
        <f aca="false">IF(AC5432,IF(01_因子設定!$B$13="最大化",AA5432-01_因子設定!$B$14,IF(01_因子設定!$B$13="最小化",01_因子設定!$B$15-AB5432,MIN(AA5432-01_因子設定!$B$14,01_因子設定!$B$15-AB5432))),-1E+030)</f>
        <v>-1.98551895072676</v>
      </c>
      <c r="AE5432" s="55" t="n">
        <f aca="false">IF(AC5432,IF(01_因子設定!$B$13="最大化",X5432,IF(01_因子設定!$B$13="最小化",-X5432,-ABS(X5432-01_因子設定!$B$16))),-1E+030)</f>
        <v>46.1868786549708</v>
      </c>
      <c r="AF5432" s="55" t="n">
        <f aca="false">AD5432+ROW()*0.000000001</f>
        <v>-1.98551351872676</v>
      </c>
      <c r="AG5432" s="55" t="n">
        <f aca="false">AE5432+ROW()*0.000000001</f>
        <v>46.1868840869708</v>
      </c>
    </row>
    <row r="5433" customFormat="false" ht="15" hidden="false" customHeight="false" outlineLevel="0" collapsed="false">
      <c r="A5433" s="0" t="n">
        <v>7</v>
      </c>
      <c r="B5433" s="0" t="n">
        <v>4</v>
      </c>
      <c r="C5433" s="0" t="n">
        <v>0</v>
      </c>
      <c r="D5433" s="0" t="n">
        <v>1</v>
      </c>
      <c r="E5433" s="0" t="n">
        <f aca="false">-1+A5433*0.25</f>
        <v>0.75</v>
      </c>
      <c r="F5433" s="0" t="n">
        <f aca="false">-1+B5433*0.25</f>
        <v>0</v>
      </c>
      <c r="G5433" s="0" t="n">
        <f aca="false">-1+C5433*0.25</f>
        <v>-1</v>
      </c>
      <c r="H5433" s="0" t="n">
        <f aca="false">-1+D5433*0.25</f>
        <v>-0.75</v>
      </c>
      <c r="I5433" s="0" t="n">
        <f aca="false">1</f>
        <v>1</v>
      </c>
      <c r="J5433" s="0" t="n">
        <f aca="false">E5433</f>
        <v>0.75</v>
      </c>
      <c r="K5433" s="0" t="n">
        <f aca="false">F5433</f>
        <v>0</v>
      </c>
      <c r="L5433" s="0" t="n">
        <f aca="false">G5433</f>
        <v>-1</v>
      </c>
      <c r="M5433" s="0" t="n">
        <f aca="false">H5433</f>
        <v>-0.75</v>
      </c>
      <c r="N5433" s="0" t="n">
        <f aca="false">E5433*F5433</f>
        <v>0</v>
      </c>
      <c r="O5433" s="0" t="n">
        <f aca="false">E5433*G5433</f>
        <v>-0.75</v>
      </c>
      <c r="P5433" s="0" t="n">
        <f aca="false">E5433*H5433</f>
        <v>-0.5625</v>
      </c>
      <c r="Q5433" s="0" t="n">
        <f aca="false">F5433*G5433</f>
        <v>-0</v>
      </c>
      <c r="R5433" s="0" t="n">
        <f aca="false">F5433*H5433</f>
        <v>-0</v>
      </c>
      <c r="S5433" s="0" t="n">
        <f aca="false">G5433*H5433</f>
        <v>0.75</v>
      </c>
      <c r="T5433" s="0" t="n">
        <f aca="false">E5433*E5433</f>
        <v>0.5625</v>
      </c>
      <c r="U5433" s="0" t="n">
        <f aca="false">F5433*F5433</f>
        <v>0</v>
      </c>
      <c r="V5433" s="0" t="n">
        <f aca="false">G5433*G5433</f>
        <v>1</v>
      </c>
      <c r="W5433" s="0" t="n">
        <f aca="false">H5433*H5433</f>
        <v>0.5625</v>
      </c>
      <c r="X5433" s="0" t="n">
        <f aca="false">SUMPRODUCT(I5433:W5433,_XtX!$B$96:$P$96)</f>
        <v>46.4071546052632</v>
      </c>
      <c r="Y5433" s="0" t="n">
        <f aca="false">SUMPRODUCT(MMULT(I5433:W5433,_XtX!$B$78:$P$92),I5433:W5433)</f>
        <v>0.494259126005117</v>
      </c>
      <c r="Z5433" s="0" t="n">
        <f aca="false">04_回帰ANOVA!$K$19*04_回帰ANOVA!$K$14*SQRT(1+Y5433)</f>
        <v>1.59335061078203</v>
      </c>
      <c r="AA5433" s="0" t="n">
        <f aca="false">X5433-Z5433</f>
        <v>44.8138039944811</v>
      </c>
      <c r="AB5433" s="0" t="n">
        <f aca="false">X5433+Z5433</f>
        <v>48.0005052160452</v>
      </c>
      <c r="AC5433" s="54" t="b">
        <f aca="false">AND(E5433&gt;=01_因子設定!$L$5-0.000000001,E5433&lt;=01_因子設定!$M$5+0.000000001,F5433&gt;=01_因子設定!$L$6-0.000000001,F5433&lt;=01_因子設定!$M$6+0.000000001,G5433&gt;=01_因子設定!$L$7-0.000000001,G5433&lt;=01_因子設定!$M$7+0.000000001,H5433&gt;=01_因子設定!$L$8-0.000000001,H5433&lt;=01_因子設定!$M$8+0.000000001,IF(01_因子設定!$B$20="Box-Behnken",E5433^2+F5433^2+G5433^2+H5433^2&lt;=2+0.000000001,TRUE()))</f>
        <v>1</v>
      </c>
      <c r="AD5433" s="55" t="n">
        <f aca="false">IF(AC5433,IF(01_因子設定!$B$13="最大化",AA5433-01_因子設定!$B$14,IF(01_因子設定!$B$13="最小化",01_因子設定!$B$15-AB5433,MIN(AA5433-01_因子設定!$B$14,01_因子設定!$B$15-AB5433))),-1E+030)</f>
        <v>-1.68619600551886</v>
      </c>
      <c r="AE5433" s="55" t="n">
        <f aca="false">IF(AC5433,IF(01_因子設定!$B$13="最大化",X5433,IF(01_因子設定!$B$13="最小化",-X5433,-ABS(X5433-01_因子設定!$B$16))),-1E+030)</f>
        <v>46.4071546052632</v>
      </c>
      <c r="AF5433" s="55" t="n">
        <f aca="false">AD5433+ROW()*0.000000001</f>
        <v>-1.68619057251886</v>
      </c>
      <c r="AG5433" s="55" t="n">
        <f aca="false">AE5433+ROW()*0.000000001</f>
        <v>46.4071600382632</v>
      </c>
    </row>
    <row r="5434" customFormat="false" ht="15" hidden="false" customHeight="false" outlineLevel="0" collapsed="false">
      <c r="A5434" s="0" t="n">
        <v>7</v>
      </c>
      <c r="B5434" s="0" t="n">
        <v>4</v>
      </c>
      <c r="C5434" s="0" t="n">
        <v>0</v>
      </c>
      <c r="D5434" s="0" t="n">
        <v>2</v>
      </c>
      <c r="E5434" s="0" t="n">
        <f aca="false">-1+A5434*0.25</f>
        <v>0.75</v>
      </c>
      <c r="F5434" s="0" t="n">
        <f aca="false">-1+B5434*0.25</f>
        <v>0</v>
      </c>
      <c r="G5434" s="0" t="n">
        <f aca="false">-1+C5434*0.25</f>
        <v>-1</v>
      </c>
      <c r="H5434" s="0" t="n">
        <f aca="false">-1+D5434*0.25</f>
        <v>-0.5</v>
      </c>
      <c r="I5434" s="0" t="n">
        <f aca="false">1</f>
        <v>1</v>
      </c>
      <c r="J5434" s="0" t="n">
        <f aca="false">E5434</f>
        <v>0.75</v>
      </c>
      <c r="K5434" s="0" t="n">
        <f aca="false">F5434</f>
        <v>0</v>
      </c>
      <c r="L5434" s="0" t="n">
        <f aca="false">G5434</f>
        <v>-1</v>
      </c>
      <c r="M5434" s="0" t="n">
        <f aca="false">H5434</f>
        <v>-0.5</v>
      </c>
      <c r="N5434" s="0" t="n">
        <f aca="false">E5434*F5434</f>
        <v>0</v>
      </c>
      <c r="O5434" s="0" t="n">
        <f aca="false">E5434*G5434</f>
        <v>-0.75</v>
      </c>
      <c r="P5434" s="0" t="n">
        <f aca="false">E5434*H5434</f>
        <v>-0.375</v>
      </c>
      <c r="Q5434" s="0" t="n">
        <f aca="false">F5434*G5434</f>
        <v>-0</v>
      </c>
      <c r="R5434" s="0" t="n">
        <f aca="false">F5434*H5434</f>
        <v>-0</v>
      </c>
      <c r="S5434" s="0" t="n">
        <f aca="false">G5434*H5434</f>
        <v>0.5</v>
      </c>
      <c r="T5434" s="0" t="n">
        <f aca="false">E5434*E5434</f>
        <v>0.5625</v>
      </c>
      <c r="U5434" s="0" t="n">
        <f aca="false">F5434*F5434</f>
        <v>0</v>
      </c>
      <c r="V5434" s="0" t="n">
        <f aca="false">G5434*G5434</f>
        <v>1</v>
      </c>
      <c r="W5434" s="0" t="n">
        <f aca="false">H5434*H5434</f>
        <v>0.25</v>
      </c>
      <c r="X5434" s="0" t="n">
        <f aca="false">SUMPRODUCT(I5434:W5434,_XtX!$B$96:$P$96)</f>
        <v>46.5796235380117</v>
      </c>
      <c r="Y5434" s="0" t="n">
        <f aca="false">SUMPRODUCT(MMULT(I5434:W5434,_XtX!$B$78:$P$92),I5434:W5434)</f>
        <v>0.476191292032164</v>
      </c>
      <c r="Z5434" s="0" t="n">
        <f aca="false">04_回帰ANOVA!$K$19*04_回帰ANOVA!$K$14*SQRT(1+Y5434)</f>
        <v>1.58368831471718</v>
      </c>
      <c r="AA5434" s="0" t="n">
        <f aca="false">X5434-Z5434</f>
        <v>44.9959352232945</v>
      </c>
      <c r="AB5434" s="0" t="n">
        <f aca="false">X5434+Z5434</f>
        <v>48.1633118527289</v>
      </c>
      <c r="AC5434" s="54" t="b">
        <f aca="false">AND(E5434&gt;=01_因子設定!$L$5-0.000000001,E5434&lt;=01_因子設定!$M$5+0.000000001,F5434&gt;=01_因子設定!$L$6-0.000000001,F5434&lt;=01_因子設定!$M$6+0.000000001,G5434&gt;=01_因子設定!$L$7-0.000000001,G5434&lt;=01_因子設定!$M$7+0.000000001,H5434&gt;=01_因子設定!$L$8-0.000000001,H5434&lt;=01_因子設定!$M$8+0.000000001,IF(01_因子設定!$B$20="Box-Behnken",E5434^2+F5434^2+G5434^2+H5434^2&lt;=2+0.000000001,TRUE()))</f>
        <v>1</v>
      </c>
      <c r="AD5434" s="55" t="n">
        <f aca="false">IF(AC5434,IF(01_因子設定!$B$13="最大化",AA5434-01_因子設定!$B$14,IF(01_因子設定!$B$13="最小化",01_因子設定!$B$15-AB5434,MIN(AA5434-01_因子設定!$B$14,01_因子設定!$B$15-AB5434))),-1E+030)</f>
        <v>-1.50406477670548</v>
      </c>
      <c r="AE5434" s="55" t="n">
        <f aca="false">IF(AC5434,IF(01_因子設定!$B$13="最大化",X5434,IF(01_因子設定!$B$13="最小化",-X5434,-ABS(X5434-01_因子設定!$B$16))),-1E+030)</f>
        <v>46.5796235380117</v>
      </c>
      <c r="AF5434" s="55" t="n">
        <f aca="false">AD5434+ROW()*0.000000001</f>
        <v>-1.50405934270548</v>
      </c>
      <c r="AG5434" s="55" t="n">
        <f aca="false">AE5434+ROW()*0.000000001</f>
        <v>46.5796289720117</v>
      </c>
    </row>
    <row r="5435" customFormat="false" ht="15" hidden="false" customHeight="false" outlineLevel="0" collapsed="false">
      <c r="A5435" s="0" t="n">
        <v>7</v>
      </c>
      <c r="B5435" s="0" t="n">
        <v>4</v>
      </c>
      <c r="C5435" s="0" t="n">
        <v>0</v>
      </c>
      <c r="D5435" s="0" t="n">
        <v>3</v>
      </c>
      <c r="E5435" s="0" t="n">
        <f aca="false">-1+A5435*0.25</f>
        <v>0.75</v>
      </c>
      <c r="F5435" s="0" t="n">
        <f aca="false">-1+B5435*0.25</f>
        <v>0</v>
      </c>
      <c r="G5435" s="0" t="n">
        <f aca="false">-1+C5435*0.25</f>
        <v>-1</v>
      </c>
      <c r="H5435" s="0" t="n">
        <f aca="false">-1+D5435*0.25</f>
        <v>-0.25</v>
      </c>
      <c r="I5435" s="0" t="n">
        <f aca="false">1</f>
        <v>1</v>
      </c>
      <c r="J5435" s="0" t="n">
        <f aca="false">E5435</f>
        <v>0.75</v>
      </c>
      <c r="K5435" s="0" t="n">
        <f aca="false">F5435</f>
        <v>0</v>
      </c>
      <c r="L5435" s="0" t="n">
        <f aca="false">G5435</f>
        <v>-1</v>
      </c>
      <c r="M5435" s="0" t="n">
        <f aca="false">H5435</f>
        <v>-0.25</v>
      </c>
      <c r="N5435" s="0" t="n">
        <f aca="false">E5435*F5435</f>
        <v>0</v>
      </c>
      <c r="O5435" s="0" t="n">
        <f aca="false">E5435*G5435</f>
        <v>-0.75</v>
      </c>
      <c r="P5435" s="0" t="n">
        <f aca="false">E5435*H5435</f>
        <v>-0.1875</v>
      </c>
      <c r="Q5435" s="0" t="n">
        <f aca="false">F5435*G5435</f>
        <v>-0</v>
      </c>
      <c r="R5435" s="0" t="n">
        <f aca="false">F5435*H5435</f>
        <v>-0</v>
      </c>
      <c r="S5435" s="0" t="n">
        <f aca="false">G5435*H5435</f>
        <v>0.25</v>
      </c>
      <c r="T5435" s="0" t="n">
        <f aca="false">E5435*E5435</f>
        <v>0.5625</v>
      </c>
      <c r="U5435" s="0" t="n">
        <f aca="false">F5435*F5435</f>
        <v>0</v>
      </c>
      <c r="V5435" s="0" t="n">
        <f aca="false">G5435*G5435</f>
        <v>1</v>
      </c>
      <c r="W5435" s="0" t="n">
        <f aca="false">H5435*H5435</f>
        <v>0.0625</v>
      </c>
      <c r="X5435" s="0" t="n">
        <f aca="false">SUMPRODUCT(I5435:W5435,_XtX!$B$96:$P$96)</f>
        <v>46.7042854532164</v>
      </c>
      <c r="Y5435" s="0" t="n">
        <f aca="false">SUMPRODUCT(MMULT(I5435:W5435,_XtX!$B$78:$P$92),I5435:W5435)</f>
        <v>0.501534802174708</v>
      </c>
      <c r="Z5435" s="0" t="n">
        <f aca="false">04_回帰ANOVA!$K$19*04_回帰ANOVA!$K$14*SQRT(1+Y5435)</f>
        <v>1.59722498091333</v>
      </c>
      <c r="AA5435" s="0" t="n">
        <f aca="false">X5435-Z5435</f>
        <v>45.107060472303</v>
      </c>
      <c r="AB5435" s="0" t="n">
        <f aca="false">X5435+Z5435</f>
        <v>48.3015104341297</v>
      </c>
      <c r="AC5435" s="54" t="b">
        <f aca="false">AND(E5435&gt;=01_因子設定!$L$5-0.000000001,E5435&lt;=01_因子設定!$M$5+0.000000001,F5435&gt;=01_因子設定!$L$6-0.000000001,F5435&lt;=01_因子設定!$M$6+0.000000001,G5435&gt;=01_因子設定!$L$7-0.000000001,G5435&lt;=01_因子設定!$M$7+0.000000001,H5435&gt;=01_因子設定!$L$8-0.000000001,H5435&lt;=01_因子設定!$M$8+0.000000001,IF(01_因子設定!$B$20="Box-Behnken",E5435^2+F5435^2+G5435^2+H5435^2&lt;=2+0.000000001,TRUE()))</f>
        <v>1</v>
      </c>
      <c r="AD5435" s="55" t="n">
        <f aca="false">IF(AC5435,IF(01_因子設定!$B$13="最大化",AA5435-01_因子設定!$B$14,IF(01_因子設定!$B$13="最小化",01_因子設定!$B$15-AB5435,MIN(AA5435-01_因子設定!$B$14,01_因子設定!$B$15-AB5435))),-1E+030)</f>
        <v>-1.39293952769697</v>
      </c>
      <c r="AE5435" s="55" t="n">
        <f aca="false">IF(AC5435,IF(01_因子設定!$B$13="最大化",X5435,IF(01_因子設定!$B$13="最小化",-X5435,-ABS(X5435-01_因子設定!$B$16))),-1E+030)</f>
        <v>46.7042854532164</v>
      </c>
      <c r="AF5435" s="55" t="n">
        <f aca="false">AD5435+ROW()*0.000000001</f>
        <v>-1.39293409269697</v>
      </c>
      <c r="AG5435" s="55" t="n">
        <f aca="false">AE5435+ROW()*0.000000001</f>
        <v>46.7042908882164</v>
      </c>
    </row>
    <row r="5436" customFormat="false" ht="15" hidden="false" customHeight="false" outlineLevel="0" collapsed="false">
      <c r="A5436" s="0" t="n">
        <v>7</v>
      </c>
      <c r="B5436" s="0" t="n">
        <v>4</v>
      </c>
      <c r="C5436" s="0" t="n">
        <v>0</v>
      </c>
      <c r="D5436" s="0" t="n">
        <v>4</v>
      </c>
      <c r="E5436" s="0" t="n">
        <f aca="false">-1+A5436*0.25</f>
        <v>0.75</v>
      </c>
      <c r="F5436" s="0" t="n">
        <f aca="false">-1+B5436*0.25</f>
        <v>0</v>
      </c>
      <c r="G5436" s="0" t="n">
        <f aca="false">-1+C5436*0.25</f>
        <v>-1</v>
      </c>
      <c r="H5436" s="0" t="n">
        <f aca="false">-1+D5436*0.25</f>
        <v>0</v>
      </c>
      <c r="I5436" s="0" t="n">
        <f aca="false">1</f>
        <v>1</v>
      </c>
      <c r="J5436" s="0" t="n">
        <f aca="false">E5436</f>
        <v>0.75</v>
      </c>
      <c r="K5436" s="0" t="n">
        <f aca="false">F5436</f>
        <v>0</v>
      </c>
      <c r="L5436" s="0" t="n">
        <f aca="false">G5436</f>
        <v>-1</v>
      </c>
      <c r="M5436" s="0" t="n">
        <f aca="false">H5436</f>
        <v>0</v>
      </c>
      <c r="N5436" s="0" t="n">
        <f aca="false">E5436*F5436</f>
        <v>0</v>
      </c>
      <c r="O5436" s="0" t="n">
        <f aca="false">E5436*G5436</f>
        <v>-0.75</v>
      </c>
      <c r="P5436" s="0" t="n">
        <f aca="false">E5436*H5436</f>
        <v>0</v>
      </c>
      <c r="Q5436" s="0" t="n">
        <f aca="false">F5436*G5436</f>
        <v>-0</v>
      </c>
      <c r="R5436" s="0" t="n">
        <f aca="false">F5436*H5436</f>
        <v>0</v>
      </c>
      <c r="S5436" s="0" t="n">
        <f aca="false">G5436*H5436</f>
        <v>-0</v>
      </c>
      <c r="T5436" s="0" t="n">
        <f aca="false">E5436*E5436</f>
        <v>0.5625</v>
      </c>
      <c r="U5436" s="0" t="n">
        <f aca="false">F5436*F5436</f>
        <v>0</v>
      </c>
      <c r="V5436" s="0" t="n">
        <f aca="false">G5436*G5436</f>
        <v>1</v>
      </c>
      <c r="W5436" s="0" t="n">
        <f aca="false">H5436*H5436</f>
        <v>0</v>
      </c>
      <c r="X5436" s="0" t="n">
        <f aca="false">SUMPRODUCT(I5436:W5436,_XtX!$B$96:$P$96)</f>
        <v>46.7811403508772</v>
      </c>
      <c r="Y5436" s="0" t="n">
        <f aca="false">SUMPRODUCT(MMULT(I5436:W5436,_XtX!$B$78:$P$92),I5436:W5436)</f>
        <v>0.516013340643275</v>
      </c>
      <c r="Z5436" s="0" t="n">
        <f aca="false">04_回帰ANOVA!$K$19*04_回帰ANOVA!$K$14*SQRT(1+Y5436)</f>
        <v>1.60490712175667</v>
      </c>
      <c r="AA5436" s="0" t="n">
        <f aca="false">X5436-Z5436</f>
        <v>45.1762332291205</v>
      </c>
      <c r="AB5436" s="0" t="n">
        <f aca="false">X5436+Z5436</f>
        <v>48.3860474726339</v>
      </c>
      <c r="AC5436" s="54" t="b">
        <f aca="false">AND(E5436&gt;=01_因子設定!$L$5-0.000000001,E5436&lt;=01_因子設定!$M$5+0.000000001,F5436&gt;=01_因子設定!$L$6-0.000000001,F5436&lt;=01_因子設定!$M$6+0.000000001,G5436&gt;=01_因子設定!$L$7-0.000000001,G5436&lt;=01_因子設定!$M$7+0.000000001,H5436&gt;=01_因子設定!$L$8-0.000000001,H5436&lt;=01_因子設定!$M$8+0.000000001,IF(01_因子設定!$B$20="Box-Behnken",E5436^2+F5436^2+G5436^2+H5436^2&lt;=2+0.000000001,TRUE()))</f>
        <v>1</v>
      </c>
      <c r="AD5436" s="55" t="n">
        <f aca="false">IF(AC5436,IF(01_因子設定!$B$13="最大化",AA5436-01_因子設定!$B$14,IF(01_因子設定!$B$13="最小化",01_因子設定!$B$15-AB5436,MIN(AA5436-01_因子設定!$B$14,01_因子設定!$B$15-AB5436))),-1E+030)</f>
        <v>-1.32376677087949</v>
      </c>
      <c r="AE5436" s="55" t="n">
        <f aca="false">IF(AC5436,IF(01_因子設定!$B$13="最大化",X5436,IF(01_因子設定!$B$13="最小化",-X5436,-ABS(X5436-01_因子設定!$B$16))),-1E+030)</f>
        <v>46.7811403508772</v>
      </c>
      <c r="AF5436" s="55" t="n">
        <f aca="false">AD5436+ROW()*0.000000001</f>
        <v>-1.32376133487949</v>
      </c>
      <c r="AG5436" s="55" t="n">
        <f aca="false">AE5436+ROW()*0.000000001</f>
        <v>46.7811457868772</v>
      </c>
    </row>
    <row r="5437" customFormat="false" ht="15" hidden="false" customHeight="false" outlineLevel="0" collapsed="false">
      <c r="A5437" s="0" t="n">
        <v>7</v>
      </c>
      <c r="B5437" s="0" t="n">
        <v>4</v>
      </c>
      <c r="C5437" s="0" t="n">
        <v>0</v>
      </c>
      <c r="D5437" s="0" t="n">
        <v>5</v>
      </c>
      <c r="E5437" s="0" t="n">
        <f aca="false">-1+A5437*0.25</f>
        <v>0.75</v>
      </c>
      <c r="F5437" s="0" t="n">
        <f aca="false">-1+B5437*0.25</f>
        <v>0</v>
      </c>
      <c r="G5437" s="0" t="n">
        <f aca="false">-1+C5437*0.25</f>
        <v>-1</v>
      </c>
      <c r="H5437" s="0" t="n">
        <f aca="false">-1+D5437*0.25</f>
        <v>0.25</v>
      </c>
      <c r="I5437" s="0" t="n">
        <f aca="false">1</f>
        <v>1</v>
      </c>
      <c r="J5437" s="0" t="n">
        <f aca="false">E5437</f>
        <v>0.75</v>
      </c>
      <c r="K5437" s="0" t="n">
        <f aca="false">F5437</f>
        <v>0</v>
      </c>
      <c r="L5437" s="0" t="n">
        <f aca="false">G5437</f>
        <v>-1</v>
      </c>
      <c r="M5437" s="0" t="n">
        <f aca="false">H5437</f>
        <v>0.25</v>
      </c>
      <c r="N5437" s="0" t="n">
        <f aca="false">E5437*F5437</f>
        <v>0</v>
      </c>
      <c r="O5437" s="0" t="n">
        <f aca="false">E5437*G5437</f>
        <v>-0.75</v>
      </c>
      <c r="P5437" s="0" t="n">
        <f aca="false">E5437*H5437</f>
        <v>0.1875</v>
      </c>
      <c r="Q5437" s="0" t="n">
        <f aca="false">F5437*G5437</f>
        <v>-0</v>
      </c>
      <c r="R5437" s="0" t="n">
        <f aca="false">F5437*H5437</f>
        <v>0</v>
      </c>
      <c r="S5437" s="0" t="n">
        <f aca="false">G5437*H5437</f>
        <v>-0.25</v>
      </c>
      <c r="T5437" s="0" t="n">
        <f aca="false">E5437*E5437</f>
        <v>0.5625</v>
      </c>
      <c r="U5437" s="0" t="n">
        <f aca="false">F5437*F5437</f>
        <v>0</v>
      </c>
      <c r="V5437" s="0" t="n">
        <f aca="false">G5437*G5437</f>
        <v>1</v>
      </c>
      <c r="W5437" s="0" t="n">
        <f aca="false">H5437*H5437</f>
        <v>0.0625</v>
      </c>
      <c r="X5437" s="0" t="n">
        <f aca="false">SUMPRODUCT(I5437:W5437,_XtX!$B$96:$P$96)</f>
        <v>46.8101882309941</v>
      </c>
      <c r="Y5437" s="0" t="n">
        <f aca="false">SUMPRODUCT(MMULT(I5437:W5437,_XtX!$B$78:$P$92),I5437:W5437)</f>
        <v>0.501534802174708</v>
      </c>
      <c r="Z5437" s="0" t="n">
        <f aca="false">04_回帰ANOVA!$K$19*04_回帰ANOVA!$K$14*SQRT(1+Y5437)</f>
        <v>1.59722498091333</v>
      </c>
      <c r="AA5437" s="0" t="n">
        <f aca="false">X5437-Z5437</f>
        <v>45.2129632500808</v>
      </c>
      <c r="AB5437" s="0" t="n">
        <f aca="false">X5437+Z5437</f>
        <v>48.4074132119075</v>
      </c>
      <c r="AC5437" s="54" t="b">
        <f aca="false">AND(E5437&gt;=01_因子設定!$L$5-0.000000001,E5437&lt;=01_因子設定!$M$5+0.000000001,F5437&gt;=01_因子設定!$L$6-0.000000001,F5437&lt;=01_因子設定!$M$6+0.000000001,G5437&gt;=01_因子設定!$L$7-0.000000001,G5437&lt;=01_因子設定!$M$7+0.000000001,H5437&gt;=01_因子設定!$L$8-0.000000001,H5437&lt;=01_因子設定!$M$8+0.000000001,IF(01_因子設定!$B$20="Box-Behnken",E5437^2+F5437^2+G5437^2+H5437^2&lt;=2+0.000000001,TRUE()))</f>
        <v>1</v>
      </c>
      <c r="AD5437" s="55" t="n">
        <f aca="false">IF(AC5437,IF(01_因子設定!$B$13="最大化",AA5437-01_因子設定!$B$14,IF(01_因子設定!$B$13="最小化",01_因子設定!$B$15-AB5437,MIN(AA5437-01_因子設定!$B$14,01_因子設定!$B$15-AB5437))),-1E+030)</f>
        <v>-1.28703674991919</v>
      </c>
      <c r="AE5437" s="55" t="n">
        <f aca="false">IF(AC5437,IF(01_因子設定!$B$13="最大化",X5437,IF(01_因子設定!$B$13="最小化",-X5437,-ABS(X5437-01_因子設定!$B$16))),-1E+030)</f>
        <v>46.8101882309941</v>
      </c>
      <c r="AF5437" s="55" t="n">
        <f aca="false">AD5437+ROW()*0.000000001</f>
        <v>-1.28703131291919</v>
      </c>
      <c r="AG5437" s="55" t="n">
        <f aca="false">AE5437+ROW()*0.000000001</f>
        <v>46.8101936679941</v>
      </c>
    </row>
    <row r="5438" customFormat="false" ht="15" hidden="false" customHeight="false" outlineLevel="0" collapsed="false">
      <c r="A5438" s="0" t="n">
        <v>7</v>
      </c>
      <c r="B5438" s="0" t="n">
        <v>4</v>
      </c>
      <c r="C5438" s="0" t="n">
        <v>0</v>
      </c>
      <c r="D5438" s="0" t="n">
        <v>6</v>
      </c>
      <c r="E5438" s="0" t="n">
        <f aca="false">-1+A5438*0.25</f>
        <v>0.75</v>
      </c>
      <c r="F5438" s="0" t="n">
        <f aca="false">-1+B5438*0.25</f>
        <v>0</v>
      </c>
      <c r="G5438" s="0" t="n">
        <f aca="false">-1+C5438*0.25</f>
        <v>-1</v>
      </c>
      <c r="H5438" s="0" t="n">
        <f aca="false">-1+D5438*0.25</f>
        <v>0.5</v>
      </c>
      <c r="I5438" s="0" t="n">
        <f aca="false">1</f>
        <v>1</v>
      </c>
      <c r="J5438" s="0" t="n">
        <f aca="false">E5438</f>
        <v>0.75</v>
      </c>
      <c r="K5438" s="0" t="n">
        <f aca="false">F5438</f>
        <v>0</v>
      </c>
      <c r="L5438" s="0" t="n">
        <f aca="false">G5438</f>
        <v>-1</v>
      </c>
      <c r="M5438" s="0" t="n">
        <f aca="false">H5438</f>
        <v>0.5</v>
      </c>
      <c r="N5438" s="0" t="n">
        <f aca="false">E5438*F5438</f>
        <v>0</v>
      </c>
      <c r="O5438" s="0" t="n">
        <f aca="false">E5438*G5438</f>
        <v>-0.75</v>
      </c>
      <c r="P5438" s="0" t="n">
        <f aca="false">E5438*H5438</f>
        <v>0.375</v>
      </c>
      <c r="Q5438" s="0" t="n">
        <f aca="false">F5438*G5438</f>
        <v>-0</v>
      </c>
      <c r="R5438" s="0" t="n">
        <f aca="false">F5438*H5438</f>
        <v>0</v>
      </c>
      <c r="S5438" s="0" t="n">
        <f aca="false">G5438*H5438</f>
        <v>-0.5</v>
      </c>
      <c r="T5438" s="0" t="n">
        <f aca="false">E5438*E5438</f>
        <v>0.5625</v>
      </c>
      <c r="U5438" s="0" t="n">
        <f aca="false">F5438*F5438</f>
        <v>0</v>
      </c>
      <c r="V5438" s="0" t="n">
        <f aca="false">G5438*G5438</f>
        <v>1</v>
      </c>
      <c r="W5438" s="0" t="n">
        <f aca="false">H5438*H5438</f>
        <v>0.25</v>
      </c>
      <c r="X5438" s="0" t="n">
        <f aca="false">SUMPRODUCT(I5438:W5438,_XtX!$B$96:$P$96)</f>
        <v>46.7914290935673</v>
      </c>
      <c r="Y5438" s="0" t="n">
        <f aca="false">SUMPRODUCT(MMULT(I5438:W5438,_XtX!$B$78:$P$92),I5438:W5438)</f>
        <v>0.476191292032164</v>
      </c>
      <c r="Z5438" s="0" t="n">
        <f aca="false">04_回帰ANOVA!$K$19*04_回帰ANOVA!$K$14*SQRT(1+Y5438)</f>
        <v>1.58368831471718</v>
      </c>
      <c r="AA5438" s="0" t="n">
        <f aca="false">X5438-Z5438</f>
        <v>45.2077407788501</v>
      </c>
      <c r="AB5438" s="0" t="n">
        <f aca="false">X5438+Z5438</f>
        <v>48.3751174082844</v>
      </c>
      <c r="AC5438" s="54" t="b">
        <f aca="false">AND(E5438&gt;=01_因子設定!$L$5-0.000000001,E5438&lt;=01_因子設定!$M$5+0.000000001,F5438&gt;=01_因子設定!$L$6-0.000000001,F5438&lt;=01_因子設定!$M$6+0.000000001,G5438&gt;=01_因子設定!$L$7-0.000000001,G5438&lt;=01_因子設定!$M$7+0.000000001,H5438&gt;=01_因子設定!$L$8-0.000000001,H5438&lt;=01_因子設定!$M$8+0.000000001,IF(01_因子設定!$B$20="Box-Behnken",E5438^2+F5438^2+G5438^2+H5438^2&lt;=2+0.000000001,TRUE()))</f>
        <v>1</v>
      </c>
      <c r="AD5438" s="55" t="n">
        <f aca="false">IF(AC5438,IF(01_因子設定!$B$13="最大化",AA5438-01_因子設定!$B$14,IF(01_因子設定!$B$13="最小化",01_因子設定!$B$15-AB5438,MIN(AA5438-01_因子設定!$B$14,01_因子設定!$B$15-AB5438))),-1E+030)</f>
        <v>-1.29225922114993</v>
      </c>
      <c r="AE5438" s="55" t="n">
        <f aca="false">IF(AC5438,IF(01_因子設定!$B$13="最大化",X5438,IF(01_因子設定!$B$13="最小化",-X5438,-ABS(X5438-01_因子設定!$B$16))),-1E+030)</f>
        <v>46.7914290935673</v>
      </c>
      <c r="AF5438" s="55" t="n">
        <f aca="false">AD5438+ROW()*0.000000001</f>
        <v>-1.29225378314993</v>
      </c>
      <c r="AG5438" s="55" t="n">
        <f aca="false">AE5438+ROW()*0.000000001</f>
        <v>46.7914345315673</v>
      </c>
    </row>
    <row r="5439" customFormat="false" ht="15" hidden="false" customHeight="false" outlineLevel="0" collapsed="false">
      <c r="A5439" s="0" t="n">
        <v>7</v>
      </c>
      <c r="B5439" s="0" t="n">
        <v>4</v>
      </c>
      <c r="C5439" s="0" t="n">
        <v>0</v>
      </c>
      <c r="D5439" s="0" t="n">
        <v>7</v>
      </c>
      <c r="E5439" s="0" t="n">
        <f aca="false">-1+A5439*0.25</f>
        <v>0.75</v>
      </c>
      <c r="F5439" s="0" t="n">
        <f aca="false">-1+B5439*0.25</f>
        <v>0</v>
      </c>
      <c r="G5439" s="0" t="n">
        <f aca="false">-1+C5439*0.25</f>
        <v>-1</v>
      </c>
      <c r="H5439" s="0" t="n">
        <f aca="false">-1+D5439*0.25</f>
        <v>0.75</v>
      </c>
      <c r="I5439" s="0" t="n">
        <f aca="false">1</f>
        <v>1</v>
      </c>
      <c r="J5439" s="0" t="n">
        <f aca="false">E5439</f>
        <v>0.75</v>
      </c>
      <c r="K5439" s="0" t="n">
        <f aca="false">F5439</f>
        <v>0</v>
      </c>
      <c r="L5439" s="0" t="n">
        <f aca="false">G5439</f>
        <v>-1</v>
      </c>
      <c r="M5439" s="0" t="n">
        <f aca="false">H5439</f>
        <v>0.75</v>
      </c>
      <c r="N5439" s="0" t="n">
        <f aca="false">E5439*F5439</f>
        <v>0</v>
      </c>
      <c r="O5439" s="0" t="n">
        <f aca="false">E5439*G5439</f>
        <v>-0.75</v>
      </c>
      <c r="P5439" s="0" t="n">
        <f aca="false">E5439*H5439</f>
        <v>0.5625</v>
      </c>
      <c r="Q5439" s="0" t="n">
        <f aca="false">F5439*G5439</f>
        <v>-0</v>
      </c>
      <c r="R5439" s="0" t="n">
        <f aca="false">F5439*H5439</f>
        <v>0</v>
      </c>
      <c r="S5439" s="0" t="n">
        <f aca="false">G5439*H5439</f>
        <v>-0.75</v>
      </c>
      <c r="T5439" s="0" t="n">
        <f aca="false">E5439*E5439</f>
        <v>0.5625</v>
      </c>
      <c r="U5439" s="0" t="n">
        <f aca="false">F5439*F5439</f>
        <v>0</v>
      </c>
      <c r="V5439" s="0" t="n">
        <f aca="false">G5439*G5439</f>
        <v>1</v>
      </c>
      <c r="W5439" s="0" t="n">
        <f aca="false">H5439*H5439</f>
        <v>0.5625</v>
      </c>
      <c r="X5439" s="0" t="n">
        <f aca="false">SUMPRODUCT(I5439:W5439,_XtX!$B$96:$P$96)</f>
        <v>46.7248629385965</v>
      </c>
      <c r="Y5439" s="0" t="n">
        <f aca="false">SUMPRODUCT(MMULT(I5439:W5439,_XtX!$B$78:$P$92),I5439:W5439)</f>
        <v>0.494259126005117</v>
      </c>
      <c r="Z5439" s="0" t="n">
        <f aca="false">04_回帰ANOVA!$K$19*04_回帰ANOVA!$K$14*SQRT(1+Y5439)</f>
        <v>1.59335061078203</v>
      </c>
      <c r="AA5439" s="0" t="n">
        <f aca="false">X5439-Z5439</f>
        <v>45.1315123278145</v>
      </c>
      <c r="AB5439" s="0" t="n">
        <f aca="false">X5439+Z5439</f>
        <v>48.3182135493785</v>
      </c>
      <c r="AC5439" s="54" t="b">
        <f aca="false">AND(E5439&gt;=01_因子設定!$L$5-0.000000001,E5439&lt;=01_因子設定!$M$5+0.000000001,F5439&gt;=01_因子設定!$L$6-0.000000001,F5439&lt;=01_因子設定!$M$6+0.000000001,G5439&gt;=01_因子設定!$L$7-0.000000001,G5439&lt;=01_因子設定!$M$7+0.000000001,H5439&gt;=01_因子設定!$L$8-0.000000001,H5439&lt;=01_因子設定!$M$8+0.000000001,IF(01_因子設定!$B$20="Box-Behnken",E5439^2+F5439^2+G5439^2+H5439^2&lt;=2+0.000000001,TRUE()))</f>
        <v>1</v>
      </c>
      <c r="AD5439" s="55" t="n">
        <f aca="false">IF(AC5439,IF(01_因子設定!$B$13="最大化",AA5439-01_因子設定!$B$14,IF(01_因子設定!$B$13="最小化",01_因子設定!$B$15-AB5439,MIN(AA5439-01_因子設定!$B$14,01_因子設定!$B$15-AB5439))),-1E+030)</f>
        <v>-1.36848767218552</v>
      </c>
      <c r="AE5439" s="55" t="n">
        <f aca="false">IF(AC5439,IF(01_因子設定!$B$13="最大化",X5439,IF(01_因子設定!$B$13="最小化",-X5439,-ABS(X5439-01_因子設定!$B$16))),-1E+030)</f>
        <v>46.7248629385965</v>
      </c>
      <c r="AF5439" s="55" t="n">
        <f aca="false">AD5439+ROW()*0.000000001</f>
        <v>-1.36848223318552</v>
      </c>
      <c r="AG5439" s="55" t="n">
        <f aca="false">AE5439+ROW()*0.000000001</f>
        <v>46.7248683775965</v>
      </c>
    </row>
    <row r="5440" customFormat="false" ht="15" hidden="false" customHeight="false" outlineLevel="0" collapsed="false">
      <c r="A5440" s="0" t="n">
        <v>7</v>
      </c>
      <c r="B5440" s="0" t="n">
        <v>4</v>
      </c>
      <c r="C5440" s="0" t="n">
        <v>0</v>
      </c>
      <c r="D5440" s="0" t="n">
        <v>8</v>
      </c>
      <c r="E5440" s="0" t="n">
        <f aca="false">-1+A5440*0.25</f>
        <v>0.75</v>
      </c>
      <c r="F5440" s="0" t="n">
        <f aca="false">-1+B5440*0.25</f>
        <v>0</v>
      </c>
      <c r="G5440" s="0" t="n">
        <f aca="false">-1+C5440*0.25</f>
        <v>-1</v>
      </c>
      <c r="H5440" s="0" t="n">
        <f aca="false">-1+D5440*0.25</f>
        <v>1</v>
      </c>
      <c r="I5440" s="0" t="n">
        <f aca="false">1</f>
        <v>1</v>
      </c>
      <c r="J5440" s="0" t="n">
        <f aca="false">E5440</f>
        <v>0.75</v>
      </c>
      <c r="K5440" s="0" t="n">
        <f aca="false">F5440</f>
        <v>0</v>
      </c>
      <c r="L5440" s="0" t="n">
        <f aca="false">G5440</f>
        <v>-1</v>
      </c>
      <c r="M5440" s="0" t="n">
        <f aca="false">H5440</f>
        <v>1</v>
      </c>
      <c r="N5440" s="0" t="n">
        <f aca="false">E5440*F5440</f>
        <v>0</v>
      </c>
      <c r="O5440" s="0" t="n">
        <f aca="false">E5440*G5440</f>
        <v>-0.75</v>
      </c>
      <c r="P5440" s="0" t="n">
        <f aca="false">E5440*H5440</f>
        <v>0.75</v>
      </c>
      <c r="Q5440" s="0" t="n">
        <f aca="false">F5440*G5440</f>
        <v>-0</v>
      </c>
      <c r="R5440" s="0" t="n">
        <f aca="false">F5440*H5440</f>
        <v>0</v>
      </c>
      <c r="S5440" s="0" t="n">
        <f aca="false">G5440*H5440</f>
        <v>-1</v>
      </c>
      <c r="T5440" s="0" t="n">
        <f aca="false">E5440*E5440</f>
        <v>0.5625</v>
      </c>
      <c r="U5440" s="0" t="n">
        <f aca="false">F5440*F5440</f>
        <v>0</v>
      </c>
      <c r="V5440" s="0" t="n">
        <f aca="false">G5440*G5440</f>
        <v>1</v>
      </c>
      <c r="W5440" s="0" t="n">
        <f aca="false">H5440*H5440</f>
        <v>1</v>
      </c>
      <c r="X5440" s="0" t="n">
        <f aca="false">SUMPRODUCT(I5440:W5440,_XtX!$B$96:$P$96)</f>
        <v>46.6104897660819</v>
      </c>
      <c r="Y5440" s="0" t="n">
        <f aca="false">SUMPRODUCT(MMULT(I5440:W5440,_XtX!$B$78:$P$92),I5440:W5440)</f>
        <v>0.646198830409357</v>
      </c>
      <c r="Z5440" s="0" t="n">
        <f aca="false">04_回帰ANOVA!$K$19*04_回帰ANOVA!$K$14*SQRT(1+Y5440)</f>
        <v>1.67239760569756</v>
      </c>
      <c r="AA5440" s="0" t="n">
        <f aca="false">X5440-Z5440</f>
        <v>44.9380921603843</v>
      </c>
      <c r="AB5440" s="0" t="n">
        <f aca="false">X5440+Z5440</f>
        <v>48.2828873717795</v>
      </c>
      <c r="AC5440" s="54" t="b">
        <f aca="false">AND(E5440&gt;=01_因子設定!$L$5-0.000000001,E5440&lt;=01_因子設定!$M$5+0.000000001,F5440&gt;=01_因子設定!$L$6-0.000000001,F5440&lt;=01_因子設定!$M$6+0.000000001,G5440&gt;=01_因子設定!$L$7-0.000000001,G5440&lt;=01_因子設定!$M$7+0.000000001,H5440&gt;=01_因子設定!$L$8-0.000000001,H5440&lt;=01_因子設定!$M$8+0.000000001,IF(01_因子設定!$B$20="Box-Behnken",E5440^2+F5440^2+G5440^2+H5440^2&lt;=2+0.000000001,TRUE()))</f>
        <v>1</v>
      </c>
      <c r="AD5440" s="55" t="n">
        <f aca="false">IF(AC5440,IF(01_因子設定!$B$13="最大化",AA5440-01_因子設定!$B$14,IF(01_因子設定!$B$13="最小化",01_因子設定!$B$15-AB5440,MIN(AA5440-01_因子設定!$B$14,01_因子設定!$B$15-AB5440))),-1E+030)</f>
        <v>-1.56190783961566</v>
      </c>
      <c r="AE5440" s="55" t="n">
        <f aca="false">IF(AC5440,IF(01_因子設定!$B$13="最大化",X5440,IF(01_因子設定!$B$13="最小化",-X5440,-ABS(X5440-01_因子設定!$B$16))),-1E+030)</f>
        <v>46.6104897660819</v>
      </c>
      <c r="AF5440" s="55" t="n">
        <f aca="false">AD5440+ROW()*0.000000001</f>
        <v>-1.56190239961566</v>
      </c>
      <c r="AG5440" s="55" t="n">
        <f aca="false">AE5440+ROW()*0.000000001</f>
        <v>46.6104952060819</v>
      </c>
    </row>
    <row r="5441" customFormat="false" ht="15" hidden="false" customHeight="false" outlineLevel="0" collapsed="false">
      <c r="A5441" s="0" t="n">
        <v>7</v>
      </c>
      <c r="B5441" s="0" t="n">
        <v>4</v>
      </c>
      <c r="C5441" s="0" t="n">
        <v>1</v>
      </c>
      <c r="D5441" s="0" t="n">
        <v>0</v>
      </c>
      <c r="E5441" s="0" t="n">
        <f aca="false">-1+A5441*0.25</f>
        <v>0.75</v>
      </c>
      <c r="F5441" s="0" t="n">
        <f aca="false">-1+B5441*0.25</f>
        <v>0</v>
      </c>
      <c r="G5441" s="0" t="n">
        <f aca="false">-1+C5441*0.25</f>
        <v>-0.75</v>
      </c>
      <c r="H5441" s="0" t="n">
        <f aca="false">-1+D5441*0.25</f>
        <v>-1</v>
      </c>
      <c r="I5441" s="0" t="n">
        <f aca="false">1</f>
        <v>1</v>
      </c>
      <c r="J5441" s="0" t="n">
        <f aca="false">E5441</f>
        <v>0.75</v>
      </c>
      <c r="K5441" s="0" t="n">
        <f aca="false">F5441</f>
        <v>0</v>
      </c>
      <c r="L5441" s="0" t="n">
        <f aca="false">G5441</f>
        <v>-0.75</v>
      </c>
      <c r="M5441" s="0" t="n">
        <f aca="false">H5441</f>
        <v>-1</v>
      </c>
      <c r="N5441" s="0" t="n">
        <f aca="false">E5441*F5441</f>
        <v>0</v>
      </c>
      <c r="O5441" s="0" t="n">
        <f aca="false">E5441*G5441</f>
        <v>-0.5625</v>
      </c>
      <c r="P5441" s="0" t="n">
        <f aca="false">E5441*H5441</f>
        <v>-0.75</v>
      </c>
      <c r="Q5441" s="0" t="n">
        <f aca="false">F5441*G5441</f>
        <v>-0</v>
      </c>
      <c r="R5441" s="0" t="n">
        <f aca="false">F5441*H5441</f>
        <v>-0</v>
      </c>
      <c r="S5441" s="0" t="n">
        <f aca="false">G5441*H5441</f>
        <v>0.75</v>
      </c>
      <c r="T5441" s="0" t="n">
        <f aca="false">E5441*E5441</f>
        <v>0.5625</v>
      </c>
      <c r="U5441" s="0" t="n">
        <f aca="false">F5441*F5441</f>
        <v>0</v>
      </c>
      <c r="V5441" s="0" t="n">
        <f aca="false">G5441*G5441</f>
        <v>0.5625</v>
      </c>
      <c r="W5441" s="0" t="n">
        <f aca="false">H5441*H5441</f>
        <v>1</v>
      </c>
      <c r="X5441" s="0" t="n">
        <f aca="false">SUMPRODUCT(I5441:W5441,_XtX!$B$96:$P$96)</f>
        <v>46.5375365497076</v>
      </c>
      <c r="Y5441" s="0" t="n">
        <f aca="false">SUMPRODUCT(MMULT(I5441:W5441,_XtX!$B$78:$P$92),I5441:W5441)</f>
        <v>0.494259126005117</v>
      </c>
      <c r="Z5441" s="0" t="n">
        <f aca="false">04_回帰ANOVA!$K$19*04_回帰ANOVA!$K$14*SQRT(1+Y5441)</f>
        <v>1.59335061078203</v>
      </c>
      <c r="AA5441" s="0" t="n">
        <f aca="false">X5441-Z5441</f>
        <v>44.9441859389256</v>
      </c>
      <c r="AB5441" s="0" t="n">
        <f aca="false">X5441+Z5441</f>
        <v>48.1308871604897</v>
      </c>
      <c r="AC5441" s="54" t="b">
        <f aca="false">AND(E5441&gt;=01_因子設定!$L$5-0.000000001,E5441&lt;=01_因子設定!$M$5+0.000000001,F5441&gt;=01_因子設定!$L$6-0.000000001,F5441&lt;=01_因子設定!$M$6+0.000000001,G5441&gt;=01_因子設定!$L$7-0.000000001,G5441&lt;=01_因子設定!$M$7+0.000000001,H5441&gt;=01_因子設定!$L$8-0.000000001,H5441&lt;=01_因子設定!$M$8+0.000000001,IF(01_因子設定!$B$20="Box-Behnken",E5441^2+F5441^2+G5441^2+H5441^2&lt;=2+0.000000001,TRUE()))</f>
        <v>1</v>
      </c>
      <c r="AD5441" s="55" t="n">
        <f aca="false">IF(AC5441,IF(01_因子設定!$B$13="最大化",AA5441-01_因子設定!$B$14,IF(01_因子設定!$B$13="最小化",01_因子設定!$B$15-AB5441,MIN(AA5441-01_因子設定!$B$14,01_因子設定!$B$15-AB5441))),-1E+030)</f>
        <v>-1.5558140610744</v>
      </c>
      <c r="AE5441" s="55" t="n">
        <f aca="false">IF(AC5441,IF(01_因子設定!$B$13="最大化",X5441,IF(01_因子設定!$B$13="最小化",-X5441,-ABS(X5441-01_因子設定!$B$16))),-1E+030)</f>
        <v>46.5375365497076</v>
      </c>
      <c r="AF5441" s="55" t="n">
        <f aca="false">AD5441+ROW()*0.000000001</f>
        <v>-1.5558086200744</v>
      </c>
      <c r="AG5441" s="55" t="n">
        <f aca="false">AE5441+ROW()*0.000000001</f>
        <v>46.5375419907076</v>
      </c>
    </row>
    <row r="5442" customFormat="false" ht="15" hidden="false" customHeight="false" outlineLevel="0" collapsed="false">
      <c r="A5442" s="0" t="n">
        <v>7</v>
      </c>
      <c r="B5442" s="0" t="n">
        <v>4</v>
      </c>
      <c r="C5442" s="0" t="n">
        <v>1</v>
      </c>
      <c r="D5442" s="0" t="n">
        <v>1</v>
      </c>
      <c r="E5442" s="0" t="n">
        <f aca="false">-1+A5442*0.25</f>
        <v>0.75</v>
      </c>
      <c r="F5442" s="0" t="n">
        <f aca="false">-1+B5442*0.25</f>
        <v>0</v>
      </c>
      <c r="G5442" s="0" t="n">
        <f aca="false">-1+C5442*0.25</f>
        <v>-0.75</v>
      </c>
      <c r="H5442" s="0" t="n">
        <f aca="false">-1+D5442*0.25</f>
        <v>-0.75</v>
      </c>
      <c r="I5442" s="0" t="n">
        <f aca="false">1</f>
        <v>1</v>
      </c>
      <c r="J5442" s="0" t="n">
        <f aca="false">E5442</f>
        <v>0.75</v>
      </c>
      <c r="K5442" s="0" t="n">
        <f aca="false">F5442</f>
        <v>0</v>
      </c>
      <c r="L5442" s="0" t="n">
        <f aca="false">G5442</f>
        <v>-0.75</v>
      </c>
      <c r="M5442" s="0" t="n">
        <f aca="false">H5442</f>
        <v>-0.75</v>
      </c>
      <c r="N5442" s="0" t="n">
        <f aca="false">E5442*F5442</f>
        <v>0</v>
      </c>
      <c r="O5442" s="0" t="n">
        <f aca="false">E5442*G5442</f>
        <v>-0.5625</v>
      </c>
      <c r="P5442" s="0" t="n">
        <f aca="false">E5442*H5442</f>
        <v>-0.5625</v>
      </c>
      <c r="Q5442" s="0" t="n">
        <f aca="false">F5442*G5442</f>
        <v>-0</v>
      </c>
      <c r="R5442" s="0" t="n">
        <f aca="false">F5442*H5442</f>
        <v>-0</v>
      </c>
      <c r="S5442" s="0" t="n">
        <f aca="false">G5442*H5442</f>
        <v>0.5625</v>
      </c>
      <c r="T5442" s="0" t="n">
        <f aca="false">E5442*E5442</f>
        <v>0.5625</v>
      </c>
      <c r="U5442" s="0" t="n">
        <f aca="false">F5442*F5442</f>
        <v>0</v>
      </c>
      <c r="V5442" s="0" t="n">
        <f aca="false">G5442*G5442</f>
        <v>0.5625</v>
      </c>
      <c r="W5442" s="0" t="n">
        <f aca="false">H5442*H5442</f>
        <v>0.5625</v>
      </c>
      <c r="X5442" s="0" t="n">
        <f aca="false">SUMPRODUCT(I5442:W5442,_XtX!$B$96:$P$96)</f>
        <v>46.77578125</v>
      </c>
      <c r="Y5442" s="0" t="n">
        <f aca="false">SUMPRODUCT(MMULT(I5442:W5442,_XtX!$B$78:$P$92),I5442:W5442)</f>
        <v>0.310628255208333</v>
      </c>
      <c r="Z5442" s="0" t="n">
        <f aca="false">04_回帰ANOVA!$K$19*04_回帰ANOVA!$K$14*SQRT(1+Y5442)</f>
        <v>1.49223820892344</v>
      </c>
      <c r="AA5442" s="0" t="n">
        <f aca="false">X5442-Z5442</f>
        <v>45.2835430410766</v>
      </c>
      <c r="AB5442" s="0" t="n">
        <f aca="false">X5442+Z5442</f>
        <v>48.2680194589235</v>
      </c>
      <c r="AC5442" s="54" t="b">
        <f aca="false">AND(E5442&gt;=01_因子設定!$L$5-0.000000001,E5442&lt;=01_因子設定!$M$5+0.000000001,F5442&gt;=01_因子設定!$L$6-0.000000001,F5442&lt;=01_因子設定!$M$6+0.000000001,G5442&gt;=01_因子設定!$L$7-0.000000001,G5442&lt;=01_因子設定!$M$7+0.000000001,H5442&gt;=01_因子設定!$L$8-0.000000001,H5442&lt;=01_因子設定!$M$8+0.000000001,IF(01_因子設定!$B$20="Box-Behnken",E5442^2+F5442^2+G5442^2+H5442^2&lt;=2+0.000000001,TRUE()))</f>
        <v>1</v>
      </c>
      <c r="AD5442" s="55" t="n">
        <f aca="false">IF(AC5442,IF(01_因子設定!$B$13="最大化",AA5442-01_因子設定!$B$14,IF(01_因子設定!$B$13="最小化",01_因子設定!$B$15-AB5442,MIN(AA5442-01_因子設定!$B$14,01_因子設定!$B$15-AB5442))),-1E+030)</f>
        <v>-1.21645695892343</v>
      </c>
      <c r="AE5442" s="55" t="n">
        <f aca="false">IF(AC5442,IF(01_因子設定!$B$13="最大化",X5442,IF(01_因子設定!$B$13="最小化",-X5442,-ABS(X5442-01_因子設定!$B$16))),-1E+030)</f>
        <v>46.77578125</v>
      </c>
      <c r="AF5442" s="55" t="n">
        <f aca="false">AD5442+ROW()*0.000000001</f>
        <v>-1.21645151692343</v>
      </c>
      <c r="AG5442" s="55" t="n">
        <f aca="false">AE5442+ROW()*0.000000001</f>
        <v>46.775786692</v>
      </c>
    </row>
    <row r="5443" customFormat="false" ht="15" hidden="false" customHeight="false" outlineLevel="0" collapsed="false">
      <c r="A5443" s="0" t="n">
        <v>7</v>
      </c>
      <c r="B5443" s="0" t="n">
        <v>4</v>
      </c>
      <c r="C5443" s="0" t="n">
        <v>1</v>
      </c>
      <c r="D5443" s="0" t="n">
        <v>2</v>
      </c>
      <c r="E5443" s="0" t="n">
        <f aca="false">-1+A5443*0.25</f>
        <v>0.75</v>
      </c>
      <c r="F5443" s="0" t="n">
        <f aca="false">-1+B5443*0.25</f>
        <v>0</v>
      </c>
      <c r="G5443" s="0" t="n">
        <f aca="false">-1+C5443*0.25</f>
        <v>-0.75</v>
      </c>
      <c r="H5443" s="0" t="n">
        <f aca="false">-1+D5443*0.25</f>
        <v>-0.5</v>
      </c>
      <c r="I5443" s="0" t="n">
        <f aca="false">1</f>
        <v>1</v>
      </c>
      <c r="J5443" s="0" t="n">
        <f aca="false">E5443</f>
        <v>0.75</v>
      </c>
      <c r="K5443" s="0" t="n">
        <f aca="false">F5443</f>
        <v>0</v>
      </c>
      <c r="L5443" s="0" t="n">
        <f aca="false">G5443</f>
        <v>-0.75</v>
      </c>
      <c r="M5443" s="0" t="n">
        <f aca="false">H5443</f>
        <v>-0.5</v>
      </c>
      <c r="N5443" s="0" t="n">
        <f aca="false">E5443*F5443</f>
        <v>0</v>
      </c>
      <c r="O5443" s="0" t="n">
        <f aca="false">E5443*G5443</f>
        <v>-0.5625</v>
      </c>
      <c r="P5443" s="0" t="n">
        <f aca="false">E5443*H5443</f>
        <v>-0.375</v>
      </c>
      <c r="Q5443" s="0" t="n">
        <f aca="false">F5443*G5443</f>
        <v>-0</v>
      </c>
      <c r="R5443" s="0" t="n">
        <f aca="false">F5443*H5443</f>
        <v>-0</v>
      </c>
      <c r="S5443" s="0" t="n">
        <f aca="false">G5443*H5443</f>
        <v>0.375</v>
      </c>
      <c r="T5443" s="0" t="n">
        <f aca="false">E5443*E5443</f>
        <v>0.5625</v>
      </c>
      <c r="U5443" s="0" t="n">
        <f aca="false">F5443*F5443</f>
        <v>0</v>
      </c>
      <c r="V5443" s="0" t="n">
        <f aca="false">G5443*G5443</f>
        <v>0.5625</v>
      </c>
      <c r="W5443" s="0" t="n">
        <f aca="false">H5443*H5443</f>
        <v>0.25</v>
      </c>
      <c r="X5443" s="0" t="n">
        <f aca="false">SUMPRODUCT(I5443:W5443,_XtX!$B$96:$P$96)</f>
        <v>46.9662189327485</v>
      </c>
      <c r="Y5443" s="0" t="n">
        <f aca="false">SUMPRODUCT(MMULT(I5443:W5443,_XtX!$B$78:$P$92),I5443:W5443)</f>
        <v>0.269923873812135</v>
      </c>
      <c r="Z5443" s="0" t="n">
        <f aca="false">04_回帰ANOVA!$K$19*04_回帰ANOVA!$K$14*SQRT(1+Y5443)</f>
        <v>1.46888310825501</v>
      </c>
      <c r="AA5443" s="0" t="n">
        <f aca="false">X5443-Z5443</f>
        <v>45.4973358244935</v>
      </c>
      <c r="AB5443" s="0" t="n">
        <f aca="false">X5443+Z5443</f>
        <v>48.4351020410035</v>
      </c>
      <c r="AC5443" s="54" t="b">
        <f aca="false">AND(E5443&gt;=01_因子設定!$L$5-0.000000001,E5443&lt;=01_因子設定!$M$5+0.000000001,F5443&gt;=01_因子設定!$L$6-0.000000001,F5443&lt;=01_因子設定!$M$6+0.000000001,G5443&gt;=01_因子設定!$L$7-0.000000001,G5443&lt;=01_因子設定!$M$7+0.000000001,H5443&gt;=01_因子設定!$L$8-0.000000001,H5443&lt;=01_因子設定!$M$8+0.000000001,IF(01_因子設定!$B$20="Box-Behnken",E5443^2+F5443^2+G5443^2+H5443^2&lt;=2+0.000000001,TRUE()))</f>
        <v>1</v>
      </c>
      <c r="AD5443" s="55" t="n">
        <f aca="false">IF(AC5443,IF(01_因子設定!$B$13="最大化",AA5443-01_因子設定!$B$14,IF(01_因子設定!$B$13="最小化",01_因子設定!$B$15-AB5443,MIN(AA5443-01_因子設定!$B$14,01_因子設定!$B$15-AB5443))),-1E+030)</f>
        <v>-1.00266417550647</v>
      </c>
      <c r="AE5443" s="55" t="n">
        <f aca="false">IF(AC5443,IF(01_因子設定!$B$13="最大化",X5443,IF(01_因子設定!$B$13="最小化",-X5443,-ABS(X5443-01_因子設定!$B$16))),-1E+030)</f>
        <v>46.9662189327485</v>
      </c>
      <c r="AF5443" s="55" t="n">
        <f aca="false">AD5443+ROW()*0.000000001</f>
        <v>-1.00265873250647</v>
      </c>
      <c r="AG5443" s="55" t="n">
        <f aca="false">AE5443+ROW()*0.000000001</f>
        <v>46.9662243757485</v>
      </c>
    </row>
    <row r="5444" customFormat="false" ht="15" hidden="false" customHeight="false" outlineLevel="0" collapsed="false">
      <c r="A5444" s="0" t="n">
        <v>7</v>
      </c>
      <c r="B5444" s="0" t="n">
        <v>4</v>
      </c>
      <c r="C5444" s="0" t="n">
        <v>1</v>
      </c>
      <c r="D5444" s="0" t="n">
        <v>3</v>
      </c>
      <c r="E5444" s="0" t="n">
        <f aca="false">-1+A5444*0.25</f>
        <v>0.75</v>
      </c>
      <c r="F5444" s="0" t="n">
        <f aca="false">-1+B5444*0.25</f>
        <v>0</v>
      </c>
      <c r="G5444" s="0" t="n">
        <f aca="false">-1+C5444*0.25</f>
        <v>-0.75</v>
      </c>
      <c r="H5444" s="0" t="n">
        <f aca="false">-1+D5444*0.25</f>
        <v>-0.25</v>
      </c>
      <c r="I5444" s="0" t="n">
        <f aca="false">1</f>
        <v>1</v>
      </c>
      <c r="J5444" s="0" t="n">
        <f aca="false">E5444</f>
        <v>0.75</v>
      </c>
      <c r="K5444" s="0" t="n">
        <f aca="false">F5444</f>
        <v>0</v>
      </c>
      <c r="L5444" s="0" t="n">
        <f aca="false">G5444</f>
        <v>-0.75</v>
      </c>
      <c r="M5444" s="0" t="n">
        <f aca="false">H5444</f>
        <v>-0.25</v>
      </c>
      <c r="N5444" s="0" t="n">
        <f aca="false">E5444*F5444</f>
        <v>0</v>
      </c>
      <c r="O5444" s="0" t="n">
        <f aca="false">E5444*G5444</f>
        <v>-0.5625</v>
      </c>
      <c r="P5444" s="0" t="n">
        <f aca="false">E5444*H5444</f>
        <v>-0.1875</v>
      </c>
      <c r="Q5444" s="0" t="n">
        <f aca="false">F5444*G5444</f>
        <v>-0</v>
      </c>
      <c r="R5444" s="0" t="n">
        <f aca="false">F5444*H5444</f>
        <v>-0</v>
      </c>
      <c r="S5444" s="0" t="n">
        <f aca="false">G5444*H5444</f>
        <v>0.1875</v>
      </c>
      <c r="T5444" s="0" t="n">
        <f aca="false">E5444*E5444</f>
        <v>0.5625</v>
      </c>
      <c r="U5444" s="0" t="n">
        <f aca="false">F5444*F5444</f>
        <v>0</v>
      </c>
      <c r="V5444" s="0" t="n">
        <f aca="false">G5444*G5444</f>
        <v>0.5625</v>
      </c>
      <c r="W5444" s="0" t="n">
        <f aca="false">H5444*H5444</f>
        <v>0.0625</v>
      </c>
      <c r="X5444" s="0" t="n">
        <f aca="false">SUMPRODUCT(I5444:W5444,_XtX!$B$96:$P$96)</f>
        <v>47.1088495979532</v>
      </c>
      <c r="Y5444" s="0" t="n">
        <f aca="false">SUMPRODUCT(MMULT(I5444:W5444,_XtX!$B$78:$P$92),I5444:W5444)</f>
        <v>0.281685455500731</v>
      </c>
      <c r="Z5444" s="0" t="n">
        <f aca="false">04_回帰ANOVA!$K$19*04_回帰ANOVA!$K$14*SQRT(1+Y5444)</f>
        <v>1.47566956658694</v>
      </c>
      <c r="AA5444" s="0" t="n">
        <f aca="false">X5444-Z5444</f>
        <v>45.6331800313663</v>
      </c>
      <c r="AB5444" s="0" t="n">
        <f aca="false">X5444+Z5444</f>
        <v>48.5845191645401</v>
      </c>
      <c r="AC5444" s="54" t="b">
        <f aca="false">AND(E5444&gt;=01_因子設定!$L$5-0.000000001,E5444&lt;=01_因子設定!$M$5+0.000000001,F5444&gt;=01_因子設定!$L$6-0.000000001,F5444&lt;=01_因子設定!$M$6+0.000000001,G5444&gt;=01_因子設定!$L$7-0.000000001,G5444&lt;=01_因子設定!$M$7+0.000000001,H5444&gt;=01_因子設定!$L$8-0.000000001,H5444&lt;=01_因子設定!$M$8+0.000000001,IF(01_因子設定!$B$20="Box-Behnken",E5444^2+F5444^2+G5444^2+H5444^2&lt;=2+0.000000001,TRUE()))</f>
        <v>1</v>
      </c>
      <c r="AD5444" s="55" t="n">
        <f aca="false">IF(AC5444,IF(01_因子設定!$B$13="最大化",AA5444-01_因子設定!$B$14,IF(01_因子設定!$B$13="最小化",01_因子設定!$B$15-AB5444,MIN(AA5444-01_因子設定!$B$14,01_因子設定!$B$15-AB5444))),-1E+030)</f>
        <v>-0.866819968633735</v>
      </c>
      <c r="AE5444" s="55" t="n">
        <f aca="false">IF(AC5444,IF(01_因子設定!$B$13="最大化",X5444,IF(01_因子設定!$B$13="最小化",-X5444,-ABS(X5444-01_因子設定!$B$16))),-1E+030)</f>
        <v>47.1088495979532</v>
      </c>
      <c r="AF5444" s="55" t="n">
        <f aca="false">AD5444+ROW()*0.000000001</f>
        <v>-0.866814524633735</v>
      </c>
      <c r="AG5444" s="55" t="n">
        <f aca="false">AE5444+ROW()*0.000000001</f>
        <v>47.1088550419532</v>
      </c>
    </row>
    <row r="5445" customFormat="false" ht="15" hidden="false" customHeight="false" outlineLevel="0" collapsed="false">
      <c r="A5445" s="0" t="n">
        <v>7</v>
      </c>
      <c r="B5445" s="0" t="n">
        <v>4</v>
      </c>
      <c r="C5445" s="0" t="n">
        <v>1</v>
      </c>
      <c r="D5445" s="0" t="n">
        <v>4</v>
      </c>
      <c r="E5445" s="0" t="n">
        <f aca="false">-1+A5445*0.25</f>
        <v>0.75</v>
      </c>
      <c r="F5445" s="0" t="n">
        <f aca="false">-1+B5445*0.25</f>
        <v>0</v>
      </c>
      <c r="G5445" s="0" t="n">
        <f aca="false">-1+C5445*0.25</f>
        <v>-0.75</v>
      </c>
      <c r="H5445" s="0" t="n">
        <f aca="false">-1+D5445*0.25</f>
        <v>0</v>
      </c>
      <c r="I5445" s="0" t="n">
        <f aca="false">1</f>
        <v>1</v>
      </c>
      <c r="J5445" s="0" t="n">
        <f aca="false">E5445</f>
        <v>0.75</v>
      </c>
      <c r="K5445" s="0" t="n">
        <f aca="false">F5445</f>
        <v>0</v>
      </c>
      <c r="L5445" s="0" t="n">
        <f aca="false">G5445</f>
        <v>-0.75</v>
      </c>
      <c r="M5445" s="0" t="n">
        <f aca="false">H5445</f>
        <v>0</v>
      </c>
      <c r="N5445" s="0" t="n">
        <f aca="false">E5445*F5445</f>
        <v>0</v>
      </c>
      <c r="O5445" s="0" t="n">
        <f aca="false">E5445*G5445</f>
        <v>-0.5625</v>
      </c>
      <c r="P5445" s="0" t="n">
        <f aca="false">E5445*H5445</f>
        <v>0</v>
      </c>
      <c r="Q5445" s="0" t="n">
        <f aca="false">F5445*G5445</f>
        <v>-0</v>
      </c>
      <c r="R5445" s="0" t="n">
        <f aca="false">F5445*H5445</f>
        <v>0</v>
      </c>
      <c r="S5445" s="0" t="n">
        <f aca="false">G5445*H5445</f>
        <v>-0</v>
      </c>
      <c r="T5445" s="0" t="n">
        <f aca="false">E5445*E5445</f>
        <v>0.5625</v>
      </c>
      <c r="U5445" s="0" t="n">
        <f aca="false">F5445*F5445</f>
        <v>0</v>
      </c>
      <c r="V5445" s="0" t="n">
        <f aca="false">G5445*G5445</f>
        <v>0.5625</v>
      </c>
      <c r="W5445" s="0" t="n">
        <f aca="false">H5445*H5445</f>
        <v>0</v>
      </c>
      <c r="X5445" s="0" t="n">
        <f aca="false">SUMPRODUCT(I5445:W5445,_XtX!$B$96:$P$96)</f>
        <v>47.203673245614</v>
      </c>
      <c r="Y5445" s="0" t="n">
        <f aca="false">SUMPRODUCT(MMULT(I5445:W5445,_XtX!$B$78:$P$92),I5445:W5445)</f>
        <v>0.291636684484649</v>
      </c>
      <c r="Z5445" s="0" t="n">
        <f aca="false">04_回帰ANOVA!$K$19*04_回帰ANOVA!$K$14*SQRT(1+Y5445)</f>
        <v>1.48138716762813</v>
      </c>
      <c r="AA5445" s="0" t="n">
        <f aca="false">X5445-Z5445</f>
        <v>45.7222860779859</v>
      </c>
      <c r="AB5445" s="0" t="n">
        <f aca="false">X5445+Z5445</f>
        <v>48.6850604132422</v>
      </c>
      <c r="AC5445" s="54" t="b">
        <f aca="false">AND(E5445&gt;=01_因子設定!$L$5-0.000000001,E5445&lt;=01_因子設定!$M$5+0.000000001,F5445&gt;=01_因子設定!$L$6-0.000000001,F5445&lt;=01_因子設定!$M$6+0.000000001,G5445&gt;=01_因子設定!$L$7-0.000000001,G5445&lt;=01_因子設定!$M$7+0.000000001,H5445&gt;=01_因子設定!$L$8-0.000000001,H5445&lt;=01_因子設定!$M$8+0.000000001,IF(01_因子設定!$B$20="Box-Behnken",E5445^2+F5445^2+G5445^2+H5445^2&lt;=2+0.000000001,TRUE()))</f>
        <v>1</v>
      </c>
      <c r="AD5445" s="55" t="n">
        <f aca="false">IF(AC5445,IF(01_因子設定!$B$13="最大化",AA5445-01_因子設定!$B$14,IF(01_因子設定!$B$13="最小化",01_因子設定!$B$15-AB5445,MIN(AA5445-01_因子設定!$B$14,01_因子設定!$B$15-AB5445))),-1E+030)</f>
        <v>-0.777713922014108</v>
      </c>
      <c r="AE5445" s="55" t="n">
        <f aca="false">IF(AC5445,IF(01_因子設定!$B$13="最大化",X5445,IF(01_因子設定!$B$13="最小化",-X5445,-ABS(X5445-01_因子設定!$B$16))),-1E+030)</f>
        <v>47.203673245614</v>
      </c>
      <c r="AF5445" s="55" t="n">
        <f aca="false">AD5445+ROW()*0.000000001</f>
        <v>-0.777708477014108</v>
      </c>
      <c r="AG5445" s="55" t="n">
        <f aca="false">AE5445+ROW()*0.000000001</f>
        <v>47.203678690614</v>
      </c>
    </row>
    <row r="5446" customFormat="false" ht="15" hidden="false" customHeight="false" outlineLevel="0" collapsed="false">
      <c r="A5446" s="0" t="n">
        <v>7</v>
      </c>
      <c r="B5446" s="0" t="n">
        <v>4</v>
      </c>
      <c r="C5446" s="0" t="n">
        <v>1</v>
      </c>
      <c r="D5446" s="0" t="n">
        <v>5</v>
      </c>
      <c r="E5446" s="0" t="n">
        <f aca="false">-1+A5446*0.25</f>
        <v>0.75</v>
      </c>
      <c r="F5446" s="0" t="n">
        <f aca="false">-1+B5446*0.25</f>
        <v>0</v>
      </c>
      <c r="G5446" s="0" t="n">
        <f aca="false">-1+C5446*0.25</f>
        <v>-0.75</v>
      </c>
      <c r="H5446" s="0" t="n">
        <f aca="false">-1+D5446*0.25</f>
        <v>0.25</v>
      </c>
      <c r="I5446" s="0" t="n">
        <f aca="false">1</f>
        <v>1</v>
      </c>
      <c r="J5446" s="0" t="n">
        <f aca="false">E5446</f>
        <v>0.75</v>
      </c>
      <c r="K5446" s="0" t="n">
        <f aca="false">F5446</f>
        <v>0</v>
      </c>
      <c r="L5446" s="0" t="n">
        <f aca="false">G5446</f>
        <v>-0.75</v>
      </c>
      <c r="M5446" s="0" t="n">
        <f aca="false">H5446</f>
        <v>0.25</v>
      </c>
      <c r="N5446" s="0" t="n">
        <f aca="false">E5446*F5446</f>
        <v>0</v>
      </c>
      <c r="O5446" s="0" t="n">
        <f aca="false">E5446*G5446</f>
        <v>-0.5625</v>
      </c>
      <c r="P5446" s="0" t="n">
        <f aca="false">E5446*H5446</f>
        <v>0.1875</v>
      </c>
      <c r="Q5446" s="0" t="n">
        <f aca="false">F5446*G5446</f>
        <v>-0</v>
      </c>
      <c r="R5446" s="0" t="n">
        <f aca="false">F5446*H5446</f>
        <v>0</v>
      </c>
      <c r="S5446" s="0" t="n">
        <f aca="false">G5446*H5446</f>
        <v>-0.1875</v>
      </c>
      <c r="T5446" s="0" t="n">
        <f aca="false">E5446*E5446</f>
        <v>0.5625</v>
      </c>
      <c r="U5446" s="0" t="n">
        <f aca="false">F5446*F5446</f>
        <v>0</v>
      </c>
      <c r="V5446" s="0" t="n">
        <f aca="false">G5446*G5446</f>
        <v>0.5625</v>
      </c>
      <c r="W5446" s="0" t="n">
        <f aca="false">H5446*H5446</f>
        <v>0.0625</v>
      </c>
      <c r="X5446" s="0" t="n">
        <f aca="false">SUMPRODUCT(I5446:W5446,_XtX!$B$96:$P$96)</f>
        <v>47.250689875731</v>
      </c>
      <c r="Y5446" s="0" t="n">
        <f aca="false">SUMPRODUCT(MMULT(I5446:W5446,_XtX!$B$78:$P$92),I5446:W5446)</f>
        <v>0.281685455500731</v>
      </c>
      <c r="Z5446" s="0" t="n">
        <f aca="false">04_回帰ANOVA!$K$19*04_回帰ANOVA!$K$14*SQRT(1+Y5446)</f>
        <v>1.47566956658694</v>
      </c>
      <c r="AA5446" s="0" t="n">
        <f aca="false">X5446-Z5446</f>
        <v>45.7750203091441</v>
      </c>
      <c r="AB5446" s="0" t="n">
        <f aca="false">X5446+Z5446</f>
        <v>48.7263594423179</v>
      </c>
      <c r="AC5446" s="54" t="b">
        <f aca="false">AND(E5446&gt;=01_因子設定!$L$5-0.000000001,E5446&lt;=01_因子設定!$M$5+0.000000001,F5446&gt;=01_因子設定!$L$6-0.000000001,F5446&lt;=01_因子設定!$M$6+0.000000001,G5446&gt;=01_因子設定!$L$7-0.000000001,G5446&lt;=01_因子設定!$M$7+0.000000001,H5446&gt;=01_因子設定!$L$8-0.000000001,H5446&lt;=01_因子設定!$M$8+0.000000001,IF(01_因子設定!$B$20="Box-Behnken",E5446^2+F5446^2+G5446^2+H5446^2&lt;=2+0.000000001,TRUE()))</f>
        <v>1</v>
      </c>
      <c r="AD5446" s="55" t="n">
        <f aca="false">IF(AC5446,IF(01_因子設定!$B$13="最大化",AA5446-01_因子設定!$B$14,IF(01_因子設定!$B$13="最小化",01_因子設定!$B$15-AB5446,MIN(AA5446-01_因子設定!$B$14,01_因子設定!$B$15-AB5446))),-1E+030)</f>
        <v>-0.724979690855953</v>
      </c>
      <c r="AE5446" s="55" t="n">
        <f aca="false">IF(AC5446,IF(01_因子設定!$B$13="最大化",X5446,IF(01_因子設定!$B$13="最小化",-X5446,-ABS(X5446-01_因子設定!$B$16))),-1E+030)</f>
        <v>47.250689875731</v>
      </c>
      <c r="AF5446" s="55" t="n">
        <f aca="false">AD5446+ROW()*0.000000001</f>
        <v>-0.724974244855953</v>
      </c>
      <c r="AG5446" s="55" t="n">
        <f aca="false">AE5446+ROW()*0.000000001</f>
        <v>47.250695321731</v>
      </c>
    </row>
    <row r="5447" customFormat="false" ht="15" hidden="false" customHeight="false" outlineLevel="0" collapsed="false">
      <c r="A5447" s="0" t="n">
        <v>7</v>
      </c>
      <c r="B5447" s="0" t="n">
        <v>4</v>
      </c>
      <c r="C5447" s="0" t="n">
        <v>1</v>
      </c>
      <c r="D5447" s="0" t="n">
        <v>6</v>
      </c>
      <c r="E5447" s="0" t="n">
        <f aca="false">-1+A5447*0.25</f>
        <v>0.75</v>
      </c>
      <c r="F5447" s="0" t="n">
        <f aca="false">-1+B5447*0.25</f>
        <v>0</v>
      </c>
      <c r="G5447" s="0" t="n">
        <f aca="false">-1+C5447*0.25</f>
        <v>-0.75</v>
      </c>
      <c r="H5447" s="0" t="n">
        <f aca="false">-1+D5447*0.25</f>
        <v>0.5</v>
      </c>
      <c r="I5447" s="0" t="n">
        <f aca="false">1</f>
        <v>1</v>
      </c>
      <c r="J5447" s="0" t="n">
        <f aca="false">E5447</f>
        <v>0.75</v>
      </c>
      <c r="K5447" s="0" t="n">
        <f aca="false">F5447</f>
        <v>0</v>
      </c>
      <c r="L5447" s="0" t="n">
        <f aca="false">G5447</f>
        <v>-0.75</v>
      </c>
      <c r="M5447" s="0" t="n">
        <f aca="false">H5447</f>
        <v>0.5</v>
      </c>
      <c r="N5447" s="0" t="n">
        <f aca="false">E5447*F5447</f>
        <v>0</v>
      </c>
      <c r="O5447" s="0" t="n">
        <f aca="false">E5447*G5447</f>
        <v>-0.5625</v>
      </c>
      <c r="P5447" s="0" t="n">
        <f aca="false">E5447*H5447</f>
        <v>0.375</v>
      </c>
      <c r="Q5447" s="0" t="n">
        <f aca="false">F5447*G5447</f>
        <v>-0</v>
      </c>
      <c r="R5447" s="0" t="n">
        <f aca="false">F5447*H5447</f>
        <v>0</v>
      </c>
      <c r="S5447" s="0" t="n">
        <f aca="false">G5447*H5447</f>
        <v>-0.375</v>
      </c>
      <c r="T5447" s="0" t="n">
        <f aca="false">E5447*E5447</f>
        <v>0.5625</v>
      </c>
      <c r="U5447" s="0" t="n">
        <f aca="false">F5447*F5447</f>
        <v>0</v>
      </c>
      <c r="V5447" s="0" t="n">
        <f aca="false">G5447*G5447</f>
        <v>0.5625</v>
      </c>
      <c r="W5447" s="0" t="n">
        <f aca="false">H5447*H5447</f>
        <v>0.25</v>
      </c>
      <c r="X5447" s="0" t="n">
        <f aca="false">SUMPRODUCT(I5447:W5447,_XtX!$B$96:$P$96)</f>
        <v>47.2498994883041</v>
      </c>
      <c r="Y5447" s="0" t="n">
        <f aca="false">SUMPRODUCT(MMULT(I5447:W5447,_XtX!$B$78:$P$92),I5447:W5447)</f>
        <v>0.269923873812135</v>
      </c>
      <c r="Z5447" s="0" t="n">
        <f aca="false">04_回帰ANOVA!$K$19*04_回帰ANOVA!$K$14*SQRT(1+Y5447)</f>
        <v>1.46888310825501</v>
      </c>
      <c r="AA5447" s="0" t="n">
        <f aca="false">X5447-Z5447</f>
        <v>45.7810163800491</v>
      </c>
      <c r="AB5447" s="0" t="n">
        <f aca="false">X5447+Z5447</f>
        <v>48.7187825965591</v>
      </c>
      <c r="AC5447" s="54" t="b">
        <f aca="false">AND(E5447&gt;=01_因子設定!$L$5-0.000000001,E5447&lt;=01_因子設定!$M$5+0.000000001,F5447&gt;=01_因子設定!$L$6-0.000000001,F5447&lt;=01_因子設定!$M$6+0.000000001,G5447&gt;=01_因子設定!$L$7-0.000000001,G5447&lt;=01_因子設定!$M$7+0.000000001,H5447&gt;=01_因子設定!$L$8-0.000000001,H5447&lt;=01_因子設定!$M$8+0.000000001,IF(01_因子設定!$B$20="Box-Behnken",E5447^2+F5447^2+G5447^2+H5447^2&lt;=2+0.000000001,TRUE()))</f>
        <v>1</v>
      </c>
      <c r="AD5447" s="55" t="n">
        <f aca="false">IF(AC5447,IF(01_因子設定!$B$13="最大化",AA5447-01_因子設定!$B$14,IF(01_因子設定!$B$13="最小化",01_因子設定!$B$15-AB5447,MIN(AA5447-01_因子設定!$B$14,01_因子設定!$B$15-AB5447))),-1E+030)</f>
        <v>-0.718983619950919</v>
      </c>
      <c r="AE5447" s="55" t="n">
        <f aca="false">IF(AC5447,IF(01_因子設定!$B$13="最大化",X5447,IF(01_因子設定!$B$13="最小化",-X5447,-ABS(X5447-01_因子設定!$B$16))),-1E+030)</f>
        <v>47.2498994883041</v>
      </c>
      <c r="AF5447" s="55" t="n">
        <f aca="false">AD5447+ROW()*0.000000001</f>
        <v>-0.718978172950919</v>
      </c>
      <c r="AG5447" s="55" t="n">
        <f aca="false">AE5447+ROW()*0.000000001</f>
        <v>47.2499049353041</v>
      </c>
    </row>
    <row r="5448" customFormat="false" ht="15" hidden="false" customHeight="false" outlineLevel="0" collapsed="false">
      <c r="A5448" s="0" t="n">
        <v>7</v>
      </c>
      <c r="B5448" s="0" t="n">
        <v>4</v>
      </c>
      <c r="C5448" s="0" t="n">
        <v>1</v>
      </c>
      <c r="D5448" s="0" t="n">
        <v>7</v>
      </c>
      <c r="E5448" s="0" t="n">
        <f aca="false">-1+A5448*0.25</f>
        <v>0.75</v>
      </c>
      <c r="F5448" s="0" t="n">
        <f aca="false">-1+B5448*0.25</f>
        <v>0</v>
      </c>
      <c r="G5448" s="0" t="n">
        <f aca="false">-1+C5448*0.25</f>
        <v>-0.75</v>
      </c>
      <c r="H5448" s="0" t="n">
        <f aca="false">-1+D5448*0.25</f>
        <v>0.75</v>
      </c>
      <c r="I5448" s="0" t="n">
        <f aca="false">1</f>
        <v>1</v>
      </c>
      <c r="J5448" s="0" t="n">
        <f aca="false">E5448</f>
        <v>0.75</v>
      </c>
      <c r="K5448" s="0" t="n">
        <f aca="false">F5448</f>
        <v>0</v>
      </c>
      <c r="L5448" s="0" t="n">
        <f aca="false">G5448</f>
        <v>-0.75</v>
      </c>
      <c r="M5448" s="0" t="n">
        <f aca="false">H5448</f>
        <v>0.75</v>
      </c>
      <c r="N5448" s="0" t="n">
        <f aca="false">E5448*F5448</f>
        <v>0</v>
      </c>
      <c r="O5448" s="0" t="n">
        <f aca="false">E5448*G5448</f>
        <v>-0.5625</v>
      </c>
      <c r="P5448" s="0" t="n">
        <f aca="false">E5448*H5448</f>
        <v>0.5625</v>
      </c>
      <c r="Q5448" s="0" t="n">
        <f aca="false">F5448*G5448</f>
        <v>-0</v>
      </c>
      <c r="R5448" s="0" t="n">
        <f aca="false">F5448*H5448</f>
        <v>0</v>
      </c>
      <c r="S5448" s="0" t="n">
        <f aca="false">G5448*H5448</f>
        <v>-0.5625</v>
      </c>
      <c r="T5448" s="0" t="n">
        <f aca="false">E5448*E5448</f>
        <v>0.5625</v>
      </c>
      <c r="U5448" s="0" t="n">
        <f aca="false">F5448*F5448</f>
        <v>0</v>
      </c>
      <c r="V5448" s="0" t="n">
        <f aca="false">G5448*G5448</f>
        <v>0.5625</v>
      </c>
      <c r="W5448" s="0" t="n">
        <f aca="false">H5448*H5448</f>
        <v>0.5625</v>
      </c>
      <c r="X5448" s="0" t="n">
        <f aca="false">SUMPRODUCT(I5448:W5448,_XtX!$B$96:$P$96)</f>
        <v>47.2013020833333</v>
      </c>
      <c r="Y5448" s="0" t="n">
        <f aca="false">SUMPRODUCT(MMULT(I5448:W5448,_XtX!$B$78:$P$92),I5448:W5448)</f>
        <v>0.310628255208333</v>
      </c>
      <c r="Z5448" s="0" t="n">
        <f aca="false">04_回帰ANOVA!$K$19*04_回帰ANOVA!$K$14*SQRT(1+Y5448)</f>
        <v>1.49223820892344</v>
      </c>
      <c r="AA5448" s="0" t="n">
        <f aca="false">X5448-Z5448</f>
        <v>45.7090638744099</v>
      </c>
      <c r="AB5448" s="0" t="n">
        <f aca="false">X5448+Z5448</f>
        <v>48.6935402922568</v>
      </c>
      <c r="AC5448" s="54" t="b">
        <f aca="false">AND(E5448&gt;=01_因子設定!$L$5-0.000000001,E5448&lt;=01_因子設定!$M$5+0.000000001,F5448&gt;=01_因子設定!$L$6-0.000000001,F5448&lt;=01_因子設定!$M$6+0.000000001,G5448&gt;=01_因子設定!$L$7-0.000000001,G5448&lt;=01_因子設定!$M$7+0.000000001,H5448&gt;=01_因子設定!$L$8-0.000000001,H5448&lt;=01_因子設定!$M$8+0.000000001,IF(01_因子設定!$B$20="Box-Behnken",E5448^2+F5448^2+G5448^2+H5448^2&lt;=2+0.000000001,TRUE()))</f>
        <v>1</v>
      </c>
      <c r="AD5448" s="55" t="n">
        <f aca="false">IF(AC5448,IF(01_因子設定!$B$13="最大化",AA5448-01_因子設定!$B$14,IF(01_因子設定!$B$13="最小化",01_因子設定!$B$15-AB5448,MIN(AA5448-01_因子設定!$B$14,01_因子設定!$B$15-AB5448))),-1E+030)</f>
        <v>-0.7909361255901</v>
      </c>
      <c r="AE5448" s="55" t="n">
        <f aca="false">IF(AC5448,IF(01_因子設定!$B$13="最大化",X5448,IF(01_因子設定!$B$13="最小化",-X5448,-ABS(X5448-01_因子設定!$B$16))),-1E+030)</f>
        <v>47.2013020833333</v>
      </c>
      <c r="AF5448" s="55" t="n">
        <f aca="false">AD5448+ROW()*0.000000001</f>
        <v>-0.7909306775901</v>
      </c>
      <c r="AG5448" s="55" t="n">
        <f aca="false">AE5448+ROW()*0.000000001</f>
        <v>47.2013075313333</v>
      </c>
    </row>
    <row r="5449" customFormat="false" ht="15" hidden="false" customHeight="false" outlineLevel="0" collapsed="false">
      <c r="A5449" s="0" t="n">
        <v>7</v>
      </c>
      <c r="B5449" s="0" t="n">
        <v>4</v>
      </c>
      <c r="C5449" s="0" t="n">
        <v>1</v>
      </c>
      <c r="D5449" s="0" t="n">
        <v>8</v>
      </c>
      <c r="E5449" s="0" t="n">
        <f aca="false">-1+A5449*0.25</f>
        <v>0.75</v>
      </c>
      <c r="F5449" s="0" t="n">
        <f aca="false">-1+B5449*0.25</f>
        <v>0</v>
      </c>
      <c r="G5449" s="0" t="n">
        <f aca="false">-1+C5449*0.25</f>
        <v>-0.75</v>
      </c>
      <c r="H5449" s="0" t="n">
        <f aca="false">-1+D5449*0.25</f>
        <v>1</v>
      </c>
      <c r="I5449" s="0" t="n">
        <f aca="false">1</f>
        <v>1</v>
      </c>
      <c r="J5449" s="0" t="n">
        <f aca="false">E5449</f>
        <v>0.75</v>
      </c>
      <c r="K5449" s="0" t="n">
        <f aca="false">F5449</f>
        <v>0</v>
      </c>
      <c r="L5449" s="0" t="n">
        <f aca="false">G5449</f>
        <v>-0.75</v>
      </c>
      <c r="M5449" s="0" t="n">
        <f aca="false">H5449</f>
        <v>1</v>
      </c>
      <c r="N5449" s="0" t="n">
        <f aca="false">E5449*F5449</f>
        <v>0</v>
      </c>
      <c r="O5449" s="0" t="n">
        <f aca="false">E5449*G5449</f>
        <v>-0.5625</v>
      </c>
      <c r="P5449" s="0" t="n">
        <f aca="false">E5449*H5449</f>
        <v>0.75</v>
      </c>
      <c r="Q5449" s="0" t="n">
        <f aca="false">F5449*G5449</f>
        <v>-0</v>
      </c>
      <c r="R5449" s="0" t="n">
        <f aca="false">F5449*H5449</f>
        <v>0</v>
      </c>
      <c r="S5449" s="0" t="n">
        <f aca="false">G5449*H5449</f>
        <v>-0.75</v>
      </c>
      <c r="T5449" s="0" t="n">
        <f aca="false">E5449*E5449</f>
        <v>0.5625</v>
      </c>
      <c r="U5449" s="0" t="n">
        <f aca="false">F5449*F5449</f>
        <v>0</v>
      </c>
      <c r="V5449" s="0" t="n">
        <f aca="false">G5449*G5449</f>
        <v>0.5625</v>
      </c>
      <c r="W5449" s="0" t="n">
        <f aca="false">H5449*H5449</f>
        <v>1</v>
      </c>
      <c r="X5449" s="0" t="n">
        <f aca="false">SUMPRODUCT(I5449:W5449,_XtX!$B$96:$P$96)</f>
        <v>47.1048976608187</v>
      </c>
      <c r="Y5449" s="0" t="n">
        <f aca="false">SUMPRODUCT(MMULT(I5449:W5449,_XtX!$B$78:$P$92),I5449:W5449)</f>
        <v>0.494259126005117</v>
      </c>
      <c r="Z5449" s="0" t="n">
        <f aca="false">04_回帰ANOVA!$K$19*04_回帰ANOVA!$K$14*SQRT(1+Y5449)</f>
        <v>1.59335061078203</v>
      </c>
      <c r="AA5449" s="0" t="n">
        <f aca="false">X5449-Z5449</f>
        <v>45.5115470500367</v>
      </c>
      <c r="AB5449" s="0" t="n">
        <f aca="false">X5449+Z5449</f>
        <v>48.6982482716008</v>
      </c>
      <c r="AC5449" s="54" t="b">
        <f aca="false">AND(E5449&gt;=01_因子設定!$L$5-0.000000001,E5449&lt;=01_因子設定!$M$5+0.000000001,F5449&gt;=01_因子設定!$L$6-0.000000001,F5449&lt;=01_因子設定!$M$6+0.000000001,G5449&gt;=01_因子設定!$L$7-0.000000001,G5449&lt;=01_因子設定!$M$7+0.000000001,H5449&gt;=01_因子設定!$L$8-0.000000001,H5449&lt;=01_因子設定!$M$8+0.000000001,IF(01_因子設定!$B$20="Box-Behnken",E5449^2+F5449^2+G5449^2+H5449^2&lt;=2+0.000000001,TRUE()))</f>
        <v>1</v>
      </c>
      <c r="AD5449" s="55" t="n">
        <f aca="false">IF(AC5449,IF(01_因子設定!$B$13="最大化",AA5449-01_因子設定!$B$14,IF(01_因子設定!$B$13="最小化",01_因子設定!$B$15-AB5449,MIN(AA5449-01_因子設定!$B$14,01_因子設定!$B$15-AB5449))),-1E+030)</f>
        <v>-0.988452949963289</v>
      </c>
      <c r="AE5449" s="55" t="n">
        <f aca="false">IF(AC5449,IF(01_因子設定!$B$13="最大化",X5449,IF(01_因子設定!$B$13="最小化",-X5449,-ABS(X5449-01_因子設定!$B$16))),-1E+030)</f>
        <v>47.1048976608187</v>
      </c>
      <c r="AF5449" s="55" t="n">
        <f aca="false">AD5449+ROW()*0.000000001</f>
        <v>-0.988447500963289</v>
      </c>
      <c r="AG5449" s="55" t="n">
        <f aca="false">AE5449+ROW()*0.000000001</f>
        <v>47.1049031098187</v>
      </c>
    </row>
    <row r="5450" customFormat="false" ht="15" hidden="false" customHeight="false" outlineLevel="0" collapsed="false">
      <c r="A5450" s="0" t="n">
        <v>7</v>
      </c>
      <c r="B5450" s="0" t="n">
        <v>4</v>
      </c>
      <c r="C5450" s="0" t="n">
        <v>2</v>
      </c>
      <c r="D5450" s="0" t="n">
        <v>0</v>
      </c>
      <c r="E5450" s="0" t="n">
        <f aca="false">-1+A5450*0.25</f>
        <v>0.75</v>
      </c>
      <c r="F5450" s="0" t="n">
        <f aca="false">-1+B5450*0.25</f>
        <v>0</v>
      </c>
      <c r="G5450" s="0" t="n">
        <f aca="false">-1+C5450*0.25</f>
        <v>-0.5</v>
      </c>
      <c r="H5450" s="0" t="n">
        <f aca="false">-1+D5450*0.25</f>
        <v>-1</v>
      </c>
      <c r="I5450" s="0" t="n">
        <f aca="false">1</f>
        <v>1</v>
      </c>
      <c r="J5450" s="0" t="n">
        <f aca="false">E5450</f>
        <v>0.75</v>
      </c>
      <c r="K5450" s="0" t="n">
        <f aca="false">F5450</f>
        <v>0</v>
      </c>
      <c r="L5450" s="0" t="n">
        <f aca="false">G5450</f>
        <v>-0.5</v>
      </c>
      <c r="M5450" s="0" t="n">
        <f aca="false">H5450</f>
        <v>-1</v>
      </c>
      <c r="N5450" s="0" t="n">
        <f aca="false">E5450*F5450</f>
        <v>0</v>
      </c>
      <c r="O5450" s="0" t="n">
        <f aca="false">E5450*G5450</f>
        <v>-0.375</v>
      </c>
      <c r="P5450" s="0" t="n">
        <f aca="false">E5450*H5450</f>
        <v>-0.75</v>
      </c>
      <c r="Q5450" s="0" t="n">
        <f aca="false">F5450*G5450</f>
        <v>-0</v>
      </c>
      <c r="R5450" s="0" t="n">
        <f aca="false">F5450*H5450</f>
        <v>-0</v>
      </c>
      <c r="S5450" s="0" t="n">
        <f aca="false">G5450*H5450</f>
        <v>0.5</v>
      </c>
      <c r="T5450" s="0" t="n">
        <f aca="false">E5450*E5450</f>
        <v>0.5625</v>
      </c>
      <c r="U5450" s="0" t="n">
        <f aca="false">F5450*F5450</f>
        <v>0</v>
      </c>
      <c r="V5450" s="0" t="n">
        <f aca="false">G5450*G5450</f>
        <v>0.25</v>
      </c>
      <c r="W5450" s="0" t="n">
        <f aca="false">H5450*H5450</f>
        <v>1</v>
      </c>
      <c r="X5450" s="0" t="n">
        <f aca="false">SUMPRODUCT(I5450:W5450,_XtX!$B$96:$P$96)</f>
        <v>46.8028874269006</v>
      </c>
      <c r="Y5450" s="0" t="n">
        <f aca="false">SUMPRODUCT(MMULT(I5450:W5450,_XtX!$B$78:$P$92),I5450:W5450)</f>
        <v>0.476191292032164</v>
      </c>
      <c r="Z5450" s="0" t="n">
        <f aca="false">04_回帰ANOVA!$K$19*04_回帰ANOVA!$K$14*SQRT(1+Y5450)</f>
        <v>1.58368831471718</v>
      </c>
      <c r="AA5450" s="0" t="n">
        <f aca="false">X5450-Z5450</f>
        <v>45.2191991121834</v>
      </c>
      <c r="AB5450" s="0" t="n">
        <f aca="false">X5450+Z5450</f>
        <v>48.3865757416178</v>
      </c>
      <c r="AC5450" s="54" t="b">
        <f aca="false">AND(E5450&gt;=01_因子設定!$L$5-0.000000001,E5450&lt;=01_因子設定!$M$5+0.000000001,F5450&gt;=01_因子設定!$L$6-0.000000001,F5450&lt;=01_因子設定!$M$6+0.000000001,G5450&gt;=01_因子設定!$L$7-0.000000001,G5450&lt;=01_因子設定!$M$7+0.000000001,H5450&gt;=01_因子設定!$L$8-0.000000001,H5450&lt;=01_因子設定!$M$8+0.000000001,IF(01_因子設定!$B$20="Box-Behnken",E5450^2+F5450^2+G5450^2+H5450^2&lt;=2+0.000000001,TRUE()))</f>
        <v>1</v>
      </c>
      <c r="AD5450" s="55" t="n">
        <f aca="false">IF(AC5450,IF(01_因子設定!$B$13="最大化",AA5450-01_因子設定!$B$14,IF(01_因子設定!$B$13="最小化",01_因子設定!$B$15-AB5450,MIN(AA5450-01_因子設定!$B$14,01_因子設定!$B$15-AB5450))),-1E+030)</f>
        <v>-1.28080088781657</v>
      </c>
      <c r="AE5450" s="55" t="n">
        <f aca="false">IF(AC5450,IF(01_因子設定!$B$13="最大化",X5450,IF(01_因子設定!$B$13="最小化",-X5450,-ABS(X5450-01_因子設定!$B$16))),-1E+030)</f>
        <v>46.8028874269006</v>
      </c>
      <c r="AF5450" s="55" t="n">
        <f aca="false">AD5450+ROW()*0.000000001</f>
        <v>-1.28079543781657</v>
      </c>
      <c r="AG5450" s="55" t="n">
        <f aca="false">AE5450+ROW()*0.000000001</f>
        <v>46.8028928769006</v>
      </c>
    </row>
    <row r="5451" customFormat="false" ht="15" hidden="false" customHeight="false" outlineLevel="0" collapsed="false">
      <c r="A5451" s="0" t="n">
        <v>7</v>
      </c>
      <c r="B5451" s="0" t="n">
        <v>4</v>
      </c>
      <c r="C5451" s="0" t="n">
        <v>2</v>
      </c>
      <c r="D5451" s="0" t="n">
        <v>1</v>
      </c>
      <c r="E5451" s="0" t="n">
        <f aca="false">-1+A5451*0.25</f>
        <v>0.75</v>
      </c>
      <c r="F5451" s="0" t="n">
        <f aca="false">-1+B5451*0.25</f>
        <v>0</v>
      </c>
      <c r="G5451" s="0" t="n">
        <f aca="false">-1+C5451*0.25</f>
        <v>-0.5</v>
      </c>
      <c r="H5451" s="0" t="n">
        <f aca="false">-1+D5451*0.25</f>
        <v>-0.75</v>
      </c>
      <c r="I5451" s="0" t="n">
        <f aca="false">1</f>
        <v>1</v>
      </c>
      <c r="J5451" s="0" t="n">
        <f aca="false">E5451</f>
        <v>0.75</v>
      </c>
      <c r="K5451" s="0" t="n">
        <f aca="false">F5451</f>
        <v>0</v>
      </c>
      <c r="L5451" s="0" t="n">
        <f aca="false">G5451</f>
        <v>-0.5</v>
      </c>
      <c r="M5451" s="0" t="n">
        <f aca="false">H5451</f>
        <v>-0.75</v>
      </c>
      <c r="N5451" s="0" t="n">
        <f aca="false">E5451*F5451</f>
        <v>0</v>
      </c>
      <c r="O5451" s="0" t="n">
        <f aca="false">E5451*G5451</f>
        <v>-0.375</v>
      </c>
      <c r="P5451" s="0" t="n">
        <f aca="false">E5451*H5451</f>
        <v>-0.5625</v>
      </c>
      <c r="Q5451" s="0" t="n">
        <f aca="false">F5451*G5451</f>
        <v>-0</v>
      </c>
      <c r="R5451" s="0" t="n">
        <f aca="false">F5451*H5451</f>
        <v>-0</v>
      </c>
      <c r="S5451" s="0" t="n">
        <f aca="false">G5451*H5451</f>
        <v>0.375</v>
      </c>
      <c r="T5451" s="0" t="n">
        <f aca="false">E5451*E5451</f>
        <v>0.5625</v>
      </c>
      <c r="U5451" s="0" t="n">
        <f aca="false">F5451*F5451</f>
        <v>0</v>
      </c>
      <c r="V5451" s="0" t="n">
        <f aca="false">G5451*G5451</f>
        <v>0.25</v>
      </c>
      <c r="W5451" s="0" t="n">
        <f aca="false">H5451*H5451</f>
        <v>0.5625</v>
      </c>
      <c r="X5451" s="0" t="n">
        <f aca="false">SUMPRODUCT(I5451:W5451,_XtX!$B$96:$P$96)</f>
        <v>47.059100877193</v>
      </c>
      <c r="Y5451" s="0" t="n">
        <f aca="false">SUMPRODUCT(MMULT(I5451:W5451,_XtX!$B$78:$P$92),I5451:W5451)</f>
        <v>0.269923873812135</v>
      </c>
      <c r="Z5451" s="0" t="n">
        <f aca="false">04_回帰ANOVA!$K$19*04_回帰ANOVA!$K$14*SQRT(1+Y5451)</f>
        <v>1.46888310825501</v>
      </c>
      <c r="AA5451" s="0" t="n">
        <f aca="false">X5451-Z5451</f>
        <v>45.590217768938</v>
      </c>
      <c r="AB5451" s="0" t="n">
        <f aca="false">X5451+Z5451</f>
        <v>48.527983985448</v>
      </c>
      <c r="AC5451" s="54" t="b">
        <f aca="false">AND(E5451&gt;=01_因子設定!$L$5-0.000000001,E5451&lt;=01_因子設定!$M$5+0.000000001,F5451&gt;=01_因子設定!$L$6-0.000000001,F5451&lt;=01_因子設定!$M$6+0.000000001,G5451&gt;=01_因子設定!$L$7-0.000000001,G5451&lt;=01_因子設定!$M$7+0.000000001,H5451&gt;=01_因子設定!$L$8-0.000000001,H5451&lt;=01_因子設定!$M$8+0.000000001,IF(01_因子設定!$B$20="Box-Behnken",E5451^2+F5451^2+G5451^2+H5451^2&lt;=2+0.000000001,TRUE()))</f>
        <v>1</v>
      </c>
      <c r="AD5451" s="55" t="n">
        <f aca="false">IF(AC5451,IF(01_因子設定!$B$13="最大化",AA5451-01_因子設定!$B$14,IF(01_因子設定!$B$13="最小化",01_因子設定!$B$15-AB5451,MIN(AA5451-01_因子設定!$B$14,01_因子設定!$B$15-AB5451))),-1E+030)</f>
        <v>-0.909782231062017</v>
      </c>
      <c r="AE5451" s="55" t="n">
        <f aca="false">IF(AC5451,IF(01_因子設定!$B$13="最大化",X5451,IF(01_因子設定!$B$13="最小化",-X5451,-ABS(X5451-01_因子設定!$B$16))),-1E+030)</f>
        <v>47.059100877193</v>
      </c>
      <c r="AF5451" s="55" t="n">
        <f aca="false">AD5451+ROW()*0.000000001</f>
        <v>-0.909776780062017</v>
      </c>
      <c r="AG5451" s="55" t="n">
        <f aca="false">AE5451+ROW()*0.000000001</f>
        <v>47.059106328193</v>
      </c>
    </row>
    <row r="5452" customFormat="false" ht="15" hidden="false" customHeight="false" outlineLevel="0" collapsed="false">
      <c r="A5452" s="0" t="n">
        <v>7</v>
      </c>
      <c r="B5452" s="0" t="n">
        <v>4</v>
      </c>
      <c r="C5452" s="0" t="n">
        <v>2</v>
      </c>
      <c r="D5452" s="0" t="n">
        <v>2</v>
      </c>
      <c r="E5452" s="0" t="n">
        <f aca="false">-1+A5452*0.25</f>
        <v>0.75</v>
      </c>
      <c r="F5452" s="0" t="n">
        <f aca="false">-1+B5452*0.25</f>
        <v>0</v>
      </c>
      <c r="G5452" s="0" t="n">
        <f aca="false">-1+C5452*0.25</f>
        <v>-0.5</v>
      </c>
      <c r="H5452" s="0" t="n">
        <f aca="false">-1+D5452*0.25</f>
        <v>-0.5</v>
      </c>
      <c r="I5452" s="0" t="n">
        <f aca="false">1</f>
        <v>1</v>
      </c>
      <c r="J5452" s="0" t="n">
        <f aca="false">E5452</f>
        <v>0.75</v>
      </c>
      <c r="K5452" s="0" t="n">
        <f aca="false">F5452</f>
        <v>0</v>
      </c>
      <c r="L5452" s="0" t="n">
        <f aca="false">G5452</f>
        <v>-0.5</v>
      </c>
      <c r="M5452" s="0" t="n">
        <f aca="false">H5452</f>
        <v>-0.5</v>
      </c>
      <c r="N5452" s="0" t="n">
        <f aca="false">E5452*F5452</f>
        <v>0</v>
      </c>
      <c r="O5452" s="0" t="n">
        <f aca="false">E5452*G5452</f>
        <v>-0.375</v>
      </c>
      <c r="P5452" s="0" t="n">
        <f aca="false">E5452*H5452</f>
        <v>-0.375</v>
      </c>
      <c r="Q5452" s="0" t="n">
        <f aca="false">F5452*G5452</f>
        <v>-0</v>
      </c>
      <c r="R5452" s="0" t="n">
        <f aca="false">F5452*H5452</f>
        <v>-0</v>
      </c>
      <c r="S5452" s="0" t="n">
        <f aca="false">G5452*H5452</f>
        <v>0.25</v>
      </c>
      <c r="T5452" s="0" t="n">
        <f aca="false">E5452*E5452</f>
        <v>0.5625</v>
      </c>
      <c r="U5452" s="0" t="n">
        <f aca="false">F5452*F5452</f>
        <v>0</v>
      </c>
      <c r="V5452" s="0" t="n">
        <f aca="false">G5452*G5452</f>
        <v>0.25</v>
      </c>
      <c r="W5452" s="0" t="n">
        <f aca="false">H5452*H5452</f>
        <v>0.25</v>
      </c>
      <c r="X5452" s="0" t="n">
        <f aca="false">SUMPRODUCT(I5452:W5452,_XtX!$B$96:$P$96)</f>
        <v>47.2675073099415</v>
      </c>
      <c r="Y5452" s="0" t="n">
        <f aca="false">SUMPRODUCT(MMULT(I5452:W5452,_XtX!$B$78:$P$92),I5452:W5452)</f>
        <v>0.21305052997076</v>
      </c>
      <c r="Z5452" s="0" t="n">
        <f aca="false">04_回帰ANOVA!$K$19*04_回帰ANOVA!$K$14*SQRT(1+Y5452)</f>
        <v>1.43561450835061</v>
      </c>
      <c r="AA5452" s="0" t="n">
        <f aca="false">X5452-Z5452</f>
        <v>45.8318928015909</v>
      </c>
      <c r="AB5452" s="0" t="n">
        <f aca="false">X5452+Z5452</f>
        <v>48.7031218182921</v>
      </c>
      <c r="AC5452" s="54" t="b">
        <f aca="false">AND(E5452&gt;=01_因子設定!$L$5-0.000000001,E5452&lt;=01_因子設定!$M$5+0.000000001,F5452&gt;=01_因子設定!$L$6-0.000000001,F5452&lt;=01_因子設定!$M$6+0.000000001,G5452&gt;=01_因子設定!$L$7-0.000000001,G5452&lt;=01_因子設定!$M$7+0.000000001,H5452&gt;=01_因子設定!$L$8-0.000000001,H5452&lt;=01_因子設定!$M$8+0.000000001,IF(01_因子設定!$B$20="Box-Behnken",E5452^2+F5452^2+G5452^2+H5452^2&lt;=2+0.000000001,TRUE()))</f>
        <v>1</v>
      </c>
      <c r="AD5452" s="55" t="n">
        <f aca="false">IF(AC5452,IF(01_因子設定!$B$13="最大化",AA5452-01_因子設定!$B$14,IF(01_因子設定!$B$13="最小化",01_因子設定!$B$15-AB5452,MIN(AA5452-01_因子設定!$B$14,01_因子設定!$B$15-AB5452))),-1E+030)</f>
        <v>-0.668107198409089</v>
      </c>
      <c r="AE5452" s="55" t="n">
        <f aca="false">IF(AC5452,IF(01_因子設定!$B$13="最大化",X5452,IF(01_因子設定!$B$13="最小化",-X5452,-ABS(X5452-01_因子設定!$B$16))),-1E+030)</f>
        <v>47.2675073099415</v>
      </c>
      <c r="AF5452" s="55" t="n">
        <f aca="false">AD5452+ROW()*0.000000001</f>
        <v>-0.668101746409089</v>
      </c>
      <c r="AG5452" s="55" t="n">
        <f aca="false">AE5452+ROW()*0.000000001</f>
        <v>47.2675127619415</v>
      </c>
    </row>
    <row r="5453" customFormat="false" ht="15" hidden="false" customHeight="false" outlineLevel="0" collapsed="false">
      <c r="A5453" s="0" t="n">
        <v>7</v>
      </c>
      <c r="B5453" s="0" t="n">
        <v>4</v>
      </c>
      <c r="C5453" s="0" t="n">
        <v>2</v>
      </c>
      <c r="D5453" s="0" t="n">
        <v>3</v>
      </c>
      <c r="E5453" s="0" t="n">
        <f aca="false">-1+A5453*0.25</f>
        <v>0.75</v>
      </c>
      <c r="F5453" s="0" t="n">
        <f aca="false">-1+B5453*0.25</f>
        <v>0</v>
      </c>
      <c r="G5453" s="0" t="n">
        <f aca="false">-1+C5453*0.25</f>
        <v>-0.5</v>
      </c>
      <c r="H5453" s="0" t="n">
        <f aca="false">-1+D5453*0.25</f>
        <v>-0.25</v>
      </c>
      <c r="I5453" s="0" t="n">
        <f aca="false">1</f>
        <v>1</v>
      </c>
      <c r="J5453" s="0" t="n">
        <f aca="false">E5453</f>
        <v>0.75</v>
      </c>
      <c r="K5453" s="0" t="n">
        <f aca="false">F5453</f>
        <v>0</v>
      </c>
      <c r="L5453" s="0" t="n">
        <f aca="false">G5453</f>
        <v>-0.5</v>
      </c>
      <c r="M5453" s="0" t="n">
        <f aca="false">H5453</f>
        <v>-0.25</v>
      </c>
      <c r="N5453" s="0" t="n">
        <f aca="false">E5453*F5453</f>
        <v>0</v>
      </c>
      <c r="O5453" s="0" t="n">
        <f aca="false">E5453*G5453</f>
        <v>-0.375</v>
      </c>
      <c r="P5453" s="0" t="n">
        <f aca="false">E5453*H5453</f>
        <v>-0.1875</v>
      </c>
      <c r="Q5453" s="0" t="n">
        <f aca="false">F5453*G5453</f>
        <v>-0</v>
      </c>
      <c r="R5453" s="0" t="n">
        <f aca="false">F5453*H5453</f>
        <v>-0</v>
      </c>
      <c r="S5453" s="0" t="n">
        <f aca="false">G5453*H5453</f>
        <v>0.125</v>
      </c>
      <c r="T5453" s="0" t="n">
        <f aca="false">E5453*E5453</f>
        <v>0.5625</v>
      </c>
      <c r="U5453" s="0" t="n">
        <f aca="false">F5453*F5453</f>
        <v>0</v>
      </c>
      <c r="V5453" s="0" t="n">
        <f aca="false">G5453*G5453</f>
        <v>0.25</v>
      </c>
      <c r="W5453" s="0" t="n">
        <f aca="false">H5453*H5453</f>
        <v>0.0625</v>
      </c>
      <c r="X5453" s="0" t="n">
        <f aca="false">SUMPRODUCT(I5453:W5453,_XtX!$B$96:$P$96)</f>
        <v>47.4281067251462</v>
      </c>
      <c r="Y5453" s="0" t="n">
        <f aca="false">SUMPRODUCT(MMULT(I5453:W5453,_XtX!$B$78:$P$92),I5453:W5453)</f>
        <v>0.215110734192252</v>
      </c>
      <c r="Z5453" s="0" t="n">
        <f aca="false">04_回帰ANOVA!$K$19*04_回帰ANOVA!$K$14*SQRT(1+Y5453)</f>
        <v>1.43683309086864</v>
      </c>
      <c r="AA5453" s="0" t="n">
        <f aca="false">X5453-Z5453</f>
        <v>45.9912736342775</v>
      </c>
      <c r="AB5453" s="0" t="n">
        <f aca="false">X5453+Z5453</f>
        <v>48.8649398160148</v>
      </c>
      <c r="AC5453" s="54" t="b">
        <f aca="false">AND(E5453&gt;=01_因子設定!$L$5-0.000000001,E5453&lt;=01_因子設定!$M$5+0.000000001,F5453&gt;=01_因子設定!$L$6-0.000000001,F5453&lt;=01_因子設定!$M$6+0.000000001,G5453&gt;=01_因子設定!$L$7-0.000000001,G5453&lt;=01_因子設定!$M$7+0.000000001,H5453&gt;=01_因子設定!$L$8-0.000000001,H5453&lt;=01_因子設定!$M$8+0.000000001,IF(01_因子設定!$B$20="Box-Behnken",E5453^2+F5453^2+G5453^2+H5453^2&lt;=2+0.000000001,TRUE()))</f>
        <v>1</v>
      </c>
      <c r="AD5453" s="55" t="n">
        <f aca="false">IF(AC5453,IF(01_因子設定!$B$13="最大化",AA5453-01_因子設定!$B$14,IF(01_因子設定!$B$13="最小化",01_因子設定!$B$15-AB5453,MIN(AA5453-01_因子設定!$B$14,01_因子設定!$B$15-AB5453))),-1E+030)</f>
        <v>-0.50872636572246</v>
      </c>
      <c r="AE5453" s="55" t="n">
        <f aca="false">IF(AC5453,IF(01_因子設定!$B$13="最大化",X5453,IF(01_因子設定!$B$13="最小化",-X5453,-ABS(X5453-01_因子設定!$B$16))),-1E+030)</f>
        <v>47.4281067251462</v>
      </c>
      <c r="AF5453" s="55" t="n">
        <f aca="false">AD5453+ROW()*0.000000001</f>
        <v>-0.50872091272246</v>
      </c>
      <c r="AG5453" s="55" t="n">
        <f aca="false">AE5453+ROW()*0.000000001</f>
        <v>47.4281121781462</v>
      </c>
    </row>
    <row r="5454" customFormat="false" ht="15" hidden="false" customHeight="false" outlineLevel="0" collapsed="false">
      <c r="A5454" s="0" t="n">
        <v>7</v>
      </c>
      <c r="B5454" s="0" t="n">
        <v>4</v>
      </c>
      <c r="C5454" s="0" t="n">
        <v>2</v>
      </c>
      <c r="D5454" s="0" t="n">
        <v>4</v>
      </c>
      <c r="E5454" s="0" t="n">
        <f aca="false">-1+A5454*0.25</f>
        <v>0.75</v>
      </c>
      <c r="F5454" s="0" t="n">
        <f aca="false">-1+B5454*0.25</f>
        <v>0</v>
      </c>
      <c r="G5454" s="0" t="n">
        <f aca="false">-1+C5454*0.25</f>
        <v>-0.5</v>
      </c>
      <c r="H5454" s="0" t="n">
        <f aca="false">-1+D5454*0.25</f>
        <v>0</v>
      </c>
      <c r="I5454" s="0" t="n">
        <f aca="false">1</f>
        <v>1</v>
      </c>
      <c r="J5454" s="0" t="n">
        <f aca="false">E5454</f>
        <v>0.75</v>
      </c>
      <c r="K5454" s="0" t="n">
        <f aca="false">F5454</f>
        <v>0</v>
      </c>
      <c r="L5454" s="0" t="n">
        <f aca="false">G5454</f>
        <v>-0.5</v>
      </c>
      <c r="M5454" s="0" t="n">
        <f aca="false">H5454</f>
        <v>0</v>
      </c>
      <c r="N5454" s="0" t="n">
        <f aca="false">E5454*F5454</f>
        <v>0</v>
      </c>
      <c r="O5454" s="0" t="n">
        <f aca="false">E5454*G5454</f>
        <v>-0.375</v>
      </c>
      <c r="P5454" s="0" t="n">
        <f aca="false">E5454*H5454</f>
        <v>0</v>
      </c>
      <c r="Q5454" s="0" t="n">
        <f aca="false">F5454*G5454</f>
        <v>-0</v>
      </c>
      <c r="R5454" s="0" t="n">
        <f aca="false">F5454*H5454</f>
        <v>0</v>
      </c>
      <c r="S5454" s="0" t="n">
        <f aca="false">G5454*H5454</f>
        <v>-0</v>
      </c>
      <c r="T5454" s="0" t="n">
        <f aca="false">E5454*E5454</f>
        <v>0.5625</v>
      </c>
      <c r="U5454" s="0" t="n">
        <f aca="false">F5454*F5454</f>
        <v>0</v>
      </c>
      <c r="V5454" s="0" t="n">
        <f aca="false">G5454*G5454</f>
        <v>0.25</v>
      </c>
      <c r="W5454" s="0" t="n">
        <f aca="false">H5454*H5454</f>
        <v>0</v>
      </c>
      <c r="X5454" s="0" t="n">
        <f aca="false">SUMPRODUCT(I5454:W5454,_XtX!$B$96:$P$96)</f>
        <v>47.540899122807</v>
      </c>
      <c r="Y5454" s="0" t="n">
        <f aca="false">SUMPRODUCT(MMULT(I5454:W5454,_XtX!$B$78:$P$92),I5454:W5454)</f>
        <v>0.221828170687135</v>
      </c>
      <c r="Z5454" s="0" t="n">
        <f aca="false">04_回帰ANOVA!$K$19*04_回帰ANOVA!$K$14*SQRT(1+Y5454)</f>
        <v>1.44079920361664</v>
      </c>
      <c r="AA5454" s="0" t="n">
        <f aca="false">X5454-Z5454</f>
        <v>46.1000999191904</v>
      </c>
      <c r="AB5454" s="0" t="n">
        <f aca="false">X5454+Z5454</f>
        <v>48.9816983264237</v>
      </c>
      <c r="AC5454" s="54" t="b">
        <f aca="false">AND(E5454&gt;=01_因子設定!$L$5-0.000000001,E5454&lt;=01_因子設定!$M$5+0.000000001,F5454&gt;=01_因子設定!$L$6-0.000000001,F5454&lt;=01_因子設定!$M$6+0.000000001,G5454&gt;=01_因子設定!$L$7-0.000000001,G5454&lt;=01_因子設定!$M$7+0.000000001,H5454&gt;=01_因子設定!$L$8-0.000000001,H5454&lt;=01_因子設定!$M$8+0.000000001,IF(01_因子設定!$B$20="Box-Behnken",E5454^2+F5454^2+G5454^2+H5454^2&lt;=2+0.000000001,TRUE()))</f>
        <v>1</v>
      </c>
      <c r="AD5454" s="55" t="n">
        <f aca="false">IF(AC5454,IF(01_因子設定!$B$13="最大化",AA5454-01_因子設定!$B$14,IF(01_因子設定!$B$13="最小化",01_因子設定!$B$15-AB5454,MIN(AA5454-01_因子設定!$B$14,01_因子設定!$B$15-AB5454))),-1E+030)</f>
        <v>-0.399900080809637</v>
      </c>
      <c r="AE5454" s="55" t="n">
        <f aca="false">IF(AC5454,IF(01_因子設定!$B$13="最大化",X5454,IF(01_因子設定!$B$13="最小化",-X5454,-ABS(X5454-01_因子設定!$B$16))),-1E+030)</f>
        <v>47.540899122807</v>
      </c>
      <c r="AF5454" s="55" t="n">
        <f aca="false">AD5454+ROW()*0.000000001</f>
        <v>-0.399894626809637</v>
      </c>
      <c r="AG5454" s="55" t="n">
        <f aca="false">AE5454+ROW()*0.000000001</f>
        <v>47.540904576807</v>
      </c>
    </row>
    <row r="5455" customFormat="false" ht="15" hidden="false" customHeight="false" outlineLevel="0" collapsed="false">
      <c r="A5455" s="0" t="n">
        <v>7</v>
      </c>
      <c r="B5455" s="0" t="n">
        <v>4</v>
      </c>
      <c r="C5455" s="0" t="n">
        <v>2</v>
      </c>
      <c r="D5455" s="0" t="n">
        <v>5</v>
      </c>
      <c r="E5455" s="0" t="n">
        <f aca="false">-1+A5455*0.25</f>
        <v>0.75</v>
      </c>
      <c r="F5455" s="0" t="n">
        <f aca="false">-1+B5455*0.25</f>
        <v>0</v>
      </c>
      <c r="G5455" s="0" t="n">
        <f aca="false">-1+C5455*0.25</f>
        <v>-0.5</v>
      </c>
      <c r="H5455" s="0" t="n">
        <f aca="false">-1+D5455*0.25</f>
        <v>0.25</v>
      </c>
      <c r="I5455" s="0" t="n">
        <f aca="false">1</f>
        <v>1</v>
      </c>
      <c r="J5455" s="0" t="n">
        <f aca="false">E5455</f>
        <v>0.75</v>
      </c>
      <c r="K5455" s="0" t="n">
        <f aca="false">F5455</f>
        <v>0</v>
      </c>
      <c r="L5455" s="0" t="n">
        <f aca="false">G5455</f>
        <v>-0.5</v>
      </c>
      <c r="M5455" s="0" t="n">
        <f aca="false">H5455</f>
        <v>0.25</v>
      </c>
      <c r="N5455" s="0" t="n">
        <f aca="false">E5455*F5455</f>
        <v>0</v>
      </c>
      <c r="O5455" s="0" t="n">
        <f aca="false">E5455*G5455</f>
        <v>-0.375</v>
      </c>
      <c r="P5455" s="0" t="n">
        <f aca="false">E5455*H5455</f>
        <v>0.1875</v>
      </c>
      <c r="Q5455" s="0" t="n">
        <f aca="false">F5455*G5455</f>
        <v>-0</v>
      </c>
      <c r="R5455" s="0" t="n">
        <f aca="false">F5455*H5455</f>
        <v>0</v>
      </c>
      <c r="S5455" s="0" t="n">
        <f aca="false">G5455*H5455</f>
        <v>-0.125</v>
      </c>
      <c r="T5455" s="0" t="n">
        <f aca="false">E5455*E5455</f>
        <v>0.5625</v>
      </c>
      <c r="U5455" s="0" t="n">
        <f aca="false">F5455*F5455</f>
        <v>0</v>
      </c>
      <c r="V5455" s="0" t="n">
        <f aca="false">G5455*G5455</f>
        <v>0.25</v>
      </c>
      <c r="W5455" s="0" t="n">
        <f aca="false">H5455*H5455</f>
        <v>0.0625</v>
      </c>
      <c r="X5455" s="0" t="n">
        <f aca="false">SUMPRODUCT(I5455:W5455,_XtX!$B$96:$P$96)</f>
        <v>47.605884502924</v>
      </c>
      <c r="Y5455" s="0" t="n">
        <f aca="false">SUMPRODUCT(MMULT(I5455:W5455,_XtX!$B$78:$P$92),I5455:W5455)</f>
        <v>0.215110734192252</v>
      </c>
      <c r="Z5455" s="0" t="n">
        <f aca="false">04_回帰ANOVA!$K$19*04_回帰ANOVA!$K$14*SQRT(1+Y5455)</f>
        <v>1.43683309086864</v>
      </c>
      <c r="AA5455" s="0" t="n">
        <f aca="false">X5455-Z5455</f>
        <v>46.1690514120553</v>
      </c>
      <c r="AB5455" s="0" t="n">
        <f aca="false">X5455+Z5455</f>
        <v>49.0427175937926</v>
      </c>
      <c r="AC5455" s="54" t="b">
        <f aca="false">AND(E5455&gt;=01_因子設定!$L$5-0.000000001,E5455&lt;=01_因子設定!$M$5+0.000000001,F5455&gt;=01_因子設定!$L$6-0.000000001,F5455&lt;=01_因子設定!$M$6+0.000000001,G5455&gt;=01_因子設定!$L$7-0.000000001,G5455&lt;=01_因子設定!$M$7+0.000000001,H5455&gt;=01_因子設定!$L$8-0.000000001,H5455&lt;=01_因子設定!$M$8+0.000000001,IF(01_因子設定!$B$20="Box-Behnken",E5455^2+F5455^2+G5455^2+H5455^2&lt;=2+0.000000001,TRUE()))</f>
        <v>1</v>
      </c>
      <c r="AD5455" s="55" t="n">
        <f aca="false">IF(AC5455,IF(01_因子設定!$B$13="最大化",AA5455-01_因子設定!$B$14,IF(01_因子設定!$B$13="最小化",01_因子設定!$B$15-AB5455,MIN(AA5455-01_因子設定!$B$14,01_因子設定!$B$15-AB5455))),-1E+030)</f>
        <v>-0.330948587944683</v>
      </c>
      <c r="AE5455" s="55" t="n">
        <f aca="false">IF(AC5455,IF(01_因子設定!$B$13="最大化",X5455,IF(01_因子設定!$B$13="最小化",-X5455,-ABS(X5455-01_因子設定!$B$16))),-1E+030)</f>
        <v>47.605884502924</v>
      </c>
      <c r="AF5455" s="55" t="n">
        <f aca="false">AD5455+ROW()*0.000000001</f>
        <v>-0.330943132944683</v>
      </c>
      <c r="AG5455" s="55" t="n">
        <f aca="false">AE5455+ROW()*0.000000001</f>
        <v>47.605889957924</v>
      </c>
    </row>
    <row r="5456" customFormat="false" ht="15" hidden="false" customHeight="false" outlineLevel="0" collapsed="false">
      <c r="A5456" s="0" t="n">
        <v>7</v>
      </c>
      <c r="B5456" s="0" t="n">
        <v>4</v>
      </c>
      <c r="C5456" s="0" t="n">
        <v>2</v>
      </c>
      <c r="D5456" s="0" t="n">
        <v>6</v>
      </c>
      <c r="E5456" s="0" t="n">
        <f aca="false">-1+A5456*0.25</f>
        <v>0.75</v>
      </c>
      <c r="F5456" s="0" t="n">
        <f aca="false">-1+B5456*0.25</f>
        <v>0</v>
      </c>
      <c r="G5456" s="0" t="n">
        <f aca="false">-1+C5456*0.25</f>
        <v>-0.5</v>
      </c>
      <c r="H5456" s="0" t="n">
        <f aca="false">-1+D5456*0.25</f>
        <v>0.5</v>
      </c>
      <c r="I5456" s="0" t="n">
        <f aca="false">1</f>
        <v>1</v>
      </c>
      <c r="J5456" s="0" t="n">
        <f aca="false">E5456</f>
        <v>0.75</v>
      </c>
      <c r="K5456" s="0" t="n">
        <f aca="false">F5456</f>
        <v>0</v>
      </c>
      <c r="L5456" s="0" t="n">
        <f aca="false">G5456</f>
        <v>-0.5</v>
      </c>
      <c r="M5456" s="0" t="n">
        <f aca="false">H5456</f>
        <v>0.5</v>
      </c>
      <c r="N5456" s="0" t="n">
        <f aca="false">E5456*F5456</f>
        <v>0</v>
      </c>
      <c r="O5456" s="0" t="n">
        <f aca="false">E5456*G5456</f>
        <v>-0.375</v>
      </c>
      <c r="P5456" s="0" t="n">
        <f aca="false">E5456*H5456</f>
        <v>0.375</v>
      </c>
      <c r="Q5456" s="0" t="n">
        <f aca="false">F5456*G5456</f>
        <v>-0</v>
      </c>
      <c r="R5456" s="0" t="n">
        <f aca="false">F5456*H5456</f>
        <v>0</v>
      </c>
      <c r="S5456" s="0" t="n">
        <f aca="false">G5456*H5456</f>
        <v>-0.25</v>
      </c>
      <c r="T5456" s="0" t="n">
        <f aca="false">E5456*E5456</f>
        <v>0.5625</v>
      </c>
      <c r="U5456" s="0" t="n">
        <f aca="false">F5456*F5456</f>
        <v>0</v>
      </c>
      <c r="V5456" s="0" t="n">
        <f aca="false">G5456*G5456</f>
        <v>0.25</v>
      </c>
      <c r="W5456" s="0" t="n">
        <f aca="false">H5456*H5456</f>
        <v>0.25</v>
      </c>
      <c r="X5456" s="0" t="n">
        <f aca="false">SUMPRODUCT(I5456:W5456,_XtX!$B$96:$P$96)</f>
        <v>47.6230628654971</v>
      </c>
      <c r="Y5456" s="0" t="n">
        <f aca="false">SUMPRODUCT(MMULT(I5456:W5456,_XtX!$B$78:$P$92),I5456:W5456)</f>
        <v>0.21305052997076</v>
      </c>
      <c r="Z5456" s="0" t="n">
        <f aca="false">04_回帰ANOVA!$K$19*04_回帰ANOVA!$K$14*SQRT(1+Y5456)</f>
        <v>1.43561450835061</v>
      </c>
      <c r="AA5456" s="0" t="n">
        <f aca="false">X5456-Z5456</f>
        <v>46.1874483571465</v>
      </c>
      <c r="AB5456" s="0" t="n">
        <f aca="false">X5456+Z5456</f>
        <v>49.0586773738477</v>
      </c>
      <c r="AC5456" s="54" t="b">
        <f aca="false">AND(E5456&gt;=01_因子設定!$L$5-0.000000001,E5456&lt;=01_因子設定!$M$5+0.000000001,F5456&gt;=01_因子設定!$L$6-0.000000001,F5456&lt;=01_因子設定!$M$6+0.000000001,G5456&gt;=01_因子設定!$L$7-0.000000001,G5456&lt;=01_因子設定!$M$7+0.000000001,H5456&gt;=01_因子設定!$L$8-0.000000001,H5456&lt;=01_因子設定!$M$8+0.000000001,IF(01_因子設定!$B$20="Box-Behnken",E5456^2+F5456^2+G5456^2+H5456^2&lt;=2+0.000000001,TRUE()))</f>
        <v>1</v>
      </c>
      <c r="AD5456" s="55" t="n">
        <f aca="false">IF(AC5456,IF(01_因子設定!$B$13="最大化",AA5456-01_因子設定!$B$14,IF(01_因子設定!$B$13="最小化",01_因子設定!$B$15-AB5456,MIN(AA5456-01_因子設定!$B$14,01_因子設定!$B$15-AB5456))),-1E+030)</f>
        <v>-0.312551642853535</v>
      </c>
      <c r="AE5456" s="55" t="n">
        <f aca="false">IF(AC5456,IF(01_因子設定!$B$13="最大化",X5456,IF(01_因子設定!$B$13="最小化",-X5456,-ABS(X5456-01_因子設定!$B$16))),-1E+030)</f>
        <v>47.6230628654971</v>
      </c>
      <c r="AF5456" s="55" t="n">
        <f aca="false">AD5456+ROW()*0.000000001</f>
        <v>-0.312546186853535</v>
      </c>
      <c r="AG5456" s="55" t="n">
        <f aca="false">AE5456+ROW()*0.000000001</f>
        <v>47.6230683214971</v>
      </c>
    </row>
    <row r="5457" customFormat="false" ht="15" hidden="false" customHeight="false" outlineLevel="0" collapsed="false">
      <c r="A5457" s="0" t="n">
        <v>7</v>
      </c>
      <c r="B5457" s="0" t="n">
        <v>4</v>
      </c>
      <c r="C5457" s="0" t="n">
        <v>2</v>
      </c>
      <c r="D5457" s="0" t="n">
        <v>7</v>
      </c>
      <c r="E5457" s="0" t="n">
        <f aca="false">-1+A5457*0.25</f>
        <v>0.75</v>
      </c>
      <c r="F5457" s="0" t="n">
        <f aca="false">-1+B5457*0.25</f>
        <v>0</v>
      </c>
      <c r="G5457" s="0" t="n">
        <f aca="false">-1+C5457*0.25</f>
        <v>-0.5</v>
      </c>
      <c r="H5457" s="0" t="n">
        <f aca="false">-1+D5457*0.25</f>
        <v>0.75</v>
      </c>
      <c r="I5457" s="0" t="n">
        <f aca="false">1</f>
        <v>1</v>
      </c>
      <c r="J5457" s="0" t="n">
        <f aca="false">E5457</f>
        <v>0.75</v>
      </c>
      <c r="K5457" s="0" t="n">
        <f aca="false">F5457</f>
        <v>0</v>
      </c>
      <c r="L5457" s="0" t="n">
        <f aca="false">G5457</f>
        <v>-0.5</v>
      </c>
      <c r="M5457" s="0" t="n">
        <f aca="false">H5457</f>
        <v>0.75</v>
      </c>
      <c r="N5457" s="0" t="n">
        <f aca="false">E5457*F5457</f>
        <v>0</v>
      </c>
      <c r="O5457" s="0" t="n">
        <f aca="false">E5457*G5457</f>
        <v>-0.375</v>
      </c>
      <c r="P5457" s="0" t="n">
        <f aca="false">E5457*H5457</f>
        <v>0.5625</v>
      </c>
      <c r="Q5457" s="0" t="n">
        <f aca="false">F5457*G5457</f>
        <v>-0</v>
      </c>
      <c r="R5457" s="0" t="n">
        <f aca="false">F5457*H5457</f>
        <v>0</v>
      </c>
      <c r="S5457" s="0" t="n">
        <f aca="false">G5457*H5457</f>
        <v>-0.375</v>
      </c>
      <c r="T5457" s="0" t="n">
        <f aca="false">E5457*E5457</f>
        <v>0.5625</v>
      </c>
      <c r="U5457" s="0" t="n">
        <f aca="false">F5457*F5457</f>
        <v>0</v>
      </c>
      <c r="V5457" s="0" t="n">
        <f aca="false">G5457*G5457</f>
        <v>0.25</v>
      </c>
      <c r="W5457" s="0" t="n">
        <f aca="false">H5457*H5457</f>
        <v>0.5625</v>
      </c>
      <c r="X5457" s="0" t="n">
        <f aca="false">SUMPRODUCT(I5457:W5457,_XtX!$B$96:$P$96)</f>
        <v>47.5924342105263</v>
      </c>
      <c r="Y5457" s="0" t="n">
        <f aca="false">SUMPRODUCT(MMULT(I5457:W5457,_XtX!$B$78:$P$92),I5457:W5457)</f>
        <v>0.269923873812135</v>
      </c>
      <c r="Z5457" s="0" t="n">
        <f aca="false">04_回帰ANOVA!$K$19*04_回帰ANOVA!$K$14*SQRT(1+Y5457)</f>
        <v>1.46888310825501</v>
      </c>
      <c r="AA5457" s="0" t="n">
        <f aca="false">X5457-Z5457</f>
        <v>46.1235511022713</v>
      </c>
      <c r="AB5457" s="0" t="n">
        <f aca="false">X5457+Z5457</f>
        <v>49.0613173187813</v>
      </c>
      <c r="AC5457" s="54" t="b">
        <f aca="false">AND(E5457&gt;=01_因子設定!$L$5-0.000000001,E5457&lt;=01_因子設定!$M$5+0.000000001,F5457&gt;=01_因子設定!$L$6-0.000000001,F5457&lt;=01_因子設定!$M$6+0.000000001,G5457&gt;=01_因子設定!$L$7-0.000000001,G5457&lt;=01_因子設定!$M$7+0.000000001,H5457&gt;=01_因子設定!$L$8-0.000000001,H5457&lt;=01_因子設定!$M$8+0.000000001,IF(01_因子設定!$B$20="Box-Behnken",E5457^2+F5457^2+G5457^2+H5457^2&lt;=2+0.000000001,TRUE()))</f>
        <v>1</v>
      </c>
      <c r="AD5457" s="55" t="n">
        <f aca="false">IF(AC5457,IF(01_因子設定!$B$13="最大化",AA5457-01_因子設定!$B$14,IF(01_因子設定!$B$13="最小化",01_因子設定!$B$15-AB5457,MIN(AA5457-01_因子設定!$B$14,01_因子設定!$B$15-AB5457))),-1E+030)</f>
        <v>-0.376448897728686</v>
      </c>
      <c r="AE5457" s="55" t="n">
        <f aca="false">IF(AC5457,IF(01_因子設定!$B$13="最大化",X5457,IF(01_因子設定!$B$13="最小化",-X5457,-ABS(X5457-01_因子設定!$B$16))),-1E+030)</f>
        <v>47.5924342105263</v>
      </c>
      <c r="AF5457" s="55" t="n">
        <f aca="false">AD5457+ROW()*0.000000001</f>
        <v>-0.376443440728686</v>
      </c>
      <c r="AG5457" s="55" t="n">
        <f aca="false">AE5457+ROW()*0.000000001</f>
        <v>47.5924396675263</v>
      </c>
    </row>
    <row r="5458" customFormat="false" ht="15" hidden="false" customHeight="false" outlineLevel="0" collapsed="false">
      <c r="A5458" s="0" t="n">
        <v>7</v>
      </c>
      <c r="B5458" s="0" t="n">
        <v>4</v>
      </c>
      <c r="C5458" s="0" t="n">
        <v>2</v>
      </c>
      <c r="D5458" s="0" t="n">
        <v>8</v>
      </c>
      <c r="E5458" s="0" t="n">
        <f aca="false">-1+A5458*0.25</f>
        <v>0.75</v>
      </c>
      <c r="F5458" s="0" t="n">
        <f aca="false">-1+B5458*0.25</f>
        <v>0</v>
      </c>
      <c r="G5458" s="0" t="n">
        <f aca="false">-1+C5458*0.25</f>
        <v>-0.5</v>
      </c>
      <c r="H5458" s="0" t="n">
        <f aca="false">-1+D5458*0.25</f>
        <v>1</v>
      </c>
      <c r="I5458" s="0" t="n">
        <f aca="false">1</f>
        <v>1</v>
      </c>
      <c r="J5458" s="0" t="n">
        <f aca="false">E5458</f>
        <v>0.75</v>
      </c>
      <c r="K5458" s="0" t="n">
        <f aca="false">F5458</f>
        <v>0</v>
      </c>
      <c r="L5458" s="0" t="n">
        <f aca="false">G5458</f>
        <v>-0.5</v>
      </c>
      <c r="M5458" s="0" t="n">
        <f aca="false">H5458</f>
        <v>1</v>
      </c>
      <c r="N5458" s="0" t="n">
        <f aca="false">E5458*F5458</f>
        <v>0</v>
      </c>
      <c r="O5458" s="0" t="n">
        <f aca="false">E5458*G5458</f>
        <v>-0.375</v>
      </c>
      <c r="P5458" s="0" t="n">
        <f aca="false">E5458*H5458</f>
        <v>0.75</v>
      </c>
      <c r="Q5458" s="0" t="n">
        <f aca="false">F5458*G5458</f>
        <v>-0</v>
      </c>
      <c r="R5458" s="0" t="n">
        <f aca="false">F5458*H5458</f>
        <v>0</v>
      </c>
      <c r="S5458" s="0" t="n">
        <f aca="false">G5458*H5458</f>
        <v>-0.5</v>
      </c>
      <c r="T5458" s="0" t="n">
        <f aca="false">E5458*E5458</f>
        <v>0.5625</v>
      </c>
      <c r="U5458" s="0" t="n">
        <f aca="false">F5458*F5458</f>
        <v>0</v>
      </c>
      <c r="V5458" s="0" t="n">
        <f aca="false">G5458*G5458</f>
        <v>0.25</v>
      </c>
      <c r="W5458" s="0" t="n">
        <f aca="false">H5458*H5458</f>
        <v>1</v>
      </c>
      <c r="X5458" s="0" t="n">
        <f aca="false">SUMPRODUCT(I5458:W5458,_XtX!$B$96:$P$96)</f>
        <v>47.5139985380117</v>
      </c>
      <c r="Y5458" s="0" t="n">
        <f aca="false">SUMPRODUCT(MMULT(I5458:W5458,_XtX!$B$78:$P$92),I5458:W5458)</f>
        <v>0.476191292032164</v>
      </c>
      <c r="Z5458" s="0" t="n">
        <f aca="false">04_回帰ANOVA!$K$19*04_回帰ANOVA!$K$14*SQRT(1+Y5458)</f>
        <v>1.58368831471718</v>
      </c>
      <c r="AA5458" s="0" t="n">
        <f aca="false">X5458-Z5458</f>
        <v>45.9303102232945</v>
      </c>
      <c r="AB5458" s="0" t="n">
        <f aca="false">X5458+Z5458</f>
        <v>49.0976868527289</v>
      </c>
      <c r="AC5458" s="54" t="b">
        <f aca="false">AND(E5458&gt;=01_因子設定!$L$5-0.000000001,E5458&lt;=01_因子設定!$M$5+0.000000001,F5458&gt;=01_因子設定!$L$6-0.000000001,F5458&lt;=01_因子設定!$M$6+0.000000001,G5458&gt;=01_因子設定!$L$7-0.000000001,G5458&lt;=01_因子設定!$M$7+0.000000001,H5458&gt;=01_因子設定!$L$8-0.000000001,H5458&lt;=01_因子設定!$M$8+0.000000001,IF(01_因子設定!$B$20="Box-Behnken",E5458^2+F5458^2+G5458^2+H5458^2&lt;=2+0.000000001,TRUE()))</f>
        <v>1</v>
      </c>
      <c r="AD5458" s="55" t="n">
        <f aca="false">IF(AC5458,IF(01_因子設定!$B$13="最大化",AA5458-01_因子設定!$B$14,IF(01_因子設定!$B$13="最小化",01_因子設定!$B$15-AB5458,MIN(AA5458-01_因子設定!$B$14,01_因子設定!$B$15-AB5458))),-1E+030)</f>
        <v>-0.569689776705459</v>
      </c>
      <c r="AE5458" s="55" t="n">
        <f aca="false">IF(AC5458,IF(01_因子設定!$B$13="最大化",X5458,IF(01_因子設定!$B$13="最小化",-X5458,-ABS(X5458-01_因子設定!$B$16))),-1E+030)</f>
        <v>47.5139985380117</v>
      </c>
      <c r="AF5458" s="55" t="n">
        <f aca="false">AD5458+ROW()*0.000000001</f>
        <v>-0.569684318705459</v>
      </c>
      <c r="AG5458" s="55" t="n">
        <f aca="false">AE5458+ROW()*0.000000001</f>
        <v>47.5140039960117</v>
      </c>
    </row>
    <row r="5459" customFormat="false" ht="15" hidden="false" customHeight="false" outlineLevel="0" collapsed="false">
      <c r="A5459" s="0" t="n">
        <v>7</v>
      </c>
      <c r="B5459" s="0" t="n">
        <v>4</v>
      </c>
      <c r="C5459" s="0" t="n">
        <v>3</v>
      </c>
      <c r="D5459" s="0" t="n">
        <v>0</v>
      </c>
      <c r="E5459" s="0" t="n">
        <f aca="false">-1+A5459*0.25</f>
        <v>0.75</v>
      </c>
      <c r="F5459" s="0" t="n">
        <f aca="false">-1+B5459*0.25</f>
        <v>0</v>
      </c>
      <c r="G5459" s="0" t="n">
        <f aca="false">-1+C5459*0.25</f>
        <v>-0.25</v>
      </c>
      <c r="H5459" s="0" t="n">
        <f aca="false">-1+D5459*0.25</f>
        <v>-1</v>
      </c>
      <c r="I5459" s="0" t="n">
        <f aca="false">1</f>
        <v>1</v>
      </c>
      <c r="J5459" s="0" t="n">
        <f aca="false">E5459</f>
        <v>0.75</v>
      </c>
      <c r="K5459" s="0" t="n">
        <f aca="false">F5459</f>
        <v>0</v>
      </c>
      <c r="L5459" s="0" t="n">
        <f aca="false">G5459</f>
        <v>-0.25</v>
      </c>
      <c r="M5459" s="0" t="n">
        <f aca="false">H5459</f>
        <v>-1</v>
      </c>
      <c r="N5459" s="0" t="n">
        <f aca="false">E5459*F5459</f>
        <v>0</v>
      </c>
      <c r="O5459" s="0" t="n">
        <f aca="false">E5459*G5459</f>
        <v>-0.1875</v>
      </c>
      <c r="P5459" s="0" t="n">
        <f aca="false">E5459*H5459</f>
        <v>-0.75</v>
      </c>
      <c r="Q5459" s="0" t="n">
        <f aca="false">F5459*G5459</f>
        <v>-0</v>
      </c>
      <c r="R5459" s="0" t="n">
        <f aca="false">F5459*H5459</f>
        <v>-0</v>
      </c>
      <c r="S5459" s="0" t="n">
        <f aca="false">G5459*H5459</f>
        <v>0.25</v>
      </c>
      <c r="T5459" s="0" t="n">
        <f aca="false">E5459*E5459</f>
        <v>0.5625</v>
      </c>
      <c r="U5459" s="0" t="n">
        <f aca="false">F5459*F5459</f>
        <v>0</v>
      </c>
      <c r="V5459" s="0" t="n">
        <f aca="false">G5459*G5459</f>
        <v>0.0625</v>
      </c>
      <c r="W5459" s="0" t="n">
        <f aca="false">H5459*H5459</f>
        <v>1</v>
      </c>
      <c r="X5459" s="0" t="n">
        <f aca="false">SUMPRODUCT(I5459:W5459,_XtX!$B$96:$P$96)</f>
        <v>46.9829312865497</v>
      </c>
      <c r="Y5459" s="0" t="n">
        <f aca="false">SUMPRODUCT(MMULT(I5459:W5459,_XtX!$B$78:$P$92),I5459:W5459)</f>
        <v>0.501534802174708</v>
      </c>
      <c r="Z5459" s="0" t="n">
        <f aca="false">04_回帰ANOVA!$K$19*04_回帰ANOVA!$K$14*SQRT(1+Y5459)</f>
        <v>1.59722498091333</v>
      </c>
      <c r="AA5459" s="0" t="n">
        <f aca="false">X5459-Z5459</f>
        <v>45.3857063056364</v>
      </c>
      <c r="AB5459" s="0" t="n">
        <f aca="false">X5459+Z5459</f>
        <v>48.5801562674631</v>
      </c>
      <c r="AC5459" s="54" t="b">
        <f aca="false">AND(E5459&gt;=01_因子設定!$L$5-0.000000001,E5459&lt;=01_因子設定!$M$5+0.000000001,F5459&gt;=01_因子設定!$L$6-0.000000001,F5459&lt;=01_因子設定!$M$6+0.000000001,G5459&gt;=01_因子設定!$L$7-0.000000001,G5459&lt;=01_因子設定!$M$7+0.000000001,H5459&gt;=01_因子設定!$L$8-0.000000001,H5459&lt;=01_因子設定!$M$8+0.000000001,IF(01_因子設定!$B$20="Box-Behnken",E5459^2+F5459^2+G5459^2+H5459^2&lt;=2+0.000000001,TRUE()))</f>
        <v>1</v>
      </c>
      <c r="AD5459" s="55" t="n">
        <f aca="false">IF(AC5459,IF(01_因子設定!$B$13="最大化",AA5459-01_因子設定!$B$14,IF(01_因子設定!$B$13="最小化",01_因子設定!$B$15-AB5459,MIN(AA5459-01_因子設定!$B$14,01_因子設定!$B$15-AB5459))),-1E+030)</f>
        <v>-1.1142936943636</v>
      </c>
      <c r="AE5459" s="55" t="n">
        <f aca="false">IF(AC5459,IF(01_因子設定!$B$13="最大化",X5459,IF(01_因子設定!$B$13="最小化",-X5459,-ABS(X5459-01_因子設定!$B$16))),-1E+030)</f>
        <v>46.9829312865497</v>
      </c>
      <c r="AF5459" s="55" t="n">
        <f aca="false">AD5459+ROW()*0.000000001</f>
        <v>-1.1142882353636</v>
      </c>
      <c r="AG5459" s="55" t="n">
        <f aca="false">AE5459+ROW()*0.000000001</f>
        <v>46.9829367455497</v>
      </c>
    </row>
    <row r="5460" customFormat="false" ht="15" hidden="false" customHeight="false" outlineLevel="0" collapsed="false">
      <c r="A5460" s="0" t="n">
        <v>7</v>
      </c>
      <c r="B5460" s="0" t="n">
        <v>4</v>
      </c>
      <c r="C5460" s="0" t="n">
        <v>3</v>
      </c>
      <c r="D5460" s="0" t="n">
        <v>1</v>
      </c>
      <c r="E5460" s="0" t="n">
        <f aca="false">-1+A5460*0.25</f>
        <v>0.75</v>
      </c>
      <c r="F5460" s="0" t="n">
        <f aca="false">-1+B5460*0.25</f>
        <v>0</v>
      </c>
      <c r="G5460" s="0" t="n">
        <f aca="false">-1+C5460*0.25</f>
        <v>-0.25</v>
      </c>
      <c r="H5460" s="0" t="n">
        <f aca="false">-1+D5460*0.25</f>
        <v>-0.75</v>
      </c>
      <c r="I5460" s="0" t="n">
        <f aca="false">1</f>
        <v>1</v>
      </c>
      <c r="J5460" s="0" t="n">
        <f aca="false">E5460</f>
        <v>0.75</v>
      </c>
      <c r="K5460" s="0" t="n">
        <f aca="false">F5460</f>
        <v>0</v>
      </c>
      <c r="L5460" s="0" t="n">
        <f aca="false">G5460</f>
        <v>-0.25</v>
      </c>
      <c r="M5460" s="0" t="n">
        <f aca="false">H5460</f>
        <v>-0.75</v>
      </c>
      <c r="N5460" s="0" t="n">
        <f aca="false">E5460*F5460</f>
        <v>0</v>
      </c>
      <c r="O5460" s="0" t="n">
        <f aca="false">E5460*G5460</f>
        <v>-0.1875</v>
      </c>
      <c r="P5460" s="0" t="n">
        <f aca="false">E5460*H5460</f>
        <v>-0.5625</v>
      </c>
      <c r="Q5460" s="0" t="n">
        <f aca="false">F5460*G5460</f>
        <v>-0</v>
      </c>
      <c r="R5460" s="0" t="n">
        <f aca="false">F5460*H5460</f>
        <v>-0</v>
      </c>
      <c r="S5460" s="0" t="n">
        <f aca="false">G5460*H5460</f>
        <v>0.1875</v>
      </c>
      <c r="T5460" s="0" t="n">
        <f aca="false">E5460*E5460</f>
        <v>0.5625</v>
      </c>
      <c r="U5460" s="0" t="n">
        <f aca="false">F5460*F5460</f>
        <v>0</v>
      </c>
      <c r="V5460" s="0" t="n">
        <f aca="false">G5460*G5460</f>
        <v>0.0625</v>
      </c>
      <c r="W5460" s="0" t="n">
        <f aca="false">H5460*H5460</f>
        <v>0.5625</v>
      </c>
      <c r="X5460" s="0" t="n">
        <f aca="false">SUMPRODUCT(I5460:W5460,_XtX!$B$96:$P$96)</f>
        <v>47.2571134868421</v>
      </c>
      <c r="Y5460" s="0" t="n">
        <f aca="false">SUMPRODUCT(MMULT(I5460:W5460,_XtX!$B$78:$P$92),I5460:W5460)</f>
        <v>0.281685455500731</v>
      </c>
      <c r="Z5460" s="0" t="n">
        <f aca="false">04_回帰ANOVA!$K$19*04_回帰ANOVA!$K$14*SQRT(1+Y5460)</f>
        <v>1.47566956658694</v>
      </c>
      <c r="AA5460" s="0" t="n">
        <f aca="false">X5460-Z5460</f>
        <v>45.7814439202552</v>
      </c>
      <c r="AB5460" s="0" t="n">
        <f aca="false">X5460+Z5460</f>
        <v>48.732783053429</v>
      </c>
      <c r="AC5460" s="54" t="b">
        <f aca="false">AND(E5460&gt;=01_因子設定!$L$5-0.000000001,E5460&lt;=01_因子設定!$M$5+0.000000001,F5460&gt;=01_因子設定!$L$6-0.000000001,F5460&lt;=01_因子設定!$M$6+0.000000001,G5460&gt;=01_因子設定!$L$7-0.000000001,G5460&lt;=01_因子設定!$M$7+0.000000001,H5460&gt;=01_因子設定!$L$8-0.000000001,H5460&lt;=01_因子設定!$M$8+0.000000001,IF(01_因子設定!$B$20="Box-Behnken",E5460^2+F5460^2+G5460^2+H5460^2&lt;=2+0.000000001,TRUE()))</f>
        <v>1</v>
      </c>
      <c r="AD5460" s="55" t="n">
        <f aca="false">IF(AC5460,IF(01_因子設定!$B$13="最大化",AA5460-01_因子設定!$B$14,IF(01_因子設定!$B$13="最小化",01_因子設定!$B$15-AB5460,MIN(AA5460-01_因子設定!$B$14,01_因子設定!$B$15-AB5460))),-1E+030)</f>
        <v>-0.718556079744829</v>
      </c>
      <c r="AE5460" s="55" t="n">
        <f aca="false">IF(AC5460,IF(01_因子設定!$B$13="最大化",X5460,IF(01_因子設定!$B$13="最小化",-X5460,-ABS(X5460-01_因子設定!$B$16))),-1E+030)</f>
        <v>47.2571134868421</v>
      </c>
      <c r="AF5460" s="55" t="n">
        <f aca="false">AD5460+ROW()*0.000000001</f>
        <v>-0.718550619744829</v>
      </c>
      <c r="AG5460" s="55" t="n">
        <f aca="false">AE5460+ROW()*0.000000001</f>
        <v>47.2571189468421</v>
      </c>
    </row>
    <row r="5461" customFormat="false" ht="15" hidden="false" customHeight="false" outlineLevel="0" collapsed="false">
      <c r="A5461" s="0" t="n">
        <v>7</v>
      </c>
      <c r="B5461" s="0" t="n">
        <v>4</v>
      </c>
      <c r="C5461" s="0" t="n">
        <v>3</v>
      </c>
      <c r="D5461" s="0" t="n">
        <v>2</v>
      </c>
      <c r="E5461" s="0" t="n">
        <f aca="false">-1+A5461*0.25</f>
        <v>0.75</v>
      </c>
      <c r="F5461" s="0" t="n">
        <f aca="false">-1+B5461*0.25</f>
        <v>0</v>
      </c>
      <c r="G5461" s="0" t="n">
        <f aca="false">-1+C5461*0.25</f>
        <v>-0.25</v>
      </c>
      <c r="H5461" s="0" t="n">
        <f aca="false">-1+D5461*0.25</f>
        <v>-0.5</v>
      </c>
      <c r="I5461" s="0" t="n">
        <f aca="false">1</f>
        <v>1</v>
      </c>
      <c r="J5461" s="0" t="n">
        <f aca="false">E5461</f>
        <v>0.75</v>
      </c>
      <c r="K5461" s="0" t="n">
        <f aca="false">F5461</f>
        <v>0</v>
      </c>
      <c r="L5461" s="0" t="n">
        <f aca="false">G5461</f>
        <v>-0.25</v>
      </c>
      <c r="M5461" s="0" t="n">
        <f aca="false">H5461</f>
        <v>-0.5</v>
      </c>
      <c r="N5461" s="0" t="n">
        <f aca="false">E5461*F5461</f>
        <v>0</v>
      </c>
      <c r="O5461" s="0" t="n">
        <f aca="false">E5461*G5461</f>
        <v>-0.1875</v>
      </c>
      <c r="P5461" s="0" t="n">
        <f aca="false">E5461*H5461</f>
        <v>-0.375</v>
      </c>
      <c r="Q5461" s="0" t="n">
        <f aca="false">F5461*G5461</f>
        <v>-0</v>
      </c>
      <c r="R5461" s="0" t="n">
        <f aca="false">F5461*H5461</f>
        <v>-0</v>
      </c>
      <c r="S5461" s="0" t="n">
        <f aca="false">G5461*H5461</f>
        <v>0.125</v>
      </c>
      <c r="T5461" s="0" t="n">
        <f aca="false">E5461*E5461</f>
        <v>0.5625</v>
      </c>
      <c r="U5461" s="0" t="n">
        <f aca="false">F5461*F5461</f>
        <v>0</v>
      </c>
      <c r="V5461" s="0" t="n">
        <f aca="false">G5461*G5461</f>
        <v>0.0625</v>
      </c>
      <c r="W5461" s="0" t="n">
        <f aca="false">H5461*H5461</f>
        <v>0.25</v>
      </c>
      <c r="X5461" s="0" t="n">
        <f aca="false">SUMPRODUCT(I5461:W5461,_XtX!$B$96:$P$96)</f>
        <v>47.4834886695906</v>
      </c>
      <c r="Y5461" s="0" t="n">
        <f aca="false">SUMPRODUCT(MMULT(I5461:W5461,_XtX!$B$78:$P$92),I5461:W5461)</f>
        <v>0.215110734192252</v>
      </c>
      <c r="Z5461" s="0" t="n">
        <f aca="false">04_回帰ANOVA!$K$19*04_回帰ANOVA!$K$14*SQRT(1+Y5461)</f>
        <v>1.43683309086864</v>
      </c>
      <c r="AA5461" s="0" t="n">
        <f aca="false">X5461-Z5461</f>
        <v>46.046655578722</v>
      </c>
      <c r="AB5461" s="0" t="n">
        <f aca="false">X5461+Z5461</f>
        <v>48.9203217604593</v>
      </c>
      <c r="AC5461" s="54" t="b">
        <f aca="false">AND(E5461&gt;=01_因子設定!$L$5-0.000000001,E5461&lt;=01_因子設定!$M$5+0.000000001,F5461&gt;=01_因子設定!$L$6-0.000000001,F5461&lt;=01_因子設定!$M$6+0.000000001,G5461&gt;=01_因子設定!$L$7-0.000000001,G5461&lt;=01_因子設定!$M$7+0.000000001,H5461&gt;=01_因子設定!$L$8-0.000000001,H5461&lt;=01_因子設定!$M$8+0.000000001,IF(01_因子設定!$B$20="Box-Behnken",E5461^2+F5461^2+G5461^2+H5461^2&lt;=2+0.000000001,TRUE()))</f>
        <v>1</v>
      </c>
      <c r="AD5461" s="55" t="n">
        <f aca="false">IF(AC5461,IF(01_因子設定!$B$13="最大化",AA5461-01_因子設定!$B$14,IF(01_因子設定!$B$13="最小化",01_因子設定!$B$15-AB5461,MIN(AA5461-01_因子設定!$B$14,01_因子設定!$B$15-AB5461))),-1E+030)</f>
        <v>-0.453344421278011</v>
      </c>
      <c r="AE5461" s="55" t="n">
        <f aca="false">IF(AC5461,IF(01_因子設定!$B$13="最大化",X5461,IF(01_因子設定!$B$13="最小化",-X5461,-ABS(X5461-01_因子設定!$B$16))),-1E+030)</f>
        <v>47.4834886695906</v>
      </c>
      <c r="AF5461" s="55" t="n">
        <f aca="false">AD5461+ROW()*0.000000001</f>
        <v>-0.453338960278011</v>
      </c>
      <c r="AG5461" s="55" t="n">
        <f aca="false">AE5461+ROW()*0.000000001</f>
        <v>47.4834941305906</v>
      </c>
    </row>
    <row r="5462" customFormat="false" ht="15" hidden="false" customHeight="false" outlineLevel="0" collapsed="false">
      <c r="A5462" s="0" t="n">
        <v>7</v>
      </c>
      <c r="B5462" s="0" t="n">
        <v>4</v>
      </c>
      <c r="C5462" s="0" t="n">
        <v>3</v>
      </c>
      <c r="D5462" s="0" t="n">
        <v>3</v>
      </c>
      <c r="E5462" s="0" t="n">
        <f aca="false">-1+A5462*0.25</f>
        <v>0.75</v>
      </c>
      <c r="F5462" s="0" t="n">
        <f aca="false">-1+B5462*0.25</f>
        <v>0</v>
      </c>
      <c r="G5462" s="0" t="n">
        <f aca="false">-1+C5462*0.25</f>
        <v>-0.25</v>
      </c>
      <c r="H5462" s="0" t="n">
        <f aca="false">-1+D5462*0.25</f>
        <v>-0.25</v>
      </c>
      <c r="I5462" s="0" t="n">
        <f aca="false">1</f>
        <v>1</v>
      </c>
      <c r="J5462" s="0" t="n">
        <f aca="false">E5462</f>
        <v>0.75</v>
      </c>
      <c r="K5462" s="0" t="n">
        <f aca="false">F5462</f>
        <v>0</v>
      </c>
      <c r="L5462" s="0" t="n">
        <f aca="false">G5462</f>
        <v>-0.25</v>
      </c>
      <c r="M5462" s="0" t="n">
        <f aca="false">H5462</f>
        <v>-0.25</v>
      </c>
      <c r="N5462" s="0" t="n">
        <f aca="false">E5462*F5462</f>
        <v>0</v>
      </c>
      <c r="O5462" s="0" t="n">
        <f aca="false">E5462*G5462</f>
        <v>-0.1875</v>
      </c>
      <c r="P5462" s="0" t="n">
        <f aca="false">E5462*H5462</f>
        <v>-0.1875</v>
      </c>
      <c r="Q5462" s="0" t="n">
        <f aca="false">F5462*G5462</f>
        <v>-0</v>
      </c>
      <c r="R5462" s="0" t="n">
        <f aca="false">F5462*H5462</f>
        <v>-0</v>
      </c>
      <c r="S5462" s="0" t="n">
        <f aca="false">G5462*H5462</f>
        <v>0.0625</v>
      </c>
      <c r="T5462" s="0" t="n">
        <f aca="false">E5462*E5462</f>
        <v>0.5625</v>
      </c>
      <c r="U5462" s="0" t="n">
        <f aca="false">F5462*F5462</f>
        <v>0</v>
      </c>
      <c r="V5462" s="0" t="n">
        <f aca="false">G5462*G5462</f>
        <v>0.0625</v>
      </c>
      <c r="W5462" s="0" t="n">
        <f aca="false">H5462*H5462</f>
        <v>0.0625</v>
      </c>
      <c r="X5462" s="0" t="n">
        <f aca="false">SUMPRODUCT(I5462:W5462,_XtX!$B$96:$P$96)</f>
        <v>47.6620568347953</v>
      </c>
      <c r="Y5462" s="0" t="n">
        <f aca="false">SUMPRODUCT(MMULT(I5462:W5462,_XtX!$B$78:$P$92),I5462:W5462)</f>
        <v>0.21135011193348</v>
      </c>
      <c r="Z5462" s="0" t="n">
        <f aca="false">04_回帰ANOVA!$K$19*04_回帰ANOVA!$K$14*SQRT(1+Y5462)</f>
        <v>1.43460795469709</v>
      </c>
      <c r="AA5462" s="0" t="n">
        <f aca="false">X5462-Z5462</f>
        <v>46.2274488800982</v>
      </c>
      <c r="AB5462" s="0" t="n">
        <f aca="false">X5462+Z5462</f>
        <v>49.0966647894924</v>
      </c>
      <c r="AC5462" s="54" t="b">
        <f aca="false">AND(E5462&gt;=01_因子設定!$L$5-0.000000001,E5462&lt;=01_因子設定!$M$5+0.000000001,F5462&gt;=01_因子設定!$L$6-0.000000001,F5462&lt;=01_因子設定!$M$6+0.000000001,G5462&gt;=01_因子設定!$L$7-0.000000001,G5462&lt;=01_因子設定!$M$7+0.000000001,H5462&gt;=01_因子設定!$L$8-0.000000001,H5462&lt;=01_因子設定!$M$8+0.000000001,IF(01_因子設定!$B$20="Box-Behnken",E5462^2+F5462^2+G5462^2+H5462^2&lt;=2+0.000000001,TRUE()))</f>
        <v>1</v>
      </c>
      <c r="AD5462" s="55" t="n">
        <f aca="false">IF(AC5462,IF(01_因子設定!$B$13="最大化",AA5462-01_因子設定!$B$14,IF(01_因子設定!$B$13="最小化",01_因子設定!$B$15-AB5462,MIN(AA5462-01_因子設定!$B$14,01_因子設定!$B$15-AB5462))),-1E+030)</f>
        <v>-0.272551119901777</v>
      </c>
      <c r="AE5462" s="55" t="n">
        <f aca="false">IF(AC5462,IF(01_因子設定!$B$13="最大化",X5462,IF(01_因子設定!$B$13="最小化",-X5462,-ABS(X5462-01_因子設定!$B$16))),-1E+030)</f>
        <v>47.6620568347953</v>
      </c>
      <c r="AF5462" s="55" t="n">
        <f aca="false">AD5462+ROW()*0.000000001</f>
        <v>-0.272545657901777</v>
      </c>
      <c r="AG5462" s="55" t="n">
        <f aca="false">AE5462+ROW()*0.000000001</f>
        <v>47.6620622967953</v>
      </c>
    </row>
    <row r="5463" customFormat="false" ht="15" hidden="false" customHeight="false" outlineLevel="0" collapsed="false">
      <c r="A5463" s="0" t="n">
        <v>7</v>
      </c>
      <c r="B5463" s="0" t="n">
        <v>4</v>
      </c>
      <c r="C5463" s="0" t="n">
        <v>3</v>
      </c>
      <c r="D5463" s="0" t="n">
        <v>4</v>
      </c>
      <c r="E5463" s="0" t="n">
        <f aca="false">-1+A5463*0.25</f>
        <v>0.75</v>
      </c>
      <c r="F5463" s="0" t="n">
        <f aca="false">-1+B5463*0.25</f>
        <v>0</v>
      </c>
      <c r="G5463" s="0" t="n">
        <f aca="false">-1+C5463*0.25</f>
        <v>-0.25</v>
      </c>
      <c r="H5463" s="0" t="n">
        <f aca="false">-1+D5463*0.25</f>
        <v>0</v>
      </c>
      <c r="I5463" s="0" t="n">
        <f aca="false">1</f>
        <v>1</v>
      </c>
      <c r="J5463" s="0" t="n">
        <f aca="false">E5463</f>
        <v>0.75</v>
      </c>
      <c r="K5463" s="0" t="n">
        <f aca="false">F5463</f>
        <v>0</v>
      </c>
      <c r="L5463" s="0" t="n">
        <f aca="false">G5463</f>
        <v>-0.25</v>
      </c>
      <c r="M5463" s="0" t="n">
        <f aca="false">H5463</f>
        <v>0</v>
      </c>
      <c r="N5463" s="0" t="n">
        <f aca="false">E5463*F5463</f>
        <v>0</v>
      </c>
      <c r="O5463" s="0" t="n">
        <f aca="false">E5463*G5463</f>
        <v>-0.1875</v>
      </c>
      <c r="P5463" s="0" t="n">
        <f aca="false">E5463*H5463</f>
        <v>0</v>
      </c>
      <c r="Q5463" s="0" t="n">
        <f aca="false">F5463*G5463</f>
        <v>-0</v>
      </c>
      <c r="R5463" s="0" t="n">
        <f aca="false">F5463*H5463</f>
        <v>0</v>
      </c>
      <c r="S5463" s="0" t="n">
        <f aca="false">G5463*H5463</f>
        <v>-0</v>
      </c>
      <c r="T5463" s="0" t="n">
        <f aca="false">E5463*E5463</f>
        <v>0.5625</v>
      </c>
      <c r="U5463" s="0" t="n">
        <f aca="false">F5463*F5463</f>
        <v>0</v>
      </c>
      <c r="V5463" s="0" t="n">
        <f aca="false">G5463*G5463</f>
        <v>0.0625</v>
      </c>
      <c r="W5463" s="0" t="n">
        <f aca="false">H5463*H5463</f>
        <v>0</v>
      </c>
      <c r="X5463" s="0" t="n">
        <f aca="false">SUMPRODUCT(I5463:W5463,_XtX!$B$96:$P$96)</f>
        <v>47.7928179824561</v>
      </c>
      <c r="Y5463" s="0" t="n">
        <f aca="false">SUMPRODUCT(MMULT(I5463:W5463,_XtX!$B$78:$P$92),I5463:W5463)</f>
        <v>0.216127272934942</v>
      </c>
      <c r="Z5463" s="0" t="n">
        <f aca="false">04_回帰ANOVA!$K$19*04_回帰ANOVA!$K$14*SQRT(1+Y5463)</f>
        <v>1.43743397896608</v>
      </c>
      <c r="AA5463" s="0" t="n">
        <f aca="false">X5463-Z5463</f>
        <v>46.3553840034901</v>
      </c>
      <c r="AB5463" s="0" t="n">
        <f aca="false">X5463+Z5463</f>
        <v>49.2302519614222</v>
      </c>
      <c r="AC5463" s="54" t="b">
        <f aca="false">AND(E5463&gt;=01_因子設定!$L$5-0.000000001,E5463&lt;=01_因子設定!$M$5+0.000000001,F5463&gt;=01_因子設定!$L$6-0.000000001,F5463&lt;=01_因子設定!$M$6+0.000000001,G5463&gt;=01_因子設定!$L$7-0.000000001,G5463&lt;=01_因子設定!$M$7+0.000000001,H5463&gt;=01_因子設定!$L$8-0.000000001,H5463&lt;=01_因子設定!$M$8+0.000000001,IF(01_因子設定!$B$20="Box-Behnken",E5463^2+F5463^2+G5463^2+H5463^2&lt;=2+0.000000001,TRUE()))</f>
        <v>1</v>
      </c>
      <c r="AD5463" s="55" t="n">
        <f aca="false">IF(AC5463,IF(01_因子設定!$B$13="最大化",AA5463-01_因子設定!$B$14,IF(01_因子設定!$B$13="最小化",01_因子設定!$B$15-AB5463,MIN(AA5463-01_因子設定!$B$14,01_因子設定!$B$15-AB5463))),-1E+030)</f>
        <v>-0.144615996509948</v>
      </c>
      <c r="AE5463" s="55" t="n">
        <f aca="false">IF(AC5463,IF(01_因子設定!$B$13="最大化",X5463,IF(01_因子設定!$B$13="最小化",-X5463,-ABS(X5463-01_因子設定!$B$16))),-1E+030)</f>
        <v>47.7928179824561</v>
      </c>
      <c r="AF5463" s="55" t="n">
        <f aca="false">AD5463+ROW()*0.000000001</f>
        <v>-0.144610533509948</v>
      </c>
      <c r="AG5463" s="55" t="n">
        <f aca="false">AE5463+ROW()*0.000000001</f>
        <v>47.7928234454561</v>
      </c>
    </row>
    <row r="5464" customFormat="false" ht="15" hidden="false" customHeight="false" outlineLevel="0" collapsed="false">
      <c r="A5464" s="0" t="n">
        <v>7</v>
      </c>
      <c r="B5464" s="0" t="n">
        <v>4</v>
      </c>
      <c r="C5464" s="0" t="n">
        <v>3</v>
      </c>
      <c r="D5464" s="0" t="n">
        <v>5</v>
      </c>
      <c r="E5464" s="0" t="n">
        <f aca="false">-1+A5464*0.25</f>
        <v>0.75</v>
      </c>
      <c r="F5464" s="0" t="n">
        <f aca="false">-1+B5464*0.25</f>
        <v>0</v>
      </c>
      <c r="G5464" s="0" t="n">
        <f aca="false">-1+C5464*0.25</f>
        <v>-0.25</v>
      </c>
      <c r="H5464" s="0" t="n">
        <f aca="false">-1+D5464*0.25</f>
        <v>0.25</v>
      </c>
      <c r="I5464" s="0" t="n">
        <f aca="false">1</f>
        <v>1</v>
      </c>
      <c r="J5464" s="0" t="n">
        <f aca="false">E5464</f>
        <v>0.75</v>
      </c>
      <c r="K5464" s="0" t="n">
        <f aca="false">F5464</f>
        <v>0</v>
      </c>
      <c r="L5464" s="0" t="n">
        <f aca="false">G5464</f>
        <v>-0.25</v>
      </c>
      <c r="M5464" s="0" t="n">
        <f aca="false">H5464</f>
        <v>0.25</v>
      </c>
      <c r="N5464" s="0" t="n">
        <f aca="false">E5464*F5464</f>
        <v>0</v>
      </c>
      <c r="O5464" s="0" t="n">
        <f aca="false">E5464*G5464</f>
        <v>-0.1875</v>
      </c>
      <c r="P5464" s="0" t="n">
        <f aca="false">E5464*H5464</f>
        <v>0.1875</v>
      </c>
      <c r="Q5464" s="0" t="n">
        <f aca="false">F5464*G5464</f>
        <v>-0</v>
      </c>
      <c r="R5464" s="0" t="n">
        <f aca="false">F5464*H5464</f>
        <v>0</v>
      </c>
      <c r="S5464" s="0" t="n">
        <f aca="false">G5464*H5464</f>
        <v>-0.0625</v>
      </c>
      <c r="T5464" s="0" t="n">
        <f aca="false">E5464*E5464</f>
        <v>0.5625</v>
      </c>
      <c r="U5464" s="0" t="n">
        <f aca="false">F5464*F5464</f>
        <v>0</v>
      </c>
      <c r="V5464" s="0" t="n">
        <f aca="false">G5464*G5464</f>
        <v>0.0625</v>
      </c>
      <c r="W5464" s="0" t="n">
        <f aca="false">H5464*H5464</f>
        <v>0.0625</v>
      </c>
      <c r="X5464" s="0" t="n">
        <f aca="false">SUMPRODUCT(I5464:W5464,_XtX!$B$96:$P$96)</f>
        <v>47.8757721125731</v>
      </c>
      <c r="Y5464" s="0" t="n">
        <f aca="false">SUMPRODUCT(MMULT(I5464:W5464,_XtX!$B$78:$P$92),I5464:W5464)</f>
        <v>0.21135011193348</v>
      </c>
      <c r="Z5464" s="0" t="n">
        <f aca="false">04_回帰ANOVA!$K$19*04_回帰ANOVA!$K$14*SQRT(1+Y5464)</f>
        <v>1.43460795469709</v>
      </c>
      <c r="AA5464" s="0" t="n">
        <f aca="false">X5464-Z5464</f>
        <v>46.441164157876</v>
      </c>
      <c r="AB5464" s="0" t="n">
        <f aca="false">X5464+Z5464</f>
        <v>49.3103800672702</v>
      </c>
      <c r="AC5464" s="54" t="b">
        <f aca="false">AND(E5464&gt;=01_因子設定!$L$5-0.000000001,E5464&lt;=01_因子設定!$M$5+0.000000001,F5464&gt;=01_因子設定!$L$6-0.000000001,F5464&lt;=01_因子設定!$M$6+0.000000001,G5464&gt;=01_因子設定!$L$7-0.000000001,G5464&lt;=01_因子設定!$M$7+0.000000001,H5464&gt;=01_因子設定!$L$8-0.000000001,H5464&lt;=01_因子設定!$M$8+0.000000001,IF(01_因子設定!$B$20="Box-Behnken",E5464^2+F5464^2+G5464^2+H5464^2&lt;=2+0.000000001,TRUE()))</f>
        <v>1</v>
      </c>
      <c r="AD5464" s="55" t="n">
        <f aca="false">IF(AC5464,IF(01_因子設定!$B$13="最大化",AA5464-01_因子設定!$B$14,IF(01_因子設定!$B$13="最小化",01_因子設定!$B$15-AB5464,MIN(AA5464-01_因子設定!$B$14,01_因子設定!$B$15-AB5464))),-1E+030)</f>
        <v>-0.0588358421239974</v>
      </c>
      <c r="AE5464" s="55" t="n">
        <f aca="false">IF(AC5464,IF(01_因子設定!$B$13="最大化",X5464,IF(01_因子設定!$B$13="最小化",-X5464,-ABS(X5464-01_因子設定!$B$16))),-1E+030)</f>
        <v>47.8757721125731</v>
      </c>
      <c r="AF5464" s="55" t="n">
        <f aca="false">AD5464+ROW()*0.000000001</f>
        <v>-0.0588303781239974</v>
      </c>
      <c r="AG5464" s="55" t="n">
        <f aca="false">AE5464+ROW()*0.000000001</f>
        <v>47.8757775765731</v>
      </c>
    </row>
    <row r="5465" customFormat="false" ht="15" hidden="false" customHeight="false" outlineLevel="0" collapsed="false">
      <c r="A5465" s="0" t="n">
        <v>7</v>
      </c>
      <c r="B5465" s="0" t="n">
        <v>4</v>
      </c>
      <c r="C5465" s="0" t="n">
        <v>3</v>
      </c>
      <c r="D5465" s="0" t="n">
        <v>6</v>
      </c>
      <c r="E5465" s="0" t="n">
        <f aca="false">-1+A5465*0.25</f>
        <v>0.75</v>
      </c>
      <c r="F5465" s="0" t="n">
        <f aca="false">-1+B5465*0.25</f>
        <v>0</v>
      </c>
      <c r="G5465" s="0" t="n">
        <f aca="false">-1+C5465*0.25</f>
        <v>-0.25</v>
      </c>
      <c r="H5465" s="0" t="n">
        <f aca="false">-1+D5465*0.25</f>
        <v>0.5</v>
      </c>
      <c r="I5465" s="0" t="n">
        <f aca="false">1</f>
        <v>1</v>
      </c>
      <c r="J5465" s="0" t="n">
        <f aca="false">E5465</f>
        <v>0.75</v>
      </c>
      <c r="K5465" s="0" t="n">
        <f aca="false">F5465</f>
        <v>0</v>
      </c>
      <c r="L5465" s="0" t="n">
        <f aca="false">G5465</f>
        <v>-0.25</v>
      </c>
      <c r="M5465" s="0" t="n">
        <f aca="false">H5465</f>
        <v>0.5</v>
      </c>
      <c r="N5465" s="0" t="n">
        <f aca="false">E5465*F5465</f>
        <v>0</v>
      </c>
      <c r="O5465" s="0" t="n">
        <f aca="false">E5465*G5465</f>
        <v>-0.1875</v>
      </c>
      <c r="P5465" s="0" t="n">
        <f aca="false">E5465*H5465</f>
        <v>0.375</v>
      </c>
      <c r="Q5465" s="0" t="n">
        <f aca="false">F5465*G5465</f>
        <v>-0</v>
      </c>
      <c r="R5465" s="0" t="n">
        <f aca="false">F5465*H5465</f>
        <v>0</v>
      </c>
      <c r="S5465" s="0" t="n">
        <f aca="false">G5465*H5465</f>
        <v>-0.125</v>
      </c>
      <c r="T5465" s="0" t="n">
        <f aca="false">E5465*E5465</f>
        <v>0.5625</v>
      </c>
      <c r="U5465" s="0" t="n">
        <f aca="false">F5465*F5465</f>
        <v>0</v>
      </c>
      <c r="V5465" s="0" t="n">
        <f aca="false">G5465*G5465</f>
        <v>0.0625</v>
      </c>
      <c r="W5465" s="0" t="n">
        <f aca="false">H5465*H5465</f>
        <v>0.25</v>
      </c>
      <c r="X5465" s="0" t="n">
        <f aca="false">SUMPRODUCT(I5465:W5465,_XtX!$B$96:$P$96)</f>
        <v>47.9109192251462</v>
      </c>
      <c r="Y5465" s="0" t="n">
        <f aca="false">SUMPRODUCT(MMULT(I5465:W5465,_XtX!$B$78:$P$92),I5465:W5465)</f>
        <v>0.215110734192252</v>
      </c>
      <c r="Z5465" s="0" t="n">
        <f aca="false">04_回帰ANOVA!$K$19*04_回帰ANOVA!$K$14*SQRT(1+Y5465)</f>
        <v>1.43683309086864</v>
      </c>
      <c r="AA5465" s="0" t="n">
        <f aca="false">X5465-Z5465</f>
        <v>46.4740861342776</v>
      </c>
      <c r="AB5465" s="0" t="n">
        <f aca="false">X5465+Z5465</f>
        <v>49.3477523160148</v>
      </c>
      <c r="AC5465" s="54" t="b">
        <f aca="false">AND(E5465&gt;=01_因子設定!$L$5-0.000000001,E5465&lt;=01_因子設定!$M$5+0.000000001,F5465&gt;=01_因子設定!$L$6-0.000000001,F5465&lt;=01_因子設定!$M$6+0.000000001,G5465&gt;=01_因子設定!$L$7-0.000000001,G5465&lt;=01_因子設定!$M$7+0.000000001,H5465&gt;=01_因子設定!$L$8-0.000000001,H5465&lt;=01_因子設定!$M$8+0.000000001,IF(01_因子設定!$B$20="Box-Behnken",E5465^2+F5465^2+G5465^2+H5465^2&lt;=2+0.000000001,TRUE()))</f>
        <v>1</v>
      </c>
      <c r="AD5465" s="55" t="n">
        <f aca="false">IF(AC5465,IF(01_因子設定!$B$13="最大化",AA5465-01_因子設定!$B$14,IF(01_因子設定!$B$13="最小化",01_因子設定!$B$15-AB5465,MIN(AA5465-01_因子設定!$B$14,01_因子設定!$B$15-AB5465))),-1E+030)</f>
        <v>-0.0259138657224511</v>
      </c>
      <c r="AE5465" s="55" t="n">
        <f aca="false">IF(AC5465,IF(01_因子設定!$B$13="最大化",X5465,IF(01_因子設定!$B$13="最小化",-X5465,-ABS(X5465-01_因子設定!$B$16))),-1E+030)</f>
        <v>47.9109192251462</v>
      </c>
      <c r="AF5465" s="55" t="n">
        <f aca="false">AD5465+ROW()*0.000000001</f>
        <v>-0.0259084007224511</v>
      </c>
      <c r="AG5465" s="55" t="n">
        <f aca="false">AE5465+ROW()*0.000000001</f>
        <v>47.9109246901462</v>
      </c>
    </row>
    <row r="5466" customFormat="false" ht="15" hidden="false" customHeight="false" outlineLevel="0" collapsed="false">
      <c r="A5466" s="0" t="n">
        <v>7</v>
      </c>
      <c r="B5466" s="0" t="n">
        <v>4</v>
      </c>
      <c r="C5466" s="0" t="n">
        <v>3</v>
      </c>
      <c r="D5466" s="0" t="n">
        <v>7</v>
      </c>
      <c r="E5466" s="0" t="n">
        <f aca="false">-1+A5466*0.25</f>
        <v>0.75</v>
      </c>
      <c r="F5466" s="0" t="n">
        <f aca="false">-1+B5466*0.25</f>
        <v>0</v>
      </c>
      <c r="G5466" s="0" t="n">
        <f aca="false">-1+C5466*0.25</f>
        <v>-0.25</v>
      </c>
      <c r="H5466" s="0" t="n">
        <f aca="false">-1+D5466*0.25</f>
        <v>0.75</v>
      </c>
      <c r="I5466" s="0" t="n">
        <f aca="false">1</f>
        <v>1</v>
      </c>
      <c r="J5466" s="0" t="n">
        <f aca="false">E5466</f>
        <v>0.75</v>
      </c>
      <c r="K5466" s="0" t="n">
        <f aca="false">F5466</f>
        <v>0</v>
      </c>
      <c r="L5466" s="0" t="n">
        <f aca="false">G5466</f>
        <v>-0.25</v>
      </c>
      <c r="M5466" s="0" t="n">
        <f aca="false">H5466</f>
        <v>0.75</v>
      </c>
      <c r="N5466" s="0" t="n">
        <f aca="false">E5466*F5466</f>
        <v>0</v>
      </c>
      <c r="O5466" s="0" t="n">
        <f aca="false">E5466*G5466</f>
        <v>-0.1875</v>
      </c>
      <c r="P5466" s="0" t="n">
        <f aca="false">E5466*H5466</f>
        <v>0.5625</v>
      </c>
      <c r="Q5466" s="0" t="n">
        <f aca="false">F5466*G5466</f>
        <v>-0</v>
      </c>
      <c r="R5466" s="0" t="n">
        <f aca="false">F5466*H5466</f>
        <v>0</v>
      </c>
      <c r="S5466" s="0" t="n">
        <f aca="false">G5466*H5466</f>
        <v>-0.1875</v>
      </c>
      <c r="T5466" s="0" t="n">
        <f aca="false">E5466*E5466</f>
        <v>0.5625</v>
      </c>
      <c r="U5466" s="0" t="n">
        <f aca="false">F5466*F5466</f>
        <v>0</v>
      </c>
      <c r="V5466" s="0" t="n">
        <f aca="false">G5466*G5466</f>
        <v>0.0625</v>
      </c>
      <c r="W5466" s="0" t="n">
        <f aca="false">H5466*H5466</f>
        <v>0.5625</v>
      </c>
      <c r="X5466" s="0" t="n">
        <f aca="false">SUMPRODUCT(I5466:W5466,_XtX!$B$96:$P$96)</f>
        <v>47.8982593201754</v>
      </c>
      <c r="Y5466" s="0" t="n">
        <f aca="false">SUMPRODUCT(MMULT(I5466:W5466,_XtX!$B$78:$P$92),I5466:W5466)</f>
        <v>0.281685455500731</v>
      </c>
      <c r="Z5466" s="0" t="n">
        <f aca="false">04_回帰ANOVA!$K$19*04_回帰ANOVA!$K$14*SQRT(1+Y5466)</f>
        <v>1.47566956658694</v>
      </c>
      <c r="AA5466" s="0" t="n">
        <f aca="false">X5466-Z5466</f>
        <v>46.4225897535885</v>
      </c>
      <c r="AB5466" s="0" t="n">
        <f aca="false">X5466+Z5466</f>
        <v>49.3739288867624</v>
      </c>
      <c r="AC5466" s="54" t="b">
        <f aca="false">AND(E5466&gt;=01_因子設定!$L$5-0.000000001,E5466&lt;=01_因子設定!$M$5+0.000000001,F5466&gt;=01_因子設定!$L$6-0.000000001,F5466&lt;=01_因子設定!$M$6+0.000000001,G5466&gt;=01_因子設定!$L$7-0.000000001,G5466&lt;=01_因子設定!$M$7+0.000000001,H5466&gt;=01_因子設定!$L$8-0.000000001,H5466&lt;=01_因子設定!$M$8+0.000000001,IF(01_因子設定!$B$20="Box-Behnken",E5466^2+F5466^2+G5466^2+H5466^2&lt;=2+0.000000001,TRUE()))</f>
        <v>1</v>
      </c>
      <c r="AD5466" s="55" t="n">
        <f aca="false">IF(AC5466,IF(01_因子設定!$B$13="最大化",AA5466-01_因子設定!$B$14,IF(01_因子設定!$B$13="最小化",01_因子設定!$B$15-AB5466,MIN(AA5466-01_因子設定!$B$14,01_因子設定!$B$15-AB5466))),-1E+030)</f>
        <v>-0.0774102464114961</v>
      </c>
      <c r="AE5466" s="55" t="n">
        <f aca="false">IF(AC5466,IF(01_因子設定!$B$13="最大化",X5466,IF(01_因子設定!$B$13="最小化",-X5466,-ABS(X5466-01_因子設定!$B$16))),-1E+030)</f>
        <v>47.8982593201754</v>
      </c>
      <c r="AF5466" s="55" t="n">
        <f aca="false">AD5466+ROW()*0.000000001</f>
        <v>-0.0774047804114961</v>
      </c>
      <c r="AG5466" s="55" t="n">
        <f aca="false">AE5466+ROW()*0.000000001</f>
        <v>47.8982647861754</v>
      </c>
    </row>
    <row r="5467" customFormat="false" ht="15" hidden="false" customHeight="false" outlineLevel="0" collapsed="false">
      <c r="A5467" s="0" t="n">
        <v>7</v>
      </c>
      <c r="B5467" s="0" t="n">
        <v>4</v>
      </c>
      <c r="C5467" s="0" t="n">
        <v>3</v>
      </c>
      <c r="D5467" s="0" t="n">
        <v>8</v>
      </c>
      <c r="E5467" s="0" t="n">
        <f aca="false">-1+A5467*0.25</f>
        <v>0.75</v>
      </c>
      <c r="F5467" s="0" t="n">
        <f aca="false">-1+B5467*0.25</f>
        <v>0</v>
      </c>
      <c r="G5467" s="0" t="n">
        <f aca="false">-1+C5467*0.25</f>
        <v>-0.25</v>
      </c>
      <c r="H5467" s="0" t="n">
        <f aca="false">-1+D5467*0.25</f>
        <v>1</v>
      </c>
      <c r="I5467" s="0" t="n">
        <f aca="false">1</f>
        <v>1</v>
      </c>
      <c r="J5467" s="0" t="n">
        <f aca="false">E5467</f>
        <v>0.75</v>
      </c>
      <c r="K5467" s="0" t="n">
        <f aca="false">F5467</f>
        <v>0</v>
      </c>
      <c r="L5467" s="0" t="n">
        <f aca="false">G5467</f>
        <v>-0.25</v>
      </c>
      <c r="M5467" s="0" t="n">
        <f aca="false">H5467</f>
        <v>1</v>
      </c>
      <c r="N5467" s="0" t="n">
        <f aca="false">E5467*F5467</f>
        <v>0</v>
      </c>
      <c r="O5467" s="0" t="n">
        <f aca="false">E5467*G5467</f>
        <v>-0.1875</v>
      </c>
      <c r="P5467" s="0" t="n">
        <f aca="false">E5467*H5467</f>
        <v>0.75</v>
      </c>
      <c r="Q5467" s="0" t="n">
        <f aca="false">F5467*G5467</f>
        <v>-0</v>
      </c>
      <c r="R5467" s="0" t="n">
        <f aca="false">F5467*H5467</f>
        <v>0</v>
      </c>
      <c r="S5467" s="0" t="n">
        <f aca="false">G5467*H5467</f>
        <v>-0.25</v>
      </c>
      <c r="T5467" s="0" t="n">
        <f aca="false">E5467*E5467</f>
        <v>0.5625</v>
      </c>
      <c r="U5467" s="0" t="n">
        <f aca="false">F5467*F5467</f>
        <v>0</v>
      </c>
      <c r="V5467" s="0" t="n">
        <f aca="false">G5467*G5467</f>
        <v>0.0625</v>
      </c>
      <c r="W5467" s="0" t="n">
        <f aca="false">H5467*H5467</f>
        <v>1</v>
      </c>
      <c r="X5467" s="0" t="n">
        <f aca="false">SUMPRODUCT(I5467:W5467,_XtX!$B$96:$P$96)</f>
        <v>47.8377923976608</v>
      </c>
      <c r="Y5467" s="0" t="n">
        <f aca="false">SUMPRODUCT(MMULT(I5467:W5467,_XtX!$B$78:$P$92),I5467:W5467)</f>
        <v>0.501534802174708</v>
      </c>
      <c r="Z5467" s="0" t="n">
        <f aca="false">04_回帰ANOVA!$K$19*04_回帰ANOVA!$K$14*SQRT(1+Y5467)</f>
        <v>1.59722498091333</v>
      </c>
      <c r="AA5467" s="0" t="n">
        <f aca="false">X5467-Z5467</f>
        <v>46.2405674167475</v>
      </c>
      <c r="AB5467" s="0" t="n">
        <f aca="false">X5467+Z5467</f>
        <v>49.4350173785742</v>
      </c>
      <c r="AC5467" s="54" t="b">
        <f aca="false">AND(E5467&gt;=01_因子設定!$L$5-0.000000001,E5467&lt;=01_因子設定!$M$5+0.000000001,F5467&gt;=01_因子設定!$L$6-0.000000001,F5467&lt;=01_因子設定!$M$6+0.000000001,G5467&gt;=01_因子設定!$L$7-0.000000001,G5467&lt;=01_因子設定!$M$7+0.000000001,H5467&gt;=01_因子設定!$L$8-0.000000001,H5467&lt;=01_因子設定!$M$8+0.000000001,IF(01_因子設定!$B$20="Box-Behnken",E5467^2+F5467^2+G5467^2+H5467^2&lt;=2+0.000000001,TRUE()))</f>
        <v>1</v>
      </c>
      <c r="AD5467" s="55" t="n">
        <f aca="false">IF(AC5467,IF(01_因子設定!$B$13="最大化",AA5467-01_因子設定!$B$14,IF(01_因子設定!$B$13="最小化",01_因子設定!$B$15-AB5467,MIN(AA5467-01_因子設定!$B$14,01_因子設定!$B$15-AB5467))),-1E+030)</f>
        <v>-0.25943258325249</v>
      </c>
      <c r="AE5467" s="55" t="n">
        <f aca="false">IF(AC5467,IF(01_因子設定!$B$13="最大化",X5467,IF(01_因子設定!$B$13="最小化",-X5467,-ABS(X5467-01_因子設定!$B$16))),-1E+030)</f>
        <v>47.8377923976608</v>
      </c>
      <c r="AF5467" s="55" t="n">
        <f aca="false">AD5467+ROW()*0.000000001</f>
        <v>-0.25942711625249</v>
      </c>
      <c r="AG5467" s="55" t="n">
        <f aca="false">AE5467+ROW()*0.000000001</f>
        <v>47.8377978646608</v>
      </c>
    </row>
    <row r="5468" customFormat="false" ht="15" hidden="false" customHeight="false" outlineLevel="0" collapsed="false">
      <c r="A5468" s="0" t="n">
        <v>7</v>
      </c>
      <c r="B5468" s="0" t="n">
        <v>4</v>
      </c>
      <c r="C5468" s="0" t="n">
        <v>4</v>
      </c>
      <c r="D5468" s="0" t="n">
        <v>0</v>
      </c>
      <c r="E5468" s="0" t="n">
        <f aca="false">-1+A5468*0.25</f>
        <v>0.75</v>
      </c>
      <c r="F5468" s="0" t="n">
        <f aca="false">-1+B5468*0.25</f>
        <v>0</v>
      </c>
      <c r="G5468" s="0" t="n">
        <f aca="false">-1+C5468*0.25</f>
        <v>0</v>
      </c>
      <c r="H5468" s="0" t="n">
        <f aca="false">-1+D5468*0.25</f>
        <v>-1</v>
      </c>
      <c r="I5468" s="0" t="n">
        <f aca="false">1</f>
        <v>1</v>
      </c>
      <c r="J5468" s="0" t="n">
        <f aca="false">E5468</f>
        <v>0.75</v>
      </c>
      <c r="K5468" s="0" t="n">
        <f aca="false">F5468</f>
        <v>0</v>
      </c>
      <c r="L5468" s="0" t="n">
        <f aca="false">G5468</f>
        <v>0</v>
      </c>
      <c r="M5468" s="0" t="n">
        <f aca="false">H5468</f>
        <v>-1</v>
      </c>
      <c r="N5468" s="0" t="n">
        <f aca="false">E5468*F5468</f>
        <v>0</v>
      </c>
      <c r="O5468" s="0" t="n">
        <f aca="false">E5468*G5468</f>
        <v>0</v>
      </c>
      <c r="P5468" s="0" t="n">
        <f aca="false">E5468*H5468</f>
        <v>-0.75</v>
      </c>
      <c r="Q5468" s="0" t="n">
        <f aca="false">F5468*G5468</f>
        <v>0</v>
      </c>
      <c r="R5468" s="0" t="n">
        <f aca="false">F5468*H5468</f>
        <v>-0</v>
      </c>
      <c r="S5468" s="0" t="n">
        <f aca="false">G5468*H5468</f>
        <v>-0</v>
      </c>
      <c r="T5468" s="0" t="n">
        <f aca="false">E5468*E5468</f>
        <v>0.5625</v>
      </c>
      <c r="U5468" s="0" t="n">
        <f aca="false">F5468*F5468</f>
        <v>0</v>
      </c>
      <c r="V5468" s="0" t="n">
        <f aca="false">G5468*G5468</f>
        <v>0</v>
      </c>
      <c r="W5468" s="0" t="n">
        <f aca="false">H5468*H5468</f>
        <v>1</v>
      </c>
      <c r="X5468" s="0" t="n">
        <f aca="false">SUMPRODUCT(I5468:W5468,_XtX!$B$96:$P$96)</f>
        <v>47.077668128655</v>
      </c>
      <c r="Y5468" s="0" t="n">
        <f aca="false">SUMPRODUCT(MMULT(I5468:W5468,_XtX!$B$78:$P$92),I5468:W5468)</f>
        <v>0.516013340643275</v>
      </c>
      <c r="Z5468" s="0" t="n">
        <f aca="false">04_回帰ANOVA!$K$19*04_回帰ANOVA!$K$14*SQRT(1+Y5468)</f>
        <v>1.60490712175667</v>
      </c>
      <c r="AA5468" s="0" t="n">
        <f aca="false">X5468-Z5468</f>
        <v>45.4727610068983</v>
      </c>
      <c r="AB5468" s="0" t="n">
        <f aca="false">X5468+Z5468</f>
        <v>48.6825752504117</v>
      </c>
      <c r="AC5468" s="54" t="b">
        <f aca="false">AND(E5468&gt;=01_因子設定!$L$5-0.000000001,E5468&lt;=01_因子設定!$M$5+0.000000001,F5468&gt;=01_因子設定!$L$6-0.000000001,F5468&lt;=01_因子設定!$M$6+0.000000001,G5468&gt;=01_因子設定!$L$7-0.000000001,G5468&lt;=01_因子設定!$M$7+0.000000001,H5468&gt;=01_因子設定!$L$8-0.000000001,H5468&lt;=01_因子設定!$M$8+0.000000001,IF(01_因子設定!$B$20="Box-Behnken",E5468^2+F5468^2+G5468^2+H5468^2&lt;=2+0.000000001,TRUE()))</f>
        <v>1</v>
      </c>
      <c r="AD5468" s="55" t="n">
        <f aca="false">IF(AC5468,IF(01_因子設定!$B$13="最大化",AA5468-01_因子設定!$B$14,IF(01_因子設定!$B$13="最小化",01_因子設定!$B$15-AB5468,MIN(AA5468-01_因子設定!$B$14,01_因子設定!$B$15-AB5468))),-1E+030)</f>
        <v>-1.02723899310168</v>
      </c>
      <c r="AE5468" s="55" t="n">
        <f aca="false">IF(AC5468,IF(01_因子設定!$B$13="最大化",X5468,IF(01_因子設定!$B$13="最小化",-X5468,-ABS(X5468-01_因子設定!$B$16))),-1E+030)</f>
        <v>47.077668128655</v>
      </c>
      <c r="AF5468" s="55" t="n">
        <f aca="false">AD5468+ROW()*0.000000001</f>
        <v>-1.02723352510168</v>
      </c>
      <c r="AG5468" s="55" t="n">
        <f aca="false">AE5468+ROW()*0.000000001</f>
        <v>47.077673596655</v>
      </c>
    </row>
    <row r="5469" customFormat="false" ht="15" hidden="false" customHeight="false" outlineLevel="0" collapsed="false">
      <c r="A5469" s="0" t="n">
        <v>7</v>
      </c>
      <c r="B5469" s="0" t="n">
        <v>4</v>
      </c>
      <c r="C5469" s="0" t="n">
        <v>4</v>
      </c>
      <c r="D5469" s="0" t="n">
        <v>1</v>
      </c>
      <c r="E5469" s="0" t="n">
        <f aca="false">-1+A5469*0.25</f>
        <v>0.75</v>
      </c>
      <c r="F5469" s="0" t="n">
        <f aca="false">-1+B5469*0.25</f>
        <v>0</v>
      </c>
      <c r="G5469" s="0" t="n">
        <f aca="false">-1+C5469*0.25</f>
        <v>0</v>
      </c>
      <c r="H5469" s="0" t="n">
        <f aca="false">-1+D5469*0.25</f>
        <v>-0.75</v>
      </c>
      <c r="I5469" s="0" t="n">
        <f aca="false">1</f>
        <v>1</v>
      </c>
      <c r="J5469" s="0" t="n">
        <f aca="false">E5469</f>
        <v>0.75</v>
      </c>
      <c r="K5469" s="0" t="n">
        <f aca="false">F5469</f>
        <v>0</v>
      </c>
      <c r="L5469" s="0" t="n">
        <f aca="false">G5469</f>
        <v>0</v>
      </c>
      <c r="M5469" s="0" t="n">
        <f aca="false">H5469</f>
        <v>-0.75</v>
      </c>
      <c r="N5469" s="0" t="n">
        <f aca="false">E5469*F5469</f>
        <v>0</v>
      </c>
      <c r="O5469" s="0" t="n">
        <f aca="false">E5469*G5469</f>
        <v>0</v>
      </c>
      <c r="P5469" s="0" t="n">
        <f aca="false">E5469*H5469</f>
        <v>-0.5625</v>
      </c>
      <c r="Q5469" s="0" t="n">
        <f aca="false">F5469*G5469</f>
        <v>0</v>
      </c>
      <c r="R5469" s="0" t="n">
        <f aca="false">F5469*H5469</f>
        <v>-0</v>
      </c>
      <c r="S5469" s="0" t="n">
        <f aca="false">G5469*H5469</f>
        <v>-0</v>
      </c>
      <c r="T5469" s="0" t="n">
        <f aca="false">E5469*E5469</f>
        <v>0.5625</v>
      </c>
      <c r="U5469" s="0" t="n">
        <f aca="false">F5469*F5469</f>
        <v>0</v>
      </c>
      <c r="V5469" s="0" t="n">
        <f aca="false">G5469*G5469</f>
        <v>0</v>
      </c>
      <c r="W5469" s="0" t="n">
        <f aca="false">H5469*H5469</f>
        <v>0.5625</v>
      </c>
      <c r="X5469" s="0" t="n">
        <f aca="false">SUMPRODUCT(I5469:W5469,_XtX!$B$96:$P$96)</f>
        <v>47.3698190789474</v>
      </c>
      <c r="Y5469" s="0" t="n">
        <f aca="false">SUMPRODUCT(MMULT(I5469:W5469,_XtX!$B$78:$P$92),I5469:W5469)</f>
        <v>0.291636684484649</v>
      </c>
      <c r="Z5469" s="0" t="n">
        <f aca="false">04_回帰ANOVA!$K$19*04_回帰ANOVA!$K$14*SQRT(1+Y5469)</f>
        <v>1.48138716762813</v>
      </c>
      <c r="AA5469" s="0" t="n">
        <f aca="false">X5469-Z5469</f>
        <v>45.8884319113192</v>
      </c>
      <c r="AB5469" s="0" t="n">
        <f aca="false">X5469+Z5469</f>
        <v>48.8512062465755</v>
      </c>
      <c r="AC5469" s="54" t="b">
        <f aca="false">AND(E5469&gt;=01_因子設定!$L$5-0.000000001,E5469&lt;=01_因子設定!$M$5+0.000000001,F5469&gt;=01_因子設定!$L$6-0.000000001,F5469&lt;=01_因子設定!$M$6+0.000000001,G5469&gt;=01_因子設定!$L$7-0.000000001,G5469&lt;=01_因子設定!$M$7+0.000000001,H5469&gt;=01_因子設定!$L$8-0.000000001,H5469&lt;=01_因子設定!$M$8+0.000000001,IF(01_因子設定!$B$20="Box-Behnken",E5469^2+F5469^2+G5469^2+H5469^2&lt;=2+0.000000001,TRUE()))</f>
        <v>1</v>
      </c>
      <c r="AD5469" s="55" t="n">
        <f aca="false">IF(AC5469,IF(01_因子設定!$B$13="最大化",AA5469-01_因子設定!$B$14,IF(01_因子設定!$B$13="最小化",01_因子設定!$B$15-AB5469,MIN(AA5469-01_因子設定!$B$14,01_因子設定!$B$15-AB5469))),-1E+030)</f>
        <v>-0.611568088680755</v>
      </c>
      <c r="AE5469" s="55" t="n">
        <f aca="false">IF(AC5469,IF(01_因子設定!$B$13="最大化",X5469,IF(01_因子設定!$B$13="最小化",-X5469,-ABS(X5469-01_因子設定!$B$16))),-1E+030)</f>
        <v>47.3698190789474</v>
      </c>
      <c r="AF5469" s="55" t="n">
        <f aca="false">AD5469+ROW()*0.000000001</f>
        <v>-0.611562619680755</v>
      </c>
      <c r="AG5469" s="55" t="n">
        <f aca="false">AE5469+ROW()*0.000000001</f>
        <v>47.3698245479474</v>
      </c>
    </row>
    <row r="5470" customFormat="false" ht="15" hidden="false" customHeight="false" outlineLevel="0" collapsed="false">
      <c r="A5470" s="0" t="n">
        <v>7</v>
      </c>
      <c r="B5470" s="0" t="n">
        <v>4</v>
      </c>
      <c r="C5470" s="0" t="n">
        <v>4</v>
      </c>
      <c r="D5470" s="0" t="n">
        <v>2</v>
      </c>
      <c r="E5470" s="0" t="n">
        <f aca="false">-1+A5470*0.25</f>
        <v>0.75</v>
      </c>
      <c r="F5470" s="0" t="n">
        <f aca="false">-1+B5470*0.25</f>
        <v>0</v>
      </c>
      <c r="G5470" s="0" t="n">
        <f aca="false">-1+C5470*0.25</f>
        <v>0</v>
      </c>
      <c r="H5470" s="0" t="n">
        <f aca="false">-1+D5470*0.25</f>
        <v>-0.5</v>
      </c>
      <c r="I5470" s="0" t="n">
        <f aca="false">1</f>
        <v>1</v>
      </c>
      <c r="J5470" s="0" t="n">
        <f aca="false">E5470</f>
        <v>0.75</v>
      </c>
      <c r="K5470" s="0" t="n">
        <f aca="false">F5470</f>
        <v>0</v>
      </c>
      <c r="L5470" s="0" t="n">
        <f aca="false">G5470</f>
        <v>0</v>
      </c>
      <c r="M5470" s="0" t="n">
        <f aca="false">H5470</f>
        <v>-0.5</v>
      </c>
      <c r="N5470" s="0" t="n">
        <f aca="false">E5470*F5470</f>
        <v>0</v>
      </c>
      <c r="O5470" s="0" t="n">
        <f aca="false">E5470*G5470</f>
        <v>0</v>
      </c>
      <c r="P5470" s="0" t="n">
        <f aca="false">E5470*H5470</f>
        <v>-0.375</v>
      </c>
      <c r="Q5470" s="0" t="n">
        <f aca="false">F5470*G5470</f>
        <v>0</v>
      </c>
      <c r="R5470" s="0" t="n">
        <f aca="false">F5470*H5470</f>
        <v>-0</v>
      </c>
      <c r="S5470" s="0" t="n">
        <f aca="false">G5470*H5470</f>
        <v>-0</v>
      </c>
      <c r="T5470" s="0" t="n">
        <f aca="false">E5470*E5470</f>
        <v>0.5625</v>
      </c>
      <c r="U5470" s="0" t="n">
        <f aca="false">F5470*F5470</f>
        <v>0</v>
      </c>
      <c r="V5470" s="0" t="n">
        <f aca="false">G5470*G5470</f>
        <v>0</v>
      </c>
      <c r="W5470" s="0" t="n">
        <f aca="false">H5470*H5470</f>
        <v>0.25</v>
      </c>
      <c r="X5470" s="0" t="n">
        <f aca="false">SUMPRODUCT(I5470:W5470,_XtX!$B$96:$P$96)</f>
        <v>47.6141630116959</v>
      </c>
      <c r="Y5470" s="0" t="n">
        <f aca="false">SUMPRODUCT(MMULT(I5470:W5470,_XtX!$B$78:$P$92),I5470:W5470)</f>
        <v>0.221828170687135</v>
      </c>
      <c r="Z5470" s="0" t="n">
        <f aca="false">04_回帰ANOVA!$K$19*04_回帰ANOVA!$K$14*SQRT(1+Y5470)</f>
        <v>1.44079920361664</v>
      </c>
      <c r="AA5470" s="0" t="n">
        <f aca="false">X5470-Z5470</f>
        <v>46.1733638080793</v>
      </c>
      <c r="AB5470" s="0" t="n">
        <f aca="false">X5470+Z5470</f>
        <v>49.0549622153125</v>
      </c>
      <c r="AC5470" s="54" t="b">
        <f aca="false">AND(E5470&gt;=01_因子設定!$L$5-0.000000001,E5470&lt;=01_因子設定!$M$5+0.000000001,F5470&gt;=01_因子設定!$L$6-0.000000001,F5470&lt;=01_因子設定!$M$6+0.000000001,G5470&gt;=01_因子設定!$L$7-0.000000001,G5470&lt;=01_因子設定!$M$7+0.000000001,H5470&gt;=01_因子設定!$L$8-0.000000001,H5470&lt;=01_因子設定!$M$8+0.000000001,IF(01_因子設定!$B$20="Box-Behnken",E5470^2+F5470^2+G5470^2+H5470^2&lt;=2+0.000000001,TRUE()))</f>
        <v>1</v>
      </c>
      <c r="AD5470" s="55" t="n">
        <f aca="false">IF(AC5470,IF(01_因子設定!$B$13="最大化",AA5470-01_因子設定!$B$14,IF(01_因子設定!$B$13="最小化",01_因子設定!$B$15-AB5470,MIN(AA5470-01_因子設定!$B$14,01_因子設定!$B$15-AB5470))),-1E+030)</f>
        <v>-0.326636191920741</v>
      </c>
      <c r="AE5470" s="55" t="n">
        <f aca="false">IF(AC5470,IF(01_因子設定!$B$13="最大化",X5470,IF(01_因子設定!$B$13="最小化",-X5470,-ABS(X5470-01_因子設定!$B$16))),-1E+030)</f>
        <v>47.6141630116959</v>
      </c>
      <c r="AF5470" s="55" t="n">
        <f aca="false">AD5470+ROW()*0.000000001</f>
        <v>-0.326630721920741</v>
      </c>
      <c r="AG5470" s="55" t="n">
        <f aca="false">AE5470+ROW()*0.000000001</f>
        <v>47.6141684816959</v>
      </c>
    </row>
    <row r="5471" customFormat="false" ht="15" hidden="false" customHeight="false" outlineLevel="0" collapsed="false">
      <c r="A5471" s="0" t="n">
        <v>7</v>
      </c>
      <c r="B5471" s="0" t="n">
        <v>4</v>
      </c>
      <c r="C5471" s="0" t="n">
        <v>4</v>
      </c>
      <c r="D5471" s="0" t="n">
        <v>3</v>
      </c>
      <c r="E5471" s="0" t="n">
        <f aca="false">-1+A5471*0.25</f>
        <v>0.75</v>
      </c>
      <c r="F5471" s="0" t="n">
        <f aca="false">-1+B5471*0.25</f>
        <v>0</v>
      </c>
      <c r="G5471" s="0" t="n">
        <f aca="false">-1+C5471*0.25</f>
        <v>0</v>
      </c>
      <c r="H5471" s="0" t="n">
        <f aca="false">-1+D5471*0.25</f>
        <v>-0.25</v>
      </c>
      <c r="I5471" s="0" t="n">
        <f aca="false">1</f>
        <v>1</v>
      </c>
      <c r="J5471" s="0" t="n">
        <f aca="false">E5471</f>
        <v>0.75</v>
      </c>
      <c r="K5471" s="0" t="n">
        <f aca="false">F5471</f>
        <v>0</v>
      </c>
      <c r="L5471" s="0" t="n">
        <f aca="false">G5471</f>
        <v>0</v>
      </c>
      <c r="M5471" s="0" t="n">
        <f aca="false">H5471</f>
        <v>-0.25</v>
      </c>
      <c r="N5471" s="0" t="n">
        <f aca="false">E5471*F5471</f>
        <v>0</v>
      </c>
      <c r="O5471" s="0" t="n">
        <f aca="false">E5471*G5471</f>
        <v>0</v>
      </c>
      <c r="P5471" s="0" t="n">
        <f aca="false">E5471*H5471</f>
        <v>-0.1875</v>
      </c>
      <c r="Q5471" s="0" t="n">
        <f aca="false">F5471*G5471</f>
        <v>0</v>
      </c>
      <c r="R5471" s="0" t="n">
        <f aca="false">F5471*H5471</f>
        <v>-0</v>
      </c>
      <c r="S5471" s="0" t="n">
        <f aca="false">G5471*H5471</f>
        <v>-0</v>
      </c>
      <c r="T5471" s="0" t="n">
        <f aca="false">E5471*E5471</f>
        <v>0.5625</v>
      </c>
      <c r="U5471" s="0" t="n">
        <f aca="false">F5471*F5471</f>
        <v>0</v>
      </c>
      <c r="V5471" s="0" t="n">
        <f aca="false">G5471*G5471</f>
        <v>0</v>
      </c>
      <c r="W5471" s="0" t="n">
        <f aca="false">H5471*H5471</f>
        <v>0.0625</v>
      </c>
      <c r="X5471" s="0" t="n">
        <f aca="false">SUMPRODUCT(I5471:W5471,_XtX!$B$96:$P$96)</f>
        <v>47.8106999269006</v>
      </c>
      <c r="Y5471" s="0" t="n">
        <f aca="false">SUMPRODUCT(MMULT(I5471:W5471,_XtX!$B$78:$P$92),I5471:W5471)</f>
        <v>0.216127272934942</v>
      </c>
      <c r="Z5471" s="0" t="n">
        <f aca="false">04_回帰ANOVA!$K$19*04_回帰ANOVA!$K$14*SQRT(1+Y5471)</f>
        <v>1.43743397896608</v>
      </c>
      <c r="AA5471" s="0" t="n">
        <f aca="false">X5471-Z5471</f>
        <v>46.3732659479345</v>
      </c>
      <c r="AB5471" s="0" t="n">
        <f aca="false">X5471+Z5471</f>
        <v>49.2481339058666</v>
      </c>
      <c r="AC5471" s="54" t="b">
        <f aca="false">AND(E5471&gt;=01_因子設定!$L$5-0.000000001,E5471&lt;=01_因子設定!$M$5+0.000000001,F5471&gt;=01_因子設定!$L$6-0.000000001,F5471&lt;=01_因子設定!$M$6+0.000000001,G5471&gt;=01_因子設定!$L$7-0.000000001,G5471&lt;=01_因子設定!$M$7+0.000000001,H5471&gt;=01_因子設定!$L$8-0.000000001,H5471&lt;=01_因子設定!$M$8+0.000000001,IF(01_因子設定!$B$20="Box-Behnken",E5471^2+F5471^2+G5471^2+H5471^2&lt;=2+0.000000001,TRUE()))</f>
        <v>1</v>
      </c>
      <c r="AD5471" s="55" t="n">
        <f aca="false">IF(AC5471,IF(01_因子設定!$B$13="最大化",AA5471-01_因子設定!$B$14,IF(01_因子設定!$B$13="最小化",01_因子設定!$B$15-AB5471,MIN(AA5471-01_因子設定!$B$14,01_因子設定!$B$15-AB5471))),-1E+030)</f>
        <v>-0.126734052065508</v>
      </c>
      <c r="AE5471" s="55" t="n">
        <f aca="false">IF(AC5471,IF(01_因子設定!$B$13="最大化",X5471,IF(01_因子設定!$B$13="最小化",-X5471,-ABS(X5471-01_因子設定!$B$16))),-1E+030)</f>
        <v>47.8106999269006</v>
      </c>
      <c r="AF5471" s="55" t="n">
        <f aca="false">AD5471+ROW()*0.000000001</f>
        <v>-0.126728581065508</v>
      </c>
      <c r="AG5471" s="55" t="n">
        <f aca="false">AE5471+ROW()*0.000000001</f>
        <v>47.8107053979006</v>
      </c>
    </row>
    <row r="5472" customFormat="false" ht="15" hidden="false" customHeight="false" outlineLevel="0" collapsed="false">
      <c r="A5472" s="0" t="n">
        <v>7</v>
      </c>
      <c r="B5472" s="0" t="n">
        <v>4</v>
      </c>
      <c r="C5472" s="0" t="n">
        <v>4</v>
      </c>
      <c r="D5472" s="0" t="n">
        <v>4</v>
      </c>
      <c r="E5472" s="0" t="n">
        <f aca="false">-1+A5472*0.25</f>
        <v>0.75</v>
      </c>
      <c r="F5472" s="0" t="n">
        <f aca="false">-1+B5472*0.25</f>
        <v>0</v>
      </c>
      <c r="G5472" s="0" t="n">
        <f aca="false">-1+C5472*0.25</f>
        <v>0</v>
      </c>
      <c r="H5472" s="0" t="n">
        <f aca="false">-1+D5472*0.25</f>
        <v>0</v>
      </c>
      <c r="I5472" s="0" t="n">
        <f aca="false">1</f>
        <v>1</v>
      </c>
      <c r="J5472" s="0" t="n">
        <f aca="false">E5472</f>
        <v>0.75</v>
      </c>
      <c r="K5472" s="0" t="n">
        <f aca="false">F5472</f>
        <v>0</v>
      </c>
      <c r="L5472" s="0" t="n">
        <f aca="false">G5472</f>
        <v>0</v>
      </c>
      <c r="M5472" s="0" t="n">
        <f aca="false">H5472</f>
        <v>0</v>
      </c>
      <c r="N5472" s="0" t="n">
        <f aca="false">E5472*F5472</f>
        <v>0</v>
      </c>
      <c r="O5472" s="0" t="n">
        <f aca="false">E5472*G5472</f>
        <v>0</v>
      </c>
      <c r="P5472" s="0" t="n">
        <f aca="false">E5472*H5472</f>
        <v>0</v>
      </c>
      <c r="Q5472" s="0" t="n">
        <f aca="false">F5472*G5472</f>
        <v>0</v>
      </c>
      <c r="R5472" s="0" t="n">
        <f aca="false">F5472*H5472</f>
        <v>0</v>
      </c>
      <c r="S5472" s="0" t="n">
        <f aca="false">G5472*H5472</f>
        <v>0</v>
      </c>
      <c r="T5472" s="0" t="n">
        <f aca="false">E5472*E5472</f>
        <v>0.5625</v>
      </c>
      <c r="U5472" s="0" t="n">
        <f aca="false">F5472*F5472</f>
        <v>0</v>
      </c>
      <c r="V5472" s="0" t="n">
        <f aca="false">G5472*G5472</f>
        <v>0</v>
      </c>
      <c r="W5472" s="0" t="n">
        <f aca="false">H5472*H5472</f>
        <v>0</v>
      </c>
      <c r="X5472" s="0" t="n">
        <f aca="false">SUMPRODUCT(I5472:W5472,_XtX!$B$96:$P$96)</f>
        <v>47.9594298245614</v>
      </c>
      <c r="Y5472" s="0" t="n">
        <f aca="false">SUMPRODUCT(MMULT(I5472:W5472,_XtX!$B$78:$P$92),I5472:W5472)</f>
        <v>0.220257675438597</v>
      </c>
      <c r="Z5472" s="0" t="n">
        <f aca="false">04_回帰ANOVA!$K$19*04_回帰ANOVA!$K$14*SQRT(1+Y5472)</f>
        <v>1.43987292938832</v>
      </c>
      <c r="AA5472" s="0" t="n">
        <f aca="false">X5472-Z5472</f>
        <v>46.5195568951731</v>
      </c>
      <c r="AB5472" s="0" t="n">
        <f aca="false">X5472+Z5472</f>
        <v>49.3993027539497</v>
      </c>
      <c r="AC5472" s="54" t="b">
        <f aca="false">AND(E5472&gt;=01_因子設定!$L$5-0.000000001,E5472&lt;=01_因子設定!$M$5+0.000000001,F5472&gt;=01_因子設定!$L$6-0.000000001,F5472&lt;=01_因子設定!$M$6+0.000000001,G5472&gt;=01_因子設定!$L$7-0.000000001,G5472&lt;=01_因子設定!$M$7+0.000000001,H5472&gt;=01_因子設定!$L$8-0.000000001,H5472&lt;=01_因子設定!$M$8+0.000000001,IF(01_因子設定!$B$20="Box-Behnken",E5472^2+F5472^2+G5472^2+H5472^2&lt;=2+0.000000001,TRUE()))</f>
        <v>1</v>
      </c>
      <c r="AD5472" s="55" t="n">
        <f aca="false">IF(AC5472,IF(01_因子設定!$B$13="最大化",AA5472-01_因子設定!$B$14,IF(01_因子設定!$B$13="最小化",01_因子設定!$B$15-AB5472,MIN(AA5472-01_因子設定!$B$14,01_因子設定!$B$15-AB5472))),-1E+030)</f>
        <v>0.0195568951730749</v>
      </c>
      <c r="AE5472" s="55" t="n">
        <f aca="false">IF(AC5472,IF(01_因子設定!$B$13="最大化",X5472,IF(01_因子設定!$B$13="最小化",-X5472,-ABS(X5472-01_因子設定!$B$16))),-1E+030)</f>
        <v>47.9594298245614</v>
      </c>
      <c r="AF5472" s="55" t="n">
        <f aca="false">AD5472+ROW()*0.000000001</f>
        <v>0.0195623671730749</v>
      </c>
      <c r="AG5472" s="55" t="n">
        <f aca="false">AE5472+ROW()*0.000000001</f>
        <v>47.9594352965614</v>
      </c>
    </row>
    <row r="5473" customFormat="false" ht="15" hidden="false" customHeight="false" outlineLevel="0" collapsed="false">
      <c r="A5473" s="0" t="n">
        <v>7</v>
      </c>
      <c r="B5473" s="0" t="n">
        <v>4</v>
      </c>
      <c r="C5473" s="0" t="n">
        <v>4</v>
      </c>
      <c r="D5473" s="0" t="n">
        <v>5</v>
      </c>
      <c r="E5473" s="0" t="n">
        <f aca="false">-1+A5473*0.25</f>
        <v>0.75</v>
      </c>
      <c r="F5473" s="0" t="n">
        <f aca="false">-1+B5473*0.25</f>
        <v>0</v>
      </c>
      <c r="G5473" s="0" t="n">
        <f aca="false">-1+C5473*0.25</f>
        <v>0</v>
      </c>
      <c r="H5473" s="0" t="n">
        <f aca="false">-1+D5473*0.25</f>
        <v>0.25</v>
      </c>
      <c r="I5473" s="0" t="n">
        <f aca="false">1</f>
        <v>1</v>
      </c>
      <c r="J5473" s="0" t="n">
        <f aca="false">E5473</f>
        <v>0.75</v>
      </c>
      <c r="K5473" s="0" t="n">
        <f aca="false">F5473</f>
        <v>0</v>
      </c>
      <c r="L5473" s="0" t="n">
        <f aca="false">G5473</f>
        <v>0</v>
      </c>
      <c r="M5473" s="0" t="n">
        <f aca="false">H5473</f>
        <v>0.25</v>
      </c>
      <c r="N5473" s="0" t="n">
        <f aca="false">E5473*F5473</f>
        <v>0</v>
      </c>
      <c r="O5473" s="0" t="n">
        <f aca="false">E5473*G5473</f>
        <v>0</v>
      </c>
      <c r="P5473" s="0" t="n">
        <f aca="false">E5473*H5473</f>
        <v>0.1875</v>
      </c>
      <c r="Q5473" s="0" t="n">
        <f aca="false">F5473*G5473</f>
        <v>0</v>
      </c>
      <c r="R5473" s="0" t="n">
        <f aca="false">F5473*H5473</f>
        <v>0</v>
      </c>
      <c r="S5473" s="0" t="n">
        <f aca="false">G5473*H5473</f>
        <v>0</v>
      </c>
      <c r="T5473" s="0" t="n">
        <f aca="false">E5473*E5473</f>
        <v>0.5625</v>
      </c>
      <c r="U5473" s="0" t="n">
        <f aca="false">F5473*F5473</f>
        <v>0</v>
      </c>
      <c r="V5473" s="0" t="n">
        <f aca="false">G5473*G5473</f>
        <v>0</v>
      </c>
      <c r="W5473" s="0" t="n">
        <f aca="false">H5473*H5473</f>
        <v>0.0625</v>
      </c>
      <c r="X5473" s="0" t="n">
        <f aca="false">SUMPRODUCT(I5473:W5473,_XtX!$B$96:$P$96)</f>
        <v>48.0603527046784</v>
      </c>
      <c r="Y5473" s="0" t="n">
        <f aca="false">SUMPRODUCT(MMULT(I5473:W5473,_XtX!$B$78:$P$92),I5473:W5473)</f>
        <v>0.216127272934942</v>
      </c>
      <c r="Z5473" s="0" t="n">
        <f aca="false">04_回帰ANOVA!$K$19*04_回帰ANOVA!$K$14*SQRT(1+Y5473)</f>
        <v>1.43743397896608</v>
      </c>
      <c r="AA5473" s="0" t="n">
        <f aca="false">X5473-Z5473</f>
        <v>46.6229187257123</v>
      </c>
      <c r="AB5473" s="0" t="n">
        <f aca="false">X5473+Z5473</f>
        <v>49.4977866836444</v>
      </c>
      <c r="AC5473" s="54" t="b">
        <f aca="false">AND(E5473&gt;=01_因子設定!$L$5-0.000000001,E5473&lt;=01_因子設定!$M$5+0.000000001,F5473&gt;=01_因子設定!$L$6-0.000000001,F5473&lt;=01_因子設定!$M$6+0.000000001,G5473&gt;=01_因子設定!$L$7-0.000000001,G5473&lt;=01_因子設定!$M$7+0.000000001,H5473&gt;=01_因子設定!$L$8-0.000000001,H5473&lt;=01_因子設定!$M$8+0.000000001,IF(01_因子設定!$B$20="Box-Behnken",E5473^2+F5473^2+G5473^2+H5473^2&lt;=2+0.000000001,TRUE()))</f>
        <v>1</v>
      </c>
      <c r="AD5473" s="55" t="n">
        <f aca="false">IF(AC5473,IF(01_因子設定!$B$13="最大化",AA5473-01_因子設定!$B$14,IF(01_因子設定!$B$13="最小化",01_因子設定!$B$15-AB5473,MIN(AA5473-01_因子設定!$B$14,01_因子設定!$B$15-AB5473))),-1E+030)</f>
        <v>0.122918725712275</v>
      </c>
      <c r="AE5473" s="55" t="n">
        <f aca="false">IF(AC5473,IF(01_因子設定!$B$13="最大化",X5473,IF(01_因子設定!$B$13="最小化",-X5473,-ABS(X5473-01_因子設定!$B$16))),-1E+030)</f>
        <v>48.0603527046784</v>
      </c>
      <c r="AF5473" s="55" t="n">
        <f aca="false">AD5473+ROW()*0.000000001</f>
        <v>0.122924198712275</v>
      </c>
      <c r="AG5473" s="55" t="n">
        <f aca="false">AE5473+ROW()*0.000000001</f>
        <v>48.0603581776784</v>
      </c>
    </row>
    <row r="5474" customFormat="false" ht="15" hidden="false" customHeight="false" outlineLevel="0" collapsed="false">
      <c r="A5474" s="0" t="n">
        <v>7</v>
      </c>
      <c r="B5474" s="0" t="n">
        <v>4</v>
      </c>
      <c r="C5474" s="0" t="n">
        <v>4</v>
      </c>
      <c r="D5474" s="0" t="n">
        <v>6</v>
      </c>
      <c r="E5474" s="0" t="n">
        <f aca="false">-1+A5474*0.25</f>
        <v>0.75</v>
      </c>
      <c r="F5474" s="0" t="n">
        <f aca="false">-1+B5474*0.25</f>
        <v>0</v>
      </c>
      <c r="G5474" s="0" t="n">
        <f aca="false">-1+C5474*0.25</f>
        <v>0</v>
      </c>
      <c r="H5474" s="0" t="n">
        <f aca="false">-1+D5474*0.25</f>
        <v>0.5</v>
      </c>
      <c r="I5474" s="0" t="n">
        <f aca="false">1</f>
        <v>1</v>
      </c>
      <c r="J5474" s="0" t="n">
        <f aca="false">E5474</f>
        <v>0.75</v>
      </c>
      <c r="K5474" s="0" t="n">
        <f aca="false">F5474</f>
        <v>0</v>
      </c>
      <c r="L5474" s="0" t="n">
        <f aca="false">G5474</f>
        <v>0</v>
      </c>
      <c r="M5474" s="0" t="n">
        <f aca="false">H5474</f>
        <v>0.5</v>
      </c>
      <c r="N5474" s="0" t="n">
        <f aca="false">E5474*F5474</f>
        <v>0</v>
      </c>
      <c r="O5474" s="0" t="n">
        <f aca="false">E5474*G5474</f>
        <v>0</v>
      </c>
      <c r="P5474" s="0" t="n">
        <f aca="false">E5474*H5474</f>
        <v>0.375</v>
      </c>
      <c r="Q5474" s="0" t="n">
        <f aca="false">F5474*G5474</f>
        <v>0</v>
      </c>
      <c r="R5474" s="0" t="n">
        <f aca="false">F5474*H5474</f>
        <v>0</v>
      </c>
      <c r="S5474" s="0" t="n">
        <f aca="false">G5474*H5474</f>
        <v>0</v>
      </c>
      <c r="T5474" s="0" t="n">
        <f aca="false">E5474*E5474</f>
        <v>0.5625</v>
      </c>
      <c r="U5474" s="0" t="n">
        <f aca="false">F5474*F5474</f>
        <v>0</v>
      </c>
      <c r="V5474" s="0" t="n">
        <f aca="false">G5474*G5474</f>
        <v>0</v>
      </c>
      <c r="W5474" s="0" t="n">
        <f aca="false">H5474*H5474</f>
        <v>0.25</v>
      </c>
      <c r="X5474" s="0" t="n">
        <f aca="false">SUMPRODUCT(I5474:W5474,_XtX!$B$96:$P$96)</f>
        <v>48.1134685672515</v>
      </c>
      <c r="Y5474" s="0" t="n">
        <f aca="false">SUMPRODUCT(MMULT(I5474:W5474,_XtX!$B$78:$P$92),I5474:W5474)</f>
        <v>0.221828170687135</v>
      </c>
      <c r="Z5474" s="0" t="n">
        <f aca="false">04_回帰ANOVA!$K$19*04_回帰ANOVA!$K$14*SQRT(1+Y5474)</f>
        <v>1.44079920361664</v>
      </c>
      <c r="AA5474" s="0" t="n">
        <f aca="false">X5474-Z5474</f>
        <v>46.6726693636348</v>
      </c>
      <c r="AB5474" s="0" t="n">
        <f aca="false">X5474+Z5474</f>
        <v>49.5542677708681</v>
      </c>
      <c r="AC5474" s="54" t="b">
        <f aca="false">AND(E5474&gt;=01_因子設定!$L$5-0.000000001,E5474&lt;=01_因子設定!$M$5+0.000000001,F5474&gt;=01_因子設定!$L$6-0.000000001,F5474&lt;=01_因子設定!$M$6+0.000000001,G5474&gt;=01_因子設定!$L$7-0.000000001,G5474&lt;=01_因子設定!$M$7+0.000000001,H5474&gt;=01_因子設定!$L$8-0.000000001,H5474&lt;=01_因子設定!$M$8+0.000000001,IF(01_因子設定!$B$20="Box-Behnken",E5474^2+F5474^2+G5474^2+H5474^2&lt;=2+0.000000001,TRUE()))</f>
        <v>1</v>
      </c>
      <c r="AD5474" s="55" t="n">
        <f aca="false">IF(AC5474,IF(01_因子設定!$B$13="最大化",AA5474-01_因子設定!$B$14,IF(01_因子設定!$B$13="最小化",01_因子設定!$B$15-AB5474,MIN(AA5474-01_因子設定!$B$14,01_因子設定!$B$15-AB5474))),-1E+030)</f>
        <v>0.17266936363481</v>
      </c>
      <c r="AE5474" s="55" t="n">
        <f aca="false">IF(AC5474,IF(01_因子設定!$B$13="最大化",X5474,IF(01_因子設定!$B$13="最小化",-X5474,-ABS(X5474-01_因子設定!$B$16))),-1E+030)</f>
        <v>48.1134685672515</v>
      </c>
      <c r="AF5474" s="55" t="n">
        <f aca="false">AD5474+ROW()*0.000000001</f>
        <v>0.17267483763481</v>
      </c>
      <c r="AG5474" s="55" t="n">
        <f aca="false">AE5474+ROW()*0.000000001</f>
        <v>48.1134740412515</v>
      </c>
    </row>
    <row r="5475" customFormat="false" ht="15" hidden="false" customHeight="false" outlineLevel="0" collapsed="false">
      <c r="A5475" s="0" t="n">
        <v>7</v>
      </c>
      <c r="B5475" s="0" t="n">
        <v>4</v>
      </c>
      <c r="C5475" s="0" t="n">
        <v>4</v>
      </c>
      <c r="D5475" s="0" t="n">
        <v>7</v>
      </c>
      <c r="E5475" s="0" t="n">
        <f aca="false">-1+A5475*0.25</f>
        <v>0.75</v>
      </c>
      <c r="F5475" s="0" t="n">
        <f aca="false">-1+B5475*0.25</f>
        <v>0</v>
      </c>
      <c r="G5475" s="0" t="n">
        <f aca="false">-1+C5475*0.25</f>
        <v>0</v>
      </c>
      <c r="H5475" s="0" t="n">
        <f aca="false">-1+D5475*0.25</f>
        <v>0.75</v>
      </c>
      <c r="I5475" s="0" t="n">
        <f aca="false">1</f>
        <v>1</v>
      </c>
      <c r="J5475" s="0" t="n">
        <f aca="false">E5475</f>
        <v>0.75</v>
      </c>
      <c r="K5475" s="0" t="n">
        <f aca="false">F5475</f>
        <v>0</v>
      </c>
      <c r="L5475" s="0" t="n">
        <f aca="false">G5475</f>
        <v>0</v>
      </c>
      <c r="M5475" s="0" t="n">
        <f aca="false">H5475</f>
        <v>0.75</v>
      </c>
      <c r="N5475" s="0" t="n">
        <f aca="false">E5475*F5475</f>
        <v>0</v>
      </c>
      <c r="O5475" s="0" t="n">
        <f aca="false">E5475*G5475</f>
        <v>0</v>
      </c>
      <c r="P5475" s="0" t="n">
        <f aca="false">E5475*H5475</f>
        <v>0.5625</v>
      </c>
      <c r="Q5475" s="0" t="n">
        <f aca="false">F5475*G5475</f>
        <v>0</v>
      </c>
      <c r="R5475" s="0" t="n">
        <f aca="false">F5475*H5475</f>
        <v>0</v>
      </c>
      <c r="S5475" s="0" t="n">
        <f aca="false">G5475*H5475</f>
        <v>0</v>
      </c>
      <c r="T5475" s="0" t="n">
        <f aca="false">E5475*E5475</f>
        <v>0.5625</v>
      </c>
      <c r="U5475" s="0" t="n">
        <f aca="false">F5475*F5475</f>
        <v>0</v>
      </c>
      <c r="V5475" s="0" t="n">
        <f aca="false">G5475*G5475</f>
        <v>0</v>
      </c>
      <c r="W5475" s="0" t="n">
        <f aca="false">H5475*H5475</f>
        <v>0.5625</v>
      </c>
      <c r="X5475" s="0" t="n">
        <f aca="false">SUMPRODUCT(I5475:W5475,_XtX!$B$96:$P$96)</f>
        <v>48.1187774122807</v>
      </c>
      <c r="Y5475" s="0" t="n">
        <f aca="false">SUMPRODUCT(MMULT(I5475:W5475,_XtX!$B$78:$P$92),I5475:W5475)</f>
        <v>0.291636684484649</v>
      </c>
      <c r="Z5475" s="0" t="n">
        <f aca="false">04_回帰ANOVA!$K$19*04_回帰ANOVA!$K$14*SQRT(1+Y5475)</f>
        <v>1.48138716762813</v>
      </c>
      <c r="AA5475" s="0" t="n">
        <f aca="false">X5475-Z5475</f>
        <v>46.6373902446526</v>
      </c>
      <c r="AB5475" s="0" t="n">
        <f aca="false">X5475+Z5475</f>
        <v>49.6001645799088</v>
      </c>
      <c r="AC5475" s="54" t="b">
        <f aca="false">AND(E5475&gt;=01_因子設定!$L$5-0.000000001,E5475&lt;=01_因子設定!$M$5+0.000000001,F5475&gt;=01_因子設定!$L$6-0.000000001,F5475&lt;=01_因子設定!$M$6+0.000000001,G5475&gt;=01_因子設定!$L$7-0.000000001,G5475&lt;=01_因子設定!$M$7+0.000000001,H5475&gt;=01_因子設定!$L$8-0.000000001,H5475&lt;=01_因子設定!$M$8+0.000000001,IF(01_因子設定!$B$20="Box-Behnken",E5475^2+F5475^2+G5475^2+H5475^2&lt;=2+0.000000001,TRUE()))</f>
        <v>1</v>
      </c>
      <c r="AD5475" s="55" t="n">
        <f aca="false">IF(AC5475,IF(01_因子設定!$B$13="最大化",AA5475-01_因子設定!$B$14,IF(01_因子設定!$B$13="最小化",01_因子設定!$B$15-AB5475,MIN(AA5475-01_因子設定!$B$14,01_因子設定!$B$15-AB5475))),-1E+030)</f>
        <v>0.137390244652579</v>
      </c>
      <c r="AE5475" s="55" t="n">
        <f aca="false">IF(AC5475,IF(01_因子設定!$B$13="最大化",X5475,IF(01_因子設定!$B$13="最小化",-X5475,-ABS(X5475-01_因子設定!$B$16))),-1E+030)</f>
        <v>48.1187774122807</v>
      </c>
      <c r="AF5475" s="55" t="n">
        <f aca="false">AD5475+ROW()*0.000000001</f>
        <v>0.137395719652579</v>
      </c>
      <c r="AG5475" s="55" t="n">
        <f aca="false">AE5475+ROW()*0.000000001</f>
        <v>48.1187828872807</v>
      </c>
    </row>
    <row r="5476" customFormat="false" ht="15" hidden="false" customHeight="false" outlineLevel="0" collapsed="false">
      <c r="A5476" s="0" t="n">
        <v>7</v>
      </c>
      <c r="B5476" s="0" t="n">
        <v>4</v>
      </c>
      <c r="C5476" s="0" t="n">
        <v>4</v>
      </c>
      <c r="D5476" s="0" t="n">
        <v>8</v>
      </c>
      <c r="E5476" s="0" t="n">
        <f aca="false">-1+A5476*0.25</f>
        <v>0.75</v>
      </c>
      <c r="F5476" s="0" t="n">
        <f aca="false">-1+B5476*0.25</f>
        <v>0</v>
      </c>
      <c r="G5476" s="0" t="n">
        <f aca="false">-1+C5476*0.25</f>
        <v>0</v>
      </c>
      <c r="H5476" s="0" t="n">
        <f aca="false">-1+D5476*0.25</f>
        <v>1</v>
      </c>
      <c r="I5476" s="0" t="n">
        <f aca="false">1</f>
        <v>1</v>
      </c>
      <c r="J5476" s="0" t="n">
        <f aca="false">E5476</f>
        <v>0.75</v>
      </c>
      <c r="K5476" s="0" t="n">
        <f aca="false">F5476</f>
        <v>0</v>
      </c>
      <c r="L5476" s="0" t="n">
        <f aca="false">G5476</f>
        <v>0</v>
      </c>
      <c r="M5476" s="0" t="n">
        <f aca="false">H5476</f>
        <v>1</v>
      </c>
      <c r="N5476" s="0" t="n">
        <f aca="false">E5476*F5476</f>
        <v>0</v>
      </c>
      <c r="O5476" s="0" t="n">
        <f aca="false">E5476*G5476</f>
        <v>0</v>
      </c>
      <c r="P5476" s="0" t="n">
        <f aca="false">E5476*H5476</f>
        <v>0.75</v>
      </c>
      <c r="Q5476" s="0" t="n">
        <f aca="false">F5476*G5476</f>
        <v>0</v>
      </c>
      <c r="R5476" s="0" t="n">
        <f aca="false">F5476*H5476</f>
        <v>0</v>
      </c>
      <c r="S5476" s="0" t="n">
        <f aca="false">G5476*H5476</f>
        <v>0</v>
      </c>
      <c r="T5476" s="0" t="n">
        <f aca="false">E5476*E5476</f>
        <v>0.5625</v>
      </c>
      <c r="U5476" s="0" t="n">
        <f aca="false">F5476*F5476</f>
        <v>0</v>
      </c>
      <c r="V5476" s="0" t="n">
        <f aca="false">G5476*G5476</f>
        <v>0</v>
      </c>
      <c r="W5476" s="0" t="n">
        <f aca="false">H5476*H5476</f>
        <v>1</v>
      </c>
      <c r="X5476" s="0" t="n">
        <f aca="false">SUMPRODUCT(I5476:W5476,_XtX!$B$96:$P$96)</f>
        <v>48.0762792397661</v>
      </c>
      <c r="Y5476" s="0" t="n">
        <f aca="false">SUMPRODUCT(MMULT(I5476:W5476,_XtX!$B$78:$P$92),I5476:W5476)</f>
        <v>0.516013340643275</v>
      </c>
      <c r="Z5476" s="0" t="n">
        <f aca="false">04_回帰ANOVA!$K$19*04_回帰ANOVA!$K$14*SQRT(1+Y5476)</f>
        <v>1.60490712175667</v>
      </c>
      <c r="AA5476" s="0" t="n">
        <f aca="false">X5476-Z5476</f>
        <v>46.4713721180094</v>
      </c>
      <c r="AB5476" s="0" t="n">
        <f aca="false">X5476+Z5476</f>
        <v>49.6811863615228</v>
      </c>
      <c r="AC5476" s="54" t="b">
        <f aca="false">AND(E5476&gt;=01_因子設定!$L$5-0.000000001,E5476&lt;=01_因子設定!$M$5+0.000000001,F5476&gt;=01_因子設定!$L$6-0.000000001,F5476&lt;=01_因子設定!$M$6+0.000000001,G5476&gt;=01_因子設定!$L$7-0.000000001,G5476&lt;=01_因子設定!$M$7+0.000000001,H5476&gt;=01_因子設定!$L$8-0.000000001,H5476&lt;=01_因子設定!$M$8+0.000000001,IF(01_因子設定!$B$20="Box-Behnken",E5476^2+F5476^2+G5476^2+H5476^2&lt;=2+0.000000001,TRUE()))</f>
        <v>1</v>
      </c>
      <c r="AD5476" s="55" t="n">
        <f aca="false">IF(AC5476,IF(01_因子設定!$B$13="最大化",AA5476-01_因子設定!$B$14,IF(01_因子設定!$B$13="最小化",01_因子設定!$B$15-AB5476,MIN(AA5476-01_因子設定!$B$14,01_因子設定!$B$15-AB5476))),-1E+030)</f>
        <v>-0.0286278819905661</v>
      </c>
      <c r="AE5476" s="55" t="n">
        <f aca="false">IF(AC5476,IF(01_因子設定!$B$13="最大化",X5476,IF(01_因子設定!$B$13="最小化",-X5476,-ABS(X5476-01_因子設定!$B$16))),-1E+030)</f>
        <v>48.0762792397661</v>
      </c>
      <c r="AF5476" s="55" t="n">
        <f aca="false">AD5476+ROW()*0.000000001</f>
        <v>-0.0286224059905661</v>
      </c>
      <c r="AG5476" s="55" t="n">
        <f aca="false">AE5476+ROW()*0.000000001</f>
        <v>48.0762847157661</v>
      </c>
    </row>
    <row r="5477" customFormat="false" ht="15" hidden="false" customHeight="false" outlineLevel="0" collapsed="false">
      <c r="A5477" s="0" t="n">
        <v>7</v>
      </c>
      <c r="B5477" s="0" t="n">
        <v>4</v>
      </c>
      <c r="C5477" s="0" t="n">
        <v>5</v>
      </c>
      <c r="D5477" s="0" t="n">
        <v>0</v>
      </c>
      <c r="E5477" s="0" t="n">
        <f aca="false">-1+A5477*0.25</f>
        <v>0.75</v>
      </c>
      <c r="F5477" s="0" t="n">
        <f aca="false">-1+B5477*0.25</f>
        <v>0</v>
      </c>
      <c r="G5477" s="0" t="n">
        <f aca="false">-1+C5477*0.25</f>
        <v>0.25</v>
      </c>
      <c r="H5477" s="0" t="n">
        <f aca="false">-1+D5477*0.25</f>
        <v>-1</v>
      </c>
      <c r="I5477" s="0" t="n">
        <f aca="false">1</f>
        <v>1</v>
      </c>
      <c r="J5477" s="0" t="n">
        <f aca="false">E5477</f>
        <v>0.75</v>
      </c>
      <c r="K5477" s="0" t="n">
        <f aca="false">F5477</f>
        <v>0</v>
      </c>
      <c r="L5477" s="0" t="n">
        <f aca="false">G5477</f>
        <v>0.25</v>
      </c>
      <c r="M5477" s="0" t="n">
        <f aca="false">H5477</f>
        <v>-1</v>
      </c>
      <c r="N5477" s="0" t="n">
        <f aca="false">E5477*F5477</f>
        <v>0</v>
      </c>
      <c r="O5477" s="0" t="n">
        <f aca="false">E5477*G5477</f>
        <v>0.1875</v>
      </c>
      <c r="P5477" s="0" t="n">
        <f aca="false">E5477*H5477</f>
        <v>-0.75</v>
      </c>
      <c r="Q5477" s="0" t="n">
        <f aca="false">F5477*G5477</f>
        <v>0</v>
      </c>
      <c r="R5477" s="0" t="n">
        <f aca="false">F5477*H5477</f>
        <v>-0</v>
      </c>
      <c r="S5477" s="0" t="n">
        <f aca="false">G5477*H5477</f>
        <v>-0.25</v>
      </c>
      <c r="T5477" s="0" t="n">
        <f aca="false">E5477*E5477</f>
        <v>0.5625</v>
      </c>
      <c r="U5477" s="0" t="n">
        <f aca="false">F5477*F5477</f>
        <v>0</v>
      </c>
      <c r="V5477" s="0" t="n">
        <f aca="false">G5477*G5477</f>
        <v>0.0625</v>
      </c>
      <c r="W5477" s="0" t="n">
        <f aca="false">H5477*H5477</f>
        <v>1</v>
      </c>
      <c r="X5477" s="0" t="n">
        <f aca="false">SUMPRODUCT(I5477:W5477,_XtX!$B$96:$P$96)</f>
        <v>47.0870979532164</v>
      </c>
      <c r="Y5477" s="0" t="n">
        <f aca="false">SUMPRODUCT(MMULT(I5477:W5477,_XtX!$B$78:$P$92),I5477:W5477)</f>
        <v>0.501534802174708</v>
      </c>
      <c r="Z5477" s="0" t="n">
        <f aca="false">04_回帰ANOVA!$K$19*04_回帰ANOVA!$K$14*SQRT(1+Y5477)</f>
        <v>1.59722498091333</v>
      </c>
      <c r="AA5477" s="0" t="n">
        <f aca="false">X5477-Z5477</f>
        <v>45.4898729723031</v>
      </c>
      <c r="AB5477" s="0" t="n">
        <f aca="false">X5477+Z5477</f>
        <v>48.6843229341297</v>
      </c>
      <c r="AC5477" s="54" t="b">
        <f aca="false">AND(E5477&gt;=01_因子設定!$L$5-0.000000001,E5477&lt;=01_因子設定!$M$5+0.000000001,F5477&gt;=01_因子設定!$L$6-0.000000001,F5477&lt;=01_因子設定!$M$6+0.000000001,G5477&gt;=01_因子設定!$L$7-0.000000001,G5477&lt;=01_因子設定!$M$7+0.000000001,H5477&gt;=01_因子設定!$L$8-0.000000001,H5477&lt;=01_因子設定!$M$8+0.000000001,IF(01_因子設定!$B$20="Box-Behnken",E5477^2+F5477^2+G5477^2+H5477^2&lt;=2+0.000000001,TRUE()))</f>
        <v>1</v>
      </c>
      <c r="AD5477" s="55" t="n">
        <f aca="false">IF(AC5477,IF(01_因子設定!$B$13="最大化",AA5477-01_因子設定!$B$14,IF(01_因子設定!$B$13="最小化",01_因子設定!$B$15-AB5477,MIN(AA5477-01_因子設定!$B$14,01_因子設定!$B$15-AB5477))),-1E+030)</f>
        <v>-1.01012702769693</v>
      </c>
      <c r="AE5477" s="55" t="n">
        <f aca="false">IF(AC5477,IF(01_因子設定!$B$13="最大化",X5477,IF(01_因子設定!$B$13="最小化",-X5477,-ABS(X5477-01_因子設定!$B$16))),-1E+030)</f>
        <v>47.0870979532164</v>
      </c>
      <c r="AF5477" s="55" t="n">
        <f aca="false">AD5477+ROW()*0.000000001</f>
        <v>-1.01012155069693</v>
      </c>
      <c r="AG5477" s="55" t="n">
        <f aca="false">AE5477+ROW()*0.000000001</f>
        <v>47.0871034302164</v>
      </c>
    </row>
    <row r="5478" customFormat="false" ht="15" hidden="false" customHeight="false" outlineLevel="0" collapsed="false">
      <c r="A5478" s="0" t="n">
        <v>7</v>
      </c>
      <c r="B5478" s="0" t="n">
        <v>4</v>
      </c>
      <c r="C5478" s="0" t="n">
        <v>5</v>
      </c>
      <c r="D5478" s="0" t="n">
        <v>1</v>
      </c>
      <c r="E5478" s="0" t="n">
        <f aca="false">-1+A5478*0.25</f>
        <v>0.75</v>
      </c>
      <c r="F5478" s="0" t="n">
        <f aca="false">-1+B5478*0.25</f>
        <v>0</v>
      </c>
      <c r="G5478" s="0" t="n">
        <f aca="false">-1+C5478*0.25</f>
        <v>0.25</v>
      </c>
      <c r="H5478" s="0" t="n">
        <f aca="false">-1+D5478*0.25</f>
        <v>-0.75</v>
      </c>
      <c r="I5478" s="0" t="n">
        <f aca="false">1</f>
        <v>1</v>
      </c>
      <c r="J5478" s="0" t="n">
        <f aca="false">E5478</f>
        <v>0.75</v>
      </c>
      <c r="K5478" s="0" t="n">
        <f aca="false">F5478</f>
        <v>0</v>
      </c>
      <c r="L5478" s="0" t="n">
        <f aca="false">G5478</f>
        <v>0.25</v>
      </c>
      <c r="M5478" s="0" t="n">
        <f aca="false">H5478</f>
        <v>-0.75</v>
      </c>
      <c r="N5478" s="0" t="n">
        <f aca="false">E5478*F5478</f>
        <v>0</v>
      </c>
      <c r="O5478" s="0" t="n">
        <f aca="false">E5478*G5478</f>
        <v>0.1875</v>
      </c>
      <c r="P5478" s="0" t="n">
        <f aca="false">E5478*H5478</f>
        <v>-0.5625</v>
      </c>
      <c r="Q5478" s="0" t="n">
        <f aca="false">F5478*G5478</f>
        <v>0</v>
      </c>
      <c r="R5478" s="0" t="n">
        <f aca="false">F5478*H5478</f>
        <v>-0</v>
      </c>
      <c r="S5478" s="0" t="n">
        <f aca="false">G5478*H5478</f>
        <v>-0.1875</v>
      </c>
      <c r="T5478" s="0" t="n">
        <f aca="false">E5478*E5478</f>
        <v>0.5625</v>
      </c>
      <c r="U5478" s="0" t="n">
        <f aca="false">F5478*F5478</f>
        <v>0</v>
      </c>
      <c r="V5478" s="0" t="n">
        <f aca="false">G5478*G5478</f>
        <v>0.0625</v>
      </c>
      <c r="W5478" s="0" t="n">
        <f aca="false">H5478*H5478</f>
        <v>0.5625</v>
      </c>
      <c r="X5478" s="0" t="n">
        <f aca="false">SUMPRODUCT(I5478:W5478,_XtX!$B$96:$P$96)</f>
        <v>47.3972176535088</v>
      </c>
      <c r="Y5478" s="0" t="n">
        <f aca="false">SUMPRODUCT(MMULT(I5478:W5478,_XtX!$B$78:$P$92),I5478:W5478)</f>
        <v>0.281685455500731</v>
      </c>
      <c r="Z5478" s="0" t="n">
        <f aca="false">04_回帰ANOVA!$K$19*04_回帰ANOVA!$K$14*SQRT(1+Y5478)</f>
        <v>1.47566956658694</v>
      </c>
      <c r="AA5478" s="0" t="n">
        <f aca="false">X5478-Z5478</f>
        <v>45.9215480869218</v>
      </c>
      <c r="AB5478" s="0" t="n">
        <f aca="false">X5478+Z5478</f>
        <v>48.8728872200957</v>
      </c>
      <c r="AC5478" s="54" t="b">
        <f aca="false">AND(E5478&gt;=01_因子設定!$L$5-0.000000001,E5478&lt;=01_因子設定!$M$5+0.000000001,F5478&gt;=01_因子設定!$L$6-0.000000001,F5478&lt;=01_因子設定!$M$6+0.000000001,G5478&gt;=01_因子設定!$L$7-0.000000001,G5478&lt;=01_因子設定!$M$7+0.000000001,H5478&gt;=01_因子設定!$L$8-0.000000001,H5478&lt;=01_因子設定!$M$8+0.000000001,IF(01_因子設定!$B$20="Box-Behnken",E5478^2+F5478^2+G5478^2+H5478^2&lt;=2+0.000000001,TRUE()))</f>
        <v>1</v>
      </c>
      <c r="AD5478" s="55" t="n">
        <f aca="false">IF(AC5478,IF(01_因子設定!$B$13="最大化",AA5478-01_因子設定!$B$14,IF(01_因子設定!$B$13="最小化",01_因子設定!$B$15-AB5478,MIN(AA5478-01_因子設定!$B$14,01_因子設定!$B$15-AB5478))),-1E+030)</f>
        <v>-0.578451913078162</v>
      </c>
      <c r="AE5478" s="55" t="n">
        <f aca="false">IF(AC5478,IF(01_因子設定!$B$13="最大化",X5478,IF(01_因子設定!$B$13="最小化",-X5478,-ABS(X5478-01_因子設定!$B$16))),-1E+030)</f>
        <v>47.3972176535088</v>
      </c>
      <c r="AF5478" s="55" t="n">
        <f aca="false">AD5478+ROW()*0.000000001</f>
        <v>-0.578446435078162</v>
      </c>
      <c r="AG5478" s="55" t="n">
        <f aca="false">AE5478+ROW()*0.000000001</f>
        <v>47.3972231315088</v>
      </c>
    </row>
    <row r="5479" customFormat="false" ht="15" hidden="false" customHeight="false" outlineLevel="0" collapsed="false">
      <c r="A5479" s="0" t="n">
        <v>7</v>
      </c>
      <c r="B5479" s="0" t="n">
        <v>4</v>
      </c>
      <c r="C5479" s="0" t="n">
        <v>5</v>
      </c>
      <c r="D5479" s="0" t="n">
        <v>2</v>
      </c>
      <c r="E5479" s="0" t="n">
        <f aca="false">-1+A5479*0.25</f>
        <v>0.75</v>
      </c>
      <c r="F5479" s="0" t="n">
        <f aca="false">-1+B5479*0.25</f>
        <v>0</v>
      </c>
      <c r="G5479" s="0" t="n">
        <f aca="false">-1+C5479*0.25</f>
        <v>0.25</v>
      </c>
      <c r="H5479" s="0" t="n">
        <f aca="false">-1+D5479*0.25</f>
        <v>-0.5</v>
      </c>
      <c r="I5479" s="0" t="n">
        <f aca="false">1</f>
        <v>1</v>
      </c>
      <c r="J5479" s="0" t="n">
        <f aca="false">E5479</f>
        <v>0.75</v>
      </c>
      <c r="K5479" s="0" t="n">
        <f aca="false">F5479</f>
        <v>0</v>
      </c>
      <c r="L5479" s="0" t="n">
        <f aca="false">G5479</f>
        <v>0.25</v>
      </c>
      <c r="M5479" s="0" t="n">
        <f aca="false">H5479</f>
        <v>-0.5</v>
      </c>
      <c r="N5479" s="0" t="n">
        <f aca="false">E5479*F5479</f>
        <v>0</v>
      </c>
      <c r="O5479" s="0" t="n">
        <f aca="false">E5479*G5479</f>
        <v>0.1875</v>
      </c>
      <c r="P5479" s="0" t="n">
        <f aca="false">E5479*H5479</f>
        <v>-0.375</v>
      </c>
      <c r="Q5479" s="0" t="n">
        <f aca="false">F5479*G5479</f>
        <v>0</v>
      </c>
      <c r="R5479" s="0" t="n">
        <f aca="false">F5479*H5479</f>
        <v>-0</v>
      </c>
      <c r="S5479" s="0" t="n">
        <f aca="false">G5479*H5479</f>
        <v>-0.125</v>
      </c>
      <c r="T5479" s="0" t="n">
        <f aca="false">E5479*E5479</f>
        <v>0.5625</v>
      </c>
      <c r="U5479" s="0" t="n">
        <f aca="false">F5479*F5479</f>
        <v>0</v>
      </c>
      <c r="V5479" s="0" t="n">
        <f aca="false">G5479*G5479</f>
        <v>0.0625</v>
      </c>
      <c r="W5479" s="0" t="n">
        <f aca="false">H5479*H5479</f>
        <v>0.25</v>
      </c>
      <c r="X5479" s="0" t="n">
        <f aca="false">SUMPRODUCT(I5479:W5479,_XtX!$B$96:$P$96)</f>
        <v>47.6595303362573</v>
      </c>
      <c r="Y5479" s="0" t="n">
        <f aca="false">SUMPRODUCT(MMULT(I5479:W5479,_XtX!$B$78:$P$92),I5479:W5479)</f>
        <v>0.215110734192252</v>
      </c>
      <c r="Z5479" s="0" t="n">
        <f aca="false">04_回帰ANOVA!$K$19*04_回帰ANOVA!$K$14*SQRT(1+Y5479)</f>
        <v>1.43683309086864</v>
      </c>
      <c r="AA5479" s="0" t="n">
        <f aca="false">X5479-Z5479</f>
        <v>46.2226972453887</v>
      </c>
      <c r="AB5479" s="0" t="n">
        <f aca="false">X5479+Z5479</f>
        <v>49.096363427126</v>
      </c>
      <c r="AC5479" s="54" t="b">
        <f aca="false">AND(E5479&gt;=01_因子設定!$L$5-0.000000001,E5479&lt;=01_因子設定!$M$5+0.000000001,F5479&gt;=01_因子設定!$L$6-0.000000001,F5479&lt;=01_因子設定!$M$6+0.000000001,G5479&gt;=01_因子設定!$L$7-0.000000001,G5479&lt;=01_因子設定!$M$7+0.000000001,H5479&gt;=01_因子設定!$L$8-0.000000001,H5479&lt;=01_因子設定!$M$8+0.000000001,IF(01_因子設定!$B$20="Box-Behnken",E5479^2+F5479^2+G5479^2+H5479^2&lt;=2+0.000000001,TRUE()))</f>
        <v>1</v>
      </c>
      <c r="AD5479" s="55" t="n">
        <f aca="false">IF(AC5479,IF(01_因子設定!$B$13="最大化",AA5479-01_因子設定!$B$14,IF(01_因子設定!$B$13="最小化",01_因子設定!$B$15-AB5479,MIN(AA5479-01_因子設定!$B$14,01_因子設定!$B$15-AB5479))),-1E+030)</f>
        <v>-0.277302754611341</v>
      </c>
      <c r="AE5479" s="55" t="n">
        <f aca="false">IF(AC5479,IF(01_因子設定!$B$13="最大化",X5479,IF(01_因子設定!$B$13="最小化",-X5479,-ABS(X5479-01_因子設定!$B$16))),-1E+030)</f>
        <v>47.6595303362573</v>
      </c>
      <c r="AF5479" s="55" t="n">
        <f aca="false">AD5479+ROW()*0.000000001</f>
        <v>-0.277297275611341</v>
      </c>
      <c r="AG5479" s="55" t="n">
        <f aca="false">AE5479+ROW()*0.000000001</f>
        <v>47.6595358152573</v>
      </c>
    </row>
    <row r="5480" customFormat="false" ht="15" hidden="false" customHeight="false" outlineLevel="0" collapsed="false">
      <c r="A5480" s="0" t="n">
        <v>7</v>
      </c>
      <c r="B5480" s="0" t="n">
        <v>4</v>
      </c>
      <c r="C5480" s="0" t="n">
        <v>5</v>
      </c>
      <c r="D5480" s="0" t="n">
        <v>3</v>
      </c>
      <c r="E5480" s="0" t="n">
        <f aca="false">-1+A5480*0.25</f>
        <v>0.75</v>
      </c>
      <c r="F5480" s="0" t="n">
        <f aca="false">-1+B5480*0.25</f>
        <v>0</v>
      </c>
      <c r="G5480" s="0" t="n">
        <f aca="false">-1+C5480*0.25</f>
        <v>0.25</v>
      </c>
      <c r="H5480" s="0" t="n">
        <f aca="false">-1+D5480*0.25</f>
        <v>-0.25</v>
      </c>
      <c r="I5480" s="0" t="n">
        <f aca="false">1</f>
        <v>1</v>
      </c>
      <c r="J5480" s="0" t="n">
        <f aca="false">E5480</f>
        <v>0.75</v>
      </c>
      <c r="K5480" s="0" t="n">
        <f aca="false">F5480</f>
        <v>0</v>
      </c>
      <c r="L5480" s="0" t="n">
        <f aca="false">G5480</f>
        <v>0.25</v>
      </c>
      <c r="M5480" s="0" t="n">
        <f aca="false">H5480</f>
        <v>-0.25</v>
      </c>
      <c r="N5480" s="0" t="n">
        <f aca="false">E5480*F5480</f>
        <v>0</v>
      </c>
      <c r="O5480" s="0" t="n">
        <f aca="false">E5480*G5480</f>
        <v>0.1875</v>
      </c>
      <c r="P5480" s="0" t="n">
        <f aca="false">E5480*H5480</f>
        <v>-0.1875</v>
      </c>
      <c r="Q5480" s="0" t="n">
        <f aca="false">F5480*G5480</f>
        <v>0</v>
      </c>
      <c r="R5480" s="0" t="n">
        <f aca="false">F5480*H5480</f>
        <v>-0</v>
      </c>
      <c r="S5480" s="0" t="n">
        <f aca="false">G5480*H5480</f>
        <v>-0.0625</v>
      </c>
      <c r="T5480" s="0" t="n">
        <f aca="false">E5480*E5480</f>
        <v>0.5625</v>
      </c>
      <c r="U5480" s="0" t="n">
        <f aca="false">F5480*F5480</f>
        <v>0</v>
      </c>
      <c r="V5480" s="0" t="n">
        <f aca="false">G5480*G5480</f>
        <v>0.0625</v>
      </c>
      <c r="W5480" s="0" t="n">
        <f aca="false">H5480*H5480</f>
        <v>0.0625</v>
      </c>
      <c r="X5480" s="0" t="n">
        <f aca="false">SUMPRODUCT(I5480:W5480,_XtX!$B$96:$P$96)</f>
        <v>47.874036001462</v>
      </c>
      <c r="Y5480" s="0" t="n">
        <f aca="false">SUMPRODUCT(MMULT(I5480:W5480,_XtX!$B$78:$P$92),I5480:W5480)</f>
        <v>0.21135011193348</v>
      </c>
      <c r="Z5480" s="0" t="n">
        <f aca="false">04_回帰ANOVA!$K$19*04_回帰ANOVA!$K$14*SQRT(1+Y5480)</f>
        <v>1.43460795469709</v>
      </c>
      <c r="AA5480" s="0" t="n">
        <f aca="false">X5480-Z5480</f>
        <v>46.4394280467649</v>
      </c>
      <c r="AB5480" s="0" t="n">
        <f aca="false">X5480+Z5480</f>
        <v>49.3086439561591</v>
      </c>
      <c r="AC5480" s="54" t="b">
        <f aca="false">AND(E5480&gt;=01_因子設定!$L$5-0.000000001,E5480&lt;=01_因子設定!$M$5+0.000000001,F5480&gt;=01_因子設定!$L$6-0.000000001,F5480&lt;=01_因子設定!$M$6+0.000000001,G5480&gt;=01_因子設定!$L$7-0.000000001,G5480&lt;=01_因子設定!$M$7+0.000000001,H5480&gt;=01_因子設定!$L$8-0.000000001,H5480&lt;=01_因子設定!$M$8+0.000000001,IF(01_因子設定!$B$20="Box-Behnken",E5480^2+F5480^2+G5480^2+H5480^2&lt;=2+0.000000001,TRUE()))</f>
        <v>1</v>
      </c>
      <c r="AD5480" s="55" t="n">
        <f aca="false">IF(AC5480,IF(01_因子設定!$B$13="最大化",AA5480-01_因子設定!$B$14,IF(01_因子設定!$B$13="最小化",01_因子設定!$B$15-AB5480,MIN(AA5480-01_因子設定!$B$14,01_因子設定!$B$15-AB5480))),-1E+030)</f>
        <v>-0.0605719532351117</v>
      </c>
      <c r="AE5480" s="55" t="n">
        <f aca="false">IF(AC5480,IF(01_因子設定!$B$13="最大化",X5480,IF(01_因子設定!$B$13="最小化",-X5480,-ABS(X5480-01_因子設定!$B$16))),-1E+030)</f>
        <v>47.874036001462</v>
      </c>
      <c r="AF5480" s="55" t="n">
        <f aca="false">AD5480+ROW()*0.000000001</f>
        <v>-0.0605664732351117</v>
      </c>
      <c r="AG5480" s="55" t="n">
        <f aca="false">AE5480+ROW()*0.000000001</f>
        <v>47.874041481462</v>
      </c>
    </row>
    <row r="5481" customFormat="false" ht="15" hidden="false" customHeight="false" outlineLevel="0" collapsed="false">
      <c r="A5481" s="0" t="n">
        <v>7</v>
      </c>
      <c r="B5481" s="0" t="n">
        <v>4</v>
      </c>
      <c r="C5481" s="0" t="n">
        <v>5</v>
      </c>
      <c r="D5481" s="0" t="n">
        <v>4</v>
      </c>
      <c r="E5481" s="0" t="n">
        <f aca="false">-1+A5481*0.25</f>
        <v>0.75</v>
      </c>
      <c r="F5481" s="0" t="n">
        <f aca="false">-1+B5481*0.25</f>
        <v>0</v>
      </c>
      <c r="G5481" s="0" t="n">
        <f aca="false">-1+C5481*0.25</f>
        <v>0.25</v>
      </c>
      <c r="H5481" s="0" t="n">
        <f aca="false">-1+D5481*0.25</f>
        <v>0</v>
      </c>
      <c r="I5481" s="0" t="n">
        <f aca="false">1</f>
        <v>1</v>
      </c>
      <c r="J5481" s="0" t="n">
        <f aca="false">E5481</f>
        <v>0.75</v>
      </c>
      <c r="K5481" s="0" t="n">
        <f aca="false">F5481</f>
        <v>0</v>
      </c>
      <c r="L5481" s="0" t="n">
        <f aca="false">G5481</f>
        <v>0.25</v>
      </c>
      <c r="M5481" s="0" t="n">
        <f aca="false">H5481</f>
        <v>0</v>
      </c>
      <c r="N5481" s="0" t="n">
        <f aca="false">E5481*F5481</f>
        <v>0</v>
      </c>
      <c r="O5481" s="0" t="n">
        <f aca="false">E5481*G5481</f>
        <v>0.1875</v>
      </c>
      <c r="P5481" s="0" t="n">
        <f aca="false">E5481*H5481</f>
        <v>0</v>
      </c>
      <c r="Q5481" s="0" t="n">
        <f aca="false">F5481*G5481</f>
        <v>0</v>
      </c>
      <c r="R5481" s="0" t="n">
        <f aca="false">F5481*H5481</f>
        <v>0</v>
      </c>
      <c r="S5481" s="0" t="n">
        <f aca="false">G5481*H5481</f>
        <v>0</v>
      </c>
      <c r="T5481" s="0" t="n">
        <f aca="false">E5481*E5481</f>
        <v>0.5625</v>
      </c>
      <c r="U5481" s="0" t="n">
        <f aca="false">F5481*F5481</f>
        <v>0</v>
      </c>
      <c r="V5481" s="0" t="n">
        <f aca="false">G5481*G5481</f>
        <v>0.0625</v>
      </c>
      <c r="W5481" s="0" t="n">
        <f aca="false">H5481*H5481</f>
        <v>0</v>
      </c>
      <c r="X5481" s="0" t="n">
        <f aca="false">SUMPRODUCT(I5481:W5481,_XtX!$B$96:$P$96)</f>
        <v>48.0407346491228</v>
      </c>
      <c r="Y5481" s="0" t="n">
        <f aca="false">SUMPRODUCT(MMULT(I5481:W5481,_XtX!$B$78:$P$92),I5481:W5481)</f>
        <v>0.216127272934942</v>
      </c>
      <c r="Z5481" s="0" t="n">
        <f aca="false">04_回帰ANOVA!$K$19*04_回帰ANOVA!$K$14*SQRT(1+Y5481)</f>
        <v>1.43743397896608</v>
      </c>
      <c r="AA5481" s="0" t="n">
        <f aca="false">X5481-Z5481</f>
        <v>46.6033006701567</v>
      </c>
      <c r="AB5481" s="0" t="n">
        <f aca="false">X5481+Z5481</f>
        <v>49.4781686280889</v>
      </c>
      <c r="AC5481" s="54" t="b">
        <f aca="false">AND(E5481&gt;=01_因子設定!$L$5-0.000000001,E5481&lt;=01_因子設定!$M$5+0.000000001,F5481&gt;=01_因子設定!$L$6-0.000000001,F5481&lt;=01_因子設定!$M$6+0.000000001,G5481&gt;=01_因子設定!$L$7-0.000000001,G5481&lt;=01_因子設定!$M$7+0.000000001,H5481&gt;=01_因子設定!$L$8-0.000000001,H5481&lt;=01_因子設定!$M$8+0.000000001,IF(01_因子設定!$B$20="Box-Behnken",E5481^2+F5481^2+G5481^2+H5481^2&lt;=2+0.000000001,TRUE()))</f>
        <v>1</v>
      </c>
      <c r="AD5481" s="55" t="n">
        <f aca="false">IF(AC5481,IF(01_因子設定!$B$13="最大化",AA5481-01_因子設定!$B$14,IF(01_因子設定!$B$13="最小化",01_因子設定!$B$15-AB5481,MIN(AA5481-01_因子設定!$B$14,01_因子設定!$B$15-AB5481))),-1E+030)</f>
        <v>0.103300670156713</v>
      </c>
      <c r="AE5481" s="55" t="n">
        <f aca="false">IF(AC5481,IF(01_因子設定!$B$13="最大化",X5481,IF(01_因子設定!$B$13="最小化",-X5481,-ABS(X5481-01_因子設定!$B$16))),-1E+030)</f>
        <v>48.0407346491228</v>
      </c>
      <c r="AF5481" s="55" t="n">
        <f aca="false">AD5481+ROW()*0.000000001</f>
        <v>0.103306151156713</v>
      </c>
      <c r="AG5481" s="55" t="n">
        <f aca="false">AE5481+ROW()*0.000000001</f>
        <v>48.0407401301228</v>
      </c>
    </row>
    <row r="5482" customFormat="false" ht="15" hidden="false" customHeight="false" outlineLevel="0" collapsed="false">
      <c r="A5482" s="0" t="n">
        <v>7</v>
      </c>
      <c r="B5482" s="0" t="n">
        <v>4</v>
      </c>
      <c r="C5482" s="0" t="n">
        <v>5</v>
      </c>
      <c r="D5482" s="0" t="n">
        <v>5</v>
      </c>
      <c r="E5482" s="0" t="n">
        <f aca="false">-1+A5482*0.25</f>
        <v>0.75</v>
      </c>
      <c r="F5482" s="0" t="n">
        <f aca="false">-1+B5482*0.25</f>
        <v>0</v>
      </c>
      <c r="G5482" s="0" t="n">
        <f aca="false">-1+C5482*0.25</f>
        <v>0.25</v>
      </c>
      <c r="H5482" s="0" t="n">
        <f aca="false">-1+D5482*0.25</f>
        <v>0.25</v>
      </c>
      <c r="I5482" s="0" t="n">
        <f aca="false">1</f>
        <v>1</v>
      </c>
      <c r="J5482" s="0" t="n">
        <f aca="false">E5482</f>
        <v>0.75</v>
      </c>
      <c r="K5482" s="0" t="n">
        <f aca="false">F5482</f>
        <v>0</v>
      </c>
      <c r="L5482" s="0" t="n">
        <f aca="false">G5482</f>
        <v>0.25</v>
      </c>
      <c r="M5482" s="0" t="n">
        <f aca="false">H5482</f>
        <v>0.25</v>
      </c>
      <c r="N5482" s="0" t="n">
        <f aca="false">E5482*F5482</f>
        <v>0</v>
      </c>
      <c r="O5482" s="0" t="n">
        <f aca="false">E5482*G5482</f>
        <v>0.1875</v>
      </c>
      <c r="P5482" s="0" t="n">
        <f aca="false">E5482*H5482</f>
        <v>0.1875</v>
      </c>
      <c r="Q5482" s="0" t="n">
        <f aca="false">F5482*G5482</f>
        <v>0</v>
      </c>
      <c r="R5482" s="0" t="n">
        <f aca="false">F5482*H5482</f>
        <v>0</v>
      </c>
      <c r="S5482" s="0" t="n">
        <f aca="false">G5482*H5482</f>
        <v>0.0625</v>
      </c>
      <c r="T5482" s="0" t="n">
        <f aca="false">E5482*E5482</f>
        <v>0.5625</v>
      </c>
      <c r="U5482" s="0" t="n">
        <f aca="false">F5482*F5482</f>
        <v>0</v>
      </c>
      <c r="V5482" s="0" t="n">
        <f aca="false">G5482*G5482</f>
        <v>0.0625</v>
      </c>
      <c r="W5482" s="0" t="n">
        <f aca="false">H5482*H5482</f>
        <v>0.0625</v>
      </c>
      <c r="X5482" s="0" t="n">
        <f aca="false">SUMPRODUCT(I5482:W5482,_XtX!$B$96:$P$96)</f>
        <v>48.1596262792398</v>
      </c>
      <c r="Y5482" s="0" t="n">
        <f aca="false">SUMPRODUCT(MMULT(I5482:W5482,_XtX!$B$78:$P$92),I5482:W5482)</f>
        <v>0.21135011193348</v>
      </c>
      <c r="Z5482" s="0" t="n">
        <f aca="false">04_回帰ANOVA!$K$19*04_回帰ANOVA!$K$14*SQRT(1+Y5482)</f>
        <v>1.43460795469709</v>
      </c>
      <c r="AA5482" s="0" t="n">
        <f aca="false">X5482-Z5482</f>
        <v>46.7250183245427</v>
      </c>
      <c r="AB5482" s="0" t="n">
        <f aca="false">X5482+Z5482</f>
        <v>49.5942342339368</v>
      </c>
      <c r="AC5482" s="54" t="b">
        <f aca="false">AND(E5482&gt;=01_因子設定!$L$5-0.000000001,E5482&lt;=01_因子設定!$M$5+0.000000001,F5482&gt;=01_因子設定!$L$6-0.000000001,F5482&lt;=01_因子設定!$M$6+0.000000001,G5482&gt;=01_因子設定!$L$7-0.000000001,G5482&lt;=01_因子設定!$M$7+0.000000001,H5482&gt;=01_因子設定!$L$8-0.000000001,H5482&lt;=01_因子設定!$M$8+0.000000001,IF(01_因子設定!$B$20="Box-Behnken",E5482^2+F5482^2+G5482^2+H5482^2&lt;=2+0.000000001,TRUE()))</f>
        <v>1</v>
      </c>
      <c r="AD5482" s="55" t="n">
        <f aca="false">IF(AC5482,IF(01_因子設定!$B$13="最大化",AA5482-01_因子設定!$B$14,IF(01_因子設定!$B$13="最小化",01_因子設定!$B$15-AB5482,MIN(AA5482-01_因子設定!$B$14,01_因子設定!$B$15-AB5482))),-1E+030)</f>
        <v>0.225018324542667</v>
      </c>
      <c r="AE5482" s="55" t="n">
        <f aca="false">IF(AC5482,IF(01_因子設定!$B$13="最大化",X5482,IF(01_因子設定!$B$13="最小化",-X5482,-ABS(X5482-01_因子設定!$B$16))),-1E+030)</f>
        <v>48.1596262792398</v>
      </c>
      <c r="AF5482" s="55" t="n">
        <f aca="false">AD5482+ROW()*0.000000001</f>
        <v>0.225023806542667</v>
      </c>
      <c r="AG5482" s="55" t="n">
        <f aca="false">AE5482+ROW()*0.000000001</f>
        <v>48.1596317612398</v>
      </c>
    </row>
    <row r="5483" customFormat="false" ht="15" hidden="false" customHeight="false" outlineLevel="0" collapsed="false">
      <c r="A5483" s="0" t="n">
        <v>7</v>
      </c>
      <c r="B5483" s="0" t="n">
        <v>4</v>
      </c>
      <c r="C5483" s="0" t="n">
        <v>5</v>
      </c>
      <c r="D5483" s="0" t="n">
        <v>6</v>
      </c>
      <c r="E5483" s="0" t="n">
        <f aca="false">-1+A5483*0.25</f>
        <v>0.75</v>
      </c>
      <c r="F5483" s="0" t="n">
        <f aca="false">-1+B5483*0.25</f>
        <v>0</v>
      </c>
      <c r="G5483" s="0" t="n">
        <f aca="false">-1+C5483*0.25</f>
        <v>0.25</v>
      </c>
      <c r="H5483" s="0" t="n">
        <f aca="false">-1+D5483*0.25</f>
        <v>0.5</v>
      </c>
      <c r="I5483" s="0" t="n">
        <f aca="false">1</f>
        <v>1</v>
      </c>
      <c r="J5483" s="0" t="n">
        <f aca="false">E5483</f>
        <v>0.75</v>
      </c>
      <c r="K5483" s="0" t="n">
        <f aca="false">F5483</f>
        <v>0</v>
      </c>
      <c r="L5483" s="0" t="n">
        <f aca="false">G5483</f>
        <v>0.25</v>
      </c>
      <c r="M5483" s="0" t="n">
        <f aca="false">H5483</f>
        <v>0.5</v>
      </c>
      <c r="N5483" s="0" t="n">
        <f aca="false">E5483*F5483</f>
        <v>0</v>
      </c>
      <c r="O5483" s="0" t="n">
        <f aca="false">E5483*G5483</f>
        <v>0.1875</v>
      </c>
      <c r="P5483" s="0" t="n">
        <f aca="false">E5483*H5483</f>
        <v>0.375</v>
      </c>
      <c r="Q5483" s="0" t="n">
        <f aca="false">F5483*G5483</f>
        <v>0</v>
      </c>
      <c r="R5483" s="0" t="n">
        <f aca="false">F5483*H5483</f>
        <v>0</v>
      </c>
      <c r="S5483" s="0" t="n">
        <f aca="false">G5483*H5483</f>
        <v>0.125</v>
      </c>
      <c r="T5483" s="0" t="n">
        <f aca="false">E5483*E5483</f>
        <v>0.5625</v>
      </c>
      <c r="U5483" s="0" t="n">
        <f aca="false">F5483*F5483</f>
        <v>0</v>
      </c>
      <c r="V5483" s="0" t="n">
        <f aca="false">G5483*G5483</f>
        <v>0.0625</v>
      </c>
      <c r="W5483" s="0" t="n">
        <f aca="false">H5483*H5483</f>
        <v>0.25</v>
      </c>
      <c r="X5483" s="0" t="n">
        <f aca="false">SUMPRODUCT(I5483:W5483,_XtX!$B$96:$P$96)</f>
        <v>48.2307108918129</v>
      </c>
      <c r="Y5483" s="0" t="n">
        <f aca="false">SUMPRODUCT(MMULT(I5483:W5483,_XtX!$B$78:$P$92),I5483:W5483)</f>
        <v>0.215110734192252</v>
      </c>
      <c r="Z5483" s="0" t="n">
        <f aca="false">04_回帰ANOVA!$K$19*04_回帰ANOVA!$K$14*SQRT(1+Y5483)</f>
        <v>1.43683309086864</v>
      </c>
      <c r="AA5483" s="0" t="n">
        <f aca="false">X5483-Z5483</f>
        <v>46.7938778009442</v>
      </c>
      <c r="AB5483" s="0" t="n">
        <f aca="false">X5483+Z5483</f>
        <v>49.6675439826815</v>
      </c>
      <c r="AC5483" s="54" t="b">
        <f aca="false">AND(E5483&gt;=01_因子設定!$L$5-0.000000001,E5483&lt;=01_因子設定!$M$5+0.000000001,F5483&gt;=01_因子設定!$L$6-0.000000001,F5483&lt;=01_因子設定!$M$6+0.000000001,G5483&gt;=01_因子設定!$L$7-0.000000001,G5483&lt;=01_因子設定!$M$7+0.000000001,H5483&gt;=01_因子設定!$L$8-0.000000001,H5483&lt;=01_因子設定!$M$8+0.000000001,IF(01_因子設定!$B$20="Box-Behnken",E5483^2+F5483^2+G5483^2+H5483^2&lt;=2+0.000000001,TRUE()))</f>
        <v>1</v>
      </c>
      <c r="AD5483" s="55" t="n">
        <f aca="false">IF(AC5483,IF(01_因子設定!$B$13="最大化",AA5483-01_因子設定!$B$14,IF(01_因子設定!$B$13="最小化",01_因子設定!$B$15-AB5483,MIN(AA5483-01_因子設定!$B$14,01_因子設定!$B$15-AB5483))),-1E+030)</f>
        <v>0.293877800944216</v>
      </c>
      <c r="AE5483" s="55" t="n">
        <f aca="false">IF(AC5483,IF(01_因子設定!$B$13="最大化",X5483,IF(01_因子設定!$B$13="最小化",-X5483,-ABS(X5483-01_因子設定!$B$16))),-1E+030)</f>
        <v>48.2307108918129</v>
      </c>
      <c r="AF5483" s="55" t="n">
        <f aca="false">AD5483+ROW()*0.000000001</f>
        <v>0.293883283944216</v>
      </c>
      <c r="AG5483" s="55" t="n">
        <f aca="false">AE5483+ROW()*0.000000001</f>
        <v>48.2307163748129</v>
      </c>
    </row>
    <row r="5484" customFormat="false" ht="15" hidden="false" customHeight="false" outlineLevel="0" collapsed="false">
      <c r="A5484" s="0" t="n">
        <v>7</v>
      </c>
      <c r="B5484" s="0" t="n">
        <v>4</v>
      </c>
      <c r="C5484" s="0" t="n">
        <v>5</v>
      </c>
      <c r="D5484" s="0" t="n">
        <v>7</v>
      </c>
      <c r="E5484" s="0" t="n">
        <f aca="false">-1+A5484*0.25</f>
        <v>0.75</v>
      </c>
      <c r="F5484" s="0" t="n">
        <f aca="false">-1+B5484*0.25</f>
        <v>0</v>
      </c>
      <c r="G5484" s="0" t="n">
        <f aca="false">-1+C5484*0.25</f>
        <v>0.25</v>
      </c>
      <c r="H5484" s="0" t="n">
        <f aca="false">-1+D5484*0.25</f>
        <v>0.75</v>
      </c>
      <c r="I5484" s="0" t="n">
        <f aca="false">1</f>
        <v>1</v>
      </c>
      <c r="J5484" s="0" t="n">
        <f aca="false">E5484</f>
        <v>0.75</v>
      </c>
      <c r="K5484" s="0" t="n">
        <f aca="false">F5484</f>
        <v>0</v>
      </c>
      <c r="L5484" s="0" t="n">
        <f aca="false">G5484</f>
        <v>0.25</v>
      </c>
      <c r="M5484" s="0" t="n">
        <f aca="false">H5484</f>
        <v>0.75</v>
      </c>
      <c r="N5484" s="0" t="n">
        <f aca="false">E5484*F5484</f>
        <v>0</v>
      </c>
      <c r="O5484" s="0" t="n">
        <f aca="false">E5484*G5484</f>
        <v>0.1875</v>
      </c>
      <c r="P5484" s="0" t="n">
        <f aca="false">E5484*H5484</f>
        <v>0.5625</v>
      </c>
      <c r="Q5484" s="0" t="n">
        <f aca="false">F5484*G5484</f>
        <v>0</v>
      </c>
      <c r="R5484" s="0" t="n">
        <f aca="false">F5484*H5484</f>
        <v>0</v>
      </c>
      <c r="S5484" s="0" t="n">
        <f aca="false">G5484*H5484</f>
        <v>0.1875</v>
      </c>
      <c r="T5484" s="0" t="n">
        <f aca="false">E5484*E5484</f>
        <v>0.5625</v>
      </c>
      <c r="U5484" s="0" t="n">
        <f aca="false">F5484*F5484</f>
        <v>0</v>
      </c>
      <c r="V5484" s="0" t="n">
        <f aca="false">G5484*G5484</f>
        <v>0.0625</v>
      </c>
      <c r="W5484" s="0" t="n">
        <f aca="false">H5484*H5484</f>
        <v>0.5625</v>
      </c>
      <c r="X5484" s="0" t="n">
        <f aca="false">SUMPRODUCT(I5484:W5484,_XtX!$B$96:$P$96)</f>
        <v>48.2539884868421</v>
      </c>
      <c r="Y5484" s="0" t="n">
        <f aca="false">SUMPRODUCT(MMULT(I5484:W5484,_XtX!$B$78:$P$92),I5484:W5484)</f>
        <v>0.281685455500731</v>
      </c>
      <c r="Z5484" s="0" t="n">
        <f aca="false">04_回帰ANOVA!$K$19*04_回帰ANOVA!$K$14*SQRT(1+Y5484)</f>
        <v>1.47566956658694</v>
      </c>
      <c r="AA5484" s="0" t="n">
        <f aca="false">X5484-Z5484</f>
        <v>46.7783189202552</v>
      </c>
      <c r="AB5484" s="0" t="n">
        <f aca="false">X5484+Z5484</f>
        <v>49.7296580534291</v>
      </c>
      <c r="AC5484" s="54" t="b">
        <f aca="false">AND(E5484&gt;=01_因子設定!$L$5-0.000000001,E5484&lt;=01_因子設定!$M$5+0.000000001,F5484&gt;=01_因子設定!$L$6-0.000000001,F5484&lt;=01_因子設定!$M$6+0.000000001,G5484&gt;=01_因子設定!$L$7-0.000000001,G5484&lt;=01_因子設定!$M$7+0.000000001,H5484&gt;=01_因子設定!$L$8-0.000000001,H5484&lt;=01_因子設定!$M$8+0.000000001,IF(01_因子設定!$B$20="Box-Behnken",E5484^2+F5484^2+G5484^2+H5484^2&lt;=2+0.000000001,TRUE()))</f>
        <v>1</v>
      </c>
      <c r="AD5484" s="55" t="n">
        <f aca="false">IF(AC5484,IF(01_因子設定!$B$13="最大化",AA5484-01_因子設定!$B$14,IF(01_因子設定!$B$13="最小化",01_因子設定!$B$15-AB5484,MIN(AA5484-01_因子設定!$B$14,01_因子設定!$B$15-AB5484))),-1E+030)</f>
        <v>0.278318920255174</v>
      </c>
      <c r="AE5484" s="55" t="n">
        <f aca="false">IF(AC5484,IF(01_因子設定!$B$13="最大化",X5484,IF(01_因子設定!$B$13="最小化",-X5484,-ABS(X5484-01_因子設定!$B$16))),-1E+030)</f>
        <v>48.2539884868421</v>
      </c>
      <c r="AF5484" s="55" t="n">
        <f aca="false">AD5484+ROW()*0.000000001</f>
        <v>0.278324404255174</v>
      </c>
      <c r="AG5484" s="55" t="n">
        <f aca="false">AE5484+ROW()*0.000000001</f>
        <v>48.2539939708421</v>
      </c>
    </row>
    <row r="5485" customFormat="false" ht="15" hidden="false" customHeight="false" outlineLevel="0" collapsed="false">
      <c r="A5485" s="0" t="n">
        <v>7</v>
      </c>
      <c r="B5485" s="0" t="n">
        <v>4</v>
      </c>
      <c r="C5485" s="0" t="n">
        <v>5</v>
      </c>
      <c r="D5485" s="0" t="n">
        <v>8</v>
      </c>
      <c r="E5485" s="0" t="n">
        <f aca="false">-1+A5485*0.25</f>
        <v>0.75</v>
      </c>
      <c r="F5485" s="0" t="n">
        <f aca="false">-1+B5485*0.25</f>
        <v>0</v>
      </c>
      <c r="G5485" s="0" t="n">
        <f aca="false">-1+C5485*0.25</f>
        <v>0.25</v>
      </c>
      <c r="H5485" s="0" t="n">
        <f aca="false">-1+D5485*0.25</f>
        <v>1</v>
      </c>
      <c r="I5485" s="0" t="n">
        <f aca="false">1</f>
        <v>1</v>
      </c>
      <c r="J5485" s="0" t="n">
        <f aca="false">E5485</f>
        <v>0.75</v>
      </c>
      <c r="K5485" s="0" t="n">
        <f aca="false">F5485</f>
        <v>0</v>
      </c>
      <c r="L5485" s="0" t="n">
        <f aca="false">G5485</f>
        <v>0.25</v>
      </c>
      <c r="M5485" s="0" t="n">
        <f aca="false">H5485</f>
        <v>1</v>
      </c>
      <c r="N5485" s="0" t="n">
        <f aca="false">E5485*F5485</f>
        <v>0</v>
      </c>
      <c r="O5485" s="0" t="n">
        <f aca="false">E5485*G5485</f>
        <v>0.1875</v>
      </c>
      <c r="P5485" s="0" t="n">
        <f aca="false">E5485*H5485</f>
        <v>0.75</v>
      </c>
      <c r="Q5485" s="0" t="n">
        <f aca="false">F5485*G5485</f>
        <v>0</v>
      </c>
      <c r="R5485" s="0" t="n">
        <f aca="false">F5485*H5485</f>
        <v>0</v>
      </c>
      <c r="S5485" s="0" t="n">
        <f aca="false">G5485*H5485</f>
        <v>0.25</v>
      </c>
      <c r="T5485" s="0" t="n">
        <f aca="false">E5485*E5485</f>
        <v>0.5625</v>
      </c>
      <c r="U5485" s="0" t="n">
        <f aca="false">F5485*F5485</f>
        <v>0</v>
      </c>
      <c r="V5485" s="0" t="n">
        <f aca="false">G5485*G5485</f>
        <v>0.0625</v>
      </c>
      <c r="W5485" s="0" t="n">
        <f aca="false">H5485*H5485</f>
        <v>1</v>
      </c>
      <c r="X5485" s="0" t="n">
        <f aca="false">SUMPRODUCT(I5485:W5485,_XtX!$B$96:$P$96)</f>
        <v>48.2294590643275</v>
      </c>
      <c r="Y5485" s="0" t="n">
        <f aca="false">SUMPRODUCT(MMULT(I5485:W5485,_XtX!$B$78:$P$92),I5485:W5485)</f>
        <v>0.501534802174708</v>
      </c>
      <c r="Z5485" s="0" t="n">
        <f aca="false">04_回帰ANOVA!$K$19*04_回帰ANOVA!$K$14*SQRT(1+Y5485)</f>
        <v>1.59722498091333</v>
      </c>
      <c r="AA5485" s="0" t="n">
        <f aca="false">X5485-Z5485</f>
        <v>46.6322340834142</v>
      </c>
      <c r="AB5485" s="0" t="n">
        <f aca="false">X5485+Z5485</f>
        <v>49.8266840452408</v>
      </c>
      <c r="AC5485" s="54" t="b">
        <f aca="false">AND(E5485&gt;=01_因子設定!$L$5-0.000000001,E5485&lt;=01_因子設定!$M$5+0.000000001,F5485&gt;=01_因子設定!$L$6-0.000000001,F5485&lt;=01_因子設定!$M$6+0.000000001,G5485&gt;=01_因子設定!$L$7-0.000000001,G5485&lt;=01_因子設定!$M$7+0.000000001,H5485&gt;=01_因子設定!$L$8-0.000000001,H5485&lt;=01_因子設定!$M$8+0.000000001,IF(01_因子設定!$B$20="Box-Behnken",E5485^2+F5485^2+G5485^2+H5485^2&lt;=2+0.000000001,TRUE()))</f>
        <v>1</v>
      </c>
      <c r="AD5485" s="55" t="n">
        <f aca="false">IF(AC5485,IF(01_因子設定!$B$13="最大化",AA5485-01_因子設定!$B$14,IF(01_因子設定!$B$13="最小化",01_因子設定!$B$15-AB5485,MIN(AA5485-01_因子設定!$B$14,01_因子設定!$B$15-AB5485))),-1E+030)</f>
        <v>0.132234083414176</v>
      </c>
      <c r="AE5485" s="55" t="n">
        <f aca="false">IF(AC5485,IF(01_因子設定!$B$13="最大化",X5485,IF(01_因子設定!$B$13="最小化",-X5485,-ABS(X5485-01_因子設定!$B$16))),-1E+030)</f>
        <v>48.2294590643275</v>
      </c>
      <c r="AF5485" s="55" t="n">
        <f aca="false">AD5485+ROW()*0.000000001</f>
        <v>0.132239568414176</v>
      </c>
      <c r="AG5485" s="55" t="n">
        <f aca="false">AE5485+ROW()*0.000000001</f>
        <v>48.2294645493275</v>
      </c>
    </row>
    <row r="5486" customFormat="false" ht="15" hidden="false" customHeight="false" outlineLevel="0" collapsed="false">
      <c r="A5486" s="0" t="n">
        <v>7</v>
      </c>
      <c r="B5486" s="0" t="n">
        <v>4</v>
      </c>
      <c r="C5486" s="0" t="n">
        <v>6</v>
      </c>
      <c r="D5486" s="0" t="n">
        <v>0</v>
      </c>
      <c r="E5486" s="0" t="n">
        <f aca="false">-1+A5486*0.25</f>
        <v>0.75</v>
      </c>
      <c r="F5486" s="0" t="n">
        <f aca="false">-1+B5486*0.25</f>
        <v>0</v>
      </c>
      <c r="G5486" s="0" t="n">
        <f aca="false">-1+C5486*0.25</f>
        <v>0.5</v>
      </c>
      <c r="H5486" s="0" t="n">
        <f aca="false">-1+D5486*0.25</f>
        <v>-1</v>
      </c>
      <c r="I5486" s="0" t="n">
        <f aca="false">1</f>
        <v>1</v>
      </c>
      <c r="J5486" s="0" t="n">
        <f aca="false">E5486</f>
        <v>0.75</v>
      </c>
      <c r="K5486" s="0" t="n">
        <f aca="false">F5486</f>
        <v>0</v>
      </c>
      <c r="L5486" s="0" t="n">
        <f aca="false">G5486</f>
        <v>0.5</v>
      </c>
      <c r="M5486" s="0" t="n">
        <f aca="false">H5486</f>
        <v>-1</v>
      </c>
      <c r="N5486" s="0" t="n">
        <f aca="false">E5486*F5486</f>
        <v>0</v>
      </c>
      <c r="O5486" s="0" t="n">
        <f aca="false">E5486*G5486</f>
        <v>0.375</v>
      </c>
      <c r="P5486" s="0" t="n">
        <f aca="false">E5486*H5486</f>
        <v>-0.75</v>
      </c>
      <c r="Q5486" s="0" t="n">
        <f aca="false">F5486*G5486</f>
        <v>0</v>
      </c>
      <c r="R5486" s="0" t="n">
        <f aca="false">F5486*H5486</f>
        <v>-0</v>
      </c>
      <c r="S5486" s="0" t="n">
        <f aca="false">G5486*H5486</f>
        <v>-0.5</v>
      </c>
      <c r="T5486" s="0" t="n">
        <f aca="false">E5486*E5486</f>
        <v>0.5625</v>
      </c>
      <c r="U5486" s="0" t="n">
        <f aca="false">F5486*F5486</f>
        <v>0</v>
      </c>
      <c r="V5486" s="0" t="n">
        <f aca="false">G5486*G5486</f>
        <v>0.25</v>
      </c>
      <c r="W5486" s="0" t="n">
        <f aca="false">H5486*H5486</f>
        <v>1</v>
      </c>
      <c r="X5486" s="0" t="n">
        <f aca="false">SUMPRODUCT(I5486:W5486,_XtX!$B$96:$P$96)</f>
        <v>47.0112207602339</v>
      </c>
      <c r="Y5486" s="0" t="n">
        <f aca="false">SUMPRODUCT(MMULT(I5486:W5486,_XtX!$B$78:$P$92),I5486:W5486)</f>
        <v>0.476191292032164</v>
      </c>
      <c r="Z5486" s="0" t="n">
        <f aca="false">04_回帰ANOVA!$K$19*04_回帰ANOVA!$K$14*SQRT(1+Y5486)</f>
        <v>1.58368831471718</v>
      </c>
      <c r="AA5486" s="0" t="n">
        <f aca="false">X5486-Z5486</f>
        <v>45.4275324455168</v>
      </c>
      <c r="AB5486" s="0" t="n">
        <f aca="false">X5486+Z5486</f>
        <v>48.5949090749511</v>
      </c>
      <c r="AC5486" s="54" t="b">
        <f aca="false">AND(E5486&gt;=01_因子設定!$L$5-0.000000001,E5486&lt;=01_因子設定!$M$5+0.000000001,F5486&gt;=01_因子設定!$L$6-0.000000001,F5486&lt;=01_因子設定!$M$6+0.000000001,G5486&gt;=01_因子設定!$L$7-0.000000001,G5486&lt;=01_因子設定!$M$7+0.000000001,H5486&gt;=01_因子設定!$L$8-0.000000001,H5486&lt;=01_因子設定!$M$8+0.000000001,IF(01_因子設定!$B$20="Box-Behnken",E5486^2+F5486^2+G5486^2+H5486^2&lt;=2+0.000000001,TRUE()))</f>
        <v>1</v>
      </c>
      <c r="AD5486" s="55" t="n">
        <f aca="false">IF(AC5486,IF(01_因子設定!$B$13="最大化",AA5486-01_因子設定!$B$14,IF(01_因子設定!$B$13="最小化",01_因子設定!$B$15-AB5486,MIN(AA5486-01_因子設定!$B$14,01_因子設定!$B$15-AB5486))),-1E+030)</f>
        <v>-1.07246755448324</v>
      </c>
      <c r="AE5486" s="55" t="n">
        <f aca="false">IF(AC5486,IF(01_因子設定!$B$13="最大化",X5486,IF(01_因子設定!$B$13="最小化",-X5486,-ABS(X5486-01_因子設定!$B$16))),-1E+030)</f>
        <v>47.0112207602339</v>
      </c>
      <c r="AF5486" s="55" t="n">
        <f aca="false">AD5486+ROW()*0.000000001</f>
        <v>-1.07246206848324</v>
      </c>
      <c r="AG5486" s="55" t="n">
        <f aca="false">AE5486+ROW()*0.000000001</f>
        <v>47.0112262462339</v>
      </c>
    </row>
    <row r="5487" customFormat="false" ht="15" hidden="false" customHeight="false" outlineLevel="0" collapsed="false">
      <c r="A5487" s="0" t="n">
        <v>7</v>
      </c>
      <c r="B5487" s="0" t="n">
        <v>4</v>
      </c>
      <c r="C5487" s="0" t="n">
        <v>6</v>
      </c>
      <c r="D5487" s="0" t="n">
        <v>1</v>
      </c>
      <c r="E5487" s="0" t="n">
        <f aca="false">-1+A5487*0.25</f>
        <v>0.75</v>
      </c>
      <c r="F5487" s="0" t="n">
        <f aca="false">-1+B5487*0.25</f>
        <v>0</v>
      </c>
      <c r="G5487" s="0" t="n">
        <f aca="false">-1+C5487*0.25</f>
        <v>0.5</v>
      </c>
      <c r="H5487" s="0" t="n">
        <f aca="false">-1+D5487*0.25</f>
        <v>-0.75</v>
      </c>
      <c r="I5487" s="0" t="n">
        <f aca="false">1</f>
        <v>1</v>
      </c>
      <c r="J5487" s="0" t="n">
        <f aca="false">E5487</f>
        <v>0.75</v>
      </c>
      <c r="K5487" s="0" t="n">
        <f aca="false">F5487</f>
        <v>0</v>
      </c>
      <c r="L5487" s="0" t="n">
        <f aca="false">G5487</f>
        <v>0.5</v>
      </c>
      <c r="M5487" s="0" t="n">
        <f aca="false">H5487</f>
        <v>-0.75</v>
      </c>
      <c r="N5487" s="0" t="n">
        <f aca="false">E5487*F5487</f>
        <v>0</v>
      </c>
      <c r="O5487" s="0" t="n">
        <f aca="false">E5487*G5487</f>
        <v>0.375</v>
      </c>
      <c r="P5487" s="0" t="n">
        <f aca="false">E5487*H5487</f>
        <v>-0.5625</v>
      </c>
      <c r="Q5487" s="0" t="n">
        <f aca="false">F5487*G5487</f>
        <v>0</v>
      </c>
      <c r="R5487" s="0" t="n">
        <f aca="false">F5487*H5487</f>
        <v>-0</v>
      </c>
      <c r="S5487" s="0" t="n">
        <f aca="false">G5487*H5487</f>
        <v>-0.375</v>
      </c>
      <c r="T5487" s="0" t="n">
        <f aca="false">E5487*E5487</f>
        <v>0.5625</v>
      </c>
      <c r="U5487" s="0" t="n">
        <f aca="false">F5487*F5487</f>
        <v>0</v>
      </c>
      <c r="V5487" s="0" t="n">
        <f aca="false">G5487*G5487</f>
        <v>0.25</v>
      </c>
      <c r="W5487" s="0" t="n">
        <f aca="false">H5487*H5487</f>
        <v>0.5625</v>
      </c>
      <c r="X5487" s="0" t="n">
        <f aca="false">SUMPRODUCT(I5487:W5487,_XtX!$B$96:$P$96)</f>
        <v>47.3393092105263</v>
      </c>
      <c r="Y5487" s="0" t="n">
        <f aca="false">SUMPRODUCT(MMULT(I5487:W5487,_XtX!$B$78:$P$92),I5487:W5487)</f>
        <v>0.269923873812135</v>
      </c>
      <c r="Z5487" s="0" t="n">
        <f aca="false">04_回帰ANOVA!$K$19*04_回帰ANOVA!$K$14*SQRT(1+Y5487)</f>
        <v>1.46888310825501</v>
      </c>
      <c r="AA5487" s="0" t="n">
        <f aca="false">X5487-Z5487</f>
        <v>45.8704261022713</v>
      </c>
      <c r="AB5487" s="0" t="n">
        <f aca="false">X5487+Z5487</f>
        <v>48.8081923187813</v>
      </c>
      <c r="AC5487" s="54" t="b">
        <f aca="false">AND(E5487&gt;=01_因子設定!$L$5-0.000000001,E5487&lt;=01_因子設定!$M$5+0.000000001,F5487&gt;=01_因子設定!$L$6-0.000000001,F5487&lt;=01_因子設定!$M$6+0.000000001,G5487&gt;=01_因子設定!$L$7-0.000000001,G5487&lt;=01_因子設定!$M$7+0.000000001,H5487&gt;=01_因子設定!$L$8-0.000000001,H5487&lt;=01_因子設定!$M$8+0.000000001,IF(01_因子設定!$B$20="Box-Behnken",E5487^2+F5487^2+G5487^2+H5487^2&lt;=2+0.000000001,TRUE()))</f>
        <v>1</v>
      </c>
      <c r="AD5487" s="55" t="n">
        <f aca="false">IF(AC5487,IF(01_因子設定!$B$13="最大化",AA5487-01_因子設定!$B$14,IF(01_因子設定!$B$13="最小化",01_因子設定!$B$15-AB5487,MIN(AA5487-01_因子設定!$B$14,01_因子設定!$B$15-AB5487))),-1E+030)</f>
        <v>-0.629573897728683</v>
      </c>
      <c r="AE5487" s="55" t="n">
        <f aca="false">IF(AC5487,IF(01_因子設定!$B$13="最大化",X5487,IF(01_因子設定!$B$13="最小化",-X5487,-ABS(X5487-01_因子設定!$B$16))),-1E+030)</f>
        <v>47.3393092105263</v>
      </c>
      <c r="AF5487" s="55" t="n">
        <f aca="false">AD5487+ROW()*0.000000001</f>
        <v>-0.629568410728683</v>
      </c>
      <c r="AG5487" s="55" t="n">
        <f aca="false">AE5487+ROW()*0.000000001</f>
        <v>47.3393146975263</v>
      </c>
    </row>
    <row r="5488" customFormat="false" ht="15" hidden="false" customHeight="false" outlineLevel="0" collapsed="false">
      <c r="A5488" s="0" t="n">
        <v>7</v>
      </c>
      <c r="B5488" s="0" t="n">
        <v>4</v>
      </c>
      <c r="C5488" s="0" t="n">
        <v>6</v>
      </c>
      <c r="D5488" s="0" t="n">
        <v>2</v>
      </c>
      <c r="E5488" s="0" t="n">
        <f aca="false">-1+A5488*0.25</f>
        <v>0.75</v>
      </c>
      <c r="F5488" s="0" t="n">
        <f aca="false">-1+B5488*0.25</f>
        <v>0</v>
      </c>
      <c r="G5488" s="0" t="n">
        <f aca="false">-1+C5488*0.25</f>
        <v>0.5</v>
      </c>
      <c r="H5488" s="0" t="n">
        <f aca="false">-1+D5488*0.25</f>
        <v>-0.5</v>
      </c>
      <c r="I5488" s="0" t="n">
        <f aca="false">1</f>
        <v>1</v>
      </c>
      <c r="J5488" s="0" t="n">
        <f aca="false">E5488</f>
        <v>0.75</v>
      </c>
      <c r="K5488" s="0" t="n">
        <f aca="false">F5488</f>
        <v>0</v>
      </c>
      <c r="L5488" s="0" t="n">
        <f aca="false">G5488</f>
        <v>0.5</v>
      </c>
      <c r="M5488" s="0" t="n">
        <f aca="false">H5488</f>
        <v>-0.5</v>
      </c>
      <c r="N5488" s="0" t="n">
        <f aca="false">E5488*F5488</f>
        <v>0</v>
      </c>
      <c r="O5488" s="0" t="n">
        <f aca="false">E5488*G5488</f>
        <v>0.375</v>
      </c>
      <c r="P5488" s="0" t="n">
        <f aca="false">E5488*H5488</f>
        <v>-0.375</v>
      </c>
      <c r="Q5488" s="0" t="n">
        <f aca="false">F5488*G5488</f>
        <v>0</v>
      </c>
      <c r="R5488" s="0" t="n">
        <f aca="false">F5488*H5488</f>
        <v>-0</v>
      </c>
      <c r="S5488" s="0" t="n">
        <f aca="false">G5488*H5488</f>
        <v>-0.25</v>
      </c>
      <c r="T5488" s="0" t="n">
        <f aca="false">E5488*E5488</f>
        <v>0.5625</v>
      </c>
      <c r="U5488" s="0" t="n">
        <f aca="false">F5488*F5488</f>
        <v>0</v>
      </c>
      <c r="V5488" s="0" t="n">
        <f aca="false">G5488*G5488</f>
        <v>0.25</v>
      </c>
      <c r="W5488" s="0" t="n">
        <f aca="false">H5488*H5488</f>
        <v>0.25</v>
      </c>
      <c r="X5488" s="0" t="n">
        <f aca="false">SUMPRODUCT(I5488:W5488,_XtX!$B$96:$P$96)</f>
        <v>47.6195906432749</v>
      </c>
      <c r="Y5488" s="0" t="n">
        <f aca="false">SUMPRODUCT(MMULT(I5488:W5488,_XtX!$B$78:$P$92),I5488:W5488)</f>
        <v>0.21305052997076</v>
      </c>
      <c r="Z5488" s="0" t="n">
        <f aca="false">04_回帰ANOVA!$K$19*04_回帰ANOVA!$K$14*SQRT(1+Y5488)</f>
        <v>1.43561450835061</v>
      </c>
      <c r="AA5488" s="0" t="n">
        <f aca="false">X5488-Z5488</f>
        <v>46.1839761349242</v>
      </c>
      <c r="AB5488" s="0" t="n">
        <f aca="false">X5488+Z5488</f>
        <v>49.0552051516255</v>
      </c>
      <c r="AC5488" s="54" t="b">
        <f aca="false">AND(E5488&gt;=01_因子設定!$L$5-0.000000001,E5488&lt;=01_因子設定!$M$5+0.000000001,F5488&gt;=01_因子設定!$L$6-0.000000001,F5488&lt;=01_因子設定!$M$6+0.000000001,G5488&gt;=01_因子設定!$L$7-0.000000001,G5488&lt;=01_因子設定!$M$7+0.000000001,H5488&gt;=01_因子設定!$L$8-0.000000001,H5488&lt;=01_因子設定!$M$8+0.000000001,IF(01_因子設定!$B$20="Box-Behnken",E5488^2+F5488^2+G5488^2+H5488^2&lt;=2+0.000000001,TRUE()))</f>
        <v>1</v>
      </c>
      <c r="AD5488" s="55" t="n">
        <f aca="false">IF(AC5488,IF(01_因子設定!$B$13="最大化",AA5488-01_因子設定!$B$14,IF(01_因子設定!$B$13="最小化",01_因子設定!$B$15-AB5488,MIN(AA5488-01_因子設定!$B$14,01_因子設定!$B$15-AB5488))),-1E+030)</f>
        <v>-0.316023865075756</v>
      </c>
      <c r="AE5488" s="55" t="n">
        <f aca="false">IF(AC5488,IF(01_因子設定!$B$13="最大化",X5488,IF(01_因子設定!$B$13="最小化",-X5488,-ABS(X5488-01_因子設定!$B$16))),-1E+030)</f>
        <v>47.6195906432749</v>
      </c>
      <c r="AF5488" s="55" t="n">
        <f aca="false">AD5488+ROW()*0.000000001</f>
        <v>-0.316018377075756</v>
      </c>
      <c r="AG5488" s="55" t="n">
        <f aca="false">AE5488+ROW()*0.000000001</f>
        <v>47.6195961312749</v>
      </c>
    </row>
    <row r="5489" customFormat="false" ht="15" hidden="false" customHeight="false" outlineLevel="0" collapsed="false">
      <c r="A5489" s="0" t="n">
        <v>7</v>
      </c>
      <c r="B5489" s="0" t="n">
        <v>4</v>
      </c>
      <c r="C5489" s="0" t="n">
        <v>6</v>
      </c>
      <c r="D5489" s="0" t="n">
        <v>3</v>
      </c>
      <c r="E5489" s="0" t="n">
        <f aca="false">-1+A5489*0.25</f>
        <v>0.75</v>
      </c>
      <c r="F5489" s="0" t="n">
        <f aca="false">-1+B5489*0.25</f>
        <v>0</v>
      </c>
      <c r="G5489" s="0" t="n">
        <f aca="false">-1+C5489*0.25</f>
        <v>0.5</v>
      </c>
      <c r="H5489" s="0" t="n">
        <f aca="false">-1+D5489*0.25</f>
        <v>-0.25</v>
      </c>
      <c r="I5489" s="0" t="n">
        <f aca="false">1</f>
        <v>1</v>
      </c>
      <c r="J5489" s="0" t="n">
        <f aca="false">E5489</f>
        <v>0.75</v>
      </c>
      <c r="K5489" s="0" t="n">
        <f aca="false">F5489</f>
        <v>0</v>
      </c>
      <c r="L5489" s="0" t="n">
        <f aca="false">G5489</f>
        <v>0.5</v>
      </c>
      <c r="M5489" s="0" t="n">
        <f aca="false">H5489</f>
        <v>-0.25</v>
      </c>
      <c r="N5489" s="0" t="n">
        <f aca="false">E5489*F5489</f>
        <v>0</v>
      </c>
      <c r="O5489" s="0" t="n">
        <f aca="false">E5489*G5489</f>
        <v>0.375</v>
      </c>
      <c r="P5489" s="0" t="n">
        <f aca="false">E5489*H5489</f>
        <v>-0.1875</v>
      </c>
      <c r="Q5489" s="0" t="n">
        <f aca="false">F5489*G5489</f>
        <v>0</v>
      </c>
      <c r="R5489" s="0" t="n">
        <f aca="false">F5489*H5489</f>
        <v>-0</v>
      </c>
      <c r="S5489" s="0" t="n">
        <f aca="false">G5489*H5489</f>
        <v>-0.125</v>
      </c>
      <c r="T5489" s="0" t="n">
        <f aca="false">E5489*E5489</f>
        <v>0.5625</v>
      </c>
      <c r="U5489" s="0" t="n">
        <f aca="false">F5489*F5489</f>
        <v>0</v>
      </c>
      <c r="V5489" s="0" t="n">
        <f aca="false">G5489*G5489</f>
        <v>0.25</v>
      </c>
      <c r="W5489" s="0" t="n">
        <f aca="false">H5489*H5489</f>
        <v>0.0625</v>
      </c>
      <c r="X5489" s="0" t="n">
        <f aca="false">SUMPRODUCT(I5489:W5489,_XtX!$B$96:$P$96)</f>
        <v>47.8520650584795</v>
      </c>
      <c r="Y5489" s="0" t="n">
        <f aca="false">SUMPRODUCT(MMULT(I5489:W5489,_XtX!$B$78:$P$92),I5489:W5489)</f>
        <v>0.215110734192252</v>
      </c>
      <c r="Z5489" s="0" t="n">
        <f aca="false">04_回帰ANOVA!$K$19*04_回帰ANOVA!$K$14*SQRT(1+Y5489)</f>
        <v>1.43683309086864</v>
      </c>
      <c r="AA5489" s="0" t="n">
        <f aca="false">X5489-Z5489</f>
        <v>46.4152319676109</v>
      </c>
      <c r="AB5489" s="0" t="n">
        <f aca="false">X5489+Z5489</f>
        <v>49.2888981493482</v>
      </c>
      <c r="AC5489" s="54" t="b">
        <f aca="false">AND(E5489&gt;=01_因子設定!$L$5-0.000000001,E5489&lt;=01_因子設定!$M$5+0.000000001,F5489&gt;=01_因子設定!$L$6-0.000000001,F5489&lt;=01_因子設定!$M$6+0.000000001,G5489&gt;=01_因子設定!$L$7-0.000000001,G5489&lt;=01_因子設定!$M$7+0.000000001,H5489&gt;=01_因子設定!$L$8-0.000000001,H5489&lt;=01_因子設定!$M$8+0.000000001,IF(01_因子設定!$B$20="Box-Behnken",E5489^2+F5489^2+G5489^2+H5489^2&lt;=2+0.000000001,TRUE()))</f>
        <v>1</v>
      </c>
      <c r="AD5489" s="55" t="n">
        <f aca="false">IF(AC5489,IF(01_因子設定!$B$13="最大化",AA5489-01_因子設定!$B$14,IF(01_因子設定!$B$13="最小化",01_因子設定!$B$15-AB5489,MIN(AA5489-01_因子設定!$B$14,01_因子設定!$B$15-AB5489))),-1E+030)</f>
        <v>-0.0847680323891282</v>
      </c>
      <c r="AE5489" s="55" t="n">
        <f aca="false">IF(AC5489,IF(01_因子設定!$B$13="最大化",X5489,IF(01_因子設定!$B$13="最小化",-X5489,-ABS(X5489-01_因子設定!$B$16))),-1E+030)</f>
        <v>47.8520650584795</v>
      </c>
      <c r="AF5489" s="55" t="n">
        <f aca="false">AD5489+ROW()*0.000000001</f>
        <v>-0.0847625433891282</v>
      </c>
      <c r="AG5489" s="55" t="n">
        <f aca="false">AE5489+ROW()*0.000000001</f>
        <v>47.8520705474795</v>
      </c>
    </row>
    <row r="5490" customFormat="false" ht="15" hidden="false" customHeight="false" outlineLevel="0" collapsed="false">
      <c r="A5490" s="0" t="n">
        <v>7</v>
      </c>
      <c r="B5490" s="0" t="n">
        <v>4</v>
      </c>
      <c r="C5490" s="0" t="n">
        <v>6</v>
      </c>
      <c r="D5490" s="0" t="n">
        <v>4</v>
      </c>
      <c r="E5490" s="0" t="n">
        <f aca="false">-1+A5490*0.25</f>
        <v>0.75</v>
      </c>
      <c r="F5490" s="0" t="n">
        <f aca="false">-1+B5490*0.25</f>
        <v>0</v>
      </c>
      <c r="G5490" s="0" t="n">
        <f aca="false">-1+C5490*0.25</f>
        <v>0.5</v>
      </c>
      <c r="H5490" s="0" t="n">
        <f aca="false">-1+D5490*0.25</f>
        <v>0</v>
      </c>
      <c r="I5490" s="0" t="n">
        <f aca="false">1</f>
        <v>1</v>
      </c>
      <c r="J5490" s="0" t="n">
        <f aca="false">E5490</f>
        <v>0.75</v>
      </c>
      <c r="K5490" s="0" t="n">
        <f aca="false">F5490</f>
        <v>0</v>
      </c>
      <c r="L5490" s="0" t="n">
        <f aca="false">G5490</f>
        <v>0.5</v>
      </c>
      <c r="M5490" s="0" t="n">
        <f aca="false">H5490</f>
        <v>0</v>
      </c>
      <c r="N5490" s="0" t="n">
        <f aca="false">E5490*F5490</f>
        <v>0</v>
      </c>
      <c r="O5490" s="0" t="n">
        <f aca="false">E5490*G5490</f>
        <v>0.375</v>
      </c>
      <c r="P5490" s="0" t="n">
        <f aca="false">E5490*H5490</f>
        <v>0</v>
      </c>
      <c r="Q5490" s="0" t="n">
        <f aca="false">F5490*G5490</f>
        <v>0</v>
      </c>
      <c r="R5490" s="0" t="n">
        <f aca="false">F5490*H5490</f>
        <v>0</v>
      </c>
      <c r="S5490" s="0" t="n">
        <f aca="false">G5490*H5490</f>
        <v>0</v>
      </c>
      <c r="T5490" s="0" t="n">
        <f aca="false">E5490*E5490</f>
        <v>0.5625</v>
      </c>
      <c r="U5490" s="0" t="n">
        <f aca="false">F5490*F5490</f>
        <v>0</v>
      </c>
      <c r="V5490" s="0" t="n">
        <f aca="false">G5490*G5490</f>
        <v>0.25</v>
      </c>
      <c r="W5490" s="0" t="n">
        <f aca="false">H5490*H5490</f>
        <v>0</v>
      </c>
      <c r="X5490" s="0" t="n">
        <f aca="false">SUMPRODUCT(I5490:W5490,_XtX!$B$96:$P$96)</f>
        <v>48.0367324561403</v>
      </c>
      <c r="Y5490" s="0" t="n">
        <f aca="false">SUMPRODUCT(MMULT(I5490:W5490,_XtX!$B$78:$P$92),I5490:W5490)</f>
        <v>0.221828170687135</v>
      </c>
      <c r="Z5490" s="0" t="n">
        <f aca="false">04_回帰ANOVA!$K$19*04_回帰ANOVA!$K$14*SQRT(1+Y5490)</f>
        <v>1.44079920361664</v>
      </c>
      <c r="AA5490" s="0" t="n">
        <f aca="false">X5490-Z5490</f>
        <v>46.5959332525237</v>
      </c>
      <c r="AB5490" s="0" t="n">
        <f aca="false">X5490+Z5490</f>
        <v>49.477531659757</v>
      </c>
      <c r="AC5490" s="54" t="b">
        <f aca="false">AND(E5490&gt;=01_因子設定!$L$5-0.000000001,E5490&lt;=01_因子設定!$M$5+0.000000001,F5490&gt;=01_因子設定!$L$6-0.000000001,F5490&lt;=01_因子設定!$M$6+0.000000001,G5490&gt;=01_因子設定!$L$7-0.000000001,G5490&lt;=01_因子設定!$M$7+0.000000001,H5490&gt;=01_因子設定!$L$8-0.000000001,H5490&lt;=01_因子設定!$M$8+0.000000001,IF(01_因子設定!$B$20="Box-Behnken",E5490^2+F5490^2+G5490^2+H5490^2&lt;=2+0.000000001,TRUE()))</f>
        <v>1</v>
      </c>
      <c r="AD5490" s="55" t="n">
        <f aca="false">IF(AC5490,IF(01_因子設定!$B$13="最大化",AA5490-01_因子設定!$B$14,IF(01_因子設定!$B$13="最小化",01_因子設定!$B$15-AB5490,MIN(AA5490-01_因子設定!$B$14,01_因子設定!$B$15-AB5490))),-1E+030)</f>
        <v>0.0959332525236931</v>
      </c>
      <c r="AE5490" s="55" t="n">
        <f aca="false">IF(AC5490,IF(01_因子設定!$B$13="最大化",X5490,IF(01_因子設定!$B$13="最小化",-X5490,-ABS(X5490-01_因子設定!$B$16))),-1E+030)</f>
        <v>48.0367324561403</v>
      </c>
      <c r="AF5490" s="55" t="n">
        <f aca="false">AD5490+ROW()*0.000000001</f>
        <v>0.0959387425236931</v>
      </c>
      <c r="AG5490" s="55" t="n">
        <f aca="false">AE5490+ROW()*0.000000001</f>
        <v>48.0367379461403</v>
      </c>
    </row>
    <row r="5491" customFormat="false" ht="15" hidden="false" customHeight="false" outlineLevel="0" collapsed="false">
      <c r="A5491" s="0" t="n">
        <v>7</v>
      </c>
      <c r="B5491" s="0" t="n">
        <v>4</v>
      </c>
      <c r="C5491" s="0" t="n">
        <v>6</v>
      </c>
      <c r="D5491" s="0" t="n">
        <v>5</v>
      </c>
      <c r="E5491" s="0" t="n">
        <f aca="false">-1+A5491*0.25</f>
        <v>0.75</v>
      </c>
      <c r="F5491" s="0" t="n">
        <f aca="false">-1+B5491*0.25</f>
        <v>0</v>
      </c>
      <c r="G5491" s="0" t="n">
        <f aca="false">-1+C5491*0.25</f>
        <v>0.5</v>
      </c>
      <c r="H5491" s="0" t="n">
        <f aca="false">-1+D5491*0.25</f>
        <v>0.25</v>
      </c>
      <c r="I5491" s="0" t="n">
        <f aca="false">1</f>
        <v>1</v>
      </c>
      <c r="J5491" s="0" t="n">
        <f aca="false">E5491</f>
        <v>0.75</v>
      </c>
      <c r="K5491" s="0" t="n">
        <f aca="false">F5491</f>
        <v>0</v>
      </c>
      <c r="L5491" s="0" t="n">
        <f aca="false">G5491</f>
        <v>0.5</v>
      </c>
      <c r="M5491" s="0" t="n">
        <f aca="false">H5491</f>
        <v>0.25</v>
      </c>
      <c r="N5491" s="0" t="n">
        <f aca="false">E5491*F5491</f>
        <v>0</v>
      </c>
      <c r="O5491" s="0" t="n">
        <f aca="false">E5491*G5491</f>
        <v>0.375</v>
      </c>
      <c r="P5491" s="0" t="n">
        <f aca="false">E5491*H5491</f>
        <v>0.1875</v>
      </c>
      <c r="Q5491" s="0" t="n">
        <f aca="false">F5491*G5491</f>
        <v>0</v>
      </c>
      <c r="R5491" s="0" t="n">
        <f aca="false">F5491*H5491</f>
        <v>0</v>
      </c>
      <c r="S5491" s="0" t="n">
        <f aca="false">G5491*H5491</f>
        <v>0.125</v>
      </c>
      <c r="T5491" s="0" t="n">
        <f aca="false">E5491*E5491</f>
        <v>0.5625</v>
      </c>
      <c r="U5491" s="0" t="n">
        <f aca="false">F5491*F5491</f>
        <v>0</v>
      </c>
      <c r="V5491" s="0" t="n">
        <f aca="false">G5491*G5491</f>
        <v>0.25</v>
      </c>
      <c r="W5491" s="0" t="n">
        <f aca="false">H5491*H5491</f>
        <v>0.0625</v>
      </c>
      <c r="X5491" s="0" t="n">
        <f aca="false">SUMPRODUCT(I5491:W5491,_XtX!$B$96:$P$96)</f>
        <v>48.1735928362573</v>
      </c>
      <c r="Y5491" s="0" t="n">
        <f aca="false">SUMPRODUCT(MMULT(I5491:W5491,_XtX!$B$78:$P$92),I5491:W5491)</f>
        <v>0.215110734192252</v>
      </c>
      <c r="Z5491" s="0" t="n">
        <f aca="false">04_回帰ANOVA!$K$19*04_回帰ANOVA!$K$14*SQRT(1+Y5491)</f>
        <v>1.43683309086864</v>
      </c>
      <c r="AA5491" s="0" t="n">
        <f aca="false">X5491-Z5491</f>
        <v>46.7367597453887</v>
      </c>
      <c r="AB5491" s="0" t="n">
        <f aca="false">X5491+Z5491</f>
        <v>49.6104259271259</v>
      </c>
      <c r="AC5491" s="54" t="b">
        <f aca="false">AND(E5491&gt;=01_因子設定!$L$5-0.000000001,E5491&lt;=01_因子設定!$M$5+0.000000001,F5491&gt;=01_因子設定!$L$6-0.000000001,F5491&lt;=01_因子設定!$M$6+0.000000001,G5491&gt;=01_因子設定!$L$7-0.000000001,G5491&lt;=01_因子設定!$M$7+0.000000001,H5491&gt;=01_因子設定!$L$8-0.000000001,H5491&lt;=01_因子設定!$M$8+0.000000001,IF(01_因子設定!$B$20="Box-Behnken",E5491^2+F5491^2+G5491^2+H5491^2&lt;=2+0.000000001,TRUE()))</f>
        <v>1</v>
      </c>
      <c r="AD5491" s="55" t="n">
        <f aca="false">IF(AC5491,IF(01_因子設定!$B$13="最大化",AA5491-01_因子設定!$B$14,IF(01_因子設定!$B$13="最小化",01_因子設定!$B$15-AB5491,MIN(AA5491-01_因子設定!$B$14,01_因子設定!$B$15-AB5491))),-1E+030)</f>
        <v>0.236759745388653</v>
      </c>
      <c r="AE5491" s="55" t="n">
        <f aca="false">IF(AC5491,IF(01_因子設定!$B$13="最大化",X5491,IF(01_因子設定!$B$13="最小化",-X5491,-ABS(X5491-01_因子設定!$B$16))),-1E+030)</f>
        <v>48.1735928362573</v>
      </c>
      <c r="AF5491" s="55" t="n">
        <f aca="false">AD5491+ROW()*0.000000001</f>
        <v>0.236765236388653</v>
      </c>
      <c r="AG5491" s="55" t="n">
        <f aca="false">AE5491+ROW()*0.000000001</f>
        <v>48.1735983272573</v>
      </c>
    </row>
    <row r="5492" customFormat="false" ht="15" hidden="false" customHeight="false" outlineLevel="0" collapsed="false">
      <c r="A5492" s="0" t="n">
        <v>7</v>
      </c>
      <c r="B5492" s="0" t="n">
        <v>4</v>
      </c>
      <c r="C5492" s="0" t="n">
        <v>6</v>
      </c>
      <c r="D5492" s="0" t="n">
        <v>6</v>
      </c>
      <c r="E5492" s="0" t="n">
        <f aca="false">-1+A5492*0.25</f>
        <v>0.75</v>
      </c>
      <c r="F5492" s="0" t="n">
        <f aca="false">-1+B5492*0.25</f>
        <v>0</v>
      </c>
      <c r="G5492" s="0" t="n">
        <f aca="false">-1+C5492*0.25</f>
        <v>0.5</v>
      </c>
      <c r="H5492" s="0" t="n">
        <f aca="false">-1+D5492*0.25</f>
        <v>0.5</v>
      </c>
      <c r="I5492" s="0" t="n">
        <f aca="false">1</f>
        <v>1</v>
      </c>
      <c r="J5492" s="0" t="n">
        <f aca="false">E5492</f>
        <v>0.75</v>
      </c>
      <c r="K5492" s="0" t="n">
        <f aca="false">F5492</f>
        <v>0</v>
      </c>
      <c r="L5492" s="0" t="n">
        <f aca="false">G5492</f>
        <v>0.5</v>
      </c>
      <c r="M5492" s="0" t="n">
        <f aca="false">H5492</f>
        <v>0.5</v>
      </c>
      <c r="N5492" s="0" t="n">
        <f aca="false">E5492*F5492</f>
        <v>0</v>
      </c>
      <c r="O5492" s="0" t="n">
        <f aca="false">E5492*G5492</f>
        <v>0.375</v>
      </c>
      <c r="P5492" s="0" t="n">
        <f aca="false">E5492*H5492</f>
        <v>0.375</v>
      </c>
      <c r="Q5492" s="0" t="n">
        <f aca="false">F5492*G5492</f>
        <v>0</v>
      </c>
      <c r="R5492" s="0" t="n">
        <f aca="false">F5492*H5492</f>
        <v>0</v>
      </c>
      <c r="S5492" s="0" t="n">
        <f aca="false">G5492*H5492</f>
        <v>0.25</v>
      </c>
      <c r="T5492" s="0" t="n">
        <f aca="false">E5492*E5492</f>
        <v>0.5625</v>
      </c>
      <c r="U5492" s="0" t="n">
        <f aca="false">F5492*F5492</f>
        <v>0</v>
      </c>
      <c r="V5492" s="0" t="n">
        <f aca="false">G5492*G5492</f>
        <v>0.25</v>
      </c>
      <c r="W5492" s="0" t="n">
        <f aca="false">H5492*H5492</f>
        <v>0.25</v>
      </c>
      <c r="X5492" s="0" t="n">
        <f aca="false">SUMPRODUCT(I5492:W5492,_XtX!$B$96:$P$96)</f>
        <v>48.2626461988304</v>
      </c>
      <c r="Y5492" s="0" t="n">
        <f aca="false">SUMPRODUCT(MMULT(I5492:W5492,_XtX!$B$78:$P$92),I5492:W5492)</f>
        <v>0.21305052997076</v>
      </c>
      <c r="Z5492" s="0" t="n">
        <f aca="false">04_回帰ANOVA!$K$19*04_回帰ANOVA!$K$14*SQRT(1+Y5492)</f>
        <v>1.43561450835061</v>
      </c>
      <c r="AA5492" s="0" t="n">
        <f aca="false">X5492-Z5492</f>
        <v>46.8270316904798</v>
      </c>
      <c r="AB5492" s="0" t="n">
        <f aca="false">X5492+Z5492</f>
        <v>49.698260707181</v>
      </c>
      <c r="AC5492" s="54" t="b">
        <f aca="false">AND(E5492&gt;=01_因子設定!$L$5-0.000000001,E5492&lt;=01_因子設定!$M$5+0.000000001,F5492&gt;=01_因子設定!$L$6-0.000000001,F5492&lt;=01_因子設定!$M$6+0.000000001,G5492&gt;=01_因子設定!$L$7-0.000000001,G5492&lt;=01_因子設定!$M$7+0.000000001,H5492&gt;=01_因子設定!$L$8-0.000000001,H5492&lt;=01_因子設定!$M$8+0.000000001,IF(01_因子設定!$B$20="Box-Behnken",E5492^2+F5492^2+G5492^2+H5492^2&lt;=2+0.000000001,TRUE()))</f>
        <v>1</v>
      </c>
      <c r="AD5492" s="55" t="n">
        <f aca="false">IF(AC5492,IF(01_因子設定!$B$13="最大化",AA5492-01_因子設定!$B$14,IF(01_因子設定!$B$13="最小化",01_因子設定!$B$15-AB5492,MIN(AA5492-01_因子設定!$B$14,01_因子設定!$B$15-AB5492))),-1E+030)</f>
        <v>0.327031690479799</v>
      </c>
      <c r="AE5492" s="55" t="n">
        <f aca="false">IF(AC5492,IF(01_因子設定!$B$13="最大化",X5492,IF(01_因子設定!$B$13="最小化",-X5492,-ABS(X5492-01_因子設定!$B$16))),-1E+030)</f>
        <v>48.2626461988304</v>
      </c>
      <c r="AF5492" s="55" t="n">
        <f aca="false">AD5492+ROW()*0.000000001</f>
        <v>0.327037182479799</v>
      </c>
      <c r="AG5492" s="55" t="n">
        <f aca="false">AE5492+ROW()*0.000000001</f>
        <v>48.2626516908304</v>
      </c>
    </row>
    <row r="5493" customFormat="false" ht="15" hidden="false" customHeight="false" outlineLevel="0" collapsed="false">
      <c r="A5493" s="0" t="n">
        <v>7</v>
      </c>
      <c r="B5493" s="0" t="n">
        <v>4</v>
      </c>
      <c r="C5493" s="0" t="n">
        <v>6</v>
      </c>
      <c r="D5493" s="0" t="n">
        <v>7</v>
      </c>
      <c r="E5493" s="0" t="n">
        <f aca="false">-1+A5493*0.25</f>
        <v>0.75</v>
      </c>
      <c r="F5493" s="0" t="n">
        <f aca="false">-1+B5493*0.25</f>
        <v>0</v>
      </c>
      <c r="G5493" s="0" t="n">
        <f aca="false">-1+C5493*0.25</f>
        <v>0.5</v>
      </c>
      <c r="H5493" s="0" t="n">
        <f aca="false">-1+D5493*0.25</f>
        <v>0.75</v>
      </c>
      <c r="I5493" s="0" t="n">
        <f aca="false">1</f>
        <v>1</v>
      </c>
      <c r="J5493" s="0" t="n">
        <f aca="false">E5493</f>
        <v>0.75</v>
      </c>
      <c r="K5493" s="0" t="n">
        <f aca="false">F5493</f>
        <v>0</v>
      </c>
      <c r="L5493" s="0" t="n">
        <f aca="false">G5493</f>
        <v>0.5</v>
      </c>
      <c r="M5493" s="0" t="n">
        <f aca="false">H5493</f>
        <v>0.75</v>
      </c>
      <c r="N5493" s="0" t="n">
        <f aca="false">E5493*F5493</f>
        <v>0</v>
      </c>
      <c r="O5493" s="0" t="n">
        <f aca="false">E5493*G5493</f>
        <v>0.375</v>
      </c>
      <c r="P5493" s="0" t="n">
        <f aca="false">E5493*H5493</f>
        <v>0.5625</v>
      </c>
      <c r="Q5493" s="0" t="n">
        <f aca="false">F5493*G5493</f>
        <v>0</v>
      </c>
      <c r="R5493" s="0" t="n">
        <f aca="false">F5493*H5493</f>
        <v>0</v>
      </c>
      <c r="S5493" s="0" t="n">
        <f aca="false">G5493*H5493</f>
        <v>0.375</v>
      </c>
      <c r="T5493" s="0" t="n">
        <f aca="false">E5493*E5493</f>
        <v>0.5625</v>
      </c>
      <c r="U5493" s="0" t="n">
        <f aca="false">F5493*F5493</f>
        <v>0</v>
      </c>
      <c r="V5493" s="0" t="n">
        <f aca="false">G5493*G5493</f>
        <v>0.25</v>
      </c>
      <c r="W5493" s="0" t="n">
        <f aca="false">H5493*H5493</f>
        <v>0.5625</v>
      </c>
      <c r="X5493" s="0" t="n">
        <f aca="false">SUMPRODUCT(I5493:W5493,_XtX!$B$96:$P$96)</f>
        <v>48.3038925438597</v>
      </c>
      <c r="Y5493" s="0" t="n">
        <f aca="false">SUMPRODUCT(MMULT(I5493:W5493,_XtX!$B$78:$P$92),I5493:W5493)</f>
        <v>0.269923873812135</v>
      </c>
      <c r="Z5493" s="0" t="n">
        <f aca="false">04_回帰ANOVA!$K$19*04_回帰ANOVA!$K$14*SQRT(1+Y5493)</f>
        <v>1.46888310825501</v>
      </c>
      <c r="AA5493" s="0" t="n">
        <f aca="false">X5493-Z5493</f>
        <v>46.8350094356047</v>
      </c>
      <c r="AB5493" s="0" t="n">
        <f aca="false">X5493+Z5493</f>
        <v>49.7727756521147</v>
      </c>
      <c r="AC5493" s="54" t="b">
        <f aca="false">AND(E5493&gt;=01_因子設定!$L$5-0.000000001,E5493&lt;=01_因子設定!$M$5+0.000000001,F5493&gt;=01_因子設定!$L$6-0.000000001,F5493&lt;=01_因子設定!$M$6+0.000000001,G5493&gt;=01_因子設定!$L$7-0.000000001,G5493&lt;=01_因子設定!$M$7+0.000000001,H5493&gt;=01_因子設定!$L$8-0.000000001,H5493&lt;=01_因子設定!$M$8+0.000000001,IF(01_因子設定!$B$20="Box-Behnken",E5493^2+F5493^2+G5493^2+H5493^2&lt;=2+0.000000001,TRUE()))</f>
        <v>1</v>
      </c>
      <c r="AD5493" s="55" t="n">
        <f aca="false">IF(AC5493,IF(01_因子設定!$B$13="最大化",AA5493-01_因子設定!$B$14,IF(01_因子設定!$B$13="最小化",01_因子設定!$B$15-AB5493,MIN(AA5493-01_因子設定!$B$14,01_因子設定!$B$15-AB5493))),-1E+030)</f>
        <v>0.335009435604647</v>
      </c>
      <c r="AE5493" s="55" t="n">
        <f aca="false">IF(AC5493,IF(01_因子設定!$B$13="最大化",X5493,IF(01_因子設定!$B$13="最小化",-X5493,-ABS(X5493-01_因子設定!$B$16))),-1E+030)</f>
        <v>48.3038925438597</v>
      </c>
      <c r="AF5493" s="55" t="n">
        <f aca="false">AD5493+ROW()*0.000000001</f>
        <v>0.335014928604647</v>
      </c>
      <c r="AG5493" s="55" t="n">
        <f aca="false">AE5493+ROW()*0.000000001</f>
        <v>48.3038980368597</v>
      </c>
    </row>
    <row r="5494" customFormat="false" ht="15" hidden="false" customHeight="false" outlineLevel="0" collapsed="false">
      <c r="A5494" s="0" t="n">
        <v>7</v>
      </c>
      <c r="B5494" s="0" t="n">
        <v>4</v>
      </c>
      <c r="C5494" s="0" t="n">
        <v>6</v>
      </c>
      <c r="D5494" s="0" t="n">
        <v>8</v>
      </c>
      <c r="E5494" s="0" t="n">
        <f aca="false">-1+A5494*0.25</f>
        <v>0.75</v>
      </c>
      <c r="F5494" s="0" t="n">
        <f aca="false">-1+B5494*0.25</f>
        <v>0</v>
      </c>
      <c r="G5494" s="0" t="n">
        <f aca="false">-1+C5494*0.25</f>
        <v>0.5</v>
      </c>
      <c r="H5494" s="0" t="n">
        <f aca="false">-1+D5494*0.25</f>
        <v>1</v>
      </c>
      <c r="I5494" s="0" t="n">
        <f aca="false">1</f>
        <v>1</v>
      </c>
      <c r="J5494" s="0" t="n">
        <f aca="false">E5494</f>
        <v>0.75</v>
      </c>
      <c r="K5494" s="0" t="n">
        <f aca="false">F5494</f>
        <v>0</v>
      </c>
      <c r="L5494" s="0" t="n">
        <f aca="false">G5494</f>
        <v>0.5</v>
      </c>
      <c r="M5494" s="0" t="n">
        <f aca="false">H5494</f>
        <v>1</v>
      </c>
      <c r="N5494" s="0" t="n">
        <f aca="false">E5494*F5494</f>
        <v>0</v>
      </c>
      <c r="O5494" s="0" t="n">
        <f aca="false">E5494*G5494</f>
        <v>0.375</v>
      </c>
      <c r="P5494" s="0" t="n">
        <f aca="false">E5494*H5494</f>
        <v>0.75</v>
      </c>
      <c r="Q5494" s="0" t="n">
        <f aca="false">F5494*G5494</f>
        <v>0</v>
      </c>
      <c r="R5494" s="0" t="n">
        <f aca="false">F5494*H5494</f>
        <v>0</v>
      </c>
      <c r="S5494" s="0" t="n">
        <f aca="false">G5494*H5494</f>
        <v>0.5</v>
      </c>
      <c r="T5494" s="0" t="n">
        <f aca="false">E5494*E5494</f>
        <v>0.5625</v>
      </c>
      <c r="U5494" s="0" t="n">
        <f aca="false">F5494*F5494</f>
        <v>0</v>
      </c>
      <c r="V5494" s="0" t="n">
        <f aca="false">G5494*G5494</f>
        <v>0.25</v>
      </c>
      <c r="W5494" s="0" t="n">
        <f aca="false">H5494*H5494</f>
        <v>1</v>
      </c>
      <c r="X5494" s="0" t="n">
        <f aca="false">SUMPRODUCT(I5494:W5494,_XtX!$B$96:$P$96)</f>
        <v>48.2973318713451</v>
      </c>
      <c r="Y5494" s="0" t="n">
        <f aca="false">SUMPRODUCT(MMULT(I5494:W5494,_XtX!$B$78:$P$92),I5494:W5494)</f>
        <v>0.476191292032164</v>
      </c>
      <c r="Z5494" s="0" t="n">
        <f aca="false">04_回帰ANOVA!$K$19*04_回帰ANOVA!$K$14*SQRT(1+Y5494)</f>
        <v>1.58368831471718</v>
      </c>
      <c r="AA5494" s="0" t="n">
        <f aca="false">X5494-Z5494</f>
        <v>46.7136435566279</v>
      </c>
      <c r="AB5494" s="0" t="n">
        <f aca="false">X5494+Z5494</f>
        <v>49.8810201860622</v>
      </c>
      <c r="AC5494" s="54" t="b">
        <f aca="false">AND(E5494&gt;=01_因子設定!$L$5-0.000000001,E5494&lt;=01_因子設定!$M$5+0.000000001,F5494&gt;=01_因子設定!$L$6-0.000000001,F5494&lt;=01_因子設定!$M$6+0.000000001,G5494&gt;=01_因子設定!$L$7-0.000000001,G5494&lt;=01_因子設定!$M$7+0.000000001,H5494&gt;=01_因子設定!$L$8-0.000000001,H5494&lt;=01_因子設定!$M$8+0.000000001,IF(01_因子設定!$B$20="Box-Behnken",E5494^2+F5494^2+G5494^2+H5494^2&lt;=2+0.000000001,TRUE()))</f>
        <v>1</v>
      </c>
      <c r="AD5494" s="55" t="n">
        <f aca="false">IF(AC5494,IF(01_因子設定!$B$13="最大化",AA5494-01_因子設定!$B$14,IF(01_因子設定!$B$13="最小化",01_因子設定!$B$15-AB5494,MIN(AA5494-01_因子設定!$B$14,01_因子設定!$B$15-AB5494))),-1E+030)</f>
        <v>0.213643556627872</v>
      </c>
      <c r="AE5494" s="55" t="n">
        <f aca="false">IF(AC5494,IF(01_因子設定!$B$13="最大化",X5494,IF(01_因子設定!$B$13="最小化",-X5494,-ABS(X5494-01_因子設定!$B$16))),-1E+030)</f>
        <v>48.2973318713451</v>
      </c>
      <c r="AF5494" s="55" t="n">
        <f aca="false">AD5494+ROW()*0.000000001</f>
        <v>0.213649050627872</v>
      </c>
      <c r="AG5494" s="55" t="n">
        <f aca="false">AE5494+ROW()*0.000000001</f>
        <v>48.2973373653451</v>
      </c>
    </row>
    <row r="5495" customFormat="false" ht="15" hidden="false" customHeight="false" outlineLevel="0" collapsed="false">
      <c r="A5495" s="0" t="n">
        <v>7</v>
      </c>
      <c r="B5495" s="0" t="n">
        <v>4</v>
      </c>
      <c r="C5495" s="0" t="n">
        <v>7</v>
      </c>
      <c r="D5495" s="0" t="n">
        <v>0</v>
      </c>
      <c r="E5495" s="0" t="n">
        <f aca="false">-1+A5495*0.25</f>
        <v>0.75</v>
      </c>
      <c r="F5495" s="0" t="n">
        <f aca="false">-1+B5495*0.25</f>
        <v>0</v>
      </c>
      <c r="G5495" s="0" t="n">
        <f aca="false">-1+C5495*0.25</f>
        <v>0.75</v>
      </c>
      <c r="H5495" s="0" t="n">
        <f aca="false">-1+D5495*0.25</f>
        <v>-1</v>
      </c>
      <c r="I5495" s="0" t="n">
        <f aca="false">1</f>
        <v>1</v>
      </c>
      <c r="J5495" s="0" t="n">
        <f aca="false">E5495</f>
        <v>0.75</v>
      </c>
      <c r="K5495" s="0" t="n">
        <f aca="false">F5495</f>
        <v>0</v>
      </c>
      <c r="L5495" s="0" t="n">
        <f aca="false">G5495</f>
        <v>0.75</v>
      </c>
      <c r="M5495" s="0" t="n">
        <f aca="false">H5495</f>
        <v>-1</v>
      </c>
      <c r="N5495" s="0" t="n">
        <f aca="false">E5495*F5495</f>
        <v>0</v>
      </c>
      <c r="O5495" s="0" t="n">
        <f aca="false">E5495*G5495</f>
        <v>0.5625</v>
      </c>
      <c r="P5495" s="0" t="n">
        <f aca="false">E5495*H5495</f>
        <v>-0.75</v>
      </c>
      <c r="Q5495" s="0" t="n">
        <f aca="false">F5495*G5495</f>
        <v>0</v>
      </c>
      <c r="R5495" s="0" t="n">
        <f aca="false">F5495*H5495</f>
        <v>-0</v>
      </c>
      <c r="S5495" s="0" t="n">
        <f aca="false">G5495*H5495</f>
        <v>-0.75</v>
      </c>
      <c r="T5495" s="0" t="n">
        <f aca="false">E5495*E5495</f>
        <v>0.5625</v>
      </c>
      <c r="U5495" s="0" t="n">
        <f aca="false">F5495*F5495</f>
        <v>0</v>
      </c>
      <c r="V5495" s="0" t="n">
        <f aca="false">G5495*G5495</f>
        <v>0.5625</v>
      </c>
      <c r="W5495" s="0" t="n">
        <f aca="false">H5495*H5495</f>
        <v>1</v>
      </c>
      <c r="X5495" s="0" t="n">
        <f aca="false">SUMPRODUCT(I5495:W5495,_XtX!$B$96:$P$96)</f>
        <v>46.8500365497076</v>
      </c>
      <c r="Y5495" s="0" t="n">
        <f aca="false">SUMPRODUCT(MMULT(I5495:W5495,_XtX!$B$78:$P$92),I5495:W5495)</f>
        <v>0.494259126005117</v>
      </c>
      <c r="Z5495" s="0" t="n">
        <f aca="false">04_回帰ANOVA!$K$19*04_回帰ANOVA!$K$14*SQRT(1+Y5495)</f>
        <v>1.59335061078203</v>
      </c>
      <c r="AA5495" s="0" t="n">
        <f aca="false">X5495-Z5495</f>
        <v>45.2566859389256</v>
      </c>
      <c r="AB5495" s="0" t="n">
        <f aca="false">X5495+Z5495</f>
        <v>48.4433871604897</v>
      </c>
      <c r="AC5495" s="54" t="b">
        <f aca="false">AND(E5495&gt;=01_因子設定!$L$5-0.000000001,E5495&lt;=01_因子設定!$M$5+0.000000001,F5495&gt;=01_因子設定!$L$6-0.000000001,F5495&lt;=01_因子設定!$M$6+0.000000001,G5495&gt;=01_因子設定!$L$7-0.000000001,G5495&lt;=01_因子設定!$M$7+0.000000001,H5495&gt;=01_因子設定!$L$8-0.000000001,H5495&lt;=01_因子設定!$M$8+0.000000001,IF(01_因子設定!$B$20="Box-Behnken",E5495^2+F5495^2+G5495^2+H5495^2&lt;=2+0.000000001,TRUE()))</f>
        <v>1</v>
      </c>
      <c r="AD5495" s="55" t="n">
        <f aca="false">IF(AC5495,IF(01_因子設定!$B$13="最大化",AA5495-01_因子設定!$B$14,IF(01_因子設定!$B$13="最小化",01_因子設定!$B$15-AB5495,MIN(AA5495-01_因子設定!$B$14,01_因子設定!$B$15-AB5495))),-1E+030)</f>
        <v>-1.2433140610744</v>
      </c>
      <c r="AE5495" s="55" t="n">
        <f aca="false">IF(AC5495,IF(01_因子設定!$B$13="最大化",X5495,IF(01_因子設定!$B$13="最小化",-X5495,-ABS(X5495-01_因子設定!$B$16))),-1E+030)</f>
        <v>46.8500365497076</v>
      </c>
      <c r="AF5495" s="55" t="n">
        <f aca="false">AD5495+ROW()*0.000000001</f>
        <v>-1.2433085660744</v>
      </c>
      <c r="AG5495" s="55" t="n">
        <f aca="false">AE5495+ROW()*0.000000001</f>
        <v>46.8500420447076</v>
      </c>
    </row>
    <row r="5496" customFormat="false" ht="15" hidden="false" customHeight="false" outlineLevel="0" collapsed="false">
      <c r="A5496" s="0" t="n">
        <v>7</v>
      </c>
      <c r="B5496" s="0" t="n">
        <v>4</v>
      </c>
      <c r="C5496" s="0" t="n">
        <v>7</v>
      </c>
      <c r="D5496" s="0" t="n">
        <v>1</v>
      </c>
      <c r="E5496" s="0" t="n">
        <f aca="false">-1+A5496*0.25</f>
        <v>0.75</v>
      </c>
      <c r="F5496" s="0" t="n">
        <f aca="false">-1+B5496*0.25</f>
        <v>0</v>
      </c>
      <c r="G5496" s="0" t="n">
        <f aca="false">-1+C5496*0.25</f>
        <v>0.75</v>
      </c>
      <c r="H5496" s="0" t="n">
        <f aca="false">-1+D5496*0.25</f>
        <v>-0.75</v>
      </c>
      <c r="I5496" s="0" t="n">
        <f aca="false">1</f>
        <v>1</v>
      </c>
      <c r="J5496" s="0" t="n">
        <f aca="false">E5496</f>
        <v>0.75</v>
      </c>
      <c r="K5496" s="0" t="n">
        <f aca="false">F5496</f>
        <v>0</v>
      </c>
      <c r="L5496" s="0" t="n">
        <f aca="false">G5496</f>
        <v>0.75</v>
      </c>
      <c r="M5496" s="0" t="n">
        <f aca="false">H5496</f>
        <v>-0.75</v>
      </c>
      <c r="N5496" s="0" t="n">
        <f aca="false">E5496*F5496</f>
        <v>0</v>
      </c>
      <c r="O5496" s="0" t="n">
        <f aca="false">E5496*G5496</f>
        <v>0.5625</v>
      </c>
      <c r="P5496" s="0" t="n">
        <f aca="false">E5496*H5496</f>
        <v>-0.5625</v>
      </c>
      <c r="Q5496" s="0" t="n">
        <f aca="false">F5496*G5496</f>
        <v>0</v>
      </c>
      <c r="R5496" s="0" t="n">
        <f aca="false">F5496*H5496</f>
        <v>-0</v>
      </c>
      <c r="S5496" s="0" t="n">
        <f aca="false">G5496*H5496</f>
        <v>-0.5625</v>
      </c>
      <c r="T5496" s="0" t="n">
        <f aca="false">E5496*E5496</f>
        <v>0.5625</v>
      </c>
      <c r="U5496" s="0" t="n">
        <f aca="false">F5496*F5496</f>
        <v>0</v>
      </c>
      <c r="V5496" s="0" t="n">
        <f aca="false">G5496*G5496</f>
        <v>0.5625</v>
      </c>
      <c r="W5496" s="0" t="n">
        <f aca="false">H5496*H5496</f>
        <v>0.5625</v>
      </c>
      <c r="X5496" s="0" t="n">
        <f aca="false">SUMPRODUCT(I5496:W5496,_XtX!$B$96:$P$96)</f>
        <v>47.19609375</v>
      </c>
      <c r="Y5496" s="0" t="n">
        <f aca="false">SUMPRODUCT(MMULT(I5496:W5496,_XtX!$B$78:$P$92),I5496:W5496)</f>
        <v>0.310628255208333</v>
      </c>
      <c r="Z5496" s="0" t="n">
        <f aca="false">04_回帰ANOVA!$K$19*04_回帰ANOVA!$K$14*SQRT(1+Y5496)</f>
        <v>1.49223820892344</v>
      </c>
      <c r="AA5496" s="0" t="n">
        <f aca="false">X5496-Z5496</f>
        <v>45.7038555410766</v>
      </c>
      <c r="AB5496" s="0" t="n">
        <f aca="false">X5496+Z5496</f>
        <v>48.6883319589235</v>
      </c>
      <c r="AC5496" s="54" t="b">
        <f aca="false">AND(E5496&gt;=01_因子設定!$L$5-0.000000001,E5496&lt;=01_因子設定!$M$5+0.000000001,F5496&gt;=01_因子設定!$L$6-0.000000001,F5496&lt;=01_因子設定!$M$6+0.000000001,G5496&gt;=01_因子設定!$L$7-0.000000001,G5496&lt;=01_因子設定!$M$7+0.000000001,H5496&gt;=01_因子設定!$L$8-0.000000001,H5496&lt;=01_因子設定!$M$8+0.000000001,IF(01_因子設定!$B$20="Box-Behnken",E5496^2+F5496^2+G5496^2+H5496^2&lt;=2+0.000000001,TRUE()))</f>
        <v>1</v>
      </c>
      <c r="AD5496" s="55" t="n">
        <f aca="false">IF(AC5496,IF(01_因子設定!$B$13="最大化",AA5496-01_因子設定!$B$14,IF(01_因子設定!$B$13="最小化",01_因子設定!$B$15-AB5496,MIN(AA5496-01_因子設定!$B$14,01_因子設定!$B$15-AB5496))),-1E+030)</f>
        <v>-0.796144458923429</v>
      </c>
      <c r="AE5496" s="55" t="n">
        <f aca="false">IF(AC5496,IF(01_因子設定!$B$13="最大化",X5496,IF(01_因子設定!$B$13="最小化",-X5496,-ABS(X5496-01_因子設定!$B$16))),-1E+030)</f>
        <v>47.19609375</v>
      </c>
      <c r="AF5496" s="55" t="n">
        <f aca="false">AD5496+ROW()*0.000000001</f>
        <v>-0.796138962923429</v>
      </c>
      <c r="AG5496" s="55" t="n">
        <f aca="false">AE5496+ROW()*0.000000001</f>
        <v>47.196099246</v>
      </c>
    </row>
    <row r="5497" customFormat="false" ht="15" hidden="false" customHeight="false" outlineLevel="0" collapsed="false">
      <c r="A5497" s="0" t="n">
        <v>7</v>
      </c>
      <c r="B5497" s="0" t="n">
        <v>4</v>
      </c>
      <c r="C5497" s="0" t="n">
        <v>7</v>
      </c>
      <c r="D5497" s="0" t="n">
        <v>2</v>
      </c>
      <c r="E5497" s="0" t="n">
        <f aca="false">-1+A5497*0.25</f>
        <v>0.75</v>
      </c>
      <c r="F5497" s="0" t="n">
        <f aca="false">-1+B5497*0.25</f>
        <v>0</v>
      </c>
      <c r="G5497" s="0" t="n">
        <f aca="false">-1+C5497*0.25</f>
        <v>0.75</v>
      </c>
      <c r="H5497" s="0" t="n">
        <f aca="false">-1+D5497*0.25</f>
        <v>-0.5</v>
      </c>
      <c r="I5497" s="0" t="n">
        <f aca="false">1</f>
        <v>1</v>
      </c>
      <c r="J5497" s="0" t="n">
        <f aca="false">E5497</f>
        <v>0.75</v>
      </c>
      <c r="K5497" s="0" t="n">
        <f aca="false">F5497</f>
        <v>0</v>
      </c>
      <c r="L5497" s="0" t="n">
        <f aca="false">G5497</f>
        <v>0.75</v>
      </c>
      <c r="M5497" s="0" t="n">
        <f aca="false">H5497</f>
        <v>-0.5</v>
      </c>
      <c r="N5497" s="0" t="n">
        <f aca="false">E5497*F5497</f>
        <v>0</v>
      </c>
      <c r="O5497" s="0" t="n">
        <f aca="false">E5497*G5497</f>
        <v>0.5625</v>
      </c>
      <c r="P5497" s="0" t="n">
        <f aca="false">E5497*H5497</f>
        <v>-0.375</v>
      </c>
      <c r="Q5497" s="0" t="n">
        <f aca="false">F5497*G5497</f>
        <v>0</v>
      </c>
      <c r="R5497" s="0" t="n">
        <f aca="false">F5497*H5497</f>
        <v>-0</v>
      </c>
      <c r="S5497" s="0" t="n">
        <f aca="false">G5497*H5497</f>
        <v>-0.375</v>
      </c>
      <c r="T5497" s="0" t="n">
        <f aca="false">E5497*E5497</f>
        <v>0.5625</v>
      </c>
      <c r="U5497" s="0" t="n">
        <f aca="false">F5497*F5497</f>
        <v>0</v>
      </c>
      <c r="V5497" s="0" t="n">
        <f aca="false">G5497*G5497</f>
        <v>0.5625</v>
      </c>
      <c r="W5497" s="0" t="n">
        <f aca="false">H5497*H5497</f>
        <v>0.25</v>
      </c>
      <c r="X5497" s="0" t="n">
        <f aca="false">SUMPRODUCT(I5497:W5497,_XtX!$B$96:$P$96)</f>
        <v>47.4943439327485</v>
      </c>
      <c r="Y5497" s="0" t="n">
        <f aca="false">SUMPRODUCT(MMULT(I5497:W5497,_XtX!$B$78:$P$92),I5497:W5497)</f>
        <v>0.269923873812135</v>
      </c>
      <c r="Z5497" s="0" t="n">
        <f aca="false">04_回帰ANOVA!$K$19*04_回帰ANOVA!$K$14*SQRT(1+Y5497)</f>
        <v>1.46888310825501</v>
      </c>
      <c r="AA5497" s="0" t="n">
        <f aca="false">X5497-Z5497</f>
        <v>46.0254608244935</v>
      </c>
      <c r="AB5497" s="0" t="n">
        <f aca="false">X5497+Z5497</f>
        <v>48.9632270410035</v>
      </c>
      <c r="AC5497" s="54" t="b">
        <f aca="false">AND(E5497&gt;=01_因子設定!$L$5-0.000000001,E5497&lt;=01_因子設定!$M$5+0.000000001,F5497&gt;=01_因子設定!$L$6-0.000000001,F5497&lt;=01_因子設定!$M$6+0.000000001,G5497&gt;=01_因子設定!$L$7-0.000000001,G5497&lt;=01_因子設定!$M$7+0.000000001,H5497&gt;=01_因子設定!$L$8-0.000000001,H5497&lt;=01_因子設定!$M$8+0.000000001,IF(01_因子設定!$B$20="Box-Behnken",E5497^2+F5497^2+G5497^2+H5497^2&lt;=2+0.000000001,TRUE()))</f>
        <v>1</v>
      </c>
      <c r="AD5497" s="55" t="n">
        <f aca="false">IF(AC5497,IF(01_因子設定!$B$13="最大化",AA5497-01_因子設定!$B$14,IF(01_因子設定!$B$13="最小化",01_因子設定!$B$15-AB5497,MIN(AA5497-01_因子設定!$B$14,01_因子設定!$B$15-AB5497))),-1E+030)</f>
        <v>-0.474539175506472</v>
      </c>
      <c r="AE5497" s="55" t="n">
        <f aca="false">IF(AC5497,IF(01_因子設定!$B$13="最大化",X5497,IF(01_因子設定!$B$13="最小化",-X5497,-ABS(X5497-01_因子設定!$B$16))),-1E+030)</f>
        <v>47.4943439327485</v>
      </c>
      <c r="AF5497" s="55" t="n">
        <f aca="false">AD5497+ROW()*0.000000001</f>
        <v>-0.474533678506472</v>
      </c>
      <c r="AG5497" s="55" t="n">
        <f aca="false">AE5497+ROW()*0.000000001</f>
        <v>47.4943494297485</v>
      </c>
    </row>
    <row r="5498" customFormat="false" ht="15" hidden="false" customHeight="false" outlineLevel="0" collapsed="false">
      <c r="A5498" s="0" t="n">
        <v>7</v>
      </c>
      <c r="B5498" s="0" t="n">
        <v>4</v>
      </c>
      <c r="C5498" s="0" t="n">
        <v>7</v>
      </c>
      <c r="D5498" s="0" t="n">
        <v>3</v>
      </c>
      <c r="E5498" s="0" t="n">
        <f aca="false">-1+A5498*0.25</f>
        <v>0.75</v>
      </c>
      <c r="F5498" s="0" t="n">
        <f aca="false">-1+B5498*0.25</f>
        <v>0</v>
      </c>
      <c r="G5498" s="0" t="n">
        <f aca="false">-1+C5498*0.25</f>
        <v>0.75</v>
      </c>
      <c r="H5498" s="0" t="n">
        <f aca="false">-1+D5498*0.25</f>
        <v>-0.25</v>
      </c>
      <c r="I5498" s="0" t="n">
        <f aca="false">1</f>
        <v>1</v>
      </c>
      <c r="J5498" s="0" t="n">
        <f aca="false">E5498</f>
        <v>0.75</v>
      </c>
      <c r="K5498" s="0" t="n">
        <f aca="false">F5498</f>
        <v>0</v>
      </c>
      <c r="L5498" s="0" t="n">
        <f aca="false">G5498</f>
        <v>0.75</v>
      </c>
      <c r="M5498" s="0" t="n">
        <f aca="false">H5498</f>
        <v>-0.25</v>
      </c>
      <c r="N5498" s="0" t="n">
        <f aca="false">E5498*F5498</f>
        <v>0</v>
      </c>
      <c r="O5498" s="0" t="n">
        <f aca="false">E5498*G5498</f>
        <v>0.5625</v>
      </c>
      <c r="P5498" s="0" t="n">
        <f aca="false">E5498*H5498</f>
        <v>-0.1875</v>
      </c>
      <c r="Q5498" s="0" t="n">
        <f aca="false">F5498*G5498</f>
        <v>0</v>
      </c>
      <c r="R5498" s="0" t="n">
        <f aca="false">F5498*H5498</f>
        <v>-0</v>
      </c>
      <c r="S5498" s="0" t="n">
        <f aca="false">G5498*H5498</f>
        <v>-0.1875</v>
      </c>
      <c r="T5498" s="0" t="n">
        <f aca="false">E5498*E5498</f>
        <v>0.5625</v>
      </c>
      <c r="U5498" s="0" t="n">
        <f aca="false">F5498*F5498</f>
        <v>0</v>
      </c>
      <c r="V5498" s="0" t="n">
        <f aca="false">G5498*G5498</f>
        <v>0.5625</v>
      </c>
      <c r="W5498" s="0" t="n">
        <f aca="false">H5498*H5498</f>
        <v>0.0625</v>
      </c>
      <c r="X5498" s="0" t="n">
        <f aca="false">SUMPRODUCT(I5498:W5498,_XtX!$B$96:$P$96)</f>
        <v>47.7447870979532</v>
      </c>
      <c r="Y5498" s="0" t="n">
        <f aca="false">SUMPRODUCT(MMULT(I5498:W5498,_XtX!$B$78:$P$92),I5498:W5498)</f>
        <v>0.281685455500731</v>
      </c>
      <c r="Z5498" s="0" t="n">
        <f aca="false">04_回帰ANOVA!$K$19*04_回帰ANOVA!$K$14*SQRT(1+Y5498)</f>
        <v>1.47566956658694</v>
      </c>
      <c r="AA5498" s="0" t="n">
        <f aca="false">X5498-Z5498</f>
        <v>46.2691175313663</v>
      </c>
      <c r="AB5498" s="0" t="n">
        <f aca="false">X5498+Z5498</f>
        <v>49.2204566645401</v>
      </c>
      <c r="AC5498" s="54" t="b">
        <f aca="false">AND(E5498&gt;=01_因子設定!$L$5-0.000000001,E5498&lt;=01_因子設定!$M$5+0.000000001,F5498&gt;=01_因子設定!$L$6-0.000000001,F5498&lt;=01_因子設定!$M$6+0.000000001,G5498&gt;=01_因子設定!$L$7-0.000000001,G5498&lt;=01_因子設定!$M$7+0.000000001,H5498&gt;=01_因子設定!$L$8-0.000000001,H5498&lt;=01_因子設定!$M$8+0.000000001,IF(01_因子設定!$B$20="Box-Behnken",E5498^2+F5498^2+G5498^2+H5498^2&lt;=2+0.000000001,TRUE()))</f>
        <v>1</v>
      </c>
      <c r="AD5498" s="55" t="n">
        <f aca="false">IF(AC5498,IF(01_因子設定!$B$13="最大化",AA5498-01_因子設定!$B$14,IF(01_因子設定!$B$13="最小化",01_因子設定!$B$15-AB5498,MIN(AA5498-01_因子設定!$B$14,01_因子設定!$B$15-AB5498))),-1E+030)</f>
        <v>-0.23088246863373</v>
      </c>
      <c r="AE5498" s="55" t="n">
        <f aca="false">IF(AC5498,IF(01_因子設定!$B$13="最大化",X5498,IF(01_因子設定!$B$13="最小化",-X5498,-ABS(X5498-01_因子設定!$B$16))),-1E+030)</f>
        <v>47.7447870979532</v>
      </c>
      <c r="AF5498" s="55" t="n">
        <f aca="false">AD5498+ROW()*0.000000001</f>
        <v>-0.23087697063373</v>
      </c>
      <c r="AG5498" s="55" t="n">
        <f aca="false">AE5498+ROW()*0.000000001</f>
        <v>47.7447925959532</v>
      </c>
    </row>
    <row r="5499" customFormat="false" ht="15" hidden="false" customHeight="false" outlineLevel="0" collapsed="false">
      <c r="A5499" s="0" t="n">
        <v>7</v>
      </c>
      <c r="B5499" s="0" t="n">
        <v>4</v>
      </c>
      <c r="C5499" s="0" t="n">
        <v>7</v>
      </c>
      <c r="D5499" s="0" t="n">
        <v>4</v>
      </c>
      <c r="E5499" s="0" t="n">
        <f aca="false">-1+A5499*0.25</f>
        <v>0.75</v>
      </c>
      <c r="F5499" s="0" t="n">
        <f aca="false">-1+B5499*0.25</f>
        <v>0</v>
      </c>
      <c r="G5499" s="0" t="n">
        <f aca="false">-1+C5499*0.25</f>
        <v>0.75</v>
      </c>
      <c r="H5499" s="0" t="n">
        <f aca="false">-1+D5499*0.25</f>
        <v>0</v>
      </c>
      <c r="I5499" s="0" t="n">
        <f aca="false">1</f>
        <v>1</v>
      </c>
      <c r="J5499" s="0" t="n">
        <f aca="false">E5499</f>
        <v>0.75</v>
      </c>
      <c r="K5499" s="0" t="n">
        <f aca="false">F5499</f>
        <v>0</v>
      </c>
      <c r="L5499" s="0" t="n">
        <f aca="false">G5499</f>
        <v>0.75</v>
      </c>
      <c r="M5499" s="0" t="n">
        <f aca="false">H5499</f>
        <v>0</v>
      </c>
      <c r="N5499" s="0" t="n">
        <f aca="false">E5499*F5499</f>
        <v>0</v>
      </c>
      <c r="O5499" s="0" t="n">
        <f aca="false">E5499*G5499</f>
        <v>0.5625</v>
      </c>
      <c r="P5499" s="0" t="n">
        <f aca="false">E5499*H5499</f>
        <v>0</v>
      </c>
      <c r="Q5499" s="0" t="n">
        <f aca="false">F5499*G5499</f>
        <v>0</v>
      </c>
      <c r="R5499" s="0" t="n">
        <f aca="false">F5499*H5499</f>
        <v>0</v>
      </c>
      <c r="S5499" s="0" t="n">
        <f aca="false">G5499*H5499</f>
        <v>0</v>
      </c>
      <c r="T5499" s="0" t="n">
        <f aca="false">E5499*E5499</f>
        <v>0.5625</v>
      </c>
      <c r="U5499" s="0" t="n">
        <f aca="false">F5499*F5499</f>
        <v>0</v>
      </c>
      <c r="V5499" s="0" t="n">
        <f aca="false">G5499*G5499</f>
        <v>0.5625</v>
      </c>
      <c r="W5499" s="0" t="n">
        <f aca="false">H5499*H5499</f>
        <v>0</v>
      </c>
      <c r="X5499" s="0" t="n">
        <f aca="false">SUMPRODUCT(I5499:W5499,_XtX!$B$96:$P$96)</f>
        <v>47.947423245614</v>
      </c>
      <c r="Y5499" s="0" t="n">
        <f aca="false">SUMPRODUCT(MMULT(I5499:W5499,_XtX!$B$78:$P$92),I5499:W5499)</f>
        <v>0.291636684484649</v>
      </c>
      <c r="Z5499" s="0" t="n">
        <f aca="false">04_回帰ANOVA!$K$19*04_回帰ANOVA!$K$14*SQRT(1+Y5499)</f>
        <v>1.48138716762813</v>
      </c>
      <c r="AA5499" s="0" t="n">
        <f aca="false">X5499-Z5499</f>
        <v>46.4660360779859</v>
      </c>
      <c r="AB5499" s="0" t="n">
        <f aca="false">X5499+Z5499</f>
        <v>49.4288104132422</v>
      </c>
      <c r="AC5499" s="54" t="b">
        <f aca="false">AND(E5499&gt;=01_因子設定!$L$5-0.000000001,E5499&lt;=01_因子設定!$M$5+0.000000001,F5499&gt;=01_因子設定!$L$6-0.000000001,F5499&lt;=01_因子設定!$M$6+0.000000001,G5499&gt;=01_因子設定!$L$7-0.000000001,G5499&lt;=01_因子設定!$M$7+0.000000001,H5499&gt;=01_因子設定!$L$8-0.000000001,H5499&lt;=01_因子設定!$M$8+0.000000001,IF(01_因子設定!$B$20="Box-Behnken",E5499^2+F5499^2+G5499^2+H5499^2&lt;=2+0.000000001,TRUE()))</f>
        <v>1</v>
      </c>
      <c r="AD5499" s="55" t="n">
        <f aca="false">IF(AC5499,IF(01_因子設定!$B$13="最大化",AA5499-01_因子設定!$B$14,IF(01_因子設定!$B$13="最小化",01_因子設定!$B$15-AB5499,MIN(AA5499-01_因子設定!$B$14,01_因子設定!$B$15-AB5499))),-1E+030)</f>
        <v>-0.0339639220141095</v>
      </c>
      <c r="AE5499" s="55" t="n">
        <f aca="false">IF(AC5499,IF(01_因子設定!$B$13="最大化",X5499,IF(01_因子設定!$B$13="最小化",-X5499,-ABS(X5499-01_因子設定!$B$16))),-1E+030)</f>
        <v>47.947423245614</v>
      </c>
      <c r="AF5499" s="55" t="n">
        <f aca="false">AD5499+ROW()*0.000000001</f>
        <v>-0.0339584230141095</v>
      </c>
      <c r="AG5499" s="55" t="n">
        <f aca="false">AE5499+ROW()*0.000000001</f>
        <v>47.947428744614</v>
      </c>
    </row>
    <row r="5500" customFormat="false" ht="15" hidden="false" customHeight="false" outlineLevel="0" collapsed="false">
      <c r="A5500" s="0" t="n">
        <v>7</v>
      </c>
      <c r="B5500" s="0" t="n">
        <v>4</v>
      </c>
      <c r="C5500" s="0" t="n">
        <v>7</v>
      </c>
      <c r="D5500" s="0" t="n">
        <v>5</v>
      </c>
      <c r="E5500" s="0" t="n">
        <f aca="false">-1+A5500*0.25</f>
        <v>0.75</v>
      </c>
      <c r="F5500" s="0" t="n">
        <f aca="false">-1+B5500*0.25</f>
        <v>0</v>
      </c>
      <c r="G5500" s="0" t="n">
        <f aca="false">-1+C5500*0.25</f>
        <v>0.75</v>
      </c>
      <c r="H5500" s="0" t="n">
        <f aca="false">-1+D5500*0.25</f>
        <v>0.25</v>
      </c>
      <c r="I5500" s="0" t="n">
        <f aca="false">1</f>
        <v>1</v>
      </c>
      <c r="J5500" s="0" t="n">
        <f aca="false">E5500</f>
        <v>0.75</v>
      </c>
      <c r="K5500" s="0" t="n">
        <f aca="false">F5500</f>
        <v>0</v>
      </c>
      <c r="L5500" s="0" t="n">
        <f aca="false">G5500</f>
        <v>0.75</v>
      </c>
      <c r="M5500" s="0" t="n">
        <f aca="false">H5500</f>
        <v>0.25</v>
      </c>
      <c r="N5500" s="0" t="n">
        <f aca="false">E5500*F5500</f>
        <v>0</v>
      </c>
      <c r="O5500" s="0" t="n">
        <f aca="false">E5500*G5500</f>
        <v>0.5625</v>
      </c>
      <c r="P5500" s="0" t="n">
        <f aca="false">E5500*H5500</f>
        <v>0.1875</v>
      </c>
      <c r="Q5500" s="0" t="n">
        <f aca="false">F5500*G5500</f>
        <v>0</v>
      </c>
      <c r="R5500" s="0" t="n">
        <f aca="false">F5500*H5500</f>
        <v>0</v>
      </c>
      <c r="S5500" s="0" t="n">
        <f aca="false">G5500*H5500</f>
        <v>0.1875</v>
      </c>
      <c r="T5500" s="0" t="n">
        <f aca="false">E5500*E5500</f>
        <v>0.5625</v>
      </c>
      <c r="U5500" s="0" t="n">
        <f aca="false">F5500*F5500</f>
        <v>0</v>
      </c>
      <c r="V5500" s="0" t="n">
        <f aca="false">G5500*G5500</f>
        <v>0.5625</v>
      </c>
      <c r="W5500" s="0" t="n">
        <f aca="false">H5500*H5500</f>
        <v>0.0625</v>
      </c>
      <c r="X5500" s="0" t="n">
        <f aca="false">SUMPRODUCT(I5500:W5500,_XtX!$B$96:$P$96)</f>
        <v>48.102252375731</v>
      </c>
      <c r="Y5500" s="0" t="n">
        <f aca="false">SUMPRODUCT(MMULT(I5500:W5500,_XtX!$B$78:$P$92),I5500:W5500)</f>
        <v>0.281685455500731</v>
      </c>
      <c r="Z5500" s="0" t="n">
        <f aca="false">04_回帰ANOVA!$K$19*04_回帰ANOVA!$K$14*SQRT(1+Y5500)</f>
        <v>1.47566956658694</v>
      </c>
      <c r="AA5500" s="0" t="n">
        <f aca="false">X5500-Z5500</f>
        <v>46.6265828091441</v>
      </c>
      <c r="AB5500" s="0" t="n">
        <f aca="false">X5500+Z5500</f>
        <v>49.5779219423179</v>
      </c>
      <c r="AC5500" s="54" t="b">
        <f aca="false">AND(E5500&gt;=01_因子設定!$L$5-0.000000001,E5500&lt;=01_因子設定!$M$5+0.000000001,F5500&gt;=01_因子設定!$L$6-0.000000001,F5500&lt;=01_因子設定!$M$6+0.000000001,G5500&gt;=01_因子設定!$L$7-0.000000001,G5500&lt;=01_因子設定!$M$7+0.000000001,H5500&gt;=01_因子設定!$L$8-0.000000001,H5500&lt;=01_因子設定!$M$8+0.000000001,IF(01_因子設定!$B$20="Box-Behnken",E5500^2+F5500^2+G5500^2+H5500^2&lt;=2+0.000000001,TRUE()))</f>
        <v>1</v>
      </c>
      <c r="AD5500" s="55" t="n">
        <f aca="false">IF(AC5500,IF(01_因子設定!$B$13="最大化",AA5500-01_因子設定!$B$14,IF(01_因子設定!$B$13="最小化",01_因子設定!$B$15-AB5500,MIN(AA5500-01_因子設定!$B$14,01_因子設定!$B$15-AB5500))),-1E+030)</f>
        <v>0.126582809144047</v>
      </c>
      <c r="AE5500" s="55" t="n">
        <f aca="false">IF(AC5500,IF(01_因子設定!$B$13="最大化",X5500,IF(01_因子設定!$B$13="最小化",-X5500,-ABS(X5500-01_因子設定!$B$16))),-1E+030)</f>
        <v>48.102252375731</v>
      </c>
      <c r="AF5500" s="55" t="n">
        <f aca="false">AD5500+ROW()*0.000000001</f>
        <v>0.126588309144047</v>
      </c>
      <c r="AG5500" s="55" t="n">
        <f aca="false">AE5500+ROW()*0.000000001</f>
        <v>48.102257875731</v>
      </c>
    </row>
    <row r="5501" customFormat="false" ht="15" hidden="false" customHeight="false" outlineLevel="0" collapsed="false">
      <c r="A5501" s="0" t="n">
        <v>7</v>
      </c>
      <c r="B5501" s="0" t="n">
        <v>4</v>
      </c>
      <c r="C5501" s="0" t="n">
        <v>7</v>
      </c>
      <c r="D5501" s="0" t="n">
        <v>6</v>
      </c>
      <c r="E5501" s="0" t="n">
        <f aca="false">-1+A5501*0.25</f>
        <v>0.75</v>
      </c>
      <c r="F5501" s="0" t="n">
        <f aca="false">-1+B5501*0.25</f>
        <v>0</v>
      </c>
      <c r="G5501" s="0" t="n">
        <f aca="false">-1+C5501*0.25</f>
        <v>0.75</v>
      </c>
      <c r="H5501" s="0" t="n">
        <f aca="false">-1+D5501*0.25</f>
        <v>0.5</v>
      </c>
      <c r="I5501" s="0" t="n">
        <f aca="false">1</f>
        <v>1</v>
      </c>
      <c r="J5501" s="0" t="n">
        <f aca="false">E5501</f>
        <v>0.75</v>
      </c>
      <c r="K5501" s="0" t="n">
        <f aca="false">F5501</f>
        <v>0</v>
      </c>
      <c r="L5501" s="0" t="n">
        <f aca="false">G5501</f>
        <v>0.75</v>
      </c>
      <c r="M5501" s="0" t="n">
        <f aca="false">H5501</f>
        <v>0.5</v>
      </c>
      <c r="N5501" s="0" t="n">
        <f aca="false">E5501*F5501</f>
        <v>0</v>
      </c>
      <c r="O5501" s="0" t="n">
        <f aca="false">E5501*G5501</f>
        <v>0.5625</v>
      </c>
      <c r="P5501" s="0" t="n">
        <f aca="false">E5501*H5501</f>
        <v>0.375</v>
      </c>
      <c r="Q5501" s="0" t="n">
        <f aca="false">F5501*G5501</f>
        <v>0</v>
      </c>
      <c r="R5501" s="0" t="n">
        <f aca="false">F5501*H5501</f>
        <v>0</v>
      </c>
      <c r="S5501" s="0" t="n">
        <f aca="false">G5501*H5501</f>
        <v>0.375</v>
      </c>
      <c r="T5501" s="0" t="n">
        <f aca="false">E5501*E5501</f>
        <v>0.5625</v>
      </c>
      <c r="U5501" s="0" t="n">
        <f aca="false">F5501*F5501</f>
        <v>0</v>
      </c>
      <c r="V5501" s="0" t="n">
        <f aca="false">G5501*G5501</f>
        <v>0.5625</v>
      </c>
      <c r="W5501" s="0" t="n">
        <f aca="false">H5501*H5501</f>
        <v>0.25</v>
      </c>
      <c r="X5501" s="0" t="n">
        <f aca="false">SUMPRODUCT(I5501:W5501,_XtX!$B$96:$P$96)</f>
        <v>48.2092744883041</v>
      </c>
      <c r="Y5501" s="0" t="n">
        <f aca="false">SUMPRODUCT(MMULT(I5501:W5501,_XtX!$B$78:$P$92),I5501:W5501)</f>
        <v>0.269923873812135</v>
      </c>
      <c r="Z5501" s="0" t="n">
        <f aca="false">04_回帰ANOVA!$K$19*04_回帰ANOVA!$K$14*SQRT(1+Y5501)</f>
        <v>1.46888310825501</v>
      </c>
      <c r="AA5501" s="0" t="n">
        <f aca="false">X5501-Z5501</f>
        <v>46.7403913800491</v>
      </c>
      <c r="AB5501" s="0" t="n">
        <f aca="false">X5501+Z5501</f>
        <v>49.6781575965591</v>
      </c>
      <c r="AC5501" s="54" t="b">
        <f aca="false">AND(E5501&gt;=01_因子設定!$L$5-0.000000001,E5501&lt;=01_因子設定!$M$5+0.000000001,F5501&gt;=01_因子設定!$L$6-0.000000001,F5501&lt;=01_因子設定!$M$6+0.000000001,G5501&gt;=01_因子設定!$L$7-0.000000001,G5501&lt;=01_因子設定!$M$7+0.000000001,H5501&gt;=01_因子設定!$L$8-0.000000001,H5501&lt;=01_因子設定!$M$8+0.000000001,IF(01_因子設定!$B$20="Box-Behnken",E5501^2+F5501^2+G5501^2+H5501^2&lt;=2+0.000000001,TRUE()))</f>
        <v>1</v>
      </c>
      <c r="AD5501" s="55" t="n">
        <f aca="false">IF(AC5501,IF(01_因子設定!$B$13="最大化",AA5501-01_因子設定!$B$14,IF(01_因子設定!$B$13="最小化",01_因子設定!$B$15-AB5501,MIN(AA5501-01_因子設定!$B$14,01_因子設定!$B$15-AB5501))),-1E+030)</f>
        <v>0.240391380049083</v>
      </c>
      <c r="AE5501" s="55" t="n">
        <f aca="false">IF(AC5501,IF(01_因子設定!$B$13="最大化",X5501,IF(01_因子設定!$B$13="最小化",-X5501,-ABS(X5501-01_因子設定!$B$16))),-1E+030)</f>
        <v>48.2092744883041</v>
      </c>
      <c r="AF5501" s="55" t="n">
        <f aca="false">AD5501+ROW()*0.000000001</f>
        <v>0.240396881049083</v>
      </c>
      <c r="AG5501" s="55" t="n">
        <f aca="false">AE5501+ROW()*0.000000001</f>
        <v>48.2092799893041</v>
      </c>
    </row>
    <row r="5502" customFormat="false" ht="15" hidden="false" customHeight="false" outlineLevel="0" collapsed="false">
      <c r="A5502" s="0" t="n">
        <v>7</v>
      </c>
      <c r="B5502" s="0" t="n">
        <v>4</v>
      </c>
      <c r="C5502" s="0" t="n">
        <v>7</v>
      </c>
      <c r="D5502" s="0" t="n">
        <v>7</v>
      </c>
      <c r="E5502" s="0" t="n">
        <f aca="false">-1+A5502*0.25</f>
        <v>0.75</v>
      </c>
      <c r="F5502" s="0" t="n">
        <f aca="false">-1+B5502*0.25</f>
        <v>0</v>
      </c>
      <c r="G5502" s="0" t="n">
        <f aca="false">-1+C5502*0.25</f>
        <v>0.75</v>
      </c>
      <c r="H5502" s="0" t="n">
        <f aca="false">-1+D5502*0.25</f>
        <v>0.75</v>
      </c>
      <c r="I5502" s="0" t="n">
        <f aca="false">1</f>
        <v>1</v>
      </c>
      <c r="J5502" s="0" t="n">
        <f aca="false">E5502</f>
        <v>0.75</v>
      </c>
      <c r="K5502" s="0" t="n">
        <f aca="false">F5502</f>
        <v>0</v>
      </c>
      <c r="L5502" s="0" t="n">
        <f aca="false">G5502</f>
        <v>0.75</v>
      </c>
      <c r="M5502" s="0" t="n">
        <f aca="false">H5502</f>
        <v>0.75</v>
      </c>
      <c r="N5502" s="0" t="n">
        <f aca="false">E5502*F5502</f>
        <v>0</v>
      </c>
      <c r="O5502" s="0" t="n">
        <f aca="false">E5502*G5502</f>
        <v>0.5625</v>
      </c>
      <c r="P5502" s="0" t="n">
        <f aca="false">E5502*H5502</f>
        <v>0.5625</v>
      </c>
      <c r="Q5502" s="0" t="n">
        <f aca="false">F5502*G5502</f>
        <v>0</v>
      </c>
      <c r="R5502" s="0" t="n">
        <f aca="false">F5502*H5502</f>
        <v>0</v>
      </c>
      <c r="S5502" s="0" t="n">
        <f aca="false">G5502*H5502</f>
        <v>0.5625</v>
      </c>
      <c r="T5502" s="0" t="n">
        <f aca="false">E5502*E5502</f>
        <v>0.5625</v>
      </c>
      <c r="U5502" s="0" t="n">
        <f aca="false">F5502*F5502</f>
        <v>0</v>
      </c>
      <c r="V5502" s="0" t="n">
        <f aca="false">G5502*G5502</f>
        <v>0.5625</v>
      </c>
      <c r="W5502" s="0" t="n">
        <f aca="false">H5502*H5502</f>
        <v>0.5625</v>
      </c>
      <c r="X5502" s="0" t="n">
        <f aca="false">SUMPRODUCT(I5502:W5502,_XtX!$B$96:$P$96)</f>
        <v>48.2684895833333</v>
      </c>
      <c r="Y5502" s="0" t="n">
        <f aca="false">SUMPRODUCT(MMULT(I5502:W5502,_XtX!$B$78:$P$92),I5502:W5502)</f>
        <v>0.310628255208333</v>
      </c>
      <c r="Z5502" s="0" t="n">
        <f aca="false">04_回帰ANOVA!$K$19*04_回帰ANOVA!$K$14*SQRT(1+Y5502)</f>
        <v>1.49223820892344</v>
      </c>
      <c r="AA5502" s="0" t="n">
        <f aca="false">X5502-Z5502</f>
        <v>46.7762513744099</v>
      </c>
      <c r="AB5502" s="0" t="n">
        <f aca="false">X5502+Z5502</f>
        <v>49.7607277922568</v>
      </c>
      <c r="AC5502" s="54" t="b">
        <f aca="false">AND(E5502&gt;=01_因子設定!$L$5-0.000000001,E5502&lt;=01_因子設定!$M$5+0.000000001,F5502&gt;=01_因子設定!$L$6-0.000000001,F5502&lt;=01_因子設定!$M$6+0.000000001,G5502&gt;=01_因子設定!$L$7-0.000000001,G5502&lt;=01_因子設定!$M$7+0.000000001,H5502&gt;=01_因子設定!$L$8-0.000000001,H5502&lt;=01_因子設定!$M$8+0.000000001,IF(01_因子設定!$B$20="Box-Behnken",E5502^2+F5502^2+G5502^2+H5502^2&lt;=2+0.000000001,TRUE()))</f>
        <v>1</v>
      </c>
      <c r="AD5502" s="55" t="n">
        <f aca="false">IF(AC5502,IF(01_因子設定!$B$13="最大化",AA5502-01_因子設定!$B$14,IF(01_因子設定!$B$13="最小化",01_因子設定!$B$15-AB5502,MIN(AA5502-01_因子設定!$B$14,01_因子設定!$B$15-AB5502))),-1E+030)</f>
        <v>0.276251374409902</v>
      </c>
      <c r="AE5502" s="55" t="n">
        <f aca="false">IF(AC5502,IF(01_因子設定!$B$13="最大化",X5502,IF(01_因子設定!$B$13="最小化",-X5502,-ABS(X5502-01_因子設定!$B$16))),-1E+030)</f>
        <v>48.2684895833333</v>
      </c>
      <c r="AF5502" s="55" t="n">
        <f aca="false">AD5502+ROW()*0.000000001</f>
        <v>0.276256876409902</v>
      </c>
      <c r="AG5502" s="55" t="n">
        <f aca="false">AE5502+ROW()*0.000000001</f>
        <v>48.2684950853333</v>
      </c>
    </row>
    <row r="5503" customFormat="false" ht="15" hidden="false" customHeight="false" outlineLevel="0" collapsed="false">
      <c r="A5503" s="0" t="n">
        <v>7</v>
      </c>
      <c r="B5503" s="0" t="n">
        <v>4</v>
      </c>
      <c r="C5503" s="0" t="n">
        <v>7</v>
      </c>
      <c r="D5503" s="0" t="n">
        <v>8</v>
      </c>
      <c r="E5503" s="0" t="n">
        <f aca="false">-1+A5503*0.25</f>
        <v>0.75</v>
      </c>
      <c r="F5503" s="0" t="n">
        <f aca="false">-1+B5503*0.25</f>
        <v>0</v>
      </c>
      <c r="G5503" s="0" t="n">
        <f aca="false">-1+C5503*0.25</f>
        <v>0.75</v>
      </c>
      <c r="H5503" s="0" t="n">
        <f aca="false">-1+D5503*0.25</f>
        <v>1</v>
      </c>
      <c r="I5503" s="0" t="n">
        <f aca="false">1</f>
        <v>1</v>
      </c>
      <c r="J5503" s="0" t="n">
        <f aca="false">E5503</f>
        <v>0.75</v>
      </c>
      <c r="K5503" s="0" t="n">
        <f aca="false">F5503</f>
        <v>0</v>
      </c>
      <c r="L5503" s="0" t="n">
        <f aca="false">G5503</f>
        <v>0.75</v>
      </c>
      <c r="M5503" s="0" t="n">
        <f aca="false">H5503</f>
        <v>1</v>
      </c>
      <c r="N5503" s="0" t="n">
        <f aca="false">E5503*F5503</f>
        <v>0</v>
      </c>
      <c r="O5503" s="0" t="n">
        <f aca="false">E5503*G5503</f>
        <v>0.5625</v>
      </c>
      <c r="P5503" s="0" t="n">
        <f aca="false">E5503*H5503</f>
        <v>0.75</v>
      </c>
      <c r="Q5503" s="0" t="n">
        <f aca="false">F5503*G5503</f>
        <v>0</v>
      </c>
      <c r="R5503" s="0" t="n">
        <f aca="false">F5503*H5503</f>
        <v>0</v>
      </c>
      <c r="S5503" s="0" t="n">
        <f aca="false">G5503*H5503</f>
        <v>0.75</v>
      </c>
      <c r="T5503" s="0" t="n">
        <f aca="false">E5503*E5503</f>
        <v>0.5625</v>
      </c>
      <c r="U5503" s="0" t="n">
        <f aca="false">F5503*F5503</f>
        <v>0</v>
      </c>
      <c r="V5503" s="0" t="n">
        <f aca="false">G5503*G5503</f>
        <v>0.5625</v>
      </c>
      <c r="W5503" s="0" t="n">
        <f aca="false">H5503*H5503</f>
        <v>1</v>
      </c>
      <c r="X5503" s="0" t="n">
        <f aca="false">SUMPRODUCT(I5503:W5503,_XtX!$B$96:$P$96)</f>
        <v>48.2798976608187</v>
      </c>
      <c r="Y5503" s="0" t="n">
        <f aca="false">SUMPRODUCT(MMULT(I5503:W5503,_XtX!$B$78:$P$92),I5503:W5503)</f>
        <v>0.494259126005117</v>
      </c>
      <c r="Z5503" s="0" t="n">
        <f aca="false">04_回帰ANOVA!$K$19*04_回帰ANOVA!$K$14*SQRT(1+Y5503)</f>
        <v>1.59335061078203</v>
      </c>
      <c r="AA5503" s="0" t="n">
        <f aca="false">X5503-Z5503</f>
        <v>46.6865470500367</v>
      </c>
      <c r="AB5503" s="0" t="n">
        <f aca="false">X5503+Z5503</f>
        <v>49.8732482716008</v>
      </c>
      <c r="AC5503" s="54" t="b">
        <f aca="false">AND(E5503&gt;=01_因子設定!$L$5-0.000000001,E5503&lt;=01_因子設定!$M$5+0.000000001,F5503&gt;=01_因子設定!$L$6-0.000000001,F5503&lt;=01_因子設定!$M$6+0.000000001,G5503&gt;=01_因子設定!$L$7-0.000000001,G5503&lt;=01_因子設定!$M$7+0.000000001,H5503&gt;=01_因子設定!$L$8-0.000000001,H5503&lt;=01_因子設定!$M$8+0.000000001,IF(01_因子設定!$B$20="Box-Behnken",E5503^2+F5503^2+G5503^2+H5503^2&lt;=2+0.000000001,TRUE()))</f>
        <v>1</v>
      </c>
      <c r="AD5503" s="55" t="n">
        <f aca="false">IF(AC5503,IF(01_因子設定!$B$13="最大化",AA5503-01_因子設定!$B$14,IF(01_因子設定!$B$13="最小化",01_因子設定!$B$15-AB5503,MIN(AA5503-01_因子設定!$B$14,01_因子設定!$B$15-AB5503))),-1E+030)</f>
        <v>0.186547050036708</v>
      </c>
      <c r="AE5503" s="55" t="n">
        <f aca="false">IF(AC5503,IF(01_因子設定!$B$13="最大化",X5503,IF(01_因子設定!$B$13="最小化",-X5503,-ABS(X5503-01_因子設定!$B$16))),-1E+030)</f>
        <v>48.2798976608187</v>
      </c>
      <c r="AF5503" s="55" t="n">
        <f aca="false">AD5503+ROW()*0.000000001</f>
        <v>0.186552553036708</v>
      </c>
      <c r="AG5503" s="55" t="n">
        <f aca="false">AE5503+ROW()*0.000000001</f>
        <v>48.2799031638187</v>
      </c>
    </row>
    <row r="5504" customFormat="false" ht="15" hidden="false" customHeight="false" outlineLevel="0" collapsed="false">
      <c r="A5504" s="0" t="n">
        <v>7</v>
      </c>
      <c r="B5504" s="0" t="n">
        <v>4</v>
      </c>
      <c r="C5504" s="0" t="n">
        <v>8</v>
      </c>
      <c r="D5504" s="0" t="n">
        <v>0</v>
      </c>
      <c r="E5504" s="0" t="n">
        <f aca="false">-1+A5504*0.25</f>
        <v>0.75</v>
      </c>
      <c r="F5504" s="0" t="n">
        <f aca="false">-1+B5504*0.25</f>
        <v>0</v>
      </c>
      <c r="G5504" s="0" t="n">
        <f aca="false">-1+C5504*0.25</f>
        <v>1</v>
      </c>
      <c r="H5504" s="0" t="n">
        <f aca="false">-1+D5504*0.25</f>
        <v>-1</v>
      </c>
      <c r="I5504" s="0" t="n">
        <f aca="false">1</f>
        <v>1</v>
      </c>
      <c r="J5504" s="0" t="n">
        <f aca="false">E5504</f>
        <v>0.75</v>
      </c>
      <c r="K5504" s="0" t="n">
        <f aca="false">F5504</f>
        <v>0</v>
      </c>
      <c r="L5504" s="0" t="n">
        <f aca="false">G5504</f>
        <v>1</v>
      </c>
      <c r="M5504" s="0" t="n">
        <f aca="false">H5504</f>
        <v>-1</v>
      </c>
      <c r="N5504" s="0" t="n">
        <f aca="false">E5504*F5504</f>
        <v>0</v>
      </c>
      <c r="O5504" s="0" t="n">
        <f aca="false">E5504*G5504</f>
        <v>0.75</v>
      </c>
      <c r="P5504" s="0" t="n">
        <f aca="false">E5504*H5504</f>
        <v>-0.75</v>
      </c>
      <c r="Q5504" s="0" t="n">
        <f aca="false">F5504*G5504</f>
        <v>0</v>
      </c>
      <c r="R5504" s="0" t="n">
        <f aca="false">F5504*H5504</f>
        <v>-0</v>
      </c>
      <c r="S5504" s="0" t="n">
        <f aca="false">G5504*H5504</f>
        <v>-1</v>
      </c>
      <c r="T5504" s="0" t="n">
        <f aca="false">E5504*E5504</f>
        <v>0.5625</v>
      </c>
      <c r="U5504" s="0" t="n">
        <f aca="false">F5504*F5504</f>
        <v>0</v>
      </c>
      <c r="V5504" s="0" t="n">
        <f aca="false">G5504*G5504</f>
        <v>1</v>
      </c>
      <c r="W5504" s="0" t="n">
        <f aca="false">H5504*H5504</f>
        <v>1</v>
      </c>
      <c r="X5504" s="0" t="n">
        <f aca="false">SUMPRODUCT(I5504:W5504,_XtX!$B$96:$P$96)</f>
        <v>46.6035453216375</v>
      </c>
      <c r="Y5504" s="0" t="n">
        <f aca="false">SUMPRODUCT(MMULT(I5504:W5504,_XtX!$B$78:$P$92),I5504:W5504)</f>
        <v>0.646198830409357</v>
      </c>
      <c r="Z5504" s="0" t="n">
        <f aca="false">04_回帰ANOVA!$K$19*04_回帰ANOVA!$K$14*SQRT(1+Y5504)</f>
        <v>1.67239760569756</v>
      </c>
      <c r="AA5504" s="0" t="n">
        <f aca="false">X5504-Z5504</f>
        <v>44.9311477159399</v>
      </c>
      <c r="AB5504" s="0" t="n">
        <f aca="false">X5504+Z5504</f>
        <v>48.275942927335</v>
      </c>
      <c r="AC5504" s="54" t="b">
        <f aca="false">AND(E5504&gt;=01_因子設定!$L$5-0.000000001,E5504&lt;=01_因子設定!$M$5+0.000000001,F5504&gt;=01_因子設定!$L$6-0.000000001,F5504&lt;=01_因子設定!$M$6+0.000000001,G5504&gt;=01_因子設定!$L$7-0.000000001,G5504&lt;=01_因子設定!$M$7+0.000000001,H5504&gt;=01_因子設定!$L$8-0.000000001,H5504&lt;=01_因子設定!$M$8+0.000000001,IF(01_因子設定!$B$20="Box-Behnken",E5504^2+F5504^2+G5504^2+H5504^2&lt;=2+0.000000001,TRUE()))</f>
        <v>1</v>
      </c>
      <c r="AD5504" s="55" t="n">
        <f aca="false">IF(AC5504,IF(01_因子設定!$B$13="最大化",AA5504-01_因子設定!$B$14,IF(01_因子設定!$B$13="最小化",01_因子設定!$B$15-AB5504,MIN(AA5504-01_因子設定!$B$14,01_因子設定!$B$15-AB5504))),-1E+030)</f>
        <v>-1.5688522840601</v>
      </c>
      <c r="AE5504" s="55" t="n">
        <f aca="false">IF(AC5504,IF(01_因子設定!$B$13="最大化",X5504,IF(01_因子設定!$B$13="最小化",-X5504,-ABS(X5504-01_因子設定!$B$16))),-1E+030)</f>
        <v>46.6035453216375</v>
      </c>
      <c r="AF5504" s="55" t="n">
        <f aca="false">AD5504+ROW()*0.000000001</f>
        <v>-1.5688467800601</v>
      </c>
      <c r="AG5504" s="55" t="n">
        <f aca="false">AE5504+ROW()*0.000000001</f>
        <v>46.6035508256375</v>
      </c>
    </row>
    <row r="5505" customFormat="false" ht="15" hidden="false" customHeight="false" outlineLevel="0" collapsed="false">
      <c r="A5505" s="0" t="n">
        <v>7</v>
      </c>
      <c r="B5505" s="0" t="n">
        <v>4</v>
      </c>
      <c r="C5505" s="0" t="n">
        <v>8</v>
      </c>
      <c r="D5505" s="0" t="n">
        <v>1</v>
      </c>
      <c r="E5505" s="0" t="n">
        <f aca="false">-1+A5505*0.25</f>
        <v>0.75</v>
      </c>
      <c r="F5505" s="0" t="n">
        <f aca="false">-1+B5505*0.25</f>
        <v>0</v>
      </c>
      <c r="G5505" s="0" t="n">
        <f aca="false">-1+C5505*0.25</f>
        <v>1</v>
      </c>
      <c r="H5505" s="0" t="n">
        <f aca="false">-1+D5505*0.25</f>
        <v>-0.75</v>
      </c>
      <c r="I5505" s="0" t="n">
        <f aca="false">1</f>
        <v>1</v>
      </c>
      <c r="J5505" s="0" t="n">
        <f aca="false">E5505</f>
        <v>0.75</v>
      </c>
      <c r="K5505" s="0" t="n">
        <f aca="false">F5505</f>
        <v>0</v>
      </c>
      <c r="L5505" s="0" t="n">
        <f aca="false">G5505</f>
        <v>1</v>
      </c>
      <c r="M5505" s="0" t="n">
        <f aca="false">H5505</f>
        <v>-0.75</v>
      </c>
      <c r="N5505" s="0" t="n">
        <f aca="false">E5505*F5505</f>
        <v>0</v>
      </c>
      <c r="O5505" s="0" t="n">
        <f aca="false">E5505*G5505</f>
        <v>0.75</v>
      </c>
      <c r="P5505" s="0" t="n">
        <f aca="false">E5505*H5505</f>
        <v>-0.5625</v>
      </c>
      <c r="Q5505" s="0" t="n">
        <f aca="false">F5505*G5505</f>
        <v>0</v>
      </c>
      <c r="R5505" s="0" t="n">
        <f aca="false">F5505*H5505</f>
        <v>-0</v>
      </c>
      <c r="S5505" s="0" t="n">
        <f aca="false">G5505*H5505</f>
        <v>-0.75</v>
      </c>
      <c r="T5505" s="0" t="n">
        <f aca="false">E5505*E5505</f>
        <v>0.5625</v>
      </c>
      <c r="U5505" s="0" t="n">
        <f aca="false">F5505*F5505</f>
        <v>0</v>
      </c>
      <c r="V5505" s="0" t="n">
        <f aca="false">G5505*G5505</f>
        <v>1</v>
      </c>
      <c r="W5505" s="0" t="n">
        <f aca="false">H5505*H5505</f>
        <v>0.5625</v>
      </c>
      <c r="X5505" s="0" t="n">
        <f aca="false">SUMPRODUCT(I5505:W5505,_XtX!$B$96:$P$96)</f>
        <v>46.9675712719298</v>
      </c>
      <c r="Y5505" s="0" t="n">
        <f aca="false">SUMPRODUCT(MMULT(I5505:W5505,_XtX!$B$78:$P$92),I5505:W5505)</f>
        <v>0.494259126005117</v>
      </c>
      <c r="Z5505" s="0" t="n">
        <f aca="false">04_回帰ANOVA!$K$19*04_回帰ANOVA!$K$14*SQRT(1+Y5505)</f>
        <v>1.59335061078203</v>
      </c>
      <c r="AA5505" s="0" t="n">
        <f aca="false">X5505-Z5505</f>
        <v>45.3742206611478</v>
      </c>
      <c r="AB5505" s="0" t="n">
        <f aca="false">X5505+Z5505</f>
        <v>48.5609218827119</v>
      </c>
      <c r="AC5505" s="54" t="b">
        <f aca="false">AND(E5505&gt;=01_因子設定!$L$5-0.000000001,E5505&lt;=01_因子設定!$M$5+0.000000001,F5505&gt;=01_因子設定!$L$6-0.000000001,F5505&lt;=01_因子設定!$M$6+0.000000001,G5505&gt;=01_因子設定!$L$7-0.000000001,G5505&lt;=01_因子設定!$M$7+0.000000001,H5505&gt;=01_因子設定!$L$8-0.000000001,H5505&lt;=01_因子設定!$M$8+0.000000001,IF(01_因子設定!$B$20="Box-Behnken",E5505^2+F5505^2+G5505^2+H5505^2&lt;=2+0.000000001,TRUE()))</f>
        <v>1</v>
      </c>
      <c r="AD5505" s="55" t="n">
        <f aca="false">IF(AC5505,IF(01_因子設定!$B$13="最大化",AA5505-01_因子設定!$B$14,IF(01_因子設定!$B$13="最小化",01_因子設定!$B$15-AB5505,MIN(AA5505-01_因子設定!$B$14,01_因子設定!$B$15-AB5505))),-1E+030)</f>
        <v>-1.12577933885219</v>
      </c>
      <c r="AE5505" s="55" t="n">
        <f aca="false">IF(AC5505,IF(01_因子設定!$B$13="最大化",X5505,IF(01_因子設定!$B$13="最小化",-X5505,-ABS(X5505-01_因子設定!$B$16))),-1E+030)</f>
        <v>46.9675712719298</v>
      </c>
      <c r="AF5505" s="55" t="n">
        <f aca="false">AD5505+ROW()*0.000000001</f>
        <v>-1.12577383385219</v>
      </c>
      <c r="AG5505" s="55" t="n">
        <f aca="false">AE5505+ROW()*0.000000001</f>
        <v>46.9675767769298</v>
      </c>
    </row>
    <row r="5506" customFormat="false" ht="15" hidden="false" customHeight="false" outlineLevel="0" collapsed="false">
      <c r="A5506" s="0" t="n">
        <v>7</v>
      </c>
      <c r="B5506" s="0" t="n">
        <v>4</v>
      </c>
      <c r="C5506" s="0" t="n">
        <v>8</v>
      </c>
      <c r="D5506" s="0" t="n">
        <v>2</v>
      </c>
      <c r="E5506" s="0" t="n">
        <f aca="false">-1+A5506*0.25</f>
        <v>0.75</v>
      </c>
      <c r="F5506" s="0" t="n">
        <f aca="false">-1+B5506*0.25</f>
        <v>0</v>
      </c>
      <c r="G5506" s="0" t="n">
        <f aca="false">-1+C5506*0.25</f>
        <v>1</v>
      </c>
      <c r="H5506" s="0" t="n">
        <f aca="false">-1+D5506*0.25</f>
        <v>-0.5</v>
      </c>
      <c r="I5506" s="0" t="n">
        <f aca="false">1</f>
        <v>1</v>
      </c>
      <c r="J5506" s="0" t="n">
        <f aca="false">E5506</f>
        <v>0.75</v>
      </c>
      <c r="K5506" s="0" t="n">
        <f aca="false">F5506</f>
        <v>0</v>
      </c>
      <c r="L5506" s="0" t="n">
        <f aca="false">G5506</f>
        <v>1</v>
      </c>
      <c r="M5506" s="0" t="n">
        <f aca="false">H5506</f>
        <v>-0.5</v>
      </c>
      <c r="N5506" s="0" t="n">
        <f aca="false">E5506*F5506</f>
        <v>0</v>
      </c>
      <c r="O5506" s="0" t="n">
        <f aca="false">E5506*G5506</f>
        <v>0.75</v>
      </c>
      <c r="P5506" s="0" t="n">
        <f aca="false">E5506*H5506</f>
        <v>-0.375</v>
      </c>
      <c r="Q5506" s="0" t="n">
        <f aca="false">F5506*G5506</f>
        <v>0</v>
      </c>
      <c r="R5506" s="0" t="n">
        <f aca="false">F5506*H5506</f>
        <v>-0</v>
      </c>
      <c r="S5506" s="0" t="n">
        <f aca="false">G5506*H5506</f>
        <v>-0.5</v>
      </c>
      <c r="T5506" s="0" t="n">
        <f aca="false">E5506*E5506</f>
        <v>0.5625</v>
      </c>
      <c r="U5506" s="0" t="n">
        <f aca="false">F5506*F5506</f>
        <v>0</v>
      </c>
      <c r="V5506" s="0" t="n">
        <f aca="false">G5506*G5506</f>
        <v>1</v>
      </c>
      <c r="W5506" s="0" t="n">
        <f aca="false">H5506*H5506</f>
        <v>0.25</v>
      </c>
      <c r="X5506" s="0" t="n">
        <f aca="false">SUMPRODUCT(I5506:W5506,_XtX!$B$96:$P$96)</f>
        <v>47.2837902046784</v>
      </c>
      <c r="Y5506" s="0" t="n">
        <f aca="false">SUMPRODUCT(MMULT(I5506:W5506,_XtX!$B$78:$P$92),I5506:W5506)</f>
        <v>0.476191292032164</v>
      </c>
      <c r="Z5506" s="0" t="n">
        <f aca="false">04_回帰ANOVA!$K$19*04_回帰ANOVA!$K$14*SQRT(1+Y5506)</f>
        <v>1.58368831471718</v>
      </c>
      <c r="AA5506" s="0" t="n">
        <f aca="false">X5506-Z5506</f>
        <v>45.7001018899612</v>
      </c>
      <c r="AB5506" s="0" t="n">
        <f aca="false">X5506+Z5506</f>
        <v>48.8674785193955</v>
      </c>
      <c r="AC5506" s="54" t="b">
        <f aca="false">AND(E5506&gt;=01_因子設定!$L$5-0.000000001,E5506&lt;=01_因子設定!$M$5+0.000000001,F5506&gt;=01_因子設定!$L$6-0.000000001,F5506&lt;=01_因子設定!$M$6+0.000000001,G5506&gt;=01_因子設定!$L$7-0.000000001,G5506&lt;=01_因子設定!$M$7+0.000000001,H5506&gt;=01_因子設定!$L$8-0.000000001,H5506&lt;=01_因子設定!$M$8+0.000000001,IF(01_因子設定!$B$20="Box-Behnken",E5506^2+F5506^2+G5506^2+H5506^2&lt;=2+0.000000001,TRUE()))</f>
        <v>1</v>
      </c>
      <c r="AD5506" s="55" t="n">
        <f aca="false">IF(AC5506,IF(01_因子設定!$B$13="最大化",AA5506-01_因子設定!$B$14,IF(01_因子設定!$B$13="最小化",01_因子設定!$B$15-AB5506,MIN(AA5506-01_因子設定!$B$14,01_因子設定!$B$15-AB5506))),-1E+030)</f>
        <v>-0.799898110038818</v>
      </c>
      <c r="AE5506" s="55" t="n">
        <f aca="false">IF(AC5506,IF(01_因子設定!$B$13="最大化",X5506,IF(01_因子設定!$B$13="最小化",-X5506,-ABS(X5506-01_因子設定!$B$16))),-1E+030)</f>
        <v>47.2837902046784</v>
      </c>
      <c r="AF5506" s="55" t="n">
        <f aca="false">AD5506+ROW()*0.000000001</f>
        <v>-0.799892604038818</v>
      </c>
      <c r="AG5506" s="55" t="n">
        <f aca="false">AE5506+ROW()*0.000000001</f>
        <v>47.2837957106784</v>
      </c>
    </row>
    <row r="5507" customFormat="false" ht="15" hidden="false" customHeight="false" outlineLevel="0" collapsed="false">
      <c r="A5507" s="0" t="n">
        <v>7</v>
      </c>
      <c r="B5507" s="0" t="n">
        <v>4</v>
      </c>
      <c r="C5507" s="0" t="n">
        <v>8</v>
      </c>
      <c r="D5507" s="0" t="n">
        <v>3</v>
      </c>
      <c r="E5507" s="0" t="n">
        <f aca="false">-1+A5507*0.25</f>
        <v>0.75</v>
      </c>
      <c r="F5507" s="0" t="n">
        <f aca="false">-1+B5507*0.25</f>
        <v>0</v>
      </c>
      <c r="G5507" s="0" t="n">
        <f aca="false">-1+C5507*0.25</f>
        <v>1</v>
      </c>
      <c r="H5507" s="0" t="n">
        <f aca="false">-1+D5507*0.25</f>
        <v>-0.25</v>
      </c>
      <c r="I5507" s="0" t="n">
        <f aca="false">1</f>
        <v>1</v>
      </c>
      <c r="J5507" s="0" t="n">
        <f aca="false">E5507</f>
        <v>0.75</v>
      </c>
      <c r="K5507" s="0" t="n">
        <f aca="false">F5507</f>
        <v>0</v>
      </c>
      <c r="L5507" s="0" t="n">
        <f aca="false">G5507</f>
        <v>1</v>
      </c>
      <c r="M5507" s="0" t="n">
        <f aca="false">H5507</f>
        <v>-0.25</v>
      </c>
      <c r="N5507" s="0" t="n">
        <f aca="false">E5507*F5507</f>
        <v>0</v>
      </c>
      <c r="O5507" s="0" t="n">
        <f aca="false">E5507*G5507</f>
        <v>0.75</v>
      </c>
      <c r="P5507" s="0" t="n">
        <f aca="false">E5507*H5507</f>
        <v>-0.1875</v>
      </c>
      <c r="Q5507" s="0" t="n">
        <f aca="false">F5507*G5507</f>
        <v>0</v>
      </c>
      <c r="R5507" s="0" t="n">
        <f aca="false">F5507*H5507</f>
        <v>-0</v>
      </c>
      <c r="S5507" s="0" t="n">
        <f aca="false">G5507*H5507</f>
        <v>-0.25</v>
      </c>
      <c r="T5507" s="0" t="n">
        <f aca="false">E5507*E5507</f>
        <v>0.5625</v>
      </c>
      <c r="U5507" s="0" t="n">
        <f aca="false">F5507*F5507</f>
        <v>0</v>
      </c>
      <c r="V5507" s="0" t="n">
        <f aca="false">G5507*G5507</f>
        <v>1</v>
      </c>
      <c r="W5507" s="0" t="n">
        <f aca="false">H5507*H5507</f>
        <v>0.0625</v>
      </c>
      <c r="X5507" s="0" t="n">
        <f aca="false">SUMPRODUCT(I5507:W5507,_XtX!$B$96:$P$96)</f>
        <v>47.552202119883</v>
      </c>
      <c r="Y5507" s="0" t="n">
        <f aca="false">SUMPRODUCT(MMULT(I5507:W5507,_XtX!$B$78:$P$92),I5507:W5507)</f>
        <v>0.501534802174708</v>
      </c>
      <c r="Z5507" s="0" t="n">
        <f aca="false">04_回帰ANOVA!$K$19*04_回帰ANOVA!$K$14*SQRT(1+Y5507)</f>
        <v>1.59722498091333</v>
      </c>
      <c r="AA5507" s="0" t="n">
        <f aca="false">X5507-Z5507</f>
        <v>45.9549771389697</v>
      </c>
      <c r="AB5507" s="0" t="n">
        <f aca="false">X5507+Z5507</f>
        <v>49.1494271007964</v>
      </c>
      <c r="AC5507" s="54" t="b">
        <f aca="false">AND(E5507&gt;=01_因子設定!$L$5-0.000000001,E5507&lt;=01_因子設定!$M$5+0.000000001,F5507&gt;=01_因子設定!$L$6-0.000000001,F5507&lt;=01_因子設定!$M$6+0.000000001,G5507&gt;=01_因子設定!$L$7-0.000000001,G5507&lt;=01_因子設定!$M$7+0.000000001,H5507&gt;=01_因子設定!$L$8-0.000000001,H5507&lt;=01_因子設定!$M$8+0.000000001,IF(01_因子設定!$B$20="Box-Behnken",E5507^2+F5507^2+G5507^2+H5507^2&lt;=2+0.000000001,TRUE()))</f>
        <v>1</v>
      </c>
      <c r="AD5507" s="55" t="n">
        <f aca="false">IF(AC5507,IF(01_因子設定!$B$13="最大化",AA5507-01_因子設定!$B$14,IF(01_因子設定!$B$13="最小化",01_因子設定!$B$15-AB5507,MIN(AA5507-01_因子設定!$B$14,01_因子設定!$B$15-AB5507))),-1E+030)</f>
        <v>-0.545022861030297</v>
      </c>
      <c r="AE5507" s="55" t="n">
        <f aca="false">IF(AC5507,IF(01_因子設定!$B$13="最大化",X5507,IF(01_因子設定!$B$13="最小化",-X5507,-ABS(X5507-01_因子設定!$B$16))),-1E+030)</f>
        <v>47.552202119883</v>
      </c>
      <c r="AF5507" s="55" t="n">
        <f aca="false">AD5507+ROW()*0.000000001</f>
        <v>-0.545017354030297</v>
      </c>
      <c r="AG5507" s="55" t="n">
        <f aca="false">AE5507+ROW()*0.000000001</f>
        <v>47.552207626883</v>
      </c>
    </row>
    <row r="5508" customFormat="false" ht="15" hidden="false" customHeight="false" outlineLevel="0" collapsed="false">
      <c r="A5508" s="0" t="n">
        <v>7</v>
      </c>
      <c r="B5508" s="0" t="n">
        <v>4</v>
      </c>
      <c r="C5508" s="0" t="n">
        <v>8</v>
      </c>
      <c r="D5508" s="0" t="n">
        <v>4</v>
      </c>
      <c r="E5508" s="0" t="n">
        <f aca="false">-1+A5508*0.25</f>
        <v>0.75</v>
      </c>
      <c r="F5508" s="0" t="n">
        <f aca="false">-1+B5508*0.25</f>
        <v>0</v>
      </c>
      <c r="G5508" s="0" t="n">
        <f aca="false">-1+C5508*0.25</f>
        <v>1</v>
      </c>
      <c r="H5508" s="0" t="n">
        <f aca="false">-1+D5508*0.25</f>
        <v>0</v>
      </c>
      <c r="I5508" s="0" t="n">
        <f aca="false">1</f>
        <v>1</v>
      </c>
      <c r="J5508" s="0" t="n">
        <f aca="false">E5508</f>
        <v>0.75</v>
      </c>
      <c r="K5508" s="0" t="n">
        <f aca="false">F5508</f>
        <v>0</v>
      </c>
      <c r="L5508" s="0" t="n">
        <f aca="false">G5508</f>
        <v>1</v>
      </c>
      <c r="M5508" s="0" t="n">
        <f aca="false">H5508</f>
        <v>0</v>
      </c>
      <c r="N5508" s="0" t="n">
        <f aca="false">E5508*F5508</f>
        <v>0</v>
      </c>
      <c r="O5508" s="0" t="n">
        <f aca="false">E5508*G5508</f>
        <v>0.75</v>
      </c>
      <c r="P5508" s="0" t="n">
        <f aca="false">E5508*H5508</f>
        <v>0</v>
      </c>
      <c r="Q5508" s="0" t="n">
        <f aca="false">F5508*G5508</f>
        <v>0</v>
      </c>
      <c r="R5508" s="0" t="n">
        <f aca="false">F5508*H5508</f>
        <v>0</v>
      </c>
      <c r="S5508" s="0" t="n">
        <f aca="false">G5508*H5508</f>
        <v>0</v>
      </c>
      <c r="T5508" s="0" t="n">
        <f aca="false">E5508*E5508</f>
        <v>0.5625</v>
      </c>
      <c r="U5508" s="0" t="n">
        <f aca="false">F5508*F5508</f>
        <v>0</v>
      </c>
      <c r="V5508" s="0" t="n">
        <f aca="false">G5508*G5508</f>
        <v>1</v>
      </c>
      <c r="W5508" s="0" t="n">
        <f aca="false">H5508*H5508</f>
        <v>0</v>
      </c>
      <c r="X5508" s="0" t="n">
        <f aca="false">SUMPRODUCT(I5508:W5508,_XtX!$B$96:$P$96)</f>
        <v>47.7728070175439</v>
      </c>
      <c r="Y5508" s="0" t="n">
        <f aca="false">SUMPRODUCT(MMULT(I5508:W5508,_XtX!$B$78:$P$92),I5508:W5508)</f>
        <v>0.516013340643275</v>
      </c>
      <c r="Z5508" s="0" t="n">
        <f aca="false">04_回帰ANOVA!$K$19*04_回帰ANOVA!$K$14*SQRT(1+Y5508)</f>
        <v>1.60490712175667</v>
      </c>
      <c r="AA5508" s="0" t="n">
        <f aca="false">X5508-Z5508</f>
        <v>46.1678998957872</v>
      </c>
      <c r="AB5508" s="0" t="n">
        <f aca="false">X5508+Z5508</f>
        <v>49.3777141393005</v>
      </c>
      <c r="AC5508" s="54" t="b">
        <f aca="false">AND(E5508&gt;=01_因子設定!$L$5-0.000000001,E5508&lt;=01_因子設定!$M$5+0.000000001,F5508&gt;=01_因子設定!$L$6-0.000000001,F5508&lt;=01_因子設定!$M$6+0.000000001,G5508&gt;=01_因子設定!$L$7-0.000000001,G5508&lt;=01_因子設定!$M$7+0.000000001,H5508&gt;=01_因子設定!$L$8-0.000000001,H5508&lt;=01_因子設定!$M$8+0.000000001,IF(01_因子設定!$B$20="Box-Behnken",E5508^2+F5508^2+G5508^2+H5508^2&lt;=2+0.000000001,TRUE()))</f>
        <v>1</v>
      </c>
      <c r="AD5508" s="55" t="n">
        <f aca="false">IF(AC5508,IF(01_因子設定!$B$13="最大化",AA5508-01_因子設定!$B$14,IF(01_因子設定!$B$13="最小化",01_因子設定!$B$15-AB5508,MIN(AA5508-01_因子設定!$B$14,01_因子設定!$B$15-AB5508))),-1E+030)</f>
        <v>-0.33210010421282</v>
      </c>
      <c r="AE5508" s="55" t="n">
        <f aca="false">IF(AC5508,IF(01_因子設定!$B$13="最大化",X5508,IF(01_因子設定!$B$13="最小化",-X5508,-ABS(X5508-01_因子設定!$B$16))),-1E+030)</f>
        <v>47.7728070175439</v>
      </c>
      <c r="AF5508" s="55" t="n">
        <f aca="false">AD5508+ROW()*0.000000001</f>
        <v>-0.33209459621282</v>
      </c>
      <c r="AG5508" s="55" t="n">
        <f aca="false">AE5508+ROW()*0.000000001</f>
        <v>47.7728125255439</v>
      </c>
    </row>
    <row r="5509" customFormat="false" ht="15" hidden="false" customHeight="false" outlineLevel="0" collapsed="false">
      <c r="A5509" s="0" t="n">
        <v>7</v>
      </c>
      <c r="B5509" s="0" t="n">
        <v>4</v>
      </c>
      <c r="C5509" s="0" t="n">
        <v>8</v>
      </c>
      <c r="D5509" s="0" t="n">
        <v>5</v>
      </c>
      <c r="E5509" s="0" t="n">
        <f aca="false">-1+A5509*0.25</f>
        <v>0.75</v>
      </c>
      <c r="F5509" s="0" t="n">
        <f aca="false">-1+B5509*0.25</f>
        <v>0</v>
      </c>
      <c r="G5509" s="0" t="n">
        <f aca="false">-1+C5509*0.25</f>
        <v>1</v>
      </c>
      <c r="H5509" s="0" t="n">
        <f aca="false">-1+D5509*0.25</f>
        <v>0.25</v>
      </c>
      <c r="I5509" s="0" t="n">
        <f aca="false">1</f>
        <v>1</v>
      </c>
      <c r="J5509" s="0" t="n">
        <f aca="false">E5509</f>
        <v>0.75</v>
      </c>
      <c r="K5509" s="0" t="n">
        <f aca="false">F5509</f>
        <v>0</v>
      </c>
      <c r="L5509" s="0" t="n">
        <f aca="false">G5509</f>
        <v>1</v>
      </c>
      <c r="M5509" s="0" t="n">
        <f aca="false">H5509</f>
        <v>0.25</v>
      </c>
      <c r="N5509" s="0" t="n">
        <f aca="false">E5509*F5509</f>
        <v>0</v>
      </c>
      <c r="O5509" s="0" t="n">
        <f aca="false">E5509*G5509</f>
        <v>0.75</v>
      </c>
      <c r="P5509" s="0" t="n">
        <f aca="false">E5509*H5509</f>
        <v>0.1875</v>
      </c>
      <c r="Q5509" s="0" t="n">
        <f aca="false">F5509*G5509</f>
        <v>0</v>
      </c>
      <c r="R5509" s="0" t="n">
        <f aca="false">F5509*H5509</f>
        <v>0</v>
      </c>
      <c r="S5509" s="0" t="n">
        <f aca="false">G5509*H5509</f>
        <v>0.25</v>
      </c>
      <c r="T5509" s="0" t="n">
        <f aca="false">E5509*E5509</f>
        <v>0.5625</v>
      </c>
      <c r="U5509" s="0" t="n">
        <f aca="false">F5509*F5509</f>
        <v>0</v>
      </c>
      <c r="V5509" s="0" t="n">
        <f aca="false">G5509*G5509</f>
        <v>1</v>
      </c>
      <c r="W5509" s="0" t="n">
        <f aca="false">H5509*H5509</f>
        <v>0.0625</v>
      </c>
      <c r="X5509" s="0" t="n">
        <f aca="false">SUMPRODUCT(I5509:W5509,_XtX!$B$96:$P$96)</f>
        <v>47.9456048976608</v>
      </c>
      <c r="Y5509" s="0" t="n">
        <f aca="false">SUMPRODUCT(MMULT(I5509:W5509,_XtX!$B$78:$P$92),I5509:W5509)</f>
        <v>0.501534802174708</v>
      </c>
      <c r="Z5509" s="0" t="n">
        <f aca="false">04_回帰ANOVA!$K$19*04_回帰ANOVA!$K$14*SQRT(1+Y5509)</f>
        <v>1.59722498091333</v>
      </c>
      <c r="AA5509" s="0" t="n">
        <f aca="false">X5509-Z5509</f>
        <v>46.3483799167475</v>
      </c>
      <c r="AB5509" s="0" t="n">
        <f aca="false">X5509+Z5509</f>
        <v>49.5428298785741</v>
      </c>
      <c r="AC5509" s="54" t="b">
        <f aca="false">AND(E5509&gt;=01_因子設定!$L$5-0.000000001,E5509&lt;=01_因子設定!$M$5+0.000000001,F5509&gt;=01_因子設定!$L$6-0.000000001,F5509&lt;=01_因子設定!$M$6+0.000000001,G5509&gt;=01_因子設定!$L$7-0.000000001,G5509&lt;=01_因子設定!$M$7+0.000000001,H5509&gt;=01_因子設定!$L$8-0.000000001,H5509&lt;=01_因子設定!$M$8+0.000000001,IF(01_因子設定!$B$20="Box-Behnken",E5509^2+F5509^2+G5509^2+H5509^2&lt;=2+0.000000001,TRUE()))</f>
        <v>1</v>
      </c>
      <c r="AD5509" s="55" t="n">
        <f aca="false">IF(AC5509,IF(01_因子設定!$B$13="最大化",AA5509-01_因子設定!$B$14,IF(01_因子設定!$B$13="最小化",01_因子設定!$B$15-AB5509,MIN(AA5509-01_因子設定!$B$14,01_因子設定!$B$15-AB5509))),-1E+030)</f>
        <v>-0.151620083252524</v>
      </c>
      <c r="AE5509" s="55" t="n">
        <f aca="false">IF(AC5509,IF(01_因子設定!$B$13="最大化",X5509,IF(01_因子設定!$B$13="最小化",-X5509,-ABS(X5509-01_因子設定!$B$16))),-1E+030)</f>
        <v>47.9456048976608</v>
      </c>
      <c r="AF5509" s="55" t="n">
        <f aca="false">AD5509+ROW()*0.000000001</f>
        <v>-0.151614574252524</v>
      </c>
      <c r="AG5509" s="55" t="n">
        <f aca="false">AE5509+ROW()*0.000000001</f>
        <v>47.9456104066608</v>
      </c>
    </row>
    <row r="5510" customFormat="false" ht="15" hidden="false" customHeight="false" outlineLevel="0" collapsed="false">
      <c r="A5510" s="0" t="n">
        <v>7</v>
      </c>
      <c r="B5510" s="0" t="n">
        <v>4</v>
      </c>
      <c r="C5510" s="0" t="n">
        <v>8</v>
      </c>
      <c r="D5510" s="0" t="n">
        <v>6</v>
      </c>
      <c r="E5510" s="0" t="n">
        <f aca="false">-1+A5510*0.25</f>
        <v>0.75</v>
      </c>
      <c r="F5510" s="0" t="n">
        <f aca="false">-1+B5510*0.25</f>
        <v>0</v>
      </c>
      <c r="G5510" s="0" t="n">
        <f aca="false">-1+C5510*0.25</f>
        <v>1</v>
      </c>
      <c r="H5510" s="0" t="n">
        <f aca="false">-1+D5510*0.25</f>
        <v>0.5</v>
      </c>
      <c r="I5510" s="0" t="n">
        <f aca="false">1</f>
        <v>1</v>
      </c>
      <c r="J5510" s="0" t="n">
        <f aca="false">E5510</f>
        <v>0.75</v>
      </c>
      <c r="K5510" s="0" t="n">
        <f aca="false">F5510</f>
        <v>0</v>
      </c>
      <c r="L5510" s="0" t="n">
        <f aca="false">G5510</f>
        <v>1</v>
      </c>
      <c r="M5510" s="0" t="n">
        <f aca="false">H5510</f>
        <v>0.5</v>
      </c>
      <c r="N5510" s="0" t="n">
        <f aca="false">E5510*F5510</f>
        <v>0</v>
      </c>
      <c r="O5510" s="0" t="n">
        <f aca="false">E5510*G5510</f>
        <v>0.75</v>
      </c>
      <c r="P5510" s="0" t="n">
        <f aca="false">E5510*H5510</f>
        <v>0.375</v>
      </c>
      <c r="Q5510" s="0" t="n">
        <f aca="false">F5510*G5510</f>
        <v>0</v>
      </c>
      <c r="R5510" s="0" t="n">
        <f aca="false">F5510*H5510</f>
        <v>0</v>
      </c>
      <c r="S5510" s="0" t="n">
        <f aca="false">G5510*H5510</f>
        <v>0.5</v>
      </c>
      <c r="T5510" s="0" t="n">
        <f aca="false">E5510*E5510</f>
        <v>0.5625</v>
      </c>
      <c r="U5510" s="0" t="n">
        <f aca="false">F5510*F5510</f>
        <v>0</v>
      </c>
      <c r="V5510" s="0" t="n">
        <f aca="false">G5510*G5510</f>
        <v>1</v>
      </c>
      <c r="W5510" s="0" t="n">
        <f aca="false">H5510*H5510</f>
        <v>0.25</v>
      </c>
      <c r="X5510" s="0" t="n">
        <f aca="false">SUMPRODUCT(I5510:W5510,_XtX!$B$96:$P$96)</f>
        <v>48.0705957602339</v>
      </c>
      <c r="Y5510" s="0" t="n">
        <f aca="false">SUMPRODUCT(MMULT(I5510:W5510,_XtX!$B$78:$P$92),I5510:W5510)</f>
        <v>0.476191292032164</v>
      </c>
      <c r="Z5510" s="0" t="n">
        <f aca="false">04_回帰ANOVA!$K$19*04_回帰ANOVA!$K$14*SQRT(1+Y5510)</f>
        <v>1.58368831471718</v>
      </c>
      <c r="AA5510" s="0" t="n">
        <f aca="false">X5510-Z5510</f>
        <v>46.4869074455167</v>
      </c>
      <c r="AB5510" s="0" t="n">
        <f aca="false">X5510+Z5510</f>
        <v>49.6542840749511</v>
      </c>
      <c r="AC5510" s="54" t="b">
        <f aca="false">AND(E5510&gt;=01_因子設定!$L$5-0.000000001,E5510&lt;=01_因子設定!$M$5+0.000000001,F5510&gt;=01_因子設定!$L$6-0.000000001,F5510&lt;=01_因子設定!$M$6+0.000000001,G5510&gt;=01_因子設定!$L$7-0.000000001,G5510&lt;=01_因子設定!$M$7+0.000000001,H5510&gt;=01_因子設定!$L$8-0.000000001,H5510&lt;=01_因子設定!$M$8+0.000000001,IF(01_因子設定!$B$20="Box-Behnken",E5510^2+F5510^2+G5510^2+H5510^2&lt;=2+0.000000001,TRUE()))</f>
        <v>1</v>
      </c>
      <c r="AD5510" s="55" t="n">
        <f aca="false">IF(AC5510,IF(01_因子設定!$B$13="最大化",AA5510-01_因子設定!$B$14,IF(01_因子設定!$B$13="最小化",01_因子設定!$B$15-AB5510,MIN(AA5510-01_因子設定!$B$14,01_因子設定!$B$15-AB5510))),-1E+030)</f>
        <v>-0.013092554483265</v>
      </c>
      <c r="AE5510" s="55" t="n">
        <f aca="false">IF(AC5510,IF(01_因子設定!$B$13="最大化",X5510,IF(01_因子設定!$B$13="最小化",-X5510,-ABS(X5510-01_因子設定!$B$16))),-1E+030)</f>
        <v>48.0705957602339</v>
      </c>
      <c r="AF5510" s="55" t="n">
        <f aca="false">AD5510+ROW()*0.000000001</f>
        <v>-0.013087044483265</v>
      </c>
      <c r="AG5510" s="55" t="n">
        <f aca="false">AE5510+ROW()*0.000000001</f>
        <v>48.0706012702339</v>
      </c>
    </row>
    <row r="5511" customFormat="false" ht="15" hidden="false" customHeight="false" outlineLevel="0" collapsed="false">
      <c r="A5511" s="0" t="n">
        <v>7</v>
      </c>
      <c r="B5511" s="0" t="n">
        <v>4</v>
      </c>
      <c r="C5511" s="0" t="n">
        <v>8</v>
      </c>
      <c r="D5511" s="0" t="n">
        <v>7</v>
      </c>
      <c r="E5511" s="0" t="n">
        <f aca="false">-1+A5511*0.25</f>
        <v>0.75</v>
      </c>
      <c r="F5511" s="0" t="n">
        <f aca="false">-1+B5511*0.25</f>
        <v>0</v>
      </c>
      <c r="G5511" s="0" t="n">
        <f aca="false">-1+C5511*0.25</f>
        <v>1</v>
      </c>
      <c r="H5511" s="0" t="n">
        <f aca="false">-1+D5511*0.25</f>
        <v>0.75</v>
      </c>
      <c r="I5511" s="0" t="n">
        <f aca="false">1</f>
        <v>1</v>
      </c>
      <c r="J5511" s="0" t="n">
        <f aca="false">E5511</f>
        <v>0.75</v>
      </c>
      <c r="K5511" s="0" t="n">
        <f aca="false">F5511</f>
        <v>0</v>
      </c>
      <c r="L5511" s="0" t="n">
        <f aca="false">G5511</f>
        <v>1</v>
      </c>
      <c r="M5511" s="0" t="n">
        <f aca="false">H5511</f>
        <v>0.75</v>
      </c>
      <c r="N5511" s="0" t="n">
        <f aca="false">E5511*F5511</f>
        <v>0</v>
      </c>
      <c r="O5511" s="0" t="n">
        <f aca="false">E5511*G5511</f>
        <v>0.75</v>
      </c>
      <c r="P5511" s="0" t="n">
        <f aca="false">E5511*H5511</f>
        <v>0.5625</v>
      </c>
      <c r="Q5511" s="0" t="n">
        <f aca="false">F5511*G5511</f>
        <v>0</v>
      </c>
      <c r="R5511" s="0" t="n">
        <f aca="false">F5511*H5511</f>
        <v>0</v>
      </c>
      <c r="S5511" s="0" t="n">
        <f aca="false">G5511*H5511</f>
        <v>0.75</v>
      </c>
      <c r="T5511" s="0" t="n">
        <f aca="false">E5511*E5511</f>
        <v>0.5625</v>
      </c>
      <c r="U5511" s="0" t="n">
        <f aca="false">F5511*F5511</f>
        <v>0</v>
      </c>
      <c r="V5511" s="0" t="n">
        <f aca="false">G5511*G5511</f>
        <v>1</v>
      </c>
      <c r="W5511" s="0" t="n">
        <f aca="false">H5511*H5511</f>
        <v>0.5625</v>
      </c>
      <c r="X5511" s="0" t="n">
        <f aca="false">SUMPRODUCT(I5511:W5511,_XtX!$B$96:$P$96)</f>
        <v>48.1477796052632</v>
      </c>
      <c r="Y5511" s="0" t="n">
        <f aca="false">SUMPRODUCT(MMULT(I5511:W5511,_XtX!$B$78:$P$92),I5511:W5511)</f>
        <v>0.494259126005117</v>
      </c>
      <c r="Z5511" s="0" t="n">
        <f aca="false">04_回帰ANOVA!$K$19*04_回帰ANOVA!$K$14*SQRT(1+Y5511)</f>
        <v>1.59335061078203</v>
      </c>
      <c r="AA5511" s="0" t="n">
        <f aca="false">X5511-Z5511</f>
        <v>46.5544289944811</v>
      </c>
      <c r="AB5511" s="0" t="n">
        <f aca="false">X5511+Z5511</f>
        <v>49.7411302160452</v>
      </c>
      <c r="AC5511" s="54" t="b">
        <f aca="false">AND(E5511&gt;=01_因子設定!$L$5-0.000000001,E5511&lt;=01_因子設定!$M$5+0.000000001,F5511&gt;=01_因子設定!$L$6-0.000000001,F5511&lt;=01_因子設定!$M$6+0.000000001,G5511&gt;=01_因子設定!$L$7-0.000000001,G5511&lt;=01_因子設定!$M$7+0.000000001,H5511&gt;=01_因子設定!$L$8-0.000000001,H5511&lt;=01_因子設定!$M$8+0.000000001,IF(01_因子設定!$B$20="Box-Behnken",E5511^2+F5511^2+G5511^2+H5511^2&lt;=2+0.000000001,TRUE()))</f>
        <v>1</v>
      </c>
      <c r="AD5511" s="55" t="n">
        <f aca="false">IF(AC5511,IF(01_因子設定!$B$13="最大化",AA5511-01_因子設定!$B$14,IF(01_因子設定!$B$13="最小化",01_因子設定!$B$15-AB5511,MIN(AA5511-01_因子設定!$B$14,01_因子設定!$B$15-AB5511))),-1E+030)</f>
        <v>0.0544289944811425</v>
      </c>
      <c r="AE5511" s="55" t="n">
        <f aca="false">IF(AC5511,IF(01_因子設定!$B$13="最大化",X5511,IF(01_因子設定!$B$13="最小化",-X5511,-ABS(X5511-01_因子設定!$B$16))),-1E+030)</f>
        <v>48.1477796052632</v>
      </c>
      <c r="AF5511" s="55" t="n">
        <f aca="false">AD5511+ROW()*0.000000001</f>
        <v>0.0544345054811425</v>
      </c>
      <c r="AG5511" s="55" t="n">
        <f aca="false">AE5511+ROW()*0.000000001</f>
        <v>48.1477851162632</v>
      </c>
    </row>
    <row r="5512" customFormat="false" ht="15" hidden="false" customHeight="false" outlineLevel="0" collapsed="false">
      <c r="A5512" s="0" t="n">
        <v>7</v>
      </c>
      <c r="B5512" s="0" t="n">
        <v>4</v>
      </c>
      <c r="C5512" s="0" t="n">
        <v>8</v>
      </c>
      <c r="D5512" s="0" t="n">
        <v>8</v>
      </c>
      <c r="E5512" s="0" t="n">
        <f aca="false">-1+A5512*0.25</f>
        <v>0.75</v>
      </c>
      <c r="F5512" s="0" t="n">
        <f aca="false">-1+B5512*0.25</f>
        <v>0</v>
      </c>
      <c r="G5512" s="0" t="n">
        <f aca="false">-1+C5512*0.25</f>
        <v>1</v>
      </c>
      <c r="H5512" s="0" t="n">
        <f aca="false">-1+D5512*0.25</f>
        <v>1</v>
      </c>
      <c r="I5512" s="0" t="n">
        <f aca="false">1</f>
        <v>1</v>
      </c>
      <c r="J5512" s="0" t="n">
        <f aca="false">E5512</f>
        <v>0.75</v>
      </c>
      <c r="K5512" s="0" t="n">
        <f aca="false">F5512</f>
        <v>0</v>
      </c>
      <c r="L5512" s="0" t="n">
        <f aca="false">G5512</f>
        <v>1</v>
      </c>
      <c r="M5512" s="0" t="n">
        <f aca="false">H5512</f>
        <v>1</v>
      </c>
      <c r="N5512" s="0" t="n">
        <f aca="false">E5512*F5512</f>
        <v>0</v>
      </c>
      <c r="O5512" s="0" t="n">
        <f aca="false">E5512*G5512</f>
        <v>0.75</v>
      </c>
      <c r="P5512" s="0" t="n">
        <f aca="false">E5512*H5512</f>
        <v>0.75</v>
      </c>
      <c r="Q5512" s="0" t="n">
        <f aca="false">F5512*G5512</f>
        <v>0</v>
      </c>
      <c r="R5512" s="0" t="n">
        <f aca="false">F5512*H5512</f>
        <v>0</v>
      </c>
      <c r="S5512" s="0" t="n">
        <f aca="false">G5512*H5512</f>
        <v>1</v>
      </c>
      <c r="T5512" s="0" t="n">
        <f aca="false">E5512*E5512</f>
        <v>0.5625</v>
      </c>
      <c r="U5512" s="0" t="n">
        <f aca="false">F5512*F5512</f>
        <v>0</v>
      </c>
      <c r="V5512" s="0" t="n">
        <f aca="false">G5512*G5512</f>
        <v>1</v>
      </c>
      <c r="W5512" s="0" t="n">
        <f aca="false">H5512*H5512</f>
        <v>1</v>
      </c>
      <c r="X5512" s="0" t="n">
        <f aca="false">SUMPRODUCT(I5512:W5512,_XtX!$B$96:$P$96)</f>
        <v>48.1771564327486</v>
      </c>
      <c r="Y5512" s="0" t="n">
        <f aca="false">SUMPRODUCT(MMULT(I5512:W5512,_XtX!$B$78:$P$92),I5512:W5512)</f>
        <v>0.646198830409357</v>
      </c>
      <c r="Z5512" s="0" t="n">
        <f aca="false">04_回帰ANOVA!$K$19*04_回帰ANOVA!$K$14*SQRT(1+Y5512)</f>
        <v>1.67239760569756</v>
      </c>
      <c r="AA5512" s="0" t="n">
        <f aca="false">X5512-Z5512</f>
        <v>46.504758827051</v>
      </c>
      <c r="AB5512" s="0" t="n">
        <f aca="false">X5512+Z5512</f>
        <v>49.8495540384461</v>
      </c>
      <c r="AC5512" s="54" t="b">
        <f aca="false">AND(E5512&gt;=01_因子設定!$L$5-0.000000001,E5512&lt;=01_因子設定!$M$5+0.000000001,F5512&gt;=01_因子設定!$L$6-0.000000001,F5512&lt;=01_因子設定!$M$6+0.000000001,G5512&gt;=01_因子設定!$L$7-0.000000001,G5512&lt;=01_因子設定!$M$7+0.000000001,H5512&gt;=01_因子設定!$L$8-0.000000001,H5512&lt;=01_因子設定!$M$8+0.000000001,IF(01_因子設定!$B$20="Box-Behnken",E5512^2+F5512^2+G5512^2+H5512^2&lt;=2+0.000000001,TRUE()))</f>
        <v>1</v>
      </c>
      <c r="AD5512" s="55" t="n">
        <f aca="false">IF(AC5512,IF(01_因子設定!$B$13="最大化",AA5512-01_因子設定!$B$14,IF(01_因子設定!$B$13="最小化",01_因子設定!$B$15-AB5512,MIN(AA5512-01_因子設定!$B$14,01_因子設定!$B$15-AB5512))),-1E+030)</f>
        <v>0.00475882705100617</v>
      </c>
      <c r="AE5512" s="55" t="n">
        <f aca="false">IF(AC5512,IF(01_因子設定!$B$13="最大化",X5512,IF(01_因子設定!$B$13="最小化",-X5512,-ABS(X5512-01_因子設定!$B$16))),-1E+030)</f>
        <v>48.1771564327486</v>
      </c>
      <c r="AF5512" s="55" t="n">
        <f aca="false">AD5512+ROW()*0.000000001</f>
        <v>0.00476433905100617</v>
      </c>
      <c r="AG5512" s="55" t="n">
        <f aca="false">AE5512+ROW()*0.000000001</f>
        <v>48.1771619447486</v>
      </c>
    </row>
    <row r="5513" customFormat="false" ht="15" hidden="false" customHeight="false" outlineLevel="0" collapsed="false">
      <c r="A5513" s="0" t="n">
        <v>7</v>
      </c>
      <c r="B5513" s="0" t="n">
        <v>5</v>
      </c>
      <c r="C5513" s="0" t="n">
        <v>0</v>
      </c>
      <c r="D5513" s="0" t="n">
        <v>0</v>
      </c>
      <c r="E5513" s="0" t="n">
        <f aca="false">-1+A5513*0.25</f>
        <v>0.75</v>
      </c>
      <c r="F5513" s="0" t="n">
        <f aca="false">-1+B5513*0.25</f>
        <v>0.25</v>
      </c>
      <c r="G5513" s="0" t="n">
        <f aca="false">-1+C5513*0.25</f>
        <v>-1</v>
      </c>
      <c r="H5513" s="0" t="n">
        <f aca="false">-1+D5513*0.25</f>
        <v>-1</v>
      </c>
      <c r="I5513" s="0" t="n">
        <f aca="false">1</f>
        <v>1</v>
      </c>
      <c r="J5513" s="0" t="n">
        <f aca="false">E5513</f>
        <v>0.75</v>
      </c>
      <c r="K5513" s="0" t="n">
        <f aca="false">F5513</f>
        <v>0.25</v>
      </c>
      <c r="L5513" s="0" t="n">
        <f aca="false">G5513</f>
        <v>-1</v>
      </c>
      <c r="M5513" s="0" t="n">
        <f aca="false">H5513</f>
        <v>-1</v>
      </c>
      <c r="N5513" s="0" t="n">
        <f aca="false">E5513*F5513</f>
        <v>0.1875</v>
      </c>
      <c r="O5513" s="0" t="n">
        <f aca="false">E5513*G5513</f>
        <v>-0.75</v>
      </c>
      <c r="P5513" s="0" t="n">
        <f aca="false">E5513*H5513</f>
        <v>-0.75</v>
      </c>
      <c r="Q5513" s="0" t="n">
        <f aca="false">F5513*G5513</f>
        <v>-0.25</v>
      </c>
      <c r="R5513" s="0" t="n">
        <f aca="false">F5513*H5513</f>
        <v>-0.25</v>
      </c>
      <c r="S5513" s="0" t="n">
        <f aca="false">G5513*H5513</f>
        <v>1</v>
      </c>
      <c r="T5513" s="0" t="n">
        <f aca="false">E5513*E5513</f>
        <v>0.5625</v>
      </c>
      <c r="U5513" s="0" t="n">
        <f aca="false">F5513*F5513</f>
        <v>0.0625</v>
      </c>
      <c r="V5513" s="0" t="n">
        <f aca="false">G5513*G5513</f>
        <v>1</v>
      </c>
      <c r="W5513" s="0" t="n">
        <f aca="false">H5513*H5513</f>
        <v>1</v>
      </c>
      <c r="X5513" s="0" t="n">
        <f aca="false">SUMPRODUCT(I5513:W5513,_XtX!$B$96:$P$96)</f>
        <v>46.73502375731</v>
      </c>
      <c r="Y5513" s="0" t="n">
        <f aca="false">SUMPRODUCT(MMULT(I5513:W5513,_XtX!$B$78:$P$92),I5513:W5513)</f>
        <v>0.621372155975877</v>
      </c>
      <c r="Z5513" s="0" t="n">
        <f aca="false">04_回帰ANOVA!$K$19*04_回帰ANOVA!$K$14*SQRT(1+Y5513)</f>
        <v>1.65973880499872</v>
      </c>
      <c r="AA5513" s="0" t="n">
        <f aca="false">X5513-Z5513</f>
        <v>45.0752849523113</v>
      </c>
      <c r="AB5513" s="0" t="n">
        <f aca="false">X5513+Z5513</f>
        <v>48.3947625623087</v>
      </c>
      <c r="AC5513" s="54" t="b">
        <f aca="false">AND(E5513&gt;=01_因子設定!$L$5-0.000000001,E5513&lt;=01_因子設定!$M$5+0.000000001,F5513&gt;=01_因子設定!$L$6-0.000000001,F5513&lt;=01_因子設定!$M$6+0.000000001,G5513&gt;=01_因子設定!$L$7-0.000000001,G5513&lt;=01_因子設定!$M$7+0.000000001,H5513&gt;=01_因子設定!$L$8-0.000000001,H5513&lt;=01_因子設定!$M$8+0.000000001,IF(01_因子設定!$B$20="Box-Behnken",E5513^2+F5513^2+G5513^2+H5513^2&lt;=2+0.000000001,TRUE()))</f>
        <v>1</v>
      </c>
      <c r="AD5513" s="55" t="n">
        <f aca="false">IF(AC5513,IF(01_因子設定!$B$13="最大化",AA5513-01_因子設定!$B$14,IF(01_因子設定!$B$13="最小化",01_因子設定!$B$15-AB5513,MIN(AA5513-01_因子設定!$B$14,01_因子設定!$B$15-AB5513))),-1E+030)</f>
        <v>-1.42471504768875</v>
      </c>
      <c r="AE5513" s="55" t="n">
        <f aca="false">IF(AC5513,IF(01_因子設定!$B$13="最大化",X5513,IF(01_因子設定!$B$13="最小化",-X5513,-ABS(X5513-01_因子設定!$B$16))),-1E+030)</f>
        <v>46.73502375731</v>
      </c>
      <c r="AF5513" s="55" t="n">
        <f aca="false">AD5513+ROW()*0.000000001</f>
        <v>-1.42470953468875</v>
      </c>
      <c r="AG5513" s="55" t="n">
        <f aca="false">AE5513+ROW()*0.000000001</f>
        <v>46.73502927031</v>
      </c>
    </row>
    <row r="5514" customFormat="false" ht="15" hidden="false" customHeight="false" outlineLevel="0" collapsed="false">
      <c r="A5514" s="0" t="n">
        <v>7</v>
      </c>
      <c r="B5514" s="0" t="n">
        <v>5</v>
      </c>
      <c r="C5514" s="0" t="n">
        <v>0</v>
      </c>
      <c r="D5514" s="0" t="n">
        <v>1</v>
      </c>
      <c r="E5514" s="0" t="n">
        <f aca="false">-1+A5514*0.25</f>
        <v>0.75</v>
      </c>
      <c r="F5514" s="0" t="n">
        <f aca="false">-1+B5514*0.25</f>
        <v>0.25</v>
      </c>
      <c r="G5514" s="0" t="n">
        <f aca="false">-1+C5514*0.25</f>
        <v>-1</v>
      </c>
      <c r="H5514" s="0" t="n">
        <f aca="false">-1+D5514*0.25</f>
        <v>-0.75</v>
      </c>
      <c r="I5514" s="0" t="n">
        <f aca="false">1</f>
        <v>1</v>
      </c>
      <c r="J5514" s="0" t="n">
        <f aca="false">E5514</f>
        <v>0.75</v>
      </c>
      <c r="K5514" s="0" t="n">
        <f aca="false">F5514</f>
        <v>0.25</v>
      </c>
      <c r="L5514" s="0" t="n">
        <f aca="false">G5514</f>
        <v>-1</v>
      </c>
      <c r="M5514" s="0" t="n">
        <f aca="false">H5514</f>
        <v>-0.75</v>
      </c>
      <c r="N5514" s="0" t="n">
        <f aca="false">E5514*F5514</f>
        <v>0.1875</v>
      </c>
      <c r="O5514" s="0" t="n">
        <f aca="false">E5514*G5514</f>
        <v>-0.75</v>
      </c>
      <c r="P5514" s="0" t="n">
        <f aca="false">E5514*H5514</f>
        <v>-0.5625</v>
      </c>
      <c r="Q5514" s="0" t="n">
        <f aca="false">F5514*G5514</f>
        <v>-0.25</v>
      </c>
      <c r="R5514" s="0" t="n">
        <f aca="false">F5514*H5514</f>
        <v>-0.1875</v>
      </c>
      <c r="S5514" s="0" t="n">
        <f aca="false">G5514*H5514</f>
        <v>0.75</v>
      </c>
      <c r="T5514" s="0" t="n">
        <f aca="false">E5514*E5514</f>
        <v>0.5625</v>
      </c>
      <c r="U5514" s="0" t="n">
        <f aca="false">F5514*F5514</f>
        <v>0.0625</v>
      </c>
      <c r="V5514" s="0" t="n">
        <f aca="false">G5514*G5514</f>
        <v>1</v>
      </c>
      <c r="W5514" s="0" t="n">
        <f aca="false">H5514*H5514</f>
        <v>0.5625</v>
      </c>
      <c r="X5514" s="0" t="n">
        <f aca="false">SUMPRODUCT(I5514:W5514,_XtX!$B$96:$P$96)</f>
        <v>46.9420184576024</v>
      </c>
      <c r="Y5514" s="0" t="n">
        <f aca="false">SUMPRODUCT(MMULT(I5514:W5514,_XtX!$B$78:$P$92),I5514:W5514)</f>
        <v>0.473959761056287</v>
      </c>
      <c r="Z5514" s="0" t="n">
        <f aca="false">04_回帰ANOVA!$K$19*04_回帰ANOVA!$K$14*SQRT(1+Y5514)</f>
        <v>1.58249084588329</v>
      </c>
      <c r="AA5514" s="0" t="n">
        <f aca="false">X5514-Z5514</f>
        <v>45.3595276117191</v>
      </c>
      <c r="AB5514" s="0" t="n">
        <f aca="false">X5514+Z5514</f>
        <v>48.5245093034856</v>
      </c>
      <c r="AC5514" s="54" t="b">
        <f aca="false">AND(E5514&gt;=01_因子設定!$L$5-0.000000001,E5514&lt;=01_因子設定!$M$5+0.000000001,F5514&gt;=01_因子設定!$L$6-0.000000001,F5514&lt;=01_因子設定!$M$6+0.000000001,G5514&gt;=01_因子設定!$L$7-0.000000001,G5514&lt;=01_因子設定!$M$7+0.000000001,H5514&gt;=01_因子設定!$L$8-0.000000001,H5514&lt;=01_因子設定!$M$8+0.000000001,IF(01_因子設定!$B$20="Box-Behnken",E5514^2+F5514^2+G5514^2+H5514^2&lt;=2+0.000000001,TRUE()))</f>
        <v>1</v>
      </c>
      <c r="AD5514" s="55" t="n">
        <f aca="false">IF(AC5514,IF(01_因子設定!$B$13="最大化",AA5514-01_因子設定!$B$14,IF(01_因子設定!$B$13="最小化",01_因子設定!$B$15-AB5514,MIN(AA5514-01_因子設定!$B$14,01_因子設定!$B$15-AB5514))),-1E+030)</f>
        <v>-1.14047238828093</v>
      </c>
      <c r="AE5514" s="55" t="n">
        <f aca="false">IF(AC5514,IF(01_因子設定!$B$13="最大化",X5514,IF(01_因子設定!$B$13="最小化",-X5514,-ABS(X5514-01_因子設定!$B$16))),-1E+030)</f>
        <v>46.9420184576024</v>
      </c>
      <c r="AF5514" s="55" t="n">
        <f aca="false">AD5514+ROW()*0.000000001</f>
        <v>-1.14046687428093</v>
      </c>
      <c r="AG5514" s="55" t="n">
        <f aca="false">AE5514+ROW()*0.000000001</f>
        <v>46.9420239716024</v>
      </c>
    </row>
    <row r="5515" customFormat="false" ht="15" hidden="false" customHeight="false" outlineLevel="0" collapsed="false">
      <c r="A5515" s="0" t="n">
        <v>7</v>
      </c>
      <c r="B5515" s="0" t="n">
        <v>5</v>
      </c>
      <c r="C5515" s="0" t="n">
        <v>0</v>
      </c>
      <c r="D5515" s="0" t="n">
        <v>2</v>
      </c>
      <c r="E5515" s="0" t="n">
        <f aca="false">-1+A5515*0.25</f>
        <v>0.75</v>
      </c>
      <c r="F5515" s="0" t="n">
        <f aca="false">-1+B5515*0.25</f>
        <v>0.25</v>
      </c>
      <c r="G5515" s="0" t="n">
        <f aca="false">-1+C5515*0.25</f>
        <v>-1</v>
      </c>
      <c r="H5515" s="0" t="n">
        <f aca="false">-1+D5515*0.25</f>
        <v>-0.5</v>
      </c>
      <c r="I5515" s="0" t="n">
        <f aca="false">1</f>
        <v>1</v>
      </c>
      <c r="J5515" s="0" t="n">
        <f aca="false">E5515</f>
        <v>0.75</v>
      </c>
      <c r="K5515" s="0" t="n">
        <f aca="false">F5515</f>
        <v>0.25</v>
      </c>
      <c r="L5515" s="0" t="n">
        <f aca="false">G5515</f>
        <v>-1</v>
      </c>
      <c r="M5515" s="0" t="n">
        <f aca="false">H5515</f>
        <v>-0.5</v>
      </c>
      <c r="N5515" s="0" t="n">
        <f aca="false">E5515*F5515</f>
        <v>0.1875</v>
      </c>
      <c r="O5515" s="0" t="n">
        <f aca="false">E5515*G5515</f>
        <v>-0.75</v>
      </c>
      <c r="P5515" s="0" t="n">
        <f aca="false">E5515*H5515</f>
        <v>-0.375</v>
      </c>
      <c r="Q5515" s="0" t="n">
        <f aca="false">F5515*G5515</f>
        <v>-0.25</v>
      </c>
      <c r="R5515" s="0" t="n">
        <f aca="false">F5515*H5515</f>
        <v>-0.125</v>
      </c>
      <c r="S5515" s="0" t="n">
        <f aca="false">G5515*H5515</f>
        <v>0.5</v>
      </c>
      <c r="T5515" s="0" t="n">
        <f aca="false">E5515*E5515</f>
        <v>0.5625</v>
      </c>
      <c r="U5515" s="0" t="n">
        <f aca="false">F5515*F5515</f>
        <v>0.0625</v>
      </c>
      <c r="V5515" s="0" t="n">
        <f aca="false">G5515*G5515</f>
        <v>1</v>
      </c>
      <c r="W5515" s="0" t="n">
        <f aca="false">H5515*H5515</f>
        <v>0.25</v>
      </c>
      <c r="X5515" s="0" t="n">
        <f aca="false">SUMPRODUCT(I5515:W5515,_XtX!$B$96:$P$96)</f>
        <v>47.1012061403509</v>
      </c>
      <c r="Y5515" s="0" t="n">
        <f aca="false">SUMPRODUCT(MMULT(I5515:W5515,_XtX!$B$78:$P$92),I5515:W5515)</f>
        <v>0.459125719572369</v>
      </c>
      <c r="Z5515" s="0" t="n">
        <f aca="false">04_回帰ANOVA!$K$19*04_回帰ANOVA!$K$14*SQRT(1+Y5515)</f>
        <v>1.57450755575573</v>
      </c>
      <c r="AA5515" s="0" t="n">
        <f aca="false">X5515-Z5515</f>
        <v>45.5266985845951</v>
      </c>
      <c r="AB5515" s="0" t="n">
        <f aca="false">X5515+Z5515</f>
        <v>48.6757136961066</v>
      </c>
      <c r="AC5515" s="54" t="b">
        <f aca="false">AND(E5515&gt;=01_因子設定!$L$5-0.000000001,E5515&lt;=01_因子設定!$M$5+0.000000001,F5515&gt;=01_因子設定!$L$6-0.000000001,F5515&lt;=01_因子設定!$M$6+0.000000001,G5515&gt;=01_因子設定!$L$7-0.000000001,G5515&lt;=01_因子設定!$M$7+0.000000001,H5515&gt;=01_因子設定!$L$8-0.000000001,H5515&lt;=01_因子設定!$M$8+0.000000001,IF(01_因子設定!$B$20="Box-Behnken",E5515^2+F5515^2+G5515^2+H5515^2&lt;=2+0.000000001,TRUE()))</f>
        <v>1</v>
      </c>
      <c r="AD5515" s="55" t="n">
        <f aca="false">IF(AC5515,IF(01_因子設定!$B$13="最大化",AA5515-01_因子設定!$B$14,IF(01_因子設定!$B$13="最小化",01_因子設定!$B$15-AB5515,MIN(AA5515-01_因子設定!$B$14,01_因子設定!$B$15-AB5515))),-1E+030)</f>
        <v>-0.973301415404855</v>
      </c>
      <c r="AE5515" s="55" t="n">
        <f aca="false">IF(AC5515,IF(01_因子設定!$B$13="最大化",X5515,IF(01_因子設定!$B$13="最小化",-X5515,-ABS(X5515-01_因子設定!$B$16))),-1E+030)</f>
        <v>47.1012061403509</v>
      </c>
      <c r="AF5515" s="55" t="n">
        <f aca="false">AD5515+ROW()*0.000000001</f>
        <v>-0.973295900404855</v>
      </c>
      <c r="AG5515" s="55" t="n">
        <f aca="false">AE5515+ROW()*0.000000001</f>
        <v>47.1012116553509</v>
      </c>
    </row>
    <row r="5516" customFormat="false" ht="15" hidden="false" customHeight="false" outlineLevel="0" collapsed="false">
      <c r="A5516" s="0" t="n">
        <v>7</v>
      </c>
      <c r="B5516" s="0" t="n">
        <v>5</v>
      </c>
      <c r="C5516" s="0" t="n">
        <v>0</v>
      </c>
      <c r="D5516" s="0" t="n">
        <v>3</v>
      </c>
      <c r="E5516" s="0" t="n">
        <f aca="false">-1+A5516*0.25</f>
        <v>0.75</v>
      </c>
      <c r="F5516" s="0" t="n">
        <f aca="false">-1+B5516*0.25</f>
        <v>0.25</v>
      </c>
      <c r="G5516" s="0" t="n">
        <f aca="false">-1+C5516*0.25</f>
        <v>-1</v>
      </c>
      <c r="H5516" s="0" t="n">
        <f aca="false">-1+D5516*0.25</f>
        <v>-0.25</v>
      </c>
      <c r="I5516" s="0" t="n">
        <f aca="false">1</f>
        <v>1</v>
      </c>
      <c r="J5516" s="0" t="n">
        <f aca="false">E5516</f>
        <v>0.75</v>
      </c>
      <c r="K5516" s="0" t="n">
        <f aca="false">F5516</f>
        <v>0.25</v>
      </c>
      <c r="L5516" s="0" t="n">
        <f aca="false">G5516</f>
        <v>-1</v>
      </c>
      <c r="M5516" s="0" t="n">
        <f aca="false">H5516</f>
        <v>-0.25</v>
      </c>
      <c r="N5516" s="0" t="n">
        <f aca="false">E5516*F5516</f>
        <v>0.1875</v>
      </c>
      <c r="O5516" s="0" t="n">
        <f aca="false">E5516*G5516</f>
        <v>-0.75</v>
      </c>
      <c r="P5516" s="0" t="n">
        <f aca="false">E5516*H5516</f>
        <v>-0.1875</v>
      </c>
      <c r="Q5516" s="0" t="n">
        <f aca="false">F5516*G5516</f>
        <v>-0.25</v>
      </c>
      <c r="R5516" s="0" t="n">
        <f aca="false">F5516*H5516</f>
        <v>-0.0625</v>
      </c>
      <c r="S5516" s="0" t="n">
        <f aca="false">G5516*H5516</f>
        <v>0.25</v>
      </c>
      <c r="T5516" s="0" t="n">
        <f aca="false">E5516*E5516</f>
        <v>0.5625</v>
      </c>
      <c r="U5516" s="0" t="n">
        <f aca="false">F5516*F5516</f>
        <v>0.0625</v>
      </c>
      <c r="V5516" s="0" t="n">
        <f aca="false">G5516*G5516</f>
        <v>1</v>
      </c>
      <c r="W5516" s="0" t="n">
        <f aca="false">H5516*H5516</f>
        <v>0.0625</v>
      </c>
      <c r="X5516" s="0" t="n">
        <f aca="false">SUMPRODUCT(I5516:W5516,_XtX!$B$96:$P$96)</f>
        <v>47.2125868055555</v>
      </c>
      <c r="Y5516" s="0" t="n">
        <f aca="false">SUMPRODUCT(MMULT(I5516:W5516,_XtX!$B$78:$P$92),I5516:W5516)</f>
        <v>0.486409505208334</v>
      </c>
      <c r="Z5516" s="0" t="n">
        <f aca="false">04_回帰ANOVA!$K$19*04_回帰ANOVA!$K$14*SQRT(1+Y5516)</f>
        <v>1.58916001665498</v>
      </c>
      <c r="AA5516" s="0" t="n">
        <f aca="false">X5516-Z5516</f>
        <v>45.6234267889006</v>
      </c>
      <c r="AB5516" s="0" t="n">
        <f aca="false">X5516+Z5516</f>
        <v>48.8017468222105</v>
      </c>
      <c r="AC5516" s="54" t="b">
        <f aca="false">AND(E5516&gt;=01_因子設定!$L$5-0.000000001,E5516&lt;=01_因子設定!$M$5+0.000000001,F5516&gt;=01_因子設定!$L$6-0.000000001,F5516&lt;=01_因子設定!$M$6+0.000000001,G5516&gt;=01_因子設定!$L$7-0.000000001,G5516&lt;=01_因子設定!$M$7+0.000000001,H5516&gt;=01_因子設定!$L$8-0.000000001,H5516&lt;=01_因子設定!$M$8+0.000000001,IF(01_因子設定!$B$20="Box-Behnken",E5516^2+F5516^2+G5516^2+H5516^2&lt;=2+0.000000001,TRUE()))</f>
        <v>1</v>
      </c>
      <c r="AD5516" s="55" t="n">
        <f aca="false">IF(AC5516,IF(01_因子設定!$B$13="最大化",AA5516-01_因子設定!$B$14,IF(01_因子設定!$B$13="最小化",01_因子設定!$B$15-AB5516,MIN(AA5516-01_因子設定!$B$14,01_因子設定!$B$15-AB5516))),-1E+030)</f>
        <v>-0.876573211099434</v>
      </c>
      <c r="AE5516" s="55" t="n">
        <f aca="false">IF(AC5516,IF(01_因子設定!$B$13="最大化",X5516,IF(01_因子設定!$B$13="最小化",-X5516,-ABS(X5516-01_因子設定!$B$16))),-1E+030)</f>
        <v>47.2125868055555</v>
      </c>
      <c r="AF5516" s="55" t="n">
        <f aca="false">AD5516+ROW()*0.000000001</f>
        <v>-0.876567695099434</v>
      </c>
      <c r="AG5516" s="55" t="n">
        <f aca="false">AE5516+ROW()*0.000000001</f>
        <v>47.2125923215556</v>
      </c>
    </row>
    <row r="5517" customFormat="false" ht="15" hidden="false" customHeight="false" outlineLevel="0" collapsed="false">
      <c r="A5517" s="0" t="n">
        <v>7</v>
      </c>
      <c r="B5517" s="0" t="n">
        <v>5</v>
      </c>
      <c r="C5517" s="0" t="n">
        <v>0</v>
      </c>
      <c r="D5517" s="0" t="n">
        <v>4</v>
      </c>
      <c r="E5517" s="0" t="n">
        <f aca="false">-1+A5517*0.25</f>
        <v>0.75</v>
      </c>
      <c r="F5517" s="0" t="n">
        <f aca="false">-1+B5517*0.25</f>
        <v>0.25</v>
      </c>
      <c r="G5517" s="0" t="n">
        <f aca="false">-1+C5517*0.25</f>
        <v>-1</v>
      </c>
      <c r="H5517" s="0" t="n">
        <f aca="false">-1+D5517*0.25</f>
        <v>0</v>
      </c>
      <c r="I5517" s="0" t="n">
        <f aca="false">1</f>
        <v>1</v>
      </c>
      <c r="J5517" s="0" t="n">
        <f aca="false">E5517</f>
        <v>0.75</v>
      </c>
      <c r="K5517" s="0" t="n">
        <f aca="false">F5517</f>
        <v>0.25</v>
      </c>
      <c r="L5517" s="0" t="n">
        <f aca="false">G5517</f>
        <v>-1</v>
      </c>
      <c r="M5517" s="0" t="n">
        <f aca="false">H5517</f>
        <v>0</v>
      </c>
      <c r="N5517" s="0" t="n">
        <f aca="false">E5517*F5517</f>
        <v>0.1875</v>
      </c>
      <c r="O5517" s="0" t="n">
        <f aca="false">E5517*G5517</f>
        <v>-0.75</v>
      </c>
      <c r="P5517" s="0" t="n">
        <f aca="false">E5517*H5517</f>
        <v>0</v>
      </c>
      <c r="Q5517" s="0" t="n">
        <f aca="false">F5517*G5517</f>
        <v>-0.25</v>
      </c>
      <c r="R5517" s="0" t="n">
        <f aca="false">F5517*H5517</f>
        <v>0</v>
      </c>
      <c r="S5517" s="0" t="n">
        <f aca="false">G5517*H5517</f>
        <v>-0</v>
      </c>
      <c r="T5517" s="0" t="n">
        <f aca="false">E5517*E5517</f>
        <v>0.5625</v>
      </c>
      <c r="U5517" s="0" t="n">
        <f aca="false">F5517*F5517</f>
        <v>0.0625</v>
      </c>
      <c r="V5517" s="0" t="n">
        <f aca="false">G5517*G5517</f>
        <v>1</v>
      </c>
      <c r="W5517" s="0" t="n">
        <f aca="false">H5517*H5517</f>
        <v>0</v>
      </c>
      <c r="X5517" s="0" t="n">
        <f aca="false">SUMPRODUCT(I5517:W5517,_XtX!$B$96:$P$96)</f>
        <v>47.2761604532164</v>
      </c>
      <c r="Y5517" s="0" t="n">
        <f aca="false">SUMPRODUCT(MMULT(I5517:W5517,_XtX!$B$78:$P$92),I5517:W5517)</f>
        <v>0.501534802174708</v>
      </c>
      <c r="Z5517" s="0" t="n">
        <f aca="false">04_回帰ANOVA!$K$19*04_回帰ANOVA!$K$14*SQRT(1+Y5517)</f>
        <v>1.59722498091333</v>
      </c>
      <c r="AA5517" s="0" t="n">
        <f aca="false">X5517-Z5517</f>
        <v>45.678935472303</v>
      </c>
      <c r="AB5517" s="0" t="n">
        <f aca="false">X5517+Z5517</f>
        <v>48.8733854341297</v>
      </c>
      <c r="AC5517" s="54" t="b">
        <f aca="false">AND(E5517&gt;=01_因子設定!$L$5-0.000000001,E5517&lt;=01_因子設定!$M$5+0.000000001,F5517&gt;=01_因子設定!$L$6-0.000000001,F5517&lt;=01_因子設定!$M$6+0.000000001,G5517&gt;=01_因子設定!$L$7-0.000000001,G5517&lt;=01_因子設定!$M$7+0.000000001,H5517&gt;=01_因子設定!$L$8-0.000000001,H5517&lt;=01_因子設定!$M$8+0.000000001,IF(01_因子設定!$B$20="Box-Behnken",E5517^2+F5517^2+G5517^2+H5517^2&lt;=2+0.000000001,TRUE()))</f>
        <v>1</v>
      </c>
      <c r="AD5517" s="55" t="n">
        <f aca="false">IF(AC5517,IF(01_因子設定!$B$13="最大化",AA5517-01_因子設定!$B$14,IF(01_因子設定!$B$13="最小化",01_因子設定!$B$15-AB5517,MIN(AA5517-01_因子設定!$B$14,01_因子設定!$B$15-AB5517))),-1E+030)</f>
        <v>-0.821064527696969</v>
      </c>
      <c r="AE5517" s="55" t="n">
        <f aca="false">IF(AC5517,IF(01_因子設定!$B$13="最大化",X5517,IF(01_因子設定!$B$13="最小化",-X5517,-ABS(X5517-01_因子設定!$B$16))),-1E+030)</f>
        <v>47.2761604532164</v>
      </c>
      <c r="AF5517" s="55" t="n">
        <f aca="false">AD5517+ROW()*0.000000001</f>
        <v>-0.821059010696969</v>
      </c>
      <c r="AG5517" s="55" t="n">
        <f aca="false">AE5517+ROW()*0.000000001</f>
        <v>47.2761659702164</v>
      </c>
    </row>
    <row r="5518" customFormat="false" ht="15" hidden="false" customHeight="false" outlineLevel="0" collapsed="false">
      <c r="A5518" s="0" t="n">
        <v>7</v>
      </c>
      <c r="B5518" s="0" t="n">
        <v>5</v>
      </c>
      <c r="C5518" s="0" t="n">
        <v>0</v>
      </c>
      <c r="D5518" s="0" t="n">
        <v>5</v>
      </c>
      <c r="E5518" s="0" t="n">
        <f aca="false">-1+A5518*0.25</f>
        <v>0.75</v>
      </c>
      <c r="F5518" s="0" t="n">
        <f aca="false">-1+B5518*0.25</f>
        <v>0.25</v>
      </c>
      <c r="G5518" s="0" t="n">
        <f aca="false">-1+C5518*0.25</f>
        <v>-1</v>
      </c>
      <c r="H5518" s="0" t="n">
        <f aca="false">-1+D5518*0.25</f>
        <v>0.25</v>
      </c>
      <c r="I5518" s="0" t="n">
        <f aca="false">1</f>
        <v>1</v>
      </c>
      <c r="J5518" s="0" t="n">
        <f aca="false">E5518</f>
        <v>0.75</v>
      </c>
      <c r="K5518" s="0" t="n">
        <f aca="false">F5518</f>
        <v>0.25</v>
      </c>
      <c r="L5518" s="0" t="n">
        <f aca="false">G5518</f>
        <v>-1</v>
      </c>
      <c r="M5518" s="0" t="n">
        <f aca="false">H5518</f>
        <v>0.25</v>
      </c>
      <c r="N5518" s="0" t="n">
        <f aca="false">E5518*F5518</f>
        <v>0.1875</v>
      </c>
      <c r="O5518" s="0" t="n">
        <f aca="false">E5518*G5518</f>
        <v>-0.75</v>
      </c>
      <c r="P5518" s="0" t="n">
        <f aca="false">E5518*H5518</f>
        <v>0.1875</v>
      </c>
      <c r="Q5518" s="0" t="n">
        <f aca="false">F5518*G5518</f>
        <v>-0.25</v>
      </c>
      <c r="R5518" s="0" t="n">
        <f aca="false">F5518*H5518</f>
        <v>0.0625</v>
      </c>
      <c r="S5518" s="0" t="n">
        <f aca="false">G5518*H5518</f>
        <v>-0.25</v>
      </c>
      <c r="T5518" s="0" t="n">
        <f aca="false">E5518*E5518</f>
        <v>0.5625</v>
      </c>
      <c r="U5518" s="0" t="n">
        <f aca="false">F5518*F5518</f>
        <v>0.0625</v>
      </c>
      <c r="V5518" s="0" t="n">
        <f aca="false">G5518*G5518</f>
        <v>1</v>
      </c>
      <c r="W5518" s="0" t="n">
        <f aca="false">H5518*H5518</f>
        <v>0.0625</v>
      </c>
      <c r="X5518" s="0" t="n">
        <f aca="false">SUMPRODUCT(I5518:W5518,_XtX!$B$96:$P$96)</f>
        <v>47.2919270833333</v>
      </c>
      <c r="Y5518" s="0" t="n">
        <f aca="false">SUMPRODUCT(MMULT(I5518:W5518,_XtX!$B$78:$P$92),I5518:W5518)</f>
        <v>0.486409505208334</v>
      </c>
      <c r="Z5518" s="0" t="n">
        <f aca="false">04_回帰ANOVA!$K$19*04_回帰ANOVA!$K$14*SQRT(1+Y5518)</f>
        <v>1.58916001665498</v>
      </c>
      <c r="AA5518" s="0" t="n">
        <f aca="false">X5518-Z5518</f>
        <v>45.7027670666784</v>
      </c>
      <c r="AB5518" s="0" t="n">
        <f aca="false">X5518+Z5518</f>
        <v>48.8810870999883</v>
      </c>
      <c r="AC5518" s="54" t="b">
        <f aca="false">AND(E5518&gt;=01_因子設定!$L$5-0.000000001,E5518&lt;=01_因子設定!$M$5+0.000000001,F5518&gt;=01_因子設定!$L$6-0.000000001,F5518&lt;=01_因子設定!$M$6+0.000000001,G5518&gt;=01_因子設定!$L$7-0.000000001,G5518&lt;=01_因子設定!$M$7+0.000000001,H5518&gt;=01_因子設定!$L$8-0.000000001,H5518&lt;=01_因子設定!$M$8+0.000000001,IF(01_因子設定!$B$20="Box-Behnken",E5518^2+F5518^2+G5518^2+H5518^2&lt;=2+0.000000001,TRUE()))</f>
        <v>1</v>
      </c>
      <c r="AD5518" s="55" t="n">
        <f aca="false">IF(AC5518,IF(01_因子設定!$B$13="最大化",AA5518-01_因子設定!$B$14,IF(01_因子設定!$B$13="最小化",01_因子設定!$B$15-AB5518,MIN(AA5518-01_因子設定!$B$14,01_因子設定!$B$15-AB5518))),-1E+030)</f>
        <v>-0.797232933321652</v>
      </c>
      <c r="AE5518" s="55" t="n">
        <f aca="false">IF(AC5518,IF(01_因子設定!$B$13="最大化",X5518,IF(01_因子設定!$B$13="最小化",-X5518,-ABS(X5518-01_因子設定!$B$16))),-1E+030)</f>
        <v>47.2919270833333</v>
      </c>
      <c r="AF5518" s="55" t="n">
        <f aca="false">AD5518+ROW()*0.000000001</f>
        <v>-0.797227415321652</v>
      </c>
      <c r="AG5518" s="55" t="n">
        <f aca="false">AE5518+ROW()*0.000000001</f>
        <v>47.2919326013333</v>
      </c>
    </row>
    <row r="5519" customFormat="false" ht="15" hidden="false" customHeight="false" outlineLevel="0" collapsed="false">
      <c r="A5519" s="0" t="n">
        <v>7</v>
      </c>
      <c r="B5519" s="0" t="n">
        <v>5</v>
      </c>
      <c r="C5519" s="0" t="n">
        <v>0</v>
      </c>
      <c r="D5519" s="0" t="n">
        <v>6</v>
      </c>
      <c r="E5519" s="0" t="n">
        <f aca="false">-1+A5519*0.25</f>
        <v>0.75</v>
      </c>
      <c r="F5519" s="0" t="n">
        <f aca="false">-1+B5519*0.25</f>
        <v>0.25</v>
      </c>
      <c r="G5519" s="0" t="n">
        <f aca="false">-1+C5519*0.25</f>
        <v>-1</v>
      </c>
      <c r="H5519" s="0" t="n">
        <f aca="false">-1+D5519*0.25</f>
        <v>0.5</v>
      </c>
      <c r="I5519" s="0" t="n">
        <f aca="false">1</f>
        <v>1</v>
      </c>
      <c r="J5519" s="0" t="n">
        <f aca="false">E5519</f>
        <v>0.75</v>
      </c>
      <c r="K5519" s="0" t="n">
        <f aca="false">F5519</f>
        <v>0.25</v>
      </c>
      <c r="L5519" s="0" t="n">
        <f aca="false">G5519</f>
        <v>-1</v>
      </c>
      <c r="M5519" s="0" t="n">
        <f aca="false">H5519</f>
        <v>0.5</v>
      </c>
      <c r="N5519" s="0" t="n">
        <f aca="false">E5519*F5519</f>
        <v>0.1875</v>
      </c>
      <c r="O5519" s="0" t="n">
        <f aca="false">E5519*G5519</f>
        <v>-0.75</v>
      </c>
      <c r="P5519" s="0" t="n">
        <f aca="false">E5519*H5519</f>
        <v>0.375</v>
      </c>
      <c r="Q5519" s="0" t="n">
        <f aca="false">F5519*G5519</f>
        <v>-0.25</v>
      </c>
      <c r="R5519" s="0" t="n">
        <f aca="false">F5519*H5519</f>
        <v>0.125</v>
      </c>
      <c r="S5519" s="0" t="n">
        <f aca="false">G5519*H5519</f>
        <v>-0.5</v>
      </c>
      <c r="T5519" s="0" t="n">
        <f aca="false">E5519*E5519</f>
        <v>0.5625</v>
      </c>
      <c r="U5519" s="0" t="n">
        <f aca="false">F5519*F5519</f>
        <v>0.0625</v>
      </c>
      <c r="V5519" s="0" t="n">
        <f aca="false">G5519*G5519</f>
        <v>1</v>
      </c>
      <c r="W5519" s="0" t="n">
        <f aca="false">H5519*H5519</f>
        <v>0.25</v>
      </c>
      <c r="X5519" s="0" t="n">
        <f aca="false">SUMPRODUCT(I5519:W5519,_XtX!$B$96:$P$96)</f>
        <v>47.2598866959064</v>
      </c>
      <c r="Y5519" s="0" t="n">
        <f aca="false">SUMPRODUCT(MMULT(I5519:W5519,_XtX!$B$78:$P$92),I5519:W5519)</f>
        <v>0.459125719572369</v>
      </c>
      <c r="Z5519" s="0" t="n">
        <f aca="false">04_回帰ANOVA!$K$19*04_回帰ANOVA!$K$14*SQRT(1+Y5519)</f>
        <v>1.57450755575573</v>
      </c>
      <c r="AA5519" s="0" t="n">
        <f aca="false">X5519-Z5519</f>
        <v>45.6853791401507</v>
      </c>
      <c r="AB5519" s="0" t="n">
        <f aca="false">X5519+Z5519</f>
        <v>48.8343942516622</v>
      </c>
      <c r="AC5519" s="54" t="b">
        <f aca="false">AND(E5519&gt;=01_因子設定!$L$5-0.000000001,E5519&lt;=01_因子設定!$M$5+0.000000001,F5519&gt;=01_因子設定!$L$6-0.000000001,F5519&lt;=01_因子設定!$M$6+0.000000001,G5519&gt;=01_因子設定!$L$7-0.000000001,G5519&lt;=01_因子設定!$M$7+0.000000001,H5519&gt;=01_因子設定!$L$8-0.000000001,H5519&lt;=01_因子設定!$M$8+0.000000001,IF(01_因子設定!$B$20="Box-Behnken",E5519^2+F5519^2+G5519^2+H5519^2&lt;=2+0.000000001,TRUE()))</f>
        <v>1</v>
      </c>
      <c r="AD5519" s="55" t="n">
        <f aca="false">IF(AC5519,IF(01_因子設定!$B$13="最大化",AA5519-01_因子設定!$B$14,IF(01_因子設定!$B$13="最小化",01_因子設定!$B$15-AB5519,MIN(AA5519-01_因子設定!$B$14,01_因子設定!$B$15-AB5519))),-1E+030)</f>
        <v>-0.814620859849299</v>
      </c>
      <c r="AE5519" s="55" t="n">
        <f aca="false">IF(AC5519,IF(01_因子設定!$B$13="最大化",X5519,IF(01_因子設定!$B$13="最小化",-X5519,-ABS(X5519-01_因子設定!$B$16))),-1E+030)</f>
        <v>47.2598866959064</v>
      </c>
      <c r="AF5519" s="55" t="n">
        <f aca="false">AD5519+ROW()*0.000000001</f>
        <v>-0.814615340849299</v>
      </c>
      <c r="AG5519" s="55" t="n">
        <f aca="false">AE5519+ROW()*0.000000001</f>
        <v>47.2598922149064</v>
      </c>
    </row>
    <row r="5520" customFormat="false" ht="15" hidden="false" customHeight="false" outlineLevel="0" collapsed="false">
      <c r="A5520" s="0" t="n">
        <v>7</v>
      </c>
      <c r="B5520" s="0" t="n">
        <v>5</v>
      </c>
      <c r="C5520" s="0" t="n">
        <v>0</v>
      </c>
      <c r="D5520" s="0" t="n">
        <v>7</v>
      </c>
      <c r="E5520" s="0" t="n">
        <f aca="false">-1+A5520*0.25</f>
        <v>0.75</v>
      </c>
      <c r="F5520" s="0" t="n">
        <f aca="false">-1+B5520*0.25</f>
        <v>0.25</v>
      </c>
      <c r="G5520" s="0" t="n">
        <f aca="false">-1+C5520*0.25</f>
        <v>-1</v>
      </c>
      <c r="H5520" s="0" t="n">
        <f aca="false">-1+D5520*0.25</f>
        <v>0.75</v>
      </c>
      <c r="I5520" s="0" t="n">
        <f aca="false">1</f>
        <v>1</v>
      </c>
      <c r="J5520" s="0" t="n">
        <f aca="false">E5520</f>
        <v>0.75</v>
      </c>
      <c r="K5520" s="0" t="n">
        <f aca="false">F5520</f>
        <v>0.25</v>
      </c>
      <c r="L5520" s="0" t="n">
        <f aca="false">G5520</f>
        <v>-1</v>
      </c>
      <c r="M5520" s="0" t="n">
        <f aca="false">H5520</f>
        <v>0.75</v>
      </c>
      <c r="N5520" s="0" t="n">
        <f aca="false">E5520*F5520</f>
        <v>0.1875</v>
      </c>
      <c r="O5520" s="0" t="n">
        <f aca="false">E5520*G5520</f>
        <v>-0.75</v>
      </c>
      <c r="P5520" s="0" t="n">
        <f aca="false">E5520*H5520</f>
        <v>0.5625</v>
      </c>
      <c r="Q5520" s="0" t="n">
        <f aca="false">F5520*G5520</f>
        <v>-0.25</v>
      </c>
      <c r="R5520" s="0" t="n">
        <f aca="false">F5520*H5520</f>
        <v>0.1875</v>
      </c>
      <c r="S5520" s="0" t="n">
        <f aca="false">G5520*H5520</f>
        <v>-0.75</v>
      </c>
      <c r="T5520" s="0" t="n">
        <f aca="false">E5520*E5520</f>
        <v>0.5625</v>
      </c>
      <c r="U5520" s="0" t="n">
        <f aca="false">F5520*F5520</f>
        <v>0.0625</v>
      </c>
      <c r="V5520" s="0" t="n">
        <f aca="false">G5520*G5520</f>
        <v>1</v>
      </c>
      <c r="W5520" s="0" t="n">
        <f aca="false">H5520*H5520</f>
        <v>0.5625</v>
      </c>
      <c r="X5520" s="0" t="n">
        <f aca="false">SUMPRODUCT(I5520:W5520,_XtX!$B$96:$P$96)</f>
        <v>47.1800392909357</v>
      </c>
      <c r="Y5520" s="0" t="n">
        <f aca="false">SUMPRODUCT(MMULT(I5520:W5520,_XtX!$B$78:$P$92),I5520:W5520)</f>
        <v>0.473959761056287</v>
      </c>
      <c r="Z5520" s="0" t="n">
        <f aca="false">04_回帰ANOVA!$K$19*04_回帰ANOVA!$K$14*SQRT(1+Y5520)</f>
        <v>1.58249084588329</v>
      </c>
      <c r="AA5520" s="0" t="n">
        <f aca="false">X5520-Z5520</f>
        <v>45.5975484450524</v>
      </c>
      <c r="AB5520" s="0" t="n">
        <f aca="false">X5520+Z5520</f>
        <v>48.762530136819</v>
      </c>
      <c r="AC5520" s="54" t="b">
        <f aca="false">AND(E5520&gt;=01_因子設定!$L$5-0.000000001,E5520&lt;=01_因子設定!$M$5+0.000000001,F5520&gt;=01_因子設定!$L$6-0.000000001,F5520&lt;=01_因子設定!$M$6+0.000000001,G5520&gt;=01_因子設定!$L$7-0.000000001,G5520&lt;=01_因子設定!$M$7+0.000000001,H5520&gt;=01_因子設定!$L$8-0.000000001,H5520&lt;=01_因子設定!$M$8+0.000000001,IF(01_因子設定!$B$20="Box-Behnken",E5520^2+F5520^2+G5520^2+H5520^2&lt;=2+0.000000001,TRUE()))</f>
        <v>1</v>
      </c>
      <c r="AD5520" s="55" t="n">
        <f aca="false">IF(AC5520,IF(01_因子設定!$B$13="最大化",AA5520-01_因子設定!$B$14,IF(01_因子設定!$B$13="最小化",01_因子設定!$B$15-AB5520,MIN(AA5520-01_因子設定!$B$14,01_因子設定!$B$15-AB5520))),-1E+030)</f>
        <v>-0.902451554947604</v>
      </c>
      <c r="AE5520" s="55" t="n">
        <f aca="false">IF(AC5520,IF(01_因子設定!$B$13="最大化",X5520,IF(01_因子設定!$B$13="最小化",-X5520,-ABS(X5520-01_因子設定!$B$16))),-1E+030)</f>
        <v>47.1800392909357</v>
      </c>
      <c r="AF5520" s="55" t="n">
        <f aca="false">AD5520+ROW()*0.000000001</f>
        <v>-0.902446034947604</v>
      </c>
      <c r="AG5520" s="55" t="n">
        <f aca="false">AE5520+ROW()*0.000000001</f>
        <v>47.1800448109357</v>
      </c>
    </row>
    <row r="5521" customFormat="false" ht="15" hidden="false" customHeight="false" outlineLevel="0" collapsed="false">
      <c r="A5521" s="0" t="n">
        <v>7</v>
      </c>
      <c r="B5521" s="0" t="n">
        <v>5</v>
      </c>
      <c r="C5521" s="0" t="n">
        <v>0</v>
      </c>
      <c r="D5521" s="0" t="n">
        <v>8</v>
      </c>
      <c r="E5521" s="0" t="n">
        <f aca="false">-1+A5521*0.25</f>
        <v>0.75</v>
      </c>
      <c r="F5521" s="0" t="n">
        <f aca="false">-1+B5521*0.25</f>
        <v>0.25</v>
      </c>
      <c r="G5521" s="0" t="n">
        <f aca="false">-1+C5521*0.25</f>
        <v>-1</v>
      </c>
      <c r="H5521" s="0" t="n">
        <f aca="false">-1+D5521*0.25</f>
        <v>1</v>
      </c>
      <c r="I5521" s="0" t="n">
        <f aca="false">1</f>
        <v>1</v>
      </c>
      <c r="J5521" s="0" t="n">
        <f aca="false">E5521</f>
        <v>0.75</v>
      </c>
      <c r="K5521" s="0" t="n">
        <f aca="false">F5521</f>
        <v>0.25</v>
      </c>
      <c r="L5521" s="0" t="n">
        <f aca="false">G5521</f>
        <v>-1</v>
      </c>
      <c r="M5521" s="0" t="n">
        <f aca="false">H5521</f>
        <v>1</v>
      </c>
      <c r="N5521" s="0" t="n">
        <f aca="false">E5521*F5521</f>
        <v>0.1875</v>
      </c>
      <c r="O5521" s="0" t="n">
        <f aca="false">E5521*G5521</f>
        <v>-0.75</v>
      </c>
      <c r="P5521" s="0" t="n">
        <f aca="false">E5521*H5521</f>
        <v>0.75</v>
      </c>
      <c r="Q5521" s="0" t="n">
        <f aca="false">F5521*G5521</f>
        <v>-0.25</v>
      </c>
      <c r="R5521" s="0" t="n">
        <f aca="false">F5521*H5521</f>
        <v>0.25</v>
      </c>
      <c r="S5521" s="0" t="n">
        <f aca="false">G5521*H5521</f>
        <v>-1</v>
      </c>
      <c r="T5521" s="0" t="n">
        <f aca="false">E5521*E5521</f>
        <v>0.5625</v>
      </c>
      <c r="U5521" s="0" t="n">
        <f aca="false">F5521*F5521</f>
        <v>0.0625</v>
      </c>
      <c r="V5521" s="0" t="n">
        <f aca="false">G5521*G5521</f>
        <v>1</v>
      </c>
      <c r="W5521" s="0" t="n">
        <f aca="false">H5521*H5521</f>
        <v>1</v>
      </c>
      <c r="X5521" s="0" t="n">
        <f aca="false">SUMPRODUCT(I5521:W5521,_XtX!$B$96:$P$96)</f>
        <v>47.0523848684211</v>
      </c>
      <c r="Y5521" s="0" t="n">
        <f aca="false">SUMPRODUCT(MMULT(I5521:W5521,_XtX!$B$78:$P$92),I5521:W5521)</f>
        <v>0.621372155975877</v>
      </c>
      <c r="Z5521" s="0" t="n">
        <f aca="false">04_回帰ANOVA!$K$19*04_回帰ANOVA!$K$14*SQRT(1+Y5521)</f>
        <v>1.65973880499872</v>
      </c>
      <c r="AA5521" s="0" t="n">
        <f aca="false">X5521-Z5521</f>
        <v>45.3926460634224</v>
      </c>
      <c r="AB5521" s="0" t="n">
        <f aca="false">X5521+Z5521</f>
        <v>48.7121236734198</v>
      </c>
      <c r="AC5521" s="54" t="b">
        <f aca="false">AND(E5521&gt;=01_因子設定!$L$5-0.000000001,E5521&lt;=01_因子設定!$M$5+0.000000001,F5521&gt;=01_因子設定!$L$6-0.000000001,F5521&lt;=01_因子設定!$M$6+0.000000001,G5521&gt;=01_因子設定!$L$7-0.000000001,G5521&lt;=01_因子設定!$M$7+0.000000001,H5521&gt;=01_因子設定!$L$8-0.000000001,H5521&lt;=01_因子設定!$M$8+0.000000001,IF(01_因子設定!$B$20="Box-Behnken",E5521^2+F5521^2+G5521^2+H5521^2&lt;=2+0.000000001,TRUE()))</f>
        <v>1</v>
      </c>
      <c r="AD5521" s="55" t="n">
        <f aca="false">IF(AC5521,IF(01_因子設定!$B$13="最大化",AA5521-01_因子設定!$B$14,IF(01_因子設定!$B$13="最小化",01_因子設定!$B$15-AB5521,MIN(AA5521-01_因子設定!$B$14,01_因子設定!$B$15-AB5521))),-1E+030)</f>
        <v>-1.10735393657764</v>
      </c>
      <c r="AE5521" s="55" t="n">
        <f aca="false">IF(AC5521,IF(01_因子設定!$B$13="最大化",X5521,IF(01_因子設定!$B$13="最小化",-X5521,-ABS(X5521-01_因子設定!$B$16))),-1E+030)</f>
        <v>47.0523848684211</v>
      </c>
      <c r="AF5521" s="55" t="n">
        <f aca="false">AD5521+ROW()*0.000000001</f>
        <v>-1.10734841557764</v>
      </c>
      <c r="AG5521" s="55" t="n">
        <f aca="false">AE5521+ROW()*0.000000001</f>
        <v>47.0523903894211</v>
      </c>
    </row>
    <row r="5522" customFormat="false" ht="15" hidden="false" customHeight="false" outlineLevel="0" collapsed="false">
      <c r="A5522" s="0" t="n">
        <v>7</v>
      </c>
      <c r="B5522" s="0" t="n">
        <v>5</v>
      </c>
      <c r="C5522" s="0" t="n">
        <v>1</v>
      </c>
      <c r="D5522" s="0" t="n">
        <v>0</v>
      </c>
      <c r="E5522" s="0" t="n">
        <f aca="false">-1+A5522*0.25</f>
        <v>0.75</v>
      </c>
      <c r="F5522" s="0" t="n">
        <f aca="false">-1+B5522*0.25</f>
        <v>0.25</v>
      </c>
      <c r="G5522" s="0" t="n">
        <f aca="false">-1+C5522*0.25</f>
        <v>-0.75</v>
      </c>
      <c r="H5522" s="0" t="n">
        <f aca="false">-1+D5522*0.25</f>
        <v>-1</v>
      </c>
      <c r="I5522" s="0" t="n">
        <f aca="false">1</f>
        <v>1</v>
      </c>
      <c r="J5522" s="0" t="n">
        <f aca="false">E5522</f>
        <v>0.75</v>
      </c>
      <c r="K5522" s="0" t="n">
        <f aca="false">F5522</f>
        <v>0.25</v>
      </c>
      <c r="L5522" s="0" t="n">
        <f aca="false">G5522</f>
        <v>-0.75</v>
      </c>
      <c r="M5522" s="0" t="n">
        <f aca="false">H5522</f>
        <v>-1</v>
      </c>
      <c r="N5522" s="0" t="n">
        <f aca="false">E5522*F5522</f>
        <v>0.1875</v>
      </c>
      <c r="O5522" s="0" t="n">
        <f aca="false">E5522*G5522</f>
        <v>-0.5625</v>
      </c>
      <c r="P5522" s="0" t="n">
        <f aca="false">E5522*H5522</f>
        <v>-0.75</v>
      </c>
      <c r="Q5522" s="0" t="n">
        <f aca="false">F5522*G5522</f>
        <v>-0.1875</v>
      </c>
      <c r="R5522" s="0" t="n">
        <f aca="false">F5522*H5522</f>
        <v>-0.25</v>
      </c>
      <c r="S5522" s="0" t="n">
        <f aca="false">G5522*H5522</f>
        <v>0.75</v>
      </c>
      <c r="T5522" s="0" t="n">
        <f aca="false">E5522*E5522</f>
        <v>0.5625</v>
      </c>
      <c r="U5522" s="0" t="n">
        <f aca="false">F5522*F5522</f>
        <v>0.0625</v>
      </c>
      <c r="V5522" s="0" t="n">
        <f aca="false">G5522*G5522</f>
        <v>0.5625</v>
      </c>
      <c r="W5522" s="0" t="n">
        <f aca="false">H5522*H5522</f>
        <v>1</v>
      </c>
      <c r="X5522" s="0" t="n">
        <f aca="false">SUMPRODUCT(I5522:W5522,_XtX!$B$96:$P$96)</f>
        <v>47.1052129020468</v>
      </c>
      <c r="Y5522" s="0" t="n">
        <f aca="false">SUMPRODUCT(MMULT(I5522:W5522,_XtX!$B$78:$P$92),I5522:W5522)</f>
        <v>0.473959761056287</v>
      </c>
      <c r="Z5522" s="0" t="n">
        <f aca="false">04_回帰ANOVA!$K$19*04_回帰ANOVA!$K$14*SQRT(1+Y5522)</f>
        <v>1.58249084588329</v>
      </c>
      <c r="AA5522" s="0" t="n">
        <f aca="false">X5522-Z5522</f>
        <v>45.5227220561635</v>
      </c>
      <c r="AB5522" s="0" t="n">
        <f aca="false">X5522+Z5522</f>
        <v>48.6877037479301</v>
      </c>
      <c r="AC5522" s="54" t="b">
        <f aca="false">AND(E5522&gt;=01_因子設定!$L$5-0.000000001,E5522&lt;=01_因子設定!$M$5+0.000000001,F5522&gt;=01_因子設定!$L$6-0.000000001,F5522&lt;=01_因子設定!$M$6+0.000000001,G5522&gt;=01_因子設定!$L$7-0.000000001,G5522&lt;=01_因子設定!$M$7+0.000000001,H5522&gt;=01_因子設定!$L$8-0.000000001,H5522&lt;=01_因子設定!$M$8+0.000000001,IF(01_因子設定!$B$20="Box-Behnken",E5522^2+F5522^2+G5522^2+H5522^2&lt;=2+0.000000001,TRUE()))</f>
        <v>1</v>
      </c>
      <c r="AD5522" s="55" t="n">
        <f aca="false">IF(AC5522,IF(01_因子設定!$B$13="最大化",AA5522-01_因子設定!$B$14,IF(01_因子設定!$B$13="最小化",01_因子設定!$B$15-AB5522,MIN(AA5522-01_因子設定!$B$14,01_因子設定!$B$15-AB5522))),-1E+030)</f>
        <v>-0.977277943836477</v>
      </c>
      <c r="AE5522" s="55" t="n">
        <f aca="false">IF(AC5522,IF(01_因子設定!$B$13="最大化",X5522,IF(01_因子設定!$B$13="最小化",-X5522,-ABS(X5522-01_因子設定!$B$16))),-1E+030)</f>
        <v>47.1052129020468</v>
      </c>
      <c r="AF5522" s="55" t="n">
        <f aca="false">AD5522+ROW()*0.000000001</f>
        <v>-0.977272421836476</v>
      </c>
      <c r="AG5522" s="55" t="n">
        <f aca="false">AE5522+ROW()*0.000000001</f>
        <v>47.1052184240468</v>
      </c>
    </row>
    <row r="5523" customFormat="false" ht="15" hidden="false" customHeight="false" outlineLevel="0" collapsed="false">
      <c r="A5523" s="0" t="n">
        <v>7</v>
      </c>
      <c r="B5523" s="0" t="n">
        <v>5</v>
      </c>
      <c r="C5523" s="0" t="n">
        <v>1</v>
      </c>
      <c r="D5523" s="0" t="n">
        <v>1</v>
      </c>
      <c r="E5523" s="0" t="n">
        <f aca="false">-1+A5523*0.25</f>
        <v>0.75</v>
      </c>
      <c r="F5523" s="0" t="n">
        <f aca="false">-1+B5523*0.25</f>
        <v>0.25</v>
      </c>
      <c r="G5523" s="0" t="n">
        <f aca="false">-1+C5523*0.25</f>
        <v>-0.75</v>
      </c>
      <c r="H5523" s="0" t="n">
        <f aca="false">-1+D5523*0.25</f>
        <v>-0.75</v>
      </c>
      <c r="I5523" s="0" t="n">
        <f aca="false">1</f>
        <v>1</v>
      </c>
      <c r="J5523" s="0" t="n">
        <f aca="false">E5523</f>
        <v>0.75</v>
      </c>
      <c r="K5523" s="0" t="n">
        <f aca="false">F5523</f>
        <v>0.25</v>
      </c>
      <c r="L5523" s="0" t="n">
        <f aca="false">G5523</f>
        <v>-0.75</v>
      </c>
      <c r="M5523" s="0" t="n">
        <f aca="false">H5523</f>
        <v>-0.75</v>
      </c>
      <c r="N5523" s="0" t="n">
        <f aca="false">E5523*F5523</f>
        <v>0.1875</v>
      </c>
      <c r="O5523" s="0" t="n">
        <f aca="false">E5523*G5523</f>
        <v>-0.5625</v>
      </c>
      <c r="P5523" s="0" t="n">
        <f aca="false">E5523*H5523</f>
        <v>-0.5625</v>
      </c>
      <c r="Q5523" s="0" t="n">
        <f aca="false">F5523*G5523</f>
        <v>-0.1875</v>
      </c>
      <c r="R5523" s="0" t="n">
        <f aca="false">F5523*H5523</f>
        <v>-0.1875</v>
      </c>
      <c r="S5523" s="0" t="n">
        <f aca="false">G5523*H5523</f>
        <v>0.5625</v>
      </c>
      <c r="T5523" s="0" t="n">
        <f aca="false">E5523*E5523</f>
        <v>0.5625</v>
      </c>
      <c r="U5523" s="0" t="n">
        <f aca="false">F5523*F5523</f>
        <v>0.0625</v>
      </c>
      <c r="V5523" s="0" t="n">
        <f aca="false">G5523*G5523</f>
        <v>0.5625</v>
      </c>
      <c r="W5523" s="0" t="n">
        <f aca="false">H5523*H5523</f>
        <v>0.5625</v>
      </c>
      <c r="X5523" s="0" t="n">
        <f aca="false">SUMPRODUCT(I5523:W5523,_XtX!$B$96:$P$96)</f>
        <v>47.3301763523392</v>
      </c>
      <c r="Y5523" s="0" t="n">
        <f aca="false">SUMPRODUCT(MMULT(I5523:W5523,_XtX!$B$78:$P$92),I5523:W5523)</f>
        <v>0.294856199744152</v>
      </c>
      <c r="Z5523" s="0" t="n">
        <f aca="false">04_回帰ANOVA!$K$19*04_回帰ANOVA!$K$14*SQRT(1+Y5523)</f>
        <v>1.48323226089013</v>
      </c>
      <c r="AA5523" s="0" t="n">
        <f aca="false">X5523-Z5523</f>
        <v>45.8469440914491</v>
      </c>
      <c r="AB5523" s="0" t="n">
        <f aca="false">X5523+Z5523</f>
        <v>48.8134086132293</v>
      </c>
      <c r="AC5523" s="54" t="b">
        <f aca="false">AND(E5523&gt;=01_因子設定!$L$5-0.000000001,E5523&lt;=01_因子設定!$M$5+0.000000001,F5523&gt;=01_因子設定!$L$6-0.000000001,F5523&lt;=01_因子設定!$M$6+0.000000001,G5523&gt;=01_因子設定!$L$7-0.000000001,G5523&lt;=01_因子設定!$M$7+0.000000001,H5523&gt;=01_因子設定!$L$8-0.000000001,H5523&lt;=01_因子設定!$M$8+0.000000001,IF(01_因子設定!$B$20="Box-Behnken",E5523^2+F5523^2+G5523^2+H5523^2&lt;=2+0.000000001,TRUE()))</f>
        <v>1</v>
      </c>
      <c r="AD5523" s="55" t="n">
        <f aca="false">IF(AC5523,IF(01_因子設定!$B$13="最大化",AA5523-01_因子設定!$B$14,IF(01_因子設定!$B$13="最小化",01_因子設定!$B$15-AB5523,MIN(AA5523-01_因子設定!$B$14,01_因子設定!$B$15-AB5523))),-1E+030)</f>
        <v>-0.653055908550947</v>
      </c>
      <c r="AE5523" s="55" t="n">
        <f aca="false">IF(AC5523,IF(01_因子設定!$B$13="最大化",X5523,IF(01_因子設定!$B$13="最小化",-X5523,-ABS(X5523-01_因子設定!$B$16))),-1E+030)</f>
        <v>47.3301763523392</v>
      </c>
      <c r="AF5523" s="55" t="n">
        <f aca="false">AD5523+ROW()*0.000000001</f>
        <v>-0.653050385550947</v>
      </c>
      <c r="AG5523" s="55" t="n">
        <f aca="false">AE5523+ROW()*0.000000001</f>
        <v>47.3301818753392</v>
      </c>
    </row>
    <row r="5524" customFormat="false" ht="15" hidden="false" customHeight="false" outlineLevel="0" collapsed="false">
      <c r="A5524" s="0" t="n">
        <v>7</v>
      </c>
      <c r="B5524" s="0" t="n">
        <v>5</v>
      </c>
      <c r="C5524" s="0" t="n">
        <v>1</v>
      </c>
      <c r="D5524" s="0" t="n">
        <v>2</v>
      </c>
      <c r="E5524" s="0" t="n">
        <f aca="false">-1+A5524*0.25</f>
        <v>0.75</v>
      </c>
      <c r="F5524" s="0" t="n">
        <f aca="false">-1+B5524*0.25</f>
        <v>0.25</v>
      </c>
      <c r="G5524" s="0" t="n">
        <f aca="false">-1+C5524*0.25</f>
        <v>-0.75</v>
      </c>
      <c r="H5524" s="0" t="n">
        <f aca="false">-1+D5524*0.25</f>
        <v>-0.5</v>
      </c>
      <c r="I5524" s="0" t="n">
        <f aca="false">1</f>
        <v>1</v>
      </c>
      <c r="J5524" s="0" t="n">
        <f aca="false">E5524</f>
        <v>0.75</v>
      </c>
      <c r="K5524" s="0" t="n">
        <f aca="false">F5524</f>
        <v>0.25</v>
      </c>
      <c r="L5524" s="0" t="n">
        <f aca="false">G5524</f>
        <v>-0.75</v>
      </c>
      <c r="M5524" s="0" t="n">
        <f aca="false">H5524</f>
        <v>-0.5</v>
      </c>
      <c r="N5524" s="0" t="n">
        <f aca="false">E5524*F5524</f>
        <v>0.1875</v>
      </c>
      <c r="O5524" s="0" t="n">
        <f aca="false">E5524*G5524</f>
        <v>-0.5625</v>
      </c>
      <c r="P5524" s="0" t="n">
        <f aca="false">E5524*H5524</f>
        <v>-0.375</v>
      </c>
      <c r="Q5524" s="0" t="n">
        <f aca="false">F5524*G5524</f>
        <v>-0.1875</v>
      </c>
      <c r="R5524" s="0" t="n">
        <f aca="false">F5524*H5524</f>
        <v>-0.125</v>
      </c>
      <c r="S5524" s="0" t="n">
        <f aca="false">G5524*H5524</f>
        <v>0.375</v>
      </c>
      <c r="T5524" s="0" t="n">
        <f aca="false">E5524*E5524</f>
        <v>0.5625</v>
      </c>
      <c r="U5524" s="0" t="n">
        <f aca="false">F5524*F5524</f>
        <v>0.0625</v>
      </c>
      <c r="V5524" s="0" t="n">
        <f aca="false">G5524*G5524</f>
        <v>0.5625</v>
      </c>
      <c r="W5524" s="0" t="n">
        <f aca="false">H5524*H5524</f>
        <v>0.25</v>
      </c>
      <c r="X5524" s="0" t="n">
        <f aca="false">SUMPRODUCT(I5524:W5524,_XtX!$B$96:$P$96)</f>
        <v>47.5073327850877</v>
      </c>
      <c r="Y5524" s="0" t="n">
        <f aca="false">SUMPRODUCT(MMULT(I5524:W5524,_XtX!$B$78:$P$92),I5524:W5524)</f>
        <v>0.257385610836988</v>
      </c>
      <c r="Z5524" s="0" t="n">
        <f aca="false">04_回帰ANOVA!$K$19*04_回帰ANOVA!$K$14*SQRT(1+Y5524)</f>
        <v>1.46161380324158</v>
      </c>
      <c r="AA5524" s="0" t="n">
        <f aca="false">X5524-Z5524</f>
        <v>46.0457189818461</v>
      </c>
      <c r="AB5524" s="0" t="n">
        <f aca="false">X5524+Z5524</f>
        <v>48.9689465883293</v>
      </c>
      <c r="AC5524" s="54" t="b">
        <f aca="false">AND(E5524&gt;=01_因子設定!$L$5-0.000000001,E5524&lt;=01_因子設定!$M$5+0.000000001,F5524&gt;=01_因子設定!$L$6-0.000000001,F5524&lt;=01_因子設定!$M$6+0.000000001,G5524&gt;=01_因子設定!$L$7-0.000000001,G5524&lt;=01_因子設定!$M$7+0.000000001,H5524&gt;=01_因子設定!$L$8-0.000000001,H5524&lt;=01_因子設定!$M$8+0.000000001,IF(01_因子設定!$B$20="Box-Behnken",E5524^2+F5524^2+G5524^2+H5524^2&lt;=2+0.000000001,TRUE()))</f>
        <v>1</v>
      </c>
      <c r="AD5524" s="55" t="n">
        <f aca="false">IF(AC5524,IF(01_因子設定!$B$13="最大化",AA5524-01_因子設定!$B$14,IF(01_因子設定!$B$13="最小化",01_因子設定!$B$15-AB5524,MIN(AA5524-01_因子設定!$B$14,01_因子設定!$B$15-AB5524))),-1E+030)</f>
        <v>-0.454281018153864</v>
      </c>
      <c r="AE5524" s="55" t="n">
        <f aca="false">IF(AC5524,IF(01_因子設定!$B$13="最大化",X5524,IF(01_因子設定!$B$13="最小化",-X5524,-ABS(X5524-01_因子設定!$B$16))),-1E+030)</f>
        <v>47.5073327850877</v>
      </c>
      <c r="AF5524" s="55" t="n">
        <f aca="false">AD5524+ROW()*0.000000001</f>
        <v>-0.454275494153864</v>
      </c>
      <c r="AG5524" s="55" t="n">
        <f aca="false">AE5524+ROW()*0.000000001</f>
        <v>47.5073383090877</v>
      </c>
    </row>
    <row r="5525" customFormat="false" ht="15" hidden="false" customHeight="false" outlineLevel="0" collapsed="false">
      <c r="A5525" s="0" t="n">
        <v>7</v>
      </c>
      <c r="B5525" s="0" t="n">
        <v>5</v>
      </c>
      <c r="C5525" s="0" t="n">
        <v>1</v>
      </c>
      <c r="D5525" s="0" t="n">
        <v>3</v>
      </c>
      <c r="E5525" s="0" t="n">
        <f aca="false">-1+A5525*0.25</f>
        <v>0.75</v>
      </c>
      <c r="F5525" s="0" t="n">
        <f aca="false">-1+B5525*0.25</f>
        <v>0.25</v>
      </c>
      <c r="G5525" s="0" t="n">
        <f aca="false">-1+C5525*0.25</f>
        <v>-0.75</v>
      </c>
      <c r="H5525" s="0" t="n">
        <f aca="false">-1+D5525*0.25</f>
        <v>-0.25</v>
      </c>
      <c r="I5525" s="0" t="n">
        <f aca="false">1</f>
        <v>1</v>
      </c>
      <c r="J5525" s="0" t="n">
        <f aca="false">E5525</f>
        <v>0.75</v>
      </c>
      <c r="K5525" s="0" t="n">
        <f aca="false">F5525</f>
        <v>0.25</v>
      </c>
      <c r="L5525" s="0" t="n">
        <f aca="false">G5525</f>
        <v>-0.75</v>
      </c>
      <c r="M5525" s="0" t="n">
        <f aca="false">H5525</f>
        <v>-0.25</v>
      </c>
      <c r="N5525" s="0" t="n">
        <f aca="false">E5525*F5525</f>
        <v>0.1875</v>
      </c>
      <c r="O5525" s="0" t="n">
        <f aca="false">E5525*G5525</f>
        <v>-0.5625</v>
      </c>
      <c r="P5525" s="0" t="n">
        <f aca="false">E5525*H5525</f>
        <v>-0.1875</v>
      </c>
      <c r="Q5525" s="0" t="n">
        <f aca="false">F5525*G5525</f>
        <v>-0.1875</v>
      </c>
      <c r="R5525" s="0" t="n">
        <f aca="false">F5525*H5525</f>
        <v>-0.0625</v>
      </c>
      <c r="S5525" s="0" t="n">
        <f aca="false">G5525*H5525</f>
        <v>0.1875</v>
      </c>
      <c r="T5525" s="0" t="n">
        <f aca="false">E5525*E5525</f>
        <v>0.5625</v>
      </c>
      <c r="U5525" s="0" t="n">
        <f aca="false">F5525*F5525</f>
        <v>0.0625</v>
      </c>
      <c r="V5525" s="0" t="n">
        <f aca="false">G5525*G5525</f>
        <v>0.5625</v>
      </c>
      <c r="W5525" s="0" t="n">
        <f aca="false">H5525*H5525</f>
        <v>0.0625</v>
      </c>
      <c r="X5525" s="0" t="n">
        <f aca="false">SUMPRODUCT(I5525:W5525,_XtX!$B$96:$P$96)</f>
        <v>47.6366822002924</v>
      </c>
      <c r="Y5525" s="0" t="n">
        <f aca="false">SUMPRODUCT(MMULT(I5525:W5525,_XtX!$B$78:$P$92),I5525:W5525)</f>
        <v>0.271087468019006</v>
      </c>
      <c r="Z5525" s="0" t="n">
        <f aca="false">04_回帰ANOVA!$K$19*04_回帰ANOVA!$K$14*SQRT(1+Y5525)</f>
        <v>1.46955590155034</v>
      </c>
      <c r="AA5525" s="0" t="n">
        <f aca="false">X5525-Z5525</f>
        <v>46.167126298742</v>
      </c>
      <c r="AB5525" s="0" t="n">
        <f aca="false">X5525+Z5525</f>
        <v>49.1062381018427</v>
      </c>
      <c r="AC5525" s="54" t="b">
        <f aca="false">AND(E5525&gt;=01_因子設定!$L$5-0.000000001,E5525&lt;=01_因子設定!$M$5+0.000000001,F5525&gt;=01_因子設定!$L$6-0.000000001,F5525&lt;=01_因子設定!$M$6+0.000000001,G5525&gt;=01_因子設定!$L$7-0.000000001,G5525&lt;=01_因子設定!$M$7+0.000000001,H5525&gt;=01_因子設定!$L$8-0.000000001,H5525&lt;=01_因子設定!$M$8+0.000000001,IF(01_因子設定!$B$20="Box-Behnken",E5525^2+F5525^2+G5525^2+H5525^2&lt;=2+0.000000001,TRUE()))</f>
        <v>1</v>
      </c>
      <c r="AD5525" s="55" t="n">
        <f aca="false">IF(AC5525,IF(01_因子設定!$B$13="最大化",AA5525-01_因子設定!$B$14,IF(01_因子設定!$B$13="最小化",01_因子設定!$B$15-AB5525,MIN(AA5525-01_因子設定!$B$14,01_因子設定!$B$15-AB5525))),-1E+030)</f>
        <v>-0.332873701257959</v>
      </c>
      <c r="AE5525" s="55" t="n">
        <f aca="false">IF(AC5525,IF(01_因子設定!$B$13="最大化",X5525,IF(01_因子設定!$B$13="最小化",-X5525,-ABS(X5525-01_因子設定!$B$16))),-1E+030)</f>
        <v>47.6366822002924</v>
      </c>
      <c r="AF5525" s="55" t="n">
        <f aca="false">AD5525+ROW()*0.000000001</f>
        <v>-0.332868176257959</v>
      </c>
      <c r="AG5525" s="55" t="n">
        <f aca="false">AE5525+ROW()*0.000000001</f>
        <v>47.6366877252924</v>
      </c>
    </row>
    <row r="5526" customFormat="false" ht="15" hidden="false" customHeight="false" outlineLevel="0" collapsed="false">
      <c r="A5526" s="0" t="n">
        <v>7</v>
      </c>
      <c r="B5526" s="0" t="n">
        <v>5</v>
      </c>
      <c r="C5526" s="0" t="n">
        <v>1</v>
      </c>
      <c r="D5526" s="0" t="n">
        <v>4</v>
      </c>
      <c r="E5526" s="0" t="n">
        <f aca="false">-1+A5526*0.25</f>
        <v>0.75</v>
      </c>
      <c r="F5526" s="0" t="n">
        <f aca="false">-1+B5526*0.25</f>
        <v>0.25</v>
      </c>
      <c r="G5526" s="0" t="n">
        <f aca="false">-1+C5526*0.25</f>
        <v>-0.75</v>
      </c>
      <c r="H5526" s="0" t="n">
        <f aca="false">-1+D5526*0.25</f>
        <v>0</v>
      </c>
      <c r="I5526" s="0" t="n">
        <f aca="false">1</f>
        <v>1</v>
      </c>
      <c r="J5526" s="0" t="n">
        <f aca="false">E5526</f>
        <v>0.75</v>
      </c>
      <c r="K5526" s="0" t="n">
        <f aca="false">F5526</f>
        <v>0.25</v>
      </c>
      <c r="L5526" s="0" t="n">
        <f aca="false">G5526</f>
        <v>-0.75</v>
      </c>
      <c r="M5526" s="0" t="n">
        <f aca="false">H5526</f>
        <v>0</v>
      </c>
      <c r="N5526" s="0" t="n">
        <f aca="false">E5526*F5526</f>
        <v>0.1875</v>
      </c>
      <c r="O5526" s="0" t="n">
        <f aca="false">E5526*G5526</f>
        <v>-0.5625</v>
      </c>
      <c r="P5526" s="0" t="n">
        <f aca="false">E5526*H5526</f>
        <v>0</v>
      </c>
      <c r="Q5526" s="0" t="n">
        <f aca="false">F5526*G5526</f>
        <v>-0.1875</v>
      </c>
      <c r="R5526" s="0" t="n">
        <f aca="false">F5526*H5526</f>
        <v>0</v>
      </c>
      <c r="S5526" s="0" t="n">
        <f aca="false">G5526*H5526</f>
        <v>-0</v>
      </c>
      <c r="T5526" s="0" t="n">
        <f aca="false">E5526*E5526</f>
        <v>0.5625</v>
      </c>
      <c r="U5526" s="0" t="n">
        <f aca="false">F5526*F5526</f>
        <v>0.0625</v>
      </c>
      <c r="V5526" s="0" t="n">
        <f aca="false">G5526*G5526</f>
        <v>0.5625</v>
      </c>
      <c r="W5526" s="0" t="n">
        <f aca="false">H5526*H5526</f>
        <v>0</v>
      </c>
      <c r="X5526" s="0" t="n">
        <f aca="false">SUMPRODUCT(I5526:W5526,_XtX!$B$96:$P$96)</f>
        <v>47.7182245979532</v>
      </c>
      <c r="Y5526" s="0" t="n">
        <f aca="false">SUMPRODUCT(MMULT(I5526:W5526,_XtX!$B$78:$P$92),I5526:W5526)</f>
        <v>0.281685455500731</v>
      </c>
      <c r="Z5526" s="0" t="n">
        <f aca="false">04_回帰ANOVA!$K$19*04_回帰ANOVA!$K$14*SQRT(1+Y5526)</f>
        <v>1.47566956658694</v>
      </c>
      <c r="AA5526" s="0" t="n">
        <f aca="false">X5526-Z5526</f>
        <v>46.2425550313663</v>
      </c>
      <c r="AB5526" s="0" t="n">
        <f aca="false">X5526+Z5526</f>
        <v>49.1938941645401</v>
      </c>
      <c r="AC5526" s="54" t="b">
        <f aca="false">AND(E5526&gt;=01_因子設定!$L$5-0.000000001,E5526&lt;=01_因子設定!$M$5+0.000000001,F5526&gt;=01_因子設定!$L$6-0.000000001,F5526&lt;=01_因子設定!$M$6+0.000000001,G5526&gt;=01_因子設定!$L$7-0.000000001,G5526&lt;=01_因子設定!$M$7+0.000000001,H5526&gt;=01_因子設定!$L$8-0.000000001,H5526&lt;=01_因子設定!$M$8+0.000000001,IF(01_因子設定!$B$20="Box-Behnken",E5526^2+F5526^2+G5526^2+H5526^2&lt;=2+0.000000001,TRUE()))</f>
        <v>1</v>
      </c>
      <c r="AD5526" s="55" t="n">
        <f aca="false">IF(AC5526,IF(01_因子設定!$B$13="最大化",AA5526-01_因子設定!$B$14,IF(01_因子設定!$B$13="最小化",01_因子設定!$B$15-AB5526,MIN(AA5526-01_因子設定!$B$14,01_因子設定!$B$15-AB5526))),-1E+030)</f>
        <v>-0.257444968633735</v>
      </c>
      <c r="AE5526" s="55" t="n">
        <f aca="false">IF(AC5526,IF(01_因子設定!$B$13="最大化",X5526,IF(01_因子設定!$B$13="最小化",-X5526,-ABS(X5526-01_因子設定!$B$16))),-1E+030)</f>
        <v>47.7182245979532</v>
      </c>
      <c r="AF5526" s="55" t="n">
        <f aca="false">AD5526+ROW()*0.000000001</f>
        <v>-0.257439442633735</v>
      </c>
      <c r="AG5526" s="55" t="n">
        <f aca="false">AE5526+ROW()*0.000000001</f>
        <v>47.7182301239532</v>
      </c>
    </row>
    <row r="5527" customFormat="false" ht="15" hidden="false" customHeight="false" outlineLevel="0" collapsed="false">
      <c r="A5527" s="0" t="n">
        <v>7</v>
      </c>
      <c r="B5527" s="0" t="n">
        <v>5</v>
      </c>
      <c r="C5527" s="0" t="n">
        <v>1</v>
      </c>
      <c r="D5527" s="0" t="n">
        <v>5</v>
      </c>
      <c r="E5527" s="0" t="n">
        <f aca="false">-1+A5527*0.25</f>
        <v>0.75</v>
      </c>
      <c r="F5527" s="0" t="n">
        <f aca="false">-1+B5527*0.25</f>
        <v>0.25</v>
      </c>
      <c r="G5527" s="0" t="n">
        <f aca="false">-1+C5527*0.25</f>
        <v>-0.75</v>
      </c>
      <c r="H5527" s="0" t="n">
        <f aca="false">-1+D5527*0.25</f>
        <v>0.25</v>
      </c>
      <c r="I5527" s="0" t="n">
        <f aca="false">1</f>
        <v>1</v>
      </c>
      <c r="J5527" s="0" t="n">
        <f aca="false">E5527</f>
        <v>0.75</v>
      </c>
      <c r="K5527" s="0" t="n">
        <f aca="false">F5527</f>
        <v>0.25</v>
      </c>
      <c r="L5527" s="0" t="n">
        <f aca="false">G5527</f>
        <v>-0.75</v>
      </c>
      <c r="M5527" s="0" t="n">
        <f aca="false">H5527</f>
        <v>0.25</v>
      </c>
      <c r="N5527" s="0" t="n">
        <f aca="false">E5527*F5527</f>
        <v>0.1875</v>
      </c>
      <c r="O5527" s="0" t="n">
        <f aca="false">E5527*G5527</f>
        <v>-0.5625</v>
      </c>
      <c r="P5527" s="0" t="n">
        <f aca="false">E5527*H5527</f>
        <v>0.1875</v>
      </c>
      <c r="Q5527" s="0" t="n">
        <f aca="false">F5527*G5527</f>
        <v>-0.1875</v>
      </c>
      <c r="R5527" s="0" t="n">
        <f aca="false">F5527*H5527</f>
        <v>0.0625</v>
      </c>
      <c r="S5527" s="0" t="n">
        <f aca="false">G5527*H5527</f>
        <v>-0.1875</v>
      </c>
      <c r="T5527" s="0" t="n">
        <f aca="false">E5527*E5527</f>
        <v>0.5625</v>
      </c>
      <c r="U5527" s="0" t="n">
        <f aca="false">F5527*F5527</f>
        <v>0.0625</v>
      </c>
      <c r="V5527" s="0" t="n">
        <f aca="false">G5527*G5527</f>
        <v>0.5625</v>
      </c>
      <c r="W5527" s="0" t="n">
        <f aca="false">H5527*H5527</f>
        <v>0.0625</v>
      </c>
      <c r="X5527" s="0" t="n">
        <f aca="false">SUMPRODUCT(I5527:W5527,_XtX!$B$96:$P$96)</f>
        <v>47.7519599780702</v>
      </c>
      <c r="Y5527" s="0" t="n">
        <f aca="false">SUMPRODUCT(MMULT(I5527:W5527,_XtX!$B$78:$P$92),I5527:W5527)</f>
        <v>0.271087468019006</v>
      </c>
      <c r="Z5527" s="0" t="n">
        <f aca="false">04_回帰ANOVA!$K$19*04_回帰ANOVA!$K$14*SQRT(1+Y5527)</f>
        <v>1.46955590155034</v>
      </c>
      <c r="AA5527" s="0" t="n">
        <f aca="false">X5527-Z5527</f>
        <v>46.2824040765198</v>
      </c>
      <c r="AB5527" s="0" t="n">
        <f aca="false">X5527+Z5527</f>
        <v>49.2215158796205</v>
      </c>
      <c r="AC5527" s="54" t="b">
        <f aca="false">AND(E5527&gt;=01_因子設定!$L$5-0.000000001,E5527&lt;=01_因子設定!$M$5+0.000000001,F5527&gt;=01_因子設定!$L$6-0.000000001,F5527&lt;=01_因子設定!$M$6+0.000000001,G5527&gt;=01_因子設定!$L$7-0.000000001,G5527&lt;=01_因子設定!$M$7+0.000000001,H5527&gt;=01_因子設定!$L$8-0.000000001,H5527&lt;=01_因子設定!$M$8+0.000000001,IF(01_因子設定!$B$20="Box-Behnken",E5527^2+F5527^2+G5527^2+H5527^2&lt;=2+0.000000001,TRUE()))</f>
        <v>1</v>
      </c>
      <c r="AD5527" s="55" t="n">
        <f aca="false">IF(AC5527,IF(01_因子設定!$B$13="最大化",AA5527-01_因子設定!$B$14,IF(01_因子設定!$B$13="最小化",01_因子設定!$B$15-AB5527,MIN(AA5527-01_因子設定!$B$14,01_因子設定!$B$15-AB5527))),-1E+030)</f>
        <v>-0.217595923480182</v>
      </c>
      <c r="AE5527" s="55" t="n">
        <f aca="false">IF(AC5527,IF(01_因子設定!$B$13="最大化",X5527,IF(01_因子設定!$B$13="最小化",-X5527,-ABS(X5527-01_因子設定!$B$16))),-1E+030)</f>
        <v>47.7519599780702</v>
      </c>
      <c r="AF5527" s="55" t="n">
        <f aca="false">AD5527+ROW()*0.000000001</f>
        <v>-0.217590396480182</v>
      </c>
      <c r="AG5527" s="55" t="n">
        <f aca="false">AE5527+ROW()*0.000000001</f>
        <v>47.7519655050702</v>
      </c>
    </row>
    <row r="5528" customFormat="false" ht="15" hidden="false" customHeight="false" outlineLevel="0" collapsed="false">
      <c r="A5528" s="0" t="n">
        <v>7</v>
      </c>
      <c r="B5528" s="0" t="n">
        <v>5</v>
      </c>
      <c r="C5528" s="0" t="n">
        <v>1</v>
      </c>
      <c r="D5528" s="0" t="n">
        <v>6</v>
      </c>
      <c r="E5528" s="0" t="n">
        <f aca="false">-1+A5528*0.25</f>
        <v>0.75</v>
      </c>
      <c r="F5528" s="0" t="n">
        <f aca="false">-1+B5528*0.25</f>
        <v>0.25</v>
      </c>
      <c r="G5528" s="0" t="n">
        <f aca="false">-1+C5528*0.25</f>
        <v>-0.75</v>
      </c>
      <c r="H5528" s="0" t="n">
        <f aca="false">-1+D5528*0.25</f>
        <v>0.5</v>
      </c>
      <c r="I5528" s="0" t="n">
        <f aca="false">1</f>
        <v>1</v>
      </c>
      <c r="J5528" s="0" t="n">
        <f aca="false">E5528</f>
        <v>0.75</v>
      </c>
      <c r="K5528" s="0" t="n">
        <f aca="false">F5528</f>
        <v>0.25</v>
      </c>
      <c r="L5528" s="0" t="n">
        <f aca="false">G5528</f>
        <v>-0.75</v>
      </c>
      <c r="M5528" s="0" t="n">
        <f aca="false">H5528</f>
        <v>0.5</v>
      </c>
      <c r="N5528" s="0" t="n">
        <f aca="false">E5528*F5528</f>
        <v>0.1875</v>
      </c>
      <c r="O5528" s="0" t="n">
        <f aca="false">E5528*G5528</f>
        <v>-0.5625</v>
      </c>
      <c r="P5528" s="0" t="n">
        <f aca="false">E5528*H5528</f>
        <v>0.375</v>
      </c>
      <c r="Q5528" s="0" t="n">
        <f aca="false">F5528*G5528</f>
        <v>-0.1875</v>
      </c>
      <c r="R5528" s="0" t="n">
        <f aca="false">F5528*H5528</f>
        <v>0.125</v>
      </c>
      <c r="S5528" s="0" t="n">
        <f aca="false">G5528*H5528</f>
        <v>-0.375</v>
      </c>
      <c r="T5528" s="0" t="n">
        <f aca="false">E5528*E5528</f>
        <v>0.5625</v>
      </c>
      <c r="U5528" s="0" t="n">
        <f aca="false">F5528*F5528</f>
        <v>0.0625</v>
      </c>
      <c r="V5528" s="0" t="n">
        <f aca="false">G5528*G5528</f>
        <v>0.5625</v>
      </c>
      <c r="W5528" s="0" t="n">
        <f aca="false">H5528*H5528</f>
        <v>0.25</v>
      </c>
      <c r="X5528" s="0" t="n">
        <f aca="false">SUMPRODUCT(I5528:W5528,_XtX!$B$96:$P$96)</f>
        <v>47.7378883406433</v>
      </c>
      <c r="Y5528" s="0" t="n">
        <f aca="false">SUMPRODUCT(MMULT(I5528:W5528,_XtX!$B$78:$P$92),I5528:W5528)</f>
        <v>0.257385610836988</v>
      </c>
      <c r="Z5528" s="0" t="n">
        <f aca="false">04_回帰ANOVA!$K$19*04_回帰ANOVA!$K$14*SQRT(1+Y5528)</f>
        <v>1.46161380324158</v>
      </c>
      <c r="AA5528" s="0" t="n">
        <f aca="false">X5528-Z5528</f>
        <v>46.2762745374017</v>
      </c>
      <c r="AB5528" s="0" t="n">
        <f aca="false">X5528+Z5528</f>
        <v>49.1995021438849</v>
      </c>
      <c r="AC5528" s="54" t="b">
        <f aca="false">AND(E5528&gt;=01_因子設定!$L$5-0.000000001,E5528&lt;=01_因子設定!$M$5+0.000000001,F5528&gt;=01_因子設定!$L$6-0.000000001,F5528&lt;=01_因子設定!$M$6+0.000000001,G5528&gt;=01_因子設定!$L$7-0.000000001,G5528&lt;=01_因子設定!$M$7+0.000000001,H5528&gt;=01_因子設定!$L$8-0.000000001,H5528&lt;=01_因子設定!$M$8+0.000000001,IF(01_因子設定!$B$20="Box-Behnken",E5528^2+F5528^2+G5528^2+H5528^2&lt;=2+0.000000001,TRUE()))</f>
        <v>1</v>
      </c>
      <c r="AD5528" s="55" t="n">
        <f aca="false">IF(AC5528,IF(01_因子設定!$B$13="最大化",AA5528-01_因子設定!$B$14,IF(01_因子設定!$B$13="最小化",01_因子設定!$B$15-AB5528,MIN(AA5528-01_因子設定!$B$14,01_因子設定!$B$15-AB5528))),-1E+030)</f>
        <v>-0.22372546259831</v>
      </c>
      <c r="AE5528" s="55" t="n">
        <f aca="false">IF(AC5528,IF(01_因子設定!$B$13="最大化",X5528,IF(01_因子設定!$B$13="最小化",-X5528,-ABS(X5528-01_因子設定!$B$16))),-1E+030)</f>
        <v>47.7378883406433</v>
      </c>
      <c r="AF5528" s="55" t="n">
        <f aca="false">AD5528+ROW()*0.000000001</f>
        <v>-0.22371993459831</v>
      </c>
      <c r="AG5528" s="55" t="n">
        <f aca="false">AE5528+ROW()*0.000000001</f>
        <v>47.7378938686433</v>
      </c>
    </row>
    <row r="5529" customFormat="false" ht="15" hidden="false" customHeight="false" outlineLevel="0" collapsed="false">
      <c r="A5529" s="0" t="n">
        <v>7</v>
      </c>
      <c r="B5529" s="0" t="n">
        <v>5</v>
      </c>
      <c r="C5529" s="0" t="n">
        <v>1</v>
      </c>
      <c r="D5529" s="0" t="n">
        <v>7</v>
      </c>
      <c r="E5529" s="0" t="n">
        <f aca="false">-1+A5529*0.25</f>
        <v>0.75</v>
      </c>
      <c r="F5529" s="0" t="n">
        <f aca="false">-1+B5529*0.25</f>
        <v>0.25</v>
      </c>
      <c r="G5529" s="0" t="n">
        <f aca="false">-1+C5529*0.25</f>
        <v>-0.75</v>
      </c>
      <c r="H5529" s="0" t="n">
        <f aca="false">-1+D5529*0.25</f>
        <v>0.75</v>
      </c>
      <c r="I5529" s="0" t="n">
        <f aca="false">1</f>
        <v>1</v>
      </c>
      <c r="J5529" s="0" t="n">
        <f aca="false">E5529</f>
        <v>0.75</v>
      </c>
      <c r="K5529" s="0" t="n">
        <f aca="false">F5529</f>
        <v>0.25</v>
      </c>
      <c r="L5529" s="0" t="n">
        <f aca="false">G5529</f>
        <v>-0.75</v>
      </c>
      <c r="M5529" s="0" t="n">
        <f aca="false">H5529</f>
        <v>0.75</v>
      </c>
      <c r="N5529" s="0" t="n">
        <f aca="false">E5529*F5529</f>
        <v>0.1875</v>
      </c>
      <c r="O5529" s="0" t="n">
        <f aca="false">E5529*G5529</f>
        <v>-0.5625</v>
      </c>
      <c r="P5529" s="0" t="n">
        <f aca="false">E5529*H5529</f>
        <v>0.5625</v>
      </c>
      <c r="Q5529" s="0" t="n">
        <f aca="false">F5529*G5529</f>
        <v>-0.1875</v>
      </c>
      <c r="R5529" s="0" t="n">
        <f aca="false">F5529*H5529</f>
        <v>0.1875</v>
      </c>
      <c r="S5529" s="0" t="n">
        <f aca="false">G5529*H5529</f>
        <v>-0.5625</v>
      </c>
      <c r="T5529" s="0" t="n">
        <f aca="false">E5529*E5529</f>
        <v>0.5625</v>
      </c>
      <c r="U5529" s="0" t="n">
        <f aca="false">F5529*F5529</f>
        <v>0.0625</v>
      </c>
      <c r="V5529" s="0" t="n">
        <f aca="false">G5529*G5529</f>
        <v>0.5625</v>
      </c>
      <c r="W5529" s="0" t="n">
        <f aca="false">H5529*H5529</f>
        <v>0.5625</v>
      </c>
      <c r="X5529" s="0" t="n">
        <f aca="false">SUMPRODUCT(I5529:W5529,_XtX!$B$96:$P$96)</f>
        <v>47.6760096856725</v>
      </c>
      <c r="Y5529" s="0" t="n">
        <f aca="false">SUMPRODUCT(MMULT(I5529:W5529,_XtX!$B$78:$P$92),I5529:W5529)</f>
        <v>0.294856199744152</v>
      </c>
      <c r="Z5529" s="0" t="n">
        <f aca="false">04_回帰ANOVA!$K$19*04_回帰ANOVA!$K$14*SQRT(1+Y5529)</f>
        <v>1.48323226089013</v>
      </c>
      <c r="AA5529" s="0" t="n">
        <f aca="false">X5529-Z5529</f>
        <v>46.1927774247824</v>
      </c>
      <c r="AB5529" s="0" t="n">
        <f aca="false">X5529+Z5529</f>
        <v>49.1592419465627</v>
      </c>
      <c r="AC5529" s="54" t="b">
        <f aca="false">AND(E5529&gt;=01_因子設定!$L$5-0.000000001,E5529&lt;=01_因子設定!$M$5+0.000000001,F5529&gt;=01_因子設定!$L$6-0.000000001,F5529&lt;=01_因子設定!$M$6+0.000000001,G5529&gt;=01_因子設定!$L$7-0.000000001,G5529&lt;=01_因子設定!$M$7+0.000000001,H5529&gt;=01_因子設定!$L$8-0.000000001,H5529&lt;=01_因子設定!$M$8+0.000000001,IF(01_因子設定!$B$20="Box-Behnken",E5529^2+F5529^2+G5529^2+H5529^2&lt;=2+0.000000001,TRUE()))</f>
        <v>1</v>
      </c>
      <c r="AD5529" s="55" t="n">
        <f aca="false">IF(AC5529,IF(01_因子設定!$B$13="最大化",AA5529-01_因子設定!$B$14,IF(01_因子設定!$B$13="最小化",01_因子設定!$B$15-AB5529,MIN(AA5529-01_因子設定!$B$14,01_因子設定!$B$15-AB5529))),-1E+030)</f>
        <v>-0.307222575217608</v>
      </c>
      <c r="AE5529" s="55" t="n">
        <f aca="false">IF(AC5529,IF(01_因子設定!$B$13="最大化",X5529,IF(01_因子設定!$B$13="最小化",-X5529,-ABS(X5529-01_因子設定!$B$16))),-1E+030)</f>
        <v>47.6760096856725</v>
      </c>
      <c r="AF5529" s="55" t="n">
        <f aca="false">AD5529+ROW()*0.000000001</f>
        <v>-0.307217046217608</v>
      </c>
      <c r="AG5529" s="55" t="n">
        <f aca="false">AE5529+ROW()*0.000000001</f>
        <v>47.6760152146725</v>
      </c>
    </row>
    <row r="5530" customFormat="false" ht="15" hidden="false" customHeight="false" outlineLevel="0" collapsed="false">
      <c r="A5530" s="0" t="n">
        <v>7</v>
      </c>
      <c r="B5530" s="0" t="n">
        <v>5</v>
      </c>
      <c r="C5530" s="0" t="n">
        <v>1</v>
      </c>
      <c r="D5530" s="0" t="n">
        <v>8</v>
      </c>
      <c r="E5530" s="0" t="n">
        <f aca="false">-1+A5530*0.25</f>
        <v>0.75</v>
      </c>
      <c r="F5530" s="0" t="n">
        <f aca="false">-1+B5530*0.25</f>
        <v>0.25</v>
      </c>
      <c r="G5530" s="0" t="n">
        <f aca="false">-1+C5530*0.25</f>
        <v>-0.75</v>
      </c>
      <c r="H5530" s="0" t="n">
        <f aca="false">-1+D5530*0.25</f>
        <v>1</v>
      </c>
      <c r="I5530" s="0" t="n">
        <f aca="false">1</f>
        <v>1</v>
      </c>
      <c r="J5530" s="0" t="n">
        <f aca="false">E5530</f>
        <v>0.75</v>
      </c>
      <c r="K5530" s="0" t="n">
        <f aca="false">F5530</f>
        <v>0.25</v>
      </c>
      <c r="L5530" s="0" t="n">
        <f aca="false">G5530</f>
        <v>-0.75</v>
      </c>
      <c r="M5530" s="0" t="n">
        <f aca="false">H5530</f>
        <v>1</v>
      </c>
      <c r="N5530" s="0" t="n">
        <f aca="false">E5530*F5530</f>
        <v>0.1875</v>
      </c>
      <c r="O5530" s="0" t="n">
        <f aca="false">E5530*G5530</f>
        <v>-0.5625</v>
      </c>
      <c r="P5530" s="0" t="n">
        <f aca="false">E5530*H5530</f>
        <v>0.75</v>
      </c>
      <c r="Q5530" s="0" t="n">
        <f aca="false">F5530*G5530</f>
        <v>-0.1875</v>
      </c>
      <c r="R5530" s="0" t="n">
        <f aca="false">F5530*H5530</f>
        <v>0.25</v>
      </c>
      <c r="S5530" s="0" t="n">
        <f aca="false">G5530*H5530</f>
        <v>-0.75</v>
      </c>
      <c r="T5530" s="0" t="n">
        <f aca="false">E5530*E5530</f>
        <v>0.5625</v>
      </c>
      <c r="U5530" s="0" t="n">
        <f aca="false">F5530*F5530</f>
        <v>0.0625</v>
      </c>
      <c r="V5530" s="0" t="n">
        <f aca="false">G5530*G5530</f>
        <v>0.5625</v>
      </c>
      <c r="W5530" s="0" t="n">
        <f aca="false">H5530*H5530</f>
        <v>1</v>
      </c>
      <c r="X5530" s="0" t="n">
        <f aca="false">SUMPRODUCT(I5530:W5530,_XtX!$B$96:$P$96)</f>
        <v>47.5663240131579</v>
      </c>
      <c r="Y5530" s="0" t="n">
        <f aca="false">SUMPRODUCT(MMULT(I5530:W5530,_XtX!$B$78:$P$92),I5530:W5530)</f>
        <v>0.473959761056287</v>
      </c>
      <c r="Z5530" s="0" t="n">
        <f aca="false">04_回帰ANOVA!$K$19*04_回帰ANOVA!$K$14*SQRT(1+Y5530)</f>
        <v>1.58249084588329</v>
      </c>
      <c r="AA5530" s="0" t="n">
        <f aca="false">X5530-Z5530</f>
        <v>45.9838331672746</v>
      </c>
      <c r="AB5530" s="0" t="n">
        <f aca="false">X5530+Z5530</f>
        <v>49.1488148590412</v>
      </c>
      <c r="AC5530" s="54" t="b">
        <f aca="false">AND(E5530&gt;=01_因子設定!$L$5-0.000000001,E5530&lt;=01_因子設定!$M$5+0.000000001,F5530&gt;=01_因子設定!$L$6-0.000000001,F5530&lt;=01_因子設定!$M$6+0.000000001,G5530&gt;=01_因子設定!$L$7-0.000000001,G5530&lt;=01_因子設定!$M$7+0.000000001,H5530&gt;=01_因子設定!$L$8-0.000000001,H5530&lt;=01_因子設定!$M$8+0.000000001,IF(01_因子設定!$B$20="Box-Behnken",E5530^2+F5530^2+G5530^2+H5530^2&lt;=2+0.000000001,TRUE()))</f>
        <v>1</v>
      </c>
      <c r="AD5530" s="55" t="n">
        <f aca="false">IF(AC5530,IF(01_因子設定!$B$13="最大化",AA5530-01_因子設定!$B$14,IF(01_因子設定!$B$13="最小化",01_因子設定!$B$15-AB5530,MIN(AA5530-01_因子設定!$B$14,01_因子設定!$B$15-AB5530))),-1E+030)</f>
        <v>-0.516166832725368</v>
      </c>
      <c r="AE5530" s="55" t="n">
        <f aca="false">IF(AC5530,IF(01_因子設定!$B$13="最大化",X5530,IF(01_因子設定!$B$13="最小化",-X5530,-ABS(X5530-01_因子設定!$B$16))),-1E+030)</f>
        <v>47.5663240131579</v>
      </c>
      <c r="AF5530" s="55" t="n">
        <f aca="false">AD5530+ROW()*0.000000001</f>
        <v>-0.516161302725368</v>
      </c>
      <c r="AG5530" s="55" t="n">
        <f aca="false">AE5530+ROW()*0.000000001</f>
        <v>47.5663295431579</v>
      </c>
    </row>
    <row r="5531" customFormat="false" ht="15" hidden="false" customHeight="false" outlineLevel="0" collapsed="false">
      <c r="A5531" s="0" t="n">
        <v>7</v>
      </c>
      <c r="B5531" s="0" t="n">
        <v>5</v>
      </c>
      <c r="C5531" s="0" t="n">
        <v>2</v>
      </c>
      <c r="D5531" s="0" t="n">
        <v>0</v>
      </c>
      <c r="E5531" s="0" t="n">
        <f aca="false">-1+A5531*0.25</f>
        <v>0.75</v>
      </c>
      <c r="F5531" s="0" t="n">
        <f aca="false">-1+B5531*0.25</f>
        <v>0.25</v>
      </c>
      <c r="G5531" s="0" t="n">
        <f aca="false">-1+C5531*0.25</f>
        <v>-0.5</v>
      </c>
      <c r="H5531" s="0" t="n">
        <f aca="false">-1+D5531*0.25</f>
        <v>-1</v>
      </c>
      <c r="I5531" s="0" t="n">
        <f aca="false">1</f>
        <v>1</v>
      </c>
      <c r="J5531" s="0" t="n">
        <f aca="false">E5531</f>
        <v>0.75</v>
      </c>
      <c r="K5531" s="0" t="n">
        <f aca="false">F5531</f>
        <v>0.25</v>
      </c>
      <c r="L5531" s="0" t="n">
        <f aca="false">G5531</f>
        <v>-0.5</v>
      </c>
      <c r="M5531" s="0" t="n">
        <f aca="false">H5531</f>
        <v>-1</v>
      </c>
      <c r="N5531" s="0" t="n">
        <f aca="false">E5531*F5531</f>
        <v>0.1875</v>
      </c>
      <c r="O5531" s="0" t="n">
        <f aca="false">E5531*G5531</f>
        <v>-0.375</v>
      </c>
      <c r="P5531" s="0" t="n">
        <f aca="false">E5531*H5531</f>
        <v>-0.75</v>
      </c>
      <c r="Q5531" s="0" t="n">
        <f aca="false">F5531*G5531</f>
        <v>-0.125</v>
      </c>
      <c r="R5531" s="0" t="n">
        <f aca="false">F5531*H5531</f>
        <v>-0.25</v>
      </c>
      <c r="S5531" s="0" t="n">
        <f aca="false">G5531*H5531</f>
        <v>0.5</v>
      </c>
      <c r="T5531" s="0" t="n">
        <f aca="false">E5531*E5531</f>
        <v>0.5625</v>
      </c>
      <c r="U5531" s="0" t="n">
        <f aca="false">F5531*F5531</f>
        <v>0.0625</v>
      </c>
      <c r="V5531" s="0" t="n">
        <f aca="false">G5531*G5531</f>
        <v>0.25</v>
      </c>
      <c r="W5531" s="0" t="n">
        <f aca="false">H5531*H5531</f>
        <v>1</v>
      </c>
      <c r="X5531" s="0" t="n">
        <f aca="false">SUMPRODUCT(I5531:W5531,_XtX!$B$96:$P$96)</f>
        <v>47.3900950292398</v>
      </c>
      <c r="Y5531" s="0" t="n">
        <f aca="false">SUMPRODUCT(MMULT(I5531:W5531,_XtX!$B$78:$P$92),I5531:W5531)</f>
        <v>0.459125719572369</v>
      </c>
      <c r="Z5531" s="0" t="n">
        <f aca="false">04_回帰ANOVA!$K$19*04_回帰ANOVA!$K$14*SQRT(1+Y5531)</f>
        <v>1.57450755575573</v>
      </c>
      <c r="AA5531" s="0" t="n">
        <f aca="false">X5531-Z5531</f>
        <v>45.8155874734841</v>
      </c>
      <c r="AB5531" s="0" t="n">
        <f aca="false">X5531+Z5531</f>
        <v>48.9646025849955</v>
      </c>
      <c r="AC5531" s="54" t="b">
        <f aca="false">AND(E5531&gt;=01_因子設定!$L$5-0.000000001,E5531&lt;=01_因子設定!$M$5+0.000000001,F5531&gt;=01_因子設定!$L$6-0.000000001,F5531&lt;=01_因子設定!$M$6+0.000000001,G5531&gt;=01_因子設定!$L$7-0.000000001,G5531&lt;=01_因子設定!$M$7+0.000000001,H5531&gt;=01_因子設定!$L$8-0.000000001,H5531&lt;=01_因子設定!$M$8+0.000000001,IF(01_因子設定!$B$20="Box-Behnken",E5531^2+F5531^2+G5531^2+H5531^2&lt;=2+0.000000001,TRUE()))</f>
        <v>1</v>
      </c>
      <c r="AD5531" s="55" t="n">
        <f aca="false">IF(AC5531,IF(01_因子設定!$B$13="最大化",AA5531-01_因子設定!$B$14,IF(01_因子設定!$B$13="最小化",01_因子設定!$B$15-AB5531,MIN(AA5531-01_因子設定!$B$14,01_因子設定!$B$15-AB5531))),-1E+030)</f>
        <v>-0.684412526515942</v>
      </c>
      <c r="AE5531" s="55" t="n">
        <f aca="false">IF(AC5531,IF(01_因子設定!$B$13="最大化",X5531,IF(01_因子設定!$B$13="最小化",-X5531,-ABS(X5531-01_因子設定!$B$16))),-1E+030)</f>
        <v>47.3900950292398</v>
      </c>
      <c r="AF5531" s="55" t="n">
        <f aca="false">AD5531+ROW()*0.000000001</f>
        <v>-0.684406995515942</v>
      </c>
      <c r="AG5531" s="55" t="n">
        <f aca="false">AE5531+ROW()*0.000000001</f>
        <v>47.3901005602398</v>
      </c>
    </row>
    <row r="5532" customFormat="false" ht="15" hidden="false" customHeight="false" outlineLevel="0" collapsed="false">
      <c r="A5532" s="0" t="n">
        <v>7</v>
      </c>
      <c r="B5532" s="0" t="n">
        <v>5</v>
      </c>
      <c r="C5532" s="0" t="n">
        <v>2</v>
      </c>
      <c r="D5532" s="0" t="n">
        <v>1</v>
      </c>
      <c r="E5532" s="0" t="n">
        <f aca="false">-1+A5532*0.25</f>
        <v>0.75</v>
      </c>
      <c r="F5532" s="0" t="n">
        <f aca="false">-1+B5532*0.25</f>
        <v>0.25</v>
      </c>
      <c r="G5532" s="0" t="n">
        <f aca="false">-1+C5532*0.25</f>
        <v>-0.5</v>
      </c>
      <c r="H5532" s="0" t="n">
        <f aca="false">-1+D5532*0.25</f>
        <v>-0.75</v>
      </c>
      <c r="I5532" s="0" t="n">
        <f aca="false">1</f>
        <v>1</v>
      </c>
      <c r="J5532" s="0" t="n">
        <f aca="false">E5532</f>
        <v>0.75</v>
      </c>
      <c r="K5532" s="0" t="n">
        <f aca="false">F5532</f>
        <v>0.25</v>
      </c>
      <c r="L5532" s="0" t="n">
        <f aca="false">G5532</f>
        <v>-0.5</v>
      </c>
      <c r="M5532" s="0" t="n">
        <f aca="false">H5532</f>
        <v>-0.75</v>
      </c>
      <c r="N5532" s="0" t="n">
        <f aca="false">E5532*F5532</f>
        <v>0.1875</v>
      </c>
      <c r="O5532" s="0" t="n">
        <f aca="false">E5532*G5532</f>
        <v>-0.375</v>
      </c>
      <c r="P5532" s="0" t="n">
        <f aca="false">E5532*H5532</f>
        <v>-0.5625</v>
      </c>
      <c r="Q5532" s="0" t="n">
        <f aca="false">F5532*G5532</f>
        <v>-0.125</v>
      </c>
      <c r="R5532" s="0" t="n">
        <f aca="false">F5532*H5532</f>
        <v>-0.1875</v>
      </c>
      <c r="S5532" s="0" t="n">
        <f aca="false">G5532*H5532</f>
        <v>0.375</v>
      </c>
      <c r="T5532" s="0" t="n">
        <f aca="false">E5532*E5532</f>
        <v>0.5625</v>
      </c>
      <c r="U5532" s="0" t="n">
        <f aca="false">F5532*F5532</f>
        <v>0.0625</v>
      </c>
      <c r="V5532" s="0" t="n">
        <f aca="false">G5532*G5532</f>
        <v>0.25</v>
      </c>
      <c r="W5532" s="0" t="n">
        <f aca="false">H5532*H5532</f>
        <v>0.5625</v>
      </c>
      <c r="X5532" s="0" t="n">
        <f aca="false">SUMPRODUCT(I5532:W5532,_XtX!$B$96:$P$96)</f>
        <v>47.6330272295322</v>
      </c>
      <c r="Y5532" s="0" t="n">
        <f aca="false">SUMPRODUCT(MMULT(I5532:W5532,_XtX!$B$78:$P$92),I5532:W5532)</f>
        <v>0.257385610836988</v>
      </c>
      <c r="Z5532" s="0" t="n">
        <f aca="false">04_回帰ANOVA!$K$19*04_回帰ANOVA!$K$14*SQRT(1+Y5532)</f>
        <v>1.46161380324158</v>
      </c>
      <c r="AA5532" s="0" t="n">
        <f aca="false">X5532-Z5532</f>
        <v>46.1714134262906</v>
      </c>
      <c r="AB5532" s="0" t="n">
        <f aca="false">X5532+Z5532</f>
        <v>49.0946410327738</v>
      </c>
      <c r="AC5532" s="54" t="b">
        <f aca="false">AND(E5532&gt;=01_因子設定!$L$5-0.000000001,E5532&lt;=01_因子設定!$M$5+0.000000001,F5532&gt;=01_因子設定!$L$6-0.000000001,F5532&lt;=01_因子設定!$M$6+0.000000001,G5532&gt;=01_因子設定!$L$7-0.000000001,G5532&lt;=01_因子設定!$M$7+0.000000001,H5532&gt;=01_因子設定!$L$8-0.000000001,H5532&lt;=01_因子設定!$M$8+0.000000001,IF(01_因子設定!$B$20="Box-Behnken",E5532^2+F5532^2+G5532^2+H5532^2&lt;=2+0.000000001,TRUE()))</f>
        <v>1</v>
      </c>
      <c r="AD5532" s="55" t="n">
        <f aca="false">IF(AC5532,IF(01_因子設定!$B$13="最大化",AA5532-01_因子設定!$B$14,IF(01_因子設定!$B$13="最小化",01_因子設定!$B$15-AB5532,MIN(AA5532-01_因子設定!$B$14,01_因子設定!$B$15-AB5532))),-1E+030)</f>
        <v>-0.328586573709416</v>
      </c>
      <c r="AE5532" s="55" t="n">
        <f aca="false">IF(AC5532,IF(01_因子設定!$B$13="最大化",X5532,IF(01_因子設定!$B$13="最小化",-X5532,-ABS(X5532-01_因子設定!$B$16))),-1E+030)</f>
        <v>47.6330272295322</v>
      </c>
      <c r="AF5532" s="55" t="n">
        <f aca="false">AD5532+ROW()*0.000000001</f>
        <v>-0.328581041709416</v>
      </c>
      <c r="AG5532" s="55" t="n">
        <f aca="false">AE5532+ROW()*0.000000001</f>
        <v>47.6330327615322</v>
      </c>
    </row>
    <row r="5533" customFormat="false" ht="15" hidden="false" customHeight="false" outlineLevel="0" collapsed="false">
      <c r="A5533" s="0" t="n">
        <v>7</v>
      </c>
      <c r="B5533" s="0" t="n">
        <v>5</v>
      </c>
      <c r="C5533" s="0" t="n">
        <v>2</v>
      </c>
      <c r="D5533" s="0" t="n">
        <v>2</v>
      </c>
      <c r="E5533" s="0" t="n">
        <f aca="false">-1+A5533*0.25</f>
        <v>0.75</v>
      </c>
      <c r="F5533" s="0" t="n">
        <f aca="false">-1+B5533*0.25</f>
        <v>0.25</v>
      </c>
      <c r="G5533" s="0" t="n">
        <f aca="false">-1+C5533*0.25</f>
        <v>-0.5</v>
      </c>
      <c r="H5533" s="0" t="n">
        <f aca="false">-1+D5533*0.25</f>
        <v>-0.5</v>
      </c>
      <c r="I5533" s="0" t="n">
        <f aca="false">1</f>
        <v>1</v>
      </c>
      <c r="J5533" s="0" t="n">
        <f aca="false">E5533</f>
        <v>0.75</v>
      </c>
      <c r="K5533" s="0" t="n">
        <f aca="false">F5533</f>
        <v>0.25</v>
      </c>
      <c r="L5533" s="0" t="n">
        <f aca="false">G5533</f>
        <v>-0.5</v>
      </c>
      <c r="M5533" s="0" t="n">
        <f aca="false">H5533</f>
        <v>-0.5</v>
      </c>
      <c r="N5533" s="0" t="n">
        <f aca="false">E5533*F5533</f>
        <v>0.1875</v>
      </c>
      <c r="O5533" s="0" t="n">
        <f aca="false">E5533*G5533</f>
        <v>-0.375</v>
      </c>
      <c r="P5533" s="0" t="n">
        <f aca="false">E5533*H5533</f>
        <v>-0.375</v>
      </c>
      <c r="Q5533" s="0" t="n">
        <f aca="false">F5533*G5533</f>
        <v>-0.125</v>
      </c>
      <c r="R5533" s="0" t="n">
        <f aca="false">F5533*H5533</f>
        <v>-0.125</v>
      </c>
      <c r="S5533" s="0" t="n">
        <f aca="false">G5533*H5533</f>
        <v>0.25</v>
      </c>
      <c r="T5533" s="0" t="n">
        <f aca="false">E5533*E5533</f>
        <v>0.5625</v>
      </c>
      <c r="U5533" s="0" t="n">
        <f aca="false">F5533*F5533</f>
        <v>0.0625</v>
      </c>
      <c r="V5533" s="0" t="n">
        <f aca="false">G5533*G5533</f>
        <v>0.25</v>
      </c>
      <c r="W5533" s="0" t="n">
        <f aca="false">H5533*H5533</f>
        <v>0.25</v>
      </c>
      <c r="X5533" s="0" t="n">
        <f aca="false">SUMPRODUCT(I5533:W5533,_XtX!$B$96:$P$96)</f>
        <v>47.8281524122807</v>
      </c>
      <c r="Y5533" s="0" t="n">
        <f aca="false">SUMPRODUCT(MMULT(I5533:W5533,_XtX!$B$78:$P$92),I5533:W5533)</f>
        <v>0.203746059484649</v>
      </c>
      <c r="Z5533" s="0" t="n">
        <f aca="false">04_回帰ANOVA!$K$19*04_回帰ANOVA!$K$14*SQRT(1+Y5533)</f>
        <v>1.43009810755465</v>
      </c>
      <c r="AA5533" s="0" t="n">
        <f aca="false">X5533-Z5533</f>
        <v>46.398054304726</v>
      </c>
      <c r="AB5533" s="0" t="n">
        <f aca="false">X5533+Z5533</f>
        <v>49.2582505198353</v>
      </c>
      <c r="AC5533" s="54" t="b">
        <f aca="false">AND(E5533&gt;=01_因子設定!$L$5-0.000000001,E5533&lt;=01_因子設定!$M$5+0.000000001,F5533&gt;=01_因子設定!$L$6-0.000000001,F5533&lt;=01_因子設定!$M$6+0.000000001,G5533&gt;=01_因子設定!$L$7-0.000000001,G5533&lt;=01_因子設定!$M$7+0.000000001,H5533&gt;=01_因子設定!$L$8-0.000000001,H5533&lt;=01_因子設定!$M$8+0.000000001,IF(01_因子設定!$B$20="Box-Behnken",E5533^2+F5533^2+G5533^2+H5533^2&lt;=2+0.000000001,TRUE()))</f>
        <v>1</v>
      </c>
      <c r="AD5533" s="55" t="n">
        <f aca="false">IF(AC5533,IF(01_因子設定!$B$13="最大化",AA5533-01_因子設定!$B$14,IF(01_因子設定!$B$13="最小化",01_因子設定!$B$15-AB5533,MIN(AA5533-01_因子設定!$B$14,01_因子設定!$B$15-AB5533))),-1E+030)</f>
        <v>-0.101945695273955</v>
      </c>
      <c r="AE5533" s="55" t="n">
        <f aca="false">IF(AC5533,IF(01_因子設定!$B$13="最大化",X5533,IF(01_因子設定!$B$13="最小化",-X5533,-ABS(X5533-01_因子設定!$B$16))),-1E+030)</f>
        <v>47.8281524122807</v>
      </c>
      <c r="AF5533" s="55" t="n">
        <f aca="false">AD5533+ROW()*0.000000001</f>
        <v>-0.101940162273955</v>
      </c>
      <c r="AG5533" s="55" t="n">
        <f aca="false">AE5533+ROW()*0.000000001</f>
        <v>47.8281579452807</v>
      </c>
    </row>
    <row r="5534" customFormat="false" ht="15" hidden="false" customHeight="false" outlineLevel="0" collapsed="false">
      <c r="A5534" s="0" t="n">
        <v>7</v>
      </c>
      <c r="B5534" s="0" t="n">
        <v>5</v>
      </c>
      <c r="C5534" s="0" t="n">
        <v>2</v>
      </c>
      <c r="D5534" s="0" t="n">
        <v>3</v>
      </c>
      <c r="E5534" s="0" t="n">
        <f aca="false">-1+A5534*0.25</f>
        <v>0.75</v>
      </c>
      <c r="F5534" s="0" t="n">
        <f aca="false">-1+B5534*0.25</f>
        <v>0.25</v>
      </c>
      <c r="G5534" s="0" t="n">
        <f aca="false">-1+C5534*0.25</f>
        <v>-0.5</v>
      </c>
      <c r="H5534" s="0" t="n">
        <f aca="false">-1+D5534*0.25</f>
        <v>-0.25</v>
      </c>
      <c r="I5534" s="0" t="n">
        <f aca="false">1</f>
        <v>1</v>
      </c>
      <c r="J5534" s="0" t="n">
        <f aca="false">E5534</f>
        <v>0.75</v>
      </c>
      <c r="K5534" s="0" t="n">
        <f aca="false">F5534</f>
        <v>0.25</v>
      </c>
      <c r="L5534" s="0" t="n">
        <f aca="false">G5534</f>
        <v>-0.5</v>
      </c>
      <c r="M5534" s="0" t="n">
        <f aca="false">H5534</f>
        <v>-0.25</v>
      </c>
      <c r="N5534" s="0" t="n">
        <f aca="false">E5534*F5534</f>
        <v>0.1875</v>
      </c>
      <c r="O5534" s="0" t="n">
        <f aca="false">E5534*G5534</f>
        <v>-0.375</v>
      </c>
      <c r="P5534" s="0" t="n">
        <f aca="false">E5534*H5534</f>
        <v>-0.1875</v>
      </c>
      <c r="Q5534" s="0" t="n">
        <f aca="false">F5534*G5534</f>
        <v>-0.125</v>
      </c>
      <c r="R5534" s="0" t="n">
        <f aca="false">F5534*H5534</f>
        <v>-0.0625</v>
      </c>
      <c r="S5534" s="0" t="n">
        <f aca="false">G5534*H5534</f>
        <v>0.125</v>
      </c>
      <c r="T5534" s="0" t="n">
        <f aca="false">E5534*E5534</f>
        <v>0.5625</v>
      </c>
      <c r="U5534" s="0" t="n">
        <f aca="false">F5534*F5534</f>
        <v>0.0625</v>
      </c>
      <c r="V5534" s="0" t="n">
        <f aca="false">G5534*G5534</f>
        <v>0.25</v>
      </c>
      <c r="W5534" s="0" t="n">
        <f aca="false">H5534*H5534</f>
        <v>0.0625</v>
      </c>
      <c r="X5534" s="0" t="n">
        <f aca="false">SUMPRODUCT(I5534:W5534,_XtX!$B$96:$P$96)</f>
        <v>47.9754705774854</v>
      </c>
      <c r="Y5534" s="0" t="n">
        <f aca="false">SUMPRODUCT(MMULT(I5534:W5534,_XtX!$B$78:$P$92),I5534:W5534)</f>
        <v>0.207746539199561</v>
      </c>
      <c r="Z5534" s="0" t="n">
        <f aca="false">04_回帰ANOVA!$K$19*04_回帰ANOVA!$K$14*SQRT(1+Y5534)</f>
        <v>1.43247250081141</v>
      </c>
      <c r="AA5534" s="0" t="n">
        <f aca="false">X5534-Z5534</f>
        <v>46.542998076674</v>
      </c>
      <c r="AB5534" s="0" t="n">
        <f aca="false">X5534+Z5534</f>
        <v>49.4079430782968</v>
      </c>
      <c r="AC5534" s="54" t="b">
        <f aca="false">AND(E5534&gt;=01_因子設定!$L$5-0.000000001,E5534&lt;=01_因子設定!$M$5+0.000000001,F5534&gt;=01_因子設定!$L$6-0.000000001,F5534&lt;=01_因子設定!$M$6+0.000000001,G5534&gt;=01_因子設定!$L$7-0.000000001,G5534&lt;=01_因子設定!$M$7+0.000000001,H5534&gt;=01_因子設定!$L$8-0.000000001,H5534&lt;=01_因子設定!$M$8+0.000000001,IF(01_因子設定!$B$20="Box-Behnken",E5534^2+F5534^2+G5534^2+H5534^2&lt;=2+0.000000001,TRUE()))</f>
        <v>1</v>
      </c>
      <c r="AD5534" s="55" t="n">
        <f aca="false">IF(AC5534,IF(01_因子設定!$B$13="最大化",AA5534-01_因子設定!$B$14,IF(01_因子設定!$B$13="最小化",01_因子設定!$B$15-AB5534,MIN(AA5534-01_因子設定!$B$14,01_因子設定!$B$15-AB5534))),-1E+030)</f>
        <v>0.0429980766739604</v>
      </c>
      <c r="AE5534" s="55" t="n">
        <f aca="false">IF(AC5534,IF(01_因子設定!$B$13="最大化",X5534,IF(01_因子設定!$B$13="最小化",-X5534,-ABS(X5534-01_因子設定!$B$16))),-1E+030)</f>
        <v>47.9754705774854</v>
      </c>
      <c r="AF5534" s="55" t="n">
        <f aca="false">AD5534+ROW()*0.000000001</f>
        <v>0.0430036106739604</v>
      </c>
      <c r="AG5534" s="55" t="n">
        <f aca="false">AE5534+ROW()*0.000000001</f>
        <v>47.9754761114854</v>
      </c>
    </row>
    <row r="5535" customFormat="false" ht="15" hidden="false" customHeight="false" outlineLevel="0" collapsed="false">
      <c r="A5535" s="0" t="n">
        <v>7</v>
      </c>
      <c r="B5535" s="0" t="n">
        <v>5</v>
      </c>
      <c r="C5535" s="0" t="n">
        <v>2</v>
      </c>
      <c r="D5535" s="0" t="n">
        <v>4</v>
      </c>
      <c r="E5535" s="0" t="n">
        <f aca="false">-1+A5535*0.25</f>
        <v>0.75</v>
      </c>
      <c r="F5535" s="0" t="n">
        <f aca="false">-1+B5535*0.25</f>
        <v>0.25</v>
      </c>
      <c r="G5535" s="0" t="n">
        <f aca="false">-1+C5535*0.25</f>
        <v>-0.5</v>
      </c>
      <c r="H5535" s="0" t="n">
        <f aca="false">-1+D5535*0.25</f>
        <v>0</v>
      </c>
      <c r="I5535" s="0" t="n">
        <f aca="false">1</f>
        <v>1</v>
      </c>
      <c r="J5535" s="0" t="n">
        <f aca="false">E5535</f>
        <v>0.75</v>
      </c>
      <c r="K5535" s="0" t="n">
        <f aca="false">F5535</f>
        <v>0.25</v>
      </c>
      <c r="L5535" s="0" t="n">
        <f aca="false">G5535</f>
        <v>-0.5</v>
      </c>
      <c r="M5535" s="0" t="n">
        <f aca="false">H5535</f>
        <v>0</v>
      </c>
      <c r="N5535" s="0" t="n">
        <f aca="false">E5535*F5535</f>
        <v>0.1875</v>
      </c>
      <c r="O5535" s="0" t="n">
        <f aca="false">E5535*G5535</f>
        <v>-0.375</v>
      </c>
      <c r="P5535" s="0" t="n">
        <f aca="false">E5535*H5535</f>
        <v>0</v>
      </c>
      <c r="Q5535" s="0" t="n">
        <f aca="false">F5535*G5535</f>
        <v>-0.125</v>
      </c>
      <c r="R5535" s="0" t="n">
        <f aca="false">F5535*H5535</f>
        <v>0</v>
      </c>
      <c r="S5535" s="0" t="n">
        <f aca="false">G5535*H5535</f>
        <v>-0</v>
      </c>
      <c r="T5535" s="0" t="n">
        <f aca="false">E5535*E5535</f>
        <v>0.5625</v>
      </c>
      <c r="U5535" s="0" t="n">
        <f aca="false">F5535*F5535</f>
        <v>0.0625</v>
      </c>
      <c r="V5535" s="0" t="n">
        <f aca="false">G5535*G5535</f>
        <v>0.25</v>
      </c>
      <c r="W5535" s="0" t="n">
        <f aca="false">H5535*H5535</f>
        <v>0</v>
      </c>
      <c r="X5535" s="0" t="n">
        <f aca="false">SUMPRODUCT(I5535:W5535,_XtX!$B$96:$P$96)</f>
        <v>48.0749817251462</v>
      </c>
      <c r="Y5535" s="0" t="n">
        <f aca="false">SUMPRODUCT(MMULT(I5535:W5535,_XtX!$B$78:$P$92),I5535:W5535)</f>
        <v>0.215110734192252</v>
      </c>
      <c r="Z5535" s="0" t="n">
        <f aca="false">04_回帰ANOVA!$K$19*04_回帰ANOVA!$K$14*SQRT(1+Y5535)</f>
        <v>1.43683309086864</v>
      </c>
      <c r="AA5535" s="0" t="n">
        <f aca="false">X5535-Z5535</f>
        <v>46.6381486342775</v>
      </c>
      <c r="AB5535" s="0" t="n">
        <f aca="false">X5535+Z5535</f>
        <v>49.5118148160148</v>
      </c>
      <c r="AC5535" s="54" t="b">
        <f aca="false">AND(E5535&gt;=01_因子設定!$L$5-0.000000001,E5535&lt;=01_因子設定!$M$5+0.000000001,F5535&gt;=01_因子設定!$L$6-0.000000001,F5535&lt;=01_因子設定!$M$6+0.000000001,G5535&gt;=01_因子設定!$L$7-0.000000001,G5535&lt;=01_因子設定!$M$7+0.000000001,H5535&gt;=01_因子設定!$L$8-0.000000001,H5535&lt;=01_因子設定!$M$8+0.000000001,IF(01_因子設定!$B$20="Box-Behnken",E5535^2+F5535^2+G5535^2+H5535^2&lt;=2+0.000000001,TRUE()))</f>
        <v>1</v>
      </c>
      <c r="AD5535" s="55" t="n">
        <f aca="false">IF(AC5535,IF(01_因子設定!$B$13="最大化",AA5535-01_因子設定!$B$14,IF(01_因子設定!$B$13="最小化",01_因子設定!$B$15-AB5535,MIN(AA5535-01_因子設定!$B$14,01_因子設定!$B$15-AB5535))),-1E+030)</f>
        <v>0.138148634277542</v>
      </c>
      <c r="AE5535" s="55" t="n">
        <f aca="false">IF(AC5535,IF(01_因子設定!$B$13="最大化",X5535,IF(01_因子設定!$B$13="最小化",-X5535,-ABS(X5535-01_因子設定!$B$16))),-1E+030)</f>
        <v>48.0749817251462</v>
      </c>
      <c r="AF5535" s="55" t="n">
        <f aca="false">AD5535+ROW()*0.000000001</f>
        <v>0.138154169277542</v>
      </c>
      <c r="AG5535" s="55" t="n">
        <f aca="false">AE5535+ROW()*0.000000001</f>
        <v>48.0749872601462</v>
      </c>
    </row>
    <row r="5536" customFormat="false" ht="15" hidden="false" customHeight="false" outlineLevel="0" collapsed="false">
      <c r="A5536" s="0" t="n">
        <v>7</v>
      </c>
      <c r="B5536" s="0" t="n">
        <v>5</v>
      </c>
      <c r="C5536" s="0" t="n">
        <v>2</v>
      </c>
      <c r="D5536" s="0" t="n">
        <v>5</v>
      </c>
      <c r="E5536" s="0" t="n">
        <f aca="false">-1+A5536*0.25</f>
        <v>0.75</v>
      </c>
      <c r="F5536" s="0" t="n">
        <f aca="false">-1+B5536*0.25</f>
        <v>0.25</v>
      </c>
      <c r="G5536" s="0" t="n">
        <f aca="false">-1+C5536*0.25</f>
        <v>-0.5</v>
      </c>
      <c r="H5536" s="0" t="n">
        <f aca="false">-1+D5536*0.25</f>
        <v>0.25</v>
      </c>
      <c r="I5536" s="0" t="n">
        <f aca="false">1</f>
        <v>1</v>
      </c>
      <c r="J5536" s="0" t="n">
        <f aca="false">E5536</f>
        <v>0.75</v>
      </c>
      <c r="K5536" s="0" t="n">
        <f aca="false">F5536</f>
        <v>0.25</v>
      </c>
      <c r="L5536" s="0" t="n">
        <f aca="false">G5536</f>
        <v>-0.5</v>
      </c>
      <c r="M5536" s="0" t="n">
        <f aca="false">H5536</f>
        <v>0.25</v>
      </c>
      <c r="N5536" s="0" t="n">
        <f aca="false">E5536*F5536</f>
        <v>0.1875</v>
      </c>
      <c r="O5536" s="0" t="n">
        <f aca="false">E5536*G5536</f>
        <v>-0.375</v>
      </c>
      <c r="P5536" s="0" t="n">
        <f aca="false">E5536*H5536</f>
        <v>0.1875</v>
      </c>
      <c r="Q5536" s="0" t="n">
        <f aca="false">F5536*G5536</f>
        <v>-0.125</v>
      </c>
      <c r="R5536" s="0" t="n">
        <f aca="false">F5536*H5536</f>
        <v>0.0625</v>
      </c>
      <c r="S5536" s="0" t="n">
        <f aca="false">G5536*H5536</f>
        <v>-0.125</v>
      </c>
      <c r="T5536" s="0" t="n">
        <f aca="false">E5536*E5536</f>
        <v>0.5625</v>
      </c>
      <c r="U5536" s="0" t="n">
        <f aca="false">F5536*F5536</f>
        <v>0.0625</v>
      </c>
      <c r="V5536" s="0" t="n">
        <f aca="false">G5536*G5536</f>
        <v>0.25</v>
      </c>
      <c r="W5536" s="0" t="n">
        <f aca="false">H5536*H5536</f>
        <v>0.0625</v>
      </c>
      <c r="X5536" s="0" t="n">
        <f aca="false">SUMPRODUCT(I5536:W5536,_XtX!$B$96:$P$96)</f>
        <v>48.1266858552632</v>
      </c>
      <c r="Y5536" s="0" t="n">
        <f aca="false">SUMPRODUCT(MMULT(I5536:W5536,_XtX!$B$78:$P$92),I5536:W5536)</f>
        <v>0.207746539199561</v>
      </c>
      <c r="Z5536" s="0" t="n">
        <f aca="false">04_回帰ANOVA!$K$19*04_回帰ANOVA!$K$14*SQRT(1+Y5536)</f>
        <v>1.43247250081141</v>
      </c>
      <c r="AA5536" s="0" t="n">
        <f aca="false">X5536-Z5536</f>
        <v>46.6942133544517</v>
      </c>
      <c r="AB5536" s="0" t="n">
        <f aca="false">X5536+Z5536</f>
        <v>49.5591583560746</v>
      </c>
      <c r="AC5536" s="54" t="b">
        <f aca="false">AND(E5536&gt;=01_因子設定!$L$5-0.000000001,E5536&lt;=01_因子設定!$M$5+0.000000001,F5536&gt;=01_因子設定!$L$6-0.000000001,F5536&lt;=01_因子設定!$M$6+0.000000001,G5536&gt;=01_因子設定!$L$7-0.000000001,G5536&lt;=01_因子設定!$M$7+0.000000001,H5536&gt;=01_因子設定!$L$8-0.000000001,H5536&lt;=01_因子設定!$M$8+0.000000001,IF(01_因子設定!$B$20="Box-Behnken",E5536^2+F5536^2+G5536^2+H5536^2&lt;=2+0.000000001,TRUE()))</f>
        <v>1</v>
      </c>
      <c r="AD5536" s="55" t="n">
        <f aca="false">IF(AC5536,IF(01_因子設定!$B$13="最大化",AA5536-01_因子設定!$B$14,IF(01_因子設定!$B$13="最小化",01_因子設定!$B$15-AB5536,MIN(AA5536-01_因子設定!$B$14,01_因子設定!$B$15-AB5536))),-1E+030)</f>
        <v>0.19421335445174</v>
      </c>
      <c r="AE5536" s="55" t="n">
        <f aca="false">IF(AC5536,IF(01_因子設定!$B$13="最大化",X5536,IF(01_因子設定!$B$13="最小化",-X5536,-ABS(X5536-01_因子設定!$B$16))),-1E+030)</f>
        <v>48.1266858552632</v>
      </c>
      <c r="AF5536" s="55" t="n">
        <f aca="false">AD5536+ROW()*0.000000001</f>
        <v>0.19421889045174</v>
      </c>
      <c r="AG5536" s="55" t="n">
        <f aca="false">AE5536+ROW()*0.000000001</f>
        <v>48.1266913912632</v>
      </c>
    </row>
    <row r="5537" customFormat="false" ht="15" hidden="false" customHeight="false" outlineLevel="0" collapsed="false">
      <c r="A5537" s="0" t="n">
        <v>7</v>
      </c>
      <c r="B5537" s="0" t="n">
        <v>5</v>
      </c>
      <c r="C5537" s="0" t="n">
        <v>2</v>
      </c>
      <c r="D5537" s="0" t="n">
        <v>6</v>
      </c>
      <c r="E5537" s="0" t="n">
        <f aca="false">-1+A5537*0.25</f>
        <v>0.75</v>
      </c>
      <c r="F5537" s="0" t="n">
        <f aca="false">-1+B5537*0.25</f>
        <v>0.25</v>
      </c>
      <c r="G5537" s="0" t="n">
        <f aca="false">-1+C5537*0.25</f>
        <v>-0.5</v>
      </c>
      <c r="H5537" s="0" t="n">
        <f aca="false">-1+D5537*0.25</f>
        <v>0.5</v>
      </c>
      <c r="I5537" s="0" t="n">
        <f aca="false">1</f>
        <v>1</v>
      </c>
      <c r="J5537" s="0" t="n">
        <f aca="false">E5537</f>
        <v>0.75</v>
      </c>
      <c r="K5537" s="0" t="n">
        <f aca="false">F5537</f>
        <v>0.25</v>
      </c>
      <c r="L5537" s="0" t="n">
        <f aca="false">G5537</f>
        <v>-0.5</v>
      </c>
      <c r="M5537" s="0" t="n">
        <f aca="false">H5537</f>
        <v>0.5</v>
      </c>
      <c r="N5537" s="0" t="n">
        <f aca="false">E5537*F5537</f>
        <v>0.1875</v>
      </c>
      <c r="O5537" s="0" t="n">
        <f aca="false">E5537*G5537</f>
        <v>-0.375</v>
      </c>
      <c r="P5537" s="0" t="n">
        <f aca="false">E5537*H5537</f>
        <v>0.375</v>
      </c>
      <c r="Q5537" s="0" t="n">
        <f aca="false">F5537*G5537</f>
        <v>-0.125</v>
      </c>
      <c r="R5537" s="0" t="n">
        <f aca="false">F5537*H5537</f>
        <v>0.125</v>
      </c>
      <c r="S5537" s="0" t="n">
        <f aca="false">G5537*H5537</f>
        <v>-0.25</v>
      </c>
      <c r="T5537" s="0" t="n">
        <f aca="false">E5537*E5537</f>
        <v>0.5625</v>
      </c>
      <c r="U5537" s="0" t="n">
        <f aca="false">F5537*F5537</f>
        <v>0.0625</v>
      </c>
      <c r="V5537" s="0" t="n">
        <f aca="false">G5537*G5537</f>
        <v>0.25</v>
      </c>
      <c r="W5537" s="0" t="n">
        <f aca="false">H5537*H5537</f>
        <v>0.25</v>
      </c>
      <c r="X5537" s="0" t="n">
        <f aca="false">SUMPRODUCT(I5537:W5537,_XtX!$B$96:$P$96)</f>
        <v>48.1305829678363</v>
      </c>
      <c r="Y5537" s="0" t="n">
        <f aca="false">SUMPRODUCT(MMULT(I5537:W5537,_XtX!$B$78:$P$92),I5537:W5537)</f>
        <v>0.203746059484649</v>
      </c>
      <c r="Z5537" s="0" t="n">
        <f aca="false">04_回帰ANOVA!$K$19*04_回帰ANOVA!$K$14*SQRT(1+Y5537)</f>
        <v>1.43009810755465</v>
      </c>
      <c r="AA5537" s="0" t="n">
        <f aca="false">X5537-Z5537</f>
        <v>46.7004848602816</v>
      </c>
      <c r="AB5537" s="0" t="n">
        <f aca="false">X5537+Z5537</f>
        <v>49.5606810753909</v>
      </c>
      <c r="AC5537" s="54" t="b">
        <f aca="false">AND(E5537&gt;=01_因子設定!$L$5-0.000000001,E5537&lt;=01_因子設定!$M$5+0.000000001,F5537&gt;=01_因子設定!$L$6-0.000000001,F5537&lt;=01_因子設定!$M$6+0.000000001,G5537&gt;=01_因子設定!$L$7-0.000000001,G5537&lt;=01_因子設定!$M$7+0.000000001,H5537&gt;=01_因子設定!$L$8-0.000000001,H5537&lt;=01_因子設定!$M$8+0.000000001,IF(01_因子設定!$B$20="Box-Behnken",E5537^2+F5537^2+G5537^2+H5537^2&lt;=2+0.000000001,TRUE()))</f>
        <v>1</v>
      </c>
      <c r="AD5537" s="55" t="n">
        <f aca="false">IF(AC5537,IF(01_因子設定!$B$13="最大化",AA5537-01_因子設定!$B$14,IF(01_因子設定!$B$13="最小化",01_因子設定!$B$15-AB5537,MIN(AA5537-01_因子設定!$B$14,01_因子設定!$B$15-AB5537))),-1E+030)</f>
        <v>0.200484860281605</v>
      </c>
      <c r="AE5537" s="55" t="n">
        <f aca="false">IF(AC5537,IF(01_因子設定!$B$13="最大化",X5537,IF(01_因子設定!$B$13="最小化",-X5537,-ABS(X5537-01_因子設定!$B$16))),-1E+030)</f>
        <v>48.1305829678363</v>
      </c>
      <c r="AF5537" s="55" t="n">
        <f aca="false">AD5537+ROW()*0.000000001</f>
        <v>0.200490397281605</v>
      </c>
      <c r="AG5537" s="55" t="n">
        <f aca="false">AE5537+ROW()*0.000000001</f>
        <v>48.1305885048363</v>
      </c>
    </row>
    <row r="5538" customFormat="false" ht="15" hidden="false" customHeight="false" outlineLevel="0" collapsed="false">
      <c r="A5538" s="0" t="n">
        <v>7</v>
      </c>
      <c r="B5538" s="0" t="n">
        <v>5</v>
      </c>
      <c r="C5538" s="0" t="n">
        <v>2</v>
      </c>
      <c r="D5538" s="0" t="n">
        <v>7</v>
      </c>
      <c r="E5538" s="0" t="n">
        <f aca="false">-1+A5538*0.25</f>
        <v>0.75</v>
      </c>
      <c r="F5538" s="0" t="n">
        <f aca="false">-1+B5538*0.25</f>
        <v>0.25</v>
      </c>
      <c r="G5538" s="0" t="n">
        <f aca="false">-1+C5538*0.25</f>
        <v>-0.5</v>
      </c>
      <c r="H5538" s="0" t="n">
        <f aca="false">-1+D5538*0.25</f>
        <v>0.75</v>
      </c>
      <c r="I5538" s="0" t="n">
        <f aca="false">1</f>
        <v>1</v>
      </c>
      <c r="J5538" s="0" t="n">
        <f aca="false">E5538</f>
        <v>0.75</v>
      </c>
      <c r="K5538" s="0" t="n">
        <f aca="false">F5538</f>
        <v>0.25</v>
      </c>
      <c r="L5538" s="0" t="n">
        <f aca="false">G5538</f>
        <v>-0.5</v>
      </c>
      <c r="M5538" s="0" t="n">
        <f aca="false">H5538</f>
        <v>0.75</v>
      </c>
      <c r="N5538" s="0" t="n">
        <f aca="false">E5538*F5538</f>
        <v>0.1875</v>
      </c>
      <c r="O5538" s="0" t="n">
        <f aca="false">E5538*G5538</f>
        <v>-0.375</v>
      </c>
      <c r="P5538" s="0" t="n">
        <f aca="false">E5538*H5538</f>
        <v>0.5625</v>
      </c>
      <c r="Q5538" s="0" t="n">
        <f aca="false">F5538*G5538</f>
        <v>-0.125</v>
      </c>
      <c r="R5538" s="0" t="n">
        <f aca="false">F5538*H5538</f>
        <v>0.1875</v>
      </c>
      <c r="S5538" s="0" t="n">
        <f aca="false">G5538*H5538</f>
        <v>-0.375</v>
      </c>
      <c r="T5538" s="0" t="n">
        <f aca="false">E5538*E5538</f>
        <v>0.5625</v>
      </c>
      <c r="U5538" s="0" t="n">
        <f aca="false">F5538*F5538</f>
        <v>0.0625</v>
      </c>
      <c r="V5538" s="0" t="n">
        <f aca="false">G5538*G5538</f>
        <v>0.25</v>
      </c>
      <c r="W5538" s="0" t="n">
        <f aca="false">H5538*H5538</f>
        <v>0.5625</v>
      </c>
      <c r="X5538" s="0" t="n">
        <f aca="false">SUMPRODUCT(I5538:W5538,_XtX!$B$96:$P$96)</f>
        <v>48.0866730628655</v>
      </c>
      <c r="Y5538" s="0" t="n">
        <f aca="false">SUMPRODUCT(MMULT(I5538:W5538,_XtX!$B$78:$P$92),I5538:W5538)</f>
        <v>0.257385610836988</v>
      </c>
      <c r="Z5538" s="0" t="n">
        <f aca="false">04_回帰ANOVA!$K$19*04_回帰ANOVA!$K$14*SQRT(1+Y5538)</f>
        <v>1.46161380324158</v>
      </c>
      <c r="AA5538" s="0" t="n">
        <f aca="false">X5538-Z5538</f>
        <v>46.6250592596239</v>
      </c>
      <c r="AB5538" s="0" t="n">
        <f aca="false">X5538+Z5538</f>
        <v>49.5482868661071</v>
      </c>
      <c r="AC5538" s="54" t="b">
        <f aca="false">AND(E5538&gt;=01_因子設定!$L$5-0.000000001,E5538&lt;=01_因子設定!$M$5+0.000000001,F5538&gt;=01_因子設定!$L$6-0.000000001,F5538&lt;=01_因子設定!$M$6+0.000000001,G5538&gt;=01_因子設定!$L$7-0.000000001,G5538&lt;=01_因子設定!$M$7+0.000000001,H5538&gt;=01_因子設定!$L$8-0.000000001,H5538&lt;=01_因子設定!$M$8+0.000000001,IF(01_因子設定!$B$20="Box-Behnken",E5538^2+F5538^2+G5538^2+H5538^2&lt;=2+0.000000001,TRUE()))</f>
        <v>1</v>
      </c>
      <c r="AD5538" s="55" t="n">
        <f aca="false">IF(AC5538,IF(01_因子設定!$B$13="最大化",AA5538-01_因子設定!$B$14,IF(01_因子設定!$B$13="最小化",01_因子設定!$B$15-AB5538,MIN(AA5538-01_因子設定!$B$14,01_因子設定!$B$15-AB5538))),-1E+030)</f>
        <v>0.125059259623917</v>
      </c>
      <c r="AE5538" s="55" t="n">
        <f aca="false">IF(AC5538,IF(01_因子設定!$B$13="最大化",X5538,IF(01_因子設定!$B$13="最小化",-X5538,-ABS(X5538-01_因子設定!$B$16))),-1E+030)</f>
        <v>48.0866730628655</v>
      </c>
      <c r="AF5538" s="55" t="n">
        <f aca="false">AD5538+ROW()*0.000000001</f>
        <v>0.125064797623917</v>
      </c>
      <c r="AG5538" s="55" t="n">
        <f aca="false">AE5538+ROW()*0.000000001</f>
        <v>48.0866786008655</v>
      </c>
    </row>
    <row r="5539" customFormat="false" ht="15" hidden="false" customHeight="false" outlineLevel="0" collapsed="false">
      <c r="A5539" s="0" t="n">
        <v>7</v>
      </c>
      <c r="B5539" s="0" t="n">
        <v>5</v>
      </c>
      <c r="C5539" s="0" t="n">
        <v>2</v>
      </c>
      <c r="D5539" s="0" t="n">
        <v>8</v>
      </c>
      <c r="E5539" s="0" t="n">
        <f aca="false">-1+A5539*0.25</f>
        <v>0.75</v>
      </c>
      <c r="F5539" s="0" t="n">
        <f aca="false">-1+B5539*0.25</f>
        <v>0.25</v>
      </c>
      <c r="G5539" s="0" t="n">
        <f aca="false">-1+C5539*0.25</f>
        <v>-0.5</v>
      </c>
      <c r="H5539" s="0" t="n">
        <f aca="false">-1+D5539*0.25</f>
        <v>1</v>
      </c>
      <c r="I5539" s="0" t="n">
        <f aca="false">1</f>
        <v>1</v>
      </c>
      <c r="J5539" s="0" t="n">
        <f aca="false">E5539</f>
        <v>0.75</v>
      </c>
      <c r="K5539" s="0" t="n">
        <f aca="false">F5539</f>
        <v>0.25</v>
      </c>
      <c r="L5539" s="0" t="n">
        <f aca="false">G5539</f>
        <v>-0.5</v>
      </c>
      <c r="M5539" s="0" t="n">
        <f aca="false">H5539</f>
        <v>1</v>
      </c>
      <c r="N5539" s="0" t="n">
        <f aca="false">E5539*F5539</f>
        <v>0.1875</v>
      </c>
      <c r="O5539" s="0" t="n">
        <f aca="false">E5539*G5539</f>
        <v>-0.375</v>
      </c>
      <c r="P5539" s="0" t="n">
        <f aca="false">E5539*H5539</f>
        <v>0.75</v>
      </c>
      <c r="Q5539" s="0" t="n">
        <f aca="false">F5539*G5539</f>
        <v>-0.125</v>
      </c>
      <c r="R5539" s="0" t="n">
        <f aca="false">F5539*H5539</f>
        <v>0.25</v>
      </c>
      <c r="S5539" s="0" t="n">
        <f aca="false">G5539*H5539</f>
        <v>-0.5</v>
      </c>
      <c r="T5539" s="0" t="n">
        <f aca="false">E5539*E5539</f>
        <v>0.5625</v>
      </c>
      <c r="U5539" s="0" t="n">
        <f aca="false">F5539*F5539</f>
        <v>0.0625</v>
      </c>
      <c r="V5539" s="0" t="n">
        <f aca="false">G5539*G5539</f>
        <v>0.25</v>
      </c>
      <c r="W5539" s="0" t="n">
        <f aca="false">H5539*H5539</f>
        <v>1</v>
      </c>
      <c r="X5539" s="0" t="n">
        <f aca="false">SUMPRODUCT(I5539:W5539,_XtX!$B$96:$P$96)</f>
        <v>47.9949561403509</v>
      </c>
      <c r="Y5539" s="0" t="n">
        <f aca="false">SUMPRODUCT(MMULT(I5539:W5539,_XtX!$B$78:$P$92),I5539:W5539)</f>
        <v>0.459125719572369</v>
      </c>
      <c r="Z5539" s="0" t="n">
        <f aca="false">04_回帰ANOVA!$K$19*04_回帰ANOVA!$K$14*SQRT(1+Y5539)</f>
        <v>1.57450755575573</v>
      </c>
      <c r="AA5539" s="0" t="n">
        <f aca="false">X5539-Z5539</f>
        <v>46.4204485845952</v>
      </c>
      <c r="AB5539" s="0" t="n">
        <f aca="false">X5539+Z5539</f>
        <v>49.5694636961066</v>
      </c>
      <c r="AC5539" s="54" t="b">
        <f aca="false">AND(E5539&gt;=01_因子設定!$L$5-0.000000001,E5539&lt;=01_因子設定!$M$5+0.000000001,F5539&gt;=01_因子設定!$L$6-0.000000001,F5539&lt;=01_因子設定!$M$6+0.000000001,G5539&gt;=01_因子設定!$L$7-0.000000001,G5539&lt;=01_因子設定!$M$7+0.000000001,H5539&gt;=01_因子設定!$L$8-0.000000001,H5539&lt;=01_因子設定!$M$8+0.000000001,IF(01_因子設定!$B$20="Box-Behnken",E5539^2+F5539^2+G5539^2+H5539^2&lt;=2+0.000000001,TRUE()))</f>
        <v>1</v>
      </c>
      <c r="AD5539" s="55" t="n">
        <f aca="false">IF(AC5539,IF(01_因子設定!$B$13="最大化",AA5539-01_因子設定!$B$14,IF(01_因子設定!$B$13="最小化",01_因子設定!$B$15-AB5539,MIN(AA5539-01_因子設定!$B$14,01_因子設定!$B$15-AB5539))),-1E+030)</f>
        <v>-0.0795514154048291</v>
      </c>
      <c r="AE5539" s="55" t="n">
        <f aca="false">IF(AC5539,IF(01_因子設定!$B$13="最大化",X5539,IF(01_因子設定!$B$13="最小化",-X5539,-ABS(X5539-01_因子設定!$B$16))),-1E+030)</f>
        <v>47.9949561403509</v>
      </c>
      <c r="AF5539" s="55" t="n">
        <f aca="false">AD5539+ROW()*0.000000001</f>
        <v>-0.0795458764048291</v>
      </c>
      <c r="AG5539" s="55" t="n">
        <f aca="false">AE5539+ROW()*0.000000001</f>
        <v>47.9949616793509</v>
      </c>
    </row>
    <row r="5540" customFormat="false" ht="15" hidden="false" customHeight="false" outlineLevel="0" collapsed="false">
      <c r="A5540" s="0" t="n">
        <v>7</v>
      </c>
      <c r="B5540" s="0" t="n">
        <v>5</v>
      </c>
      <c r="C5540" s="0" t="n">
        <v>3</v>
      </c>
      <c r="D5540" s="0" t="n">
        <v>0</v>
      </c>
      <c r="E5540" s="0" t="n">
        <f aca="false">-1+A5540*0.25</f>
        <v>0.75</v>
      </c>
      <c r="F5540" s="0" t="n">
        <f aca="false">-1+B5540*0.25</f>
        <v>0.25</v>
      </c>
      <c r="G5540" s="0" t="n">
        <f aca="false">-1+C5540*0.25</f>
        <v>-0.25</v>
      </c>
      <c r="H5540" s="0" t="n">
        <f aca="false">-1+D5540*0.25</f>
        <v>-1</v>
      </c>
      <c r="I5540" s="0" t="n">
        <f aca="false">1</f>
        <v>1</v>
      </c>
      <c r="J5540" s="0" t="n">
        <f aca="false">E5540</f>
        <v>0.75</v>
      </c>
      <c r="K5540" s="0" t="n">
        <f aca="false">F5540</f>
        <v>0.25</v>
      </c>
      <c r="L5540" s="0" t="n">
        <f aca="false">G5540</f>
        <v>-0.25</v>
      </c>
      <c r="M5540" s="0" t="n">
        <f aca="false">H5540</f>
        <v>-1</v>
      </c>
      <c r="N5540" s="0" t="n">
        <f aca="false">E5540*F5540</f>
        <v>0.1875</v>
      </c>
      <c r="O5540" s="0" t="n">
        <f aca="false">E5540*G5540</f>
        <v>-0.1875</v>
      </c>
      <c r="P5540" s="0" t="n">
        <f aca="false">E5540*H5540</f>
        <v>-0.75</v>
      </c>
      <c r="Q5540" s="0" t="n">
        <f aca="false">F5540*G5540</f>
        <v>-0.0625</v>
      </c>
      <c r="R5540" s="0" t="n">
        <f aca="false">F5540*H5540</f>
        <v>-0.25</v>
      </c>
      <c r="S5540" s="0" t="n">
        <f aca="false">G5540*H5540</f>
        <v>0.25</v>
      </c>
      <c r="T5540" s="0" t="n">
        <f aca="false">E5540*E5540</f>
        <v>0.5625</v>
      </c>
      <c r="U5540" s="0" t="n">
        <f aca="false">F5540*F5540</f>
        <v>0.0625</v>
      </c>
      <c r="V5540" s="0" t="n">
        <f aca="false">G5540*G5540</f>
        <v>0.0625</v>
      </c>
      <c r="W5540" s="0" t="n">
        <f aca="false">H5540*H5540</f>
        <v>1</v>
      </c>
      <c r="X5540" s="0" t="n">
        <f aca="false">SUMPRODUCT(I5540:W5540,_XtX!$B$96:$P$96)</f>
        <v>47.5896701388889</v>
      </c>
      <c r="Y5540" s="0" t="n">
        <f aca="false">SUMPRODUCT(MMULT(I5540:W5540,_XtX!$B$78:$P$92),I5540:W5540)</f>
        <v>0.486409505208334</v>
      </c>
      <c r="Z5540" s="0" t="n">
        <f aca="false">04_回帰ANOVA!$K$19*04_回帰ANOVA!$K$14*SQRT(1+Y5540)</f>
        <v>1.58916001665498</v>
      </c>
      <c r="AA5540" s="0" t="n">
        <f aca="false">X5540-Z5540</f>
        <v>46.0005101222339</v>
      </c>
      <c r="AB5540" s="0" t="n">
        <f aca="false">X5540+Z5540</f>
        <v>49.1788301555439</v>
      </c>
      <c r="AC5540" s="54" t="b">
        <f aca="false">AND(E5540&gt;=01_因子設定!$L$5-0.000000001,E5540&lt;=01_因子設定!$M$5+0.000000001,F5540&gt;=01_因子設定!$L$6-0.000000001,F5540&lt;=01_因子設定!$M$6+0.000000001,G5540&gt;=01_因子設定!$L$7-0.000000001,G5540&lt;=01_因子設定!$M$7+0.000000001,H5540&gt;=01_因子設定!$L$8-0.000000001,H5540&lt;=01_因子設定!$M$8+0.000000001,IF(01_因子設定!$B$20="Box-Behnken",E5540^2+F5540^2+G5540^2+H5540^2&lt;=2+0.000000001,TRUE()))</f>
        <v>1</v>
      </c>
      <c r="AD5540" s="55" t="n">
        <f aca="false">IF(AC5540,IF(01_因子設定!$B$13="最大化",AA5540-01_因子設定!$B$14,IF(01_因子設定!$B$13="最小化",01_因子設定!$B$15-AB5540,MIN(AA5540-01_因子設定!$B$14,01_因子設定!$B$15-AB5540))),-1E+030)</f>
        <v>-0.499489877766067</v>
      </c>
      <c r="AE5540" s="55" t="n">
        <f aca="false">IF(AC5540,IF(01_因子設定!$B$13="最大化",X5540,IF(01_因子設定!$B$13="最小化",-X5540,-ABS(X5540-01_因子設定!$B$16))),-1E+030)</f>
        <v>47.5896701388889</v>
      </c>
      <c r="AF5540" s="55" t="n">
        <f aca="false">AD5540+ROW()*0.000000001</f>
        <v>-0.499484337766067</v>
      </c>
      <c r="AG5540" s="55" t="n">
        <f aca="false">AE5540+ROW()*0.000000001</f>
        <v>47.5896756788889</v>
      </c>
    </row>
    <row r="5541" customFormat="false" ht="15" hidden="false" customHeight="false" outlineLevel="0" collapsed="false">
      <c r="A5541" s="0" t="n">
        <v>7</v>
      </c>
      <c r="B5541" s="0" t="n">
        <v>5</v>
      </c>
      <c r="C5541" s="0" t="n">
        <v>3</v>
      </c>
      <c r="D5541" s="0" t="n">
        <v>1</v>
      </c>
      <c r="E5541" s="0" t="n">
        <f aca="false">-1+A5541*0.25</f>
        <v>0.75</v>
      </c>
      <c r="F5541" s="0" t="n">
        <f aca="false">-1+B5541*0.25</f>
        <v>0.25</v>
      </c>
      <c r="G5541" s="0" t="n">
        <f aca="false">-1+C5541*0.25</f>
        <v>-0.25</v>
      </c>
      <c r="H5541" s="0" t="n">
        <f aca="false">-1+D5541*0.25</f>
        <v>-0.75</v>
      </c>
      <c r="I5541" s="0" t="n">
        <f aca="false">1</f>
        <v>1</v>
      </c>
      <c r="J5541" s="0" t="n">
        <f aca="false">E5541</f>
        <v>0.75</v>
      </c>
      <c r="K5541" s="0" t="n">
        <f aca="false">F5541</f>
        <v>0.25</v>
      </c>
      <c r="L5541" s="0" t="n">
        <f aca="false">G5541</f>
        <v>-0.25</v>
      </c>
      <c r="M5541" s="0" t="n">
        <f aca="false">H5541</f>
        <v>-0.75</v>
      </c>
      <c r="N5541" s="0" t="n">
        <f aca="false">E5541*F5541</f>
        <v>0.1875</v>
      </c>
      <c r="O5541" s="0" t="n">
        <f aca="false">E5541*G5541</f>
        <v>-0.1875</v>
      </c>
      <c r="P5541" s="0" t="n">
        <f aca="false">E5541*H5541</f>
        <v>-0.5625</v>
      </c>
      <c r="Q5541" s="0" t="n">
        <f aca="false">F5541*G5541</f>
        <v>-0.0625</v>
      </c>
      <c r="R5541" s="0" t="n">
        <f aca="false">F5541*H5541</f>
        <v>-0.1875</v>
      </c>
      <c r="S5541" s="0" t="n">
        <f aca="false">G5541*H5541</f>
        <v>0.1875</v>
      </c>
      <c r="T5541" s="0" t="n">
        <f aca="false">E5541*E5541</f>
        <v>0.5625</v>
      </c>
      <c r="U5541" s="0" t="n">
        <f aca="false">F5541*F5541</f>
        <v>0.0625</v>
      </c>
      <c r="V5541" s="0" t="n">
        <f aca="false">G5541*G5541</f>
        <v>0.0625</v>
      </c>
      <c r="W5541" s="0" t="n">
        <f aca="false">H5541*H5541</f>
        <v>0.5625</v>
      </c>
      <c r="X5541" s="0" t="n">
        <f aca="false">SUMPRODUCT(I5541:W5541,_XtX!$B$96:$P$96)</f>
        <v>47.8505710891813</v>
      </c>
      <c r="Y5541" s="0" t="n">
        <f aca="false">SUMPRODUCT(MMULT(I5541:W5541,_XtX!$B$78:$P$92),I5541:W5541)</f>
        <v>0.271087468019006</v>
      </c>
      <c r="Z5541" s="0" t="n">
        <f aca="false">04_回帰ANOVA!$K$19*04_回帰ANOVA!$K$14*SQRT(1+Y5541)</f>
        <v>1.46955590155034</v>
      </c>
      <c r="AA5541" s="0" t="n">
        <f aca="false">X5541-Z5541</f>
        <v>46.381015187631</v>
      </c>
      <c r="AB5541" s="0" t="n">
        <f aca="false">X5541+Z5541</f>
        <v>49.3201269907316</v>
      </c>
      <c r="AC5541" s="54" t="b">
        <f aca="false">AND(E5541&gt;=01_因子設定!$L$5-0.000000001,E5541&lt;=01_因子設定!$M$5+0.000000001,F5541&gt;=01_因子設定!$L$6-0.000000001,F5541&lt;=01_因子設定!$M$6+0.000000001,G5541&gt;=01_因子設定!$L$7-0.000000001,G5541&lt;=01_因子設定!$M$7+0.000000001,H5541&gt;=01_因子設定!$L$8-0.000000001,H5541&lt;=01_因子設定!$M$8+0.000000001,IF(01_因子設定!$B$20="Box-Behnken",E5541^2+F5541^2+G5541^2+H5541^2&lt;=2+0.000000001,TRUE()))</f>
        <v>1</v>
      </c>
      <c r="AD5541" s="55" t="n">
        <f aca="false">IF(AC5541,IF(01_因子設定!$B$13="最大化",AA5541-01_因子設定!$B$14,IF(01_因子設定!$B$13="最小化",01_因子設定!$B$15-AB5541,MIN(AA5541-01_因子設定!$B$14,01_因子設定!$B$15-AB5541))),-1E+030)</f>
        <v>-0.11898481236905</v>
      </c>
      <c r="AE5541" s="55" t="n">
        <f aca="false">IF(AC5541,IF(01_因子設定!$B$13="最大化",X5541,IF(01_因子設定!$B$13="最小化",-X5541,-ABS(X5541-01_因子設定!$B$16))),-1E+030)</f>
        <v>47.8505710891813</v>
      </c>
      <c r="AF5541" s="55" t="n">
        <f aca="false">AD5541+ROW()*0.000000001</f>
        <v>-0.11897927136905</v>
      </c>
      <c r="AG5541" s="55" t="n">
        <f aca="false">AE5541+ROW()*0.000000001</f>
        <v>47.8505766301813</v>
      </c>
    </row>
    <row r="5542" customFormat="false" ht="15" hidden="false" customHeight="false" outlineLevel="0" collapsed="false">
      <c r="A5542" s="0" t="n">
        <v>7</v>
      </c>
      <c r="B5542" s="0" t="n">
        <v>5</v>
      </c>
      <c r="C5542" s="0" t="n">
        <v>3</v>
      </c>
      <c r="D5542" s="0" t="n">
        <v>2</v>
      </c>
      <c r="E5542" s="0" t="n">
        <f aca="false">-1+A5542*0.25</f>
        <v>0.75</v>
      </c>
      <c r="F5542" s="0" t="n">
        <f aca="false">-1+B5542*0.25</f>
        <v>0.25</v>
      </c>
      <c r="G5542" s="0" t="n">
        <f aca="false">-1+C5542*0.25</f>
        <v>-0.25</v>
      </c>
      <c r="H5542" s="0" t="n">
        <f aca="false">-1+D5542*0.25</f>
        <v>-0.5</v>
      </c>
      <c r="I5542" s="0" t="n">
        <f aca="false">1</f>
        <v>1</v>
      </c>
      <c r="J5542" s="0" t="n">
        <f aca="false">E5542</f>
        <v>0.75</v>
      </c>
      <c r="K5542" s="0" t="n">
        <f aca="false">F5542</f>
        <v>0.25</v>
      </c>
      <c r="L5542" s="0" t="n">
        <f aca="false">G5542</f>
        <v>-0.25</v>
      </c>
      <c r="M5542" s="0" t="n">
        <f aca="false">H5542</f>
        <v>-0.5</v>
      </c>
      <c r="N5542" s="0" t="n">
        <f aca="false">E5542*F5542</f>
        <v>0.1875</v>
      </c>
      <c r="O5542" s="0" t="n">
        <f aca="false">E5542*G5542</f>
        <v>-0.1875</v>
      </c>
      <c r="P5542" s="0" t="n">
        <f aca="false">E5542*H5542</f>
        <v>-0.375</v>
      </c>
      <c r="Q5542" s="0" t="n">
        <f aca="false">F5542*G5542</f>
        <v>-0.0625</v>
      </c>
      <c r="R5542" s="0" t="n">
        <f aca="false">F5542*H5542</f>
        <v>-0.125</v>
      </c>
      <c r="S5542" s="0" t="n">
        <f aca="false">G5542*H5542</f>
        <v>0.125</v>
      </c>
      <c r="T5542" s="0" t="n">
        <f aca="false">E5542*E5542</f>
        <v>0.5625</v>
      </c>
      <c r="U5542" s="0" t="n">
        <f aca="false">F5542*F5542</f>
        <v>0.0625</v>
      </c>
      <c r="V5542" s="0" t="n">
        <f aca="false">G5542*G5542</f>
        <v>0.0625</v>
      </c>
      <c r="W5542" s="0" t="n">
        <f aca="false">H5542*H5542</f>
        <v>0.25</v>
      </c>
      <c r="X5542" s="0" t="n">
        <f aca="false">SUMPRODUCT(I5542:W5542,_XtX!$B$96:$P$96)</f>
        <v>48.0636650219298</v>
      </c>
      <c r="Y5542" s="0" t="n">
        <f aca="false">SUMPRODUCT(MMULT(I5542:W5542,_XtX!$B$78:$P$92),I5542:W5542)</f>
        <v>0.207746539199561</v>
      </c>
      <c r="Z5542" s="0" t="n">
        <f aca="false">04_回帰ANOVA!$K$19*04_回帰ANOVA!$K$14*SQRT(1+Y5542)</f>
        <v>1.43247250081141</v>
      </c>
      <c r="AA5542" s="0" t="n">
        <f aca="false">X5542-Z5542</f>
        <v>46.6311925211184</v>
      </c>
      <c r="AB5542" s="0" t="n">
        <f aca="false">X5542+Z5542</f>
        <v>49.4961375227412</v>
      </c>
      <c r="AC5542" s="54" t="b">
        <f aca="false">AND(E5542&gt;=01_因子設定!$L$5-0.000000001,E5542&lt;=01_因子設定!$M$5+0.000000001,F5542&gt;=01_因子設定!$L$6-0.000000001,F5542&lt;=01_因子設定!$M$6+0.000000001,G5542&gt;=01_因子設定!$L$7-0.000000001,G5542&lt;=01_因子設定!$M$7+0.000000001,H5542&gt;=01_因子設定!$L$8-0.000000001,H5542&lt;=01_因子設定!$M$8+0.000000001,IF(01_因子設定!$B$20="Box-Behnken",E5542^2+F5542^2+G5542^2+H5542^2&lt;=2+0.000000001,TRUE()))</f>
        <v>1</v>
      </c>
      <c r="AD5542" s="55" t="n">
        <f aca="false">IF(AC5542,IF(01_因子設定!$B$13="最大化",AA5542-01_因子設定!$B$14,IF(01_因子設定!$B$13="最小化",01_因子設定!$B$15-AB5542,MIN(AA5542-01_因子設定!$B$14,01_因子設定!$B$15-AB5542))),-1E+030)</f>
        <v>0.131192521118415</v>
      </c>
      <c r="AE5542" s="55" t="n">
        <f aca="false">IF(AC5542,IF(01_因子設定!$B$13="最大化",X5542,IF(01_因子設定!$B$13="最小化",-X5542,-ABS(X5542-01_因子設定!$B$16))),-1E+030)</f>
        <v>48.0636650219298</v>
      </c>
      <c r="AF5542" s="55" t="n">
        <f aca="false">AD5542+ROW()*0.000000001</f>
        <v>0.131198063118415</v>
      </c>
      <c r="AG5542" s="55" t="n">
        <f aca="false">AE5542+ROW()*0.000000001</f>
        <v>48.0636705639298</v>
      </c>
    </row>
    <row r="5543" customFormat="false" ht="15" hidden="false" customHeight="false" outlineLevel="0" collapsed="false">
      <c r="A5543" s="0" t="n">
        <v>7</v>
      </c>
      <c r="B5543" s="0" t="n">
        <v>5</v>
      </c>
      <c r="C5543" s="0" t="n">
        <v>3</v>
      </c>
      <c r="D5543" s="0" t="n">
        <v>3</v>
      </c>
      <c r="E5543" s="0" t="n">
        <f aca="false">-1+A5543*0.25</f>
        <v>0.75</v>
      </c>
      <c r="F5543" s="0" t="n">
        <f aca="false">-1+B5543*0.25</f>
        <v>0.25</v>
      </c>
      <c r="G5543" s="0" t="n">
        <f aca="false">-1+C5543*0.25</f>
        <v>-0.25</v>
      </c>
      <c r="H5543" s="0" t="n">
        <f aca="false">-1+D5543*0.25</f>
        <v>-0.25</v>
      </c>
      <c r="I5543" s="0" t="n">
        <f aca="false">1</f>
        <v>1</v>
      </c>
      <c r="J5543" s="0" t="n">
        <f aca="false">E5543</f>
        <v>0.75</v>
      </c>
      <c r="K5543" s="0" t="n">
        <f aca="false">F5543</f>
        <v>0.25</v>
      </c>
      <c r="L5543" s="0" t="n">
        <f aca="false">G5543</f>
        <v>-0.25</v>
      </c>
      <c r="M5543" s="0" t="n">
        <f aca="false">H5543</f>
        <v>-0.25</v>
      </c>
      <c r="N5543" s="0" t="n">
        <f aca="false">E5543*F5543</f>
        <v>0.1875</v>
      </c>
      <c r="O5543" s="0" t="n">
        <f aca="false">E5543*G5543</f>
        <v>-0.1875</v>
      </c>
      <c r="P5543" s="0" t="n">
        <f aca="false">E5543*H5543</f>
        <v>-0.1875</v>
      </c>
      <c r="Q5543" s="0" t="n">
        <f aca="false">F5543*G5543</f>
        <v>-0.0625</v>
      </c>
      <c r="R5543" s="0" t="n">
        <f aca="false">F5543*H5543</f>
        <v>-0.0625</v>
      </c>
      <c r="S5543" s="0" t="n">
        <f aca="false">G5543*H5543</f>
        <v>0.0625</v>
      </c>
      <c r="T5543" s="0" t="n">
        <f aca="false">E5543*E5543</f>
        <v>0.5625</v>
      </c>
      <c r="U5543" s="0" t="n">
        <f aca="false">F5543*F5543</f>
        <v>0.0625</v>
      </c>
      <c r="V5543" s="0" t="n">
        <f aca="false">G5543*G5543</f>
        <v>0.0625</v>
      </c>
      <c r="W5543" s="0" t="n">
        <f aca="false">H5543*H5543</f>
        <v>0.0625</v>
      </c>
      <c r="X5543" s="0" t="n">
        <f aca="false">SUMPRODUCT(I5543:W5543,_XtX!$B$96:$P$96)</f>
        <v>48.2289519371345</v>
      </c>
      <c r="Y5543" s="0" t="n">
        <f aca="false">SUMPRODUCT(MMULT(I5543:W5543,_XtX!$B$78:$P$92),I5543:W5543)</f>
        <v>0.205926192434211</v>
      </c>
      <c r="Z5543" s="0" t="n">
        <f aca="false">04_回帰ANOVA!$K$19*04_回帰ANOVA!$K$14*SQRT(1+Y5543)</f>
        <v>1.43139256396246</v>
      </c>
      <c r="AA5543" s="0" t="n">
        <f aca="false">X5543-Z5543</f>
        <v>46.797559373172</v>
      </c>
      <c r="AB5543" s="0" t="n">
        <f aca="false">X5543+Z5543</f>
        <v>49.660344501097</v>
      </c>
      <c r="AC5543" s="54" t="b">
        <f aca="false">AND(E5543&gt;=01_因子設定!$L$5-0.000000001,E5543&lt;=01_因子設定!$M$5+0.000000001,F5543&gt;=01_因子設定!$L$6-0.000000001,F5543&lt;=01_因子設定!$M$6+0.000000001,G5543&gt;=01_因子設定!$L$7-0.000000001,G5543&lt;=01_因子設定!$M$7+0.000000001,H5543&gt;=01_因子設定!$L$8-0.000000001,H5543&lt;=01_因子設定!$M$8+0.000000001,IF(01_因子設定!$B$20="Box-Behnken",E5543^2+F5543^2+G5543^2+H5543^2&lt;=2+0.000000001,TRUE()))</f>
        <v>1</v>
      </c>
      <c r="AD5543" s="55" t="n">
        <f aca="false">IF(AC5543,IF(01_因子設定!$B$13="最大化",AA5543-01_因子設定!$B$14,IF(01_因子設定!$B$13="最小化",01_因子設定!$B$15-AB5543,MIN(AA5543-01_因子設定!$B$14,01_因子設定!$B$15-AB5543))),-1E+030)</f>
        <v>0.297559373172028</v>
      </c>
      <c r="AE5543" s="55" t="n">
        <f aca="false">IF(AC5543,IF(01_因子設定!$B$13="最大化",X5543,IF(01_因子設定!$B$13="最小化",-X5543,-ABS(X5543-01_因子設定!$B$16))),-1E+030)</f>
        <v>48.2289519371345</v>
      </c>
      <c r="AF5543" s="55" t="n">
        <f aca="false">AD5543+ROW()*0.000000001</f>
        <v>0.297564916172028</v>
      </c>
      <c r="AG5543" s="55" t="n">
        <f aca="false">AE5543+ROW()*0.000000001</f>
        <v>48.2289574801345</v>
      </c>
    </row>
    <row r="5544" customFormat="false" ht="15" hidden="false" customHeight="false" outlineLevel="0" collapsed="false">
      <c r="A5544" s="0" t="n">
        <v>7</v>
      </c>
      <c r="B5544" s="0" t="n">
        <v>5</v>
      </c>
      <c r="C5544" s="0" t="n">
        <v>3</v>
      </c>
      <c r="D5544" s="0" t="n">
        <v>4</v>
      </c>
      <c r="E5544" s="0" t="n">
        <f aca="false">-1+A5544*0.25</f>
        <v>0.75</v>
      </c>
      <c r="F5544" s="0" t="n">
        <f aca="false">-1+B5544*0.25</f>
        <v>0.25</v>
      </c>
      <c r="G5544" s="0" t="n">
        <f aca="false">-1+C5544*0.25</f>
        <v>-0.25</v>
      </c>
      <c r="H5544" s="0" t="n">
        <f aca="false">-1+D5544*0.25</f>
        <v>0</v>
      </c>
      <c r="I5544" s="0" t="n">
        <f aca="false">1</f>
        <v>1</v>
      </c>
      <c r="J5544" s="0" t="n">
        <f aca="false">E5544</f>
        <v>0.75</v>
      </c>
      <c r="K5544" s="0" t="n">
        <f aca="false">F5544</f>
        <v>0.25</v>
      </c>
      <c r="L5544" s="0" t="n">
        <f aca="false">G5544</f>
        <v>-0.25</v>
      </c>
      <c r="M5544" s="0" t="n">
        <f aca="false">H5544</f>
        <v>0</v>
      </c>
      <c r="N5544" s="0" t="n">
        <f aca="false">E5544*F5544</f>
        <v>0.1875</v>
      </c>
      <c r="O5544" s="0" t="n">
        <f aca="false">E5544*G5544</f>
        <v>-0.1875</v>
      </c>
      <c r="P5544" s="0" t="n">
        <f aca="false">E5544*H5544</f>
        <v>0</v>
      </c>
      <c r="Q5544" s="0" t="n">
        <f aca="false">F5544*G5544</f>
        <v>-0.0625</v>
      </c>
      <c r="R5544" s="0" t="n">
        <f aca="false">F5544*H5544</f>
        <v>0</v>
      </c>
      <c r="S5544" s="0" t="n">
        <f aca="false">G5544*H5544</f>
        <v>-0</v>
      </c>
      <c r="T5544" s="0" t="n">
        <f aca="false">E5544*E5544</f>
        <v>0.5625</v>
      </c>
      <c r="U5544" s="0" t="n">
        <f aca="false">F5544*F5544</f>
        <v>0.0625</v>
      </c>
      <c r="V5544" s="0" t="n">
        <f aca="false">G5544*G5544</f>
        <v>0.0625</v>
      </c>
      <c r="W5544" s="0" t="n">
        <f aca="false">H5544*H5544</f>
        <v>0</v>
      </c>
      <c r="X5544" s="0" t="n">
        <f aca="false">SUMPRODUCT(I5544:W5544,_XtX!$B$96:$P$96)</f>
        <v>48.3464318347953</v>
      </c>
      <c r="Y5544" s="0" t="n">
        <f aca="false">SUMPRODUCT(MMULT(I5544:W5544,_XtX!$B$78:$P$92),I5544:W5544)</f>
        <v>0.21135011193348</v>
      </c>
      <c r="Z5544" s="0" t="n">
        <f aca="false">04_回帰ANOVA!$K$19*04_回帰ANOVA!$K$14*SQRT(1+Y5544)</f>
        <v>1.43460795469709</v>
      </c>
      <c r="AA5544" s="0" t="n">
        <f aca="false">X5544-Z5544</f>
        <v>46.9118238800982</v>
      </c>
      <c r="AB5544" s="0" t="n">
        <f aca="false">X5544+Z5544</f>
        <v>49.7810397894924</v>
      </c>
      <c r="AC5544" s="54" t="b">
        <f aca="false">AND(E5544&gt;=01_因子設定!$L$5-0.000000001,E5544&lt;=01_因子設定!$M$5+0.000000001,F5544&gt;=01_因子設定!$L$6-0.000000001,F5544&lt;=01_因子設定!$M$6+0.000000001,G5544&gt;=01_因子設定!$L$7-0.000000001,G5544&lt;=01_因子設定!$M$7+0.000000001,H5544&gt;=01_因子設定!$L$8-0.000000001,H5544&lt;=01_因子設定!$M$8+0.000000001,IF(01_因子設定!$B$20="Box-Behnken",E5544^2+F5544^2+G5544^2+H5544^2&lt;=2+0.000000001,TRUE()))</f>
        <v>1</v>
      </c>
      <c r="AD5544" s="55" t="n">
        <f aca="false">IF(AC5544,IF(01_因子設定!$B$13="最大化",AA5544-01_因子設定!$B$14,IF(01_因子設定!$B$13="最小化",01_因子設定!$B$15-AB5544,MIN(AA5544-01_因子設定!$B$14,01_因子設定!$B$15-AB5544))),-1E+030)</f>
        <v>0.411823880098218</v>
      </c>
      <c r="AE5544" s="55" t="n">
        <f aca="false">IF(AC5544,IF(01_因子設定!$B$13="最大化",X5544,IF(01_因子設定!$B$13="最小化",-X5544,-ABS(X5544-01_因子設定!$B$16))),-1E+030)</f>
        <v>48.3464318347953</v>
      </c>
      <c r="AF5544" s="55" t="n">
        <f aca="false">AD5544+ROW()*0.000000001</f>
        <v>0.411829424098218</v>
      </c>
      <c r="AG5544" s="55" t="n">
        <f aca="false">AE5544+ROW()*0.000000001</f>
        <v>48.3464373787953</v>
      </c>
    </row>
    <row r="5545" customFormat="false" ht="15" hidden="false" customHeight="false" outlineLevel="0" collapsed="false">
      <c r="A5545" s="0" t="n">
        <v>7</v>
      </c>
      <c r="B5545" s="0" t="n">
        <v>5</v>
      </c>
      <c r="C5545" s="0" t="n">
        <v>3</v>
      </c>
      <c r="D5545" s="0" t="n">
        <v>5</v>
      </c>
      <c r="E5545" s="0" t="n">
        <f aca="false">-1+A5545*0.25</f>
        <v>0.75</v>
      </c>
      <c r="F5545" s="0" t="n">
        <f aca="false">-1+B5545*0.25</f>
        <v>0.25</v>
      </c>
      <c r="G5545" s="0" t="n">
        <f aca="false">-1+C5545*0.25</f>
        <v>-0.25</v>
      </c>
      <c r="H5545" s="0" t="n">
        <f aca="false">-1+D5545*0.25</f>
        <v>0.25</v>
      </c>
      <c r="I5545" s="0" t="n">
        <f aca="false">1</f>
        <v>1</v>
      </c>
      <c r="J5545" s="0" t="n">
        <f aca="false">E5545</f>
        <v>0.75</v>
      </c>
      <c r="K5545" s="0" t="n">
        <f aca="false">F5545</f>
        <v>0.25</v>
      </c>
      <c r="L5545" s="0" t="n">
        <f aca="false">G5545</f>
        <v>-0.25</v>
      </c>
      <c r="M5545" s="0" t="n">
        <f aca="false">H5545</f>
        <v>0.25</v>
      </c>
      <c r="N5545" s="0" t="n">
        <f aca="false">E5545*F5545</f>
        <v>0.1875</v>
      </c>
      <c r="O5545" s="0" t="n">
        <f aca="false">E5545*G5545</f>
        <v>-0.1875</v>
      </c>
      <c r="P5545" s="0" t="n">
        <f aca="false">E5545*H5545</f>
        <v>0.1875</v>
      </c>
      <c r="Q5545" s="0" t="n">
        <f aca="false">F5545*G5545</f>
        <v>-0.0625</v>
      </c>
      <c r="R5545" s="0" t="n">
        <f aca="false">F5545*H5545</f>
        <v>0.0625</v>
      </c>
      <c r="S5545" s="0" t="n">
        <f aca="false">G5545*H5545</f>
        <v>-0.0625</v>
      </c>
      <c r="T5545" s="0" t="n">
        <f aca="false">E5545*E5545</f>
        <v>0.5625</v>
      </c>
      <c r="U5545" s="0" t="n">
        <f aca="false">F5545*F5545</f>
        <v>0.0625</v>
      </c>
      <c r="V5545" s="0" t="n">
        <f aca="false">G5545*G5545</f>
        <v>0.0625</v>
      </c>
      <c r="W5545" s="0" t="n">
        <f aca="false">H5545*H5545</f>
        <v>0.0625</v>
      </c>
      <c r="X5545" s="0" t="n">
        <f aca="false">SUMPRODUCT(I5545:W5545,_XtX!$B$96:$P$96)</f>
        <v>48.4161047149123</v>
      </c>
      <c r="Y5545" s="0" t="n">
        <f aca="false">SUMPRODUCT(MMULT(I5545:W5545,_XtX!$B$78:$P$92),I5545:W5545)</f>
        <v>0.205926192434211</v>
      </c>
      <c r="Z5545" s="0" t="n">
        <f aca="false">04_回帰ANOVA!$K$19*04_回帰ANOVA!$K$14*SQRT(1+Y5545)</f>
        <v>1.43139256396246</v>
      </c>
      <c r="AA5545" s="0" t="n">
        <f aca="false">X5545-Z5545</f>
        <v>46.9847121509498</v>
      </c>
      <c r="AB5545" s="0" t="n">
        <f aca="false">X5545+Z5545</f>
        <v>49.8474972788747</v>
      </c>
      <c r="AC5545" s="54" t="b">
        <f aca="false">AND(E5545&gt;=01_因子設定!$L$5-0.000000001,E5545&lt;=01_因子設定!$M$5+0.000000001,F5545&gt;=01_因子設定!$L$6-0.000000001,F5545&lt;=01_因子設定!$M$6+0.000000001,G5545&gt;=01_因子設定!$L$7-0.000000001,G5545&lt;=01_因子設定!$M$7+0.000000001,H5545&gt;=01_因子設定!$L$8-0.000000001,H5545&lt;=01_因子設定!$M$8+0.000000001,IF(01_因子設定!$B$20="Box-Behnken",E5545^2+F5545^2+G5545^2+H5545^2&lt;=2+0.000000001,TRUE()))</f>
        <v>1</v>
      </c>
      <c r="AD5545" s="55" t="n">
        <f aca="false">IF(AC5545,IF(01_因子設定!$B$13="最大化",AA5545-01_因子設定!$B$14,IF(01_因子設定!$B$13="最小化",01_因子設定!$B$15-AB5545,MIN(AA5545-01_因子設定!$B$14,01_因子設定!$B$15-AB5545))),-1E+030)</f>
        <v>0.484712150949804</v>
      </c>
      <c r="AE5545" s="55" t="n">
        <f aca="false">IF(AC5545,IF(01_因子設定!$B$13="最大化",X5545,IF(01_因子設定!$B$13="最小化",-X5545,-ABS(X5545-01_因子設定!$B$16))),-1E+030)</f>
        <v>48.4161047149123</v>
      </c>
      <c r="AF5545" s="55" t="n">
        <f aca="false">AD5545+ROW()*0.000000001</f>
        <v>0.484717695949804</v>
      </c>
      <c r="AG5545" s="55" t="n">
        <f aca="false">AE5545+ROW()*0.000000001</f>
        <v>48.4161102599123</v>
      </c>
    </row>
    <row r="5546" customFormat="false" ht="15" hidden="false" customHeight="false" outlineLevel="0" collapsed="false">
      <c r="A5546" s="0" t="n">
        <v>7</v>
      </c>
      <c r="B5546" s="0" t="n">
        <v>5</v>
      </c>
      <c r="C5546" s="0" t="n">
        <v>3</v>
      </c>
      <c r="D5546" s="0" t="n">
        <v>6</v>
      </c>
      <c r="E5546" s="0" t="n">
        <f aca="false">-1+A5546*0.25</f>
        <v>0.75</v>
      </c>
      <c r="F5546" s="0" t="n">
        <f aca="false">-1+B5546*0.25</f>
        <v>0.25</v>
      </c>
      <c r="G5546" s="0" t="n">
        <f aca="false">-1+C5546*0.25</f>
        <v>-0.25</v>
      </c>
      <c r="H5546" s="0" t="n">
        <f aca="false">-1+D5546*0.25</f>
        <v>0.5</v>
      </c>
      <c r="I5546" s="0" t="n">
        <f aca="false">1</f>
        <v>1</v>
      </c>
      <c r="J5546" s="0" t="n">
        <f aca="false">E5546</f>
        <v>0.75</v>
      </c>
      <c r="K5546" s="0" t="n">
        <f aca="false">F5546</f>
        <v>0.25</v>
      </c>
      <c r="L5546" s="0" t="n">
        <f aca="false">G5546</f>
        <v>-0.25</v>
      </c>
      <c r="M5546" s="0" t="n">
        <f aca="false">H5546</f>
        <v>0.5</v>
      </c>
      <c r="N5546" s="0" t="n">
        <f aca="false">E5546*F5546</f>
        <v>0.1875</v>
      </c>
      <c r="O5546" s="0" t="n">
        <f aca="false">E5546*G5546</f>
        <v>-0.1875</v>
      </c>
      <c r="P5546" s="0" t="n">
        <f aca="false">E5546*H5546</f>
        <v>0.375</v>
      </c>
      <c r="Q5546" s="0" t="n">
        <f aca="false">F5546*G5546</f>
        <v>-0.0625</v>
      </c>
      <c r="R5546" s="0" t="n">
        <f aca="false">F5546*H5546</f>
        <v>0.125</v>
      </c>
      <c r="S5546" s="0" t="n">
        <f aca="false">G5546*H5546</f>
        <v>-0.125</v>
      </c>
      <c r="T5546" s="0" t="n">
        <f aca="false">E5546*E5546</f>
        <v>0.5625</v>
      </c>
      <c r="U5546" s="0" t="n">
        <f aca="false">F5546*F5546</f>
        <v>0.0625</v>
      </c>
      <c r="V5546" s="0" t="n">
        <f aca="false">G5546*G5546</f>
        <v>0.0625</v>
      </c>
      <c r="W5546" s="0" t="n">
        <f aca="false">H5546*H5546</f>
        <v>0.25</v>
      </c>
      <c r="X5546" s="0" t="n">
        <f aca="false">SUMPRODUCT(I5546:W5546,_XtX!$B$96:$P$96)</f>
        <v>48.4379705774854</v>
      </c>
      <c r="Y5546" s="0" t="n">
        <f aca="false">SUMPRODUCT(MMULT(I5546:W5546,_XtX!$B$78:$P$92),I5546:W5546)</f>
        <v>0.207746539199561</v>
      </c>
      <c r="Z5546" s="0" t="n">
        <f aca="false">04_回帰ANOVA!$K$19*04_回帰ANOVA!$K$14*SQRT(1+Y5546)</f>
        <v>1.43247250081141</v>
      </c>
      <c r="AA5546" s="0" t="n">
        <f aca="false">X5546-Z5546</f>
        <v>47.005498076674</v>
      </c>
      <c r="AB5546" s="0" t="n">
        <f aca="false">X5546+Z5546</f>
        <v>49.8704430782968</v>
      </c>
      <c r="AC5546" s="54" t="b">
        <f aca="false">AND(E5546&gt;=01_因子設定!$L$5-0.000000001,E5546&lt;=01_因子設定!$M$5+0.000000001,F5546&gt;=01_因子設定!$L$6-0.000000001,F5546&lt;=01_因子設定!$M$6+0.000000001,G5546&gt;=01_因子設定!$L$7-0.000000001,G5546&lt;=01_因子設定!$M$7+0.000000001,H5546&gt;=01_因子設定!$L$8-0.000000001,H5546&lt;=01_因子設定!$M$8+0.000000001,IF(01_因子設定!$B$20="Box-Behnken",E5546^2+F5546^2+G5546^2+H5546^2&lt;=2+0.000000001,TRUE()))</f>
        <v>1</v>
      </c>
      <c r="AD5546" s="55" t="n">
        <f aca="false">IF(AC5546,IF(01_因子設定!$B$13="最大化",AA5546-01_因子設定!$B$14,IF(01_因子設定!$B$13="最小化",01_因子設定!$B$15-AB5546,MIN(AA5546-01_因子設定!$B$14,01_因子設定!$B$15-AB5546))),-1E+030)</f>
        <v>0.505498076673966</v>
      </c>
      <c r="AE5546" s="55" t="n">
        <f aca="false">IF(AC5546,IF(01_因子設定!$B$13="最大化",X5546,IF(01_因子設定!$B$13="最小化",-X5546,-ABS(X5546-01_因子設定!$B$16))),-1E+030)</f>
        <v>48.4379705774854</v>
      </c>
      <c r="AF5546" s="55" t="n">
        <f aca="false">AD5546+ROW()*0.000000001</f>
        <v>0.505503622673966</v>
      </c>
      <c r="AG5546" s="55" t="n">
        <f aca="false">AE5546+ROW()*0.000000001</f>
        <v>48.4379761234854</v>
      </c>
    </row>
    <row r="5547" customFormat="false" ht="15" hidden="false" customHeight="false" outlineLevel="0" collapsed="false">
      <c r="A5547" s="0" t="n">
        <v>7</v>
      </c>
      <c r="B5547" s="0" t="n">
        <v>5</v>
      </c>
      <c r="C5547" s="0" t="n">
        <v>3</v>
      </c>
      <c r="D5547" s="0" t="n">
        <v>7</v>
      </c>
      <c r="E5547" s="0" t="n">
        <f aca="false">-1+A5547*0.25</f>
        <v>0.75</v>
      </c>
      <c r="F5547" s="0" t="n">
        <f aca="false">-1+B5547*0.25</f>
        <v>0.25</v>
      </c>
      <c r="G5547" s="0" t="n">
        <f aca="false">-1+C5547*0.25</f>
        <v>-0.25</v>
      </c>
      <c r="H5547" s="0" t="n">
        <f aca="false">-1+D5547*0.25</f>
        <v>0.75</v>
      </c>
      <c r="I5547" s="0" t="n">
        <f aca="false">1</f>
        <v>1</v>
      </c>
      <c r="J5547" s="0" t="n">
        <f aca="false">E5547</f>
        <v>0.75</v>
      </c>
      <c r="K5547" s="0" t="n">
        <f aca="false">F5547</f>
        <v>0.25</v>
      </c>
      <c r="L5547" s="0" t="n">
        <f aca="false">G5547</f>
        <v>-0.25</v>
      </c>
      <c r="M5547" s="0" t="n">
        <f aca="false">H5547</f>
        <v>0.75</v>
      </c>
      <c r="N5547" s="0" t="n">
        <f aca="false">E5547*F5547</f>
        <v>0.1875</v>
      </c>
      <c r="O5547" s="0" t="n">
        <f aca="false">E5547*G5547</f>
        <v>-0.1875</v>
      </c>
      <c r="P5547" s="0" t="n">
        <f aca="false">E5547*H5547</f>
        <v>0.5625</v>
      </c>
      <c r="Q5547" s="0" t="n">
        <f aca="false">F5547*G5547</f>
        <v>-0.0625</v>
      </c>
      <c r="R5547" s="0" t="n">
        <f aca="false">F5547*H5547</f>
        <v>0.1875</v>
      </c>
      <c r="S5547" s="0" t="n">
        <f aca="false">G5547*H5547</f>
        <v>-0.1875</v>
      </c>
      <c r="T5547" s="0" t="n">
        <f aca="false">E5547*E5547</f>
        <v>0.5625</v>
      </c>
      <c r="U5547" s="0" t="n">
        <f aca="false">F5547*F5547</f>
        <v>0.0625</v>
      </c>
      <c r="V5547" s="0" t="n">
        <f aca="false">G5547*G5547</f>
        <v>0.0625</v>
      </c>
      <c r="W5547" s="0" t="n">
        <f aca="false">H5547*H5547</f>
        <v>0.5625</v>
      </c>
      <c r="X5547" s="0" t="n">
        <f aca="false">SUMPRODUCT(I5547:W5547,_XtX!$B$96:$P$96)</f>
        <v>48.4120294225146</v>
      </c>
      <c r="Y5547" s="0" t="n">
        <f aca="false">SUMPRODUCT(MMULT(I5547:W5547,_XtX!$B$78:$P$92),I5547:W5547)</f>
        <v>0.271087468019006</v>
      </c>
      <c r="Z5547" s="0" t="n">
        <f aca="false">04_回帰ANOVA!$K$19*04_回帰ANOVA!$K$14*SQRT(1+Y5547)</f>
        <v>1.46955590155034</v>
      </c>
      <c r="AA5547" s="0" t="n">
        <f aca="false">X5547-Z5547</f>
        <v>46.9424735209643</v>
      </c>
      <c r="AB5547" s="0" t="n">
        <f aca="false">X5547+Z5547</f>
        <v>49.881585324065</v>
      </c>
      <c r="AC5547" s="54" t="b">
        <f aca="false">AND(E5547&gt;=01_因子設定!$L$5-0.000000001,E5547&lt;=01_因子設定!$M$5+0.000000001,F5547&gt;=01_因子設定!$L$6-0.000000001,F5547&lt;=01_因子設定!$M$6+0.000000001,G5547&gt;=01_因子設定!$L$7-0.000000001,G5547&lt;=01_因子設定!$M$7+0.000000001,H5547&gt;=01_因子設定!$L$8-0.000000001,H5547&lt;=01_因子設定!$M$8+0.000000001,IF(01_因子設定!$B$20="Box-Behnken",E5547^2+F5547^2+G5547^2+H5547^2&lt;=2+0.000000001,TRUE()))</f>
        <v>1</v>
      </c>
      <c r="AD5547" s="55" t="n">
        <f aca="false">IF(AC5547,IF(01_因子設定!$B$13="最大化",AA5547-01_因子設定!$B$14,IF(01_因子設定!$B$13="最小化",01_因子設定!$B$15-AB5547,MIN(AA5547-01_因子設定!$B$14,01_因子設定!$B$15-AB5547))),-1E+030)</f>
        <v>0.442473520964285</v>
      </c>
      <c r="AE5547" s="55" t="n">
        <f aca="false">IF(AC5547,IF(01_因子設定!$B$13="最大化",X5547,IF(01_因子設定!$B$13="最小化",-X5547,-ABS(X5547-01_因子設定!$B$16))),-1E+030)</f>
        <v>48.4120294225146</v>
      </c>
      <c r="AF5547" s="55" t="n">
        <f aca="false">AD5547+ROW()*0.000000001</f>
        <v>0.442479067964285</v>
      </c>
      <c r="AG5547" s="55" t="n">
        <f aca="false">AE5547+ROW()*0.000000001</f>
        <v>48.4120349695146</v>
      </c>
    </row>
    <row r="5548" customFormat="false" ht="15" hidden="false" customHeight="false" outlineLevel="0" collapsed="false">
      <c r="A5548" s="0" t="n">
        <v>7</v>
      </c>
      <c r="B5548" s="0" t="n">
        <v>5</v>
      </c>
      <c r="C5548" s="0" t="n">
        <v>3</v>
      </c>
      <c r="D5548" s="0" t="n">
        <v>8</v>
      </c>
      <c r="E5548" s="0" t="n">
        <f aca="false">-1+A5548*0.25</f>
        <v>0.75</v>
      </c>
      <c r="F5548" s="0" t="n">
        <f aca="false">-1+B5548*0.25</f>
        <v>0.25</v>
      </c>
      <c r="G5548" s="0" t="n">
        <f aca="false">-1+C5548*0.25</f>
        <v>-0.25</v>
      </c>
      <c r="H5548" s="0" t="n">
        <f aca="false">-1+D5548*0.25</f>
        <v>1</v>
      </c>
      <c r="I5548" s="0" t="n">
        <f aca="false">1</f>
        <v>1</v>
      </c>
      <c r="J5548" s="0" t="n">
        <f aca="false">E5548</f>
        <v>0.75</v>
      </c>
      <c r="K5548" s="0" t="n">
        <f aca="false">F5548</f>
        <v>0.25</v>
      </c>
      <c r="L5548" s="0" t="n">
        <f aca="false">G5548</f>
        <v>-0.25</v>
      </c>
      <c r="M5548" s="0" t="n">
        <f aca="false">H5548</f>
        <v>1</v>
      </c>
      <c r="N5548" s="0" t="n">
        <f aca="false">E5548*F5548</f>
        <v>0.1875</v>
      </c>
      <c r="O5548" s="0" t="n">
        <f aca="false">E5548*G5548</f>
        <v>-0.1875</v>
      </c>
      <c r="P5548" s="0" t="n">
        <f aca="false">E5548*H5548</f>
        <v>0.75</v>
      </c>
      <c r="Q5548" s="0" t="n">
        <f aca="false">F5548*G5548</f>
        <v>-0.0625</v>
      </c>
      <c r="R5548" s="0" t="n">
        <f aca="false">F5548*H5548</f>
        <v>0.25</v>
      </c>
      <c r="S5548" s="0" t="n">
        <f aca="false">G5548*H5548</f>
        <v>-0.25</v>
      </c>
      <c r="T5548" s="0" t="n">
        <f aca="false">E5548*E5548</f>
        <v>0.5625</v>
      </c>
      <c r="U5548" s="0" t="n">
        <f aca="false">F5548*F5548</f>
        <v>0.0625</v>
      </c>
      <c r="V5548" s="0" t="n">
        <f aca="false">G5548*G5548</f>
        <v>0.0625</v>
      </c>
      <c r="W5548" s="0" t="n">
        <f aca="false">H5548*H5548</f>
        <v>1</v>
      </c>
      <c r="X5548" s="0" t="n">
        <f aca="false">SUMPRODUCT(I5548:W5548,_XtX!$B$96:$P$96)</f>
        <v>48.33828125</v>
      </c>
      <c r="Y5548" s="0" t="n">
        <f aca="false">SUMPRODUCT(MMULT(I5548:W5548,_XtX!$B$78:$P$92),I5548:W5548)</f>
        <v>0.486409505208334</v>
      </c>
      <c r="Z5548" s="0" t="n">
        <f aca="false">04_回帰ANOVA!$K$19*04_回帰ANOVA!$K$14*SQRT(1+Y5548)</f>
        <v>1.58916001665498</v>
      </c>
      <c r="AA5548" s="0" t="n">
        <f aca="false">X5548-Z5548</f>
        <v>46.749121233345</v>
      </c>
      <c r="AB5548" s="0" t="n">
        <f aca="false">X5548+Z5548</f>
        <v>49.927441266655</v>
      </c>
      <c r="AC5548" s="54" t="b">
        <f aca="false">AND(E5548&gt;=01_因子設定!$L$5-0.000000001,E5548&lt;=01_因子設定!$M$5+0.000000001,F5548&gt;=01_因子設定!$L$6-0.000000001,F5548&lt;=01_因子設定!$M$6+0.000000001,G5548&gt;=01_因子設定!$L$7-0.000000001,G5548&lt;=01_因子設定!$M$7+0.000000001,H5548&gt;=01_因子設定!$L$8-0.000000001,H5548&lt;=01_因子設定!$M$8+0.000000001,IF(01_因子設定!$B$20="Box-Behnken",E5548^2+F5548^2+G5548^2+H5548^2&lt;=2+0.000000001,TRUE()))</f>
        <v>1</v>
      </c>
      <c r="AD5548" s="55" t="n">
        <f aca="false">IF(AC5548,IF(01_因子設定!$B$13="最大化",AA5548-01_因子設定!$B$14,IF(01_因子設定!$B$13="最小化",01_因子設定!$B$15-AB5548,MIN(AA5548-01_因子設定!$B$14,01_因子設定!$B$15-AB5548))),-1E+030)</f>
        <v>0.249121233345043</v>
      </c>
      <c r="AE5548" s="55" t="n">
        <f aca="false">IF(AC5548,IF(01_因子設定!$B$13="最大化",X5548,IF(01_因子設定!$B$13="最小化",-X5548,-ABS(X5548-01_因子設定!$B$16))),-1E+030)</f>
        <v>48.33828125</v>
      </c>
      <c r="AF5548" s="55" t="n">
        <f aca="false">AD5548+ROW()*0.000000001</f>
        <v>0.249126781345043</v>
      </c>
      <c r="AG5548" s="55" t="n">
        <f aca="false">AE5548+ROW()*0.000000001</f>
        <v>48.338286798</v>
      </c>
    </row>
    <row r="5549" customFormat="false" ht="15" hidden="false" customHeight="false" outlineLevel="0" collapsed="false">
      <c r="A5549" s="0" t="n">
        <v>7</v>
      </c>
      <c r="B5549" s="0" t="n">
        <v>5</v>
      </c>
      <c r="C5549" s="0" t="n">
        <v>4</v>
      </c>
      <c r="D5549" s="0" t="n">
        <v>0</v>
      </c>
      <c r="E5549" s="0" t="n">
        <f aca="false">-1+A5549*0.25</f>
        <v>0.75</v>
      </c>
      <c r="F5549" s="0" t="n">
        <f aca="false">-1+B5549*0.25</f>
        <v>0.25</v>
      </c>
      <c r="G5549" s="0" t="n">
        <f aca="false">-1+C5549*0.25</f>
        <v>0</v>
      </c>
      <c r="H5549" s="0" t="n">
        <f aca="false">-1+D5549*0.25</f>
        <v>-1</v>
      </c>
      <c r="I5549" s="0" t="n">
        <f aca="false">1</f>
        <v>1</v>
      </c>
      <c r="J5549" s="0" t="n">
        <f aca="false">E5549</f>
        <v>0.75</v>
      </c>
      <c r="K5549" s="0" t="n">
        <f aca="false">F5549</f>
        <v>0.25</v>
      </c>
      <c r="L5549" s="0" t="n">
        <f aca="false">G5549</f>
        <v>0</v>
      </c>
      <c r="M5549" s="0" t="n">
        <f aca="false">H5549</f>
        <v>-1</v>
      </c>
      <c r="N5549" s="0" t="n">
        <f aca="false">E5549*F5549</f>
        <v>0.1875</v>
      </c>
      <c r="O5549" s="0" t="n">
        <f aca="false">E5549*G5549</f>
        <v>0</v>
      </c>
      <c r="P5549" s="0" t="n">
        <f aca="false">E5549*H5549</f>
        <v>-0.75</v>
      </c>
      <c r="Q5549" s="0" t="n">
        <f aca="false">F5549*G5549</f>
        <v>0</v>
      </c>
      <c r="R5549" s="0" t="n">
        <f aca="false">F5549*H5549</f>
        <v>-0.25</v>
      </c>
      <c r="S5549" s="0" t="n">
        <f aca="false">G5549*H5549</f>
        <v>-0</v>
      </c>
      <c r="T5549" s="0" t="n">
        <f aca="false">E5549*E5549</f>
        <v>0.5625</v>
      </c>
      <c r="U5549" s="0" t="n">
        <f aca="false">F5549*F5549</f>
        <v>0.0625</v>
      </c>
      <c r="V5549" s="0" t="n">
        <f aca="false">G5549*G5549</f>
        <v>0</v>
      </c>
      <c r="W5549" s="0" t="n">
        <f aca="false">H5549*H5549</f>
        <v>1</v>
      </c>
      <c r="X5549" s="0" t="n">
        <f aca="false">SUMPRODUCT(I5549:W5549,_XtX!$B$96:$P$96)</f>
        <v>47.7039382309942</v>
      </c>
      <c r="Y5549" s="0" t="n">
        <f aca="false">SUMPRODUCT(MMULT(I5549:W5549,_XtX!$B$78:$P$92),I5549:W5549)</f>
        <v>0.501534802174708</v>
      </c>
      <c r="Z5549" s="0" t="n">
        <f aca="false">04_回帰ANOVA!$K$19*04_回帰ANOVA!$K$14*SQRT(1+Y5549)</f>
        <v>1.59722498091333</v>
      </c>
      <c r="AA5549" s="0" t="n">
        <f aca="false">X5549-Z5549</f>
        <v>46.1067132500808</v>
      </c>
      <c r="AB5549" s="0" t="n">
        <f aca="false">X5549+Z5549</f>
        <v>49.3011632119075</v>
      </c>
      <c r="AC5549" s="54" t="b">
        <f aca="false">AND(E5549&gt;=01_因子設定!$L$5-0.000000001,E5549&lt;=01_因子設定!$M$5+0.000000001,F5549&gt;=01_因子設定!$L$6-0.000000001,F5549&lt;=01_因子設定!$M$6+0.000000001,G5549&gt;=01_因子設定!$L$7-0.000000001,G5549&lt;=01_因子設定!$M$7+0.000000001,H5549&gt;=01_因子設定!$L$8-0.000000001,H5549&lt;=01_因子設定!$M$8+0.000000001,IF(01_因子設定!$B$20="Box-Behnken",E5549^2+F5549^2+G5549^2+H5549^2&lt;=2+0.000000001,TRUE()))</f>
        <v>1</v>
      </c>
      <c r="AD5549" s="55" t="n">
        <f aca="false">IF(AC5549,IF(01_因子設定!$B$13="最大化",AA5549-01_因子設定!$B$14,IF(01_因子設定!$B$13="最小化",01_因子設定!$B$15-AB5549,MIN(AA5549-01_因子設定!$B$14,01_因子設定!$B$15-AB5549))),-1E+030)</f>
        <v>-0.393286749919156</v>
      </c>
      <c r="AE5549" s="55" t="n">
        <f aca="false">IF(AC5549,IF(01_因子設定!$B$13="最大化",X5549,IF(01_因子設定!$B$13="最小化",-X5549,-ABS(X5549-01_因子設定!$B$16))),-1E+030)</f>
        <v>47.7039382309942</v>
      </c>
      <c r="AF5549" s="55" t="n">
        <f aca="false">AD5549+ROW()*0.000000001</f>
        <v>-0.393281200919156</v>
      </c>
      <c r="AG5549" s="55" t="n">
        <f aca="false">AE5549+ROW()*0.000000001</f>
        <v>47.7039437799942</v>
      </c>
    </row>
    <row r="5550" customFormat="false" ht="15" hidden="false" customHeight="false" outlineLevel="0" collapsed="false">
      <c r="A5550" s="0" t="n">
        <v>7</v>
      </c>
      <c r="B5550" s="0" t="n">
        <v>5</v>
      </c>
      <c r="C5550" s="0" t="n">
        <v>4</v>
      </c>
      <c r="D5550" s="0" t="n">
        <v>1</v>
      </c>
      <c r="E5550" s="0" t="n">
        <f aca="false">-1+A5550*0.25</f>
        <v>0.75</v>
      </c>
      <c r="F5550" s="0" t="n">
        <f aca="false">-1+B5550*0.25</f>
        <v>0.25</v>
      </c>
      <c r="G5550" s="0" t="n">
        <f aca="false">-1+C5550*0.25</f>
        <v>0</v>
      </c>
      <c r="H5550" s="0" t="n">
        <f aca="false">-1+D5550*0.25</f>
        <v>-0.75</v>
      </c>
      <c r="I5550" s="0" t="n">
        <f aca="false">1</f>
        <v>1</v>
      </c>
      <c r="J5550" s="0" t="n">
        <f aca="false">E5550</f>
        <v>0.75</v>
      </c>
      <c r="K5550" s="0" t="n">
        <f aca="false">F5550</f>
        <v>0.25</v>
      </c>
      <c r="L5550" s="0" t="n">
        <f aca="false">G5550</f>
        <v>0</v>
      </c>
      <c r="M5550" s="0" t="n">
        <f aca="false">H5550</f>
        <v>-0.75</v>
      </c>
      <c r="N5550" s="0" t="n">
        <f aca="false">E5550*F5550</f>
        <v>0.1875</v>
      </c>
      <c r="O5550" s="0" t="n">
        <f aca="false">E5550*G5550</f>
        <v>0</v>
      </c>
      <c r="P5550" s="0" t="n">
        <f aca="false">E5550*H5550</f>
        <v>-0.5625</v>
      </c>
      <c r="Q5550" s="0" t="n">
        <f aca="false">F5550*G5550</f>
        <v>0</v>
      </c>
      <c r="R5550" s="0" t="n">
        <f aca="false">F5550*H5550</f>
        <v>-0.1875</v>
      </c>
      <c r="S5550" s="0" t="n">
        <f aca="false">G5550*H5550</f>
        <v>-0</v>
      </c>
      <c r="T5550" s="0" t="n">
        <f aca="false">E5550*E5550</f>
        <v>0.5625</v>
      </c>
      <c r="U5550" s="0" t="n">
        <f aca="false">F5550*F5550</f>
        <v>0.0625</v>
      </c>
      <c r="V5550" s="0" t="n">
        <f aca="false">G5550*G5550</f>
        <v>0</v>
      </c>
      <c r="W5550" s="0" t="n">
        <f aca="false">H5550*H5550</f>
        <v>0.5625</v>
      </c>
      <c r="X5550" s="0" t="n">
        <f aca="false">SUMPRODUCT(I5550:W5550,_XtX!$B$96:$P$96)</f>
        <v>47.9828079312866</v>
      </c>
      <c r="Y5550" s="0" t="n">
        <f aca="false">SUMPRODUCT(MMULT(I5550:W5550,_XtX!$B$78:$P$92),I5550:W5550)</f>
        <v>0.281685455500731</v>
      </c>
      <c r="Z5550" s="0" t="n">
        <f aca="false">04_回帰ANOVA!$K$19*04_回帰ANOVA!$K$14*SQRT(1+Y5550)</f>
        <v>1.47566956658694</v>
      </c>
      <c r="AA5550" s="0" t="n">
        <f aca="false">X5550-Z5550</f>
        <v>46.5071383646996</v>
      </c>
      <c r="AB5550" s="0" t="n">
        <f aca="false">X5550+Z5550</f>
        <v>49.4584774978735</v>
      </c>
      <c r="AC5550" s="54" t="b">
        <f aca="false">AND(E5550&gt;=01_因子設定!$L$5-0.000000001,E5550&lt;=01_因子設定!$M$5+0.000000001,F5550&gt;=01_因子設定!$L$6-0.000000001,F5550&lt;=01_因子設定!$M$6+0.000000001,G5550&gt;=01_因子設定!$L$7-0.000000001,G5550&lt;=01_因子設定!$M$7+0.000000001,H5550&gt;=01_因子設定!$L$8-0.000000001,H5550&lt;=01_因子設定!$M$8+0.000000001,IF(01_因子設定!$B$20="Box-Behnken",E5550^2+F5550^2+G5550^2+H5550^2&lt;=2+0.000000001,TRUE()))</f>
        <v>1</v>
      </c>
      <c r="AD5550" s="55" t="n">
        <f aca="false">IF(AC5550,IF(01_因子設定!$B$13="最大化",AA5550-01_因子設定!$B$14,IF(01_因子設定!$B$13="最小化",01_因子設定!$B$15-AB5550,MIN(AA5550-01_因子設定!$B$14,01_因子設定!$B$15-AB5550))),-1E+030)</f>
        <v>0.00713836469962104</v>
      </c>
      <c r="AE5550" s="55" t="n">
        <f aca="false">IF(AC5550,IF(01_因子設定!$B$13="最大化",X5550,IF(01_因子設定!$B$13="最小化",-X5550,-ABS(X5550-01_因子設定!$B$16))),-1E+030)</f>
        <v>47.9828079312866</v>
      </c>
      <c r="AF5550" s="55" t="n">
        <f aca="false">AD5550+ROW()*0.000000001</f>
        <v>0.00714391469962104</v>
      </c>
      <c r="AG5550" s="55" t="n">
        <f aca="false">AE5550+ROW()*0.000000001</f>
        <v>47.9828134812866</v>
      </c>
    </row>
    <row r="5551" customFormat="false" ht="15" hidden="false" customHeight="false" outlineLevel="0" collapsed="false">
      <c r="A5551" s="0" t="n">
        <v>7</v>
      </c>
      <c r="B5551" s="0" t="n">
        <v>5</v>
      </c>
      <c r="C5551" s="0" t="n">
        <v>4</v>
      </c>
      <c r="D5551" s="0" t="n">
        <v>2</v>
      </c>
      <c r="E5551" s="0" t="n">
        <f aca="false">-1+A5551*0.25</f>
        <v>0.75</v>
      </c>
      <c r="F5551" s="0" t="n">
        <f aca="false">-1+B5551*0.25</f>
        <v>0.25</v>
      </c>
      <c r="G5551" s="0" t="n">
        <f aca="false">-1+C5551*0.25</f>
        <v>0</v>
      </c>
      <c r="H5551" s="0" t="n">
        <f aca="false">-1+D5551*0.25</f>
        <v>-0.5</v>
      </c>
      <c r="I5551" s="0" t="n">
        <f aca="false">1</f>
        <v>1</v>
      </c>
      <c r="J5551" s="0" t="n">
        <f aca="false">E5551</f>
        <v>0.75</v>
      </c>
      <c r="K5551" s="0" t="n">
        <f aca="false">F5551</f>
        <v>0.25</v>
      </c>
      <c r="L5551" s="0" t="n">
        <f aca="false">G5551</f>
        <v>0</v>
      </c>
      <c r="M5551" s="0" t="n">
        <f aca="false">H5551</f>
        <v>-0.5</v>
      </c>
      <c r="N5551" s="0" t="n">
        <f aca="false">E5551*F5551</f>
        <v>0.1875</v>
      </c>
      <c r="O5551" s="0" t="n">
        <f aca="false">E5551*G5551</f>
        <v>0</v>
      </c>
      <c r="P5551" s="0" t="n">
        <f aca="false">E5551*H5551</f>
        <v>-0.375</v>
      </c>
      <c r="Q5551" s="0" t="n">
        <f aca="false">F5551*G5551</f>
        <v>0</v>
      </c>
      <c r="R5551" s="0" t="n">
        <f aca="false">F5551*H5551</f>
        <v>-0.125</v>
      </c>
      <c r="S5551" s="0" t="n">
        <f aca="false">G5551*H5551</f>
        <v>-0</v>
      </c>
      <c r="T5551" s="0" t="n">
        <f aca="false">E5551*E5551</f>
        <v>0.5625</v>
      </c>
      <c r="U5551" s="0" t="n">
        <f aca="false">F5551*F5551</f>
        <v>0.0625</v>
      </c>
      <c r="V5551" s="0" t="n">
        <f aca="false">G5551*G5551</f>
        <v>0</v>
      </c>
      <c r="W5551" s="0" t="n">
        <f aca="false">H5551*H5551</f>
        <v>0.25</v>
      </c>
      <c r="X5551" s="0" t="n">
        <f aca="false">SUMPRODUCT(I5551:W5551,_XtX!$B$96:$P$96)</f>
        <v>48.2138706140351</v>
      </c>
      <c r="Y5551" s="0" t="n">
        <f aca="false">SUMPRODUCT(MMULT(I5551:W5551,_XtX!$B$78:$P$92),I5551:W5551)</f>
        <v>0.215110734192252</v>
      </c>
      <c r="Z5551" s="0" t="n">
        <f aca="false">04_回帰ANOVA!$K$19*04_回帰ANOVA!$K$14*SQRT(1+Y5551)</f>
        <v>1.43683309086864</v>
      </c>
      <c r="AA5551" s="0" t="n">
        <f aca="false">X5551-Z5551</f>
        <v>46.7770375231664</v>
      </c>
      <c r="AB5551" s="0" t="n">
        <f aca="false">X5551+Z5551</f>
        <v>49.6507037049037</v>
      </c>
      <c r="AC5551" s="54" t="b">
        <f aca="false">AND(E5551&gt;=01_因子設定!$L$5-0.000000001,E5551&lt;=01_因子設定!$M$5+0.000000001,F5551&gt;=01_因子設定!$L$6-0.000000001,F5551&lt;=01_因子設定!$M$6+0.000000001,G5551&gt;=01_因子設定!$L$7-0.000000001,G5551&lt;=01_因子設定!$M$7+0.000000001,H5551&gt;=01_因子設定!$L$8-0.000000001,H5551&lt;=01_因子設定!$M$8+0.000000001,IF(01_因子設定!$B$20="Box-Behnken",E5551^2+F5551^2+G5551^2+H5551^2&lt;=2+0.000000001,TRUE()))</f>
        <v>1</v>
      </c>
      <c r="AD5551" s="55" t="n">
        <f aca="false">IF(AC5551,IF(01_因子設定!$B$13="最大化",AA5551-01_因子設定!$B$14,IF(01_因子設定!$B$13="最小化",01_因子設定!$B$15-AB5551,MIN(AA5551-01_因子設定!$B$14,01_因子設定!$B$15-AB5551))),-1E+030)</f>
        <v>0.277037523166435</v>
      </c>
      <c r="AE5551" s="55" t="n">
        <f aca="false">IF(AC5551,IF(01_因子設定!$B$13="最大化",X5551,IF(01_因子設定!$B$13="最小化",-X5551,-ABS(X5551-01_因子設定!$B$16))),-1E+030)</f>
        <v>48.2138706140351</v>
      </c>
      <c r="AF5551" s="55" t="n">
        <f aca="false">AD5551+ROW()*0.000000001</f>
        <v>0.277043074166435</v>
      </c>
      <c r="AG5551" s="55" t="n">
        <f aca="false">AE5551+ROW()*0.000000001</f>
        <v>48.2138761650351</v>
      </c>
    </row>
    <row r="5552" customFormat="false" ht="15" hidden="false" customHeight="false" outlineLevel="0" collapsed="false">
      <c r="A5552" s="0" t="n">
        <v>7</v>
      </c>
      <c r="B5552" s="0" t="n">
        <v>5</v>
      </c>
      <c r="C5552" s="0" t="n">
        <v>4</v>
      </c>
      <c r="D5552" s="0" t="n">
        <v>3</v>
      </c>
      <c r="E5552" s="0" t="n">
        <f aca="false">-1+A5552*0.25</f>
        <v>0.75</v>
      </c>
      <c r="F5552" s="0" t="n">
        <f aca="false">-1+B5552*0.25</f>
        <v>0.25</v>
      </c>
      <c r="G5552" s="0" t="n">
        <f aca="false">-1+C5552*0.25</f>
        <v>0</v>
      </c>
      <c r="H5552" s="0" t="n">
        <f aca="false">-1+D5552*0.25</f>
        <v>-0.25</v>
      </c>
      <c r="I5552" s="0" t="n">
        <f aca="false">1</f>
        <v>1</v>
      </c>
      <c r="J5552" s="0" t="n">
        <f aca="false">E5552</f>
        <v>0.75</v>
      </c>
      <c r="K5552" s="0" t="n">
        <f aca="false">F5552</f>
        <v>0.25</v>
      </c>
      <c r="L5552" s="0" t="n">
        <f aca="false">G5552</f>
        <v>0</v>
      </c>
      <c r="M5552" s="0" t="n">
        <f aca="false">H5552</f>
        <v>-0.25</v>
      </c>
      <c r="N5552" s="0" t="n">
        <f aca="false">E5552*F5552</f>
        <v>0.1875</v>
      </c>
      <c r="O5552" s="0" t="n">
        <f aca="false">E5552*G5552</f>
        <v>0</v>
      </c>
      <c r="P5552" s="0" t="n">
        <f aca="false">E5552*H5552</f>
        <v>-0.1875</v>
      </c>
      <c r="Q5552" s="0" t="n">
        <f aca="false">F5552*G5552</f>
        <v>0</v>
      </c>
      <c r="R5552" s="0" t="n">
        <f aca="false">F5552*H5552</f>
        <v>-0.0625</v>
      </c>
      <c r="S5552" s="0" t="n">
        <f aca="false">G5552*H5552</f>
        <v>-0</v>
      </c>
      <c r="T5552" s="0" t="n">
        <f aca="false">E5552*E5552</f>
        <v>0.5625</v>
      </c>
      <c r="U5552" s="0" t="n">
        <f aca="false">F5552*F5552</f>
        <v>0.0625</v>
      </c>
      <c r="V5552" s="0" t="n">
        <f aca="false">G5552*G5552</f>
        <v>0</v>
      </c>
      <c r="W5552" s="0" t="n">
        <f aca="false">H5552*H5552</f>
        <v>0.0625</v>
      </c>
      <c r="X5552" s="0" t="n">
        <f aca="false">SUMPRODUCT(I5552:W5552,_XtX!$B$96:$P$96)</f>
        <v>48.3971262792398</v>
      </c>
      <c r="Y5552" s="0" t="n">
        <f aca="false">SUMPRODUCT(MMULT(I5552:W5552,_XtX!$B$78:$P$92),I5552:W5552)</f>
        <v>0.21135011193348</v>
      </c>
      <c r="Z5552" s="0" t="n">
        <f aca="false">04_回帰ANOVA!$K$19*04_回帰ANOVA!$K$14*SQRT(1+Y5552)</f>
        <v>1.43460795469709</v>
      </c>
      <c r="AA5552" s="0" t="n">
        <f aca="false">X5552-Z5552</f>
        <v>46.9625183245427</v>
      </c>
      <c r="AB5552" s="0" t="n">
        <f aca="false">X5552+Z5552</f>
        <v>49.8317342339368</v>
      </c>
      <c r="AC5552" s="54" t="b">
        <f aca="false">AND(E5552&gt;=01_因子設定!$L$5-0.000000001,E5552&lt;=01_因子設定!$M$5+0.000000001,F5552&gt;=01_因子設定!$L$6-0.000000001,F5552&lt;=01_因子設定!$M$6+0.000000001,G5552&gt;=01_因子設定!$L$7-0.000000001,G5552&lt;=01_因子設定!$M$7+0.000000001,H5552&gt;=01_因子設定!$L$8-0.000000001,H5552&lt;=01_因子設定!$M$8+0.000000001,IF(01_因子設定!$B$20="Box-Behnken",E5552^2+F5552^2+G5552^2+H5552^2&lt;=2+0.000000001,TRUE()))</f>
        <v>1</v>
      </c>
      <c r="AD5552" s="55" t="n">
        <f aca="false">IF(AC5552,IF(01_因子設定!$B$13="最大化",AA5552-01_因子設定!$B$14,IF(01_因子設定!$B$13="最小化",01_因子設定!$B$15-AB5552,MIN(AA5552-01_因子設定!$B$14,01_因子設定!$B$15-AB5552))),-1E+030)</f>
        <v>0.462518324542664</v>
      </c>
      <c r="AE5552" s="55" t="n">
        <f aca="false">IF(AC5552,IF(01_因子設定!$B$13="最大化",X5552,IF(01_因子設定!$B$13="最小化",-X5552,-ABS(X5552-01_因子設定!$B$16))),-1E+030)</f>
        <v>48.3971262792398</v>
      </c>
      <c r="AF5552" s="55" t="n">
        <f aca="false">AD5552+ROW()*0.000000001</f>
        <v>0.462523876542664</v>
      </c>
      <c r="AG5552" s="55" t="n">
        <f aca="false">AE5552+ROW()*0.000000001</f>
        <v>48.3971318312398</v>
      </c>
    </row>
    <row r="5553" customFormat="false" ht="15" hidden="false" customHeight="false" outlineLevel="0" collapsed="false">
      <c r="A5553" s="0" t="n">
        <v>7</v>
      </c>
      <c r="B5553" s="0" t="n">
        <v>5</v>
      </c>
      <c r="C5553" s="0" t="n">
        <v>4</v>
      </c>
      <c r="D5553" s="0" t="n">
        <v>4</v>
      </c>
      <c r="E5553" s="0" t="n">
        <f aca="false">-1+A5553*0.25</f>
        <v>0.75</v>
      </c>
      <c r="F5553" s="0" t="n">
        <f aca="false">-1+B5553*0.25</f>
        <v>0.25</v>
      </c>
      <c r="G5553" s="0" t="n">
        <f aca="false">-1+C5553*0.25</f>
        <v>0</v>
      </c>
      <c r="H5553" s="0" t="n">
        <f aca="false">-1+D5553*0.25</f>
        <v>0</v>
      </c>
      <c r="I5553" s="0" t="n">
        <f aca="false">1</f>
        <v>1</v>
      </c>
      <c r="J5553" s="0" t="n">
        <f aca="false">E5553</f>
        <v>0.75</v>
      </c>
      <c r="K5553" s="0" t="n">
        <f aca="false">F5553</f>
        <v>0.25</v>
      </c>
      <c r="L5553" s="0" t="n">
        <f aca="false">G5553</f>
        <v>0</v>
      </c>
      <c r="M5553" s="0" t="n">
        <f aca="false">H5553</f>
        <v>0</v>
      </c>
      <c r="N5553" s="0" t="n">
        <f aca="false">E5553*F5553</f>
        <v>0.1875</v>
      </c>
      <c r="O5553" s="0" t="n">
        <f aca="false">E5553*G5553</f>
        <v>0</v>
      </c>
      <c r="P5553" s="0" t="n">
        <f aca="false">E5553*H5553</f>
        <v>0</v>
      </c>
      <c r="Q5553" s="0" t="n">
        <f aca="false">F5553*G5553</f>
        <v>0</v>
      </c>
      <c r="R5553" s="0" t="n">
        <f aca="false">F5553*H5553</f>
        <v>0</v>
      </c>
      <c r="S5553" s="0" t="n">
        <f aca="false">G5553*H5553</f>
        <v>0</v>
      </c>
      <c r="T5553" s="0" t="n">
        <f aca="false">E5553*E5553</f>
        <v>0.5625</v>
      </c>
      <c r="U5553" s="0" t="n">
        <f aca="false">F5553*F5553</f>
        <v>0.0625</v>
      </c>
      <c r="V5553" s="0" t="n">
        <f aca="false">G5553*G5553</f>
        <v>0</v>
      </c>
      <c r="W5553" s="0" t="n">
        <f aca="false">H5553*H5553</f>
        <v>0</v>
      </c>
      <c r="X5553" s="0" t="n">
        <f aca="false">SUMPRODUCT(I5553:W5553,_XtX!$B$96:$P$96)</f>
        <v>48.5325749269006</v>
      </c>
      <c r="Y5553" s="0" t="n">
        <f aca="false">SUMPRODUCT(MMULT(I5553:W5553,_XtX!$B$78:$P$92),I5553:W5553)</f>
        <v>0.216127272934942</v>
      </c>
      <c r="Z5553" s="0" t="n">
        <f aca="false">04_回帰ANOVA!$K$19*04_回帰ANOVA!$K$14*SQRT(1+Y5553)</f>
        <v>1.43743397896608</v>
      </c>
      <c r="AA5553" s="0" t="n">
        <f aca="false">X5553-Z5553</f>
        <v>47.0951409479345</v>
      </c>
      <c r="AB5553" s="0" t="n">
        <f aca="false">X5553+Z5553</f>
        <v>49.9700089058666</v>
      </c>
      <c r="AC5553" s="54" t="b">
        <f aca="false">AND(E5553&gt;=01_因子設定!$L$5-0.000000001,E5553&lt;=01_因子設定!$M$5+0.000000001,F5553&gt;=01_因子設定!$L$6-0.000000001,F5553&lt;=01_因子設定!$M$6+0.000000001,G5553&gt;=01_因子設定!$L$7-0.000000001,G5553&lt;=01_因子設定!$M$7+0.000000001,H5553&gt;=01_因子設定!$L$8-0.000000001,H5553&lt;=01_因子設定!$M$8+0.000000001,IF(01_因子設定!$B$20="Box-Behnken",E5553^2+F5553^2+G5553^2+H5553^2&lt;=2+0.000000001,TRUE()))</f>
        <v>1</v>
      </c>
      <c r="AD5553" s="55" t="n">
        <f aca="false">IF(AC5553,IF(01_因子設定!$B$13="最大化",AA5553-01_因子設定!$B$14,IF(01_因子設定!$B$13="最小化",01_因子設定!$B$15-AB5553,MIN(AA5553-01_因子設定!$B$14,01_因子設定!$B$15-AB5553))),-1E+030)</f>
        <v>0.595140947934489</v>
      </c>
      <c r="AE5553" s="55" t="n">
        <f aca="false">IF(AC5553,IF(01_因子設定!$B$13="最大化",X5553,IF(01_因子設定!$B$13="最小化",-X5553,-ABS(X5553-01_因子設定!$B$16))),-1E+030)</f>
        <v>48.5325749269006</v>
      </c>
      <c r="AF5553" s="55" t="n">
        <f aca="false">AD5553+ROW()*0.000000001</f>
        <v>0.595146500934489</v>
      </c>
      <c r="AG5553" s="55" t="n">
        <f aca="false">AE5553+ROW()*0.000000001</f>
        <v>48.5325804799006</v>
      </c>
    </row>
    <row r="5554" customFormat="false" ht="15" hidden="false" customHeight="false" outlineLevel="0" collapsed="false">
      <c r="A5554" s="0" t="n">
        <v>7</v>
      </c>
      <c r="B5554" s="0" t="n">
        <v>5</v>
      </c>
      <c r="C5554" s="0" t="n">
        <v>4</v>
      </c>
      <c r="D5554" s="0" t="n">
        <v>5</v>
      </c>
      <c r="E5554" s="0" t="n">
        <f aca="false">-1+A5554*0.25</f>
        <v>0.75</v>
      </c>
      <c r="F5554" s="0" t="n">
        <f aca="false">-1+B5554*0.25</f>
        <v>0.25</v>
      </c>
      <c r="G5554" s="0" t="n">
        <f aca="false">-1+C5554*0.25</f>
        <v>0</v>
      </c>
      <c r="H5554" s="0" t="n">
        <f aca="false">-1+D5554*0.25</f>
        <v>0.25</v>
      </c>
      <c r="I5554" s="0" t="n">
        <f aca="false">1</f>
        <v>1</v>
      </c>
      <c r="J5554" s="0" t="n">
        <f aca="false">E5554</f>
        <v>0.75</v>
      </c>
      <c r="K5554" s="0" t="n">
        <f aca="false">F5554</f>
        <v>0.25</v>
      </c>
      <c r="L5554" s="0" t="n">
        <f aca="false">G5554</f>
        <v>0</v>
      </c>
      <c r="M5554" s="0" t="n">
        <f aca="false">H5554</f>
        <v>0.25</v>
      </c>
      <c r="N5554" s="0" t="n">
        <f aca="false">E5554*F5554</f>
        <v>0.1875</v>
      </c>
      <c r="O5554" s="0" t="n">
        <f aca="false">E5554*G5554</f>
        <v>0</v>
      </c>
      <c r="P5554" s="0" t="n">
        <f aca="false">E5554*H5554</f>
        <v>0.1875</v>
      </c>
      <c r="Q5554" s="0" t="n">
        <f aca="false">F5554*G5554</f>
        <v>0</v>
      </c>
      <c r="R5554" s="0" t="n">
        <f aca="false">F5554*H5554</f>
        <v>0.0625</v>
      </c>
      <c r="S5554" s="0" t="n">
        <f aca="false">G5554*H5554</f>
        <v>0</v>
      </c>
      <c r="T5554" s="0" t="n">
        <f aca="false">E5554*E5554</f>
        <v>0.5625</v>
      </c>
      <c r="U5554" s="0" t="n">
        <f aca="false">F5554*F5554</f>
        <v>0.0625</v>
      </c>
      <c r="V5554" s="0" t="n">
        <f aca="false">G5554*G5554</f>
        <v>0</v>
      </c>
      <c r="W5554" s="0" t="n">
        <f aca="false">H5554*H5554</f>
        <v>0.0625</v>
      </c>
      <c r="X5554" s="0" t="n">
        <f aca="false">SUMPRODUCT(I5554:W5554,_XtX!$B$96:$P$96)</f>
        <v>48.6202165570175</v>
      </c>
      <c r="Y5554" s="0" t="n">
        <f aca="false">SUMPRODUCT(MMULT(I5554:W5554,_XtX!$B$78:$P$92),I5554:W5554)</f>
        <v>0.21135011193348</v>
      </c>
      <c r="Z5554" s="0" t="n">
        <f aca="false">04_回帰ANOVA!$K$19*04_回帰ANOVA!$K$14*SQRT(1+Y5554)</f>
        <v>1.43460795469709</v>
      </c>
      <c r="AA5554" s="0" t="n">
        <f aca="false">X5554-Z5554</f>
        <v>47.1856086023204</v>
      </c>
      <c r="AB5554" s="0" t="n">
        <f aca="false">X5554+Z5554</f>
        <v>50.0548245117146</v>
      </c>
      <c r="AC5554" s="54" t="b">
        <f aca="false">AND(E5554&gt;=01_因子設定!$L$5-0.000000001,E5554&lt;=01_因子設定!$M$5+0.000000001,F5554&gt;=01_因子設定!$L$6-0.000000001,F5554&lt;=01_因子設定!$M$6+0.000000001,G5554&gt;=01_因子設定!$L$7-0.000000001,G5554&lt;=01_因子設定!$M$7+0.000000001,H5554&gt;=01_因子設定!$L$8-0.000000001,H5554&lt;=01_因子設定!$M$8+0.000000001,IF(01_因子設定!$B$20="Box-Behnken",E5554^2+F5554^2+G5554^2+H5554^2&lt;=2+0.000000001,TRUE()))</f>
        <v>1</v>
      </c>
      <c r="AD5554" s="55" t="n">
        <f aca="false">IF(AC5554,IF(01_因子設定!$B$13="最大化",AA5554-01_因子設定!$B$14,IF(01_因子設定!$B$13="最小化",01_因子設定!$B$15-AB5554,MIN(AA5554-01_因子設定!$B$14,01_因子設定!$B$15-AB5554))),-1E+030)</f>
        <v>0.685608602320443</v>
      </c>
      <c r="AE5554" s="55" t="n">
        <f aca="false">IF(AC5554,IF(01_因子設定!$B$13="最大化",X5554,IF(01_因子設定!$B$13="最小化",-X5554,-ABS(X5554-01_因子設定!$B$16))),-1E+030)</f>
        <v>48.6202165570175</v>
      </c>
      <c r="AF5554" s="55" t="n">
        <f aca="false">AD5554+ROW()*0.000000001</f>
        <v>0.685614156320443</v>
      </c>
      <c r="AG5554" s="55" t="n">
        <f aca="false">AE5554+ROW()*0.000000001</f>
        <v>48.6202221110175</v>
      </c>
    </row>
    <row r="5555" customFormat="false" ht="15" hidden="false" customHeight="false" outlineLevel="0" collapsed="false">
      <c r="A5555" s="0" t="n">
        <v>7</v>
      </c>
      <c r="B5555" s="0" t="n">
        <v>5</v>
      </c>
      <c r="C5555" s="0" t="n">
        <v>4</v>
      </c>
      <c r="D5555" s="0" t="n">
        <v>6</v>
      </c>
      <c r="E5555" s="0" t="n">
        <f aca="false">-1+A5555*0.25</f>
        <v>0.75</v>
      </c>
      <c r="F5555" s="0" t="n">
        <f aca="false">-1+B5555*0.25</f>
        <v>0.25</v>
      </c>
      <c r="G5555" s="0" t="n">
        <f aca="false">-1+C5555*0.25</f>
        <v>0</v>
      </c>
      <c r="H5555" s="0" t="n">
        <f aca="false">-1+D5555*0.25</f>
        <v>0.5</v>
      </c>
      <c r="I5555" s="0" t="n">
        <f aca="false">1</f>
        <v>1</v>
      </c>
      <c r="J5555" s="0" t="n">
        <f aca="false">E5555</f>
        <v>0.75</v>
      </c>
      <c r="K5555" s="0" t="n">
        <f aca="false">F5555</f>
        <v>0.25</v>
      </c>
      <c r="L5555" s="0" t="n">
        <f aca="false">G5555</f>
        <v>0</v>
      </c>
      <c r="M5555" s="0" t="n">
        <f aca="false">H5555</f>
        <v>0.5</v>
      </c>
      <c r="N5555" s="0" t="n">
        <f aca="false">E5555*F5555</f>
        <v>0.1875</v>
      </c>
      <c r="O5555" s="0" t="n">
        <f aca="false">E5555*G5555</f>
        <v>0</v>
      </c>
      <c r="P5555" s="0" t="n">
        <f aca="false">E5555*H5555</f>
        <v>0.375</v>
      </c>
      <c r="Q5555" s="0" t="n">
        <f aca="false">F5555*G5555</f>
        <v>0</v>
      </c>
      <c r="R5555" s="0" t="n">
        <f aca="false">F5555*H5555</f>
        <v>0.125</v>
      </c>
      <c r="S5555" s="0" t="n">
        <f aca="false">G5555*H5555</f>
        <v>0</v>
      </c>
      <c r="T5555" s="0" t="n">
        <f aca="false">E5555*E5555</f>
        <v>0.5625</v>
      </c>
      <c r="U5555" s="0" t="n">
        <f aca="false">F5555*F5555</f>
        <v>0.0625</v>
      </c>
      <c r="V5555" s="0" t="n">
        <f aca="false">G5555*G5555</f>
        <v>0</v>
      </c>
      <c r="W5555" s="0" t="n">
        <f aca="false">H5555*H5555</f>
        <v>0.25</v>
      </c>
      <c r="X5555" s="0" t="n">
        <f aca="false">SUMPRODUCT(I5555:W5555,_XtX!$B$96:$P$96)</f>
        <v>48.6600511695906</v>
      </c>
      <c r="Y5555" s="0" t="n">
        <f aca="false">SUMPRODUCT(MMULT(I5555:W5555,_XtX!$B$78:$P$92),I5555:W5555)</f>
        <v>0.215110734192252</v>
      </c>
      <c r="Z5555" s="0" t="n">
        <f aca="false">04_回帰ANOVA!$K$19*04_回帰ANOVA!$K$14*SQRT(1+Y5555)</f>
        <v>1.43683309086864</v>
      </c>
      <c r="AA5555" s="0" t="n">
        <f aca="false">X5555-Z5555</f>
        <v>47.223218078722</v>
      </c>
      <c r="AB5555" s="0" t="n">
        <f aca="false">X5555+Z5555</f>
        <v>50.0968842604593</v>
      </c>
      <c r="AC5555" s="54" t="b">
        <f aca="false">AND(E5555&gt;=01_因子設定!$L$5-0.000000001,E5555&lt;=01_因子設定!$M$5+0.000000001,F5555&gt;=01_因子設定!$L$6-0.000000001,F5555&lt;=01_因子設定!$M$6+0.000000001,G5555&gt;=01_因子設定!$L$7-0.000000001,G5555&lt;=01_因子設定!$M$7+0.000000001,H5555&gt;=01_因子設定!$L$8-0.000000001,H5555&lt;=01_因子設定!$M$8+0.000000001,IF(01_因子設定!$B$20="Box-Behnken",E5555^2+F5555^2+G5555^2+H5555^2&lt;=2+0.000000001,TRUE()))</f>
        <v>1</v>
      </c>
      <c r="AD5555" s="55" t="n">
        <f aca="false">IF(AC5555,IF(01_因子設定!$B$13="最大化",AA5555-01_因子設定!$B$14,IF(01_因子設定!$B$13="最小化",01_因子設定!$B$15-AB5555,MIN(AA5555-01_因子設定!$B$14,01_因子設定!$B$15-AB5555))),-1E+030)</f>
        <v>0.723218078721992</v>
      </c>
      <c r="AE5555" s="55" t="n">
        <f aca="false">IF(AC5555,IF(01_因子設定!$B$13="最大化",X5555,IF(01_因子設定!$B$13="最小化",-X5555,-ABS(X5555-01_因子設定!$B$16))),-1E+030)</f>
        <v>48.6600511695906</v>
      </c>
      <c r="AF5555" s="55" t="n">
        <f aca="false">AD5555+ROW()*0.000000001</f>
        <v>0.723223633721992</v>
      </c>
      <c r="AG5555" s="55" t="n">
        <f aca="false">AE5555+ROW()*0.000000001</f>
        <v>48.6600567245906</v>
      </c>
    </row>
    <row r="5556" customFormat="false" ht="15" hidden="false" customHeight="false" outlineLevel="0" collapsed="false">
      <c r="A5556" s="0" t="n">
        <v>7</v>
      </c>
      <c r="B5556" s="0" t="n">
        <v>5</v>
      </c>
      <c r="C5556" s="0" t="n">
        <v>4</v>
      </c>
      <c r="D5556" s="0" t="n">
        <v>7</v>
      </c>
      <c r="E5556" s="0" t="n">
        <f aca="false">-1+A5556*0.25</f>
        <v>0.75</v>
      </c>
      <c r="F5556" s="0" t="n">
        <f aca="false">-1+B5556*0.25</f>
        <v>0.25</v>
      </c>
      <c r="G5556" s="0" t="n">
        <f aca="false">-1+C5556*0.25</f>
        <v>0</v>
      </c>
      <c r="H5556" s="0" t="n">
        <f aca="false">-1+D5556*0.25</f>
        <v>0.75</v>
      </c>
      <c r="I5556" s="0" t="n">
        <f aca="false">1</f>
        <v>1</v>
      </c>
      <c r="J5556" s="0" t="n">
        <f aca="false">E5556</f>
        <v>0.75</v>
      </c>
      <c r="K5556" s="0" t="n">
        <f aca="false">F5556</f>
        <v>0.25</v>
      </c>
      <c r="L5556" s="0" t="n">
        <f aca="false">G5556</f>
        <v>0</v>
      </c>
      <c r="M5556" s="0" t="n">
        <f aca="false">H5556</f>
        <v>0.75</v>
      </c>
      <c r="N5556" s="0" t="n">
        <f aca="false">E5556*F5556</f>
        <v>0.1875</v>
      </c>
      <c r="O5556" s="0" t="n">
        <f aca="false">E5556*G5556</f>
        <v>0</v>
      </c>
      <c r="P5556" s="0" t="n">
        <f aca="false">E5556*H5556</f>
        <v>0.5625</v>
      </c>
      <c r="Q5556" s="0" t="n">
        <f aca="false">F5556*G5556</f>
        <v>0</v>
      </c>
      <c r="R5556" s="0" t="n">
        <f aca="false">F5556*H5556</f>
        <v>0.1875</v>
      </c>
      <c r="S5556" s="0" t="n">
        <f aca="false">G5556*H5556</f>
        <v>0</v>
      </c>
      <c r="T5556" s="0" t="n">
        <f aca="false">E5556*E5556</f>
        <v>0.5625</v>
      </c>
      <c r="U5556" s="0" t="n">
        <f aca="false">F5556*F5556</f>
        <v>0.0625</v>
      </c>
      <c r="V5556" s="0" t="n">
        <f aca="false">G5556*G5556</f>
        <v>0</v>
      </c>
      <c r="W5556" s="0" t="n">
        <f aca="false">H5556*H5556</f>
        <v>0.5625</v>
      </c>
      <c r="X5556" s="0" t="n">
        <f aca="false">SUMPRODUCT(I5556:W5556,_XtX!$B$96:$P$96)</f>
        <v>48.6520787646199</v>
      </c>
      <c r="Y5556" s="0" t="n">
        <f aca="false">SUMPRODUCT(MMULT(I5556:W5556,_XtX!$B$78:$P$92),I5556:W5556)</f>
        <v>0.281685455500731</v>
      </c>
      <c r="Z5556" s="0" t="n">
        <f aca="false">04_回帰ANOVA!$K$19*04_回帰ANOVA!$K$14*SQRT(1+Y5556)</f>
        <v>1.47566956658694</v>
      </c>
      <c r="AA5556" s="0" t="n">
        <f aca="false">X5556-Z5556</f>
        <v>47.176409198033</v>
      </c>
      <c r="AB5556" s="0" t="n">
        <f aca="false">X5556+Z5556</f>
        <v>50.1277483312068</v>
      </c>
      <c r="AC5556" s="54" t="b">
        <f aca="false">AND(E5556&gt;=01_因子設定!$L$5-0.000000001,E5556&lt;=01_因子設定!$M$5+0.000000001,F5556&gt;=01_因子設定!$L$6-0.000000001,F5556&lt;=01_因子設定!$M$6+0.000000001,G5556&gt;=01_因子設定!$L$7-0.000000001,G5556&lt;=01_因子設定!$M$7+0.000000001,H5556&gt;=01_因子設定!$L$8-0.000000001,H5556&lt;=01_因子設定!$M$8+0.000000001,IF(01_因子設定!$B$20="Box-Behnken",E5556^2+F5556^2+G5556^2+H5556^2&lt;=2+0.000000001,TRUE()))</f>
        <v>1</v>
      </c>
      <c r="AD5556" s="55" t="n">
        <f aca="false">IF(AC5556,IF(01_因子設定!$B$13="最大化",AA5556-01_因子設定!$B$14,IF(01_因子設定!$B$13="最小化",01_因子設定!$B$15-AB5556,MIN(AA5556-01_因子設定!$B$14,01_因子設定!$B$15-AB5556))),-1E+030)</f>
        <v>0.67640919803295</v>
      </c>
      <c r="AE5556" s="55" t="n">
        <f aca="false">IF(AC5556,IF(01_因子設定!$B$13="最大化",X5556,IF(01_因子設定!$B$13="最小化",-X5556,-ABS(X5556-01_因子設定!$B$16))),-1E+030)</f>
        <v>48.6520787646199</v>
      </c>
      <c r="AF5556" s="55" t="n">
        <f aca="false">AD5556+ROW()*0.000000001</f>
        <v>0.67641475403295</v>
      </c>
      <c r="AG5556" s="55" t="n">
        <f aca="false">AE5556+ROW()*0.000000001</f>
        <v>48.6520843206199</v>
      </c>
    </row>
    <row r="5557" customFormat="false" ht="15" hidden="false" customHeight="false" outlineLevel="0" collapsed="false">
      <c r="A5557" s="0" t="n">
        <v>7</v>
      </c>
      <c r="B5557" s="0" t="n">
        <v>5</v>
      </c>
      <c r="C5557" s="0" t="n">
        <v>4</v>
      </c>
      <c r="D5557" s="0" t="n">
        <v>8</v>
      </c>
      <c r="E5557" s="0" t="n">
        <f aca="false">-1+A5557*0.25</f>
        <v>0.75</v>
      </c>
      <c r="F5557" s="0" t="n">
        <f aca="false">-1+B5557*0.25</f>
        <v>0.25</v>
      </c>
      <c r="G5557" s="0" t="n">
        <f aca="false">-1+C5557*0.25</f>
        <v>0</v>
      </c>
      <c r="H5557" s="0" t="n">
        <f aca="false">-1+D5557*0.25</f>
        <v>1</v>
      </c>
      <c r="I5557" s="0" t="n">
        <f aca="false">1</f>
        <v>1</v>
      </c>
      <c r="J5557" s="0" t="n">
        <f aca="false">E5557</f>
        <v>0.75</v>
      </c>
      <c r="K5557" s="0" t="n">
        <f aca="false">F5557</f>
        <v>0.25</v>
      </c>
      <c r="L5557" s="0" t="n">
        <f aca="false">G5557</f>
        <v>0</v>
      </c>
      <c r="M5557" s="0" t="n">
        <f aca="false">H5557</f>
        <v>1</v>
      </c>
      <c r="N5557" s="0" t="n">
        <f aca="false">E5557*F5557</f>
        <v>0.1875</v>
      </c>
      <c r="O5557" s="0" t="n">
        <f aca="false">E5557*G5557</f>
        <v>0</v>
      </c>
      <c r="P5557" s="0" t="n">
        <f aca="false">E5557*H5557</f>
        <v>0.75</v>
      </c>
      <c r="Q5557" s="0" t="n">
        <f aca="false">F5557*G5557</f>
        <v>0</v>
      </c>
      <c r="R5557" s="0" t="n">
        <f aca="false">F5557*H5557</f>
        <v>0.25</v>
      </c>
      <c r="S5557" s="0" t="n">
        <f aca="false">G5557*H5557</f>
        <v>0</v>
      </c>
      <c r="T5557" s="0" t="n">
        <f aca="false">E5557*E5557</f>
        <v>0.5625</v>
      </c>
      <c r="U5557" s="0" t="n">
        <f aca="false">F5557*F5557</f>
        <v>0.0625</v>
      </c>
      <c r="V5557" s="0" t="n">
        <f aca="false">G5557*G5557</f>
        <v>0</v>
      </c>
      <c r="W5557" s="0" t="n">
        <f aca="false">H5557*H5557</f>
        <v>1</v>
      </c>
      <c r="X5557" s="0" t="n">
        <f aca="false">SUMPRODUCT(I5557:W5557,_XtX!$B$96:$P$96)</f>
        <v>48.5962993421053</v>
      </c>
      <c r="Y5557" s="0" t="n">
        <f aca="false">SUMPRODUCT(MMULT(I5557:W5557,_XtX!$B$78:$P$92),I5557:W5557)</f>
        <v>0.501534802174708</v>
      </c>
      <c r="Z5557" s="0" t="n">
        <f aca="false">04_回帰ANOVA!$K$19*04_回帰ANOVA!$K$14*SQRT(1+Y5557)</f>
        <v>1.59722498091333</v>
      </c>
      <c r="AA5557" s="0" t="n">
        <f aca="false">X5557-Z5557</f>
        <v>46.999074361192</v>
      </c>
      <c r="AB5557" s="0" t="n">
        <f aca="false">X5557+Z5557</f>
        <v>50.1935243230186</v>
      </c>
      <c r="AC5557" s="54" t="b">
        <f aca="false">AND(E5557&gt;=01_因子設定!$L$5-0.000000001,E5557&lt;=01_因子設定!$M$5+0.000000001,F5557&gt;=01_因子設定!$L$6-0.000000001,F5557&lt;=01_因子設定!$M$6+0.000000001,G5557&gt;=01_因子設定!$L$7-0.000000001,G5557&lt;=01_因子設定!$M$7+0.000000001,H5557&gt;=01_因子設定!$L$8-0.000000001,H5557&lt;=01_因子設定!$M$8+0.000000001,IF(01_因子設定!$B$20="Box-Behnken",E5557^2+F5557^2+G5557^2+H5557^2&lt;=2+0.000000001,TRUE()))</f>
        <v>1</v>
      </c>
      <c r="AD5557" s="55" t="n">
        <f aca="false">IF(AC5557,IF(01_因子設定!$B$13="最大化",AA5557-01_因子設定!$B$14,IF(01_因子設定!$B$13="最小化",01_因子設定!$B$15-AB5557,MIN(AA5557-01_因子設定!$B$14,01_因子設定!$B$15-AB5557))),-1E+030)</f>
        <v>0.499074361191951</v>
      </c>
      <c r="AE5557" s="55" t="n">
        <f aca="false">IF(AC5557,IF(01_因子設定!$B$13="最大化",X5557,IF(01_因子設定!$B$13="最小化",-X5557,-ABS(X5557-01_因子設定!$B$16))),-1E+030)</f>
        <v>48.5962993421053</v>
      </c>
      <c r="AF5557" s="55" t="n">
        <f aca="false">AD5557+ROW()*0.000000001</f>
        <v>0.499079918191951</v>
      </c>
      <c r="AG5557" s="55" t="n">
        <f aca="false">AE5557+ROW()*0.000000001</f>
        <v>48.5963048991053</v>
      </c>
    </row>
    <row r="5558" customFormat="false" ht="15" hidden="false" customHeight="false" outlineLevel="0" collapsed="false">
      <c r="A5558" s="0" t="n">
        <v>7</v>
      </c>
      <c r="B5558" s="0" t="n">
        <v>5</v>
      </c>
      <c r="C5558" s="0" t="n">
        <v>5</v>
      </c>
      <c r="D5558" s="0" t="n">
        <v>0</v>
      </c>
      <c r="E5558" s="0" t="n">
        <f aca="false">-1+A5558*0.25</f>
        <v>0.75</v>
      </c>
      <c r="F5558" s="0" t="n">
        <f aca="false">-1+B5558*0.25</f>
        <v>0.25</v>
      </c>
      <c r="G5558" s="0" t="n">
        <f aca="false">-1+C5558*0.25</f>
        <v>0.25</v>
      </c>
      <c r="H5558" s="0" t="n">
        <f aca="false">-1+D5558*0.25</f>
        <v>-1</v>
      </c>
      <c r="I5558" s="0" t="n">
        <f aca="false">1</f>
        <v>1</v>
      </c>
      <c r="J5558" s="0" t="n">
        <f aca="false">E5558</f>
        <v>0.75</v>
      </c>
      <c r="K5558" s="0" t="n">
        <f aca="false">F5558</f>
        <v>0.25</v>
      </c>
      <c r="L5558" s="0" t="n">
        <f aca="false">G5558</f>
        <v>0.25</v>
      </c>
      <c r="M5558" s="0" t="n">
        <f aca="false">H5558</f>
        <v>-1</v>
      </c>
      <c r="N5558" s="0" t="n">
        <f aca="false">E5558*F5558</f>
        <v>0.1875</v>
      </c>
      <c r="O5558" s="0" t="n">
        <f aca="false">E5558*G5558</f>
        <v>0.1875</v>
      </c>
      <c r="P5558" s="0" t="n">
        <f aca="false">E5558*H5558</f>
        <v>-0.75</v>
      </c>
      <c r="Q5558" s="0" t="n">
        <f aca="false">F5558*G5558</f>
        <v>0.0625</v>
      </c>
      <c r="R5558" s="0" t="n">
        <f aca="false">F5558*H5558</f>
        <v>-0.25</v>
      </c>
      <c r="S5558" s="0" t="n">
        <f aca="false">G5558*H5558</f>
        <v>-0.25</v>
      </c>
      <c r="T5558" s="0" t="n">
        <f aca="false">E5558*E5558</f>
        <v>0.5625</v>
      </c>
      <c r="U5558" s="0" t="n">
        <f aca="false">F5558*F5558</f>
        <v>0.0625</v>
      </c>
      <c r="V5558" s="0" t="n">
        <f aca="false">G5558*G5558</f>
        <v>0.0625</v>
      </c>
      <c r="W5558" s="0" t="n">
        <f aca="false">H5558*H5558</f>
        <v>1</v>
      </c>
      <c r="X5558" s="0" t="n">
        <f aca="false">SUMPRODUCT(I5558:W5558,_XtX!$B$96:$P$96)</f>
        <v>47.7328993055556</v>
      </c>
      <c r="Y5558" s="0" t="n">
        <f aca="false">SUMPRODUCT(MMULT(I5558:W5558,_XtX!$B$78:$P$92),I5558:W5558)</f>
        <v>0.486409505208334</v>
      </c>
      <c r="Z5558" s="0" t="n">
        <f aca="false">04_回帰ANOVA!$K$19*04_回帰ANOVA!$K$14*SQRT(1+Y5558)</f>
        <v>1.58916001665498</v>
      </c>
      <c r="AA5558" s="0" t="n">
        <f aca="false">X5558-Z5558</f>
        <v>46.1437392889006</v>
      </c>
      <c r="AB5558" s="0" t="n">
        <f aca="false">X5558+Z5558</f>
        <v>49.3220593222106</v>
      </c>
      <c r="AC5558" s="54" t="b">
        <f aca="false">AND(E5558&gt;=01_因子設定!$L$5-0.000000001,E5558&lt;=01_因子設定!$M$5+0.000000001,F5558&gt;=01_因子設定!$L$6-0.000000001,F5558&lt;=01_因子設定!$M$6+0.000000001,G5558&gt;=01_因子設定!$L$7-0.000000001,G5558&lt;=01_因子設定!$M$7+0.000000001,H5558&gt;=01_因子設定!$L$8-0.000000001,H5558&lt;=01_因子設定!$M$8+0.000000001,IF(01_因子設定!$B$20="Box-Behnken",E5558^2+F5558^2+G5558^2+H5558^2&lt;=2+0.000000001,TRUE()))</f>
        <v>1</v>
      </c>
      <c r="AD5558" s="55" t="n">
        <f aca="false">IF(AC5558,IF(01_因子設定!$B$13="最大化",AA5558-01_因子設定!$B$14,IF(01_因子設定!$B$13="最小化",01_因子設定!$B$15-AB5558,MIN(AA5558-01_因子設定!$B$14,01_因子設定!$B$15-AB5558))),-1E+030)</f>
        <v>-0.356260711099402</v>
      </c>
      <c r="AE5558" s="55" t="n">
        <f aca="false">IF(AC5558,IF(01_因子設定!$B$13="最大化",X5558,IF(01_因子設定!$B$13="最小化",-X5558,-ABS(X5558-01_因子設定!$B$16))),-1E+030)</f>
        <v>47.7328993055556</v>
      </c>
      <c r="AF5558" s="55" t="n">
        <f aca="false">AD5558+ROW()*0.000000001</f>
        <v>-0.356255153099402</v>
      </c>
      <c r="AG5558" s="55" t="n">
        <f aca="false">AE5558+ROW()*0.000000001</f>
        <v>47.7329048635556</v>
      </c>
    </row>
    <row r="5559" customFormat="false" ht="15" hidden="false" customHeight="false" outlineLevel="0" collapsed="false">
      <c r="A5559" s="0" t="n">
        <v>7</v>
      </c>
      <c r="B5559" s="0" t="n">
        <v>5</v>
      </c>
      <c r="C5559" s="0" t="n">
        <v>5</v>
      </c>
      <c r="D5559" s="0" t="n">
        <v>1</v>
      </c>
      <c r="E5559" s="0" t="n">
        <f aca="false">-1+A5559*0.25</f>
        <v>0.75</v>
      </c>
      <c r="F5559" s="0" t="n">
        <f aca="false">-1+B5559*0.25</f>
        <v>0.25</v>
      </c>
      <c r="G5559" s="0" t="n">
        <f aca="false">-1+C5559*0.25</f>
        <v>0.25</v>
      </c>
      <c r="H5559" s="0" t="n">
        <f aca="false">-1+D5559*0.25</f>
        <v>-0.75</v>
      </c>
      <c r="I5559" s="0" t="n">
        <f aca="false">1</f>
        <v>1</v>
      </c>
      <c r="J5559" s="0" t="n">
        <f aca="false">E5559</f>
        <v>0.75</v>
      </c>
      <c r="K5559" s="0" t="n">
        <f aca="false">F5559</f>
        <v>0.25</v>
      </c>
      <c r="L5559" s="0" t="n">
        <f aca="false">G5559</f>
        <v>0.25</v>
      </c>
      <c r="M5559" s="0" t="n">
        <f aca="false">H5559</f>
        <v>-0.75</v>
      </c>
      <c r="N5559" s="0" t="n">
        <f aca="false">E5559*F5559</f>
        <v>0.1875</v>
      </c>
      <c r="O5559" s="0" t="n">
        <f aca="false">E5559*G5559</f>
        <v>0.1875</v>
      </c>
      <c r="P5559" s="0" t="n">
        <f aca="false">E5559*H5559</f>
        <v>-0.5625</v>
      </c>
      <c r="Q5559" s="0" t="n">
        <f aca="false">F5559*G5559</f>
        <v>0.0625</v>
      </c>
      <c r="R5559" s="0" t="n">
        <f aca="false">F5559*H5559</f>
        <v>-0.1875</v>
      </c>
      <c r="S5559" s="0" t="n">
        <f aca="false">G5559*H5559</f>
        <v>-0.1875</v>
      </c>
      <c r="T5559" s="0" t="n">
        <f aca="false">E5559*E5559</f>
        <v>0.5625</v>
      </c>
      <c r="U5559" s="0" t="n">
        <f aca="false">F5559*F5559</f>
        <v>0.0625</v>
      </c>
      <c r="V5559" s="0" t="n">
        <f aca="false">G5559*G5559</f>
        <v>0.0625</v>
      </c>
      <c r="W5559" s="0" t="n">
        <f aca="false">H5559*H5559</f>
        <v>0.5625</v>
      </c>
      <c r="X5559" s="0" t="n">
        <f aca="false">SUMPRODUCT(I5559:W5559,_XtX!$B$96:$P$96)</f>
        <v>48.029737755848</v>
      </c>
      <c r="Y5559" s="0" t="n">
        <f aca="false">SUMPRODUCT(MMULT(I5559:W5559,_XtX!$B$78:$P$92),I5559:W5559)</f>
        <v>0.271087468019006</v>
      </c>
      <c r="Z5559" s="0" t="n">
        <f aca="false">04_回帰ANOVA!$K$19*04_回帰ANOVA!$K$14*SQRT(1+Y5559)</f>
        <v>1.46955590155034</v>
      </c>
      <c r="AA5559" s="0" t="n">
        <f aca="false">X5559-Z5559</f>
        <v>46.5601818542976</v>
      </c>
      <c r="AB5559" s="0" t="n">
        <f aca="false">X5559+Z5559</f>
        <v>49.4992936573983</v>
      </c>
      <c r="AC5559" s="54" t="b">
        <f aca="false">AND(E5559&gt;=01_因子設定!$L$5-0.000000001,E5559&lt;=01_因子設定!$M$5+0.000000001,F5559&gt;=01_因子設定!$L$6-0.000000001,F5559&lt;=01_因子設定!$M$6+0.000000001,G5559&gt;=01_因子設定!$L$7-0.000000001,G5559&lt;=01_因子設定!$M$7+0.000000001,H5559&gt;=01_因子設定!$L$8-0.000000001,H5559&lt;=01_因子設定!$M$8+0.000000001,IF(01_因子設定!$B$20="Box-Behnken",E5559^2+F5559^2+G5559^2+H5559^2&lt;=2+0.000000001,TRUE()))</f>
        <v>1</v>
      </c>
      <c r="AD5559" s="55" t="n">
        <f aca="false">IF(AC5559,IF(01_因子設定!$B$13="最大化",AA5559-01_因子設定!$B$14,IF(01_因子設定!$B$13="最小化",01_因子設定!$B$15-AB5559,MIN(AA5559-01_因子設定!$B$14,01_因子設定!$B$15-AB5559))),-1E+030)</f>
        <v>0.0601818542976176</v>
      </c>
      <c r="AE5559" s="55" t="n">
        <f aca="false">IF(AC5559,IF(01_因子設定!$B$13="最大化",X5559,IF(01_因子設定!$B$13="最小化",-X5559,-ABS(X5559-01_因子設定!$B$16))),-1E+030)</f>
        <v>48.029737755848</v>
      </c>
      <c r="AF5559" s="55" t="n">
        <f aca="false">AD5559+ROW()*0.000000001</f>
        <v>0.0601874132976176</v>
      </c>
      <c r="AG5559" s="55" t="n">
        <f aca="false">AE5559+ROW()*0.000000001</f>
        <v>48.029743314848</v>
      </c>
    </row>
    <row r="5560" customFormat="false" ht="15" hidden="false" customHeight="false" outlineLevel="0" collapsed="false">
      <c r="A5560" s="0" t="n">
        <v>7</v>
      </c>
      <c r="B5560" s="0" t="n">
        <v>5</v>
      </c>
      <c r="C5560" s="0" t="n">
        <v>5</v>
      </c>
      <c r="D5560" s="0" t="n">
        <v>2</v>
      </c>
      <c r="E5560" s="0" t="n">
        <f aca="false">-1+A5560*0.25</f>
        <v>0.75</v>
      </c>
      <c r="F5560" s="0" t="n">
        <f aca="false">-1+B5560*0.25</f>
        <v>0.25</v>
      </c>
      <c r="G5560" s="0" t="n">
        <f aca="false">-1+C5560*0.25</f>
        <v>0.25</v>
      </c>
      <c r="H5560" s="0" t="n">
        <f aca="false">-1+D5560*0.25</f>
        <v>-0.5</v>
      </c>
      <c r="I5560" s="0" t="n">
        <f aca="false">1</f>
        <v>1</v>
      </c>
      <c r="J5560" s="0" t="n">
        <f aca="false">E5560</f>
        <v>0.75</v>
      </c>
      <c r="K5560" s="0" t="n">
        <f aca="false">F5560</f>
        <v>0.25</v>
      </c>
      <c r="L5560" s="0" t="n">
        <f aca="false">G5560</f>
        <v>0.25</v>
      </c>
      <c r="M5560" s="0" t="n">
        <f aca="false">H5560</f>
        <v>-0.5</v>
      </c>
      <c r="N5560" s="0" t="n">
        <f aca="false">E5560*F5560</f>
        <v>0.1875</v>
      </c>
      <c r="O5560" s="0" t="n">
        <f aca="false">E5560*G5560</f>
        <v>0.1875</v>
      </c>
      <c r="P5560" s="0" t="n">
        <f aca="false">E5560*H5560</f>
        <v>-0.375</v>
      </c>
      <c r="Q5560" s="0" t="n">
        <f aca="false">F5560*G5560</f>
        <v>0.0625</v>
      </c>
      <c r="R5560" s="0" t="n">
        <f aca="false">F5560*H5560</f>
        <v>-0.125</v>
      </c>
      <c r="S5560" s="0" t="n">
        <f aca="false">G5560*H5560</f>
        <v>-0.125</v>
      </c>
      <c r="T5560" s="0" t="n">
        <f aca="false">E5560*E5560</f>
        <v>0.5625</v>
      </c>
      <c r="U5560" s="0" t="n">
        <f aca="false">F5560*F5560</f>
        <v>0.0625</v>
      </c>
      <c r="V5560" s="0" t="n">
        <f aca="false">G5560*G5560</f>
        <v>0.0625</v>
      </c>
      <c r="W5560" s="0" t="n">
        <f aca="false">H5560*H5560</f>
        <v>0.25</v>
      </c>
      <c r="X5560" s="0" t="n">
        <f aca="false">SUMPRODUCT(I5560:W5560,_XtX!$B$96:$P$96)</f>
        <v>48.2787691885965</v>
      </c>
      <c r="Y5560" s="0" t="n">
        <f aca="false">SUMPRODUCT(MMULT(I5560:W5560,_XtX!$B$78:$P$92),I5560:W5560)</f>
        <v>0.207746539199561</v>
      </c>
      <c r="Z5560" s="0" t="n">
        <f aca="false">04_回帰ANOVA!$K$19*04_回帰ANOVA!$K$14*SQRT(1+Y5560)</f>
        <v>1.43247250081141</v>
      </c>
      <c r="AA5560" s="0" t="n">
        <f aca="false">X5560-Z5560</f>
        <v>46.8462966877851</v>
      </c>
      <c r="AB5560" s="0" t="n">
        <f aca="false">X5560+Z5560</f>
        <v>49.7112416894079</v>
      </c>
      <c r="AC5560" s="54" t="b">
        <f aca="false">AND(E5560&gt;=01_因子設定!$L$5-0.000000001,E5560&lt;=01_因子設定!$M$5+0.000000001,F5560&gt;=01_因子設定!$L$6-0.000000001,F5560&lt;=01_因子設定!$M$6+0.000000001,G5560&gt;=01_因子設定!$L$7-0.000000001,G5560&lt;=01_因子設定!$M$7+0.000000001,H5560&gt;=01_因子設定!$L$8-0.000000001,H5560&lt;=01_因子設定!$M$8+0.000000001,IF(01_因子設定!$B$20="Box-Behnken",E5560^2+F5560^2+G5560^2+H5560^2&lt;=2+0.000000001,TRUE()))</f>
        <v>1</v>
      </c>
      <c r="AD5560" s="55" t="n">
        <f aca="false">IF(AC5560,IF(01_因子設定!$B$13="最大化",AA5560-01_因子設定!$B$14,IF(01_因子設定!$B$13="最小化",01_因子設定!$B$15-AB5560,MIN(AA5560-01_因子設定!$B$14,01_因子設定!$B$15-AB5560))),-1E+030)</f>
        <v>0.346296687785078</v>
      </c>
      <c r="AE5560" s="55" t="n">
        <f aca="false">IF(AC5560,IF(01_因子設定!$B$13="最大化",X5560,IF(01_因子設定!$B$13="最小化",-X5560,-ABS(X5560-01_因子設定!$B$16))),-1E+030)</f>
        <v>48.2787691885965</v>
      </c>
      <c r="AF5560" s="55" t="n">
        <f aca="false">AD5560+ROW()*0.000000001</f>
        <v>0.346302247785078</v>
      </c>
      <c r="AG5560" s="55" t="n">
        <f aca="false">AE5560+ROW()*0.000000001</f>
        <v>48.2787747485965</v>
      </c>
    </row>
    <row r="5561" customFormat="false" ht="15" hidden="false" customHeight="false" outlineLevel="0" collapsed="false">
      <c r="A5561" s="0" t="n">
        <v>7</v>
      </c>
      <c r="B5561" s="0" t="n">
        <v>5</v>
      </c>
      <c r="C5561" s="0" t="n">
        <v>5</v>
      </c>
      <c r="D5561" s="0" t="n">
        <v>3</v>
      </c>
      <c r="E5561" s="0" t="n">
        <f aca="false">-1+A5561*0.25</f>
        <v>0.75</v>
      </c>
      <c r="F5561" s="0" t="n">
        <f aca="false">-1+B5561*0.25</f>
        <v>0.25</v>
      </c>
      <c r="G5561" s="0" t="n">
        <f aca="false">-1+C5561*0.25</f>
        <v>0.25</v>
      </c>
      <c r="H5561" s="0" t="n">
        <f aca="false">-1+D5561*0.25</f>
        <v>-0.25</v>
      </c>
      <c r="I5561" s="0" t="n">
        <f aca="false">1</f>
        <v>1</v>
      </c>
      <c r="J5561" s="0" t="n">
        <f aca="false">E5561</f>
        <v>0.75</v>
      </c>
      <c r="K5561" s="0" t="n">
        <f aca="false">F5561</f>
        <v>0.25</v>
      </c>
      <c r="L5561" s="0" t="n">
        <f aca="false">G5561</f>
        <v>0.25</v>
      </c>
      <c r="M5561" s="0" t="n">
        <f aca="false">H5561</f>
        <v>-0.25</v>
      </c>
      <c r="N5561" s="0" t="n">
        <f aca="false">E5561*F5561</f>
        <v>0.1875</v>
      </c>
      <c r="O5561" s="0" t="n">
        <f aca="false">E5561*G5561</f>
        <v>0.1875</v>
      </c>
      <c r="P5561" s="0" t="n">
        <f aca="false">E5561*H5561</f>
        <v>-0.1875</v>
      </c>
      <c r="Q5561" s="0" t="n">
        <f aca="false">F5561*G5561</f>
        <v>0.0625</v>
      </c>
      <c r="R5561" s="0" t="n">
        <f aca="false">F5561*H5561</f>
        <v>-0.0625</v>
      </c>
      <c r="S5561" s="0" t="n">
        <f aca="false">G5561*H5561</f>
        <v>-0.0625</v>
      </c>
      <c r="T5561" s="0" t="n">
        <f aca="false">E5561*E5561</f>
        <v>0.5625</v>
      </c>
      <c r="U5561" s="0" t="n">
        <f aca="false">F5561*F5561</f>
        <v>0.0625</v>
      </c>
      <c r="V5561" s="0" t="n">
        <f aca="false">G5561*G5561</f>
        <v>0.0625</v>
      </c>
      <c r="W5561" s="0" t="n">
        <f aca="false">H5561*H5561</f>
        <v>0.0625</v>
      </c>
      <c r="X5561" s="0" t="n">
        <f aca="false">SUMPRODUCT(I5561:W5561,_XtX!$B$96:$P$96)</f>
        <v>48.4799936038012</v>
      </c>
      <c r="Y5561" s="0" t="n">
        <f aca="false">SUMPRODUCT(MMULT(I5561:W5561,_XtX!$B$78:$P$92),I5561:W5561)</f>
        <v>0.205926192434211</v>
      </c>
      <c r="Z5561" s="0" t="n">
        <f aca="false">04_回帰ANOVA!$K$19*04_回帰ANOVA!$K$14*SQRT(1+Y5561)</f>
        <v>1.43139256396246</v>
      </c>
      <c r="AA5561" s="0" t="n">
        <f aca="false">X5561-Z5561</f>
        <v>47.0486010398387</v>
      </c>
      <c r="AB5561" s="0" t="n">
        <f aca="false">X5561+Z5561</f>
        <v>49.9113861677636</v>
      </c>
      <c r="AC5561" s="54" t="b">
        <f aca="false">AND(E5561&gt;=01_因子設定!$L$5-0.000000001,E5561&lt;=01_因子設定!$M$5+0.000000001,F5561&gt;=01_因子設定!$L$6-0.000000001,F5561&lt;=01_因子設定!$M$6+0.000000001,G5561&gt;=01_因子設定!$L$7-0.000000001,G5561&lt;=01_因子設定!$M$7+0.000000001,H5561&gt;=01_因子設定!$L$8-0.000000001,H5561&lt;=01_因子設定!$M$8+0.000000001,IF(01_因子設定!$B$20="Box-Behnken",E5561^2+F5561^2+G5561^2+H5561^2&lt;=2+0.000000001,TRUE()))</f>
        <v>1</v>
      </c>
      <c r="AD5561" s="55" t="n">
        <f aca="false">IF(AC5561,IF(01_因子設定!$B$13="最大化",AA5561-01_因子設定!$B$14,IF(01_因子設定!$B$13="最小化",01_因子設定!$B$15-AB5561,MIN(AA5561-01_因子設定!$B$14,01_因子設定!$B$15-AB5561))),-1E+030)</f>
        <v>0.548601039838694</v>
      </c>
      <c r="AE5561" s="55" t="n">
        <f aca="false">IF(AC5561,IF(01_因子設定!$B$13="最大化",X5561,IF(01_因子設定!$B$13="最小化",-X5561,-ABS(X5561-01_因子設定!$B$16))),-1E+030)</f>
        <v>48.4799936038012</v>
      </c>
      <c r="AF5561" s="55" t="n">
        <f aca="false">AD5561+ROW()*0.000000001</f>
        <v>0.548606600838694</v>
      </c>
      <c r="AG5561" s="55" t="n">
        <f aca="false">AE5561+ROW()*0.000000001</f>
        <v>48.4799991648012</v>
      </c>
    </row>
    <row r="5562" customFormat="false" ht="15" hidden="false" customHeight="false" outlineLevel="0" collapsed="false">
      <c r="A5562" s="0" t="n">
        <v>7</v>
      </c>
      <c r="B5562" s="0" t="n">
        <v>5</v>
      </c>
      <c r="C5562" s="0" t="n">
        <v>5</v>
      </c>
      <c r="D5562" s="0" t="n">
        <v>4</v>
      </c>
      <c r="E5562" s="0" t="n">
        <f aca="false">-1+A5562*0.25</f>
        <v>0.75</v>
      </c>
      <c r="F5562" s="0" t="n">
        <f aca="false">-1+B5562*0.25</f>
        <v>0.25</v>
      </c>
      <c r="G5562" s="0" t="n">
        <f aca="false">-1+C5562*0.25</f>
        <v>0.25</v>
      </c>
      <c r="H5562" s="0" t="n">
        <f aca="false">-1+D5562*0.25</f>
        <v>0</v>
      </c>
      <c r="I5562" s="0" t="n">
        <f aca="false">1</f>
        <v>1</v>
      </c>
      <c r="J5562" s="0" t="n">
        <f aca="false">E5562</f>
        <v>0.75</v>
      </c>
      <c r="K5562" s="0" t="n">
        <f aca="false">F5562</f>
        <v>0.25</v>
      </c>
      <c r="L5562" s="0" t="n">
        <f aca="false">G5562</f>
        <v>0.25</v>
      </c>
      <c r="M5562" s="0" t="n">
        <f aca="false">H5562</f>
        <v>0</v>
      </c>
      <c r="N5562" s="0" t="n">
        <f aca="false">E5562*F5562</f>
        <v>0.1875</v>
      </c>
      <c r="O5562" s="0" t="n">
        <f aca="false">E5562*G5562</f>
        <v>0.1875</v>
      </c>
      <c r="P5562" s="0" t="n">
        <f aca="false">E5562*H5562</f>
        <v>0</v>
      </c>
      <c r="Q5562" s="0" t="n">
        <f aca="false">F5562*G5562</f>
        <v>0.0625</v>
      </c>
      <c r="R5562" s="0" t="n">
        <f aca="false">F5562*H5562</f>
        <v>0</v>
      </c>
      <c r="S5562" s="0" t="n">
        <f aca="false">G5562*H5562</f>
        <v>0</v>
      </c>
      <c r="T5562" s="0" t="n">
        <f aca="false">E5562*E5562</f>
        <v>0.5625</v>
      </c>
      <c r="U5562" s="0" t="n">
        <f aca="false">F5562*F5562</f>
        <v>0.0625</v>
      </c>
      <c r="V5562" s="0" t="n">
        <f aca="false">G5562*G5562</f>
        <v>0.0625</v>
      </c>
      <c r="W5562" s="0" t="n">
        <f aca="false">H5562*H5562</f>
        <v>0</v>
      </c>
      <c r="X5562" s="0" t="n">
        <f aca="false">SUMPRODUCT(I5562:W5562,_XtX!$B$96:$P$96)</f>
        <v>48.633411001462</v>
      </c>
      <c r="Y5562" s="0" t="n">
        <f aca="false">SUMPRODUCT(MMULT(I5562:W5562,_XtX!$B$78:$P$92),I5562:W5562)</f>
        <v>0.21135011193348</v>
      </c>
      <c r="Z5562" s="0" t="n">
        <f aca="false">04_回帰ANOVA!$K$19*04_回帰ANOVA!$K$14*SQRT(1+Y5562)</f>
        <v>1.43460795469709</v>
      </c>
      <c r="AA5562" s="0" t="n">
        <f aca="false">X5562-Z5562</f>
        <v>47.1988030467649</v>
      </c>
      <c r="AB5562" s="0" t="n">
        <f aca="false">X5562+Z5562</f>
        <v>50.0680189561591</v>
      </c>
      <c r="AC5562" s="54" t="b">
        <f aca="false">AND(E5562&gt;=01_因子設定!$L$5-0.000000001,E5562&lt;=01_因子設定!$M$5+0.000000001,F5562&gt;=01_因子設定!$L$6-0.000000001,F5562&lt;=01_因子設定!$M$6+0.000000001,G5562&gt;=01_因子設定!$L$7-0.000000001,G5562&lt;=01_因子設定!$M$7+0.000000001,H5562&gt;=01_因子設定!$L$8-0.000000001,H5562&lt;=01_因子設定!$M$8+0.000000001,IF(01_因子設定!$B$20="Box-Behnken",E5562^2+F5562^2+G5562^2+H5562^2&lt;=2+0.000000001,TRUE()))</f>
        <v>1</v>
      </c>
      <c r="AD5562" s="55" t="n">
        <f aca="false">IF(AC5562,IF(01_因子設定!$B$13="最大化",AA5562-01_因子設定!$B$14,IF(01_因子設定!$B$13="最小化",01_因子設定!$B$15-AB5562,MIN(AA5562-01_因子設定!$B$14,01_因子設定!$B$15-AB5562))),-1E+030)</f>
        <v>0.698803046764887</v>
      </c>
      <c r="AE5562" s="55" t="n">
        <f aca="false">IF(AC5562,IF(01_因子設定!$B$13="最大化",X5562,IF(01_因子設定!$B$13="最小化",-X5562,-ABS(X5562-01_因子設定!$B$16))),-1E+030)</f>
        <v>48.633411001462</v>
      </c>
      <c r="AF5562" s="55" t="n">
        <f aca="false">AD5562+ROW()*0.000000001</f>
        <v>0.698808608764887</v>
      </c>
      <c r="AG5562" s="55" t="n">
        <f aca="false">AE5562+ROW()*0.000000001</f>
        <v>48.633416563462</v>
      </c>
    </row>
    <row r="5563" customFormat="false" ht="15" hidden="false" customHeight="false" outlineLevel="0" collapsed="false">
      <c r="A5563" s="0" t="n">
        <v>7</v>
      </c>
      <c r="B5563" s="0" t="n">
        <v>5</v>
      </c>
      <c r="C5563" s="0" t="n">
        <v>5</v>
      </c>
      <c r="D5563" s="0" t="n">
        <v>5</v>
      </c>
      <c r="E5563" s="0" t="n">
        <f aca="false">-1+A5563*0.25</f>
        <v>0.75</v>
      </c>
      <c r="F5563" s="0" t="n">
        <f aca="false">-1+B5563*0.25</f>
        <v>0.25</v>
      </c>
      <c r="G5563" s="0" t="n">
        <f aca="false">-1+C5563*0.25</f>
        <v>0.25</v>
      </c>
      <c r="H5563" s="0" t="n">
        <f aca="false">-1+D5563*0.25</f>
        <v>0.25</v>
      </c>
      <c r="I5563" s="0" t="n">
        <f aca="false">1</f>
        <v>1</v>
      </c>
      <c r="J5563" s="0" t="n">
        <f aca="false">E5563</f>
        <v>0.75</v>
      </c>
      <c r="K5563" s="0" t="n">
        <f aca="false">F5563</f>
        <v>0.25</v>
      </c>
      <c r="L5563" s="0" t="n">
        <f aca="false">G5563</f>
        <v>0.25</v>
      </c>
      <c r="M5563" s="0" t="n">
        <f aca="false">H5563</f>
        <v>0.25</v>
      </c>
      <c r="N5563" s="0" t="n">
        <f aca="false">E5563*F5563</f>
        <v>0.1875</v>
      </c>
      <c r="O5563" s="0" t="n">
        <f aca="false">E5563*G5563</f>
        <v>0.1875</v>
      </c>
      <c r="P5563" s="0" t="n">
        <f aca="false">E5563*H5563</f>
        <v>0.1875</v>
      </c>
      <c r="Q5563" s="0" t="n">
        <f aca="false">F5563*G5563</f>
        <v>0.0625</v>
      </c>
      <c r="R5563" s="0" t="n">
        <f aca="false">F5563*H5563</f>
        <v>0.0625</v>
      </c>
      <c r="S5563" s="0" t="n">
        <f aca="false">G5563*H5563</f>
        <v>0.0625</v>
      </c>
      <c r="T5563" s="0" t="n">
        <f aca="false">E5563*E5563</f>
        <v>0.5625</v>
      </c>
      <c r="U5563" s="0" t="n">
        <f aca="false">F5563*F5563</f>
        <v>0.0625</v>
      </c>
      <c r="V5563" s="0" t="n">
        <f aca="false">G5563*G5563</f>
        <v>0.0625</v>
      </c>
      <c r="W5563" s="0" t="n">
        <f aca="false">H5563*H5563</f>
        <v>0.0625</v>
      </c>
      <c r="X5563" s="0" t="n">
        <f aca="false">SUMPRODUCT(I5563:W5563,_XtX!$B$96:$P$96)</f>
        <v>48.7390213815789</v>
      </c>
      <c r="Y5563" s="0" t="n">
        <f aca="false">SUMPRODUCT(MMULT(I5563:W5563,_XtX!$B$78:$P$92),I5563:W5563)</f>
        <v>0.205926192434211</v>
      </c>
      <c r="Z5563" s="0" t="n">
        <f aca="false">04_回帰ANOVA!$K$19*04_回帰ANOVA!$K$14*SQRT(1+Y5563)</f>
        <v>1.43139256396246</v>
      </c>
      <c r="AA5563" s="0" t="n">
        <f aca="false">X5563-Z5563</f>
        <v>47.3076288176165</v>
      </c>
      <c r="AB5563" s="0" t="n">
        <f aca="false">X5563+Z5563</f>
        <v>50.1704139455414</v>
      </c>
      <c r="AC5563" s="54" t="b">
        <f aca="false">AND(E5563&gt;=01_因子設定!$L$5-0.000000001,E5563&lt;=01_因子設定!$M$5+0.000000001,F5563&gt;=01_因子設定!$L$6-0.000000001,F5563&lt;=01_因子設定!$M$6+0.000000001,G5563&gt;=01_因子設定!$L$7-0.000000001,G5563&lt;=01_因子設定!$M$7+0.000000001,H5563&gt;=01_因子設定!$L$8-0.000000001,H5563&lt;=01_因子設定!$M$8+0.000000001,IF(01_因子設定!$B$20="Box-Behnken",E5563^2+F5563^2+G5563^2+H5563^2&lt;=2+0.000000001,TRUE()))</f>
        <v>1</v>
      </c>
      <c r="AD5563" s="55" t="n">
        <f aca="false">IF(AC5563,IF(01_因子設定!$B$13="最大化",AA5563-01_因子設定!$B$14,IF(01_因子設定!$B$13="最小化",01_因子設定!$B$15-AB5563,MIN(AA5563-01_因子設定!$B$14,01_因子設定!$B$15-AB5563))),-1E+030)</f>
        <v>0.807628817616475</v>
      </c>
      <c r="AE5563" s="55" t="n">
        <f aca="false">IF(AC5563,IF(01_因子設定!$B$13="最大化",X5563,IF(01_因子設定!$B$13="最小化",-X5563,-ABS(X5563-01_因子設定!$B$16))),-1E+030)</f>
        <v>48.7390213815789</v>
      </c>
      <c r="AF5563" s="55" t="n">
        <f aca="false">AD5563+ROW()*0.000000001</f>
        <v>0.807634380616475</v>
      </c>
      <c r="AG5563" s="55" t="n">
        <f aca="false">AE5563+ROW()*0.000000001</f>
        <v>48.7390269445789</v>
      </c>
    </row>
    <row r="5564" customFormat="false" ht="15" hidden="false" customHeight="false" outlineLevel="0" collapsed="false">
      <c r="A5564" s="0" t="n">
        <v>7</v>
      </c>
      <c r="B5564" s="0" t="n">
        <v>5</v>
      </c>
      <c r="C5564" s="0" t="n">
        <v>5</v>
      </c>
      <c r="D5564" s="0" t="n">
        <v>6</v>
      </c>
      <c r="E5564" s="0" t="n">
        <f aca="false">-1+A5564*0.25</f>
        <v>0.75</v>
      </c>
      <c r="F5564" s="0" t="n">
        <f aca="false">-1+B5564*0.25</f>
        <v>0.25</v>
      </c>
      <c r="G5564" s="0" t="n">
        <f aca="false">-1+C5564*0.25</f>
        <v>0.25</v>
      </c>
      <c r="H5564" s="0" t="n">
        <f aca="false">-1+D5564*0.25</f>
        <v>0.5</v>
      </c>
      <c r="I5564" s="0" t="n">
        <f aca="false">1</f>
        <v>1</v>
      </c>
      <c r="J5564" s="0" t="n">
        <f aca="false">E5564</f>
        <v>0.75</v>
      </c>
      <c r="K5564" s="0" t="n">
        <f aca="false">F5564</f>
        <v>0.25</v>
      </c>
      <c r="L5564" s="0" t="n">
        <f aca="false">G5564</f>
        <v>0.25</v>
      </c>
      <c r="M5564" s="0" t="n">
        <f aca="false">H5564</f>
        <v>0.5</v>
      </c>
      <c r="N5564" s="0" t="n">
        <f aca="false">E5564*F5564</f>
        <v>0.1875</v>
      </c>
      <c r="O5564" s="0" t="n">
        <f aca="false">E5564*G5564</f>
        <v>0.1875</v>
      </c>
      <c r="P5564" s="0" t="n">
        <f aca="false">E5564*H5564</f>
        <v>0.375</v>
      </c>
      <c r="Q5564" s="0" t="n">
        <f aca="false">F5564*G5564</f>
        <v>0.0625</v>
      </c>
      <c r="R5564" s="0" t="n">
        <f aca="false">F5564*H5564</f>
        <v>0.125</v>
      </c>
      <c r="S5564" s="0" t="n">
        <f aca="false">G5564*H5564</f>
        <v>0.125</v>
      </c>
      <c r="T5564" s="0" t="n">
        <f aca="false">E5564*E5564</f>
        <v>0.5625</v>
      </c>
      <c r="U5564" s="0" t="n">
        <f aca="false">F5564*F5564</f>
        <v>0.0625</v>
      </c>
      <c r="V5564" s="0" t="n">
        <f aca="false">G5564*G5564</f>
        <v>0.0625</v>
      </c>
      <c r="W5564" s="0" t="n">
        <f aca="false">H5564*H5564</f>
        <v>0.25</v>
      </c>
      <c r="X5564" s="0" t="n">
        <f aca="false">SUMPRODUCT(I5564:W5564,_XtX!$B$96:$P$96)</f>
        <v>48.796824744152</v>
      </c>
      <c r="Y5564" s="0" t="n">
        <f aca="false">SUMPRODUCT(MMULT(I5564:W5564,_XtX!$B$78:$P$92),I5564:W5564)</f>
        <v>0.207746539199561</v>
      </c>
      <c r="Z5564" s="0" t="n">
        <f aca="false">04_回帰ANOVA!$K$19*04_回帰ANOVA!$K$14*SQRT(1+Y5564)</f>
        <v>1.43247250081141</v>
      </c>
      <c r="AA5564" s="0" t="n">
        <f aca="false">X5564-Z5564</f>
        <v>47.3643522433406</v>
      </c>
      <c r="AB5564" s="0" t="n">
        <f aca="false">X5564+Z5564</f>
        <v>50.2292972449635</v>
      </c>
      <c r="AC5564" s="54" t="b">
        <f aca="false">AND(E5564&gt;=01_因子設定!$L$5-0.000000001,E5564&lt;=01_因子設定!$M$5+0.000000001,F5564&gt;=01_因子設定!$L$6-0.000000001,F5564&lt;=01_因子設定!$M$6+0.000000001,G5564&gt;=01_因子設定!$L$7-0.000000001,G5564&lt;=01_因子設定!$M$7+0.000000001,H5564&gt;=01_因子設定!$L$8-0.000000001,H5564&lt;=01_因子設定!$M$8+0.000000001,IF(01_因子設定!$B$20="Box-Behnken",E5564^2+F5564^2+G5564^2+H5564^2&lt;=2+0.000000001,TRUE()))</f>
        <v>1</v>
      </c>
      <c r="AD5564" s="55" t="n">
        <f aca="false">IF(AC5564,IF(01_因子設定!$B$13="最大化",AA5564-01_因子設定!$B$14,IF(01_因子設定!$B$13="最小化",01_因子設定!$B$15-AB5564,MIN(AA5564-01_因子設定!$B$14,01_因子設定!$B$15-AB5564))),-1E+030)</f>
        <v>0.864352243340633</v>
      </c>
      <c r="AE5564" s="55" t="n">
        <f aca="false">IF(AC5564,IF(01_因子設定!$B$13="最大化",X5564,IF(01_因子設定!$B$13="最小化",-X5564,-ABS(X5564-01_因子設定!$B$16))),-1E+030)</f>
        <v>48.796824744152</v>
      </c>
      <c r="AF5564" s="55" t="n">
        <f aca="false">AD5564+ROW()*0.000000001</f>
        <v>0.864357807340633</v>
      </c>
      <c r="AG5564" s="55" t="n">
        <f aca="false">AE5564+ROW()*0.000000001</f>
        <v>48.796830308152</v>
      </c>
    </row>
    <row r="5565" customFormat="false" ht="15" hidden="false" customHeight="false" outlineLevel="0" collapsed="false">
      <c r="A5565" s="0" t="n">
        <v>7</v>
      </c>
      <c r="B5565" s="0" t="n">
        <v>5</v>
      </c>
      <c r="C5565" s="0" t="n">
        <v>5</v>
      </c>
      <c r="D5565" s="0" t="n">
        <v>7</v>
      </c>
      <c r="E5565" s="0" t="n">
        <f aca="false">-1+A5565*0.25</f>
        <v>0.75</v>
      </c>
      <c r="F5565" s="0" t="n">
        <f aca="false">-1+B5565*0.25</f>
        <v>0.25</v>
      </c>
      <c r="G5565" s="0" t="n">
        <f aca="false">-1+C5565*0.25</f>
        <v>0.25</v>
      </c>
      <c r="H5565" s="0" t="n">
        <f aca="false">-1+D5565*0.25</f>
        <v>0.75</v>
      </c>
      <c r="I5565" s="0" t="n">
        <f aca="false">1</f>
        <v>1</v>
      </c>
      <c r="J5565" s="0" t="n">
        <f aca="false">E5565</f>
        <v>0.75</v>
      </c>
      <c r="K5565" s="0" t="n">
        <f aca="false">F5565</f>
        <v>0.25</v>
      </c>
      <c r="L5565" s="0" t="n">
        <f aca="false">G5565</f>
        <v>0.25</v>
      </c>
      <c r="M5565" s="0" t="n">
        <f aca="false">H5565</f>
        <v>0.75</v>
      </c>
      <c r="N5565" s="0" t="n">
        <f aca="false">E5565*F5565</f>
        <v>0.1875</v>
      </c>
      <c r="O5565" s="0" t="n">
        <f aca="false">E5565*G5565</f>
        <v>0.1875</v>
      </c>
      <c r="P5565" s="0" t="n">
        <f aca="false">E5565*H5565</f>
        <v>0.5625</v>
      </c>
      <c r="Q5565" s="0" t="n">
        <f aca="false">F5565*G5565</f>
        <v>0.0625</v>
      </c>
      <c r="R5565" s="0" t="n">
        <f aca="false">F5565*H5565</f>
        <v>0.1875</v>
      </c>
      <c r="S5565" s="0" t="n">
        <f aca="false">G5565*H5565</f>
        <v>0.1875</v>
      </c>
      <c r="T5565" s="0" t="n">
        <f aca="false">E5565*E5565</f>
        <v>0.5625</v>
      </c>
      <c r="U5565" s="0" t="n">
        <f aca="false">F5565*F5565</f>
        <v>0.0625</v>
      </c>
      <c r="V5565" s="0" t="n">
        <f aca="false">G5565*G5565</f>
        <v>0.0625</v>
      </c>
      <c r="W5565" s="0" t="n">
        <f aca="false">H5565*H5565</f>
        <v>0.5625</v>
      </c>
      <c r="X5565" s="0" t="n">
        <f aca="false">SUMPRODUCT(I5565:W5565,_XtX!$B$96:$P$96)</f>
        <v>48.8068210891813</v>
      </c>
      <c r="Y5565" s="0" t="n">
        <f aca="false">SUMPRODUCT(MMULT(I5565:W5565,_XtX!$B$78:$P$92),I5565:W5565)</f>
        <v>0.271087468019006</v>
      </c>
      <c r="Z5565" s="0" t="n">
        <f aca="false">04_回帰ANOVA!$K$19*04_回帰ANOVA!$K$14*SQRT(1+Y5565)</f>
        <v>1.46955590155034</v>
      </c>
      <c r="AA5565" s="0" t="n">
        <f aca="false">X5565-Z5565</f>
        <v>47.337265187631</v>
      </c>
      <c r="AB5565" s="0" t="n">
        <f aca="false">X5565+Z5565</f>
        <v>50.2763769907316</v>
      </c>
      <c r="AC5565" s="54" t="b">
        <f aca="false">AND(E5565&gt;=01_因子設定!$L$5-0.000000001,E5565&lt;=01_因子設定!$M$5+0.000000001,F5565&gt;=01_因子設定!$L$6-0.000000001,F5565&lt;=01_因子設定!$M$6+0.000000001,G5565&gt;=01_因子設定!$L$7-0.000000001,G5565&lt;=01_因子設定!$M$7+0.000000001,H5565&gt;=01_因子設定!$L$8-0.000000001,H5565&lt;=01_因子設定!$M$8+0.000000001,IF(01_因子設定!$B$20="Box-Behnken",E5565^2+F5565^2+G5565^2+H5565^2&lt;=2+0.000000001,TRUE()))</f>
        <v>1</v>
      </c>
      <c r="AD5565" s="55" t="n">
        <f aca="false">IF(AC5565,IF(01_因子設定!$B$13="最大化",AA5565-01_因子設定!$B$14,IF(01_因子設定!$B$13="最小化",01_因子設定!$B$15-AB5565,MIN(AA5565-01_因子設定!$B$14,01_因子設定!$B$15-AB5565))),-1E+030)</f>
        <v>0.837265187630948</v>
      </c>
      <c r="AE5565" s="55" t="n">
        <f aca="false">IF(AC5565,IF(01_因子設定!$B$13="最大化",X5565,IF(01_因子設定!$B$13="最小化",-X5565,-ABS(X5565-01_因子設定!$B$16))),-1E+030)</f>
        <v>48.8068210891813</v>
      </c>
      <c r="AF5565" s="55" t="n">
        <f aca="false">AD5565+ROW()*0.000000001</f>
        <v>0.837270752630948</v>
      </c>
      <c r="AG5565" s="55" t="n">
        <f aca="false">AE5565+ROW()*0.000000001</f>
        <v>48.8068266541813</v>
      </c>
    </row>
    <row r="5566" customFormat="false" ht="15" hidden="false" customHeight="false" outlineLevel="0" collapsed="false">
      <c r="A5566" s="0" t="n">
        <v>7</v>
      </c>
      <c r="B5566" s="0" t="n">
        <v>5</v>
      </c>
      <c r="C5566" s="0" t="n">
        <v>5</v>
      </c>
      <c r="D5566" s="0" t="n">
        <v>8</v>
      </c>
      <c r="E5566" s="0" t="n">
        <f aca="false">-1+A5566*0.25</f>
        <v>0.75</v>
      </c>
      <c r="F5566" s="0" t="n">
        <f aca="false">-1+B5566*0.25</f>
        <v>0.25</v>
      </c>
      <c r="G5566" s="0" t="n">
        <f aca="false">-1+C5566*0.25</f>
        <v>0.25</v>
      </c>
      <c r="H5566" s="0" t="n">
        <f aca="false">-1+D5566*0.25</f>
        <v>1</v>
      </c>
      <c r="I5566" s="0" t="n">
        <f aca="false">1</f>
        <v>1</v>
      </c>
      <c r="J5566" s="0" t="n">
        <f aca="false">E5566</f>
        <v>0.75</v>
      </c>
      <c r="K5566" s="0" t="n">
        <f aca="false">F5566</f>
        <v>0.25</v>
      </c>
      <c r="L5566" s="0" t="n">
        <f aca="false">G5566</f>
        <v>0.25</v>
      </c>
      <c r="M5566" s="0" t="n">
        <f aca="false">H5566</f>
        <v>1</v>
      </c>
      <c r="N5566" s="0" t="n">
        <f aca="false">E5566*F5566</f>
        <v>0.1875</v>
      </c>
      <c r="O5566" s="0" t="n">
        <f aca="false">E5566*G5566</f>
        <v>0.1875</v>
      </c>
      <c r="P5566" s="0" t="n">
        <f aca="false">E5566*H5566</f>
        <v>0.75</v>
      </c>
      <c r="Q5566" s="0" t="n">
        <f aca="false">F5566*G5566</f>
        <v>0.0625</v>
      </c>
      <c r="R5566" s="0" t="n">
        <f aca="false">F5566*H5566</f>
        <v>0.25</v>
      </c>
      <c r="S5566" s="0" t="n">
        <f aca="false">G5566*H5566</f>
        <v>0.25</v>
      </c>
      <c r="T5566" s="0" t="n">
        <f aca="false">E5566*E5566</f>
        <v>0.5625</v>
      </c>
      <c r="U5566" s="0" t="n">
        <f aca="false">F5566*F5566</f>
        <v>0.0625</v>
      </c>
      <c r="V5566" s="0" t="n">
        <f aca="false">G5566*G5566</f>
        <v>0.0625</v>
      </c>
      <c r="W5566" s="0" t="n">
        <f aca="false">H5566*H5566</f>
        <v>1</v>
      </c>
      <c r="X5566" s="0" t="n">
        <f aca="false">SUMPRODUCT(I5566:W5566,_XtX!$B$96:$P$96)</f>
        <v>48.7690104166667</v>
      </c>
      <c r="Y5566" s="0" t="n">
        <f aca="false">SUMPRODUCT(MMULT(I5566:W5566,_XtX!$B$78:$P$92),I5566:W5566)</f>
        <v>0.486409505208334</v>
      </c>
      <c r="Z5566" s="0" t="n">
        <f aca="false">04_回帰ANOVA!$K$19*04_回帰ANOVA!$K$14*SQRT(1+Y5566)</f>
        <v>1.58916001665498</v>
      </c>
      <c r="AA5566" s="0" t="n">
        <f aca="false">X5566-Z5566</f>
        <v>47.1798504000117</v>
      </c>
      <c r="AB5566" s="0" t="n">
        <f aca="false">X5566+Z5566</f>
        <v>50.3581704333217</v>
      </c>
      <c r="AC5566" s="54" t="b">
        <f aca="false">AND(E5566&gt;=01_因子設定!$L$5-0.000000001,E5566&lt;=01_因子設定!$M$5+0.000000001,F5566&gt;=01_因子設定!$L$6-0.000000001,F5566&lt;=01_因子設定!$M$6+0.000000001,G5566&gt;=01_因子設定!$L$7-0.000000001,G5566&lt;=01_因子設定!$M$7+0.000000001,H5566&gt;=01_因子設定!$L$8-0.000000001,H5566&lt;=01_因子設定!$M$8+0.000000001,IF(01_因子設定!$B$20="Box-Behnken",E5566^2+F5566^2+G5566^2+H5566^2&lt;=2+0.000000001,TRUE()))</f>
        <v>1</v>
      </c>
      <c r="AD5566" s="55" t="n">
        <f aca="false">IF(AC5566,IF(01_因子設定!$B$13="最大化",AA5566-01_因子設定!$B$14,IF(01_因子設定!$B$13="最小化",01_因子設定!$B$15-AB5566,MIN(AA5566-01_因子設定!$B$14,01_因子設定!$B$15-AB5566))),-1E+030)</f>
        <v>0.679850400011709</v>
      </c>
      <c r="AE5566" s="55" t="n">
        <f aca="false">IF(AC5566,IF(01_因子設定!$B$13="最大化",X5566,IF(01_因子設定!$B$13="最小化",-X5566,-ABS(X5566-01_因子設定!$B$16))),-1E+030)</f>
        <v>48.7690104166667</v>
      </c>
      <c r="AF5566" s="55" t="n">
        <f aca="false">AD5566+ROW()*0.000000001</f>
        <v>0.679855966011709</v>
      </c>
      <c r="AG5566" s="55" t="n">
        <f aca="false">AE5566+ROW()*0.000000001</f>
        <v>48.7690159826667</v>
      </c>
    </row>
    <row r="5567" customFormat="false" ht="15" hidden="false" customHeight="false" outlineLevel="0" collapsed="false">
      <c r="A5567" s="0" t="n">
        <v>7</v>
      </c>
      <c r="B5567" s="0" t="n">
        <v>5</v>
      </c>
      <c r="C5567" s="0" t="n">
        <v>6</v>
      </c>
      <c r="D5567" s="0" t="n">
        <v>0</v>
      </c>
      <c r="E5567" s="0" t="n">
        <f aca="false">-1+A5567*0.25</f>
        <v>0.75</v>
      </c>
      <c r="F5567" s="0" t="n">
        <f aca="false">-1+B5567*0.25</f>
        <v>0.25</v>
      </c>
      <c r="G5567" s="0" t="n">
        <f aca="false">-1+C5567*0.25</f>
        <v>0.5</v>
      </c>
      <c r="H5567" s="0" t="n">
        <f aca="false">-1+D5567*0.25</f>
        <v>-1</v>
      </c>
      <c r="I5567" s="0" t="n">
        <f aca="false">1</f>
        <v>1</v>
      </c>
      <c r="J5567" s="0" t="n">
        <f aca="false">E5567</f>
        <v>0.75</v>
      </c>
      <c r="K5567" s="0" t="n">
        <f aca="false">F5567</f>
        <v>0.25</v>
      </c>
      <c r="L5567" s="0" t="n">
        <f aca="false">G5567</f>
        <v>0.5</v>
      </c>
      <c r="M5567" s="0" t="n">
        <f aca="false">H5567</f>
        <v>-1</v>
      </c>
      <c r="N5567" s="0" t="n">
        <f aca="false">E5567*F5567</f>
        <v>0.1875</v>
      </c>
      <c r="O5567" s="0" t="n">
        <f aca="false">E5567*G5567</f>
        <v>0.375</v>
      </c>
      <c r="P5567" s="0" t="n">
        <f aca="false">E5567*H5567</f>
        <v>-0.75</v>
      </c>
      <c r="Q5567" s="0" t="n">
        <f aca="false">F5567*G5567</f>
        <v>0.125</v>
      </c>
      <c r="R5567" s="0" t="n">
        <f aca="false">F5567*H5567</f>
        <v>-0.25</v>
      </c>
      <c r="S5567" s="0" t="n">
        <f aca="false">G5567*H5567</f>
        <v>-0.5</v>
      </c>
      <c r="T5567" s="0" t="n">
        <f aca="false">E5567*E5567</f>
        <v>0.5625</v>
      </c>
      <c r="U5567" s="0" t="n">
        <f aca="false">F5567*F5567</f>
        <v>0.0625</v>
      </c>
      <c r="V5567" s="0" t="n">
        <f aca="false">G5567*G5567</f>
        <v>0.25</v>
      </c>
      <c r="W5567" s="0" t="n">
        <f aca="false">H5567*H5567</f>
        <v>1</v>
      </c>
      <c r="X5567" s="0" t="n">
        <f aca="false">SUMPRODUCT(I5567:W5567,_XtX!$B$96:$P$96)</f>
        <v>47.6765533625731</v>
      </c>
      <c r="Y5567" s="0" t="n">
        <f aca="false">SUMPRODUCT(MMULT(I5567:W5567,_XtX!$B$78:$P$92),I5567:W5567)</f>
        <v>0.459125719572369</v>
      </c>
      <c r="Z5567" s="0" t="n">
        <f aca="false">04_回帰ANOVA!$K$19*04_回帰ANOVA!$K$14*SQRT(1+Y5567)</f>
        <v>1.57450755575573</v>
      </c>
      <c r="AA5567" s="0" t="n">
        <f aca="false">X5567-Z5567</f>
        <v>46.1020458068174</v>
      </c>
      <c r="AB5567" s="0" t="n">
        <f aca="false">X5567+Z5567</f>
        <v>49.2510609183289</v>
      </c>
      <c r="AC5567" s="54" t="b">
        <f aca="false">AND(E5567&gt;=01_因子設定!$L$5-0.000000001,E5567&lt;=01_因子設定!$M$5+0.000000001,F5567&gt;=01_因子設定!$L$6-0.000000001,F5567&lt;=01_因子設定!$M$6+0.000000001,G5567&gt;=01_因子設定!$L$7-0.000000001,G5567&lt;=01_因子設定!$M$7+0.000000001,H5567&gt;=01_因子設定!$L$8-0.000000001,H5567&lt;=01_因子設定!$M$8+0.000000001,IF(01_因子設定!$B$20="Box-Behnken",E5567^2+F5567^2+G5567^2+H5567^2&lt;=2+0.000000001,TRUE()))</f>
        <v>1</v>
      </c>
      <c r="AD5567" s="55" t="n">
        <f aca="false">IF(AC5567,IF(01_因子設定!$B$13="最大化",AA5567-01_因子設定!$B$14,IF(01_因子設定!$B$13="最小化",01_因子設定!$B$15-AB5567,MIN(AA5567-01_因子設定!$B$14,01_因子設定!$B$15-AB5567))),-1E+030)</f>
        <v>-0.397954193182606</v>
      </c>
      <c r="AE5567" s="55" t="n">
        <f aca="false">IF(AC5567,IF(01_因子設定!$B$13="最大化",X5567,IF(01_因子設定!$B$13="最小化",-X5567,-ABS(X5567-01_因子設定!$B$16))),-1E+030)</f>
        <v>47.6765533625731</v>
      </c>
      <c r="AF5567" s="55" t="n">
        <f aca="false">AD5567+ROW()*0.000000001</f>
        <v>-0.397948626182606</v>
      </c>
      <c r="AG5567" s="55" t="n">
        <f aca="false">AE5567+ROW()*0.000000001</f>
        <v>47.6765589295731</v>
      </c>
    </row>
    <row r="5568" customFormat="false" ht="15" hidden="false" customHeight="false" outlineLevel="0" collapsed="false">
      <c r="A5568" s="0" t="n">
        <v>7</v>
      </c>
      <c r="B5568" s="0" t="n">
        <v>5</v>
      </c>
      <c r="C5568" s="0" t="n">
        <v>6</v>
      </c>
      <c r="D5568" s="0" t="n">
        <v>1</v>
      </c>
      <c r="E5568" s="0" t="n">
        <f aca="false">-1+A5568*0.25</f>
        <v>0.75</v>
      </c>
      <c r="F5568" s="0" t="n">
        <f aca="false">-1+B5568*0.25</f>
        <v>0.25</v>
      </c>
      <c r="G5568" s="0" t="n">
        <f aca="false">-1+C5568*0.25</f>
        <v>0.5</v>
      </c>
      <c r="H5568" s="0" t="n">
        <f aca="false">-1+D5568*0.25</f>
        <v>-0.75</v>
      </c>
      <c r="I5568" s="0" t="n">
        <f aca="false">1</f>
        <v>1</v>
      </c>
      <c r="J5568" s="0" t="n">
        <f aca="false">E5568</f>
        <v>0.75</v>
      </c>
      <c r="K5568" s="0" t="n">
        <f aca="false">F5568</f>
        <v>0.25</v>
      </c>
      <c r="L5568" s="0" t="n">
        <f aca="false">G5568</f>
        <v>0.5</v>
      </c>
      <c r="M5568" s="0" t="n">
        <f aca="false">H5568</f>
        <v>-0.75</v>
      </c>
      <c r="N5568" s="0" t="n">
        <f aca="false">E5568*F5568</f>
        <v>0.1875</v>
      </c>
      <c r="O5568" s="0" t="n">
        <f aca="false">E5568*G5568</f>
        <v>0.375</v>
      </c>
      <c r="P5568" s="0" t="n">
        <f aca="false">E5568*H5568</f>
        <v>-0.5625</v>
      </c>
      <c r="Q5568" s="0" t="n">
        <f aca="false">F5568*G5568</f>
        <v>0.125</v>
      </c>
      <c r="R5568" s="0" t="n">
        <f aca="false">F5568*H5568</f>
        <v>-0.1875</v>
      </c>
      <c r="S5568" s="0" t="n">
        <f aca="false">G5568*H5568</f>
        <v>-0.375</v>
      </c>
      <c r="T5568" s="0" t="n">
        <f aca="false">E5568*E5568</f>
        <v>0.5625</v>
      </c>
      <c r="U5568" s="0" t="n">
        <f aca="false">F5568*F5568</f>
        <v>0.0625</v>
      </c>
      <c r="V5568" s="0" t="n">
        <f aca="false">G5568*G5568</f>
        <v>0.25</v>
      </c>
      <c r="W5568" s="0" t="n">
        <f aca="false">H5568*H5568</f>
        <v>0.5625</v>
      </c>
      <c r="X5568" s="0" t="n">
        <f aca="false">SUMPRODUCT(I5568:W5568,_XtX!$B$96:$P$96)</f>
        <v>47.9913605628655</v>
      </c>
      <c r="Y5568" s="0" t="n">
        <f aca="false">SUMPRODUCT(MMULT(I5568:W5568,_XtX!$B$78:$P$92),I5568:W5568)</f>
        <v>0.257385610836988</v>
      </c>
      <c r="Z5568" s="0" t="n">
        <f aca="false">04_回帰ANOVA!$K$19*04_回帰ANOVA!$K$14*SQRT(1+Y5568)</f>
        <v>1.46161380324158</v>
      </c>
      <c r="AA5568" s="0" t="n">
        <f aca="false">X5568-Z5568</f>
        <v>46.5297467596239</v>
      </c>
      <c r="AB5568" s="0" t="n">
        <f aca="false">X5568+Z5568</f>
        <v>49.4529743661071</v>
      </c>
      <c r="AC5568" s="54" t="b">
        <f aca="false">AND(E5568&gt;=01_因子設定!$L$5-0.000000001,E5568&lt;=01_因子設定!$M$5+0.000000001,F5568&gt;=01_因子設定!$L$6-0.000000001,F5568&lt;=01_因子設定!$M$6+0.000000001,G5568&gt;=01_因子設定!$L$7-0.000000001,G5568&lt;=01_因子設定!$M$7+0.000000001,H5568&gt;=01_因子設定!$L$8-0.000000001,H5568&lt;=01_因子設定!$M$8+0.000000001,IF(01_因子設定!$B$20="Box-Behnken",E5568^2+F5568^2+G5568^2+H5568^2&lt;=2+0.000000001,TRUE()))</f>
        <v>1</v>
      </c>
      <c r="AD5568" s="55" t="n">
        <f aca="false">IF(AC5568,IF(01_因子設定!$B$13="最大化",AA5568-01_因子設定!$B$14,IF(01_因子設定!$B$13="最小化",01_因子設定!$B$15-AB5568,MIN(AA5568-01_因子設定!$B$14,01_因子設定!$B$15-AB5568))),-1E+030)</f>
        <v>0.0297467596239187</v>
      </c>
      <c r="AE5568" s="55" t="n">
        <f aca="false">IF(AC5568,IF(01_因子設定!$B$13="最大化",X5568,IF(01_因子設定!$B$13="最小化",-X5568,-ABS(X5568-01_因子設定!$B$16))),-1E+030)</f>
        <v>47.9913605628655</v>
      </c>
      <c r="AF5568" s="55" t="n">
        <f aca="false">AD5568+ROW()*0.000000001</f>
        <v>0.0297523276239187</v>
      </c>
      <c r="AG5568" s="55" t="n">
        <f aca="false">AE5568+ROW()*0.000000001</f>
        <v>47.9913661308655</v>
      </c>
    </row>
    <row r="5569" customFormat="false" ht="15" hidden="false" customHeight="false" outlineLevel="0" collapsed="false">
      <c r="A5569" s="0" t="n">
        <v>7</v>
      </c>
      <c r="B5569" s="0" t="n">
        <v>5</v>
      </c>
      <c r="C5569" s="0" t="n">
        <v>6</v>
      </c>
      <c r="D5569" s="0" t="n">
        <v>2</v>
      </c>
      <c r="E5569" s="0" t="n">
        <f aca="false">-1+A5569*0.25</f>
        <v>0.75</v>
      </c>
      <c r="F5569" s="0" t="n">
        <f aca="false">-1+B5569*0.25</f>
        <v>0.25</v>
      </c>
      <c r="G5569" s="0" t="n">
        <f aca="false">-1+C5569*0.25</f>
        <v>0.5</v>
      </c>
      <c r="H5569" s="0" t="n">
        <f aca="false">-1+D5569*0.25</f>
        <v>-0.5</v>
      </c>
      <c r="I5569" s="0" t="n">
        <f aca="false">1</f>
        <v>1</v>
      </c>
      <c r="J5569" s="0" t="n">
        <f aca="false">E5569</f>
        <v>0.75</v>
      </c>
      <c r="K5569" s="0" t="n">
        <f aca="false">F5569</f>
        <v>0.25</v>
      </c>
      <c r="L5569" s="0" t="n">
        <f aca="false">G5569</f>
        <v>0.5</v>
      </c>
      <c r="M5569" s="0" t="n">
        <f aca="false">H5569</f>
        <v>-0.5</v>
      </c>
      <c r="N5569" s="0" t="n">
        <f aca="false">E5569*F5569</f>
        <v>0.1875</v>
      </c>
      <c r="O5569" s="0" t="n">
        <f aca="false">E5569*G5569</f>
        <v>0.375</v>
      </c>
      <c r="P5569" s="0" t="n">
        <f aca="false">E5569*H5569</f>
        <v>-0.375</v>
      </c>
      <c r="Q5569" s="0" t="n">
        <f aca="false">F5569*G5569</f>
        <v>0.125</v>
      </c>
      <c r="R5569" s="0" t="n">
        <f aca="false">F5569*H5569</f>
        <v>-0.125</v>
      </c>
      <c r="S5569" s="0" t="n">
        <f aca="false">G5569*H5569</f>
        <v>-0.25</v>
      </c>
      <c r="T5569" s="0" t="n">
        <f aca="false">E5569*E5569</f>
        <v>0.5625</v>
      </c>
      <c r="U5569" s="0" t="n">
        <f aca="false">F5569*F5569</f>
        <v>0.0625</v>
      </c>
      <c r="V5569" s="0" t="n">
        <f aca="false">G5569*G5569</f>
        <v>0.25</v>
      </c>
      <c r="W5569" s="0" t="n">
        <f aca="false">H5569*H5569</f>
        <v>0.25</v>
      </c>
      <c r="X5569" s="0" t="n">
        <f aca="false">SUMPRODUCT(I5569:W5569,_XtX!$B$96:$P$96)</f>
        <v>48.258360745614</v>
      </c>
      <c r="Y5569" s="0" t="n">
        <f aca="false">SUMPRODUCT(MMULT(I5569:W5569,_XtX!$B$78:$P$92),I5569:W5569)</f>
        <v>0.203746059484649</v>
      </c>
      <c r="Z5569" s="0" t="n">
        <f aca="false">04_回帰ANOVA!$K$19*04_回帰ANOVA!$K$14*SQRT(1+Y5569)</f>
        <v>1.43009810755465</v>
      </c>
      <c r="AA5569" s="0" t="n">
        <f aca="false">X5569-Z5569</f>
        <v>46.8282626380594</v>
      </c>
      <c r="AB5569" s="0" t="n">
        <f aca="false">X5569+Z5569</f>
        <v>49.6884588531687</v>
      </c>
      <c r="AC5569" s="54" t="b">
        <f aca="false">AND(E5569&gt;=01_因子設定!$L$5-0.000000001,E5569&lt;=01_因子設定!$M$5+0.000000001,F5569&gt;=01_因子設定!$L$6-0.000000001,F5569&lt;=01_因子設定!$M$6+0.000000001,G5569&gt;=01_因子設定!$L$7-0.000000001,G5569&lt;=01_因子設定!$M$7+0.000000001,H5569&gt;=01_因子設定!$L$8-0.000000001,H5569&lt;=01_因子設定!$M$8+0.000000001,IF(01_因子設定!$B$20="Box-Behnken",E5569^2+F5569^2+G5569^2+H5569^2&lt;=2+0.000000001,TRUE()))</f>
        <v>1</v>
      </c>
      <c r="AD5569" s="55" t="n">
        <f aca="false">IF(AC5569,IF(01_因子設定!$B$13="最大化",AA5569-01_因子設定!$B$14,IF(01_因子設定!$B$13="最小化",01_因子設定!$B$15-AB5569,MIN(AA5569-01_因子設定!$B$14,01_因子設定!$B$15-AB5569))),-1E+030)</f>
        <v>0.328262638059378</v>
      </c>
      <c r="AE5569" s="55" t="n">
        <f aca="false">IF(AC5569,IF(01_因子設定!$B$13="最大化",X5569,IF(01_因子設定!$B$13="最小化",-X5569,-ABS(X5569-01_因子設定!$B$16))),-1E+030)</f>
        <v>48.258360745614</v>
      </c>
      <c r="AF5569" s="55" t="n">
        <f aca="false">AD5569+ROW()*0.000000001</f>
        <v>0.328268207059378</v>
      </c>
      <c r="AG5569" s="55" t="n">
        <f aca="false">AE5569+ROW()*0.000000001</f>
        <v>48.258366314614</v>
      </c>
    </row>
    <row r="5570" customFormat="false" ht="15" hidden="false" customHeight="false" outlineLevel="0" collapsed="false">
      <c r="A5570" s="0" t="n">
        <v>7</v>
      </c>
      <c r="B5570" s="0" t="n">
        <v>5</v>
      </c>
      <c r="C5570" s="0" t="n">
        <v>6</v>
      </c>
      <c r="D5570" s="0" t="n">
        <v>3</v>
      </c>
      <c r="E5570" s="0" t="n">
        <f aca="false">-1+A5570*0.25</f>
        <v>0.75</v>
      </c>
      <c r="F5570" s="0" t="n">
        <f aca="false">-1+B5570*0.25</f>
        <v>0.25</v>
      </c>
      <c r="G5570" s="0" t="n">
        <f aca="false">-1+C5570*0.25</f>
        <v>0.5</v>
      </c>
      <c r="H5570" s="0" t="n">
        <f aca="false">-1+D5570*0.25</f>
        <v>-0.25</v>
      </c>
      <c r="I5570" s="0" t="n">
        <f aca="false">1</f>
        <v>1</v>
      </c>
      <c r="J5570" s="0" t="n">
        <f aca="false">E5570</f>
        <v>0.75</v>
      </c>
      <c r="K5570" s="0" t="n">
        <f aca="false">F5570</f>
        <v>0.25</v>
      </c>
      <c r="L5570" s="0" t="n">
        <f aca="false">G5570</f>
        <v>0.5</v>
      </c>
      <c r="M5570" s="0" t="n">
        <f aca="false">H5570</f>
        <v>-0.25</v>
      </c>
      <c r="N5570" s="0" t="n">
        <f aca="false">E5570*F5570</f>
        <v>0.1875</v>
      </c>
      <c r="O5570" s="0" t="n">
        <f aca="false">E5570*G5570</f>
        <v>0.375</v>
      </c>
      <c r="P5570" s="0" t="n">
        <f aca="false">E5570*H5570</f>
        <v>-0.1875</v>
      </c>
      <c r="Q5570" s="0" t="n">
        <f aca="false">F5570*G5570</f>
        <v>0.125</v>
      </c>
      <c r="R5570" s="0" t="n">
        <f aca="false">F5570*H5570</f>
        <v>-0.0625</v>
      </c>
      <c r="S5570" s="0" t="n">
        <f aca="false">G5570*H5570</f>
        <v>-0.125</v>
      </c>
      <c r="T5570" s="0" t="n">
        <f aca="false">E5570*E5570</f>
        <v>0.5625</v>
      </c>
      <c r="U5570" s="0" t="n">
        <f aca="false">F5570*F5570</f>
        <v>0.0625</v>
      </c>
      <c r="V5570" s="0" t="n">
        <f aca="false">G5570*G5570</f>
        <v>0.25</v>
      </c>
      <c r="W5570" s="0" t="n">
        <f aca="false">H5570*H5570</f>
        <v>0.0625</v>
      </c>
      <c r="X5570" s="0" t="n">
        <f aca="false">SUMPRODUCT(I5570:W5570,_XtX!$B$96:$P$96)</f>
        <v>48.4775539108187</v>
      </c>
      <c r="Y5570" s="0" t="n">
        <f aca="false">SUMPRODUCT(MMULT(I5570:W5570,_XtX!$B$78:$P$92),I5570:W5570)</f>
        <v>0.207746539199561</v>
      </c>
      <c r="Z5570" s="0" t="n">
        <f aca="false">04_回帰ANOVA!$K$19*04_回帰ANOVA!$K$14*SQRT(1+Y5570)</f>
        <v>1.43247250081141</v>
      </c>
      <c r="AA5570" s="0" t="n">
        <f aca="false">X5570-Z5570</f>
        <v>47.0450814100073</v>
      </c>
      <c r="AB5570" s="0" t="n">
        <f aca="false">X5570+Z5570</f>
        <v>49.9100264116301</v>
      </c>
      <c r="AC5570" s="54" t="b">
        <f aca="false">AND(E5570&gt;=01_因子設定!$L$5-0.000000001,E5570&lt;=01_因子設定!$M$5+0.000000001,F5570&gt;=01_因子設定!$L$6-0.000000001,F5570&lt;=01_因子設定!$M$6+0.000000001,G5570&gt;=01_因子設定!$L$7-0.000000001,G5570&lt;=01_因子設定!$M$7+0.000000001,H5570&gt;=01_因子設定!$L$8-0.000000001,H5570&lt;=01_因子設定!$M$8+0.000000001,IF(01_因子設定!$B$20="Box-Behnken",E5570^2+F5570^2+G5570^2+H5570^2&lt;=2+0.000000001,TRUE()))</f>
        <v>1</v>
      </c>
      <c r="AD5570" s="55" t="n">
        <f aca="false">IF(AC5570,IF(01_因子設定!$B$13="最大化",AA5570-01_因子設定!$B$14,IF(01_因子設定!$B$13="最小化",01_因子設定!$B$15-AB5570,MIN(AA5570-01_因子設定!$B$14,01_因子設定!$B$15-AB5570))),-1E+030)</f>
        <v>0.545081410007292</v>
      </c>
      <c r="AE5570" s="55" t="n">
        <f aca="false">IF(AC5570,IF(01_因子設定!$B$13="最大化",X5570,IF(01_因子設定!$B$13="最小化",-X5570,-ABS(X5570-01_因子設定!$B$16))),-1E+030)</f>
        <v>48.4775539108187</v>
      </c>
      <c r="AF5570" s="55" t="n">
        <f aca="false">AD5570+ROW()*0.000000001</f>
        <v>0.545086980007292</v>
      </c>
      <c r="AG5570" s="55" t="n">
        <f aca="false">AE5570+ROW()*0.000000001</f>
        <v>48.4775594808187</v>
      </c>
    </row>
    <row r="5571" customFormat="false" ht="15" hidden="false" customHeight="false" outlineLevel="0" collapsed="false">
      <c r="A5571" s="0" t="n">
        <v>7</v>
      </c>
      <c r="B5571" s="0" t="n">
        <v>5</v>
      </c>
      <c r="C5571" s="0" t="n">
        <v>6</v>
      </c>
      <c r="D5571" s="0" t="n">
        <v>4</v>
      </c>
      <c r="E5571" s="0" t="n">
        <f aca="false">-1+A5571*0.25</f>
        <v>0.75</v>
      </c>
      <c r="F5571" s="0" t="n">
        <f aca="false">-1+B5571*0.25</f>
        <v>0.25</v>
      </c>
      <c r="G5571" s="0" t="n">
        <f aca="false">-1+C5571*0.25</f>
        <v>0.5</v>
      </c>
      <c r="H5571" s="0" t="n">
        <f aca="false">-1+D5571*0.25</f>
        <v>0</v>
      </c>
      <c r="I5571" s="0" t="n">
        <f aca="false">1</f>
        <v>1</v>
      </c>
      <c r="J5571" s="0" t="n">
        <f aca="false">E5571</f>
        <v>0.75</v>
      </c>
      <c r="K5571" s="0" t="n">
        <f aca="false">F5571</f>
        <v>0.25</v>
      </c>
      <c r="L5571" s="0" t="n">
        <f aca="false">G5571</f>
        <v>0.5</v>
      </c>
      <c r="M5571" s="0" t="n">
        <f aca="false">H5571</f>
        <v>0</v>
      </c>
      <c r="N5571" s="0" t="n">
        <f aca="false">E5571*F5571</f>
        <v>0.1875</v>
      </c>
      <c r="O5571" s="0" t="n">
        <f aca="false">E5571*G5571</f>
        <v>0.375</v>
      </c>
      <c r="P5571" s="0" t="n">
        <f aca="false">E5571*H5571</f>
        <v>0</v>
      </c>
      <c r="Q5571" s="0" t="n">
        <f aca="false">F5571*G5571</f>
        <v>0.125</v>
      </c>
      <c r="R5571" s="0" t="n">
        <f aca="false">F5571*H5571</f>
        <v>0</v>
      </c>
      <c r="S5571" s="0" t="n">
        <f aca="false">G5571*H5571</f>
        <v>0</v>
      </c>
      <c r="T5571" s="0" t="n">
        <f aca="false">E5571*E5571</f>
        <v>0.5625</v>
      </c>
      <c r="U5571" s="0" t="n">
        <f aca="false">F5571*F5571</f>
        <v>0.0625</v>
      </c>
      <c r="V5571" s="0" t="n">
        <f aca="false">G5571*G5571</f>
        <v>0.25</v>
      </c>
      <c r="W5571" s="0" t="n">
        <f aca="false">H5571*H5571</f>
        <v>0</v>
      </c>
      <c r="X5571" s="0" t="n">
        <f aca="false">SUMPRODUCT(I5571:W5571,_XtX!$B$96:$P$96)</f>
        <v>48.6489400584795</v>
      </c>
      <c r="Y5571" s="0" t="n">
        <f aca="false">SUMPRODUCT(MMULT(I5571:W5571,_XtX!$B$78:$P$92),I5571:W5571)</f>
        <v>0.215110734192252</v>
      </c>
      <c r="Z5571" s="0" t="n">
        <f aca="false">04_回帰ANOVA!$K$19*04_回帰ANOVA!$K$14*SQRT(1+Y5571)</f>
        <v>1.43683309086864</v>
      </c>
      <c r="AA5571" s="0" t="n">
        <f aca="false">X5571-Z5571</f>
        <v>47.2121069676109</v>
      </c>
      <c r="AB5571" s="0" t="n">
        <f aca="false">X5571+Z5571</f>
        <v>50.0857731493482</v>
      </c>
      <c r="AC5571" s="54" t="b">
        <f aca="false">AND(E5571&gt;=01_因子設定!$L$5-0.000000001,E5571&lt;=01_因子設定!$M$5+0.000000001,F5571&gt;=01_因子設定!$L$6-0.000000001,F5571&lt;=01_因子設定!$M$6+0.000000001,G5571&gt;=01_因子設定!$L$7-0.000000001,G5571&lt;=01_因子設定!$M$7+0.000000001,H5571&gt;=01_因子設定!$L$8-0.000000001,H5571&lt;=01_因子設定!$M$8+0.000000001,IF(01_因子設定!$B$20="Box-Behnken",E5571^2+F5571^2+G5571^2+H5571^2&lt;=2+0.000000001,TRUE()))</f>
        <v>1</v>
      </c>
      <c r="AD5571" s="55" t="n">
        <f aca="false">IF(AC5571,IF(01_因子設定!$B$13="最大化",AA5571-01_因子設定!$B$14,IF(01_因子設定!$B$13="最小化",01_因子設定!$B$15-AB5571,MIN(AA5571-01_因子設定!$B$14,01_因子設定!$B$15-AB5571))),-1E+030)</f>
        <v>0.712106967610872</v>
      </c>
      <c r="AE5571" s="55" t="n">
        <f aca="false">IF(AC5571,IF(01_因子設定!$B$13="最大化",X5571,IF(01_因子設定!$B$13="最小化",-X5571,-ABS(X5571-01_因子設定!$B$16))),-1E+030)</f>
        <v>48.6489400584795</v>
      </c>
      <c r="AF5571" s="55" t="n">
        <f aca="false">AD5571+ROW()*0.000000001</f>
        <v>0.712112538610872</v>
      </c>
      <c r="AG5571" s="55" t="n">
        <f aca="false">AE5571+ROW()*0.000000001</f>
        <v>48.6489456294795</v>
      </c>
    </row>
    <row r="5572" customFormat="false" ht="15" hidden="false" customHeight="false" outlineLevel="0" collapsed="false">
      <c r="A5572" s="0" t="n">
        <v>7</v>
      </c>
      <c r="B5572" s="0" t="n">
        <v>5</v>
      </c>
      <c r="C5572" s="0" t="n">
        <v>6</v>
      </c>
      <c r="D5572" s="0" t="n">
        <v>5</v>
      </c>
      <c r="E5572" s="0" t="n">
        <f aca="false">-1+A5572*0.25</f>
        <v>0.75</v>
      </c>
      <c r="F5572" s="0" t="n">
        <f aca="false">-1+B5572*0.25</f>
        <v>0.25</v>
      </c>
      <c r="G5572" s="0" t="n">
        <f aca="false">-1+C5572*0.25</f>
        <v>0.5</v>
      </c>
      <c r="H5572" s="0" t="n">
        <f aca="false">-1+D5572*0.25</f>
        <v>0.25</v>
      </c>
      <c r="I5572" s="0" t="n">
        <f aca="false">1</f>
        <v>1</v>
      </c>
      <c r="J5572" s="0" t="n">
        <f aca="false">E5572</f>
        <v>0.75</v>
      </c>
      <c r="K5572" s="0" t="n">
        <f aca="false">F5572</f>
        <v>0.25</v>
      </c>
      <c r="L5572" s="0" t="n">
        <f aca="false">G5572</f>
        <v>0.5</v>
      </c>
      <c r="M5572" s="0" t="n">
        <f aca="false">H5572</f>
        <v>0.25</v>
      </c>
      <c r="N5572" s="0" t="n">
        <f aca="false">E5572*F5572</f>
        <v>0.1875</v>
      </c>
      <c r="O5572" s="0" t="n">
        <f aca="false">E5572*G5572</f>
        <v>0.375</v>
      </c>
      <c r="P5572" s="0" t="n">
        <f aca="false">E5572*H5572</f>
        <v>0.1875</v>
      </c>
      <c r="Q5572" s="0" t="n">
        <f aca="false">F5572*G5572</f>
        <v>0.125</v>
      </c>
      <c r="R5572" s="0" t="n">
        <f aca="false">F5572*H5572</f>
        <v>0.0625</v>
      </c>
      <c r="S5572" s="0" t="n">
        <f aca="false">G5572*H5572</f>
        <v>0.125</v>
      </c>
      <c r="T5572" s="0" t="n">
        <f aca="false">E5572*E5572</f>
        <v>0.5625</v>
      </c>
      <c r="U5572" s="0" t="n">
        <f aca="false">F5572*F5572</f>
        <v>0.0625</v>
      </c>
      <c r="V5572" s="0" t="n">
        <f aca="false">G5572*G5572</f>
        <v>0.25</v>
      </c>
      <c r="W5572" s="0" t="n">
        <f aca="false">H5572*H5572</f>
        <v>0.0625</v>
      </c>
      <c r="X5572" s="0" t="n">
        <f aca="false">SUMPRODUCT(I5572:W5572,_XtX!$B$96:$P$96)</f>
        <v>48.7725191885965</v>
      </c>
      <c r="Y5572" s="0" t="n">
        <f aca="false">SUMPRODUCT(MMULT(I5572:W5572,_XtX!$B$78:$P$92),I5572:W5572)</f>
        <v>0.207746539199561</v>
      </c>
      <c r="Z5572" s="0" t="n">
        <f aca="false">04_回帰ANOVA!$K$19*04_回帰ANOVA!$K$14*SQRT(1+Y5572)</f>
        <v>1.43247250081141</v>
      </c>
      <c r="AA5572" s="0" t="n">
        <f aca="false">X5572-Z5572</f>
        <v>47.3400466877851</v>
      </c>
      <c r="AB5572" s="0" t="n">
        <f aca="false">X5572+Z5572</f>
        <v>50.2049916894079</v>
      </c>
      <c r="AC5572" s="54" t="b">
        <f aca="false">AND(E5572&gt;=01_因子設定!$L$5-0.000000001,E5572&lt;=01_因子設定!$M$5+0.000000001,F5572&gt;=01_因子設定!$L$6-0.000000001,F5572&lt;=01_因子設定!$M$6+0.000000001,G5572&gt;=01_因子設定!$L$7-0.000000001,G5572&lt;=01_因子設定!$M$7+0.000000001,H5572&gt;=01_因子設定!$L$8-0.000000001,H5572&lt;=01_因子設定!$M$8+0.000000001,IF(01_因子設定!$B$20="Box-Behnken",E5572^2+F5572^2+G5572^2+H5572^2&lt;=2+0.000000001,TRUE()))</f>
        <v>1</v>
      </c>
      <c r="AD5572" s="55" t="n">
        <f aca="false">IF(AC5572,IF(01_因子設定!$B$13="最大化",AA5572-01_因子設定!$B$14,IF(01_因子設定!$B$13="最小化",01_因子設定!$B$15-AB5572,MIN(AA5572-01_因子設定!$B$14,01_因子設定!$B$15-AB5572))),-1E+030)</f>
        <v>0.840046687785069</v>
      </c>
      <c r="AE5572" s="55" t="n">
        <f aca="false">IF(AC5572,IF(01_因子設定!$B$13="最大化",X5572,IF(01_因子設定!$B$13="最小化",-X5572,-ABS(X5572-01_因子設定!$B$16))),-1E+030)</f>
        <v>48.7725191885965</v>
      </c>
      <c r="AF5572" s="55" t="n">
        <f aca="false">AD5572+ROW()*0.000000001</f>
        <v>0.840052259785069</v>
      </c>
      <c r="AG5572" s="55" t="n">
        <f aca="false">AE5572+ROW()*0.000000001</f>
        <v>48.7725247605965</v>
      </c>
    </row>
    <row r="5573" customFormat="false" ht="15" hidden="false" customHeight="false" outlineLevel="0" collapsed="false">
      <c r="A5573" s="0" t="n">
        <v>7</v>
      </c>
      <c r="B5573" s="0" t="n">
        <v>5</v>
      </c>
      <c r="C5573" s="0" t="n">
        <v>6</v>
      </c>
      <c r="D5573" s="0" t="n">
        <v>6</v>
      </c>
      <c r="E5573" s="0" t="n">
        <f aca="false">-1+A5573*0.25</f>
        <v>0.75</v>
      </c>
      <c r="F5573" s="0" t="n">
        <f aca="false">-1+B5573*0.25</f>
        <v>0.25</v>
      </c>
      <c r="G5573" s="0" t="n">
        <f aca="false">-1+C5573*0.25</f>
        <v>0.5</v>
      </c>
      <c r="H5573" s="0" t="n">
        <f aca="false">-1+D5573*0.25</f>
        <v>0.5</v>
      </c>
      <c r="I5573" s="0" t="n">
        <f aca="false">1</f>
        <v>1</v>
      </c>
      <c r="J5573" s="0" t="n">
        <f aca="false">E5573</f>
        <v>0.75</v>
      </c>
      <c r="K5573" s="0" t="n">
        <f aca="false">F5573</f>
        <v>0.25</v>
      </c>
      <c r="L5573" s="0" t="n">
        <f aca="false">G5573</f>
        <v>0.5</v>
      </c>
      <c r="M5573" s="0" t="n">
        <f aca="false">H5573</f>
        <v>0.5</v>
      </c>
      <c r="N5573" s="0" t="n">
        <f aca="false">E5573*F5573</f>
        <v>0.1875</v>
      </c>
      <c r="O5573" s="0" t="n">
        <f aca="false">E5573*G5573</f>
        <v>0.375</v>
      </c>
      <c r="P5573" s="0" t="n">
        <f aca="false">E5573*H5573</f>
        <v>0.375</v>
      </c>
      <c r="Q5573" s="0" t="n">
        <f aca="false">F5573*G5573</f>
        <v>0.125</v>
      </c>
      <c r="R5573" s="0" t="n">
        <f aca="false">F5573*H5573</f>
        <v>0.125</v>
      </c>
      <c r="S5573" s="0" t="n">
        <f aca="false">G5573*H5573</f>
        <v>0.25</v>
      </c>
      <c r="T5573" s="0" t="n">
        <f aca="false">E5573*E5573</f>
        <v>0.5625</v>
      </c>
      <c r="U5573" s="0" t="n">
        <f aca="false">F5573*F5573</f>
        <v>0.0625</v>
      </c>
      <c r="V5573" s="0" t="n">
        <f aca="false">G5573*G5573</f>
        <v>0.25</v>
      </c>
      <c r="W5573" s="0" t="n">
        <f aca="false">H5573*H5573</f>
        <v>0.25</v>
      </c>
      <c r="X5573" s="0" t="n">
        <f aca="false">SUMPRODUCT(I5573:W5573,_XtX!$B$96:$P$96)</f>
        <v>48.8482913011696</v>
      </c>
      <c r="Y5573" s="0" t="n">
        <f aca="false">SUMPRODUCT(MMULT(I5573:W5573,_XtX!$B$78:$P$92),I5573:W5573)</f>
        <v>0.203746059484649</v>
      </c>
      <c r="Z5573" s="0" t="n">
        <f aca="false">04_回帰ANOVA!$K$19*04_回帰ANOVA!$K$14*SQRT(1+Y5573)</f>
        <v>1.43009810755465</v>
      </c>
      <c r="AA5573" s="0" t="n">
        <f aca="false">X5573-Z5573</f>
        <v>47.4181931936149</v>
      </c>
      <c r="AB5573" s="0" t="n">
        <f aca="false">X5573+Z5573</f>
        <v>50.2783894087242</v>
      </c>
      <c r="AC5573" s="54" t="b">
        <f aca="false">AND(E5573&gt;=01_因子設定!$L$5-0.000000001,E5573&lt;=01_因子設定!$M$5+0.000000001,F5573&gt;=01_因子設定!$L$6-0.000000001,F5573&lt;=01_因子設定!$M$6+0.000000001,G5573&gt;=01_因子設定!$L$7-0.000000001,G5573&lt;=01_因子設定!$M$7+0.000000001,H5573&gt;=01_因子設定!$L$8-0.000000001,H5573&lt;=01_因子設定!$M$8+0.000000001,IF(01_因子設定!$B$20="Box-Behnken",E5573^2+F5573^2+G5573^2+H5573^2&lt;=2+0.000000001,TRUE()))</f>
        <v>1</v>
      </c>
      <c r="AD5573" s="55" t="n">
        <f aca="false">IF(AC5573,IF(01_因子設定!$B$13="最大化",AA5573-01_因子設定!$B$14,IF(01_因子設定!$B$13="最小化",01_因子設定!$B$15-AB5573,MIN(AA5573-01_因子設定!$B$14,01_因子設定!$B$15-AB5573))),-1E+030)</f>
        <v>0.918193193614933</v>
      </c>
      <c r="AE5573" s="55" t="n">
        <f aca="false">IF(AC5573,IF(01_因子設定!$B$13="最大化",X5573,IF(01_因子設定!$B$13="最小化",-X5573,-ABS(X5573-01_因子設定!$B$16))),-1E+030)</f>
        <v>48.8482913011696</v>
      </c>
      <c r="AF5573" s="55" t="n">
        <f aca="false">AD5573+ROW()*0.000000001</f>
        <v>0.918198766614933</v>
      </c>
      <c r="AG5573" s="55" t="n">
        <f aca="false">AE5573+ROW()*0.000000001</f>
        <v>48.8482968741696</v>
      </c>
    </row>
    <row r="5574" customFormat="false" ht="15" hidden="false" customHeight="false" outlineLevel="0" collapsed="false">
      <c r="A5574" s="0" t="n">
        <v>7</v>
      </c>
      <c r="B5574" s="0" t="n">
        <v>5</v>
      </c>
      <c r="C5574" s="0" t="n">
        <v>6</v>
      </c>
      <c r="D5574" s="0" t="n">
        <v>7</v>
      </c>
      <c r="E5574" s="0" t="n">
        <f aca="false">-1+A5574*0.25</f>
        <v>0.75</v>
      </c>
      <c r="F5574" s="0" t="n">
        <f aca="false">-1+B5574*0.25</f>
        <v>0.25</v>
      </c>
      <c r="G5574" s="0" t="n">
        <f aca="false">-1+C5574*0.25</f>
        <v>0.5</v>
      </c>
      <c r="H5574" s="0" t="n">
        <f aca="false">-1+D5574*0.25</f>
        <v>0.75</v>
      </c>
      <c r="I5574" s="0" t="n">
        <f aca="false">1</f>
        <v>1</v>
      </c>
      <c r="J5574" s="0" t="n">
        <f aca="false">E5574</f>
        <v>0.75</v>
      </c>
      <c r="K5574" s="0" t="n">
        <f aca="false">F5574</f>
        <v>0.25</v>
      </c>
      <c r="L5574" s="0" t="n">
        <f aca="false">G5574</f>
        <v>0.5</v>
      </c>
      <c r="M5574" s="0" t="n">
        <f aca="false">H5574</f>
        <v>0.75</v>
      </c>
      <c r="N5574" s="0" t="n">
        <f aca="false">E5574*F5574</f>
        <v>0.1875</v>
      </c>
      <c r="O5574" s="0" t="n">
        <f aca="false">E5574*G5574</f>
        <v>0.375</v>
      </c>
      <c r="P5574" s="0" t="n">
        <f aca="false">E5574*H5574</f>
        <v>0.5625</v>
      </c>
      <c r="Q5574" s="0" t="n">
        <f aca="false">F5574*G5574</f>
        <v>0.125</v>
      </c>
      <c r="R5574" s="0" t="n">
        <f aca="false">F5574*H5574</f>
        <v>0.1875</v>
      </c>
      <c r="S5574" s="0" t="n">
        <f aca="false">G5574*H5574</f>
        <v>0.375</v>
      </c>
      <c r="T5574" s="0" t="n">
        <f aca="false">E5574*E5574</f>
        <v>0.5625</v>
      </c>
      <c r="U5574" s="0" t="n">
        <f aca="false">F5574*F5574</f>
        <v>0.0625</v>
      </c>
      <c r="V5574" s="0" t="n">
        <f aca="false">G5574*G5574</f>
        <v>0.25</v>
      </c>
      <c r="W5574" s="0" t="n">
        <f aca="false">H5574*H5574</f>
        <v>0.5625</v>
      </c>
      <c r="X5574" s="0" t="n">
        <f aca="false">SUMPRODUCT(I5574:W5574,_XtX!$B$96:$P$96)</f>
        <v>48.8762563961988</v>
      </c>
      <c r="Y5574" s="0" t="n">
        <f aca="false">SUMPRODUCT(MMULT(I5574:W5574,_XtX!$B$78:$P$92),I5574:W5574)</f>
        <v>0.257385610836988</v>
      </c>
      <c r="Z5574" s="0" t="n">
        <f aca="false">04_回帰ANOVA!$K$19*04_回帰ANOVA!$K$14*SQRT(1+Y5574)</f>
        <v>1.46161380324158</v>
      </c>
      <c r="AA5574" s="0" t="n">
        <f aca="false">X5574-Z5574</f>
        <v>47.4146425929573</v>
      </c>
      <c r="AB5574" s="0" t="n">
        <f aca="false">X5574+Z5574</f>
        <v>50.3378701994404</v>
      </c>
      <c r="AC5574" s="54" t="b">
        <f aca="false">AND(E5574&gt;=01_因子設定!$L$5-0.000000001,E5574&lt;=01_因子設定!$M$5+0.000000001,F5574&gt;=01_因子設定!$L$6-0.000000001,F5574&lt;=01_因子設定!$M$6+0.000000001,G5574&gt;=01_因子設定!$L$7-0.000000001,G5574&lt;=01_因子設定!$M$7+0.000000001,H5574&gt;=01_因子設定!$L$8-0.000000001,H5574&lt;=01_因子設定!$M$8+0.000000001,IF(01_因子設定!$B$20="Box-Behnken",E5574^2+F5574^2+G5574^2+H5574^2&lt;=2+0.000000001,TRUE()))</f>
        <v>1</v>
      </c>
      <c r="AD5574" s="55" t="n">
        <f aca="false">IF(AC5574,IF(01_因子設定!$B$13="最大化",AA5574-01_因子設定!$B$14,IF(01_因子設定!$B$13="最小化",01_因子設定!$B$15-AB5574,MIN(AA5574-01_因子設定!$B$14,01_因子設定!$B$15-AB5574))),-1E+030)</f>
        <v>0.91464259295725</v>
      </c>
      <c r="AE5574" s="55" t="n">
        <f aca="false">IF(AC5574,IF(01_因子設定!$B$13="最大化",X5574,IF(01_因子設定!$B$13="最小化",-X5574,-ABS(X5574-01_因子設定!$B$16))),-1E+030)</f>
        <v>48.8762563961988</v>
      </c>
      <c r="AF5574" s="55" t="n">
        <f aca="false">AD5574+ROW()*0.000000001</f>
        <v>0.91464816695725</v>
      </c>
      <c r="AG5574" s="55" t="n">
        <f aca="false">AE5574+ROW()*0.000000001</f>
        <v>48.8762619701988</v>
      </c>
    </row>
    <row r="5575" customFormat="false" ht="15" hidden="false" customHeight="false" outlineLevel="0" collapsed="false">
      <c r="A5575" s="0" t="n">
        <v>7</v>
      </c>
      <c r="B5575" s="0" t="n">
        <v>5</v>
      </c>
      <c r="C5575" s="0" t="n">
        <v>6</v>
      </c>
      <c r="D5575" s="0" t="n">
        <v>8</v>
      </c>
      <c r="E5575" s="0" t="n">
        <f aca="false">-1+A5575*0.25</f>
        <v>0.75</v>
      </c>
      <c r="F5575" s="0" t="n">
        <f aca="false">-1+B5575*0.25</f>
        <v>0.25</v>
      </c>
      <c r="G5575" s="0" t="n">
        <f aca="false">-1+C5575*0.25</f>
        <v>0.5</v>
      </c>
      <c r="H5575" s="0" t="n">
        <f aca="false">-1+D5575*0.25</f>
        <v>1</v>
      </c>
      <c r="I5575" s="0" t="n">
        <f aca="false">1</f>
        <v>1</v>
      </c>
      <c r="J5575" s="0" t="n">
        <f aca="false">E5575</f>
        <v>0.75</v>
      </c>
      <c r="K5575" s="0" t="n">
        <f aca="false">F5575</f>
        <v>0.25</v>
      </c>
      <c r="L5575" s="0" t="n">
        <f aca="false">G5575</f>
        <v>0.5</v>
      </c>
      <c r="M5575" s="0" t="n">
        <f aca="false">H5575</f>
        <v>1</v>
      </c>
      <c r="N5575" s="0" t="n">
        <f aca="false">E5575*F5575</f>
        <v>0.1875</v>
      </c>
      <c r="O5575" s="0" t="n">
        <f aca="false">E5575*G5575</f>
        <v>0.375</v>
      </c>
      <c r="P5575" s="0" t="n">
        <f aca="false">E5575*H5575</f>
        <v>0.75</v>
      </c>
      <c r="Q5575" s="0" t="n">
        <f aca="false">F5575*G5575</f>
        <v>0.125</v>
      </c>
      <c r="R5575" s="0" t="n">
        <f aca="false">F5575*H5575</f>
        <v>0.25</v>
      </c>
      <c r="S5575" s="0" t="n">
        <f aca="false">G5575*H5575</f>
        <v>0.5</v>
      </c>
      <c r="T5575" s="0" t="n">
        <f aca="false">E5575*E5575</f>
        <v>0.5625</v>
      </c>
      <c r="U5575" s="0" t="n">
        <f aca="false">F5575*F5575</f>
        <v>0.0625</v>
      </c>
      <c r="V5575" s="0" t="n">
        <f aca="false">G5575*G5575</f>
        <v>0.25</v>
      </c>
      <c r="W5575" s="0" t="n">
        <f aca="false">H5575*H5575</f>
        <v>1</v>
      </c>
      <c r="X5575" s="0" t="n">
        <f aca="false">SUMPRODUCT(I5575:W5575,_XtX!$B$96:$P$96)</f>
        <v>48.8564144736842</v>
      </c>
      <c r="Y5575" s="0" t="n">
        <f aca="false">SUMPRODUCT(MMULT(I5575:W5575,_XtX!$B$78:$P$92),I5575:W5575)</f>
        <v>0.459125719572369</v>
      </c>
      <c r="Z5575" s="0" t="n">
        <f aca="false">04_回帰ANOVA!$K$19*04_回帰ANOVA!$K$14*SQRT(1+Y5575)</f>
        <v>1.57450755575573</v>
      </c>
      <c r="AA5575" s="0" t="n">
        <f aca="false">X5575-Z5575</f>
        <v>47.2819069179285</v>
      </c>
      <c r="AB5575" s="0" t="n">
        <f aca="false">X5575+Z5575</f>
        <v>50.43092202944</v>
      </c>
      <c r="AC5575" s="54" t="b">
        <f aca="false">AND(E5575&gt;=01_因子設定!$L$5-0.000000001,E5575&lt;=01_因子設定!$M$5+0.000000001,F5575&gt;=01_因子設定!$L$6-0.000000001,F5575&lt;=01_因子設定!$M$6+0.000000001,G5575&gt;=01_因子設定!$L$7-0.000000001,G5575&lt;=01_因子設定!$M$7+0.000000001,H5575&gt;=01_因子設定!$L$8-0.000000001,H5575&lt;=01_因子設定!$M$8+0.000000001,IF(01_因子設定!$B$20="Box-Behnken",E5575^2+F5575^2+G5575^2+H5575^2&lt;=2+0.000000001,TRUE()))</f>
        <v>1</v>
      </c>
      <c r="AD5575" s="55" t="n">
        <f aca="false">IF(AC5575,IF(01_因子設定!$B$13="最大化",AA5575-01_因子設定!$B$14,IF(01_因子設定!$B$13="最小化",01_因子設定!$B$15-AB5575,MIN(AA5575-01_因子設定!$B$14,01_因子設定!$B$15-AB5575))),-1E+030)</f>
        <v>0.781906917928502</v>
      </c>
      <c r="AE5575" s="55" t="n">
        <f aca="false">IF(AC5575,IF(01_因子設定!$B$13="最大化",X5575,IF(01_因子設定!$B$13="最小化",-X5575,-ABS(X5575-01_因子設定!$B$16))),-1E+030)</f>
        <v>48.8564144736842</v>
      </c>
      <c r="AF5575" s="55" t="n">
        <f aca="false">AD5575+ROW()*0.000000001</f>
        <v>0.781912492928502</v>
      </c>
      <c r="AG5575" s="55" t="n">
        <f aca="false">AE5575+ROW()*0.000000001</f>
        <v>48.8564200486842</v>
      </c>
    </row>
    <row r="5576" customFormat="false" ht="15" hidden="false" customHeight="false" outlineLevel="0" collapsed="false">
      <c r="A5576" s="0" t="n">
        <v>7</v>
      </c>
      <c r="B5576" s="0" t="n">
        <v>5</v>
      </c>
      <c r="C5576" s="0" t="n">
        <v>7</v>
      </c>
      <c r="D5576" s="0" t="n">
        <v>0</v>
      </c>
      <c r="E5576" s="0" t="n">
        <f aca="false">-1+A5576*0.25</f>
        <v>0.75</v>
      </c>
      <c r="F5576" s="0" t="n">
        <f aca="false">-1+B5576*0.25</f>
        <v>0.25</v>
      </c>
      <c r="G5576" s="0" t="n">
        <f aca="false">-1+C5576*0.25</f>
        <v>0.75</v>
      </c>
      <c r="H5576" s="0" t="n">
        <f aca="false">-1+D5576*0.25</f>
        <v>-1</v>
      </c>
      <c r="I5576" s="0" t="n">
        <f aca="false">1</f>
        <v>1</v>
      </c>
      <c r="J5576" s="0" t="n">
        <f aca="false">E5576</f>
        <v>0.75</v>
      </c>
      <c r="K5576" s="0" t="n">
        <f aca="false">F5576</f>
        <v>0.25</v>
      </c>
      <c r="L5576" s="0" t="n">
        <f aca="false">G5576</f>
        <v>0.75</v>
      </c>
      <c r="M5576" s="0" t="n">
        <f aca="false">H5576</f>
        <v>-1</v>
      </c>
      <c r="N5576" s="0" t="n">
        <f aca="false">E5576*F5576</f>
        <v>0.1875</v>
      </c>
      <c r="O5576" s="0" t="n">
        <f aca="false">E5576*G5576</f>
        <v>0.5625</v>
      </c>
      <c r="P5576" s="0" t="n">
        <f aca="false">E5576*H5576</f>
        <v>-0.75</v>
      </c>
      <c r="Q5576" s="0" t="n">
        <f aca="false">F5576*G5576</f>
        <v>0.1875</v>
      </c>
      <c r="R5576" s="0" t="n">
        <f aca="false">F5576*H5576</f>
        <v>-0.25</v>
      </c>
      <c r="S5576" s="0" t="n">
        <f aca="false">G5576*H5576</f>
        <v>-0.75</v>
      </c>
      <c r="T5576" s="0" t="n">
        <f aca="false">E5576*E5576</f>
        <v>0.5625</v>
      </c>
      <c r="U5576" s="0" t="n">
        <f aca="false">F5576*F5576</f>
        <v>0.0625</v>
      </c>
      <c r="V5576" s="0" t="n">
        <f aca="false">G5576*G5576</f>
        <v>0.5625</v>
      </c>
      <c r="W5576" s="0" t="n">
        <f aca="false">H5576*H5576</f>
        <v>1</v>
      </c>
      <c r="X5576" s="0" t="n">
        <f aca="false">SUMPRODUCT(I5576:W5576,_XtX!$B$96:$P$96)</f>
        <v>47.5349004020468</v>
      </c>
      <c r="Y5576" s="0" t="n">
        <f aca="false">SUMPRODUCT(MMULT(I5576:W5576,_XtX!$B$78:$P$92),I5576:W5576)</f>
        <v>0.473959761056287</v>
      </c>
      <c r="Z5576" s="0" t="n">
        <f aca="false">04_回帰ANOVA!$K$19*04_回帰ANOVA!$K$14*SQRT(1+Y5576)</f>
        <v>1.58249084588329</v>
      </c>
      <c r="AA5576" s="0" t="n">
        <f aca="false">X5576-Z5576</f>
        <v>45.9524095561635</v>
      </c>
      <c r="AB5576" s="0" t="n">
        <f aca="false">X5576+Z5576</f>
        <v>49.1173912479301</v>
      </c>
      <c r="AC5576" s="54" t="b">
        <f aca="false">AND(E5576&gt;=01_因子設定!$L$5-0.000000001,E5576&lt;=01_因子設定!$M$5+0.000000001,F5576&gt;=01_因子設定!$L$6-0.000000001,F5576&lt;=01_因子設定!$M$6+0.000000001,G5576&gt;=01_因子設定!$L$7-0.000000001,G5576&lt;=01_因子設定!$M$7+0.000000001,H5576&gt;=01_因子設定!$L$8-0.000000001,H5576&lt;=01_因子設定!$M$8+0.000000001,IF(01_因子設定!$B$20="Box-Behnken",E5576^2+F5576^2+G5576^2+H5576^2&lt;=2+0.000000001,TRUE()))</f>
        <v>1</v>
      </c>
      <c r="AD5576" s="55" t="n">
        <f aca="false">IF(AC5576,IF(01_因子設定!$B$13="最大化",AA5576-01_因子設定!$B$14,IF(01_因子設定!$B$13="最小化",01_因子設定!$B$15-AB5576,MIN(AA5576-01_因子設定!$B$14,01_因子設定!$B$15-AB5576))),-1E+030)</f>
        <v>-0.547590443836477</v>
      </c>
      <c r="AE5576" s="55" t="n">
        <f aca="false">IF(AC5576,IF(01_因子設定!$B$13="最大化",X5576,IF(01_因子設定!$B$13="最小化",-X5576,-ABS(X5576-01_因子設定!$B$16))),-1E+030)</f>
        <v>47.5349004020468</v>
      </c>
      <c r="AF5576" s="55" t="n">
        <f aca="false">AD5576+ROW()*0.000000001</f>
        <v>-0.547584867836477</v>
      </c>
      <c r="AG5576" s="55" t="n">
        <f aca="false">AE5576+ROW()*0.000000001</f>
        <v>47.5349059780468</v>
      </c>
    </row>
    <row r="5577" customFormat="false" ht="15" hidden="false" customHeight="false" outlineLevel="0" collapsed="false">
      <c r="A5577" s="0" t="n">
        <v>7</v>
      </c>
      <c r="B5577" s="0" t="n">
        <v>5</v>
      </c>
      <c r="C5577" s="0" t="n">
        <v>7</v>
      </c>
      <c r="D5577" s="0" t="n">
        <v>1</v>
      </c>
      <c r="E5577" s="0" t="n">
        <f aca="false">-1+A5577*0.25</f>
        <v>0.75</v>
      </c>
      <c r="F5577" s="0" t="n">
        <f aca="false">-1+B5577*0.25</f>
        <v>0.25</v>
      </c>
      <c r="G5577" s="0" t="n">
        <f aca="false">-1+C5577*0.25</f>
        <v>0.75</v>
      </c>
      <c r="H5577" s="0" t="n">
        <f aca="false">-1+D5577*0.25</f>
        <v>-0.75</v>
      </c>
      <c r="I5577" s="0" t="n">
        <f aca="false">1</f>
        <v>1</v>
      </c>
      <c r="J5577" s="0" t="n">
        <f aca="false">E5577</f>
        <v>0.75</v>
      </c>
      <c r="K5577" s="0" t="n">
        <f aca="false">F5577</f>
        <v>0.25</v>
      </c>
      <c r="L5577" s="0" t="n">
        <f aca="false">G5577</f>
        <v>0.75</v>
      </c>
      <c r="M5577" s="0" t="n">
        <f aca="false">H5577</f>
        <v>-0.75</v>
      </c>
      <c r="N5577" s="0" t="n">
        <f aca="false">E5577*F5577</f>
        <v>0.1875</v>
      </c>
      <c r="O5577" s="0" t="n">
        <f aca="false">E5577*G5577</f>
        <v>0.5625</v>
      </c>
      <c r="P5577" s="0" t="n">
        <f aca="false">E5577*H5577</f>
        <v>-0.5625</v>
      </c>
      <c r="Q5577" s="0" t="n">
        <f aca="false">F5577*G5577</f>
        <v>0.1875</v>
      </c>
      <c r="R5577" s="0" t="n">
        <f aca="false">F5577*H5577</f>
        <v>-0.1875</v>
      </c>
      <c r="S5577" s="0" t="n">
        <f aca="false">G5577*H5577</f>
        <v>-0.5625</v>
      </c>
      <c r="T5577" s="0" t="n">
        <f aca="false">E5577*E5577</f>
        <v>0.5625</v>
      </c>
      <c r="U5577" s="0" t="n">
        <f aca="false">F5577*F5577</f>
        <v>0.0625</v>
      </c>
      <c r="V5577" s="0" t="n">
        <f aca="false">G5577*G5577</f>
        <v>0.5625</v>
      </c>
      <c r="W5577" s="0" t="n">
        <f aca="false">H5577*H5577</f>
        <v>0.5625</v>
      </c>
      <c r="X5577" s="0" t="n">
        <f aca="false">SUMPRODUCT(I5577:W5577,_XtX!$B$96:$P$96)</f>
        <v>47.8676763523392</v>
      </c>
      <c r="Y5577" s="0" t="n">
        <f aca="false">SUMPRODUCT(MMULT(I5577:W5577,_XtX!$B$78:$P$92),I5577:W5577)</f>
        <v>0.294856199744152</v>
      </c>
      <c r="Z5577" s="0" t="n">
        <f aca="false">04_回帰ANOVA!$K$19*04_回帰ANOVA!$K$14*SQRT(1+Y5577)</f>
        <v>1.48323226089013</v>
      </c>
      <c r="AA5577" s="0" t="n">
        <f aca="false">X5577-Z5577</f>
        <v>46.3844440914491</v>
      </c>
      <c r="AB5577" s="0" t="n">
        <f aca="false">X5577+Z5577</f>
        <v>49.3509086132293</v>
      </c>
      <c r="AC5577" s="54" t="b">
        <f aca="false">AND(E5577&gt;=01_因子設定!$L$5-0.000000001,E5577&lt;=01_因子設定!$M$5+0.000000001,F5577&gt;=01_因子設定!$L$6-0.000000001,F5577&lt;=01_因子設定!$M$6+0.000000001,G5577&gt;=01_因子設定!$L$7-0.000000001,G5577&lt;=01_因子設定!$M$7+0.000000001,H5577&gt;=01_因子設定!$L$8-0.000000001,H5577&lt;=01_因子設定!$M$8+0.000000001,IF(01_因子設定!$B$20="Box-Behnken",E5577^2+F5577^2+G5577^2+H5577^2&lt;=2+0.000000001,TRUE()))</f>
        <v>1</v>
      </c>
      <c r="AD5577" s="55" t="n">
        <f aca="false">IF(AC5577,IF(01_因子設定!$B$13="最大化",AA5577-01_因子設定!$B$14,IF(01_因子設定!$B$13="最小化",01_因子設定!$B$15-AB5577,MIN(AA5577-01_因子設定!$B$14,01_因子設定!$B$15-AB5577))),-1E+030)</f>
        <v>-0.115555908550945</v>
      </c>
      <c r="AE5577" s="55" t="n">
        <f aca="false">IF(AC5577,IF(01_因子設定!$B$13="最大化",X5577,IF(01_因子設定!$B$13="最小化",-X5577,-ABS(X5577-01_因子設定!$B$16))),-1E+030)</f>
        <v>47.8676763523392</v>
      </c>
      <c r="AF5577" s="55" t="n">
        <f aca="false">AD5577+ROW()*0.000000001</f>
        <v>-0.115550331550945</v>
      </c>
      <c r="AG5577" s="55" t="n">
        <f aca="false">AE5577+ROW()*0.000000001</f>
        <v>47.8676819293392</v>
      </c>
    </row>
    <row r="5578" customFormat="false" ht="15" hidden="false" customHeight="false" outlineLevel="0" collapsed="false">
      <c r="A5578" s="0" t="n">
        <v>7</v>
      </c>
      <c r="B5578" s="0" t="n">
        <v>5</v>
      </c>
      <c r="C5578" s="0" t="n">
        <v>7</v>
      </c>
      <c r="D5578" s="0" t="n">
        <v>2</v>
      </c>
      <c r="E5578" s="0" t="n">
        <f aca="false">-1+A5578*0.25</f>
        <v>0.75</v>
      </c>
      <c r="F5578" s="0" t="n">
        <f aca="false">-1+B5578*0.25</f>
        <v>0.25</v>
      </c>
      <c r="G5578" s="0" t="n">
        <f aca="false">-1+C5578*0.25</f>
        <v>0.75</v>
      </c>
      <c r="H5578" s="0" t="n">
        <f aca="false">-1+D5578*0.25</f>
        <v>-0.5</v>
      </c>
      <c r="I5578" s="0" t="n">
        <f aca="false">1</f>
        <v>1</v>
      </c>
      <c r="J5578" s="0" t="n">
        <f aca="false">E5578</f>
        <v>0.75</v>
      </c>
      <c r="K5578" s="0" t="n">
        <f aca="false">F5578</f>
        <v>0.25</v>
      </c>
      <c r="L5578" s="0" t="n">
        <f aca="false">G5578</f>
        <v>0.75</v>
      </c>
      <c r="M5578" s="0" t="n">
        <f aca="false">H5578</f>
        <v>-0.5</v>
      </c>
      <c r="N5578" s="0" t="n">
        <f aca="false">E5578*F5578</f>
        <v>0.1875</v>
      </c>
      <c r="O5578" s="0" t="n">
        <f aca="false">E5578*G5578</f>
        <v>0.5625</v>
      </c>
      <c r="P5578" s="0" t="n">
        <f aca="false">E5578*H5578</f>
        <v>-0.375</v>
      </c>
      <c r="Q5578" s="0" t="n">
        <f aca="false">F5578*G5578</f>
        <v>0.1875</v>
      </c>
      <c r="R5578" s="0" t="n">
        <f aca="false">F5578*H5578</f>
        <v>-0.125</v>
      </c>
      <c r="S5578" s="0" t="n">
        <f aca="false">G5578*H5578</f>
        <v>-0.375</v>
      </c>
      <c r="T5578" s="0" t="n">
        <f aca="false">E5578*E5578</f>
        <v>0.5625</v>
      </c>
      <c r="U5578" s="0" t="n">
        <f aca="false">F5578*F5578</f>
        <v>0.0625</v>
      </c>
      <c r="V5578" s="0" t="n">
        <f aca="false">G5578*G5578</f>
        <v>0.5625</v>
      </c>
      <c r="W5578" s="0" t="n">
        <f aca="false">H5578*H5578</f>
        <v>0.25</v>
      </c>
      <c r="X5578" s="0" t="n">
        <f aca="false">SUMPRODUCT(I5578:W5578,_XtX!$B$96:$P$96)</f>
        <v>48.1526452850877</v>
      </c>
      <c r="Y5578" s="0" t="n">
        <f aca="false">SUMPRODUCT(MMULT(I5578:W5578,_XtX!$B$78:$P$92),I5578:W5578)</f>
        <v>0.257385610836988</v>
      </c>
      <c r="Z5578" s="0" t="n">
        <f aca="false">04_回帰ANOVA!$K$19*04_回帰ANOVA!$K$14*SQRT(1+Y5578)</f>
        <v>1.46161380324158</v>
      </c>
      <c r="AA5578" s="0" t="n">
        <f aca="false">X5578-Z5578</f>
        <v>46.6910314818461</v>
      </c>
      <c r="AB5578" s="0" t="n">
        <f aca="false">X5578+Z5578</f>
        <v>49.6142590883293</v>
      </c>
      <c r="AC5578" s="54" t="b">
        <f aca="false">AND(E5578&gt;=01_因子設定!$L$5-0.000000001,E5578&lt;=01_因子設定!$M$5+0.000000001,F5578&gt;=01_因子設定!$L$6-0.000000001,F5578&lt;=01_因子設定!$M$6+0.000000001,G5578&gt;=01_因子設定!$L$7-0.000000001,G5578&lt;=01_因子設定!$M$7+0.000000001,H5578&gt;=01_因子設定!$L$8-0.000000001,H5578&lt;=01_因子設定!$M$8+0.000000001,IF(01_因子設定!$B$20="Box-Behnken",E5578^2+F5578^2+G5578^2+H5578^2&lt;=2+0.000000001,TRUE()))</f>
        <v>1</v>
      </c>
      <c r="AD5578" s="55" t="n">
        <f aca="false">IF(AC5578,IF(01_因子設定!$B$13="最大化",AA5578-01_因子設定!$B$14,IF(01_因子設定!$B$13="最小化",01_因子設定!$B$15-AB5578,MIN(AA5578-01_因子設定!$B$14,01_因子設定!$B$15-AB5578))),-1E+030)</f>
        <v>0.191031481846132</v>
      </c>
      <c r="AE5578" s="55" t="n">
        <f aca="false">IF(AC5578,IF(01_因子設定!$B$13="最大化",X5578,IF(01_因子設定!$B$13="最小化",-X5578,-ABS(X5578-01_因子設定!$B$16))),-1E+030)</f>
        <v>48.1526452850877</v>
      </c>
      <c r="AF5578" s="55" t="n">
        <f aca="false">AD5578+ROW()*0.000000001</f>
        <v>0.191037059846132</v>
      </c>
      <c r="AG5578" s="55" t="n">
        <f aca="false">AE5578+ROW()*0.000000001</f>
        <v>48.1526508630877</v>
      </c>
    </row>
    <row r="5579" customFormat="false" ht="15" hidden="false" customHeight="false" outlineLevel="0" collapsed="false">
      <c r="A5579" s="0" t="n">
        <v>7</v>
      </c>
      <c r="B5579" s="0" t="n">
        <v>5</v>
      </c>
      <c r="C5579" s="0" t="n">
        <v>7</v>
      </c>
      <c r="D5579" s="0" t="n">
        <v>3</v>
      </c>
      <c r="E5579" s="0" t="n">
        <f aca="false">-1+A5579*0.25</f>
        <v>0.75</v>
      </c>
      <c r="F5579" s="0" t="n">
        <f aca="false">-1+B5579*0.25</f>
        <v>0.25</v>
      </c>
      <c r="G5579" s="0" t="n">
        <f aca="false">-1+C5579*0.25</f>
        <v>0.75</v>
      </c>
      <c r="H5579" s="0" t="n">
        <f aca="false">-1+D5579*0.25</f>
        <v>-0.25</v>
      </c>
      <c r="I5579" s="0" t="n">
        <f aca="false">1</f>
        <v>1</v>
      </c>
      <c r="J5579" s="0" t="n">
        <f aca="false">E5579</f>
        <v>0.75</v>
      </c>
      <c r="K5579" s="0" t="n">
        <f aca="false">F5579</f>
        <v>0.25</v>
      </c>
      <c r="L5579" s="0" t="n">
        <f aca="false">G5579</f>
        <v>0.75</v>
      </c>
      <c r="M5579" s="0" t="n">
        <f aca="false">H5579</f>
        <v>-0.25</v>
      </c>
      <c r="N5579" s="0" t="n">
        <f aca="false">E5579*F5579</f>
        <v>0.1875</v>
      </c>
      <c r="O5579" s="0" t="n">
        <f aca="false">E5579*G5579</f>
        <v>0.5625</v>
      </c>
      <c r="P5579" s="0" t="n">
        <f aca="false">E5579*H5579</f>
        <v>-0.1875</v>
      </c>
      <c r="Q5579" s="0" t="n">
        <f aca="false">F5579*G5579</f>
        <v>0.1875</v>
      </c>
      <c r="R5579" s="0" t="n">
        <f aca="false">F5579*H5579</f>
        <v>-0.0625</v>
      </c>
      <c r="S5579" s="0" t="n">
        <f aca="false">G5579*H5579</f>
        <v>-0.1875</v>
      </c>
      <c r="T5579" s="0" t="n">
        <f aca="false">E5579*E5579</f>
        <v>0.5625</v>
      </c>
      <c r="U5579" s="0" t="n">
        <f aca="false">F5579*F5579</f>
        <v>0.0625</v>
      </c>
      <c r="V5579" s="0" t="n">
        <f aca="false">G5579*G5579</f>
        <v>0.5625</v>
      </c>
      <c r="W5579" s="0" t="n">
        <f aca="false">H5579*H5579</f>
        <v>0.0625</v>
      </c>
      <c r="X5579" s="0" t="n">
        <f aca="false">SUMPRODUCT(I5579:W5579,_XtX!$B$96:$P$96)</f>
        <v>48.3898072002924</v>
      </c>
      <c r="Y5579" s="0" t="n">
        <f aca="false">SUMPRODUCT(MMULT(I5579:W5579,_XtX!$B$78:$P$92),I5579:W5579)</f>
        <v>0.271087468019006</v>
      </c>
      <c r="Z5579" s="0" t="n">
        <f aca="false">04_回帰ANOVA!$K$19*04_回帰ANOVA!$K$14*SQRT(1+Y5579)</f>
        <v>1.46955590155034</v>
      </c>
      <c r="AA5579" s="0" t="n">
        <f aca="false">X5579-Z5579</f>
        <v>46.920251298742</v>
      </c>
      <c r="AB5579" s="0" t="n">
        <f aca="false">X5579+Z5579</f>
        <v>49.8593631018427</v>
      </c>
      <c r="AC5579" s="54" t="b">
        <f aca="false">AND(E5579&gt;=01_因子設定!$L$5-0.000000001,E5579&lt;=01_因子設定!$M$5+0.000000001,F5579&gt;=01_因子設定!$L$6-0.000000001,F5579&lt;=01_因子設定!$M$6+0.000000001,G5579&gt;=01_因子設定!$L$7-0.000000001,G5579&lt;=01_因子設定!$M$7+0.000000001,H5579&gt;=01_因子設定!$L$8-0.000000001,H5579&lt;=01_因子設定!$M$8+0.000000001,IF(01_因子設定!$B$20="Box-Behnken",E5579^2+F5579^2+G5579^2+H5579^2&lt;=2+0.000000001,TRUE()))</f>
        <v>1</v>
      </c>
      <c r="AD5579" s="55" t="n">
        <f aca="false">IF(AC5579,IF(01_因子設定!$B$13="最大化",AA5579-01_因子設定!$B$14,IF(01_因子設定!$B$13="最小化",01_因子設定!$B$15-AB5579,MIN(AA5579-01_因子設定!$B$14,01_因子設定!$B$15-AB5579))),-1E+030)</f>
        <v>0.420251298742045</v>
      </c>
      <c r="AE5579" s="55" t="n">
        <f aca="false">IF(AC5579,IF(01_因子設定!$B$13="最大化",X5579,IF(01_因子設定!$B$13="最小化",-X5579,-ABS(X5579-01_因子設定!$B$16))),-1E+030)</f>
        <v>48.3898072002924</v>
      </c>
      <c r="AF5579" s="55" t="n">
        <f aca="false">AD5579+ROW()*0.000000001</f>
        <v>0.420256877742045</v>
      </c>
      <c r="AG5579" s="55" t="n">
        <f aca="false">AE5579+ROW()*0.000000001</f>
        <v>48.3898127792924</v>
      </c>
    </row>
    <row r="5580" customFormat="false" ht="15" hidden="false" customHeight="false" outlineLevel="0" collapsed="false">
      <c r="A5580" s="0" t="n">
        <v>7</v>
      </c>
      <c r="B5580" s="0" t="n">
        <v>5</v>
      </c>
      <c r="C5580" s="0" t="n">
        <v>7</v>
      </c>
      <c r="D5580" s="0" t="n">
        <v>4</v>
      </c>
      <c r="E5580" s="0" t="n">
        <f aca="false">-1+A5580*0.25</f>
        <v>0.75</v>
      </c>
      <c r="F5580" s="0" t="n">
        <f aca="false">-1+B5580*0.25</f>
        <v>0.25</v>
      </c>
      <c r="G5580" s="0" t="n">
        <f aca="false">-1+C5580*0.25</f>
        <v>0.75</v>
      </c>
      <c r="H5580" s="0" t="n">
        <f aca="false">-1+D5580*0.25</f>
        <v>0</v>
      </c>
      <c r="I5580" s="0" t="n">
        <f aca="false">1</f>
        <v>1</v>
      </c>
      <c r="J5580" s="0" t="n">
        <f aca="false">E5580</f>
        <v>0.75</v>
      </c>
      <c r="K5580" s="0" t="n">
        <f aca="false">F5580</f>
        <v>0.25</v>
      </c>
      <c r="L5580" s="0" t="n">
        <f aca="false">G5580</f>
        <v>0.75</v>
      </c>
      <c r="M5580" s="0" t="n">
        <f aca="false">H5580</f>
        <v>0</v>
      </c>
      <c r="N5580" s="0" t="n">
        <f aca="false">E5580*F5580</f>
        <v>0.1875</v>
      </c>
      <c r="O5580" s="0" t="n">
        <f aca="false">E5580*G5580</f>
        <v>0.5625</v>
      </c>
      <c r="P5580" s="0" t="n">
        <f aca="false">E5580*H5580</f>
        <v>0</v>
      </c>
      <c r="Q5580" s="0" t="n">
        <f aca="false">F5580*G5580</f>
        <v>0.1875</v>
      </c>
      <c r="R5580" s="0" t="n">
        <f aca="false">F5580*H5580</f>
        <v>0</v>
      </c>
      <c r="S5580" s="0" t="n">
        <f aca="false">G5580*H5580</f>
        <v>0</v>
      </c>
      <c r="T5580" s="0" t="n">
        <f aca="false">E5580*E5580</f>
        <v>0.5625</v>
      </c>
      <c r="U5580" s="0" t="n">
        <f aca="false">F5580*F5580</f>
        <v>0.0625</v>
      </c>
      <c r="V5580" s="0" t="n">
        <f aca="false">G5580*G5580</f>
        <v>0.5625</v>
      </c>
      <c r="W5580" s="0" t="n">
        <f aca="false">H5580*H5580</f>
        <v>0</v>
      </c>
      <c r="X5580" s="0" t="n">
        <f aca="false">SUMPRODUCT(I5580:W5580,_XtX!$B$96:$P$96)</f>
        <v>48.5791620979532</v>
      </c>
      <c r="Y5580" s="0" t="n">
        <f aca="false">SUMPRODUCT(MMULT(I5580:W5580,_XtX!$B$78:$P$92),I5580:W5580)</f>
        <v>0.281685455500731</v>
      </c>
      <c r="Z5580" s="0" t="n">
        <f aca="false">04_回帰ANOVA!$K$19*04_回帰ANOVA!$K$14*SQRT(1+Y5580)</f>
        <v>1.47566956658694</v>
      </c>
      <c r="AA5580" s="0" t="n">
        <f aca="false">X5580-Z5580</f>
        <v>47.1034925313663</v>
      </c>
      <c r="AB5580" s="0" t="n">
        <f aca="false">X5580+Z5580</f>
        <v>50.0548316645401</v>
      </c>
      <c r="AC5580" s="54" t="b">
        <f aca="false">AND(E5580&gt;=01_因子設定!$L$5-0.000000001,E5580&lt;=01_因子設定!$M$5+0.000000001,F5580&gt;=01_因子設定!$L$6-0.000000001,F5580&lt;=01_因子設定!$M$6+0.000000001,G5580&gt;=01_因子設定!$L$7-0.000000001,G5580&lt;=01_因子設定!$M$7+0.000000001,H5580&gt;=01_因子設定!$L$8-0.000000001,H5580&lt;=01_因子設定!$M$8+0.000000001,IF(01_因子設定!$B$20="Box-Behnken",E5580^2+F5580^2+G5580^2+H5580^2&lt;=2+0.000000001,TRUE()))</f>
        <v>1</v>
      </c>
      <c r="AD5580" s="55" t="n">
        <f aca="false">IF(AC5580,IF(01_因子設定!$B$13="最大化",AA5580-01_因子設定!$B$14,IF(01_因子設定!$B$13="最小化",01_因子設定!$B$15-AB5580,MIN(AA5580-01_因子設定!$B$14,01_因子設定!$B$15-AB5580))),-1E+030)</f>
        <v>0.603492531366264</v>
      </c>
      <c r="AE5580" s="55" t="n">
        <f aca="false">IF(AC5580,IF(01_因子設定!$B$13="最大化",X5580,IF(01_因子設定!$B$13="最小化",-X5580,-ABS(X5580-01_因子設定!$B$16))),-1E+030)</f>
        <v>48.5791620979532</v>
      </c>
      <c r="AF5580" s="55" t="n">
        <f aca="false">AD5580+ROW()*0.000000001</f>
        <v>0.603498111366264</v>
      </c>
      <c r="AG5580" s="55" t="n">
        <f aca="false">AE5580+ROW()*0.000000001</f>
        <v>48.5791676779532</v>
      </c>
    </row>
    <row r="5581" customFormat="false" ht="15" hidden="false" customHeight="false" outlineLevel="0" collapsed="false">
      <c r="A5581" s="0" t="n">
        <v>7</v>
      </c>
      <c r="B5581" s="0" t="n">
        <v>5</v>
      </c>
      <c r="C5581" s="0" t="n">
        <v>7</v>
      </c>
      <c r="D5581" s="0" t="n">
        <v>5</v>
      </c>
      <c r="E5581" s="0" t="n">
        <f aca="false">-1+A5581*0.25</f>
        <v>0.75</v>
      </c>
      <c r="F5581" s="0" t="n">
        <f aca="false">-1+B5581*0.25</f>
        <v>0.25</v>
      </c>
      <c r="G5581" s="0" t="n">
        <f aca="false">-1+C5581*0.25</f>
        <v>0.75</v>
      </c>
      <c r="H5581" s="0" t="n">
        <f aca="false">-1+D5581*0.25</f>
        <v>0.25</v>
      </c>
      <c r="I5581" s="0" t="n">
        <f aca="false">1</f>
        <v>1</v>
      </c>
      <c r="J5581" s="0" t="n">
        <f aca="false">E5581</f>
        <v>0.75</v>
      </c>
      <c r="K5581" s="0" t="n">
        <f aca="false">F5581</f>
        <v>0.25</v>
      </c>
      <c r="L5581" s="0" t="n">
        <f aca="false">G5581</f>
        <v>0.75</v>
      </c>
      <c r="M5581" s="0" t="n">
        <f aca="false">H5581</f>
        <v>0.25</v>
      </c>
      <c r="N5581" s="0" t="n">
        <f aca="false">E5581*F5581</f>
        <v>0.1875</v>
      </c>
      <c r="O5581" s="0" t="n">
        <f aca="false">E5581*G5581</f>
        <v>0.5625</v>
      </c>
      <c r="P5581" s="0" t="n">
        <f aca="false">E5581*H5581</f>
        <v>0.1875</v>
      </c>
      <c r="Q5581" s="0" t="n">
        <f aca="false">F5581*G5581</f>
        <v>0.1875</v>
      </c>
      <c r="R5581" s="0" t="n">
        <f aca="false">F5581*H5581</f>
        <v>0.0625</v>
      </c>
      <c r="S5581" s="0" t="n">
        <f aca="false">G5581*H5581</f>
        <v>0.1875</v>
      </c>
      <c r="T5581" s="0" t="n">
        <f aca="false">E5581*E5581</f>
        <v>0.5625</v>
      </c>
      <c r="U5581" s="0" t="n">
        <f aca="false">F5581*F5581</f>
        <v>0.0625</v>
      </c>
      <c r="V5581" s="0" t="n">
        <f aca="false">G5581*G5581</f>
        <v>0.5625</v>
      </c>
      <c r="W5581" s="0" t="n">
        <f aca="false">H5581*H5581</f>
        <v>0.0625</v>
      </c>
      <c r="X5581" s="0" t="n">
        <f aca="false">SUMPRODUCT(I5581:W5581,_XtX!$B$96:$P$96)</f>
        <v>48.7207099780702</v>
      </c>
      <c r="Y5581" s="0" t="n">
        <f aca="false">SUMPRODUCT(MMULT(I5581:W5581,_XtX!$B$78:$P$92),I5581:W5581)</f>
        <v>0.271087468019006</v>
      </c>
      <c r="Z5581" s="0" t="n">
        <f aca="false">04_回帰ANOVA!$K$19*04_回帰ANOVA!$K$14*SQRT(1+Y5581)</f>
        <v>1.46955590155034</v>
      </c>
      <c r="AA5581" s="0" t="n">
        <f aca="false">X5581-Z5581</f>
        <v>47.2511540765198</v>
      </c>
      <c r="AB5581" s="0" t="n">
        <f aca="false">X5581+Z5581</f>
        <v>50.1902658796205</v>
      </c>
      <c r="AC5581" s="54" t="b">
        <f aca="false">AND(E5581&gt;=01_因子設定!$L$5-0.000000001,E5581&lt;=01_因子設定!$M$5+0.000000001,F5581&gt;=01_因子設定!$L$6-0.000000001,F5581&lt;=01_因子設定!$M$6+0.000000001,G5581&gt;=01_因子設定!$L$7-0.000000001,G5581&lt;=01_因子設定!$M$7+0.000000001,H5581&gt;=01_因子設定!$L$8-0.000000001,H5581&lt;=01_因子設定!$M$8+0.000000001,IF(01_因子設定!$B$20="Box-Behnken",E5581^2+F5581^2+G5581^2+H5581^2&lt;=2+0.000000001,TRUE()))</f>
        <v>1</v>
      </c>
      <c r="AD5581" s="55" t="n">
        <f aca="false">IF(AC5581,IF(01_因子設定!$B$13="最大化",AA5581-01_因子設定!$B$14,IF(01_因子設定!$B$13="最小化",01_因子設定!$B$15-AB5581,MIN(AA5581-01_因子設定!$B$14,01_因子設定!$B$15-AB5581))),-1E+030)</f>
        <v>0.751154076519818</v>
      </c>
      <c r="AE5581" s="55" t="n">
        <f aca="false">IF(AC5581,IF(01_因子設定!$B$13="最大化",X5581,IF(01_因子設定!$B$13="最小化",-X5581,-ABS(X5581-01_因子設定!$B$16))),-1E+030)</f>
        <v>48.7207099780702</v>
      </c>
      <c r="AF5581" s="55" t="n">
        <f aca="false">AD5581+ROW()*0.000000001</f>
        <v>0.751159657519818</v>
      </c>
      <c r="AG5581" s="55" t="n">
        <f aca="false">AE5581+ROW()*0.000000001</f>
        <v>48.7207155590702</v>
      </c>
    </row>
    <row r="5582" customFormat="false" ht="15" hidden="false" customHeight="false" outlineLevel="0" collapsed="false">
      <c r="A5582" s="0" t="n">
        <v>7</v>
      </c>
      <c r="B5582" s="0" t="n">
        <v>5</v>
      </c>
      <c r="C5582" s="0" t="n">
        <v>7</v>
      </c>
      <c r="D5582" s="0" t="n">
        <v>6</v>
      </c>
      <c r="E5582" s="0" t="n">
        <f aca="false">-1+A5582*0.25</f>
        <v>0.75</v>
      </c>
      <c r="F5582" s="0" t="n">
        <f aca="false">-1+B5582*0.25</f>
        <v>0.25</v>
      </c>
      <c r="G5582" s="0" t="n">
        <f aca="false">-1+C5582*0.25</f>
        <v>0.75</v>
      </c>
      <c r="H5582" s="0" t="n">
        <f aca="false">-1+D5582*0.25</f>
        <v>0.5</v>
      </c>
      <c r="I5582" s="0" t="n">
        <f aca="false">1</f>
        <v>1</v>
      </c>
      <c r="J5582" s="0" t="n">
        <f aca="false">E5582</f>
        <v>0.75</v>
      </c>
      <c r="K5582" s="0" t="n">
        <f aca="false">F5582</f>
        <v>0.25</v>
      </c>
      <c r="L5582" s="0" t="n">
        <f aca="false">G5582</f>
        <v>0.75</v>
      </c>
      <c r="M5582" s="0" t="n">
        <f aca="false">H5582</f>
        <v>0.5</v>
      </c>
      <c r="N5582" s="0" t="n">
        <f aca="false">E5582*F5582</f>
        <v>0.1875</v>
      </c>
      <c r="O5582" s="0" t="n">
        <f aca="false">E5582*G5582</f>
        <v>0.5625</v>
      </c>
      <c r="P5582" s="0" t="n">
        <f aca="false">E5582*H5582</f>
        <v>0.375</v>
      </c>
      <c r="Q5582" s="0" t="n">
        <f aca="false">F5582*G5582</f>
        <v>0.1875</v>
      </c>
      <c r="R5582" s="0" t="n">
        <f aca="false">F5582*H5582</f>
        <v>0.125</v>
      </c>
      <c r="S5582" s="0" t="n">
        <f aca="false">G5582*H5582</f>
        <v>0.375</v>
      </c>
      <c r="T5582" s="0" t="n">
        <f aca="false">E5582*E5582</f>
        <v>0.5625</v>
      </c>
      <c r="U5582" s="0" t="n">
        <f aca="false">F5582*F5582</f>
        <v>0.0625</v>
      </c>
      <c r="V5582" s="0" t="n">
        <f aca="false">G5582*G5582</f>
        <v>0.5625</v>
      </c>
      <c r="W5582" s="0" t="n">
        <f aca="false">H5582*H5582</f>
        <v>0.25</v>
      </c>
      <c r="X5582" s="0" t="n">
        <f aca="false">SUMPRODUCT(I5582:W5582,_XtX!$B$96:$P$96)</f>
        <v>48.8144508406433</v>
      </c>
      <c r="Y5582" s="0" t="n">
        <f aca="false">SUMPRODUCT(MMULT(I5582:W5582,_XtX!$B$78:$P$92),I5582:W5582)</f>
        <v>0.257385610836988</v>
      </c>
      <c r="Z5582" s="0" t="n">
        <f aca="false">04_回帰ANOVA!$K$19*04_回帰ANOVA!$K$14*SQRT(1+Y5582)</f>
        <v>1.46161380324158</v>
      </c>
      <c r="AA5582" s="0" t="n">
        <f aca="false">X5582-Z5582</f>
        <v>47.3528370374017</v>
      </c>
      <c r="AB5582" s="0" t="n">
        <f aca="false">X5582+Z5582</f>
        <v>50.2760646438849</v>
      </c>
      <c r="AC5582" s="54" t="b">
        <f aca="false">AND(E5582&gt;=01_因子設定!$L$5-0.000000001,E5582&lt;=01_因子設定!$M$5+0.000000001,F5582&gt;=01_因子設定!$L$6-0.000000001,F5582&lt;=01_因子設定!$M$6+0.000000001,G5582&gt;=01_因子設定!$L$7-0.000000001,G5582&lt;=01_因子設定!$M$7+0.000000001,H5582&gt;=01_因子設定!$L$8-0.000000001,H5582&lt;=01_因子設定!$M$8+0.000000001,IF(01_因子設定!$B$20="Box-Behnken",E5582^2+F5582^2+G5582^2+H5582^2&lt;=2+0.000000001,TRUE()))</f>
        <v>1</v>
      </c>
      <c r="AD5582" s="55" t="n">
        <f aca="false">IF(AC5582,IF(01_因子設定!$B$13="最大化",AA5582-01_因子設定!$B$14,IF(01_因子設定!$B$13="最小化",01_因子設定!$B$15-AB5582,MIN(AA5582-01_因子設定!$B$14,01_因子設定!$B$15-AB5582))),-1E+030)</f>
        <v>0.852837037401685</v>
      </c>
      <c r="AE5582" s="55" t="n">
        <f aca="false">IF(AC5582,IF(01_因子設定!$B$13="最大化",X5582,IF(01_因子設定!$B$13="最小化",-X5582,-ABS(X5582-01_因子設定!$B$16))),-1E+030)</f>
        <v>48.8144508406433</v>
      </c>
      <c r="AF5582" s="55" t="n">
        <f aca="false">AD5582+ROW()*0.000000001</f>
        <v>0.852842619401685</v>
      </c>
      <c r="AG5582" s="55" t="n">
        <f aca="false">AE5582+ROW()*0.000000001</f>
        <v>48.8144564226433</v>
      </c>
    </row>
    <row r="5583" customFormat="false" ht="15" hidden="false" customHeight="false" outlineLevel="0" collapsed="false">
      <c r="A5583" s="0" t="n">
        <v>7</v>
      </c>
      <c r="B5583" s="0" t="n">
        <v>5</v>
      </c>
      <c r="C5583" s="0" t="n">
        <v>7</v>
      </c>
      <c r="D5583" s="0" t="n">
        <v>7</v>
      </c>
      <c r="E5583" s="0" t="n">
        <f aca="false">-1+A5583*0.25</f>
        <v>0.75</v>
      </c>
      <c r="F5583" s="0" t="n">
        <f aca="false">-1+B5583*0.25</f>
        <v>0.25</v>
      </c>
      <c r="G5583" s="0" t="n">
        <f aca="false">-1+C5583*0.25</f>
        <v>0.75</v>
      </c>
      <c r="H5583" s="0" t="n">
        <f aca="false">-1+D5583*0.25</f>
        <v>0.75</v>
      </c>
      <c r="I5583" s="0" t="n">
        <f aca="false">1</f>
        <v>1</v>
      </c>
      <c r="J5583" s="0" t="n">
        <f aca="false">E5583</f>
        <v>0.75</v>
      </c>
      <c r="K5583" s="0" t="n">
        <f aca="false">F5583</f>
        <v>0.25</v>
      </c>
      <c r="L5583" s="0" t="n">
        <f aca="false">G5583</f>
        <v>0.75</v>
      </c>
      <c r="M5583" s="0" t="n">
        <f aca="false">H5583</f>
        <v>0.75</v>
      </c>
      <c r="N5583" s="0" t="n">
        <f aca="false">E5583*F5583</f>
        <v>0.1875</v>
      </c>
      <c r="O5583" s="0" t="n">
        <f aca="false">E5583*G5583</f>
        <v>0.5625</v>
      </c>
      <c r="P5583" s="0" t="n">
        <f aca="false">E5583*H5583</f>
        <v>0.5625</v>
      </c>
      <c r="Q5583" s="0" t="n">
        <f aca="false">F5583*G5583</f>
        <v>0.1875</v>
      </c>
      <c r="R5583" s="0" t="n">
        <f aca="false">F5583*H5583</f>
        <v>0.1875</v>
      </c>
      <c r="S5583" s="0" t="n">
        <f aca="false">G5583*H5583</f>
        <v>0.5625</v>
      </c>
      <c r="T5583" s="0" t="n">
        <f aca="false">E5583*E5583</f>
        <v>0.5625</v>
      </c>
      <c r="U5583" s="0" t="n">
        <f aca="false">F5583*F5583</f>
        <v>0.0625</v>
      </c>
      <c r="V5583" s="0" t="n">
        <f aca="false">G5583*G5583</f>
        <v>0.5625</v>
      </c>
      <c r="W5583" s="0" t="n">
        <f aca="false">H5583*H5583</f>
        <v>0.5625</v>
      </c>
      <c r="X5583" s="0" t="n">
        <f aca="false">SUMPRODUCT(I5583:W5583,_XtX!$B$96:$P$96)</f>
        <v>48.8603846856725</v>
      </c>
      <c r="Y5583" s="0" t="n">
        <f aca="false">SUMPRODUCT(MMULT(I5583:W5583,_XtX!$B$78:$P$92),I5583:W5583)</f>
        <v>0.294856199744152</v>
      </c>
      <c r="Z5583" s="0" t="n">
        <f aca="false">04_回帰ANOVA!$K$19*04_回帰ANOVA!$K$14*SQRT(1+Y5583)</f>
        <v>1.48323226089013</v>
      </c>
      <c r="AA5583" s="0" t="n">
        <f aca="false">X5583-Z5583</f>
        <v>47.3771524247824</v>
      </c>
      <c r="AB5583" s="0" t="n">
        <f aca="false">X5583+Z5583</f>
        <v>50.3436169465627</v>
      </c>
      <c r="AC5583" s="54" t="b">
        <f aca="false">AND(E5583&gt;=01_因子設定!$L$5-0.000000001,E5583&lt;=01_因子設定!$M$5+0.000000001,F5583&gt;=01_因子設定!$L$6-0.000000001,F5583&lt;=01_因子設定!$M$6+0.000000001,G5583&gt;=01_因子設定!$L$7-0.000000001,G5583&lt;=01_因子設定!$M$7+0.000000001,H5583&gt;=01_因子設定!$L$8-0.000000001,H5583&lt;=01_因子設定!$M$8+0.000000001,IF(01_因子設定!$B$20="Box-Behnken",E5583^2+F5583^2+G5583^2+H5583^2&lt;=2+0.000000001,TRUE()))</f>
        <v>1</v>
      </c>
      <c r="AD5583" s="55" t="n">
        <f aca="false">IF(AC5583,IF(01_因子設定!$B$13="最大化",AA5583-01_因子設定!$B$14,IF(01_因子設定!$B$13="最小化",01_因子設定!$B$15-AB5583,MIN(AA5583-01_因子設定!$B$14,01_因子設定!$B$15-AB5583))),-1E+030)</f>
        <v>0.877152424782388</v>
      </c>
      <c r="AE5583" s="55" t="n">
        <f aca="false">IF(AC5583,IF(01_因子設定!$B$13="最大化",X5583,IF(01_因子設定!$B$13="最小化",-X5583,-ABS(X5583-01_因子設定!$B$16))),-1E+030)</f>
        <v>48.8603846856725</v>
      </c>
      <c r="AF5583" s="55" t="n">
        <f aca="false">AD5583+ROW()*0.000000001</f>
        <v>0.877158007782388</v>
      </c>
      <c r="AG5583" s="55" t="n">
        <f aca="false">AE5583+ROW()*0.000000001</f>
        <v>48.8603902686725</v>
      </c>
    </row>
    <row r="5584" customFormat="false" ht="15" hidden="false" customHeight="false" outlineLevel="0" collapsed="false">
      <c r="A5584" s="0" t="n">
        <v>7</v>
      </c>
      <c r="B5584" s="0" t="n">
        <v>5</v>
      </c>
      <c r="C5584" s="0" t="n">
        <v>7</v>
      </c>
      <c r="D5584" s="0" t="n">
        <v>8</v>
      </c>
      <c r="E5584" s="0" t="n">
        <f aca="false">-1+A5584*0.25</f>
        <v>0.75</v>
      </c>
      <c r="F5584" s="0" t="n">
        <f aca="false">-1+B5584*0.25</f>
        <v>0.25</v>
      </c>
      <c r="G5584" s="0" t="n">
        <f aca="false">-1+C5584*0.25</f>
        <v>0.75</v>
      </c>
      <c r="H5584" s="0" t="n">
        <f aca="false">-1+D5584*0.25</f>
        <v>1</v>
      </c>
      <c r="I5584" s="0" t="n">
        <f aca="false">1</f>
        <v>1</v>
      </c>
      <c r="J5584" s="0" t="n">
        <f aca="false">E5584</f>
        <v>0.75</v>
      </c>
      <c r="K5584" s="0" t="n">
        <f aca="false">F5584</f>
        <v>0.25</v>
      </c>
      <c r="L5584" s="0" t="n">
        <f aca="false">G5584</f>
        <v>0.75</v>
      </c>
      <c r="M5584" s="0" t="n">
        <f aca="false">H5584</f>
        <v>1</v>
      </c>
      <c r="N5584" s="0" t="n">
        <f aca="false">E5584*F5584</f>
        <v>0.1875</v>
      </c>
      <c r="O5584" s="0" t="n">
        <f aca="false">E5584*G5584</f>
        <v>0.5625</v>
      </c>
      <c r="P5584" s="0" t="n">
        <f aca="false">E5584*H5584</f>
        <v>0.75</v>
      </c>
      <c r="Q5584" s="0" t="n">
        <f aca="false">F5584*G5584</f>
        <v>0.1875</v>
      </c>
      <c r="R5584" s="0" t="n">
        <f aca="false">F5584*H5584</f>
        <v>0.25</v>
      </c>
      <c r="S5584" s="0" t="n">
        <f aca="false">G5584*H5584</f>
        <v>0.75</v>
      </c>
      <c r="T5584" s="0" t="n">
        <f aca="false">E5584*E5584</f>
        <v>0.5625</v>
      </c>
      <c r="U5584" s="0" t="n">
        <f aca="false">F5584*F5584</f>
        <v>0.0625</v>
      </c>
      <c r="V5584" s="0" t="n">
        <f aca="false">G5584*G5584</f>
        <v>0.5625</v>
      </c>
      <c r="W5584" s="0" t="n">
        <f aca="false">H5584*H5584</f>
        <v>1</v>
      </c>
      <c r="X5584" s="0" t="n">
        <f aca="false">SUMPRODUCT(I5584:W5584,_XtX!$B$96:$P$96)</f>
        <v>48.8585115131579</v>
      </c>
      <c r="Y5584" s="0" t="n">
        <f aca="false">SUMPRODUCT(MMULT(I5584:W5584,_XtX!$B$78:$P$92),I5584:W5584)</f>
        <v>0.473959761056287</v>
      </c>
      <c r="Z5584" s="0" t="n">
        <f aca="false">04_回帰ANOVA!$K$19*04_回帰ANOVA!$K$14*SQRT(1+Y5584)</f>
        <v>1.58249084588329</v>
      </c>
      <c r="AA5584" s="0" t="n">
        <f aca="false">X5584-Z5584</f>
        <v>47.2760206672746</v>
      </c>
      <c r="AB5584" s="0" t="n">
        <f aca="false">X5584+Z5584</f>
        <v>50.4410023590412</v>
      </c>
      <c r="AC5584" s="54" t="b">
        <f aca="false">AND(E5584&gt;=01_因子設定!$L$5-0.000000001,E5584&lt;=01_因子設定!$M$5+0.000000001,F5584&gt;=01_因子設定!$L$6-0.000000001,F5584&lt;=01_因子設定!$M$6+0.000000001,G5584&gt;=01_因子設定!$L$7-0.000000001,G5584&lt;=01_因子設定!$M$7+0.000000001,H5584&gt;=01_因子設定!$L$8-0.000000001,H5584&lt;=01_因子設定!$M$8+0.000000001,IF(01_因子設定!$B$20="Box-Behnken",E5584^2+F5584^2+G5584^2+H5584^2&lt;=2+0.000000001,TRUE()))</f>
        <v>1</v>
      </c>
      <c r="AD5584" s="55" t="n">
        <f aca="false">IF(AC5584,IF(01_因子設定!$B$13="最大化",AA5584-01_因子設定!$B$14,IF(01_因子設定!$B$13="最小化",01_因子設定!$B$15-AB5584,MIN(AA5584-01_因子設定!$B$14,01_因子設定!$B$15-AB5584))),-1E+030)</f>
        <v>0.776020667274629</v>
      </c>
      <c r="AE5584" s="55" t="n">
        <f aca="false">IF(AC5584,IF(01_因子設定!$B$13="最大化",X5584,IF(01_因子設定!$B$13="最小化",-X5584,-ABS(X5584-01_因子設定!$B$16))),-1E+030)</f>
        <v>48.8585115131579</v>
      </c>
      <c r="AF5584" s="55" t="n">
        <f aca="false">AD5584+ROW()*0.000000001</f>
        <v>0.776026251274629</v>
      </c>
      <c r="AG5584" s="55" t="n">
        <f aca="false">AE5584+ROW()*0.000000001</f>
        <v>48.8585170971579</v>
      </c>
    </row>
    <row r="5585" customFormat="false" ht="15" hidden="false" customHeight="false" outlineLevel="0" collapsed="false">
      <c r="A5585" s="0" t="n">
        <v>7</v>
      </c>
      <c r="B5585" s="0" t="n">
        <v>5</v>
      </c>
      <c r="C5585" s="0" t="n">
        <v>8</v>
      </c>
      <c r="D5585" s="0" t="n">
        <v>0</v>
      </c>
      <c r="E5585" s="0" t="n">
        <f aca="false">-1+A5585*0.25</f>
        <v>0.75</v>
      </c>
      <c r="F5585" s="0" t="n">
        <f aca="false">-1+B5585*0.25</f>
        <v>0.25</v>
      </c>
      <c r="G5585" s="0" t="n">
        <f aca="false">-1+C5585*0.25</f>
        <v>1</v>
      </c>
      <c r="H5585" s="0" t="n">
        <f aca="false">-1+D5585*0.25</f>
        <v>-1</v>
      </c>
      <c r="I5585" s="0" t="n">
        <f aca="false">1</f>
        <v>1</v>
      </c>
      <c r="J5585" s="0" t="n">
        <f aca="false">E5585</f>
        <v>0.75</v>
      </c>
      <c r="K5585" s="0" t="n">
        <f aca="false">F5585</f>
        <v>0.25</v>
      </c>
      <c r="L5585" s="0" t="n">
        <f aca="false">G5585</f>
        <v>1</v>
      </c>
      <c r="M5585" s="0" t="n">
        <f aca="false">H5585</f>
        <v>-1</v>
      </c>
      <c r="N5585" s="0" t="n">
        <f aca="false">E5585*F5585</f>
        <v>0.1875</v>
      </c>
      <c r="O5585" s="0" t="n">
        <f aca="false">E5585*G5585</f>
        <v>0.75</v>
      </c>
      <c r="P5585" s="0" t="n">
        <f aca="false">E5585*H5585</f>
        <v>-0.75</v>
      </c>
      <c r="Q5585" s="0" t="n">
        <f aca="false">F5585*G5585</f>
        <v>0.25</v>
      </c>
      <c r="R5585" s="0" t="n">
        <f aca="false">F5585*H5585</f>
        <v>-0.25</v>
      </c>
      <c r="S5585" s="0" t="n">
        <f aca="false">G5585*H5585</f>
        <v>-1</v>
      </c>
      <c r="T5585" s="0" t="n">
        <f aca="false">E5585*E5585</f>
        <v>0.5625</v>
      </c>
      <c r="U5585" s="0" t="n">
        <f aca="false">F5585*F5585</f>
        <v>0.0625</v>
      </c>
      <c r="V5585" s="0" t="n">
        <f aca="false">G5585*G5585</f>
        <v>1</v>
      </c>
      <c r="W5585" s="0" t="n">
        <f aca="false">H5585*H5585</f>
        <v>1</v>
      </c>
      <c r="X5585" s="0" t="n">
        <f aca="false">SUMPRODUCT(I5585:W5585,_XtX!$B$96:$P$96)</f>
        <v>47.3079404239766</v>
      </c>
      <c r="Y5585" s="0" t="n">
        <f aca="false">SUMPRODUCT(MMULT(I5585:W5585,_XtX!$B$78:$P$92),I5585:W5585)</f>
        <v>0.621372155975877</v>
      </c>
      <c r="Z5585" s="0" t="n">
        <f aca="false">04_回帰ANOVA!$K$19*04_回帰ANOVA!$K$14*SQRT(1+Y5585)</f>
        <v>1.65973880499872</v>
      </c>
      <c r="AA5585" s="0" t="n">
        <f aca="false">X5585-Z5585</f>
        <v>45.6482016189779</v>
      </c>
      <c r="AB5585" s="0" t="n">
        <f aca="false">X5585+Z5585</f>
        <v>48.9676792289754</v>
      </c>
      <c r="AC5585" s="54" t="b">
        <f aca="false">AND(E5585&gt;=01_因子設定!$L$5-0.000000001,E5585&lt;=01_因子設定!$M$5+0.000000001,F5585&gt;=01_因子設定!$L$6-0.000000001,F5585&lt;=01_因子設定!$M$6+0.000000001,G5585&gt;=01_因子設定!$L$7-0.000000001,G5585&lt;=01_因子設定!$M$7+0.000000001,H5585&gt;=01_因子設定!$L$8-0.000000001,H5585&lt;=01_因子設定!$M$8+0.000000001,IF(01_因子設定!$B$20="Box-Behnken",E5585^2+F5585^2+G5585^2+H5585^2&lt;=2+0.000000001,TRUE()))</f>
        <v>1</v>
      </c>
      <c r="AD5585" s="55" t="n">
        <f aca="false">IF(AC5585,IF(01_因子設定!$B$13="最大化",AA5585-01_因子設定!$B$14,IF(01_因子設定!$B$13="最小化",01_因子設定!$B$15-AB5585,MIN(AA5585-01_因子設定!$B$14,01_因子設定!$B$15-AB5585))),-1E+030)</f>
        <v>-0.851798381022078</v>
      </c>
      <c r="AE5585" s="55" t="n">
        <f aca="false">IF(AC5585,IF(01_因子設定!$B$13="最大化",X5585,IF(01_因子設定!$B$13="最小化",-X5585,-ABS(X5585-01_因子設定!$B$16))),-1E+030)</f>
        <v>47.3079404239766</v>
      </c>
      <c r="AF5585" s="55" t="n">
        <f aca="false">AD5585+ROW()*0.000000001</f>
        <v>-0.851792796022078</v>
      </c>
      <c r="AG5585" s="55" t="n">
        <f aca="false">AE5585+ROW()*0.000000001</f>
        <v>47.3079460089766</v>
      </c>
    </row>
    <row r="5586" customFormat="false" ht="15" hidden="false" customHeight="false" outlineLevel="0" collapsed="false">
      <c r="A5586" s="0" t="n">
        <v>7</v>
      </c>
      <c r="B5586" s="0" t="n">
        <v>5</v>
      </c>
      <c r="C5586" s="0" t="n">
        <v>8</v>
      </c>
      <c r="D5586" s="0" t="n">
        <v>1</v>
      </c>
      <c r="E5586" s="0" t="n">
        <f aca="false">-1+A5586*0.25</f>
        <v>0.75</v>
      </c>
      <c r="F5586" s="0" t="n">
        <f aca="false">-1+B5586*0.25</f>
        <v>0.25</v>
      </c>
      <c r="G5586" s="0" t="n">
        <f aca="false">-1+C5586*0.25</f>
        <v>1</v>
      </c>
      <c r="H5586" s="0" t="n">
        <f aca="false">-1+D5586*0.25</f>
        <v>-0.75</v>
      </c>
      <c r="I5586" s="0" t="n">
        <f aca="false">1</f>
        <v>1</v>
      </c>
      <c r="J5586" s="0" t="n">
        <f aca="false">E5586</f>
        <v>0.75</v>
      </c>
      <c r="K5586" s="0" t="n">
        <f aca="false">F5586</f>
        <v>0.25</v>
      </c>
      <c r="L5586" s="0" t="n">
        <f aca="false">G5586</f>
        <v>1</v>
      </c>
      <c r="M5586" s="0" t="n">
        <f aca="false">H5586</f>
        <v>-0.75</v>
      </c>
      <c r="N5586" s="0" t="n">
        <f aca="false">E5586*F5586</f>
        <v>0.1875</v>
      </c>
      <c r="O5586" s="0" t="n">
        <f aca="false">E5586*G5586</f>
        <v>0.75</v>
      </c>
      <c r="P5586" s="0" t="n">
        <f aca="false">E5586*H5586</f>
        <v>-0.5625</v>
      </c>
      <c r="Q5586" s="0" t="n">
        <f aca="false">F5586*G5586</f>
        <v>0.25</v>
      </c>
      <c r="R5586" s="0" t="n">
        <f aca="false">F5586*H5586</f>
        <v>-0.1875</v>
      </c>
      <c r="S5586" s="0" t="n">
        <f aca="false">G5586*H5586</f>
        <v>-0.75</v>
      </c>
      <c r="T5586" s="0" t="n">
        <f aca="false">E5586*E5586</f>
        <v>0.5625</v>
      </c>
      <c r="U5586" s="0" t="n">
        <f aca="false">F5586*F5586</f>
        <v>0.0625</v>
      </c>
      <c r="V5586" s="0" t="n">
        <f aca="false">G5586*G5586</f>
        <v>1</v>
      </c>
      <c r="W5586" s="0" t="n">
        <f aca="false">H5586*H5586</f>
        <v>0.5625</v>
      </c>
      <c r="X5586" s="0" t="n">
        <f aca="false">SUMPRODUCT(I5586:W5586,_XtX!$B$96:$P$96)</f>
        <v>47.658685124269</v>
      </c>
      <c r="Y5586" s="0" t="n">
        <f aca="false">SUMPRODUCT(MMULT(I5586:W5586,_XtX!$B$78:$P$92),I5586:W5586)</f>
        <v>0.473959761056287</v>
      </c>
      <c r="Z5586" s="0" t="n">
        <f aca="false">04_回帰ANOVA!$K$19*04_回帰ANOVA!$K$14*SQRT(1+Y5586)</f>
        <v>1.58249084588329</v>
      </c>
      <c r="AA5586" s="0" t="n">
        <f aca="false">X5586-Z5586</f>
        <v>46.0761942783857</v>
      </c>
      <c r="AB5586" s="0" t="n">
        <f aca="false">X5586+Z5586</f>
        <v>49.2411759701523</v>
      </c>
      <c r="AC5586" s="54" t="b">
        <f aca="false">AND(E5586&gt;=01_因子設定!$L$5-0.000000001,E5586&lt;=01_因子設定!$M$5+0.000000001,F5586&gt;=01_因子設定!$L$6-0.000000001,F5586&lt;=01_因子設定!$M$6+0.000000001,G5586&gt;=01_因子設定!$L$7-0.000000001,G5586&lt;=01_因子設定!$M$7+0.000000001,H5586&gt;=01_因子設定!$L$8-0.000000001,H5586&lt;=01_因子設定!$M$8+0.000000001,IF(01_因子設定!$B$20="Box-Behnken",E5586^2+F5586^2+G5586^2+H5586^2&lt;=2+0.000000001,TRUE()))</f>
        <v>1</v>
      </c>
      <c r="AD5586" s="55" t="n">
        <f aca="false">IF(AC5586,IF(01_因子設定!$B$13="最大化",AA5586-01_因子設定!$B$14,IF(01_因子設定!$B$13="最小化",01_因子設定!$B$15-AB5586,MIN(AA5586-01_因子設定!$B$14,01_因子設定!$B$15-AB5586))),-1E+030)</f>
        <v>-0.423805721614265</v>
      </c>
      <c r="AE5586" s="55" t="n">
        <f aca="false">IF(AC5586,IF(01_因子設定!$B$13="最大化",X5586,IF(01_因子設定!$B$13="最小化",-X5586,-ABS(X5586-01_因子設定!$B$16))),-1E+030)</f>
        <v>47.658685124269</v>
      </c>
      <c r="AF5586" s="55" t="n">
        <f aca="false">AD5586+ROW()*0.000000001</f>
        <v>-0.423800135614265</v>
      </c>
      <c r="AG5586" s="55" t="n">
        <f aca="false">AE5586+ROW()*0.000000001</f>
        <v>47.658690710269</v>
      </c>
    </row>
    <row r="5587" customFormat="false" ht="15" hidden="false" customHeight="false" outlineLevel="0" collapsed="false">
      <c r="A5587" s="0" t="n">
        <v>7</v>
      </c>
      <c r="B5587" s="0" t="n">
        <v>5</v>
      </c>
      <c r="C5587" s="0" t="n">
        <v>8</v>
      </c>
      <c r="D5587" s="0" t="n">
        <v>2</v>
      </c>
      <c r="E5587" s="0" t="n">
        <f aca="false">-1+A5587*0.25</f>
        <v>0.75</v>
      </c>
      <c r="F5587" s="0" t="n">
        <f aca="false">-1+B5587*0.25</f>
        <v>0.25</v>
      </c>
      <c r="G5587" s="0" t="n">
        <f aca="false">-1+C5587*0.25</f>
        <v>1</v>
      </c>
      <c r="H5587" s="0" t="n">
        <f aca="false">-1+D5587*0.25</f>
        <v>-0.5</v>
      </c>
      <c r="I5587" s="0" t="n">
        <f aca="false">1</f>
        <v>1</v>
      </c>
      <c r="J5587" s="0" t="n">
        <f aca="false">E5587</f>
        <v>0.75</v>
      </c>
      <c r="K5587" s="0" t="n">
        <f aca="false">F5587</f>
        <v>0.25</v>
      </c>
      <c r="L5587" s="0" t="n">
        <f aca="false">G5587</f>
        <v>1</v>
      </c>
      <c r="M5587" s="0" t="n">
        <f aca="false">H5587</f>
        <v>-0.5</v>
      </c>
      <c r="N5587" s="0" t="n">
        <f aca="false">E5587*F5587</f>
        <v>0.1875</v>
      </c>
      <c r="O5587" s="0" t="n">
        <f aca="false">E5587*G5587</f>
        <v>0.75</v>
      </c>
      <c r="P5587" s="0" t="n">
        <f aca="false">E5587*H5587</f>
        <v>-0.375</v>
      </c>
      <c r="Q5587" s="0" t="n">
        <f aca="false">F5587*G5587</f>
        <v>0.25</v>
      </c>
      <c r="R5587" s="0" t="n">
        <f aca="false">F5587*H5587</f>
        <v>-0.125</v>
      </c>
      <c r="S5587" s="0" t="n">
        <f aca="false">G5587*H5587</f>
        <v>-0.5</v>
      </c>
      <c r="T5587" s="0" t="n">
        <f aca="false">E5587*E5587</f>
        <v>0.5625</v>
      </c>
      <c r="U5587" s="0" t="n">
        <f aca="false">F5587*F5587</f>
        <v>0.0625</v>
      </c>
      <c r="V5587" s="0" t="n">
        <f aca="false">G5587*G5587</f>
        <v>1</v>
      </c>
      <c r="W5587" s="0" t="n">
        <f aca="false">H5587*H5587</f>
        <v>0.25</v>
      </c>
      <c r="X5587" s="0" t="n">
        <f aca="false">SUMPRODUCT(I5587:W5587,_XtX!$B$96:$P$96)</f>
        <v>47.9616228070175</v>
      </c>
      <c r="Y5587" s="0" t="n">
        <f aca="false">SUMPRODUCT(MMULT(I5587:W5587,_XtX!$B$78:$P$92),I5587:W5587)</f>
        <v>0.459125719572369</v>
      </c>
      <c r="Z5587" s="0" t="n">
        <f aca="false">04_回帰ANOVA!$K$19*04_回帰ANOVA!$K$14*SQRT(1+Y5587)</f>
        <v>1.57450755575573</v>
      </c>
      <c r="AA5587" s="0" t="n">
        <f aca="false">X5587-Z5587</f>
        <v>46.3871152512618</v>
      </c>
      <c r="AB5587" s="0" t="n">
        <f aca="false">X5587+Z5587</f>
        <v>49.5361303627733</v>
      </c>
      <c r="AC5587" s="54" t="b">
        <f aca="false">AND(E5587&gt;=01_因子設定!$L$5-0.000000001,E5587&lt;=01_因子設定!$M$5+0.000000001,F5587&gt;=01_因子設定!$L$6-0.000000001,F5587&lt;=01_因子設定!$M$6+0.000000001,G5587&gt;=01_因子設定!$L$7-0.000000001,G5587&lt;=01_因子設定!$M$7+0.000000001,H5587&gt;=01_因子設定!$L$8-0.000000001,H5587&lt;=01_因子設定!$M$8+0.000000001,IF(01_因子設定!$B$20="Box-Behnken",E5587^2+F5587^2+G5587^2+H5587^2&lt;=2+0.000000001,TRUE()))</f>
        <v>1</v>
      </c>
      <c r="AD5587" s="55" t="n">
        <f aca="false">IF(AC5587,IF(01_因子設定!$B$13="最大化",AA5587-01_因子設定!$B$14,IF(01_因子設定!$B$13="最小化",01_因子設定!$B$15-AB5587,MIN(AA5587-01_因子設定!$B$14,01_因子設定!$B$15-AB5587))),-1E+030)</f>
        <v>-0.112884748738189</v>
      </c>
      <c r="AE5587" s="55" t="n">
        <f aca="false">IF(AC5587,IF(01_因子設定!$B$13="最大化",X5587,IF(01_因子設定!$B$13="最小化",-X5587,-ABS(X5587-01_因子設定!$B$16))),-1E+030)</f>
        <v>47.9616228070175</v>
      </c>
      <c r="AF5587" s="55" t="n">
        <f aca="false">AD5587+ROW()*0.000000001</f>
        <v>-0.112879161738189</v>
      </c>
      <c r="AG5587" s="55" t="n">
        <f aca="false">AE5587+ROW()*0.000000001</f>
        <v>47.9616283940175</v>
      </c>
    </row>
    <row r="5588" customFormat="false" ht="15" hidden="false" customHeight="false" outlineLevel="0" collapsed="false">
      <c r="A5588" s="0" t="n">
        <v>7</v>
      </c>
      <c r="B5588" s="0" t="n">
        <v>5</v>
      </c>
      <c r="C5588" s="0" t="n">
        <v>8</v>
      </c>
      <c r="D5588" s="0" t="n">
        <v>3</v>
      </c>
      <c r="E5588" s="0" t="n">
        <f aca="false">-1+A5588*0.25</f>
        <v>0.75</v>
      </c>
      <c r="F5588" s="0" t="n">
        <f aca="false">-1+B5588*0.25</f>
        <v>0.25</v>
      </c>
      <c r="G5588" s="0" t="n">
        <f aca="false">-1+C5588*0.25</f>
        <v>1</v>
      </c>
      <c r="H5588" s="0" t="n">
        <f aca="false">-1+D5588*0.25</f>
        <v>-0.25</v>
      </c>
      <c r="I5588" s="0" t="n">
        <f aca="false">1</f>
        <v>1</v>
      </c>
      <c r="J5588" s="0" t="n">
        <f aca="false">E5588</f>
        <v>0.75</v>
      </c>
      <c r="K5588" s="0" t="n">
        <f aca="false">F5588</f>
        <v>0.25</v>
      </c>
      <c r="L5588" s="0" t="n">
        <f aca="false">G5588</f>
        <v>1</v>
      </c>
      <c r="M5588" s="0" t="n">
        <f aca="false">H5588</f>
        <v>-0.25</v>
      </c>
      <c r="N5588" s="0" t="n">
        <f aca="false">E5588*F5588</f>
        <v>0.1875</v>
      </c>
      <c r="O5588" s="0" t="n">
        <f aca="false">E5588*G5588</f>
        <v>0.75</v>
      </c>
      <c r="P5588" s="0" t="n">
        <f aca="false">E5588*H5588</f>
        <v>-0.1875</v>
      </c>
      <c r="Q5588" s="0" t="n">
        <f aca="false">F5588*G5588</f>
        <v>0.25</v>
      </c>
      <c r="R5588" s="0" t="n">
        <f aca="false">F5588*H5588</f>
        <v>-0.0625</v>
      </c>
      <c r="S5588" s="0" t="n">
        <f aca="false">G5588*H5588</f>
        <v>-0.25</v>
      </c>
      <c r="T5588" s="0" t="n">
        <f aca="false">E5588*E5588</f>
        <v>0.5625</v>
      </c>
      <c r="U5588" s="0" t="n">
        <f aca="false">F5588*F5588</f>
        <v>0.0625</v>
      </c>
      <c r="V5588" s="0" t="n">
        <f aca="false">G5588*G5588</f>
        <v>1</v>
      </c>
      <c r="W5588" s="0" t="n">
        <f aca="false">H5588*H5588</f>
        <v>0.0625</v>
      </c>
      <c r="X5588" s="0" t="n">
        <f aca="false">SUMPRODUCT(I5588:W5588,_XtX!$B$96:$P$96)</f>
        <v>48.2167534722222</v>
      </c>
      <c r="Y5588" s="0" t="n">
        <f aca="false">SUMPRODUCT(MMULT(I5588:W5588,_XtX!$B$78:$P$92),I5588:W5588)</f>
        <v>0.486409505208334</v>
      </c>
      <c r="Z5588" s="0" t="n">
        <f aca="false">04_回帰ANOVA!$K$19*04_回帰ANOVA!$K$14*SQRT(1+Y5588)</f>
        <v>1.58916001665498</v>
      </c>
      <c r="AA5588" s="0" t="n">
        <f aca="false">X5588-Z5588</f>
        <v>46.6275934555672</v>
      </c>
      <c r="AB5588" s="0" t="n">
        <f aca="false">X5588+Z5588</f>
        <v>49.8059134888772</v>
      </c>
      <c r="AC5588" s="54" t="b">
        <f aca="false">AND(E5588&gt;=01_因子設定!$L$5-0.000000001,E5588&lt;=01_因子設定!$M$5+0.000000001,F5588&gt;=01_因子設定!$L$6-0.000000001,F5588&lt;=01_因子設定!$M$6+0.000000001,G5588&gt;=01_因子設定!$L$7-0.000000001,G5588&lt;=01_因子設定!$M$7+0.000000001,H5588&gt;=01_因子設定!$L$8-0.000000001,H5588&lt;=01_因子設定!$M$8+0.000000001,IF(01_因子設定!$B$20="Box-Behnken",E5588^2+F5588^2+G5588^2+H5588^2&lt;=2+0.000000001,TRUE()))</f>
        <v>1</v>
      </c>
      <c r="AD5588" s="55" t="n">
        <f aca="false">IF(AC5588,IF(01_因子設定!$B$13="最大化",AA5588-01_因子設定!$B$14,IF(01_因子設定!$B$13="最小化",01_因子設定!$B$15-AB5588,MIN(AA5588-01_因子設定!$B$14,01_因子設定!$B$15-AB5588))),-1E+030)</f>
        <v>0.127593455567236</v>
      </c>
      <c r="AE5588" s="55" t="n">
        <f aca="false">IF(AC5588,IF(01_因子設定!$B$13="最大化",X5588,IF(01_因子設定!$B$13="最小化",-X5588,-ABS(X5588-01_因子設定!$B$16))),-1E+030)</f>
        <v>48.2167534722222</v>
      </c>
      <c r="AF5588" s="55" t="n">
        <f aca="false">AD5588+ROW()*0.000000001</f>
        <v>0.127599043567236</v>
      </c>
      <c r="AG5588" s="55" t="n">
        <f aca="false">AE5588+ROW()*0.000000001</f>
        <v>48.2167590602222</v>
      </c>
    </row>
    <row r="5589" customFormat="false" ht="15" hidden="false" customHeight="false" outlineLevel="0" collapsed="false">
      <c r="A5589" s="0" t="n">
        <v>7</v>
      </c>
      <c r="B5589" s="0" t="n">
        <v>5</v>
      </c>
      <c r="C5589" s="0" t="n">
        <v>8</v>
      </c>
      <c r="D5589" s="0" t="n">
        <v>4</v>
      </c>
      <c r="E5589" s="0" t="n">
        <f aca="false">-1+A5589*0.25</f>
        <v>0.75</v>
      </c>
      <c r="F5589" s="0" t="n">
        <f aca="false">-1+B5589*0.25</f>
        <v>0.25</v>
      </c>
      <c r="G5589" s="0" t="n">
        <f aca="false">-1+C5589*0.25</f>
        <v>1</v>
      </c>
      <c r="H5589" s="0" t="n">
        <f aca="false">-1+D5589*0.25</f>
        <v>0</v>
      </c>
      <c r="I5589" s="0" t="n">
        <f aca="false">1</f>
        <v>1</v>
      </c>
      <c r="J5589" s="0" t="n">
        <f aca="false">E5589</f>
        <v>0.75</v>
      </c>
      <c r="K5589" s="0" t="n">
        <f aca="false">F5589</f>
        <v>0.25</v>
      </c>
      <c r="L5589" s="0" t="n">
        <f aca="false">G5589</f>
        <v>1</v>
      </c>
      <c r="M5589" s="0" t="n">
        <f aca="false">H5589</f>
        <v>0</v>
      </c>
      <c r="N5589" s="0" t="n">
        <f aca="false">E5589*F5589</f>
        <v>0.1875</v>
      </c>
      <c r="O5589" s="0" t="n">
        <f aca="false">E5589*G5589</f>
        <v>0.75</v>
      </c>
      <c r="P5589" s="0" t="n">
        <f aca="false">E5589*H5589</f>
        <v>0</v>
      </c>
      <c r="Q5589" s="0" t="n">
        <f aca="false">F5589*G5589</f>
        <v>0.25</v>
      </c>
      <c r="R5589" s="0" t="n">
        <f aca="false">F5589*H5589</f>
        <v>0</v>
      </c>
      <c r="S5589" s="0" t="n">
        <f aca="false">G5589*H5589</f>
        <v>0</v>
      </c>
      <c r="T5589" s="0" t="n">
        <f aca="false">E5589*E5589</f>
        <v>0.5625</v>
      </c>
      <c r="U5589" s="0" t="n">
        <f aca="false">F5589*F5589</f>
        <v>0.0625</v>
      </c>
      <c r="V5589" s="0" t="n">
        <f aca="false">G5589*G5589</f>
        <v>1</v>
      </c>
      <c r="W5589" s="0" t="n">
        <f aca="false">H5589*H5589</f>
        <v>0</v>
      </c>
      <c r="X5589" s="0" t="n">
        <f aca="false">SUMPRODUCT(I5589:W5589,_XtX!$B$96:$P$96)</f>
        <v>48.424077119883</v>
      </c>
      <c r="Y5589" s="0" t="n">
        <f aca="false">SUMPRODUCT(MMULT(I5589:W5589,_XtX!$B$78:$P$92),I5589:W5589)</f>
        <v>0.501534802174708</v>
      </c>
      <c r="Z5589" s="0" t="n">
        <f aca="false">04_回帰ANOVA!$K$19*04_回帰ANOVA!$K$14*SQRT(1+Y5589)</f>
        <v>1.59722498091333</v>
      </c>
      <c r="AA5589" s="0" t="n">
        <f aca="false">X5589-Z5589</f>
        <v>46.8268521389697</v>
      </c>
      <c r="AB5589" s="0" t="n">
        <f aca="false">X5589+Z5589</f>
        <v>50.0213021007964</v>
      </c>
      <c r="AC5589" s="54" t="b">
        <f aca="false">AND(E5589&gt;=01_因子設定!$L$5-0.000000001,E5589&lt;=01_因子設定!$M$5+0.000000001,F5589&gt;=01_因子設定!$L$6-0.000000001,F5589&lt;=01_因子設定!$M$6+0.000000001,G5589&gt;=01_因子設定!$L$7-0.000000001,G5589&lt;=01_因子設定!$M$7+0.000000001,H5589&gt;=01_因子設定!$L$8-0.000000001,H5589&lt;=01_因子設定!$M$8+0.000000001,IF(01_因子設定!$B$20="Box-Behnken",E5589^2+F5589^2+G5589^2+H5589^2&lt;=2+0.000000001,TRUE()))</f>
        <v>1</v>
      </c>
      <c r="AD5589" s="55" t="n">
        <f aca="false">IF(AC5589,IF(01_因子設定!$B$13="最大化",AA5589-01_因子設定!$B$14,IF(01_因子設定!$B$13="最小化",01_因子設定!$B$15-AB5589,MIN(AA5589-01_因子設定!$B$14,01_因子設定!$B$15-AB5589))),-1E+030)</f>
        <v>0.326852138969699</v>
      </c>
      <c r="AE5589" s="55" t="n">
        <f aca="false">IF(AC5589,IF(01_因子設定!$B$13="最大化",X5589,IF(01_因子設定!$B$13="最小化",-X5589,-ABS(X5589-01_因子設定!$B$16))),-1E+030)</f>
        <v>48.424077119883</v>
      </c>
      <c r="AF5589" s="55" t="n">
        <f aca="false">AD5589+ROW()*0.000000001</f>
        <v>0.326857727969699</v>
      </c>
      <c r="AG5589" s="55" t="n">
        <f aca="false">AE5589+ROW()*0.000000001</f>
        <v>48.424082708883</v>
      </c>
    </row>
    <row r="5590" customFormat="false" ht="15" hidden="false" customHeight="false" outlineLevel="0" collapsed="false">
      <c r="A5590" s="0" t="n">
        <v>7</v>
      </c>
      <c r="B5590" s="0" t="n">
        <v>5</v>
      </c>
      <c r="C5590" s="0" t="n">
        <v>8</v>
      </c>
      <c r="D5590" s="0" t="n">
        <v>5</v>
      </c>
      <c r="E5590" s="0" t="n">
        <f aca="false">-1+A5590*0.25</f>
        <v>0.75</v>
      </c>
      <c r="F5590" s="0" t="n">
        <f aca="false">-1+B5590*0.25</f>
        <v>0.25</v>
      </c>
      <c r="G5590" s="0" t="n">
        <f aca="false">-1+C5590*0.25</f>
        <v>1</v>
      </c>
      <c r="H5590" s="0" t="n">
        <f aca="false">-1+D5590*0.25</f>
        <v>0.25</v>
      </c>
      <c r="I5590" s="0" t="n">
        <f aca="false">1</f>
        <v>1</v>
      </c>
      <c r="J5590" s="0" t="n">
        <f aca="false">E5590</f>
        <v>0.75</v>
      </c>
      <c r="K5590" s="0" t="n">
        <f aca="false">F5590</f>
        <v>0.25</v>
      </c>
      <c r="L5590" s="0" t="n">
        <f aca="false">G5590</f>
        <v>1</v>
      </c>
      <c r="M5590" s="0" t="n">
        <f aca="false">H5590</f>
        <v>0.25</v>
      </c>
      <c r="N5590" s="0" t="n">
        <f aca="false">E5590*F5590</f>
        <v>0.1875</v>
      </c>
      <c r="O5590" s="0" t="n">
        <f aca="false">E5590*G5590</f>
        <v>0.75</v>
      </c>
      <c r="P5590" s="0" t="n">
        <f aca="false">E5590*H5590</f>
        <v>0.1875</v>
      </c>
      <c r="Q5590" s="0" t="n">
        <f aca="false">F5590*G5590</f>
        <v>0.25</v>
      </c>
      <c r="R5590" s="0" t="n">
        <f aca="false">F5590*H5590</f>
        <v>0.0625</v>
      </c>
      <c r="S5590" s="0" t="n">
        <f aca="false">G5590*H5590</f>
        <v>0.25</v>
      </c>
      <c r="T5590" s="0" t="n">
        <f aca="false">E5590*E5590</f>
        <v>0.5625</v>
      </c>
      <c r="U5590" s="0" t="n">
        <f aca="false">F5590*F5590</f>
        <v>0.0625</v>
      </c>
      <c r="V5590" s="0" t="n">
        <f aca="false">G5590*G5590</f>
        <v>1</v>
      </c>
      <c r="W5590" s="0" t="n">
        <f aca="false">H5590*H5590</f>
        <v>0.0625</v>
      </c>
      <c r="X5590" s="0" t="n">
        <f aca="false">SUMPRODUCT(I5590:W5590,_XtX!$B$96:$P$96)</f>
        <v>48.58359375</v>
      </c>
      <c r="Y5590" s="0" t="n">
        <f aca="false">SUMPRODUCT(MMULT(I5590:W5590,_XtX!$B$78:$P$92),I5590:W5590)</f>
        <v>0.486409505208334</v>
      </c>
      <c r="Z5590" s="0" t="n">
        <f aca="false">04_回帰ANOVA!$K$19*04_回帰ANOVA!$K$14*SQRT(1+Y5590)</f>
        <v>1.58916001665498</v>
      </c>
      <c r="AA5590" s="0" t="n">
        <f aca="false">X5590-Z5590</f>
        <v>46.994433733345</v>
      </c>
      <c r="AB5590" s="0" t="n">
        <f aca="false">X5590+Z5590</f>
        <v>50.172753766655</v>
      </c>
      <c r="AC5590" s="54" t="b">
        <f aca="false">AND(E5590&gt;=01_因子設定!$L$5-0.000000001,E5590&lt;=01_因子設定!$M$5+0.000000001,F5590&gt;=01_因子設定!$L$6-0.000000001,F5590&lt;=01_因子設定!$M$6+0.000000001,G5590&gt;=01_因子設定!$L$7-0.000000001,G5590&lt;=01_因子設定!$M$7+0.000000001,H5590&gt;=01_因子設定!$L$8-0.000000001,H5590&lt;=01_因子設定!$M$8+0.000000001,IF(01_因子設定!$B$20="Box-Behnken",E5590^2+F5590^2+G5590^2+H5590^2&lt;=2+0.000000001,TRUE()))</f>
        <v>1</v>
      </c>
      <c r="AD5590" s="55" t="n">
        <f aca="false">IF(AC5590,IF(01_因子設定!$B$13="最大化",AA5590-01_因子設定!$B$14,IF(01_因子設定!$B$13="最小化",01_因子設定!$B$15-AB5590,MIN(AA5590-01_因子設定!$B$14,01_因子設定!$B$15-AB5590))),-1E+030)</f>
        <v>0.494433733345012</v>
      </c>
      <c r="AE5590" s="55" t="n">
        <f aca="false">IF(AC5590,IF(01_因子設定!$B$13="最大化",X5590,IF(01_因子設定!$B$13="最小化",-X5590,-ABS(X5590-01_因子設定!$B$16))),-1E+030)</f>
        <v>48.58359375</v>
      </c>
      <c r="AF5590" s="55" t="n">
        <f aca="false">AD5590+ROW()*0.000000001</f>
        <v>0.494439323345012</v>
      </c>
      <c r="AG5590" s="55" t="n">
        <f aca="false">AE5590+ROW()*0.000000001</f>
        <v>48.58359934</v>
      </c>
    </row>
    <row r="5591" customFormat="false" ht="15" hidden="false" customHeight="false" outlineLevel="0" collapsed="false">
      <c r="A5591" s="0" t="n">
        <v>7</v>
      </c>
      <c r="B5591" s="0" t="n">
        <v>5</v>
      </c>
      <c r="C5591" s="0" t="n">
        <v>8</v>
      </c>
      <c r="D5591" s="0" t="n">
        <v>6</v>
      </c>
      <c r="E5591" s="0" t="n">
        <f aca="false">-1+A5591*0.25</f>
        <v>0.75</v>
      </c>
      <c r="F5591" s="0" t="n">
        <f aca="false">-1+B5591*0.25</f>
        <v>0.25</v>
      </c>
      <c r="G5591" s="0" t="n">
        <f aca="false">-1+C5591*0.25</f>
        <v>1</v>
      </c>
      <c r="H5591" s="0" t="n">
        <f aca="false">-1+D5591*0.25</f>
        <v>0.5</v>
      </c>
      <c r="I5591" s="0" t="n">
        <f aca="false">1</f>
        <v>1</v>
      </c>
      <c r="J5591" s="0" t="n">
        <f aca="false">E5591</f>
        <v>0.75</v>
      </c>
      <c r="K5591" s="0" t="n">
        <f aca="false">F5591</f>
        <v>0.25</v>
      </c>
      <c r="L5591" s="0" t="n">
        <f aca="false">G5591</f>
        <v>1</v>
      </c>
      <c r="M5591" s="0" t="n">
        <f aca="false">H5591</f>
        <v>0.5</v>
      </c>
      <c r="N5591" s="0" t="n">
        <f aca="false">E5591*F5591</f>
        <v>0.1875</v>
      </c>
      <c r="O5591" s="0" t="n">
        <f aca="false">E5591*G5591</f>
        <v>0.75</v>
      </c>
      <c r="P5591" s="0" t="n">
        <f aca="false">E5591*H5591</f>
        <v>0.375</v>
      </c>
      <c r="Q5591" s="0" t="n">
        <f aca="false">F5591*G5591</f>
        <v>0.25</v>
      </c>
      <c r="R5591" s="0" t="n">
        <f aca="false">F5591*H5591</f>
        <v>0.125</v>
      </c>
      <c r="S5591" s="0" t="n">
        <f aca="false">G5591*H5591</f>
        <v>0.5</v>
      </c>
      <c r="T5591" s="0" t="n">
        <f aca="false">E5591*E5591</f>
        <v>0.5625</v>
      </c>
      <c r="U5591" s="0" t="n">
        <f aca="false">F5591*F5591</f>
        <v>0.0625</v>
      </c>
      <c r="V5591" s="0" t="n">
        <f aca="false">G5591*G5591</f>
        <v>1</v>
      </c>
      <c r="W5591" s="0" t="n">
        <f aca="false">H5591*H5591</f>
        <v>0.25</v>
      </c>
      <c r="X5591" s="0" t="n">
        <f aca="false">SUMPRODUCT(I5591:W5591,_XtX!$B$96:$P$96)</f>
        <v>48.6953033625731</v>
      </c>
      <c r="Y5591" s="0" t="n">
        <f aca="false">SUMPRODUCT(MMULT(I5591:W5591,_XtX!$B$78:$P$92),I5591:W5591)</f>
        <v>0.459125719572369</v>
      </c>
      <c r="Z5591" s="0" t="n">
        <f aca="false">04_回帰ANOVA!$K$19*04_回帰ANOVA!$K$14*SQRT(1+Y5591)</f>
        <v>1.57450755575573</v>
      </c>
      <c r="AA5591" s="0" t="n">
        <f aca="false">X5591-Z5591</f>
        <v>47.1207958068174</v>
      </c>
      <c r="AB5591" s="0" t="n">
        <f aca="false">X5591+Z5591</f>
        <v>50.2698109183288</v>
      </c>
      <c r="AC5591" s="54" t="b">
        <f aca="false">AND(E5591&gt;=01_因子設定!$L$5-0.000000001,E5591&lt;=01_因子設定!$M$5+0.000000001,F5591&gt;=01_因子設定!$L$6-0.000000001,F5591&lt;=01_因子設定!$M$6+0.000000001,G5591&gt;=01_因子設定!$L$7-0.000000001,G5591&lt;=01_因子設定!$M$7+0.000000001,H5591&gt;=01_因子設定!$L$8-0.000000001,H5591&lt;=01_因子設定!$M$8+0.000000001,IF(01_因子設定!$B$20="Box-Behnken",E5591^2+F5591^2+G5591^2+H5591^2&lt;=2+0.000000001,TRUE()))</f>
        <v>1</v>
      </c>
      <c r="AD5591" s="55" t="n">
        <f aca="false">IF(AC5591,IF(01_因子設定!$B$13="最大化",AA5591-01_因子設定!$B$14,IF(01_因子設定!$B$13="最小化",01_因子設定!$B$15-AB5591,MIN(AA5591-01_因子設定!$B$14,01_因子設定!$B$15-AB5591))),-1E+030)</f>
        <v>0.62079580681737</v>
      </c>
      <c r="AE5591" s="55" t="n">
        <f aca="false">IF(AC5591,IF(01_因子設定!$B$13="最大化",X5591,IF(01_因子設定!$B$13="最小化",-X5591,-ABS(X5591-01_因子設定!$B$16))),-1E+030)</f>
        <v>48.6953033625731</v>
      </c>
      <c r="AF5591" s="55" t="n">
        <f aca="false">AD5591+ROW()*0.000000001</f>
        <v>0.62080139781737</v>
      </c>
      <c r="AG5591" s="55" t="n">
        <f aca="false">AE5591+ROW()*0.000000001</f>
        <v>48.6953089535731</v>
      </c>
    </row>
    <row r="5592" customFormat="false" ht="15" hidden="false" customHeight="false" outlineLevel="0" collapsed="false">
      <c r="A5592" s="0" t="n">
        <v>7</v>
      </c>
      <c r="B5592" s="0" t="n">
        <v>5</v>
      </c>
      <c r="C5592" s="0" t="n">
        <v>8</v>
      </c>
      <c r="D5592" s="0" t="n">
        <v>7</v>
      </c>
      <c r="E5592" s="0" t="n">
        <f aca="false">-1+A5592*0.25</f>
        <v>0.75</v>
      </c>
      <c r="F5592" s="0" t="n">
        <f aca="false">-1+B5592*0.25</f>
        <v>0.25</v>
      </c>
      <c r="G5592" s="0" t="n">
        <f aca="false">-1+C5592*0.25</f>
        <v>1</v>
      </c>
      <c r="H5592" s="0" t="n">
        <f aca="false">-1+D5592*0.25</f>
        <v>0.75</v>
      </c>
      <c r="I5592" s="0" t="n">
        <f aca="false">1</f>
        <v>1</v>
      </c>
      <c r="J5592" s="0" t="n">
        <f aca="false">E5592</f>
        <v>0.75</v>
      </c>
      <c r="K5592" s="0" t="n">
        <f aca="false">F5592</f>
        <v>0.25</v>
      </c>
      <c r="L5592" s="0" t="n">
        <f aca="false">G5592</f>
        <v>1</v>
      </c>
      <c r="M5592" s="0" t="n">
        <f aca="false">H5592</f>
        <v>0.75</v>
      </c>
      <c r="N5592" s="0" t="n">
        <f aca="false">E5592*F5592</f>
        <v>0.1875</v>
      </c>
      <c r="O5592" s="0" t="n">
        <f aca="false">E5592*G5592</f>
        <v>0.75</v>
      </c>
      <c r="P5592" s="0" t="n">
        <f aca="false">E5592*H5592</f>
        <v>0.5625</v>
      </c>
      <c r="Q5592" s="0" t="n">
        <f aca="false">F5592*G5592</f>
        <v>0.25</v>
      </c>
      <c r="R5592" s="0" t="n">
        <f aca="false">F5592*H5592</f>
        <v>0.1875</v>
      </c>
      <c r="S5592" s="0" t="n">
        <f aca="false">G5592*H5592</f>
        <v>0.75</v>
      </c>
      <c r="T5592" s="0" t="n">
        <f aca="false">E5592*E5592</f>
        <v>0.5625</v>
      </c>
      <c r="U5592" s="0" t="n">
        <f aca="false">F5592*F5592</f>
        <v>0.0625</v>
      </c>
      <c r="V5592" s="0" t="n">
        <f aca="false">G5592*G5592</f>
        <v>1</v>
      </c>
      <c r="W5592" s="0" t="n">
        <f aca="false">H5592*H5592</f>
        <v>0.5625</v>
      </c>
      <c r="X5592" s="0" t="n">
        <f aca="false">SUMPRODUCT(I5592:W5592,_XtX!$B$96:$P$96)</f>
        <v>48.7592059576024</v>
      </c>
      <c r="Y5592" s="0" t="n">
        <f aca="false">SUMPRODUCT(MMULT(I5592:W5592,_XtX!$B$78:$P$92),I5592:W5592)</f>
        <v>0.473959761056287</v>
      </c>
      <c r="Z5592" s="0" t="n">
        <f aca="false">04_回帰ANOVA!$K$19*04_回帰ANOVA!$K$14*SQRT(1+Y5592)</f>
        <v>1.58249084588329</v>
      </c>
      <c r="AA5592" s="0" t="n">
        <f aca="false">X5592-Z5592</f>
        <v>47.1767151117191</v>
      </c>
      <c r="AB5592" s="0" t="n">
        <f aca="false">X5592+Z5592</f>
        <v>50.3416968034856</v>
      </c>
      <c r="AC5592" s="54" t="b">
        <f aca="false">AND(E5592&gt;=01_因子設定!$L$5-0.000000001,E5592&lt;=01_因子設定!$M$5+0.000000001,F5592&gt;=01_因子設定!$L$6-0.000000001,F5592&lt;=01_因子設定!$M$6+0.000000001,G5592&gt;=01_因子設定!$L$7-0.000000001,G5592&lt;=01_因子設定!$M$7+0.000000001,H5592&gt;=01_因子設定!$L$8-0.000000001,H5592&lt;=01_因子設定!$M$8+0.000000001,IF(01_因子設定!$B$20="Box-Behnken",E5592^2+F5592^2+G5592^2+H5592^2&lt;=2+0.000000001,TRUE()))</f>
        <v>1</v>
      </c>
      <c r="AD5592" s="55" t="n">
        <f aca="false">IF(AC5592,IF(01_因子設定!$B$13="最大化",AA5592-01_因子設定!$B$14,IF(01_因子設定!$B$13="最小化",01_因子設定!$B$15-AB5592,MIN(AA5592-01_因子設定!$B$14,01_因子設定!$B$15-AB5592))),-1E+030)</f>
        <v>0.676715111719062</v>
      </c>
      <c r="AE5592" s="55" t="n">
        <f aca="false">IF(AC5592,IF(01_因子設定!$B$13="最大化",X5592,IF(01_因子設定!$B$13="最小化",-X5592,-ABS(X5592-01_因子設定!$B$16))),-1E+030)</f>
        <v>48.7592059576024</v>
      </c>
      <c r="AF5592" s="55" t="n">
        <f aca="false">AD5592+ROW()*0.000000001</f>
        <v>0.676720703719062</v>
      </c>
      <c r="AG5592" s="55" t="n">
        <f aca="false">AE5592+ROW()*0.000000001</f>
        <v>48.7592115496024</v>
      </c>
    </row>
    <row r="5593" customFormat="false" ht="15" hidden="false" customHeight="false" outlineLevel="0" collapsed="false">
      <c r="A5593" s="0" t="n">
        <v>7</v>
      </c>
      <c r="B5593" s="0" t="n">
        <v>5</v>
      </c>
      <c r="C5593" s="0" t="n">
        <v>8</v>
      </c>
      <c r="D5593" s="0" t="n">
        <v>8</v>
      </c>
      <c r="E5593" s="0" t="n">
        <f aca="false">-1+A5593*0.25</f>
        <v>0.75</v>
      </c>
      <c r="F5593" s="0" t="n">
        <f aca="false">-1+B5593*0.25</f>
        <v>0.25</v>
      </c>
      <c r="G5593" s="0" t="n">
        <f aca="false">-1+C5593*0.25</f>
        <v>1</v>
      </c>
      <c r="H5593" s="0" t="n">
        <f aca="false">-1+D5593*0.25</f>
        <v>1</v>
      </c>
      <c r="I5593" s="0" t="n">
        <f aca="false">1</f>
        <v>1</v>
      </c>
      <c r="J5593" s="0" t="n">
        <f aca="false">E5593</f>
        <v>0.75</v>
      </c>
      <c r="K5593" s="0" t="n">
        <f aca="false">F5593</f>
        <v>0.25</v>
      </c>
      <c r="L5593" s="0" t="n">
        <f aca="false">G5593</f>
        <v>1</v>
      </c>
      <c r="M5593" s="0" t="n">
        <f aca="false">H5593</f>
        <v>1</v>
      </c>
      <c r="N5593" s="0" t="n">
        <f aca="false">E5593*F5593</f>
        <v>0.1875</v>
      </c>
      <c r="O5593" s="0" t="n">
        <f aca="false">E5593*G5593</f>
        <v>0.75</v>
      </c>
      <c r="P5593" s="0" t="n">
        <f aca="false">E5593*H5593</f>
        <v>0.75</v>
      </c>
      <c r="Q5593" s="0" t="n">
        <f aca="false">F5593*G5593</f>
        <v>0.25</v>
      </c>
      <c r="R5593" s="0" t="n">
        <f aca="false">F5593*H5593</f>
        <v>0.25</v>
      </c>
      <c r="S5593" s="0" t="n">
        <f aca="false">G5593*H5593</f>
        <v>1</v>
      </c>
      <c r="T5593" s="0" t="n">
        <f aca="false">E5593*E5593</f>
        <v>0.5625</v>
      </c>
      <c r="U5593" s="0" t="n">
        <f aca="false">F5593*F5593</f>
        <v>0.0625</v>
      </c>
      <c r="V5593" s="0" t="n">
        <f aca="false">G5593*G5593</f>
        <v>1</v>
      </c>
      <c r="W5593" s="0" t="n">
        <f aca="false">H5593*H5593</f>
        <v>1</v>
      </c>
      <c r="X5593" s="0" t="n">
        <f aca="false">SUMPRODUCT(I5593:W5593,_XtX!$B$96:$P$96)</f>
        <v>48.7753015350877</v>
      </c>
      <c r="Y5593" s="0" t="n">
        <f aca="false">SUMPRODUCT(MMULT(I5593:W5593,_XtX!$B$78:$P$92),I5593:W5593)</f>
        <v>0.621372155975877</v>
      </c>
      <c r="Z5593" s="0" t="n">
        <f aca="false">04_回帰ANOVA!$K$19*04_回帰ANOVA!$K$14*SQRT(1+Y5593)</f>
        <v>1.65973880499872</v>
      </c>
      <c r="AA5593" s="0" t="n">
        <f aca="false">X5593-Z5593</f>
        <v>47.115562730089</v>
      </c>
      <c r="AB5593" s="0" t="n">
        <f aca="false">X5593+Z5593</f>
        <v>50.4350403400865</v>
      </c>
      <c r="AC5593" s="54" t="b">
        <f aca="false">AND(E5593&gt;=01_因子設定!$L$5-0.000000001,E5593&lt;=01_因子設定!$M$5+0.000000001,F5593&gt;=01_因子設定!$L$6-0.000000001,F5593&lt;=01_因子設定!$M$6+0.000000001,G5593&gt;=01_因子設定!$L$7-0.000000001,G5593&lt;=01_因子設定!$M$7+0.000000001,H5593&gt;=01_因子設定!$L$8-0.000000001,H5593&lt;=01_因子設定!$M$8+0.000000001,IF(01_因子設定!$B$20="Box-Behnken",E5593^2+F5593^2+G5593^2+H5593^2&lt;=2+0.000000001,TRUE()))</f>
        <v>1</v>
      </c>
      <c r="AD5593" s="55" t="n">
        <f aca="false">IF(AC5593,IF(01_因子設定!$B$13="最大化",AA5593-01_因子設定!$B$14,IF(01_因子設定!$B$13="最小化",01_因子設定!$B$15-AB5593,MIN(AA5593-01_因子設定!$B$14,01_因子設定!$B$15-AB5593))),-1E+030)</f>
        <v>0.615562730089025</v>
      </c>
      <c r="AE5593" s="55" t="n">
        <f aca="false">IF(AC5593,IF(01_因子設定!$B$13="最大化",X5593,IF(01_因子設定!$B$13="最小化",-X5593,-ABS(X5593-01_因子設定!$B$16))),-1E+030)</f>
        <v>48.7753015350877</v>
      </c>
      <c r="AF5593" s="55" t="n">
        <f aca="false">AD5593+ROW()*0.000000001</f>
        <v>0.615568323089025</v>
      </c>
      <c r="AG5593" s="55" t="n">
        <f aca="false">AE5593+ROW()*0.000000001</f>
        <v>48.7753071280877</v>
      </c>
    </row>
    <row r="5594" customFormat="false" ht="15" hidden="false" customHeight="false" outlineLevel="0" collapsed="false">
      <c r="A5594" s="0" t="n">
        <v>7</v>
      </c>
      <c r="B5594" s="0" t="n">
        <v>6</v>
      </c>
      <c r="C5594" s="0" t="n">
        <v>0</v>
      </c>
      <c r="D5594" s="0" t="n">
        <v>0</v>
      </c>
      <c r="E5594" s="0" t="n">
        <f aca="false">-1+A5594*0.25</f>
        <v>0.75</v>
      </c>
      <c r="F5594" s="0" t="n">
        <f aca="false">-1+B5594*0.25</f>
        <v>0.5</v>
      </c>
      <c r="G5594" s="0" t="n">
        <f aca="false">-1+C5594*0.25</f>
        <v>-1</v>
      </c>
      <c r="H5594" s="0" t="n">
        <f aca="false">-1+D5594*0.25</f>
        <v>-1</v>
      </c>
      <c r="I5594" s="0" t="n">
        <f aca="false">1</f>
        <v>1</v>
      </c>
      <c r="J5594" s="0" t="n">
        <f aca="false">E5594</f>
        <v>0.75</v>
      </c>
      <c r="K5594" s="0" t="n">
        <f aca="false">F5594</f>
        <v>0.5</v>
      </c>
      <c r="L5594" s="0" t="n">
        <f aca="false">G5594</f>
        <v>-1</v>
      </c>
      <c r="M5594" s="0" t="n">
        <f aca="false">H5594</f>
        <v>-1</v>
      </c>
      <c r="N5594" s="0" t="n">
        <f aca="false">E5594*F5594</f>
        <v>0.375</v>
      </c>
      <c r="O5594" s="0" t="n">
        <f aca="false">E5594*G5594</f>
        <v>-0.75</v>
      </c>
      <c r="P5594" s="0" t="n">
        <f aca="false">E5594*H5594</f>
        <v>-0.75</v>
      </c>
      <c r="Q5594" s="0" t="n">
        <f aca="false">F5594*G5594</f>
        <v>-0.5</v>
      </c>
      <c r="R5594" s="0" t="n">
        <f aca="false">F5594*H5594</f>
        <v>-0.5</v>
      </c>
      <c r="S5594" s="0" t="n">
        <f aca="false">G5594*H5594</f>
        <v>1</v>
      </c>
      <c r="T5594" s="0" t="n">
        <f aca="false">E5594*E5594</f>
        <v>0.5625</v>
      </c>
      <c r="U5594" s="0" t="n">
        <f aca="false">F5594*F5594</f>
        <v>0.25</v>
      </c>
      <c r="V5594" s="0" t="n">
        <f aca="false">G5594*G5594</f>
        <v>1</v>
      </c>
      <c r="W5594" s="0" t="n">
        <f aca="false">H5594*H5594</f>
        <v>1</v>
      </c>
      <c r="X5594" s="0" t="n">
        <f aca="false">SUMPRODUCT(I5594:W5594,_XtX!$B$96:$P$96)</f>
        <v>46.9603618421053</v>
      </c>
      <c r="Y5594" s="0" t="n">
        <f aca="false">SUMPRODUCT(MMULT(I5594:W5594,_XtX!$B$78:$P$92),I5594:W5594)</f>
        <v>0.564984237938597</v>
      </c>
      <c r="Z5594" s="0" t="n">
        <f aca="false">04_回帰ANOVA!$K$19*04_回帰ANOVA!$K$14*SQRT(1+Y5594)</f>
        <v>1.63062229734503</v>
      </c>
      <c r="AA5594" s="0" t="n">
        <f aca="false">X5594-Z5594</f>
        <v>45.3297395447603</v>
      </c>
      <c r="AB5594" s="0" t="n">
        <f aca="false">X5594+Z5594</f>
        <v>48.5909841394503</v>
      </c>
      <c r="AC5594" s="54" t="b">
        <f aca="false">AND(E5594&gt;=01_因子設定!$L$5-0.000000001,E5594&lt;=01_因子設定!$M$5+0.000000001,F5594&gt;=01_因子設定!$L$6-0.000000001,F5594&lt;=01_因子設定!$M$6+0.000000001,G5594&gt;=01_因子設定!$L$7-0.000000001,G5594&lt;=01_因子設定!$M$7+0.000000001,H5594&gt;=01_因子設定!$L$8-0.000000001,H5594&lt;=01_因子設定!$M$8+0.000000001,IF(01_因子設定!$B$20="Box-Behnken",E5594^2+F5594^2+G5594^2+H5594^2&lt;=2+0.000000001,TRUE()))</f>
        <v>1</v>
      </c>
      <c r="AD5594" s="55" t="n">
        <f aca="false">IF(AC5594,IF(01_因子設定!$B$13="最大化",AA5594-01_因子設定!$B$14,IF(01_因子設定!$B$13="最小化",01_因子設定!$B$15-AB5594,MIN(AA5594-01_因子設定!$B$14,01_因子設定!$B$15-AB5594))),-1E+030)</f>
        <v>-1.17026045523974</v>
      </c>
      <c r="AE5594" s="55" t="n">
        <f aca="false">IF(AC5594,IF(01_因子設定!$B$13="最大化",X5594,IF(01_因子設定!$B$13="最小化",-X5594,-ABS(X5594-01_因子設定!$B$16))),-1E+030)</f>
        <v>46.9603618421053</v>
      </c>
      <c r="AF5594" s="55" t="n">
        <f aca="false">AD5594+ROW()*0.000000001</f>
        <v>-1.17025486123974</v>
      </c>
      <c r="AG5594" s="55" t="n">
        <f aca="false">AE5594+ROW()*0.000000001</f>
        <v>46.9603674361053</v>
      </c>
    </row>
    <row r="5595" customFormat="false" ht="15" hidden="false" customHeight="false" outlineLevel="0" collapsed="false">
      <c r="A5595" s="0" t="n">
        <v>7</v>
      </c>
      <c r="B5595" s="0" t="n">
        <v>6</v>
      </c>
      <c r="C5595" s="0" t="n">
        <v>0</v>
      </c>
      <c r="D5595" s="0" t="n">
        <v>1</v>
      </c>
      <c r="E5595" s="0" t="n">
        <f aca="false">-1+A5595*0.25</f>
        <v>0.75</v>
      </c>
      <c r="F5595" s="0" t="n">
        <f aca="false">-1+B5595*0.25</f>
        <v>0.5</v>
      </c>
      <c r="G5595" s="0" t="n">
        <f aca="false">-1+C5595*0.25</f>
        <v>-1</v>
      </c>
      <c r="H5595" s="0" t="n">
        <f aca="false">-1+D5595*0.25</f>
        <v>-0.75</v>
      </c>
      <c r="I5595" s="0" t="n">
        <f aca="false">1</f>
        <v>1</v>
      </c>
      <c r="J5595" s="0" t="n">
        <f aca="false">E5595</f>
        <v>0.75</v>
      </c>
      <c r="K5595" s="0" t="n">
        <f aca="false">F5595</f>
        <v>0.5</v>
      </c>
      <c r="L5595" s="0" t="n">
        <f aca="false">G5595</f>
        <v>-1</v>
      </c>
      <c r="M5595" s="0" t="n">
        <f aca="false">H5595</f>
        <v>-0.75</v>
      </c>
      <c r="N5595" s="0" t="n">
        <f aca="false">E5595*F5595</f>
        <v>0.375</v>
      </c>
      <c r="O5595" s="0" t="n">
        <f aca="false">E5595*G5595</f>
        <v>-0.75</v>
      </c>
      <c r="P5595" s="0" t="n">
        <f aca="false">E5595*H5595</f>
        <v>-0.5625</v>
      </c>
      <c r="Q5595" s="0" t="n">
        <f aca="false">F5595*G5595</f>
        <v>-0.5</v>
      </c>
      <c r="R5595" s="0" t="n">
        <f aca="false">F5595*H5595</f>
        <v>-0.375</v>
      </c>
      <c r="S5595" s="0" t="n">
        <f aca="false">G5595*H5595</f>
        <v>0.75</v>
      </c>
      <c r="T5595" s="0" t="n">
        <f aca="false">E5595*E5595</f>
        <v>0.5625</v>
      </c>
      <c r="U5595" s="0" t="n">
        <f aca="false">F5595*F5595</f>
        <v>0.25</v>
      </c>
      <c r="V5595" s="0" t="n">
        <f aca="false">G5595*G5595</f>
        <v>1</v>
      </c>
      <c r="W5595" s="0" t="n">
        <f aca="false">H5595*H5595</f>
        <v>0.5625</v>
      </c>
      <c r="X5595" s="0" t="n">
        <f aca="false">SUMPRODUCT(I5595:W5595,_XtX!$B$96:$P$96)</f>
        <v>47.1540752923977</v>
      </c>
      <c r="Y5595" s="0" t="n">
        <f aca="false">SUMPRODUCT(MMULT(I5595:W5595,_XtX!$B$78:$P$92),I5595:W5595)</f>
        <v>0.431153771472953</v>
      </c>
      <c r="Z5595" s="0" t="n">
        <f aca="false">04_回帰ANOVA!$K$19*04_回帰ANOVA!$K$14*SQRT(1+Y5595)</f>
        <v>1.55934259562563</v>
      </c>
      <c r="AA5595" s="0" t="n">
        <f aca="false">X5595-Z5595</f>
        <v>45.594732696772</v>
      </c>
      <c r="AB5595" s="0" t="n">
        <f aca="false">X5595+Z5595</f>
        <v>48.7134178880233</v>
      </c>
      <c r="AC5595" s="54" t="b">
        <f aca="false">AND(E5595&gt;=01_因子設定!$L$5-0.000000001,E5595&lt;=01_因子設定!$M$5+0.000000001,F5595&gt;=01_因子設定!$L$6-0.000000001,F5595&lt;=01_因子設定!$M$6+0.000000001,G5595&gt;=01_因子設定!$L$7-0.000000001,G5595&lt;=01_因子設定!$M$7+0.000000001,H5595&gt;=01_因子設定!$L$8-0.000000001,H5595&lt;=01_因子設定!$M$8+0.000000001,IF(01_因子設定!$B$20="Box-Behnken",E5595^2+F5595^2+G5595^2+H5595^2&lt;=2+0.000000001,TRUE()))</f>
        <v>1</v>
      </c>
      <c r="AD5595" s="55" t="n">
        <f aca="false">IF(AC5595,IF(01_因子設定!$B$13="最大化",AA5595-01_因子設定!$B$14,IF(01_因子設定!$B$13="最小化",01_因子設定!$B$15-AB5595,MIN(AA5595-01_因子設定!$B$14,01_因子設定!$B$15-AB5595))),-1E+030)</f>
        <v>-0.905267303227959</v>
      </c>
      <c r="AE5595" s="55" t="n">
        <f aca="false">IF(AC5595,IF(01_因子設定!$B$13="最大化",X5595,IF(01_因子設定!$B$13="最小化",-X5595,-ABS(X5595-01_因子設定!$B$16))),-1E+030)</f>
        <v>47.1540752923977</v>
      </c>
      <c r="AF5595" s="55" t="n">
        <f aca="false">AD5595+ROW()*0.000000001</f>
        <v>-0.905261708227959</v>
      </c>
      <c r="AG5595" s="55" t="n">
        <f aca="false">AE5595+ROW()*0.000000001</f>
        <v>47.1540808873977</v>
      </c>
    </row>
    <row r="5596" customFormat="false" ht="15" hidden="false" customHeight="false" outlineLevel="0" collapsed="false">
      <c r="A5596" s="0" t="n">
        <v>7</v>
      </c>
      <c r="B5596" s="0" t="n">
        <v>6</v>
      </c>
      <c r="C5596" s="0" t="n">
        <v>0</v>
      </c>
      <c r="D5596" s="0" t="n">
        <v>2</v>
      </c>
      <c r="E5596" s="0" t="n">
        <f aca="false">-1+A5596*0.25</f>
        <v>0.75</v>
      </c>
      <c r="F5596" s="0" t="n">
        <f aca="false">-1+B5596*0.25</f>
        <v>0.5</v>
      </c>
      <c r="G5596" s="0" t="n">
        <f aca="false">-1+C5596*0.25</f>
        <v>-1</v>
      </c>
      <c r="H5596" s="0" t="n">
        <f aca="false">-1+D5596*0.25</f>
        <v>-0.5</v>
      </c>
      <c r="I5596" s="0" t="n">
        <f aca="false">1</f>
        <v>1</v>
      </c>
      <c r="J5596" s="0" t="n">
        <f aca="false">E5596</f>
        <v>0.75</v>
      </c>
      <c r="K5596" s="0" t="n">
        <f aca="false">F5596</f>
        <v>0.5</v>
      </c>
      <c r="L5596" s="0" t="n">
        <f aca="false">G5596</f>
        <v>-1</v>
      </c>
      <c r="M5596" s="0" t="n">
        <f aca="false">H5596</f>
        <v>-0.5</v>
      </c>
      <c r="N5596" s="0" t="n">
        <f aca="false">E5596*F5596</f>
        <v>0.375</v>
      </c>
      <c r="O5596" s="0" t="n">
        <f aca="false">E5596*G5596</f>
        <v>-0.75</v>
      </c>
      <c r="P5596" s="0" t="n">
        <f aca="false">E5596*H5596</f>
        <v>-0.375</v>
      </c>
      <c r="Q5596" s="0" t="n">
        <f aca="false">F5596*G5596</f>
        <v>-0.5</v>
      </c>
      <c r="R5596" s="0" t="n">
        <f aca="false">F5596*H5596</f>
        <v>-0.25</v>
      </c>
      <c r="S5596" s="0" t="n">
        <f aca="false">G5596*H5596</f>
        <v>0.5</v>
      </c>
      <c r="T5596" s="0" t="n">
        <f aca="false">E5596*E5596</f>
        <v>0.5625</v>
      </c>
      <c r="U5596" s="0" t="n">
        <f aca="false">F5596*F5596</f>
        <v>0.25</v>
      </c>
      <c r="V5596" s="0" t="n">
        <f aca="false">G5596*G5596</f>
        <v>1</v>
      </c>
      <c r="W5596" s="0" t="n">
        <f aca="false">H5596*H5596</f>
        <v>0.25</v>
      </c>
      <c r="X5596" s="0" t="n">
        <f aca="false">SUMPRODUCT(I5596:W5596,_XtX!$B$96:$P$96)</f>
        <v>47.2999817251462</v>
      </c>
      <c r="Y5596" s="0" t="n">
        <f aca="false">SUMPRODUCT(MMULT(I5596:W5596,_XtX!$B$78:$P$92),I5596:W5596)</f>
        <v>0.42602110745614</v>
      </c>
      <c r="Z5596" s="0" t="n">
        <f aca="false">04_回帰ANOVA!$K$19*04_回帰ANOVA!$K$14*SQRT(1+Y5596)</f>
        <v>1.55654388501114</v>
      </c>
      <c r="AA5596" s="0" t="n">
        <f aca="false">X5596-Z5596</f>
        <v>45.7434378401351</v>
      </c>
      <c r="AB5596" s="0" t="n">
        <f aca="false">X5596+Z5596</f>
        <v>48.8565256101573</v>
      </c>
      <c r="AC5596" s="54" t="b">
        <f aca="false">AND(E5596&gt;=01_因子設定!$L$5-0.000000001,E5596&lt;=01_因子設定!$M$5+0.000000001,F5596&gt;=01_因子設定!$L$6-0.000000001,F5596&lt;=01_因子設定!$M$6+0.000000001,G5596&gt;=01_因子設定!$L$7-0.000000001,G5596&lt;=01_因子設定!$M$7+0.000000001,H5596&gt;=01_因子設定!$L$8-0.000000001,H5596&lt;=01_因子設定!$M$8+0.000000001,IF(01_因子設定!$B$20="Box-Behnken",E5596^2+F5596^2+G5596^2+H5596^2&lt;=2+0.000000001,TRUE()))</f>
        <v>1</v>
      </c>
      <c r="AD5596" s="55" t="n">
        <f aca="false">IF(AC5596,IF(01_因子設定!$B$13="最大化",AA5596-01_因子設定!$B$14,IF(01_因子設定!$B$13="最小化",01_因子設定!$B$15-AB5596,MIN(AA5596-01_因子設定!$B$14,01_因子設定!$B$15-AB5596))),-1E+030)</f>
        <v>-0.756562159864942</v>
      </c>
      <c r="AE5596" s="55" t="n">
        <f aca="false">IF(AC5596,IF(01_因子設定!$B$13="最大化",X5596,IF(01_因子設定!$B$13="最小化",-X5596,-ABS(X5596-01_因子設定!$B$16))),-1E+030)</f>
        <v>47.2999817251462</v>
      </c>
      <c r="AF5596" s="55" t="n">
        <f aca="false">AD5596+ROW()*0.000000001</f>
        <v>-0.756556563864941</v>
      </c>
      <c r="AG5596" s="55" t="n">
        <f aca="false">AE5596+ROW()*0.000000001</f>
        <v>47.2999873211462</v>
      </c>
    </row>
    <row r="5597" customFormat="false" ht="15" hidden="false" customHeight="false" outlineLevel="0" collapsed="false">
      <c r="A5597" s="0" t="n">
        <v>7</v>
      </c>
      <c r="B5597" s="0" t="n">
        <v>6</v>
      </c>
      <c r="C5597" s="0" t="n">
        <v>0</v>
      </c>
      <c r="D5597" s="0" t="n">
        <v>3</v>
      </c>
      <c r="E5597" s="0" t="n">
        <f aca="false">-1+A5597*0.25</f>
        <v>0.75</v>
      </c>
      <c r="F5597" s="0" t="n">
        <f aca="false">-1+B5597*0.25</f>
        <v>0.5</v>
      </c>
      <c r="G5597" s="0" t="n">
        <f aca="false">-1+C5597*0.25</f>
        <v>-1</v>
      </c>
      <c r="H5597" s="0" t="n">
        <f aca="false">-1+D5597*0.25</f>
        <v>-0.25</v>
      </c>
      <c r="I5597" s="0" t="n">
        <f aca="false">1</f>
        <v>1</v>
      </c>
      <c r="J5597" s="0" t="n">
        <f aca="false">E5597</f>
        <v>0.75</v>
      </c>
      <c r="K5597" s="0" t="n">
        <f aca="false">F5597</f>
        <v>0.5</v>
      </c>
      <c r="L5597" s="0" t="n">
        <f aca="false">G5597</f>
        <v>-1</v>
      </c>
      <c r="M5597" s="0" t="n">
        <f aca="false">H5597</f>
        <v>-0.25</v>
      </c>
      <c r="N5597" s="0" t="n">
        <f aca="false">E5597*F5597</f>
        <v>0.375</v>
      </c>
      <c r="O5597" s="0" t="n">
        <f aca="false">E5597*G5597</f>
        <v>-0.75</v>
      </c>
      <c r="P5597" s="0" t="n">
        <f aca="false">E5597*H5597</f>
        <v>-0.1875</v>
      </c>
      <c r="Q5597" s="0" t="n">
        <f aca="false">F5597*G5597</f>
        <v>-0.5</v>
      </c>
      <c r="R5597" s="0" t="n">
        <f aca="false">F5597*H5597</f>
        <v>-0.125</v>
      </c>
      <c r="S5597" s="0" t="n">
        <f aca="false">G5597*H5597</f>
        <v>0.25</v>
      </c>
      <c r="T5597" s="0" t="n">
        <f aca="false">E5597*E5597</f>
        <v>0.5625</v>
      </c>
      <c r="U5597" s="0" t="n">
        <f aca="false">F5597*F5597</f>
        <v>0.25</v>
      </c>
      <c r="V5597" s="0" t="n">
        <f aca="false">G5597*G5597</f>
        <v>1</v>
      </c>
      <c r="W5597" s="0" t="n">
        <f aca="false">H5597*H5597</f>
        <v>0.0625</v>
      </c>
      <c r="X5597" s="0" t="n">
        <f aca="false">SUMPRODUCT(I5597:W5597,_XtX!$B$96:$P$96)</f>
        <v>47.3980811403509</v>
      </c>
      <c r="Y5597" s="0" t="n">
        <f aca="false">SUMPRODUCT(MMULT(I5597:W5597,_XtX!$B$78:$P$92),I5597:W5597)</f>
        <v>0.459125719572369</v>
      </c>
      <c r="Z5597" s="0" t="n">
        <f aca="false">04_回帰ANOVA!$K$19*04_回帰ANOVA!$K$14*SQRT(1+Y5597)</f>
        <v>1.57450755575573</v>
      </c>
      <c r="AA5597" s="0" t="n">
        <f aca="false">X5597-Z5597</f>
        <v>45.8235735845951</v>
      </c>
      <c r="AB5597" s="0" t="n">
        <f aca="false">X5597+Z5597</f>
        <v>48.9725886961066</v>
      </c>
      <c r="AC5597" s="54" t="b">
        <f aca="false">AND(E5597&gt;=01_因子設定!$L$5-0.000000001,E5597&lt;=01_因子設定!$M$5+0.000000001,F5597&gt;=01_因子設定!$L$6-0.000000001,F5597&lt;=01_因子設定!$M$6+0.000000001,G5597&gt;=01_因子設定!$L$7-0.000000001,G5597&lt;=01_因子設定!$M$7+0.000000001,H5597&gt;=01_因子設定!$L$8-0.000000001,H5597&lt;=01_因子設定!$M$8+0.000000001,IF(01_因子設定!$B$20="Box-Behnken",E5597^2+F5597^2+G5597^2+H5597^2&lt;=2+0.000000001,TRUE()))</f>
        <v>1</v>
      </c>
      <c r="AD5597" s="55" t="n">
        <f aca="false">IF(AC5597,IF(01_因子設定!$B$13="最大化",AA5597-01_因子設定!$B$14,IF(01_因子設定!$B$13="最小化",01_因子設定!$B$15-AB5597,MIN(AA5597-01_因子設定!$B$14,01_因子設定!$B$15-AB5597))),-1E+030)</f>
        <v>-0.676426415404862</v>
      </c>
      <c r="AE5597" s="55" t="n">
        <f aca="false">IF(AC5597,IF(01_因子設定!$B$13="最大化",X5597,IF(01_因子設定!$B$13="最小化",-X5597,-ABS(X5597-01_因子設定!$B$16))),-1E+030)</f>
        <v>47.3980811403509</v>
      </c>
      <c r="AF5597" s="55" t="n">
        <f aca="false">AD5597+ROW()*0.000000001</f>
        <v>-0.676420818404862</v>
      </c>
      <c r="AG5597" s="55" t="n">
        <f aca="false">AE5597+ROW()*0.000000001</f>
        <v>47.3980867373509</v>
      </c>
    </row>
    <row r="5598" customFormat="false" ht="15" hidden="false" customHeight="false" outlineLevel="0" collapsed="false">
      <c r="A5598" s="0" t="n">
        <v>7</v>
      </c>
      <c r="B5598" s="0" t="n">
        <v>6</v>
      </c>
      <c r="C5598" s="0" t="n">
        <v>0</v>
      </c>
      <c r="D5598" s="0" t="n">
        <v>4</v>
      </c>
      <c r="E5598" s="0" t="n">
        <f aca="false">-1+A5598*0.25</f>
        <v>0.75</v>
      </c>
      <c r="F5598" s="0" t="n">
        <f aca="false">-1+B5598*0.25</f>
        <v>0.5</v>
      </c>
      <c r="G5598" s="0" t="n">
        <f aca="false">-1+C5598*0.25</f>
        <v>-1</v>
      </c>
      <c r="H5598" s="0" t="n">
        <f aca="false">-1+D5598*0.25</f>
        <v>0</v>
      </c>
      <c r="I5598" s="0" t="n">
        <f aca="false">1</f>
        <v>1</v>
      </c>
      <c r="J5598" s="0" t="n">
        <f aca="false">E5598</f>
        <v>0.75</v>
      </c>
      <c r="K5598" s="0" t="n">
        <f aca="false">F5598</f>
        <v>0.5</v>
      </c>
      <c r="L5598" s="0" t="n">
        <f aca="false">G5598</f>
        <v>-1</v>
      </c>
      <c r="M5598" s="0" t="n">
        <f aca="false">H5598</f>
        <v>0</v>
      </c>
      <c r="N5598" s="0" t="n">
        <f aca="false">E5598*F5598</f>
        <v>0.375</v>
      </c>
      <c r="O5598" s="0" t="n">
        <f aca="false">E5598*G5598</f>
        <v>-0.75</v>
      </c>
      <c r="P5598" s="0" t="n">
        <f aca="false">E5598*H5598</f>
        <v>0</v>
      </c>
      <c r="Q5598" s="0" t="n">
        <f aca="false">F5598*G5598</f>
        <v>-0.5</v>
      </c>
      <c r="R5598" s="0" t="n">
        <f aca="false">F5598*H5598</f>
        <v>0</v>
      </c>
      <c r="S5598" s="0" t="n">
        <f aca="false">G5598*H5598</f>
        <v>-0</v>
      </c>
      <c r="T5598" s="0" t="n">
        <f aca="false">E5598*E5598</f>
        <v>0.5625</v>
      </c>
      <c r="U5598" s="0" t="n">
        <f aca="false">F5598*F5598</f>
        <v>0.25</v>
      </c>
      <c r="V5598" s="0" t="n">
        <f aca="false">G5598*G5598</f>
        <v>1</v>
      </c>
      <c r="W5598" s="0" t="n">
        <f aca="false">H5598*H5598</f>
        <v>0</v>
      </c>
      <c r="X5598" s="0" t="n">
        <f aca="false">SUMPRODUCT(I5598:W5598,_XtX!$B$96:$P$96)</f>
        <v>47.4483735380117</v>
      </c>
      <c r="Y5598" s="0" t="n">
        <f aca="false">SUMPRODUCT(MMULT(I5598:W5598,_XtX!$B$78:$P$92),I5598:W5598)</f>
        <v>0.476191292032164</v>
      </c>
      <c r="Z5598" s="0" t="n">
        <f aca="false">04_回帰ANOVA!$K$19*04_回帰ANOVA!$K$14*SQRT(1+Y5598)</f>
        <v>1.58368831471718</v>
      </c>
      <c r="AA5598" s="0" t="n">
        <f aca="false">X5598-Z5598</f>
        <v>45.8646852232945</v>
      </c>
      <c r="AB5598" s="0" t="n">
        <f aca="false">X5598+Z5598</f>
        <v>49.0320618527289</v>
      </c>
      <c r="AC5598" s="54" t="b">
        <f aca="false">AND(E5598&gt;=01_因子設定!$L$5-0.000000001,E5598&lt;=01_因子設定!$M$5+0.000000001,F5598&gt;=01_因子設定!$L$6-0.000000001,F5598&lt;=01_因子設定!$M$6+0.000000001,G5598&gt;=01_因子設定!$L$7-0.000000001,G5598&lt;=01_因子設定!$M$7+0.000000001,H5598&gt;=01_因子設定!$L$8-0.000000001,H5598&lt;=01_因子設定!$M$8+0.000000001,IF(01_因子設定!$B$20="Box-Behnken",E5598^2+F5598^2+G5598^2+H5598^2&lt;=2+0.000000001,TRUE()))</f>
        <v>1</v>
      </c>
      <c r="AD5598" s="55" t="n">
        <f aca="false">IF(AC5598,IF(01_因子設定!$B$13="最大化",AA5598-01_因子設定!$B$14,IF(01_因子設定!$B$13="最小化",01_因子設定!$B$15-AB5598,MIN(AA5598-01_因子設定!$B$14,01_因子設定!$B$15-AB5598))),-1E+030)</f>
        <v>-0.635314776705492</v>
      </c>
      <c r="AE5598" s="55" t="n">
        <f aca="false">IF(AC5598,IF(01_因子設定!$B$13="最大化",X5598,IF(01_因子設定!$B$13="最小化",-X5598,-ABS(X5598-01_因子設定!$B$16))),-1E+030)</f>
        <v>47.4483735380117</v>
      </c>
      <c r="AF5598" s="55" t="n">
        <f aca="false">AD5598+ROW()*0.000000001</f>
        <v>-0.635309178705492</v>
      </c>
      <c r="AG5598" s="55" t="n">
        <f aca="false">AE5598+ROW()*0.000000001</f>
        <v>47.4483791360117</v>
      </c>
    </row>
    <row r="5599" customFormat="false" ht="15" hidden="false" customHeight="false" outlineLevel="0" collapsed="false">
      <c r="A5599" s="0" t="n">
        <v>7</v>
      </c>
      <c r="B5599" s="0" t="n">
        <v>6</v>
      </c>
      <c r="C5599" s="0" t="n">
        <v>0</v>
      </c>
      <c r="D5599" s="0" t="n">
        <v>5</v>
      </c>
      <c r="E5599" s="0" t="n">
        <f aca="false">-1+A5599*0.25</f>
        <v>0.75</v>
      </c>
      <c r="F5599" s="0" t="n">
        <f aca="false">-1+B5599*0.25</f>
        <v>0.5</v>
      </c>
      <c r="G5599" s="0" t="n">
        <f aca="false">-1+C5599*0.25</f>
        <v>-1</v>
      </c>
      <c r="H5599" s="0" t="n">
        <f aca="false">-1+D5599*0.25</f>
        <v>0.25</v>
      </c>
      <c r="I5599" s="0" t="n">
        <f aca="false">1</f>
        <v>1</v>
      </c>
      <c r="J5599" s="0" t="n">
        <f aca="false">E5599</f>
        <v>0.75</v>
      </c>
      <c r="K5599" s="0" t="n">
        <f aca="false">F5599</f>
        <v>0.5</v>
      </c>
      <c r="L5599" s="0" t="n">
        <f aca="false">G5599</f>
        <v>-1</v>
      </c>
      <c r="M5599" s="0" t="n">
        <f aca="false">H5599</f>
        <v>0.25</v>
      </c>
      <c r="N5599" s="0" t="n">
        <f aca="false">E5599*F5599</f>
        <v>0.375</v>
      </c>
      <c r="O5599" s="0" t="n">
        <f aca="false">E5599*G5599</f>
        <v>-0.75</v>
      </c>
      <c r="P5599" s="0" t="n">
        <f aca="false">E5599*H5599</f>
        <v>0.1875</v>
      </c>
      <c r="Q5599" s="0" t="n">
        <f aca="false">F5599*G5599</f>
        <v>-0.5</v>
      </c>
      <c r="R5599" s="0" t="n">
        <f aca="false">F5599*H5599</f>
        <v>0.125</v>
      </c>
      <c r="S5599" s="0" t="n">
        <f aca="false">G5599*H5599</f>
        <v>-0.25</v>
      </c>
      <c r="T5599" s="0" t="n">
        <f aca="false">E5599*E5599</f>
        <v>0.5625</v>
      </c>
      <c r="U5599" s="0" t="n">
        <f aca="false">F5599*F5599</f>
        <v>0.25</v>
      </c>
      <c r="V5599" s="0" t="n">
        <f aca="false">G5599*G5599</f>
        <v>1</v>
      </c>
      <c r="W5599" s="0" t="n">
        <f aca="false">H5599*H5599</f>
        <v>0.0625</v>
      </c>
      <c r="X5599" s="0" t="n">
        <f aca="false">SUMPRODUCT(I5599:W5599,_XtX!$B$96:$P$96)</f>
        <v>47.4508589181286</v>
      </c>
      <c r="Y5599" s="0" t="n">
        <f aca="false">SUMPRODUCT(MMULT(I5599:W5599,_XtX!$B$78:$P$92),I5599:W5599)</f>
        <v>0.459125719572369</v>
      </c>
      <c r="Z5599" s="0" t="n">
        <f aca="false">04_回帰ANOVA!$K$19*04_回帰ANOVA!$K$14*SQRT(1+Y5599)</f>
        <v>1.57450755575573</v>
      </c>
      <c r="AA5599" s="0" t="n">
        <f aca="false">X5599-Z5599</f>
        <v>45.8763513623729</v>
      </c>
      <c r="AB5599" s="0" t="n">
        <f aca="false">X5599+Z5599</f>
        <v>49.0253664738844</v>
      </c>
      <c r="AC5599" s="54" t="b">
        <f aca="false">AND(E5599&gt;=01_因子設定!$L$5-0.000000001,E5599&lt;=01_因子設定!$M$5+0.000000001,F5599&gt;=01_因子設定!$L$6-0.000000001,F5599&lt;=01_因子設定!$M$6+0.000000001,G5599&gt;=01_因子設定!$L$7-0.000000001,G5599&lt;=01_因子設定!$M$7+0.000000001,H5599&gt;=01_因子設定!$L$8-0.000000001,H5599&lt;=01_因子設定!$M$8+0.000000001,IF(01_因子設定!$B$20="Box-Behnken",E5599^2+F5599^2+G5599^2+H5599^2&lt;=2+0.000000001,TRUE()))</f>
        <v>1</v>
      </c>
      <c r="AD5599" s="55" t="n">
        <f aca="false">IF(AC5599,IF(01_因子設定!$B$13="最大化",AA5599-01_因子設定!$B$14,IF(01_因子設定!$B$13="最小化",01_因子設定!$B$15-AB5599,MIN(AA5599-01_因子設定!$B$14,01_因子設定!$B$15-AB5599))),-1E+030)</f>
        <v>-0.623648637627085</v>
      </c>
      <c r="AE5599" s="55" t="n">
        <f aca="false">IF(AC5599,IF(01_因子設定!$B$13="最大化",X5599,IF(01_因子設定!$B$13="最小化",-X5599,-ABS(X5599-01_因子設定!$B$16))),-1E+030)</f>
        <v>47.4508589181286</v>
      </c>
      <c r="AF5599" s="55" t="n">
        <f aca="false">AD5599+ROW()*0.000000001</f>
        <v>-0.623643038627085</v>
      </c>
      <c r="AG5599" s="55" t="n">
        <f aca="false">AE5599+ROW()*0.000000001</f>
        <v>47.4508645171286</v>
      </c>
    </row>
    <row r="5600" customFormat="false" ht="15" hidden="false" customHeight="false" outlineLevel="0" collapsed="false">
      <c r="A5600" s="0" t="n">
        <v>7</v>
      </c>
      <c r="B5600" s="0" t="n">
        <v>6</v>
      </c>
      <c r="C5600" s="0" t="n">
        <v>0</v>
      </c>
      <c r="D5600" s="0" t="n">
        <v>6</v>
      </c>
      <c r="E5600" s="0" t="n">
        <f aca="false">-1+A5600*0.25</f>
        <v>0.75</v>
      </c>
      <c r="F5600" s="0" t="n">
        <f aca="false">-1+B5600*0.25</f>
        <v>0.5</v>
      </c>
      <c r="G5600" s="0" t="n">
        <f aca="false">-1+C5600*0.25</f>
        <v>-1</v>
      </c>
      <c r="H5600" s="0" t="n">
        <f aca="false">-1+D5600*0.25</f>
        <v>0.5</v>
      </c>
      <c r="I5600" s="0" t="n">
        <f aca="false">1</f>
        <v>1</v>
      </c>
      <c r="J5600" s="0" t="n">
        <f aca="false">E5600</f>
        <v>0.75</v>
      </c>
      <c r="K5600" s="0" t="n">
        <f aca="false">F5600</f>
        <v>0.5</v>
      </c>
      <c r="L5600" s="0" t="n">
        <f aca="false">G5600</f>
        <v>-1</v>
      </c>
      <c r="M5600" s="0" t="n">
        <f aca="false">H5600</f>
        <v>0.5</v>
      </c>
      <c r="N5600" s="0" t="n">
        <f aca="false">E5600*F5600</f>
        <v>0.375</v>
      </c>
      <c r="O5600" s="0" t="n">
        <f aca="false">E5600*G5600</f>
        <v>-0.75</v>
      </c>
      <c r="P5600" s="0" t="n">
        <f aca="false">E5600*H5600</f>
        <v>0.375</v>
      </c>
      <c r="Q5600" s="0" t="n">
        <f aca="false">F5600*G5600</f>
        <v>-0.5</v>
      </c>
      <c r="R5600" s="0" t="n">
        <f aca="false">F5600*H5600</f>
        <v>0.25</v>
      </c>
      <c r="S5600" s="0" t="n">
        <f aca="false">G5600*H5600</f>
        <v>-0.5</v>
      </c>
      <c r="T5600" s="0" t="n">
        <f aca="false">E5600*E5600</f>
        <v>0.5625</v>
      </c>
      <c r="U5600" s="0" t="n">
        <f aca="false">F5600*F5600</f>
        <v>0.25</v>
      </c>
      <c r="V5600" s="0" t="n">
        <f aca="false">G5600*G5600</f>
        <v>1</v>
      </c>
      <c r="W5600" s="0" t="n">
        <f aca="false">H5600*H5600</f>
        <v>0.25</v>
      </c>
      <c r="X5600" s="0" t="n">
        <f aca="false">SUMPRODUCT(I5600:W5600,_XtX!$B$96:$P$96)</f>
        <v>47.4055372807018</v>
      </c>
      <c r="Y5600" s="0" t="n">
        <f aca="false">SUMPRODUCT(MMULT(I5600:W5600,_XtX!$B$78:$P$92),I5600:W5600)</f>
        <v>0.42602110745614</v>
      </c>
      <c r="Z5600" s="0" t="n">
        <f aca="false">04_回帰ANOVA!$K$19*04_回帰ANOVA!$K$14*SQRT(1+Y5600)</f>
        <v>1.55654388501114</v>
      </c>
      <c r="AA5600" s="0" t="n">
        <f aca="false">X5600-Z5600</f>
        <v>45.8489933956906</v>
      </c>
      <c r="AB5600" s="0" t="n">
        <f aca="false">X5600+Z5600</f>
        <v>48.9620811657129</v>
      </c>
      <c r="AC5600" s="54" t="b">
        <f aca="false">AND(E5600&gt;=01_因子設定!$L$5-0.000000001,E5600&lt;=01_因子設定!$M$5+0.000000001,F5600&gt;=01_因子設定!$L$6-0.000000001,F5600&lt;=01_因子設定!$M$6+0.000000001,G5600&gt;=01_因子設定!$L$7-0.000000001,G5600&lt;=01_因子設定!$M$7+0.000000001,H5600&gt;=01_因子設定!$L$8-0.000000001,H5600&lt;=01_因子設定!$M$8+0.000000001,IF(01_因子設定!$B$20="Box-Behnken",E5600^2+F5600^2+G5600^2+H5600^2&lt;=2+0.000000001,TRUE()))</f>
        <v>1</v>
      </c>
      <c r="AD5600" s="55" t="n">
        <f aca="false">IF(AC5600,IF(01_因子設定!$B$13="最大化",AA5600-01_因子設定!$B$14,IF(01_因子設定!$B$13="最小化",01_因子設定!$B$15-AB5600,MIN(AA5600-01_因子設定!$B$14,01_因子設定!$B$15-AB5600))),-1E+030)</f>
        <v>-0.651006604309387</v>
      </c>
      <c r="AE5600" s="55" t="n">
        <f aca="false">IF(AC5600,IF(01_因子設定!$B$13="最大化",X5600,IF(01_因子設定!$B$13="最小化",-X5600,-ABS(X5600-01_因子設定!$B$16))),-1E+030)</f>
        <v>47.4055372807018</v>
      </c>
      <c r="AF5600" s="55" t="n">
        <f aca="false">AD5600+ROW()*0.000000001</f>
        <v>-0.651001004309387</v>
      </c>
      <c r="AG5600" s="55" t="n">
        <f aca="false">AE5600+ROW()*0.000000001</f>
        <v>47.4055428807018</v>
      </c>
    </row>
    <row r="5601" customFormat="false" ht="15" hidden="false" customHeight="false" outlineLevel="0" collapsed="false">
      <c r="A5601" s="0" t="n">
        <v>7</v>
      </c>
      <c r="B5601" s="0" t="n">
        <v>6</v>
      </c>
      <c r="C5601" s="0" t="n">
        <v>0</v>
      </c>
      <c r="D5601" s="0" t="n">
        <v>7</v>
      </c>
      <c r="E5601" s="0" t="n">
        <f aca="false">-1+A5601*0.25</f>
        <v>0.75</v>
      </c>
      <c r="F5601" s="0" t="n">
        <f aca="false">-1+B5601*0.25</f>
        <v>0.5</v>
      </c>
      <c r="G5601" s="0" t="n">
        <f aca="false">-1+C5601*0.25</f>
        <v>-1</v>
      </c>
      <c r="H5601" s="0" t="n">
        <f aca="false">-1+D5601*0.25</f>
        <v>0.75</v>
      </c>
      <c r="I5601" s="0" t="n">
        <f aca="false">1</f>
        <v>1</v>
      </c>
      <c r="J5601" s="0" t="n">
        <f aca="false">E5601</f>
        <v>0.75</v>
      </c>
      <c r="K5601" s="0" t="n">
        <f aca="false">F5601</f>
        <v>0.5</v>
      </c>
      <c r="L5601" s="0" t="n">
        <f aca="false">G5601</f>
        <v>-1</v>
      </c>
      <c r="M5601" s="0" t="n">
        <f aca="false">H5601</f>
        <v>0.75</v>
      </c>
      <c r="N5601" s="0" t="n">
        <f aca="false">E5601*F5601</f>
        <v>0.375</v>
      </c>
      <c r="O5601" s="0" t="n">
        <f aca="false">E5601*G5601</f>
        <v>-0.75</v>
      </c>
      <c r="P5601" s="0" t="n">
        <f aca="false">E5601*H5601</f>
        <v>0.5625</v>
      </c>
      <c r="Q5601" s="0" t="n">
        <f aca="false">F5601*G5601</f>
        <v>-0.5</v>
      </c>
      <c r="R5601" s="0" t="n">
        <f aca="false">F5601*H5601</f>
        <v>0.375</v>
      </c>
      <c r="S5601" s="0" t="n">
        <f aca="false">G5601*H5601</f>
        <v>-0.75</v>
      </c>
      <c r="T5601" s="0" t="n">
        <f aca="false">E5601*E5601</f>
        <v>0.5625</v>
      </c>
      <c r="U5601" s="0" t="n">
        <f aca="false">F5601*F5601</f>
        <v>0.25</v>
      </c>
      <c r="V5601" s="0" t="n">
        <f aca="false">G5601*G5601</f>
        <v>1</v>
      </c>
      <c r="W5601" s="0" t="n">
        <f aca="false">H5601*H5601</f>
        <v>0.5625</v>
      </c>
      <c r="X5601" s="0" t="n">
        <f aca="false">SUMPRODUCT(I5601:W5601,_XtX!$B$96:$P$96)</f>
        <v>47.312408625731</v>
      </c>
      <c r="Y5601" s="0" t="n">
        <f aca="false">SUMPRODUCT(MMULT(I5601:W5601,_XtX!$B$78:$P$92),I5601:W5601)</f>
        <v>0.431153771472953</v>
      </c>
      <c r="Z5601" s="0" t="n">
        <f aca="false">04_回帰ANOVA!$K$19*04_回帰ANOVA!$K$14*SQRT(1+Y5601)</f>
        <v>1.55934259562563</v>
      </c>
      <c r="AA5601" s="0" t="n">
        <f aca="false">X5601-Z5601</f>
        <v>45.7530660301054</v>
      </c>
      <c r="AB5601" s="0" t="n">
        <f aca="false">X5601+Z5601</f>
        <v>48.8717512213566</v>
      </c>
      <c r="AC5601" s="54" t="b">
        <f aca="false">AND(E5601&gt;=01_因子設定!$L$5-0.000000001,E5601&lt;=01_因子設定!$M$5+0.000000001,F5601&gt;=01_因子設定!$L$6-0.000000001,F5601&lt;=01_因子設定!$M$6+0.000000001,G5601&gt;=01_因子設定!$L$7-0.000000001,G5601&lt;=01_因子設定!$M$7+0.000000001,H5601&gt;=01_因子設定!$L$8-0.000000001,H5601&lt;=01_因子設定!$M$8+0.000000001,IF(01_因子設定!$B$20="Box-Behnken",E5601^2+F5601^2+G5601^2+H5601^2&lt;=2+0.000000001,TRUE()))</f>
        <v>1</v>
      </c>
      <c r="AD5601" s="55" t="n">
        <f aca="false">IF(AC5601,IF(01_因子設定!$B$13="最大化",AA5601-01_因子設定!$B$14,IF(01_因子設定!$B$13="最小化",01_因子設定!$B$15-AB5601,MIN(AA5601-01_因子設定!$B$14,01_因子設定!$B$15-AB5601))),-1E+030)</f>
        <v>-0.746933969894627</v>
      </c>
      <c r="AE5601" s="55" t="n">
        <f aca="false">IF(AC5601,IF(01_因子設定!$B$13="最大化",X5601,IF(01_因子設定!$B$13="最小化",-X5601,-ABS(X5601-01_因子設定!$B$16))),-1E+030)</f>
        <v>47.312408625731</v>
      </c>
      <c r="AF5601" s="55" t="n">
        <f aca="false">AD5601+ROW()*0.000000001</f>
        <v>-0.746928368894627</v>
      </c>
      <c r="AG5601" s="55" t="n">
        <f aca="false">AE5601+ROW()*0.000000001</f>
        <v>47.312414226731</v>
      </c>
    </row>
    <row r="5602" customFormat="false" ht="15" hidden="false" customHeight="false" outlineLevel="0" collapsed="false">
      <c r="A5602" s="0" t="n">
        <v>7</v>
      </c>
      <c r="B5602" s="0" t="n">
        <v>6</v>
      </c>
      <c r="C5602" s="0" t="n">
        <v>0</v>
      </c>
      <c r="D5602" s="0" t="n">
        <v>8</v>
      </c>
      <c r="E5602" s="0" t="n">
        <f aca="false">-1+A5602*0.25</f>
        <v>0.75</v>
      </c>
      <c r="F5602" s="0" t="n">
        <f aca="false">-1+B5602*0.25</f>
        <v>0.5</v>
      </c>
      <c r="G5602" s="0" t="n">
        <f aca="false">-1+C5602*0.25</f>
        <v>-1</v>
      </c>
      <c r="H5602" s="0" t="n">
        <f aca="false">-1+D5602*0.25</f>
        <v>1</v>
      </c>
      <c r="I5602" s="0" t="n">
        <f aca="false">1</f>
        <v>1</v>
      </c>
      <c r="J5602" s="0" t="n">
        <f aca="false">E5602</f>
        <v>0.75</v>
      </c>
      <c r="K5602" s="0" t="n">
        <f aca="false">F5602</f>
        <v>0.5</v>
      </c>
      <c r="L5602" s="0" t="n">
        <f aca="false">G5602</f>
        <v>-1</v>
      </c>
      <c r="M5602" s="0" t="n">
        <f aca="false">H5602</f>
        <v>1</v>
      </c>
      <c r="N5602" s="0" t="n">
        <f aca="false">E5602*F5602</f>
        <v>0.375</v>
      </c>
      <c r="O5602" s="0" t="n">
        <f aca="false">E5602*G5602</f>
        <v>-0.75</v>
      </c>
      <c r="P5602" s="0" t="n">
        <f aca="false">E5602*H5602</f>
        <v>0.75</v>
      </c>
      <c r="Q5602" s="0" t="n">
        <f aca="false">F5602*G5602</f>
        <v>-0.5</v>
      </c>
      <c r="R5602" s="0" t="n">
        <f aca="false">F5602*H5602</f>
        <v>0.5</v>
      </c>
      <c r="S5602" s="0" t="n">
        <f aca="false">G5602*H5602</f>
        <v>-1</v>
      </c>
      <c r="T5602" s="0" t="n">
        <f aca="false">E5602*E5602</f>
        <v>0.5625</v>
      </c>
      <c r="U5602" s="0" t="n">
        <f aca="false">F5602*F5602</f>
        <v>0.25</v>
      </c>
      <c r="V5602" s="0" t="n">
        <f aca="false">G5602*G5602</f>
        <v>1</v>
      </c>
      <c r="W5602" s="0" t="n">
        <f aca="false">H5602*H5602</f>
        <v>1</v>
      </c>
      <c r="X5602" s="0" t="n">
        <f aca="false">SUMPRODUCT(I5602:W5602,_XtX!$B$96:$P$96)</f>
        <v>47.1714729532164</v>
      </c>
      <c r="Y5602" s="0" t="n">
        <f aca="false">SUMPRODUCT(MMULT(I5602:W5602,_XtX!$B$78:$P$92),I5602:W5602)</f>
        <v>0.564984237938597</v>
      </c>
      <c r="Z5602" s="0" t="n">
        <f aca="false">04_回帰ANOVA!$K$19*04_回帰ANOVA!$K$14*SQRT(1+Y5602)</f>
        <v>1.63062229734503</v>
      </c>
      <c r="AA5602" s="0" t="n">
        <f aca="false">X5602-Z5602</f>
        <v>45.5408506558714</v>
      </c>
      <c r="AB5602" s="0" t="n">
        <f aca="false">X5602+Z5602</f>
        <v>48.8020952505614</v>
      </c>
      <c r="AC5602" s="54" t="b">
        <f aca="false">AND(E5602&gt;=01_因子設定!$L$5-0.000000001,E5602&lt;=01_因子設定!$M$5+0.000000001,F5602&gt;=01_因子設定!$L$6-0.000000001,F5602&lt;=01_因子設定!$M$6+0.000000001,G5602&gt;=01_因子設定!$L$7-0.000000001,G5602&lt;=01_因子設定!$M$7+0.000000001,H5602&gt;=01_因子設定!$L$8-0.000000001,H5602&lt;=01_因子設定!$M$8+0.000000001,IF(01_因子設定!$B$20="Box-Behnken",E5602^2+F5602^2+G5602^2+H5602^2&lt;=2+0.000000001,TRUE()))</f>
        <v>1</v>
      </c>
      <c r="AD5602" s="55" t="n">
        <f aca="false">IF(AC5602,IF(01_因子設定!$B$13="最大化",AA5602-01_因子設定!$B$14,IF(01_因子設定!$B$13="最小化",01_因子設定!$B$15-AB5602,MIN(AA5602-01_因子設定!$B$14,01_因子設定!$B$15-AB5602))),-1E+030)</f>
        <v>-0.959149344128633</v>
      </c>
      <c r="AE5602" s="55" t="n">
        <f aca="false">IF(AC5602,IF(01_因子設定!$B$13="最大化",X5602,IF(01_因子設定!$B$13="最小化",-X5602,-ABS(X5602-01_因子設定!$B$16))),-1E+030)</f>
        <v>47.1714729532164</v>
      </c>
      <c r="AF5602" s="55" t="n">
        <f aca="false">AD5602+ROW()*0.000000001</f>
        <v>-0.959143742128633</v>
      </c>
      <c r="AG5602" s="55" t="n">
        <f aca="false">AE5602+ROW()*0.000000001</f>
        <v>47.1714785552164</v>
      </c>
    </row>
    <row r="5603" customFormat="false" ht="15" hidden="false" customHeight="false" outlineLevel="0" collapsed="false">
      <c r="A5603" s="0" t="n">
        <v>7</v>
      </c>
      <c r="B5603" s="0" t="n">
        <v>6</v>
      </c>
      <c r="C5603" s="0" t="n">
        <v>1</v>
      </c>
      <c r="D5603" s="0" t="n">
        <v>0</v>
      </c>
      <c r="E5603" s="0" t="n">
        <f aca="false">-1+A5603*0.25</f>
        <v>0.75</v>
      </c>
      <c r="F5603" s="0" t="n">
        <f aca="false">-1+B5603*0.25</f>
        <v>0.5</v>
      </c>
      <c r="G5603" s="0" t="n">
        <f aca="false">-1+C5603*0.25</f>
        <v>-0.75</v>
      </c>
      <c r="H5603" s="0" t="n">
        <f aca="false">-1+D5603*0.25</f>
        <v>-1</v>
      </c>
      <c r="I5603" s="0" t="n">
        <f aca="false">1</f>
        <v>1</v>
      </c>
      <c r="J5603" s="0" t="n">
        <f aca="false">E5603</f>
        <v>0.75</v>
      </c>
      <c r="K5603" s="0" t="n">
        <f aca="false">F5603</f>
        <v>0.5</v>
      </c>
      <c r="L5603" s="0" t="n">
        <f aca="false">G5603</f>
        <v>-0.75</v>
      </c>
      <c r="M5603" s="0" t="n">
        <f aca="false">H5603</f>
        <v>-1</v>
      </c>
      <c r="N5603" s="0" t="n">
        <f aca="false">E5603*F5603</f>
        <v>0.375</v>
      </c>
      <c r="O5603" s="0" t="n">
        <f aca="false">E5603*G5603</f>
        <v>-0.5625</v>
      </c>
      <c r="P5603" s="0" t="n">
        <f aca="false">E5603*H5603</f>
        <v>-0.75</v>
      </c>
      <c r="Q5603" s="0" t="n">
        <f aca="false">F5603*G5603</f>
        <v>-0.375</v>
      </c>
      <c r="R5603" s="0" t="n">
        <f aca="false">F5603*H5603</f>
        <v>-0.5</v>
      </c>
      <c r="S5603" s="0" t="n">
        <f aca="false">G5603*H5603</f>
        <v>0.75</v>
      </c>
      <c r="T5603" s="0" t="n">
        <f aca="false">E5603*E5603</f>
        <v>0.5625</v>
      </c>
      <c r="U5603" s="0" t="n">
        <f aca="false">F5603*F5603</f>
        <v>0.25</v>
      </c>
      <c r="V5603" s="0" t="n">
        <f aca="false">G5603*G5603</f>
        <v>0.5625</v>
      </c>
      <c r="W5603" s="0" t="n">
        <f aca="false">H5603*H5603</f>
        <v>1</v>
      </c>
      <c r="X5603" s="0" t="n">
        <f aca="false">SUMPRODUCT(I5603:W5603,_XtX!$B$96:$P$96)</f>
        <v>47.3500822368421</v>
      </c>
      <c r="Y5603" s="0" t="n">
        <f aca="false">SUMPRODUCT(MMULT(I5603:W5603,_XtX!$B$78:$P$92),I5603:W5603)</f>
        <v>0.431153771472953</v>
      </c>
      <c r="Z5603" s="0" t="n">
        <f aca="false">04_回帰ANOVA!$K$19*04_回帰ANOVA!$K$14*SQRT(1+Y5603)</f>
        <v>1.55934259562563</v>
      </c>
      <c r="AA5603" s="0" t="n">
        <f aca="false">X5603-Z5603</f>
        <v>45.7907396412165</v>
      </c>
      <c r="AB5603" s="0" t="n">
        <f aca="false">X5603+Z5603</f>
        <v>48.9094248324678</v>
      </c>
      <c r="AC5603" s="54" t="b">
        <f aca="false">AND(E5603&gt;=01_因子設定!$L$5-0.000000001,E5603&lt;=01_因子設定!$M$5+0.000000001,F5603&gt;=01_因子設定!$L$6-0.000000001,F5603&lt;=01_因子設定!$M$6+0.000000001,G5603&gt;=01_因子設定!$L$7-0.000000001,G5603&lt;=01_因子設定!$M$7+0.000000001,H5603&gt;=01_因子設定!$L$8-0.000000001,H5603&lt;=01_因子設定!$M$8+0.000000001,IF(01_因子設定!$B$20="Box-Behnken",E5603^2+F5603^2+G5603^2+H5603^2&lt;=2+0.000000001,TRUE()))</f>
        <v>1</v>
      </c>
      <c r="AD5603" s="55" t="n">
        <f aca="false">IF(AC5603,IF(01_因子設定!$B$13="最大化",AA5603-01_因子設定!$B$14,IF(01_因子設定!$B$13="最小化",01_因子設定!$B$15-AB5603,MIN(AA5603-01_因子設定!$B$14,01_因子設定!$B$15-AB5603))),-1E+030)</f>
        <v>-0.709260358783496</v>
      </c>
      <c r="AE5603" s="55" t="n">
        <f aca="false">IF(AC5603,IF(01_因子設定!$B$13="最大化",X5603,IF(01_因子設定!$B$13="最小化",-X5603,-ABS(X5603-01_因子設定!$B$16))),-1E+030)</f>
        <v>47.3500822368421</v>
      </c>
      <c r="AF5603" s="55" t="n">
        <f aca="false">AD5603+ROW()*0.000000001</f>
        <v>-0.709254755783496</v>
      </c>
      <c r="AG5603" s="55" t="n">
        <f aca="false">AE5603+ROW()*0.000000001</f>
        <v>47.3500878398421</v>
      </c>
    </row>
    <row r="5604" customFormat="false" ht="15" hidden="false" customHeight="false" outlineLevel="0" collapsed="false">
      <c r="A5604" s="0" t="n">
        <v>7</v>
      </c>
      <c r="B5604" s="0" t="n">
        <v>6</v>
      </c>
      <c r="C5604" s="0" t="n">
        <v>1</v>
      </c>
      <c r="D5604" s="0" t="n">
        <v>1</v>
      </c>
      <c r="E5604" s="0" t="n">
        <f aca="false">-1+A5604*0.25</f>
        <v>0.75</v>
      </c>
      <c r="F5604" s="0" t="n">
        <f aca="false">-1+B5604*0.25</f>
        <v>0.5</v>
      </c>
      <c r="G5604" s="0" t="n">
        <f aca="false">-1+C5604*0.25</f>
        <v>-0.75</v>
      </c>
      <c r="H5604" s="0" t="n">
        <f aca="false">-1+D5604*0.25</f>
        <v>-0.75</v>
      </c>
      <c r="I5604" s="0" t="n">
        <f aca="false">1</f>
        <v>1</v>
      </c>
      <c r="J5604" s="0" t="n">
        <f aca="false">E5604</f>
        <v>0.75</v>
      </c>
      <c r="K5604" s="0" t="n">
        <f aca="false">F5604</f>
        <v>0.5</v>
      </c>
      <c r="L5604" s="0" t="n">
        <f aca="false">G5604</f>
        <v>-0.75</v>
      </c>
      <c r="M5604" s="0" t="n">
        <f aca="false">H5604</f>
        <v>-0.75</v>
      </c>
      <c r="N5604" s="0" t="n">
        <f aca="false">E5604*F5604</f>
        <v>0.375</v>
      </c>
      <c r="O5604" s="0" t="n">
        <f aca="false">E5604*G5604</f>
        <v>-0.5625</v>
      </c>
      <c r="P5604" s="0" t="n">
        <f aca="false">E5604*H5604</f>
        <v>-0.5625</v>
      </c>
      <c r="Q5604" s="0" t="n">
        <f aca="false">F5604*G5604</f>
        <v>-0.375</v>
      </c>
      <c r="R5604" s="0" t="n">
        <f aca="false">F5604*H5604</f>
        <v>-0.375</v>
      </c>
      <c r="S5604" s="0" t="n">
        <f aca="false">G5604*H5604</f>
        <v>0.5625</v>
      </c>
      <c r="T5604" s="0" t="n">
        <f aca="false">E5604*E5604</f>
        <v>0.5625</v>
      </c>
      <c r="U5604" s="0" t="n">
        <f aca="false">F5604*F5604</f>
        <v>0.25</v>
      </c>
      <c r="V5604" s="0" t="n">
        <f aca="false">G5604*G5604</f>
        <v>0.5625</v>
      </c>
      <c r="W5604" s="0" t="n">
        <f aca="false">H5604*H5604</f>
        <v>0.5625</v>
      </c>
      <c r="X5604" s="0" t="n">
        <f aca="false">SUMPRODUCT(I5604:W5604,_XtX!$B$96:$P$96)</f>
        <v>47.5617644371345</v>
      </c>
      <c r="Y5604" s="0" t="n">
        <f aca="false">SUMPRODUCT(MMULT(I5604:W5604,_XtX!$B$78:$P$92),I5604:W5604)</f>
        <v>0.265632138614766</v>
      </c>
      <c r="Z5604" s="0" t="n">
        <f aca="false">04_回帰ANOVA!$K$19*04_回帰ANOVA!$K$14*SQRT(1+Y5604)</f>
        <v>1.46639894654257</v>
      </c>
      <c r="AA5604" s="0" t="n">
        <f aca="false">X5604-Z5604</f>
        <v>46.0953654905919</v>
      </c>
      <c r="AB5604" s="0" t="n">
        <f aca="false">X5604+Z5604</f>
        <v>49.0281633836771</v>
      </c>
      <c r="AC5604" s="54" t="b">
        <f aca="false">AND(E5604&gt;=01_因子設定!$L$5-0.000000001,E5604&lt;=01_因子設定!$M$5+0.000000001,F5604&gt;=01_因子設定!$L$6-0.000000001,F5604&lt;=01_因子設定!$M$6+0.000000001,G5604&gt;=01_因子設定!$L$7-0.000000001,G5604&lt;=01_因子設定!$M$7+0.000000001,H5604&gt;=01_因子設定!$L$8-0.000000001,H5604&lt;=01_因子設定!$M$8+0.000000001,IF(01_因子設定!$B$20="Box-Behnken",E5604^2+F5604^2+G5604^2+H5604^2&lt;=2+0.000000001,TRUE()))</f>
        <v>1</v>
      </c>
      <c r="AD5604" s="55" t="n">
        <f aca="false">IF(AC5604,IF(01_因子設定!$B$13="最大化",AA5604-01_因子設定!$B$14,IF(01_因子設定!$B$13="最小化",01_因子設定!$B$15-AB5604,MIN(AA5604-01_因子設定!$B$14,01_因子設定!$B$15-AB5604))),-1E+030)</f>
        <v>-0.404634509408062</v>
      </c>
      <c r="AE5604" s="55" t="n">
        <f aca="false">IF(AC5604,IF(01_因子設定!$B$13="最大化",X5604,IF(01_因子設定!$B$13="最小化",-X5604,-ABS(X5604-01_因子設定!$B$16))),-1E+030)</f>
        <v>47.5617644371345</v>
      </c>
      <c r="AF5604" s="55" t="n">
        <f aca="false">AD5604+ROW()*0.000000001</f>
        <v>-0.404628905408062</v>
      </c>
      <c r="AG5604" s="55" t="n">
        <f aca="false">AE5604+ROW()*0.000000001</f>
        <v>47.5617700411345</v>
      </c>
    </row>
    <row r="5605" customFormat="false" ht="15" hidden="false" customHeight="false" outlineLevel="0" collapsed="false">
      <c r="A5605" s="0" t="n">
        <v>7</v>
      </c>
      <c r="B5605" s="0" t="n">
        <v>6</v>
      </c>
      <c r="C5605" s="0" t="n">
        <v>1</v>
      </c>
      <c r="D5605" s="0" t="n">
        <v>2</v>
      </c>
      <c r="E5605" s="0" t="n">
        <f aca="false">-1+A5605*0.25</f>
        <v>0.75</v>
      </c>
      <c r="F5605" s="0" t="n">
        <f aca="false">-1+B5605*0.25</f>
        <v>0.5</v>
      </c>
      <c r="G5605" s="0" t="n">
        <f aca="false">-1+C5605*0.25</f>
        <v>-0.75</v>
      </c>
      <c r="H5605" s="0" t="n">
        <f aca="false">-1+D5605*0.25</f>
        <v>-0.5</v>
      </c>
      <c r="I5605" s="0" t="n">
        <f aca="false">1</f>
        <v>1</v>
      </c>
      <c r="J5605" s="0" t="n">
        <f aca="false">E5605</f>
        <v>0.75</v>
      </c>
      <c r="K5605" s="0" t="n">
        <f aca="false">F5605</f>
        <v>0.5</v>
      </c>
      <c r="L5605" s="0" t="n">
        <f aca="false">G5605</f>
        <v>-0.75</v>
      </c>
      <c r="M5605" s="0" t="n">
        <f aca="false">H5605</f>
        <v>-0.5</v>
      </c>
      <c r="N5605" s="0" t="n">
        <f aca="false">E5605*F5605</f>
        <v>0.375</v>
      </c>
      <c r="O5605" s="0" t="n">
        <f aca="false">E5605*G5605</f>
        <v>-0.5625</v>
      </c>
      <c r="P5605" s="0" t="n">
        <f aca="false">E5605*H5605</f>
        <v>-0.375</v>
      </c>
      <c r="Q5605" s="0" t="n">
        <f aca="false">F5605*G5605</f>
        <v>-0.375</v>
      </c>
      <c r="R5605" s="0" t="n">
        <f aca="false">F5605*H5605</f>
        <v>-0.25</v>
      </c>
      <c r="S5605" s="0" t="n">
        <f aca="false">G5605*H5605</f>
        <v>0.375</v>
      </c>
      <c r="T5605" s="0" t="n">
        <f aca="false">E5605*E5605</f>
        <v>0.5625</v>
      </c>
      <c r="U5605" s="0" t="n">
        <f aca="false">F5605*F5605</f>
        <v>0.25</v>
      </c>
      <c r="V5605" s="0" t="n">
        <f aca="false">G5605*G5605</f>
        <v>0.5625</v>
      </c>
      <c r="W5605" s="0" t="n">
        <f aca="false">H5605*H5605</f>
        <v>0.25</v>
      </c>
      <c r="X5605" s="0" t="n">
        <f aca="false">SUMPRODUCT(I5605:W5605,_XtX!$B$96:$P$96)</f>
        <v>47.725639619883</v>
      </c>
      <c r="Y5605" s="0" t="n">
        <f aca="false">SUMPRODUCT(MMULT(I5605:W5605,_XtX!$B$78:$P$92),I5605:W5605)</f>
        <v>0.237862927174708</v>
      </c>
      <c r="Z5605" s="0" t="n">
        <f aca="false">04_回帰ANOVA!$K$19*04_回帰ANOVA!$K$14*SQRT(1+Y5605)</f>
        <v>1.45022260708756</v>
      </c>
      <c r="AA5605" s="0" t="n">
        <f aca="false">X5605-Z5605</f>
        <v>46.2754170127955</v>
      </c>
      <c r="AB5605" s="0" t="n">
        <f aca="false">X5605+Z5605</f>
        <v>49.1758622269706</v>
      </c>
      <c r="AC5605" s="54" t="b">
        <f aca="false">AND(E5605&gt;=01_因子設定!$L$5-0.000000001,E5605&lt;=01_因子設定!$M$5+0.000000001,F5605&gt;=01_因子設定!$L$6-0.000000001,F5605&lt;=01_因子設定!$M$6+0.000000001,G5605&gt;=01_因子設定!$L$7-0.000000001,G5605&lt;=01_因子設定!$M$7+0.000000001,H5605&gt;=01_因子設定!$L$8-0.000000001,H5605&lt;=01_因子設定!$M$8+0.000000001,IF(01_因子設定!$B$20="Box-Behnken",E5605^2+F5605^2+G5605^2+H5605^2&lt;=2+0.000000001,TRUE()))</f>
        <v>1</v>
      </c>
      <c r="AD5605" s="55" t="n">
        <f aca="false">IF(AC5605,IF(01_因子設定!$B$13="最大化",AA5605-01_因子設定!$B$14,IF(01_因子設定!$B$13="最小化",01_因子設定!$B$15-AB5605,MIN(AA5605-01_因子設定!$B$14,01_因子設定!$B$15-AB5605))),-1E+030)</f>
        <v>-0.224582987204521</v>
      </c>
      <c r="AE5605" s="55" t="n">
        <f aca="false">IF(AC5605,IF(01_因子設定!$B$13="最大化",X5605,IF(01_因子設定!$B$13="最小化",-X5605,-ABS(X5605-01_因子設定!$B$16))),-1E+030)</f>
        <v>47.725639619883</v>
      </c>
      <c r="AF5605" s="55" t="n">
        <f aca="false">AD5605+ROW()*0.000000001</f>
        <v>-0.224577382204521</v>
      </c>
      <c r="AG5605" s="55" t="n">
        <f aca="false">AE5605+ROW()*0.000000001</f>
        <v>47.725645224883</v>
      </c>
    </row>
    <row r="5606" customFormat="false" ht="15" hidden="false" customHeight="false" outlineLevel="0" collapsed="false">
      <c r="A5606" s="0" t="n">
        <v>7</v>
      </c>
      <c r="B5606" s="0" t="n">
        <v>6</v>
      </c>
      <c r="C5606" s="0" t="n">
        <v>1</v>
      </c>
      <c r="D5606" s="0" t="n">
        <v>3</v>
      </c>
      <c r="E5606" s="0" t="n">
        <f aca="false">-1+A5606*0.25</f>
        <v>0.75</v>
      </c>
      <c r="F5606" s="0" t="n">
        <f aca="false">-1+B5606*0.25</f>
        <v>0.5</v>
      </c>
      <c r="G5606" s="0" t="n">
        <f aca="false">-1+C5606*0.25</f>
        <v>-0.75</v>
      </c>
      <c r="H5606" s="0" t="n">
        <f aca="false">-1+D5606*0.25</f>
        <v>-0.25</v>
      </c>
      <c r="I5606" s="0" t="n">
        <f aca="false">1</f>
        <v>1</v>
      </c>
      <c r="J5606" s="0" t="n">
        <f aca="false">E5606</f>
        <v>0.75</v>
      </c>
      <c r="K5606" s="0" t="n">
        <f aca="false">F5606</f>
        <v>0.5</v>
      </c>
      <c r="L5606" s="0" t="n">
        <f aca="false">G5606</f>
        <v>-0.75</v>
      </c>
      <c r="M5606" s="0" t="n">
        <f aca="false">H5606</f>
        <v>-0.25</v>
      </c>
      <c r="N5606" s="0" t="n">
        <f aca="false">E5606*F5606</f>
        <v>0.375</v>
      </c>
      <c r="O5606" s="0" t="n">
        <f aca="false">E5606*G5606</f>
        <v>-0.5625</v>
      </c>
      <c r="P5606" s="0" t="n">
        <f aca="false">E5606*H5606</f>
        <v>-0.1875</v>
      </c>
      <c r="Q5606" s="0" t="n">
        <f aca="false">F5606*G5606</f>
        <v>-0.375</v>
      </c>
      <c r="R5606" s="0" t="n">
        <f aca="false">F5606*H5606</f>
        <v>-0.125</v>
      </c>
      <c r="S5606" s="0" t="n">
        <f aca="false">G5606*H5606</f>
        <v>0.1875</v>
      </c>
      <c r="T5606" s="0" t="n">
        <f aca="false">E5606*E5606</f>
        <v>0.5625</v>
      </c>
      <c r="U5606" s="0" t="n">
        <f aca="false">F5606*F5606</f>
        <v>0.25</v>
      </c>
      <c r="V5606" s="0" t="n">
        <f aca="false">G5606*G5606</f>
        <v>0.5625</v>
      </c>
      <c r="W5606" s="0" t="n">
        <f aca="false">H5606*H5606</f>
        <v>0.0625</v>
      </c>
      <c r="X5606" s="0" t="n">
        <f aca="false">SUMPRODUCT(I5606:W5606,_XtX!$B$96:$P$96)</f>
        <v>47.8417077850877</v>
      </c>
      <c r="Y5606" s="0" t="n">
        <f aca="false">SUMPRODUCT(MMULT(I5606:W5606,_XtX!$B$78:$P$92),I5606:W5606)</f>
        <v>0.257385610836988</v>
      </c>
      <c r="Z5606" s="0" t="n">
        <f aca="false">04_回帰ANOVA!$K$19*04_回帰ANOVA!$K$14*SQRT(1+Y5606)</f>
        <v>1.46161380324158</v>
      </c>
      <c r="AA5606" s="0" t="n">
        <f aca="false">X5606-Z5606</f>
        <v>46.3800939818461</v>
      </c>
      <c r="AB5606" s="0" t="n">
        <f aca="false">X5606+Z5606</f>
        <v>49.3033215883293</v>
      </c>
      <c r="AC5606" s="54" t="b">
        <f aca="false">AND(E5606&gt;=01_因子設定!$L$5-0.000000001,E5606&lt;=01_因子設定!$M$5+0.000000001,F5606&gt;=01_因子設定!$L$6-0.000000001,F5606&lt;=01_因子設定!$M$6+0.000000001,G5606&gt;=01_因子設定!$L$7-0.000000001,G5606&lt;=01_因子設定!$M$7+0.000000001,H5606&gt;=01_因子設定!$L$8-0.000000001,H5606&lt;=01_因子設定!$M$8+0.000000001,IF(01_因子設定!$B$20="Box-Behnken",E5606^2+F5606^2+G5606^2+H5606^2&lt;=2+0.000000001,TRUE()))</f>
        <v>1</v>
      </c>
      <c r="AD5606" s="55" t="n">
        <f aca="false">IF(AC5606,IF(01_因子設定!$B$13="最大化",AA5606-01_因子設定!$B$14,IF(01_因子設定!$B$13="最小化",01_因子設定!$B$15-AB5606,MIN(AA5606-01_因子設定!$B$14,01_因子設定!$B$15-AB5606))),-1E+030)</f>
        <v>-0.119906018153877</v>
      </c>
      <c r="AE5606" s="55" t="n">
        <f aca="false">IF(AC5606,IF(01_因子設定!$B$13="最大化",X5606,IF(01_因子設定!$B$13="最小化",-X5606,-ABS(X5606-01_因子設定!$B$16))),-1E+030)</f>
        <v>47.8417077850877</v>
      </c>
      <c r="AF5606" s="55" t="n">
        <f aca="false">AD5606+ROW()*0.000000001</f>
        <v>-0.119900412153877</v>
      </c>
      <c r="AG5606" s="55" t="n">
        <f aca="false">AE5606+ROW()*0.000000001</f>
        <v>47.8417133910877</v>
      </c>
    </row>
    <row r="5607" customFormat="false" ht="15" hidden="false" customHeight="false" outlineLevel="0" collapsed="false">
      <c r="A5607" s="0" t="n">
        <v>7</v>
      </c>
      <c r="B5607" s="0" t="n">
        <v>6</v>
      </c>
      <c r="C5607" s="0" t="n">
        <v>1</v>
      </c>
      <c r="D5607" s="0" t="n">
        <v>4</v>
      </c>
      <c r="E5607" s="0" t="n">
        <f aca="false">-1+A5607*0.25</f>
        <v>0.75</v>
      </c>
      <c r="F5607" s="0" t="n">
        <f aca="false">-1+B5607*0.25</f>
        <v>0.5</v>
      </c>
      <c r="G5607" s="0" t="n">
        <f aca="false">-1+C5607*0.25</f>
        <v>-0.75</v>
      </c>
      <c r="H5607" s="0" t="n">
        <f aca="false">-1+D5607*0.25</f>
        <v>0</v>
      </c>
      <c r="I5607" s="0" t="n">
        <f aca="false">1</f>
        <v>1</v>
      </c>
      <c r="J5607" s="0" t="n">
        <f aca="false">E5607</f>
        <v>0.75</v>
      </c>
      <c r="K5607" s="0" t="n">
        <f aca="false">F5607</f>
        <v>0.5</v>
      </c>
      <c r="L5607" s="0" t="n">
        <f aca="false">G5607</f>
        <v>-0.75</v>
      </c>
      <c r="M5607" s="0" t="n">
        <f aca="false">H5607</f>
        <v>0</v>
      </c>
      <c r="N5607" s="0" t="n">
        <f aca="false">E5607*F5607</f>
        <v>0.375</v>
      </c>
      <c r="O5607" s="0" t="n">
        <f aca="false">E5607*G5607</f>
        <v>-0.5625</v>
      </c>
      <c r="P5607" s="0" t="n">
        <f aca="false">E5607*H5607</f>
        <v>0</v>
      </c>
      <c r="Q5607" s="0" t="n">
        <f aca="false">F5607*G5607</f>
        <v>-0.375</v>
      </c>
      <c r="R5607" s="0" t="n">
        <f aca="false">F5607*H5607</f>
        <v>0</v>
      </c>
      <c r="S5607" s="0" t="n">
        <f aca="false">G5607*H5607</f>
        <v>-0</v>
      </c>
      <c r="T5607" s="0" t="n">
        <f aca="false">E5607*E5607</f>
        <v>0.5625</v>
      </c>
      <c r="U5607" s="0" t="n">
        <f aca="false">F5607*F5607</f>
        <v>0.25</v>
      </c>
      <c r="V5607" s="0" t="n">
        <f aca="false">G5607*G5607</f>
        <v>0.5625</v>
      </c>
      <c r="W5607" s="0" t="n">
        <f aca="false">H5607*H5607</f>
        <v>0</v>
      </c>
      <c r="X5607" s="0" t="n">
        <f aca="false">SUMPRODUCT(I5607:W5607,_XtX!$B$96:$P$96)</f>
        <v>47.9099689327485</v>
      </c>
      <c r="Y5607" s="0" t="n">
        <f aca="false">SUMPRODUCT(MMULT(I5607:W5607,_XtX!$B$78:$P$92),I5607:W5607)</f>
        <v>0.269923873812135</v>
      </c>
      <c r="Z5607" s="0" t="n">
        <f aca="false">04_回帰ANOVA!$K$19*04_回帰ANOVA!$K$14*SQRT(1+Y5607)</f>
        <v>1.46888310825501</v>
      </c>
      <c r="AA5607" s="0" t="n">
        <f aca="false">X5607-Z5607</f>
        <v>46.4410858244935</v>
      </c>
      <c r="AB5607" s="0" t="n">
        <f aca="false">X5607+Z5607</f>
        <v>49.3788520410035</v>
      </c>
      <c r="AC5607" s="54" t="b">
        <f aca="false">AND(E5607&gt;=01_因子設定!$L$5-0.000000001,E5607&lt;=01_因子設定!$M$5+0.000000001,F5607&gt;=01_因子設定!$L$6-0.000000001,F5607&lt;=01_因子設定!$M$6+0.000000001,G5607&gt;=01_因子設定!$L$7-0.000000001,G5607&lt;=01_因子設定!$M$7+0.000000001,H5607&gt;=01_因子設定!$L$8-0.000000001,H5607&lt;=01_因子設定!$M$8+0.000000001,IF(01_因子設定!$B$20="Box-Behnken",E5607^2+F5607^2+G5607^2+H5607^2&lt;=2+0.000000001,TRUE()))</f>
        <v>1</v>
      </c>
      <c r="AD5607" s="55" t="n">
        <f aca="false">IF(AC5607,IF(01_因子設定!$B$13="最大化",AA5607-01_因子設定!$B$14,IF(01_因子設定!$B$13="最小化",01_因子設定!$B$15-AB5607,MIN(AA5607-01_因子設定!$B$14,01_因子設定!$B$15-AB5607))),-1E+030)</f>
        <v>-0.0589141755064802</v>
      </c>
      <c r="AE5607" s="55" t="n">
        <f aca="false">IF(AC5607,IF(01_因子設定!$B$13="最大化",X5607,IF(01_因子設定!$B$13="最小化",-X5607,-ABS(X5607-01_因子設定!$B$16))),-1E+030)</f>
        <v>47.9099689327485</v>
      </c>
      <c r="AF5607" s="55" t="n">
        <f aca="false">AD5607+ROW()*0.000000001</f>
        <v>-0.0589085685064802</v>
      </c>
      <c r="AG5607" s="55" t="n">
        <f aca="false">AE5607+ROW()*0.000000001</f>
        <v>47.9099745397485</v>
      </c>
    </row>
    <row r="5608" customFormat="false" ht="15" hidden="false" customHeight="false" outlineLevel="0" collapsed="false">
      <c r="A5608" s="0" t="n">
        <v>7</v>
      </c>
      <c r="B5608" s="0" t="n">
        <v>6</v>
      </c>
      <c r="C5608" s="0" t="n">
        <v>1</v>
      </c>
      <c r="D5608" s="0" t="n">
        <v>5</v>
      </c>
      <c r="E5608" s="0" t="n">
        <f aca="false">-1+A5608*0.25</f>
        <v>0.75</v>
      </c>
      <c r="F5608" s="0" t="n">
        <f aca="false">-1+B5608*0.25</f>
        <v>0.5</v>
      </c>
      <c r="G5608" s="0" t="n">
        <f aca="false">-1+C5608*0.25</f>
        <v>-0.75</v>
      </c>
      <c r="H5608" s="0" t="n">
        <f aca="false">-1+D5608*0.25</f>
        <v>0.25</v>
      </c>
      <c r="I5608" s="0" t="n">
        <f aca="false">1</f>
        <v>1</v>
      </c>
      <c r="J5608" s="0" t="n">
        <f aca="false">E5608</f>
        <v>0.75</v>
      </c>
      <c r="K5608" s="0" t="n">
        <f aca="false">F5608</f>
        <v>0.5</v>
      </c>
      <c r="L5608" s="0" t="n">
        <f aca="false">G5608</f>
        <v>-0.75</v>
      </c>
      <c r="M5608" s="0" t="n">
        <f aca="false">H5608</f>
        <v>0.25</v>
      </c>
      <c r="N5608" s="0" t="n">
        <f aca="false">E5608*F5608</f>
        <v>0.375</v>
      </c>
      <c r="O5608" s="0" t="n">
        <f aca="false">E5608*G5608</f>
        <v>-0.5625</v>
      </c>
      <c r="P5608" s="0" t="n">
        <f aca="false">E5608*H5608</f>
        <v>0.1875</v>
      </c>
      <c r="Q5608" s="0" t="n">
        <f aca="false">F5608*G5608</f>
        <v>-0.375</v>
      </c>
      <c r="R5608" s="0" t="n">
        <f aca="false">F5608*H5608</f>
        <v>0.125</v>
      </c>
      <c r="S5608" s="0" t="n">
        <f aca="false">G5608*H5608</f>
        <v>-0.1875</v>
      </c>
      <c r="T5608" s="0" t="n">
        <f aca="false">E5608*E5608</f>
        <v>0.5625</v>
      </c>
      <c r="U5608" s="0" t="n">
        <f aca="false">F5608*F5608</f>
        <v>0.25</v>
      </c>
      <c r="V5608" s="0" t="n">
        <f aca="false">G5608*G5608</f>
        <v>0.5625</v>
      </c>
      <c r="W5608" s="0" t="n">
        <f aca="false">H5608*H5608</f>
        <v>0.0625</v>
      </c>
      <c r="X5608" s="0" t="n">
        <f aca="false">SUMPRODUCT(I5608:W5608,_XtX!$B$96:$P$96)</f>
        <v>47.9304230628655</v>
      </c>
      <c r="Y5608" s="0" t="n">
        <f aca="false">SUMPRODUCT(MMULT(I5608:W5608,_XtX!$B$78:$P$92),I5608:W5608)</f>
        <v>0.257385610836988</v>
      </c>
      <c r="Z5608" s="0" t="n">
        <f aca="false">04_回帰ANOVA!$K$19*04_回帰ANOVA!$K$14*SQRT(1+Y5608)</f>
        <v>1.46161380324158</v>
      </c>
      <c r="AA5608" s="0" t="n">
        <f aca="false">X5608-Z5608</f>
        <v>46.4688092596239</v>
      </c>
      <c r="AB5608" s="0" t="n">
        <f aca="false">X5608+Z5608</f>
        <v>49.3920368661071</v>
      </c>
      <c r="AC5608" s="54" t="b">
        <f aca="false">AND(E5608&gt;=01_因子設定!$L$5-0.000000001,E5608&lt;=01_因子設定!$M$5+0.000000001,F5608&gt;=01_因子設定!$L$6-0.000000001,F5608&lt;=01_因子設定!$M$6+0.000000001,G5608&gt;=01_因子設定!$L$7-0.000000001,G5608&lt;=01_因子設定!$M$7+0.000000001,H5608&gt;=01_因子設定!$L$8-0.000000001,H5608&lt;=01_因子設定!$M$8+0.000000001,IF(01_因子設定!$B$20="Box-Behnken",E5608^2+F5608^2+G5608^2+H5608^2&lt;=2+0.000000001,TRUE()))</f>
        <v>1</v>
      </c>
      <c r="AD5608" s="55" t="n">
        <f aca="false">IF(AC5608,IF(01_因子設定!$B$13="最大化",AA5608-01_因子設定!$B$14,IF(01_因子設定!$B$13="最小化",01_因子設定!$B$15-AB5608,MIN(AA5608-01_因子設定!$B$14,01_因子設定!$B$15-AB5608))),-1E+030)</f>
        <v>-0.0311907403760969</v>
      </c>
      <c r="AE5608" s="55" t="n">
        <f aca="false">IF(AC5608,IF(01_因子設定!$B$13="最大化",X5608,IF(01_因子設定!$B$13="最小化",-X5608,-ABS(X5608-01_因子設定!$B$16))),-1E+030)</f>
        <v>47.9304230628655</v>
      </c>
      <c r="AF5608" s="55" t="n">
        <f aca="false">AD5608+ROW()*0.000000001</f>
        <v>-0.0311851323760969</v>
      </c>
      <c r="AG5608" s="55" t="n">
        <f aca="false">AE5608+ROW()*0.000000001</f>
        <v>47.9304286708655</v>
      </c>
    </row>
    <row r="5609" customFormat="false" ht="15" hidden="false" customHeight="false" outlineLevel="0" collapsed="false">
      <c r="A5609" s="0" t="n">
        <v>7</v>
      </c>
      <c r="B5609" s="0" t="n">
        <v>6</v>
      </c>
      <c r="C5609" s="0" t="n">
        <v>1</v>
      </c>
      <c r="D5609" s="0" t="n">
        <v>6</v>
      </c>
      <c r="E5609" s="0" t="n">
        <f aca="false">-1+A5609*0.25</f>
        <v>0.75</v>
      </c>
      <c r="F5609" s="0" t="n">
        <f aca="false">-1+B5609*0.25</f>
        <v>0.5</v>
      </c>
      <c r="G5609" s="0" t="n">
        <f aca="false">-1+C5609*0.25</f>
        <v>-0.75</v>
      </c>
      <c r="H5609" s="0" t="n">
        <f aca="false">-1+D5609*0.25</f>
        <v>0.5</v>
      </c>
      <c r="I5609" s="0" t="n">
        <f aca="false">1</f>
        <v>1</v>
      </c>
      <c r="J5609" s="0" t="n">
        <f aca="false">E5609</f>
        <v>0.75</v>
      </c>
      <c r="K5609" s="0" t="n">
        <f aca="false">F5609</f>
        <v>0.5</v>
      </c>
      <c r="L5609" s="0" t="n">
        <f aca="false">G5609</f>
        <v>-0.75</v>
      </c>
      <c r="M5609" s="0" t="n">
        <f aca="false">H5609</f>
        <v>0.5</v>
      </c>
      <c r="N5609" s="0" t="n">
        <f aca="false">E5609*F5609</f>
        <v>0.375</v>
      </c>
      <c r="O5609" s="0" t="n">
        <f aca="false">E5609*G5609</f>
        <v>-0.5625</v>
      </c>
      <c r="P5609" s="0" t="n">
        <f aca="false">E5609*H5609</f>
        <v>0.375</v>
      </c>
      <c r="Q5609" s="0" t="n">
        <f aca="false">F5609*G5609</f>
        <v>-0.375</v>
      </c>
      <c r="R5609" s="0" t="n">
        <f aca="false">F5609*H5609</f>
        <v>0.25</v>
      </c>
      <c r="S5609" s="0" t="n">
        <f aca="false">G5609*H5609</f>
        <v>-0.375</v>
      </c>
      <c r="T5609" s="0" t="n">
        <f aca="false">E5609*E5609</f>
        <v>0.5625</v>
      </c>
      <c r="U5609" s="0" t="n">
        <f aca="false">F5609*F5609</f>
        <v>0.25</v>
      </c>
      <c r="V5609" s="0" t="n">
        <f aca="false">G5609*G5609</f>
        <v>0.5625</v>
      </c>
      <c r="W5609" s="0" t="n">
        <f aca="false">H5609*H5609</f>
        <v>0.25</v>
      </c>
      <c r="X5609" s="0" t="n">
        <f aca="false">SUMPRODUCT(I5609:W5609,_XtX!$B$96:$P$96)</f>
        <v>47.9030701754386</v>
      </c>
      <c r="Y5609" s="0" t="n">
        <f aca="false">SUMPRODUCT(MMULT(I5609:W5609,_XtX!$B$78:$P$92),I5609:W5609)</f>
        <v>0.237862927174708</v>
      </c>
      <c r="Z5609" s="0" t="n">
        <f aca="false">04_回帰ANOVA!$K$19*04_回帰ANOVA!$K$14*SQRT(1+Y5609)</f>
        <v>1.45022260708756</v>
      </c>
      <c r="AA5609" s="0" t="n">
        <f aca="false">X5609-Z5609</f>
        <v>46.452847568351</v>
      </c>
      <c r="AB5609" s="0" t="n">
        <f aca="false">X5609+Z5609</f>
        <v>49.3532927825262</v>
      </c>
      <c r="AC5609" s="54" t="b">
        <f aca="false">AND(E5609&gt;=01_因子設定!$L$5-0.000000001,E5609&lt;=01_因子設定!$M$5+0.000000001,F5609&gt;=01_因子設定!$L$6-0.000000001,F5609&lt;=01_因子設定!$M$6+0.000000001,G5609&gt;=01_因子設定!$L$7-0.000000001,G5609&lt;=01_因子設定!$M$7+0.000000001,H5609&gt;=01_因子設定!$L$8-0.000000001,H5609&lt;=01_因子設定!$M$8+0.000000001,IF(01_因子設定!$B$20="Box-Behnken",E5609^2+F5609^2+G5609^2+H5609^2&lt;=2+0.000000001,TRUE()))</f>
        <v>1</v>
      </c>
      <c r="AD5609" s="55" t="n">
        <f aca="false">IF(AC5609,IF(01_因子設定!$B$13="最大化",AA5609-01_因子設定!$B$14,IF(01_因子設定!$B$13="最小化",01_因子設定!$B$15-AB5609,MIN(AA5609-01_因子設定!$B$14,01_因子設定!$B$15-AB5609))),-1E+030)</f>
        <v>-0.0471524316489678</v>
      </c>
      <c r="AE5609" s="55" t="n">
        <f aca="false">IF(AC5609,IF(01_因子設定!$B$13="最大化",X5609,IF(01_因子設定!$B$13="最小化",-X5609,-ABS(X5609-01_因子設定!$B$16))),-1E+030)</f>
        <v>47.9030701754386</v>
      </c>
      <c r="AF5609" s="55" t="n">
        <f aca="false">AD5609+ROW()*0.000000001</f>
        <v>-0.0471468226489678</v>
      </c>
      <c r="AG5609" s="55" t="n">
        <f aca="false">AE5609+ROW()*0.000000001</f>
        <v>47.9030757844386</v>
      </c>
    </row>
    <row r="5610" customFormat="false" ht="15" hidden="false" customHeight="false" outlineLevel="0" collapsed="false">
      <c r="A5610" s="0" t="n">
        <v>7</v>
      </c>
      <c r="B5610" s="0" t="n">
        <v>6</v>
      </c>
      <c r="C5610" s="0" t="n">
        <v>1</v>
      </c>
      <c r="D5610" s="0" t="n">
        <v>7</v>
      </c>
      <c r="E5610" s="0" t="n">
        <f aca="false">-1+A5610*0.25</f>
        <v>0.75</v>
      </c>
      <c r="F5610" s="0" t="n">
        <f aca="false">-1+B5610*0.25</f>
        <v>0.5</v>
      </c>
      <c r="G5610" s="0" t="n">
        <f aca="false">-1+C5610*0.25</f>
        <v>-0.75</v>
      </c>
      <c r="H5610" s="0" t="n">
        <f aca="false">-1+D5610*0.25</f>
        <v>0.75</v>
      </c>
      <c r="I5610" s="0" t="n">
        <f aca="false">1</f>
        <v>1</v>
      </c>
      <c r="J5610" s="0" t="n">
        <f aca="false">E5610</f>
        <v>0.75</v>
      </c>
      <c r="K5610" s="0" t="n">
        <f aca="false">F5610</f>
        <v>0.5</v>
      </c>
      <c r="L5610" s="0" t="n">
        <f aca="false">G5610</f>
        <v>-0.75</v>
      </c>
      <c r="M5610" s="0" t="n">
        <f aca="false">H5610</f>
        <v>0.75</v>
      </c>
      <c r="N5610" s="0" t="n">
        <f aca="false">E5610*F5610</f>
        <v>0.375</v>
      </c>
      <c r="O5610" s="0" t="n">
        <f aca="false">E5610*G5610</f>
        <v>-0.5625</v>
      </c>
      <c r="P5610" s="0" t="n">
        <f aca="false">E5610*H5610</f>
        <v>0.5625</v>
      </c>
      <c r="Q5610" s="0" t="n">
        <f aca="false">F5610*G5610</f>
        <v>-0.375</v>
      </c>
      <c r="R5610" s="0" t="n">
        <f aca="false">F5610*H5610</f>
        <v>0.375</v>
      </c>
      <c r="S5610" s="0" t="n">
        <f aca="false">G5610*H5610</f>
        <v>-0.5625</v>
      </c>
      <c r="T5610" s="0" t="n">
        <f aca="false">E5610*E5610</f>
        <v>0.5625</v>
      </c>
      <c r="U5610" s="0" t="n">
        <f aca="false">F5610*F5610</f>
        <v>0.25</v>
      </c>
      <c r="V5610" s="0" t="n">
        <f aca="false">G5610*G5610</f>
        <v>0.5625</v>
      </c>
      <c r="W5610" s="0" t="n">
        <f aca="false">H5610*H5610</f>
        <v>0.5625</v>
      </c>
      <c r="X5610" s="0" t="n">
        <f aca="false">SUMPRODUCT(I5610:W5610,_XtX!$B$96:$P$96)</f>
        <v>47.8279102704679</v>
      </c>
      <c r="Y5610" s="0" t="n">
        <f aca="false">SUMPRODUCT(MMULT(I5610:W5610,_XtX!$B$78:$P$92),I5610:W5610)</f>
        <v>0.265632138614766</v>
      </c>
      <c r="Z5610" s="0" t="n">
        <f aca="false">04_回帰ANOVA!$K$19*04_回帰ANOVA!$K$14*SQRT(1+Y5610)</f>
        <v>1.46639894654257</v>
      </c>
      <c r="AA5610" s="0" t="n">
        <f aca="false">X5610-Z5610</f>
        <v>46.3615113239253</v>
      </c>
      <c r="AB5610" s="0" t="n">
        <f aca="false">X5610+Z5610</f>
        <v>49.2943092170104</v>
      </c>
      <c r="AC5610" s="54" t="b">
        <f aca="false">AND(E5610&gt;=01_因子設定!$L$5-0.000000001,E5610&lt;=01_因子設定!$M$5+0.000000001,F5610&gt;=01_因子設定!$L$6-0.000000001,F5610&lt;=01_因子設定!$M$6+0.000000001,G5610&gt;=01_因子設定!$L$7-0.000000001,G5610&lt;=01_因子設定!$M$7+0.000000001,H5610&gt;=01_因子設定!$L$8-0.000000001,H5610&lt;=01_因子設定!$M$8+0.000000001,IF(01_因子設定!$B$20="Box-Behnken",E5610^2+F5610^2+G5610^2+H5610^2&lt;=2+0.000000001,TRUE()))</f>
        <v>1</v>
      </c>
      <c r="AD5610" s="55" t="n">
        <f aca="false">IF(AC5610,IF(01_因子設定!$B$13="最大化",AA5610-01_因子設定!$B$14,IF(01_因子設定!$B$13="最小化",01_因子設定!$B$15-AB5610,MIN(AA5610-01_因子設定!$B$14,01_因子設定!$B$15-AB5610))),-1E+030)</f>
        <v>-0.138488676074729</v>
      </c>
      <c r="AE5610" s="55" t="n">
        <f aca="false">IF(AC5610,IF(01_因子設定!$B$13="最大化",X5610,IF(01_因子設定!$B$13="最小化",-X5610,-ABS(X5610-01_因子設定!$B$16))),-1E+030)</f>
        <v>47.8279102704679</v>
      </c>
      <c r="AF5610" s="55" t="n">
        <f aca="false">AD5610+ROW()*0.000000001</f>
        <v>-0.138483066074729</v>
      </c>
      <c r="AG5610" s="55" t="n">
        <f aca="false">AE5610+ROW()*0.000000001</f>
        <v>47.8279158804679</v>
      </c>
    </row>
    <row r="5611" customFormat="false" ht="15" hidden="false" customHeight="false" outlineLevel="0" collapsed="false">
      <c r="A5611" s="0" t="n">
        <v>7</v>
      </c>
      <c r="B5611" s="0" t="n">
        <v>6</v>
      </c>
      <c r="C5611" s="0" t="n">
        <v>1</v>
      </c>
      <c r="D5611" s="0" t="n">
        <v>8</v>
      </c>
      <c r="E5611" s="0" t="n">
        <f aca="false">-1+A5611*0.25</f>
        <v>0.75</v>
      </c>
      <c r="F5611" s="0" t="n">
        <f aca="false">-1+B5611*0.25</f>
        <v>0.5</v>
      </c>
      <c r="G5611" s="0" t="n">
        <f aca="false">-1+C5611*0.25</f>
        <v>-0.75</v>
      </c>
      <c r="H5611" s="0" t="n">
        <f aca="false">-1+D5611*0.25</f>
        <v>1</v>
      </c>
      <c r="I5611" s="0" t="n">
        <f aca="false">1</f>
        <v>1</v>
      </c>
      <c r="J5611" s="0" t="n">
        <f aca="false">E5611</f>
        <v>0.75</v>
      </c>
      <c r="K5611" s="0" t="n">
        <f aca="false">F5611</f>
        <v>0.5</v>
      </c>
      <c r="L5611" s="0" t="n">
        <f aca="false">G5611</f>
        <v>-0.75</v>
      </c>
      <c r="M5611" s="0" t="n">
        <f aca="false">H5611</f>
        <v>1</v>
      </c>
      <c r="N5611" s="0" t="n">
        <f aca="false">E5611*F5611</f>
        <v>0.375</v>
      </c>
      <c r="O5611" s="0" t="n">
        <f aca="false">E5611*G5611</f>
        <v>-0.5625</v>
      </c>
      <c r="P5611" s="0" t="n">
        <f aca="false">E5611*H5611</f>
        <v>0.75</v>
      </c>
      <c r="Q5611" s="0" t="n">
        <f aca="false">F5611*G5611</f>
        <v>-0.375</v>
      </c>
      <c r="R5611" s="0" t="n">
        <f aca="false">F5611*H5611</f>
        <v>0.5</v>
      </c>
      <c r="S5611" s="0" t="n">
        <f aca="false">G5611*H5611</f>
        <v>-0.75</v>
      </c>
      <c r="T5611" s="0" t="n">
        <f aca="false">E5611*E5611</f>
        <v>0.5625</v>
      </c>
      <c r="U5611" s="0" t="n">
        <f aca="false">F5611*F5611</f>
        <v>0.25</v>
      </c>
      <c r="V5611" s="0" t="n">
        <f aca="false">G5611*G5611</f>
        <v>0.5625</v>
      </c>
      <c r="W5611" s="0" t="n">
        <f aca="false">H5611*H5611</f>
        <v>1</v>
      </c>
      <c r="X5611" s="0" t="n">
        <f aca="false">SUMPRODUCT(I5611:W5611,_XtX!$B$96:$P$96)</f>
        <v>47.7049433479532</v>
      </c>
      <c r="Y5611" s="0" t="n">
        <f aca="false">SUMPRODUCT(MMULT(I5611:W5611,_XtX!$B$78:$P$92),I5611:W5611)</f>
        <v>0.431153771472953</v>
      </c>
      <c r="Z5611" s="0" t="n">
        <f aca="false">04_回帰ANOVA!$K$19*04_回帰ANOVA!$K$14*SQRT(1+Y5611)</f>
        <v>1.55934259562563</v>
      </c>
      <c r="AA5611" s="0" t="n">
        <f aca="false">X5611-Z5611</f>
        <v>46.1456007523276</v>
      </c>
      <c r="AB5611" s="0" t="n">
        <f aca="false">X5611+Z5611</f>
        <v>49.2642859435789</v>
      </c>
      <c r="AC5611" s="54" t="b">
        <f aca="false">AND(E5611&gt;=01_因子設定!$L$5-0.000000001,E5611&lt;=01_因子設定!$M$5+0.000000001,F5611&gt;=01_因子設定!$L$6-0.000000001,F5611&lt;=01_因子設定!$M$6+0.000000001,G5611&gt;=01_因子設定!$L$7-0.000000001,G5611&lt;=01_因子設定!$M$7+0.000000001,H5611&gt;=01_因子設定!$L$8-0.000000001,H5611&lt;=01_因子設定!$M$8+0.000000001,IF(01_因子設定!$B$20="Box-Behnken",E5611^2+F5611^2+G5611^2+H5611^2&lt;=2+0.000000001,TRUE()))</f>
        <v>1</v>
      </c>
      <c r="AD5611" s="55" t="n">
        <f aca="false">IF(AC5611,IF(01_因子設定!$B$13="最大化",AA5611-01_因子設定!$B$14,IF(01_因子設定!$B$13="最小化",01_因子設定!$B$15-AB5611,MIN(AA5611-01_因子設定!$B$14,01_因子設定!$B$15-AB5611))),-1E+030)</f>
        <v>-0.35439924767239</v>
      </c>
      <c r="AE5611" s="55" t="n">
        <f aca="false">IF(AC5611,IF(01_因子設定!$B$13="最大化",X5611,IF(01_因子設定!$B$13="最小化",-X5611,-ABS(X5611-01_因子設定!$B$16))),-1E+030)</f>
        <v>47.7049433479532</v>
      </c>
      <c r="AF5611" s="55" t="n">
        <f aca="false">AD5611+ROW()*0.000000001</f>
        <v>-0.35439363667239</v>
      </c>
      <c r="AG5611" s="55" t="n">
        <f aca="false">AE5611+ROW()*0.000000001</f>
        <v>47.7049489589532</v>
      </c>
    </row>
    <row r="5612" customFormat="false" ht="15" hidden="false" customHeight="false" outlineLevel="0" collapsed="false">
      <c r="A5612" s="0" t="n">
        <v>7</v>
      </c>
      <c r="B5612" s="0" t="n">
        <v>6</v>
      </c>
      <c r="C5612" s="0" t="n">
        <v>2</v>
      </c>
      <c r="D5612" s="0" t="n">
        <v>0</v>
      </c>
      <c r="E5612" s="0" t="n">
        <f aca="false">-1+A5612*0.25</f>
        <v>0.75</v>
      </c>
      <c r="F5612" s="0" t="n">
        <f aca="false">-1+B5612*0.25</f>
        <v>0.5</v>
      </c>
      <c r="G5612" s="0" t="n">
        <f aca="false">-1+C5612*0.25</f>
        <v>-0.5</v>
      </c>
      <c r="H5612" s="0" t="n">
        <f aca="false">-1+D5612*0.25</f>
        <v>-1</v>
      </c>
      <c r="I5612" s="0" t="n">
        <f aca="false">1</f>
        <v>1</v>
      </c>
      <c r="J5612" s="0" t="n">
        <f aca="false">E5612</f>
        <v>0.75</v>
      </c>
      <c r="K5612" s="0" t="n">
        <f aca="false">F5612</f>
        <v>0.5</v>
      </c>
      <c r="L5612" s="0" t="n">
        <f aca="false">G5612</f>
        <v>-0.5</v>
      </c>
      <c r="M5612" s="0" t="n">
        <f aca="false">H5612</f>
        <v>-1</v>
      </c>
      <c r="N5612" s="0" t="n">
        <f aca="false">E5612*F5612</f>
        <v>0.375</v>
      </c>
      <c r="O5612" s="0" t="n">
        <f aca="false">E5612*G5612</f>
        <v>-0.375</v>
      </c>
      <c r="P5612" s="0" t="n">
        <f aca="false">E5612*H5612</f>
        <v>-0.75</v>
      </c>
      <c r="Q5612" s="0" t="n">
        <f aca="false">F5612*G5612</f>
        <v>-0.25</v>
      </c>
      <c r="R5612" s="0" t="n">
        <f aca="false">F5612*H5612</f>
        <v>-0.5</v>
      </c>
      <c r="S5612" s="0" t="n">
        <f aca="false">G5612*H5612</f>
        <v>0.5</v>
      </c>
      <c r="T5612" s="0" t="n">
        <f aca="false">E5612*E5612</f>
        <v>0.5625</v>
      </c>
      <c r="U5612" s="0" t="n">
        <f aca="false">F5612*F5612</f>
        <v>0.25</v>
      </c>
      <c r="V5612" s="0" t="n">
        <f aca="false">G5612*G5612</f>
        <v>0.25</v>
      </c>
      <c r="W5612" s="0" t="n">
        <f aca="false">H5612*H5612</f>
        <v>1</v>
      </c>
      <c r="X5612" s="0" t="n">
        <f aca="false">SUMPRODUCT(I5612:W5612,_XtX!$B$96:$P$96)</f>
        <v>47.6544956140351</v>
      </c>
      <c r="Y5612" s="0" t="n">
        <f aca="false">SUMPRODUCT(MMULT(I5612:W5612,_XtX!$B$78:$P$92),I5612:W5612)</f>
        <v>0.42602110745614</v>
      </c>
      <c r="Z5612" s="0" t="n">
        <f aca="false">04_回帰ANOVA!$K$19*04_回帰ANOVA!$K$14*SQRT(1+Y5612)</f>
        <v>1.55654388501114</v>
      </c>
      <c r="AA5612" s="0" t="n">
        <f aca="false">X5612-Z5612</f>
        <v>46.097951729024</v>
      </c>
      <c r="AB5612" s="0" t="n">
        <f aca="false">X5612+Z5612</f>
        <v>49.2110394990463</v>
      </c>
      <c r="AC5612" s="54" t="b">
        <f aca="false">AND(E5612&gt;=01_因子設定!$L$5-0.000000001,E5612&lt;=01_因子設定!$M$5+0.000000001,F5612&gt;=01_因子設定!$L$6-0.000000001,F5612&lt;=01_因子設定!$M$6+0.000000001,G5612&gt;=01_因子設定!$L$7-0.000000001,G5612&lt;=01_因子設定!$M$7+0.000000001,H5612&gt;=01_因子設定!$L$8-0.000000001,H5612&lt;=01_因子設定!$M$8+0.000000001,IF(01_因子設定!$B$20="Box-Behnken",E5612^2+F5612^2+G5612^2+H5612^2&lt;=2+0.000000001,TRUE()))</f>
        <v>1</v>
      </c>
      <c r="AD5612" s="55" t="n">
        <f aca="false">IF(AC5612,IF(01_因子設定!$B$13="最大化",AA5612-01_因子設定!$B$14,IF(01_因子設定!$B$13="最小化",01_因子設定!$B$15-AB5612,MIN(AA5612-01_因子設定!$B$14,01_因子設定!$B$15-AB5612))),-1E+030)</f>
        <v>-0.402048270976024</v>
      </c>
      <c r="AE5612" s="55" t="n">
        <f aca="false">IF(AC5612,IF(01_因子設定!$B$13="最大化",X5612,IF(01_因子設定!$B$13="最小化",-X5612,-ABS(X5612-01_因子設定!$B$16))),-1E+030)</f>
        <v>47.6544956140351</v>
      </c>
      <c r="AF5612" s="55" t="n">
        <f aca="false">AD5612+ROW()*0.000000001</f>
        <v>-0.402042658976025</v>
      </c>
      <c r="AG5612" s="55" t="n">
        <f aca="false">AE5612+ROW()*0.000000001</f>
        <v>47.6545012260351</v>
      </c>
    </row>
    <row r="5613" customFormat="false" ht="15" hidden="false" customHeight="false" outlineLevel="0" collapsed="false">
      <c r="A5613" s="0" t="n">
        <v>7</v>
      </c>
      <c r="B5613" s="0" t="n">
        <v>6</v>
      </c>
      <c r="C5613" s="0" t="n">
        <v>2</v>
      </c>
      <c r="D5613" s="0" t="n">
        <v>1</v>
      </c>
      <c r="E5613" s="0" t="n">
        <f aca="false">-1+A5613*0.25</f>
        <v>0.75</v>
      </c>
      <c r="F5613" s="0" t="n">
        <f aca="false">-1+B5613*0.25</f>
        <v>0.5</v>
      </c>
      <c r="G5613" s="0" t="n">
        <f aca="false">-1+C5613*0.25</f>
        <v>-0.5</v>
      </c>
      <c r="H5613" s="0" t="n">
        <f aca="false">-1+D5613*0.25</f>
        <v>-0.75</v>
      </c>
      <c r="I5613" s="0" t="n">
        <f aca="false">1</f>
        <v>1</v>
      </c>
      <c r="J5613" s="0" t="n">
        <f aca="false">E5613</f>
        <v>0.75</v>
      </c>
      <c r="K5613" s="0" t="n">
        <f aca="false">F5613</f>
        <v>0.5</v>
      </c>
      <c r="L5613" s="0" t="n">
        <f aca="false">G5613</f>
        <v>-0.5</v>
      </c>
      <c r="M5613" s="0" t="n">
        <f aca="false">H5613</f>
        <v>-0.75</v>
      </c>
      <c r="N5613" s="0" t="n">
        <f aca="false">E5613*F5613</f>
        <v>0.375</v>
      </c>
      <c r="O5613" s="0" t="n">
        <f aca="false">E5613*G5613</f>
        <v>-0.375</v>
      </c>
      <c r="P5613" s="0" t="n">
        <f aca="false">E5613*H5613</f>
        <v>-0.5625</v>
      </c>
      <c r="Q5613" s="0" t="n">
        <f aca="false">F5613*G5613</f>
        <v>-0.25</v>
      </c>
      <c r="R5613" s="0" t="n">
        <f aca="false">F5613*H5613</f>
        <v>-0.375</v>
      </c>
      <c r="S5613" s="0" t="n">
        <f aca="false">G5613*H5613</f>
        <v>0.375</v>
      </c>
      <c r="T5613" s="0" t="n">
        <f aca="false">E5613*E5613</f>
        <v>0.5625</v>
      </c>
      <c r="U5613" s="0" t="n">
        <f aca="false">F5613*F5613</f>
        <v>0.25</v>
      </c>
      <c r="V5613" s="0" t="n">
        <f aca="false">G5613*G5613</f>
        <v>0.25</v>
      </c>
      <c r="W5613" s="0" t="n">
        <f aca="false">H5613*H5613</f>
        <v>0.5625</v>
      </c>
      <c r="X5613" s="0" t="n">
        <f aca="false">SUMPRODUCT(I5613:W5613,_XtX!$B$96:$P$96)</f>
        <v>47.8841465643275</v>
      </c>
      <c r="Y5613" s="0" t="n">
        <f aca="false">SUMPRODUCT(MMULT(I5613:W5613,_XtX!$B$78:$P$92),I5613:W5613)</f>
        <v>0.237862927174708</v>
      </c>
      <c r="Z5613" s="0" t="n">
        <f aca="false">04_回帰ANOVA!$K$19*04_回帰ANOVA!$K$14*SQRT(1+Y5613)</f>
        <v>1.45022260708756</v>
      </c>
      <c r="AA5613" s="0" t="n">
        <f aca="false">X5613-Z5613</f>
        <v>46.4339239572399</v>
      </c>
      <c r="AB5613" s="0" t="n">
        <f aca="false">X5613+Z5613</f>
        <v>49.3343691714151</v>
      </c>
      <c r="AC5613" s="54" t="b">
        <f aca="false">AND(E5613&gt;=01_因子設定!$L$5-0.000000001,E5613&lt;=01_因子設定!$M$5+0.000000001,F5613&gt;=01_因子設定!$L$6-0.000000001,F5613&lt;=01_因子設定!$M$6+0.000000001,G5613&gt;=01_因子設定!$L$7-0.000000001,G5613&lt;=01_因子設定!$M$7+0.000000001,H5613&gt;=01_因子設定!$L$8-0.000000001,H5613&lt;=01_因子設定!$M$8+0.000000001,IF(01_因子設定!$B$20="Box-Behnken",E5613^2+F5613^2+G5613^2+H5613^2&lt;=2+0.000000001,TRUE()))</f>
        <v>1</v>
      </c>
      <c r="AD5613" s="55" t="n">
        <f aca="false">IF(AC5613,IF(01_因子設定!$B$13="最大化",AA5613-01_因子設定!$B$14,IF(01_因子設定!$B$13="最小化",01_因子設定!$B$15-AB5613,MIN(AA5613-01_因子設定!$B$14,01_因子設定!$B$15-AB5613))),-1E+030)</f>
        <v>-0.0660760427600664</v>
      </c>
      <c r="AE5613" s="55" t="n">
        <f aca="false">IF(AC5613,IF(01_因子設定!$B$13="最大化",X5613,IF(01_因子設定!$B$13="最小化",-X5613,-ABS(X5613-01_因子設定!$B$16))),-1E+030)</f>
        <v>47.8841465643275</v>
      </c>
      <c r="AF5613" s="55" t="n">
        <f aca="false">AD5613+ROW()*0.000000001</f>
        <v>-0.0660704297600664</v>
      </c>
      <c r="AG5613" s="55" t="n">
        <f aca="false">AE5613+ROW()*0.000000001</f>
        <v>47.8841521773275</v>
      </c>
    </row>
    <row r="5614" customFormat="false" ht="15" hidden="false" customHeight="false" outlineLevel="0" collapsed="false">
      <c r="A5614" s="0" t="n">
        <v>7</v>
      </c>
      <c r="B5614" s="0" t="n">
        <v>6</v>
      </c>
      <c r="C5614" s="0" t="n">
        <v>2</v>
      </c>
      <c r="D5614" s="0" t="n">
        <v>2</v>
      </c>
      <c r="E5614" s="0" t="n">
        <f aca="false">-1+A5614*0.25</f>
        <v>0.75</v>
      </c>
      <c r="F5614" s="0" t="n">
        <f aca="false">-1+B5614*0.25</f>
        <v>0.5</v>
      </c>
      <c r="G5614" s="0" t="n">
        <f aca="false">-1+C5614*0.25</f>
        <v>-0.5</v>
      </c>
      <c r="H5614" s="0" t="n">
        <f aca="false">-1+D5614*0.25</f>
        <v>-0.5</v>
      </c>
      <c r="I5614" s="0" t="n">
        <f aca="false">1</f>
        <v>1</v>
      </c>
      <c r="J5614" s="0" t="n">
        <f aca="false">E5614</f>
        <v>0.75</v>
      </c>
      <c r="K5614" s="0" t="n">
        <f aca="false">F5614</f>
        <v>0.5</v>
      </c>
      <c r="L5614" s="0" t="n">
        <f aca="false">G5614</f>
        <v>-0.5</v>
      </c>
      <c r="M5614" s="0" t="n">
        <f aca="false">H5614</f>
        <v>-0.5</v>
      </c>
      <c r="N5614" s="0" t="n">
        <f aca="false">E5614*F5614</f>
        <v>0.375</v>
      </c>
      <c r="O5614" s="0" t="n">
        <f aca="false">E5614*G5614</f>
        <v>-0.375</v>
      </c>
      <c r="P5614" s="0" t="n">
        <f aca="false">E5614*H5614</f>
        <v>-0.375</v>
      </c>
      <c r="Q5614" s="0" t="n">
        <f aca="false">F5614*G5614</f>
        <v>-0.25</v>
      </c>
      <c r="R5614" s="0" t="n">
        <f aca="false">F5614*H5614</f>
        <v>-0.25</v>
      </c>
      <c r="S5614" s="0" t="n">
        <f aca="false">G5614*H5614</f>
        <v>0.25</v>
      </c>
      <c r="T5614" s="0" t="n">
        <f aca="false">E5614*E5614</f>
        <v>0.5625</v>
      </c>
      <c r="U5614" s="0" t="n">
        <f aca="false">F5614*F5614</f>
        <v>0.25</v>
      </c>
      <c r="V5614" s="0" t="n">
        <f aca="false">G5614*G5614</f>
        <v>0.25</v>
      </c>
      <c r="W5614" s="0" t="n">
        <f aca="false">H5614*H5614</f>
        <v>0.25</v>
      </c>
      <c r="X5614" s="0" t="n">
        <f aca="false">SUMPRODUCT(I5614:W5614,_XtX!$B$96:$P$96)</f>
        <v>48.065990497076</v>
      </c>
      <c r="Y5614" s="0" t="n">
        <f aca="false">SUMPRODUCT(MMULT(I5614:W5614,_XtX!$B$78:$P$92),I5614:W5614)</f>
        <v>0.193924753289474</v>
      </c>
      <c r="Z5614" s="0" t="n">
        <f aca="false">04_回帰ANOVA!$K$19*04_回帰ANOVA!$K$14*SQRT(1+Y5614)</f>
        <v>1.4242521079916</v>
      </c>
      <c r="AA5614" s="0" t="n">
        <f aca="false">X5614-Z5614</f>
        <v>46.6417383890844</v>
      </c>
      <c r="AB5614" s="0" t="n">
        <f aca="false">X5614+Z5614</f>
        <v>49.4902426050676</v>
      </c>
      <c r="AC5614" s="54" t="b">
        <f aca="false">AND(E5614&gt;=01_因子設定!$L$5-0.000000001,E5614&lt;=01_因子設定!$M$5+0.000000001,F5614&gt;=01_因子設定!$L$6-0.000000001,F5614&lt;=01_因子設定!$M$6+0.000000001,G5614&gt;=01_因子設定!$L$7-0.000000001,G5614&lt;=01_因子設定!$M$7+0.000000001,H5614&gt;=01_因子設定!$L$8-0.000000001,H5614&lt;=01_因子設定!$M$8+0.000000001,IF(01_因子設定!$B$20="Box-Behnken",E5614^2+F5614^2+G5614^2+H5614^2&lt;=2+0.000000001,TRUE()))</f>
        <v>1</v>
      </c>
      <c r="AD5614" s="55" t="n">
        <f aca="false">IF(AC5614,IF(01_因子設定!$B$13="最大化",AA5614-01_因子設定!$B$14,IF(01_因子設定!$B$13="最小化",01_因子設定!$B$15-AB5614,MIN(AA5614-01_因子設定!$B$14,01_因子設定!$B$15-AB5614))),-1E+030)</f>
        <v>0.141738389084416</v>
      </c>
      <c r="AE5614" s="55" t="n">
        <f aca="false">IF(AC5614,IF(01_因子設定!$B$13="最大化",X5614,IF(01_因子設定!$B$13="最小化",-X5614,-ABS(X5614-01_因子設定!$B$16))),-1E+030)</f>
        <v>48.065990497076</v>
      </c>
      <c r="AF5614" s="55" t="n">
        <f aca="false">AD5614+ROW()*0.000000001</f>
        <v>0.141744003084416</v>
      </c>
      <c r="AG5614" s="55" t="n">
        <f aca="false">AE5614+ROW()*0.000000001</f>
        <v>48.065996111076</v>
      </c>
    </row>
    <row r="5615" customFormat="false" ht="15" hidden="false" customHeight="false" outlineLevel="0" collapsed="false">
      <c r="A5615" s="0" t="n">
        <v>7</v>
      </c>
      <c r="B5615" s="0" t="n">
        <v>6</v>
      </c>
      <c r="C5615" s="0" t="n">
        <v>2</v>
      </c>
      <c r="D5615" s="0" t="n">
        <v>3</v>
      </c>
      <c r="E5615" s="0" t="n">
        <f aca="false">-1+A5615*0.25</f>
        <v>0.75</v>
      </c>
      <c r="F5615" s="0" t="n">
        <f aca="false">-1+B5615*0.25</f>
        <v>0.5</v>
      </c>
      <c r="G5615" s="0" t="n">
        <f aca="false">-1+C5615*0.25</f>
        <v>-0.5</v>
      </c>
      <c r="H5615" s="0" t="n">
        <f aca="false">-1+D5615*0.25</f>
        <v>-0.25</v>
      </c>
      <c r="I5615" s="0" t="n">
        <f aca="false">1</f>
        <v>1</v>
      </c>
      <c r="J5615" s="0" t="n">
        <f aca="false">E5615</f>
        <v>0.75</v>
      </c>
      <c r="K5615" s="0" t="n">
        <f aca="false">F5615</f>
        <v>0.5</v>
      </c>
      <c r="L5615" s="0" t="n">
        <f aca="false">G5615</f>
        <v>-0.5</v>
      </c>
      <c r="M5615" s="0" t="n">
        <f aca="false">H5615</f>
        <v>-0.25</v>
      </c>
      <c r="N5615" s="0" t="n">
        <f aca="false">E5615*F5615</f>
        <v>0.375</v>
      </c>
      <c r="O5615" s="0" t="n">
        <f aca="false">E5615*G5615</f>
        <v>-0.375</v>
      </c>
      <c r="P5615" s="0" t="n">
        <f aca="false">E5615*H5615</f>
        <v>-0.1875</v>
      </c>
      <c r="Q5615" s="0" t="n">
        <f aca="false">F5615*G5615</f>
        <v>-0.25</v>
      </c>
      <c r="R5615" s="0" t="n">
        <f aca="false">F5615*H5615</f>
        <v>-0.125</v>
      </c>
      <c r="S5615" s="0" t="n">
        <f aca="false">G5615*H5615</f>
        <v>0.125</v>
      </c>
      <c r="T5615" s="0" t="n">
        <f aca="false">E5615*E5615</f>
        <v>0.5625</v>
      </c>
      <c r="U5615" s="0" t="n">
        <f aca="false">F5615*F5615</f>
        <v>0.25</v>
      </c>
      <c r="V5615" s="0" t="n">
        <f aca="false">G5615*G5615</f>
        <v>0.25</v>
      </c>
      <c r="W5615" s="0" t="n">
        <f aca="false">H5615*H5615</f>
        <v>0.0625</v>
      </c>
      <c r="X5615" s="0" t="n">
        <f aca="false">SUMPRODUCT(I5615:W5615,_XtX!$B$96:$P$96)</f>
        <v>48.2000274122807</v>
      </c>
      <c r="Y5615" s="0" t="n">
        <f aca="false">SUMPRODUCT(MMULT(I5615:W5615,_XtX!$B$78:$P$92),I5615:W5615)</f>
        <v>0.203746059484649</v>
      </c>
      <c r="Z5615" s="0" t="n">
        <f aca="false">04_回帰ANOVA!$K$19*04_回帰ANOVA!$K$14*SQRT(1+Y5615)</f>
        <v>1.43009810755465</v>
      </c>
      <c r="AA5615" s="0" t="n">
        <f aca="false">X5615-Z5615</f>
        <v>46.769929304726</v>
      </c>
      <c r="AB5615" s="0" t="n">
        <f aca="false">X5615+Z5615</f>
        <v>49.6301255198353</v>
      </c>
      <c r="AC5615" s="54" t="b">
        <f aca="false">AND(E5615&gt;=01_因子設定!$L$5-0.000000001,E5615&lt;=01_因子設定!$M$5+0.000000001,F5615&gt;=01_因子設定!$L$6-0.000000001,F5615&lt;=01_因子設定!$M$6+0.000000001,G5615&gt;=01_因子設定!$L$7-0.000000001,G5615&lt;=01_因子設定!$M$7+0.000000001,H5615&gt;=01_因子設定!$L$8-0.000000001,H5615&lt;=01_因子設定!$M$8+0.000000001,IF(01_因子設定!$B$20="Box-Behnken",E5615^2+F5615^2+G5615^2+H5615^2&lt;=2+0.000000001,TRUE()))</f>
        <v>1</v>
      </c>
      <c r="AD5615" s="55" t="n">
        <f aca="false">IF(AC5615,IF(01_因子設定!$B$13="最大化",AA5615-01_因子設定!$B$14,IF(01_因子設定!$B$13="最小化",01_因子設定!$B$15-AB5615,MIN(AA5615-01_因子設定!$B$14,01_因子設定!$B$15-AB5615))),-1E+030)</f>
        <v>0.269929304726041</v>
      </c>
      <c r="AE5615" s="55" t="n">
        <f aca="false">IF(AC5615,IF(01_因子設定!$B$13="最大化",X5615,IF(01_因子設定!$B$13="最小化",-X5615,-ABS(X5615-01_因子設定!$B$16))),-1E+030)</f>
        <v>48.2000274122807</v>
      </c>
      <c r="AF5615" s="55" t="n">
        <f aca="false">AD5615+ROW()*0.000000001</f>
        <v>0.269934919726041</v>
      </c>
      <c r="AG5615" s="55" t="n">
        <f aca="false">AE5615+ROW()*0.000000001</f>
        <v>48.2000330272807</v>
      </c>
    </row>
    <row r="5616" customFormat="false" ht="15" hidden="false" customHeight="false" outlineLevel="0" collapsed="false">
      <c r="A5616" s="0" t="n">
        <v>7</v>
      </c>
      <c r="B5616" s="0" t="n">
        <v>6</v>
      </c>
      <c r="C5616" s="0" t="n">
        <v>2</v>
      </c>
      <c r="D5616" s="0" t="n">
        <v>4</v>
      </c>
      <c r="E5616" s="0" t="n">
        <f aca="false">-1+A5616*0.25</f>
        <v>0.75</v>
      </c>
      <c r="F5616" s="0" t="n">
        <f aca="false">-1+B5616*0.25</f>
        <v>0.5</v>
      </c>
      <c r="G5616" s="0" t="n">
        <f aca="false">-1+C5616*0.25</f>
        <v>-0.5</v>
      </c>
      <c r="H5616" s="0" t="n">
        <f aca="false">-1+D5616*0.25</f>
        <v>0</v>
      </c>
      <c r="I5616" s="0" t="n">
        <f aca="false">1</f>
        <v>1</v>
      </c>
      <c r="J5616" s="0" t="n">
        <f aca="false">E5616</f>
        <v>0.75</v>
      </c>
      <c r="K5616" s="0" t="n">
        <f aca="false">F5616</f>
        <v>0.5</v>
      </c>
      <c r="L5616" s="0" t="n">
        <f aca="false">G5616</f>
        <v>-0.5</v>
      </c>
      <c r="M5616" s="0" t="n">
        <f aca="false">H5616</f>
        <v>0</v>
      </c>
      <c r="N5616" s="0" t="n">
        <f aca="false">E5616*F5616</f>
        <v>0.375</v>
      </c>
      <c r="O5616" s="0" t="n">
        <f aca="false">E5616*G5616</f>
        <v>-0.375</v>
      </c>
      <c r="P5616" s="0" t="n">
        <f aca="false">E5616*H5616</f>
        <v>0</v>
      </c>
      <c r="Q5616" s="0" t="n">
        <f aca="false">F5616*G5616</f>
        <v>-0.25</v>
      </c>
      <c r="R5616" s="0" t="n">
        <f aca="false">F5616*H5616</f>
        <v>0</v>
      </c>
      <c r="S5616" s="0" t="n">
        <f aca="false">G5616*H5616</f>
        <v>-0</v>
      </c>
      <c r="T5616" s="0" t="n">
        <f aca="false">E5616*E5616</f>
        <v>0.5625</v>
      </c>
      <c r="U5616" s="0" t="n">
        <f aca="false">F5616*F5616</f>
        <v>0.25</v>
      </c>
      <c r="V5616" s="0" t="n">
        <f aca="false">G5616*G5616</f>
        <v>0.25</v>
      </c>
      <c r="W5616" s="0" t="n">
        <f aca="false">H5616*H5616</f>
        <v>0</v>
      </c>
      <c r="X5616" s="0" t="n">
        <f aca="false">SUMPRODUCT(I5616:W5616,_XtX!$B$96:$P$96)</f>
        <v>48.2862573099415</v>
      </c>
      <c r="Y5616" s="0" t="n">
        <f aca="false">SUMPRODUCT(MMULT(I5616:W5616,_XtX!$B$78:$P$92),I5616:W5616)</f>
        <v>0.21305052997076</v>
      </c>
      <c r="Z5616" s="0" t="n">
        <f aca="false">04_回帰ANOVA!$K$19*04_回帰ANOVA!$K$14*SQRT(1+Y5616)</f>
        <v>1.43561450835061</v>
      </c>
      <c r="AA5616" s="0" t="n">
        <f aca="false">X5616-Z5616</f>
        <v>46.8506428015909</v>
      </c>
      <c r="AB5616" s="0" t="n">
        <f aca="false">X5616+Z5616</f>
        <v>49.7218718182921</v>
      </c>
      <c r="AC5616" s="54" t="b">
        <f aca="false">AND(E5616&gt;=01_因子設定!$L$5-0.000000001,E5616&lt;=01_因子設定!$M$5+0.000000001,F5616&gt;=01_因子設定!$L$6-0.000000001,F5616&lt;=01_因子設定!$M$6+0.000000001,G5616&gt;=01_因子設定!$L$7-0.000000001,G5616&lt;=01_因子設定!$M$7+0.000000001,H5616&gt;=01_因子設定!$L$8-0.000000001,H5616&lt;=01_因子設定!$M$8+0.000000001,IF(01_因子設定!$B$20="Box-Behnken",E5616^2+F5616^2+G5616^2+H5616^2&lt;=2+0.000000001,TRUE()))</f>
        <v>1</v>
      </c>
      <c r="AD5616" s="55" t="n">
        <f aca="false">IF(AC5616,IF(01_因子設定!$B$13="最大化",AA5616-01_因子設定!$B$14,IF(01_因子設定!$B$13="最小化",01_因子設定!$B$15-AB5616,MIN(AA5616-01_因子設定!$B$14,01_因子設定!$B$15-AB5616))),-1E+030)</f>
        <v>0.350642801590901</v>
      </c>
      <c r="AE5616" s="55" t="n">
        <f aca="false">IF(AC5616,IF(01_因子設定!$B$13="最大化",X5616,IF(01_因子設定!$B$13="最小化",-X5616,-ABS(X5616-01_因子設定!$B$16))),-1E+030)</f>
        <v>48.2862573099415</v>
      </c>
      <c r="AF5616" s="55" t="n">
        <f aca="false">AD5616+ROW()*0.000000001</f>
        <v>0.350648417590901</v>
      </c>
      <c r="AG5616" s="55" t="n">
        <f aca="false">AE5616+ROW()*0.000000001</f>
        <v>48.2862629259415</v>
      </c>
    </row>
    <row r="5617" customFormat="false" ht="15" hidden="false" customHeight="false" outlineLevel="0" collapsed="false">
      <c r="A5617" s="0" t="n">
        <v>7</v>
      </c>
      <c r="B5617" s="0" t="n">
        <v>6</v>
      </c>
      <c r="C5617" s="0" t="n">
        <v>2</v>
      </c>
      <c r="D5617" s="0" t="n">
        <v>5</v>
      </c>
      <c r="E5617" s="0" t="n">
        <f aca="false">-1+A5617*0.25</f>
        <v>0.75</v>
      </c>
      <c r="F5617" s="0" t="n">
        <f aca="false">-1+B5617*0.25</f>
        <v>0.5</v>
      </c>
      <c r="G5617" s="0" t="n">
        <f aca="false">-1+C5617*0.25</f>
        <v>-0.5</v>
      </c>
      <c r="H5617" s="0" t="n">
        <f aca="false">-1+D5617*0.25</f>
        <v>0.25</v>
      </c>
      <c r="I5617" s="0" t="n">
        <f aca="false">1</f>
        <v>1</v>
      </c>
      <c r="J5617" s="0" t="n">
        <f aca="false">E5617</f>
        <v>0.75</v>
      </c>
      <c r="K5617" s="0" t="n">
        <f aca="false">F5617</f>
        <v>0.5</v>
      </c>
      <c r="L5617" s="0" t="n">
        <f aca="false">G5617</f>
        <v>-0.5</v>
      </c>
      <c r="M5617" s="0" t="n">
        <f aca="false">H5617</f>
        <v>0.25</v>
      </c>
      <c r="N5617" s="0" t="n">
        <f aca="false">E5617*F5617</f>
        <v>0.375</v>
      </c>
      <c r="O5617" s="0" t="n">
        <f aca="false">E5617*G5617</f>
        <v>-0.375</v>
      </c>
      <c r="P5617" s="0" t="n">
        <f aca="false">E5617*H5617</f>
        <v>0.1875</v>
      </c>
      <c r="Q5617" s="0" t="n">
        <f aca="false">F5617*G5617</f>
        <v>-0.25</v>
      </c>
      <c r="R5617" s="0" t="n">
        <f aca="false">F5617*H5617</f>
        <v>0.125</v>
      </c>
      <c r="S5617" s="0" t="n">
        <f aca="false">G5617*H5617</f>
        <v>-0.125</v>
      </c>
      <c r="T5617" s="0" t="n">
        <f aca="false">E5617*E5617</f>
        <v>0.5625</v>
      </c>
      <c r="U5617" s="0" t="n">
        <f aca="false">F5617*F5617</f>
        <v>0.25</v>
      </c>
      <c r="V5617" s="0" t="n">
        <f aca="false">G5617*G5617</f>
        <v>0.25</v>
      </c>
      <c r="W5617" s="0" t="n">
        <f aca="false">H5617*H5617</f>
        <v>0.0625</v>
      </c>
      <c r="X5617" s="0" t="n">
        <f aca="false">SUMPRODUCT(I5617:W5617,_XtX!$B$96:$P$96)</f>
        <v>48.3246801900585</v>
      </c>
      <c r="Y5617" s="0" t="n">
        <f aca="false">SUMPRODUCT(MMULT(I5617:W5617,_XtX!$B$78:$P$92),I5617:W5617)</f>
        <v>0.203746059484649</v>
      </c>
      <c r="Z5617" s="0" t="n">
        <f aca="false">04_回帰ANOVA!$K$19*04_回帰ANOVA!$K$14*SQRT(1+Y5617)</f>
        <v>1.43009810755465</v>
      </c>
      <c r="AA5617" s="0" t="n">
        <f aca="false">X5617-Z5617</f>
        <v>46.8945820825038</v>
      </c>
      <c r="AB5617" s="0" t="n">
        <f aca="false">X5617+Z5617</f>
        <v>49.7547782976131</v>
      </c>
      <c r="AC5617" s="54" t="b">
        <f aca="false">AND(E5617&gt;=01_因子設定!$L$5-0.000000001,E5617&lt;=01_因子設定!$M$5+0.000000001,F5617&gt;=01_因子設定!$L$6-0.000000001,F5617&lt;=01_因子設定!$M$6+0.000000001,G5617&gt;=01_因子設定!$L$7-0.000000001,G5617&lt;=01_因子設定!$M$7+0.000000001,H5617&gt;=01_因子設定!$L$8-0.000000001,H5617&lt;=01_因子設定!$M$8+0.000000001,IF(01_因子設定!$B$20="Box-Behnken",E5617^2+F5617^2+G5617^2+H5617^2&lt;=2+0.000000001,TRUE()))</f>
        <v>1</v>
      </c>
      <c r="AD5617" s="55" t="n">
        <f aca="false">IF(AC5617,IF(01_因子設定!$B$13="最大化",AA5617-01_因子設定!$B$14,IF(01_因子設定!$B$13="最小化",01_因子設定!$B$15-AB5617,MIN(AA5617-01_因子設定!$B$14,01_因子設定!$B$15-AB5617))),-1E+030)</f>
        <v>0.394582082503817</v>
      </c>
      <c r="AE5617" s="55" t="n">
        <f aca="false">IF(AC5617,IF(01_因子設定!$B$13="最大化",X5617,IF(01_因子設定!$B$13="最小化",-X5617,-ABS(X5617-01_因子設定!$B$16))),-1E+030)</f>
        <v>48.3246801900585</v>
      </c>
      <c r="AF5617" s="55" t="n">
        <f aca="false">AD5617+ROW()*0.000000001</f>
        <v>0.394587699503817</v>
      </c>
      <c r="AG5617" s="55" t="n">
        <f aca="false">AE5617+ROW()*0.000000001</f>
        <v>48.3246858070585</v>
      </c>
    </row>
    <row r="5618" customFormat="false" ht="15" hidden="false" customHeight="false" outlineLevel="0" collapsed="false">
      <c r="A5618" s="0" t="n">
        <v>7</v>
      </c>
      <c r="B5618" s="0" t="n">
        <v>6</v>
      </c>
      <c r="C5618" s="0" t="n">
        <v>2</v>
      </c>
      <c r="D5618" s="0" t="n">
        <v>6</v>
      </c>
      <c r="E5618" s="0" t="n">
        <f aca="false">-1+A5618*0.25</f>
        <v>0.75</v>
      </c>
      <c r="F5618" s="0" t="n">
        <f aca="false">-1+B5618*0.25</f>
        <v>0.5</v>
      </c>
      <c r="G5618" s="0" t="n">
        <f aca="false">-1+C5618*0.25</f>
        <v>-0.5</v>
      </c>
      <c r="H5618" s="0" t="n">
        <f aca="false">-1+D5618*0.25</f>
        <v>0.5</v>
      </c>
      <c r="I5618" s="0" t="n">
        <f aca="false">1</f>
        <v>1</v>
      </c>
      <c r="J5618" s="0" t="n">
        <f aca="false">E5618</f>
        <v>0.75</v>
      </c>
      <c r="K5618" s="0" t="n">
        <f aca="false">F5618</f>
        <v>0.5</v>
      </c>
      <c r="L5618" s="0" t="n">
        <f aca="false">G5618</f>
        <v>-0.5</v>
      </c>
      <c r="M5618" s="0" t="n">
        <f aca="false">H5618</f>
        <v>0.5</v>
      </c>
      <c r="N5618" s="0" t="n">
        <f aca="false">E5618*F5618</f>
        <v>0.375</v>
      </c>
      <c r="O5618" s="0" t="n">
        <f aca="false">E5618*G5618</f>
        <v>-0.375</v>
      </c>
      <c r="P5618" s="0" t="n">
        <f aca="false">E5618*H5618</f>
        <v>0.375</v>
      </c>
      <c r="Q5618" s="0" t="n">
        <f aca="false">F5618*G5618</f>
        <v>-0.25</v>
      </c>
      <c r="R5618" s="0" t="n">
        <f aca="false">F5618*H5618</f>
        <v>0.25</v>
      </c>
      <c r="S5618" s="0" t="n">
        <f aca="false">G5618*H5618</f>
        <v>-0.25</v>
      </c>
      <c r="T5618" s="0" t="n">
        <f aca="false">E5618*E5618</f>
        <v>0.5625</v>
      </c>
      <c r="U5618" s="0" t="n">
        <f aca="false">F5618*F5618</f>
        <v>0.25</v>
      </c>
      <c r="V5618" s="0" t="n">
        <f aca="false">G5618*G5618</f>
        <v>0.25</v>
      </c>
      <c r="W5618" s="0" t="n">
        <f aca="false">H5618*H5618</f>
        <v>0.25</v>
      </c>
      <c r="X5618" s="0" t="n">
        <f aca="false">SUMPRODUCT(I5618:W5618,_XtX!$B$96:$P$96)</f>
        <v>48.3152960526316</v>
      </c>
      <c r="Y5618" s="0" t="n">
        <f aca="false">SUMPRODUCT(MMULT(I5618:W5618,_XtX!$B$78:$P$92),I5618:W5618)</f>
        <v>0.193924753289474</v>
      </c>
      <c r="Z5618" s="0" t="n">
        <f aca="false">04_回帰ANOVA!$K$19*04_回帰ANOVA!$K$14*SQRT(1+Y5618)</f>
        <v>1.4242521079916</v>
      </c>
      <c r="AA5618" s="0" t="n">
        <f aca="false">X5618-Z5618</f>
        <v>46.89104394464</v>
      </c>
      <c r="AB5618" s="0" t="n">
        <f aca="false">X5618+Z5618</f>
        <v>49.7395481606232</v>
      </c>
      <c r="AC5618" s="54" t="b">
        <f aca="false">AND(E5618&gt;=01_因子設定!$L$5-0.000000001,E5618&lt;=01_因子設定!$M$5+0.000000001,F5618&gt;=01_因子設定!$L$6-0.000000001,F5618&lt;=01_因子設定!$M$6+0.000000001,G5618&gt;=01_因子設定!$L$7-0.000000001,G5618&lt;=01_因子設定!$M$7+0.000000001,H5618&gt;=01_因子設定!$L$8-0.000000001,H5618&lt;=01_因子設定!$M$8+0.000000001,IF(01_因子設定!$B$20="Box-Behnken",E5618^2+F5618^2+G5618^2+H5618^2&lt;=2+0.000000001,TRUE()))</f>
        <v>1</v>
      </c>
      <c r="AD5618" s="55" t="n">
        <f aca="false">IF(AC5618,IF(01_因子設定!$B$13="最大化",AA5618-01_因子設定!$B$14,IF(01_因子設定!$B$13="最小化",01_因子設定!$B$15-AB5618,MIN(AA5618-01_因子設定!$B$14,01_因子設定!$B$15-AB5618))),-1E+030)</f>
        <v>0.391043944639975</v>
      </c>
      <c r="AE5618" s="55" t="n">
        <f aca="false">IF(AC5618,IF(01_因子設定!$B$13="最大化",X5618,IF(01_因子設定!$B$13="最小化",-X5618,-ABS(X5618-01_因子設定!$B$16))),-1E+030)</f>
        <v>48.3152960526316</v>
      </c>
      <c r="AF5618" s="55" t="n">
        <f aca="false">AD5618+ROW()*0.000000001</f>
        <v>0.391049562639975</v>
      </c>
      <c r="AG5618" s="55" t="n">
        <f aca="false">AE5618+ROW()*0.000000001</f>
        <v>48.3153016706316</v>
      </c>
    </row>
    <row r="5619" customFormat="false" ht="15" hidden="false" customHeight="false" outlineLevel="0" collapsed="false">
      <c r="A5619" s="0" t="n">
        <v>7</v>
      </c>
      <c r="B5619" s="0" t="n">
        <v>6</v>
      </c>
      <c r="C5619" s="0" t="n">
        <v>2</v>
      </c>
      <c r="D5619" s="0" t="n">
        <v>7</v>
      </c>
      <c r="E5619" s="0" t="n">
        <f aca="false">-1+A5619*0.25</f>
        <v>0.75</v>
      </c>
      <c r="F5619" s="0" t="n">
        <f aca="false">-1+B5619*0.25</f>
        <v>0.5</v>
      </c>
      <c r="G5619" s="0" t="n">
        <f aca="false">-1+C5619*0.25</f>
        <v>-0.5</v>
      </c>
      <c r="H5619" s="0" t="n">
        <f aca="false">-1+D5619*0.25</f>
        <v>0.75</v>
      </c>
      <c r="I5619" s="0" t="n">
        <f aca="false">1</f>
        <v>1</v>
      </c>
      <c r="J5619" s="0" t="n">
        <f aca="false">E5619</f>
        <v>0.75</v>
      </c>
      <c r="K5619" s="0" t="n">
        <f aca="false">F5619</f>
        <v>0.5</v>
      </c>
      <c r="L5619" s="0" t="n">
        <f aca="false">G5619</f>
        <v>-0.5</v>
      </c>
      <c r="M5619" s="0" t="n">
        <f aca="false">H5619</f>
        <v>0.75</v>
      </c>
      <c r="N5619" s="0" t="n">
        <f aca="false">E5619*F5619</f>
        <v>0.375</v>
      </c>
      <c r="O5619" s="0" t="n">
        <f aca="false">E5619*G5619</f>
        <v>-0.375</v>
      </c>
      <c r="P5619" s="0" t="n">
        <f aca="false">E5619*H5619</f>
        <v>0.5625</v>
      </c>
      <c r="Q5619" s="0" t="n">
        <f aca="false">F5619*G5619</f>
        <v>-0.25</v>
      </c>
      <c r="R5619" s="0" t="n">
        <f aca="false">F5619*H5619</f>
        <v>0.375</v>
      </c>
      <c r="S5619" s="0" t="n">
        <f aca="false">G5619*H5619</f>
        <v>-0.375</v>
      </c>
      <c r="T5619" s="0" t="n">
        <f aca="false">E5619*E5619</f>
        <v>0.5625</v>
      </c>
      <c r="U5619" s="0" t="n">
        <f aca="false">F5619*F5619</f>
        <v>0.25</v>
      </c>
      <c r="V5619" s="0" t="n">
        <f aca="false">G5619*G5619</f>
        <v>0.25</v>
      </c>
      <c r="W5619" s="0" t="n">
        <f aca="false">H5619*H5619</f>
        <v>0.5625</v>
      </c>
      <c r="X5619" s="0" t="n">
        <f aca="false">SUMPRODUCT(I5619:W5619,_XtX!$B$96:$P$96)</f>
        <v>48.2581048976608</v>
      </c>
      <c r="Y5619" s="0" t="n">
        <f aca="false">SUMPRODUCT(MMULT(I5619:W5619,_XtX!$B$78:$P$92),I5619:W5619)</f>
        <v>0.237862927174708</v>
      </c>
      <c r="Z5619" s="0" t="n">
        <f aca="false">04_回帰ANOVA!$K$19*04_回帰ANOVA!$K$14*SQRT(1+Y5619)</f>
        <v>1.45022260708756</v>
      </c>
      <c r="AA5619" s="0" t="n">
        <f aca="false">X5619-Z5619</f>
        <v>46.8078822905733</v>
      </c>
      <c r="AB5619" s="0" t="n">
        <f aca="false">X5619+Z5619</f>
        <v>49.7083275047484</v>
      </c>
      <c r="AC5619" s="54" t="b">
        <f aca="false">AND(E5619&gt;=01_因子設定!$L$5-0.000000001,E5619&lt;=01_因子設定!$M$5+0.000000001,F5619&gt;=01_因子設定!$L$6-0.000000001,F5619&lt;=01_因子設定!$M$6+0.000000001,G5619&gt;=01_因子設定!$L$7-0.000000001,G5619&lt;=01_因子設定!$M$7+0.000000001,H5619&gt;=01_因子設定!$L$8-0.000000001,H5619&lt;=01_因子設定!$M$8+0.000000001,IF(01_因子設定!$B$20="Box-Behnken",E5619^2+F5619^2+G5619^2+H5619^2&lt;=2+0.000000001,TRUE()))</f>
        <v>1</v>
      </c>
      <c r="AD5619" s="55" t="n">
        <f aca="false">IF(AC5619,IF(01_因子設定!$B$13="最大化",AA5619-01_因子設定!$B$14,IF(01_因子設定!$B$13="最小化",01_因子設定!$B$15-AB5619,MIN(AA5619-01_因子設定!$B$14,01_因子設定!$B$15-AB5619))),-1E+030)</f>
        <v>0.307882290573261</v>
      </c>
      <c r="AE5619" s="55" t="n">
        <f aca="false">IF(AC5619,IF(01_因子設定!$B$13="最大化",X5619,IF(01_因子設定!$B$13="最小化",-X5619,-ABS(X5619-01_因子設定!$B$16))),-1E+030)</f>
        <v>48.2581048976608</v>
      </c>
      <c r="AF5619" s="55" t="n">
        <f aca="false">AD5619+ROW()*0.000000001</f>
        <v>0.307887909573261</v>
      </c>
      <c r="AG5619" s="55" t="n">
        <f aca="false">AE5619+ROW()*0.000000001</f>
        <v>48.2581105166608</v>
      </c>
    </row>
    <row r="5620" customFormat="false" ht="15" hidden="false" customHeight="false" outlineLevel="0" collapsed="false">
      <c r="A5620" s="0" t="n">
        <v>7</v>
      </c>
      <c r="B5620" s="0" t="n">
        <v>6</v>
      </c>
      <c r="C5620" s="0" t="n">
        <v>2</v>
      </c>
      <c r="D5620" s="0" t="n">
        <v>8</v>
      </c>
      <c r="E5620" s="0" t="n">
        <f aca="false">-1+A5620*0.25</f>
        <v>0.75</v>
      </c>
      <c r="F5620" s="0" t="n">
        <f aca="false">-1+B5620*0.25</f>
        <v>0.5</v>
      </c>
      <c r="G5620" s="0" t="n">
        <f aca="false">-1+C5620*0.25</f>
        <v>-0.5</v>
      </c>
      <c r="H5620" s="0" t="n">
        <f aca="false">-1+D5620*0.25</f>
        <v>1</v>
      </c>
      <c r="I5620" s="0" t="n">
        <f aca="false">1</f>
        <v>1</v>
      </c>
      <c r="J5620" s="0" t="n">
        <f aca="false">E5620</f>
        <v>0.75</v>
      </c>
      <c r="K5620" s="0" t="n">
        <f aca="false">F5620</f>
        <v>0.5</v>
      </c>
      <c r="L5620" s="0" t="n">
        <f aca="false">G5620</f>
        <v>-0.5</v>
      </c>
      <c r="M5620" s="0" t="n">
        <f aca="false">H5620</f>
        <v>1</v>
      </c>
      <c r="N5620" s="0" t="n">
        <f aca="false">E5620*F5620</f>
        <v>0.375</v>
      </c>
      <c r="O5620" s="0" t="n">
        <f aca="false">E5620*G5620</f>
        <v>-0.375</v>
      </c>
      <c r="P5620" s="0" t="n">
        <f aca="false">E5620*H5620</f>
        <v>0.75</v>
      </c>
      <c r="Q5620" s="0" t="n">
        <f aca="false">F5620*G5620</f>
        <v>-0.25</v>
      </c>
      <c r="R5620" s="0" t="n">
        <f aca="false">F5620*H5620</f>
        <v>0.5</v>
      </c>
      <c r="S5620" s="0" t="n">
        <f aca="false">G5620*H5620</f>
        <v>-0.5</v>
      </c>
      <c r="T5620" s="0" t="n">
        <f aca="false">E5620*E5620</f>
        <v>0.5625</v>
      </c>
      <c r="U5620" s="0" t="n">
        <f aca="false">F5620*F5620</f>
        <v>0.25</v>
      </c>
      <c r="V5620" s="0" t="n">
        <f aca="false">G5620*G5620</f>
        <v>0.25</v>
      </c>
      <c r="W5620" s="0" t="n">
        <f aca="false">H5620*H5620</f>
        <v>1</v>
      </c>
      <c r="X5620" s="0" t="n">
        <f aca="false">SUMPRODUCT(I5620:W5620,_XtX!$B$96:$P$96)</f>
        <v>48.1531067251462</v>
      </c>
      <c r="Y5620" s="0" t="n">
        <f aca="false">SUMPRODUCT(MMULT(I5620:W5620,_XtX!$B$78:$P$92),I5620:W5620)</f>
        <v>0.42602110745614</v>
      </c>
      <c r="Z5620" s="0" t="n">
        <f aca="false">04_回帰ANOVA!$K$19*04_回帰ANOVA!$K$14*SQRT(1+Y5620)</f>
        <v>1.55654388501114</v>
      </c>
      <c r="AA5620" s="0" t="n">
        <f aca="false">X5620-Z5620</f>
        <v>46.5965628401351</v>
      </c>
      <c r="AB5620" s="0" t="n">
        <f aca="false">X5620+Z5620</f>
        <v>49.7096506101574</v>
      </c>
      <c r="AC5620" s="54" t="b">
        <f aca="false">AND(E5620&gt;=01_因子設定!$L$5-0.000000001,E5620&lt;=01_因子設定!$M$5+0.000000001,F5620&gt;=01_因子設定!$L$6-0.000000001,F5620&lt;=01_因子設定!$M$6+0.000000001,G5620&gt;=01_因子設定!$L$7-0.000000001,G5620&lt;=01_因子設定!$M$7+0.000000001,H5620&gt;=01_因子設定!$L$8-0.000000001,H5620&lt;=01_因子設定!$M$8+0.000000001,IF(01_因子設定!$B$20="Box-Behnken",E5620^2+F5620^2+G5620^2+H5620^2&lt;=2+0.000000001,TRUE()))</f>
        <v>1</v>
      </c>
      <c r="AD5620" s="55" t="n">
        <f aca="false">IF(AC5620,IF(01_因子設定!$B$13="最大化",AA5620-01_因子設定!$B$14,IF(01_因子設定!$B$13="最小化",01_因子設定!$B$15-AB5620,MIN(AA5620-01_因子設定!$B$14,01_因子設定!$B$15-AB5620))),-1E+030)</f>
        <v>0.0965628401350855</v>
      </c>
      <c r="AE5620" s="55" t="n">
        <f aca="false">IF(AC5620,IF(01_因子設定!$B$13="最大化",X5620,IF(01_因子設定!$B$13="最小化",-X5620,-ABS(X5620-01_因子設定!$B$16))),-1E+030)</f>
        <v>48.1531067251462</v>
      </c>
      <c r="AF5620" s="55" t="n">
        <f aca="false">AD5620+ROW()*0.000000001</f>
        <v>0.0965684601350855</v>
      </c>
      <c r="AG5620" s="55" t="n">
        <f aca="false">AE5620+ROW()*0.000000001</f>
        <v>48.1531123451462</v>
      </c>
    </row>
    <row r="5621" customFormat="false" ht="15" hidden="false" customHeight="false" outlineLevel="0" collapsed="false">
      <c r="A5621" s="0" t="n">
        <v>7</v>
      </c>
      <c r="B5621" s="0" t="n">
        <v>6</v>
      </c>
      <c r="C5621" s="0" t="n">
        <v>3</v>
      </c>
      <c r="D5621" s="0" t="n">
        <v>0</v>
      </c>
      <c r="E5621" s="0" t="n">
        <f aca="false">-1+A5621*0.25</f>
        <v>0.75</v>
      </c>
      <c r="F5621" s="0" t="n">
        <f aca="false">-1+B5621*0.25</f>
        <v>0.5</v>
      </c>
      <c r="G5621" s="0" t="n">
        <f aca="false">-1+C5621*0.25</f>
        <v>-0.25</v>
      </c>
      <c r="H5621" s="0" t="n">
        <f aca="false">-1+D5621*0.25</f>
        <v>-1</v>
      </c>
      <c r="I5621" s="0" t="n">
        <f aca="false">1</f>
        <v>1</v>
      </c>
      <c r="J5621" s="0" t="n">
        <f aca="false">E5621</f>
        <v>0.75</v>
      </c>
      <c r="K5621" s="0" t="n">
        <f aca="false">F5621</f>
        <v>0.5</v>
      </c>
      <c r="L5621" s="0" t="n">
        <f aca="false">G5621</f>
        <v>-0.25</v>
      </c>
      <c r="M5621" s="0" t="n">
        <f aca="false">H5621</f>
        <v>-1</v>
      </c>
      <c r="N5621" s="0" t="n">
        <f aca="false">E5621*F5621</f>
        <v>0.375</v>
      </c>
      <c r="O5621" s="0" t="n">
        <f aca="false">E5621*G5621</f>
        <v>-0.1875</v>
      </c>
      <c r="P5621" s="0" t="n">
        <f aca="false">E5621*H5621</f>
        <v>-0.75</v>
      </c>
      <c r="Q5621" s="0" t="n">
        <f aca="false">F5621*G5621</f>
        <v>-0.125</v>
      </c>
      <c r="R5621" s="0" t="n">
        <f aca="false">F5621*H5621</f>
        <v>-0.5</v>
      </c>
      <c r="S5621" s="0" t="n">
        <f aca="false">G5621*H5621</f>
        <v>0.25</v>
      </c>
      <c r="T5621" s="0" t="n">
        <f aca="false">E5621*E5621</f>
        <v>0.5625</v>
      </c>
      <c r="U5621" s="0" t="n">
        <f aca="false">F5621*F5621</f>
        <v>0.25</v>
      </c>
      <c r="V5621" s="0" t="n">
        <f aca="false">G5621*G5621</f>
        <v>0.0625</v>
      </c>
      <c r="W5621" s="0" t="n">
        <f aca="false">H5621*H5621</f>
        <v>1</v>
      </c>
      <c r="X5621" s="0" t="n">
        <f aca="false">SUMPRODUCT(I5621:W5621,_XtX!$B$96:$P$96)</f>
        <v>47.8736019736842</v>
      </c>
      <c r="Y5621" s="0" t="n">
        <f aca="false">SUMPRODUCT(MMULT(I5621:W5621,_XtX!$B$78:$P$92),I5621:W5621)</f>
        <v>0.459125719572369</v>
      </c>
      <c r="Z5621" s="0" t="n">
        <f aca="false">04_回帰ANOVA!$K$19*04_回帰ANOVA!$K$14*SQRT(1+Y5621)</f>
        <v>1.57450755575573</v>
      </c>
      <c r="AA5621" s="0" t="n">
        <f aca="false">X5621-Z5621</f>
        <v>46.2990944179285</v>
      </c>
      <c r="AB5621" s="0" t="n">
        <f aca="false">X5621+Z5621</f>
        <v>49.44810952944</v>
      </c>
      <c r="AC5621" s="54" t="b">
        <f aca="false">AND(E5621&gt;=01_因子設定!$L$5-0.000000001,E5621&lt;=01_因子設定!$M$5+0.000000001,F5621&gt;=01_因子設定!$L$6-0.000000001,F5621&lt;=01_因子設定!$M$6+0.000000001,G5621&gt;=01_因子設定!$L$7-0.000000001,G5621&lt;=01_因子設定!$M$7+0.000000001,H5621&gt;=01_因子設定!$L$8-0.000000001,H5621&lt;=01_因子設定!$M$8+0.000000001,IF(01_因子設定!$B$20="Box-Behnken",E5621^2+F5621^2+G5621^2+H5621^2&lt;=2+0.000000001,TRUE()))</f>
        <v>1</v>
      </c>
      <c r="AD5621" s="55" t="n">
        <f aca="false">IF(AC5621,IF(01_因子設定!$B$13="最大化",AA5621-01_因子設定!$B$14,IF(01_因子設定!$B$13="最小化",01_因子設定!$B$15-AB5621,MIN(AA5621-01_因子設定!$B$14,01_因子設定!$B$15-AB5621))),-1E+030)</f>
        <v>-0.200905582071499</v>
      </c>
      <c r="AE5621" s="55" t="n">
        <f aca="false">IF(AC5621,IF(01_因子設定!$B$13="最大化",X5621,IF(01_因子設定!$B$13="最小化",-X5621,-ABS(X5621-01_因子設定!$B$16))),-1E+030)</f>
        <v>47.8736019736842</v>
      </c>
      <c r="AF5621" s="55" t="n">
        <f aca="false">AD5621+ROW()*0.000000001</f>
        <v>-0.200899961071499</v>
      </c>
      <c r="AG5621" s="55" t="n">
        <f aca="false">AE5621+ROW()*0.000000001</f>
        <v>47.8736075946842</v>
      </c>
    </row>
    <row r="5622" customFormat="false" ht="15" hidden="false" customHeight="false" outlineLevel="0" collapsed="false">
      <c r="A5622" s="0" t="n">
        <v>7</v>
      </c>
      <c r="B5622" s="0" t="n">
        <v>6</v>
      </c>
      <c r="C5622" s="0" t="n">
        <v>3</v>
      </c>
      <c r="D5622" s="0" t="n">
        <v>1</v>
      </c>
      <c r="E5622" s="0" t="n">
        <f aca="false">-1+A5622*0.25</f>
        <v>0.75</v>
      </c>
      <c r="F5622" s="0" t="n">
        <f aca="false">-1+B5622*0.25</f>
        <v>0.5</v>
      </c>
      <c r="G5622" s="0" t="n">
        <f aca="false">-1+C5622*0.25</f>
        <v>-0.25</v>
      </c>
      <c r="H5622" s="0" t="n">
        <f aca="false">-1+D5622*0.25</f>
        <v>-0.75</v>
      </c>
      <c r="I5622" s="0" t="n">
        <f aca="false">1</f>
        <v>1</v>
      </c>
      <c r="J5622" s="0" t="n">
        <f aca="false">E5622</f>
        <v>0.75</v>
      </c>
      <c r="K5622" s="0" t="n">
        <f aca="false">F5622</f>
        <v>0.5</v>
      </c>
      <c r="L5622" s="0" t="n">
        <f aca="false">G5622</f>
        <v>-0.25</v>
      </c>
      <c r="M5622" s="0" t="n">
        <f aca="false">H5622</f>
        <v>-0.75</v>
      </c>
      <c r="N5622" s="0" t="n">
        <f aca="false">E5622*F5622</f>
        <v>0.375</v>
      </c>
      <c r="O5622" s="0" t="n">
        <f aca="false">E5622*G5622</f>
        <v>-0.1875</v>
      </c>
      <c r="P5622" s="0" t="n">
        <f aca="false">E5622*H5622</f>
        <v>-0.5625</v>
      </c>
      <c r="Q5622" s="0" t="n">
        <f aca="false">F5622*G5622</f>
        <v>-0.125</v>
      </c>
      <c r="R5622" s="0" t="n">
        <f aca="false">F5622*H5622</f>
        <v>-0.375</v>
      </c>
      <c r="S5622" s="0" t="n">
        <f aca="false">G5622*H5622</f>
        <v>0.1875</v>
      </c>
      <c r="T5622" s="0" t="n">
        <f aca="false">E5622*E5622</f>
        <v>0.5625</v>
      </c>
      <c r="U5622" s="0" t="n">
        <f aca="false">F5622*F5622</f>
        <v>0.25</v>
      </c>
      <c r="V5622" s="0" t="n">
        <f aca="false">G5622*G5622</f>
        <v>0.0625</v>
      </c>
      <c r="W5622" s="0" t="n">
        <f aca="false">H5622*H5622</f>
        <v>0.5625</v>
      </c>
      <c r="X5622" s="0" t="n">
        <f aca="false">SUMPRODUCT(I5622:W5622,_XtX!$B$96:$P$96)</f>
        <v>48.1212216739766</v>
      </c>
      <c r="Y5622" s="0" t="n">
        <f aca="false">SUMPRODUCT(MMULT(I5622:W5622,_XtX!$B$78:$P$92),I5622:W5622)</f>
        <v>0.257385610836988</v>
      </c>
      <c r="Z5622" s="0" t="n">
        <f aca="false">04_回帰ANOVA!$K$19*04_回帰ANOVA!$K$14*SQRT(1+Y5622)</f>
        <v>1.46161380324158</v>
      </c>
      <c r="AA5622" s="0" t="n">
        <f aca="false">X5622-Z5622</f>
        <v>46.659607870735</v>
      </c>
      <c r="AB5622" s="0" t="n">
        <f aca="false">X5622+Z5622</f>
        <v>49.5828354772182</v>
      </c>
      <c r="AC5622" s="54" t="b">
        <f aca="false">AND(E5622&gt;=01_因子設定!$L$5-0.000000001,E5622&lt;=01_因子設定!$M$5+0.000000001,F5622&gt;=01_因子設定!$L$6-0.000000001,F5622&lt;=01_因子設定!$M$6+0.000000001,G5622&gt;=01_因子設定!$L$7-0.000000001,G5622&lt;=01_因子設定!$M$7+0.000000001,H5622&gt;=01_因子設定!$L$8-0.000000001,H5622&lt;=01_因子設定!$M$8+0.000000001,IF(01_因子設定!$B$20="Box-Behnken",E5622^2+F5622^2+G5622^2+H5622^2&lt;=2+0.000000001,TRUE()))</f>
        <v>1</v>
      </c>
      <c r="AD5622" s="55" t="n">
        <f aca="false">IF(AC5622,IF(01_因子設定!$B$13="最大化",AA5622-01_因子設定!$B$14,IF(01_因子設定!$B$13="最小化",01_因子設定!$B$15-AB5622,MIN(AA5622-01_因子設定!$B$14,01_因子設定!$B$15-AB5622))),-1E+030)</f>
        <v>0.15960787073503</v>
      </c>
      <c r="AE5622" s="55" t="n">
        <f aca="false">IF(AC5622,IF(01_因子設定!$B$13="最大化",X5622,IF(01_因子設定!$B$13="最小化",-X5622,-ABS(X5622-01_因子設定!$B$16))),-1E+030)</f>
        <v>48.1212216739766</v>
      </c>
      <c r="AF5622" s="55" t="n">
        <f aca="false">AD5622+ROW()*0.000000001</f>
        <v>0.15961349273503</v>
      </c>
      <c r="AG5622" s="55" t="n">
        <f aca="false">AE5622+ROW()*0.000000001</f>
        <v>48.1212272959766</v>
      </c>
    </row>
    <row r="5623" customFormat="false" ht="15" hidden="false" customHeight="false" outlineLevel="0" collapsed="false">
      <c r="A5623" s="0" t="n">
        <v>7</v>
      </c>
      <c r="B5623" s="0" t="n">
        <v>6</v>
      </c>
      <c r="C5623" s="0" t="n">
        <v>3</v>
      </c>
      <c r="D5623" s="0" t="n">
        <v>2</v>
      </c>
      <c r="E5623" s="0" t="n">
        <f aca="false">-1+A5623*0.25</f>
        <v>0.75</v>
      </c>
      <c r="F5623" s="0" t="n">
        <f aca="false">-1+B5623*0.25</f>
        <v>0.5</v>
      </c>
      <c r="G5623" s="0" t="n">
        <f aca="false">-1+C5623*0.25</f>
        <v>-0.25</v>
      </c>
      <c r="H5623" s="0" t="n">
        <f aca="false">-1+D5623*0.25</f>
        <v>-0.5</v>
      </c>
      <c r="I5623" s="0" t="n">
        <f aca="false">1</f>
        <v>1</v>
      </c>
      <c r="J5623" s="0" t="n">
        <f aca="false">E5623</f>
        <v>0.75</v>
      </c>
      <c r="K5623" s="0" t="n">
        <f aca="false">F5623</f>
        <v>0.5</v>
      </c>
      <c r="L5623" s="0" t="n">
        <f aca="false">G5623</f>
        <v>-0.25</v>
      </c>
      <c r="M5623" s="0" t="n">
        <f aca="false">H5623</f>
        <v>-0.5</v>
      </c>
      <c r="N5623" s="0" t="n">
        <f aca="false">E5623*F5623</f>
        <v>0.375</v>
      </c>
      <c r="O5623" s="0" t="n">
        <f aca="false">E5623*G5623</f>
        <v>-0.1875</v>
      </c>
      <c r="P5623" s="0" t="n">
        <f aca="false">E5623*H5623</f>
        <v>-0.375</v>
      </c>
      <c r="Q5623" s="0" t="n">
        <f aca="false">F5623*G5623</f>
        <v>-0.125</v>
      </c>
      <c r="R5623" s="0" t="n">
        <f aca="false">F5623*H5623</f>
        <v>-0.25</v>
      </c>
      <c r="S5623" s="0" t="n">
        <f aca="false">G5623*H5623</f>
        <v>0.125</v>
      </c>
      <c r="T5623" s="0" t="n">
        <f aca="false">E5623*E5623</f>
        <v>0.5625</v>
      </c>
      <c r="U5623" s="0" t="n">
        <f aca="false">F5623*F5623</f>
        <v>0.25</v>
      </c>
      <c r="V5623" s="0" t="n">
        <f aca="false">G5623*G5623</f>
        <v>0.0625</v>
      </c>
      <c r="W5623" s="0" t="n">
        <f aca="false">H5623*H5623</f>
        <v>0.25</v>
      </c>
      <c r="X5623" s="0" t="n">
        <f aca="false">SUMPRODUCT(I5623:W5623,_XtX!$B$96:$P$96)</f>
        <v>48.3210343567251</v>
      </c>
      <c r="Y5623" s="0" t="n">
        <f aca="false">SUMPRODUCT(MMULT(I5623:W5623,_XtX!$B$78:$P$92),I5623:W5623)</f>
        <v>0.203746059484649</v>
      </c>
      <c r="Z5623" s="0" t="n">
        <f aca="false">04_回帰ANOVA!$K$19*04_回帰ANOVA!$K$14*SQRT(1+Y5623)</f>
        <v>1.43009810755465</v>
      </c>
      <c r="AA5623" s="0" t="n">
        <f aca="false">X5623-Z5623</f>
        <v>46.8909362491705</v>
      </c>
      <c r="AB5623" s="0" t="n">
        <f aca="false">X5623+Z5623</f>
        <v>49.7511324642798</v>
      </c>
      <c r="AC5623" s="54" t="b">
        <f aca="false">AND(E5623&gt;=01_因子設定!$L$5-0.000000001,E5623&lt;=01_因子設定!$M$5+0.000000001,F5623&gt;=01_因子設定!$L$6-0.000000001,F5623&lt;=01_因子設定!$M$6+0.000000001,G5623&gt;=01_因子設定!$L$7-0.000000001,G5623&lt;=01_因子設定!$M$7+0.000000001,H5623&gt;=01_因子設定!$L$8-0.000000001,H5623&lt;=01_因子設定!$M$8+0.000000001,IF(01_因子設定!$B$20="Box-Behnken",E5623^2+F5623^2+G5623^2+H5623^2&lt;=2+0.000000001,TRUE()))</f>
        <v>1</v>
      </c>
      <c r="AD5623" s="55" t="n">
        <f aca="false">IF(AC5623,IF(01_因子設定!$B$13="最大化",AA5623-01_因子設定!$B$14,IF(01_因子設定!$B$13="最小化",01_因子設定!$B$15-AB5623,MIN(AA5623-01_因子設定!$B$14,01_因子設定!$B$15-AB5623))),-1E+030)</f>
        <v>0.390936249170494</v>
      </c>
      <c r="AE5623" s="55" t="n">
        <f aca="false">IF(AC5623,IF(01_因子設定!$B$13="最大化",X5623,IF(01_因子設定!$B$13="最小化",-X5623,-ABS(X5623-01_因子設定!$B$16))),-1E+030)</f>
        <v>48.3210343567251</v>
      </c>
      <c r="AF5623" s="55" t="n">
        <f aca="false">AD5623+ROW()*0.000000001</f>
        <v>0.390941872170494</v>
      </c>
      <c r="AG5623" s="55" t="n">
        <f aca="false">AE5623+ROW()*0.000000001</f>
        <v>48.3210399797251</v>
      </c>
    </row>
    <row r="5624" customFormat="false" ht="15" hidden="false" customHeight="false" outlineLevel="0" collapsed="false">
      <c r="A5624" s="0" t="n">
        <v>7</v>
      </c>
      <c r="B5624" s="0" t="n">
        <v>6</v>
      </c>
      <c r="C5624" s="0" t="n">
        <v>3</v>
      </c>
      <c r="D5624" s="0" t="n">
        <v>3</v>
      </c>
      <c r="E5624" s="0" t="n">
        <f aca="false">-1+A5624*0.25</f>
        <v>0.75</v>
      </c>
      <c r="F5624" s="0" t="n">
        <f aca="false">-1+B5624*0.25</f>
        <v>0.5</v>
      </c>
      <c r="G5624" s="0" t="n">
        <f aca="false">-1+C5624*0.25</f>
        <v>-0.25</v>
      </c>
      <c r="H5624" s="0" t="n">
        <f aca="false">-1+D5624*0.25</f>
        <v>-0.25</v>
      </c>
      <c r="I5624" s="0" t="n">
        <f aca="false">1</f>
        <v>1</v>
      </c>
      <c r="J5624" s="0" t="n">
        <f aca="false">E5624</f>
        <v>0.75</v>
      </c>
      <c r="K5624" s="0" t="n">
        <f aca="false">F5624</f>
        <v>0.5</v>
      </c>
      <c r="L5624" s="0" t="n">
        <f aca="false">G5624</f>
        <v>-0.25</v>
      </c>
      <c r="M5624" s="0" t="n">
        <f aca="false">H5624</f>
        <v>-0.25</v>
      </c>
      <c r="N5624" s="0" t="n">
        <f aca="false">E5624*F5624</f>
        <v>0.375</v>
      </c>
      <c r="O5624" s="0" t="n">
        <f aca="false">E5624*G5624</f>
        <v>-0.1875</v>
      </c>
      <c r="P5624" s="0" t="n">
        <f aca="false">E5624*H5624</f>
        <v>-0.1875</v>
      </c>
      <c r="Q5624" s="0" t="n">
        <f aca="false">F5624*G5624</f>
        <v>-0.125</v>
      </c>
      <c r="R5624" s="0" t="n">
        <f aca="false">F5624*H5624</f>
        <v>-0.125</v>
      </c>
      <c r="S5624" s="0" t="n">
        <f aca="false">G5624*H5624</f>
        <v>0.0625</v>
      </c>
      <c r="T5624" s="0" t="n">
        <f aca="false">E5624*E5624</f>
        <v>0.5625</v>
      </c>
      <c r="U5624" s="0" t="n">
        <f aca="false">F5624*F5624</f>
        <v>0.25</v>
      </c>
      <c r="V5624" s="0" t="n">
        <f aca="false">G5624*G5624</f>
        <v>0.0625</v>
      </c>
      <c r="W5624" s="0" t="n">
        <f aca="false">H5624*H5624</f>
        <v>0.0625</v>
      </c>
      <c r="X5624" s="0" t="n">
        <f aca="false">SUMPRODUCT(I5624:W5624,_XtX!$B$96:$P$96)</f>
        <v>48.4730400219298</v>
      </c>
      <c r="Y5624" s="0" t="n">
        <f aca="false">SUMPRODUCT(MMULT(I5624:W5624,_XtX!$B$78:$P$92),I5624:W5624)</f>
        <v>0.207746539199561</v>
      </c>
      <c r="Z5624" s="0" t="n">
        <f aca="false">04_回帰ANOVA!$K$19*04_回帰ANOVA!$K$14*SQRT(1+Y5624)</f>
        <v>1.43247250081141</v>
      </c>
      <c r="AA5624" s="0" t="n">
        <f aca="false">X5624-Z5624</f>
        <v>47.0405675211184</v>
      </c>
      <c r="AB5624" s="0" t="n">
        <f aca="false">X5624+Z5624</f>
        <v>49.9055125227412</v>
      </c>
      <c r="AC5624" s="54" t="b">
        <f aca="false">AND(E5624&gt;=01_因子設定!$L$5-0.000000001,E5624&lt;=01_因子設定!$M$5+0.000000001,F5624&gt;=01_因子設定!$L$6-0.000000001,F5624&lt;=01_因子設定!$M$6+0.000000001,G5624&gt;=01_因子設定!$L$7-0.000000001,G5624&lt;=01_因子設定!$M$7+0.000000001,H5624&gt;=01_因子設定!$L$8-0.000000001,H5624&lt;=01_因子設定!$M$8+0.000000001,IF(01_因子設定!$B$20="Box-Behnken",E5624^2+F5624^2+G5624^2+H5624^2&lt;=2+0.000000001,TRUE()))</f>
        <v>1</v>
      </c>
      <c r="AD5624" s="55" t="n">
        <f aca="false">IF(AC5624,IF(01_因子設定!$B$13="最大化",AA5624-01_因子設定!$B$14,IF(01_因子設定!$B$13="最小化",01_因子設定!$B$15-AB5624,MIN(AA5624-01_因子設定!$B$14,01_因子設定!$B$15-AB5624))),-1E+030)</f>
        <v>0.540567521118405</v>
      </c>
      <c r="AE5624" s="55" t="n">
        <f aca="false">IF(AC5624,IF(01_因子設定!$B$13="最大化",X5624,IF(01_因子設定!$B$13="最小化",-X5624,-ABS(X5624-01_因子設定!$B$16))),-1E+030)</f>
        <v>48.4730400219298</v>
      </c>
      <c r="AF5624" s="55" t="n">
        <f aca="false">AD5624+ROW()*0.000000001</f>
        <v>0.540573145118405</v>
      </c>
      <c r="AG5624" s="55" t="n">
        <f aca="false">AE5624+ROW()*0.000000001</f>
        <v>48.4730456459298</v>
      </c>
    </row>
    <row r="5625" customFormat="false" ht="15" hidden="false" customHeight="false" outlineLevel="0" collapsed="false">
      <c r="A5625" s="0" t="n">
        <v>7</v>
      </c>
      <c r="B5625" s="0" t="n">
        <v>6</v>
      </c>
      <c r="C5625" s="0" t="n">
        <v>3</v>
      </c>
      <c r="D5625" s="0" t="n">
        <v>4</v>
      </c>
      <c r="E5625" s="0" t="n">
        <f aca="false">-1+A5625*0.25</f>
        <v>0.75</v>
      </c>
      <c r="F5625" s="0" t="n">
        <f aca="false">-1+B5625*0.25</f>
        <v>0.5</v>
      </c>
      <c r="G5625" s="0" t="n">
        <f aca="false">-1+C5625*0.25</f>
        <v>-0.25</v>
      </c>
      <c r="H5625" s="0" t="n">
        <f aca="false">-1+D5625*0.25</f>
        <v>0</v>
      </c>
      <c r="I5625" s="0" t="n">
        <f aca="false">1</f>
        <v>1</v>
      </c>
      <c r="J5625" s="0" t="n">
        <f aca="false">E5625</f>
        <v>0.75</v>
      </c>
      <c r="K5625" s="0" t="n">
        <f aca="false">F5625</f>
        <v>0.5</v>
      </c>
      <c r="L5625" s="0" t="n">
        <f aca="false">G5625</f>
        <v>-0.25</v>
      </c>
      <c r="M5625" s="0" t="n">
        <f aca="false">H5625</f>
        <v>0</v>
      </c>
      <c r="N5625" s="0" t="n">
        <f aca="false">E5625*F5625</f>
        <v>0.375</v>
      </c>
      <c r="O5625" s="0" t="n">
        <f aca="false">E5625*G5625</f>
        <v>-0.1875</v>
      </c>
      <c r="P5625" s="0" t="n">
        <f aca="false">E5625*H5625</f>
        <v>0</v>
      </c>
      <c r="Q5625" s="0" t="n">
        <f aca="false">F5625*G5625</f>
        <v>-0.125</v>
      </c>
      <c r="R5625" s="0" t="n">
        <f aca="false">F5625*H5625</f>
        <v>0</v>
      </c>
      <c r="S5625" s="0" t="n">
        <f aca="false">G5625*H5625</f>
        <v>-0</v>
      </c>
      <c r="T5625" s="0" t="n">
        <f aca="false">E5625*E5625</f>
        <v>0.5625</v>
      </c>
      <c r="U5625" s="0" t="n">
        <f aca="false">F5625*F5625</f>
        <v>0.25</v>
      </c>
      <c r="V5625" s="0" t="n">
        <f aca="false">G5625*G5625</f>
        <v>0.0625</v>
      </c>
      <c r="W5625" s="0" t="n">
        <f aca="false">H5625*H5625</f>
        <v>0</v>
      </c>
      <c r="X5625" s="0" t="n">
        <f aca="false">SUMPRODUCT(I5625:W5625,_XtX!$B$96:$P$96)</f>
        <v>48.5772386695906</v>
      </c>
      <c r="Y5625" s="0" t="n">
        <f aca="false">SUMPRODUCT(MMULT(I5625:W5625,_XtX!$B$78:$P$92),I5625:W5625)</f>
        <v>0.215110734192252</v>
      </c>
      <c r="Z5625" s="0" t="n">
        <f aca="false">04_回帰ANOVA!$K$19*04_回帰ANOVA!$K$14*SQRT(1+Y5625)</f>
        <v>1.43683309086864</v>
      </c>
      <c r="AA5625" s="0" t="n">
        <f aca="false">X5625-Z5625</f>
        <v>47.140405578722</v>
      </c>
      <c r="AB5625" s="0" t="n">
        <f aca="false">X5625+Z5625</f>
        <v>50.0140717604593</v>
      </c>
      <c r="AC5625" s="54" t="b">
        <f aca="false">AND(E5625&gt;=01_因子設定!$L$5-0.000000001,E5625&lt;=01_因子設定!$M$5+0.000000001,F5625&gt;=01_因子設定!$L$6-0.000000001,F5625&lt;=01_因子設定!$M$6+0.000000001,G5625&gt;=01_因子設定!$L$7-0.000000001,G5625&lt;=01_因子設定!$M$7+0.000000001,H5625&gt;=01_因子設定!$L$8-0.000000001,H5625&lt;=01_因子設定!$M$8+0.000000001,IF(01_因子設定!$B$20="Box-Behnken",E5625^2+F5625^2+G5625^2+H5625^2&lt;=2+0.000000001,TRUE()))</f>
        <v>1</v>
      </c>
      <c r="AD5625" s="55" t="n">
        <f aca="false">IF(AC5625,IF(01_因子設定!$B$13="最大化",AA5625-01_因子設定!$B$14,IF(01_因子設定!$B$13="最小化",01_因子設定!$B$15-AB5625,MIN(AA5625-01_因子設定!$B$14,01_因子設定!$B$15-AB5625))),-1E+030)</f>
        <v>0.640405578721982</v>
      </c>
      <c r="AE5625" s="55" t="n">
        <f aca="false">IF(AC5625,IF(01_因子設定!$B$13="最大化",X5625,IF(01_因子設定!$B$13="最小化",-X5625,-ABS(X5625-01_因子設定!$B$16))),-1E+030)</f>
        <v>48.5772386695906</v>
      </c>
      <c r="AF5625" s="55" t="n">
        <f aca="false">AD5625+ROW()*0.000000001</f>
        <v>0.640411203721982</v>
      </c>
      <c r="AG5625" s="55" t="n">
        <f aca="false">AE5625+ROW()*0.000000001</f>
        <v>48.5772442945906</v>
      </c>
    </row>
    <row r="5626" customFormat="false" ht="15" hidden="false" customHeight="false" outlineLevel="0" collapsed="false">
      <c r="A5626" s="0" t="n">
        <v>7</v>
      </c>
      <c r="B5626" s="0" t="n">
        <v>6</v>
      </c>
      <c r="C5626" s="0" t="n">
        <v>3</v>
      </c>
      <c r="D5626" s="0" t="n">
        <v>5</v>
      </c>
      <c r="E5626" s="0" t="n">
        <f aca="false">-1+A5626*0.25</f>
        <v>0.75</v>
      </c>
      <c r="F5626" s="0" t="n">
        <f aca="false">-1+B5626*0.25</f>
        <v>0.5</v>
      </c>
      <c r="G5626" s="0" t="n">
        <f aca="false">-1+C5626*0.25</f>
        <v>-0.25</v>
      </c>
      <c r="H5626" s="0" t="n">
        <f aca="false">-1+D5626*0.25</f>
        <v>0.25</v>
      </c>
      <c r="I5626" s="0" t="n">
        <f aca="false">1</f>
        <v>1</v>
      </c>
      <c r="J5626" s="0" t="n">
        <f aca="false">E5626</f>
        <v>0.75</v>
      </c>
      <c r="K5626" s="0" t="n">
        <f aca="false">F5626</f>
        <v>0.5</v>
      </c>
      <c r="L5626" s="0" t="n">
        <f aca="false">G5626</f>
        <v>-0.25</v>
      </c>
      <c r="M5626" s="0" t="n">
        <f aca="false">H5626</f>
        <v>0.25</v>
      </c>
      <c r="N5626" s="0" t="n">
        <f aca="false">E5626*F5626</f>
        <v>0.375</v>
      </c>
      <c r="O5626" s="0" t="n">
        <f aca="false">E5626*G5626</f>
        <v>-0.1875</v>
      </c>
      <c r="P5626" s="0" t="n">
        <f aca="false">E5626*H5626</f>
        <v>0.1875</v>
      </c>
      <c r="Q5626" s="0" t="n">
        <f aca="false">F5626*G5626</f>
        <v>-0.125</v>
      </c>
      <c r="R5626" s="0" t="n">
        <f aca="false">F5626*H5626</f>
        <v>0.125</v>
      </c>
      <c r="S5626" s="0" t="n">
        <f aca="false">G5626*H5626</f>
        <v>-0.0625</v>
      </c>
      <c r="T5626" s="0" t="n">
        <f aca="false">E5626*E5626</f>
        <v>0.5625</v>
      </c>
      <c r="U5626" s="0" t="n">
        <f aca="false">F5626*F5626</f>
        <v>0.25</v>
      </c>
      <c r="V5626" s="0" t="n">
        <f aca="false">G5626*G5626</f>
        <v>0.0625</v>
      </c>
      <c r="W5626" s="0" t="n">
        <f aca="false">H5626*H5626</f>
        <v>0.0625</v>
      </c>
      <c r="X5626" s="0" t="n">
        <f aca="false">SUMPRODUCT(I5626:W5626,_XtX!$B$96:$P$96)</f>
        <v>48.6336302997076</v>
      </c>
      <c r="Y5626" s="0" t="n">
        <f aca="false">SUMPRODUCT(MMULT(I5626:W5626,_XtX!$B$78:$P$92),I5626:W5626)</f>
        <v>0.207746539199561</v>
      </c>
      <c r="Z5626" s="0" t="n">
        <f aca="false">04_回帰ANOVA!$K$19*04_回帰ANOVA!$K$14*SQRT(1+Y5626)</f>
        <v>1.43247250081141</v>
      </c>
      <c r="AA5626" s="0" t="n">
        <f aca="false">X5626-Z5626</f>
        <v>47.2011577988962</v>
      </c>
      <c r="AB5626" s="0" t="n">
        <f aca="false">X5626+Z5626</f>
        <v>50.066102800519</v>
      </c>
      <c r="AC5626" s="54" t="b">
        <f aca="false">AND(E5626&gt;=01_因子設定!$L$5-0.000000001,E5626&lt;=01_因子設定!$M$5+0.000000001,F5626&gt;=01_因子設定!$L$6-0.000000001,F5626&lt;=01_因子設定!$M$6+0.000000001,G5626&gt;=01_因子設定!$L$7-0.000000001,G5626&lt;=01_因子設定!$M$7+0.000000001,H5626&gt;=01_因子設定!$L$8-0.000000001,H5626&lt;=01_因子設定!$M$8+0.000000001,IF(01_因子設定!$B$20="Box-Behnken",E5626^2+F5626^2+G5626^2+H5626^2&lt;=2+0.000000001,TRUE()))</f>
        <v>1</v>
      </c>
      <c r="AD5626" s="55" t="n">
        <f aca="false">IF(AC5626,IF(01_因子設定!$B$13="最大化",AA5626-01_因子設定!$B$14,IF(01_因子設定!$B$13="最小化",01_因子設定!$B$15-AB5626,MIN(AA5626-01_因子設定!$B$14,01_因子設定!$B$15-AB5626))),-1E+030)</f>
        <v>0.701157798896183</v>
      </c>
      <c r="AE5626" s="55" t="n">
        <f aca="false">IF(AC5626,IF(01_因子設定!$B$13="最大化",X5626,IF(01_因子設定!$B$13="最小化",-X5626,-ABS(X5626-01_因子設定!$B$16))),-1E+030)</f>
        <v>48.6336302997076</v>
      </c>
      <c r="AF5626" s="55" t="n">
        <f aca="false">AD5626+ROW()*0.000000001</f>
        <v>0.701163424896183</v>
      </c>
      <c r="AG5626" s="55" t="n">
        <f aca="false">AE5626+ROW()*0.000000001</f>
        <v>48.6336359257076</v>
      </c>
    </row>
    <row r="5627" customFormat="false" ht="15" hidden="false" customHeight="false" outlineLevel="0" collapsed="false">
      <c r="A5627" s="0" t="n">
        <v>7</v>
      </c>
      <c r="B5627" s="0" t="n">
        <v>6</v>
      </c>
      <c r="C5627" s="0" t="n">
        <v>3</v>
      </c>
      <c r="D5627" s="0" t="n">
        <v>6</v>
      </c>
      <c r="E5627" s="0" t="n">
        <f aca="false">-1+A5627*0.25</f>
        <v>0.75</v>
      </c>
      <c r="F5627" s="0" t="n">
        <f aca="false">-1+B5627*0.25</f>
        <v>0.5</v>
      </c>
      <c r="G5627" s="0" t="n">
        <f aca="false">-1+C5627*0.25</f>
        <v>-0.25</v>
      </c>
      <c r="H5627" s="0" t="n">
        <f aca="false">-1+D5627*0.25</f>
        <v>0.5</v>
      </c>
      <c r="I5627" s="0" t="n">
        <f aca="false">1</f>
        <v>1</v>
      </c>
      <c r="J5627" s="0" t="n">
        <f aca="false">E5627</f>
        <v>0.75</v>
      </c>
      <c r="K5627" s="0" t="n">
        <f aca="false">F5627</f>
        <v>0.5</v>
      </c>
      <c r="L5627" s="0" t="n">
        <f aca="false">G5627</f>
        <v>-0.25</v>
      </c>
      <c r="M5627" s="0" t="n">
        <f aca="false">H5627</f>
        <v>0.5</v>
      </c>
      <c r="N5627" s="0" t="n">
        <f aca="false">E5627*F5627</f>
        <v>0.375</v>
      </c>
      <c r="O5627" s="0" t="n">
        <f aca="false">E5627*G5627</f>
        <v>-0.1875</v>
      </c>
      <c r="P5627" s="0" t="n">
        <f aca="false">E5627*H5627</f>
        <v>0.375</v>
      </c>
      <c r="Q5627" s="0" t="n">
        <f aca="false">F5627*G5627</f>
        <v>-0.125</v>
      </c>
      <c r="R5627" s="0" t="n">
        <f aca="false">F5627*H5627</f>
        <v>0.25</v>
      </c>
      <c r="S5627" s="0" t="n">
        <f aca="false">G5627*H5627</f>
        <v>-0.125</v>
      </c>
      <c r="T5627" s="0" t="n">
        <f aca="false">E5627*E5627</f>
        <v>0.5625</v>
      </c>
      <c r="U5627" s="0" t="n">
        <f aca="false">F5627*F5627</f>
        <v>0.25</v>
      </c>
      <c r="V5627" s="0" t="n">
        <f aca="false">G5627*G5627</f>
        <v>0.0625</v>
      </c>
      <c r="W5627" s="0" t="n">
        <f aca="false">H5627*H5627</f>
        <v>0.25</v>
      </c>
      <c r="X5627" s="0" t="n">
        <f aca="false">SUMPRODUCT(I5627:W5627,_XtX!$B$96:$P$96)</f>
        <v>48.6422149122807</v>
      </c>
      <c r="Y5627" s="0" t="n">
        <f aca="false">SUMPRODUCT(MMULT(I5627:W5627,_XtX!$B$78:$P$92),I5627:W5627)</f>
        <v>0.203746059484649</v>
      </c>
      <c r="Z5627" s="0" t="n">
        <f aca="false">04_回帰ANOVA!$K$19*04_回帰ANOVA!$K$14*SQRT(1+Y5627)</f>
        <v>1.43009810755465</v>
      </c>
      <c r="AA5627" s="0" t="n">
        <f aca="false">X5627-Z5627</f>
        <v>47.212116804726</v>
      </c>
      <c r="AB5627" s="0" t="n">
        <f aca="false">X5627+Z5627</f>
        <v>50.0723130198353</v>
      </c>
      <c r="AC5627" s="54" t="b">
        <f aca="false">AND(E5627&gt;=01_因子設定!$L$5-0.000000001,E5627&lt;=01_因子設定!$M$5+0.000000001,F5627&gt;=01_因子設定!$L$6-0.000000001,F5627&lt;=01_因子設定!$M$6+0.000000001,G5627&gt;=01_因子設定!$L$7-0.000000001,G5627&lt;=01_因子設定!$M$7+0.000000001,H5627&gt;=01_因子設定!$L$8-0.000000001,H5627&lt;=01_因子設定!$M$8+0.000000001,IF(01_因子設定!$B$20="Box-Behnken",E5627^2+F5627^2+G5627^2+H5627^2&lt;=2+0.000000001,TRUE()))</f>
        <v>1</v>
      </c>
      <c r="AD5627" s="55" t="n">
        <f aca="false">IF(AC5627,IF(01_因子設定!$B$13="最大化",AA5627-01_因子設定!$B$14,IF(01_因子設定!$B$13="最小化",01_因子設定!$B$15-AB5627,MIN(AA5627-01_因子設定!$B$14,01_因子設定!$B$15-AB5627))),-1E+030)</f>
        <v>0.712116804726044</v>
      </c>
      <c r="AE5627" s="55" t="n">
        <f aca="false">IF(AC5627,IF(01_因子設定!$B$13="最大化",X5627,IF(01_因子設定!$B$13="最小化",-X5627,-ABS(X5627-01_因子設定!$B$16))),-1E+030)</f>
        <v>48.6422149122807</v>
      </c>
      <c r="AF5627" s="55" t="n">
        <f aca="false">AD5627+ROW()*0.000000001</f>
        <v>0.712122431726044</v>
      </c>
      <c r="AG5627" s="55" t="n">
        <f aca="false">AE5627+ROW()*0.000000001</f>
        <v>48.6422205392807</v>
      </c>
    </row>
    <row r="5628" customFormat="false" ht="15" hidden="false" customHeight="false" outlineLevel="0" collapsed="false">
      <c r="A5628" s="0" t="n">
        <v>7</v>
      </c>
      <c r="B5628" s="0" t="n">
        <v>6</v>
      </c>
      <c r="C5628" s="0" t="n">
        <v>3</v>
      </c>
      <c r="D5628" s="0" t="n">
        <v>7</v>
      </c>
      <c r="E5628" s="0" t="n">
        <f aca="false">-1+A5628*0.25</f>
        <v>0.75</v>
      </c>
      <c r="F5628" s="0" t="n">
        <f aca="false">-1+B5628*0.25</f>
        <v>0.5</v>
      </c>
      <c r="G5628" s="0" t="n">
        <f aca="false">-1+C5628*0.25</f>
        <v>-0.25</v>
      </c>
      <c r="H5628" s="0" t="n">
        <f aca="false">-1+D5628*0.25</f>
        <v>0.75</v>
      </c>
      <c r="I5628" s="0" t="n">
        <f aca="false">1</f>
        <v>1</v>
      </c>
      <c r="J5628" s="0" t="n">
        <f aca="false">E5628</f>
        <v>0.75</v>
      </c>
      <c r="K5628" s="0" t="n">
        <f aca="false">F5628</f>
        <v>0.5</v>
      </c>
      <c r="L5628" s="0" t="n">
        <f aca="false">G5628</f>
        <v>-0.25</v>
      </c>
      <c r="M5628" s="0" t="n">
        <f aca="false">H5628</f>
        <v>0.75</v>
      </c>
      <c r="N5628" s="0" t="n">
        <f aca="false">E5628*F5628</f>
        <v>0.375</v>
      </c>
      <c r="O5628" s="0" t="n">
        <f aca="false">E5628*G5628</f>
        <v>-0.1875</v>
      </c>
      <c r="P5628" s="0" t="n">
        <f aca="false">E5628*H5628</f>
        <v>0.5625</v>
      </c>
      <c r="Q5628" s="0" t="n">
        <f aca="false">F5628*G5628</f>
        <v>-0.125</v>
      </c>
      <c r="R5628" s="0" t="n">
        <f aca="false">F5628*H5628</f>
        <v>0.375</v>
      </c>
      <c r="S5628" s="0" t="n">
        <f aca="false">G5628*H5628</f>
        <v>-0.1875</v>
      </c>
      <c r="T5628" s="0" t="n">
        <f aca="false">E5628*E5628</f>
        <v>0.5625</v>
      </c>
      <c r="U5628" s="0" t="n">
        <f aca="false">F5628*F5628</f>
        <v>0.25</v>
      </c>
      <c r="V5628" s="0" t="n">
        <f aca="false">G5628*G5628</f>
        <v>0.0625</v>
      </c>
      <c r="W5628" s="0" t="n">
        <f aca="false">H5628*H5628</f>
        <v>0.5625</v>
      </c>
      <c r="X5628" s="0" t="n">
        <f aca="false">SUMPRODUCT(I5628:W5628,_XtX!$B$96:$P$96)</f>
        <v>48.60299250731</v>
      </c>
      <c r="Y5628" s="0" t="n">
        <f aca="false">SUMPRODUCT(MMULT(I5628:W5628,_XtX!$B$78:$P$92),I5628:W5628)</f>
        <v>0.257385610836988</v>
      </c>
      <c r="Z5628" s="0" t="n">
        <f aca="false">04_回帰ANOVA!$K$19*04_回帰ANOVA!$K$14*SQRT(1+Y5628)</f>
        <v>1.46161380324158</v>
      </c>
      <c r="AA5628" s="0" t="n">
        <f aca="false">X5628-Z5628</f>
        <v>47.1413787040684</v>
      </c>
      <c r="AB5628" s="0" t="n">
        <f aca="false">X5628+Z5628</f>
        <v>50.0646063105515</v>
      </c>
      <c r="AC5628" s="54" t="b">
        <f aca="false">AND(E5628&gt;=01_因子設定!$L$5-0.000000001,E5628&lt;=01_因子設定!$M$5+0.000000001,F5628&gt;=01_因子設定!$L$6-0.000000001,F5628&lt;=01_因子設定!$M$6+0.000000001,G5628&gt;=01_因子設定!$L$7-0.000000001,G5628&lt;=01_因子設定!$M$7+0.000000001,H5628&gt;=01_因子設定!$L$8-0.000000001,H5628&lt;=01_因子設定!$M$8+0.000000001,IF(01_因子設定!$B$20="Box-Behnken",E5628^2+F5628^2+G5628^2+H5628^2&lt;=2+0.000000001,TRUE()))</f>
        <v>1</v>
      </c>
      <c r="AD5628" s="55" t="n">
        <f aca="false">IF(AC5628,IF(01_因子設定!$B$13="最大化",AA5628-01_因子設定!$B$14,IF(01_因子設定!$B$13="最小化",01_因子設定!$B$15-AB5628,MIN(AA5628-01_因子設定!$B$14,01_因子設定!$B$15-AB5628))),-1E+030)</f>
        <v>0.641378704068366</v>
      </c>
      <c r="AE5628" s="55" t="n">
        <f aca="false">IF(AC5628,IF(01_因子設定!$B$13="最大化",X5628,IF(01_因子設定!$B$13="最小化",-X5628,-ABS(X5628-01_因子設定!$B$16))),-1E+030)</f>
        <v>48.60299250731</v>
      </c>
      <c r="AF5628" s="55" t="n">
        <f aca="false">AD5628+ROW()*0.000000001</f>
        <v>0.641384332068366</v>
      </c>
      <c r="AG5628" s="55" t="n">
        <f aca="false">AE5628+ROW()*0.000000001</f>
        <v>48.6029981353099</v>
      </c>
    </row>
    <row r="5629" customFormat="false" ht="15" hidden="false" customHeight="false" outlineLevel="0" collapsed="false">
      <c r="A5629" s="0" t="n">
        <v>7</v>
      </c>
      <c r="B5629" s="0" t="n">
        <v>6</v>
      </c>
      <c r="C5629" s="0" t="n">
        <v>3</v>
      </c>
      <c r="D5629" s="0" t="n">
        <v>8</v>
      </c>
      <c r="E5629" s="0" t="n">
        <f aca="false">-1+A5629*0.25</f>
        <v>0.75</v>
      </c>
      <c r="F5629" s="0" t="n">
        <f aca="false">-1+B5629*0.25</f>
        <v>0.5</v>
      </c>
      <c r="G5629" s="0" t="n">
        <f aca="false">-1+C5629*0.25</f>
        <v>-0.25</v>
      </c>
      <c r="H5629" s="0" t="n">
        <f aca="false">-1+D5629*0.25</f>
        <v>1</v>
      </c>
      <c r="I5629" s="0" t="n">
        <f aca="false">1</f>
        <v>1</v>
      </c>
      <c r="J5629" s="0" t="n">
        <f aca="false">E5629</f>
        <v>0.75</v>
      </c>
      <c r="K5629" s="0" t="n">
        <f aca="false">F5629</f>
        <v>0.5</v>
      </c>
      <c r="L5629" s="0" t="n">
        <f aca="false">G5629</f>
        <v>-0.25</v>
      </c>
      <c r="M5629" s="0" t="n">
        <f aca="false">H5629</f>
        <v>1</v>
      </c>
      <c r="N5629" s="0" t="n">
        <f aca="false">E5629*F5629</f>
        <v>0.375</v>
      </c>
      <c r="O5629" s="0" t="n">
        <f aca="false">E5629*G5629</f>
        <v>-0.1875</v>
      </c>
      <c r="P5629" s="0" t="n">
        <f aca="false">E5629*H5629</f>
        <v>0.75</v>
      </c>
      <c r="Q5629" s="0" t="n">
        <f aca="false">F5629*G5629</f>
        <v>-0.125</v>
      </c>
      <c r="R5629" s="0" t="n">
        <f aca="false">F5629*H5629</f>
        <v>0.5</v>
      </c>
      <c r="S5629" s="0" t="n">
        <f aca="false">G5629*H5629</f>
        <v>-0.25</v>
      </c>
      <c r="T5629" s="0" t="n">
        <f aca="false">E5629*E5629</f>
        <v>0.5625</v>
      </c>
      <c r="U5629" s="0" t="n">
        <f aca="false">F5629*F5629</f>
        <v>0.25</v>
      </c>
      <c r="V5629" s="0" t="n">
        <f aca="false">G5629*G5629</f>
        <v>0.0625</v>
      </c>
      <c r="W5629" s="0" t="n">
        <f aca="false">H5629*H5629</f>
        <v>1</v>
      </c>
      <c r="X5629" s="0" t="n">
        <f aca="false">SUMPRODUCT(I5629:W5629,_XtX!$B$96:$P$96)</f>
        <v>48.5159630847953</v>
      </c>
      <c r="Y5629" s="0" t="n">
        <f aca="false">SUMPRODUCT(MMULT(I5629:W5629,_XtX!$B$78:$P$92),I5629:W5629)</f>
        <v>0.459125719572369</v>
      </c>
      <c r="Z5629" s="0" t="n">
        <f aca="false">04_回帰ANOVA!$K$19*04_回帰ANOVA!$K$14*SQRT(1+Y5629)</f>
        <v>1.57450755575573</v>
      </c>
      <c r="AA5629" s="0" t="n">
        <f aca="false">X5629-Z5629</f>
        <v>46.9414555290396</v>
      </c>
      <c r="AB5629" s="0" t="n">
        <f aca="false">X5629+Z5629</f>
        <v>50.0904706405511</v>
      </c>
      <c r="AC5629" s="54" t="b">
        <f aca="false">AND(E5629&gt;=01_因子設定!$L$5-0.000000001,E5629&lt;=01_因子設定!$M$5+0.000000001,F5629&gt;=01_因子設定!$L$6-0.000000001,F5629&lt;=01_因子設定!$M$6+0.000000001,G5629&gt;=01_因子設定!$L$7-0.000000001,G5629&lt;=01_因子設定!$M$7+0.000000001,H5629&gt;=01_因子設定!$L$8-0.000000001,H5629&lt;=01_因子設定!$M$8+0.000000001,IF(01_因子設定!$B$20="Box-Behnken",E5629^2+F5629^2+G5629^2+H5629^2&lt;=2+0.000000001,TRUE()))</f>
        <v>1</v>
      </c>
      <c r="AD5629" s="55" t="n">
        <f aca="false">IF(AC5629,IF(01_因子設定!$B$13="最大化",AA5629-01_因子設定!$B$14,IF(01_因子設定!$B$13="最小化",01_因子設定!$B$15-AB5629,MIN(AA5629-01_因子設定!$B$14,01_因子設定!$B$15-AB5629))),-1E+030)</f>
        <v>0.441455529039615</v>
      </c>
      <c r="AE5629" s="55" t="n">
        <f aca="false">IF(AC5629,IF(01_因子設定!$B$13="最大化",X5629,IF(01_因子設定!$B$13="最小化",-X5629,-ABS(X5629-01_因子設定!$B$16))),-1E+030)</f>
        <v>48.5159630847953</v>
      </c>
      <c r="AF5629" s="55" t="n">
        <f aca="false">AD5629+ROW()*0.000000001</f>
        <v>0.441461158039615</v>
      </c>
      <c r="AG5629" s="55" t="n">
        <f aca="false">AE5629+ROW()*0.000000001</f>
        <v>48.5159687137953</v>
      </c>
    </row>
    <row r="5630" customFormat="false" ht="15" hidden="false" customHeight="false" outlineLevel="0" collapsed="false">
      <c r="A5630" s="0" t="n">
        <v>7</v>
      </c>
      <c r="B5630" s="0" t="n">
        <v>6</v>
      </c>
      <c r="C5630" s="0" t="n">
        <v>4</v>
      </c>
      <c r="D5630" s="0" t="n">
        <v>0</v>
      </c>
      <c r="E5630" s="0" t="n">
        <f aca="false">-1+A5630*0.25</f>
        <v>0.75</v>
      </c>
      <c r="F5630" s="0" t="n">
        <f aca="false">-1+B5630*0.25</f>
        <v>0.5</v>
      </c>
      <c r="G5630" s="0" t="n">
        <f aca="false">-1+C5630*0.25</f>
        <v>0</v>
      </c>
      <c r="H5630" s="0" t="n">
        <f aca="false">-1+D5630*0.25</f>
        <v>-1</v>
      </c>
      <c r="I5630" s="0" t="n">
        <f aca="false">1</f>
        <v>1</v>
      </c>
      <c r="J5630" s="0" t="n">
        <f aca="false">E5630</f>
        <v>0.75</v>
      </c>
      <c r="K5630" s="0" t="n">
        <f aca="false">F5630</f>
        <v>0.5</v>
      </c>
      <c r="L5630" s="0" t="n">
        <f aca="false">G5630</f>
        <v>0</v>
      </c>
      <c r="M5630" s="0" t="n">
        <f aca="false">H5630</f>
        <v>-1</v>
      </c>
      <c r="N5630" s="0" t="n">
        <f aca="false">E5630*F5630</f>
        <v>0.375</v>
      </c>
      <c r="O5630" s="0" t="n">
        <f aca="false">E5630*G5630</f>
        <v>0</v>
      </c>
      <c r="P5630" s="0" t="n">
        <f aca="false">E5630*H5630</f>
        <v>-0.75</v>
      </c>
      <c r="Q5630" s="0" t="n">
        <f aca="false">F5630*G5630</f>
        <v>0</v>
      </c>
      <c r="R5630" s="0" t="n">
        <f aca="false">F5630*H5630</f>
        <v>-0.5</v>
      </c>
      <c r="S5630" s="0" t="n">
        <f aca="false">G5630*H5630</f>
        <v>-0</v>
      </c>
      <c r="T5630" s="0" t="n">
        <f aca="false">E5630*E5630</f>
        <v>0.5625</v>
      </c>
      <c r="U5630" s="0" t="n">
        <f aca="false">F5630*F5630</f>
        <v>0.25</v>
      </c>
      <c r="V5630" s="0" t="n">
        <f aca="false">G5630*G5630</f>
        <v>0</v>
      </c>
      <c r="W5630" s="0" t="n">
        <f aca="false">H5630*H5630</f>
        <v>1</v>
      </c>
      <c r="X5630" s="0" t="n">
        <f aca="false">SUMPRODUCT(I5630:W5630,_XtX!$B$96:$P$96)</f>
        <v>48.0074013157895</v>
      </c>
      <c r="Y5630" s="0" t="n">
        <f aca="false">SUMPRODUCT(MMULT(I5630:W5630,_XtX!$B$78:$P$92),I5630:W5630)</f>
        <v>0.476191292032164</v>
      </c>
      <c r="Z5630" s="0" t="n">
        <f aca="false">04_回帰ANOVA!$K$19*04_回帰ANOVA!$K$14*SQRT(1+Y5630)</f>
        <v>1.58368831471718</v>
      </c>
      <c r="AA5630" s="0" t="n">
        <f aca="false">X5630-Z5630</f>
        <v>46.4237130010723</v>
      </c>
      <c r="AB5630" s="0" t="n">
        <f aca="false">X5630+Z5630</f>
        <v>49.5910896305067</v>
      </c>
      <c r="AC5630" s="54" t="b">
        <f aca="false">AND(E5630&gt;=01_因子設定!$L$5-0.000000001,E5630&lt;=01_因子設定!$M$5+0.000000001,F5630&gt;=01_因子設定!$L$6-0.000000001,F5630&lt;=01_因子設定!$M$6+0.000000001,G5630&gt;=01_因子設定!$L$7-0.000000001,G5630&lt;=01_因子設定!$M$7+0.000000001,H5630&gt;=01_因子設定!$L$8-0.000000001,H5630&lt;=01_因子設定!$M$8+0.000000001,IF(01_因子設定!$B$20="Box-Behnken",E5630^2+F5630^2+G5630^2+H5630^2&lt;=2+0.000000001,TRUE()))</f>
        <v>1</v>
      </c>
      <c r="AD5630" s="55" t="n">
        <f aca="false">IF(AC5630,IF(01_因子設定!$B$13="最大化",AA5630-01_因子設定!$B$14,IF(01_因子設定!$B$13="最小化",01_因子設定!$B$15-AB5630,MIN(AA5630-01_因子設定!$B$14,01_因子設定!$B$15-AB5630))),-1E+030)</f>
        <v>-0.0762869989276851</v>
      </c>
      <c r="AE5630" s="55" t="n">
        <f aca="false">IF(AC5630,IF(01_因子設定!$B$13="最大化",X5630,IF(01_因子設定!$B$13="最小化",-X5630,-ABS(X5630-01_因子設定!$B$16))),-1E+030)</f>
        <v>48.0074013157895</v>
      </c>
      <c r="AF5630" s="55" t="n">
        <f aca="false">AD5630+ROW()*0.000000001</f>
        <v>-0.0762813689276851</v>
      </c>
      <c r="AG5630" s="55" t="n">
        <f aca="false">AE5630+ROW()*0.000000001</f>
        <v>48.0074069457895</v>
      </c>
    </row>
    <row r="5631" customFormat="false" ht="15" hidden="false" customHeight="false" outlineLevel="0" collapsed="false">
      <c r="A5631" s="0" t="n">
        <v>7</v>
      </c>
      <c r="B5631" s="0" t="n">
        <v>6</v>
      </c>
      <c r="C5631" s="0" t="n">
        <v>4</v>
      </c>
      <c r="D5631" s="0" t="n">
        <v>1</v>
      </c>
      <c r="E5631" s="0" t="n">
        <f aca="false">-1+A5631*0.25</f>
        <v>0.75</v>
      </c>
      <c r="F5631" s="0" t="n">
        <f aca="false">-1+B5631*0.25</f>
        <v>0.5</v>
      </c>
      <c r="G5631" s="0" t="n">
        <f aca="false">-1+C5631*0.25</f>
        <v>0</v>
      </c>
      <c r="H5631" s="0" t="n">
        <f aca="false">-1+D5631*0.25</f>
        <v>-0.75</v>
      </c>
      <c r="I5631" s="0" t="n">
        <f aca="false">1</f>
        <v>1</v>
      </c>
      <c r="J5631" s="0" t="n">
        <f aca="false">E5631</f>
        <v>0.75</v>
      </c>
      <c r="K5631" s="0" t="n">
        <f aca="false">F5631</f>
        <v>0.5</v>
      </c>
      <c r="L5631" s="0" t="n">
        <f aca="false">G5631</f>
        <v>0</v>
      </c>
      <c r="M5631" s="0" t="n">
        <f aca="false">H5631</f>
        <v>-0.75</v>
      </c>
      <c r="N5631" s="0" t="n">
        <f aca="false">E5631*F5631</f>
        <v>0.375</v>
      </c>
      <c r="O5631" s="0" t="n">
        <f aca="false">E5631*G5631</f>
        <v>0</v>
      </c>
      <c r="P5631" s="0" t="n">
        <f aca="false">E5631*H5631</f>
        <v>-0.5625</v>
      </c>
      <c r="Q5631" s="0" t="n">
        <f aca="false">F5631*G5631</f>
        <v>0</v>
      </c>
      <c r="R5631" s="0" t="n">
        <f aca="false">F5631*H5631</f>
        <v>-0.375</v>
      </c>
      <c r="S5631" s="0" t="n">
        <f aca="false">G5631*H5631</f>
        <v>-0</v>
      </c>
      <c r="T5631" s="0" t="n">
        <f aca="false">E5631*E5631</f>
        <v>0.5625</v>
      </c>
      <c r="U5631" s="0" t="n">
        <f aca="false">F5631*F5631</f>
        <v>0.25</v>
      </c>
      <c r="V5631" s="0" t="n">
        <f aca="false">G5631*G5631</f>
        <v>0</v>
      </c>
      <c r="W5631" s="0" t="n">
        <f aca="false">H5631*H5631</f>
        <v>0.5625</v>
      </c>
      <c r="X5631" s="0" t="n">
        <f aca="false">SUMPRODUCT(I5631:W5631,_XtX!$B$96:$P$96)</f>
        <v>48.2729897660819</v>
      </c>
      <c r="Y5631" s="0" t="n">
        <f aca="false">SUMPRODUCT(MMULT(I5631:W5631,_XtX!$B$78:$P$92),I5631:W5631)</f>
        <v>0.269923873812135</v>
      </c>
      <c r="Z5631" s="0" t="n">
        <f aca="false">04_回帰ANOVA!$K$19*04_回帰ANOVA!$K$14*SQRT(1+Y5631)</f>
        <v>1.46888310825501</v>
      </c>
      <c r="AA5631" s="0" t="n">
        <f aca="false">X5631-Z5631</f>
        <v>46.8041066578269</v>
      </c>
      <c r="AB5631" s="0" t="n">
        <f aca="false">X5631+Z5631</f>
        <v>49.7418728743369</v>
      </c>
      <c r="AC5631" s="54" t="b">
        <f aca="false">AND(E5631&gt;=01_因子設定!$L$5-0.000000001,E5631&lt;=01_因子設定!$M$5+0.000000001,F5631&gt;=01_因子設定!$L$6-0.000000001,F5631&lt;=01_因子設定!$M$6+0.000000001,G5631&gt;=01_因子設定!$L$7-0.000000001,G5631&lt;=01_因子設定!$M$7+0.000000001,H5631&gt;=01_因子設定!$L$8-0.000000001,H5631&lt;=01_因子設定!$M$8+0.000000001,IF(01_因子設定!$B$20="Box-Behnken",E5631^2+F5631^2+G5631^2+H5631^2&lt;=2+0.000000001,TRUE()))</f>
        <v>1</v>
      </c>
      <c r="AD5631" s="55" t="n">
        <f aca="false">IF(AC5631,IF(01_因子設定!$B$13="最大化",AA5631-01_因子設定!$B$14,IF(01_因子設定!$B$13="最小化",01_因子設定!$B$15-AB5631,MIN(AA5631-01_因子設定!$B$14,01_因子設定!$B$15-AB5631))),-1E+030)</f>
        <v>0.304106657826871</v>
      </c>
      <c r="AE5631" s="55" t="n">
        <f aca="false">IF(AC5631,IF(01_因子設定!$B$13="最大化",X5631,IF(01_因子設定!$B$13="最小化",-X5631,-ABS(X5631-01_因子設定!$B$16))),-1E+030)</f>
        <v>48.2729897660819</v>
      </c>
      <c r="AF5631" s="55" t="n">
        <f aca="false">AD5631+ROW()*0.000000001</f>
        <v>0.304112288826871</v>
      </c>
      <c r="AG5631" s="55" t="n">
        <f aca="false">AE5631+ROW()*0.000000001</f>
        <v>48.2729953970819</v>
      </c>
    </row>
    <row r="5632" customFormat="false" ht="15" hidden="false" customHeight="false" outlineLevel="0" collapsed="false">
      <c r="A5632" s="0" t="n">
        <v>7</v>
      </c>
      <c r="B5632" s="0" t="n">
        <v>6</v>
      </c>
      <c r="C5632" s="0" t="n">
        <v>4</v>
      </c>
      <c r="D5632" s="0" t="n">
        <v>2</v>
      </c>
      <c r="E5632" s="0" t="n">
        <f aca="false">-1+A5632*0.25</f>
        <v>0.75</v>
      </c>
      <c r="F5632" s="0" t="n">
        <f aca="false">-1+B5632*0.25</f>
        <v>0.5</v>
      </c>
      <c r="G5632" s="0" t="n">
        <f aca="false">-1+C5632*0.25</f>
        <v>0</v>
      </c>
      <c r="H5632" s="0" t="n">
        <f aca="false">-1+D5632*0.25</f>
        <v>-0.5</v>
      </c>
      <c r="I5632" s="0" t="n">
        <f aca="false">1</f>
        <v>1</v>
      </c>
      <c r="J5632" s="0" t="n">
        <f aca="false">E5632</f>
        <v>0.75</v>
      </c>
      <c r="K5632" s="0" t="n">
        <f aca="false">F5632</f>
        <v>0.5</v>
      </c>
      <c r="L5632" s="0" t="n">
        <f aca="false">G5632</f>
        <v>0</v>
      </c>
      <c r="M5632" s="0" t="n">
        <f aca="false">H5632</f>
        <v>-0.5</v>
      </c>
      <c r="N5632" s="0" t="n">
        <f aca="false">E5632*F5632</f>
        <v>0.375</v>
      </c>
      <c r="O5632" s="0" t="n">
        <f aca="false">E5632*G5632</f>
        <v>0</v>
      </c>
      <c r="P5632" s="0" t="n">
        <f aca="false">E5632*H5632</f>
        <v>-0.375</v>
      </c>
      <c r="Q5632" s="0" t="n">
        <f aca="false">F5632*G5632</f>
        <v>0</v>
      </c>
      <c r="R5632" s="0" t="n">
        <f aca="false">F5632*H5632</f>
        <v>-0.25</v>
      </c>
      <c r="S5632" s="0" t="n">
        <f aca="false">G5632*H5632</f>
        <v>-0</v>
      </c>
      <c r="T5632" s="0" t="n">
        <f aca="false">E5632*E5632</f>
        <v>0.5625</v>
      </c>
      <c r="U5632" s="0" t="n">
        <f aca="false">F5632*F5632</f>
        <v>0.25</v>
      </c>
      <c r="V5632" s="0" t="n">
        <f aca="false">G5632*G5632</f>
        <v>0</v>
      </c>
      <c r="W5632" s="0" t="n">
        <f aca="false">H5632*H5632</f>
        <v>0.25</v>
      </c>
      <c r="X5632" s="0" t="n">
        <f aca="false">SUMPRODUCT(I5632:W5632,_XtX!$B$96:$P$96)</f>
        <v>48.4907711988304</v>
      </c>
      <c r="Y5632" s="0" t="n">
        <f aca="false">SUMPRODUCT(MMULT(I5632:W5632,_XtX!$B$78:$P$92),I5632:W5632)</f>
        <v>0.21305052997076</v>
      </c>
      <c r="Z5632" s="0" t="n">
        <f aca="false">04_回帰ANOVA!$K$19*04_回帰ANOVA!$K$14*SQRT(1+Y5632)</f>
        <v>1.43561450835061</v>
      </c>
      <c r="AA5632" s="0" t="n">
        <f aca="false">X5632-Z5632</f>
        <v>47.0551566904798</v>
      </c>
      <c r="AB5632" s="0" t="n">
        <f aca="false">X5632+Z5632</f>
        <v>49.926385707181</v>
      </c>
      <c r="AC5632" s="54" t="b">
        <f aca="false">AND(E5632&gt;=01_因子設定!$L$5-0.000000001,E5632&lt;=01_因子設定!$M$5+0.000000001,F5632&gt;=01_因子設定!$L$6-0.000000001,F5632&lt;=01_因子設定!$M$6+0.000000001,G5632&gt;=01_因子設定!$L$7-0.000000001,G5632&lt;=01_因子設定!$M$7+0.000000001,H5632&gt;=01_因子設定!$L$8-0.000000001,H5632&lt;=01_因子設定!$M$8+0.000000001,IF(01_因子設定!$B$20="Box-Behnken",E5632^2+F5632^2+G5632^2+H5632^2&lt;=2+0.000000001,TRUE()))</f>
        <v>1</v>
      </c>
      <c r="AD5632" s="55" t="n">
        <f aca="false">IF(AC5632,IF(01_因子設定!$B$13="最大化",AA5632-01_因子設定!$B$14,IF(01_因子設定!$B$13="最小化",01_因子設定!$B$15-AB5632,MIN(AA5632-01_因子設定!$B$14,01_因子設定!$B$15-AB5632))),-1E+030)</f>
        <v>0.555156690479798</v>
      </c>
      <c r="AE5632" s="55" t="n">
        <f aca="false">IF(AC5632,IF(01_因子設定!$B$13="最大化",X5632,IF(01_因子設定!$B$13="最小化",-X5632,-ABS(X5632-01_因子設定!$B$16))),-1E+030)</f>
        <v>48.4907711988304</v>
      </c>
      <c r="AF5632" s="55" t="n">
        <f aca="false">AD5632+ROW()*0.000000001</f>
        <v>0.555162322479798</v>
      </c>
      <c r="AG5632" s="55" t="n">
        <f aca="false">AE5632+ROW()*0.000000001</f>
        <v>48.4907768308304</v>
      </c>
    </row>
    <row r="5633" customFormat="false" ht="15" hidden="false" customHeight="false" outlineLevel="0" collapsed="false">
      <c r="A5633" s="0" t="n">
        <v>7</v>
      </c>
      <c r="B5633" s="0" t="n">
        <v>6</v>
      </c>
      <c r="C5633" s="0" t="n">
        <v>4</v>
      </c>
      <c r="D5633" s="0" t="n">
        <v>3</v>
      </c>
      <c r="E5633" s="0" t="n">
        <f aca="false">-1+A5633*0.25</f>
        <v>0.75</v>
      </c>
      <c r="F5633" s="0" t="n">
        <f aca="false">-1+B5633*0.25</f>
        <v>0.5</v>
      </c>
      <c r="G5633" s="0" t="n">
        <f aca="false">-1+C5633*0.25</f>
        <v>0</v>
      </c>
      <c r="H5633" s="0" t="n">
        <f aca="false">-1+D5633*0.25</f>
        <v>-0.25</v>
      </c>
      <c r="I5633" s="0" t="n">
        <f aca="false">1</f>
        <v>1</v>
      </c>
      <c r="J5633" s="0" t="n">
        <f aca="false">E5633</f>
        <v>0.75</v>
      </c>
      <c r="K5633" s="0" t="n">
        <f aca="false">F5633</f>
        <v>0.5</v>
      </c>
      <c r="L5633" s="0" t="n">
        <f aca="false">G5633</f>
        <v>0</v>
      </c>
      <c r="M5633" s="0" t="n">
        <f aca="false">H5633</f>
        <v>-0.25</v>
      </c>
      <c r="N5633" s="0" t="n">
        <f aca="false">E5633*F5633</f>
        <v>0.375</v>
      </c>
      <c r="O5633" s="0" t="n">
        <f aca="false">E5633*G5633</f>
        <v>0</v>
      </c>
      <c r="P5633" s="0" t="n">
        <f aca="false">E5633*H5633</f>
        <v>-0.1875</v>
      </c>
      <c r="Q5633" s="0" t="n">
        <f aca="false">F5633*G5633</f>
        <v>0</v>
      </c>
      <c r="R5633" s="0" t="n">
        <f aca="false">F5633*H5633</f>
        <v>-0.125</v>
      </c>
      <c r="S5633" s="0" t="n">
        <f aca="false">G5633*H5633</f>
        <v>-0</v>
      </c>
      <c r="T5633" s="0" t="n">
        <f aca="false">E5633*E5633</f>
        <v>0.5625</v>
      </c>
      <c r="U5633" s="0" t="n">
        <f aca="false">F5633*F5633</f>
        <v>0.25</v>
      </c>
      <c r="V5633" s="0" t="n">
        <f aca="false">G5633*G5633</f>
        <v>0</v>
      </c>
      <c r="W5633" s="0" t="n">
        <f aca="false">H5633*H5633</f>
        <v>0.0625</v>
      </c>
      <c r="X5633" s="0" t="n">
        <f aca="false">SUMPRODUCT(I5633:W5633,_XtX!$B$96:$P$96)</f>
        <v>48.6607456140351</v>
      </c>
      <c r="Y5633" s="0" t="n">
        <f aca="false">SUMPRODUCT(MMULT(I5633:W5633,_XtX!$B$78:$P$92),I5633:W5633)</f>
        <v>0.215110734192252</v>
      </c>
      <c r="Z5633" s="0" t="n">
        <f aca="false">04_回帰ANOVA!$K$19*04_回帰ANOVA!$K$14*SQRT(1+Y5633)</f>
        <v>1.43683309086864</v>
      </c>
      <c r="AA5633" s="0" t="n">
        <f aca="false">X5633-Z5633</f>
        <v>47.2239125231664</v>
      </c>
      <c r="AB5633" s="0" t="n">
        <f aca="false">X5633+Z5633</f>
        <v>50.0975787049037</v>
      </c>
      <c r="AC5633" s="54" t="b">
        <f aca="false">AND(E5633&gt;=01_因子設定!$L$5-0.000000001,E5633&lt;=01_因子設定!$M$5+0.000000001,F5633&gt;=01_因子設定!$L$6-0.000000001,F5633&lt;=01_因子設定!$M$6+0.000000001,G5633&gt;=01_因子設定!$L$7-0.000000001,G5633&lt;=01_因子設定!$M$7+0.000000001,H5633&gt;=01_因子設定!$L$8-0.000000001,H5633&lt;=01_因子設定!$M$8+0.000000001,IF(01_因子設定!$B$20="Box-Behnken",E5633^2+F5633^2+G5633^2+H5633^2&lt;=2+0.000000001,TRUE()))</f>
        <v>1</v>
      </c>
      <c r="AD5633" s="55" t="n">
        <f aca="false">IF(AC5633,IF(01_因子設定!$B$13="最大化",AA5633-01_因子設定!$B$14,IF(01_因子設定!$B$13="最小化",01_因子設定!$B$15-AB5633,MIN(AA5633-01_因子設定!$B$14,01_因子設定!$B$15-AB5633))),-1E+030)</f>
        <v>0.723912523166426</v>
      </c>
      <c r="AE5633" s="55" t="n">
        <f aca="false">IF(AC5633,IF(01_因子設定!$B$13="最大化",X5633,IF(01_因子設定!$B$13="最小化",-X5633,-ABS(X5633-01_因子設定!$B$16))),-1E+030)</f>
        <v>48.6607456140351</v>
      </c>
      <c r="AF5633" s="55" t="n">
        <f aca="false">AD5633+ROW()*0.000000001</f>
        <v>0.723918156166426</v>
      </c>
      <c r="AG5633" s="55" t="n">
        <f aca="false">AE5633+ROW()*0.000000001</f>
        <v>48.6607512470351</v>
      </c>
    </row>
    <row r="5634" customFormat="false" ht="15" hidden="false" customHeight="false" outlineLevel="0" collapsed="false">
      <c r="A5634" s="0" t="n">
        <v>7</v>
      </c>
      <c r="B5634" s="0" t="n">
        <v>6</v>
      </c>
      <c r="C5634" s="0" t="n">
        <v>4</v>
      </c>
      <c r="D5634" s="0" t="n">
        <v>4</v>
      </c>
      <c r="E5634" s="0" t="n">
        <f aca="false">-1+A5634*0.25</f>
        <v>0.75</v>
      </c>
      <c r="F5634" s="0" t="n">
        <f aca="false">-1+B5634*0.25</f>
        <v>0.5</v>
      </c>
      <c r="G5634" s="0" t="n">
        <f aca="false">-1+C5634*0.25</f>
        <v>0</v>
      </c>
      <c r="H5634" s="0" t="n">
        <f aca="false">-1+D5634*0.25</f>
        <v>0</v>
      </c>
      <c r="I5634" s="0" t="n">
        <f aca="false">1</f>
        <v>1</v>
      </c>
      <c r="J5634" s="0" t="n">
        <f aca="false">E5634</f>
        <v>0.75</v>
      </c>
      <c r="K5634" s="0" t="n">
        <f aca="false">F5634</f>
        <v>0.5</v>
      </c>
      <c r="L5634" s="0" t="n">
        <f aca="false">G5634</f>
        <v>0</v>
      </c>
      <c r="M5634" s="0" t="n">
        <f aca="false">H5634</f>
        <v>0</v>
      </c>
      <c r="N5634" s="0" t="n">
        <f aca="false">E5634*F5634</f>
        <v>0.375</v>
      </c>
      <c r="O5634" s="0" t="n">
        <f aca="false">E5634*G5634</f>
        <v>0</v>
      </c>
      <c r="P5634" s="0" t="n">
        <f aca="false">E5634*H5634</f>
        <v>0</v>
      </c>
      <c r="Q5634" s="0" t="n">
        <f aca="false">F5634*G5634</f>
        <v>0</v>
      </c>
      <c r="R5634" s="0" t="n">
        <f aca="false">F5634*H5634</f>
        <v>0</v>
      </c>
      <c r="S5634" s="0" t="n">
        <f aca="false">G5634*H5634</f>
        <v>0</v>
      </c>
      <c r="T5634" s="0" t="n">
        <f aca="false">E5634*E5634</f>
        <v>0.5625</v>
      </c>
      <c r="U5634" s="0" t="n">
        <f aca="false">F5634*F5634</f>
        <v>0.25</v>
      </c>
      <c r="V5634" s="0" t="n">
        <f aca="false">G5634*G5634</f>
        <v>0</v>
      </c>
      <c r="W5634" s="0" t="n">
        <f aca="false">H5634*H5634</f>
        <v>0</v>
      </c>
      <c r="X5634" s="0" t="n">
        <f aca="false">SUMPRODUCT(I5634:W5634,_XtX!$B$96:$P$96)</f>
        <v>48.7829130116959</v>
      </c>
      <c r="Y5634" s="0" t="n">
        <f aca="false">SUMPRODUCT(MMULT(I5634:W5634,_XtX!$B$78:$P$92),I5634:W5634)</f>
        <v>0.221828170687135</v>
      </c>
      <c r="Z5634" s="0" t="n">
        <f aca="false">04_回帰ANOVA!$K$19*04_回帰ANOVA!$K$14*SQRT(1+Y5634)</f>
        <v>1.44079920361664</v>
      </c>
      <c r="AA5634" s="0" t="n">
        <f aca="false">X5634-Z5634</f>
        <v>47.3421138080793</v>
      </c>
      <c r="AB5634" s="0" t="n">
        <f aca="false">X5634+Z5634</f>
        <v>50.2237122153125</v>
      </c>
      <c r="AC5634" s="54" t="b">
        <f aca="false">AND(E5634&gt;=01_因子設定!$L$5-0.000000001,E5634&lt;=01_因子設定!$M$5+0.000000001,F5634&gt;=01_因子設定!$L$6-0.000000001,F5634&lt;=01_因子設定!$M$6+0.000000001,G5634&gt;=01_因子設定!$L$7-0.000000001,G5634&lt;=01_因子設定!$M$7+0.000000001,H5634&gt;=01_因子設定!$L$8-0.000000001,H5634&lt;=01_因子設定!$M$8+0.000000001,IF(01_因子設定!$B$20="Box-Behnken",E5634^2+F5634^2+G5634^2+H5634^2&lt;=2+0.000000001,TRUE()))</f>
        <v>1</v>
      </c>
      <c r="AD5634" s="55" t="n">
        <f aca="false">IF(AC5634,IF(01_因子設定!$B$13="最大化",AA5634-01_因子設定!$B$14,IF(01_因子設定!$B$13="最小化",01_因子設定!$B$15-AB5634,MIN(AA5634-01_因子設定!$B$14,01_因子設定!$B$15-AB5634))),-1E+030)</f>
        <v>0.842113808079247</v>
      </c>
      <c r="AE5634" s="55" t="n">
        <f aca="false">IF(AC5634,IF(01_因子設定!$B$13="最大化",X5634,IF(01_因子設定!$B$13="最小化",-X5634,-ABS(X5634-01_因子設定!$B$16))),-1E+030)</f>
        <v>48.7829130116959</v>
      </c>
      <c r="AF5634" s="55" t="n">
        <f aca="false">AD5634+ROW()*0.000000001</f>
        <v>0.842119442079247</v>
      </c>
      <c r="AG5634" s="55" t="n">
        <f aca="false">AE5634+ROW()*0.000000001</f>
        <v>48.7829186456959</v>
      </c>
    </row>
    <row r="5635" customFormat="false" ht="15" hidden="false" customHeight="false" outlineLevel="0" collapsed="false">
      <c r="A5635" s="0" t="n">
        <v>7</v>
      </c>
      <c r="B5635" s="0" t="n">
        <v>6</v>
      </c>
      <c r="C5635" s="0" t="n">
        <v>4</v>
      </c>
      <c r="D5635" s="0" t="n">
        <v>5</v>
      </c>
      <c r="E5635" s="0" t="n">
        <f aca="false">-1+A5635*0.25</f>
        <v>0.75</v>
      </c>
      <c r="F5635" s="0" t="n">
        <f aca="false">-1+B5635*0.25</f>
        <v>0.5</v>
      </c>
      <c r="G5635" s="0" t="n">
        <f aca="false">-1+C5635*0.25</f>
        <v>0</v>
      </c>
      <c r="H5635" s="0" t="n">
        <f aca="false">-1+D5635*0.25</f>
        <v>0.25</v>
      </c>
      <c r="I5635" s="0" t="n">
        <f aca="false">1</f>
        <v>1</v>
      </c>
      <c r="J5635" s="0" t="n">
        <f aca="false">E5635</f>
        <v>0.75</v>
      </c>
      <c r="K5635" s="0" t="n">
        <f aca="false">F5635</f>
        <v>0.5</v>
      </c>
      <c r="L5635" s="0" t="n">
        <f aca="false">G5635</f>
        <v>0</v>
      </c>
      <c r="M5635" s="0" t="n">
        <f aca="false">H5635</f>
        <v>0.25</v>
      </c>
      <c r="N5635" s="0" t="n">
        <f aca="false">E5635*F5635</f>
        <v>0.375</v>
      </c>
      <c r="O5635" s="0" t="n">
        <f aca="false">E5635*G5635</f>
        <v>0</v>
      </c>
      <c r="P5635" s="0" t="n">
        <f aca="false">E5635*H5635</f>
        <v>0.1875</v>
      </c>
      <c r="Q5635" s="0" t="n">
        <f aca="false">F5635*G5635</f>
        <v>0</v>
      </c>
      <c r="R5635" s="0" t="n">
        <f aca="false">F5635*H5635</f>
        <v>0.125</v>
      </c>
      <c r="S5635" s="0" t="n">
        <f aca="false">G5635*H5635</f>
        <v>0</v>
      </c>
      <c r="T5635" s="0" t="n">
        <f aca="false">E5635*E5635</f>
        <v>0.5625</v>
      </c>
      <c r="U5635" s="0" t="n">
        <f aca="false">F5635*F5635</f>
        <v>0.25</v>
      </c>
      <c r="V5635" s="0" t="n">
        <f aca="false">G5635*G5635</f>
        <v>0</v>
      </c>
      <c r="W5635" s="0" t="n">
        <f aca="false">H5635*H5635</f>
        <v>0.0625</v>
      </c>
      <c r="X5635" s="0" t="n">
        <f aca="false">SUMPRODUCT(I5635:W5635,_XtX!$B$96:$P$96)</f>
        <v>48.8572733918129</v>
      </c>
      <c r="Y5635" s="0" t="n">
        <f aca="false">SUMPRODUCT(MMULT(I5635:W5635,_XtX!$B$78:$P$92),I5635:W5635)</f>
        <v>0.215110734192252</v>
      </c>
      <c r="Z5635" s="0" t="n">
        <f aca="false">04_回帰ANOVA!$K$19*04_回帰ANOVA!$K$14*SQRT(1+Y5635)</f>
        <v>1.43683309086864</v>
      </c>
      <c r="AA5635" s="0" t="n">
        <f aca="false">X5635-Z5635</f>
        <v>47.4204403009442</v>
      </c>
      <c r="AB5635" s="0" t="n">
        <f aca="false">X5635+Z5635</f>
        <v>50.2941064826815</v>
      </c>
      <c r="AC5635" s="54" t="b">
        <f aca="false">AND(E5635&gt;=01_因子設定!$L$5-0.000000001,E5635&lt;=01_因子設定!$M$5+0.000000001,F5635&gt;=01_因子設定!$L$6-0.000000001,F5635&lt;=01_因子設定!$M$6+0.000000001,G5635&gt;=01_因子設定!$L$7-0.000000001,G5635&lt;=01_因子設定!$M$7+0.000000001,H5635&gt;=01_因子設定!$L$8-0.000000001,H5635&lt;=01_因子設定!$M$8+0.000000001,IF(01_因子設定!$B$20="Box-Behnken",E5635^2+F5635^2+G5635^2+H5635^2&lt;=2+0.000000001,TRUE()))</f>
        <v>1</v>
      </c>
      <c r="AD5635" s="55" t="n">
        <f aca="false">IF(AC5635,IF(01_因子設定!$B$13="最大化",AA5635-01_因子設定!$B$14,IF(01_因子設定!$B$13="最小化",01_因子設定!$B$15-AB5635,MIN(AA5635-01_因子設定!$B$14,01_因子設定!$B$15-AB5635))),-1E+030)</f>
        <v>0.920440300944208</v>
      </c>
      <c r="AE5635" s="55" t="n">
        <f aca="false">IF(AC5635,IF(01_因子設定!$B$13="最大化",X5635,IF(01_因子設定!$B$13="最小化",-X5635,-ABS(X5635-01_因子設定!$B$16))),-1E+030)</f>
        <v>48.8572733918129</v>
      </c>
      <c r="AF5635" s="55" t="n">
        <f aca="false">AD5635+ROW()*0.000000001</f>
        <v>0.920445935944207</v>
      </c>
      <c r="AG5635" s="55" t="n">
        <f aca="false">AE5635+ROW()*0.000000001</f>
        <v>48.8572790268129</v>
      </c>
    </row>
    <row r="5636" customFormat="false" ht="15" hidden="false" customHeight="false" outlineLevel="0" collapsed="false">
      <c r="A5636" s="0" t="n">
        <v>7</v>
      </c>
      <c r="B5636" s="0" t="n">
        <v>6</v>
      </c>
      <c r="C5636" s="0" t="n">
        <v>4</v>
      </c>
      <c r="D5636" s="0" t="n">
        <v>6</v>
      </c>
      <c r="E5636" s="0" t="n">
        <f aca="false">-1+A5636*0.25</f>
        <v>0.75</v>
      </c>
      <c r="F5636" s="0" t="n">
        <f aca="false">-1+B5636*0.25</f>
        <v>0.5</v>
      </c>
      <c r="G5636" s="0" t="n">
        <f aca="false">-1+C5636*0.25</f>
        <v>0</v>
      </c>
      <c r="H5636" s="0" t="n">
        <f aca="false">-1+D5636*0.25</f>
        <v>0.5</v>
      </c>
      <c r="I5636" s="0" t="n">
        <f aca="false">1</f>
        <v>1</v>
      </c>
      <c r="J5636" s="0" t="n">
        <f aca="false">E5636</f>
        <v>0.75</v>
      </c>
      <c r="K5636" s="0" t="n">
        <f aca="false">F5636</f>
        <v>0.5</v>
      </c>
      <c r="L5636" s="0" t="n">
        <f aca="false">G5636</f>
        <v>0</v>
      </c>
      <c r="M5636" s="0" t="n">
        <f aca="false">H5636</f>
        <v>0.5</v>
      </c>
      <c r="N5636" s="0" t="n">
        <f aca="false">E5636*F5636</f>
        <v>0.375</v>
      </c>
      <c r="O5636" s="0" t="n">
        <f aca="false">E5636*G5636</f>
        <v>0</v>
      </c>
      <c r="P5636" s="0" t="n">
        <f aca="false">E5636*H5636</f>
        <v>0.375</v>
      </c>
      <c r="Q5636" s="0" t="n">
        <f aca="false">F5636*G5636</f>
        <v>0</v>
      </c>
      <c r="R5636" s="0" t="n">
        <f aca="false">F5636*H5636</f>
        <v>0.25</v>
      </c>
      <c r="S5636" s="0" t="n">
        <f aca="false">G5636*H5636</f>
        <v>0</v>
      </c>
      <c r="T5636" s="0" t="n">
        <f aca="false">E5636*E5636</f>
        <v>0.5625</v>
      </c>
      <c r="U5636" s="0" t="n">
        <f aca="false">F5636*F5636</f>
        <v>0.25</v>
      </c>
      <c r="V5636" s="0" t="n">
        <f aca="false">G5636*G5636</f>
        <v>0</v>
      </c>
      <c r="W5636" s="0" t="n">
        <f aca="false">H5636*H5636</f>
        <v>0.25</v>
      </c>
      <c r="X5636" s="0" t="n">
        <f aca="false">SUMPRODUCT(I5636:W5636,_XtX!$B$96:$P$96)</f>
        <v>48.883826754386</v>
      </c>
      <c r="Y5636" s="0" t="n">
        <f aca="false">SUMPRODUCT(MMULT(I5636:W5636,_XtX!$B$78:$P$92),I5636:W5636)</f>
        <v>0.21305052997076</v>
      </c>
      <c r="Z5636" s="0" t="n">
        <f aca="false">04_回帰ANOVA!$K$19*04_回帰ANOVA!$K$14*SQRT(1+Y5636)</f>
        <v>1.43561450835061</v>
      </c>
      <c r="AA5636" s="0" t="n">
        <f aca="false">X5636-Z5636</f>
        <v>47.4482122460354</v>
      </c>
      <c r="AB5636" s="0" t="n">
        <f aca="false">X5636+Z5636</f>
        <v>50.3194412627366</v>
      </c>
      <c r="AC5636" s="54" t="b">
        <f aca="false">AND(E5636&gt;=01_因子設定!$L$5-0.000000001,E5636&lt;=01_因子設定!$M$5+0.000000001,F5636&gt;=01_因子設定!$L$6-0.000000001,F5636&lt;=01_因子設定!$M$6+0.000000001,G5636&gt;=01_因子設定!$L$7-0.000000001,G5636&lt;=01_因子設定!$M$7+0.000000001,H5636&gt;=01_因子設定!$L$8-0.000000001,H5636&lt;=01_因子設定!$M$8+0.000000001,IF(01_因子設定!$B$20="Box-Behnken",E5636^2+F5636^2+G5636^2+H5636^2&lt;=2+0.000000001,TRUE()))</f>
        <v>1</v>
      </c>
      <c r="AD5636" s="55" t="n">
        <f aca="false">IF(AC5636,IF(01_因子設定!$B$13="最大化",AA5636-01_因子設定!$B$14,IF(01_因子設定!$B$13="最小化",01_因子設定!$B$15-AB5636,MIN(AA5636-01_因子設定!$B$14,01_因子設定!$B$15-AB5636))),-1E+030)</f>
        <v>0.948212246035354</v>
      </c>
      <c r="AE5636" s="55" t="n">
        <f aca="false">IF(AC5636,IF(01_因子設定!$B$13="最大化",X5636,IF(01_因子設定!$B$13="最小化",-X5636,-ABS(X5636-01_因子設定!$B$16))),-1E+030)</f>
        <v>48.883826754386</v>
      </c>
      <c r="AF5636" s="55" t="n">
        <f aca="false">AD5636+ROW()*0.000000001</f>
        <v>0.948217882035354</v>
      </c>
      <c r="AG5636" s="55" t="n">
        <f aca="false">AE5636+ROW()*0.000000001</f>
        <v>48.883832390386</v>
      </c>
    </row>
    <row r="5637" customFormat="false" ht="15" hidden="false" customHeight="false" outlineLevel="0" collapsed="false">
      <c r="A5637" s="0" t="n">
        <v>7</v>
      </c>
      <c r="B5637" s="0" t="n">
        <v>6</v>
      </c>
      <c r="C5637" s="0" t="n">
        <v>4</v>
      </c>
      <c r="D5637" s="0" t="n">
        <v>7</v>
      </c>
      <c r="E5637" s="0" t="n">
        <f aca="false">-1+A5637*0.25</f>
        <v>0.75</v>
      </c>
      <c r="F5637" s="0" t="n">
        <f aca="false">-1+B5637*0.25</f>
        <v>0.5</v>
      </c>
      <c r="G5637" s="0" t="n">
        <f aca="false">-1+C5637*0.25</f>
        <v>0</v>
      </c>
      <c r="H5637" s="0" t="n">
        <f aca="false">-1+D5637*0.25</f>
        <v>0.75</v>
      </c>
      <c r="I5637" s="0" t="n">
        <f aca="false">1</f>
        <v>1</v>
      </c>
      <c r="J5637" s="0" t="n">
        <f aca="false">E5637</f>
        <v>0.75</v>
      </c>
      <c r="K5637" s="0" t="n">
        <f aca="false">F5637</f>
        <v>0.5</v>
      </c>
      <c r="L5637" s="0" t="n">
        <f aca="false">G5637</f>
        <v>0</v>
      </c>
      <c r="M5637" s="0" t="n">
        <f aca="false">H5637</f>
        <v>0.75</v>
      </c>
      <c r="N5637" s="0" t="n">
        <f aca="false">E5637*F5637</f>
        <v>0.375</v>
      </c>
      <c r="O5637" s="0" t="n">
        <f aca="false">E5637*G5637</f>
        <v>0</v>
      </c>
      <c r="P5637" s="0" t="n">
        <f aca="false">E5637*H5637</f>
        <v>0.5625</v>
      </c>
      <c r="Q5637" s="0" t="n">
        <f aca="false">F5637*G5637</f>
        <v>0</v>
      </c>
      <c r="R5637" s="0" t="n">
        <f aca="false">F5637*H5637</f>
        <v>0.375</v>
      </c>
      <c r="S5637" s="0" t="n">
        <f aca="false">G5637*H5637</f>
        <v>0</v>
      </c>
      <c r="T5637" s="0" t="n">
        <f aca="false">E5637*E5637</f>
        <v>0.5625</v>
      </c>
      <c r="U5637" s="0" t="n">
        <f aca="false">F5637*F5637</f>
        <v>0.25</v>
      </c>
      <c r="V5637" s="0" t="n">
        <f aca="false">G5637*G5637</f>
        <v>0</v>
      </c>
      <c r="W5637" s="0" t="n">
        <f aca="false">H5637*H5637</f>
        <v>0.5625</v>
      </c>
      <c r="X5637" s="0" t="n">
        <f aca="false">SUMPRODUCT(I5637:W5637,_XtX!$B$96:$P$96)</f>
        <v>48.8625730994152</v>
      </c>
      <c r="Y5637" s="0" t="n">
        <f aca="false">SUMPRODUCT(MMULT(I5637:W5637,_XtX!$B$78:$P$92),I5637:W5637)</f>
        <v>0.269923873812135</v>
      </c>
      <c r="Z5637" s="0" t="n">
        <f aca="false">04_回帰ANOVA!$K$19*04_回帰ANOVA!$K$14*SQRT(1+Y5637)</f>
        <v>1.46888310825501</v>
      </c>
      <c r="AA5637" s="0" t="n">
        <f aca="false">X5637-Z5637</f>
        <v>47.3936899911602</v>
      </c>
      <c r="AB5637" s="0" t="n">
        <f aca="false">X5637+Z5637</f>
        <v>50.3314562076702</v>
      </c>
      <c r="AC5637" s="54" t="b">
        <f aca="false">AND(E5637&gt;=01_因子設定!$L$5-0.000000001,E5637&lt;=01_因子設定!$M$5+0.000000001,F5637&gt;=01_因子設定!$L$6-0.000000001,F5637&lt;=01_因子設定!$M$6+0.000000001,G5637&gt;=01_因子設定!$L$7-0.000000001,G5637&lt;=01_因子設定!$M$7+0.000000001,H5637&gt;=01_因子設定!$L$8-0.000000001,H5637&lt;=01_因子設定!$M$8+0.000000001,IF(01_因子設定!$B$20="Box-Behnken",E5637^2+F5637^2+G5637^2+H5637^2&lt;=2+0.000000001,TRUE()))</f>
        <v>1</v>
      </c>
      <c r="AD5637" s="55" t="n">
        <f aca="false">IF(AC5637,IF(01_因子設定!$B$13="最大化",AA5637-01_因子設定!$B$14,IF(01_因子設定!$B$13="最小化",01_因子設定!$B$15-AB5637,MIN(AA5637-01_因子設定!$B$14,01_因子設定!$B$15-AB5637))),-1E+030)</f>
        <v>0.893689991160201</v>
      </c>
      <c r="AE5637" s="55" t="n">
        <f aca="false">IF(AC5637,IF(01_因子設定!$B$13="最大化",X5637,IF(01_因子設定!$B$13="最小化",-X5637,-ABS(X5637-01_因子設定!$B$16))),-1E+030)</f>
        <v>48.8625730994152</v>
      </c>
      <c r="AF5637" s="55" t="n">
        <f aca="false">AD5637+ROW()*0.000000001</f>
        <v>0.893695628160201</v>
      </c>
      <c r="AG5637" s="55" t="n">
        <f aca="false">AE5637+ROW()*0.000000001</f>
        <v>48.8625787364152</v>
      </c>
    </row>
    <row r="5638" customFormat="false" ht="15" hidden="false" customHeight="false" outlineLevel="0" collapsed="false">
      <c r="A5638" s="0" t="n">
        <v>7</v>
      </c>
      <c r="B5638" s="0" t="n">
        <v>6</v>
      </c>
      <c r="C5638" s="0" t="n">
        <v>4</v>
      </c>
      <c r="D5638" s="0" t="n">
        <v>8</v>
      </c>
      <c r="E5638" s="0" t="n">
        <f aca="false">-1+A5638*0.25</f>
        <v>0.75</v>
      </c>
      <c r="F5638" s="0" t="n">
        <f aca="false">-1+B5638*0.25</f>
        <v>0.5</v>
      </c>
      <c r="G5638" s="0" t="n">
        <f aca="false">-1+C5638*0.25</f>
        <v>0</v>
      </c>
      <c r="H5638" s="0" t="n">
        <f aca="false">-1+D5638*0.25</f>
        <v>1</v>
      </c>
      <c r="I5638" s="0" t="n">
        <f aca="false">1</f>
        <v>1</v>
      </c>
      <c r="J5638" s="0" t="n">
        <f aca="false">E5638</f>
        <v>0.75</v>
      </c>
      <c r="K5638" s="0" t="n">
        <f aca="false">F5638</f>
        <v>0.5</v>
      </c>
      <c r="L5638" s="0" t="n">
        <f aca="false">G5638</f>
        <v>0</v>
      </c>
      <c r="M5638" s="0" t="n">
        <f aca="false">H5638</f>
        <v>1</v>
      </c>
      <c r="N5638" s="0" t="n">
        <f aca="false">E5638*F5638</f>
        <v>0.375</v>
      </c>
      <c r="O5638" s="0" t="n">
        <f aca="false">E5638*G5638</f>
        <v>0</v>
      </c>
      <c r="P5638" s="0" t="n">
        <f aca="false">E5638*H5638</f>
        <v>0.75</v>
      </c>
      <c r="Q5638" s="0" t="n">
        <f aca="false">F5638*G5638</f>
        <v>0</v>
      </c>
      <c r="R5638" s="0" t="n">
        <f aca="false">F5638*H5638</f>
        <v>0.5</v>
      </c>
      <c r="S5638" s="0" t="n">
        <f aca="false">G5638*H5638</f>
        <v>0</v>
      </c>
      <c r="T5638" s="0" t="n">
        <f aca="false">E5638*E5638</f>
        <v>0.5625</v>
      </c>
      <c r="U5638" s="0" t="n">
        <f aca="false">F5638*F5638</f>
        <v>0.25</v>
      </c>
      <c r="V5638" s="0" t="n">
        <f aca="false">G5638*G5638</f>
        <v>0</v>
      </c>
      <c r="W5638" s="0" t="n">
        <f aca="false">H5638*H5638</f>
        <v>1</v>
      </c>
      <c r="X5638" s="0" t="n">
        <f aca="false">SUMPRODUCT(I5638:W5638,_XtX!$B$96:$P$96)</f>
        <v>48.7935124269006</v>
      </c>
      <c r="Y5638" s="0" t="n">
        <f aca="false">SUMPRODUCT(MMULT(I5638:W5638,_XtX!$B$78:$P$92),I5638:W5638)</f>
        <v>0.476191292032164</v>
      </c>
      <c r="Z5638" s="0" t="n">
        <f aca="false">04_回帰ANOVA!$K$19*04_回帰ANOVA!$K$14*SQRT(1+Y5638)</f>
        <v>1.58368831471718</v>
      </c>
      <c r="AA5638" s="0" t="n">
        <f aca="false">X5638-Z5638</f>
        <v>47.2098241121834</v>
      </c>
      <c r="AB5638" s="0" t="n">
        <f aca="false">X5638+Z5638</f>
        <v>50.3772007416178</v>
      </c>
      <c r="AC5638" s="54" t="b">
        <f aca="false">AND(E5638&gt;=01_因子設定!$L$5-0.000000001,E5638&lt;=01_因子設定!$M$5+0.000000001,F5638&gt;=01_因子設定!$L$6-0.000000001,F5638&lt;=01_因子設定!$M$6+0.000000001,G5638&gt;=01_因子設定!$L$7-0.000000001,G5638&lt;=01_因子設定!$M$7+0.000000001,H5638&gt;=01_因子設定!$L$8-0.000000001,H5638&lt;=01_因子設定!$M$8+0.000000001,IF(01_因子設定!$B$20="Box-Behnken",E5638^2+F5638^2+G5638^2+H5638^2&lt;=2+0.000000001,TRUE()))</f>
        <v>1</v>
      </c>
      <c r="AD5638" s="55" t="n">
        <f aca="false">IF(AC5638,IF(01_因子設定!$B$13="最大化",AA5638-01_因子設定!$B$14,IF(01_因子設定!$B$13="最小化",01_因子設定!$B$15-AB5638,MIN(AA5638-01_因子設定!$B$14,01_因子設定!$B$15-AB5638))),-1E+030)</f>
        <v>0.709824112183426</v>
      </c>
      <c r="AE5638" s="55" t="n">
        <f aca="false">IF(AC5638,IF(01_因子設定!$B$13="最大化",X5638,IF(01_因子設定!$B$13="最小化",-X5638,-ABS(X5638-01_因子設定!$B$16))),-1E+030)</f>
        <v>48.7935124269006</v>
      </c>
      <c r="AF5638" s="55" t="n">
        <f aca="false">AD5638+ROW()*0.000000001</f>
        <v>0.709829750183426</v>
      </c>
      <c r="AG5638" s="55" t="n">
        <f aca="false">AE5638+ROW()*0.000000001</f>
        <v>48.7935180649006</v>
      </c>
    </row>
    <row r="5639" customFormat="false" ht="15" hidden="false" customHeight="false" outlineLevel="0" collapsed="false">
      <c r="A5639" s="0" t="n">
        <v>7</v>
      </c>
      <c r="B5639" s="0" t="n">
        <v>6</v>
      </c>
      <c r="C5639" s="0" t="n">
        <v>5</v>
      </c>
      <c r="D5639" s="0" t="n">
        <v>0</v>
      </c>
      <c r="E5639" s="0" t="n">
        <f aca="false">-1+A5639*0.25</f>
        <v>0.75</v>
      </c>
      <c r="F5639" s="0" t="n">
        <f aca="false">-1+B5639*0.25</f>
        <v>0.5</v>
      </c>
      <c r="G5639" s="0" t="n">
        <f aca="false">-1+C5639*0.25</f>
        <v>0.25</v>
      </c>
      <c r="H5639" s="0" t="n">
        <f aca="false">-1+D5639*0.25</f>
        <v>-1</v>
      </c>
      <c r="I5639" s="0" t="n">
        <f aca="false">1</f>
        <v>1</v>
      </c>
      <c r="J5639" s="0" t="n">
        <f aca="false">E5639</f>
        <v>0.75</v>
      </c>
      <c r="K5639" s="0" t="n">
        <f aca="false">F5639</f>
        <v>0.5</v>
      </c>
      <c r="L5639" s="0" t="n">
        <f aca="false">G5639</f>
        <v>0.25</v>
      </c>
      <c r="M5639" s="0" t="n">
        <f aca="false">H5639</f>
        <v>-1</v>
      </c>
      <c r="N5639" s="0" t="n">
        <f aca="false">E5639*F5639</f>
        <v>0.375</v>
      </c>
      <c r="O5639" s="0" t="n">
        <f aca="false">E5639*G5639</f>
        <v>0.1875</v>
      </c>
      <c r="P5639" s="0" t="n">
        <f aca="false">E5639*H5639</f>
        <v>-0.75</v>
      </c>
      <c r="Q5639" s="0" t="n">
        <f aca="false">F5639*G5639</f>
        <v>0.125</v>
      </c>
      <c r="R5639" s="0" t="n">
        <f aca="false">F5639*H5639</f>
        <v>-0.5</v>
      </c>
      <c r="S5639" s="0" t="n">
        <f aca="false">G5639*H5639</f>
        <v>-0.25</v>
      </c>
      <c r="T5639" s="0" t="n">
        <f aca="false">E5639*E5639</f>
        <v>0.5625</v>
      </c>
      <c r="U5639" s="0" t="n">
        <f aca="false">F5639*F5639</f>
        <v>0.25</v>
      </c>
      <c r="V5639" s="0" t="n">
        <f aca="false">G5639*G5639</f>
        <v>0.0625</v>
      </c>
      <c r="W5639" s="0" t="n">
        <f aca="false">H5639*H5639</f>
        <v>1</v>
      </c>
      <c r="X5639" s="0" t="n">
        <f aca="false">SUMPRODUCT(I5639:W5639,_XtX!$B$96:$P$96)</f>
        <v>48.0558936403509</v>
      </c>
      <c r="Y5639" s="0" t="n">
        <f aca="false">SUMPRODUCT(MMULT(I5639:W5639,_XtX!$B$78:$P$92),I5639:W5639)</f>
        <v>0.459125719572369</v>
      </c>
      <c r="Z5639" s="0" t="n">
        <f aca="false">04_回帰ANOVA!$K$19*04_回帰ANOVA!$K$14*SQRT(1+Y5639)</f>
        <v>1.57450755575573</v>
      </c>
      <c r="AA5639" s="0" t="n">
        <f aca="false">X5639-Z5639</f>
        <v>46.4813860845952</v>
      </c>
      <c r="AB5639" s="0" t="n">
        <f aca="false">X5639+Z5639</f>
        <v>49.6304011961066</v>
      </c>
      <c r="AC5639" s="54" t="b">
        <f aca="false">AND(E5639&gt;=01_因子設定!$L$5-0.000000001,E5639&lt;=01_因子設定!$M$5+0.000000001,F5639&gt;=01_因子設定!$L$6-0.000000001,F5639&lt;=01_因子設定!$M$6+0.000000001,G5639&gt;=01_因子設定!$L$7-0.000000001,G5639&lt;=01_因子設定!$M$7+0.000000001,H5639&gt;=01_因子設定!$L$8-0.000000001,H5639&lt;=01_因子設定!$M$8+0.000000001,IF(01_因子設定!$B$20="Box-Behnken",E5639^2+F5639^2+G5639^2+H5639^2&lt;=2+0.000000001,TRUE()))</f>
        <v>1</v>
      </c>
      <c r="AD5639" s="55" t="n">
        <f aca="false">IF(AC5639,IF(01_因子設定!$B$13="最大化",AA5639-01_因子設定!$B$14,IF(01_因子設定!$B$13="最小化",01_因子設定!$B$15-AB5639,MIN(AA5639-01_因子設定!$B$14,01_因子設定!$B$15-AB5639))),-1E+030)</f>
        <v>-0.0186139154048277</v>
      </c>
      <c r="AE5639" s="55" t="n">
        <f aca="false">IF(AC5639,IF(01_因子設定!$B$13="最大化",X5639,IF(01_因子設定!$B$13="最小化",-X5639,-ABS(X5639-01_因子設定!$B$16))),-1E+030)</f>
        <v>48.0558936403509</v>
      </c>
      <c r="AF5639" s="55" t="n">
        <f aca="false">AD5639+ROW()*0.000000001</f>
        <v>-0.0186082764048277</v>
      </c>
      <c r="AG5639" s="55" t="n">
        <f aca="false">AE5639+ROW()*0.000000001</f>
        <v>48.0558992793509</v>
      </c>
    </row>
    <row r="5640" customFormat="false" ht="15" hidden="false" customHeight="false" outlineLevel="0" collapsed="false">
      <c r="A5640" s="0" t="n">
        <v>7</v>
      </c>
      <c r="B5640" s="0" t="n">
        <v>6</v>
      </c>
      <c r="C5640" s="0" t="n">
        <v>5</v>
      </c>
      <c r="D5640" s="0" t="n">
        <v>1</v>
      </c>
      <c r="E5640" s="0" t="n">
        <f aca="false">-1+A5640*0.25</f>
        <v>0.75</v>
      </c>
      <c r="F5640" s="0" t="n">
        <f aca="false">-1+B5640*0.25</f>
        <v>0.5</v>
      </c>
      <c r="G5640" s="0" t="n">
        <f aca="false">-1+C5640*0.25</f>
        <v>0.25</v>
      </c>
      <c r="H5640" s="0" t="n">
        <f aca="false">-1+D5640*0.25</f>
        <v>-0.75</v>
      </c>
      <c r="I5640" s="0" t="n">
        <f aca="false">1</f>
        <v>1</v>
      </c>
      <c r="J5640" s="0" t="n">
        <f aca="false">E5640</f>
        <v>0.75</v>
      </c>
      <c r="K5640" s="0" t="n">
        <f aca="false">F5640</f>
        <v>0.5</v>
      </c>
      <c r="L5640" s="0" t="n">
        <f aca="false">G5640</f>
        <v>0.25</v>
      </c>
      <c r="M5640" s="0" t="n">
        <f aca="false">H5640</f>
        <v>-0.75</v>
      </c>
      <c r="N5640" s="0" t="n">
        <f aca="false">E5640*F5640</f>
        <v>0.375</v>
      </c>
      <c r="O5640" s="0" t="n">
        <f aca="false">E5640*G5640</f>
        <v>0.1875</v>
      </c>
      <c r="P5640" s="0" t="n">
        <f aca="false">E5640*H5640</f>
        <v>-0.5625</v>
      </c>
      <c r="Q5640" s="0" t="n">
        <f aca="false">F5640*G5640</f>
        <v>0.125</v>
      </c>
      <c r="R5640" s="0" t="n">
        <f aca="false">F5640*H5640</f>
        <v>-0.375</v>
      </c>
      <c r="S5640" s="0" t="n">
        <f aca="false">G5640*H5640</f>
        <v>-0.1875</v>
      </c>
      <c r="T5640" s="0" t="n">
        <f aca="false">E5640*E5640</f>
        <v>0.5625</v>
      </c>
      <c r="U5640" s="0" t="n">
        <f aca="false">F5640*F5640</f>
        <v>0.25</v>
      </c>
      <c r="V5640" s="0" t="n">
        <f aca="false">G5640*G5640</f>
        <v>0.0625</v>
      </c>
      <c r="W5640" s="0" t="n">
        <f aca="false">H5640*H5640</f>
        <v>0.5625</v>
      </c>
      <c r="X5640" s="0" t="n">
        <f aca="false">SUMPRODUCT(I5640:W5640,_XtX!$B$96:$P$96)</f>
        <v>48.3394508406433</v>
      </c>
      <c r="Y5640" s="0" t="n">
        <f aca="false">SUMPRODUCT(MMULT(I5640:W5640,_XtX!$B$78:$P$92),I5640:W5640)</f>
        <v>0.257385610836988</v>
      </c>
      <c r="Z5640" s="0" t="n">
        <f aca="false">04_回帰ANOVA!$K$19*04_回帰ANOVA!$K$14*SQRT(1+Y5640)</f>
        <v>1.46161380324158</v>
      </c>
      <c r="AA5640" s="0" t="n">
        <f aca="false">X5640-Z5640</f>
        <v>46.8778370374017</v>
      </c>
      <c r="AB5640" s="0" t="n">
        <f aca="false">X5640+Z5640</f>
        <v>49.8010646438849</v>
      </c>
      <c r="AC5640" s="54" t="b">
        <f aca="false">AND(E5640&gt;=01_因子設定!$L$5-0.000000001,E5640&lt;=01_因子設定!$M$5+0.000000001,F5640&gt;=01_因子設定!$L$6-0.000000001,F5640&lt;=01_因子設定!$M$6+0.000000001,G5640&gt;=01_因子設定!$L$7-0.000000001,G5640&lt;=01_因子設定!$M$7+0.000000001,H5640&gt;=01_因子設定!$L$8-0.000000001,H5640&lt;=01_因子設定!$M$8+0.000000001,IF(01_因子設定!$B$20="Box-Behnken",E5640^2+F5640^2+G5640^2+H5640^2&lt;=2+0.000000001,TRUE()))</f>
        <v>1</v>
      </c>
      <c r="AD5640" s="55" t="n">
        <f aca="false">IF(AC5640,IF(01_因子設定!$B$13="最大化",AA5640-01_因子設定!$B$14,IF(01_因子設定!$B$13="最小化",01_因子設定!$B$15-AB5640,MIN(AA5640-01_因子設定!$B$14,01_因子設定!$B$15-AB5640))),-1E+030)</f>
        <v>0.377837037401697</v>
      </c>
      <c r="AE5640" s="55" t="n">
        <f aca="false">IF(AC5640,IF(01_因子設定!$B$13="最大化",X5640,IF(01_因子設定!$B$13="最小化",-X5640,-ABS(X5640-01_因子設定!$B$16))),-1E+030)</f>
        <v>48.3394508406433</v>
      </c>
      <c r="AF5640" s="55" t="n">
        <f aca="false">AD5640+ROW()*0.000000001</f>
        <v>0.377842677401697</v>
      </c>
      <c r="AG5640" s="55" t="n">
        <f aca="false">AE5640+ROW()*0.000000001</f>
        <v>48.3394564806433</v>
      </c>
    </row>
    <row r="5641" customFormat="false" ht="15" hidden="false" customHeight="false" outlineLevel="0" collapsed="false">
      <c r="A5641" s="0" t="n">
        <v>7</v>
      </c>
      <c r="B5641" s="0" t="n">
        <v>6</v>
      </c>
      <c r="C5641" s="0" t="n">
        <v>5</v>
      </c>
      <c r="D5641" s="0" t="n">
        <v>2</v>
      </c>
      <c r="E5641" s="0" t="n">
        <f aca="false">-1+A5641*0.25</f>
        <v>0.75</v>
      </c>
      <c r="F5641" s="0" t="n">
        <f aca="false">-1+B5641*0.25</f>
        <v>0.5</v>
      </c>
      <c r="G5641" s="0" t="n">
        <f aca="false">-1+C5641*0.25</f>
        <v>0.25</v>
      </c>
      <c r="H5641" s="0" t="n">
        <f aca="false">-1+D5641*0.25</f>
        <v>-0.5</v>
      </c>
      <c r="I5641" s="0" t="n">
        <f aca="false">1</f>
        <v>1</v>
      </c>
      <c r="J5641" s="0" t="n">
        <f aca="false">E5641</f>
        <v>0.75</v>
      </c>
      <c r="K5641" s="0" t="n">
        <f aca="false">F5641</f>
        <v>0.5</v>
      </c>
      <c r="L5641" s="0" t="n">
        <f aca="false">G5641</f>
        <v>0.25</v>
      </c>
      <c r="M5641" s="0" t="n">
        <f aca="false">H5641</f>
        <v>-0.5</v>
      </c>
      <c r="N5641" s="0" t="n">
        <f aca="false">E5641*F5641</f>
        <v>0.375</v>
      </c>
      <c r="O5641" s="0" t="n">
        <f aca="false">E5641*G5641</f>
        <v>0.1875</v>
      </c>
      <c r="P5641" s="0" t="n">
        <f aca="false">E5641*H5641</f>
        <v>-0.375</v>
      </c>
      <c r="Q5641" s="0" t="n">
        <f aca="false">F5641*G5641</f>
        <v>0.125</v>
      </c>
      <c r="R5641" s="0" t="n">
        <f aca="false">F5641*H5641</f>
        <v>-0.25</v>
      </c>
      <c r="S5641" s="0" t="n">
        <f aca="false">G5641*H5641</f>
        <v>-0.125</v>
      </c>
      <c r="T5641" s="0" t="n">
        <f aca="false">E5641*E5641</f>
        <v>0.5625</v>
      </c>
      <c r="U5641" s="0" t="n">
        <f aca="false">F5641*F5641</f>
        <v>0.25</v>
      </c>
      <c r="V5641" s="0" t="n">
        <f aca="false">G5641*G5641</f>
        <v>0.0625</v>
      </c>
      <c r="W5641" s="0" t="n">
        <f aca="false">H5641*H5641</f>
        <v>0.25</v>
      </c>
      <c r="X5641" s="0" t="n">
        <f aca="false">SUMPRODUCT(I5641:W5641,_XtX!$B$96:$P$96)</f>
        <v>48.5752010233918</v>
      </c>
      <c r="Y5641" s="0" t="n">
        <f aca="false">SUMPRODUCT(MMULT(I5641:W5641,_XtX!$B$78:$P$92),I5641:W5641)</f>
        <v>0.203746059484649</v>
      </c>
      <c r="Z5641" s="0" t="n">
        <f aca="false">04_回帰ANOVA!$K$19*04_回帰ANOVA!$K$14*SQRT(1+Y5641)</f>
        <v>1.43009810755465</v>
      </c>
      <c r="AA5641" s="0" t="n">
        <f aca="false">X5641-Z5641</f>
        <v>47.1451029158372</v>
      </c>
      <c r="AB5641" s="0" t="n">
        <f aca="false">X5641+Z5641</f>
        <v>50.0052991309465</v>
      </c>
      <c r="AC5641" s="54" t="b">
        <f aca="false">AND(E5641&gt;=01_因子設定!$L$5-0.000000001,E5641&lt;=01_因子設定!$M$5+0.000000001,F5641&gt;=01_因子設定!$L$6-0.000000001,F5641&lt;=01_因子設定!$M$6+0.000000001,G5641&gt;=01_因子設定!$L$7-0.000000001,G5641&lt;=01_因子設定!$M$7+0.000000001,H5641&gt;=01_因子設定!$L$8-0.000000001,H5641&lt;=01_因子設定!$M$8+0.000000001,IF(01_因子設定!$B$20="Box-Behnken",E5641^2+F5641^2+G5641^2+H5641^2&lt;=2+0.000000001,TRUE()))</f>
        <v>1</v>
      </c>
      <c r="AD5641" s="55" t="n">
        <f aca="false">IF(AC5641,IF(01_因子設定!$B$13="最大化",AA5641-01_因子設定!$B$14,IF(01_因子設定!$B$13="最小化",01_因子設定!$B$15-AB5641,MIN(AA5641-01_因子設定!$B$14,01_因子設定!$B$15-AB5641))),-1E+030)</f>
        <v>0.645102915837157</v>
      </c>
      <c r="AE5641" s="55" t="n">
        <f aca="false">IF(AC5641,IF(01_因子設定!$B$13="最大化",X5641,IF(01_因子設定!$B$13="最小化",-X5641,-ABS(X5641-01_因子設定!$B$16))),-1E+030)</f>
        <v>48.5752010233918</v>
      </c>
      <c r="AF5641" s="55" t="n">
        <f aca="false">AD5641+ROW()*0.000000001</f>
        <v>0.645108556837157</v>
      </c>
      <c r="AG5641" s="55" t="n">
        <f aca="false">AE5641+ROW()*0.000000001</f>
        <v>48.5752066643918</v>
      </c>
    </row>
    <row r="5642" customFormat="false" ht="15" hidden="false" customHeight="false" outlineLevel="0" collapsed="false">
      <c r="A5642" s="0" t="n">
        <v>7</v>
      </c>
      <c r="B5642" s="0" t="n">
        <v>6</v>
      </c>
      <c r="C5642" s="0" t="n">
        <v>5</v>
      </c>
      <c r="D5642" s="0" t="n">
        <v>3</v>
      </c>
      <c r="E5642" s="0" t="n">
        <f aca="false">-1+A5642*0.25</f>
        <v>0.75</v>
      </c>
      <c r="F5642" s="0" t="n">
        <f aca="false">-1+B5642*0.25</f>
        <v>0.5</v>
      </c>
      <c r="G5642" s="0" t="n">
        <f aca="false">-1+C5642*0.25</f>
        <v>0.25</v>
      </c>
      <c r="H5642" s="0" t="n">
        <f aca="false">-1+D5642*0.25</f>
        <v>-0.25</v>
      </c>
      <c r="I5642" s="0" t="n">
        <f aca="false">1</f>
        <v>1</v>
      </c>
      <c r="J5642" s="0" t="n">
        <f aca="false">E5642</f>
        <v>0.75</v>
      </c>
      <c r="K5642" s="0" t="n">
        <f aca="false">F5642</f>
        <v>0.5</v>
      </c>
      <c r="L5642" s="0" t="n">
        <f aca="false">G5642</f>
        <v>0.25</v>
      </c>
      <c r="M5642" s="0" t="n">
        <f aca="false">H5642</f>
        <v>-0.25</v>
      </c>
      <c r="N5642" s="0" t="n">
        <f aca="false">E5642*F5642</f>
        <v>0.375</v>
      </c>
      <c r="O5642" s="0" t="n">
        <f aca="false">E5642*G5642</f>
        <v>0.1875</v>
      </c>
      <c r="P5642" s="0" t="n">
        <f aca="false">E5642*H5642</f>
        <v>-0.1875</v>
      </c>
      <c r="Q5642" s="0" t="n">
        <f aca="false">F5642*G5642</f>
        <v>0.125</v>
      </c>
      <c r="R5642" s="0" t="n">
        <f aca="false">F5642*H5642</f>
        <v>-0.125</v>
      </c>
      <c r="S5642" s="0" t="n">
        <f aca="false">G5642*H5642</f>
        <v>-0.0625</v>
      </c>
      <c r="T5642" s="0" t="n">
        <f aca="false">E5642*E5642</f>
        <v>0.5625</v>
      </c>
      <c r="U5642" s="0" t="n">
        <f aca="false">F5642*F5642</f>
        <v>0.25</v>
      </c>
      <c r="V5642" s="0" t="n">
        <f aca="false">G5642*G5642</f>
        <v>0.0625</v>
      </c>
      <c r="W5642" s="0" t="n">
        <f aca="false">H5642*H5642</f>
        <v>0.0625</v>
      </c>
      <c r="X5642" s="0" t="n">
        <f aca="false">SUMPRODUCT(I5642:W5642,_XtX!$B$96:$P$96)</f>
        <v>48.7631441885965</v>
      </c>
      <c r="Y5642" s="0" t="n">
        <f aca="false">SUMPRODUCT(MMULT(I5642:W5642,_XtX!$B$78:$P$92),I5642:W5642)</f>
        <v>0.207746539199561</v>
      </c>
      <c r="Z5642" s="0" t="n">
        <f aca="false">04_回帰ANOVA!$K$19*04_回帰ANOVA!$K$14*SQRT(1+Y5642)</f>
        <v>1.43247250081141</v>
      </c>
      <c r="AA5642" s="0" t="n">
        <f aca="false">X5642-Z5642</f>
        <v>47.3306716877851</v>
      </c>
      <c r="AB5642" s="0" t="n">
        <f aca="false">X5642+Z5642</f>
        <v>50.1956166894079</v>
      </c>
      <c r="AC5642" s="54" t="b">
        <f aca="false">AND(E5642&gt;=01_因子設定!$L$5-0.000000001,E5642&lt;=01_因子設定!$M$5+0.000000001,F5642&gt;=01_因子設定!$L$6-0.000000001,F5642&lt;=01_因子設定!$M$6+0.000000001,G5642&gt;=01_因子設定!$L$7-0.000000001,G5642&lt;=01_因子設定!$M$7+0.000000001,H5642&gt;=01_因子設定!$L$8-0.000000001,H5642&lt;=01_因子設定!$M$8+0.000000001,IF(01_因子設定!$B$20="Box-Behnken",E5642^2+F5642^2+G5642^2+H5642^2&lt;=2+0.000000001,TRUE()))</f>
        <v>1</v>
      </c>
      <c r="AD5642" s="55" t="n">
        <f aca="false">IF(AC5642,IF(01_因子設定!$B$13="最大化",AA5642-01_因子設定!$B$14,IF(01_因子設定!$B$13="最小化",01_因子設定!$B$15-AB5642,MIN(AA5642-01_因子設定!$B$14,01_因子設定!$B$15-AB5642))),-1E+030)</f>
        <v>0.83067168778507</v>
      </c>
      <c r="AE5642" s="55" t="n">
        <f aca="false">IF(AC5642,IF(01_因子設定!$B$13="最大化",X5642,IF(01_因子設定!$B$13="最小化",-X5642,-ABS(X5642-01_因子設定!$B$16))),-1E+030)</f>
        <v>48.7631441885965</v>
      </c>
      <c r="AF5642" s="55" t="n">
        <f aca="false">AD5642+ROW()*0.000000001</f>
        <v>0.83067732978507</v>
      </c>
      <c r="AG5642" s="55" t="n">
        <f aca="false">AE5642+ROW()*0.000000001</f>
        <v>48.7631498305965</v>
      </c>
    </row>
    <row r="5643" customFormat="false" ht="15" hidden="false" customHeight="false" outlineLevel="0" collapsed="false">
      <c r="A5643" s="0" t="n">
        <v>7</v>
      </c>
      <c r="B5643" s="0" t="n">
        <v>6</v>
      </c>
      <c r="C5643" s="0" t="n">
        <v>5</v>
      </c>
      <c r="D5643" s="0" t="n">
        <v>4</v>
      </c>
      <c r="E5643" s="0" t="n">
        <f aca="false">-1+A5643*0.25</f>
        <v>0.75</v>
      </c>
      <c r="F5643" s="0" t="n">
        <f aca="false">-1+B5643*0.25</f>
        <v>0.5</v>
      </c>
      <c r="G5643" s="0" t="n">
        <f aca="false">-1+C5643*0.25</f>
        <v>0.25</v>
      </c>
      <c r="H5643" s="0" t="n">
        <f aca="false">-1+D5643*0.25</f>
        <v>0</v>
      </c>
      <c r="I5643" s="0" t="n">
        <f aca="false">1</f>
        <v>1</v>
      </c>
      <c r="J5643" s="0" t="n">
        <f aca="false">E5643</f>
        <v>0.75</v>
      </c>
      <c r="K5643" s="0" t="n">
        <f aca="false">F5643</f>
        <v>0.5</v>
      </c>
      <c r="L5643" s="0" t="n">
        <f aca="false">G5643</f>
        <v>0.25</v>
      </c>
      <c r="M5643" s="0" t="n">
        <f aca="false">H5643</f>
        <v>0</v>
      </c>
      <c r="N5643" s="0" t="n">
        <f aca="false">E5643*F5643</f>
        <v>0.375</v>
      </c>
      <c r="O5643" s="0" t="n">
        <f aca="false">E5643*G5643</f>
        <v>0.1875</v>
      </c>
      <c r="P5643" s="0" t="n">
        <f aca="false">E5643*H5643</f>
        <v>0</v>
      </c>
      <c r="Q5643" s="0" t="n">
        <f aca="false">F5643*G5643</f>
        <v>0.125</v>
      </c>
      <c r="R5643" s="0" t="n">
        <f aca="false">F5643*H5643</f>
        <v>0</v>
      </c>
      <c r="S5643" s="0" t="n">
        <f aca="false">G5643*H5643</f>
        <v>0</v>
      </c>
      <c r="T5643" s="0" t="n">
        <f aca="false">E5643*E5643</f>
        <v>0.5625</v>
      </c>
      <c r="U5643" s="0" t="n">
        <f aca="false">F5643*F5643</f>
        <v>0.25</v>
      </c>
      <c r="V5643" s="0" t="n">
        <f aca="false">G5643*G5643</f>
        <v>0.0625</v>
      </c>
      <c r="W5643" s="0" t="n">
        <f aca="false">H5643*H5643</f>
        <v>0</v>
      </c>
      <c r="X5643" s="0" t="n">
        <f aca="false">SUMPRODUCT(I5643:W5643,_XtX!$B$96:$P$96)</f>
        <v>48.9032803362573</v>
      </c>
      <c r="Y5643" s="0" t="n">
        <f aca="false">SUMPRODUCT(MMULT(I5643:W5643,_XtX!$B$78:$P$92),I5643:W5643)</f>
        <v>0.215110734192252</v>
      </c>
      <c r="Z5643" s="0" t="n">
        <f aca="false">04_回帰ANOVA!$K$19*04_回帰ANOVA!$K$14*SQRT(1+Y5643)</f>
        <v>1.43683309086864</v>
      </c>
      <c r="AA5643" s="0" t="n">
        <f aca="false">X5643-Z5643</f>
        <v>47.4664472453887</v>
      </c>
      <c r="AB5643" s="0" t="n">
        <f aca="false">X5643+Z5643</f>
        <v>50.3401134271259</v>
      </c>
      <c r="AC5643" s="54" t="b">
        <f aca="false">AND(E5643&gt;=01_因子設定!$L$5-0.000000001,E5643&lt;=01_因子設定!$M$5+0.000000001,F5643&gt;=01_因子設定!$L$6-0.000000001,F5643&lt;=01_因子設定!$M$6+0.000000001,G5643&gt;=01_因子設定!$L$7-0.000000001,G5643&lt;=01_因子設定!$M$7+0.000000001,H5643&gt;=01_因子設定!$L$8-0.000000001,H5643&lt;=01_因子設定!$M$8+0.000000001,IF(01_因子設定!$B$20="Box-Behnken",E5643^2+F5643^2+G5643^2+H5643^2&lt;=2+0.000000001,TRUE()))</f>
        <v>1</v>
      </c>
      <c r="AD5643" s="55" t="n">
        <f aca="false">IF(AC5643,IF(01_因子設定!$B$13="最大化",AA5643-01_因子設定!$B$14,IF(01_因子設定!$B$13="最小化",01_因子設定!$B$15-AB5643,MIN(AA5643-01_因子設定!$B$14,01_因子設定!$B$15-AB5643))),-1E+030)</f>
        <v>0.96644724538865</v>
      </c>
      <c r="AE5643" s="55" t="n">
        <f aca="false">IF(AC5643,IF(01_因子設定!$B$13="最大化",X5643,IF(01_因子設定!$B$13="最小化",-X5643,-ABS(X5643-01_因子設定!$B$16))),-1E+030)</f>
        <v>48.9032803362573</v>
      </c>
      <c r="AF5643" s="55" t="n">
        <f aca="false">AD5643+ROW()*0.000000001</f>
        <v>0.96645288838865</v>
      </c>
      <c r="AG5643" s="55" t="n">
        <f aca="false">AE5643+ROW()*0.000000001</f>
        <v>48.9032859792573</v>
      </c>
    </row>
    <row r="5644" customFormat="false" ht="15" hidden="false" customHeight="false" outlineLevel="0" collapsed="false">
      <c r="A5644" s="0" t="n">
        <v>7</v>
      </c>
      <c r="B5644" s="0" t="n">
        <v>6</v>
      </c>
      <c r="C5644" s="0" t="n">
        <v>5</v>
      </c>
      <c r="D5644" s="0" t="n">
        <v>5</v>
      </c>
      <c r="E5644" s="0" t="n">
        <f aca="false">-1+A5644*0.25</f>
        <v>0.75</v>
      </c>
      <c r="F5644" s="0" t="n">
        <f aca="false">-1+B5644*0.25</f>
        <v>0.5</v>
      </c>
      <c r="G5644" s="0" t="n">
        <f aca="false">-1+C5644*0.25</f>
        <v>0.25</v>
      </c>
      <c r="H5644" s="0" t="n">
        <f aca="false">-1+D5644*0.25</f>
        <v>0.25</v>
      </c>
      <c r="I5644" s="0" t="n">
        <f aca="false">1</f>
        <v>1</v>
      </c>
      <c r="J5644" s="0" t="n">
        <f aca="false">E5644</f>
        <v>0.75</v>
      </c>
      <c r="K5644" s="0" t="n">
        <f aca="false">F5644</f>
        <v>0.5</v>
      </c>
      <c r="L5644" s="0" t="n">
        <f aca="false">G5644</f>
        <v>0.25</v>
      </c>
      <c r="M5644" s="0" t="n">
        <f aca="false">H5644</f>
        <v>0.25</v>
      </c>
      <c r="N5644" s="0" t="n">
        <f aca="false">E5644*F5644</f>
        <v>0.375</v>
      </c>
      <c r="O5644" s="0" t="n">
        <f aca="false">E5644*G5644</f>
        <v>0.1875</v>
      </c>
      <c r="P5644" s="0" t="n">
        <f aca="false">E5644*H5644</f>
        <v>0.1875</v>
      </c>
      <c r="Q5644" s="0" t="n">
        <f aca="false">F5644*G5644</f>
        <v>0.125</v>
      </c>
      <c r="R5644" s="0" t="n">
        <f aca="false">F5644*H5644</f>
        <v>0.125</v>
      </c>
      <c r="S5644" s="0" t="n">
        <f aca="false">G5644*H5644</f>
        <v>0.0625</v>
      </c>
      <c r="T5644" s="0" t="n">
        <f aca="false">E5644*E5644</f>
        <v>0.5625</v>
      </c>
      <c r="U5644" s="0" t="n">
        <f aca="false">F5644*F5644</f>
        <v>0.25</v>
      </c>
      <c r="V5644" s="0" t="n">
        <f aca="false">G5644*G5644</f>
        <v>0.0625</v>
      </c>
      <c r="W5644" s="0" t="n">
        <f aca="false">H5644*H5644</f>
        <v>0.0625</v>
      </c>
      <c r="X5644" s="0" t="n">
        <f aca="false">SUMPRODUCT(I5644:W5644,_XtX!$B$96:$P$96)</f>
        <v>48.9956094663743</v>
      </c>
      <c r="Y5644" s="0" t="n">
        <f aca="false">SUMPRODUCT(MMULT(I5644:W5644,_XtX!$B$78:$P$92),I5644:W5644)</f>
        <v>0.207746539199561</v>
      </c>
      <c r="Z5644" s="0" t="n">
        <f aca="false">04_回帰ANOVA!$K$19*04_回帰ANOVA!$K$14*SQRT(1+Y5644)</f>
        <v>1.43247250081141</v>
      </c>
      <c r="AA5644" s="0" t="n">
        <f aca="false">X5644-Z5644</f>
        <v>47.5631369655629</v>
      </c>
      <c r="AB5644" s="0" t="n">
        <f aca="false">X5644+Z5644</f>
        <v>50.4280819671857</v>
      </c>
      <c r="AC5644" s="54" t="b">
        <f aca="false">AND(E5644&gt;=01_因子設定!$L$5-0.000000001,E5644&lt;=01_因子設定!$M$5+0.000000001,F5644&gt;=01_因子設定!$L$6-0.000000001,F5644&lt;=01_因子設定!$M$6+0.000000001,G5644&gt;=01_因子設定!$L$7-0.000000001,G5644&lt;=01_因子設定!$M$7+0.000000001,H5644&gt;=01_因子設定!$L$8-0.000000001,H5644&lt;=01_因子設定!$M$8+0.000000001,IF(01_因子設定!$B$20="Box-Behnken",E5644^2+F5644^2+G5644^2+H5644^2&lt;=2+0.000000001,TRUE()))</f>
        <v>1</v>
      </c>
      <c r="AD5644" s="55" t="n">
        <f aca="false">IF(AC5644,IF(01_因子設定!$B$13="最大化",AA5644-01_因子設定!$B$14,IF(01_因子設定!$B$13="最小化",01_因子設定!$B$15-AB5644,MIN(AA5644-01_因子設定!$B$14,01_因子設定!$B$15-AB5644))),-1E+030)</f>
        <v>1.06313696556285</v>
      </c>
      <c r="AE5644" s="55" t="n">
        <f aca="false">IF(AC5644,IF(01_因子設定!$B$13="最大化",X5644,IF(01_因子設定!$B$13="最小化",-X5644,-ABS(X5644-01_因子設定!$B$16))),-1E+030)</f>
        <v>48.9956094663743</v>
      </c>
      <c r="AF5644" s="55" t="n">
        <f aca="false">AD5644+ROW()*0.000000001</f>
        <v>1.06314260956285</v>
      </c>
      <c r="AG5644" s="55" t="n">
        <f aca="false">AE5644+ROW()*0.000000001</f>
        <v>48.9956151103743</v>
      </c>
    </row>
    <row r="5645" customFormat="false" ht="15" hidden="false" customHeight="false" outlineLevel="0" collapsed="false">
      <c r="A5645" s="0" t="n">
        <v>7</v>
      </c>
      <c r="B5645" s="0" t="n">
        <v>6</v>
      </c>
      <c r="C5645" s="0" t="n">
        <v>5</v>
      </c>
      <c r="D5645" s="0" t="n">
        <v>6</v>
      </c>
      <c r="E5645" s="0" t="n">
        <f aca="false">-1+A5645*0.25</f>
        <v>0.75</v>
      </c>
      <c r="F5645" s="0" t="n">
        <f aca="false">-1+B5645*0.25</f>
        <v>0.5</v>
      </c>
      <c r="G5645" s="0" t="n">
        <f aca="false">-1+C5645*0.25</f>
        <v>0.25</v>
      </c>
      <c r="H5645" s="0" t="n">
        <f aca="false">-1+D5645*0.25</f>
        <v>0.5</v>
      </c>
      <c r="I5645" s="0" t="n">
        <f aca="false">1</f>
        <v>1</v>
      </c>
      <c r="J5645" s="0" t="n">
        <f aca="false">E5645</f>
        <v>0.75</v>
      </c>
      <c r="K5645" s="0" t="n">
        <f aca="false">F5645</f>
        <v>0.5</v>
      </c>
      <c r="L5645" s="0" t="n">
        <f aca="false">G5645</f>
        <v>0.25</v>
      </c>
      <c r="M5645" s="0" t="n">
        <f aca="false">H5645</f>
        <v>0.5</v>
      </c>
      <c r="N5645" s="0" t="n">
        <f aca="false">E5645*F5645</f>
        <v>0.375</v>
      </c>
      <c r="O5645" s="0" t="n">
        <f aca="false">E5645*G5645</f>
        <v>0.1875</v>
      </c>
      <c r="P5645" s="0" t="n">
        <f aca="false">E5645*H5645</f>
        <v>0.375</v>
      </c>
      <c r="Q5645" s="0" t="n">
        <f aca="false">F5645*G5645</f>
        <v>0.125</v>
      </c>
      <c r="R5645" s="0" t="n">
        <f aca="false">F5645*H5645</f>
        <v>0.25</v>
      </c>
      <c r="S5645" s="0" t="n">
        <f aca="false">G5645*H5645</f>
        <v>0.125</v>
      </c>
      <c r="T5645" s="0" t="n">
        <f aca="false">E5645*E5645</f>
        <v>0.5625</v>
      </c>
      <c r="U5645" s="0" t="n">
        <f aca="false">F5645*F5645</f>
        <v>0.25</v>
      </c>
      <c r="V5645" s="0" t="n">
        <f aca="false">G5645*G5645</f>
        <v>0.0625</v>
      </c>
      <c r="W5645" s="0" t="n">
        <f aca="false">H5645*H5645</f>
        <v>0.25</v>
      </c>
      <c r="X5645" s="0" t="n">
        <f aca="false">SUMPRODUCT(I5645:W5645,_XtX!$B$96:$P$96)</f>
        <v>49.0401315789474</v>
      </c>
      <c r="Y5645" s="0" t="n">
        <f aca="false">SUMPRODUCT(MMULT(I5645:W5645,_XtX!$B$78:$P$92),I5645:W5645)</f>
        <v>0.203746059484649</v>
      </c>
      <c r="Z5645" s="0" t="n">
        <f aca="false">04_回帰ANOVA!$K$19*04_回帰ANOVA!$K$14*SQRT(1+Y5645)</f>
        <v>1.43009810755465</v>
      </c>
      <c r="AA5645" s="0" t="n">
        <f aca="false">X5645-Z5645</f>
        <v>47.6100334713927</v>
      </c>
      <c r="AB5645" s="0" t="n">
        <f aca="false">X5645+Z5645</f>
        <v>50.470229686502</v>
      </c>
      <c r="AC5645" s="54" t="b">
        <f aca="false">AND(E5645&gt;=01_因子設定!$L$5-0.000000001,E5645&lt;=01_因子設定!$M$5+0.000000001,F5645&gt;=01_因子設定!$L$6-0.000000001,F5645&lt;=01_因子設定!$M$6+0.000000001,G5645&gt;=01_因子設定!$L$7-0.000000001,G5645&lt;=01_因子設定!$M$7+0.000000001,H5645&gt;=01_因子設定!$L$8-0.000000001,H5645&lt;=01_因子設定!$M$8+0.000000001,IF(01_因子設定!$B$20="Box-Behnken",E5645^2+F5645^2+G5645^2+H5645^2&lt;=2+0.000000001,TRUE()))</f>
        <v>1</v>
      </c>
      <c r="AD5645" s="55" t="n">
        <f aca="false">IF(AC5645,IF(01_因子設定!$B$13="最大化",AA5645-01_因子設定!$B$14,IF(01_因子設定!$B$13="最小化",01_因子設定!$B$15-AB5645,MIN(AA5645-01_因子設定!$B$14,01_因子設定!$B$15-AB5645))),-1E+030)</f>
        <v>1.11003347139271</v>
      </c>
      <c r="AE5645" s="55" t="n">
        <f aca="false">IF(AC5645,IF(01_因子設定!$B$13="最大化",X5645,IF(01_因子設定!$B$13="最小化",-X5645,-ABS(X5645-01_因子設定!$B$16))),-1E+030)</f>
        <v>49.0401315789474</v>
      </c>
      <c r="AF5645" s="55" t="n">
        <f aca="false">AD5645+ROW()*0.000000001</f>
        <v>1.11003911639271</v>
      </c>
      <c r="AG5645" s="55" t="n">
        <f aca="false">AE5645+ROW()*0.000000001</f>
        <v>49.0401372239474</v>
      </c>
    </row>
    <row r="5646" customFormat="false" ht="15" hidden="false" customHeight="false" outlineLevel="0" collapsed="false">
      <c r="A5646" s="0" t="n">
        <v>7</v>
      </c>
      <c r="B5646" s="0" t="n">
        <v>6</v>
      </c>
      <c r="C5646" s="0" t="n">
        <v>5</v>
      </c>
      <c r="D5646" s="0" t="n">
        <v>7</v>
      </c>
      <c r="E5646" s="0" t="n">
        <f aca="false">-1+A5646*0.25</f>
        <v>0.75</v>
      </c>
      <c r="F5646" s="0" t="n">
        <f aca="false">-1+B5646*0.25</f>
        <v>0.5</v>
      </c>
      <c r="G5646" s="0" t="n">
        <f aca="false">-1+C5646*0.25</f>
        <v>0.25</v>
      </c>
      <c r="H5646" s="0" t="n">
        <f aca="false">-1+D5646*0.25</f>
        <v>0.75</v>
      </c>
      <c r="I5646" s="0" t="n">
        <f aca="false">1</f>
        <v>1</v>
      </c>
      <c r="J5646" s="0" t="n">
        <f aca="false">E5646</f>
        <v>0.75</v>
      </c>
      <c r="K5646" s="0" t="n">
        <f aca="false">F5646</f>
        <v>0.5</v>
      </c>
      <c r="L5646" s="0" t="n">
        <f aca="false">G5646</f>
        <v>0.25</v>
      </c>
      <c r="M5646" s="0" t="n">
        <f aca="false">H5646</f>
        <v>0.75</v>
      </c>
      <c r="N5646" s="0" t="n">
        <f aca="false">E5646*F5646</f>
        <v>0.375</v>
      </c>
      <c r="O5646" s="0" t="n">
        <f aca="false">E5646*G5646</f>
        <v>0.1875</v>
      </c>
      <c r="P5646" s="0" t="n">
        <f aca="false">E5646*H5646</f>
        <v>0.5625</v>
      </c>
      <c r="Q5646" s="0" t="n">
        <f aca="false">F5646*G5646</f>
        <v>0.125</v>
      </c>
      <c r="R5646" s="0" t="n">
        <f aca="false">F5646*H5646</f>
        <v>0.375</v>
      </c>
      <c r="S5646" s="0" t="n">
        <f aca="false">G5646*H5646</f>
        <v>0.1875</v>
      </c>
      <c r="T5646" s="0" t="n">
        <f aca="false">E5646*E5646</f>
        <v>0.5625</v>
      </c>
      <c r="U5646" s="0" t="n">
        <f aca="false">F5646*F5646</f>
        <v>0.25</v>
      </c>
      <c r="V5646" s="0" t="n">
        <f aca="false">G5646*G5646</f>
        <v>0.0625</v>
      </c>
      <c r="W5646" s="0" t="n">
        <f aca="false">H5646*H5646</f>
        <v>0.5625</v>
      </c>
      <c r="X5646" s="0" t="n">
        <f aca="false">SUMPRODUCT(I5646:W5646,_XtX!$B$96:$P$96)</f>
        <v>49.0368466739766</v>
      </c>
      <c r="Y5646" s="0" t="n">
        <f aca="false">SUMPRODUCT(MMULT(I5646:W5646,_XtX!$B$78:$P$92),I5646:W5646)</f>
        <v>0.257385610836988</v>
      </c>
      <c r="Z5646" s="0" t="n">
        <f aca="false">04_回帰ANOVA!$K$19*04_回帰ANOVA!$K$14*SQRT(1+Y5646)</f>
        <v>1.46161380324158</v>
      </c>
      <c r="AA5646" s="0" t="n">
        <f aca="false">X5646-Z5646</f>
        <v>47.575232870735</v>
      </c>
      <c r="AB5646" s="0" t="n">
        <f aca="false">X5646+Z5646</f>
        <v>50.4984604772182</v>
      </c>
      <c r="AC5646" s="54" t="b">
        <f aca="false">AND(E5646&gt;=01_因子設定!$L$5-0.000000001,E5646&lt;=01_因子設定!$M$5+0.000000001,F5646&gt;=01_因子設定!$L$6-0.000000001,F5646&lt;=01_因子設定!$M$6+0.000000001,G5646&gt;=01_因子設定!$L$7-0.000000001,G5646&lt;=01_因子設定!$M$7+0.000000001,H5646&gt;=01_因子設定!$L$8-0.000000001,H5646&lt;=01_因子設定!$M$8+0.000000001,IF(01_因子設定!$B$20="Box-Behnken",E5646^2+F5646^2+G5646^2+H5646^2&lt;=2+0.000000001,TRUE()))</f>
        <v>1</v>
      </c>
      <c r="AD5646" s="55" t="n">
        <f aca="false">IF(AC5646,IF(01_因子設定!$B$13="最大化",AA5646-01_因子設定!$B$14,IF(01_因子設定!$B$13="最小化",01_因子設定!$B$15-AB5646,MIN(AA5646-01_因子設定!$B$14,01_因子設定!$B$15-AB5646))),-1E+030)</f>
        <v>1.07523287073503</v>
      </c>
      <c r="AE5646" s="55" t="n">
        <f aca="false">IF(AC5646,IF(01_因子設定!$B$13="最大化",X5646,IF(01_因子設定!$B$13="最小化",-X5646,-ABS(X5646-01_因子設定!$B$16))),-1E+030)</f>
        <v>49.0368466739766</v>
      </c>
      <c r="AF5646" s="55" t="n">
        <f aca="false">AD5646+ROW()*0.000000001</f>
        <v>1.07523851673503</v>
      </c>
      <c r="AG5646" s="55" t="n">
        <f aca="false">AE5646+ROW()*0.000000001</f>
        <v>49.0368523199766</v>
      </c>
    </row>
    <row r="5647" customFormat="false" ht="15" hidden="false" customHeight="false" outlineLevel="0" collapsed="false">
      <c r="A5647" s="0" t="n">
        <v>7</v>
      </c>
      <c r="B5647" s="0" t="n">
        <v>6</v>
      </c>
      <c r="C5647" s="0" t="n">
        <v>5</v>
      </c>
      <c r="D5647" s="0" t="n">
        <v>8</v>
      </c>
      <c r="E5647" s="0" t="n">
        <f aca="false">-1+A5647*0.25</f>
        <v>0.75</v>
      </c>
      <c r="F5647" s="0" t="n">
        <f aca="false">-1+B5647*0.25</f>
        <v>0.5</v>
      </c>
      <c r="G5647" s="0" t="n">
        <f aca="false">-1+C5647*0.25</f>
        <v>0.25</v>
      </c>
      <c r="H5647" s="0" t="n">
        <f aca="false">-1+D5647*0.25</f>
        <v>1</v>
      </c>
      <c r="I5647" s="0" t="n">
        <f aca="false">1</f>
        <v>1</v>
      </c>
      <c r="J5647" s="0" t="n">
        <f aca="false">E5647</f>
        <v>0.75</v>
      </c>
      <c r="K5647" s="0" t="n">
        <f aca="false">F5647</f>
        <v>0.5</v>
      </c>
      <c r="L5647" s="0" t="n">
        <f aca="false">G5647</f>
        <v>0.25</v>
      </c>
      <c r="M5647" s="0" t="n">
        <f aca="false">H5647</f>
        <v>1</v>
      </c>
      <c r="N5647" s="0" t="n">
        <f aca="false">E5647*F5647</f>
        <v>0.375</v>
      </c>
      <c r="O5647" s="0" t="n">
        <f aca="false">E5647*G5647</f>
        <v>0.1875</v>
      </c>
      <c r="P5647" s="0" t="n">
        <f aca="false">E5647*H5647</f>
        <v>0.75</v>
      </c>
      <c r="Q5647" s="0" t="n">
        <f aca="false">F5647*G5647</f>
        <v>0.125</v>
      </c>
      <c r="R5647" s="0" t="n">
        <f aca="false">F5647*H5647</f>
        <v>0.5</v>
      </c>
      <c r="S5647" s="0" t="n">
        <f aca="false">G5647*H5647</f>
        <v>0.25</v>
      </c>
      <c r="T5647" s="0" t="n">
        <f aca="false">E5647*E5647</f>
        <v>0.5625</v>
      </c>
      <c r="U5647" s="0" t="n">
        <f aca="false">F5647*F5647</f>
        <v>0.25</v>
      </c>
      <c r="V5647" s="0" t="n">
        <f aca="false">G5647*G5647</f>
        <v>0.0625</v>
      </c>
      <c r="W5647" s="0" t="n">
        <f aca="false">H5647*H5647</f>
        <v>1</v>
      </c>
      <c r="X5647" s="0" t="n">
        <f aca="false">SUMPRODUCT(I5647:W5647,_XtX!$B$96:$P$96)</f>
        <v>48.985754751462</v>
      </c>
      <c r="Y5647" s="0" t="n">
        <f aca="false">SUMPRODUCT(MMULT(I5647:W5647,_XtX!$B$78:$P$92),I5647:W5647)</f>
        <v>0.459125719572369</v>
      </c>
      <c r="Z5647" s="0" t="n">
        <f aca="false">04_回帰ANOVA!$K$19*04_回帰ANOVA!$K$14*SQRT(1+Y5647)</f>
        <v>1.57450755575573</v>
      </c>
      <c r="AA5647" s="0" t="n">
        <f aca="false">X5647-Z5647</f>
        <v>47.4112471957063</v>
      </c>
      <c r="AB5647" s="0" t="n">
        <f aca="false">X5647+Z5647</f>
        <v>50.5602623072177</v>
      </c>
      <c r="AC5647" s="54" t="b">
        <f aca="false">AND(E5647&gt;=01_因子設定!$L$5-0.000000001,E5647&lt;=01_因子設定!$M$5+0.000000001,F5647&gt;=01_因子設定!$L$6-0.000000001,F5647&lt;=01_因子設定!$M$6+0.000000001,G5647&gt;=01_因子設定!$L$7-0.000000001,G5647&lt;=01_因子設定!$M$7+0.000000001,H5647&gt;=01_因子設定!$L$8-0.000000001,H5647&lt;=01_因子設定!$M$8+0.000000001,IF(01_因子設定!$B$20="Box-Behnken",E5647^2+F5647^2+G5647^2+H5647^2&lt;=2+0.000000001,TRUE()))</f>
        <v>1</v>
      </c>
      <c r="AD5647" s="55" t="n">
        <f aca="false">IF(AC5647,IF(01_因子設定!$B$13="最大化",AA5647-01_因子設定!$B$14,IF(01_因子設定!$B$13="最小化",01_因子設定!$B$15-AB5647,MIN(AA5647-01_因子設定!$B$14,01_因子設定!$B$15-AB5647))),-1E+030)</f>
        <v>0.911247195706281</v>
      </c>
      <c r="AE5647" s="55" t="n">
        <f aca="false">IF(AC5647,IF(01_因子設定!$B$13="最大化",X5647,IF(01_因子設定!$B$13="最小化",-X5647,-ABS(X5647-01_因子設定!$B$16))),-1E+030)</f>
        <v>48.985754751462</v>
      </c>
      <c r="AF5647" s="55" t="n">
        <f aca="false">AD5647+ROW()*0.000000001</f>
        <v>0.911252842706281</v>
      </c>
      <c r="AG5647" s="55" t="n">
        <f aca="false">AE5647+ROW()*0.000000001</f>
        <v>48.985760398462</v>
      </c>
    </row>
    <row r="5648" customFormat="false" ht="15" hidden="false" customHeight="false" outlineLevel="0" collapsed="false">
      <c r="A5648" s="0" t="n">
        <v>7</v>
      </c>
      <c r="B5648" s="0" t="n">
        <v>6</v>
      </c>
      <c r="C5648" s="0" t="n">
        <v>6</v>
      </c>
      <c r="D5648" s="0" t="n">
        <v>0</v>
      </c>
      <c r="E5648" s="0" t="n">
        <f aca="false">-1+A5648*0.25</f>
        <v>0.75</v>
      </c>
      <c r="F5648" s="0" t="n">
        <f aca="false">-1+B5648*0.25</f>
        <v>0.5</v>
      </c>
      <c r="G5648" s="0" t="n">
        <f aca="false">-1+C5648*0.25</f>
        <v>0.5</v>
      </c>
      <c r="H5648" s="0" t="n">
        <f aca="false">-1+D5648*0.25</f>
        <v>-1</v>
      </c>
      <c r="I5648" s="0" t="n">
        <f aca="false">1</f>
        <v>1</v>
      </c>
      <c r="J5648" s="0" t="n">
        <f aca="false">E5648</f>
        <v>0.75</v>
      </c>
      <c r="K5648" s="0" t="n">
        <f aca="false">F5648</f>
        <v>0.5</v>
      </c>
      <c r="L5648" s="0" t="n">
        <f aca="false">G5648</f>
        <v>0.5</v>
      </c>
      <c r="M5648" s="0" t="n">
        <f aca="false">H5648</f>
        <v>-1</v>
      </c>
      <c r="N5648" s="0" t="n">
        <f aca="false">E5648*F5648</f>
        <v>0.375</v>
      </c>
      <c r="O5648" s="0" t="n">
        <f aca="false">E5648*G5648</f>
        <v>0.375</v>
      </c>
      <c r="P5648" s="0" t="n">
        <f aca="false">E5648*H5648</f>
        <v>-0.75</v>
      </c>
      <c r="Q5648" s="0" t="n">
        <f aca="false">F5648*G5648</f>
        <v>0.25</v>
      </c>
      <c r="R5648" s="0" t="n">
        <f aca="false">F5648*H5648</f>
        <v>-0.5</v>
      </c>
      <c r="S5648" s="0" t="n">
        <f aca="false">G5648*H5648</f>
        <v>-0.5</v>
      </c>
      <c r="T5648" s="0" t="n">
        <f aca="false">E5648*E5648</f>
        <v>0.5625</v>
      </c>
      <c r="U5648" s="0" t="n">
        <f aca="false">F5648*F5648</f>
        <v>0.25</v>
      </c>
      <c r="V5648" s="0" t="n">
        <f aca="false">G5648*G5648</f>
        <v>0.25</v>
      </c>
      <c r="W5648" s="0" t="n">
        <f aca="false">H5648*H5648</f>
        <v>1</v>
      </c>
      <c r="X5648" s="0" t="n">
        <f aca="false">SUMPRODUCT(I5648:W5648,_XtX!$B$96:$P$96)</f>
        <v>48.0190789473684</v>
      </c>
      <c r="Y5648" s="0" t="n">
        <f aca="false">SUMPRODUCT(MMULT(I5648:W5648,_XtX!$B$78:$P$92),I5648:W5648)</f>
        <v>0.42602110745614</v>
      </c>
      <c r="Z5648" s="0" t="n">
        <f aca="false">04_回帰ANOVA!$K$19*04_回帰ANOVA!$K$14*SQRT(1+Y5648)</f>
        <v>1.55654388501114</v>
      </c>
      <c r="AA5648" s="0" t="n">
        <f aca="false">X5648-Z5648</f>
        <v>46.4625350623573</v>
      </c>
      <c r="AB5648" s="0" t="n">
        <f aca="false">X5648+Z5648</f>
        <v>49.5756228323796</v>
      </c>
      <c r="AC5648" s="54" t="b">
        <f aca="false">AND(E5648&gt;=01_因子設定!$L$5-0.000000001,E5648&lt;=01_因子設定!$M$5+0.000000001,F5648&gt;=01_因子設定!$L$6-0.000000001,F5648&lt;=01_因子設定!$M$6+0.000000001,G5648&gt;=01_因子設定!$L$7-0.000000001,G5648&lt;=01_因子設定!$M$7+0.000000001,H5648&gt;=01_因子設定!$L$8-0.000000001,H5648&lt;=01_因子設定!$M$8+0.000000001,IF(01_因子設定!$B$20="Box-Behnken",E5648^2+F5648^2+G5648^2+H5648^2&lt;=2+0.000000001,TRUE()))</f>
        <v>1</v>
      </c>
      <c r="AD5648" s="55" t="n">
        <f aca="false">IF(AC5648,IF(01_因子設定!$B$13="最大化",AA5648-01_因子設定!$B$14,IF(01_因子設定!$B$13="最小化",01_因子設定!$B$15-AB5648,MIN(AA5648-01_因子設定!$B$14,01_因子設定!$B$15-AB5648))),-1E+030)</f>
        <v>-0.0374649376426959</v>
      </c>
      <c r="AE5648" s="55" t="n">
        <f aca="false">IF(AC5648,IF(01_因子設定!$B$13="最大化",X5648,IF(01_因子設定!$B$13="最小化",-X5648,-ABS(X5648-01_因子設定!$B$16))),-1E+030)</f>
        <v>48.0190789473684</v>
      </c>
      <c r="AF5648" s="55" t="n">
        <f aca="false">AD5648+ROW()*0.000000001</f>
        <v>-0.0374592896426959</v>
      </c>
      <c r="AG5648" s="55" t="n">
        <f aca="false">AE5648+ROW()*0.000000001</f>
        <v>48.0190845953684</v>
      </c>
    </row>
    <row r="5649" customFormat="false" ht="15" hidden="false" customHeight="false" outlineLevel="0" collapsed="false">
      <c r="A5649" s="0" t="n">
        <v>7</v>
      </c>
      <c r="B5649" s="0" t="n">
        <v>6</v>
      </c>
      <c r="C5649" s="0" t="n">
        <v>6</v>
      </c>
      <c r="D5649" s="0" t="n">
        <v>1</v>
      </c>
      <c r="E5649" s="0" t="n">
        <f aca="false">-1+A5649*0.25</f>
        <v>0.75</v>
      </c>
      <c r="F5649" s="0" t="n">
        <f aca="false">-1+B5649*0.25</f>
        <v>0.5</v>
      </c>
      <c r="G5649" s="0" t="n">
        <f aca="false">-1+C5649*0.25</f>
        <v>0.5</v>
      </c>
      <c r="H5649" s="0" t="n">
        <f aca="false">-1+D5649*0.25</f>
        <v>-0.75</v>
      </c>
      <c r="I5649" s="0" t="n">
        <f aca="false">1</f>
        <v>1</v>
      </c>
      <c r="J5649" s="0" t="n">
        <f aca="false">E5649</f>
        <v>0.75</v>
      </c>
      <c r="K5649" s="0" t="n">
        <f aca="false">F5649</f>
        <v>0.5</v>
      </c>
      <c r="L5649" s="0" t="n">
        <f aca="false">G5649</f>
        <v>0.5</v>
      </c>
      <c r="M5649" s="0" t="n">
        <f aca="false">H5649</f>
        <v>-0.75</v>
      </c>
      <c r="N5649" s="0" t="n">
        <f aca="false">E5649*F5649</f>
        <v>0.375</v>
      </c>
      <c r="O5649" s="0" t="n">
        <f aca="false">E5649*G5649</f>
        <v>0.375</v>
      </c>
      <c r="P5649" s="0" t="n">
        <f aca="false">E5649*H5649</f>
        <v>-0.5625</v>
      </c>
      <c r="Q5649" s="0" t="n">
        <f aca="false">F5649*G5649</f>
        <v>0.25</v>
      </c>
      <c r="R5649" s="0" t="n">
        <f aca="false">F5649*H5649</f>
        <v>-0.375</v>
      </c>
      <c r="S5649" s="0" t="n">
        <f aca="false">G5649*H5649</f>
        <v>-0.375</v>
      </c>
      <c r="T5649" s="0" t="n">
        <f aca="false">E5649*E5649</f>
        <v>0.5625</v>
      </c>
      <c r="U5649" s="0" t="n">
        <f aca="false">F5649*F5649</f>
        <v>0.25</v>
      </c>
      <c r="V5649" s="0" t="n">
        <f aca="false">G5649*G5649</f>
        <v>0.25</v>
      </c>
      <c r="W5649" s="0" t="n">
        <f aca="false">H5649*H5649</f>
        <v>0.5625</v>
      </c>
      <c r="X5649" s="0" t="n">
        <f aca="false">SUMPRODUCT(I5649:W5649,_XtX!$B$96:$P$96)</f>
        <v>48.3206048976608</v>
      </c>
      <c r="Y5649" s="0" t="n">
        <f aca="false">SUMPRODUCT(MMULT(I5649:W5649,_XtX!$B$78:$P$92),I5649:W5649)</f>
        <v>0.237862927174708</v>
      </c>
      <c r="Z5649" s="0" t="n">
        <f aca="false">04_回帰ANOVA!$K$19*04_回帰ANOVA!$K$14*SQRT(1+Y5649)</f>
        <v>1.45022260708756</v>
      </c>
      <c r="AA5649" s="0" t="n">
        <f aca="false">X5649-Z5649</f>
        <v>46.8703822905733</v>
      </c>
      <c r="AB5649" s="0" t="n">
        <f aca="false">X5649+Z5649</f>
        <v>49.7708275047484</v>
      </c>
      <c r="AC5649" s="54" t="b">
        <f aca="false">AND(E5649&gt;=01_因子設定!$L$5-0.000000001,E5649&lt;=01_因子設定!$M$5+0.000000001,F5649&gt;=01_因子設定!$L$6-0.000000001,F5649&lt;=01_因子設定!$M$6+0.000000001,G5649&gt;=01_因子設定!$L$7-0.000000001,G5649&lt;=01_因子設定!$M$7+0.000000001,H5649&gt;=01_因子設定!$L$8-0.000000001,H5649&lt;=01_因子設定!$M$8+0.000000001,IF(01_因子設定!$B$20="Box-Behnken",E5649^2+F5649^2+G5649^2+H5649^2&lt;=2+0.000000001,TRUE()))</f>
        <v>1</v>
      </c>
      <c r="AD5649" s="55" t="n">
        <f aca="false">IF(AC5649,IF(01_因子設定!$B$13="最大化",AA5649-01_因子設定!$B$14,IF(01_因子設定!$B$13="最小化",01_因子設定!$B$15-AB5649,MIN(AA5649-01_因子設定!$B$14,01_因子設定!$B$15-AB5649))),-1E+030)</f>
        <v>0.370382290573268</v>
      </c>
      <c r="AE5649" s="55" t="n">
        <f aca="false">IF(AC5649,IF(01_因子設定!$B$13="最大化",X5649,IF(01_因子設定!$B$13="最小化",-X5649,-ABS(X5649-01_因子設定!$B$16))),-1E+030)</f>
        <v>48.3206048976608</v>
      </c>
      <c r="AF5649" s="55" t="n">
        <f aca="false">AD5649+ROW()*0.000000001</f>
        <v>0.370387939573268</v>
      </c>
      <c r="AG5649" s="55" t="n">
        <f aca="false">AE5649+ROW()*0.000000001</f>
        <v>48.3206105466608</v>
      </c>
    </row>
    <row r="5650" customFormat="false" ht="15" hidden="false" customHeight="false" outlineLevel="0" collapsed="false">
      <c r="A5650" s="0" t="n">
        <v>7</v>
      </c>
      <c r="B5650" s="0" t="n">
        <v>6</v>
      </c>
      <c r="C5650" s="0" t="n">
        <v>6</v>
      </c>
      <c r="D5650" s="0" t="n">
        <v>2</v>
      </c>
      <c r="E5650" s="0" t="n">
        <f aca="false">-1+A5650*0.25</f>
        <v>0.75</v>
      </c>
      <c r="F5650" s="0" t="n">
        <f aca="false">-1+B5650*0.25</f>
        <v>0.5</v>
      </c>
      <c r="G5650" s="0" t="n">
        <f aca="false">-1+C5650*0.25</f>
        <v>0.5</v>
      </c>
      <c r="H5650" s="0" t="n">
        <f aca="false">-1+D5650*0.25</f>
        <v>-0.5</v>
      </c>
      <c r="I5650" s="0" t="n">
        <f aca="false">1</f>
        <v>1</v>
      </c>
      <c r="J5650" s="0" t="n">
        <f aca="false">E5650</f>
        <v>0.75</v>
      </c>
      <c r="K5650" s="0" t="n">
        <f aca="false">F5650</f>
        <v>0.5</v>
      </c>
      <c r="L5650" s="0" t="n">
        <f aca="false">G5650</f>
        <v>0.5</v>
      </c>
      <c r="M5650" s="0" t="n">
        <f aca="false">H5650</f>
        <v>-0.5</v>
      </c>
      <c r="N5650" s="0" t="n">
        <f aca="false">E5650*F5650</f>
        <v>0.375</v>
      </c>
      <c r="O5650" s="0" t="n">
        <f aca="false">E5650*G5650</f>
        <v>0.375</v>
      </c>
      <c r="P5650" s="0" t="n">
        <f aca="false">E5650*H5650</f>
        <v>-0.375</v>
      </c>
      <c r="Q5650" s="0" t="n">
        <f aca="false">F5650*G5650</f>
        <v>0.25</v>
      </c>
      <c r="R5650" s="0" t="n">
        <f aca="false">F5650*H5650</f>
        <v>-0.25</v>
      </c>
      <c r="S5650" s="0" t="n">
        <f aca="false">G5650*H5650</f>
        <v>-0.25</v>
      </c>
      <c r="T5650" s="0" t="n">
        <f aca="false">E5650*E5650</f>
        <v>0.5625</v>
      </c>
      <c r="U5650" s="0" t="n">
        <f aca="false">F5650*F5650</f>
        <v>0.25</v>
      </c>
      <c r="V5650" s="0" t="n">
        <f aca="false">G5650*G5650</f>
        <v>0.25</v>
      </c>
      <c r="W5650" s="0" t="n">
        <f aca="false">H5650*H5650</f>
        <v>0.25</v>
      </c>
      <c r="X5650" s="0" t="n">
        <f aca="false">SUMPRODUCT(I5650:W5650,_XtX!$B$96:$P$96)</f>
        <v>48.5743238304094</v>
      </c>
      <c r="Y5650" s="0" t="n">
        <f aca="false">SUMPRODUCT(MMULT(I5650:W5650,_XtX!$B$78:$P$92),I5650:W5650)</f>
        <v>0.193924753289474</v>
      </c>
      <c r="Z5650" s="0" t="n">
        <f aca="false">04_回帰ANOVA!$K$19*04_回帰ANOVA!$K$14*SQRT(1+Y5650)</f>
        <v>1.4242521079916</v>
      </c>
      <c r="AA5650" s="0" t="n">
        <f aca="false">X5650-Z5650</f>
        <v>47.1500717224178</v>
      </c>
      <c r="AB5650" s="0" t="n">
        <f aca="false">X5650+Z5650</f>
        <v>49.998575938401</v>
      </c>
      <c r="AC5650" s="54" t="b">
        <f aca="false">AND(E5650&gt;=01_因子設定!$L$5-0.000000001,E5650&lt;=01_因子設定!$M$5+0.000000001,F5650&gt;=01_因子設定!$L$6-0.000000001,F5650&lt;=01_因子設定!$M$6+0.000000001,G5650&gt;=01_因子設定!$L$7-0.000000001,G5650&lt;=01_因子設定!$M$7+0.000000001,H5650&gt;=01_因子設定!$L$8-0.000000001,H5650&lt;=01_因子設定!$M$8+0.000000001,IF(01_因子設定!$B$20="Box-Behnken",E5650^2+F5650^2+G5650^2+H5650^2&lt;=2+0.000000001,TRUE()))</f>
        <v>1</v>
      </c>
      <c r="AD5650" s="55" t="n">
        <f aca="false">IF(AC5650,IF(01_因子設定!$B$13="最大化",AA5650-01_因子設定!$B$14,IF(01_因子設定!$B$13="最小化",01_因子設定!$B$15-AB5650,MIN(AA5650-01_因子設定!$B$14,01_因子設定!$B$15-AB5650))),-1E+030)</f>
        <v>0.650071722417756</v>
      </c>
      <c r="AE5650" s="55" t="n">
        <f aca="false">IF(AC5650,IF(01_因子設定!$B$13="最大化",X5650,IF(01_因子設定!$B$13="最小化",-X5650,-ABS(X5650-01_因子設定!$B$16))),-1E+030)</f>
        <v>48.5743238304094</v>
      </c>
      <c r="AF5650" s="55" t="n">
        <f aca="false">AD5650+ROW()*0.000000001</f>
        <v>0.650077372417756</v>
      </c>
      <c r="AG5650" s="55" t="n">
        <f aca="false">AE5650+ROW()*0.000000001</f>
        <v>48.5743294804094</v>
      </c>
    </row>
    <row r="5651" customFormat="false" ht="15" hidden="false" customHeight="false" outlineLevel="0" collapsed="false">
      <c r="A5651" s="0" t="n">
        <v>7</v>
      </c>
      <c r="B5651" s="0" t="n">
        <v>6</v>
      </c>
      <c r="C5651" s="0" t="n">
        <v>6</v>
      </c>
      <c r="D5651" s="0" t="n">
        <v>3</v>
      </c>
      <c r="E5651" s="0" t="n">
        <f aca="false">-1+A5651*0.25</f>
        <v>0.75</v>
      </c>
      <c r="F5651" s="0" t="n">
        <f aca="false">-1+B5651*0.25</f>
        <v>0.5</v>
      </c>
      <c r="G5651" s="0" t="n">
        <f aca="false">-1+C5651*0.25</f>
        <v>0.5</v>
      </c>
      <c r="H5651" s="0" t="n">
        <f aca="false">-1+D5651*0.25</f>
        <v>-0.25</v>
      </c>
      <c r="I5651" s="0" t="n">
        <f aca="false">1</f>
        <v>1</v>
      </c>
      <c r="J5651" s="0" t="n">
        <f aca="false">E5651</f>
        <v>0.75</v>
      </c>
      <c r="K5651" s="0" t="n">
        <f aca="false">F5651</f>
        <v>0.5</v>
      </c>
      <c r="L5651" s="0" t="n">
        <f aca="false">G5651</f>
        <v>0.5</v>
      </c>
      <c r="M5651" s="0" t="n">
        <f aca="false">H5651</f>
        <v>-0.25</v>
      </c>
      <c r="N5651" s="0" t="n">
        <f aca="false">E5651*F5651</f>
        <v>0.375</v>
      </c>
      <c r="O5651" s="0" t="n">
        <f aca="false">E5651*G5651</f>
        <v>0.375</v>
      </c>
      <c r="P5651" s="0" t="n">
        <f aca="false">E5651*H5651</f>
        <v>-0.1875</v>
      </c>
      <c r="Q5651" s="0" t="n">
        <f aca="false">F5651*G5651</f>
        <v>0.25</v>
      </c>
      <c r="R5651" s="0" t="n">
        <f aca="false">F5651*H5651</f>
        <v>-0.125</v>
      </c>
      <c r="S5651" s="0" t="n">
        <f aca="false">G5651*H5651</f>
        <v>-0.125</v>
      </c>
      <c r="T5651" s="0" t="n">
        <f aca="false">E5651*E5651</f>
        <v>0.5625</v>
      </c>
      <c r="U5651" s="0" t="n">
        <f aca="false">F5651*F5651</f>
        <v>0.25</v>
      </c>
      <c r="V5651" s="0" t="n">
        <f aca="false">G5651*G5651</f>
        <v>0.25</v>
      </c>
      <c r="W5651" s="0" t="n">
        <f aca="false">H5651*H5651</f>
        <v>0.0625</v>
      </c>
      <c r="X5651" s="0" t="n">
        <f aca="false">SUMPRODUCT(I5651:W5651,_XtX!$B$96:$P$96)</f>
        <v>48.780235745614</v>
      </c>
      <c r="Y5651" s="0" t="n">
        <f aca="false">SUMPRODUCT(MMULT(I5651:W5651,_XtX!$B$78:$P$92),I5651:W5651)</f>
        <v>0.203746059484649</v>
      </c>
      <c r="Z5651" s="0" t="n">
        <f aca="false">04_回帰ANOVA!$K$19*04_回帰ANOVA!$K$14*SQRT(1+Y5651)</f>
        <v>1.43009810755465</v>
      </c>
      <c r="AA5651" s="0" t="n">
        <f aca="false">X5651-Z5651</f>
        <v>47.3501376380594</v>
      </c>
      <c r="AB5651" s="0" t="n">
        <f aca="false">X5651+Z5651</f>
        <v>50.2103338531687</v>
      </c>
      <c r="AC5651" s="54" t="b">
        <f aca="false">AND(E5651&gt;=01_因子設定!$L$5-0.000000001,E5651&lt;=01_因子設定!$M$5+0.000000001,F5651&gt;=01_因子設定!$L$6-0.000000001,F5651&lt;=01_因子設定!$M$6+0.000000001,G5651&gt;=01_因子設定!$L$7-0.000000001,G5651&lt;=01_因子設定!$M$7+0.000000001,H5651&gt;=01_因子設定!$L$8-0.000000001,H5651&lt;=01_因子設定!$M$8+0.000000001,IF(01_因子設定!$B$20="Box-Behnken",E5651^2+F5651^2+G5651^2+H5651^2&lt;=2+0.000000001,TRUE()))</f>
        <v>1</v>
      </c>
      <c r="AD5651" s="55" t="n">
        <f aca="false">IF(AC5651,IF(01_因子設定!$B$13="最大化",AA5651-01_因子設定!$B$14,IF(01_因子設定!$B$13="最小化",01_因子設定!$B$15-AB5651,MIN(AA5651-01_因子設定!$B$14,01_因子設定!$B$15-AB5651))),-1E+030)</f>
        <v>0.850137638059373</v>
      </c>
      <c r="AE5651" s="55" t="n">
        <f aca="false">IF(AC5651,IF(01_因子設定!$B$13="最大化",X5651,IF(01_因子設定!$B$13="最小化",-X5651,-ABS(X5651-01_因子設定!$B$16))),-1E+030)</f>
        <v>48.780235745614</v>
      </c>
      <c r="AF5651" s="55" t="n">
        <f aca="false">AD5651+ROW()*0.000000001</f>
        <v>0.850143289059373</v>
      </c>
      <c r="AG5651" s="55" t="n">
        <f aca="false">AE5651+ROW()*0.000000001</f>
        <v>48.780241396614</v>
      </c>
    </row>
    <row r="5652" customFormat="false" ht="15" hidden="false" customHeight="false" outlineLevel="0" collapsed="false">
      <c r="A5652" s="0" t="n">
        <v>7</v>
      </c>
      <c r="B5652" s="0" t="n">
        <v>6</v>
      </c>
      <c r="C5652" s="0" t="n">
        <v>6</v>
      </c>
      <c r="D5652" s="0" t="n">
        <v>4</v>
      </c>
      <c r="E5652" s="0" t="n">
        <f aca="false">-1+A5652*0.25</f>
        <v>0.75</v>
      </c>
      <c r="F5652" s="0" t="n">
        <f aca="false">-1+B5652*0.25</f>
        <v>0.5</v>
      </c>
      <c r="G5652" s="0" t="n">
        <f aca="false">-1+C5652*0.25</f>
        <v>0.5</v>
      </c>
      <c r="H5652" s="0" t="n">
        <f aca="false">-1+D5652*0.25</f>
        <v>0</v>
      </c>
      <c r="I5652" s="0" t="n">
        <f aca="false">1</f>
        <v>1</v>
      </c>
      <c r="J5652" s="0" t="n">
        <f aca="false">E5652</f>
        <v>0.75</v>
      </c>
      <c r="K5652" s="0" t="n">
        <f aca="false">F5652</f>
        <v>0.5</v>
      </c>
      <c r="L5652" s="0" t="n">
        <f aca="false">G5652</f>
        <v>0.5</v>
      </c>
      <c r="M5652" s="0" t="n">
        <f aca="false">H5652</f>
        <v>0</v>
      </c>
      <c r="N5652" s="0" t="n">
        <f aca="false">E5652*F5652</f>
        <v>0.375</v>
      </c>
      <c r="O5652" s="0" t="n">
        <f aca="false">E5652*G5652</f>
        <v>0.375</v>
      </c>
      <c r="P5652" s="0" t="n">
        <f aca="false">E5652*H5652</f>
        <v>0</v>
      </c>
      <c r="Q5652" s="0" t="n">
        <f aca="false">F5652*G5652</f>
        <v>0.25</v>
      </c>
      <c r="R5652" s="0" t="n">
        <f aca="false">F5652*H5652</f>
        <v>0</v>
      </c>
      <c r="S5652" s="0" t="n">
        <f aca="false">G5652*H5652</f>
        <v>0</v>
      </c>
      <c r="T5652" s="0" t="n">
        <f aca="false">E5652*E5652</f>
        <v>0.5625</v>
      </c>
      <c r="U5652" s="0" t="n">
        <f aca="false">F5652*F5652</f>
        <v>0.25</v>
      </c>
      <c r="V5652" s="0" t="n">
        <f aca="false">G5652*G5652</f>
        <v>0.25</v>
      </c>
      <c r="W5652" s="0" t="n">
        <f aca="false">H5652*H5652</f>
        <v>0</v>
      </c>
      <c r="X5652" s="0" t="n">
        <f aca="false">SUMPRODUCT(I5652:W5652,_XtX!$B$96:$P$96)</f>
        <v>48.9383406432748</v>
      </c>
      <c r="Y5652" s="0" t="n">
        <f aca="false">SUMPRODUCT(MMULT(I5652:W5652,_XtX!$B$78:$P$92),I5652:W5652)</f>
        <v>0.21305052997076</v>
      </c>
      <c r="Z5652" s="0" t="n">
        <f aca="false">04_回帰ANOVA!$K$19*04_回帰ANOVA!$K$14*SQRT(1+Y5652)</f>
        <v>1.43561450835061</v>
      </c>
      <c r="AA5652" s="0" t="n">
        <f aca="false">X5652-Z5652</f>
        <v>47.5027261349242</v>
      </c>
      <c r="AB5652" s="0" t="n">
        <f aca="false">X5652+Z5652</f>
        <v>50.3739551516254</v>
      </c>
      <c r="AC5652" s="54" t="b">
        <f aca="false">AND(E5652&gt;=01_因子設定!$L$5-0.000000001,E5652&lt;=01_因子設定!$M$5+0.000000001,F5652&gt;=01_因子設定!$L$6-0.000000001,F5652&lt;=01_因子設定!$M$6+0.000000001,G5652&gt;=01_因子設定!$L$7-0.000000001,G5652&lt;=01_因子設定!$M$7+0.000000001,H5652&gt;=01_因子設定!$L$8-0.000000001,H5652&lt;=01_因子設定!$M$8+0.000000001,IF(01_因子設定!$B$20="Box-Behnken",E5652^2+F5652^2+G5652^2+H5652^2&lt;=2+0.000000001,TRUE()))</f>
        <v>1</v>
      </c>
      <c r="AD5652" s="55" t="n">
        <f aca="false">IF(AC5652,IF(01_因子設定!$B$13="最大化",AA5652-01_因子設定!$B$14,IF(01_因子設定!$B$13="最小化",01_因子設定!$B$15-AB5652,MIN(AA5652-01_因子設定!$B$14,01_因子設定!$B$15-AB5652))),-1E+030)</f>
        <v>1.00272613492424</v>
      </c>
      <c r="AE5652" s="55" t="n">
        <f aca="false">IF(AC5652,IF(01_因子設定!$B$13="最大化",X5652,IF(01_因子設定!$B$13="最小化",-X5652,-ABS(X5652-01_因子設定!$B$16))),-1E+030)</f>
        <v>48.9383406432748</v>
      </c>
      <c r="AF5652" s="55" t="n">
        <f aca="false">AD5652+ROW()*0.000000001</f>
        <v>1.00273178692424</v>
      </c>
      <c r="AG5652" s="55" t="n">
        <f aca="false">AE5652+ROW()*0.000000001</f>
        <v>48.9383462952748</v>
      </c>
    </row>
    <row r="5653" customFormat="false" ht="15" hidden="false" customHeight="false" outlineLevel="0" collapsed="false">
      <c r="A5653" s="0" t="n">
        <v>7</v>
      </c>
      <c r="B5653" s="0" t="n">
        <v>6</v>
      </c>
      <c r="C5653" s="0" t="n">
        <v>6</v>
      </c>
      <c r="D5653" s="0" t="n">
        <v>5</v>
      </c>
      <c r="E5653" s="0" t="n">
        <f aca="false">-1+A5653*0.25</f>
        <v>0.75</v>
      </c>
      <c r="F5653" s="0" t="n">
        <f aca="false">-1+B5653*0.25</f>
        <v>0.5</v>
      </c>
      <c r="G5653" s="0" t="n">
        <f aca="false">-1+C5653*0.25</f>
        <v>0.5</v>
      </c>
      <c r="H5653" s="0" t="n">
        <f aca="false">-1+D5653*0.25</f>
        <v>0.25</v>
      </c>
      <c r="I5653" s="0" t="n">
        <f aca="false">1</f>
        <v>1</v>
      </c>
      <c r="J5653" s="0" t="n">
        <f aca="false">E5653</f>
        <v>0.75</v>
      </c>
      <c r="K5653" s="0" t="n">
        <f aca="false">F5653</f>
        <v>0.5</v>
      </c>
      <c r="L5653" s="0" t="n">
        <f aca="false">G5653</f>
        <v>0.5</v>
      </c>
      <c r="M5653" s="0" t="n">
        <f aca="false">H5653</f>
        <v>0.25</v>
      </c>
      <c r="N5653" s="0" t="n">
        <f aca="false">E5653*F5653</f>
        <v>0.375</v>
      </c>
      <c r="O5653" s="0" t="n">
        <f aca="false">E5653*G5653</f>
        <v>0.375</v>
      </c>
      <c r="P5653" s="0" t="n">
        <f aca="false">E5653*H5653</f>
        <v>0.1875</v>
      </c>
      <c r="Q5653" s="0" t="n">
        <f aca="false">F5653*G5653</f>
        <v>0.25</v>
      </c>
      <c r="R5653" s="0" t="n">
        <f aca="false">F5653*H5653</f>
        <v>0.125</v>
      </c>
      <c r="S5653" s="0" t="n">
        <f aca="false">G5653*H5653</f>
        <v>0.125</v>
      </c>
      <c r="T5653" s="0" t="n">
        <f aca="false">E5653*E5653</f>
        <v>0.5625</v>
      </c>
      <c r="U5653" s="0" t="n">
        <f aca="false">F5653*F5653</f>
        <v>0.25</v>
      </c>
      <c r="V5653" s="0" t="n">
        <f aca="false">G5653*G5653</f>
        <v>0.25</v>
      </c>
      <c r="W5653" s="0" t="n">
        <f aca="false">H5653*H5653</f>
        <v>0.0625</v>
      </c>
      <c r="X5653" s="0" t="n">
        <f aca="false">SUMPRODUCT(I5653:W5653,_XtX!$B$96:$P$96)</f>
        <v>49.0486385233918</v>
      </c>
      <c r="Y5653" s="0" t="n">
        <f aca="false">SUMPRODUCT(MMULT(I5653:W5653,_XtX!$B$78:$P$92),I5653:W5653)</f>
        <v>0.203746059484649</v>
      </c>
      <c r="Z5653" s="0" t="n">
        <f aca="false">04_回帰ANOVA!$K$19*04_回帰ANOVA!$K$14*SQRT(1+Y5653)</f>
        <v>1.43009810755465</v>
      </c>
      <c r="AA5653" s="0" t="n">
        <f aca="false">X5653-Z5653</f>
        <v>47.6185404158372</v>
      </c>
      <c r="AB5653" s="0" t="n">
        <f aca="false">X5653+Z5653</f>
        <v>50.4787366309465</v>
      </c>
      <c r="AC5653" s="54" t="b">
        <f aca="false">AND(E5653&gt;=01_因子設定!$L$5-0.000000001,E5653&lt;=01_因子設定!$M$5+0.000000001,F5653&gt;=01_因子設定!$L$6-0.000000001,F5653&lt;=01_因子設定!$M$6+0.000000001,G5653&gt;=01_因子設定!$L$7-0.000000001,G5653&lt;=01_因子設定!$M$7+0.000000001,H5653&gt;=01_因子設定!$L$8-0.000000001,H5653&lt;=01_因子設定!$M$8+0.000000001,IF(01_因子設定!$B$20="Box-Behnken",E5653^2+F5653^2+G5653^2+H5653^2&lt;=2+0.000000001,TRUE()))</f>
        <v>1</v>
      </c>
      <c r="AD5653" s="55" t="n">
        <f aca="false">IF(AC5653,IF(01_因子設定!$B$13="最大化",AA5653-01_因子設定!$B$14,IF(01_因子設定!$B$13="最小化",01_因子設定!$B$15-AB5653,MIN(AA5653-01_因子設定!$B$14,01_因子設定!$B$15-AB5653))),-1E+030)</f>
        <v>1.11854041583715</v>
      </c>
      <c r="AE5653" s="55" t="n">
        <f aca="false">IF(AC5653,IF(01_因子設定!$B$13="最大化",X5653,IF(01_因子設定!$B$13="最小化",-X5653,-ABS(X5653-01_因子設定!$B$16))),-1E+030)</f>
        <v>49.0486385233918</v>
      </c>
      <c r="AF5653" s="55" t="n">
        <f aca="false">AD5653+ROW()*0.000000001</f>
        <v>1.11854606883715</v>
      </c>
      <c r="AG5653" s="55" t="n">
        <f aca="false">AE5653+ROW()*0.000000001</f>
        <v>49.0486441763918</v>
      </c>
    </row>
    <row r="5654" customFormat="false" ht="15" hidden="false" customHeight="false" outlineLevel="0" collapsed="false">
      <c r="A5654" s="0" t="n">
        <v>7</v>
      </c>
      <c r="B5654" s="0" t="n">
        <v>6</v>
      </c>
      <c r="C5654" s="0" t="n">
        <v>6</v>
      </c>
      <c r="D5654" s="0" t="n">
        <v>6</v>
      </c>
      <c r="E5654" s="0" t="n">
        <f aca="false">-1+A5654*0.25</f>
        <v>0.75</v>
      </c>
      <c r="F5654" s="0" t="n">
        <f aca="false">-1+B5654*0.25</f>
        <v>0.5</v>
      </c>
      <c r="G5654" s="0" t="n">
        <f aca="false">-1+C5654*0.25</f>
        <v>0.5</v>
      </c>
      <c r="H5654" s="0" t="n">
        <f aca="false">-1+D5654*0.25</f>
        <v>0.5</v>
      </c>
      <c r="I5654" s="0" t="n">
        <f aca="false">1</f>
        <v>1</v>
      </c>
      <c r="J5654" s="0" t="n">
        <f aca="false">E5654</f>
        <v>0.75</v>
      </c>
      <c r="K5654" s="0" t="n">
        <f aca="false">F5654</f>
        <v>0.5</v>
      </c>
      <c r="L5654" s="0" t="n">
        <f aca="false">G5654</f>
        <v>0.5</v>
      </c>
      <c r="M5654" s="0" t="n">
        <f aca="false">H5654</f>
        <v>0.5</v>
      </c>
      <c r="N5654" s="0" t="n">
        <f aca="false">E5654*F5654</f>
        <v>0.375</v>
      </c>
      <c r="O5654" s="0" t="n">
        <f aca="false">E5654*G5654</f>
        <v>0.375</v>
      </c>
      <c r="P5654" s="0" t="n">
        <f aca="false">E5654*H5654</f>
        <v>0.375</v>
      </c>
      <c r="Q5654" s="0" t="n">
        <f aca="false">F5654*G5654</f>
        <v>0.25</v>
      </c>
      <c r="R5654" s="0" t="n">
        <f aca="false">F5654*H5654</f>
        <v>0.25</v>
      </c>
      <c r="S5654" s="0" t="n">
        <f aca="false">G5654*H5654</f>
        <v>0.25</v>
      </c>
      <c r="T5654" s="0" t="n">
        <f aca="false">E5654*E5654</f>
        <v>0.5625</v>
      </c>
      <c r="U5654" s="0" t="n">
        <f aca="false">F5654*F5654</f>
        <v>0.25</v>
      </c>
      <c r="V5654" s="0" t="n">
        <f aca="false">G5654*G5654</f>
        <v>0.25</v>
      </c>
      <c r="W5654" s="0" t="n">
        <f aca="false">H5654*H5654</f>
        <v>0.25</v>
      </c>
      <c r="X5654" s="0" t="n">
        <f aca="false">SUMPRODUCT(I5654:W5654,_XtX!$B$96:$P$96)</f>
        <v>49.1111293859649</v>
      </c>
      <c r="Y5654" s="0" t="n">
        <f aca="false">SUMPRODUCT(MMULT(I5654:W5654,_XtX!$B$78:$P$92),I5654:W5654)</f>
        <v>0.193924753289474</v>
      </c>
      <c r="Z5654" s="0" t="n">
        <f aca="false">04_回帰ANOVA!$K$19*04_回帰ANOVA!$K$14*SQRT(1+Y5654)</f>
        <v>1.4242521079916</v>
      </c>
      <c r="AA5654" s="0" t="n">
        <f aca="false">X5654-Z5654</f>
        <v>47.6868772779733</v>
      </c>
      <c r="AB5654" s="0" t="n">
        <f aca="false">X5654+Z5654</f>
        <v>50.5353814939565</v>
      </c>
      <c r="AC5654" s="54" t="b">
        <f aca="false">AND(E5654&gt;=01_因子設定!$L$5-0.000000001,E5654&lt;=01_因子設定!$M$5+0.000000001,F5654&gt;=01_因子設定!$L$6-0.000000001,F5654&lt;=01_因子設定!$M$6+0.000000001,G5654&gt;=01_因子設定!$L$7-0.000000001,G5654&lt;=01_因子設定!$M$7+0.000000001,H5654&gt;=01_因子設定!$L$8-0.000000001,H5654&lt;=01_因子設定!$M$8+0.000000001,IF(01_因子設定!$B$20="Box-Behnken",E5654^2+F5654^2+G5654^2+H5654^2&lt;=2+0.000000001,TRUE()))</f>
        <v>1</v>
      </c>
      <c r="AD5654" s="55" t="n">
        <f aca="false">IF(AC5654,IF(01_因子設定!$B$13="最大化",AA5654-01_因子設定!$B$14,IF(01_因子設定!$B$13="最小化",01_因子設定!$B$15-AB5654,MIN(AA5654-01_因子設定!$B$14,01_因子設定!$B$15-AB5654))),-1E+030)</f>
        <v>1.18687727797331</v>
      </c>
      <c r="AE5654" s="55" t="n">
        <f aca="false">IF(AC5654,IF(01_因子設定!$B$13="最大化",X5654,IF(01_因子設定!$B$13="最小化",-X5654,-ABS(X5654-01_因子設定!$B$16))),-1E+030)</f>
        <v>49.1111293859649</v>
      </c>
      <c r="AF5654" s="55" t="n">
        <f aca="false">AD5654+ROW()*0.000000001</f>
        <v>1.18688293197331</v>
      </c>
      <c r="AG5654" s="55" t="n">
        <f aca="false">AE5654+ROW()*0.000000001</f>
        <v>49.1111350399649</v>
      </c>
    </row>
    <row r="5655" customFormat="false" ht="15" hidden="false" customHeight="false" outlineLevel="0" collapsed="false">
      <c r="A5655" s="0" t="n">
        <v>7</v>
      </c>
      <c r="B5655" s="0" t="n">
        <v>6</v>
      </c>
      <c r="C5655" s="0" t="n">
        <v>6</v>
      </c>
      <c r="D5655" s="0" t="n">
        <v>7</v>
      </c>
      <c r="E5655" s="0" t="n">
        <f aca="false">-1+A5655*0.25</f>
        <v>0.75</v>
      </c>
      <c r="F5655" s="0" t="n">
        <f aca="false">-1+B5655*0.25</f>
        <v>0.5</v>
      </c>
      <c r="G5655" s="0" t="n">
        <f aca="false">-1+C5655*0.25</f>
        <v>0.5</v>
      </c>
      <c r="H5655" s="0" t="n">
        <f aca="false">-1+D5655*0.25</f>
        <v>0.75</v>
      </c>
      <c r="I5655" s="0" t="n">
        <f aca="false">1</f>
        <v>1</v>
      </c>
      <c r="J5655" s="0" t="n">
        <f aca="false">E5655</f>
        <v>0.75</v>
      </c>
      <c r="K5655" s="0" t="n">
        <f aca="false">F5655</f>
        <v>0.5</v>
      </c>
      <c r="L5655" s="0" t="n">
        <f aca="false">G5655</f>
        <v>0.5</v>
      </c>
      <c r="M5655" s="0" t="n">
        <f aca="false">H5655</f>
        <v>0.75</v>
      </c>
      <c r="N5655" s="0" t="n">
        <f aca="false">E5655*F5655</f>
        <v>0.375</v>
      </c>
      <c r="O5655" s="0" t="n">
        <f aca="false">E5655*G5655</f>
        <v>0.375</v>
      </c>
      <c r="P5655" s="0" t="n">
        <f aca="false">E5655*H5655</f>
        <v>0.5625</v>
      </c>
      <c r="Q5655" s="0" t="n">
        <f aca="false">F5655*G5655</f>
        <v>0.25</v>
      </c>
      <c r="R5655" s="0" t="n">
        <f aca="false">F5655*H5655</f>
        <v>0.375</v>
      </c>
      <c r="S5655" s="0" t="n">
        <f aca="false">G5655*H5655</f>
        <v>0.375</v>
      </c>
      <c r="T5655" s="0" t="n">
        <f aca="false">E5655*E5655</f>
        <v>0.5625</v>
      </c>
      <c r="U5655" s="0" t="n">
        <f aca="false">F5655*F5655</f>
        <v>0.25</v>
      </c>
      <c r="V5655" s="0" t="n">
        <f aca="false">G5655*G5655</f>
        <v>0.25</v>
      </c>
      <c r="W5655" s="0" t="n">
        <f aca="false">H5655*H5655</f>
        <v>0.5625</v>
      </c>
      <c r="X5655" s="0" t="n">
        <f aca="false">SUMPRODUCT(I5655:W5655,_XtX!$B$96:$P$96)</f>
        <v>49.1258132309942</v>
      </c>
      <c r="Y5655" s="0" t="n">
        <f aca="false">SUMPRODUCT(MMULT(I5655:W5655,_XtX!$B$78:$P$92),I5655:W5655)</f>
        <v>0.237862927174708</v>
      </c>
      <c r="Z5655" s="0" t="n">
        <f aca="false">04_回帰ANOVA!$K$19*04_回帰ANOVA!$K$14*SQRT(1+Y5655)</f>
        <v>1.45022260708756</v>
      </c>
      <c r="AA5655" s="0" t="n">
        <f aca="false">X5655-Z5655</f>
        <v>47.6755906239066</v>
      </c>
      <c r="AB5655" s="0" t="n">
        <f aca="false">X5655+Z5655</f>
        <v>50.5760358380817</v>
      </c>
      <c r="AC5655" s="54" t="b">
        <f aca="false">AND(E5655&gt;=01_因子設定!$L$5-0.000000001,E5655&lt;=01_因子設定!$M$5+0.000000001,F5655&gt;=01_因子設定!$L$6-0.000000001,F5655&lt;=01_因子設定!$M$6+0.000000001,G5655&gt;=01_因子設定!$L$7-0.000000001,G5655&lt;=01_因子設定!$M$7+0.000000001,H5655&gt;=01_因子設定!$L$8-0.000000001,H5655&lt;=01_因子設定!$M$8+0.000000001,IF(01_因子設定!$B$20="Box-Behnken",E5655^2+F5655^2+G5655^2+H5655^2&lt;=2+0.000000001,TRUE()))</f>
        <v>1</v>
      </c>
      <c r="AD5655" s="55" t="n">
        <f aca="false">IF(AC5655,IF(01_因子設定!$B$13="最大化",AA5655-01_因子設定!$B$14,IF(01_因子設定!$B$13="最小化",01_因子設定!$B$15-AB5655,MIN(AA5655-01_因子設定!$B$14,01_因子設定!$B$15-AB5655))),-1E+030)</f>
        <v>1.17559062390659</v>
      </c>
      <c r="AE5655" s="55" t="n">
        <f aca="false">IF(AC5655,IF(01_因子設定!$B$13="最大化",X5655,IF(01_因子設定!$B$13="最小化",-X5655,-ABS(X5655-01_因子設定!$B$16))),-1E+030)</f>
        <v>49.1258132309942</v>
      </c>
      <c r="AF5655" s="55" t="n">
        <f aca="false">AD5655+ROW()*0.000000001</f>
        <v>1.17559627890659</v>
      </c>
      <c r="AG5655" s="55" t="n">
        <f aca="false">AE5655+ROW()*0.000000001</f>
        <v>49.1258188859942</v>
      </c>
    </row>
    <row r="5656" customFormat="false" ht="15" hidden="false" customHeight="false" outlineLevel="0" collapsed="false">
      <c r="A5656" s="0" t="n">
        <v>7</v>
      </c>
      <c r="B5656" s="0" t="n">
        <v>6</v>
      </c>
      <c r="C5656" s="0" t="n">
        <v>6</v>
      </c>
      <c r="D5656" s="0" t="n">
        <v>8</v>
      </c>
      <c r="E5656" s="0" t="n">
        <f aca="false">-1+A5656*0.25</f>
        <v>0.75</v>
      </c>
      <c r="F5656" s="0" t="n">
        <f aca="false">-1+B5656*0.25</f>
        <v>0.5</v>
      </c>
      <c r="G5656" s="0" t="n">
        <f aca="false">-1+C5656*0.25</f>
        <v>0.5</v>
      </c>
      <c r="H5656" s="0" t="n">
        <f aca="false">-1+D5656*0.25</f>
        <v>1</v>
      </c>
      <c r="I5656" s="0" t="n">
        <f aca="false">1</f>
        <v>1</v>
      </c>
      <c r="J5656" s="0" t="n">
        <f aca="false">E5656</f>
        <v>0.75</v>
      </c>
      <c r="K5656" s="0" t="n">
        <f aca="false">F5656</f>
        <v>0.5</v>
      </c>
      <c r="L5656" s="0" t="n">
        <f aca="false">G5656</f>
        <v>0.5</v>
      </c>
      <c r="M5656" s="0" t="n">
        <f aca="false">H5656</f>
        <v>1</v>
      </c>
      <c r="N5656" s="0" t="n">
        <f aca="false">E5656*F5656</f>
        <v>0.375</v>
      </c>
      <c r="O5656" s="0" t="n">
        <f aca="false">E5656*G5656</f>
        <v>0.375</v>
      </c>
      <c r="P5656" s="0" t="n">
        <f aca="false">E5656*H5656</f>
        <v>0.75</v>
      </c>
      <c r="Q5656" s="0" t="n">
        <f aca="false">F5656*G5656</f>
        <v>0.25</v>
      </c>
      <c r="R5656" s="0" t="n">
        <f aca="false">F5656*H5656</f>
        <v>0.5</v>
      </c>
      <c r="S5656" s="0" t="n">
        <f aca="false">G5656*H5656</f>
        <v>0.5</v>
      </c>
      <c r="T5656" s="0" t="n">
        <f aca="false">E5656*E5656</f>
        <v>0.5625</v>
      </c>
      <c r="U5656" s="0" t="n">
        <f aca="false">F5656*F5656</f>
        <v>0.25</v>
      </c>
      <c r="V5656" s="0" t="n">
        <f aca="false">G5656*G5656</f>
        <v>0.25</v>
      </c>
      <c r="W5656" s="0" t="n">
        <f aca="false">H5656*H5656</f>
        <v>1</v>
      </c>
      <c r="X5656" s="0" t="n">
        <f aca="false">SUMPRODUCT(I5656:W5656,_XtX!$B$96:$P$96)</f>
        <v>49.0926900584796</v>
      </c>
      <c r="Y5656" s="0" t="n">
        <f aca="false">SUMPRODUCT(MMULT(I5656:W5656,_XtX!$B$78:$P$92),I5656:W5656)</f>
        <v>0.42602110745614</v>
      </c>
      <c r="Z5656" s="0" t="n">
        <f aca="false">04_回帰ANOVA!$K$19*04_回帰ANOVA!$K$14*SQRT(1+Y5656)</f>
        <v>1.55654388501114</v>
      </c>
      <c r="AA5656" s="0" t="n">
        <f aca="false">X5656-Z5656</f>
        <v>47.5361461734684</v>
      </c>
      <c r="AB5656" s="0" t="n">
        <f aca="false">X5656+Z5656</f>
        <v>50.6492339434907</v>
      </c>
      <c r="AC5656" s="54" t="b">
        <f aca="false">AND(E5656&gt;=01_因子設定!$L$5-0.000000001,E5656&lt;=01_因子設定!$M$5+0.000000001,F5656&gt;=01_因子設定!$L$6-0.000000001,F5656&lt;=01_因子設定!$M$6+0.000000001,G5656&gt;=01_因子設定!$L$7-0.000000001,G5656&lt;=01_因子設定!$M$7+0.000000001,H5656&gt;=01_因子設定!$L$8-0.000000001,H5656&lt;=01_因子設定!$M$8+0.000000001,IF(01_因子設定!$B$20="Box-Behnken",E5656^2+F5656^2+G5656^2+H5656^2&lt;=2+0.000000001,TRUE()))</f>
        <v>1</v>
      </c>
      <c r="AD5656" s="55" t="n">
        <f aca="false">IF(AC5656,IF(01_因子設定!$B$13="最大化",AA5656-01_因子設定!$B$14,IF(01_因子設定!$B$13="最小化",01_因子設定!$B$15-AB5656,MIN(AA5656-01_因子設定!$B$14,01_因子設定!$B$15-AB5656))),-1E+030)</f>
        <v>1.03614617346842</v>
      </c>
      <c r="AE5656" s="55" t="n">
        <f aca="false">IF(AC5656,IF(01_因子設定!$B$13="最大化",X5656,IF(01_因子設定!$B$13="最小化",-X5656,-ABS(X5656-01_因子設定!$B$16))),-1E+030)</f>
        <v>49.0926900584796</v>
      </c>
      <c r="AF5656" s="55" t="n">
        <f aca="false">AD5656+ROW()*0.000000001</f>
        <v>1.03615182946842</v>
      </c>
      <c r="AG5656" s="55" t="n">
        <f aca="false">AE5656+ROW()*0.000000001</f>
        <v>49.0926957144796</v>
      </c>
    </row>
    <row r="5657" customFormat="false" ht="15" hidden="false" customHeight="false" outlineLevel="0" collapsed="false">
      <c r="A5657" s="0" t="n">
        <v>7</v>
      </c>
      <c r="B5657" s="0" t="n">
        <v>6</v>
      </c>
      <c r="C5657" s="0" t="n">
        <v>7</v>
      </c>
      <c r="D5657" s="0" t="n">
        <v>0</v>
      </c>
      <c r="E5657" s="0" t="n">
        <f aca="false">-1+A5657*0.25</f>
        <v>0.75</v>
      </c>
      <c r="F5657" s="0" t="n">
        <f aca="false">-1+B5657*0.25</f>
        <v>0.5</v>
      </c>
      <c r="G5657" s="0" t="n">
        <f aca="false">-1+C5657*0.25</f>
        <v>0.75</v>
      </c>
      <c r="H5657" s="0" t="n">
        <f aca="false">-1+D5657*0.25</f>
        <v>-1</v>
      </c>
      <c r="I5657" s="0" t="n">
        <f aca="false">1</f>
        <v>1</v>
      </c>
      <c r="J5657" s="0" t="n">
        <f aca="false">E5657</f>
        <v>0.75</v>
      </c>
      <c r="K5657" s="0" t="n">
        <f aca="false">F5657</f>
        <v>0.5</v>
      </c>
      <c r="L5657" s="0" t="n">
        <f aca="false">G5657</f>
        <v>0.75</v>
      </c>
      <c r="M5657" s="0" t="n">
        <f aca="false">H5657</f>
        <v>-1</v>
      </c>
      <c r="N5657" s="0" t="n">
        <f aca="false">E5657*F5657</f>
        <v>0.375</v>
      </c>
      <c r="O5657" s="0" t="n">
        <f aca="false">E5657*G5657</f>
        <v>0.5625</v>
      </c>
      <c r="P5657" s="0" t="n">
        <f aca="false">E5657*H5657</f>
        <v>-0.75</v>
      </c>
      <c r="Q5657" s="0" t="n">
        <f aca="false">F5657*G5657</f>
        <v>0.375</v>
      </c>
      <c r="R5657" s="0" t="n">
        <f aca="false">F5657*H5657</f>
        <v>-0.5</v>
      </c>
      <c r="S5657" s="0" t="n">
        <f aca="false">G5657*H5657</f>
        <v>-0.75</v>
      </c>
      <c r="T5657" s="0" t="n">
        <f aca="false">E5657*E5657</f>
        <v>0.5625</v>
      </c>
      <c r="U5657" s="0" t="n">
        <f aca="false">F5657*F5657</f>
        <v>0.25</v>
      </c>
      <c r="V5657" s="0" t="n">
        <f aca="false">G5657*G5657</f>
        <v>0.5625</v>
      </c>
      <c r="W5657" s="0" t="n">
        <f aca="false">H5657*H5657</f>
        <v>1</v>
      </c>
      <c r="X5657" s="0" t="n">
        <f aca="false">SUMPRODUCT(I5657:W5657,_XtX!$B$96:$P$96)</f>
        <v>47.8969572368421</v>
      </c>
      <c r="Y5657" s="0" t="n">
        <f aca="false">SUMPRODUCT(MMULT(I5657:W5657,_XtX!$B$78:$P$92),I5657:W5657)</f>
        <v>0.431153771472953</v>
      </c>
      <c r="Z5657" s="0" t="n">
        <f aca="false">04_回帰ANOVA!$K$19*04_回帰ANOVA!$K$14*SQRT(1+Y5657)</f>
        <v>1.55934259562563</v>
      </c>
      <c r="AA5657" s="0" t="n">
        <f aca="false">X5657-Z5657</f>
        <v>46.3376146412165</v>
      </c>
      <c r="AB5657" s="0" t="n">
        <f aca="false">X5657+Z5657</f>
        <v>49.4562998324678</v>
      </c>
      <c r="AC5657" s="54" t="b">
        <f aca="false">AND(E5657&gt;=01_因子設定!$L$5-0.000000001,E5657&lt;=01_因子設定!$M$5+0.000000001,F5657&gt;=01_因子設定!$L$6-0.000000001,F5657&lt;=01_因子設定!$M$6+0.000000001,G5657&gt;=01_因子設定!$L$7-0.000000001,G5657&lt;=01_因子設定!$M$7+0.000000001,H5657&gt;=01_因子設定!$L$8-0.000000001,H5657&lt;=01_因子設定!$M$8+0.000000001,IF(01_因子設定!$B$20="Box-Behnken",E5657^2+F5657^2+G5657^2+H5657^2&lt;=2+0.000000001,TRUE()))</f>
        <v>1</v>
      </c>
      <c r="AD5657" s="55" t="n">
        <f aca="false">IF(AC5657,IF(01_因子設定!$B$13="最大化",AA5657-01_因子設定!$B$14,IF(01_因子設定!$B$13="最小化",01_因子設定!$B$15-AB5657,MIN(AA5657-01_因子設定!$B$14,01_因子設定!$B$15-AB5657))),-1E+030)</f>
        <v>-0.162385358783496</v>
      </c>
      <c r="AE5657" s="55" t="n">
        <f aca="false">IF(AC5657,IF(01_因子設定!$B$13="最大化",X5657,IF(01_因子設定!$B$13="最小化",-X5657,-ABS(X5657-01_因子設定!$B$16))),-1E+030)</f>
        <v>47.8969572368421</v>
      </c>
      <c r="AF5657" s="55" t="n">
        <f aca="false">AD5657+ROW()*0.000000001</f>
        <v>-0.162379701783496</v>
      </c>
      <c r="AG5657" s="55" t="n">
        <f aca="false">AE5657+ROW()*0.000000001</f>
        <v>47.8969628938421</v>
      </c>
    </row>
    <row r="5658" customFormat="false" ht="15" hidden="false" customHeight="false" outlineLevel="0" collapsed="false">
      <c r="A5658" s="0" t="n">
        <v>7</v>
      </c>
      <c r="B5658" s="0" t="n">
        <v>6</v>
      </c>
      <c r="C5658" s="0" t="n">
        <v>7</v>
      </c>
      <c r="D5658" s="0" t="n">
        <v>1</v>
      </c>
      <c r="E5658" s="0" t="n">
        <f aca="false">-1+A5658*0.25</f>
        <v>0.75</v>
      </c>
      <c r="F5658" s="0" t="n">
        <f aca="false">-1+B5658*0.25</f>
        <v>0.5</v>
      </c>
      <c r="G5658" s="0" t="n">
        <f aca="false">-1+C5658*0.25</f>
        <v>0.75</v>
      </c>
      <c r="H5658" s="0" t="n">
        <f aca="false">-1+D5658*0.25</f>
        <v>-0.75</v>
      </c>
      <c r="I5658" s="0" t="n">
        <f aca="false">1</f>
        <v>1</v>
      </c>
      <c r="J5658" s="0" t="n">
        <f aca="false">E5658</f>
        <v>0.75</v>
      </c>
      <c r="K5658" s="0" t="n">
        <f aca="false">F5658</f>
        <v>0.5</v>
      </c>
      <c r="L5658" s="0" t="n">
        <f aca="false">G5658</f>
        <v>0.75</v>
      </c>
      <c r="M5658" s="0" t="n">
        <f aca="false">H5658</f>
        <v>-0.75</v>
      </c>
      <c r="N5658" s="0" t="n">
        <f aca="false">E5658*F5658</f>
        <v>0.375</v>
      </c>
      <c r="O5658" s="0" t="n">
        <f aca="false">E5658*G5658</f>
        <v>0.5625</v>
      </c>
      <c r="P5658" s="0" t="n">
        <f aca="false">E5658*H5658</f>
        <v>-0.5625</v>
      </c>
      <c r="Q5658" s="0" t="n">
        <f aca="false">F5658*G5658</f>
        <v>0.375</v>
      </c>
      <c r="R5658" s="0" t="n">
        <f aca="false">F5658*H5658</f>
        <v>-0.375</v>
      </c>
      <c r="S5658" s="0" t="n">
        <f aca="false">G5658*H5658</f>
        <v>-0.5625</v>
      </c>
      <c r="T5658" s="0" t="n">
        <f aca="false">E5658*E5658</f>
        <v>0.5625</v>
      </c>
      <c r="U5658" s="0" t="n">
        <f aca="false">F5658*F5658</f>
        <v>0.25</v>
      </c>
      <c r="V5658" s="0" t="n">
        <f aca="false">G5658*G5658</f>
        <v>0.5625</v>
      </c>
      <c r="W5658" s="0" t="n">
        <f aca="false">H5658*H5658</f>
        <v>0.5625</v>
      </c>
      <c r="X5658" s="0" t="n">
        <f aca="false">SUMPRODUCT(I5658:W5658,_XtX!$B$96:$P$96)</f>
        <v>48.2164519371345</v>
      </c>
      <c r="Y5658" s="0" t="n">
        <f aca="false">SUMPRODUCT(MMULT(I5658:W5658,_XtX!$B$78:$P$92),I5658:W5658)</f>
        <v>0.265632138614766</v>
      </c>
      <c r="Z5658" s="0" t="n">
        <f aca="false">04_回帰ANOVA!$K$19*04_回帰ANOVA!$K$14*SQRT(1+Y5658)</f>
        <v>1.46639894654257</v>
      </c>
      <c r="AA5658" s="0" t="n">
        <f aca="false">X5658-Z5658</f>
        <v>46.7500529905919</v>
      </c>
      <c r="AB5658" s="0" t="n">
        <f aca="false">X5658+Z5658</f>
        <v>49.6828508836771</v>
      </c>
      <c r="AC5658" s="54" t="b">
        <f aca="false">AND(E5658&gt;=01_因子設定!$L$5-0.000000001,E5658&lt;=01_因子設定!$M$5+0.000000001,F5658&gt;=01_因子設定!$L$6-0.000000001,F5658&lt;=01_因子設定!$M$6+0.000000001,G5658&gt;=01_因子設定!$L$7-0.000000001,G5658&lt;=01_因子設定!$M$7+0.000000001,H5658&gt;=01_因子設定!$L$8-0.000000001,H5658&lt;=01_因子設定!$M$8+0.000000001,IF(01_因子設定!$B$20="Box-Behnken",E5658^2+F5658^2+G5658^2+H5658^2&lt;=2+0.000000001,TRUE()))</f>
        <v>1</v>
      </c>
      <c r="AD5658" s="55" t="n">
        <f aca="false">IF(AC5658,IF(01_因子設定!$B$13="最大化",AA5658-01_因子設定!$B$14,IF(01_因子設定!$B$13="最小化",01_因子設定!$B$15-AB5658,MIN(AA5658-01_因子設定!$B$14,01_因子設定!$B$15-AB5658))),-1E+030)</f>
        <v>0.250052990591939</v>
      </c>
      <c r="AE5658" s="55" t="n">
        <f aca="false">IF(AC5658,IF(01_因子設定!$B$13="最大化",X5658,IF(01_因子設定!$B$13="最小化",-X5658,-ABS(X5658-01_因子設定!$B$16))),-1E+030)</f>
        <v>48.2164519371345</v>
      </c>
      <c r="AF5658" s="55" t="n">
        <f aca="false">AD5658+ROW()*0.000000001</f>
        <v>0.250058648591939</v>
      </c>
      <c r="AG5658" s="55" t="n">
        <f aca="false">AE5658+ROW()*0.000000001</f>
        <v>48.2164575951345</v>
      </c>
    </row>
    <row r="5659" customFormat="false" ht="15" hidden="false" customHeight="false" outlineLevel="0" collapsed="false">
      <c r="A5659" s="0" t="n">
        <v>7</v>
      </c>
      <c r="B5659" s="0" t="n">
        <v>6</v>
      </c>
      <c r="C5659" s="0" t="n">
        <v>7</v>
      </c>
      <c r="D5659" s="0" t="n">
        <v>2</v>
      </c>
      <c r="E5659" s="0" t="n">
        <f aca="false">-1+A5659*0.25</f>
        <v>0.75</v>
      </c>
      <c r="F5659" s="0" t="n">
        <f aca="false">-1+B5659*0.25</f>
        <v>0.5</v>
      </c>
      <c r="G5659" s="0" t="n">
        <f aca="false">-1+C5659*0.25</f>
        <v>0.75</v>
      </c>
      <c r="H5659" s="0" t="n">
        <f aca="false">-1+D5659*0.25</f>
        <v>-0.5</v>
      </c>
      <c r="I5659" s="0" t="n">
        <f aca="false">1</f>
        <v>1</v>
      </c>
      <c r="J5659" s="0" t="n">
        <f aca="false">E5659</f>
        <v>0.75</v>
      </c>
      <c r="K5659" s="0" t="n">
        <f aca="false">F5659</f>
        <v>0.5</v>
      </c>
      <c r="L5659" s="0" t="n">
        <f aca="false">G5659</f>
        <v>0.75</v>
      </c>
      <c r="M5659" s="0" t="n">
        <f aca="false">H5659</f>
        <v>-0.5</v>
      </c>
      <c r="N5659" s="0" t="n">
        <f aca="false">E5659*F5659</f>
        <v>0.375</v>
      </c>
      <c r="O5659" s="0" t="n">
        <f aca="false">E5659*G5659</f>
        <v>0.5625</v>
      </c>
      <c r="P5659" s="0" t="n">
        <f aca="false">E5659*H5659</f>
        <v>-0.375</v>
      </c>
      <c r="Q5659" s="0" t="n">
        <f aca="false">F5659*G5659</f>
        <v>0.375</v>
      </c>
      <c r="R5659" s="0" t="n">
        <f aca="false">F5659*H5659</f>
        <v>-0.25</v>
      </c>
      <c r="S5659" s="0" t="n">
        <f aca="false">G5659*H5659</f>
        <v>-0.375</v>
      </c>
      <c r="T5659" s="0" t="n">
        <f aca="false">E5659*E5659</f>
        <v>0.5625</v>
      </c>
      <c r="U5659" s="0" t="n">
        <f aca="false">F5659*F5659</f>
        <v>0.25</v>
      </c>
      <c r="V5659" s="0" t="n">
        <f aca="false">G5659*G5659</f>
        <v>0.5625</v>
      </c>
      <c r="W5659" s="0" t="n">
        <f aca="false">H5659*H5659</f>
        <v>0.25</v>
      </c>
      <c r="X5659" s="0" t="n">
        <f aca="false">SUMPRODUCT(I5659:W5659,_XtX!$B$96:$P$96)</f>
        <v>48.488139619883</v>
      </c>
      <c r="Y5659" s="0" t="n">
        <f aca="false">SUMPRODUCT(MMULT(I5659:W5659,_XtX!$B$78:$P$92),I5659:W5659)</f>
        <v>0.237862927174708</v>
      </c>
      <c r="Z5659" s="0" t="n">
        <f aca="false">04_回帰ANOVA!$K$19*04_回帰ANOVA!$K$14*SQRT(1+Y5659)</f>
        <v>1.45022260708756</v>
      </c>
      <c r="AA5659" s="0" t="n">
        <f aca="false">X5659-Z5659</f>
        <v>47.0379170127955</v>
      </c>
      <c r="AB5659" s="0" t="n">
        <f aca="false">X5659+Z5659</f>
        <v>49.9383622269706</v>
      </c>
      <c r="AC5659" s="54" t="b">
        <f aca="false">AND(E5659&gt;=01_因子設定!$L$5-0.000000001,E5659&lt;=01_因子設定!$M$5+0.000000001,F5659&gt;=01_因子設定!$L$6-0.000000001,F5659&lt;=01_因子設定!$M$6+0.000000001,G5659&gt;=01_因子設定!$L$7-0.000000001,G5659&lt;=01_因子設定!$M$7+0.000000001,H5659&gt;=01_因子設定!$L$8-0.000000001,H5659&lt;=01_因子設定!$M$8+0.000000001,IF(01_因子設定!$B$20="Box-Behnken",E5659^2+F5659^2+G5659^2+H5659^2&lt;=2+0.000000001,TRUE()))</f>
        <v>1</v>
      </c>
      <c r="AD5659" s="55" t="n">
        <f aca="false">IF(AC5659,IF(01_因子設定!$B$13="最大化",AA5659-01_因子設定!$B$14,IF(01_因子設定!$B$13="最小化",01_因子設定!$B$15-AB5659,MIN(AA5659-01_因子設定!$B$14,01_因子設定!$B$15-AB5659))),-1E+030)</f>
        <v>0.537917012795475</v>
      </c>
      <c r="AE5659" s="55" t="n">
        <f aca="false">IF(AC5659,IF(01_因子設定!$B$13="最大化",X5659,IF(01_因子設定!$B$13="最小化",-X5659,-ABS(X5659-01_因子設定!$B$16))),-1E+030)</f>
        <v>48.488139619883</v>
      </c>
      <c r="AF5659" s="55" t="n">
        <f aca="false">AD5659+ROW()*0.000000001</f>
        <v>0.537922671795475</v>
      </c>
      <c r="AG5659" s="55" t="n">
        <f aca="false">AE5659+ROW()*0.000000001</f>
        <v>48.488145278883</v>
      </c>
    </row>
    <row r="5660" customFormat="false" ht="15" hidden="false" customHeight="false" outlineLevel="0" collapsed="false">
      <c r="A5660" s="0" t="n">
        <v>7</v>
      </c>
      <c r="B5660" s="0" t="n">
        <v>6</v>
      </c>
      <c r="C5660" s="0" t="n">
        <v>7</v>
      </c>
      <c r="D5660" s="0" t="n">
        <v>3</v>
      </c>
      <c r="E5660" s="0" t="n">
        <f aca="false">-1+A5660*0.25</f>
        <v>0.75</v>
      </c>
      <c r="F5660" s="0" t="n">
        <f aca="false">-1+B5660*0.25</f>
        <v>0.5</v>
      </c>
      <c r="G5660" s="0" t="n">
        <f aca="false">-1+C5660*0.25</f>
        <v>0.75</v>
      </c>
      <c r="H5660" s="0" t="n">
        <f aca="false">-1+D5660*0.25</f>
        <v>-0.25</v>
      </c>
      <c r="I5660" s="0" t="n">
        <f aca="false">1</f>
        <v>1</v>
      </c>
      <c r="J5660" s="0" t="n">
        <f aca="false">E5660</f>
        <v>0.75</v>
      </c>
      <c r="K5660" s="0" t="n">
        <f aca="false">F5660</f>
        <v>0.5</v>
      </c>
      <c r="L5660" s="0" t="n">
        <f aca="false">G5660</f>
        <v>0.75</v>
      </c>
      <c r="M5660" s="0" t="n">
        <f aca="false">H5660</f>
        <v>-0.25</v>
      </c>
      <c r="N5660" s="0" t="n">
        <f aca="false">E5660*F5660</f>
        <v>0.375</v>
      </c>
      <c r="O5660" s="0" t="n">
        <f aca="false">E5660*G5660</f>
        <v>0.5625</v>
      </c>
      <c r="P5660" s="0" t="n">
        <f aca="false">E5660*H5660</f>
        <v>-0.1875</v>
      </c>
      <c r="Q5660" s="0" t="n">
        <f aca="false">F5660*G5660</f>
        <v>0.375</v>
      </c>
      <c r="R5660" s="0" t="n">
        <f aca="false">F5660*H5660</f>
        <v>-0.125</v>
      </c>
      <c r="S5660" s="0" t="n">
        <f aca="false">G5660*H5660</f>
        <v>-0.1875</v>
      </c>
      <c r="T5660" s="0" t="n">
        <f aca="false">E5660*E5660</f>
        <v>0.5625</v>
      </c>
      <c r="U5660" s="0" t="n">
        <f aca="false">F5660*F5660</f>
        <v>0.25</v>
      </c>
      <c r="V5660" s="0" t="n">
        <f aca="false">G5660*G5660</f>
        <v>0.5625</v>
      </c>
      <c r="W5660" s="0" t="n">
        <f aca="false">H5660*H5660</f>
        <v>0.0625</v>
      </c>
      <c r="X5660" s="0" t="n">
        <f aca="false">SUMPRODUCT(I5660:W5660,_XtX!$B$96:$P$96)</f>
        <v>48.7120202850877</v>
      </c>
      <c r="Y5660" s="0" t="n">
        <f aca="false">SUMPRODUCT(MMULT(I5660:W5660,_XtX!$B$78:$P$92),I5660:W5660)</f>
        <v>0.257385610836988</v>
      </c>
      <c r="Z5660" s="0" t="n">
        <f aca="false">04_回帰ANOVA!$K$19*04_回帰ANOVA!$K$14*SQRT(1+Y5660)</f>
        <v>1.46161380324158</v>
      </c>
      <c r="AA5660" s="0" t="n">
        <f aca="false">X5660-Z5660</f>
        <v>47.2504064818461</v>
      </c>
      <c r="AB5660" s="0" t="n">
        <f aca="false">X5660+Z5660</f>
        <v>50.1736340883293</v>
      </c>
      <c r="AC5660" s="54" t="b">
        <f aca="false">AND(E5660&gt;=01_因子設定!$L$5-0.000000001,E5660&lt;=01_因子設定!$M$5+0.000000001,F5660&gt;=01_因子設定!$L$6-0.000000001,F5660&lt;=01_因子設定!$M$6+0.000000001,G5660&gt;=01_因子設定!$L$7-0.000000001,G5660&lt;=01_因子設定!$M$7+0.000000001,H5660&gt;=01_因子設定!$L$8-0.000000001,H5660&lt;=01_因子設定!$M$8+0.000000001,IF(01_因子設定!$B$20="Box-Behnken",E5660^2+F5660^2+G5660^2+H5660^2&lt;=2+0.000000001,TRUE()))</f>
        <v>1</v>
      </c>
      <c r="AD5660" s="55" t="n">
        <f aca="false">IF(AC5660,IF(01_因子設定!$B$13="最大化",AA5660-01_因子設定!$B$14,IF(01_因子設定!$B$13="最小化",01_因子設定!$B$15-AB5660,MIN(AA5660-01_因子設定!$B$14,01_因子設定!$B$15-AB5660))),-1E+030)</f>
        <v>0.750406481846127</v>
      </c>
      <c r="AE5660" s="55" t="n">
        <f aca="false">IF(AC5660,IF(01_因子設定!$B$13="最大化",X5660,IF(01_因子設定!$B$13="最小化",-X5660,-ABS(X5660-01_因子設定!$B$16))),-1E+030)</f>
        <v>48.7120202850877</v>
      </c>
      <c r="AF5660" s="55" t="n">
        <f aca="false">AD5660+ROW()*0.000000001</f>
        <v>0.750412141846127</v>
      </c>
      <c r="AG5660" s="55" t="n">
        <f aca="false">AE5660+ROW()*0.000000001</f>
        <v>48.7120259450877</v>
      </c>
    </row>
    <row r="5661" customFormat="false" ht="15" hidden="false" customHeight="false" outlineLevel="0" collapsed="false">
      <c r="A5661" s="0" t="n">
        <v>7</v>
      </c>
      <c r="B5661" s="0" t="n">
        <v>6</v>
      </c>
      <c r="C5661" s="0" t="n">
        <v>7</v>
      </c>
      <c r="D5661" s="0" t="n">
        <v>4</v>
      </c>
      <c r="E5661" s="0" t="n">
        <f aca="false">-1+A5661*0.25</f>
        <v>0.75</v>
      </c>
      <c r="F5661" s="0" t="n">
        <f aca="false">-1+B5661*0.25</f>
        <v>0.5</v>
      </c>
      <c r="G5661" s="0" t="n">
        <f aca="false">-1+C5661*0.25</f>
        <v>0.75</v>
      </c>
      <c r="H5661" s="0" t="n">
        <f aca="false">-1+D5661*0.25</f>
        <v>0</v>
      </c>
      <c r="I5661" s="0" t="n">
        <f aca="false">1</f>
        <v>1</v>
      </c>
      <c r="J5661" s="0" t="n">
        <f aca="false">E5661</f>
        <v>0.75</v>
      </c>
      <c r="K5661" s="0" t="n">
        <f aca="false">F5661</f>
        <v>0.5</v>
      </c>
      <c r="L5661" s="0" t="n">
        <f aca="false">G5661</f>
        <v>0.75</v>
      </c>
      <c r="M5661" s="0" t="n">
        <f aca="false">H5661</f>
        <v>0</v>
      </c>
      <c r="N5661" s="0" t="n">
        <f aca="false">E5661*F5661</f>
        <v>0.375</v>
      </c>
      <c r="O5661" s="0" t="n">
        <f aca="false">E5661*G5661</f>
        <v>0.5625</v>
      </c>
      <c r="P5661" s="0" t="n">
        <f aca="false">E5661*H5661</f>
        <v>0</v>
      </c>
      <c r="Q5661" s="0" t="n">
        <f aca="false">F5661*G5661</f>
        <v>0.375</v>
      </c>
      <c r="R5661" s="0" t="n">
        <f aca="false">F5661*H5661</f>
        <v>0</v>
      </c>
      <c r="S5661" s="0" t="n">
        <f aca="false">G5661*H5661</f>
        <v>0</v>
      </c>
      <c r="T5661" s="0" t="n">
        <f aca="false">E5661*E5661</f>
        <v>0.5625</v>
      </c>
      <c r="U5661" s="0" t="n">
        <f aca="false">F5661*F5661</f>
        <v>0.25</v>
      </c>
      <c r="V5661" s="0" t="n">
        <f aca="false">G5661*G5661</f>
        <v>0.5625</v>
      </c>
      <c r="W5661" s="0" t="n">
        <f aca="false">H5661*H5661</f>
        <v>0</v>
      </c>
      <c r="X5661" s="0" t="n">
        <f aca="false">SUMPRODUCT(I5661:W5661,_XtX!$B$96:$P$96)</f>
        <v>48.8880939327485</v>
      </c>
      <c r="Y5661" s="0" t="n">
        <f aca="false">SUMPRODUCT(MMULT(I5661:W5661,_XtX!$B$78:$P$92),I5661:W5661)</f>
        <v>0.269923873812135</v>
      </c>
      <c r="Z5661" s="0" t="n">
        <f aca="false">04_回帰ANOVA!$K$19*04_回帰ANOVA!$K$14*SQRT(1+Y5661)</f>
        <v>1.46888310825501</v>
      </c>
      <c r="AA5661" s="0" t="n">
        <f aca="false">X5661-Z5661</f>
        <v>47.4192108244935</v>
      </c>
      <c r="AB5661" s="0" t="n">
        <f aca="false">X5661+Z5661</f>
        <v>50.3569770410035</v>
      </c>
      <c r="AC5661" s="54" t="b">
        <f aca="false">AND(E5661&gt;=01_因子設定!$L$5-0.000000001,E5661&lt;=01_因子設定!$M$5+0.000000001,F5661&gt;=01_因子設定!$L$6-0.000000001,F5661&lt;=01_因子設定!$M$6+0.000000001,G5661&gt;=01_因子設定!$L$7-0.000000001,G5661&lt;=01_因子設定!$M$7+0.000000001,H5661&gt;=01_因子設定!$L$8-0.000000001,H5661&lt;=01_因子設定!$M$8+0.000000001,IF(01_因子設定!$B$20="Box-Behnken",E5661^2+F5661^2+G5661^2+H5661^2&lt;=2+0.000000001,TRUE()))</f>
        <v>1</v>
      </c>
      <c r="AD5661" s="55" t="n">
        <f aca="false">IF(AC5661,IF(01_因子設定!$B$13="最大化",AA5661-01_因子設定!$B$14,IF(01_因子設定!$B$13="最小化",01_因子設定!$B$15-AB5661,MIN(AA5661-01_因子設定!$B$14,01_因子設定!$B$15-AB5661))),-1E+030)</f>
        <v>0.919210824493518</v>
      </c>
      <c r="AE5661" s="55" t="n">
        <f aca="false">IF(AC5661,IF(01_因子設定!$B$13="最大化",X5661,IF(01_因子設定!$B$13="最小化",-X5661,-ABS(X5661-01_因子設定!$B$16))),-1E+030)</f>
        <v>48.8880939327485</v>
      </c>
      <c r="AF5661" s="55" t="n">
        <f aca="false">AD5661+ROW()*0.000000001</f>
        <v>0.919216485493518</v>
      </c>
      <c r="AG5661" s="55" t="n">
        <f aca="false">AE5661+ROW()*0.000000001</f>
        <v>48.8880995937485</v>
      </c>
    </row>
    <row r="5662" customFormat="false" ht="15" hidden="false" customHeight="false" outlineLevel="0" collapsed="false">
      <c r="A5662" s="0" t="n">
        <v>7</v>
      </c>
      <c r="B5662" s="0" t="n">
        <v>6</v>
      </c>
      <c r="C5662" s="0" t="n">
        <v>7</v>
      </c>
      <c r="D5662" s="0" t="n">
        <v>5</v>
      </c>
      <c r="E5662" s="0" t="n">
        <f aca="false">-1+A5662*0.25</f>
        <v>0.75</v>
      </c>
      <c r="F5662" s="0" t="n">
        <f aca="false">-1+B5662*0.25</f>
        <v>0.5</v>
      </c>
      <c r="G5662" s="0" t="n">
        <f aca="false">-1+C5662*0.25</f>
        <v>0.75</v>
      </c>
      <c r="H5662" s="0" t="n">
        <f aca="false">-1+D5662*0.25</f>
        <v>0.25</v>
      </c>
      <c r="I5662" s="0" t="n">
        <f aca="false">1</f>
        <v>1</v>
      </c>
      <c r="J5662" s="0" t="n">
        <f aca="false">E5662</f>
        <v>0.75</v>
      </c>
      <c r="K5662" s="0" t="n">
        <f aca="false">F5662</f>
        <v>0.5</v>
      </c>
      <c r="L5662" s="0" t="n">
        <f aca="false">G5662</f>
        <v>0.75</v>
      </c>
      <c r="M5662" s="0" t="n">
        <f aca="false">H5662</f>
        <v>0.25</v>
      </c>
      <c r="N5662" s="0" t="n">
        <f aca="false">E5662*F5662</f>
        <v>0.375</v>
      </c>
      <c r="O5662" s="0" t="n">
        <f aca="false">E5662*G5662</f>
        <v>0.5625</v>
      </c>
      <c r="P5662" s="0" t="n">
        <f aca="false">E5662*H5662</f>
        <v>0.1875</v>
      </c>
      <c r="Q5662" s="0" t="n">
        <f aca="false">F5662*G5662</f>
        <v>0.375</v>
      </c>
      <c r="R5662" s="0" t="n">
        <f aca="false">F5662*H5662</f>
        <v>0.125</v>
      </c>
      <c r="S5662" s="0" t="n">
        <f aca="false">G5662*H5662</f>
        <v>0.1875</v>
      </c>
      <c r="T5662" s="0" t="n">
        <f aca="false">E5662*E5662</f>
        <v>0.5625</v>
      </c>
      <c r="U5662" s="0" t="n">
        <f aca="false">F5662*F5662</f>
        <v>0.25</v>
      </c>
      <c r="V5662" s="0" t="n">
        <f aca="false">G5662*G5662</f>
        <v>0.5625</v>
      </c>
      <c r="W5662" s="0" t="n">
        <f aca="false">H5662*H5662</f>
        <v>0.0625</v>
      </c>
      <c r="X5662" s="0" t="n">
        <f aca="false">SUMPRODUCT(I5662:W5662,_XtX!$B$96:$P$96)</f>
        <v>49.0163605628655</v>
      </c>
      <c r="Y5662" s="0" t="n">
        <f aca="false">SUMPRODUCT(MMULT(I5662:W5662,_XtX!$B$78:$P$92),I5662:W5662)</f>
        <v>0.257385610836988</v>
      </c>
      <c r="Z5662" s="0" t="n">
        <f aca="false">04_回帰ANOVA!$K$19*04_回帰ANOVA!$K$14*SQRT(1+Y5662)</f>
        <v>1.46161380324158</v>
      </c>
      <c r="AA5662" s="0" t="n">
        <f aca="false">X5662-Z5662</f>
        <v>47.5547467596239</v>
      </c>
      <c r="AB5662" s="0" t="n">
        <f aca="false">X5662+Z5662</f>
        <v>50.4779743661071</v>
      </c>
      <c r="AC5662" s="54" t="b">
        <f aca="false">AND(E5662&gt;=01_因子設定!$L$5-0.000000001,E5662&lt;=01_因子設定!$M$5+0.000000001,F5662&gt;=01_因子設定!$L$6-0.000000001,F5662&lt;=01_因子設定!$M$6+0.000000001,G5662&gt;=01_因子設定!$L$7-0.000000001,G5662&lt;=01_因子設定!$M$7+0.000000001,H5662&gt;=01_因子設定!$L$8-0.000000001,H5662&lt;=01_因子設定!$M$8+0.000000001,IF(01_因子設定!$B$20="Box-Behnken",E5662^2+F5662^2+G5662^2+H5662^2&lt;=2+0.000000001,TRUE()))</f>
        <v>1</v>
      </c>
      <c r="AD5662" s="55" t="n">
        <f aca="false">IF(AC5662,IF(01_因子設定!$B$13="最大化",AA5662-01_因子設定!$B$14,IF(01_因子設定!$B$13="最小化",01_因子設定!$B$15-AB5662,MIN(AA5662-01_因子設定!$B$14,01_因子設定!$B$15-AB5662))),-1E+030)</f>
        <v>1.0547467596239</v>
      </c>
      <c r="AE5662" s="55" t="n">
        <f aca="false">IF(AC5662,IF(01_因子設定!$B$13="最大化",X5662,IF(01_因子設定!$B$13="最小化",-X5662,-ABS(X5662-01_因子設定!$B$16))),-1E+030)</f>
        <v>49.0163605628655</v>
      </c>
      <c r="AF5662" s="55" t="n">
        <f aca="false">AD5662+ROW()*0.000000001</f>
        <v>1.0547524216239</v>
      </c>
      <c r="AG5662" s="55" t="n">
        <f aca="false">AE5662+ROW()*0.000000001</f>
        <v>49.0163662248655</v>
      </c>
    </row>
    <row r="5663" customFormat="false" ht="15" hidden="false" customHeight="false" outlineLevel="0" collapsed="false">
      <c r="A5663" s="0" t="n">
        <v>7</v>
      </c>
      <c r="B5663" s="0" t="n">
        <v>6</v>
      </c>
      <c r="C5663" s="0" t="n">
        <v>7</v>
      </c>
      <c r="D5663" s="0" t="n">
        <v>6</v>
      </c>
      <c r="E5663" s="0" t="n">
        <f aca="false">-1+A5663*0.25</f>
        <v>0.75</v>
      </c>
      <c r="F5663" s="0" t="n">
        <f aca="false">-1+B5663*0.25</f>
        <v>0.5</v>
      </c>
      <c r="G5663" s="0" t="n">
        <f aca="false">-1+C5663*0.25</f>
        <v>0.75</v>
      </c>
      <c r="H5663" s="0" t="n">
        <f aca="false">-1+D5663*0.25</f>
        <v>0.5</v>
      </c>
      <c r="I5663" s="0" t="n">
        <f aca="false">1</f>
        <v>1</v>
      </c>
      <c r="J5663" s="0" t="n">
        <f aca="false">E5663</f>
        <v>0.75</v>
      </c>
      <c r="K5663" s="0" t="n">
        <f aca="false">F5663</f>
        <v>0.5</v>
      </c>
      <c r="L5663" s="0" t="n">
        <f aca="false">G5663</f>
        <v>0.75</v>
      </c>
      <c r="M5663" s="0" t="n">
        <f aca="false">H5663</f>
        <v>0.5</v>
      </c>
      <c r="N5663" s="0" t="n">
        <f aca="false">E5663*F5663</f>
        <v>0.375</v>
      </c>
      <c r="O5663" s="0" t="n">
        <f aca="false">E5663*G5663</f>
        <v>0.5625</v>
      </c>
      <c r="P5663" s="0" t="n">
        <f aca="false">E5663*H5663</f>
        <v>0.375</v>
      </c>
      <c r="Q5663" s="0" t="n">
        <f aca="false">F5663*G5663</f>
        <v>0.375</v>
      </c>
      <c r="R5663" s="0" t="n">
        <f aca="false">F5663*H5663</f>
        <v>0.25</v>
      </c>
      <c r="S5663" s="0" t="n">
        <f aca="false">G5663*H5663</f>
        <v>0.375</v>
      </c>
      <c r="T5663" s="0" t="n">
        <f aca="false">E5663*E5663</f>
        <v>0.5625</v>
      </c>
      <c r="U5663" s="0" t="n">
        <f aca="false">F5663*F5663</f>
        <v>0.25</v>
      </c>
      <c r="V5663" s="0" t="n">
        <f aca="false">G5663*G5663</f>
        <v>0.5625</v>
      </c>
      <c r="W5663" s="0" t="n">
        <f aca="false">H5663*H5663</f>
        <v>0.25</v>
      </c>
      <c r="X5663" s="0" t="n">
        <f aca="false">SUMPRODUCT(I5663:W5663,_XtX!$B$96:$P$96)</f>
        <v>49.0968201754386</v>
      </c>
      <c r="Y5663" s="0" t="n">
        <f aca="false">SUMPRODUCT(MMULT(I5663:W5663,_XtX!$B$78:$P$92),I5663:W5663)</f>
        <v>0.237862927174708</v>
      </c>
      <c r="Z5663" s="0" t="n">
        <f aca="false">04_回帰ANOVA!$K$19*04_回帰ANOVA!$K$14*SQRT(1+Y5663)</f>
        <v>1.45022260708756</v>
      </c>
      <c r="AA5663" s="0" t="n">
        <f aca="false">X5663-Z5663</f>
        <v>47.646597568351</v>
      </c>
      <c r="AB5663" s="0" t="n">
        <f aca="false">X5663+Z5663</f>
        <v>50.5470427825262</v>
      </c>
      <c r="AC5663" s="54" t="b">
        <f aca="false">AND(E5663&gt;=01_因子設定!$L$5-0.000000001,E5663&lt;=01_因子設定!$M$5+0.000000001,F5663&gt;=01_因子設定!$L$6-0.000000001,F5663&lt;=01_因子設定!$M$6+0.000000001,G5663&gt;=01_因子設定!$L$7-0.000000001,G5663&lt;=01_因子設定!$M$7+0.000000001,H5663&gt;=01_因子設定!$L$8-0.000000001,H5663&lt;=01_因子設定!$M$8+0.000000001,IF(01_因子設定!$B$20="Box-Behnken",E5663^2+F5663^2+G5663^2+H5663^2&lt;=2+0.000000001,TRUE()))</f>
        <v>1</v>
      </c>
      <c r="AD5663" s="55" t="n">
        <f aca="false">IF(AC5663,IF(01_因子設定!$B$13="最大化",AA5663-01_因子設定!$B$14,IF(01_因子設定!$B$13="最小化",01_因子設定!$B$15-AB5663,MIN(AA5663-01_因子設定!$B$14,01_因子設定!$B$15-AB5663))),-1E+030)</f>
        <v>1.14659756835103</v>
      </c>
      <c r="AE5663" s="55" t="n">
        <f aca="false">IF(AC5663,IF(01_因子設定!$B$13="最大化",X5663,IF(01_因子設定!$B$13="最小化",-X5663,-ABS(X5663-01_因子設定!$B$16))),-1E+030)</f>
        <v>49.0968201754386</v>
      </c>
      <c r="AF5663" s="55" t="n">
        <f aca="false">AD5663+ROW()*0.000000001</f>
        <v>1.14660323135103</v>
      </c>
      <c r="AG5663" s="55" t="n">
        <f aca="false">AE5663+ROW()*0.000000001</f>
        <v>49.0968258384386</v>
      </c>
    </row>
    <row r="5664" customFormat="false" ht="15" hidden="false" customHeight="false" outlineLevel="0" collapsed="false">
      <c r="A5664" s="0" t="n">
        <v>7</v>
      </c>
      <c r="B5664" s="0" t="n">
        <v>6</v>
      </c>
      <c r="C5664" s="0" t="n">
        <v>7</v>
      </c>
      <c r="D5664" s="0" t="n">
        <v>7</v>
      </c>
      <c r="E5664" s="0" t="n">
        <f aca="false">-1+A5664*0.25</f>
        <v>0.75</v>
      </c>
      <c r="F5664" s="0" t="n">
        <f aca="false">-1+B5664*0.25</f>
        <v>0.5</v>
      </c>
      <c r="G5664" s="0" t="n">
        <f aca="false">-1+C5664*0.25</f>
        <v>0.75</v>
      </c>
      <c r="H5664" s="0" t="n">
        <f aca="false">-1+D5664*0.25</f>
        <v>0.75</v>
      </c>
      <c r="I5664" s="0" t="n">
        <f aca="false">1</f>
        <v>1</v>
      </c>
      <c r="J5664" s="0" t="n">
        <f aca="false">E5664</f>
        <v>0.75</v>
      </c>
      <c r="K5664" s="0" t="n">
        <f aca="false">F5664</f>
        <v>0.5</v>
      </c>
      <c r="L5664" s="0" t="n">
        <f aca="false">G5664</f>
        <v>0.75</v>
      </c>
      <c r="M5664" s="0" t="n">
        <f aca="false">H5664</f>
        <v>0.75</v>
      </c>
      <c r="N5664" s="0" t="n">
        <f aca="false">E5664*F5664</f>
        <v>0.375</v>
      </c>
      <c r="O5664" s="0" t="n">
        <f aca="false">E5664*G5664</f>
        <v>0.5625</v>
      </c>
      <c r="P5664" s="0" t="n">
        <f aca="false">E5664*H5664</f>
        <v>0.5625</v>
      </c>
      <c r="Q5664" s="0" t="n">
        <f aca="false">F5664*G5664</f>
        <v>0.375</v>
      </c>
      <c r="R5664" s="0" t="n">
        <f aca="false">F5664*H5664</f>
        <v>0.375</v>
      </c>
      <c r="S5664" s="0" t="n">
        <f aca="false">G5664*H5664</f>
        <v>0.5625</v>
      </c>
      <c r="T5664" s="0" t="n">
        <f aca="false">E5664*E5664</f>
        <v>0.5625</v>
      </c>
      <c r="U5664" s="0" t="n">
        <f aca="false">F5664*F5664</f>
        <v>0.25</v>
      </c>
      <c r="V5664" s="0" t="n">
        <f aca="false">G5664*G5664</f>
        <v>0.5625</v>
      </c>
      <c r="W5664" s="0" t="n">
        <f aca="false">H5664*H5664</f>
        <v>0.5625</v>
      </c>
      <c r="X5664" s="0" t="n">
        <f aca="false">SUMPRODUCT(I5664:W5664,_XtX!$B$96:$P$96)</f>
        <v>49.1294727704678</v>
      </c>
      <c r="Y5664" s="0" t="n">
        <f aca="false">SUMPRODUCT(MMULT(I5664:W5664,_XtX!$B$78:$P$92),I5664:W5664)</f>
        <v>0.265632138614766</v>
      </c>
      <c r="Z5664" s="0" t="n">
        <f aca="false">04_回帰ANOVA!$K$19*04_回帰ANOVA!$K$14*SQRT(1+Y5664)</f>
        <v>1.46639894654257</v>
      </c>
      <c r="AA5664" s="0" t="n">
        <f aca="false">X5664-Z5664</f>
        <v>47.6630738239253</v>
      </c>
      <c r="AB5664" s="0" t="n">
        <f aca="false">X5664+Z5664</f>
        <v>50.5958717170104</v>
      </c>
      <c r="AC5664" s="54" t="b">
        <f aca="false">AND(E5664&gt;=01_因子設定!$L$5-0.000000001,E5664&lt;=01_因子設定!$M$5+0.000000001,F5664&gt;=01_因子設定!$L$6-0.000000001,F5664&lt;=01_因子設定!$M$6+0.000000001,G5664&gt;=01_因子設定!$L$7-0.000000001,G5664&lt;=01_因子設定!$M$7+0.000000001,H5664&gt;=01_因子設定!$L$8-0.000000001,H5664&lt;=01_因子設定!$M$8+0.000000001,IF(01_因子設定!$B$20="Box-Behnken",E5664^2+F5664^2+G5664^2+H5664^2&lt;=2+0.000000001,TRUE()))</f>
        <v>1</v>
      </c>
      <c r="AD5664" s="55" t="n">
        <f aca="false">IF(AC5664,IF(01_因子設定!$B$13="最大化",AA5664-01_因子設定!$B$14,IF(01_因子設定!$B$13="最小化",01_因子設定!$B$15-AB5664,MIN(AA5664-01_因子設定!$B$14,01_因子設定!$B$15-AB5664))),-1E+030)</f>
        <v>1.16307382392527</v>
      </c>
      <c r="AE5664" s="55" t="n">
        <f aca="false">IF(AC5664,IF(01_因子設定!$B$13="最大化",X5664,IF(01_因子設定!$B$13="最小化",-X5664,-ABS(X5664-01_因子設定!$B$16))),-1E+030)</f>
        <v>49.1294727704678</v>
      </c>
      <c r="AF5664" s="55" t="n">
        <f aca="false">AD5664+ROW()*0.000000001</f>
        <v>1.16307948792527</v>
      </c>
      <c r="AG5664" s="55" t="n">
        <f aca="false">AE5664+ROW()*0.000000001</f>
        <v>49.1294784344678</v>
      </c>
    </row>
    <row r="5665" customFormat="false" ht="15" hidden="false" customHeight="false" outlineLevel="0" collapsed="false">
      <c r="A5665" s="0" t="n">
        <v>7</v>
      </c>
      <c r="B5665" s="0" t="n">
        <v>6</v>
      </c>
      <c r="C5665" s="0" t="n">
        <v>7</v>
      </c>
      <c r="D5665" s="0" t="n">
        <v>8</v>
      </c>
      <c r="E5665" s="0" t="n">
        <f aca="false">-1+A5665*0.25</f>
        <v>0.75</v>
      </c>
      <c r="F5665" s="0" t="n">
        <f aca="false">-1+B5665*0.25</f>
        <v>0.5</v>
      </c>
      <c r="G5665" s="0" t="n">
        <f aca="false">-1+C5665*0.25</f>
        <v>0.75</v>
      </c>
      <c r="H5665" s="0" t="n">
        <f aca="false">-1+D5665*0.25</f>
        <v>1</v>
      </c>
      <c r="I5665" s="0" t="n">
        <f aca="false">1</f>
        <v>1</v>
      </c>
      <c r="J5665" s="0" t="n">
        <f aca="false">E5665</f>
        <v>0.75</v>
      </c>
      <c r="K5665" s="0" t="n">
        <f aca="false">F5665</f>
        <v>0.5</v>
      </c>
      <c r="L5665" s="0" t="n">
        <f aca="false">G5665</f>
        <v>0.75</v>
      </c>
      <c r="M5665" s="0" t="n">
        <f aca="false">H5665</f>
        <v>1</v>
      </c>
      <c r="N5665" s="0" t="n">
        <f aca="false">E5665*F5665</f>
        <v>0.375</v>
      </c>
      <c r="O5665" s="0" t="n">
        <f aca="false">E5665*G5665</f>
        <v>0.5625</v>
      </c>
      <c r="P5665" s="0" t="n">
        <f aca="false">E5665*H5665</f>
        <v>0.75</v>
      </c>
      <c r="Q5665" s="0" t="n">
        <f aca="false">F5665*G5665</f>
        <v>0.375</v>
      </c>
      <c r="R5665" s="0" t="n">
        <f aca="false">F5665*H5665</f>
        <v>0.5</v>
      </c>
      <c r="S5665" s="0" t="n">
        <f aca="false">G5665*H5665</f>
        <v>0.75</v>
      </c>
      <c r="T5665" s="0" t="n">
        <f aca="false">E5665*E5665</f>
        <v>0.5625</v>
      </c>
      <c r="U5665" s="0" t="n">
        <f aca="false">F5665*F5665</f>
        <v>0.25</v>
      </c>
      <c r="V5665" s="0" t="n">
        <f aca="false">G5665*G5665</f>
        <v>0.5625</v>
      </c>
      <c r="W5665" s="0" t="n">
        <f aca="false">H5665*H5665</f>
        <v>1</v>
      </c>
      <c r="X5665" s="0" t="n">
        <f aca="false">SUMPRODUCT(I5665:W5665,_XtX!$B$96:$P$96)</f>
        <v>49.1143183479532</v>
      </c>
      <c r="Y5665" s="0" t="n">
        <f aca="false">SUMPRODUCT(MMULT(I5665:W5665,_XtX!$B$78:$P$92),I5665:W5665)</f>
        <v>0.431153771472953</v>
      </c>
      <c r="Z5665" s="0" t="n">
        <f aca="false">04_回帰ANOVA!$K$19*04_回帰ANOVA!$K$14*SQRT(1+Y5665)</f>
        <v>1.55934259562563</v>
      </c>
      <c r="AA5665" s="0" t="n">
        <f aca="false">X5665-Z5665</f>
        <v>47.5549757523276</v>
      </c>
      <c r="AB5665" s="0" t="n">
        <f aca="false">X5665+Z5665</f>
        <v>50.6736609435789</v>
      </c>
      <c r="AC5665" s="54" t="b">
        <f aca="false">AND(E5665&gt;=01_因子設定!$L$5-0.000000001,E5665&lt;=01_因子設定!$M$5+0.000000001,F5665&gt;=01_因子設定!$L$6-0.000000001,F5665&lt;=01_因子設定!$M$6+0.000000001,G5665&gt;=01_因子設定!$L$7-0.000000001,G5665&lt;=01_因子設定!$M$7+0.000000001,H5665&gt;=01_因子設定!$L$8-0.000000001,H5665&lt;=01_因子設定!$M$8+0.000000001,IF(01_因子設定!$B$20="Box-Behnken",E5665^2+F5665^2+G5665^2+H5665^2&lt;=2+0.000000001,TRUE()))</f>
        <v>1</v>
      </c>
      <c r="AD5665" s="55" t="n">
        <f aca="false">IF(AC5665,IF(01_因子設定!$B$13="最大化",AA5665-01_因子設定!$B$14,IF(01_因子設定!$B$13="最小化",01_因子設定!$B$15-AB5665,MIN(AA5665-01_因子設定!$B$14,01_因子設定!$B$15-AB5665))),-1E+030)</f>
        <v>1.05497575232761</v>
      </c>
      <c r="AE5665" s="55" t="n">
        <f aca="false">IF(AC5665,IF(01_因子設定!$B$13="最大化",X5665,IF(01_因子設定!$B$13="最小化",-X5665,-ABS(X5665-01_因子設定!$B$16))),-1E+030)</f>
        <v>49.1143183479532</v>
      </c>
      <c r="AF5665" s="55" t="n">
        <f aca="false">AD5665+ROW()*0.000000001</f>
        <v>1.05498141732761</v>
      </c>
      <c r="AG5665" s="55" t="n">
        <f aca="false">AE5665+ROW()*0.000000001</f>
        <v>49.1143240129532</v>
      </c>
    </row>
    <row r="5666" customFormat="false" ht="15" hidden="false" customHeight="false" outlineLevel="0" collapsed="false">
      <c r="A5666" s="0" t="n">
        <v>7</v>
      </c>
      <c r="B5666" s="0" t="n">
        <v>6</v>
      </c>
      <c r="C5666" s="0" t="n">
        <v>8</v>
      </c>
      <c r="D5666" s="0" t="n">
        <v>0</v>
      </c>
      <c r="E5666" s="0" t="n">
        <f aca="false">-1+A5666*0.25</f>
        <v>0.75</v>
      </c>
      <c r="F5666" s="0" t="n">
        <f aca="false">-1+B5666*0.25</f>
        <v>0.5</v>
      </c>
      <c r="G5666" s="0" t="n">
        <f aca="false">-1+C5666*0.25</f>
        <v>1</v>
      </c>
      <c r="H5666" s="0" t="n">
        <f aca="false">-1+D5666*0.25</f>
        <v>-1</v>
      </c>
      <c r="I5666" s="0" t="n">
        <f aca="false">1</f>
        <v>1</v>
      </c>
      <c r="J5666" s="0" t="n">
        <f aca="false">E5666</f>
        <v>0.75</v>
      </c>
      <c r="K5666" s="0" t="n">
        <f aca="false">F5666</f>
        <v>0.5</v>
      </c>
      <c r="L5666" s="0" t="n">
        <f aca="false">G5666</f>
        <v>1</v>
      </c>
      <c r="M5666" s="0" t="n">
        <f aca="false">H5666</f>
        <v>-1</v>
      </c>
      <c r="N5666" s="0" t="n">
        <f aca="false">E5666*F5666</f>
        <v>0.375</v>
      </c>
      <c r="O5666" s="0" t="n">
        <f aca="false">E5666*G5666</f>
        <v>0.75</v>
      </c>
      <c r="P5666" s="0" t="n">
        <f aca="false">E5666*H5666</f>
        <v>-0.75</v>
      </c>
      <c r="Q5666" s="0" t="n">
        <f aca="false">F5666*G5666</f>
        <v>0.5</v>
      </c>
      <c r="R5666" s="0" t="n">
        <f aca="false">F5666*H5666</f>
        <v>-0.5</v>
      </c>
      <c r="S5666" s="0" t="n">
        <f aca="false">G5666*H5666</f>
        <v>-1</v>
      </c>
      <c r="T5666" s="0" t="n">
        <f aca="false">E5666*E5666</f>
        <v>0.5625</v>
      </c>
      <c r="U5666" s="0" t="n">
        <f aca="false">F5666*F5666</f>
        <v>0.25</v>
      </c>
      <c r="V5666" s="0" t="n">
        <f aca="false">G5666*G5666</f>
        <v>1</v>
      </c>
      <c r="W5666" s="0" t="n">
        <f aca="false">H5666*H5666</f>
        <v>1</v>
      </c>
      <c r="X5666" s="0" t="n">
        <f aca="false">SUMPRODUCT(I5666:W5666,_XtX!$B$96:$P$96)</f>
        <v>47.689528508772</v>
      </c>
      <c r="Y5666" s="0" t="n">
        <f aca="false">SUMPRODUCT(MMULT(I5666:W5666,_XtX!$B$78:$P$92),I5666:W5666)</f>
        <v>0.564984237938597</v>
      </c>
      <c r="Z5666" s="0" t="n">
        <f aca="false">04_回帰ANOVA!$K$19*04_回帰ANOVA!$K$14*SQRT(1+Y5666)</f>
        <v>1.63062229734503</v>
      </c>
      <c r="AA5666" s="0" t="n">
        <f aca="false">X5666-Z5666</f>
        <v>46.0589062114269</v>
      </c>
      <c r="AB5666" s="0" t="n">
        <f aca="false">X5666+Z5666</f>
        <v>49.320150806117</v>
      </c>
      <c r="AC5666" s="54" t="b">
        <f aca="false">AND(E5666&gt;=01_因子設定!$L$5-0.000000001,E5666&lt;=01_因子設定!$M$5+0.000000001,F5666&gt;=01_因子設定!$L$6-0.000000001,F5666&lt;=01_因子設定!$M$6+0.000000001,G5666&gt;=01_因子設定!$L$7-0.000000001,G5666&lt;=01_因子設定!$M$7+0.000000001,H5666&gt;=01_因子設定!$L$8-0.000000001,H5666&lt;=01_因子設定!$M$8+0.000000001,IF(01_因子設定!$B$20="Box-Behnken",E5666^2+F5666^2+G5666^2+H5666^2&lt;=2+0.000000001,TRUE()))</f>
        <v>1</v>
      </c>
      <c r="AD5666" s="55" t="n">
        <f aca="false">IF(AC5666,IF(01_因子設定!$B$13="最大化",AA5666-01_因子設定!$B$14,IF(01_因子設定!$B$13="最小化",01_因子設定!$B$15-AB5666,MIN(AA5666-01_因子設定!$B$14,01_因子設定!$B$15-AB5666))),-1E+030)</f>
        <v>-0.441093788573077</v>
      </c>
      <c r="AE5666" s="55" t="n">
        <f aca="false">IF(AC5666,IF(01_因子設定!$B$13="最大化",X5666,IF(01_因子設定!$B$13="最小化",-X5666,-ABS(X5666-01_因子設定!$B$16))),-1E+030)</f>
        <v>47.689528508772</v>
      </c>
      <c r="AF5666" s="55" t="n">
        <f aca="false">AD5666+ROW()*0.000000001</f>
        <v>-0.441088122573077</v>
      </c>
      <c r="AG5666" s="55" t="n">
        <f aca="false">AE5666+ROW()*0.000000001</f>
        <v>47.689534174772</v>
      </c>
    </row>
    <row r="5667" customFormat="false" ht="15" hidden="false" customHeight="false" outlineLevel="0" collapsed="false">
      <c r="A5667" s="0" t="n">
        <v>7</v>
      </c>
      <c r="B5667" s="0" t="n">
        <v>6</v>
      </c>
      <c r="C5667" s="0" t="n">
        <v>8</v>
      </c>
      <c r="D5667" s="0" t="n">
        <v>1</v>
      </c>
      <c r="E5667" s="0" t="n">
        <f aca="false">-1+A5667*0.25</f>
        <v>0.75</v>
      </c>
      <c r="F5667" s="0" t="n">
        <f aca="false">-1+B5667*0.25</f>
        <v>0.5</v>
      </c>
      <c r="G5667" s="0" t="n">
        <f aca="false">-1+C5667*0.25</f>
        <v>1</v>
      </c>
      <c r="H5667" s="0" t="n">
        <f aca="false">-1+D5667*0.25</f>
        <v>-0.75</v>
      </c>
      <c r="I5667" s="0" t="n">
        <f aca="false">1</f>
        <v>1</v>
      </c>
      <c r="J5667" s="0" t="n">
        <f aca="false">E5667</f>
        <v>0.75</v>
      </c>
      <c r="K5667" s="0" t="n">
        <f aca="false">F5667</f>
        <v>0.5</v>
      </c>
      <c r="L5667" s="0" t="n">
        <f aca="false">G5667</f>
        <v>1</v>
      </c>
      <c r="M5667" s="0" t="n">
        <f aca="false">H5667</f>
        <v>-0.75</v>
      </c>
      <c r="N5667" s="0" t="n">
        <f aca="false">E5667*F5667</f>
        <v>0.375</v>
      </c>
      <c r="O5667" s="0" t="n">
        <f aca="false">E5667*G5667</f>
        <v>0.75</v>
      </c>
      <c r="P5667" s="0" t="n">
        <f aca="false">E5667*H5667</f>
        <v>-0.5625</v>
      </c>
      <c r="Q5667" s="0" t="n">
        <f aca="false">F5667*G5667</f>
        <v>0.5</v>
      </c>
      <c r="R5667" s="0" t="n">
        <f aca="false">F5667*H5667</f>
        <v>-0.375</v>
      </c>
      <c r="S5667" s="0" t="n">
        <f aca="false">G5667*H5667</f>
        <v>-0.75</v>
      </c>
      <c r="T5667" s="0" t="n">
        <f aca="false">E5667*E5667</f>
        <v>0.5625</v>
      </c>
      <c r="U5667" s="0" t="n">
        <f aca="false">F5667*F5667</f>
        <v>0.25</v>
      </c>
      <c r="V5667" s="0" t="n">
        <f aca="false">G5667*G5667</f>
        <v>1</v>
      </c>
      <c r="W5667" s="0" t="n">
        <f aca="false">H5667*H5667</f>
        <v>0.5625</v>
      </c>
      <c r="X5667" s="0" t="n">
        <f aca="false">SUMPRODUCT(I5667:W5667,_XtX!$B$96:$P$96)</f>
        <v>48.0269919590643</v>
      </c>
      <c r="Y5667" s="0" t="n">
        <f aca="false">SUMPRODUCT(MMULT(I5667:W5667,_XtX!$B$78:$P$92),I5667:W5667)</f>
        <v>0.431153771472953</v>
      </c>
      <c r="Z5667" s="0" t="n">
        <f aca="false">04_回帰ANOVA!$K$19*04_回帰ANOVA!$K$14*SQRT(1+Y5667)</f>
        <v>1.55934259562563</v>
      </c>
      <c r="AA5667" s="0" t="n">
        <f aca="false">X5667-Z5667</f>
        <v>46.4676493634387</v>
      </c>
      <c r="AB5667" s="0" t="n">
        <f aca="false">X5667+Z5667</f>
        <v>49.58633455469</v>
      </c>
      <c r="AC5667" s="54" t="b">
        <f aca="false">AND(E5667&gt;=01_因子設定!$L$5-0.000000001,E5667&lt;=01_因子設定!$M$5+0.000000001,F5667&gt;=01_因子設定!$L$6-0.000000001,F5667&lt;=01_因子設定!$M$6+0.000000001,G5667&gt;=01_因子設定!$L$7-0.000000001,G5667&lt;=01_因子設定!$M$7+0.000000001,H5667&gt;=01_因子設定!$L$8-0.000000001,H5667&lt;=01_因子設定!$M$8+0.000000001,IF(01_因子設定!$B$20="Box-Behnken",E5667^2+F5667^2+G5667^2+H5667^2&lt;=2+0.000000001,TRUE()))</f>
        <v>1</v>
      </c>
      <c r="AD5667" s="55" t="n">
        <f aca="false">IF(AC5667,IF(01_因子設定!$B$13="最大化",AA5667-01_因子設定!$B$14,IF(01_因子設定!$B$13="最小化",01_因子設定!$B$15-AB5667,MIN(AA5667-01_因子設定!$B$14,01_因子設定!$B$15-AB5667))),-1E+030)</f>
        <v>-0.03235063656129</v>
      </c>
      <c r="AE5667" s="55" t="n">
        <f aca="false">IF(AC5667,IF(01_因子設定!$B$13="最大化",X5667,IF(01_因子設定!$B$13="最小化",-X5667,-ABS(X5667-01_因子設定!$B$16))),-1E+030)</f>
        <v>48.0269919590643</v>
      </c>
      <c r="AF5667" s="55" t="n">
        <f aca="false">AD5667+ROW()*0.000000001</f>
        <v>-0.03234496956129</v>
      </c>
      <c r="AG5667" s="55" t="n">
        <f aca="false">AE5667+ROW()*0.000000001</f>
        <v>48.0269976260643</v>
      </c>
    </row>
    <row r="5668" customFormat="false" ht="15" hidden="false" customHeight="false" outlineLevel="0" collapsed="false">
      <c r="A5668" s="0" t="n">
        <v>7</v>
      </c>
      <c r="B5668" s="0" t="n">
        <v>6</v>
      </c>
      <c r="C5668" s="0" t="n">
        <v>8</v>
      </c>
      <c r="D5668" s="0" t="n">
        <v>2</v>
      </c>
      <c r="E5668" s="0" t="n">
        <f aca="false">-1+A5668*0.25</f>
        <v>0.75</v>
      </c>
      <c r="F5668" s="0" t="n">
        <f aca="false">-1+B5668*0.25</f>
        <v>0.5</v>
      </c>
      <c r="G5668" s="0" t="n">
        <f aca="false">-1+C5668*0.25</f>
        <v>1</v>
      </c>
      <c r="H5668" s="0" t="n">
        <f aca="false">-1+D5668*0.25</f>
        <v>-0.5</v>
      </c>
      <c r="I5668" s="0" t="n">
        <f aca="false">1</f>
        <v>1</v>
      </c>
      <c r="J5668" s="0" t="n">
        <f aca="false">E5668</f>
        <v>0.75</v>
      </c>
      <c r="K5668" s="0" t="n">
        <f aca="false">F5668</f>
        <v>0.5</v>
      </c>
      <c r="L5668" s="0" t="n">
        <f aca="false">G5668</f>
        <v>1</v>
      </c>
      <c r="M5668" s="0" t="n">
        <f aca="false">H5668</f>
        <v>-0.5</v>
      </c>
      <c r="N5668" s="0" t="n">
        <f aca="false">E5668*F5668</f>
        <v>0.375</v>
      </c>
      <c r="O5668" s="0" t="n">
        <f aca="false">E5668*G5668</f>
        <v>0.75</v>
      </c>
      <c r="P5668" s="0" t="n">
        <f aca="false">E5668*H5668</f>
        <v>-0.375</v>
      </c>
      <c r="Q5668" s="0" t="n">
        <f aca="false">F5668*G5668</f>
        <v>0.5</v>
      </c>
      <c r="R5668" s="0" t="n">
        <f aca="false">F5668*H5668</f>
        <v>-0.25</v>
      </c>
      <c r="S5668" s="0" t="n">
        <f aca="false">G5668*H5668</f>
        <v>-0.5</v>
      </c>
      <c r="T5668" s="0" t="n">
        <f aca="false">E5668*E5668</f>
        <v>0.5625</v>
      </c>
      <c r="U5668" s="0" t="n">
        <f aca="false">F5668*F5668</f>
        <v>0.25</v>
      </c>
      <c r="V5668" s="0" t="n">
        <f aca="false">G5668*G5668</f>
        <v>1</v>
      </c>
      <c r="W5668" s="0" t="n">
        <f aca="false">H5668*H5668</f>
        <v>0.25</v>
      </c>
      <c r="X5668" s="0" t="n">
        <f aca="false">SUMPRODUCT(I5668:W5668,_XtX!$B$96:$P$96)</f>
        <v>48.3166483918129</v>
      </c>
      <c r="Y5668" s="0" t="n">
        <f aca="false">SUMPRODUCT(MMULT(I5668:W5668,_XtX!$B$78:$P$92),I5668:W5668)</f>
        <v>0.42602110745614</v>
      </c>
      <c r="Z5668" s="0" t="n">
        <f aca="false">04_回帰ANOVA!$K$19*04_回帰ANOVA!$K$14*SQRT(1+Y5668)</f>
        <v>1.55654388501114</v>
      </c>
      <c r="AA5668" s="0" t="n">
        <f aca="false">X5668-Z5668</f>
        <v>46.7601045068017</v>
      </c>
      <c r="AB5668" s="0" t="n">
        <f aca="false">X5668+Z5668</f>
        <v>49.873192276824</v>
      </c>
      <c r="AC5668" s="54" t="b">
        <f aca="false">AND(E5668&gt;=01_因子設定!$L$5-0.000000001,E5668&lt;=01_因子設定!$M$5+0.000000001,F5668&gt;=01_因子設定!$L$6-0.000000001,F5668&lt;=01_因子設定!$M$6+0.000000001,G5668&gt;=01_因子設定!$L$7-0.000000001,G5668&lt;=01_因子設定!$M$7+0.000000001,H5668&gt;=01_因子設定!$L$8-0.000000001,H5668&lt;=01_因子設定!$M$8+0.000000001,IF(01_因子設定!$B$20="Box-Behnken",E5668^2+F5668^2+G5668^2+H5668^2&lt;=2+0.000000001,TRUE()))</f>
        <v>1</v>
      </c>
      <c r="AD5668" s="55" t="n">
        <f aca="false">IF(AC5668,IF(01_因子設定!$B$13="最大化",AA5668-01_因子設定!$B$14,IF(01_因子設定!$B$13="最小化",01_因子設定!$B$15-AB5668,MIN(AA5668-01_因子設定!$B$14,01_因子設定!$B$15-AB5668))),-1E+030)</f>
        <v>0.260104506801724</v>
      </c>
      <c r="AE5668" s="55" t="n">
        <f aca="false">IF(AC5668,IF(01_因子設定!$B$13="最大化",X5668,IF(01_因子設定!$B$13="最小化",-X5668,-ABS(X5668-01_因子設定!$B$16))),-1E+030)</f>
        <v>48.3166483918129</v>
      </c>
      <c r="AF5668" s="55" t="n">
        <f aca="false">AD5668+ROW()*0.000000001</f>
        <v>0.260110174801724</v>
      </c>
      <c r="AG5668" s="55" t="n">
        <f aca="false">AE5668+ROW()*0.000000001</f>
        <v>48.3166540598129</v>
      </c>
    </row>
    <row r="5669" customFormat="false" ht="15" hidden="false" customHeight="false" outlineLevel="0" collapsed="false">
      <c r="A5669" s="0" t="n">
        <v>7</v>
      </c>
      <c r="B5669" s="0" t="n">
        <v>6</v>
      </c>
      <c r="C5669" s="0" t="n">
        <v>8</v>
      </c>
      <c r="D5669" s="0" t="n">
        <v>3</v>
      </c>
      <c r="E5669" s="0" t="n">
        <f aca="false">-1+A5669*0.25</f>
        <v>0.75</v>
      </c>
      <c r="F5669" s="0" t="n">
        <f aca="false">-1+B5669*0.25</f>
        <v>0.5</v>
      </c>
      <c r="G5669" s="0" t="n">
        <f aca="false">-1+C5669*0.25</f>
        <v>1</v>
      </c>
      <c r="H5669" s="0" t="n">
        <f aca="false">-1+D5669*0.25</f>
        <v>-0.25</v>
      </c>
      <c r="I5669" s="0" t="n">
        <f aca="false">1</f>
        <v>1</v>
      </c>
      <c r="J5669" s="0" t="n">
        <f aca="false">E5669</f>
        <v>0.75</v>
      </c>
      <c r="K5669" s="0" t="n">
        <f aca="false">F5669</f>
        <v>0.5</v>
      </c>
      <c r="L5669" s="0" t="n">
        <f aca="false">G5669</f>
        <v>1</v>
      </c>
      <c r="M5669" s="0" t="n">
        <f aca="false">H5669</f>
        <v>-0.25</v>
      </c>
      <c r="N5669" s="0" t="n">
        <f aca="false">E5669*F5669</f>
        <v>0.375</v>
      </c>
      <c r="O5669" s="0" t="n">
        <f aca="false">E5669*G5669</f>
        <v>0.75</v>
      </c>
      <c r="P5669" s="0" t="n">
        <f aca="false">E5669*H5669</f>
        <v>-0.1875</v>
      </c>
      <c r="Q5669" s="0" t="n">
        <f aca="false">F5669*G5669</f>
        <v>0.5</v>
      </c>
      <c r="R5669" s="0" t="n">
        <f aca="false">F5669*H5669</f>
        <v>-0.125</v>
      </c>
      <c r="S5669" s="0" t="n">
        <f aca="false">G5669*H5669</f>
        <v>-0.25</v>
      </c>
      <c r="T5669" s="0" t="n">
        <f aca="false">E5669*E5669</f>
        <v>0.5625</v>
      </c>
      <c r="U5669" s="0" t="n">
        <f aca="false">F5669*F5669</f>
        <v>0.25</v>
      </c>
      <c r="V5669" s="0" t="n">
        <f aca="false">G5669*G5669</f>
        <v>1</v>
      </c>
      <c r="W5669" s="0" t="n">
        <f aca="false">H5669*H5669</f>
        <v>0.0625</v>
      </c>
      <c r="X5669" s="0" t="n">
        <f aca="false">SUMPRODUCT(I5669:W5669,_XtX!$B$96:$P$96)</f>
        <v>48.5584978070175</v>
      </c>
      <c r="Y5669" s="0" t="n">
        <f aca="false">SUMPRODUCT(MMULT(I5669:W5669,_XtX!$B$78:$P$92),I5669:W5669)</f>
        <v>0.459125719572369</v>
      </c>
      <c r="Z5669" s="0" t="n">
        <f aca="false">04_回帰ANOVA!$K$19*04_回帰ANOVA!$K$14*SQRT(1+Y5669)</f>
        <v>1.57450755575573</v>
      </c>
      <c r="AA5669" s="0" t="n">
        <f aca="false">X5669-Z5669</f>
        <v>46.9839902512618</v>
      </c>
      <c r="AB5669" s="0" t="n">
        <f aca="false">X5669+Z5669</f>
        <v>50.1330053627733</v>
      </c>
      <c r="AC5669" s="54" t="b">
        <f aca="false">AND(E5669&gt;=01_因子設定!$L$5-0.000000001,E5669&lt;=01_因子設定!$M$5+0.000000001,F5669&gt;=01_因子設定!$L$6-0.000000001,F5669&lt;=01_因子設定!$M$6+0.000000001,G5669&gt;=01_因子設定!$L$7-0.000000001,G5669&lt;=01_因子設定!$M$7+0.000000001,H5669&gt;=01_因子設定!$L$8-0.000000001,H5669&lt;=01_因子設定!$M$8+0.000000001,IF(01_因子設定!$B$20="Box-Behnken",E5669^2+F5669^2+G5669^2+H5669^2&lt;=2+0.000000001,TRUE()))</f>
        <v>1</v>
      </c>
      <c r="AD5669" s="55" t="n">
        <f aca="false">IF(AC5669,IF(01_因子設定!$B$13="最大化",AA5669-01_因子設定!$B$14,IF(01_因子設定!$B$13="最小化",01_因子設定!$B$15-AB5669,MIN(AA5669-01_因子設定!$B$14,01_因子設定!$B$15-AB5669))),-1E+030)</f>
        <v>0.483990251261808</v>
      </c>
      <c r="AE5669" s="55" t="n">
        <f aca="false">IF(AC5669,IF(01_因子設定!$B$13="最大化",X5669,IF(01_因子設定!$B$13="最小化",-X5669,-ABS(X5669-01_因子設定!$B$16))),-1E+030)</f>
        <v>48.5584978070175</v>
      </c>
      <c r="AF5669" s="55" t="n">
        <f aca="false">AD5669+ROW()*0.000000001</f>
        <v>0.483995920261808</v>
      </c>
      <c r="AG5669" s="55" t="n">
        <f aca="false">AE5669+ROW()*0.000000001</f>
        <v>48.5585034760175</v>
      </c>
    </row>
    <row r="5670" customFormat="false" ht="15" hidden="false" customHeight="false" outlineLevel="0" collapsed="false">
      <c r="A5670" s="0" t="n">
        <v>7</v>
      </c>
      <c r="B5670" s="0" t="n">
        <v>6</v>
      </c>
      <c r="C5670" s="0" t="n">
        <v>8</v>
      </c>
      <c r="D5670" s="0" t="n">
        <v>4</v>
      </c>
      <c r="E5670" s="0" t="n">
        <f aca="false">-1+A5670*0.25</f>
        <v>0.75</v>
      </c>
      <c r="F5670" s="0" t="n">
        <f aca="false">-1+B5670*0.25</f>
        <v>0.5</v>
      </c>
      <c r="G5670" s="0" t="n">
        <f aca="false">-1+C5670*0.25</f>
        <v>1</v>
      </c>
      <c r="H5670" s="0" t="n">
        <f aca="false">-1+D5670*0.25</f>
        <v>0</v>
      </c>
      <c r="I5670" s="0" t="n">
        <f aca="false">1</f>
        <v>1</v>
      </c>
      <c r="J5670" s="0" t="n">
        <f aca="false">E5670</f>
        <v>0.75</v>
      </c>
      <c r="K5670" s="0" t="n">
        <f aca="false">F5670</f>
        <v>0.5</v>
      </c>
      <c r="L5670" s="0" t="n">
        <f aca="false">G5670</f>
        <v>1</v>
      </c>
      <c r="M5670" s="0" t="n">
        <f aca="false">H5670</f>
        <v>0</v>
      </c>
      <c r="N5670" s="0" t="n">
        <f aca="false">E5670*F5670</f>
        <v>0.375</v>
      </c>
      <c r="O5670" s="0" t="n">
        <f aca="false">E5670*G5670</f>
        <v>0.75</v>
      </c>
      <c r="P5670" s="0" t="n">
        <f aca="false">E5670*H5670</f>
        <v>0</v>
      </c>
      <c r="Q5670" s="0" t="n">
        <f aca="false">F5670*G5670</f>
        <v>0.5</v>
      </c>
      <c r="R5670" s="0" t="n">
        <f aca="false">F5670*H5670</f>
        <v>0</v>
      </c>
      <c r="S5670" s="0" t="n">
        <f aca="false">G5670*H5670</f>
        <v>0</v>
      </c>
      <c r="T5670" s="0" t="n">
        <f aca="false">E5670*E5670</f>
        <v>0.5625</v>
      </c>
      <c r="U5670" s="0" t="n">
        <f aca="false">F5670*F5670</f>
        <v>0.25</v>
      </c>
      <c r="V5670" s="0" t="n">
        <f aca="false">G5670*G5670</f>
        <v>1</v>
      </c>
      <c r="W5670" s="0" t="n">
        <f aca="false">H5670*H5670</f>
        <v>0</v>
      </c>
      <c r="X5670" s="0" t="n">
        <f aca="false">SUMPRODUCT(I5670:W5670,_XtX!$B$96:$P$96)</f>
        <v>48.7525402046784</v>
      </c>
      <c r="Y5670" s="0" t="n">
        <f aca="false">SUMPRODUCT(MMULT(I5670:W5670,_XtX!$B$78:$P$92),I5670:W5670)</f>
        <v>0.476191292032164</v>
      </c>
      <c r="Z5670" s="0" t="n">
        <f aca="false">04_回帰ANOVA!$K$19*04_回帰ANOVA!$K$14*SQRT(1+Y5670)</f>
        <v>1.58368831471718</v>
      </c>
      <c r="AA5670" s="0" t="n">
        <f aca="false">X5670-Z5670</f>
        <v>47.1688518899612</v>
      </c>
      <c r="AB5670" s="0" t="n">
        <f aca="false">X5670+Z5670</f>
        <v>50.3362285193955</v>
      </c>
      <c r="AC5670" s="54" t="b">
        <f aca="false">AND(E5670&gt;=01_因子設定!$L$5-0.000000001,E5670&lt;=01_因子設定!$M$5+0.000000001,F5670&gt;=01_因子設定!$L$6-0.000000001,F5670&lt;=01_因子設定!$M$6+0.000000001,G5670&gt;=01_因子設定!$L$7-0.000000001,G5670&lt;=01_因子設定!$M$7+0.000000001,H5670&gt;=01_因子設定!$L$8-0.000000001,H5670&lt;=01_因子設定!$M$8+0.000000001,IF(01_因子設定!$B$20="Box-Behnken",E5670^2+F5670^2+G5670^2+H5670^2&lt;=2+0.000000001,TRUE()))</f>
        <v>1</v>
      </c>
      <c r="AD5670" s="55" t="n">
        <f aca="false">IF(AC5670,IF(01_因子設定!$B$13="最大化",AA5670-01_因子設定!$B$14,IF(01_因子設定!$B$13="最小化",01_因子設定!$B$15-AB5670,MIN(AA5670-01_因子設定!$B$14,01_因子設定!$B$15-AB5670))),-1E+030)</f>
        <v>0.668851889961175</v>
      </c>
      <c r="AE5670" s="55" t="n">
        <f aca="false">IF(AC5670,IF(01_因子設定!$B$13="最大化",X5670,IF(01_因子設定!$B$13="最小化",-X5670,-ABS(X5670-01_因子設定!$B$16))),-1E+030)</f>
        <v>48.7525402046784</v>
      </c>
      <c r="AF5670" s="55" t="n">
        <f aca="false">AD5670+ROW()*0.000000001</f>
        <v>0.668857559961175</v>
      </c>
      <c r="AG5670" s="55" t="n">
        <f aca="false">AE5670+ROW()*0.000000001</f>
        <v>48.7525458746784</v>
      </c>
    </row>
    <row r="5671" customFormat="false" ht="15" hidden="false" customHeight="false" outlineLevel="0" collapsed="false">
      <c r="A5671" s="0" t="n">
        <v>7</v>
      </c>
      <c r="B5671" s="0" t="n">
        <v>6</v>
      </c>
      <c r="C5671" s="0" t="n">
        <v>8</v>
      </c>
      <c r="D5671" s="0" t="n">
        <v>5</v>
      </c>
      <c r="E5671" s="0" t="n">
        <f aca="false">-1+A5671*0.25</f>
        <v>0.75</v>
      </c>
      <c r="F5671" s="0" t="n">
        <f aca="false">-1+B5671*0.25</f>
        <v>0.5</v>
      </c>
      <c r="G5671" s="0" t="n">
        <f aca="false">-1+C5671*0.25</f>
        <v>1</v>
      </c>
      <c r="H5671" s="0" t="n">
        <f aca="false">-1+D5671*0.25</f>
        <v>0.25</v>
      </c>
      <c r="I5671" s="0" t="n">
        <f aca="false">1</f>
        <v>1</v>
      </c>
      <c r="J5671" s="0" t="n">
        <f aca="false">E5671</f>
        <v>0.75</v>
      </c>
      <c r="K5671" s="0" t="n">
        <f aca="false">F5671</f>
        <v>0.5</v>
      </c>
      <c r="L5671" s="0" t="n">
        <f aca="false">G5671</f>
        <v>1</v>
      </c>
      <c r="M5671" s="0" t="n">
        <f aca="false">H5671</f>
        <v>0.25</v>
      </c>
      <c r="N5671" s="0" t="n">
        <f aca="false">E5671*F5671</f>
        <v>0.375</v>
      </c>
      <c r="O5671" s="0" t="n">
        <f aca="false">E5671*G5671</f>
        <v>0.75</v>
      </c>
      <c r="P5671" s="0" t="n">
        <f aca="false">E5671*H5671</f>
        <v>0.1875</v>
      </c>
      <c r="Q5671" s="0" t="n">
        <f aca="false">F5671*G5671</f>
        <v>0.5</v>
      </c>
      <c r="R5671" s="0" t="n">
        <f aca="false">F5671*H5671</f>
        <v>0.125</v>
      </c>
      <c r="S5671" s="0" t="n">
        <f aca="false">G5671*H5671</f>
        <v>0.25</v>
      </c>
      <c r="T5671" s="0" t="n">
        <f aca="false">E5671*E5671</f>
        <v>0.5625</v>
      </c>
      <c r="U5671" s="0" t="n">
        <f aca="false">F5671*F5671</f>
        <v>0.25</v>
      </c>
      <c r="V5671" s="0" t="n">
        <f aca="false">G5671*G5671</f>
        <v>1</v>
      </c>
      <c r="W5671" s="0" t="n">
        <f aca="false">H5671*H5671</f>
        <v>0.0625</v>
      </c>
      <c r="X5671" s="0" t="n">
        <f aca="false">SUMPRODUCT(I5671:W5671,_XtX!$B$96:$P$96)</f>
        <v>48.8987755847953</v>
      </c>
      <c r="Y5671" s="0" t="n">
        <f aca="false">SUMPRODUCT(MMULT(I5671:W5671,_XtX!$B$78:$P$92),I5671:W5671)</f>
        <v>0.459125719572369</v>
      </c>
      <c r="Z5671" s="0" t="n">
        <f aca="false">04_回帰ANOVA!$K$19*04_回帰ANOVA!$K$14*SQRT(1+Y5671)</f>
        <v>1.57450755575573</v>
      </c>
      <c r="AA5671" s="0" t="n">
        <f aca="false">X5671-Z5671</f>
        <v>47.3242680290396</v>
      </c>
      <c r="AB5671" s="0" t="n">
        <f aca="false">X5671+Z5671</f>
        <v>50.473283140551</v>
      </c>
      <c r="AC5671" s="54" t="b">
        <f aca="false">AND(E5671&gt;=01_因子設定!$L$5-0.000000001,E5671&lt;=01_因子設定!$M$5+0.000000001,F5671&gt;=01_因子設定!$L$6-0.000000001,F5671&lt;=01_因子設定!$M$6+0.000000001,G5671&gt;=01_因子設定!$L$7-0.000000001,G5671&lt;=01_因子設定!$M$7+0.000000001,H5671&gt;=01_因子設定!$L$8-0.000000001,H5671&lt;=01_因子設定!$M$8+0.000000001,IF(01_因子設定!$B$20="Box-Behnken",E5671^2+F5671^2+G5671^2+H5671^2&lt;=2+0.000000001,TRUE()))</f>
        <v>1</v>
      </c>
      <c r="AD5671" s="55" t="n">
        <f aca="false">IF(AC5671,IF(01_因子設定!$B$13="最大化",AA5671-01_因子設定!$B$14,IF(01_因子設定!$B$13="最小化",01_因子設定!$B$15-AB5671,MIN(AA5671-01_因子設定!$B$14,01_因子設定!$B$15-AB5671))),-1E+030)</f>
        <v>0.82426802903958</v>
      </c>
      <c r="AE5671" s="55" t="n">
        <f aca="false">IF(AC5671,IF(01_因子設定!$B$13="最大化",X5671,IF(01_因子設定!$B$13="最小化",-X5671,-ABS(X5671-01_因子設定!$B$16))),-1E+030)</f>
        <v>48.8987755847953</v>
      </c>
      <c r="AF5671" s="55" t="n">
        <f aca="false">AD5671+ROW()*0.000000001</f>
        <v>0.82427370003958</v>
      </c>
      <c r="AG5671" s="55" t="n">
        <f aca="false">AE5671+ROW()*0.000000001</f>
        <v>48.8987812557953</v>
      </c>
    </row>
    <row r="5672" customFormat="false" ht="15" hidden="false" customHeight="false" outlineLevel="0" collapsed="false">
      <c r="A5672" s="0" t="n">
        <v>7</v>
      </c>
      <c r="B5672" s="0" t="n">
        <v>6</v>
      </c>
      <c r="C5672" s="0" t="n">
        <v>8</v>
      </c>
      <c r="D5672" s="0" t="n">
        <v>6</v>
      </c>
      <c r="E5672" s="0" t="n">
        <f aca="false">-1+A5672*0.25</f>
        <v>0.75</v>
      </c>
      <c r="F5672" s="0" t="n">
        <f aca="false">-1+B5672*0.25</f>
        <v>0.5</v>
      </c>
      <c r="G5672" s="0" t="n">
        <f aca="false">-1+C5672*0.25</f>
        <v>1</v>
      </c>
      <c r="H5672" s="0" t="n">
        <f aca="false">-1+D5672*0.25</f>
        <v>0.5</v>
      </c>
      <c r="I5672" s="0" t="n">
        <f aca="false">1</f>
        <v>1</v>
      </c>
      <c r="J5672" s="0" t="n">
        <f aca="false">E5672</f>
        <v>0.75</v>
      </c>
      <c r="K5672" s="0" t="n">
        <f aca="false">F5672</f>
        <v>0.5</v>
      </c>
      <c r="L5672" s="0" t="n">
        <f aca="false">G5672</f>
        <v>1</v>
      </c>
      <c r="M5672" s="0" t="n">
        <f aca="false">H5672</f>
        <v>0.5</v>
      </c>
      <c r="N5672" s="0" t="n">
        <f aca="false">E5672*F5672</f>
        <v>0.375</v>
      </c>
      <c r="O5672" s="0" t="n">
        <f aca="false">E5672*G5672</f>
        <v>0.75</v>
      </c>
      <c r="P5672" s="0" t="n">
        <f aca="false">E5672*H5672</f>
        <v>0.375</v>
      </c>
      <c r="Q5672" s="0" t="n">
        <f aca="false">F5672*G5672</f>
        <v>0.5</v>
      </c>
      <c r="R5672" s="0" t="n">
        <f aca="false">F5672*H5672</f>
        <v>0.25</v>
      </c>
      <c r="S5672" s="0" t="n">
        <f aca="false">G5672*H5672</f>
        <v>0.5</v>
      </c>
      <c r="T5672" s="0" t="n">
        <f aca="false">E5672*E5672</f>
        <v>0.5625</v>
      </c>
      <c r="U5672" s="0" t="n">
        <f aca="false">F5672*F5672</f>
        <v>0.25</v>
      </c>
      <c r="V5672" s="0" t="n">
        <f aca="false">G5672*G5672</f>
        <v>1</v>
      </c>
      <c r="W5672" s="0" t="n">
        <f aca="false">H5672*H5672</f>
        <v>0.25</v>
      </c>
      <c r="X5672" s="0" t="n">
        <f aca="false">SUMPRODUCT(I5672:W5672,_XtX!$B$96:$P$96)</f>
        <v>48.9972039473684</v>
      </c>
      <c r="Y5672" s="0" t="n">
        <f aca="false">SUMPRODUCT(MMULT(I5672:W5672,_XtX!$B$78:$P$92),I5672:W5672)</f>
        <v>0.42602110745614</v>
      </c>
      <c r="Z5672" s="0" t="n">
        <f aca="false">04_回帰ANOVA!$K$19*04_回帰ANOVA!$K$14*SQRT(1+Y5672)</f>
        <v>1.55654388501114</v>
      </c>
      <c r="AA5672" s="0" t="n">
        <f aca="false">X5672-Z5672</f>
        <v>47.4406600623573</v>
      </c>
      <c r="AB5672" s="0" t="n">
        <f aca="false">X5672+Z5672</f>
        <v>50.5537478323796</v>
      </c>
      <c r="AC5672" s="54" t="b">
        <f aca="false">AND(E5672&gt;=01_因子設定!$L$5-0.000000001,E5672&lt;=01_因子設定!$M$5+0.000000001,F5672&gt;=01_因子設定!$L$6-0.000000001,F5672&lt;=01_因子設定!$M$6+0.000000001,G5672&gt;=01_因子設定!$L$7-0.000000001,G5672&lt;=01_因子設定!$M$7+0.000000001,H5672&gt;=01_因子設定!$L$8-0.000000001,H5672&lt;=01_因子設定!$M$8+0.000000001,IF(01_因子設定!$B$20="Box-Behnken",E5672^2+F5672^2+G5672^2+H5672^2&lt;=2+0.000000001,TRUE()))</f>
        <v>1</v>
      </c>
      <c r="AD5672" s="55" t="n">
        <f aca="false">IF(AC5672,IF(01_因子設定!$B$13="最大化",AA5672-01_因子設定!$B$14,IF(01_因子設定!$B$13="最小化",01_因子設定!$B$15-AB5672,MIN(AA5672-01_因子設定!$B$14,01_因子設定!$B$15-AB5672))),-1E+030)</f>
        <v>0.940660062357281</v>
      </c>
      <c r="AE5672" s="55" t="n">
        <f aca="false">IF(AC5672,IF(01_因子設定!$B$13="最大化",X5672,IF(01_因子設定!$B$13="最小化",-X5672,-ABS(X5672-01_因子設定!$B$16))),-1E+030)</f>
        <v>48.9972039473684</v>
      </c>
      <c r="AF5672" s="55" t="n">
        <f aca="false">AD5672+ROW()*0.000000001</f>
        <v>0.940665734357281</v>
      </c>
      <c r="AG5672" s="55" t="n">
        <f aca="false">AE5672+ROW()*0.000000001</f>
        <v>48.9972096193684</v>
      </c>
    </row>
    <row r="5673" customFormat="false" ht="15" hidden="false" customHeight="false" outlineLevel="0" collapsed="false">
      <c r="A5673" s="0" t="n">
        <v>7</v>
      </c>
      <c r="B5673" s="0" t="n">
        <v>6</v>
      </c>
      <c r="C5673" s="0" t="n">
        <v>8</v>
      </c>
      <c r="D5673" s="0" t="n">
        <v>7</v>
      </c>
      <c r="E5673" s="0" t="n">
        <f aca="false">-1+A5673*0.25</f>
        <v>0.75</v>
      </c>
      <c r="F5673" s="0" t="n">
        <f aca="false">-1+B5673*0.25</f>
        <v>0.5</v>
      </c>
      <c r="G5673" s="0" t="n">
        <f aca="false">-1+C5673*0.25</f>
        <v>1</v>
      </c>
      <c r="H5673" s="0" t="n">
        <f aca="false">-1+D5673*0.25</f>
        <v>0.75</v>
      </c>
      <c r="I5673" s="0" t="n">
        <f aca="false">1</f>
        <v>1</v>
      </c>
      <c r="J5673" s="0" t="n">
        <f aca="false">E5673</f>
        <v>0.75</v>
      </c>
      <c r="K5673" s="0" t="n">
        <f aca="false">F5673</f>
        <v>0.5</v>
      </c>
      <c r="L5673" s="0" t="n">
        <f aca="false">G5673</f>
        <v>1</v>
      </c>
      <c r="M5673" s="0" t="n">
        <f aca="false">H5673</f>
        <v>0.75</v>
      </c>
      <c r="N5673" s="0" t="n">
        <f aca="false">E5673*F5673</f>
        <v>0.375</v>
      </c>
      <c r="O5673" s="0" t="n">
        <f aca="false">E5673*G5673</f>
        <v>0.75</v>
      </c>
      <c r="P5673" s="0" t="n">
        <f aca="false">E5673*H5673</f>
        <v>0.5625</v>
      </c>
      <c r="Q5673" s="0" t="n">
        <f aca="false">F5673*G5673</f>
        <v>0.5</v>
      </c>
      <c r="R5673" s="0" t="n">
        <f aca="false">F5673*H5673</f>
        <v>0.375</v>
      </c>
      <c r="S5673" s="0" t="n">
        <f aca="false">G5673*H5673</f>
        <v>0.75</v>
      </c>
      <c r="T5673" s="0" t="n">
        <f aca="false">E5673*E5673</f>
        <v>0.5625</v>
      </c>
      <c r="U5673" s="0" t="n">
        <f aca="false">F5673*F5673</f>
        <v>0.25</v>
      </c>
      <c r="V5673" s="0" t="n">
        <f aca="false">G5673*G5673</f>
        <v>1</v>
      </c>
      <c r="W5673" s="0" t="n">
        <f aca="false">H5673*H5673</f>
        <v>0.5625</v>
      </c>
      <c r="X5673" s="0" t="n">
        <f aca="false">SUMPRODUCT(I5673:W5673,_XtX!$B$96:$P$96)</f>
        <v>49.0478252923977</v>
      </c>
      <c r="Y5673" s="0" t="n">
        <f aca="false">SUMPRODUCT(MMULT(I5673:W5673,_XtX!$B$78:$P$92),I5673:W5673)</f>
        <v>0.431153771472953</v>
      </c>
      <c r="Z5673" s="0" t="n">
        <f aca="false">04_回帰ANOVA!$K$19*04_回帰ANOVA!$K$14*SQRT(1+Y5673)</f>
        <v>1.55934259562563</v>
      </c>
      <c r="AA5673" s="0" t="n">
        <f aca="false">X5673-Z5673</f>
        <v>47.488482696772</v>
      </c>
      <c r="AB5673" s="0" t="n">
        <f aca="false">X5673+Z5673</f>
        <v>50.6071678880233</v>
      </c>
      <c r="AC5673" s="54" t="b">
        <f aca="false">AND(E5673&gt;=01_因子設定!$L$5-0.000000001,E5673&lt;=01_因子設定!$M$5+0.000000001,F5673&gt;=01_因子設定!$L$6-0.000000001,F5673&lt;=01_因子設定!$M$6+0.000000001,G5673&gt;=01_因子設定!$L$7-0.000000001,G5673&lt;=01_因子設定!$M$7+0.000000001,H5673&gt;=01_因子設定!$L$8-0.000000001,H5673&lt;=01_因子設定!$M$8+0.000000001,IF(01_因子設定!$B$20="Box-Behnken",E5673^2+F5673^2+G5673^2+H5673^2&lt;=2+0.000000001,TRUE()))</f>
        <v>1</v>
      </c>
      <c r="AD5673" s="55" t="n">
        <f aca="false">IF(AC5673,IF(01_因子設定!$B$13="最大化",AA5673-01_因子設定!$B$14,IF(01_因子設定!$B$13="最小化",01_因子設定!$B$15-AB5673,MIN(AA5673-01_因子設定!$B$14,01_因子設定!$B$15-AB5673))),-1E+030)</f>
        <v>0.988482696772039</v>
      </c>
      <c r="AE5673" s="55" t="n">
        <f aca="false">IF(AC5673,IF(01_因子設定!$B$13="最大化",X5673,IF(01_因子設定!$B$13="最小化",-X5673,-ABS(X5673-01_因子設定!$B$16))),-1E+030)</f>
        <v>49.0478252923977</v>
      </c>
      <c r="AF5673" s="55" t="n">
        <f aca="false">AD5673+ROW()*0.000000001</f>
        <v>0.988488369772039</v>
      </c>
      <c r="AG5673" s="55" t="n">
        <f aca="false">AE5673+ROW()*0.000000001</f>
        <v>49.0478309653977</v>
      </c>
    </row>
    <row r="5674" customFormat="false" ht="15" hidden="false" customHeight="false" outlineLevel="0" collapsed="false">
      <c r="A5674" s="0" t="n">
        <v>7</v>
      </c>
      <c r="B5674" s="0" t="n">
        <v>6</v>
      </c>
      <c r="C5674" s="0" t="n">
        <v>8</v>
      </c>
      <c r="D5674" s="0" t="n">
        <v>8</v>
      </c>
      <c r="E5674" s="0" t="n">
        <f aca="false">-1+A5674*0.25</f>
        <v>0.75</v>
      </c>
      <c r="F5674" s="0" t="n">
        <f aca="false">-1+B5674*0.25</f>
        <v>0.5</v>
      </c>
      <c r="G5674" s="0" t="n">
        <f aca="false">-1+C5674*0.25</f>
        <v>1</v>
      </c>
      <c r="H5674" s="0" t="n">
        <f aca="false">-1+D5674*0.25</f>
        <v>1</v>
      </c>
      <c r="I5674" s="0" t="n">
        <f aca="false">1</f>
        <v>1</v>
      </c>
      <c r="J5674" s="0" t="n">
        <f aca="false">E5674</f>
        <v>0.75</v>
      </c>
      <c r="K5674" s="0" t="n">
        <f aca="false">F5674</f>
        <v>0.5</v>
      </c>
      <c r="L5674" s="0" t="n">
        <f aca="false">G5674</f>
        <v>1</v>
      </c>
      <c r="M5674" s="0" t="n">
        <f aca="false">H5674</f>
        <v>1</v>
      </c>
      <c r="N5674" s="0" t="n">
        <f aca="false">E5674*F5674</f>
        <v>0.375</v>
      </c>
      <c r="O5674" s="0" t="n">
        <f aca="false">E5674*G5674</f>
        <v>0.75</v>
      </c>
      <c r="P5674" s="0" t="n">
        <f aca="false">E5674*H5674</f>
        <v>0.75</v>
      </c>
      <c r="Q5674" s="0" t="n">
        <f aca="false">F5674*G5674</f>
        <v>0.5</v>
      </c>
      <c r="R5674" s="0" t="n">
        <f aca="false">F5674*H5674</f>
        <v>0.5</v>
      </c>
      <c r="S5674" s="0" t="n">
        <f aca="false">G5674*H5674</f>
        <v>1</v>
      </c>
      <c r="T5674" s="0" t="n">
        <f aca="false">E5674*E5674</f>
        <v>0.5625</v>
      </c>
      <c r="U5674" s="0" t="n">
        <f aca="false">F5674*F5674</f>
        <v>0.25</v>
      </c>
      <c r="V5674" s="0" t="n">
        <f aca="false">G5674*G5674</f>
        <v>1</v>
      </c>
      <c r="W5674" s="0" t="n">
        <f aca="false">H5674*H5674</f>
        <v>1</v>
      </c>
      <c r="X5674" s="0" t="n">
        <f aca="false">SUMPRODUCT(I5674:W5674,_XtX!$B$96:$P$96)</f>
        <v>49.0506396198831</v>
      </c>
      <c r="Y5674" s="0" t="n">
        <f aca="false">SUMPRODUCT(MMULT(I5674:W5674,_XtX!$B$78:$P$92),I5674:W5674)</f>
        <v>0.564984237938597</v>
      </c>
      <c r="Z5674" s="0" t="n">
        <f aca="false">04_回帰ANOVA!$K$19*04_回帰ANOVA!$K$14*SQRT(1+Y5674)</f>
        <v>1.63062229734503</v>
      </c>
      <c r="AA5674" s="0" t="n">
        <f aca="false">X5674-Z5674</f>
        <v>47.420017322538</v>
      </c>
      <c r="AB5674" s="0" t="n">
        <f aca="false">X5674+Z5674</f>
        <v>50.6812619172281</v>
      </c>
      <c r="AC5674" s="54" t="b">
        <f aca="false">AND(E5674&gt;=01_因子設定!$L$5-0.000000001,E5674&lt;=01_因子設定!$M$5+0.000000001,F5674&gt;=01_因子設定!$L$6-0.000000001,F5674&lt;=01_因子設定!$M$6+0.000000001,G5674&gt;=01_因子設定!$L$7-0.000000001,G5674&lt;=01_因子設定!$M$7+0.000000001,H5674&gt;=01_因子設定!$L$8-0.000000001,H5674&lt;=01_因子設定!$M$8+0.000000001,IF(01_因子設定!$B$20="Box-Behnken",E5674^2+F5674^2+G5674^2+H5674^2&lt;=2+0.000000001,TRUE()))</f>
        <v>1</v>
      </c>
      <c r="AD5674" s="55" t="n">
        <f aca="false">IF(AC5674,IF(01_因子設定!$B$13="最大化",AA5674-01_因子設定!$B$14,IF(01_因子設定!$B$13="最小化",01_因子設定!$B$15-AB5674,MIN(AA5674-01_因子設定!$B$14,01_因子設定!$B$15-AB5674))),-1E+030)</f>
        <v>0.92001732253803</v>
      </c>
      <c r="AE5674" s="55" t="n">
        <f aca="false">IF(AC5674,IF(01_因子設定!$B$13="最大化",X5674,IF(01_因子設定!$B$13="最小化",-X5674,-ABS(X5674-01_因子設定!$B$16))),-1E+030)</f>
        <v>49.0506396198831</v>
      </c>
      <c r="AF5674" s="55" t="n">
        <f aca="false">AD5674+ROW()*0.000000001</f>
        <v>0.92002299653803</v>
      </c>
      <c r="AG5674" s="55" t="n">
        <f aca="false">AE5674+ROW()*0.000000001</f>
        <v>49.0506452938831</v>
      </c>
    </row>
    <row r="5675" customFormat="false" ht="15" hidden="false" customHeight="false" outlineLevel="0" collapsed="false">
      <c r="A5675" s="0" t="n">
        <v>7</v>
      </c>
      <c r="B5675" s="0" t="n">
        <v>7</v>
      </c>
      <c r="C5675" s="0" t="n">
        <v>0</v>
      </c>
      <c r="D5675" s="0" t="n">
        <v>0</v>
      </c>
      <c r="E5675" s="0" t="n">
        <f aca="false">-1+A5675*0.25</f>
        <v>0.75</v>
      </c>
      <c r="F5675" s="0" t="n">
        <f aca="false">-1+B5675*0.25</f>
        <v>0.75</v>
      </c>
      <c r="G5675" s="0" t="n">
        <f aca="false">-1+C5675*0.25</f>
        <v>-1</v>
      </c>
      <c r="H5675" s="0" t="n">
        <f aca="false">-1+D5675*0.25</f>
        <v>-1</v>
      </c>
      <c r="I5675" s="0" t="n">
        <f aca="false">1</f>
        <v>1</v>
      </c>
      <c r="J5675" s="0" t="n">
        <f aca="false">E5675</f>
        <v>0.75</v>
      </c>
      <c r="K5675" s="0" t="n">
        <f aca="false">F5675</f>
        <v>0.75</v>
      </c>
      <c r="L5675" s="0" t="n">
        <f aca="false">G5675</f>
        <v>-1</v>
      </c>
      <c r="M5675" s="0" t="n">
        <f aca="false">H5675</f>
        <v>-1</v>
      </c>
      <c r="N5675" s="0" t="n">
        <f aca="false">E5675*F5675</f>
        <v>0.5625</v>
      </c>
      <c r="O5675" s="0" t="n">
        <f aca="false">E5675*G5675</f>
        <v>-0.75</v>
      </c>
      <c r="P5675" s="0" t="n">
        <f aca="false">E5675*H5675</f>
        <v>-0.75</v>
      </c>
      <c r="Q5675" s="0" t="n">
        <f aca="false">F5675*G5675</f>
        <v>-0.75</v>
      </c>
      <c r="R5675" s="0" t="n">
        <f aca="false">F5675*H5675</f>
        <v>-0.75</v>
      </c>
      <c r="S5675" s="0" t="n">
        <f aca="false">G5675*H5675</f>
        <v>1</v>
      </c>
      <c r="T5675" s="0" t="n">
        <f aca="false">E5675*E5675</f>
        <v>0.5625</v>
      </c>
      <c r="U5675" s="0" t="n">
        <f aca="false">F5675*F5675</f>
        <v>0.5625</v>
      </c>
      <c r="V5675" s="0" t="n">
        <f aca="false">G5675*G5675</f>
        <v>1</v>
      </c>
      <c r="W5675" s="0" t="n">
        <f aca="false">H5675*H5675</f>
        <v>1</v>
      </c>
      <c r="X5675" s="0" t="n">
        <f aca="false">SUMPRODUCT(I5675:W5675,_XtX!$B$96:$P$96)</f>
        <v>46.8628929093568</v>
      </c>
      <c r="Y5675" s="0" t="n">
        <f aca="false">SUMPRODUCT(MMULT(I5675:W5675,_XtX!$B$78:$P$92),I5675:W5675)</f>
        <v>0.531311392086988</v>
      </c>
      <c r="Z5675" s="0" t="n">
        <f aca="false">04_回帰ANOVA!$K$19*04_回帰ANOVA!$K$14*SQRT(1+Y5675)</f>
        <v>1.61298433431428</v>
      </c>
      <c r="AA5675" s="0" t="n">
        <f aca="false">X5675-Z5675</f>
        <v>45.2499085750425</v>
      </c>
      <c r="AB5675" s="0" t="n">
        <f aca="false">X5675+Z5675</f>
        <v>48.475877243671</v>
      </c>
      <c r="AC5675" s="54" t="b">
        <f aca="false">AND(E5675&gt;=01_因子設定!$L$5-0.000000001,E5675&lt;=01_因子設定!$M$5+0.000000001,F5675&gt;=01_因子設定!$L$6-0.000000001,F5675&lt;=01_因子設定!$M$6+0.000000001,G5675&gt;=01_因子設定!$L$7-0.000000001,G5675&lt;=01_因子設定!$M$7+0.000000001,H5675&gt;=01_因子設定!$L$8-0.000000001,H5675&lt;=01_因子設定!$M$8+0.000000001,IF(01_因子設定!$B$20="Box-Behnken",E5675^2+F5675^2+G5675^2+H5675^2&lt;=2+0.000000001,TRUE()))</f>
        <v>1</v>
      </c>
      <c r="AD5675" s="55" t="n">
        <f aca="false">IF(AC5675,IF(01_因子設定!$B$13="最大化",AA5675-01_因子設定!$B$14,IF(01_因子設定!$B$13="最小化",01_因子設定!$B$15-AB5675,MIN(AA5675-01_因子設定!$B$14,01_因子設定!$B$15-AB5675))),-1E+030)</f>
        <v>-1.25009142495753</v>
      </c>
      <c r="AE5675" s="55" t="n">
        <f aca="false">IF(AC5675,IF(01_因子設定!$B$13="最大化",X5675,IF(01_因子設定!$B$13="最小化",-X5675,-ABS(X5675-01_因子設定!$B$16))),-1E+030)</f>
        <v>46.8628929093568</v>
      </c>
      <c r="AF5675" s="55" t="n">
        <f aca="false">AD5675+ROW()*0.000000001</f>
        <v>-1.25008574995753</v>
      </c>
      <c r="AG5675" s="55" t="n">
        <f aca="false">AE5675+ROW()*0.000000001</f>
        <v>46.8628985843568</v>
      </c>
    </row>
    <row r="5676" customFormat="false" ht="15" hidden="false" customHeight="false" outlineLevel="0" collapsed="false">
      <c r="A5676" s="0" t="n">
        <v>7</v>
      </c>
      <c r="B5676" s="0" t="n">
        <v>7</v>
      </c>
      <c r="C5676" s="0" t="n">
        <v>0</v>
      </c>
      <c r="D5676" s="0" t="n">
        <v>1</v>
      </c>
      <c r="E5676" s="0" t="n">
        <f aca="false">-1+A5676*0.25</f>
        <v>0.75</v>
      </c>
      <c r="F5676" s="0" t="n">
        <f aca="false">-1+B5676*0.25</f>
        <v>0.75</v>
      </c>
      <c r="G5676" s="0" t="n">
        <f aca="false">-1+C5676*0.25</f>
        <v>-1</v>
      </c>
      <c r="H5676" s="0" t="n">
        <f aca="false">-1+D5676*0.25</f>
        <v>-0.75</v>
      </c>
      <c r="I5676" s="0" t="n">
        <f aca="false">1</f>
        <v>1</v>
      </c>
      <c r="J5676" s="0" t="n">
        <f aca="false">E5676</f>
        <v>0.75</v>
      </c>
      <c r="K5676" s="0" t="n">
        <f aca="false">F5676</f>
        <v>0.75</v>
      </c>
      <c r="L5676" s="0" t="n">
        <f aca="false">G5676</f>
        <v>-1</v>
      </c>
      <c r="M5676" s="0" t="n">
        <f aca="false">H5676</f>
        <v>-0.75</v>
      </c>
      <c r="N5676" s="0" t="n">
        <f aca="false">E5676*F5676</f>
        <v>0.5625</v>
      </c>
      <c r="O5676" s="0" t="n">
        <f aca="false">E5676*G5676</f>
        <v>-0.75</v>
      </c>
      <c r="P5676" s="0" t="n">
        <f aca="false">E5676*H5676</f>
        <v>-0.5625</v>
      </c>
      <c r="Q5676" s="0" t="n">
        <f aca="false">F5676*G5676</f>
        <v>-0.75</v>
      </c>
      <c r="R5676" s="0" t="n">
        <f aca="false">F5676*H5676</f>
        <v>-0.5625</v>
      </c>
      <c r="S5676" s="0" t="n">
        <f aca="false">G5676*H5676</f>
        <v>0.75</v>
      </c>
      <c r="T5676" s="0" t="n">
        <f aca="false">E5676*E5676</f>
        <v>0.5625</v>
      </c>
      <c r="U5676" s="0" t="n">
        <f aca="false">F5676*F5676</f>
        <v>0.5625</v>
      </c>
      <c r="V5676" s="0" t="n">
        <f aca="false">G5676*G5676</f>
        <v>1</v>
      </c>
      <c r="W5676" s="0" t="n">
        <f aca="false">H5676*H5676</f>
        <v>0.5625</v>
      </c>
      <c r="X5676" s="0" t="n">
        <f aca="false">SUMPRODUCT(I5676:W5676,_XtX!$B$96:$P$96)</f>
        <v>47.0433251096491</v>
      </c>
      <c r="Y5676" s="0" t="n">
        <f aca="false">SUMPRODUCT(MMULT(I5676:W5676,_XtX!$B$78:$P$92),I5676:W5676)</f>
        <v>0.420117473044591</v>
      </c>
      <c r="Z5676" s="0" t="n">
        <f aca="false">04_回帰ANOVA!$K$19*04_回帰ANOVA!$K$14*SQRT(1+Y5676)</f>
        <v>1.55331854827765</v>
      </c>
      <c r="AA5676" s="0" t="n">
        <f aca="false">X5676-Z5676</f>
        <v>45.4900065613715</v>
      </c>
      <c r="AB5676" s="0" t="n">
        <f aca="false">X5676+Z5676</f>
        <v>48.5966436579268</v>
      </c>
      <c r="AC5676" s="54" t="b">
        <f aca="false">AND(E5676&gt;=01_因子設定!$L$5-0.000000001,E5676&lt;=01_因子設定!$M$5+0.000000001,F5676&gt;=01_因子設定!$L$6-0.000000001,F5676&lt;=01_因子設定!$M$6+0.000000001,G5676&gt;=01_因子設定!$L$7-0.000000001,G5676&lt;=01_因子設定!$M$7+0.000000001,H5676&gt;=01_因子設定!$L$8-0.000000001,H5676&lt;=01_因子設定!$M$8+0.000000001,IF(01_因子設定!$B$20="Box-Behnken",E5676^2+F5676^2+G5676^2+H5676^2&lt;=2+0.000000001,TRUE()))</f>
        <v>1</v>
      </c>
      <c r="AD5676" s="55" t="n">
        <f aca="false">IF(AC5676,IF(01_因子設定!$B$13="最大化",AA5676-01_因子設定!$B$14,IF(01_因子設定!$B$13="最小化",01_因子設定!$B$15-AB5676,MIN(AA5676-01_因子設定!$B$14,01_因子設定!$B$15-AB5676))),-1E+030)</f>
        <v>-1.00999343862851</v>
      </c>
      <c r="AE5676" s="55" t="n">
        <f aca="false">IF(AC5676,IF(01_因子設定!$B$13="最大化",X5676,IF(01_因子設定!$B$13="最小化",-X5676,-ABS(X5676-01_因子設定!$B$16))),-1E+030)</f>
        <v>47.0433251096491</v>
      </c>
      <c r="AF5676" s="55" t="n">
        <f aca="false">AD5676+ROW()*0.000000001</f>
        <v>-1.00998776262851</v>
      </c>
      <c r="AG5676" s="55" t="n">
        <f aca="false">AE5676+ROW()*0.000000001</f>
        <v>47.0433307856491</v>
      </c>
    </row>
    <row r="5677" customFormat="false" ht="15" hidden="false" customHeight="false" outlineLevel="0" collapsed="false">
      <c r="A5677" s="0" t="n">
        <v>7</v>
      </c>
      <c r="B5677" s="0" t="n">
        <v>7</v>
      </c>
      <c r="C5677" s="0" t="n">
        <v>0</v>
      </c>
      <c r="D5677" s="0" t="n">
        <v>2</v>
      </c>
      <c r="E5677" s="0" t="n">
        <f aca="false">-1+A5677*0.25</f>
        <v>0.75</v>
      </c>
      <c r="F5677" s="0" t="n">
        <f aca="false">-1+B5677*0.25</f>
        <v>0.75</v>
      </c>
      <c r="G5677" s="0" t="n">
        <f aca="false">-1+C5677*0.25</f>
        <v>-1</v>
      </c>
      <c r="H5677" s="0" t="n">
        <f aca="false">-1+D5677*0.25</f>
        <v>-0.5</v>
      </c>
      <c r="I5677" s="0" t="n">
        <f aca="false">1</f>
        <v>1</v>
      </c>
      <c r="J5677" s="0" t="n">
        <f aca="false">E5677</f>
        <v>0.75</v>
      </c>
      <c r="K5677" s="0" t="n">
        <f aca="false">F5677</f>
        <v>0.75</v>
      </c>
      <c r="L5677" s="0" t="n">
        <f aca="false">G5677</f>
        <v>-1</v>
      </c>
      <c r="M5677" s="0" t="n">
        <f aca="false">H5677</f>
        <v>-0.5</v>
      </c>
      <c r="N5677" s="0" t="n">
        <f aca="false">E5677*F5677</f>
        <v>0.5625</v>
      </c>
      <c r="O5677" s="0" t="n">
        <f aca="false">E5677*G5677</f>
        <v>-0.75</v>
      </c>
      <c r="P5677" s="0" t="n">
        <f aca="false">E5677*H5677</f>
        <v>-0.375</v>
      </c>
      <c r="Q5677" s="0" t="n">
        <f aca="false">F5677*G5677</f>
        <v>-0.75</v>
      </c>
      <c r="R5677" s="0" t="n">
        <f aca="false">F5677*H5677</f>
        <v>-0.375</v>
      </c>
      <c r="S5677" s="0" t="n">
        <f aca="false">G5677*H5677</f>
        <v>0.5</v>
      </c>
      <c r="T5677" s="0" t="n">
        <f aca="false">E5677*E5677</f>
        <v>0.5625</v>
      </c>
      <c r="U5677" s="0" t="n">
        <f aca="false">F5677*F5677</f>
        <v>0.5625</v>
      </c>
      <c r="V5677" s="0" t="n">
        <f aca="false">G5677*G5677</f>
        <v>1</v>
      </c>
      <c r="W5677" s="0" t="n">
        <f aca="false">H5677*H5677</f>
        <v>0.25</v>
      </c>
      <c r="X5677" s="0" t="n">
        <f aca="false">SUMPRODUCT(I5677:W5677,_XtX!$B$96:$P$96)</f>
        <v>47.1759502923977</v>
      </c>
      <c r="Y5677" s="0" t="n">
        <f aca="false">SUMPRODUCT(MMULT(I5677:W5677,_XtX!$B$78:$P$92),I5677:W5677)</f>
        <v>0.431153771472953</v>
      </c>
      <c r="Z5677" s="0" t="n">
        <f aca="false">04_回帰ANOVA!$K$19*04_回帰ANOVA!$K$14*SQRT(1+Y5677)</f>
        <v>1.55934259562563</v>
      </c>
      <c r="AA5677" s="0" t="n">
        <f aca="false">X5677-Z5677</f>
        <v>45.616607696772</v>
      </c>
      <c r="AB5677" s="0" t="n">
        <f aca="false">X5677+Z5677</f>
        <v>48.7352928880233</v>
      </c>
      <c r="AC5677" s="54" t="b">
        <f aca="false">AND(E5677&gt;=01_因子設定!$L$5-0.000000001,E5677&lt;=01_因子設定!$M$5+0.000000001,F5677&gt;=01_因子設定!$L$6-0.000000001,F5677&lt;=01_因子設定!$M$6+0.000000001,G5677&gt;=01_因子設定!$L$7-0.000000001,G5677&lt;=01_因子設定!$M$7+0.000000001,H5677&gt;=01_因子設定!$L$8-0.000000001,H5677&lt;=01_因子設定!$M$8+0.000000001,IF(01_因子設定!$B$20="Box-Behnken",E5677^2+F5677^2+G5677^2+H5677^2&lt;=2+0.000000001,TRUE()))</f>
        <v>1</v>
      </c>
      <c r="AD5677" s="55" t="n">
        <f aca="false">IF(AC5677,IF(01_因子設定!$B$13="最大化",AA5677-01_因子設定!$B$14,IF(01_因子設定!$B$13="最小化",01_因子設定!$B$15-AB5677,MIN(AA5677-01_因子設定!$B$14,01_因子設定!$B$15-AB5677))),-1E+030)</f>
        <v>-0.883392303227971</v>
      </c>
      <c r="AE5677" s="55" t="n">
        <f aca="false">IF(AC5677,IF(01_因子設定!$B$13="最大化",X5677,IF(01_因子設定!$B$13="最小化",-X5677,-ABS(X5677-01_因子設定!$B$16))),-1E+030)</f>
        <v>47.1759502923977</v>
      </c>
      <c r="AF5677" s="55" t="n">
        <f aca="false">AD5677+ROW()*0.000000001</f>
        <v>-0.883386626227971</v>
      </c>
      <c r="AG5677" s="55" t="n">
        <f aca="false">AE5677+ROW()*0.000000001</f>
        <v>47.1759559693977</v>
      </c>
    </row>
    <row r="5678" customFormat="false" ht="15" hidden="false" customHeight="false" outlineLevel="0" collapsed="false">
      <c r="A5678" s="0" t="n">
        <v>7</v>
      </c>
      <c r="B5678" s="0" t="n">
        <v>7</v>
      </c>
      <c r="C5678" s="0" t="n">
        <v>0</v>
      </c>
      <c r="D5678" s="0" t="n">
        <v>3</v>
      </c>
      <c r="E5678" s="0" t="n">
        <f aca="false">-1+A5678*0.25</f>
        <v>0.75</v>
      </c>
      <c r="F5678" s="0" t="n">
        <f aca="false">-1+B5678*0.25</f>
        <v>0.75</v>
      </c>
      <c r="G5678" s="0" t="n">
        <f aca="false">-1+C5678*0.25</f>
        <v>-1</v>
      </c>
      <c r="H5678" s="0" t="n">
        <f aca="false">-1+D5678*0.25</f>
        <v>-0.25</v>
      </c>
      <c r="I5678" s="0" t="n">
        <f aca="false">1</f>
        <v>1</v>
      </c>
      <c r="J5678" s="0" t="n">
        <f aca="false">E5678</f>
        <v>0.75</v>
      </c>
      <c r="K5678" s="0" t="n">
        <f aca="false">F5678</f>
        <v>0.75</v>
      </c>
      <c r="L5678" s="0" t="n">
        <f aca="false">G5678</f>
        <v>-1</v>
      </c>
      <c r="M5678" s="0" t="n">
        <f aca="false">H5678</f>
        <v>-0.25</v>
      </c>
      <c r="N5678" s="0" t="n">
        <f aca="false">E5678*F5678</f>
        <v>0.5625</v>
      </c>
      <c r="O5678" s="0" t="n">
        <f aca="false">E5678*G5678</f>
        <v>-0.75</v>
      </c>
      <c r="P5678" s="0" t="n">
        <f aca="false">E5678*H5678</f>
        <v>-0.1875</v>
      </c>
      <c r="Q5678" s="0" t="n">
        <f aca="false">F5678*G5678</f>
        <v>-0.75</v>
      </c>
      <c r="R5678" s="0" t="n">
        <f aca="false">F5678*H5678</f>
        <v>-0.1875</v>
      </c>
      <c r="S5678" s="0" t="n">
        <f aca="false">G5678*H5678</f>
        <v>0.25</v>
      </c>
      <c r="T5678" s="0" t="n">
        <f aca="false">E5678*E5678</f>
        <v>0.5625</v>
      </c>
      <c r="U5678" s="0" t="n">
        <f aca="false">F5678*F5678</f>
        <v>0.5625</v>
      </c>
      <c r="V5678" s="0" t="n">
        <f aca="false">G5678*G5678</f>
        <v>1</v>
      </c>
      <c r="W5678" s="0" t="n">
        <f aca="false">H5678*H5678</f>
        <v>0.0625</v>
      </c>
      <c r="X5678" s="0" t="n">
        <f aca="false">SUMPRODUCT(I5678:W5678,_XtX!$B$96:$P$96)</f>
        <v>47.2607684576023</v>
      </c>
      <c r="Y5678" s="0" t="n">
        <f aca="false">SUMPRODUCT(MMULT(I5678:W5678,_XtX!$B$78:$P$92),I5678:W5678)</f>
        <v>0.473959761056287</v>
      </c>
      <c r="Z5678" s="0" t="n">
        <f aca="false">04_回帰ANOVA!$K$19*04_回帰ANOVA!$K$14*SQRT(1+Y5678)</f>
        <v>1.58249084588329</v>
      </c>
      <c r="AA5678" s="0" t="n">
        <f aca="false">X5678-Z5678</f>
        <v>45.6782776117191</v>
      </c>
      <c r="AB5678" s="0" t="n">
        <f aca="false">X5678+Z5678</f>
        <v>48.8432593034856</v>
      </c>
      <c r="AC5678" s="54" t="b">
        <f aca="false">AND(E5678&gt;=01_因子設定!$L$5-0.000000001,E5678&lt;=01_因子設定!$M$5+0.000000001,F5678&gt;=01_因子設定!$L$6-0.000000001,F5678&lt;=01_因子設定!$M$6+0.000000001,G5678&gt;=01_因子設定!$L$7-0.000000001,G5678&lt;=01_因子設定!$M$7+0.000000001,H5678&gt;=01_因子設定!$L$8-0.000000001,H5678&lt;=01_因子設定!$M$8+0.000000001,IF(01_因子設定!$B$20="Box-Behnken",E5678^2+F5678^2+G5678^2+H5678^2&lt;=2+0.000000001,TRUE()))</f>
        <v>1</v>
      </c>
      <c r="AD5678" s="55" t="n">
        <f aca="false">IF(AC5678,IF(01_因子設定!$B$13="最大化",AA5678-01_因子設定!$B$14,IF(01_因子設定!$B$13="最小化",01_因子設定!$B$15-AB5678,MIN(AA5678-01_因子設定!$B$14,01_因子設定!$B$15-AB5678))),-1E+030)</f>
        <v>-0.821722388280954</v>
      </c>
      <c r="AE5678" s="55" t="n">
        <f aca="false">IF(AC5678,IF(01_因子設定!$B$13="最大化",X5678,IF(01_因子設定!$B$13="最小化",-X5678,-ABS(X5678-01_因子設定!$B$16))),-1E+030)</f>
        <v>47.2607684576023</v>
      </c>
      <c r="AF5678" s="55" t="n">
        <f aca="false">AD5678+ROW()*0.000000001</f>
        <v>-0.821716710280954</v>
      </c>
      <c r="AG5678" s="55" t="n">
        <f aca="false">AE5678+ROW()*0.000000001</f>
        <v>47.2607741356023</v>
      </c>
    </row>
    <row r="5679" customFormat="false" ht="15" hidden="false" customHeight="false" outlineLevel="0" collapsed="false">
      <c r="A5679" s="0" t="n">
        <v>7</v>
      </c>
      <c r="B5679" s="0" t="n">
        <v>7</v>
      </c>
      <c r="C5679" s="0" t="n">
        <v>0</v>
      </c>
      <c r="D5679" s="0" t="n">
        <v>4</v>
      </c>
      <c r="E5679" s="0" t="n">
        <f aca="false">-1+A5679*0.25</f>
        <v>0.75</v>
      </c>
      <c r="F5679" s="0" t="n">
        <f aca="false">-1+B5679*0.25</f>
        <v>0.75</v>
      </c>
      <c r="G5679" s="0" t="n">
        <f aca="false">-1+C5679*0.25</f>
        <v>-1</v>
      </c>
      <c r="H5679" s="0" t="n">
        <f aca="false">-1+D5679*0.25</f>
        <v>0</v>
      </c>
      <c r="I5679" s="0" t="n">
        <f aca="false">1</f>
        <v>1</v>
      </c>
      <c r="J5679" s="0" t="n">
        <f aca="false">E5679</f>
        <v>0.75</v>
      </c>
      <c r="K5679" s="0" t="n">
        <f aca="false">F5679</f>
        <v>0.75</v>
      </c>
      <c r="L5679" s="0" t="n">
        <f aca="false">G5679</f>
        <v>-1</v>
      </c>
      <c r="M5679" s="0" t="n">
        <f aca="false">H5679</f>
        <v>0</v>
      </c>
      <c r="N5679" s="0" t="n">
        <f aca="false">E5679*F5679</f>
        <v>0.5625</v>
      </c>
      <c r="O5679" s="0" t="n">
        <f aca="false">E5679*G5679</f>
        <v>-0.75</v>
      </c>
      <c r="P5679" s="0" t="n">
        <f aca="false">E5679*H5679</f>
        <v>0</v>
      </c>
      <c r="Q5679" s="0" t="n">
        <f aca="false">F5679*G5679</f>
        <v>-0.75</v>
      </c>
      <c r="R5679" s="0" t="n">
        <f aca="false">F5679*H5679</f>
        <v>0</v>
      </c>
      <c r="S5679" s="0" t="n">
        <f aca="false">G5679*H5679</f>
        <v>-0</v>
      </c>
      <c r="T5679" s="0" t="n">
        <f aca="false">E5679*E5679</f>
        <v>0.5625</v>
      </c>
      <c r="U5679" s="0" t="n">
        <f aca="false">F5679*F5679</f>
        <v>0.5625</v>
      </c>
      <c r="V5679" s="0" t="n">
        <f aca="false">G5679*G5679</f>
        <v>1</v>
      </c>
      <c r="W5679" s="0" t="n">
        <f aca="false">H5679*H5679</f>
        <v>0</v>
      </c>
      <c r="X5679" s="0" t="n">
        <f aca="false">SUMPRODUCT(I5679:W5679,_XtX!$B$96:$P$96)</f>
        <v>47.2977796052631</v>
      </c>
      <c r="Y5679" s="0" t="n">
        <f aca="false">SUMPRODUCT(MMULT(I5679:W5679,_XtX!$B$78:$P$92),I5679:W5679)</f>
        <v>0.494259126005117</v>
      </c>
      <c r="Z5679" s="0" t="n">
        <f aca="false">04_回帰ANOVA!$K$19*04_回帰ANOVA!$K$14*SQRT(1+Y5679)</f>
        <v>1.59335061078203</v>
      </c>
      <c r="AA5679" s="0" t="n">
        <f aca="false">X5679-Z5679</f>
        <v>45.7044289944811</v>
      </c>
      <c r="AB5679" s="0" t="n">
        <f aca="false">X5679+Z5679</f>
        <v>48.8911302160452</v>
      </c>
      <c r="AC5679" s="54" t="b">
        <f aca="false">AND(E5679&gt;=01_因子設定!$L$5-0.000000001,E5679&lt;=01_因子設定!$M$5+0.000000001,F5679&gt;=01_因子設定!$L$6-0.000000001,F5679&lt;=01_因子設定!$M$6+0.000000001,G5679&gt;=01_因子設定!$L$7-0.000000001,G5679&lt;=01_因子設定!$M$7+0.000000001,H5679&gt;=01_因子設定!$L$8-0.000000001,H5679&lt;=01_因子設定!$M$8+0.000000001,IF(01_因子設定!$B$20="Box-Behnken",E5679^2+F5679^2+G5679^2+H5679^2&lt;=2+0.000000001,TRUE()))</f>
        <v>1</v>
      </c>
      <c r="AD5679" s="55" t="n">
        <f aca="false">IF(AC5679,IF(01_因子設定!$B$13="最大化",AA5679-01_因子設定!$B$14,IF(01_因子設定!$B$13="最小化",01_因子設定!$B$15-AB5679,MIN(AA5679-01_因子設定!$B$14,01_因子設定!$B$15-AB5679))),-1E+030)</f>
        <v>-0.79557100551888</v>
      </c>
      <c r="AE5679" s="55" t="n">
        <f aca="false">IF(AC5679,IF(01_因子設定!$B$13="最大化",X5679,IF(01_因子設定!$B$13="最小化",-X5679,-ABS(X5679-01_因子設定!$B$16))),-1E+030)</f>
        <v>47.2977796052631</v>
      </c>
      <c r="AF5679" s="55" t="n">
        <f aca="false">AD5679+ROW()*0.000000001</f>
        <v>-0.79556532651888</v>
      </c>
      <c r="AG5679" s="55" t="n">
        <f aca="false">AE5679+ROW()*0.000000001</f>
        <v>47.2977852842631</v>
      </c>
    </row>
    <row r="5680" customFormat="false" ht="15" hidden="false" customHeight="false" outlineLevel="0" collapsed="false">
      <c r="A5680" s="0" t="n">
        <v>7</v>
      </c>
      <c r="B5680" s="0" t="n">
        <v>7</v>
      </c>
      <c r="C5680" s="0" t="n">
        <v>0</v>
      </c>
      <c r="D5680" s="0" t="n">
        <v>5</v>
      </c>
      <c r="E5680" s="0" t="n">
        <f aca="false">-1+A5680*0.25</f>
        <v>0.75</v>
      </c>
      <c r="F5680" s="0" t="n">
        <f aca="false">-1+B5680*0.25</f>
        <v>0.75</v>
      </c>
      <c r="G5680" s="0" t="n">
        <f aca="false">-1+C5680*0.25</f>
        <v>-1</v>
      </c>
      <c r="H5680" s="0" t="n">
        <f aca="false">-1+D5680*0.25</f>
        <v>0.25</v>
      </c>
      <c r="I5680" s="0" t="n">
        <f aca="false">1</f>
        <v>1</v>
      </c>
      <c r="J5680" s="0" t="n">
        <f aca="false">E5680</f>
        <v>0.75</v>
      </c>
      <c r="K5680" s="0" t="n">
        <f aca="false">F5680</f>
        <v>0.75</v>
      </c>
      <c r="L5680" s="0" t="n">
        <f aca="false">G5680</f>
        <v>-1</v>
      </c>
      <c r="M5680" s="0" t="n">
        <f aca="false">H5680</f>
        <v>0.25</v>
      </c>
      <c r="N5680" s="0" t="n">
        <f aca="false">E5680*F5680</f>
        <v>0.5625</v>
      </c>
      <c r="O5680" s="0" t="n">
        <f aca="false">E5680*G5680</f>
        <v>-0.75</v>
      </c>
      <c r="P5680" s="0" t="n">
        <f aca="false">E5680*H5680</f>
        <v>0.1875</v>
      </c>
      <c r="Q5680" s="0" t="n">
        <f aca="false">F5680*G5680</f>
        <v>-0.75</v>
      </c>
      <c r="R5680" s="0" t="n">
        <f aca="false">F5680*H5680</f>
        <v>0.1875</v>
      </c>
      <c r="S5680" s="0" t="n">
        <f aca="false">G5680*H5680</f>
        <v>-0.25</v>
      </c>
      <c r="T5680" s="0" t="n">
        <f aca="false">E5680*E5680</f>
        <v>0.5625</v>
      </c>
      <c r="U5680" s="0" t="n">
        <f aca="false">F5680*F5680</f>
        <v>0.5625</v>
      </c>
      <c r="V5680" s="0" t="n">
        <f aca="false">G5680*G5680</f>
        <v>1</v>
      </c>
      <c r="W5680" s="0" t="n">
        <f aca="false">H5680*H5680</f>
        <v>0.0625</v>
      </c>
      <c r="X5680" s="0" t="n">
        <f aca="false">SUMPRODUCT(I5680:W5680,_XtX!$B$96:$P$96)</f>
        <v>47.2869837353801</v>
      </c>
      <c r="Y5680" s="0" t="n">
        <f aca="false">SUMPRODUCT(MMULT(I5680:W5680,_XtX!$B$78:$P$92),I5680:W5680)</f>
        <v>0.473959761056287</v>
      </c>
      <c r="Z5680" s="0" t="n">
        <f aca="false">04_回帰ANOVA!$K$19*04_回帰ANOVA!$K$14*SQRT(1+Y5680)</f>
        <v>1.58249084588329</v>
      </c>
      <c r="AA5680" s="0" t="n">
        <f aca="false">X5680-Z5680</f>
        <v>45.7044928894968</v>
      </c>
      <c r="AB5680" s="0" t="n">
        <f aca="false">X5680+Z5680</f>
        <v>48.8694745812634</v>
      </c>
      <c r="AC5680" s="54" t="b">
        <f aca="false">AND(E5680&gt;=01_因子設定!$L$5-0.000000001,E5680&lt;=01_因子設定!$M$5+0.000000001,F5680&gt;=01_因子設定!$L$6-0.000000001,F5680&lt;=01_因子設定!$M$6+0.000000001,G5680&gt;=01_因子設定!$L$7-0.000000001,G5680&lt;=01_因子設定!$M$7+0.000000001,H5680&gt;=01_因子設定!$L$8-0.000000001,H5680&lt;=01_因子設定!$M$8+0.000000001,IF(01_因子設定!$B$20="Box-Behnken",E5680^2+F5680^2+G5680^2+H5680^2&lt;=2+0.000000001,TRUE()))</f>
        <v>1</v>
      </c>
      <c r="AD5680" s="55" t="n">
        <f aca="false">IF(AC5680,IF(01_因子設定!$B$13="最大化",AA5680-01_因子設定!$B$14,IF(01_因子設定!$B$13="最小化",01_因子設定!$B$15-AB5680,MIN(AA5680-01_因子設定!$B$14,01_因子設定!$B$15-AB5680))),-1E+030)</f>
        <v>-0.795507110503181</v>
      </c>
      <c r="AE5680" s="55" t="n">
        <f aca="false">IF(AC5680,IF(01_因子設定!$B$13="最大化",X5680,IF(01_因子設定!$B$13="最小化",-X5680,-ABS(X5680-01_因子設定!$B$16))),-1E+030)</f>
        <v>47.2869837353801</v>
      </c>
      <c r="AF5680" s="55" t="n">
        <f aca="false">AD5680+ROW()*0.000000001</f>
        <v>-0.795501430503181</v>
      </c>
      <c r="AG5680" s="55" t="n">
        <f aca="false">AE5680+ROW()*0.000000001</f>
        <v>47.2869894153801</v>
      </c>
    </row>
    <row r="5681" customFormat="false" ht="15" hidden="false" customHeight="false" outlineLevel="0" collapsed="false">
      <c r="A5681" s="0" t="n">
        <v>7</v>
      </c>
      <c r="B5681" s="0" t="n">
        <v>7</v>
      </c>
      <c r="C5681" s="0" t="n">
        <v>0</v>
      </c>
      <c r="D5681" s="0" t="n">
        <v>6</v>
      </c>
      <c r="E5681" s="0" t="n">
        <f aca="false">-1+A5681*0.25</f>
        <v>0.75</v>
      </c>
      <c r="F5681" s="0" t="n">
        <f aca="false">-1+B5681*0.25</f>
        <v>0.75</v>
      </c>
      <c r="G5681" s="0" t="n">
        <f aca="false">-1+C5681*0.25</f>
        <v>-1</v>
      </c>
      <c r="H5681" s="0" t="n">
        <f aca="false">-1+D5681*0.25</f>
        <v>0.5</v>
      </c>
      <c r="I5681" s="0" t="n">
        <f aca="false">1</f>
        <v>1</v>
      </c>
      <c r="J5681" s="0" t="n">
        <f aca="false">E5681</f>
        <v>0.75</v>
      </c>
      <c r="K5681" s="0" t="n">
        <f aca="false">F5681</f>
        <v>0.75</v>
      </c>
      <c r="L5681" s="0" t="n">
        <f aca="false">G5681</f>
        <v>-1</v>
      </c>
      <c r="M5681" s="0" t="n">
        <f aca="false">H5681</f>
        <v>0.5</v>
      </c>
      <c r="N5681" s="0" t="n">
        <f aca="false">E5681*F5681</f>
        <v>0.5625</v>
      </c>
      <c r="O5681" s="0" t="n">
        <f aca="false">E5681*G5681</f>
        <v>-0.75</v>
      </c>
      <c r="P5681" s="0" t="n">
        <f aca="false">E5681*H5681</f>
        <v>0.375</v>
      </c>
      <c r="Q5681" s="0" t="n">
        <f aca="false">F5681*G5681</f>
        <v>-0.75</v>
      </c>
      <c r="R5681" s="0" t="n">
        <f aca="false">F5681*H5681</f>
        <v>0.375</v>
      </c>
      <c r="S5681" s="0" t="n">
        <f aca="false">G5681*H5681</f>
        <v>-0.5</v>
      </c>
      <c r="T5681" s="0" t="n">
        <f aca="false">E5681*E5681</f>
        <v>0.5625</v>
      </c>
      <c r="U5681" s="0" t="n">
        <f aca="false">F5681*F5681</f>
        <v>0.5625</v>
      </c>
      <c r="V5681" s="0" t="n">
        <f aca="false">G5681*G5681</f>
        <v>1</v>
      </c>
      <c r="W5681" s="0" t="n">
        <f aca="false">H5681*H5681</f>
        <v>0.25</v>
      </c>
      <c r="X5681" s="0" t="n">
        <f aca="false">SUMPRODUCT(I5681:W5681,_XtX!$B$96:$P$96)</f>
        <v>47.2283808479532</v>
      </c>
      <c r="Y5681" s="0" t="n">
        <f aca="false">SUMPRODUCT(MMULT(I5681:W5681,_XtX!$B$78:$P$92),I5681:W5681)</f>
        <v>0.431153771472953</v>
      </c>
      <c r="Z5681" s="0" t="n">
        <f aca="false">04_回帰ANOVA!$K$19*04_回帰ANOVA!$K$14*SQRT(1+Y5681)</f>
        <v>1.55934259562563</v>
      </c>
      <c r="AA5681" s="0" t="n">
        <f aca="false">X5681-Z5681</f>
        <v>45.6690382523276</v>
      </c>
      <c r="AB5681" s="0" t="n">
        <f aca="false">X5681+Z5681</f>
        <v>48.7877234435788</v>
      </c>
      <c r="AC5681" s="54" t="b">
        <f aca="false">AND(E5681&gt;=01_因子設定!$L$5-0.000000001,E5681&lt;=01_因子設定!$M$5+0.000000001,F5681&gt;=01_因子設定!$L$6-0.000000001,F5681&lt;=01_因子設定!$M$6+0.000000001,G5681&gt;=01_因子設定!$L$7-0.000000001,G5681&lt;=01_因子設定!$M$7+0.000000001,H5681&gt;=01_因子設定!$L$8-0.000000001,H5681&lt;=01_因子設定!$M$8+0.000000001,IF(01_因子設定!$B$20="Box-Behnken",E5681^2+F5681^2+G5681^2+H5681^2&lt;=2+0.000000001,TRUE()))</f>
        <v>1</v>
      </c>
      <c r="AD5681" s="55" t="n">
        <f aca="false">IF(AC5681,IF(01_因子設定!$B$13="最大化",AA5681-01_因子設定!$B$14,IF(01_因子設定!$B$13="最小化",01_因子設定!$B$15-AB5681,MIN(AA5681-01_因子設定!$B$14,01_因子設定!$B$15-AB5681))),-1E+030)</f>
        <v>-0.830961747672419</v>
      </c>
      <c r="AE5681" s="55" t="n">
        <f aca="false">IF(AC5681,IF(01_因子設定!$B$13="最大化",X5681,IF(01_因子設定!$B$13="最小化",-X5681,-ABS(X5681-01_因子設定!$B$16))),-1E+030)</f>
        <v>47.2283808479532</v>
      </c>
      <c r="AF5681" s="55" t="n">
        <f aca="false">AD5681+ROW()*0.000000001</f>
        <v>-0.830956066672419</v>
      </c>
      <c r="AG5681" s="55" t="n">
        <f aca="false">AE5681+ROW()*0.000000001</f>
        <v>47.2283865289532</v>
      </c>
    </row>
    <row r="5682" customFormat="false" ht="15" hidden="false" customHeight="false" outlineLevel="0" collapsed="false">
      <c r="A5682" s="0" t="n">
        <v>7</v>
      </c>
      <c r="B5682" s="0" t="n">
        <v>7</v>
      </c>
      <c r="C5682" s="0" t="n">
        <v>0</v>
      </c>
      <c r="D5682" s="0" t="n">
        <v>7</v>
      </c>
      <c r="E5682" s="0" t="n">
        <f aca="false">-1+A5682*0.25</f>
        <v>0.75</v>
      </c>
      <c r="F5682" s="0" t="n">
        <f aca="false">-1+B5682*0.25</f>
        <v>0.75</v>
      </c>
      <c r="G5682" s="0" t="n">
        <f aca="false">-1+C5682*0.25</f>
        <v>-1</v>
      </c>
      <c r="H5682" s="0" t="n">
        <f aca="false">-1+D5682*0.25</f>
        <v>0.75</v>
      </c>
      <c r="I5682" s="0" t="n">
        <f aca="false">1</f>
        <v>1</v>
      </c>
      <c r="J5682" s="0" t="n">
        <f aca="false">E5682</f>
        <v>0.75</v>
      </c>
      <c r="K5682" s="0" t="n">
        <f aca="false">F5682</f>
        <v>0.75</v>
      </c>
      <c r="L5682" s="0" t="n">
        <f aca="false">G5682</f>
        <v>-1</v>
      </c>
      <c r="M5682" s="0" t="n">
        <f aca="false">H5682</f>
        <v>0.75</v>
      </c>
      <c r="N5682" s="0" t="n">
        <f aca="false">E5682*F5682</f>
        <v>0.5625</v>
      </c>
      <c r="O5682" s="0" t="n">
        <f aca="false">E5682*G5682</f>
        <v>-0.75</v>
      </c>
      <c r="P5682" s="0" t="n">
        <f aca="false">E5682*H5682</f>
        <v>0.5625</v>
      </c>
      <c r="Q5682" s="0" t="n">
        <f aca="false">F5682*G5682</f>
        <v>-0.75</v>
      </c>
      <c r="R5682" s="0" t="n">
        <f aca="false">F5682*H5682</f>
        <v>0.5625</v>
      </c>
      <c r="S5682" s="0" t="n">
        <f aca="false">G5682*H5682</f>
        <v>-0.75</v>
      </c>
      <c r="T5682" s="0" t="n">
        <f aca="false">E5682*E5682</f>
        <v>0.5625</v>
      </c>
      <c r="U5682" s="0" t="n">
        <f aca="false">F5682*F5682</f>
        <v>0.5625</v>
      </c>
      <c r="V5682" s="0" t="n">
        <f aca="false">G5682*G5682</f>
        <v>1</v>
      </c>
      <c r="W5682" s="0" t="n">
        <f aca="false">H5682*H5682</f>
        <v>0.5625</v>
      </c>
      <c r="X5682" s="0" t="n">
        <f aca="false">SUMPRODUCT(I5682:W5682,_XtX!$B$96:$P$96)</f>
        <v>47.1219709429825</v>
      </c>
      <c r="Y5682" s="0" t="n">
        <f aca="false">SUMPRODUCT(MMULT(I5682:W5682,_XtX!$B$78:$P$92),I5682:W5682)</f>
        <v>0.420117473044591</v>
      </c>
      <c r="Z5682" s="0" t="n">
        <f aca="false">04_回帰ANOVA!$K$19*04_回帰ANOVA!$K$14*SQRT(1+Y5682)</f>
        <v>1.55331854827765</v>
      </c>
      <c r="AA5682" s="0" t="n">
        <f aca="false">X5682-Z5682</f>
        <v>45.5686523947048</v>
      </c>
      <c r="AB5682" s="0" t="n">
        <f aca="false">X5682+Z5682</f>
        <v>48.6752894912601</v>
      </c>
      <c r="AC5682" s="54" t="b">
        <f aca="false">AND(E5682&gt;=01_因子設定!$L$5-0.000000001,E5682&lt;=01_因子設定!$M$5+0.000000001,F5682&gt;=01_因子設定!$L$6-0.000000001,F5682&lt;=01_因子設定!$M$6+0.000000001,G5682&gt;=01_因子設定!$L$7-0.000000001,G5682&lt;=01_因子設定!$M$7+0.000000001,H5682&gt;=01_因子設定!$L$8-0.000000001,H5682&lt;=01_因子設定!$M$8+0.000000001,IF(01_因子設定!$B$20="Box-Behnken",E5682^2+F5682^2+G5682^2+H5682^2&lt;=2+0.000000001,TRUE()))</f>
        <v>1</v>
      </c>
      <c r="AD5682" s="55" t="n">
        <f aca="false">IF(AC5682,IF(01_因子設定!$B$13="最大化",AA5682-01_因子設定!$B$14,IF(01_因子設定!$B$13="最小化",01_因子設定!$B$15-AB5682,MIN(AA5682-01_因子設定!$B$14,01_因子設定!$B$15-AB5682))),-1E+030)</f>
        <v>-0.93134760529518</v>
      </c>
      <c r="AE5682" s="55" t="n">
        <f aca="false">IF(AC5682,IF(01_因子設定!$B$13="最大化",X5682,IF(01_因子設定!$B$13="最小化",-X5682,-ABS(X5682-01_因子設定!$B$16))),-1E+030)</f>
        <v>47.1219709429825</v>
      </c>
      <c r="AF5682" s="55" t="n">
        <f aca="false">AD5682+ROW()*0.000000001</f>
        <v>-0.93134192329518</v>
      </c>
      <c r="AG5682" s="55" t="n">
        <f aca="false">AE5682+ROW()*0.000000001</f>
        <v>47.1219766249825</v>
      </c>
    </row>
    <row r="5683" customFormat="false" ht="15" hidden="false" customHeight="false" outlineLevel="0" collapsed="false">
      <c r="A5683" s="0" t="n">
        <v>7</v>
      </c>
      <c r="B5683" s="0" t="n">
        <v>7</v>
      </c>
      <c r="C5683" s="0" t="n">
        <v>0</v>
      </c>
      <c r="D5683" s="0" t="n">
        <v>8</v>
      </c>
      <c r="E5683" s="0" t="n">
        <f aca="false">-1+A5683*0.25</f>
        <v>0.75</v>
      </c>
      <c r="F5683" s="0" t="n">
        <f aca="false">-1+B5683*0.25</f>
        <v>0.75</v>
      </c>
      <c r="G5683" s="0" t="n">
        <f aca="false">-1+C5683*0.25</f>
        <v>-1</v>
      </c>
      <c r="H5683" s="0" t="n">
        <f aca="false">-1+D5683*0.25</f>
        <v>1</v>
      </c>
      <c r="I5683" s="0" t="n">
        <f aca="false">1</f>
        <v>1</v>
      </c>
      <c r="J5683" s="0" t="n">
        <f aca="false">E5683</f>
        <v>0.75</v>
      </c>
      <c r="K5683" s="0" t="n">
        <f aca="false">F5683</f>
        <v>0.75</v>
      </c>
      <c r="L5683" s="0" t="n">
        <f aca="false">G5683</f>
        <v>-1</v>
      </c>
      <c r="M5683" s="0" t="n">
        <f aca="false">H5683</f>
        <v>1</v>
      </c>
      <c r="N5683" s="0" t="n">
        <f aca="false">E5683*F5683</f>
        <v>0.5625</v>
      </c>
      <c r="O5683" s="0" t="n">
        <f aca="false">E5683*G5683</f>
        <v>-0.75</v>
      </c>
      <c r="P5683" s="0" t="n">
        <f aca="false">E5683*H5683</f>
        <v>0.75</v>
      </c>
      <c r="Q5683" s="0" t="n">
        <f aca="false">F5683*G5683</f>
        <v>-0.75</v>
      </c>
      <c r="R5683" s="0" t="n">
        <f aca="false">F5683*H5683</f>
        <v>0.75</v>
      </c>
      <c r="S5683" s="0" t="n">
        <f aca="false">G5683*H5683</f>
        <v>-1</v>
      </c>
      <c r="T5683" s="0" t="n">
        <f aca="false">E5683*E5683</f>
        <v>0.5625</v>
      </c>
      <c r="U5683" s="0" t="n">
        <f aca="false">F5683*F5683</f>
        <v>0.5625</v>
      </c>
      <c r="V5683" s="0" t="n">
        <f aca="false">G5683*G5683</f>
        <v>1</v>
      </c>
      <c r="W5683" s="0" t="n">
        <f aca="false">H5683*H5683</f>
        <v>1</v>
      </c>
      <c r="X5683" s="0" t="n">
        <f aca="false">SUMPRODUCT(I5683:W5683,_XtX!$B$96:$P$96)</f>
        <v>46.9677540204679</v>
      </c>
      <c r="Y5683" s="0" t="n">
        <f aca="false">SUMPRODUCT(MMULT(I5683:W5683,_XtX!$B$78:$P$92),I5683:W5683)</f>
        <v>0.531311392086988</v>
      </c>
      <c r="Z5683" s="0" t="n">
        <f aca="false">04_回帰ANOVA!$K$19*04_回帰ANOVA!$K$14*SQRT(1+Y5683)</f>
        <v>1.61298433431428</v>
      </c>
      <c r="AA5683" s="0" t="n">
        <f aca="false">X5683-Z5683</f>
        <v>45.3547696861536</v>
      </c>
      <c r="AB5683" s="0" t="n">
        <f aca="false">X5683+Z5683</f>
        <v>48.5807383547822</v>
      </c>
      <c r="AC5683" s="54" t="b">
        <f aca="false">AND(E5683&gt;=01_因子設定!$L$5-0.000000001,E5683&lt;=01_因子設定!$M$5+0.000000001,F5683&gt;=01_因子設定!$L$6-0.000000001,F5683&lt;=01_因子設定!$M$6+0.000000001,G5683&gt;=01_因子設定!$L$7-0.000000001,G5683&lt;=01_因子設定!$M$7+0.000000001,H5683&gt;=01_因子設定!$L$8-0.000000001,H5683&lt;=01_因子設定!$M$8+0.000000001,IF(01_因子設定!$B$20="Box-Behnken",E5683^2+F5683^2+G5683^2+H5683^2&lt;=2+0.000000001,TRUE()))</f>
        <v>1</v>
      </c>
      <c r="AD5683" s="55" t="n">
        <f aca="false">IF(AC5683,IF(01_因子設定!$B$13="最大化",AA5683-01_因子設定!$B$14,IF(01_因子設定!$B$13="最小化",01_因子設定!$B$15-AB5683,MIN(AA5683-01_因子設定!$B$14,01_因子設定!$B$15-AB5683))),-1E+030)</f>
        <v>-1.14523031384642</v>
      </c>
      <c r="AE5683" s="55" t="n">
        <f aca="false">IF(AC5683,IF(01_因子設定!$B$13="最大化",X5683,IF(01_因子設定!$B$13="最小化",-X5683,-ABS(X5683-01_因子設定!$B$16))),-1E+030)</f>
        <v>46.9677540204679</v>
      </c>
      <c r="AF5683" s="55" t="n">
        <f aca="false">AD5683+ROW()*0.000000001</f>
        <v>-1.14522463084642</v>
      </c>
      <c r="AG5683" s="55" t="n">
        <f aca="false">AE5683+ROW()*0.000000001</f>
        <v>46.9677597034679</v>
      </c>
    </row>
    <row r="5684" customFormat="false" ht="15" hidden="false" customHeight="false" outlineLevel="0" collapsed="false">
      <c r="A5684" s="0" t="n">
        <v>7</v>
      </c>
      <c r="B5684" s="0" t="n">
        <v>7</v>
      </c>
      <c r="C5684" s="0" t="n">
        <v>1</v>
      </c>
      <c r="D5684" s="0" t="n">
        <v>0</v>
      </c>
      <c r="E5684" s="0" t="n">
        <f aca="false">-1+A5684*0.25</f>
        <v>0.75</v>
      </c>
      <c r="F5684" s="0" t="n">
        <f aca="false">-1+B5684*0.25</f>
        <v>0.75</v>
      </c>
      <c r="G5684" s="0" t="n">
        <f aca="false">-1+C5684*0.25</f>
        <v>-0.75</v>
      </c>
      <c r="H5684" s="0" t="n">
        <f aca="false">-1+D5684*0.25</f>
        <v>-1</v>
      </c>
      <c r="I5684" s="0" t="n">
        <f aca="false">1</f>
        <v>1</v>
      </c>
      <c r="J5684" s="0" t="n">
        <f aca="false">E5684</f>
        <v>0.75</v>
      </c>
      <c r="K5684" s="0" t="n">
        <f aca="false">F5684</f>
        <v>0.75</v>
      </c>
      <c r="L5684" s="0" t="n">
        <f aca="false">G5684</f>
        <v>-0.75</v>
      </c>
      <c r="M5684" s="0" t="n">
        <f aca="false">H5684</f>
        <v>-1</v>
      </c>
      <c r="N5684" s="0" t="n">
        <f aca="false">E5684*F5684</f>
        <v>0.5625</v>
      </c>
      <c r="O5684" s="0" t="n">
        <f aca="false">E5684*G5684</f>
        <v>-0.5625</v>
      </c>
      <c r="P5684" s="0" t="n">
        <f aca="false">E5684*H5684</f>
        <v>-0.75</v>
      </c>
      <c r="Q5684" s="0" t="n">
        <f aca="false">F5684*G5684</f>
        <v>-0.5625</v>
      </c>
      <c r="R5684" s="0" t="n">
        <f aca="false">F5684*H5684</f>
        <v>-0.75</v>
      </c>
      <c r="S5684" s="0" t="n">
        <f aca="false">G5684*H5684</f>
        <v>0.75</v>
      </c>
      <c r="T5684" s="0" t="n">
        <f aca="false">E5684*E5684</f>
        <v>0.5625</v>
      </c>
      <c r="U5684" s="0" t="n">
        <f aca="false">F5684*F5684</f>
        <v>0.5625</v>
      </c>
      <c r="V5684" s="0" t="n">
        <f aca="false">G5684*G5684</f>
        <v>0.5625</v>
      </c>
      <c r="W5684" s="0" t="n">
        <f aca="false">H5684*H5684</f>
        <v>1</v>
      </c>
      <c r="X5684" s="0" t="n">
        <f aca="false">SUMPRODUCT(I5684:W5684,_XtX!$B$96:$P$96)</f>
        <v>47.2721445540936</v>
      </c>
      <c r="Y5684" s="0" t="n">
        <f aca="false">SUMPRODUCT(MMULT(I5684:W5684,_XtX!$B$78:$P$92),I5684:W5684)</f>
        <v>0.420117473044591</v>
      </c>
      <c r="Z5684" s="0" t="n">
        <f aca="false">04_回帰ANOVA!$K$19*04_回帰ANOVA!$K$14*SQRT(1+Y5684)</f>
        <v>1.55331854827765</v>
      </c>
      <c r="AA5684" s="0" t="n">
        <f aca="false">X5684-Z5684</f>
        <v>45.718826005816</v>
      </c>
      <c r="AB5684" s="0" t="n">
        <f aca="false">X5684+Z5684</f>
        <v>48.8254631023712</v>
      </c>
      <c r="AC5684" s="54" t="b">
        <f aca="false">AND(E5684&gt;=01_因子設定!$L$5-0.000000001,E5684&lt;=01_因子設定!$M$5+0.000000001,F5684&gt;=01_因子設定!$L$6-0.000000001,F5684&lt;=01_因子設定!$M$6+0.000000001,G5684&gt;=01_因子設定!$L$7-0.000000001,G5684&lt;=01_因子設定!$M$7+0.000000001,H5684&gt;=01_因子設定!$L$8-0.000000001,H5684&lt;=01_因子設定!$M$8+0.000000001,IF(01_因子設定!$B$20="Box-Behnken",E5684^2+F5684^2+G5684^2+H5684^2&lt;=2+0.000000001,TRUE()))</f>
        <v>1</v>
      </c>
      <c r="AD5684" s="55" t="n">
        <f aca="false">IF(AC5684,IF(01_因子設定!$B$13="最大化",AA5684-01_因子設定!$B$14,IF(01_因子設定!$B$13="最小化",01_因子設定!$B$15-AB5684,MIN(AA5684-01_因子設定!$B$14,01_因子設定!$B$15-AB5684))),-1E+030)</f>
        <v>-0.781173994184051</v>
      </c>
      <c r="AE5684" s="55" t="n">
        <f aca="false">IF(AC5684,IF(01_因子設定!$B$13="最大化",X5684,IF(01_因子設定!$B$13="最小化",-X5684,-ABS(X5684-01_因子設定!$B$16))),-1E+030)</f>
        <v>47.2721445540936</v>
      </c>
      <c r="AF5684" s="55" t="n">
        <f aca="false">AD5684+ROW()*0.000000001</f>
        <v>-0.781168310184051</v>
      </c>
      <c r="AG5684" s="55" t="n">
        <f aca="false">AE5684+ROW()*0.000000001</f>
        <v>47.2721502380936</v>
      </c>
    </row>
    <row r="5685" customFormat="false" ht="15" hidden="false" customHeight="false" outlineLevel="0" collapsed="false">
      <c r="A5685" s="0" t="n">
        <v>7</v>
      </c>
      <c r="B5685" s="0" t="n">
        <v>7</v>
      </c>
      <c r="C5685" s="0" t="n">
        <v>1</v>
      </c>
      <c r="D5685" s="0" t="n">
        <v>1</v>
      </c>
      <c r="E5685" s="0" t="n">
        <f aca="false">-1+A5685*0.25</f>
        <v>0.75</v>
      </c>
      <c r="F5685" s="0" t="n">
        <f aca="false">-1+B5685*0.25</f>
        <v>0.75</v>
      </c>
      <c r="G5685" s="0" t="n">
        <f aca="false">-1+C5685*0.25</f>
        <v>-0.75</v>
      </c>
      <c r="H5685" s="0" t="n">
        <f aca="false">-1+D5685*0.25</f>
        <v>-0.75</v>
      </c>
      <c r="I5685" s="0" t="n">
        <f aca="false">1</f>
        <v>1</v>
      </c>
      <c r="J5685" s="0" t="n">
        <f aca="false">E5685</f>
        <v>0.75</v>
      </c>
      <c r="K5685" s="0" t="n">
        <f aca="false">F5685</f>
        <v>0.75</v>
      </c>
      <c r="L5685" s="0" t="n">
        <f aca="false">G5685</f>
        <v>-0.75</v>
      </c>
      <c r="M5685" s="0" t="n">
        <f aca="false">H5685</f>
        <v>-0.75</v>
      </c>
      <c r="N5685" s="0" t="n">
        <f aca="false">E5685*F5685</f>
        <v>0.5625</v>
      </c>
      <c r="O5685" s="0" t="n">
        <f aca="false">E5685*G5685</f>
        <v>-0.5625</v>
      </c>
      <c r="P5685" s="0" t="n">
        <f aca="false">E5685*H5685</f>
        <v>-0.5625</v>
      </c>
      <c r="Q5685" s="0" t="n">
        <f aca="false">F5685*G5685</f>
        <v>-0.5625</v>
      </c>
      <c r="R5685" s="0" t="n">
        <f aca="false">F5685*H5685</f>
        <v>-0.5625</v>
      </c>
      <c r="S5685" s="0" t="n">
        <f aca="false">G5685*H5685</f>
        <v>0.5625</v>
      </c>
      <c r="T5685" s="0" t="n">
        <f aca="false">E5685*E5685</f>
        <v>0.5625</v>
      </c>
      <c r="U5685" s="0" t="n">
        <f aca="false">F5685*F5685</f>
        <v>0.5625</v>
      </c>
      <c r="V5685" s="0" t="n">
        <f aca="false">G5685*G5685</f>
        <v>0.5625</v>
      </c>
      <c r="W5685" s="0" t="n">
        <f aca="false">H5685*H5685</f>
        <v>0.5625</v>
      </c>
      <c r="X5685" s="0" t="n">
        <f aca="false">SUMPRODUCT(I5685:W5685,_XtX!$B$96:$P$96)</f>
        <v>47.470545504386</v>
      </c>
      <c r="Y5685" s="0" t="n">
        <f aca="false">SUMPRODUCT(MMULT(I5685:W5685,_XtX!$B$78:$P$92),I5685:W5685)</f>
        <v>0.277232387609649</v>
      </c>
      <c r="Z5685" s="0" t="n">
        <f aca="false">04_回帰ANOVA!$K$19*04_回帰ANOVA!$K$14*SQRT(1+Y5685)</f>
        <v>1.47310381441991</v>
      </c>
      <c r="AA5685" s="0" t="n">
        <f aca="false">X5685-Z5685</f>
        <v>45.9974416899661</v>
      </c>
      <c r="AB5685" s="0" t="n">
        <f aca="false">X5685+Z5685</f>
        <v>48.9436493188059</v>
      </c>
      <c r="AC5685" s="54" t="b">
        <f aca="false">AND(E5685&gt;=01_因子設定!$L$5-0.000000001,E5685&lt;=01_因子設定!$M$5+0.000000001,F5685&gt;=01_因子設定!$L$6-0.000000001,F5685&lt;=01_因子設定!$M$6+0.000000001,G5685&gt;=01_因子設定!$L$7-0.000000001,G5685&lt;=01_因子設定!$M$7+0.000000001,H5685&gt;=01_因子設定!$L$8-0.000000001,H5685&lt;=01_因子設定!$M$8+0.000000001,IF(01_因子設定!$B$20="Box-Behnken",E5685^2+F5685^2+G5685^2+H5685^2&lt;=2+0.000000001,TRUE()))</f>
        <v>1</v>
      </c>
      <c r="AD5685" s="55" t="n">
        <f aca="false">IF(AC5685,IF(01_因子設定!$B$13="最大化",AA5685-01_因子設定!$B$14,IF(01_因子設定!$B$13="最小化",01_因子設定!$B$15-AB5685,MIN(AA5685-01_因子設定!$B$14,01_因子設定!$B$15-AB5685))),-1E+030)</f>
        <v>-0.502558310033933</v>
      </c>
      <c r="AE5685" s="55" t="n">
        <f aca="false">IF(AC5685,IF(01_因子設定!$B$13="最大化",X5685,IF(01_因子設定!$B$13="最小化",-X5685,-ABS(X5685-01_因子設定!$B$16))),-1E+030)</f>
        <v>47.470545504386</v>
      </c>
      <c r="AF5685" s="55" t="n">
        <f aca="false">AD5685+ROW()*0.000000001</f>
        <v>-0.502552625033933</v>
      </c>
      <c r="AG5685" s="55" t="n">
        <f aca="false">AE5685+ROW()*0.000000001</f>
        <v>47.470551189386</v>
      </c>
    </row>
    <row r="5686" customFormat="false" ht="15" hidden="false" customHeight="false" outlineLevel="0" collapsed="false">
      <c r="A5686" s="0" t="n">
        <v>7</v>
      </c>
      <c r="B5686" s="0" t="n">
        <v>7</v>
      </c>
      <c r="C5686" s="0" t="n">
        <v>1</v>
      </c>
      <c r="D5686" s="0" t="n">
        <v>2</v>
      </c>
      <c r="E5686" s="0" t="n">
        <f aca="false">-1+A5686*0.25</f>
        <v>0.75</v>
      </c>
      <c r="F5686" s="0" t="n">
        <f aca="false">-1+B5686*0.25</f>
        <v>0.75</v>
      </c>
      <c r="G5686" s="0" t="n">
        <f aca="false">-1+C5686*0.25</f>
        <v>-0.75</v>
      </c>
      <c r="H5686" s="0" t="n">
        <f aca="false">-1+D5686*0.25</f>
        <v>-0.5</v>
      </c>
      <c r="I5686" s="0" t="n">
        <f aca="false">1</f>
        <v>1</v>
      </c>
      <c r="J5686" s="0" t="n">
        <f aca="false">E5686</f>
        <v>0.75</v>
      </c>
      <c r="K5686" s="0" t="n">
        <f aca="false">F5686</f>
        <v>0.75</v>
      </c>
      <c r="L5686" s="0" t="n">
        <f aca="false">G5686</f>
        <v>-0.75</v>
      </c>
      <c r="M5686" s="0" t="n">
        <f aca="false">H5686</f>
        <v>-0.5</v>
      </c>
      <c r="N5686" s="0" t="n">
        <f aca="false">E5686*F5686</f>
        <v>0.5625</v>
      </c>
      <c r="O5686" s="0" t="n">
        <f aca="false">E5686*G5686</f>
        <v>-0.5625</v>
      </c>
      <c r="P5686" s="0" t="n">
        <f aca="false">E5686*H5686</f>
        <v>-0.375</v>
      </c>
      <c r="Q5686" s="0" t="n">
        <f aca="false">F5686*G5686</f>
        <v>-0.5625</v>
      </c>
      <c r="R5686" s="0" t="n">
        <f aca="false">F5686*H5686</f>
        <v>-0.375</v>
      </c>
      <c r="S5686" s="0" t="n">
        <f aca="false">G5686*H5686</f>
        <v>0.375</v>
      </c>
      <c r="T5686" s="0" t="n">
        <f aca="false">E5686*E5686</f>
        <v>0.5625</v>
      </c>
      <c r="U5686" s="0" t="n">
        <f aca="false">F5686*F5686</f>
        <v>0.5625</v>
      </c>
      <c r="V5686" s="0" t="n">
        <f aca="false">G5686*G5686</f>
        <v>0.5625</v>
      </c>
      <c r="W5686" s="0" t="n">
        <f aca="false">H5686*H5686</f>
        <v>0.25</v>
      </c>
      <c r="X5686" s="0" t="n">
        <f aca="false">SUMPRODUCT(I5686:W5686,_XtX!$B$96:$P$96)</f>
        <v>47.6211394371345</v>
      </c>
      <c r="Y5686" s="0" t="n">
        <f aca="false">SUMPRODUCT(MMULT(I5686:W5686,_XtX!$B$78:$P$92),I5686:W5686)</f>
        <v>0.265632138614766</v>
      </c>
      <c r="Z5686" s="0" t="n">
        <f aca="false">04_回帰ANOVA!$K$19*04_回帰ANOVA!$K$14*SQRT(1+Y5686)</f>
        <v>1.46639894654257</v>
      </c>
      <c r="AA5686" s="0" t="n">
        <f aca="false">X5686-Z5686</f>
        <v>46.1547404905919</v>
      </c>
      <c r="AB5686" s="0" t="n">
        <f aca="false">X5686+Z5686</f>
        <v>49.0875383836771</v>
      </c>
      <c r="AC5686" s="54" t="b">
        <f aca="false">AND(E5686&gt;=01_因子設定!$L$5-0.000000001,E5686&lt;=01_因子設定!$M$5+0.000000001,F5686&gt;=01_因子設定!$L$6-0.000000001,F5686&lt;=01_因子設定!$M$6+0.000000001,G5686&gt;=01_因子設定!$L$7-0.000000001,G5686&lt;=01_因子設定!$M$7+0.000000001,H5686&gt;=01_因子設定!$L$8-0.000000001,H5686&lt;=01_因子設定!$M$8+0.000000001,IF(01_因子設定!$B$20="Box-Behnken",E5686^2+F5686^2+G5686^2+H5686^2&lt;=2+0.000000001,TRUE()))</f>
        <v>1</v>
      </c>
      <c r="AD5686" s="55" t="n">
        <f aca="false">IF(AC5686,IF(01_因子設定!$B$13="最大化",AA5686-01_因子設定!$B$14,IF(01_因子設定!$B$13="最小化",01_因子設定!$B$15-AB5686,MIN(AA5686-01_因子設定!$B$14,01_因子設定!$B$15-AB5686))),-1E+030)</f>
        <v>-0.345259509408074</v>
      </c>
      <c r="AE5686" s="55" t="n">
        <f aca="false">IF(AC5686,IF(01_因子設定!$B$13="最大化",X5686,IF(01_因子設定!$B$13="最小化",-X5686,-ABS(X5686-01_因子設定!$B$16))),-1E+030)</f>
        <v>47.6211394371345</v>
      </c>
      <c r="AF5686" s="55" t="n">
        <f aca="false">AD5686+ROW()*0.000000001</f>
        <v>-0.345253823408074</v>
      </c>
      <c r="AG5686" s="55" t="n">
        <f aca="false">AE5686+ROW()*0.000000001</f>
        <v>47.6211451231345</v>
      </c>
    </row>
    <row r="5687" customFormat="false" ht="15" hidden="false" customHeight="false" outlineLevel="0" collapsed="false">
      <c r="A5687" s="0" t="n">
        <v>7</v>
      </c>
      <c r="B5687" s="0" t="n">
        <v>7</v>
      </c>
      <c r="C5687" s="0" t="n">
        <v>1</v>
      </c>
      <c r="D5687" s="0" t="n">
        <v>3</v>
      </c>
      <c r="E5687" s="0" t="n">
        <f aca="false">-1+A5687*0.25</f>
        <v>0.75</v>
      </c>
      <c r="F5687" s="0" t="n">
        <f aca="false">-1+B5687*0.25</f>
        <v>0.75</v>
      </c>
      <c r="G5687" s="0" t="n">
        <f aca="false">-1+C5687*0.25</f>
        <v>-0.75</v>
      </c>
      <c r="H5687" s="0" t="n">
        <f aca="false">-1+D5687*0.25</f>
        <v>-0.25</v>
      </c>
      <c r="I5687" s="0" t="n">
        <f aca="false">1</f>
        <v>1</v>
      </c>
      <c r="J5687" s="0" t="n">
        <f aca="false">E5687</f>
        <v>0.75</v>
      </c>
      <c r="K5687" s="0" t="n">
        <f aca="false">F5687</f>
        <v>0.75</v>
      </c>
      <c r="L5687" s="0" t="n">
        <f aca="false">G5687</f>
        <v>-0.75</v>
      </c>
      <c r="M5687" s="0" t="n">
        <f aca="false">H5687</f>
        <v>-0.25</v>
      </c>
      <c r="N5687" s="0" t="n">
        <f aca="false">E5687*F5687</f>
        <v>0.5625</v>
      </c>
      <c r="O5687" s="0" t="n">
        <f aca="false">E5687*G5687</f>
        <v>-0.5625</v>
      </c>
      <c r="P5687" s="0" t="n">
        <f aca="false">E5687*H5687</f>
        <v>-0.1875</v>
      </c>
      <c r="Q5687" s="0" t="n">
        <f aca="false">F5687*G5687</f>
        <v>-0.5625</v>
      </c>
      <c r="R5687" s="0" t="n">
        <f aca="false">F5687*H5687</f>
        <v>-0.1875</v>
      </c>
      <c r="S5687" s="0" t="n">
        <f aca="false">G5687*H5687</f>
        <v>0.1875</v>
      </c>
      <c r="T5687" s="0" t="n">
        <f aca="false">E5687*E5687</f>
        <v>0.5625</v>
      </c>
      <c r="U5687" s="0" t="n">
        <f aca="false">F5687*F5687</f>
        <v>0.5625</v>
      </c>
      <c r="V5687" s="0" t="n">
        <f aca="false">G5687*G5687</f>
        <v>0.5625</v>
      </c>
      <c r="W5687" s="0" t="n">
        <f aca="false">H5687*H5687</f>
        <v>0.0625</v>
      </c>
      <c r="X5687" s="0" t="n">
        <f aca="false">SUMPRODUCT(I5687:W5687,_XtX!$B$96:$P$96)</f>
        <v>47.7239263523392</v>
      </c>
      <c r="Y5687" s="0" t="n">
        <f aca="false">SUMPRODUCT(MMULT(I5687:W5687,_XtX!$B$78:$P$92),I5687:W5687)</f>
        <v>0.294856199744152</v>
      </c>
      <c r="Z5687" s="0" t="n">
        <f aca="false">04_回帰ANOVA!$K$19*04_回帰ANOVA!$K$14*SQRT(1+Y5687)</f>
        <v>1.48323226089013</v>
      </c>
      <c r="AA5687" s="0" t="n">
        <f aca="false">X5687-Z5687</f>
        <v>46.240694091449</v>
      </c>
      <c r="AB5687" s="0" t="n">
        <f aca="false">X5687+Z5687</f>
        <v>49.2071586132293</v>
      </c>
      <c r="AC5687" s="54" t="b">
        <f aca="false">AND(E5687&gt;=01_因子設定!$L$5-0.000000001,E5687&lt;=01_因子設定!$M$5+0.000000001,F5687&gt;=01_因子設定!$L$6-0.000000001,F5687&lt;=01_因子設定!$M$6+0.000000001,G5687&gt;=01_因子設定!$L$7-0.000000001,G5687&lt;=01_因子設定!$M$7+0.000000001,H5687&gt;=01_因子設定!$L$8-0.000000001,H5687&lt;=01_因子設定!$M$8+0.000000001,IF(01_因子設定!$B$20="Box-Behnken",E5687^2+F5687^2+G5687^2+H5687^2&lt;=2+0.000000001,TRUE()))</f>
        <v>1</v>
      </c>
      <c r="AD5687" s="55" t="n">
        <f aca="false">IF(AC5687,IF(01_因子設定!$B$13="最大化",AA5687-01_因子設定!$B$14,IF(01_因子設定!$B$13="最小化",01_因子設定!$B$15-AB5687,MIN(AA5687-01_因子設定!$B$14,01_因子設定!$B$15-AB5687))),-1E+030)</f>
        <v>-0.259305908550964</v>
      </c>
      <c r="AE5687" s="55" t="n">
        <f aca="false">IF(AC5687,IF(01_因子設定!$B$13="最大化",X5687,IF(01_因子設定!$B$13="最小化",-X5687,-ABS(X5687-01_因子設定!$B$16))),-1E+030)</f>
        <v>47.7239263523392</v>
      </c>
      <c r="AF5687" s="55" t="n">
        <f aca="false">AD5687+ROW()*0.000000001</f>
        <v>-0.259300221550964</v>
      </c>
      <c r="AG5687" s="55" t="n">
        <f aca="false">AE5687+ROW()*0.000000001</f>
        <v>47.7239320393392</v>
      </c>
    </row>
    <row r="5688" customFormat="false" ht="15" hidden="false" customHeight="false" outlineLevel="0" collapsed="false">
      <c r="A5688" s="0" t="n">
        <v>7</v>
      </c>
      <c r="B5688" s="0" t="n">
        <v>7</v>
      </c>
      <c r="C5688" s="0" t="n">
        <v>1</v>
      </c>
      <c r="D5688" s="0" t="n">
        <v>4</v>
      </c>
      <c r="E5688" s="0" t="n">
        <f aca="false">-1+A5688*0.25</f>
        <v>0.75</v>
      </c>
      <c r="F5688" s="0" t="n">
        <f aca="false">-1+B5688*0.25</f>
        <v>0.75</v>
      </c>
      <c r="G5688" s="0" t="n">
        <f aca="false">-1+C5688*0.25</f>
        <v>-0.75</v>
      </c>
      <c r="H5688" s="0" t="n">
        <f aca="false">-1+D5688*0.25</f>
        <v>0</v>
      </c>
      <c r="I5688" s="0" t="n">
        <f aca="false">1</f>
        <v>1</v>
      </c>
      <c r="J5688" s="0" t="n">
        <f aca="false">E5688</f>
        <v>0.75</v>
      </c>
      <c r="K5688" s="0" t="n">
        <f aca="false">F5688</f>
        <v>0.75</v>
      </c>
      <c r="L5688" s="0" t="n">
        <f aca="false">G5688</f>
        <v>-0.75</v>
      </c>
      <c r="M5688" s="0" t="n">
        <f aca="false">H5688</f>
        <v>0</v>
      </c>
      <c r="N5688" s="0" t="n">
        <f aca="false">E5688*F5688</f>
        <v>0.5625</v>
      </c>
      <c r="O5688" s="0" t="n">
        <f aca="false">E5688*G5688</f>
        <v>-0.5625</v>
      </c>
      <c r="P5688" s="0" t="n">
        <f aca="false">E5688*H5688</f>
        <v>0</v>
      </c>
      <c r="Q5688" s="0" t="n">
        <f aca="false">F5688*G5688</f>
        <v>-0.5625</v>
      </c>
      <c r="R5688" s="0" t="n">
        <f aca="false">F5688*H5688</f>
        <v>0</v>
      </c>
      <c r="S5688" s="0" t="n">
        <f aca="false">G5688*H5688</f>
        <v>-0</v>
      </c>
      <c r="T5688" s="0" t="n">
        <f aca="false">E5688*E5688</f>
        <v>0.5625</v>
      </c>
      <c r="U5688" s="0" t="n">
        <f aca="false">F5688*F5688</f>
        <v>0.5625</v>
      </c>
      <c r="V5688" s="0" t="n">
        <f aca="false">G5688*G5688</f>
        <v>0.5625</v>
      </c>
      <c r="W5688" s="0" t="n">
        <f aca="false">H5688*H5688</f>
        <v>0</v>
      </c>
      <c r="X5688" s="0" t="n">
        <f aca="false">SUMPRODUCT(I5688:W5688,_XtX!$B$96:$P$96)</f>
        <v>47.77890625</v>
      </c>
      <c r="Y5688" s="0" t="n">
        <f aca="false">SUMPRODUCT(MMULT(I5688:W5688,_XtX!$B$78:$P$92),I5688:W5688)</f>
        <v>0.310628255208333</v>
      </c>
      <c r="Z5688" s="0" t="n">
        <f aca="false">04_回帰ANOVA!$K$19*04_回帰ANOVA!$K$14*SQRT(1+Y5688)</f>
        <v>1.49223820892344</v>
      </c>
      <c r="AA5688" s="0" t="n">
        <f aca="false">X5688-Z5688</f>
        <v>46.2866680410765</v>
      </c>
      <c r="AB5688" s="0" t="n">
        <f aca="false">X5688+Z5688</f>
        <v>49.2711444589234</v>
      </c>
      <c r="AC5688" s="54" t="b">
        <f aca="false">AND(E5688&gt;=01_因子設定!$L$5-0.000000001,E5688&lt;=01_因子設定!$M$5+0.000000001,F5688&gt;=01_因子設定!$L$6-0.000000001,F5688&lt;=01_因子設定!$M$6+0.000000001,G5688&gt;=01_因子設定!$L$7-0.000000001,G5688&lt;=01_因子設定!$M$7+0.000000001,H5688&gt;=01_因子設定!$L$8-0.000000001,H5688&lt;=01_因子設定!$M$8+0.000000001,IF(01_因子設定!$B$20="Box-Behnken",E5688^2+F5688^2+G5688^2+H5688^2&lt;=2+0.000000001,TRUE()))</f>
        <v>1</v>
      </c>
      <c r="AD5688" s="55" t="n">
        <f aca="false">IF(AC5688,IF(01_因子設定!$B$13="最大化",AA5688-01_因子設定!$B$14,IF(01_因子設定!$B$13="最小化",01_因子設定!$B$15-AB5688,MIN(AA5688-01_因子設定!$B$14,01_因子設定!$B$15-AB5688))),-1E+030)</f>
        <v>-0.213331958923455</v>
      </c>
      <c r="AE5688" s="55" t="n">
        <f aca="false">IF(AC5688,IF(01_因子設定!$B$13="最大化",X5688,IF(01_因子設定!$B$13="最小化",-X5688,-ABS(X5688-01_因子設定!$B$16))),-1E+030)</f>
        <v>47.77890625</v>
      </c>
      <c r="AF5688" s="55" t="n">
        <f aca="false">AD5688+ROW()*0.000000001</f>
        <v>-0.213326270923455</v>
      </c>
      <c r="AG5688" s="55" t="n">
        <f aca="false">AE5688+ROW()*0.000000001</f>
        <v>47.778911938</v>
      </c>
    </row>
    <row r="5689" customFormat="false" ht="15" hidden="false" customHeight="false" outlineLevel="0" collapsed="false">
      <c r="A5689" s="0" t="n">
        <v>7</v>
      </c>
      <c r="B5689" s="0" t="n">
        <v>7</v>
      </c>
      <c r="C5689" s="0" t="n">
        <v>1</v>
      </c>
      <c r="D5689" s="0" t="n">
        <v>5</v>
      </c>
      <c r="E5689" s="0" t="n">
        <f aca="false">-1+A5689*0.25</f>
        <v>0.75</v>
      </c>
      <c r="F5689" s="0" t="n">
        <f aca="false">-1+B5689*0.25</f>
        <v>0.75</v>
      </c>
      <c r="G5689" s="0" t="n">
        <f aca="false">-1+C5689*0.25</f>
        <v>-0.75</v>
      </c>
      <c r="H5689" s="0" t="n">
        <f aca="false">-1+D5689*0.25</f>
        <v>0.25</v>
      </c>
      <c r="I5689" s="0" t="n">
        <f aca="false">1</f>
        <v>1</v>
      </c>
      <c r="J5689" s="0" t="n">
        <f aca="false">E5689</f>
        <v>0.75</v>
      </c>
      <c r="K5689" s="0" t="n">
        <f aca="false">F5689</f>
        <v>0.75</v>
      </c>
      <c r="L5689" s="0" t="n">
        <f aca="false">G5689</f>
        <v>-0.75</v>
      </c>
      <c r="M5689" s="0" t="n">
        <f aca="false">H5689</f>
        <v>0.25</v>
      </c>
      <c r="N5689" s="0" t="n">
        <f aca="false">E5689*F5689</f>
        <v>0.5625</v>
      </c>
      <c r="O5689" s="0" t="n">
        <f aca="false">E5689*G5689</f>
        <v>-0.5625</v>
      </c>
      <c r="P5689" s="0" t="n">
        <f aca="false">E5689*H5689</f>
        <v>0.1875</v>
      </c>
      <c r="Q5689" s="0" t="n">
        <f aca="false">F5689*G5689</f>
        <v>-0.5625</v>
      </c>
      <c r="R5689" s="0" t="n">
        <f aca="false">F5689*H5689</f>
        <v>0.1875</v>
      </c>
      <c r="S5689" s="0" t="n">
        <f aca="false">G5689*H5689</f>
        <v>-0.1875</v>
      </c>
      <c r="T5689" s="0" t="n">
        <f aca="false">E5689*E5689</f>
        <v>0.5625</v>
      </c>
      <c r="U5689" s="0" t="n">
        <f aca="false">F5689*F5689</f>
        <v>0.5625</v>
      </c>
      <c r="V5689" s="0" t="n">
        <f aca="false">G5689*G5689</f>
        <v>0.5625</v>
      </c>
      <c r="W5689" s="0" t="n">
        <f aca="false">H5689*H5689</f>
        <v>0.0625</v>
      </c>
      <c r="X5689" s="0" t="n">
        <f aca="false">SUMPRODUCT(I5689:W5689,_XtX!$B$96:$P$96)</f>
        <v>47.7860791301169</v>
      </c>
      <c r="Y5689" s="0" t="n">
        <f aca="false">SUMPRODUCT(MMULT(I5689:W5689,_XtX!$B$78:$P$92),I5689:W5689)</f>
        <v>0.294856199744152</v>
      </c>
      <c r="Z5689" s="0" t="n">
        <f aca="false">04_回帰ANOVA!$K$19*04_回帰ANOVA!$K$14*SQRT(1+Y5689)</f>
        <v>1.48323226089013</v>
      </c>
      <c r="AA5689" s="0" t="n">
        <f aca="false">X5689-Z5689</f>
        <v>46.3028468692268</v>
      </c>
      <c r="AB5689" s="0" t="n">
        <f aca="false">X5689+Z5689</f>
        <v>49.2693113910071</v>
      </c>
      <c r="AC5689" s="54" t="b">
        <f aca="false">AND(E5689&gt;=01_因子設定!$L$5-0.000000001,E5689&lt;=01_因子設定!$M$5+0.000000001,F5689&gt;=01_因子設定!$L$6-0.000000001,F5689&lt;=01_因子設定!$M$6+0.000000001,G5689&gt;=01_因子設定!$L$7-0.000000001,G5689&lt;=01_因子設定!$M$7+0.000000001,H5689&gt;=01_因子設定!$L$8-0.000000001,H5689&lt;=01_因子設定!$M$8+0.000000001,IF(01_因子設定!$B$20="Box-Behnken",E5689^2+F5689^2+G5689^2+H5689^2&lt;=2+0.000000001,TRUE()))</f>
        <v>1</v>
      </c>
      <c r="AD5689" s="55" t="n">
        <f aca="false">IF(AC5689,IF(01_因子設定!$B$13="最大化",AA5689-01_因子設定!$B$14,IF(01_因子設定!$B$13="最小化",01_因子設定!$B$15-AB5689,MIN(AA5689-01_因子設定!$B$14,01_因子設定!$B$15-AB5689))),-1E+030)</f>
        <v>-0.197153130773188</v>
      </c>
      <c r="AE5689" s="55" t="n">
        <f aca="false">IF(AC5689,IF(01_因子設定!$B$13="最大化",X5689,IF(01_因子設定!$B$13="最小化",-X5689,-ABS(X5689-01_因子設定!$B$16))),-1E+030)</f>
        <v>47.7860791301169</v>
      </c>
      <c r="AF5689" s="55" t="n">
        <f aca="false">AD5689+ROW()*0.000000001</f>
        <v>-0.197147441773188</v>
      </c>
      <c r="AG5689" s="55" t="n">
        <f aca="false">AE5689+ROW()*0.000000001</f>
        <v>47.7860848191169</v>
      </c>
    </row>
    <row r="5690" customFormat="false" ht="15" hidden="false" customHeight="false" outlineLevel="0" collapsed="false">
      <c r="A5690" s="0" t="n">
        <v>7</v>
      </c>
      <c r="B5690" s="0" t="n">
        <v>7</v>
      </c>
      <c r="C5690" s="0" t="n">
        <v>1</v>
      </c>
      <c r="D5690" s="0" t="n">
        <v>6</v>
      </c>
      <c r="E5690" s="0" t="n">
        <f aca="false">-1+A5690*0.25</f>
        <v>0.75</v>
      </c>
      <c r="F5690" s="0" t="n">
        <f aca="false">-1+B5690*0.25</f>
        <v>0.75</v>
      </c>
      <c r="G5690" s="0" t="n">
        <f aca="false">-1+C5690*0.25</f>
        <v>-0.75</v>
      </c>
      <c r="H5690" s="0" t="n">
        <f aca="false">-1+D5690*0.25</f>
        <v>0.5</v>
      </c>
      <c r="I5690" s="0" t="n">
        <f aca="false">1</f>
        <v>1</v>
      </c>
      <c r="J5690" s="0" t="n">
        <f aca="false">E5690</f>
        <v>0.75</v>
      </c>
      <c r="K5690" s="0" t="n">
        <f aca="false">F5690</f>
        <v>0.75</v>
      </c>
      <c r="L5690" s="0" t="n">
        <f aca="false">G5690</f>
        <v>-0.75</v>
      </c>
      <c r="M5690" s="0" t="n">
        <f aca="false">H5690</f>
        <v>0.5</v>
      </c>
      <c r="N5690" s="0" t="n">
        <f aca="false">E5690*F5690</f>
        <v>0.5625</v>
      </c>
      <c r="O5690" s="0" t="n">
        <f aca="false">E5690*G5690</f>
        <v>-0.5625</v>
      </c>
      <c r="P5690" s="0" t="n">
        <f aca="false">E5690*H5690</f>
        <v>0.375</v>
      </c>
      <c r="Q5690" s="0" t="n">
        <f aca="false">F5690*G5690</f>
        <v>-0.5625</v>
      </c>
      <c r="R5690" s="0" t="n">
        <f aca="false">F5690*H5690</f>
        <v>0.375</v>
      </c>
      <c r="S5690" s="0" t="n">
        <f aca="false">G5690*H5690</f>
        <v>-0.375</v>
      </c>
      <c r="T5690" s="0" t="n">
        <f aca="false">E5690*E5690</f>
        <v>0.5625</v>
      </c>
      <c r="U5690" s="0" t="n">
        <f aca="false">F5690*F5690</f>
        <v>0.5625</v>
      </c>
      <c r="V5690" s="0" t="n">
        <f aca="false">G5690*G5690</f>
        <v>0.5625</v>
      </c>
      <c r="W5690" s="0" t="n">
        <f aca="false">H5690*H5690</f>
        <v>0.25</v>
      </c>
      <c r="X5690" s="0" t="n">
        <f aca="false">SUMPRODUCT(I5690:W5690,_XtX!$B$96:$P$96)</f>
        <v>47.7454449926901</v>
      </c>
      <c r="Y5690" s="0" t="n">
        <f aca="false">SUMPRODUCT(MMULT(I5690:W5690,_XtX!$B$78:$P$92),I5690:W5690)</f>
        <v>0.265632138614766</v>
      </c>
      <c r="Z5690" s="0" t="n">
        <f aca="false">04_回帰ANOVA!$K$19*04_回帰ANOVA!$K$14*SQRT(1+Y5690)</f>
        <v>1.46639894654257</v>
      </c>
      <c r="AA5690" s="0" t="n">
        <f aca="false">X5690-Z5690</f>
        <v>46.2790460461475</v>
      </c>
      <c r="AB5690" s="0" t="n">
        <f aca="false">X5690+Z5690</f>
        <v>49.2118439392326</v>
      </c>
      <c r="AC5690" s="54" t="b">
        <f aca="false">AND(E5690&gt;=01_因子設定!$L$5-0.000000001,E5690&lt;=01_因子設定!$M$5+0.000000001,F5690&gt;=01_因子設定!$L$6-0.000000001,F5690&lt;=01_因子設定!$M$6+0.000000001,G5690&gt;=01_因子設定!$L$7-0.000000001,G5690&lt;=01_因子設定!$M$7+0.000000001,H5690&gt;=01_因子設定!$L$8-0.000000001,H5690&lt;=01_因子設定!$M$8+0.000000001,IF(01_因子設定!$B$20="Box-Behnken",E5690^2+F5690^2+G5690^2+H5690^2&lt;=2+0.000000001,TRUE()))</f>
        <v>1</v>
      </c>
      <c r="AD5690" s="55" t="n">
        <f aca="false">IF(AC5690,IF(01_因子設定!$B$13="最大化",AA5690-01_因子設定!$B$14,IF(01_因子設定!$B$13="最小化",01_因子設定!$B$15-AB5690,MIN(AA5690-01_因子設定!$B$14,01_因子設定!$B$15-AB5690))),-1E+030)</f>
        <v>-0.220953953852522</v>
      </c>
      <c r="AE5690" s="55" t="n">
        <f aca="false">IF(AC5690,IF(01_因子設定!$B$13="最大化",X5690,IF(01_因子設定!$B$13="最小化",-X5690,-ABS(X5690-01_因子設定!$B$16))),-1E+030)</f>
        <v>47.7454449926901</v>
      </c>
      <c r="AF5690" s="55" t="n">
        <f aca="false">AD5690+ROW()*0.000000001</f>
        <v>-0.220948263852522</v>
      </c>
      <c r="AG5690" s="55" t="n">
        <f aca="false">AE5690+ROW()*0.000000001</f>
        <v>47.7454506826901</v>
      </c>
    </row>
    <row r="5691" customFormat="false" ht="15" hidden="false" customHeight="false" outlineLevel="0" collapsed="false">
      <c r="A5691" s="0" t="n">
        <v>7</v>
      </c>
      <c r="B5691" s="0" t="n">
        <v>7</v>
      </c>
      <c r="C5691" s="0" t="n">
        <v>1</v>
      </c>
      <c r="D5691" s="0" t="n">
        <v>7</v>
      </c>
      <c r="E5691" s="0" t="n">
        <f aca="false">-1+A5691*0.25</f>
        <v>0.75</v>
      </c>
      <c r="F5691" s="0" t="n">
        <f aca="false">-1+B5691*0.25</f>
        <v>0.75</v>
      </c>
      <c r="G5691" s="0" t="n">
        <f aca="false">-1+C5691*0.25</f>
        <v>-0.75</v>
      </c>
      <c r="H5691" s="0" t="n">
        <f aca="false">-1+D5691*0.25</f>
        <v>0.75</v>
      </c>
      <c r="I5691" s="0" t="n">
        <f aca="false">1</f>
        <v>1</v>
      </c>
      <c r="J5691" s="0" t="n">
        <f aca="false">E5691</f>
        <v>0.75</v>
      </c>
      <c r="K5691" s="0" t="n">
        <f aca="false">F5691</f>
        <v>0.75</v>
      </c>
      <c r="L5691" s="0" t="n">
        <f aca="false">G5691</f>
        <v>-0.75</v>
      </c>
      <c r="M5691" s="0" t="n">
        <f aca="false">H5691</f>
        <v>0.75</v>
      </c>
      <c r="N5691" s="0" t="n">
        <f aca="false">E5691*F5691</f>
        <v>0.5625</v>
      </c>
      <c r="O5691" s="0" t="n">
        <f aca="false">E5691*G5691</f>
        <v>-0.5625</v>
      </c>
      <c r="P5691" s="0" t="n">
        <f aca="false">E5691*H5691</f>
        <v>0.5625</v>
      </c>
      <c r="Q5691" s="0" t="n">
        <f aca="false">F5691*G5691</f>
        <v>-0.5625</v>
      </c>
      <c r="R5691" s="0" t="n">
        <f aca="false">F5691*H5691</f>
        <v>0.5625</v>
      </c>
      <c r="S5691" s="0" t="n">
        <f aca="false">G5691*H5691</f>
        <v>-0.5625</v>
      </c>
      <c r="T5691" s="0" t="n">
        <f aca="false">E5691*E5691</f>
        <v>0.5625</v>
      </c>
      <c r="U5691" s="0" t="n">
        <f aca="false">F5691*F5691</f>
        <v>0.5625</v>
      </c>
      <c r="V5691" s="0" t="n">
        <f aca="false">G5691*G5691</f>
        <v>0.5625</v>
      </c>
      <c r="W5691" s="0" t="n">
        <f aca="false">H5691*H5691</f>
        <v>0.5625</v>
      </c>
      <c r="X5691" s="0" t="n">
        <f aca="false">SUMPRODUCT(I5691:W5691,_XtX!$B$96:$P$96)</f>
        <v>47.6570038377193</v>
      </c>
      <c r="Y5691" s="0" t="n">
        <f aca="false">SUMPRODUCT(MMULT(I5691:W5691,_XtX!$B$78:$P$92),I5691:W5691)</f>
        <v>0.277232387609649</v>
      </c>
      <c r="Z5691" s="0" t="n">
        <f aca="false">04_回帰ANOVA!$K$19*04_回帰ANOVA!$K$14*SQRT(1+Y5691)</f>
        <v>1.47310381441991</v>
      </c>
      <c r="AA5691" s="0" t="n">
        <f aca="false">X5691-Z5691</f>
        <v>46.1839000232994</v>
      </c>
      <c r="AB5691" s="0" t="n">
        <f aca="false">X5691+Z5691</f>
        <v>49.1301076521392</v>
      </c>
      <c r="AC5691" s="54" t="b">
        <f aca="false">AND(E5691&gt;=01_因子設定!$L$5-0.000000001,E5691&lt;=01_因子設定!$M$5+0.000000001,F5691&gt;=01_因子設定!$L$6-0.000000001,F5691&lt;=01_因子設定!$M$6+0.000000001,G5691&gt;=01_因子設定!$L$7-0.000000001,G5691&lt;=01_因子設定!$M$7+0.000000001,H5691&gt;=01_因子設定!$L$8-0.000000001,H5691&lt;=01_因子設定!$M$8+0.000000001,IF(01_因子設定!$B$20="Box-Behnken",E5691^2+F5691^2+G5691^2+H5691^2&lt;=2+0.000000001,TRUE()))</f>
        <v>1</v>
      </c>
      <c r="AD5691" s="55" t="n">
        <f aca="false">IF(AC5691,IF(01_因子設定!$B$13="最大化",AA5691-01_因子設定!$B$14,IF(01_因子設定!$B$13="最小化",01_因子設定!$B$15-AB5691,MIN(AA5691-01_因子設定!$B$14,01_因子設定!$B$15-AB5691))),-1E+030)</f>
        <v>-0.316099976700606</v>
      </c>
      <c r="AE5691" s="55" t="n">
        <f aca="false">IF(AC5691,IF(01_因子設定!$B$13="最大化",X5691,IF(01_因子設定!$B$13="最小化",-X5691,-ABS(X5691-01_因子設定!$B$16))),-1E+030)</f>
        <v>47.6570038377193</v>
      </c>
      <c r="AF5691" s="55" t="n">
        <f aca="false">AD5691+ROW()*0.000000001</f>
        <v>-0.316094285700606</v>
      </c>
      <c r="AG5691" s="55" t="n">
        <f aca="false">AE5691+ROW()*0.000000001</f>
        <v>47.6570095287193</v>
      </c>
    </row>
    <row r="5692" customFormat="false" ht="15" hidden="false" customHeight="false" outlineLevel="0" collapsed="false">
      <c r="A5692" s="0" t="n">
        <v>7</v>
      </c>
      <c r="B5692" s="0" t="n">
        <v>7</v>
      </c>
      <c r="C5692" s="0" t="n">
        <v>1</v>
      </c>
      <c r="D5692" s="0" t="n">
        <v>8</v>
      </c>
      <c r="E5692" s="0" t="n">
        <f aca="false">-1+A5692*0.25</f>
        <v>0.75</v>
      </c>
      <c r="F5692" s="0" t="n">
        <f aca="false">-1+B5692*0.25</f>
        <v>0.75</v>
      </c>
      <c r="G5692" s="0" t="n">
        <f aca="false">-1+C5692*0.25</f>
        <v>-0.75</v>
      </c>
      <c r="H5692" s="0" t="n">
        <f aca="false">-1+D5692*0.25</f>
        <v>1</v>
      </c>
      <c r="I5692" s="0" t="n">
        <f aca="false">1</f>
        <v>1</v>
      </c>
      <c r="J5692" s="0" t="n">
        <f aca="false">E5692</f>
        <v>0.75</v>
      </c>
      <c r="K5692" s="0" t="n">
        <f aca="false">F5692</f>
        <v>0.75</v>
      </c>
      <c r="L5692" s="0" t="n">
        <f aca="false">G5692</f>
        <v>-0.75</v>
      </c>
      <c r="M5692" s="0" t="n">
        <f aca="false">H5692</f>
        <v>1</v>
      </c>
      <c r="N5692" s="0" t="n">
        <f aca="false">E5692*F5692</f>
        <v>0.5625</v>
      </c>
      <c r="O5692" s="0" t="n">
        <f aca="false">E5692*G5692</f>
        <v>-0.5625</v>
      </c>
      <c r="P5692" s="0" t="n">
        <f aca="false">E5692*H5692</f>
        <v>0.75</v>
      </c>
      <c r="Q5692" s="0" t="n">
        <f aca="false">F5692*G5692</f>
        <v>-0.5625</v>
      </c>
      <c r="R5692" s="0" t="n">
        <f aca="false">F5692*H5692</f>
        <v>0.75</v>
      </c>
      <c r="S5692" s="0" t="n">
        <f aca="false">G5692*H5692</f>
        <v>-0.75</v>
      </c>
      <c r="T5692" s="0" t="n">
        <f aca="false">E5692*E5692</f>
        <v>0.5625</v>
      </c>
      <c r="U5692" s="0" t="n">
        <f aca="false">F5692*F5692</f>
        <v>0.5625</v>
      </c>
      <c r="V5692" s="0" t="n">
        <f aca="false">G5692*G5692</f>
        <v>0.5625</v>
      </c>
      <c r="W5692" s="0" t="n">
        <f aca="false">H5692*H5692</f>
        <v>1</v>
      </c>
      <c r="X5692" s="0" t="n">
        <f aca="false">SUMPRODUCT(I5692:W5692,_XtX!$B$96:$P$96)</f>
        <v>47.5207556652047</v>
      </c>
      <c r="Y5692" s="0" t="n">
        <f aca="false">SUMPRODUCT(MMULT(I5692:W5692,_XtX!$B$78:$P$92),I5692:W5692)</f>
        <v>0.420117473044591</v>
      </c>
      <c r="Z5692" s="0" t="n">
        <f aca="false">04_回帰ANOVA!$K$19*04_回帰ANOVA!$K$14*SQRT(1+Y5692)</f>
        <v>1.55331854827765</v>
      </c>
      <c r="AA5692" s="0" t="n">
        <f aca="false">X5692-Z5692</f>
        <v>45.9674371169271</v>
      </c>
      <c r="AB5692" s="0" t="n">
        <f aca="false">X5692+Z5692</f>
        <v>49.0740742134824</v>
      </c>
      <c r="AC5692" s="54" t="b">
        <f aca="false">AND(E5692&gt;=01_因子設定!$L$5-0.000000001,E5692&lt;=01_因子設定!$M$5+0.000000001,F5692&gt;=01_因子設定!$L$6-0.000000001,F5692&lt;=01_因子設定!$M$6+0.000000001,G5692&gt;=01_因子設定!$L$7-0.000000001,G5692&lt;=01_因子設定!$M$7+0.000000001,H5692&gt;=01_因子設定!$L$8-0.000000001,H5692&lt;=01_因子設定!$M$8+0.000000001,IF(01_因子設定!$B$20="Box-Behnken",E5692^2+F5692^2+G5692^2+H5692^2&lt;=2+0.000000001,TRUE()))</f>
        <v>1</v>
      </c>
      <c r="AD5692" s="55" t="n">
        <f aca="false">IF(AC5692,IF(01_因子設定!$B$13="最大化",AA5692-01_因子設定!$B$14,IF(01_因子設定!$B$13="最小化",01_因子設定!$B$15-AB5692,MIN(AA5692-01_因子設定!$B$14,01_因子設定!$B$15-AB5692))),-1E+030)</f>
        <v>-0.532562883072941</v>
      </c>
      <c r="AE5692" s="55" t="n">
        <f aca="false">IF(AC5692,IF(01_因子設定!$B$13="最大化",X5692,IF(01_因子設定!$B$13="最小化",-X5692,-ABS(X5692-01_因子設定!$B$16))),-1E+030)</f>
        <v>47.5207556652047</v>
      </c>
      <c r="AF5692" s="55" t="n">
        <f aca="false">AD5692+ROW()*0.000000001</f>
        <v>-0.532557191072941</v>
      </c>
      <c r="AG5692" s="55" t="n">
        <f aca="false">AE5692+ROW()*0.000000001</f>
        <v>47.5207613572047</v>
      </c>
    </row>
    <row r="5693" customFormat="false" ht="15" hidden="false" customHeight="false" outlineLevel="0" collapsed="false">
      <c r="A5693" s="0" t="n">
        <v>7</v>
      </c>
      <c r="B5693" s="0" t="n">
        <v>7</v>
      </c>
      <c r="C5693" s="0" t="n">
        <v>2</v>
      </c>
      <c r="D5693" s="0" t="n">
        <v>0</v>
      </c>
      <c r="E5693" s="0" t="n">
        <f aca="false">-1+A5693*0.25</f>
        <v>0.75</v>
      </c>
      <c r="F5693" s="0" t="n">
        <f aca="false">-1+B5693*0.25</f>
        <v>0.75</v>
      </c>
      <c r="G5693" s="0" t="n">
        <f aca="false">-1+C5693*0.25</f>
        <v>-0.5</v>
      </c>
      <c r="H5693" s="0" t="n">
        <f aca="false">-1+D5693*0.25</f>
        <v>-1</v>
      </c>
      <c r="I5693" s="0" t="n">
        <f aca="false">1</f>
        <v>1</v>
      </c>
      <c r="J5693" s="0" t="n">
        <f aca="false">E5693</f>
        <v>0.75</v>
      </c>
      <c r="K5693" s="0" t="n">
        <f aca="false">F5693</f>
        <v>0.75</v>
      </c>
      <c r="L5693" s="0" t="n">
        <f aca="false">G5693</f>
        <v>-0.5</v>
      </c>
      <c r="M5693" s="0" t="n">
        <f aca="false">H5693</f>
        <v>-1</v>
      </c>
      <c r="N5693" s="0" t="n">
        <f aca="false">E5693*F5693</f>
        <v>0.5625</v>
      </c>
      <c r="O5693" s="0" t="n">
        <f aca="false">E5693*G5693</f>
        <v>-0.375</v>
      </c>
      <c r="P5693" s="0" t="n">
        <f aca="false">E5693*H5693</f>
        <v>-0.75</v>
      </c>
      <c r="Q5693" s="0" t="n">
        <f aca="false">F5693*G5693</f>
        <v>-0.375</v>
      </c>
      <c r="R5693" s="0" t="n">
        <f aca="false">F5693*H5693</f>
        <v>-0.75</v>
      </c>
      <c r="S5693" s="0" t="n">
        <f aca="false">G5693*H5693</f>
        <v>0.5</v>
      </c>
      <c r="T5693" s="0" t="n">
        <f aca="false">E5693*E5693</f>
        <v>0.5625</v>
      </c>
      <c r="U5693" s="0" t="n">
        <f aca="false">F5693*F5693</f>
        <v>0.5625</v>
      </c>
      <c r="V5693" s="0" t="n">
        <f aca="false">G5693*G5693</f>
        <v>0.25</v>
      </c>
      <c r="W5693" s="0" t="n">
        <f aca="false">H5693*H5693</f>
        <v>1</v>
      </c>
      <c r="X5693" s="0" t="n">
        <f aca="false">SUMPRODUCT(I5693:W5693,_XtX!$B$96:$P$96)</f>
        <v>47.5960891812866</v>
      </c>
      <c r="Y5693" s="0" t="n">
        <f aca="false">SUMPRODUCT(MMULT(I5693:W5693,_XtX!$B$78:$P$92),I5693:W5693)</f>
        <v>0.431153771472953</v>
      </c>
      <c r="Z5693" s="0" t="n">
        <f aca="false">04_回帰ANOVA!$K$19*04_回帰ANOVA!$K$14*SQRT(1+Y5693)</f>
        <v>1.55934259562563</v>
      </c>
      <c r="AA5693" s="0" t="n">
        <f aca="false">X5693-Z5693</f>
        <v>46.0367465856609</v>
      </c>
      <c r="AB5693" s="0" t="n">
        <f aca="false">X5693+Z5693</f>
        <v>49.1554317769122</v>
      </c>
      <c r="AC5693" s="54" t="b">
        <f aca="false">AND(E5693&gt;=01_因子設定!$L$5-0.000000001,E5693&lt;=01_因子設定!$M$5+0.000000001,F5693&gt;=01_因子設定!$L$6-0.000000001,F5693&lt;=01_因子設定!$M$6+0.000000001,G5693&gt;=01_因子設定!$L$7-0.000000001,G5693&lt;=01_因子設定!$M$7+0.000000001,H5693&gt;=01_因子設定!$L$8-0.000000001,H5693&lt;=01_因子設定!$M$8+0.000000001,IF(01_因子設定!$B$20="Box-Behnken",E5693^2+F5693^2+G5693^2+H5693^2&lt;=2+0.000000001,TRUE()))</f>
        <v>1</v>
      </c>
      <c r="AD5693" s="55" t="n">
        <f aca="false">IF(AC5693,IF(01_因子設定!$B$13="最大化",AA5693-01_因子設定!$B$14,IF(01_因子設定!$B$13="最小化",01_因子設定!$B$15-AB5693,MIN(AA5693-01_因子設定!$B$14,01_因子設定!$B$15-AB5693))),-1E+030)</f>
        <v>-0.463253414339057</v>
      </c>
      <c r="AE5693" s="55" t="n">
        <f aca="false">IF(AC5693,IF(01_因子設定!$B$13="最大化",X5693,IF(01_因子設定!$B$13="最小化",-X5693,-ABS(X5693-01_因子設定!$B$16))),-1E+030)</f>
        <v>47.5960891812866</v>
      </c>
      <c r="AF5693" s="55" t="n">
        <f aca="false">AD5693+ROW()*0.000000001</f>
        <v>-0.463247721339057</v>
      </c>
      <c r="AG5693" s="55" t="n">
        <f aca="false">AE5693+ROW()*0.000000001</f>
        <v>47.5960948742866</v>
      </c>
    </row>
    <row r="5694" customFormat="false" ht="15" hidden="false" customHeight="false" outlineLevel="0" collapsed="false">
      <c r="A5694" s="0" t="n">
        <v>7</v>
      </c>
      <c r="B5694" s="0" t="n">
        <v>7</v>
      </c>
      <c r="C5694" s="0" t="n">
        <v>2</v>
      </c>
      <c r="D5694" s="0" t="n">
        <v>1</v>
      </c>
      <c r="E5694" s="0" t="n">
        <f aca="false">-1+A5694*0.25</f>
        <v>0.75</v>
      </c>
      <c r="F5694" s="0" t="n">
        <f aca="false">-1+B5694*0.25</f>
        <v>0.75</v>
      </c>
      <c r="G5694" s="0" t="n">
        <f aca="false">-1+C5694*0.25</f>
        <v>-0.5</v>
      </c>
      <c r="H5694" s="0" t="n">
        <f aca="false">-1+D5694*0.25</f>
        <v>-0.75</v>
      </c>
      <c r="I5694" s="0" t="n">
        <f aca="false">1</f>
        <v>1</v>
      </c>
      <c r="J5694" s="0" t="n">
        <f aca="false">E5694</f>
        <v>0.75</v>
      </c>
      <c r="K5694" s="0" t="n">
        <f aca="false">F5694</f>
        <v>0.75</v>
      </c>
      <c r="L5694" s="0" t="n">
        <f aca="false">G5694</f>
        <v>-0.5</v>
      </c>
      <c r="M5694" s="0" t="n">
        <f aca="false">H5694</f>
        <v>-0.75</v>
      </c>
      <c r="N5694" s="0" t="n">
        <f aca="false">E5694*F5694</f>
        <v>0.5625</v>
      </c>
      <c r="O5694" s="0" t="n">
        <f aca="false">E5694*G5694</f>
        <v>-0.375</v>
      </c>
      <c r="P5694" s="0" t="n">
        <f aca="false">E5694*H5694</f>
        <v>-0.5625</v>
      </c>
      <c r="Q5694" s="0" t="n">
        <f aca="false">F5694*G5694</f>
        <v>-0.375</v>
      </c>
      <c r="R5694" s="0" t="n">
        <f aca="false">F5694*H5694</f>
        <v>-0.5625</v>
      </c>
      <c r="S5694" s="0" t="n">
        <f aca="false">G5694*H5694</f>
        <v>0.375</v>
      </c>
      <c r="T5694" s="0" t="n">
        <f aca="false">E5694*E5694</f>
        <v>0.5625</v>
      </c>
      <c r="U5694" s="0" t="n">
        <f aca="false">F5694*F5694</f>
        <v>0.5625</v>
      </c>
      <c r="V5694" s="0" t="n">
        <f aca="false">G5694*G5694</f>
        <v>0.25</v>
      </c>
      <c r="W5694" s="0" t="n">
        <f aca="false">H5694*H5694</f>
        <v>0.5625</v>
      </c>
      <c r="X5694" s="0" t="n">
        <f aca="false">SUMPRODUCT(I5694:W5694,_XtX!$B$96:$P$96)</f>
        <v>47.812458881579</v>
      </c>
      <c r="Y5694" s="0" t="n">
        <f aca="false">SUMPRODUCT(MMULT(I5694:W5694,_XtX!$B$78:$P$92),I5694:W5694)</f>
        <v>0.265632138614766</v>
      </c>
      <c r="Z5694" s="0" t="n">
        <f aca="false">04_回帰ANOVA!$K$19*04_回帰ANOVA!$K$14*SQRT(1+Y5694)</f>
        <v>1.46639894654257</v>
      </c>
      <c r="AA5694" s="0" t="n">
        <f aca="false">X5694-Z5694</f>
        <v>46.3460599350364</v>
      </c>
      <c r="AB5694" s="0" t="n">
        <f aca="false">X5694+Z5694</f>
        <v>49.2788578281215</v>
      </c>
      <c r="AC5694" s="54" t="b">
        <f aca="false">AND(E5694&gt;=01_因子設定!$L$5-0.000000001,E5694&lt;=01_因子設定!$M$5+0.000000001,F5694&gt;=01_因子設定!$L$6-0.000000001,F5694&lt;=01_因子設定!$M$6+0.000000001,G5694&gt;=01_因子設定!$L$7-0.000000001,G5694&lt;=01_因子設定!$M$7+0.000000001,H5694&gt;=01_因子設定!$L$8-0.000000001,H5694&lt;=01_因子設定!$M$8+0.000000001,IF(01_因子設定!$B$20="Box-Behnken",E5694^2+F5694^2+G5694^2+H5694^2&lt;=2+0.000000001,TRUE()))</f>
        <v>1</v>
      </c>
      <c r="AD5694" s="55" t="n">
        <f aca="false">IF(AC5694,IF(01_因子設定!$B$13="最大化",AA5694-01_因子設定!$B$14,IF(01_因子設定!$B$13="最小化",01_因子設定!$B$15-AB5694,MIN(AA5694-01_因子設定!$B$14,01_因子設定!$B$15-AB5694))),-1E+030)</f>
        <v>-0.153940064963621</v>
      </c>
      <c r="AE5694" s="55" t="n">
        <f aca="false">IF(AC5694,IF(01_因子設定!$B$13="最大化",X5694,IF(01_因子設定!$B$13="最小化",-X5694,-ABS(X5694-01_因子設定!$B$16))),-1E+030)</f>
        <v>47.812458881579</v>
      </c>
      <c r="AF5694" s="55" t="n">
        <f aca="false">AD5694+ROW()*0.000000001</f>
        <v>-0.153934370963621</v>
      </c>
      <c r="AG5694" s="55" t="n">
        <f aca="false">AE5694+ROW()*0.000000001</f>
        <v>47.812464575579</v>
      </c>
    </row>
    <row r="5695" customFormat="false" ht="15" hidden="false" customHeight="false" outlineLevel="0" collapsed="false">
      <c r="A5695" s="0" t="n">
        <v>7</v>
      </c>
      <c r="B5695" s="0" t="n">
        <v>7</v>
      </c>
      <c r="C5695" s="0" t="n">
        <v>2</v>
      </c>
      <c r="D5695" s="0" t="n">
        <v>2</v>
      </c>
      <c r="E5695" s="0" t="n">
        <f aca="false">-1+A5695*0.25</f>
        <v>0.75</v>
      </c>
      <c r="F5695" s="0" t="n">
        <f aca="false">-1+B5695*0.25</f>
        <v>0.75</v>
      </c>
      <c r="G5695" s="0" t="n">
        <f aca="false">-1+C5695*0.25</f>
        <v>-0.5</v>
      </c>
      <c r="H5695" s="0" t="n">
        <f aca="false">-1+D5695*0.25</f>
        <v>-0.5</v>
      </c>
      <c r="I5695" s="0" t="n">
        <f aca="false">1</f>
        <v>1</v>
      </c>
      <c r="J5695" s="0" t="n">
        <f aca="false">E5695</f>
        <v>0.75</v>
      </c>
      <c r="K5695" s="0" t="n">
        <f aca="false">F5695</f>
        <v>0.75</v>
      </c>
      <c r="L5695" s="0" t="n">
        <f aca="false">G5695</f>
        <v>-0.5</v>
      </c>
      <c r="M5695" s="0" t="n">
        <f aca="false">H5695</f>
        <v>-0.5</v>
      </c>
      <c r="N5695" s="0" t="n">
        <f aca="false">E5695*F5695</f>
        <v>0.5625</v>
      </c>
      <c r="O5695" s="0" t="n">
        <f aca="false">E5695*G5695</f>
        <v>-0.375</v>
      </c>
      <c r="P5695" s="0" t="n">
        <f aca="false">E5695*H5695</f>
        <v>-0.375</v>
      </c>
      <c r="Q5695" s="0" t="n">
        <f aca="false">F5695*G5695</f>
        <v>-0.375</v>
      </c>
      <c r="R5695" s="0" t="n">
        <f aca="false">F5695*H5695</f>
        <v>-0.375</v>
      </c>
      <c r="S5695" s="0" t="n">
        <f aca="false">G5695*H5695</f>
        <v>0.25</v>
      </c>
      <c r="T5695" s="0" t="n">
        <f aca="false">E5695*E5695</f>
        <v>0.5625</v>
      </c>
      <c r="U5695" s="0" t="n">
        <f aca="false">F5695*F5695</f>
        <v>0.5625</v>
      </c>
      <c r="V5695" s="0" t="n">
        <f aca="false">G5695*G5695</f>
        <v>0.25</v>
      </c>
      <c r="W5695" s="0" t="n">
        <f aca="false">H5695*H5695</f>
        <v>0.25</v>
      </c>
      <c r="X5695" s="0" t="n">
        <f aca="false">SUMPRODUCT(I5695:W5695,_XtX!$B$96:$P$96)</f>
        <v>47.9810215643275</v>
      </c>
      <c r="Y5695" s="0" t="n">
        <f aca="false">SUMPRODUCT(MMULT(I5695:W5695,_XtX!$B$78:$P$92),I5695:W5695)</f>
        <v>0.237862927174708</v>
      </c>
      <c r="Z5695" s="0" t="n">
        <f aca="false">04_回帰ANOVA!$K$19*04_回帰ANOVA!$K$14*SQRT(1+Y5695)</f>
        <v>1.45022260708756</v>
      </c>
      <c r="AA5695" s="0" t="n">
        <f aca="false">X5695-Z5695</f>
        <v>46.5307989572399</v>
      </c>
      <c r="AB5695" s="0" t="n">
        <f aca="false">X5695+Z5695</f>
        <v>49.431244171415</v>
      </c>
      <c r="AC5695" s="54" t="b">
        <f aca="false">AND(E5695&gt;=01_因子設定!$L$5-0.000000001,E5695&lt;=01_因子設定!$M$5+0.000000001,F5695&gt;=01_因子設定!$L$6-0.000000001,F5695&lt;=01_因子設定!$M$6+0.000000001,G5695&gt;=01_因子設定!$L$7-0.000000001,G5695&lt;=01_因子設定!$M$7+0.000000001,H5695&gt;=01_因子設定!$L$8-0.000000001,H5695&lt;=01_因子設定!$M$8+0.000000001,IF(01_因子設定!$B$20="Box-Behnken",E5695^2+F5695^2+G5695^2+H5695^2&lt;=2+0.000000001,TRUE()))</f>
        <v>1</v>
      </c>
      <c r="AD5695" s="55" t="n">
        <f aca="false">IF(AC5695,IF(01_因子設定!$B$13="最大化",AA5695-01_因子設定!$B$14,IF(01_因子設定!$B$13="最小化",01_因子設定!$B$15-AB5695,MIN(AA5695-01_因子設定!$B$14,01_因子設定!$B$15-AB5695))),-1E+030)</f>
        <v>0.0307989572399165</v>
      </c>
      <c r="AE5695" s="55" t="n">
        <f aca="false">IF(AC5695,IF(01_因子設定!$B$13="最大化",X5695,IF(01_因子設定!$B$13="最小化",-X5695,-ABS(X5695-01_因子設定!$B$16))),-1E+030)</f>
        <v>47.9810215643275</v>
      </c>
      <c r="AF5695" s="55" t="n">
        <f aca="false">AD5695+ROW()*0.000000001</f>
        <v>0.0308046522399165</v>
      </c>
      <c r="AG5695" s="55" t="n">
        <f aca="false">AE5695+ROW()*0.000000001</f>
        <v>47.9810272593275</v>
      </c>
    </row>
    <row r="5696" customFormat="false" ht="15" hidden="false" customHeight="false" outlineLevel="0" collapsed="false">
      <c r="A5696" s="0" t="n">
        <v>7</v>
      </c>
      <c r="B5696" s="0" t="n">
        <v>7</v>
      </c>
      <c r="C5696" s="0" t="n">
        <v>2</v>
      </c>
      <c r="D5696" s="0" t="n">
        <v>3</v>
      </c>
      <c r="E5696" s="0" t="n">
        <f aca="false">-1+A5696*0.25</f>
        <v>0.75</v>
      </c>
      <c r="F5696" s="0" t="n">
        <f aca="false">-1+B5696*0.25</f>
        <v>0.75</v>
      </c>
      <c r="G5696" s="0" t="n">
        <f aca="false">-1+C5696*0.25</f>
        <v>-0.5</v>
      </c>
      <c r="H5696" s="0" t="n">
        <f aca="false">-1+D5696*0.25</f>
        <v>-0.25</v>
      </c>
      <c r="I5696" s="0" t="n">
        <f aca="false">1</f>
        <v>1</v>
      </c>
      <c r="J5696" s="0" t="n">
        <f aca="false">E5696</f>
        <v>0.75</v>
      </c>
      <c r="K5696" s="0" t="n">
        <f aca="false">F5696</f>
        <v>0.75</v>
      </c>
      <c r="L5696" s="0" t="n">
        <f aca="false">G5696</f>
        <v>-0.5</v>
      </c>
      <c r="M5696" s="0" t="n">
        <f aca="false">H5696</f>
        <v>-0.25</v>
      </c>
      <c r="N5696" s="0" t="n">
        <f aca="false">E5696*F5696</f>
        <v>0.5625</v>
      </c>
      <c r="O5696" s="0" t="n">
        <f aca="false">E5696*G5696</f>
        <v>-0.375</v>
      </c>
      <c r="P5696" s="0" t="n">
        <f aca="false">E5696*H5696</f>
        <v>-0.1875</v>
      </c>
      <c r="Q5696" s="0" t="n">
        <f aca="false">F5696*G5696</f>
        <v>-0.375</v>
      </c>
      <c r="R5696" s="0" t="n">
        <f aca="false">F5696*H5696</f>
        <v>-0.1875</v>
      </c>
      <c r="S5696" s="0" t="n">
        <f aca="false">G5696*H5696</f>
        <v>0.125</v>
      </c>
      <c r="T5696" s="0" t="n">
        <f aca="false">E5696*E5696</f>
        <v>0.5625</v>
      </c>
      <c r="U5696" s="0" t="n">
        <f aca="false">F5696*F5696</f>
        <v>0.5625</v>
      </c>
      <c r="V5696" s="0" t="n">
        <f aca="false">G5696*G5696</f>
        <v>0.25</v>
      </c>
      <c r="W5696" s="0" t="n">
        <f aca="false">H5696*H5696</f>
        <v>0.0625</v>
      </c>
      <c r="X5696" s="0" t="n">
        <f aca="false">SUMPRODUCT(I5696:W5696,_XtX!$B$96:$P$96)</f>
        <v>48.1017772295322</v>
      </c>
      <c r="Y5696" s="0" t="n">
        <f aca="false">SUMPRODUCT(MMULT(I5696:W5696,_XtX!$B$78:$P$92),I5696:W5696)</f>
        <v>0.257385610836988</v>
      </c>
      <c r="Z5696" s="0" t="n">
        <f aca="false">04_回帰ANOVA!$K$19*04_回帰ANOVA!$K$14*SQRT(1+Y5696)</f>
        <v>1.46161380324158</v>
      </c>
      <c r="AA5696" s="0" t="n">
        <f aca="false">X5696-Z5696</f>
        <v>46.6401634262906</v>
      </c>
      <c r="AB5696" s="0" t="n">
        <f aca="false">X5696+Z5696</f>
        <v>49.5633910327737</v>
      </c>
      <c r="AC5696" s="54" t="b">
        <f aca="false">AND(E5696&gt;=01_因子設定!$L$5-0.000000001,E5696&lt;=01_因子設定!$M$5+0.000000001,F5696&gt;=01_因子設定!$L$6-0.000000001,F5696&lt;=01_因子設定!$M$6+0.000000001,G5696&gt;=01_因子設定!$L$7-0.000000001,G5696&lt;=01_因子設定!$M$7+0.000000001,H5696&gt;=01_因子設定!$L$8-0.000000001,H5696&lt;=01_因子設定!$M$8+0.000000001,IF(01_因子設定!$B$20="Box-Behnken",E5696^2+F5696^2+G5696^2+H5696^2&lt;=2+0.000000001,TRUE()))</f>
        <v>1</v>
      </c>
      <c r="AD5696" s="55" t="n">
        <f aca="false">IF(AC5696,IF(01_因子設定!$B$13="最大化",AA5696-01_因子設定!$B$14,IF(01_因子設定!$B$13="最小化",01_因子設定!$B$15-AB5696,MIN(AA5696-01_因子設定!$B$14,01_因子設定!$B$15-AB5696))),-1E+030)</f>
        <v>0.14016342629057</v>
      </c>
      <c r="AE5696" s="55" t="n">
        <f aca="false">IF(AC5696,IF(01_因子設定!$B$13="最大化",X5696,IF(01_因子設定!$B$13="最小化",-X5696,-ABS(X5696-01_因子設定!$B$16))),-1E+030)</f>
        <v>48.1017772295322</v>
      </c>
      <c r="AF5696" s="55" t="n">
        <f aca="false">AD5696+ROW()*0.000000001</f>
        <v>0.14016912229057</v>
      </c>
      <c r="AG5696" s="55" t="n">
        <f aca="false">AE5696+ROW()*0.000000001</f>
        <v>48.1017829255322</v>
      </c>
    </row>
    <row r="5697" customFormat="false" ht="15" hidden="false" customHeight="false" outlineLevel="0" collapsed="false">
      <c r="A5697" s="0" t="n">
        <v>7</v>
      </c>
      <c r="B5697" s="0" t="n">
        <v>7</v>
      </c>
      <c r="C5697" s="0" t="n">
        <v>2</v>
      </c>
      <c r="D5697" s="0" t="n">
        <v>4</v>
      </c>
      <c r="E5697" s="0" t="n">
        <f aca="false">-1+A5697*0.25</f>
        <v>0.75</v>
      </c>
      <c r="F5697" s="0" t="n">
        <f aca="false">-1+B5697*0.25</f>
        <v>0.75</v>
      </c>
      <c r="G5697" s="0" t="n">
        <f aca="false">-1+C5697*0.25</f>
        <v>-0.5</v>
      </c>
      <c r="H5697" s="0" t="n">
        <f aca="false">-1+D5697*0.25</f>
        <v>0</v>
      </c>
      <c r="I5697" s="0" t="n">
        <f aca="false">1</f>
        <v>1</v>
      </c>
      <c r="J5697" s="0" t="n">
        <f aca="false">E5697</f>
        <v>0.75</v>
      </c>
      <c r="K5697" s="0" t="n">
        <f aca="false">F5697</f>
        <v>0.75</v>
      </c>
      <c r="L5697" s="0" t="n">
        <f aca="false">G5697</f>
        <v>-0.5</v>
      </c>
      <c r="M5697" s="0" t="n">
        <f aca="false">H5697</f>
        <v>0</v>
      </c>
      <c r="N5697" s="0" t="n">
        <f aca="false">E5697*F5697</f>
        <v>0.5625</v>
      </c>
      <c r="O5697" s="0" t="n">
        <f aca="false">E5697*G5697</f>
        <v>-0.375</v>
      </c>
      <c r="P5697" s="0" t="n">
        <f aca="false">E5697*H5697</f>
        <v>0</v>
      </c>
      <c r="Q5697" s="0" t="n">
        <f aca="false">F5697*G5697</f>
        <v>-0.375</v>
      </c>
      <c r="R5697" s="0" t="n">
        <f aca="false">F5697*H5697</f>
        <v>0</v>
      </c>
      <c r="S5697" s="0" t="n">
        <f aca="false">G5697*H5697</f>
        <v>-0</v>
      </c>
      <c r="T5697" s="0" t="n">
        <f aca="false">E5697*E5697</f>
        <v>0.5625</v>
      </c>
      <c r="U5697" s="0" t="n">
        <f aca="false">F5697*F5697</f>
        <v>0.5625</v>
      </c>
      <c r="V5697" s="0" t="n">
        <f aca="false">G5697*G5697</f>
        <v>0.25</v>
      </c>
      <c r="W5697" s="0" t="n">
        <f aca="false">H5697*H5697</f>
        <v>0</v>
      </c>
      <c r="X5697" s="0" t="n">
        <f aca="false">SUMPRODUCT(I5697:W5697,_XtX!$B$96:$P$96)</f>
        <v>48.174725877193</v>
      </c>
      <c r="Y5697" s="0" t="n">
        <f aca="false">SUMPRODUCT(MMULT(I5697:W5697,_XtX!$B$78:$P$92),I5697:W5697)</f>
        <v>0.269923873812135</v>
      </c>
      <c r="Z5697" s="0" t="n">
        <f aca="false">04_回帰ANOVA!$K$19*04_回帰ANOVA!$K$14*SQRT(1+Y5697)</f>
        <v>1.46888310825501</v>
      </c>
      <c r="AA5697" s="0" t="n">
        <f aca="false">X5697-Z5697</f>
        <v>46.705842768938</v>
      </c>
      <c r="AB5697" s="0" t="n">
        <f aca="false">X5697+Z5697</f>
        <v>49.643608985448</v>
      </c>
      <c r="AC5697" s="54" t="b">
        <f aca="false">AND(E5697&gt;=01_因子設定!$L$5-0.000000001,E5697&lt;=01_因子設定!$M$5+0.000000001,F5697&gt;=01_因子設定!$L$6-0.000000001,F5697&lt;=01_因子設定!$M$6+0.000000001,G5697&gt;=01_因子設定!$L$7-0.000000001,G5697&lt;=01_因子設定!$M$7+0.000000001,H5697&gt;=01_因子設定!$L$8-0.000000001,H5697&lt;=01_因子設定!$M$8+0.000000001,IF(01_因子設定!$B$20="Box-Behnken",E5697^2+F5697^2+G5697^2+H5697^2&lt;=2+0.000000001,TRUE()))</f>
        <v>1</v>
      </c>
      <c r="AD5697" s="55" t="n">
        <f aca="false">IF(AC5697,IF(01_因子設定!$B$13="最大化",AA5697-01_因子設定!$B$14,IF(01_因子設定!$B$13="最小化",01_因子設定!$B$15-AB5697,MIN(AA5697-01_因子設定!$B$14,01_因子設定!$B$15-AB5697))),-1E+030)</f>
        <v>0.205842768937963</v>
      </c>
      <c r="AE5697" s="55" t="n">
        <f aca="false">IF(AC5697,IF(01_因子設定!$B$13="最大化",X5697,IF(01_因子設定!$B$13="最小化",-X5697,-ABS(X5697-01_因子設定!$B$16))),-1E+030)</f>
        <v>48.174725877193</v>
      </c>
      <c r="AF5697" s="55" t="n">
        <f aca="false">AD5697+ROW()*0.000000001</f>
        <v>0.205848465937963</v>
      </c>
      <c r="AG5697" s="55" t="n">
        <f aca="false">AE5697+ROW()*0.000000001</f>
        <v>48.174731574193</v>
      </c>
    </row>
    <row r="5698" customFormat="false" ht="15" hidden="false" customHeight="false" outlineLevel="0" collapsed="false">
      <c r="A5698" s="0" t="n">
        <v>7</v>
      </c>
      <c r="B5698" s="0" t="n">
        <v>7</v>
      </c>
      <c r="C5698" s="0" t="n">
        <v>2</v>
      </c>
      <c r="D5698" s="0" t="n">
        <v>5</v>
      </c>
      <c r="E5698" s="0" t="n">
        <f aca="false">-1+A5698*0.25</f>
        <v>0.75</v>
      </c>
      <c r="F5698" s="0" t="n">
        <f aca="false">-1+B5698*0.25</f>
        <v>0.75</v>
      </c>
      <c r="G5698" s="0" t="n">
        <f aca="false">-1+C5698*0.25</f>
        <v>-0.5</v>
      </c>
      <c r="H5698" s="0" t="n">
        <f aca="false">-1+D5698*0.25</f>
        <v>0.25</v>
      </c>
      <c r="I5698" s="0" t="n">
        <f aca="false">1</f>
        <v>1</v>
      </c>
      <c r="J5698" s="0" t="n">
        <f aca="false">E5698</f>
        <v>0.75</v>
      </c>
      <c r="K5698" s="0" t="n">
        <f aca="false">F5698</f>
        <v>0.75</v>
      </c>
      <c r="L5698" s="0" t="n">
        <f aca="false">G5698</f>
        <v>-0.5</v>
      </c>
      <c r="M5698" s="0" t="n">
        <f aca="false">H5698</f>
        <v>0.25</v>
      </c>
      <c r="N5698" s="0" t="n">
        <f aca="false">E5698*F5698</f>
        <v>0.5625</v>
      </c>
      <c r="O5698" s="0" t="n">
        <f aca="false">E5698*G5698</f>
        <v>-0.375</v>
      </c>
      <c r="P5698" s="0" t="n">
        <f aca="false">E5698*H5698</f>
        <v>0.1875</v>
      </c>
      <c r="Q5698" s="0" t="n">
        <f aca="false">F5698*G5698</f>
        <v>-0.375</v>
      </c>
      <c r="R5698" s="0" t="n">
        <f aca="false">F5698*H5698</f>
        <v>0.1875</v>
      </c>
      <c r="S5698" s="0" t="n">
        <f aca="false">G5698*H5698</f>
        <v>-0.125</v>
      </c>
      <c r="T5698" s="0" t="n">
        <f aca="false">E5698*E5698</f>
        <v>0.5625</v>
      </c>
      <c r="U5698" s="0" t="n">
        <f aca="false">F5698*F5698</f>
        <v>0.5625</v>
      </c>
      <c r="V5698" s="0" t="n">
        <f aca="false">G5698*G5698</f>
        <v>0.25</v>
      </c>
      <c r="W5698" s="0" t="n">
        <f aca="false">H5698*H5698</f>
        <v>0.0625</v>
      </c>
      <c r="X5698" s="0" t="n">
        <f aca="false">SUMPRODUCT(I5698:W5698,_XtX!$B$96:$P$96)</f>
        <v>48.1998675073099</v>
      </c>
      <c r="Y5698" s="0" t="n">
        <f aca="false">SUMPRODUCT(MMULT(I5698:W5698,_XtX!$B$78:$P$92),I5698:W5698)</f>
        <v>0.257385610836988</v>
      </c>
      <c r="Z5698" s="0" t="n">
        <f aca="false">04_回帰ANOVA!$K$19*04_回帰ANOVA!$K$14*SQRT(1+Y5698)</f>
        <v>1.46161380324158</v>
      </c>
      <c r="AA5698" s="0" t="n">
        <f aca="false">X5698-Z5698</f>
        <v>46.7382537040684</v>
      </c>
      <c r="AB5698" s="0" t="n">
        <f aca="false">X5698+Z5698</f>
        <v>49.6614813105515</v>
      </c>
      <c r="AC5698" s="54" t="b">
        <f aca="false">AND(E5698&gt;=01_因子設定!$L$5-0.000000001,E5698&lt;=01_因子設定!$M$5+0.000000001,F5698&gt;=01_因子設定!$L$6-0.000000001,F5698&lt;=01_因子設定!$M$6+0.000000001,G5698&gt;=01_因子設定!$L$7-0.000000001,G5698&lt;=01_因子設定!$M$7+0.000000001,H5698&gt;=01_因子設定!$L$8-0.000000001,H5698&lt;=01_因子設定!$M$8+0.000000001,IF(01_因子設定!$B$20="Box-Behnken",E5698^2+F5698^2+G5698^2+H5698^2&lt;=2+0.000000001,TRUE()))</f>
        <v>1</v>
      </c>
      <c r="AD5698" s="55" t="n">
        <f aca="false">IF(AC5698,IF(01_因子設定!$B$13="最大化",AA5698-01_因子設定!$B$14,IF(01_因子設定!$B$13="最小化",01_因子設定!$B$15-AB5698,MIN(AA5698-01_因子設定!$B$14,01_因子設定!$B$15-AB5698))),-1E+030)</f>
        <v>0.238253704068349</v>
      </c>
      <c r="AE5698" s="55" t="n">
        <f aca="false">IF(AC5698,IF(01_因子設定!$B$13="最大化",X5698,IF(01_因子設定!$B$13="最小化",-X5698,-ABS(X5698-01_因子設定!$B$16))),-1E+030)</f>
        <v>48.1998675073099</v>
      </c>
      <c r="AF5698" s="55" t="n">
        <f aca="false">AD5698+ROW()*0.000000001</f>
        <v>0.238259402068349</v>
      </c>
      <c r="AG5698" s="55" t="n">
        <f aca="false">AE5698+ROW()*0.000000001</f>
        <v>48.1998732053099</v>
      </c>
    </row>
    <row r="5699" customFormat="false" ht="15" hidden="false" customHeight="false" outlineLevel="0" collapsed="false">
      <c r="A5699" s="0" t="n">
        <v>7</v>
      </c>
      <c r="B5699" s="0" t="n">
        <v>7</v>
      </c>
      <c r="C5699" s="0" t="n">
        <v>2</v>
      </c>
      <c r="D5699" s="0" t="n">
        <v>6</v>
      </c>
      <c r="E5699" s="0" t="n">
        <f aca="false">-1+A5699*0.25</f>
        <v>0.75</v>
      </c>
      <c r="F5699" s="0" t="n">
        <f aca="false">-1+B5699*0.25</f>
        <v>0.75</v>
      </c>
      <c r="G5699" s="0" t="n">
        <f aca="false">-1+C5699*0.25</f>
        <v>-0.5</v>
      </c>
      <c r="H5699" s="0" t="n">
        <f aca="false">-1+D5699*0.25</f>
        <v>0.5</v>
      </c>
      <c r="I5699" s="0" t="n">
        <f aca="false">1</f>
        <v>1</v>
      </c>
      <c r="J5699" s="0" t="n">
        <f aca="false">E5699</f>
        <v>0.75</v>
      </c>
      <c r="K5699" s="0" t="n">
        <f aca="false">F5699</f>
        <v>0.75</v>
      </c>
      <c r="L5699" s="0" t="n">
        <f aca="false">G5699</f>
        <v>-0.5</v>
      </c>
      <c r="M5699" s="0" t="n">
        <f aca="false">H5699</f>
        <v>0.5</v>
      </c>
      <c r="N5699" s="0" t="n">
        <f aca="false">E5699*F5699</f>
        <v>0.5625</v>
      </c>
      <c r="O5699" s="0" t="n">
        <f aca="false">E5699*G5699</f>
        <v>-0.375</v>
      </c>
      <c r="P5699" s="0" t="n">
        <f aca="false">E5699*H5699</f>
        <v>0.375</v>
      </c>
      <c r="Q5699" s="0" t="n">
        <f aca="false">F5699*G5699</f>
        <v>-0.375</v>
      </c>
      <c r="R5699" s="0" t="n">
        <f aca="false">F5699*H5699</f>
        <v>0.375</v>
      </c>
      <c r="S5699" s="0" t="n">
        <f aca="false">G5699*H5699</f>
        <v>-0.25</v>
      </c>
      <c r="T5699" s="0" t="n">
        <f aca="false">E5699*E5699</f>
        <v>0.5625</v>
      </c>
      <c r="U5699" s="0" t="n">
        <f aca="false">F5699*F5699</f>
        <v>0.5625</v>
      </c>
      <c r="V5699" s="0" t="n">
        <f aca="false">G5699*G5699</f>
        <v>0.25</v>
      </c>
      <c r="W5699" s="0" t="n">
        <f aca="false">H5699*H5699</f>
        <v>0.25</v>
      </c>
      <c r="X5699" s="0" t="n">
        <f aca="false">SUMPRODUCT(I5699:W5699,_XtX!$B$96:$P$96)</f>
        <v>48.177202119883</v>
      </c>
      <c r="Y5699" s="0" t="n">
        <f aca="false">SUMPRODUCT(MMULT(I5699:W5699,_XtX!$B$78:$P$92),I5699:W5699)</f>
        <v>0.237862927174708</v>
      </c>
      <c r="Z5699" s="0" t="n">
        <f aca="false">04_回帰ANOVA!$K$19*04_回帰ANOVA!$K$14*SQRT(1+Y5699)</f>
        <v>1.45022260708756</v>
      </c>
      <c r="AA5699" s="0" t="n">
        <f aca="false">X5699-Z5699</f>
        <v>46.7269795127955</v>
      </c>
      <c r="AB5699" s="0" t="n">
        <f aca="false">X5699+Z5699</f>
        <v>49.6274247269706</v>
      </c>
      <c r="AC5699" s="54" t="b">
        <f aca="false">AND(E5699&gt;=01_因子設定!$L$5-0.000000001,E5699&lt;=01_因子設定!$M$5+0.000000001,F5699&gt;=01_因子設定!$L$6-0.000000001,F5699&lt;=01_因子設定!$M$6+0.000000001,G5699&gt;=01_因子設定!$L$7-0.000000001,G5699&lt;=01_因子設定!$M$7+0.000000001,H5699&gt;=01_因子設定!$L$8-0.000000001,H5699&lt;=01_因子設定!$M$8+0.000000001,IF(01_因子設定!$B$20="Box-Behnken",E5699^2+F5699^2+G5699^2+H5699^2&lt;=2+0.000000001,TRUE()))</f>
        <v>1</v>
      </c>
      <c r="AD5699" s="55" t="n">
        <f aca="false">IF(AC5699,IF(01_因子設定!$B$13="最大化",AA5699-01_因子設定!$B$14,IF(01_因子設定!$B$13="最小化",01_因子設定!$B$15-AB5699,MIN(AA5699-01_因子設定!$B$14,01_因子設定!$B$15-AB5699))),-1E+030)</f>
        <v>0.226979512795474</v>
      </c>
      <c r="AE5699" s="55" t="n">
        <f aca="false">IF(AC5699,IF(01_因子設定!$B$13="最大化",X5699,IF(01_因子設定!$B$13="最小化",-X5699,-ABS(X5699-01_因子設定!$B$16))),-1E+030)</f>
        <v>48.177202119883</v>
      </c>
      <c r="AF5699" s="55" t="n">
        <f aca="false">AD5699+ROW()*0.000000001</f>
        <v>0.226985211795474</v>
      </c>
      <c r="AG5699" s="55" t="n">
        <f aca="false">AE5699+ROW()*0.000000001</f>
        <v>48.177207818883</v>
      </c>
    </row>
    <row r="5700" customFormat="false" ht="15" hidden="false" customHeight="false" outlineLevel="0" collapsed="false">
      <c r="A5700" s="0" t="n">
        <v>7</v>
      </c>
      <c r="B5700" s="0" t="n">
        <v>7</v>
      </c>
      <c r="C5700" s="0" t="n">
        <v>2</v>
      </c>
      <c r="D5700" s="0" t="n">
        <v>7</v>
      </c>
      <c r="E5700" s="0" t="n">
        <f aca="false">-1+A5700*0.25</f>
        <v>0.75</v>
      </c>
      <c r="F5700" s="0" t="n">
        <f aca="false">-1+B5700*0.25</f>
        <v>0.75</v>
      </c>
      <c r="G5700" s="0" t="n">
        <f aca="false">-1+C5700*0.25</f>
        <v>-0.5</v>
      </c>
      <c r="H5700" s="0" t="n">
        <f aca="false">-1+D5700*0.25</f>
        <v>0.75</v>
      </c>
      <c r="I5700" s="0" t="n">
        <f aca="false">1</f>
        <v>1</v>
      </c>
      <c r="J5700" s="0" t="n">
        <f aca="false">E5700</f>
        <v>0.75</v>
      </c>
      <c r="K5700" s="0" t="n">
        <f aca="false">F5700</f>
        <v>0.75</v>
      </c>
      <c r="L5700" s="0" t="n">
        <f aca="false">G5700</f>
        <v>-0.5</v>
      </c>
      <c r="M5700" s="0" t="n">
        <f aca="false">H5700</f>
        <v>0.75</v>
      </c>
      <c r="N5700" s="0" t="n">
        <f aca="false">E5700*F5700</f>
        <v>0.5625</v>
      </c>
      <c r="O5700" s="0" t="n">
        <f aca="false">E5700*G5700</f>
        <v>-0.375</v>
      </c>
      <c r="P5700" s="0" t="n">
        <f aca="false">E5700*H5700</f>
        <v>0.5625</v>
      </c>
      <c r="Q5700" s="0" t="n">
        <f aca="false">F5700*G5700</f>
        <v>-0.375</v>
      </c>
      <c r="R5700" s="0" t="n">
        <f aca="false">F5700*H5700</f>
        <v>0.5625</v>
      </c>
      <c r="S5700" s="0" t="n">
        <f aca="false">G5700*H5700</f>
        <v>-0.375</v>
      </c>
      <c r="T5700" s="0" t="n">
        <f aca="false">E5700*E5700</f>
        <v>0.5625</v>
      </c>
      <c r="U5700" s="0" t="n">
        <f aca="false">F5700*F5700</f>
        <v>0.5625</v>
      </c>
      <c r="V5700" s="0" t="n">
        <f aca="false">G5700*G5700</f>
        <v>0.25</v>
      </c>
      <c r="W5700" s="0" t="n">
        <f aca="false">H5700*H5700</f>
        <v>0.5625</v>
      </c>
      <c r="X5700" s="0" t="n">
        <f aca="false">SUMPRODUCT(I5700:W5700,_XtX!$B$96:$P$96)</f>
        <v>48.1067297149123</v>
      </c>
      <c r="Y5700" s="0" t="n">
        <f aca="false">SUMPRODUCT(MMULT(I5700:W5700,_XtX!$B$78:$P$92),I5700:W5700)</f>
        <v>0.265632138614766</v>
      </c>
      <c r="Z5700" s="0" t="n">
        <f aca="false">04_回帰ANOVA!$K$19*04_回帰ANOVA!$K$14*SQRT(1+Y5700)</f>
        <v>1.46639894654257</v>
      </c>
      <c r="AA5700" s="0" t="n">
        <f aca="false">X5700-Z5700</f>
        <v>46.6403307683697</v>
      </c>
      <c r="AB5700" s="0" t="n">
        <f aca="false">X5700+Z5700</f>
        <v>49.5731286614549</v>
      </c>
      <c r="AC5700" s="54" t="b">
        <f aca="false">AND(E5700&gt;=01_因子設定!$L$5-0.000000001,E5700&lt;=01_因子設定!$M$5+0.000000001,F5700&gt;=01_因子設定!$L$6-0.000000001,F5700&lt;=01_因子設定!$M$6+0.000000001,G5700&gt;=01_因子設定!$L$7-0.000000001,G5700&lt;=01_因子設定!$M$7+0.000000001,H5700&gt;=01_因子設定!$L$8-0.000000001,H5700&lt;=01_因子設定!$M$8+0.000000001,IF(01_因子設定!$B$20="Box-Behnken",E5700^2+F5700^2+G5700^2+H5700^2&lt;=2+0.000000001,TRUE()))</f>
        <v>1</v>
      </c>
      <c r="AD5700" s="55" t="n">
        <f aca="false">IF(AC5700,IF(01_因子設定!$B$13="最大化",AA5700-01_因子設定!$B$14,IF(01_因子設定!$B$13="最小化",01_因子設定!$B$15-AB5700,MIN(AA5700-01_因子設定!$B$14,01_因子設定!$B$15-AB5700))),-1E+030)</f>
        <v>0.140330768369708</v>
      </c>
      <c r="AE5700" s="55" t="n">
        <f aca="false">IF(AC5700,IF(01_因子設定!$B$13="最大化",X5700,IF(01_因子設定!$B$13="最小化",-X5700,-ABS(X5700-01_因子設定!$B$16))),-1E+030)</f>
        <v>48.1067297149123</v>
      </c>
      <c r="AF5700" s="55" t="n">
        <f aca="false">AD5700+ROW()*0.000000001</f>
        <v>0.140336468369708</v>
      </c>
      <c r="AG5700" s="55" t="n">
        <f aca="false">AE5700+ROW()*0.000000001</f>
        <v>48.1067354149123</v>
      </c>
    </row>
    <row r="5701" customFormat="false" ht="15" hidden="false" customHeight="false" outlineLevel="0" collapsed="false">
      <c r="A5701" s="0" t="n">
        <v>7</v>
      </c>
      <c r="B5701" s="0" t="n">
        <v>7</v>
      </c>
      <c r="C5701" s="0" t="n">
        <v>2</v>
      </c>
      <c r="D5701" s="0" t="n">
        <v>8</v>
      </c>
      <c r="E5701" s="0" t="n">
        <f aca="false">-1+A5701*0.25</f>
        <v>0.75</v>
      </c>
      <c r="F5701" s="0" t="n">
        <f aca="false">-1+B5701*0.25</f>
        <v>0.75</v>
      </c>
      <c r="G5701" s="0" t="n">
        <f aca="false">-1+C5701*0.25</f>
        <v>-0.5</v>
      </c>
      <c r="H5701" s="0" t="n">
        <f aca="false">-1+D5701*0.25</f>
        <v>1</v>
      </c>
      <c r="I5701" s="0" t="n">
        <f aca="false">1</f>
        <v>1</v>
      </c>
      <c r="J5701" s="0" t="n">
        <f aca="false">E5701</f>
        <v>0.75</v>
      </c>
      <c r="K5701" s="0" t="n">
        <f aca="false">F5701</f>
        <v>0.75</v>
      </c>
      <c r="L5701" s="0" t="n">
        <f aca="false">G5701</f>
        <v>-0.5</v>
      </c>
      <c r="M5701" s="0" t="n">
        <f aca="false">H5701</f>
        <v>1</v>
      </c>
      <c r="N5701" s="0" t="n">
        <f aca="false">E5701*F5701</f>
        <v>0.5625</v>
      </c>
      <c r="O5701" s="0" t="n">
        <f aca="false">E5701*G5701</f>
        <v>-0.375</v>
      </c>
      <c r="P5701" s="0" t="n">
        <f aca="false">E5701*H5701</f>
        <v>0.75</v>
      </c>
      <c r="Q5701" s="0" t="n">
        <f aca="false">F5701*G5701</f>
        <v>-0.375</v>
      </c>
      <c r="R5701" s="0" t="n">
        <f aca="false">F5701*H5701</f>
        <v>0.75</v>
      </c>
      <c r="S5701" s="0" t="n">
        <f aca="false">G5701*H5701</f>
        <v>-0.5</v>
      </c>
      <c r="T5701" s="0" t="n">
        <f aca="false">E5701*E5701</f>
        <v>0.5625</v>
      </c>
      <c r="U5701" s="0" t="n">
        <f aca="false">F5701*F5701</f>
        <v>0.5625</v>
      </c>
      <c r="V5701" s="0" t="n">
        <f aca="false">G5701*G5701</f>
        <v>0.25</v>
      </c>
      <c r="W5701" s="0" t="n">
        <f aca="false">H5701*H5701</f>
        <v>1</v>
      </c>
      <c r="X5701" s="0" t="n">
        <f aca="false">SUMPRODUCT(I5701:W5701,_XtX!$B$96:$P$96)</f>
        <v>47.9884502923977</v>
      </c>
      <c r="Y5701" s="0" t="n">
        <f aca="false">SUMPRODUCT(MMULT(I5701:W5701,_XtX!$B$78:$P$92),I5701:W5701)</f>
        <v>0.431153771472953</v>
      </c>
      <c r="Z5701" s="0" t="n">
        <f aca="false">04_回帰ANOVA!$K$19*04_回帰ANOVA!$K$14*SQRT(1+Y5701)</f>
        <v>1.55934259562563</v>
      </c>
      <c r="AA5701" s="0" t="n">
        <f aca="false">X5701-Z5701</f>
        <v>46.4291076967721</v>
      </c>
      <c r="AB5701" s="0" t="n">
        <f aca="false">X5701+Z5701</f>
        <v>49.5477928880233</v>
      </c>
      <c r="AC5701" s="54" t="b">
        <f aca="false">AND(E5701&gt;=01_因子設定!$L$5-0.000000001,E5701&lt;=01_因子設定!$M$5+0.000000001,F5701&gt;=01_因子設定!$L$6-0.000000001,F5701&lt;=01_因子設定!$M$6+0.000000001,G5701&gt;=01_因子設定!$L$7-0.000000001,G5701&lt;=01_因子設定!$M$7+0.000000001,H5701&gt;=01_因子設定!$L$8-0.000000001,H5701&lt;=01_因子設定!$M$8+0.000000001,IF(01_因子設定!$B$20="Box-Behnken",E5701^2+F5701^2+G5701^2+H5701^2&lt;=2+0.000000001,TRUE()))</f>
        <v>1</v>
      </c>
      <c r="AD5701" s="55" t="n">
        <f aca="false">IF(AC5701,IF(01_因子設定!$B$13="最大化",AA5701-01_因子設定!$B$14,IF(01_因子設定!$B$13="最小化",01_因子設定!$B$15-AB5701,MIN(AA5701-01_因子設定!$B$14,01_因子設定!$B$15-AB5701))),-1E+030)</f>
        <v>-0.07089230322795</v>
      </c>
      <c r="AE5701" s="55" t="n">
        <f aca="false">IF(AC5701,IF(01_因子設定!$B$13="最大化",X5701,IF(01_因子設定!$B$13="最小化",-X5701,-ABS(X5701-01_因子設定!$B$16))),-1E+030)</f>
        <v>47.9884502923977</v>
      </c>
      <c r="AF5701" s="55" t="n">
        <f aca="false">AD5701+ROW()*0.000000001</f>
        <v>-0.07088660222795</v>
      </c>
      <c r="AG5701" s="55" t="n">
        <f aca="false">AE5701+ROW()*0.000000001</f>
        <v>47.9884559933977</v>
      </c>
    </row>
    <row r="5702" customFormat="false" ht="15" hidden="false" customHeight="false" outlineLevel="0" collapsed="false">
      <c r="A5702" s="0" t="n">
        <v>7</v>
      </c>
      <c r="B5702" s="0" t="n">
        <v>7</v>
      </c>
      <c r="C5702" s="0" t="n">
        <v>3</v>
      </c>
      <c r="D5702" s="0" t="n">
        <v>0</v>
      </c>
      <c r="E5702" s="0" t="n">
        <f aca="false">-1+A5702*0.25</f>
        <v>0.75</v>
      </c>
      <c r="F5702" s="0" t="n">
        <f aca="false">-1+B5702*0.25</f>
        <v>0.75</v>
      </c>
      <c r="G5702" s="0" t="n">
        <f aca="false">-1+C5702*0.25</f>
        <v>-0.25</v>
      </c>
      <c r="H5702" s="0" t="n">
        <f aca="false">-1+D5702*0.25</f>
        <v>-1</v>
      </c>
      <c r="I5702" s="0" t="n">
        <f aca="false">1</f>
        <v>1</v>
      </c>
      <c r="J5702" s="0" t="n">
        <f aca="false">E5702</f>
        <v>0.75</v>
      </c>
      <c r="K5702" s="0" t="n">
        <f aca="false">F5702</f>
        <v>0.75</v>
      </c>
      <c r="L5702" s="0" t="n">
        <f aca="false">G5702</f>
        <v>-0.25</v>
      </c>
      <c r="M5702" s="0" t="n">
        <f aca="false">H5702</f>
        <v>-1</v>
      </c>
      <c r="N5702" s="0" t="n">
        <f aca="false">E5702*F5702</f>
        <v>0.5625</v>
      </c>
      <c r="O5702" s="0" t="n">
        <f aca="false">E5702*G5702</f>
        <v>-0.1875</v>
      </c>
      <c r="P5702" s="0" t="n">
        <f aca="false">E5702*H5702</f>
        <v>-0.75</v>
      </c>
      <c r="Q5702" s="0" t="n">
        <f aca="false">F5702*G5702</f>
        <v>-0.1875</v>
      </c>
      <c r="R5702" s="0" t="n">
        <f aca="false">F5702*H5702</f>
        <v>-0.75</v>
      </c>
      <c r="S5702" s="0" t="n">
        <f aca="false">G5702*H5702</f>
        <v>0.25</v>
      </c>
      <c r="T5702" s="0" t="n">
        <f aca="false">E5702*E5702</f>
        <v>0.5625</v>
      </c>
      <c r="U5702" s="0" t="n">
        <f aca="false">F5702*F5702</f>
        <v>0.5625</v>
      </c>
      <c r="V5702" s="0" t="n">
        <f aca="false">G5702*G5702</f>
        <v>0.0625</v>
      </c>
      <c r="W5702" s="0" t="n">
        <f aca="false">H5702*H5702</f>
        <v>1</v>
      </c>
      <c r="X5702" s="0" t="n">
        <f aca="false">SUMPRODUCT(I5702:W5702,_XtX!$B$96:$P$96)</f>
        <v>47.8347267909357</v>
      </c>
      <c r="Y5702" s="0" t="n">
        <f aca="false">SUMPRODUCT(MMULT(I5702:W5702,_XtX!$B$78:$P$92),I5702:W5702)</f>
        <v>0.473959761056287</v>
      </c>
      <c r="Z5702" s="0" t="n">
        <f aca="false">04_回帰ANOVA!$K$19*04_回帰ANOVA!$K$14*SQRT(1+Y5702)</f>
        <v>1.58249084588329</v>
      </c>
      <c r="AA5702" s="0" t="n">
        <f aca="false">X5702-Z5702</f>
        <v>46.2522359450524</v>
      </c>
      <c r="AB5702" s="0" t="n">
        <f aca="false">X5702+Z5702</f>
        <v>49.417217636819</v>
      </c>
      <c r="AC5702" s="54" t="b">
        <f aca="false">AND(E5702&gt;=01_因子設定!$L$5-0.000000001,E5702&lt;=01_因子設定!$M$5+0.000000001,F5702&gt;=01_因子設定!$L$6-0.000000001,F5702&lt;=01_因子設定!$M$6+0.000000001,G5702&gt;=01_因子設定!$L$7-0.000000001,G5702&lt;=01_因子設定!$M$7+0.000000001,H5702&gt;=01_因子設定!$L$8-0.000000001,H5702&lt;=01_因子設定!$M$8+0.000000001,IF(01_因子設定!$B$20="Box-Behnken",E5702^2+F5702^2+G5702^2+H5702^2&lt;=2+0.000000001,TRUE()))</f>
        <v>1</v>
      </c>
      <c r="AD5702" s="55" t="n">
        <f aca="false">IF(AC5702,IF(01_因子設定!$B$13="最大化",AA5702-01_因子設定!$B$14,IF(01_因子設定!$B$13="最小化",01_因子設定!$B$15-AB5702,MIN(AA5702-01_因子設定!$B$14,01_因子設定!$B$15-AB5702))),-1E+030)</f>
        <v>-0.247764054947588</v>
      </c>
      <c r="AE5702" s="55" t="n">
        <f aca="false">IF(AC5702,IF(01_因子設定!$B$13="最大化",X5702,IF(01_因子設定!$B$13="最小化",-X5702,-ABS(X5702-01_因子設定!$B$16))),-1E+030)</f>
        <v>47.8347267909357</v>
      </c>
      <c r="AF5702" s="55" t="n">
        <f aca="false">AD5702+ROW()*0.000000001</f>
        <v>-0.247758352947588</v>
      </c>
      <c r="AG5702" s="55" t="n">
        <f aca="false">AE5702+ROW()*0.000000001</f>
        <v>47.8347324929357</v>
      </c>
    </row>
    <row r="5703" customFormat="false" ht="15" hidden="false" customHeight="false" outlineLevel="0" collapsed="false">
      <c r="A5703" s="0" t="n">
        <v>7</v>
      </c>
      <c r="B5703" s="0" t="n">
        <v>7</v>
      </c>
      <c r="C5703" s="0" t="n">
        <v>3</v>
      </c>
      <c r="D5703" s="0" t="n">
        <v>1</v>
      </c>
      <c r="E5703" s="0" t="n">
        <f aca="false">-1+A5703*0.25</f>
        <v>0.75</v>
      </c>
      <c r="F5703" s="0" t="n">
        <f aca="false">-1+B5703*0.25</f>
        <v>0.75</v>
      </c>
      <c r="G5703" s="0" t="n">
        <f aca="false">-1+C5703*0.25</f>
        <v>-0.25</v>
      </c>
      <c r="H5703" s="0" t="n">
        <f aca="false">-1+D5703*0.25</f>
        <v>-0.75</v>
      </c>
      <c r="I5703" s="0" t="n">
        <f aca="false">1</f>
        <v>1</v>
      </c>
      <c r="J5703" s="0" t="n">
        <f aca="false">E5703</f>
        <v>0.75</v>
      </c>
      <c r="K5703" s="0" t="n">
        <f aca="false">F5703</f>
        <v>0.75</v>
      </c>
      <c r="L5703" s="0" t="n">
        <f aca="false">G5703</f>
        <v>-0.25</v>
      </c>
      <c r="M5703" s="0" t="n">
        <f aca="false">H5703</f>
        <v>-0.75</v>
      </c>
      <c r="N5703" s="0" t="n">
        <f aca="false">E5703*F5703</f>
        <v>0.5625</v>
      </c>
      <c r="O5703" s="0" t="n">
        <f aca="false">E5703*G5703</f>
        <v>-0.1875</v>
      </c>
      <c r="P5703" s="0" t="n">
        <f aca="false">E5703*H5703</f>
        <v>-0.5625</v>
      </c>
      <c r="Q5703" s="0" t="n">
        <f aca="false">F5703*G5703</f>
        <v>-0.1875</v>
      </c>
      <c r="R5703" s="0" t="n">
        <f aca="false">F5703*H5703</f>
        <v>-0.5625</v>
      </c>
      <c r="S5703" s="0" t="n">
        <f aca="false">G5703*H5703</f>
        <v>0.1875</v>
      </c>
      <c r="T5703" s="0" t="n">
        <f aca="false">E5703*E5703</f>
        <v>0.5625</v>
      </c>
      <c r="U5703" s="0" t="n">
        <f aca="false">F5703*F5703</f>
        <v>0.5625</v>
      </c>
      <c r="V5703" s="0" t="n">
        <f aca="false">G5703*G5703</f>
        <v>0.0625</v>
      </c>
      <c r="W5703" s="0" t="n">
        <f aca="false">H5703*H5703</f>
        <v>0.5625</v>
      </c>
      <c r="X5703" s="0" t="n">
        <f aca="false">SUMPRODUCT(I5703:W5703,_XtX!$B$96:$P$96)</f>
        <v>48.0690652412281</v>
      </c>
      <c r="Y5703" s="0" t="n">
        <f aca="false">SUMPRODUCT(MMULT(I5703:W5703,_XtX!$B$78:$P$92),I5703:W5703)</f>
        <v>0.294856199744152</v>
      </c>
      <c r="Z5703" s="0" t="n">
        <f aca="false">04_回帰ANOVA!$K$19*04_回帰ANOVA!$K$14*SQRT(1+Y5703)</f>
        <v>1.48323226089013</v>
      </c>
      <c r="AA5703" s="0" t="n">
        <f aca="false">X5703-Z5703</f>
        <v>46.5858329803379</v>
      </c>
      <c r="AB5703" s="0" t="n">
        <f aca="false">X5703+Z5703</f>
        <v>49.5522975021182</v>
      </c>
      <c r="AC5703" s="54" t="b">
        <f aca="false">AND(E5703&gt;=01_因子設定!$L$5-0.000000001,E5703&lt;=01_因子設定!$M$5+0.000000001,F5703&gt;=01_因子設定!$L$6-0.000000001,F5703&lt;=01_因子設定!$M$6+0.000000001,G5703&gt;=01_因子設定!$L$7-0.000000001,G5703&lt;=01_因子設定!$M$7+0.000000001,H5703&gt;=01_因子設定!$L$8-0.000000001,H5703&lt;=01_因子設定!$M$8+0.000000001,IF(01_因子設定!$B$20="Box-Behnken",E5703^2+F5703^2+G5703^2+H5703^2&lt;=2+0.000000001,TRUE()))</f>
        <v>1</v>
      </c>
      <c r="AD5703" s="55" t="n">
        <f aca="false">IF(AC5703,IF(01_因子設定!$B$13="最大化",AA5703-01_因子設定!$B$14,IF(01_因子設定!$B$13="最小化",01_因子設定!$B$15-AB5703,MIN(AA5703-01_因子設定!$B$14,01_因子設定!$B$15-AB5703))),-1E+030)</f>
        <v>0.0858329803379405</v>
      </c>
      <c r="AE5703" s="55" t="n">
        <f aca="false">IF(AC5703,IF(01_因子設定!$B$13="最大化",X5703,IF(01_因子設定!$B$13="最小化",-X5703,-ABS(X5703-01_因子設定!$B$16))),-1E+030)</f>
        <v>48.0690652412281</v>
      </c>
      <c r="AF5703" s="55" t="n">
        <f aca="false">AD5703+ROW()*0.000000001</f>
        <v>0.0858386833379405</v>
      </c>
      <c r="AG5703" s="55" t="n">
        <f aca="false">AE5703+ROW()*0.000000001</f>
        <v>48.0690709442281</v>
      </c>
    </row>
    <row r="5704" customFormat="false" ht="15" hidden="false" customHeight="false" outlineLevel="0" collapsed="false">
      <c r="A5704" s="0" t="n">
        <v>7</v>
      </c>
      <c r="B5704" s="0" t="n">
        <v>7</v>
      </c>
      <c r="C5704" s="0" t="n">
        <v>3</v>
      </c>
      <c r="D5704" s="0" t="n">
        <v>2</v>
      </c>
      <c r="E5704" s="0" t="n">
        <f aca="false">-1+A5704*0.25</f>
        <v>0.75</v>
      </c>
      <c r="F5704" s="0" t="n">
        <f aca="false">-1+B5704*0.25</f>
        <v>0.75</v>
      </c>
      <c r="G5704" s="0" t="n">
        <f aca="false">-1+C5704*0.25</f>
        <v>-0.25</v>
      </c>
      <c r="H5704" s="0" t="n">
        <f aca="false">-1+D5704*0.25</f>
        <v>-0.5</v>
      </c>
      <c r="I5704" s="0" t="n">
        <f aca="false">1</f>
        <v>1</v>
      </c>
      <c r="J5704" s="0" t="n">
        <f aca="false">E5704</f>
        <v>0.75</v>
      </c>
      <c r="K5704" s="0" t="n">
        <f aca="false">F5704</f>
        <v>0.75</v>
      </c>
      <c r="L5704" s="0" t="n">
        <f aca="false">G5704</f>
        <v>-0.25</v>
      </c>
      <c r="M5704" s="0" t="n">
        <f aca="false">H5704</f>
        <v>-0.5</v>
      </c>
      <c r="N5704" s="0" t="n">
        <f aca="false">E5704*F5704</f>
        <v>0.5625</v>
      </c>
      <c r="O5704" s="0" t="n">
        <f aca="false">E5704*G5704</f>
        <v>-0.1875</v>
      </c>
      <c r="P5704" s="0" t="n">
        <f aca="false">E5704*H5704</f>
        <v>-0.375</v>
      </c>
      <c r="Q5704" s="0" t="n">
        <f aca="false">F5704*G5704</f>
        <v>-0.1875</v>
      </c>
      <c r="R5704" s="0" t="n">
        <f aca="false">F5704*H5704</f>
        <v>-0.375</v>
      </c>
      <c r="S5704" s="0" t="n">
        <f aca="false">G5704*H5704</f>
        <v>0.125</v>
      </c>
      <c r="T5704" s="0" t="n">
        <f aca="false">E5704*E5704</f>
        <v>0.5625</v>
      </c>
      <c r="U5704" s="0" t="n">
        <f aca="false">F5704*F5704</f>
        <v>0.5625</v>
      </c>
      <c r="V5704" s="0" t="n">
        <f aca="false">G5704*G5704</f>
        <v>0.0625</v>
      </c>
      <c r="W5704" s="0" t="n">
        <f aca="false">H5704*H5704</f>
        <v>0.25</v>
      </c>
      <c r="X5704" s="0" t="n">
        <f aca="false">SUMPRODUCT(I5704:W5704,_XtX!$B$96:$P$96)</f>
        <v>48.2555966739766</v>
      </c>
      <c r="Y5704" s="0" t="n">
        <f aca="false">SUMPRODUCT(MMULT(I5704:W5704,_XtX!$B$78:$P$92),I5704:W5704)</f>
        <v>0.257385610836988</v>
      </c>
      <c r="Z5704" s="0" t="n">
        <f aca="false">04_回帰ANOVA!$K$19*04_回帰ANOVA!$K$14*SQRT(1+Y5704)</f>
        <v>1.46161380324158</v>
      </c>
      <c r="AA5704" s="0" t="n">
        <f aca="false">X5704-Z5704</f>
        <v>46.793982870735</v>
      </c>
      <c r="AB5704" s="0" t="n">
        <f aca="false">X5704+Z5704</f>
        <v>49.7172104772182</v>
      </c>
      <c r="AC5704" s="54" t="b">
        <f aca="false">AND(E5704&gt;=01_因子設定!$L$5-0.000000001,E5704&lt;=01_因子設定!$M$5+0.000000001,F5704&gt;=01_因子設定!$L$6-0.000000001,F5704&lt;=01_因子設定!$M$6+0.000000001,G5704&gt;=01_因子設定!$L$7-0.000000001,G5704&lt;=01_因子設定!$M$7+0.000000001,H5704&gt;=01_因子設定!$L$8-0.000000001,H5704&lt;=01_因子設定!$M$8+0.000000001,IF(01_因子設定!$B$20="Box-Behnken",E5704^2+F5704^2+G5704^2+H5704^2&lt;=2+0.000000001,TRUE()))</f>
        <v>1</v>
      </c>
      <c r="AD5704" s="55" t="n">
        <f aca="false">IF(AC5704,IF(01_因子設定!$B$13="最大化",AA5704-01_因子設定!$B$14,IF(01_因子設定!$B$13="最小化",01_因子設定!$B$15-AB5704,MIN(AA5704-01_因子設定!$B$14,01_因子設定!$B$15-AB5704))),-1E+030)</f>
        <v>0.293982870735022</v>
      </c>
      <c r="AE5704" s="55" t="n">
        <f aca="false">IF(AC5704,IF(01_因子設定!$B$13="最大化",X5704,IF(01_因子設定!$B$13="最小化",-X5704,-ABS(X5704-01_因子設定!$B$16))),-1E+030)</f>
        <v>48.2555966739766</v>
      </c>
      <c r="AF5704" s="55" t="n">
        <f aca="false">AD5704+ROW()*0.000000001</f>
        <v>0.293988574735022</v>
      </c>
      <c r="AG5704" s="55" t="n">
        <f aca="false">AE5704+ROW()*0.000000001</f>
        <v>48.2556023779766</v>
      </c>
    </row>
    <row r="5705" customFormat="false" ht="15" hidden="false" customHeight="false" outlineLevel="0" collapsed="false">
      <c r="A5705" s="0" t="n">
        <v>7</v>
      </c>
      <c r="B5705" s="0" t="n">
        <v>7</v>
      </c>
      <c r="C5705" s="0" t="n">
        <v>3</v>
      </c>
      <c r="D5705" s="0" t="n">
        <v>3</v>
      </c>
      <c r="E5705" s="0" t="n">
        <f aca="false">-1+A5705*0.25</f>
        <v>0.75</v>
      </c>
      <c r="F5705" s="0" t="n">
        <f aca="false">-1+B5705*0.25</f>
        <v>0.75</v>
      </c>
      <c r="G5705" s="0" t="n">
        <f aca="false">-1+C5705*0.25</f>
        <v>-0.25</v>
      </c>
      <c r="H5705" s="0" t="n">
        <f aca="false">-1+D5705*0.25</f>
        <v>-0.25</v>
      </c>
      <c r="I5705" s="0" t="n">
        <f aca="false">1</f>
        <v>1</v>
      </c>
      <c r="J5705" s="0" t="n">
        <f aca="false">E5705</f>
        <v>0.75</v>
      </c>
      <c r="K5705" s="0" t="n">
        <f aca="false">F5705</f>
        <v>0.75</v>
      </c>
      <c r="L5705" s="0" t="n">
        <f aca="false">G5705</f>
        <v>-0.25</v>
      </c>
      <c r="M5705" s="0" t="n">
        <f aca="false">H5705</f>
        <v>-0.25</v>
      </c>
      <c r="N5705" s="0" t="n">
        <f aca="false">E5705*F5705</f>
        <v>0.5625</v>
      </c>
      <c r="O5705" s="0" t="n">
        <f aca="false">E5705*G5705</f>
        <v>-0.1875</v>
      </c>
      <c r="P5705" s="0" t="n">
        <f aca="false">E5705*H5705</f>
        <v>-0.1875</v>
      </c>
      <c r="Q5705" s="0" t="n">
        <f aca="false">F5705*G5705</f>
        <v>-0.1875</v>
      </c>
      <c r="R5705" s="0" t="n">
        <f aca="false">F5705*H5705</f>
        <v>-0.1875</v>
      </c>
      <c r="S5705" s="0" t="n">
        <f aca="false">G5705*H5705</f>
        <v>0.0625</v>
      </c>
      <c r="T5705" s="0" t="n">
        <f aca="false">E5705*E5705</f>
        <v>0.5625</v>
      </c>
      <c r="U5705" s="0" t="n">
        <f aca="false">F5705*F5705</f>
        <v>0.5625</v>
      </c>
      <c r="V5705" s="0" t="n">
        <f aca="false">G5705*G5705</f>
        <v>0.0625</v>
      </c>
      <c r="W5705" s="0" t="n">
        <f aca="false">H5705*H5705</f>
        <v>0.0625</v>
      </c>
      <c r="X5705" s="0" t="n">
        <f aca="false">SUMPRODUCT(I5705:W5705,_XtX!$B$96:$P$96)</f>
        <v>48.3943210891813</v>
      </c>
      <c r="Y5705" s="0" t="n">
        <f aca="false">SUMPRODUCT(MMULT(I5705:W5705,_XtX!$B$78:$P$92),I5705:W5705)</f>
        <v>0.271087468019006</v>
      </c>
      <c r="Z5705" s="0" t="n">
        <f aca="false">04_回帰ANOVA!$K$19*04_回帰ANOVA!$K$14*SQRT(1+Y5705)</f>
        <v>1.46955590155034</v>
      </c>
      <c r="AA5705" s="0" t="n">
        <f aca="false">X5705-Z5705</f>
        <v>46.9247651876309</v>
      </c>
      <c r="AB5705" s="0" t="n">
        <f aca="false">X5705+Z5705</f>
        <v>49.8638769907316</v>
      </c>
      <c r="AC5705" s="54" t="b">
        <f aca="false">AND(E5705&gt;=01_因子設定!$L$5-0.000000001,E5705&lt;=01_因子設定!$M$5+0.000000001,F5705&gt;=01_因子設定!$L$6-0.000000001,F5705&lt;=01_因子設定!$M$6+0.000000001,G5705&gt;=01_因子設定!$L$7-0.000000001,G5705&lt;=01_因子設定!$M$7+0.000000001,H5705&gt;=01_因子設定!$L$8-0.000000001,H5705&lt;=01_因子設定!$M$8+0.000000001,IF(01_因子設定!$B$20="Box-Behnken",E5705^2+F5705^2+G5705^2+H5705^2&lt;=2+0.000000001,TRUE()))</f>
        <v>1</v>
      </c>
      <c r="AD5705" s="55" t="n">
        <f aca="false">IF(AC5705,IF(01_因子設定!$B$13="最大化",AA5705-01_因子設定!$B$14,IF(01_因子設定!$B$13="最小化",01_因子設定!$B$15-AB5705,MIN(AA5705-01_因子設定!$B$14,01_因子設定!$B$15-AB5705))),-1E+030)</f>
        <v>0.424765187630932</v>
      </c>
      <c r="AE5705" s="55" t="n">
        <f aca="false">IF(AC5705,IF(01_因子設定!$B$13="最大化",X5705,IF(01_因子設定!$B$13="最小化",-X5705,-ABS(X5705-01_因子設定!$B$16))),-1E+030)</f>
        <v>48.3943210891813</v>
      </c>
      <c r="AF5705" s="55" t="n">
        <f aca="false">AD5705+ROW()*0.000000001</f>
        <v>0.424770892630932</v>
      </c>
      <c r="AG5705" s="55" t="n">
        <f aca="false">AE5705+ROW()*0.000000001</f>
        <v>48.3943267941813</v>
      </c>
    </row>
    <row r="5706" customFormat="false" ht="15" hidden="false" customHeight="false" outlineLevel="0" collapsed="false">
      <c r="A5706" s="0" t="n">
        <v>7</v>
      </c>
      <c r="B5706" s="0" t="n">
        <v>7</v>
      </c>
      <c r="C5706" s="0" t="n">
        <v>3</v>
      </c>
      <c r="D5706" s="0" t="n">
        <v>4</v>
      </c>
      <c r="E5706" s="0" t="n">
        <f aca="false">-1+A5706*0.25</f>
        <v>0.75</v>
      </c>
      <c r="F5706" s="0" t="n">
        <f aca="false">-1+B5706*0.25</f>
        <v>0.75</v>
      </c>
      <c r="G5706" s="0" t="n">
        <f aca="false">-1+C5706*0.25</f>
        <v>-0.25</v>
      </c>
      <c r="H5706" s="0" t="n">
        <f aca="false">-1+D5706*0.25</f>
        <v>0</v>
      </c>
      <c r="I5706" s="0" t="n">
        <f aca="false">1</f>
        <v>1</v>
      </c>
      <c r="J5706" s="0" t="n">
        <f aca="false">E5706</f>
        <v>0.75</v>
      </c>
      <c r="K5706" s="0" t="n">
        <f aca="false">F5706</f>
        <v>0.75</v>
      </c>
      <c r="L5706" s="0" t="n">
        <f aca="false">G5706</f>
        <v>-0.25</v>
      </c>
      <c r="M5706" s="0" t="n">
        <f aca="false">H5706</f>
        <v>0</v>
      </c>
      <c r="N5706" s="0" t="n">
        <f aca="false">E5706*F5706</f>
        <v>0.5625</v>
      </c>
      <c r="O5706" s="0" t="n">
        <f aca="false">E5706*G5706</f>
        <v>-0.1875</v>
      </c>
      <c r="P5706" s="0" t="n">
        <f aca="false">E5706*H5706</f>
        <v>0</v>
      </c>
      <c r="Q5706" s="0" t="n">
        <f aca="false">F5706*G5706</f>
        <v>-0.1875</v>
      </c>
      <c r="R5706" s="0" t="n">
        <f aca="false">F5706*H5706</f>
        <v>0</v>
      </c>
      <c r="S5706" s="0" t="n">
        <f aca="false">G5706*H5706</f>
        <v>-0</v>
      </c>
      <c r="T5706" s="0" t="n">
        <f aca="false">E5706*E5706</f>
        <v>0.5625</v>
      </c>
      <c r="U5706" s="0" t="n">
        <f aca="false">F5706*F5706</f>
        <v>0.5625</v>
      </c>
      <c r="V5706" s="0" t="n">
        <f aca="false">G5706*G5706</f>
        <v>0.0625</v>
      </c>
      <c r="W5706" s="0" t="n">
        <f aca="false">H5706*H5706</f>
        <v>0</v>
      </c>
      <c r="X5706" s="0" t="n">
        <f aca="false">SUMPRODUCT(I5706:W5706,_XtX!$B$96:$P$96)</f>
        <v>48.4852384868421</v>
      </c>
      <c r="Y5706" s="0" t="n">
        <f aca="false">SUMPRODUCT(MMULT(I5706:W5706,_XtX!$B$78:$P$92),I5706:W5706)</f>
        <v>0.281685455500731</v>
      </c>
      <c r="Z5706" s="0" t="n">
        <f aca="false">04_回帰ANOVA!$K$19*04_回帰ANOVA!$K$14*SQRT(1+Y5706)</f>
        <v>1.47566956658694</v>
      </c>
      <c r="AA5706" s="0" t="n">
        <f aca="false">X5706-Z5706</f>
        <v>47.0095689202552</v>
      </c>
      <c r="AB5706" s="0" t="n">
        <f aca="false">X5706+Z5706</f>
        <v>49.960908053429</v>
      </c>
      <c r="AC5706" s="54" t="b">
        <f aca="false">AND(E5706&gt;=01_因子設定!$L$5-0.000000001,E5706&lt;=01_因子設定!$M$5+0.000000001,F5706&gt;=01_因子設定!$L$6-0.000000001,F5706&lt;=01_因子設定!$M$6+0.000000001,G5706&gt;=01_因子設定!$L$7-0.000000001,G5706&lt;=01_因子設定!$M$7+0.000000001,H5706&gt;=01_因子設定!$L$8-0.000000001,H5706&lt;=01_因子設定!$M$8+0.000000001,IF(01_因子設定!$B$20="Box-Behnken",E5706^2+F5706^2+G5706^2+H5706^2&lt;=2+0.000000001,TRUE()))</f>
        <v>1</v>
      </c>
      <c r="AD5706" s="55" t="n">
        <f aca="false">IF(AC5706,IF(01_因子設定!$B$13="最大化",AA5706-01_因子設定!$B$14,IF(01_因子設定!$B$13="最小化",01_因子設定!$B$15-AB5706,MIN(AA5706-01_因子設定!$B$14,01_因子設定!$B$15-AB5706))),-1E+030)</f>
        <v>0.509568920255155</v>
      </c>
      <c r="AE5706" s="55" t="n">
        <f aca="false">IF(AC5706,IF(01_因子設定!$B$13="最大化",X5706,IF(01_因子設定!$B$13="最小化",-X5706,-ABS(X5706-01_因子設定!$B$16))),-1E+030)</f>
        <v>48.4852384868421</v>
      </c>
      <c r="AF5706" s="55" t="n">
        <f aca="false">AD5706+ROW()*0.000000001</f>
        <v>0.509574626255156</v>
      </c>
      <c r="AG5706" s="55" t="n">
        <f aca="false">AE5706+ROW()*0.000000001</f>
        <v>48.4852441928421</v>
      </c>
    </row>
    <row r="5707" customFormat="false" ht="15" hidden="false" customHeight="false" outlineLevel="0" collapsed="false">
      <c r="A5707" s="0" t="n">
        <v>7</v>
      </c>
      <c r="B5707" s="0" t="n">
        <v>7</v>
      </c>
      <c r="C5707" s="0" t="n">
        <v>3</v>
      </c>
      <c r="D5707" s="0" t="n">
        <v>5</v>
      </c>
      <c r="E5707" s="0" t="n">
        <f aca="false">-1+A5707*0.25</f>
        <v>0.75</v>
      </c>
      <c r="F5707" s="0" t="n">
        <f aca="false">-1+B5707*0.25</f>
        <v>0.75</v>
      </c>
      <c r="G5707" s="0" t="n">
        <f aca="false">-1+C5707*0.25</f>
        <v>-0.25</v>
      </c>
      <c r="H5707" s="0" t="n">
        <f aca="false">-1+D5707*0.25</f>
        <v>0.25</v>
      </c>
      <c r="I5707" s="0" t="n">
        <f aca="false">1</f>
        <v>1</v>
      </c>
      <c r="J5707" s="0" t="n">
        <f aca="false">E5707</f>
        <v>0.75</v>
      </c>
      <c r="K5707" s="0" t="n">
        <f aca="false">F5707</f>
        <v>0.75</v>
      </c>
      <c r="L5707" s="0" t="n">
        <f aca="false">G5707</f>
        <v>-0.25</v>
      </c>
      <c r="M5707" s="0" t="n">
        <f aca="false">H5707</f>
        <v>0.25</v>
      </c>
      <c r="N5707" s="0" t="n">
        <f aca="false">E5707*F5707</f>
        <v>0.5625</v>
      </c>
      <c r="O5707" s="0" t="n">
        <f aca="false">E5707*G5707</f>
        <v>-0.1875</v>
      </c>
      <c r="P5707" s="0" t="n">
        <f aca="false">E5707*H5707</f>
        <v>0.1875</v>
      </c>
      <c r="Q5707" s="0" t="n">
        <f aca="false">F5707*G5707</f>
        <v>-0.1875</v>
      </c>
      <c r="R5707" s="0" t="n">
        <f aca="false">F5707*H5707</f>
        <v>0.1875</v>
      </c>
      <c r="S5707" s="0" t="n">
        <f aca="false">G5707*H5707</f>
        <v>-0.0625</v>
      </c>
      <c r="T5707" s="0" t="n">
        <f aca="false">E5707*E5707</f>
        <v>0.5625</v>
      </c>
      <c r="U5707" s="0" t="n">
        <f aca="false">F5707*F5707</f>
        <v>0.5625</v>
      </c>
      <c r="V5707" s="0" t="n">
        <f aca="false">G5707*G5707</f>
        <v>0.0625</v>
      </c>
      <c r="W5707" s="0" t="n">
        <f aca="false">H5707*H5707</f>
        <v>0.0625</v>
      </c>
      <c r="X5707" s="0" t="n">
        <f aca="false">SUMPRODUCT(I5707:W5707,_XtX!$B$96:$P$96)</f>
        <v>48.5283488669591</v>
      </c>
      <c r="Y5707" s="0" t="n">
        <f aca="false">SUMPRODUCT(MMULT(I5707:W5707,_XtX!$B$78:$P$92),I5707:W5707)</f>
        <v>0.271087468019006</v>
      </c>
      <c r="Z5707" s="0" t="n">
        <f aca="false">04_回帰ANOVA!$K$19*04_回帰ANOVA!$K$14*SQRT(1+Y5707)</f>
        <v>1.46955590155034</v>
      </c>
      <c r="AA5707" s="0" t="n">
        <f aca="false">X5707-Z5707</f>
        <v>47.0587929654087</v>
      </c>
      <c r="AB5707" s="0" t="n">
        <f aca="false">X5707+Z5707</f>
        <v>49.9979047685094</v>
      </c>
      <c r="AC5707" s="54" t="b">
        <f aca="false">AND(E5707&gt;=01_因子設定!$L$5-0.000000001,E5707&lt;=01_因子設定!$M$5+0.000000001,F5707&gt;=01_因子設定!$L$6-0.000000001,F5707&lt;=01_因子設定!$M$6+0.000000001,G5707&gt;=01_因子設定!$L$7-0.000000001,G5707&lt;=01_因子設定!$M$7+0.000000001,H5707&gt;=01_因子設定!$L$8-0.000000001,H5707&lt;=01_因子設定!$M$8+0.000000001,IF(01_因子設定!$B$20="Box-Behnken",E5707^2+F5707^2+G5707^2+H5707^2&lt;=2+0.000000001,TRUE()))</f>
        <v>1</v>
      </c>
      <c r="AD5707" s="55" t="n">
        <f aca="false">IF(AC5707,IF(01_因子設定!$B$13="最大化",AA5707-01_因子設定!$B$14,IF(01_因子設定!$B$13="最小化",01_因子設定!$B$15-AB5707,MIN(AA5707-01_因子設定!$B$14,01_因子設定!$B$15-AB5707))),-1E+030)</f>
        <v>0.558792965408706</v>
      </c>
      <c r="AE5707" s="55" t="n">
        <f aca="false">IF(AC5707,IF(01_因子設定!$B$13="最大化",X5707,IF(01_因子設定!$B$13="最小化",-X5707,-ABS(X5707-01_因子設定!$B$16))),-1E+030)</f>
        <v>48.5283488669591</v>
      </c>
      <c r="AF5707" s="55" t="n">
        <f aca="false">AD5707+ROW()*0.000000001</f>
        <v>0.558798672408706</v>
      </c>
      <c r="AG5707" s="55" t="n">
        <f aca="false">AE5707+ROW()*0.000000001</f>
        <v>48.5283545739591</v>
      </c>
    </row>
    <row r="5708" customFormat="false" ht="15" hidden="false" customHeight="false" outlineLevel="0" collapsed="false">
      <c r="A5708" s="0" t="n">
        <v>7</v>
      </c>
      <c r="B5708" s="0" t="n">
        <v>7</v>
      </c>
      <c r="C5708" s="0" t="n">
        <v>3</v>
      </c>
      <c r="D5708" s="0" t="n">
        <v>6</v>
      </c>
      <c r="E5708" s="0" t="n">
        <f aca="false">-1+A5708*0.25</f>
        <v>0.75</v>
      </c>
      <c r="F5708" s="0" t="n">
        <f aca="false">-1+B5708*0.25</f>
        <v>0.75</v>
      </c>
      <c r="G5708" s="0" t="n">
        <f aca="false">-1+C5708*0.25</f>
        <v>-0.25</v>
      </c>
      <c r="H5708" s="0" t="n">
        <f aca="false">-1+D5708*0.25</f>
        <v>0.5</v>
      </c>
      <c r="I5708" s="0" t="n">
        <f aca="false">1</f>
        <v>1</v>
      </c>
      <c r="J5708" s="0" t="n">
        <f aca="false">E5708</f>
        <v>0.75</v>
      </c>
      <c r="K5708" s="0" t="n">
        <f aca="false">F5708</f>
        <v>0.75</v>
      </c>
      <c r="L5708" s="0" t="n">
        <f aca="false">G5708</f>
        <v>-0.25</v>
      </c>
      <c r="M5708" s="0" t="n">
        <f aca="false">H5708</f>
        <v>0.5</v>
      </c>
      <c r="N5708" s="0" t="n">
        <f aca="false">E5708*F5708</f>
        <v>0.5625</v>
      </c>
      <c r="O5708" s="0" t="n">
        <f aca="false">E5708*G5708</f>
        <v>-0.1875</v>
      </c>
      <c r="P5708" s="0" t="n">
        <f aca="false">E5708*H5708</f>
        <v>0.375</v>
      </c>
      <c r="Q5708" s="0" t="n">
        <f aca="false">F5708*G5708</f>
        <v>-0.1875</v>
      </c>
      <c r="R5708" s="0" t="n">
        <f aca="false">F5708*H5708</f>
        <v>0.375</v>
      </c>
      <c r="S5708" s="0" t="n">
        <f aca="false">G5708*H5708</f>
        <v>-0.125</v>
      </c>
      <c r="T5708" s="0" t="n">
        <f aca="false">E5708*E5708</f>
        <v>0.5625</v>
      </c>
      <c r="U5708" s="0" t="n">
        <f aca="false">F5708*F5708</f>
        <v>0.5625</v>
      </c>
      <c r="V5708" s="0" t="n">
        <f aca="false">G5708*G5708</f>
        <v>0.0625</v>
      </c>
      <c r="W5708" s="0" t="n">
        <f aca="false">H5708*H5708</f>
        <v>0.25</v>
      </c>
      <c r="X5708" s="0" t="n">
        <f aca="false">SUMPRODUCT(I5708:W5708,_XtX!$B$96:$P$96)</f>
        <v>48.5236522295322</v>
      </c>
      <c r="Y5708" s="0" t="n">
        <f aca="false">SUMPRODUCT(MMULT(I5708:W5708,_XtX!$B$78:$P$92),I5708:W5708)</f>
        <v>0.257385610836988</v>
      </c>
      <c r="Z5708" s="0" t="n">
        <f aca="false">04_回帰ANOVA!$K$19*04_回帰ANOVA!$K$14*SQRT(1+Y5708)</f>
        <v>1.46161380324158</v>
      </c>
      <c r="AA5708" s="0" t="n">
        <f aca="false">X5708-Z5708</f>
        <v>47.0620384262906</v>
      </c>
      <c r="AB5708" s="0" t="n">
        <f aca="false">X5708+Z5708</f>
        <v>49.9852660327737</v>
      </c>
      <c r="AC5708" s="54" t="b">
        <f aca="false">AND(E5708&gt;=01_因子設定!$L$5-0.000000001,E5708&lt;=01_因子設定!$M$5+0.000000001,F5708&gt;=01_因子設定!$L$6-0.000000001,F5708&lt;=01_因子設定!$M$6+0.000000001,G5708&gt;=01_因子設定!$L$7-0.000000001,G5708&lt;=01_因子設定!$M$7+0.000000001,H5708&gt;=01_因子設定!$L$8-0.000000001,H5708&lt;=01_因子設定!$M$8+0.000000001,IF(01_因子設定!$B$20="Box-Behnken",E5708^2+F5708^2+G5708^2+H5708^2&lt;=2+0.000000001,TRUE()))</f>
        <v>1</v>
      </c>
      <c r="AD5708" s="55" t="n">
        <f aca="false">IF(AC5708,IF(01_因子設定!$B$13="最大化",AA5708-01_因子設定!$B$14,IF(01_因子設定!$B$13="最小化",01_因子設定!$B$15-AB5708,MIN(AA5708-01_因子設定!$B$14,01_因子設定!$B$15-AB5708))),-1E+030)</f>
        <v>0.56203842629057</v>
      </c>
      <c r="AE5708" s="55" t="n">
        <f aca="false">IF(AC5708,IF(01_因子設定!$B$13="最大化",X5708,IF(01_因子設定!$B$13="最小化",-X5708,-ABS(X5708-01_因子設定!$B$16))),-1E+030)</f>
        <v>48.5236522295322</v>
      </c>
      <c r="AF5708" s="55" t="n">
        <f aca="false">AD5708+ROW()*0.000000001</f>
        <v>0.56204413429057</v>
      </c>
      <c r="AG5708" s="55" t="n">
        <f aca="false">AE5708+ROW()*0.000000001</f>
        <v>48.5236579375322</v>
      </c>
    </row>
    <row r="5709" customFormat="false" ht="15" hidden="false" customHeight="false" outlineLevel="0" collapsed="false">
      <c r="A5709" s="0" t="n">
        <v>7</v>
      </c>
      <c r="B5709" s="0" t="n">
        <v>7</v>
      </c>
      <c r="C5709" s="0" t="n">
        <v>3</v>
      </c>
      <c r="D5709" s="0" t="n">
        <v>7</v>
      </c>
      <c r="E5709" s="0" t="n">
        <f aca="false">-1+A5709*0.25</f>
        <v>0.75</v>
      </c>
      <c r="F5709" s="0" t="n">
        <f aca="false">-1+B5709*0.25</f>
        <v>0.75</v>
      </c>
      <c r="G5709" s="0" t="n">
        <f aca="false">-1+C5709*0.25</f>
        <v>-0.25</v>
      </c>
      <c r="H5709" s="0" t="n">
        <f aca="false">-1+D5709*0.25</f>
        <v>0.75</v>
      </c>
      <c r="I5709" s="0" t="n">
        <f aca="false">1</f>
        <v>1</v>
      </c>
      <c r="J5709" s="0" t="n">
        <f aca="false">E5709</f>
        <v>0.75</v>
      </c>
      <c r="K5709" s="0" t="n">
        <f aca="false">F5709</f>
        <v>0.75</v>
      </c>
      <c r="L5709" s="0" t="n">
        <f aca="false">G5709</f>
        <v>-0.25</v>
      </c>
      <c r="M5709" s="0" t="n">
        <f aca="false">H5709</f>
        <v>0.75</v>
      </c>
      <c r="N5709" s="0" t="n">
        <f aca="false">E5709*F5709</f>
        <v>0.5625</v>
      </c>
      <c r="O5709" s="0" t="n">
        <f aca="false">E5709*G5709</f>
        <v>-0.1875</v>
      </c>
      <c r="P5709" s="0" t="n">
        <f aca="false">E5709*H5709</f>
        <v>0.5625</v>
      </c>
      <c r="Q5709" s="0" t="n">
        <f aca="false">F5709*G5709</f>
        <v>-0.1875</v>
      </c>
      <c r="R5709" s="0" t="n">
        <f aca="false">F5709*H5709</f>
        <v>0.5625</v>
      </c>
      <c r="S5709" s="0" t="n">
        <f aca="false">G5709*H5709</f>
        <v>-0.1875</v>
      </c>
      <c r="T5709" s="0" t="n">
        <f aca="false">E5709*E5709</f>
        <v>0.5625</v>
      </c>
      <c r="U5709" s="0" t="n">
        <f aca="false">F5709*F5709</f>
        <v>0.5625</v>
      </c>
      <c r="V5709" s="0" t="n">
        <f aca="false">G5709*G5709</f>
        <v>0.0625</v>
      </c>
      <c r="W5709" s="0" t="n">
        <f aca="false">H5709*H5709</f>
        <v>0.5625</v>
      </c>
      <c r="X5709" s="0" t="n">
        <f aca="false">SUMPRODUCT(I5709:W5709,_XtX!$B$96:$P$96)</f>
        <v>48.4711485745614</v>
      </c>
      <c r="Y5709" s="0" t="n">
        <f aca="false">SUMPRODUCT(MMULT(I5709:W5709,_XtX!$B$78:$P$92),I5709:W5709)</f>
        <v>0.294856199744152</v>
      </c>
      <c r="Z5709" s="0" t="n">
        <f aca="false">04_回帰ANOVA!$K$19*04_回帰ANOVA!$K$14*SQRT(1+Y5709)</f>
        <v>1.48323226089013</v>
      </c>
      <c r="AA5709" s="0" t="n">
        <f aca="false">X5709-Z5709</f>
        <v>46.9879163136713</v>
      </c>
      <c r="AB5709" s="0" t="n">
        <f aca="false">X5709+Z5709</f>
        <v>49.9543808354515</v>
      </c>
      <c r="AC5709" s="54" t="b">
        <f aca="false">AND(E5709&gt;=01_因子設定!$L$5-0.000000001,E5709&lt;=01_因子設定!$M$5+0.000000001,F5709&gt;=01_因子設定!$L$6-0.000000001,F5709&lt;=01_因子設定!$M$6+0.000000001,G5709&gt;=01_因子設定!$L$7-0.000000001,G5709&lt;=01_因子設定!$M$7+0.000000001,H5709&gt;=01_因子設定!$L$8-0.000000001,H5709&lt;=01_因子設定!$M$8+0.000000001,IF(01_因子設定!$B$20="Box-Behnken",E5709^2+F5709^2+G5709^2+H5709^2&lt;=2+0.000000001,TRUE()))</f>
        <v>1</v>
      </c>
      <c r="AD5709" s="55" t="n">
        <f aca="false">IF(AC5709,IF(01_因子設定!$B$13="最大化",AA5709-01_因子設定!$B$14,IF(01_因子設定!$B$13="最小化",01_因子設定!$B$15-AB5709,MIN(AA5709-01_因子設定!$B$14,01_因子設定!$B$15-AB5709))),-1E+030)</f>
        <v>0.487916313671278</v>
      </c>
      <c r="AE5709" s="55" t="n">
        <f aca="false">IF(AC5709,IF(01_因子設定!$B$13="最大化",X5709,IF(01_因子設定!$B$13="最小化",-X5709,-ABS(X5709-01_因子設定!$B$16))),-1E+030)</f>
        <v>48.4711485745614</v>
      </c>
      <c r="AF5709" s="55" t="n">
        <f aca="false">AD5709+ROW()*0.000000001</f>
        <v>0.487922022671278</v>
      </c>
      <c r="AG5709" s="55" t="n">
        <f aca="false">AE5709+ROW()*0.000000001</f>
        <v>48.4711542835614</v>
      </c>
    </row>
    <row r="5710" customFormat="false" ht="15" hidden="false" customHeight="false" outlineLevel="0" collapsed="false">
      <c r="A5710" s="0" t="n">
        <v>7</v>
      </c>
      <c r="B5710" s="0" t="n">
        <v>7</v>
      </c>
      <c r="C5710" s="0" t="n">
        <v>3</v>
      </c>
      <c r="D5710" s="0" t="n">
        <v>8</v>
      </c>
      <c r="E5710" s="0" t="n">
        <f aca="false">-1+A5710*0.25</f>
        <v>0.75</v>
      </c>
      <c r="F5710" s="0" t="n">
        <f aca="false">-1+B5710*0.25</f>
        <v>0.75</v>
      </c>
      <c r="G5710" s="0" t="n">
        <f aca="false">-1+C5710*0.25</f>
        <v>-0.25</v>
      </c>
      <c r="H5710" s="0" t="n">
        <f aca="false">-1+D5710*0.25</f>
        <v>1</v>
      </c>
      <c r="I5710" s="0" t="n">
        <f aca="false">1</f>
        <v>1</v>
      </c>
      <c r="J5710" s="0" t="n">
        <f aca="false">E5710</f>
        <v>0.75</v>
      </c>
      <c r="K5710" s="0" t="n">
        <f aca="false">F5710</f>
        <v>0.75</v>
      </c>
      <c r="L5710" s="0" t="n">
        <f aca="false">G5710</f>
        <v>-0.25</v>
      </c>
      <c r="M5710" s="0" t="n">
        <f aca="false">H5710</f>
        <v>1</v>
      </c>
      <c r="N5710" s="0" t="n">
        <f aca="false">E5710*F5710</f>
        <v>0.5625</v>
      </c>
      <c r="O5710" s="0" t="n">
        <f aca="false">E5710*G5710</f>
        <v>-0.1875</v>
      </c>
      <c r="P5710" s="0" t="n">
        <f aca="false">E5710*H5710</f>
        <v>0.75</v>
      </c>
      <c r="Q5710" s="0" t="n">
        <f aca="false">F5710*G5710</f>
        <v>-0.1875</v>
      </c>
      <c r="R5710" s="0" t="n">
        <f aca="false">F5710*H5710</f>
        <v>0.75</v>
      </c>
      <c r="S5710" s="0" t="n">
        <f aca="false">G5710*H5710</f>
        <v>-0.25</v>
      </c>
      <c r="T5710" s="0" t="n">
        <f aca="false">E5710*E5710</f>
        <v>0.5625</v>
      </c>
      <c r="U5710" s="0" t="n">
        <f aca="false">F5710*F5710</f>
        <v>0.5625</v>
      </c>
      <c r="V5710" s="0" t="n">
        <f aca="false">G5710*G5710</f>
        <v>0.0625</v>
      </c>
      <c r="W5710" s="0" t="n">
        <f aca="false">H5710*H5710</f>
        <v>1</v>
      </c>
      <c r="X5710" s="0" t="n">
        <f aca="false">SUMPRODUCT(I5710:W5710,_XtX!$B$96:$P$96)</f>
        <v>48.3708379020468</v>
      </c>
      <c r="Y5710" s="0" t="n">
        <f aca="false">SUMPRODUCT(MMULT(I5710:W5710,_XtX!$B$78:$P$92),I5710:W5710)</f>
        <v>0.473959761056287</v>
      </c>
      <c r="Z5710" s="0" t="n">
        <f aca="false">04_回帰ANOVA!$K$19*04_回帰ANOVA!$K$14*SQRT(1+Y5710)</f>
        <v>1.58249084588329</v>
      </c>
      <c r="AA5710" s="0" t="n">
        <f aca="false">X5710-Z5710</f>
        <v>46.7883470561635</v>
      </c>
      <c r="AB5710" s="0" t="n">
        <f aca="false">X5710+Z5710</f>
        <v>49.9533287479301</v>
      </c>
      <c r="AC5710" s="54" t="b">
        <f aca="false">AND(E5710&gt;=01_因子設定!$L$5-0.000000001,E5710&lt;=01_因子設定!$M$5+0.000000001,F5710&gt;=01_因子設定!$L$6-0.000000001,F5710&lt;=01_因子設定!$M$6+0.000000001,G5710&gt;=01_因子設定!$L$7-0.000000001,G5710&lt;=01_因子設定!$M$7+0.000000001,H5710&gt;=01_因子設定!$L$8-0.000000001,H5710&lt;=01_因子設定!$M$8+0.000000001,IF(01_因子設定!$B$20="Box-Behnken",E5710^2+F5710^2+G5710^2+H5710^2&lt;=2+0.000000001,TRUE()))</f>
        <v>1</v>
      </c>
      <c r="AD5710" s="55" t="n">
        <f aca="false">IF(AC5710,IF(01_因子設定!$B$13="最大化",AA5710-01_因子設定!$B$14,IF(01_因子設定!$B$13="最小化",01_因子設定!$B$15-AB5710,MIN(AA5710-01_因子設定!$B$14,01_因子設定!$B$15-AB5710))),-1E+030)</f>
        <v>0.288347056163516</v>
      </c>
      <c r="AE5710" s="55" t="n">
        <f aca="false">IF(AC5710,IF(01_因子設定!$B$13="最大化",X5710,IF(01_因子設定!$B$13="最小化",-X5710,-ABS(X5710-01_因子設定!$B$16))),-1E+030)</f>
        <v>48.3708379020468</v>
      </c>
      <c r="AF5710" s="55" t="n">
        <f aca="false">AD5710+ROW()*0.000000001</f>
        <v>0.288352766163516</v>
      </c>
      <c r="AG5710" s="55" t="n">
        <f aca="false">AE5710+ROW()*0.000000001</f>
        <v>48.3708436120468</v>
      </c>
    </row>
    <row r="5711" customFormat="false" ht="15" hidden="false" customHeight="false" outlineLevel="0" collapsed="false">
      <c r="A5711" s="0" t="n">
        <v>7</v>
      </c>
      <c r="B5711" s="0" t="n">
        <v>7</v>
      </c>
      <c r="C5711" s="0" t="n">
        <v>4</v>
      </c>
      <c r="D5711" s="0" t="n">
        <v>0</v>
      </c>
      <c r="E5711" s="0" t="n">
        <f aca="false">-1+A5711*0.25</f>
        <v>0.75</v>
      </c>
      <c r="F5711" s="0" t="n">
        <f aca="false">-1+B5711*0.25</f>
        <v>0.75</v>
      </c>
      <c r="G5711" s="0" t="n">
        <f aca="false">-1+C5711*0.25</f>
        <v>0</v>
      </c>
      <c r="H5711" s="0" t="n">
        <f aca="false">-1+D5711*0.25</f>
        <v>-1</v>
      </c>
      <c r="I5711" s="0" t="n">
        <f aca="false">1</f>
        <v>1</v>
      </c>
      <c r="J5711" s="0" t="n">
        <f aca="false">E5711</f>
        <v>0.75</v>
      </c>
      <c r="K5711" s="0" t="n">
        <f aca="false">F5711</f>
        <v>0.75</v>
      </c>
      <c r="L5711" s="0" t="n">
        <f aca="false">G5711</f>
        <v>0</v>
      </c>
      <c r="M5711" s="0" t="n">
        <f aca="false">H5711</f>
        <v>-1</v>
      </c>
      <c r="N5711" s="0" t="n">
        <f aca="false">E5711*F5711</f>
        <v>0.5625</v>
      </c>
      <c r="O5711" s="0" t="n">
        <f aca="false">E5711*G5711</f>
        <v>0</v>
      </c>
      <c r="P5711" s="0" t="n">
        <f aca="false">E5711*H5711</f>
        <v>-0.75</v>
      </c>
      <c r="Q5711" s="0" t="n">
        <f aca="false">F5711*G5711</f>
        <v>0</v>
      </c>
      <c r="R5711" s="0" t="n">
        <f aca="false">F5711*H5711</f>
        <v>-0.75</v>
      </c>
      <c r="S5711" s="0" t="n">
        <f aca="false">G5711*H5711</f>
        <v>-0</v>
      </c>
      <c r="T5711" s="0" t="n">
        <f aca="false">E5711*E5711</f>
        <v>0.5625</v>
      </c>
      <c r="U5711" s="0" t="n">
        <f aca="false">F5711*F5711</f>
        <v>0.5625</v>
      </c>
      <c r="V5711" s="0" t="n">
        <f aca="false">G5711*G5711</f>
        <v>0</v>
      </c>
      <c r="W5711" s="0" t="n">
        <f aca="false">H5711*H5711</f>
        <v>1</v>
      </c>
      <c r="X5711" s="0" t="n">
        <f aca="false">SUMPRODUCT(I5711:W5711,_XtX!$B$96:$P$96)</f>
        <v>47.988057383041</v>
      </c>
      <c r="Y5711" s="0" t="n">
        <f aca="false">SUMPRODUCT(MMULT(I5711:W5711,_XtX!$B$78:$P$92),I5711:W5711)</f>
        <v>0.494259126005117</v>
      </c>
      <c r="Z5711" s="0" t="n">
        <f aca="false">04_回帰ANOVA!$K$19*04_回帰ANOVA!$K$14*SQRT(1+Y5711)</f>
        <v>1.59335061078203</v>
      </c>
      <c r="AA5711" s="0" t="n">
        <f aca="false">X5711-Z5711</f>
        <v>46.3947067722589</v>
      </c>
      <c r="AB5711" s="0" t="n">
        <f aca="false">X5711+Z5711</f>
        <v>49.581407993823</v>
      </c>
      <c r="AC5711" s="54" t="b">
        <f aca="false">AND(E5711&gt;=01_因子設定!$L$5-0.000000001,E5711&lt;=01_因子設定!$M$5+0.000000001,F5711&gt;=01_因子設定!$L$6-0.000000001,F5711&lt;=01_因子設定!$M$6+0.000000001,G5711&gt;=01_因子設定!$L$7-0.000000001,G5711&lt;=01_因子設定!$M$7+0.000000001,H5711&gt;=01_因子設定!$L$8-0.000000001,H5711&lt;=01_因子設定!$M$8+0.000000001,IF(01_因子設定!$B$20="Box-Behnken",E5711^2+F5711^2+G5711^2+H5711^2&lt;=2+0.000000001,TRUE()))</f>
        <v>1</v>
      </c>
      <c r="AD5711" s="55" t="n">
        <f aca="false">IF(AC5711,IF(01_因子設定!$B$13="最大化",AA5711-01_因子設定!$B$14,IF(01_因子設定!$B$13="最小化",01_因子設定!$B$15-AB5711,MIN(AA5711-01_因子設定!$B$14,01_因子設定!$B$15-AB5711))),-1E+030)</f>
        <v>-0.105293227741065</v>
      </c>
      <c r="AE5711" s="55" t="n">
        <f aca="false">IF(AC5711,IF(01_因子設定!$B$13="最大化",X5711,IF(01_因子設定!$B$13="最小化",-X5711,-ABS(X5711-01_因子設定!$B$16))),-1E+030)</f>
        <v>47.988057383041</v>
      </c>
      <c r="AF5711" s="55" t="n">
        <f aca="false">AD5711+ROW()*0.000000001</f>
        <v>-0.105287516741065</v>
      </c>
      <c r="AG5711" s="55" t="n">
        <f aca="false">AE5711+ROW()*0.000000001</f>
        <v>47.988063094041</v>
      </c>
    </row>
    <row r="5712" customFormat="false" ht="15" hidden="false" customHeight="false" outlineLevel="0" collapsed="false">
      <c r="A5712" s="0" t="n">
        <v>7</v>
      </c>
      <c r="B5712" s="0" t="n">
        <v>7</v>
      </c>
      <c r="C5712" s="0" t="n">
        <v>4</v>
      </c>
      <c r="D5712" s="0" t="n">
        <v>1</v>
      </c>
      <c r="E5712" s="0" t="n">
        <f aca="false">-1+A5712*0.25</f>
        <v>0.75</v>
      </c>
      <c r="F5712" s="0" t="n">
        <f aca="false">-1+B5712*0.25</f>
        <v>0.75</v>
      </c>
      <c r="G5712" s="0" t="n">
        <f aca="false">-1+C5712*0.25</f>
        <v>0</v>
      </c>
      <c r="H5712" s="0" t="n">
        <f aca="false">-1+D5712*0.25</f>
        <v>-0.75</v>
      </c>
      <c r="I5712" s="0" t="n">
        <f aca="false">1</f>
        <v>1</v>
      </c>
      <c r="J5712" s="0" t="n">
        <f aca="false">E5712</f>
        <v>0.75</v>
      </c>
      <c r="K5712" s="0" t="n">
        <f aca="false">F5712</f>
        <v>0.75</v>
      </c>
      <c r="L5712" s="0" t="n">
        <f aca="false">G5712</f>
        <v>0</v>
      </c>
      <c r="M5712" s="0" t="n">
        <f aca="false">H5712</f>
        <v>-0.75</v>
      </c>
      <c r="N5712" s="0" t="n">
        <f aca="false">E5712*F5712</f>
        <v>0.5625</v>
      </c>
      <c r="O5712" s="0" t="n">
        <f aca="false">E5712*G5712</f>
        <v>0</v>
      </c>
      <c r="P5712" s="0" t="n">
        <f aca="false">E5712*H5712</f>
        <v>-0.5625</v>
      </c>
      <c r="Q5712" s="0" t="n">
        <f aca="false">F5712*G5712</f>
        <v>0</v>
      </c>
      <c r="R5712" s="0" t="n">
        <f aca="false">F5712*H5712</f>
        <v>-0.5625</v>
      </c>
      <c r="S5712" s="0" t="n">
        <f aca="false">G5712*H5712</f>
        <v>-0</v>
      </c>
      <c r="T5712" s="0" t="n">
        <f aca="false">E5712*E5712</f>
        <v>0.5625</v>
      </c>
      <c r="U5712" s="0" t="n">
        <f aca="false">F5712*F5712</f>
        <v>0.5625</v>
      </c>
      <c r="V5712" s="0" t="n">
        <f aca="false">G5712*G5712</f>
        <v>0</v>
      </c>
      <c r="W5712" s="0" t="n">
        <f aca="false">H5712*H5712</f>
        <v>0.5625</v>
      </c>
      <c r="X5712" s="0" t="n">
        <f aca="false">SUMPRODUCT(I5712:W5712,_XtX!$B$96:$P$96)</f>
        <v>48.2403645833333</v>
      </c>
      <c r="Y5712" s="0" t="n">
        <f aca="false">SUMPRODUCT(MMULT(I5712:W5712,_XtX!$B$78:$P$92),I5712:W5712)</f>
        <v>0.310628255208333</v>
      </c>
      <c r="Z5712" s="0" t="n">
        <f aca="false">04_回帰ANOVA!$K$19*04_回帰ANOVA!$K$14*SQRT(1+Y5712)</f>
        <v>1.49223820892344</v>
      </c>
      <c r="AA5712" s="0" t="n">
        <f aca="false">X5712-Z5712</f>
        <v>46.7481263744099</v>
      </c>
      <c r="AB5712" s="0" t="n">
        <f aca="false">X5712+Z5712</f>
        <v>49.7326027922568</v>
      </c>
      <c r="AC5712" s="54" t="b">
        <f aca="false">AND(E5712&gt;=01_因子設定!$L$5-0.000000001,E5712&lt;=01_因子設定!$M$5+0.000000001,F5712&gt;=01_因子設定!$L$6-0.000000001,F5712&lt;=01_因子設定!$M$6+0.000000001,G5712&gt;=01_因子設定!$L$7-0.000000001,G5712&lt;=01_因子設定!$M$7+0.000000001,H5712&gt;=01_因子設定!$L$8-0.000000001,H5712&lt;=01_因子設定!$M$8+0.000000001,IF(01_因子設定!$B$20="Box-Behnken",E5712^2+F5712^2+G5712^2+H5712^2&lt;=2+0.000000001,TRUE()))</f>
        <v>1</v>
      </c>
      <c r="AD5712" s="55" t="n">
        <f aca="false">IF(AC5712,IF(01_因子設定!$B$13="最大化",AA5712-01_因子設定!$B$14,IF(01_因子設定!$B$13="最小化",01_因子設定!$B$15-AB5712,MIN(AA5712-01_因子設定!$B$14,01_因子設定!$B$15-AB5712))),-1E+030)</f>
        <v>0.2481263744099</v>
      </c>
      <c r="AE5712" s="55" t="n">
        <f aca="false">IF(AC5712,IF(01_因子設定!$B$13="最大化",X5712,IF(01_因子設定!$B$13="最小化",-X5712,-ABS(X5712-01_因子設定!$B$16))),-1E+030)</f>
        <v>48.2403645833333</v>
      </c>
      <c r="AF5712" s="55" t="n">
        <f aca="false">AD5712+ROW()*0.000000001</f>
        <v>0.2481320864099</v>
      </c>
      <c r="AG5712" s="55" t="n">
        <f aca="false">AE5712+ROW()*0.000000001</f>
        <v>48.2403702953333</v>
      </c>
    </row>
    <row r="5713" customFormat="false" ht="15" hidden="false" customHeight="false" outlineLevel="0" collapsed="false">
      <c r="A5713" s="0" t="n">
        <v>7</v>
      </c>
      <c r="B5713" s="0" t="n">
        <v>7</v>
      </c>
      <c r="C5713" s="0" t="n">
        <v>4</v>
      </c>
      <c r="D5713" s="0" t="n">
        <v>2</v>
      </c>
      <c r="E5713" s="0" t="n">
        <f aca="false">-1+A5713*0.25</f>
        <v>0.75</v>
      </c>
      <c r="F5713" s="0" t="n">
        <f aca="false">-1+B5713*0.25</f>
        <v>0.75</v>
      </c>
      <c r="G5713" s="0" t="n">
        <f aca="false">-1+C5713*0.25</f>
        <v>0</v>
      </c>
      <c r="H5713" s="0" t="n">
        <f aca="false">-1+D5713*0.25</f>
        <v>-0.5</v>
      </c>
      <c r="I5713" s="0" t="n">
        <f aca="false">1</f>
        <v>1</v>
      </c>
      <c r="J5713" s="0" t="n">
        <f aca="false">E5713</f>
        <v>0.75</v>
      </c>
      <c r="K5713" s="0" t="n">
        <f aca="false">F5713</f>
        <v>0.75</v>
      </c>
      <c r="L5713" s="0" t="n">
        <f aca="false">G5713</f>
        <v>0</v>
      </c>
      <c r="M5713" s="0" t="n">
        <f aca="false">H5713</f>
        <v>-0.5</v>
      </c>
      <c r="N5713" s="0" t="n">
        <f aca="false">E5713*F5713</f>
        <v>0.5625</v>
      </c>
      <c r="O5713" s="0" t="n">
        <f aca="false">E5713*G5713</f>
        <v>0</v>
      </c>
      <c r="P5713" s="0" t="n">
        <f aca="false">E5713*H5713</f>
        <v>-0.375</v>
      </c>
      <c r="Q5713" s="0" t="n">
        <f aca="false">F5713*G5713</f>
        <v>0</v>
      </c>
      <c r="R5713" s="0" t="n">
        <f aca="false">F5713*H5713</f>
        <v>-0.375</v>
      </c>
      <c r="S5713" s="0" t="n">
        <f aca="false">G5713*H5713</f>
        <v>-0</v>
      </c>
      <c r="T5713" s="0" t="n">
        <f aca="false">E5713*E5713</f>
        <v>0.5625</v>
      </c>
      <c r="U5713" s="0" t="n">
        <f aca="false">F5713*F5713</f>
        <v>0.5625</v>
      </c>
      <c r="V5713" s="0" t="n">
        <f aca="false">G5713*G5713</f>
        <v>0</v>
      </c>
      <c r="W5713" s="0" t="n">
        <f aca="false">H5713*H5713</f>
        <v>0.25</v>
      </c>
      <c r="X5713" s="0" t="n">
        <f aca="false">SUMPRODUCT(I5713:W5713,_XtX!$B$96:$P$96)</f>
        <v>48.4448647660819</v>
      </c>
      <c r="Y5713" s="0" t="n">
        <f aca="false">SUMPRODUCT(MMULT(I5713:W5713,_XtX!$B$78:$P$92),I5713:W5713)</f>
        <v>0.269923873812135</v>
      </c>
      <c r="Z5713" s="0" t="n">
        <f aca="false">04_回帰ANOVA!$K$19*04_回帰ANOVA!$K$14*SQRT(1+Y5713)</f>
        <v>1.46888310825501</v>
      </c>
      <c r="AA5713" s="0" t="n">
        <f aca="false">X5713-Z5713</f>
        <v>46.9759816578269</v>
      </c>
      <c r="AB5713" s="0" t="n">
        <f aca="false">X5713+Z5713</f>
        <v>49.9137478743369</v>
      </c>
      <c r="AC5713" s="54" t="b">
        <f aca="false">AND(E5713&gt;=01_因子設定!$L$5-0.000000001,E5713&lt;=01_因子設定!$M$5+0.000000001,F5713&gt;=01_因子設定!$L$6-0.000000001,F5713&lt;=01_因子設定!$M$6+0.000000001,G5713&gt;=01_因子設定!$L$7-0.000000001,G5713&lt;=01_因子設定!$M$7+0.000000001,H5713&gt;=01_因子設定!$L$8-0.000000001,H5713&lt;=01_因子設定!$M$8+0.000000001,IF(01_因子設定!$B$20="Box-Behnken",E5713^2+F5713^2+G5713^2+H5713^2&lt;=2+0.000000001,TRUE()))</f>
        <v>1</v>
      </c>
      <c r="AD5713" s="55" t="n">
        <f aca="false">IF(AC5713,IF(01_因子設定!$B$13="最大化",AA5713-01_因子設定!$B$14,IF(01_因子設定!$B$13="最小化",01_因子設定!$B$15-AB5713,MIN(AA5713-01_因子設定!$B$14,01_因子設定!$B$15-AB5713))),-1E+030)</f>
        <v>0.475981657826857</v>
      </c>
      <c r="AE5713" s="55" t="n">
        <f aca="false">IF(AC5713,IF(01_因子設定!$B$13="最大化",X5713,IF(01_因子設定!$B$13="最小化",-X5713,-ABS(X5713-01_因子設定!$B$16))),-1E+030)</f>
        <v>48.4448647660819</v>
      </c>
      <c r="AF5713" s="55" t="n">
        <f aca="false">AD5713+ROW()*0.000000001</f>
        <v>0.475987370826857</v>
      </c>
      <c r="AG5713" s="55" t="n">
        <f aca="false">AE5713+ROW()*0.000000001</f>
        <v>48.4448704790819</v>
      </c>
    </row>
    <row r="5714" customFormat="false" ht="15" hidden="false" customHeight="false" outlineLevel="0" collapsed="false">
      <c r="A5714" s="0" t="n">
        <v>7</v>
      </c>
      <c r="B5714" s="0" t="n">
        <v>7</v>
      </c>
      <c r="C5714" s="0" t="n">
        <v>4</v>
      </c>
      <c r="D5714" s="0" t="n">
        <v>3</v>
      </c>
      <c r="E5714" s="0" t="n">
        <f aca="false">-1+A5714*0.25</f>
        <v>0.75</v>
      </c>
      <c r="F5714" s="0" t="n">
        <f aca="false">-1+B5714*0.25</f>
        <v>0.75</v>
      </c>
      <c r="G5714" s="0" t="n">
        <f aca="false">-1+C5714*0.25</f>
        <v>0</v>
      </c>
      <c r="H5714" s="0" t="n">
        <f aca="false">-1+D5714*0.25</f>
        <v>-0.25</v>
      </c>
      <c r="I5714" s="0" t="n">
        <f aca="false">1</f>
        <v>1</v>
      </c>
      <c r="J5714" s="0" t="n">
        <f aca="false">E5714</f>
        <v>0.75</v>
      </c>
      <c r="K5714" s="0" t="n">
        <f aca="false">F5714</f>
        <v>0.75</v>
      </c>
      <c r="L5714" s="0" t="n">
        <f aca="false">G5714</f>
        <v>0</v>
      </c>
      <c r="M5714" s="0" t="n">
        <f aca="false">H5714</f>
        <v>-0.25</v>
      </c>
      <c r="N5714" s="0" t="n">
        <f aca="false">E5714*F5714</f>
        <v>0.5625</v>
      </c>
      <c r="O5714" s="0" t="n">
        <f aca="false">E5714*G5714</f>
        <v>0</v>
      </c>
      <c r="P5714" s="0" t="n">
        <f aca="false">E5714*H5714</f>
        <v>-0.1875</v>
      </c>
      <c r="Q5714" s="0" t="n">
        <f aca="false">F5714*G5714</f>
        <v>0</v>
      </c>
      <c r="R5714" s="0" t="n">
        <f aca="false">F5714*H5714</f>
        <v>-0.1875</v>
      </c>
      <c r="S5714" s="0" t="n">
        <f aca="false">G5714*H5714</f>
        <v>-0</v>
      </c>
      <c r="T5714" s="0" t="n">
        <f aca="false">E5714*E5714</f>
        <v>0.5625</v>
      </c>
      <c r="U5714" s="0" t="n">
        <f aca="false">F5714*F5714</f>
        <v>0.5625</v>
      </c>
      <c r="V5714" s="0" t="n">
        <f aca="false">G5714*G5714</f>
        <v>0</v>
      </c>
      <c r="W5714" s="0" t="n">
        <f aca="false">H5714*H5714</f>
        <v>0.0625</v>
      </c>
      <c r="X5714" s="0" t="n">
        <f aca="false">SUMPRODUCT(I5714:W5714,_XtX!$B$96:$P$96)</f>
        <v>48.6015579312865</v>
      </c>
      <c r="Y5714" s="0" t="n">
        <f aca="false">SUMPRODUCT(MMULT(I5714:W5714,_XtX!$B$78:$P$92),I5714:W5714)</f>
        <v>0.281685455500731</v>
      </c>
      <c r="Z5714" s="0" t="n">
        <f aca="false">04_回帰ANOVA!$K$19*04_回帰ANOVA!$K$14*SQRT(1+Y5714)</f>
        <v>1.47566956658694</v>
      </c>
      <c r="AA5714" s="0" t="n">
        <f aca="false">X5714-Z5714</f>
        <v>47.1258883646996</v>
      </c>
      <c r="AB5714" s="0" t="n">
        <f aca="false">X5714+Z5714</f>
        <v>50.0772274978735</v>
      </c>
      <c r="AC5714" s="54" t="b">
        <f aca="false">AND(E5714&gt;=01_因子設定!$L$5-0.000000001,E5714&lt;=01_因子設定!$M$5+0.000000001,F5714&gt;=01_因子設定!$L$6-0.000000001,F5714&lt;=01_因子設定!$M$6+0.000000001,G5714&gt;=01_因子設定!$L$7-0.000000001,G5714&lt;=01_因子設定!$M$7+0.000000001,H5714&gt;=01_因子設定!$L$8-0.000000001,H5714&lt;=01_因子設定!$M$8+0.000000001,IF(01_因子設定!$B$20="Box-Behnken",E5714^2+F5714^2+G5714^2+H5714^2&lt;=2+0.000000001,TRUE()))</f>
        <v>1</v>
      </c>
      <c r="AD5714" s="55" t="n">
        <f aca="false">IF(AC5714,IF(01_因子設定!$B$13="最大化",AA5714-01_因子設定!$B$14,IF(01_因子設定!$B$13="最小化",01_因子設定!$B$15-AB5714,MIN(AA5714-01_因子設定!$B$14,01_因子設定!$B$15-AB5714))),-1E+030)</f>
        <v>0.625888364699598</v>
      </c>
      <c r="AE5714" s="55" t="n">
        <f aca="false">IF(AC5714,IF(01_因子設定!$B$13="最大化",X5714,IF(01_因子設定!$B$13="最小化",-X5714,-ABS(X5714-01_因子設定!$B$16))),-1E+030)</f>
        <v>48.6015579312865</v>
      </c>
      <c r="AF5714" s="55" t="n">
        <f aca="false">AD5714+ROW()*0.000000001</f>
        <v>0.625894078699598</v>
      </c>
      <c r="AG5714" s="55" t="n">
        <f aca="false">AE5714+ROW()*0.000000001</f>
        <v>48.6015636452865</v>
      </c>
    </row>
    <row r="5715" customFormat="false" ht="15" hidden="false" customHeight="false" outlineLevel="0" collapsed="false">
      <c r="A5715" s="0" t="n">
        <v>7</v>
      </c>
      <c r="B5715" s="0" t="n">
        <v>7</v>
      </c>
      <c r="C5715" s="0" t="n">
        <v>4</v>
      </c>
      <c r="D5715" s="0" t="n">
        <v>4</v>
      </c>
      <c r="E5715" s="0" t="n">
        <f aca="false">-1+A5715*0.25</f>
        <v>0.75</v>
      </c>
      <c r="F5715" s="0" t="n">
        <f aca="false">-1+B5715*0.25</f>
        <v>0.75</v>
      </c>
      <c r="G5715" s="0" t="n">
        <f aca="false">-1+C5715*0.25</f>
        <v>0</v>
      </c>
      <c r="H5715" s="0" t="n">
        <f aca="false">-1+D5715*0.25</f>
        <v>0</v>
      </c>
      <c r="I5715" s="0" t="n">
        <f aca="false">1</f>
        <v>1</v>
      </c>
      <c r="J5715" s="0" t="n">
        <f aca="false">E5715</f>
        <v>0.75</v>
      </c>
      <c r="K5715" s="0" t="n">
        <f aca="false">F5715</f>
        <v>0.75</v>
      </c>
      <c r="L5715" s="0" t="n">
        <f aca="false">G5715</f>
        <v>0</v>
      </c>
      <c r="M5715" s="0" t="n">
        <f aca="false">H5715</f>
        <v>0</v>
      </c>
      <c r="N5715" s="0" t="n">
        <f aca="false">E5715*F5715</f>
        <v>0.5625</v>
      </c>
      <c r="O5715" s="0" t="n">
        <f aca="false">E5715*G5715</f>
        <v>0</v>
      </c>
      <c r="P5715" s="0" t="n">
        <f aca="false">E5715*H5715</f>
        <v>0</v>
      </c>
      <c r="Q5715" s="0" t="n">
        <f aca="false">F5715*G5715</f>
        <v>0</v>
      </c>
      <c r="R5715" s="0" t="n">
        <f aca="false">F5715*H5715</f>
        <v>0</v>
      </c>
      <c r="S5715" s="0" t="n">
        <f aca="false">G5715*H5715</f>
        <v>0</v>
      </c>
      <c r="T5715" s="0" t="n">
        <f aca="false">E5715*E5715</f>
        <v>0.5625</v>
      </c>
      <c r="U5715" s="0" t="n">
        <f aca="false">F5715*F5715</f>
        <v>0.5625</v>
      </c>
      <c r="V5715" s="0" t="n">
        <f aca="false">G5715*G5715</f>
        <v>0</v>
      </c>
      <c r="W5715" s="0" t="n">
        <f aca="false">H5715*H5715</f>
        <v>0</v>
      </c>
      <c r="X5715" s="0" t="n">
        <f aca="false">SUMPRODUCT(I5715:W5715,_XtX!$B$96:$P$96)</f>
        <v>48.7104440789474</v>
      </c>
      <c r="Y5715" s="0" t="n">
        <f aca="false">SUMPRODUCT(MMULT(I5715:W5715,_XtX!$B$78:$P$92),I5715:W5715)</f>
        <v>0.291636684484649</v>
      </c>
      <c r="Z5715" s="0" t="n">
        <f aca="false">04_回帰ANOVA!$K$19*04_回帰ANOVA!$K$14*SQRT(1+Y5715)</f>
        <v>1.48138716762813</v>
      </c>
      <c r="AA5715" s="0" t="n">
        <f aca="false">X5715-Z5715</f>
        <v>47.2290569113192</v>
      </c>
      <c r="AB5715" s="0" t="n">
        <f aca="false">X5715+Z5715</f>
        <v>50.1918312465755</v>
      </c>
      <c r="AC5715" s="54" t="b">
        <f aca="false">AND(E5715&gt;=01_因子設定!$L$5-0.000000001,E5715&lt;=01_因子設定!$M$5+0.000000001,F5715&gt;=01_因子設定!$L$6-0.000000001,F5715&lt;=01_因子設定!$M$6+0.000000001,G5715&gt;=01_因子設定!$L$7-0.000000001,G5715&lt;=01_因子設定!$M$7+0.000000001,H5715&gt;=01_因子設定!$L$8-0.000000001,H5715&lt;=01_因子設定!$M$8+0.000000001,IF(01_因子設定!$B$20="Box-Behnken",E5715^2+F5715^2+G5715^2+H5715^2&lt;=2+0.000000001,TRUE()))</f>
        <v>1</v>
      </c>
      <c r="AD5715" s="55" t="n">
        <f aca="false">IF(AC5715,IF(01_因子設定!$B$13="最大化",AA5715-01_因子設定!$B$14,IF(01_因子設定!$B$13="最小化",01_因子設定!$B$15-AB5715,MIN(AA5715-01_因子設定!$B$14,01_因子設定!$B$15-AB5715))),-1E+030)</f>
        <v>0.729056911319226</v>
      </c>
      <c r="AE5715" s="55" t="n">
        <f aca="false">IF(AC5715,IF(01_因子設定!$B$13="最大化",X5715,IF(01_因子設定!$B$13="最小化",-X5715,-ABS(X5715-01_因子設定!$B$16))),-1E+030)</f>
        <v>48.7104440789474</v>
      </c>
      <c r="AF5715" s="55" t="n">
        <f aca="false">AD5715+ROW()*0.000000001</f>
        <v>0.729062626319226</v>
      </c>
      <c r="AG5715" s="55" t="n">
        <f aca="false">AE5715+ROW()*0.000000001</f>
        <v>48.7104497939474</v>
      </c>
    </row>
    <row r="5716" customFormat="false" ht="15" hidden="false" customHeight="false" outlineLevel="0" collapsed="false">
      <c r="A5716" s="0" t="n">
        <v>7</v>
      </c>
      <c r="B5716" s="0" t="n">
        <v>7</v>
      </c>
      <c r="C5716" s="0" t="n">
        <v>4</v>
      </c>
      <c r="D5716" s="0" t="n">
        <v>5</v>
      </c>
      <c r="E5716" s="0" t="n">
        <f aca="false">-1+A5716*0.25</f>
        <v>0.75</v>
      </c>
      <c r="F5716" s="0" t="n">
        <f aca="false">-1+B5716*0.25</f>
        <v>0.75</v>
      </c>
      <c r="G5716" s="0" t="n">
        <f aca="false">-1+C5716*0.25</f>
        <v>0</v>
      </c>
      <c r="H5716" s="0" t="n">
        <f aca="false">-1+D5716*0.25</f>
        <v>0.25</v>
      </c>
      <c r="I5716" s="0" t="n">
        <f aca="false">1</f>
        <v>1</v>
      </c>
      <c r="J5716" s="0" t="n">
        <f aca="false">E5716</f>
        <v>0.75</v>
      </c>
      <c r="K5716" s="0" t="n">
        <f aca="false">F5716</f>
        <v>0.75</v>
      </c>
      <c r="L5716" s="0" t="n">
        <f aca="false">G5716</f>
        <v>0</v>
      </c>
      <c r="M5716" s="0" t="n">
        <f aca="false">H5716</f>
        <v>0.25</v>
      </c>
      <c r="N5716" s="0" t="n">
        <f aca="false">E5716*F5716</f>
        <v>0.5625</v>
      </c>
      <c r="O5716" s="0" t="n">
        <f aca="false">E5716*G5716</f>
        <v>0</v>
      </c>
      <c r="P5716" s="0" t="n">
        <f aca="false">E5716*H5716</f>
        <v>0.1875</v>
      </c>
      <c r="Q5716" s="0" t="n">
        <f aca="false">F5716*G5716</f>
        <v>0</v>
      </c>
      <c r="R5716" s="0" t="n">
        <f aca="false">F5716*H5716</f>
        <v>0.1875</v>
      </c>
      <c r="S5716" s="0" t="n">
        <f aca="false">G5716*H5716</f>
        <v>0</v>
      </c>
      <c r="T5716" s="0" t="n">
        <f aca="false">E5716*E5716</f>
        <v>0.5625</v>
      </c>
      <c r="U5716" s="0" t="n">
        <f aca="false">F5716*F5716</f>
        <v>0.5625</v>
      </c>
      <c r="V5716" s="0" t="n">
        <f aca="false">G5716*G5716</f>
        <v>0</v>
      </c>
      <c r="W5716" s="0" t="n">
        <f aca="false">H5716*H5716</f>
        <v>0.0625</v>
      </c>
      <c r="X5716" s="0" t="n">
        <f aca="false">SUMPRODUCT(I5716:W5716,_XtX!$B$96:$P$96)</f>
        <v>48.7715232090643</v>
      </c>
      <c r="Y5716" s="0" t="n">
        <f aca="false">SUMPRODUCT(MMULT(I5716:W5716,_XtX!$B$78:$P$92),I5716:W5716)</f>
        <v>0.281685455500731</v>
      </c>
      <c r="Z5716" s="0" t="n">
        <f aca="false">04_回帰ANOVA!$K$19*04_回帰ANOVA!$K$14*SQRT(1+Y5716)</f>
        <v>1.47566956658694</v>
      </c>
      <c r="AA5716" s="0" t="n">
        <f aca="false">X5716-Z5716</f>
        <v>47.2958536424774</v>
      </c>
      <c r="AB5716" s="0" t="n">
        <f aca="false">X5716+Z5716</f>
        <v>50.2471927756513</v>
      </c>
      <c r="AC5716" s="54" t="b">
        <f aca="false">AND(E5716&gt;=01_因子設定!$L$5-0.000000001,E5716&lt;=01_因子設定!$M$5+0.000000001,F5716&gt;=01_因子設定!$L$6-0.000000001,F5716&lt;=01_因子設定!$M$6+0.000000001,G5716&gt;=01_因子設定!$L$7-0.000000001,G5716&lt;=01_因子設定!$M$7+0.000000001,H5716&gt;=01_因子設定!$L$8-0.000000001,H5716&lt;=01_因子設定!$M$8+0.000000001,IF(01_因子設定!$B$20="Box-Behnken",E5716^2+F5716^2+G5716^2+H5716^2&lt;=2+0.000000001,TRUE()))</f>
        <v>1</v>
      </c>
      <c r="AD5716" s="55" t="n">
        <f aca="false">IF(AC5716,IF(01_因子設定!$B$13="最大化",AA5716-01_因子設定!$B$14,IF(01_因子設定!$B$13="最小化",01_因子設定!$B$15-AB5716,MIN(AA5716-01_因子設定!$B$14,01_因子設定!$B$15-AB5716))),-1E+030)</f>
        <v>0.795853642477375</v>
      </c>
      <c r="AE5716" s="55" t="n">
        <f aca="false">IF(AC5716,IF(01_因子設定!$B$13="最大化",X5716,IF(01_因子設定!$B$13="最小化",-X5716,-ABS(X5716-01_因子設定!$B$16))),-1E+030)</f>
        <v>48.7715232090643</v>
      </c>
      <c r="AF5716" s="55" t="n">
        <f aca="false">AD5716+ROW()*0.000000001</f>
        <v>0.795859358477375</v>
      </c>
      <c r="AG5716" s="55" t="n">
        <f aca="false">AE5716+ROW()*0.000000001</f>
        <v>48.7715289250643</v>
      </c>
    </row>
    <row r="5717" customFormat="false" ht="15" hidden="false" customHeight="false" outlineLevel="0" collapsed="false">
      <c r="A5717" s="0" t="n">
        <v>7</v>
      </c>
      <c r="B5717" s="0" t="n">
        <v>7</v>
      </c>
      <c r="C5717" s="0" t="n">
        <v>4</v>
      </c>
      <c r="D5717" s="0" t="n">
        <v>6</v>
      </c>
      <c r="E5717" s="0" t="n">
        <f aca="false">-1+A5717*0.25</f>
        <v>0.75</v>
      </c>
      <c r="F5717" s="0" t="n">
        <f aca="false">-1+B5717*0.25</f>
        <v>0.75</v>
      </c>
      <c r="G5717" s="0" t="n">
        <f aca="false">-1+C5717*0.25</f>
        <v>0</v>
      </c>
      <c r="H5717" s="0" t="n">
        <f aca="false">-1+D5717*0.25</f>
        <v>0.5</v>
      </c>
      <c r="I5717" s="0" t="n">
        <f aca="false">1</f>
        <v>1</v>
      </c>
      <c r="J5717" s="0" t="n">
        <f aca="false">E5717</f>
        <v>0.75</v>
      </c>
      <c r="K5717" s="0" t="n">
        <f aca="false">F5717</f>
        <v>0.75</v>
      </c>
      <c r="L5717" s="0" t="n">
        <f aca="false">G5717</f>
        <v>0</v>
      </c>
      <c r="M5717" s="0" t="n">
        <f aca="false">H5717</f>
        <v>0.5</v>
      </c>
      <c r="N5717" s="0" t="n">
        <f aca="false">E5717*F5717</f>
        <v>0.5625</v>
      </c>
      <c r="O5717" s="0" t="n">
        <f aca="false">E5717*G5717</f>
        <v>0</v>
      </c>
      <c r="P5717" s="0" t="n">
        <f aca="false">E5717*H5717</f>
        <v>0.375</v>
      </c>
      <c r="Q5717" s="0" t="n">
        <f aca="false">F5717*G5717</f>
        <v>0</v>
      </c>
      <c r="R5717" s="0" t="n">
        <f aca="false">F5717*H5717</f>
        <v>0.375</v>
      </c>
      <c r="S5717" s="0" t="n">
        <f aca="false">G5717*H5717</f>
        <v>0</v>
      </c>
      <c r="T5717" s="0" t="n">
        <f aca="false">E5717*E5717</f>
        <v>0.5625</v>
      </c>
      <c r="U5717" s="0" t="n">
        <f aca="false">F5717*F5717</f>
        <v>0.5625</v>
      </c>
      <c r="V5717" s="0" t="n">
        <f aca="false">G5717*G5717</f>
        <v>0</v>
      </c>
      <c r="W5717" s="0" t="n">
        <f aca="false">H5717*H5717</f>
        <v>0.25</v>
      </c>
      <c r="X5717" s="0" t="n">
        <f aca="false">SUMPRODUCT(I5717:W5717,_XtX!$B$96:$P$96)</f>
        <v>48.7847953216374</v>
      </c>
      <c r="Y5717" s="0" t="n">
        <f aca="false">SUMPRODUCT(MMULT(I5717:W5717,_XtX!$B$78:$P$92),I5717:W5717)</f>
        <v>0.269923873812135</v>
      </c>
      <c r="Z5717" s="0" t="n">
        <f aca="false">04_回帰ANOVA!$K$19*04_回帰ANOVA!$K$14*SQRT(1+Y5717)</f>
        <v>1.46888310825501</v>
      </c>
      <c r="AA5717" s="0" t="n">
        <f aca="false">X5717-Z5717</f>
        <v>47.3159122133824</v>
      </c>
      <c r="AB5717" s="0" t="n">
        <f aca="false">X5717+Z5717</f>
        <v>50.2536784298924</v>
      </c>
      <c r="AC5717" s="54" t="b">
        <f aca="false">AND(E5717&gt;=01_因子設定!$L$5-0.000000001,E5717&lt;=01_因子設定!$M$5+0.000000001,F5717&gt;=01_因子設定!$L$6-0.000000001,F5717&lt;=01_因子設定!$M$6+0.000000001,G5717&gt;=01_因子設定!$L$7-0.000000001,G5717&lt;=01_因子設定!$M$7+0.000000001,H5717&gt;=01_因子設定!$L$8-0.000000001,H5717&lt;=01_因子設定!$M$8+0.000000001,IF(01_因子設定!$B$20="Box-Behnken",E5717^2+F5717^2+G5717^2+H5717^2&lt;=2+0.000000001,TRUE()))</f>
        <v>1</v>
      </c>
      <c r="AD5717" s="55" t="n">
        <f aca="false">IF(AC5717,IF(01_因子設定!$B$13="最大化",AA5717-01_因子設定!$B$14,IF(01_因子設定!$B$13="最小化",01_因子設定!$B$15-AB5717,MIN(AA5717-01_因子設定!$B$14,01_因子設定!$B$15-AB5717))),-1E+030)</f>
        <v>0.815912213382411</v>
      </c>
      <c r="AE5717" s="55" t="n">
        <f aca="false">IF(AC5717,IF(01_因子設定!$B$13="最大化",X5717,IF(01_因子設定!$B$13="最小化",-X5717,-ABS(X5717-01_因子設定!$B$16))),-1E+030)</f>
        <v>48.7847953216374</v>
      </c>
      <c r="AF5717" s="55" t="n">
        <f aca="false">AD5717+ROW()*0.000000001</f>
        <v>0.815917930382411</v>
      </c>
      <c r="AG5717" s="55" t="n">
        <f aca="false">AE5717+ROW()*0.000000001</f>
        <v>48.7848010386374</v>
      </c>
    </row>
    <row r="5718" customFormat="false" ht="15" hidden="false" customHeight="false" outlineLevel="0" collapsed="false">
      <c r="A5718" s="0" t="n">
        <v>7</v>
      </c>
      <c r="B5718" s="0" t="n">
        <v>7</v>
      </c>
      <c r="C5718" s="0" t="n">
        <v>4</v>
      </c>
      <c r="D5718" s="0" t="n">
        <v>7</v>
      </c>
      <c r="E5718" s="0" t="n">
        <f aca="false">-1+A5718*0.25</f>
        <v>0.75</v>
      </c>
      <c r="F5718" s="0" t="n">
        <f aca="false">-1+B5718*0.25</f>
        <v>0.75</v>
      </c>
      <c r="G5718" s="0" t="n">
        <f aca="false">-1+C5718*0.25</f>
        <v>0</v>
      </c>
      <c r="H5718" s="0" t="n">
        <f aca="false">-1+D5718*0.25</f>
        <v>0.75</v>
      </c>
      <c r="I5718" s="0" t="n">
        <f aca="false">1</f>
        <v>1</v>
      </c>
      <c r="J5718" s="0" t="n">
        <f aca="false">E5718</f>
        <v>0.75</v>
      </c>
      <c r="K5718" s="0" t="n">
        <f aca="false">F5718</f>
        <v>0.75</v>
      </c>
      <c r="L5718" s="0" t="n">
        <f aca="false">G5718</f>
        <v>0</v>
      </c>
      <c r="M5718" s="0" t="n">
        <f aca="false">H5718</f>
        <v>0.75</v>
      </c>
      <c r="N5718" s="0" t="n">
        <f aca="false">E5718*F5718</f>
        <v>0.5625</v>
      </c>
      <c r="O5718" s="0" t="n">
        <f aca="false">E5718*G5718</f>
        <v>0</v>
      </c>
      <c r="P5718" s="0" t="n">
        <f aca="false">E5718*H5718</f>
        <v>0.5625</v>
      </c>
      <c r="Q5718" s="0" t="n">
        <f aca="false">F5718*G5718</f>
        <v>0</v>
      </c>
      <c r="R5718" s="0" t="n">
        <f aca="false">F5718*H5718</f>
        <v>0.5625</v>
      </c>
      <c r="S5718" s="0" t="n">
        <f aca="false">G5718*H5718</f>
        <v>0</v>
      </c>
      <c r="T5718" s="0" t="n">
        <f aca="false">E5718*E5718</f>
        <v>0.5625</v>
      </c>
      <c r="U5718" s="0" t="n">
        <f aca="false">F5718*F5718</f>
        <v>0.5625</v>
      </c>
      <c r="V5718" s="0" t="n">
        <f aca="false">G5718*G5718</f>
        <v>0</v>
      </c>
      <c r="W5718" s="0" t="n">
        <f aca="false">H5718*H5718</f>
        <v>0.5625</v>
      </c>
      <c r="X5718" s="0" t="n">
        <f aca="false">SUMPRODUCT(I5718:W5718,_XtX!$B$96:$P$96)</f>
        <v>48.7502604166667</v>
      </c>
      <c r="Y5718" s="0" t="n">
        <f aca="false">SUMPRODUCT(MMULT(I5718:W5718,_XtX!$B$78:$P$92),I5718:W5718)</f>
        <v>0.310628255208333</v>
      </c>
      <c r="Z5718" s="0" t="n">
        <f aca="false">04_回帰ANOVA!$K$19*04_回帰ANOVA!$K$14*SQRT(1+Y5718)</f>
        <v>1.49223820892344</v>
      </c>
      <c r="AA5718" s="0" t="n">
        <f aca="false">X5718-Z5718</f>
        <v>47.2580222077432</v>
      </c>
      <c r="AB5718" s="0" t="n">
        <f aca="false">X5718+Z5718</f>
        <v>50.2424986255901</v>
      </c>
      <c r="AC5718" s="54" t="b">
        <f aca="false">AND(E5718&gt;=01_因子設定!$L$5-0.000000001,E5718&lt;=01_因子設定!$M$5+0.000000001,F5718&gt;=01_因子設定!$L$6-0.000000001,F5718&lt;=01_因子設定!$M$6+0.000000001,G5718&gt;=01_因子設定!$L$7-0.000000001,G5718&lt;=01_因子設定!$M$7+0.000000001,H5718&gt;=01_因子設定!$L$8-0.000000001,H5718&lt;=01_因子設定!$M$8+0.000000001,IF(01_因子設定!$B$20="Box-Behnken",E5718^2+F5718^2+G5718^2+H5718^2&lt;=2+0.000000001,TRUE()))</f>
        <v>1</v>
      </c>
      <c r="AD5718" s="55" t="n">
        <f aca="false">IF(AC5718,IF(01_因子設定!$B$13="最大化",AA5718-01_因子設定!$B$14,IF(01_因子設定!$B$13="最小化",01_因子設定!$B$15-AB5718,MIN(AA5718-01_因子設定!$B$14,01_因子設定!$B$15-AB5718))),-1E+030)</f>
        <v>0.758022207743231</v>
      </c>
      <c r="AE5718" s="55" t="n">
        <f aca="false">IF(AC5718,IF(01_因子設定!$B$13="最大化",X5718,IF(01_因子設定!$B$13="最小化",-X5718,-ABS(X5718-01_因子設定!$B$16))),-1E+030)</f>
        <v>48.7502604166667</v>
      </c>
      <c r="AF5718" s="55" t="n">
        <f aca="false">AD5718+ROW()*0.000000001</f>
        <v>0.758027925743231</v>
      </c>
      <c r="AG5718" s="55" t="n">
        <f aca="false">AE5718+ROW()*0.000000001</f>
        <v>48.7502661346667</v>
      </c>
    </row>
    <row r="5719" customFormat="false" ht="15" hidden="false" customHeight="false" outlineLevel="0" collapsed="false">
      <c r="A5719" s="0" t="n">
        <v>7</v>
      </c>
      <c r="B5719" s="0" t="n">
        <v>7</v>
      </c>
      <c r="C5719" s="0" t="n">
        <v>4</v>
      </c>
      <c r="D5719" s="0" t="n">
        <v>8</v>
      </c>
      <c r="E5719" s="0" t="n">
        <f aca="false">-1+A5719*0.25</f>
        <v>0.75</v>
      </c>
      <c r="F5719" s="0" t="n">
        <f aca="false">-1+B5719*0.25</f>
        <v>0.75</v>
      </c>
      <c r="G5719" s="0" t="n">
        <f aca="false">-1+C5719*0.25</f>
        <v>0</v>
      </c>
      <c r="H5719" s="0" t="n">
        <f aca="false">-1+D5719*0.25</f>
        <v>1</v>
      </c>
      <c r="I5719" s="0" t="n">
        <f aca="false">1</f>
        <v>1</v>
      </c>
      <c r="J5719" s="0" t="n">
        <f aca="false">E5719</f>
        <v>0.75</v>
      </c>
      <c r="K5719" s="0" t="n">
        <f aca="false">F5719</f>
        <v>0.75</v>
      </c>
      <c r="L5719" s="0" t="n">
        <f aca="false">G5719</f>
        <v>0</v>
      </c>
      <c r="M5719" s="0" t="n">
        <f aca="false">H5719</f>
        <v>1</v>
      </c>
      <c r="N5719" s="0" t="n">
        <f aca="false">E5719*F5719</f>
        <v>0.5625</v>
      </c>
      <c r="O5719" s="0" t="n">
        <f aca="false">E5719*G5719</f>
        <v>0</v>
      </c>
      <c r="P5719" s="0" t="n">
        <f aca="false">E5719*H5719</f>
        <v>0.75</v>
      </c>
      <c r="Q5719" s="0" t="n">
        <f aca="false">F5719*G5719</f>
        <v>0</v>
      </c>
      <c r="R5719" s="0" t="n">
        <f aca="false">F5719*H5719</f>
        <v>0.75</v>
      </c>
      <c r="S5719" s="0" t="n">
        <f aca="false">G5719*H5719</f>
        <v>0</v>
      </c>
      <c r="T5719" s="0" t="n">
        <f aca="false">E5719*E5719</f>
        <v>0.5625</v>
      </c>
      <c r="U5719" s="0" t="n">
        <f aca="false">F5719*F5719</f>
        <v>0.5625</v>
      </c>
      <c r="V5719" s="0" t="n">
        <f aca="false">G5719*G5719</f>
        <v>0</v>
      </c>
      <c r="W5719" s="0" t="n">
        <f aca="false">H5719*H5719</f>
        <v>1</v>
      </c>
      <c r="X5719" s="0" t="n">
        <f aca="false">SUMPRODUCT(I5719:W5719,_XtX!$B$96:$P$96)</f>
        <v>48.6679184941521</v>
      </c>
      <c r="Y5719" s="0" t="n">
        <f aca="false">SUMPRODUCT(MMULT(I5719:W5719,_XtX!$B$78:$P$92),I5719:W5719)</f>
        <v>0.494259126005117</v>
      </c>
      <c r="Z5719" s="0" t="n">
        <f aca="false">04_回帰ANOVA!$K$19*04_回帰ANOVA!$K$14*SQRT(1+Y5719)</f>
        <v>1.59335061078203</v>
      </c>
      <c r="AA5719" s="0" t="n">
        <f aca="false">X5719-Z5719</f>
        <v>47.07456788337</v>
      </c>
      <c r="AB5719" s="0" t="n">
        <f aca="false">X5719+Z5719</f>
        <v>50.2612691049341</v>
      </c>
      <c r="AC5719" s="54" t="b">
        <f aca="false">AND(E5719&gt;=01_因子設定!$L$5-0.000000001,E5719&lt;=01_因子設定!$M$5+0.000000001,F5719&gt;=01_因子設定!$L$6-0.000000001,F5719&lt;=01_因子設定!$M$6+0.000000001,G5719&gt;=01_因子設定!$L$7-0.000000001,G5719&lt;=01_因子設定!$M$7+0.000000001,H5719&gt;=01_因子設定!$L$8-0.000000001,H5719&lt;=01_因子設定!$M$8+0.000000001,IF(01_因子設定!$B$20="Box-Behnken",E5719^2+F5719^2+G5719^2+H5719^2&lt;=2+0.000000001,TRUE()))</f>
        <v>1</v>
      </c>
      <c r="AD5719" s="55" t="n">
        <f aca="false">IF(AC5719,IF(01_因子設定!$B$13="最大化",AA5719-01_因子設定!$B$14,IF(01_因子設定!$B$13="最小化",01_因子設定!$B$15-AB5719,MIN(AA5719-01_因子設定!$B$14,01_因子設定!$B$15-AB5719))),-1E+030)</f>
        <v>0.574567883370044</v>
      </c>
      <c r="AE5719" s="55" t="n">
        <f aca="false">IF(AC5719,IF(01_因子設定!$B$13="最大化",X5719,IF(01_因子設定!$B$13="最小化",-X5719,-ABS(X5719-01_因子設定!$B$16))),-1E+030)</f>
        <v>48.6679184941521</v>
      </c>
      <c r="AF5719" s="55" t="n">
        <f aca="false">AD5719+ROW()*0.000000001</f>
        <v>0.574573602370044</v>
      </c>
      <c r="AG5719" s="55" t="n">
        <f aca="false">AE5719+ROW()*0.000000001</f>
        <v>48.6679242131521</v>
      </c>
    </row>
    <row r="5720" customFormat="false" ht="15" hidden="false" customHeight="false" outlineLevel="0" collapsed="false">
      <c r="A5720" s="0" t="n">
        <v>7</v>
      </c>
      <c r="B5720" s="0" t="n">
        <v>7</v>
      </c>
      <c r="C5720" s="0" t="n">
        <v>5</v>
      </c>
      <c r="D5720" s="0" t="n">
        <v>0</v>
      </c>
      <c r="E5720" s="0" t="n">
        <f aca="false">-1+A5720*0.25</f>
        <v>0.75</v>
      </c>
      <c r="F5720" s="0" t="n">
        <f aca="false">-1+B5720*0.25</f>
        <v>0.75</v>
      </c>
      <c r="G5720" s="0" t="n">
        <f aca="false">-1+C5720*0.25</f>
        <v>0.25</v>
      </c>
      <c r="H5720" s="0" t="n">
        <f aca="false">-1+D5720*0.25</f>
        <v>-1</v>
      </c>
      <c r="I5720" s="0" t="n">
        <f aca="false">1</f>
        <v>1</v>
      </c>
      <c r="J5720" s="0" t="n">
        <f aca="false">E5720</f>
        <v>0.75</v>
      </c>
      <c r="K5720" s="0" t="n">
        <f aca="false">F5720</f>
        <v>0.75</v>
      </c>
      <c r="L5720" s="0" t="n">
        <f aca="false">G5720</f>
        <v>0.25</v>
      </c>
      <c r="M5720" s="0" t="n">
        <f aca="false">H5720</f>
        <v>-1</v>
      </c>
      <c r="N5720" s="0" t="n">
        <f aca="false">E5720*F5720</f>
        <v>0.5625</v>
      </c>
      <c r="O5720" s="0" t="n">
        <f aca="false">E5720*G5720</f>
        <v>0.1875</v>
      </c>
      <c r="P5720" s="0" t="n">
        <f aca="false">E5720*H5720</f>
        <v>-0.75</v>
      </c>
      <c r="Q5720" s="0" t="n">
        <f aca="false">F5720*G5720</f>
        <v>0.1875</v>
      </c>
      <c r="R5720" s="0" t="n">
        <f aca="false">F5720*H5720</f>
        <v>-0.75</v>
      </c>
      <c r="S5720" s="0" t="n">
        <f aca="false">G5720*H5720</f>
        <v>-0.25</v>
      </c>
      <c r="T5720" s="0" t="n">
        <f aca="false">E5720*E5720</f>
        <v>0.5625</v>
      </c>
      <c r="U5720" s="0" t="n">
        <f aca="false">F5720*F5720</f>
        <v>0.5625</v>
      </c>
      <c r="V5720" s="0" t="n">
        <f aca="false">G5720*G5720</f>
        <v>0.0625</v>
      </c>
      <c r="W5720" s="0" t="n">
        <f aca="false">H5720*H5720</f>
        <v>1</v>
      </c>
      <c r="X5720" s="0" t="n">
        <f aca="false">SUMPRODUCT(I5720:W5720,_XtX!$B$96:$P$96)</f>
        <v>48.0560809576024</v>
      </c>
      <c r="Y5720" s="0" t="n">
        <f aca="false">SUMPRODUCT(MMULT(I5720:W5720,_XtX!$B$78:$P$92),I5720:W5720)</f>
        <v>0.473959761056287</v>
      </c>
      <c r="Z5720" s="0" t="n">
        <f aca="false">04_回帰ANOVA!$K$19*04_回帰ANOVA!$K$14*SQRT(1+Y5720)</f>
        <v>1.58249084588329</v>
      </c>
      <c r="AA5720" s="0" t="n">
        <f aca="false">X5720-Z5720</f>
        <v>46.4735901117191</v>
      </c>
      <c r="AB5720" s="0" t="n">
        <f aca="false">X5720+Z5720</f>
        <v>49.6385718034857</v>
      </c>
      <c r="AC5720" s="54" t="b">
        <f aca="false">AND(E5720&gt;=01_因子設定!$L$5-0.000000001,E5720&lt;=01_因子設定!$M$5+0.000000001,F5720&gt;=01_因子設定!$L$6-0.000000001,F5720&lt;=01_因子設定!$M$6+0.000000001,G5720&gt;=01_因子設定!$L$7-0.000000001,G5720&lt;=01_因子設定!$M$7+0.000000001,H5720&gt;=01_因子設定!$L$8-0.000000001,H5720&lt;=01_因子設定!$M$8+0.000000001,IF(01_因子設定!$B$20="Box-Behnken",E5720^2+F5720^2+G5720^2+H5720^2&lt;=2+0.000000001,TRUE()))</f>
        <v>1</v>
      </c>
      <c r="AD5720" s="55" t="n">
        <f aca="false">IF(AC5720,IF(01_因子設定!$B$13="最大化",AA5720-01_因子設定!$B$14,IF(01_因子設定!$B$13="最小化",01_因子設定!$B$15-AB5720,MIN(AA5720-01_因子設定!$B$14,01_因子設定!$B$15-AB5720))),-1E+030)</f>
        <v>-0.0264098882809236</v>
      </c>
      <c r="AE5720" s="55" t="n">
        <f aca="false">IF(AC5720,IF(01_因子設定!$B$13="最大化",X5720,IF(01_因子設定!$B$13="最小化",-X5720,-ABS(X5720-01_因子設定!$B$16))),-1E+030)</f>
        <v>48.0560809576024</v>
      </c>
      <c r="AF5720" s="55" t="n">
        <f aca="false">AD5720+ROW()*0.000000001</f>
        <v>-0.0264041682809236</v>
      </c>
      <c r="AG5720" s="55" t="n">
        <f aca="false">AE5720+ROW()*0.000000001</f>
        <v>48.0560866776024</v>
      </c>
    </row>
    <row r="5721" customFormat="false" ht="15" hidden="false" customHeight="false" outlineLevel="0" collapsed="false">
      <c r="A5721" s="0" t="n">
        <v>7</v>
      </c>
      <c r="B5721" s="0" t="n">
        <v>7</v>
      </c>
      <c r="C5721" s="0" t="n">
        <v>5</v>
      </c>
      <c r="D5721" s="0" t="n">
        <v>1</v>
      </c>
      <c r="E5721" s="0" t="n">
        <f aca="false">-1+A5721*0.25</f>
        <v>0.75</v>
      </c>
      <c r="F5721" s="0" t="n">
        <f aca="false">-1+B5721*0.25</f>
        <v>0.75</v>
      </c>
      <c r="G5721" s="0" t="n">
        <f aca="false">-1+C5721*0.25</f>
        <v>0.25</v>
      </c>
      <c r="H5721" s="0" t="n">
        <f aca="false">-1+D5721*0.25</f>
        <v>-0.75</v>
      </c>
      <c r="I5721" s="0" t="n">
        <f aca="false">1</f>
        <v>1</v>
      </c>
      <c r="J5721" s="0" t="n">
        <f aca="false">E5721</f>
        <v>0.75</v>
      </c>
      <c r="K5721" s="0" t="n">
        <f aca="false">F5721</f>
        <v>0.75</v>
      </c>
      <c r="L5721" s="0" t="n">
        <f aca="false">G5721</f>
        <v>0.25</v>
      </c>
      <c r="M5721" s="0" t="n">
        <f aca="false">H5721</f>
        <v>-0.75</v>
      </c>
      <c r="N5721" s="0" t="n">
        <f aca="false">E5721*F5721</f>
        <v>0.5625</v>
      </c>
      <c r="O5721" s="0" t="n">
        <f aca="false">E5721*G5721</f>
        <v>0.1875</v>
      </c>
      <c r="P5721" s="0" t="n">
        <f aca="false">E5721*H5721</f>
        <v>-0.5625</v>
      </c>
      <c r="Q5721" s="0" t="n">
        <f aca="false">F5721*G5721</f>
        <v>0.1875</v>
      </c>
      <c r="R5721" s="0" t="n">
        <f aca="false">F5721*H5721</f>
        <v>-0.5625</v>
      </c>
      <c r="S5721" s="0" t="n">
        <f aca="false">G5721*H5721</f>
        <v>-0.1875</v>
      </c>
      <c r="T5721" s="0" t="n">
        <f aca="false">E5721*E5721</f>
        <v>0.5625</v>
      </c>
      <c r="U5721" s="0" t="n">
        <f aca="false">F5721*F5721</f>
        <v>0.5625</v>
      </c>
      <c r="V5721" s="0" t="n">
        <f aca="false">G5721*G5721</f>
        <v>0.0625</v>
      </c>
      <c r="W5721" s="0" t="n">
        <f aca="false">H5721*H5721</f>
        <v>0.5625</v>
      </c>
      <c r="X5721" s="0" t="n">
        <f aca="false">SUMPRODUCT(I5721:W5721,_XtX!$B$96:$P$96)</f>
        <v>48.3263569078947</v>
      </c>
      <c r="Y5721" s="0" t="n">
        <f aca="false">SUMPRODUCT(MMULT(I5721:W5721,_XtX!$B$78:$P$92),I5721:W5721)</f>
        <v>0.294856199744152</v>
      </c>
      <c r="Z5721" s="0" t="n">
        <f aca="false">04_回帰ANOVA!$K$19*04_回帰ANOVA!$K$14*SQRT(1+Y5721)</f>
        <v>1.48323226089013</v>
      </c>
      <c r="AA5721" s="0" t="n">
        <f aca="false">X5721-Z5721</f>
        <v>46.8431246470046</v>
      </c>
      <c r="AB5721" s="0" t="n">
        <f aca="false">X5721+Z5721</f>
        <v>49.8095891687849</v>
      </c>
      <c r="AC5721" s="54" t="b">
        <f aca="false">AND(E5721&gt;=01_因子設定!$L$5-0.000000001,E5721&lt;=01_因子設定!$M$5+0.000000001,F5721&gt;=01_因子設定!$L$6-0.000000001,F5721&lt;=01_因子設定!$M$6+0.000000001,G5721&gt;=01_因子設定!$L$7-0.000000001,G5721&lt;=01_因子設定!$M$7+0.000000001,H5721&gt;=01_因子設定!$L$8-0.000000001,H5721&lt;=01_因子設定!$M$8+0.000000001,IF(01_因子設定!$B$20="Box-Behnken",E5721^2+F5721^2+G5721^2+H5721^2&lt;=2+0.000000001,TRUE()))</f>
        <v>1</v>
      </c>
      <c r="AD5721" s="55" t="n">
        <f aca="false">IF(AC5721,IF(01_因子設定!$B$13="最大化",AA5721-01_因子設定!$B$14,IF(01_因子設定!$B$13="最小化",01_因子設定!$B$15-AB5721,MIN(AA5721-01_因子設定!$B$14,01_因子設定!$B$15-AB5721))),-1E+030)</f>
        <v>0.343124647004608</v>
      </c>
      <c r="AE5721" s="55" t="n">
        <f aca="false">IF(AC5721,IF(01_因子設定!$B$13="最大化",X5721,IF(01_因子設定!$B$13="最小化",-X5721,-ABS(X5721-01_因子設定!$B$16))),-1E+030)</f>
        <v>48.3263569078947</v>
      </c>
      <c r="AF5721" s="55" t="n">
        <f aca="false">AD5721+ROW()*0.000000001</f>
        <v>0.343130368004608</v>
      </c>
      <c r="AG5721" s="55" t="n">
        <f aca="false">AE5721+ROW()*0.000000001</f>
        <v>48.3263626288947</v>
      </c>
    </row>
    <row r="5722" customFormat="false" ht="15" hidden="false" customHeight="false" outlineLevel="0" collapsed="false">
      <c r="A5722" s="0" t="n">
        <v>7</v>
      </c>
      <c r="B5722" s="0" t="n">
        <v>7</v>
      </c>
      <c r="C5722" s="0" t="n">
        <v>5</v>
      </c>
      <c r="D5722" s="0" t="n">
        <v>2</v>
      </c>
      <c r="E5722" s="0" t="n">
        <f aca="false">-1+A5722*0.25</f>
        <v>0.75</v>
      </c>
      <c r="F5722" s="0" t="n">
        <f aca="false">-1+B5722*0.25</f>
        <v>0.75</v>
      </c>
      <c r="G5722" s="0" t="n">
        <f aca="false">-1+C5722*0.25</f>
        <v>0.25</v>
      </c>
      <c r="H5722" s="0" t="n">
        <f aca="false">-1+D5722*0.25</f>
        <v>-0.5</v>
      </c>
      <c r="I5722" s="0" t="n">
        <f aca="false">1</f>
        <v>1</v>
      </c>
      <c r="J5722" s="0" t="n">
        <f aca="false">E5722</f>
        <v>0.75</v>
      </c>
      <c r="K5722" s="0" t="n">
        <f aca="false">F5722</f>
        <v>0.75</v>
      </c>
      <c r="L5722" s="0" t="n">
        <f aca="false">G5722</f>
        <v>0.25</v>
      </c>
      <c r="M5722" s="0" t="n">
        <f aca="false">H5722</f>
        <v>-0.5</v>
      </c>
      <c r="N5722" s="0" t="n">
        <f aca="false">E5722*F5722</f>
        <v>0.5625</v>
      </c>
      <c r="O5722" s="0" t="n">
        <f aca="false">E5722*G5722</f>
        <v>0.1875</v>
      </c>
      <c r="P5722" s="0" t="n">
        <f aca="false">E5722*H5722</f>
        <v>-0.375</v>
      </c>
      <c r="Q5722" s="0" t="n">
        <f aca="false">F5722*G5722</f>
        <v>0.1875</v>
      </c>
      <c r="R5722" s="0" t="n">
        <f aca="false">F5722*H5722</f>
        <v>-0.375</v>
      </c>
      <c r="S5722" s="0" t="n">
        <f aca="false">G5722*H5722</f>
        <v>-0.125</v>
      </c>
      <c r="T5722" s="0" t="n">
        <f aca="false">E5722*E5722</f>
        <v>0.5625</v>
      </c>
      <c r="U5722" s="0" t="n">
        <f aca="false">F5722*F5722</f>
        <v>0.5625</v>
      </c>
      <c r="V5722" s="0" t="n">
        <f aca="false">G5722*G5722</f>
        <v>0.0625</v>
      </c>
      <c r="W5722" s="0" t="n">
        <f aca="false">H5722*H5722</f>
        <v>0.25</v>
      </c>
      <c r="X5722" s="0" t="n">
        <f aca="false">SUMPRODUCT(I5722:W5722,_XtX!$B$96:$P$96)</f>
        <v>48.5488258406433</v>
      </c>
      <c r="Y5722" s="0" t="n">
        <f aca="false">SUMPRODUCT(MMULT(I5722:W5722,_XtX!$B$78:$P$92),I5722:W5722)</f>
        <v>0.257385610836988</v>
      </c>
      <c r="Z5722" s="0" t="n">
        <f aca="false">04_回帰ANOVA!$K$19*04_回帰ANOVA!$K$14*SQRT(1+Y5722)</f>
        <v>1.46161380324158</v>
      </c>
      <c r="AA5722" s="0" t="n">
        <f aca="false">X5722-Z5722</f>
        <v>47.0872120374017</v>
      </c>
      <c r="AB5722" s="0" t="n">
        <f aca="false">X5722+Z5722</f>
        <v>50.0104396438849</v>
      </c>
      <c r="AC5722" s="54" t="b">
        <f aca="false">AND(E5722&gt;=01_因子設定!$L$5-0.000000001,E5722&lt;=01_因子設定!$M$5+0.000000001,F5722&gt;=01_因子設定!$L$6-0.000000001,F5722&lt;=01_因子設定!$M$6+0.000000001,G5722&gt;=01_因子設定!$L$7-0.000000001,G5722&lt;=01_因子設定!$M$7+0.000000001,H5722&gt;=01_因子設定!$L$8-0.000000001,H5722&lt;=01_因子設定!$M$8+0.000000001,IF(01_因子設定!$B$20="Box-Behnken",E5722^2+F5722^2+G5722^2+H5722^2&lt;=2+0.000000001,TRUE()))</f>
        <v>1</v>
      </c>
      <c r="AD5722" s="55" t="n">
        <f aca="false">IF(AC5722,IF(01_因子設定!$B$13="最大化",AA5722-01_因子設定!$B$14,IF(01_因子設定!$B$13="最小化",01_因子設定!$B$15-AB5722,MIN(AA5722-01_因子設定!$B$14,01_因子設定!$B$15-AB5722))),-1E+030)</f>
        <v>0.587212037401685</v>
      </c>
      <c r="AE5722" s="55" t="n">
        <f aca="false">IF(AC5722,IF(01_因子設定!$B$13="最大化",X5722,IF(01_因子設定!$B$13="最小化",-X5722,-ABS(X5722-01_因子設定!$B$16))),-1E+030)</f>
        <v>48.5488258406433</v>
      </c>
      <c r="AF5722" s="55" t="n">
        <f aca="false">AD5722+ROW()*0.000000001</f>
        <v>0.587217759401685</v>
      </c>
      <c r="AG5722" s="55" t="n">
        <f aca="false">AE5722+ROW()*0.000000001</f>
        <v>48.5488315626433</v>
      </c>
    </row>
    <row r="5723" customFormat="false" ht="15" hidden="false" customHeight="false" outlineLevel="0" collapsed="false">
      <c r="A5723" s="0" t="n">
        <v>7</v>
      </c>
      <c r="B5723" s="0" t="n">
        <v>7</v>
      </c>
      <c r="C5723" s="0" t="n">
        <v>5</v>
      </c>
      <c r="D5723" s="0" t="n">
        <v>3</v>
      </c>
      <c r="E5723" s="0" t="n">
        <f aca="false">-1+A5723*0.25</f>
        <v>0.75</v>
      </c>
      <c r="F5723" s="0" t="n">
        <f aca="false">-1+B5723*0.25</f>
        <v>0.75</v>
      </c>
      <c r="G5723" s="0" t="n">
        <f aca="false">-1+C5723*0.25</f>
        <v>0.25</v>
      </c>
      <c r="H5723" s="0" t="n">
        <f aca="false">-1+D5723*0.25</f>
        <v>-0.25</v>
      </c>
      <c r="I5723" s="0" t="n">
        <f aca="false">1</f>
        <v>1</v>
      </c>
      <c r="J5723" s="0" t="n">
        <f aca="false">E5723</f>
        <v>0.75</v>
      </c>
      <c r="K5723" s="0" t="n">
        <f aca="false">F5723</f>
        <v>0.75</v>
      </c>
      <c r="L5723" s="0" t="n">
        <f aca="false">G5723</f>
        <v>0.25</v>
      </c>
      <c r="M5723" s="0" t="n">
        <f aca="false">H5723</f>
        <v>-0.25</v>
      </c>
      <c r="N5723" s="0" t="n">
        <f aca="false">E5723*F5723</f>
        <v>0.5625</v>
      </c>
      <c r="O5723" s="0" t="n">
        <f aca="false">E5723*G5723</f>
        <v>0.1875</v>
      </c>
      <c r="P5723" s="0" t="n">
        <f aca="false">E5723*H5723</f>
        <v>-0.1875</v>
      </c>
      <c r="Q5723" s="0" t="n">
        <f aca="false">F5723*G5723</f>
        <v>0.1875</v>
      </c>
      <c r="R5723" s="0" t="n">
        <f aca="false">F5723*H5723</f>
        <v>-0.1875</v>
      </c>
      <c r="S5723" s="0" t="n">
        <f aca="false">G5723*H5723</f>
        <v>-0.0625</v>
      </c>
      <c r="T5723" s="0" t="n">
        <f aca="false">E5723*E5723</f>
        <v>0.5625</v>
      </c>
      <c r="U5723" s="0" t="n">
        <f aca="false">F5723*F5723</f>
        <v>0.5625</v>
      </c>
      <c r="V5723" s="0" t="n">
        <f aca="false">G5723*G5723</f>
        <v>0.0625</v>
      </c>
      <c r="W5723" s="0" t="n">
        <f aca="false">H5723*H5723</f>
        <v>0.0625</v>
      </c>
      <c r="X5723" s="0" t="n">
        <f aca="false">SUMPRODUCT(I5723:W5723,_XtX!$B$96:$P$96)</f>
        <v>48.7234877558479</v>
      </c>
      <c r="Y5723" s="0" t="n">
        <f aca="false">SUMPRODUCT(MMULT(I5723:W5723,_XtX!$B$78:$P$92),I5723:W5723)</f>
        <v>0.271087468019006</v>
      </c>
      <c r="Z5723" s="0" t="n">
        <f aca="false">04_回帰ANOVA!$K$19*04_回帰ANOVA!$K$14*SQRT(1+Y5723)</f>
        <v>1.46955590155034</v>
      </c>
      <c r="AA5723" s="0" t="n">
        <f aca="false">X5723-Z5723</f>
        <v>47.2539318542976</v>
      </c>
      <c r="AB5723" s="0" t="n">
        <f aca="false">X5723+Z5723</f>
        <v>50.1930436573983</v>
      </c>
      <c r="AC5723" s="54" t="b">
        <f aca="false">AND(E5723&gt;=01_因子設定!$L$5-0.000000001,E5723&lt;=01_因子設定!$M$5+0.000000001,F5723&gt;=01_因子設定!$L$6-0.000000001,F5723&lt;=01_因子設定!$M$6+0.000000001,G5723&gt;=01_因子設定!$L$7-0.000000001,G5723&lt;=01_因子設定!$M$7+0.000000001,H5723&gt;=01_因子設定!$L$8-0.000000001,H5723&lt;=01_因子設定!$M$8+0.000000001,IF(01_因子設定!$B$20="Box-Behnken",E5723^2+F5723^2+G5723^2+H5723^2&lt;=2+0.000000001,TRUE()))</f>
        <v>1</v>
      </c>
      <c r="AD5723" s="55" t="n">
        <f aca="false">IF(AC5723,IF(01_因子設定!$B$13="最大化",AA5723-01_因子設定!$B$14,IF(01_因子設定!$B$13="最小化",01_因子設定!$B$15-AB5723,MIN(AA5723-01_因子設定!$B$14,01_因子設定!$B$15-AB5723))),-1E+030)</f>
        <v>0.753931854297598</v>
      </c>
      <c r="AE5723" s="55" t="n">
        <f aca="false">IF(AC5723,IF(01_因子設定!$B$13="最大化",X5723,IF(01_因子設定!$B$13="最小化",-X5723,-ABS(X5723-01_因子設定!$B$16))),-1E+030)</f>
        <v>48.7234877558479</v>
      </c>
      <c r="AF5723" s="55" t="n">
        <f aca="false">AD5723+ROW()*0.000000001</f>
        <v>0.753937577297598</v>
      </c>
      <c r="AG5723" s="55" t="n">
        <f aca="false">AE5723+ROW()*0.000000001</f>
        <v>48.7234934788479</v>
      </c>
    </row>
    <row r="5724" customFormat="false" ht="15" hidden="false" customHeight="false" outlineLevel="0" collapsed="false">
      <c r="A5724" s="0" t="n">
        <v>7</v>
      </c>
      <c r="B5724" s="0" t="n">
        <v>7</v>
      </c>
      <c r="C5724" s="0" t="n">
        <v>5</v>
      </c>
      <c r="D5724" s="0" t="n">
        <v>4</v>
      </c>
      <c r="E5724" s="0" t="n">
        <f aca="false">-1+A5724*0.25</f>
        <v>0.75</v>
      </c>
      <c r="F5724" s="0" t="n">
        <f aca="false">-1+B5724*0.25</f>
        <v>0.75</v>
      </c>
      <c r="G5724" s="0" t="n">
        <f aca="false">-1+C5724*0.25</f>
        <v>0.25</v>
      </c>
      <c r="H5724" s="0" t="n">
        <f aca="false">-1+D5724*0.25</f>
        <v>0</v>
      </c>
      <c r="I5724" s="0" t="n">
        <f aca="false">1</f>
        <v>1</v>
      </c>
      <c r="J5724" s="0" t="n">
        <f aca="false">E5724</f>
        <v>0.75</v>
      </c>
      <c r="K5724" s="0" t="n">
        <f aca="false">F5724</f>
        <v>0.75</v>
      </c>
      <c r="L5724" s="0" t="n">
        <f aca="false">G5724</f>
        <v>0.25</v>
      </c>
      <c r="M5724" s="0" t="n">
        <f aca="false">H5724</f>
        <v>0</v>
      </c>
      <c r="N5724" s="0" t="n">
        <f aca="false">E5724*F5724</f>
        <v>0.5625</v>
      </c>
      <c r="O5724" s="0" t="n">
        <f aca="false">E5724*G5724</f>
        <v>0.1875</v>
      </c>
      <c r="P5724" s="0" t="n">
        <f aca="false">E5724*H5724</f>
        <v>0</v>
      </c>
      <c r="Q5724" s="0" t="n">
        <f aca="false">F5724*G5724</f>
        <v>0.1875</v>
      </c>
      <c r="R5724" s="0" t="n">
        <f aca="false">F5724*H5724</f>
        <v>0</v>
      </c>
      <c r="S5724" s="0" t="n">
        <f aca="false">G5724*H5724</f>
        <v>0</v>
      </c>
      <c r="T5724" s="0" t="n">
        <f aca="false">E5724*E5724</f>
        <v>0.5625</v>
      </c>
      <c r="U5724" s="0" t="n">
        <f aca="false">F5724*F5724</f>
        <v>0.5625</v>
      </c>
      <c r="V5724" s="0" t="n">
        <f aca="false">G5724*G5724</f>
        <v>0.0625</v>
      </c>
      <c r="W5724" s="0" t="n">
        <f aca="false">H5724*H5724</f>
        <v>0</v>
      </c>
      <c r="X5724" s="0" t="n">
        <f aca="false">SUMPRODUCT(I5724:W5724,_XtX!$B$96:$P$96)</f>
        <v>48.8503426535088</v>
      </c>
      <c r="Y5724" s="0" t="n">
        <f aca="false">SUMPRODUCT(MMULT(I5724:W5724,_XtX!$B$78:$P$92),I5724:W5724)</f>
        <v>0.281685455500731</v>
      </c>
      <c r="Z5724" s="0" t="n">
        <f aca="false">04_回帰ANOVA!$K$19*04_回帰ANOVA!$K$14*SQRT(1+Y5724)</f>
        <v>1.47566956658694</v>
      </c>
      <c r="AA5724" s="0" t="n">
        <f aca="false">X5724-Z5724</f>
        <v>47.3746730869218</v>
      </c>
      <c r="AB5724" s="0" t="n">
        <f aca="false">X5724+Z5724</f>
        <v>50.3260122200957</v>
      </c>
      <c r="AC5724" s="54" t="b">
        <f aca="false">AND(E5724&gt;=01_因子設定!$L$5-0.000000001,E5724&lt;=01_因子設定!$M$5+0.000000001,F5724&gt;=01_因子設定!$L$6-0.000000001,F5724&lt;=01_因子設定!$M$6+0.000000001,G5724&gt;=01_因子設定!$L$7-0.000000001,G5724&lt;=01_因子設定!$M$7+0.000000001,H5724&gt;=01_因子設定!$L$8-0.000000001,H5724&lt;=01_因子設定!$M$8+0.000000001,IF(01_因子設定!$B$20="Box-Behnken",E5724^2+F5724^2+G5724^2+H5724^2&lt;=2+0.000000001,TRUE()))</f>
        <v>1</v>
      </c>
      <c r="AD5724" s="55" t="n">
        <f aca="false">IF(AC5724,IF(01_因子設定!$B$13="最大化",AA5724-01_因子設定!$B$14,IF(01_因子設定!$B$13="最小化",01_因子設定!$B$15-AB5724,MIN(AA5724-01_因子設定!$B$14,01_因子設定!$B$15-AB5724))),-1E+030)</f>
        <v>0.874673086921817</v>
      </c>
      <c r="AE5724" s="55" t="n">
        <f aca="false">IF(AC5724,IF(01_因子設定!$B$13="最大化",X5724,IF(01_因子設定!$B$13="最小化",-X5724,-ABS(X5724-01_因子設定!$B$16))),-1E+030)</f>
        <v>48.8503426535088</v>
      </c>
      <c r="AF5724" s="55" t="n">
        <f aca="false">AD5724+ROW()*0.000000001</f>
        <v>0.874678810921817</v>
      </c>
      <c r="AG5724" s="55" t="n">
        <f aca="false">AE5724+ROW()*0.000000001</f>
        <v>48.8503483775088</v>
      </c>
    </row>
    <row r="5725" customFormat="false" ht="15" hidden="false" customHeight="false" outlineLevel="0" collapsed="false">
      <c r="A5725" s="0" t="n">
        <v>7</v>
      </c>
      <c r="B5725" s="0" t="n">
        <v>7</v>
      </c>
      <c r="C5725" s="0" t="n">
        <v>5</v>
      </c>
      <c r="D5725" s="0" t="n">
        <v>5</v>
      </c>
      <c r="E5725" s="0" t="n">
        <f aca="false">-1+A5725*0.25</f>
        <v>0.75</v>
      </c>
      <c r="F5725" s="0" t="n">
        <f aca="false">-1+B5725*0.25</f>
        <v>0.75</v>
      </c>
      <c r="G5725" s="0" t="n">
        <f aca="false">-1+C5725*0.25</f>
        <v>0.25</v>
      </c>
      <c r="H5725" s="0" t="n">
        <f aca="false">-1+D5725*0.25</f>
        <v>0.25</v>
      </c>
      <c r="I5725" s="0" t="n">
        <f aca="false">1</f>
        <v>1</v>
      </c>
      <c r="J5725" s="0" t="n">
        <f aca="false">E5725</f>
        <v>0.75</v>
      </c>
      <c r="K5725" s="0" t="n">
        <f aca="false">F5725</f>
        <v>0.75</v>
      </c>
      <c r="L5725" s="0" t="n">
        <f aca="false">G5725</f>
        <v>0.25</v>
      </c>
      <c r="M5725" s="0" t="n">
        <f aca="false">H5725</f>
        <v>0.25</v>
      </c>
      <c r="N5725" s="0" t="n">
        <f aca="false">E5725*F5725</f>
        <v>0.5625</v>
      </c>
      <c r="O5725" s="0" t="n">
        <f aca="false">E5725*G5725</f>
        <v>0.1875</v>
      </c>
      <c r="P5725" s="0" t="n">
        <f aca="false">E5725*H5725</f>
        <v>0.1875</v>
      </c>
      <c r="Q5725" s="0" t="n">
        <f aca="false">F5725*G5725</f>
        <v>0.1875</v>
      </c>
      <c r="R5725" s="0" t="n">
        <f aca="false">F5725*H5725</f>
        <v>0.1875</v>
      </c>
      <c r="S5725" s="0" t="n">
        <f aca="false">G5725*H5725</f>
        <v>0.0625</v>
      </c>
      <c r="T5725" s="0" t="n">
        <f aca="false">E5725*E5725</f>
        <v>0.5625</v>
      </c>
      <c r="U5725" s="0" t="n">
        <f aca="false">F5725*F5725</f>
        <v>0.5625</v>
      </c>
      <c r="V5725" s="0" t="n">
        <f aca="false">G5725*G5725</f>
        <v>0.0625</v>
      </c>
      <c r="W5725" s="0" t="n">
        <f aca="false">H5725*H5725</f>
        <v>0.0625</v>
      </c>
      <c r="X5725" s="0" t="n">
        <f aca="false">SUMPRODUCT(I5725:W5725,_XtX!$B$96:$P$96)</f>
        <v>48.9293905336257</v>
      </c>
      <c r="Y5725" s="0" t="n">
        <f aca="false">SUMPRODUCT(MMULT(I5725:W5725,_XtX!$B$78:$P$92),I5725:W5725)</f>
        <v>0.271087468019006</v>
      </c>
      <c r="Z5725" s="0" t="n">
        <f aca="false">04_回帰ANOVA!$K$19*04_回帰ANOVA!$K$14*SQRT(1+Y5725)</f>
        <v>1.46955590155034</v>
      </c>
      <c r="AA5725" s="0" t="n">
        <f aca="false">X5725-Z5725</f>
        <v>47.4598346320754</v>
      </c>
      <c r="AB5725" s="0" t="n">
        <f aca="false">X5725+Z5725</f>
        <v>50.3989464351761</v>
      </c>
      <c r="AC5725" s="54" t="b">
        <f aca="false">AND(E5725&gt;=01_因子設定!$L$5-0.000000001,E5725&lt;=01_因子設定!$M$5+0.000000001,F5725&gt;=01_因子設定!$L$6-0.000000001,F5725&lt;=01_因子設定!$M$6+0.000000001,G5725&gt;=01_因子設定!$L$7-0.000000001,G5725&lt;=01_因子設定!$M$7+0.000000001,H5725&gt;=01_因子設定!$L$8-0.000000001,H5725&lt;=01_因子設定!$M$8+0.000000001,IF(01_因子設定!$B$20="Box-Behnken",E5725^2+F5725^2+G5725^2+H5725^2&lt;=2+0.000000001,TRUE()))</f>
        <v>1</v>
      </c>
      <c r="AD5725" s="55" t="n">
        <f aca="false">IF(AC5725,IF(01_因子設定!$B$13="最大化",AA5725-01_因子設定!$B$14,IF(01_因子設定!$B$13="最小化",01_因子設定!$B$15-AB5725,MIN(AA5725-01_因子設定!$B$14,01_因子設定!$B$15-AB5725))),-1E+030)</f>
        <v>0.959834632075371</v>
      </c>
      <c r="AE5725" s="55" t="n">
        <f aca="false">IF(AC5725,IF(01_因子設定!$B$13="最大化",X5725,IF(01_因子設定!$B$13="最小化",-X5725,-ABS(X5725-01_因子設定!$B$16))),-1E+030)</f>
        <v>48.9293905336257</v>
      </c>
      <c r="AF5725" s="55" t="n">
        <f aca="false">AD5725+ROW()*0.000000001</f>
        <v>0.959840357075371</v>
      </c>
      <c r="AG5725" s="55" t="n">
        <f aca="false">AE5725+ROW()*0.000000001</f>
        <v>48.9293962586257</v>
      </c>
    </row>
    <row r="5726" customFormat="false" ht="15" hidden="false" customHeight="false" outlineLevel="0" collapsed="false">
      <c r="A5726" s="0" t="n">
        <v>7</v>
      </c>
      <c r="B5726" s="0" t="n">
        <v>7</v>
      </c>
      <c r="C5726" s="0" t="n">
        <v>5</v>
      </c>
      <c r="D5726" s="0" t="n">
        <v>6</v>
      </c>
      <c r="E5726" s="0" t="n">
        <f aca="false">-1+A5726*0.25</f>
        <v>0.75</v>
      </c>
      <c r="F5726" s="0" t="n">
        <f aca="false">-1+B5726*0.25</f>
        <v>0.75</v>
      </c>
      <c r="G5726" s="0" t="n">
        <f aca="false">-1+C5726*0.25</f>
        <v>0.25</v>
      </c>
      <c r="H5726" s="0" t="n">
        <f aca="false">-1+D5726*0.25</f>
        <v>0.5</v>
      </c>
      <c r="I5726" s="0" t="n">
        <f aca="false">1</f>
        <v>1</v>
      </c>
      <c r="J5726" s="0" t="n">
        <f aca="false">E5726</f>
        <v>0.75</v>
      </c>
      <c r="K5726" s="0" t="n">
        <f aca="false">F5726</f>
        <v>0.75</v>
      </c>
      <c r="L5726" s="0" t="n">
        <f aca="false">G5726</f>
        <v>0.25</v>
      </c>
      <c r="M5726" s="0" t="n">
        <f aca="false">H5726</f>
        <v>0.5</v>
      </c>
      <c r="N5726" s="0" t="n">
        <f aca="false">E5726*F5726</f>
        <v>0.5625</v>
      </c>
      <c r="O5726" s="0" t="n">
        <f aca="false">E5726*G5726</f>
        <v>0.1875</v>
      </c>
      <c r="P5726" s="0" t="n">
        <f aca="false">E5726*H5726</f>
        <v>0.375</v>
      </c>
      <c r="Q5726" s="0" t="n">
        <f aca="false">F5726*G5726</f>
        <v>0.1875</v>
      </c>
      <c r="R5726" s="0" t="n">
        <f aca="false">F5726*H5726</f>
        <v>0.375</v>
      </c>
      <c r="S5726" s="0" t="n">
        <f aca="false">G5726*H5726</f>
        <v>0.125</v>
      </c>
      <c r="T5726" s="0" t="n">
        <f aca="false">E5726*E5726</f>
        <v>0.5625</v>
      </c>
      <c r="U5726" s="0" t="n">
        <f aca="false">F5726*F5726</f>
        <v>0.5625</v>
      </c>
      <c r="V5726" s="0" t="n">
        <f aca="false">G5726*G5726</f>
        <v>0.0625</v>
      </c>
      <c r="W5726" s="0" t="n">
        <f aca="false">H5726*H5726</f>
        <v>0.25</v>
      </c>
      <c r="X5726" s="0" t="n">
        <f aca="false">SUMPRODUCT(I5726:W5726,_XtX!$B$96:$P$96)</f>
        <v>48.9606313961988</v>
      </c>
      <c r="Y5726" s="0" t="n">
        <f aca="false">SUMPRODUCT(MMULT(I5726:W5726,_XtX!$B$78:$P$92),I5726:W5726)</f>
        <v>0.257385610836988</v>
      </c>
      <c r="Z5726" s="0" t="n">
        <f aca="false">04_回帰ANOVA!$K$19*04_回帰ANOVA!$K$14*SQRT(1+Y5726)</f>
        <v>1.46161380324158</v>
      </c>
      <c r="AA5726" s="0" t="n">
        <f aca="false">X5726-Z5726</f>
        <v>47.4990175929572</v>
      </c>
      <c r="AB5726" s="0" t="n">
        <f aca="false">X5726+Z5726</f>
        <v>50.4222451994404</v>
      </c>
      <c r="AC5726" s="54" t="b">
        <f aca="false">AND(E5726&gt;=01_因子設定!$L$5-0.000000001,E5726&lt;=01_因子設定!$M$5+0.000000001,F5726&gt;=01_因子設定!$L$6-0.000000001,F5726&lt;=01_因子設定!$M$6+0.000000001,G5726&gt;=01_因子設定!$L$7-0.000000001,G5726&lt;=01_因子設定!$M$7+0.000000001,H5726&gt;=01_因子設定!$L$8-0.000000001,H5726&lt;=01_因子設定!$M$8+0.000000001,IF(01_因子設定!$B$20="Box-Behnken",E5726^2+F5726^2+G5726^2+H5726^2&lt;=2+0.000000001,TRUE()))</f>
        <v>1</v>
      </c>
      <c r="AD5726" s="55" t="n">
        <f aca="false">IF(AC5726,IF(01_因子設定!$B$13="最大化",AA5726-01_因子設定!$B$14,IF(01_因子設定!$B$13="最小化",01_因子設定!$B$15-AB5726,MIN(AA5726-01_因子設定!$B$14,01_因子設定!$B$15-AB5726))),-1E+030)</f>
        <v>0.999017592957237</v>
      </c>
      <c r="AE5726" s="55" t="n">
        <f aca="false">IF(AC5726,IF(01_因子設定!$B$13="最大化",X5726,IF(01_因子設定!$B$13="最小化",-X5726,-ABS(X5726-01_因子設定!$B$16))),-1E+030)</f>
        <v>48.9606313961988</v>
      </c>
      <c r="AF5726" s="55" t="n">
        <f aca="false">AD5726+ROW()*0.000000001</f>
        <v>0.999023318957237</v>
      </c>
      <c r="AG5726" s="55" t="n">
        <f aca="false">AE5726+ROW()*0.000000001</f>
        <v>48.9606371221988</v>
      </c>
    </row>
    <row r="5727" customFormat="false" ht="15" hidden="false" customHeight="false" outlineLevel="0" collapsed="false">
      <c r="A5727" s="0" t="n">
        <v>7</v>
      </c>
      <c r="B5727" s="0" t="n">
        <v>7</v>
      </c>
      <c r="C5727" s="0" t="n">
        <v>5</v>
      </c>
      <c r="D5727" s="0" t="n">
        <v>7</v>
      </c>
      <c r="E5727" s="0" t="n">
        <f aca="false">-1+A5727*0.25</f>
        <v>0.75</v>
      </c>
      <c r="F5727" s="0" t="n">
        <f aca="false">-1+B5727*0.25</f>
        <v>0.75</v>
      </c>
      <c r="G5727" s="0" t="n">
        <f aca="false">-1+C5727*0.25</f>
        <v>0.25</v>
      </c>
      <c r="H5727" s="0" t="n">
        <f aca="false">-1+D5727*0.25</f>
        <v>0.75</v>
      </c>
      <c r="I5727" s="0" t="n">
        <f aca="false">1</f>
        <v>1</v>
      </c>
      <c r="J5727" s="0" t="n">
        <f aca="false">E5727</f>
        <v>0.75</v>
      </c>
      <c r="K5727" s="0" t="n">
        <f aca="false">F5727</f>
        <v>0.75</v>
      </c>
      <c r="L5727" s="0" t="n">
        <f aca="false">G5727</f>
        <v>0.25</v>
      </c>
      <c r="M5727" s="0" t="n">
        <f aca="false">H5727</f>
        <v>0.75</v>
      </c>
      <c r="N5727" s="0" t="n">
        <f aca="false">E5727*F5727</f>
        <v>0.5625</v>
      </c>
      <c r="O5727" s="0" t="n">
        <f aca="false">E5727*G5727</f>
        <v>0.1875</v>
      </c>
      <c r="P5727" s="0" t="n">
        <f aca="false">E5727*H5727</f>
        <v>0.5625</v>
      </c>
      <c r="Q5727" s="0" t="n">
        <f aca="false">F5727*G5727</f>
        <v>0.1875</v>
      </c>
      <c r="R5727" s="0" t="n">
        <f aca="false">F5727*H5727</f>
        <v>0.5625</v>
      </c>
      <c r="S5727" s="0" t="n">
        <f aca="false">G5727*H5727</f>
        <v>0.1875</v>
      </c>
      <c r="T5727" s="0" t="n">
        <f aca="false">E5727*E5727</f>
        <v>0.5625</v>
      </c>
      <c r="U5727" s="0" t="n">
        <f aca="false">F5727*F5727</f>
        <v>0.5625</v>
      </c>
      <c r="V5727" s="0" t="n">
        <f aca="false">G5727*G5727</f>
        <v>0.0625</v>
      </c>
      <c r="W5727" s="0" t="n">
        <f aca="false">H5727*H5727</f>
        <v>0.5625</v>
      </c>
      <c r="X5727" s="0" t="n">
        <f aca="false">SUMPRODUCT(I5727:W5727,_XtX!$B$96:$P$96)</f>
        <v>48.9440652412281</v>
      </c>
      <c r="Y5727" s="0" t="n">
        <f aca="false">SUMPRODUCT(MMULT(I5727:W5727,_XtX!$B$78:$P$92),I5727:W5727)</f>
        <v>0.294856199744152</v>
      </c>
      <c r="Z5727" s="0" t="n">
        <f aca="false">04_回帰ANOVA!$K$19*04_回帰ANOVA!$K$14*SQRT(1+Y5727)</f>
        <v>1.48323226089013</v>
      </c>
      <c r="AA5727" s="0" t="n">
        <f aca="false">X5727-Z5727</f>
        <v>47.4608329803379</v>
      </c>
      <c r="AB5727" s="0" t="n">
        <f aca="false">X5727+Z5727</f>
        <v>50.4272975021182</v>
      </c>
      <c r="AC5727" s="54" t="b">
        <f aca="false">AND(E5727&gt;=01_因子設定!$L$5-0.000000001,E5727&lt;=01_因子設定!$M$5+0.000000001,F5727&gt;=01_因子設定!$L$6-0.000000001,F5727&lt;=01_因子設定!$M$6+0.000000001,G5727&gt;=01_因子設定!$L$7-0.000000001,G5727&lt;=01_因子設定!$M$7+0.000000001,H5727&gt;=01_因子設定!$L$8-0.000000001,H5727&lt;=01_因子設定!$M$8+0.000000001,IF(01_因子設定!$B$20="Box-Behnken",E5727^2+F5727^2+G5727^2+H5727^2&lt;=2+0.000000001,TRUE()))</f>
        <v>1</v>
      </c>
      <c r="AD5727" s="55" t="n">
        <f aca="false">IF(AC5727,IF(01_因子設定!$B$13="最大化",AA5727-01_因子設定!$B$14,IF(01_因子設定!$B$13="最小化",01_因子設定!$B$15-AB5727,MIN(AA5727-01_因子設定!$B$14,01_因子設定!$B$15-AB5727))),-1E+030)</f>
        <v>0.960832980337941</v>
      </c>
      <c r="AE5727" s="55" t="n">
        <f aca="false">IF(AC5727,IF(01_因子設定!$B$13="最大化",X5727,IF(01_因子設定!$B$13="最小化",-X5727,-ABS(X5727-01_因子設定!$B$16))),-1E+030)</f>
        <v>48.9440652412281</v>
      </c>
      <c r="AF5727" s="55" t="n">
        <f aca="false">AD5727+ROW()*0.000000001</f>
        <v>0.960838707337941</v>
      </c>
      <c r="AG5727" s="55" t="n">
        <f aca="false">AE5727+ROW()*0.000000001</f>
        <v>48.9440709682281</v>
      </c>
    </row>
    <row r="5728" customFormat="false" ht="15" hidden="false" customHeight="false" outlineLevel="0" collapsed="false">
      <c r="A5728" s="0" t="n">
        <v>7</v>
      </c>
      <c r="B5728" s="0" t="n">
        <v>7</v>
      </c>
      <c r="C5728" s="0" t="n">
        <v>5</v>
      </c>
      <c r="D5728" s="0" t="n">
        <v>8</v>
      </c>
      <c r="E5728" s="0" t="n">
        <f aca="false">-1+A5728*0.25</f>
        <v>0.75</v>
      </c>
      <c r="F5728" s="0" t="n">
        <f aca="false">-1+B5728*0.25</f>
        <v>0.75</v>
      </c>
      <c r="G5728" s="0" t="n">
        <f aca="false">-1+C5728*0.25</f>
        <v>0.25</v>
      </c>
      <c r="H5728" s="0" t="n">
        <f aca="false">-1+D5728*0.25</f>
        <v>1</v>
      </c>
      <c r="I5728" s="0" t="n">
        <f aca="false">1</f>
        <v>1</v>
      </c>
      <c r="J5728" s="0" t="n">
        <f aca="false">E5728</f>
        <v>0.75</v>
      </c>
      <c r="K5728" s="0" t="n">
        <f aca="false">F5728</f>
        <v>0.75</v>
      </c>
      <c r="L5728" s="0" t="n">
        <f aca="false">G5728</f>
        <v>0.25</v>
      </c>
      <c r="M5728" s="0" t="n">
        <f aca="false">H5728</f>
        <v>1</v>
      </c>
      <c r="N5728" s="0" t="n">
        <f aca="false">E5728*F5728</f>
        <v>0.5625</v>
      </c>
      <c r="O5728" s="0" t="n">
        <f aca="false">E5728*G5728</f>
        <v>0.1875</v>
      </c>
      <c r="P5728" s="0" t="n">
        <f aca="false">E5728*H5728</f>
        <v>0.75</v>
      </c>
      <c r="Q5728" s="0" t="n">
        <f aca="false">F5728*G5728</f>
        <v>0.1875</v>
      </c>
      <c r="R5728" s="0" t="n">
        <f aca="false">F5728*H5728</f>
        <v>0.75</v>
      </c>
      <c r="S5728" s="0" t="n">
        <f aca="false">G5728*H5728</f>
        <v>0.25</v>
      </c>
      <c r="T5728" s="0" t="n">
        <f aca="false">E5728*E5728</f>
        <v>0.5625</v>
      </c>
      <c r="U5728" s="0" t="n">
        <f aca="false">F5728*F5728</f>
        <v>0.5625</v>
      </c>
      <c r="V5728" s="0" t="n">
        <f aca="false">G5728*G5728</f>
        <v>0.0625</v>
      </c>
      <c r="W5728" s="0" t="n">
        <f aca="false">H5728*H5728</f>
        <v>1</v>
      </c>
      <c r="X5728" s="0" t="n">
        <f aca="false">SUMPRODUCT(I5728:W5728,_XtX!$B$96:$P$96)</f>
        <v>48.8796920687135</v>
      </c>
      <c r="Y5728" s="0" t="n">
        <f aca="false">SUMPRODUCT(MMULT(I5728:W5728,_XtX!$B$78:$P$92),I5728:W5728)</f>
        <v>0.473959761056287</v>
      </c>
      <c r="Z5728" s="0" t="n">
        <f aca="false">04_回帰ANOVA!$K$19*04_回帰ANOVA!$K$14*SQRT(1+Y5728)</f>
        <v>1.58249084588329</v>
      </c>
      <c r="AA5728" s="0" t="n">
        <f aca="false">X5728-Z5728</f>
        <v>47.2972012228302</v>
      </c>
      <c r="AB5728" s="0" t="n">
        <f aca="false">X5728+Z5728</f>
        <v>50.4621829145968</v>
      </c>
      <c r="AC5728" s="54" t="b">
        <f aca="false">AND(E5728&gt;=01_因子設定!$L$5-0.000000001,E5728&lt;=01_因子設定!$M$5+0.000000001,F5728&gt;=01_因子設定!$L$6-0.000000001,F5728&lt;=01_因子設定!$M$6+0.000000001,G5728&gt;=01_因子設定!$L$7-0.000000001,G5728&lt;=01_因子設定!$M$7+0.000000001,H5728&gt;=01_因子設定!$L$8-0.000000001,H5728&lt;=01_因子設定!$M$8+0.000000001,IF(01_因子設定!$B$20="Box-Behnken",E5728^2+F5728^2+G5728^2+H5728^2&lt;=2+0.000000001,TRUE()))</f>
        <v>1</v>
      </c>
      <c r="AD5728" s="55" t="n">
        <f aca="false">IF(AC5728,IF(01_因子設定!$B$13="最大化",AA5728-01_因子設定!$B$14,IF(01_因子設定!$B$13="最小化",01_因子設定!$B$15-AB5728,MIN(AA5728-01_因子設定!$B$14,01_因子設定!$B$15-AB5728))),-1E+030)</f>
        <v>0.797201222830182</v>
      </c>
      <c r="AE5728" s="55" t="n">
        <f aca="false">IF(AC5728,IF(01_因子設定!$B$13="最大化",X5728,IF(01_因子設定!$B$13="最小化",-X5728,-ABS(X5728-01_因子設定!$B$16))),-1E+030)</f>
        <v>48.8796920687135</v>
      </c>
      <c r="AF5728" s="55" t="n">
        <f aca="false">AD5728+ROW()*0.000000001</f>
        <v>0.797206950830182</v>
      </c>
      <c r="AG5728" s="55" t="n">
        <f aca="false">AE5728+ROW()*0.000000001</f>
        <v>48.8796977967135</v>
      </c>
    </row>
    <row r="5729" customFormat="false" ht="15" hidden="false" customHeight="false" outlineLevel="0" collapsed="false">
      <c r="A5729" s="0" t="n">
        <v>7</v>
      </c>
      <c r="B5729" s="0" t="n">
        <v>7</v>
      </c>
      <c r="C5729" s="0" t="n">
        <v>6</v>
      </c>
      <c r="D5729" s="0" t="n">
        <v>0</v>
      </c>
      <c r="E5729" s="0" t="n">
        <f aca="false">-1+A5729*0.25</f>
        <v>0.75</v>
      </c>
      <c r="F5729" s="0" t="n">
        <f aca="false">-1+B5729*0.25</f>
        <v>0.75</v>
      </c>
      <c r="G5729" s="0" t="n">
        <f aca="false">-1+C5729*0.25</f>
        <v>0.5</v>
      </c>
      <c r="H5729" s="0" t="n">
        <f aca="false">-1+D5729*0.25</f>
        <v>-1</v>
      </c>
      <c r="I5729" s="0" t="n">
        <f aca="false">1</f>
        <v>1</v>
      </c>
      <c r="J5729" s="0" t="n">
        <f aca="false">E5729</f>
        <v>0.75</v>
      </c>
      <c r="K5729" s="0" t="n">
        <f aca="false">F5729</f>
        <v>0.75</v>
      </c>
      <c r="L5729" s="0" t="n">
        <f aca="false">G5729</f>
        <v>0.5</v>
      </c>
      <c r="M5729" s="0" t="n">
        <f aca="false">H5729</f>
        <v>-1</v>
      </c>
      <c r="N5729" s="0" t="n">
        <f aca="false">E5729*F5729</f>
        <v>0.5625</v>
      </c>
      <c r="O5729" s="0" t="n">
        <f aca="false">E5729*G5729</f>
        <v>0.375</v>
      </c>
      <c r="P5729" s="0" t="n">
        <f aca="false">E5729*H5729</f>
        <v>-0.75</v>
      </c>
      <c r="Q5729" s="0" t="n">
        <f aca="false">F5729*G5729</f>
        <v>0.375</v>
      </c>
      <c r="R5729" s="0" t="n">
        <f aca="false">F5729*H5729</f>
        <v>-0.75</v>
      </c>
      <c r="S5729" s="0" t="n">
        <f aca="false">G5729*H5729</f>
        <v>-0.5</v>
      </c>
      <c r="T5729" s="0" t="n">
        <f aca="false">E5729*E5729</f>
        <v>0.5625</v>
      </c>
      <c r="U5729" s="0" t="n">
        <f aca="false">F5729*F5729</f>
        <v>0.5625</v>
      </c>
      <c r="V5729" s="0" t="n">
        <f aca="false">G5729*G5729</f>
        <v>0.25</v>
      </c>
      <c r="W5729" s="0" t="n">
        <f aca="false">H5729*H5729</f>
        <v>1</v>
      </c>
      <c r="X5729" s="0" t="n">
        <f aca="false">SUMPRODUCT(I5729:W5729,_XtX!$B$96:$P$96)</f>
        <v>48.0387975146199</v>
      </c>
      <c r="Y5729" s="0" t="n">
        <f aca="false">SUMPRODUCT(MMULT(I5729:W5729,_XtX!$B$78:$P$92),I5729:W5729)</f>
        <v>0.431153771472953</v>
      </c>
      <c r="Z5729" s="0" t="n">
        <f aca="false">04_回帰ANOVA!$K$19*04_回帰ANOVA!$K$14*SQRT(1+Y5729)</f>
        <v>1.55934259562563</v>
      </c>
      <c r="AA5729" s="0" t="n">
        <f aca="false">X5729-Z5729</f>
        <v>46.4794549189943</v>
      </c>
      <c r="AB5729" s="0" t="n">
        <f aca="false">X5729+Z5729</f>
        <v>49.5981401102455</v>
      </c>
      <c r="AC5729" s="54" t="b">
        <f aca="false">AND(E5729&gt;=01_因子設定!$L$5-0.000000001,E5729&lt;=01_因子設定!$M$5+0.000000001,F5729&gt;=01_因子設定!$L$6-0.000000001,F5729&lt;=01_因子設定!$M$6+0.000000001,G5729&gt;=01_因子設定!$L$7-0.000000001,G5729&lt;=01_因子設定!$M$7+0.000000001,H5729&gt;=01_因子設定!$L$8-0.000000001,H5729&lt;=01_因子設定!$M$8+0.000000001,IF(01_因子設定!$B$20="Box-Behnken",E5729^2+F5729^2+G5729^2+H5729^2&lt;=2+0.000000001,TRUE()))</f>
        <v>1</v>
      </c>
      <c r="AD5729" s="55" t="n">
        <f aca="false">IF(AC5729,IF(01_因子設定!$B$13="最大化",AA5729-01_因子設定!$B$14,IF(01_因子設定!$B$13="最小化",01_因子設定!$B$15-AB5729,MIN(AA5729-01_因子設定!$B$14,01_因子設定!$B$15-AB5729))),-1E+030)</f>
        <v>-0.0205450810057215</v>
      </c>
      <c r="AE5729" s="55" t="n">
        <f aca="false">IF(AC5729,IF(01_因子設定!$B$13="最大化",X5729,IF(01_因子設定!$B$13="最小化",-X5729,-ABS(X5729-01_因子設定!$B$16))),-1E+030)</f>
        <v>48.0387975146199</v>
      </c>
      <c r="AF5729" s="55" t="n">
        <f aca="false">AD5729+ROW()*0.000000001</f>
        <v>-0.0205393520057215</v>
      </c>
      <c r="AG5729" s="55" t="n">
        <f aca="false">AE5729+ROW()*0.000000001</f>
        <v>48.0388032436199</v>
      </c>
    </row>
    <row r="5730" customFormat="false" ht="15" hidden="false" customHeight="false" outlineLevel="0" collapsed="false">
      <c r="A5730" s="0" t="n">
        <v>7</v>
      </c>
      <c r="B5730" s="0" t="n">
        <v>7</v>
      </c>
      <c r="C5730" s="0" t="n">
        <v>6</v>
      </c>
      <c r="D5730" s="0" t="n">
        <v>1</v>
      </c>
      <c r="E5730" s="0" t="n">
        <f aca="false">-1+A5730*0.25</f>
        <v>0.75</v>
      </c>
      <c r="F5730" s="0" t="n">
        <f aca="false">-1+B5730*0.25</f>
        <v>0.75</v>
      </c>
      <c r="G5730" s="0" t="n">
        <f aca="false">-1+C5730*0.25</f>
        <v>0.5</v>
      </c>
      <c r="H5730" s="0" t="n">
        <f aca="false">-1+D5730*0.25</f>
        <v>-0.75</v>
      </c>
      <c r="I5730" s="0" t="n">
        <f aca="false">1</f>
        <v>1</v>
      </c>
      <c r="J5730" s="0" t="n">
        <f aca="false">E5730</f>
        <v>0.75</v>
      </c>
      <c r="K5730" s="0" t="n">
        <f aca="false">F5730</f>
        <v>0.75</v>
      </c>
      <c r="L5730" s="0" t="n">
        <f aca="false">G5730</f>
        <v>0.5</v>
      </c>
      <c r="M5730" s="0" t="n">
        <f aca="false">H5730</f>
        <v>-0.75</v>
      </c>
      <c r="N5730" s="0" t="n">
        <f aca="false">E5730*F5730</f>
        <v>0.5625</v>
      </c>
      <c r="O5730" s="0" t="n">
        <f aca="false">E5730*G5730</f>
        <v>0.375</v>
      </c>
      <c r="P5730" s="0" t="n">
        <f aca="false">E5730*H5730</f>
        <v>-0.5625</v>
      </c>
      <c r="Q5730" s="0" t="n">
        <f aca="false">F5730*G5730</f>
        <v>0.375</v>
      </c>
      <c r="R5730" s="0" t="n">
        <f aca="false">F5730*H5730</f>
        <v>-0.5625</v>
      </c>
      <c r="S5730" s="0" t="n">
        <f aca="false">G5730*H5730</f>
        <v>-0.375</v>
      </c>
      <c r="T5730" s="0" t="n">
        <f aca="false">E5730*E5730</f>
        <v>0.5625</v>
      </c>
      <c r="U5730" s="0" t="n">
        <f aca="false">F5730*F5730</f>
        <v>0.5625</v>
      </c>
      <c r="V5730" s="0" t="n">
        <f aca="false">G5730*G5730</f>
        <v>0.25</v>
      </c>
      <c r="W5730" s="0" t="n">
        <f aca="false">H5730*H5730</f>
        <v>0.5625</v>
      </c>
      <c r="X5730" s="0" t="n">
        <f aca="false">SUMPRODUCT(I5730:W5730,_XtX!$B$96:$P$96)</f>
        <v>48.3270422149123</v>
      </c>
      <c r="Y5730" s="0" t="n">
        <f aca="false">SUMPRODUCT(MMULT(I5730:W5730,_XtX!$B$78:$P$92),I5730:W5730)</f>
        <v>0.265632138614766</v>
      </c>
      <c r="Z5730" s="0" t="n">
        <f aca="false">04_回帰ANOVA!$K$19*04_回帰ANOVA!$K$14*SQRT(1+Y5730)</f>
        <v>1.46639894654257</v>
      </c>
      <c r="AA5730" s="0" t="n">
        <f aca="false">X5730-Z5730</f>
        <v>46.8606432683697</v>
      </c>
      <c r="AB5730" s="0" t="n">
        <f aca="false">X5730+Z5730</f>
        <v>49.7934411614549</v>
      </c>
      <c r="AC5730" s="54" t="b">
        <f aca="false">AND(E5730&gt;=01_因子設定!$L$5-0.000000001,E5730&lt;=01_因子設定!$M$5+0.000000001,F5730&gt;=01_因子設定!$L$6-0.000000001,F5730&lt;=01_因子設定!$M$6+0.000000001,G5730&gt;=01_因子設定!$L$7-0.000000001,G5730&lt;=01_因子設定!$M$7+0.000000001,H5730&gt;=01_因子設定!$L$8-0.000000001,H5730&lt;=01_因子設定!$M$8+0.000000001,IF(01_因子設定!$B$20="Box-Behnken",E5730^2+F5730^2+G5730^2+H5730^2&lt;=2+0.000000001,TRUE()))</f>
        <v>1</v>
      </c>
      <c r="AD5730" s="55" t="n">
        <f aca="false">IF(AC5730,IF(01_因子設定!$B$13="最大化",AA5730-01_因子設定!$B$14,IF(01_因子設定!$B$13="最小化",01_因子設定!$B$15-AB5730,MIN(AA5730-01_因子設定!$B$14,01_因子設定!$B$15-AB5730))),-1E+030)</f>
        <v>0.360643268369714</v>
      </c>
      <c r="AE5730" s="55" t="n">
        <f aca="false">IF(AC5730,IF(01_因子設定!$B$13="最大化",X5730,IF(01_因子設定!$B$13="最小化",-X5730,-ABS(X5730-01_因子設定!$B$16))),-1E+030)</f>
        <v>48.3270422149123</v>
      </c>
      <c r="AF5730" s="55" t="n">
        <f aca="false">AD5730+ROW()*0.000000001</f>
        <v>0.360648998369714</v>
      </c>
      <c r="AG5730" s="55" t="n">
        <f aca="false">AE5730+ROW()*0.000000001</f>
        <v>48.3270479449123</v>
      </c>
    </row>
    <row r="5731" customFormat="false" ht="15" hidden="false" customHeight="false" outlineLevel="0" collapsed="false">
      <c r="A5731" s="0" t="n">
        <v>7</v>
      </c>
      <c r="B5731" s="0" t="n">
        <v>7</v>
      </c>
      <c r="C5731" s="0" t="n">
        <v>6</v>
      </c>
      <c r="D5731" s="0" t="n">
        <v>2</v>
      </c>
      <c r="E5731" s="0" t="n">
        <f aca="false">-1+A5731*0.25</f>
        <v>0.75</v>
      </c>
      <c r="F5731" s="0" t="n">
        <f aca="false">-1+B5731*0.25</f>
        <v>0.75</v>
      </c>
      <c r="G5731" s="0" t="n">
        <f aca="false">-1+C5731*0.25</f>
        <v>0.5</v>
      </c>
      <c r="H5731" s="0" t="n">
        <f aca="false">-1+D5731*0.25</f>
        <v>-0.5</v>
      </c>
      <c r="I5731" s="0" t="n">
        <f aca="false">1</f>
        <v>1</v>
      </c>
      <c r="J5731" s="0" t="n">
        <f aca="false">E5731</f>
        <v>0.75</v>
      </c>
      <c r="K5731" s="0" t="n">
        <f aca="false">F5731</f>
        <v>0.75</v>
      </c>
      <c r="L5731" s="0" t="n">
        <f aca="false">G5731</f>
        <v>0.5</v>
      </c>
      <c r="M5731" s="0" t="n">
        <f aca="false">H5731</f>
        <v>-0.5</v>
      </c>
      <c r="N5731" s="0" t="n">
        <f aca="false">E5731*F5731</f>
        <v>0.5625</v>
      </c>
      <c r="O5731" s="0" t="n">
        <f aca="false">E5731*G5731</f>
        <v>0.375</v>
      </c>
      <c r="P5731" s="0" t="n">
        <f aca="false">E5731*H5731</f>
        <v>-0.375</v>
      </c>
      <c r="Q5731" s="0" t="n">
        <f aca="false">F5731*G5731</f>
        <v>0.375</v>
      </c>
      <c r="R5731" s="0" t="n">
        <f aca="false">F5731*H5731</f>
        <v>-0.375</v>
      </c>
      <c r="S5731" s="0" t="n">
        <f aca="false">G5731*H5731</f>
        <v>-0.25</v>
      </c>
      <c r="T5731" s="0" t="n">
        <f aca="false">E5731*E5731</f>
        <v>0.5625</v>
      </c>
      <c r="U5731" s="0" t="n">
        <f aca="false">F5731*F5731</f>
        <v>0.5625</v>
      </c>
      <c r="V5731" s="0" t="n">
        <f aca="false">G5731*G5731</f>
        <v>0.25</v>
      </c>
      <c r="W5731" s="0" t="n">
        <f aca="false">H5731*H5731</f>
        <v>0.25</v>
      </c>
      <c r="X5731" s="0" t="n">
        <f aca="false">SUMPRODUCT(I5731:W5731,_XtX!$B$96:$P$96)</f>
        <v>48.5674798976608</v>
      </c>
      <c r="Y5731" s="0" t="n">
        <f aca="false">SUMPRODUCT(MMULT(I5731:W5731,_XtX!$B$78:$P$92),I5731:W5731)</f>
        <v>0.237862927174708</v>
      </c>
      <c r="Z5731" s="0" t="n">
        <f aca="false">04_回帰ANOVA!$K$19*04_回帰ANOVA!$K$14*SQRT(1+Y5731)</f>
        <v>1.45022260708756</v>
      </c>
      <c r="AA5731" s="0" t="n">
        <f aca="false">X5731-Z5731</f>
        <v>47.1172572905733</v>
      </c>
      <c r="AB5731" s="0" t="n">
        <f aca="false">X5731+Z5731</f>
        <v>50.0177025047484</v>
      </c>
      <c r="AC5731" s="54" t="b">
        <f aca="false">AND(E5731&gt;=01_因子設定!$L$5-0.000000001,E5731&lt;=01_因子設定!$M$5+0.000000001,F5731&gt;=01_因子設定!$L$6-0.000000001,F5731&lt;=01_因子設定!$M$6+0.000000001,G5731&gt;=01_因子設定!$L$7-0.000000001,G5731&lt;=01_因子設定!$M$7+0.000000001,H5731&gt;=01_因子設定!$L$8-0.000000001,H5731&lt;=01_因子設定!$M$8+0.000000001,IF(01_因子設定!$B$20="Box-Behnken",E5731^2+F5731^2+G5731^2+H5731^2&lt;=2+0.000000001,TRUE()))</f>
        <v>1</v>
      </c>
      <c r="AD5731" s="55" t="n">
        <f aca="false">IF(AC5731,IF(01_因子設定!$B$13="最大化",AA5731-01_因子設定!$B$14,IF(01_因子設定!$B$13="最小化",01_因子設定!$B$15-AB5731,MIN(AA5731-01_因子設定!$B$14,01_因子設定!$B$15-AB5731))),-1E+030)</f>
        <v>0.617257290573249</v>
      </c>
      <c r="AE5731" s="55" t="n">
        <f aca="false">IF(AC5731,IF(01_因子設定!$B$13="最大化",X5731,IF(01_因子設定!$B$13="最小化",-X5731,-ABS(X5731-01_因子設定!$B$16))),-1E+030)</f>
        <v>48.5674798976608</v>
      </c>
      <c r="AF5731" s="55" t="n">
        <f aca="false">AD5731+ROW()*0.000000001</f>
        <v>0.617263021573249</v>
      </c>
      <c r="AG5731" s="55" t="n">
        <f aca="false">AE5731+ROW()*0.000000001</f>
        <v>48.5674856286608</v>
      </c>
    </row>
    <row r="5732" customFormat="false" ht="15" hidden="false" customHeight="false" outlineLevel="0" collapsed="false">
      <c r="A5732" s="0" t="n">
        <v>7</v>
      </c>
      <c r="B5732" s="0" t="n">
        <v>7</v>
      </c>
      <c r="C5732" s="0" t="n">
        <v>6</v>
      </c>
      <c r="D5732" s="0" t="n">
        <v>3</v>
      </c>
      <c r="E5732" s="0" t="n">
        <f aca="false">-1+A5732*0.25</f>
        <v>0.75</v>
      </c>
      <c r="F5732" s="0" t="n">
        <f aca="false">-1+B5732*0.25</f>
        <v>0.75</v>
      </c>
      <c r="G5732" s="0" t="n">
        <f aca="false">-1+C5732*0.25</f>
        <v>0.5</v>
      </c>
      <c r="H5732" s="0" t="n">
        <f aca="false">-1+D5732*0.25</f>
        <v>-0.25</v>
      </c>
      <c r="I5732" s="0" t="n">
        <f aca="false">1</f>
        <v>1</v>
      </c>
      <c r="J5732" s="0" t="n">
        <f aca="false">E5732</f>
        <v>0.75</v>
      </c>
      <c r="K5732" s="0" t="n">
        <f aca="false">F5732</f>
        <v>0.75</v>
      </c>
      <c r="L5732" s="0" t="n">
        <f aca="false">G5732</f>
        <v>0.5</v>
      </c>
      <c r="M5732" s="0" t="n">
        <f aca="false">H5732</f>
        <v>-0.25</v>
      </c>
      <c r="N5732" s="0" t="n">
        <f aca="false">E5732*F5732</f>
        <v>0.5625</v>
      </c>
      <c r="O5732" s="0" t="n">
        <f aca="false">E5732*G5732</f>
        <v>0.375</v>
      </c>
      <c r="P5732" s="0" t="n">
        <f aca="false">E5732*H5732</f>
        <v>-0.1875</v>
      </c>
      <c r="Q5732" s="0" t="n">
        <f aca="false">F5732*G5732</f>
        <v>0.375</v>
      </c>
      <c r="R5732" s="0" t="n">
        <f aca="false">F5732*H5732</f>
        <v>-0.1875</v>
      </c>
      <c r="S5732" s="0" t="n">
        <f aca="false">G5732*H5732</f>
        <v>-0.125</v>
      </c>
      <c r="T5732" s="0" t="n">
        <f aca="false">E5732*E5732</f>
        <v>0.5625</v>
      </c>
      <c r="U5732" s="0" t="n">
        <f aca="false">F5732*F5732</f>
        <v>0.5625</v>
      </c>
      <c r="V5732" s="0" t="n">
        <f aca="false">G5732*G5732</f>
        <v>0.25</v>
      </c>
      <c r="W5732" s="0" t="n">
        <f aca="false">H5732*H5732</f>
        <v>0.0625</v>
      </c>
      <c r="X5732" s="0" t="n">
        <f aca="false">SUMPRODUCT(I5732:W5732,_XtX!$B$96:$P$96)</f>
        <v>48.7601105628655</v>
      </c>
      <c r="Y5732" s="0" t="n">
        <f aca="false">SUMPRODUCT(MMULT(I5732:W5732,_XtX!$B$78:$P$92),I5732:W5732)</f>
        <v>0.257385610836988</v>
      </c>
      <c r="Z5732" s="0" t="n">
        <f aca="false">04_回帰ANOVA!$K$19*04_回帰ANOVA!$K$14*SQRT(1+Y5732)</f>
        <v>1.46161380324158</v>
      </c>
      <c r="AA5732" s="0" t="n">
        <f aca="false">X5732-Z5732</f>
        <v>47.2984967596239</v>
      </c>
      <c r="AB5732" s="0" t="n">
        <f aca="false">X5732+Z5732</f>
        <v>50.2217243661071</v>
      </c>
      <c r="AC5732" s="54" t="b">
        <f aca="false">AND(E5732&gt;=01_因子設定!$L$5-0.000000001,E5732&lt;=01_因子設定!$M$5+0.000000001,F5732&gt;=01_因子設定!$L$6-0.000000001,F5732&lt;=01_因子設定!$M$6+0.000000001,G5732&gt;=01_因子設定!$L$7-0.000000001,G5732&lt;=01_因子設定!$M$7+0.000000001,H5732&gt;=01_因子設定!$L$8-0.000000001,H5732&lt;=01_因子設定!$M$8+0.000000001,IF(01_因子設定!$B$20="Box-Behnken",E5732^2+F5732^2+G5732^2+H5732^2&lt;=2+0.000000001,TRUE()))</f>
        <v>1</v>
      </c>
      <c r="AD5732" s="55" t="n">
        <f aca="false">IF(AC5732,IF(01_因子設定!$B$13="最大化",AA5732-01_因子設定!$B$14,IF(01_因子設定!$B$13="最小化",01_因子設定!$B$15-AB5732,MIN(AA5732-01_因子設定!$B$14,01_因子設定!$B$15-AB5732))),-1E+030)</f>
        <v>0.798496759623902</v>
      </c>
      <c r="AE5732" s="55" t="n">
        <f aca="false">IF(AC5732,IF(01_因子設定!$B$13="最大化",X5732,IF(01_因子設定!$B$13="最小化",-X5732,-ABS(X5732-01_因子設定!$B$16))),-1E+030)</f>
        <v>48.7601105628655</v>
      </c>
      <c r="AF5732" s="55" t="n">
        <f aca="false">AD5732+ROW()*0.000000001</f>
        <v>0.798502491623902</v>
      </c>
      <c r="AG5732" s="55" t="n">
        <f aca="false">AE5732+ROW()*0.000000001</f>
        <v>48.7601162948655</v>
      </c>
    </row>
    <row r="5733" customFormat="false" ht="15" hidden="false" customHeight="false" outlineLevel="0" collapsed="false">
      <c r="A5733" s="0" t="n">
        <v>7</v>
      </c>
      <c r="B5733" s="0" t="n">
        <v>7</v>
      </c>
      <c r="C5733" s="0" t="n">
        <v>6</v>
      </c>
      <c r="D5733" s="0" t="n">
        <v>4</v>
      </c>
      <c r="E5733" s="0" t="n">
        <f aca="false">-1+A5733*0.25</f>
        <v>0.75</v>
      </c>
      <c r="F5733" s="0" t="n">
        <f aca="false">-1+B5733*0.25</f>
        <v>0.75</v>
      </c>
      <c r="G5733" s="0" t="n">
        <f aca="false">-1+C5733*0.25</f>
        <v>0.5</v>
      </c>
      <c r="H5733" s="0" t="n">
        <f aca="false">-1+D5733*0.25</f>
        <v>0</v>
      </c>
      <c r="I5733" s="0" t="n">
        <f aca="false">1</f>
        <v>1</v>
      </c>
      <c r="J5733" s="0" t="n">
        <f aca="false">E5733</f>
        <v>0.75</v>
      </c>
      <c r="K5733" s="0" t="n">
        <f aca="false">F5733</f>
        <v>0.75</v>
      </c>
      <c r="L5733" s="0" t="n">
        <f aca="false">G5733</f>
        <v>0.5</v>
      </c>
      <c r="M5733" s="0" t="n">
        <f aca="false">H5733</f>
        <v>0</v>
      </c>
      <c r="N5733" s="0" t="n">
        <f aca="false">E5733*F5733</f>
        <v>0.5625</v>
      </c>
      <c r="O5733" s="0" t="n">
        <f aca="false">E5733*G5733</f>
        <v>0.375</v>
      </c>
      <c r="P5733" s="0" t="n">
        <f aca="false">E5733*H5733</f>
        <v>0</v>
      </c>
      <c r="Q5733" s="0" t="n">
        <f aca="false">F5733*G5733</f>
        <v>0.375</v>
      </c>
      <c r="R5733" s="0" t="n">
        <f aca="false">F5733*H5733</f>
        <v>0</v>
      </c>
      <c r="S5733" s="0" t="n">
        <f aca="false">G5733*H5733</f>
        <v>0</v>
      </c>
      <c r="T5733" s="0" t="n">
        <f aca="false">E5733*E5733</f>
        <v>0.5625</v>
      </c>
      <c r="U5733" s="0" t="n">
        <f aca="false">F5733*F5733</f>
        <v>0.5625</v>
      </c>
      <c r="V5733" s="0" t="n">
        <f aca="false">G5733*G5733</f>
        <v>0.25</v>
      </c>
      <c r="W5733" s="0" t="n">
        <f aca="false">H5733*H5733</f>
        <v>0</v>
      </c>
      <c r="X5733" s="0" t="n">
        <f aca="false">SUMPRODUCT(I5733:W5733,_XtX!$B$96:$P$96)</f>
        <v>48.9049342105263</v>
      </c>
      <c r="Y5733" s="0" t="n">
        <f aca="false">SUMPRODUCT(MMULT(I5733:W5733,_XtX!$B$78:$P$92),I5733:W5733)</f>
        <v>0.269923873812135</v>
      </c>
      <c r="Z5733" s="0" t="n">
        <f aca="false">04_回帰ANOVA!$K$19*04_回帰ANOVA!$K$14*SQRT(1+Y5733)</f>
        <v>1.46888310825501</v>
      </c>
      <c r="AA5733" s="0" t="n">
        <f aca="false">X5733-Z5733</f>
        <v>47.4360511022713</v>
      </c>
      <c r="AB5733" s="0" t="n">
        <f aca="false">X5733+Z5733</f>
        <v>50.3738173187813</v>
      </c>
      <c r="AC5733" s="54" t="b">
        <f aca="false">AND(E5733&gt;=01_因子設定!$L$5-0.000000001,E5733&lt;=01_因子設定!$M$5+0.000000001,F5733&gt;=01_因子設定!$L$6-0.000000001,F5733&lt;=01_因子設定!$M$6+0.000000001,G5733&gt;=01_因子設定!$L$7-0.000000001,G5733&lt;=01_因子設定!$M$7+0.000000001,H5733&gt;=01_因子設定!$L$8-0.000000001,H5733&lt;=01_因子設定!$M$8+0.000000001,IF(01_因子設定!$B$20="Box-Behnken",E5733^2+F5733^2+G5733^2+H5733^2&lt;=2+0.000000001,TRUE()))</f>
        <v>1</v>
      </c>
      <c r="AD5733" s="55" t="n">
        <f aca="false">IF(AC5733,IF(01_因子設定!$B$13="最大化",AA5733-01_因子設定!$B$14,IF(01_因子設定!$B$13="最小化",01_因子設定!$B$15-AB5733,MIN(AA5733-01_因子設定!$B$14,01_因子設定!$B$15-AB5733))),-1E+030)</f>
        <v>0.936051102271293</v>
      </c>
      <c r="AE5733" s="55" t="n">
        <f aca="false">IF(AC5733,IF(01_因子設定!$B$13="最大化",X5733,IF(01_因子設定!$B$13="最小化",-X5733,-ABS(X5733-01_因子設定!$B$16))),-1E+030)</f>
        <v>48.9049342105263</v>
      </c>
      <c r="AF5733" s="55" t="n">
        <f aca="false">AD5733+ROW()*0.000000001</f>
        <v>0.936056835271293</v>
      </c>
      <c r="AG5733" s="55" t="n">
        <f aca="false">AE5733+ROW()*0.000000001</f>
        <v>48.9049399435263</v>
      </c>
    </row>
    <row r="5734" customFormat="false" ht="15" hidden="false" customHeight="false" outlineLevel="0" collapsed="false">
      <c r="A5734" s="0" t="n">
        <v>7</v>
      </c>
      <c r="B5734" s="0" t="n">
        <v>7</v>
      </c>
      <c r="C5734" s="0" t="n">
        <v>6</v>
      </c>
      <c r="D5734" s="0" t="n">
        <v>5</v>
      </c>
      <c r="E5734" s="0" t="n">
        <f aca="false">-1+A5734*0.25</f>
        <v>0.75</v>
      </c>
      <c r="F5734" s="0" t="n">
        <f aca="false">-1+B5734*0.25</f>
        <v>0.75</v>
      </c>
      <c r="G5734" s="0" t="n">
        <f aca="false">-1+C5734*0.25</f>
        <v>0.5</v>
      </c>
      <c r="H5734" s="0" t="n">
        <f aca="false">-1+D5734*0.25</f>
        <v>0.25</v>
      </c>
      <c r="I5734" s="0" t="n">
        <f aca="false">1</f>
        <v>1</v>
      </c>
      <c r="J5734" s="0" t="n">
        <f aca="false">E5734</f>
        <v>0.75</v>
      </c>
      <c r="K5734" s="0" t="n">
        <f aca="false">F5734</f>
        <v>0.75</v>
      </c>
      <c r="L5734" s="0" t="n">
        <f aca="false">G5734</f>
        <v>0.5</v>
      </c>
      <c r="M5734" s="0" t="n">
        <f aca="false">H5734</f>
        <v>0.25</v>
      </c>
      <c r="N5734" s="0" t="n">
        <f aca="false">E5734*F5734</f>
        <v>0.5625</v>
      </c>
      <c r="O5734" s="0" t="n">
        <f aca="false">E5734*G5734</f>
        <v>0.375</v>
      </c>
      <c r="P5734" s="0" t="n">
        <f aca="false">E5734*H5734</f>
        <v>0.1875</v>
      </c>
      <c r="Q5734" s="0" t="n">
        <f aca="false">F5734*G5734</f>
        <v>0.375</v>
      </c>
      <c r="R5734" s="0" t="n">
        <f aca="false">F5734*H5734</f>
        <v>0.1875</v>
      </c>
      <c r="S5734" s="0" t="n">
        <f aca="false">G5734*H5734</f>
        <v>0.125</v>
      </c>
      <c r="T5734" s="0" t="n">
        <f aca="false">E5734*E5734</f>
        <v>0.5625</v>
      </c>
      <c r="U5734" s="0" t="n">
        <f aca="false">F5734*F5734</f>
        <v>0.5625</v>
      </c>
      <c r="V5734" s="0" t="n">
        <f aca="false">G5734*G5734</f>
        <v>0.25</v>
      </c>
      <c r="W5734" s="0" t="n">
        <f aca="false">H5734*H5734</f>
        <v>0.0625</v>
      </c>
      <c r="X5734" s="0" t="n">
        <f aca="false">SUMPRODUCT(I5734:W5734,_XtX!$B$96:$P$96)</f>
        <v>49.0019508406433</v>
      </c>
      <c r="Y5734" s="0" t="n">
        <f aca="false">SUMPRODUCT(MMULT(I5734:W5734,_XtX!$B$78:$P$92),I5734:W5734)</f>
        <v>0.257385610836988</v>
      </c>
      <c r="Z5734" s="0" t="n">
        <f aca="false">04_回帰ANOVA!$K$19*04_回帰ANOVA!$K$14*SQRT(1+Y5734)</f>
        <v>1.46161380324158</v>
      </c>
      <c r="AA5734" s="0" t="n">
        <f aca="false">X5734-Z5734</f>
        <v>47.5403370374017</v>
      </c>
      <c r="AB5734" s="0" t="n">
        <f aca="false">X5734+Z5734</f>
        <v>50.4635646438848</v>
      </c>
      <c r="AC5734" s="54" t="b">
        <f aca="false">AND(E5734&gt;=01_因子設定!$L$5-0.000000001,E5734&lt;=01_因子設定!$M$5+0.000000001,F5734&gt;=01_因子設定!$L$6-0.000000001,F5734&lt;=01_因子設定!$M$6+0.000000001,G5734&gt;=01_因子設定!$L$7-0.000000001,G5734&lt;=01_因子設定!$M$7+0.000000001,H5734&gt;=01_因子設定!$L$8-0.000000001,H5734&lt;=01_因子設定!$M$8+0.000000001,IF(01_因子設定!$B$20="Box-Behnken",E5734^2+F5734^2+G5734^2+H5734^2&lt;=2+0.000000001,TRUE()))</f>
        <v>1</v>
      </c>
      <c r="AD5734" s="55" t="n">
        <f aca="false">IF(AC5734,IF(01_因子設定!$B$13="最大化",AA5734-01_因子設定!$B$14,IF(01_因子設定!$B$13="最小化",01_因子設定!$B$15-AB5734,MIN(AA5734-01_因子設定!$B$14,01_因子設定!$B$15-AB5734))),-1E+030)</f>
        <v>1.04033703740168</v>
      </c>
      <c r="AE5734" s="55" t="n">
        <f aca="false">IF(AC5734,IF(01_因子設定!$B$13="最大化",X5734,IF(01_因子設定!$B$13="最小化",-X5734,-ABS(X5734-01_因子設定!$B$16))),-1E+030)</f>
        <v>49.0019508406433</v>
      </c>
      <c r="AF5734" s="55" t="n">
        <f aca="false">AD5734+ROW()*0.000000001</f>
        <v>1.04034277140168</v>
      </c>
      <c r="AG5734" s="55" t="n">
        <f aca="false">AE5734+ROW()*0.000000001</f>
        <v>49.0019565746433</v>
      </c>
    </row>
    <row r="5735" customFormat="false" ht="15" hidden="false" customHeight="false" outlineLevel="0" collapsed="false">
      <c r="A5735" s="0" t="n">
        <v>7</v>
      </c>
      <c r="B5735" s="0" t="n">
        <v>7</v>
      </c>
      <c r="C5735" s="0" t="n">
        <v>6</v>
      </c>
      <c r="D5735" s="0" t="n">
        <v>6</v>
      </c>
      <c r="E5735" s="0" t="n">
        <f aca="false">-1+A5735*0.25</f>
        <v>0.75</v>
      </c>
      <c r="F5735" s="0" t="n">
        <f aca="false">-1+B5735*0.25</f>
        <v>0.75</v>
      </c>
      <c r="G5735" s="0" t="n">
        <f aca="false">-1+C5735*0.25</f>
        <v>0.5</v>
      </c>
      <c r="H5735" s="0" t="n">
        <f aca="false">-1+D5735*0.25</f>
        <v>0.5</v>
      </c>
      <c r="I5735" s="0" t="n">
        <f aca="false">1</f>
        <v>1</v>
      </c>
      <c r="J5735" s="0" t="n">
        <f aca="false">E5735</f>
        <v>0.75</v>
      </c>
      <c r="K5735" s="0" t="n">
        <f aca="false">F5735</f>
        <v>0.75</v>
      </c>
      <c r="L5735" s="0" t="n">
        <f aca="false">G5735</f>
        <v>0.5</v>
      </c>
      <c r="M5735" s="0" t="n">
        <f aca="false">H5735</f>
        <v>0.5</v>
      </c>
      <c r="N5735" s="0" t="n">
        <f aca="false">E5735*F5735</f>
        <v>0.5625</v>
      </c>
      <c r="O5735" s="0" t="n">
        <f aca="false">E5735*G5735</f>
        <v>0.375</v>
      </c>
      <c r="P5735" s="0" t="n">
        <f aca="false">E5735*H5735</f>
        <v>0.375</v>
      </c>
      <c r="Q5735" s="0" t="n">
        <f aca="false">F5735*G5735</f>
        <v>0.375</v>
      </c>
      <c r="R5735" s="0" t="n">
        <f aca="false">F5735*H5735</f>
        <v>0.375</v>
      </c>
      <c r="S5735" s="0" t="n">
        <f aca="false">G5735*H5735</f>
        <v>0.25</v>
      </c>
      <c r="T5735" s="0" t="n">
        <f aca="false">E5735*E5735</f>
        <v>0.5625</v>
      </c>
      <c r="U5735" s="0" t="n">
        <f aca="false">F5735*F5735</f>
        <v>0.5625</v>
      </c>
      <c r="V5735" s="0" t="n">
        <f aca="false">G5735*G5735</f>
        <v>0.25</v>
      </c>
      <c r="W5735" s="0" t="n">
        <f aca="false">H5735*H5735</f>
        <v>0.25</v>
      </c>
      <c r="X5735" s="0" t="n">
        <f aca="false">SUMPRODUCT(I5735:W5735,_XtX!$B$96:$P$96)</f>
        <v>49.0511604532164</v>
      </c>
      <c r="Y5735" s="0" t="n">
        <f aca="false">SUMPRODUCT(MMULT(I5735:W5735,_XtX!$B$78:$P$92),I5735:W5735)</f>
        <v>0.237862927174708</v>
      </c>
      <c r="Z5735" s="0" t="n">
        <f aca="false">04_回帰ANOVA!$K$19*04_回帰ANOVA!$K$14*SQRT(1+Y5735)</f>
        <v>1.45022260708756</v>
      </c>
      <c r="AA5735" s="0" t="n">
        <f aca="false">X5735-Z5735</f>
        <v>47.6009378461288</v>
      </c>
      <c r="AB5735" s="0" t="n">
        <f aca="false">X5735+Z5735</f>
        <v>50.5013830603039</v>
      </c>
      <c r="AC5735" s="54" t="b">
        <f aca="false">AND(E5735&gt;=01_因子設定!$L$5-0.000000001,E5735&lt;=01_因子設定!$M$5+0.000000001,F5735&gt;=01_因子設定!$L$6-0.000000001,F5735&lt;=01_因子設定!$M$6+0.000000001,G5735&gt;=01_因子設定!$L$7-0.000000001,G5735&lt;=01_因子設定!$M$7+0.000000001,H5735&gt;=01_因子設定!$L$8-0.000000001,H5735&lt;=01_因子設定!$M$8+0.000000001,IF(01_因子設定!$B$20="Box-Behnken",E5735^2+F5735^2+G5735^2+H5735^2&lt;=2+0.000000001,TRUE()))</f>
        <v>1</v>
      </c>
      <c r="AD5735" s="55" t="n">
        <f aca="false">IF(AC5735,IF(01_因子設定!$B$13="最大化",AA5735-01_因子設定!$B$14,IF(01_因子設定!$B$13="最小化",01_因子設定!$B$15-AB5735,MIN(AA5735-01_因子設定!$B$14,01_因子設定!$B$15-AB5735))),-1E+030)</f>
        <v>1.10093784612881</v>
      </c>
      <c r="AE5735" s="55" t="n">
        <f aca="false">IF(AC5735,IF(01_因子設定!$B$13="最大化",X5735,IF(01_因子設定!$B$13="最小化",-X5735,-ABS(X5735-01_因子設定!$B$16))),-1E+030)</f>
        <v>49.0511604532164</v>
      </c>
      <c r="AF5735" s="55" t="n">
        <f aca="false">AD5735+ROW()*0.000000001</f>
        <v>1.10094358112881</v>
      </c>
      <c r="AG5735" s="55" t="n">
        <f aca="false">AE5735+ROW()*0.000000001</f>
        <v>49.0511661882164</v>
      </c>
    </row>
    <row r="5736" customFormat="false" ht="15" hidden="false" customHeight="false" outlineLevel="0" collapsed="false">
      <c r="A5736" s="0" t="n">
        <v>7</v>
      </c>
      <c r="B5736" s="0" t="n">
        <v>7</v>
      </c>
      <c r="C5736" s="0" t="n">
        <v>6</v>
      </c>
      <c r="D5736" s="0" t="n">
        <v>7</v>
      </c>
      <c r="E5736" s="0" t="n">
        <f aca="false">-1+A5736*0.25</f>
        <v>0.75</v>
      </c>
      <c r="F5736" s="0" t="n">
        <f aca="false">-1+B5736*0.25</f>
        <v>0.75</v>
      </c>
      <c r="G5736" s="0" t="n">
        <f aca="false">-1+C5736*0.25</f>
        <v>0.5</v>
      </c>
      <c r="H5736" s="0" t="n">
        <f aca="false">-1+D5736*0.25</f>
        <v>0.75</v>
      </c>
      <c r="I5736" s="0" t="n">
        <f aca="false">1</f>
        <v>1</v>
      </c>
      <c r="J5736" s="0" t="n">
        <f aca="false">E5736</f>
        <v>0.75</v>
      </c>
      <c r="K5736" s="0" t="n">
        <f aca="false">F5736</f>
        <v>0.75</v>
      </c>
      <c r="L5736" s="0" t="n">
        <f aca="false">G5736</f>
        <v>0.5</v>
      </c>
      <c r="M5736" s="0" t="n">
        <f aca="false">H5736</f>
        <v>0.75</v>
      </c>
      <c r="N5736" s="0" t="n">
        <f aca="false">E5736*F5736</f>
        <v>0.5625</v>
      </c>
      <c r="O5736" s="0" t="n">
        <f aca="false">E5736*G5736</f>
        <v>0.375</v>
      </c>
      <c r="P5736" s="0" t="n">
        <f aca="false">E5736*H5736</f>
        <v>0.5625</v>
      </c>
      <c r="Q5736" s="0" t="n">
        <f aca="false">F5736*G5736</f>
        <v>0.375</v>
      </c>
      <c r="R5736" s="0" t="n">
        <f aca="false">F5736*H5736</f>
        <v>0.5625</v>
      </c>
      <c r="S5736" s="0" t="n">
        <f aca="false">G5736*H5736</f>
        <v>0.375</v>
      </c>
      <c r="T5736" s="0" t="n">
        <f aca="false">E5736*E5736</f>
        <v>0.5625</v>
      </c>
      <c r="U5736" s="0" t="n">
        <f aca="false">F5736*F5736</f>
        <v>0.5625</v>
      </c>
      <c r="V5736" s="0" t="n">
        <f aca="false">G5736*G5736</f>
        <v>0.25</v>
      </c>
      <c r="W5736" s="0" t="n">
        <f aca="false">H5736*H5736</f>
        <v>0.5625</v>
      </c>
      <c r="X5736" s="0" t="n">
        <f aca="false">SUMPRODUCT(I5736:W5736,_XtX!$B$96:$P$96)</f>
        <v>49.0525630482456</v>
      </c>
      <c r="Y5736" s="0" t="n">
        <f aca="false">SUMPRODUCT(MMULT(I5736:W5736,_XtX!$B$78:$P$92),I5736:W5736)</f>
        <v>0.265632138614766</v>
      </c>
      <c r="Z5736" s="0" t="n">
        <f aca="false">04_回帰ANOVA!$K$19*04_回帰ANOVA!$K$14*SQRT(1+Y5736)</f>
        <v>1.46639894654257</v>
      </c>
      <c r="AA5736" s="0" t="n">
        <f aca="false">X5736-Z5736</f>
        <v>47.586164101703</v>
      </c>
      <c r="AB5736" s="0" t="n">
        <f aca="false">X5736+Z5736</f>
        <v>50.5189619947882</v>
      </c>
      <c r="AC5736" s="54" t="b">
        <f aca="false">AND(E5736&gt;=01_因子設定!$L$5-0.000000001,E5736&lt;=01_因子設定!$M$5+0.000000001,F5736&gt;=01_因子設定!$L$6-0.000000001,F5736&lt;=01_因子設定!$M$6+0.000000001,G5736&gt;=01_因子設定!$L$7-0.000000001,G5736&lt;=01_因子設定!$M$7+0.000000001,H5736&gt;=01_因子設定!$L$8-0.000000001,H5736&lt;=01_因子設定!$M$8+0.000000001,IF(01_因子設定!$B$20="Box-Behnken",E5736^2+F5736^2+G5736^2+H5736^2&lt;=2+0.000000001,TRUE()))</f>
        <v>1</v>
      </c>
      <c r="AD5736" s="55" t="n">
        <f aca="false">IF(AC5736,IF(01_因子設定!$B$13="最大化",AA5736-01_因子設定!$B$14,IF(01_因子設定!$B$13="最小化",01_因子設定!$B$15-AB5736,MIN(AA5736-01_因子設定!$B$14,01_因子設定!$B$15-AB5736))),-1E+030)</f>
        <v>1.08616410170304</v>
      </c>
      <c r="AE5736" s="55" t="n">
        <f aca="false">IF(AC5736,IF(01_因子設定!$B$13="最大化",X5736,IF(01_因子設定!$B$13="最小化",-X5736,-ABS(X5736-01_因子設定!$B$16))),-1E+030)</f>
        <v>49.0525630482456</v>
      </c>
      <c r="AF5736" s="55" t="n">
        <f aca="false">AD5736+ROW()*0.000000001</f>
        <v>1.08616983770304</v>
      </c>
      <c r="AG5736" s="55" t="n">
        <f aca="false">AE5736+ROW()*0.000000001</f>
        <v>49.0525687842456</v>
      </c>
    </row>
    <row r="5737" customFormat="false" ht="15" hidden="false" customHeight="false" outlineLevel="0" collapsed="false">
      <c r="A5737" s="0" t="n">
        <v>7</v>
      </c>
      <c r="B5737" s="0" t="n">
        <v>7</v>
      </c>
      <c r="C5737" s="0" t="n">
        <v>6</v>
      </c>
      <c r="D5737" s="0" t="n">
        <v>8</v>
      </c>
      <c r="E5737" s="0" t="n">
        <f aca="false">-1+A5737*0.25</f>
        <v>0.75</v>
      </c>
      <c r="F5737" s="0" t="n">
        <f aca="false">-1+B5737*0.25</f>
        <v>0.75</v>
      </c>
      <c r="G5737" s="0" t="n">
        <f aca="false">-1+C5737*0.25</f>
        <v>0.5</v>
      </c>
      <c r="H5737" s="0" t="n">
        <f aca="false">-1+D5737*0.25</f>
        <v>1</v>
      </c>
      <c r="I5737" s="0" t="n">
        <f aca="false">1</f>
        <v>1</v>
      </c>
      <c r="J5737" s="0" t="n">
        <f aca="false">E5737</f>
        <v>0.75</v>
      </c>
      <c r="K5737" s="0" t="n">
        <f aca="false">F5737</f>
        <v>0.75</v>
      </c>
      <c r="L5737" s="0" t="n">
        <f aca="false">G5737</f>
        <v>0.5</v>
      </c>
      <c r="M5737" s="0" t="n">
        <f aca="false">H5737</f>
        <v>1</v>
      </c>
      <c r="N5737" s="0" t="n">
        <f aca="false">E5737*F5737</f>
        <v>0.5625</v>
      </c>
      <c r="O5737" s="0" t="n">
        <f aca="false">E5737*G5737</f>
        <v>0.375</v>
      </c>
      <c r="P5737" s="0" t="n">
        <f aca="false">E5737*H5737</f>
        <v>0.75</v>
      </c>
      <c r="Q5737" s="0" t="n">
        <f aca="false">F5737*G5737</f>
        <v>0.375</v>
      </c>
      <c r="R5737" s="0" t="n">
        <f aca="false">F5737*H5737</f>
        <v>0.75</v>
      </c>
      <c r="S5737" s="0" t="n">
        <f aca="false">G5737*H5737</f>
        <v>0.5</v>
      </c>
      <c r="T5737" s="0" t="n">
        <f aca="false">E5737*E5737</f>
        <v>0.5625</v>
      </c>
      <c r="U5737" s="0" t="n">
        <f aca="false">F5737*F5737</f>
        <v>0.5625</v>
      </c>
      <c r="V5737" s="0" t="n">
        <f aca="false">G5737*G5737</f>
        <v>0.25</v>
      </c>
      <c r="W5737" s="0" t="n">
        <f aca="false">H5737*H5737</f>
        <v>1</v>
      </c>
      <c r="X5737" s="0" t="n">
        <f aca="false">SUMPRODUCT(I5737:W5737,_XtX!$B$96:$P$96)</f>
        <v>49.006158625731</v>
      </c>
      <c r="Y5737" s="0" t="n">
        <f aca="false">SUMPRODUCT(MMULT(I5737:W5737,_XtX!$B$78:$P$92),I5737:W5737)</f>
        <v>0.431153771472953</v>
      </c>
      <c r="Z5737" s="0" t="n">
        <f aca="false">04_回帰ANOVA!$K$19*04_回帰ANOVA!$K$14*SQRT(1+Y5737)</f>
        <v>1.55934259562563</v>
      </c>
      <c r="AA5737" s="0" t="n">
        <f aca="false">X5737-Z5737</f>
        <v>47.4468160301054</v>
      </c>
      <c r="AB5737" s="0" t="n">
        <f aca="false">X5737+Z5737</f>
        <v>50.5655012213567</v>
      </c>
      <c r="AC5737" s="54" t="b">
        <f aca="false">AND(E5737&gt;=01_因子設定!$L$5-0.000000001,E5737&lt;=01_因子設定!$M$5+0.000000001,F5737&gt;=01_因子設定!$L$6-0.000000001,F5737&lt;=01_因子設定!$M$6+0.000000001,G5737&gt;=01_因子設定!$L$7-0.000000001,G5737&lt;=01_因子設定!$M$7+0.000000001,H5737&gt;=01_因子設定!$L$8-0.000000001,H5737&lt;=01_因子設定!$M$8+0.000000001,IF(01_因子設定!$B$20="Box-Behnken",E5737^2+F5737^2+G5737^2+H5737^2&lt;=2+0.000000001,TRUE()))</f>
        <v>1</v>
      </c>
      <c r="AD5737" s="55" t="n">
        <f aca="false">IF(AC5737,IF(01_因子設定!$B$13="最大化",AA5737-01_因子設定!$B$14,IF(01_因子設定!$B$13="最小化",01_因子設定!$B$15-AB5737,MIN(AA5737-01_因子設定!$B$14,01_因子設定!$B$15-AB5737))),-1E+030)</f>
        <v>0.946816030105389</v>
      </c>
      <c r="AE5737" s="55" t="n">
        <f aca="false">IF(AC5737,IF(01_因子設定!$B$13="最大化",X5737,IF(01_因子設定!$B$13="最小化",-X5737,-ABS(X5737-01_因子設定!$B$16))),-1E+030)</f>
        <v>49.006158625731</v>
      </c>
      <c r="AF5737" s="55" t="n">
        <f aca="false">AD5737+ROW()*0.000000001</f>
        <v>0.946821767105389</v>
      </c>
      <c r="AG5737" s="55" t="n">
        <f aca="false">AE5737+ROW()*0.000000001</f>
        <v>49.006164362731</v>
      </c>
    </row>
    <row r="5738" customFormat="false" ht="15" hidden="false" customHeight="false" outlineLevel="0" collapsed="false">
      <c r="A5738" s="0" t="n">
        <v>7</v>
      </c>
      <c r="B5738" s="0" t="n">
        <v>7</v>
      </c>
      <c r="C5738" s="0" t="n">
        <v>7</v>
      </c>
      <c r="D5738" s="0" t="n">
        <v>0</v>
      </c>
      <c r="E5738" s="0" t="n">
        <f aca="false">-1+A5738*0.25</f>
        <v>0.75</v>
      </c>
      <c r="F5738" s="0" t="n">
        <f aca="false">-1+B5738*0.25</f>
        <v>0.75</v>
      </c>
      <c r="G5738" s="0" t="n">
        <f aca="false">-1+C5738*0.25</f>
        <v>0.75</v>
      </c>
      <c r="H5738" s="0" t="n">
        <f aca="false">-1+D5738*0.25</f>
        <v>-1</v>
      </c>
      <c r="I5738" s="0" t="n">
        <f aca="false">1</f>
        <v>1</v>
      </c>
      <c r="J5738" s="0" t="n">
        <f aca="false">E5738</f>
        <v>0.75</v>
      </c>
      <c r="K5738" s="0" t="n">
        <f aca="false">F5738</f>
        <v>0.75</v>
      </c>
      <c r="L5738" s="0" t="n">
        <f aca="false">G5738</f>
        <v>0.75</v>
      </c>
      <c r="M5738" s="0" t="n">
        <f aca="false">H5738</f>
        <v>-1</v>
      </c>
      <c r="N5738" s="0" t="n">
        <f aca="false">E5738*F5738</f>
        <v>0.5625</v>
      </c>
      <c r="O5738" s="0" t="n">
        <f aca="false">E5738*G5738</f>
        <v>0.5625</v>
      </c>
      <c r="P5738" s="0" t="n">
        <f aca="false">E5738*H5738</f>
        <v>-0.75</v>
      </c>
      <c r="Q5738" s="0" t="n">
        <f aca="false">F5738*G5738</f>
        <v>0.5625</v>
      </c>
      <c r="R5738" s="0" t="n">
        <f aca="false">F5738*H5738</f>
        <v>-0.75</v>
      </c>
      <c r="S5738" s="0" t="n">
        <f aca="false">G5738*H5738</f>
        <v>-0.75</v>
      </c>
      <c r="T5738" s="0" t="n">
        <f aca="false">E5738*E5738</f>
        <v>0.5625</v>
      </c>
      <c r="U5738" s="0" t="n">
        <f aca="false">F5738*F5738</f>
        <v>0.5625</v>
      </c>
      <c r="V5738" s="0" t="n">
        <f aca="false">G5738*G5738</f>
        <v>0.5625</v>
      </c>
      <c r="W5738" s="0" t="n">
        <f aca="false">H5738*H5738</f>
        <v>1</v>
      </c>
      <c r="X5738" s="0" t="n">
        <f aca="false">SUMPRODUCT(I5738:W5738,_XtX!$B$96:$P$96)</f>
        <v>47.9362070540936</v>
      </c>
      <c r="Y5738" s="0" t="n">
        <f aca="false">SUMPRODUCT(MMULT(I5738:W5738,_XtX!$B$78:$P$92),I5738:W5738)</f>
        <v>0.420117473044591</v>
      </c>
      <c r="Z5738" s="0" t="n">
        <f aca="false">04_回帰ANOVA!$K$19*04_回帰ANOVA!$K$14*SQRT(1+Y5738)</f>
        <v>1.55331854827765</v>
      </c>
      <c r="AA5738" s="0" t="n">
        <f aca="false">X5738-Z5738</f>
        <v>46.382888505816</v>
      </c>
      <c r="AB5738" s="0" t="n">
        <f aca="false">X5738+Z5738</f>
        <v>49.4895256023712</v>
      </c>
      <c r="AC5738" s="54" t="b">
        <f aca="false">AND(E5738&gt;=01_因子設定!$L$5-0.000000001,E5738&lt;=01_因子設定!$M$5+0.000000001,F5738&gt;=01_因子設定!$L$6-0.000000001,F5738&lt;=01_因子設定!$M$6+0.000000001,G5738&gt;=01_因子設定!$L$7-0.000000001,G5738&lt;=01_因子設定!$M$7+0.000000001,H5738&gt;=01_因子設定!$L$8-0.000000001,H5738&lt;=01_因子設定!$M$8+0.000000001,IF(01_因子設定!$B$20="Box-Behnken",E5738^2+F5738^2+G5738^2+H5738^2&lt;=2+0.000000001,TRUE()))</f>
        <v>1</v>
      </c>
      <c r="AD5738" s="55" t="n">
        <f aca="false">IF(AC5738,IF(01_因子設定!$B$13="最大化",AA5738-01_因子設定!$B$14,IF(01_因子設定!$B$13="最小化",01_因子設定!$B$15-AB5738,MIN(AA5738-01_因子設定!$B$14,01_因子設定!$B$15-AB5738))),-1E+030)</f>
        <v>-0.117111494184051</v>
      </c>
      <c r="AE5738" s="55" t="n">
        <f aca="false">IF(AC5738,IF(01_因子設定!$B$13="最大化",X5738,IF(01_因子設定!$B$13="最小化",-X5738,-ABS(X5738-01_因子設定!$B$16))),-1E+030)</f>
        <v>47.9362070540936</v>
      </c>
      <c r="AF5738" s="55" t="n">
        <f aca="false">AD5738+ROW()*0.000000001</f>
        <v>-0.117105756184051</v>
      </c>
      <c r="AG5738" s="55" t="n">
        <f aca="false">AE5738+ROW()*0.000000001</f>
        <v>47.9362127920936</v>
      </c>
    </row>
    <row r="5739" customFormat="false" ht="15" hidden="false" customHeight="false" outlineLevel="0" collapsed="false">
      <c r="A5739" s="0" t="n">
        <v>7</v>
      </c>
      <c r="B5739" s="0" t="n">
        <v>7</v>
      </c>
      <c r="C5739" s="0" t="n">
        <v>7</v>
      </c>
      <c r="D5739" s="0" t="n">
        <v>1</v>
      </c>
      <c r="E5739" s="0" t="n">
        <f aca="false">-1+A5739*0.25</f>
        <v>0.75</v>
      </c>
      <c r="F5739" s="0" t="n">
        <f aca="false">-1+B5739*0.25</f>
        <v>0.75</v>
      </c>
      <c r="G5739" s="0" t="n">
        <f aca="false">-1+C5739*0.25</f>
        <v>0.75</v>
      </c>
      <c r="H5739" s="0" t="n">
        <f aca="false">-1+D5739*0.25</f>
        <v>-0.75</v>
      </c>
      <c r="I5739" s="0" t="n">
        <f aca="false">1</f>
        <v>1</v>
      </c>
      <c r="J5739" s="0" t="n">
        <f aca="false">E5739</f>
        <v>0.75</v>
      </c>
      <c r="K5739" s="0" t="n">
        <f aca="false">F5739</f>
        <v>0.75</v>
      </c>
      <c r="L5739" s="0" t="n">
        <f aca="false">G5739</f>
        <v>0.75</v>
      </c>
      <c r="M5739" s="0" t="n">
        <f aca="false">H5739</f>
        <v>-0.75</v>
      </c>
      <c r="N5739" s="0" t="n">
        <f aca="false">E5739*F5739</f>
        <v>0.5625</v>
      </c>
      <c r="O5739" s="0" t="n">
        <f aca="false">E5739*G5739</f>
        <v>0.5625</v>
      </c>
      <c r="P5739" s="0" t="n">
        <f aca="false">E5739*H5739</f>
        <v>-0.5625</v>
      </c>
      <c r="Q5739" s="0" t="n">
        <f aca="false">F5739*G5739</f>
        <v>0.5625</v>
      </c>
      <c r="R5739" s="0" t="n">
        <f aca="false">F5739*H5739</f>
        <v>-0.5625</v>
      </c>
      <c r="S5739" s="0" t="n">
        <f aca="false">G5739*H5739</f>
        <v>-0.5625</v>
      </c>
      <c r="T5739" s="0" t="n">
        <f aca="false">E5739*E5739</f>
        <v>0.5625</v>
      </c>
      <c r="U5739" s="0" t="n">
        <f aca="false">F5739*F5739</f>
        <v>0.5625</v>
      </c>
      <c r="V5739" s="0" t="n">
        <f aca="false">G5739*G5739</f>
        <v>0.5625</v>
      </c>
      <c r="W5739" s="0" t="n">
        <f aca="false">H5739*H5739</f>
        <v>0.5625</v>
      </c>
      <c r="X5739" s="0" t="n">
        <f aca="false">SUMPRODUCT(I5739:W5739,_XtX!$B$96:$P$96)</f>
        <v>48.242420504386</v>
      </c>
      <c r="Y5739" s="0" t="n">
        <f aca="false">SUMPRODUCT(MMULT(I5739:W5739,_XtX!$B$78:$P$92),I5739:W5739)</f>
        <v>0.277232387609649</v>
      </c>
      <c r="Z5739" s="0" t="n">
        <f aca="false">04_回帰ANOVA!$K$19*04_回帰ANOVA!$K$14*SQRT(1+Y5739)</f>
        <v>1.47310381441991</v>
      </c>
      <c r="AA5739" s="0" t="n">
        <f aca="false">X5739-Z5739</f>
        <v>46.7693166899661</v>
      </c>
      <c r="AB5739" s="0" t="n">
        <f aca="false">X5739+Z5739</f>
        <v>49.7155243188059</v>
      </c>
      <c r="AC5739" s="54" t="b">
        <f aca="false">AND(E5739&gt;=01_因子設定!$L$5-0.000000001,E5739&lt;=01_因子設定!$M$5+0.000000001,F5739&gt;=01_因子設定!$L$6-0.000000001,F5739&lt;=01_因子設定!$M$6+0.000000001,G5739&gt;=01_因子設定!$L$7-0.000000001,G5739&lt;=01_因子設定!$M$7+0.000000001,H5739&gt;=01_因子設定!$L$8-0.000000001,H5739&lt;=01_因子設定!$M$8+0.000000001,IF(01_因子設定!$B$20="Box-Behnken",E5739^2+F5739^2+G5739^2+H5739^2&lt;=2+0.000000001,TRUE()))</f>
        <v>1</v>
      </c>
      <c r="AD5739" s="55" t="n">
        <f aca="false">IF(AC5739,IF(01_因子設定!$B$13="最大化",AA5739-01_因子設定!$B$14,IF(01_因子設定!$B$13="最小化",01_因子設定!$B$15-AB5739,MIN(AA5739-01_因子設定!$B$14,01_因子設定!$B$15-AB5739))),-1E+030)</f>
        <v>0.269316689966068</v>
      </c>
      <c r="AE5739" s="55" t="n">
        <f aca="false">IF(AC5739,IF(01_因子設定!$B$13="最大化",X5739,IF(01_因子設定!$B$13="最小化",-X5739,-ABS(X5739-01_因子設定!$B$16))),-1E+030)</f>
        <v>48.242420504386</v>
      </c>
      <c r="AF5739" s="55" t="n">
        <f aca="false">AD5739+ROW()*0.000000001</f>
        <v>0.269322428966068</v>
      </c>
      <c r="AG5739" s="55" t="n">
        <f aca="false">AE5739+ROW()*0.000000001</f>
        <v>48.242426243386</v>
      </c>
    </row>
    <row r="5740" customFormat="false" ht="15" hidden="false" customHeight="false" outlineLevel="0" collapsed="false">
      <c r="A5740" s="0" t="n">
        <v>7</v>
      </c>
      <c r="B5740" s="0" t="n">
        <v>7</v>
      </c>
      <c r="C5740" s="0" t="n">
        <v>7</v>
      </c>
      <c r="D5740" s="0" t="n">
        <v>2</v>
      </c>
      <c r="E5740" s="0" t="n">
        <f aca="false">-1+A5740*0.25</f>
        <v>0.75</v>
      </c>
      <c r="F5740" s="0" t="n">
        <f aca="false">-1+B5740*0.25</f>
        <v>0.75</v>
      </c>
      <c r="G5740" s="0" t="n">
        <f aca="false">-1+C5740*0.25</f>
        <v>0.75</v>
      </c>
      <c r="H5740" s="0" t="n">
        <f aca="false">-1+D5740*0.25</f>
        <v>-0.5</v>
      </c>
      <c r="I5740" s="0" t="n">
        <f aca="false">1</f>
        <v>1</v>
      </c>
      <c r="J5740" s="0" t="n">
        <f aca="false">E5740</f>
        <v>0.75</v>
      </c>
      <c r="K5740" s="0" t="n">
        <f aca="false">F5740</f>
        <v>0.75</v>
      </c>
      <c r="L5740" s="0" t="n">
        <f aca="false">G5740</f>
        <v>0.75</v>
      </c>
      <c r="M5740" s="0" t="n">
        <f aca="false">H5740</f>
        <v>-0.5</v>
      </c>
      <c r="N5740" s="0" t="n">
        <f aca="false">E5740*F5740</f>
        <v>0.5625</v>
      </c>
      <c r="O5740" s="0" t="n">
        <f aca="false">E5740*G5740</f>
        <v>0.5625</v>
      </c>
      <c r="P5740" s="0" t="n">
        <f aca="false">E5740*H5740</f>
        <v>-0.375</v>
      </c>
      <c r="Q5740" s="0" t="n">
        <f aca="false">F5740*G5740</f>
        <v>0.5625</v>
      </c>
      <c r="R5740" s="0" t="n">
        <f aca="false">F5740*H5740</f>
        <v>-0.375</v>
      </c>
      <c r="S5740" s="0" t="n">
        <f aca="false">G5740*H5740</f>
        <v>-0.375</v>
      </c>
      <c r="T5740" s="0" t="n">
        <f aca="false">E5740*E5740</f>
        <v>0.5625</v>
      </c>
      <c r="U5740" s="0" t="n">
        <f aca="false">F5740*F5740</f>
        <v>0.5625</v>
      </c>
      <c r="V5740" s="0" t="n">
        <f aca="false">G5740*G5740</f>
        <v>0.5625</v>
      </c>
      <c r="W5740" s="0" t="n">
        <f aca="false">H5740*H5740</f>
        <v>0.25</v>
      </c>
      <c r="X5740" s="0" t="n">
        <f aca="false">SUMPRODUCT(I5740:W5740,_XtX!$B$96:$P$96)</f>
        <v>48.5008269371345</v>
      </c>
      <c r="Y5740" s="0" t="n">
        <f aca="false">SUMPRODUCT(MMULT(I5740:W5740,_XtX!$B$78:$P$92),I5740:W5740)</f>
        <v>0.265632138614766</v>
      </c>
      <c r="Z5740" s="0" t="n">
        <f aca="false">04_回帰ANOVA!$K$19*04_回帰ANOVA!$K$14*SQRT(1+Y5740)</f>
        <v>1.46639894654257</v>
      </c>
      <c r="AA5740" s="0" t="n">
        <f aca="false">X5740-Z5740</f>
        <v>47.0344279905919</v>
      </c>
      <c r="AB5740" s="0" t="n">
        <f aca="false">X5740+Z5740</f>
        <v>49.9672258836771</v>
      </c>
      <c r="AC5740" s="54" t="b">
        <f aca="false">AND(E5740&gt;=01_因子設定!$L$5-0.000000001,E5740&lt;=01_因子設定!$M$5+0.000000001,F5740&gt;=01_因子設定!$L$6-0.000000001,F5740&lt;=01_因子設定!$M$6+0.000000001,G5740&gt;=01_因子設定!$L$7-0.000000001,G5740&lt;=01_因子設定!$M$7+0.000000001,H5740&gt;=01_因子設定!$L$8-0.000000001,H5740&lt;=01_因子設定!$M$8+0.000000001,IF(01_因子設定!$B$20="Box-Behnken",E5740^2+F5740^2+G5740^2+H5740^2&lt;=2+0.000000001,TRUE()))</f>
        <v>1</v>
      </c>
      <c r="AD5740" s="55" t="n">
        <f aca="false">IF(AC5740,IF(01_因子設定!$B$13="最大化",AA5740-01_因子設定!$B$14,IF(01_因子設定!$B$13="最小化",01_因子設定!$B$15-AB5740,MIN(AA5740-01_因子設定!$B$14,01_因子設定!$B$15-AB5740))),-1E+030)</f>
        <v>0.534427990591922</v>
      </c>
      <c r="AE5740" s="55" t="n">
        <f aca="false">IF(AC5740,IF(01_因子設定!$B$13="最大化",X5740,IF(01_因子設定!$B$13="最小化",-X5740,-ABS(X5740-01_因子設定!$B$16))),-1E+030)</f>
        <v>48.5008269371345</v>
      </c>
      <c r="AF5740" s="55" t="n">
        <f aca="false">AD5740+ROW()*0.000000001</f>
        <v>0.534433730591922</v>
      </c>
      <c r="AG5740" s="55" t="n">
        <f aca="false">AE5740+ROW()*0.000000001</f>
        <v>48.5008326771345</v>
      </c>
    </row>
    <row r="5741" customFormat="false" ht="15" hidden="false" customHeight="false" outlineLevel="0" collapsed="false">
      <c r="A5741" s="0" t="n">
        <v>7</v>
      </c>
      <c r="B5741" s="0" t="n">
        <v>7</v>
      </c>
      <c r="C5741" s="0" t="n">
        <v>7</v>
      </c>
      <c r="D5741" s="0" t="n">
        <v>3</v>
      </c>
      <c r="E5741" s="0" t="n">
        <f aca="false">-1+A5741*0.25</f>
        <v>0.75</v>
      </c>
      <c r="F5741" s="0" t="n">
        <f aca="false">-1+B5741*0.25</f>
        <v>0.75</v>
      </c>
      <c r="G5741" s="0" t="n">
        <f aca="false">-1+C5741*0.25</f>
        <v>0.75</v>
      </c>
      <c r="H5741" s="0" t="n">
        <f aca="false">-1+D5741*0.25</f>
        <v>-0.25</v>
      </c>
      <c r="I5741" s="0" t="n">
        <f aca="false">1</f>
        <v>1</v>
      </c>
      <c r="J5741" s="0" t="n">
        <f aca="false">E5741</f>
        <v>0.75</v>
      </c>
      <c r="K5741" s="0" t="n">
        <f aca="false">F5741</f>
        <v>0.75</v>
      </c>
      <c r="L5741" s="0" t="n">
        <f aca="false">G5741</f>
        <v>0.75</v>
      </c>
      <c r="M5741" s="0" t="n">
        <f aca="false">H5741</f>
        <v>-0.25</v>
      </c>
      <c r="N5741" s="0" t="n">
        <f aca="false">E5741*F5741</f>
        <v>0.5625</v>
      </c>
      <c r="O5741" s="0" t="n">
        <f aca="false">E5741*G5741</f>
        <v>0.5625</v>
      </c>
      <c r="P5741" s="0" t="n">
        <f aca="false">E5741*H5741</f>
        <v>-0.1875</v>
      </c>
      <c r="Q5741" s="0" t="n">
        <f aca="false">F5741*G5741</f>
        <v>0.5625</v>
      </c>
      <c r="R5741" s="0" t="n">
        <f aca="false">F5741*H5741</f>
        <v>-0.1875</v>
      </c>
      <c r="S5741" s="0" t="n">
        <f aca="false">G5741*H5741</f>
        <v>-0.1875</v>
      </c>
      <c r="T5741" s="0" t="n">
        <f aca="false">E5741*E5741</f>
        <v>0.5625</v>
      </c>
      <c r="U5741" s="0" t="n">
        <f aca="false">F5741*F5741</f>
        <v>0.5625</v>
      </c>
      <c r="V5741" s="0" t="n">
        <f aca="false">G5741*G5741</f>
        <v>0.5625</v>
      </c>
      <c r="W5741" s="0" t="n">
        <f aca="false">H5741*H5741</f>
        <v>0.0625</v>
      </c>
      <c r="X5741" s="0" t="n">
        <f aca="false">SUMPRODUCT(I5741:W5741,_XtX!$B$96:$P$96)</f>
        <v>48.7114263523392</v>
      </c>
      <c r="Y5741" s="0" t="n">
        <f aca="false">SUMPRODUCT(MMULT(I5741:W5741,_XtX!$B$78:$P$92),I5741:W5741)</f>
        <v>0.294856199744152</v>
      </c>
      <c r="Z5741" s="0" t="n">
        <f aca="false">04_回帰ANOVA!$K$19*04_回帰ANOVA!$K$14*SQRT(1+Y5741)</f>
        <v>1.48323226089013</v>
      </c>
      <c r="AA5741" s="0" t="n">
        <f aca="false">X5741-Z5741</f>
        <v>47.228194091449</v>
      </c>
      <c r="AB5741" s="0" t="n">
        <f aca="false">X5741+Z5741</f>
        <v>50.1946586132293</v>
      </c>
      <c r="AC5741" s="54" t="b">
        <f aca="false">AND(E5741&gt;=01_因子設定!$L$5-0.000000001,E5741&lt;=01_因子設定!$M$5+0.000000001,F5741&gt;=01_因子設定!$L$6-0.000000001,F5741&lt;=01_因子設定!$M$6+0.000000001,G5741&gt;=01_因子設定!$L$7-0.000000001,G5741&lt;=01_因子設定!$M$7+0.000000001,H5741&gt;=01_因子設定!$L$8-0.000000001,H5741&lt;=01_因子設定!$M$8+0.000000001,IF(01_因子設定!$B$20="Box-Behnken",E5741^2+F5741^2+G5741^2+H5741^2&lt;=2+0.000000001,TRUE()))</f>
        <v>1</v>
      </c>
      <c r="AD5741" s="55" t="n">
        <f aca="false">IF(AC5741,IF(01_因子設定!$B$13="最大化",AA5741-01_因子設定!$B$14,IF(01_因子設定!$B$13="最小化",01_因子設定!$B$15-AB5741,MIN(AA5741-01_因子設定!$B$14,01_因子設定!$B$15-AB5741))),-1E+030)</f>
        <v>0.728194091449034</v>
      </c>
      <c r="AE5741" s="55" t="n">
        <f aca="false">IF(AC5741,IF(01_因子設定!$B$13="最大化",X5741,IF(01_因子設定!$B$13="最小化",-X5741,-ABS(X5741-01_因子設定!$B$16))),-1E+030)</f>
        <v>48.7114263523392</v>
      </c>
      <c r="AF5741" s="55" t="n">
        <f aca="false">AD5741+ROW()*0.000000001</f>
        <v>0.728199832449033</v>
      </c>
      <c r="AG5741" s="55" t="n">
        <f aca="false">AE5741+ROW()*0.000000001</f>
        <v>48.7114320933392</v>
      </c>
    </row>
    <row r="5742" customFormat="false" ht="15" hidden="false" customHeight="false" outlineLevel="0" collapsed="false">
      <c r="A5742" s="0" t="n">
        <v>7</v>
      </c>
      <c r="B5742" s="0" t="n">
        <v>7</v>
      </c>
      <c r="C5742" s="0" t="n">
        <v>7</v>
      </c>
      <c r="D5742" s="0" t="n">
        <v>4</v>
      </c>
      <c r="E5742" s="0" t="n">
        <f aca="false">-1+A5742*0.25</f>
        <v>0.75</v>
      </c>
      <c r="F5742" s="0" t="n">
        <f aca="false">-1+B5742*0.25</f>
        <v>0.75</v>
      </c>
      <c r="G5742" s="0" t="n">
        <f aca="false">-1+C5742*0.25</f>
        <v>0.75</v>
      </c>
      <c r="H5742" s="0" t="n">
        <f aca="false">-1+D5742*0.25</f>
        <v>0</v>
      </c>
      <c r="I5742" s="0" t="n">
        <f aca="false">1</f>
        <v>1</v>
      </c>
      <c r="J5742" s="0" t="n">
        <f aca="false">E5742</f>
        <v>0.75</v>
      </c>
      <c r="K5742" s="0" t="n">
        <f aca="false">F5742</f>
        <v>0.75</v>
      </c>
      <c r="L5742" s="0" t="n">
        <f aca="false">G5742</f>
        <v>0.75</v>
      </c>
      <c r="M5742" s="0" t="n">
        <f aca="false">H5742</f>
        <v>0</v>
      </c>
      <c r="N5742" s="0" t="n">
        <f aca="false">E5742*F5742</f>
        <v>0.5625</v>
      </c>
      <c r="O5742" s="0" t="n">
        <f aca="false">E5742*G5742</f>
        <v>0.5625</v>
      </c>
      <c r="P5742" s="0" t="n">
        <f aca="false">E5742*H5742</f>
        <v>0</v>
      </c>
      <c r="Q5742" s="0" t="n">
        <f aca="false">F5742*G5742</f>
        <v>0.5625</v>
      </c>
      <c r="R5742" s="0" t="n">
        <f aca="false">F5742*H5742</f>
        <v>0</v>
      </c>
      <c r="S5742" s="0" t="n">
        <f aca="false">G5742*H5742</f>
        <v>0</v>
      </c>
      <c r="T5742" s="0" t="n">
        <f aca="false">E5742*E5742</f>
        <v>0.5625</v>
      </c>
      <c r="U5742" s="0" t="n">
        <f aca="false">F5742*F5742</f>
        <v>0.5625</v>
      </c>
      <c r="V5742" s="0" t="n">
        <f aca="false">G5742*G5742</f>
        <v>0.5625</v>
      </c>
      <c r="W5742" s="0" t="n">
        <f aca="false">H5742*H5742</f>
        <v>0</v>
      </c>
      <c r="X5742" s="0" t="n">
        <f aca="false">SUMPRODUCT(I5742:W5742,_XtX!$B$96:$P$96)</f>
        <v>48.87421875</v>
      </c>
      <c r="Y5742" s="0" t="n">
        <f aca="false">SUMPRODUCT(MMULT(I5742:W5742,_XtX!$B$78:$P$92),I5742:W5742)</f>
        <v>0.310628255208333</v>
      </c>
      <c r="Z5742" s="0" t="n">
        <f aca="false">04_回帰ANOVA!$K$19*04_回帰ANOVA!$K$14*SQRT(1+Y5742)</f>
        <v>1.49223820892344</v>
      </c>
      <c r="AA5742" s="0" t="n">
        <f aca="false">X5742-Z5742</f>
        <v>47.3819805410765</v>
      </c>
      <c r="AB5742" s="0" t="n">
        <f aca="false">X5742+Z5742</f>
        <v>50.3664569589234</v>
      </c>
      <c r="AC5742" s="54" t="b">
        <f aca="false">AND(E5742&gt;=01_因子設定!$L$5-0.000000001,E5742&lt;=01_因子設定!$M$5+0.000000001,F5742&gt;=01_因子設定!$L$6-0.000000001,F5742&lt;=01_因子設定!$M$6+0.000000001,G5742&gt;=01_因子設定!$L$7-0.000000001,G5742&lt;=01_因子設定!$M$7+0.000000001,H5742&gt;=01_因子設定!$L$8-0.000000001,H5742&lt;=01_因子設定!$M$8+0.000000001,IF(01_因子設定!$B$20="Box-Behnken",E5742^2+F5742^2+G5742^2+H5742^2&lt;=2+0.000000001,TRUE()))</f>
        <v>1</v>
      </c>
      <c r="AD5742" s="55" t="n">
        <f aca="false">IF(AC5742,IF(01_因子設定!$B$13="最大化",AA5742-01_因子設定!$B$14,IF(01_因子設定!$B$13="最小化",01_因子設定!$B$15-AB5742,MIN(AA5742-01_因子設定!$B$14,01_因子設定!$B$15-AB5742))),-1E+030)</f>
        <v>0.881980541076544</v>
      </c>
      <c r="AE5742" s="55" t="n">
        <f aca="false">IF(AC5742,IF(01_因子設定!$B$13="最大化",X5742,IF(01_因子設定!$B$13="最小化",-X5742,-ABS(X5742-01_因子設定!$B$16))),-1E+030)</f>
        <v>48.87421875</v>
      </c>
      <c r="AF5742" s="55" t="n">
        <f aca="false">AD5742+ROW()*0.000000001</f>
        <v>0.881986283076544</v>
      </c>
      <c r="AG5742" s="55" t="n">
        <f aca="false">AE5742+ROW()*0.000000001</f>
        <v>48.874224492</v>
      </c>
    </row>
    <row r="5743" customFormat="false" ht="15" hidden="false" customHeight="false" outlineLevel="0" collapsed="false">
      <c r="A5743" s="0" t="n">
        <v>7</v>
      </c>
      <c r="B5743" s="0" t="n">
        <v>7</v>
      </c>
      <c r="C5743" s="0" t="n">
        <v>7</v>
      </c>
      <c r="D5743" s="0" t="n">
        <v>5</v>
      </c>
      <c r="E5743" s="0" t="n">
        <f aca="false">-1+A5743*0.25</f>
        <v>0.75</v>
      </c>
      <c r="F5743" s="0" t="n">
        <f aca="false">-1+B5743*0.25</f>
        <v>0.75</v>
      </c>
      <c r="G5743" s="0" t="n">
        <f aca="false">-1+C5743*0.25</f>
        <v>0.75</v>
      </c>
      <c r="H5743" s="0" t="n">
        <f aca="false">-1+D5743*0.25</f>
        <v>0.25</v>
      </c>
      <c r="I5743" s="0" t="n">
        <f aca="false">1</f>
        <v>1</v>
      </c>
      <c r="J5743" s="0" t="n">
        <f aca="false">E5743</f>
        <v>0.75</v>
      </c>
      <c r="K5743" s="0" t="n">
        <f aca="false">F5743</f>
        <v>0.75</v>
      </c>
      <c r="L5743" s="0" t="n">
        <f aca="false">G5743</f>
        <v>0.75</v>
      </c>
      <c r="M5743" s="0" t="n">
        <f aca="false">H5743</f>
        <v>0.25</v>
      </c>
      <c r="N5743" s="0" t="n">
        <f aca="false">E5743*F5743</f>
        <v>0.5625</v>
      </c>
      <c r="O5743" s="0" t="n">
        <f aca="false">E5743*G5743</f>
        <v>0.5625</v>
      </c>
      <c r="P5743" s="0" t="n">
        <f aca="false">E5743*H5743</f>
        <v>0.1875</v>
      </c>
      <c r="Q5743" s="0" t="n">
        <f aca="false">F5743*G5743</f>
        <v>0.5625</v>
      </c>
      <c r="R5743" s="0" t="n">
        <f aca="false">F5743*H5743</f>
        <v>0.1875</v>
      </c>
      <c r="S5743" s="0" t="n">
        <f aca="false">G5743*H5743</f>
        <v>0.1875</v>
      </c>
      <c r="T5743" s="0" t="n">
        <f aca="false">E5743*E5743</f>
        <v>0.5625</v>
      </c>
      <c r="U5743" s="0" t="n">
        <f aca="false">F5743*F5743</f>
        <v>0.5625</v>
      </c>
      <c r="V5743" s="0" t="n">
        <f aca="false">G5743*G5743</f>
        <v>0.5625</v>
      </c>
      <c r="W5743" s="0" t="n">
        <f aca="false">H5743*H5743</f>
        <v>0.0625</v>
      </c>
      <c r="X5743" s="0" t="n">
        <f aca="false">SUMPRODUCT(I5743:W5743,_XtX!$B$96:$P$96)</f>
        <v>48.9892041301169</v>
      </c>
      <c r="Y5743" s="0" t="n">
        <f aca="false">SUMPRODUCT(MMULT(I5743:W5743,_XtX!$B$78:$P$92),I5743:W5743)</f>
        <v>0.294856199744152</v>
      </c>
      <c r="Z5743" s="0" t="n">
        <f aca="false">04_回帰ANOVA!$K$19*04_回帰ANOVA!$K$14*SQRT(1+Y5743)</f>
        <v>1.48323226089013</v>
      </c>
      <c r="AA5743" s="0" t="n">
        <f aca="false">X5743-Z5743</f>
        <v>47.5059718692268</v>
      </c>
      <c r="AB5743" s="0" t="n">
        <f aca="false">X5743+Z5743</f>
        <v>50.4724363910071</v>
      </c>
      <c r="AC5743" s="54" t="b">
        <f aca="false">AND(E5743&gt;=01_因子設定!$L$5-0.000000001,E5743&lt;=01_因子設定!$M$5+0.000000001,F5743&gt;=01_因子設定!$L$6-0.000000001,F5743&lt;=01_因子設定!$M$6+0.000000001,G5743&gt;=01_因子設定!$L$7-0.000000001,G5743&lt;=01_因子設定!$M$7+0.000000001,H5743&gt;=01_因子設定!$L$8-0.000000001,H5743&lt;=01_因子設定!$M$8+0.000000001,IF(01_因子設定!$B$20="Box-Behnken",E5743^2+F5743^2+G5743^2+H5743^2&lt;=2+0.000000001,TRUE()))</f>
        <v>1</v>
      </c>
      <c r="AD5743" s="55" t="n">
        <f aca="false">IF(AC5743,IF(01_因子設定!$B$13="最大化",AA5743-01_因子設定!$B$14,IF(01_因子設定!$B$13="最小化",01_因子設定!$B$15-AB5743,MIN(AA5743-01_因子設定!$B$14,01_因子設定!$B$15-AB5743))),-1E+030)</f>
        <v>1.00597186922681</v>
      </c>
      <c r="AE5743" s="55" t="n">
        <f aca="false">IF(AC5743,IF(01_因子設定!$B$13="最大化",X5743,IF(01_因子設定!$B$13="最小化",-X5743,-ABS(X5743-01_因子設定!$B$16))),-1E+030)</f>
        <v>48.9892041301169</v>
      </c>
      <c r="AF5743" s="55" t="n">
        <f aca="false">AD5743+ROW()*0.000000001</f>
        <v>1.00597761222681</v>
      </c>
      <c r="AG5743" s="55" t="n">
        <f aca="false">AE5743+ROW()*0.000000001</f>
        <v>48.989209873117</v>
      </c>
    </row>
    <row r="5744" customFormat="false" ht="15" hidden="false" customHeight="false" outlineLevel="0" collapsed="false">
      <c r="A5744" s="0" t="n">
        <v>7</v>
      </c>
      <c r="B5744" s="0" t="n">
        <v>7</v>
      </c>
      <c r="C5744" s="0" t="n">
        <v>7</v>
      </c>
      <c r="D5744" s="0" t="n">
        <v>6</v>
      </c>
      <c r="E5744" s="0" t="n">
        <f aca="false">-1+A5744*0.25</f>
        <v>0.75</v>
      </c>
      <c r="F5744" s="0" t="n">
        <f aca="false">-1+B5744*0.25</f>
        <v>0.75</v>
      </c>
      <c r="G5744" s="0" t="n">
        <f aca="false">-1+C5744*0.25</f>
        <v>0.75</v>
      </c>
      <c r="H5744" s="0" t="n">
        <f aca="false">-1+D5744*0.25</f>
        <v>0.5</v>
      </c>
      <c r="I5744" s="0" t="n">
        <f aca="false">1</f>
        <v>1</v>
      </c>
      <c r="J5744" s="0" t="n">
        <f aca="false">E5744</f>
        <v>0.75</v>
      </c>
      <c r="K5744" s="0" t="n">
        <f aca="false">F5744</f>
        <v>0.75</v>
      </c>
      <c r="L5744" s="0" t="n">
        <f aca="false">G5744</f>
        <v>0.75</v>
      </c>
      <c r="M5744" s="0" t="n">
        <f aca="false">H5744</f>
        <v>0.5</v>
      </c>
      <c r="N5744" s="0" t="n">
        <f aca="false">E5744*F5744</f>
        <v>0.5625</v>
      </c>
      <c r="O5744" s="0" t="n">
        <f aca="false">E5744*G5744</f>
        <v>0.5625</v>
      </c>
      <c r="P5744" s="0" t="n">
        <f aca="false">E5744*H5744</f>
        <v>0.375</v>
      </c>
      <c r="Q5744" s="0" t="n">
        <f aca="false">F5744*G5744</f>
        <v>0.5625</v>
      </c>
      <c r="R5744" s="0" t="n">
        <f aca="false">F5744*H5744</f>
        <v>0.375</v>
      </c>
      <c r="S5744" s="0" t="n">
        <f aca="false">G5744*H5744</f>
        <v>0.375</v>
      </c>
      <c r="T5744" s="0" t="n">
        <f aca="false">E5744*E5744</f>
        <v>0.5625</v>
      </c>
      <c r="U5744" s="0" t="n">
        <f aca="false">F5744*F5744</f>
        <v>0.5625</v>
      </c>
      <c r="V5744" s="0" t="n">
        <f aca="false">G5744*G5744</f>
        <v>0.5625</v>
      </c>
      <c r="W5744" s="0" t="n">
        <f aca="false">H5744*H5744</f>
        <v>0.25</v>
      </c>
      <c r="X5744" s="0" t="n">
        <f aca="false">SUMPRODUCT(I5744:W5744,_XtX!$B$96:$P$96)</f>
        <v>49.0563824926901</v>
      </c>
      <c r="Y5744" s="0" t="n">
        <f aca="false">SUMPRODUCT(MMULT(I5744:W5744,_XtX!$B$78:$P$92),I5744:W5744)</f>
        <v>0.265632138614766</v>
      </c>
      <c r="Z5744" s="0" t="n">
        <f aca="false">04_回帰ANOVA!$K$19*04_回帰ANOVA!$K$14*SQRT(1+Y5744)</f>
        <v>1.46639894654257</v>
      </c>
      <c r="AA5744" s="0" t="n">
        <f aca="false">X5744-Z5744</f>
        <v>47.5899835461475</v>
      </c>
      <c r="AB5744" s="0" t="n">
        <f aca="false">X5744+Z5744</f>
        <v>50.5227814392326</v>
      </c>
      <c r="AC5744" s="54" t="b">
        <f aca="false">AND(E5744&gt;=01_因子設定!$L$5-0.000000001,E5744&lt;=01_因子設定!$M$5+0.000000001,F5744&gt;=01_因子設定!$L$6-0.000000001,F5744&lt;=01_因子設定!$M$6+0.000000001,G5744&gt;=01_因子設定!$L$7-0.000000001,G5744&lt;=01_因子設定!$M$7+0.000000001,H5744&gt;=01_因子設定!$L$8-0.000000001,H5744&lt;=01_因子設定!$M$8+0.000000001,IF(01_因子設定!$B$20="Box-Behnken",E5744^2+F5744^2+G5744^2+H5744^2&lt;=2+0.000000001,TRUE()))</f>
        <v>1</v>
      </c>
      <c r="AD5744" s="55" t="n">
        <f aca="false">IF(AC5744,IF(01_因子設定!$B$13="最大化",AA5744-01_因子設定!$B$14,IF(01_因子設定!$B$13="最小化",01_因子設定!$B$15-AB5744,MIN(AA5744-01_因子設定!$B$14,01_因子設定!$B$15-AB5744))),-1E+030)</f>
        <v>1.08998354614748</v>
      </c>
      <c r="AE5744" s="55" t="n">
        <f aca="false">IF(AC5744,IF(01_因子設定!$B$13="最大化",X5744,IF(01_因子設定!$B$13="最小化",-X5744,-ABS(X5744-01_因子設定!$B$16))),-1E+030)</f>
        <v>49.0563824926901</v>
      </c>
      <c r="AF5744" s="55" t="n">
        <f aca="false">AD5744+ROW()*0.000000001</f>
        <v>1.08998929014748</v>
      </c>
      <c r="AG5744" s="55" t="n">
        <f aca="false">AE5744+ROW()*0.000000001</f>
        <v>49.0563882366901</v>
      </c>
    </row>
    <row r="5745" customFormat="false" ht="15" hidden="false" customHeight="false" outlineLevel="0" collapsed="false">
      <c r="A5745" s="0" t="n">
        <v>7</v>
      </c>
      <c r="B5745" s="0" t="n">
        <v>7</v>
      </c>
      <c r="C5745" s="0" t="n">
        <v>7</v>
      </c>
      <c r="D5745" s="0" t="n">
        <v>7</v>
      </c>
      <c r="E5745" s="0" t="n">
        <f aca="false">-1+A5745*0.25</f>
        <v>0.75</v>
      </c>
      <c r="F5745" s="0" t="n">
        <f aca="false">-1+B5745*0.25</f>
        <v>0.75</v>
      </c>
      <c r="G5745" s="0" t="n">
        <f aca="false">-1+C5745*0.25</f>
        <v>0.75</v>
      </c>
      <c r="H5745" s="0" t="n">
        <f aca="false">-1+D5745*0.25</f>
        <v>0.75</v>
      </c>
      <c r="I5745" s="0" t="n">
        <f aca="false">1</f>
        <v>1</v>
      </c>
      <c r="J5745" s="0" t="n">
        <f aca="false">E5745</f>
        <v>0.75</v>
      </c>
      <c r="K5745" s="0" t="n">
        <f aca="false">F5745</f>
        <v>0.75</v>
      </c>
      <c r="L5745" s="0" t="n">
        <f aca="false">G5745</f>
        <v>0.75</v>
      </c>
      <c r="M5745" s="0" t="n">
        <f aca="false">H5745</f>
        <v>0.75</v>
      </c>
      <c r="N5745" s="0" t="n">
        <f aca="false">E5745*F5745</f>
        <v>0.5625</v>
      </c>
      <c r="O5745" s="0" t="n">
        <f aca="false">E5745*G5745</f>
        <v>0.5625</v>
      </c>
      <c r="P5745" s="0" t="n">
        <f aca="false">E5745*H5745</f>
        <v>0.5625</v>
      </c>
      <c r="Q5745" s="0" t="n">
        <f aca="false">F5745*G5745</f>
        <v>0.5625</v>
      </c>
      <c r="R5745" s="0" t="n">
        <f aca="false">F5745*H5745</f>
        <v>0.5625</v>
      </c>
      <c r="S5745" s="0" t="n">
        <f aca="false">G5745*H5745</f>
        <v>0.5625</v>
      </c>
      <c r="T5745" s="0" t="n">
        <f aca="false">E5745*E5745</f>
        <v>0.5625</v>
      </c>
      <c r="U5745" s="0" t="n">
        <f aca="false">F5745*F5745</f>
        <v>0.5625</v>
      </c>
      <c r="V5745" s="0" t="n">
        <f aca="false">G5745*G5745</f>
        <v>0.5625</v>
      </c>
      <c r="W5745" s="0" t="n">
        <f aca="false">H5745*H5745</f>
        <v>0.5625</v>
      </c>
      <c r="X5745" s="0" t="n">
        <f aca="false">SUMPRODUCT(I5745:W5745,_XtX!$B$96:$P$96)</f>
        <v>49.0757538377193</v>
      </c>
      <c r="Y5745" s="0" t="n">
        <f aca="false">SUMPRODUCT(MMULT(I5745:W5745,_XtX!$B$78:$P$92),I5745:W5745)</f>
        <v>0.277232387609649</v>
      </c>
      <c r="Z5745" s="0" t="n">
        <f aca="false">04_回帰ANOVA!$K$19*04_回帰ANOVA!$K$14*SQRT(1+Y5745)</f>
        <v>1.47310381441991</v>
      </c>
      <c r="AA5745" s="0" t="n">
        <f aca="false">X5745-Z5745</f>
        <v>47.6026500232994</v>
      </c>
      <c r="AB5745" s="0" t="n">
        <f aca="false">X5745+Z5745</f>
        <v>50.5488576521392</v>
      </c>
      <c r="AC5745" s="54" t="b">
        <f aca="false">AND(E5745&gt;=01_因子設定!$L$5-0.000000001,E5745&lt;=01_因子設定!$M$5+0.000000001,F5745&gt;=01_因子設定!$L$6-0.000000001,F5745&lt;=01_因子設定!$M$6+0.000000001,G5745&gt;=01_因子設定!$L$7-0.000000001,G5745&lt;=01_因子設定!$M$7+0.000000001,H5745&gt;=01_因子設定!$L$8-0.000000001,H5745&lt;=01_因子設定!$M$8+0.000000001,IF(01_因子設定!$B$20="Box-Behnken",E5745^2+F5745^2+G5745^2+H5745^2&lt;=2+0.000000001,TRUE()))</f>
        <v>1</v>
      </c>
      <c r="AD5745" s="55" t="n">
        <f aca="false">IF(AC5745,IF(01_因子設定!$B$13="最大化",AA5745-01_因子設定!$B$14,IF(01_因子設定!$B$13="最小化",01_因子設定!$B$15-AB5745,MIN(AA5745-01_因子設定!$B$14,01_因子設定!$B$15-AB5745))),-1E+030)</f>
        <v>1.1026500232994</v>
      </c>
      <c r="AE5745" s="55" t="n">
        <f aca="false">IF(AC5745,IF(01_因子設定!$B$13="最大化",X5745,IF(01_因子設定!$B$13="最小化",-X5745,-ABS(X5745-01_因子設定!$B$16))),-1E+030)</f>
        <v>49.0757538377193</v>
      </c>
      <c r="AF5745" s="55" t="n">
        <f aca="false">AD5745+ROW()*0.000000001</f>
        <v>1.1026557682994</v>
      </c>
      <c r="AG5745" s="55" t="n">
        <f aca="false">AE5745+ROW()*0.000000001</f>
        <v>49.0757595827193</v>
      </c>
    </row>
    <row r="5746" customFormat="false" ht="15" hidden="false" customHeight="false" outlineLevel="0" collapsed="false">
      <c r="A5746" s="0" t="n">
        <v>7</v>
      </c>
      <c r="B5746" s="0" t="n">
        <v>7</v>
      </c>
      <c r="C5746" s="0" t="n">
        <v>7</v>
      </c>
      <c r="D5746" s="0" t="n">
        <v>8</v>
      </c>
      <c r="E5746" s="0" t="n">
        <f aca="false">-1+A5746*0.25</f>
        <v>0.75</v>
      </c>
      <c r="F5746" s="0" t="n">
        <f aca="false">-1+B5746*0.25</f>
        <v>0.75</v>
      </c>
      <c r="G5746" s="0" t="n">
        <f aca="false">-1+C5746*0.25</f>
        <v>0.75</v>
      </c>
      <c r="H5746" s="0" t="n">
        <f aca="false">-1+D5746*0.25</f>
        <v>1</v>
      </c>
      <c r="I5746" s="0" t="n">
        <f aca="false">1</f>
        <v>1</v>
      </c>
      <c r="J5746" s="0" t="n">
        <f aca="false">E5746</f>
        <v>0.75</v>
      </c>
      <c r="K5746" s="0" t="n">
        <f aca="false">F5746</f>
        <v>0.75</v>
      </c>
      <c r="L5746" s="0" t="n">
        <f aca="false">G5746</f>
        <v>0.75</v>
      </c>
      <c r="M5746" s="0" t="n">
        <f aca="false">H5746</f>
        <v>1</v>
      </c>
      <c r="N5746" s="0" t="n">
        <f aca="false">E5746*F5746</f>
        <v>0.5625</v>
      </c>
      <c r="O5746" s="0" t="n">
        <f aca="false">E5746*G5746</f>
        <v>0.5625</v>
      </c>
      <c r="P5746" s="0" t="n">
        <f aca="false">E5746*H5746</f>
        <v>0.75</v>
      </c>
      <c r="Q5746" s="0" t="n">
        <f aca="false">F5746*G5746</f>
        <v>0.5625</v>
      </c>
      <c r="R5746" s="0" t="n">
        <f aca="false">F5746*H5746</f>
        <v>0.75</v>
      </c>
      <c r="S5746" s="0" t="n">
        <f aca="false">G5746*H5746</f>
        <v>0.75</v>
      </c>
      <c r="T5746" s="0" t="n">
        <f aca="false">E5746*E5746</f>
        <v>0.5625</v>
      </c>
      <c r="U5746" s="0" t="n">
        <f aca="false">F5746*F5746</f>
        <v>0.5625</v>
      </c>
      <c r="V5746" s="0" t="n">
        <f aca="false">G5746*G5746</f>
        <v>0.5625</v>
      </c>
      <c r="W5746" s="0" t="n">
        <f aca="false">H5746*H5746</f>
        <v>1</v>
      </c>
      <c r="X5746" s="0" t="n">
        <f aca="false">SUMPRODUCT(I5746:W5746,_XtX!$B$96:$P$96)</f>
        <v>49.0473181652047</v>
      </c>
      <c r="Y5746" s="0" t="n">
        <f aca="false">SUMPRODUCT(MMULT(I5746:W5746,_XtX!$B$78:$P$92),I5746:W5746)</f>
        <v>0.420117473044591</v>
      </c>
      <c r="Z5746" s="0" t="n">
        <f aca="false">04_回帰ANOVA!$K$19*04_回帰ANOVA!$K$14*SQRT(1+Y5746)</f>
        <v>1.55331854827765</v>
      </c>
      <c r="AA5746" s="0" t="n">
        <f aca="false">X5746-Z5746</f>
        <v>47.4939996169271</v>
      </c>
      <c r="AB5746" s="0" t="n">
        <f aca="false">X5746+Z5746</f>
        <v>50.6006367134823</v>
      </c>
      <c r="AC5746" s="54" t="b">
        <f aca="false">AND(E5746&gt;=01_因子設定!$L$5-0.000000001,E5746&lt;=01_因子設定!$M$5+0.000000001,F5746&gt;=01_因子設定!$L$6-0.000000001,F5746&lt;=01_因子設定!$M$6+0.000000001,G5746&gt;=01_因子設定!$L$7-0.000000001,G5746&lt;=01_因子設定!$M$7+0.000000001,H5746&gt;=01_因子設定!$L$8-0.000000001,H5746&lt;=01_因子設定!$M$8+0.000000001,IF(01_因子設定!$B$20="Box-Behnken",E5746^2+F5746^2+G5746^2+H5746^2&lt;=2+0.000000001,TRUE()))</f>
        <v>1</v>
      </c>
      <c r="AD5746" s="55" t="n">
        <f aca="false">IF(AC5746,IF(01_因子設定!$B$13="最大化",AA5746-01_因子設定!$B$14,IF(01_因子設定!$B$13="最小化",01_因子設定!$B$15-AB5746,MIN(AA5746-01_因子設定!$B$14,01_因子設定!$B$15-AB5746))),-1E+030)</f>
        <v>0.993999616927056</v>
      </c>
      <c r="AE5746" s="55" t="n">
        <f aca="false">IF(AC5746,IF(01_因子設定!$B$13="最大化",X5746,IF(01_因子設定!$B$13="最小化",-X5746,-ABS(X5746-01_因子設定!$B$16))),-1E+030)</f>
        <v>49.0473181652047</v>
      </c>
      <c r="AF5746" s="55" t="n">
        <f aca="false">AD5746+ROW()*0.000000001</f>
        <v>0.994005362927056</v>
      </c>
      <c r="AG5746" s="55" t="n">
        <f aca="false">AE5746+ROW()*0.000000001</f>
        <v>49.0473239112047</v>
      </c>
    </row>
    <row r="5747" customFormat="false" ht="15" hidden="false" customHeight="false" outlineLevel="0" collapsed="false">
      <c r="A5747" s="0" t="n">
        <v>7</v>
      </c>
      <c r="B5747" s="0" t="n">
        <v>7</v>
      </c>
      <c r="C5747" s="0" t="n">
        <v>8</v>
      </c>
      <c r="D5747" s="0" t="n">
        <v>0</v>
      </c>
      <c r="E5747" s="0" t="n">
        <f aca="false">-1+A5747*0.25</f>
        <v>0.75</v>
      </c>
      <c r="F5747" s="0" t="n">
        <f aca="false">-1+B5747*0.25</f>
        <v>0.75</v>
      </c>
      <c r="G5747" s="0" t="n">
        <f aca="false">-1+C5747*0.25</f>
        <v>1</v>
      </c>
      <c r="H5747" s="0" t="n">
        <f aca="false">-1+D5747*0.25</f>
        <v>-1</v>
      </c>
      <c r="I5747" s="0" t="n">
        <f aca="false">1</f>
        <v>1</v>
      </c>
      <c r="J5747" s="0" t="n">
        <f aca="false">E5747</f>
        <v>0.75</v>
      </c>
      <c r="K5747" s="0" t="n">
        <f aca="false">F5747</f>
        <v>0.75</v>
      </c>
      <c r="L5747" s="0" t="n">
        <f aca="false">G5747</f>
        <v>1</v>
      </c>
      <c r="M5747" s="0" t="n">
        <f aca="false">H5747</f>
        <v>-1</v>
      </c>
      <c r="N5747" s="0" t="n">
        <f aca="false">E5747*F5747</f>
        <v>0.5625</v>
      </c>
      <c r="O5747" s="0" t="n">
        <f aca="false">E5747*G5747</f>
        <v>0.75</v>
      </c>
      <c r="P5747" s="0" t="n">
        <f aca="false">E5747*H5747</f>
        <v>-0.75</v>
      </c>
      <c r="Q5747" s="0" t="n">
        <f aca="false">F5747*G5747</f>
        <v>0.75</v>
      </c>
      <c r="R5747" s="0" t="n">
        <f aca="false">F5747*H5747</f>
        <v>-0.75</v>
      </c>
      <c r="S5747" s="0" t="n">
        <f aca="false">G5747*H5747</f>
        <v>-1</v>
      </c>
      <c r="T5747" s="0" t="n">
        <f aca="false">E5747*E5747</f>
        <v>0.5625</v>
      </c>
      <c r="U5747" s="0" t="n">
        <f aca="false">F5747*F5747</f>
        <v>0.5625</v>
      </c>
      <c r="V5747" s="0" t="n">
        <f aca="false">G5747*G5747</f>
        <v>1</v>
      </c>
      <c r="W5747" s="0" t="n">
        <f aca="false">H5747*H5747</f>
        <v>1</v>
      </c>
      <c r="X5747" s="0" t="n">
        <f aca="false">SUMPRODUCT(I5747:W5747,_XtX!$B$96:$P$96)</f>
        <v>47.7483095760234</v>
      </c>
      <c r="Y5747" s="0" t="n">
        <f aca="false">SUMPRODUCT(MMULT(I5747:W5747,_XtX!$B$78:$P$92),I5747:W5747)</f>
        <v>0.531311392086988</v>
      </c>
      <c r="Z5747" s="0" t="n">
        <f aca="false">04_回帰ANOVA!$K$19*04_回帰ANOVA!$K$14*SQRT(1+Y5747)</f>
        <v>1.61298433431428</v>
      </c>
      <c r="AA5747" s="0" t="n">
        <f aca="false">X5747-Z5747</f>
        <v>46.1353252417091</v>
      </c>
      <c r="AB5747" s="0" t="n">
        <f aca="false">X5747+Z5747</f>
        <v>49.3612939103377</v>
      </c>
      <c r="AC5747" s="54" t="b">
        <f aca="false">AND(E5747&gt;=01_因子設定!$L$5-0.000000001,E5747&lt;=01_因子設定!$M$5+0.000000001,F5747&gt;=01_因子設定!$L$6-0.000000001,F5747&lt;=01_因子設定!$M$6+0.000000001,G5747&gt;=01_因子設定!$L$7-0.000000001,G5747&lt;=01_因子設定!$M$7+0.000000001,H5747&gt;=01_因子設定!$L$8-0.000000001,H5747&lt;=01_因子設定!$M$8+0.000000001,IF(01_因子設定!$B$20="Box-Behnken",E5747^2+F5747^2+G5747^2+H5747^2&lt;=2+0.000000001,TRUE()))</f>
        <v>1</v>
      </c>
      <c r="AD5747" s="55" t="n">
        <f aca="false">IF(AC5747,IF(01_因子設定!$B$13="最大化",AA5747-01_因子設定!$B$14,IF(01_因子設定!$B$13="最小化",01_因子設定!$B$15-AB5747,MIN(AA5747-01_因子設定!$B$14,01_因子設定!$B$15-AB5747))),-1E+030)</f>
        <v>-0.364674758290867</v>
      </c>
      <c r="AE5747" s="55" t="n">
        <f aca="false">IF(AC5747,IF(01_因子設定!$B$13="最大化",X5747,IF(01_因子設定!$B$13="最小化",-X5747,-ABS(X5747-01_因子設定!$B$16))),-1E+030)</f>
        <v>47.7483095760234</v>
      </c>
      <c r="AF5747" s="55" t="n">
        <f aca="false">AD5747+ROW()*0.000000001</f>
        <v>-0.364669011290867</v>
      </c>
      <c r="AG5747" s="55" t="n">
        <f aca="false">AE5747+ROW()*0.000000001</f>
        <v>47.7483153230234</v>
      </c>
    </row>
    <row r="5748" customFormat="false" ht="15" hidden="false" customHeight="false" outlineLevel="0" collapsed="false">
      <c r="A5748" s="0" t="n">
        <v>7</v>
      </c>
      <c r="B5748" s="0" t="n">
        <v>7</v>
      </c>
      <c r="C5748" s="0" t="n">
        <v>8</v>
      </c>
      <c r="D5748" s="0" t="n">
        <v>1</v>
      </c>
      <c r="E5748" s="0" t="n">
        <f aca="false">-1+A5748*0.25</f>
        <v>0.75</v>
      </c>
      <c r="F5748" s="0" t="n">
        <f aca="false">-1+B5748*0.25</f>
        <v>0.75</v>
      </c>
      <c r="G5748" s="0" t="n">
        <f aca="false">-1+C5748*0.25</f>
        <v>1</v>
      </c>
      <c r="H5748" s="0" t="n">
        <f aca="false">-1+D5748*0.25</f>
        <v>-0.75</v>
      </c>
      <c r="I5748" s="0" t="n">
        <f aca="false">1</f>
        <v>1</v>
      </c>
      <c r="J5748" s="0" t="n">
        <f aca="false">E5748</f>
        <v>0.75</v>
      </c>
      <c r="K5748" s="0" t="n">
        <f aca="false">F5748</f>
        <v>0.75</v>
      </c>
      <c r="L5748" s="0" t="n">
        <f aca="false">G5748</f>
        <v>1</v>
      </c>
      <c r="M5748" s="0" t="n">
        <f aca="false">H5748</f>
        <v>-0.75</v>
      </c>
      <c r="N5748" s="0" t="n">
        <f aca="false">E5748*F5748</f>
        <v>0.5625</v>
      </c>
      <c r="O5748" s="0" t="n">
        <f aca="false">E5748*G5748</f>
        <v>0.75</v>
      </c>
      <c r="P5748" s="0" t="n">
        <f aca="false">E5748*H5748</f>
        <v>-0.5625</v>
      </c>
      <c r="Q5748" s="0" t="n">
        <f aca="false">F5748*G5748</f>
        <v>0.75</v>
      </c>
      <c r="R5748" s="0" t="n">
        <f aca="false">F5748*H5748</f>
        <v>-0.5625</v>
      </c>
      <c r="S5748" s="0" t="n">
        <f aca="false">G5748*H5748</f>
        <v>-0.75</v>
      </c>
      <c r="T5748" s="0" t="n">
        <f aca="false">E5748*E5748</f>
        <v>0.5625</v>
      </c>
      <c r="U5748" s="0" t="n">
        <f aca="false">F5748*F5748</f>
        <v>0.5625</v>
      </c>
      <c r="V5748" s="0" t="n">
        <f aca="false">G5748*G5748</f>
        <v>1</v>
      </c>
      <c r="W5748" s="0" t="n">
        <f aca="false">H5748*H5748</f>
        <v>0.5625</v>
      </c>
      <c r="X5748" s="0" t="n">
        <f aca="false">SUMPRODUCT(I5748:W5748,_XtX!$B$96:$P$96)</f>
        <v>48.0724917763158</v>
      </c>
      <c r="Y5748" s="0" t="n">
        <f aca="false">SUMPRODUCT(MMULT(I5748:W5748,_XtX!$B$78:$P$92),I5748:W5748)</f>
        <v>0.420117473044591</v>
      </c>
      <c r="Z5748" s="0" t="n">
        <f aca="false">04_回帰ANOVA!$K$19*04_回帰ANOVA!$K$14*SQRT(1+Y5748)</f>
        <v>1.55331854827765</v>
      </c>
      <c r="AA5748" s="0" t="n">
        <f aca="false">X5748-Z5748</f>
        <v>46.5191732280382</v>
      </c>
      <c r="AB5748" s="0" t="n">
        <f aca="false">X5748+Z5748</f>
        <v>49.6258103245934</v>
      </c>
      <c r="AC5748" s="54" t="b">
        <f aca="false">AND(E5748&gt;=01_因子設定!$L$5-0.000000001,E5748&lt;=01_因子設定!$M$5+0.000000001,F5748&gt;=01_因子設定!$L$6-0.000000001,F5748&lt;=01_因子設定!$M$6+0.000000001,G5748&gt;=01_因子設定!$L$7-0.000000001,G5748&lt;=01_因子設定!$M$7+0.000000001,H5748&gt;=01_因子設定!$L$8-0.000000001,H5748&lt;=01_因子設定!$M$8+0.000000001,IF(01_因子設定!$B$20="Box-Behnken",E5748^2+F5748^2+G5748^2+H5748^2&lt;=2+0.000000001,TRUE()))</f>
        <v>1</v>
      </c>
      <c r="AD5748" s="55" t="n">
        <f aca="false">IF(AC5748,IF(01_因子設定!$B$13="最大化",AA5748-01_因子設定!$B$14,IF(01_因子設定!$B$13="最小化",01_因子設定!$B$15-AB5748,MIN(AA5748-01_因子設定!$B$14,01_因子設定!$B$15-AB5748))),-1E+030)</f>
        <v>0.0191732280381558</v>
      </c>
      <c r="AE5748" s="55" t="n">
        <f aca="false">IF(AC5748,IF(01_因子設定!$B$13="最大化",X5748,IF(01_因子設定!$B$13="最小化",-X5748,-ABS(X5748-01_因子設定!$B$16))),-1E+030)</f>
        <v>48.0724917763158</v>
      </c>
      <c r="AF5748" s="55" t="n">
        <f aca="false">AD5748+ROW()*0.000000001</f>
        <v>0.0191789760381558</v>
      </c>
      <c r="AG5748" s="55" t="n">
        <f aca="false">AE5748+ROW()*0.000000001</f>
        <v>48.0724975243158</v>
      </c>
    </row>
    <row r="5749" customFormat="false" ht="15" hidden="false" customHeight="false" outlineLevel="0" collapsed="false">
      <c r="A5749" s="0" t="n">
        <v>7</v>
      </c>
      <c r="B5749" s="0" t="n">
        <v>7</v>
      </c>
      <c r="C5749" s="0" t="n">
        <v>8</v>
      </c>
      <c r="D5749" s="0" t="n">
        <v>2</v>
      </c>
      <c r="E5749" s="0" t="n">
        <f aca="false">-1+A5749*0.25</f>
        <v>0.75</v>
      </c>
      <c r="F5749" s="0" t="n">
        <f aca="false">-1+B5749*0.25</f>
        <v>0.75</v>
      </c>
      <c r="G5749" s="0" t="n">
        <f aca="false">-1+C5749*0.25</f>
        <v>1</v>
      </c>
      <c r="H5749" s="0" t="n">
        <f aca="false">-1+D5749*0.25</f>
        <v>-0.5</v>
      </c>
      <c r="I5749" s="0" t="n">
        <f aca="false">1</f>
        <v>1</v>
      </c>
      <c r="J5749" s="0" t="n">
        <f aca="false">E5749</f>
        <v>0.75</v>
      </c>
      <c r="K5749" s="0" t="n">
        <f aca="false">F5749</f>
        <v>0.75</v>
      </c>
      <c r="L5749" s="0" t="n">
        <f aca="false">G5749</f>
        <v>1</v>
      </c>
      <c r="M5749" s="0" t="n">
        <f aca="false">H5749</f>
        <v>-0.5</v>
      </c>
      <c r="N5749" s="0" t="n">
        <f aca="false">E5749*F5749</f>
        <v>0.5625</v>
      </c>
      <c r="O5749" s="0" t="n">
        <f aca="false">E5749*G5749</f>
        <v>0.75</v>
      </c>
      <c r="P5749" s="0" t="n">
        <f aca="false">E5749*H5749</f>
        <v>-0.375</v>
      </c>
      <c r="Q5749" s="0" t="n">
        <f aca="false">F5749*G5749</f>
        <v>0.75</v>
      </c>
      <c r="R5749" s="0" t="n">
        <f aca="false">F5749*H5749</f>
        <v>-0.375</v>
      </c>
      <c r="S5749" s="0" t="n">
        <f aca="false">G5749*H5749</f>
        <v>-0.5</v>
      </c>
      <c r="T5749" s="0" t="n">
        <f aca="false">E5749*E5749</f>
        <v>0.5625</v>
      </c>
      <c r="U5749" s="0" t="n">
        <f aca="false">F5749*F5749</f>
        <v>0.5625</v>
      </c>
      <c r="V5749" s="0" t="n">
        <f aca="false">G5749*G5749</f>
        <v>1</v>
      </c>
      <c r="W5749" s="0" t="n">
        <f aca="false">H5749*H5749</f>
        <v>0.25</v>
      </c>
      <c r="X5749" s="0" t="n">
        <f aca="false">SUMPRODUCT(I5749:W5749,_XtX!$B$96:$P$96)</f>
        <v>48.3488669590643</v>
      </c>
      <c r="Y5749" s="0" t="n">
        <f aca="false">SUMPRODUCT(MMULT(I5749:W5749,_XtX!$B$78:$P$92),I5749:W5749)</f>
        <v>0.431153771472953</v>
      </c>
      <c r="Z5749" s="0" t="n">
        <f aca="false">04_回帰ANOVA!$K$19*04_回帰ANOVA!$K$14*SQRT(1+Y5749)</f>
        <v>1.55934259562563</v>
      </c>
      <c r="AA5749" s="0" t="n">
        <f aca="false">X5749-Z5749</f>
        <v>46.7895243634387</v>
      </c>
      <c r="AB5749" s="0" t="n">
        <f aca="false">X5749+Z5749</f>
        <v>49.90820955469</v>
      </c>
      <c r="AC5749" s="54" t="b">
        <f aca="false">AND(E5749&gt;=01_因子設定!$L$5-0.000000001,E5749&lt;=01_因子設定!$M$5+0.000000001,F5749&gt;=01_因子設定!$L$6-0.000000001,F5749&lt;=01_因子設定!$M$6+0.000000001,G5749&gt;=01_因子設定!$L$7-0.000000001,G5749&lt;=01_因子設定!$M$7+0.000000001,H5749&gt;=01_因子設定!$L$8-0.000000001,H5749&lt;=01_因子設定!$M$8+0.000000001,IF(01_因子設定!$B$20="Box-Behnken",E5749^2+F5749^2+G5749^2+H5749^2&lt;=2+0.000000001,TRUE()))</f>
        <v>1</v>
      </c>
      <c r="AD5749" s="55" t="n">
        <f aca="false">IF(AC5749,IF(01_因子設定!$B$13="最大化",AA5749-01_因子設定!$B$14,IF(01_因子設定!$B$13="最小化",01_因子設定!$B$15-AB5749,MIN(AA5749-01_因子設定!$B$14,01_因子設定!$B$15-AB5749))),-1E+030)</f>
        <v>0.289524363438694</v>
      </c>
      <c r="AE5749" s="55" t="n">
        <f aca="false">IF(AC5749,IF(01_因子設定!$B$13="最大化",X5749,IF(01_因子設定!$B$13="最小化",-X5749,-ABS(X5749-01_因子設定!$B$16))),-1E+030)</f>
        <v>48.3488669590643</v>
      </c>
      <c r="AF5749" s="55" t="n">
        <f aca="false">AD5749+ROW()*0.000000001</f>
        <v>0.289530112438694</v>
      </c>
      <c r="AG5749" s="55" t="n">
        <f aca="false">AE5749+ROW()*0.000000001</f>
        <v>48.3488727080643</v>
      </c>
    </row>
    <row r="5750" customFormat="false" ht="15" hidden="false" customHeight="false" outlineLevel="0" collapsed="false">
      <c r="A5750" s="0" t="n">
        <v>7</v>
      </c>
      <c r="B5750" s="0" t="n">
        <v>7</v>
      </c>
      <c r="C5750" s="0" t="n">
        <v>8</v>
      </c>
      <c r="D5750" s="0" t="n">
        <v>3</v>
      </c>
      <c r="E5750" s="0" t="n">
        <f aca="false">-1+A5750*0.25</f>
        <v>0.75</v>
      </c>
      <c r="F5750" s="0" t="n">
        <f aca="false">-1+B5750*0.25</f>
        <v>0.75</v>
      </c>
      <c r="G5750" s="0" t="n">
        <f aca="false">-1+C5750*0.25</f>
        <v>1</v>
      </c>
      <c r="H5750" s="0" t="n">
        <f aca="false">-1+D5750*0.25</f>
        <v>-0.25</v>
      </c>
      <c r="I5750" s="0" t="n">
        <f aca="false">1</f>
        <v>1</v>
      </c>
      <c r="J5750" s="0" t="n">
        <f aca="false">E5750</f>
        <v>0.75</v>
      </c>
      <c r="K5750" s="0" t="n">
        <f aca="false">F5750</f>
        <v>0.75</v>
      </c>
      <c r="L5750" s="0" t="n">
        <f aca="false">G5750</f>
        <v>1</v>
      </c>
      <c r="M5750" s="0" t="n">
        <f aca="false">H5750</f>
        <v>-0.25</v>
      </c>
      <c r="N5750" s="0" t="n">
        <f aca="false">E5750*F5750</f>
        <v>0.5625</v>
      </c>
      <c r="O5750" s="0" t="n">
        <f aca="false">E5750*G5750</f>
        <v>0.75</v>
      </c>
      <c r="P5750" s="0" t="n">
        <f aca="false">E5750*H5750</f>
        <v>-0.1875</v>
      </c>
      <c r="Q5750" s="0" t="n">
        <f aca="false">F5750*G5750</f>
        <v>0.75</v>
      </c>
      <c r="R5750" s="0" t="n">
        <f aca="false">F5750*H5750</f>
        <v>-0.1875</v>
      </c>
      <c r="S5750" s="0" t="n">
        <f aca="false">G5750*H5750</f>
        <v>-0.25</v>
      </c>
      <c r="T5750" s="0" t="n">
        <f aca="false">E5750*E5750</f>
        <v>0.5625</v>
      </c>
      <c r="U5750" s="0" t="n">
        <f aca="false">F5750*F5750</f>
        <v>0.5625</v>
      </c>
      <c r="V5750" s="0" t="n">
        <f aca="false">G5750*G5750</f>
        <v>1</v>
      </c>
      <c r="W5750" s="0" t="n">
        <f aca="false">H5750*H5750</f>
        <v>0.0625</v>
      </c>
      <c r="X5750" s="0" t="n">
        <f aca="false">SUMPRODUCT(I5750:W5750,_XtX!$B$96:$P$96)</f>
        <v>48.577435124269</v>
      </c>
      <c r="Y5750" s="0" t="n">
        <f aca="false">SUMPRODUCT(MMULT(I5750:W5750,_XtX!$B$78:$P$92),I5750:W5750)</f>
        <v>0.473959761056287</v>
      </c>
      <c r="Z5750" s="0" t="n">
        <f aca="false">04_回帰ANOVA!$K$19*04_回帰ANOVA!$K$14*SQRT(1+Y5750)</f>
        <v>1.58249084588329</v>
      </c>
      <c r="AA5750" s="0" t="n">
        <f aca="false">X5750-Z5750</f>
        <v>46.9949442783857</v>
      </c>
      <c r="AB5750" s="0" t="n">
        <f aca="false">X5750+Z5750</f>
        <v>50.1599259701523</v>
      </c>
      <c r="AC5750" s="54" t="b">
        <f aca="false">AND(E5750&gt;=01_因子設定!$L$5-0.000000001,E5750&lt;=01_因子設定!$M$5+0.000000001,F5750&gt;=01_因子設定!$L$6-0.000000001,F5750&lt;=01_因子設定!$M$6+0.000000001,G5750&gt;=01_因子設定!$L$7-0.000000001,G5750&lt;=01_因子設定!$M$7+0.000000001,H5750&gt;=01_因子設定!$L$8-0.000000001,H5750&lt;=01_因子設定!$M$8+0.000000001,IF(01_因子設定!$B$20="Box-Behnken",E5750^2+F5750^2+G5750^2+H5750^2&lt;=2+0.000000001,TRUE()))</f>
        <v>1</v>
      </c>
      <c r="AD5750" s="55" t="n">
        <f aca="false">IF(AC5750,IF(01_因子設定!$B$13="最大化",AA5750-01_因子設定!$B$14,IF(01_因子設定!$B$13="最小化",01_因子設定!$B$15-AB5750,MIN(AA5750-01_因子設定!$B$14,01_因子設定!$B$15-AB5750))),-1E+030)</f>
        <v>0.494944278385709</v>
      </c>
      <c r="AE5750" s="55" t="n">
        <f aca="false">IF(AC5750,IF(01_因子設定!$B$13="最大化",X5750,IF(01_因子設定!$B$13="最小化",-X5750,-ABS(X5750-01_因子設定!$B$16))),-1E+030)</f>
        <v>48.577435124269</v>
      </c>
      <c r="AF5750" s="55" t="n">
        <f aca="false">AD5750+ROW()*0.000000001</f>
        <v>0.494950028385709</v>
      </c>
      <c r="AG5750" s="55" t="n">
        <f aca="false">AE5750+ROW()*0.000000001</f>
        <v>48.577440874269</v>
      </c>
    </row>
    <row r="5751" customFormat="false" ht="15" hidden="false" customHeight="false" outlineLevel="0" collapsed="false">
      <c r="A5751" s="0" t="n">
        <v>7</v>
      </c>
      <c r="B5751" s="0" t="n">
        <v>7</v>
      </c>
      <c r="C5751" s="0" t="n">
        <v>8</v>
      </c>
      <c r="D5751" s="0" t="n">
        <v>4</v>
      </c>
      <c r="E5751" s="0" t="n">
        <f aca="false">-1+A5751*0.25</f>
        <v>0.75</v>
      </c>
      <c r="F5751" s="0" t="n">
        <f aca="false">-1+B5751*0.25</f>
        <v>0.75</v>
      </c>
      <c r="G5751" s="0" t="n">
        <f aca="false">-1+C5751*0.25</f>
        <v>1</v>
      </c>
      <c r="H5751" s="0" t="n">
        <f aca="false">-1+D5751*0.25</f>
        <v>0</v>
      </c>
      <c r="I5751" s="0" t="n">
        <f aca="false">1</f>
        <v>1</v>
      </c>
      <c r="J5751" s="0" t="n">
        <f aca="false">E5751</f>
        <v>0.75</v>
      </c>
      <c r="K5751" s="0" t="n">
        <f aca="false">F5751</f>
        <v>0.75</v>
      </c>
      <c r="L5751" s="0" t="n">
        <f aca="false">G5751</f>
        <v>1</v>
      </c>
      <c r="M5751" s="0" t="n">
        <f aca="false">H5751</f>
        <v>0</v>
      </c>
      <c r="N5751" s="0" t="n">
        <f aca="false">E5751*F5751</f>
        <v>0.5625</v>
      </c>
      <c r="O5751" s="0" t="n">
        <f aca="false">E5751*G5751</f>
        <v>0.75</v>
      </c>
      <c r="P5751" s="0" t="n">
        <f aca="false">E5751*H5751</f>
        <v>0</v>
      </c>
      <c r="Q5751" s="0" t="n">
        <f aca="false">F5751*G5751</f>
        <v>0.75</v>
      </c>
      <c r="R5751" s="0" t="n">
        <f aca="false">F5751*H5751</f>
        <v>0</v>
      </c>
      <c r="S5751" s="0" t="n">
        <f aca="false">G5751*H5751</f>
        <v>0</v>
      </c>
      <c r="T5751" s="0" t="n">
        <f aca="false">E5751*E5751</f>
        <v>0.5625</v>
      </c>
      <c r="U5751" s="0" t="n">
        <f aca="false">F5751*F5751</f>
        <v>0.5625</v>
      </c>
      <c r="V5751" s="0" t="n">
        <f aca="false">G5751*G5751</f>
        <v>1</v>
      </c>
      <c r="W5751" s="0" t="n">
        <f aca="false">H5751*H5751</f>
        <v>0</v>
      </c>
      <c r="X5751" s="0" t="n">
        <f aca="false">SUMPRODUCT(I5751:W5751,_XtX!$B$96:$P$96)</f>
        <v>48.7581962719298</v>
      </c>
      <c r="Y5751" s="0" t="n">
        <f aca="false">SUMPRODUCT(MMULT(I5751:W5751,_XtX!$B$78:$P$92),I5751:W5751)</f>
        <v>0.494259126005117</v>
      </c>
      <c r="Z5751" s="0" t="n">
        <f aca="false">04_回帰ANOVA!$K$19*04_回帰ANOVA!$K$14*SQRT(1+Y5751)</f>
        <v>1.59335061078203</v>
      </c>
      <c r="AA5751" s="0" t="n">
        <f aca="false">X5751-Z5751</f>
        <v>47.1648456611478</v>
      </c>
      <c r="AB5751" s="0" t="n">
        <f aca="false">X5751+Z5751</f>
        <v>50.3515468827118</v>
      </c>
      <c r="AC5751" s="54" t="b">
        <f aca="false">AND(E5751&gt;=01_因子設定!$L$5-0.000000001,E5751&lt;=01_因子設定!$M$5+0.000000001,F5751&gt;=01_因子設定!$L$6-0.000000001,F5751&lt;=01_因子設定!$M$6+0.000000001,G5751&gt;=01_因子設定!$L$7-0.000000001,G5751&lt;=01_因子設定!$M$7+0.000000001,H5751&gt;=01_因子設定!$L$8-0.000000001,H5751&lt;=01_因子設定!$M$8+0.000000001,IF(01_因子設定!$B$20="Box-Behnken",E5751^2+F5751^2+G5751^2+H5751^2&lt;=2+0.000000001,TRUE()))</f>
        <v>1</v>
      </c>
      <c r="AD5751" s="55" t="n">
        <f aca="false">IF(AC5751,IF(01_因子設定!$B$13="最大化",AA5751-01_因子設定!$B$14,IF(01_因子設定!$B$13="最小化",01_因子設定!$B$15-AB5751,MIN(AA5751-01_因子設定!$B$14,01_因子設定!$B$15-AB5751))),-1E+030)</f>
        <v>0.664845661147787</v>
      </c>
      <c r="AE5751" s="55" t="n">
        <f aca="false">IF(AC5751,IF(01_因子設定!$B$13="最大化",X5751,IF(01_因子設定!$B$13="最小化",-X5751,-ABS(X5751-01_因子設定!$B$16))),-1E+030)</f>
        <v>48.7581962719298</v>
      </c>
      <c r="AF5751" s="55" t="n">
        <f aca="false">AD5751+ROW()*0.000000001</f>
        <v>0.664851412147787</v>
      </c>
      <c r="AG5751" s="55" t="n">
        <f aca="false">AE5751+ROW()*0.000000001</f>
        <v>48.7582020229298</v>
      </c>
    </row>
    <row r="5752" customFormat="false" ht="15" hidden="false" customHeight="false" outlineLevel="0" collapsed="false">
      <c r="A5752" s="0" t="n">
        <v>7</v>
      </c>
      <c r="B5752" s="0" t="n">
        <v>7</v>
      </c>
      <c r="C5752" s="0" t="n">
        <v>8</v>
      </c>
      <c r="D5752" s="0" t="n">
        <v>5</v>
      </c>
      <c r="E5752" s="0" t="n">
        <f aca="false">-1+A5752*0.25</f>
        <v>0.75</v>
      </c>
      <c r="F5752" s="0" t="n">
        <f aca="false">-1+B5752*0.25</f>
        <v>0.75</v>
      </c>
      <c r="G5752" s="0" t="n">
        <f aca="false">-1+C5752*0.25</f>
        <v>1</v>
      </c>
      <c r="H5752" s="0" t="n">
        <f aca="false">-1+D5752*0.25</f>
        <v>0.25</v>
      </c>
      <c r="I5752" s="0" t="n">
        <f aca="false">1</f>
        <v>1</v>
      </c>
      <c r="J5752" s="0" t="n">
        <f aca="false">E5752</f>
        <v>0.75</v>
      </c>
      <c r="K5752" s="0" t="n">
        <f aca="false">F5752</f>
        <v>0.75</v>
      </c>
      <c r="L5752" s="0" t="n">
        <f aca="false">G5752</f>
        <v>1</v>
      </c>
      <c r="M5752" s="0" t="n">
        <f aca="false">H5752</f>
        <v>0.25</v>
      </c>
      <c r="N5752" s="0" t="n">
        <f aca="false">E5752*F5752</f>
        <v>0.5625</v>
      </c>
      <c r="O5752" s="0" t="n">
        <f aca="false">E5752*G5752</f>
        <v>0.75</v>
      </c>
      <c r="P5752" s="0" t="n">
        <f aca="false">E5752*H5752</f>
        <v>0.1875</v>
      </c>
      <c r="Q5752" s="0" t="n">
        <f aca="false">F5752*G5752</f>
        <v>0.75</v>
      </c>
      <c r="R5752" s="0" t="n">
        <f aca="false">F5752*H5752</f>
        <v>0.1875</v>
      </c>
      <c r="S5752" s="0" t="n">
        <f aca="false">G5752*H5752</f>
        <v>0.25</v>
      </c>
      <c r="T5752" s="0" t="n">
        <f aca="false">E5752*E5752</f>
        <v>0.5625</v>
      </c>
      <c r="U5752" s="0" t="n">
        <f aca="false">F5752*F5752</f>
        <v>0.5625</v>
      </c>
      <c r="V5752" s="0" t="n">
        <f aca="false">G5752*G5752</f>
        <v>1</v>
      </c>
      <c r="W5752" s="0" t="n">
        <f aca="false">H5752*H5752</f>
        <v>0.0625</v>
      </c>
      <c r="X5752" s="0" t="n">
        <f aca="false">SUMPRODUCT(I5752:W5752,_XtX!$B$96:$P$96)</f>
        <v>48.8911504020468</v>
      </c>
      <c r="Y5752" s="0" t="n">
        <f aca="false">SUMPRODUCT(MMULT(I5752:W5752,_XtX!$B$78:$P$92),I5752:W5752)</f>
        <v>0.473959761056287</v>
      </c>
      <c r="Z5752" s="0" t="n">
        <f aca="false">04_回帰ANOVA!$K$19*04_回帰ANOVA!$K$14*SQRT(1+Y5752)</f>
        <v>1.58249084588329</v>
      </c>
      <c r="AA5752" s="0" t="n">
        <f aca="false">X5752-Z5752</f>
        <v>47.3086595561635</v>
      </c>
      <c r="AB5752" s="0" t="n">
        <f aca="false">X5752+Z5752</f>
        <v>50.4736412479301</v>
      </c>
      <c r="AC5752" s="54" t="b">
        <f aca="false">AND(E5752&gt;=01_因子設定!$L$5-0.000000001,E5752&lt;=01_因子設定!$M$5+0.000000001,F5752&gt;=01_因子設定!$L$6-0.000000001,F5752&lt;=01_因子設定!$M$6+0.000000001,G5752&gt;=01_因子設定!$L$7-0.000000001,G5752&lt;=01_因子設定!$M$7+0.000000001,H5752&gt;=01_因子設定!$L$8-0.000000001,H5752&lt;=01_因子設定!$M$8+0.000000001,IF(01_因子設定!$B$20="Box-Behnken",E5752^2+F5752^2+G5752^2+H5752^2&lt;=2+0.000000001,TRUE()))</f>
        <v>1</v>
      </c>
      <c r="AD5752" s="55" t="n">
        <f aca="false">IF(AC5752,IF(01_因子設定!$B$13="最大化",AA5752-01_因子設定!$B$14,IF(01_因子設定!$B$13="最小化",01_因子設定!$B$15-AB5752,MIN(AA5752-01_因子設定!$B$14,01_因子設定!$B$15-AB5752))),-1E+030)</f>
        <v>0.808659556163491</v>
      </c>
      <c r="AE5752" s="55" t="n">
        <f aca="false">IF(AC5752,IF(01_因子設定!$B$13="最大化",X5752,IF(01_因子設定!$B$13="最小化",-X5752,-ABS(X5752-01_因子設定!$B$16))),-1E+030)</f>
        <v>48.8911504020468</v>
      </c>
      <c r="AF5752" s="55" t="n">
        <f aca="false">AD5752+ROW()*0.000000001</f>
        <v>0.808665308163491</v>
      </c>
      <c r="AG5752" s="55" t="n">
        <f aca="false">AE5752+ROW()*0.000000001</f>
        <v>48.8911561540468</v>
      </c>
    </row>
    <row r="5753" customFormat="false" ht="15" hidden="false" customHeight="false" outlineLevel="0" collapsed="false">
      <c r="A5753" s="0" t="n">
        <v>7</v>
      </c>
      <c r="B5753" s="0" t="n">
        <v>7</v>
      </c>
      <c r="C5753" s="0" t="n">
        <v>8</v>
      </c>
      <c r="D5753" s="0" t="n">
        <v>6</v>
      </c>
      <c r="E5753" s="0" t="n">
        <f aca="false">-1+A5753*0.25</f>
        <v>0.75</v>
      </c>
      <c r="F5753" s="0" t="n">
        <f aca="false">-1+B5753*0.25</f>
        <v>0.75</v>
      </c>
      <c r="G5753" s="0" t="n">
        <f aca="false">-1+C5753*0.25</f>
        <v>1</v>
      </c>
      <c r="H5753" s="0" t="n">
        <f aca="false">-1+D5753*0.25</f>
        <v>0.5</v>
      </c>
      <c r="I5753" s="0" t="n">
        <f aca="false">1</f>
        <v>1</v>
      </c>
      <c r="J5753" s="0" t="n">
        <f aca="false">E5753</f>
        <v>0.75</v>
      </c>
      <c r="K5753" s="0" t="n">
        <f aca="false">F5753</f>
        <v>0.75</v>
      </c>
      <c r="L5753" s="0" t="n">
        <f aca="false">G5753</f>
        <v>1</v>
      </c>
      <c r="M5753" s="0" t="n">
        <f aca="false">H5753</f>
        <v>0.5</v>
      </c>
      <c r="N5753" s="0" t="n">
        <f aca="false">E5753*F5753</f>
        <v>0.5625</v>
      </c>
      <c r="O5753" s="0" t="n">
        <f aca="false">E5753*G5753</f>
        <v>0.75</v>
      </c>
      <c r="P5753" s="0" t="n">
        <f aca="false">E5753*H5753</f>
        <v>0.375</v>
      </c>
      <c r="Q5753" s="0" t="n">
        <f aca="false">F5753*G5753</f>
        <v>0.75</v>
      </c>
      <c r="R5753" s="0" t="n">
        <f aca="false">F5753*H5753</f>
        <v>0.375</v>
      </c>
      <c r="S5753" s="0" t="n">
        <f aca="false">G5753*H5753</f>
        <v>0.5</v>
      </c>
      <c r="T5753" s="0" t="n">
        <f aca="false">E5753*E5753</f>
        <v>0.5625</v>
      </c>
      <c r="U5753" s="0" t="n">
        <f aca="false">F5753*F5753</f>
        <v>0.5625</v>
      </c>
      <c r="V5753" s="0" t="n">
        <f aca="false">G5753*G5753</f>
        <v>1</v>
      </c>
      <c r="W5753" s="0" t="n">
        <f aca="false">H5753*H5753</f>
        <v>0.25</v>
      </c>
      <c r="X5753" s="0" t="n">
        <f aca="false">SUMPRODUCT(I5753:W5753,_XtX!$B$96:$P$96)</f>
        <v>48.9762975146199</v>
      </c>
      <c r="Y5753" s="0" t="n">
        <f aca="false">SUMPRODUCT(MMULT(I5753:W5753,_XtX!$B$78:$P$92),I5753:W5753)</f>
        <v>0.431153771472953</v>
      </c>
      <c r="Z5753" s="0" t="n">
        <f aca="false">04_回帰ANOVA!$K$19*04_回帰ANOVA!$K$14*SQRT(1+Y5753)</f>
        <v>1.55934259562563</v>
      </c>
      <c r="AA5753" s="0" t="n">
        <f aca="false">X5753-Z5753</f>
        <v>47.4169549189943</v>
      </c>
      <c r="AB5753" s="0" t="n">
        <f aca="false">X5753+Z5753</f>
        <v>50.5356401102455</v>
      </c>
      <c r="AC5753" s="54" t="b">
        <f aca="false">AND(E5753&gt;=01_因子設定!$L$5-0.000000001,E5753&lt;=01_因子設定!$M$5+0.000000001,F5753&gt;=01_因子設定!$L$6-0.000000001,F5753&lt;=01_因子設定!$M$6+0.000000001,G5753&gt;=01_因子設定!$L$7-0.000000001,G5753&lt;=01_因子設定!$M$7+0.000000001,H5753&gt;=01_因子設定!$L$8-0.000000001,H5753&lt;=01_因子設定!$M$8+0.000000001,IF(01_因子設定!$B$20="Box-Behnken",E5753^2+F5753^2+G5753^2+H5753^2&lt;=2+0.000000001,TRUE()))</f>
        <v>1</v>
      </c>
      <c r="AD5753" s="55" t="n">
        <f aca="false">IF(AC5753,IF(01_因子設定!$B$13="最大化",AA5753-01_因子設定!$B$14,IF(01_因子設定!$B$13="最小化",01_因子設定!$B$15-AB5753,MIN(AA5753-01_因子設定!$B$14,01_因子設定!$B$15-AB5753))),-1E+030)</f>
        <v>0.91695491899425</v>
      </c>
      <c r="AE5753" s="55" t="n">
        <f aca="false">IF(AC5753,IF(01_因子設定!$B$13="最大化",X5753,IF(01_因子設定!$B$13="最小化",-X5753,-ABS(X5753-01_因子設定!$B$16))),-1E+030)</f>
        <v>48.9762975146199</v>
      </c>
      <c r="AF5753" s="55" t="n">
        <f aca="false">AD5753+ROW()*0.000000001</f>
        <v>0.91696067199425</v>
      </c>
      <c r="AG5753" s="55" t="n">
        <f aca="false">AE5753+ROW()*0.000000001</f>
        <v>48.9763032676199</v>
      </c>
    </row>
    <row r="5754" customFormat="false" ht="15" hidden="false" customHeight="false" outlineLevel="0" collapsed="false">
      <c r="A5754" s="0" t="n">
        <v>7</v>
      </c>
      <c r="B5754" s="0" t="n">
        <v>7</v>
      </c>
      <c r="C5754" s="0" t="n">
        <v>8</v>
      </c>
      <c r="D5754" s="0" t="n">
        <v>7</v>
      </c>
      <c r="E5754" s="0" t="n">
        <f aca="false">-1+A5754*0.25</f>
        <v>0.75</v>
      </c>
      <c r="F5754" s="0" t="n">
        <f aca="false">-1+B5754*0.25</f>
        <v>0.75</v>
      </c>
      <c r="G5754" s="0" t="n">
        <f aca="false">-1+C5754*0.25</f>
        <v>1</v>
      </c>
      <c r="H5754" s="0" t="n">
        <f aca="false">-1+D5754*0.25</f>
        <v>0.75</v>
      </c>
      <c r="I5754" s="0" t="n">
        <f aca="false">1</f>
        <v>1</v>
      </c>
      <c r="J5754" s="0" t="n">
        <f aca="false">E5754</f>
        <v>0.75</v>
      </c>
      <c r="K5754" s="0" t="n">
        <f aca="false">F5754</f>
        <v>0.75</v>
      </c>
      <c r="L5754" s="0" t="n">
        <f aca="false">G5754</f>
        <v>1</v>
      </c>
      <c r="M5754" s="0" t="n">
        <f aca="false">H5754</f>
        <v>0.75</v>
      </c>
      <c r="N5754" s="0" t="n">
        <f aca="false">E5754*F5754</f>
        <v>0.5625</v>
      </c>
      <c r="O5754" s="0" t="n">
        <f aca="false">E5754*G5754</f>
        <v>0.75</v>
      </c>
      <c r="P5754" s="0" t="n">
        <f aca="false">E5754*H5754</f>
        <v>0.5625</v>
      </c>
      <c r="Q5754" s="0" t="n">
        <f aca="false">F5754*G5754</f>
        <v>0.75</v>
      </c>
      <c r="R5754" s="0" t="n">
        <f aca="false">F5754*H5754</f>
        <v>0.5625</v>
      </c>
      <c r="S5754" s="0" t="n">
        <f aca="false">G5754*H5754</f>
        <v>0.75</v>
      </c>
      <c r="T5754" s="0" t="n">
        <f aca="false">E5754*E5754</f>
        <v>0.5625</v>
      </c>
      <c r="U5754" s="0" t="n">
        <f aca="false">F5754*F5754</f>
        <v>0.5625</v>
      </c>
      <c r="V5754" s="0" t="n">
        <f aca="false">G5754*G5754</f>
        <v>1</v>
      </c>
      <c r="W5754" s="0" t="n">
        <f aca="false">H5754*H5754</f>
        <v>0.5625</v>
      </c>
      <c r="X5754" s="0" t="n">
        <f aca="false">SUMPRODUCT(I5754:W5754,_XtX!$B$96:$P$96)</f>
        <v>49.0136376096491</v>
      </c>
      <c r="Y5754" s="0" t="n">
        <f aca="false">SUMPRODUCT(MMULT(I5754:W5754,_XtX!$B$78:$P$92),I5754:W5754)</f>
        <v>0.420117473044591</v>
      </c>
      <c r="Z5754" s="0" t="n">
        <f aca="false">04_回帰ANOVA!$K$19*04_回帰ANOVA!$K$14*SQRT(1+Y5754)</f>
        <v>1.55331854827765</v>
      </c>
      <c r="AA5754" s="0" t="n">
        <f aca="false">X5754-Z5754</f>
        <v>47.4603190613715</v>
      </c>
      <c r="AB5754" s="0" t="n">
        <f aca="false">X5754+Z5754</f>
        <v>50.5669561579268</v>
      </c>
      <c r="AC5754" s="54" t="b">
        <f aca="false">AND(E5754&gt;=01_因子設定!$L$5-0.000000001,E5754&lt;=01_因子設定!$M$5+0.000000001,F5754&gt;=01_因子設定!$L$6-0.000000001,F5754&lt;=01_因子設定!$M$6+0.000000001,G5754&gt;=01_因子設定!$L$7-0.000000001,G5754&lt;=01_因子設定!$M$7+0.000000001,H5754&gt;=01_因子設定!$L$8-0.000000001,H5754&lt;=01_因子設定!$M$8+0.000000001,IF(01_因子設定!$B$20="Box-Behnken",E5754^2+F5754^2+G5754^2+H5754^2&lt;=2+0.000000001,TRUE()))</f>
        <v>1</v>
      </c>
      <c r="AD5754" s="55" t="n">
        <f aca="false">IF(AC5754,IF(01_因子設定!$B$13="最大化",AA5754-01_因子設定!$B$14,IF(01_因子設定!$B$13="最小化",01_因子設定!$B$15-AB5754,MIN(AA5754-01_因子設定!$B$14,01_因子設定!$B$15-AB5754))),-1E+030)</f>
        <v>0.960319061371486</v>
      </c>
      <c r="AE5754" s="55" t="n">
        <f aca="false">IF(AC5754,IF(01_因子設定!$B$13="最大化",X5754,IF(01_因子設定!$B$13="最小化",-X5754,-ABS(X5754-01_因子設定!$B$16))),-1E+030)</f>
        <v>49.0136376096491</v>
      </c>
      <c r="AF5754" s="55" t="n">
        <f aca="false">AD5754+ROW()*0.000000001</f>
        <v>0.960324815371486</v>
      </c>
      <c r="AG5754" s="55" t="n">
        <f aca="false">AE5754+ROW()*0.000000001</f>
        <v>49.0136433636491</v>
      </c>
    </row>
    <row r="5755" customFormat="false" ht="15" hidden="false" customHeight="false" outlineLevel="0" collapsed="false">
      <c r="A5755" s="0" t="n">
        <v>7</v>
      </c>
      <c r="B5755" s="0" t="n">
        <v>7</v>
      </c>
      <c r="C5755" s="0" t="n">
        <v>8</v>
      </c>
      <c r="D5755" s="0" t="n">
        <v>8</v>
      </c>
      <c r="E5755" s="0" t="n">
        <f aca="false">-1+A5755*0.25</f>
        <v>0.75</v>
      </c>
      <c r="F5755" s="0" t="n">
        <f aca="false">-1+B5755*0.25</f>
        <v>0.75</v>
      </c>
      <c r="G5755" s="0" t="n">
        <f aca="false">-1+C5755*0.25</f>
        <v>1</v>
      </c>
      <c r="H5755" s="0" t="n">
        <f aca="false">-1+D5755*0.25</f>
        <v>1</v>
      </c>
      <c r="I5755" s="0" t="n">
        <f aca="false">1</f>
        <v>1</v>
      </c>
      <c r="J5755" s="0" t="n">
        <f aca="false">E5755</f>
        <v>0.75</v>
      </c>
      <c r="K5755" s="0" t="n">
        <f aca="false">F5755</f>
        <v>0.75</v>
      </c>
      <c r="L5755" s="0" t="n">
        <f aca="false">G5755</f>
        <v>1</v>
      </c>
      <c r="M5755" s="0" t="n">
        <f aca="false">H5755</f>
        <v>1</v>
      </c>
      <c r="N5755" s="0" t="n">
        <f aca="false">E5755*F5755</f>
        <v>0.5625</v>
      </c>
      <c r="O5755" s="0" t="n">
        <f aca="false">E5755*G5755</f>
        <v>0.75</v>
      </c>
      <c r="P5755" s="0" t="n">
        <f aca="false">E5755*H5755</f>
        <v>0.75</v>
      </c>
      <c r="Q5755" s="0" t="n">
        <f aca="false">F5755*G5755</f>
        <v>0.75</v>
      </c>
      <c r="R5755" s="0" t="n">
        <f aca="false">F5755*H5755</f>
        <v>0.75</v>
      </c>
      <c r="S5755" s="0" t="n">
        <f aca="false">G5755*H5755</f>
        <v>1</v>
      </c>
      <c r="T5755" s="0" t="n">
        <f aca="false">E5755*E5755</f>
        <v>0.5625</v>
      </c>
      <c r="U5755" s="0" t="n">
        <f aca="false">F5755*F5755</f>
        <v>0.5625</v>
      </c>
      <c r="V5755" s="0" t="n">
        <f aca="false">G5755*G5755</f>
        <v>1</v>
      </c>
      <c r="W5755" s="0" t="n">
        <f aca="false">H5755*H5755</f>
        <v>1</v>
      </c>
      <c r="X5755" s="0" t="n">
        <f aca="false">SUMPRODUCT(I5755:W5755,_XtX!$B$96:$P$96)</f>
        <v>49.0031706871345</v>
      </c>
      <c r="Y5755" s="0" t="n">
        <f aca="false">SUMPRODUCT(MMULT(I5755:W5755,_XtX!$B$78:$P$92),I5755:W5755)</f>
        <v>0.531311392086988</v>
      </c>
      <c r="Z5755" s="0" t="n">
        <f aca="false">04_回帰ANOVA!$K$19*04_回帰ANOVA!$K$14*SQRT(1+Y5755)</f>
        <v>1.61298433431428</v>
      </c>
      <c r="AA5755" s="0" t="n">
        <f aca="false">X5755-Z5755</f>
        <v>47.3901863528202</v>
      </c>
      <c r="AB5755" s="0" t="n">
        <f aca="false">X5755+Z5755</f>
        <v>50.6161550214488</v>
      </c>
      <c r="AC5755" s="54" t="b">
        <f aca="false">AND(E5755&gt;=01_因子設定!$L$5-0.000000001,E5755&lt;=01_因子設定!$M$5+0.000000001,F5755&gt;=01_因子設定!$L$6-0.000000001,F5755&lt;=01_因子設定!$M$6+0.000000001,G5755&gt;=01_因子設定!$L$7-0.000000001,G5755&lt;=01_因子設定!$M$7+0.000000001,H5755&gt;=01_因子設定!$L$8-0.000000001,H5755&lt;=01_因子設定!$M$8+0.000000001,IF(01_因子設定!$B$20="Box-Behnken",E5755^2+F5755^2+G5755^2+H5755^2&lt;=2+0.000000001,TRUE()))</f>
        <v>1</v>
      </c>
      <c r="AD5755" s="55" t="n">
        <f aca="false">IF(AC5755,IF(01_因子設定!$B$13="最大化",AA5755-01_因子設定!$B$14,IF(01_因子設定!$B$13="最小化",01_因子設定!$B$15-AB5755,MIN(AA5755-01_因子設定!$B$14,01_因子設定!$B$15-AB5755))),-1E+030)</f>
        <v>0.890186352820244</v>
      </c>
      <c r="AE5755" s="55" t="n">
        <f aca="false">IF(AC5755,IF(01_因子設定!$B$13="最大化",X5755,IF(01_因子設定!$B$13="最小化",-X5755,-ABS(X5755-01_因子設定!$B$16))),-1E+030)</f>
        <v>49.0031706871345</v>
      </c>
      <c r="AF5755" s="55" t="n">
        <f aca="false">AD5755+ROW()*0.000000001</f>
        <v>0.890192107820244</v>
      </c>
      <c r="AG5755" s="55" t="n">
        <f aca="false">AE5755+ROW()*0.000000001</f>
        <v>49.0031764421345</v>
      </c>
    </row>
    <row r="5756" customFormat="false" ht="15" hidden="false" customHeight="false" outlineLevel="0" collapsed="false">
      <c r="A5756" s="0" t="n">
        <v>7</v>
      </c>
      <c r="B5756" s="0" t="n">
        <v>8</v>
      </c>
      <c r="C5756" s="0" t="n">
        <v>0</v>
      </c>
      <c r="D5756" s="0" t="n">
        <v>0</v>
      </c>
      <c r="E5756" s="0" t="n">
        <f aca="false">-1+A5756*0.25</f>
        <v>0.75</v>
      </c>
      <c r="F5756" s="0" t="n">
        <f aca="false">-1+B5756*0.25</f>
        <v>1</v>
      </c>
      <c r="G5756" s="0" t="n">
        <f aca="false">-1+C5756*0.25</f>
        <v>-1</v>
      </c>
      <c r="H5756" s="0" t="n">
        <f aca="false">-1+D5756*0.25</f>
        <v>-1</v>
      </c>
      <c r="I5756" s="0" t="n">
        <f aca="false">1</f>
        <v>1</v>
      </c>
      <c r="J5756" s="0" t="n">
        <f aca="false">E5756</f>
        <v>0.75</v>
      </c>
      <c r="K5756" s="0" t="n">
        <f aca="false">F5756</f>
        <v>1</v>
      </c>
      <c r="L5756" s="0" t="n">
        <f aca="false">G5756</f>
        <v>-1</v>
      </c>
      <c r="M5756" s="0" t="n">
        <f aca="false">H5756</f>
        <v>-1</v>
      </c>
      <c r="N5756" s="0" t="n">
        <f aca="false">E5756*F5756</f>
        <v>0.75</v>
      </c>
      <c r="O5756" s="0" t="n">
        <f aca="false">E5756*G5756</f>
        <v>-0.75</v>
      </c>
      <c r="P5756" s="0" t="n">
        <f aca="false">E5756*H5756</f>
        <v>-0.75</v>
      </c>
      <c r="Q5756" s="0" t="n">
        <f aca="false">F5756*G5756</f>
        <v>-1</v>
      </c>
      <c r="R5756" s="0" t="n">
        <f aca="false">F5756*H5756</f>
        <v>-1</v>
      </c>
      <c r="S5756" s="0" t="n">
        <f aca="false">G5756*H5756</f>
        <v>1</v>
      </c>
      <c r="T5756" s="0" t="n">
        <f aca="false">E5756*E5756</f>
        <v>0.5625</v>
      </c>
      <c r="U5756" s="0" t="n">
        <f aca="false">F5756*F5756</f>
        <v>1</v>
      </c>
      <c r="V5756" s="0" t="n">
        <f aca="false">G5756*G5756</f>
        <v>1</v>
      </c>
      <c r="W5756" s="0" t="n">
        <f aca="false">H5756*H5756</f>
        <v>1</v>
      </c>
      <c r="X5756" s="0" t="n">
        <f aca="false">SUMPRODUCT(I5756:W5756,_XtX!$B$96:$P$96)</f>
        <v>46.4426169590644</v>
      </c>
      <c r="Y5756" s="0" t="n">
        <f aca="false">SUMPRODUCT(MMULT(I5756:W5756,_XtX!$B$78:$P$92),I5756:W5756)</f>
        <v>0.610814144736842</v>
      </c>
      <c r="Z5756" s="0" t="n">
        <f aca="false">04_回帰ANOVA!$K$19*04_回帰ANOVA!$K$14*SQRT(1+Y5756)</f>
        <v>1.6543260558361</v>
      </c>
      <c r="AA5756" s="0" t="n">
        <f aca="false">X5756-Z5756</f>
        <v>44.7882909032283</v>
      </c>
      <c r="AB5756" s="0" t="n">
        <f aca="false">X5756+Z5756</f>
        <v>48.0969430149005</v>
      </c>
      <c r="AC5756" s="54" t="b">
        <f aca="false">AND(E5756&gt;=01_因子設定!$L$5-0.000000001,E5756&lt;=01_因子設定!$M$5+0.000000001,F5756&gt;=01_因子設定!$L$6-0.000000001,F5756&lt;=01_因子設定!$M$6+0.000000001,G5756&gt;=01_因子設定!$L$7-0.000000001,G5756&lt;=01_因子設定!$M$7+0.000000001,H5756&gt;=01_因子設定!$L$8-0.000000001,H5756&lt;=01_因子設定!$M$8+0.000000001,IF(01_因子設定!$B$20="Box-Behnken",E5756^2+F5756^2+G5756^2+H5756^2&lt;=2+0.000000001,TRUE()))</f>
        <v>1</v>
      </c>
      <c r="AD5756" s="55" t="n">
        <f aca="false">IF(AC5756,IF(01_因子設定!$B$13="最大化",AA5756-01_因子設定!$B$14,IF(01_因子設定!$B$13="最小化",01_因子設定!$B$15-AB5756,MIN(AA5756-01_因子設定!$B$14,01_因子設定!$B$15-AB5756))),-1E+030)</f>
        <v>-1.71170909677174</v>
      </c>
      <c r="AE5756" s="55" t="n">
        <f aca="false">IF(AC5756,IF(01_因子設定!$B$13="最大化",X5756,IF(01_因子設定!$B$13="最小化",-X5756,-ABS(X5756-01_因子設定!$B$16))),-1E+030)</f>
        <v>46.4426169590644</v>
      </c>
      <c r="AF5756" s="55" t="n">
        <f aca="false">AD5756+ROW()*0.000000001</f>
        <v>-1.71170334077174</v>
      </c>
      <c r="AG5756" s="55" t="n">
        <f aca="false">AE5756+ROW()*0.000000001</f>
        <v>46.4426227150644</v>
      </c>
    </row>
    <row r="5757" customFormat="false" ht="15" hidden="false" customHeight="false" outlineLevel="0" collapsed="false">
      <c r="A5757" s="0" t="n">
        <v>7</v>
      </c>
      <c r="B5757" s="0" t="n">
        <v>8</v>
      </c>
      <c r="C5757" s="0" t="n">
        <v>0</v>
      </c>
      <c r="D5757" s="0" t="n">
        <v>1</v>
      </c>
      <c r="E5757" s="0" t="n">
        <f aca="false">-1+A5757*0.25</f>
        <v>0.75</v>
      </c>
      <c r="F5757" s="0" t="n">
        <f aca="false">-1+B5757*0.25</f>
        <v>1</v>
      </c>
      <c r="G5757" s="0" t="n">
        <f aca="false">-1+C5757*0.25</f>
        <v>-1</v>
      </c>
      <c r="H5757" s="0" t="n">
        <f aca="false">-1+D5757*0.25</f>
        <v>-0.75</v>
      </c>
      <c r="I5757" s="0" t="n">
        <f aca="false">1</f>
        <v>1</v>
      </c>
      <c r="J5757" s="0" t="n">
        <f aca="false">E5757</f>
        <v>0.75</v>
      </c>
      <c r="K5757" s="0" t="n">
        <f aca="false">F5757</f>
        <v>1</v>
      </c>
      <c r="L5757" s="0" t="n">
        <f aca="false">G5757</f>
        <v>-1</v>
      </c>
      <c r="M5757" s="0" t="n">
        <f aca="false">H5757</f>
        <v>-0.75</v>
      </c>
      <c r="N5757" s="0" t="n">
        <f aca="false">E5757*F5757</f>
        <v>0.75</v>
      </c>
      <c r="O5757" s="0" t="n">
        <f aca="false">E5757*G5757</f>
        <v>-0.75</v>
      </c>
      <c r="P5757" s="0" t="n">
        <f aca="false">E5757*H5757</f>
        <v>-0.5625</v>
      </c>
      <c r="Q5757" s="0" t="n">
        <f aca="false">F5757*G5757</f>
        <v>-1</v>
      </c>
      <c r="R5757" s="0" t="n">
        <f aca="false">F5757*H5757</f>
        <v>-0.75</v>
      </c>
      <c r="S5757" s="0" t="n">
        <f aca="false">G5757*H5757</f>
        <v>0.75</v>
      </c>
      <c r="T5757" s="0" t="n">
        <f aca="false">E5757*E5757</f>
        <v>0.5625</v>
      </c>
      <c r="U5757" s="0" t="n">
        <f aca="false">F5757*F5757</f>
        <v>1</v>
      </c>
      <c r="V5757" s="0" t="n">
        <f aca="false">G5757*G5757</f>
        <v>1</v>
      </c>
      <c r="W5757" s="0" t="n">
        <f aca="false">H5757*H5757</f>
        <v>0.5625</v>
      </c>
      <c r="X5757" s="0" t="n">
        <f aca="false">SUMPRODUCT(I5757:W5757,_XtX!$B$96:$P$96)</f>
        <v>46.6097679093567</v>
      </c>
      <c r="Y5757" s="0" t="n">
        <f aca="false">SUMPRODUCT(MMULT(I5757:W5757,_XtX!$B$78:$P$92),I5757:W5757)</f>
        <v>0.531311392086988</v>
      </c>
      <c r="Z5757" s="0" t="n">
        <f aca="false">04_回帰ANOVA!$K$19*04_回帰ANOVA!$K$14*SQRT(1+Y5757)</f>
        <v>1.61298433431428</v>
      </c>
      <c r="AA5757" s="0" t="n">
        <f aca="false">X5757-Z5757</f>
        <v>44.9967835750425</v>
      </c>
      <c r="AB5757" s="0" t="n">
        <f aca="false">X5757+Z5757</f>
        <v>48.222752243671</v>
      </c>
      <c r="AC5757" s="54" t="b">
        <f aca="false">AND(E5757&gt;=01_因子設定!$L$5-0.000000001,E5757&lt;=01_因子設定!$M$5+0.000000001,F5757&gt;=01_因子設定!$L$6-0.000000001,F5757&lt;=01_因子設定!$M$6+0.000000001,G5757&gt;=01_因子設定!$L$7-0.000000001,G5757&lt;=01_因子設定!$M$7+0.000000001,H5757&gt;=01_因子設定!$L$8-0.000000001,H5757&lt;=01_因子設定!$M$8+0.000000001,IF(01_因子設定!$B$20="Box-Behnken",E5757^2+F5757^2+G5757^2+H5757^2&lt;=2+0.000000001,TRUE()))</f>
        <v>1</v>
      </c>
      <c r="AD5757" s="55" t="n">
        <f aca="false">IF(AC5757,IF(01_因子設定!$B$13="最大化",AA5757-01_因子設定!$B$14,IF(01_因子設定!$B$13="最小化",01_因子設定!$B$15-AB5757,MIN(AA5757-01_因子設定!$B$14,01_因子設定!$B$15-AB5757))),-1E+030)</f>
        <v>-1.50321642495755</v>
      </c>
      <c r="AE5757" s="55" t="n">
        <f aca="false">IF(AC5757,IF(01_因子設定!$B$13="最大化",X5757,IF(01_因子設定!$B$13="最小化",-X5757,-ABS(X5757-01_因子設定!$B$16))),-1E+030)</f>
        <v>46.6097679093567</v>
      </c>
      <c r="AF5757" s="55" t="n">
        <f aca="false">AD5757+ROW()*0.000000001</f>
        <v>-1.50321066795755</v>
      </c>
      <c r="AG5757" s="55" t="n">
        <f aca="false">AE5757+ROW()*0.000000001</f>
        <v>46.6097736663567</v>
      </c>
    </row>
    <row r="5758" customFormat="false" ht="15" hidden="false" customHeight="false" outlineLevel="0" collapsed="false">
      <c r="A5758" s="0" t="n">
        <v>7</v>
      </c>
      <c r="B5758" s="0" t="n">
        <v>8</v>
      </c>
      <c r="C5758" s="0" t="n">
        <v>0</v>
      </c>
      <c r="D5758" s="0" t="n">
        <v>2</v>
      </c>
      <c r="E5758" s="0" t="n">
        <f aca="false">-1+A5758*0.25</f>
        <v>0.75</v>
      </c>
      <c r="F5758" s="0" t="n">
        <f aca="false">-1+B5758*0.25</f>
        <v>1</v>
      </c>
      <c r="G5758" s="0" t="n">
        <f aca="false">-1+C5758*0.25</f>
        <v>-1</v>
      </c>
      <c r="H5758" s="0" t="n">
        <f aca="false">-1+D5758*0.25</f>
        <v>-0.5</v>
      </c>
      <c r="I5758" s="0" t="n">
        <f aca="false">1</f>
        <v>1</v>
      </c>
      <c r="J5758" s="0" t="n">
        <f aca="false">E5758</f>
        <v>0.75</v>
      </c>
      <c r="K5758" s="0" t="n">
        <f aca="false">F5758</f>
        <v>1</v>
      </c>
      <c r="L5758" s="0" t="n">
        <f aca="false">G5758</f>
        <v>-1</v>
      </c>
      <c r="M5758" s="0" t="n">
        <f aca="false">H5758</f>
        <v>-0.5</v>
      </c>
      <c r="N5758" s="0" t="n">
        <f aca="false">E5758*F5758</f>
        <v>0.75</v>
      </c>
      <c r="O5758" s="0" t="n">
        <f aca="false">E5758*G5758</f>
        <v>-0.75</v>
      </c>
      <c r="P5758" s="0" t="n">
        <f aca="false">E5758*H5758</f>
        <v>-0.375</v>
      </c>
      <c r="Q5758" s="0" t="n">
        <f aca="false">F5758*G5758</f>
        <v>-1</v>
      </c>
      <c r="R5758" s="0" t="n">
        <f aca="false">F5758*H5758</f>
        <v>-0.5</v>
      </c>
      <c r="S5758" s="0" t="n">
        <f aca="false">G5758*H5758</f>
        <v>0.5</v>
      </c>
      <c r="T5758" s="0" t="n">
        <f aca="false">E5758*E5758</f>
        <v>0.5625</v>
      </c>
      <c r="U5758" s="0" t="n">
        <f aca="false">F5758*F5758</f>
        <v>1</v>
      </c>
      <c r="V5758" s="0" t="n">
        <f aca="false">G5758*G5758</f>
        <v>1</v>
      </c>
      <c r="W5758" s="0" t="n">
        <f aca="false">H5758*H5758</f>
        <v>0.25</v>
      </c>
      <c r="X5758" s="0" t="n">
        <f aca="false">SUMPRODUCT(I5758:W5758,_XtX!$B$96:$P$96)</f>
        <v>46.7291118421053</v>
      </c>
      <c r="Y5758" s="0" t="n">
        <f aca="false">SUMPRODUCT(MMULT(I5758:W5758,_XtX!$B$78:$P$92),I5758:W5758)</f>
        <v>0.564984237938597</v>
      </c>
      <c r="Z5758" s="0" t="n">
        <f aca="false">04_回帰ANOVA!$K$19*04_回帰ANOVA!$K$14*SQRT(1+Y5758)</f>
        <v>1.63062229734503</v>
      </c>
      <c r="AA5758" s="0" t="n">
        <f aca="false">X5758-Z5758</f>
        <v>45.0984895447602</v>
      </c>
      <c r="AB5758" s="0" t="n">
        <f aca="false">X5758+Z5758</f>
        <v>48.3597341394503</v>
      </c>
      <c r="AC5758" s="54" t="b">
        <f aca="false">AND(E5758&gt;=01_因子設定!$L$5-0.000000001,E5758&lt;=01_因子設定!$M$5+0.000000001,F5758&gt;=01_因子設定!$L$6-0.000000001,F5758&lt;=01_因子設定!$M$6+0.000000001,G5758&gt;=01_因子設定!$L$7-0.000000001,G5758&lt;=01_因子設定!$M$7+0.000000001,H5758&gt;=01_因子設定!$L$8-0.000000001,H5758&lt;=01_因子設定!$M$8+0.000000001,IF(01_因子設定!$B$20="Box-Behnken",E5758^2+F5758^2+G5758^2+H5758^2&lt;=2+0.000000001,TRUE()))</f>
        <v>1</v>
      </c>
      <c r="AD5758" s="55" t="n">
        <f aca="false">IF(AC5758,IF(01_因子設定!$B$13="最大化",AA5758-01_因子設定!$B$14,IF(01_因子設定!$B$13="最小化",01_因子設定!$B$15-AB5758,MIN(AA5758-01_因子設定!$B$14,01_因子設定!$B$15-AB5758))),-1E+030)</f>
        <v>-1.40151045523977</v>
      </c>
      <c r="AE5758" s="55" t="n">
        <f aca="false">IF(AC5758,IF(01_因子設定!$B$13="最大化",X5758,IF(01_因子設定!$B$13="最小化",-X5758,-ABS(X5758-01_因子設定!$B$16))),-1E+030)</f>
        <v>46.7291118421053</v>
      </c>
      <c r="AF5758" s="55" t="n">
        <f aca="false">AD5758+ROW()*0.000000001</f>
        <v>-1.40150469723977</v>
      </c>
      <c r="AG5758" s="55" t="n">
        <f aca="false">AE5758+ROW()*0.000000001</f>
        <v>46.7291176001053</v>
      </c>
    </row>
    <row r="5759" customFormat="false" ht="15" hidden="false" customHeight="false" outlineLevel="0" collapsed="false">
      <c r="A5759" s="0" t="n">
        <v>7</v>
      </c>
      <c r="B5759" s="0" t="n">
        <v>8</v>
      </c>
      <c r="C5759" s="0" t="n">
        <v>0</v>
      </c>
      <c r="D5759" s="0" t="n">
        <v>3</v>
      </c>
      <c r="E5759" s="0" t="n">
        <f aca="false">-1+A5759*0.25</f>
        <v>0.75</v>
      </c>
      <c r="F5759" s="0" t="n">
        <f aca="false">-1+B5759*0.25</f>
        <v>1</v>
      </c>
      <c r="G5759" s="0" t="n">
        <f aca="false">-1+C5759*0.25</f>
        <v>-1</v>
      </c>
      <c r="H5759" s="0" t="n">
        <f aca="false">-1+D5759*0.25</f>
        <v>-0.25</v>
      </c>
      <c r="I5759" s="0" t="n">
        <f aca="false">1</f>
        <v>1</v>
      </c>
      <c r="J5759" s="0" t="n">
        <f aca="false">E5759</f>
        <v>0.75</v>
      </c>
      <c r="K5759" s="0" t="n">
        <f aca="false">F5759</f>
        <v>1</v>
      </c>
      <c r="L5759" s="0" t="n">
        <f aca="false">G5759</f>
        <v>-1</v>
      </c>
      <c r="M5759" s="0" t="n">
        <f aca="false">H5759</f>
        <v>-0.25</v>
      </c>
      <c r="N5759" s="0" t="n">
        <f aca="false">E5759*F5759</f>
        <v>0.75</v>
      </c>
      <c r="O5759" s="0" t="n">
        <f aca="false">E5759*G5759</f>
        <v>-0.75</v>
      </c>
      <c r="P5759" s="0" t="n">
        <f aca="false">E5759*H5759</f>
        <v>-0.1875</v>
      </c>
      <c r="Q5759" s="0" t="n">
        <f aca="false">F5759*G5759</f>
        <v>-1</v>
      </c>
      <c r="R5759" s="0" t="n">
        <f aca="false">F5759*H5759</f>
        <v>-0.25</v>
      </c>
      <c r="S5759" s="0" t="n">
        <f aca="false">G5759*H5759</f>
        <v>0.25</v>
      </c>
      <c r="T5759" s="0" t="n">
        <f aca="false">E5759*E5759</f>
        <v>0.5625</v>
      </c>
      <c r="U5759" s="0" t="n">
        <f aca="false">F5759*F5759</f>
        <v>1</v>
      </c>
      <c r="V5759" s="0" t="n">
        <f aca="false">G5759*G5759</f>
        <v>1</v>
      </c>
      <c r="W5759" s="0" t="n">
        <f aca="false">H5759*H5759</f>
        <v>0.0625</v>
      </c>
      <c r="X5759" s="0" t="n">
        <f aca="false">SUMPRODUCT(I5759:W5759,_XtX!$B$96:$P$96)</f>
        <v>46.8006487573099</v>
      </c>
      <c r="Y5759" s="0" t="n">
        <f aca="false">SUMPRODUCT(MMULT(I5759:W5759,_XtX!$B$78:$P$92),I5759:W5759)</f>
        <v>0.621372155975877</v>
      </c>
      <c r="Z5759" s="0" t="n">
        <f aca="false">04_回帰ANOVA!$K$19*04_回帰ANOVA!$K$14*SQRT(1+Y5759)</f>
        <v>1.65973880499872</v>
      </c>
      <c r="AA5759" s="0" t="n">
        <f aca="false">X5759-Z5759</f>
        <v>45.1409099523112</v>
      </c>
      <c r="AB5759" s="0" t="n">
        <f aca="false">X5759+Z5759</f>
        <v>48.4603875623087</v>
      </c>
      <c r="AC5759" s="54" t="b">
        <f aca="false">AND(E5759&gt;=01_因子設定!$L$5-0.000000001,E5759&lt;=01_因子設定!$M$5+0.000000001,F5759&gt;=01_因子設定!$L$6-0.000000001,F5759&lt;=01_因子設定!$M$6+0.000000001,G5759&gt;=01_因子設定!$L$7-0.000000001,G5759&lt;=01_因子設定!$M$7+0.000000001,H5759&gt;=01_因子設定!$L$8-0.000000001,H5759&lt;=01_因子設定!$M$8+0.000000001,IF(01_因子設定!$B$20="Box-Behnken",E5759^2+F5759^2+G5759^2+H5759^2&lt;=2+0.000000001,TRUE()))</f>
        <v>1</v>
      </c>
      <c r="AD5759" s="55" t="n">
        <f aca="false">IF(AC5759,IF(01_因子設定!$B$13="最大化",AA5759-01_因子設定!$B$14,IF(01_因子設定!$B$13="最小化",01_因子設定!$B$15-AB5759,MIN(AA5759-01_因子設定!$B$14,01_因子設定!$B$15-AB5759))),-1E+030)</f>
        <v>-1.35909004768879</v>
      </c>
      <c r="AE5759" s="55" t="n">
        <f aca="false">IF(AC5759,IF(01_因子設定!$B$13="最大化",X5759,IF(01_因子設定!$B$13="最小化",-X5759,-ABS(X5759-01_因子設定!$B$16))),-1E+030)</f>
        <v>46.8006487573099</v>
      </c>
      <c r="AF5759" s="55" t="n">
        <f aca="false">AD5759+ROW()*0.000000001</f>
        <v>-1.35908428868879</v>
      </c>
      <c r="AG5759" s="55" t="n">
        <f aca="false">AE5759+ROW()*0.000000001</f>
        <v>46.8006545163099</v>
      </c>
    </row>
    <row r="5760" customFormat="false" ht="15" hidden="false" customHeight="false" outlineLevel="0" collapsed="false">
      <c r="A5760" s="0" t="n">
        <v>7</v>
      </c>
      <c r="B5760" s="0" t="n">
        <v>8</v>
      </c>
      <c r="C5760" s="0" t="n">
        <v>0</v>
      </c>
      <c r="D5760" s="0" t="n">
        <v>4</v>
      </c>
      <c r="E5760" s="0" t="n">
        <f aca="false">-1+A5760*0.25</f>
        <v>0.75</v>
      </c>
      <c r="F5760" s="0" t="n">
        <f aca="false">-1+B5760*0.25</f>
        <v>1</v>
      </c>
      <c r="G5760" s="0" t="n">
        <f aca="false">-1+C5760*0.25</f>
        <v>-1</v>
      </c>
      <c r="H5760" s="0" t="n">
        <f aca="false">-1+D5760*0.25</f>
        <v>0</v>
      </c>
      <c r="I5760" s="0" t="n">
        <f aca="false">1</f>
        <v>1</v>
      </c>
      <c r="J5760" s="0" t="n">
        <f aca="false">E5760</f>
        <v>0.75</v>
      </c>
      <c r="K5760" s="0" t="n">
        <f aca="false">F5760</f>
        <v>1</v>
      </c>
      <c r="L5760" s="0" t="n">
        <f aca="false">G5760</f>
        <v>-1</v>
      </c>
      <c r="M5760" s="0" t="n">
        <f aca="false">H5760</f>
        <v>0</v>
      </c>
      <c r="N5760" s="0" t="n">
        <f aca="false">E5760*F5760</f>
        <v>0.75</v>
      </c>
      <c r="O5760" s="0" t="n">
        <f aca="false">E5760*G5760</f>
        <v>-0.75</v>
      </c>
      <c r="P5760" s="0" t="n">
        <f aca="false">E5760*H5760</f>
        <v>0</v>
      </c>
      <c r="Q5760" s="0" t="n">
        <f aca="false">F5760*G5760</f>
        <v>-1</v>
      </c>
      <c r="R5760" s="0" t="n">
        <f aca="false">F5760*H5760</f>
        <v>0</v>
      </c>
      <c r="S5760" s="0" t="n">
        <f aca="false">G5760*H5760</f>
        <v>-0</v>
      </c>
      <c r="T5760" s="0" t="n">
        <f aca="false">E5760*E5760</f>
        <v>0.5625</v>
      </c>
      <c r="U5760" s="0" t="n">
        <f aca="false">F5760*F5760</f>
        <v>1</v>
      </c>
      <c r="V5760" s="0" t="n">
        <f aca="false">G5760*G5760</f>
        <v>1</v>
      </c>
      <c r="W5760" s="0" t="n">
        <f aca="false">H5760*H5760</f>
        <v>0</v>
      </c>
      <c r="X5760" s="0" t="n">
        <f aca="false">SUMPRODUCT(I5760:W5760,_XtX!$B$96:$P$96)</f>
        <v>46.8243786549708</v>
      </c>
      <c r="Y5760" s="0" t="n">
        <f aca="false">SUMPRODUCT(MMULT(I5760:W5760,_XtX!$B$78:$P$92),I5760:W5760)</f>
        <v>0.646198830409357</v>
      </c>
      <c r="Z5760" s="0" t="n">
        <f aca="false">04_回帰ANOVA!$K$19*04_回帰ANOVA!$K$14*SQRT(1+Y5760)</f>
        <v>1.67239760569756</v>
      </c>
      <c r="AA5760" s="0" t="n">
        <f aca="false">X5760-Z5760</f>
        <v>45.1519810492732</v>
      </c>
      <c r="AB5760" s="0" t="n">
        <f aca="false">X5760+Z5760</f>
        <v>48.4967762606683</v>
      </c>
      <c r="AC5760" s="54" t="b">
        <f aca="false">AND(E5760&gt;=01_因子設定!$L$5-0.000000001,E5760&lt;=01_因子設定!$M$5+0.000000001,F5760&gt;=01_因子設定!$L$6-0.000000001,F5760&lt;=01_因子設定!$M$6+0.000000001,G5760&gt;=01_因子設定!$L$7-0.000000001,G5760&lt;=01_因子設定!$M$7+0.000000001,H5760&gt;=01_因子設定!$L$8-0.000000001,H5760&lt;=01_因子設定!$M$8+0.000000001,IF(01_因子設定!$B$20="Box-Behnken",E5760^2+F5760^2+G5760^2+H5760^2&lt;=2+0.000000001,TRUE()))</f>
        <v>1</v>
      </c>
      <c r="AD5760" s="55" t="n">
        <f aca="false">IF(AC5760,IF(01_因子設定!$B$13="最大化",AA5760-01_因子設定!$B$14,IF(01_因子設定!$B$13="最小化",01_因子設定!$B$15-AB5760,MIN(AA5760-01_因子設定!$B$14,01_因子設定!$B$15-AB5760))),-1E+030)</f>
        <v>-1.3480189507268</v>
      </c>
      <c r="AE5760" s="55" t="n">
        <f aca="false">IF(AC5760,IF(01_因子設定!$B$13="最大化",X5760,IF(01_因子設定!$B$13="最小化",-X5760,-ABS(X5760-01_因子設定!$B$16))),-1E+030)</f>
        <v>46.8243786549708</v>
      </c>
      <c r="AF5760" s="55" t="n">
        <f aca="false">AD5760+ROW()*0.000000001</f>
        <v>-1.3480131907268</v>
      </c>
      <c r="AG5760" s="55" t="n">
        <f aca="false">AE5760+ROW()*0.000000001</f>
        <v>46.8243844149708</v>
      </c>
    </row>
    <row r="5761" customFormat="false" ht="15" hidden="false" customHeight="false" outlineLevel="0" collapsed="false">
      <c r="A5761" s="0" t="n">
        <v>7</v>
      </c>
      <c r="B5761" s="0" t="n">
        <v>8</v>
      </c>
      <c r="C5761" s="0" t="n">
        <v>0</v>
      </c>
      <c r="D5761" s="0" t="n">
        <v>5</v>
      </c>
      <c r="E5761" s="0" t="n">
        <f aca="false">-1+A5761*0.25</f>
        <v>0.75</v>
      </c>
      <c r="F5761" s="0" t="n">
        <f aca="false">-1+B5761*0.25</f>
        <v>1</v>
      </c>
      <c r="G5761" s="0" t="n">
        <f aca="false">-1+C5761*0.25</f>
        <v>-1</v>
      </c>
      <c r="H5761" s="0" t="n">
        <f aca="false">-1+D5761*0.25</f>
        <v>0.25</v>
      </c>
      <c r="I5761" s="0" t="n">
        <f aca="false">1</f>
        <v>1</v>
      </c>
      <c r="J5761" s="0" t="n">
        <f aca="false">E5761</f>
        <v>0.75</v>
      </c>
      <c r="K5761" s="0" t="n">
        <f aca="false">F5761</f>
        <v>1</v>
      </c>
      <c r="L5761" s="0" t="n">
        <f aca="false">G5761</f>
        <v>-1</v>
      </c>
      <c r="M5761" s="0" t="n">
        <f aca="false">H5761</f>
        <v>0.25</v>
      </c>
      <c r="N5761" s="0" t="n">
        <f aca="false">E5761*F5761</f>
        <v>0.75</v>
      </c>
      <c r="O5761" s="0" t="n">
        <f aca="false">E5761*G5761</f>
        <v>-0.75</v>
      </c>
      <c r="P5761" s="0" t="n">
        <f aca="false">E5761*H5761</f>
        <v>0.1875</v>
      </c>
      <c r="Q5761" s="0" t="n">
        <f aca="false">F5761*G5761</f>
        <v>-1</v>
      </c>
      <c r="R5761" s="0" t="n">
        <f aca="false">F5761*H5761</f>
        <v>0.25</v>
      </c>
      <c r="S5761" s="0" t="n">
        <f aca="false">G5761*H5761</f>
        <v>-0.25</v>
      </c>
      <c r="T5761" s="0" t="n">
        <f aca="false">E5761*E5761</f>
        <v>0.5625</v>
      </c>
      <c r="U5761" s="0" t="n">
        <f aca="false">F5761*F5761</f>
        <v>1</v>
      </c>
      <c r="V5761" s="0" t="n">
        <f aca="false">G5761*G5761</f>
        <v>1</v>
      </c>
      <c r="W5761" s="0" t="n">
        <f aca="false">H5761*H5761</f>
        <v>0.0625</v>
      </c>
      <c r="X5761" s="0" t="n">
        <f aca="false">SUMPRODUCT(I5761:W5761,_XtX!$B$96:$P$96)</f>
        <v>46.8003015350877</v>
      </c>
      <c r="Y5761" s="0" t="n">
        <f aca="false">SUMPRODUCT(MMULT(I5761:W5761,_XtX!$B$78:$P$92),I5761:W5761)</f>
        <v>0.621372155975877</v>
      </c>
      <c r="Z5761" s="0" t="n">
        <f aca="false">04_回帰ANOVA!$K$19*04_回帰ANOVA!$K$14*SQRT(1+Y5761)</f>
        <v>1.65973880499872</v>
      </c>
      <c r="AA5761" s="0" t="n">
        <f aca="false">X5761-Z5761</f>
        <v>45.140562730089</v>
      </c>
      <c r="AB5761" s="0" t="n">
        <f aca="false">X5761+Z5761</f>
        <v>48.4600403400864</v>
      </c>
      <c r="AC5761" s="54" t="b">
        <f aca="false">AND(E5761&gt;=01_因子設定!$L$5-0.000000001,E5761&lt;=01_因子設定!$M$5+0.000000001,F5761&gt;=01_因子設定!$L$6-0.000000001,F5761&lt;=01_因子設定!$M$6+0.000000001,G5761&gt;=01_因子設定!$L$7-0.000000001,G5761&lt;=01_因子設定!$M$7+0.000000001,H5761&gt;=01_因子設定!$L$8-0.000000001,H5761&lt;=01_因子設定!$M$8+0.000000001,IF(01_因子設定!$B$20="Box-Behnken",E5761^2+F5761^2+G5761^2+H5761^2&lt;=2+0.000000001,TRUE()))</f>
        <v>1</v>
      </c>
      <c r="AD5761" s="55" t="n">
        <f aca="false">IF(AC5761,IF(01_因子設定!$B$13="最大化",AA5761-01_因子設定!$B$14,IF(01_因子設定!$B$13="最小化",01_因子設定!$B$15-AB5761,MIN(AA5761-01_因子設定!$B$14,01_因子設定!$B$15-AB5761))),-1E+030)</f>
        <v>-1.35943726991101</v>
      </c>
      <c r="AE5761" s="55" t="n">
        <f aca="false">IF(AC5761,IF(01_因子設定!$B$13="最大化",X5761,IF(01_因子設定!$B$13="最小化",-X5761,-ABS(X5761-01_因子設定!$B$16))),-1E+030)</f>
        <v>46.8003015350877</v>
      </c>
      <c r="AF5761" s="55" t="n">
        <f aca="false">AD5761+ROW()*0.000000001</f>
        <v>-1.35943150891101</v>
      </c>
      <c r="AG5761" s="55" t="n">
        <f aca="false">AE5761+ROW()*0.000000001</f>
        <v>46.8003072960877</v>
      </c>
    </row>
    <row r="5762" customFormat="false" ht="15" hidden="false" customHeight="false" outlineLevel="0" collapsed="false">
      <c r="A5762" s="0" t="n">
        <v>7</v>
      </c>
      <c r="B5762" s="0" t="n">
        <v>8</v>
      </c>
      <c r="C5762" s="0" t="n">
        <v>0</v>
      </c>
      <c r="D5762" s="0" t="n">
        <v>6</v>
      </c>
      <c r="E5762" s="0" t="n">
        <f aca="false">-1+A5762*0.25</f>
        <v>0.75</v>
      </c>
      <c r="F5762" s="0" t="n">
        <f aca="false">-1+B5762*0.25</f>
        <v>1</v>
      </c>
      <c r="G5762" s="0" t="n">
        <f aca="false">-1+C5762*0.25</f>
        <v>-1</v>
      </c>
      <c r="H5762" s="0" t="n">
        <f aca="false">-1+D5762*0.25</f>
        <v>0.5</v>
      </c>
      <c r="I5762" s="0" t="n">
        <f aca="false">1</f>
        <v>1</v>
      </c>
      <c r="J5762" s="0" t="n">
        <f aca="false">E5762</f>
        <v>0.75</v>
      </c>
      <c r="K5762" s="0" t="n">
        <f aca="false">F5762</f>
        <v>1</v>
      </c>
      <c r="L5762" s="0" t="n">
        <f aca="false">G5762</f>
        <v>-1</v>
      </c>
      <c r="M5762" s="0" t="n">
        <f aca="false">H5762</f>
        <v>0.5</v>
      </c>
      <c r="N5762" s="0" t="n">
        <f aca="false">E5762*F5762</f>
        <v>0.75</v>
      </c>
      <c r="O5762" s="0" t="n">
        <f aca="false">E5762*G5762</f>
        <v>-0.75</v>
      </c>
      <c r="P5762" s="0" t="n">
        <f aca="false">E5762*H5762</f>
        <v>0.375</v>
      </c>
      <c r="Q5762" s="0" t="n">
        <f aca="false">F5762*G5762</f>
        <v>-1</v>
      </c>
      <c r="R5762" s="0" t="n">
        <f aca="false">F5762*H5762</f>
        <v>0.5</v>
      </c>
      <c r="S5762" s="0" t="n">
        <f aca="false">G5762*H5762</f>
        <v>-0.5</v>
      </c>
      <c r="T5762" s="0" t="n">
        <f aca="false">E5762*E5762</f>
        <v>0.5625</v>
      </c>
      <c r="U5762" s="0" t="n">
        <f aca="false">F5762*F5762</f>
        <v>1</v>
      </c>
      <c r="V5762" s="0" t="n">
        <f aca="false">G5762*G5762</f>
        <v>1</v>
      </c>
      <c r="W5762" s="0" t="n">
        <f aca="false">H5762*H5762</f>
        <v>0.25</v>
      </c>
      <c r="X5762" s="0" t="n">
        <f aca="false">SUMPRODUCT(I5762:W5762,_XtX!$B$96:$P$96)</f>
        <v>46.7284173976608</v>
      </c>
      <c r="Y5762" s="0" t="n">
        <f aca="false">SUMPRODUCT(MMULT(I5762:W5762,_XtX!$B$78:$P$92),I5762:W5762)</f>
        <v>0.564984237938597</v>
      </c>
      <c r="Z5762" s="0" t="n">
        <f aca="false">04_回帰ANOVA!$K$19*04_回帰ANOVA!$K$14*SQRT(1+Y5762)</f>
        <v>1.63062229734503</v>
      </c>
      <c r="AA5762" s="0" t="n">
        <f aca="false">X5762-Z5762</f>
        <v>45.0977951003158</v>
      </c>
      <c r="AB5762" s="0" t="n">
        <f aca="false">X5762+Z5762</f>
        <v>48.3590396950059</v>
      </c>
      <c r="AC5762" s="54" t="b">
        <f aca="false">AND(E5762&gt;=01_因子設定!$L$5-0.000000001,E5762&lt;=01_因子設定!$M$5+0.000000001,F5762&gt;=01_因子設定!$L$6-0.000000001,F5762&lt;=01_因子設定!$M$6+0.000000001,G5762&gt;=01_因子設定!$L$7-0.000000001,G5762&lt;=01_因子設定!$M$7+0.000000001,H5762&gt;=01_因子設定!$L$8-0.000000001,H5762&lt;=01_因子設定!$M$8+0.000000001,IF(01_因子設定!$B$20="Box-Behnken",E5762^2+F5762^2+G5762^2+H5762^2&lt;=2+0.000000001,TRUE()))</f>
        <v>1</v>
      </c>
      <c r="AD5762" s="55" t="n">
        <f aca="false">IF(AC5762,IF(01_因子設定!$B$13="最大化",AA5762-01_因子設定!$B$14,IF(01_因子設定!$B$13="最小化",01_因子設定!$B$15-AB5762,MIN(AA5762-01_因子設定!$B$14,01_因子設定!$B$15-AB5762))),-1E+030)</f>
        <v>-1.40220489968422</v>
      </c>
      <c r="AE5762" s="55" t="n">
        <f aca="false">IF(AC5762,IF(01_因子設定!$B$13="最大化",X5762,IF(01_因子設定!$B$13="最小化",-X5762,-ABS(X5762-01_因子設定!$B$16))),-1E+030)</f>
        <v>46.7284173976608</v>
      </c>
      <c r="AF5762" s="55" t="n">
        <f aca="false">AD5762+ROW()*0.000000001</f>
        <v>-1.40219913768422</v>
      </c>
      <c r="AG5762" s="55" t="n">
        <f aca="false">AE5762+ROW()*0.000000001</f>
        <v>46.7284231596608</v>
      </c>
    </row>
    <row r="5763" customFormat="false" ht="15" hidden="false" customHeight="false" outlineLevel="0" collapsed="false">
      <c r="A5763" s="0" t="n">
        <v>7</v>
      </c>
      <c r="B5763" s="0" t="n">
        <v>8</v>
      </c>
      <c r="C5763" s="0" t="n">
        <v>0</v>
      </c>
      <c r="D5763" s="0" t="n">
        <v>7</v>
      </c>
      <c r="E5763" s="0" t="n">
        <f aca="false">-1+A5763*0.25</f>
        <v>0.75</v>
      </c>
      <c r="F5763" s="0" t="n">
        <f aca="false">-1+B5763*0.25</f>
        <v>1</v>
      </c>
      <c r="G5763" s="0" t="n">
        <f aca="false">-1+C5763*0.25</f>
        <v>-1</v>
      </c>
      <c r="H5763" s="0" t="n">
        <f aca="false">-1+D5763*0.25</f>
        <v>0.75</v>
      </c>
      <c r="I5763" s="0" t="n">
        <f aca="false">1</f>
        <v>1</v>
      </c>
      <c r="J5763" s="0" t="n">
        <f aca="false">E5763</f>
        <v>0.75</v>
      </c>
      <c r="K5763" s="0" t="n">
        <f aca="false">F5763</f>
        <v>1</v>
      </c>
      <c r="L5763" s="0" t="n">
        <f aca="false">G5763</f>
        <v>-1</v>
      </c>
      <c r="M5763" s="0" t="n">
        <f aca="false">H5763</f>
        <v>0.75</v>
      </c>
      <c r="N5763" s="0" t="n">
        <f aca="false">E5763*F5763</f>
        <v>0.75</v>
      </c>
      <c r="O5763" s="0" t="n">
        <f aca="false">E5763*G5763</f>
        <v>-0.75</v>
      </c>
      <c r="P5763" s="0" t="n">
        <f aca="false">E5763*H5763</f>
        <v>0.5625</v>
      </c>
      <c r="Q5763" s="0" t="n">
        <f aca="false">F5763*G5763</f>
        <v>-1</v>
      </c>
      <c r="R5763" s="0" t="n">
        <f aca="false">F5763*H5763</f>
        <v>0.75</v>
      </c>
      <c r="S5763" s="0" t="n">
        <f aca="false">G5763*H5763</f>
        <v>-0.75</v>
      </c>
      <c r="T5763" s="0" t="n">
        <f aca="false">E5763*E5763</f>
        <v>0.5625</v>
      </c>
      <c r="U5763" s="0" t="n">
        <f aca="false">F5763*F5763</f>
        <v>1</v>
      </c>
      <c r="V5763" s="0" t="n">
        <f aca="false">G5763*G5763</f>
        <v>1</v>
      </c>
      <c r="W5763" s="0" t="n">
        <f aca="false">H5763*H5763</f>
        <v>0.5625</v>
      </c>
      <c r="X5763" s="0" t="n">
        <f aca="false">SUMPRODUCT(I5763:W5763,_XtX!$B$96:$P$96)</f>
        <v>46.6087262426901</v>
      </c>
      <c r="Y5763" s="0" t="n">
        <f aca="false">SUMPRODUCT(MMULT(I5763:W5763,_XtX!$B$78:$P$92),I5763:W5763)</f>
        <v>0.531311392086988</v>
      </c>
      <c r="Z5763" s="0" t="n">
        <f aca="false">04_回帰ANOVA!$K$19*04_回帰ANOVA!$K$14*SQRT(1+Y5763)</f>
        <v>1.61298433431428</v>
      </c>
      <c r="AA5763" s="0" t="n">
        <f aca="false">X5763-Z5763</f>
        <v>44.9957419083758</v>
      </c>
      <c r="AB5763" s="0" t="n">
        <f aca="false">X5763+Z5763</f>
        <v>48.2217105770044</v>
      </c>
      <c r="AC5763" s="54" t="b">
        <f aca="false">AND(E5763&gt;=01_因子設定!$L$5-0.000000001,E5763&lt;=01_因子設定!$M$5+0.000000001,F5763&gt;=01_因子設定!$L$6-0.000000001,F5763&lt;=01_因子設定!$M$6+0.000000001,G5763&gt;=01_因子設定!$L$7-0.000000001,G5763&lt;=01_因子設定!$M$7+0.000000001,H5763&gt;=01_因子設定!$L$8-0.000000001,H5763&lt;=01_因子設定!$M$8+0.000000001,IF(01_因子設定!$B$20="Box-Behnken",E5763^2+F5763^2+G5763^2+H5763^2&lt;=2+0.000000001,TRUE()))</f>
        <v>1</v>
      </c>
      <c r="AD5763" s="55" t="n">
        <f aca="false">IF(AC5763,IF(01_因子設定!$B$13="最大化",AA5763-01_因子設定!$B$14,IF(01_因子設定!$B$13="最小化",01_因子設定!$B$15-AB5763,MIN(AA5763-01_因子設定!$B$14,01_因子設定!$B$15-AB5763))),-1E+030)</f>
        <v>-1.50425809162422</v>
      </c>
      <c r="AE5763" s="55" t="n">
        <f aca="false">IF(AC5763,IF(01_因子設定!$B$13="最大化",X5763,IF(01_因子設定!$B$13="最小化",-X5763,-ABS(X5763-01_因子設定!$B$16))),-1E+030)</f>
        <v>46.6087262426901</v>
      </c>
      <c r="AF5763" s="55" t="n">
        <f aca="false">AD5763+ROW()*0.000000001</f>
        <v>-1.50425232862422</v>
      </c>
      <c r="AG5763" s="55" t="n">
        <f aca="false">AE5763+ROW()*0.000000001</f>
        <v>46.6087320056901</v>
      </c>
    </row>
    <row r="5764" customFormat="false" ht="15" hidden="false" customHeight="false" outlineLevel="0" collapsed="false">
      <c r="A5764" s="0" t="n">
        <v>7</v>
      </c>
      <c r="B5764" s="0" t="n">
        <v>8</v>
      </c>
      <c r="C5764" s="0" t="n">
        <v>0</v>
      </c>
      <c r="D5764" s="0" t="n">
        <v>8</v>
      </c>
      <c r="E5764" s="0" t="n">
        <f aca="false">-1+A5764*0.25</f>
        <v>0.75</v>
      </c>
      <c r="F5764" s="0" t="n">
        <f aca="false">-1+B5764*0.25</f>
        <v>1</v>
      </c>
      <c r="G5764" s="0" t="n">
        <f aca="false">-1+C5764*0.25</f>
        <v>-1</v>
      </c>
      <c r="H5764" s="0" t="n">
        <f aca="false">-1+D5764*0.25</f>
        <v>1</v>
      </c>
      <c r="I5764" s="0" t="n">
        <f aca="false">1</f>
        <v>1</v>
      </c>
      <c r="J5764" s="0" t="n">
        <f aca="false">E5764</f>
        <v>0.75</v>
      </c>
      <c r="K5764" s="0" t="n">
        <f aca="false">F5764</f>
        <v>1</v>
      </c>
      <c r="L5764" s="0" t="n">
        <f aca="false">G5764</f>
        <v>-1</v>
      </c>
      <c r="M5764" s="0" t="n">
        <f aca="false">H5764</f>
        <v>1</v>
      </c>
      <c r="N5764" s="0" t="n">
        <f aca="false">E5764*F5764</f>
        <v>0.75</v>
      </c>
      <c r="O5764" s="0" t="n">
        <f aca="false">E5764*G5764</f>
        <v>-0.75</v>
      </c>
      <c r="P5764" s="0" t="n">
        <f aca="false">E5764*H5764</f>
        <v>0.75</v>
      </c>
      <c r="Q5764" s="0" t="n">
        <f aca="false">F5764*G5764</f>
        <v>-1</v>
      </c>
      <c r="R5764" s="0" t="n">
        <f aca="false">F5764*H5764</f>
        <v>1</v>
      </c>
      <c r="S5764" s="0" t="n">
        <f aca="false">G5764*H5764</f>
        <v>-1</v>
      </c>
      <c r="T5764" s="0" t="n">
        <f aca="false">E5764*E5764</f>
        <v>0.5625</v>
      </c>
      <c r="U5764" s="0" t="n">
        <f aca="false">F5764*F5764</f>
        <v>1</v>
      </c>
      <c r="V5764" s="0" t="n">
        <f aca="false">G5764*G5764</f>
        <v>1</v>
      </c>
      <c r="W5764" s="0" t="n">
        <f aca="false">H5764*H5764</f>
        <v>1</v>
      </c>
      <c r="X5764" s="0" t="n">
        <f aca="false">SUMPRODUCT(I5764:W5764,_XtX!$B$96:$P$96)</f>
        <v>46.4412280701755</v>
      </c>
      <c r="Y5764" s="0" t="n">
        <f aca="false">SUMPRODUCT(MMULT(I5764:W5764,_XtX!$B$78:$P$92),I5764:W5764)</f>
        <v>0.610814144736842</v>
      </c>
      <c r="Z5764" s="0" t="n">
        <f aca="false">04_回帰ANOVA!$K$19*04_回帰ANOVA!$K$14*SQRT(1+Y5764)</f>
        <v>1.6543260558361</v>
      </c>
      <c r="AA5764" s="0" t="n">
        <f aca="false">X5764-Z5764</f>
        <v>44.7869020143394</v>
      </c>
      <c r="AB5764" s="0" t="n">
        <f aca="false">X5764+Z5764</f>
        <v>48.0955541260116</v>
      </c>
      <c r="AC5764" s="54" t="b">
        <f aca="false">AND(E5764&gt;=01_因子設定!$L$5-0.000000001,E5764&lt;=01_因子設定!$M$5+0.000000001,F5764&gt;=01_因子設定!$L$6-0.000000001,F5764&lt;=01_因子設定!$M$6+0.000000001,G5764&gt;=01_因子設定!$L$7-0.000000001,G5764&lt;=01_因子設定!$M$7+0.000000001,H5764&gt;=01_因子設定!$L$8-0.000000001,H5764&lt;=01_因子設定!$M$8+0.000000001,IF(01_因子設定!$B$20="Box-Behnken",E5764^2+F5764^2+G5764^2+H5764^2&lt;=2+0.000000001,TRUE()))</f>
        <v>1</v>
      </c>
      <c r="AD5764" s="55" t="n">
        <f aca="false">IF(AC5764,IF(01_因子設定!$B$13="最大化",AA5764-01_因子設定!$B$14,IF(01_因子設定!$B$13="最小化",01_因子設定!$B$15-AB5764,MIN(AA5764-01_因子設定!$B$14,01_因子設定!$B$15-AB5764))),-1E+030)</f>
        <v>-1.71309798566063</v>
      </c>
      <c r="AE5764" s="55" t="n">
        <f aca="false">IF(AC5764,IF(01_因子設定!$B$13="最大化",X5764,IF(01_因子設定!$B$13="最小化",-X5764,-ABS(X5764-01_因子設定!$B$16))),-1E+030)</f>
        <v>46.4412280701755</v>
      </c>
      <c r="AF5764" s="55" t="n">
        <f aca="false">AD5764+ROW()*0.000000001</f>
        <v>-1.71309222166063</v>
      </c>
      <c r="AG5764" s="55" t="n">
        <f aca="false">AE5764+ROW()*0.000000001</f>
        <v>46.4412338341755</v>
      </c>
    </row>
    <row r="5765" customFormat="false" ht="15" hidden="false" customHeight="false" outlineLevel="0" collapsed="false">
      <c r="A5765" s="0" t="n">
        <v>7</v>
      </c>
      <c r="B5765" s="0" t="n">
        <v>8</v>
      </c>
      <c r="C5765" s="0" t="n">
        <v>1</v>
      </c>
      <c r="D5765" s="0" t="n">
        <v>0</v>
      </c>
      <c r="E5765" s="0" t="n">
        <f aca="false">-1+A5765*0.25</f>
        <v>0.75</v>
      </c>
      <c r="F5765" s="0" t="n">
        <f aca="false">-1+B5765*0.25</f>
        <v>1</v>
      </c>
      <c r="G5765" s="0" t="n">
        <f aca="false">-1+C5765*0.25</f>
        <v>-0.75</v>
      </c>
      <c r="H5765" s="0" t="n">
        <f aca="false">-1+D5765*0.25</f>
        <v>-1</v>
      </c>
      <c r="I5765" s="0" t="n">
        <f aca="false">1</f>
        <v>1</v>
      </c>
      <c r="J5765" s="0" t="n">
        <f aca="false">E5765</f>
        <v>0.75</v>
      </c>
      <c r="K5765" s="0" t="n">
        <f aca="false">F5765</f>
        <v>1</v>
      </c>
      <c r="L5765" s="0" t="n">
        <f aca="false">G5765</f>
        <v>-0.75</v>
      </c>
      <c r="M5765" s="0" t="n">
        <f aca="false">H5765</f>
        <v>-1</v>
      </c>
      <c r="N5765" s="0" t="n">
        <f aca="false">E5765*F5765</f>
        <v>0.75</v>
      </c>
      <c r="O5765" s="0" t="n">
        <f aca="false">E5765*G5765</f>
        <v>-0.5625</v>
      </c>
      <c r="P5765" s="0" t="n">
        <f aca="false">E5765*H5765</f>
        <v>-0.75</v>
      </c>
      <c r="Q5765" s="0" t="n">
        <f aca="false">F5765*G5765</f>
        <v>-0.75</v>
      </c>
      <c r="R5765" s="0" t="n">
        <f aca="false">F5765*H5765</f>
        <v>-1</v>
      </c>
      <c r="S5765" s="0" t="n">
        <f aca="false">G5765*H5765</f>
        <v>0.75</v>
      </c>
      <c r="T5765" s="0" t="n">
        <f aca="false">E5765*E5765</f>
        <v>0.5625</v>
      </c>
      <c r="U5765" s="0" t="n">
        <f aca="false">F5765*F5765</f>
        <v>1</v>
      </c>
      <c r="V5765" s="0" t="n">
        <f aca="false">G5765*G5765</f>
        <v>0.5625</v>
      </c>
      <c r="W5765" s="0" t="n">
        <f aca="false">H5765*H5765</f>
        <v>1</v>
      </c>
      <c r="X5765" s="0" t="n">
        <f aca="false">SUMPRODUCT(I5765:W5765,_XtX!$B$96:$P$96)</f>
        <v>46.8713998538012</v>
      </c>
      <c r="Y5765" s="0" t="n">
        <f aca="false">SUMPRODUCT(MMULT(I5765:W5765,_XtX!$B$78:$P$92),I5765:W5765)</f>
        <v>0.531311392086988</v>
      </c>
      <c r="Z5765" s="0" t="n">
        <f aca="false">04_回帰ANOVA!$K$19*04_回帰ANOVA!$K$14*SQRT(1+Y5765)</f>
        <v>1.61298433431428</v>
      </c>
      <c r="AA5765" s="0" t="n">
        <f aca="false">X5765-Z5765</f>
        <v>45.2584155194869</v>
      </c>
      <c r="AB5765" s="0" t="n">
        <f aca="false">X5765+Z5765</f>
        <v>48.4843841881155</v>
      </c>
      <c r="AC5765" s="54" t="b">
        <f aca="false">AND(E5765&gt;=01_因子設定!$L$5-0.000000001,E5765&lt;=01_因子設定!$M$5+0.000000001,F5765&gt;=01_因子設定!$L$6-0.000000001,F5765&lt;=01_因子設定!$M$6+0.000000001,G5765&gt;=01_因子設定!$L$7-0.000000001,G5765&lt;=01_因子設定!$M$7+0.000000001,H5765&gt;=01_因子設定!$L$8-0.000000001,H5765&lt;=01_因子設定!$M$8+0.000000001,IF(01_因子設定!$B$20="Box-Behnken",E5765^2+F5765^2+G5765^2+H5765^2&lt;=2+0.000000001,TRUE()))</f>
        <v>1</v>
      </c>
      <c r="AD5765" s="55" t="n">
        <f aca="false">IF(AC5765,IF(01_因子設定!$B$13="最大化",AA5765-01_因子設定!$B$14,IF(01_因子設定!$B$13="最小化",01_因子設定!$B$15-AB5765,MIN(AA5765-01_因子設定!$B$14,01_因子設定!$B$15-AB5765))),-1E+030)</f>
        <v>-1.24158448051309</v>
      </c>
      <c r="AE5765" s="55" t="n">
        <f aca="false">IF(AC5765,IF(01_因子設定!$B$13="最大化",X5765,IF(01_因子設定!$B$13="最小化",-X5765,-ABS(X5765-01_因子設定!$B$16))),-1E+030)</f>
        <v>46.8713998538012</v>
      </c>
      <c r="AF5765" s="55" t="n">
        <f aca="false">AD5765+ROW()*0.000000001</f>
        <v>-1.24157871551309</v>
      </c>
      <c r="AG5765" s="55" t="n">
        <f aca="false">AE5765+ROW()*0.000000001</f>
        <v>46.8714056188012</v>
      </c>
    </row>
    <row r="5766" customFormat="false" ht="15" hidden="false" customHeight="false" outlineLevel="0" collapsed="false">
      <c r="A5766" s="0" t="n">
        <v>7</v>
      </c>
      <c r="B5766" s="0" t="n">
        <v>8</v>
      </c>
      <c r="C5766" s="0" t="n">
        <v>1</v>
      </c>
      <c r="D5766" s="0" t="n">
        <v>1</v>
      </c>
      <c r="E5766" s="0" t="n">
        <f aca="false">-1+A5766*0.25</f>
        <v>0.75</v>
      </c>
      <c r="F5766" s="0" t="n">
        <f aca="false">-1+B5766*0.25</f>
        <v>1</v>
      </c>
      <c r="G5766" s="0" t="n">
        <f aca="false">-1+C5766*0.25</f>
        <v>-0.75</v>
      </c>
      <c r="H5766" s="0" t="n">
        <f aca="false">-1+D5766*0.25</f>
        <v>-0.75</v>
      </c>
      <c r="I5766" s="0" t="n">
        <f aca="false">1</f>
        <v>1</v>
      </c>
      <c r="J5766" s="0" t="n">
        <f aca="false">E5766</f>
        <v>0.75</v>
      </c>
      <c r="K5766" s="0" t="n">
        <f aca="false">F5766</f>
        <v>1</v>
      </c>
      <c r="L5766" s="0" t="n">
        <f aca="false">G5766</f>
        <v>-0.75</v>
      </c>
      <c r="M5766" s="0" t="n">
        <f aca="false">H5766</f>
        <v>-0.75</v>
      </c>
      <c r="N5766" s="0" t="n">
        <f aca="false">E5766*F5766</f>
        <v>0.75</v>
      </c>
      <c r="O5766" s="0" t="n">
        <f aca="false">E5766*G5766</f>
        <v>-0.5625</v>
      </c>
      <c r="P5766" s="0" t="n">
        <f aca="false">E5766*H5766</f>
        <v>-0.5625</v>
      </c>
      <c r="Q5766" s="0" t="n">
        <f aca="false">F5766*G5766</f>
        <v>-0.75</v>
      </c>
      <c r="R5766" s="0" t="n">
        <f aca="false">F5766*H5766</f>
        <v>-0.75</v>
      </c>
      <c r="S5766" s="0" t="n">
        <f aca="false">G5766*H5766</f>
        <v>0.5625</v>
      </c>
      <c r="T5766" s="0" t="n">
        <f aca="false">E5766*E5766</f>
        <v>0.5625</v>
      </c>
      <c r="U5766" s="0" t="n">
        <f aca="false">F5766*F5766</f>
        <v>1</v>
      </c>
      <c r="V5766" s="0" t="n">
        <f aca="false">G5766*G5766</f>
        <v>0.5625</v>
      </c>
      <c r="W5766" s="0" t="n">
        <f aca="false">H5766*H5766</f>
        <v>0.5625</v>
      </c>
      <c r="X5766" s="0" t="n">
        <f aca="false">SUMPRODUCT(I5766:W5766,_XtX!$B$96:$P$96)</f>
        <v>47.0565195540936</v>
      </c>
      <c r="Y5766" s="0" t="n">
        <f aca="false">SUMPRODUCT(MMULT(I5766:W5766,_XtX!$B$78:$P$92),I5766:W5766)</f>
        <v>0.420117473044591</v>
      </c>
      <c r="Z5766" s="0" t="n">
        <f aca="false">04_回帰ANOVA!$K$19*04_回帰ANOVA!$K$14*SQRT(1+Y5766)</f>
        <v>1.55331854827765</v>
      </c>
      <c r="AA5766" s="0" t="n">
        <f aca="false">X5766-Z5766</f>
        <v>45.5032010058159</v>
      </c>
      <c r="AB5766" s="0" t="n">
        <f aca="false">X5766+Z5766</f>
        <v>48.6098381023712</v>
      </c>
      <c r="AC5766" s="54" t="b">
        <f aca="false">AND(E5766&gt;=01_因子設定!$L$5-0.000000001,E5766&lt;=01_因子設定!$M$5+0.000000001,F5766&gt;=01_因子設定!$L$6-0.000000001,F5766&lt;=01_因子設定!$M$6+0.000000001,G5766&gt;=01_因子設定!$L$7-0.000000001,G5766&lt;=01_因子設定!$M$7+0.000000001,H5766&gt;=01_因子設定!$L$8-0.000000001,H5766&lt;=01_因子設定!$M$8+0.000000001,IF(01_因子設定!$B$20="Box-Behnken",E5766^2+F5766^2+G5766^2+H5766^2&lt;=2+0.000000001,TRUE()))</f>
        <v>1</v>
      </c>
      <c r="AD5766" s="55" t="n">
        <f aca="false">IF(AC5766,IF(01_因子設定!$B$13="最大化",AA5766-01_因子設定!$B$14,IF(01_因子設定!$B$13="最小化",01_因子設定!$B$15-AB5766,MIN(AA5766-01_因子設定!$B$14,01_因子設定!$B$15-AB5766))),-1E+030)</f>
        <v>-0.996798994184069</v>
      </c>
      <c r="AE5766" s="55" t="n">
        <f aca="false">IF(AC5766,IF(01_因子設定!$B$13="最大化",X5766,IF(01_因子設定!$B$13="最小化",-X5766,-ABS(X5766-01_因子設定!$B$16))),-1E+030)</f>
        <v>47.0565195540936</v>
      </c>
      <c r="AF5766" s="55" t="n">
        <f aca="false">AD5766+ROW()*0.000000001</f>
        <v>-0.996793228184069</v>
      </c>
      <c r="AG5766" s="55" t="n">
        <f aca="false">AE5766+ROW()*0.000000001</f>
        <v>47.0565253200936</v>
      </c>
    </row>
    <row r="5767" customFormat="false" ht="15" hidden="false" customHeight="false" outlineLevel="0" collapsed="false">
      <c r="A5767" s="0" t="n">
        <v>7</v>
      </c>
      <c r="B5767" s="0" t="n">
        <v>8</v>
      </c>
      <c r="C5767" s="0" t="n">
        <v>1</v>
      </c>
      <c r="D5767" s="0" t="n">
        <v>2</v>
      </c>
      <c r="E5767" s="0" t="n">
        <f aca="false">-1+A5767*0.25</f>
        <v>0.75</v>
      </c>
      <c r="F5767" s="0" t="n">
        <f aca="false">-1+B5767*0.25</f>
        <v>1</v>
      </c>
      <c r="G5767" s="0" t="n">
        <f aca="false">-1+C5767*0.25</f>
        <v>-0.75</v>
      </c>
      <c r="H5767" s="0" t="n">
        <f aca="false">-1+D5767*0.25</f>
        <v>-0.5</v>
      </c>
      <c r="I5767" s="0" t="n">
        <f aca="false">1</f>
        <v>1</v>
      </c>
      <c r="J5767" s="0" t="n">
        <f aca="false">E5767</f>
        <v>0.75</v>
      </c>
      <c r="K5767" s="0" t="n">
        <f aca="false">F5767</f>
        <v>1</v>
      </c>
      <c r="L5767" s="0" t="n">
        <f aca="false">G5767</f>
        <v>-0.75</v>
      </c>
      <c r="M5767" s="0" t="n">
        <f aca="false">H5767</f>
        <v>-0.5</v>
      </c>
      <c r="N5767" s="0" t="n">
        <f aca="false">E5767*F5767</f>
        <v>0.75</v>
      </c>
      <c r="O5767" s="0" t="n">
        <f aca="false">E5767*G5767</f>
        <v>-0.5625</v>
      </c>
      <c r="P5767" s="0" t="n">
        <f aca="false">E5767*H5767</f>
        <v>-0.375</v>
      </c>
      <c r="Q5767" s="0" t="n">
        <f aca="false">F5767*G5767</f>
        <v>-0.75</v>
      </c>
      <c r="R5767" s="0" t="n">
        <f aca="false">F5767*H5767</f>
        <v>-0.5</v>
      </c>
      <c r="S5767" s="0" t="n">
        <f aca="false">G5767*H5767</f>
        <v>0.375</v>
      </c>
      <c r="T5767" s="0" t="n">
        <f aca="false">E5767*E5767</f>
        <v>0.5625</v>
      </c>
      <c r="U5767" s="0" t="n">
        <f aca="false">F5767*F5767</f>
        <v>1</v>
      </c>
      <c r="V5767" s="0" t="n">
        <f aca="false">G5767*G5767</f>
        <v>0.5625</v>
      </c>
      <c r="W5767" s="0" t="n">
        <f aca="false">H5767*H5767</f>
        <v>0.25</v>
      </c>
      <c r="X5767" s="0" t="n">
        <f aca="false">SUMPRODUCT(I5767:W5767,_XtX!$B$96:$P$96)</f>
        <v>47.1938322368421</v>
      </c>
      <c r="Y5767" s="0" t="n">
        <f aca="false">SUMPRODUCT(MMULT(I5767:W5767,_XtX!$B$78:$P$92),I5767:W5767)</f>
        <v>0.431153771472953</v>
      </c>
      <c r="Z5767" s="0" t="n">
        <f aca="false">04_回帰ANOVA!$K$19*04_回帰ANOVA!$K$14*SQRT(1+Y5767)</f>
        <v>1.55934259562563</v>
      </c>
      <c r="AA5767" s="0" t="n">
        <f aca="false">X5767-Z5767</f>
        <v>45.6344896412165</v>
      </c>
      <c r="AB5767" s="0" t="n">
        <f aca="false">X5767+Z5767</f>
        <v>48.7531748324677</v>
      </c>
      <c r="AC5767" s="54" t="b">
        <f aca="false">AND(E5767&gt;=01_因子設定!$L$5-0.000000001,E5767&lt;=01_因子設定!$M$5+0.000000001,F5767&gt;=01_因子設定!$L$6-0.000000001,F5767&lt;=01_因子設定!$M$6+0.000000001,G5767&gt;=01_因子設定!$L$7-0.000000001,G5767&lt;=01_因子設定!$M$7+0.000000001,H5767&gt;=01_因子設定!$L$8-0.000000001,H5767&lt;=01_因子設定!$M$8+0.000000001,IF(01_因子設定!$B$20="Box-Behnken",E5767^2+F5767^2+G5767^2+H5767^2&lt;=2+0.000000001,TRUE()))</f>
        <v>1</v>
      </c>
      <c r="AD5767" s="55" t="n">
        <f aca="false">IF(AC5767,IF(01_因子設定!$B$13="最大化",AA5767-01_因子設定!$B$14,IF(01_因子設定!$B$13="最小化",01_因子設定!$B$15-AB5767,MIN(AA5767-01_因子設定!$B$14,01_因子設定!$B$15-AB5767))),-1E+030)</f>
        <v>-0.865510358783531</v>
      </c>
      <c r="AE5767" s="55" t="n">
        <f aca="false">IF(AC5767,IF(01_因子設定!$B$13="最大化",X5767,IF(01_因子設定!$B$13="最小化",-X5767,-ABS(X5767-01_因子設定!$B$16))),-1E+030)</f>
        <v>47.1938322368421</v>
      </c>
      <c r="AF5767" s="55" t="n">
        <f aca="false">AD5767+ROW()*0.000000001</f>
        <v>-0.865504591783531</v>
      </c>
      <c r="AG5767" s="55" t="n">
        <f aca="false">AE5767+ROW()*0.000000001</f>
        <v>47.1938380038421</v>
      </c>
    </row>
    <row r="5768" customFormat="false" ht="15" hidden="false" customHeight="false" outlineLevel="0" collapsed="false">
      <c r="A5768" s="0" t="n">
        <v>7</v>
      </c>
      <c r="B5768" s="0" t="n">
        <v>8</v>
      </c>
      <c r="C5768" s="0" t="n">
        <v>1</v>
      </c>
      <c r="D5768" s="0" t="n">
        <v>3</v>
      </c>
      <c r="E5768" s="0" t="n">
        <f aca="false">-1+A5768*0.25</f>
        <v>0.75</v>
      </c>
      <c r="F5768" s="0" t="n">
        <f aca="false">-1+B5768*0.25</f>
        <v>1</v>
      </c>
      <c r="G5768" s="0" t="n">
        <f aca="false">-1+C5768*0.25</f>
        <v>-0.75</v>
      </c>
      <c r="H5768" s="0" t="n">
        <f aca="false">-1+D5768*0.25</f>
        <v>-0.25</v>
      </c>
      <c r="I5768" s="0" t="n">
        <f aca="false">1</f>
        <v>1</v>
      </c>
      <c r="J5768" s="0" t="n">
        <f aca="false">E5768</f>
        <v>0.75</v>
      </c>
      <c r="K5768" s="0" t="n">
        <f aca="false">F5768</f>
        <v>1</v>
      </c>
      <c r="L5768" s="0" t="n">
        <f aca="false">G5768</f>
        <v>-0.75</v>
      </c>
      <c r="M5768" s="0" t="n">
        <f aca="false">H5768</f>
        <v>-0.25</v>
      </c>
      <c r="N5768" s="0" t="n">
        <f aca="false">E5768*F5768</f>
        <v>0.75</v>
      </c>
      <c r="O5768" s="0" t="n">
        <f aca="false">E5768*G5768</f>
        <v>-0.5625</v>
      </c>
      <c r="P5768" s="0" t="n">
        <f aca="false">E5768*H5768</f>
        <v>-0.1875</v>
      </c>
      <c r="Q5768" s="0" t="n">
        <f aca="false">F5768*G5768</f>
        <v>-0.75</v>
      </c>
      <c r="R5768" s="0" t="n">
        <f aca="false">F5768*H5768</f>
        <v>-0.25</v>
      </c>
      <c r="S5768" s="0" t="n">
        <f aca="false">G5768*H5768</f>
        <v>0.1875</v>
      </c>
      <c r="T5768" s="0" t="n">
        <f aca="false">E5768*E5768</f>
        <v>0.5625</v>
      </c>
      <c r="U5768" s="0" t="n">
        <f aca="false">F5768*F5768</f>
        <v>1</v>
      </c>
      <c r="V5768" s="0" t="n">
        <f aca="false">G5768*G5768</f>
        <v>0.5625</v>
      </c>
      <c r="W5768" s="0" t="n">
        <f aca="false">H5768*H5768</f>
        <v>0.0625</v>
      </c>
      <c r="X5768" s="0" t="n">
        <f aca="false">SUMPRODUCT(I5768:W5768,_XtX!$B$96:$P$96)</f>
        <v>47.2833379020468</v>
      </c>
      <c r="Y5768" s="0" t="n">
        <f aca="false">SUMPRODUCT(MMULT(I5768:W5768,_XtX!$B$78:$P$92),I5768:W5768)</f>
        <v>0.473959761056287</v>
      </c>
      <c r="Z5768" s="0" t="n">
        <f aca="false">04_回帰ANOVA!$K$19*04_回帰ANOVA!$K$14*SQRT(1+Y5768)</f>
        <v>1.58249084588329</v>
      </c>
      <c r="AA5768" s="0" t="n">
        <f aca="false">X5768-Z5768</f>
        <v>45.7008470561635</v>
      </c>
      <c r="AB5768" s="0" t="n">
        <f aca="false">X5768+Z5768</f>
        <v>48.8658287479301</v>
      </c>
      <c r="AC5768" s="54" t="b">
        <f aca="false">AND(E5768&gt;=01_因子設定!$L$5-0.000000001,E5768&lt;=01_因子設定!$M$5+0.000000001,F5768&gt;=01_因子設定!$L$6-0.000000001,F5768&lt;=01_因子設定!$M$6+0.000000001,G5768&gt;=01_因子設定!$L$7-0.000000001,G5768&lt;=01_因子設定!$M$7+0.000000001,H5768&gt;=01_因子設定!$L$8-0.000000001,H5768&lt;=01_因子設定!$M$8+0.000000001,IF(01_因子設定!$B$20="Box-Behnken",E5768^2+F5768^2+G5768^2+H5768^2&lt;=2+0.000000001,TRUE()))</f>
        <v>1</v>
      </c>
      <c r="AD5768" s="55" t="n">
        <f aca="false">IF(AC5768,IF(01_因子設定!$B$13="最大化",AA5768-01_因子設定!$B$14,IF(01_因子設定!$B$13="最小化",01_因子設定!$B$15-AB5768,MIN(AA5768-01_因子設定!$B$14,01_因子設定!$B$15-AB5768))),-1E+030)</f>
        <v>-0.799152943836511</v>
      </c>
      <c r="AE5768" s="55" t="n">
        <f aca="false">IF(AC5768,IF(01_因子設定!$B$13="最大化",X5768,IF(01_因子設定!$B$13="最小化",-X5768,-ABS(X5768-01_因子設定!$B$16))),-1E+030)</f>
        <v>47.2833379020468</v>
      </c>
      <c r="AF5768" s="55" t="n">
        <f aca="false">AD5768+ROW()*0.000000001</f>
        <v>-0.799147175836511</v>
      </c>
      <c r="AG5768" s="55" t="n">
        <f aca="false">AE5768+ROW()*0.000000001</f>
        <v>47.2833436700468</v>
      </c>
    </row>
    <row r="5769" customFormat="false" ht="15" hidden="false" customHeight="false" outlineLevel="0" collapsed="false">
      <c r="A5769" s="0" t="n">
        <v>7</v>
      </c>
      <c r="B5769" s="0" t="n">
        <v>8</v>
      </c>
      <c r="C5769" s="0" t="n">
        <v>1</v>
      </c>
      <c r="D5769" s="0" t="n">
        <v>4</v>
      </c>
      <c r="E5769" s="0" t="n">
        <f aca="false">-1+A5769*0.25</f>
        <v>0.75</v>
      </c>
      <c r="F5769" s="0" t="n">
        <f aca="false">-1+B5769*0.25</f>
        <v>1</v>
      </c>
      <c r="G5769" s="0" t="n">
        <f aca="false">-1+C5769*0.25</f>
        <v>-0.75</v>
      </c>
      <c r="H5769" s="0" t="n">
        <f aca="false">-1+D5769*0.25</f>
        <v>0</v>
      </c>
      <c r="I5769" s="0" t="n">
        <f aca="false">1</f>
        <v>1</v>
      </c>
      <c r="J5769" s="0" t="n">
        <f aca="false">E5769</f>
        <v>0.75</v>
      </c>
      <c r="K5769" s="0" t="n">
        <f aca="false">F5769</f>
        <v>1</v>
      </c>
      <c r="L5769" s="0" t="n">
        <f aca="false">G5769</f>
        <v>-0.75</v>
      </c>
      <c r="M5769" s="0" t="n">
        <f aca="false">H5769</f>
        <v>0</v>
      </c>
      <c r="N5769" s="0" t="n">
        <f aca="false">E5769*F5769</f>
        <v>0.75</v>
      </c>
      <c r="O5769" s="0" t="n">
        <f aca="false">E5769*G5769</f>
        <v>-0.5625</v>
      </c>
      <c r="P5769" s="0" t="n">
        <f aca="false">E5769*H5769</f>
        <v>0</v>
      </c>
      <c r="Q5769" s="0" t="n">
        <f aca="false">F5769*G5769</f>
        <v>-0.75</v>
      </c>
      <c r="R5769" s="0" t="n">
        <f aca="false">F5769*H5769</f>
        <v>0</v>
      </c>
      <c r="S5769" s="0" t="n">
        <f aca="false">G5769*H5769</f>
        <v>-0</v>
      </c>
      <c r="T5769" s="0" t="n">
        <f aca="false">E5769*E5769</f>
        <v>0.5625</v>
      </c>
      <c r="U5769" s="0" t="n">
        <f aca="false">F5769*F5769</f>
        <v>1</v>
      </c>
      <c r="V5769" s="0" t="n">
        <f aca="false">G5769*G5769</f>
        <v>0.5625</v>
      </c>
      <c r="W5769" s="0" t="n">
        <f aca="false">H5769*H5769</f>
        <v>0</v>
      </c>
      <c r="X5769" s="0" t="n">
        <f aca="false">SUMPRODUCT(I5769:W5769,_XtX!$B$96:$P$96)</f>
        <v>47.3250365497076</v>
      </c>
      <c r="Y5769" s="0" t="n">
        <f aca="false">SUMPRODUCT(MMULT(I5769:W5769,_XtX!$B$78:$P$92),I5769:W5769)</f>
        <v>0.494259126005117</v>
      </c>
      <c r="Z5769" s="0" t="n">
        <f aca="false">04_回帰ANOVA!$K$19*04_回帰ANOVA!$K$14*SQRT(1+Y5769)</f>
        <v>1.59335061078203</v>
      </c>
      <c r="AA5769" s="0" t="n">
        <f aca="false">X5769-Z5769</f>
        <v>45.7316859389256</v>
      </c>
      <c r="AB5769" s="0" t="n">
        <f aca="false">X5769+Z5769</f>
        <v>48.9183871604896</v>
      </c>
      <c r="AC5769" s="54" t="b">
        <f aca="false">AND(E5769&gt;=01_因子設定!$L$5-0.000000001,E5769&lt;=01_因子設定!$M$5+0.000000001,F5769&gt;=01_因子設定!$L$6-0.000000001,F5769&lt;=01_因子設定!$M$6+0.000000001,G5769&gt;=01_因子設定!$L$7-0.000000001,G5769&lt;=01_因子設定!$M$7+0.000000001,H5769&gt;=01_因子設定!$L$8-0.000000001,H5769&lt;=01_因子設定!$M$8+0.000000001,IF(01_因子設定!$B$20="Box-Behnken",E5769^2+F5769^2+G5769^2+H5769^2&lt;=2+0.000000001,TRUE()))</f>
        <v>1</v>
      </c>
      <c r="AD5769" s="55" t="n">
        <f aca="false">IF(AC5769,IF(01_因子設定!$B$13="最大化",AA5769-01_因子設定!$B$14,IF(01_因子設定!$B$13="最小化",01_因子設定!$B$15-AB5769,MIN(AA5769-01_因子設定!$B$14,01_因子設定!$B$15-AB5769))),-1E+030)</f>
        <v>-0.768314061074435</v>
      </c>
      <c r="AE5769" s="55" t="n">
        <f aca="false">IF(AC5769,IF(01_因子設定!$B$13="最大化",X5769,IF(01_因子設定!$B$13="最小化",-X5769,-ABS(X5769-01_因子設定!$B$16))),-1E+030)</f>
        <v>47.3250365497076</v>
      </c>
      <c r="AF5769" s="55" t="n">
        <f aca="false">AD5769+ROW()*0.000000001</f>
        <v>-0.768308292074435</v>
      </c>
      <c r="AG5769" s="55" t="n">
        <f aca="false">AE5769+ROW()*0.000000001</f>
        <v>47.3250423187076</v>
      </c>
    </row>
    <row r="5770" customFormat="false" ht="15" hidden="false" customHeight="false" outlineLevel="0" collapsed="false">
      <c r="A5770" s="0" t="n">
        <v>7</v>
      </c>
      <c r="B5770" s="0" t="n">
        <v>8</v>
      </c>
      <c r="C5770" s="0" t="n">
        <v>1</v>
      </c>
      <c r="D5770" s="0" t="n">
        <v>5</v>
      </c>
      <c r="E5770" s="0" t="n">
        <f aca="false">-1+A5770*0.25</f>
        <v>0.75</v>
      </c>
      <c r="F5770" s="0" t="n">
        <f aca="false">-1+B5770*0.25</f>
        <v>1</v>
      </c>
      <c r="G5770" s="0" t="n">
        <f aca="false">-1+C5770*0.25</f>
        <v>-0.75</v>
      </c>
      <c r="H5770" s="0" t="n">
        <f aca="false">-1+D5770*0.25</f>
        <v>0.25</v>
      </c>
      <c r="I5770" s="0" t="n">
        <f aca="false">1</f>
        <v>1</v>
      </c>
      <c r="J5770" s="0" t="n">
        <f aca="false">E5770</f>
        <v>0.75</v>
      </c>
      <c r="K5770" s="0" t="n">
        <f aca="false">F5770</f>
        <v>1</v>
      </c>
      <c r="L5770" s="0" t="n">
        <f aca="false">G5770</f>
        <v>-0.75</v>
      </c>
      <c r="M5770" s="0" t="n">
        <f aca="false">H5770</f>
        <v>0.25</v>
      </c>
      <c r="N5770" s="0" t="n">
        <f aca="false">E5770*F5770</f>
        <v>0.75</v>
      </c>
      <c r="O5770" s="0" t="n">
        <f aca="false">E5770*G5770</f>
        <v>-0.5625</v>
      </c>
      <c r="P5770" s="0" t="n">
        <f aca="false">E5770*H5770</f>
        <v>0.1875</v>
      </c>
      <c r="Q5770" s="0" t="n">
        <f aca="false">F5770*G5770</f>
        <v>-0.75</v>
      </c>
      <c r="R5770" s="0" t="n">
        <f aca="false">F5770*H5770</f>
        <v>0.25</v>
      </c>
      <c r="S5770" s="0" t="n">
        <f aca="false">G5770*H5770</f>
        <v>-0.1875</v>
      </c>
      <c r="T5770" s="0" t="n">
        <f aca="false">E5770*E5770</f>
        <v>0.5625</v>
      </c>
      <c r="U5770" s="0" t="n">
        <f aca="false">F5770*F5770</f>
        <v>1</v>
      </c>
      <c r="V5770" s="0" t="n">
        <f aca="false">G5770*G5770</f>
        <v>0.5625</v>
      </c>
      <c r="W5770" s="0" t="n">
        <f aca="false">H5770*H5770</f>
        <v>0.0625</v>
      </c>
      <c r="X5770" s="0" t="n">
        <f aca="false">SUMPRODUCT(I5770:W5770,_XtX!$B$96:$P$96)</f>
        <v>47.3189281798246</v>
      </c>
      <c r="Y5770" s="0" t="n">
        <f aca="false">SUMPRODUCT(MMULT(I5770:W5770,_XtX!$B$78:$P$92),I5770:W5770)</f>
        <v>0.473959761056287</v>
      </c>
      <c r="Z5770" s="0" t="n">
        <f aca="false">04_回帰ANOVA!$K$19*04_回帰ANOVA!$K$14*SQRT(1+Y5770)</f>
        <v>1.58249084588329</v>
      </c>
      <c r="AA5770" s="0" t="n">
        <f aca="false">X5770-Z5770</f>
        <v>45.7364373339413</v>
      </c>
      <c r="AB5770" s="0" t="n">
        <f aca="false">X5770+Z5770</f>
        <v>48.9014190257078</v>
      </c>
      <c r="AC5770" s="54" t="b">
        <f aca="false">AND(E5770&gt;=01_因子設定!$L$5-0.000000001,E5770&lt;=01_因子設定!$M$5+0.000000001,F5770&gt;=01_因子設定!$L$6-0.000000001,F5770&lt;=01_因子設定!$M$6+0.000000001,G5770&gt;=01_因子設定!$L$7-0.000000001,G5770&lt;=01_因子設定!$M$7+0.000000001,H5770&gt;=01_因子設定!$L$8-0.000000001,H5770&lt;=01_因子設定!$M$8+0.000000001,IF(01_因子設定!$B$20="Box-Behnken",E5770^2+F5770^2+G5770^2+H5770^2&lt;=2+0.000000001,TRUE()))</f>
        <v>1</v>
      </c>
      <c r="AD5770" s="55" t="n">
        <f aca="false">IF(AC5770,IF(01_因子設定!$B$13="最大化",AA5770-01_因子設定!$B$14,IF(01_因子設定!$B$13="最小化",01_因子設定!$B$15-AB5770,MIN(AA5770-01_因子設定!$B$14,01_因子設定!$B$15-AB5770))),-1E+030)</f>
        <v>-0.763562666058732</v>
      </c>
      <c r="AE5770" s="55" t="n">
        <f aca="false">IF(AC5770,IF(01_因子設定!$B$13="最大化",X5770,IF(01_因子設定!$B$13="最小化",-X5770,-ABS(X5770-01_因子設定!$B$16))),-1E+030)</f>
        <v>47.3189281798246</v>
      </c>
      <c r="AF5770" s="55" t="n">
        <f aca="false">AD5770+ROW()*0.000000001</f>
        <v>-0.763556896058732</v>
      </c>
      <c r="AG5770" s="55" t="n">
        <f aca="false">AE5770+ROW()*0.000000001</f>
        <v>47.3189339498246</v>
      </c>
    </row>
    <row r="5771" customFormat="false" ht="15" hidden="false" customHeight="false" outlineLevel="0" collapsed="false">
      <c r="A5771" s="0" t="n">
        <v>7</v>
      </c>
      <c r="B5771" s="0" t="n">
        <v>8</v>
      </c>
      <c r="C5771" s="0" t="n">
        <v>1</v>
      </c>
      <c r="D5771" s="0" t="n">
        <v>6</v>
      </c>
      <c r="E5771" s="0" t="n">
        <f aca="false">-1+A5771*0.25</f>
        <v>0.75</v>
      </c>
      <c r="F5771" s="0" t="n">
        <f aca="false">-1+B5771*0.25</f>
        <v>1</v>
      </c>
      <c r="G5771" s="0" t="n">
        <f aca="false">-1+C5771*0.25</f>
        <v>-0.75</v>
      </c>
      <c r="H5771" s="0" t="n">
        <f aca="false">-1+D5771*0.25</f>
        <v>0.5</v>
      </c>
      <c r="I5771" s="0" t="n">
        <f aca="false">1</f>
        <v>1</v>
      </c>
      <c r="J5771" s="0" t="n">
        <f aca="false">E5771</f>
        <v>0.75</v>
      </c>
      <c r="K5771" s="0" t="n">
        <f aca="false">F5771</f>
        <v>1</v>
      </c>
      <c r="L5771" s="0" t="n">
        <f aca="false">G5771</f>
        <v>-0.75</v>
      </c>
      <c r="M5771" s="0" t="n">
        <f aca="false">H5771</f>
        <v>0.5</v>
      </c>
      <c r="N5771" s="0" t="n">
        <f aca="false">E5771*F5771</f>
        <v>0.75</v>
      </c>
      <c r="O5771" s="0" t="n">
        <f aca="false">E5771*G5771</f>
        <v>-0.5625</v>
      </c>
      <c r="P5771" s="0" t="n">
        <f aca="false">E5771*H5771</f>
        <v>0.375</v>
      </c>
      <c r="Q5771" s="0" t="n">
        <f aca="false">F5771*G5771</f>
        <v>-0.75</v>
      </c>
      <c r="R5771" s="0" t="n">
        <f aca="false">F5771*H5771</f>
        <v>0.5</v>
      </c>
      <c r="S5771" s="0" t="n">
        <f aca="false">G5771*H5771</f>
        <v>-0.375</v>
      </c>
      <c r="T5771" s="0" t="n">
        <f aca="false">E5771*E5771</f>
        <v>0.5625</v>
      </c>
      <c r="U5771" s="0" t="n">
        <f aca="false">F5771*F5771</f>
        <v>1</v>
      </c>
      <c r="V5771" s="0" t="n">
        <f aca="false">G5771*G5771</f>
        <v>0.5625</v>
      </c>
      <c r="W5771" s="0" t="n">
        <f aca="false">H5771*H5771</f>
        <v>0.25</v>
      </c>
      <c r="X5771" s="0" t="n">
        <f aca="false">SUMPRODUCT(I5771:W5771,_XtX!$B$96:$P$96)</f>
        <v>47.2650127923977</v>
      </c>
      <c r="Y5771" s="0" t="n">
        <f aca="false">SUMPRODUCT(MMULT(I5771:W5771,_XtX!$B$78:$P$92),I5771:W5771)</f>
        <v>0.431153771472953</v>
      </c>
      <c r="Z5771" s="0" t="n">
        <f aca="false">04_回帰ANOVA!$K$19*04_回帰ANOVA!$K$14*SQRT(1+Y5771)</f>
        <v>1.55934259562563</v>
      </c>
      <c r="AA5771" s="0" t="n">
        <f aca="false">X5771-Z5771</f>
        <v>45.705670196772</v>
      </c>
      <c r="AB5771" s="0" t="n">
        <f aca="false">X5771+Z5771</f>
        <v>48.8243553880233</v>
      </c>
      <c r="AC5771" s="54" t="b">
        <f aca="false">AND(E5771&gt;=01_因子設定!$L$5-0.000000001,E5771&lt;=01_因子設定!$M$5+0.000000001,F5771&gt;=01_因子設定!$L$6-0.000000001,F5771&lt;=01_因子設定!$M$6+0.000000001,G5771&gt;=01_因子設定!$L$7-0.000000001,G5771&lt;=01_因子設定!$M$7+0.000000001,H5771&gt;=01_因子設定!$L$8-0.000000001,H5771&lt;=01_因子設定!$M$8+0.000000001,IF(01_因子設定!$B$20="Box-Behnken",E5771^2+F5771^2+G5771^2+H5771^2&lt;=2+0.000000001,TRUE()))</f>
        <v>1</v>
      </c>
      <c r="AD5771" s="55" t="n">
        <f aca="false">IF(AC5771,IF(01_因子設定!$B$13="最大化",AA5771-01_因子設定!$B$14,IF(01_因子設定!$B$13="最小化",01_因子設定!$B$15-AB5771,MIN(AA5771-01_因子設定!$B$14,01_因子設定!$B$15-AB5771))),-1E+030)</f>
        <v>-0.794329803227974</v>
      </c>
      <c r="AE5771" s="55" t="n">
        <f aca="false">IF(AC5771,IF(01_因子設定!$B$13="最大化",X5771,IF(01_因子設定!$B$13="最小化",-X5771,-ABS(X5771-01_因子設定!$B$16))),-1E+030)</f>
        <v>47.2650127923977</v>
      </c>
      <c r="AF5771" s="55" t="n">
        <f aca="false">AD5771+ROW()*0.000000001</f>
        <v>-0.794324032227974</v>
      </c>
      <c r="AG5771" s="55" t="n">
        <f aca="false">AE5771+ROW()*0.000000001</f>
        <v>47.2650185633977</v>
      </c>
    </row>
    <row r="5772" customFormat="false" ht="15" hidden="false" customHeight="false" outlineLevel="0" collapsed="false">
      <c r="A5772" s="0" t="n">
        <v>7</v>
      </c>
      <c r="B5772" s="0" t="n">
        <v>8</v>
      </c>
      <c r="C5772" s="0" t="n">
        <v>1</v>
      </c>
      <c r="D5772" s="0" t="n">
        <v>7</v>
      </c>
      <c r="E5772" s="0" t="n">
        <f aca="false">-1+A5772*0.25</f>
        <v>0.75</v>
      </c>
      <c r="F5772" s="0" t="n">
        <f aca="false">-1+B5772*0.25</f>
        <v>1</v>
      </c>
      <c r="G5772" s="0" t="n">
        <f aca="false">-1+C5772*0.25</f>
        <v>-0.75</v>
      </c>
      <c r="H5772" s="0" t="n">
        <f aca="false">-1+D5772*0.25</f>
        <v>0.75</v>
      </c>
      <c r="I5772" s="0" t="n">
        <f aca="false">1</f>
        <v>1</v>
      </c>
      <c r="J5772" s="0" t="n">
        <f aca="false">E5772</f>
        <v>0.75</v>
      </c>
      <c r="K5772" s="0" t="n">
        <f aca="false">F5772</f>
        <v>1</v>
      </c>
      <c r="L5772" s="0" t="n">
        <f aca="false">G5772</f>
        <v>-0.75</v>
      </c>
      <c r="M5772" s="0" t="n">
        <f aca="false">H5772</f>
        <v>0.75</v>
      </c>
      <c r="N5772" s="0" t="n">
        <f aca="false">E5772*F5772</f>
        <v>0.75</v>
      </c>
      <c r="O5772" s="0" t="n">
        <f aca="false">E5772*G5772</f>
        <v>-0.5625</v>
      </c>
      <c r="P5772" s="0" t="n">
        <f aca="false">E5772*H5772</f>
        <v>0.5625</v>
      </c>
      <c r="Q5772" s="0" t="n">
        <f aca="false">F5772*G5772</f>
        <v>-0.75</v>
      </c>
      <c r="R5772" s="0" t="n">
        <f aca="false">F5772*H5772</f>
        <v>0.75</v>
      </c>
      <c r="S5772" s="0" t="n">
        <f aca="false">G5772*H5772</f>
        <v>-0.5625</v>
      </c>
      <c r="T5772" s="0" t="n">
        <f aca="false">E5772*E5772</f>
        <v>0.5625</v>
      </c>
      <c r="U5772" s="0" t="n">
        <f aca="false">F5772*F5772</f>
        <v>1</v>
      </c>
      <c r="V5772" s="0" t="n">
        <f aca="false">G5772*G5772</f>
        <v>0.5625</v>
      </c>
      <c r="W5772" s="0" t="n">
        <f aca="false">H5772*H5772</f>
        <v>0.5625</v>
      </c>
      <c r="X5772" s="0" t="n">
        <f aca="false">SUMPRODUCT(I5772:W5772,_XtX!$B$96:$P$96)</f>
        <v>47.1632903874269</v>
      </c>
      <c r="Y5772" s="0" t="n">
        <f aca="false">SUMPRODUCT(MMULT(I5772:W5772,_XtX!$B$78:$P$92),I5772:W5772)</f>
        <v>0.420117473044591</v>
      </c>
      <c r="Z5772" s="0" t="n">
        <f aca="false">04_回帰ANOVA!$K$19*04_回帰ANOVA!$K$14*SQRT(1+Y5772)</f>
        <v>1.55331854827765</v>
      </c>
      <c r="AA5772" s="0" t="n">
        <f aca="false">X5772-Z5772</f>
        <v>45.6099718391493</v>
      </c>
      <c r="AB5772" s="0" t="n">
        <f aca="false">X5772+Z5772</f>
        <v>48.7166089357046</v>
      </c>
      <c r="AC5772" s="54" t="b">
        <f aca="false">AND(E5772&gt;=01_因子設定!$L$5-0.000000001,E5772&lt;=01_因子設定!$M$5+0.000000001,F5772&gt;=01_因子設定!$L$6-0.000000001,F5772&lt;=01_因子設定!$M$6+0.000000001,G5772&gt;=01_因子設定!$L$7-0.000000001,G5772&lt;=01_因子設定!$M$7+0.000000001,H5772&gt;=01_因子設定!$L$8-0.000000001,H5772&lt;=01_因子設定!$M$8+0.000000001,IF(01_因子設定!$B$20="Box-Behnken",E5772^2+F5772^2+G5772^2+H5772^2&lt;=2+0.000000001,TRUE()))</f>
        <v>1</v>
      </c>
      <c r="AD5772" s="55" t="n">
        <f aca="false">IF(AC5772,IF(01_因子設定!$B$13="最大化",AA5772-01_因子設定!$B$14,IF(01_因子設定!$B$13="最小化",01_因子設定!$B$15-AB5772,MIN(AA5772-01_因子設定!$B$14,01_因子設定!$B$15-AB5772))),-1E+030)</f>
        <v>-0.89002816085074</v>
      </c>
      <c r="AE5772" s="55" t="n">
        <f aca="false">IF(AC5772,IF(01_因子設定!$B$13="最大化",X5772,IF(01_因子設定!$B$13="最小化",-X5772,-ABS(X5772-01_因子設定!$B$16))),-1E+030)</f>
        <v>47.1632903874269</v>
      </c>
      <c r="AF5772" s="55" t="n">
        <f aca="false">AD5772+ROW()*0.000000001</f>
        <v>-0.89002238885074</v>
      </c>
      <c r="AG5772" s="55" t="n">
        <f aca="false">AE5772+ROW()*0.000000001</f>
        <v>47.1632961594269</v>
      </c>
    </row>
    <row r="5773" customFormat="false" ht="15" hidden="false" customHeight="false" outlineLevel="0" collapsed="false">
      <c r="A5773" s="0" t="n">
        <v>7</v>
      </c>
      <c r="B5773" s="0" t="n">
        <v>8</v>
      </c>
      <c r="C5773" s="0" t="n">
        <v>1</v>
      </c>
      <c r="D5773" s="0" t="n">
        <v>8</v>
      </c>
      <c r="E5773" s="0" t="n">
        <f aca="false">-1+A5773*0.25</f>
        <v>0.75</v>
      </c>
      <c r="F5773" s="0" t="n">
        <f aca="false">-1+B5773*0.25</f>
        <v>1</v>
      </c>
      <c r="G5773" s="0" t="n">
        <f aca="false">-1+C5773*0.25</f>
        <v>-0.75</v>
      </c>
      <c r="H5773" s="0" t="n">
        <f aca="false">-1+D5773*0.25</f>
        <v>1</v>
      </c>
      <c r="I5773" s="0" t="n">
        <f aca="false">1</f>
        <v>1</v>
      </c>
      <c r="J5773" s="0" t="n">
        <f aca="false">E5773</f>
        <v>0.75</v>
      </c>
      <c r="K5773" s="0" t="n">
        <f aca="false">F5773</f>
        <v>1</v>
      </c>
      <c r="L5773" s="0" t="n">
        <f aca="false">G5773</f>
        <v>-0.75</v>
      </c>
      <c r="M5773" s="0" t="n">
        <f aca="false">H5773</f>
        <v>1</v>
      </c>
      <c r="N5773" s="0" t="n">
        <f aca="false">E5773*F5773</f>
        <v>0.75</v>
      </c>
      <c r="O5773" s="0" t="n">
        <f aca="false">E5773*G5773</f>
        <v>-0.5625</v>
      </c>
      <c r="P5773" s="0" t="n">
        <f aca="false">E5773*H5773</f>
        <v>0.75</v>
      </c>
      <c r="Q5773" s="0" t="n">
        <f aca="false">F5773*G5773</f>
        <v>-0.75</v>
      </c>
      <c r="R5773" s="0" t="n">
        <f aca="false">F5773*H5773</f>
        <v>1</v>
      </c>
      <c r="S5773" s="0" t="n">
        <f aca="false">G5773*H5773</f>
        <v>-0.75</v>
      </c>
      <c r="T5773" s="0" t="n">
        <f aca="false">E5773*E5773</f>
        <v>0.5625</v>
      </c>
      <c r="U5773" s="0" t="n">
        <f aca="false">F5773*F5773</f>
        <v>1</v>
      </c>
      <c r="V5773" s="0" t="n">
        <f aca="false">G5773*G5773</f>
        <v>0.5625</v>
      </c>
      <c r="W5773" s="0" t="n">
        <f aca="false">H5773*H5773</f>
        <v>1</v>
      </c>
      <c r="X5773" s="0" t="n">
        <f aca="false">SUMPRODUCT(I5773:W5773,_XtX!$B$96:$P$96)</f>
        <v>47.0137609649123</v>
      </c>
      <c r="Y5773" s="0" t="n">
        <f aca="false">SUMPRODUCT(MMULT(I5773:W5773,_XtX!$B$78:$P$92),I5773:W5773)</f>
        <v>0.531311392086988</v>
      </c>
      <c r="Z5773" s="0" t="n">
        <f aca="false">04_回帰ANOVA!$K$19*04_回帰ANOVA!$K$14*SQRT(1+Y5773)</f>
        <v>1.61298433431428</v>
      </c>
      <c r="AA5773" s="0" t="n">
        <f aca="false">X5773-Z5773</f>
        <v>45.400776630598</v>
      </c>
      <c r="AB5773" s="0" t="n">
        <f aca="false">X5773+Z5773</f>
        <v>48.6267452992266</v>
      </c>
      <c r="AC5773" s="54" t="b">
        <f aca="false">AND(E5773&gt;=01_因子設定!$L$5-0.000000001,E5773&lt;=01_因子設定!$M$5+0.000000001,F5773&gt;=01_因子設定!$L$6-0.000000001,F5773&lt;=01_因子設定!$M$6+0.000000001,G5773&gt;=01_因子設定!$L$7-0.000000001,G5773&lt;=01_因子設定!$M$7+0.000000001,H5773&gt;=01_因子設定!$L$8-0.000000001,H5773&lt;=01_因子設定!$M$8+0.000000001,IF(01_因子設定!$B$20="Box-Behnken",E5773^2+F5773^2+G5773^2+H5773^2&lt;=2+0.000000001,TRUE()))</f>
        <v>1</v>
      </c>
      <c r="AD5773" s="55" t="n">
        <f aca="false">IF(AC5773,IF(01_因子設定!$B$13="最大化",AA5773-01_因子設定!$B$14,IF(01_因子設定!$B$13="最小化",01_因子設定!$B$15-AB5773,MIN(AA5773-01_因子設定!$B$14,01_因子設定!$B$15-AB5773))),-1E+030)</f>
        <v>-1.09922336940198</v>
      </c>
      <c r="AE5773" s="55" t="n">
        <f aca="false">IF(AC5773,IF(01_因子設定!$B$13="最大化",X5773,IF(01_因子設定!$B$13="最小化",-X5773,-ABS(X5773-01_因子設定!$B$16))),-1E+030)</f>
        <v>47.0137609649123</v>
      </c>
      <c r="AF5773" s="55" t="n">
        <f aca="false">AD5773+ROW()*0.000000001</f>
        <v>-1.09921759640198</v>
      </c>
      <c r="AG5773" s="55" t="n">
        <f aca="false">AE5773+ROW()*0.000000001</f>
        <v>47.0137667379123</v>
      </c>
    </row>
    <row r="5774" customFormat="false" ht="15" hidden="false" customHeight="false" outlineLevel="0" collapsed="false">
      <c r="A5774" s="0" t="n">
        <v>7</v>
      </c>
      <c r="B5774" s="0" t="n">
        <v>8</v>
      </c>
      <c r="C5774" s="0" t="n">
        <v>2</v>
      </c>
      <c r="D5774" s="0" t="n">
        <v>0</v>
      </c>
      <c r="E5774" s="0" t="n">
        <f aca="false">-1+A5774*0.25</f>
        <v>0.75</v>
      </c>
      <c r="F5774" s="0" t="n">
        <f aca="false">-1+B5774*0.25</f>
        <v>1</v>
      </c>
      <c r="G5774" s="0" t="n">
        <f aca="false">-1+C5774*0.25</f>
        <v>-0.5</v>
      </c>
      <c r="H5774" s="0" t="n">
        <f aca="false">-1+D5774*0.25</f>
        <v>-1</v>
      </c>
      <c r="I5774" s="0" t="n">
        <f aca="false">1</f>
        <v>1</v>
      </c>
      <c r="J5774" s="0" t="n">
        <f aca="false">E5774</f>
        <v>0.75</v>
      </c>
      <c r="K5774" s="0" t="n">
        <f aca="false">F5774</f>
        <v>1</v>
      </c>
      <c r="L5774" s="0" t="n">
        <f aca="false">G5774</f>
        <v>-0.5</v>
      </c>
      <c r="M5774" s="0" t="n">
        <f aca="false">H5774</f>
        <v>-1</v>
      </c>
      <c r="N5774" s="0" t="n">
        <f aca="false">E5774*F5774</f>
        <v>0.75</v>
      </c>
      <c r="O5774" s="0" t="n">
        <f aca="false">E5774*G5774</f>
        <v>-0.375</v>
      </c>
      <c r="P5774" s="0" t="n">
        <f aca="false">E5774*H5774</f>
        <v>-0.75</v>
      </c>
      <c r="Q5774" s="0" t="n">
        <f aca="false">F5774*G5774</f>
        <v>-0.5</v>
      </c>
      <c r="R5774" s="0" t="n">
        <f aca="false">F5774*H5774</f>
        <v>-1</v>
      </c>
      <c r="S5774" s="0" t="n">
        <f aca="false">G5774*H5774</f>
        <v>0.5</v>
      </c>
      <c r="T5774" s="0" t="n">
        <f aca="false">E5774*E5774</f>
        <v>0.5625</v>
      </c>
      <c r="U5774" s="0" t="n">
        <f aca="false">F5774*F5774</f>
        <v>1</v>
      </c>
      <c r="V5774" s="0" t="n">
        <f aca="false">G5774*G5774</f>
        <v>0.25</v>
      </c>
      <c r="W5774" s="0" t="n">
        <f aca="false">H5774*H5774</f>
        <v>1</v>
      </c>
      <c r="X5774" s="0" t="n">
        <f aca="false">SUMPRODUCT(I5774:W5774,_XtX!$B$96:$P$96)</f>
        <v>47.2148757309942</v>
      </c>
      <c r="Y5774" s="0" t="n">
        <f aca="false">SUMPRODUCT(MMULT(I5774:W5774,_XtX!$B$78:$P$92),I5774:W5774)</f>
        <v>0.564984237938597</v>
      </c>
      <c r="Z5774" s="0" t="n">
        <f aca="false">04_回帰ANOVA!$K$19*04_回帰ANOVA!$K$14*SQRT(1+Y5774)</f>
        <v>1.63062229734503</v>
      </c>
      <c r="AA5774" s="0" t="n">
        <f aca="false">X5774-Z5774</f>
        <v>45.5842534336491</v>
      </c>
      <c r="AB5774" s="0" t="n">
        <f aca="false">X5774+Z5774</f>
        <v>48.8454980283392</v>
      </c>
      <c r="AC5774" s="54" t="b">
        <f aca="false">AND(E5774&gt;=01_因子設定!$L$5-0.000000001,E5774&lt;=01_因子設定!$M$5+0.000000001,F5774&gt;=01_因子設定!$L$6-0.000000001,F5774&lt;=01_因子設定!$M$6+0.000000001,G5774&gt;=01_因子設定!$L$7-0.000000001,G5774&lt;=01_因子設定!$M$7+0.000000001,H5774&gt;=01_因子設定!$L$8-0.000000001,H5774&lt;=01_因子設定!$M$8+0.000000001,IF(01_因子設定!$B$20="Box-Behnken",E5774^2+F5774^2+G5774^2+H5774^2&lt;=2+0.000000001,TRUE()))</f>
        <v>1</v>
      </c>
      <c r="AD5774" s="55" t="n">
        <f aca="false">IF(AC5774,IF(01_因子設定!$B$13="最大化",AA5774-01_因子設定!$B$14,IF(01_因子設定!$B$13="最小化",01_因子設定!$B$15-AB5774,MIN(AA5774-01_因子設定!$B$14,01_因子設定!$B$15-AB5774))),-1E+030)</f>
        <v>-0.915746566350862</v>
      </c>
      <c r="AE5774" s="55" t="n">
        <f aca="false">IF(AC5774,IF(01_因子設定!$B$13="最大化",X5774,IF(01_因子設定!$B$13="最小化",-X5774,-ABS(X5774-01_因子設定!$B$16))),-1E+030)</f>
        <v>47.2148757309942</v>
      </c>
      <c r="AF5774" s="55" t="n">
        <f aca="false">AD5774+ROW()*0.000000001</f>
        <v>-0.915740792350862</v>
      </c>
      <c r="AG5774" s="55" t="n">
        <f aca="false">AE5774+ROW()*0.000000001</f>
        <v>47.2148815049942</v>
      </c>
    </row>
    <row r="5775" customFormat="false" ht="15" hidden="false" customHeight="false" outlineLevel="0" collapsed="false">
      <c r="A5775" s="0" t="n">
        <v>7</v>
      </c>
      <c r="B5775" s="0" t="n">
        <v>8</v>
      </c>
      <c r="C5775" s="0" t="n">
        <v>2</v>
      </c>
      <c r="D5775" s="0" t="n">
        <v>1</v>
      </c>
      <c r="E5775" s="0" t="n">
        <f aca="false">-1+A5775*0.25</f>
        <v>0.75</v>
      </c>
      <c r="F5775" s="0" t="n">
        <f aca="false">-1+B5775*0.25</f>
        <v>1</v>
      </c>
      <c r="G5775" s="0" t="n">
        <f aca="false">-1+C5775*0.25</f>
        <v>-0.5</v>
      </c>
      <c r="H5775" s="0" t="n">
        <f aca="false">-1+D5775*0.25</f>
        <v>-0.75</v>
      </c>
      <c r="I5775" s="0" t="n">
        <f aca="false">1</f>
        <v>1</v>
      </c>
      <c r="J5775" s="0" t="n">
        <f aca="false">E5775</f>
        <v>0.75</v>
      </c>
      <c r="K5775" s="0" t="n">
        <f aca="false">F5775</f>
        <v>1</v>
      </c>
      <c r="L5775" s="0" t="n">
        <f aca="false">G5775</f>
        <v>-0.5</v>
      </c>
      <c r="M5775" s="0" t="n">
        <f aca="false">H5775</f>
        <v>-0.75</v>
      </c>
      <c r="N5775" s="0" t="n">
        <f aca="false">E5775*F5775</f>
        <v>0.75</v>
      </c>
      <c r="O5775" s="0" t="n">
        <f aca="false">E5775*G5775</f>
        <v>-0.375</v>
      </c>
      <c r="P5775" s="0" t="n">
        <f aca="false">E5775*H5775</f>
        <v>-0.5625</v>
      </c>
      <c r="Q5775" s="0" t="n">
        <f aca="false">F5775*G5775</f>
        <v>-0.5</v>
      </c>
      <c r="R5775" s="0" t="n">
        <f aca="false">F5775*H5775</f>
        <v>-0.75</v>
      </c>
      <c r="S5775" s="0" t="n">
        <f aca="false">G5775*H5775</f>
        <v>0.375</v>
      </c>
      <c r="T5775" s="0" t="n">
        <f aca="false">E5775*E5775</f>
        <v>0.5625</v>
      </c>
      <c r="U5775" s="0" t="n">
        <f aca="false">F5775*F5775</f>
        <v>1</v>
      </c>
      <c r="V5775" s="0" t="n">
        <f aca="false">G5775*G5775</f>
        <v>0.25</v>
      </c>
      <c r="W5775" s="0" t="n">
        <f aca="false">H5775*H5775</f>
        <v>0.5625</v>
      </c>
      <c r="X5775" s="0" t="n">
        <f aca="false">SUMPRODUCT(I5775:W5775,_XtX!$B$96:$P$96)</f>
        <v>47.4179641812866</v>
      </c>
      <c r="Y5775" s="0" t="n">
        <f aca="false">SUMPRODUCT(MMULT(I5775:W5775,_XtX!$B$78:$P$92),I5775:W5775)</f>
        <v>0.431153771472953</v>
      </c>
      <c r="Z5775" s="0" t="n">
        <f aca="false">04_回帰ANOVA!$K$19*04_回帰ANOVA!$K$14*SQRT(1+Y5775)</f>
        <v>1.55934259562563</v>
      </c>
      <c r="AA5775" s="0" t="n">
        <f aca="false">X5775-Z5775</f>
        <v>45.8586215856609</v>
      </c>
      <c r="AB5775" s="0" t="n">
        <f aca="false">X5775+Z5775</f>
        <v>48.9773067769122</v>
      </c>
      <c r="AC5775" s="54" t="b">
        <f aca="false">AND(E5775&gt;=01_因子設定!$L$5-0.000000001,E5775&lt;=01_因子設定!$M$5+0.000000001,F5775&gt;=01_因子設定!$L$6-0.000000001,F5775&lt;=01_因子設定!$M$6+0.000000001,G5775&gt;=01_因子設定!$L$7-0.000000001,G5775&lt;=01_因子設定!$M$7+0.000000001,H5775&gt;=01_因子設定!$L$8-0.000000001,H5775&lt;=01_因子設定!$M$8+0.000000001,IF(01_因子設定!$B$20="Box-Behnken",E5775^2+F5775^2+G5775^2+H5775^2&lt;=2+0.000000001,TRUE()))</f>
        <v>1</v>
      </c>
      <c r="AD5775" s="55" t="n">
        <f aca="false">IF(AC5775,IF(01_因子設定!$B$13="最大化",AA5775-01_因子設定!$B$14,IF(01_因子設定!$B$13="最小化",01_因子設定!$B$15-AB5775,MIN(AA5775-01_因子設定!$B$14,01_因子設定!$B$15-AB5775))),-1E+030)</f>
        <v>-0.641378414339073</v>
      </c>
      <c r="AE5775" s="55" t="n">
        <f aca="false">IF(AC5775,IF(01_因子設定!$B$13="最大化",X5775,IF(01_因子設定!$B$13="最小化",-X5775,-ABS(X5775-01_因子設定!$B$16))),-1E+030)</f>
        <v>47.4179641812866</v>
      </c>
      <c r="AF5775" s="55" t="n">
        <f aca="false">AD5775+ROW()*0.000000001</f>
        <v>-0.641372639339073</v>
      </c>
      <c r="AG5775" s="55" t="n">
        <f aca="false">AE5775+ROW()*0.000000001</f>
        <v>47.4179699562866</v>
      </c>
    </row>
    <row r="5776" customFormat="false" ht="15" hidden="false" customHeight="false" outlineLevel="0" collapsed="false">
      <c r="A5776" s="0" t="n">
        <v>7</v>
      </c>
      <c r="B5776" s="0" t="n">
        <v>8</v>
      </c>
      <c r="C5776" s="0" t="n">
        <v>2</v>
      </c>
      <c r="D5776" s="0" t="n">
        <v>2</v>
      </c>
      <c r="E5776" s="0" t="n">
        <f aca="false">-1+A5776*0.25</f>
        <v>0.75</v>
      </c>
      <c r="F5776" s="0" t="n">
        <f aca="false">-1+B5776*0.25</f>
        <v>1</v>
      </c>
      <c r="G5776" s="0" t="n">
        <f aca="false">-1+C5776*0.25</f>
        <v>-0.5</v>
      </c>
      <c r="H5776" s="0" t="n">
        <f aca="false">-1+D5776*0.25</f>
        <v>-0.5</v>
      </c>
      <c r="I5776" s="0" t="n">
        <f aca="false">1</f>
        <v>1</v>
      </c>
      <c r="J5776" s="0" t="n">
        <f aca="false">E5776</f>
        <v>0.75</v>
      </c>
      <c r="K5776" s="0" t="n">
        <f aca="false">F5776</f>
        <v>1</v>
      </c>
      <c r="L5776" s="0" t="n">
        <f aca="false">G5776</f>
        <v>-0.5</v>
      </c>
      <c r="M5776" s="0" t="n">
        <f aca="false">H5776</f>
        <v>-0.5</v>
      </c>
      <c r="N5776" s="0" t="n">
        <f aca="false">E5776*F5776</f>
        <v>0.75</v>
      </c>
      <c r="O5776" s="0" t="n">
        <f aca="false">E5776*G5776</f>
        <v>-0.375</v>
      </c>
      <c r="P5776" s="0" t="n">
        <f aca="false">E5776*H5776</f>
        <v>-0.375</v>
      </c>
      <c r="Q5776" s="0" t="n">
        <f aca="false">F5776*G5776</f>
        <v>-0.5</v>
      </c>
      <c r="R5776" s="0" t="n">
        <f aca="false">F5776*H5776</f>
        <v>-0.5</v>
      </c>
      <c r="S5776" s="0" t="n">
        <f aca="false">G5776*H5776</f>
        <v>0.25</v>
      </c>
      <c r="T5776" s="0" t="n">
        <f aca="false">E5776*E5776</f>
        <v>0.5625</v>
      </c>
      <c r="U5776" s="0" t="n">
        <f aca="false">F5776*F5776</f>
        <v>1</v>
      </c>
      <c r="V5776" s="0" t="n">
        <f aca="false">G5776*G5776</f>
        <v>0.25</v>
      </c>
      <c r="W5776" s="0" t="n">
        <f aca="false">H5776*H5776</f>
        <v>0.25</v>
      </c>
      <c r="X5776" s="0" t="n">
        <f aca="false">SUMPRODUCT(I5776:W5776,_XtX!$B$96:$P$96)</f>
        <v>47.5732456140351</v>
      </c>
      <c r="Y5776" s="0" t="n">
        <f aca="false">SUMPRODUCT(MMULT(I5776:W5776,_XtX!$B$78:$P$92),I5776:W5776)</f>
        <v>0.42602110745614</v>
      </c>
      <c r="Z5776" s="0" t="n">
        <f aca="false">04_回帰ANOVA!$K$19*04_回帰ANOVA!$K$14*SQRT(1+Y5776)</f>
        <v>1.55654388501114</v>
      </c>
      <c r="AA5776" s="0" t="n">
        <f aca="false">X5776-Z5776</f>
        <v>46.0167017290239</v>
      </c>
      <c r="AB5776" s="0" t="n">
        <f aca="false">X5776+Z5776</f>
        <v>49.1297894990462</v>
      </c>
      <c r="AC5776" s="54" t="b">
        <f aca="false">AND(E5776&gt;=01_因子設定!$L$5-0.000000001,E5776&lt;=01_因子設定!$M$5+0.000000001,F5776&gt;=01_因子設定!$L$6-0.000000001,F5776&lt;=01_因子設定!$M$6+0.000000001,G5776&gt;=01_因子設定!$L$7-0.000000001,G5776&lt;=01_因子設定!$M$7+0.000000001,H5776&gt;=01_因子設定!$L$8-0.000000001,H5776&lt;=01_因子設定!$M$8+0.000000001,IF(01_因子設定!$B$20="Box-Behnken",E5776^2+F5776^2+G5776^2+H5776^2&lt;=2+0.000000001,TRUE()))</f>
        <v>1</v>
      </c>
      <c r="AD5776" s="55" t="n">
        <f aca="false">IF(AC5776,IF(01_因子設定!$B$13="最大化",AA5776-01_因子設定!$B$14,IF(01_因子設定!$B$13="最小化",01_因子設定!$B$15-AB5776,MIN(AA5776-01_因子設定!$B$14,01_因子設定!$B$15-AB5776))),-1E+030)</f>
        <v>-0.483298270976057</v>
      </c>
      <c r="AE5776" s="55" t="n">
        <f aca="false">IF(AC5776,IF(01_因子設定!$B$13="最大化",X5776,IF(01_因子設定!$B$13="最小化",-X5776,-ABS(X5776-01_因子設定!$B$16))),-1E+030)</f>
        <v>47.5732456140351</v>
      </c>
      <c r="AF5776" s="55" t="n">
        <f aca="false">AD5776+ROW()*0.000000001</f>
        <v>-0.483292494976057</v>
      </c>
      <c r="AG5776" s="55" t="n">
        <f aca="false">AE5776+ROW()*0.000000001</f>
        <v>47.5732513900351</v>
      </c>
    </row>
    <row r="5777" customFormat="false" ht="15" hidden="false" customHeight="false" outlineLevel="0" collapsed="false">
      <c r="A5777" s="0" t="n">
        <v>7</v>
      </c>
      <c r="B5777" s="0" t="n">
        <v>8</v>
      </c>
      <c r="C5777" s="0" t="n">
        <v>2</v>
      </c>
      <c r="D5777" s="0" t="n">
        <v>3</v>
      </c>
      <c r="E5777" s="0" t="n">
        <f aca="false">-1+A5777*0.25</f>
        <v>0.75</v>
      </c>
      <c r="F5777" s="0" t="n">
        <f aca="false">-1+B5777*0.25</f>
        <v>1</v>
      </c>
      <c r="G5777" s="0" t="n">
        <f aca="false">-1+C5777*0.25</f>
        <v>-0.5</v>
      </c>
      <c r="H5777" s="0" t="n">
        <f aca="false">-1+D5777*0.25</f>
        <v>-0.25</v>
      </c>
      <c r="I5777" s="0" t="n">
        <f aca="false">1</f>
        <v>1</v>
      </c>
      <c r="J5777" s="0" t="n">
        <f aca="false">E5777</f>
        <v>0.75</v>
      </c>
      <c r="K5777" s="0" t="n">
        <f aca="false">F5777</f>
        <v>1</v>
      </c>
      <c r="L5777" s="0" t="n">
        <f aca="false">G5777</f>
        <v>-0.5</v>
      </c>
      <c r="M5777" s="0" t="n">
        <f aca="false">H5777</f>
        <v>-0.25</v>
      </c>
      <c r="N5777" s="0" t="n">
        <f aca="false">E5777*F5777</f>
        <v>0.75</v>
      </c>
      <c r="O5777" s="0" t="n">
        <f aca="false">E5777*G5777</f>
        <v>-0.375</v>
      </c>
      <c r="P5777" s="0" t="n">
        <f aca="false">E5777*H5777</f>
        <v>-0.1875</v>
      </c>
      <c r="Q5777" s="0" t="n">
        <f aca="false">F5777*G5777</f>
        <v>-0.5</v>
      </c>
      <c r="R5777" s="0" t="n">
        <f aca="false">F5777*H5777</f>
        <v>-0.25</v>
      </c>
      <c r="S5777" s="0" t="n">
        <f aca="false">G5777*H5777</f>
        <v>0.125</v>
      </c>
      <c r="T5777" s="0" t="n">
        <f aca="false">E5777*E5777</f>
        <v>0.5625</v>
      </c>
      <c r="U5777" s="0" t="n">
        <f aca="false">F5777*F5777</f>
        <v>1</v>
      </c>
      <c r="V5777" s="0" t="n">
        <f aca="false">G5777*G5777</f>
        <v>0.25</v>
      </c>
      <c r="W5777" s="0" t="n">
        <f aca="false">H5777*H5777</f>
        <v>0.0625</v>
      </c>
      <c r="X5777" s="0" t="n">
        <f aca="false">SUMPRODUCT(I5777:W5777,_XtX!$B$96:$P$96)</f>
        <v>47.6807200292398</v>
      </c>
      <c r="Y5777" s="0" t="n">
        <f aca="false">SUMPRODUCT(MMULT(I5777:W5777,_XtX!$B$78:$P$92),I5777:W5777)</f>
        <v>0.459125719572369</v>
      </c>
      <c r="Z5777" s="0" t="n">
        <f aca="false">04_回帰ANOVA!$K$19*04_回帰ANOVA!$K$14*SQRT(1+Y5777)</f>
        <v>1.57450755575573</v>
      </c>
      <c r="AA5777" s="0" t="n">
        <f aca="false">X5777-Z5777</f>
        <v>46.106212473484</v>
      </c>
      <c r="AB5777" s="0" t="n">
        <f aca="false">X5777+Z5777</f>
        <v>49.2552275849955</v>
      </c>
      <c r="AC5777" s="54" t="b">
        <f aca="false">AND(E5777&gt;=01_因子設定!$L$5-0.000000001,E5777&lt;=01_因子設定!$M$5+0.000000001,F5777&gt;=01_因子設定!$L$6-0.000000001,F5777&lt;=01_因子設定!$M$6+0.000000001,G5777&gt;=01_因子設定!$L$7-0.000000001,G5777&lt;=01_因子設定!$M$7+0.000000001,H5777&gt;=01_因子設定!$L$8-0.000000001,H5777&lt;=01_因子設定!$M$8+0.000000001,IF(01_因子設定!$B$20="Box-Behnken",E5777^2+F5777^2+G5777^2+H5777^2&lt;=2+0.000000001,TRUE()))</f>
        <v>1</v>
      </c>
      <c r="AD5777" s="55" t="n">
        <f aca="false">IF(AC5777,IF(01_因子設定!$B$13="最大化",AA5777-01_因子設定!$B$14,IF(01_因子設定!$B$13="最小化",01_因子設定!$B$15-AB5777,MIN(AA5777-01_因子設定!$B$14,01_因子設定!$B$15-AB5777))),-1E+030)</f>
        <v>-0.393787526515979</v>
      </c>
      <c r="AE5777" s="55" t="n">
        <f aca="false">IF(AC5777,IF(01_因子設定!$B$13="最大化",X5777,IF(01_因子設定!$B$13="最小化",-X5777,-ABS(X5777-01_因子設定!$B$16))),-1E+030)</f>
        <v>47.6807200292398</v>
      </c>
      <c r="AF5777" s="55" t="n">
        <f aca="false">AD5777+ROW()*0.000000001</f>
        <v>-0.393781749515979</v>
      </c>
      <c r="AG5777" s="55" t="n">
        <f aca="false">AE5777+ROW()*0.000000001</f>
        <v>47.6807258062398</v>
      </c>
    </row>
    <row r="5778" customFormat="false" ht="15" hidden="false" customHeight="false" outlineLevel="0" collapsed="false">
      <c r="A5778" s="0" t="n">
        <v>7</v>
      </c>
      <c r="B5778" s="0" t="n">
        <v>8</v>
      </c>
      <c r="C5778" s="0" t="n">
        <v>2</v>
      </c>
      <c r="D5778" s="0" t="n">
        <v>4</v>
      </c>
      <c r="E5778" s="0" t="n">
        <f aca="false">-1+A5778*0.25</f>
        <v>0.75</v>
      </c>
      <c r="F5778" s="0" t="n">
        <f aca="false">-1+B5778*0.25</f>
        <v>1</v>
      </c>
      <c r="G5778" s="0" t="n">
        <f aca="false">-1+C5778*0.25</f>
        <v>-0.5</v>
      </c>
      <c r="H5778" s="0" t="n">
        <f aca="false">-1+D5778*0.25</f>
        <v>0</v>
      </c>
      <c r="I5778" s="0" t="n">
        <f aca="false">1</f>
        <v>1</v>
      </c>
      <c r="J5778" s="0" t="n">
        <f aca="false">E5778</f>
        <v>0.75</v>
      </c>
      <c r="K5778" s="0" t="n">
        <f aca="false">F5778</f>
        <v>1</v>
      </c>
      <c r="L5778" s="0" t="n">
        <f aca="false">G5778</f>
        <v>-0.5</v>
      </c>
      <c r="M5778" s="0" t="n">
        <f aca="false">H5778</f>
        <v>0</v>
      </c>
      <c r="N5778" s="0" t="n">
        <f aca="false">E5778*F5778</f>
        <v>0.75</v>
      </c>
      <c r="O5778" s="0" t="n">
        <f aca="false">E5778*G5778</f>
        <v>-0.375</v>
      </c>
      <c r="P5778" s="0" t="n">
        <f aca="false">E5778*H5778</f>
        <v>0</v>
      </c>
      <c r="Q5778" s="0" t="n">
        <f aca="false">F5778*G5778</f>
        <v>-0.5</v>
      </c>
      <c r="R5778" s="0" t="n">
        <f aca="false">F5778*H5778</f>
        <v>0</v>
      </c>
      <c r="S5778" s="0" t="n">
        <f aca="false">G5778*H5778</f>
        <v>-0</v>
      </c>
      <c r="T5778" s="0" t="n">
        <f aca="false">E5778*E5778</f>
        <v>0.5625</v>
      </c>
      <c r="U5778" s="0" t="n">
        <f aca="false">F5778*F5778</f>
        <v>1</v>
      </c>
      <c r="V5778" s="0" t="n">
        <f aca="false">G5778*G5778</f>
        <v>0.25</v>
      </c>
      <c r="W5778" s="0" t="n">
        <f aca="false">H5778*H5778</f>
        <v>0</v>
      </c>
      <c r="X5778" s="0" t="n">
        <f aca="false">SUMPRODUCT(I5778:W5778,_XtX!$B$96:$P$96)</f>
        <v>47.7403874269006</v>
      </c>
      <c r="Y5778" s="0" t="n">
        <f aca="false">SUMPRODUCT(MMULT(I5778:W5778,_XtX!$B$78:$P$92),I5778:W5778)</f>
        <v>0.476191292032164</v>
      </c>
      <c r="Z5778" s="0" t="n">
        <f aca="false">04_回帰ANOVA!$K$19*04_回帰ANOVA!$K$14*SQRT(1+Y5778)</f>
        <v>1.58368831471718</v>
      </c>
      <c r="AA5778" s="0" t="n">
        <f aca="false">X5778-Z5778</f>
        <v>46.1566991121834</v>
      </c>
      <c r="AB5778" s="0" t="n">
        <f aca="false">X5778+Z5778</f>
        <v>49.3240757416178</v>
      </c>
      <c r="AC5778" s="54" t="b">
        <f aca="false">AND(E5778&gt;=01_因子設定!$L$5-0.000000001,E5778&lt;=01_因子設定!$M$5+0.000000001,F5778&gt;=01_因子設定!$L$6-0.000000001,F5778&lt;=01_因子設定!$M$6+0.000000001,G5778&gt;=01_因子設定!$L$7-0.000000001,G5778&lt;=01_因子設定!$M$7+0.000000001,H5778&gt;=01_因子設定!$L$8-0.000000001,H5778&lt;=01_因子設定!$M$8+0.000000001,IF(01_因子設定!$B$20="Box-Behnken",E5778^2+F5778^2+G5778^2+H5778^2&lt;=2+0.000000001,TRUE()))</f>
        <v>1</v>
      </c>
      <c r="AD5778" s="55" t="n">
        <f aca="false">IF(AC5778,IF(01_因子設定!$B$13="最大化",AA5778-01_因子設定!$B$14,IF(01_因子設定!$B$13="最小化",01_因子設定!$B$15-AB5778,MIN(AA5778-01_因子設定!$B$14,01_因子設定!$B$15-AB5778))),-1E+030)</f>
        <v>-0.343300887816611</v>
      </c>
      <c r="AE5778" s="55" t="n">
        <f aca="false">IF(AC5778,IF(01_因子設定!$B$13="最大化",X5778,IF(01_因子設定!$B$13="最小化",-X5778,-ABS(X5778-01_因子設定!$B$16))),-1E+030)</f>
        <v>47.7403874269006</v>
      </c>
      <c r="AF5778" s="55" t="n">
        <f aca="false">AD5778+ROW()*0.000000001</f>
        <v>-0.343295109816611</v>
      </c>
      <c r="AG5778" s="55" t="n">
        <f aca="false">AE5778+ROW()*0.000000001</f>
        <v>47.7403932049006</v>
      </c>
    </row>
    <row r="5779" customFormat="false" ht="15" hidden="false" customHeight="false" outlineLevel="0" collapsed="false">
      <c r="A5779" s="0" t="n">
        <v>7</v>
      </c>
      <c r="B5779" s="0" t="n">
        <v>8</v>
      </c>
      <c r="C5779" s="0" t="n">
        <v>2</v>
      </c>
      <c r="D5779" s="0" t="n">
        <v>5</v>
      </c>
      <c r="E5779" s="0" t="n">
        <f aca="false">-1+A5779*0.25</f>
        <v>0.75</v>
      </c>
      <c r="F5779" s="0" t="n">
        <f aca="false">-1+B5779*0.25</f>
        <v>1</v>
      </c>
      <c r="G5779" s="0" t="n">
        <f aca="false">-1+C5779*0.25</f>
        <v>-0.5</v>
      </c>
      <c r="H5779" s="0" t="n">
        <f aca="false">-1+D5779*0.25</f>
        <v>0.25</v>
      </c>
      <c r="I5779" s="0" t="n">
        <f aca="false">1</f>
        <v>1</v>
      </c>
      <c r="J5779" s="0" t="n">
        <f aca="false">E5779</f>
        <v>0.75</v>
      </c>
      <c r="K5779" s="0" t="n">
        <f aca="false">F5779</f>
        <v>1</v>
      </c>
      <c r="L5779" s="0" t="n">
        <f aca="false">G5779</f>
        <v>-0.5</v>
      </c>
      <c r="M5779" s="0" t="n">
        <f aca="false">H5779</f>
        <v>0.25</v>
      </c>
      <c r="N5779" s="0" t="n">
        <f aca="false">E5779*F5779</f>
        <v>0.75</v>
      </c>
      <c r="O5779" s="0" t="n">
        <f aca="false">E5779*G5779</f>
        <v>-0.375</v>
      </c>
      <c r="P5779" s="0" t="n">
        <f aca="false">E5779*H5779</f>
        <v>0.1875</v>
      </c>
      <c r="Q5779" s="0" t="n">
        <f aca="false">F5779*G5779</f>
        <v>-0.5</v>
      </c>
      <c r="R5779" s="0" t="n">
        <f aca="false">F5779*H5779</f>
        <v>0.25</v>
      </c>
      <c r="S5779" s="0" t="n">
        <f aca="false">G5779*H5779</f>
        <v>-0.125</v>
      </c>
      <c r="T5779" s="0" t="n">
        <f aca="false">E5779*E5779</f>
        <v>0.5625</v>
      </c>
      <c r="U5779" s="0" t="n">
        <f aca="false">F5779*F5779</f>
        <v>1</v>
      </c>
      <c r="V5779" s="0" t="n">
        <f aca="false">G5779*G5779</f>
        <v>0.25</v>
      </c>
      <c r="W5779" s="0" t="n">
        <f aca="false">H5779*H5779</f>
        <v>0.0625</v>
      </c>
      <c r="X5779" s="0" t="n">
        <f aca="false">SUMPRODUCT(I5779:W5779,_XtX!$B$96:$P$96)</f>
        <v>47.7522478070175</v>
      </c>
      <c r="Y5779" s="0" t="n">
        <f aca="false">SUMPRODUCT(MMULT(I5779:W5779,_XtX!$B$78:$P$92),I5779:W5779)</f>
        <v>0.459125719572369</v>
      </c>
      <c r="Z5779" s="0" t="n">
        <f aca="false">04_回帰ANOVA!$K$19*04_回帰ANOVA!$K$14*SQRT(1+Y5779)</f>
        <v>1.57450755575573</v>
      </c>
      <c r="AA5779" s="0" t="n">
        <f aca="false">X5779-Z5779</f>
        <v>46.1777402512618</v>
      </c>
      <c r="AB5779" s="0" t="n">
        <f aca="false">X5779+Z5779</f>
        <v>49.3267553627733</v>
      </c>
      <c r="AC5779" s="54" t="b">
        <f aca="false">AND(E5779&gt;=01_因子設定!$L$5-0.000000001,E5779&lt;=01_因子設定!$M$5+0.000000001,F5779&gt;=01_因子設定!$L$6-0.000000001,F5779&lt;=01_因子設定!$M$6+0.000000001,G5779&gt;=01_因子設定!$L$7-0.000000001,G5779&lt;=01_因子設定!$M$7+0.000000001,H5779&gt;=01_因子設定!$L$8-0.000000001,H5779&lt;=01_因子設定!$M$8+0.000000001,IF(01_因子設定!$B$20="Box-Behnken",E5779^2+F5779^2+G5779^2+H5779^2&lt;=2+0.000000001,TRUE()))</f>
        <v>1</v>
      </c>
      <c r="AD5779" s="55" t="n">
        <f aca="false">IF(AC5779,IF(01_因子設定!$B$13="最大化",AA5779-01_因子設定!$B$14,IF(01_因子設定!$B$13="最小化",01_因子設定!$B$15-AB5779,MIN(AA5779-01_因子設定!$B$14,01_因子設定!$B$15-AB5779))),-1E+030)</f>
        <v>-0.322259748738198</v>
      </c>
      <c r="AE5779" s="55" t="n">
        <f aca="false">IF(AC5779,IF(01_因子設定!$B$13="最大化",X5779,IF(01_因子設定!$B$13="最小化",-X5779,-ABS(X5779-01_因子設定!$B$16))),-1E+030)</f>
        <v>47.7522478070175</v>
      </c>
      <c r="AF5779" s="55" t="n">
        <f aca="false">AD5779+ROW()*0.000000001</f>
        <v>-0.322253969738198</v>
      </c>
      <c r="AG5779" s="55" t="n">
        <f aca="false">AE5779+ROW()*0.000000001</f>
        <v>47.7522535860175</v>
      </c>
    </row>
    <row r="5780" customFormat="false" ht="15" hidden="false" customHeight="false" outlineLevel="0" collapsed="false">
      <c r="A5780" s="0" t="n">
        <v>7</v>
      </c>
      <c r="B5780" s="0" t="n">
        <v>8</v>
      </c>
      <c r="C5780" s="0" t="n">
        <v>2</v>
      </c>
      <c r="D5780" s="0" t="n">
        <v>6</v>
      </c>
      <c r="E5780" s="0" t="n">
        <f aca="false">-1+A5780*0.25</f>
        <v>0.75</v>
      </c>
      <c r="F5780" s="0" t="n">
        <f aca="false">-1+B5780*0.25</f>
        <v>1</v>
      </c>
      <c r="G5780" s="0" t="n">
        <f aca="false">-1+C5780*0.25</f>
        <v>-0.5</v>
      </c>
      <c r="H5780" s="0" t="n">
        <f aca="false">-1+D5780*0.25</f>
        <v>0.5</v>
      </c>
      <c r="I5780" s="0" t="n">
        <f aca="false">1</f>
        <v>1</v>
      </c>
      <c r="J5780" s="0" t="n">
        <f aca="false">E5780</f>
        <v>0.75</v>
      </c>
      <c r="K5780" s="0" t="n">
        <f aca="false">F5780</f>
        <v>1</v>
      </c>
      <c r="L5780" s="0" t="n">
        <f aca="false">G5780</f>
        <v>-0.5</v>
      </c>
      <c r="M5780" s="0" t="n">
        <f aca="false">H5780</f>
        <v>0.5</v>
      </c>
      <c r="N5780" s="0" t="n">
        <f aca="false">E5780*F5780</f>
        <v>0.75</v>
      </c>
      <c r="O5780" s="0" t="n">
        <f aca="false">E5780*G5780</f>
        <v>-0.375</v>
      </c>
      <c r="P5780" s="0" t="n">
        <f aca="false">E5780*H5780</f>
        <v>0.375</v>
      </c>
      <c r="Q5780" s="0" t="n">
        <f aca="false">F5780*G5780</f>
        <v>-0.5</v>
      </c>
      <c r="R5780" s="0" t="n">
        <f aca="false">F5780*H5780</f>
        <v>0.5</v>
      </c>
      <c r="S5780" s="0" t="n">
        <f aca="false">G5780*H5780</f>
        <v>-0.25</v>
      </c>
      <c r="T5780" s="0" t="n">
        <f aca="false">E5780*E5780</f>
        <v>0.5625</v>
      </c>
      <c r="U5780" s="0" t="n">
        <f aca="false">F5780*F5780</f>
        <v>1</v>
      </c>
      <c r="V5780" s="0" t="n">
        <f aca="false">G5780*G5780</f>
        <v>0.25</v>
      </c>
      <c r="W5780" s="0" t="n">
        <f aca="false">H5780*H5780</f>
        <v>0.25</v>
      </c>
      <c r="X5780" s="0" t="n">
        <f aca="false">SUMPRODUCT(I5780:W5780,_XtX!$B$96:$P$96)</f>
        <v>47.7163011695906</v>
      </c>
      <c r="Y5780" s="0" t="n">
        <f aca="false">SUMPRODUCT(MMULT(I5780:W5780,_XtX!$B$78:$P$92),I5780:W5780)</f>
        <v>0.42602110745614</v>
      </c>
      <c r="Z5780" s="0" t="n">
        <f aca="false">04_回帰ANOVA!$K$19*04_回帰ANOVA!$K$14*SQRT(1+Y5780)</f>
        <v>1.55654388501114</v>
      </c>
      <c r="AA5780" s="0" t="n">
        <f aca="false">X5780-Z5780</f>
        <v>46.1597572845795</v>
      </c>
      <c r="AB5780" s="0" t="n">
        <f aca="false">X5780+Z5780</f>
        <v>49.2728450546018</v>
      </c>
      <c r="AC5780" s="54" t="b">
        <f aca="false">AND(E5780&gt;=01_因子設定!$L$5-0.000000001,E5780&lt;=01_因子設定!$M$5+0.000000001,F5780&gt;=01_因子設定!$L$6-0.000000001,F5780&lt;=01_因子設定!$M$6+0.000000001,G5780&gt;=01_因子設定!$L$7-0.000000001,G5780&lt;=01_因子設定!$M$7+0.000000001,H5780&gt;=01_因子設定!$L$8-0.000000001,H5780&lt;=01_因子設定!$M$8+0.000000001,IF(01_因子設定!$B$20="Box-Behnken",E5780^2+F5780^2+G5780^2+H5780^2&lt;=2+0.000000001,TRUE()))</f>
        <v>1</v>
      </c>
      <c r="AD5780" s="55" t="n">
        <f aca="false">IF(AC5780,IF(01_因子設定!$B$13="最大化",AA5780-01_因子設定!$B$14,IF(01_因子設定!$B$13="最小化",01_因子設定!$B$15-AB5780,MIN(AA5780-01_因子設定!$B$14,01_因子設定!$B$15-AB5780))),-1E+030)</f>
        <v>-0.340242715420501</v>
      </c>
      <c r="AE5780" s="55" t="n">
        <f aca="false">IF(AC5780,IF(01_因子設定!$B$13="最大化",X5780,IF(01_因子設定!$B$13="最小化",-X5780,-ABS(X5780-01_因子設定!$B$16))),-1E+030)</f>
        <v>47.7163011695906</v>
      </c>
      <c r="AF5780" s="55" t="n">
        <f aca="false">AD5780+ROW()*0.000000001</f>
        <v>-0.340236935420501</v>
      </c>
      <c r="AG5780" s="55" t="n">
        <f aca="false">AE5780+ROW()*0.000000001</f>
        <v>47.7163069495906</v>
      </c>
    </row>
    <row r="5781" customFormat="false" ht="15" hidden="false" customHeight="false" outlineLevel="0" collapsed="false">
      <c r="A5781" s="0" t="n">
        <v>7</v>
      </c>
      <c r="B5781" s="0" t="n">
        <v>8</v>
      </c>
      <c r="C5781" s="0" t="n">
        <v>2</v>
      </c>
      <c r="D5781" s="0" t="n">
        <v>7</v>
      </c>
      <c r="E5781" s="0" t="n">
        <f aca="false">-1+A5781*0.25</f>
        <v>0.75</v>
      </c>
      <c r="F5781" s="0" t="n">
        <f aca="false">-1+B5781*0.25</f>
        <v>1</v>
      </c>
      <c r="G5781" s="0" t="n">
        <f aca="false">-1+C5781*0.25</f>
        <v>-0.5</v>
      </c>
      <c r="H5781" s="0" t="n">
        <f aca="false">-1+D5781*0.25</f>
        <v>0.75</v>
      </c>
      <c r="I5781" s="0" t="n">
        <f aca="false">1</f>
        <v>1</v>
      </c>
      <c r="J5781" s="0" t="n">
        <f aca="false">E5781</f>
        <v>0.75</v>
      </c>
      <c r="K5781" s="0" t="n">
        <f aca="false">F5781</f>
        <v>1</v>
      </c>
      <c r="L5781" s="0" t="n">
        <f aca="false">G5781</f>
        <v>-0.5</v>
      </c>
      <c r="M5781" s="0" t="n">
        <f aca="false">H5781</f>
        <v>0.75</v>
      </c>
      <c r="N5781" s="0" t="n">
        <f aca="false">E5781*F5781</f>
        <v>0.75</v>
      </c>
      <c r="O5781" s="0" t="n">
        <f aca="false">E5781*G5781</f>
        <v>-0.375</v>
      </c>
      <c r="P5781" s="0" t="n">
        <f aca="false">E5781*H5781</f>
        <v>0.5625</v>
      </c>
      <c r="Q5781" s="0" t="n">
        <f aca="false">F5781*G5781</f>
        <v>-0.5</v>
      </c>
      <c r="R5781" s="0" t="n">
        <f aca="false">F5781*H5781</f>
        <v>0.75</v>
      </c>
      <c r="S5781" s="0" t="n">
        <f aca="false">G5781*H5781</f>
        <v>-0.375</v>
      </c>
      <c r="T5781" s="0" t="n">
        <f aca="false">E5781*E5781</f>
        <v>0.5625</v>
      </c>
      <c r="U5781" s="0" t="n">
        <f aca="false">F5781*F5781</f>
        <v>1</v>
      </c>
      <c r="V5781" s="0" t="n">
        <f aca="false">G5781*G5781</f>
        <v>0.25</v>
      </c>
      <c r="W5781" s="0" t="n">
        <f aca="false">H5781*H5781</f>
        <v>0.5625</v>
      </c>
      <c r="X5781" s="0" t="n">
        <f aca="false">SUMPRODUCT(I5781:W5781,_XtX!$B$96:$P$96)</f>
        <v>47.6325475146199</v>
      </c>
      <c r="Y5781" s="0" t="n">
        <f aca="false">SUMPRODUCT(MMULT(I5781:W5781,_XtX!$B$78:$P$92),I5781:W5781)</f>
        <v>0.431153771472953</v>
      </c>
      <c r="Z5781" s="0" t="n">
        <f aca="false">04_回帰ANOVA!$K$19*04_回帰ANOVA!$K$14*SQRT(1+Y5781)</f>
        <v>1.55934259562563</v>
      </c>
      <c r="AA5781" s="0" t="n">
        <f aca="false">X5781-Z5781</f>
        <v>46.0732049189943</v>
      </c>
      <c r="AB5781" s="0" t="n">
        <f aca="false">X5781+Z5781</f>
        <v>49.1918901102455</v>
      </c>
      <c r="AC5781" s="54" t="b">
        <f aca="false">AND(E5781&gt;=01_因子設定!$L$5-0.000000001,E5781&lt;=01_因子設定!$M$5+0.000000001,F5781&gt;=01_因子設定!$L$6-0.000000001,F5781&lt;=01_因子設定!$M$6+0.000000001,G5781&gt;=01_因子設定!$L$7-0.000000001,G5781&lt;=01_因子設定!$M$7+0.000000001,H5781&gt;=01_因子設定!$L$8-0.000000001,H5781&lt;=01_因子設定!$M$8+0.000000001,IF(01_因子設定!$B$20="Box-Behnken",E5781^2+F5781^2+G5781^2+H5781^2&lt;=2+0.000000001,TRUE()))</f>
        <v>1</v>
      </c>
      <c r="AD5781" s="55" t="n">
        <f aca="false">IF(AC5781,IF(01_因子設定!$B$13="最大化",AA5781-01_因子設定!$B$14,IF(01_因子設定!$B$13="最小化",01_因子設定!$B$15-AB5781,MIN(AA5781-01_因子設定!$B$14,01_因子設定!$B$15-AB5781))),-1E+030)</f>
        <v>-0.426795081005743</v>
      </c>
      <c r="AE5781" s="55" t="n">
        <f aca="false">IF(AC5781,IF(01_因子設定!$B$13="最大化",X5781,IF(01_因子設定!$B$13="最小化",-X5781,-ABS(X5781-01_因子設定!$B$16))),-1E+030)</f>
        <v>47.6325475146199</v>
      </c>
      <c r="AF5781" s="55" t="n">
        <f aca="false">AD5781+ROW()*0.000000001</f>
        <v>-0.426789300005743</v>
      </c>
      <c r="AG5781" s="55" t="n">
        <f aca="false">AE5781+ROW()*0.000000001</f>
        <v>47.6325532956199</v>
      </c>
    </row>
    <row r="5782" customFormat="false" ht="15" hidden="false" customHeight="false" outlineLevel="0" collapsed="false">
      <c r="A5782" s="0" t="n">
        <v>7</v>
      </c>
      <c r="B5782" s="0" t="n">
        <v>8</v>
      </c>
      <c r="C5782" s="0" t="n">
        <v>2</v>
      </c>
      <c r="D5782" s="0" t="n">
        <v>8</v>
      </c>
      <c r="E5782" s="0" t="n">
        <f aca="false">-1+A5782*0.25</f>
        <v>0.75</v>
      </c>
      <c r="F5782" s="0" t="n">
        <f aca="false">-1+B5782*0.25</f>
        <v>1</v>
      </c>
      <c r="G5782" s="0" t="n">
        <f aca="false">-1+C5782*0.25</f>
        <v>-0.5</v>
      </c>
      <c r="H5782" s="0" t="n">
        <f aca="false">-1+D5782*0.25</f>
        <v>1</v>
      </c>
      <c r="I5782" s="0" t="n">
        <f aca="false">1</f>
        <v>1</v>
      </c>
      <c r="J5782" s="0" t="n">
        <f aca="false">E5782</f>
        <v>0.75</v>
      </c>
      <c r="K5782" s="0" t="n">
        <f aca="false">F5782</f>
        <v>1</v>
      </c>
      <c r="L5782" s="0" t="n">
        <f aca="false">G5782</f>
        <v>-0.5</v>
      </c>
      <c r="M5782" s="0" t="n">
        <f aca="false">H5782</f>
        <v>1</v>
      </c>
      <c r="N5782" s="0" t="n">
        <f aca="false">E5782*F5782</f>
        <v>0.75</v>
      </c>
      <c r="O5782" s="0" t="n">
        <f aca="false">E5782*G5782</f>
        <v>-0.375</v>
      </c>
      <c r="P5782" s="0" t="n">
        <f aca="false">E5782*H5782</f>
        <v>0.75</v>
      </c>
      <c r="Q5782" s="0" t="n">
        <f aca="false">F5782*G5782</f>
        <v>-0.5</v>
      </c>
      <c r="R5782" s="0" t="n">
        <f aca="false">F5782*H5782</f>
        <v>1</v>
      </c>
      <c r="S5782" s="0" t="n">
        <f aca="false">G5782*H5782</f>
        <v>-0.5</v>
      </c>
      <c r="T5782" s="0" t="n">
        <f aca="false">E5782*E5782</f>
        <v>0.5625</v>
      </c>
      <c r="U5782" s="0" t="n">
        <f aca="false">F5782*F5782</f>
        <v>1</v>
      </c>
      <c r="V5782" s="0" t="n">
        <f aca="false">G5782*G5782</f>
        <v>0.25</v>
      </c>
      <c r="W5782" s="0" t="n">
        <f aca="false">H5782*H5782</f>
        <v>1</v>
      </c>
      <c r="X5782" s="0" t="n">
        <f aca="false">SUMPRODUCT(I5782:W5782,_XtX!$B$96:$P$96)</f>
        <v>47.5009868421053</v>
      </c>
      <c r="Y5782" s="0" t="n">
        <f aca="false">SUMPRODUCT(MMULT(I5782:W5782,_XtX!$B$78:$P$92),I5782:W5782)</f>
        <v>0.564984237938597</v>
      </c>
      <c r="Z5782" s="0" t="n">
        <f aca="false">04_回帰ANOVA!$K$19*04_回帰ANOVA!$K$14*SQRT(1+Y5782)</f>
        <v>1.63062229734503</v>
      </c>
      <c r="AA5782" s="0" t="n">
        <f aca="false">X5782-Z5782</f>
        <v>45.8703645447603</v>
      </c>
      <c r="AB5782" s="0" t="n">
        <f aca="false">X5782+Z5782</f>
        <v>49.1316091394503</v>
      </c>
      <c r="AC5782" s="54" t="b">
        <f aca="false">AND(E5782&gt;=01_因子設定!$L$5-0.000000001,E5782&lt;=01_因子設定!$M$5+0.000000001,F5782&gt;=01_因子設定!$L$6-0.000000001,F5782&lt;=01_因子設定!$M$6+0.000000001,G5782&gt;=01_因子設定!$L$7-0.000000001,G5782&lt;=01_因子設定!$M$7+0.000000001,H5782&gt;=01_因子設定!$L$8-0.000000001,H5782&lt;=01_因子設定!$M$8+0.000000001,IF(01_因子設定!$B$20="Box-Behnken",E5782^2+F5782^2+G5782^2+H5782^2&lt;=2+0.000000001,TRUE()))</f>
        <v>1</v>
      </c>
      <c r="AD5782" s="55" t="n">
        <f aca="false">IF(AC5782,IF(01_因子設定!$B$13="最大化",AA5782-01_因子設定!$B$14,IF(01_因子設定!$B$13="最小化",01_因子設定!$B$15-AB5782,MIN(AA5782-01_因子設定!$B$14,01_因子設定!$B$15-AB5782))),-1E+030)</f>
        <v>-0.62963545523975</v>
      </c>
      <c r="AE5782" s="55" t="n">
        <f aca="false">IF(AC5782,IF(01_因子設定!$B$13="最大化",X5782,IF(01_因子設定!$B$13="最小化",-X5782,-ABS(X5782-01_因子設定!$B$16))),-1E+030)</f>
        <v>47.5009868421053</v>
      </c>
      <c r="AF5782" s="55" t="n">
        <f aca="false">AD5782+ROW()*0.000000001</f>
        <v>-0.62962967323975</v>
      </c>
      <c r="AG5782" s="55" t="n">
        <f aca="false">AE5782+ROW()*0.000000001</f>
        <v>47.5009926241053</v>
      </c>
    </row>
    <row r="5783" customFormat="false" ht="15" hidden="false" customHeight="false" outlineLevel="0" collapsed="false">
      <c r="A5783" s="0" t="n">
        <v>7</v>
      </c>
      <c r="B5783" s="0" t="n">
        <v>8</v>
      </c>
      <c r="C5783" s="0" t="n">
        <v>3</v>
      </c>
      <c r="D5783" s="0" t="n">
        <v>0</v>
      </c>
      <c r="E5783" s="0" t="n">
        <f aca="false">-1+A5783*0.25</f>
        <v>0.75</v>
      </c>
      <c r="F5783" s="0" t="n">
        <f aca="false">-1+B5783*0.25</f>
        <v>1</v>
      </c>
      <c r="G5783" s="0" t="n">
        <f aca="false">-1+C5783*0.25</f>
        <v>-0.25</v>
      </c>
      <c r="H5783" s="0" t="n">
        <f aca="false">-1+D5783*0.25</f>
        <v>-1</v>
      </c>
      <c r="I5783" s="0" t="n">
        <f aca="false">1</f>
        <v>1</v>
      </c>
      <c r="J5783" s="0" t="n">
        <f aca="false">E5783</f>
        <v>0.75</v>
      </c>
      <c r="K5783" s="0" t="n">
        <f aca="false">F5783</f>
        <v>1</v>
      </c>
      <c r="L5783" s="0" t="n">
        <f aca="false">G5783</f>
        <v>-0.25</v>
      </c>
      <c r="M5783" s="0" t="n">
        <f aca="false">H5783</f>
        <v>-1</v>
      </c>
      <c r="N5783" s="0" t="n">
        <f aca="false">E5783*F5783</f>
        <v>0.75</v>
      </c>
      <c r="O5783" s="0" t="n">
        <f aca="false">E5783*G5783</f>
        <v>-0.1875</v>
      </c>
      <c r="P5783" s="0" t="n">
        <f aca="false">E5783*H5783</f>
        <v>-0.75</v>
      </c>
      <c r="Q5783" s="0" t="n">
        <f aca="false">F5783*G5783</f>
        <v>-0.25</v>
      </c>
      <c r="R5783" s="0" t="n">
        <f aca="false">F5783*H5783</f>
        <v>-1</v>
      </c>
      <c r="S5783" s="0" t="n">
        <f aca="false">G5783*H5783</f>
        <v>0.25</v>
      </c>
      <c r="T5783" s="0" t="n">
        <f aca="false">E5783*E5783</f>
        <v>0.5625</v>
      </c>
      <c r="U5783" s="0" t="n">
        <f aca="false">F5783*F5783</f>
        <v>1</v>
      </c>
      <c r="V5783" s="0" t="n">
        <f aca="false">G5783*G5783</f>
        <v>0.0625</v>
      </c>
      <c r="W5783" s="0" t="n">
        <f aca="false">H5783*H5783</f>
        <v>1</v>
      </c>
      <c r="X5783" s="0" t="n">
        <f aca="false">SUMPRODUCT(I5783:W5783,_XtX!$B$96:$P$96)</f>
        <v>47.4730445906433</v>
      </c>
      <c r="Y5783" s="0" t="n">
        <f aca="false">SUMPRODUCT(MMULT(I5783:W5783,_XtX!$B$78:$P$92),I5783:W5783)</f>
        <v>0.621372155975877</v>
      </c>
      <c r="Z5783" s="0" t="n">
        <f aca="false">04_回帰ANOVA!$K$19*04_回帰ANOVA!$K$14*SQRT(1+Y5783)</f>
        <v>1.65973880499872</v>
      </c>
      <c r="AA5783" s="0" t="n">
        <f aca="false">X5783-Z5783</f>
        <v>45.8133057856446</v>
      </c>
      <c r="AB5783" s="0" t="n">
        <f aca="false">X5783+Z5783</f>
        <v>49.132783395642</v>
      </c>
      <c r="AC5783" s="54" t="b">
        <f aca="false">AND(E5783&gt;=01_因子設定!$L$5-0.000000001,E5783&lt;=01_因子設定!$M$5+0.000000001,F5783&gt;=01_因子設定!$L$6-0.000000001,F5783&lt;=01_因子設定!$M$6+0.000000001,G5783&gt;=01_因子設定!$L$7-0.000000001,G5783&lt;=01_因子設定!$M$7+0.000000001,H5783&gt;=01_因子設定!$L$8-0.000000001,H5783&lt;=01_因子設定!$M$8+0.000000001,IF(01_因子設定!$B$20="Box-Behnken",E5783^2+F5783^2+G5783^2+H5783^2&lt;=2+0.000000001,TRUE()))</f>
        <v>1</v>
      </c>
      <c r="AD5783" s="55" t="n">
        <f aca="false">IF(AC5783,IF(01_因子設定!$B$13="最大化",AA5783-01_因子設定!$B$14,IF(01_因子設定!$B$13="最小化",01_因子設定!$B$15-AB5783,MIN(AA5783-01_因子設定!$B$14,01_因子設定!$B$15-AB5783))),-1E+030)</f>
        <v>-0.68669421435542</v>
      </c>
      <c r="AE5783" s="55" t="n">
        <f aca="false">IF(AC5783,IF(01_因子設定!$B$13="最大化",X5783,IF(01_因子設定!$B$13="最小化",-X5783,-ABS(X5783-01_因子設定!$B$16))),-1E+030)</f>
        <v>47.4730445906433</v>
      </c>
      <c r="AF5783" s="55" t="n">
        <f aca="false">AD5783+ROW()*0.000000001</f>
        <v>-0.68668843135542</v>
      </c>
      <c r="AG5783" s="55" t="n">
        <f aca="false">AE5783+ROW()*0.000000001</f>
        <v>47.4730503736433</v>
      </c>
    </row>
    <row r="5784" customFormat="false" ht="15" hidden="false" customHeight="false" outlineLevel="0" collapsed="false">
      <c r="A5784" s="0" t="n">
        <v>7</v>
      </c>
      <c r="B5784" s="0" t="n">
        <v>8</v>
      </c>
      <c r="C5784" s="0" t="n">
        <v>3</v>
      </c>
      <c r="D5784" s="0" t="n">
        <v>1</v>
      </c>
      <c r="E5784" s="0" t="n">
        <f aca="false">-1+A5784*0.25</f>
        <v>0.75</v>
      </c>
      <c r="F5784" s="0" t="n">
        <f aca="false">-1+B5784*0.25</f>
        <v>1</v>
      </c>
      <c r="G5784" s="0" t="n">
        <f aca="false">-1+C5784*0.25</f>
        <v>-0.25</v>
      </c>
      <c r="H5784" s="0" t="n">
        <f aca="false">-1+D5784*0.25</f>
        <v>-0.75</v>
      </c>
      <c r="I5784" s="0" t="n">
        <f aca="false">1</f>
        <v>1</v>
      </c>
      <c r="J5784" s="0" t="n">
        <f aca="false">E5784</f>
        <v>0.75</v>
      </c>
      <c r="K5784" s="0" t="n">
        <f aca="false">F5784</f>
        <v>1</v>
      </c>
      <c r="L5784" s="0" t="n">
        <f aca="false">G5784</f>
        <v>-0.25</v>
      </c>
      <c r="M5784" s="0" t="n">
        <f aca="false">H5784</f>
        <v>-0.75</v>
      </c>
      <c r="N5784" s="0" t="n">
        <f aca="false">E5784*F5784</f>
        <v>0.75</v>
      </c>
      <c r="O5784" s="0" t="n">
        <f aca="false">E5784*G5784</f>
        <v>-0.1875</v>
      </c>
      <c r="P5784" s="0" t="n">
        <f aca="false">E5784*H5784</f>
        <v>-0.5625</v>
      </c>
      <c r="Q5784" s="0" t="n">
        <f aca="false">F5784*G5784</f>
        <v>-0.25</v>
      </c>
      <c r="R5784" s="0" t="n">
        <f aca="false">F5784*H5784</f>
        <v>-0.75</v>
      </c>
      <c r="S5784" s="0" t="n">
        <f aca="false">G5784*H5784</f>
        <v>0.1875</v>
      </c>
      <c r="T5784" s="0" t="n">
        <f aca="false">E5784*E5784</f>
        <v>0.5625</v>
      </c>
      <c r="U5784" s="0" t="n">
        <f aca="false">F5784*F5784</f>
        <v>1</v>
      </c>
      <c r="V5784" s="0" t="n">
        <f aca="false">G5784*G5784</f>
        <v>0.0625</v>
      </c>
      <c r="W5784" s="0" t="n">
        <f aca="false">H5784*H5784</f>
        <v>0.5625</v>
      </c>
      <c r="X5784" s="0" t="n">
        <f aca="false">SUMPRODUCT(I5784:W5784,_XtX!$B$96:$P$96)</f>
        <v>47.6941017909357</v>
      </c>
      <c r="Y5784" s="0" t="n">
        <f aca="false">SUMPRODUCT(MMULT(I5784:W5784,_XtX!$B$78:$P$92),I5784:W5784)</f>
        <v>0.473959761056287</v>
      </c>
      <c r="Z5784" s="0" t="n">
        <f aca="false">04_回帰ANOVA!$K$19*04_回帰ANOVA!$K$14*SQRT(1+Y5784)</f>
        <v>1.58249084588329</v>
      </c>
      <c r="AA5784" s="0" t="n">
        <f aca="false">X5784-Z5784</f>
        <v>46.1116109450524</v>
      </c>
      <c r="AB5784" s="0" t="n">
        <f aca="false">X5784+Z5784</f>
        <v>49.276592636819</v>
      </c>
      <c r="AC5784" s="54" t="b">
        <f aca="false">AND(E5784&gt;=01_因子設定!$L$5-0.000000001,E5784&lt;=01_因子設定!$M$5+0.000000001,F5784&gt;=01_因子設定!$L$6-0.000000001,F5784&lt;=01_因子設定!$M$6+0.000000001,G5784&gt;=01_因子設定!$L$7-0.000000001,G5784&lt;=01_因子設定!$M$7+0.000000001,H5784&gt;=01_因子設定!$L$8-0.000000001,H5784&lt;=01_因子設定!$M$8+0.000000001,IF(01_因子設定!$B$20="Box-Behnken",E5784^2+F5784^2+G5784^2+H5784^2&lt;=2+0.000000001,TRUE()))</f>
        <v>1</v>
      </c>
      <c r="AD5784" s="55" t="n">
        <f aca="false">IF(AC5784,IF(01_因子設定!$B$13="最大化",AA5784-01_因子設定!$B$14,IF(01_因子設定!$B$13="最小化",01_因子設定!$B$15-AB5784,MIN(AA5784-01_因子設定!$B$14,01_因子設定!$B$15-AB5784))),-1E+030)</f>
        <v>-0.388389054947609</v>
      </c>
      <c r="AE5784" s="55" t="n">
        <f aca="false">IF(AC5784,IF(01_因子設定!$B$13="最大化",X5784,IF(01_因子設定!$B$13="最小化",-X5784,-ABS(X5784-01_因子設定!$B$16))),-1E+030)</f>
        <v>47.6941017909357</v>
      </c>
      <c r="AF5784" s="55" t="n">
        <f aca="false">AD5784+ROW()*0.000000001</f>
        <v>-0.388383270947609</v>
      </c>
      <c r="AG5784" s="55" t="n">
        <f aca="false">AE5784+ROW()*0.000000001</f>
        <v>47.6941075749357</v>
      </c>
    </row>
    <row r="5785" customFormat="false" ht="15" hidden="false" customHeight="false" outlineLevel="0" collapsed="false">
      <c r="A5785" s="0" t="n">
        <v>7</v>
      </c>
      <c r="B5785" s="0" t="n">
        <v>8</v>
      </c>
      <c r="C5785" s="0" t="n">
        <v>3</v>
      </c>
      <c r="D5785" s="0" t="n">
        <v>2</v>
      </c>
      <c r="E5785" s="0" t="n">
        <f aca="false">-1+A5785*0.25</f>
        <v>0.75</v>
      </c>
      <c r="F5785" s="0" t="n">
        <f aca="false">-1+B5785*0.25</f>
        <v>1</v>
      </c>
      <c r="G5785" s="0" t="n">
        <f aca="false">-1+C5785*0.25</f>
        <v>-0.25</v>
      </c>
      <c r="H5785" s="0" t="n">
        <f aca="false">-1+D5785*0.25</f>
        <v>-0.5</v>
      </c>
      <c r="I5785" s="0" t="n">
        <f aca="false">1</f>
        <v>1</v>
      </c>
      <c r="J5785" s="0" t="n">
        <f aca="false">E5785</f>
        <v>0.75</v>
      </c>
      <c r="K5785" s="0" t="n">
        <f aca="false">F5785</f>
        <v>1</v>
      </c>
      <c r="L5785" s="0" t="n">
        <f aca="false">G5785</f>
        <v>-0.25</v>
      </c>
      <c r="M5785" s="0" t="n">
        <f aca="false">H5785</f>
        <v>-0.5</v>
      </c>
      <c r="N5785" s="0" t="n">
        <f aca="false">E5785*F5785</f>
        <v>0.75</v>
      </c>
      <c r="O5785" s="0" t="n">
        <f aca="false">E5785*G5785</f>
        <v>-0.1875</v>
      </c>
      <c r="P5785" s="0" t="n">
        <f aca="false">E5785*H5785</f>
        <v>-0.375</v>
      </c>
      <c r="Q5785" s="0" t="n">
        <f aca="false">F5785*G5785</f>
        <v>-0.25</v>
      </c>
      <c r="R5785" s="0" t="n">
        <f aca="false">F5785*H5785</f>
        <v>-0.5</v>
      </c>
      <c r="S5785" s="0" t="n">
        <f aca="false">G5785*H5785</f>
        <v>0.125</v>
      </c>
      <c r="T5785" s="0" t="n">
        <f aca="false">E5785*E5785</f>
        <v>0.5625</v>
      </c>
      <c r="U5785" s="0" t="n">
        <f aca="false">F5785*F5785</f>
        <v>1</v>
      </c>
      <c r="V5785" s="0" t="n">
        <f aca="false">G5785*G5785</f>
        <v>0.0625</v>
      </c>
      <c r="W5785" s="0" t="n">
        <f aca="false">H5785*H5785</f>
        <v>0.25</v>
      </c>
      <c r="X5785" s="0" t="n">
        <f aca="false">SUMPRODUCT(I5785:W5785,_XtX!$B$96:$P$96)</f>
        <v>47.8673519736842</v>
      </c>
      <c r="Y5785" s="0" t="n">
        <f aca="false">SUMPRODUCT(MMULT(I5785:W5785,_XtX!$B$78:$P$92),I5785:W5785)</f>
        <v>0.459125719572369</v>
      </c>
      <c r="Z5785" s="0" t="n">
        <f aca="false">04_回帰ANOVA!$K$19*04_回帰ANOVA!$K$14*SQRT(1+Y5785)</f>
        <v>1.57450755575573</v>
      </c>
      <c r="AA5785" s="0" t="n">
        <f aca="false">X5785-Z5785</f>
        <v>46.2928444179285</v>
      </c>
      <c r="AB5785" s="0" t="n">
        <f aca="false">X5785+Z5785</f>
        <v>49.4418595294399</v>
      </c>
      <c r="AC5785" s="54" t="b">
        <f aca="false">AND(E5785&gt;=01_因子設定!$L$5-0.000000001,E5785&lt;=01_因子設定!$M$5+0.000000001,F5785&gt;=01_因子設定!$L$6-0.000000001,F5785&lt;=01_因子設定!$M$6+0.000000001,G5785&gt;=01_因子設定!$L$7-0.000000001,G5785&lt;=01_因子設定!$M$7+0.000000001,H5785&gt;=01_因子設定!$L$8-0.000000001,H5785&lt;=01_因子設定!$M$8+0.000000001,IF(01_因子設定!$B$20="Box-Behnken",E5785^2+F5785^2+G5785^2+H5785^2&lt;=2+0.000000001,TRUE()))</f>
        <v>1</v>
      </c>
      <c r="AD5785" s="55" t="n">
        <f aca="false">IF(AC5785,IF(01_因子設定!$B$13="最大化",AA5785-01_因子設定!$B$14,IF(01_因子設定!$B$13="最小化",01_因子設定!$B$15-AB5785,MIN(AA5785-01_因子設定!$B$14,01_因子設定!$B$15-AB5785))),-1E+030)</f>
        <v>-0.207155582071529</v>
      </c>
      <c r="AE5785" s="55" t="n">
        <f aca="false">IF(AC5785,IF(01_因子設定!$B$13="最大化",X5785,IF(01_因子設定!$B$13="最小化",-X5785,-ABS(X5785-01_因子設定!$B$16))),-1E+030)</f>
        <v>47.8673519736842</v>
      </c>
      <c r="AF5785" s="55" t="n">
        <f aca="false">AD5785+ROW()*0.000000001</f>
        <v>-0.207149797071529</v>
      </c>
      <c r="AG5785" s="55" t="n">
        <f aca="false">AE5785+ROW()*0.000000001</f>
        <v>47.8673577586842</v>
      </c>
    </row>
    <row r="5786" customFormat="false" ht="15" hidden="false" customHeight="false" outlineLevel="0" collapsed="false">
      <c r="A5786" s="0" t="n">
        <v>7</v>
      </c>
      <c r="B5786" s="0" t="n">
        <v>8</v>
      </c>
      <c r="C5786" s="0" t="n">
        <v>3</v>
      </c>
      <c r="D5786" s="0" t="n">
        <v>3</v>
      </c>
      <c r="E5786" s="0" t="n">
        <f aca="false">-1+A5786*0.25</f>
        <v>0.75</v>
      </c>
      <c r="F5786" s="0" t="n">
        <f aca="false">-1+B5786*0.25</f>
        <v>1</v>
      </c>
      <c r="G5786" s="0" t="n">
        <f aca="false">-1+C5786*0.25</f>
        <v>-0.25</v>
      </c>
      <c r="H5786" s="0" t="n">
        <f aca="false">-1+D5786*0.25</f>
        <v>-0.25</v>
      </c>
      <c r="I5786" s="0" t="n">
        <f aca="false">1</f>
        <v>1</v>
      </c>
      <c r="J5786" s="0" t="n">
        <f aca="false">E5786</f>
        <v>0.75</v>
      </c>
      <c r="K5786" s="0" t="n">
        <f aca="false">F5786</f>
        <v>1</v>
      </c>
      <c r="L5786" s="0" t="n">
        <f aca="false">G5786</f>
        <v>-0.25</v>
      </c>
      <c r="M5786" s="0" t="n">
        <f aca="false">H5786</f>
        <v>-0.25</v>
      </c>
      <c r="N5786" s="0" t="n">
        <f aca="false">E5786*F5786</f>
        <v>0.75</v>
      </c>
      <c r="O5786" s="0" t="n">
        <f aca="false">E5786*G5786</f>
        <v>-0.1875</v>
      </c>
      <c r="P5786" s="0" t="n">
        <f aca="false">E5786*H5786</f>
        <v>-0.1875</v>
      </c>
      <c r="Q5786" s="0" t="n">
        <f aca="false">F5786*G5786</f>
        <v>-0.25</v>
      </c>
      <c r="R5786" s="0" t="n">
        <f aca="false">F5786*H5786</f>
        <v>-0.25</v>
      </c>
      <c r="S5786" s="0" t="n">
        <f aca="false">G5786*H5786</f>
        <v>0.0625</v>
      </c>
      <c r="T5786" s="0" t="n">
        <f aca="false">E5786*E5786</f>
        <v>0.5625</v>
      </c>
      <c r="U5786" s="0" t="n">
        <f aca="false">F5786*F5786</f>
        <v>1</v>
      </c>
      <c r="V5786" s="0" t="n">
        <f aca="false">G5786*G5786</f>
        <v>0.0625</v>
      </c>
      <c r="W5786" s="0" t="n">
        <f aca="false">H5786*H5786</f>
        <v>0.0625</v>
      </c>
      <c r="X5786" s="0" t="n">
        <f aca="false">SUMPRODUCT(I5786:W5786,_XtX!$B$96:$P$96)</f>
        <v>47.9927951388889</v>
      </c>
      <c r="Y5786" s="0" t="n">
        <f aca="false">SUMPRODUCT(MMULT(I5786:W5786,_XtX!$B$78:$P$92),I5786:W5786)</f>
        <v>0.486409505208334</v>
      </c>
      <c r="Z5786" s="0" t="n">
        <f aca="false">04_回帰ANOVA!$K$19*04_回帰ANOVA!$K$14*SQRT(1+Y5786)</f>
        <v>1.58916001665498</v>
      </c>
      <c r="AA5786" s="0" t="n">
        <f aca="false">X5786-Z5786</f>
        <v>46.4036351222339</v>
      </c>
      <c r="AB5786" s="0" t="n">
        <f aca="false">X5786+Z5786</f>
        <v>49.5819551555439</v>
      </c>
      <c r="AC5786" s="54" t="b">
        <f aca="false">AND(E5786&gt;=01_因子設定!$L$5-0.000000001,E5786&lt;=01_因子設定!$M$5+0.000000001,F5786&gt;=01_因子設定!$L$6-0.000000001,F5786&lt;=01_因子設定!$M$6+0.000000001,G5786&gt;=01_因子設定!$L$7-0.000000001,G5786&lt;=01_因子設定!$M$7+0.000000001,H5786&gt;=01_因子設定!$L$8-0.000000001,H5786&lt;=01_因子設定!$M$8+0.000000001,IF(01_因子設定!$B$20="Box-Behnken",E5786^2+F5786^2+G5786^2+H5786^2&lt;=2+0.000000001,TRUE()))</f>
        <v>1</v>
      </c>
      <c r="AD5786" s="55" t="n">
        <f aca="false">IF(AC5786,IF(01_因子設定!$B$13="最大化",AA5786-01_因子設定!$B$14,IF(01_因子設定!$B$13="最小化",01_因子設定!$B$15-AB5786,MIN(AA5786-01_因子設定!$B$14,01_因子設定!$B$15-AB5786))),-1E+030)</f>
        <v>-0.0963648777661064</v>
      </c>
      <c r="AE5786" s="55" t="n">
        <f aca="false">IF(AC5786,IF(01_因子設定!$B$13="最大化",X5786,IF(01_因子設定!$B$13="最小化",-X5786,-ABS(X5786-01_因子設定!$B$16))),-1E+030)</f>
        <v>47.9927951388889</v>
      </c>
      <c r="AF5786" s="55" t="n">
        <f aca="false">AD5786+ROW()*0.000000001</f>
        <v>-0.0963590917661064</v>
      </c>
      <c r="AG5786" s="55" t="n">
        <f aca="false">AE5786+ROW()*0.000000001</f>
        <v>47.9928009248889</v>
      </c>
    </row>
    <row r="5787" customFormat="false" ht="15" hidden="false" customHeight="false" outlineLevel="0" collapsed="false">
      <c r="A5787" s="0" t="n">
        <v>7</v>
      </c>
      <c r="B5787" s="0" t="n">
        <v>8</v>
      </c>
      <c r="C5787" s="0" t="n">
        <v>3</v>
      </c>
      <c r="D5787" s="0" t="n">
        <v>4</v>
      </c>
      <c r="E5787" s="0" t="n">
        <f aca="false">-1+A5787*0.25</f>
        <v>0.75</v>
      </c>
      <c r="F5787" s="0" t="n">
        <f aca="false">-1+B5787*0.25</f>
        <v>1</v>
      </c>
      <c r="G5787" s="0" t="n">
        <f aca="false">-1+C5787*0.25</f>
        <v>-0.25</v>
      </c>
      <c r="H5787" s="0" t="n">
        <f aca="false">-1+D5787*0.25</f>
        <v>0</v>
      </c>
      <c r="I5787" s="0" t="n">
        <f aca="false">1</f>
        <v>1</v>
      </c>
      <c r="J5787" s="0" t="n">
        <f aca="false">E5787</f>
        <v>0.75</v>
      </c>
      <c r="K5787" s="0" t="n">
        <f aca="false">F5787</f>
        <v>1</v>
      </c>
      <c r="L5787" s="0" t="n">
        <f aca="false">G5787</f>
        <v>-0.25</v>
      </c>
      <c r="M5787" s="0" t="n">
        <f aca="false">H5787</f>
        <v>0</v>
      </c>
      <c r="N5787" s="0" t="n">
        <f aca="false">E5787*F5787</f>
        <v>0.75</v>
      </c>
      <c r="O5787" s="0" t="n">
        <f aca="false">E5787*G5787</f>
        <v>-0.1875</v>
      </c>
      <c r="P5787" s="0" t="n">
        <f aca="false">E5787*H5787</f>
        <v>0</v>
      </c>
      <c r="Q5787" s="0" t="n">
        <f aca="false">F5787*G5787</f>
        <v>-0.25</v>
      </c>
      <c r="R5787" s="0" t="n">
        <f aca="false">F5787*H5787</f>
        <v>0</v>
      </c>
      <c r="S5787" s="0" t="n">
        <f aca="false">G5787*H5787</f>
        <v>-0</v>
      </c>
      <c r="T5787" s="0" t="n">
        <f aca="false">E5787*E5787</f>
        <v>0.5625</v>
      </c>
      <c r="U5787" s="0" t="n">
        <f aca="false">F5787*F5787</f>
        <v>1</v>
      </c>
      <c r="V5787" s="0" t="n">
        <f aca="false">G5787*G5787</f>
        <v>0.0625</v>
      </c>
      <c r="W5787" s="0" t="n">
        <f aca="false">H5787*H5787</f>
        <v>0</v>
      </c>
      <c r="X5787" s="0" t="n">
        <f aca="false">SUMPRODUCT(I5787:W5787,_XtX!$B$96:$P$96)</f>
        <v>48.0704312865497</v>
      </c>
      <c r="Y5787" s="0" t="n">
        <f aca="false">SUMPRODUCT(MMULT(I5787:W5787,_XtX!$B$78:$P$92),I5787:W5787)</f>
        <v>0.501534802174708</v>
      </c>
      <c r="Z5787" s="0" t="n">
        <f aca="false">04_回帰ANOVA!$K$19*04_回帰ANOVA!$K$14*SQRT(1+Y5787)</f>
        <v>1.59722498091333</v>
      </c>
      <c r="AA5787" s="0" t="n">
        <f aca="false">X5787-Z5787</f>
        <v>46.4732063056364</v>
      </c>
      <c r="AB5787" s="0" t="n">
        <f aca="false">X5787+Z5787</f>
        <v>49.667656267463</v>
      </c>
      <c r="AC5787" s="54" t="b">
        <f aca="false">AND(E5787&gt;=01_因子設定!$L$5-0.000000001,E5787&lt;=01_因子設定!$M$5+0.000000001,F5787&gt;=01_因子設定!$L$6-0.000000001,F5787&lt;=01_因子設定!$M$6+0.000000001,G5787&gt;=01_因子設定!$L$7-0.000000001,G5787&lt;=01_因子設定!$M$7+0.000000001,H5787&gt;=01_因子設定!$L$8-0.000000001,H5787&lt;=01_因子設定!$M$8+0.000000001,IF(01_因子設定!$B$20="Box-Behnken",E5787^2+F5787^2+G5787^2+H5787^2&lt;=2+0.000000001,TRUE()))</f>
        <v>1</v>
      </c>
      <c r="AD5787" s="55" t="n">
        <f aca="false">IF(AC5787,IF(01_因子設定!$B$13="最大化",AA5787-01_因子設定!$B$14,IF(01_因子設定!$B$13="最小化",01_因子設定!$B$15-AB5787,MIN(AA5787-01_因子設定!$B$14,01_因子設定!$B$15-AB5787))),-1E+030)</f>
        <v>-0.02679369436364</v>
      </c>
      <c r="AE5787" s="55" t="n">
        <f aca="false">IF(AC5787,IF(01_因子設定!$B$13="最大化",X5787,IF(01_因子設定!$B$13="最小化",-X5787,-ABS(X5787-01_因子設定!$B$16))),-1E+030)</f>
        <v>48.0704312865497</v>
      </c>
      <c r="AF5787" s="55" t="n">
        <f aca="false">AD5787+ROW()*0.000000001</f>
        <v>-0.02678790736364</v>
      </c>
      <c r="AG5787" s="55" t="n">
        <f aca="false">AE5787+ROW()*0.000000001</f>
        <v>48.0704370735497</v>
      </c>
    </row>
    <row r="5788" customFormat="false" ht="15" hidden="false" customHeight="false" outlineLevel="0" collapsed="false">
      <c r="A5788" s="0" t="n">
        <v>7</v>
      </c>
      <c r="B5788" s="0" t="n">
        <v>8</v>
      </c>
      <c r="C5788" s="0" t="n">
        <v>3</v>
      </c>
      <c r="D5788" s="0" t="n">
        <v>5</v>
      </c>
      <c r="E5788" s="0" t="n">
        <f aca="false">-1+A5788*0.25</f>
        <v>0.75</v>
      </c>
      <c r="F5788" s="0" t="n">
        <f aca="false">-1+B5788*0.25</f>
        <v>1</v>
      </c>
      <c r="G5788" s="0" t="n">
        <f aca="false">-1+C5788*0.25</f>
        <v>-0.25</v>
      </c>
      <c r="H5788" s="0" t="n">
        <f aca="false">-1+D5788*0.25</f>
        <v>0.25</v>
      </c>
      <c r="I5788" s="0" t="n">
        <f aca="false">1</f>
        <v>1</v>
      </c>
      <c r="J5788" s="0" t="n">
        <f aca="false">E5788</f>
        <v>0.75</v>
      </c>
      <c r="K5788" s="0" t="n">
        <f aca="false">F5788</f>
        <v>1</v>
      </c>
      <c r="L5788" s="0" t="n">
        <f aca="false">G5788</f>
        <v>-0.25</v>
      </c>
      <c r="M5788" s="0" t="n">
        <f aca="false">H5788</f>
        <v>0.25</v>
      </c>
      <c r="N5788" s="0" t="n">
        <f aca="false">E5788*F5788</f>
        <v>0.75</v>
      </c>
      <c r="O5788" s="0" t="n">
        <f aca="false">E5788*G5788</f>
        <v>-0.1875</v>
      </c>
      <c r="P5788" s="0" t="n">
        <f aca="false">E5788*H5788</f>
        <v>0.1875</v>
      </c>
      <c r="Q5788" s="0" t="n">
        <f aca="false">F5788*G5788</f>
        <v>-0.25</v>
      </c>
      <c r="R5788" s="0" t="n">
        <f aca="false">F5788*H5788</f>
        <v>0.25</v>
      </c>
      <c r="S5788" s="0" t="n">
        <f aca="false">G5788*H5788</f>
        <v>-0.0625</v>
      </c>
      <c r="T5788" s="0" t="n">
        <f aca="false">E5788*E5788</f>
        <v>0.5625</v>
      </c>
      <c r="U5788" s="0" t="n">
        <f aca="false">F5788*F5788</f>
        <v>1</v>
      </c>
      <c r="V5788" s="0" t="n">
        <f aca="false">G5788*G5788</f>
        <v>0.0625</v>
      </c>
      <c r="W5788" s="0" t="n">
        <f aca="false">H5788*H5788</f>
        <v>0.0625</v>
      </c>
      <c r="X5788" s="0" t="n">
        <f aca="false">SUMPRODUCT(I5788:W5788,_XtX!$B$96:$P$96)</f>
        <v>48.1002604166667</v>
      </c>
      <c r="Y5788" s="0" t="n">
        <f aca="false">SUMPRODUCT(MMULT(I5788:W5788,_XtX!$B$78:$P$92),I5788:W5788)</f>
        <v>0.486409505208334</v>
      </c>
      <c r="Z5788" s="0" t="n">
        <f aca="false">04_回帰ANOVA!$K$19*04_回帰ANOVA!$K$14*SQRT(1+Y5788)</f>
        <v>1.58916001665498</v>
      </c>
      <c r="AA5788" s="0" t="n">
        <f aca="false">X5788-Z5788</f>
        <v>46.5111004000117</v>
      </c>
      <c r="AB5788" s="0" t="n">
        <f aca="false">X5788+Z5788</f>
        <v>49.6894204333216</v>
      </c>
      <c r="AC5788" s="54" t="b">
        <f aca="false">AND(E5788&gt;=01_因子設定!$L$5-0.000000001,E5788&lt;=01_因子設定!$M$5+0.000000001,F5788&gt;=01_因子設定!$L$6-0.000000001,F5788&lt;=01_因子設定!$M$6+0.000000001,G5788&gt;=01_因子設定!$L$7-0.000000001,G5788&lt;=01_因子設定!$M$7+0.000000001,H5788&gt;=01_因子設定!$L$8-0.000000001,H5788&lt;=01_因子設定!$M$8+0.000000001,IF(01_因子設定!$B$20="Box-Behnken",E5788^2+F5788^2+G5788^2+H5788^2&lt;=2+0.000000001,TRUE()))</f>
        <v>1</v>
      </c>
      <c r="AD5788" s="55" t="n">
        <f aca="false">IF(AC5788,IF(01_因子設定!$B$13="最大化",AA5788-01_因子設定!$B$14,IF(01_因子設定!$B$13="最小化",01_因子設定!$B$15-AB5788,MIN(AA5788-01_因子設定!$B$14,01_因子設定!$B$15-AB5788))),-1E+030)</f>
        <v>0.0111004000116708</v>
      </c>
      <c r="AE5788" s="55" t="n">
        <f aca="false">IF(AC5788,IF(01_因子設定!$B$13="最大化",X5788,IF(01_因子設定!$B$13="最小化",-X5788,-ABS(X5788-01_因子設定!$B$16))),-1E+030)</f>
        <v>48.1002604166667</v>
      </c>
      <c r="AF5788" s="55" t="n">
        <f aca="false">AD5788+ROW()*0.000000001</f>
        <v>0.0111061880116708</v>
      </c>
      <c r="AG5788" s="55" t="n">
        <f aca="false">AE5788+ROW()*0.000000001</f>
        <v>48.1002662046667</v>
      </c>
    </row>
    <row r="5789" customFormat="false" ht="15" hidden="false" customHeight="false" outlineLevel="0" collapsed="false">
      <c r="A5789" s="0" t="n">
        <v>7</v>
      </c>
      <c r="B5789" s="0" t="n">
        <v>8</v>
      </c>
      <c r="C5789" s="0" t="n">
        <v>3</v>
      </c>
      <c r="D5789" s="0" t="n">
        <v>6</v>
      </c>
      <c r="E5789" s="0" t="n">
        <f aca="false">-1+A5789*0.25</f>
        <v>0.75</v>
      </c>
      <c r="F5789" s="0" t="n">
        <f aca="false">-1+B5789*0.25</f>
        <v>1</v>
      </c>
      <c r="G5789" s="0" t="n">
        <f aca="false">-1+C5789*0.25</f>
        <v>-0.25</v>
      </c>
      <c r="H5789" s="0" t="n">
        <f aca="false">-1+D5789*0.25</f>
        <v>0.5</v>
      </c>
      <c r="I5789" s="0" t="n">
        <f aca="false">1</f>
        <v>1</v>
      </c>
      <c r="J5789" s="0" t="n">
        <f aca="false">E5789</f>
        <v>0.75</v>
      </c>
      <c r="K5789" s="0" t="n">
        <f aca="false">F5789</f>
        <v>1</v>
      </c>
      <c r="L5789" s="0" t="n">
        <f aca="false">G5789</f>
        <v>-0.25</v>
      </c>
      <c r="M5789" s="0" t="n">
        <f aca="false">H5789</f>
        <v>0.5</v>
      </c>
      <c r="N5789" s="0" t="n">
        <f aca="false">E5789*F5789</f>
        <v>0.75</v>
      </c>
      <c r="O5789" s="0" t="n">
        <f aca="false">E5789*G5789</f>
        <v>-0.1875</v>
      </c>
      <c r="P5789" s="0" t="n">
        <f aca="false">E5789*H5789</f>
        <v>0.375</v>
      </c>
      <c r="Q5789" s="0" t="n">
        <f aca="false">F5789*G5789</f>
        <v>-0.25</v>
      </c>
      <c r="R5789" s="0" t="n">
        <f aca="false">F5789*H5789</f>
        <v>0.5</v>
      </c>
      <c r="S5789" s="0" t="n">
        <f aca="false">G5789*H5789</f>
        <v>-0.125</v>
      </c>
      <c r="T5789" s="0" t="n">
        <f aca="false">E5789*E5789</f>
        <v>0.5625</v>
      </c>
      <c r="U5789" s="0" t="n">
        <f aca="false">F5789*F5789</f>
        <v>1</v>
      </c>
      <c r="V5789" s="0" t="n">
        <f aca="false">G5789*G5789</f>
        <v>0.0625</v>
      </c>
      <c r="W5789" s="0" t="n">
        <f aca="false">H5789*H5789</f>
        <v>0.25</v>
      </c>
      <c r="X5789" s="0" t="n">
        <f aca="false">SUMPRODUCT(I5789:W5789,_XtX!$B$96:$P$96)</f>
        <v>48.0822825292398</v>
      </c>
      <c r="Y5789" s="0" t="n">
        <f aca="false">SUMPRODUCT(MMULT(I5789:W5789,_XtX!$B$78:$P$92),I5789:W5789)</f>
        <v>0.459125719572369</v>
      </c>
      <c r="Z5789" s="0" t="n">
        <f aca="false">04_回帰ANOVA!$K$19*04_回帰ANOVA!$K$14*SQRT(1+Y5789)</f>
        <v>1.57450755575573</v>
      </c>
      <c r="AA5789" s="0" t="n">
        <f aca="false">X5789-Z5789</f>
        <v>46.507774973484</v>
      </c>
      <c r="AB5789" s="0" t="n">
        <f aca="false">X5789+Z5789</f>
        <v>49.6567900849955</v>
      </c>
      <c r="AC5789" s="54" t="b">
        <f aca="false">AND(E5789&gt;=01_因子設定!$L$5-0.000000001,E5789&lt;=01_因子設定!$M$5+0.000000001,F5789&gt;=01_因子設定!$L$6-0.000000001,F5789&lt;=01_因子設定!$M$6+0.000000001,G5789&gt;=01_因子設定!$L$7-0.000000001,G5789&lt;=01_因子設定!$M$7+0.000000001,H5789&gt;=01_因子設定!$L$8-0.000000001,H5789&lt;=01_因子設定!$M$8+0.000000001,IF(01_因子設定!$B$20="Box-Behnken",E5789^2+F5789^2+G5789^2+H5789^2&lt;=2+0.000000001,TRUE()))</f>
        <v>1</v>
      </c>
      <c r="AD5789" s="55" t="n">
        <f aca="false">IF(AC5789,IF(01_因子設定!$B$13="最大化",AA5789-01_因子設定!$B$14,IF(01_因子設定!$B$13="最小化",01_因子設定!$B$15-AB5789,MIN(AA5789-01_因子設定!$B$14,01_因子設定!$B$15-AB5789))),-1E+030)</f>
        <v>0.00777497348402534</v>
      </c>
      <c r="AE5789" s="55" t="n">
        <f aca="false">IF(AC5789,IF(01_因子設定!$B$13="最大化",X5789,IF(01_因子設定!$B$13="最小化",-X5789,-ABS(X5789-01_因子設定!$B$16))),-1E+030)</f>
        <v>48.0822825292398</v>
      </c>
      <c r="AF5789" s="55" t="n">
        <f aca="false">AD5789+ROW()*0.000000001</f>
        <v>0.00778076248402534</v>
      </c>
      <c r="AG5789" s="55" t="n">
        <f aca="false">AE5789+ROW()*0.000000001</f>
        <v>48.0822883182398</v>
      </c>
    </row>
    <row r="5790" customFormat="false" ht="15" hidden="false" customHeight="false" outlineLevel="0" collapsed="false">
      <c r="A5790" s="0" t="n">
        <v>7</v>
      </c>
      <c r="B5790" s="0" t="n">
        <v>8</v>
      </c>
      <c r="C5790" s="0" t="n">
        <v>3</v>
      </c>
      <c r="D5790" s="0" t="n">
        <v>7</v>
      </c>
      <c r="E5790" s="0" t="n">
        <f aca="false">-1+A5790*0.25</f>
        <v>0.75</v>
      </c>
      <c r="F5790" s="0" t="n">
        <f aca="false">-1+B5790*0.25</f>
        <v>1</v>
      </c>
      <c r="G5790" s="0" t="n">
        <f aca="false">-1+C5790*0.25</f>
        <v>-0.25</v>
      </c>
      <c r="H5790" s="0" t="n">
        <f aca="false">-1+D5790*0.25</f>
        <v>0.75</v>
      </c>
      <c r="I5790" s="0" t="n">
        <f aca="false">1</f>
        <v>1</v>
      </c>
      <c r="J5790" s="0" t="n">
        <f aca="false">E5790</f>
        <v>0.75</v>
      </c>
      <c r="K5790" s="0" t="n">
        <f aca="false">F5790</f>
        <v>1</v>
      </c>
      <c r="L5790" s="0" t="n">
        <f aca="false">G5790</f>
        <v>-0.25</v>
      </c>
      <c r="M5790" s="0" t="n">
        <f aca="false">H5790</f>
        <v>0.75</v>
      </c>
      <c r="N5790" s="0" t="n">
        <f aca="false">E5790*F5790</f>
        <v>0.75</v>
      </c>
      <c r="O5790" s="0" t="n">
        <f aca="false">E5790*G5790</f>
        <v>-0.1875</v>
      </c>
      <c r="P5790" s="0" t="n">
        <f aca="false">E5790*H5790</f>
        <v>0.5625</v>
      </c>
      <c r="Q5790" s="0" t="n">
        <f aca="false">F5790*G5790</f>
        <v>-0.25</v>
      </c>
      <c r="R5790" s="0" t="n">
        <f aca="false">F5790*H5790</f>
        <v>0.75</v>
      </c>
      <c r="S5790" s="0" t="n">
        <f aca="false">G5790*H5790</f>
        <v>-0.1875</v>
      </c>
      <c r="T5790" s="0" t="n">
        <f aca="false">E5790*E5790</f>
        <v>0.5625</v>
      </c>
      <c r="U5790" s="0" t="n">
        <f aca="false">F5790*F5790</f>
        <v>1</v>
      </c>
      <c r="V5790" s="0" t="n">
        <f aca="false">G5790*G5790</f>
        <v>0.0625</v>
      </c>
      <c r="W5790" s="0" t="n">
        <f aca="false">H5790*H5790</f>
        <v>0.5625</v>
      </c>
      <c r="X5790" s="0" t="n">
        <f aca="false">SUMPRODUCT(I5790:W5790,_XtX!$B$96:$P$96)</f>
        <v>48.016497624269</v>
      </c>
      <c r="Y5790" s="0" t="n">
        <f aca="false">SUMPRODUCT(MMULT(I5790:W5790,_XtX!$B$78:$P$92),I5790:W5790)</f>
        <v>0.473959761056287</v>
      </c>
      <c r="Z5790" s="0" t="n">
        <f aca="false">04_回帰ANOVA!$K$19*04_回帰ANOVA!$K$14*SQRT(1+Y5790)</f>
        <v>1.58249084588329</v>
      </c>
      <c r="AA5790" s="0" t="n">
        <f aca="false">X5790-Z5790</f>
        <v>46.4340067783857</v>
      </c>
      <c r="AB5790" s="0" t="n">
        <f aca="false">X5790+Z5790</f>
        <v>49.5989884701523</v>
      </c>
      <c r="AC5790" s="54" t="b">
        <f aca="false">AND(E5790&gt;=01_因子設定!$L$5-0.000000001,E5790&lt;=01_因子設定!$M$5+0.000000001,F5790&gt;=01_因子設定!$L$6-0.000000001,F5790&lt;=01_因子設定!$M$6+0.000000001,G5790&gt;=01_因子設定!$L$7-0.000000001,G5790&lt;=01_因子設定!$M$7+0.000000001,H5790&gt;=01_因子設定!$L$8-0.000000001,H5790&lt;=01_因子設定!$M$8+0.000000001,IF(01_因子設定!$B$20="Box-Behnken",E5790^2+F5790^2+G5790^2+H5790^2&lt;=2+0.000000001,TRUE()))</f>
        <v>1</v>
      </c>
      <c r="AD5790" s="55" t="n">
        <f aca="false">IF(AC5790,IF(01_因子設定!$B$13="最大化",AA5790-01_因子設定!$B$14,IF(01_因子設定!$B$13="最小化",01_因子設定!$B$15-AB5790,MIN(AA5790-01_因子設定!$B$14,01_因子設定!$B$15-AB5790))),-1E+030)</f>
        <v>-0.0659932216142778</v>
      </c>
      <c r="AE5790" s="55" t="n">
        <f aca="false">IF(AC5790,IF(01_因子設定!$B$13="最大化",X5790,IF(01_因子設定!$B$13="最小化",-X5790,-ABS(X5790-01_因子設定!$B$16))),-1E+030)</f>
        <v>48.016497624269</v>
      </c>
      <c r="AF5790" s="55" t="n">
        <f aca="false">AD5790+ROW()*0.000000001</f>
        <v>-0.0659874316142778</v>
      </c>
      <c r="AG5790" s="55" t="n">
        <f aca="false">AE5790+ROW()*0.000000001</f>
        <v>48.016503414269</v>
      </c>
    </row>
    <row r="5791" customFormat="false" ht="15" hidden="false" customHeight="false" outlineLevel="0" collapsed="false">
      <c r="A5791" s="0" t="n">
        <v>7</v>
      </c>
      <c r="B5791" s="0" t="n">
        <v>8</v>
      </c>
      <c r="C5791" s="0" t="n">
        <v>3</v>
      </c>
      <c r="D5791" s="0" t="n">
        <v>8</v>
      </c>
      <c r="E5791" s="0" t="n">
        <f aca="false">-1+A5791*0.25</f>
        <v>0.75</v>
      </c>
      <c r="F5791" s="0" t="n">
        <f aca="false">-1+B5791*0.25</f>
        <v>1</v>
      </c>
      <c r="G5791" s="0" t="n">
        <f aca="false">-1+C5791*0.25</f>
        <v>-0.25</v>
      </c>
      <c r="H5791" s="0" t="n">
        <f aca="false">-1+D5791*0.25</f>
        <v>1</v>
      </c>
      <c r="I5791" s="0" t="n">
        <f aca="false">1</f>
        <v>1</v>
      </c>
      <c r="J5791" s="0" t="n">
        <f aca="false">E5791</f>
        <v>0.75</v>
      </c>
      <c r="K5791" s="0" t="n">
        <f aca="false">F5791</f>
        <v>1</v>
      </c>
      <c r="L5791" s="0" t="n">
        <f aca="false">G5791</f>
        <v>-0.25</v>
      </c>
      <c r="M5791" s="0" t="n">
        <f aca="false">H5791</f>
        <v>1</v>
      </c>
      <c r="N5791" s="0" t="n">
        <f aca="false">E5791*F5791</f>
        <v>0.75</v>
      </c>
      <c r="O5791" s="0" t="n">
        <f aca="false">E5791*G5791</f>
        <v>-0.1875</v>
      </c>
      <c r="P5791" s="0" t="n">
        <f aca="false">E5791*H5791</f>
        <v>0.75</v>
      </c>
      <c r="Q5791" s="0" t="n">
        <f aca="false">F5791*G5791</f>
        <v>-0.25</v>
      </c>
      <c r="R5791" s="0" t="n">
        <f aca="false">F5791*H5791</f>
        <v>1</v>
      </c>
      <c r="S5791" s="0" t="n">
        <f aca="false">G5791*H5791</f>
        <v>-0.25</v>
      </c>
      <c r="T5791" s="0" t="n">
        <f aca="false">E5791*E5791</f>
        <v>0.5625</v>
      </c>
      <c r="U5791" s="0" t="n">
        <f aca="false">F5791*F5791</f>
        <v>1</v>
      </c>
      <c r="V5791" s="0" t="n">
        <f aca="false">G5791*G5791</f>
        <v>0.0625</v>
      </c>
      <c r="W5791" s="0" t="n">
        <f aca="false">H5791*H5791</f>
        <v>1</v>
      </c>
      <c r="X5791" s="0" t="n">
        <f aca="false">SUMPRODUCT(I5791:W5791,_XtX!$B$96:$P$96)</f>
        <v>47.9029057017544</v>
      </c>
      <c r="Y5791" s="0" t="n">
        <f aca="false">SUMPRODUCT(MMULT(I5791:W5791,_XtX!$B$78:$P$92),I5791:W5791)</f>
        <v>0.621372155975877</v>
      </c>
      <c r="Z5791" s="0" t="n">
        <f aca="false">04_回帰ANOVA!$K$19*04_回帰ANOVA!$K$14*SQRT(1+Y5791)</f>
        <v>1.65973880499872</v>
      </c>
      <c r="AA5791" s="0" t="n">
        <f aca="false">X5791-Z5791</f>
        <v>46.2431668967557</v>
      </c>
      <c r="AB5791" s="0" t="n">
        <f aca="false">X5791+Z5791</f>
        <v>49.5626445067531</v>
      </c>
      <c r="AC5791" s="54" t="b">
        <f aca="false">AND(E5791&gt;=01_因子設定!$L$5-0.000000001,E5791&lt;=01_因子設定!$M$5+0.000000001,F5791&gt;=01_因子設定!$L$6-0.000000001,F5791&lt;=01_因子設定!$M$6+0.000000001,G5791&gt;=01_因子設定!$L$7-0.000000001,G5791&lt;=01_因子設定!$M$7+0.000000001,H5791&gt;=01_因子設定!$L$8-0.000000001,H5791&lt;=01_因子設定!$M$8+0.000000001,IF(01_因子設定!$B$20="Box-Behnken",E5791^2+F5791^2+G5791^2+H5791^2&lt;=2+0.000000001,TRUE()))</f>
        <v>1</v>
      </c>
      <c r="AD5791" s="55" t="n">
        <f aca="false">IF(AC5791,IF(01_因子設定!$B$13="最大化",AA5791-01_因子設定!$B$14,IF(01_因子設定!$B$13="最小化",01_因子設定!$B$15-AB5791,MIN(AA5791-01_因子設定!$B$14,01_因子設定!$B$15-AB5791))),-1E+030)</f>
        <v>-0.256833103244311</v>
      </c>
      <c r="AE5791" s="55" t="n">
        <f aca="false">IF(AC5791,IF(01_因子設定!$B$13="最大化",X5791,IF(01_因子設定!$B$13="最小化",-X5791,-ABS(X5791-01_因子設定!$B$16))),-1E+030)</f>
        <v>47.9029057017544</v>
      </c>
      <c r="AF5791" s="55" t="n">
        <f aca="false">AD5791+ROW()*0.000000001</f>
        <v>-0.256827312244311</v>
      </c>
      <c r="AG5791" s="55" t="n">
        <f aca="false">AE5791+ROW()*0.000000001</f>
        <v>47.9029114927544</v>
      </c>
    </row>
    <row r="5792" customFormat="false" ht="15" hidden="false" customHeight="false" outlineLevel="0" collapsed="false">
      <c r="A5792" s="0" t="n">
        <v>7</v>
      </c>
      <c r="B5792" s="0" t="n">
        <v>8</v>
      </c>
      <c r="C5792" s="0" t="n">
        <v>4</v>
      </c>
      <c r="D5792" s="0" t="n">
        <v>0</v>
      </c>
      <c r="E5792" s="0" t="n">
        <f aca="false">-1+A5792*0.25</f>
        <v>0.75</v>
      </c>
      <c r="F5792" s="0" t="n">
        <f aca="false">-1+B5792*0.25</f>
        <v>1</v>
      </c>
      <c r="G5792" s="0" t="n">
        <f aca="false">-1+C5792*0.25</f>
        <v>0</v>
      </c>
      <c r="H5792" s="0" t="n">
        <f aca="false">-1+D5792*0.25</f>
        <v>-1</v>
      </c>
      <c r="I5792" s="0" t="n">
        <f aca="false">1</f>
        <v>1</v>
      </c>
      <c r="J5792" s="0" t="n">
        <f aca="false">E5792</f>
        <v>0.75</v>
      </c>
      <c r="K5792" s="0" t="n">
        <f aca="false">F5792</f>
        <v>1</v>
      </c>
      <c r="L5792" s="0" t="n">
        <f aca="false">G5792</f>
        <v>0</v>
      </c>
      <c r="M5792" s="0" t="n">
        <f aca="false">H5792</f>
        <v>-1</v>
      </c>
      <c r="N5792" s="0" t="n">
        <f aca="false">E5792*F5792</f>
        <v>0.75</v>
      </c>
      <c r="O5792" s="0" t="n">
        <f aca="false">E5792*G5792</f>
        <v>0</v>
      </c>
      <c r="P5792" s="0" t="n">
        <f aca="false">E5792*H5792</f>
        <v>-0.75</v>
      </c>
      <c r="Q5792" s="0" t="n">
        <f aca="false">F5792*G5792</f>
        <v>0</v>
      </c>
      <c r="R5792" s="0" t="n">
        <f aca="false">F5792*H5792</f>
        <v>-1</v>
      </c>
      <c r="S5792" s="0" t="n">
        <f aca="false">G5792*H5792</f>
        <v>-0</v>
      </c>
      <c r="T5792" s="0" t="n">
        <f aca="false">E5792*E5792</f>
        <v>0.5625</v>
      </c>
      <c r="U5792" s="0" t="n">
        <f aca="false">F5792*F5792</f>
        <v>1</v>
      </c>
      <c r="V5792" s="0" t="n">
        <f aca="false">G5792*G5792</f>
        <v>0</v>
      </c>
      <c r="W5792" s="0" t="n">
        <f aca="false">H5792*H5792</f>
        <v>1</v>
      </c>
      <c r="X5792" s="0" t="n">
        <f aca="false">SUMPRODUCT(I5792:W5792,_XtX!$B$96:$P$96)</f>
        <v>47.6459064327486</v>
      </c>
      <c r="Y5792" s="0" t="n">
        <f aca="false">SUMPRODUCT(MMULT(I5792:W5792,_XtX!$B$78:$P$92),I5792:W5792)</f>
        <v>0.646198830409357</v>
      </c>
      <c r="Z5792" s="0" t="n">
        <f aca="false">04_回帰ANOVA!$K$19*04_回帰ANOVA!$K$14*SQRT(1+Y5792)</f>
        <v>1.67239760569756</v>
      </c>
      <c r="AA5792" s="0" t="n">
        <f aca="false">X5792-Z5792</f>
        <v>45.973508827051</v>
      </c>
      <c r="AB5792" s="0" t="n">
        <f aca="false">X5792+Z5792</f>
        <v>49.3183040384461</v>
      </c>
      <c r="AC5792" s="54" t="b">
        <f aca="false">AND(E5792&gt;=01_因子設定!$L$5-0.000000001,E5792&lt;=01_因子設定!$M$5+0.000000001,F5792&gt;=01_因子設定!$L$6-0.000000001,F5792&lt;=01_因子設定!$M$6+0.000000001,G5792&gt;=01_因子設定!$L$7-0.000000001,G5792&lt;=01_因子設定!$M$7+0.000000001,H5792&gt;=01_因子設定!$L$8-0.000000001,H5792&lt;=01_因子設定!$M$8+0.000000001,IF(01_因子設定!$B$20="Box-Behnken",E5792^2+F5792^2+G5792^2+H5792^2&lt;=2+0.000000001,TRUE()))</f>
        <v>1</v>
      </c>
      <c r="AD5792" s="55" t="n">
        <f aca="false">IF(AC5792,IF(01_因子設定!$B$13="最大化",AA5792-01_因子設定!$B$14,IF(01_因子設定!$B$13="最小化",01_因子設定!$B$15-AB5792,MIN(AA5792-01_因子設定!$B$14,01_因子設定!$B$15-AB5792))),-1E+030)</f>
        <v>-0.526491172948994</v>
      </c>
      <c r="AE5792" s="55" t="n">
        <f aca="false">IF(AC5792,IF(01_因子設定!$B$13="最大化",X5792,IF(01_因子設定!$B$13="最小化",-X5792,-ABS(X5792-01_因子設定!$B$16))),-1E+030)</f>
        <v>47.6459064327486</v>
      </c>
      <c r="AF5792" s="55" t="n">
        <f aca="false">AD5792+ROW()*0.000000001</f>
        <v>-0.526485380948994</v>
      </c>
      <c r="AG5792" s="55" t="n">
        <f aca="false">AE5792+ROW()*0.000000001</f>
        <v>47.6459122247486</v>
      </c>
    </row>
    <row r="5793" customFormat="false" ht="15" hidden="false" customHeight="false" outlineLevel="0" collapsed="false">
      <c r="A5793" s="0" t="n">
        <v>7</v>
      </c>
      <c r="B5793" s="0" t="n">
        <v>8</v>
      </c>
      <c r="C5793" s="0" t="n">
        <v>4</v>
      </c>
      <c r="D5793" s="0" t="n">
        <v>1</v>
      </c>
      <c r="E5793" s="0" t="n">
        <f aca="false">-1+A5793*0.25</f>
        <v>0.75</v>
      </c>
      <c r="F5793" s="0" t="n">
        <f aca="false">-1+B5793*0.25</f>
        <v>1</v>
      </c>
      <c r="G5793" s="0" t="n">
        <f aca="false">-1+C5793*0.25</f>
        <v>0</v>
      </c>
      <c r="H5793" s="0" t="n">
        <f aca="false">-1+D5793*0.25</f>
        <v>-0.75</v>
      </c>
      <c r="I5793" s="0" t="n">
        <f aca="false">1</f>
        <v>1</v>
      </c>
      <c r="J5793" s="0" t="n">
        <f aca="false">E5793</f>
        <v>0.75</v>
      </c>
      <c r="K5793" s="0" t="n">
        <f aca="false">F5793</f>
        <v>1</v>
      </c>
      <c r="L5793" s="0" t="n">
        <f aca="false">G5793</f>
        <v>0</v>
      </c>
      <c r="M5793" s="0" t="n">
        <f aca="false">H5793</f>
        <v>-0.75</v>
      </c>
      <c r="N5793" s="0" t="n">
        <f aca="false">E5793*F5793</f>
        <v>0.75</v>
      </c>
      <c r="O5793" s="0" t="n">
        <f aca="false">E5793*G5793</f>
        <v>0</v>
      </c>
      <c r="P5793" s="0" t="n">
        <f aca="false">E5793*H5793</f>
        <v>-0.5625</v>
      </c>
      <c r="Q5793" s="0" t="n">
        <f aca="false">F5793*G5793</f>
        <v>0</v>
      </c>
      <c r="R5793" s="0" t="n">
        <f aca="false">F5793*H5793</f>
        <v>-0.75</v>
      </c>
      <c r="S5793" s="0" t="n">
        <f aca="false">G5793*H5793</f>
        <v>-0</v>
      </c>
      <c r="T5793" s="0" t="n">
        <f aca="false">E5793*E5793</f>
        <v>0.5625</v>
      </c>
      <c r="U5793" s="0" t="n">
        <f aca="false">F5793*F5793</f>
        <v>1</v>
      </c>
      <c r="V5793" s="0" t="n">
        <f aca="false">G5793*G5793</f>
        <v>0</v>
      </c>
      <c r="W5793" s="0" t="n">
        <f aca="false">H5793*H5793</f>
        <v>0.5625</v>
      </c>
      <c r="X5793" s="0" t="n">
        <f aca="false">SUMPRODUCT(I5793:W5793,_XtX!$B$96:$P$96)</f>
        <v>47.8849323830409</v>
      </c>
      <c r="Y5793" s="0" t="n">
        <f aca="false">SUMPRODUCT(MMULT(I5793:W5793,_XtX!$B$78:$P$92),I5793:W5793)</f>
        <v>0.494259126005117</v>
      </c>
      <c r="Z5793" s="0" t="n">
        <f aca="false">04_回帰ANOVA!$K$19*04_回帰ANOVA!$K$14*SQRT(1+Y5793)</f>
        <v>1.59335061078203</v>
      </c>
      <c r="AA5793" s="0" t="n">
        <f aca="false">X5793-Z5793</f>
        <v>46.2915817722589</v>
      </c>
      <c r="AB5793" s="0" t="n">
        <f aca="false">X5793+Z5793</f>
        <v>49.478282993823</v>
      </c>
      <c r="AC5793" s="54" t="b">
        <f aca="false">AND(E5793&gt;=01_因子設定!$L$5-0.000000001,E5793&lt;=01_因子設定!$M$5+0.000000001,F5793&gt;=01_因子設定!$L$6-0.000000001,F5793&lt;=01_因子設定!$M$6+0.000000001,G5793&gt;=01_因子設定!$L$7-0.000000001,G5793&lt;=01_因子設定!$M$7+0.000000001,H5793&gt;=01_因子設定!$L$8-0.000000001,H5793&lt;=01_因子設定!$M$8+0.000000001,IF(01_因子設定!$B$20="Box-Behnken",E5793^2+F5793^2+G5793^2+H5793^2&lt;=2+0.000000001,TRUE()))</f>
        <v>1</v>
      </c>
      <c r="AD5793" s="55" t="n">
        <f aca="false">IF(AC5793,IF(01_因子設定!$B$13="最大化",AA5793-01_因子設定!$B$14,IF(01_因子設定!$B$13="最小化",01_因子設定!$B$15-AB5793,MIN(AA5793-01_因子設定!$B$14,01_因子設定!$B$15-AB5793))),-1E+030)</f>
        <v>-0.208418227741085</v>
      </c>
      <c r="AE5793" s="55" t="n">
        <f aca="false">IF(AC5793,IF(01_因子設定!$B$13="最大化",X5793,IF(01_因子設定!$B$13="最小化",-X5793,-ABS(X5793-01_因子設定!$B$16))),-1E+030)</f>
        <v>47.8849323830409</v>
      </c>
      <c r="AF5793" s="55" t="n">
        <f aca="false">AD5793+ROW()*0.000000001</f>
        <v>-0.208412434741085</v>
      </c>
      <c r="AG5793" s="55" t="n">
        <f aca="false">AE5793+ROW()*0.000000001</f>
        <v>47.8849381760409</v>
      </c>
    </row>
    <row r="5794" customFormat="false" ht="15" hidden="false" customHeight="false" outlineLevel="0" collapsed="false">
      <c r="A5794" s="0" t="n">
        <v>7</v>
      </c>
      <c r="B5794" s="0" t="n">
        <v>8</v>
      </c>
      <c r="C5794" s="0" t="n">
        <v>4</v>
      </c>
      <c r="D5794" s="0" t="n">
        <v>2</v>
      </c>
      <c r="E5794" s="0" t="n">
        <f aca="false">-1+A5794*0.25</f>
        <v>0.75</v>
      </c>
      <c r="F5794" s="0" t="n">
        <f aca="false">-1+B5794*0.25</f>
        <v>1</v>
      </c>
      <c r="G5794" s="0" t="n">
        <f aca="false">-1+C5794*0.25</f>
        <v>0</v>
      </c>
      <c r="H5794" s="0" t="n">
        <f aca="false">-1+D5794*0.25</f>
        <v>-0.5</v>
      </c>
      <c r="I5794" s="0" t="n">
        <f aca="false">1</f>
        <v>1</v>
      </c>
      <c r="J5794" s="0" t="n">
        <f aca="false">E5794</f>
        <v>0.75</v>
      </c>
      <c r="K5794" s="0" t="n">
        <f aca="false">F5794</f>
        <v>1</v>
      </c>
      <c r="L5794" s="0" t="n">
        <f aca="false">G5794</f>
        <v>0</v>
      </c>
      <c r="M5794" s="0" t="n">
        <f aca="false">H5794</f>
        <v>-0.5</v>
      </c>
      <c r="N5794" s="0" t="n">
        <f aca="false">E5794*F5794</f>
        <v>0.75</v>
      </c>
      <c r="O5794" s="0" t="n">
        <f aca="false">E5794*G5794</f>
        <v>0</v>
      </c>
      <c r="P5794" s="0" t="n">
        <f aca="false">E5794*H5794</f>
        <v>-0.375</v>
      </c>
      <c r="Q5794" s="0" t="n">
        <f aca="false">F5794*G5794</f>
        <v>0</v>
      </c>
      <c r="R5794" s="0" t="n">
        <f aca="false">F5794*H5794</f>
        <v>-0.5</v>
      </c>
      <c r="S5794" s="0" t="n">
        <f aca="false">G5794*H5794</f>
        <v>-0</v>
      </c>
      <c r="T5794" s="0" t="n">
        <f aca="false">E5794*E5794</f>
        <v>0.5625</v>
      </c>
      <c r="U5794" s="0" t="n">
        <f aca="false">F5794*F5794</f>
        <v>1</v>
      </c>
      <c r="V5794" s="0" t="n">
        <f aca="false">G5794*G5794</f>
        <v>0</v>
      </c>
      <c r="W5794" s="0" t="n">
        <f aca="false">H5794*H5794</f>
        <v>0.25</v>
      </c>
      <c r="X5794" s="0" t="n">
        <f aca="false">SUMPRODUCT(I5794:W5794,_XtX!$B$96:$P$96)</f>
        <v>48.0761513157895</v>
      </c>
      <c r="Y5794" s="0" t="n">
        <f aca="false">SUMPRODUCT(MMULT(I5794:W5794,_XtX!$B$78:$P$92),I5794:W5794)</f>
        <v>0.476191292032164</v>
      </c>
      <c r="Z5794" s="0" t="n">
        <f aca="false">04_回帰ANOVA!$K$19*04_回帰ANOVA!$K$14*SQRT(1+Y5794)</f>
        <v>1.58368831471718</v>
      </c>
      <c r="AA5794" s="0" t="n">
        <f aca="false">X5794-Z5794</f>
        <v>46.4924630010723</v>
      </c>
      <c r="AB5794" s="0" t="n">
        <f aca="false">X5794+Z5794</f>
        <v>49.6598396305066</v>
      </c>
      <c r="AC5794" s="54" t="b">
        <f aca="false">AND(E5794&gt;=01_因子設定!$L$5-0.000000001,E5794&lt;=01_因子設定!$M$5+0.000000001,F5794&gt;=01_因子設定!$L$6-0.000000001,F5794&lt;=01_因子設定!$M$6+0.000000001,G5794&gt;=01_因子設定!$L$7-0.000000001,G5794&lt;=01_因子設定!$M$7+0.000000001,H5794&gt;=01_因子設定!$L$8-0.000000001,H5794&lt;=01_因子設定!$M$8+0.000000001,IF(01_因子設定!$B$20="Box-Behnken",E5794^2+F5794^2+G5794^2+H5794^2&lt;=2+0.000000001,TRUE()))</f>
        <v>1</v>
      </c>
      <c r="AD5794" s="55" t="n">
        <f aca="false">IF(AC5794,IF(01_因子設定!$B$13="最大化",AA5794-01_因子設定!$B$14,IF(01_因子設定!$B$13="最小化",01_因子設定!$B$15-AB5794,MIN(AA5794-01_因子設定!$B$14,01_因子設定!$B$15-AB5794))),-1E+030)</f>
        <v>-0.00753699892771209</v>
      </c>
      <c r="AE5794" s="55" t="n">
        <f aca="false">IF(AC5794,IF(01_因子設定!$B$13="最大化",X5794,IF(01_因子設定!$B$13="最小化",-X5794,-ABS(X5794-01_因子設定!$B$16))),-1E+030)</f>
        <v>48.0761513157895</v>
      </c>
      <c r="AF5794" s="55" t="n">
        <f aca="false">AD5794+ROW()*0.000000001</f>
        <v>-0.00753120492771209</v>
      </c>
      <c r="AG5794" s="55" t="n">
        <f aca="false">AE5794+ROW()*0.000000001</f>
        <v>48.0761571097895</v>
      </c>
    </row>
    <row r="5795" customFormat="false" ht="15" hidden="false" customHeight="false" outlineLevel="0" collapsed="false">
      <c r="A5795" s="0" t="n">
        <v>7</v>
      </c>
      <c r="B5795" s="0" t="n">
        <v>8</v>
      </c>
      <c r="C5795" s="0" t="n">
        <v>4</v>
      </c>
      <c r="D5795" s="0" t="n">
        <v>3</v>
      </c>
      <c r="E5795" s="0" t="n">
        <f aca="false">-1+A5795*0.25</f>
        <v>0.75</v>
      </c>
      <c r="F5795" s="0" t="n">
        <f aca="false">-1+B5795*0.25</f>
        <v>1</v>
      </c>
      <c r="G5795" s="0" t="n">
        <f aca="false">-1+C5795*0.25</f>
        <v>0</v>
      </c>
      <c r="H5795" s="0" t="n">
        <f aca="false">-1+D5795*0.25</f>
        <v>-0.25</v>
      </c>
      <c r="I5795" s="0" t="n">
        <f aca="false">1</f>
        <v>1</v>
      </c>
      <c r="J5795" s="0" t="n">
        <f aca="false">E5795</f>
        <v>0.75</v>
      </c>
      <c r="K5795" s="0" t="n">
        <f aca="false">F5795</f>
        <v>1</v>
      </c>
      <c r="L5795" s="0" t="n">
        <f aca="false">G5795</f>
        <v>0</v>
      </c>
      <c r="M5795" s="0" t="n">
        <f aca="false">H5795</f>
        <v>-0.25</v>
      </c>
      <c r="N5795" s="0" t="n">
        <f aca="false">E5795*F5795</f>
        <v>0.75</v>
      </c>
      <c r="O5795" s="0" t="n">
        <f aca="false">E5795*G5795</f>
        <v>0</v>
      </c>
      <c r="P5795" s="0" t="n">
        <f aca="false">E5795*H5795</f>
        <v>-0.1875</v>
      </c>
      <c r="Q5795" s="0" t="n">
        <f aca="false">F5795*G5795</f>
        <v>0</v>
      </c>
      <c r="R5795" s="0" t="n">
        <f aca="false">F5795*H5795</f>
        <v>-0.25</v>
      </c>
      <c r="S5795" s="0" t="n">
        <f aca="false">G5795*H5795</f>
        <v>-0</v>
      </c>
      <c r="T5795" s="0" t="n">
        <f aca="false">E5795*E5795</f>
        <v>0.5625</v>
      </c>
      <c r="U5795" s="0" t="n">
        <f aca="false">F5795*F5795</f>
        <v>1</v>
      </c>
      <c r="V5795" s="0" t="n">
        <f aca="false">G5795*G5795</f>
        <v>0</v>
      </c>
      <c r="W5795" s="0" t="n">
        <f aca="false">H5795*H5795</f>
        <v>0.0625</v>
      </c>
      <c r="X5795" s="0" t="n">
        <f aca="false">SUMPRODUCT(I5795:W5795,_XtX!$B$96:$P$96)</f>
        <v>48.2195632309941</v>
      </c>
      <c r="Y5795" s="0" t="n">
        <f aca="false">SUMPRODUCT(MMULT(I5795:W5795,_XtX!$B$78:$P$92),I5795:W5795)</f>
        <v>0.501534802174708</v>
      </c>
      <c r="Z5795" s="0" t="n">
        <f aca="false">04_回帰ANOVA!$K$19*04_回帰ANOVA!$K$14*SQRT(1+Y5795)</f>
        <v>1.59722498091333</v>
      </c>
      <c r="AA5795" s="0" t="n">
        <f aca="false">X5795-Z5795</f>
        <v>46.6223382500808</v>
      </c>
      <c r="AB5795" s="0" t="n">
        <f aca="false">X5795+Z5795</f>
        <v>49.8167882119075</v>
      </c>
      <c r="AC5795" s="54" t="b">
        <f aca="false">AND(E5795&gt;=01_因子設定!$L$5-0.000000001,E5795&lt;=01_因子設定!$M$5+0.000000001,F5795&gt;=01_因子設定!$L$6-0.000000001,F5795&lt;=01_因子設定!$M$6+0.000000001,G5795&gt;=01_因子設定!$L$7-0.000000001,G5795&lt;=01_因子設定!$M$7+0.000000001,H5795&gt;=01_因子設定!$L$8-0.000000001,H5795&lt;=01_因子設定!$M$8+0.000000001,IF(01_因子設定!$B$20="Box-Behnken",E5795^2+F5795^2+G5795^2+H5795^2&lt;=2+0.000000001,TRUE()))</f>
        <v>1</v>
      </c>
      <c r="AD5795" s="55" t="n">
        <f aca="false">IF(AC5795,IF(01_因子設定!$B$13="最大化",AA5795-01_因子設定!$B$14,IF(01_因子設定!$B$13="最小化",01_因子設定!$B$15-AB5795,MIN(AA5795-01_因子設定!$B$14,01_因子設定!$B$15-AB5795))),-1E+030)</f>
        <v>0.122338250080809</v>
      </c>
      <c r="AE5795" s="55" t="n">
        <f aca="false">IF(AC5795,IF(01_因子設定!$B$13="最大化",X5795,IF(01_因子設定!$B$13="最小化",-X5795,-ABS(X5795-01_因子設定!$B$16))),-1E+030)</f>
        <v>48.2195632309941</v>
      </c>
      <c r="AF5795" s="55" t="n">
        <f aca="false">AD5795+ROW()*0.000000001</f>
        <v>0.122344045080809</v>
      </c>
      <c r="AG5795" s="55" t="n">
        <f aca="false">AE5795+ROW()*0.000000001</f>
        <v>48.2195690259941</v>
      </c>
    </row>
    <row r="5796" customFormat="false" ht="15" hidden="false" customHeight="false" outlineLevel="0" collapsed="false">
      <c r="A5796" s="0" t="n">
        <v>7</v>
      </c>
      <c r="B5796" s="0" t="n">
        <v>8</v>
      </c>
      <c r="C5796" s="0" t="n">
        <v>4</v>
      </c>
      <c r="D5796" s="0" t="n">
        <v>4</v>
      </c>
      <c r="E5796" s="0" t="n">
        <f aca="false">-1+A5796*0.25</f>
        <v>0.75</v>
      </c>
      <c r="F5796" s="0" t="n">
        <f aca="false">-1+B5796*0.25</f>
        <v>1</v>
      </c>
      <c r="G5796" s="0" t="n">
        <f aca="false">-1+C5796*0.25</f>
        <v>0</v>
      </c>
      <c r="H5796" s="0" t="n">
        <f aca="false">-1+D5796*0.25</f>
        <v>0</v>
      </c>
      <c r="I5796" s="0" t="n">
        <f aca="false">1</f>
        <v>1</v>
      </c>
      <c r="J5796" s="0" t="n">
        <f aca="false">E5796</f>
        <v>0.75</v>
      </c>
      <c r="K5796" s="0" t="n">
        <f aca="false">F5796</f>
        <v>1</v>
      </c>
      <c r="L5796" s="0" t="n">
        <f aca="false">G5796</f>
        <v>0</v>
      </c>
      <c r="M5796" s="0" t="n">
        <f aca="false">H5796</f>
        <v>0</v>
      </c>
      <c r="N5796" s="0" t="n">
        <f aca="false">E5796*F5796</f>
        <v>0.75</v>
      </c>
      <c r="O5796" s="0" t="n">
        <f aca="false">E5796*G5796</f>
        <v>0</v>
      </c>
      <c r="P5796" s="0" t="n">
        <f aca="false">E5796*H5796</f>
        <v>0</v>
      </c>
      <c r="Q5796" s="0" t="n">
        <f aca="false">F5796*G5796</f>
        <v>0</v>
      </c>
      <c r="R5796" s="0" t="n">
        <f aca="false">F5796*H5796</f>
        <v>0</v>
      </c>
      <c r="S5796" s="0" t="n">
        <f aca="false">G5796*H5796</f>
        <v>0</v>
      </c>
      <c r="T5796" s="0" t="n">
        <f aca="false">E5796*E5796</f>
        <v>0.5625</v>
      </c>
      <c r="U5796" s="0" t="n">
        <f aca="false">F5796*F5796</f>
        <v>1</v>
      </c>
      <c r="V5796" s="0" t="n">
        <f aca="false">G5796*G5796</f>
        <v>0</v>
      </c>
      <c r="W5796" s="0" t="n">
        <f aca="false">H5796*H5796</f>
        <v>0</v>
      </c>
      <c r="X5796" s="0" t="n">
        <f aca="false">SUMPRODUCT(I5796:W5796,_XtX!$B$96:$P$96)</f>
        <v>48.315168128655</v>
      </c>
      <c r="Y5796" s="0" t="n">
        <f aca="false">SUMPRODUCT(MMULT(I5796:W5796,_XtX!$B$78:$P$92),I5796:W5796)</f>
        <v>0.516013340643275</v>
      </c>
      <c r="Z5796" s="0" t="n">
        <f aca="false">04_回帰ANOVA!$K$19*04_回帰ANOVA!$K$14*SQRT(1+Y5796)</f>
        <v>1.60490712175667</v>
      </c>
      <c r="AA5796" s="0" t="n">
        <f aca="false">X5796-Z5796</f>
        <v>46.7102610068983</v>
      </c>
      <c r="AB5796" s="0" t="n">
        <f aca="false">X5796+Z5796</f>
        <v>49.9200752504116</v>
      </c>
      <c r="AC5796" s="54" t="b">
        <f aca="false">AND(E5796&gt;=01_因子設定!$L$5-0.000000001,E5796&lt;=01_因子設定!$M$5+0.000000001,F5796&gt;=01_因子設定!$L$6-0.000000001,F5796&lt;=01_因子設定!$M$6+0.000000001,G5796&gt;=01_因子設定!$L$7-0.000000001,G5796&lt;=01_因子設定!$M$7+0.000000001,H5796&gt;=01_因子設定!$L$8-0.000000001,H5796&lt;=01_因子設定!$M$8+0.000000001,IF(01_因子設定!$B$20="Box-Behnken",E5796^2+F5796^2+G5796^2+H5796^2&lt;=2+0.000000001,TRUE()))</f>
        <v>1</v>
      </c>
      <c r="AD5796" s="55" t="n">
        <f aca="false">IF(AC5796,IF(01_因子設定!$B$13="最大化",AA5796-01_因子設定!$B$14,IF(01_因子設定!$B$13="最小化",01_因子設定!$B$15-AB5796,MIN(AA5796-01_因子設定!$B$14,01_因子設定!$B$15-AB5796))),-1E+030)</f>
        <v>0.210261006898286</v>
      </c>
      <c r="AE5796" s="55" t="n">
        <f aca="false">IF(AC5796,IF(01_因子設定!$B$13="最大化",X5796,IF(01_因子設定!$B$13="最小化",-X5796,-ABS(X5796-01_因子設定!$B$16))),-1E+030)</f>
        <v>48.315168128655</v>
      </c>
      <c r="AF5796" s="55" t="n">
        <f aca="false">AD5796+ROW()*0.000000001</f>
        <v>0.210266802898286</v>
      </c>
      <c r="AG5796" s="55" t="n">
        <f aca="false">AE5796+ROW()*0.000000001</f>
        <v>48.315173924655</v>
      </c>
    </row>
    <row r="5797" customFormat="false" ht="15" hidden="false" customHeight="false" outlineLevel="0" collapsed="false">
      <c r="A5797" s="0" t="n">
        <v>7</v>
      </c>
      <c r="B5797" s="0" t="n">
        <v>8</v>
      </c>
      <c r="C5797" s="0" t="n">
        <v>4</v>
      </c>
      <c r="D5797" s="0" t="n">
        <v>5</v>
      </c>
      <c r="E5797" s="0" t="n">
        <f aca="false">-1+A5797*0.25</f>
        <v>0.75</v>
      </c>
      <c r="F5797" s="0" t="n">
        <f aca="false">-1+B5797*0.25</f>
        <v>1</v>
      </c>
      <c r="G5797" s="0" t="n">
        <f aca="false">-1+C5797*0.25</f>
        <v>0</v>
      </c>
      <c r="H5797" s="0" t="n">
        <f aca="false">-1+D5797*0.25</f>
        <v>0.25</v>
      </c>
      <c r="I5797" s="0" t="n">
        <f aca="false">1</f>
        <v>1</v>
      </c>
      <c r="J5797" s="0" t="n">
        <f aca="false">E5797</f>
        <v>0.75</v>
      </c>
      <c r="K5797" s="0" t="n">
        <f aca="false">F5797</f>
        <v>1</v>
      </c>
      <c r="L5797" s="0" t="n">
        <f aca="false">G5797</f>
        <v>0</v>
      </c>
      <c r="M5797" s="0" t="n">
        <f aca="false">H5797</f>
        <v>0.25</v>
      </c>
      <c r="N5797" s="0" t="n">
        <f aca="false">E5797*F5797</f>
        <v>0.75</v>
      </c>
      <c r="O5797" s="0" t="n">
        <f aca="false">E5797*G5797</f>
        <v>0</v>
      </c>
      <c r="P5797" s="0" t="n">
        <f aca="false">E5797*H5797</f>
        <v>0.1875</v>
      </c>
      <c r="Q5797" s="0" t="n">
        <f aca="false">F5797*G5797</f>
        <v>0</v>
      </c>
      <c r="R5797" s="0" t="n">
        <f aca="false">F5797*H5797</f>
        <v>0.25</v>
      </c>
      <c r="S5797" s="0" t="n">
        <f aca="false">G5797*H5797</f>
        <v>0</v>
      </c>
      <c r="T5797" s="0" t="n">
        <f aca="false">E5797*E5797</f>
        <v>0.5625</v>
      </c>
      <c r="U5797" s="0" t="n">
        <f aca="false">F5797*F5797</f>
        <v>1</v>
      </c>
      <c r="V5797" s="0" t="n">
        <f aca="false">G5797*G5797</f>
        <v>0</v>
      </c>
      <c r="W5797" s="0" t="n">
        <f aca="false">H5797*H5797</f>
        <v>0.0625</v>
      </c>
      <c r="X5797" s="0" t="n">
        <f aca="false">SUMPRODUCT(I5797:W5797,_XtX!$B$96:$P$96)</f>
        <v>48.3629660087719</v>
      </c>
      <c r="Y5797" s="0" t="n">
        <f aca="false">SUMPRODUCT(MMULT(I5797:W5797,_XtX!$B$78:$P$92),I5797:W5797)</f>
        <v>0.501534802174708</v>
      </c>
      <c r="Z5797" s="0" t="n">
        <f aca="false">04_回帰ANOVA!$K$19*04_回帰ANOVA!$K$14*SQRT(1+Y5797)</f>
        <v>1.59722498091333</v>
      </c>
      <c r="AA5797" s="0" t="n">
        <f aca="false">X5797-Z5797</f>
        <v>46.7657410278586</v>
      </c>
      <c r="AB5797" s="0" t="n">
        <f aca="false">X5797+Z5797</f>
        <v>49.9601909896852</v>
      </c>
      <c r="AC5797" s="54" t="b">
        <f aca="false">AND(E5797&gt;=01_因子設定!$L$5-0.000000001,E5797&lt;=01_因子設定!$M$5+0.000000001,F5797&gt;=01_因子設定!$L$6-0.000000001,F5797&lt;=01_因子設定!$M$6+0.000000001,G5797&gt;=01_因子設定!$L$7-0.000000001,G5797&lt;=01_因子設定!$M$7+0.000000001,H5797&gt;=01_因子設定!$L$8-0.000000001,H5797&lt;=01_因子設定!$M$8+0.000000001,IF(01_因子設定!$B$20="Box-Behnken",E5797^2+F5797^2+G5797^2+H5797^2&lt;=2+0.000000001,TRUE()))</f>
        <v>1</v>
      </c>
      <c r="AD5797" s="55" t="n">
        <f aca="false">IF(AC5797,IF(01_因子設定!$B$13="最大化",AA5797-01_因子設定!$B$14,IF(01_因子設定!$B$13="最小化",01_因子設定!$B$15-AB5797,MIN(AA5797-01_因子設定!$B$14,01_因子設定!$B$15-AB5797))),-1E+030)</f>
        <v>0.265741027858581</v>
      </c>
      <c r="AE5797" s="55" t="n">
        <f aca="false">IF(AC5797,IF(01_因子設定!$B$13="最大化",X5797,IF(01_因子設定!$B$13="最小化",-X5797,-ABS(X5797-01_因子設定!$B$16))),-1E+030)</f>
        <v>48.3629660087719</v>
      </c>
      <c r="AF5797" s="55" t="n">
        <f aca="false">AD5797+ROW()*0.000000001</f>
        <v>0.265746824858581</v>
      </c>
      <c r="AG5797" s="55" t="n">
        <f aca="false">AE5797+ROW()*0.000000001</f>
        <v>48.3629718057719</v>
      </c>
    </row>
    <row r="5798" customFormat="false" ht="15" hidden="false" customHeight="false" outlineLevel="0" collapsed="false">
      <c r="A5798" s="0" t="n">
        <v>7</v>
      </c>
      <c r="B5798" s="0" t="n">
        <v>8</v>
      </c>
      <c r="C5798" s="0" t="n">
        <v>4</v>
      </c>
      <c r="D5798" s="0" t="n">
        <v>6</v>
      </c>
      <c r="E5798" s="0" t="n">
        <f aca="false">-1+A5798*0.25</f>
        <v>0.75</v>
      </c>
      <c r="F5798" s="0" t="n">
        <f aca="false">-1+B5798*0.25</f>
        <v>1</v>
      </c>
      <c r="G5798" s="0" t="n">
        <f aca="false">-1+C5798*0.25</f>
        <v>0</v>
      </c>
      <c r="H5798" s="0" t="n">
        <f aca="false">-1+D5798*0.25</f>
        <v>0.5</v>
      </c>
      <c r="I5798" s="0" t="n">
        <f aca="false">1</f>
        <v>1</v>
      </c>
      <c r="J5798" s="0" t="n">
        <f aca="false">E5798</f>
        <v>0.75</v>
      </c>
      <c r="K5798" s="0" t="n">
        <f aca="false">F5798</f>
        <v>1</v>
      </c>
      <c r="L5798" s="0" t="n">
        <f aca="false">G5798</f>
        <v>0</v>
      </c>
      <c r="M5798" s="0" t="n">
        <f aca="false">H5798</f>
        <v>0.5</v>
      </c>
      <c r="N5798" s="0" t="n">
        <f aca="false">E5798*F5798</f>
        <v>0.75</v>
      </c>
      <c r="O5798" s="0" t="n">
        <f aca="false">E5798*G5798</f>
        <v>0</v>
      </c>
      <c r="P5798" s="0" t="n">
        <f aca="false">E5798*H5798</f>
        <v>0.375</v>
      </c>
      <c r="Q5798" s="0" t="n">
        <f aca="false">F5798*G5798</f>
        <v>0</v>
      </c>
      <c r="R5798" s="0" t="n">
        <f aca="false">F5798*H5798</f>
        <v>0.5</v>
      </c>
      <c r="S5798" s="0" t="n">
        <f aca="false">G5798*H5798</f>
        <v>0</v>
      </c>
      <c r="T5798" s="0" t="n">
        <f aca="false">E5798*E5798</f>
        <v>0.5625</v>
      </c>
      <c r="U5798" s="0" t="n">
        <f aca="false">F5798*F5798</f>
        <v>1</v>
      </c>
      <c r="V5798" s="0" t="n">
        <f aca="false">G5798*G5798</f>
        <v>0</v>
      </c>
      <c r="W5798" s="0" t="n">
        <f aca="false">H5798*H5798</f>
        <v>0.25</v>
      </c>
      <c r="X5798" s="0" t="n">
        <f aca="false">SUMPRODUCT(I5798:W5798,_XtX!$B$96:$P$96)</f>
        <v>48.362956871345</v>
      </c>
      <c r="Y5798" s="0" t="n">
        <f aca="false">SUMPRODUCT(MMULT(I5798:W5798,_XtX!$B$78:$P$92),I5798:W5798)</f>
        <v>0.476191292032164</v>
      </c>
      <c r="Z5798" s="0" t="n">
        <f aca="false">04_回帰ANOVA!$K$19*04_回帰ANOVA!$K$14*SQRT(1+Y5798)</f>
        <v>1.58368831471718</v>
      </c>
      <c r="AA5798" s="0" t="n">
        <f aca="false">X5798-Z5798</f>
        <v>46.7792685566278</v>
      </c>
      <c r="AB5798" s="0" t="n">
        <f aca="false">X5798+Z5798</f>
        <v>49.9466451860622</v>
      </c>
      <c r="AC5798" s="54" t="b">
        <f aca="false">AND(E5798&gt;=01_因子設定!$L$5-0.000000001,E5798&lt;=01_因子設定!$M$5+0.000000001,F5798&gt;=01_因子設定!$L$6-0.000000001,F5798&lt;=01_因子設定!$M$6+0.000000001,G5798&gt;=01_因子設定!$L$7-0.000000001,G5798&lt;=01_因子設定!$M$7+0.000000001,H5798&gt;=01_因子設定!$L$8-0.000000001,H5798&lt;=01_因子設定!$M$8+0.000000001,IF(01_因子設定!$B$20="Box-Behnken",E5798^2+F5798^2+G5798^2+H5798^2&lt;=2+0.000000001,TRUE()))</f>
        <v>1</v>
      </c>
      <c r="AD5798" s="55" t="n">
        <f aca="false">IF(AC5798,IF(01_因子設定!$B$13="最大化",AA5798-01_因子設定!$B$14,IF(01_因子設定!$B$13="最小化",01_因子設定!$B$15-AB5798,MIN(AA5798-01_因子設定!$B$14,01_因子設定!$B$15-AB5798))),-1E+030)</f>
        <v>0.279268556627841</v>
      </c>
      <c r="AE5798" s="55" t="n">
        <f aca="false">IF(AC5798,IF(01_因子設定!$B$13="最大化",X5798,IF(01_因子設定!$B$13="最小化",-X5798,-ABS(X5798-01_因子設定!$B$16))),-1E+030)</f>
        <v>48.362956871345</v>
      </c>
      <c r="AF5798" s="55" t="n">
        <f aca="false">AD5798+ROW()*0.000000001</f>
        <v>0.279274354627841</v>
      </c>
      <c r="AG5798" s="55" t="n">
        <f aca="false">AE5798+ROW()*0.000000001</f>
        <v>48.362962669345</v>
      </c>
    </row>
    <row r="5799" customFormat="false" ht="15" hidden="false" customHeight="false" outlineLevel="0" collapsed="false">
      <c r="A5799" s="0" t="n">
        <v>7</v>
      </c>
      <c r="B5799" s="0" t="n">
        <v>8</v>
      </c>
      <c r="C5799" s="0" t="n">
        <v>4</v>
      </c>
      <c r="D5799" s="0" t="n">
        <v>7</v>
      </c>
      <c r="E5799" s="0" t="n">
        <f aca="false">-1+A5799*0.25</f>
        <v>0.75</v>
      </c>
      <c r="F5799" s="0" t="n">
        <f aca="false">-1+B5799*0.25</f>
        <v>1</v>
      </c>
      <c r="G5799" s="0" t="n">
        <f aca="false">-1+C5799*0.25</f>
        <v>0</v>
      </c>
      <c r="H5799" s="0" t="n">
        <f aca="false">-1+D5799*0.25</f>
        <v>0.75</v>
      </c>
      <c r="I5799" s="0" t="n">
        <f aca="false">1</f>
        <v>1</v>
      </c>
      <c r="J5799" s="0" t="n">
        <f aca="false">E5799</f>
        <v>0.75</v>
      </c>
      <c r="K5799" s="0" t="n">
        <f aca="false">F5799</f>
        <v>1</v>
      </c>
      <c r="L5799" s="0" t="n">
        <f aca="false">G5799</f>
        <v>0</v>
      </c>
      <c r="M5799" s="0" t="n">
        <f aca="false">H5799</f>
        <v>0.75</v>
      </c>
      <c r="N5799" s="0" t="n">
        <f aca="false">E5799*F5799</f>
        <v>0.75</v>
      </c>
      <c r="O5799" s="0" t="n">
        <f aca="false">E5799*G5799</f>
        <v>0</v>
      </c>
      <c r="P5799" s="0" t="n">
        <f aca="false">E5799*H5799</f>
        <v>0.5625</v>
      </c>
      <c r="Q5799" s="0" t="n">
        <f aca="false">F5799*G5799</f>
        <v>0</v>
      </c>
      <c r="R5799" s="0" t="n">
        <f aca="false">F5799*H5799</f>
        <v>0.75</v>
      </c>
      <c r="S5799" s="0" t="n">
        <f aca="false">G5799*H5799</f>
        <v>0</v>
      </c>
      <c r="T5799" s="0" t="n">
        <f aca="false">E5799*E5799</f>
        <v>0.5625</v>
      </c>
      <c r="U5799" s="0" t="n">
        <f aca="false">F5799*F5799</f>
        <v>1</v>
      </c>
      <c r="V5799" s="0" t="n">
        <f aca="false">G5799*G5799</f>
        <v>0</v>
      </c>
      <c r="W5799" s="0" t="n">
        <f aca="false">H5799*H5799</f>
        <v>0.5625</v>
      </c>
      <c r="X5799" s="0" t="n">
        <f aca="false">SUMPRODUCT(I5799:W5799,_XtX!$B$96:$P$96)</f>
        <v>48.3151407163743</v>
      </c>
      <c r="Y5799" s="0" t="n">
        <f aca="false">SUMPRODUCT(MMULT(I5799:W5799,_XtX!$B$78:$P$92),I5799:W5799)</f>
        <v>0.494259126005117</v>
      </c>
      <c r="Z5799" s="0" t="n">
        <f aca="false">04_回帰ANOVA!$K$19*04_回帰ANOVA!$K$14*SQRT(1+Y5799)</f>
        <v>1.59335061078203</v>
      </c>
      <c r="AA5799" s="0" t="n">
        <f aca="false">X5799-Z5799</f>
        <v>46.7217901055923</v>
      </c>
      <c r="AB5799" s="0" t="n">
        <f aca="false">X5799+Z5799</f>
        <v>49.9084913271563</v>
      </c>
      <c r="AC5799" s="54" t="b">
        <f aca="false">AND(E5799&gt;=01_因子設定!$L$5-0.000000001,E5799&lt;=01_因子設定!$M$5+0.000000001,F5799&gt;=01_因子設定!$L$6-0.000000001,F5799&lt;=01_因子設定!$M$6+0.000000001,G5799&gt;=01_因子設定!$L$7-0.000000001,G5799&lt;=01_因子設定!$M$7+0.000000001,H5799&gt;=01_因子設定!$L$8-0.000000001,H5799&lt;=01_因子設定!$M$8+0.000000001,IF(01_因子設定!$B$20="Box-Behnken",E5799^2+F5799^2+G5799^2+H5799^2&lt;=2+0.000000001,TRUE()))</f>
        <v>1</v>
      </c>
      <c r="AD5799" s="55" t="n">
        <f aca="false">IF(AC5799,IF(01_因子設定!$B$13="最大化",AA5799-01_因子設定!$B$14,IF(01_因子設定!$B$13="最小化",01_因子設定!$B$15-AB5799,MIN(AA5799-01_因子設定!$B$14,01_因子設定!$B$15-AB5799))),-1E+030)</f>
        <v>0.221790105592248</v>
      </c>
      <c r="AE5799" s="55" t="n">
        <f aca="false">IF(AC5799,IF(01_因子設定!$B$13="最大化",X5799,IF(01_因子設定!$B$13="最小化",-X5799,-ABS(X5799-01_因子設定!$B$16))),-1E+030)</f>
        <v>48.3151407163743</v>
      </c>
      <c r="AF5799" s="55" t="n">
        <f aca="false">AD5799+ROW()*0.000000001</f>
        <v>0.221795904592248</v>
      </c>
      <c r="AG5799" s="55" t="n">
        <f aca="false">AE5799+ROW()*0.000000001</f>
        <v>48.3151465153743</v>
      </c>
    </row>
    <row r="5800" customFormat="false" ht="15" hidden="false" customHeight="false" outlineLevel="0" collapsed="false">
      <c r="A5800" s="0" t="n">
        <v>7</v>
      </c>
      <c r="B5800" s="0" t="n">
        <v>8</v>
      </c>
      <c r="C5800" s="0" t="n">
        <v>4</v>
      </c>
      <c r="D5800" s="0" t="n">
        <v>8</v>
      </c>
      <c r="E5800" s="0" t="n">
        <f aca="false">-1+A5800*0.25</f>
        <v>0.75</v>
      </c>
      <c r="F5800" s="0" t="n">
        <f aca="false">-1+B5800*0.25</f>
        <v>1</v>
      </c>
      <c r="G5800" s="0" t="n">
        <f aca="false">-1+C5800*0.25</f>
        <v>0</v>
      </c>
      <c r="H5800" s="0" t="n">
        <f aca="false">-1+D5800*0.25</f>
        <v>1</v>
      </c>
      <c r="I5800" s="0" t="n">
        <f aca="false">1</f>
        <v>1</v>
      </c>
      <c r="J5800" s="0" t="n">
        <f aca="false">E5800</f>
        <v>0.75</v>
      </c>
      <c r="K5800" s="0" t="n">
        <f aca="false">F5800</f>
        <v>1</v>
      </c>
      <c r="L5800" s="0" t="n">
        <f aca="false">G5800</f>
        <v>0</v>
      </c>
      <c r="M5800" s="0" t="n">
        <f aca="false">H5800</f>
        <v>1</v>
      </c>
      <c r="N5800" s="0" t="n">
        <f aca="false">E5800*F5800</f>
        <v>0.75</v>
      </c>
      <c r="O5800" s="0" t="n">
        <f aca="false">E5800*G5800</f>
        <v>0</v>
      </c>
      <c r="P5800" s="0" t="n">
        <f aca="false">E5800*H5800</f>
        <v>0.75</v>
      </c>
      <c r="Q5800" s="0" t="n">
        <f aca="false">F5800*G5800</f>
        <v>0</v>
      </c>
      <c r="R5800" s="0" t="n">
        <f aca="false">F5800*H5800</f>
        <v>1</v>
      </c>
      <c r="S5800" s="0" t="n">
        <f aca="false">G5800*H5800</f>
        <v>0</v>
      </c>
      <c r="T5800" s="0" t="n">
        <f aca="false">E5800*E5800</f>
        <v>0.5625</v>
      </c>
      <c r="U5800" s="0" t="n">
        <f aca="false">F5800*F5800</f>
        <v>1</v>
      </c>
      <c r="V5800" s="0" t="n">
        <f aca="false">G5800*G5800</f>
        <v>0</v>
      </c>
      <c r="W5800" s="0" t="n">
        <f aca="false">H5800*H5800</f>
        <v>1</v>
      </c>
      <c r="X5800" s="0" t="n">
        <f aca="false">SUMPRODUCT(I5800:W5800,_XtX!$B$96:$P$96)</f>
        <v>48.2195175438597</v>
      </c>
      <c r="Y5800" s="0" t="n">
        <f aca="false">SUMPRODUCT(MMULT(I5800:W5800,_XtX!$B$78:$P$92),I5800:W5800)</f>
        <v>0.646198830409357</v>
      </c>
      <c r="Z5800" s="0" t="n">
        <f aca="false">04_回帰ANOVA!$K$19*04_回帰ANOVA!$K$14*SQRT(1+Y5800)</f>
        <v>1.67239760569756</v>
      </c>
      <c r="AA5800" s="0" t="n">
        <f aca="false">X5800-Z5800</f>
        <v>46.5471199381621</v>
      </c>
      <c r="AB5800" s="0" t="n">
        <f aca="false">X5800+Z5800</f>
        <v>49.8919151495572</v>
      </c>
      <c r="AC5800" s="54" t="b">
        <f aca="false">AND(E5800&gt;=01_因子設定!$L$5-0.000000001,E5800&lt;=01_因子設定!$M$5+0.000000001,F5800&gt;=01_因子設定!$L$6-0.000000001,F5800&lt;=01_因子設定!$M$6+0.000000001,G5800&gt;=01_因子設定!$L$7-0.000000001,G5800&lt;=01_因子設定!$M$7+0.000000001,H5800&gt;=01_因子設定!$L$8-0.000000001,H5800&lt;=01_因子設定!$M$8+0.000000001,IF(01_因子設定!$B$20="Box-Behnken",E5800^2+F5800^2+G5800^2+H5800^2&lt;=2+0.000000001,TRUE()))</f>
        <v>1</v>
      </c>
      <c r="AD5800" s="55" t="n">
        <f aca="false">IF(AC5800,IF(01_因子設定!$B$13="最大化",AA5800-01_因子設定!$B$14,IF(01_因子設定!$B$13="最小化",01_因子設定!$B$15-AB5800,MIN(AA5800-01_因子設定!$B$14,01_因子設定!$B$15-AB5800))),-1E+030)</f>
        <v>0.0471199381621119</v>
      </c>
      <c r="AE5800" s="55" t="n">
        <f aca="false">IF(AC5800,IF(01_因子設定!$B$13="最大化",X5800,IF(01_因子設定!$B$13="最小化",-X5800,-ABS(X5800-01_因子設定!$B$16))),-1E+030)</f>
        <v>48.2195175438597</v>
      </c>
      <c r="AF5800" s="55" t="n">
        <f aca="false">AD5800+ROW()*0.000000001</f>
        <v>0.0471257381621119</v>
      </c>
      <c r="AG5800" s="55" t="n">
        <f aca="false">AE5800+ROW()*0.000000001</f>
        <v>48.2195233438597</v>
      </c>
    </row>
    <row r="5801" customFormat="false" ht="15" hidden="false" customHeight="false" outlineLevel="0" collapsed="false">
      <c r="A5801" s="0" t="n">
        <v>7</v>
      </c>
      <c r="B5801" s="0" t="n">
        <v>8</v>
      </c>
      <c r="C5801" s="0" t="n">
        <v>5</v>
      </c>
      <c r="D5801" s="0" t="n">
        <v>0</v>
      </c>
      <c r="E5801" s="0" t="n">
        <f aca="false">-1+A5801*0.25</f>
        <v>0.75</v>
      </c>
      <c r="F5801" s="0" t="n">
        <f aca="false">-1+B5801*0.25</f>
        <v>1</v>
      </c>
      <c r="G5801" s="0" t="n">
        <f aca="false">-1+C5801*0.25</f>
        <v>0.25</v>
      </c>
      <c r="H5801" s="0" t="n">
        <f aca="false">-1+D5801*0.25</f>
        <v>-1</v>
      </c>
      <c r="I5801" s="0" t="n">
        <f aca="false">1</f>
        <v>1</v>
      </c>
      <c r="J5801" s="0" t="n">
        <f aca="false">E5801</f>
        <v>0.75</v>
      </c>
      <c r="K5801" s="0" t="n">
        <f aca="false">F5801</f>
        <v>1</v>
      </c>
      <c r="L5801" s="0" t="n">
        <f aca="false">G5801</f>
        <v>0.25</v>
      </c>
      <c r="M5801" s="0" t="n">
        <f aca="false">H5801</f>
        <v>-1</v>
      </c>
      <c r="N5801" s="0" t="n">
        <f aca="false">E5801*F5801</f>
        <v>0.75</v>
      </c>
      <c r="O5801" s="0" t="n">
        <f aca="false">E5801*G5801</f>
        <v>0.1875</v>
      </c>
      <c r="P5801" s="0" t="n">
        <f aca="false">E5801*H5801</f>
        <v>-0.75</v>
      </c>
      <c r="Q5801" s="0" t="n">
        <f aca="false">F5801*G5801</f>
        <v>0.25</v>
      </c>
      <c r="R5801" s="0" t="n">
        <f aca="false">F5801*H5801</f>
        <v>-1</v>
      </c>
      <c r="S5801" s="0" t="n">
        <f aca="false">G5801*H5801</f>
        <v>-0.25</v>
      </c>
      <c r="T5801" s="0" t="n">
        <f aca="false">E5801*E5801</f>
        <v>0.5625</v>
      </c>
      <c r="U5801" s="0" t="n">
        <f aca="false">F5801*F5801</f>
        <v>1</v>
      </c>
      <c r="V5801" s="0" t="n">
        <f aca="false">G5801*G5801</f>
        <v>0.0625</v>
      </c>
      <c r="W5801" s="0" t="n">
        <f aca="false">H5801*H5801</f>
        <v>1</v>
      </c>
      <c r="X5801" s="0" t="n">
        <f aca="false">SUMPRODUCT(I5801:W5801,_XtX!$B$96:$P$96)</f>
        <v>47.73346125731</v>
      </c>
      <c r="Y5801" s="0" t="n">
        <f aca="false">SUMPRODUCT(MMULT(I5801:W5801,_XtX!$B$78:$P$92),I5801:W5801)</f>
        <v>0.621372155975877</v>
      </c>
      <c r="Z5801" s="0" t="n">
        <f aca="false">04_回帰ANOVA!$K$19*04_回帰ANOVA!$K$14*SQRT(1+Y5801)</f>
        <v>1.65973880499872</v>
      </c>
      <c r="AA5801" s="0" t="n">
        <f aca="false">X5801-Z5801</f>
        <v>46.0737224523112</v>
      </c>
      <c r="AB5801" s="0" t="n">
        <f aca="false">X5801+Z5801</f>
        <v>49.3932000623087</v>
      </c>
      <c r="AC5801" s="54" t="b">
        <f aca="false">AND(E5801&gt;=01_因子設定!$L$5-0.000000001,E5801&lt;=01_因子設定!$M$5+0.000000001,F5801&gt;=01_因子設定!$L$6-0.000000001,F5801&lt;=01_因子設定!$M$6+0.000000001,G5801&gt;=01_因子設定!$L$7-0.000000001,G5801&lt;=01_因子設定!$M$7+0.000000001,H5801&gt;=01_因子設定!$L$8-0.000000001,H5801&lt;=01_因子設定!$M$8+0.000000001,IF(01_因子設定!$B$20="Box-Behnken",E5801^2+F5801^2+G5801^2+H5801^2&lt;=2+0.000000001,TRUE()))</f>
        <v>1</v>
      </c>
      <c r="AD5801" s="55" t="n">
        <f aca="false">IF(AC5801,IF(01_因子設定!$B$13="最大化",AA5801-01_因子設定!$B$14,IF(01_因子設定!$B$13="最小化",01_因子設定!$B$15-AB5801,MIN(AA5801-01_因子設定!$B$14,01_因子設定!$B$15-AB5801))),-1E+030)</f>
        <v>-0.426277547688756</v>
      </c>
      <c r="AE5801" s="55" t="n">
        <f aca="false">IF(AC5801,IF(01_因子設定!$B$13="最大化",X5801,IF(01_因子設定!$B$13="最小化",-X5801,-ABS(X5801-01_因子設定!$B$16))),-1E+030)</f>
        <v>47.73346125731</v>
      </c>
      <c r="AF5801" s="55" t="n">
        <f aca="false">AD5801+ROW()*0.000000001</f>
        <v>-0.426271746688755</v>
      </c>
      <c r="AG5801" s="55" t="n">
        <f aca="false">AE5801+ROW()*0.000000001</f>
        <v>47.73346705831</v>
      </c>
    </row>
    <row r="5802" customFormat="false" ht="15" hidden="false" customHeight="false" outlineLevel="0" collapsed="false">
      <c r="A5802" s="0" t="n">
        <v>7</v>
      </c>
      <c r="B5802" s="0" t="n">
        <v>8</v>
      </c>
      <c r="C5802" s="0" t="n">
        <v>5</v>
      </c>
      <c r="D5802" s="0" t="n">
        <v>1</v>
      </c>
      <c r="E5802" s="0" t="n">
        <f aca="false">-1+A5802*0.25</f>
        <v>0.75</v>
      </c>
      <c r="F5802" s="0" t="n">
        <f aca="false">-1+B5802*0.25</f>
        <v>1</v>
      </c>
      <c r="G5802" s="0" t="n">
        <f aca="false">-1+C5802*0.25</f>
        <v>0.25</v>
      </c>
      <c r="H5802" s="0" t="n">
        <f aca="false">-1+D5802*0.25</f>
        <v>-0.75</v>
      </c>
      <c r="I5802" s="0" t="n">
        <f aca="false">1</f>
        <v>1</v>
      </c>
      <c r="J5802" s="0" t="n">
        <f aca="false">E5802</f>
        <v>0.75</v>
      </c>
      <c r="K5802" s="0" t="n">
        <f aca="false">F5802</f>
        <v>1</v>
      </c>
      <c r="L5802" s="0" t="n">
        <f aca="false">G5802</f>
        <v>0.25</v>
      </c>
      <c r="M5802" s="0" t="n">
        <f aca="false">H5802</f>
        <v>-0.75</v>
      </c>
      <c r="N5802" s="0" t="n">
        <f aca="false">E5802*F5802</f>
        <v>0.75</v>
      </c>
      <c r="O5802" s="0" t="n">
        <f aca="false">E5802*G5802</f>
        <v>0.1875</v>
      </c>
      <c r="P5802" s="0" t="n">
        <f aca="false">E5802*H5802</f>
        <v>-0.5625</v>
      </c>
      <c r="Q5802" s="0" t="n">
        <f aca="false">F5802*G5802</f>
        <v>0.25</v>
      </c>
      <c r="R5802" s="0" t="n">
        <f aca="false">F5802*H5802</f>
        <v>-0.75</v>
      </c>
      <c r="S5802" s="0" t="n">
        <f aca="false">G5802*H5802</f>
        <v>-0.1875</v>
      </c>
      <c r="T5802" s="0" t="n">
        <f aca="false">E5802*E5802</f>
        <v>0.5625</v>
      </c>
      <c r="U5802" s="0" t="n">
        <f aca="false">F5802*F5802</f>
        <v>1</v>
      </c>
      <c r="V5802" s="0" t="n">
        <f aca="false">G5802*G5802</f>
        <v>0.0625</v>
      </c>
      <c r="W5802" s="0" t="n">
        <f aca="false">H5802*H5802</f>
        <v>0.5625</v>
      </c>
      <c r="X5802" s="0" t="n">
        <f aca="false">SUMPRODUCT(I5802:W5802,_XtX!$B$96:$P$96)</f>
        <v>47.9904559576023</v>
      </c>
      <c r="Y5802" s="0" t="n">
        <f aca="false">SUMPRODUCT(MMULT(I5802:W5802,_XtX!$B$78:$P$92),I5802:W5802)</f>
        <v>0.473959761056287</v>
      </c>
      <c r="Z5802" s="0" t="n">
        <f aca="false">04_回帰ANOVA!$K$19*04_回帰ANOVA!$K$14*SQRT(1+Y5802)</f>
        <v>1.58249084588329</v>
      </c>
      <c r="AA5802" s="0" t="n">
        <f aca="false">X5802-Z5802</f>
        <v>46.4079651117191</v>
      </c>
      <c r="AB5802" s="0" t="n">
        <f aca="false">X5802+Z5802</f>
        <v>49.5729468034856</v>
      </c>
      <c r="AC5802" s="54" t="b">
        <f aca="false">AND(E5802&gt;=01_因子設定!$L$5-0.000000001,E5802&lt;=01_因子設定!$M$5+0.000000001,F5802&gt;=01_因子設定!$L$6-0.000000001,F5802&lt;=01_因子設定!$M$6+0.000000001,G5802&gt;=01_因子設定!$L$7-0.000000001,G5802&lt;=01_因子設定!$M$7+0.000000001,H5802&gt;=01_因子設定!$L$8-0.000000001,H5802&lt;=01_因子設定!$M$8+0.000000001,IF(01_因子設定!$B$20="Box-Behnken",E5802^2+F5802^2+G5802^2+H5802^2&lt;=2+0.000000001,TRUE()))</f>
        <v>1</v>
      </c>
      <c r="AD5802" s="55" t="n">
        <f aca="false">IF(AC5802,IF(01_因子設定!$B$13="最大化",AA5802-01_因子設定!$B$14,IF(01_因子設定!$B$13="最小化",01_因子設定!$B$15-AB5802,MIN(AA5802-01_因子設定!$B$14,01_因子設定!$B$15-AB5802))),-1E+030)</f>
        <v>-0.0920348882809421</v>
      </c>
      <c r="AE5802" s="55" t="n">
        <f aca="false">IF(AC5802,IF(01_因子設定!$B$13="最大化",X5802,IF(01_因子設定!$B$13="最小化",-X5802,-ABS(X5802-01_因子設定!$B$16))),-1E+030)</f>
        <v>47.9904559576023</v>
      </c>
      <c r="AF5802" s="55" t="n">
        <f aca="false">AD5802+ROW()*0.000000001</f>
        <v>-0.0920290862809421</v>
      </c>
      <c r="AG5802" s="55" t="n">
        <f aca="false">AE5802+ROW()*0.000000001</f>
        <v>47.9904617596023</v>
      </c>
    </row>
    <row r="5803" customFormat="false" ht="15" hidden="false" customHeight="false" outlineLevel="0" collapsed="false">
      <c r="A5803" s="0" t="n">
        <v>7</v>
      </c>
      <c r="B5803" s="0" t="n">
        <v>8</v>
      </c>
      <c r="C5803" s="0" t="n">
        <v>5</v>
      </c>
      <c r="D5803" s="0" t="n">
        <v>2</v>
      </c>
      <c r="E5803" s="0" t="n">
        <f aca="false">-1+A5803*0.25</f>
        <v>0.75</v>
      </c>
      <c r="F5803" s="0" t="n">
        <f aca="false">-1+B5803*0.25</f>
        <v>1</v>
      </c>
      <c r="G5803" s="0" t="n">
        <f aca="false">-1+C5803*0.25</f>
        <v>0.25</v>
      </c>
      <c r="H5803" s="0" t="n">
        <f aca="false">-1+D5803*0.25</f>
        <v>-0.5</v>
      </c>
      <c r="I5803" s="0" t="n">
        <f aca="false">1</f>
        <v>1</v>
      </c>
      <c r="J5803" s="0" t="n">
        <f aca="false">E5803</f>
        <v>0.75</v>
      </c>
      <c r="K5803" s="0" t="n">
        <f aca="false">F5803</f>
        <v>1</v>
      </c>
      <c r="L5803" s="0" t="n">
        <f aca="false">G5803</f>
        <v>0.25</v>
      </c>
      <c r="M5803" s="0" t="n">
        <f aca="false">H5803</f>
        <v>-0.5</v>
      </c>
      <c r="N5803" s="0" t="n">
        <f aca="false">E5803*F5803</f>
        <v>0.75</v>
      </c>
      <c r="O5803" s="0" t="n">
        <f aca="false">E5803*G5803</f>
        <v>0.1875</v>
      </c>
      <c r="P5803" s="0" t="n">
        <f aca="false">E5803*H5803</f>
        <v>-0.375</v>
      </c>
      <c r="Q5803" s="0" t="n">
        <f aca="false">F5803*G5803</f>
        <v>0.25</v>
      </c>
      <c r="R5803" s="0" t="n">
        <f aca="false">F5803*H5803</f>
        <v>-0.5</v>
      </c>
      <c r="S5803" s="0" t="n">
        <f aca="false">G5803*H5803</f>
        <v>-0.125</v>
      </c>
      <c r="T5803" s="0" t="n">
        <f aca="false">E5803*E5803</f>
        <v>0.5625</v>
      </c>
      <c r="U5803" s="0" t="n">
        <f aca="false">F5803*F5803</f>
        <v>1</v>
      </c>
      <c r="V5803" s="0" t="n">
        <f aca="false">G5803*G5803</f>
        <v>0.0625</v>
      </c>
      <c r="W5803" s="0" t="n">
        <f aca="false">H5803*H5803</f>
        <v>0.25</v>
      </c>
      <c r="X5803" s="0" t="n">
        <f aca="false">SUMPRODUCT(I5803:W5803,_XtX!$B$96:$P$96)</f>
        <v>48.1996436403509</v>
      </c>
      <c r="Y5803" s="0" t="n">
        <f aca="false">SUMPRODUCT(MMULT(I5803:W5803,_XtX!$B$78:$P$92),I5803:W5803)</f>
        <v>0.459125719572369</v>
      </c>
      <c r="Z5803" s="0" t="n">
        <f aca="false">04_回帰ANOVA!$K$19*04_回帰ANOVA!$K$14*SQRT(1+Y5803)</f>
        <v>1.57450755575573</v>
      </c>
      <c r="AA5803" s="0" t="n">
        <f aca="false">X5803-Z5803</f>
        <v>46.6251360845951</v>
      </c>
      <c r="AB5803" s="0" t="n">
        <f aca="false">X5803+Z5803</f>
        <v>49.7741511961066</v>
      </c>
      <c r="AC5803" s="54" t="b">
        <f aca="false">AND(E5803&gt;=01_因子設定!$L$5-0.000000001,E5803&lt;=01_因子設定!$M$5+0.000000001,F5803&gt;=01_因子設定!$L$6-0.000000001,F5803&lt;=01_因子設定!$M$6+0.000000001,G5803&gt;=01_因子設定!$L$7-0.000000001,G5803&lt;=01_因子設定!$M$7+0.000000001,H5803&gt;=01_因子設定!$L$8-0.000000001,H5803&lt;=01_因子設定!$M$8+0.000000001,IF(01_因子設定!$B$20="Box-Behnken",E5803^2+F5803^2+G5803^2+H5803^2&lt;=2+0.000000001,TRUE()))</f>
        <v>1</v>
      </c>
      <c r="AD5803" s="55" t="n">
        <f aca="false">IF(AC5803,IF(01_因子設定!$B$13="最大化",AA5803-01_因子設定!$B$14,IF(01_因子設定!$B$13="最小化",01_因子設定!$B$15-AB5803,MIN(AA5803-01_因子設定!$B$14,01_因子設定!$B$15-AB5803))),-1E+030)</f>
        <v>0.125136084595141</v>
      </c>
      <c r="AE5803" s="55" t="n">
        <f aca="false">IF(AC5803,IF(01_因子設定!$B$13="最大化",X5803,IF(01_因子設定!$B$13="最小化",-X5803,-ABS(X5803-01_因子設定!$B$16))),-1E+030)</f>
        <v>48.1996436403509</v>
      </c>
      <c r="AF5803" s="55" t="n">
        <f aca="false">AD5803+ROW()*0.000000001</f>
        <v>0.125141887595141</v>
      </c>
      <c r="AG5803" s="55" t="n">
        <f aca="false">AE5803+ROW()*0.000000001</f>
        <v>48.1996494433509</v>
      </c>
    </row>
    <row r="5804" customFormat="false" ht="15" hidden="false" customHeight="false" outlineLevel="0" collapsed="false">
      <c r="A5804" s="0" t="n">
        <v>7</v>
      </c>
      <c r="B5804" s="0" t="n">
        <v>8</v>
      </c>
      <c r="C5804" s="0" t="n">
        <v>5</v>
      </c>
      <c r="D5804" s="0" t="n">
        <v>3</v>
      </c>
      <c r="E5804" s="0" t="n">
        <f aca="false">-1+A5804*0.25</f>
        <v>0.75</v>
      </c>
      <c r="F5804" s="0" t="n">
        <f aca="false">-1+B5804*0.25</f>
        <v>1</v>
      </c>
      <c r="G5804" s="0" t="n">
        <f aca="false">-1+C5804*0.25</f>
        <v>0.25</v>
      </c>
      <c r="H5804" s="0" t="n">
        <f aca="false">-1+D5804*0.25</f>
        <v>-0.25</v>
      </c>
      <c r="I5804" s="0" t="n">
        <f aca="false">1</f>
        <v>1</v>
      </c>
      <c r="J5804" s="0" t="n">
        <f aca="false">E5804</f>
        <v>0.75</v>
      </c>
      <c r="K5804" s="0" t="n">
        <f aca="false">F5804</f>
        <v>1</v>
      </c>
      <c r="L5804" s="0" t="n">
        <f aca="false">G5804</f>
        <v>0.25</v>
      </c>
      <c r="M5804" s="0" t="n">
        <f aca="false">H5804</f>
        <v>-0.25</v>
      </c>
      <c r="N5804" s="0" t="n">
        <f aca="false">E5804*F5804</f>
        <v>0.75</v>
      </c>
      <c r="O5804" s="0" t="n">
        <f aca="false">E5804*G5804</f>
        <v>0.1875</v>
      </c>
      <c r="P5804" s="0" t="n">
        <f aca="false">E5804*H5804</f>
        <v>-0.1875</v>
      </c>
      <c r="Q5804" s="0" t="n">
        <f aca="false">F5804*G5804</f>
        <v>0.25</v>
      </c>
      <c r="R5804" s="0" t="n">
        <f aca="false">F5804*H5804</f>
        <v>-0.25</v>
      </c>
      <c r="S5804" s="0" t="n">
        <f aca="false">G5804*H5804</f>
        <v>-0.0625</v>
      </c>
      <c r="T5804" s="0" t="n">
        <f aca="false">E5804*E5804</f>
        <v>0.5625</v>
      </c>
      <c r="U5804" s="0" t="n">
        <f aca="false">F5804*F5804</f>
        <v>1</v>
      </c>
      <c r="V5804" s="0" t="n">
        <f aca="false">G5804*G5804</f>
        <v>0.0625</v>
      </c>
      <c r="W5804" s="0" t="n">
        <f aca="false">H5804*H5804</f>
        <v>0.0625</v>
      </c>
      <c r="X5804" s="0" t="n">
        <f aca="false">SUMPRODUCT(I5804:W5804,_XtX!$B$96:$P$96)</f>
        <v>48.3610243055555</v>
      </c>
      <c r="Y5804" s="0" t="n">
        <f aca="false">SUMPRODUCT(MMULT(I5804:W5804,_XtX!$B$78:$P$92),I5804:W5804)</f>
        <v>0.486409505208334</v>
      </c>
      <c r="Z5804" s="0" t="n">
        <f aca="false">04_回帰ANOVA!$K$19*04_回帰ANOVA!$K$14*SQRT(1+Y5804)</f>
        <v>1.58916001665498</v>
      </c>
      <c r="AA5804" s="0" t="n">
        <f aca="false">X5804-Z5804</f>
        <v>46.7718642889006</v>
      </c>
      <c r="AB5804" s="0" t="n">
        <f aca="false">X5804+Z5804</f>
        <v>49.9501843222105</v>
      </c>
      <c r="AC5804" s="54" t="b">
        <f aca="false">AND(E5804&gt;=01_因子設定!$L$5-0.000000001,E5804&lt;=01_因子設定!$M$5+0.000000001,F5804&gt;=01_因子設定!$L$6-0.000000001,F5804&lt;=01_因子設定!$M$6+0.000000001,G5804&gt;=01_因子設定!$L$7-0.000000001,G5804&lt;=01_因子設定!$M$7+0.000000001,H5804&gt;=01_因子設定!$L$8-0.000000001,H5804&lt;=01_因子設定!$M$8+0.000000001,IF(01_因子設定!$B$20="Box-Behnken",E5804^2+F5804^2+G5804^2+H5804^2&lt;=2+0.000000001,TRUE()))</f>
        <v>1</v>
      </c>
      <c r="AD5804" s="55" t="n">
        <f aca="false">IF(AC5804,IF(01_因子設定!$B$13="最大化",AA5804-01_因子設定!$B$14,IF(01_因子設定!$B$13="最小化",01_因子設定!$B$15-AB5804,MIN(AA5804-01_因子設定!$B$14,01_因子設定!$B$15-AB5804))),-1E+030)</f>
        <v>0.271864288900559</v>
      </c>
      <c r="AE5804" s="55" t="n">
        <f aca="false">IF(AC5804,IF(01_因子設定!$B$13="最大化",X5804,IF(01_因子設定!$B$13="最小化",-X5804,-ABS(X5804-01_因子設定!$B$16))),-1E+030)</f>
        <v>48.3610243055555</v>
      </c>
      <c r="AF5804" s="55" t="n">
        <f aca="false">AD5804+ROW()*0.000000001</f>
        <v>0.271870092900559</v>
      </c>
      <c r="AG5804" s="55" t="n">
        <f aca="false">AE5804+ROW()*0.000000001</f>
        <v>48.3610301095555</v>
      </c>
    </row>
    <row r="5805" customFormat="false" ht="15" hidden="false" customHeight="false" outlineLevel="0" collapsed="false">
      <c r="A5805" s="0" t="n">
        <v>7</v>
      </c>
      <c r="B5805" s="0" t="n">
        <v>8</v>
      </c>
      <c r="C5805" s="0" t="n">
        <v>5</v>
      </c>
      <c r="D5805" s="0" t="n">
        <v>4</v>
      </c>
      <c r="E5805" s="0" t="n">
        <f aca="false">-1+A5805*0.25</f>
        <v>0.75</v>
      </c>
      <c r="F5805" s="0" t="n">
        <f aca="false">-1+B5805*0.25</f>
        <v>1</v>
      </c>
      <c r="G5805" s="0" t="n">
        <f aca="false">-1+C5805*0.25</f>
        <v>0.25</v>
      </c>
      <c r="H5805" s="0" t="n">
        <f aca="false">-1+D5805*0.25</f>
        <v>0</v>
      </c>
      <c r="I5805" s="0" t="n">
        <f aca="false">1</f>
        <v>1</v>
      </c>
      <c r="J5805" s="0" t="n">
        <f aca="false">E5805</f>
        <v>0.75</v>
      </c>
      <c r="K5805" s="0" t="n">
        <f aca="false">F5805</f>
        <v>1</v>
      </c>
      <c r="L5805" s="0" t="n">
        <f aca="false">G5805</f>
        <v>0.25</v>
      </c>
      <c r="M5805" s="0" t="n">
        <f aca="false">H5805</f>
        <v>0</v>
      </c>
      <c r="N5805" s="0" t="n">
        <f aca="false">E5805*F5805</f>
        <v>0.75</v>
      </c>
      <c r="O5805" s="0" t="n">
        <f aca="false">E5805*G5805</f>
        <v>0.1875</v>
      </c>
      <c r="P5805" s="0" t="n">
        <f aca="false">E5805*H5805</f>
        <v>0</v>
      </c>
      <c r="Q5805" s="0" t="n">
        <f aca="false">F5805*G5805</f>
        <v>0.25</v>
      </c>
      <c r="R5805" s="0" t="n">
        <f aca="false">F5805*H5805</f>
        <v>0</v>
      </c>
      <c r="S5805" s="0" t="n">
        <f aca="false">G5805*H5805</f>
        <v>0</v>
      </c>
      <c r="T5805" s="0" t="n">
        <f aca="false">E5805*E5805</f>
        <v>0.5625</v>
      </c>
      <c r="U5805" s="0" t="n">
        <f aca="false">F5805*F5805</f>
        <v>1</v>
      </c>
      <c r="V5805" s="0" t="n">
        <f aca="false">G5805*G5805</f>
        <v>0.0625</v>
      </c>
      <c r="W5805" s="0" t="n">
        <f aca="false">H5805*H5805</f>
        <v>0</v>
      </c>
      <c r="X5805" s="0" t="n">
        <f aca="false">SUMPRODUCT(I5805:W5805,_XtX!$B$96:$P$96)</f>
        <v>48.4745979532164</v>
      </c>
      <c r="Y5805" s="0" t="n">
        <f aca="false">SUMPRODUCT(MMULT(I5805:W5805,_XtX!$B$78:$P$92),I5805:W5805)</f>
        <v>0.501534802174708</v>
      </c>
      <c r="Z5805" s="0" t="n">
        <f aca="false">04_回帰ANOVA!$K$19*04_回帰ANOVA!$K$14*SQRT(1+Y5805)</f>
        <v>1.59722498091333</v>
      </c>
      <c r="AA5805" s="0" t="n">
        <f aca="false">X5805-Z5805</f>
        <v>46.877372972303</v>
      </c>
      <c r="AB5805" s="0" t="n">
        <f aca="false">X5805+Z5805</f>
        <v>50.0718229341297</v>
      </c>
      <c r="AC5805" s="54" t="b">
        <f aca="false">AND(E5805&gt;=01_因子設定!$L$5-0.000000001,E5805&lt;=01_因子設定!$M$5+0.000000001,F5805&gt;=01_因子設定!$L$6-0.000000001,F5805&lt;=01_因子設定!$M$6+0.000000001,G5805&gt;=01_因子設定!$L$7-0.000000001,G5805&lt;=01_因子設定!$M$7+0.000000001,H5805&gt;=01_因子設定!$L$8-0.000000001,H5805&lt;=01_因子設定!$M$8+0.000000001,IF(01_因子設定!$B$20="Box-Behnken",E5805^2+F5805^2+G5805^2+H5805^2&lt;=2+0.000000001,TRUE()))</f>
        <v>1</v>
      </c>
      <c r="AD5805" s="55" t="n">
        <f aca="false">IF(AC5805,IF(01_因子設定!$B$13="最大化",AA5805-01_因子設定!$B$14,IF(01_因子設定!$B$13="最小化",01_因子設定!$B$15-AB5805,MIN(AA5805-01_因子設定!$B$14,01_因子設定!$B$15-AB5805))),-1E+030)</f>
        <v>0.377372972303029</v>
      </c>
      <c r="AE5805" s="55" t="n">
        <f aca="false">IF(AC5805,IF(01_因子設定!$B$13="最大化",X5805,IF(01_因子設定!$B$13="最小化",-X5805,-ABS(X5805-01_因子設定!$B$16))),-1E+030)</f>
        <v>48.4745979532164</v>
      </c>
      <c r="AF5805" s="55" t="n">
        <f aca="false">AD5805+ROW()*0.000000001</f>
        <v>0.377378777303029</v>
      </c>
      <c r="AG5805" s="55" t="n">
        <f aca="false">AE5805+ROW()*0.000000001</f>
        <v>48.4746037582164</v>
      </c>
    </row>
    <row r="5806" customFormat="false" ht="15" hidden="false" customHeight="false" outlineLevel="0" collapsed="false">
      <c r="A5806" s="0" t="n">
        <v>7</v>
      </c>
      <c r="B5806" s="0" t="n">
        <v>8</v>
      </c>
      <c r="C5806" s="0" t="n">
        <v>5</v>
      </c>
      <c r="D5806" s="0" t="n">
        <v>5</v>
      </c>
      <c r="E5806" s="0" t="n">
        <f aca="false">-1+A5806*0.25</f>
        <v>0.75</v>
      </c>
      <c r="F5806" s="0" t="n">
        <f aca="false">-1+B5806*0.25</f>
        <v>1</v>
      </c>
      <c r="G5806" s="0" t="n">
        <f aca="false">-1+C5806*0.25</f>
        <v>0.25</v>
      </c>
      <c r="H5806" s="0" t="n">
        <f aca="false">-1+D5806*0.25</f>
        <v>0.25</v>
      </c>
      <c r="I5806" s="0" t="n">
        <f aca="false">1</f>
        <v>1</v>
      </c>
      <c r="J5806" s="0" t="n">
        <f aca="false">E5806</f>
        <v>0.75</v>
      </c>
      <c r="K5806" s="0" t="n">
        <f aca="false">F5806</f>
        <v>1</v>
      </c>
      <c r="L5806" s="0" t="n">
        <f aca="false">G5806</f>
        <v>0.25</v>
      </c>
      <c r="M5806" s="0" t="n">
        <f aca="false">H5806</f>
        <v>0.25</v>
      </c>
      <c r="N5806" s="0" t="n">
        <f aca="false">E5806*F5806</f>
        <v>0.75</v>
      </c>
      <c r="O5806" s="0" t="n">
        <f aca="false">E5806*G5806</f>
        <v>0.1875</v>
      </c>
      <c r="P5806" s="0" t="n">
        <f aca="false">E5806*H5806</f>
        <v>0.1875</v>
      </c>
      <c r="Q5806" s="0" t="n">
        <f aca="false">F5806*G5806</f>
        <v>0.25</v>
      </c>
      <c r="R5806" s="0" t="n">
        <f aca="false">F5806*H5806</f>
        <v>0.25</v>
      </c>
      <c r="S5806" s="0" t="n">
        <f aca="false">G5806*H5806</f>
        <v>0.0625</v>
      </c>
      <c r="T5806" s="0" t="n">
        <f aca="false">E5806*E5806</f>
        <v>0.5625</v>
      </c>
      <c r="U5806" s="0" t="n">
        <f aca="false">F5806*F5806</f>
        <v>1</v>
      </c>
      <c r="V5806" s="0" t="n">
        <f aca="false">G5806*G5806</f>
        <v>0.0625</v>
      </c>
      <c r="W5806" s="0" t="n">
        <f aca="false">H5806*H5806</f>
        <v>0.0625</v>
      </c>
      <c r="X5806" s="0" t="n">
        <f aca="false">SUMPRODUCT(I5806:W5806,_XtX!$B$96:$P$96)</f>
        <v>48.5403645833333</v>
      </c>
      <c r="Y5806" s="0" t="n">
        <f aca="false">SUMPRODUCT(MMULT(I5806:W5806,_XtX!$B$78:$P$92),I5806:W5806)</f>
        <v>0.486409505208334</v>
      </c>
      <c r="Z5806" s="0" t="n">
        <f aca="false">04_回帰ANOVA!$K$19*04_回帰ANOVA!$K$14*SQRT(1+Y5806)</f>
        <v>1.58916001665498</v>
      </c>
      <c r="AA5806" s="0" t="n">
        <f aca="false">X5806-Z5806</f>
        <v>46.9512045666783</v>
      </c>
      <c r="AB5806" s="0" t="n">
        <f aca="false">X5806+Z5806</f>
        <v>50.1295245999883</v>
      </c>
      <c r="AC5806" s="54" t="b">
        <f aca="false">AND(E5806&gt;=01_因子設定!$L$5-0.000000001,E5806&lt;=01_因子設定!$M$5+0.000000001,F5806&gt;=01_因子設定!$L$6-0.000000001,F5806&lt;=01_因子設定!$M$6+0.000000001,G5806&gt;=01_因子設定!$L$7-0.000000001,G5806&lt;=01_因子設定!$M$7+0.000000001,H5806&gt;=01_因子設定!$L$8-0.000000001,H5806&lt;=01_因子設定!$M$8+0.000000001,IF(01_因子設定!$B$20="Box-Behnken",E5806^2+F5806^2+G5806^2+H5806^2&lt;=2+0.000000001,TRUE()))</f>
        <v>1</v>
      </c>
      <c r="AD5806" s="55" t="n">
        <f aca="false">IF(AC5806,IF(01_因子設定!$B$13="最大化",AA5806-01_因子設定!$B$14,IF(01_因子設定!$B$13="最小化",01_因子設定!$B$15-AB5806,MIN(AA5806-01_因子設定!$B$14,01_因子設定!$B$15-AB5806))),-1E+030)</f>
        <v>0.451204566678342</v>
      </c>
      <c r="AE5806" s="55" t="n">
        <f aca="false">IF(AC5806,IF(01_因子設定!$B$13="最大化",X5806,IF(01_因子設定!$B$13="最小化",-X5806,-ABS(X5806-01_因子設定!$B$16))),-1E+030)</f>
        <v>48.5403645833333</v>
      </c>
      <c r="AF5806" s="55" t="n">
        <f aca="false">AD5806+ROW()*0.000000001</f>
        <v>0.451210372678342</v>
      </c>
      <c r="AG5806" s="55" t="n">
        <f aca="false">AE5806+ROW()*0.000000001</f>
        <v>48.5403703893333</v>
      </c>
    </row>
    <row r="5807" customFormat="false" ht="15" hidden="false" customHeight="false" outlineLevel="0" collapsed="false">
      <c r="A5807" s="0" t="n">
        <v>7</v>
      </c>
      <c r="B5807" s="0" t="n">
        <v>8</v>
      </c>
      <c r="C5807" s="0" t="n">
        <v>5</v>
      </c>
      <c r="D5807" s="0" t="n">
        <v>6</v>
      </c>
      <c r="E5807" s="0" t="n">
        <f aca="false">-1+A5807*0.25</f>
        <v>0.75</v>
      </c>
      <c r="F5807" s="0" t="n">
        <f aca="false">-1+B5807*0.25</f>
        <v>1</v>
      </c>
      <c r="G5807" s="0" t="n">
        <f aca="false">-1+C5807*0.25</f>
        <v>0.25</v>
      </c>
      <c r="H5807" s="0" t="n">
        <f aca="false">-1+D5807*0.25</f>
        <v>0.5</v>
      </c>
      <c r="I5807" s="0" t="n">
        <f aca="false">1</f>
        <v>1</v>
      </c>
      <c r="J5807" s="0" t="n">
        <f aca="false">E5807</f>
        <v>0.75</v>
      </c>
      <c r="K5807" s="0" t="n">
        <f aca="false">F5807</f>
        <v>1</v>
      </c>
      <c r="L5807" s="0" t="n">
        <f aca="false">G5807</f>
        <v>0.25</v>
      </c>
      <c r="M5807" s="0" t="n">
        <f aca="false">H5807</f>
        <v>0.5</v>
      </c>
      <c r="N5807" s="0" t="n">
        <f aca="false">E5807*F5807</f>
        <v>0.75</v>
      </c>
      <c r="O5807" s="0" t="n">
        <f aca="false">E5807*G5807</f>
        <v>0.1875</v>
      </c>
      <c r="P5807" s="0" t="n">
        <f aca="false">E5807*H5807</f>
        <v>0.375</v>
      </c>
      <c r="Q5807" s="0" t="n">
        <f aca="false">F5807*G5807</f>
        <v>0.25</v>
      </c>
      <c r="R5807" s="0" t="n">
        <f aca="false">F5807*H5807</f>
        <v>0.5</v>
      </c>
      <c r="S5807" s="0" t="n">
        <f aca="false">G5807*H5807</f>
        <v>0.125</v>
      </c>
      <c r="T5807" s="0" t="n">
        <f aca="false">E5807*E5807</f>
        <v>0.5625</v>
      </c>
      <c r="U5807" s="0" t="n">
        <f aca="false">F5807*F5807</f>
        <v>1</v>
      </c>
      <c r="V5807" s="0" t="n">
        <f aca="false">G5807*G5807</f>
        <v>0.0625</v>
      </c>
      <c r="W5807" s="0" t="n">
        <f aca="false">H5807*H5807</f>
        <v>0.25</v>
      </c>
      <c r="X5807" s="0" t="n">
        <f aca="false">SUMPRODUCT(I5807:W5807,_XtX!$B$96:$P$96)</f>
        <v>48.5583241959064</v>
      </c>
      <c r="Y5807" s="0" t="n">
        <f aca="false">SUMPRODUCT(MMULT(I5807:W5807,_XtX!$B$78:$P$92),I5807:W5807)</f>
        <v>0.459125719572369</v>
      </c>
      <c r="Z5807" s="0" t="n">
        <f aca="false">04_回帰ANOVA!$K$19*04_回帰ANOVA!$K$14*SQRT(1+Y5807)</f>
        <v>1.57450755575573</v>
      </c>
      <c r="AA5807" s="0" t="n">
        <f aca="false">X5807-Z5807</f>
        <v>46.9838166401507</v>
      </c>
      <c r="AB5807" s="0" t="n">
        <f aca="false">X5807+Z5807</f>
        <v>50.1328317516622</v>
      </c>
      <c r="AC5807" s="54" t="b">
        <f aca="false">AND(E5807&gt;=01_因子設定!$L$5-0.000000001,E5807&lt;=01_因子設定!$M$5+0.000000001,F5807&gt;=01_因子設定!$L$6-0.000000001,F5807&lt;=01_因子設定!$M$6+0.000000001,G5807&gt;=01_因子設定!$L$7-0.000000001,G5807&lt;=01_因子設定!$M$7+0.000000001,H5807&gt;=01_因子設定!$L$8-0.000000001,H5807&lt;=01_因子設定!$M$8+0.000000001,IF(01_因子設定!$B$20="Box-Behnken",E5807^2+F5807^2+G5807^2+H5807^2&lt;=2+0.000000001,TRUE()))</f>
        <v>1</v>
      </c>
      <c r="AD5807" s="55" t="n">
        <f aca="false">IF(AC5807,IF(01_因子設定!$B$13="最大化",AA5807-01_因子設定!$B$14,IF(01_因子設定!$B$13="最小化",01_因子設定!$B$15-AB5807,MIN(AA5807-01_因子設定!$B$14,01_因子設定!$B$15-AB5807))),-1E+030)</f>
        <v>0.483816640150693</v>
      </c>
      <c r="AE5807" s="55" t="n">
        <f aca="false">IF(AC5807,IF(01_因子設定!$B$13="最大化",X5807,IF(01_因子設定!$B$13="最小化",-X5807,-ABS(X5807-01_因子設定!$B$16))),-1E+030)</f>
        <v>48.5583241959064</v>
      </c>
      <c r="AF5807" s="55" t="n">
        <f aca="false">AD5807+ROW()*0.000000001</f>
        <v>0.483822447150693</v>
      </c>
      <c r="AG5807" s="55" t="n">
        <f aca="false">AE5807+ROW()*0.000000001</f>
        <v>48.5583300029064</v>
      </c>
    </row>
    <row r="5808" customFormat="false" ht="15" hidden="false" customHeight="false" outlineLevel="0" collapsed="false">
      <c r="A5808" s="0" t="n">
        <v>7</v>
      </c>
      <c r="B5808" s="0" t="n">
        <v>8</v>
      </c>
      <c r="C5808" s="0" t="n">
        <v>5</v>
      </c>
      <c r="D5808" s="0" t="n">
        <v>7</v>
      </c>
      <c r="E5808" s="0" t="n">
        <f aca="false">-1+A5808*0.25</f>
        <v>0.75</v>
      </c>
      <c r="F5808" s="0" t="n">
        <f aca="false">-1+B5808*0.25</f>
        <v>1</v>
      </c>
      <c r="G5808" s="0" t="n">
        <f aca="false">-1+C5808*0.25</f>
        <v>0.25</v>
      </c>
      <c r="H5808" s="0" t="n">
        <f aca="false">-1+D5808*0.25</f>
        <v>0.75</v>
      </c>
      <c r="I5808" s="0" t="n">
        <f aca="false">1</f>
        <v>1</v>
      </c>
      <c r="J5808" s="0" t="n">
        <f aca="false">E5808</f>
        <v>0.75</v>
      </c>
      <c r="K5808" s="0" t="n">
        <f aca="false">F5808</f>
        <v>1</v>
      </c>
      <c r="L5808" s="0" t="n">
        <f aca="false">G5808</f>
        <v>0.25</v>
      </c>
      <c r="M5808" s="0" t="n">
        <f aca="false">H5808</f>
        <v>0.75</v>
      </c>
      <c r="N5808" s="0" t="n">
        <f aca="false">E5808*F5808</f>
        <v>0.75</v>
      </c>
      <c r="O5808" s="0" t="n">
        <f aca="false">E5808*G5808</f>
        <v>0.1875</v>
      </c>
      <c r="P5808" s="0" t="n">
        <f aca="false">E5808*H5808</f>
        <v>0.5625</v>
      </c>
      <c r="Q5808" s="0" t="n">
        <f aca="false">F5808*G5808</f>
        <v>0.25</v>
      </c>
      <c r="R5808" s="0" t="n">
        <f aca="false">F5808*H5808</f>
        <v>0.75</v>
      </c>
      <c r="S5808" s="0" t="n">
        <f aca="false">G5808*H5808</f>
        <v>0.1875</v>
      </c>
      <c r="T5808" s="0" t="n">
        <f aca="false">E5808*E5808</f>
        <v>0.5625</v>
      </c>
      <c r="U5808" s="0" t="n">
        <f aca="false">F5808*F5808</f>
        <v>1</v>
      </c>
      <c r="V5808" s="0" t="n">
        <f aca="false">G5808*G5808</f>
        <v>0.0625</v>
      </c>
      <c r="W5808" s="0" t="n">
        <f aca="false">H5808*H5808</f>
        <v>0.5625</v>
      </c>
      <c r="X5808" s="0" t="n">
        <f aca="false">SUMPRODUCT(I5808:W5808,_XtX!$B$96:$P$96)</f>
        <v>48.5284767909357</v>
      </c>
      <c r="Y5808" s="0" t="n">
        <f aca="false">SUMPRODUCT(MMULT(I5808:W5808,_XtX!$B$78:$P$92),I5808:W5808)</f>
        <v>0.473959761056287</v>
      </c>
      <c r="Z5808" s="0" t="n">
        <f aca="false">04_回帰ANOVA!$K$19*04_回帰ANOVA!$K$14*SQRT(1+Y5808)</f>
        <v>1.58249084588329</v>
      </c>
      <c r="AA5808" s="0" t="n">
        <f aca="false">X5808-Z5808</f>
        <v>46.9459859450524</v>
      </c>
      <c r="AB5808" s="0" t="n">
        <f aca="false">X5808+Z5808</f>
        <v>50.110967636819</v>
      </c>
      <c r="AC5808" s="54" t="b">
        <f aca="false">AND(E5808&gt;=01_因子設定!$L$5-0.000000001,E5808&lt;=01_因子設定!$M$5+0.000000001,F5808&gt;=01_因子設定!$L$6-0.000000001,F5808&lt;=01_因子設定!$M$6+0.000000001,G5808&gt;=01_因子設定!$L$7-0.000000001,G5808&lt;=01_因子設定!$M$7+0.000000001,H5808&gt;=01_因子設定!$L$8-0.000000001,H5808&lt;=01_因子設定!$M$8+0.000000001,IF(01_因子設定!$B$20="Box-Behnken",E5808^2+F5808^2+G5808^2+H5808^2&lt;=2+0.000000001,TRUE()))</f>
        <v>1</v>
      </c>
      <c r="AD5808" s="55" t="n">
        <f aca="false">IF(AC5808,IF(01_因子設定!$B$13="最大化",AA5808-01_因子設定!$B$14,IF(01_因子設定!$B$13="最小化",01_因子設定!$B$15-AB5808,MIN(AA5808-01_因子設定!$B$14,01_因子設定!$B$15-AB5808))),-1E+030)</f>
        <v>0.445985945052392</v>
      </c>
      <c r="AE5808" s="55" t="n">
        <f aca="false">IF(AC5808,IF(01_因子設定!$B$13="最大化",X5808,IF(01_因子設定!$B$13="最小化",-X5808,-ABS(X5808-01_因子設定!$B$16))),-1E+030)</f>
        <v>48.5284767909357</v>
      </c>
      <c r="AF5808" s="55" t="n">
        <f aca="false">AD5808+ROW()*0.000000001</f>
        <v>0.445991753052392</v>
      </c>
      <c r="AG5808" s="55" t="n">
        <f aca="false">AE5808+ROW()*0.000000001</f>
        <v>48.5284825989357</v>
      </c>
    </row>
    <row r="5809" customFormat="false" ht="15" hidden="false" customHeight="false" outlineLevel="0" collapsed="false">
      <c r="A5809" s="0" t="n">
        <v>7</v>
      </c>
      <c r="B5809" s="0" t="n">
        <v>8</v>
      </c>
      <c r="C5809" s="0" t="n">
        <v>5</v>
      </c>
      <c r="D5809" s="0" t="n">
        <v>8</v>
      </c>
      <c r="E5809" s="0" t="n">
        <f aca="false">-1+A5809*0.25</f>
        <v>0.75</v>
      </c>
      <c r="F5809" s="0" t="n">
        <f aca="false">-1+B5809*0.25</f>
        <v>1</v>
      </c>
      <c r="G5809" s="0" t="n">
        <f aca="false">-1+C5809*0.25</f>
        <v>0.25</v>
      </c>
      <c r="H5809" s="0" t="n">
        <f aca="false">-1+D5809*0.25</f>
        <v>1</v>
      </c>
      <c r="I5809" s="0" t="n">
        <f aca="false">1</f>
        <v>1</v>
      </c>
      <c r="J5809" s="0" t="n">
        <f aca="false">E5809</f>
        <v>0.75</v>
      </c>
      <c r="K5809" s="0" t="n">
        <f aca="false">F5809</f>
        <v>1</v>
      </c>
      <c r="L5809" s="0" t="n">
        <f aca="false">G5809</f>
        <v>0.25</v>
      </c>
      <c r="M5809" s="0" t="n">
        <f aca="false">H5809</f>
        <v>1</v>
      </c>
      <c r="N5809" s="0" t="n">
        <f aca="false">E5809*F5809</f>
        <v>0.75</v>
      </c>
      <c r="O5809" s="0" t="n">
        <f aca="false">E5809*G5809</f>
        <v>0.1875</v>
      </c>
      <c r="P5809" s="0" t="n">
        <f aca="false">E5809*H5809</f>
        <v>0.75</v>
      </c>
      <c r="Q5809" s="0" t="n">
        <f aca="false">F5809*G5809</f>
        <v>0.25</v>
      </c>
      <c r="R5809" s="0" t="n">
        <f aca="false">F5809*H5809</f>
        <v>1</v>
      </c>
      <c r="S5809" s="0" t="n">
        <f aca="false">G5809*H5809</f>
        <v>0.25</v>
      </c>
      <c r="T5809" s="0" t="n">
        <f aca="false">E5809*E5809</f>
        <v>0.5625</v>
      </c>
      <c r="U5809" s="0" t="n">
        <f aca="false">F5809*F5809</f>
        <v>1</v>
      </c>
      <c r="V5809" s="0" t="n">
        <f aca="false">G5809*G5809</f>
        <v>0.0625</v>
      </c>
      <c r="W5809" s="0" t="n">
        <f aca="false">H5809*H5809</f>
        <v>1</v>
      </c>
      <c r="X5809" s="0" t="n">
        <f aca="false">SUMPRODUCT(I5809:W5809,_XtX!$B$96:$P$96)</f>
        <v>48.4508223684211</v>
      </c>
      <c r="Y5809" s="0" t="n">
        <f aca="false">SUMPRODUCT(MMULT(I5809:W5809,_XtX!$B$78:$P$92),I5809:W5809)</f>
        <v>0.621372155975877</v>
      </c>
      <c r="Z5809" s="0" t="n">
        <f aca="false">04_回帰ANOVA!$K$19*04_回帰ANOVA!$K$14*SQRT(1+Y5809)</f>
        <v>1.65973880499872</v>
      </c>
      <c r="AA5809" s="0" t="n">
        <f aca="false">X5809-Z5809</f>
        <v>46.7910835634224</v>
      </c>
      <c r="AB5809" s="0" t="n">
        <f aca="false">X5809+Z5809</f>
        <v>50.1105611734198</v>
      </c>
      <c r="AC5809" s="54" t="b">
        <f aca="false">AND(E5809&gt;=01_因子設定!$L$5-0.000000001,E5809&lt;=01_因子設定!$M$5+0.000000001,F5809&gt;=01_因子設定!$L$6-0.000000001,F5809&lt;=01_因子設定!$M$6+0.000000001,G5809&gt;=01_因子設定!$L$7-0.000000001,G5809&lt;=01_因子設定!$M$7+0.000000001,H5809&gt;=01_因子設定!$L$8-0.000000001,H5809&lt;=01_因子設定!$M$8+0.000000001,IF(01_因子設定!$B$20="Box-Behnken",E5809^2+F5809^2+G5809^2+H5809^2&lt;=2+0.000000001,TRUE()))</f>
        <v>1</v>
      </c>
      <c r="AD5809" s="55" t="n">
        <f aca="false">IF(AC5809,IF(01_因子設定!$B$13="最大化",AA5809-01_因子設定!$B$14,IF(01_因子設定!$B$13="最小化",01_因子設定!$B$15-AB5809,MIN(AA5809-01_因子設定!$B$14,01_因子設定!$B$15-AB5809))),-1E+030)</f>
        <v>0.291083563422355</v>
      </c>
      <c r="AE5809" s="55" t="n">
        <f aca="false">IF(AC5809,IF(01_因子設定!$B$13="最大化",X5809,IF(01_因子設定!$B$13="最小化",-X5809,-ABS(X5809-01_因子設定!$B$16))),-1E+030)</f>
        <v>48.4508223684211</v>
      </c>
      <c r="AF5809" s="55" t="n">
        <f aca="false">AD5809+ROW()*0.000000001</f>
        <v>0.291089372422355</v>
      </c>
      <c r="AG5809" s="55" t="n">
        <f aca="false">AE5809+ROW()*0.000000001</f>
        <v>48.4508281774211</v>
      </c>
    </row>
    <row r="5810" customFormat="false" ht="15" hidden="false" customHeight="false" outlineLevel="0" collapsed="false">
      <c r="A5810" s="0" t="n">
        <v>7</v>
      </c>
      <c r="B5810" s="0" t="n">
        <v>8</v>
      </c>
      <c r="C5810" s="0" t="n">
        <v>6</v>
      </c>
      <c r="D5810" s="0" t="n">
        <v>0</v>
      </c>
      <c r="E5810" s="0" t="n">
        <f aca="false">-1+A5810*0.25</f>
        <v>0.75</v>
      </c>
      <c r="F5810" s="0" t="n">
        <f aca="false">-1+B5810*0.25</f>
        <v>1</v>
      </c>
      <c r="G5810" s="0" t="n">
        <f aca="false">-1+C5810*0.25</f>
        <v>0.5</v>
      </c>
      <c r="H5810" s="0" t="n">
        <f aca="false">-1+D5810*0.25</f>
        <v>-1</v>
      </c>
      <c r="I5810" s="0" t="n">
        <f aca="false">1</f>
        <v>1</v>
      </c>
      <c r="J5810" s="0" t="n">
        <f aca="false">E5810</f>
        <v>0.75</v>
      </c>
      <c r="K5810" s="0" t="n">
        <f aca="false">F5810</f>
        <v>1</v>
      </c>
      <c r="L5810" s="0" t="n">
        <f aca="false">G5810</f>
        <v>0.5</v>
      </c>
      <c r="M5810" s="0" t="n">
        <f aca="false">H5810</f>
        <v>-1</v>
      </c>
      <c r="N5810" s="0" t="n">
        <f aca="false">E5810*F5810</f>
        <v>0.75</v>
      </c>
      <c r="O5810" s="0" t="n">
        <f aca="false">E5810*G5810</f>
        <v>0.375</v>
      </c>
      <c r="P5810" s="0" t="n">
        <f aca="false">E5810*H5810</f>
        <v>-0.75</v>
      </c>
      <c r="Q5810" s="0" t="n">
        <f aca="false">F5810*G5810</f>
        <v>0.5</v>
      </c>
      <c r="R5810" s="0" t="n">
        <f aca="false">F5810*H5810</f>
        <v>-1</v>
      </c>
      <c r="S5810" s="0" t="n">
        <f aca="false">G5810*H5810</f>
        <v>-0.5</v>
      </c>
      <c r="T5810" s="0" t="n">
        <f aca="false">E5810*E5810</f>
        <v>0.5625</v>
      </c>
      <c r="U5810" s="0" t="n">
        <f aca="false">F5810*F5810</f>
        <v>1</v>
      </c>
      <c r="V5810" s="0" t="n">
        <f aca="false">G5810*G5810</f>
        <v>0.25</v>
      </c>
      <c r="W5810" s="0" t="n">
        <f aca="false">H5810*H5810</f>
        <v>1</v>
      </c>
      <c r="X5810" s="0" t="n">
        <f aca="false">SUMPRODUCT(I5810:W5810,_XtX!$B$96:$P$96)</f>
        <v>47.7357090643275</v>
      </c>
      <c r="Y5810" s="0" t="n">
        <f aca="false">SUMPRODUCT(MMULT(I5810:W5810,_XtX!$B$78:$P$92),I5810:W5810)</f>
        <v>0.564984237938597</v>
      </c>
      <c r="Z5810" s="0" t="n">
        <f aca="false">04_回帰ANOVA!$K$19*04_回帰ANOVA!$K$14*SQRT(1+Y5810)</f>
        <v>1.63062229734503</v>
      </c>
      <c r="AA5810" s="0" t="n">
        <f aca="false">X5810-Z5810</f>
        <v>46.1050867669825</v>
      </c>
      <c r="AB5810" s="0" t="n">
        <f aca="false">X5810+Z5810</f>
        <v>49.3663313616725</v>
      </c>
      <c r="AC5810" s="54" t="b">
        <f aca="false">AND(E5810&gt;=01_因子設定!$L$5-0.000000001,E5810&lt;=01_因子設定!$M$5+0.000000001,F5810&gt;=01_因子設定!$L$6-0.000000001,F5810&lt;=01_因子設定!$M$6+0.000000001,G5810&gt;=01_因子設定!$L$7-0.000000001,G5810&lt;=01_因子設定!$M$7+0.000000001,H5810&gt;=01_因子設定!$L$8-0.000000001,H5810&lt;=01_因子設定!$M$8+0.000000001,IF(01_因子設定!$B$20="Box-Behnken",E5810^2+F5810^2+G5810^2+H5810^2&lt;=2+0.000000001,TRUE()))</f>
        <v>1</v>
      </c>
      <c r="AD5810" s="55" t="n">
        <f aca="false">IF(AC5810,IF(01_因子設定!$B$13="最大化",AA5810-01_因子設定!$B$14,IF(01_因子設定!$B$13="最小化",01_因子設定!$B$15-AB5810,MIN(AA5810-01_因子設定!$B$14,01_因子設定!$B$15-AB5810))),-1E+030)</f>
        <v>-0.394913233017526</v>
      </c>
      <c r="AE5810" s="55" t="n">
        <f aca="false">IF(AC5810,IF(01_因子設定!$B$13="最大化",X5810,IF(01_因子設定!$B$13="最小化",-X5810,-ABS(X5810-01_因子設定!$B$16))),-1E+030)</f>
        <v>47.7357090643275</v>
      </c>
      <c r="AF5810" s="55" t="n">
        <f aca="false">AD5810+ROW()*0.000000001</f>
        <v>-0.394907423017526</v>
      </c>
      <c r="AG5810" s="55" t="n">
        <f aca="false">AE5810+ROW()*0.000000001</f>
        <v>47.7357148743275</v>
      </c>
    </row>
    <row r="5811" customFormat="false" ht="15" hidden="false" customHeight="false" outlineLevel="0" collapsed="false">
      <c r="A5811" s="0" t="n">
        <v>7</v>
      </c>
      <c r="B5811" s="0" t="n">
        <v>8</v>
      </c>
      <c r="C5811" s="0" t="n">
        <v>6</v>
      </c>
      <c r="D5811" s="0" t="n">
        <v>1</v>
      </c>
      <c r="E5811" s="0" t="n">
        <f aca="false">-1+A5811*0.25</f>
        <v>0.75</v>
      </c>
      <c r="F5811" s="0" t="n">
        <f aca="false">-1+B5811*0.25</f>
        <v>1</v>
      </c>
      <c r="G5811" s="0" t="n">
        <f aca="false">-1+C5811*0.25</f>
        <v>0.5</v>
      </c>
      <c r="H5811" s="0" t="n">
        <f aca="false">-1+D5811*0.25</f>
        <v>-0.75</v>
      </c>
      <c r="I5811" s="0" t="n">
        <f aca="false">1</f>
        <v>1</v>
      </c>
      <c r="J5811" s="0" t="n">
        <f aca="false">E5811</f>
        <v>0.75</v>
      </c>
      <c r="K5811" s="0" t="n">
        <f aca="false">F5811</f>
        <v>1</v>
      </c>
      <c r="L5811" s="0" t="n">
        <f aca="false">G5811</f>
        <v>0.5</v>
      </c>
      <c r="M5811" s="0" t="n">
        <f aca="false">H5811</f>
        <v>-0.75</v>
      </c>
      <c r="N5811" s="0" t="n">
        <f aca="false">E5811*F5811</f>
        <v>0.75</v>
      </c>
      <c r="O5811" s="0" t="n">
        <f aca="false">E5811*G5811</f>
        <v>0.375</v>
      </c>
      <c r="P5811" s="0" t="n">
        <f aca="false">E5811*H5811</f>
        <v>-0.5625</v>
      </c>
      <c r="Q5811" s="0" t="n">
        <f aca="false">F5811*G5811</f>
        <v>0.5</v>
      </c>
      <c r="R5811" s="0" t="n">
        <f aca="false">F5811*H5811</f>
        <v>-0.75</v>
      </c>
      <c r="S5811" s="0" t="n">
        <f aca="false">G5811*H5811</f>
        <v>-0.375</v>
      </c>
      <c r="T5811" s="0" t="n">
        <f aca="false">E5811*E5811</f>
        <v>0.5625</v>
      </c>
      <c r="U5811" s="0" t="n">
        <f aca="false">F5811*F5811</f>
        <v>1</v>
      </c>
      <c r="V5811" s="0" t="n">
        <f aca="false">G5811*G5811</f>
        <v>0.25</v>
      </c>
      <c r="W5811" s="0" t="n">
        <f aca="false">H5811*H5811</f>
        <v>0.5625</v>
      </c>
      <c r="X5811" s="0" t="n">
        <f aca="false">SUMPRODUCT(I5811:W5811,_XtX!$B$96:$P$96)</f>
        <v>48.0106725146199</v>
      </c>
      <c r="Y5811" s="0" t="n">
        <f aca="false">SUMPRODUCT(MMULT(I5811:W5811,_XtX!$B$78:$P$92),I5811:W5811)</f>
        <v>0.431153771472953</v>
      </c>
      <c r="Z5811" s="0" t="n">
        <f aca="false">04_回帰ANOVA!$K$19*04_回帰ANOVA!$K$14*SQRT(1+Y5811)</f>
        <v>1.55934259562563</v>
      </c>
      <c r="AA5811" s="0" t="n">
        <f aca="false">X5811-Z5811</f>
        <v>46.4513299189943</v>
      </c>
      <c r="AB5811" s="0" t="n">
        <f aca="false">X5811+Z5811</f>
        <v>49.5700151102455</v>
      </c>
      <c r="AC5811" s="54" t="b">
        <f aca="false">AND(E5811&gt;=01_因子設定!$L$5-0.000000001,E5811&lt;=01_因子設定!$M$5+0.000000001,F5811&gt;=01_因子設定!$L$6-0.000000001,F5811&lt;=01_因子設定!$M$6+0.000000001,G5811&gt;=01_因子設定!$L$7-0.000000001,G5811&lt;=01_因子設定!$M$7+0.000000001,H5811&gt;=01_因子設定!$L$8-0.000000001,H5811&lt;=01_因子設定!$M$8+0.000000001,IF(01_因子設定!$B$20="Box-Behnken",E5811^2+F5811^2+G5811^2+H5811^2&lt;=2+0.000000001,TRUE()))</f>
        <v>1</v>
      </c>
      <c r="AD5811" s="55" t="n">
        <f aca="false">IF(AC5811,IF(01_因子設定!$B$13="最大化",AA5811-01_因子設定!$B$14,IF(01_因子設定!$B$13="最小化",01_因子設定!$B$15-AB5811,MIN(AA5811-01_因子設定!$B$14,01_因子設定!$B$15-AB5811))),-1E+030)</f>
        <v>-0.0486700810057386</v>
      </c>
      <c r="AE5811" s="55" t="n">
        <f aca="false">IF(AC5811,IF(01_因子設定!$B$13="最大化",X5811,IF(01_因子設定!$B$13="最小化",-X5811,-ABS(X5811-01_因子設定!$B$16))),-1E+030)</f>
        <v>48.0106725146199</v>
      </c>
      <c r="AF5811" s="55" t="n">
        <f aca="false">AD5811+ROW()*0.000000001</f>
        <v>-0.0486642700057386</v>
      </c>
      <c r="AG5811" s="55" t="n">
        <f aca="false">AE5811+ROW()*0.000000001</f>
        <v>48.0106783256199</v>
      </c>
    </row>
    <row r="5812" customFormat="false" ht="15" hidden="false" customHeight="false" outlineLevel="0" collapsed="false">
      <c r="A5812" s="0" t="n">
        <v>7</v>
      </c>
      <c r="B5812" s="0" t="n">
        <v>8</v>
      </c>
      <c r="C5812" s="0" t="n">
        <v>6</v>
      </c>
      <c r="D5812" s="0" t="n">
        <v>2</v>
      </c>
      <c r="E5812" s="0" t="n">
        <f aca="false">-1+A5812*0.25</f>
        <v>0.75</v>
      </c>
      <c r="F5812" s="0" t="n">
        <f aca="false">-1+B5812*0.25</f>
        <v>1</v>
      </c>
      <c r="G5812" s="0" t="n">
        <f aca="false">-1+C5812*0.25</f>
        <v>0.5</v>
      </c>
      <c r="H5812" s="0" t="n">
        <f aca="false">-1+D5812*0.25</f>
        <v>-0.5</v>
      </c>
      <c r="I5812" s="0" t="n">
        <f aca="false">1</f>
        <v>1</v>
      </c>
      <c r="J5812" s="0" t="n">
        <f aca="false">E5812</f>
        <v>0.75</v>
      </c>
      <c r="K5812" s="0" t="n">
        <f aca="false">F5812</f>
        <v>1</v>
      </c>
      <c r="L5812" s="0" t="n">
        <f aca="false">G5812</f>
        <v>0.5</v>
      </c>
      <c r="M5812" s="0" t="n">
        <f aca="false">H5812</f>
        <v>-0.5</v>
      </c>
      <c r="N5812" s="0" t="n">
        <f aca="false">E5812*F5812</f>
        <v>0.75</v>
      </c>
      <c r="O5812" s="0" t="n">
        <f aca="false">E5812*G5812</f>
        <v>0.375</v>
      </c>
      <c r="P5812" s="0" t="n">
        <f aca="false">E5812*H5812</f>
        <v>-0.375</v>
      </c>
      <c r="Q5812" s="0" t="n">
        <f aca="false">F5812*G5812</f>
        <v>0.5</v>
      </c>
      <c r="R5812" s="0" t="n">
        <f aca="false">F5812*H5812</f>
        <v>-0.5</v>
      </c>
      <c r="S5812" s="0" t="n">
        <f aca="false">G5812*H5812</f>
        <v>-0.25</v>
      </c>
      <c r="T5812" s="0" t="n">
        <f aca="false">E5812*E5812</f>
        <v>0.5625</v>
      </c>
      <c r="U5812" s="0" t="n">
        <f aca="false">F5812*F5812</f>
        <v>1</v>
      </c>
      <c r="V5812" s="0" t="n">
        <f aca="false">G5812*G5812</f>
        <v>0.25</v>
      </c>
      <c r="W5812" s="0" t="n">
        <f aca="false">H5812*H5812</f>
        <v>0.25</v>
      </c>
      <c r="X5812" s="0" t="n">
        <f aca="false">SUMPRODUCT(I5812:W5812,_XtX!$B$96:$P$96)</f>
        <v>48.2378289473684</v>
      </c>
      <c r="Y5812" s="0" t="n">
        <f aca="false">SUMPRODUCT(MMULT(I5812:W5812,_XtX!$B$78:$P$92),I5812:W5812)</f>
        <v>0.42602110745614</v>
      </c>
      <c r="Z5812" s="0" t="n">
        <f aca="false">04_回帰ANOVA!$K$19*04_回帰ANOVA!$K$14*SQRT(1+Y5812)</f>
        <v>1.55654388501114</v>
      </c>
      <c r="AA5812" s="0" t="n">
        <f aca="false">X5812-Z5812</f>
        <v>46.6812850623573</v>
      </c>
      <c r="AB5812" s="0" t="n">
        <f aca="false">X5812+Z5812</f>
        <v>49.7943728323796</v>
      </c>
      <c r="AC5812" s="54" t="b">
        <f aca="false">AND(E5812&gt;=01_因子設定!$L$5-0.000000001,E5812&lt;=01_因子設定!$M$5+0.000000001,F5812&gt;=01_因子設定!$L$6-0.000000001,F5812&lt;=01_因子設定!$M$6+0.000000001,G5812&gt;=01_因子設定!$L$7-0.000000001,G5812&lt;=01_因子設定!$M$7+0.000000001,H5812&gt;=01_因子設定!$L$8-0.000000001,H5812&lt;=01_因子設定!$M$8+0.000000001,IF(01_因子設定!$B$20="Box-Behnken",E5812^2+F5812^2+G5812^2+H5812^2&lt;=2+0.000000001,TRUE()))</f>
        <v>1</v>
      </c>
      <c r="AD5812" s="55" t="n">
        <f aca="false">IF(AC5812,IF(01_因子設定!$B$13="最大化",AA5812-01_因子設定!$B$14,IF(01_因子設定!$B$13="最小化",01_因子設定!$B$15-AB5812,MIN(AA5812-01_因子設定!$B$14,01_因子設定!$B$15-AB5812))),-1E+030)</f>
        <v>0.181285062357276</v>
      </c>
      <c r="AE5812" s="55" t="n">
        <f aca="false">IF(AC5812,IF(01_因子設定!$B$13="最大化",X5812,IF(01_因子設定!$B$13="最小化",-X5812,-ABS(X5812-01_因子設定!$B$16))),-1E+030)</f>
        <v>48.2378289473684</v>
      </c>
      <c r="AF5812" s="55" t="n">
        <f aca="false">AD5812+ROW()*0.000000001</f>
        <v>0.181290874357276</v>
      </c>
      <c r="AG5812" s="55" t="n">
        <f aca="false">AE5812+ROW()*0.000000001</f>
        <v>48.2378347593684</v>
      </c>
    </row>
    <row r="5813" customFormat="false" ht="15" hidden="false" customHeight="false" outlineLevel="0" collapsed="false">
      <c r="A5813" s="0" t="n">
        <v>7</v>
      </c>
      <c r="B5813" s="0" t="n">
        <v>8</v>
      </c>
      <c r="C5813" s="0" t="n">
        <v>6</v>
      </c>
      <c r="D5813" s="0" t="n">
        <v>3</v>
      </c>
      <c r="E5813" s="0" t="n">
        <f aca="false">-1+A5813*0.25</f>
        <v>0.75</v>
      </c>
      <c r="F5813" s="0" t="n">
        <f aca="false">-1+B5813*0.25</f>
        <v>1</v>
      </c>
      <c r="G5813" s="0" t="n">
        <f aca="false">-1+C5813*0.25</f>
        <v>0.5</v>
      </c>
      <c r="H5813" s="0" t="n">
        <f aca="false">-1+D5813*0.25</f>
        <v>-0.25</v>
      </c>
      <c r="I5813" s="0" t="n">
        <f aca="false">1</f>
        <v>1</v>
      </c>
      <c r="J5813" s="0" t="n">
        <f aca="false">E5813</f>
        <v>0.75</v>
      </c>
      <c r="K5813" s="0" t="n">
        <f aca="false">F5813</f>
        <v>1</v>
      </c>
      <c r="L5813" s="0" t="n">
        <f aca="false">G5813</f>
        <v>0.5</v>
      </c>
      <c r="M5813" s="0" t="n">
        <f aca="false">H5813</f>
        <v>-0.25</v>
      </c>
      <c r="N5813" s="0" t="n">
        <f aca="false">E5813*F5813</f>
        <v>0.75</v>
      </c>
      <c r="O5813" s="0" t="n">
        <f aca="false">E5813*G5813</f>
        <v>0.375</v>
      </c>
      <c r="P5813" s="0" t="n">
        <f aca="false">E5813*H5813</f>
        <v>-0.1875</v>
      </c>
      <c r="Q5813" s="0" t="n">
        <f aca="false">F5813*G5813</f>
        <v>0.5</v>
      </c>
      <c r="R5813" s="0" t="n">
        <f aca="false">F5813*H5813</f>
        <v>-0.25</v>
      </c>
      <c r="S5813" s="0" t="n">
        <f aca="false">G5813*H5813</f>
        <v>-0.125</v>
      </c>
      <c r="T5813" s="0" t="n">
        <f aca="false">E5813*E5813</f>
        <v>0.5625</v>
      </c>
      <c r="U5813" s="0" t="n">
        <f aca="false">F5813*F5813</f>
        <v>1</v>
      </c>
      <c r="V5813" s="0" t="n">
        <f aca="false">G5813*G5813</f>
        <v>0.25</v>
      </c>
      <c r="W5813" s="0" t="n">
        <f aca="false">H5813*H5813</f>
        <v>0.0625</v>
      </c>
      <c r="X5813" s="0" t="n">
        <f aca="false">SUMPRODUCT(I5813:W5813,_XtX!$B$96:$P$96)</f>
        <v>48.4171783625731</v>
      </c>
      <c r="Y5813" s="0" t="n">
        <f aca="false">SUMPRODUCT(MMULT(I5813:W5813,_XtX!$B$78:$P$92),I5813:W5813)</f>
        <v>0.459125719572369</v>
      </c>
      <c r="Z5813" s="0" t="n">
        <f aca="false">04_回帰ANOVA!$K$19*04_回帰ANOVA!$K$14*SQRT(1+Y5813)</f>
        <v>1.57450755575573</v>
      </c>
      <c r="AA5813" s="0" t="n">
        <f aca="false">X5813-Z5813</f>
        <v>46.8426708068174</v>
      </c>
      <c r="AB5813" s="0" t="n">
        <f aca="false">X5813+Z5813</f>
        <v>49.9916859183288</v>
      </c>
      <c r="AC5813" s="54" t="b">
        <f aca="false">AND(E5813&gt;=01_因子設定!$L$5-0.000000001,E5813&lt;=01_因子設定!$M$5+0.000000001,F5813&gt;=01_因子設定!$L$6-0.000000001,F5813&lt;=01_因子設定!$M$6+0.000000001,G5813&gt;=01_因子設定!$L$7-0.000000001,G5813&lt;=01_因子設定!$M$7+0.000000001,H5813&gt;=01_因子設定!$L$8-0.000000001,H5813&lt;=01_因子設定!$M$8+0.000000001,IF(01_因子設定!$B$20="Box-Behnken",E5813^2+F5813^2+G5813^2+H5813^2&lt;=2+0.000000001,TRUE()))</f>
        <v>1</v>
      </c>
      <c r="AD5813" s="55" t="n">
        <f aca="false">IF(AC5813,IF(01_因子設定!$B$13="最大化",AA5813-01_因子設定!$B$14,IF(01_因子設定!$B$13="最小化",01_因子設定!$B$15-AB5813,MIN(AA5813-01_因子設定!$B$14,01_因子設定!$B$15-AB5813))),-1E+030)</f>
        <v>0.34267080681736</v>
      </c>
      <c r="AE5813" s="55" t="n">
        <f aca="false">IF(AC5813,IF(01_因子設定!$B$13="最大化",X5813,IF(01_因子設定!$B$13="最小化",-X5813,-ABS(X5813-01_因子設定!$B$16))),-1E+030)</f>
        <v>48.4171783625731</v>
      </c>
      <c r="AF5813" s="55" t="n">
        <f aca="false">AD5813+ROW()*0.000000001</f>
        <v>0.34267661981736</v>
      </c>
      <c r="AG5813" s="55" t="n">
        <f aca="false">AE5813+ROW()*0.000000001</f>
        <v>48.4171841755731</v>
      </c>
    </row>
    <row r="5814" customFormat="false" ht="15" hidden="false" customHeight="false" outlineLevel="0" collapsed="false">
      <c r="A5814" s="0" t="n">
        <v>7</v>
      </c>
      <c r="B5814" s="0" t="n">
        <v>8</v>
      </c>
      <c r="C5814" s="0" t="n">
        <v>6</v>
      </c>
      <c r="D5814" s="0" t="n">
        <v>4</v>
      </c>
      <c r="E5814" s="0" t="n">
        <f aca="false">-1+A5814*0.25</f>
        <v>0.75</v>
      </c>
      <c r="F5814" s="0" t="n">
        <f aca="false">-1+B5814*0.25</f>
        <v>1</v>
      </c>
      <c r="G5814" s="0" t="n">
        <f aca="false">-1+C5814*0.25</f>
        <v>0.5</v>
      </c>
      <c r="H5814" s="0" t="n">
        <f aca="false">-1+D5814*0.25</f>
        <v>0</v>
      </c>
      <c r="I5814" s="0" t="n">
        <f aca="false">1</f>
        <v>1</v>
      </c>
      <c r="J5814" s="0" t="n">
        <f aca="false">E5814</f>
        <v>0.75</v>
      </c>
      <c r="K5814" s="0" t="n">
        <f aca="false">F5814</f>
        <v>1</v>
      </c>
      <c r="L5814" s="0" t="n">
        <f aca="false">G5814</f>
        <v>0.5</v>
      </c>
      <c r="M5814" s="0" t="n">
        <f aca="false">H5814</f>
        <v>0</v>
      </c>
      <c r="N5814" s="0" t="n">
        <f aca="false">E5814*F5814</f>
        <v>0.75</v>
      </c>
      <c r="O5814" s="0" t="n">
        <f aca="false">E5814*G5814</f>
        <v>0.375</v>
      </c>
      <c r="P5814" s="0" t="n">
        <f aca="false">E5814*H5814</f>
        <v>0</v>
      </c>
      <c r="Q5814" s="0" t="n">
        <f aca="false">F5814*G5814</f>
        <v>0.5</v>
      </c>
      <c r="R5814" s="0" t="n">
        <f aca="false">F5814*H5814</f>
        <v>0</v>
      </c>
      <c r="S5814" s="0" t="n">
        <f aca="false">G5814*H5814</f>
        <v>0</v>
      </c>
      <c r="T5814" s="0" t="n">
        <f aca="false">E5814*E5814</f>
        <v>0.5625</v>
      </c>
      <c r="U5814" s="0" t="n">
        <f aca="false">F5814*F5814</f>
        <v>1</v>
      </c>
      <c r="V5814" s="0" t="n">
        <f aca="false">G5814*G5814</f>
        <v>0.25</v>
      </c>
      <c r="W5814" s="0" t="n">
        <f aca="false">H5814*H5814</f>
        <v>0</v>
      </c>
      <c r="X5814" s="0" t="n">
        <f aca="false">SUMPRODUCT(I5814:W5814,_XtX!$B$96:$P$96)</f>
        <v>48.5487207602339</v>
      </c>
      <c r="Y5814" s="0" t="n">
        <f aca="false">SUMPRODUCT(MMULT(I5814:W5814,_XtX!$B$78:$P$92),I5814:W5814)</f>
        <v>0.476191292032164</v>
      </c>
      <c r="Z5814" s="0" t="n">
        <f aca="false">04_回帰ANOVA!$K$19*04_回帰ANOVA!$K$14*SQRT(1+Y5814)</f>
        <v>1.58368831471718</v>
      </c>
      <c r="AA5814" s="0" t="n">
        <f aca="false">X5814-Z5814</f>
        <v>46.9650324455167</v>
      </c>
      <c r="AB5814" s="0" t="n">
        <f aca="false">X5814+Z5814</f>
        <v>50.1324090749511</v>
      </c>
      <c r="AC5814" s="54" t="b">
        <f aca="false">AND(E5814&gt;=01_因子設定!$L$5-0.000000001,E5814&lt;=01_因子設定!$M$5+0.000000001,F5814&gt;=01_因子設定!$L$6-0.000000001,F5814&lt;=01_因子設定!$M$6+0.000000001,G5814&gt;=01_因子設定!$L$7-0.000000001,G5814&lt;=01_因子設定!$M$7+0.000000001,H5814&gt;=01_因子設定!$L$8-0.000000001,H5814&lt;=01_因子設定!$M$8+0.000000001,IF(01_因子設定!$B$20="Box-Behnken",E5814^2+F5814^2+G5814^2+H5814^2&lt;=2+0.000000001,TRUE()))</f>
        <v>1</v>
      </c>
      <c r="AD5814" s="55" t="n">
        <f aca="false">IF(AC5814,IF(01_因子設定!$B$13="最大化",AA5814-01_因子設定!$B$14,IF(01_因子設定!$B$13="最小化",01_因子設定!$B$15-AB5814,MIN(AA5814-01_因子設定!$B$14,01_因子設定!$B$15-AB5814))),-1E+030)</f>
        <v>0.465032445516727</v>
      </c>
      <c r="AE5814" s="55" t="n">
        <f aca="false">IF(AC5814,IF(01_因子設定!$B$13="最大化",X5814,IF(01_因子設定!$B$13="最小化",-X5814,-ABS(X5814-01_因子設定!$B$16))),-1E+030)</f>
        <v>48.5487207602339</v>
      </c>
      <c r="AF5814" s="55" t="n">
        <f aca="false">AD5814+ROW()*0.000000001</f>
        <v>0.465038259516727</v>
      </c>
      <c r="AG5814" s="55" t="n">
        <f aca="false">AE5814+ROW()*0.000000001</f>
        <v>48.5487265742339</v>
      </c>
    </row>
    <row r="5815" customFormat="false" ht="15" hidden="false" customHeight="false" outlineLevel="0" collapsed="false">
      <c r="A5815" s="0" t="n">
        <v>7</v>
      </c>
      <c r="B5815" s="0" t="n">
        <v>8</v>
      </c>
      <c r="C5815" s="0" t="n">
        <v>6</v>
      </c>
      <c r="D5815" s="0" t="n">
        <v>5</v>
      </c>
      <c r="E5815" s="0" t="n">
        <f aca="false">-1+A5815*0.25</f>
        <v>0.75</v>
      </c>
      <c r="F5815" s="0" t="n">
        <f aca="false">-1+B5815*0.25</f>
        <v>1</v>
      </c>
      <c r="G5815" s="0" t="n">
        <f aca="false">-1+C5815*0.25</f>
        <v>0.5</v>
      </c>
      <c r="H5815" s="0" t="n">
        <f aca="false">-1+D5815*0.25</f>
        <v>0.25</v>
      </c>
      <c r="I5815" s="0" t="n">
        <f aca="false">1</f>
        <v>1</v>
      </c>
      <c r="J5815" s="0" t="n">
        <f aca="false">E5815</f>
        <v>0.75</v>
      </c>
      <c r="K5815" s="0" t="n">
        <f aca="false">F5815</f>
        <v>1</v>
      </c>
      <c r="L5815" s="0" t="n">
        <f aca="false">G5815</f>
        <v>0.5</v>
      </c>
      <c r="M5815" s="0" t="n">
        <f aca="false">H5815</f>
        <v>0.25</v>
      </c>
      <c r="N5815" s="0" t="n">
        <f aca="false">E5815*F5815</f>
        <v>0.75</v>
      </c>
      <c r="O5815" s="0" t="n">
        <f aca="false">E5815*G5815</f>
        <v>0.375</v>
      </c>
      <c r="P5815" s="0" t="n">
        <f aca="false">E5815*H5815</f>
        <v>0.1875</v>
      </c>
      <c r="Q5815" s="0" t="n">
        <f aca="false">F5815*G5815</f>
        <v>0.5</v>
      </c>
      <c r="R5815" s="0" t="n">
        <f aca="false">F5815*H5815</f>
        <v>0.25</v>
      </c>
      <c r="S5815" s="0" t="n">
        <f aca="false">G5815*H5815</f>
        <v>0.125</v>
      </c>
      <c r="T5815" s="0" t="n">
        <f aca="false">E5815*E5815</f>
        <v>0.5625</v>
      </c>
      <c r="U5815" s="0" t="n">
        <f aca="false">F5815*F5815</f>
        <v>1</v>
      </c>
      <c r="V5815" s="0" t="n">
        <f aca="false">G5815*G5815</f>
        <v>0.25</v>
      </c>
      <c r="W5815" s="0" t="n">
        <f aca="false">H5815*H5815</f>
        <v>0.0625</v>
      </c>
      <c r="X5815" s="0" t="n">
        <f aca="false">SUMPRODUCT(I5815:W5815,_XtX!$B$96:$P$96)</f>
        <v>48.6324561403509</v>
      </c>
      <c r="Y5815" s="0" t="n">
        <f aca="false">SUMPRODUCT(MMULT(I5815:W5815,_XtX!$B$78:$P$92),I5815:W5815)</f>
        <v>0.459125719572369</v>
      </c>
      <c r="Z5815" s="0" t="n">
        <f aca="false">04_回帰ANOVA!$K$19*04_回帰ANOVA!$K$14*SQRT(1+Y5815)</f>
        <v>1.57450755575573</v>
      </c>
      <c r="AA5815" s="0" t="n">
        <f aca="false">X5815-Z5815</f>
        <v>47.0579485845951</v>
      </c>
      <c r="AB5815" s="0" t="n">
        <f aca="false">X5815+Z5815</f>
        <v>50.2069636961066</v>
      </c>
      <c r="AC5815" s="54" t="b">
        <f aca="false">AND(E5815&gt;=01_因子設定!$L$5-0.000000001,E5815&lt;=01_因子設定!$M$5+0.000000001,F5815&gt;=01_因子設定!$L$6-0.000000001,F5815&lt;=01_因子設定!$M$6+0.000000001,G5815&gt;=01_因子設定!$L$7-0.000000001,G5815&lt;=01_因子設定!$M$7+0.000000001,H5815&gt;=01_因子設定!$L$8-0.000000001,H5815&lt;=01_因子設定!$M$8+0.000000001,IF(01_因子設定!$B$20="Box-Behnken",E5815^2+F5815^2+G5815^2+H5815^2&lt;=2+0.000000001,TRUE()))</f>
        <v>1</v>
      </c>
      <c r="AD5815" s="55" t="n">
        <f aca="false">IF(AC5815,IF(01_因子設定!$B$13="最大化",AA5815-01_因子設定!$B$14,IF(01_因子設定!$B$13="最小化",01_因子設定!$B$15-AB5815,MIN(AA5815-01_因子設定!$B$14,01_因子設定!$B$15-AB5815))),-1E+030)</f>
        <v>0.557948584595131</v>
      </c>
      <c r="AE5815" s="55" t="n">
        <f aca="false">IF(AC5815,IF(01_因子設定!$B$13="最大化",X5815,IF(01_因子設定!$B$13="最小化",-X5815,-ABS(X5815-01_因子設定!$B$16))),-1E+030)</f>
        <v>48.6324561403509</v>
      </c>
      <c r="AF5815" s="55" t="n">
        <f aca="false">AD5815+ROW()*0.000000001</f>
        <v>0.557954399595131</v>
      </c>
      <c r="AG5815" s="55" t="n">
        <f aca="false">AE5815+ROW()*0.000000001</f>
        <v>48.6324619553509</v>
      </c>
    </row>
    <row r="5816" customFormat="false" ht="15" hidden="false" customHeight="false" outlineLevel="0" collapsed="false">
      <c r="A5816" s="0" t="n">
        <v>7</v>
      </c>
      <c r="B5816" s="0" t="n">
        <v>8</v>
      </c>
      <c r="C5816" s="0" t="n">
        <v>6</v>
      </c>
      <c r="D5816" s="0" t="n">
        <v>6</v>
      </c>
      <c r="E5816" s="0" t="n">
        <f aca="false">-1+A5816*0.25</f>
        <v>0.75</v>
      </c>
      <c r="F5816" s="0" t="n">
        <f aca="false">-1+B5816*0.25</f>
        <v>1</v>
      </c>
      <c r="G5816" s="0" t="n">
        <f aca="false">-1+C5816*0.25</f>
        <v>0.5</v>
      </c>
      <c r="H5816" s="0" t="n">
        <f aca="false">-1+D5816*0.25</f>
        <v>0.5</v>
      </c>
      <c r="I5816" s="0" t="n">
        <f aca="false">1</f>
        <v>1</v>
      </c>
      <c r="J5816" s="0" t="n">
        <f aca="false">E5816</f>
        <v>0.75</v>
      </c>
      <c r="K5816" s="0" t="n">
        <f aca="false">F5816</f>
        <v>1</v>
      </c>
      <c r="L5816" s="0" t="n">
        <f aca="false">G5816</f>
        <v>0.5</v>
      </c>
      <c r="M5816" s="0" t="n">
        <f aca="false">H5816</f>
        <v>0.5</v>
      </c>
      <c r="N5816" s="0" t="n">
        <f aca="false">E5816*F5816</f>
        <v>0.75</v>
      </c>
      <c r="O5816" s="0" t="n">
        <f aca="false">E5816*G5816</f>
        <v>0.375</v>
      </c>
      <c r="P5816" s="0" t="n">
        <f aca="false">E5816*H5816</f>
        <v>0.375</v>
      </c>
      <c r="Q5816" s="0" t="n">
        <f aca="false">F5816*G5816</f>
        <v>0.5</v>
      </c>
      <c r="R5816" s="0" t="n">
        <f aca="false">F5816*H5816</f>
        <v>0.5</v>
      </c>
      <c r="S5816" s="0" t="n">
        <f aca="false">G5816*H5816</f>
        <v>0.25</v>
      </c>
      <c r="T5816" s="0" t="n">
        <f aca="false">E5816*E5816</f>
        <v>0.5625</v>
      </c>
      <c r="U5816" s="0" t="n">
        <f aca="false">F5816*F5816</f>
        <v>1</v>
      </c>
      <c r="V5816" s="0" t="n">
        <f aca="false">G5816*G5816</f>
        <v>0.25</v>
      </c>
      <c r="W5816" s="0" t="n">
        <f aca="false">H5816*H5816</f>
        <v>0.25</v>
      </c>
      <c r="X5816" s="0" t="n">
        <f aca="false">SUMPRODUCT(I5816:W5816,_XtX!$B$96:$P$96)</f>
        <v>48.668384502924</v>
      </c>
      <c r="Y5816" s="0" t="n">
        <f aca="false">SUMPRODUCT(MMULT(I5816:W5816,_XtX!$B$78:$P$92),I5816:W5816)</f>
        <v>0.42602110745614</v>
      </c>
      <c r="Z5816" s="0" t="n">
        <f aca="false">04_回帰ANOVA!$K$19*04_回帰ANOVA!$K$14*SQRT(1+Y5816)</f>
        <v>1.55654388501114</v>
      </c>
      <c r="AA5816" s="0" t="n">
        <f aca="false">X5816-Z5816</f>
        <v>47.1118406179128</v>
      </c>
      <c r="AB5816" s="0" t="n">
        <f aca="false">X5816+Z5816</f>
        <v>50.2249283879351</v>
      </c>
      <c r="AC5816" s="54" t="b">
        <f aca="false">AND(E5816&gt;=01_因子設定!$L$5-0.000000001,E5816&lt;=01_因子設定!$M$5+0.000000001,F5816&gt;=01_因子設定!$L$6-0.000000001,F5816&lt;=01_因子設定!$M$6+0.000000001,G5816&gt;=01_因子設定!$L$7-0.000000001,G5816&lt;=01_因子設定!$M$7+0.000000001,H5816&gt;=01_因子設定!$L$8-0.000000001,H5816&lt;=01_因子設定!$M$8+0.000000001,IF(01_因子設定!$B$20="Box-Behnken",E5816^2+F5816^2+G5816^2+H5816^2&lt;=2+0.000000001,TRUE()))</f>
        <v>1</v>
      </c>
      <c r="AD5816" s="55" t="n">
        <f aca="false">IF(AC5816,IF(01_因子設定!$B$13="最大化",AA5816-01_因子設定!$B$14,IF(01_因子設定!$B$13="最小化",01_因子設定!$B$15-AB5816,MIN(AA5816-01_因子設定!$B$14,01_因子設定!$B$15-AB5816))),-1E+030)</f>
        <v>0.611840617912833</v>
      </c>
      <c r="AE5816" s="55" t="n">
        <f aca="false">IF(AC5816,IF(01_因子設定!$B$13="最大化",X5816,IF(01_因子設定!$B$13="最小化",-X5816,-ABS(X5816-01_因子設定!$B$16))),-1E+030)</f>
        <v>48.668384502924</v>
      </c>
      <c r="AF5816" s="55" t="n">
        <f aca="false">AD5816+ROW()*0.000000001</f>
        <v>0.611846433912833</v>
      </c>
      <c r="AG5816" s="55" t="n">
        <f aca="false">AE5816+ROW()*0.000000001</f>
        <v>48.668390318924</v>
      </c>
    </row>
    <row r="5817" customFormat="false" ht="15" hidden="false" customHeight="false" outlineLevel="0" collapsed="false">
      <c r="A5817" s="0" t="n">
        <v>7</v>
      </c>
      <c r="B5817" s="0" t="n">
        <v>8</v>
      </c>
      <c r="C5817" s="0" t="n">
        <v>6</v>
      </c>
      <c r="D5817" s="0" t="n">
        <v>7</v>
      </c>
      <c r="E5817" s="0" t="n">
        <f aca="false">-1+A5817*0.25</f>
        <v>0.75</v>
      </c>
      <c r="F5817" s="0" t="n">
        <f aca="false">-1+B5817*0.25</f>
        <v>1</v>
      </c>
      <c r="G5817" s="0" t="n">
        <f aca="false">-1+C5817*0.25</f>
        <v>0.5</v>
      </c>
      <c r="H5817" s="0" t="n">
        <f aca="false">-1+D5817*0.25</f>
        <v>0.75</v>
      </c>
      <c r="I5817" s="0" t="n">
        <f aca="false">1</f>
        <v>1</v>
      </c>
      <c r="J5817" s="0" t="n">
        <f aca="false">E5817</f>
        <v>0.75</v>
      </c>
      <c r="K5817" s="0" t="n">
        <f aca="false">F5817</f>
        <v>1</v>
      </c>
      <c r="L5817" s="0" t="n">
        <f aca="false">G5817</f>
        <v>0.5</v>
      </c>
      <c r="M5817" s="0" t="n">
        <f aca="false">H5817</f>
        <v>0.75</v>
      </c>
      <c r="N5817" s="0" t="n">
        <f aca="false">E5817*F5817</f>
        <v>0.75</v>
      </c>
      <c r="O5817" s="0" t="n">
        <f aca="false">E5817*G5817</f>
        <v>0.375</v>
      </c>
      <c r="P5817" s="0" t="n">
        <f aca="false">E5817*H5817</f>
        <v>0.5625</v>
      </c>
      <c r="Q5817" s="0" t="n">
        <f aca="false">F5817*G5817</f>
        <v>0.5</v>
      </c>
      <c r="R5817" s="0" t="n">
        <f aca="false">F5817*H5817</f>
        <v>0.75</v>
      </c>
      <c r="S5817" s="0" t="n">
        <f aca="false">G5817*H5817</f>
        <v>0.375</v>
      </c>
      <c r="T5817" s="0" t="n">
        <f aca="false">E5817*E5817</f>
        <v>0.5625</v>
      </c>
      <c r="U5817" s="0" t="n">
        <f aca="false">F5817*F5817</f>
        <v>1</v>
      </c>
      <c r="V5817" s="0" t="n">
        <f aca="false">G5817*G5817</f>
        <v>0.25</v>
      </c>
      <c r="W5817" s="0" t="n">
        <f aca="false">H5817*H5817</f>
        <v>0.5625</v>
      </c>
      <c r="X5817" s="0" t="n">
        <f aca="false">SUMPRODUCT(I5817:W5817,_XtX!$B$96:$P$96)</f>
        <v>48.6565058479532</v>
      </c>
      <c r="Y5817" s="0" t="n">
        <f aca="false">SUMPRODUCT(MMULT(I5817:W5817,_XtX!$B$78:$P$92),I5817:W5817)</f>
        <v>0.431153771472953</v>
      </c>
      <c r="Z5817" s="0" t="n">
        <f aca="false">04_回帰ANOVA!$K$19*04_回帰ANOVA!$K$14*SQRT(1+Y5817)</f>
        <v>1.55934259562563</v>
      </c>
      <c r="AA5817" s="0" t="n">
        <f aca="false">X5817-Z5817</f>
        <v>47.0971632523276</v>
      </c>
      <c r="AB5817" s="0" t="n">
        <f aca="false">X5817+Z5817</f>
        <v>50.2158484435789</v>
      </c>
      <c r="AC5817" s="54" t="b">
        <f aca="false">AND(E5817&gt;=01_因子設定!$L$5-0.000000001,E5817&lt;=01_因子設定!$M$5+0.000000001,F5817&gt;=01_因子設定!$L$6-0.000000001,F5817&lt;=01_因子設定!$M$6+0.000000001,G5817&gt;=01_因子設定!$L$7-0.000000001,G5817&lt;=01_因子設定!$M$7+0.000000001,H5817&gt;=01_因子設定!$L$8-0.000000001,H5817&lt;=01_因子設定!$M$8+0.000000001,IF(01_因子設定!$B$20="Box-Behnken",E5817^2+F5817^2+G5817^2+H5817^2&lt;=2+0.000000001,TRUE()))</f>
        <v>1</v>
      </c>
      <c r="AD5817" s="55" t="n">
        <f aca="false">IF(AC5817,IF(01_因子設定!$B$13="最大化",AA5817-01_因子設定!$B$14,IF(01_因子設定!$B$13="最小化",01_因子設定!$B$15-AB5817,MIN(AA5817-01_因子設定!$B$14,01_因子設定!$B$15-AB5817))),-1E+030)</f>
        <v>0.59716325232759</v>
      </c>
      <c r="AE5817" s="55" t="n">
        <f aca="false">IF(AC5817,IF(01_因子設定!$B$13="最大化",X5817,IF(01_因子設定!$B$13="最小化",-X5817,-ABS(X5817-01_因子設定!$B$16))),-1E+030)</f>
        <v>48.6565058479532</v>
      </c>
      <c r="AF5817" s="55" t="n">
        <f aca="false">AD5817+ROW()*0.000000001</f>
        <v>0.59716906932759</v>
      </c>
      <c r="AG5817" s="55" t="n">
        <f aca="false">AE5817+ROW()*0.000000001</f>
        <v>48.6565116649532</v>
      </c>
    </row>
    <row r="5818" customFormat="false" ht="15" hidden="false" customHeight="false" outlineLevel="0" collapsed="false">
      <c r="A5818" s="0" t="n">
        <v>7</v>
      </c>
      <c r="B5818" s="0" t="n">
        <v>8</v>
      </c>
      <c r="C5818" s="0" t="n">
        <v>6</v>
      </c>
      <c r="D5818" s="0" t="n">
        <v>8</v>
      </c>
      <c r="E5818" s="0" t="n">
        <f aca="false">-1+A5818*0.25</f>
        <v>0.75</v>
      </c>
      <c r="F5818" s="0" t="n">
        <f aca="false">-1+B5818*0.25</f>
        <v>1</v>
      </c>
      <c r="G5818" s="0" t="n">
        <f aca="false">-1+C5818*0.25</f>
        <v>0.5</v>
      </c>
      <c r="H5818" s="0" t="n">
        <f aca="false">-1+D5818*0.25</f>
        <v>1</v>
      </c>
      <c r="I5818" s="0" t="n">
        <f aca="false">1</f>
        <v>1</v>
      </c>
      <c r="J5818" s="0" t="n">
        <f aca="false">E5818</f>
        <v>0.75</v>
      </c>
      <c r="K5818" s="0" t="n">
        <f aca="false">F5818</f>
        <v>1</v>
      </c>
      <c r="L5818" s="0" t="n">
        <f aca="false">G5818</f>
        <v>0.5</v>
      </c>
      <c r="M5818" s="0" t="n">
        <f aca="false">H5818</f>
        <v>1</v>
      </c>
      <c r="N5818" s="0" t="n">
        <f aca="false">E5818*F5818</f>
        <v>0.75</v>
      </c>
      <c r="O5818" s="0" t="n">
        <f aca="false">E5818*G5818</f>
        <v>0.375</v>
      </c>
      <c r="P5818" s="0" t="n">
        <f aca="false">E5818*H5818</f>
        <v>0.75</v>
      </c>
      <c r="Q5818" s="0" t="n">
        <f aca="false">F5818*G5818</f>
        <v>0.5</v>
      </c>
      <c r="R5818" s="0" t="n">
        <f aca="false">F5818*H5818</f>
        <v>1</v>
      </c>
      <c r="S5818" s="0" t="n">
        <f aca="false">G5818*H5818</f>
        <v>0.5</v>
      </c>
      <c r="T5818" s="0" t="n">
        <f aca="false">E5818*E5818</f>
        <v>0.5625</v>
      </c>
      <c r="U5818" s="0" t="n">
        <f aca="false">F5818*F5818</f>
        <v>1</v>
      </c>
      <c r="V5818" s="0" t="n">
        <f aca="false">G5818*G5818</f>
        <v>0.25</v>
      </c>
      <c r="W5818" s="0" t="n">
        <f aca="false">H5818*H5818</f>
        <v>1</v>
      </c>
      <c r="X5818" s="0" t="n">
        <f aca="false">SUMPRODUCT(I5818:W5818,_XtX!$B$96:$P$96)</f>
        <v>48.5968201754386</v>
      </c>
      <c r="Y5818" s="0" t="n">
        <f aca="false">SUMPRODUCT(MMULT(I5818:W5818,_XtX!$B$78:$P$92),I5818:W5818)</f>
        <v>0.564984237938597</v>
      </c>
      <c r="Z5818" s="0" t="n">
        <f aca="false">04_回帰ANOVA!$K$19*04_回帰ANOVA!$K$14*SQRT(1+Y5818)</f>
        <v>1.63062229734503</v>
      </c>
      <c r="AA5818" s="0" t="n">
        <f aca="false">X5818-Z5818</f>
        <v>46.9661978780936</v>
      </c>
      <c r="AB5818" s="0" t="n">
        <f aca="false">X5818+Z5818</f>
        <v>50.2274424727837</v>
      </c>
      <c r="AC5818" s="54" t="b">
        <f aca="false">AND(E5818&gt;=01_因子設定!$L$5-0.000000001,E5818&lt;=01_因子設定!$M$5+0.000000001,F5818&gt;=01_因子設定!$L$6-0.000000001,F5818&lt;=01_因子設定!$M$6+0.000000001,G5818&gt;=01_因子設定!$L$7-0.000000001,G5818&lt;=01_因子設定!$M$7+0.000000001,H5818&gt;=01_因子設定!$L$8-0.000000001,H5818&lt;=01_因子設定!$M$8+0.000000001,IF(01_因子設定!$B$20="Box-Behnken",E5818^2+F5818^2+G5818^2+H5818^2&lt;=2+0.000000001,TRUE()))</f>
        <v>1</v>
      </c>
      <c r="AD5818" s="55" t="n">
        <f aca="false">IF(AC5818,IF(01_因子設定!$B$13="最大化",AA5818-01_因子設定!$B$14,IF(01_因子設定!$B$13="最小化",01_因子設定!$B$15-AB5818,MIN(AA5818-01_因子設定!$B$14,01_因子設定!$B$15-AB5818))),-1E+030)</f>
        <v>0.466197878093581</v>
      </c>
      <c r="AE5818" s="55" t="n">
        <f aca="false">IF(AC5818,IF(01_因子設定!$B$13="最大化",X5818,IF(01_因子設定!$B$13="最小化",-X5818,-ABS(X5818-01_因子設定!$B$16))),-1E+030)</f>
        <v>48.5968201754386</v>
      </c>
      <c r="AF5818" s="55" t="n">
        <f aca="false">AD5818+ROW()*0.000000001</f>
        <v>0.466203696093581</v>
      </c>
      <c r="AG5818" s="55" t="n">
        <f aca="false">AE5818+ROW()*0.000000001</f>
        <v>48.5968259934386</v>
      </c>
    </row>
    <row r="5819" customFormat="false" ht="15" hidden="false" customHeight="false" outlineLevel="0" collapsed="false">
      <c r="A5819" s="0" t="n">
        <v>7</v>
      </c>
      <c r="B5819" s="0" t="n">
        <v>8</v>
      </c>
      <c r="C5819" s="0" t="n">
        <v>7</v>
      </c>
      <c r="D5819" s="0" t="n">
        <v>0</v>
      </c>
      <c r="E5819" s="0" t="n">
        <f aca="false">-1+A5819*0.25</f>
        <v>0.75</v>
      </c>
      <c r="F5819" s="0" t="n">
        <f aca="false">-1+B5819*0.25</f>
        <v>1</v>
      </c>
      <c r="G5819" s="0" t="n">
        <f aca="false">-1+C5819*0.25</f>
        <v>0.75</v>
      </c>
      <c r="H5819" s="0" t="n">
        <f aca="false">-1+D5819*0.25</f>
        <v>-1</v>
      </c>
      <c r="I5819" s="0" t="n">
        <f aca="false">1</f>
        <v>1</v>
      </c>
      <c r="J5819" s="0" t="n">
        <f aca="false">E5819</f>
        <v>0.75</v>
      </c>
      <c r="K5819" s="0" t="n">
        <f aca="false">F5819</f>
        <v>1</v>
      </c>
      <c r="L5819" s="0" t="n">
        <f aca="false">G5819</f>
        <v>0.75</v>
      </c>
      <c r="M5819" s="0" t="n">
        <f aca="false">H5819</f>
        <v>-1</v>
      </c>
      <c r="N5819" s="0" t="n">
        <f aca="false">E5819*F5819</f>
        <v>0.75</v>
      </c>
      <c r="O5819" s="0" t="n">
        <f aca="false">E5819*G5819</f>
        <v>0.5625</v>
      </c>
      <c r="P5819" s="0" t="n">
        <f aca="false">E5819*H5819</f>
        <v>-0.75</v>
      </c>
      <c r="Q5819" s="0" t="n">
        <f aca="false">F5819*G5819</f>
        <v>0.75</v>
      </c>
      <c r="R5819" s="0" t="n">
        <f aca="false">F5819*H5819</f>
        <v>-1</v>
      </c>
      <c r="S5819" s="0" t="n">
        <f aca="false">G5819*H5819</f>
        <v>-0.75</v>
      </c>
      <c r="T5819" s="0" t="n">
        <f aca="false">E5819*E5819</f>
        <v>0.5625</v>
      </c>
      <c r="U5819" s="0" t="n">
        <f aca="false">F5819*F5819</f>
        <v>1</v>
      </c>
      <c r="V5819" s="0" t="n">
        <f aca="false">G5819*G5819</f>
        <v>0.5625</v>
      </c>
      <c r="W5819" s="0" t="n">
        <f aca="false">H5819*H5819</f>
        <v>1</v>
      </c>
      <c r="X5819" s="0" t="n">
        <f aca="false">SUMPRODUCT(I5819:W5819,_XtX!$B$96:$P$96)</f>
        <v>47.6526498538012</v>
      </c>
      <c r="Y5819" s="0" t="n">
        <f aca="false">SUMPRODUCT(MMULT(I5819:W5819,_XtX!$B$78:$P$92),I5819:W5819)</f>
        <v>0.531311392086988</v>
      </c>
      <c r="Z5819" s="0" t="n">
        <f aca="false">04_回帰ANOVA!$K$19*04_回帰ANOVA!$K$14*SQRT(1+Y5819)</f>
        <v>1.61298433431428</v>
      </c>
      <c r="AA5819" s="0" t="n">
        <f aca="false">X5819-Z5819</f>
        <v>46.0396655194869</v>
      </c>
      <c r="AB5819" s="0" t="n">
        <f aca="false">X5819+Z5819</f>
        <v>49.2656341881155</v>
      </c>
      <c r="AC5819" s="54" t="b">
        <f aca="false">AND(E5819&gt;=01_因子設定!$L$5-0.000000001,E5819&lt;=01_因子設定!$M$5+0.000000001,F5819&gt;=01_因子設定!$L$6-0.000000001,F5819&lt;=01_因子設定!$M$6+0.000000001,G5819&gt;=01_因子設定!$L$7-0.000000001,G5819&lt;=01_因子設定!$M$7+0.000000001,H5819&gt;=01_因子設定!$L$8-0.000000001,H5819&lt;=01_因子設定!$M$8+0.000000001,IF(01_因子設定!$B$20="Box-Behnken",E5819^2+F5819^2+G5819^2+H5819^2&lt;=2+0.000000001,TRUE()))</f>
        <v>1</v>
      </c>
      <c r="AD5819" s="55" t="n">
        <f aca="false">IF(AC5819,IF(01_因子設定!$B$13="最大化",AA5819-01_因子設定!$B$14,IF(01_因子設定!$B$13="最小化",01_因子設定!$B$15-AB5819,MIN(AA5819-01_因子設定!$B$14,01_因子設定!$B$15-AB5819))),-1E+030)</f>
        <v>-0.46033448051309</v>
      </c>
      <c r="AE5819" s="55" t="n">
        <f aca="false">IF(AC5819,IF(01_因子設定!$B$13="最大化",X5819,IF(01_因子設定!$B$13="最小化",-X5819,-ABS(X5819-01_因子設定!$B$16))),-1E+030)</f>
        <v>47.6526498538012</v>
      </c>
      <c r="AF5819" s="55" t="n">
        <f aca="false">AD5819+ROW()*0.000000001</f>
        <v>-0.46032866151309</v>
      </c>
      <c r="AG5819" s="55" t="n">
        <f aca="false">AE5819+ROW()*0.000000001</f>
        <v>47.6526556728012</v>
      </c>
    </row>
    <row r="5820" customFormat="false" ht="15" hidden="false" customHeight="false" outlineLevel="0" collapsed="false">
      <c r="A5820" s="0" t="n">
        <v>7</v>
      </c>
      <c r="B5820" s="0" t="n">
        <v>8</v>
      </c>
      <c r="C5820" s="0" t="n">
        <v>7</v>
      </c>
      <c r="D5820" s="0" t="n">
        <v>1</v>
      </c>
      <c r="E5820" s="0" t="n">
        <f aca="false">-1+A5820*0.25</f>
        <v>0.75</v>
      </c>
      <c r="F5820" s="0" t="n">
        <f aca="false">-1+B5820*0.25</f>
        <v>1</v>
      </c>
      <c r="G5820" s="0" t="n">
        <f aca="false">-1+C5820*0.25</f>
        <v>0.75</v>
      </c>
      <c r="H5820" s="0" t="n">
        <f aca="false">-1+D5820*0.25</f>
        <v>-0.75</v>
      </c>
      <c r="I5820" s="0" t="n">
        <f aca="false">1</f>
        <v>1</v>
      </c>
      <c r="J5820" s="0" t="n">
        <f aca="false">E5820</f>
        <v>0.75</v>
      </c>
      <c r="K5820" s="0" t="n">
        <f aca="false">F5820</f>
        <v>1</v>
      </c>
      <c r="L5820" s="0" t="n">
        <f aca="false">G5820</f>
        <v>0.75</v>
      </c>
      <c r="M5820" s="0" t="n">
        <f aca="false">H5820</f>
        <v>-0.75</v>
      </c>
      <c r="N5820" s="0" t="n">
        <f aca="false">E5820*F5820</f>
        <v>0.75</v>
      </c>
      <c r="O5820" s="0" t="n">
        <f aca="false">E5820*G5820</f>
        <v>0.5625</v>
      </c>
      <c r="P5820" s="0" t="n">
        <f aca="false">E5820*H5820</f>
        <v>-0.5625</v>
      </c>
      <c r="Q5820" s="0" t="n">
        <f aca="false">F5820*G5820</f>
        <v>0.75</v>
      </c>
      <c r="R5820" s="0" t="n">
        <f aca="false">F5820*H5820</f>
        <v>-0.75</v>
      </c>
      <c r="S5820" s="0" t="n">
        <f aca="false">G5820*H5820</f>
        <v>-0.5625</v>
      </c>
      <c r="T5820" s="0" t="n">
        <f aca="false">E5820*E5820</f>
        <v>0.5625</v>
      </c>
      <c r="U5820" s="0" t="n">
        <f aca="false">F5820*F5820</f>
        <v>1</v>
      </c>
      <c r="V5820" s="0" t="n">
        <f aca="false">G5820*G5820</f>
        <v>0.5625</v>
      </c>
      <c r="W5820" s="0" t="n">
        <f aca="false">H5820*H5820</f>
        <v>0.5625</v>
      </c>
      <c r="X5820" s="0" t="n">
        <f aca="false">SUMPRODUCT(I5820:W5820,_XtX!$B$96:$P$96)</f>
        <v>47.9455820540936</v>
      </c>
      <c r="Y5820" s="0" t="n">
        <f aca="false">SUMPRODUCT(MMULT(I5820:W5820,_XtX!$B$78:$P$92),I5820:W5820)</f>
        <v>0.420117473044591</v>
      </c>
      <c r="Z5820" s="0" t="n">
        <f aca="false">04_回帰ANOVA!$K$19*04_回帰ANOVA!$K$14*SQRT(1+Y5820)</f>
        <v>1.55331854827765</v>
      </c>
      <c r="AA5820" s="0" t="n">
        <f aca="false">X5820-Z5820</f>
        <v>46.3922635058159</v>
      </c>
      <c r="AB5820" s="0" t="n">
        <f aca="false">X5820+Z5820</f>
        <v>49.4989006023712</v>
      </c>
      <c r="AC5820" s="54" t="b">
        <f aca="false">AND(E5820&gt;=01_因子設定!$L$5-0.000000001,E5820&lt;=01_因子設定!$M$5+0.000000001,F5820&gt;=01_因子設定!$L$6-0.000000001,F5820&lt;=01_因子設定!$M$6+0.000000001,G5820&gt;=01_因子設定!$L$7-0.000000001,G5820&lt;=01_因子設定!$M$7+0.000000001,H5820&gt;=01_因子設定!$L$8-0.000000001,H5820&lt;=01_因子設定!$M$8+0.000000001,IF(01_因子設定!$B$20="Box-Behnken",E5820^2+F5820^2+G5820^2+H5820^2&lt;=2+0.000000001,TRUE()))</f>
        <v>1</v>
      </c>
      <c r="AD5820" s="55" t="n">
        <f aca="false">IF(AC5820,IF(01_因子設定!$B$13="最大化",AA5820-01_因子設定!$B$14,IF(01_因子設定!$B$13="最小化",01_因子設定!$B$15-AB5820,MIN(AA5820-01_因子設定!$B$14,01_因子設定!$B$15-AB5820))),-1E+030)</f>
        <v>-0.107736494184067</v>
      </c>
      <c r="AE5820" s="55" t="n">
        <f aca="false">IF(AC5820,IF(01_因子設定!$B$13="最大化",X5820,IF(01_因子設定!$B$13="最小化",-X5820,-ABS(X5820-01_因子設定!$B$16))),-1E+030)</f>
        <v>47.9455820540936</v>
      </c>
      <c r="AF5820" s="55" t="n">
        <f aca="false">AD5820+ROW()*0.000000001</f>
        <v>-0.107730674184067</v>
      </c>
      <c r="AG5820" s="55" t="n">
        <f aca="false">AE5820+ROW()*0.000000001</f>
        <v>47.9455878740936</v>
      </c>
    </row>
    <row r="5821" customFormat="false" ht="15" hidden="false" customHeight="false" outlineLevel="0" collapsed="false">
      <c r="A5821" s="0" t="n">
        <v>7</v>
      </c>
      <c r="B5821" s="0" t="n">
        <v>8</v>
      </c>
      <c r="C5821" s="0" t="n">
        <v>7</v>
      </c>
      <c r="D5821" s="0" t="n">
        <v>2</v>
      </c>
      <c r="E5821" s="0" t="n">
        <f aca="false">-1+A5821*0.25</f>
        <v>0.75</v>
      </c>
      <c r="F5821" s="0" t="n">
        <f aca="false">-1+B5821*0.25</f>
        <v>1</v>
      </c>
      <c r="G5821" s="0" t="n">
        <f aca="false">-1+C5821*0.25</f>
        <v>0.75</v>
      </c>
      <c r="H5821" s="0" t="n">
        <f aca="false">-1+D5821*0.25</f>
        <v>-0.5</v>
      </c>
      <c r="I5821" s="0" t="n">
        <f aca="false">1</f>
        <v>1</v>
      </c>
      <c r="J5821" s="0" t="n">
        <f aca="false">E5821</f>
        <v>0.75</v>
      </c>
      <c r="K5821" s="0" t="n">
        <f aca="false">F5821</f>
        <v>1</v>
      </c>
      <c r="L5821" s="0" t="n">
        <f aca="false">G5821</f>
        <v>0.75</v>
      </c>
      <c r="M5821" s="0" t="n">
        <f aca="false">H5821</f>
        <v>-0.5</v>
      </c>
      <c r="N5821" s="0" t="n">
        <f aca="false">E5821*F5821</f>
        <v>0.75</v>
      </c>
      <c r="O5821" s="0" t="n">
        <f aca="false">E5821*G5821</f>
        <v>0.5625</v>
      </c>
      <c r="P5821" s="0" t="n">
        <f aca="false">E5821*H5821</f>
        <v>-0.375</v>
      </c>
      <c r="Q5821" s="0" t="n">
        <f aca="false">F5821*G5821</f>
        <v>0.75</v>
      </c>
      <c r="R5821" s="0" t="n">
        <f aca="false">F5821*H5821</f>
        <v>-0.5</v>
      </c>
      <c r="S5821" s="0" t="n">
        <f aca="false">G5821*H5821</f>
        <v>-0.375</v>
      </c>
      <c r="T5821" s="0" t="n">
        <f aca="false">E5821*E5821</f>
        <v>0.5625</v>
      </c>
      <c r="U5821" s="0" t="n">
        <f aca="false">F5821*F5821</f>
        <v>1</v>
      </c>
      <c r="V5821" s="0" t="n">
        <f aca="false">G5821*G5821</f>
        <v>0.5625</v>
      </c>
      <c r="W5821" s="0" t="n">
        <f aca="false">H5821*H5821</f>
        <v>0.25</v>
      </c>
      <c r="X5821" s="0" t="n">
        <f aca="false">SUMPRODUCT(I5821:W5821,_XtX!$B$96:$P$96)</f>
        <v>48.1907072368421</v>
      </c>
      <c r="Y5821" s="0" t="n">
        <f aca="false">SUMPRODUCT(MMULT(I5821:W5821,_XtX!$B$78:$P$92),I5821:W5821)</f>
        <v>0.431153771472953</v>
      </c>
      <c r="Z5821" s="0" t="n">
        <f aca="false">04_回帰ANOVA!$K$19*04_回帰ANOVA!$K$14*SQRT(1+Y5821)</f>
        <v>1.55934259562563</v>
      </c>
      <c r="AA5821" s="0" t="n">
        <f aca="false">X5821-Z5821</f>
        <v>46.6313646412165</v>
      </c>
      <c r="AB5821" s="0" t="n">
        <f aca="false">X5821+Z5821</f>
        <v>49.7500498324677</v>
      </c>
      <c r="AC5821" s="54" t="b">
        <f aca="false">AND(E5821&gt;=01_因子設定!$L$5-0.000000001,E5821&lt;=01_因子設定!$M$5+0.000000001,F5821&gt;=01_因子設定!$L$6-0.000000001,F5821&lt;=01_因子設定!$M$6+0.000000001,G5821&gt;=01_因子設定!$L$7-0.000000001,G5821&lt;=01_因子設定!$M$7+0.000000001,H5821&gt;=01_因子設定!$L$8-0.000000001,H5821&lt;=01_因子設定!$M$8+0.000000001,IF(01_因子設定!$B$20="Box-Behnken",E5821^2+F5821^2+G5821^2+H5821^2&lt;=2+0.000000001,TRUE()))</f>
        <v>1</v>
      </c>
      <c r="AD5821" s="55" t="n">
        <f aca="false">IF(AC5821,IF(01_因子設定!$B$13="最大化",AA5821-01_因子設定!$B$14,IF(01_因子設定!$B$13="最小化",01_因子設定!$B$15-AB5821,MIN(AA5821-01_因子設定!$B$14,01_因子設定!$B$15-AB5821))),-1E+030)</f>
        <v>0.131364641216472</v>
      </c>
      <c r="AE5821" s="55" t="n">
        <f aca="false">IF(AC5821,IF(01_因子設定!$B$13="最大化",X5821,IF(01_因子設定!$B$13="最小化",-X5821,-ABS(X5821-01_因子設定!$B$16))),-1E+030)</f>
        <v>48.1907072368421</v>
      </c>
      <c r="AF5821" s="55" t="n">
        <f aca="false">AD5821+ROW()*0.000000001</f>
        <v>0.131370462216472</v>
      </c>
      <c r="AG5821" s="55" t="n">
        <f aca="false">AE5821+ROW()*0.000000001</f>
        <v>48.1907130578421</v>
      </c>
    </row>
    <row r="5822" customFormat="false" ht="15" hidden="false" customHeight="false" outlineLevel="0" collapsed="false">
      <c r="A5822" s="0" t="n">
        <v>7</v>
      </c>
      <c r="B5822" s="0" t="n">
        <v>8</v>
      </c>
      <c r="C5822" s="0" t="n">
        <v>7</v>
      </c>
      <c r="D5822" s="0" t="n">
        <v>3</v>
      </c>
      <c r="E5822" s="0" t="n">
        <f aca="false">-1+A5822*0.25</f>
        <v>0.75</v>
      </c>
      <c r="F5822" s="0" t="n">
        <f aca="false">-1+B5822*0.25</f>
        <v>1</v>
      </c>
      <c r="G5822" s="0" t="n">
        <f aca="false">-1+C5822*0.25</f>
        <v>0.75</v>
      </c>
      <c r="H5822" s="0" t="n">
        <f aca="false">-1+D5822*0.25</f>
        <v>-0.25</v>
      </c>
      <c r="I5822" s="0" t="n">
        <f aca="false">1</f>
        <v>1</v>
      </c>
      <c r="J5822" s="0" t="n">
        <f aca="false">E5822</f>
        <v>0.75</v>
      </c>
      <c r="K5822" s="0" t="n">
        <f aca="false">F5822</f>
        <v>1</v>
      </c>
      <c r="L5822" s="0" t="n">
        <f aca="false">G5822</f>
        <v>0.75</v>
      </c>
      <c r="M5822" s="0" t="n">
        <f aca="false">H5822</f>
        <v>-0.25</v>
      </c>
      <c r="N5822" s="0" t="n">
        <f aca="false">E5822*F5822</f>
        <v>0.75</v>
      </c>
      <c r="O5822" s="0" t="n">
        <f aca="false">E5822*G5822</f>
        <v>0.5625</v>
      </c>
      <c r="P5822" s="0" t="n">
        <f aca="false">E5822*H5822</f>
        <v>-0.1875</v>
      </c>
      <c r="Q5822" s="0" t="n">
        <f aca="false">F5822*G5822</f>
        <v>0.75</v>
      </c>
      <c r="R5822" s="0" t="n">
        <f aca="false">F5822*H5822</f>
        <v>-0.25</v>
      </c>
      <c r="S5822" s="0" t="n">
        <f aca="false">G5822*H5822</f>
        <v>-0.1875</v>
      </c>
      <c r="T5822" s="0" t="n">
        <f aca="false">E5822*E5822</f>
        <v>0.5625</v>
      </c>
      <c r="U5822" s="0" t="n">
        <f aca="false">F5822*F5822</f>
        <v>1</v>
      </c>
      <c r="V5822" s="0" t="n">
        <f aca="false">G5822*G5822</f>
        <v>0.5625</v>
      </c>
      <c r="W5822" s="0" t="n">
        <f aca="false">H5822*H5822</f>
        <v>0.0625</v>
      </c>
      <c r="X5822" s="0" t="n">
        <f aca="false">SUMPRODUCT(I5822:W5822,_XtX!$B$96:$P$96)</f>
        <v>48.3880254020468</v>
      </c>
      <c r="Y5822" s="0" t="n">
        <f aca="false">SUMPRODUCT(MMULT(I5822:W5822,_XtX!$B$78:$P$92),I5822:W5822)</f>
        <v>0.473959761056287</v>
      </c>
      <c r="Z5822" s="0" t="n">
        <f aca="false">04_回帰ANOVA!$K$19*04_回帰ANOVA!$K$14*SQRT(1+Y5822)</f>
        <v>1.58249084588329</v>
      </c>
      <c r="AA5822" s="0" t="n">
        <f aca="false">X5822-Z5822</f>
        <v>46.8055345561635</v>
      </c>
      <c r="AB5822" s="0" t="n">
        <f aca="false">X5822+Z5822</f>
        <v>49.9705162479301</v>
      </c>
      <c r="AC5822" s="54" t="b">
        <f aca="false">AND(E5822&gt;=01_因子設定!$L$5-0.000000001,E5822&lt;=01_因子設定!$M$5+0.000000001,F5822&gt;=01_因子設定!$L$6-0.000000001,F5822&lt;=01_因子設定!$M$6+0.000000001,G5822&gt;=01_因子設定!$L$7-0.000000001,G5822&lt;=01_因子設定!$M$7+0.000000001,H5822&gt;=01_因子設定!$L$8-0.000000001,H5822&lt;=01_因子設定!$M$8+0.000000001,IF(01_因子設定!$B$20="Box-Behnken",E5822^2+F5822^2+G5822^2+H5822^2&lt;=2+0.000000001,TRUE()))</f>
        <v>1</v>
      </c>
      <c r="AD5822" s="55" t="n">
        <f aca="false">IF(AC5822,IF(01_因子設定!$B$13="最大化",AA5822-01_因子設定!$B$14,IF(01_因子設定!$B$13="最小化",01_因子設定!$B$15-AB5822,MIN(AA5822-01_因子設定!$B$14,01_因子設定!$B$15-AB5822))),-1E+030)</f>
        <v>0.305534556163487</v>
      </c>
      <c r="AE5822" s="55" t="n">
        <f aca="false">IF(AC5822,IF(01_因子設定!$B$13="最大化",X5822,IF(01_因子設定!$B$13="最小化",-X5822,-ABS(X5822-01_因子設定!$B$16))),-1E+030)</f>
        <v>48.3880254020468</v>
      </c>
      <c r="AF5822" s="55" t="n">
        <f aca="false">AD5822+ROW()*0.000000001</f>
        <v>0.305540378163487</v>
      </c>
      <c r="AG5822" s="55" t="n">
        <f aca="false">AE5822+ROW()*0.000000001</f>
        <v>48.3880312240468</v>
      </c>
    </row>
    <row r="5823" customFormat="false" ht="15" hidden="false" customHeight="false" outlineLevel="0" collapsed="false">
      <c r="A5823" s="0" t="n">
        <v>7</v>
      </c>
      <c r="B5823" s="0" t="n">
        <v>8</v>
      </c>
      <c r="C5823" s="0" t="n">
        <v>7</v>
      </c>
      <c r="D5823" s="0" t="n">
        <v>4</v>
      </c>
      <c r="E5823" s="0" t="n">
        <f aca="false">-1+A5823*0.25</f>
        <v>0.75</v>
      </c>
      <c r="F5823" s="0" t="n">
        <f aca="false">-1+B5823*0.25</f>
        <v>1</v>
      </c>
      <c r="G5823" s="0" t="n">
        <f aca="false">-1+C5823*0.25</f>
        <v>0.75</v>
      </c>
      <c r="H5823" s="0" t="n">
        <f aca="false">-1+D5823*0.25</f>
        <v>0</v>
      </c>
      <c r="I5823" s="0" t="n">
        <f aca="false">1</f>
        <v>1</v>
      </c>
      <c r="J5823" s="0" t="n">
        <f aca="false">E5823</f>
        <v>0.75</v>
      </c>
      <c r="K5823" s="0" t="n">
        <f aca="false">F5823</f>
        <v>1</v>
      </c>
      <c r="L5823" s="0" t="n">
        <f aca="false">G5823</f>
        <v>0.75</v>
      </c>
      <c r="M5823" s="0" t="n">
        <f aca="false">H5823</f>
        <v>0</v>
      </c>
      <c r="N5823" s="0" t="n">
        <f aca="false">E5823*F5823</f>
        <v>0.75</v>
      </c>
      <c r="O5823" s="0" t="n">
        <f aca="false">E5823*G5823</f>
        <v>0.5625</v>
      </c>
      <c r="P5823" s="0" t="n">
        <f aca="false">E5823*H5823</f>
        <v>0</v>
      </c>
      <c r="Q5823" s="0" t="n">
        <f aca="false">F5823*G5823</f>
        <v>0.75</v>
      </c>
      <c r="R5823" s="0" t="n">
        <f aca="false">F5823*H5823</f>
        <v>0</v>
      </c>
      <c r="S5823" s="0" t="n">
        <f aca="false">G5823*H5823</f>
        <v>0</v>
      </c>
      <c r="T5823" s="0" t="n">
        <f aca="false">E5823*E5823</f>
        <v>0.5625</v>
      </c>
      <c r="U5823" s="0" t="n">
        <f aca="false">F5823*F5823</f>
        <v>1</v>
      </c>
      <c r="V5823" s="0" t="n">
        <f aca="false">G5823*G5823</f>
        <v>0.5625</v>
      </c>
      <c r="W5823" s="0" t="n">
        <f aca="false">H5823*H5823</f>
        <v>0</v>
      </c>
      <c r="X5823" s="0" t="n">
        <f aca="false">SUMPRODUCT(I5823:W5823,_XtX!$B$96:$P$96)</f>
        <v>48.5375365497076</v>
      </c>
      <c r="Y5823" s="0" t="n">
        <f aca="false">SUMPRODUCT(MMULT(I5823:W5823,_XtX!$B$78:$P$92),I5823:W5823)</f>
        <v>0.494259126005117</v>
      </c>
      <c r="Z5823" s="0" t="n">
        <f aca="false">04_回帰ANOVA!$K$19*04_回帰ANOVA!$K$14*SQRT(1+Y5823)</f>
        <v>1.59335061078203</v>
      </c>
      <c r="AA5823" s="0" t="n">
        <f aca="false">X5823-Z5823</f>
        <v>46.9441859389256</v>
      </c>
      <c r="AB5823" s="0" t="n">
        <f aca="false">X5823+Z5823</f>
        <v>50.1308871604896</v>
      </c>
      <c r="AC5823" s="54" t="b">
        <f aca="false">AND(E5823&gt;=01_因子設定!$L$5-0.000000001,E5823&lt;=01_因子設定!$M$5+0.000000001,F5823&gt;=01_因子設定!$L$6-0.000000001,F5823&lt;=01_因子設定!$M$6+0.000000001,G5823&gt;=01_因子設定!$L$7-0.000000001,G5823&lt;=01_因子設定!$M$7+0.000000001,H5823&gt;=01_因子設定!$L$8-0.000000001,H5823&lt;=01_因子設定!$M$8+0.000000001,IF(01_因子設定!$B$20="Box-Behnken",E5823^2+F5823^2+G5823^2+H5823^2&lt;=2+0.000000001,TRUE()))</f>
        <v>1</v>
      </c>
      <c r="AD5823" s="55" t="n">
        <f aca="false">IF(AC5823,IF(01_因子設定!$B$13="最大化",AA5823-01_因子設定!$B$14,IF(01_因子設定!$B$13="最小化",01_因子設定!$B$15-AB5823,MIN(AA5823-01_因子設定!$B$14,01_因子設定!$B$15-AB5823))),-1E+030)</f>
        <v>0.444185938925564</v>
      </c>
      <c r="AE5823" s="55" t="n">
        <f aca="false">IF(AC5823,IF(01_因子設定!$B$13="最大化",X5823,IF(01_因子設定!$B$13="最小化",-X5823,-ABS(X5823-01_因子設定!$B$16))),-1E+030)</f>
        <v>48.5375365497076</v>
      </c>
      <c r="AF5823" s="55" t="n">
        <f aca="false">AD5823+ROW()*0.000000001</f>
        <v>0.444191761925564</v>
      </c>
      <c r="AG5823" s="55" t="n">
        <f aca="false">AE5823+ROW()*0.000000001</f>
        <v>48.5375423727076</v>
      </c>
    </row>
    <row r="5824" customFormat="false" ht="15" hidden="false" customHeight="false" outlineLevel="0" collapsed="false">
      <c r="A5824" s="0" t="n">
        <v>7</v>
      </c>
      <c r="B5824" s="0" t="n">
        <v>8</v>
      </c>
      <c r="C5824" s="0" t="n">
        <v>7</v>
      </c>
      <c r="D5824" s="0" t="n">
        <v>5</v>
      </c>
      <c r="E5824" s="0" t="n">
        <f aca="false">-1+A5824*0.25</f>
        <v>0.75</v>
      </c>
      <c r="F5824" s="0" t="n">
        <f aca="false">-1+B5824*0.25</f>
        <v>1</v>
      </c>
      <c r="G5824" s="0" t="n">
        <f aca="false">-1+C5824*0.25</f>
        <v>0.75</v>
      </c>
      <c r="H5824" s="0" t="n">
        <f aca="false">-1+D5824*0.25</f>
        <v>0.25</v>
      </c>
      <c r="I5824" s="0" t="n">
        <f aca="false">1</f>
        <v>1</v>
      </c>
      <c r="J5824" s="0" t="n">
        <f aca="false">E5824</f>
        <v>0.75</v>
      </c>
      <c r="K5824" s="0" t="n">
        <f aca="false">F5824</f>
        <v>1</v>
      </c>
      <c r="L5824" s="0" t="n">
        <f aca="false">G5824</f>
        <v>0.75</v>
      </c>
      <c r="M5824" s="0" t="n">
        <f aca="false">H5824</f>
        <v>0.25</v>
      </c>
      <c r="N5824" s="0" t="n">
        <f aca="false">E5824*F5824</f>
        <v>0.75</v>
      </c>
      <c r="O5824" s="0" t="n">
        <f aca="false">E5824*G5824</f>
        <v>0.5625</v>
      </c>
      <c r="P5824" s="0" t="n">
        <f aca="false">E5824*H5824</f>
        <v>0.1875</v>
      </c>
      <c r="Q5824" s="0" t="n">
        <f aca="false">F5824*G5824</f>
        <v>0.75</v>
      </c>
      <c r="R5824" s="0" t="n">
        <f aca="false">F5824*H5824</f>
        <v>0.25</v>
      </c>
      <c r="S5824" s="0" t="n">
        <f aca="false">G5824*H5824</f>
        <v>0.1875</v>
      </c>
      <c r="T5824" s="0" t="n">
        <f aca="false">E5824*E5824</f>
        <v>0.5625</v>
      </c>
      <c r="U5824" s="0" t="n">
        <f aca="false">F5824*F5824</f>
        <v>1</v>
      </c>
      <c r="V5824" s="0" t="n">
        <f aca="false">G5824*G5824</f>
        <v>0.5625</v>
      </c>
      <c r="W5824" s="0" t="n">
        <f aca="false">H5824*H5824</f>
        <v>0.0625</v>
      </c>
      <c r="X5824" s="0" t="n">
        <f aca="false">SUMPRODUCT(I5824:W5824,_XtX!$B$96:$P$96)</f>
        <v>48.6392406798245</v>
      </c>
      <c r="Y5824" s="0" t="n">
        <f aca="false">SUMPRODUCT(MMULT(I5824:W5824,_XtX!$B$78:$P$92),I5824:W5824)</f>
        <v>0.473959761056287</v>
      </c>
      <c r="Z5824" s="0" t="n">
        <f aca="false">04_回帰ANOVA!$K$19*04_回帰ANOVA!$K$14*SQRT(1+Y5824)</f>
        <v>1.58249084588329</v>
      </c>
      <c r="AA5824" s="0" t="n">
        <f aca="false">X5824-Z5824</f>
        <v>47.0567498339413</v>
      </c>
      <c r="AB5824" s="0" t="n">
        <f aca="false">X5824+Z5824</f>
        <v>50.2217315257078</v>
      </c>
      <c r="AC5824" s="54" t="b">
        <f aca="false">AND(E5824&gt;=01_因子設定!$L$5-0.000000001,E5824&lt;=01_因子設定!$M$5+0.000000001,F5824&gt;=01_因子設定!$L$6-0.000000001,F5824&lt;=01_因子設定!$M$6+0.000000001,G5824&gt;=01_因子設定!$L$7-0.000000001,G5824&lt;=01_因子設定!$M$7+0.000000001,H5824&gt;=01_因子設定!$L$8-0.000000001,H5824&lt;=01_因子設定!$M$8+0.000000001,IF(01_因子設定!$B$20="Box-Behnken",E5824^2+F5824^2+G5824^2+H5824^2&lt;=2+0.000000001,TRUE()))</f>
        <v>1</v>
      </c>
      <c r="AD5824" s="55" t="n">
        <f aca="false">IF(AC5824,IF(01_因子設定!$B$13="最大化",AA5824-01_因子設定!$B$14,IF(01_因子設定!$B$13="最小化",01_因子設定!$B$15-AB5824,MIN(AA5824-01_因子設定!$B$14,01_因子設定!$B$15-AB5824))),-1E+030)</f>
        <v>0.556749833941261</v>
      </c>
      <c r="AE5824" s="55" t="n">
        <f aca="false">IF(AC5824,IF(01_因子設定!$B$13="最大化",X5824,IF(01_因子設定!$B$13="最小化",-X5824,-ABS(X5824-01_因子設定!$B$16))),-1E+030)</f>
        <v>48.6392406798245</v>
      </c>
      <c r="AF5824" s="55" t="n">
        <f aca="false">AD5824+ROW()*0.000000001</f>
        <v>0.556755657941261</v>
      </c>
      <c r="AG5824" s="55" t="n">
        <f aca="false">AE5824+ROW()*0.000000001</f>
        <v>48.6392465038245</v>
      </c>
    </row>
    <row r="5825" customFormat="false" ht="15" hidden="false" customHeight="false" outlineLevel="0" collapsed="false">
      <c r="A5825" s="0" t="n">
        <v>7</v>
      </c>
      <c r="B5825" s="0" t="n">
        <v>8</v>
      </c>
      <c r="C5825" s="0" t="n">
        <v>7</v>
      </c>
      <c r="D5825" s="0" t="n">
        <v>6</v>
      </c>
      <c r="E5825" s="0" t="n">
        <f aca="false">-1+A5825*0.25</f>
        <v>0.75</v>
      </c>
      <c r="F5825" s="0" t="n">
        <f aca="false">-1+B5825*0.25</f>
        <v>1</v>
      </c>
      <c r="G5825" s="0" t="n">
        <f aca="false">-1+C5825*0.25</f>
        <v>0.75</v>
      </c>
      <c r="H5825" s="0" t="n">
        <f aca="false">-1+D5825*0.25</f>
        <v>0.5</v>
      </c>
      <c r="I5825" s="0" t="n">
        <f aca="false">1</f>
        <v>1</v>
      </c>
      <c r="J5825" s="0" t="n">
        <f aca="false">E5825</f>
        <v>0.75</v>
      </c>
      <c r="K5825" s="0" t="n">
        <f aca="false">F5825</f>
        <v>1</v>
      </c>
      <c r="L5825" s="0" t="n">
        <f aca="false">G5825</f>
        <v>0.75</v>
      </c>
      <c r="M5825" s="0" t="n">
        <f aca="false">H5825</f>
        <v>0.5</v>
      </c>
      <c r="N5825" s="0" t="n">
        <f aca="false">E5825*F5825</f>
        <v>0.75</v>
      </c>
      <c r="O5825" s="0" t="n">
        <f aca="false">E5825*G5825</f>
        <v>0.5625</v>
      </c>
      <c r="P5825" s="0" t="n">
        <f aca="false">E5825*H5825</f>
        <v>0.375</v>
      </c>
      <c r="Q5825" s="0" t="n">
        <f aca="false">F5825*G5825</f>
        <v>0.75</v>
      </c>
      <c r="R5825" s="0" t="n">
        <f aca="false">F5825*H5825</f>
        <v>0.5</v>
      </c>
      <c r="S5825" s="0" t="n">
        <f aca="false">G5825*H5825</f>
        <v>0.375</v>
      </c>
      <c r="T5825" s="0" t="n">
        <f aca="false">E5825*E5825</f>
        <v>0.5625</v>
      </c>
      <c r="U5825" s="0" t="n">
        <f aca="false">F5825*F5825</f>
        <v>1</v>
      </c>
      <c r="V5825" s="0" t="n">
        <f aca="false">G5825*G5825</f>
        <v>0.5625</v>
      </c>
      <c r="W5825" s="0" t="n">
        <f aca="false">H5825*H5825</f>
        <v>0.25</v>
      </c>
      <c r="X5825" s="0" t="n">
        <f aca="false">SUMPRODUCT(I5825:W5825,_XtX!$B$96:$P$96)</f>
        <v>48.6931377923977</v>
      </c>
      <c r="Y5825" s="0" t="n">
        <f aca="false">SUMPRODUCT(MMULT(I5825:W5825,_XtX!$B$78:$P$92),I5825:W5825)</f>
        <v>0.431153771472953</v>
      </c>
      <c r="Z5825" s="0" t="n">
        <f aca="false">04_回帰ANOVA!$K$19*04_回帰ANOVA!$K$14*SQRT(1+Y5825)</f>
        <v>1.55934259562563</v>
      </c>
      <c r="AA5825" s="0" t="n">
        <f aca="false">X5825-Z5825</f>
        <v>47.133795196772</v>
      </c>
      <c r="AB5825" s="0" t="n">
        <f aca="false">X5825+Z5825</f>
        <v>50.2524803880233</v>
      </c>
      <c r="AC5825" s="54" t="b">
        <f aca="false">AND(E5825&gt;=01_因子設定!$L$5-0.000000001,E5825&lt;=01_因子設定!$M$5+0.000000001,F5825&gt;=01_因子設定!$L$6-0.000000001,F5825&lt;=01_因子設定!$M$6+0.000000001,G5825&gt;=01_因子設定!$L$7-0.000000001,G5825&lt;=01_因子設定!$M$7+0.000000001,H5825&gt;=01_因子設定!$L$8-0.000000001,H5825&lt;=01_因子設定!$M$8+0.000000001,IF(01_因子設定!$B$20="Box-Behnken",E5825^2+F5825^2+G5825^2+H5825^2&lt;=2+0.000000001,TRUE()))</f>
        <v>1</v>
      </c>
      <c r="AD5825" s="55" t="n">
        <f aca="false">IF(AC5825,IF(01_因子設定!$B$13="最大化",AA5825-01_因子設定!$B$14,IF(01_因子設定!$B$13="最小化",01_因子設定!$B$15-AB5825,MIN(AA5825-01_因子設定!$B$14,01_因子設定!$B$15-AB5825))),-1E+030)</f>
        <v>0.633795196772027</v>
      </c>
      <c r="AE5825" s="55" t="n">
        <f aca="false">IF(AC5825,IF(01_因子設定!$B$13="最大化",X5825,IF(01_因子設定!$B$13="最小化",-X5825,-ABS(X5825-01_因子設定!$B$16))),-1E+030)</f>
        <v>48.6931377923977</v>
      </c>
      <c r="AF5825" s="55" t="n">
        <f aca="false">AD5825+ROW()*0.000000001</f>
        <v>0.633801021772027</v>
      </c>
      <c r="AG5825" s="55" t="n">
        <f aca="false">AE5825+ROW()*0.000000001</f>
        <v>48.6931436173977</v>
      </c>
    </row>
    <row r="5826" customFormat="false" ht="15" hidden="false" customHeight="false" outlineLevel="0" collapsed="false">
      <c r="A5826" s="0" t="n">
        <v>7</v>
      </c>
      <c r="B5826" s="0" t="n">
        <v>8</v>
      </c>
      <c r="C5826" s="0" t="n">
        <v>7</v>
      </c>
      <c r="D5826" s="0" t="n">
        <v>7</v>
      </c>
      <c r="E5826" s="0" t="n">
        <f aca="false">-1+A5826*0.25</f>
        <v>0.75</v>
      </c>
      <c r="F5826" s="0" t="n">
        <f aca="false">-1+B5826*0.25</f>
        <v>1</v>
      </c>
      <c r="G5826" s="0" t="n">
        <f aca="false">-1+C5826*0.25</f>
        <v>0.75</v>
      </c>
      <c r="H5826" s="0" t="n">
        <f aca="false">-1+D5826*0.25</f>
        <v>0.75</v>
      </c>
      <c r="I5826" s="0" t="n">
        <f aca="false">1</f>
        <v>1</v>
      </c>
      <c r="J5826" s="0" t="n">
        <f aca="false">E5826</f>
        <v>0.75</v>
      </c>
      <c r="K5826" s="0" t="n">
        <f aca="false">F5826</f>
        <v>1</v>
      </c>
      <c r="L5826" s="0" t="n">
        <f aca="false">G5826</f>
        <v>0.75</v>
      </c>
      <c r="M5826" s="0" t="n">
        <f aca="false">H5826</f>
        <v>0.75</v>
      </c>
      <c r="N5826" s="0" t="n">
        <f aca="false">E5826*F5826</f>
        <v>0.75</v>
      </c>
      <c r="O5826" s="0" t="n">
        <f aca="false">E5826*G5826</f>
        <v>0.5625</v>
      </c>
      <c r="P5826" s="0" t="n">
        <f aca="false">E5826*H5826</f>
        <v>0.5625</v>
      </c>
      <c r="Q5826" s="0" t="n">
        <f aca="false">F5826*G5826</f>
        <v>0.75</v>
      </c>
      <c r="R5826" s="0" t="n">
        <f aca="false">F5826*H5826</f>
        <v>0.75</v>
      </c>
      <c r="S5826" s="0" t="n">
        <f aca="false">G5826*H5826</f>
        <v>0.5625</v>
      </c>
      <c r="T5826" s="0" t="n">
        <f aca="false">E5826*E5826</f>
        <v>0.5625</v>
      </c>
      <c r="U5826" s="0" t="n">
        <f aca="false">F5826*F5826</f>
        <v>1</v>
      </c>
      <c r="V5826" s="0" t="n">
        <f aca="false">G5826*G5826</f>
        <v>0.5625</v>
      </c>
      <c r="W5826" s="0" t="n">
        <f aca="false">H5826*H5826</f>
        <v>0.5625</v>
      </c>
      <c r="X5826" s="0" t="n">
        <f aca="false">SUMPRODUCT(I5826:W5826,_XtX!$B$96:$P$96)</f>
        <v>48.6992278874269</v>
      </c>
      <c r="Y5826" s="0" t="n">
        <f aca="false">SUMPRODUCT(MMULT(I5826:W5826,_XtX!$B$78:$P$92),I5826:W5826)</f>
        <v>0.420117473044591</v>
      </c>
      <c r="Z5826" s="0" t="n">
        <f aca="false">04_回帰ANOVA!$K$19*04_回帰ANOVA!$K$14*SQRT(1+Y5826)</f>
        <v>1.55331854827765</v>
      </c>
      <c r="AA5826" s="0" t="n">
        <f aca="false">X5826-Z5826</f>
        <v>47.1459093391493</v>
      </c>
      <c r="AB5826" s="0" t="n">
        <f aca="false">X5826+Z5826</f>
        <v>50.2525464357046</v>
      </c>
      <c r="AC5826" s="54" t="b">
        <f aca="false">AND(E5826&gt;=01_因子設定!$L$5-0.000000001,E5826&lt;=01_因子設定!$M$5+0.000000001,F5826&gt;=01_因子設定!$L$6-0.000000001,F5826&lt;=01_因子設定!$M$6+0.000000001,G5826&gt;=01_因子設定!$L$7-0.000000001,G5826&lt;=01_因子設定!$M$7+0.000000001,H5826&gt;=01_因子設定!$L$8-0.000000001,H5826&lt;=01_因子設定!$M$8+0.000000001,IF(01_因子設定!$B$20="Box-Behnken",E5826^2+F5826^2+G5826^2+H5826^2&lt;=2+0.000000001,TRUE()))</f>
        <v>1</v>
      </c>
      <c r="AD5826" s="55" t="n">
        <f aca="false">IF(AC5826,IF(01_因子設定!$B$13="最大化",AA5826-01_因子設定!$B$14,IF(01_因子設定!$B$13="最小化",01_因子設定!$B$15-AB5826,MIN(AA5826-01_因子設定!$B$14,01_因子設定!$B$15-AB5826))),-1E+030)</f>
        <v>0.645909339149263</v>
      </c>
      <c r="AE5826" s="55" t="n">
        <f aca="false">IF(AC5826,IF(01_因子設定!$B$13="最大化",X5826,IF(01_因子設定!$B$13="最小化",-X5826,-ABS(X5826-01_因子設定!$B$16))),-1E+030)</f>
        <v>48.6992278874269</v>
      </c>
      <c r="AF5826" s="55" t="n">
        <f aca="false">AD5826+ROW()*0.000000001</f>
        <v>0.645915165149263</v>
      </c>
      <c r="AG5826" s="55" t="n">
        <f aca="false">AE5826+ROW()*0.000000001</f>
        <v>48.6992337134269</v>
      </c>
    </row>
    <row r="5827" customFormat="false" ht="15" hidden="false" customHeight="false" outlineLevel="0" collapsed="false">
      <c r="A5827" s="0" t="n">
        <v>7</v>
      </c>
      <c r="B5827" s="0" t="n">
        <v>8</v>
      </c>
      <c r="C5827" s="0" t="n">
        <v>7</v>
      </c>
      <c r="D5827" s="0" t="n">
        <v>8</v>
      </c>
      <c r="E5827" s="0" t="n">
        <f aca="false">-1+A5827*0.25</f>
        <v>0.75</v>
      </c>
      <c r="F5827" s="0" t="n">
        <f aca="false">-1+B5827*0.25</f>
        <v>1</v>
      </c>
      <c r="G5827" s="0" t="n">
        <f aca="false">-1+C5827*0.25</f>
        <v>0.75</v>
      </c>
      <c r="H5827" s="0" t="n">
        <f aca="false">-1+D5827*0.25</f>
        <v>1</v>
      </c>
      <c r="I5827" s="0" t="n">
        <f aca="false">1</f>
        <v>1</v>
      </c>
      <c r="J5827" s="0" t="n">
        <f aca="false">E5827</f>
        <v>0.75</v>
      </c>
      <c r="K5827" s="0" t="n">
        <f aca="false">F5827</f>
        <v>1</v>
      </c>
      <c r="L5827" s="0" t="n">
        <f aca="false">G5827</f>
        <v>0.75</v>
      </c>
      <c r="M5827" s="0" t="n">
        <f aca="false">H5827</f>
        <v>1</v>
      </c>
      <c r="N5827" s="0" t="n">
        <f aca="false">E5827*F5827</f>
        <v>0.75</v>
      </c>
      <c r="O5827" s="0" t="n">
        <f aca="false">E5827*G5827</f>
        <v>0.5625</v>
      </c>
      <c r="P5827" s="0" t="n">
        <f aca="false">E5827*H5827</f>
        <v>0.75</v>
      </c>
      <c r="Q5827" s="0" t="n">
        <f aca="false">F5827*G5827</f>
        <v>0.75</v>
      </c>
      <c r="R5827" s="0" t="n">
        <f aca="false">F5827*H5827</f>
        <v>1</v>
      </c>
      <c r="S5827" s="0" t="n">
        <f aca="false">G5827*H5827</f>
        <v>0.75</v>
      </c>
      <c r="T5827" s="0" t="n">
        <f aca="false">E5827*E5827</f>
        <v>0.5625</v>
      </c>
      <c r="U5827" s="0" t="n">
        <f aca="false">F5827*F5827</f>
        <v>1</v>
      </c>
      <c r="V5827" s="0" t="n">
        <f aca="false">G5827*G5827</f>
        <v>0.5625</v>
      </c>
      <c r="W5827" s="0" t="n">
        <f aca="false">H5827*H5827</f>
        <v>1</v>
      </c>
      <c r="X5827" s="0" t="n">
        <f aca="false">SUMPRODUCT(I5827:W5827,_XtX!$B$96:$P$96)</f>
        <v>48.6575109649123</v>
      </c>
      <c r="Y5827" s="0" t="n">
        <f aca="false">SUMPRODUCT(MMULT(I5827:W5827,_XtX!$B$78:$P$92),I5827:W5827)</f>
        <v>0.531311392086988</v>
      </c>
      <c r="Z5827" s="0" t="n">
        <f aca="false">04_回帰ANOVA!$K$19*04_回帰ANOVA!$K$14*SQRT(1+Y5827)</f>
        <v>1.61298433431428</v>
      </c>
      <c r="AA5827" s="0" t="n">
        <f aca="false">X5827-Z5827</f>
        <v>47.044526630598</v>
      </c>
      <c r="AB5827" s="0" t="n">
        <f aca="false">X5827+Z5827</f>
        <v>50.2704952992266</v>
      </c>
      <c r="AC5827" s="54" t="b">
        <f aca="false">AND(E5827&gt;=01_因子設定!$L$5-0.000000001,E5827&lt;=01_因子設定!$M$5+0.000000001,F5827&gt;=01_因子設定!$L$6-0.000000001,F5827&lt;=01_因子設定!$M$6+0.000000001,G5827&gt;=01_因子設定!$L$7-0.000000001,G5827&lt;=01_因子設定!$M$7+0.000000001,H5827&gt;=01_因子設定!$L$8-0.000000001,H5827&lt;=01_因子設定!$M$8+0.000000001,IF(01_因子設定!$B$20="Box-Behnken",E5827^2+F5827^2+G5827^2+H5827^2&lt;=2+0.000000001,TRUE()))</f>
        <v>1</v>
      </c>
      <c r="AD5827" s="55" t="n">
        <f aca="false">IF(AC5827,IF(01_因子設定!$B$13="最大化",AA5827-01_因子設定!$B$14,IF(01_因子設定!$B$13="最小化",01_因子設定!$B$15-AB5827,MIN(AA5827-01_因子設定!$B$14,01_因子設定!$B$15-AB5827))),-1E+030)</f>
        <v>0.544526630598021</v>
      </c>
      <c r="AE5827" s="55" t="n">
        <f aca="false">IF(AC5827,IF(01_因子設定!$B$13="最大化",X5827,IF(01_因子設定!$B$13="最小化",-X5827,-ABS(X5827-01_因子設定!$B$16))),-1E+030)</f>
        <v>48.6575109649123</v>
      </c>
      <c r="AF5827" s="55" t="n">
        <f aca="false">AD5827+ROW()*0.000000001</f>
        <v>0.544532457598021</v>
      </c>
      <c r="AG5827" s="55" t="n">
        <f aca="false">AE5827+ROW()*0.000000001</f>
        <v>48.6575167919123</v>
      </c>
    </row>
    <row r="5828" customFormat="false" ht="15" hidden="false" customHeight="false" outlineLevel="0" collapsed="false">
      <c r="A5828" s="0" t="n">
        <v>7</v>
      </c>
      <c r="B5828" s="0" t="n">
        <v>8</v>
      </c>
      <c r="C5828" s="0" t="n">
        <v>8</v>
      </c>
      <c r="D5828" s="0" t="n">
        <v>0</v>
      </c>
      <c r="E5828" s="0" t="n">
        <f aca="false">-1+A5828*0.25</f>
        <v>0.75</v>
      </c>
      <c r="F5828" s="0" t="n">
        <f aca="false">-1+B5828*0.25</f>
        <v>1</v>
      </c>
      <c r="G5828" s="0" t="n">
        <f aca="false">-1+C5828*0.25</f>
        <v>1</v>
      </c>
      <c r="H5828" s="0" t="n">
        <f aca="false">-1+D5828*0.25</f>
        <v>-1</v>
      </c>
      <c r="I5828" s="0" t="n">
        <f aca="false">1</f>
        <v>1</v>
      </c>
      <c r="J5828" s="0" t="n">
        <f aca="false">E5828</f>
        <v>0.75</v>
      </c>
      <c r="K5828" s="0" t="n">
        <f aca="false">F5828</f>
        <v>1</v>
      </c>
      <c r="L5828" s="0" t="n">
        <f aca="false">G5828</f>
        <v>1</v>
      </c>
      <c r="M5828" s="0" t="n">
        <f aca="false">H5828</f>
        <v>-1</v>
      </c>
      <c r="N5828" s="0" t="n">
        <f aca="false">E5828*F5828</f>
        <v>0.75</v>
      </c>
      <c r="O5828" s="0" t="n">
        <f aca="false">E5828*G5828</f>
        <v>0.75</v>
      </c>
      <c r="P5828" s="0" t="n">
        <f aca="false">E5828*H5828</f>
        <v>-0.75</v>
      </c>
      <c r="Q5828" s="0" t="n">
        <f aca="false">F5828*G5828</f>
        <v>1</v>
      </c>
      <c r="R5828" s="0" t="n">
        <f aca="false">F5828*H5828</f>
        <v>-1</v>
      </c>
      <c r="S5828" s="0" t="n">
        <f aca="false">G5828*H5828</f>
        <v>-1</v>
      </c>
      <c r="T5828" s="0" t="n">
        <f aca="false">E5828*E5828</f>
        <v>0.5625</v>
      </c>
      <c r="U5828" s="0" t="n">
        <f aca="false">F5828*F5828</f>
        <v>1</v>
      </c>
      <c r="V5828" s="0" t="n">
        <f aca="false">G5828*G5828</f>
        <v>1</v>
      </c>
      <c r="W5828" s="0" t="n">
        <f aca="false">H5828*H5828</f>
        <v>1</v>
      </c>
      <c r="X5828" s="0" t="n">
        <f aca="false">SUMPRODUCT(I5828:W5828,_XtX!$B$96:$P$96)</f>
        <v>47.484283625731</v>
      </c>
      <c r="Y5828" s="0" t="n">
        <f aca="false">SUMPRODUCT(MMULT(I5828:W5828,_XtX!$B$78:$P$92),I5828:W5828)</f>
        <v>0.610814144736842</v>
      </c>
      <c r="Z5828" s="0" t="n">
        <f aca="false">04_回帰ANOVA!$K$19*04_回帰ANOVA!$K$14*SQRT(1+Y5828)</f>
        <v>1.6543260558361</v>
      </c>
      <c r="AA5828" s="0" t="n">
        <f aca="false">X5828-Z5828</f>
        <v>45.8299575698949</v>
      </c>
      <c r="AB5828" s="0" t="n">
        <f aca="false">X5828+Z5828</f>
        <v>49.1386096815671</v>
      </c>
      <c r="AC5828" s="54" t="b">
        <f aca="false">AND(E5828&gt;=01_因子設定!$L$5-0.000000001,E5828&lt;=01_因子設定!$M$5+0.000000001,F5828&gt;=01_因子設定!$L$6-0.000000001,F5828&lt;=01_因子設定!$M$6+0.000000001,G5828&gt;=01_因子設定!$L$7-0.000000001,G5828&lt;=01_因子設定!$M$7+0.000000001,H5828&gt;=01_因子設定!$L$8-0.000000001,H5828&lt;=01_因子設定!$M$8+0.000000001,IF(01_因子設定!$B$20="Box-Behnken",E5828^2+F5828^2+G5828^2+H5828^2&lt;=2+0.000000001,TRUE()))</f>
        <v>1</v>
      </c>
      <c r="AD5828" s="55" t="n">
        <f aca="false">IF(AC5828,IF(01_因子設定!$B$13="最大化",AA5828-01_因子設定!$B$14,IF(01_因子設定!$B$13="最小化",01_因子設定!$B$15-AB5828,MIN(AA5828-01_因子設定!$B$14,01_因子設定!$B$15-AB5828))),-1E+030)</f>
        <v>-0.67004243010507</v>
      </c>
      <c r="AE5828" s="55" t="n">
        <f aca="false">IF(AC5828,IF(01_因子設定!$B$13="最大化",X5828,IF(01_因子設定!$B$13="最小化",-X5828,-ABS(X5828-01_因子設定!$B$16))),-1E+030)</f>
        <v>47.484283625731</v>
      </c>
      <c r="AF5828" s="55" t="n">
        <f aca="false">AD5828+ROW()*0.000000001</f>
        <v>-0.67003660210507</v>
      </c>
      <c r="AG5828" s="55" t="n">
        <f aca="false">AE5828+ROW()*0.000000001</f>
        <v>47.484289453731</v>
      </c>
    </row>
    <row r="5829" customFormat="false" ht="15" hidden="false" customHeight="false" outlineLevel="0" collapsed="false">
      <c r="A5829" s="0" t="n">
        <v>7</v>
      </c>
      <c r="B5829" s="0" t="n">
        <v>8</v>
      </c>
      <c r="C5829" s="0" t="n">
        <v>8</v>
      </c>
      <c r="D5829" s="0" t="n">
        <v>1</v>
      </c>
      <c r="E5829" s="0" t="n">
        <f aca="false">-1+A5829*0.25</f>
        <v>0.75</v>
      </c>
      <c r="F5829" s="0" t="n">
        <f aca="false">-1+B5829*0.25</f>
        <v>1</v>
      </c>
      <c r="G5829" s="0" t="n">
        <f aca="false">-1+C5829*0.25</f>
        <v>1</v>
      </c>
      <c r="H5829" s="0" t="n">
        <f aca="false">-1+D5829*0.25</f>
        <v>-0.75</v>
      </c>
      <c r="I5829" s="0" t="n">
        <f aca="false">1</f>
        <v>1</v>
      </c>
      <c r="J5829" s="0" t="n">
        <f aca="false">E5829</f>
        <v>0.75</v>
      </c>
      <c r="K5829" s="0" t="n">
        <f aca="false">F5829</f>
        <v>1</v>
      </c>
      <c r="L5829" s="0" t="n">
        <f aca="false">G5829</f>
        <v>1</v>
      </c>
      <c r="M5829" s="0" t="n">
        <f aca="false">H5829</f>
        <v>-0.75</v>
      </c>
      <c r="N5829" s="0" t="n">
        <f aca="false">E5829*F5829</f>
        <v>0.75</v>
      </c>
      <c r="O5829" s="0" t="n">
        <f aca="false">E5829*G5829</f>
        <v>0.75</v>
      </c>
      <c r="P5829" s="0" t="n">
        <f aca="false">E5829*H5829</f>
        <v>-0.5625</v>
      </c>
      <c r="Q5829" s="0" t="n">
        <f aca="false">F5829*G5829</f>
        <v>1</v>
      </c>
      <c r="R5829" s="0" t="n">
        <f aca="false">F5829*H5829</f>
        <v>-0.75</v>
      </c>
      <c r="S5829" s="0" t="n">
        <f aca="false">G5829*H5829</f>
        <v>-0.75</v>
      </c>
      <c r="T5829" s="0" t="n">
        <f aca="false">E5829*E5829</f>
        <v>0.5625</v>
      </c>
      <c r="U5829" s="0" t="n">
        <f aca="false">F5829*F5829</f>
        <v>1</v>
      </c>
      <c r="V5829" s="0" t="n">
        <f aca="false">G5829*G5829</f>
        <v>1</v>
      </c>
      <c r="W5829" s="0" t="n">
        <f aca="false">H5829*H5829</f>
        <v>0.5625</v>
      </c>
      <c r="X5829" s="0" t="n">
        <f aca="false">SUMPRODUCT(I5829:W5829,_XtX!$B$96:$P$96)</f>
        <v>47.7951845760234</v>
      </c>
      <c r="Y5829" s="0" t="n">
        <f aca="false">SUMPRODUCT(MMULT(I5829:W5829,_XtX!$B$78:$P$92),I5829:W5829)</f>
        <v>0.531311392086988</v>
      </c>
      <c r="Z5829" s="0" t="n">
        <f aca="false">04_回帰ANOVA!$K$19*04_回帰ANOVA!$K$14*SQRT(1+Y5829)</f>
        <v>1.61298433431428</v>
      </c>
      <c r="AA5829" s="0" t="n">
        <f aca="false">X5829-Z5829</f>
        <v>46.1822002417091</v>
      </c>
      <c r="AB5829" s="0" t="n">
        <f aca="false">X5829+Z5829</f>
        <v>49.4081689103377</v>
      </c>
      <c r="AC5829" s="54" t="b">
        <f aca="false">AND(E5829&gt;=01_因子設定!$L$5-0.000000001,E5829&lt;=01_因子設定!$M$5+0.000000001,F5829&gt;=01_因子設定!$L$6-0.000000001,F5829&lt;=01_因子設定!$M$6+0.000000001,G5829&gt;=01_因子設定!$L$7-0.000000001,G5829&lt;=01_因子設定!$M$7+0.000000001,H5829&gt;=01_因子設定!$L$8-0.000000001,H5829&lt;=01_因子設定!$M$8+0.000000001,IF(01_因子設定!$B$20="Box-Behnken",E5829^2+F5829^2+G5829^2+H5829^2&lt;=2+0.000000001,TRUE()))</f>
        <v>1</v>
      </c>
      <c r="AD5829" s="55" t="n">
        <f aca="false">IF(AC5829,IF(01_因子設定!$B$13="最大化",AA5829-01_因子設定!$B$14,IF(01_因子設定!$B$13="最小化",01_因子設定!$B$15-AB5829,MIN(AA5829-01_因子設定!$B$14,01_因子設定!$B$15-AB5829))),-1E+030)</f>
        <v>-0.317799758290882</v>
      </c>
      <c r="AE5829" s="55" t="n">
        <f aca="false">IF(AC5829,IF(01_因子設定!$B$13="最大化",X5829,IF(01_因子設定!$B$13="最小化",-X5829,-ABS(X5829-01_因子設定!$B$16))),-1E+030)</f>
        <v>47.7951845760234</v>
      </c>
      <c r="AF5829" s="55" t="n">
        <f aca="false">AD5829+ROW()*0.000000001</f>
        <v>-0.317793929290882</v>
      </c>
      <c r="AG5829" s="55" t="n">
        <f aca="false">AE5829+ROW()*0.000000001</f>
        <v>47.7951904050234</v>
      </c>
    </row>
    <row r="5830" customFormat="false" ht="15" hidden="false" customHeight="false" outlineLevel="0" collapsed="false">
      <c r="A5830" s="0" t="n">
        <v>7</v>
      </c>
      <c r="B5830" s="0" t="n">
        <v>8</v>
      </c>
      <c r="C5830" s="0" t="n">
        <v>8</v>
      </c>
      <c r="D5830" s="0" t="n">
        <v>2</v>
      </c>
      <c r="E5830" s="0" t="n">
        <f aca="false">-1+A5830*0.25</f>
        <v>0.75</v>
      </c>
      <c r="F5830" s="0" t="n">
        <f aca="false">-1+B5830*0.25</f>
        <v>1</v>
      </c>
      <c r="G5830" s="0" t="n">
        <f aca="false">-1+C5830*0.25</f>
        <v>1</v>
      </c>
      <c r="H5830" s="0" t="n">
        <f aca="false">-1+D5830*0.25</f>
        <v>-0.5</v>
      </c>
      <c r="I5830" s="0" t="n">
        <f aca="false">1</f>
        <v>1</v>
      </c>
      <c r="J5830" s="0" t="n">
        <f aca="false">E5830</f>
        <v>0.75</v>
      </c>
      <c r="K5830" s="0" t="n">
        <f aca="false">F5830</f>
        <v>1</v>
      </c>
      <c r="L5830" s="0" t="n">
        <f aca="false">G5830</f>
        <v>1</v>
      </c>
      <c r="M5830" s="0" t="n">
        <f aca="false">H5830</f>
        <v>-0.5</v>
      </c>
      <c r="N5830" s="0" t="n">
        <f aca="false">E5830*F5830</f>
        <v>0.75</v>
      </c>
      <c r="O5830" s="0" t="n">
        <f aca="false">E5830*G5830</f>
        <v>0.75</v>
      </c>
      <c r="P5830" s="0" t="n">
        <f aca="false">E5830*H5830</f>
        <v>-0.375</v>
      </c>
      <c r="Q5830" s="0" t="n">
        <f aca="false">F5830*G5830</f>
        <v>1</v>
      </c>
      <c r="R5830" s="0" t="n">
        <f aca="false">F5830*H5830</f>
        <v>-0.5</v>
      </c>
      <c r="S5830" s="0" t="n">
        <f aca="false">G5830*H5830</f>
        <v>-0.5</v>
      </c>
      <c r="T5830" s="0" t="n">
        <f aca="false">E5830*E5830</f>
        <v>0.5625</v>
      </c>
      <c r="U5830" s="0" t="n">
        <f aca="false">F5830*F5830</f>
        <v>1</v>
      </c>
      <c r="V5830" s="0" t="n">
        <f aca="false">G5830*G5830</f>
        <v>1</v>
      </c>
      <c r="W5830" s="0" t="n">
        <f aca="false">H5830*H5830</f>
        <v>0.25</v>
      </c>
      <c r="X5830" s="0" t="n">
        <f aca="false">SUMPRODUCT(I5830:W5830,_XtX!$B$96:$P$96)</f>
        <v>48.0582785087719</v>
      </c>
      <c r="Y5830" s="0" t="n">
        <f aca="false">SUMPRODUCT(MMULT(I5830:W5830,_XtX!$B$78:$P$92),I5830:W5830)</f>
        <v>0.564984237938597</v>
      </c>
      <c r="Z5830" s="0" t="n">
        <f aca="false">04_回帰ANOVA!$K$19*04_回帰ANOVA!$K$14*SQRT(1+Y5830)</f>
        <v>1.63062229734503</v>
      </c>
      <c r="AA5830" s="0" t="n">
        <f aca="false">X5830-Z5830</f>
        <v>46.4276562114269</v>
      </c>
      <c r="AB5830" s="0" t="n">
        <f aca="false">X5830+Z5830</f>
        <v>49.688900806117</v>
      </c>
      <c r="AC5830" s="54" t="b">
        <f aca="false">AND(E5830&gt;=01_因子設定!$L$5-0.000000001,E5830&lt;=01_因子設定!$M$5+0.000000001,F5830&gt;=01_因子設定!$L$6-0.000000001,F5830&lt;=01_因子設定!$M$6+0.000000001,G5830&gt;=01_因子設定!$L$7-0.000000001,G5830&lt;=01_因子設定!$M$7+0.000000001,H5830&gt;=01_因子設定!$L$8-0.000000001,H5830&lt;=01_因子設定!$M$8+0.000000001,IF(01_因子設定!$B$20="Box-Behnken",E5830^2+F5830^2+G5830^2+H5830^2&lt;=2+0.000000001,TRUE()))</f>
        <v>1</v>
      </c>
      <c r="AD5830" s="55" t="n">
        <f aca="false">IF(AC5830,IF(01_因子設定!$B$13="最大化",AA5830-01_因子設定!$B$14,IF(01_因子設定!$B$13="最小化",01_因子設定!$B$15-AB5830,MIN(AA5830-01_因子設定!$B$14,01_因子設定!$B$15-AB5830))),-1E+030)</f>
        <v>-0.0723437885731073</v>
      </c>
      <c r="AE5830" s="55" t="n">
        <f aca="false">IF(AC5830,IF(01_因子設定!$B$13="最大化",X5830,IF(01_因子設定!$B$13="最小化",-X5830,-ABS(X5830-01_因子設定!$B$16))),-1E+030)</f>
        <v>48.0582785087719</v>
      </c>
      <c r="AF5830" s="55" t="n">
        <f aca="false">AD5830+ROW()*0.000000001</f>
        <v>-0.0723379585731073</v>
      </c>
      <c r="AG5830" s="55" t="n">
        <f aca="false">AE5830+ROW()*0.000000001</f>
        <v>48.0582843387719</v>
      </c>
    </row>
    <row r="5831" customFormat="false" ht="15" hidden="false" customHeight="false" outlineLevel="0" collapsed="false">
      <c r="A5831" s="0" t="n">
        <v>7</v>
      </c>
      <c r="B5831" s="0" t="n">
        <v>8</v>
      </c>
      <c r="C5831" s="0" t="n">
        <v>8</v>
      </c>
      <c r="D5831" s="0" t="n">
        <v>3</v>
      </c>
      <c r="E5831" s="0" t="n">
        <f aca="false">-1+A5831*0.25</f>
        <v>0.75</v>
      </c>
      <c r="F5831" s="0" t="n">
        <f aca="false">-1+B5831*0.25</f>
        <v>1</v>
      </c>
      <c r="G5831" s="0" t="n">
        <f aca="false">-1+C5831*0.25</f>
        <v>1</v>
      </c>
      <c r="H5831" s="0" t="n">
        <f aca="false">-1+D5831*0.25</f>
        <v>-0.25</v>
      </c>
      <c r="I5831" s="0" t="n">
        <f aca="false">1</f>
        <v>1</v>
      </c>
      <c r="J5831" s="0" t="n">
        <f aca="false">E5831</f>
        <v>0.75</v>
      </c>
      <c r="K5831" s="0" t="n">
        <f aca="false">F5831</f>
        <v>1</v>
      </c>
      <c r="L5831" s="0" t="n">
        <f aca="false">G5831</f>
        <v>1</v>
      </c>
      <c r="M5831" s="0" t="n">
        <f aca="false">H5831</f>
        <v>-0.25</v>
      </c>
      <c r="N5831" s="0" t="n">
        <f aca="false">E5831*F5831</f>
        <v>0.75</v>
      </c>
      <c r="O5831" s="0" t="n">
        <f aca="false">E5831*G5831</f>
        <v>0.75</v>
      </c>
      <c r="P5831" s="0" t="n">
        <f aca="false">E5831*H5831</f>
        <v>-0.1875</v>
      </c>
      <c r="Q5831" s="0" t="n">
        <f aca="false">F5831*G5831</f>
        <v>1</v>
      </c>
      <c r="R5831" s="0" t="n">
        <f aca="false">F5831*H5831</f>
        <v>-0.25</v>
      </c>
      <c r="S5831" s="0" t="n">
        <f aca="false">G5831*H5831</f>
        <v>-0.25</v>
      </c>
      <c r="T5831" s="0" t="n">
        <f aca="false">E5831*E5831</f>
        <v>0.5625</v>
      </c>
      <c r="U5831" s="0" t="n">
        <f aca="false">F5831*F5831</f>
        <v>1</v>
      </c>
      <c r="V5831" s="0" t="n">
        <f aca="false">G5831*G5831</f>
        <v>1</v>
      </c>
      <c r="W5831" s="0" t="n">
        <f aca="false">H5831*H5831</f>
        <v>0.0625</v>
      </c>
      <c r="X5831" s="0" t="n">
        <f aca="false">SUMPRODUCT(I5831:W5831,_XtX!$B$96:$P$96)</f>
        <v>48.2735654239766</v>
      </c>
      <c r="Y5831" s="0" t="n">
        <f aca="false">SUMPRODUCT(MMULT(I5831:W5831,_XtX!$B$78:$P$92),I5831:W5831)</f>
        <v>0.621372155975877</v>
      </c>
      <c r="Z5831" s="0" t="n">
        <f aca="false">04_回帰ANOVA!$K$19*04_回帰ANOVA!$K$14*SQRT(1+Y5831)</f>
        <v>1.65973880499872</v>
      </c>
      <c r="AA5831" s="0" t="n">
        <f aca="false">X5831-Z5831</f>
        <v>46.6138266189779</v>
      </c>
      <c r="AB5831" s="0" t="n">
        <f aca="false">X5831+Z5831</f>
        <v>49.9333042289753</v>
      </c>
      <c r="AC5831" s="54" t="b">
        <f aca="false">AND(E5831&gt;=01_因子設定!$L$5-0.000000001,E5831&lt;=01_因子設定!$M$5+0.000000001,F5831&gt;=01_因子設定!$L$6-0.000000001,F5831&lt;=01_因子設定!$M$6+0.000000001,G5831&gt;=01_因子設定!$L$7-0.000000001,G5831&lt;=01_因子設定!$M$7+0.000000001,H5831&gt;=01_因子設定!$L$8-0.000000001,H5831&lt;=01_因子設定!$M$8+0.000000001,IF(01_因子設定!$B$20="Box-Behnken",E5831^2+F5831^2+G5831^2+H5831^2&lt;=2+0.000000001,TRUE()))</f>
        <v>1</v>
      </c>
      <c r="AD5831" s="55" t="n">
        <f aca="false">IF(AC5831,IF(01_因子設定!$B$13="最大化",AA5831-01_因子設定!$B$14,IF(01_因子設定!$B$13="最小化",01_因子設定!$B$15-AB5831,MIN(AA5831-01_因子設定!$B$14,01_因子設定!$B$15-AB5831))),-1E+030)</f>
        <v>0.113826618977882</v>
      </c>
      <c r="AE5831" s="55" t="n">
        <f aca="false">IF(AC5831,IF(01_因子設定!$B$13="最大化",X5831,IF(01_因子設定!$B$13="最小化",-X5831,-ABS(X5831-01_因子設定!$B$16))),-1E+030)</f>
        <v>48.2735654239766</v>
      </c>
      <c r="AF5831" s="55" t="n">
        <f aca="false">AD5831+ROW()*0.000000001</f>
        <v>0.113832449977882</v>
      </c>
      <c r="AG5831" s="55" t="n">
        <f aca="false">AE5831+ROW()*0.000000001</f>
        <v>48.2735712549766</v>
      </c>
    </row>
    <row r="5832" customFormat="false" ht="15" hidden="false" customHeight="false" outlineLevel="0" collapsed="false">
      <c r="A5832" s="0" t="n">
        <v>7</v>
      </c>
      <c r="B5832" s="0" t="n">
        <v>8</v>
      </c>
      <c r="C5832" s="0" t="n">
        <v>8</v>
      </c>
      <c r="D5832" s="0" t="n">
        <v>4</v>
      </c>
      <c r="E5832" s="0" t="n">
        <f aca="false">-1+A5832*0.25</f>
        <v>0.75</v>
      </c>
      <c r="F5832" s="0" t="n">
        <f aca="false">-1+B5832*0.25</f>
        <v>1</v>
      </c>
      <c r="G5832" s="0" t="n">
        <f aca="false">-1+C5832*0.25</f>
        <v>1</v>
      </c>
      <c r="H5832" s="0" t="n">
        <f aca="false">-1+D5832*0.25</f>
        <v>0</v>
      </c>
      <c r="I5832" s="0" t="n">
        <f aca="false">1</f>
        <v>1</v>
      </c>
      <c r="J5832" s="0" t="n">
        <f aca="false">E5832</f>
        <v>0.75</v>
      </c>
      <c r="K5832" s="0" t="n">
        <f aca="false">F5832</f>
        <v>1</v>
      </c>
      <c r="L5832" s="0" t="n">
        <f aca="false">G5832</f>
        <v>1</v>
      </c>
      <c r="M5832" s="0" t="n">
        <f aca="false">H5832</f>
        <v>0</v>
      </c>
      <c r="N5832" s="0" t="n">
        <f aca="false">E5832*F5832</f>
        <v>0.75</v>
      </c>
      <c r="O5832" s="0" t="n">
        <f aca="false">E5832*G5832</f>
        <v>0.75</v>
      </c>
      <c r="P5832" s="0" t="n">
        <f aca="false">E5832*H5832</f>
        <v>0</v>
      </c>
      <c r="Q5832" s="0" t="n">
        <f aca="false">F5832*G5832</f>
        <v>1</v>
      </c>
      <c r="R5832" s="0" t="n">
        <f aca="false">F5832*H5832</f>
        <v>0</v>
      </c>
      <c r="S5832" s="0" t="n">
        <f aca="false">G5832*H5832</f>
        <v>0</v>
      </c>
      <c r="T5832" s="0" t="n">
        <f aca="false">E5832*E5832</f>
        <v>0.5625</v>
      </c>
      <c r="U5832" s="0" t="n">
        <f aca="false">F5832*F5832</f>
        <v>1</v>
      </c>
      <c r="V5832" s="0" t="n">
        <f aca="false">G5832*G5832</f>
        <v>1</v>
      </c>
      <c r="W5832" s="0" t="n">
        <f aca="false">H5832*H5832</f>
        <v>0</v>
      </c>
      <c r="X5832" s="0" t="n">
        <f aca="false">SUMPRODUCT(I5832:W5832,_XtX!$B$96:$P$96)</f>
        <v>48.4410453216374</v>
      </c>
      <c r="Y5832" s="0" t="n">
        <f aca="false">SUMPRODUCT(MMULT(I5832:W5832,_XtX!$B$78:$P$92),I5832:W5832)</f>
        <v>0.646198830409357</v>
      </c>
      <c r="Z5832" s="0" t="n">
        <f aca="false">04_回帰ANOVA!$K$19*04_回帰ANOVA!$K$14*SQRT(1+Y5832)</f>
        <v>1.67239760569756</v>
      </c>
      <c r="AA5832" s="0" t="n">
        <f aca="false">X5832-Z5832</f>
        <v>46.7686477159399</v>
      </c>
      <c r="AB5832" s="0" t="n">
        <f aca="false">X5832+Z5832</f>
        <v>50.113442927335</v>
      </c>
      <c r="AC5832" s="54" t="b">
        <f aca="false">AND(E5832&gt;=01_因子設定!$L$5-0.000000001,E5832&lt;=01_因子設定!$M$5+0.000000001,F5832&gt;=01_因子設定!$L$6-0.000000001,F5832&lt;=01_因子設定!$M$6+0.000000001,G5832&gt;=01_因子設定!$L$7-0.000000001,G5832&lt;=01_因子設定!$M$7+0.000000001,H5832&gt;=01_因子設定!$L$8-0.000000001,H5832&lt;=01_因子設定!$M$8+0.000000001,IF(01_因子設定!$B$20="Box-Behnken",E5832^2+F5832^2+G5832^2+H5832^2&lt;=2+0.000000001,TRUE()))</f>
        <v>1</v>
      </c>
      <c r="AD5832" s="55" t="n">
        <f aca="false">IF(AC5832,IF(01_因子設定!$B$13="最大化",AA5832-01_因子設定!$B$14,IF(01_因子設定!$B$13="最小化",01_因子設定!$B$15-AB5832,MIN(AA5832-01_因子設定!$B$14,01_因子設定!$B$15-AB5832))),-1E+030)</f>
        <v>0.268647715939864</v>
      </c>
      <c r="AE5832" s="55" t="n">
        <f aca="false">IF(AC5832,IF(01_因子設定!$B$13="最大化",X5832,IF(01_因子設定!$B$13="最小化",-X5832,-ABS(X5832-01_因子設定!$B$16))),-1E+030)</f>
        <v>48.4410453216374</v>
      </c>
      <c r="AF5832" s="55" t="n">
        <f aca="false">AD5832+ROW()*0.000000001</f>
        <v>0.268653547939863</v>
      </c>
      <c r="AG5832" s="55" t="n">
        <f aca="false">AE5832+ROW()*0.000000001</f>
        <v>48.4410511536374</v>
      </c>
    </row>
    <row r="5833" customFormat="false" ht="15" hidden="false" customHeight="false" outlineLevel="0" collapsed="false">
      <c r="A5833" s="0" t="n">
        <v>7</v>
      </c>
      <c r="B5833" s="0" t="n">
        <v>8</v>
      </c>
      <c r="C5833" s="0" t="n">
        <v>8</v>
      </c>
      <c r="D5833" s="0" t="n">
        <v>5</v>
      </c>
      <c r="E5833" s="0" t="n">
        <f aca="false">-1+A5833*0.25</f>
        <v>0.75</v>
      </c>
      <c r="F5833" s="0" t="n">
        <f aca="false">-1+B5833*0.25</f>
        <v>1</v>
      </c>
      <c r="G5833" s="0" t="n">
        <f aca="false">-1+C5833*0.25</f>
        <v>1</v>
      </c>
      <c r="H5833" s="0" t="n">
        <f aca="false">-1+D5833*0.25</f>
        <v>0.25</v>
      </c>
      <c r="I5833" s="0" t="n">
        <f aca="false">1</f>
        <v>1</v>
      </c>
      <c r="J5833" s="0" t="n">
        <f aca="false">E5833</f>
        <v>0.75</v>
      </c>
      <c r="K5833" s="0" t="n">
        <f aca="false">F5833</f>
        <v>1</v>
      </c>
      <c r="L5833" s="0" t="n">
        <f aca="false">G5833</f>
        <v>1</v>
      </c>
      <c r="M5833" s="0" t="n">
        <f aca="false">H5833</f>
        <v>0.25</v>
      </c>
      <c r="N5833" s="0" t="n">
        <f aca="false">E5833*F5833</f>
        <v>0.75</v>
      </c>
      <c r="O5833" s="0" t="n">
        <f aca="false">E5833*G5833</f>
        <v>0.75</v>
      </c>
      <c r="P5833" s="0" t="n">
        <f aca="false">E5833*H5833</f>
        <v>0.1875</v>
      </c>
      <c r="Q5833" s="0" t="n">
        <f aca="false">F5833*G5833</f>
        <v>1</v>
      </c>
      <c r="R5833" s="0" t="n">
        <f aca="false">F5833*H5833</f>
        <v>0.25</v>
      </c>
      <c r="S5833" s="0" t="n">
        <f aca="false">G5833*H5833</f>
        <v>0.25</v>
      </c>
      <c r="T5833" s="0" t="n">
        <f aca="false">E5833*E5833</f>
        <v>0.5625</v>
      </c>
      <c r="U5833" s="0" t="n">
        <f aca="false">F5833*F5833</f>
        <v>1</v>
      </c>
      <c r="V5833" s="0" t="n">
        <f aca="false">G5833*G5833</f>
        <v>1</v>
      </c>
      <c r="W5833" s="0" t="n">
        <f aca="false">H5833*H5833</f>
        <v>0.0625</v>
      </c>
      <c r="X5833" s="0" t="n">
        <f aca="false">SUMPRODUCT(I5833:W5833,_XtX!$B$96:$P$96)</f>
        <v>48.5607182017544</v>
      </c>
      <c r="Y5833" s="0" t="n">
        <f aca="false">SUMPRODUCT(MMULT(I5833:W5833,_XtX!$B$78:$P$92),I5833:W5833)</f>
        <v>0.621372155975877</v>
      </c>
      <c r="Z5833" s="0" t="n">
        <f aca="false">04_回帰ANOVA!$K$19*04_回帰ANOVA!$K$14*SQRT(1+Y5833)</f>
        <v>1.65973880499872</v>
      </c>
      <c r="AA5833" s="0" t="n">
        <f aca="false">X5833-Z5833</f>
        <v>46.9009793967557</v>
      </c>
      <c r="AB5833" s="0" t="n">
        <f aca="false">X5833+Z5833</f>
        <v>50.2204570067531</v>
      </c>
      <c r="AC5833" s="54" t="b">
        <f aca="false">AND(E5833&gt;=01_因子設定!$L$5-0.000000001,E5833&lt;=01_因子設定!$M$5+0.000000001,F5833&gt;=01_因子設定!$L$6-0.000000001,F5833&lt;=01_因子設定!$M$6+0.000000001,G5833&gt;=01_因子設定!$L$7-0.000000001,G5833&lt;=01_因子設定!$M$7+0.000000001,H5833&gt;=01_因子設定!$L$8-0.000000001,H5833&lt;=01_因子設定!$M$8+0.000000001,IF(01_因子設定!$B$20="Box-Behnken",E5833^2+F5833^2+G5833^2+H5833^2&lt;=2+0.000000001,TRUE()))</f>
        <v>1</v>
      </c>
      <c r="AD5833" s="55" t="n">
        <f aca="false">IF(AC5833,IF(01_因子設定!$B$13="最大化",AA5833-01_因子設定!$B$14,IF(01_因子設定!$B$13="最小化",01_因子設定!$B$15-AB5833,MIN(AA5833-01_因子設定!$B$14,01_因子設定!$B$15-AB5833))),-1E+030)</f>
        <v>0.400979396755659</v>
      </c>
      <c r="AE5833" s="55" t="n">
        <f aca="false">IF(AC5833,IF(01_因子設定!$B$13="最大化",X5833,IF(01_因子設定!$B$13="最小化",-X5833,-ABS(X5833-01_因子設定!$B$16))),-1E+030)</f>
        <v>48.5607182017544</v>
      </c>
      <c r="AF5833" s="55" t="n">
        <f aca="false">AD5833+ROW()*0.000000001</f>
        <v>0.400985229755659</v>
      </c>
      <c r="AG5833" s="55" t="n">
        <f aca="false">AE5833+ROW()*0.000000001</f>
        <v>48.5607240347544</v>
      </c>
    </row>
    <row r="5834" customFormat="false" ht="15" hidden="false" customHeight="false" outlineLevel="0" collapsed="false">
      <c r="A5834" s="0" t="n">
        <v>7</v>
      </c>
      <c r="B5834" s="0" t="n">
        <v>8</v>
      </c>
      <c r="C5834" s="0" t="n">
        <v>8</v>
      </c>
      <c r="D5834" s="0" t="n">
        <v>6</v>
      </c>
      <c r="E5834" s="0" t="n">
        <f aca="false">-1+A5834*0.25</f>
        <v>0.75</v>
      </c>
      <c r="F5834" s="0" t="n">
        <f aca="false">-1+B5834*0.25</f>
        <v>1</v>
      </c>
      <c r="G5834" s="0" t="n">
        <f aca="false">-1+C5834*0.25</f>
        <v>1</v>
      </c>
      <c r="H5834" s="0" t="n">
        <f aca="false">-1+D5834*0.25</f>
        <v>0.5</v>
      </c>
      <c r="I5834" s="0" t="n">
        <f aca="false">1</f>
        <v>1</v>
      </c>
      <c r="J5834" s="0" t="n">
        <f aca="false">E5834</f>
        <v>0.75</v>
      </c>
      <c r="K5834" s="0" t="n">
        <f aca="false">F5834</f>
        <v>1</v>
      </c>
      <c r="L5834" s="0" t="n">
        <f aca="false">G5834</f>
        <v>1</v>
      </c>
      <c r="M5834" s="0" t="n">
        <f aca="false">H5834</f>
        <v>0.5</v>
      </c>
      <c r="N5834" s="0" t="n">
        <f aca="false">E5834*F5834</f>
        <v>0.75</v>
      </c>
      <c r="O5834" s="0" t="n">
        <f aca="false">E5834*G5834</f>
        <v>0.75</v>
      </c>
      <c r="P5834" s="0" t="n">
        <f aca="false">E5834*H5834</f>
        <v>0.375</v>
      </c>
      <c r="Q5834" s="0" t="n">
        <f aca="false">F5834*G5834</f>
        <v>1</v>
      </c>
      <c r="R5834" s="0" t="n">
        <f aca="false">F5834*H5834</f>
        <v>0.5</v>
      </c>
      <c r="S5834" s="0" t="n">
        <f aca="false">G5834*H5834</f>
        <v>0.5</v>
      </c>
      <c r="T5834" s="0" t="n">
        <f aca="false">E5834*E5834</f>
        <v>0.5625</v>
      </c>
      <c r="U5834" s="0" t="n">
        <f aca="false">F5834*F5834</f>
        <v>1</v>
      </c>
      <c r="V5834" s="0" t="n">
        <f aca="false">G5834*G5834</f>
        <v>1</v>
      </c>
      <c r="W5834" s="0" t="n">
        <f aca="false">H5834*H5834</f>
        <v>0.25</v>
      </c>
      <c r="X5834" s="0" t="n">
        <f aca="false">SUMPRODUCT(I5834:W5834,_XtX!$B$96:$P$96)</f>
        <v>48.6325840643275</v>
      </c>
      <c r="Y5834" s="0" t="n">
        <f aca="false">SUMPRODUCT(MMULT(I5834:W5834,_XtX!$B$78:$P$92),I5834:W5834)</f>
        <v>0.564984237938597</v>
      </c>
      <c r="Z5834" s="0" t="n">
        <f aca="false">04_回帰ANOVA!$K$19*04_回帰ANOVA!$K$14*SQRT(1+Y5834)</f>
        <v>1.63062229734503</v>
      </c>
      <c r="AA5834" s="0" t="n">
        <f aca="false">X5834-Z5834</f>
        <v>47.0019617669825</v>
      </c>
      <c r="AB5834" s="0" t="n">
        <f aca="false">X5834+Z5834</f>
        <v>50.2632063616725</v>
      </c>
      <c r="AC5834" s="54" t="b">
        <f aca="false">AND(E5834&gt;=01_因子設定!$L$5-0.000000001,E5834&lt;=01_因子設定!$M$5+0.000000001,F5834&gt;=01_因子設定!$L$6-0.000000001,F5834&lt;=01_因子設定!$M$6+0.000000001,G5834&gt;=01_因子設定!$L$7-0.000000001,G5834&lt;=01_因子設定!$M$7+0.000000001,H5834&gt;=01_因子設定!$L$8-0.000000001,H5834&lt;=01_因子設定!$M$8+0.000000001,IF(01_因子設定!$B$20="Box-Behnken",E5834^2+F5834^2+G5834^2+H5834^2&lt;=2+0.000000001,TRUE()))</f>
        <v>1</v>
      </c>
      <c r="AD5834" s="55" t="n">
        <f aca="false">IF(AC5834,IF(01_因子設定!$B$13="最大化",AA5834-01_因子設定!$B$14,IF(01_因子設定!$B$13="最小化",01_因子設定!$B$15-AB5834,MIN(AA5834-01_因子設定!$B$14,01_因子設定!$B$15-AB5834))),-1E+030)</f>
        <v>0.501961766982447</v>
      </c>
      <c r="AE5834" s="55" t="n">
        <f aca="false">IF(AC5834,IF(01_因子設定!$B$13="最大化",X5834,IF(01_因子設定!$B$13="最小化",-X5834,-ABS(X5834-01_因子設定!$B$16))),-1E+030)</f>
        <v>48.6325840643275</v>
      </c>
      <c r="AF5834" s="55" t="n">
        <f aca="false">AD5834+ROW()*0.000000001</f>
        <v>0.501967600982447</v>
      </c>
      <c r="AG5834" s="55" t="n">
        <f aca="false">AE5834+ROW()*0.000000001</f>
        <v>48.6325898983275</v>
      </c>
    </row>
    <row r="5835" customFormat="false" ht="15" hidden="false" customHeight="false" outlineLevel="0" collapsed="false">
      <c r="A5835" s="0" t="n">
        <v>7</v>
      </c>
      <c r="B5835" s="0" t="n">
        <v>8</v>
      </c>
      <c r="C5835" s="0" t="n">
        <v>8</v>
      </c>
      <c r="D5835" s="0" t="n">
        <v>7</v>
      </c>
      <c r="E5835" s="0" t="n">
        <f aca="false">-1+A5835*0.25</f>
        <v>0.75</v>
      </c>
      <c r="F5835" s="0" t="n">
        <f aca="false">-1+B5835*0.25</f>
        <v>1</v>
      </c>
      <c r="G5835" s="0" t="n">
        <f aca="false">-1+C5835*0.25</f>
        <v>1</v>
      </c>
      <c r="H5835" s="0" t="n">
        <f aca="false">-1+D5835*0.25</f>
        <v>0.75</v>
      </c>
      <c r="I5835" s="0" t="n">
        <f aca="false">1</f>
        <v>1</v>
      </c>
      <c r="J5835" s="0" t="n">
        <f aca="false">E5835</f>
        <v>0.75</v>
      </c>
      <c r="K5835" s="0" t="n">
        <f aca="false">F5835</f>
        <v>1</v>
      </c>
      <c r="L5835" s="0" t="n">
        <f aca="false">G5835</f>
        <v>1</v>
      </c>
      <c r="M5835" s="0" t="n">
        <f aca="false">H5835</f>
        <v>0.75</v>
      </c>
      <c r="N5835" s="0" t="n">
        <f aca="false">E5835*F5835</f>
        <v>0.75</v>
      </c>
      <c r="O5835" s="0" t="n">
        <f aca="false">E5835*G5835</f>
        <v>0.75</v>
      </c>
      <c r="P5835" s="0" t="n">
        <f aca="false">E5835*H5835</f>
        <v>0.5625</v>
      </c>
      <c r="Q5835" s="0" t="n">
        <f aca="false">F5835*G5835</f>
        <v>1</v>
      </c>
      <c r="R5835" s="0" t="n">
        <f aca="false">F5835*H5835</f>
        <v>0.75</v>
      </c>
      <c r="S5835" s="0" t="n">
        <f aca="false">G5835*H5835</f>
        <v>0.75</v>
      </c>
      <c r="T5835" s="0" t="n">
        <f aca="false">E5835*E5835</f>
        <v>0.5625</v>
      </c>
      <c r="U5835" s="0" t="n">
        <f aca="false">F5835*F5835</f>
        <v>1</v>
      </c>
      <c r="V5835" s="0" t="n">
        <f aca="false">G5835*G5835</f>
        <v>1</v>
      </c>
      <c r="W5835" s="0" t="n">
        <f aca="false">H5835*H5835</f>
        <v>0.5625</v>
      </c>
      <c r="X5835" s="0" t="n">
        <f aca="false">SUMPRODUCT(I5835:W5835,_XtX!$B$96:$P$96)</f>
        <v>48.6566429093567</v>
      </c>
      <c r="Y5835" s="0" t="n">
        <f aca="false">SUMPRODUCT(MMULT(I5835:W5835,_XtX!$B$78:$P$92),I5835:W5835)</f>
        <v>0.531311392086988</v>
      </c>
      <c r="Z5835" s="0" t="n">
        <f aca="false">04_回帰ANOVA!$K$19*04_回帰ANOVA!$K$14*SQRT(1+Y5835)</f>
        <v>1.61298433431428</v>
      </c>
      <c r="AA5835" s="0" t="n">
        <f aca="false">X5835-Z5835</f>
        <v>47.0436585750425</v>
      </c>
      <c r="AB5835" s="0" t="n">
        <f aca="false">X5835+Z5835</f>
        <v>50.269627243671</v>
      </c>
      <c r="AC5835" s="54" t="b">
        <f aca="false">AND(E5835&gt;=01_因子設定!$L$5-0.000000001,E5835&lt;=01_因子設定!$M$5+0.000000001,F5835&gt;=01_因子設定!$L$6-0.000000001,F5835&lt;=01_因子設定!$M$6+0.000000001,G5835&gt;=01_因子設定!$L$7-0.000000001,G5835&lt;=01_因子設定!$M$7+0.000000001,H5835&gt;=01_因子設定!$L$8-0.000000001,H5835&lt;=01_因子設定!$M$8+0.000000001,IF(01_因子設定!$B$20="Box-Behnken",E5835^2+F5835^2+G5835^2+H5835^2&lt;=2+0.000000001,TRUE()))</f>
        <v>1</v>
      </c>
      <c r="AD5835" s="55" t="n">
        <f aca="false">IF(AC5835,IF(01_因子設定!$B$13="最大化",AA5835-01_因子設定!$B$14,IF(01_因子設定!$B$13="最小化",01_因子設定!$B$15-AB5835,MIN(AA5835-01_因子設定!$B$14,01_因子設定!$B$15-AB5835))),-1E+030)</f>
        <v>0.54365857504245</v>
      </c>
      <c r="AE5835" s="55" t="n">
        <f aca="false">IF(AC5835,IF(01_因子設定!$B$13="最大化",X5835,IF(01_因子設定!$B$13="最小化",-X5835,-ABS(X5835-01_因子設定!$B$16))),-1E+030)</f>
        <v>48.6566429093567</v>
      </c>
      <c r="AF5835" s="55" t="n">
        <f aca="false">AD5835+ROW()*0.000000001</f>
        <v>0.54366441004245</v>
      </c>
      <c r="AG5835" s="55" t="n">
        <f aca="false">AE5835+ROW()*0.000000001</f>
        <v>48.6566487443567</v>
      </c>
    </row>
    <row r="5836" customFormat="false" ht="15" hidden="false" customHeight="false" outlineLevel="0" collapsed="false">
      <c r="A5836" s="0" t="n">
        <v>7</v>
      </c>
      <c r="B5836" s="0" t="n">
        <v>8</v>
      </c>
      <c r="C5836" s="0" t="n">
        <v>8</v>
      </c>
      <c r="D5836" s="0" t="n">
        <v>8</v>
      </c>
      <c r="E5836" s="0" t="n">
        <f aca="false">-1+A5836*0.25</f>
        <v>0.75</v>
      </c>
      <c r="F5836" s="0" t="n">
        <f aca="false">-1+B5836*0.25</f>
        <v>1</v>
      </c>
      <c r="G5836" s="0" t="n">
        <f aca="false">-1+C5836*0.25</f>
        <v>1</v>
      </c>
      <c r="H5836" s="0" t="n">
        <f aca="false">-1+D5836*0.25</f>
        <v>1</v>
      </c>
      <c r="I5836" s="0" t="n">
        <f aca="false">1</f>
        <v>1</v>
      </c>
      <c r="J5836" s="0" t="n">
        <f aca="false">E5836</f>
        <v>0.75</v>
      </c>
      <c r="K5836" s="0" t="n">
        <f aca="false">F5836</f>
        <v>1</v>
      </c>
      <c r="L5836" s="0" t="n">
        <f aca="false">G5836</f>
        <v>1</v>
      </c>
      <c r="M5836" s="0" t="n">
        <f aca="false">H5836</f>
        <v>1</v>
      </c>
      <c r="N5836" s="0" t="n">
        <f aca="false">E5836*F5836</f>
        <v>0.75</v>
      </c>
      <c r="O5836" s="0" t="n">
        <f aca="false">E5836*G5836</f>
        <v>0.75</v>
      </c>
      <c r="P5836" s="0" t="n">
        <f aca="false">E5836*H5836</f>
        <v>0.75</v>
      </c>
      <c r="Q5836" s="0" t="n">
        <f aca="false">F5836*G5836</f>
        <v>1</v>
      </c>
      <c r="R5836" s="0" t="n">
        <f aca="false">F5836*H5836</f>
        <v>1</v>
      </c>
      <c r="S5836" s="0" t="n">
        <f aca="false">G5836*H5836</f>
        <v>1</v>
      </c>
      <c r="T5836" s="0" t="n">
        <f aca="false">E5836*E5836</f>
        <v>0.5625</v>
      </c>
      <c r="U5836" s="0" t="n">
        <f aca="false">F5836*F5836</f>
        <v>1</v>
      </c>
      <c r="V5836" s="0" t="n">
        <f aca="false">G5836*G5836</f>
        <v>1</v>
      </c>
      <c r="W5836" s="0" t="n">
        <f aca="false">H5836*H5836</f>
        <v>1</v>
      </c>
      <c r="X5836" s="0" t="n">
        <f aca="false">SUMPRODUCT(I5836:W5836,_XtX!$B$96:$P$96)</f>
        <v>48.6328947368421</v>
      </c>
      <c r="Y5836" s="0" t="n">
        <f aca="false">SUMPRODUCT(MMULT(I5836:W5836,_XtX!$B$78:$P$92),I5836:W5836)</f>
        <v>0.610814144736842</v>
      </c>
      <c r="Z5836" s="0" t="n">
        <f aca="false">04_回帰ANOVA!$K$19*04_回帰ANOVA!$K$14*SQRT(1+Y5836)</f>
        <v>1.6543260558361</v>
      </c>
      <c r="AA5836" s="0" t="n">
        <f aca="false">X5836-Z5836</f>
        <v>46.978568681006</v>
      </c>
      <c r="AB5836" s="0" t="n">
        <f aca="false">X5836+Z5836</f>
        <v>50.2872207926782</v>
      </c>
      <c r="AC5836" s="54" t="b">
        <f aca="false">AND(E5836&gt;=01_因子設定!$L$5-0.000000001,E5836&lt;=01_因子設定!$M$5+0.000000001,F5836&gt;=01_因子設定!$L$6-0.000000001,F5836&lt;=01_因子設定!$M$6+0.000000001,G5836&gt;=01_因子設定!$L$7-0.000000001,G5836&lt;=01_因子設定!$M$7+0.000000001,H5836&gt;=01_因子設定!$L$8-0.000000001,H5836&lt;=01_因子設定!$M$8+0.000000001,IF(01_因子設定!$B$20="Box-Behnken",E5836^2+F5836^2+G5836^2+H5836^2&lt;=2+0.000000001,TRUE()))</f>
        <v>1</v>
      </c>
      <c r="AD5836" s="55" t="n">
        <f aca="false">IF(AC5836,IF(01_因子設定!$B$13="最大化",AA5836-01_因子設定!$B$14,IF(01_因子設定!$B$13="最小化",01_因子設定!$B$15-AB5836,MIN(AA5836-01_因子設定!$B$14,01_因子設定!$B$15-AB5836))),-1E+030)</f>
        <v>0.478568681006038</v>
      </c>
      <c r="AE5836" s="55" t="n">
        <f aca="false">IF(AC5836,IF(01_因子設定!$B$13="最大化",X5836,IF(01_因子設定!$B$13="最小化",-X5836,-ABS(X5836-01_因子設定!$B$16))),-1E+030)</f>
        <v>48.6328947368421</v>
      </c>
      <c r="AF5836" s="55" t="n">
        <f aca="false">AD5836+ROW()*0.000000001</f>
        <v>0.478574517006038</v>
      </c>
      <c r="AG5836" s="55" t="n">
        <f aca="false">AE5836+ROW()*0.000000001</f>
        <v>48.6329005728421</v>
      </c>
    </row>
    <row r="5837" customFormat="false" ht="15" hidden="false" customHeight="false" outlineLevel="0" collapsed="false">
      <c r="A5837" s="0" t="n">
        <v>8</v>
      </c>
      <c r="B5837" s="0" t="n">
        <v>0</v>
      </c>
      <c r="C5837" s="0" t="n">
        <v>0</v>
      </c>
      <c r="D5837" s="0" t="n">
        <v>0</v>
      </c>
      <c r="E5837" s="0" t="n">
        <f aca="false">-1+A5837*0.25</f>
        <v>1</v>
      </c>
      <c r="F5837" s="0" t="n">
        <f aca="false">-1+B5837*0.25</f>
        <v>-1</v>
      </c>
      <c r="G5837" s="0" t="n">
        <f aca="false">-1+C5837*0.25</f>
        <v>-1</v>
      </c>
      <c r="H5837" s="0" t="n">
        <f aca="false">-1+D5837*0.25</f>
        <v>-1</v>
      </c>
      <c r="I5837" s="0" t="n">
        <f aca="false">1</f>
        <v>1</v>
      </c>
      <c r="J5837" s="0" t="n">
        <f aca="false">E5837</f>
        <v>1</v>
      </c>
      <c r="K5837" s="0" t="n">
        <f aca="false">F5837</f>
        <v>-1</v>
      </c>
      <c r="L5837" s="0" t="n">
        <f aca="false">G5837</f>
        <v>-1</v>
      </c>
      <c r="M5837" s="0" t="n">
        <f aca="false">H5837</f>
        <v>-1</v>
      </c>
      <c r="N5837" s="0" t="n">
        <f aca="false">E5837*F5837</f>
        <v>-1</v>
      </c>
      <c r="O5837" s="0" t="n">
        <f aca="false">E5837*G5837</f>
        <v>-1</v>
      </c>
      <c r="P5837" s="0" t="n">
        <f aca="false">E5837*H5837</f>
        <v>-1</v>
      </c>
      <c r="Q5837" s="0" t="n">
        <f aca="false">F5837*G5837</f>
        <v>1</v>
      </c>
      <c r="R5837" s="0" t="n">
        <f aca="false">F5837*H5837</f>
        <v>1</v>
      </c>
      <c r="S5837" s="0" t="n">
        <f aca="false">G5837*H5837</f>
        <v>1</v>
      </c>
      <c r="T5837" s="0" t="n">
        <f aca="false">E5837*E5837</f>
        <v>1</v>
      </c>
      <c r="U5837" s="0" t="n">
        <f aca="false">F5837*F5837</f>
        <v>1</v>
      </c>
      <c r="V5837" s="0" t="n">
        <f aca="false">G5837*G5837</f>
        <v>1</v>
      </c>
      <c r="W5837" s="0" t="n">
        <f aca="false">H5837*H5837</f>
        <v>1</v>
      </c>
      <c r="X5837" s="0" t="n">
        <f aca="false">SUMPRODUCT(I5837:W5837,_XtX!$B$96:$P$96)</f>
        <v>39.9877923976609</v>
      </c>
      <c r="Y5837" s="0" t="n">
        <f aca="false">SUMPRODUCT(MMULT(I5837:W5837,_XtX!$B$78:$P$92),I5837:W5837)</f>
        <v>0.658625730994152</v>
      </c>
      <c r="Z5837" s="0" t="n">
        <f aca="false">04_回帰ANOVA!$K$19*04_回帰ANOVA!$K$14*SQRT(1+Y5837)</f>
        <v>1.67869807328422</v>
      </c>
      <c r="AA5837" s="0" t="n">
        <f aca="false">X5837-Z5837</f>
        <v>38.3090943243767</v>
      </c>
      <c r="AB5837" s="0" t="n">
        <f aca="false">X5837+Z5837</f>
        <v>41.6664904709451</v>
      </c>
      <c r="AC5837" s="54" t="b">
        <f aca="false">AND(E5837&gt;=01_因子設定!$L$5-0.000000001,E5837&lt;=01_因子設定!$M$5+0.000000001,F5837&gt;=01_因子設定!$L$6-0.000000001,F5837&lt;=01_因子設定!$M$6+0.000000001,G5837&gt;=01_因子設定!$L$7-0.000000001,G5837&lt;=01_因子設定!$M$7+0.000000001,H5837&gt;=01_因子設定!$L$8-0.000000001,H5837&lt;=01_因子設定!$M$8+0.000000001,IF(01_因子設定!$B$20="Box-Behnken",E5837^2+F5837^2+G5837^2+H5837^2&lt;=2+0.000000001,TRUE()))</f>
        <v>1</v>
      </c>
      <c r="AD5837" s="55" t="n">
        <f aca="false">IF(AC5837,IF(01_因子設定!$B$13="最大化",AA5837-01_因子設定!$B$14,IF(01_因子設定!$B$13="最小化",01_因子設定!$B$15-AB5837,MIN(AA5837-01_因子設定!$B$14,01_因子設定!$B$15-AB5837))),-1E+030)</f>
        <v>-8.19090567562334</v>
      </c>
      <c r="AE5837" s="55" t="n">
        <f aca="false">IF(AC5837,IF(01_因子設定!$B$13="最大化",X5837,IF(01_因子設定!$B$13="最小化",-X5837,-ABS(X5837-01_因子設定!$B$16))),-1E+030)</f>
        <v>39.9877923976609</v>
      </c>
      <c r="AF5837" s="55" t="n">
        <f aca="false">AD5837+ROW()*0.000000001</f>
        <v>-8.19089983862334</v>
      </c>
      <c r="AG5837" s="55" t="n">
        <f aca="false">AE5837+ROW()*0.000000001</f>
        <v>39.9877982346609</v>
      </c>
    </row>
    <row r="5838" customFormat="false" ht="15" hidden="false" customHeight="false" outlineLevel="0" collapsed="false">
      <c r="A5838" s="0" t="n">
        <v>8</v>
      </c>
      <c r="B5838" s="0" t="n">
        <v>0</v>
      </c>
      <c r="C5838" s="0" t="n">
        <v>0</v>
      </c>
      <c r="D5838" s="0" t="n">
        <v>1</v>
      </c>
      <c r="E5838" s="0" t="n">
        <f aca="false">-1+A5838*0.25</f>
        <v>1</v>
      </c>
      <c r="F5838" s="0" t="n">
        <f aca="false">-1+B5838*0.25</f>
        <v>-1</v>
      </c>
      <c r="G5838" s="0" t="n">
        <f aca="false">-1+C5838*0.25</f>
        <v>-1</v>
      </c>
      <c r="H5838" s="0" t="n">
        <f aca="false">-1+D5838*0.25</f>
        <v>-0.75</v>
      </c>
      <c r="I5838" s="0" t="n">
        <f aca="false">1</f>
        <v>1</v>
      </c>
      <c r="J5838" s="0" t="n">
        <f aca="false">E5838</f>
        <v>1</v>
      </c>
      <c r="K5838" s="0" t="n">
        <f aca="false">F5838</f>
        <v>-1</v>
      </c>
      <c r="L5838" s="0" t="n">
        <f aca="false">G5838</f>
        <v>-1</v>
      </c>
      <c r="M5838" s="0" t="n">
        <f aca="false">H5838</f>
        <v>-0.75</v>
      </c>
      <c r="N5838" s="0" t="n">
        <f aca="false">E5838*F5838</f>
        <v>-1</v>
      </c>
      <c r="O5838" s="0" t="n">
        <f aca="false">E5838*G5838</f>
        <v>-1</v>
      </c>
      <c r="P5838" s="0" t="n">
        <f aca="false">E5838*H5838</f>
        <v>-0.75</v>
      </c>
      <c r="Q5838" s="0" t="n">
        <f aca="false">F5838*G5838</f>
        <v>1</v>
      </c>
      <c r="R5838" s="0" t="n">
        <f aca="false">F5838*H5838</f>
        <v>0.75</v>
      </c>
      <c r="S5838" s="0" t="n">
        <f aca="false">G5838*H5838</f>
        <v>0.75</v>
      </c>
      <c r="T5838" s="0" t="n">
        <f aca="false">E5838*E5838</f>
        <v>1</v>
      </c>
      <c r="U5838" s="0" t="n">
        <f aca="false">F5838*F5838</f>
        <v>1</v>
      </c>
      <c r="V5838" s="0" t="n">
        <f aca="false">G5838*G5838</f>
        <v>1</v>
      </c>
      <c r="W5838" s="0" t="n">
        <f aca="false">H5838*H5838</f>
        <v>0.5625</v>
      </c>
      <c r="X5838" s="0" t="n">
        <f aca="false">SUMPRODUCT(I5838:W5838,_XtX!$B$96:$P$96)</f>
        <v>40.2690058479533</v>
      </c>
      <c r="Y5838" s="0" t="n">
        <f aca="false">SUMPRODUCT(MMULT(I5838:W5838,_XtX!$B$78:$P$92),I5838:W5838)</f>
        <v>0.610814144736842</v>
      </c>
      <c r="Z5838" s="0" t="n">
        <f aca="false">04_回帰ANOVA!$K$19*04_回帰ANOVA!$K$14*SQRT(1+Y5838)</f>
        <v>1.6543260558361</v>
      </c>
      <c r="AA5838" s="0" t="n">
        <f aca="false">X5838-Z5838</f>
        <v>38.6146797921172</v>
      </c>
      <c r="AB5838" s="0" t="n">
        <f aca="false">X5838+Z5838</f>
        <v>41.9233319037894</v>
      </c>
      <c r="AC5838" s="54" t="b">
        <f aca="false">AND(E5838&gt;=01_因子設定!$L$5-0.000000001,E5838&lt;=01_因子設定!$M$5+0.000000001,F5838&gt;=01_因子設定!$L$6-0.000000001,F5838&lt;=01_因子設定!$M$6+0.000000001,G5838&gt;=01_因子設定!$L$7-0.000000001,G5838&lt;=01_因子設定!$M$7+0.000000001,H5838&gt;=01_因子設定!$L$8-0.000000001,H5838&lt;=01_因子設定!$M$8+0.000000001,IF(01_因子設定!$B$20="Box-Behnken",E5838^2+F5838^2+G5838^2+H5838^2&lt;=2+0.000000001,TRUE()))</f>
        <v>1</v>
      </c>
      <c r="AD5838" s="55" t="n">
        <f aca="false">IF(AC5838,IF(01_因子設定!$B$13="最大化",AA5838-01_因子設定!$B$14,IF(01_因子設定!$B$13="最小化",01_因子設定!$B$15-AB5838,MIN(AA5838-01_因子設定!$B$14,01_因子設定!$B$15-AB5838))),-1E+030)</f>
        <v>-7.88532020788283</v>
      </c>
      <c r="AE5838" s="55" t="n">
        <f aca="false">IF(AC5838,IF(01_因子設定!$B$13="最大化",X5838,IF(01_因子設定!$B$13="最小化",-X5838,-ABS(X5838-01_因子設定!$B$16))),-1E+030)</f>
        <v>40.2690058479533</v>
      </c>
      <c r="AF5838" s="55" t="n">
        <f aca="false">AD5838+ROW()*0.000000001</f>
        <v>-7.88531436988283</v>
      </c>
      <c r="AG5838" s="55" t="n">
        <f aca="false">AE5838+ROW()*0.000000001</f>
        <v>40.2690116859533</v>
      </c>
    </row>
    <row r="5839" customFormat="false" ht="15" hidden="false" customHeight="false" outlineLevel="0" collapsed="false">
      <c r="A5839" s="0" t="n">
        <v>8</v>
      </c>
      <c r="B5839" s="0" t="n">
        <v>0</v>
      </c>
      <c r="C5839" s="0" t="n">
        <v>0</v>
      </c>
      <c r="D5839" s="0" t="n">
        <v>2</v>
      </c>
      <c r="E5839" s="0" t="n">
        <f aca="false">-1+A5839*0.25</f>
        <v>1</v>
      </c>
      <c r="F5839" s="0" t="n">
        <f aca="false">-1+B5839*0.25</f>
        <v>-1</v>
      </c>
      <c r="G5839" s="0" t="n">
        <f aca="false">-1+C5839*0.25</f>
        <v>-1</v>
      </c>
      <c r="H5839" s="0" t="n">
        <f aca="false">-1+D5839*0.25</f>
        <v>-0.5</v>
      </c>
      <c r="I5839" s="0" t="n">
        <f aca="false">1</f>
        <v>1</v>
      </c>
      <c r="J5839" s="0" t="n">
        <f aca="false">E5839</f>
        <v>1</v>
      </c>
      <c r="K5839" s="0" t="n">
        <f aca="false">F5839</f>
        <v>-1</v>
      </c>
      <c r="L5839" s="0" t="n">
        <f aca="false">G5839</f>
        <v>-1</v>
      </c>
      <c r="M5839" s="0" t="n">
        <f aca="false">H5839</f>
        <v>-0.5</v>
      </c>
      <c r="N5839" s="0" t="n">
        <f aca="false">E5839*F5839</f>
        <v>-1</v>
      </c>
      <c r="O5839" s="0" t="n">
        <f aca="false">E5839*G5839</f>
        <v>-1</v>
      </c>
      <c r="P5839" s="0" t="n">
        <f aca="false">E5839*H5839</f>
        <v>-0.5</v>
      </c>
      <c r="Q5839" s="0" t="n">
        <f aca="false">F5839*G5839</f>
        <v>1</v>
      </c>
      <c r="R5839" s="0" t="n">
        <f aca="false">F5839*H5839</f>
        <v>0.5</v>
      </c>
      <c r="S5839" s="0" t="n">
        <f aca="false">G5839*H5839</f>
        <v>0.5</v>
      </c>
      <c r="T5839" s="0" t="n">
        <f aca="false">E5839*E5839</f>
        <v>1</v>
      </c>
      <c r="U5839" s="0" t="n">
        <f aca="false">F5839*F5839</f>
        <v>1</v>
      </c>
      <c r="V5839" s="0" t="n">
        <f aca="false">G5839*G5839</f>
        <v>1</v>
      </c>
      <c r="W5839" s="0" t="n">
        <f aca="false">H5839*H5839</f>
        <v>0.25</v>
      </c>
      <c r="X5839" s="0" t="n">
        <f aca="false">SUMPRODUCT(I5839:W5839,_XtX!$B$96:$P$96)</f>
        <v>40.5024122807018</v>
      </c>
      <c r="Y5839" s="0" t="n">
        <f aca="false">SUMPRODUCT(MMULT(I5839:W5839,_XtX!$B$78:$P$92),I5839:W5839)</f>
        <v>0.667123538011696</v>
      </c>
      <c r="Z5839" s="0" t="n">
        <f aca="false">04_回帰ANOVA!$K$19*04_回帰ANOVA!$K$14*SQRT(1+Y5839)</f>
        <v>1.68299290213005</v>
      </c>
      <c r="AA5839" s="0" t="n">
        <f aca="false">X5839-Z5839</f>
        <v>38.8194193785717</v>
      </c>
      <c r="AB5839" s="0" t="n">
        <f aca="false">X5839+Z5839</f>
        <v>42.1854051828318</v>
      </c>
      <c r="AC5839" s="54" t="b">
        <f aca="false">AND(E5839&gt;=01_因子設定!$L$5-0.000000001,E5839&lt;=01_因子設定!$M$5+0.000000001,F5839&gt;=01_因子設定!$L$6-0.000000001,F5839&lt;=01_因子設定!$M$6+0.000000001,G5839&gt;=01_因子設定!$L$7-0.000000001,G5839&lt;=01_因子設定!$M$7+0.000000001,H5839&gt;=01_因子設定!$L$8-0.000000001,H5839&lt;=01_因子設定!$M$8+0.000000001,IF(01_因子設定!$B$20="Box-Behnken",E5839^2+F5839^2+G5839^2+H5839^2&lt;=2+0.000000001,TRUE()))</f>
        <v>1</v>
      </c>
      <c r="AD5839" s="55" t="n">
        <f aca="false">IF(AC5839,IF(01_因子設定!$B$13="最大化",AA5839-01_因子設定!$B$14,IF(01_因子設定!$B$13="最小化",01_因子設定!$B$15-AB5839,MIN(AA5839-01_因子設定!$B$14,01_因子設定!$B$15-AB5839))),-1E+030)</f>
        <v>-7.68058062142826</v>
      </c>
      <c r="AE5839" s="55" t="n">
        <f aca="false">IF(AC5839,IF(01_因子設定!$B$13="最大化",X5839,IF(01_因子設定!$B$13="最小化",-X5839,-ABS(X5839-01_因子設定!$B$16))),-1E+030)</f>
        <v>40.5024122807018</v>
      </c>
      <c r="AF5839" s="55" t="n">
        <f aca="false">AD5839+ROW()*0.000000001</f>
        <v>-7.68057478242826</v>
      </c>
      <c r="AG5839" s="55" t="n">
        <f aca="false">AE5839+ROW()*0.000000001</f>
        <v>40.5024181197018</v>
      </c>
    </row>
    <row r="5840" customFormat="false" ht="15" hidden="false" customHeight="false" outlineLevel="0" collapsed="false">
      <c r="A5840" s="0" t="n">
        <v>8</v>
      </c>
      <c r="B5840" s="0" t="n">
        <v>0</v>
      </c>
      <c r="C5840" s="0" t="n">
        <v>0</v>
      </c>
      <c r="D5840" s="0" t="n">
        <v>3</v>
      </c>
      <c r="E5840" s="0" t="n">
        <f aca="false">-1+A5840*0.25</f>
        <v>1</v>
      </c>
      <c r="F5840" s="0" t="n">
        <f aca="false">-1+B5840*0.25</f>
        <v>-1</v>
      </c>
      <c r="G5840" s="0" t="n">
        <f aca="false">-1+C5840*0.25</f>
        <v>-1</v>
      </c>
      <c r="H5840" s="0" t="n">
        <f aca="false">-1+D5840*0.25</f>
        <v>-0.25</v>
      </c>
      <c r="I5840" s="0" t="n">
        <f aca="false">1</f>
        <v>1</v>
      </c>
      <c r="J5840" s="0" t="n">
        <f aca="false">E5840</f>
        <v>1</v>
      </c>
      <c r="K5840" s="0" t="n">
        <f aca="false">F5840</f>
        <v>-1</v>
      </c>
      <c r="L5840" s="0" t="n">
        <f aca="false">G5840</f>
        <v>-1</v>
      </c>
      <c r="M5840" s="0" t="n">
        <f aca="false">H5840</f>
        <v>-0.25</v>
      </c>
      <c r="N5840" s="0" t="n">
        <f aca="false">E5840*F5840</f>
        <v>-1</v>
      </c>
      <c r="O5840" s="0" t="n">
        <f aca="false">E5840*G5840</f>
        <v>-1</v>
      </c>
      <c r="P5840" s="0" t="n">
        <f aca="false">E5840*H5840</f>
        <v>-0.25</v>
      </c>
      <c r="Q5840" s="0" t="n">
        <f aca="false">F5840*G5840</f>
        <v>1</v>
      </c>
      <c r="R5840" s="0" t="n">
        <f aca="false">F5840*H5840</f>
        <v>0.25</v>
      </c>
      <c r="S5840" s="0" t="n">
        <f aca="false">G5840*H5840</f>
        <v>0.25</v>
      </c>
      <c r="T5840" s="0" t="n">
        <f aca="false">E5840*E5840</f>
        <v>1</v>
      </c>
      <c r="U5840" s="0" t="n">
        <f aca="false">F5840*F5840</f>
        <v>1</v>
      </c>
      <c r="V5840" s="0" t="n">
        <f aca="false">G5840*G5840</f>
        <v>1</v>
      </c>
      <c r="W5840" s="0" t="n">
        <f aca="false">H5840*H5840</f>
        <v>0.0625</v>
      </c>
      <c r="X5840" s="0" t="n">
        <f aca="false">SUMPRODUCT(I5840:W5840,_XtX!$B$96:$P$96)</f>
        <v>40.6880116959065</v>
      </c>
      <c r="Y5840" s="0" t="n">
        <f aca="false">SUMPRODUCT(MMULT(I5840:W5840,_XtX!$B$78:$P$92),I5840:W5840)</f>
        <v>0.737093384502924</v>
      </c>
      <c r="Z5840" s="0" t="n">
        <f aca="false">04_回帰ANOVA!$K$19*04_回帰ANOVA!$K$14*SQRT(1+Y5840)</f>
        <v>1.71794784853551</v>
      </c>
      <c r="AA5840" s="0" t="n">
        <f aca="false">X5840-Z5840</f>
        <v>38.970063847371</v>
      </c>
      <c r="AB5840" s="0" t="n">
        <f aca="false">X5840+Z5840</f>
        <v>42.405959544442</v>
      </c>
      <c r="AC5840" s="54" t="b">
        <f aca="false">AND(E5840&gt;=01_因子設定!$L$5-0.000000001,E5840&lt;=01_因子設定!$M$5+0.000000001,F5840&gt;=01_因子設定!$L$6-0.000000001,F5840&lt;=01_因子設定!$M$6+0.000000001,G5840&gt;=01_因子設定!$L$7-0.000000001,G5840&lt;=01_因子設定!$M$7+0.000000001,H5840&gt;=01_因子設定!$L$8-0.000000001,H5840&lt;=01_因子設定!$M$8+0.000000001,IF(01_因子設定!$B$20="Box-Behnken",E5840^2+F5840^2+G5840^2+H5840^2&lt;=2+0.000000001,TRUE()))</f>
        <v>1</v>
      </c>
      <c r="AD5840" s="55" t="n">
        <f aca="false">IF(AC5840,IF(01_因子設定!$B$13="最大化",AA5840-01_因子設定!$B$14,IF(01_因子設定!$B$13="最小化",01_因子設定!$B$15-AB5840,MIN(AA5840-01_因子設定!$B$14,01_因子設定!$B$15-AB5840))),-1E+030)</f>
        <v>-7.52993615262904</v>
      </c>
      <c r="AE5840" s="55" t="n">
        <f aca="false">IF(AC5840,IF(01_因子設定!$B$13="最大化",X5840,IF(01_因子設定!$B$13="最小化",-X5840,-ABS(X5840-01_因子設定!$B$16))),-1E+030)</f>
        <v>40.6880116959065</v>
      </c>
      <c r="AF5840" s="55" t="n">
        <f aca="false">AD5840+ROW()*0.000000001</f>
        <v>-7.52993031262904</v>
      </c>
      <c r="AG5840" s="55" t="n">
        <f aca="false">AE5840+ROW()*0.000000001</f>
        <v>40.6880175359065</v>
      </c>
    </row>
    <row r="5841" customFormat="false" ht="15" hidden="false" customHeight="false" outlineLevel="0" collapsed="false">
      <c r="A5841" s="0" t="n">
        <v>8</v>
      </c>
      <c r="B5841" s="0" t="n">
        <v>0</v>
      </c>
      <c r="C5841" s="0" t="n">
        <v>0</v>
      </c>
      <c r="D5841" s="0" t="n">
        <v>4</v>
      </c>
      <c r="E5841" s="0" t="n">
        <f aca="false">-1+A5841*0.25</f>
        <v>1</v>
      </c>
      <c r="F5841" s="0" t="n">
        <f aca="false">-1+B5841*0.25</f>
        <v>-1</v>
      </c>
      <c r="G5841" s="0" t="n">
        <f aca="false">-1+C5841*0.25</f>
        <v>-1</v>
      </c>
      <c r="H5841" s="0" t="n">
        <f aca="false">-1+D5841*0.25</f>
        <v>0</v>
      </c>
      <c r="I5841" s="0" t="n">
        <f aca="false">1</f>
        <v>1</v>
      </c>
      <c r="J5841" s="0" t="n">
        <f aca="false">E5841</f>
        <v>1</v>
      </c>
      <c r="K5841" s="0" t="n">
        <f aca="false">F5841</f>
        <v>-1</v>
      </c>
      <c r="L5841" s="0" t="n">
        <f aca="false">G5841</f>
        <v>-1</v>
      </c>
      <c r="M5841" s="0" t="n">
        <f aca="false">H5841</f>
        <v>0</v>
      </c>
      <c r="N5841" s="0" t="n">
        <f aca="false">E5841*F5841</f>
        <v>-1</v>
      </c>
      <c r="O5841" s="0" t="n">
        <f aca="false">E5841*G5841</f>
        <v>-1</v>
      </c>
      <c r="P5841" s="0" t="n">
        <f aca="false">E5841*H5841</f>
        <v>0</v>
      </c>
      <c r="Q5841" s="0" t="n">
        <f aca="false">F5841*G5841</f>
        <v>1</v>
      </c>
      <c r="R5841" s="0" t="n">
        <f aca="false">F5841*H5841</f>
        <v>-0</v>
      </c>
      <c r="S5841" s="0" t="n">
        <f aca="false">G5841*H5841</f>
        <v>-0</v>
      </c>
      <c r="T5841" s="0" t="n">
        <f aca="false">E5841*E5841</f>
        <v>1</v>
      </c>
      <c r="U5841" s="0" t="n">
        <f aca="false">F5841*F5841</f>
        <v>1</v>
      </c>
      <c r="V5841" s="0" t="n">
        <f aca="false">G5841*G5841</f>
        <v>1</v>
      </c>
      <c r="W5841" s="0" t="n">
        <f aca="false">H5841*H5841</f>
        <v>0</v>
      </c>
      <c r="X5841" s="0" t="n">
        <f aca="false">SUMPRODUCT(I5841:W5841,_XtX!$B$96:$P$96)</f>
        <v>40.8258040935673</v>
      </c>
      <c r="Y5841" s="0" t="n">
        <f aca="false">SUMPRODUCT(MMULT(I5841:W5841,_XtX!$B$78:$P$92),I5841:W5841)</f>
        <v>0.766447368421053</v>
      </c>
      <c r="Z5841" s="0" t="n">
        <f aca="false">04_回帰ANOVA!$K$19*04_回帰ANOVA!$K$14*SQRT(1+Y5841)</f>
        <v>1.7324022685743</v>
      </c>
      <c r="AA5841" s="0" t="n">
        <f aca="false">X5841-Z5841</f>
        <v>39.093401824993</v>
      </c>
      <c r="AB5841" s="0" t="n">
        <f aca="false">X5841+Z5841</f>
        <v>42.5582063621416</v>
      </c>
      <c r="AC5841" s="54" t="b">
        <f aca="false">AND(E5841&gt;=01_因子設定!$L$5-0.000000001,E5841&lt;=01_因子設定!$M$5+0.000000001,F5841&gt;=01_因子設定!$L$6-0.000000001,F5841&lt;=01_因子設定!$M$6+0.000000001,G5841&gt;=01_因子設定!$L$7-0.000000001,G5841&lt;=01_因子設定!$M$7+0.000000001,H5841&gt;=01_因子設定!$L$8-0.000000001,H5841&lt;=01_因子設定!$M$8+0.000000001,IF(01_因子設定!$B$20="Box-Behnken",E5841^2+F5841^2+G5841^2+H5841^2&lt;=2+0.000000001,TRUE()))</f>
        <v>1</v>
      </c>
      <c r="AD5841" s="55" t="n">
        <f aca="false">IF(AC5841,IF(01_因子設定!$B$13="最大化",AA5841-01_因子設定!$B$14,IF(01_因子設定!$B$13="最小化",01_因子設定!$B$15-AB5841,MIN(AA5841-01_因子設定!$B$14,01_因子設定!$B$15-AB5841))),-1E+030)</f>
        <v>-7.40659817500703</v>
      </c>
      <c r="AE5841" s="55" t="n">
        <f aca="false">IF(AC5841,IF(01_因子設定!$B$13="最大化",X5841,IF(01_因子設定!$B$13="最小化",-X5841,-ABS(X5841-01_因子設定!$B$16))),-1E+030)</f>
        <v>40.8258040935673</v>
      </c>
      <c r="AF5841" s="55" t="n">
        <f aca="false">AD5841+ROW()*0.000000001</f>
        <v>-7.40659233400703</v>
      </c>
      <c r="AG5841" s="55" t="n">
        <f aca="false">AE5841+ROW()*0.000000001</f>
        <v>40.8258099345673</v>
      </c>
    </row>
    <row r="5842" customFormat="false" ht="15" hidden="false" customHeight="false" outlineLevel="0" collapsed="false">
      <c r="A5842" s="0" t="n">
        <v>8</v>
      </c>
      <c r="B5842" s="0" t="n">
        <v>0</v>
      </c>
      <c r="C5842" s="0" t="n">
        <v>0</v>
      </c>
      <c r="D5842" s="0" t="n">
        <v>5</v>
      </c>
      <c r="E5842" s="0" t="n">
        <f aca="false">-1+A5842*0.25</f>
        <v>1</v>
      </c>
      <c r="F5842" s="0" t="n">
        <f aca="false">-1+B5842*0.25</f>
        <v>-1</v>
      </c>
      <c r="G5842" s="0" t="n">
        <f aca="false">-1+C5842*0.25</f>
        <v>-1</v>
      </c>
      <c r="H5842" s="0" t="n">
        <f aca="false">-1+D5842*0.25</f>
        <v>0.25</v>
      </c>
      <c r="I5842" s="0" t="n">
        <f aca="false">1</f>
        <v>1</v>
      </c>
      <c r="J5842" s="0" t="n">
        <f aca="false">E5842</f>
        <v>1</v>
      </c>
      <c r="K5842" s="0" t="n">
        <f aca="false">F5842</f>
        <v>-1</v>
      </c>
      <c r="L5842" s="0" t="n">
        <f aca="false">G5842</f>
        <v>-1</v>
      </c>
      <c r="M5842" s="0" t="n">
        <f aca="false">H5842</f>
        <v>0.25</v>
      </c>
      <c r="N5842" s="0" t="n">
        <f aca="false">E5842*F5842</f>
        <v>-1</v>
      </c>
      <c r="O5842" s="0" t="n">
        <f aca="false">E5842*G5842</f>
        <v>-1</v>
      </c>
      <c r="P5842" s="0" t="n">
        <f aca="false">E5842*H5842</f>
        <v>0.25</v>
      </c>
      <c r="Q5842" s="0" t="n">
        <f aca="false">F5842*G5842</f>
        <v>1</v>
      </c>
      <c r="R5842" s="0" t="n">
        <f aca="false">F5842*H5842</f>
        <v>-0.25</v>
      </c>
      <c r="S5842" s="0" t="n">
        <f aca="false">G5842*H5842</f>
        <v>-0.25</v>
      </c>
      <c r="T5842" s="0" t="n">
        <f aca="false">E5842*E5842</f>
        <v>1</v>
      </c>
      <c r="U5842" s="0" t="n">
        <f aca="false">F5842*F5842</f>
        <v>1</v>
      </c>
      <c r="V5842" s="0" t="n">
        <f aca="false">G5842*G5842</f>
        <v>1</v>
      </c>
      <c r="W5842" s="0" t="n">
        <f aca="false">H5842*H5842</f>
        <v>0.0625</v>
      </c>
      <c r="X5842" s="0" t="n">
        <f aca="false">SUMPRODUCT(I5842:W5842,_XtX!$B$96:$P$96)</f>
        <v>40.9157894736842</v>
      </c>
      <c r="Y5842" s="0" t="n">
        <f aca="false">SUMPRODUCT(MMULT(I5842:W5842,_XtX!$B$78:$P$92),I5842:W5842)</f>
        <v>0.737093384502924</v>
      </c>
      <c r="Z5842" s="0" t="n">
        <f aca="false">04_回帰ANOVA!$K$19*04_回帰ANOVA!$K$14*SQRT(1+Y5842)</f>
        <v>1.71794784853551</v>
      </c>
      <c r="AA5842" s="0" t="n">
        <f aca="false">X5842-Z5842</f>
        <v>39.1978416251487</v>
      </c>
      <c r="AB5842" s="0" t="n">
        <f aca="false">X5842+Z5842</f>
        <v>42.6337373222197</v>
      </c>
      <c r="AC5842" s="54" t="b">
        <f aca="false">AND(E5842&gt;=01_因子設定!$L$5-0.000000001,E5842&lt;=01_因子設定!$M$5+0.000000001,F5842&gt;=01_因子設定!$L$6-0.000000001,F5842&lt;=01_因子設定!$M$6+0.000000001,G5842&gt;=01_因子設定!$L$7-0.000000001,G5842&lt;=01_因子設定!$M$7+0.000000001,H5842&gt;=01_因子設定!$L$8-0.000000001,H5842&lt;=01_因子設定!$M$8+0.000000001,IF(01_因子設定!$B$20="Box-Behnken",E5842^2+F5842^2+G5842^2+H5842^2&lt;=2+0.000000001,TRUE()))</f>
        <v>1</v>
      </c>
      <c r="AD5842" s="55" t="n">
        <f aca="false">IF(AC5842,IF(01_因子設定!$B$13="最大化",AA5842-01_因子設定!$B$14,IF(01_因子設定!$B$13="最小化",01_因子設定!$B$15-AB5842,MIN(AA5842-01_因子設定!$B$14,01_因子設定!$B$15-AB5842))),-1E+030)</f>
        <v>-7.30215837485126</v>
      </c>
      <c r="AE5842" s="55" t="n">
        <f aca="false">IF(AC5842,IF(01_因子設定!$B$13="最大化",X5842,IF(01_因子設定!$B$13="最小化",-X5842,-ABS(X5842-01_因子設定!$B$16))),-1E+030)</f>
        <v>40.9157894736842</v>
      </c>
      <c r="AF5842" s="55" t="n">
        <f aca="false">AD5842+ROW()*0.000000001</f>
        <v>-7.30215253285126</v>
      </c>
      <c r="AG5842" s="55" t="n">
        <f aca="false">AE5842+ROW()*0.000000001</f>
        <v>40.9157953156842</v>
      </c>
    </row>
    <row r="5843" customFormat="false" ht="15" hidden="false" customHeight="false" outlineLevel="0" collapsed="false">
      <c r="A5843" s="0" t="n">
        <v>8</v>
      </c>
      <c r="B5843" s="0" t="n">
        <v>0</v>
      </c>
      <c r="C5843" s="0" t="n">
        <v>0</v>
      </c>
      <c r="D5843" s="0" t="n">
        <v>6</v>
      </c>
      <c r="E5843" s="0" t="n">
        <f aca="false">-1+A5843*0.25</f>
        <v>1</v>
      </c>
      <c r="F5843" s="0" t="n">
        <f aca="false">-1+B5843*0.25</f>
        <v>-1</v>
      </c>
      <c r="G5843" s="0" t="n">
        <f aca="false">-1+C5843*0.25</f>
        <v>-1</v>
      </c>
      <c r="H5843" s="0" t="n">
        <f aca="false">-1+D5843*0.25</f>
        <v>0.5</v>
      </c>
      <c r="I5843" s="0" t="n">
        <f aca="false">1</f>
        <v>1</v>
      </c>
      <c r="J5843" s="0" t="n">
        <f aca="false">E5843</f>
        <v>1</v>
      </c>
      <c r="K5843" s="0" t="n">
        <f aca="false">F5843</f>
        <v>-1</v>
      </c>
      <c r="L5843" s="0" t="n">
        <f aca="false">G5843</f>
        <v>-1</v>
      </c>
      <c r="M5843" s="0" t="n">
        <f aca="false">H5843</f>
        <v>0.5</v>
      </c>
      <c r="N5843" s="0" t="n">
        <f aca="false">E5843*F5843</f>
        <v>-1</v>
      </c>
      <c r="O5843" s="0" t="n">
        <f aca="false">E5843*G5843</f>
        <v>-1</v>
      </c>
      <c r="P5843" s="0" t="n">
        <f aca="false">E5843*H5843</f>
        <v>0.5</v>
      </c>
      <c r="Q5843" s="0" t="n">
        <f aca="false">F5843*G5843</f>
        <v>1</v>
      </c>
      <c r="R5843" s="0" t="n">
        <f aca="false">F5843*H5843</f>
        <v>-0.5</v>
      </c>
      <c r="S5843" s="0" t="n">
        <f aca="false">G5843*H5843</f>
        <v>-0.5</v>
      </c>
      <c r="T5843" s="0" t="n">
        <f aca="false">E5843*E5843</f>
        <v>1</v>
      </c>
      <c r="U5843" s="0" t="n">
        <f aca="false">F5843*F5843</f>
        <v>1</v>
      </c>
      <c r="V5843" s="0" t="n">
        <f aca="false">G5843*G5843</f>
        <v>1</v>
      </c>
      <c r="W5843" s="0" t="n">
        <f aca="false">H5843*H5843</f>
        <v>0.25</v>
      </c>
      <c r="X5843" s="0" t="n">
        <f aca="false">SUMPRODUCT(I5843:W5843,_XtX!$B$96:$P$96)</f>
        <v>40.9579678362573</v>
      </c>
      <c r="Y5843" s="0" t="n">
        <f aca="false">SUMPRODUCT(MMULT(I5843:W5843,_XtX!$B$78:$P$92),I5843:W5843)</f>
        <v>0.667123538011696</v>
      </c>
      <c r="Z5843" s="0" t="n">
        <f aca="false">04_回帰ANOVA!$K$19*04_回帰ANOVA!$K$14*SQRT(1+Y5843)</f>
        <v>1.68299290213005</v>
      </c>
      <c r="AA5843" s="0" t="n">
        <f aca="false">X5843-Z5843</f>
        <v>39.2749749341273</v>
      </c>
      <c r="AB5843" s="0" t="n">
        <f aca="false">X5843+Z5843</f>
        <v>42.6409607383874</v>
      </c>
      <c r="AC5843" s="54" t="b">
        <f aca="false">AND(E5843&gt;=01_因子設定!$L$5-0.000000001,E5843&lt;=01_因子設定!$M$5+0.000000001,F5843&gt;=01_因子設定!$L$6-0.000000001,F5843&lt;=01_因子設定!$M$6+0.000000001,G5843&gt;=01_因子設定!$L$7-0.000000001,G5843&lt;=01_因子設定!$M$7+0.000000001,H5843&gt;=01_因子設定!$L$8-0.000000001,H5843&lt;=01_因子設定!$M$8+0.000000001,IF(01_因子設定!$B$20="Box-Behnken",E5843^2+F5843^2+G5843^2+H5843^2&lt;=2+0.000000001,TRUE()))</f>
        <v>1</v>
      </c>
      <c r="AD5843" s="55" t="n">
        <f aca="false">IF(AC5843,IF(01_因子設定!$B$13="最大化",AA5843-01_因子設定!$B$14,IF(01_因子設定!$B$13="最小化",01_因子設定!$B$15-AB5843,MIN(AA5843-01_因子設定!$B$14,01_因子設定!$B$15-AB5843))),-1E+030)</f>
        <v>-7.22502506587271</v>
      </c>
      <c r="AE5843" s="55" t="n">
        <f aca="false">IF(AC5843,IF(01_因子設定!$B$13="最大化",X5843,IF(01_因子設定!$B$13="最小化",-X5843,-ABS(X5843-01_因子設定!$B$16))),-1E+030)</f>
        <v>40.9579678362573</v>
      </c>
      <c r="AF5843" s="55" t="n">
        <f aca="false">AD5843+ROW()*0.000000001</f>
        <v>-7.22501922287271</v>
      </c>
      <c r="AG5843" s="55" t="n">
        <f aca="false">AE5843+ROW()*0.000000001</f>
        <v>40.9579736792573</v>
      </c>
    </row>
    <row r="5844" customFormat="false" ht="15" hidden="false" customHeight="false" outlineLevel="0" collapsed="false">
      <c r="A5844" s="0" t="n">
        <v>8</v>
      </c>
      <c r="B5844" s="0" t="n">
        <v>0</v>
      </c>
      <c r="C5844" s="0" t="n">
        <v>0</v>
      </c>
      <c r="D5844" s="0" t="n">
        <v>7</v>
      </c>
      <c r="E5844" s="0" t="n">
        <f aca="false">-1+A5844*0.25</f>
        <v>1</v>
      </c>
      <c r="F5844" s="0" t="n">
        <f aca="false">-1+B5844*0.25</f>
        <v>-1</v>
      </c>
      <c r="G5844" s="0" t="n">
        <f aca="false">-1+C5844*0.25</f>
        <v>-1</v>
      </c>
      <c r="H5844" s="0" t="n">
        <f aca="false">-1+D5844*0.25</f>
        <v>0.75</v>
      </c>
      <c r="I5844" s="0" t="n">
        <f aca="false">1</f>
        <v>1</v>
      </c>
      <c r="J5844" s="0" t="n">
        <f aca="false">E5844</f>
        <v>1</v>
      </c>
      <c r="K5844" s="0" t="n">
        <f aca="false">F5844</f>
        <v>-1</v>
      </c>
      <c r="L5844" s="0" t="n">
        <f aca="false">G5844</f>
        <v>-1</v>
      </c>
      <c r="M5844" s="0" t="n">
        <f aca="false">H5844</f>
        <v>0.75</v>
      </c>
      <c r="N5844" s="0" t="n">
        <f aca="false">E5844*F5844</f>
        <v>-1</v>
      </c>
      <c r="O5844" s="0" t="n">
        <f aca="false">E5844*G5844</f>
        <v>-1</v>
      </c>
      <c r="P5844" s="0" t="n">
        <f aca="false">E5844*H5844</f>
        <v>0.75</v>
      </c>
      <c r="Q5844" s="0" t="n">
        <f aca="false">F5844*G5844</f>
        <v>1</v>
      </c>
      <c r="R5844" s="0" t="n">
        <f aca="false">F5844*H5844</f>
        <v>-0.75</v>
      </c>
      <c r="S5844" s="0" t="n">
        <f aca="false">G5844*H5844</f>
        <v>-0.75</v>
      </c>
      <c r="T5844" s="0" t="n">
        <f aca="false">E5844*E5844</f>
        <v>1</v>
      </c>
      <c r="U5844" s="0" t="n">
        <f aca="false">F5844*F5844</f>
        <v>1</v>
      </c>
      <c r="V5844" s="0" t="n">
        <f aca="false">G5844*G5844</f>
        <v>1</v>
      </c>
      <c r="W5844" s="0" t="n">
        <f aca="false">H5844*H5844</f>
        <v>0.5625</v>
      </c>
      <c r="X5844" s="0" t="n">
        <f aca="false">SUMPRODUCT(I5844:W5844,_XtX!$B$96:$P$96)</f>
        <v>40.9523391812866</v>
      </c>
      <c r="Y5844" s="0" t="n">
        <f aca="false">SUMPRODUCT(MMULT(I5844:W5844,_XtX!$B$78:$P$92),I5844:W5844)</f>
        <v>0.610814144736842</v>
      </c>
      <c r="Z5844" s="0" t="n">
        <f aca="false">04_回帰ANOVA!$K$19*04_回帰ANOVA!$K$14*SQRT(1+Y5844)</f>
        <v>1.6543260558361</v>
      </c>
      <c r="AA5844" s="0" t="n">
        <f aca="false">X5844-Z5844</f>
        <v>39.2980131254505</v>
      </c>
      <c r="AB5844" s="0" t="n">
        <f aca="false">X5844+Z5844</f>
        <v>42.6066652371227</v>
      </c>
      <c r="AC5844" s="54" t="b">
        <f aca="false">AND(E5844&gt;=01_因子設定!$L$5-0.000000001,E5844&lt;=01_因子設定!$M$5+0.000000001,F5844&gt;=01_因子設定!$L$6-0.000000001,F5844&lt;=01_因子設定!$M$6+0.000000001,G5844&gt;=01_因子設定!$L$7-0.000000001,G5844&lt;=01_因子設定!$M$7+0.000000001,H5844&gt;=01_因子設定!$L$8-0.000000001,H5844&lt;=01_因子設定!$M$8+0.000000001,IF(01_因子設定!$B$20="Box-Behnken",E5844^2+F5844^2+G5844^2+H5844^2&lt;=2+0.000000001,TRUE()))</f>
        <v>1</v>
      </c>
      <c r="AD5844" s="55" t="n">
        <f aca="false">IF(AC5844,IF(01_因子設定!$B$13="最大化",AA5844-01_因子設定!$B$14,IF(01_因子設定!$B$13="最小化",01_因子設定!$B$15-AB5844,MIN(AA5844-01_因子設定!$B$14,01_因子設定!$B$15-AB5844))),-1E+030)</f>
        <v>-7.2019868745495</v>
      </c>
      <c r="AE5844" s="55" t="n">
        <f aca="false">IF(AC5844,IF(01_因子設定!$B$13="最大化",X5844,IF(01_因子設定!$B$13="最小化",-X5844,-ABS(X5844-01_因子設定!$B$16))),-1E+030)</f>
        <v>40.9523391812866</v>
      </c>
      <c r="AF5844" s="55" t="n">
        <f aca="false">AD5844+ROW()*0.000000001</f>
        <v>-7.2019810305495</v>
      </c>
      <c r="AG5844" s="55" t="n">
        <f aca="false">AE5844+ROW()*0.000000001</f>
        <v>40.9523450252866</v>
      </c>
    </row>
    <row r="5845" customFormat="false" ht="15" hidden="false" customHeight="false" outlineLevel="0" collapsed="false">
      <c r="A5845" s="0" t="n">
        <v>8</v>
      </c>
      <c r="B5845" s="0" t="n">
        <v>0</v>
      </c>
      <c r="C5845" s="0" t="n">
        <v>0</v>
      </c>
      <c r="D5845" s="0" t="n">
        <v>8</v>
      </c>
      <c r="E5845" s="0" t="n">
        <f aca="false">-1+A5845*0.25</f>
        <v>1</v>
      </c>
      <c r="F5845" s="0" t="n">
        <f aca="false">-1+B5845*0.25</f>
        <v>-1</v>
      </c>
      <c r="G5845" s="0" t="n">
        <f aca="false">-1+C5845*0.25</f>
        <v>-1</v>
      </c>
      <c r="H5845" s="0" t="n">
        <f aca="false">-1+D5845*0.25</f>
        <v>1</v>
      </c>
      <c r="I5845" s="0" t="n">
        <f aca="false">1</f>
        <v>1</v>
      </c>
      <c r="J5845" s="0" t="n">
        <f aca="false">E5845</f>
        <v>1</v>
      </c>
      <c r="K5845" s="0" t="n">
        <f aca="false">F5845</f>
        <v>-1</v>
      </c>
      <c r="L5845" s="0" t="n">
        <f aca="false">G5845</f>
        <v>-1</v>
      </c>
      <c r="M5845" s="0" t="n">
        <f aca="false">H5845</f>
        <v>1</v>
      </c>
      <c r="N5845" s="0" t="n">
        <f aca="false">E5845*F5845</f>
        <v>-1</v>
      </c>
      <c r="O5845" s="0" t="n">
        <f aca="false">E5845*G5845</f>
        <v>-1</v>
      </c>
      <c r="P5845" s="0" t="n">
        <f aca="false">E5845*H5845</f>
        <v>1</v>
      </c>
      <c r="Q5845" s="0" t="n">
        <f aca="false">F5845*G5845</f>
        <v>1</v>
      </c>
      <c r="R5845" s="0" t="n">
        <f aca="false">F5845*H5845</f>
        <v>-1</v>
      </c>
      <c r="S5845" s="0" t="n">
        <f aca="false">G5845*H5845</f>
        <v>-1</v>
      </c>
      <c r="T5845" s="0" t="n">
        <f aca="false">E5845*E5845</f>
        <v>1</v>
      </c>
      <c r="U5845" s="0" t="n">
        <f aca="false">F5845*F5845</f>
        <v>1</v>
      </c>
      <c r="V5845" s="0" t="n">
        <f aca="false">G5845*G5845</f>
        <v>1</v>
      </c>
      <c r="W5845" s="0" t="n">
        <f aca="false">H5845*H5845</f>
        <v>1</v>
      </c>
      <c r="X5845" s="0" t="n">
        <f aca="false">SUMPRODUCT(I5845:W5845,_XtX!$B$96:$P$96)</f>
        <v>40.898903508772</v>
      </c>
      <c r="Y5845" s="0" t="n">
        <f aca="false">SUMPRODUCT(MMULT(I5845:W5845,_XtX!$B$78:$P$92),I5845:W5845)</f>
        <v>0.658625730994152</v>
      </c>
      <c r="Z5845" s="0" t="n">
        <f aca="false">04_回帰ANOVA!$K$19*04_回帰ANOVA!$K$14*SQRT(1+Y5845)</f>
        <v>1.67869807328422</v>
      </c>
      <c r="AA5845" s="0" t="n">
        <f aca="false">X5845-Z5845</f>
        <v>39.2202054354878</v>
      </c>
      <c r="AB5845" s="0" t="n">
        <f aca="false">X5845+Z5845</f>
        <v>42.5776015820562</v>
      </c>
      <c r="AC5845" s="54" t="b">
        <f aca="false">AND(E5845&gt;=01_因子設定!$L$5-0.000000001,E5845&lt;=01_因子設定!$M$5+0.000000001,F5845&gt;=01_因子設定!$L$6-0.000000001,F5845&lt;=01_因子設定!$M$6+0.000000001,G5845&gt;=01_因子設定!$L$7-0.000000001,G5845&lt;=01_因子設定!$M$7+0.000000001,H5845&gt;=01_因子設定!$L$8-0.000000001,H5845&lt;=01_因子設定!$M$8+0.000000001,IF(01_因子設定!$B$20="Box-Behnken",E5845^2+F5845^2+G5845^2+H5845^2&lt;=2+0.000000001,TRUE()))</f>
        <v>1</v>
      </c>
      <c r="AD5845" s="55" t="n">
        <f aca="false">IF(AC5845,IF(01_因子設定!$B$13="最大化",AA5845-01_因子設定!$B$14,IF(01_因子設定!$B$13="最小化",01_因子設定!$B$15-AB5845,MIN(AA5845-01_因子設定!$B$14,01_因子設定!$B$15-AB5845))),-1E+030)</f>
        <v>-7.27979456451223</v>
      </c>
      <c r="AE5845" s="55" t="n">
        <f aca="false">IF(AC5845,IF(01_因子設定!$B$13="最大化",X5845,IF(01_因子設定!$B$13="最小化",-X5845,-ABS(X5845-01_因子設定!$B$16))),-1E+030)</f>
        <v>40.898903508772</v>
      </c>
      <c r="AF5845" s="55" t="n">
        <f aca="false">AD5845+ROW()*0.000000001</f>
        <v>-7.27978871951223</v>
      </c>
      <c r="AG5845" s="55" t="n">
        <f aca="false">AE5845+ROW()*0.000000001</f>
        <v>40.898909353772</v>
      </c>
    </row>
    <row r="5846" customFormat="false" ht="15" hidden="false" customHeight="false" outlineLevel="0" collapsed="false">
      <c r="A5846" s="0" t="n">
        <v>8</v>
      </c>
      <c r="B5846" s="0" t="n">
        <v>0</v>
      </c>
      <c r="C5846" s="0" t="n">
        <v>1</v>
      </c>
      <c r="D5846" s="0" t="n">
        <v>0</v>
      </c>
      <c r="E5846" s="0" t="n">
        <f aca="false">-1+A5846*0.25</f>
        <v>1</v>
      </c>
      <c r="F5846" s="0" t="n">
        <f aca="false">-1+B5846*0.25</f>
        <v>-1</v>
      </c>
      <c r="G5846" s="0" t="n">
        <f aca="false">-1+C5846*0.25</f>
        <v>-0.75</v>
      </c>
      <c r="H5846" s="0" t="n">
        <f aca="false">-1+D5846*0.25</f>
        <v>-1</v>
      </c>
      <c r="I5846" s="0" t="n">
        <f aca="false">1</f>
        <v>1</v>
      </c>
      <c r="J5846" s="0" t="n">
        <f aca="false">E5846</f>
        <v>1</v>
      </c>
      <c r="K5846" s="0" t="n">
        <f aca="false">F5846</f>
        <v>-1</v>
      </c>
      <c r="L5846" s="0" t="n">
        <f aca="false">G5846</f>
        <v>-0.75</v>
      </c>
      <c r="M5846" s="0" t="n">
        <f aca="false">H5846</f>
        <v>-1</v>
      </c>
      <c r="N5846" s="0" t="n">
        <f aca="false">E5846*F5846</f>
        <v>-1</v>
      </c>
      <c r="O5846" s="0" t="n">
        <f aca="false">E5846*G5846</f>
        <v>-0.75</v>
      </c>
      <c r="P5846" s="0" t="n">
        <f aca="false">E5846*H5846</f>
        <v>-1</v>
      </c>
      <c r="Q5846" s="0" t="n">
        <f aca="false">F5846*G5846</f>
        <v>0.75</v>
      </c>
      <c r="R5846" s="0" t="n">
        <f aca="false">F5846*H5846</f>
        <v>1</v>
      </c>
      <c r="S5846" s="0" t="n">
        <f aca="false">G5846*H5846</f>
        <v>0.75</v>
      </c>
      <c r="T5846" s="0" t="n">
        <f aca="false">E5846*E5846</f>
        <v>1</v>
      </c>
      <c r="U5846" s="0" t="n">
        <f aca="false">F5846*F5846</f>
        <v>1</v>
      </c>
      <c r="V5846" s="0" t="n">
        <f aca="false">G5846*G5846</f>
        <v>0.5625</v>
      </c>
      <c r="W5846" s="0" t="n">
        <f aca="false">H5846*H5846</f>
        <v>1</v>
      </c>
      <c r="X5846" s="0" t="n">
        <f aca="false">SUMPRODUCT(I5846:W5846,_XtX!$B$96:$P$96)</f>
        <v>40.2197002923977</v>
      </c>
      <c r="Y5846" s="0" t="n">
        <f aca="false">SUMPRODUCT(MMULT(I5846:W5846,_XtX!$B$78:$P$92),I5846:W5846)</f>
        <v>0.610814144736842</v>
      </c>
      <c r="Z5846" s="0" t="n">
        <f aca="false">04_回帰ANOVA!$K$19*04_回帰ANOVA!$K$14*SQRT(1+Y5846)</f>
        <v>1.6543260558361</v>
      </c>
      <c r="AA5846" s="0" t="n">
        <f aca="false">X5846-Z5846</f>
        <v>38.5653742365616</v>
      </c>
      <c r="AB5846" s="0" t="n">
        <f aca="false">X5846+Z5846</f>
        <v>41.8740263482338</v>
      </c>
      <c r="AC5846" s="54" t="b">
        <f aca="false">AND(E5846&gt;=01_因子設定!$L$5-0.000000001,E5846&lt;=01_因子設定!$M$5+0.000000001,F5846&gt;=01_因子設定!$L$6-0.000000001,F5846&lt;=01_因子設定!$M$6+0.000000001,G5846&gt;=01_因子設定!$L$7-0.000000001,G5846&lt;=01_因子設定!$M$7+0.000000001,H5846&gt;=01_因子設定!$L$8-0.000000001,H5846&lt;=01_因子設定!$M$8+0.000000001,IF(01_因子設定!$B$20="Box-Behnken",E5846^2+F5846^2+G5846^2+H5846^2&lt;=2+0.000000001,TRUE()))</f>
        <v>1</v>
      </c>
      <c r="AD5846" s="55" t="n">
        <f aca="false">IF(AC5846,IF(01_因子設定!$B$13="最大化",AA5846-01_因子設定!$B$14,IF(01_因子設定!$B$13="最小化",01_因子設定!$B$15-AB5846,MIN(AA5846-01_因子設定!$B$14,01_因子設定!$B$15-AB5846))),-1E+030)</f>
        <v>-7.93462576343837</v>
      </c>
      <c r="AE5846" s="55" t="n">
        <f aca="false">IF(AC5846,IF(01_因子設定!$B$13="最大化",X5846,IF(01_因子設定!$B$13="最小化",-X5846,-ABS(X5846-01_因子設定!$B$16))),-1E+030)</f>
        <v>40.2197002923977</v>
      </c>
      <c r="AF5846" s="55" t="n">
        <f aca="false">AD5846+ROW()*0.000000001</f>
        <v>-7.93461991743837</v>
      </c>
      <c r="AG5846" s="55" t="n">
        <f aca="false">AE5846+ROW()*0.000000001</f>
        <v>40.2197061383977</v>
      </c>
    </row>
    <row r="5847" customFormat="false" ht="15" hidden="false" customHeight="false" outlineLevel="0" collapsed="false">
      <c r="A5847" s="0" t="n">
        <v>8</v>
      </c>
      <c r="B5847" s="0" t="n">
        <v>0</v>
      </c>
      <c r="C5847" s="0" t="n">
        <v>1</v>
      </c>
      <c r="D5847" s="0" t="n">
        <v>1</v>
      </c>
      <c r="E5847" s="0" t="n">
        <f aca="false">-1+A5847*0.25</f>
        <v>1</v>
      </c>
      <c r="F5847" s="0" t="n">
        <f aca="false">-1+B5847*0.25</f>
        <v>-1</v>
      </c>
      <c r="G5847" s="0" t="n">
        <f aca="false">-1+C5847*0.25</f>
        <v>-0.75</v>
      </c>
      <c r="H5847" s="0" t="n">
        <f aca="false">-1+D5847*0.25</f>
        <v>-0.75</v>
      </c>
      <c r="I5847" s="0" t="n">
        <f aca="false">1</f>
        <v>1</v>
      </c>
      <c r="J5847" s="0" t="n">
        <f aca="false">E5847</f>
        <v>1</v>
      </c>
      <c r="K5847" s="0" t="n">
        <f aca="false">F5847</f>
        <v>-1</v>
      </c>
      <c r="L5847" s="0" t="n">
        <f aca="false">G5847</f>
        <v>-0.75</v>
      </c>
      <c r="M5847" s="0" t="n">
        <f aca="false">H5847</f>
        <v>-0.75</v>
      </c>
      <c r="N5847" s="0" t="n">
        <f aca="false">E5847*F5847</f>
        <v>-1</v>
      </c>
      <c r="O5847" s="0" t="n">
        <f aca="false">E5847*G5847</f>
        <v>-0.75</v>
      </c>
      <c r="P5847" s="0" t="n">
        <f aca="false">E5847*H5847</f>
        <v>-0.75</v>
      </c>
      <c r="Q5847" s="0" t="n">
        <f aca="false">F5847*G5847</f>
        <v>0.75</v>
      </c>
      <c r="R5847" s="0" t="n">
        <f aca="false">F5847*H5847</f>
        <v>0.75</v>
      </c>
      <c r="S5847" s="0" t="n">
        <f aca="false">G5847*H5847</f>
        <v>0.5625</v>
      </c>
      <c r="T5847" s="0" t="n">
        <f aca="false">E5847*E5847</f>
        <v>1</v>
      </c>
      <c r="U5847" s="0" t="n">
        <f aca="false">F5847*F5847</f>
        <v>1</v>
      </c>
      <c r="V5847" s="0" t="n">
        <f aca="false">G5847*G5847</f>
        <v>0.5625</v>
      </c>
      <c r="W5847" s="0" t="n">
        <f aca="false">H5847*H5847</f>
        <v>0.5625</v>
      </c>
      <c r="X5847" s="0" t="n">
        <f aca="false">SUMPRODUCT(I5847:W5847,_XtX!$B$96:$P$96)</f>
        <v>40.5188824926901</v>
      </c>
      <c r="Y5847" s="0" t="n">
        <f aca="false">SUMPRODUCT(MMULT(I5847:W5847,_XtX!$B$78:$P$92),I5847:W5847)</f>
        <v>0.531311392086988</v>
      </c>
      <c r="Z5847" s="0" t="n">
        <f aca="false">04_回帰ANOVA!$K$19*04_回帰ANOVA!$K$14*SQRT(1+Y5847)</f>
        <v>1.61298433431428</v>
      </c>
      <c r="AA5847" s="0" t="n">
        <f aca="false">X5847-Z5847</f>
        <v>38.9058981583758</v>
      </c>
      <c r="AB5847" s="0" t="n">
        <f aca="false">X5847+Z5847</f>
        <v>42.1318668270044</v>
      </c>
      <c r="AC5847" s="54" t="b">
        <f aca="false">AND(E5847&gt;=01_因子設定!$L$5-0.000000001,E5847&lt;=01_因子設定!$M$5+0.000000001,F5847&gt;=01_因子設定!$L$6-0.000000001,F5847&lt;=01_因子設定!$M$6+0.000000001,G5847&gt;=01_因子設定!$L$7-0.000000001,G5847&lt;=01_因子設定!$M$7+0.000000001,H5847&gt;=01_因子設定!$L$8-0.000000001,H5847&lt;=01_因子設定!$M$8+0.000000001,IF(01_因子設定!$B$20="Box-Behnken",E5847^2+F5847^2+G5847^2+H5847^2&lt;=2+0.000000001,TRUE()))</f>
        <v>1</v>
      </c>
      <c r="AD5847" s="55" t="n">
        <f aca="false">IF(AC5847,IF(01_因子設定!$B$13="最大化",AA5847-01_因子設定!$B$14,IF(01_因子設定!$B$13="最小化",01_因子設定!$B$15-AB5847,MIN(AA5847-01_因子設定!$B$14,01_因子設定!$B$15-AB5847))),-1E+030)</f>
        <v>-7.59410184162418</v>
      </c>
      <c r="AE5847" s="55" t="n">
        <f aca="false">IF(AC5847,IF(01_因子設定!$B$13="最大化",X5847,IF(01_因子設定!$B$13="最小化",-X5847,-ABS(X5847-01_因子設定!$B$16))),-1E+030)</f>
        <v>40.5188824926901</v>
      </c>
      <c r="AF5847" s="55" t="n">
        <f aca="false">AD5847+ROW()*0.000000001</f>
        <v>-7.59409599462418</v>
      </c>
      <c r="AG5847" s="55" t="n">
        <f aca="false">AE5847+ROW()*0.000000001</f>
        <v>40.5188883396901</v>
      </c>
    </row>
    <row r="5848" customFormat="false" ht="15" hidden="false" customHeight="false" outlineLevel="0" collapsed="false">
      <c r="A5848" s="0" t="n">
        <v>8</v>
      </c>
      <c r="B5848" s="0" t="n">
        <v>0</v>
      </c>
      <c r="C5848" s="0" t="n">
        <v>1</v>
      </c>
      <c r="D5848" s="0" t="n">
        <v>2</v>
      </c>
      <c r="E5848" s="0" t="n">
        <f aca="false">-1+A5848*0.25</f>
        <v>1</v>
      </c>
      <c r="F5848" s="0" t="n">
        <f aca="false">-1+B5848*0.25</f>
        <v>-1</v>
      </c>
      <c r="G5848" s="0" t="n">
        <f aca="false">-1+C5848*0.25</f>
        <v>-0.75</v>
      </c>
      <c r="H5848" s="0" t="n">
        <f aca="false">-1+D5848*0.25</f>
        <v>-0.5</v>
      </c>
      <c r="I5848" s="0" t="n">
        <f aca="false">1</f>
        <v>1</v>
      </c>
      <c r="J5848" s="0" t="n">
        <f aca="false">E5848</f>
        <v>1</v>
      </c>
      <c r="K5848" s="0" t="n">
        <f aca="false">F5848</f>
        <v>-1</v>
      </c>
      <c r="L5848" s="0" t="n">
        <f aca="false">G5848</f>
        <v>-0.75</v>
      </c>
      <c r="M5848" s="0" t="n">
        <f aca="false">H5848</f>
        <v>-0.5</v>
      </c>
      <c r="N5848" s="0" t="n">
        <f aca="false">E5848*F5848</f>
        <v>-1</v>
      </c>
      <c r="O5848" s="0" t="n">
        <f aca="false">E5848*G5848</f>
        <v>-0.75</v>
      </c>
      <c r="P5848" s="0" t="n">
        <f aca="false">E5848*H5848</f>
        <v>-0.5</v>
      </c>
      <c r="Q5848" s="0" t="n">
        <f aca="false">F5848*G5848</f>
        <v>0.75</v>
      </c>
      <c r="R5848" s="0" t="n">
        <f aca="false">F5848*H5848</f>
        <v>0.5</v>
      </c>
      <c r="S5848" s="0" t="n">
        <f aca="false">G5848*H5848</f>
        <v>0.375</v>
      </c>
      <c r="T5848" s="0" t="n">
        <f aca="false">E5848*E5848</f>
        <v>1</v>
      </c>
      <c r="U5848" s="0" t="n">
        <f aca="false">F5848*F5848</f>
        <v>1</v>
      </c>
      <c r="V5848" s="0" t="n">
        <f aca="false">G5848*G5848</f>
        <v>0.5625</v>
      </c>
      <c r="W5848" s="0" t="n">
        <f aca="false">H5848*H5848</f>
        <v>0.25</v>
      </c>
      <c r="X5848" s="0" t="n">
        <f aca="false">SUMPRODUCT(I5848:W5848,_XtX!$B$96:$P$96)</f>
        <v>40.7702576754386</v>
      </c>
      <c r="Y5848" s="0" t="n">
        <f aca="false">SUMPRODUCT(MMULT(I5848:W5848,_XtX!$B$78:$P$92),I5848:W5848)</f>
        <v>0.564984237938597</v>
      </c>
      <c r="Z5848" s="0" t="n">
        <f aca="false">04_回帰ANOVA!$K$19*04_回帰ANOVA!$K$14*SQRT(1+Y5848)</f>
        <v>1.63062229734503</v>
      </c>
      <c r="AA5848" s="0" t="n">
        <f aca="false">X5848-Z5848</f>
        <v>39.1396353780936</v>
      </c>
      <c r="AB5848" s="0" t="n">
        <f aca="false">X5848+Z5848</f>
        <v>42.4008799727837</v>
      </c>
      <c r="AC5848" s="54" t="b">
        <f aca="false">AND(E5848&gt;=01_因子設定!$L$5-0.000000001,E5848&lt;=01_因子設定!$M$5+0.000000001,F5848&gt;=01_因子設定!$L$6-0.000000001,F5848&lt;=01_因子設定!$M$6+0.000000001,G5848&gt;=01_因子設定!$L$7-0.000000001,G5848&lt;=01_因子設定!$M$7+0.000000001,H5848&gt;=01_因子設定!$L$8-0.000000001,H5848&lt;=01_因子設定!$M$8+0.000000001,IF(01_因子設定!$B$20="Box-Behnken",E5848^2+F5848^2+G5848^2+H5848^2&lt;=2+0.000000001,TRUE()))</f>
        <v>1</v>
      </c>
      <c r="AD5848" s="55" t="n">
        <f aca="false">IF(AC5848,IF(01_因子設定!$B$13="最大化",AA5848-01_因子設定!$B$14,IF(01_因子設定!$B$13="最小化",01_因子設定!$B$15-AB5848,MIN(AA5848-01_因子設定!$B$14,01_因子設定!$B$15-AB5848))),-1E+030)</f>
        <v>-7.36036462190641</v>
      </c>
      <c r="AE5848" s="55" t="n">
        <f aca="false">IF(AC5848,IF(01_因子設定!$B$13="最大化",X5848,IF(01_因子設定!$B$13="最小化",-X5848,-ABS(X5848-01_因子設定!$B$16))),-1E+030)</f>
        <v>40.7702576754386</v>
      </c>
      <c r="AF5848" s="55" t="n">
        <f aca="false">AD5848+ROW()*0.000000001</f>
        <v>-7.36035877390641</v>
      </c>
      <c r="AG5848" s="55" t="n">
        <f aca="false">AE5848+ROW()*0.000000001</f>
        <v>40.7702635234386</v>
      </c>
    </row>
    <row r="5849" customFormat="false" ht="15" hidden="false" customHeight="false" outlineLevel="0" collapsed="false">
      <c r="A5849" s="0" t="n">
        <v>8</v>
      </c>
      <c r="B5849" s="0" t="n">
        <v>0</v>
      </c>
      <c r="C5849" s="0" t="n">
        <v>1</v>
      </c>
      <c r="D5849" s="0" t="n">
        <v>3</v>
      </c>
      <c r="E5849" s="0" t="n">
        <f aca="false">-1+A5849*0.25</f>
        <v>1</v>
      </c>
      <c r="F5849" s="0" t="n">
        <f aca="false">-1+B5849*0.25</f>
        <v>-1</v>
      </c>
      <c r="G5849" s="0" t="n">
        <f aca="false">-1+C5849*0.25</f>
        <v>-0.75</v>
      </c>
      <c r="H5849" s="0" t="n">
        <f aca="false">-1+D5849*0.25</f>
        <v>-0.25</v>
      </c>
      <c r="I5849" s="0" t="n">
        <f aca="false">1</f>
        <v>1</v>
      </c>
      <c r="J5849" s="0" t="n">
        <f aca="false">E5849</f>
        <v>1</v>
      </c>
      <c r="K5849" s="0" t="n">
        <f aca="false">F5849</f>
        <v>-1</v>
      </c>
      <c r="L5849" s="0" t="n">
        <f aca="false">G5849</f>
        <v>-0.75</v>
      </c>
      <c r="M5849" s="0" t="n">
        <f aca="false">H5849</f>
        <v>-0.25</v>
      </c>
      <c r="N5849" s="0" t="n">
        <f aca="false">E5849*F5849</f>
        <v>-1</v>
      </c>
      <c r="O5849" s="0" t="n">
        <f aca="false">E5849*G5849</f>
        <v>-0.75</v>
      </c>
      <c r="P5849" s="0" t="n">
        <f aca="false">E5849*H5849</f>
        <v>-0.25</v>
      </c>
      <c r="Q5849" s="0" t="n">
        <f aca="false">F5849*G5849</f>
        <v>0.75</v>
      </c>
      <c r="R5849" s="0" t="n">
        <f aca="false">F5849*H5849</f>
        <v>0.25</v>
      </c>
      <c r="S5849" s="0" t="n">
        <f aca="false">G5849*H5849</f>
        <v>0.1875</v>
      </c>
      <c r="T5849" s="0" t="n">
        <f aca="false">E5849*E5849</f>
        <v>1</v>
      </c>
      <c r="U5849" s="0" t="n">
        <f aca="false">F5849*F5849</f>
        <v>1</v>
      </c>
      <c r="V5849" s="0" t="n">
        <f aca="false">G5849*G5849</f>
        <v>0.5625</v>
      </c>
      <c r="W5849" s="0" t="n">
        <f aca="false">H5849*H5849</f>
        <v>0.0625</v>
      </c>
      <c r="X5849" s="0" t="n">
        <f aca="false">SUMPRODUCT(I5849:W5849,_XtX!$B$96:$P$96)</f>
        <v>40.9738258406433</v>
      </c>
      <c r="Y5849" s="0" t="n">
        <f aca="false">SUMPRODUCT(MMULT(I5849:W5849,_XtX!$B$78:$P$92),I5849:W5849)</f>
        <v>0.621372155975877</v>
      </c>
      <c r="Z5849" s="0" t="n">
        <f aca="false">04_回帰ANOVA!$K$19*04_回帰ANOVA!$K$14*SQRT(1+Y5849)</f>
        <v>1.65973880499872</v>
      </c>
      <c r="AA5849" s="0" t="n">
        <f aca="false">X5849-Z5849</f>
        <v>39.3140870356446</v>
      </c>
      <c r="AB5849" s="0" t="n">
        <f aca="false">X5849+Z5849</f>
        <v>42.633564645642</v>
      </c>
      <c r="AC5849" s="54" t="b">
        <f aca="false">AND(E5849&gt;=01_因子設定!$L$5-0.000000001,E5849&lt;=01_因子設定!$M$5+0.000000001,F5849&gt;=01_因子設定!$L$6-0.000000001,F5849&lt;=01_因子設定!$M$6+0.000000001,G5849&gt;=01_因子設定!$L$7-0.000000001,G5849&lt;=01_因子設定!$M$7+0.000000001,H5849&gt;=01_因子設定!$L$8-0.000000001,H5849&lt;=01_因子設定!$M$8+0.000000001,IF(01_因子設定!$B$20="Box-Behnken",E5849^2+F5849^2+G5849^2+H5849^2&lt;=2+0.000000001,TRUE()))</f>
        <v>1</v>
      </c>
      <c r="AD5849" s="55" t="n">
        <f aca="false">IF(AC5849,IF(01_因子設定!$B$13="最大化",AA5849-01_因子設定!$B$14,IF(01_因子設定!$B$13="最小化",01_因子設定!$B$15-AB5849,MIN(AA5849-01_因子設定!$B$14,01_因子設定!$B$15-AB5849))),-1E+030)</f>
        <v>-7.18591296435542</v>
      </c>
      <c r="AE5849" s="55" t="n">
        <f aca="false">IF(AC5849,IF(01_因子設定!$B$13="最大化",X5849,IF(01_因子設定!$B$13="最小化",-X5849,-ABS(X5849-01_因子設定!$B$16))),-1E+030)</f>
        <v>40.9738258406433</v>
      </c>
      <c r="AF5849" s="55" t="n">
        <f aca="false">AD5849+ROW()*0.000000001</f>
        <v>-7.18590711535542</v>
      </c>
      <c r="AG5849" s="55" t="n">
        <f aca="false">AE5849+ROW()*0.000000001</f>
        <v>40.9738316896433</v>
      </c>
    </row>
    <row r="5850" customFormat="false" ht="15" hidden="false" customHeight="false" outlineLevel="0" collapsed="false">
      <c r="A5850" s="0" t="n">
        <v>8</v>
      </c>
      <c r="B5850" s="0" t="n">
        <v>0</v>
      </c>
      <c r="C5850" s="0" t="n">
        <v>1</v>
      </c>
      <c r="D5850" s="0" t="n">
        <v>4</v>
      </c>
      <c r="E5850" s="0" t="n">
        <f aca="false">-1+A5850*0.25</f>
        <v>1</v>
      </c>
      <c r="F5850" s="0" t="n">
        <f aca="false">-1+B5850*0.25</f>
        <v>-1</v>
      </c>
      <c r="G5850" s="0" t="n">
        <f aca="false">-1+C5850*0.25</f>
        <v>-0.75</v>
      </c>
      <c r="H5850" s="0" t="n">
        <f aca="false">-1+D5850*0.25</f>
        <v>0</v>
      </c>
      <c r="I5850" s="0" t="n">
        <f aca="false">1</f>
        <v>1</v>
      </c>
      <c r="J5850" s="0" t="n">
        <f aca="false">E5850</f>
        <v>1</v>
      </c>
      <c r="K5850" s="0" t="n">
        <f aca="false">F5850</f>
        <v>-1</v>
      </c>
      <c r="L5850" s="0" t="n">
        <f aca="false">G5850</f>
        <v>-0.75</v>
      </c>
      <c r="M5850" s="0" t="n">
        <f aca="false">H5850</f>
        <v>0</v>
      </c>
      <c r="N5850" s="0" t="n">
        <f aca="false">E5850*F5850</f>
        <v>-1</v>
      </c>
      <c r="O5850" s="0" t="n">
        <f aca="false">E5850*G5850</f>
        <v>-0.75</v>
      </c>
      <c r="P5850" s="0" t="n">
        <f aca="false">E5850*H5850</f>
        <v>0</v>
      </c>
      <c r="Q5850" s="0" t="n">
        <f aca="false">F5850*G5850</f>
        <v>0.75</v>
      </c>
      <c r="R5850" s="0" t="n">
        <f aca="false">F5850*H5850</f>
        <v>-0</v>
      </c>
      <c r="S5850" s="0" t="n">
        <f aca="false">G5850*H5850</f>
        <v>-0</v>
      </c>
      <c r="T5850" s="0" t="n">
        <f aca="false">E5850*E5850</f>
        <v>1</v>
      </c>
      <c r="U5850" s="0" t="n">
        <f aca="false">F5850*F5850</f>
        <v>1</v>
      </c>
      <c r="V5850" s="0" t="n">
        <f aca="false">G5850*G5850</f>
        <v>0.5625</v>
      </c>
      <c r="W5850" s="0" t="n">
        <f aca="false">H5850*H5850</f>
        <v>0</v>
      </c>
      <c r="X5850" s="0" t="n">
        <f aca="false">SUMPRODUCT(I5850:W5850,_XtX!$B$96:$P$96)</f>
        <v>41.1295869883041</v>
      </c>
      <c r="Y5850" s="0" t="n">
        <f aca="false">SUMPRODUCT(MMULT(I5850:W5850,_XtX!$B$78:$P$92),I5850:W5850)</f>
        <v>0.646198830409357</v>
      </c>
      <c r="Z5850" s="0" t="n">
        <f aca="false">04_回帰ANOVA!$K$19*04_回帰ANOVA!$K$14*SQRT(1+Y5850)</f>
        <v>1.67239760569756</v>
      </c>
      <c r="AA5850" s="0" t="n">
        <f aca="false">X5850-Z5850</f>
        <v>39.4571893826066</v>
      </c>
      <c r="AB5850" s="0" t="n">
        <f aca="false">X5850+Z5850</f>
        <v>42.8019845940017</v>
      </c>
      <c r="AC5850" s="54" t="b">
        <f aca="false">AND(E5850&gt;=01_因子設定!$L$5-0.000000001,E5850&lt;=01_因子設定!$M$5+0.000000001,F5850&gt;=01_因子設定!$L$6-0.000000001,F5850&lt;=01_因子設定!$M$6+0.000000001,G5850&gt;=01_因子設定!$L$7-0.000000001,G5850&lt;=01_因子設定!$M$7+0.000000001,H5850&gt;=01_因子設定!$L$8-0.000000001,H5850&lt;=01_因子設定!$M$8+0.000000001,IF(01_因子設定!$B$20="Box-Behnken",E5850^2+F5850^2+G5850^2+H5850^2&lt;=2+0.000000001,TRUE()))</f>
        <v>1</v>
      </c>
      <c r="AD5850" s="55" t="n">
        <f aca="false">IF(AC5850,IF(01_因子設定!$B$13="最大化",AA5850-01_因子設定!$B$14,IF(01_因子設定!$B$13="最小化",01_因子設定!$B$15-AB5850,MIN(AA5850-01_因子設定!$B$14,01_因子設定!$B$15-AB5850))),-1E+030)</f>
        <v>-7.04281061739344</v>
      </c>
      <c r="AE5850" s="55" t="n">
        <f aca="false">IF(AC5850,IF(01_因子設定!$B$13="最大化",X5850,IF(01_因子設定!$B$13="最小化",-X5850,-ABS(X5850-01_因子設定!$B$16))),-1E+030)</f>
        <v>41.1295869883041</v>
      </c>
      <c r="AF5850" s="55" t="n">
        <f aca="false">AD5850+ROW()*0.000000001</f>
        <v>-7.04280476739344</v>
      </c>
      <c r="AG5850" s="55" t="n">
        <f aca="false">AE5850+ROW()*0.000000001</f>
        <v>41.1295928383041</v>
      </c>
    </row>
    <row r="5851" customFormat="false" ht="15" hidden="false" customHeight="false" outlineLevel="0" collapsed="false">
      <c r="A5851" s="0" t="n">
        <v>8</v>
      </c>
      <c r="B5851" s="0" t="n">
        <v>0</v>
      </c>
      <c r="C5851" s="0" t="n">
        <v>1</v>
      </c>
      <c r="D5851" s="0" t="n">
        <v>5</v>
      </c>
      <c r="E5851" s="0" t="n">
        <f aca="false">-1+A5851*0.25</f>
        <v>1</v>
      </c>
      <c r="F5851" s="0" t="n">
        <f aca="false">-1+B5851*0.25</f>
        <v>-1</v>
      </c>
      <c r="G5851" s="0" t="n">
        <f aca="false">-1+C5851*0.25</f>
        <v>-0.75</v>
      </c>
      <c r="H5851" s="0" t="n">
        <f aca="false">-1+D5851*0.25</f>
        <v>0.25</v>
      </c>
      <c r="I5851" s="0" t="n">
        <f aca="false">1</f>
        <v>1</v>
      </c>
      <c r="J5851" s="0" t="n">
        <f aca="false">E5851</f>
        <v>1</v>
      </c>
      <c r="K5851" s="0" t="n">
        <f aca="false">F5851</f>
        <v>-1</v>
      </c>
      <c r="L5851" s="0" t="n">
        <f aca="false">G5851</f>
        <v>-0.75</v>
      </c>
      <c r="M5851" s="0" t="n">
        <f aca="false">H5851</f>
        <v>0.25</v>
      </c>
      <c r="N5851" s="0" t="n">
        <f aca="false">E5851*F5851</f>
        <v>-1</v>
      </c>
      <c r="O5851" s="0" t="n">
        <f aca="false">E5851*G5851</f>
        <v>-0.75</v>
      </c>
      <c r="P5851" s="0" t="n">
        <f aca="false">E5851*H5851</f>
        <v>0.25</v>
      </c>
      <c r="Q5851" s="0" t="n">
        <f aca="false">F5851*G5851</f>
        <v>0.75</v>
      </c>
      <c r="R5851" s="0" t="n">
        <f aca="false">F5851*H5851</f>
        <v>-0.25</v>
      </c>
      <c r="S5851" s="0" t="n">
        <f aca="false">G5851*H5851</f>
        <v>-0.1875</v>
      </c>
      <c r="T5851" s="0" t="n">
        <f aca="false">E5851*E5851</f>
        <v>1</v>
      </c>
      <c r="U5851" s="0" t="n">
        <f aca="false">F5851*F5851</f>
        <v>1</v>
      </c>
      <c r="V5851" s="0" t="n">
        <f aca="false">G5851*G5851</f>
        <v>0.5625</v>
      </c>
      <c r="W5851" s="0" t="n">
        <f aca="false">H5851*H5851</f>
        <v>0.0625</v>
      </c>
      <c r="X5851" s="0" t="n">
        <f aca="false">SUMPRODUCT(I5851:W5851,_XtX!$B$96:$P$96)</f>
        <v>41.2375411184211</v>
      </c>
      <c r="Y5851" s="0" t="n">
        <f aca="false">SUMPRODUCT(MMULT(I5851:W5851,_XtX!$B$78:$P$92),I5851:W5851)</f>
        <v>0.621372155975877</v>
      </c>
      <c r="Z5851" s="0" t="n">
        <f aca="false">04_回帰ANOVA!$K$19*04_回帰ANOVA!$K$14*SQRT(1+Y5851)</f>
        <v>1.65973880499872</v>
      </c>
      <c r="AA5851" s="0" t="n">
        <f aca="false">X5851-Z5851</f>
        <v>39.5778023134224</v>
      </c>
      <c r="AB5851" s="0" t="n">
        <f aca="false">X5851+Z5851</f>
        <v>42.8972799234198</v>
      </c>
      <c r="AC5851" s="54" t="b">
        <f aca="false">AND(E5851&gt;=01_因子設定!$L$5-0.000000001,E5851&lt;=01_因子設定!$M$5+0.000000001,F5851&gt;=01_因子設定!$L$6-0.000000001,F5851&lt;=01_因子設定!$M$6+0.000000001,G5851&gt;=01_因子設定!$L$7-0.000000001,G5851&lt;=01_因子設定!$M$7+0.000000001,H5851&gt;=01_因子設定!$L$8-0.000000001,H5851&lt;=01_因子設定!$M$8+0.000000001,IF(01_因子設定!$B$20="Box-Behnken",E5851^2+F5851^2+G5851^2+H5851^2&lt;=2+0.000000001,TRUE()))</f>
        <v>1</v>
      </c>
      <c r="AD5851" s="55" t="n">
        <f aca="false">IF(AC5851,IF(01_因子設定!$B$13="最大化",AA5851-01_因子設定!$B$14,IF(01_因子設定!$B$13="最小化",01_因子設定!$B$15-AB5851,MIN(AA5851-01_因子設定!$B$14,01_因子設定!$B$15-AB5851))),-1E+030)</f>
        <v>-6.92219768657764</v>
      </c>
      <c r="AE5851" s="55" t="n">
        <f aca="false">IF(AC5851,IF(01_因子設定!$B$13="最大化",X5851,IF(01_因子設定!$B$13="最小化",-X5851,-ABS(X5851-01_因子設定!$B$16))),-1E+030)</f>
        <v>41.2375411184211</v>
      </c>
      <c r="AF5851" s="55" t="n">
        <f aca="false">AD5851+ROW()*0.000000001</f>
        <v>-6.92219183557764</v>
      </c>
      <c r="AG5851" s="55" t="n">
        <f aca="false">AE5851+ROW()*0.000000001</f>
        <v>41.2375469694211</v>
      </c>
    </row>
    <row r="5852" customFormat="false" ht="15" hidden="false" customHeight="false" outlineLevel="0" collapsed="false">
      <c r="A5852" s="0" t="n">
        <v>8</v>
      </c>
      <c r="B5852" s="0" t="n">
        <v>0</v>
      </c>
      <c r="C5852" s="0" t="n">
        <v>1</v>
      </c>
      <c r="D5852" s="0" t="n">
        <v>6</v>
      </c>
      <c r="E5852" s="0" t="n">
        <f aca="false">-1+A5852*0.25</f>
        <v>1</v>
      </c>
      <c r="F5852" s="0" t="n">
        <f aca="false">-1+B5852*0.25</f>
        <v>-1</v>
      </c>
      <c r="G5852" s="0" t="n">
        <f aca="false">-1+C5852*0.25</f>
        <v>-0.75</v>
      </c>
      <c r="H5852" s="0" t="n">
        <f aca="false">-1+D5852*0.25</f>
        <v>0.5</v>
      </c>
      <c r="I5852" s="0" t="n">
        <f aca="false">1</f>
        <v>1</v>
      </c>
      <c r="J5852" s="0" t="n">
        <f aca="false">E5852</f>
        <v>1</v>
      </c>
      <c r="K5852" s="0" t="n">
        <f aca="false">F5852</f>
        <v>-1</v>
      </c>
      <c r="L5852" s="0" t="n">
        <f aca="false">G5852</f>
        <v>-0.75</v>
      </c>
      <c r="M5852" s="0" t="n">
        <f aca="false">H5852</f>
        <v>0.5</v>
      </c>
      <c r="N5852" s="0" t="n">
        <f aca="false">E5852*F5852</f>
        <v>-1</v>
      </c>
      <c r="O5852" s="0" t="n">
        <f aca="false">E5852*G5852</f>
        <v>-0.75</v>
      </c>
      <c r="P5852" s="0" t="n">
        <f aca="false">E5852*H5852</f>
        <v>0.5</v>
      </c>
      <c r="Q5852" s="0" t="n">
        <f aca="false">F5852*G5852</f>
        <v>0.75</v>
      </c>
      <c r="R5852" s="0" t="n">
        <f aca="false">F5852*H5852</f>
        <v>-0.5</v>
      </c>
      <c r="S5852" s="0" t="n">
        <f aca="false">G5852*H5852</f>
        <v>-0.375</v>
      </c>
      <c r="T5852" s="0" t="n">
        <f aca="false">E5852*E5852</f>
        <v>1</v>
      </c>
      <c r="U5852" s="0" t="n">
        <f aca="false">F5852*F5852</f>
        <v>1</v>
      </c>
      <c r="V5852" s="0" t="n">
        <f aca="false">G5852*G5852</f>
        <v>0.5625</v>
      </c>
      <c r="W5852" s="0" t="n">
        <f aca="false">H5852*H5852</f>
        <v>0.25</v>
      </c>
      <c r="X5852" s="0" t="n">
        <f aca="false">SUMPRODUCT(I5852:W5852,_XtX!$B$96:$P$96)</f>
        <v>41.2976882309942</v>
      </c>
      <c r="Y5852" s="0" t="n">
        <f aca="false">SUMPRODUCT(MMULT(I5852:W5852,_XtX!$B$78:$P$92),I5852:W5852)</f>
        <v>0.564984237938597</v>
      </c>
      <c r="Z5852" s="0" t="n">
        <f aca="false">04_回帰ANOVA!$K$19*04_回帰ANOVA!$K$14*SQRT(1+Y5852)</f>
        <v>1.63062229734503</v>
      </c>
      <c r="AA5852" s="0" t="n">
        <f aca="false">X5852-Z5852</f>
        <v>39.6670659336492</v>
      </c>
      <c r="AB5852" s="0" t="n">
        <f aca="false">X5852+Z5852</f>
        <v>42.9283105283392</v>
      </c>
      <c r="AC5852" s="54" t="b">
        <f aca="false">AND(E5852&gt;=01_因子設定!$L$5-0.000000001,E5852&lt;=01_因子設定!$M$5+0.000000001,F5852&gt;=01_因子設定!$L$6-0.000000001,F5852&lt;=01_因子設定!$M$6+0.000000001,G5852&gt;=01_因子設定!$L$7-0.000000001,G5852&lt;=01_因子設定!$M$7+0.000000001,H5852&gt;=01_因子設定!$L$8-0.000000001,H5852&lt;=01_因子設定!$M$8+0.000000001,IF(01_因子設定!$B$20="Box-Behnken",E5852^2+F5852^2+G5852^2+H5852^2&lt;=2+0.000000001,TRUE()))</f>
        <v>1</v>
      </c>
      <c r="AD5852" s="55" t="n">
        <f aca="false">IF(AC5852,IF(01_因子設定!$B$13="最大化",AA5852-01_因子設定!$B$14,IF(01_因子設定!$B$13="最小化",01_因子設定!$B$15-AB5852,MIN(AA5852-01_因子設定!$B$14,01_因子設定!$B$15-AB5852))),-1E+030)</f>
        <v>-6.83293406635085</v>
      </c>
      <c r="AE5852" s="55" t="n">
        <f aca="false">IF(AC5852,IF(01_因子設定!$B$13="最大化",X5852,IF(01_因子設定!$B$13="最小化",-X5852,-ABS(X5852-01_因子設定!$B$16))),-1E+030)</f>
        <v>41.2976882309942</v>
      </c>
      <c r="AF5852" s="55" t="n">
        <f aca="false">AD5852+ROW()*0.000000001</f>
        <v>-6.83292821435084</v>
      </c>
      <c r="AG5852" s="55" t="n">
        <f aca="false">AE5852+ROW()*0.000000001</f>
        <v>41.2976940829942</v>
      </c>
    </row>
    <row r="5853" customFormat="false" ht="15" hidden="false" customHeight="false" outlineLevel="0" collapsed="false">
      <c r="A5853" s="0" t="n">
        <v>8</v>
      </c>
      <c r="B5853" s="0" t="n">
        <v>0</v>
      </c>
      <c r="C5853" s="0" t="n">
        <v>1</v>
      </c>
      <c r="D5853" s="0" t="n">
        <v>7</v>
      </c>
      <c r="E5853" s="0" t="n">
        <f aca="false">-1+A5853*0.25</f>
        <v>1</v>
      </c>
      <c r="F5853" s="0" t="n">
        <f aca="false">-1+B5853*0.25</f>
        <v>-1</v>
      </c>
      <c r="G5853" s="0" t="n">
        <f aca="false">-1+C5853*0.25</f>
        <v>-0.75</v>
      </c>
      <c r="H5853" s="0" t="n">
        <f aca="false">-1+D5853*0.25</f>
        <v>0.75</v>
      </c>
      <c r="I5853" s="0" t="n">
        <f aca="false">1</f>
        <v>1</v>
      </c>
      <c r="J5853" s="0" t="n">
        <f aca="false">E5853</f>
        <v>1</v>
      </c>
      <c r="K5853" s="0" t="n">
        <f aca="false">F5853</f>
        <v>-1</v>
      </c>
      <c r="L5853" s="0" t="n">
        <f aca="false">G5853</f>
        <v>-0.75</v>
      </c>
      <c r="M5853" s="0" t="n">
        <f aca="false">H5853</f>
        <v>0.75</v>
      </c>
      <c r="N5853" s="0" t="n">
        <f aca="false">E5853*F5853</f>
        <v>-1</v>
      </c>
      <c r="O5853" s="0" t="n">
        <f aca="false">E5853*G5853</f>
        <v>-0.75</v>
      </c>
      <c r="P5853" s="0" t="n">
        <f aca="false">E5853*H5853</f>
        <v>0.75</v>
      </c>
      <c r="Q5853" s="0" t="n">
        <f aca="false">F5853*G5853</f>
        <v>0.75</v>
      </c>
      <c r="R5853" s="0" t="n">
        <f aca="false">F5853*H5853</f>
        <v>-0.75</v>
      </c>
      <c r="S5853" s="0" t="n">
        <f aca="false">G5853*H5853</f>
        <v>-0.5625</v>
      </c>
      <c r="T5853" s="0" t="n">
        <f aca="false">E5853*E5853</f>
        <v>1</v>
      </c>
      <c r="U5853" s="0" t="n">
        <f aca="false">F5853*F5853</f>
        <v>1</v>
      </c>
      <c r="V5853" s="0" t="n">
        <f aca="false">G5853*G5853</f>
        <v>0.5625</v>
      </c>
      <c r="W5853" s="0" t="n">
        <f aca="false">H5853*H5853</f>
        <v>0.5625</v>
      </c>
      <c r="X5853" s="0" t="n">
        <f aca="false">SUMPRODUCT(I5853:W5853,_XtX!$B$96:$P$96)</f>
        <v>41.3100283260234</v>
      </c>
      <c r="Y5853" s="0" t="n">
        <f aca="false">SUMPRODUCT(MMULT(I5853:W5853,_XtX!$B$78:$P$92),I5853:W5853)</f>
        <v>0.531311392086988</v>
      </c>
      <c r="Z5853" s="0" t="n">
        <f aca="false">04_回帰ANOVA!$K$19*04_回帰ANOVA!$K$14*SQRT(1+Y5853)</f>
        <v>1.61298433431428</v>
      </c>
      <c r="AA5853" s="0" t="n">
        <f aca="false">X5853-Z5853</f>
        <v>39.6970439917092</v>
      </c>
      <c r="AB5853" s="0" t="n">
        <f aca="false">X5853+Z5853</f>
        <v>42.9230126603377</v>
      </c>
      <c r="AC5853" s="54" t="b">
        <f aca="false">AND(E5853&gt;=01_因子設定!$L$5-0.000000001,E5853&lt;=01_因子設定!$M$5+0.000000001,F5853&gt;=01_因子設定!$L$6-0.000000001,F5853&lt;=01_因子設定!$M$6+0.000000001,G5853&gt;=01_因子設定!$L$7-0.000000001,G5853&lt;=01_因子設定!$M$7+0.000000001,H5853&gt;=01_因子設定!$L$8-0.000000001,H5853&lt;=01_因子設定!$M$8+0.000000001,IF(01_因子設定!$B$20="Box-Behnken",E5853^2+F5853^2+G5853^2+H5853^2&lt;=2+0.000000001,TRUE()))</f>
        <v>1</v>
      </c>
      <c r="AD5853" s="55" t="n">
        <f aca="false">IF(AC5853,IF(01_因子設定!$B$13="最大化",AA5853-01_因子設定!$B$14,IF(01_因子設定!$B$13="最小化",01_因子設定!$B$15-AB5853,MIN(AA5853-01_因子設定!$B$14,01_因子設定!$B$15-AB5853))),-1E+030)</f>
        <v>-6.80295600829084</v>
      </c>
      <c r="AE5853" s="55" t="n">
        <f aca="false">IF(AC5853,IF(01_因子設定!$B$13="最大化",X5853,IF(01_因子設定!$B$13="最小化",-X5853,-ABS(X5853-01_因子設定!$B$16))),-1E+030)</f>
        <v>41.3100283260234</v>
      </c>
      <c r="AF5853" s="55" t="n">
        <f aca="false">AD5853+ROW()*0.000000001</f>
        <v>-6.80295015529084</v>
      </c>
      <c r="AG5853" s="55" t="n">
        <f aca="false">AE5853+ROW()*0.000000001</f>
        <v>41.3100341790234</v>
      </c>
    </row>
    <row r="5854" customFormat="false" ht="15" hidden="false" customHeight="false" outlineLevel="0" collapsed="false">
      <c r="A5854" s="0" t="n">
        <v>8</v>
      </c>
      <c r="B5854" s="0" t="n">
        <v>0</v>
      </c>
      <c r="C5854" s="0" t="n">
        <v>1</v>
      </c>
      <c r="D5854" s="0" t="n">
        <v>8</v>
      </c>
      <c r="E5854" s="0" t="n">
        <f aca="false">-1+A5854*0.25</f>
        <v>1</v>
      </c>
      <c r="F5854" s="0" t="n">
        <f aca="false">-1+B5854*0.25</f>
        <v>-1</v>
      </c>
      <c r="G5854" s="0" t="n">
        <f aca="false">-1+C5854*0.25</f>
        <v>-0.75</v>
      </c>
      <c r="H5854" s="0" t="n">
        <f aca="false">-1+D5854*0.25</f>
        <v>1</v>
      </c>
      <c r="I5854" s="0" t="n">
        <f aca="false">1</f>
        <v>1</v>
      </c>
      <c r="J5854" s="0" t="n">
        <f aca="false">E5854</f>
        <v>1</v>
      </c>
      <c r="K5854" s="0" t="n">
        <f aca="false">F5854</f>
        <v>-1</v>
      </c>
      <c r="L5854" s="0" t="n">
        <f aca="false">G5854</f>
        <v>-0.75</v>
      </c>
      <c r="M5854" s="0" t="n">
        <f aca="false">H5854</f>
        <v>1</v>
      </c>
      <c r="N5854" s="0" t="n">
        <f aca="false">E5854*F5854</f>
        <v>-1</v>
      </c>
      <c r="O5854" s="0" t="n">
        <f aca="false">E5854*G5854</f>
        <v>-0.75</v>
      </c>
      <c r="P5854" s="0" t="n">
        <f aca="false">E5854*H5854</f>
        <v>1</v>
      </c>
      <c r="Q5854" s="0" t="n">
        <f aca="false">F5854*G5854</f>
        <v>0.75</v>
      </c>
      <c r="R5854" s="0" t="n">
        <f aca="false">F5854*H5854</f>
        <v>-1</v>
      </c>
      <c r="S5854" s="0" t="n">
        <f aca="false">G5854*H5854</f>
        <v>-0.75</v>
      </c>
      <c r="T5854" s="0" t="n">
        <f aca="false">E5854*E5854</f>
        <v>1</v>
      </c>
      <c r="U5854" s="0" t="n">
        <f aca="false">F5854*F5854</f>
        <v>1</v>
      </c>
      <c r="V5854" s="0" t="n">
        <f aca="false">G5854*G5854</f>
        <v>0.5625</v>
      </c>
      <c r="W5854" s="0" t="n">
        <f aca="false">H5854*H5854</f>
        <v>1</v>
      </c>
      <c r="X5854" s="0" t="n">
        <f aca="false">SUMPRODUCT(I5854:W5854,_XtX!$B$96:$P$96)</f>
        <v>41.2745614035088</v>
      </c>
      <c r="Y5854" s="0" t="n">
        <f aca="false">SUMPRODUCT(MMULT(I5854:W5854,_XtX!$B$78:$P$92),I5854:W5854)</f>
        <v>0.610814144736842</v>
      </c>
      <c r="Z5854" s="0" t="n">
        <f aca="false">04_回帰ANOVA!$K$19*04_回帰ANOVA!$K$14*SQRT(1+Y5854)</f>
        <v>1.6543260558361</v>
      </c>
      <c r="AA5854" s="0" t="n">
        <f aca="false">X5854-Z5854</f>
        <v>39.6202353476727</v>
      </c>
      <c r="AB5854" s="0" t="n">
        <f aca="false">X5854+Z5854</f>
        <v>42.9288874593449</v>
      </c>
      <c r="AC5854" s="54" t="b">
        <f aca="false">AND(E5854&gt;=01_因子設定!$L$5-0.000000001,E5854&lt;=01_因子設定!$M$5+0.000000001,F5854&gt;=01_因子設定!$L$6-0.000000001,F5854&lt;=01_因子設定!$M$6+0.000000001,G5854&gt;=01_因子設定!$L$7-0.000000001,G5854&lt;=01_因子設定!$M$7+0.000000001,H5854&gt;=01_因子設定!$L$8-0.000000001,H5854&lt;=01_因子設定!$M$8+0.000000001,IF(01_因子設定!$B$20="Box-Behnken",E5854^2+F5854^2+G5854^2+H5854^2&lt;=2+0.000000001,TRUE()))</f>
        <v>1</v>
      </c>
      <c r="AD5854" s="55" t="n">
        <f aca="false">IF(AC5854,IF(01_因子設定!$B$13="最大化",AA5854-01_因子設定!$B$14,IF(01_因子設定!$B$13="最小化",01_因子設定!$B$15-AB5854,MIN(AA5854-01_因子設定!$B$14,01_因子設定!$B$15-AB5854))),-1E+030)</f>
        <v>-6.87976465232726</v>
      </c>
      <c r="AE5854" s="55" t="n">
        <f aca="false">IF(AC5854,IF(01_因子設定!$B$13="最大化",X5854,IF(01_因子設定!$B$13="最小化",-X5854,-ABS(X5854-01_因子設定!$B$16))),-1E+030)</f>
        <v>41.2745614035088</v>
      </c>
      <c r="AF5854" s="55" t="n">
        <f aca="false">AD5854+ROW()*0.000000001</f>
        <v>-6.87975879832726</v>
      </c>
      <c r="AG5854" s="55" t="n">
        <f aca="false">AE5854+ROW()*0.000000001</f>
        <v>41.2745672575088</v>
      </c>
    </row>
    <row r="5855" customFormat="false" ht="15" hidden="false" customHeight="false" outlineLevel="0" collapsed="false">
      <c r="A5855" s="0" t="n">
        <v>8</v>
      </c>
      <c r="B5855" s="0" t="n">
        <v>0</v>
      </c>
      <c r="C5855" s="0" t="n">
        <v>2</v>
      </c>
      <c r="D5855" s="0" t="n">
        <v>0</v>
      </c>
      <c r="E5855" s="0" t="n">
        <f aca="false">-1+A5855*0.25</f>
        <v>1</v>
      </c>
      <c r="F5855" s="0" t="n">
        <f aca="false">-1+B5855*0.25</f>
        <v>-1</v>
      </c>
      <c r="G5855" s="0" t="n">
        <f aca="false">-1+C5855*0.25</f>
        <v>-0.5</v>
      </c>
      <c r="H5855" s="0" t="n">
        <f aca="false">-1+D5855*0.25</f>
        <v>-1</v>
      </c>
      <c r="I5855" s="0" t="n">
        <f aca="false">1</f>
        <v>1</v>
      </c>
      <c r="J5855" s="0" t="n">
        <f aca="false">E5855</f>
        <v>1</v>
      </c>
      <c r="K5855" s="0" t="n">
        <f aca="false">F5855</f>
        <v>-1</v>
      </c>
      <c r="L5855" s="0" t="n">
        <f aca="false">G5855</f>
        <v>-0.5</v>
      </c>
      <c r="M5855" s="0" t="n">
        <f aca="false">H5855</f>
        <v>-1</v>
      </c>
      <c r="N5855" s="0" t="n">
        <f aca="false">E5855*F5855</f>
        <v>-1</v>
      </c>
      <c r="O5855" s="0" t="n">
        <f aca="false">E5855*G5855</f>
        <v>-0.5</v>
      </c>
      <c r="P5855" s="0" t="n">
        <f aca="false">E5855*H5855</f>
        <v>-1</v>
      </c>
      <c r="Q5855" s="0" t="n">
        <f aca="false">F5855*G5855</f>
        <v>0.5</v>
      </c>
      <c r="R5855" s="0" t="n">
        <f aca="false">F5855*H5855</f>
        <v>1</v>
      </c>
      <c r="S5855" s="0" t="n">
        <f aca="false">G5855*H5855</f>
        <v>0.5</v>
      </c>
      <c r="T5855" s="0" t="n">
        <f aca="false">E5855*E5855</f>
        <v>1</v>
      </c>
      <c r="U5855" s="0" t="n">
        <f aca="false">F5855*F5855</f>
        <v>1</v>
      </c>
      <c r="V5855" s="0" t="n">
        <f aca="false">G5855*G5855</f>
        <v>0.25</v>
      </c>
      <c r="W5855" s="0" t="n">
        <f aca="false">H5855*H5855</f>
        <v>1</v>
      </c>
      <c r="X5855" s="0" t="n">
        <f aca="false">SUMPRODUCT(I5855:W5855,_XtX!$B$96:$P$96)</f>
        <v>40.3663011695907</v>
      </c>
      <c r="Y5855" s="0" t="n">
        <f aca="false">SUMPRODUCT(MMULT(I5855:W5855,_XtX!$B$78:$P$92),I5855:W5855)</f>
        <v>0.667123538011696</v>
      </c>
      <c r="Z5855" s="0" t="n">
        <f aca="false">04_回帰ANOVA!$K$19*04_回帰ANOVA!$K$14*SQRT(1+Y5855)</f>
        <v>1.68299290213005</v>
      </c>
      <c r="AA5855" s="0" t="n">
        <f aca="false">X5855-Z5855</f>
        <v>38.6833082674607</v>
      </c>
      <c r="AB5855" s="0" t="n">
        <f aca="false">X5855+Z5855</f>
        <v>42.0492940717208</v>
      </c>
      <c r="AC5855" s="54" t="b">
        <f aca="false">AND(E5855&gt;=01_因子設定!$L$5-0.000000001,E5855&lt;=01_因子設定!$M$5+0.000000001,F5855&gt;=01_因子設定!$L$6-0.000000001,F5855&lt;=01_因子設定!$M$6+0.000000001,G5855&gt;=01_因子設定!$L$7-0.000000001,G5855&lt;=01_因子設定!$M$7+0.000000001,H5855&gt;=01_因子設定!$L$8-0.000000001,H5855&lt;=01_因子設定!$M$8+0.000000001,IF(01_因子設定!$B$20="Box-Behnken",E5855^2+F5855^2+G5855^2+H5855^2&lt;=2+0.000000001,TRUE()))</f>
        <v>1</v>
      </c>
      <c r="AD5855" s="55" t="n">
        <f aca="false">IF(AC5855,IF(01_因子設定!$B$13="最大化",AA5855-01_因子設定!$B$14,IF(01_因子設定!$B$13="最小化",01_因子設定!$B$15-AB5855,MIN(AA5855-01_因子設定!$B$14,01_因子設定!$B$15-AB5855))),-1E+030)</f>
        <v>-7.81669173253935</v>
      </c>
      <c r="AE5855" s="55" t="n">
        <f aca="false">IF(AC5855,IF(01_因子設定!$B$13="最大化",X5855,IF(01_因子設定!$B$13="最小化",-X5855,-ABS(X5855-01_因子設定!$B$16))),-1E+030)</f>
        <v>40.3663011695907</v>
      </c>
      <c r="AF5855" s="55" t="n">
        <f aca="false">AD5855+ROW()*0.000000001</f>
        <v>-7.81668587753935</v>
      </c>
      <c r="AG5855" s="55" t="n">
        <f aca="false">AE5855+ROW()*0.000000001</f>
        <v>40.3663070245907</v>
      </c>
    </row>
    <row r="5856" customFormat="false" ht="15" hidden="false" customHeight="false" outlineLevel="0" collapsed="false">
      <c r="A5856" s="0" t="n">
        <v>8</v>
      </c>
      <c r="B5856" s="0" t="n">
        <v>0</v>
      </c>
      <c r="C5856" s="0" t="n">
        <v>2</v>
      </c>
      <c r="D5856" s="0" t="n">
        <v>1</v>
      </c>
      <c r="E5856" s="0" t="n">
        <f aca="false">-1+A5856*0.25</f>
        <v>1</v>
      </c>
      <c r="F5856" s="0" t="n">
        <f aca="false">-1+B5856*0.25</f>
        <v>-1</v>
      </c>
      <c r="G5856" s="0" t="n">
        <f aca="false">-1+C5856*0.25</f>
        <v>-0.5</v>
      </c>
      <c r="H5856" s="0" t="n">
        <f aca="false">-1+D5856*0.25</f>
        <v>-0.75</v>
      </c>
      <c r="I5856" s="0" t="n">
        <f aca="false">1</f>
        <v>1</v>
      </c>
      <c r="J5856" s="0" t="n">
        <f aca="false">E5856</f>
        <v>1</v>
      </c>
      <c r="K5856" s="0" t="n">
        <f aca="false">F5856</f>
        <v>-1</v>
      </c>
      <c r="L5856" s="0" t="n">
        <f aca="false">G5856</f>
        <v>-0.5</v>
      </c>
      <c r="M5856" s="0" t="n">
        <f aca="false">H5856</f>
        <v>-0.75</v>
      </c>
      <c r="N5856" s="0" t="n">
        <f aca="false">E5856*F5856</f>
        <v>-1</v>
      </c>
      <c r="O5856" s="0" t="n">
        <f aca="false">E5856*G5856</f>
        <v>-0.5</v>
      </c>
      <c r="P5856" s="0" t="n">
        <f aca="false">E5856*H5856</f>
        <v>-0.75</v>
      </c>
      <c r="Q5856" s="0" t="n">
        <f aca="false">F5856*G5856</f>
        <v>0.5</v>
      </c>
      <c r="R5856" s="0" t="n">
        <f aca="false">F5856*H5856</f>
        <v>0.75</v>
      </c>
      <c r="S5856" s="0" t="n">
        <f aca="false">G5856*H5856</f>
        <v>0.375</v>
      </c>
      <c r="T5856" s="0" t="n">
        <f aca="false">E5856*E5856</f>
        <v>1</v>
      </c>
      <c r="U5856" s="0" t="n">
        <f aca="false">F5856*F5856</f>
        <v>1</v>
      </c>
      <c r="V5856" s="0" t="n">
        <f aca="false">G5856*G5856</f>
        <v>0.25</v>
      </c>
      <c r="W5856" s="0" t="n">
        <f aca="false">H5856*H5856</f>
        <v>0.5625</v>
      </c>
      <c r="X5856" s="0" t="n">
        <f aca="false">SUMPRODUCT(I5856:W5856,_XtX!$B$96:$P$96)</f>
        <v>40.6834521198831</v>
      </c>
      <c r="Y5856" s="0" t="n">
        <f aca="false">SUMPRODUCT(MMULT(I5856:W5856,_XtX!$B$78:$P$92),I5856:W5856)</f>
        <v>0.564984237938597</v>
      </c>
      <c r="Z5856" s="0" t="n">
        <f aca="false">04_回帰ANOVA!$K$19*04_回帰ANOVA!$K$14*SQRT(1+Y5856)</f>
        <v>1.63062229734503</v>
      </c>
      <c r="AA5856" s="0" t="n">
        <f aca="false">X5856-Z5856</f>
        <v>39.0528298225381</v>
      </c>
      <c r="AB5856" s="0" t="n">
        <f aca="false">X5856+Z5856</f>
        <v>42.3140744172281</v>
      </c>
      <c r="AC5856" s="54" t="b">
        <f aca="false">AND(E5856&gt;=01_因子設定!$L$5-0.000000001,E5856&lt;=01_因子設定!$M$5+0.000000001,F5856&gt;=01_因子設定!$L$6-0.000000001,F5856&lt;=01_因子設定!$M$6+0.000000001,G5856&gt;=01_因子設定!$L$7-0.000000001,G5856&lt;=01_因子設定!$M$7+0.000000001,H5856&gt;=01_因子設定!$L$8-0.000000001,H5856&lt;=01_因子設定!$M$8+0.000000001,IF(01_因子設定!$B$20="Box-Behnken",E5856^2+F5856^2+G5856^2+H5856^2&lt;=2+0.000000001,TRUE()))</f>
        <v>1</v>
      </c>
      <c r="AD5856" s="55" t="n">
        <f aca="false">IF(AC5856,IF(01_因子設定!$B$13="最大化",AA5856-01_因子設定!$B$14,IF(01_因子設定!$B$13="最小化",01_因子設定!$B$15-AB5856,MIN(AA5856-01_因子設定!$B$14,01_因子設定!$B$15-AB5856))),-1E+030)</f>
        <v>-7.44717017746195</v>
      </c>
      <c r="AE5856" s="55" t="n">
        <f aca="false">IF(AC5856,IF(01_因子設定!$B$13="最大化",X5856,IF(01_因子設定!$B$13="最小化",-X5856,-ABS(X5856-01_因子設定!$B$16))),-1E+030)</f>
        <v>40.6834521198831</v>
      </c>
      <c r="AF5856" s="55" t="n">
        <f aca="false">AD5856+ROW()*0.000000001</f>
        <v>-7.44716432146195</v>
      </c>
      <c r="AG5856" s="55" t="n">
        <f aca="false">AE5856+ROW()*0.000000001</f>
        <v>40.6834579758831</v>
      </c>
    </row>
    <row r="5857" customFormat="false" ht="15" hidden="false" customHeight="false" outlineLevel="0" collapsed="false">
      <c r="A5857" s="0" t="n">
        <v>8</v>
      </c>
      <c r="B5857" s="0" t="n">
        <v>0</v>
      </c>
      <c r="C5857" s="0" t="n">
        <v>2</v>
      </c>
      <c r="D5857" s="0" t="n">
        <v>2</v>
      </c>
      <c r="E5857" s="0" t="n">
        <f aca="false">-1+A5857*0.25</f>
        <v>1</v>
      </c>
      <c r="F5857" s="0" t="n">
        <f aca="false">-1+B5857*0.25</f>
        <v>-1</v>
      </c>
      <c r="G5857" s="0" t="n">
        <f aca="false">-1+C5857*0.25</f>
        <v>-0.5</v>
      </c>
      <c r="H5857" s="0" t="n">
        <f aca="false">-1+D5857*0.25</f>
        <v>-0.5</v>
      </c>
      <c r="I5857" s="0" t="n">
        <f aca="false">1</f>
        <v>1</v>
      </c>
      <c r="J5857" s="0" t="n">
        <f aca="false">E5857</f>
        <v>1</v>
      </c>
      <c r="K5857" s="0" t="n">
        <f aca="false">F5857</f>
        <v>-1</v>
      </c>
      <c r="L5857" s="0" t="n">
        <f aca="false">G5857</f>
        <v>-0.5</v>
      </c>
      <c r="M5857" s="0" t="n">
        <f aca="false">H5857</f>
        <v>-0.5</v>
      </c>
      <c r="N5857" s="0" t="n">
        <f aca="false">E5857*F5857</f>
        <v>-1</v>
      </c>
      <c r="O5857" s="0" t="n">
        <f aca="false">E5857*G5857</f>
        <v>-0.5</v>
      </c>
      <c r="P5857" s="0" t="n">
        <f aca="false">E5857*H5857</f>
        <v>-0.5</v>
      </c>
      <c r="Q5857" s="0" t="n">
        <f aca="false">F5857*G5857</f>
        <v>0.5</v>
      </c>
      <c r="R5857" s="0" t="n">
        <f aca="false">F5857*H5857</f>
        <v>0.5</v>
      </c>
      <c r="S5857" s="0" t="n">
        <f aca="false">G5857*H5857</f>
        <v>0.25</v>
      </c>
      <c r="T5857" s="0" t="n">
        <f aca="false">E5857*E5857</f>
        <v>1</v>
      </c>
      <c r="U5857" s="0" t="n">
        <f aca="false">F5857*F5857</f>
        <v>1</v>
      </c>
      <c r="V5857" s="0" t="n">
        <f aca="false">G5857*G5857</f>
        <v>0.25</v>
      </c>
      <c r="W5857" s="0" t="n">
        <f aca="false">H5857*H5857</f>
        <v>0.25</v>
      </c>
      <c r="X5857" s="0" t="n">
        <f aca="false">SUMPRODUCT(I5857:W5857,_XtX!$B$96:$P$96)</f>
        <v>40.9527960526316</v>
      </c>
      <c r="Y5857" s="0" t="n">
        <f aca="false">SUMPRODUCT(MMULT(I5857:W5857,_XtX!$B$78:$P$92),I5857:W5857)</f>
        <v>0.582488121345029</v>
      </c>
      <c r="Z5857" s="0" t="n">
        <f aca="false">04_回帰ANOVA!$K$19*04_回帰ANOVA!$K$14*SQRT(1+Y5857)</f>
        <v>1.63971595338287</v>
      </c>
      <c r="AA5857" s="0" t="n">
        <f aca="false">X5857-Z5857</f>
        <v>39.3130800992487</v>
      </c>
      <c r="AB5857" s="0" t="n">
        <f aca="false">X5857+Z5857</f>
        <v>42.5925120060145</v>
      </c>
      <c r="AC5857" s="54" t="b">
        <f aca="false">AND(E5857&gt;=01_因子設定!$L$5-0.000000001,E5857&lt;=01_因子設定!$M$5+0.000000001,F5857&gt;=01_因子設定!$L$6-0.000000001,F5857&lt;=01_因子設定!$M$6+0.000000001,G5857&gt;=01_因子設定!$L$7-0.000000001,G5857&lt;=01_因子設定!$M$7+0.000000001,H5857&gt;=01_因子設定!$L$8-0.000000001,H5857&lt;=01_因子設定!$M$8+0.000000001,IF(01_因子設定!$B$20="Box-Behnken",E5857^2+F5857^2+G5857^2+H5857^2&lt;=2+0.000000001,TRUE()))</f>
        <v>1</v>
      </c>
      <c r="AD5857" s="55" t="n">
        <f aca="false">IF(AC5857,IF(01_因子設定!$B$13="最大化",AA5857-01_因子設定!$B$14,IF(01_因子設定!$B$13="最小化",01_因子設定!$B$15-AB5857,MIN(AA5857-01_因子設定!$B$14,01_因子設定!$B$15-AB5857))),-1E+030)</f>
        <v>-7.18691990075126</v>
      </c>
      <c r="AE5857" s="55" t="n">
        <f aca="false">IF(AC5857,IF(01_因子設定!$B$13="最大化",X5857,IF(01_因子設定!$B$13="最小化",-X5857,-ABS(X5857-01_因子設定!$B$16))),-1E+030)</f>
        <v>40.9527960526316</v>
      </c>
      <c r="AF5857" s="55" t="n">
        <f aca="false">AD5857+ROW()*0.000000001</f>
        <v>-7.18691404375126</v>
      </c>
      <c r="AG5857" s="55" t="n">
        <f aca="false">AE5857+ROW()*0.000000001</f>
        <v>40.9528019096316</v>
      </c>
    </row>
    <row r="5858" customFormat="false" ht="15" hidden="false" customHeight="false" outlineLevel="0" collapsed="false">
      <c r="A5858" s="0" t="n">
        <v>8</v>
      </c>
      <c r="B5858" s="0" t="n">
        <v>0</v>
      </c>
      <c r="C5858" s="0" t="n">
        <v>2</v>
      </c>
      <c r="D5858" s="0" t="n">
        <v>3</v>
      </c>
      <c r="E5858" s="0" t="n">
        <f aca="false">-1+A5858*0.25</f>
        <v>1</v>
      </c>
      <c r="F5858" s="0" t="n">
        <f aca="false">-1+B5858*0.25</f>
        <v>-1</v>
      </c>
      <c r="G5858" s="0" t="n">
        <f aca="false">-1+C5858*0.25</f>
        <v>-0.5</v>
      </c>
      <c r="H5858" s="0" t="n">
        <f aca="false">-1+D5858*0.25</f>
        <v>-0.25</v>
      </c>
      <c r="I5858" s="0" t="n">
        <f aca="false">1</f>
        <v>1</v>
      </c>
      <c r="J5858" s="0" t="n">
        <f aca="false">E5858</f>
        <v>1</v>
      </c>
      <c r="K5858" s="0" t="n">
        <f aca="false">F5858</f>
        <v>-1</v>
      </c>
      <c r="L5858" s="0" t="n">
        <f aca="false">G5858</f>
        <v>-0.5</v>
      </c>
      <c r="M5858" s="0" t="n">
        <f aca="false">H5858</f>
        <v>-0.25</v>
      </c>
      <c r="N5858" s="0" t="n">
        <f aca="false">E5858*F5858</f>
        <v>-1</v>
      </c>
      <c r="O5858" s="0" t="n">
        <f aca="false">E5858*G5858</f>
        <v>-0.5</v>
      </c>
      <c r="P5858" s="0" t="n">
        <f aca="false">E5858*H5858</f>
        <v>-0.25</v>
      </c>
      <c r="Q5858" s="0" t="n">
        <f aca="false">F5858*G5858</f>
        <v>0.5</v>
      </c>
      <c r="R5858" s="0" t="n">
        <f aca="false">F5858*H5858</f>
        <v>0.25</v>
      </c>
      <c r="S5858" s="0" t="n">
        <f aca="false">G5858*H5858</f>
        <v>0.125</v>
      </c>
      <c r="T5858" s="0" t="n">
        <f aca="false">E5858*E5858</f>
        <v>1</v>
      </c>
      <c r="U5858" s="0" t="n">
        <f aca="false">F5858*F5858</f>
        <v>1</v>
      </c>
      <c r="V5858" s="0" t="n">
        <f aca="false">G5858*G5858</f>
        <v>0.25</v>
      </c>
      <c r="W5858" s="0" t="n">
        <f aca="false">H5858*H5858</f>
        <v>0.0625</v>
      </c>
      <c r="X5858" s="0" t="n">
        <f aca="false">SUMPRODUCT(I5858:W5858,_XtX!$B$96:$P$96)</f>
        <v>41.1743329678363</v>
      </c>
      <c r="Y5858" s="0" t="n">
        <f aca="false">SUMPRODUCT(MMULT(I5858:W5858,_XtX!$B$78:$P$92),I5858:W5858)</f>
        <v>0.629174661915205</v>
      </c>
      <c r="Z5858" s="0" t="n">
        <f aca="false">04_回帰ANOVA!$K$19*04_回帰ANOVA!$K$14*SQRT(1+Y5858)</f>
        <v>1.66372758058297</v>
      </c>
      <c r="AA5858" s="0" t="n">
        <f aca="false">X5858-Z5858</f>
        <v>39.5106053872533</v>
      </c>
      <c r="AB5858" s="0" t="n">
        <f aca="false">X5858+Z5858</f>
        <v>42.8380605484193</v>
      </c>
      <c r="AC5858" s="54" t="b">
        <f aca="false">AND(E5858&gt;=01_因子設定!$L$5-0.000000001,E5858&lt;=01_因子設定!$M$5+0.000000001,F5858&gt;=01_因子設定!$L$6-0.000000001,F5858&lt;=01_因子設定!$M$6+0.000000001,G5858&gt;=01_因子設定!$L$7-0.000000001,G5858&lt;=01_因子設定!$M$7+0.000000001,H5858&gt;=01_因子設定!$L$8-0.000000001,H5858&lt;=01_因子設定!$M$8+0.000000001,IF(01_因子設定!$B$20="Box-Behnken",E5858^2+F5858^2+G5858^2+H5858^2&lt;=2+0.000000001,TRUE()))</f>
        <v>1</v>
      </c>
      <c r="AD5858" s="55" t="n">
        <f aca="false">IF(AC5858,IF(01_因子設定!$B$13="最大化",AA5858-01_因子設定!$B$14,IF(01_因子設定!$B$13="最小化",01_因子設定!$B$15-AB5858,MIN(AA5858-01_因子設定!$B$14,01_因子設定!$B$15-AB5858))),-1E+030)</f>
        <v>-6.98939461274669</v>
      </c>
      <c r="AE5858" s="55" t="n">
        <f aca="false">IF(AC5858,IF(01_因子設定!$B$13="最大化",X5858,IF(01_因子設定!$B$13="最小化",-X5858,-ABS(X5858-01_因子設定!$B$16))),-1E+030)</f>
        <v>41.1743329678363</v>
      </c>
      <c r="AF5858" s="55" t="n">
        <f aca="false">AD5858+ROW()*0.000000001</f>
        <v>-6.98938875474669</v>
      </c>
      <c r="AG5858" s="55" t="n">
        <f aca="false">AE5858+ROW()*0.000000001</f>
        <v>41.1743388258363</v>
      </c>
    </row>
    <row r="5859" customFormat="false" ht="15" hidden="false" customHeight="false" outlineLevel="0" collapsed="false">
      <c r="A5859" s="0" t="n">
        <v>8</v>
      </c>
      <c r="B5859" s="0" t="n">
        <v>0</v>
      </c>
      <c r="C5859" s="0" t="n">
        <v>2</v>
      </c>
      <c r="D5859" s="0" t="n">
        <v>4</v>
      </c>
      <c r="E5859" s="0" t="n">
        <f aca="false">-1+A5859*0.25</f>
        <v>1</v>
      </c>
      <c r="F5859" s="0" t="n">
        <f aca="false">-1+B5859*0.25</f>
        <v>-1</v>
      </c>
      <c r="G5859" s="0" t="n">
        <f aca="false">-1+C5859*0.25</f>
        <v>-0.5</v>
      </c>
      <c r="H5859" s="0" t="n">
        <f aca="false">-1+D5859*0.25</f>
        <v>0</v>
      </c>
      <c r="I5859" s="0" t="n">
        <f aca="false">1</f>
        <v>1</v>
      </c>
      <c r="J5859" s="0" t="n">
        <f aca="false">E5859</f>
        <v>1</v>
      </c>
      <c r="K5859" s="0" t="n">
        <f aca="false">F5859</f>
        <v>-1</v>
      </c>
      <c r="L5859" s="0" t="n">
        <f aca="false">G5859</f>
        <v>-0.5</v>
      </c>
      <c r="M5859" s="0" t="n">
        <f aca="false">H5859</f>
        <v>0</v>
      </c>
      <c r="N5859" s="0" t="n">
        <f aca="false">E5859*F5859</f>
        <v>-1</v>
      </c>
      <c r="O5859" s="0" t="n">
        <f aca="false">E5859*G5859</f>
        <v>-0.5</v>
      </c>
      <c r="P5859" s="0" t="n">
        <f aca="false">E5859*H5859</f>
        <v>0</v>
      </c>
      <c r="Q5859" s="0" t="n">
        <f aca="false">F5859*G5859</f>
        <v>0.5</v>
      </c>
      <c r="R5859" s="0" t="n">
        <f aca="false">F5859*H5859</f>
        <v>-0</v>
      </c>
      <c r="S5859" s="0" t="n">
        <f aca="false">G5859*H5859</f>
        <v>-0</v>
      </c>
      <c r="T5859" s="0" t="n">
        <f aca="false">E5859*E5859</f>
        <v>1</v>
      </c>
      <c r="U5859" s="0" t="n">
        <f aca="false">F5859*F5859</f>
        <v>1</v>
      </c>
      <c r="V5859" s="0" t="n">
        <f aca="false">G5859*G5859</f>
        <v>0.25</v>
      </c>
      <c r="W5859" s="0" t="n">
        <f aca="false">H5859*H5859</f>
        <v>0</v>
      </c>
      <c r="X5859" s="0" t="n">
        <f aca="false">SUMPRODUCT(I5859:W5859,_XtX!$B$96:$P$96)</f>
        <v>41.3480628654971</v>
      </c>
      <c r="Y5859" s="0" t="n">
        <f aca="false">SUMPRODUCT(MMULT(I5859:W5859,_XtX!$B$78:$P$92),I5859:W5859)</f>
        <v>0.650767543859649</v>
      </c>
      <c r="Z5859" s="0" t="n">
        <f aca="false">04_回帰ANOVA!$K$19*04_回帰ANOVA!$K$14*SQRT(1+Y5859)</f>
        <v>1.67471670935165</v>
      </c>
      <c r="AA5859" s="0" t="n">
        <f aca="false">X5859-Z5859</f>
        <v>39.6733461561455</v>
      </c>
      <c r="AB5859" s="0" t="n">
        <f aca="false">X5859+Z5859</f>
        <v>43.0227795748488</v>
      </c>
      <c r="AC5859" s="54" t="b">
        <f aca="false">AND(E5859&gt;=01_因子設定!$L$5-0.000000001,E5859&lt;=01_因子設定!$M$5+0.000000001,F5859&gt;=01_因子設定!$L$6-0.000000001,F5859&lt;=01_因子設定!$M$6+0.000000001,G5859&gt;=01_因子設定!$L$7-0.000000001,G5859&lt;=01_因子設定!$M$7+0.000000001,H5859&gt;=01_因子設定!$L$8-0.000000001,H5859&lt;=01_因子設定!$M$8+0.000000001,IF(01_因子設定!$B$20="Box-Behnken",E5859^2+F5859^2+G5859^2+H5859^2&lt;=2+0.000000001,TRUE()))</f>
        <v>1</v>
      </c>
      <c r="AD5859" s="55" t="n">
        <f aca="false">IF(AC5859,IF(01_因子設定!$B$13="最大化",AA5859-01_因子設定!$B$14,IF(01_因子設定!$B$13="最小化",01_因子設定!$B$15-AB5859,MIN(AA5859-01_因子設定!$B$14,01_因子設定!$B$15-AB5859))),-1E+030)</f>
        <v>-6.82665384385455</v>
      </c>
      <c r="AE5859" s="55" t="n">
        <f aca="false">IF(AC5859,IF(01_因子設定!$B$13="最大化",X5859,IF(01_因子設定!$B$13="最小化",-X5859,-ABS(X5859-01_因子設定!$B$16))),-1E+030)</f>
        <v>41.3480628654971</v>
      </c>
      <c r="AF5859" s="55" t="n">
        <f aca="false">AD5859+ROW()*0.000000001</f>
        <v>-6.82664798485455</v>
      </c>
      <c r="AG5859" s="55" t="n">
        <f aca="false">AE5859+ROW()*0.000000001</f>
        <v>41.3480687244971</v>
      </c>
    </row>
    <row r="5860" customFormat="false" ht="15" hidden="false" customHeight="false" outlineLevel="0" collapsed="false">
      <c r="A5860" s="0" t="n">
        <v>8</v>
      </c>
      <c r="B5860" s="0" t="n">
        <v>0</v>
      </c>
      <c r="C5860" s="0" t="n">
        <v>2</v>
      </c>
      <c r="D5860" s="0" t="n">
        <v>5</v>
      </c>
      <c r="E5860" s="0" t="n">
        <f aca="false">-1+A5860*0.25</f>
        <v>1</v>
      </c>
      <c r="F5860" s="0" t="n">
        <f aca="false">-1+B5860*0.25</f>
        <v>-1</v>
      </c>
      <c r="G5860" s="0" t="n">
        <f aca="false">-1+C5860*0.25</f>
        <v>-0.5</v>
      </c>
      <c r="H5860" s="0" t="n">
        <f aca="false">-1+D5860*0.25</f>
        <v>0.25</v>
      </c>
      <c r="I5860" s="0" t="n">
        <f aca="false">1</f>
        <v>1</v>
      </c>
      <c r="J5860" s="0" t="n">
        <f aca="false">E5860</f>
        <v>1</v>
      </c>
      <c r="K5860" s="0" t="n">
        <f aca="false">F5860</f>
        <v>-1</v>
      </c>
      <c r="L5860" s="0" t="n">
        <f aca="false">G5860</f>
        <v>-0.5</v>
      </c>
      <c r="M5860" s="0" t="n">
        <f aca="false">H5860</f>
        <v>0.25</v>
      </c>
      <c r="N5860" s="0" t="n">
        <f aca="false">E5860*F5860</f>
        <v>-1</v>
      </c>
      <c r="O5860" s="0" t="n">
        <f aca="false">E5860*G5860</f>
        <v>-0.5</v>
      </c>
      <c r="P5860" s="0" t="n">
        <f aca="false">E5860*H5860</f>
        <v>0.25</v>
      </c>
      <c r="Q5860" s="0" t="n">
        <f aca="false">F5860*G5860</f>
        <v>0.5</v>
      </c>
      <c r="R5860" s="0" t="n">
        <f aca="false">F5860*H5860</f>
        <v>-0.25</v>
      </c>
      <c r="S5860" s="0" t="n">
        <f aca="false">G5860*H5860</f>
        <v>-0.125</v>
      </c>
      <c r="T5860" s="0" t="n">
        <f aca="false">E5860*E5860</f>
        <v>1</v>
      </c>
      <c r="U5860" s="0" t="n">
        <f aca="false">F5860*F5860</f>
        <v>1</v>
      </c>
      <c r="V5860" s="0" t="n">
        <f aca="false">G5860*G5860</f>
        <v>0.25</v>
      </c>
      <c r="W5860" s="0" t="n">
        <f aca="false">H5860*H5860</f>
        <v>0.0625</v>
      </c>
      <c r="X5860" s="0" t="n">
        <f aca="false">SUMPRODUCT(I5860:W5860,_XtX!$B$96:$P$96)</f>
        <v>41.4739857456141</v>
      </c>
      <c r="Y5860" s="0" t="n">
        <f aca="false">SUMPRODUCT(MMULT(I5860:W5860,_XtX!$B$78:$P$92),I5860:W5860)</f>
        <v>0.629174661915205</v>
      </c>
      <c r="Z5860" s="0" t="n">
        <f aca="false">04_回帰ANOVA!$K$19*04_回帰ANOVA!$K$14*SQRT(1+Y5860)</f>
        <v>1.66372758058297</v>
      </c>
      <c r="AA5860" s="0" t="n">
        <f aca="false">X5860-Z5860</f>
        <v>39.8102581650311</v>
      </c>
      <c r="AB5860" s="0" t="n">
        <f aca="false">X5860+Z5860</f>
        <v>43.137713326197</v>
      </c>
      <c r="AC5860" s="54" t="b">
        <f aca="false">AND(E5860&gt;=01_因子設定!$L$5-0.000000001,E5860&lt;=01_因子設定!$M$5+0.000000001,F5860&gt;=01_因子設定!$L$6-0.000000001,F5860&lt;=01_因子設定!$M$6+0.000000001,G5860&gt;=01_因子設定!$L$7-0.000000001,G5860&lt;=01_因子設定!$M$7+0.000000001,H5860&gt;=01_因子設定!$L$8-0.000000001,H5860&lt;=01_因子設定!$M$8+0.000000001,IF(01_因子設定!$B$20="Box-Behnken",E5860^2+F5860^2+G5860^2+H5860^2&lt;=2+0.000000001,TRUE()))</f>
        <v>1</v>
      </c>
      <c r="AD5860" s="55" t="n">
        <f aca="false">IF(AC5860,IF(01_因子設定!$B$13="最大化",AA5860-01_因子設定!$B$14,IF(01_因子設定!$B$13="最小化",01_因子設定!$B$15-AB5860,MIN(AA5860-01_因子設定!$B$14,01_因子設定!$B$15-AB5860))),-1E+030)</f>
        <v>-6.68974183496891</v>
      </c>
      <c r="AE5860" s="55" t="n">
        <f aca="false">IF(AC5860,IF(01_因子設定!$B$13="最大化",X5860,IF(01_因子設定!$B$13="最小化",-X5860,-ABS(X5860-01_因子設定!$B$16))),-1E+030)</f>
        <v>41.4739857456141</v>
      </c>
      <c r="AF5860" s="55" t="n">
        <f aca="false">AD5860+ROW()*0.000000001</f>
        <v>-6.68973597496891</v>
      </c>
      <c r="AG5860" s="55" t="n">
        <f aca="false">AE5860+ROW()*0.000000001</f>
        <v>41.4739916056141</v>
      </c>
    </row>
    <row r="5861" customFormat="false" ht="15" hidden="false" customHeight="false" outlineLevel="0" collapsed="false">
      <c r="A5861" s="0" t="n">
        <v>8</v>
      </c>
      <c r="B5861" s="0" t="n">
        <v>0</v>
      </c>
      <c r="C5861" s="0" t="n">
        <v>2</v>
      </c>
      <c r="D5861" s="0" t="n">
        <v>6</v>
      </c>
      <c r="E5861" s="0" t="n">
        <f aca="false">-1+A5861*0.25</f>
        <v>1</v>
      </c>
      <c r="F5861" s="0" t="n">
        <f aca="false">-1+B5861*0.25</f>
        <v>-1</v>
      </c>
      <c r="G5861" s="0" t="n">
        <f aca="false">-1+C5861*0.25</f>
        <v>-0.5</v>
      </c>
      <c r="H5861" s="0" t="n">
        <f aca="false">-1+D5861*0.25</f>
        <v>0.5</v>
      </c>
      <c r="I5861" s="0" t="n">
        <f aca="false">1</f>
        <v>1</v>
      </c>
      <c r="J5861" s="0" t="n">
        <f aca="false">E5861</f>
        <v>1</v>
      </c>
      <c r="K5861" s="0" t="n">
        <f aca="false">F5861</f>
        <v>-1</v>
      </c>
      <c r="L5861" s="0" t="n">
        <f aca="false">G5861</f>
        <v>-0.5</v>
      </c>
      <c r="M5861" s="0" t="n">
        <f aca="false">H5861</f>
        <v>0.5</v>
      </c>
      <c r="N5861" s="0" t="n">
        <f aca="false">E5861*F5861</f>
        <v>-1</v>
      </c>
      <c r="O5861" s="0" t="n">
        <f aca="false">E5861*G5861</f>
        <v>-0.5</v>
      </c>
      <c r="P5861" s="0" t="n">
        <f aca="false">E5861*H5861</f>
        <v>0.5</v>
      </c>
      <c r="Q5861" s="0" t="n">
        <f aca="false">F5861*G5861</f>
        <v>0.5</v>
      </c>
      <c r="R5861" s="0" t="n">
        <f aca="false">F5861*H5861</f>
        <v>-0.5</v>
      </c>
      <c r="S5861" s="0" t="n">
        <f aca="false">G5861*H5861</f>
        <v>-0.25</v>
      </c>
      <c r="T5861" s="0" t="n">
        <f aca="false">E5861*E5861</f>
        <v>1</v>
      </c>
      <c r="U5861" s="0" t="n">
        <f aca="false">F5861*F5861</f>
        <v>1</v>
      </c>
      <c r="V5861" s="0" t="n">
        <f aca="false">G5861*G5861</f>
        <v>0.25</v>
      </c>
      <c r="W5861" s="0" t="n">
        <f aca="false">H5861*H5861</f>
        <v>0.25</v>
      </c>
      <c r="X5861" s="0" t="n">
        <f aca="false">SUMPRODUCT(I5861:W5861,_XtX!$B$96:$P$96)</f>
        <v>41.5521016081872</v>
      </c>
      <c r="Y5861" s="0" t="n">
        <f aca="false">SUMPRODUCT(MMULT(I5861:W5861,_XtX!$B$78:$P$92),I5861:W5861)</f>
        <v>0.582488121345029</v>
      </c>
      <c r="Z5861" s="0" t="n">
        <f aca="false">04_回帰ANOVA!$K$19*04_回帰ANOVA!$K$14*SQRT(1+Y5861)</f>
        <v>1.63971595338287</v>
      </c>
      <c r="AA5861" s="0" t="n">
        <f aca="false">X5861-Z5861</f>
        <v>39.9123856548043</v>
      </c>
      <c r="AB5861" s="0" t="n">
        <f aca="false">X5861+Z5861</f>
        <v>43.19181756157</v>
      </c>
      <c r="AC5861" s="54" t="b">
        <f aca="false">AND(E5861&gt;=01_因子設定!$L$5-0.000000001,E5861&lt;=01_因子設定!$M$5+0.000000001,F5861&gt;=01_因子設定!$L$6-0.000000001,F5861&lt;=01_因子設定!$M$6+0.000000001,G5861&gt;=01_因子設定!$L$7-0.000000001,G5861&lt;=01_因子設定!$M$7+0.000000001,H5861&gt;=01_因子設定!$L$8-0.000000001,H5861&lt;=01_因子設定!$M$8+0.000000001,IF(01_因子設定!$B$20="Box-Behnken",E5861^2+F5861^2+G5861^2+H5861^2&lt;=2+0.000000001,TRUE()))</f>
        <v>1</v>
      </c>
      <c r="AD5861" s="55" t="n">
        <f aca="false">IF(AC5861,IF(01_因子設定!$B$13="最大化",AA5861-01_因子設定!$B$14,IF(01_因子設定!$B$13="最小化",01_因子設定!$B$15-AB5861,MIN(AA5861-01_因子設定!$B$14,01_因子設定!$B$15-AB5861))),-1E+030)</f>
        <v>-6.5876143451957</v>
      </c>
      <c r="AE5861" s="55" t="n">
        <f aca="false">IF(AC5861,IF(01_因子設定!$B$13="最大化",X5861,IF(01_因子設定!$B$13="最小化",-X5861,-ABS(X5861-01_因子設定!$B$16))),-1E+030)</f>
        <v>41.5521016081872</v>
      </c>
      <c r="AF5861" s="55" t="n">
        <f aca="false">AD5861+ROW()*0.000000001</f>
        <v>-6.5876084841957</v>
      </c>
      <c r="AG5861" s="55" t="n">
        <f aca="false">AE5861+ROW()*0.000000001</f>
        <v>41.5521074691872</v>
      </c>
    </row>
    <row r="5862" customFormat="false" ht="15" hidden="false" customHeight="false" outlineLevel="0" collapsed="false">
      <c r="A5862" s="0" t="n">
        <v>8</v>
      </c>
      <c r="B5862" s="0" t="n">
        <v>0</v>
      </c>
      <c r="C5862" s="0" t="n">
        <v>2</v>
      </c>
      <c r="D5862" s="0" t="n">
        <v>7</v>
      </c>
      <c r="E5862" s="0" t="n">
        <f aca="false">-1+A5862*0.25</f>
        <v>1</v>
      </c>
      <c r="F5862" s="0" t="n">
        <f aca="false">-1+B5862*0.25</f>
        <v>-1</v>
      </c>
      <c r="G5862" s="0" t="n">
        <f aca="false">-1+C5862*0.25</f>
        <v>-0.5</v>
      </c>
      <c r="H5862" s="0" t="n">
        <f aca="false">-1+D5862*0.25</f>
        <v>0.75</v>
      </c>
      <c r="I5862" s="0" t="n">
        <f aca="false">1</f>
        <v>1</v>
      </c>
      <c r="J5862" s="0" t="n">
        <f aca="false">E5862</f>
        <v>1</v>
      </c>
      <c r="K5862" s="0" t="n">
        <f aca="false">F5862</f>
        <v>-1</v>
      </c>
      <c r="L5862" s="0" t="n">
        <f aca="false">G5862</f>
        <v>-0.5</v>
      </c>
      <c r="M5862" s="0" t="n">
        <f aca="false">H5862</f>
        <v>0.75</v>
      </c>
      <c r="N5862" s="0" t="n">
        <f aca="false">E5862*F5862</f>
        <v>-1</v>
      </c>
      <c r="O5862" s="0" t="n">
        <f aca="false">E5862*G5862</f>
        <v>-0.5</v>
      </c>
      <c r="P5862" s="0" t="n">
        <f aca="false">E5862*H5862</f>
        <v>0.75</v>
      </c>
      <c r="Q5862" s="0" t="n">
        <f aca="false">F5862*G5862</f>
        <v>0.5</v>
      </c>
      <c r="R5862" s="0" t="n">
        <f aca="false">F5862*H5862</f>
        <v>-0.75</v>
      </c>
      <c r="S5862" s="0" t="n">
        <f aca="false">G5862*H5862</f>
        <v>-0.375</v>
      </c>
      <c r="T5862" s="0" t="n">
        <f aca="false">E5862*E5862</f>
        <v>1</v>
      </c>
      <c r="U5862" s="0" t="n">
        <f aca="false">F5862*F5862</f>
        <v>1</v>
      </c>
      <c r="V5862" s="0" t="n">
        <f aca="false">G5862*G5862</f>
        <v>0.25</v>
      </c>
      <c r="W5862" s="0" t="n">
        <f aca="false">H5862*H5862</f>
        <v>0.5625</v>
      </c>
      <c r="X5862" s="0" t="n">
        <f aca="false">SUMPRODUCT(I5862:W5862,_XtX!$B$96:$P$96)</f>
        <v>41.5824104532164</v>
      </c>
      <c r="Y5862" s="0" t="n">
        <f aca="false">SUMPRODUCT(MMULT(I5862:W5862,_XtX!$B$78:$P$92),I5862:W5862)</f>
        <v>0.564984237938597</v>
      </c>
      <c r="Z5862" s="0" t="n">
        <f aca="false">04_回帰ANOVA!$K$19*04_回帰ANOVA!$K$14*SQRT(1+Y5862)</f>
        <v>1.63062229734503</v>
      </c>
      <c r="AA5862" s="0" t="n">
        <f aca="false">X5862-Z5862</f>
        <v>39.9517881558714</v>
      </c>
      <c r="AB5862" s="0" t="n">
        <f aca="false">X5862+Z5862</f>
        <v>43.2130327505615</v>
      </c>
      <c r="AC5862" s="54" t="b">
        <f aca="false">AND(E5862&gt;=01_因子設定!$L$5-0.000000001,E5862&lt;=01_因子設定!$M$5+0.000000001,F5862&gt;=01_因子設定!$L$6-0.000000001,F5862&lt;=01_因子設定!$M$6+0.000000001,G5862&gt;=01_因子設定!$L$7-0.000000001,G5862&lt;=01_因子設定!$M$7+0.000000001,H5862&gt;=01_因子設定!$L$8-0.000000001,H5862&lt;=01_因子設定!$M$8+0.000000001,IF(01_因子設定!$B$20="Box-Behnken",E5862^2+F5862^2+G5862^2+H5862^2&lt;=2+0.000000001,TRUE()))</f>
        <v>1</v>
      </c>
      <c r="AD5862" s="55" t="n">
        <f aca="false">IF(AC5862,IF(01_因子設定!$B$13="最大化",AA5862-01_因子設定!$B$14,IF(01_因子設定!$B$13="最小化",01_因子設定!$B$15-AB5862,MIN(AA5862-01_因子設定!$B$14,01_因子設定!$B$15-AB5862))),-1E+030)</f>
        <v>-6.54821184412862</v>
      </c>
      <c r="AE5862" s="55" t="n">
        <f aca="false">IF(AC5862,IF(01_因子設定!$B$13="最大化",X5862,IF(01_因子設定!$B$13="最小化",-X5862,-ABS(X5862-01_因子設定!$B$16))),-1E+030)</f>
        <v>41.5824104532164</v>
      </c>
      <c r="AF5862" s="55" t="n">
        <f aca="false">AD5862+ROW()*0.000000001</f>
        <v>-6.54820598212862</v>
      </c>
      <c r="AG5862" s="55" t="n">
        <f aca="false">AE5862+ROW()*0.000000001</f>
        <v>41.5824163152164</v>
      </c>
    </row>
    <row r="5863" customFormat="false" ht="15" hidden="false" customHeight="false" outlineLevel="0" collapsed="false">
      <c r="A5863" s="0" t="n">
        <v>8</v>
      </c>
      <c r="B5863" s="0" t="n">
        <v>0</v>
      </c>
      <c r="C5863" s="0" t="n">
        <v>2</v>
      </c>
      <c r="D5863" s="0" t="n">
        <v>8</v>
      </c>
      <c r="E5863" s="0" t="n">
        <f aca="false">-1+A5863*0.25</f>
        <v>1</v>
      </c>
      <c r="F5863" s="0" t="n">
        <f aca="false">-1+B5863*0.25</f>
        <v>-1</v>
      </c>
      <c r="G5863" s="0" t="n">
        <f aca="false">-1+C5863*0.25</f>
        <v>-0.5</v>
      </c>
      <c r="H5863" s="0" t="n">
        <f aca="false">-1+D5863*0.25</f>
        <v>1</v>
      </c>
      <c r="I5863" s="0" t="n">
        <f aca="false">1</f>
        <v>1</v>
      </c>
      <c r="J5863" s="0" t="n">
        <f aca="false">E5863</f>
        <v>1</v>
      </c>
      <c r="K5863" s="0" t="n">
        <f aca="false">F5863</f>
        <v>-1</v>
      </c>
      <c r="L5863" s="0" t="n">
        <f aca="false">G5863</f>
        <v>-0.5</v>
      </c>
      <c r="M5863" s="0" t="n">
        <f aca="false">H5863</f>
        <v>1</v>
      </c>
      <c r="N5863" s="0" t="n">
        <f aca="false">E5863*F5863</f>
        <v>-1</v>
      </c>
      <c r="O5863" s="0" t="n">
        <f aca="false">E5863*G5863</f>
        <v>-0.5</v>
      </c>
      <c r="P5863" s="0" t="n">
        <f aca="false">E5863*H5863</f>
        <v>1</v>
      </c>
      <c r="Q5863" s="0" t="n">
        <f aca="false">F5863*G5863</f>
        <v>0.5</v>
      </c>
      <c r="R5863" s="0" t="n">
        <f aca="false">F5863*H5863</f>
        <v>-1</v>
      </c>
      <c r="S5863" s="0" t="n">
        <f aca="false">G5863*H5863</f>
        <v>-0.5</v>
      </c>
      <c r="T5863" s="0" t="n">
        <f aca="false">E5863*E5863</f>
        <v>1</v>
      </c>
      <c r="U5863" s="0" t="n">
        <f aca="false">F5863*F5863</f>
        <v>1</v>
      </c>
      <c r="V5863" s="0" t="n">
        <f aca="false">G5863*G5863</f>
        <v>0.25</v>
      </c>
      <c r="W5863" s="0" t="n">
        <f aca="false">H5863*H5863</f>
        <v>1</v>
      </c>
      <c r="X5863" s="0" t="n">
        <f aca="false">SUMPRODUCT(I5863:W5863,_XtX!$B$96:$P$96)</f>
        <v>41.5649122807018</v>
      </c>
      <c r="Y5863" s="0" t="n">
        <f aca="false">SUMPRODUCT(MMULT(I5863:W5863,_XtX!$B$78:$P$92),I5863:W5863)</f>
        <v>0.667123538011696</v>
      </c>
      <c r="Z5863" s="0" t="n">
        <f aca="false">04_回帰ANOVA!$K$19*04_回帰ANOVA!$K$14*SQRT(1+Y5863)</f>
        <v>1.68299290213005</v>
      </c>
      <c r="AA5863" s="0" t="n">
        <f aca="false">X5863-Z5863</f>
        <v>39.8819193785718</v>
      </c>
      <c r="AB5863" s="0" t="n">
        <f aca="false">X5863+Z5863</f>
        <v>43.2479051828319</v>
      </c>
      <c r="AC5863" s="54" t="b">
        <f aca="false">AND(E5863&gt;=01_因子設定!$L$5-0.000000001,E5863&lt;=01_因子設定!$M$5+0.000000001,F5863&gt;=01_因子設定!$L$6-0.000000001,F5863&lt;=01_因子設定!$M$6+0.000000001,G5863&gt;=01_因子設定!$L$7-0.000000001,G5863&lt;=01_因子設定!$M$7+0.000000001,H5863&gt;=01_因子設定!$L$8-0.000000001,H5863&lt;=01_因子設定!$M$8+0.000000001,IF(01_因子設定!$B$20="Box-Behnken",E5863^2+F5863^2+G5863^2+H5863^2&lt;=2+0.000000001,TRUE()))</f>
        <v>1</v>
      </c>
      <c r="AD5863" s="55" t="n">
        <f aca="false">IF(AC5863,IF(01_因子設定!$B$13="最大化",AA5863-01_因子設定!$B$14,IF(01_因子設定!$B$13="最小化",01_因子設定!$B$15-AB5863,MIN(AA5863-01_因子設定!$B$14,01_因子設定!$B$15-AB5863))),-1E+030)</f>
        <v>-6.61808062142823</v>
      </c>
      <c r="AE5863" s="55" t="n">
        <f aca="false">IF(AC5863,IF(01_因子設定!$B$13="最大化",X5863,IF(01_因子設定!$B$13="最小化",-X5863,-ABS(X5863-01_因子設定!$B$16))),-1E+030)</f>
        <v>41.5649122807018</v>
      </c>
      <c r="AF5863" s="55" t="n">
        <f aca="false">AD5863+ROW()*0.000000001</f>
        <v>-6.61807475842823</v>
      </c>
      <c r="AG5863" s="55" t="n">
        <f aca="false">AE5863+ROW()*0.000000001</f>
        <v>41.5649181437018</v>
      </c>
    </row>
    <row r="5864" customFormat="false" ht="15" hidden="false" customHeight="false" outlineLevel="0" collapsed="false">
      <c r="A5864" s="0" t="n">
        <v>8</v>
      </c>
      <c r="B5864" s="0" t="n">
        <v>0</v>
      </c>
      <c r="C5864" s="0" t="n">
        <v>3</v>
      </c>
      <c r="D5864" s="0" t="n">
        <v>0</v>
      </c>
      <c r="E5864" s="0" t="n">
        <f aca="false">-1+A5864*0.25</f>
        <v>1</v>
      </c>
      <c r="F5864" s="0" t="n">
        <f aca="false">-1+B5864*0.25</f>
        <v>-1</v>
      </c>
      <c r="G5864" s="0" t="n">
        <f aca="false">-1+C5864*0.25</f>
        <v>-0.25</v>
      </c>
      <c r="H5864" s="0" t="n">
        <f aca="false">-1+D5864*0.25</f>
        <v>-1</v>
      </c>
      <c r="I5864" s="0" t="n">
        <f aca="false">1</f>
        <v>1</v>
      </c>
      <c r="J5864" s="0" t="n">
        <f aca="false">E5864</f>
        <v>1</v>
      </c>
      <c r="K5864" s="0" t="n">
        <f aca="false">F5864</f>
        <v>-1</v>
      </c>
      <c r="L5864" s="0" t="n">
        <f aca="false">G5864</f>
        <v>-0.25</v>
      </c>
      <c r="M5864" s="0" t="n">
        <f aca="false">H5864</f>
        <v>-1</v>
      </c>
      <c r="N5864" s="0" t="n">
        <f aca="false">E5864*F5864</f>
        <v>-1</v>
      </c>
      <c r="O5864" s="0" t="n">
        <f aca="false">E5864*G5864</f>
        <v>-0.25</v>
      </c>
      <c r="P5864" s="0" t="n">
        <f aca="false">E5864*H5864</f>
        <v>-1</v>
      </c>
      <c r="Q5864" s="0" t="n">
        <f aca="false">F5864*G5864</f>
        <v>0.25</v>
      </c>
      <c r="R5864" s="0" t="n">
        <f aca="false">F5864*H5864</f>
        <v>1</v>
      </c>
      <c r="S5864" s="0" t="n">
        <f aca="false">G5864*H5864</f>
        <v>0.25</v>
      </c>
      <c r="T5864" s="0" t="n">
        <f aca="false">E5864*E5864</f>
        <v>1</v>
      </c>
      <c r="U5864" s="0" t="n">
        <f aca="false">F5864*F5864</f>
        <v>1</v>
      </c>
      <c r="V5864" s="0" t="n">
        <f aca="false">G5864*G5864</f>
        <v>0.0625</v>
      </c>
      <c r="W5864" s="0" t="n">
        <f aca="false">H5864*H5864</f>
        <v>1</v>
      </c>
      <c r="X5864" s="0" t="n">
        <f aca="false">SUMPRODUCT(I5864:W5864,_XtX!$B$96:$P$96)</f>
        <v>40.4275950292398</v>
      </c>
      <c r="Y5864" s="0" t="n">
        <f aca="false">SUMPRODUCT(MMULT(I5864:W5864,_XtX!$B$78:$P$92),I5864:W5864)</f>
        <v>0.737093384502924</v>
      </c>
      <c r="Z5864" s="0" t="n">
        <f aca="false">04_回帰ANOVA!$K$19*04_回帰ANOVA!$K$14*SQRT(1+Y5864)</f>
        <v>1.71794784853551</v>
      </c>
      <c r="AA5864" s="0" t="n">
        <f aca="false">X5864-Z5864</f>
        <v>38.7096471807043</v>
      </c>
      <c r="AB5864" s="0" t="n">
        <f aca="false">X5864+Z5864</f>
        <v>42.1455428777753</v>
      </c>
      <c r="AC5864" s="54" t="b">
        <f aca="false">AND(E5864&gt;=01_因子設定!$L$5-0.000000001,E5864&lt;=01_因子設定!$M$5+0.000000001,F5864&gt;=01_因子設定!$L$6-0.000000001,F5864&lt;=01_因子設定!$M$6+0.000000001,G5864&gt;=01_因子設定!$L$7-0.000000001,G5864&lt;=01_因子設定!$M$7+0.000000001,H5864&gt;=01_因子設定!$L$8-0.000000001,H5864&lt;=01_因子設定!$M$8+0.000000001,IF(01_因子設定!$B$20="Box-Behnken",E5864^2+F5864^2+G5864^2+H5864^2&lt;=2+0.000000001,TRUE()))</f>
        <v>1</v>
      </c>
      <c r="AD5864" s="55" t="n">
        <f aca="false">IF(AC5864,IF(01_因子設定!$B$13="最大化",AA5864-01_因子設定!$B$14,IF(01_因子設定!$B$13="最小化",01_因子設定!$B$15-AB5864,MIN(AA5864-01_因子設定!$B$14,01_因子設定!$B$15-AB5864))),-1E+030)</f>
        <v>-7.79035281929568</v>
      </c>
      <c r="AE5864" s="55" t="n">
        <f aca="false">IF(AC5864,IF(01_因子設定!$B$13="最大化",X5864,IF(01_因子設定!$B$13="最小化",-X5864,-ABS(X5864-01_因子設定!$B$16))),-1E+030)</f>
        <v>40.4275950292398</v>
      </c>
      <c r="AF5864" s="55" t="n">
        <f aca="false">AD5864+ROW()*0.000000001</f>
        <v>-7.79034695529568</v>
      </c>
      <c r="AG5864" s="55" t="n">
        <f aca="false">AE5864+ROW()*0.000000001</f>
        <v>40.4276008932398</v>
      </c>
    </row>
    <row r="5865" customFormat="false" ht="15" hidden="false" customHeight="false" outlineLevel="0" collapsed="false">
      <c r="A5865" s="0" t="n">
        <v>8</v>
      </c>
      <c r="B5865" s="0" t="n">
        <v>0</v>
      </c>
      <c r="C5865" s="0" t="n">
        <v>3</v>
      </c>
      <c r="D5865" s="0" t="n">
        <v>1</v>
      </c>
      <c r="E5865" s="0" t="n">
        <f aca="false">-1+A5865*0.25</f>
        <v>1</v>
      </c>
      <c r="F5865" s="0" t="n">
        <f aca="false">-1+B5865*0.25</f>
        <v>-1</v>
      </c>
      <c r="G5865" s="0" t="n">
        <f aca="false">-1+C5865*0.25</f>
        <v>-0.25</v>
      </c>
      <c r="H5865" s="0" t="n">
        <f aca="false">-1+D5865*0.25</f>
        <v>-0.75</v>
      </c>
      <c r="I5865" s="0" t="n">
        <f aca="false">1</f>
        <v>1</v>
      </c>
      <c r="J5865" s="0" t="n">
        <f aca="false">E5865</f>
        <v>1</v>
      </c>
      <c r="K5865" s="0" t="n">
        <f aca="false">F5865</f>
        <v>-1</v>
      </c>
      <c r="L5865" s="0" t="n">
        <f aca="false">G5865</f>
        <v>-0.25</v>
      </c>
      <c r="M5865" s="0" t="n">
        <f aca="false">H5865</f>
        <v>-0.75</v>
      </c>
      <c r="N5865" s="0" t="n">
        <f aca="false">E5865*F5865</f>
        <v>-1</v>
      </c>
      <c r="O5865" s="0" t="n">
        <f aca="false">E5865*G5865</f>
        <v>-0.25</v>
      </c>
      <c r="P5865" s="0" t="n">
        <f aca="false">E5865*H5865</f>
        <v>-0.75</v>
      </c>
      <c r="Q5865" s="0" t="n">
        <f aca="false">F5865*G5865</f>
        <v>0.25</v>
      </c>
      <c r="R5865" s="0" t="n">
        <f aca="false">F5865*H5865</f>
        <v>0.75</v>
      </c>
      <c r="S5865" s="0" t="n">
        <f aca="false">G5865*H5865</f>
        <v>0.1875</v>
      </c>
      <c r="T5865" s="0" t="n">
        <f aca="false">E5865*E5865</f>
        <v>1</v>
      </c>
      <c r="U5865" s="0" t="n">
        <f aca="false">F5865*F5865</f>
        <v>1</v>
      </c>
      <c r="V5865" s="0" t="n">
        <f aca="false">G5865*G5865</f>
        <v>0.0625</v>
      </c>
      <c r="W5865" s="0" t="n">
        <f aca="false">H5865*H5865</f>
        <v>0.5625</v>
      </c>
      <c r="X5865" s="0" t="n">
        <f aca="false">SUMPRODUCT(I5865:W5865,_XtX!$B$96:$P$96)</f>
        <v>40.7627147295322</v>
      </c>
      <c r="Y5865" s="0" t="n">
        <f aca="false">SUMPRODUCT(MMULT(I5865:W5865,_XtX!$B$78:$P$92),I5865:W5865)</f>
        <v>0.621372155975877</v>
      </c>
      <c r="Z5865" s="0" t="n">
        <f aca="false">04_回帰ANOVA!$K$19*04_回帰ANOVA!$K$14*SQRT(1+Y5865)</f>
        <v>1.65973880499872</v>
      </c>
      <c r="AA5865" s="0" t="n">
        <f aca="false">X5865-Z5865</f>
        <v>39.1029759245335</v>
      </c>
      <c r="AB5865" s="0" t="n">
        <f aca="false">X5865+Z5865</f>
        <v>42.4224535345309</v>
      </c>
      <c r="AC5865" s="54" t="b">
        <f aca="false">AND(E5865&gt;=01_因子設定!$L$5-0.000000001,E5865&lt;=01_因子設定!$M$5+0.000000001,F5865&gt;=01_因子設定!$L$6-0.000000001,F5865&lt;=01_因子設定!$M$6+0.000000001,G5865&gt;=01_因子設定!$L$7-0.000000001,G5865&lt;=01_因子設定!$M$7+0.000000001,H5865&gt;=01_因子設定!$L$8-0.000000001,H5865&lt;=01_因子設定!$M$8+0.000000001,IF(01_因子設定!$B$20="Box-Behnken",E5865^2+F5865^2+G5865^2+H5865^2&lt;=2+0.000000001,TRUE()))</f>
        <v>1</v>
      </c>
      <c r="AD5865" s="55" t="n">
        <f aca="false">IF(AC5865,IF(01_因子設定!$B$13="最大化",AA5865-01_因子設定!$B$14,IF(01_因子設定!$B$13="最小化",01_因子設定!$B$15-AB5865,MIN(AA5865-01_因子設定!$B$14,01_因子設定!$B$15-AB5865))),-1E+030)</f>
        <v>-7.39702407546651</v>
      </c>
      <c r="AE5865" s="55" t="n">
        <f aca="false">IF(AC5865,IF(01_因子設定!$B$13="最大化",X5865,IF(01_因子設定!$B$13="最小化",-X5865,-ABS(X5865-01_因子設定!$B$16))),-1E+030)</f>
        <v>40.7627147295322</v>
      </c>
      <c r="AF5865" s="55" t="n">
        <f aca="false">AD5865+ROW()*0.000000001</f>
        <v>-7.39701821046651</v>
      </c>
      <c r="AG5865" s="55" t="n">
        <f aca="false">AE5865+ROW()*0.000000001</f>
        <v>40.7627205945322</v>
      </c>
    </row>
    <row r="5866" customFormat="false" ht="15" hidden="false" customHeight="false" outlineLevel="0" collapsed="false">
      <c r="A5866" s="0" t="n">
        <v>8</v>
      </c>
      <c r="B5866" s="0" t="n">
        <v>0</v>
      </c>
      <c r="C5866" s="0" t="n">
        <v>3</v>
      </c>
      <c r="D5866" s="0" t="n">
        <v>2</v>
      </c>
      <c r="E5866" s="0" t="n">
        <f aca="false">-1+A5866*0.25</f>
        <v>1</v>
      </c>
      <c r="F5866" s="0" t="n">
        <f aca="false">-1+B5866*0.25</f>
        <v>-1</v>
      </c>
      <c r="G5866" s="0" t="n">
        <f aca="false">-1+C5866*0.25</f>
        <v>-0.25</v>
      </c>
      <c r="H5866" s="0" t="n">
        <f aca="false">-1+D5866*0.25</f>
        <v>-0.5</v>
      </c>
      <c r="I5866" s="0" t="n">
        <f aca="false">1</f>
        <v>1</v>
      </c>
      <c r="J5866" s="0" t="n">
        <f aca="false">E5866</f>
        <v>1</v>
      </c>
      <c r="K5866" s="0" t="n">
        <f aca="false">F5866</f>
        <v>-1</v>
      </c>
      <c r="L5866" s="0" t="n">
        <f aca="false">G5866</f>
        <v>-0.25</v>
      </c>
      <c r="M5866" s="0" t="n">
        <f aca="false">H5866</f>
        <v>-0.5</v>
      </c>
      <c r="N5866" s="0" t="n">
        <f aca="false">E5866*F5866</f>
        <v>-1</v>
      </c>
      <c r="O5866" s="0" t="n">
        <f aca="false">E5866*G5866</f>
        <v>-0.25</v>
      </c>
      <c r="P5866" s="0" t="n">
        <f aca="false">E5866*H5866</f>
        <v>-0.5</v>
      </c>
      <c r="Q5866" s="0" t="n">
        <f aca="false">F5866*G5866</f>
        <v>0.25</v>
      </c>
      <c r="R5866" s="0" t="n">
        <f aca="false">F5866*H5866</f>
        <v>0.5</v>
      </c>
      <c r="S5866" s="0" t="n">
        <f aca="false">G5866*H5866</f>
        <v>0.125</v>
      </c>
      <c r="T5866" s="0" t="n">
        <f aca="false">E5866*E5866</f>
        <v>1</v>
      </c>
      <c r="U5866" s="0" t="n">
        <f aca="false">F5866*F5866</f>
        <v>1</v>
      </c>
      <c r="V5866" s="0" t="n">
        <f aca="false">G5866*G5866</f>
        <v>0.0625</v>
      </c>
      <c r="W5866" s="0" t="n">
        <f aca="false">H5866*H5866</f>
        <v>0.25</v>
      </c>
      <c r="X5866" s="0" t="n">
        <f aca="false">SUMPRODUCT(I5866:W5866,_XtX!$B$96:$P$96)</f>
        <v>41.0500274122807</v>
      </c>
      <c r="Y5866" s="0" t="n">
        <f aca="false">SUMPRODUCT(MMULT(I5866:W5866,_XtX!$B$78:$P$92),I5866:W5866)</f>
        <v>0.629174661915205</v>
      </c>
      <c r="Z5866" s="0" t="n">
        <f aca="false">04_回帰ANOVA!$K$19*04_回帰ANOVA!$K$14*SQRT(1+Y5866)</f>
        <v>1.66372758058297</v>
      </c>
      <c r="AA5866" s="0" t="n">
        <f aca="false">X5866-Z5866</f>
        <v>39.3862998316978</v>
      </c>
      <c r="AB5866" s="0" t="n">
        <f aca="false">X5866+Z5866</f>
        <v>42.7137549928637</v>
      </c>
      <c r="AC5866" s="54" t="b">
        <f aca="false">AND(E5866&gt;=01_因子設定!$L$5-0.000000001,E5866&lt;=01_因子設定!$M$5+0.000000001,F5866&gt;=01_因子設定!$L$6-0.000000001,F5866&lt;=01_因子設定!$M$6+0.000000001,G5866&gt;=01_因子設定!$L$7-0.000000001,G5866&lt;=01_因子設定!$M$7+0.000000001,H5866&gt;=01_因子設定!$L$8-0.000000001,H5866&lt;=01_因子設定!$M$8+0.000000001,IF(01_因子設定!$B$20="Box-Behnken",E5866^2+F5866^2+G5866^2+H5866^2&lt;=2+0.000000001,TRUE()))</f>
        <v>1</v>
      </c>
      <c r="AD5866" s="55" t="n">
        <f aca="false">IF(AC5866,IF(01_因子設定!$B$13="最大化",AA5866-01_因子設定!$B$14,IF(01_因子設定!$B$13="最小化",01_因子設定!$B$15-AB5866,MIN(AA5866-01_因子設定!$B$14,01_因子設定!$B$15-AB5866))),-1E+030)</f>
        <v>-7.11370016830224</v>
      </c>
      <c r="AE5866" s="55" t="n">
        <f aca="false">IF(AC5866,IF(01_因子設定!$B$13="最大化",X5866,IF(01_因子設定!$B$13="最小化",-X5866,-ABS(X5866-01_因子設定!$B$16))),-1E+030)</f>
        <v>41.0500274122807</v>
      </c>
      <c r="AF5866" s="55" t="n">
        <f aca="false">AD5866+ROW()*0.000000001</f>
        <v>-7.11369430230224</v>
      </c>
      <c r="AG5866" s="55" t="n">
        <f aca="false">AE5866+ROW()*0.000000001</f>
        <v>41.0500332782807</v>
      </c>
    </row>
    <row r="5867" customFormat="false" ht="15" hidden="false" customHeight="false" outlineLevel="0" collapsed="false">
      <c r="A5867" s="0" t="n">
        <v>8</v>
      </c>
      <c r="B5867" s="0" t="n">
        <v>0</v>
      </c>
      <c r="C5867" s="0" t="n">
        <v>3</v>
      </c>
      <c r="D5867" s="0" t="n">
        <v>3</v>
      </c>
      <c r="E5867" s="0" t="n">
        <f aca="false">-1+A5867*0.25</f>
        <v>1</v>
      </c>
      <c r="F5867" s="0" t="n">
        <f aca="false">-1+B5867*0.25</f>
        <v>-1</v>
      </c>
      <c r="G5867" s="0" t="n">
        <f aca="false">-1+C5867*0.25</f>
        <v>-0.25</v>
      </c>
      <c r="H5867" s="0" t="n">
        <f aca="false">-1+D5867*0.25</f>
        <v>-0.25</v>
      </c>
      <c r="I5867" s="0" t="n">
        <f aca="false">1</f>
        <v>1</v>
      </c>
      <c r="J5867" s="0" t="n">
        <f aca="false">E5867</f>
        <v>1</v>
      </c>
      <c r="K5867" s="0" t="n">
        <f aca="false">F5867</f>
        <v>-1</v>
      </c>
      <c r="L5867" s="0" t="n">
        <f aca="false">G5867</f>
        <v>-0.25</v>
      </c>
      <c r="M5867" s="0" t="n">
        <f aca="false">H5867</f>
        <v>-0.25</v>
      </c>
      <c r="N5867" s="0" t="n">
        <f aca="false">E5867*F5867</f>
        <v>-1</v>
      </c>
      <c r="O5867" s="0" t="n">
        <f aca="false">E5867*G5867</f>
        <v>-0.25</v>
      </c>
      <c r="P5867" s="0" t="n">
        <f aca="false">E5867*H5867</f>
        <v>-0.25</v>
      </c>
      <c r="Q5867" s="0" t="n">
        <f aca="false">F5867*G5867</f>
        <v>0.25</v>
      </c>
      <c r="R5867" s="0" t="n">
        <f aca="false">F5867*H5867</f>
        <v>0.25</v>
      </c>
      <c r="S5867" s="0" t="n">
        <f aca="false">G5867*H5867</f>
        <v>0.0625</v>
      </c>
      <c r="T5867" s="0" t="n">
        <f aca="false">E5867*E5867</f>
        <v>1</v>
      </c>
      <c r="U5867" s="0" t="n">
        <f aca="false">F5867*F5867</f>
        <v>1</v>
      </c>
      <c r="V5867" s="0" t="n">
        <f aca="false">G5867*G5867</f>
        <v>0.0625</v>
      </c>
      <c r="W5867" s="0" t="n">
        <f aca="false">H5867*H5867</f>
        <v>0.0625</v>
      </c>
      <c r="X5867" s="0" t="n">
        <f aca="false">SUMPRODUCT(I5867:W5867,_XtX!$B$96:$P$96)</f>
        <v>41.2895330774854</v>
      </c>
      <c r="Y5867" s="0" t="n">
        <f aca="false">SUMPRODUCT(MMULT(I5867:W5867,_XtX!$B$78:$P$92),I5867:W5867)</f>
        <v>0.670040376005117</v>
      </c>
      <c r="Z5867" s="0" t="n">
        <f aca="false">04_回帰ANOVA!$K$19*04_回帰ANOVA!$K$14*SQRT(1+Y5867)</f>
        <v>1.68446456039992</v>
      </c>
      <c r="AA5867" s="0" t="n">
        <f aca="false">X5867-Z5867</f>
        <v>39.6050685170855</v>
      </c>
      <c r="AB5867" s="0" t="n">
        <f aca="false">X5867+Z5867</f>
        <v>42.9739976378853</v>
      </c>
      <c r="AC5867" s="54" t="b">
        <f aca="false">AND(E5867&gt;=01_因子設定!$L$5-0.000000001,E5867&lt;=01_因子設定!$M$5+0.000000001,F5867&gt;=01_因子設定!$L$6-0.000000001,F5867&lt;=01_因子設定!$M$6+0.000000001,G5867&gt;=01_因子設定!$L$7-0.000000001,G5867&lt;=01_因子設定!$M$7+0.000000001,H5867&gt;=01_因子設定!$L$8-0.000000001,H5867&lt;=01_因子設定!$M$8+0.000000001,IF(01_因子設定!$B$20="Box-Behnken",E5867^2+F5867^2+G5867^2+H5867^2&lt;=2+0.000000001,TRUE()))</f>
        <v>1</v>
      </c>
      <c r="AD5867" s="55" t="n">
        <f aca="false">IF(AC5867,IF(01_因子設定!$B$13="最大化",AA5867-01_因子設定!$B$14,IF(01_因子設定!$B$13="最小化",01_因子設定!$B$15-AB5867,MIN(AA5867-01_因子設定!$B$14,01_因子設定!$B$15-AB5867))),-1E+030)</f>
        <v>-6.89493148291451</v>
      </c>
      <c r="AE5867" s="55" t="n">
        <f aca="false">IF(AC5867,IF(01_因子設定!$B$13="最大化",X5867,IF(01_因子設定!$B$13="最小化",-X5867,-ABS(X5867-01_因子設定!$B$16))),-1E+030)</f>
        <v>41.2895330774854</v>
      </c>
      <c r="AF5867" s="55" t="n">
        <f aca="false">AD5867+ROW()*0.000000001</f>
        <v>-6.89492561591451</v>
      </c>
      <c r="AG5867" s="55" t="n">
        <f aca="false">AE5867+ROW()*0.000000001</f>
        <v>41.2895389444854</v>
      </c>
    </row>
    <row r="5868" customFormat="false" ht="15" hidden="false" customHeight="false" outlineLevel="0" collapsed="false">
      <c r="A5868" s="0" t="n">
        <v>8</v>
      </c>
      <c r="B5868" s="0" t="n">
        <v>0</v>
      </c>
      <c r="C5868" s="0" t="n">
        <v>3</v>
      </c>
      <c r="D5868" s="0" t="n">
        <v>4</v>
      </c>
      <c r="E5868" s="0" t="n">
        <f aca="false">-1+A5868*0.25</f>
        <v>1</v>
      </c>
      <c r="F5868" s="0" t="n">
        <f aca="false">-1+B5868*0.25</f>
        <v>-1</v>
      </c>
      <c r="G5868" s="0" t="n">
        <f aca="false">-1+C5868*0.25</f>
        <v>-0.25</v>
      </c>
      <c r="H5868" s="0" t="n">
        <f aca="false">-1+D5868*0.25</f>
        <v>0</v>
      </c>
      <c r="I5868" s="0" t="n">
        <f aca="false">1</f>
        <v>1</v>
      </c>
      <c r="J5868" s="0" t="n">
        <f aca="false">E5868</f>
        <v>1</v>
      </c>
      <c r="K5868" s="0" t="n">
        <f aca="false">F5868</f>
        <v>-1</v>
      </c>
      <c r="L5868" s="0" t="n">
        <f aca="false">G5868</f>
        <v>-0.25</v>
      </c>
      <c r="M5868" s="0" t="n">
        <f aca="false">H5868</f>
        <v>0</v>
      </c>
      <c r="N5868" s="0" t="n">
        <f aca="false">E5868*F5868</f>
        <v>-1</v>
      </c>
      <c r="O5868" s="0" t="n">
        <f aca="false">E5868*G5868</f>
        <v>-0.25</v>
      </c>
      <c r="P5868" s="0" t="n">
        <f aca="false">E5868*H5868</f>
        <v>0</v>
      </c>
      <c r="Q5868" s="0" t="n">
        <f aca="false">F5868*G5868</f>
        <v>0.25</v>
      </c>
      <c r="R5868" s="0" t="n">
        <f aca="false">F5868*H5868</f>
        <v>-0</v>
      </c>
      <c r="S5868" s="0" t="n">
        <f aca="false">G5868*H5868</f>
        <v>-0</v>
      </c>
      <c r="T5868" s="0" t="n">
        <f aca="false">E5868*E5868</f>
        <v>1</v>
      </c>
      <c r="U5868" s="0" t="n">
        <f aca="false">F5868*F5868</f>
        <v>1</v>
      </c>
      <c r="V5868" s="0" t="n">
        <f aca="false">G5868*G5868</f>
        <v>0.0625</v>
      </c>
      <c r="W5868" s="0" t="n">
        <f aca="false">H5868*H5868</f>
        <v>0</v>
      </c>
      <c r="X5868" s="0" t="n">
        <f aca="false">SUMPRODUCT(I5868:W5868,_XtX!$B$96:$P$96)</f>
        <v>41.4812317251462</v>
      </c>
      <c r="Y5868" s="0" t="n">
        <f aca="false">SUMPRODUCT(MMULT(I5868:W5868,_XtX!$B$78:$P$92),I5868:W5868)</f>
        <v>0.689692982456141</v>
      </c>
      <c r="Z5868" s="0" t="n">
        <f aca="false">04_回帰ANOVA!$K$19*04_回帰ANOVA!$K$14*SQRT(1+Y5868)</f>
        <v>1.69434674594998</v>
      </c>
      <c r="AA5868" s="0" t="n">
        <f aca="false">X5868-Z5868</f>
        <v>39.7868849791962</v>
      </c>
      <c r="AB5868" s="0" t="n">
        <f aca="false">X5868+Z5868</f>
        <v>43.1755784710962</v>
      </c>
      <c r="AC5868" s="54" t="b">
        <f aca="false">AND(E5868&gt;=01_因子設定!$L$5-0.000000001,E5868&lt;=01_因子設定!$M$5+0.000000001,F5868&gt;=01_因子設定!$L$6-0.000000001,F5868&lt;=01_因子設定!$M$6+0.000000001,G5868&gt;=01_因子設定!$L$7-0.000000001,G5868&lt;=01_因子設定!$M$7+0.000000001,H5868&gt;=01_因子設定!$L$8-0.000000001,H5868&lt;=01_因子設定!$M$8+0.000000001,IF(01_因子設定!$B$20="Box-Behnken",E5868^2+F5868^2+G5868^2+H5868^2&lt;=2+0.000000001,TRUE()))</f>
        <v>1</v>
      </c>
      <c r="AD5868" s="55" t="n">
        <f aca="false">IF(AC5868,IF(01_因子設定!$B$13="最大化",AA5868-01_因子設定!$B$14,IF(01_因子設定!$B$13="最小化",01_因子設定!$B$15-AB5868,MIN(AA5868-01_因子設定!$B$14,01_因子設定!$B$15-AB5868))),-1E+030)</f>
        <v>-6.71311502080376</v>
      </c>
      <c r="AE5868" s="55" t="n">
        <f aca="false">IF(AC5868,IF(01_因子設定!$B$13="最大化",X5868,IF(01_因子設定!$B$13="最小化",-X5868,-ABS(X5868-01_因子設定!$B$16))),-1E+030)</f>
        <v>41.4812317251462</v>
      </c>
      <c r="AF5868" s="55" t="n">
        <f aca="false">AD5868+ROW()*0.000000001</f>
        <v>-6.71310915280376</v>
      </c>
      <c r="AG5868" s="55" t="n">
        <f aca="false">AE5868+ROW()*0.000000001</f>
        <v>41.4812375931462</v>
      </c>
    </row>
    <row r="5869" customFormat="false" ht="15" hidden="false" customHeight="false" outlineLevel="0" collapsed="false">
      <c r="A5869" s="0" t="n">
        <v>8</v>
      </c>
      <c r="B5869" s="0" t="n">
        <v>0</v>
      </c>
      <c r="C5869" s="0" t="n">
        <v>3</v>
      </c>
      <c r="D5869" s="0" t="n">
        <v>5</v>
      </c>
      <c r="E5869" s="0" t="n">
        <f aca="false">-1+A5869*0.25</f>
        <v>1</v>
      </c>
      <c r="F5869" s="0" t="n">
        <f aca="false">-1+B5869*0.25</f>
        <v>-1</v>
      </c>
      <c r="G5869" s="0" t="n">
        <f aca="false">-1+C5869*0.25</f>
        <v>-0.25</v>
      </c>
      <c r="H5869" s="0" t="n">
        <f aca="false">-1+D5869*0.25</f>
        <v>0.25</v>
      </c>
      <c r="I5869" s="0" t="n">
        <f aca="false">1</f>
        <v>1</v>
      </c>
      <c r="J5869" s="0" t="n">
        <f aca="false">E5869</f>
        <v>1</v>
      </c>
      <c r="K5869" s="0" t="n">
        <f aca="false">F5869</f>
        <v>-1</v>
      </c>
      <c r="L5869" s="0" t="n">
        <f aca="false">G5869</f>
        <v>-0.25</v>
      </c>
      <c r="M5869" s="0" t="n">
        <f aca="false">H5869</f>
        <v>0.25</v>
      </c>
      <c r="N5869" s="0" t="n">
        <f aca="false">E5869*F5869</f>
        <v>-1</v>
      </c>
      <c r="O5869" s="0" t="n">
        <f aca="false">E5869*G5869</f>
        <v>-0.25</v>
      </c>
      <c r="P5869" s="0" t="n">
        <f aca="false">E5869*H5869</f>
        <v>0.25</v>
      </c>
      <c r="Q5869" s="0" t="n">
        <f aca="false">F5869*G5869</f>
        <v>0.25</v>
      </c>
      <c r="R5869" s="0" t="n">
        <f aca="false">F5869*H5869</f>
        <v>-0.25</v>
      </c>
      <c r="S5869" s="0" t="n">
        <f aca="false">G5869*H5869</f>
        <v>-0.0625</v>
      </c>
      <c r="T5869" s="0" t="n">
        <f aca="false">E5869*E5869</f>
        <v>1</v>
      </c>
      <c r="U5869" s="0" t="n">
        <f aca="false">F5869*F5869</f>
        <v>1</v>
      </c>
      <c r="V5869" s="0" t="n">
        <f aca="false">G5869*G5869</f>
        <v>0.0625</v>
      </c>
      <c r="W5869" s="0" t="n">
        <f aca="false">H5869*H5869</f>
        <v>0.0625</v>
      </c>
      <c r="X5869" s="0" t="n">
        <f aca="false">SUMPRODUCT(I5869:W5869,_XtX!$B$96:$P$96)</f>
        <v>41.6251233552632</v>
      </c>
      <c r="Y5869" s="0" t="n">
        <f aca="false">SUMPRODUCT(MMULT(I5869:W5869,_XtX!$B$78:$P$92),I5869:W5869)</f>
        <v>0.670040376005117</v>
      </c>
      <c r="Z5869" s="0" t="n">
        <f aca="false">04_回帰ANOVA!$K$19*04_回帰ANOVA!$K$14*SQRT(1+Y5869)</f>
        <v>1.68446456039992</v>
      </c>
      <c r="AA5869" s="0" t="n">
        <f aca="false">X5869-Z5869</f>
        <v>39.9406587948633</v>
      </c>
      <c r="AB5869" s="0" t="n">
        <f aca="false">X5869+Z5869</f>
        <v>43.3095879156631</v>
      </c>
      <c r="AC5869" s="54" t="b">
        <f aca="false">AND(E5869&gt;=01_因子設定!$L$5-0.000000001,E5869&lt;=01_因子設定!$M$5+0.000000001,F5869&gt;=01_因子設定!$L$6-0.000000001,F5869&lt;=01_因子設定!$M$6+0.000000001,G5869&gt;=01_因子設定!$L$7-0.000000001,G5869&lt;=01_因子設定!$M$7+0.000000001,H5869&gt;=01_因子設定!$L$8-0.000000001,H5869&lt;=01_因子設定!$M$8+0.000000001,IF(01_因子設定!$B$20="Box-Behnken",E5869^2+F5869^2+G5869^2+H5869^2&lt;=2+0.000000001,TRUE()))</f>
        <v>1</v>
      </c>
      <c r="AD5869" s="55" t="n">
        <f aca="false">IF(AC5869,IF(01_因子設定!$B$13="最大化",AA5869-01_因子設定!$B$14,IF(01_因子設定!$B$13="最小化",01_因子設定!$B$15-AB5869,MIN(AA5869-01_因子設定!$B$14,01_因子設定!$B$15-AB5869))),-1E+030)</f>
        <v>-6.55934120513673</v>
      </c>
      <c r="AE5869" s="55" t="n">
        <f aca="false">IF(AC5869,IF(01_因子設定!$B$13="最大化",X5869,IF(01_因子設定!$B$13="最小化",-X5869,-ABS(X5869-01_因子設定!$B$16))),-1E+030)</f>
        <v>41.6251233552632</v>
      </c>
      <c r="AF5869" s="55" t="n">
        <f aca="false">AD5869+ROW()*0.000000001</f>
        <v>-6.55933533613673</v>
      </c>
      <c r="AG5869" s="55" t="n">
        <f aca="false">AE5869+ROW()*0.000000001</f>
        <v>41.6251292242632</v>
      </c>
    </row>
    <row r="5870" customFormat="false" ht="15" hidden="false" customHeight="false" outlineLevel="0" collapsed="false">
      <c r="A5870" s="0" t="n">
        <v>8</v>
      </c>
      <c r="B5870" s="0" t="n">
        <v>0</v>
      </c>
      <c r="C5870" s="0" t="n">
        <v>3</v>
      </c>
      <c r="D5870" s="0" t="n">
        <v>6</v>
      </c>
      <c r="E5870" s="0" t="n">
        <f aca="false">-1+A5870*0.25</f>
        <v>1</v>
      </c>
      <c r="F5870" s="0" t="n">
        <f aca="false">-1+B5870*0.25</f>
        <v>-1</v>
      </c>
      <c r="G5870" s="0" t="n">
        <f aca="false">-1+C5870*0.25</f>
        <v>-0.25</v>
      </c>
      <c r="H5870" s="0" t="n">
        <f aca="false">-1+D5870*0.25</f>
        <v>0.5</v>
      </c>
      <c r="I5870" s="0" t="n">
        <f aca="false">1</f>
        <v>1</v>
      </c>
      <c r="J5870" s="0" t="n">
        <f aca="false">E5870</f>
        <v>1</v>
      </c>
      <c r="K5870" s="0" t="n">
        <f aca="false">F5870</f>
        <v>-1</v>
      </c>
      <c r="L5870" s="0" t="n">
        <f aca="false">G5870</f>
        <v>-0.25</v>
      </c>
      <c r="M5870" s="0" t="n">
        <f aca="false">H5870</f>
        <v>0.5</v>
      </c>
      <c r="N5870" s="0" t="n">
        <f aca="false">E5870*F5870</f>
        <v>-1</v>
      </c>
      <c r="O5870" s="0" t="n">
        <f aca="false">E5870*G5870</f>
        <v>-0.25</v>
      </c>
      <c r="P5870" s="0" t="n">
        <f aca="false">E5870*H5870</f>
        <v>0.5</v>
      </c>
      <c r="Q5870" s="0" t="n">
        <f aca="false">F5870*G5870</f>
        <v>0.25</v>
      </c>
      <c r="R5870" s="0" t="n">
        <f aca="false">F5870*H5870</f>
        <v>-0.5</v>
      </c>
      <c r="S5870" s="0" t="n">
        <f aca="false">G5870*H5870</f>
        <v>-0.125</v>
      </c>
      <c r="T5870" s="0" t="n">
        <f aca="false">E5870*E5870</f>
        <v>1</v>
      </c>
      <c r="U5870" s="0" t="n">
        <f aca="false">F5870*F5870</f>
        <v>1</v>
      </c>
      <c r="V5870" s="0" t="n">
        <f aca="false">G5870*G5870</f>
        <v>0.0625</v>
      </c>
      <c r="W5870" s="0" t="n">
        <f aca="false">H5870*H5870</f>
        <v>0.25</v>
      </c>
      <c r="X5870" s="0" t="n">
        <f aca="false">SUMPRODUCT(I5870:W5870,_XtX!$B$96:$P$96)</f>
        <v>41.7212079678363</v>
      </c>
      <c r="Y5870" s="0" t="n">
        <f aca="false">SUMPRODUCT(MMULT(I5870:W5870,_XtX!$B$78:$P$92),I5870:W5870)</f>
        <v>0.629174661915205</v>
      </c>
      <c r="Z5870" s="0" t="n">
        <f aca="false">04_回帰ANOVA!$K$19*04_回帰ANOVA!$K$14*SQRT(1+Y5870)</f>
        <v>1.66372758058297</v>
      </c>
      <c r="AA5870" s="0" t="n">
        <f aca="false">X5870-Z5870</f>
        <v>40.0574803872533</v>
      </c>
      <c r="AB5870" s="0" t="n">
        <f aca="false">X5870+Z5870</f>
        <v>43.3849355484193</v>
      </c>
      <c r="AC5870" s="54" t="b">
        <f aca="false">AND(E5870&gt;=01_因子設定!$L$5-0.000000001,E5870&lt;=01_因子設定!$M$5+0.000000001,F5870&gt;=01_因子設定!$L$6-0.000000001,F5870&lt;=01_因子設定!$M$6+0.000000001,G5870&gt;=01_因子設定!$L$7-0.000000001,G5870&lt;=01_因子設定!$M$7+0.000000001,H5870&gt;=01_因子設定!$L$8-0.000000001,H5870&lt;=01_因子設定!$M$8+0.000000001,IF(01_因子設定!$B$20="Box-Behnken",E5870^2+F5870^2+G5870^2+H5870^2&lt;=2+0.000000001,TRUE()))</f>
        <v>1</v>
      </c>
      <c r="AD5870" s="55" t="n">
        <f aca="false">IF(AC5870,IF(01_因子設定!$B$13="最大化",AA5870-01_因子設定!$B$14,IF(01_因子設定!$B$13="最小化",01_因子設定!$B$15-AB5870,MIN(AA5870-01_因子設定!$B$14,01_因子設定!$B$15-AB5870))),-1E+030)</f>
        <v>-6.44251961274668</v>
      </c>
      <c r="AE5870" s="55" t="n">
        <f aca="false">IF(AC5870,IF(01_因子設定!$B$13="最大化",X5870,IF(01_因子設定!$B$13="最小化",-X5870,-ABS(X5870-01_因子設定!$B$16))),-1E+030)</f>
        <v>41.7212079678363</v>
      </c>
      <c r="AF5870" s="55" t="n">
        <f aca="false">AD5870+ROW()*0.000000001</f>
        <v>-6.44251374274668</v>
      </c>
      <c r="AG5870" s="55" t="n">
        <f aca="false">AE5870+ROW()*0.000000001</f>
        <v>41.7212138378363</v>
      </c>
    </row>
    <row r="5871" customFormat="false" ht="15" hidden="false" customHeight="false" outlineLevel="0" collapsed="false">
      <c r="A5871" s="0" t="n">
        <v>8</v>
      </c>
      <c r="B5871" s="0" t="n">
        <v>0</v>
      </c>
      <c r="C5871" s="0" t="n">
        <v>3</v>
      </c>
      <c r="D5871" s="0" t="n">
        <v>7</v>
      </c>
      <c r="E5871" s="0" t="n">
        <f aca="false">-1+A5871*0.25</f>
        <v>1</v>
      </c>
      <c r="F5871" s="0" t="n">
        <f aca="false">-1+B5871*0.25</f>
        <v>-1</v>
      </c>
      <c r="G5871" s="0" t="n">
        <f aca="false">-1+C5871*0.25</f>
        <v>-0.25</v>
      </c>
      <c r="H5871" s="0" t="n">
        <f aca="false">-1+D5871*0.25</f>
        <v>0.75</v>
      </c>
      <c r="I5871" s="0" t="n">
        <f aca="false">1</f>
        <v>1</v>
      </c>
      <c r="J5871" s="0" t="n">
        <f aca="false">E5871</f>
        <v>1</v>
      </c>
      <c r="K5871" s="0" t="n">
        <f aca="false">F5871</f>
        <v>-1</v>
      </c>
      <c r="L5871" s="0" t="n">
        <f aca="false">G5871</f>
        <v>-0.25</v>
      </c>
      <c r="M5871" s="0" t="n">
        <f aca="false">H5871</f>
        <v>0.75</v>
      </c>
      <c r="N5871" s="0" t="n">
        <f aca="false">E5871*F5871</f>
        <v>-1</v>
      </c>
      <c r="O5871" s="0" t="n">
        <f aca="false">E5871*G5871</f>
        <v>-0.25</v>
      </c>
      <c r="P5871" s="0" t="n">
        <f aca="false">E5871*H5871</f>
        <v>0.75</v>
      </c>
      <c r="Q5871" s="0" t="n">
        <f aca="false">F5871*G5871</f>
        <v>0.25</v>
      </c>
      <c r="R5871" s="0" t="n">
        <f aca="false">F5871*H5871</f>
        <v>-0.75</v>
      </c>
      <c r="S5871" s="0" t="n">
        <f aca="false">G5871*H5871</f>
        <v>-0.1875</v>
      </c>
      <c r="T5871" s="0" t="n">
        <f aca="false">E5871*E5871</f>
        <v>1</v>
      </c>
      <c r="U5871" s="0" t="n">
        <f aca="false">F5871*F5871</f>
        <v>1</v>
      </c>
      <c r="V5871" s="0" t="n">
        <f aca="false">G5871*G5871</f>
        <v>0.0625</v>
      </c>
      <c r="W5871" s="0" t="n">
        <f aca="false">H5871*H5871</f>
        <v>0.5625</v>
      </c>
      <c r="X5871" s="0" t="n">
        <f aca="false">SUMPRODUCT(I5871:W5871,_XtX!$B$96:$P$96)</f>
        <v>41.7694855628655</v>
      </c>
      <c r="Y5871" s="0" t="n">
        <f aca="false">SUMPRODUCT(MMULT(I5871:W5871,_XtX!$B$78:$P$92),I5871:W5871)</f>
        <v>0.621372155975877</v>
      </c>
      <c r="Z5871" s="0" t="n">
        <f aca="false">04_回帰ANOVA!$K$19*04_回帰ANOVA!$K$14*SQRT(1+Y5871)</f>
        <v>1.65973880499872</v>
      </c>
      <c r="AA5871" s="0" t="n">
        <f aca="false">X5871-Z5871</f>
        <v>40.1097467578668</v>
      </c>
      <c r="AB5871" s="0" t="n">
        <f aca="false">X5871+Z5871</f>
        <v>43.4292243678643</v>
      </c>
      <c r="AC5871" s="54" t="b">
        <f aca="false">AND(E5871&gt;=01_因子設定!$L$5-0.000000001,E5871&lt;=01_因子設定!$M$5+0.000000001,F5871&gt;=01_因子設定!$L$6-0.000000001,F5871&lt;=01_因子設定!$M$6+0.000000001,G5871&gt;=01_因子設定!$L$7-0.000000001,G5871&lt;=01_因子設定!$M$7+0.000000001,H5871&gt;=01_因子設定!$L$8-0.000000001,H5871&lt;=01_因子設定!$M$8+0.000000001,IF(01_因子設定!$B$20="Box-Behnken",E5871^2+F5871^2+G5871^2+H5871^2&lt;=2+0.000000001,TRUE()))</f>
        <v>1</v>
      </c>
      <c r="AD5871" s="55" t="n">
        <f aca="false">IF(AC5871,IF(01_因子設定!$B$13="最大化",AA5871-01_因子設定!$B$14,IF(01_因子設定!$B$13="最小化",01_因子設定!$B$15-AB5871,MIN(AA5871-01_因子設定!$B$14,01_因子設定!$B$15-AB5871))),-1E+030)</f>
        <v>-6.39025324213318</v>
      </c>
      <c r="AE5871" s="55" t="n">
        <f aca="false">IF(AC5871,IF(01_因子設定!$B$13="最大化",X5871,IF(01_因子設定!$B$13="最小化",-X5871,-ABS(X5871-01_因子設定!$B$16))),-1E+030)</f>
        <v>41.7694855628655</v>
      </c>
      <c r="AF5871" s="55" t="n">
        <f aca="false">AD5871+ROW()*0.000000001</f>
        <v>-6.39024737113318</v>
      </c>
      <c r="AG5871" s="55" t="n">
        <f aca="false">AE5871+ROW()*0.000000001</f>
        <v>41.7694914338655</v>
      </c>
    </row>
    <row r="5872" customFormat="false" ht="15" hidden="false" customHeight="false" outlineLevel="0" collapsed="false">
      <c r="A5872" s="0" t="n">
        <v>8</v>
      </c>
      <c r="B5872" s="0" t="n">
        <v>0</v>
      </c>
      <c r="C5872" s="0" t="n">
        <v>3</v>
      </c>
      <c r="D5872" s="0" t="n">
        <v>8</v>
      </c>
      <c r="E5872" s="0" t="n">
        <f aca="false">-1+A5872*0.25</f>
        <v>1</v>
      </c>
      <c r="F5872" s="0" t="n">
        <f aca="false">-1+B5872*0.25</f>
        <v>-1</v>
      </c>
      <c r="G5872" s="0" t="n">
        <f aca="false">-1+C5872*0.25</f>
        <v>-0.25</v>
      </c>
      <c r="H5872" s="0" t="n">
        <f aca="false">-1+D5872*0.25</f>
        <v>1</v>
      </c>
      <c r="I5872" s="0" t="n">
        <f aca="false">1</f>
        <v>1</v>
      </c>
      <c r="J5872" s="0" t="n">
        <f aca="false">E5872</f>
        <v>1</v>
      </c>
      <c r="K5872" s="0" t="n">
        <f aca="false">F5872</f>
        <v>-1</v>
      </c>
      <c r="L5872" s="0" t="n">
        <f aca="false">G5872</f>
        <v>-0.25</v>
      </c>
      <c r="M5872" s="0" t="n">
        <f aca="false">H5872</f>
        <v>1</v>
      </c>
      <c r="N5872" s="0" t="n">
        <f aca="false">E5872*F5872</f>
        <v>-1</v>
      </c>
      <c r="O5872" s="0" t="n">
        <f aca="false">E5872*G5872</f>
        <v>-0.25</v>
      </c>
      <c r="P5872" s="0" t="n">
        <f aca="false">E5872*H5872</f>
        <v>1</v>
      </c>
      <c r="Q5872" s="0" t="n">
        <f aca="false">F5872*G5872</f>
        <v>0.25</v>
      </c>
      <c r="R5872" s="0" t="n">
        <f aca="false">F5872*H5872</f>
        <v>-1</v>
      </c>
      <c r="S5872" s="0" t="n">
        <f aca="false">G5872*H5872</f>
        <v>-0.25</v>
      </c>
      <c r="T5872" s="0" t="n">
        <f aca="false">E5872*E5872</f>
        <v>1</v>
      </c>
      <c r="U5872" s="0" t="n">
        <f aca="false">F5872*F5872</f>
        <v>1</v>
      </c>
      <c r="V5872" s="0" t="n">
        <f aca="false">G5872*G5872</f>
        <v>0.0625</v>
      </c>
      <c r="W5872" s="0" t="n">
        <f aca="false">H5872*H5872</f>
        <v>1</v>
      </c>
      <c r="X5872" s="0" t="n">
        <f aca="false">SUMPRODUCT(I5872:W5872,_XtX!$B$96:$P$96)</f>
        <v>41.7699561403509</v>
      </c>
      <c r="Y5872" s="0" t="n">
        <f aca="false">SUMPRODUCT(MMULT(I5872:W5872,_XtX!$B$78:$P$92),I5872:W5872)</f>
        <v>0.737093384502924</v>
      </c>
      <c r="Z5872" s="0" t="n">
        <f aca="false">04_回帰ANOVA!$K$19*04_回帰ANOVA!$K$14*SQRT(1+Y5872)</f>
        <v>1.71794784853551</v>
      </c>
      <c r="AA5872" s="0" t="n">
        <f aca="false">X5872-Z5872</f>
        <v>40.0520082918154</v>
      </c>
      <c r="AB5872" s="0" t="n">
        <f aca="false">X5872+Z5872</f>
        <v>43.4879039888864</v>
      </c>
      <c r="AC5872" s="54" t="b">
        <f aca="false">AND(E5872&gt;=01_因子設定!$L$5-0.000000001,E5872&lt;=01_因子設定!$M$5+0.000000001,F5872&gt;=01_因子設定!$L$6-0.000000001,F5872&lt;=01_因子設定!$M$6+0.000000001,G5872&gt;=01_因子設定!$L$7-0.000000001,G5872&lt;=01_因子設定!$M$7+0.000000001,H5872&gt;=01_因子設定!$L$8-0.000000001,H5872&lt;=01_因子設定!$M$8+0.000000001,IF(01_因子設定!$B$20="Box-Behnken",E5872^2+F5872^2+G5872^2+H5872^2&lt;=2+0.000000001,TRUE()))</f>
        <v>1</v>
      </c>
      <c r="AD5872" s="55" t="n">
        <f aca="false">IF(AC5872,IF(01_因子設定!$B$13="最大化",AA5872-01_因子設定!$B$14,IF(01_因子設定!$B$13="最小化",01_因子設定!$B$15-AB5872,MIN(AA5872-01_因子設定!$B$14,01_因子設定!$B$15-AB5872))),-1E+030)</f>
        <v>-6.44799170818457</v>
      </c>
      <c r="AE5872" s="55" t="n">
        <f aca="false">IF(AC5872,IF(01_因子設定!$B$13="最大化",X5872,IF(01_因子設定!$B$13="最小化",-X5872,-ABS(X5872-01_因子設定!$B$16))),-1E+030)</f>
        <v>41.7699561403509</v>
      </c>
      <c r="AF5872" s="55" t="n">
        <f aca="false">AD5872+ROW()*0.000000001</f>
        <v>-6.44798583618457</v>
      </c>
      <c r="AG5872" s="55" t="n">
        <f aca="false">AE5872+ROW()*0.000000001</f>
        <v>41.7699620123509</v>
      </c>
    </row>
    <row r="5873" customFormat="false" ht="15" hidden="false" customHeight="false" outlineLevel="0" collapsed="false">
      <c r="A5873" s="0" t="n">
        <v>8</v>
      </c>
      <c r="B5873" s="0" t="n">
        <v>0</v>
      </c>
      <c r="C5873" s="0" t="n">
        <v>4</v>
      </c>
      <c r="D5873" s="0" t="n">
        <v>0</v>
      </c>
      <c r="E5873" s="0" t="n">
        <f aca="false">-1+A5873*0.25</f>
        <v>1</v>
      </c>
      <c r="F5873" s="0" t="n">
        <f aca="false">-1+B5873*0.25</f>
        <v>-1</v>
      </c>
      <c r="G5873" s="0" t="n">
        <f aca="false">-1+C5873*0.25</f>
        <v>0</v>
      </c>
      <c r="H5873" s="0" t="n">
        <f aca="false">-1+D5873*0.25</f>
        <v>-1</v>
      </c>
      <c r="I5873" s="0" t="n">
        <f aca="false">1</f>
        <v>1</v>
      </c>
      <c r="J5873" s="0" t="n">
        <f aca="false">E5873</f>
        <v>1</v>
      </c>
      <c r="K5873" s="0" t="n">
        <f aca="false">F5873</f>
        <v>-1</v>
      </c>
      <c r="L5873" s="0" t="n">
        <f aca="false">G5873</f>
        <v>0</v>
      </c>
      <c r="M5873" s="0" t="n">
        <f aca="false">H5873</f>
        <v>-1</v>
      </c>
      <c r="N5873" s="0" t="n">
        <f aca="false">E5873*F5873</f>
        <v>-1</v>
      </c>
      <c r="O5873" s="0" t="n">
        <f aca="false">E5873*G5873</f>
        <v>0</v>
      </c>
      <c r="P5873" s="0" t="n">
        <f aca="false">E5873*H5873</f>
        <v>-1</v>
      </c>
      <c r="Q5873" s="0" t="n">
        <f aca="false">F5873*G5873</f>
        <v>-0</v>
      </c>
      <c r="R5873" s="0" t="n">
        <f aca="false">F5873*H5873</f>
        <v>1</v>
      </c>
      <c r="S5873" s="0" t="n">
        <f aca="false">G5873*H5873</f>
        <v>-0</v>
      </c>
      <c r="T5873" s="0" t="n">
        <f aca="false">E5873*E5873</f>
        <v>1</v>
      </c>
      <c r="U5873" s="0" t="n">
        <f aca="false">F5873*F5873</f>
        <v>1</v>
      </c>
      <c r="V5873" s="0" t="n">
        <f aca="false">G5873*G5873</f>
        <v>0</v>
      </c>
      <c r="W5873" s="0" t="n">
        <f aca="false">H5873*H5873</f>
        <v>1</v>
      </c>
      <c r="X5873" s="0" t="n">
        <f aca="false">SUMPRODUCT(I5873:W5873,_XtX!$B$96:$P$96)</f>
        <v>40.4035818713451</v>
      </c>
      <c r="Y5873" s="0" t="n">
        <f aca="false">SUMPRODUCT(MMULT(I5873:W5873,_XtX!$B$78:$P$92),I5873:W5873)</f>
        <v>0.766447368421053</v>
      </c>
      <c r="Z5873" s="0" t="n">
        <f aca="false">04_回帰ANOVA!$K$19*04_回帰ANOVA!$K$14*SQRT(1+Y5873)</f>
        <v>1.7324022685743</v>
      </c>
      <c r="AA5873" s="0" t="n">
        <f aca="false">X5873-Z5873</f>
        <v>38.6711796027708</v>
      </c>
      <c r="AB5873" s="0" t="n">
        <f aca="false">X5873+Z5873</f>
        <v>42.1359841399194</v>
      </c>
      <c r="AC5873" s="54" t="b">
        <f aca="false">AND(E5873&gt;=01_因子設定!$L$5-0.000000001,E5873&lt;=01_因子設定!$M$5+0.000000001,F5873&gt;=01_因子設定!$L$6-0.000000001,F5873&lt;=01_因子設定!$M$6+0.000000001,G5873&gt;=01_因子設定!$L$7-0.000000001,G5873&lt;=01_因子設定!$M$7+0.000000001,H5873&gt;=01_因子設定!$L$8-0.000000001,H5873&lt;=01_因子設定!$M$8+0.000000001,IF(01_因子設定!$B$20="Box-Behnken",E5873^2+F5873^2+G5873^2+H5873^2&lt;=2+0.000000001,TRUE()))</f>
        <v>1</v>
      </c>
      <c r="AD5873" s="55" t="n">
        <f aca="false">IF(AC5873,IF(01_因子設定!$B$13="最大化",AA5873-01_因子設定!$B$14,IF(01_因子設定!$B$13="最小化",01_因子設定!$B$15-AB5873,MIN(AA5873-01_因子設定!$B$14,01_因子設定!$B$15-AB5873))),-1E+030)</f>
        <v>-7.82882039722922</v>
      </c>
      <c r="AE5873" s="55" t="n">
        <f aca="false">IF(AC5873,IF(01_因子設定!$B$13="最大化",X5873,IF(01_因子設定!$B$13="最小化",-X5873,-ABS(X5873-01_因子設定!$B$16))),-1E+030)</f>
        <v>40.4035818713451</v>
      </c>
      <c r="AF5873" s="55" t="n">
        <f aca="false">AD5873+ROW()*0.000000001</f>
        <v>-7.82881452422922</v>
      </c>
      <c r="AG5873" s="55" t="n">
        <f aca="false">AE5873+ROW()*0.000000001</f>
        <v>40.4035877443451</v>
      </c>
    </row>
    <row r="5874" customFormat="false" ht="15" hidden="false" customHeight="false" outlineLevel="0" collapsed="false">
      <c r="A5874" s="0" t="n">
        <v>8</v>
      </c>
      <c r="B5874" s="0" t="n">
        <v>0</v>
      </c>
      <c r="C5874" s="0" t="n">
        <v>4</v>
      </c>
      <c r="D5874" s="0" t="n">
        <v>1</v>
      </c>
      <c r="E5874" s="0" t="n">
        <f aca="false">-1+A5874*0.25</f>
        <v>1</v>
      </c>
      <c r="F5874" s="0" t="n">
        <f aca="false">-1+B5874*0.25</f>
        <v>-1</v>
      </c>
      <c r="G5874" s="0" t="n">
        <f aca="false">-1+C5874*0.25</f>
        <v>0</v>
      </c>
      <c r="H5874" s="0" t="n">
        <f aca="false">-1+D5874*0.25</f>
        <v>-0.75</v>
      </c>
      <c r="I5874" s="0" t="n">
        <f aca="false">1</f>
        <v>1</v>
      </c>
      <c r="J5874" s="0" t="n">
        <f aca="false">E5874</f>
        <v>1</v>
      </c>
      <c r="K5874" s="0" t="n">
        <f aca="false">F5874</f>
        <v>-1</v>
      </c>
      <c r="L5874" s="0" t="n">
        <f aca="false">G5874</f>
        <v>0</v>
      </c>
      <c r="M5874" s="0" t="n">
        <f aca="false">H5874</f>
        <v>-0.75</v>
      </c>
      <c r="N5874" s="0" t="n">
        <f aca="false">E5874*F5874</f>
        <v>-1</v>
      </c>
      <c r="O5874" s="0" t="n">
        <f aca="false">E5874*G5874</f>
        <v>0</v>
      </c>
      <c r="P5874" s="0" t="n">
        <f aca="false">E5874*H5874</f>
        <v>-0.75</v>
      </c>
      <c r="Q5874" s="0" t="n">
        <f aca="false">F5874*G5874</f>
        <v>-0</v>
      </c>
      <c r="R5874" s="0" t="n">
        <f aca="false">F5874*H5874</f>
        <v>0.75</v>
      </c>
      <c r="S5874" s="0" t="n">
        <f aca="false">G5874*H5874</f>
        <v>-0</v>
      </c>
      <c r="T5874" s="0" t="n">
        <f aca="false">E5874*E5874</f>
        <v>1</v>
      </c>
      <c r="U5874" s="0" t="n">
        <f aca="false">F5874*F5874</f>
        <v>1</v>
      </c>
      <c r="V5874" s="0" t="n">
        <f aca="false">G5874*G5874</f>
        <v>0</v>
      </c>
      <c r="W5874" s="0" t="n">
        <f aca="false">H5874*H5874</f>
        <v>0.5625</v>
      </c>
      <c r="X5874" s="0" t="n">
        <f aca="false">SUMPRODUCT(I5874:W5874,_XtX!$B$96:$P$96)</f>
        <v>40.7566703216375</v>
      </c>
      <c r="Y5874" s="0" t="n">
        <f aca="false">SUMPRODUCT(MMULT(I5874:W5874,_XtX!$B$78:$P$92),I5874:W5874)</f>
        <v>0.646198830409357</v>
      </c>
      <c r="Z5874" s="0" t="n">
        <f aca="false">04_回帰ANOVA!$K$19*04_回帰ANOVA!$K$14*SQRT(1+Y5874)</f>
        <v>1.67239760569756</v>
      </c>
      <c r="AA5874" s="0" t="n">
        <f aca="false">X5874-Z5874</f>
        <v>39.0842727159399</v>
      </c>
      <c r="AB5874" s="0" t="n">
        <f aca="false">X5874+Z5874</f>
        <v>42.429067927335</v>
      </c>
      <c r="AC5874" s="54" t="b">
        <f aca="false">AND(E5874&gt;=01_因子設定!$L$5-0.000000001,E5874&lt;=01_因子設定!$M$5+0.000000001,F5874&gt;=01_因子設定!$L$6-0.000000001,F5874&lt;=01_因子設定!$M$6+0.000000001,G5874&gt;=01_因子設定!$L$7-0.000000001,G5874&lt;=01_因子設定!$M$7+0.000000001,H5874&gt;=01_因子設定!$L$8-0.000000001,H5874&lt;=01_因子設定!$M$8+0.000000001,IF(01_因子設定!$B$20="Box-Behnken",E5874^2+F5874^2+G5874^2+H5874^2&lt;=2+0.000000001,TRUE()))</f>
        <v>1</v>
      </c>
      <c r="AD5874" s="55" t="n">
        <f aca="false">IF(AC5874,IF(01_因子設定!$B$13="最大化",AA5874-01_因子設定!$B$14,IF(01_因子設定!$B$13="最小化",01_因子設定!$B$15-AB5874,MIN(AA5874-01_因子設定!$B$14,01_因子設定!$B$15-AB5874))),-1E+030)</f>
        <v>-7.41572728406008</v>
      </c>
      <c r="AE5874" s="55" t="n">
        <f aca="false">IF(AC5874,IF(01_因子設定!$B$13="最大化",X5874,IF(01_因子設定!$B$13="最小化",-X5874,-ABS(X5874-01_因子設定!$B$16))),-1E+030)</f>
        <v>40.7566703216375</v>
      </c>
      <c r="AF5874" s="55" t="n">
        <f aca="false">AD5874+ROW()*0.000000001</f>
        <v>-7.41572141006008</v>
      </c>
      <c r="AG5874" s="55" t="n">
        <f aca="false">AE5874+ROW()*0.000000001</f>
        <v>40.7566761956375</v>
      </c>
    </row>
    <row r="5875" customFormat="false" ht="15" hidden="false" customHeight="false" outlineLevel="0" collapsed="false">
      <c r="A5875" s="0" t="n">
        <v>8</v>
      </c>
      <c r="B5875" s="0" t="n">
        <v>0</v>
      </c>
      <c r="C5875" s="0" t="n">
        <v>4</v>
      </c>
      <c r="D5875" s="0" t="n">
        <v>2</v>
      </c>
      <c r="E5875" s="0" t="n">
        <f aca="false">-1+A5875*0.25</f>
        <v>1</v>
      </c>
      <c r="F5875" s="0" t="n">
        <f aca="false">-1+B5875*0.25</f>
        <v>-1</v>
      </c>
      <c r="G5875" s="0" t="n">
        <f aca="false">-1+C5875*0.25</f>
        <v>0</v>
      </c>
      <c r="H5875" s="0" t="n">
        <f aca="false">-1+D5875*0.25</f>
        <v>-0.5</v>
      </c>
      <c r="I5875" s="0" t="n">
        <f aca="false">1</f>
        <v>1</v>
      </c>
      <c r="J5875" s="0" t="n">
        <f aca="false">E5875</f>
        <v>1</v>
      </c>
      <c r="K5875" s="0" t="n">
        <f aca="false">F5875</f>
        <v>-1</v>
      </c>
      <c r="L5875" s="0" t="n">
        <f aca="false">G5875</f>
        <v>0</v>
      </c>
      <c r="M5875" s="0" t="n">
        <f aca="false">H5875</f>
        <v>-0.5</v>
      </c>
      <c r="N5875" s="0" t="n">
        <f aca="false">E5875*F5875</f>
        <v>-1</v>
      </c>
      <c r="O5875" s="0" t="n">
        <f aca="false">E5875*G5875</f>
        <v>0</v>
      </c>
      <c r="P5875" s="0" t="n">
        <f aca="false">E5875*H5875</f>
        <v>-0.5</v>
      </c>
      <c r="Q5875" s="0" t="n">
        <f aca="false">F5875*G5875</f>
        <v>-0</v>
      </c>
      <c r="R5875" s="0" t="n">
        <f aca="false">F5875*H5875</f>
        <v>0.5</v>
      </c>
      <c r="S5875" s="0" t="n">
        <f aca="false">G5875*H5875</f>
        <v>-0</v>
      </c>
      <c r="T5875" s="0" t="n">
        <f aca="false">E5875*E5875</f>
        <v>1</v>
      </c>
      <c r="U5875" s="0" t="n">
        <f aca="false">F5875*F5875</f>
        <v>1</v>
      </c>
      <c r="V5875" s="0" t="n">
        <f aca="false">G5875*G5875</f>
        <v>0</v>
      </c>
      <c r="W5875" s="0" t="n">
        <f aca="false">H5875*H5875</f>
        <v>0.25</v>
      </c>
      <c r="X5875" s="0" t="n">
        <f aca="false">SUMPRODUCT(I5875:W5875,_XtX!$B$96:$P$96)</f>
        <v>41.061951754386</v>
      </c>
      <c r="Y5875" s="0" t="n">
        <f aca="false">SUMPRODUCT(MMULT(I5875:W5875,_XtX!$B$78:$P$92),I5875:W5875)</f>
        <v>0.650767543859649</v>
      </c>
      <c r="Z5875" s="0" t="n">
        <f aca="false">04_回帰ANOVA!$K$19*04_回帰ANOVA!$K$14*SQRT(1+Y5875)</f>
        <v>1.67471670935165</v>
      </c>
      <c r="AA5875" s="0" t="n">
        <f aca="false">X5875-Z5875</f>
        <v>39.3872350450343</v>
      </c>
      <c r="AB5875" s="0" t="n">
        <f aca="false">X5875+Z5875</f>
        <v>42.7366684637376</v>
      </c>
      <c r="AC5875" s="54" t="b">
        <f aca="false">AND(E5875&gt;=01_因子設定!$L$5-0.000000001,E5875&lt;=01_因子設定!$M$5+0.000000001,F5875&gt;=01_因子設定!$L$6-0.000000001,F5875&lt;=01_因子設定!$M$6+0.000000001,G5875&gt;=01_因子設定!$L$7-0.000000001,G5875&lt;=01_因子設定!$M$7+0.000000001,H5875&gt;=01_因子設定!$L$8-0.000000001,H5875&lt;=01_因子設定!$M$8+0.000000001,IF(01_因子設定!$B$20="Box-Behnken",E5875^2+F5875^2+G5875^2+H5875^2&lt;=2+0.000000001,TRUE()))</f>
        <v>1</v>
      </c>
      <c r="AD5875" s="55" t="n">
        <f aca="false">IF(AC5875,IF(01_因子設定!$B$13="最大化",AA5875-01_因子設定!$B$14,IF(01_因子設定!$B$13="最小化",01_因子設定!$B$15-AB5875,MIN(AA5875-01_因子設定!$B$14,01_因子設定!$B$15-AB5875))),-1E+030)</f>
        <v>-7.11276495496566</v>
      </c>
      <c r="AE5875" s="55" t="n">
        <f aca="false">IF(AC5875,IF(01_因子設定!$B$13="最大化",X5875,IF(01_因子設定!$B$13="最小化",-X5875,-ABS(X5875-01_因子設定!$B$16))),-1E+030)</f>
        <v>41.061951754386</v>
      </c>
      <c r="AF5875" s="55" t="n">
        <f aca="false">AD5875+ROW()*0.000000001</f>
        <v>-7.11275907996566</v>
      </c>
      <c r="AG5875" s="55" t="n">
        <f aca="false">AE5875+ROW()*0.000000001</f>
        <v>41.061957629386</v>
      </c>
    </row>
    <row r="5876" customFormat="false" ht="15" hidden="false" customHeight="false" outlineLevel="0" collapsed="false">
      <c r="A5876" s="0" t="n">
        <v>8</v>
      </c>
      <c r="B5876" s="0" t="n">
        <v>0</v>
      </c>
      <c r="C5876" s="0" t="n">
        <v>4</v>
      </c>
      <c r="D5876" s="0" t="n">
        <v>3</v>
      </c>
      <c r="E5876" s="0" t="n">
        <f aca="false">-1+A5876*0.25</f>
        <v>1</v>
      </c>
      <c r="F5876" s="0" t="n">
        <f aca="false">-1+B5876*0.25</f>
        <v>-1</v>
      </c>
      <c r="G5876" s="0" t="n">
        <f aca="false">-1+C5876*0.25</f>
        <v>0</v>
      </c>
      <c r="H5876" s="0" t="n">
        <f aca="false">-1+D5876*0.25</f>
        <v>-0.25</v>
      </c>
      <c r="I5876" s="0" t="n">
        <f aca="false">1</f>
        <v>1</v>
      </c>
      <c r="J5876" s="0" t="n">
        <f aca="false">E5876</f>
        <v>1</v>
      </c>
      <c r="K5876" s="0" t="n">
        <f aca="false">F5876</f>
        <v>-1</v>
      </c>
      <c r="L5876" s="0" t="n">
        <f aca="false">G5876</f>
        <v>0</v>
      </c>
      <c r="M5876" s="0" t="n">
        <f aca="false">H5876</f>
        <v>-0.25</v>
      </c>
      <c r="N5876" s="0" t="n">
        <f aca="false">E5876*F5876</f>
        <v>-1</v>
      </c>
      <c r="O5876" s="0" t="n">
        <f aca="false">E5876*G5876</f>
        <v>0</v>
      </c>
      <c r="P5876" s="0" t="n">
        <f aca="false">E5876*H5876</f>
        <v>-0.25</v>
      </c>
      <c r="Q5876" s="0" t="n">
        <f aca="false">F5876*G5876</f>
        <v>-0</v>
      </c>
      <c r="R5876" s="0" t="n">
        <f aca="false">F5876*H5876</f>
        <v>0.25</v>
      </c>
      <c r="S5876" s="0" t="n">
        <f aca="false">G5876*H5876</f>
        <v>-0</v>
      </c>
      <c r="T5876" s="0" t="n">
        <f aca="false">E5876*E5876</f>
        <v>1</v>
      </c>
      <c r="U5876" s="0" t="n">
        <f aca="false">F5876*F5876</f>
        <v>1</v>
      </c>
      <c r="V5876" s="0" t="n">
        <f aca="false">G5876*G5876</f>
        <v>0</v>
      </c>
      <c r="W5876" s="0" t="n">
        <f aca="false">H5876*H5876</f>
        <v>0.0625</v>
      </c>
      <c r="X5876" s="0" t="n">
        <f aca="false">SUMPRODUCT(I5876:W5876,_XtX!$B$96:$P$96)</f>
        <v>41.3194261695907</v>
      </c>
      <c r="Y5876" s="0" t="n">
        <f aca="false">SUMPRODUCT(MMULT(I5876:W5876,_XtX!$B$78:$P$92),I5876:W5876)</f>
        <v>0.689692982456141</v>
      </c>
      <c r="Z5876" s="0" t="n">
        <f aca="false">04_回帰ANOVA!$K$19*04_回帰ANOVA!$K$14*SQRT(1+Y5876)</f>
        <v>1.69434674594998</v>
      </c>
      <c r="AA5876" s="0" t="n">
        <f aca="false">X5876-Z5876</f>
        <v>39.6250794236407</v>
      </c>
      <c r="AB5876" s="0" t="n">
        <f aca="false">X5876+Z5876</f>
        <v>43.0137729155407</v>
      </c>
      <c r="AC5876" s="54" t="b">
        <f aca="false">AND(E5876&gt;=01_因子設定!$L$5-0.000000001,E5876&lt;=01_因子設定!$M$5+0.000000001,F5876&gt;=01_因子設定!$L$6-0.000000001,F5876&lt;=01_因子設定!$M$6+0.000000001,G5876&gt;=01_因子設定!$L$7-0.000000001,G5876&lt;=01_因子設定!$M$7+0.000000001,H5876&gt;=01_因子設定!$L$8-0.000000001,H5876&lt;=01_因子設定!$M$8+0.000000001,IF(01_因子設定!$B$20="Box-Behnken",E5876^2+F5876^2+G5876^2+H5876^2&lt;=2+0.000000001,TRUE()))</f>
        <v>1</v>
      </c>
      <c r="AD5876" s="55" t="n">
        <f aca="false">IF(AC5876,IF(01_因子設定!$B$13="最大化",AA5876-01_因子設定!$B$14,IF(01_因子設定!$B$13="最小化",01_因子設定!$B$15-AB5876,MIN(AA5876-01_因子設定!$B$14,01_因子設定!$B$15-AB5876))),-1E+030)</f>
        <v>-6.87492057635932</v>
      </c>
      <c r="AE5876" s="55" t="n">
        <f aca="false">IF(AC5876,IF(01_因子設定!$B$13="最大化",X5876,IF(01_因子設定!$B$13="最小化",-X5876,-ABS(X5876-01_因子設定!$B$16))),-1E+030)</f>
        <v>41.3194261695907</v>
      </c>
      <c r="AF5876" s="55" t="n">
        <f aca="false">AD5876+ROW()*0.000000001</f>
        <v>-6.87491470035932</v>
      </c>
      <c r="AG5876" s="55" t="n">
        <f aca="false">AE5876+ROW()*0.000000001</f>
        <v>41.3194320455907</v>
      </c>
    </row>
    <row r="5877" customFormat="false" ht="15" hidden="false" customHeight="false" outlineLevel="0" collapsed="false">
      <c r="A5877" s="0" t="n">
        <v>8</v>
      </c>
      <c r="B5877" s="0" t="n">
        <v>0</v>
      </c>
      <c r="C5877" s="0" t="n">
        <v>4</v>
      </c>
      <c r="D5877" s="0" t="n">
        <v>4</v>
      </c>
      <c r="E5877" s="0" t="n">
        <f aca="false">-1+A5877*0.25</f>
        <v>1</v>
      </c>
      <c r="F5877" s="0" t="n">
        <f aca="false">-1+B5877*0.25</f>
        <v>-1</v>
      </c>
      <c r="G5877" s="0" t="n">
        <f aca="false">-1+C5877*0.25</f>
        <v>0</v>
      </c>
      <c r="H5877" s="0" t="n">
        <f aca="false">-1+D5877*0.25</f>
        <v>0</v>
      </c>
      <c r="I5877" s="0" t="n">
        <f aca="false">1</f>
        <v>1</v>
      </c>
      <c r="J5877" s="0" t="n">
        <f aca="false">E5877</f>
        <v>1</v>
      </c>
      <c r="K5877" s="0" t="n">
        <f aca="false">F5877</f>
        <v>-1</v>
      </c>
      <c r="L5877" s="0" t="n">
        <f aca="false">G5877</f>
        <v>0</v>
      </c>
      <c r="M5877" s="0" t="n">
        <f aca="false">H5877</f>
        <v>0</v>
      </c>
      <c r="N5877" s="0" t="n">
        <f aca="false">E5877*F5877</f>
        <v>-1</v>
      </c>
      <c r="O5877" s="0" t="n">
        <f aca="false">E5877*G5877</f>
        <v>0</v>
      </c>
      <c r="P5877" s="0" t="n">
        <f aca="false">E5877*H5877</f>
        <v>0</v>
      </c>
      <c r="Q5877" s="0" t="n">
        <f aca="false">F5877*G5877</f>
        <v>-0</v>
      </c>
      <c r="R5877" s="0" t="n">
        <f aca="false">F5877*H5877</f>
        <v>-0</v>
      </c>
      <c r="S5877" s="0" t="n">
        <f aca="false">G5877*H5877</f>
        <v>0</v>
      </c>
      <c r="T5877" s="0" t="n">
        <f aca="false">E5877*E5877</f>
        <v>1</v>
      </c>
      <c r="U5877" s="0" t="n">
        <f aca="false">F5877*F5877</f>
        <v>1</v>
      </c>
      <c r="V5877" s="0" t="n">
        <f aca="false">G5877*G5877</f>
        <v>0</v>
      </c>
      <c r="W5877" s="0" t="n">
        <f aca="false">H5877*H5877</f>
        <v>0</v>
      </c>
      <c r="X5877" s="0" t="n">
        <f aca="false">SUMPRODUCT(I5877:W5877,_XtX!$B$96:$P$96)</f>
        <v>41.5290935672515</v>
      </c>
      <c r="Y5877" s="0" t="n">
        <f aca="false">SUMPRODUCT(MMULT(I5877:W5877,_XtX!$B$78:$P$92),I5877:W5877)</f>
        <v>0.708698830409357</v>
      </c>
      <c r="Z5877" s="0" t="n">
        <f aca="false">04_回帰ANOVA!$K$19*04_回帰ANOVA!$K$14*SQRT(1+Y5877)</f>
        <v>1.70384919651719</v>
      </c>
      <c r="AA5877" s="0" t="n">
        <f aca="false">X5877-Z5877</f>
        <v>39.8252443707343</v>
      </c>
      <c r="AB5877" s="0" t="n">
        <f aca="false">X5877+Z5877</f>
        <v>43.2329427637687</v>
      </c>
      <c r="AC5877" s="54" t="b">
        <f aca="false">AND(E5877&gt;=01_因子設定!$L$5-0.000000001,E5877&lt;=01_因子設定!$M$5+0.000000001,F5877&gt;=01_因子設定!$L$6-0.000000001,F5877&lt;=01_因子設定!$M$6+0.000000001,G5877&gt;=01_因子設定!$L$7-0.000000001,G5877&lt;=01_因子設定!$M$7+0.000000001,H5877&gt;=01_因子設定!$L$8-0.000000001,H5877&lt;=01_因子設定!$M$8+0.000000001,IF(01_因子設定!$B$20="Box-Behnken",E5877^2+F5877^2+G5877^2+H5877^2&lt;=2+0.000000001,TRUE()))</f>
        <v>1</v>
      </c>
      <c r="AD5877" s="55" t="n">
        <f aca="false">IF(AC5877,IF(01_因子設定!$B$13="最大化",AA5877-01_因子設定!$B$14,IF(01_因子設定!$B$13="最小化",01_因子設定!$B$15-AB5877,MIN(AA5877-01_因子設定!$B$14,01_因子設定!$B$15-AB5877))),-1E+030)</f>
        <v>-6.6747556292657</v>
      </c>
      <c r="AE5877" s="55" t="n">
        <f aca="false">IF(AC5877,IF(01_因子設定!$B$13="最大化",X5877,IF(01_因子設定!$B$13="最小化",-X5877,-ABS(X5877-01_因子設定!$B$16))),-1E+030)</f>
        <v>41.5290935672515</v>
      </c>
      <c r="AF5877" s="55" t="n">
        <f aca="false">AD5877+ROW()*0.000000001</f>
        <v>-6.6747497522657</v>
      </c>
      <c r="AG5877" s="55" t="n">
        <f aca="false">AE5877+ROW()*0.000000001</f>
        <v>41.5290994442515</v>
      </c>
    </row>
    <row r="5878" customFormat="false" ht="15" hidden="false" customHeight="false" outlineLevel="0" collapsed="false">
      <c r="A5878" s="0" t="n">
        <v>8</v>
      </c>
      <c r="B5878" s="0" t="n">
        <v>0</v>
      </c>
      <c r="C5878" s="0" t="n">
        <v>4</v>
      </c>
      <c r="D5878" s="0" t="n">
        <v>5</v>
      </c>
      <c r="E5878" s="0" t="n">
        <f aca="false">-1+A5878*0.25</f>
        <v>1</v>
      </c>
      <c r="F5878" s="0" t="n">
        <f aca="false">-1+B5878*0.25</f>
        <v>-1</v>
      </c>
      <c r="G5878" s="0" t="n">
        <f aca="false">-1+C5878*0.25</f>
        <v>0</v>
      </c>
      <c r="H5878" s="0" t="n">
        <f aca="false">-1+D5878*0.25</f>
        <v>0.25</v>
      </c>
      <c r="I5878" s="0" t="n">
        <f aca="false">1</f>
        <v>1</v>
      </c>
      <c r="J5878" s="0" t="n">
        <f aca="false">E5878</f>
        <v>1</v>
      </c>
      <c r="K5878" s="0" t="n">
        <f aca="false">F5878</f>
        <v>-1</v>
      </c>
      <c r="L5878" s="0" t="n">
        <f aca="false">G5878</f>
        <v>0</v>
      </c>
      <c r="M5878" s="0" t="n">
        <f aca="false">H5878</f>
        <v>0.25</v>
      </c>
      <c r="N5878" s="0" t="n">
        <f aca="false">E5878*F5878</f>
        <v>-1</v>
      </c>
      <c r="O5878" s="0" t="n">
        <f aca="false">E5878*G5878</f>
        <v>0</v>
      </c>
      <c r="P5878" s="0" t="n">
        <f aca="false">E5878*H5878</f>
        <v>0.25</v>
      </c>
      <c r="Q5878" s="0" t="n">
        <f aca="false">F5878*G5878</f>
        <v>-0</v>
      </c>
      <c r="R5878" s="0" t="n">
        <f aca="false">F5878*H5878</f>
        <v>-0.25</v>
      </c>
      <c r="S5878" s="0" t="n">
        <f aca="false">G5878*H5878</f>
        <v>0</v>
      </c>
      <c r="T5878" s="0" t="n">
        <f aca="false">E5878*E5878</f>
        <v>1</v>
      </c>
      <c r="U5878" s="0" t="n">
        <f aca="false">F5878*F5878</f>
        <v>1</v>
      </c>
      <c r="V5878" s="0" t="n">
        <f aca="false">G5878*G5878</f>
        <v>0</v>
      </c>
      <c r="W5878" s="0" t="n">
        <f aca="false">H5878*H5878</f>
        <v>0.0625</v>
      </c>
      <c r="X5878" s="0" t="n">
        <f aca="false">SUMPRODUCT(I5878:W5878,_XtX!$B$96:$P$96)</f>
        <v>41.6909539473685</v>
      </c>
      <c r="Y5878" s="0" t="n">
        <f aca="false">SUMPRODUCT(MMULT(I5878:W5878,_XtX!$B$78:$P$92),I5878:W5878)</f>
        <v>0.689692982456141</v>
      </c>
      <c r="Z5878" s="0" t="n">
        <f aca="false">04_回帰ANOVA!$K$19*04_回帰ANOVA!$K$14*SQRT(1+Y5878)</f>
        <v>1.69434674594998</v>
      </c>
      <c r="AA5878" s="0" t="n">
        <f aca="false">X5878-Z5878</f>
        <v>39.9966072014185</v>
      </c>
      <c r="AB5878" s="0" t="n">
        <f aca="false">X5878+Z5878</f>
        <v>43.3853006933184</v>
      </c>
      <c r="AC5878" s="54" t="b">
        <f aca="false">AND(E5878&gt;=01_因子設定!$L$5-0.000000001,E5878&lt;=01_因子設定!$M$5+0.000000001,F5878&gt;=01_因子設定!$L$6-0.000000001,F5878&lt;=01_因子設定!$M$6+0.000000001,G5878&gt;=01_因子設定!$L$7-0.000000001,G5878&lt;=01_因子設定!$M$7+0.000000001,H5878&gt;=01_因子設定!$L$8-0.000000001,H5878&lt;=01_因子設定!$M$8+0.000000001,IF(01_因子設定!$B$20="Box-Behnken",E5878^2+F5878^2+G5878^2+H5878^2&lt;=2+0.000000001,TRUE()))</f>
        <v>1</v>
      </c>
      <c r="AD5878" s="55" t="n">
        <f aca="false">IF(AC5878,IF(01_因子設定!$B$13="最大化",AA5878-01_因子設定!$B$14,IF(01_因子設定!$B$13="最小化",01_因子設定!$B$15-AB5878,MIN(AA5878-01_因子設定!$B$14,01_因子設定!$B$15-AB5878))),-1E+030)</f>
        <v>-6.50339279858154</v>
      </c>
      <c r="AE5878" s="55" t="n">
        <f aca="false">IF(AC5878,IF(01_因子設定!$B$13="最大化",X5878,IF(01_因子設定!$B$13="最小化",-X5878,-ABS(X5878-01_因子設定!$B$16))),-1E+030)</f>
        <v>41.6909539473685</v>
      </c>
      <c r="AF5878" s="55" t="n">
        <f aca="false">AD5878+ROW()*0.000000001</f>
        <v>-6.50338692058154</v>
      </c>
      <c r="AG5878" s="55" t="n">
        <f aca="false">AE5878+ROW()*0.000000001</f>
        <v>41.6909598253685</v>
      </c>
    </row>
    <row r="5879" customFormat="false" ht="15" hidden="false" customHeight="false" outlineLevel="0" collapsed="false">
      <c r="A5879" s="0" t="n">
        <v>8</v>
      </c>
      <c r="B5879" s="0" t="n">
        <v>0</v>
      </c>
      <c r="C5879" s="0" t="n">
        <v>4</v>
      </c>
      <c r="D5879" s="0" t="n">
        <v>6</v>
      </c>
      <c r="E5879" s="0" t="n">
        <f aca="false">-1+A5879*0.25</f>
        <v>1</v>
      </c>
      <c r="F5879" s="0" t="n">
        <f aca="false">-1+B5879*0.25</f>
        <v>-1</v>
      </c>
      <c r="G5879" s="0" t="n">
        <f aca="false">-1+C5879*0.25</f>
        <v>0</v>
      </c>
      <c r="H5879" s="0" t="n">
        <f aca="false">-1+D5879*0.25</f>
        <v>0.5</v>
      </c>
      <c r="I5879" s="0" t="n">
        <f aca="false">1</f>
        <v>1</v>
      </c>
      <c r="J5879" s="0" t="n">
        <f aca="false">E5879</f>
        <v>1</v>
      </c>
      <c r="K5879" s="0" t="n">
        <f aca="false">F5879</f>
        <v>-1</v>
      </c>
      <c r="L5879" s="0" t="n">
        <f aca="false">G5879</f>
        <v>0</v>
      </c>
      <c r="M5879" s="0" t="n">
        <f aca="false">H5879</f>
        <v>0.5</v>
      </c>
      <c r="N5879" s="0" t="n">
        <f aca="false">E5879*F5879</f>
        <v>-1</v>
      </c>
      <c r="O5879" s="0" t="n">
        <f aca="false">E5879*G5879</f>
        <v>0</v>
      </c>
      <c r="P5879" s="0" t="n">
        <f aca="false">E5879*H5879</f>
        <v>0.5</v>
      </c>
      <c r="Q5879" s="0" t="n">
        <f aca="false">F5879*G5879</f>
        <v>-0</v>
      </c>
      <c r="R5879" s="0" t="n">
        <f aca="false">F5879*H5879</f>
        <v>-0.5</v>
      </c>
      <c r="S5879" s="0" t="n">
        <f aca="false">G5879*H5879</f>
        <v>0</v>
      </c>
      <c r="T5879" s="0" t="n">
        <f aca="false">E5879*E5879</f>
        <v>1</v>
      </c>
      <c r="U5879" s="0" t="n">
        <f aca="false">F5879*F5879</f>
        <v>1</v>
      </c>
      <c r="V5879" s="0" t="n">
        <f aca="false">G5879*G5879</f>
        <v>0</v>
      </c>
      <c r="W5879" s="0" t="n">
        <f aca="false">H5879*H5879</f>
        <v>0.25</v>
      </c>
      <c r="X5879" s="0" t="n">
        <f aca="false">SUMPRODUCT(I5879:W5879,_XtX!$B$96:$P$96)</f>
        <v>41.8050073099416</v>
      </c>
      <c r="Y5879" s="0" t="n">
        <f aca="false">SUMPRODUCT(MMULT(I5879:W5879,_XtX!$B$78:$P$92),I5879:W5879)</f>
        <v>0.650767543859649</v>
      </c>
      <c r="Z5879" s="0" t="n">
        <f aca="false">04_回帰ANOVA!$K$19*04_回帰ANOVA!$K$14*SQRT(1+Y5879)</f>
        <v>1.67471670935165</v>
      </c>
      <c r="AA5879" s="0" t="n">
        <f aca="false">X5879-Z5879</f>
        <v>40.1302906005899</v>
      </c>
      <c r="AB5879" s="0" t="n">
        <f aca="false">X5879+Z5879</f>
        <v>43.4797240192932</v>
      </c>
      <c r="AC5879" s="54" t="b">
        <f aca="false">AND(E5879&gt;=01_因子設定!$L$5-0.000000001,E5879&lt;=01_因子設定!$M$5+0.000000001,F5879&gt;=01_因子設定!$L$6-0.000000001,F5879&lt;=01_因子設定!$M$6+0.000000001,G5879&gt;=01_因子設定!$L$7-0.000000001,G5879&lt;=01_因子設定!$M$7+0.000000001,H5879&gt;=01_因子設定!$L$8-0.000000001,H5879&lt;=01_因子設定!$M$8+0.000000001,IF(01_因子設定!$B$20="Box-Behnken",E5879^2+F5879^2+G5879^2+H5879^2&lt;=2+0.000000001,TRUE()))</f>
        <v>1</v>
      </c>
      <c r="AD5879" s="55" t="n">
        <f aca="false">IF(AC5879,IF(01_因子設定!$B$13="最大化",AA5879-01_因子設定!$B$14,IF(01_因子設定!$B$13="最小化",01_因子設定!$B$15-AB5879,MIN(AA5879-01_因子設定!$B$14,01_因子設定!$B$15-AB5879))),-1E+030)</f>
        <v>-6.3697093994101</v>
      </c>
      <c r="AE5879" s="55" t="n">
        <f aca="false">IF(AC5879,IF(01_因子設定!$B$13="最大化",X5879,IF(01_因子設定!$B$13="最小化",-X5879,-ABS(X5879-01_因子設定!$B$16))),-1E+030)</f>
        <v>41.8050073099416</v>
      </c>
      <c r="AF5879" s="55" t="n">
        <f aca="false">AD5879+ROW()*0.000000001</f>
        <v>-6.3697035204101</v>
      </c>
      <c r="AG5879" s="55" t="n">
        <f aca="false">AE5879+ROW()*0.000000001</f>
        <v>41.8050131889416</v>
      </c>
    </row>
    <row r="5880" customFormat="false" ht="15" hidden="false" customHeight="false" outlineLevel="0" collapsed="false">
      <c r="A5880" s="0" t="n">
        <v>8</v>
      </c>
      <c r="B5880" s="0" t="n">
        <v>0</v>
      </c>
      <c r="C5880" s="0" t="n">
        <v>4</v>
      </c>
      <c r="D5880" s="0" t="n">
        <v>7</v>
      </c>
      <c r="E5880" s="0" t="n">
        <f aca="false">-1+A5880*0.25</f>
        <v>1</v>
      </c>
      <c r="F5880" s="0" t="n">
        <f aca="false">-1+B5880*0.25</f>
        <v>-1</v>
      </c>
      <c r="G5880" s="0" t="n">
        <f aca="false">-1+C5880*0.25</f>
        <v>0</v>
      </c>
      <c r="H5880" s="0" t="n">
        <f aca="false">-1+D5880*0.25</f>
        <v>0.75</v>
      </c>
      <c r="I5880" s="0" t="n">
        <f aca="false">1</f>
        <v>1</v>
      </c>
      <c r="J5880" s="0" t="n">
        <f aca="false">E5880</f>
        <v>1</v>
      </c>
      <c r="K5880" s="0" t="n">
        <f aca="false">F5880</f>
        <v>-1</v>
      </c>
      <c r="L5880" s="0" t="n">
        <f aca="false">G5880</f>
        <v>0</v>
      </c>
      <c r="M5880" s="0" t="n">
        <f aca="false">H5880</f>
        <v>0.75</v>
      </c>
      <c r="N5880" s="0" t="n">
        <f aca="false">E5880*F5880</f>
        <v>-1</v>
      </c>
      <c r="O5880" s="0" t="n">
        <f aca="false">E5880*G5880</f>
        <v>0</v>
      </c>
      <c r="P5880" s="0" t="n">
        <f aca="false">E5880*H5880</f>
        <v>0.75</v>
      </c>
      <c r="Q5880" s="0" t="n">
        <f aca="false">F5880*G5880</f>
        <v>-0</v>
      </c>
      <c r="R5880" s="0" t="n">
        <f aca="false">F5880*H5880</f>
        <v>-0.75</v>
      </c>
      <c r="S5880" s="0" t="n">
        <f aca="false">G5880*H5880</f>
        <v>0</v>
      </c>
      <c r="T5880" s="0" t="n">
        <f aca="false">E5880*E5880</f>
        <v>1</v>
      </c>
      <c r="U5880" s="0" t="n">
        <f aca="false">F5880*F5880</f>
        <v>1</v>
      </c>
      <c r="V5880" s="0" t="n">
        <f aca="false">G5880*G5880</f>
        <v>0</v>
      </c>
      <c r="W5880" s="0" t="n">
        <f aca="false">H5880*H5880</f>
        <v>0.5625</v>
      </c>
      <c r="X5880" s="0" t="n">
        <f aca="false">SUMPRODUCT(I5880:W5880,_XtX!$B$96:$P$96)</f>
        <v>41.8712536549708</v>
      </c>
      <c r="Y5880" s="0" t="n">
        <f aca="false">SUMPRODUCT(MMULT(I5880:W5880,_XtX!$B$78:$P$92),I5880:W5880)</f>
        <v>0.646198830409357</v>
      </c>
      <c r="Z5880" s="0" t="n">
        <f aca="false">04_回帰ANOVA!$K$19*04_回帰ANOVA!$K$14*SQRT(1+Y5880)</f>
        <v>1.67239760569756</v>
      </c>
      <c r="AA5880" s="0" t="n">
        <f aca="false">X5880-Z5880</f>
        <v>40.1988560492732</v>
      </c>
      <c r="AB5880" s="0" t="n">
        <f aca="false">X5880+Z5880</f>
        <v>43.5436512606684</v>
      </c>
      <c r="AC5880" s="54" t="b">
        <f aca="false">AND(E5880&gt;=01_因子設定!$L$5-0.000000001,E5880&lt;=01_因子設定!$M$5+0.000000001,F5880&gt;=01_因子設定!$L$6-0.000000001,F5880&lt;=01_因子設定!$M$6+0.000000001,G5880&gt;=01_因子設定!$L$7-0.000000001,G5880&lt;=01_因子設定!$M$7+0.000000001,H5880&gt;=01_因子設定!$L$8-0.000000001,H5880&lt;=01_因子設定!$M$8+0.000000001,IF(01_因子設定!$B$20="Box-Behnken",E5880^2+F5880^2+G5880^2+H5880^2&lt;=2+0.000000001,TRUE()))</f>
        <v>1</v>
      </c>
      <c r="AD5880" s="55" t="n">
        <f aca="false">IF(AC5880,IF(01_因子設定!$B$13="最大化",AA5880-01_因子設定!$B$14,IF(01_因子設定!$B$13="最小化",01_因子設定!$B$15-AB5880,MIN(AA5880-01_因子設定!$B$14,01_因子設定!$B$15-AB5880))),-1E+030)</f>
        <v>-6.30114395072675</v>
      </c>
      <c r="AE5880" s="55" t="n">
        <f aca="false">IF(AC5880,IF(01_因子設定!$B$13="最大化",X5880,IF(01_因子設定!$B$13="最小化",-X5880,-ABS(X5880-01_因子設定!$B$16))),-1E+030)</f>
        <v>41.8712536549708</v>
      </c>
      <c r="AF5880" s="55" t="n">
        <f aca="false">AD5880+ROW()*0.000000001</f>
        <v>-6.30113807072675</v>
      </c>
      <c r="AG5880" s="55" t="n">
        <f aca="false">AE5880+ROW()*0.000000001</f>
        <v>41.8712595349708</v>
      </c>
    </row>
    <row r="5881" customFormat="false" ht="15" hidden="false" customHeight="false" outlineLevel="0" collapsed="false">
      <c r="A5881" s="0" t="n">
        <v>8</v>
      </c>
      <c r="B5881" s="0" t="n">
        <v>0</v>
      </c>
      <c r="C5881" s="0" t="n">
        <v>4</v>
      </c>
      <c r="D5881" s="0" t="n">
        <v>8</v>
      </c>
      <c r="E5881" s="0" t="n">
        <f aca="false">-1+A5881*0.25</f>
        <v>1</v>
      </c>
      <c r="F5881" s="0" t="n">
        <f aca="false">-1+B5881*0.25</f>
        <v>-1</v>
      </c>
      <c r="G5881" s="0" t="n">
        <f aca="false">-1+C5881*0.25</f>
        <v>0</v>
      </c>
      <c r="H5881" s="0" t="n">
        <f aca="false">-1+D5881*0.25</f>
        <v>1</v>
      </c>
      <c r="I5881" s="0" t="n">
        <f aca="false">1</f>
        <v>1</v>
      </c>
      <c r="J5881" s="0" t="n">
        <f aca="false">E5881</f>
        <v>1</v>
      </c>
      <c r="K5881" s="0" t="n">
        <f aca="false">F5881</f>
        <v>-1</v>
      </c>
      <c r="L5881" s="0" t="n">
        <f aca="false">G5881</f>
        <v>0</v>
      </c>
      <c r="M5881" s="0" t="n">
        <f aca="false">H5881</f>
        <v>1</v>
      </c>
      <c r="N5881" s="0" t="n">
        <f aca="false">E5881*F5881</f>
        <v>-1</v>
      </c>
      <c r="O5881" s="0" t="n">
        <f aca="false">E5881*G5881</f>
        <v>0</v>
      </c>
      <c r="P5881" s="0" t="n">
        <f aca="false">E5881*H5881</f>
        <v>1</v>
      </c>
      <c r="Q5881" s="0" t="n">
        <f aca="false">F5881*G5881</f>
        <v>-0</v>
      </c>
      <c r="R5881" s="0" t="n">
        <f aca="false">F5881*H5881</f>
        <v>-1</v>
      </c>
      <c r="S5881" s="0" t="n">
        <f aca="false">G5881*H5881</f>
        <v>0</v>
      </c>
      <c r="T5881" s="0" t="n">
        <f aca="false">E5881*E5881</f>
        <v>1</v>
      </c>
      <c r="U5881" s="0" t="n">
        <f aca="false">F5881*F5881</f>
        <v>1</v>
      </c>
      <c r="V5881" s="0" t="n">
        <f aca="false">G5881*G5881</f>
        <v>0</v>
      </c>
      <c r="W5881" s="0" t="n">
        <f aca="false">H5881*H5881</f>
        <v>1</v>
      </c>
      <c r="X5881" s="0" t="n">
        <f aca="false">SUMPRODUCT(I5881:W5881,_XtX!$B$96:$P$96)</f>
        <v>41.8896929824562</v>
      </c>
      <c r="Y5881" s="0" t="n">
        <f aca="false">SUMPRODUCT(MMULT(I5881:W5881,_XtX!$B$78:$P$92),I5881:W5881)</f>
        <v>0.766447368421053</v>
      </c>
      <c r="Z5881" s="0" t="n">
        <f aca="false">04_回帰ANOVA!$K$19*04_回帰ANOVA!$K$14*SQRT(1+Y5881)</f>
        <v>1.7324022685743</v>
      </c>
      <c r="AA5881" s="0" t="n">
        <f aca="false">X5881-Z5881</f>
        <v>40.1572907138819</v>
      </c>
      <c r="AB5881" s="0" t="n">
        <f aca="false">X5881+Z5881</f>
        <v>43.6220952510305</v>
      </c>
      <c r="AC5881" s="54" t="b">
        <f aca="false">AND(E5881&gt;=01_因子設定!$L$5-0.000000001,E5881&lt;=01_因子設定!$M$5+0.000000001,F5881&gt;=01_因子設定!$L$6-0.000000001,F5881&lt;=01_因子設定!$M$6+0.000000001,G5881&gt;=01_因子設定!$L$7-0.000000001,G5881&lt;=01_因子設定!$M$7+0.000000001,H5881&gt;=01_因子設定!$L$8-0.000000001,H5881&lt;=01_因子設定!$M$8+0.000000001,IF(01_因子設定!$B$20="Box-Behnken",E5881^2+F5881^2+G5881^2+H5881^2&lt;=2+0.000000001,TRUE()))</f>
        <v>1</v>
      </c>
      <c r="AD5881" s="55" t="n">
        <f aca="false">IF(AC5881,IF(01_因子設定!$B$13="最大化",AA5881-01_因子設定!$B$14,IF(01_因子設定!$B$13="最小化",01_因子設定!$B$15-AB5881,MIN(AA5881-01_因子設定!$B$14,01_因子設定!$B$15-AB5881))),-1E+030)</f>
        <v>-6.34270928611811</v>
      </c>
      <c r="AE5881" s="55" t="n">
        <f aca="false">IF(AC5881,IF(01_因子設定!$B$13="最大化",X5881,IF(01_因子設定!$B$13="最小化",-X5881,-ABS(X5881-01_因子設定!$B$16))),-1E+030)</f>
        <v>41.8896929824562</v>
      </c>
      <c r="AF5881" s="55" t="n">
        <f aca="false">AD5881+ROW()*0.000000001</f>
        <v>-6.34270340511811</v>
      </c>
      <c r="AG5881" s="55" t="n">
        <f aca="false">AE5881+ROW()*0.000000001</f>
        <v>41.8896988634562</v>
      </c>
    </row>
    <row r="5882" customFormat="false" ht="15" hidden="false" customHeight="false" outlineLevel="0" collapsed="false">
      <c r="A5882" s="0" t="n">
        <v>8</v>
      </c>
      <c r="B5882" s="0" t="n">
        <v>0</v>
      </c>
      <c r="C5882" s="0" t="n">
        <v>5</v>
      </c>
      <c r="D5882" s="0" t="n">
        <v>0</v>
      </c>
      <c r="E5882" s="0" t="n">
        <f aca="false">-1+A5882*0.25</f>
        <v>1</v>
      </c>
      <c r="F5882" s="0" t="n">
        <f aca="false">-1+B5882*0.25</f>
        <v>-1</v>
      </c>
      <c r="G5882" s="0" t="n">
        <f aca="false">-1+C5882*0.25</f>
        <v>0.25</v>
      </c>
      <c r="H5882" s="0" t="n">
        <f aca="false">-1+D5882*0.25</f>
        <v>-1</v>
      </c>
      <c r="I5882" s="0" t="n">
        <f aca="false">1</f>
        <v>1</v>
      </c>
      <c r="J5882" s="0" t="n">
        <f aca="false">E5882</f>
        <v>1</v>
      </c>
      <c r="K5882" s="0" t="n">
        <f aca="false">F5882</f>
        <v>-1</v>
      </c>
      <c r="L5882" s="0" t="n">
        <f aca="false">G5882</f>
        <v>0.25</v>
      </c>
      <c r="M5882" s="0" t="n">
        <f aca="false">H5882</f>
        <v>-1</v>
      </c>
      <c r="N5882" s="0" t="n">
        <f aca="false">E5882*F5882</f>
        <v>-1</v>
      </c>
      <c r="O5882" s="0" t="n">
        <f aca="false">E5882*G5882</f>
        <v>0.25</v>
      </c>
      <c r="P5882" s="0" t="n">
        <f aca="false">E5882*H5882</f>
        <v>-1</v>
      </c>
      <c r="Q5882" s="0" t="n">
        <f aca="false">F5882*G5882</f>
        <v>-0.25</v>
      </c>
      <c r="R5882" s="0" t="n">
        <f aca="false">F5882*H5882</f>
        <v>1</v>
      </c>
      <c r="S5882" s="0" t="n">
        <f aca="false">G5882*H5882</f>
        <v>-0.25</v>
      </c>
      <c r="T5882" s="0" t="n">
        <f aca="false">E5882*E5882</f>
        <v>1</v>
      </c>
      <c r="U5882" s="0" t="n">
        <f aca="false">F5882*F5882</f>
        <v>1</v>
      </c>
      <c r="V5882" s="0" t="n">
        <f aca="false">G5882*G5882</f>
        <v>0.0625</v>
      </c>
      <c r="W5882" s="0" t="n">
        <f aca="false">H5882*H5882</f>
        <v>1</v>
      </c>
      <c r="X5882" s="0" t="n">
        <f aca="false">SUMPRODUCT(I5882:W5882,_XtX!$B$96:$P$96)</f>
        <v>40.2942616959065</v>
      </c>
      <c r="Y5882" s="0" t="n">
        <f aca="false">SUMPRODUCT(MMULT(I5882:W5882,_XtX!$B$78:$P$92),I5882:W5882)</f>
        <v>0.737093384502924</v>
      </c>
      <c r="Z5882" s="0" t="n">
        <f aca="false">04_回帰ANOVA!$K$19*04_回帰ANOVA!$K$14*SQRT(1+Y5882)</f>
        <v>1.71794784853551</v>
      </c>
      <c r="AA5882" s="0" t="n">
        <f aca="false">X5882-Z5882</f>
        <v>38.576313847371</v>
      </c>
      <c r="AB5882" s="0" t="n">
        <f aca="false">X5882+Z5882</f>
        <v>42.012209544442</v>
      </c>
      <c r="AC5882" s="54" t="b">
        <f aca="false">AND(E5882&gt;=01_因子設定!$L$5-0.000000001,E5882&lt;=01_因子設定!$M$5+0.000000001,F5882&gt;=01_因子設定!$L$6-0.000000001,F5882&lt;=01_因子設定!$M$6+0.000000001,G5882&gt;=01_因子設定!$L$7-0.000000001,G5882&lt;=01_因子設定!$M$7+0.000000001,H5882&gt;=01_因子設定!$L$8-0.000000001,H5882&lt;=01_因子設定!$M$8+0.000000001,IF(01_因子設定!$B$20="Box-Behnken",E5882^2+F5882^2+G5882^2+H5882^2&lt;=2+0.000000001,TRUE()))</f>
        <v>1</v>
      </c>
      <c r="AD5882" s="55" t="n">
        <f aca="false">IF(AC5882,IF(01_因子設定!$B$13="最大化",AA5882-01_因子設定!$B$14,IF(01_因子設定!$B$13="最小化",01_因子設定!$B$15-AB5882,MIN(AA5882-01_因子設定!$B$14,01_因子設定!$B$15-AB5882))),-1E+030)</f>
        <v>-7.92368615262901</v>
      </c>
      <c r="AE5882" s="55" t="n">
        <f aca="false">IF(AC5882,IF(01_因子設定!$B$13="最大化",X5882,IF(01_因子設定!$B$13="最小化",-X5882,-ABS(X5882-01_因子設定!$B$16))),-1E+030)</f>
        <v>40.2942616959065</v>
      </c>
      <c r="AF5882" s="55" t="n">
        <f aca="false">AD5882+ROW()*0.000000001</f>
        <v>-7.92368027062901</v>
      </c>
      <c r="AG5882" s="55" t="n">
        <f aca="false">AE5882+ROW()*0.000000001</f>
        <v>40.2942675779065</v>
      </c>
    </row>
    <row r="5883" customFormat="false" ht="15" hidden="false" customHeight="false" outlineLevel="0" collapsed="false">
      <c r="A5883" s="0" t="n">
        <v>8</v>
      </c>
      <c r="B5883" s="0" t="n">
        <v>0</v>
      </c>
      <c r="C5883" s="0" t="n">
        <v>5</v>
      </c>
      <c r="D5883" s="0" t="n">
        <v>1</v>
      </c>
      <c r="E5883" s="0" t="n">
        <f aca="false">-1+A5883*0.25</f>
        <v>1</v>
      </c>
      <c r="F5883" s="0" t="n">
        <f aca="false">-1+B5883*0.25</f>
        <v>-1</v>
      </c>
      <c r="G5883" s="0" t="n">
        <f aca="false">-1+C5883*0.25</f>
        <v>0.25</v>
      </c>
      <c r="H5883" s="0" t="n">
        <f aca="false">-1+D5883*0.25</f>
        <v>-0.75</v>
      </c>
      <c r="I5883" s="0" t="n">
        <f aca="false">1</f>
        <v>1</v>
      </c>
      <c r="J5883" s="0" t="n">
        <f aca="false">E5883</f>
        <v>1</v>
      </c>
      <c r="K5883" s="0" t="n">
        <f aca="false">F5883</f>
        <v>-1</v>
      </c>
      <c r="L5883" s="0" t="n">
        <f aca="false">G5883</f>
        <v>0.25</v>
      </c>
      <c r="M5883" s="0" t="n">
        <f aca="false">H5883</f>
        <v>-0.75</v>
      </c>
      <c r="N5883" s="0" t="n">
        <f aca="false">E5883*F5883</f>
        <v>-1</v>
      </c>
      <c r="O5883" s="0" t="n">
        <f aca="false">E5883*G5883</f>
        <v>0.25</v>
      </c>
      <c r="P5883" s="0" t="n">
        <f aca="false">E5883*H5883</f>
        <v>-0.75</v>
      </c>
      <c r="Q5883" s="0" t="n">
        <f aca="false">F5883*G5883</f>
        <v>-0.25</v>
      </c>
      <c r="R5883" s="0" t="n">
        <f aca="false">F5883*H5883</f>
        <v>0.75</v>
      </c>
      <c r="S5883" s="0" t="n">
        <f aca="false">G5883*H5883</f>
        <v>-0.1875</v>
      </c>
      <c r="T5883" s="0" t="n">
        <f aca="false">E5883*E5883</f>
        <v>1</v>
      </c>
      <c r="U5883" s="0" t="n">
        <f aca="false">F5883*F5883</f>
        <v>1</v>
      </c>
      <c r="V5883" s="0" t="n">
        <f aca="false">G5883*G5883</f>
        <v>0.0625</v>
      </c>
      <c r="W5883" s="0" t="n">
        <f aca="false">H5883*H5883</f>
        <v>0.5625</v>
      </c>
      <c r="X5883" s="0" t="n">
        <f aca="false">SUMPRODUCT(I5883:W5883,_XtX!$B$96:$P$96)</f>
        <v>40.6653188961989</v>
      </c>
      <c r="Y5883" s="0" t="n">
        <f aca="false">SUMPRODUCT(MMULT(I5883:W5883,_XtX!$B$78:$P$92),I5883:W5883)</f>
        <v>0.621372155975877</v>
      </c>
      <c r="Z5883" s="0" t="n">
        <f aca="false">04_回帰ANOVA!$K$19*04_回帰ANOVA!$K$14*SQRT(1+Y5883)</f>
        <v>1.65973880499872</v>
      </c>
      <c r="AA5883" s="0" t="n">
        <f aca="false">X5883-Z5883</f>
        <v>39.0055800912002</v>
      </c>
      <c r="AB5883" s="0" t="n">
        <f aca="false">X5883+Z5883</f>
        <v>42.3250577011976</v>
      </c>
      <c r="AC5883" s="54" t="b">
        <f aca="false">AND(E5883&gt;=01_因子設定!$L$5-0.000000001,E5883&lt;=01_因子設定!$M$5+0.000000001,F5883&gt;=01_因子設定!$L$6-0.000000001,F5883&lt;=01_因子設定!$M$6+0.000000001,G5883&gt;=01_因子設定!$L$7-0.000000001,G5883&lt;=01_因子設定!$M$7+0.000000001,H5883&gt;=01_因子設定!$L$8-0.000000001,H5883&lt;=01_因子設定!$M$8+0.000000001,IF(01_因子設定!$B$20="Box-Behnken",E5883^2+F5883^2+G5883^2+H5883^2&lt;=2+0.000000001,TRUE()))</f>
        <v>1</v>
      </c>
      <c r="AD5883" s="55" t="n">
        <f aca="false">IF(AC5883,IF(01_因子設定!$B$13="最大化",AA5883-01_因子設定!$B$14,IF(01_因子設定!$B$13="最小化",01_因子設定!$B$15-AB5883,MIN(AA5883-01_因子設定!$B$14,01_因子設定!$B$15-AB5883))),-1E+030)</f>
        <v>-7.49441990879984</v>
      </c>
      <c r="AE5883" s="55" t="n">
        <f aca="false">IF(AC5883,IF(01_因子設定!$B$13="最大化",X5883,IF(01_因子設定!$B$13="最小化",-X5883,-ABS(X5883-01_因子設定!$B$16))),-1E+030)</f>
        <v>40.6653188961989</v>
      </c>
      <c r="AF5883" s="55" t="n">
        <f aca="false">AD5883+ROW()*0.000000001</f>
        <v>-7.49441402579984</v>
      </c>
      <c r="AG5883" s="55" t="n">
        <f aca="false">AE5883+ROW()*0.000000001</f>
        <v>40.6653247791989</v>
      </c>
    </row>
    <row r="5884" customFormat="false" ht="15" hidden="false" customHeight="false" outlineLevel="0" collapsed="false">
      <c r="A5884" s="0" t="n">
        <v>8</v>
      </c>
      <c r="B5884" s="0" t="n">
        <v>0</v>
      </c>
      <c r="C5884" s="0" t="n">
        <v>5</v>
      </c>
      <c r="D5884" s="0" t="n">
        <v>2</v>
      </c>
      <c r="E5884" s="0" t="n">
        <f aca="false">-1+A5884*0.25</f>
        <v>1</v>
      </c>
      <c r="F5884" s="0" t="n">
        <f aca="false">-1+B5884*0.25</f>
        <v>-1</v>
      </c>
      <c r="G5884" s="0" t="n">
        <f aca="false">-1+C5884*0.25</f>
        <v>0.25</v>
      </c>
      <c r="H5884" s="0" t="n">
        <f aca="false">-1+D5884*0.25</f>
        <v>-0.5</v>
      </c>
      <c r="I5884" s="0" t="n">
        <f aca="false">1</f>
        <v>1</v>
      </c>
      <c r="J5884" s="0" t="n">
        <f aca="false">E5884</f>
        <v>1</v>
      </c>
      <c r="K5884" s="0" t="n">
        <f aca="false">F5884</f>
        <v>-1</v>
      </c>
      <c r="L5884" s="0" t="n">
        <f aca="false">G5884</f>
        <v>0.25</v>
      </c>
      <c r="M5884" s="0" t="n">
        <f aca="false">H5884</f>
        <v>-0.5</v>
      </c>
      <c r="N5884" s="0" t="n">
        <f aca="false">E5884*F5884</f>
        <v>-1</v>
      </c>
      <c r="O5884" s="0" t="n">
        <f aca="false">E5884*G5884</f>
        <v>0.25</v>
      </c>
      <c r="P5884" s="0" t="n">
        <f aca="false">E5884*H5884</f>
        <v>-0.5</v>
      </c>
      <c r="Q5884" s="0" t="n">
        <f aca="false">F5884*G5884</f>
        <v>-0.25</v>
      </c>
      <c r="R5884" s="0" t="n">
        <f aca="false">F5884*H5884</f>
        <v>0.5</v>
      </c>
      <c r="S5884" s="0" t="n">
        <f aca="false">G5884*H5884</f>
        <v>-0.125</v>
      </c>
      <c r="T5884" s="0" t="n">
        <f aca="false">E5884*E5884</f>
        <v>1</v>
      </c>
      <c r="U5884" s="0" t="n">
        <f aca="false">F5884*F5884</f>
        <v>1</v>
      </c>
      <c r="V5884" s="0" t="n">
        <f aca="false">G5884*G5884</f>
        <v>0.0625</v>
      </c>
      <c r="W5884" s="0" t="n">
        <f aca="false">H5884*H5884</f>
        <v>0.25</v>
      </c>
      <c r="X5884" s="0" t="n">
        <f aca="false">SUMPRODUCT(I5884:W5884,_XtX!$B$96:$P$96)</f>
        <v>40.9885690789474</v>
      </c>
      <c r="Y5884" s="0" t="n">
        <f aca="false">SUMPRODUCT(MMULT(I5884:W5884,_XtX!$B$78:$P$92),I5884:W5884)</f>
        <v>0.629174661915205</v>
      </c>
      <c r="Z5884" s="0" t="n">
        <f aca="false">04_回帰ANOVA!$K$19*04_回帰ANOVA!$K$14*SQRT(1+Y5884)</f>
        <v>1.66372758058297</v>
      </c>
      <c r="AA5884" s="0" t="n">
        <f aca="false">X5884-Z5884</f>
        <v>39.3248414983644</v>
      </c>
      <c r="AB5884" s="0" t="n">
        <f aca="false">X5884+Z5884</f>
        <v>42.6522966595304</v>
      </c>
      <c r="AC5884" s="54" t="b">
        <f aca="false">AND(E5884&gt;=01_因子設定!$L$5-0.000000001,E5884&lt;=01_因子設定!$M$5+0.000000001,F5884&gt;=01_因子設定!$L$6-0.000000001,F5884&lt;=01_因子設定!$M$6+0.000000001,G5884&gt;=01_因子設定!$L$7-0.000000001,G5884&lt;=01_因子設定!$M$7+0.000000001,H5884&gt;=01_因子設定!$L$8-0.000000001,H5884&lt;=01_因子設定!$M$8+0.000000001,IF(01_因子設定!$B$20="Box-Behnken",E5884^2+F5884^2+G5884^2+H5884^2&lt;=2+0.000000001,TRUE()))</f>
        <v>1</v>
      </c>
      <c r="AD5884" s="55" t="n">
        <f aca="false">IF(AC5884,IF(01_因子設定!$B$13="最大化",AA5884-01_因子設定!$B$14,IF(01_因子設定!$B$13="最小化",01_因子設定!$B$15-AB5884,MIN(AA5884-01_因子設定!$B$14,01_因子設定!$B$15-AB5884))),-1E+030)</f>
        <v>-7.17515850163557</v>
      </c>
      <c r="AE5884" s="55" t="n">
        <f aca="false">IF(AC5884,IF(01_因子設定!$B$13="最大化",X5884,IF(01_因子設定!$B$13="最小化",-X5884,-ABS(X5884-01_因子設定!$B$16))),-1E+030)</f>
        <v>40.9885690789474</v>
      </c>
      <c r="AF5884" s="55" t="n">
        <f aca="false">AD5884+ROW()*0.000000001</f>
        <v>-7.17515261763557</v>
      </c>
      <c r="AG5884" s="55" t="n">
        <f aca="false">AE5884+ROW()*0.000000001</f>
        <v>40.9885749629474</v>
      </c>
    </row>
    <row r="5885" customFormat="false" ht="15" hidden="false" customHeight="false" outlineLevel="0" collapsed="false">
      <c r="A5885" s="0" t="n">
        <v>8</v>
      </c>
      <c r="B5885" s="0" t="n">
        <v>0</v>
      </c>
      <c r="C5885" s="0" t="n">
        <v>5</v>
      </c>
      <c r="D5885" s="0" t="n">
        <v>3</v>
      </c>
      <c r="E5885" s="0" t="n">
        <f aca="false">-1+A5885*0.25</f>
        <v>1</v>
      </c>
      <c r="F5885" s="0" t="n">
        <f aca="false">-1+B5885*0.25</f>
        <v>-1</v>
      </c>
      <c r="G5885" s="0" t="n">
        <f aca="false">-1+C5885*0.25</f>
        <v>0.25</v>
      </c>
      <c r="H5885" s="0" t="n">
        <f aca="false">-1+D5885*0.25</f>
        <v>-0.25</v>
      </c>
      <c r="I5885" s="0" t="n">
        <f aca="false">1</f>
        <v>1</v>
      </c>
      <c r="J5885" s="0" t="n">
        <f aca="false">E5885</f>
        <v>1</v>
      </c>
      <c r="K5885" s="0" t="n">
        <f aca="false">F5885</f>
        <v>-1</v>
      </c>
      <c r="L5885" s="0" t="n">
        <f aca="false">G5885</f>
        <v>0.25</v>
      </c>
      <c r="M5885" s="0" t="n">
        <f aca="false">H5885</f>
        <v>-0.25</v>
      </c>
      <c r="N5885" s="0" t="n">
        <f aca="false">E5885*F5885</f>
        <v>-1</v>
      </c>
      <c r="O5885" s="0" t="n">
        <f aca="false">E5885*G5885</f>
        <v>0.25</v>
      </c>
      <c r="P5885" s="0" t="n">
        <f aca="false">E5885*H5885</f>
        <v>-0.25</v>
      </c>
      <c r="Q5885" s="0" t="n">
        <f aca="false">F5885*G5885</f>
        <v>-0.25</v>
      </c>
      <c r="R5885" s="0" t="n">
        <f aca="false">F5885*H5885</f>
        <v>0.25</v>
      </c>
      <c r="S5885" s="0" t="n">
        <f aca="false">G5885*H5885</f>
        <v>-0.0625</v>
      </c>
      <c r="T5885" s="0" t="n">
        <f aca="false">E5885*E5885</f>
        <v>1</v>
      </c>
      <c r="U5885" s="0" t="n">
        <f aca="false">F5885*F5885</f>
        <v>1</v>
      </c>
      <c r="V5885" s="0" t="n">
        <f aca="false">G5885*G5885</f>
        <v>0.0625</v>
      </c>
      <c r="W5885" s="0" t="n">
        <f aca="false">H5885*H5885</f>
        <v>0.0625</v>
      </c>
      <c r="X5885" s="0" t="n">
        <f aca="false">SUMPRODUCT(I5885:W5885,_XtX!$B$96:$P$96)</f>
        <v>41.2640122441521</v>
      </c>
      <c r="Y5885" s="0" t="n">
        <f aca="false">SUMPRODUCT(MMULT(I5885:W5885,_XtX!$B$78:$P$92),I5885:W5885)</f>
        <v>0.670040376005117</v>
      </c>
      <c r="Z5885" s="0" t="n">
        <f aca="false">04_回帰ANOVA!$K$19*04_回帰ANOVA!$K$14*SQRT(1+Y5885)</f>
        <v>1.68446456039992</v>
      </c>
      <c r="AA5885" s="0" t="n">
        <f aca="false">X5885-Z5885</f>
        <v>39.5795476837522</v>
      </c>
      <c r="AB5885" s="0" t="n">
        <f aca="false">X5885+Z5885</f>
        <v>42.948476804552</v>
      </c>
      <c r="AC5885" s="54" t="b">
        <f aca="false">AND(E5885&gt;=01_因子設定!$L$5-0.000000001,E5885&lt;=01_因子設定!$M$5+0.000000001,F5885&gt;=01_因子設定!$L$6-0.000000001,F5885&lt;=01_因子設定!$M$6+0.000000001,G5885&gt;=01_因子設定!$L$7-0.000000001,G5885&lt;=01_因子設定!$M$7+0.000000001,H5885&gt;=01_因子設定!$L$8-0.000000001,H5885&lt;=01_因子設定!$M$8+0.000000001,IF(01_因子設定!$B$20="Box-Behnken",E5885^2+F5885^2+G5885^2+H5885^2&lt;=2+0.000000001,TRUE()))</f>
        <v>1</v>
      </c>
      <c r="AD5885" s="55" t="n">
        <f aca="false">IF(AC5885,IF(01_因子設定!$B$13="最大化",AA5885-01_因子設定!$B$14,IF(01_因子設定!$B$13="最小化",01_因子設定!$B$15-AB5885,MIN(AA5885-01_因子設定!$B$14,01_因子設定!$B$15-AB5885))),-1E+030)</f>
        <v>-6.92045231624785</v>
      </c>
      <c r="AE5885" s="55" t="n">
        <f aca="false">IF(AC5885,IF(01_因子設定!$B$13="最大化",X5885,IF(01_因子設定!$B$13="最小化",-X5885,-ABS(X5885-01_因子設定!$B$16))),-1E+030)</f>
        <v>41.2640122441521</v>
      </c>
      <c r="AF5885" s="55" t="n">
        <f aca="false">AD5885+ROW()*0.000000001</f>
        <v>-6.92044643124785</v>
      </c>
      <c r="AG5885" s="55" t="n">
        <f aca="false">AE5885+ROW()*0.000000001</f>
        <v>41.2640181291521</v>
      </c>
    </row>
    <row r="5886" customFormat="false" ht="15" hidden="false" customHeight="false" outlineLevel="0" collapsed="false">
      <c r="A5886" s="0" t="n">
        <v>8</v>
      </c>
      <c r="B5886" s="0" t="n">
        <v>0</v>
      </c>
      <c r="C5886" s="0" t="n">
        <v>5</v>
      </c>
      <c r="D5886" s="0" t="n">
        <v>4</v>
      </c>
      <c r="E5886" s="0" t="n">
        <f aca="false">-1+A5886*0.25</f>
        <v>1</v>
      </c>
      <c r="F5886" s="0" t="n">
        <f aca="false">-1+B5886*0.25</f>
        <v>-1</v>
      </c>
      <c r="G5886" s="0" t="n">
        <f aca="false">-1+C5886*0.25</f>
        <v>0.25</v>
      </c>
      <c r="H5886" s="0" t="n">
        <f aca="false">-1+D5886*0.25</f>
        <v>0</v>
      </c>
      <c r="I5886" s="0" t="n">
        <f aca="false">1</f>
        <v>1</v>
      </c>
      <c r="J5886" s="0" t="n">
        <f aca="false">E5886</f>
        <v>1</v>
      </c>
      <c r="K5886" s="0" t="n">
        <f aca="false">F5886</f>
        <v>-1</v>
      </c>
      <c r="L5886" s="0" t="n">
        <f aca="false">G5886</f>
        <v>0.25</v>
      </c>
      <c r="M5886" s="0" t="n">
        <f aca="false">H5886</f>
        <v>0</v>
      </c>
      <c r="N5886" s="0" t="n">
        <f aca="false">E5886*F5886</f>
        <v>-1</v>
      </c>
      <c r="O5886" s="0" t="n">
        <f aca="false">E5886*G5886</f>
        <v>0.25</v>
      </c>
      <c r="P5886" s="0" t="n">
        <f aca="false">E5886*H5886</f>
        <v>0</v>
      </c>
      <c r="Q5886" s="0" t="n">
        <f aca="false">F5886*G5886</f>
        <v>-0.25</v>
      </c>
      <c r="R5886" s="0" t="n">
        <f aca="false">F5886*H5886</f>
        <v>-0</v>
      </c>
      <c r="S5886" s="0" t="n">
        <f aca="false">G5886*H5886</f>
        <v>0</v>
      </c>
      <c r="T5886" s="0" t="n">
        <f aca="false">E5886*E5886</f>
        <v>1</v>
      </c>
      <c r="U5886" s="0" t="n">
        <f aca="false">F5886*F5886</f>
        <v>1</v>
      </c>
      <c r="V5886" s="0" t="n">
        <f aca="false">G5886*G5886</f>
        <v>0.0625</v>
      </c>
      <c r="W5886" s="0" t="n">
        <f aca="false">H5886*H5886</f>
        <v>0</v>
      </c>
      <c r="X5886" s="0" t="n">
        <f aca="false">SUMPRODUCT(I5886:W5886,_XtX!$B$96:$P$96)</f>
        <v>41.4916483918129</v>
      </c>
      <c r="Y5886" s="0" t="n">
        <f aca="false">SUMPRODUCT(MMULT(I5886:W5886,_XtX!$B$78:$P$92),I5886:W5886)</f>
        <v>0.689692982456141</v>
      </c>
      <c r="Z5886" s="0" t="n">
        <f aca="false">04_回帰ANOVA!$K$19*04_回帰ANOVA!$K$14*SQRT(1+Y5886)</f>
        <v>1.69434674594998</v>
      </c>
      <c r="AA5886" s="0" t="n">
        <f aca="false">X5886-Z5886</f>
        <v>39.7973016458629</v>
      </c>
      <c r="AB5886" s="0" t="n">
        <f aca="false">X5886+Z5886</f>
        <v>43.1859951377629</v>
      </c>
      <c r="AC5886" s="54" t="b">
        <f aca="false">AND(E5886&gt;=01_因子設定!$L$5-0.000000001,E5886&lt;=01_因子設定!$M$5+0.000000001,F5886&gt;=01_因子設定!$L$6-0.000000001,F5886&lt;=01_因子設定!$M$6+0.000000001,G5886&gt;=01_因子設定!$L$7-0.000000001,G5886&lt;=01_因子設定!$M$7+0.000000001,H5886&gt;=01_因子設定!$L$8-0.000000001,H5886&lt;=01_因子設定!$M$8+0.000000001,IF(01_因子設定!$B$20="Box-Behnken",E5886^2+F5886^2+G5886^2+H5886^2&lt;=2+0.000000001,TRUE()))</f>
        <v>1</v>
      </c>
      <c r="AD5886" s="55" t="n">
        <f aca="false">IF(AC5886,IF(01_因子設定!$B$13="最大化",AA5886-01_因子設定!$B$14,IF(01_因子設定!$B$13="最小化",01_因子設定!$B$15-AB5886,MIN(AA5886-01_因子設定!$B$14,01_因子設定!$B$15-AB5886))),-1E+030)</f>
        <v>-6.7026983541371</v>
      </c>
      <c r="AE5886" s="55" t="n">
        <f aca="false">IF(AC5886,IF(01_因子設定!$B$13="最大化",X5886,IF(01_因子設定!$B$13="最小化",-X5886,-ABS(X5886-01_因子設定!$B$16))),-1E+030)</f>
        <v>41.4916483918129</v>
      </c>
      <c r="AF5886" s="55" t="n">
        <f aca="false">AD5886+ROW()*0.000000001</f>
        <v>-6.7026924681371</v>
      </c>
      <c r="AG5886" s="55" t="n">
        <f aca="false">AE5886+ROW()*0.000000001</f>
        <v>41.4916542778129</v>
      </c>
    </row>
    <row r="5887" customFormat="false" ht="15" hidden="false" customHeight="false" outlineLevel="0" collapsed="false">
      <c r="A5887" s="0" t="n">
        <v>8</v>
      </c>
      <c r="B5887" s="0" t="n">
        <v>0</v>
      </c>
      <c r="C5887" s="0" t="n">
        <v>5</v>
      </c>
      <c r="D5887" s="0" t="n">
        <v>5</v>
      </c>
      <c r="E5887" s="0" t="n">
        <f aca="false">-1+A5887*0.25</f>
        <v>1</v>
      </c>
      <c r="F5887" s="0" t="n">
        <f aca="false">-1+B5887*0.25</f>
        <v>-1</v>
      </c>
      <c r="G5887" s="0" t="n">
        <f aca="false">-1+C5887*0.25</f>
        <v>0.25</v>
      </c>
      <c r="H5887" s="0" t="n">
        <f aca="false">-1+D5887*0.25</f>
        <v>0.25</v>
      </c>
      <c r="I5887" s="0" t="n">
        <f aca="false">1</f>
        <v>1</v>
      </c>
      <c r="J5887" s="0" t="n">
        <f aca="false">E5887</f>
        <v>1</v>
      </c>
      <c r="K5887" s="0" t="n">
        <f aca="false">F5887</f>
        <v>-1</v>
      </c>
      <c r="L5887" s="0" t="n">
        <f aca="false">G5887</f>
        <v>0.25</v>
      </c>
      <c r="M5887" s="0" t="n">
        <f aca="false">H5887</f>
        <v>0.25</v>
      </c>
      <c r="N5887" s="0" t="n">
        <f aca="false">E5887*F5887</f>
        <v>-1</v>
      </c>
      <c r="O5887" s="0" t="n">
        <f aca="false">E5887*G5887</f>
        <v>0.25</v>
      </c>
      <c r="P5887" s="0" t="n">
        <f aca="false">E5887*H5887</f>
        <v>0.25</v>
      </c>
      <c r="Q5887" s="0" t="n">
        <f aca="false">F5887*G5887</f>
        <v>-0.25</v>
      </c>
      <c r="R5887" s="0" t="n">
        <f aca="false">F5887*H5887</f>
        <v>-0.25</v>
      </c>
      <c r="S5887" s="0" t="n">
        <f aca="false">G5887*H5887</f>
        <v>0.0625</v>
      </c>
      <c r="T5887" s="0" t="n">
        <f aca="false">E5887*E5887</f>
        <v>1</v>
      </c>
      <c r="U5887" s="0" t="n">
        <f aca="false">F5887*F5887</f>
        <v>1</v>
      </c>
      <c r="V5887" s="0" t="n">
        <f aca="false">G5887*G5887</f>
        <v>0.0625</v>
      </c>
      <c r="W5887" s="0" t="n">
        <f aca="false">H5887*H5887</f>
        <v>0.0625</v>
      </c>
      <c r="X5887" s="0" t="n">
        <f aca="false">SUMPRODUCT(I5887:W5887,_XtX!$B$96:$P$96)</f>
        <v>41.6714775219299</v>
      </c>
      <c r="Y5887" s="0" t="n">
        <f aca="false">SUMPRODUCT(MMULT(I5887:W5887,_XtX!$B$78:$P$92),I5887:W5887)</f>
        <v>0.670040376005117</v>
      </c>
      <c r="Z5887" s="0" t="n">
        <f aca="false">04_回帰ANOVA!$K$19*04_回帰ANOVA!$K$14*SQRT(1+Y5887)</f>
        <v>1.68446456039992</v>
      </c>
      <c r="AA5887" s="0" t="n">
        <f aca="false">X5887-Z5887</f>
        <v>39.9870129615299</v>
      </c>
      <c r="AB5887" s="0" t="n">
        <f aca="false">X5887+Z5887</f>
        <v>43.3559420823298</v>
      </c>
      <c r="AC5887" s="54" t="b">
        <f aca="false">AND(E5887&gt;=01_因子設定!$L$5-0.000000001,E5887&lt;=01_因子設定!$M$5+0.000000001,F5887&gt;=01_因子設定!$L$6-0.000000001,F5887&lt;=01_因子設定!$M$6+0.000000001,G5887&gt;=01_因子設定!$L$7-0.000000001,G5887&lt;=01_因子設定!$M$7+0.000000001,H5887&gt;=01_因子設定!$L$8-0.000000001,H5887&lt;=01_因子設定!$M$8+0.000000001,IF(01_因子設定!$B$20="Box-Behnken",E5887^2+F5887^2+G5887^2+H5887^2&lt;=2+0.000000001,TRUE()))</f>
        <v>1</v>
      </c>
      <c r="AD5887" s="55" t="n">
        <f aca="false">IF(AC5887,IF(01_因子設定!$B$13="最大化",AA5887-01_因子設定!$B$14,IF(01_因子設定!$B$13="最小化",01_因子設定!$B$15-AB5887,MIN(AA5887-01_因子設定!$B$14,01_因子設定!$B$15-AB5887))),-1E+030)</f>
        <v>-6.51298703847007</v>
      </c>
      <c r="AE5887" s="55" t="n">
        <f aca="false">IF(AC5887,IF(01_因子設定!$B$13="最大化",X5887,IF(01_因子設定!$B$13="最小化",-X5887,-ABS(X5887-01_因子設定!$B$16))),-1E+030)</f>
        <v>41.6714775219299</v>
      </c>
      <c r="AF5887" s="55" t="n">
        <f aca="false">AD5887+ROW()*0.000000001</f>
        <v>-6.51298115147007</v>
      </c>
      <c r="AG5887" s="55" t="n">
        <f aca="false">AE5887+ROW()*0.000000001</f>
        <v>41.6714834089299</v>
      </c>
    </row>
    <row r="5888" customFormat="false" ht="15" hidden="false" customHeight="false" outlineLevel="0" collapsed="false">
      <c r="A5888" s="0" t="n">
        <v>8</v>
      </c>
      <c r="B5888" s="0" t="n">
        <v>0</v>
      </c>
      <c r="C5888" s="0" t="n">
        <v>5</v>
      </c>
      <c r="D5888" s="0" t="n">
        <v>6</v>
      </c>
      <c r="E5888" s="0" t="n">
        <f aca="false">-1+A5888*0.25</f>
        <v>1</v>
      </c>
      <c r="F5888" s="0" t="n">
        <f aca="false">-1+B5888*0.25</f>
        <v>-1</v>
      </c>
      <c r="G5888" s="0" t="n">
        <f aca="false">-1+C5888*0.25</f>
        <v>0.25</v>
      </c>
      <c r="H5888" s="0" t="n">
        <f aca="false">-1+D5888*0.25</f>
        <v>0.5</v>
      </c>
      <c r="I5888" s="0" t="n">
        <f aca="false">1</f>
        <v>1</v>
      </c>
      <c r="J5888" s="0" t="n">
        <f aca="false">E5888</f>
        <v>1</v>
      </c>
      <c r="K5888" s="0" t="n">
        <f aca="false">F5888</f>
        <v>-1</v>
      </c>
      <c r="L5888" s="0" t="n">
        <f aca="false">G5888</f>
        <v>0.25</v>
      </c>
      <c r="M5888" s="0" t="n">
        <f aca="false">H5888</f>
        <v>0.5</v>
      </c>
      <c r="N5888" s="0" t="n">
        <f aca="false">E5888*F5888</f>
        <v>-1</v>
      </c>
      <c r="O5888" s="0" t="n">
        <f aca="false">E5888*G5888</f>
        <v>0.25</v>
      </c>
      <c r="P5888" s="0" t="n">
        <f aca="false">E5888*H5888</f>
        <v>0.5</v>
      </c>
      <c r="Q5888" s="0" t="n">
        <f aca="false">F5888*G5888</f>
        <v>-0.25</v>
      </c>
      <c r="R5888" s="0" t="n">
        <f aca="false">F5888*H5888</f>
        <v>-0.5</v>
      </c>
      <c r="S5888" s="0" t="n">
        <f aca="false">G5888*H5888</f>
        <v>0.125</v>
      </c>
      <c r="T5888" s="0" t="n">
        <f aca="false">E5888*E5888</f>
        <v>1</v>
      </c>
      <c r="U5888" s="0" t="n">
        <f aca="false">F5888*F5888</f>
        <v>1</v>
      </c>
      <c r="V5888" s="0" t="n">
        <f aca="false">G5888*G5888</f>
        <v>0.0625</v>
      </c>
      <c r="W5888" s="0" t="n">
        <f aca="false">H5888*H5888</f>
        <v>0.25</v>
      </c>
      <c r="X5888" s="0" t="n">
        <f aca="false">SUMPRODUCT(I5888:W5888,_XtX!$B$96:$P$96)</f>
        <v>41.803499634503</v>
      </c>
      <c r="Y5888" s="0" t="n">
        <f aca="false">SUMPRODUCT(MMULT(I5888:W5888,_XtX!$B$78:$P$92),I5888:W5888)</f>
        <v>0.629174661915205</v>
      </c>
      <c r="Z5888" s="0" t="n">
        <f aca="false">04_回帰ANOVA!$K$19*04_回帰ANOVA!$K$14*SQRT(1+Y5888)</f>
        <v>1.66372758058297</v>
      </c>
      <c r="AA5888" s="0" t="n">
        <f aca="false">X5888-Z5888</f>
        <v>40.13977205392</v>
      </c>
      <c r="AB5888" s="0" t="n">
        <f aca="false">X5888+Z5888</f>
        <v>43.4672272150859</v>
      </c>
      <c r="AC5888" s="54" t="b">
        <f aca="false">AND(E5888&gt;=01_因子設定!$L$5-0.000000001,E5888&lt;=01_因子設定!$M$5+0.000000001,F5888&gt;=01_因子設定!$L$6-0.000000001,F5888&lt;=01_因子設定!$M$6+0.000000001,G5888&gt;=01_因子設定!$L$7-0.000000001,G5888&lt;=01_因子設定!$M$7+0.000000001,H5888&gt;=01_因子設定!$L$8-0.000000001,H5888&lt;=01_因子設定!$M$8+0.000000001,IF(01_因子設定!$B$20="Box-Behnken",E5888^2+F5888^2+G5888^2+H5888^2&lt;=2+0.000000001,TRUE()))</f>
        <v>1</v>
      </c>
      <c r="AD5888" s="55" t="n">
        <f aca="false">IF(AC5888,IF(01_因子設定!$B$13="最大化",AA5888-01_因子設定!$B$14,IF(01_因子設定!$B$13="最小化",01_因子設定!$B$15-AB5888,MIN(AA5888-01_因子設定!$B$14,01_因子設定!$B$15-AB5888))),-1E+030)</f>
        <v>-6.36022794608002</v>
      </c>
      <c r="AE5888" s="55" t="n">
        <f aca="false">IF(AC5888,IF(01_因子設定!$B$13="最大化",X5888,IF(01_因子設定!$B$13="最小化",-X5888,-ABS(X5888-01_因子設定!$B$16))),-1E+030)</f>
        <v>41.803499634503</v>
      </c>
      <c r="AF5888" s="55" t="n">
        <f aca="false">AD5888+ROW()*0.000000001</f>
        <v>-6.36022205808002</v>
      </c>
      <c r="AG5888" s="55" t="n">
        <f aca="false">AE5888+ROW()*0.000000001</f>
        <v>41.803505522503</v>
      </c>
    </row>
    <row r="5889" customFormat="false" ht="15" hidden="false" customHeight="false" outlineLevel="0" collapsed="false">
      <c r="A5889" s="0" t="n">
        <v>8</v>
      </c>
      <c r="B5889" s="0" t="n">
        <v>0</v>
      </c>
      <c r="C5889" s="0" t="n">
        <v>5</v>
      </c>
      <c r="D5889" s="0" t="n">
        <v>7</v>
      </c>
      <c r="E5889" s="0" t="n">
        <f aca="false">-1+A5889*0.25</f>
        <v>1</v>
      </c>
      <c r="F5889" s="0" t="n">
        <f aca="false">-1+B5889*0.25</f>
        <v>-1</v>
      </c>
      <c r="G5889" s="0" t="n">
        <f aca="false">-1+C5889*0.25</f>
        <v>0.25</v>
      </c>
      <c r="H5889" s="0" t="n">
        <f aca="false">-1+D5889*0.25</f>
        <v>0.75</v>
      </c>
      <c r="I5889" s="0" t="n">
        <f aca="false">1</f>
        <v>1</v>
      </c>
      <c r="J5889" s="0" t="n">
        <f aca="false">E5889</f>
        <v>1</v>
      </c>
      <c r="K5889" s="0" t="n">
        <f aca="false">F5889</f>
        <v>-1</v>
      </c>
      <c r="L5889" s="0" t="n">
        <f aca="false">G5889</f>
        <v>0.25</v>
      </c>
      <c r="M5889" s="0" t="n">
        <f aca="false">H5889</f>
        <v>0.75</v>
      </c>
      <c r="N5889" s="0" t="n">
        <f aca="false">E5889*F5889</f>
        <v>-1</v>
      </c>
      <c r="O5889" s="0" t="n">
        <f aca="false">E5889*G5889</f>
        <v>0.25</v>
      </c>
      <c r="P5889" s="0" t="n">
        <f aca="false">E5889*H5889</f>
        <v>0.75</v>
      </c>
      <c r="Q5889" s="0" t="n">
        <f aca="false">F5889*G5889</f>
        <v>-0.25</v>
      </c>
      <c r="R5889" s="0" t="n">
        <f aca="false">F5889*H5889</f>
        <v>-0.75</v>
      </c>
      <c r="S5889" s="0" t="n">
        <f aca="false">G5889*H5889</f>
        <v>0.1875</v>
      </c>
      <c r="T5889" s="0" t="n">
        <f aca="false">E5889*E5889</f>
        <v>1</v>
      </c>
      <c r="U5889" s="0" t="n">
        <f aca="false">F5889*F5889</f>
        <v>1</v>
      </c>
      <c r="V5889" s="0" t="n">
        <f aca="false">G5889*G5889</f>
        <v>0.0625</v>
      </c>
      <c r="W5889" s="0" t="n">
        <f aca="false">H5889*H5889</f>
        <v>0.5625</v>
      </c>
      <c r="X5889" s="0" t="n">
        <f aca="false">SUMPRODUCT(I5889:W5889,_XtX!$B$96:$P$96)</f>
        <v>41.8877147295322</v>
      </c>
      <c r="Y5889" s="0" t="n">
        <f aca="false">SUMPRODUCT(MMULT(I5889:W5889,_XtX!$B$78:$P$92),I5889:W5889)</f>
        <v>0.621372155975877</v>
      </c>
      <c r="Z5889" s="0" t="n">
        <f aca="false">04_回帰ANOVA!$K$19*04_回帰ANOVA!$K$14*SQRT(1+Y5889)</f>
        <v>1.65973880499872</v>
      </c>
      <c r="AA5889" s="0" t="n">
        <f aca="false">X5889-Z5889</f>
        <v>40.2279759245335</v>
      </c>
      <c r="AB5889" s="0" t="n">
        <f aca="false">X5889+Z5889</f>
        <v>43.5474535345309</v>
      </c>
      <c r="AC5889" s="54" t="b">
        <f aca="false">AND(E5889&gt;=01_因子設定!$L$5-0.000000001,E5889&lt;=01_因子設定!$M$5+0.000000001,F5889&gt;=01_因子設定!$L$6-0.000000001,F5889&lt;=01_因子設定!$M$6+0.000000001,G5889&gt;=01_因子設定!$L$7-0.000000001,G5889&lt;=01_因子設定!$M$7+0.000000001,H5889&gt;=01_因子設定!$L$8-0.000000001,H5889&lt;=01_因子設定!$M$8+0.000000001,IF(01_因子設定!$B$20="Box-Behnken",E5889^2+F5889^2+G5889^2+H5889^2&lt;=2+0.000000001,TRUE()))</f>
        <v>1</v>
      </c>
      <c r="AD5889" s="55" t="n">
        <f aca="false">IF(AC5889,IF(01_因子設定!$B$13="最大化",AA5889-01_因子設定!$B$14,IF(01_因子設定!$B$13="最小化",01_因子設定!$B$15-AB5889,MIN(AA5889-01_因子設定!$B$14,01_因子設定!$B$15-AB5889))),-1E+030)</f>
        <v>-6.27202407546651</v>
      </c>
      <c r="AE5889" s="55" t="n">
        <f aca="false">IF(AC5889,IF(01_因子設定!$B$13="最大化",X5889,IF(01_因子設定!$B$13="最小化",-X5889,-ABS(X5889-01_因子設定!$B$16))),-1E+030)</f>
        <v>41.8877147295322</v>
      </c>
      <c r="AF5889" s="55" t="n">
        <f aca="false">AD5889+ROW()*0.000000001</f>
        <v>-6.27201818646651</v>
      </c>
      <c r="AG5889" s="55" t="n">
        <f aca="false">AE5889+ROW()*0.000000001</f>
        <v>41.8877206185322</v>
      </c>
    </row>
    <row r="5890" customFormat="false" ht="15" hidden="false" customHeight="false" outlineLevel="0" collapsed="false">
      <c r="A5890" s="0" t="n">
        <v>8</v>
      </c>
      <c r="B5890" s="0" t="n">
        <v>0</v>
      </c>
      <c r="C5890" s="0" t="n">
        <v>5</v>
      </c>
      <c r="D5890" s="0" t="n">
        <v>8</v>
      </c>
      <c r="E5890" s="0" t="n">
        <f aca="false">-1+A5890*0.25</f>
        <v>1</v>
      </c>
      <c r="F5890" s="0" t="n">
        <f aca="false">-1+B5890*0.25</f>
        <v>-1</v>
      </c>
      <c r="G5890" s="0" t="n">
        <f aca="false">-1+C5890*0.25</f>
        <v>0.25</v>
      </c>
      <c r="H5890" s="0" t="n">
        <f aca="false">-1+D5890*0.25</f>
        <v>1</v>
      </c>
      <c r="I5890" s="0" t="n">
        <f aca="false">1</f>
        <v>1</v>
      </c>
      <c r="J5890" s="0" t="n">
        <f aca="false">E5890</f>
        <v>1</v>
      </c>
      <c r="K5890" s="0" t="n">
        <f aca="false">F5890</f>
        <v>-1</v>
      </c>
      <c r="L5890" s="0" t="n">
        <f aca="false">G5890</f>
        <v>0.25</v>
      </c>
      <c r="M5890" s="0" t="n">
        <f aca="false">H5890</f>
        <v>1</v>
      </c>
      <c r="N5890" s="0" t="n">
        <f aca="false">E5890*F5890</f>
        <v>-1</v>
      </c>
      <c r="O5890" s="0" t="n">
        <f aca="false">E5890*G5890</f>
        <v>0.25</v>
      </c>
      <c r="P5890" s="0" t="n">
        <f aca="false">E5890*H5890</f>
        <v>1</v>
      </c>
      <c r="Q5890" s="0" t="n">
        <f aca="false">F5890*G5890</f>
        <v>-0.25</v>
      </c>
      <c r="R5890" s="0" t="n">
        <f aca="false">F5890*H5890</f>
        <v>-1</v>
      </c>
      <c r="S5890" s="0" t="n">
        <f aca="false">G5890*H5890</f>
        <v>0.25</v>
      </c>
      <c r="T5890" s="0" t="n">
        <f aca="false">E5890*E5890</f>
        <v>1</v>
      </c>
      <c r="U5890" s="0" t="n">
        <f aca="false">F5890*F5890</f>
        <v>1</v>
      </c>
      <c r="V5890" s="0" t="n">
        <f aca="false">G5890*G5890</f>
        <v>0.0625</v>
      </c>
      <c r="W5890" s="0" t="n">
        <f aca="false">H5890*H5890</f>
        <v>1</v>
      </c>
      <c r="X5890" s="0" t="n">
        <f aca="false">SUMPRODUCT(I5890:W5890,_XtX!$B$96:$P$96)</f>
        <v>41.9241228070176</v>
      </c>
      <c r="Y5890" s="0" t="n">
        <f aca="false">SUMPRODUCT(MMULT(I5890:W5890,_XtX!$B$78:$P$92),I5890:W5890)</f>
        <v>0.737093384502924</v>
      </c>
      <c r="Z5890" s="0" t="n">
        <f aca="false">04_回帰ANOVA!$K$19*04_回帰ANOVA!$K$14*SQRT(1+Y5890)</f>
        <v>1.71794784853551</v>
      </c>
      <c r="AA5890" s="0" t="n">
        <f aca="false">X5890-Z5890</f>
        <v>40.2061749584821</v>
      </c>
      <c r="AB5890" s="0" t="n">
        <f aca="false">X5890+Z5890</f>
        <v>43.6420706555531</v>
      </c>
      <c r="AC5890" s="54" t="b">
        <f aca="false">AND(E5890&gt;=01_因子設定!$L$5-0.000000001,E5890&lt;=01_因子設定!$M$5+0.000000001,F5890&gt;=01_因子設定!$L$6-0.000000001,F5890&lt;=01_因子設定!$M$6+0.000000001,G5890&gt;=01_因子設定!$L$7-0.000000001,G5890&lt;=01_因子設定!$M$7+0.000000001,H5890&gt;=01_因子設定!$L$8-0.000000001,H5890&lt;=01_因子設定!$M$8+0.000000001,IF(01_因子設定!$B$20="Box-Behnken",E5890^2+F5890^2+G5890^2+H5890^2&lt;=2+0.000000001,TRUE()))</f>
        <v>1</v>
      </c>
      <c r="AD5890" s="55" t="n">
        <f aca="false">IF(AC5890,IF(01_因子設定!$B$13="最大化",AA5890-01_因子設定!$B$14,IF(01_因子設定!$B$13="最小化",01_因子設定!$B$15-AB5890,MIN(AA5890-01_因子設定!$B$14,01_因子設定!$B$15-AB5890))),-1E+030)</f>
        <v>-6.2938250415179</v>
      </c>
      <c r="AE5890" s="55" t="n">
        <f aca="false">IF(AC5890,IF(01_因子設定!$B$13="最大化",X5890,IF(01_因子設定!$B$13="最小化",-X5890,-ABS(X5890-01_因子設定!$B$16))),-1E+030)</f>
        <v>41.9241228070176</v>
      </c>
      <c r="AF5890" s="55" t="n">
        <f aca="false">AD5890+ROW()*0.000000001</f>
        <v>-6.2938191515179</v>
      </c>
      <c r="AG5890" s="55" t="n">
        <f aca="false">AE5890+ROW()*0.000000001</f>
        <v>41.9241286970176</v>
      </c>
    </row>
    <row r="5891" customFormat="false" ht="15" hidden="false" customHeight="false" outlineLevel="0" collapsed="false">
      <c r="A5891" s="0" t="n">
        <v>8</v>
      </c>
      <c r="B5891" s="0" t="n">
        <v>0</v>
      </c>
      <c r="C5891" s="0" t="n">
        <v>6</v>
      </c>
      <c r="D5891" s="0" t="n">
        <v>0</v>
      </c>
      <c r="E5891" s="0" t="n">
        <f aca="false">-1+A5891*0.25</f>
        <v>1</v>
      </c>
      <c r="F5891" s="0" t="n">
        <f aca="false">-1+B5891*0.25</f>
        <v>-1</v>
      </c>
      <c r="G5891" s="0" t="n">
        <f aca="false">-1+C5891*0.25</f>
        <v>0.5</v>
      </c>
      <c r="H5891" s="0" t="n">
        <f aca="false">-1+D5891*0.25</f>
        <v>-1</v>
      </c>
      <c r="I5891" s="0" t="n">
        <f aca="false">1</f>
        <v>1</v>
      </c>
      <c r="J5891" s="0" t="n">
        <f aca="false">E5891</f>
        <v>1</v>
      </c>
      <c r="K5891" s="0" t="n">
        <f aca="false">F5891</f>
        <v>-1</v>
      </c>
      <c r="L5891" s="0" t="n">
        <f aca="false">G5891</f>
        <v>0.5</v>
      </c>
      <c r="M5891" s="0" t="n">
        <f aca="false">H5891</f>
        <v>-1</v>
      </c>
      <c r="N5891" s="0" t="n">
        <f aca="false">E5891*F5891</f>
        <v>-1</v>
      </c>
      <c r="O5891" s="0" t="n">
        <f aca="false">E5891*G5891</f>
        <v>0.5</v>
      </c>
      <c r="P5891" s="0" t="n">
        <f aca="false">E5891*H5891</f>
        <v>-1</v>
      </c>
      <c r="Q5891" s="0" t="n">
        <f aca="false">F5891*G5891</f>
        <v>-0.5</v>
      </c>
      <c r="R5891" s="0" t="n">
        <f aca="false">F5891*H5891</f>
        <v>1</v>
      </c>
      <c r="S5891" s="0" t="n">
        <f aca="false">G5891*H5891</f>
        <v>-0.5</v>
      </c>
      <c r="T5891" s="0" t="n">
        <f aca="false">E5891*E5891</f>
        <v>1</v>
      </c>
      <c r="U5891" s="0" t="n">
        <f aca="false">F5891*F5891</f>
        <v>1</v>
      </c>
      <c r="V5891" s="0" t="n">
        <f aca="false">G5891*G5891</f>
        <v>0.25</v>
      </c>
      <c r="W5891" s="0" t="n">
        <f aca="false">H5891*H5891</f>
        <v>1</v>
      </c>
      <c r="X5891" s="0" t="n">
        <f aca="false">SUMPRODUCT(I5891:W5891,_XtX!$B$96:$P$96)</f>
        <v>40.099634502924</v>
      </c>
      <c r="Y5891" s="0" t="n">
        <f aca="false">SUMPRODUCT(MMULT(I5891:W5891,_XtX!$B$78:$P$92),I5891:W5891)</f>
        <v>0.667123538011696</v>
      </c>
      <c r="Z5891" s="0" t="n">
        <f aca="false">04_回帰ANOVA!$K$19*04_回帰ANOVA!$K$14*SQRT(1+Y5891)</f>
        <v>1.68299290213005</v>
      </c>
      <c r="AA5891" s="0" t="n">
        <f aca="false">X5891-Z5891</f>
        <v>38.416641600794</v>
      </c>
      <c r="AB5891" s="0" t="n">
        <f aca="false">X5891+Z5891</f>
        <v>41.7826274050541</v>
      </c>
      <c r="AC5891" s="54" t="b">
        <f aca="false">AND(E5891&gt;=01_因子設定!$L$5-0.000000001,E5891&lt;=01_因子設定!$M$5+0.000000001,F5891&gt;=01_因子設定!$L$6-0.000000001,F5891&lt;=01_因子設定!$M$6+0.000000001,G5891&gt;=01_因子設定!$L$7-0.000000001,G5891&lt;=01_因子設定!$M$7+0.000000001,H5891&gt;=01_因子設定!$L$8-0.000000001,H5891&lt;=01_因子設定!$M$8+0.000000001,IF(01_因子設定!$B$20="Box-Behnken",E5891^2+F5891^2+G5891^2+H5891^2&lt;=2+0.000000001,TRUE()))</f>
        <v>1</v>
      </c>
      <c r="AD5891" s="55" t="n">
        <f aca="false">IF(AC5891,IF(01_因子設定!$B$13="最大化",AA5891-01_因子設定!$B$14,IF(01_因子設定!$B$13="最小化",01_因子設定!$B$15-AB5891,MIN(AA5891-01_因子設定!$B$14,01_因子設定!$B$15-AB5891))),-1E+030)</f>
        <v>-8.08335839920601</v>
      </c>
      <c r="AE5891" s="55" t="n">
        <f aca="false">IF(AC5891,IF(01_因子設定!$B$13="最大化",X5891,IF(01_因子設定!$B$13="最小化",-X5891,-ABS(X5891-01_因子設定!$B$16))),-1E+030)</f>
        <v>40.099634502924</v>
      </c>
      <c r="AF5891" s="55" t="n">
        <f aca="false">AD5891+ROW()*0.000000001</f>
        <v>-8.08335250820601</v>
      </c>
      <c r="AG5891" s="55" t="n">
        <f aca="false">AE5891+ROW()*0.000000001</f>
        <v>40.099640393924</v>
      </c>
    </row>
    <row r="5892" customFormat="false" ht="15" hidden="false" customHeight="false" outlineLevel="0" collapsed="false">
      <c r="A5892" s="0" t="n">
        <v>8</v>
      </c>
      <c r="B5892" s="0" t="n">
        <v>0</v>
      </c>
      <c r="C5892" s="0" t="n">
        <v>6</v>
      </c>
      <c r="D5892" s="0" t="n">
        <v>1</v>
      </c>
      <c r="E5892" s="0" t="n">
        <f aca="false">-1+A5892*0.25</f>
        <v>1</v>
      </c>
      <c r="F5892" s="0" t="n">
        <f aca="false">-1+B5892*0.25</f>
        <v>-1</v>
      </c>
      <c r="G5892" s="0" t="n">
        <f aca="false">-1+C5892*0.25</f>
        <v>0.5</v>
      </c>
      <c r="H5892" s="0" t="n">
        <f aca="false">-1+D5892*0.25</f>
        <v>-0.75</v>
      </c>
      <c r="I5892" s="0" t="n">
        <f aca="false">1</f>
        <v>1</v>
      </c>
      <c r="J5892" s="0" t="n">
        <f aca="false">E5892</f>
        <v>1</v>
      </c>
      <c r="K5892" s="0" t="n">
        <f aca="false">F5892</f>
        <v>-1</v>
      </c>
      <c r="L5892" s="0" t="n">
        <f aca="false">G5892</f>
        <v>0.5</v>
      </c>
      <c r="M5892" s="0" t="n">
        <f aca="false">H5892</f>
        <v>-0.75</v>
      </c>
      <c r="N5892" s="0" t="n">
        <f aca="false">E5892*F5892</f>
        <v>-1</v>
      </c>
      <c r="O5892" s="0" t="n">
        <f aca="false">E5892*G5892</f>
        <v>0.5</v>
      </c>
      <c r="P5892" s="0" t="n">
        <f aca="false">E5892*H5892</f>
        <v>-0.75</v>
      </c>
      <c r="Q5892" s="0" t="n">
        <f aca="false">F5892*G5892</f>
        <v>-0.5</v>
      </c>
      <c r="R5892" s="0" t="n">
        <f aca="false">F5892*H5892</f>
        <v>0.75</v>
      </c>
      <c r="S5892" s="0" t="n">
        <f aca="false">G5892*H5892</f>
        <v>-0.375</v>
      </c>
      <c r="T5892" s="0" t="n">
        <f aca="false">E5892*E5892</f>
        <v>1</v>
      </c>
      <c r="U5892" s="0" t="n">
        <f aca="false">F5892*F5892</f>
        <v>1</v>
      </c>
      <c r="V5892" s="0" t="n">
        <f aca="false">G5892*G5892</f>
        <v>0.25</v>
      </c>
      <c r="W5892" s="0" t="n">
        <f aca="false">H5892*H5892</f>
        <v>0.5625</v>
      </c>
      <c r="X5892" s="0" t="n">
        <f aca="false">SUMPRODUCT(I5892:W5892,_XtX!$B$96:$P$96)</f>
        <v>40.4886604532164</v>
      </c>
      <c r="Y5892" s="0" t="n">
        <f aca="false">SUMPRODUCT(MMULT(I5892:W5892,_XtX!$B$78:$P$92),I5892:W5892)</f>
        <v>0.564984237938597</v>
      </c>
      <c r="Z5892" s="0" t="n">
        <f aca="false">04_回帰ANOVA!$K$19*04_回帰ANOVA!$K$14*SQRT(1+Y5892)</f>
        <v>1.63062229734503</v>
      </c>
      <c r="AA5892" s="0" t="n">
        <f aca="false">X5892-Z5892</f>
        <v>38.8580381558714</v>
      </c>
      <c r="AB5892" s="0" t="n">
        <f aca="false">X5892+Z5892</f>
        <v>42.1192827505615</v>
      </c>
      <c r="AC5892" s="54" t="b">
        <f aca="false">AND(E5892&gt;=01_因子設定!$L$5-0.000000001,E5892&lt;=01_因子設定!$M$5+0.000000001,F5892&gt;=01_因子設定!$L$6-0.000000001,F5892&lt;=01_因子設定!$M$6+0.000000001,G5892&gt;=01_因子設定!$L$7-0.000000001,G5892&lt;=01_因子設定!$M$7+0.000000001,H5892&gt;=01_因子設定!$L$8-0.000000001,H5892&lt;=01_因子設定!$M$8+0.000000001,IF(01_因子設定!$B$20="Box-Behnken",E5892^2+F5892^2+G5892^2+H5892^2&lt;=2+0.000000001,TRUE()))</f>
        <v>1</v>
      </c>
      <c r="AD5892" s="55" t="n">
        <f aca="false">IF(AC5892,IF(01_因子設定!$B$13="最大化",AA5892-01_因子設定!$B$14,IF(01_因子設定!$B$13="最小化",01_因子設定!$B$15-AB5892,MIN(AA5892-01_因子設定!$B$14,01_因子設定!$B$15-AB5892))),-1E+030)</f>
        <v>-7.64196184412862</v>
      </c>
      <c r="AE5892" s="55" t="n">
        <f aca="false">IF(AC5892,IF(01_因子設定!$B$13="最大化",X5892,IF(01_因子設定!$B$13="最小化",-X5892,-ABS(X5892-01_因子設定!$B$16))),-1E+030)</f>
        <v>40.4886604532164</v>
      </c>
      <c r="AF5892" s="55" t="n">
        <f aca="false">AD5892+ROW()*0.000000001</f>
        <v>-7.64195595212862</v>
      </c>
      <c r="AG5892" s="55" t="n">
        <f aca="false">AE5892+ROW()*0.000000001</f>
        <v>40.4886663452164</v>
      </c>
    </row>
    <row r="5893" customFormat="false" ht="15" hidden="false" customHeight="false" outlineLevel="0" collapsed="false">
      <c r="A5893" s="0" t="n">
        <v>8</v>
      </c>
      <c r="B5893" s="0" t="n">
        <v>0</v>
      </c>
      <c r="C5893" s="0" t="n">
        <v>6</v>
      </c>
      <c r="D5893" s="0" t="n">
        <v>2</v>
      </c>
      <c r="E5893" s="0" t="n">
        <f aca="false">-1+A5893*0.25</f>
        <v>1</v>
      </c>
      <c r="F5893" s="0" t="n">
        <f aca="false">-1+B5893*0.25</f>
        <v>-1</v>
      </c>
      <c r="G5893" s="0" t="n">
        <f aca="false">-1+C5893*0.25</f>
        <v>0.5</v>
      </c>
      <c r="H5893" s="0" t="n">
        <f aca="false">-1+D5893*0.25</f>
        <v>-0.5</v>
      </c>
      <c r="I5893" s="0" t="n">
        <f aca="false">1</f>
        <v>1</v>
      </c>
      <c r="J5893" s="0" t="n">
        <f aca="false">E5893</f>
        <v>1</v>
      </c>
      <c r="K5893" s="0" t="n">
        <f aca="false">F5893</f>
        <v>-1</v>
      </c>
      <c r="L5893" s="0" t="n">
        <f aca="false">G5893</f>
        <v>0.5</v>
      </c>
      <c r="M5893" s="0" t="n">
        <f aca="false">H5893</f>
        <v>-0.5</v>
      </c>
      <c r="N5893" s="0" t="n">
        <f aca="false">E5893*F5893</f>
        <v>-1</v>
      </c>
      <c r="O5893" s="0" t="n">
        <f aca="false">E5893*G5893</f>
        <v>0.5</v>
      </c>
      <c r="P5893" s="0" t="n">
        <f aca="false">E5893*H5893</f>
        <v>-0.5</v>
      </c>
      <c r="Q5893" s="0" t="n">
        <f aca="false">F5893*G5893</f>
        <v>-0.5</v>
      </c>
      <c r="R5893" s="0" t="n">
        <f aca="false">F5893*H5893</f>
        <v>0.5</v>
      </c>
      <c r="S5893" s="0" t="n">
        <f aca="false">G5893*H5893</f>
        <v>-0.25</v>
      </c>
      <c r="T5893" s="0" t="n">
        <f aca="false">E5893*E5893</f>
        <v>1</v>
      </c>
      <c r="U5893" s="0" t="n">
        <f aca="false">F5893*F5893</f>
        <v>1</v>
      </c>
      <c r="V5893" s="0" t="n">
        <f aca="false">G5893*G5893</f>
        <v>0.25</v>
      </c>
      <c r="W5893" s="0" t="n">
        <f aca="false">H5893*H5893</f>
        <v>0.25</v>
      </c>
      <c r="X5893" s="0" t="n">
        <f aca="false">SUMPRODUCT(I5893:W5893,_XtX!$B$96:$P$96)</f>
        <v>40.8298793859649</v>
      </c>
      <c r="Y5893" s="0" t="n">
        <f aca="false">SUMPRODUCT(MMULT(I5893:W5893,_XtX!$B$78:$P$92),I5893:W5893)</f>
        <v>0.582488121345029</v>
      </c>
      <c r="Z5893" s="0" t="n">
        <f aca="false">04_回帰ANOVA!$K$19*04_回帰ANOVA!$K$14*SQRT(1+Y5893)</f>
        <v>1.63971595338287</v>
      </c>
      <c r="AA5893" s="0" t="n">
        <f aca="false">X5893-Z5893</f>
        <v>39.1901634325821</v>
      </c>
      <c r="AB5893" s="0" t="n">
        <f aca="false">X5893+Z5893</f>
        <v>42.4695953393478</v>
      </c>
      <c r="AC5893" s="54" t="b">
        <f aca="false">AND(E5893&gt;=01_因子設定!$L$5-0.000000001,E5893&lt;=01_因子設定!$M$5+0.000000001,F5893&gt;=01_因子設定!$L$6-0.000000001,F5893&lt;=01_因子設定!$M$6+0.000000001,G5893&gt;=01_因子設定!$L$7-0.000000001,G5893&lt;=01_因子設定!$M$7+0.000000001,H5893&gt;=01_因子設定!$L$8-0.000000001,H5893&lt;=01_因子設定!$M$8+0.000000001,IF(01_因子設定!$B$20="Box-Behnken",E5893^2+F5893^2+G5893^2+H5893^2&lt;=2+0.000000001,TRUE()))</f>
        <v>1</v>
      </c>
      <c r="AD5893" s="55" t="n">
        <f aca="false">IF(AC5893,IF(01_因子設定!$B$13="最大化",AA5893-01_因子設定!$B$14,IF(01_因子設定!$B$13="最小化",01_因子設定!$B$15-AB5893,MIN(AA5893-01_因子設定!$B$14,01_因子設定!$B$15-AB5893))),-1E+030)</f>
        <v>-7.30983656741793</v>
      </c>
      <c r="AE5893" s="55" t="n">
        <f aca="false">IF(AC5893,IF(01_因子設定!$B$13="最大化",X5893,IF(01_因子設定!$B$13="最小化",-X5893,-ABS(X5893-01_因子設定!$B$16))),-1E+030)</f>
        <v>40.8298793859649</v>
      </c>
      <c r="AF5893" s="55" t="n">
        <f aca="false">AD5893+ROW()*0.000000001</f>
        <v>-7.30983067441793</v>
      </c>
      <c r="AG5893" s="55" t="n">
        <f aca="false">AE5893+ROW()*0.000000001</f>
        <v>40.8298852789649</v>
      </c>
    </row>
    <row r="5894" customFormat="false" ht="15" hidden="false" customHeight="false" outlineLevel="0" collapsed="false">
      <c r="A5894" s="0" t="n">
        <v>8</v>
      </c>
      <c r="B5894" s="0" t="n">
        <v>0</v>
      </c>
      <c r="C5894" s="0" t="n">
        <v>6</v>
      </c>
      <c r="D5894" s="0" t="n">
        <v>3</v>
      </c>
      <c r="E5894" s="0" t="n">
        <f aca="false">-1+A5894*0.25</f>
        <v>1</v>
      </c>
      <c r="F5894" s="0" t="n">
        <f aca="false">-1+B5894*0.25</f>
        <v>-1</v>
      </c>
      <c r="G5894" s="0" t="n">
        <f aca="false">-1+C5894*0.25</f>
        <v>0.5</v>
      </c>
      <c r="H5894" s="0" t="n">
        <f aca="false">-1+D5894*0.25</f>
        <v>-0.25</v>
      </c>
      <c r="I5894" s="0" t="n">
        <f aca="false">1</f>
        <v>1</v>
      </c>
      <c r="J5894" s="0" t="n">
        <f aca="false">E5894</f>
        <v>1</v>
      </c>
      <c r="K5894" s="0" t="n">
        <f aca="false">F5894</f>
        <v>-1</v>
      </c>
      <c r="L5894" s="0" t="n">
        <f aca="false">G5894</f>
        <v>0.5</v>
      </c>
      <c r="M5894" s="0" t="n">
        <f aca="false">H5894</f>
        <v>-0.25</v>
      </c>
      <c r="N5894" s="0" t="n">
        <f aca="false">E5894*F5894</f>
        <v>-1</v>
      </c>
      <c r="O5894" s="0" t="n">
        <f aca="false">E5894*G5894</f>
        <v>0.5</v>
      </c>
      <c r="P5894" s="0" t="n">
        <f aca="false">E5894*H5894</f>
        <v>-0.25</v>
      </c>
      <c r="Q5894" s="0" t="n">
        <f aca="false">F5894*G5894</f>
        <v>-0.5</v>
      </c>
      <c r="R5894" s="0" t="n">
        <f aca="false">F5894*H5894</f>
        <v>0.25</v>
      </c>
      <c r="S5894" s="0" t="n">
        <f aca="false">G5894*H5894</f>
        <v>-0.125</v>
      </c>
      <c r="T5894" s="0" t="n">
        <f aca="false">E5894*E5894</f>
        <v>1</v>
      </c>
      <c r="U5894" s="0" t="n">
        <f aca="false">F5894*F5894</f>
        <v>1</v>
      </c>
      <c r="V5894" s="0" t="n">
        <f aca="false">G5894*G5894</f>
        <v>0.25</v>
      </c>
      <c r="W5894" s="0" t="n">
        <f aca="false">H5894*H5894</f>
        <v>0.0625</v>
      </c>
      <c r="X5894" s="0" t="n">
        <f aca="false">SUMPRODUCT(I5894:W5894,_XtX!$B$96:$P$96)</f>
        <v>41.1232913011696</v>
      </c>
      <c r="Y5894" s="0" t="n">
        <f aca="false">SUMPRODUCT(MMULT(I5894:W5894,_XtX!$B$78:$P$92),I5894:W5894)</f>
        <v>0.629174661915205</v>
      </c>
      <c r="Z5894" s="0" t="n">
        <f aca="false">04_回帰ANOVA!$K$19*04_回帰ANOVA!$K$14*SQRT(1+Y5894)</f>
        <v>1.66372758058297</v>
      </c>
      <c r="AA5894" s="0" t="n">
        <f aca="false">X5894-Z5894</f>
        <v>39.4595637205866</v>
      </c>
      <c r="AB5894" s="0" t="n">
        <f aca="false">X5894+Z5894</f>
        <v>42.7870188817526</v>
      </c>
      <c r="AC5894" s="54" t="b">
        <f aca="false">AND(E5894&gt;=01_因子設定!$L$5-0.000000001,E5894&lt;=01_因子設定!$M$5+0.000000001,F5894&gt;=01_因子設定!$L$6-0.000000001,F5894&lt;=01_因子設定!$M$6+0.000000001,G5894&gt;=01_因子設定!$L$7-0.000000001,G5894&lt;=01_因子設定!$M$7+0.000000001,H5894&gt;=01_因子設定!$L$8-0.000000001,H5894&lt;=01_因子設定!$M$8+0.000000001,IF(01_因子設定!$B$20="Box-Behnken",E5894^2+F5894^2+G5894^2+H5894^2&lt;=2+0.000000001,TRUE()))</f>
        <v>1</v>
      </c>
      <c r="AD5894" s="55" t="n">
        <f aca="false">IF(AC5894,IF(01_因子設定!$B$13="最大化",AA5894-01_因子設定!$B$14,IF(01_因子設定!$B$13="最小化",01_因子設定!$B$15-AB5894,MIN(AA5894-01_因子設定!$B$14,01_因子設定!$B$15-AB5894))),-1E+030)</f>
        <v>-7.04043627941336</v>
      </c>
      <c r="AE5894" s="55" t="n">
        <f aca="false">IF(AC5894,IF(01_因子設定!$B$13="最大化",X5894,IF(01_因子設定!$B$13="最小化",-X5894,-ABS(X5894-01_因子設定!$B$16))),-1E+030)</f>
        <v>41.1232913011696</v>
      </c>
      <c r="AF5894" s="55" t="n">
        <f aca="false">AD5894+ROW()*0.000000001</f>
        <v>-7.04043038541336</v>
      </c>
      <c r="AG5894" s="55" t="n">
        <f aca="false">AE5894+ROW()*0.000000001</f>
        <v>41.1232971951696</v>
      </c>
    </row>
    <row r="5895" customFormat="false" ht="15" hidden="false" customHeight="false" outlineLevel="0" collapsed="false">
      <c r="A5895" s="0" t="n">
        <v>8</v>
      </c>
      <c r="B5895" s="0" t="n">
        <v>0</v>
      </c>
      <c r="C5895" s="0" t="n">
        <v>6</v>
      </c>
      <c r="D5895" s="0" t="n">
        <v>4</v>
      </c>
      <c r="E5895" s="0" t="n">
        <f aca="false">-1+A5895*0.25</f>
        <v>1</v>
      </c>
      <c r="F5895" s="0" t="n">
        <f aca="false">-1+B5895*0.25</f>
        <v>-1</v>
      </c>
      <c r="G5895" s="0" t="n">
        <f aca="false">-1+C5895*0.25</f>
        <v>0.5</v>
      </c>
      <c r="H5895" s="0" t="n">
        <f aca="false">-1+D5895*0.25</f>
        <v>0</v>
      </c>
      <c r="I5895" s="0" t="n">
        <f aca="false">1</f>
        <v>1</v>
      </c>
      <c r="J5895" s="0" t="n">
        <f aca="false">E5895</f>
        <v>1</v>
      </c>
      <c r="K5895" s="0" t="n">
        <f aca="false">F5895</f>
        <v>-1</v>
      </c>
      <c r="L5895" s="0" t="n">
        <f aca="false">G5895</f>
        <v>0.5</v>
      </c>
      <c r="M5895" s="0" t="n">
        <f aca="false">H5895</f>
        <v>0</v>
      </c>
      <c r="N5895" s="0" t="n">
        <f aca="false">E5895*F5895</f>
        <v>-1</v>
      </c>
      <c r="O5895" s="0" t="n">
        <f aca="false">E5895*G5895</f>
        <v>0.5</v>
      </c>
      <c r="P5895" s="0" t="n">
        <f aca="false">E5895*H5895</f>
        <v>0</v>
      </c>
      <c r="Q5895" s="0" t="n">
        <f aca="false">F5895*G5895</f>
        <v>-0.5</v>
      </c>
      <c r="R5895" s="0" t="n">
        <f aca="false">F5895*H5895</f>
        <v>-0</v>
      </c>
      <c r="S5895" s="0" t="n">
        <f aca="false">G5895*H5895</f>
        <v>0</v>
      </c>
      <c r="T5895" s="0" t="n">
        <f aca="false">E5895*E5895</f>
        <v>1</v>
      </c>
      <c r="U5895" s="0" t="n">
        <f aca="false">F5895*F5895</f>
        <v>1</v>
      </c>
      <c r="V5895" s="0" t="n">
        <f aca="false">G5895*G5895</f>
        <v>0.25</v>
      </c>
      <c r="W5895" s="0" t="n">
        <f aca="false">H5895*H5895</f>
        <v>0</v>
      </c>
      <c r="X5895" s="0" t="n">
        <f aca="false">SUMPRODUCT(I5895:W5895,_XtX!$B$96:$P$96)</f>
        <v>41.3688961988304</v>
      </c>
      <c r="Y5895" s="0" t="n">
        <f aca="false">SUMPRODUCT(MMULT(I5895:W5895,_XtX!$B$78:$P$92),I5895:W5895)</f>
        <v>0.650767543859649</v>
      </c>
      <c r="Z5895" s="0" t="n">
        <f aca="false">04_回帰ANOVA!$K$19*04_回帰ANOVA!$K$14*SQRT(1+Y5895)</f>
        <v>1.67471670935165</v>
      </c>
      <c r="AA5895" s="0" t="n">
        <f aca="false">X5895-Z5895</f>
        <v>39.6941794894788</v>
      </c>
      <c r="AB5895" s="0" t="n">
        <f aca="false">X5895+Z5895</f>
        <v>43.0436129081821</v>
      </c>
      <c r="AC5895" s="54" t="b">
        <f aca="false">AND(E5895&gt;=01_因子設定!$L$5-0.000000001,E5895&lt;=01_因子設定!$M$5+0.000000001,F5895&gt;=01_因子設定!$L$6-0.000000001,F5895&lt;=01_因子設定!$M$6+0.000000001,G5895&gt;=01_因子設定!$L$7-0.000000001,G5895&lt;=01_因子設定!$M$7+0.000000001,H5895&gt;=01_因子設定!$L$8-0.000000001,H5895&lt;=01_因子設定!$M$8+0.000000001,IF(01_因子設定!$B$20="Box-Behnken",E5895^2+F5895^2+G5895^2+H5895^2&lt;=2+0.000000001,TRUE()))</f>
        <v>1</v>
      </c>
      <c r="AD5895" s="55" t="n">
        <f aca="false">IF(AC5895,IF(01_因子設定!$B$13="最大化",AA5895-01_因子設定!$B$14,IF(01_因子設定!$B$13="最小化",01_因子設定!$B$15-AB5895,MIN(AA5895-01_因子設定!$B$14,01_因子設定!$B$15-AB5895))),-1E+030)</f>
        <v>-6.80582051052122</v>
      </c>
      <c r="AE5895" s="55" t="n">
        <f aca="false">IF(AC5895,IF(01_因子設定!$B$13="最大化",X5895,IF(01_因子設定!$B$13="最小化",-X5895,-ABS(X5895-01_因子設定!$B$16))),-1E+030)</f>
        <v>41.3688961988304</v>
      </c>
      <c r="AF5895" s="55" t="n">
        <f aca="false">AD5895+ROW()*0.000000001</f>
        <v>-6.80581461552122</v>
      </c>
      <c r="AG5895" s="55" t="n">
        <f aca="false">AE5895+ROW()*0.000000001</f>
        <v>41.3689020938304</v>
      </c>
    </row>
    <row r="5896" customFormat="false" ht="15" hidden="false" customHeight="false" outlineLevel="0" collapsed="false">
      <c r="A5896" s="0" t="n">
        <v>8</v>
      </c>
      <c r="B5896" s="0" t="n">
        <v>0</v>
      </c>
      <c r="C5896" s="0" t="n">
        <v>6</v>
      </c>
      <c r="D5896" s="0" t="n">
        <v>5</v>
      </c>
      <c r="E5896" s="0" t="n">
        <f aca="false">-1+A5896*0.25</f>
        <v>1</v>
      </c>
      <c r="F5896" s="0" t="n">
        <f aca="false">-1+B5896*0.25</f>
        <v>-1</v>
      </c>
      <c r="G5896" s="0" t="n">
        <f aca="false">-1+C5896*0.25</f>
        <v>0.5</v>
      </c>
      <c r="H5896" s="0" t="n">
        <f aca="false">-1+D5896*0.25</f>
        <v>0.25</v>
      </c>
      <c r="I5896" s="0" t="n">
        <f aca="false">1</f>
        <v>1</v>
      </c>
      <c r="J5896" s="0" t="n">
        <f aca="false">E5896</f>
        <v>1</v>
      </c>
      <c r="K5896" s="0" t="n">
        <f aca="false">F5896</f>
        <v>-1</v>
      </c>
      <c r="L5896" s="0" t="n">
        <f aca="false">G5896</f>
        <v>0.5</v>
      </c>
      <c r="M5896" s="0" t="n">
        <f aca="false">H5896</f>
        <v>0.25</v>
      </c>
      <c r="N5896" s="0" t="n">
        <f aca="false">E5896*F5896</f>
        <v>-1</v>
      </c>
      <c r="O5896" s="0" t="n">
        <f aca="false">E5896*G5896</f>
        <v>0.5</v>
      </c>
      <c r="P5896" s="0" t="n">
        <f aca="false">E5896*H5896</f>
        <v>0.25</v>
      </c>
      <c r="Q5896" s="0" t="n">
        <f aca="false">F5896*G5896</f>
        <v>-0.5</v>
      </c>
      <c r="R5896" s="0" t="n">
        <f aca="false">F5896*H5896</f>
        <v>-0.25</v>
      </c>
      <c r="S5896" s="0" t="n">
        <f aca="false">G5896*H5896</f>
        <v>0.125</v>
      </c>
      <c r="T5896" s="0" t="n">
        <f aca="false">E5896*E5896</f>
        <v>1</v>
      </c>
      <c r="U5896" s="0" t="n">
        <f aca="false">F5896*F5896</f>
        <v>1</v>
      </c>
      <c r="V5896" s="0" t="n">
        <f aca="false">G5896*G5896</f>
        <v>0.25</v>
      </c>
      <c r="W5896" s="0" t="n">
        <f aca="false">H5896*H5896</f>
        <v>0.0625</v>
      </c>
      <c r="X5896" s="0" t="n">
        <f aca="false">SUMPRODUCT(I5896:W5896,_XtX!$B$96:$P$96)</f>
        <v>41.5666940789474</v>
      </c>
      <c r="Y5896" s="0" t="n">
        <f aca="false">SUMPRODUCT(MMULT(I5896:W5896,_XtX!$B$78:$P$92),I5896:W5896)</f>
        <v>0.629174661915205</v>
      </c>
      <c r="Z5896" s="0" t="n">
        <f aca="false">04_回帰ANOVA!$K$19*04_回帰ANOVA!$K$14*SQRT(1+Y5896)</f>
        <v>1.66372758058297</v>
      </c>
      <c r="AA5896" s="0" t="n">
        <f aca="false">X5896-Z5896</f>
        <v>39.9029664983644</v>
      </c>
      <c r="AB5896" s="0" t="n">
        <f aca="false">X5896+Z5896</f>
        <v>43.2304216595304</v>
      </c>
      <c r="AC5896" s="54" t="b">
        <f aca="false">AND(E5896&gt;=01_因子設定!$L$5-0.000000001,E5896&lt;=01_因子設定!$M$5+0.000000001,F5896&gt;=01_因子設定!$L$6-0.000000001,F5896&lt;=01_因子設定!$M$6+0.000000001,G5896&gt;=01_因子設定!$L$7-0.000000001,G5896&lt;=01_因子設定!$M$7+0.000000001,H5896&gt;=01_因子設定!$L$8-0.000000001,H5896&lt;=01_因子設定!$M$8+0.000000001,IF(01_因子設定!$B$20="Box-Behnken",E5896^2+F5896^2+G5896^2+H5896^2&lt;=2+0.000000001,TRUE()))</f>
        <v>1</v>
      </c>
      <c r="AD5896" s="55" t="n">
        <f aca="false">IF(AC5896,IF(01_因子設定!$B$13="最大化",AA5896-01_因子設定!$B$14,IF(01_因子設定!$B$13="最小化",01_因子設定!$B$15-AB5896,MIN(AA5896-01_因子設定!$B$14,01_因子設定!$B$15-AB5896))),-1E+030)</f>
        <v>-6.59703350163558</v>
      </c>
      <c r="AE5896" s="55" t="n">
        <f aca="false">IF(AC5896,IF(01_因子設定!$B$13="最大化",X5896,IF(01_因子設定!$B$13="最小化",-X5896,-ABS(X5896-01_因子設定!$B$16))),-1E+030)</f>
        <v>41.5666940789474</v>
      </c>
      <c r="AF5896" s="55" t="n">
        <f aca="false">AD5896+ROW()*0.000000001</f>
        <v>-6.59702760563558</v>
      </c>
      <c r="AG5896" s="55" t="n">
        <f aca="false">AE5896+ROW()*0.000000001</f>
        <v>41.5666999749474</v>
      </c>
    </row>
    <row r="5897" customFormat="false" ht="15" hidden="false" customHeight="false" outlineLevel="0" collapsed="false">
      <c r="A5897" s="0" t="n">
        <v>8</v>
      </c>
      <c r="B5897" s="0" t="n">
        <v>0</v>
      </c>
      <c r="C5897" s="0" t="n">
        <v>6</v>
      </c>
      <c r="D5897" s="0" t="n">
        <v>6</v>
      </c>
      <c r="E5897" s="0" t="n">
        <f aca="false">-1+A5897*0.25</f>
        <v>1</v>
      </c>
      <c r="F5897" s="0" t="n">
        <f aca="false">-1+B5897*0.25</f>
        <v>-1</v>
      </c>
      <c r="G5897" s="0" t="n">
        <f aca="false">-1+C5897*0.25</f>
        <v>0.5</v>
      </c>
      <c r="H5897" s="0" t="n">
        <f aca="false">-1+D5897*0.25</f>
        <v>0.5</v>
      </c>
      <c r="I5897" s="0" t="n">
        <f aca="false">1</f>
        <v>1</v>
      </c>
      <c r="J5897" s="0" t="n">
        <f aca="false">E5897</f>
        <v>1</v>
      </c>
      <c r="K5897" s="0" t="n">
        <f aca="false">F5897</f>
        <v>-1</v>
      </c>
      <c r="L5897" s="0" t="n">
        <f aca="false">G5897</f>
        <v>0.5</v>
      </c>
      <c r="M5897" s="0" t="n">
        <f aca="false">H5897</f>
        <v>0.5</v>
      </c>
      <c r="N5897" s="0" t="n">
        <f aca="false">E5897*F5897</f>
        <v>-1</v>
      </c>
      <c r="O5897" s="0" t="n">
        <f aca="false">E5897*G5897</f>
        <v>0.5</v>
      </c>
      <c r="P5897" s="0" t="n">
        <f aca="false">E5897*H5897</f>
        <v>0.5</v>
      </c>
      <c r="Q5897" s="0" t="n">
        <f aca="false">F5897*G5897</f>
        <v>-0.5</v>
      </c>
      <c r="R5897" s="0" t="n">
        <f aca="false">F5897*H5897</f>
        <v>-0.5</v>
      </c>
      <c r="S5897" s="0" t="n">
        <f aca="false">G5897*H5897</f>
        <v>0.25</v>
      </c>
      <c r="T5897" s="0" t="n">
        <f aca="false">E5897*E5897</f>
        <v>1</v>
      </c>
      <c r="U5897" s="0" t="n">
        <f aca="false">F5897*F5897</f>
        <v>1</v>
      </c>
      <c r="V5897" s="0" t="n">
        <f aca="false">G5897*G5897</f>
        <v>0.25</v>
      </c>
      <c r="W5897" s="0" t="n">
        <f aca="false">H5897*H5897</f>
        <v>0.25</v>
      </c>
      <c r="X5897" s="0" t="n">
        <f aca="false">SUMPRODUCT(I5897:W5897,_XtX!$B$96:$P$96)</f>
        <v>41.7166849415205</v>
      </c>
      <c r="Y5897" s="0" t="n">
        <f aca="false">SUMPRODUCT(MMULT(I5897:W5897,_XtX!$B$78:$P$92),I5897:W5897)</f>
        <v>0.582488121345029</v>
      </c>
      <c r="Z5897" s="0" t="n">
        <f aca="false">04_回帰ANOVA!$K$19*04_回帰ANOVA!$K$14*SQRT(1+Y5897)</f>
        <v>1.63971595338287</v>
      </c>
      <c r="AA5897" s="0" t="n">
        <f aca="false">X5897-Z5897</f>
        <v>40.0769689881376</v>
      </c>
      <c r="AB5897" s="0" t="n">
        <f aca="false">X5897+Z5897</f>
        <v>43.3564008949034</v>
      </c>
      <c r="AC5897" s="54" t="b">
        <f aca="false">AND(E5897&gt;=01_因子設定!$L$5-0.000000001,E5897&lt;=01_因子設定!$M$5+0.000000001,F5897&gt;=01_因子設定!$L$6-0.000000001,F5897&lt;=01_因子設定!$M$6+0.000000001,G5897&gt;=01_因子設定!$L$7-0.000000001,G5897&lt;=01_因子設定!$M$7+0.000000001,H5897&gt;=01_因子設定!$L$8-0.000000001,H5897&lt;=01_因子設定!$M$8+0.000000001,IF(01_因子設定!$B$20="Box-Behnken",E5897^2+F5897^2+G5897^2+H5897^2&lt;=2+0.000000001,TRUE()))</f>
        <v>1</v>
      </c>
      <c r="AD5897" s="55" t="n">
        <f aca="false">IF(AC5897,IF(01_因子設定!$B$13="最大化",AA5897-01_因子設定!$B$14,IF(01_因子設定!$B$13="最小化",01_因子設定!$B$15-AB5897,MIN(AA5897-01_因子設定!$B$14,01_因子設定!$B$15-AB5897))),-1E+030)</f>
        <v>-6.42303101186237</v>
      </c>
      <c r="AE5897" s="55" t="n">
        <f aca="false">IF(AC5897,IF(01_因子設定!$B$13="最大化",X5897,IF(01_因子設定!$B$13="最小化",-X5897,-ABS(X5897-01_因子設定!$B$16))),-1E+030)</f>
        <v>41.7166849415205</v>
      </c>
      <c r="AF5897" s="55" t="n">
        <f aca="false">AD5897+ROW()*0.000000001</f>
        <v>-6.42302511486237</v>
      </c>
      <c r="AG5897" s="55" t="n">
        <f aca="false">AE5897+ROW()*0.000000001</f>
        <v>41.7166908385205</v>
      </c>
    </row>
    <row r="5898" customFormat="false" ht="15" hidden="false" customHeight="false" outlineLevel="0" collapsed="false">
      <c r="A5898" s="0" t="n">
        <v>8</v>
      </c>
      <c r="B5898" s="0" t="n">
        <v>0</v>
      </c>
      <c r="C5898" s="0" t="n">
        <v>6</v>
      </c>
      <c r="D5898" s="0" t="n">
        <v>7</v>
      </c>
      <c r="E5898" s="0" t="n">
        <f aca="false">-1+A5898*0.25</f>
        <v>1</v>
      </c>
      <c r="F5898" s="0" t="n">
        <f aca="false">-1+B5898*0.25</f>
        <v>-1</v>
      </c>
      <c r="G5898" s="0" t="n">
        <f aca="false">-1+C5898*0.25</f>
        <v>0.5</v>
      </c>
      <c r="H5898" s="0" t="n">
        <f aca="false">-1+D5898*0.25</f>
        <v>0.75</v>
      </c>
      <c r="I5898" s="0" t="n">
        <f aca="false">1</f>
        <v>1</v>
      </c>
      <c r="J5898" s="0" t="n">
        <f aca="false">E5898</f>
        <v>1</v>
      </c>
      <c r="K5898" s="0" t="n">
        <f aca="false">F5898</f>
        <v>-1</v>
      </c>
      <c r="L5898" s="0" t="n">
        <f aca="false">G5898</f>
        <v>0.5</v>
      </c>
      <c r="M5898" s="0" t="n">
        <f aca="false">H5898</f>
        <v>0.75</v>
      </c>
      <c r="N5898" s="0" t="n">
        <f aca="false">E5898*F5898</f>
        <v>-1</v>
      </c>
      <c r="O5898" s="0" t="n">
        <f aca="false">E5898*G5898</f>
        <v>0.5</v>
      </c>
      <c r="P5898" s="0" t="n">
        <f aca="false">E5898*H5898</f>
        <v>0.75</v>
      </c>
      <c r="Q5898" s="0" t="n">
        <f aca="false">F5898*G5898</f>
        <v>-0.5</v>
      </c>
      <c r="R5898" s="0" t="n">
        <f aca="false">F5898*H5898</f>
        <v>-0.75</v>
      </c>
      <c r="S5898" s="0" t="n">
        <f aca="false">G5898*H5898</f>
        <v>0.375</v>
      </c>
      <c r="T5898" s="0" t="n">
        <f aca="false">E5898*E5898</f>
        <v>1</v>
      </c>
      <c r="U5898" s="0" t="n">
        <f aca="false">F5898*F5898</f>
        <v>1</v>
      </c>
      <c r="V5898" s="0" t="n">
        <f aca="false">G5898*G5898</f>
        <v>0.25</v>
      </c>
      <c r="W5898" s="0" t="n">
        <f aca="false">H5898*H5898</f>
        <v>0.5625</v>
      </c>
      <c r="X5898" s="0" t="n">
        <f aca="false">SUMPRODUCT(I5898:W5898,_XtX!$B$96:$P$96)</f>
        <v>41.8188687865498</v>
      </c>
      <c r="Y5898" s="0" t="n">
        <f aca="false">SUMPRODUCT(MMULT(I5898:W5898,_XtX!$B$78:$P$92),I5898:W5898)</f>
        <v>0.564984237938597</v>
      </c>
      <c r="Z5898" s="0" t="n">
        <f aca="false">04_回帰ANOVA!$K$19*04_回帰ANOVA!$K$14*SQRT(1+Y5898)</f>
        <v>1.63062229734503</v>
      </c>
      <c r="AA5898" s="0" t="n">
        <f aca="false">X5898-Z5898</f>
        <v>40.1882464892047</v>
      </c>
      <c r="AB5898" s="0" t="n">
        <f aca="false">X5898+Z5898</f>
        <v>43.4494910838948</v>
      </c>
      <c r="AC5898" s="54" t="b">
        <f aca="false">AND(E5898&gt;=01_因子設定!$L$5-0.000000001,E5898&lt;=01_因子設定!$M$5+0.000000001,F5898&gt;=01_因子設定!$L$6-0.000000001,F5898&lt;=01_因子設定!$M$6+0.000000001,G5898&gt;=01_因子設定!$L$7-0.000000001,G5898&lt;=01_因子設定!$M$7+0.000000001,H5898&gt;=01_因子設定!$L$8-0.000000001,H5898&lt;=01_因子設定!$M$8+0.000000001,IF(01_因子設定!$B$20="Box-Behnken",E5898^2+F5898^2+G5898^2+H5898^2&lt;=2+0.000000001,TRUE()))</f>
        <v>1</v>
      </c>
      <c r="AD5898" s="55" t="n">
        <f aca="false">IF(AC5898,IF(01_因子設定!$B$13="最大化",AA5898-01_因子設定!$B$14,IF(01_因子設定!$B$13="最小化",01_因子設定!$B$15-AB5898,MIN(AA5898-01_因子設定!$B$14,01_因子設定!$B$15-AB5898))),-1E+030)</f>
        <v>-6.31175351079529</v>
      </c>
      <c r="AE5898" s="55" t="n">
        <f aca="false">IF(AC5898,IF(01_因子設定!$B$13="最大化",X5898,IF(01_因子設定!$B$13="最小化",-X5898,-ABS(X5898-01_因子設定!$B$16))),-1E+030)</f>
        <v>41.8188687865498</v>
      </c>
      <c r="AF5898" s="55" t="n">
        <f aca="false">AD5898+ROW()*0.000000001</f>
        <v>-6.31174761279528</v>
      </c>
      <c r="AG5898" s="55" t="n">
        <f aca="false">AE5898+ROW()*0.000000001</f>
        <v>41.8188746845498</v>
      </c>
    </row>
    <row r="5899" customFormat="false" ht="15" hidden="false" customHeight="false" outlineLevel="0" collapsed="false">
      <c r="A5899" s="0" t="n">
        <v>8</v>
      </c>
      <c r="B5899" s="0" t="n">
        <v>0</v>
      </c>
      <c r="C5899" s="0" t="n">
        <v>6</v>
      </c>
      <c r="D5899" s="0" t="n">
        <v>8</v>
      </c>
      <c r="E5899" s="0" t="n">
        <f aca="false">-1+A5899*0.25</f>
        <v>1</v>
      </c>
      <c r="F5899" s="0" t="n">
        <f aca="false">-1+B5899*0.25</f>
        <v>-1</v>
      </c>
      <c r="G5899" s="0" t="n">
        <f aca="false">-1+C5899*0.25</f>
        <v>0.5</v>
      </c>
      <c r="H5899" s="0" t="n">
        <f aca="false">-1+D5899*0.25</f>
        <v>1</v>
      </c>
      <c r="I5899" s="0" t="n">
        <f aca="false">1</f>
        <v>1</v>
      </c>
      <c r="J5899" s="0" t="n">
        <f aca="false">E5899</f>
        <v>1</v>
      </c>
      <c r="K5899" s="0" t="n">
        <f aca="false">F5899</f>
        <v>-1</v>
      </c>
      <c r="L5899" s="0" t="n">
        <f aca="false">G5899</f>
        <v>0.5</v>
      </c>
      <c r="M5899" s="0" t="n">
        <f aca="false">H5899</f>
        <v>1</v>
      </c>
      <c r="N5899" s="0" t="n">
        <f aca="false">E5899*F5899</f>
        <v>-1</v>
      </c>
      <c r="O5899" s="0" t="n">
        <f aca="false">E5899*G5899</f>
        <v>0.5</v>
      </c>
      <c r="P5899" s="0" t="n">
        <f aca="false">E5899*H5899</f>
        <v>1</v>
      </c>
      <c r="Q5899" s="0" t="n">
        <f aca="false">F5899*G5899</f>
        <v>-0.5</v>
      </c>
      <c r="R5899" s="0" t="n">
        <f aca="false">F5899*H5899</f>
        <v>-1</v>
      </c>
      <c r="S5899" s="0" t="n">
        <f aca="false">G5899*H5899</f>
        <v>0.5</v>
      </c>
      <c r="T5899" s="0" t="n">
        <f aca="false">E5899*E5899</f>
        <v>1</v>
      </c>
      <c r="U5899" s="0" t="n">
        <f aca="false">F5899*F5899</f>
        <v>1</v>
      </c>
      <c r="V5899" s="0" t="n">
        <f aca="false">G5899*G5899</f>
        <v>0.25</v>
      </c>
      <c r="W5899" s="0" t="n">
        <f aca="false">H5899*H5899</f>
        <v>1</v>
      </c>
      <c r="X5899" s="0" t="n">
        <f aca="false">SUMPRODUCT(I5899:W5899,_XtX!$B$96:$P$96)</f>
        <v>41.8732456140352</v>
      </c>
      <c r="Y5899" s="0" t="n">
        <f aca="false">SUMPRODUCT(MMULT(I5899:W5899,_XtX!$B$78:$P$92),I5899:W5899)</f>
        <v>0.667123538011696</v>
      </c>
      <c r="Z5899" s="0" t="n">
        <f aca="false">04_回帰ANOVA!$K$19*04_回帰ANOVA!$K$14*SQRT(1+Y5899)</f>
        <v>1.68299290213005</v>
      </c>
      <c r="AA5899" s="0" t="n">
        <f aca="false">X5899-Z5899</f>
        <v>40.1902527119051</v>
      </c>
      <c r="AB5899" s="0" t="n">
        <f aca="false">X5899+Z5899</f>
        <v>43.5562385161652</v>
      </c>
      <c r="AC5899" s="54" t="b">
        <f aca="false">AND(E5899&gt;=01_因子設定!$L$5-0.000000001,E5899&lt;=01_因子設定!$M$5+0.000000001,F5899&gt;=01_因子設定!$L$6-0.000000001,F5899&lt;=01_因子設定!$M$6+0.000000001,G5899&gt;=01_因子設定!$L$7-0.000000001,G5899&lt;=01_因子設定!$M$7+0.000000001,H5899&gt;=01_因子設定!$L$8-0.000000001,H5899&lt;=01_因子設定!$M$8+0.000000001,IF(01_因子設定!$B$20="Box-Behnken",E5899^2+F5899^2+G5899^2+H5899^2&lt;=2+0.000000001,TRUE()))</f>
        <v>1</v>
      </c>
      <c r="AD5899" s="55" t="n">
        <f aca="false">IF(AC5899,IF(01_因子設定!$B$13="最大化",AA5899-01_因子設定!$B$14,IF(01_因子設定!$B$13="最小化",01_因子設定!$B$15-AB5899,MIN(AA5899-01_因子設定!$B$14,01_因子設定!$B$15-AB5899))),-1E+030)</f>
        <v>-6.3097472880949</v>
      </c>
      <c r="AE5899" s="55" t="n">
        <f aca="false">IF(AC5899,IF(01_因子設定!$B$13="最大化",X5899,IF(01_因子設定!$B$13="最小化",-X5899,-ABS(X5899-01_因子設定!$B$16))),-1E+030)</f>
        <v>41.8732456140352</v>
      </c>
      <c r="AF5899" s="55" t="n">
        <f aca="false">AD5899+ROW()*0.000000001</f>
        <v>-6.30974138909491</v>
      </c>
      <c r="AG5899" s="55" t="n">
        <f aca="false">AE5899+ROW()*0.000000001</f>
        <v>41.8732515130352</v>
      </c>
    </row>
    <row r="5900" customFormat="false" ht="15" hidden="false" customHeight="false" outlineLevel="0" collapsed="false">
      <c r="A5900" s="0" t="n">
        <v>8</v>
      </c>
      <c r="B5900" s="0" t="n">
        <v>0</v>
      </c>
      <c r="C5900" s="0" t="n">
        <v>7</v>
      </c>
      <c r="D5900" s="0" t="n">
        <v>0</v>
      </c>
      <c r="E5900" s="0" t="n">
        <f aca="false">-1+A5900*0.25</f>
        <v>1</v>
      </c>
      <c r="F5900" s="0" t="n">
        <f aca="false">-1+B5900*0.25</f>
        <v>-1</v>
      </c>
      <c r="G5900" s="0" t="n">
        <f aca="false">-1+C5900*0.25</f>
        <v>0.75</v>
      </c>
      <c r="H5900" s="0" t="n">
        <f aca="false">-1+D5900*0.25</f>
        <v>-1</v>
      </c>
      <c r="I5900" s="0" t="n">
        <f aca="false">1</f>
        <v>1</v>
      </c>
      <c r="J5900" s="0" t="n">
        <f aca="false">E5900</f>
        <v>1</v>
      </c>
      <c r="K5900" s="0" t="n">
        <f aca="false">F5900</f>
        <v>-1</v>
      </c>
      <c r="L5900" s="0" t="n">
        <f aca="false">G5900</f>
        <v>0.75</v>
      </c>
      <c r="M5900" s="0" t="n">
        <f aca="false">H5900</f>
        <v>-1</v>
      </c>
      <c r="N5900" s="0" t="n">
        <f aca="false">E5900*F5900</f>
        <v>-1</v>
      </c>
      <c r="O5900" s="0" t="n">
        <f aca="false">E5900*G5900</f>
        <v>0.75</v>
      </c>
      <c r="P5900" s="0" t="n">
        <f aca="false">E5900*H5900</f>
        <v>-1</v>
      </c>
      <c r="Q5900" s="0" t="n">
        <f aca="false">F5900*G5900</f>
        <v>-0.75</v>
      </c>
      <c r="R5900" s="0" t="n">
        <f aca="false">F5900*H5900</f>
        <v>1</v>
      </c>
      <c r="S5900" s="0" t="n">
        <f aca="false">G5900*H5900</f>
        <v>-0.75</v>
      </c>
      <c r="T5900" s="0" t="n">
        <f aca="false">E5900*E5900</f>
        <v>1</v>
      </c>
      <c r="U5900" s="0" t="n">
        <f aca="false">F5900*F5900</f>
        <v>1</v>
      </c>
      <c r="V5900" s="0" t="n">
        <f aca="false">G5900*G5900</f>
        <v>0.5625</v>
      </c>
      <c r="W5900" s="0" t="n">
        <f aca="false">H5900*H5900</f>
        <v>1</v>
      </c>
      <c r="X5900" s="0" t="n">
        <f aca="false">SUMPRODUCT(I5900:W5900,_XtX!$B$96:$P$96)</f>
        <v>39.8197002923977</v>
      </c>
      <c r="Y5900" s="0" t="n">
        <f aca="false">SUMPRODUCT(MMULT(I5900:W5900,_XtX!$B$78:$P$92),I5900:W5900)</f>
        <v>0.610814144736842</v>
      </c>
      <c r="Z5900" s="0" t="n">
        <f aca="false">04_回帰ANOVA!$K$19*04_回帰ANOVA!$K$14*SQRT(1+Y5900)</f>
        <v>1.6543260558361</v>
      </c>
      <c r="AA5900" s="0" t="n">
        <f aca="false">X5900-Z5900</f>
        <v>38.1653742365616</v>
      </c>
      <c r="AB5900" s="0" t="n">
        <f aca="false">X5900+Z5900</f>
        <v>41.4740263482338</v>
      </c>
      <c r="AC5900" s="54" t="b">
        <f aca="false">AND(E5900&gt;=01_因子設定!$L$5-0.000000001,E5900&lt;=01_因子設定!$M$5+0.000000001,F5900&gt;=01_因子設定!$L$6-0.000000001,F5900&lt;=01_因子設定!$M$6+0.000000001,G5900&gt;=01_因子設定!$L$7-0.000000001,G5900&lt;=01_因子設定!$M$7+0.000000001,H5900&gt;=01_因子設定!$L$8-0.000000001,H5900&lt;=01_因子設定!$M$8+0.000000001,IF(01_因子設定!$B$20="Box-Behnken",E5900^2+F5900^2+G5900^2+H5900^2&lt;=2+0.000000001,TRUE()))</f>
        <v>1</v>
      </c>
      <c r="AD5900" s="55" t="n">
        <f aca="false">IF(AC5900,IF(01_因子設定!$B$13="最大化",AA5900-01_因子設定!$B$14,IF(01_因子設定!$B$13="最小化",01_因子設定!$B$15-AB5900,MIN(AA5900-01_因子設定!$B$14,01_因子設定!$B$15-AB5900))),-1E+030)</f>
        <v>-8.33462576343837</v>
      </c>
      <c r="AE5900" s="55" t="n">
        <f aca="false">IF(AC5900,IF(01_因子設定!$B$13="最大化",X5900,IF(01_因子設定!$B$13="最小化",-X5900,-ABS(X5900-01_因子設定!$B$16))),-1E+030)</f>
        <v>39.8197002923977</v>
      </c>
      <c r="AF5900" s="55" t="n">
        <f aca="false">AD5900+ROW()*0.000000001</f>
        <v>-8.33461986343837</v>
      </c>
      <c r="AG5900" s="55" t="n">
        <f aca="false">AE5900+ROW()*0.000000001</f>
        <v>39.8197061923977</v>
      </c>
    </row>
    <row r="5901" customFormat="false" ht="15" hidden="false" customHeight="false" outlineLevel="0" collapsed="false">
      <c r="A5901" s="0" t="n">
        <v>8</v>
      </c>
      <c r="B5901" s="0" t="n">
        <v>0</v>
      </c>
      <c r="C5901" s="0" t="n">
        <v>7</v>
      </c>
      <c r="D5901" s="0" t="n">
        <v>1</v>
      </c>
      <c r="E5901" s="0" t="n">
        <f aca="false">-1+A5901*0.25</f>
        <v>1</v>
      </c>
      <c r="F5901" s="0" t="n">
        <f aca="false">-1+B5901*0.25</f>
        <v>-1</v>
      </c>
      <c r="G5901" s="0" t="n">
        <f aca="false">-1+C5901*0.25</f>
        <v>0.75</v>
      </c>
      <c r="H5901" s="0" t="n">
        <f aca="false">-1+D5901*0.25</f>
        <v>-0.75</v>
      </c>
      <c r="I5901" s="0" t="n">
        <f aca="false">1</f>
        <v>1</v>
      </c>
      <c r="J5901" s="0" t="n">
        <f aca="false">E5901</f>
        <v>1</v>
      </c>
      <c r="K5901" s="0" t="n">
        <f aca="false">F5901</f>
        <v>-1</v>
      </c>
      <c r="L5901" s="0" t="n">
        <f aca="false">G5901</f>
        <v>0.75</v>
      </c>
      <c r="M5901" s="0" t="n">
        <f aca="false">H5901</f>
        <v>-0.75</v>
      </c>
      <c r="N5901" s="0" t="n">
        <f aca="false">E5901*F5901</f>
        <v>-1</v>
      </c>
      <c r="O5901" s="0" t="n">
        <f aca="false">E5901*G5901</f>
        <v>0.75</v>
      </c>
      <c r="P5901" s="0" t="n">
        <f aca="false">E5901*H5901</f>
        <v>-0.75</v>
      </c>
      <c r="Q5901" s="0" t="n">
        <f aca="false">F5901*G5901</f>
        <v>-0.75</v>
      </c>
      <c r="R5901" s="0" t="n">
        <f aca="false">F5901*H5901</f>
        <v>0.75</v>
      </c>
      <c r="S5901" s="0" t="n">
        <f aca="false">G5901*H5901</f>
        <v>-0.5625</v>
      </c>
      <c r="T5901" s="0" t="n">
        <f aca="false">E5901*E5901</f>
        <v>1</v>
      </c>
      <c r="U5901" s="0" t="n">
        <f aca="false">F5901*F5901</f>
        <v>1</v>
      </c>
      <c r="V5901" s="0" t="n">
        <f aca="false">G5901*G5901</f>
        <v>0.5625</v>
      </c>
      <c r="W5901" s="0" t="n">
        <f aca="false">H5901*H5901</f>
        <v>0.5625</v>
      </c>
      <c r="X5901" s="0" t="n">
        <f aca="false">SUMPRODUCT(I5901:W5901,_XtX!$B$96:$P$96)</f>
        <v>40.2266949926901</v>
      </c>
      <c r="Y5901" s="0" t="n">
        <f aca="false">SUMPRODUCT(MMULT(I5901:W5901,_XtX!$B$78:$P$92),I5901:W5901)</f>
        <v>0.531311392086988</v>
      </c>
      <c r="Z5901" s="0" t="n">
        <f aca="false">04_回帰ANOVA!$K$19*04_回帰ANOVA!$K$14*SQRT(1+Y5901)</f>
        <v>1.61298433431428</v>
      </c>
      <c r="AA5901" s="0" t="n">
        <f aca="false">X5901-Z5901</f>
        <v>38.6137106583758</v>
      </c>
      <c r="AB5901" s="0" t="n">
        <f aca="false">X5901+Z5901</f>
        <v>41.8396793270044</v>
      </c>
      <c r="AC5901" s="54" t="b">
        <f aca="false">AND(E5901&gt;=01_因子設定!$L$5-0.000000001,E5901&lt;=01_因子設定!$M$5+0.000000001,F5901&gt;=01_因子設定!$L$6-0.000000001,F5901&lt;=01_因子設定!$M$6+0.000000001,G5901&gt;=01_因子設定!$L$7-0.000000001,G5901&lt;=01_因子設定!$M$7+0.000000001,H5901&gt;=01_因子設定!$L$8-0.000000001,H5901&lt;=01_因子設定!$M$8+0.000000001,IF(01_因子設定!$B$20="Box-Behnken",E5901^2+F5901^2+G5901^2+H5901^2&lt;=2+0.000000001,TRUE()))</f>
        <v>1</v>
      </c>
      <c r="AD5901" s="55" t="n">
        <f aca="false">IF(AC5901,IF(01_因子設定!$B$13="最大化",AA5901-01_因子設定!$B$14,IF(01_因子設定!$B$13="最小化",01_因子設定!$B$15-AB5901,MIN(AA5901-01_因子設定!$B$14,01_因子設定!$B$15-AB5901))),-1E+030)</f>
        <v>-7.88628934162418</v>
      </c>
      <c r="AE5901" s="55" t="n">
        <f aca="false">IF(AC5901,IF(01_因子設定!$B$13="最大化",X5901,IF(01_因子設定!$B$13="最小化",-X5901,-ABS(X5901-01_因子設定!$B$16))),-1E+030)</f>
        <v>40.2266949926901</v>
      </c>
      <c r="AF5901" s="55" t="n">
        <f aca="false">AD5901+ROW()*0.000000001</f>
        <v>-7.88628344062418</v>
      </c>
      <c r="AG5901" s="55" t="n">
        <f aca="false">AE5901+ROW()*0.000000001</f>
        <v>40.2267008936901</v>
      </c>
    </row>
    <row r="5902" customFormat="false" ht="15" hidden="false" customHeight="false" outlineLevel="0" collapsed="false">
      <c r="A5902" s="0" t="n">
        <v>8</v>
      </c>
      <c r="B5902" s="0" t="n">
        <v>0</v>
      </c>
      <c r="C5902" s="0" t="n">
        <v>7</v>
      </c>
      <c r="D5902" s="0" t="n">
        <v>2</v>
      </c>
      <c r="E5902" s="0" t="n">
        <f aca="false">-1+A5902*0.25</f>
        <v>1</v>
      </c>
      <c r="F5902" s="0" t="n">
        <f aca="false">-1+B5902*0.25</f>
        <v>-1</v>
      </c>
      <c r="G5902" s="0" t="n">
        <f aca="false">-1+C5902*0.25</f>
        <v>0.75</v>
      </c>
      <c r="H5902" s="0" t="n">
        <f aca="false">-1+D5902*0.25</f>
        <v>-0.5</v>
      </c>
      <c r="I5902" s="0" t="n">
        <f aca="false">1</f>
        <v>1</v>
      </c>
      <c r="J5902" s="0" t="n">
        <f aca="false">E5902</f>
        <v>1</v>
      </c>
      <c r="K5902" s="0" t="n">
        <f aca="false">F5902</f>
        <v>-1</v>
      </c>
      <c r="L5902" s="0" t="n">
        <f aca="false">G5902</f>
        <v>0.75</v>
      </c>
      <c r="M5902" s="0" t="n">
        <f aca="false">H5902</f>
        <v>-0.5</v>
      </c>
      <c r="N5902" s="0" t="n">
        <f aca="false">E5902*F5902</f>
        <v>-1</v>
      </c>
      <c r="O5902" s="0" t="n">
        <f aca="false">E5902*G5902</f>
        <v>0.75</v>
      </c>
      <c r="P5902" s="0" t="n">
        <f aca="false">E5902*H5902</f>
        <v>-0.5</v>
      </c>
      <c r="Q5902" s="0" t="n">
        <f aca="false">F5902*G5902</f>
        <v>-0.75</v>
      </c>
      <c r="R5902" s="0" t="n">
        <f aca="false">F5902*H5902</f>
        <v>0.5</v>
      </c>
      <c r="S5902" s="0" t="n">
        <f aca="false">G5902*H5902</f>
        <v>-0.375</v>
      </c>
      <c r="T5902" s="0" t="n">
        <f aca="false">E5902*E5902</f>
        <v>1</v>
      </c>
      <c r="U5902" s="0" t="n">
        <f aca="false">F5902*F5902</f>
        <v>1</v>
      </c>
      <c r="V5902" s="0" t="n">
        <f aca="false">G5902*G5902</f>
        <v>0.5625</v>
      </c>
      <c r="W5902" s="0" t="n">
        <f aca="false">H5902*H5902</f>
        <v>0.25</v>
      </c>
      <c r="X5902" s="0" t="n">
        <f aca="false">SUMPRODUCT(I5902:W5902,_XtX!$B$96:$P$96)</f>
        <v>40.5858826754386</v>
      </c>
      <c r="Y5902" s="0" t="n">
        <f aca="false">SUMPRODUCT(MMULT(I5902:W5902,_XtX!$B$78:$P$92),I5902:W5902)</f>
        <v>0.564984237938597</v>
      </c>
      <c r="Z5902" s="0" t="n">
        <f aca="false">04_回帰ANOVA!$K$19*04_回帰ANOVA!$K$14*SQRT(1+Y5902)</f>
        <v>1.63062229734503</v>
      </c>
      <c r="AA5902" s="0" t="n">
        <f aca="false">X5902-Z5902</f>
        <v>38.9552603780936</v>
      </c>
      <c r="AB5902" s="0" t="n">
        <f aca="false">X5902+Z5902</f>
        <v>42.2165049727837</v>
      </c>
      <c r="AC5902" s="54" t="b">
        <f aca="false">AND(E5902&gt;=01_因子設定!$L$5-0.000000001,E5902&lt;=01_因子設定!$M$5+0.000000001,F5902&gt;=01_因子設定!$L$6-0.000000001,F5902&lt;=01_因子設定!$M$6+0.000000001,G5902&gt;=01_因子設定!$L$7-0.000000001,G5902&lt;=01_因子設定!$M$7+0.000000001,H5902&gt;=01_因子設定!$L$8-0.000000001,H5902&lt;=01_因子設定!$M$8+0.000000001,IF(01_因子設定!$B$20="Box-Behnken",E5902^2+F5902^2+G5902^2+H5902^2&lt;=2+0.000000001,TRUE()))</f>
        <v>1</v>
      </c>
      <c r="AD5902" s="55" t="n">
        <f aca="false">IF(AC5902,IF(01_因子設定!$B$13="最大化",AA5902-01_因子設定!$B$14,IF(01_因子設定!$B$13="最小化",01_因子設定!$B$15-AB5902,MIN(AA5902-01_因子設定!$B$14,01_因子設定!$B$15-AB5902))),-1E+030)</f>
        <v>-7.5447396219064</v>
      </c>
      <c r="AE5902" s="55" t="n">
        <f aca="false">IF(AC5902,IF(01_因子設定!$B$13="最大化",X5902,IF(01_因子設定!$B$13="最小化",-X5902,-ABS(X5902-01_因子設定!$B$16))),-1E+030)</f>
        <v>40.5858826754386</v>
      </c>
      <c r="AF5902" s="55" t="n">
        <f aca="false">AD5902+ROW()*0.000000001</f>
        <v>-7.5447337199064</v>
      </c>
      <c r="AG5902" s="55" t="n">
        <f aca="false">AE5902+ROW()*0.000000001</f>
        <v>40.5858885774386</v>
      </c>
    </row>
    <row r="5903" customFormat="false" ht="15" hidden="false" customHeight="false" outlineLevel="0" collapsed="false">
      <c r="A5903" s="0" t="n">
        <v>8</v>
      </c>
      <c r="B5903" s="0" t="n">
        <v>0</v>
      </c>
      <c r="C5903" s="0" t="n">
        <v>7</v>
      </c>
      <c r="D5903" s="0" t="n">
        <v>3</v>
      </c>
      <c r="E5903" s="0" t="n">
        <f aca="false">-1+A5903*0.25</f>
        <v>1</v>
      </c>
      <c r="F5903" s="0" t="n">
        <f aca="false">-1+B5903*0.25</f>
        <v>-1</v>
      </c>
      <c r="G5903" s="0" t="n">
        <f aca="false">-1+C5903*0.25</f>
        <v>0.75</v>
      </c>
      <c r="H5903" s="0" t="n">
        <f aca="false">-1+D5903*0.25</f>
        <v>-0.25</v>
      </c>
      <c r="I5903" s="0" t="n">
        <f aca="false">1</f>
        <v>1</v>
      </c>
      <c r="J5903" s="0" t="n">
        <f aca="false">E5903</f>
        <v>1</v>
      </c>
      <c r="K5903" s="0" t="n">
        <f aca="false">F5903</f>
        <v>-1</v>
      </c>
      <c r="L5903" s="0" t="n">
        <f aca="false">G5903</f>
        <v>0.75</v>
      </c>
      <c r="M5903" s="0" t="n">
        <f aca="false">H5903</f>
        <v>-0.25</v>
      </c>
      <c r="N5903" s="0" t="n">
        <f aca="false">E5903*F5903</f>
        <v>-1</v>
      </c>
      <c r="O5903" s="0" t="n">
        <f aca="false">E5903*G5903</f>
        <v>0.75</v>
      </c>
      <c r="P5903" s="0" t="n">
        <f aca="false">E5903*H5903</f>
        <v>-0.25</v>
      </c>
      <c r="Q5903" s="0" t="n">
        <f aca="false">F5903*G5903</f>
        <v>-0.75</v>
      </c>
      <c r="R5903" s="0" t="n">
        <f aca="false">F5903*H5903</f>
        <v>0.25</v>
      </c>
      <c r="S5903" s="0" t="n">
        <f aca="false">G5903*H5903</f>
        <v>-0.1875</v>
      </c>
      <c r="T5903" s="0" t="n">
        <f aca="false">E5903*E5903</f>
        <v>1</v>
      </c>
      <c r="U5903" s="0" t="n">
        <f aca="false">F5903*F5903</f>
        <v>1</v>
      </c>
      <c r="V5903" s="0" t="n">
        <f aca="false">G5903*G5903</f>
        <v>0.5625</v>
      </c>
      <c r="W5903" s="0" t="n">
        <f aca="false">H5903*H5903</f>
        <v>0.0625</v>
      </c>
      <c r="X5903" s="0" t="n">
        <f aca="false">SUMPRODUCT(I5903:W5903,_XtX!$B$96:$P$96)</f>
        <v>40.8972633406433</v>
      </c>
      <c r="Y5903" s="0" t="n">
        <f aca="false">SUMPRODUCT(MMULT(I5903:W5903,_XtX!$B$78:$P$92),I5903:W5903)</f>
        <v>0.621372155975877</v>
      </c>
      <c r="Z5903" s="0" t="n">
        <f aca="false">04_回帰ANOVA!$K$19*04_回帰ANOVA!$K$14*SQRT(1+Y5903)</f>
        <v>1.65973880499872</v>
      </c>
      <c r="AA5903" s="0" t="n">
        <f aca="false">X5903-Z5903</f>
        <v>39.2375245356446</v>
      </c>
      <c r="AB5903" s="0" t="n">
        <f aca="false">X5903+Z5903</f>
        <v>42.557002145642</v>
      </c>
      <c r="AC5903" s="54" t="b">
        <f aca="false">AND(E5903&gt;=01_因子設定!$L$5-0.000000001,E5903&lt;=01_因子設定!$M$5+0.000000001,F5903&gt;=01_因子設定!$L$6-0.000000001,F5903&lt;=01_因子設定!$M$6+0.000000001,G5903&gt;=01_因子設定!$L$7-0.000000001,G5903&lt;=01_因子設定!$M$7+0.000000001,H5903&gt;=01_因子設定!$L$8-0.000000001,H5903&lt;=01_因子設定!$M$8+0.000000001,IF(01_因子設定!$B$20="Box-Behnken",E5903^2+F5903^2+G5903^2+H5903^2&lt;=2+0.000000001,TRUE()))</f>
        <v>1</v>
      </c>
      <c r="AD5903" s="55" t="n">
        <f aca="false">IF(AC5903,IF(01_因子設定!$B$13="最大化",AA5903-01_因子設定!$B$14,IF(01_因子設定!$B$13="最小化",01_因子設定!$B$15-AB5903,MIN(AA5903-01_因子設定!$B$14,01_因子設定!$B$15-AB5903))),-1E+030)</f>
        <v>-7.26247546435541</v>
      </c>
      <c r="AE5903" s="55" t="n">
        <f aca="false">IF(AC5903,IF(01_因子設定!$B$13="最大化",X5903,IF(01_因子設定!$B$13="最小化",-X5903,-ABS(X5903-01_因子設定!$B$16))),-1E+030)</f>
        <v>40.8972633406433</v>
      </c>
      <c r="AF5903" s="55" t="n">
        <f aca="false">AD5903+ROW()*0.000000001</f>
        <v>-7.26246956135541</v>
      </c>
      <c r="AG5903" s="55" t="n">
        <f aca="false">AE5903+ROW()*0.000000001</f>
        <v>40.8972692436433</v>
      </c>
    </row>
    <row r="5904" customFormat="false" ht="15" hidden="false" customHeight="false" outlineLevel="0" collapsed="false">
      <c r="A5904" s="0" t="n">
        <v>8</v>
      </c>
      <c r="B5904" s="0" t="n">
        <v>0</v>
      </c>
      <c r="C5904" s="0" t="n">
        <v>7</v>
      </c>
      <c r="D5904" s="0" t="n">
        <v>4</v>
      </c>
      <c r="E5904" s="0" t="n">
        <f aca="false">-1+A5904*0.25</f>
        <v>1</v>
      </c>
      <c r="F5904" s="0" t="n">
        <f aca="false">-1+B5904*0.25</f>
        <v>-1</v>
      </c>
      <c r="G5904" s="0" t="n">
        <f aca="false">-1+C5904*0.25</f>
        <v>0.75</v>
      </c>
      <c r="H5904" s="0" t="n">
        <f aca="false">-1+D5904*0.25</f>
        <v>0</v>
      </c>
      <c r="I5904" s="0" t="n">
        <f aca="false">1</f>
        <v>1</v>
      </c>
      <c r="J5904" s="0" t="n">
        <f aca="false">E5904</f>
        <v>1</v>
      </c>
      <c r="K5904" s="0" t="n">
        <f aca="false">F5904</f>
        <v>-1</v>
      </c>
      <c r="L5904" s="0" t="n">
        <f aca="false">G5904</f>
        <v>0.75</v>
      </c>
      <c r="M5904" s="0" t="n">
        <f aca="false">H5904</f>
        <v>0</v>
      </c>
      <c r="N5904" s="0" t="n">
        <f aca="false">E5904*F5904</f>
        <v>-1</v>
      </c>
      <c r="O5904" s="0" t="n">
        <f aca="false">E5904*G5904</f>
        <v>0.75</v>
      </c>
      <c r="P5904" s="0" t="n">
        <f aca="false">E5904*H5904</f>
        <v>0</v>
      </c>
      <c r="Q5904" s="0" t="n">
        <f aca="false">F5904*G5904</f>
        <v>-0.75</v>
      </c>
      <c r="R5904" s="0" t="n">
        <f aca="false">F5904*H5904</f>
        <v>-0</v>
      </c>
      <c r="S5904" s="0" t="n">
        <f aca="false">G5904*H5904</f>
        <v>0</v>
      </c>
      <c r="T5904" s="0" t="n">
        <f aca="false">E5904*E5904</f>
        <v>1</v>
      </c>
      <c r="U5904" s="0" t="n">
        <f aca="false">F5904*F5904</f>
        <v>1</v>
      </c>
      <c r="V5904" s="0" t="n">
        <f aca="false">G5904*G5904</f>
        <v>0.5625</v>
      </c>
      <c r="W5904" s="0" t="n">
        <f aca="false">H5904*H5904</f>
        <v>0</v>
      </c>
      <c r="X5904" s="0" t="n">
        <f aca="false">SUMPRODUCT(I5904:W5904,_XtX!$B$96:$P$96)</f>
        <v>41.1608369883041</v>
      </c>
      <c r="Y5904" s="0" t="n">
        <f aca="false">SUMPRODUCT(MMULT(I5904:W5904,_XtX!$B$78:$P$92),I5904:W5904)</f>
        <v>0.646198830409357</v>
      </c>
      <c r="Z5904" s="0" t="n">
        <f aca="false">04_回帰ANOVA!$K$19*04_回帰ANOVA!$K$14*SQRT(1+Y5904)</f>
        <v>1.67239760569756</v>
      </c>
      <c r="AA5904" s="0" t="n">
        <f aca="false">X5904-Z5904</f>
        <v>39.4884393826066</v>
      </c>
      <c r="AB5904" s="0" t="n">
        <f aca="false">X5904+Z5904</f>
        <v>42.8332345940017</v>
      </c>
      <c r="AC5904" s="54" t="b">
        <f aca="false">AND(E5904&gt;=01_因子設定!$L$5-0.000000001,E5904&lt;=01_因子設定!$M$5+0.000000001,F5904&gt;=01_因子設定!$L$6-0.000000001,F5904&lt;=01_因子設定!$M$6+0.000000001,G5904&gt;=01_因子設定!$L$7-0.000000001,G5904&lt;=01_因子設定!$M$7+0.000000001,H5904&gt;=01_因子設定!$L$8-0.000000001,H5904&lt;=01_因子設定!$M$8+0.000000001,IF(01_因子設定!$B$20="Box-Behnken",E5904^2+F5904^2+G5904^2+H5904^2&lt;=2+0.000000001,TRUE()))</f>
        <v>1</v>
      </c>
      <c r="AD5904" s="55" t="n">
        <f aca="false">IF(AC5904,IF(01_因子設定!$B$13="最大化",AA5904-01_因子設定!$B$14,IF(01_因子設定!$B$13="最小化",01_因子設定!$B$15-AB5904,MIN(AA5904-01_因子設定!$B$14,01_因子設定!$B$15-AB5904))),-1E+030)</f>
        <v>-7.01156061739344</v>
      </c>
      <c r="AE5904" s="55" t="n">
        <f aca="false">IF(AC5904,IF(01_因子設定!$B$13="最大化",X5904,IF(01_因子設定!$B$13="最小化",-X5904,-ABS(X5904-01_因子設定!$B$16))),-1E+030)</f>
        <v>41.1608369883041</v>
      </c>
      <c r="AF5904" s="55" t="n">
        <f aca="false">AD5904+ROW()*0.000000001</f>
        <v>-7.01155471339344</v>
      </c>
      <c r="AG5904" s="55" t="n">
        <f aca="false">AE5904+ROW()*0.000000001</f>
        <v>41.1608428923041</v>
      </c>
    </row>
    <row r="5905" customFormat="false" ht="15" hidden="false" customHeight="false" outlineLevel="0" collapsed="false">
      <c r="A5905" s="0" t="n">
        <v>8</v>
      </c>
      <c r="B5905" s="0" t="n">
        <v>0</v>
      </c>
      <c r="C5905" s="0" t="n">
        <v>7</v>
      </c>
      <c r="D5905" s="0" t="n">
        <v>5</v>
      </c>
      <c r="E5905" s="0" t="n">
        <f aca="false">-1+A5905*0.25</f>
        <v>1</v>
      </c>
      <c r="F5905" s="0" t="n">
        <f aca="false">-1+B5905*0.25</f>
        <v>-1</v>
      </c>
      <c r="G5905" s="0" t="n">
        <f aca="false">-1+C5905*0.25</f>
        <v>0.75</v>
      </c>
      <c r="H5905" s="0" t="n">
        <f aca="false">-1+D5905*0.25</f>
        <v>0.25</v>
      </c>
      <c r="I5905" s="0" t="n">
        <f aca="false">1</f>
        <v>1</v>
      </c>
      <c r="J5905" s="0" t="n">
        <f aca="false">E5905</f>
        <v>1</v>
      </c>
      <c r="K5905" s="0" t="n">
        <f aca="false">F5905</f>
        <v>-1</v>
      </c>
      <c r="L5905" s="0" t="n">
        <f aca="false">G5905</f>
        <v>0.75</v>
      </c>
      <c r="M5905" s="0" t="n">
        <f aca="false">H5905</f>
        <v>0.25</v>
      </c>
      <c r="N5905" s="0" t="n">
        <f aca="false">E5905*F5905</f>
        <v>-1</v>
      </c>
      <c r="O5905" s="0" t="n">
        <f aca="false">E5905*G5905</f>
        <v>0.75</v>
      </c>
      <c r="P5905" s="0" t="n">
        <f aca="false">E5905*H5905</f>
        <v>0.25</v>
      </c>
      <c r="Q5905" s="0" t="n">
        <f aca="false">F5905*G5905</f>
        <v>-0.75</v>
      </c>
      <c r="R5905" s="0" t="n">
        <f aca="false">F5905*H5905</f>
        <v>-0.25</v>
      </c>
      <c r="S5905" s="0" t="n">
        <f aca="false">G5905*H5905</f>
        <v>0.1875</v>
      </c>
      <c r="T5905" s="0" t="n">
        <f aca="false">E5905*E5905</f>
        <v>1</v>
      </c>
      <c r="U5905" s="0" t="n">
        <f aca="false">F5905*F5905</f>
        <v>1</v>
      </c>
      <c r="V5905" s="0" t="n">
        <f aca="false">G5905*G5905</f>
        <v>0.5625</v>
      </c>
      <c r="W5905" s="0" t="n">
        <f aca="false">H5905*H5905</f>
        <v>0.0625</v>
      </c>
      <c r="X5905" s="0" t="n">
        <f aca="false">SUMPRODUCT(I5905:W5905,_XtX!$B$96:$P$96)</f>
        <v>41.3766036184211</v>
      </c>
      <c r="Y5905" s="0" t="n">
        <f aca="false">SUMPRODUCT(MMULT(I5905:W5905,_XtX!$B$78:$P$92),I5905:W5905)</f>
        <v>0.621372155975877</v>
      </c>
      <c r="Z5905" s="0" t="n">
        <f aca="false">04_回帰ANOVA!$K$19*04_回帰ANOVA!$K$14*SQRT(1+Y5905)</f>
        <v>1.65973880499872</v>
      </c>
      <c r="AA5905" s="0" t="n">
        <f aca="false">X5905-Z5905</f>
        <v>39.7168648134224</v>
      </c>
      <c r="AB5905" s="0" t="n">
        <f aca="false">X5905+Z5905</f>
        <v>43.0363424234198</v>
      </c>
      <c r="AC5905" s="54" t="b">
        <f aca="false">AND(E5905&gt;=01_因子設定!$L$5-0.000000001,E5905&lt;=01_因子設定!$M$5+0.000000001,F5905&gt;=01_因子設定!$L$6-0.000000001,F5905&lt;=01_因子設定!$M$6+0.000000001,G5905&gt;=01_因子設定!$L$7-0.000000001,G5905&lt;=01_因子設定!$M$7+0.000000001,H5905&gt;=01_因子設定!$L$8-0.000000001,H5905&lt;=01_因子設定!$M$8+0.000000001,IF(01_因子設定!$B$20="Box-Behnken",E5905^2+F5905^2+G5905^2+H5905^2&lt;=2+0.000000001,TRUE()))</f>
        <v>1</v>
      </c>
      <c r="AD5905" s="55" t="n">
        <f aca="false">IF(AC5905,IF(01_因子設定!$B$13="最大化",AA5905-01_因子設定!$B$14,IF(01_因子設定!$B$13="最小化",01_因子設定!$B$15-AB5905,MIN(AA5905-01_因子設定!$B$14,01_因子設定!$B$15-AB5905))),-1E+030)</f>
        <v>-6.78313518657764</v>
      </c>
      <c r="AE5905" s="55" t="n">
        <f aca="false">IF(AC5905,IF(01_因子設定!$B$13="最大化",X5905,IF(01_因子設定!$B$13="最小化",-X5905,-ABS(X5905-01_因子設定!$B$16))),-1E+030)</f>
        <v>41.3766036184211</v>
      </c>
      <c r="AF5905" s="55" t="n">
        <f aca="false">AD5905+ROW()*0.000000001</f>
        <v>-6.78312928157764</v>
      </c>
      <c r="AG5905" s="55" t="n">
        <f aca="false">AE5905+ROW()*0.000000001</f>
        <v>41.3766095234211</v>
      </c>
    </row>
    <row r="5906" customFormat="false" ht="15" hidden="false" customHeight="false" outlineLevel="0" collapsed="false">
      <c r="A5906" s="0" t="n">
        <v>8</v>
      </c>
      <c r="B5906" s="0" t="n">
        <v>0</v>
      </c>
      <c r="C5906" s="0" t="n">
        <v>7</v>
      </c>
      <c r="D5906" s="0" t="n">
        <v>6</v>
      </c>
      <c r="E5906" s="0" t="n">
        <f aca="false">-1+A5906*0.25</f>
        <v>1</v>
      </c>
      <c r="F5906" s="0" t="n">
        <f aca="false">-1+B5906*0.25</f>
        <v>-1</v>
      </c>
      <c r="G5906" s="0" t="n">
        <f aca="false">-1+C5906*0.25</f>
        <v>0.75</v>
      </c>
      <c r="H5906" s="0" t="n">
        <f aca="false">-1+D5906*0.25</f>
        <v>0.5</v>
      </c>
      <c r="I5906" s="0" t="n">
        <f aca="false">1</f>
        <v>1</v>
      </c>
      <c r="J5906" s="0" t="n">
        <f aca="false">E5906</f>
        <v>1</v>
      </c>
      <c r="K5906" s="0" t="n">
        <f aca="false">F5906</f>
        <v>-1</v>
      </c>
      <c r="L5906" s="0" t="n">
        <f aca="false">G5906</f>
        <v>0.75</v>
      </c>
      <c r="M5906" s="0" t="n">
        <f aca="false">H5906</f>
        <v>0.5</v>
      </c>
      <c r="N5906" s="0" t="n">
        <f aca="false">E5906*F5906</f>
        <v>-1</v>
      </c>
      <c r="O5906" s="0" t="n">
        <f aca="false">E5906*G5906</f>
        <v>0.75</v>
      </c>
      <c r="P5906" s="0" t="n">
        <f aca="false">E5906*H5906</f>
        <v>0.5</v>
      </c>
      <c r="Q5906" s="0" t="n">
        <f aca="false">F5906*G5906</f>
        <v>-0.75</v>
      </c>
      <c r="R5906" s="0" t="n">
        <f aca="false">F5906*H5906</f>
        <v>-0.5</v>
      </c>
      <c r="S5906" s="0" t="n">
        <f aca="false">G5906*H5906</f>
        <v>0.375</v>
      </c>
      <c r="T5906" s="0" t="n">
        <f aca="false">E5906*E5906</f>
        <v>1</v>
      </c>
      <c r="U5906" s="0" t="n">
        <f aca="false">F5906*F5906</f>
        <v>1</v>
      </c>
      <c r="V5906" s="0" t="n">
        <f aca="false">G5906*G5906</f>
        <v>0.5625</v>
      </c>
      <c r="W5906" s="0" t="n">
        <f aca="false">H5906*H5906</f>
        <v>0.25</v>
      </c>
      <c r="X5906" s="0" t="n">
        <f aca="false">SUMPRODUCT(I5906:W5906,_XtX!$B$96:$P$96)</f>
        <v>41.5445632309942</v>
      </c>
      <c r="Y5906" s="0" t="n">
        <f aca="false">SUMPRODUCT(MMULT(I5906:W5906,_XtX!$B$78:$P$92),I5906:W5906)</f>
        <v>0.564984237938597</v>
      </c>
      <c r="Z5906" s="0" t="n">
        <f aca="false">04_回帰ANOVA!$K$19*04_回帰ANOVA!$K$14*SQRT(1+Y5906)</f>
        <v>1.63062229734503</v>
      </c>
      <c r="AA5906" s="0" t="n">
        <f aca="false">X5906-Z5906</f>
        <v>39.9139409336492</v>
      </c>
      <c r="AB5906" s="0" t="n">
        <f aca="false">X5906+Z5906</f>
        <v>43.1751855283392</v>
      </c>
      <c r="AC5906" s="54" t="b">
        <f aca="false">AND(E5906&gt;=01_因子設定!$L$5-0.000000001,E5906&lt;=01_因子設定!$M$5+0.000000001,F5906&gt;=01_因子設定!$L$6-0.000000001,F5906&lt;=01_因子設定!$M$6+0.000000001,G5906&gt;=01_因子設定!$L$7-0.000000001,G5906&lt;=01_因子設定!$M$7+0.000000001,H5906&gt;=01_因子設定!$L$8-0.000000001,H5906&lt;=01_因子設定!$M$8+0.000000001,IF(01_因子設定!$B$20="Box-Behnken",E5906^2+F5906^2+G5906^2+H5906^2&lt;=2+0.000000001,TRUE()))</f>
        <v>1</v>
      </c>
      <c r="AD5906" s="55" t="n">
        <f aca="false">IF(AC5906,IF(01_因子設定!$B$13="最大化",AA5906-01_因子設定!$B$14,IF(01_因子設定!$B$13="最小化",01_因子設定!$B$15-AB5906,MIN(AA5906-01_因子設定!$B$14,01_因子設定!$B$15-AB5906))),-1E+030)</f>
        <v>-6.58605906635085</v>
      </c>
      <c r="AE5906" s="55" t="n">
        <f aca="false">IF(AC5906,IF(01_因子設定!$B$13="最大化",X5906,IF(01_因子設定!$B$13="最小化",-X5906,-ABS(X5906-01_因子設定!$B$16))),-1E+030)</f>
        <v>41.5445632309942</v>
      </c>
      <c r="AF5906" s="55" t="n">
        <f aca="false">AD5906+ROW()*0.000000001</f>
        <v>-6.58605316035085</v>
      </c>
      <c r="AG5906" s="55" t="n">
        <f aca="false">AE5906+ROW()*0.000000001</f>
        <v>41.5445691369942</v>
      </c>
    </row>
    <row r="5907" customFormat="false" ht="15" hidden="false" customHeight="false" outlineLevel="0" collapsed="false">
      <c r="A5907" s="0" t="n">
        <v>8</v>
      </c>
      <c r="B5907" s="0" t="n">
        <v>0</v>
      </c>
      <c r="C5907" s="0" t="n">
        <v>7</v>
      </c>
      <c r="D5907" s="0" t="n">
        <v>7</v>
      </c>
      <c r="E5907" s="0" t="n">
        <f aca="false">-1+A5907*0.25</f>
        <v>1</v>
      </c>
      <c r="F5907" s="0" t="n">
        <f aca="false">-1+B5907*0.25</f>
        <v>-1</v>
      </c>
      <c r="G5907" s="0" t="n">
        <f aca="false">-1+C5907*0.25</f>
        <v>0.75</v>
      </c>
      <c r="H5907" s="0" t="n">
        <f aca="false">-1+D5907*0.25</f>
        <v>0.75</v>
      </c>
      <c r="I5907" s="0" t="n">
        <f aca="false">1</f>
        <v>1</v>
      </c>
      <c r="J5907" s="0" t="n">
        <f aca="false">E5907</f>
        <v>1</v>
      </c>
      <c r="K5907" s="0" t="n">
        <f aca="false">F5907</f>
        <v>-1</v>
      </c>
      <c r="L5907" s="0" t="n">
        <f aca="false">G5907</f>
        <v>0.75</v>
      </c>
      <c r="M5907" s="0" t="n">
        <f aca="false">H5907</f>
        <v>0.75</v>
      </c>
      <c r="N5907" s="0" t="n">
        <f aca="false">E5907*F5907</f>
        <v>-1</v>
      </c>
      <c r="O5907" s="0" t="n">
        <f aca="false">E5907*G5907</f>
        <v>0.75</v>
      </c>
      <c r="P5907" s="0" t="n">
        <f aca="false">E5907*H5907</f>
        <v>0.75</v>
      </c>
      <c r="Q5907" s="0" t="n">
        <f aca="false">F5907*G5907</f>
        <v>-0.75</v>
      </c>
      <c r="R5907" s="0" t="n">
        <f aca="false">F5907*H5907</f>
        <v>-0.75</v>
      </c>
      <c r="S5907" s="0" t="n">
        <f aca="false">G5907*H5907</f>
        <v>0.5625</v>
      </c>
      <c r="T5907" s="0" t="n">
        <f aca="false">E5907*E5907</f>
        <v>1</v>
      </c>
      <c r="U5907" s="0" t="n">
        <f aca="false">F5907*F5907</f>
        <v>1</v>
      </c>
      <c r="V5907" s="0" t="n">
        <f aca="false">G5907*G5907</f>
        <v>0.5625</v>
      </c>
      <c r="W5907" s="0" t="n">
        <f aca="false">H5907*H5907</f>
        <v>0.5625</v>
      </c>
      <c r="X5907" s="0" t="n">
        <f aca="false">SUMPRODUCT(I5907:W5907,_XtX!$B$96:$P$96)</f>
        <v>41.6647158260234</v>
      </c>
      <c r="Y5907" s="0" t="n">
        <f aca="false">SUMPRODUCT(MMULT(I5907:W5907,_XtX!$B$78:$P$92),I5907:W5907)</f>
        <v>0.531311392086988</v>
      </c>
      <c r="Z5907" s="0" t="n">
        <f aca="false">04_回帰ANOVA!$K$19*04_回帰ANOVA!$K$14*SQRT(1+Y5907)</f>
        <v>1.61298433431428</v>
      </c>
      <c r="AA5907" s="0" t="n">
        <f aca="false">X5907-Z5907</f>
        <v>40.0517314917092</v>
      </c>
      <c r="AB5907" s="0" t="n">
        <f aca="false">X5907+Z5907</f>
        <v>43.2777001603377</v>
      </c>
      <c r="AC5907" s="54" t="b">
        <f aca="false">AND(E5907&gt;=01_因子設定!$L$5-0.000000001,E5907&lt;=01_因子設定!$M$5+0.000000001,F5907&gt;=01_因子設定!$L$6-0.000000001,F5907&lt;=01_因子設定!$M$6+0.000000001,G5907&gt;=01_因子設定!$L$7-0.000000001,G5907&lt;=01_因子設定!$M$7+0.000000001,H5907&gt;=01_因子設定!$L$8-0.000000001,H5907&lt;=01_因子設定!$M$8+0.000000001,IF(01_因子設定!$B$20="Box-Behnken",E5907^2+F5907^2+G5907^2+H5907^2&lt;=2+0.000000001,TRUE()))</f>
        <v>1</v>
      </c>
      <c r="AD5907" s="55" t="n">
        <f aca="false">IF(AC5907,IF(01_因子設定!$B$13="最大化",AA5907-01_因子設定!$B$14,IF(01_因子設定!$B$13="最小化",01_因子設定!$B$15-AB5907,MIN(AA5907-01_因子設定!$B$14,01_因子設定!$B$15-AB5907))),-1E+030)</f>
        <v>-6.44826850829085</v>
      </c>
      <c r="AE5907" s="55" t="n">
        <f aca="false">IF(AC5907,IF(01_因子設定!$B$13="最大化",X5907,IF(01_因子設定!$B$13="最小化",-X5907,-ABS(X5907-01_因子設定!$B$16))),-1E+030)</f>
        <v>41.6647158260234</v>
      </c>
      <c r="AF5907" s="55" t="n">
        <f aca="false">AD5907+ROW()*0.000000001</f>
        <v>-6.44826260129084</v>
      </c>
      <c r="AG5907" s="55" t="n">
        <f aca="false">AE5907+ROW()*0.000000001</f>
        <v>41.6647217330234</v>
      </c>
    </row>
    <row r="5908" customFormat="false" ht="15" hidden="false" customHeight="false" outlineLevel="0" collapsed="false">
      <c r="A5908" s="0" t="n">
        <v>8</v>
      </c>
      <c r="B5908" s="0" t="n">
        <v>0</v>
      </c>
      <c r="C5908" s="0" t="n">
        <v>7</v>
      </c>
      <c r="D5908" s="0" t="n">
        <v>8</v>
      </c>
      <c r="E5908" s="0" t="n">
        <f aca="false">-1+A5908*0.25</f>
        <v>1</v>
      </c>
      <c r="F5908" s="0" t="n">
        <f aca="false">-1+B5908*0.25</f>
        <v>-1</v>
      </c>
      <c r="G5908" s="0" t="n">
        <f aca="false">-1+C5908*0.25</f>
        <v>0.75</v>
      </c>
      <c r="H5908" s="0" t="n">
        <f aca="false">-1+D5908*0.25</f>
        <v>1</v>
      </c>
      <c r="I5908" s="0" t="n">
        <f aca="false">1</f>
        <v>1</v>
      </c>
      <c r="J5908" s="0" t="n">
        <f aca="false">E5908</f>
        <v>1</v>
      </c>
      <c r="K5908" s="0" t="n">
        <f aca="false">F5908</f>
        <v>-1</v>
      </c>
      <c r="L5908" s="0" t="n">
        <f aca="false">G5908</f>
        <v>0.75</v>
      </c>
      <c r="M5908" s="0" t="n">
        <f aca="false">H5908</f>
        <v>1</v>
      </c>
      <c r="N5908" s="0" t="n">
        <f aca="false">E5908*F5908</f>
        <v>-1</v>
      </c>
      <c r="O5908" s="0" t="n">
        <f aca="false">E5908*G5908</f>
        <v>0.75</v>
      </c>
      <c r="P5908" s="0" t="n">
        <f aca="false">E5908*H5908</f>
        <v>1</v>
      </c>
      <c r="Q5908" s="0" t="n">
        <f aca="false">F5908*G5908</f>
        <v>-0.75</v>
      </c>
      <c r="R5908" s="0" t="n">
        <f aca="false">F5908*H5908</f>
        <v>-1</v>
      </c>
      <c r="S5908" s="0" t="n">
        <f aca="false">G5908*H5908</f>
        <v>0.75</v>
      </c>
      <c r="T5908" s="0" t="n">
        <f aca="false">E5908*E5908</f>
        <v>1</v>
      </c>
      <c r="U5908" s="0" t="n">
        <f aca="false">F5908*F5908</f>
        <v>1</v>
      </c>
      <c r="V5908" s="0" t="n">
        <f aca="false">G5908*G5908</f>
        <v>0.5625</v>
      </c>
      <c r="W5908" s="0" t="n">
        <f aca="false">H5908*H5908</f>
        <v>1</v>
      </c>
      <c r="X5908" s="0" t="n">
        <f aca="false">SUMPRODUCT(I5908:W5908,_XtX!$B$96:$P$96)</f>
        <v>41.7370614035088</v>
      </c>
      <c r="Y5908" s="0" t="n">
        <f aca="false">SUMPRODUCT(MMULT(I5908:W5908,_XtX!$B$78:$P$92),I5908:W5908)</f>
        <v>0.610814144736842</v>
      </c>
      <c r="Z5908" s="0" t="n">
        <f aca="false">04_回帰ANOVA!$K$19*04_回帰ANOVA!$K$14*SQRT(1+Y5908)</f>
        <v>1.6543260558361</v>
      </c>
      <c r="AA5908" s="0" t="n">
        <f aca="false">X5908-Z5908</f>
        <v>40.0827353476727</v>
      </c>
      <c r="AB5908" s="0" t="n">
        <f aca="false">X5908+Z5908</f>
        <v>43.3913874593449</v>
      </c>
      <c r="AC5908" s="54" t="b">
        <f aca="false">AND(E5908&gt;=01_因子設定!$L$5-0.000000001,E5908&lt;=01_因子設定!$M$5+0.000000001,F5908&gt;=01_因子設定!$L$6-0.000000001,F5908&lt;=01_因子設定!$M$6+0.000000001,G5908&gt;=01_因子設定!$L$7-0.000000001,G5908&lt;=01_因子設定!$M$7+0.000000001,H5908&gt;=01_因子設定!$L$8-0.000000001,H5908&lt;=01_因子設定!$M$8+0.000000001,IF(01_因子設定!$B$20="Box-Behnken",E5908^2+F5908^2+G5908^2+H5908^2&lt;=2+0.000000001,TRUE()))</f>
        <v>1</v>
      </c>
      <c r="AD5908" s="55" t="n">
        <f aca="false">IF(AC5908,IF(01_因子設定!$B$13="最大化",AA5908-01_因子設定!$B$14,IF(01_因子設定!$B$13="最小化",01_因子設定!$B$15-AB5908,MIN(AA5908-01_因子設定!$B$14,01_因子設定!$B$15-AB5908))),-1E+030)</f>
        <v>-6.41726465232726</v>
      </c>
      <c r="AE5908" s="55" t="n">
        <f aca="false">IF(AC5908,IF(01_因子設定!$B$13="最大化",X5908,IF(01_因子設定!$B$13="最小化",-X5908,-ABS(X5908-01_因子設定!$B$16))),-1E+030)</f>
        <v>41.7370614035088</v>
      </c>
      <c r="AF5908" s="55" t="n">
        <f aca="false">AD5908+ROW()*0.000000001</f>
        <v>-6.41725874432726</v>
      </c>
      <c r="AG5908" s="55" t="n">
        <f aca="false">AE5908+ROW()*0.000000001</f>
        <v>41.7370673115088</v>
      </c>
    </row>
    <row r="5909" customFormat="false" ht="15" hidden="false" customHeight="false" outlineLevel="0" collapsed="false">
      <c r="A5909" s="0" t="n">
        <v>8</v>
      </c>
      <c r="B5909" s="0" t="n">
        <v>0</v>
      </c>
      <c r="C5909" s="0" t="n">
        <v>8</v>
      </c>
      <c r="D5909" s="0" t="n">
        <v>0</v>
      </c>
      <c r="E5909" s="0" t="n">
        <f aca="false">-1+A5909*0.25</f>
        <v>1</v>
      </c>
      <c r="F5909" s="0" t="n">
        <f aca="false">-1+B5909*0.25</f>
        <v>-1</v>
      </c>
      <c r="G5909" s="0" t="n">
        <f aca="false">-1+C5909*0.25</f>
        <v>1</v>
      </c>
      <c r="H5909" s="0" t="n">
        <f aca="false">-1+D5909*0.25</f>
        <v>-1</v>
      </c>
      <c r="I5909" s="0" t="n">
        <f aca="false">1</f>
        <v>1</v>
      </c>
      <c r="J5909" s="0" t="n">
        <f aca="false">E5909</f>
        <v>1</v>
      </c>
      <c r="K5909" s="0" t="n">
        <f aca="false">F5909</f>
        <v>-1</v>
      </c>
      <c r="L5909" s="0" t="n">
        <f aca="false">G5909</f>
        <v>1</v>
      </c>
      <c r="M5909" s="0" t="n">
        <f aca="false">H5909</f>
        <v>-1</v>
      </c>
      <c r="N5909" s="0" t="n">
        <f aca="false">E5909*F5909</f>
        <v>-1</v>
      </c>
      <c r="O5909" s="0" t="n">
        <f aca="false">E5909*G5909</f>
        <v>1</v>
      </c>
      <c r="P5909" s="0" t="n">
        <f aca="false">E5909*H5909</f>
        <v>-1</v>
      </c>
      <c r="Q5909" s="0" t="n">
        <f aca="false">F5909*G5909</f>
        <v>-1</v>
      </c>
      <c r="R5909" s="0" t="n">
        <f aca="false">F5909*H5909</f>
        <v>1</v>
      </c>
      <c r="S5909" s="0" t="n">
        <f aca="false">G5909*H5909</f>
        <v>-1</v>
      </c>
      <c r="T5909" s="0" t="n">
        <f aca="false">E5909*E5909</f>
        <v>1</v>
      </c>
      <c r="U5909" s="0" t="n">
        <f aca="false">F5909*F5909</f>
        <v>1</v>
      </c>
      <c r="V5909" s="0" t="n">
        <f aca="false">G5909*G5909</f>
        <v>1</v>
      </c>
      <c r="W5909" s="0" t="n">
        <f aca="false">H5909*H5909</f>
        <v>1</v>
      </c>
      <c r="X5909" s="0" t="n">
        <f aca="false">SUMPRODUCT(I5909:W5909,_XtX!$B$96:$P$96)</f>
        <v>39.4544590643276</v>
      </c>
      <c r="Y5909" s="0" t="n">
        <f aca="false">SUMPRODUCT(MMULT(I5909:W5909,_XtX!$B$78:$P$92),I5909:W5909)</f>
        <v>0.658625730994152</v>
      </c>
      <c r="Z5909" s="0" t="n">
        <f aca="false">04_回帰ANOVA!$K$19*04_回帰ANOVA!$K$14*SQRT(1+Y5909)</f>
        <v>1.67869807328422</v>
      </c>
      <c r="AA5909" s="0" t="n">
        <f aca="false">X5909-Z5909</f>
        <v>37.7757609910433</v>
      </c>
      <c r="AB5909" s="0" t="n">
        <f aca="false">X5909+Z5909</f>
        <v>41.1331571376118</v>
      </c>
      <c r="AC5909" s="54" t="b">
        <f aca="false">AND(E5909&gt;=01_因子設定!$L$5-0.000000001,E5909&lt;=01_因子設定!$M$5+0.000000001,F5909&gt;=01_因子設定!$L$6-0.000000001,F5909&lt;=01_因子設定!$M$6+0.000000001,G5909&gt;=01_因子設定!$L$7-0.000000001,G5909&lt;=01_因子設定!$M$7+0.000000001,H5909&gt;=01_因子設定!$L$8-0.000000001,H5909&lt;=01_因子設定!$M$8+0.000000001,IF(01_因子設定!$B$20="Box-Behnken",E5909^2+F5909^2+G5909^2+H5909^2&lt;=2+0.000000001,TRUE()))</f>
        <v>1</v>
      </c>
      <c r="AD5909" s="55" t="n">
        <f aca="false">IF(AC5909,IF(01_因子設定!$B$13="最大化",AA5909-01_因子設定!$B$14,IF(01_因子設定!$B$13="最小化",01_因子設定!$B$15-AB5909,MIN(AA5909-01_因子設定!$B$14,01_因子設定!$B$15-AB5909))),-1E+030)</f>
        <v>-8.72423900895667</v>
      </c>
      <c r="AE5909" s="55" t="n">
        <f aca="false">IF(AC5909,IF(01_因子設定!$B$13="最大化",X5909,IF(01_因子設定!$B$13="最小化",-X5909,-ABS(X5909-01_因子設定!$B$16))),-1E+030)</f>
        <v>39.4544590643276</v>
      </c>
      <c r="AF5909" s="55" t="n">
        <f aca="false">AD5909+ROW()*0.000000001</f>
        <v>-8.72423309995667</v>
      </c>
      <c r="AG5909" s="55" t="n">
        <f aca="false">AE5909+ROW()*0.000000001</f>
        <v>39.4544649733276</v>
      </c>
    </row>
    <row r="5910" customFormat="false" ht="15" hidden="false" customHeight="false" outlineLevel="0" collapsed="false">
      <c r="A5910" s="0" t="n">
        <v>8</v>
      </c>
      <c r="B5910" s="0" t="n">
        <v>0</v>
      </c>
      <c r="C5910" s="0" t="n">
        <v>8</v>
      </c>
      <c r="D5910" s="0" t="n">
        <v>1</v>
      </c>
      <c r="E5910" s="0" t="n">
        <f aca="false">-1+A5910*0.25</f>
        <v>1</v>
      </c>
      <c r="F5910" s="0" t="n">
        <f aca="false">-1+B5910*0.25</f>
        <v>-1</v>
      </c>
      <c r="G5910" s="0" t="n">
        <f aca="false">-1+C5910*0.25</f>
        <v>1</v>
      </c>
      <c r="H5910" s="0" t="n">
        <f aca="false">-1+D5910*0.25</f>
        <v>-0.75</v>
      </c>
      <c r="I5910" s="0" t="n">
        <f aca="false">1</f>
        <v>1</v>
      </c>
      <c r="J5910" s="0" t="n">
        <f aca="false">E5910</f>
        <v>1</v>
      </c>
      <c r="K5910" s="0" t="n">
        <f aca="false">F5910</f>
        <v>-1</v>
      </c>
      <c r="L5910" s="0" t="n">
        <f aca="false">G5910</f>
        <v>1</v>
      </c>
      <c r="M5910" s="0" t="n">
        <f aca="false">H5910</f>
        <v>-0.75</v>
      </c>
      <c r="N5910" s="0" t="n">
        <f aca="false">E5910*F5910</f>
        <v>-1</v>
      </c>
      <c r="O5910" s="0" t="n">
        <f aca="false">E5910*G5910</f>
        <v>1</v>
      </c>
      <c r="P5910" s="0" t="n">
        <f aca="false">E5910*H5910</f>
        <v>-0.75</v>
      </c>
      <c r="Q5910" s="0" t="n">
        <f aca="false">F5910*G5910</f>
        <v>-1</v>
      </c>
      <c r="R5910" s="0" t="n">
        <f aca="false">F5910*H5910</f>
        <v>0.75</v>
      </c>
      <c r="S5910" s="0" t="n">
        <f aca="false">G5910*H5910</f>
        <v>-0.75</v>
      </c>
      <c r="T5910" s="0" t="n">
        <f aca="false">E5910*E5910</f>
        <v>1</v>
      </c>
      <c r="U5910" s="0" t="n">
        <f aca="false">F5910*F5910</f>
        <v>1</v>
      </c>
      <c r="V5910" s="0" t="n">
        <f aca="false">G5910*G5910</f>
        <v>1</v>
      </c>
      <c r="W5910" s="0" t="n">
        <f aca="false">H5910*H5910</f>
        <v>0.5625</v>
      </c>
      <c r="X5910" s="0" t="n">
        <f aca="false">SUMPRODUCT(I5910:W5910,_XtX!$B$96:$P$96)</f>
        <v>39.8794225146199</v>
      </c>
      <c r="Y5910" s="0" t="n">
        <f aca="false">SUMPRODUCT(MMULT(I5910:W5910,_XtX!$B$78:$P$92),I5910:W5910)</f>
        <v>0.610814144736842</v>
      </c>
      <c r="Z5910" s="0" t="n">
        <f aca="false">04_回帰ANOVA!$K$19*04_回帰ANOVA!$K$14*SQRT(1+Y5910)</f>
        <v>1.6543260558361</v>
      </c>
      <c r="AA5910" s="0" t="n">
        <f aca="false">X5910-Z5910</f>
        <v>38.2250964587838</v>
      </c>
      <c r="AB5910" s="0" t="n">
        <f aca="false">X5910+Z5910</f>
        <v>41.533748570456</v>
      </c>
      <c r="AC5910" s="54" t="b">
        <f aca="false">AND(E5910&gt;=01_因子設定!$L$5-0.000000001,E5910&lt;=01_因子設定!$M$5+0.000000001,F5910&gt;=01_因子設定!$L$6-0.000000001,F5910&lt;=01_因子設定!$M$6+0.000000001,G5910&gt;=01_因子設定!$L$7-0.000000001,G5910&lt;=01_因子設定!$M$7+0.000000001,H5910&gt;=01_因子設定!$L$8-0.000000001,H5910&lt;=01_因子設定!$M$8+0.000000001,IF(01_因子設定!$B$20="Box-Behnken",E5910^2+F5910^2+G5910^2+H5910^2&lt;=2+0.000000001,TRUE()))</f>
        <v>1</v>
      </c>
      <c r="AD5910" s="55" t="n">
        <f aca="false">IF(AC5910,IF(01_因子設定!$B$13="最大化",AA5910-01_因子設定!$B$14,IF(01_因子設定!$B$13="最小化",01_因子設定!$B$15-AB5910,MIN(AA5910-01_因子設定!$B$14,01_因子設定!$B$15-AB5910))),-1E+030)</f>
        <v>-8.27490354121616</v>
      </c>
      <c r="AE5910" s="55" t="n">
        <f aca="false">IF(AC5910,IF(01_因子設定!$B$13="最大化",X5910,IF(01_因子設定!$B$13="最小化",-X5910,-ABS(X5910-01_因子設定!$B$16))),-1E+030)</f>
        <v>39.8794225146199</v>
      </c>
      <c r="AF5910" s="55" t="n">
        <f aca="false">AD5910+ROW()*0.000000001</f>
        <v>-8.27489763121616</v>
      </c>
      <c r="AG5910" s="55" t="n">
        <f aca="false">AE5910+ROW()*0.000000001</f>
        <v>39.8794284246199</v>
      </c>
    </row>
    <row r="5911" customFormat="false" ht="15" hidden="false" customHeight="false" outlineLevel="0" collapsed="false">
      <c r="A5911" s="0" t="n">
        <v>8</v>
      </c>
      <c r="B5911" s="0" t="n">
        <v>0</v>
      </c>
      <c r="C5911" s="0" t="n">
        <v>8</v>
      </c>
      <c r="D5911" s="0" t="n">
        <v>2</v>
      </c>
      <c r="E5911" s="0" t="n">
        <f aca="false">-1+A5911*0.25</f>
        <v>1</v>
      </c>
      <c r="F5911" s="0" t="n">
        <f aca="false">-1+B5911*0.25</f>
        <v>-1</v>
      </c>
      <c r="G5911" s="0" t="n">
        <f aca="false">-1+C5911*0.25</f>
        <v>1</v>
      </c>
      <c r="H5911" s="0" t="n">
        <f aca="false">-1+D5911*0.25</f>
        <v>-0.5</v>
      </c>
      <c r="I5911" s="0" t="n">
        <f aca="false">1</f>
        <v>1</v>
      </c>
      <c r="J5911" s="0" t="n">
        <f aca="false">E5911</f>
        <v>1</v>
      </c>
      <c r="K5911" s="0" t="n">
        <f aca="false">F5911</f>
        <v>-1</v>
      </c>
      <c r="L5911" s="0" t="n">
        <f aca="false">G5911</f>
        <v>1</v>
      </c>
      <c r="M5911" s="0" t="n">
        <f aca="false">H5911</f>
        <v>-0.5</v>
      </c>
      <c r="N5911" s="0" t="n">
        <f aca="false">E5911*F5911</f>
        <v>-1</v>
      </c>
      <c r="O5911" s="0" t="n">
        <f aca="false">E5911*G5911</f>
        <v>1</v>
      </c>
      <c r="P5911" s="0" t="n">
        <f aca="false">E5911*H5911</f>
        <v>-0.5</v>
      </c>
      <c r="Q5911" s="0" t="n">
        <f aca="false">F5911*G5911</f>
        <v>-1</v>
      </c>
      <c r="R5911" s="0" t="n">
        <f aca="false">F5911*H5911</f>
        <v>0.5</v>
      </c>
      <c r="S5911" s="0" t="n">
        <f aca="false">G5911*H5911</f>
        <v>-0.5</v>
      </c>
      <c r="T5911" s="0" t="n">
        <f aca="false">E5911*E5911</f>
        <v>1</v>
      </c>
      <c r="U5911" s="0" t="n">
        <f aca="false">F5911*F5911</f>
        <v>1</v>
      </c>
      <c r="V5911" s="0" t="n">
        <f aca="false">G5911*G5911</f>
        <v>1</v>
      </c>
      <c r="W5911" s="0" t="n">
        <f aca="false">H5911*H5911</f>
        <v>0.25</v>
      </c>
      <c r="X5911" s="0" t="n">
        <f aca="false">SUMPRODUCT(I5911:W5911,_XtX!$B$96:$P$96)</f>
        <v>40.2565789473685</v>
      </c>
      <c r="Y5911" s="0" t="n">
        <f aca="false">SUMPRODUCT(MMULT(I5911:W5911,_XtX!$B$78:$P$92),I5911:W5911)</f>
        <v>0.667123538011696</v>
      </c>
      <c r="Z5911" s="0" t="n">
        <f aca="false">04_回帰ANOVA!$K$19*04_回帰ANOVA!$K$14*SQRT(1+Y5911)</f>
        <v>1.68299290213005</v>
      </c>
      <c r="AA5911" s="0" t="n">
        <f aca="false">X5911-Z5911</f>
        <v>38.5735860452384</v>
      </c>
      <c r="AB5911" s="0" t="n">
        <f aca="false">X5911+Z5911</f>
        <v>41.9395718494985</v>
      </c>
      <c r="AC5911" s="54" t="b">
        <f aca="false">AND(E5911&gt;=01_因子設定!$L$5-0.000000001,E5911&lt;=01_因子設定!$M$5+0.000000001,F5911&gt;=01_因子設定!$L$6-0.000000001,F5911&lt;=01_因子設定!$M$6+0.000000001,G5911&gt;=01_因子設定!$L$7-0.000000001,G5911&lt;=01_因子設定!$M$7+0.000000001,H5911&gt;=01_因子設定!$L$8-0.000000001,H5911&lt;=01_因子設定!$M$8+0.000000001,IF(01_因子設定!$B$20="Box-Behnken",E5911^2+F5911^2+G5911^2+H5911^2&lt;=2+0.000000001,TRUE()))</f>
        <v>1</v>
      </c>
      <c r="AD5911" s="55" t="n">
        <f aca="false">IF(AC5911,IF(01_因子設定!$B$13="最大化",AA5911-01_因子設定!$B$14,IF(01_因子設定!$B$13="最小化",01_因子設定!$B$15-AB5911,MIN(AA5911-01_因子設定!$B$14,01_因子設定!$B$15-AB5911))),-1E+030)</f>
        <v>-7.92641395476159</v>
      </c>
      <c r="AE5911" s="55" t="n">
        <f aca="false">IF(AC5911,IF(01_因子設定!$B$13="最大化",X5911,IF(01_因子設定!$B$13="最小化",-X5911,-ABS(X5911-01_因子設定!$B$16))),-1E+030)</f>
        <v>40.2565789473685</v>
      </c>
      <c r="AF5911" s="55" t="n">
        <f aca="false">AD5911+ROW()*0.000000001</f>
        <v>-7.92640804376159</v>
      </c>
      <c r="AG5911" s="55" t="n">
        <f aca="false">AE5911+ROW()*0.000000001</f>
        <v>40.2565848583685</v>
      </c>
    </row>
    <row r="5912" customFormat="false" ht="15" hidden="false" customHeight="false" outlineLevel="0" collapsed="false">
      <c r="A5912" s="0" t="n">
        <v>8</v>
      </c>
      <c r="B5912" s="0" t="n">
        <v>0</v>
      </c>
      <c r="C5912" s="0" t="n">
        <v>8</v>
      </c>
      <c r="D5912" s="0" t="n">
        <v>3</v>
      </c>
      <c r="E5912" s="0" t="n">
        <f aca="false">-1+A5912*0.25</f>
        <v>1</v>
      </c>
      <c r="F5912" s="0" t="n">
        <f aca="false">-1+B5912*0.25</f>
        <v>-1</v>
      </c>
      <c r="G5912" s="0" t="n">
        <f aca="false">-1+C5912*0.25</f>
        <v>1</v>
      </c>
      <c r="H5912" s="0" t="n">
        <f aca="false">-1+D5912*0.25</f>
        <v>-0.25</v>
      </c>
      <c r="I5912" s="0" t="n">
        <f aca="false">1</f>
        <v>1</v>
      </c>
      <c r="J5912" s="0" t="n">
        <f aca="false">E5912</f>
        <v>1</v>
      </c>
      <c r="K5912" s="0" t="n">
        <f aca="false">F5912</f>
        <v>-1</v>
      </c>
      <c r="L5912" s="0" t="n">
        <f aca="false">G5912</f>
        <v>1</v>
      </c>
      <c r="M5912" s="0" t="n">
        <f aca="false">H5912</f>
        <v>-0.25</v>
      </c>
      <c r="N5912" s="0" t="n">
        <f aca="false">E5912*F5912</f>
        <v>-1</v>
      </c>
      <c r="O5912" s="0" t="n">
        <f aca="false">E5912*G5912</f>
        <v>1</v>
      </c>
      <c r="P5912" s="0" t="n">
        <f aca="false">E5912*H5912</f>
        <v>-0.25</v>
      </c>
      <c r="Q5912" s="0" t="n">
        <f aca="false">F5912*G5912</f>
        <v>-1</v>
      </c>
      <c r="R5912" s="0" t="n">
        <f aca="false">F5912*H5912</f>
        <v>0.25</v>
      </c>
      <c r="S5912" s="0" t="n">
        <f aca="false">G5912*H5912</f>
        <v>-0.25</v>
      </c>
      <c r="T5912" s="0" t="n">
        <f aca="false">E5912*E5912</f>
        <v>1</v>
      </c>
      <c r="U5912" s="0" t="n">
        <f aca="false">F5912*F5912</f>
        <v>1</v>
      </c>
      <c r="V5912" s="0" t="n">
        <f aca="false">G5912*G5912</f>
        <v>1</v>
      </c>
      <c r="W5912" s="0" t="n">
        <f aca="false">H5912*H5912</f>
        <v>0.0625</v>
      </c>
      <c r="X5912" s="0" t="n">
        <f aca="false">SUMPRODUCT(I5912:W5912,_XtX!$B$96:$P$96)</f>
        <v>40.5859283625731</v>
      </c>
      <c r="Y5912" s="0" t="n">
        <f aca="false">SUMPRODUCT(MMULT(I5912:W5912,_XtX!$B$78:$P$92),I5912:W5912)</f>
        <v>0.737093384502924</v>
      </c>
      <c r="Z5912" s="0" t="n">
        <f aca="false">04_回帰ANOVA!$K$19*04_回帰ANOVA!$K$14*SQRT(1+Y5912)</f>
        <v>1.71794784853551</v>
      </c>
      <c r="AA5912" s="0" t="n">
        <f aca="false">X5912-Z5912</f>
        <v>38.8679805140376</v>
      </c>
      <c r="AB5912" s="0" t="n">
        <f aca="false">X5912+Z5912</f>
        <v>42.3038762111086</v>
      </c>
      <c r="AC5912" s="54" t="b">
        <f aca="false">AND(E5912&gt;=01_因子設定!$L$5-0.000000001,E5912&lt;=01_因子設定!$M$5+0.000000001,F5912&gt;=01_因子設定!$L$6-0.000000001,F5912&lt;=01_因子設定!$M$6+0.000000001,G5912&gt;=01_因子設定!$L$7-0.000000001,G5912&lt;=01_因子設定!$M$7+0.000000001,H5912&gt;=01_因子設定!$L$8-0.000000001,H5912&lt;=01_因子設定!$M$8+0.000000001,IF(01_因子設定!$B$20="Box-Behnken",E5912^2+F5912^2+G5912^2+H5912^2&lt;=2+0.000000001,TRUE()))</f>
        <v>1</v>
      </c>
      <c r="AD5912" s="55" t="n">
        <f aca="false">IF(AC5912,IF(01_因子設定!$B$13="最大化",AA5912-01_因子設定!$B$14,IF(01_因子設定!$B$13="最小化",01_因子設定!$B$15-AB5912,MIN(AA5912-01_因子設定!$B$14,01_因子設定!$B$15-AB5912))),-1E+030)</f>
        <v>-7.63201948596237</v>
      </c>
      <c r="AE5912" s="55" t="n">
        <f aca="false">IF(AC5912,IF(01_因子設定!$B$13="最大化",X5912,IF(01_因子設定!$B$13="最小化",-X5912,-ABS(X5912-01_因子設定!$B$16))),-1E+030)</f>
        <v>40.5859283625731</v>
      </c>
      <c r="AF5912" s="55" t="n">
        <f aca="false">AD5912+ROW()*0.000000001</f>
        <v>-7.63201357396237</v>
      </c>
      <c r="AG5912" s="55" t="n">
        <f aca="false">AE5912+ROW()*0.000000001</f>
        <v>40.5859342745731</v>
      </c>
    </row>
    <row r="5913" customFormat="false" ht="15" hidden="false" customHeight="false" outlineLevel="0" collapsed="false">
      <c r="A5913" s="0" t="n">
        <v>8</v>
      </c>
      <c r="B5913" s="0" t="n">
        <v>0</v>
      </c>
      <c r="C5913" s="0" t="n">
        <v>8</v>
      </c>
      <c r="D5913" s="0" t="n">
        <v>4</v>
      </c>
      <c r="E5913" s="0" t="n">
        <f aca="false">-1+A5913*0.25</f>
        <v>1</v>
      </c>
      <c r="F5913" s="0" t="n">
        <f aca="false">-1+B5913*0.25</f>
        <v>-1</v>
      </c>
      <c r="G5913" s="0" t="n">
        <f aca="false">-1+C5913*0.25</f>
        <v>1</v>
      </c>
      <c r="H5913" s="0" t="n">
        <f aca="false">-1+D5913*0.25</f>
        <v>0</v>
      </c>
      <c r="I5913" s="0" t="n">
        <f aca="false">1</f>
        <v>1</v>
      </c>
      <c r="J5913" s="0" t="n">
        <f aca="false">E5913</f>
        <v>1</v>
      </c>
      <c r="K5913" s="0" t="n">
        <f aca="false">F5913</f>
        <v>-1</v>
      </c>
      <c r="L5913" s="0" t="n">
        <f aca="false">G5913</f>
        <v>1</v>
      </c>
      <c r="M5913" s="0" t="n">
        <f aca="false">H5913</f>
        <v>0</v>
      </c>
      <c r="N5913" s="0" t="n">
        <f aca="false">E5913*F5913</f>
        <v>-1</v>
      </c>
      <c r="O5913" s="0" t="n">
        <f aca="false">E5913*G5913</f>
        <v>1</v>
      </c>
      <c r="P5913" s="0" t="n">
        <f aca="false">E5913*H5913</f>
        <v>0</v>
      </c>
      <c r="Q5913" s="0" t="n">
        <f aca="false">F5913*G5913</f>
        <v>-1</v>
      </c>
      <c r="R5913" s="0" t="n">
        <f aca="false">F5913*H5913</f>
        <v>-0</v>
      </c>
      <c r="S5913" s="0" t="n">
        <f aca="false">G5913*H5913</f>
        <v>0</v>
      </c>
      <c r="T5913" s="0" t="n">
        <f aca="false">E5913*E5913</f>
        <v>1</v>
      </c>
      <c r="U5913" s="0" t="n">
        <f aca="false">F5913*F5913</f>
        <v>1</v>
      </c>
      <c r="V5913" s="0" t="n">
        <f aca="false">G5913*G5913</f>
        <v>1</v>
      </c>
      <c r="W5913" s="0" t="n">
        <f aca="false">H5913*H5913</f>
        <v>0</v>
      </c>
      <c r="X5913" s="0" t="n">
        <f aca="false">SUMPRODUCT(I5913:W5913,_XtX!$B$96:$P$96)</f>
        <v>40.8674707602339</v>
      </c>
      <c r="Y5913" s="0" t="n">
        <f aca="false">SUMPRODUCT(MMULT(I5913:W5913,_XtX!$B$78:$P$92),I5913:W5913)</f>
        <v>0.766447368421053</v>
      </c>
      <c r="Z5913" s="0" t="n">
        <f aca="false">04_回帰ANOVA!$K$19*04_回帰ANOVA!$K$14*SQRT(1+Y5913)</f>
        <v>1.7324022685743</v>
      </c>
      <c r="AA5913" s="0" t="n">
        <f aca="false">X5913-Z5913</f>
        <v>39.1350684916596</v>
      </c>
      <c r="AB5913" s="0" t="n">
        <f aca="false">X5913+Z5913</f>
        <v>42.5998730288083</v>
      </c>
      <c r="AC5913" s="54" t="b">
        <f aca="false">AND(E5913&gt;=01_因子設定!$L$5-0.000000001,E5913&lt;=01_因子設定!$M$5+0.000000001,F5913&gt;=01_因子設定!$L$6-0.000000001,F5913&lt;=01_因子設定!$M$6+0.000000001,G5913&gt;=01_因子設定!$L$7-0.000000001,G5913&lt;=01_因子設定!$M$7+0.000000001,H5913&gt;=01_因子設定!$L$8-0.000000001,H5913&lt;=01_因子設定!$M$8+0.000000001,IF(01_因子設定!$B$20="Box-Behnken",E5913^2+F5913^2+G5913^2+H5913^2&lt;=2+0.000000001,TRUE()))</f>
        <v>1</v>
      </c>
      <c r="AD5913" s="55" t="n">
        <f aca="false">IF(AC5913,IF(01_因子設定!$B$13="最大化",AA5913-01_因子設定!$B$14,IF(01_因子設定!$B$13="最小化",01_因子設定!$B$15-AB5913,MIN(AA5913-01_因子設定!$B$14,01_因子設定!$B$15-AB5913))),-1E+030)</f>
        <v>-7.36493150834036</v>
      </c>
      <c r="AE5913" s="55" t="n">
        <f aca="false">IF(AC5913,IF(01_因子設定!$B$13="最大化",X5913,IF(01_因子設定!$B$13="最小化",-X5913,-ABS(X5913-01_因子設定!$B$16))),-1E+030)</f>
        <v>40.8674707602339</v>
      </c>
      <c r="AF5913" s="55" t="n">
        <f aca="false">AD5913+ROW()*0.000000001</f>
        <v>-7.36492559534036</v>
      </c>
      <c r="AG5913" s="55" t="n">
        <f aca="false">AE5913+ROW()*0.000000001</f>
        <v>40.8674766732339</v>
      </c>
    </row>
    <row r="5914" customFormat="false" ht="15" hidden="false" customHeight="false" outlineLevel="0" collapsed="false">
      <c r="A5914" s="0" t="n">
        <v>8</v>
      </c>
      <c r="B5914" s="0" t="n">
        <v>0</v>
      </c>
      <c r="C5914" s="0" t="n">
        <v>8</v>
      </c>
      <c r="D5914" s="0" t="n">
        <v>5</v>
      </c>
      <c r="E5914" s="0" t="n">
        <f aca="false">-1+A5914*0.25</f>
        <v>1</v>
      </c>
      <c r="F5914" s="0" t="n">
        <f aca="false">-1+B5914*0.25</f>
        <v>-1</v>
      </c>
      <c r="G5914" s="0" t="n">
        <f aca="false">-1+C5914*0.25</f>
        <v>1</v>
      </c>
      <c r="H5914" s="0" t="n">
        <f aca="false">-1+D5914*0.25</f>
        <v>0.25</v>
      </c>
      <c r="I5914" s="0" t="n">
        <f aca="false">1</f>
        <v>1</v>
      </c>
      <c r="J5914" s="0" t="n">
        <f aca="false">E5914</f>
        <v>1</v>
      </c>
      <c r="K5914" s="0" t="n">
        <f aca="false">F5914</f>
        <v>-1</v>
      </c>
      <c r="L5914" s="0" t="n">
        <f aca="false">G5914</f>
        <v>1</v>
      </c>
      <c r="M5914" s="0" t="n">
        <f aca="false">H5914</f>
        <v>0.25</v>
      </c>
      <c r="N5914" s="0" t="n">
        <f aca="false">E5914*F5914</f>
        <v>-1</v>
      </c>
      <c r="O5914" s="0" t="n">
        <f aca="false">E5914*G5914</f>
        <v>1</v>
      </c>
      <c r="P5914" s="0" t="n">
        <f aca="false">E5914*H5914</f>
        <v>0.25</v>
      </c>
      <c r="Q5914" s="0" t="n">
        <f aca="false">F5914*G5914</f>
        <v>-1</v>
      </c>
      <c r="R5914" s="0" t="n">
        <f aca="false">F5914*H5914</f>
        <v>-0.25</v>
      </c>
      <c r="S5914" s="0" t="n">
        <f aca="false">G5914*H5914</f>
        <v>0.25</v>
      </c>
      <c r="T5914" s="0" t="n">
        <f aca="false">E5914*E5914</f>
        <v>1</v>
      </c>
      <c r="U5914" s="0" t="n">
        <f aca="false">F5914*F5914</f>
        <v>1</v>
      </c>
      <c r="V5914" s="0" t="n">
        <f aca="false">G5914*G5914</f>
        <v>1</v>
      </c>
      <c r="W5914" s="0" t="n">
        <f aca="false">H5914*H5914</f>
        <v>0.0625</v>
      </c>
      <c r="X5914" s="0" t="n">
        <f aca="false">SUMPRODUCT(I5914:W5914,_XtX!$B$96:$P$96)</f>
        <v>41.1012061403509</v>
      </c>
      <c r="Y5914" s="0" t="n">
        <f aca="false">SUMPRODUCT(MMULT(I5914:W5914,_XtX!$B$78:$P$92),I5914:W5914)</f>
        <v>0.737093384502924</v>
      </c>
      <c r="Z5914" s="0" t="n">
        <f aca="false">04_回帰ANOVA!$K$19*04_回帰ANOVA!$K$14*SQRT(1+Y5914)</f>
        <v>1.71794784853551</v>
      </c>
      <c r="AA5914" s="0" t="n">
        <f aca="false">X5914-Z5914</f>
        <v>39.3832582918154</v>
      </c>
      <c r="AB5914" s="0" t="n">
        <f aca="false">X5914+Z5914</f>
        <v>42.8191539888864</v>
      </c>
      <c r="AC5914" s="54" t="b">
        <f aca="false">AND(E5914&gt;=01_因子設定!$L$5-0.000000001,E5914&lt;=01_因子設定!$M$5+0.000000001,F5914&gt;=01_因子設定!$L$6-0.000000001,F5914&lt;=01_因子設定!$M$6+0.000000001,G5914&gt;=01_因子設定!$L$7-0.000000001,G5914&lt;=01_因子設定!$M$7+0.000000001,H5914&gt;=01_因子設定!$L$8-0.000000001,H5914&lt;=01_因子設定!$M$8+0.000000001,IF(01_因子設定!$B$20="Box-Behnken",E5914^2+F5914^2+G5914^2+H5914^2&lt;=2+0.000000001,TRUE()))</f>
        <v>1</v>
      </c>
      <c r="AD5914" s="55" t="n">
        <f aca="false">IF(AC5914,IF(01_因子設定!$B$13="最大化",AA5914-01_因子設定!$B$14,IF(01_因子設定!$B$13="最小化",01_因子設定!$B$15-AB5914,MIN(AA5914-01_因子設定!$B$14,01_因子設定!$B$15-AB5914))),-1E+030)</f>
        <v>-7.1167417081846</v>
      </c>
      <c r="AE5914" s="55" t="n">
        <f aca="false">IF(AC5914,IF(01_因子設定!$B$13="最大化",X5914,IF(01_因子設定!$B$13="最小化",-X5914,-ABS(X5914-01_因子設定!$B$16))),-1E+030)</f>
        <v>41.1012061403509</v>
      </c>
      <c r="AF5914" s="55" t="n">
        <f aca="false">AD5914+ROW()*0.000000001</f>
        <v>-7.1167357941846</v>
      </c>
      <c r="AG5914" s="55" t="n">
        <f aca="false">AE5914+ROW()*0.000000001</f>
        <v>41.1012120543509</v>
      </c>
    </row>
    <row r="5915" customFormat="false" ht="15" hidden="false" customHeight="false" outlineLevel="0" collapsed="false">
      <c r="A5915" s="0" t="n">
        <v>8</v>
      </c>
      <c r="B5915" s="0" t="n">
        <v>0</v>
      </c>
      <c r="C5915" s="0" t="n">
        <v>8</v>
      </c>
      <c r="D5915" s="0" t="n">
        <v>6</v>
      </c>
      <c r="E5915" s="0" t="n">
        <f aca="false">-1+A5915*0.25</f>
        <v>1</v>
      </c>
      <c r="F5915" s="0" t="n">
        <f aca="false">-1+B5915*0.25</f>
        <v>-1</v>
      </c>
      <c r="G5915" s="0" t="n">
        <f aca="false">-1+C5915*0.25</f>
        <v>1</v>
      </c>
      <c r="H5915" s="0" t="n">
        <f aca="false">-1+D5915*0.25</f>
        <v>0.5</v>
      </c>
      <c r="I5915" s="0" t="n">
        <f aca="false">1</f>
        <v>1</v>
      </c>
      <c r="J5915" s="0" t="n">
        <f aca="false">E5915</f>
        <v>1</v>
      </c>
      <c r="K5915" s="0" t="n">
        <f aca="false">F5915</f>
        <v>-1</v>
      </c>
      <c r="L5915" s="0" t="n">
        <f aca="false">G5915</f>
        <v>1</v>
      </c>
      <c r="M5915" s="0" t="n">
        <f aca="false">H5915</f>
        <v>0.5</v>
      </c>
      <c r="N5915" s="0" t="n">
        <f aca="false">E5915*F5915</f>
        <v>-1</v>
      </c>
      <c r="O5915" s="0" t="n">
        <f aca="false">E5915*G5915</f>
        <v>1</v>
      </c>
      <c r="P5915" s="0" t="n">
        <f aca="false">E5915*H5915</f>
        <v>0.5</v>
      </c>
      <c r="Q5915" s="0" t="n">
        <f aca="false">F5915*G5915</f>
        <v>-1</v>
      </c>
      <c r="R5915" s="0" t="n">
        <f aca="false">F5915*H5915</f>
        <v>-0.5</v>
      </c>
      <c r="S5915" s="0" t="n">
        <f aca="false">G5915*H5915</f>
        <v>0.5</v>
      </c>
      <c r="T5915" s="0" t="n">
        <f aca="false">E5915*E5915</f>
        <v>1</v>
      </c>
      <c r="U5915" s="0" t="n">
        <f aca="false">F5915*F5915</f>
        <v>1</v>
      </c>
      <c r="V5915" s="0" t="n">
        <f aca="false">G5915*G5915</f>
        <v>1</v>
      </c>
      <c r="W5915" s="0" t="n">
        <f aca="false">H5915*H5915</f>
        <v>0.25</v>
      </c>
      <c r="X5915" s="0" t="n">
        <f aca="false">SUMPRODUCT(I5915:W5915,_XtX!$B$96:$P$96)</f>
        <v>41.287134502924</v>
      </c>
      <c r="Y5915" s="0" t="n">
        <f aca="false">SUMPRODUCT(MMULT(I5915:W5915,_XtX!$B$78:$P$92),I5915:W5915)</f>
        <v>0.667123538011696</v>
      </c>
      <c r="Z5915" s="0" t="n">
        <f aca="false">04_回帰ANOVA!$K$19*04_回帰ANOVA!$K$14*SQRT(1+Y5915)</f>
        <v>1.68299290213005</v>
      </c>
      <c r="AA5915" s="0" t="n">
        <f aca="false">X5915-Z5915</f>
        <v>39.604141600794</v>
      </c>
      <c r="AB5915" s="0" t="n">
        <f aca="false">X5915+Z5915</f>
        <v>42.9701274050541</v>
      </c>
      <c r="AC5915" s="54" t="b">
        <f aca="false">AND(E5915&gt;=01_因子設定!$L$5-0.000000001,E5915&lt;=01_因子設定!$M$5+0.000000001,F5915&gt;=01_因子設定!$L$6-0.000000001,F5915&lt;=01_因子設定!$M$6+0.000000001,G5915&gt;=01_因子設定!$L$7-0.000000001,G5915&lt;=01_因子設定!$M$7+0.000000001,H5915&gt;=01_因子設定!$L$8-0.000000001,H5915&lt;=01_因子設定!$M$8+0.000000001,IF(01_因子設定!$B$20="Box-Behnken",E5915^2+F5915^2+G5915^2+H5915^2&lt;=2+0.000000001,TRUE()))</f>
        <v>1</v>
      </c>
      <c r="AD5915" s="55" t="n">
        <f aca="false">IF(AC5915,IF(01_因子設定!$B$13="最大化",AA5915-01_因子設定!$B$14,IF(01_因子設定!$B$13="最小化",01_因子設定!$B$15-AB5915,MIN(AA5915-01_因子設定!$B$14,01_因子設定!$B$15-AB5915))),-1E+030)</f>
        <v>-6.89585839920604</v>
      </c>
      <c r="AE5915" s="55" t="n">
        <f aca="false">IF(AC5915,IF(01_因子設定!$B$13="最大化",X5915,IF(01_因子設定!$B$13="最小化",-X5915,-ABS(X5915-01_因子設定!$B$16))),-1E+030)</f>
        <v>41.287134502924</v>
      </c>
      <c r="AF5915" s="55" t="n">
        <f aca="false">AD5915+ROW()*0.000000001</f>
        <v>-6.89585248420604</v>
      </c>
      <c r="AG5915" s="55" t="n">
        <f aca="false">AE5915+ROW()*0.000000001</f>
        <v>41.287140417924</v>
      </c>
    </row>
    <row r="5916" customFormat="false" ht="15" hidden="false" customHeight="false" outlineLevel="0" collapsed="false">
      <c r="A5916" s="0" t="n">
        <v>8</v>
      </c>
      <c r="B5916" s="0" t="n">
        <v>0</v>
      </c>
      <c r="C5916" s="0" t="n">
        <v>8</v>
      </c>
      <c r="D5916" s="0" t="n">
        <v>7</v>
      </c>
      <c r="E5916" s="0" t="n">
        <f aca="false">-1+A5916*0.25</f>
        <v>1</v>
      </c>
      <c r="F5916" s="0" t="n">
        <f aca="false">-1+B5916*0.25</f>
        <v>-1</v>
      </c>
      <c r="G5916" s="0" t="n">
        <f aca="false">-1+C5916*0.25</f>
        <v>1</v>
      </c>
      <c r="H5916" s="0" t="n">
        <f aca="false">-1+D5916*0.25</f>
        <v>0.75</v>
      </c>
      <c r="I5916" s="0" t="n">
        <f aca="false">1</f>
        <v>1</v>
      </c>
      <c r="J5916" s="0" t="n">
        <f aca="false">E5916</f>
        <v>1</v>
      </c>
      <c r="K5916" s="0" t="n">
        <f aca="false">F5916</f>
        <v>-1</v>
      </c>
      <c r="L5916" s="0" t="n">
        <f aca="false">G5916</f>
        <v>1</v>
      </c>
      <c r="M5916" s="0" t="n">
        <f aca="false">H5916</f>
        <v>0.75</v>
      </c>
      <c r="N5916" s="0" t="n">
        <f aca="false">E5916*F5916</f>
        <v>-1</v>
      </c>
      <c r="O5916" s="0" t="n">
        <f aca="false">E5916*G5916</f>
        <v>1</v>
      </c>
      <c r="P5916" s="0" t="n">
        <f aca="false">E5916*H5916</f>
        <v>0.75</v>
      </c>
      <c r="Q5916" s="0" t="n">
        <f aca="false">F5916*G5916</f>
        <v>-1</v>
      </c>
      <c r="R5916" s="0" t="n">
        <f aca="false">F5916*H5916</f>
        <v>-0.75</v>
      </c>
      <c r="S5916" s="0" t="n">
        <f aca="false">G5916*H5916</f>
        <v>0.75</v>
      </c>
      <c r="T5916" s="0" t="n">
        <f aca="false">E5916*E5916</f>
        <v>1</v>
      </c>
      <c r="U5916" s="0" t="n">
        <f aca="false">F5916*F5916</f>
        <v>1</v>
      </c>
      <c r="V5916" s="0" t="n">
        <f aca="false">G5916*G5916</f>
        <v>1</v>
      </c>
      <c r="W5916" s="0" t="n">
        <f aca="false">H5916*H5916</f>
        <v>0.5625</v>
      </c>
      <c r="X5916" s="0" t="n">
        <f aca="false">SUMPRODUCT(I5916:W5916,_XtX!$B$96:$P$96)</f>
        <v>41.4252558479533</v>
      </c>
      <c r="Y5916" s="0" t="n">
        <f aca="false">SUMPRODUCT(MMULT(I5916:W5916,_XtX!$B$78:$P$92),I5916:W5916)</f>
        <v>0.610814144736842</v>
      </c>
      <c r="Z5916" s="0" t="n">
        <f aca="false">04_回帰ANOVA!$K$19*04_回帰ANOVA!$K$14*SQRT(1+Y5916)</f>
        <v>1.6543260558361</v>
      </c>
      <c r="AA5916" s="0" t="n">
        <f aca="false">X5916-Z5916</f>
        <v>39.7709297921172</v>
      </c>
      <c r="AB5916" s="0" t="n">
        <f aca="false">X5916+Z5916</f>
        <v>43.0795819037894</v>
      </c>
      <c r="AC5916" s="54" t="b">
        <f aca="false">AND(E5916&gt;=01_因子設定!$L$5-0.000000001,E5916&lt;=01_因子設定!$M$5+0.000000001,F5916&gt;=01_因子設定!$L$6-0.000000001,F5916&lt;=01_因子設定!$M$6+0.000000001,G5916&gt;=01_因子設定!$L$7-0.000000001,G5916&lt;=01_因子設定!$M$7+0.000000001,H5916&gt;=01_因子設定!$L$8-0.000000001,H5916&lt;=01_因子設定!$M$8+0.000000001,IF(01_因子設定!$B$20="Box-Behnken",E5916^2+F5916^2+G5916^2+H5916^2&lt;=2+0.000000001,TRUE()))</f>
        <v>1</v>
      </c>
      <c r="AD5916" s="55" t="n">
        <f aca="false">IF(AC5916,IF(01_因子設定!$B$13="最大化",AA5916-01_因子設定!$B$14,IF(01_因子設定!$B$13="最小化",01_因子設定!$B$15-AB5916,MIN(AA5916-01_因子設定!$B$14,01_因子設定!$B$15-AB5916))),-1E+030)</f>
        <v>-6.72907020788283</v>
      </c>
      <c r="AE5916" s="55" t="n">
        <f aca="false">IF(AC5916,IF(01_因子設定!$B$13="最大化",X5916,IF(01_因子設定!$B$13="最小化",-X5916,-ABS(X5916-01_因子設定!$B$16))),-1E+030)</f>
        <v>41.4252558479533</v>
      </c>
      <c r="AF5916" s="55" t="n">
        <f aca="false">AD5916+ROW()*0.000000001</f>
        <v>-6.72906429188283</v>
      </c>
      <c r="AG5916" s="55" t="n">
        <f aca="false">AE5916+ROW()*0.000000001</f>
        <v>41.4252617639533</v>
      </c>
    </row>
    <row r="5917" customFormat="false" ht="15" hidden="false" customHeight="false" outlineLevel="0" collapsed="false">
      <c r="A5917" s="0" t="n">
        <v>8</v>
      </c>
      <c r="B5917" s="0" t="n">
        <v>0</v>
      </c>
      <c r="C5917" s="0" t="n">
        <v>8</v>
      </c>
      <c r="D5917" s="0" t="n">
        <v>8</v>
      </c>
      <c r="E5917" s="0" t="n">
        <f aca="false">-1+A5917*0.25</f>
        <v>1</v>
      </c>
      <c r="F5917" s="0" t="n">
        <f aca="false">-1+B5917*0.25</f>
        <v>-1</v>
      </c>
      <c r="G5917" s="0" t="n">
        <f aca="false">-1+C5917*0.25</f>
        <v>1</v>
      </c>
      <c r="H5917" s="0" t="n">
        <f aca="false">-1+D5917*0.25</f>
        <v>1</v>
      </c>
      <c r="I5917" s="0" t="n">
        <f aca="false">1</f>
        <v>1</v>
      </c>
      <c r="J5917" s="0" t="n">
        <f aca="false">E5917</f>
        <v>1</v>
      </c>
      <c r="K5917" s="0" t="n">
        <f aca="false">F5917</f>
        <v>-1</v>
      </c>
      <c r="L5917" s="0" t="n">
        <f aca="false">G5917</f>
        <v>1</v>
      </c>
      <c r="M5917" s="0" t="n">
        <f aca="false">H5917</f>
        <v>1</v>
      </c>
      <c r="N5917" s="0" t="n">
        <f aca="false">E5917*F5917</f>
        <v>-1</v>
      </c>
      <c r="O5917" s="0" t="n">
        <f aca="false">E5917*G5917</f>
        <v>1</v>
      </c>
      <c r="P5917" s="0" t="n">
        <f aca="false">E5917*H5917</f>
        <v>1</v>
      </c>
      <c r="Q5917" s="0" t="n">
        <f aca="false">F5917*G5917</f>
        <v>-1</v>
      </c>
      <c r="R5917" s="0" t="n">
        <f aca="false">F5917*H5917</f>
        <v>-1</v>
      </c>
      <c r="S5917" s="0" t="n">
        <f aca="false">G5917*H5917</f>
        <v>1</v>
      </c>
      <c r="T5917" s="0" t="n">
        <f aca="false">E5917*E5917</f>
        <v>1</v>
      </c>
      <c r="U5917" s="0" t="n">
        <f aca="false">F5917*F5917</f>
        <v>1</v>
      </c>
      <c r="V5917" s="0" t="n">
        <f aca="false">G5917*G5917</f>
        <v>1</v>
      </c>
      <c r="W5917" s="0" t="n">
        <f aca="false">H5917*H5917</f>
        <v>1</v>
      </c>
      <c r="X5917" s="0" t="n">
        <f aca="false">SUMPRODUCT(I5917:W5917,_XtX!$B$96:$P$96)</f>
        <v>41.5155701754387</v>
      </c>
      <c r="Y5917" s="0" t="n">
        <f aca="false">SUMPRODUCT(MMULT(I5917:W5917,_XtX!$B$78:$P$92),I5917:W5917)</f>
        <v>0.658625730994152</v>
      </c>
      <c r="Z5917" s="0" t="n">
        <f aca="false">04_回帰ANOVA!$K$19*04_回帰ANOVA!$K$14*SQRT(1+Y5917)</f>
        <v>1.67869807328422</v>
      </c>
      <c r="AA5917" s="0" t="n">
        <f aca="false">X5917-Z5917</f>
        <v>39.8368721021544</v>
      </c>
      <c r="AB5917" s="0" t="n">
        <f aca="false">X5917+Z5917</f>
        <v>43.1942682487229</v>
      </c>
      <c r="AC5917" s="54" t="b">
        <f aca="false">AND(E5917&gt;=01_因子設定!$L$5-0.000000001,E5917&lt;=01_因子設定!$M$5+0.000000001,F5917&gt;=01_因子設定!$L$6-0.000000001,F5917&lt;=01_因子設定!$M$6+0.000000001,G5917&gt;=01_因子設定!$L$7-0.000000001,G5917&lt;=01_因子設定!$M$7+0.000000001,H5917&gt;=01_因子設定!$L$8-0.000000001,H5917&lt;=01_因子設定!$M$8+0.000000001,IF(01_因子設定!$B$20="Box-Behnken",E5917^2+F5917^2+G5917^2+H5917^2&lt;=2+0.000000001,TRUE()))</f>
        <v>1</v>
      </c>
      <c r="AD5917" s="55" t="n">
        <f aca="false">IF(AC5917,IF(01_因子設定!$B$13="最大化",AA5917-01_因子設定!$B$14,IF(01_因子設定!$B$13="最小化",01_因子設定!$B$15-AB5917,MIN(AA5917-01_因子設定!$B$14,01_因子設定!$B$15-AB5917))),-1E+030)</f>
        <v>-6.66312789784556</v>
      </c>
      <c r="AE5917" s="55" t="n">
        <f aca="false">IF(AC5917,IF(01_因子設定!$B$13="最大化",X5917,IF(01_因子設定!$B$13="最小化",-X5917,-ABS(X5917-01_因子設定!$B$16))),-1E+030)</f>
        <v>41.5155701754387</v>
      </c>
      <c r="AF5917" s="55" t="n">
        <f aca="false">AD5917+ROW()*0.000000001</f>
        <v>-6.66312198084556</v>
      </c>
      <c r="AG5917" s="55" t="n">
        <f aca="false">AE5917+ROW()*0.000000001</f>
        <v>41.5155760924387</v>
      </c>
    </row>
    <row r="5918" customFormat="false" ht="15" hidden="false" customHeight="false" outlineLevel="0" collapsed="false">
      <c r="A5918" s="0" t="n">
        <v>8</v>
      </c>
      <c r="B5918" s="0" t="n">
        <v>1</v>
      </c>
      <c r="C5918" s="0" t="n">
        <v>0</v>
      </c>
      <c r="D5918" s="0" t="n">
        <v>0</v>
      </c>
      <c r="E5918" s="0" t="n">
        <f aca="false">-1+A5918*0.25</f>
        <v>1</v>
      </c>
      <c r="F5918" s="0" t="n">
        <f aca="false">-1+B5918*0.25</f>
        <v>-0.75</v>
      </c>
      <c r="G5918" s="0" t="n">
        <f aca="false">-1+C5918*0.25</f>
        <v>-1</v>
      </c>
      <c r="H5918" s="0" t="n">
        <f aca="false">-1+D5918*0.25</f>
        <v>-1</v>
      </c>
      <c r="I5918" s="0" t="n">
        <f aca="false">1</f>
        <v>1</v>
      </c>
      <c r="J5918" s="0" t="n">
        <f aca="false">E5918</f>
        <v>1</v>
      </c>
      <c r="K5918" s="0" t="n">
        <f aca="false">F5918</f>
        <v>-0.75</v>
      </c>
      <c r="L5918" s="0" t="n">
        <f aca="false">G5918</f>
        <v>-1</v>
      </c>
      <c r="M5918" s="0" t="n">
        <f aca="false">H5918</f>
        <v>-1</v>
      </c>
      <c r="N5918" s="0" t="n">
        <f aca="false">E5918*F5918</f>
        <v>-0.75</v>
      </c>
      <c r="O5918" s="0" t="n">
        <f aca="false">E5918*G5918</f>
        <v>-1</v>
      </c>
      <c r="P5918" s="0" t="n">
        <f aca="false">E5918*H5918</f>
        <v>-1</v>
      </c>
      <c r="Q5918" s="0" t="n">
        <f aca="false">F5918*G5918</f>
        <v>0.75</v>
      </c>
      <c r="R5918" s="0" t="n">
        <f aca="false">F5918*H5918</f>
        <v>0.75</v>
      </c>
      <c r="S5918" s="0" t="n">
        <f aca="false">G5918*H5918</f>
        <v>1</v>
      </c>
      <c r="T5918" s="0" t="n">
        <f aca="false">E5918*E5918</f>
        <v>1</v>
      </c>
      <c r="U5918" s="0" t="n">
        <f aca="false">F5918*F5918</f>
        <v>0.5625</v>
      </c>
      <c r="V5918" s="0" t="n">
        <f aca="false">G5918*G5918</f>
        <v>1</v>
      </c>
      <c r="W5918" s="0" t="n">
        <f aca="false">H5918*H5918</f>
        <v>1</v>
      </c>
      <c r="X5918" s="0" t="n">
        <f aca="false">SUMPRODUCT(I5918:W5918,_XtX!$B$96:$P$96)</f>
        <v>41.8974780701755</v>
      </c>
      <c r="Y5918" s="0" t="n">
        <f aca="false">SUMPRODUCT(MMULT(I5918:W5918,_XtX!$B$78:$P$92),I5918:W5918)</f>
        <v>0.610814144736842</v>
      </c>
      <c r="Z5918" s="0" t="n">
        <f aca="false">04_回帰ANOVA!$K$19*04_回帰ANOVA!$K$14*SQRT(1+Y5918)</f>
        <v>1.6543260558361</v>
      </c>
      <c r="AA5918" s="0" t="n">
        <f aca="false">X5918-Z5918</f>
        <v>40.2431520143394</v>
      </c>
      <c r="AB5918" s="0" t="n">
        <f aca="false">X5918+Z5918</f>
        <v>43.5518041260116</v>
      </c>
      <c r="AC5918" s="54" t="b">
        <f aca="false">AND(E5918&gt;=01_因子設定!$L$5-0.000000001,E5918&lt;=01_因子設定!$M$5+0.000000001,F5918&gt;=01_因子設定!$L$6-0.000000001,F5918&lt;=01_因子設定!$M$6+0.000000001,G5918&gt;=01_因子設定!$L$7-0.000000001,G5918&lt;=01_因子設定!$M$7+0.000000001,H5918&gt;=01_因子設定!$L$8-0.000000001,H5918&lt;=01_因子設定!$M$8+0.000000001,IF(01_因子設定!$B$20="Box-Behnken",E5918^2+F5918^2+G5918^2+H5918^2&lt;=2+0.000000001,TRUE()))</f>
        <v>1</v>
      </c>
      <c r="AD5918" s="55" t="n">
        <f aca="false">IF(AC5918,IF(01_因子設定!$B$13="最大化",AA5918-01_因子設定!$B$14,IF(01_因子設定!$B$13="最小化",01_因子設定!$B$15-AB5918,MIN(AA5918-01_因子設定!$B$14,01_因子設定!$B$15-AB5918))),-1E+030)</f>
        <v>-6.25684798566059</v>
      </c>
      <c r="AE5918" s="55" t="n">
        <f aca="false">IF(AC5918,IF(01_因子設定!$B$13="最大化",X5918,IF(01_因子設定!$B$13="最小化",-X5918,-ABS(X5918-01_因子設定!$B$16))),-1E+030)</f>
        <v>41.8974780701755</v>
      </c>
      <c r="AF5918" s="55" t="n">
        <f aca="false">AD5918+ROW()*0.000000001</f>
        <v>-6.25684206766059</v>
      </c>
      <c r="AG5918" s="55" t="n">
        <f aca="false">AE5918+ROW()*0.000000001</f>
        <v>41.8974839881755</v>
      </c>
    </row>
    <row r="5919" customFormat="false" ht="15" hidden="false" customHeight="false" outlineLevel="0" collapsed="false">
      <c r="A5919" s="0" t="n">
        <v>8</v>
      </c>
      <c r="B5919" s="0" t="n">
        <v>1</v>
      </c>
      <c r="C5919" s="0" t="n">
        <v>0</v>
      </c>
      <c r="D5919" s="0" t="n">
        <v>1</v>
      </c>
      <c r="E5919" s="0" t="n">
        <f aca="false">-1+A5919*0.25</f>
        <v>1</v>
      </c>
      <c r="F5919" s="0" t="n">
        <f aca="false">-1+B5919*0.25</f>
        <v>-0.75</v>
      </c>
      <c r="G5919" s="0" t="n">
        <f aca="false">-1+C5919*0.25</f>
        <v>-1</v>
      </c>
      <c r="H5919" s="0" t="n">
        <f aca="false">-1+D5919*0.25</f>
        <v>-0.75</v>
      </c>
      <c r="I5919" s="0" t="n">
        <f aca="false">1</f>
        <v>1</v>
      </c>
      <c r="J5919" s="0" t="n">
        <f aca="false">E5919</f>
        <v>1</v>
      </c>
      <c r="K5919" s="0" t="n">
        <f aca="false">F5919</f>
        <v>-0.75</v>
      </c>
      <c r="L5919" s="0" t="n">
        <f aca="false">G5919</f>
        <v>-1</v>
      </c>
      <c r="M5919" s="0" t="n">
        <f aca="false">H5919</f>
        <v>-0.75</v>
      </c>
      <c r="N5919" s="0" t="n">
        <f aca="false">E5919*F5919</f>
        <v>-0.75</v>
      </c>
      <c r="O5919" s="0" t="n">
        <f aca="false">E5919*G5919</f>
        <v>-1</v>
      </c>
      <c r="P5919" s="0" t="n">
        <f aca="false">E5919*H5919</f>
        <v>-0.75</v>
      </c>
      <c r="Q5919" s="0" t="n">
        <f aca="false">F5919*G5919</f>
        <v>0.75</v>
      </c>
      <c r="R5919" s="0" t="n">
        <f aca="false">F5919*H5919</f>
        <v>0.5625</v>
      </c>
      <c r="S5919" s="0" t="n">
        <f aca="false">G5919*H5919</f>
        <v>0.75</v>
      </c>
      <c r="T5919" s="0" t="n">
        <f aca="false">E5919*E5919</f>
        <v>1</v>
      </c>
      <c r="U5919" s="0" t="n">
        <f aca="false">F5919*F5919</f>
        <v>0.5625</v>
      </c>
      <c r="V5919" s="0" t="n">
        <f aca="false">G5919*G5919</f>
        <v>1</v>
      </c>
      <c r="W5919" s="0" t="n">
        <f aca="false">H5919*H5919</f>
        <v>0.5625</v>
      </c>
      <c r="X5919" s="0" t="n">
        <f aca="false">SUMPRODUCT(I5919:W5919,_XtX!$B$96:$P$96)</f>
        <v>42.1654102704679</v>
      </c>
      <c r="Y5919" s="0" t="n">
        <f aca="false">SUMPRODUCT(MMULT(I5919:W5919,_XtX!$B$78:$P$92),I5919:W5919)</f>
        <v>0.531311392086988</v>
      </c>
      <c r="Z5919" s="0" t="n">
        <f aca="false">04_回帰ANOVA!$K$19*04_回帰ANOVA!$K$14*SQRT(1+Y5919)</f>
        <v>1.61298433431428</v>
      </c>
      <c r="AA5919" s="0" t="n">
        <f aca="false">X5919-Z5919</f>
        <v>40.5524259361536</v>
      </c>
      <c r="AB5919" s="0" t="n">
        <f aca="false">X5919+Z5919</f>
        <v>43.7783946047822</v>
      </c>
      <c r="AC5919" s="54" t="b">
        <f aca="false">AND(E5919&gt;=01_因子設定!$L$5-0.000000001,E5919&lt;=01_因子設定!$M$5+0.000000001,F5919&gt;=01_因子設定!$L$6-0.000000001,F5919&lt;=01_因子設定!$M$6+0.000000001,G5919&gt;=01_因子設定!$L$7-0.000000001,G5919&lt;=01_因子設定!$M$7+0.000000001,H5919&gt;=01_因子設定!$L$8-0.000000001,H5919&lt;=01_因子設定!$M$8+0.000000001,IF(01_因子設定!$B$20="Box-Behnken",E5919^2+F5919^2+G5919^2+H5919^2&lt;=2+0.000000001,TRUE()))</f>
        <v>1</v>
      </c>
      <c r="AD5919" s="55" t="n">
        <f aca="false">IF(AC5919,IF(01_因子設定!$B$13="最大化",AA5919-01_因子設定!$B$14,IF(01_因子設定!$B$13="最小化",01_因子設定!$B$15-AB5919,MIN(AA5919-01_因子設定!$B$14,01_因子設定!$B$15-AB5919))),-1E+030)</f>
        <v>-5.9475740638464</v>
      </c>
      <c r="AE5919" s="55" t="n">
        <f aca="false">IF(AC5919,IF(01_因子設定!$B$13="最大化",X5919,IF(01_因子設定!$B$13="最小化",-X5919,-ABS(X5919-01_因子設定!$B$16))),-1E+030)</f>
        <v>42.1654102704679</v>
      </c>
      <c r="AF5919" s="55" t="n">
        <f aca="false">AD5919+ROW()*0.000000001</f>
        <v>-5.9475681448464</v>
      </c>
      <c r="AG5919" s="55" t="n">
        <f aca="false">AE5919+ROW()*0.000000001</f>
        <v>42.1654161894679</v>
      </c>
    </row>
    <row r="5920" customFormat="false" ht="15" hidden="false" customHeight="false" outlineLevel="0" collapsed="false">
      <c r="A5920" s="0" t="n">
        <v>8</v>
      </c>
      <c r="B5920" s="0" t="n">
        <v>1</v>
      </c>
      <c r="C5920" s="0" t="n">
        <v>0</v>
      </c>
      <c r="D5920" s="0" t="n">
        <v>2</v>
      </c>
      <c r="E5920" s="0" t="n">
        <f aca="false">-1+A5920*0.25</f>
        <v>1</v>
      </c>
      <c r="F5920" s="0" t="n">
        <f aca="false">-1+B5920*0.25</f>
        <v>-0.75</v>
      </c>
      <c r="G5920" s="0" t="n">
        <f aca="false">-1+C5920*0.25</f>
        <v>-1</v>
      </c>
      <c r="H5920" s="0" t="n">
        <f aca="false">-1+D5920*0.25</f>
        <v>-0.5</v>
      </c>
      <c r="I5920" s="0" t="n">
        <f aca="false">1</f>
        <v>1</v>
      </c>
      <c r="J5920" s="0" t="n">
        <f aca="false">E5920</f>
        <v>1</v>
      </c>
      <c r="K5920" s="0" t="n">
        <f aca="false">F5920</f>
        <v>-0.75</v>
      </c>
      <c r="L5920" s="0" t="n">
        <f aca="false">G5920</f>
        <v>-1</v>
      </c>
      <c r="M5920" s="0" t="n">
        <f aca="false">H5920</f>
        <v>-0.5</v>
      </c>
      <c r="N5920" s="0" t="n">
        <f aca="false">E5920*F5920</f>
        <v>-0.75</v>
      </c>
      <c r="O5920" s="0" t="n">
        <f aca="false">E5920*G5920</f>
        <v>-1</v>
      </c>
      <c r="P5920" s="0" t="n">
        <f aca="false">E5920*H5920</f>
        <v>-0.5</v>
      </c>
      <c r="Q5920" s="0" t="n">
        <f aca="false">F5920*G5920</f>
        <v>0.75</v>
      </c>
      <c r="R5920" s="0" t="n">
        <f aca="false">F5920*H5920</f>
        <v>0.375</v>
      </c>
      <c r="S5920" s="0" t="n">
        <f aca="false">G5920*H5920</f>
        <v>0.5</v>
      </c>
      <c r="T5920" s="0" t="n">
        <f aca="false">E5920*E5920</f>
        <v>1</v>
      </c>
      <c r="U5920" s="0" t="n">
        <f aca="false">F5920*F5920</f>
        <v>0.5625</v>
      </c>
      <c r="V5920" s="0" t="n">
        <f aca="false">G5920*G5920</f>
        <v>1</v>
      </c>
      <c r="W5920" s="0" t="n">
        <f aca="false">H5920*H5920</f>
        <v>0.25</v>
      </c>
      <c r="X5920" s="0" t="n">
        <f aca="false">SUMPRODUCT(I5920:W5920,_XtX!$B$96:$P$96)</f>
        <v>42.3855354532164</v>
      </c>
      <c r="Y5920" s="0" t="n">
        <f aca="false">SUMPRODUCT(MMULT(I5920:W5920,_XtX!$B$78:$P$92),I5920:W5920)</f>
        <v>0.564984237938597</v>
      </c>
      <c r="Z5920" s="0" t="n">
        <f aca="false">04_回帰ANOVA!$K$19*04_回帰ANOVA!$K$14*SQRT(1+Y5920)</f>
        <v>1.63062229734503</v>
      </c>
      <c r="AA5920" s="0" t="n">
        <f aca="false">X5920-Z5920</f>
        <v>40.7549131558714</v>
      </c>
      <c r="AB5920" s="0" t="n">
        <f aca="false">X5920+Z5920</f>
        <v>44.0161577505615</v>
      </c>
      <c r="AC5920" s="54" t="b">
        <f aca="false">AND(E5920&gt;=01_因子設定!$L$5-0.000000001,E5920&lt;=01_因子設定!$M$5+0.000000001,F5920&gt;=01_因子設定!$L$6-0.000000001,F5920&lt;=01_因子設定!$M$6+0.000000001,G5920&gt;=01_因子設定!$L$7-0.000000001,G5920&lt;=01_因子設定!$M$7+0.000000001,H5920&gt;=01_因子設定!$L$8-0.000000001,H5920&lt;=01_因子設定!$M$8+0.000000001,IF(01_因子設定!$B$20="Box-Behnken",E5920^2+F5920^2+G5920^2+H5920^2&lt;=2+0.000000001,TRUE()))</f>
        <v>1</v>
      </c>
      <c r="AD5920" s="55" t="n">
        <f aca="false">IF(AC5920,IF(01_因子設定!$B$13="最大化",AA5920-01_因子設定!$B$14,IF(01_因子設定!$B$13="最小化",01_因子設定!$B$15-AB5920,MIN(AA5920-01_因子設定!$B$14,01_因子設定!$B$15-AB5920))),-1E+030)</f>
        <v>-5.74508684412862</v>
      </c>
      <c r="AE5920" s="55" t="n">
        <f aca="false">IF(AC5920,IF(01_因子設定!$B$13="最大化",X5920,IF(01_因子設定!$B$13="最小化",-X5920,-ABS(X5920-01_因子設定!$B$16))),-1E+030)</f>
        <v>42.3855354532164</v>
      </c>
      <c r="AF5920" s="55" t="n">
        <f aca="false">AD5920+ROW()*0.000000001</f>
        <v>-5.74508092412862</v>
      </c>
      <c r="AG5920" s="55" t="n">
        <f aca="false">AE5920+ROW()*0.000000001</f>
        <v>42.3855413732164</v>
      </c>
    </row>
    <row r="5921" customFormat="false" ht="15" hidden="false" customHeight="false" outlineLevel="0" collapsed="false">
      <c r="A5921" s="0" t="n">
        <v>8</v>
      </c>
      <c r="B5921" s="0" t="n">
        <v>1</v>
      </c>
      <c r="C5921" s="0" t="n">
        <v>0</v>
      </c>
      <c r="D5921" s="0" t="n">
        <v>3</v>
      </c>
      <c r="E5921" s="0" t="n">
        <f aca="false">-1+A5921*0.25</f>
        <v>1</v>
      </c>
      <c r="F5921" s="0" t="n">
        <f aca="false">-1+B5921*0.25</f>
        <v>-0.75</v>
      </c>
      <c r="G5921" s="0" t="n">
        <f aca="false">-1+C5921*0.25</f>
        <v>-1</v>
      </c>
      <c r="H5921" s="0" t="n">
        <f aca="false">-1+D5921*0.25</f>
        <v>-0.25</v>
      </c>
      <c r="I5921" s="0" t="n">
        <f aca="false">1</f>
        <v>1</v>
      </c>
      <c r="J5921" s="0" t="n">
        <f aca="false">E5921</f>
        <v>1</v>
      </c>
      <c r="K5921" s="0" t="n">
        <f aca="false">F5921</f>
        <v>-0.75</v>
      </c>
      <c r="L5921" s="0" t="n">
        <f aca="false">G5921</f>
        <v>-1</v>
      </c>
      <c r="M5921" s="0" t="n">
        <f aca="false">H5921</f>
        <v>-0.25</v>
      </c>
      <c r="N5921" s="0" t="n">
        <f aca="false">E5921*F5921</f>
        <v>-0.75</v>
      </c>
      <c r="O5921" s="0" t="n">
        <f aca="false">E5921*G5921</f>
        <v>-1</v>
      </c>
      <c r="P5921" s="0" t="n">
        <f aca="false">E5921*H5921</f>
        <v>-0.25</v>
      </c>
      <c r="Q5921" s="0" t="n">
        <f aca="false">F5921*G5921</f>
        <v>0.75</v>
      </c>
      <c r="R5921" s="0" t="n">
        <f aca="false">F5921*H5921</f>
        <v>0.1875</v>
      </c>
      <c r="S5921" s="0" t="n">
        <f aca="false">G5921*H5921</f>
        <v>0.25</v>
      </c>
      <c r="T5921" s="0" t="n">
        <f aca="false">E5921*E5921</f>
        <v>1</v>
      </c>
      <c r="U5921" s="0" t="n">
        <f aca="false">F5921*F5921</f>
        <v>0.5625</v>
      </c>
      <c r="V5921" s="0" t="n">
        <f aca="false">G5921*G5921</f>
        <v>1</v>
      </c>
      <c r="W5921" s="0" t="n">
        <f aca="false">H5921*H5921</f>
        <v>0.0625</v>
      </c>
      <c r="X5921" s="0" t="n">
        <f aca="false">SUMPRODUCT(I5921:W5921,_XtX!$B$96:$P$96)</f>
        <v>42.5578536184211</v>
      </c>
      <c r="Y5921" s="0" t="n">
        <f aca="false">SUMPRODUCT(MMULT(I5921:W5921,_XtX!$B$78:$P$92),I5921:W5921)</f>
        <v>0.621372155975877</v>
      </c>
      <c r="Z5921" s="0" t="n">
        <f aca="false">04_回帰ANOVA!$K$19*04_回帰ANOVA!$K$14*SQRT(1+Y5921)</f>
        <v>1.65973880499872</v>
      </c>
      <c r="AA5921" s="0" t="n">
        <f aca="false">X5921-Z5921</f>
        <v>40.8981148134224</v>
      </c>
      <c r="AB5921" s="0" t="n">
        <f aca="false">X5921+Z5921</f>
        <v>44.2175924234198</v>
      </c>
      <c r="AC5921" s="54" t="b">
        <f aca="false">AND(E5921&gt;=01_因子設定!$L$5-0.000000001,E5921&lt;=01_因子設定!$M$5+0.000000001,F5921&gt;=01_因子設定!$L$6-0.000000001,F5921&lt;=01_因子設定!$M$6+0.000000001,G5921&gt;=01_因子設定!$L$7-0.000000001,G5921&lt;=01_因子設定!$M$7+0.000000001,H5921&gt;=01_因子設定!$L$8-0.000000001,H5921&lt;=01_因子設定!$M$8+0.000000001,IF(01_因子設定!$B$20="Box-Behnken",E5921^2+F5921^2+G5921^2+H5921^2&lt;=2+0.000000001,TRUE()))</f>
        <v>1</v>
      </c>
      <c r="AD5921" s="55" t="n">
        <f aca="false">IF(AC5921,IF(01_因子設定!$B$13="最大化",AA5921-01_因子設定!$B$14,IF(01_因子設定!$B$13="最小化",01_因子設定!$B$15-AB5921,MIN(AA5921-01_因子設定!$B$14,01_因子設定!$B$15-AB5921))),-1E+030)</f>
        <v>-5.60188518657763</v>
      </c>
      <c r="AE5921" s="55" t="n">
        <f aca="false">IF(AC5921,IF(01_因子設定!$B$13="最大化",X5921,IF(01_因子設定!$B$13="最小化",-X5921,-ABS(X5921-01_因子設定!$B$16))),-1E+030)</f>
        <v>42.5578536184211</v>
      </c>
      <c r="AF5921" s="55" t="n">
        <f aca="false">AD5921+ROW()*0.000000001</f>
        <v>-5.60187926557763</v>
      </c>
      <c r="AG5921" s="55" t="n">
        <f aca="false">AE5921+ROW()*0.000000001</f>
        <v>42.5578595394211</v>
      </c>
    </row>
    <row r="5922" customFormat="false" ht="15" hidden="false" customHeight="false" outlineLevel="0" collapsed="false">
      <c r="A5922" s="0" t="n">
        <v>8</v>
      </c>
      <c r="B5922" s="0" t="n">
        <v>1</v>
      </c>
      <c r="C5922" s="0" t="n">
        <v>0</v>
      </c>
      <c r="D5922" s="0" t="n">
        <v>4</v>
      </c>
      <c r="E5922" s="0" t="n">
        <f aca="false">-1+A5922*0.25</f>
        <v>1</v>
      </c>
      <c r="F5922" s="0" t="n">
        <f aca="false">-1+B5922*0.25</f>
        <v>-0.75</v>
      </c>
      <c r="G5922" s="0" t="n">
        <f aca="false">-1+C5922*0.25</f>
        <v>-1</v>
      </c>
      <c r="H5922" s="0" t="n">
        <f aca="false">-1+D5922*0.25</f>
        <v>0</v>
      </c>
      <c r="I5922" s="0" t="n">
        <f aca="false">1</f>
        <v>1</v>
      </c>
      <c r="J5922" s="0" t="n">
        <f aca="false">E5922</f>
        <v>1</v>
      </c>
      <c r="K5922" s="0" t="n">
        <f aca="false">F5922</f>
        <v>-0.75</v>
      </c>
      <c r="L5922" s="0" t="n">
        <f aca="false">G5922</f>
        <v>-1</v>
      </c>
      <c r="M5922" s="0" t="n">
        <f aca="false">H5922</f>
        <v>0</v>
      </c>
      <c r="N5922" s="0" t="n">
        <f aca="false">E5922*F5922</f>
        <v>-0.75</v>
      </c>
      <c r="O5922" s="0" t="n">
        <f aca="false">E5922*G5922</f>
        <v>-1</v>
      </c>
      <c r="P5922" s="0" t="n">
        <f aca="false">E5922*H5922</f>
        <v>0</v>
      </c>
      <c r="Q5922" s="0" t="n">
        <f aca="false">F5922*G5922</f>
        <v>0.75</v>
      </c>
      <c r="R5922" s="0" t="n">
        <f aca="false">F5922*H5922</f>
        <v>-0</v>
      </c>
      <c r="S5922" s="0" t="n">
        <f aca="false">G5922*H5922</f>
        <v>-0</v>
      </c>
      <c r="T5922" s="0" t="n">
        <f aca="false">E5922*E5922</f>
        <v>1</v>
      </c>
      <c r="U5922" s="0" t="n">
        <f aca="false">F5922*F5922</f>
        <v>0.5625</v>
      </c>
      <c r="V5922" s="0" t="n">
        <f aca="false">G5922*G5922</f>
        <v>1</v>
      </c>
      <c r="W5922" s="0" t="n">
        <f aca="false">H5922*H5922</f>
        <v>0</v>
      </c>
      <c r="X5922" s="0" t="n">
        <f aca="false">SUMPRODUCT(I5922:W5922,_XtX!$B$96:$P$96)</f>
        <v>42.6823647660819</v>
      </c>
      <c r="Y5922" s="0" t="n">
        <f aca="false">SUMPRODUCT(MMULT(I5922:W5922,_XtX!$B$78:$P$92),I5922:W5922)</f>
        <v>0.646198830409357</v>
      </c>
      <c r="Z5922" s="0" t="n">
        <f aca="false">04_回帰ANOVA!$K$19*04_回帰ANOVA!$K$14*SQRT(1+Y5922)</f>
        <v>1.67239760569756</v>
      </c>
      <c r="AA5922" s="0" t="n">
        <f aca="false">X5922-Z5922</f>
        <v>41.0099671603844</v>
      </c>
      <c r="AB5922" s="0" t="n">
        <f aca="false">X5922+Z5922</f>
        <v>44.3547623717795</v>
      </c>
      <c r="AC5922" s="54" t="b">
        <f aca="false">AND(E5922&gt;=01_因子設定!$L$5-0.000000001,E5922&lt;=01_因子設定!$M$5+0.000000001,F5922&gt;=01_因子設定!$L$6-0.000000001,F5922&lt;=01_因子設定!$M$6+0.000000001,G5922&gt;=01_因子設定!$L$7-0.000000001,G5922&lt;=01_因子設定!$M$7+0.000000001,H5922&gt;=01_因子設定!$L$8-0.000000001,H5922&lt;=01_因子設定!$M$8+0.000000001,IF(01_因子設定!$B$20="Box-Behnken",E5922^2+F5922^2+G5922^2+H5922^2&lt;=2+0.000000001,TRUE()))</f>
        <v>1</v>
      </c>
      <c r="AD5922" s="55" t="n">
        <f aca="false">IF(AC5922,IF(01_因子設定!$B$13="最大化",AA5922-01_因子設定!$B$14,IF(01_因子設定!$B$13="最小化",01_因子設定!$B$15-AB5922,MIN(AA5922-01_因子設定!$B$14,01_因子設定!$B$15-AB5922))),-1E+030)</f>
        <v>-5.49003283961565</v>
      </c>
      <c r="AE5922" s="55" t="n">
        <f aca="false">IF(AC5922,IF(01_因子設定!$B$13="最大化",X5922,IF(01_因子設定!$B$13="最小化",-X5922,-ABS(X5922-01_因子設定!$B$16))),-1E+030)</f>
        <v>42.6823647660819</v>
      </c>
      <c r="AF5922" s="55" t="n">
        <f aca="false">AD5922+ROW()*0.000000001</f>
        <v>-5.49002691761565</v>
      </c>
      <c r="AG5922" s="55" t="n">
        <f aca="false">AE5922+ROW()*0.000000001</f>
        <v>42.6823706880819</v>
      </c>
    </row>
    <row r="5923" customFormat="false" ht="15" hidden="false" customHeight="false" outlineLevel="0" collapsed="false">
      <c r="A5923" s="0" t="n">
        <v>8</v>
      </c>
      <c r="B5923" s="0" t="n">
        <v>1</v>
      </c>
      <c r="C5923" s="0" t="n">
        <v>0</v>
      </c>
      <c r="D5923" s="0" t="n">
        <v>5</v>
      </c>
      <c r="E5923" s="0" t="n">
        <f aca="false">-1+A5923*0.25</f>
        <v>1</v>
      </c>
      <c r="F5923" s="0" t="n">
        <f aca="false">-1+B5923*0.25</f>
        <v>-0.75</v>
      </c>
      <c r="G5923" s="0" t="n">
        <f aca="false">-1+C5923*0.25</f>
        <v>-1</v>
      </c>
      <c r="H5923" s="0" t="n">
        <f aca="false">-1+D5923*0.25</f>
        <v>0.25</v>
      </c>
      <c r="I5923" s="0" t="n">
        <f aca="false">1</f>
        <v>1</v>
      </c>
      <c r="J5923" s="0" t="n">
        <f aca="false">E5923</f>
        <v>1</v>
      </c>
      <c r="K5923" s="0" t="n">
        <f aca="false">F5923</f>
        <v>-0.75</v>
      </c>
      <c r="L5923" s="0" t="n">
        <f aca="false">G5923</f>
        <v>-1</v>
      </c>
      <c r="M5923" s="0" t="n">
        <f aca="false">H5923</f>
        <v>0.25</v>
      </c>
      <c r="N5923" s="0" t="n">
        <f aca="false">E5923*F5923</f>
        <v>-0.75</v>
      </c>
      <c r="O5923" s="0" t="n">
        <f aca="false">E5923*G5923</f>
        <v>-1</v>
      </c>
      <c r="P5923" s="0" t="n">
        <f aca="false">E5923*H5923</f>
        <v>0.25</v>
      </c>
      <c r="Q5923" s="0" t="n">
        <f aca="false">F5923*G5923</f>
        <v>0.75</v>
      </c>
      <c r="R5923" s="0" t="n">
        <f aca="false">F5923*H5923</f>
        <v>-0.1875</v>
      </c>
      <c r="S5923" s="0" t="n">
        <f aca="false">G5923*H5923</f>
        <v>-0.25</v>
      </c>
      <c r="T5923" s="0" t="n">
        <f aca="false">E5923*E5923</f>
        <v>1</v>
      </c>
      <c r="U5923" s="0" t="n">
        <f aca="false">F5923*F5923</f>
        <v>0.5625</v>
      </c>
      <c r="V5923" s="0" t="n">
        <f aca="false">G5923*G5923</f>
        <v>1</v>
      </c>
      <c r="W5923" s="0" t="n">
        <f aca="false">H5923*H5923</f>
        <v>0.0625</v>
      </c>
      <c r="X5923" s="0" t="n">
        <f aca="false">SUMPRODUCT(I5923:W5923,_XtX!$B$96:$P$96)</f>
        <v>42.7590688961989</v>
      </c>
      <c r="Y5923" s="0" t="n">
        <f aca="false">SUMPRODUCT(MMULT(I5923:W5923,_XtX!$B$78:$P$92),I5923:W5923)</f>
        <v>0.621372155975877</v>
      </c>
      <c r="Z5923" s="0" t="n">
        <f aca="false">04_回帰ANOVA!$K$19*04_回帰ANOVA!$K$14*SQRT(1+Y5923)</f>
        <v>1.65973880499872</v>
      </c>
      <c r="AA5923" s="0" t="n">
        <f aca="false">X5923-Z5923</f>
        <v>41.0993300912001</v>
      </c>
      <c r="AB5923" s="0" t="n">
        <f aca="false">X5923+Z5923</f>
        <v>44.4188077011976</v>
      </c>
      <c r="AC5923" s="54" t="b">
        <f aca="false">AND(E5923&gt;=01_因子設定!$L$5-0.000000001,E5923&lt;=01_因子設定!$M$5+0.000000001,F5923&gt;=01_因子設定!$L$6-0.000000001,F5923&lt;=01_因子設定!$M$6+0.000000001,G5923&gt;=01_因子設定!$L$7-0.000000001,G5923&lt;=01_因子設定!$M$7+0.000000001,H5923&gt;=01_因子設定!$L$8-0.000000001,H5923&lt;=01_因子設定!$M$8+0.000000001,IF(01_因子設定!$B$20="Box-Behnken",E5923^2+F5923^2+G5923^2+H5923^2&lt;=2+0.000000001,TRUE()))</f>
        <v>1</v>
      </c>
      <c r="AD5923" s="55" t="n">
        <f aca="false">IF(AC5923,IF(01_因子設定!$B$13="最大化",AA5923-01_因子設定!$B$14,IF(01_因子設定!$B$13="最小化",01_因子設定!$B$15-AB5923,MIN(AA5923-01_因子設定!$B$14,01_因子設定!$B$15-AB5923))),-1E+030)</f>
        <v>-5.40066990879986</v>
      </c>
      <c r="AE5923" s="55" t="n">
        <f aca="false">IF(AC5923,IF(01_因子設定!$B$13="最大化",X5923,IF(01_因子設定!$B$13="最小化",-X5923,-ABS(X5923-01_因子設定!$B$16))),-1E+030)</f>
        <v>42.7590688961989</v>
      </c>
      <c r="AF5923" s="55" t="n">
        <f aca="false">AD5923+ROW()*0.000000001</f>
        <v>-5.40066398579986</v>
      </c>
      <c r="AG5923" s="55" t="n">
        <f aca="false">AE5923+ROW()*0.000000001</f>
        <v>42.7590748191989</v>
      </c>
    </row>
    <row r="5924" customFormat="false" ht="15" hidden="false" customHeight="false" outlineLevel="0" collapsed="false">
      <c r="A5924" s="0" t="n">
        <v>8</v>
      </c>
      <c r="B5924" s="0" t="n">
        <v>1</v>
      </c>
      <c r="C5924" s="0" t="n">
        <v>0</v>
      </c>
      <c r="D5924" s="0" t="n">
        <v>6</v>
      </c>
      <c r="E5924" s="0" t="n">
        <f aca="false">-1+A5924*0.25</f>
        <v>1</v>
      </c>
      <c r="F5924" s="0" t="n">
        <f aca="false">-1+B5924*0.25</f>
        <v>-0.75</v>
      </c>
      <c r="G5924" s="0" t="n">
        <f aca="false">-1+C5924*0.25</f>
        <v>-1</v>
      </c>
      <c r="H5924" s="0" t="n">
        <f aca="false">-1+D5924*0.25</f>
        <v>0.5</v>
      </c>
      <c r="I5924" s="0" t="n">
        <f aca="false">1</f>
        <v>1</v>
      </c>
      <c r="J5924" s="0" t="n">
        <f aca="false">E5924</f>
        <v>1</v>
      </c>
      <c r="K5924" s="0" t="n">
        <f aca="false">F5924</f>
        <v>-0.75</v>
      </c>
      <c r="L5924" s="0" t="n">
        <f aca="false">G5924</f>
        <v>-1</v>
      </c>
      <c r="M5924" s="0" t="n">
        <f aca="false">H5924</f>
        <v>0.5</v>
      </c>
      <c r="N5924" s="0" t="n">
        <f aca="false">E5924*F5924</f>
        <v>-0.75</v>
      </c>
      <c r="O5924" s="0" t="n">
        <f aca="false">E5924*G5924</f>
        <v>-1</v>
      </c>
      <c r="P5924" s="0" t="n">
        <f aca="false">E5924*H5924</f>
        <v>0.5</v>
      </c>
      <c r="Q5924" s="0" t="n">
        <f aca="false">F5924*G5924</f>
        <v>0.75</v>
      </c>
      <c r="R5924" s="0" t="n">
        <f aca="false">F5924*H5924</f>
        <v>-0.375</v>
      </c>
      <c r="S5924" s="0" t="n">
        <f aca="false">G5924*H5924</f>
        <v>-0.5</v>
      </c>
      <c r="T5924" s="0" t="n">
        <f aca="false">E5924*E5924</f>
        <v>1</v>
      </c>
      <c r="U5924" s="0" t="n">
        <f aca="false">F5924*F5924</f>
        <v>0.5625</v>
      </c>
      <c r="V5924" s="0" t="n">
        <f aca="false">G5924*G5924</f>
        <v>1</v>
      </c>
      <c r="W5924" s="0" t="n">
        <f aca="false">H5924*H5924</f>
        <v>0.25</v>
      </c>
      <c r="X5924" s="0" t="n">
        <f aca="false">SUMPRODUCT(I5924:W5924,_XtX!$B$96:$P$96)</f>
        <v>42.787966008772</v>
      </c>
      <c r="Y5924" s="0" t="n">
        <f aca="false">SUMPRODUCT(MMULT(I5924:W5924,_XtX!$B$78:$P$92),I5924:W5924)</f>
        <v>0.564984237938597</v>
      </c>
      <c r="Z5924" s="0" t="n">
        <f aca="false">04_回帰ANOVA!$K$19*04_回帰ANOVA!$K$14*SQRT(1+Y5924)</f>
        <v>1.63062229734503</v>
      </c>
      <c r="AA5924" s="0" t="n">
        <f aca="false">X5924-Z5924</f>
        <v>41.1573437114269</v>
      </c>
      <c r="AB5924" s="0" t="n">
        <f aca="false">X5924+Z5924</f>
        <v>44.418588306117</v>
      </c>
      <c r="AC5924" s="54" t="b">
        <f aca="false">AND(E5924&gt;=01_因子設定!$L$5-0.000000001,E5924&lt;=01_因子設定!$M$5+0.000000001,F5924&gt;=01_因子設定!$L$6-0.000000001,F5924&lt;=01_因子設定!$M$6+0.000000001,G5924&gt;=01_因子設定!$L$7-0.000000001,G5924&lt;=01_因子設定!$M$7+0.000000001,H5924&gt;=01_因子設定!$L$8-0.000000001,H5924&lt;=01_因子設定!$M$8+0.000000001,IF(01_因子設定!$B$20="Box-Behnken",E5924^2+F5924^2+G5924^2+H5924^2&lt;=2+0.000000001,TRUE()))</f>
        <v>1</v>
      </c>
      <c r="AD5924" s="55" t="n">
        <f aca="false">IF(AC5924,IF(01_因子設定!$B$13="最大化",AA5924-01_因子設定!$B$14,IF(01_因子設定!$B$13="最小化",01_因子設定!$B$15-AB5924,MIN(AA5924-01_因子設定!$B$14,01_因子設定!$B$15-AB5924))),-1E+030)</f>
        <v>-5.34265628857307</v>
      </c>
      <c r="AE5924" s="55" t="n">
        <f aca="false">IF(AC5924,IF(01_因子設定!$B$13="最大化",X5924,IF(01_因子設定!$B$13="最小化",-X5924,-ABS(X5924-01_因子設定!$B$16))),-1E+030)</f>
        <v>42.787966008772</v>
      </c>
      <c r="AF5924" s="55" t="n">
        <f aca="false">AD5924+ROW()*0.000000001</f>
        <v>-5.34265036457307</v>
      </c>
      <c r="AG5924" s="55" t="n">
        <f aca="false">AE5924+ROW()*0.000000001</f>
        <v>42.787971932772</v>
      </c>
    </row>
    <row r="5925" customFormat="false" ht="15" hidden="false" customHeight="false" outlineLevel="0" collapsed="false">
      <c r="A5925" s="0" t="n">
        <v>8</v>
      </c>
      <c r="B5925" s="0" t="n">
        <v>1</v>
      </c>
      <c r="C5925" s="0" t="n">
        <v>0</v>
      </c>
      <c r="D5925" s="0" t="n">
        <v>7</v>
      </c>
      <c r="E5925" s="0" t="n">
        <f aca="false">-1+A5925*0.25</f>
        <v>1</v>
      </c>
      <c r="F5925" s="0" t="n">
        <f aca="false">-1+B5925*0.25</f>
        <v>-0.75</v>
      </c>
      <c r="G5925" s="0" t="n">
        <f aca="false">-1+C5925*0.25</f>
        <v>-1</v>
      </c>
      <c r="H5925" s="0" t="n">
        <f aca="false">-1+D5925*0.25</f>
        <v>0.75</v>
      </c>
      <c r="I5925" s="0" t="n">
        <f aca="false">1</f>
        <v>1</v>
      </c>
      <c r="J5925" s="0" t="n">
        <f aca="false">E5925</f>
        <v>1</v>
      </c>
      <c r="K5925" s="0" t="n">
        <f aca="false">F5925</f>
        <v>-0.75</v>
      </c>
      <c r="L5925" s="0" t="n">
        <f aca="false">G5925</f>
        <v>-1</v>
      </c>
      <c r="M5925" s="0" t="n">
        <f aca="false">H5925</f>
        <v>0.75</v>
      </c>
      <c r="N5925" s="0" t="n">
        <f aca="false">E5925*F5925</f>
        <v>-0.75</v>
      </c>
      <c r="O5925" s="0" t="n">
        <f aca="false">E5925*G5925</f>
        <v>-1</v>
      </c>
      <c r="P5925" s="0" t="n">
        <f aca="false">E5925*H5925</f>
        <v>0.75</v>
      </c>
      <c r="Q5925" s="0" t="n">
        <f aca="false">F5925*G5925</f>
        <v>0.75</v>
      </c>
      <c r="R5925" s="0" t="n">
        <f aca="false">F5925*H5925</f>
        <v>-0.5625</v>
      </c>
      <c r="S5925" s="0" t="n">
        <f aca="false">G5925*H5925</f>
        <v>-0.75</v>
      </c>
      <c r="T5925" s="0" t="n">
        <f aca="false">E5925*E5925</f>
        <v>1</v>
      </c>
      <c r="U5925" s="0" t="n">
        <f aca="false">F5925*F5925</f>
        <v>0.5625</v>
      </c>
      <c r="V5925" s="0" t="n">
        <f aca="false">G5925*G5925</f>
        <v>1</v>
      </c>
      <c r="W5925" s="0" t="n">
        <f aca="false">H5925*H5925</f>
        <v>0.5625</v>
      </c>
      <c r="X5925" s="0" t="n">
        <f aca="false">SUMPRODUCT(I5925:W5925,_XtX!$B$96:$P$96)</f>
        <v>42.7690561038012</v>
      </c>
      <c r="Y5925" s="0" t="n">
        <f aca="false">SUMPRODUCT(MMULT(I5925:W5925,_XtX!$B$78:$P$92),I5925:W5925)</f>
        <v>0.531311392086988</v>
      </c>
      <c r="Z5925" s="0" t="n">
        <f aca="false">04_回帰ANOVA!$K$19*04_回帰ANOVA!$K$14*SQRT(1+Y5925)</f>
        <v>1.61298433431428</v>
      </c>
      <c r="AA5925" s="0" t="n">
        <f aca="false">X5925-Z5925</f>
        <v>41.1560717694869</v>
      </c>
      <c r="AB5925" s="0" t="n">
        <f aca="false">X5925+Z5925</f>
        <v>44.3820404381155</v>
      </c>
      <c r="AC5925" s="54" t="b">
        <f aca="false">AND(E5925&gt;=01_因子設定!$L$5-0.000000001,E5925&lt;=01_因子設定!$M$5+0.000000001,F5925&gt;=01_因子設定!$L$6-0.000000001,F5925&lt;=01_因子設定!$M$6+0.000000001,G5925&gt;=01_因子設定!$L$7-0.000000001,G5925&lt;=01_因子設定!$M$7+0.000000001,H5925&gt;=01_因子設定!$L$8-0.000000001,H5925&lt;=01_因子設定!$M$8+0.000000001,IF(01_因子設定!$B$20="Box-Behnken",E5925^2+F5925^2+G5925^2+H5925^2&lt;=2+0.000000001,TRUE()))</f>
        <v>1</v>
      </c>
      <c r="AD5925" s="55" t="n">
        <f aca="false">IF(AC5925,IF(01_因子設定!$B$13="最大化",AA5925-01_因子設定!$B$14,IF(01_因子設定!$B$13="最小化",01_因子設定!$B$15-AB5925,MIN(AA5925-01_因子設定!$B$14,01_因子設定!$B$15-AB5925))),-1E+030)</f>
        <v>-5.34392823051307</v>
      </c>
      <c r="AE5925" s="55" t="n">
        <f aca="false">IF(AC5925,IF(01_因子設定!$B$13="最大化",X5925,IF(01_因子設定!$B$13="最小化",-X5925,-ABS(X5925-01_因子設定!$B$16))),-1E+030)</f>
        <v>42.7690561038012</v>
      </c>
      <c r="AF5925" s="55" t="n">
        <f aca="false">AD5925+ROW()*0.000000001</f>
        <v>-5.34392230551307</v>
      </c>
      <c r="AG5925" s="55" t="n">
        <f aca="false">AE5925+ROW()*0.000000001</f>
        <v>42.7690620288012</v>
      </c>
    </row>
    <row r="5926" customFormat="false" ht="15" hidden="false" customHeight="false" outlineLevel="0" collapsed="false">
      <c r="A5926" s="0" t="n">
        <v>8</v>
      </c>
      <c r="B5926" s="0" t="n">
        <v>1</v>
      </c>
      <c r="C5926" s="0" t="n">
        <v>0</v>
      </c>
      <c r="D5926" s="0" t="n">
        <v>8</v>
      </c>
      <c r="E5926" s="0" t="n">
        <f aca="false">-1+A5926*0.25</f>
        <v>1</v>
      </c>
      <c r="F5926" s="0" t="n">
        <f aca="false">-1+B5926*0.25</f>
        <v>-0.75</v>
      </c>
      <c r="G5926" s="0" t="n">
        <f aca="false">-1+C5926*0.25</f>
        <v>-1</v>
      </c>
      <c r="H5926" s="0" t="n">
        <f aca="false">-1+D5926*0.25</f>
        <v>1</v>
      </c>
      <c r="I5926" s="0" t="n">
        <f aca="false">1</f>
        <v>1</v>
      </c>
      <c r="J5926" s="0" t="n">
        <f aca="false">E5926</f>
        <v>1</v>
      </c>
      <c r="K5926" s="0" t="n">
        <f aca="false">F5926</f>
        <v>-0.75</v>
      </c>
      <c r="L5926" s="0" t="n">
        <f aca="false">G5926</f>
        <v>-1</v>
      </c>
      <c r="M5926" s="0" t="n">
        <f aca="false">H5926</f>
        <v>1</v>
      </c>
      <c r="N5926" s="0" t="n">
        <f aca="false">E5926*F5926</f>
        <v>-0.75</v>
      </c>
      <c r="O5926" s="0" t="n">
        <f aca="false">E5926*G5926</f>
        <v>-1</v>
      </c>
      <c r="P5926" s="0" t="n">
        <f aca="false">E5926*H5926</f>
        <v>1</v>
      </c>
      <c r="Q5926" s="0" t="n">
        <f aca="false">F5926*G5926</f>
        <v>0.75</v>
      </c>
      <c r="R5926" s="0" t="n">
        <f aca="false">F5926*H5926</f>
        <v>-0.75</v>
      </c>
      <c r="S5926" s="0" t="n">
        <f aca="false">G5926*H5926</f>
        <v>-1</v>
      </c>
      <c r="T5926" s="0" t="n">
        <f aca="false">E5926*E5926</f>
        <v>1</v>
      </c>
      <c r="U5926" s="0" t="n">
        <f aca="false">F5926*F5926</f>
        <v>0.5625</v>
      </c>
      <c r="V5926" s="0" t="n">
        <f aca="false">G5926*G5926</f>
        <v>1</v>
      </c>
      <c r="W5926" s="0" t="n">
        <f aca="false">H5926*H5926</f>
        <v>1</v>
      </c>
      <c r="X5926" s="0" t="n">
        <f aca="false">SUMPRODUCT(I5926:W5926,_XtX!$B$96:$P$96)</f>
        <v>42.7023391812866</v>
      </c>
      <c r="Y5926" s="0" t="n">
        <f aca="false">SUMPRODUCT(MMULT(I5926:W5926,_XtX!$B$78:$P$92),I5926:W5926)</f>
        <v>0.610814144736842</v>
      </c>
      <c r="Z5926" s="0" t="n">
        <f aca="false">04_回帰ANOVA!$K$19*04_回帰ANOVA!$K$14*SQRT(1+Y5926)</f>
        <v>1.6543260558361</v>
      </c>
      <c r="AA5926" s="0" t="n">
        <f aca="false">X5926-Z5926</f>
        <v>41.0480131254505</v>
      </c>
      <c r="AB5926" s="0" t="n">
        <f aca="false">X5926+Z5926</f>
        <v>44.3566652371227</v>
      </c>
      <c r="AC5926" s="54" t="b">
        <f aca="false">AND(E5926&gt;=01_因子設定!$L$5-0.000000001,E5926&lt;=01_因子設定!$M$5+0.000000001,F5926&gt;=01_因子設定!$L$6-0.000000001,F5926&lt;=01_因子設定!$M$6+0.000000001,G5926&gt;=01_因子設定!$L$7-0.000000001,G5926&lt;=01_因子設定!$M$7+0.000000001,H5926&gt;=01_因子設定!$L$8-0.000000001,H5926&lt;=01_因子設定!$M$8+0.000000001,IF(01_因子設定!$B$20="Box-Behnken",E5926^2+F5926^2+G5926^2+H5926^2&lt;=2+0.000000001,TRUE()))</f>
        <v>1</v>
      </c>
      <c r="AD5926" s="55" t="n">
        <f aca="false">IF(AC5926,IF(01_因子設定!$B$13="最大化",AA5926-01_因子設定!$B$14,IF(01_因子設定!$B$13="最小化",01_因子設定!$B$15-AB5926,MIN(AA5926-01_因子設定!$B$14,01_因子設定!$B$15-AB5926))),-1E+030)</f>
        <v>-5.45198687454948</v>
      </c>
      <c r="AE5926" s="55" t="n">
        <f aca="false">IF(AC5926,IF(01_因子設定!$B$13="最大化",X5926,IF(01_因子設定!$B$13="最小化",-X5926,-ABS(X5926-01_因子設定!$B$16))),-1E+030)</f>
        <v>42.7023391812866</v>
      </c>
      <c r="AF5926" s="55" t="n">
        <f aca="false">AD5926+ROW()*0.000000001</f>
        <v>-5.45198094854948</v>
      </c>
      <c r="AG5926" s="55" t="n">
        <f aca="false">AE5926+ROW()*0.000000001</f>
        <v>42.7023451072866</v>
      </c>
    </row>
    <row r="5927" customFormat="false" ht="15" hidden="false" customHeight="false" outlineLevel="0" collapsed="false">
      <c r="A5927" s="0" t="n">
        <v>8</v>
      </c>
      <c r="B5927" s="0" t="n">
        <v>1</v>
      </c>
      <c r="C5927" s="0" t="n">
        <v>1</v>
      </c>
      <c r="D5927" s="0" t="n">
        <v>0</v>
      </c>
      <c r="E5927" s="0" t="n">
        <f aca="false">-1+A5927*0.25</f>
        <v>1</v>
      </c>
      <c r="F5927" s="0" t="n">
        <f aca="false">-1+B5927*0.25</f>
        <v>-0.75</v>
      </c>
      <c r="G5927" s="0" t="n">
        <f aca="false">-1+C5927*0.25</f>
        <v>-0.75</v>
      </c>
      <c r="H5927" s="0" t="n">
        <f aca="false">-1+D5927*0.25</f>
        <v>-1</v>
      </c>
      <c r="I5927" s="0" t="n">
        <f aca="false">1</f>
        <v>1</v>
      </c>
      <c r="J5927" s="0" t="n">
        <f aca="false">E5927</f>
        <v>1</v>
      </c>
      <c r="K5927" s="0" t="n">
        <f aca="false">F5927</f>
        <v>-0.75</v>
      </c>
      <c r="L5927" s="0" t="n">
        <f aca="false">G5927</f>
        <v>-0.75</v>
      </c>
      <c r="M5927" s="0" t="n">
        <f aca="false">H5927</f>
        <v>-1</v>
      </c>
      <c r="N5927" s="0" t="n">
        <f aca="false">E5927*F5927</f>
        <v>-0.75</v>
      </c>
      <c r="O5927" s="0" t="n">
        <f aca="false">E5927*G5927</f>
        <v>-0.75</v>
      </c>
      <c r="P5927" s="0" t="n">
        <f aca="false">E5927*H5927</f>
        <v>-1</v>
      </c>
      <c r="Q5927" s="0" t="n">
        <f aca="false">F5927*G5927</f>
        <v>0.5625</v>
      </c>
      <c r="R5927" s="0" t="n">
        <f aca="false">F5927*H5927</f>
        <v>0.75</v>
      </c>
      <c r="S5927" s="0" t="n">
        <f aca="false">G5927*H5927</f>
        <v>0.75</v>
      </c>
      <c r="T5927" s="0" t="n">
        <f aca="false">E5927*E5927</f>
        <v>1</v>
      </c>
      <c r="U5927" s="0" t="n">
        <f aca="false">F5927*F5927</f>
        <v>0.5625</v>
      </c>
      <c r="V5927" s="0" t="n">
        <f aca="false">G5927*G5927</f>
        <v>0.5625</v>
      </c>
      <c r="W5927" s="0" t="n">
        <f aca="false">H5927*H5927</f>
        <v>1</v>
      </c>
      <c r="X5927" s="0" t="n">
        <f aca="false">SUMPRODUCT(I5927:W5927,_XtX!$B$96:$P$96)</f>
        <v>42.1489172149123</v>
      </c>
      <c r="Y5927" s="0" t="n">
        <f aca="false">SUMPRODUCT(MMULT(I5927:W5927,_XtX!$B$78:$P$92),I5927:W5927)</f>
        <v>0.531311392086988</v>
      </c>
      <c r="Z5927" s="0" t="n">
        <f aca="false">04_回帰ANOVA!$K$19*04_回帰ANOVA!$K$14*SQRT(1+Y5927)</f>
        <v>1.61298433431428</v>
      </c>
      <c r="AA5927" s="0" t="n">
        <f aca="false">X5927-Z5927</f>
        <v>40.5359328805981</v>
      </c>
      <c r="AB5927" s="0" t="n">
        <f aca="false">X5927+Z5927</f>
        <v>43.7619015492266</v>
      </c>
      <c r="AC5927" s="54" t="b">
        <f aca="false">AND(E5927&gt;=01_因子設定!$L$5-0.000000001,E5927&lt;=01_因子設定!$M$5+0.000000001,F5927&gt;=01_因子設定!$L$6-0.000000001,F5927&lt;=01_因子設定!$M$6+0.000000001,G5927&gt;=01_因子設定!$L$7-0.000000001,G5927&lt;=01_因子設定!$M$7+0.000000001,H5927&gt;=01_因子設定!$L$8-0.000000001,H5927&lt;=01_因子設定!$M$8+0.000000001,IF(01_因子設定!$B$20="Box-Behnken",E5927^2+F5927^2+G5927^2+H5927^2&lt;=2+0.000000001,TRUE()))</f>
        <v>1</v>
      </c>
      <c r="AD5927" s="55" t="n">
        <f aca="false">IF(AC5927,IF(01_因子設定!$B$13="最大化",AA5927-01_因子設定!$B$14,IF(01_因子設定!$B$13="最小化",01_因子設定!$B$15-AB5927,MIN(AA5927-01_因子設定!$B$14,01_因子設定!$B$15-AB5927))),-1E+030)</f>
        <v>-5.96406711940194</v>
      </c>
      <c r="AE5927" s="55" t="n">
        <f aca="false">IF(AC5927,IF(01_因子設定!$B$13="最大化",X5927,IF(01_因子設定!$B$13="最小化",-X5927,-ABS(X5927-01_因子設定!$B$16))),-1E+030)</f>
        <v>42.1489172149123</v>
      </c>
      <c r="AF5927" s="55" t="n">
        <f aca="false">AD5927+ROW()*0.000000001</f>
        <v>-5.96406119240194</v>
      </c>
      <c r="AG5927" s="55" t="n">
        <f aca="false">AE5927+ROW()*0.000000001</f>
        <v>42.1489231419123</v>
      </c>
    </row>
    <row r="5928" customFormat="false" ht="15" hidden="false" customHeight="false" outlineLevel="0" collapsed="false">
      <c r="A5928" s="0" t="n">
        <v>8</v>
      </c>
      <c r="B5928" s="0" t="n">
        <v>1</v>
      </c>
      <c r="C5928" s="0" t="n">
        <v>1</v>
      </c>
      <c r="D5928" s="0" t="n">
        <v>1</v>
      </c>
      <c r="E5928" s="0" t="n">
        <f aca="false">-1+A5928*0.25</f>
        <v>1</v>
      </c>
      <c r="F5928" s="0" t="n">
        <f aca="false">-1+B5928*0.25</f>
        <v>-0.75</v>
      </c>
      <c r="G5928" s="0" t="n">
        <f aca="false">-1+C5928*0.25</f>
        <v>-0.75</v>
      </c>
      <c r="H5928" s="0" t="n">
        <f aca="false">-1+D5928*0.25</f>
        <v>-0.75</v>
      </c>
      <c r="I5928" s="0" t="n">
        <f aca="false">1</f>
        <v>1</v>
      </c>
      <c r="J5928" s="0" t="n">
        <f aca="false">E5928</f>
        <v>1</v>
      </c>
      <c r="K5928" s="0" t="n">
        <f aca="false">F5928</f>
        <v>-0.75</v>
      </c>
      <c r="L5928" s="0" t="n">
        <f aca="false">G5928</f>
        <v>-0.75</v>
      </c>
      <c r="M5928" s="0" t="n">
        <f aca="false">H5928</f>
        <v>-0.75</v>
      </c>
      <c r="N5928" s="0" t="n">
        <f aca="false">E5928*F5928</f>
        <v>-0.75</v>
      </c>
      <c r="O5928" s="0" t="n">
        <f aca="false">E5928*G5928</f>
        <v>-0.75</v>
      </c>
      <c r="P5928" s="0" t="n">
        <f aca="false">E5928*H5928</f>
        <v>-0.75</v>
      </c>
      <c r="Q5928" s="0" t="n">
        <f aca="false">F5928*G5928</f>
        <v>0.5625</v>
      </c>
      <c r="R5928" s="0" t="n">
        <f aca="false">F5928*H5928</f>
        <v>0.5625</v>
      </c>
      <c r="S5928" s="0" t="n">
        <f aca="false">G5928*H5928</f>
        <v>0.5625</v>
      </c>
      <c r="T5928" s="0" t="n">
        <f aca="false">E5928*E5928</f>
        <v>1</v>
      </c>
      <c r="U5928" s="0" t="n">
        <f aca="false">F5928*F5928</f>
        <v>0.5625</v>
      </c>
      <c r="V5928" s="0" t="n">
        <f aca="false">G5928*G5928</f>
        <v>0.5625</v>
      </c>
      <c r="W5928" s="0" t="n">
        <f aca="false">H5928*H5928</f>
        <v>0.5625</v>
      </c>
      <c r="X5928" s="0" t="n">
        <f aca="false">SUMPRODUCT(I5928:W5928,_XtX!$B$96:$P$96)</f>
        <v>42.4348181652047</v>
      </c>
      <c r="Y5928" s="0" t="n">
        <f aca="false">SUMPRODUCT(MMULT(I5928:W5928,_XtX!$B$78:$P$92),I5928:W5928)</f>
        <v>0.420117473044591</v>
      </c>
      <c r="Z5928" s="0" t="n">
        <f aca="false">04_回帰ANOVA!$K$19*04_回帰ANOVA!$K$14*SQRT(1+Y5928)</f>
        <v>1.55331854827765</v>
      </c>
      <c r="AA5928" s="0" t="n">
        <f aca="false">X5928-Z5928</f>
        <v>40.8814996169271</v>
      </c>
      <c r="AB5928" s="0" t="n">
        <f aca="false">X5928+Z5928</f>
        <v>43.9881367134824</v>
      </c>
      <c r="AC5928" s="54" t="b">
        <f aca="false">AND(E5928&gt;=01_因子設定!$L$5-0.000000001,E5928&lt;=01_因子設定!$M$5+0.000000001,F5928&gt;=01_因子設定!$L$6-0.000000001,F5928&lt;=01_因子設定!$M$6+0.000000001,G5928&gt;=01_因子設定!$L$7-0.000000001,G5928&lt;=01_因子設定!$M$7+0.000000001,H5928&gt;=01_因子設定!$L$8-0.000000001,H5928&lt;=01_因子設定!$M$8+0.000000001,IF(01_因子設定!$B$20="Box-Behnken",E5928^2+F5928^2+G5928^2+H5928^2&lt;=2+0.000000001,TRUE()))</f>
        <v>1</v>
      </c>
      <c r="AD5928" s="55" t="n">
        <f aca="false">IF(AC5928,IF(01_因子設定!$B$13="最大化",AA5928-01_因子設定!$B$14,IF(01_因子設定!$B$13="最小化",01_因子設定!$B$15-AB5928,MIN(AA5928-01_因子設定!$B$14,01_因子設定!$B$15-AB5928))),-1E+030)</f>
        <v>-5.61850038307292</v>
      </c>
      <c r="AE5928" s="55" t="n">
        <f aca="false">IF(AC5928,IF(01_因子設定!$B$13="最大化",X5928,IF(01_因子設定!$B$13="最小化",-X5928,-ABS(X5928-01_因子設定!$B$16))),-1E+030)</f>
        <v>42.4348181652047</v>
      </c>
      <c r="AF5928" s="55" t="n">
        <f aca="false">AD5928+ROW()*0.000000001</f>
        <v>-5.61849445507292</v>
      </c>
      <c r="AG5928" s="55" t="n">
        <f aca="false">AE5928+ROW()*0.000000001</f>
        <v>42.4348240932047</v>
      </c>
    </row>
    <row r="5929" customFormat="false" ht="15" hidden="false" customHeight="false" outlineLevel="0" collapsed="false">
      <c r="A5929" s="0" t="n">
        <v>8</v>
      </c>
      <c r="B5929" s="0" t="n">
        <v>1</v>
      </c>
      <c r="C5929" s="0" t="n">
        <v>1</v>
      </c>
      <c r="D5929" s="0" t="n">
        <v>2</v>
      </c>
      <c r="E5929" s="0" t="n">
        <f aca="false">-1+A5929*0.25</f>
        <v>1</v>
      </c>
      <c r="F5929" s="0" t="n">
        <f aca="false">-1+B5929*0.25</f>
        <v>-0.75</v>
      </c>
      <c r="G5929" s="0" t="n">
        <f aca="false">-1+C5929*0.25</f>
        <v>-0.75</v>
      </c>
      <c r="H5929" s="0" t="n">
        <f aca="false">-1+D5929*0.25</f>
        <v>-0.5</v>
      </c>
      <c r="I5929" s="0" t="n">
        <f aca="false">1</f>
        <v>1</v>
      </c>
      <c r="J5929" s="0" t="n">
        <f aca="false">E5929</f>
        <v>1</v>
      </c>
      <c r="K5929" s="0" t="n">
        <f aca="false">F5929</f>
        <v>-0.75</v>
      </c>
      <c r="L5929" s="0" t="n">
        <f aca="false">G5929</f>
        <v>-0.75</v>
      </c>
      <c r="M5929" s="0" t="n">
        <f aca="false">H5929</f>
        <v>-0.5</v>
      </c>
      <c r="N5929" s="0" t="n">
        <f aca="false">E5929*F5929</f>
        <v>-0.75</v>
      </c>
      <c r="O5929" s="0" t="n">
        <f aca="false">E5929*G5929</f>
        <v>-0.75</v>
      </c>
      <c r="P5929" s="0" t="n">
        <f aca="false">E5929*H5929</f>
        <v>-0.5</v>
      </c>
      <c r="Q5929" s="0" t="n">
        <f aca="false">F5929*G5929</f>
        <v>0.5625</v>
      </c>
      <c r="R5929" s="0" t="n">
        <f aca="false">F5929*H5929</f>
        <v>0.375</v>
      </c>
      <c r="S5929" s="0" t="n">
        <f aca="false">G5929*H5929</f>
        <v>0.375</v>
      </c>
      <c r="T5929" s="0" t="n">
        <f aca="false">E5929*E5929</f>
        <v>1</v>
      </c>
      <c r="U5929" s="0" t="n">
        <f aca="false">F5929*F5929</f>
        <v>0.5625</v>
      </c>
      <c r="V5929" s="0" t="n">
        <f aca="false">G5929*G5929</f>
        <v>0.5625</v>
      </c>
      <c r="W5929" s="0" t="n">
        <f aca="false">H5929*H5929</f>
        <v>0.25</v>
      </c>
      <c r="X5929" s="0" t="n">
        <f aca="false">SUMPRODUCT(I5929:W5929,_XtX!$B$96:$P$96)</f>
        <v>42.6729120979533</v>
      </c>
      <c r="Y5929" s="0" t="n">
        <f aca="false">SUMPRODUCT(MMULT(I5929:W5929,_XtX!$B$78:$P$92),I5929:W5929)</f>
        <v>0.431153771472953</v>
      </c>
      <c r="Z5929" s="0" t="n">
        <f aca="false">04_回帰ANOVA!$K$19*04_回帰ANOVA!$K$14*SQRT(1+Y5929)</f>
        <v>1.55934259562563</v>
      </c>
      <c r="AA5929" s="0" t="n">
        <f aca="false">X5929-Z5929</f>
        <v>41.1135695023276</v>
      </c>
      <c r="AB5929" s="0" t="n">
        <f aca="false">X5929+Z5929</f>
        <v>44.2322546935789</v>
      </c>
      <c r="AC5929" s="54" t="b">
        <f aca="false">AND(E5929&gt;=01_因子設定!$L$5-0.000000001,E5929&lt;=01_因子設定!$M$5+0.000000001,F5929&gt;=01_因子設定!$L$6-0.000000001,F5929&lt;=01_因子設定!$M$6+0.000000001,G5929&gt;=01_因子設定!$L$7-0.000000001,G5929&lt;=01_因子設定!$M$7+0.000000001,H5929&gt;=01_因子設定!$L$8-0.000000001,H5929&lt;=01_因子設定!$M$8+0.000000001,IF(01_因子設定!$B$20="Box-Behnken",E5929^2+F5929^2+G5929^2+H5929^2&lt;=2+0.000000001,TRUE()))</f>
        <v>1</v>
      </c>
      <c r="AD5929" s="55" t="n">
        <f aca="false">IF(AC5929,IF(01_因子設定!$B$13="最大化",AA5929-01_因子設定!$B$14,IF(01_因子設定!$B$13="最小化",01_因子設定!$B$15-AB5929,MIN(AA5929-01_因子設定!$B$14,01_因子設定!$B$15-AB5929))),-1E+030)</f>
        <v>-5.38643049767238</v>
      </c>
      <c r="AE5929" s="55" t="n">
        <f aca="false">IF(AC5929,IF(01_因子設定!$B$13="最大化",X5929,IF(01_因子設定!$B$13="最小化",-X5929,-ABS(X5929-01_因子設定!$B$16))),-1E+030)</f>
        <v>42.6729120979533</v>
      </c>
      <c r="AF5929" s="55" t="n">
        <f aca="false">AD5929+ROW()*0.000000001</f>
        <v>-5.38642456867238</v>
      </c>
      <c r="AG5929" s="55" t="n">
        <f aca="false">AE5929+ROW()*0.000000001</f>
        <v>42.6729180269533</v>
      </c>
    </row>
    <row r="5930" customFormat="false" ht="15" hidden="false" customHeight="false" outlineLevel="0" collapsed="false">
      <c r="A5930" s="0" t="n">
        <v>8</v>
      </c>
      <c r="B5930" s="0" t="n">
        <v>1</v>
      </c>
      <c r="C5930" s="0" t="n">
        <v>1</v>
      </c>
      <c r="D5930" s="0" t="n">
        <v>3</v>
      </c>
      <c r="E5930" s="0" t="n">
        <f aca="false">-1+A5930*0.25</f>
        <v>1</v>
      </c>
      <c r="F5930" s="0" t="n">
        <f aca="false">-1+B5930*0.25</f>
        <v>-0.75</v>
      </c>
      <c r="G5930" s="0" t="n">
        <f aca="false">-1+C5930*0.25</f>
        <v>-0.75</v>
      </c>
      <c r="H5930" s="0" t="n">
        <f aca="false">-1+D5930*0.25</f>
        <v>-0.25</v>
      </c>
      <c r="I5930" s="0" t="n">
        <f aca="false">1</f>
        <v>1</v>
      </c>
      <c r="J5930" s="0" t="n">
        <f aca="false">E5930</f>
        <v>1</v>
      </c>
      <c r="K5930" s="0" t="n">
        <f aca="false">F5930</f>
        <v>-0.75</v>
      </c>
      <c r="L5930" s="0" t="n">
        <f aca="false">G5930</f>
        <v>-0.75</v>
      </c>
      <c r="M5930" s="0" t="n">
        <f aca="false">H5930</f>
        <v>-0.25</v>
      </c>
      <c r="N5930" s="0" t="n">
        <f aca="false">E5930*F5930</f>
        <v>-0.75</v>
      </c>
      <c r="O5930" s="0" t="n">
        <f aca="false">E5930*G5930</f>
        <v>-0.75</v>
      </c>
      <c r="P5930" s="0" t="n">
        <f aca="false">E5930*H5930</f>
        <v>-0.25</v>
      </c>
      <c r="Q5930" s="0" t="n">
        <f aca="false">F5930*G5930</f>
        <v>0.5625</v>
      </c>
      <c r="R5930" s="0" t="n">
        <f aca="false">F5930*H5930</f>
        <v>0.1875</v>
      </c>
      <c r="S5930" s="0" t="n">
        <f aca="false">G5930*H5930</f>
        <v>0.1875</v>
      </c>
      <c r="T5930" s="0" t="n">
        <f aca="false">E5930*E5930</f>
        <v>1</v>
      </c>
      <c r="U5930" s="0" t="n">
        <f aca="false">F5930*F5930</f>
        <v>0.5625</v>
      </c>
      <c r="V5930" s="0" t="n">
        <f aca="false">G5930*G5930</f>
        <v>0.5625</v>
      </c>
      <c r="W5930" s="0" t="n">
        <f aca="false">H5930*H5930</f>
        <v>0.0625</v>
      </c>
      <c r="X5930" s="0" t="n">
        <f aca="false">SUMPRODUCT(I5930:W5930,_XtX!$B$96:$P$96)</f>
        <v>42.8631990131579</v>
      </c>
      <c r="Y5930" s="0" t="n">
        <f aca="false">SUMPRODUCT(MMULT(I5930:W5930,_XtX!$B$78:$P$92),I5930:W5930)</f>
        <v>0.473959761056287</v>
      </c>
      <c r="Z5930" s="0" t="n">
        <f aca="false">04_回帰ANOVA!$K$19*04_回帰ANOVA!$K$14*SQRT(1+Y5930)</f>
        <v>1.58249084588329</v>
      </c>
      <c r="AA5930" s="0" t="n">
        <f aca="false">X5930-Z5930</f>
        <v>41.2807081672746</v>
      </c>
      <c r="AB5930" s="0" t="n">
        <f aca="false">X5930+Z5930</f>
        <v>44.4456898590412</v>
      </c>
      <c r="AC5930" s="54" t="b">
        <f aca="false">AND(E5930&gt;=01_因子設定!$L$5-0.000000001,E5930&lt;=01_因子設定!$M$5+0.000000001,F5930&gt;=01_因子設定!$L$6-0.000000001,F5930&lt;=01_因子設定!$M$6+0.000000001,G5930&gt;=01_因子設定!$L$7-0.000000001,G5930&lt;=01_因子設定!$M$7+0.000000001,H5930&gt;=01_因子設定!$L$8-0.000000001,H5930&lt;=01_因子設定!$M$8+0.000000001,IF(01_因子設定!$B$20="Box-Behnken",E5930^2+F5930^2+G5930^2+H5930^2&lt;=2+0.000000001,TRUE()))</f>
        <v>1</v>
      </c>
      <c r="AD5930" s="55" t="n">
        <f aca="false">IF(AC5930,IF(01_因子設定!$B$13="最大化",AA5930-01_因子設定!$B$14,IF(01_因子設定!$B$13="最小化",01_因子設定!$B$15-AB5930,MIN(AA5930-01_因子設定!$B$14,01_因子設定!$B$15-AB5930))),-1E+030)</f>
        <v>-5.21929183272536</v>
      </c>
      <c r="AE5930" s="55" t="n">
        <f aca="false">IF(AC5930,IF(01_因子設定!$B$13="最大化",X5930,IF(01_因子設定!$B$13="最小化",-X5930,-ABS(X5930-01_因子設定!$B$16))),-1E+030)</f>
        <v>42.8631990131579</v>
      </c>
      <c r="AF5930" s="55" t="n">
        <f aca="false">AD5930+ROW()*0.000000001</f>
        <v>-5.21928590272536</v>
      </c>
      <c r="AG5930" s="55" t="n">
        <f aca="false">AE5930+ROW()*0.000000001</f>
        <v>42.8632049431579</v>
      </c>
    </row>
    <row r="5931" customFormat="false" ht="15" hidden="false" customHeight="false" outlineLevel="0" collapsed="false">
      <c r="A5931" s="0" t="n">
        <v>8</v>
      </c>
      <c r="B5931" s="0" t="n">
        <v>1</v>
      </c>
      <c r="C5931" s="0" t="n">
        <v>1</v>
      </c>
      <c r="D5931" s="0" t="n">
        <v>4</v>
      </c>
      <c r="E5931" s="0" t="n">
        <f aca="false">-1+A5931*0.25</f>
        <v>1</v>
      </c>
      <c r="F5931" s="0" t="n">
        <f aca="false">-1+B5931*0.25</f>
        <v>-0.75</v>
      </c>
      <c r="G5931" s="0" t="n">
        <f aca="false">-1+C5931*0.25</f>
        <v>-0.75</v>
      </c>
      <c r="H5931" s="0" t="n">
        <f aca="false">-1+D5931*0.25</f>
        <v>0</v>
      </c>
      <c r="I5931" s="0" t="n">
        <f aca="false">1</f>
        <v>1</v>
      </c>
      <c r="J5931" s="0" t="n">
        <f aca="false">E5931</f>
        <v>1</v>
      </c>
      <c r="K5931" s="0" t="n">
        <f aca="false">F5931</f>
        <v>-0.75</v>
      </c>
      <c r="L5931" s="0" t="n">
        <f aca="false">G5931</f>
        <v>-0.75</v>
      </c>
      <c r="M5931" s="0" t="n">
        <f aca="false">H5931</f>
        <v>0</v>
      </c>
      <c r="N5931" s="0" t="n">
        <f aca="false">E5931*F5931</f>
        <v>-0.75</v>
      </c>
      <c r="O5931" s="0" t="n">
        <f aca="false">E5931*G5931</f>
        <v>-0.75</v>
      </c>
      <c r="P5931" s="0" t="n">
        <f aca="false">E5931*H5931</f>
        <v>0</v>
      </c>
      <c r="Q5931" s="0" t="n">
        <f aca="false">F5931*G5931</f>
        <v>0.5625</v>
      </c>
      <c r="R5931" s="0" t="n">
        <f aca="false">F5931*H5931</f>
        <v>-0</v>
      </c>
      <c r="S5931" s="0" t="n">
        <f aca="false">G5931*H5931</f>
        <v>-0</v>
      </c>
      <c r="T5931" s="0" t="n">
        <f aca="false">E5931*E5931</f>
        <v>1</v>
      </c>
      <c r="U5931" s="0" t="n">
        <f aca="false">F5931*F5931</f>
        <v>0.5625</v>
      </c>
      <c r="V5931" s="0" t="n">
        <f aca="false">G5931*G5931</f>
        <v>0.5625</v>
      </c>
      <c r="W5931" s="0" t="n">
        <f aca="false">H5931*H5931</f>
        <v>0</v>
      </c>
      <c r="X5931" s="0" t="n">
        <f aca="false">SUMPRODUCT(I5931:W5931,_XtX!$B$96:$P$96)</f>
        <v>43.0056789108187</v>
      </c>
      <c r="Y5931" s="0" t="n">
        <f aca="false">SUMPRODUCT(MMULT(I5931:W5931,_XtX!$B$78:$P$92),I5931:W5931)</f>
        <v>0.494259126005117</v>
      </c>
      <c r="Z5931" s="0" t="n">
        <f aca="false">04_回帰ANOVA!$K$19*04_回帰ANOVA!$K$14*SQRT(1+Y5931)</f>
        <v>1.59335061078203</v>
      </c>
      <c r="AA5931" s="0" t="n">
        <f aca="false">X5931-Z5931</f>
        <v>41.4123283000367</v>
      </c>
      <c r="AB5931" s="0" t="n">
        <f aca="false">X5931+Z5931</f>
        <v>44.5990295216008</v>
      </c>
      <c r="AC5931" s="54" t="b">
        <f aca="false">AND(E5931&gt;=01_因子設定!$L$5-0.000000001,E5931&lt;=01_因子設定!$M$5+0.000000001,F5931&gt;=01_因子設定!$L$6-0.000000001,F5931&lt;=01_因子設定!$M$6+0.000000001,G5931&gt;=01_因子設定!$L$7-0.000000001,G5931&lt;=01_因子設定!$M$7+0.000000001,H5931&gt;=01_因子設定!$L$8-0.000000001,H5931&lt;=01_因子設定!$M$8+0.000000001,IF(01_因子設定!$B$20="Box-Behnken",E5931^2+F5931^2+G5931^2+H5931^2&lt;=2+0.000000001,TRUE()))</f>
        <v>1</v>
      </c>
      <c r="AD5931" s="55" t="n">
        <f aca="false">IF(AC5931,IF(01_因子設定!$B$13="最大化",AA5931-01_因子設定!$B$14,IF(01_因子設定!$B$13="最小化",01_因子設定!$B$15-AB5931,MIN(AA5931-01_因子設定!$B$14,01_因子設定!$B$15-AB5931))),-1E+030)</f>
        <v>-5.08767169996329</v>
      </c>
      <c r="AE5931" s="55" t="n">
        <f aca="false">IF(AC5931,IF(01_因子設定!$B$13="最大化",X5931,IF(01_因子設定!$B$13="最小化",-X5931,-ABS(X5931-01_因子設定!$B$16))),-1E+030)</f>
        <v>43.0056789108187</v>
      </c>
      <c r="AF5931" s="55" t="n">
        <f aca="false">AD5931+ROW()*0.000000001</f>
        <v>-5.08766576896329</v>
      </c>
      <c r="AG5931" s="55" t="n">
        <f aca="false">AE5931+ROW()*0.000000001</f>
        <v>43.0056848418187</v>
      </c>
    </row>
    <row r="5932" customFormat="false" ht="15" hidden="false" customHeight="false" outlineLevel="0" collapsed="false">
      <c r="A5932" s="0" t="n">
        <v>8</v>
      </c>
      <c r="B5932" s="0" t="n">
        <v>1</v>
      </c>
      <c r="C5932" s="0" t="n">
        <v>1</v>
      </c>
      <c r="D5932" s="0" t="n">
        <v>5</v>
      </c>
      <c r="E5932" s="0" t="n">
        <f aca="false">-1+A5932*0.25</f>
        <v>1</v>
      </c>
      <c r="F5932" s="0" t="n">
        <f aca="false">-1+B5932*0.25</f>
        <v>-0.75</v>
      </c>
      <c r="G5932" s="0" t="n">
        <f aca="false">-1+C5932*0.25</f>
        <v>-0.75</v>
      </c>
      <c r="H5932" s="0" t="n">
        <f aca="false">-1+D5932*0.25</f>
        <v>0.25</v>
      </c>
      <c r="I5932" s="0" t="n">
        <f aca="false">1</f>
        <v>1</v>
      </c>
      <c r="J5932" s="0" t="n">
        <f aca="false">E5932</f>
        <v>1</v>
      </c>
      <c r="K5932" s="0" t="n">
        <f aca="false">F5932</f>
        <v>-0.75</v>
      </c>
      <c r="L5932" s="0" t="n">
        <f aca="false">G5932</f>
        <v>-0.75</v>
      </c>
      <c r="M5932" s="0" t="n">
        <f aca="false">H5932</f>
        <v>0.25</v>
      </c>
      <c r="N5932" s="0" t="n">
        <f aca="false">E5932*F5932</f>
        <v>-0.75</v>
      </c>
      <c r="O5932" s="0" t="n">
        <f aca="false">E5932*G5932</f>
        <v>-0.75</v>
      </c>
      <c r="P5932" s="0" t="n">
        <f aca="false">E5932*H5932</f>
        <v>0.25</v>
      </c>
      <c r="Q5932" s="0" t="n">
        <f aca="false">F5932*G5932</f>
        <v>0.5625</v>
      </c>
      <c r="R5932" s="0" t="n">
        <f aca="false">F5932*H5932</f>
        <v>-0.1875</v>
      </c>
      <c r="S5932" s="0" t="n">
        <f aca="false">G5932*H5932</f>
        <v>-0.1875</v>
      </c>
      <c r="T5932" s="0" t="n">
        <f aca="false">E5932*E5932</f>
        <v>1</v>
      </c>
      <c r="U5932" s="0" t="n">
        <f aca="false">F5932*F5932</f>
        <v>0.5625</v>
      </c>
      <c r="V5932" s="0" t="n">
        <f aca="false">G5932*G5932</f>
        <v>0.5625</v>
      </c>
      <c r="W5932" s="0" t="n">
        <f aca="false">H5932*H5932</f>
        <v>0.0625</v>
      </c>
      <c r="X5932" s="0" t="n">
        <f aca="false">SUMPRODUCT(I5932:W5932,_XtX!$B$96:$P$96)</f>
        <v>43.1003517909357</v>
      </c>
      <c r="Y5932" s="0" t="n">
        <f aca="false">SUMPRODUCT(MMULT(I5932:W5932,_XtX!$B$78:$P$92),I5932:W5932)</f>
        <v>0.473959761056287</v>
      </c>
      <c r="Z5932" s="0" t="n">
        <f aca="false">04_回帰ANOVA!$K$19*04_回帰ANOVA!$K$14*SQRT(1+Y5932)</f>
        <v>1.58249084588329</v>
      </c>
      <c r="AA5932" s="0" t="n">
        <f aca="false">X5932-Z5932</f>
        <v>41.5178609450524</v>
      </c>
      <c r="AB5932" s="0" t="n">
        <f aca="false">X5932+Z5932</f>
        <v>44.682842636819</v>
      </c>
      <c r="AC5932" s="54" t="b">
        <f aca="false">AND(E5932&gt;=01_因子設定!$L$5-0.000000001,E5932&lt;=01_因子設定!$M$5+0.000000001,F5932&gt;=01_因子設定!$L$6-0.000000001,F5932&lt;=01_因子設定!$M$6+0.000000001,G5932&gt;=01_因子設定!$L$7-0.000000001,G5932&lt;=01_因子設定!$M$7+0.000000001,H5932&gt;=01_因子設定!$L$8-0.000000001,H5932&lt;=01_因子設定!$M$8+0.000000001,IF(01_因子設定!$B$20="Box-Behnken",E5932^2+F5932^2+G5932^2+H5932^2&lt;=2+0.000000001,TRUE()))</f>
        <v>1</v>
      </c>
      <c r="AD5932" s="55" t="n">
        <f aca="false">IF(AC5932,IF(01_因子設定!$B$13="最大化",AA5932-01_因子設定!$B$14,IF(01_因子設定!$B$13="最小化",01_因子設定!$B$15-AB5932,MIN(AA5932-01_因子設定!$B$14,01_因子設定!$B$15-AB5932))),-1E+030)</f>
        <v>-4.98213905494758</v>
      </c>
      <c r="AE5932" s="55" t="n">
        <f aca="false">IF(AC5932,IF(01_因子設定!$B$13="最大化",X5932,IF(01_因子設定!$B$13="最小化",-X5932,-ABS(X5932-01_因子設定!$B$16))),-1E+030)</f>
        <v>43.1003517909357</v>
      </c>
      <c r="AF5932" s="55" t="n">
        <f aca="false">AD5932+ROW()*0.000000001</f>
        <v>-4.98213312294758</v>
      </c>
      <c r="AG5932" s="55" t="n">
        <f aca="false">AE5932+ROW()*0.000000001</f>
        <v>43.1003577229357</v>
      </c>
    </row>
    <row r="5933" customFormat="false" ht="15" hidden="false" customHeight="false" outlineLevel="0" collapsed="false">
      <c r="A5933" s="0" t="n">
        <v>8</v>
      </c>
      <c r="B5933" s="0" t="n">
        <v>1</v>
      </c>
      <c r="C5933" s="0" t="n">
        <v>1</v>
      </c>
      <c r="D5933" s="0" t="n">
        <v>6</v>
      </c>
      <c r="E5933" s="0" t="n">
        <f aca="false">-1+A5933*0.25</f>
        <v>1</v>
      </c>
      <c r="F5933" s="0" t="n">
        <f aca="false">-1+B5933*0.25</f>
        <v>-0.75</v>
      </c>
      <c r="G5933" s="0" t="n">
        <f aca="false">-1+C5933*0.25</f>
        <v>-0.75</v>
      </c>
      <c r="H5933" s="0" t="n">
        <f aca="false">-1+D5933*0.25</f>
        <v>0.5</v>
      </c>
      <c r="I5933" s="0" t="n">
        <f aca="false">1</f>
        <v>1</v>
      </c>
      <c r="J5933" s="0" t="n">
        <f aca="false">E5933</f>
        <v>1</v>
      </c>
      <c r="K5933" s="0" t="n">
        <f aca="false">F5933</f>
        <v>-0.75</v>
      </c>
      <c r="L5933" s="0" t="n">
        <f aca="false">G5933</f>
        <v>-0.75</v>
      </c>
      <c r="M5933" s="0" t="n">
        <f aca="false">H5933</f>
        <v>0.5</v>
      </c>
      <c r="N5933" s="0" t="n">
        <f aca="false">E5933*F5933</f>
        <v>-0.75</v>
      </c>
      <c r="O5933" s="0" t="n">
        <f aca="false">E5933*G5933</f>
        <v>-0.75</v>
      </c>
      <c r="P5933" s="0" t="n">
        <f aca="false">E5933*H5933</f>
        <v>0.5</v>
      </c>
      <c r="Q5933" s="0" t="n">
        <f aca="false">F5933*G5933</f>
        <v>0.5625</v>
      </c>
      <c r="R5933" s="0" t="n">
        <f aca="false">F5933*H5933</f>
        <v>-0.375</v>
      </c>
      <c r="S5933" s="0" t="n">
        <f aca="false">G5933*H5933</f>
        <v>-0.375</v>
      </c>
      <c r="T5933" s="0" t="n">
        <f aca="false">E5933*E5933</f>
        <v>1</v>
      </c>
      <c r="U5933" s="0" t="n">
        <f aca="false">F5933*F5933</f>
        <v>0.5625</v>
      </c>
      <c r="V5933" s="0" t="n">
        <f aca="false">G5933*G5933</f>
        <v>0.5625</v>
      </c>
      <c r="W5933" s="0" t="n">
        <f aca="false">H5933*H5933</f>
        <v>0.25</v>
      </c>
      <c r="X5933" s="0" t="n">
        <f aca="false">SUMPRODUCT(I5933:W5933,_XtX!$B$96:$P$96)</f>
        <v>43.1472176535088</v>
      </c>
      <c r="Y5933" s="0" t="n">
        <f aca="false">SUMPRODUCT(MMULT(I5933:W5933,_XtX!$B$78:$P$92),I5933:W5933)</f>
        <v>0.431153771472953</v>
      </c>
      <c r="Z5933" s="0" t="n">
        <f aca="false">04_回帰ANOVA!$K$19*04_回帰ANOVA!$K$14*SQRT(1+Y5933)</f>
        <v>1.55934259562563</v>
      </c>
      <c r="AA5933" s="0" t="n">
        <f aca="false">X5933-Z5933</f>
        <v>41.5878750578832</v>
      </c>
      <c r="AB5933" s="0" t="n">
        <f aca="false">X5933+Z5933</f>
        <v>44.7065602491344</v>
      </c>
      <c r="AC5933" s="54" t="b">
        <f aca="false">AND(E5933&gt;=01_因子設定!$L$5-0.000000001,E5933&lt;=01_因子設定!$M$5+0.000000001,F5933&gt;=01_因子設定!$L$6-0.000000001,F5933&lt;=01_因子設定!$M$6+0.000000001,G5933&gt;=01_因子設定!$L$7-0.000000001,G5933&lt;=01_因子設定!$M$7+0.000000001,H5933&gt;=01_因子設定!$L$8-0.000000001,H5933&lt;=01_因子設定!$M$8+0.000000001,IF(01_因子設定!$B$20="Box-Behnken",E5933^2+F5933^2+G5933^2+H5933^2&lt;=2+0.000000001,TRUE()))</f>
        <v>1</v>
      </c>
      <c r="AD5933" s="55" t="n">
        <f aca="false">IF(AC5933,IF(01_因子設定!$B$13="最大化",AA5933-01_因子設定!$B$14,IF(01_因子設定!$B$13="最小化",01_因子設定!$B$15-AB5933,MIN(AA5933-01_因子設定!$B$14,01_因子設定!$B$15-AB5933))),-1E+030)</f>
        <v>-4.91212494211683</v>
      </c>
      <c r="AE5933" s="55" t="n">
        <f aca="false">IF(AC5933,IF(01_因子設定!$B$13="最大化",X5933,IF(01_因子設定!$B$13="最小化",-X5933,-ABS(X5933-01_因子設定!$B$16))),-1E+030)</f>
        <v>43.1472176535088</v>
      </c>
      <c r="AF5933" s="55" t="n">
        <f aca="false">AD5933+ROW()*0.000000001</f>
        <v>-4.91211900911683</v>
      </c>
      <c r="AG5933" s="55" t="n">
        <f aca="false">AE5933+ROW()*0.000000001</f>
        <v>43.1472235865088</v>
      </c>
    </row>
    <row r="5934" customFormat="false" ht="15" hidden="false" customHeight="false" outlineLevel="0" collapsed="false">
      <c r="A5934" s="0" t="n">
        <v>8</v>
      </c>
      <c r="B5934" s="0" t="n">
        <v>1</v>
      </c>
      <c r="C5934" s="0" t="n">
        <v>1</v>
      </c>
      <c r="D5934" s="0" t="n">
        <v>7</v>
      </c>
      <c r="E5934" s="0" t="n">
        <f aca="false">-1+A5934*0.25</f>
        <v>1</v>
      </c>
      <c r="F5934" s="0" t="n">
        <f aca="false">-1+B5934*0.25</f>
        <v>-0.75</v>
      </c>
      <c r="G5934" s="0" t="n">
        <f aca="false">-1+C5934*0.25</f>
        <v>-0.75</v>
      </c>
      <c r="H5934" s="0" t="n">
        <f aca="false">-1+D5934*0.25</f>
        <v>0.75</v>
      </c>
      <c r="I5934" s="0" t="n">
        <f aca="false">1</f>
        <v>1</v>
      </c>
      <c r="J5934" s="0" t="n">
        <f aca="false">E5934</f>
        <v>1</v>
      </c>
      <c r="K5934" s="0" t="n">
        <f aca="false">F5934</f>
        <v>-0.75</v>
      </c>
      <c r="L5934" s="0" t="n">
        <f aca="false">G5934</f>
        <v>-0.75</v>
      </c>
      <c r="M5934" s="0" t="n">
        <f aca="false">H5934</f>
        <v>0.75</v>
      </c>
      <c r="N5934" s="0" t="n">
        <f aca="false">E5934*F5934</f>
        <v>-0.75</v>
      </c>
      <c r="O5934" s="0" t="n">
        <f aca="false">E5934*G5934</f>
        <v>-0.75</v>
      </c>
      <c r="P5934" s="0" t="n">
        <f aca="false">E5934*H5934</f>
        <v>0.75</v>
      </c>
      <c r="Q5934" s="0" t="n">
        <f aca="false">F5934*G5934</f>
        <v>0.5625</v>
      </c>
      <c r="R5934" s="0" t="n">
        <f aca="false">F5934*H5934</f>
        <v>-0.5625</v>
      </c>
      <c r="S5934" s="0" t="n">
        <f aca="false">G5934*H5934</f>
        <v>-0.5625</v>
      </c>
      <c r="T5934" s="0" t="n">
        <f aca="false">E5934*E5934</f>
        <v>1</v>
      </c>
      <c r="U5934" s="0" t="n">
        <f aca="false">F5934*F5934</f>
        <v>0.5625</v>
      </c>
      <c r="V5934" s="0" t="n">
        <f aca="false">G5934*G5934</f>
        <v>0.5625</v>
      </c>
      <c r="W5934" s="0" t="n">
        <f aca="false">H5934*H5934</f>
        <v>0.5625</v>
      </c>
      <c r="X5934" s="0" t="n">
        <f aca="false">SUMPRODUCT(I5934:W5934,_XtX!$B$96:$P$96)</f>
        <v>43.1462764985381</v>
      </c>
      <c r="Y5934" s="0" t="n">
        <f aca="false">SUMPRODUCT(MMULT(I5934:W5934,_XtX!$B$78:$P$92),I5934:W5934)</f>
        <v>0.420117473044591</v>
      </c>
      <c r="Z5934" s="0" t="n">
        <f aca="false">04_回帰ANOVA!$K$19*04_回帰ANOVA!$K$14*SQRT(1+Y5934)</f>
        <v>1.55331854827765</v>
      </c>
      <c r="AA5934" s="0" t="n">
        <f aca="false">X5934-Z5934</f>
        <v>41.5929579502604</v>
      </c>
      <c r="AB5934" s="0" t="n">
        <f aca="false">X5934+Z5934</f>
        <v>44.6995950468157</v>
      </c>
      <c r="AC5934" s="54" t="b">
        <f aca="false">AND(E5934&gt;=01_因子設定!$L$5-0.000000001,E5934&lt;=01_因子設定!$M$5+0.000000001,F5934&gt;=01_因子設定!$L$6-0.000000001,F5934&lt;=01_因子設定!$M$6+0.000000001,G5934&gt;=01_因子設定!$L$7-0.000000001,G5934&lt;=01_因子設定!$M$7+0.000000001,H5934&gt;=01_因子設定!$L$8-0.000000001,H5934&lt;=01_因子設定!$M$8+0.000000001,IF(01_因子設定!$B$20="Box-Behnken",E5934^2+F5934^2+G5934^2+H5934^2&lt;=2+0.000000001,TRUE()))</f>
        <v>1</v>
      </c>
      <c r="AD5934" s="55" t="n">
        <f aca="false">IF(AC5934,IF(01_因子設定!$B$13="最大化",AA5934-01_因子設定!$B$14,IF(01_因子設定!$B$13="最小化",01_因子設定!$B$15-AB5934,MIN(AA5934-01_因子設定!$B$14,01_因子設定!$B$15-AB5934))),-1E+030)</f>
        <v>-4.90704204973959</v>
      </c>
      <c r="AE5934" s="55" t="n">
        <f aca="false">IF(AC5934,IF(01_因子設定!$B$13="最大化",X5934,IF(01_因子設定!$B$13="最小化",-X5934,-ABS(X5934-01_因子設定!$B$16))),-1E+030)</f>
        <v>43.1462764985381</v>
      </c>
      <c r="AF5934" s="55" t="n">
        <f aca="false">AD5934+ROW()*0.000000001</f>
        <v>-4.90703611573959</v>
      </c>
      <c r="AG5934" s="55" t="n">
        <f aca="false">AE5934+ROW()*0.000000001</f>
        <v>43.1462824325381</v>
      </c>
    </row>
    <row r="5935" customFormat="false" ht="15" hidden="false" customHeight="false" outlineLevel="0" collapsed="false">
      <c r="A5935" s="0" t="n">
        <v>8</v>
      </c>
      <c r="B5935" s="0" t="n">
        <v>1</v>
      </c>
      <c r="C5935" s="0" t="n">
        <v>1</v>
      </c>
      <c r="D5935" s="0" t="n">
        <v>8</v>
      </c>
      <c r="E5935" s="0" t="n">
        <f aca="false">-1+A5935*0.25</f>
        <v>1</v>
      </c>
      <c r="F5935" s="0" t="n">
        <f aca="false">-1+B5935*0.25</f>
        <v>-0.75</v>
      </c>
      <c r="G5935" s="0" t="n">
        <f aca="false">-1+C5935*0.25</f>
        <v>-0.75</v>
      </c>
      <c r="H5935" s="0" t="n">
        <f aca="false">-1+D5935*0.25</f>
        <v>1</v>
      </c>
      <c r="I5935" s="0" t="n">
        <f aca="false">1</f>
        <v>1</v>
      </c>
      <c r="J5935" s="0" t="n">
        <f aca="false">E5935</f>
        <v>1</v>
      </c>
      <c r="K5935" s="0" t="n">
        <f aca="false">F5935</f>
        <v>-0.75</v>
      </c>
      <c r="L5935" s="0" t="n">
        <f aca="false">G5935</f>
        <v>-0.75</v>
      </c>
      <c r="M5935" s="0" t="n">
        <f aca="false">H5935</f>
        <v>1</v>
      </c>
      <c r="N5935" s="0" t="n">
        <f aca="false">E5935*F5935</f>
        <v>-0.75</v>
      </c>
      <c r="O5935" s="0" t="n">
        <f aca="false">E5935*G5935</f>
        <v>-0.75</v>
      </c>
      <c r="P5935" s="0" t="n">
        <f aca="false">E5935*H5935</f>
        <v>1</v>
      </c>
      <c r="Q5935" s="0" t="n">
        <f aca="false">F5935*G5935</f>
        <v>0.5625</v>
      </c>
      <c r="R5935" s="0" t="n">
        <f aca="false">F5935*H5935</f>
        <v>-0.75</v>
      </c>
      <c r="S5935" s="0" t="n">
        <f aca="false">G5935*H5935</f>
        <v>-0.75</v>
      </c>
      <c r="T5935" s="0" t="n">
        <f aca="false">E5935*E5935</f>
        <v>1</v>
      </c>
      <c r="U5935" s="0" t="n">
        <f aca="false">F5935*F5935</f>
        <v>0.5625</v>
      </c>
      <c r="V5935" s="0" t="n">
        <f aca="false">G5935*G5935</f>
        <v>0.5625</v>
      </c>
      <c r="W5935" s="0" t="n">
        <f aca="false">H5935*H5935</f>
        <v>1</v>
      </c>
      <c r="X5935" s="0" t="n">
        <f aca="false">SUMPRODUCT(I5935:W5935,_XtX!$B$96:$P$96)</f>
        <v>43.0975283260235</v>
      </c>
      <c r="Y5935" s="0" t="n">
        <f aca="false">SUMPRODUCT(MMULT(I5935:W5935,_XtX!$B$78:$P$92),I5935:W5935)</f>
        <v>0.531311392086988</v>
      </c>
      <c r="Z5935" s="0" t="n">
        <f aca="false">04_回帰ANOVA!$K$19*04_回帰ANOVA!$K$14*SQRT(1+Y5935)</f>
        <v>1.61298433431428</v>
      </c>
      <c r="AA5935" s="0" t="n">
        <f aca="false">X5935-Z5935</f>
        <v>41.4845439917092</v>
      </c>
      <c r="AB5935" s="0" t="n">
        <f aca="false">X5935+Z5935</f>
        <v>44.7105126603377</v>
      </c>
      <c r="AC5935" s="54" t="b">
        <f aca="false">AND(E5935&gt;=01_因子設定!$L$5-0.000000001,E5935&lt;=01_因子設定!$M$5+0.000000001,F5935&gt;=01_因子設定!$L$6-0.000000001,F5935&lt;=01_因子設定!$M$6+0.000000001,G5935&gt;=01_因子設定!$L$7-0.000000001,G5935&lt;=01_因子設定!$M$7+0.000000001,H5935&gt;=01_因子設定!$L$8-0.000000001,H5935&lt;=01_因子設定!$M$8+0.000000001,IF(01_因子設定!$B$20="Box-Behnken",E5935^2+F5935^2+G5935^2+H5935^2&lt;=2+0.000000001,TRUE()))</f>
        <v>1</v>
      </c>
      <c r="AD5935" s="55" t="n">
        <f aca="false">IF(AC5935,IF(01_因子設定!$B$13="最大化",AA5935-01_因子設定!$B$14,IF(01_因子設定!$B$13="最小化",01_因子設定!$B$15-AB5935,MIN(AA5935-01_因子設定!$B$14,01_因子設定!$B$15-AB5935))),-1E+030)</f>
        <v>-5.01545600829083</v>
      </c>
      <c r="AE5935" s="55" t="n">
        <f aca="false">IF(AC5935,IF(01_因子設定!$B$13="最大化",X5935,IF(01_因子設定!$B$13="最小化",-X5935,-ABS(X5935-01_因子設定!$B$16))),-1E+030)</f>
        <v>43.0975283260235</v>
      </c>
      <c r="AF5935" s="55" t="n">
        <f aca="false">AD5935+ROW()*0.000000001</f>
        <v>-5.01545007329083</v>
      </c>
      <c r="AG5935" s="55" t="n">
        <f aca="false">AE5935+ROW()*0.000000001</f>
        <v>43.0975342610235</v>
      </c>
    </row>
    <row r="5936" customFormat="false" ht="15" hidden="false" customHeight="false" outlineLevel="0" collapsed="false">
      <c r="A5936" s="0" t="n">
        <v>8</v>
      </c>
      <c r="B5936" s="0" t="n">
        <v>1</v>
      </c>
      <c r="C5936" s="0" t="n">
        <v>2</v>
      </c>
      <c r="D5936" s="0" t="n">
        <v>0</v>
      </c>
      <c r="E5936" s="0" t="n">
        <f aca="false">-1+A5936*0.25</f>
        <v>1</v>
      </c>
      <c r="F5936" s="0" t="n">
        <f aca="false">-1+B5936*0.25</f>
        <v>-0.75</v>
      </c>
      <c r="G5936" s="0" t="n">
        <f aca="false">-1+C5936*0.25</f>
        <v>-0.5</v>
      </c>
      <c r="H5936" s="0" t="n">
        <f aca="false">-1+D5936*0.25</f>
        <v>-1</v>
      </c>
      <c r="I5936" s="0" t="n">
        <f aca="false">1</f>
        <v>1</v>
      </c>
      <c r="J5936" s="0" t="n">
        <f aca="false">E5936</f>
        <v>1</v>
      </c>
      <c r="K5936" s="0" t="n">
        <f aca="false">F5936</f>
        <v>-0.75</v>
      </c>
      <c r="L5936" s="0" t="n">
        <f aca="false">G5936</f>
        <v>-0.5</v>
      </c>
      <c r="M5936" s="0" t="n">
        <f aca="false">H5936</f>
        <v>-1</v>
      </c>
      <c r="N5936" s="0" t="n">
        <f aca="false">E5936*F5936</f>
        <v>-0.75</v>
      </c>
      <c r="O5936" s="0" t="n">
        <f aca="false">E5936*G5936</f>
        <v>-0.5</v>
      </c>
      <c r="P5936" s="0" t="n">
        <f aca="false">E5936*H5936</f>
        <v>-1</v>
      </c>
      <c r="Q5936" s="0" t="n">
        <f aca="false">F5936*G5936</f>
        <v>0.375</v>
      </c>
      <c r="R5936" s="0" t="n">
        <f aca="false">F5936*H5936</f>
        <v>0.75</v>
      </c>
      <c r="S5936" s="0" t="n">
        <f aca="false">G5936*H5936</f>
        <v>0.5</v>
      </c>
      <c r="T5936" s="0" t="n">
        <f aca="false">E5936*E5936</f>
        <v>1</v>
      </c>
      <c r="U5936" s="0" t="n">
        <f aca="false">F5936*F5936</f>
        <v>0.5625</v>
      </c>
      <c r="V5936" s="0" t="n">
        <f aca="false">G5936*G5936</f>
        <v>0.25</v>
      </c>
      <c r="W5936" s="0" t="n">
        <f aca="false">H5936*H5936</f>
        <v>1</v>
      </c>
      <c r="X5936" s="0" t="n">
        <f aca="false">SUMPRODUCT(I5936:W5936,_XtX!$B$96:$P$96)</f>
        <v>42.3150493421053</v>
      </c>
      <c r="Y5936" s="0" t="n">
        <f aca="false">SUMPRODUCT(MMULT(I5936:W5936,_XtX!$B$78:$P$92),I5936:W5936)</f>
        <v>0.564984237938597</v>
      </c>
      <c r="Z5936" s="0" t="n">
        <f aca="false">04_回帰ANOVA!$K$19*04_回帰ANOVA!$K$14*SQRT(1+Y5936)</f>
        <v>1.63062229734503</v>
      </c>
      <c r="AA5936" s="0" t="n">
        <f aca="false">X5936-Z5936</f>
        <v>40.6844270447603</v>
      </c>
      <c r="AB5936" s="0" t="n">
        <f aca="false">X5936+Z5936</f>
        <v>43.9456716394504</v>
      </c>
      <c r="AC5936" s="54" t="b">
        <f aca="false">AND(E5936&gt;=01_因子設定!$L$5-0.000000001,E5936&lt;=01_因子設定!$M$5+0.000000001,F5936&gt;=01_因子設定!$L$6-0.000000001,F5936&lt;=01_因子設定!$M$6+0.000000001,G5936&gt;=01_因子設定!$L$7-0.000000001,G5936&lt;=01_因子設定!$M$7+0.000000001,H5936&gt;=01_因子設定!$L$8-0.000000001,H5936&lt;=01_因子設定!$M$8+0.000000001,IF(01_因子設定!$B$20="Box-Behnken",E5936^2+F5936^2+G5936^2+H5936^2&lt;=2+0.000000001,TRUE()))</f>
        <v>1</v>
      </c>
      <c r="AD5936" s="55" t="n">
        <f aca="false">IF(AC5936,IF(01_因子設定!$B$13="最大化",AA5936-01_因子設定!$B$14,IF(01_因子設定!$B$13="最小化",01_因子設定!$B$15-AB5936,MIN(AA5936-01_因子設定!$B$14,01_因子設定!$B$15-AB5936))),-1E+030)</f>
        <v>-5.81557295523971</v>
      </c>
      <c r="AE5936" s="55" t="n">
        <f aca="false">IF(AC5936,IF(01_因子設定!$B$13="最大化",X5936,IF(01_因子設定!$B$13="最小化",-X5936,-ABS(X5936-01_因子設定!$B$16))),-1E+030)</f>
        <v>42.3150493421053</v>
      </c>
      <c r="AF5936" s="55" t="n">
        <f aca="false">AD5936+ROW()*0.000000001</f>
        <v>-5.81556701923971</v>
      </c>
      <c r="AG5936" s="55" t="n">
        <f aca="false">AE5936+ROW()*0.000000001</f>
        <v>42.3150552781053</v>
      </c>
    </row>
    <row r="5937" customFormat="false" ht="15" hidden="false" customHeight="false" outlineLevel="0" collapsed="false">
      <c r="A5937" s="0" t="n">
        <v>8</v>
      </c>
      <c r="B5937" s="0" t="n">
        <v>1</v>
      </c>
      <c r="C5937" s="0" t="n">
        <v>2</v>
      </c>
      <c r="D5937" s="0" t="n">
        <v>1</v>
      </c>
      <c r="E5937" s="0" t="n">
        <f aca="false">-1+A5937*0.25</f>
        <v>1</v>
      </c>
      <c r="F5937" s="0" t="n">
        <f aca="false">-1+B5937*0.25</f>
        <v>-0.75</v>
      </c>
      <c r="G5937" s="0" t="n">
        <f aca="false">-1+C5937*0.25</f>
        <v>-0.5</v>
      </c>
      <c r="H5937" s="0" t="n">
        <f aca="false">-1+D5937*0.25</f>
        <v>-0.75</v>
      </c>
      <c r="I5937" s="0" t="n">
        <f aca="false">1</f>
        <v>1</v>
      </c>
      <c r="J5937" s="0" t="n">
        <f aca="false">E5937</f>
        <v>1</v>
      </c>
      <c r="K5937" s="0" t="n">
        <f aca="false">F5937</f>
        <v>-0.75</v>
      </c>
      <c r="L5937" s="0" t="n">
        <f aca="false">G5937</f>
        <v>-0.5</v>
      </c>
      <c r="M5937" s="0" t="n">
        <f aca="false">H5937</f>
        <v>-0.75</v>
      </c>
      <c r="N5937" s="0" t="n">
        <f aca="false">E5937*F5937</f>
        <v>-0.75</v>
      </c>
      <c r="O5937" s="0" t="n">
        <f aca="false">E5937*G5937</f>
        <v>-0.5</v>
      </c>
      <c r="P5937" s="0" t="n">
        <f aca="false">E5937*H5937</f>
        <v>-0.75</v>
      </c>
      <c r="Q5937" s="0" t="n">
        <f aca="false">F5937*G5937</f>
        <v>0.375</v>
      </c>
      <c r="R5937" s="0" t="n">
        <f aca="false">F5937*H5937</f>
        <v>0.5625</v>
      </c>
      <c r="S5937" s="0" t="n">
        <f aca="false">G5937*H5937</f>
        <v>0.375</v>
      </c>
      <c r="T5937" s="0" t="n">
        <f aca="false">E5937*E5937</f>
        <v>1</v>
      </c>
      <c r="U5937" s="0" t="n">
        <f aca="false">F5937*F5937</f>
        <v>0.5625</v>
      </c>
      <c r="V5937" s="0" t="n">
        <f aca="false">G5937*G5937</f>
        <v>0.25</v>
      </c>
      <c r="W5937" s="0" t="n">
        <f aca="false">H5937*H5937</f>
        <v>0.5625</v>
      </c>
      <c r="X5937" s="0" t="n">
        <f aca="false">SUMPRODUCT(I5937:W5937,_XtX!$B$96:$P$96)</f>
        <v>42.6189190423977</v>
      </c>
      <c r="Y5937" s="0" t="n">
        <f aca="false">SUMPRODUCT(MMULT(I5937:W5937,_XtX!$B$78:$P$92),I5937:W5937)</f>
        <v>0.431153771472953</v>
      </c>
      <c r="Z5937" s="0" t="n">
        <f aca="false">04_回帰ANOVA!$K$19*04_回帰ANOVA!$K$14*SQRT(1+Y5937)</f>
        <v>1.55934259562563</v>
      </c>
      <c r="AA5937" s="0" t="n">
        <f aca="false">X5937-Z5937</f>
        <v>41.0595764467721</v>
      </c>
      <c r="AB5937" s="0" t="n">
        <f aca="false">X5937+Z5937</f>
        <v>44.1782616380233</v>
      </c>
      <c r="AC5937" s="54" t="b">
        <f aca="false">AND(E5937&gt;=01_因子設定!$L$5-0.000000001,E5937&lt;=01_因子設定!$M$5+0.000000001,F5937&gt;=01_因子設定!$L$6-0.000000001,F5937&lt;=01_因子設定!$M$6+0.000000001,G5937&gt;=01_因子設定!$L$7-0.000000001,G5937&lt;=01_因子設定!$M$7+0.000000001,H5937&gt;=01_因子設定!$L$8-0.000000001,H5937&lt;=01_因子設定!$M$8+0.000000001,IF(01_因子設定!$B$20="Box-Behnken",E5937^2+F5937^2+G5937^2+H5937^2&lt;=2+0.000000001,TRUE()))</f>
        <v>1</v>
      </c>
      <c r="AD5937" s="55" t="n">
        <f aca="false">IF(AC5937,IF(01_因子設定!$B$13="最大化",AA5937-01_因子設定!$B$14,IF(01_因子設定!$B$13="最小化",01_因子設定!$B$15-AB5937,MIN(AA5937-01_因子設定!$B$14,01_因子設定!$B$15-AB5937))),-1E+030)</f>
        <v>-5.44042355322792</v>
      </c>
      <c r="AE5937" s="55" t="n">
        <f aca="false">IF(AC5937,IF(01_因子設定!$B$13="最大化",X5937,IF(01_因子設定!$B$13="最小化",-X5937,-ABS(X5937-01_因子設定!$B$16))),-1E+030)</f>
        <v>42.6189190423977</v>
      </c>
      <c r="AF5937" s="55" t="n">
        <f aca="false">AD5937+ROW()*0.000000001</f>
        <v>-5.44041761622792</v>
      </c>
      <c r="AG5937" s="55" t="n">
        <f aca="false">AE5937+ROW()*0.000000001</f>
        <v>42.6189249793977</v>
      </c>
    </row>
    <row r="5938" customFormat="false" ht="15" hidden="false" customHeight="false" outlineLevel="0" collapsed="false">
      <c r="A5938" s="0" t="n">
        <v>8</v>
      </c>
      <c r="B5938" s="0" t="n">
        <v>1</v>
      </c>
      <c r="C5938" s="0" t="n">
        <v>2</v>
      </c>
      <c r="D5938" s="0" t="n">
        <v>2</v>
      </c>
      <c r="E5938" s="0" t="n">
        <f aca="false">-1+A5938*0.25</f>
        <v>1</v>
      </c>
      <c r="F5938" s="0" t="n">
        <f aca="false">-1+B5938*0.25</f>
        <v>-0.75</v>
      </c>
      <c r="G5938" s="0" t="n">
        <f aca="false">-1+C5938*0.25</f>
        <v>-0.5</v>
      </c>
      <c r="H5938" s="0" t="n">
        <f aca="false">-1+D5938*0.25</f>
        <v>-0.5</v>
      </c>
      <c r="I5938" s="0" t="n">
        <f aca="false">1</f>
        <v>1</v>
      </c>
      <c r="J5938" s="0" t="n">
        <f aca="false">E5938</f>
        <v>1</v>
      </c>
      <c r="K5938" s="0" t="n">
        <f aca="false">F5938</f>
        <v>-0.75</v>
      </c>
      <c r="L5938" s="0" t="n">
        <f aca="false">G5938</f>
        <v>-0.5</v>
      </c>
      <c r="M5938" s="0" t="n">
        <f aca="false">H5938</f>
        <v>-0.5</v>
      </c>
      <c r="N5938" s="0" t="n">
        <f aca="false">E5938*F5938</f>
        <v>-0.75</v>
      </c>
      <c r="O5938" s="0" t="n">
        <f aca="false">E5938*G5938</f>
        <v>-0.5</v>
      </c>
      <c r="P5938" s="0" t="n">
        <f aca="false">E5938*H5938</f>
        <v>-0.5</v>
      </c>
      <c r="Q5938" s="0" t="n">
        <f aca="false">F5938*G5938</f>
        <v>0.375</v>
      </c>
      <c r="R5938" s="0" t="n">
        <f aca="false">F5938*H5938</f>
        <v>0.375</v>
      </c>
      <c r="S5938" s="0" t="n">
        <f aca="false">G5938*H5938</f>
        <v>0.25</v>
      </c>
      <c r="T5938" s="0" t="n">
        <f aca="false">E5938*E5938</f>
        <v>1</v>
      </c>
      <c r="U5938" s="0" t="n">
        <f aca="false">F5938*F5938</f>
        <v>0.5625</v>
      </c>
      <c r="V5938" s="0" t="n">
        <f aca="false">G5938*G5938</f>
        <v>0.25</v>
      </c>
      <c r="W5938" s="0" t="n">
        <f aca="false">H5938*H5938</f>
        <v>0.25</v>
      </c>
      <c r="X5938" s="0" t="n">
        <f aca="false">SUMPRODUCT(I5938:W5938,_XtX!$B$96:$P$96)</f>
        <v>42.8749817251462</v>
      </c>
      <c r="Y5938" s="0" t="n">
        <f aca="false">SUMPRODUCT(MMULT(I5938:W5938,_XtX!$B$78:$P$92),I5938:W5938)</f>
        <v>0.42602110745614</v>
      </c>
      <c r="Z5938" s="0" t="n">
        <f aca="false">04_回帰ANOVA!$K$19*04_回帰ANOVA!$K$14*SQRT(1+Y5938)</f>
        <v>1.55654388501114</v>
      </c>
      <c r="AA5938" s="0" t="n">
        <f aca="false">X5938-Z5938</f>
        <v>41.3184378401351</v>
      </c>
      <c r="AB5938" s="0" t="n">
        <f aca="false">X5938+Z5938</f>
        <v>44.4315256101574</v>
      </c>
      <c r="AC5938" s="54" t="b">
        <f aca="false">AND(E5938&gt;=01_因子設定!$L$5-0.000000001,E5938&lt;=01_因子設定!$M$5+0.000000001,F5938&gt;=01_因子設定!$L$6-0.000000001,F5938&lt;=01_因子設定!$M$6+0.000000001,G5938&gt;=01_因子設定!$L$7-0.000000001,G5938&lt;=01_因子設定!$M$7+0.000000001,H5938&gt;=01_因子設定!$L$8-0.000000001,H5938&lt;=01_因子設定!$M$8+0.000000001,IF(01_因子設定!$B$20="Box-Behnken",E5938^2+F5938^2+G5938^2+H5938^2&lt;=2+0.000000001,TRUE()))</f>
        <v>1</v>
      </c>
      <c r="AD5938" s="55" t="n">
        <f aca="false">IF(AC5938,IF(01_因子設定!$B$13="最大化",AA5938-01_因子設定!$B$14,IF(01_因子設定!$B$13="最小化",01_因子設定!$B$15-AB5938,MIN(AA5938-01_因子設定!$B$14,01_因子設定!$B$15-AB5938))),-1E+030)</f>
        <v>-5.1815621598649</v>
      </c>
      <c r="AE5938" s="55" t="n">
        <f aca="false">IF(AC5938,IF(01_因子設定!$B$13="最大化",X5938,IF(01_因子設定!$B$13="最小化",-X5938,-ABS(X5938-01_因子設定!$B$16))),-1E+030)</f>
        <v>42.8749817251462</v>
      </c>
      <c r="AF5938" s="55" t="n">
        <f aca="false">AD5938+ROW()*0.000000001</f>
        <v>-5.1815562218649</v>
      </c>
      <c r="AG5938" s="55" t="n">
        <f aca="false">AE5938+ROW()*0.000000001</f>
        <v>42.8749876631462</v>
      </c>
    </row>
    <row r="5939" customFormat="false" ht="15" hidden="false" customHeight="false" outlineLevel="0" collapsed="false">
      <c r="A5939" s="0" t="n">
        <v>8</v>
      </c>
      <c r="B5939" s="0" t="n">
        <v>1</v>
      </c>
      <c r="C5939" s="0" t="n">
        <v>2</v>
      </c>
      <c r="D5939" s="0" t="n">
        <v>3</v>
      </c>
      <c r="E5939" s="0" t="n">
        <f aca="false">-1+A5939*0.25</f>
        <v>1</v>
      </c>
      <c r="F5939" s="0" t="n">
        <f aca="false">-1+B5939*0.25</f>
        <v>-0.75</v>
      </c>
      <c r="G5939" s="0" t="n">
        <f aca="false">-1+C5939*0.25</f>
        <v>-0.5</v>
      </c>
      <c r="H5939" s="0" t="n">
        <f aca="false">-1+D5939*0.25</f>
        <v>-0.25</v>
      </c>
      <c r="I5939" s="0" t="n">
        <f aca="false">1</f>
        <v>1</v>
      </c>
      <c r="J5939" s="0" t="n">
        <f aca="false">E5939</f>
        <v>1</v>
      </c>
      <c r="K5939" s="0" t="n">
        <f aca="false">F5939</f>
        <v>-0.75</v>
      </c>
      <c r="L5939" s="0" t="n">
        <f aca="false">G5939</f>
        <v>-0.5</v>
      </c>
      <c r="M5939" s="0" t="n">
        <f aca="false">H5939</f>
        <v>-0.25</v>
      </c>
      <c r="N5939" s="0" t="n">
        <f aca="false">E5939*F5939</f>
        <v>-0.75</v>
      </c>
      <c r="O5939" s="0" t="n">
        <f aca="false">E5939*G5939</f>
        <v>-0.5</v>
      </c>
      <c r="P5939" s="0" t="n">
        <f aca="false">E5939*H5939</f>
        <v>-0.25</v>
      </c>
      <c r="Q5939" s="0" t="n">
        <f aca="false">F5939*G5939</f>
        <v>0.375</v>
      </c>
      <c r="R5939" s="0" t="n">
        <f aca="false">F5939*H5939</f>
        <v>0.1875</v>
      </c>
      <c r="S5939" s="0" t="n">
        <f aca="false">G5939*H5939</f>
        <v>0.125</v>
      </c>
      <c r="T5939" s="0" t="n">
        <f aca="false">E5939*E5939</f>
        <v>1</v>
      </c>
      <c r="U5939" s="0" t="n">
        <f aca="false">F5939*F5939</f>
        <v>0.5625</v>
      </c>
      <c r="V5939" s="0" t="n">
        <f aca="false">G5939*G5939</f>
        <v>0.25</v>
      </c>
      <c r="W5939" s="0" t="n">
        <f aca="false">H5939*H5939</f>
        <v>0.0625</v>
      </c>
      <c r="X5939" s="0" t="n">
        <f aca="false">SUMPRODUCT(I5939:W5939,_XtX!$B$96:$P$96)</f>
        <v>43.0832373903509</v>
      </c>
      <c r="Y5939" s="0" t="n">
        <f aca="false">SUMPRODUCT(MMULT(I5939:W5939,_XtX!$B$78:$P$92),I5939:W5939)</f>
        <v>0.459125719572369</v>
      </c>
      <c r="Z5939" s="0" t="n">
        <f aca="false">04_回帰ANOVA!$K$19*04_回帰ANOVA!$K$14*SQRT(1+Y5939)</f>
        <v>1.57450755575573</v>
      </c>
      <c r="AA5939" s="0" t="n">
        <f aca="false">X5939-Z5939</f>
        <v>41.5087298345952</v>
      </c>
      <c r="AB5939" s="0" t="n">
        <f aca="false">X5939+Z5939</f>
        <v>44.6577449461066</v>
      </c>
      <c r="AC5939" s="54" t="b">
        <f aca="false">AND(E5939&gt;=01_因子設定!$L$5-0.000000001,E5939&lt;=01_因子設定!$M$5+0.000000001,F5939&gt;=01_因子設定!$L$6-0.000000001,F5939&lt;=01_因子設定!$M$6+0.000000001,G5939&gt;=01_因子設定!$L$7-0.000000001,G5939&lt;=01_因子設定!$M$7+0.000000001,H5939&gt;=01_因子設定!$L$8-0.000000001,H5939&lt;=01_因子設定!$M$8+0.000000001,IF(01_因子設定!$B$20="Box-Behnken",E5939^2+F5939^2+G5939^2+H5939^2&lt;=2+0.000000001,TRUE()))</f>
        <v>1</v>
      </c>
      <c r="AD5939" s="55" t="n">
        <f aca="false">IF(AC5939,IF(01_因子設定!$B$13="最大化",AA5939-01_因子設定!$B$14,IF(01_因子設定!$B$13="最小化",01_因子設定!$B$15-AB5939,MIN(AA5939-01_因子設定!$B$14,01_因子設定!$B$15-AB5939))),-1E+030)</f>
        <v>-4.99127016540483</v>
      </c>
      <c r="AE5939" s="55" t="n">
        <f aca="false">IF(AC5939,IF(01_因子設定!$B$13="最大化",X5939,IF(01_因子設定!$B$13="最小化",-X5939,-ABS(X5939-01_因子設定!$B$16))),-1E+030)</f>
        <v>43.0832373903509</v>
      </c>
      <c r="AF5939" s="55" t="n">
        <f aca="false">AD5939+ROW()*0.000000001</f>
        <v>-4.99126422640483</v>
      </c>
      <c r="AG5939" s="55" t="n">
        <f aca="false">AE5939+ROW()*0.000000001</f>
        <v>43.0832433293509</v>
      </c>
    </row>
    <row r="5940" customFormat="false" ht="15" hidden="false" customHeight="false" outlineLevel="0" collapsed="false">
      <c r="A5940" s="0" t="n">
        <v>8</v>
      </c>
      <c r="B5940" s="0" t="n">
        <v>1</v>
      </c>
      <c r="C5940" s="0" t="n">
        <v>2</v>
      </c>
      <c r="D5940" s="0" t="n">
        <v>4</v>
      </c>
      <c r="E5940" s="0" t="n">
        <f aca="false">-1+A5940*0.25</f>
        <v>1</v>
      </c>
      <c r="F5940" s="0" t="n">
        <f aca="false">-1+B5940*0.25</f>
        <v>-0.75</v>
      </c>
      <c r="G5940" s="0" t="n">
        <f aca="false">-1+C5940*0.25</f>
        <v>-0.5</v>
      </c>
      <c r="H5940" s="0" t="n">
        <f aca="false">-1+D5940*0.25</f>
        <v>0</v>
      </c>
      <c r="I5940" s="0" t="n">
        <f aca="false">1</f>
        <v>1</v>
      </c>
      <c r="J5940" s="0" t="n">
        <f aca="false">E5940</f>
        <v>1</v>
      </c>
      <c r="K5940" s="0" t="n">
        <f aca="false">F5940</f>
        <v>-0.75</v>
      </c>
      <c r="L5940" s="0" t="n">
        <f aca="false">G5940</f>
        <v>-0.5</v>
      </c>
      <c r="M5940" s="0" t="n">
        <f aca="false">H5940</f>
        <v>0</v>
      </c>
      <c r="N5940" s="0" t="n">
        <f aca="false">E5940*F5940</f>
        <v>-0.75</v>
      </c>
      <c r="O5940" s="0" t="n">
        <f aca="false">E5940*G5940</f>
        <v>-0.5</v>
      </c>
      <c r="P5940" s="0" t="n">
        <f aca="false">E5940*H5940</f>
        <v>0</v>
      </c>
      <c r="Q5940" s="0" t="n">
        <f aca="false">F5940*G5940</f>
        <v>0.375</v>
      </c>
      <c r="R5940" s="0" t="n">
        <f aca="false">F5940*H5940</f>
        <v>-0</v>
      </c>
      <c r="S5940" s="0" t="n">
        <f aca="false">G5940*H5940</f>
        <v>-0</v>
      </c>
      <c r="T5940" s="0" t="n">
        <f aca="false">E5940*E5940</f>
        <v>1</v>
      </c>
      <c r="U5940" s="0" t="n">
        <f aca="false">F5940*F5940</f>
        <v>0.5625</v>
      </c>
      <c r="V5940" s="0" t="n">
        <f aca="false">G5940*G5940</f>
        <v>0.25</v>
      </c>
      <c r="W5940" s="0" t="n">
        <f aca="false">H5940*H5940</f>
        <v>0</v>
      </c>
      <c r="X5940" s="0" t="n">
        <f aca="false">SUMPRODUCT(I5940:W5940,_XtX!$B$96:$P$96)</f>
        <v>43.2436860380117</v>
      </c>
      <c r="Y5940" s="0" t="n">
        <f aca="false">SUMPRODUCT(MMULT(I5940:W5940,_XtX!$B$78:$P$92),I5940:W5940)</f>
        <v>0.476191292032164</v>
      </c>
      <c r="Z5940" s="0" t="n">
        <f aca="false">04_回帰ANOVA!$K$19*04_回帰ANOVA!$K$14*SQRT(1+Y5940)</f>
        <v>1.58368831471718</v>
      </c>
      <c r="AA5940" s="0" t="n">
        <f aca="false">X5940-Z5940</f>
        <v>41.6599977232945</v>
      </c>
      <c r="AB5940" s="0" t="n">
        <f aca="false">X5940+Z5940</f>
        <v>44.8273743527289</v>
      </c>
      <c r="AC5940" s="54" t="b">
        <f aca="false">AND(E5940&gt;=01_因子設定!$L$5-0.000000001,E5940&lt;=01_因子設定!$M$5+0.000000001,F5940&gt;=01_因子設定!$L$6-0.000000001,F5940&lt;=01_因子設定!$M$6+0.000000001,G5940&gt;=01_因子設定!$L$7-0.000000001,G5940&lt;=01_因子設定!$M$7+0.000000001,H5940&gt;=01_因子設定!$L$8-0.000000001,H5940&lt;=01_因子設定!$M$8+0.000000001,IF(01_因子設定!$B$20="Box-Behnken",E5940^2+F5940^2+G5940^2+H5940^2&lt;=2+0.000000001,TRUE()))</f>
        <v>1</v>
      </c>
      <c r="AD5940" s="55" t="n">
        <f aca="false">IF(AC5940,IF(01_因子設定!$B$13="最大化",AA5940-01_因子設定!$B$14,IF(01_因子設定!$B$13="最小化",01_因子設定!$B$15-AB5940,MIN(AA5940-01_因子設定!$B$14,01_因子設定!$B$15-AB5940))),-1E+030)</f>
        <v>-4.84000227670546</v>
      </c>
      <c r="AE5940" s="55" t="n">
        <f aca="false">IF(AC5940,IF(01_因子設定!$B$13="最大化",X5940,IF(01_因子設定!$B$13="最小化",-X5940,-ABS(X5940-01_因子設定!$B$16))),-1E+030)</f>
        <v>43.2436860380117</v>
      </c>
      <c r="AF5940" s="55" t="n">
        <f aca="false">AD5940+ROW()*0.000000001</f>
        <v>-4.83999633670546</v>
      </c>
      <c r="AG5940" s="55" t="n">
        <f aca="false">AE5940+ROW()*0.000000001</f>
        <v>43.2436919780117</v>
      </c>
    </row>
    <row r="5941" customFormat="false" ht="15" hidden="false" customHeight="false" outlineLevel="0" collapsed="false">
      <c r="A5941" s="0" t="n">
        <v>8</v>
      </c>
      <c r="B5941" s="0" t="n">
        <v>1</v>
      </c>
      <c r="C5941" s="0" t="n">
        <v>2</v>
      </c>
      <c r="D5941" s="0" t="n">
        <v>5</v>
      </c>
      <c r="E5941" s="0" t="n">
        <f aca="false">-1+A5941*0.25</f>
        <v>1</v>
      </c>
      <c r="F5941" s="0" t="n">
        <f aca="false">-1+B5941*0.25</f>
        <v>-0.75</v>
      </c>
      <c r="G5941" s="0" t="n">
        <f aca="false">-1+C5941*0.25</f>
        <v>-0.5</v>
      </c>
      <c r="H5941" s="0" t="n">
        <f aca="false">-1+D5941*0.25</f>
        <v>0.25</v>
      </c>
      <c r="I5941" s="0" t="n">
        <f aca="false">1</f>
        <v>1</v>
      </c>
      <c r="J5941" s="0" t="n">
        <f aca="false">E5941</f>
        <v>1</v>
      </c>
      <c r="K5941" s="0" t="n">
        <f aca="false">F5941</f>
        <v>-0.75</v>
      </c>
      <c r="L5941" s="0" t="n">
        <f aca="false">G5941</f>
        <v>-0.5</v>
      </c>
      <c r="M5941" s="0" t="n">
        <f aca="false">H5941</f>
        <v>0.25</v>
      </c>
      <c r="N5941" s="0" t="n">
        <f aca="false">E5941*F5941</f>
        <v>-0.75</v>
      </c>
      <c r="O5941" s="0" t="n">
        <f aca="false">E5941*G5941</f>
        <v>-0.5</v>
      </c>
      <c r="P5941" s="0" t="n">
        <f aca="false">E5941*H5941</f>
        <v>0.25</v>
      </c>
      <c r="Q5941" s="0" t="n">
        <f aca="false">F5941*G5941</f>
        <v>0.375</v>
      </c>
      <c r="R5941" s="0" t="n">
        <f aca="false">F5941*H5941</f>
        <v>-0.1875</v>
      </c>
      <c r="S5941" s="0" t="n">
        <f aca="false">G5941*H5941</f>
        <v>-0.125</v>
      </c>
      <c r="T5941" s="0" t="n">
        <f aca="false">E5941*E5941</f>
        <v>1</v>
      </c>
      <c r="U5941" s="0" t="n">
        <f aca="false">F5941*F5941</f>
        <v>0.5625</v>
      </c>
      <c r="V5941" s="0" t="n">
        <f aca="false">G5941*G5941</f>
        <v>0.25</v>
      </c>
      <c r="W5941" s="0" t="n">
        <f aca="false">H5941*H5941</f>
        <v>0.0625</v>
      </c>
      <c r="X5941" s="0" t="n">
        <f aca="false">SUMPRODUCT(I5941:W5941,_XtX!$B$96:$P$96)</f>
        <v>43.3563276681287</v>
      </c>
      <c r="Y5941" s="0" t="n">
        <f aca="false">SUMPRODUCT(MMULT(I5941:W5941,_XtX!$B$78:$P$92),I5941:W5941)</f>
        <v>0.459125719572369</v>
      </c>
      <c r="Z5941" s="0" t="n">
        <f aca="false">04_回帰ANOVA!$K$19*04_回帰ANOVA!$K$14*SQRT(1+Y5941)</f>
        <v>1.57450755575573</v>
      </c>
      <c r="AA5941" s="0" t="n">
        <f aca="false">X5941-Z5941</f>
        <v>41.781820112373</v>
      </c>
      <c r="AB5941" s="0" t="n">
        <f aca="false">X5941+Z5941</f>
        <v>44.9308352238844</v>
      </c>
      <c r="AC5941" s="54" t="b">
        <f aca="false">AND(E5941&gt;=01_因子設定!$L$5-0.000000001,E5941&lt;=01_因子設定!$M$5+0.000000001,F5941&gt;=01_因子設定!$L$6-0.000000001,F5941&lt;=01_因子設定!$M$6+0.000000001,G5941&gt;=01_因子設定!$L$7-0.000000001,G5941&lt;=01_因子設定!$M$7+0.000000001,H5941&gt;=01_因子設定!$L$8-0.000000001,H5941&lt;=01_因子設定!$M$8+0.000000001,IF(01_因子設定!$B$20="Box-Behnken",E5941^2+F5941^2+G5941^2+H5941^2&lt;=2+0.000000001,TRUE()))</f>
        <v>1</v>
      </c>
      <c r="AD5941" s="55" t="n">
        <f aca="false">IF(AC5941,IF(01_因子設定!$B$13="最大化",AA5941-01_因子設定!$B$14,IF(01_因子設定!$B$13="最小化",01_因子設定!$B$15-AB5941,MIN(AA5941-01_因子設定!$B$14,01_因子設定!$B$15-AB5941))),-1E+030)</f>
        <v>-4.71817988762705</v>
      </c>
      <c r="AE5941" s="55" t="n">
        <f aca="false">IF(AC5941,IF(01_因子設定!$B$13="最大化",X5941,IF(01_因子設定!$B$13="最小化",-X5941,-ABS(X5941-01_因子設定!$B$16))),-1E+030)</f>
        <v>43.3563276681287</v>
      </c>
      <c r="AF5941" s="55" t="n">
        <f aca="false">AD5941+ROW()*0.000000001</f>
        <v>-4.71817394662704</v>
      </c>
      <c r="AG5941" s="55" t="n">
        <f aca="false">AE5941+ROW()*0.000000001</f>
        <v>43.3563336091287</v>
      </c>
    </row>
    <row r="5942" customFormat="false" ht="15" hidden="false" customHeight="false" outlineLevel="0" collapsed="false">
      <c r="A5942" s="0" t="n">
        <v>8</v>
      </c>
      <c r="B5942" s="0" t="n">
        <v>1</v>
      </c>
      <c r="C5942" s="0" t="n">
        <v>2</v>
      </c>
      <c r="D5942" s="0" t="n">
        <v>6</v>
      </c>
      <c r="E5942" s="0" t="n">
        <f aca="false">-1+A5942*0.25</f>
        <v>1</v>
      </c>
      <c r="F5942" s="0" t="n">
        <f aca="false">-1+B5942*0.25</f>
        <v>-0.75</v>
      </c>
      <c r="G5942" s="0" t="n">
        <f aca="false">-1+C5942*0.25</f>
        <v>-0.5</v>
      </c>
      <c r="H5942" s="0" t="n">
        <f aca="false">-1+D5942*0.25</f>
        <v>0.5</v>
      </c>
      <c r="I5942" s="0" t="n">
        <f aca="false">1</f>
        <v>1</v>
      </c>
      <c r="J5942" s="0" t="n">
        <f aca="false">E5942</f>
        <v>1</v>
      </c>
      <c r="K5942" s="0" t="n">
        <f aca="false">F5942</f>
        <v>-0.75</v>
      </c>
      <c r="L5942" s="0" t="n">
        <f aca="false">G5942</f>
        <v>-0.5</v>
      </c>
      <c r="M5942" s="0" t="n">
        <f aca="false">H5942</f>
        <v>0.5</v>
      </c>
      <c r="N5942" s="0" t="n">
        <f aca="false">E5942*F5942</f>
        <v>-0.75</v>
      </c>
      <c r="O5942" s="0" t="n">
        <f aca="false">E5942*G5942</f>
        <v>-0.5</v>
      </c>
      <c r="P5942" s="0" t="n">
        <f aca="false">E5942*H5942</f>
        <v>0.5</v>
      </c>
      <c r="Q5942" s="0" t="n">
        <f aca="false">F5942*G5942</f>
        <v>0.375</v>
      </c>
      <c r="R5942" s="0" t="n">
        <f aca="false">F5942*H5942</f>
        <v>-0.375</v>
      </c>
      <c r="S5942" s="0" t="n">
        <f aca="false">G5942*H5942</f>
        <v>-0.25</v>
      </c>
      <c r="T5942" s="0" t="n">
        <f aca="false">E5942*E5942</f>
        <v>1</v>
      </c>
      <c r="U5942" s="0" t="n">
        <f aca="false">F5942*F5942</f>
        <v>0.5625</v>
      </c>
      <c r="V5942" s="0" t="n">
        <f aca="false">G5942*G5942</f>
        <v>0.25</v>
      </c>
      <c r="W5942" s="0" t="n">
        <f aca="false">H5942*H5942</f>
        <v>0.25</v>
      </c>
      <c r="X5942" s="0" t="n">
        <f aca="false">SUMPRODUCT(I5942:W5942,_XtX!$B$96:$P$96)</f>
        <v>43.4211622807018</v>
      </c>
      <c r="Y5942" s="0" t="n">
        <f aca="false">SUMPRODUCT(MMULT(I5942:W5942,_XtX!$B$78:$P$92),I5942:W5942)</f>
        <v>0.42602110745614</v>
      </c>
      <c r="Z5942" s="0" t="n">
        <f aca="false">04_回帰ANOVA!$K$19*04_回帰ANOVA!$K$14*SQRT(1+Y5942)</f>
        <v>1.55654388501114</v>
      </c>
      <c r="AA5942" s="0" t="n">
        <f aca="false">X5942-Z5942</f>
        <v>41.8646183956907</v>
      </c>
      <c r="AB5942" s="0" t="n">
        <f aca="false">X5942+Z5942</f>
        <v>44.9777061657129</v>
      </c>
      <c r="AC5942" s="54" t="b">
        <f aca="false">AND(E5942&gt;=01_因子設定!$L$5-0.000000001,E5942&lt;=01_因子設定!$M$5+0.000000001,F5942&gt;=01_因子設定!$L$6-0.000000001,F5942&lt;=01_因子設定!$M$6+0.000000001,G5942&gt;=01_因子設定!$L$7-0.000000001,G5942&lt;=01_因子設定!$M$7+0.000000001,H5942&gt;=01_因子設定!$L$8-0.000000001,H5942&lt;=01_因子設定!$M$8+0.000000001,IF(01_因子設定!$B$20="Box-Behnken",E5942^2+F5942^2+G5942^2+H5942^2&lt;=2+0.000000001,TRUE()))</f>
        <v>1</v>
      </c>
      <c r="AD5942" s="55" t="n">
        <f aca="false">IF(AC5942,IF(01_因子設定!$B$13="最大化",AA5942-01_因子設定!$B$14,IF(01_因子設定!$B$13="最小化",01_因子設定!$B$15-AB5942,MIN(AA5942-01_因子設定!$B$14,01_因子設定!$B$15-AB5942))),-1E+030)</f>
        <v>-4.63538160430935</v>
      </c>
      <c r="AE5942" s="55" t="n">
        <f aca="false">IF(AC5942,IF(01_因子設定!$B$13="最大化",X5942,IF(01_因子設定!$B$13="最小化",-X5942,-ABS(X5942-01_因子設定!$B$16))),-1E+030)</f>
        <v>43.4211622807018</v>
      </c>
      <c r="AF5942" s="55" t="n">
        <f aca="false">AD5942+ROW()*0.000000001</f>
        <v>-4.63537566230935</v>
      </c>
      <c r="AG5942" s="55" t="n">
        <f aca="false">AE5942+ROW()*0.000000001</f>
        <v>43.4211682227018</v>
      </c>
    </row>
    <row r="5943" customFormat="false" ht="15" hidden="false" customHeight="false" outlineLevel="0" collapsed="false">
      <c r="A5943" s="0" t="n">
        <v>8</v>
      </c>
      <c r="B5943" s="0" t="n">
        <v>1</v>
      </c>
      <c r="C5943" s="0" t="n">
        <v>2</v>
      </c>
      <c r="D5943" s="0" t="n">
        <v>7</v>
      </c>
      <c r="E5943" s="0" t="n">
        <f aca="false">-1+A5943*0.25</f>
        <v>1</v>
      </c>
      <c r="F5943" s="0" t="n">
        <f aca="false">-1+B5943*0.25</f>
        <v>-0.75</v>
      </c>
      <c r="G5943" s="0" t="n">
        <f aca="false">-1+C5943*0.25</f>
        <v>-0.5</v>
      </c>
      <c r="H5943" s="0" t="n">
        <f aca="false">-1+D5943*0.25</f>
        <v>0.75</v>
      </c>
      <c r="I5943" s="0" t="n">
        <f aca="false">1</f>
        <v>1</v>
      </c>
      <c r="J5943" s="0" t="n">
        <f aca="false">E5943</f>
        <v>1</v>
      </c>
      <c r="K5943" s="0" t="n">
        <f aca="false">F5943</f>
        <v>-0.75</v>
      </c>
      <c r="L5943" s="0" t="n">
        <f aca="false">G5943</f>
        <v>-0.5</v>
      </c>
      <c r="M5943" s="0" t="n">
        <f aca="false">H5943</f>
        <v>0.75</v>
      </c>
      <c r="N5943" s="0" t="n">
        <f aca="false">E5943*F5943</f>
        <v>-0.75</v>
      </c>
      <c r="O5943" s="0" t="n">
        <f aca="false">E5943*G5943</f>
        <v>-0.5</v>
      </c>
      <c r="P5943" s="0" t="n">
        <f aca="false">E5943*H5943</f>
        <v>0.75</v>
      </c>
      <c r="Q5943" s="0" t="n">
        <f aca="false">F5943*G5943</f>
        <v>0.375</v>
      </c>
      <c r="R5943" s="0" t="n">
        <f aca="false">F5943*H5943</f>
        <v>-0.5625</v>
      </c>
      <c r="S5943" s="0" t="n">
        <f aca="false">G5943*H5943</f>
        <v>-0.375</v>
      </c>
      <c r="T5943" s="0" t="n">
        <f aca="false">E5943*E5943</f>
        <v>1</v>
      </c>
      <c r="U5943" s="0" t="n">
        <f aca="false">F5943*F5943</f>
        <v>0.5625</v>
      </c>
      <c r="V5943" s="0" t="n">
        <f aca="false">G5943*G5943</f>
        <v>0.25</v>
      </c>
      <c r="W5943" s="0" t="n">
        <f aca="false">H5943*H5943</f>
        <v>0.5625</v>
      </c>
      <c r="X5943" s="0" t="n">
        <f aca="false">SUMPRODUCT(I5943:W5943,_XtX!$B$96:$P$96)</f>
        <v>43.438189875731</v>
      </c>
      <c r="Y5943" s="0" t="n">
        <f aca="false">SUMPRODUCT(MMULT(I5943:W5943,_XtX!$B$78:$P$92),I5943:W5943)</f>
        <v>0.431153771472953</v>
      </c>
      <c r="Z5943" s="0" t="n">
        <f aca="false">04_回帰ANOVA!$K$19*04_回帰ANOVA!$K$14*SQRT(1+Y5943)</f>
        <v>1.55934259562563</v>
      </c>
      <c r="AA5943" s="0" t="n">
        <f aca="false">X5943-Z5943</f>
        <v>41.8788472801054</v>
      </c>
      <c r="AB5943" s="0" t="n">
        <f aca="false">X5943+Z5943</f>
        <v>44.9975324713567</v>
      </c>
      <c r="AC5943" s="54" t="b">
        <f aca="false">AND(E5943&gt;=01_因子設定!$L$5-0.000000001,E5943&lt;=01_因子設定!$M$5+0.000000001,F5943&gt;=01_因子設定!$L$6-0.000000001,F5943&lt;=01_因子設定!$M$6+0.000000001,G5943&gt;=01_因子設定!$L$7-0.000000001,G5943&lt;=01_因子設定!$M$7+0.000000001,H5943&gt;=01_因子設定!$L$8-0.000000001,H5943&lt;=01_因子設定!$M$8+0.000000001,IF(01_因子設定!$B$20="Box-Behnken",E5943^2+F5943^2+G5943^2+H5943^2&lt;=2+0.000000001,TRUE()))</f>
        <v>1</v>
      </c>
      <c r="AD5943" s="55" t="n">
        <f aca="false">IF(AC5943,IF(01_因子設定!$B$13="最大化",AA5943-01_因子設定!$B$14,IF(01_因子設定!$B$13="最小化",01_因子設定!$B$15-AB5943,MIN(AA5943-01_因子設定!$B$14,01_因子設定!$B$15-AB5943))),-1E+030)</f>
        <v>-4.62115271989459</v>
      </c>
      <c r="AE5943" s="55" t="n">
        <f aca="false">IF(AC5943,IF(01_因子設定!$B$13="最大化",X5943,IF(01_因子設定!$B$13="最小化",-X5943,-ABS(X5943-01_因子設定!$B$16))),-1E+030)</f>
        <v>43.438189875731</v>
      </c>
      <c r="AF5943" s="55" t="n">
        <f aca="false">AD5943+ROW()*0.000000001</f>
        <v>-4.62114677689459</v>
      </c>
      <c r="AG5943" s="55" t="n">
        <f aca="false">AE5943+ROW()*0.000000001</f>
        <v>43.438195818731</v>
      </c>
    </row>
    <row r="5944" customFormat="false" ht="15" hidden="false" customHeight="false" outlineLevel="0" collapsed="false">
      <c r="A5944" s="0" t="n">
        <v>8</v>
      </c>
      <c r="B5944" s="0" t="n">
        <v>1</v>
      </c>
      <c r="C5944" s="0" t="n">
        <v>2</v>
      </c>
      <c r="D5944" s="0" t="n">
        <v>8</v>
      </c>
      <c r="E5944" s="0" t="n">
        <f aca="false">-1+A5944*0.25</f>
        <v>1</v>
      </c>
      <c r="F5944" s="0" t="n">
        <f aca="false">-1+B5944*0.25</f>
        <v>-0.75</v>
      </c>
      <c r="G5944" s="0" t="n">
        <f aca="false">-1+C5944*0.25</f>
        <v>-0.5</v>
      </c>
      <c r="H5944" s="0" t="n">
        <f aca="false">-1+D5944*0.25</f>
        <v>1</v>
      </c>
      <c r="I5944" s="0" t="n">
        <f aca="false">1</f>
        <v>1</v>
      </c>
      <c r="J5944" s="0" t="n">
        <f aca="false">E5944</f>
        <v>1</v>
      </c>
      <c r="K5944" s="0" t="n">
        <f aca="false">F5944</f>
        <v>-0.75</v>
      </c>
      <c r="L5944" s="0" t="n">
        <f aca="false">G5944</f>
        <v>-0.5</v>
      </c>
      <c r="M5944" s="0" t="n">
        <f aca="false">H5944</f>
        <v>1</v>
      </c>
      <c r="N5944" s="0" t="n">
        <f aca="false">E5944*F5944</f>
        <v>-0.75</v>
      </c>
      <c r="O5944" s="0" t="n">
        <f aca="false">E5944*G5944</f>
        <v>-0.5</v>
      </c>
      <c r="P5944" s="0" t="n">
        <f aca="false">E5944*H5944</f>
        <v>1</v>
      </c>
      <c r="Q5944" s="0" t="n">
        <f aca="false">F5944*G5944</f>
        <v>0.375</v>
      </c>
      <c r="R5944" s="0" t="n">
        <f aca="false">F5944*H5944</f>
        <v>-0.75</v>
      </c>
      <c r="S5944" s="0" t="n">
        <f aca="false">G5944*H5944</f>
        <v>-0.5</v>
      </c>
      <c r="T5944" s="0" t="n">
        <f aca="false">E5944*E5944</f>
        <v>1</v>
      </c>
      <c r="U5944" s="0" t="n">
        <f aca="false">F5944*F5944</f>
        <v>0.5625</v>
      </c>
      <c r="V5944" s="0" t="n">
        <f aca="false">G5944*G5944</f>
        <v>0.25</v>
      </c>
      <c r="W5944" s="0" t="n">
        <f aca="false">H5944*H5944</f>
        <v>1</v>
      </c>
      <c r="X5944" s="0" t="n">
        <f aca="false">SUMPRODUCT(I5944:W5944,_XtX!$B$96:$P$96)</f>
        <v>43.4074104532164</v>
      </c>
      <c r="Y5944" s="0" t="n">
        <f aca="false">SUMPRODUCT(MMULT(I5944:W5944,_XtX!$B$78:$P$92),I5944:W5944)</f>
        <v>0.564984237938597</v>
      </c>
      <c r="Z5944" s="0" t="n">
        <f aca="false">04_回帰ANOVA!$K$19*04_回帰ANOVA!$K$14*SQRT(1+Y5944)</f>
        <v>1.63062229734503</v>
      </c>
      <c r="AA5944" s="0" t="n">
        <f aca="false">X5944-Z5944</f>
        <v>41.7767881558714</v>
      </c>
      <c r="AB5944" s="0" t="n">
        <f aca="false">X5944+Z5944</f>
        <v>45.0380327505615</v>
      </c>
      <c r="AC5944" s="54" t="b">
        <f aca="false">AND(E5944&gt;=01_因子設定!$L$5-0.000000001,E5944&lt;=01_因子設定!$M$5+0.000000001,F5944&gt;=01_因子設定!$L$6-0.000000001,F5944&lt;=01_因子設定!$M$6+0.000000001,G5944&gt;=01_因子設定!$L$7-0.000000001,G5944&lt;=01_因子設定!$M$7+0.000000001,H5944&gt;=01_因子設定!$L$8-0.000000001,H5944&lt;=01_因子設定!$M$8+0.000000001,IF(01_因子設定!$B$20="Box-Behnken",E5944^2+F5944^2+G5944^2+H5944^2&lt;=2+0.000000001,TRUE()))</f>
        <v>1</v>
      </c>
      <c r="AD5944" s="55" t="n">
        <f aca="false">IF(AC5944,IF(01_因子設定!$B$13="最大化",AA5944-01_因子設定!$B$14,IF(01_因子設定!$B$13="最小化",01_因子設定!$B$15-AB5944,MIN(AA5944-01_因子設定!$B$14,01_因子設定!$B$15-AB5944))),-1E+030)</f>
        <v>-4.7232118441286</v>
      </c>
      <c r="AE5944" s="55" t="n">
        <f aca="false">IF(AC5944,IF(01_因子設定!$B$13="最大化",X5944,IF(01_因子設定!$B$13="最小化",-X5944,-ABS(X5944-01_因子設定!$B$16))),-1E+030)</f>
        <v>43.4074104532164</v>
      </c>
      <c r="AF5944" s="55" t="n">
        <f aca="false">AD5944+ROW()*0.000000001</f>
        <v>-4.7232059001286</v>
      </c>
      <c r="AG5944" s="55" t="n">
        <f aca="false">AE5944+ROW()*0.000000001</f>
        <v>43.4074163972164</v>
      </c>
    </row>
    <row r="5945" customFormat="false" ht="15" hidden="false" customHeight="false" outlineLevel="0" collapsed="false">
      <c r="A5945" s="0" t="n">
        <v>8</v>
      </c>
      <c r="B5945" s="0" t="n">
        <v>1</v>
      </c>
      <c r="C5945" s="0" t="n">
        <v>3</v>
      </c>
      <c r="D5945" s="0" t="n">
        <v>0</v>
      </c>
      <c r="E5945" s="0" t="n">
        <f aca="false">-1+A5945*0.25</f>
        <v>1</v>
      </c>
      <c r="F5945" s="0" t="n">
        <f aca="false">-1+B5945*0.25</f>
        <v>-0.75</v>
      </c>
      <c r="G5945" s="0" t="n">
        <f aca="false">-1+C5945*0.25</f>
        <v>-0.25</v>
      </c>
      <c r="H5945" s="0" t="n">
        <f aca="false">-1+D5945*0.25</f>
        <v>-1</v>
      </c>
      <c r="I5945" s="0" t="n">
        <f aca="false">1</f>
        <v>1</v>
      </c>
      <c r="J5945" s="0" t="n">
        <f aca="false">E5945</f>
        <v>1</v>
      </c>
      <c r="K5945" s="0" t="n">
        <f aca="false">F5945</f>
        <v>-0.75</v>
      </c>
      <c r="L5945" s="0" t="n">
        <f aca="false">G5945</f>
        <v>-0.25</v>
      </c>
      <c r="M5945" s="0" t="n">
        <f aca="false">H5945</f>
        <v>-1</v>
      </c>
      <c r="N5945" s="0" t="n">
        <f aca="false">E5945*F5945</f>
        <v>-0.75</v>
      </c>
      <c r="O5945" s="0" t="n">
        <f aca="false">E5945*G5945</f>
        <v>-0.25</v>
      </c>
      <c r="P5945" s="0" t="n">
        <f aca="false">E5945*H5945</f>
        <v>-1</v>
      </c>
      <c r="Q5945" s="0" t="n">
        <f aca="false">F5945*G5945</f>
        <v>0.1875</v>
      </c>
      <c r="R5945" s="0" t="n">
        <f aca="false">F5945*H5945</f>
        <v>0.75</v>
      </c>
      <c r="S5945" s="0" t="n">
        <f aca="false">G5945*H5945</f>
        <v>0.25</v>
      </c>
      <c r="T5945" s="0" t="n">
        <f aca="false">E5945*E5945</f>
        <v>1</v>
      </c>
      <c r="U5945" s="0" t="n">
        <f aca="false">F5945*F5945</f>
        <v>0.5625</v>
      </c>
      <c r="V5945" s="0" t="n">
        <f aca="false">G5945*G5945</f>
        <v>0.0625</v>
      </c>
      <c r="W5945" s="0" t="n">
        <f aca="false">H5945*H5945</f>
        <v>1</v>
      </c>
      <c r="X5945" s="0" t="n">
        <f aca="false">SUMPRODUCT(I5945:W5945,_XtX!$B$96:$P$96)</f>
        <v>42.3958744517544</v>
      </c>
      <c r="Y5945" s="0" t="n">
        <f aca="false">SUMPRODUCT(MMULT(I5945:W5945,_XtX!$B$78:$P$92),I5945:W5945)</f>
        <v>0.621372155975877</v>
      </c>
      <c r="Z5945" s="0" t="n">
        <f aca="false">04_回帰ANOVA!$K$19*04_回帰ANOVA!$K$14*SQRT(1+Y5945)</f>
        <v>1.65973880499872</v>
      </c>
      <c r="AA5945" s="0" t="n">
        <f aca="false">X5945-Z5945</f>
        <v>40.7361356467557</v>
      </c>
      <c r="AB5945" s="0" t="n">
        <f aca="false">X5945+Z5945</f>
        <v>44.0556132567532</v>
      </c>
      <c r="AC5945" s="54" t="b">
        <f aca="false">AND(E5945&gt;=01_因子設定!$L$5-0.000000001,E5945&lt;=01_因子設定!$M$5+0.000000001,F5945&gt;=01_因子設定!$L$6-0.000000001,F5945&lt;=01_因子設定!$M$6+0.000000001,G5945&gt;=01_因子設定!$L$7-0.000000001,G5945&lt;=01_因子設定!$M$7+0.000000001,H5945&gt;=01_因子設定!$L$8-0.000000001,H5945&lt;=01_因子設定!$M$8+0.000000001,IF(01_因子設定!$B$20="Box-Behnken",E5945^2+F5945^2+G5945^2+H5945^2&lt;=2+0.000000001,TRUE()))</f>
        <v>1</v>
      </c>
      <c r="AD5945" s="55" t="n">
        <f aca="false">IF(AC5945,IF(01_因子設定!$B$13="最大化",AA5945-01_因子設定!$B$14,IF(01_因子設定!$B$13="最小化",01_因子設定!$B$15-AB5945,MIN(AA5945-01_因子設定!$B$14,01_因子設定!$B$15-AB5945))),-1E+030)</f>
        <v>-5.76386435324427</v>
      </c>
      <c r="AE5945" s="55" t="n">
        <f aca="false">IF(AC5945,IF(01_因子設定!$B$13="最大化",X5945,IF(01_因子設定!$B$13="最小化",-X5945,-ABS(X5945-01_因子設定!$B$16))),-1E+030)</f>
        <v>42.3958744517544</v>
      </c>
      <c r="AF5945" s="55" t="n">
        <f aca="false">AD5945+ROW()*0.000000001</f>
        <v>-5.76385840824427</v>
      </c>
      <c r="AG5945" s="55" t="n">
        <f aca="false">AE5945+ROW()*0.000000001</f>
        <v>42.3958803967544</v>
      </c>
    </row>
    <row r="5946" customFormat="false" ht="15" hidden="false" customHeight="false" outlineLevel="0" collapsed="false">
      <c r="A5946" s="0" t="n">
        <v>8</v>
      </c>
      <c r="B5946" s="0" t="n">
        <v>1</v>
      </c>
      <c r="C5946" s="0" t="n">
        <v>3</v>
      </c>
      <c r="D5946" s="0" t="n">
        <v>1</v>
      </c>
      <c r="E5946" s="0" t="n">
        <f aca="false">-1+A5946*0.25</f>
        <v>1</v>
      </c>
      <c r="F5946" s="0" t="n">
        <f aca="false">-1+B5946*0.25</f>
        <v>-0.75</v>
      </c>
      <c r="G5946" s="0" t="n">
        <f aca="false">-1+C5946*0.25</f>
        <v>-0.25</v>
      </c>
      <c r="H5946" s="0" t="n">
        <f aca="false">-1+D5946*0.25</f>
        <v>-0.75</v>
      </c>
      <c r="I5946" s="0" t="n">
        <f aca="false">1</f>
        <v>1</v>
      </c>
      <c r="J5946" s="0" t="n">
        <f aca="false">E5946</f>
        <v>1</v>
      </c>
      <c r="K5946" s="0" t="n">
        <f aca="false">F5946</f>
        <v>-0.75</v>
      </c>
      <c r="L5946" s="0" t="n">
        <f aca="false">G5946</f>
        <v>-0.25</v>
      </c>
      <c r="M5946" s="0" t="n">
        <f aca="false">H5946</f>
        <v>-0.75</v>
      </c>
      <c r="N5946" s="0" t="n">
        <f aca="false">E5946*F5946</f>
        <v>-0.75</v>
      </c>
      <c r="O5946" s="0" t="n">
        <f aca="false">E5946*G5946</f>
        <v>-0.25</v>
      </c>
      <c r="P5946" s="0" t="n">
        <f aca="false">E5946*H5946</f>
        <v>-0.75</v>
      </c>
      <c r="Q5946" s="0" t="n">
        <f aca="false">F5946*G5946</f>
        <v>0.1875</v>
      </c>
      <c r="R5946" s="0" t="n">
        <f aca="false">F5946*H5946</f>
        <v>0.5625</v>
      </c>
      <c r="S5946" s="0" t="n">
        <f aca="false">G5946*H5946</f>
        <v>0.1875</v>
      </c>
      <c r="T5946" s="0" t="n">
        <f aca="false">E5946*E5946</f>
        <v>1</v>
      </c>
      <c r="U5946" s="0" t="n">
        <f aca="false">F5946*F5946</f>
        <v>0.5625</v>
      </c>
      <c r="V5946" s="0" t="n">
        <f aca="false">G5946*G5946</f>
        <v>0.0625</v>
      </c>
      <c r="W5946" s="0" t="n">
        <f aca="false">H5946*H5946</f>
        <v>0.5625</v>
      </c>
      <c r="X5946" s="0" t="n">
        <f aca="false">SUMPRODUCT(I5946:W5946,_XtX!$B$96:$P$96)</f>
        <v>42.7177129020468</v>
      </c>
      <c r="Y5946" s="0" t="n">
        <f aca="false">SUMPRODUCT(MMULT(I5946:W5946,_XtX!$B$78:$P$92),I5946:W5946)</f>
        <v>0.473959761056287</v>
      </c>
      <c r="Z5946" s="0" t="n">
        <f aca="false">04_回帰ANOVA!$K$19*04_回帰ANOVA!$K$14*SQRT(1+Y5946)</f>
        <v>1.58249084588329</v>
      </c>
      <c r="AA5946" s="0" t="n">
        <f aca="false">X5946-Z5946</f>
        <v>41.1352220561635</v>
      </c>
      <c r="AB5946" s="0" t="n">
        <f aca="false">X5946+Z5946</f>
        <v>44.3002037479301</v>
      </c>
      <c r="AC5946" s="54" t="b">
        <f aca="false">AND(E5946&gt;=01_因子設定!$L$5-0.000000001,E5946&lt;=01_因子設定!$M$5+0.000000001,F5946&gt;=01_因子設定!$L$6-0.000000001,F5946&lt;=01_因子設定!$M$6+0.000000001,G5946&gt;=01_因子設定!$L$7-0.000000001,G5946&lt;=01_因子設定!$M$7+0.000000001,H5946&gt;=01_因子設定!$L$8-0.000000001,H5946&lt;=01_因子設定!$M$8+0.000000001,IF(01_因子設定!$B$20="Box-Behnken",E5946^2+F5946^2+G5946^2+H5946^2&lt;=2+0.000000001,TRUE()))</f>
        <v>1</v>
      </c>
      <c r="AD5946" s="55" t="n">
        <f aca="false">IF(AC5946,IF(01_因子設定!$B$13="最大化",AA5946-01_因子設定!$B$14,IF(01_因子設定!$B$13="最小化",01_因子設定!$B$15-AB5946,MIN(AA5946-01_因子設定!$B$14,01_因子設定!$B$15-AB5946))),-1E+030)</f>
        <v>-5.36477794383646</v>
      </c>
      <c r="AE5946" s="55" t="n">
        <f aca="false">IF(AC5946,IF(01_因子設定!$B$13="最大化",X5946,IF(01_因子設定!$B$13="最小化",-X5946,-ABS(X5946-01_因子設定!$B$16))),-1E+030)</f>
        <v>42.7177129020468</v>
      </c>
      <c r="AF5946" s="55" t="n">
        <f aca="false">AD5946+ROW()*0.000000001</f>
        <v>-5.36477199783646</v>
      </c>
      <c r="AG5946" s="55" t="n">
        <f aca="false">AE5946+ROW()*0.000000001</f>
        <v>42.7177188480468</v>
      </c>
    </row>
    <row r="5947" customFormat="false" ht="15" hidden="false" customHeight="false" outlineLevel="0" collapsed="false">
      <c r="A5947" s="0" t="n">
        <v>8</v>
      </c>
      <c r="B5947" s="0" t="n">
        <v>1</v>
      </c>
      <c r="C5947" s="0" t="n">
        <v>3</v>
      </c>
      <c r="D5947" s="0" t="n">
        <v>2</v>
      </c>
      <c r="E5947" s="0" t="n">
        <f aca="false">-1+A5947*0.25</f>
        <v>1</v>
      </c>
      <c r="F5947" s="0" t="n">
        <f aca="false">-1+B5947*0.25</f>
        <v>-0.75</v>
      </c>
      <c r="G5947" s="0" t="n">
        <f aca="false">-1+C5947*0.25</f>
        <v>-0.25</v>
      </c>
      <c r="H5947" s="0" t="n">
        <f aca="false">-1+D5947*0.25</f>
        <v>-0.5</v>
      </c>
      <c r="I5947" s="0" t="n">
        <f aca="false">1</f>
        <v>1</v>
      </c>
      <c r="J5947" s="0" t="n">
        <f aca="false">E5947</f>
        <v>1</v>
      </c>
      <c r="K5947" s="0" t="n">
        <f aca="false">F5947</f>
        <v>-0.75</v>
      </c>
      <c r="L5947" s="0" t="n">
        <f aca="false">G5947</f>
        <v>-0.25</v>
      </c>
      <c r="M5947" s="0" t="n">
        <f aca="false">H5947</f>
        <v>-0.5</v>
      </c>
      <c r="N5947" s="0" t="n">
        <f aca="false">E5947*F5947</f>
        <v>-0.75</v>
      </c>
      <c r="O5947" s="0" t="n">
        <f aca="false">E5947*G5947</f>
        <v>-0.25</v>
      </c>
      <c r="P5947" s="0" t="n">
        <f aca="false">E5947*H5947</f>
        <v>-0.5</v>
      </c>
      <c r="Q5947" s="0" t="n">
        <f aca="false">F5947*G5947</f>
        <v>0.1875</v>
      </c>
      <c r="R5947" s="0" t="n">
        <f aca="false">F5947*H5947</f>
        <v>0.375</v>
      </c>
      <c r="S5947" s="0" t="n">
        <f aca="false">G5947*H5947</f>
        <v>0.125</v>
      </c>
      <c r="T5947" s="0" t="n">
        <f aca="false">E5947*E5947</f>
        <v>1</v>
      </c>
      <c r="U5947" s="0" t="n">
        <f aca="false">F5947*F5947</f>
        <v>0.5625</v>
      </c>
      <c r="V5947" s="0" t="n">
        <f aca="false">G5947*G5947</f>
        <v>0.0625</v>
      </c>
      <c r="W5947" s="0" t="n">
        <f aca="false">H5947*H5947</f>
        <v>0.25</v>
      </c>
      <c r="X5947" s="0" t="n">
        <f aca="false">SUMPRODUCT(I5947:W5947,_XtX!$B$96:$P$96)</f>
        <v>42.9917443347954</v>
      </c>
      <c r="Y5947" s="0" t="n">
        <f aca="false">SUMPRODUCT(MMULT(I5947:W5947,_XtX!$B$78:$P$92),I5947:W5947)</f>
        <v>0.459125719572369</v>
      </c>
      <c r="Z5947" s="0" t="n">
        <f aca="false">04_回帰ANOVA!$K$19*04_回帰ANOVA!$K$14*SQRT(1+Y5947)</f>
        <v>1.57450755575573</v>
      </c>
      <c r="AA5947" s="0" t="n">
        <f aca="false">X5947-Z5947</f>
        <v>41.4172367790396</v>
      </c>
      <c r="AB5947" s="0" t="n">
        <f aca="false">X5947+Z5947</f>
        <v>44.5662518905511</v>
      </c>
      <c r="AC5947" s="54" t="b">
        <f aca="false">AND(E5947&gt;=01_因子設定!$L$5-0.000000001,E5947&lt;=01_因子設定!$M$5+0.000000001,F5947&gt;=01_因子設定!$L$6-0.000000001,F5947&lt;=01_因子設定!$M$6+0.000000001,G5947&gt;=01_因子設定!$L$7-0.000000001,G5947&lt;=01_因子設定!$M$7+0.000000001,H5947&gt;=01_因子設定!$L$8-0.000000001,H5947&lt;=01_因子設定!$M$8+0.000000001,IF(01_因子設定!$B$20="Box-Behnken",E5947^2+F5947^2+G5947^2+H5947^2&lt;=2+0.000000001,TRUE()))</f>
        <v>1</v>
      </c>
      <c r="AD5947" s="55" t="n">
        <f aca="false">IF(AC5947,IF(01_因子設定!$B$13="最大化",AA5947-01_因子設定!$B$14,IF(01_因子設定!$B$13="最小化",01_因子設定!$B$15-AB5947,MIN(AA5947-01_因子設定!$B$14,01_因子設定!$B$15-AB5947))),-1E+030)</f>
        <v>-5.08276322096037</v>
      </c>
      <c r="AE5947" s="55" t="n">
        <f aca="false">IF(AC5947,IF(01_因子設定!$B$13="最大化",X5947,IF(01_因子設定!$B$13="最小化",-X5947,-ABS(X5947-01_因子設定!$B$16))),-1E+030)</f>
        <v>42.9917443347954</v>
      </c>
      <c r="AF5947" s="55" t="n">
        <f aca="false">AD5947+ROW()*0.000000001</f>
        <v>-5.08275727396037</v>
      </c>
      <c r="AG5947" s="55" t="n">
        <f aca="false">AE5947+ROW()*0.000000001</f>
        <v>42.9917502817954</v>
      </c>
    </row>
    <row r="5948" customFormat="false" ht="15" hidden="false" customHeight="false" outlineLevel="0" collapsed="false">
      <c r="A5948" s="0" t="n">
        <v>8</v>
      </c>
      <c r="B5948" s="0" t="n">
        <v>1</v>
      </c>
      <c r="C5948" s="0" t="n">
        <v>3</v>
      </c>
      <c r="D5948" s="0" t="n">
        <v>3</v>
      </c>
      <c r="E5948" s="0" t="n">
        <f aca="false">-1+A5948*0.25</f>
        <v>1</v>
      </c>
      <c r="F5948" s="0" t="n">
        <f aca="false">-1+B5948*0.25</f>
        <v>-0.75</v>
      </c>
      <c r="G5948" s="0" t="n">
        <f aca="false">-1+C5948*0.25</f>
        <v>-0.25</v>
      </c>
      <c r="H5948" s="0" t="n">
        <f aca="false">-1+D5948*0.25</f>
        <v>-0.25</v>
      </c>
      <c r="I5948" s="0" t="n">
        <f aca="false">1</f>
        <v>1</v>
      </c>
      <c r="J5948" s="0" t="n">
        <f aca="false">E5948</f>
        <v>1</v>
      </c>
      <c r="K5948" s="0" t="n">
        <f aca="false">F5948</f>
        <v>-0.75</v>
      </c>
      <c r="L5948" s="0" t="n">
        <f aca="false">G5948</f>
        <v>-0.25</v>
      </c>
      <c r="M5948" s="0" t="n">
        <f aca="false">H5948</f>
        <v>-0.25</v>
      </c>
      <c r="N5948" s="0" t="n">
        <f aca="false">E5948*F5948</f>
        <v>-0.75</v>
      </c>
      <c r="O5948" s="0" t="n">
        <f aca="false">E5948*G5948</f>
        <v>-0.25</v>
      </c>
      <c r="P5948" s="0" t="n">
        <f aca="false">E5948*H5948</f>
        <v>-0.25</v>
      </c>
      <c r="Q5948" s="0" t="n">
        <f aca="false">F5948*G5948</f>
        <v>0.1875</v>
      </c>
      <c r="R5948" s="0" t="n">
        <f aca="false">F5948*H5948</f>
        <v>0.1875</v>
      </c>
      <c r="S5948" s="0" t="n">
        <f aca="false">G5948*H5948</f>
        <v>0.0625</v>
      </c>
      <c r="T5948" s="0" t="n">
        <f aca="false">E5948*E5948</f>
        <v>1</v>
      </c>
      <c r="U5948" s="0" t="n">
        <f aca="false">F5948*F5948</f>
        <v>0.5625</v>
      </c>
      <c r="V5948" s="0" t="n">
        <f aca="false">G5948*G5948</f>
        <v>0.0625</v>
      </c>
      <c r="W5948" s="0" t="n">
        <f aca="false">H5948*H5948</f>
        <v>0.0625</v>
      </c>
      <c r="X5948" s="0" t="n">
        <f aca="false">SUMPRODUCT(I5948:W5948,_XtX!$B$96:$P$96)</f>
        <v>43.21796875</v>
      </c>
      <c r="Y5948" s="0" t="n">
        <f aca="false">SUMPRODUCT(MMULT(I5948:W5948,_XtX!$B$78:$P$92),I5948:W5948)</f>
        <v>0.486409505208334</v>
      </c>
      <c r="Z5948" s="0" t="n">
        <f aca="false">04_回帰ANOVA!$K$19*04_回帰ANOVA!$K$14*SQRT(1+Y5948)</f>
        <v>1.58916001665498</v>
      </c>
      <c r="AA5948" s="0" t="n">
        <f aca="false">X5948-Z5948</f>
        <v>41.628808733345</v>
      </c>
      <c r="AB5948" s="0" t="n">
        <f aca="false">X5948+Z5948</f>
        <v>44.807128766655</v>
      </c>
      <c r="AC5948" s="54" t="b">
        <f aca="false">AND(E5948&gt;=01_因子設定!$L$5-0.000000001,E5948&lt;=01_因子設定!$M$5+0.000000001,F5948&gt;=01_因子設定!$L$6-0.000000001,F5948&lt;=01_因子設定!$M$6+0.000000001,G5948&gt;=01_因子設定!$L$7-0.000000001,G5948&lt;=01_因子設定!$M$7+0.000000001,H5948&gt;=01_因子設定!$L$8-0.000000001,H5948&lt;=01_因子設定!$M$8+0.000000001,IF(01_因子設定!$B$20="Box-Behnken",E5948^2+F5948^2+G5948^2+H5948^2&lt;=2+0.000000001,TRUE()))</f>
        <v>1</v>
      </c>
      <c r="AD5948" s="55" t="n">
        <f aca="false">IF(AC5948,IF(01_因子設定!$B$13="最大化",AA5948-01_因子設定!$B$14,IF(01_因子設定!$B$13="最小化",01_因子設定!$B$15-AB5948,MIN(AA5948-01_因子設定!$B$14,01_因子設定!$B$15-AB5948))),-1E+030)</f>
        <v>-4.87119126665495</v>
      </c>
      <c r="AE5948" s="55" t="n">
        <f aca="false">IF(AC5948,IF(01_因子設定!$B$13="最大化",X5948,IF(01_因子設定!$B$13="最小化",-X5948,-ABS(X5948-01_因子設定!$B$16))),-1E+030)</f>
        <v>43.21796875</v>
      </c>
      <c r="AF5948" s="55" t="n">
        <f aca="false">AD5948+ROW()*0.000000001</f>
        <v>-4.87118531865495</v>
      </c>
      <c r="AG5948" s="55" t="n">
        <f aca="false">AE5948+ROW()*0.000000001</f>
        <v>43.217974698</v>
      </c>
    </row>
    <row r="5949" customFormat="false" ht="15" hidden="false" customHeight="false" outlineLevel="0" collapsed="false">
      <c r="A5949" s="0" t="n">
        <v>8</v>
      </c>
      <c r="B5949" s="0" t="n">
        <v>1</v>
      </c>
      <c r="C5949" s="0" t="n">
        <v>3</v>
      </c>
      <c r="D5949" s="0" t="n">
        <v>4</v>
      </c>
      <c r="E5949" s="0" t="n">
        <f aca="false">-1+A5949*0.25</f>
        <v>1</v>
      </c>
      <c r="F5949" s="0" t="n">
        <f aca="false">-1+B5949*0.25</f>
        <v>-0.75</v>
      </c>
      <c r="G5949" s="0" t="n">
        <f aca="false">-1+C5949*0.25</f>
        <v>-0.25</v>
      </c>
      <c r="H5949" s="0" t="n">
        <f aca="false">-1+D5949*0.25</f>
        <v>0</v>
      </c>
      <c r="I5949" s="0" t="n">
        <f aca="false">1</f>
        <v>1</v>
      </c>
      <c r="J5949" s="0" t="n">
        <f aca="false">E5949</f>
        <v>1</v>
      </c>
      <c r="K5949" s="0" t="n">
        <f aca="false">F5949</f>
        <v>-0.75</v>
      </c>
      <c r="L5949" s="0" t="n">
        <f aca="false">G5949</f>
        <v>-0.25</v>
      </c>
      <c r="M5949" s="0" t="n">
        <f aca="false">H5949</f>
        <v>0</v>
      </c>
      <c r="N5949" s="0" t="n">
        <f aca="false">E5949*F5949</f>
        <v>-0.75</v>
      </c>
      <c r="O5949" s="0" t="n">
        <f aca="false">E5949*G5949</f>
        <v>-0.25</v>
      </c>
      <c r="P5949" s="0" t="n">
        <f aca="false">E5949*H5949</f>
        <v>0</v>
      </c>
      <c r="Q5949" s="0" t="n">
        <f aca="false">F5949*G5949</f>
        <v>0.1875</v>
      </c>
      <c r="R5949" s="0" t="n">
        <f aca="false">F5949*H5949</f>
        <v>-0</v>
      </c>
      <c r="S5949" s="0" t="n">
        <f aca="false">G5949*H5949</f>
        <v>-0</v>
      </c>
      <c r="T5949" s="0" t="n">
        <f aca="false">E5949*E5949</f>
        <v>1</v>
      </c>
      <c r="U5949" s="0" t="n">
        <f aca="false">F5949*F5949</f>
        <v>0.5625</v>
      </c>
      <c r="V5949" s="0" t="n">
        <f aca="false">G5949*G5949</f>
        <v>0.0625</v>
      </c>
      <c r="W5949" s="0" t="n">
        <f aca="false">H5949*H5949</f>
        <v>0</v>
      </c>
      <c r="X5949" s="0" t="n">
        <f aca="false">SUMPRODUCT(I5949:W5949,_XtX!$B$96:$P$96)</f>
        <v>43.3963861476608</v>
      </c>
      <c r="Y5949" s="0" t="n">
        <f aca="false">SUMPRODUCT(MMULT(I5949:W5949,_XtX!$B$78:$P$92),I5949:W5949)</f>
        <v>0.501534802174708</v>
      </c>
      <c r="Z5949" s="0" t="n">
        <f aca="false">04_回帰ANOVA!$K$19*04_回帰ANOVA!$K$14*SQRT(1+Y5949)</f>
        <v>1.59722498091333</v>
      </c>
      <c r="AA5949" s="0" t="n">
        <f aca="false">X5949-Z5949</f>
        <v>41.7991611667475</v>
      </c>
      <c r="AB5949" s="0" t="n">
        <f aca="false">X5949+Z5949</f>
        <v>44.9936111285742</v>
      </c>
      <c r="AC5949" s="54" t="b">
        <f aca="false">AND(E5949&gt;=01_因子設定!$L$5-0.000000001,E5949&lt;=01_因子設定!$M$5+0.000000001,F5949&gt;=01_因子設定!$L$6-0.000000001,F5949&lt;=01_因子設定!$M$6+0.000000001,G5949&gt;=01_因子設定!$L$7-0.000000001,G5949&lt;=01_因子設定!$M$7+0.000000001,H5949&gt;=01_因子設定!$L$8-0.000000001,H5949&lt;=01_因子設定!$M$8+0.000000001,IF(01_因子設定!$B$20="Box-Behnken",E5949^2+F5949^2+G5949^2+H5949^2&lt;=2+0.000000001,TRUE()))</f>
        <v>1</v>
      </c>
      <c r="AD5949" s="55" t="n">
        <f aca="false">IF(AC5949,IF(01_因子設定!$B$13="最大化",AA5949-01_因子設定!$B$14,IF(01_因子設定!$B$13="最小化",01_因子設定!$B$15-AB5949,MIN(AA5949-01_因子設定!$B$14,01_因子設定!$B$15-AB5949))),-1E+030)</f>
        <v>-4.70083883325249</v>
      </c>
      <c r="AE5949" s="55" t="n">
        <f aca="false">IF(AC5949,IF(01_因子設定!$B$13="最大化",X5949,IF(01_因子設定!$B$13="最小化",-X5949,-ABS(X5949-01_因子設定!$B$16))),-1E+030)</f>
        <v>43.3963861476608</v>
      </c>
      <c r="AF5949" s="55" t="n">
        <f aca="false">AD5949+ROW()*0.000000001</f>
        <v>-4.70083288425249</v>
      </c>
      <c r="AG5949" s="55" t="n">
        <f aca="false">AE5949+ROW()*0.000000001</f>
        <v>43.3963920966608</v>
      </c>
    </row>
    <row r="5950" customFormat="false" ht="15" hidden="false" customHeight="false" outlineLevel="0" collapsed="false">
      <c r="A5950" s="0" t="n">
        <v>8</v>
      </c>
      <c r="B5950" s="0" t="n">
        <v>1</v>
      </c>
      <c r="C5950" s="0" t="n">
        <v>3</v>
      </c>
      <c r="D5950" s="0" t="n">
        <v>5</v>
      </c>
      <c r="E5950" s="0" t="n">
        <f aca="false">-1+A5950*0.25</f>
        <v>1</v>
      </c>
      <c r="F5950" s="0" t="n">
        <f aca="false">-1+B5950*0.25</f>
        <v>-0.75</v>
      </c>
      <c r="G5950" s="0" t="n">
        <f aca="false">-1+C5950*0.25</f>
        <v>-0.25</v>
      </c>
      <c r="H5950" s="0" t="n">
        <f aca="false">-1+D5950*0.25</f>
        <v>0.25</v>
      </c>
      <c r="I5950" s="0" t="n">
        <f aca="false">1</f>
        <v>1</v>
      </c>
      <c r="J5950" s="0" t="n">
        <f aca="false">E5950</f>
        <v>1</v>
      </c>
      <c r="K5950" s="0" t="n">
        <f aca="false">F5950</f>
        <v>-0.75</v>
      </c>
      <c r="L5950" s="0" t="n">
        <f aca="false">G5950</f>
        <v>-0.25</v>
      </c>
      <c r="M5950" s="0" t="n">
        <f aca="false">H5950</f>
        <v>0.25</v>
      </c>
      <c r="N5950" s="0" t="n">
        <f aca="false">E5950*F5950</f>
        <v>-0.75</v>
      </c>
      <c r="O5950" s="0" t="n">
        <f aca="false">E5950*G5950</f>
        <v>-0.25</v>
      </c>
      <c r="P5950" s="0" t="n">
        <f aca="false">E5950*H5950</f>
        <v>0.25</v>
      </c>
      <c r="Q5950" s="0" t="n">
        <f aca="false">F5950*G5950</f>
        <v>0.1875</v>
      </c>
      <c r="R5950" s="0" t="n">
        <f aca="false">F5950*H5950</f>
        <v>-0.1875</v>
      </c>
      <c r="S5950" s="0" t="n">
        <f aca="false">G5950*H5950</f>
        <v>-0.0625</v>
      </c>
      <c r="T5950" s="0" t="n">
        <f aca="false">E5950*E5950</f>
        <v>1</v>
      </c>
      <c r="U5950" s="0" t="n">
        <f aca="false">F5950*F5950</f>
        <v>0.5625</v>
      </c>
      <c r="V5950" s="0" t="n">
        <f aca="false">G5950*G5950</f>
        <v>0.0625</v>
      </c>
      <c r="W5950" s="0" t="n">
        <f aca="false">H5950*H5950</f>
        <v>0.0625</v>
      </c>
      <c r="X5950" s="0" t="n">
        <f aca="false">SUMPRODUCT(I5950:W5950,_XtX!$B$96:$P$96)</f>
        <v>43.5269965277778</v>
      </c>
      <c r="Y5950" s="0" t="n">
        <f aca="false">SUMPRODUCT(MMULT(I5950:W5950,_XtX!$B$78:$P$92),I5950:W5950)</f>
        <v>0.486409505208334</v>
      </c>
      <c r="Z5950" s="0" t="n">
        <f aca="false">04_回帰ANOVA!$K$19*04_回帰ANOVA!$K$14*SQRT(1+Y5950)</f>
        <v>1.58916001665498</v>
      </c>
      <c r="AA5950" s="0" t="n">
        <f aca="false">X5950-Z5950</f>
        <v>41.9378365111228</v>
      </c>
      <c r="AB5950" s="0" t="n">
        <f aca="false">X5950+Z5950</f>
        <v>45.1161565444328</v>
      </c>
      <c r="AC5950" s="54" t="b">
        <f aca="false">AND(E5950&gt;=01_因子設定!$L$5-0.000000001,E5950&lt;=01_因子設定!$M$5+0.000000001,F5950&gt;=01_因子設定!$L$6-0.000000001,F5950&lt;=01_因子設定!$M$6+0.000000001,G5950&gt;=01_因子設定!$L$7-0.000000001,G5950&lt;=01_因子設定!$M$7+0.000000001,H5950&gt;=01_因子設定!$L$8-0.000000001,H5950&lt;=01_因子設定!$M$8+0.000000001,IF(01_因子設定!$B$20="Box-Behnken",E5950^2+F5950^2+G5950^2+H5950^2&lt;=2+0.000000001,TRUE()))</f>
        <v>1</v>
      </c>
      <c r="AD5950" s="55" t="n">
        <f aca="false">IF(AC5950,IF(01_因子設定!$B$13="最大化",AA5950-01_因子設定!$B$14,IF(01_因子設定!$B$13="最小化",01_因子設定!$B$15-AB5950,MIN(AA5950-01_因子設定!$B$14,01_因子設定!$B$15-AB5950))),-1E+030)</f>
        <v>-4.56216348887718</v>
      </c>
      <c r="AE5950" s="55" t="n">
        <f aca="false">IF(AC5950,IF(01_因子設定!$B$13="最大化",X5950,IF(01_因子設定!$B$13="最小化",-X5950,-ABS(X5950-01_因子設定!$B$16))),-1E+030)</f>
        <v>43.5269965277778</v>
      </c>
      <c r="AF5950" s="55" t="n">
        <f aca="false">AD5950+ROW()*0.000000001</f>
        <v>-4.56215753887718</v>
      </c>
      <c r="AG5950" s="55" t="n">
        <f aca="false">AE5950+ROW()*0.000000001</f>
        <v>43.5270024777778</v>
      </c>
    </row>
    <row r="5951" customFormat="false" ht="15" hidden="false" customHeight="false" outlineLevel="0" collapsed="false">
      <c r="A5951" s="0" t="n">
        <v>8</v>
      </c>
      <c r="B5951" s="0" t="n">
        <v>1</v>
      </c>
      <c r="C5951" s="0" t="n">
        <v>3</v>
      </c>
      <c r="D5951" s="0" t="n">
        <v>6</v>
      </c>
      <c r="E5951" s="0" t="n">
        <f aca="false">-1+A5951*0.25</f>
        <v>1</v>
      </c>
      <c r="F5951" s="0" t="n">
        <f aca="false">-1+B5951*0.25</f>
        <v>-0.75</v>
      </c>
      <c r="G5951" s="0" t="n">
        <f aca="false">-1+C5951*0.25</f>
        <v>-0.25</v>
      </c>
      <c r="H5951" s="0" t="n">
        <f aca="false">-1+D5951*0.25</f>
        <v>0.5</v>
      </c>
      <c r="I5951" s="0" t="n">
        <f aca="false">1</f>
        <v>1</v>
      </c>
      <c r="J5951" s="0" t="n">
        <f aca="false">E5951</f>
        <v>1</v>
      </c>
      <c r="K5951" s="0" t="n">
        <f aca="false">F5951</f>
        <v>-0.75</v>
      </c>
      <c r="L5951" s="0" t="n">
        <f aca="false">G5951</f>
        <v>-0.25</v>
      </c>
      <c r="M5951" s="0" t="n">
        <f aca="false">H5951</f>
        <v>0.5</v>
      </c>
      <c r="N5951" s="0" t="n">
        <f aca="false">E5951*F5951</f>
        <v>-0.75</v>
      </c>
      <c r="O5951" s="0" t="n">
        <f aca="false">E5951*G5951</f>
        <v>-0.25</v>
      </c>
      <c r="P5951" s="0" t="n">
        <f aca="false">E5951*H5951</f>
        <v>0.5</v>
      </c>
      <c r="Q5951" s="0" t="n">
        <f aca="false">F5951*G5951</f>
        <v>0.1875</v>
      </c>
      <c r="R5951" s="0" t="n">
        <f aca="false">F5951*H5951</f>
        <v>-0.375</v>
      </c>
      <c r="S5951" s="0" t="n">
        <f aca="false">G5951*H5951</f>
        <v>-0.125</v>
      </c>
      <c r="T5951" s="0" t="n">
        <f aca="false">E5951*E5951</f>
        <v>1</v>
      </c>
      <c r="U5951" s="0" t="n">
        <f aca="false">F5951*F5951</f>
        <v>0.5625</v>
      </c>
      <c r="V5951" s="0" t="n">
        <f aca="false">G5951*G5951</f>
        <v>0.0625</v>
      </c>
      <c r="W5951" s="0" t="n">
        <f aca="false">H5951*H5951</f>
        <v>0.25</v>
      </c>
      <c r="X5951" s="0" t="n">
        <f aca="false">SUMPRODUCT(I5951:W5951,_XtX!$B$96:$P$96)</f>
        <v>43.6097998903509</v>
      </c>
      <c r="Y5951" s="0" t="n">
        <f aca="false">SUMPRODUCT(MMULT(I5951:W5951,_XtX!$B$78:$P$92),I5951:W5951)</f>
        <v>0.459125719572369</v>
      </c>
      <c r="Z5951" s="0" t="n">
        <f aca="false">04_回帰ANOVA!$K$19*04_回帰ANOVA!$K$14*SQRT(1+Y5951)</f>
        <v>1.57450755575573</v>
      </c>
      <c r="AA5951" s="0" t="n">
        <f aca="false">X5951-Z5951</f>
        <v>42.0352923345952</v>
      </c>
      <c r="AB5951" s="0" t="n">
        <f aca="false">X5951+Z5951</f>
        <v>45.1843074461066</v>
      </c>
      <c r="AC5951" s="54" t="b">
        <f aca="false">AND(E5951&gt;=01_因子設定!$L$5-0.000000001,E5951&lt;=01_因子設定!$M$5+0.000000001,F5951&gt;=01_因子設定!$L$6-0.000000001,F5951&lt;=01_因子設定!$M$6+0.000000001,G5951&gt;=01_因子設定!$L$7-0.000000001,G5951&lt;=01_因子設定!$M$7+0.000000001,H5951&gt;=01_因子設定!$L$8-0.000000001,H5951&lt;=01_因子設定!$M$8+0.000000001,IF(01_因子設定!$B$20="Box-Behnken",E5951^2+F5951^2+G5951^2+H5951^2&lt;=2+0.000000001,TRUE()))</f>
        <v>1</v>
      </c>
      <c r="AD5951" s="55" t="n">
        <f aca="false">IF(AC5951,IF(01_因子設定!$B$13="最大化",AA5951-01_因子設定!$B$14,IF(01_因子設定!$B$13="最小化",01_因子設定!$B$15-AB5951,MIN(AA5951-01_因子設定!$B$14,01_因子設定!$B$15-AB5951))),-1E+030)</f>
        <v>-4.46470766540482</v>
      </c>
      <c r="AE5951" s="55" t="n">
        <f aca="false">IF(AC5951,IF(01_因子設定!$B$13="最大化",X5951,IF(01_因子設定!$B$13="最小化",-X5951,-ABS(X5951-01_因子設定!$B$16))),-1E+030)</f>
        <v>43.6097998903509</v>
      </c>
      <c r="AF5951" s="55" t="n">
        <f aca="false">AD5951+ROW()*0.000000001</f>
        <v>-4.46470171440482</v>
      </c>
      <c r="AG5951" s="55" t="n">
        <f aca="false">AE5951+ROW()*0.000000001</f>
        <v>43.6098058413509</v>
      </c>
    </row>
    <row r="5952" customFormat="false" ht="15" hidden="false" customHeight="false" outlineLevel="0" collapsed="false">
      <c r="A5952" s="0" t="n">
        <v>8</v>
      </c>
      <c r="B5952" s="0" t="n">
        <v>1</v>
      </c>
      <c r="C5952" s="0" t="n">
        <v>3</v>
      </c>
      <c r="D5952" s="0" t="n">
        <v>7</v>
      </c>
      <c r="E5952" s="0" t="n">
        <f aca="false">-1+A5952*0.25</f>
        <v>1</v>
      </c>
      <c r="F5952" s="0" t="n">
        <f aca="false">-1+B5952*0.25</f>
        <v>-0.75</v>
      </c>
      <c r="G5952" s="0" t="n">
        <f aca="false">-1+C5952*0.25</f>
        <v>-0.25</v>
      </c>
      <c r="H5952" s="0" t="n">
        <f aca="false">-1+D5952*0.25</f>
        <v>0.75</v>
      </c>
      <c r="I5952" s="0" t="n">
        <f aca="false">1</f>
        <v>1</v>
      </c>
      <c r="J5952" s="0" t="n">
        <f aca="false">E5952</f>
        <v>1</v>
      </c>
      <c r="K5952" s="0" t="n">
        <f aca="false">F5952</f>
        <v>-0.75</v>
      </c>
      <c r="L5952" s="0" t="n">
        <f aca="false">G5952</f>
        <v>-0.25</v>
      </c>
      <c r="M5952" s="0" t="n">
        <f aca="false">H5952</f>
        <v>0.75</v>
      </c>
      <c r="N5952" s="0" t="n">
        <f aca="false">E5952*F5952</f>
        <v>-0.75</v>
      </c>
      <c r="O5952" s="0" t="n">
        <f aca="false">E5952*G5952</f>
        <v>-0.25</v>
      </c>
      <c r="P5952" s="0" t="n">
        <f aca="false">E5952*H5952</f>
        <v>0.75</v>
      </c>
      <c r="Q5952" s="0" t="n">
        <f aca="false">F5952*G5952</f>
        <v>0.1875</v>
      </c>
      <c r="R5952" s="0" t="n">
        <f aca="false">F5952*H5952</f>
        <v>-0.5625</v>
      </c>
      <c r="S5952" s="0" t="n">
        <f aca="false">G5952*H5952</f>
        <v>-0.1875</v>
      </c>
      <c r="T5952" s="0" t="n">
        <f aca="false">E5952*E5952</f>
        <v>1</v>
      </c>
      <c r="U5952" s="0" t="n">
        <f aca="false">F5952*F5952</f>
        <v>0.5625</v>
      </c>
      <c r="V5952" s="0" t="n">
        <f aca="false">G5952*G5952</f>
        <v>0.0625</v>
      </c>
      <c r="W5952" s="0" t="n">
        <f aca="false">H5952*H5952</f>
        <v>0.5625</v>
      </c>
      <c r="X5952" s="0" t="n">
        <f aca="false">SUMPRODUCT(I5952:W5952,_XtX!$B$96:$P$96)</f>
        <v>43.6447962353802</v>
      </c>
      <c r="Y5952" s="0" t="n">
        <f aca="false">SUMPRODUCT(MMULT(I5952:W5952,_XtX!$B$78:$P$92),I5952:W5952)</f>
        <v>0.473959761056287</v>
      </c>
      <c r="Z5952" s="0" t="n">
        <f aca="false">04_回帰ANOVA!$K$19*04_回帰ANOVA!$K$14*SQRT(1+Y5952)</f>
        <v>1.58249084588329</v>
      </c>
      <c r="AA5952" s="0" t="n">
        <f aca="false">X5952-Z5952</f>
        <v>42.0623053894969</v>
      </c>
      <c r="AB5952" s="0" t="n">
        <f aca="false">X5952+Z5952</f>
        <v>45.2272870812635</v>
      </c>
      <c r="AC5952" s="54" t="b">
        <f aca="false">AND(E5952&gt;=01_因子設定!$L$5-0.000000001,E5952&lt;=01_因子設定!$M$5+0.000000001,F5952&gt;=01_因子設定!$L$6-0.000000001,F5952&lt;=01_因子設定!$M$6+0.000000001,G5952&gt;=01_因子設定!$L$7-0.000000001,G5952&lt;=01_因子設定!$M$7+0.000000001,H5952&gt;=01_因子設定!$L$8-0.000000001,H5952&lt;=01_因子設定!$M$8+0.000000001,IF(01_因子設定!$B$20="Box-Behnken",E5952^2+F5952^2+G5952^2+H5952^2&lt;=2+0.000000001,TRUE()))</f>
        <v>1</v>
      </c>
      <c r="AD5952" s="55" t="n">
        <f aca="false">IF(AC5952,IF(01_因子設定!$B$13="最大化",AA5952-01_因子設定!$B$14,IF(01_因子設定!$B$13="最小化",01_因子設定!$B$15-AB5952,MIN(AA5952-01_因子設定!$B$14,01_因子設定!$B$15-AB5952))),-1E+030)</f>
        <v>-4.43769461050312</v>
      </c>
      <c r="AE5952" s="55" t="n">
        <f aca="false">IF(AC5952,IF(01_因子設定!$B$13="最大化",X5952,IF(01_因子設定!$B$13="最小化",-X5952,-ABS(X5952-01_因子設定!$B$16))),-1E+030)</f>
        <v>43.6447962353802</v>
      </c>
      <c r="AF5952" s="55" t="n">
        <f aca="false">AD5952+ROW()*0.000000001</f>
        <v>-4.43768865850312</v>
      </c>
      <c r="AG5952" s="55" t="n">
        <f aca="false">AE5952+ROW()*0.000000001</f>
        <v>43.6448021873802</v>
      </c>
    </row>
    <row r="5953" customFormat="false" ht="15" hidden="false" customHeight="false" outlineLevel="0" collapsed="false">
      <c r="A5953" s="0" t="n">
        <v>8</v>
      </c>
      <c r="B5953" s="0" t="n">
        <v>1</v>
      </c>
      <c r="C5953" s="0" t="n">
        <v>3</v>
      </c>
      <c r="D5953" s="0" t="n">
        <v>8</v>
      </c>
      <c r="E5953" s="0" t="n">
        <f aca="false">-1+A5953*0.25</f>
        <v>1</v>
      </c>
      <c r="F5953" s="0" t="n">
        <f aca="false">-1+B5953*0.25</f>
        <v>-0.75</v>
      </c>
      <c r="G5953" s="0" t="n">
        <f aca="false">-1+C5953*0.25</f>
        <v>-0.25</v>
      </c>
      <c r="H5953" s="0" t="n">
        <f aca="false">-1+D5953*0.25</f>
        <v>1</v>
      </c>
      <c r="I5953" s="0" t="n">
        <f aca="false">1</f>
        <v>1</v>
      </c>
      <c r="J5953" s="0" t="n">
        <f aca="false">E5953</f>
        <v>1</v>
      </c>
      <c r="K5953" s="0" t="n">
        <f aca="false">F5953</f>
        <v>-0.75</v>
      </c>
      <c r="L5953" s="0" t="n">
        <f aca="false">G5953</f>
        <v>-0.25</v>
      </c>
      <c r="M5953" s="0" t="n">
        <f aca="false">H5953</f>
        <v>1</v>
      </c>
      <c r="N5953" s="0" t="n">
        <f aca="false">E5953*F5953</f>
        <v>-0.75</v>
      </c>
      <c r="O5953" s="0" t="n">
        <f aca="false">E5953*G5953</f>
        <v>-0.25</v>
      </c>
      <c r="P5953" s="0" t="n">
        <f aca="false">E5953*H5953</f>
        <v>1</v>
      </c>
      <c r="Q5953" s="0" t="n">
        <f aca="false">F5953*G5953</f>
        <v>0.1875</v>
      </c>
      <c r="R5953" s="0" t="n">
        <f aca="false">F5953*H5953</f>
        <v>-0.75</v>
      </c>
      <c r="S5953" s="0" t="n">
        <f aca="false">G5953*H5953</f>
        <v>-0.25</v>
      </c>
      <c r="T5953" s="0" t="n">
        <f aca="false">E5953*E5953</f>
        <v>1</v>
      </c>
      <c r="U5953" s="0" t="n">
        <f aca="false">F5953*F5953</f>
        <v>0.5625</v>
      </c>
      <c r="V5953" s="0" t="n">
        <f aca="false">G5953*G5953</f>
        <v>0.0625</v>
      </c>
      <c r="W5953" s="0" t="n">
        <f aca="false">H5953*H5953</f>
        <v>1</v>
      </c>
      <c r="X5953" s="0" t="n">
        <f aca="false">SUMPRODUCT(I5953:W5953,_XtX!$B$96:$P$96)</f>
        <v>43.6319855628656</v>
      </c>
      <c r="Y5953" s="0" t="n">
        <f aca="false">SUMPRODUCT(MMULT(I5953:W5953,_XtX!$B$78:$P$92),I5953:W5953)</f>
        <v>0.621372155975877</v>
      </c>
      <c r="Z5953" s="0" t="n">
        <f aca="false">04_回帰ANOVA!$K$19*04_回帰ANOVA!$K$14*SQRT(1+Y5953)</f>
        <v>1.65973880499872</v>
      </c>
      <c r="AA5953" s="0" t="n">
        <f aca="false">X5953-Z5953</f>
        <v>41.9722467578668</v>
      </c>
      <c r="AB5953" s="0" t="n">
        <f aca="false">X5953+Z5953</f>
        <v>45.2917243678643</v>
      </c>
      <c r="AC5953" s="54" t="b">
        <f aca="false">AND(E5953&gt;=01_因子設定!$L$5-0.000000001,E5953&lt;=01_因子設定!$M$5+0.000000001,F5953&gt;=01_因子設定!$L$6-0.000000001,F5953&lt;=01_因子設定!$M$6+0.000000001,G5953&gt;=01_因子設定!$L$7-0.000000001,G5953&lt;=01_因子設定!$M$7+0.000000001,H5953&gt;=01_因子設定!$L$8-0.000000001,H5953&lt;=01_因子設定!$M$8+0.000000001,IF(01_因子設定!$B$20="Box-Behnken",E5953^2+F5953^2+G5953^2+H5953^2&lt;=2+0.000000001,TRUE()))</f>
        <v>1</v>
      </c>
      <c r="AD5953" s="55" t="n">
        <f aca="false">IF(AC5953,IF(01_因子設定!$B$13="最大化",AA5953-01_因子設定!$B$14,IF(01_因子設定!$B$13="最小化",01_因子設定!$B$15-AB5953,MIN(AA5953-01_因子設定!$B$14,01_因子設定!$B$15-AB5953))),-1E+030)</f>
        <v>-4.52775324213316</v>
      </c>
      <c r="AE5953" s="55" t="n">
        <f aca="false">IF(AC5953,IF(01_因子設定!$B$13="最大化",X5953,IF(01_因子設定!$B$13="最小化",-X5953,-ABS(X5953-01_因子設定!$B$16))),-1E+030)</f>
        <v>43.6319855628656</v>
      </c>
      <c r="AF5953" s="55" t="n">
        <f aca="false">AD5953+ROW()*0.000000001</f>
        <v>-4.52774728913316</v>
      </c>
      <c r="AG5953" s="55" t="n">
        <f aca="false">AE5953+ROW()*0.000000001</f>
        <v>43.6319915158656</v>
      </c>
    </row>
    <row r="5954" customFormat="false" ht="15" hidden="false" customHeight="false" outlineLevel="0" collapsed="false">
      <c r="A5954" s="0" t="n">
        <v>8</v>
      </c>
      <c r="B5954" s="0" t="n">
        <v>1</v>
      </c>
      <c r="C5954" s="0" t="n">
        <v>4</v>
      </c>
      <c r="D5954" s="0" t="n">
        <v>0</v>
      </c>
      <c r="E5954" s="0" t="n">
        <f aca="false">-1+A5954*0.25</f>
        <v>1</v>
      </c>
      <c r="F5954" s="0" t="n">
        <f aca="false">-1+B5954*0.25</f>
        <v>-0.75</v>
      </c>
      <c r="G5954" s="0" t="n">
        <f aca="false">-1+C5954*0.25</f>
        <v>0</v>
      </c>
      <c r="H5954" s="0" t="n">
        <f aca="false">-1+D5954*0.25</f>
        <v>-1</v>
      </c>
      <c r="I5954" s="0" t="n">
        <f aca="false">1</f>
        <v>1</v>
      </c>
      <c r="J5954" s="0" t="n">
        <f aca="false">E5954</f>
        <v>1</v>
      </c>
      <c r="K5954" s="0" t="n">
        <f aca="false">F5954</f>
        <v>-0.75</v>
      </c>
      <c r="L5954" s="0" t="n">
        <f aca="false">G5954</f>
        <v>0</v>
      </c>
      <c r="M5954" s="0" t="n">
        <f aca="false">H5954</f>
        <v>-1</v>
      </c>
      <c r="N5954" s="0" t="n">
        <f aca="false">E5954*F5954</f>
        <v>-0.75</v>
      </c>
      <c r="O5954" s="0" t="n">
        <f aca="false">E5954*G5954</f>
        <v>0</v>
      </c>
      <c r="P5954" s="0" t="n">
        <f aca="false">E5954*H5954</f>
        <v>-1</v>
      </c>
      <c r="Q5954" s="0" t="n">
        <f aca="false">F5954*G5954</f>
        <v>-0</v>
      </c>
      <c r="R5954" s="0" t="n">
        <f aca="false">F5954*H5954</f>
        <v>0.75</v>
      </c>
      <c r="S5954" s="0" t="n">
        <f aca="false">G5954*H5954</f>
        <v>-0</v>
      </c>
      <c r="T5954" s="0" t="n">
        <f aca="false">E5954*E5954</f>
        <v>1</v>
      </c>
      <c r="U5954" s="0" t="n">
        <f aca="false">F5954*F5954</f>
        <v>0.5625</v>
      </c>
      <c r="V5954" s="0" t="n">
        <f aca="false">G5954*G5954</f>
        <v>0</v>
      </c>
      <c r="W5954" s="0" t="n">
        <f aca="false">H5954*H5954</f>
        <v>1</v>
      </c>
      <c r="X5954" s="0" t="n">
        <f aca="false">SUMPRODUCT(I5954:W5954,_XtX!$B$96:$P$96)</f>
        <v>42.3913925438597</v>
      </c>
      <c r="Y5954" s="0" t="n">
        <f aca="false">SUMPRODUCT(MMULT(I5954:W5954,_XtX!$B$78:$P$92),I5954:W5954)</f>
        <v>0.646198830409357</v>
      </c>
      <c r="Z5954" s="0" t="n">
        <f aca="false">04_回帰ANOVA!$K$19*04_回帰ANOVA!$K$14*SQRT(1+Y5954)</f>
        <v>1.67239760569756</v>
      </c>
      <c r="AA5954" s="0" t="n">
        <f aca="false">X5954-Z5954</f>
        <v>40.7189949381622</v>
      </c>
      <c r="AB5954" s="0" t="n">
        <f aca="false">X5954+Z5954</f>
        <v>44.0637901495573</v>
      </c>
      <c r="AC5954" s="54" t="b">
        <f aca="false">AND(E5954&gt;=01_因子設定!$L$5-0.000000001,E5954&lt;=01_因子設定!$M$5+0.000000001,F5954&gt;=01_因子設定!$L$6-0.000000001,F5954&lt;=01_因子設定!$M$6+0.000000001,G5954&gt;=01_因子設定!$L$7-0.000000001,G5954&lt;=01_因子設定!$M$7+0.000000001,H5954&gt;=01_因子設定!$L$8-0.000000001,H5954&lt;=01_因子設定!$M$8+0.000000001,IF(01_因子設定!$B$20="Box-Behnken",E5954^2+F5954^2+G5954^2+H5954^2&lt;=2+0.000000001,TRUE()))</f>
        <v>1</v>
      </c>
      <c r="AD5954" s="55" t="n">
        <f aca="false">IF(AC5954,IF(01_因子設定!$B$13="最大化",AA5954-01_因子設定!$B$14,IF(01_因子設定!$B$13="最小化",01_因子設定!$B$15-AB5954,MIN(AA5954-01_因子設定!$B$14,01_因子設定!$B$15-AB5954))),-1E+030)</f>
        <v>-5.78100506183785</v>
      </c>
      <c r="AE5954" s="55" t="n">
        <f aca="false">IF(AC5954,IF(01_因子設定!$B$13="最大化",X5954,IF(01_因子設定!$B$13="最小化",-X5954,-ABS(X5954-01_因子設定!$B$16))),-1E+030)</f>
        <v>42.3913925438597</v>
      </c>
      <c r="AF5954" s="55" t="n">
        <f aca="false">AD5954+ROW()*0.000000001</f>
        <v>-5.78099910783785</v>
      </c>
      <c r="AG5954" s="55" t="n">
        <f aca="false">AE5954+ROW()*0.000000001</f>
        <v>42.3913984978597</v>
      </c>
    </row>
    <row r="5955" customFormat="false" ht="15" hidden="false" customHeight="false" outlineLevel="0" collapsed="false">
      <c r="A5955" s="0" t="n">
        <v>8</v>
      </c>
      <c r="B5955" s="0" t="n">
        <v>1</v>
      </c>
      <c r="C5955" s="0" t="n">
        <v>4</v>
      </c>
      <c r="D5955" s="0" t="n">
        <v>1</v>
      </c>
      <c r="E5955" s="0" t="n">
        <f aca="false">-1+A5955*0.25</f>
        <v>1</v>
      </c>
      <c r="F5955" s="0" t="n">
        <f aca="false">-1+B5955*0.25</f>
        <v>-0.75</v>
      </c>
      <c r="G5955" s="0" t="n">
        <f aca="false">-1+C5955*0.25</f>
        <v>0</v>
      </c>
      <c r="H5955" s="0" t="n">
        <f aca="false">-1+D5955*0.25</f>
        <v>-0.75</v>
      </c>
      <c r="I5955" s="0" t="n">
        <f aca="false">1</f>
        <v>1</v>
      </c>
      <c r="J5955" s="0" t="n">
        <f aca="false">E5955</f>
        <v>1</v>
      </c>
      <c r="K5955" s="0" t="n">
        <f aca="false">F5955</f>
        <v>-0.75</v>
      </c>
      <c r="L5955" s="0" t="n">
        <f aca="false">G5955</f>
        <v>0</v>
      </c>
      <c r="M5955" s="0" t="n">
        <f aca="false">H5955</f>
        <v>-0.75</v>
      </c>
      <c r="N5955" s="0" t="n">
        <f aca="false">E5955*F5955</f>
        <v>-0.75</v>
      </c>
      <c r="O5955" s="0" t="n">
        <f aca="false">E5955*G5955</f>
        <v>0</v>
      </c>
      <c r="P5955" s="0" t="n">
        <f aca="false">E5955*H5955</f>
        <v>-0.75</v>
      </c>
      <c r="Q5955" s="0" t="n">
        <f aca="false">F5955*G5955</f>
        <v>-0</v>
      </c>
      <c r="R5955" s="0" t="n">
        <f aca="false">F5955*H5955</f>
        <v>0.5625</v>
      </c>
      <c r="S5955" s="0" t="n">
        <f aca="false">G5955*H5955</f>
        <v>-0</v>
      </c>
      <c r="T5955" s="0" t="n">
        <f aca="false">E5955*E5955</f>
        <v>1</v>
      </c>
      <c r="U5955" s="0" t="n">
        <f aca="false">F5955*F5955</f>
        <v>0.5625</v>
      </c>
      <c r="V5955" s="0" t="n">
        <f aca="false">G5955*G5955</f>
        <v>0</v>
      </c>
      <c r="W5955" s="0" t="n">
        <f aca="false">H5955*H5955</f>
        <v>0.5625</v>
      </c>
      <c r="X5955" s="0" t="n">
        <f aca="false">SUMPRODUCT(I5955:W5955,_XtX!$B$96:$P$96)</f>
        <v>42.7311997441521</v>
      </c>
      <c r="Y5955" s="0" t="n">
        <f aca="false">SUMPRODUCT(MMULT(I5955:W5955,_XtX!$B$78:$P$92),I5955:W5955)</f>
        <v>0.494259126005117</v>
      </c>
      <c r="Z5955" s="0" t="n">
        <f aca="false">04_回帰ANOVA!$K$19*04_回帰ANOVA!$K$14*SQRT(1+Y5955)</f>
        <v>1.59335061078203</v>
      </c>
      <c r="AA5955" s="0" t="n">
        <f aca="false">X5955-Z5955</f>
        <v>41.1378491333701</v>
      </c>
      <c r="AB5955" s="0" t="n">
        <f aca="false">X5955+Z5955</f>
        <v>44.3245503549341</v>
      </c>
      <c r="AC5955" s="54" t="b">
        <f aca="false">AND(E5955&gt;=01_因子設定!$L$5-0.000000001,E5955&lt;=01_因子設定!$M$5+0.000000001,F5955&gt;=01_因子設定!$L$6-0.000000001,F5955&lt;=01_因子設定!$M$6+0.000000001,G5955&gt;=01_因子設定!$L$7-0.000000001,G5955&lt;=01_因子設定!$M$7+0.000000001,H5955&gt;=01_因子設定!$L$8-0.000000001,H5955&lt;=01_因子設定!$M$8+0.000000001,IF(01_因子設定!$B$20="Box-Behnken",E5955^2+F5955^2+G5955^2+H5955^2&lt;=2+0.000000001,TRUE()))</f>
        <v>1</v>
      </c>
      <c r="AD5955" s="55" t="n">
        <f aca="false">IF(AC5955,IF(01_因子設定!$B$13="最大化",AA5955-01_因子設定!$B$14,IF(01_因子設定!$B$13="最小化",01_因子設定!$B$15-AB5955,MIN(AA5955-01_因子設定!$B$14,01_因子設定!$B$15-AB5955))),-1E+030)</f>
        <v>-5.36215086662993</v>
      </c>
      <c r="AE5955" s="55" t="n">
        <f aca="false">IF(AC5955,IF(01_因子設定!$B$13="最大化",X5955,IF(01_因子設定!$B$13="最小化",-X5955,-ABS(X5955-01_因子設定!$B$16))),-1E+030)</f>
        <v>42.7311997441521</v>
      </c>
      <c r="AF5955" s="55" t="n">
        <f aca="false">AD5955+ROW()*0.000000001</f>
        <v>-5.36214491162993</v>
      </c>
      <c r="AG5955" s="55" t="n">
        <f aca="false">AE5955+ROW()*0.000000001</f>
        <v>42.7312056991521</v>
      </c>
    </row>
    <row r="5956" customFormat="false" ht="15" hidden="false" customHeight="false" outlineLevel="0" collapsed="false">
      <c r="A5956" s="0" t="n">
        <v>8</v>
      </c>
      <c r="B5956" s="0" t="n">
        <v>1</v>
      </c>
      <c r="C5956" s="0" t="n">
        <v>4</v>
      </c>
      <c r="D5956" s="0" t="n">
        <v>2</v>
      </c>
      <c r="E5956" s="0" t="n">
        <f aca="false">-1+A5956*0.25</f>
        <v>1</v>
      </c>
      <c r="F5956" s="0" t="n">
        <f aca="false">-1+B5956*0.25</f>
        <v>-0.75</v>
      </c>
      <c r="G5956" s="0" t="n">
        <f aca="false">-1+C5956*0.25</f>
        <v>0</v>
      </c>
      <c r="H5956" s="0" t="n">
        <f aca="false">-1+D5956*0.25</f>
        <v>-0.5</v>
      </c>
      <c r="I5956" s="0" t="n">
        <f aca="false">1</f>
        <v>1</v>
      </c>
      <c r="J5956" s="0" t="n">
        <f aca="false">E5956</f>
        <v>1</v>
      </c>
      <c r="K5956" s="0" t="n">
        <f aca="false">F5956</f>
        <v>-0.75</v>
      </c>
      <c r="L5956" s="0" t="n">
        <f aca="false">G5956</f>
        <v>0</v>
      </c>
      <c r="M5956" s="0" t="n">
        <f aca="false">H5956</f>
        <v>-0.5</v>
      </c>
      <c r="N5956" s="0" t="n">
        <f aca="false">E5956*F5956</f>
        <v>-0.75</v>
      </c>
      <c r="O5956" s="0" t="n">
        <f aca="false">E5956*G5956</f>
        <v>0</v>
      </c>
      <c r="P5956" s="0" t="n">
        <f aca="false">E5956*H5956</f>
        <v>-0.5</v>
      </c>
      <c r="Q5956" s="0" t="n">
        <f aca="false">F5956*G5956</f>
        <v>-0</v>
      </c>
      <c r="R5956" s="0" t="n">
        <f aca="false">F5956*H5956</f>
        <v>0.375</v>
      </c>
      <c r="S5956" s="0" t="n">
        <f aca="false">G5956*H5956</f>
        <v>-0</v>
      </c>
      <c r="T5956" s="0" t="n">
        <f aca="false">E5956*E5956</f>
        <v>1</v>
      </c>
      <c r="U5956" s="0" t="n">
        <f aca="false">F5956*F5956</f>
        <v>0.5625</v>
      </c>
      <c r="V5956" s="0" t="n">
        <f aca="false">G5956*G5956</f>
        <v>0</v>
      </c>
      <c r="W5956" s="0" t="n">
        <f aca="false">H5956*H5956</f>
        <v>0.25</v>
      </c>
      <c r="X5956" s="0" t="n">
        <f aca="false">SUMPRODUCT(I5956:W5956,_XtX!$B$96:$P$96)</f>
        <v>43.0231999269006</v>
      </c>
      <c r="Y5956" s="0" t="n">
        <f aca="false">SUMPRODUCT(MMULT(I5956:W5956,_XtX!$B$78:$P$92),I5956:W5956)</f>
        <v>0.476191292032164</v>
      </c>
      <c r="Z5956" s="0" t="n">
        <f aca="false">04_回帰ANOVA!$K$19*04_回帰ANOVA!$K$14*SQRT(1+Y5956)</f>
        <v>1.58368831471718</v>
      </c>
      <c r="AA5956" s="0" t="n">
        <f aca="false">X5956-Z5956</f>
        <v>41.4395116121834</v>
      </c>
      <c r="AB5956" s="0" t="n">
        <f aca="false">X5956+Z5956</f>
        <v>44.6068882416178</v>
      </c>
      <c r="AC5956" s="54" t="b">
        <f aca="false">AND(E5956&gt;=01_因子設定!$L$5-0.000000001,E5956&lt;=01_因子設定!$M$5+0.000000001,F5956&gt;=01_因子設定!$L$6-0.000000001,F5956&lt;=01_因子設定!$M$6+0.000000001,G5956&gt;=01_因子設定!$L$7-0.000000001,G5956&lt;=01_因子設定!$M$7+0.000000001,H5956&gt;=01_因子設定!$L$8-0.000000001,H5956&lt;=01_因子設定!$M$8+0.000000001,IF(01_因子設定!$B$20="Box-Behnken",E5956^2+F5956^2+G5956^2+H5956^2&lt;=2+0.000000001,TRUE()))</f>
        <v>1</v>
      </c>
      <c r="AD5956" s="55" t="n">
        <f aca="false">IF(AC5956,IF(01_因子設定!$B$13="最大化",AA5956-01_因子設定!$B$14,IF(01_因子設定!$B$13="最小化",01_因子設定!$B$15-AB5956,MIN(AA5956-01_因子設定!$B$14,01_因子設定!$B$15-AB5956))),-1E+030)</f>
        <v>-5.06048838781656</v>
      </c>
      <c r="AE5956" s="55" t="n">
        <f aca="false">IF(AC5956,IF(01_因子設定!$B$13="最大化",X5956,IF(01_因子設定!$B$13="最小化",-X5956,-ABS(X5956-01_因子設定!$B$16))),-1E+030)</f>
        <v>43.0231999269006</v>
      </c>
      <c r="AF5956" s="55" t="n">
        <f aca="false">AD5956+ROW()*0.000000001</f>
        <v>-5.06048243181656</v>
      </c>
      <c r="AG5956" s="55" t="n">
        <f aca="false">AE5956+ROW()*0.000000001</f>
        <v>43.0232058829006</v>
      </c>
    </row>
    <row r="5957" customFormat="false" ht="15" hidden="false" customHeight="false" outlineLevel="0" collapsed="false">
      <c r="A5957" s="0" t="n">
        <v>8</v>
      </c>
      <c r="B5957" s="0" t="n">
        <v>1</v>
      </c>
      <c r="C5957" s="0" t="n">
        <v>4</v>
      </c>
      <c r="D5957" s="0" t="n">
        <v>3</v>
      </c>
      <c r="E5957" s="0" t="n">
        <f aca="false">-1+A5957*0.25</f>
        <v>1</v>
      </c>
      <c r="F5957" s="0" t="n">
        <f aca="false">-1+B5957*0.25</f>
        <v>-0.75</v>
      </c>
      <c r="G5957" s="0" t="n">
        <f aca="false">-1+C5957*0.25</f>
        <v>0</v>
      </c>
      <c r="H5957" s="0" t="n">
        <f aca="false">-1+D5957*0.25</f>
        <v>-0.25</v>
      </c>
      <c r="I5957" s="0" t="n">
        <f aca="false">1</f>
        <v>1</v>
      </c>
      <c r="J5957" s="0" t="n">
        <f aca="false">E5957</f>
        <v>1</v>
      </c>
      <c r="K5957" s="0" t="n">
        <f aca="false">F5957</f>
        <v>-0.75</v>
      </c>
      <c r="L5957" s="0" t="n">
        <f aca="false">G5957</f>
        <v>0</v>
      </c>
      <c r="M5957" s="0" t="n">
        <f aca="false">H5957</f>
        <v>-0.25</v>
      </c>
      <c r="N5957" s="0" t="n">
        <f aca="false">E5957*F5957</f>
        <v>-0.75</v>
      </c>
      <c r="O5957" s="0" t="n">
        <f aca="false">E5957*G5957</f>
        <v>0</v>
      </c>
      <c r="P5957" s="0" t="n">
        <f aca="false">E5957*H5957</f>
        <v>-0.25</v>
      </c>
      <c r="Q5957" s="0" t="n">
        <f aca="false">F5957*G5957</f>
        <v>-0</v>
      </c>
      <c r="R5957" s="0" t="n">
        <f aca="false">F5957*H5957</f>
        <v>0.1875</v>
      </c>
      <c r="S5957" s="0" t="n">
        <f aca="false">G5957*H5957</f>
        <v>-0</v>
      </c>
      <c r="T5957" s="0" t="n">
        <f aca="false">E5957*E5957</f>
        <v>1</v>
      </c>
      <c r="U5957" s="0" t="n">
        <f aca="false">F5957*F5957</f>
        <v>0.5625</v>
      </c>
      <c r="V5957" s="0" t="n">
        <f aca="false">G5957*G5957</f>
        <v>0</v>
      </c>
      <c r="W5957" s="0" t="n">
        <f aca="false">H5957*H5957</f>
        <v>0.0625</v>
      </c>
      <c r="X5957" s="0" t="n">
        <f aca="false">SUMPRODUCT(I5957:W5957,_XtX!$B$96:$P$96)</f>
        <v>43.2673930921053</v>
      </c>
      <c r="Y5957" s="0" t="n">
        <f aca="false">SUMPRODUCT(MMULT(I5957:W5957,_XtX!$B$78:$P$92),I5957:W5957)</f>
        <v>0.501534802174708</v>
      </c>
      <c r="Z5957" s="0" t="n">
        <f aca="false">04_回帰ANOVA!$K$19*04_回帰ANOVA!$K$14*SQRT(1+Y5957)</f>
        <v>1.59722498091333</v>
      </c>
      <c r="AA5957" s="0" t="n">
        <f aca="false">X5957-Z5957</f>
        <v>41.670168111192</v>
      </c>
      <c r="AB5957" s="0" t="n">
        <f aca="false">X5957+Z5957</f>
        <v>44.8646180730186</v>
      </c>
      <c r="AC5957" s="54" t="b">
        <f aca="false">AND(E5957&gt;=01_因子設定!$L$5-0.000000001,E5957&lt;=01_因子設定!$M$5+0.000000001,F5957&gt;=01_因子設定!$L$6-0.000000001,F5957&lt;=01_因子設定!$M$6+0.000000001,G5957&gt;=01_因子設定!$L$7-0.000000001,G5957&lt;=01_因子設定!$M$7+0.000000001,H5957&gt;=01_因子設定!$L$8-0.000000001,H5957&lt;=01_因子設定!$M$8+0.000000001,IF(01_因子設定!$B$20="Box-Behnken",E5957^2+F5957^2+G5957^2+H5957^2&lt;=2+0.000000001,TRUE()))</f>
        <v>1</v>
      </c>
      <c r="AD5957" s="55" t="n">
        <f aca="false">IF(AC5957,IF(01_因子設定!$B$13="最大化",AA5957-01_因子設定!$B$14,IF(01_因子設定!$B$13="最小化",01_因子設定!$B$15-AB5957,MIN(AA5957-01_因子設定!$B$14,01_因子設定!$B$15-AB5957))),-1E+030)</f>
        <v>-4.82983188880804</v>
      </c>
      <c r="AE5957" s="55" t="n">
        <f aca="false">IF(AC5957,IF(01_因子設定!$B$13="最大化",X5957,IF(01_因子設定!$B$13="最小化",-X5957,-ABS(X5957-01_因子設定!$B$16))),-1E+030)</f>
        <v>43.2673930921053</v>
      </c>
      <c r="AF5957" s="55" t="n">
        <f aca="false">AD5957+ROW()*0.000000001</f>
        <v>-4.82982593180804</v>
      </c>
      <c r="AG5957" s="55" t="n">
        <f aca="false">AE5957+ROW()*0.000000001</f>
        <v>43.2673990491053</v>
      </c>
    </row>
    <row r="5958" customFormat="false" ht="15" hidden="false" customHeight="false" outlineLevel="0" collapsed="false">
      <c r="A5958" s="0" t="n">
        <v>8</v>
      </c>
      <c r="B5958" s="0" t="n">
        <v>1</v>
      </c>
      <c r="C5958" s="0" t="n">
        <v>4</v>
      </c>
      <c r="D5958" s="0" t="n">
        <v>4</v>
      </c>
      <c r="E5958" s="0" t="n">
        <f aca="false">-1+A5958*0.25</f>
        <v>1</v>
      </c>
      <c r="F5958" s="0" t="n">
        <f aca="false">-1+B5958*0.25</f>
        <v>-0.75</v>
      </c>
      <c r="G5958" s="0" t="n">
        <f aca="false">-1+C5958*0.25</f>
        <v>0</v>
      </c>
      <c r="H5958" s="0" t="n">
        <f aca="false">-1+D5958*0.25</f>
        <v>0</v>
      </c>
      <c r="I5958" s="0" t="n">
        <f aca="false">1</f>
        <v>1</v>
      </c>
      <c r="J5958" s="0" t="n">
        <f aca="false">E5958</f>
        <v>1</v>
      </c>
      <c r="K5958" s="0" t="n">
        <f aca="false">F5958</f>
        <v>-0.75</v>
      </c>
      <c r="L5958" s="0" t="n">
        <f aca="false">G5958</f>
        <v>0</v>
      </c>
      <c r="M5958" s="0" t="n">
        <f aca="false">H5958</f>
        <v>0</v>
      </c>
      <c r="N5958" s="0" t="n">
        <f aca="false">E5958*F5958</f>
        <v>-0.75</v>
      </c>
      <c r="O5958" s="0" t="n">
        <f aca="false">E5958*G5958</f>
        <v>0</v>
      </c>
      <c r="P5958" s="0" t="n">
        <f aca="false">E5958*H5958</f>
        <v>0</v>
      </c>
      <c r="Q5958" s="0" t="n">
        <f aca="false">F5958*G5958</f>
        <v>-0</v>
      </c>
      <c r="R5958" s="0" t="n">
        <f aca="false">F5958*H5958</f>
        <v>-0</v>
      </c>
      <c r="S5958" s="0" t="n">
        <f aca="false">G5958*H5958</f>
        <v>0</v>
      </c>
      <c r="T5958" s="0" t="n">
        <f aca="false">E5958*E5958</f>
        <v>1</v>
      </c>
      <c r="U5958" s="0" t="n">
        <f aca="false">F5958*F5958</f>
        <v>0.5625</v>
      </c>
      <c r="V5958" s="0" t="n">
        <f aca="false">G5958*G5958</f>
        <v>0</v>
      </c>
      <c r="W5958" s="0" t="n">
        <f aca="false">H5958*H5958</f>
        <v>0</v>
      </c>
      <c r="X5958" s="0" t="n">
        <f aca="false">SUMPRODUCT(I5958:W5958,_XtX!$B$96:$P$96)</f>
        <v>43.4637792397661</v>
      </c>
      <c r="Y5958" s="0" t="n">
        <f aca="false">SUMPRODUCT(MMULT(I5958:W5958,_XtX!$B$78:$P$92),I5958:W5958)</f>
        <v>0.516013340643275</v>
      </c>
      <c r="Z5958" s="0" t="n">
        <f aca="false">04_回帰ANOVA!$K$19*04_回帰ANOVA!$K$14*SQRT(1+Y5958)</f>
        <v>1.60490712175667</v>
      </c>
      <c r="AA5958" s="0" t="n">
        <f aca="false">X5958-Z5958</f>
        <v>41.8588721180094</v>
      </c>
      <c r="AB5958" s="0" t="n">
        <f aca="false">X5958+Z5958</f>
        <v>45.0686863615228</v>
      </c>
      <c r="AC5958" s="54" t="b">
        <f aca="false">AND(E5958&gt;=01_因子設定!$L$5-0.000000001,E5958&lt;=01_因子設定!$M$5+0.000000001,F5958&gt;=01_因子設定!$L$6-0.000000001,F5958&lt;=01_因子設定!$M$6+0.000000001,G5958&gt;=01_因子設定!$L$7-0.000000001,G5958&lt;=01_因子設定!$M$7+0.000000001,H5958&gt;=01_因子設定!$L$8-0.000000001,H5958&lt;=01_因子設定!$M$8+0.000000001,IF(01_因子設定!$B$20="Box-Behnken",E5958^2+F5958^2+G5958^2+H5958^2&lt;=2+0.000000001,TRUE()))</f>
        <v>1</v>
      </c>
      <c r="AD5958" s="55" t="n">
        <f aca="false">IF(AC5958,IF(01_因子設定!$B$13="最大化",AA5958-01_因子設定!$B$14,IF(01_因子設定!$B$13="最小化",01_因子設定!$B$15-AB5958,MIN(AA5958-01_因子設定!$B$14,01_因子設定!$B$15-AB5958))),-1E+030)</f>
        <v>-4.64112788199056</v>
      </c>
      <c r="AE5958" s="55" t="n">
        <f aca="false">IF(AC5958,IF(01_因子設定!$B$13="最大化",X5958,IF(01_因子設定!$B$13="最小化",-X5958,-ABS(X5958-01_因子設定!$B$16))),-1E+030)</f>
        <v>43.4637792397661</v>
      </c>
      <c r="AF5958" s="55" t="n">
        <f aca="false">AD5958+ROW()*0.000000001</f>
        <v>-4.64112192399056</v>
      </c>
      <c r="AG5958" s="55" t="n">
        <f aca="false">AE5958+ROW()*0.000000001</f>
        <v>43.4637851977661</v>
      </c>
    </row>
    <row r="5959" customFormat="false" ht="15" hidden="false" customHeight="false" outlineLevel="0" collapsed="false">
      <c r="A5959" s="0" t="n">
        <v>8</v>
      </c>
      <c r="B5959" s="0" t="n">
        <v>1</v>
      </c>
      <c r="C5959" s="0" t="n">
        <v>4</v>
      </c>
      <c r="D5959" s="0" t="n">
        <v>5</v>
      </c>
      <c r="E5959" s="0" t="n">
        <f aca="false">-1+A5959*0.25</f>
        <v>1</v>
      </c>
      <c r="F5959" s="0" t="n">
        <f aca="false">-1+B5959*0.25</f>
        <v>-0.75</v>
      </c>
      <c r="G5959" s="0" t="n">
        <f aca="false">-1+C5959*0.25</f>
        <v>0</v>
      </c>
      <c r="H5959" s="0" t="n">
        <f aca="false">-1+D5959*0.25</f>
        <v>0.25</v>
      </c>
      <c r="I5959" s="0" t="n">
        <f aca="false">1</f>
        <v>1</v>
      </c>
      <c r="J5959" s="0" t="n">
        <f aca="false">E5959</f>
        <v>1</v>
      </c>
      <c r="K5959" s="0" t="n">
        <f aca="false">F5959</f>
        <v>-0.75</v>
      </c>
      <c r="L5959" s="0" t="n">
        <f aca="false">G5959</f>
        <v>0</v>
      </c>
      <c r="M5959" s="0" t="n">
        <f aca="false">H5959</f>
        <v>0.25</v>
      </c>
      <c r="N5959" s="0" t="n">
        <f aca="false">E5959*F5959</f>
        <v>-0.75</v>
      </c>
      <c r="O5959" s="0" t="n">
        <f aca="false">E5959*G5959</f>
        <v>0</v>
      </c>
      <c r="P5959" s="0" t="n">
        <f aca="false">E5959*H5959</f>
        <v>0.25</v>
      </c>
      <c r="Q5959" s="0" t="n">
        <f aca="false">F5959*G5959</f>
        <v>-0</v>
      </c>
      <c r="R5959" s="0" t="n">
        <f aca="false">F5959*H5959</f>
        <v>-0.1875</v>
      </c>
      <c r="S5959" s="0" t="n">
        <f aca="false">G5959*H5959</f>
        <v>0</v>
      </c>
      <c r="T5959" s="0" t="n">
        <f aca="false">E5959*E5959</f>
        <v>1</v>
      </c>
      <c r="U5959" s="0" t="n">
        <f aca="false">F5959*F5959</f>
        <v>0.5625</v>
      </c>
      <c r="V5959" s="0" t="n">
        <f aca="false">G5959*G5959</f>
        <v>0</v>
      </c>
      <c r="W5959" s="0" t="n">
        <f aca="false">H5959*H5959</f>
        <v>0.0625</v>
      </c>
      <c r="X5959" s="0" t="n">
        <f aca="false">SUMPRODUCT(I5959:W5959,_XtX!$B$96:$P$96)</f>
        <v>43.6123583698831</v>
      </c>
      <c r="Y5959" s="0" t="n">
        <f aca="false">SUMPRODUCT(MMULT(I5959:W5959,_XtX!$B$78:$P$92),I5959:W5959)</f>
        <v>0.501534802174708</v>
      </c>
      <c r="Z5959" s="0" t="n">
        <f aca="false">04_回帰ANOVA!$K$19*04_回帰ANOVA!$K$14*SQRT(1+Y5959)</f>
        <v>1.59722498091333</v>
      </c>
      <c r="AA5959" s="0" t="n">
        <f aca="false">X5959-Z5959</f>
        <v>42.0151333889697</v>
      </c>
      <c r="AB5959" s="0" t="n">
        <f aca="false">X5959+Z5959</f>
        <v>45.2095833507964</v>
      </c>
      <c r="AC5959" s="54" t="b">
        <f aca="false">AND(E5959&gt;=01_因子設定!$L$5-0.000000001,E5959&lt;=01_因子設定!$M$5+0.000000001,F5959&gt;=01_因子設定!$L$6-0.000000001,F5959&lt;=01_因子設定!$M$6+0.000000001,G5959&gt;=01_因子設定!$L$7-0.000000001,G5959&lt;=01_因子設定!$M$7+0.000000001,H5959&gt;=01_因子設定!$L$8-0.000000001,H5959&lt;=01_因子設定!$M$8+0.000000001,IF(01_因子設定!$B$20="Box-Behnken",E5959^2+F5959^2+G5959^2+H5959^2&lt;=2+0.000000001,TRUE()))</f>
        <v>1</v>
      </c>
      <c r="AD5959" s="55" t="n">
        <f aca="false">IF(AC5959,IF(01_因子設定!$B$13="最大化",AA5959-01_因子設定!$B$14,IF(01_因子設定!$B$13="最小化",01_因子設定!$B$15-AB5959,MIN(AA5959-01_因子設定!$B$14,01_因子設定!$B$15-AB5959))),-1E+030)</f>
        <v>-4.48486661103026</v>
      </c>
      <c r="AE5959" s="55" t="n">
        <f aca="false">IF(AC5959,IF(01_因子設定!$B$13="最大化",X5959,IF(01_因子設定!$B$13="最小化",-X5959,-ABS(X5959-01_因子設定!$B$16))),-1E+030)</f>
        <v>43.6123583698831</v>
      </c>
      <c r="AF5959" s="55" t="n">
        <f aca="false">AD5959+ROW()*0.000000001</f>
        <v>-4.48486065203026</v>
      </c>
      <c r="AG5959" s="55" t="n">
        <f aca="false">AE5959+ROW()*0.000000001</f>
        <v>43.6123643288831</v>
      </c>
    </row>
    <row r="5960" customFormat="false" ht="15" hidden="false" customHeight="false" outlineLevel="0" collapsed="false">
      <c r="A5960" s="0" t="n">
        <v>8</v>
      </c>
      <c r="B5960" s="0" t="n">
        <v>1</v>
      </c>
      <c r="C5960" s="0" t="n">
        <v>4</v>
      </c>
      <c r="D5960" s="0" t="n">
        <v>6</v>
      </c>
      <c r="E5960" s="0" t="n">
        <f aca="false">-1+A5960*0.25</f>
        <v>1</v>
      </c>
      <c r="F5960" s="0" t="n">
        <f aca="false">-1+B5960*0.25</f>
        <v>-0.75</v>
      </c>
      <c r="G5960" s="0" t="n">
        <f aca="false">-1+C5960*0.25</f>
        <v>0</v>
      </c>
      <c r="H5960" s="0" t="n">
        <f aca="false">-1+D5960*0.25</f>
        <v>0.5</v>
      </c>
      <c r="I5960" s="0" t="n">
        <f aca="false">1</f>
        <v>1</v>
      </c>
      <c r="J5960" s="0" t="n">
        <f aca="false">E5960</f>
        <v>1</v>
      </c>
      <c r="K5960" s="0" t="n">
        <f aca="false">F5960</f>
        <v>-0.75</v>
      </c>
      <c r="L5960" s="0" t="n">
        <f aca="false">G5960</f>
        <v>0</v>
      </c>
      <c r="M5960" s="0" t="n">
        <f aca="false">H5960</f>
        <v>0.5</v>
      </c>
      <c r="N5960" s="0" t="n">
        <f aca="false">E5960*F5960</f>
        <v>-0.75</v>
      </c>
      <c r="O5960" s="0" t="n">
        <f aca="false">E5960*G5960</f>
        <v>0</v>
      </c>
      <c r="P5960" s="0" t="n">
        <f aca="false">E5960*H5960</f>
        <v>0.5</v>
      </c>
      <c r="Q5960" s="0" t="n">
        <f aca="false">F5960*G5960</f>
        <v>-0</v>
      </c>
      <c r="R5960" s="0" t="n">
        <f aca="false">F5960*H5960</f>
        <v>-0.375</v>
      </c>
      <c r="S5960" s="0" t="n">
        <f aca="false">G5960*H5960</f>
        <v>0</v>
      </c>
      <c r="T5960" s="0" t="n">
        <f aca="false">E5960*E5960</f>
        <v>1</v>
      </c>
      <c r="U5960" s="0" t="n">
        <f aca="false">F5960*F5960</f>
        <v>0.5625</v>
      </c>
      <c r="V5960" s="0" t="n">
        <f aca="false">G5960*G5960</f>
        <v>0</v>
      </c>
      <c r="W5960" s="0" t="n">
        <f aca="false">H5960*H5960</f>
        <v>0.25</v>
      </c>
      <c r="X5960" s="0" t="n">
        <f aca="false">SUMPRODUCT(I5960:W5960,_XtX!$B$96:$P$96)</f>
        <v>43.7131304824562</v>
      </c>
      <c r="Y5960" s="0" t="n">
        <f aca="false">SUMPRODUCT(MMULT(I5960:W5960,_XtX!$B$78:$P$92),I5960:W5960)</f>
        <v>0.476191292032164</v>
      </c>
      <c r="Z5960" s="0" t="n">
        <f aca="false">04_回帰ANOVA!$K$19*04_回帰ANOVA!$K$14*SQRT(1+Y5960)</f>
        <v>1.58368831471718</v>
      </c>
      <c r="AA5960" s="0" t="n">
        <f aca="false">X5960-Z5960</f>
        <v>42.129442167739</v>
      </c>
      <c r="AB5960" s="0" t="n">
        <f aca="false">X5960+Z5960</f>
        <v>45.2968187971734</v>
      </c>
      <c r="AC5960" s="54" t="b">
        <f aca="false">AND(E5960&gt;=01_因子設定!$L$5-0.000000001,E5960&lt;=01_因子設定!$M$5+0.000000001,F5960&gt;=01_因子設定!$L$6-0.000000001,F5960&lt;=01_因子設定!$M$6+0.000000001,G5960&gt;=01_因子設定!$L$7-0.000000001,G5960&lt;=01_因子設定!$M$7+0.000000001,H5960&gt;=01_因子設定!$L$8-0.000000001,H5960&lt;=01_因子設定!$M$8+0.000000001,IF(01_因子設定!$B$20="Box-Behnken",E5960^2+F5960^2+G5960^2+H5960^2&lt;=2+0.000000001,TRUE()))</f>
        <v>1</v>
      </c>
      <c r="AD5960" s="55" t="n">
        <f aca="false">IF(AC5960,IF(01_因子設定!$B$13="最大化",AA5960-01_因子設定!$B$14,IF(01_因子設定!$B$13="最小化",01_因子設定!$B$15-AB5960,MIN(AA5960-01_因子設定!$B$14,01_因子設定!$B$15-AB5960))),-1E+030)</f>
        <v>-4.37055783226101</v>
      </c>
      <c r="AE5960" s="55" t="n">
        <f aca="false">IF(AC5960,IF(01_因子設定!$B$13="最大化",X5960,IF(01_因子設定!$B$13="最小化",-X5960,-ABS(X5960-01_因子設定!$B$16))),-1E+030)</f>
        <v>43.7131304824562</v>
      </c>
      <c r="AF5960" s="55" t="n">
        <f aca="false">AD5960+ROW()*0.000000001</f>
        <v>-4.37055187226101</v>
      </c>
      <c r="AG5960" s="55" t="n">
        <f aca="false">AE5960+ROW()*0.000000001</f>
        <v>43.7131364424562</v>
      </c>
    </row>
    <row r="5961" customFormat="false" ht="15" hidden="false" customHeight="false" outlineLevel="0" collapsed="false">
      <c r="A5961" s="0" t="n">
        <v>8</v>
      </c>
      <c r="B5961" s="0" t="n">
        <v>1</v>
      </c>
      <c r="C5961" s="0" t="n">
        <v>4</v>
      </c>
      <c r="D5961" s="0" t="n">
        <v>7</v>
      </c>
      <c r="E5961" s="0" t="n">
        <f aca="false">-1+A5961*0.25</f>
        <v>1</v>
      </c>
      <c r="F5961" s="0" t="n">
        <f aca="false">-1+B5961*0.25</f>
        <v>-0.75</v>
      </c>
      <c r="G5961" s="0" t="n">
        <f aca="false">-1+C5961*0.25</f>
        <v>0</v>
      </c>
      <c r="H5961" s="0" t="n">
        <f aca="false">-1+D5961*0.25</f>
        <v>0.75</v>
      </c>
      <c r="I5961" s="0" t="n">
        <f aca="false">1</f>
        <v>1</v>
      </c>
      <c r="J5961" s="0" t="n">
        <f aca="false">E5961</f>
        <v>1</v>
      </c>
      <c r="K5961" s="0" t="n">
        <f aca="false">F5961</f>
        <v>-0.75</v>
      </c>
      <c r="L5961" s="0" t="n">
        <f aca="false">G5961</f>
        <v>0</v>
      </c>
      <c r="M5961" s="0" t="n">
        <f aca="false">H5961</f>
        <v>0.75</v>
      </c>
      <c r="N5961" s="0" t="n">
        <f aca="false">E5961*F5961</f>
        <v>-0.75</v>
      </c>
      <c r="O5961" s="0" t="n">
        <f aca="false">E5961*G5961</f>
        <v>0</v>
      </c>
      <c r="P5961" s="0" t="n">
        <f aca="false">E5961*H5961</f>
        <v>0.75</v>
      </c>
      <c r="Q5961" s="0" t="n">
        <f aca="false">F5961*G5961</f>
        <v>-0</v>
      </c>
      <c r="R5961" s="0" t="n">
        <f aca="false">F5961*H5961</f>
        <v>-0.5625</v>
      </c>
      <c r="S5961" s="0" t="n">
        <f aca="false">G5961*H5961</f>
        <v>0</v>
      </c>
      <c r="T5961" s="0" t="n">
        <f aca="false">E5961*E5961</f>
        <v>1</v>
      </c>
      <c r="U5961" s="0" t="n">
        <f aca="false">F5961*F5961</f>
        <v>0.5625</v>
      </c>
      <c r="V5961" s="0" t="n">
        <f aca="false">G5961*G5961</f>
        <v>0</v>
      </c>
      <c r="W5961" s="0" t="n">
        <f aca="false">H5961*H5961</f>
        <v>0.5625</v>
      </c>
      <c r="X5961" s="0" t="n">
        <f aca="false">SUMPRODUCT(I5961:W5961,_XtX!$B$96:$P$96)</f>
        <v>43.7660955774854</v>
      </c>
      <c r="Y5961" s="0" t="n">
        <f aca="false">SUMPRODUCT(MMULT(I5961:W5961,_XtX!$B$78:$P$92),I5961:W5961)</f>
        <v>0.494259126005117</v>
      </c>
      <c r="Z5961" s="0" t="n">
        <f aca="false">04_回帰ANOVA!$K$19*04_回帰ANOVA!$K$14*SQRT(1+Y5961)</f>
        <v>1.59335061078203</v>
      </c>
      <c r="AA5961" s="0" t="n">
        <f aca="false">X5961-Z5961</f>
        <v>42.1727449667034</v>
      </c>
      <c r="AB5961" s="0" t="n">
        <f aca="false">X5961+Z5961</f>
        <v>45.3594461882675</v>
      </c>
      <c r="AC5961" s="54" t="b">
        <f aca="false">AND(E5961&gt;=01_因子設定!$L$5-0.000000001,E5961&lt;=01_因子設定!$M$5+0.000000001,F5961&gt;=01_因子設定!$L$6-0.000000001,F5961&lt;=01_因子設定!$M$6+0.000000001,G5961&gt;=01_因子設定!$L$7-0.000000001,G5961&lt;=01_因子設定!$M$7+0.000000001,H5961&gt;=01_因子設定!$L$8-0.000000001,H5961&lt;=01_因子設定!$M$8+0.000000001,IF(01_因子設定!$B$20="Box-Behnken",E5961^2+F5961^2+G5961^2+H5961^2&lt;=2+0.000000001,TRUE()))</f>
        <v>1</v>
      </c>
      <c r="AD5961" s="55" t="n">
        <f aca="false">IF(AC5961,IF(01_因子設定!$B$13="最大化",AA5961-01_因子設定!$B$14,IF(01_因子設定!$B$13="最小化",01_因子設定!$B$15-AB5961,MIN(AA5961-01_因子設定!$B$14,01_因子設定!$B$15-AB5961))),-1E+030)</f>
        <v>-4.3272550332966</v>
      </c>
      <c r="AE5961" s="55" t="n">
        <f aca="false">IF(AC5961,IF(01_因子設定!$B$13="最大化",X5961,IF(01_因子設定!$B$13="最小化",-X5961,-ABS(X5961-01_因子設定!$B$16))),-1E+030)</f>
        <v>43.7660955774854</v>
      </c>
      <c r="AF5961" s="55" t="n">
        <f aca="false">AD5961+ROW()*0.000000001</f>
        <v>-4.3272490722966</v>
      </c>
      <c r="AG5961" s="55" t="n">
        <f aca="false">AE5961+ROW()*0.000000001</f>
        <v>43.7661015384854</v>
      </c>
    </row>
    <row r="5962" customFormat="false" ht="15" hidden="false" customHeight="false" outlineLevel="0" collapsed="false">
      <c r="A5962" s="0" t="n">
        <v>8</v>
      </c>
      <c r="B5962" s="0" t="n">
        <v>1</v>
      </c>
      <c r="C5962" s="0" t="n">
        <v>4</v>
      </c>
      <c r="D5962" s="0" t="n">
        <v>8</v>
      </c>
      <c r="E5962" s="0" t="n">
        <f aca="false">-1+A5962*0.25</f>
        <v>1</v>
      </c>
      <c r="F5962" s="0" t="n">
        <f aca="false">-1+B5962*0.25</f>
        <v>-0.75</v>
      </c>
      <c r="G5962" s="0" t="n">
        <f aca="false">-1+C5962*0.25</f>
        <v>0</v>
      </c>
      <c r="H5962" s="0" t="n">
        <f aca="false">-1+D5962*0.25</f>
        <v>1</v>
      </c>
      <c r="I5962" s="0" t="n">
        <f aca="false">1</f>
        <v>1</v>
      </c>
      <c r="J5962" s="0" t="n">
        <f aca="false">E5962</f>
        <v>1</v>
      </c>
      <c r="K5962" s="0" t="n">
        <f aca="false">F5962</f>
        <v>-0.75</v>
      </c>
      <c r="L5962" s="0" t="n">
        <f aca="false">G5962</f>
        <v>0</v>
      </c>
      <c r="M5962" s="0" t="n">
        <f aca="false">H5962</f>
        <v>1</v>
      </c>
      <c r="N5962" s="0" t="n">
        <f aca="false">E5962*F5962</f>
        <v>-0.75</v>
      </c>
      <c r="O5962" s="0" t="n">
        <f aca="false">E5962*G5962</f>
        <v>0</v>
      </c>
      <c r="P5962" s="0" t="n">
        <f aca="false">E5962*H5962</f>
        <v>1</v>
      </c>
      <c r="Q5962" s="0" t="n">
        <f aca="false">F5962*G5962</f>
        <v>-0</v>
      </c>
      <c r="R5962" s="0" t="n">
        <f aca="false">F5962*H5962</f>
        <v>-0.75</v>
      </c>
      <c r="S5962" s="0" t="n">
        <f aca="false">G5962*H5962</f>
        <v>0</v>
      </c>
      <c r="T5962" s="0" t="n">
        <f aca="false">E5962*E5962</f>
        <v>1</v>
      </c>
      <c r="U5962" s="0" t="n">
        <f aca="false">F5962*F5962</f>
        <v>0.5625</v>
      </c>
      <c r="V5962" s="0" t="n">
        <f aca="false">G5962*G5962</f>
        <v>0</v>
      </c>
      <c r="W5962" s="0" t="n">
        <f aca="false">H5962*H5962</f>
        <v>1</v>
      </c>
      <c r="X5962" s="0" t="n">
        <f aca="false">SUMPRODUCT(I5962:W5962,_XtX!$B$96:$P$96)</f>
        <v>43.7712536549708</v>
      </c>
      <c r="Y5962" s="0" t="n">
        <f aca="false">SUMPRODUCT(MMULT(I5962:W5962,_XtX!$B$78:$P$92),I5962:W5962)</f>
        <v>0.646198830409357</v>
      </c>
      <c r="Z5962" s="0" t="n">
        <f aca="false">04_回帰ANOVA!$K$19*04_回帰ANOVA!$K$14*SQRT(1+Y5962)</f>
        <v>1.67239760569756</v>
      </c>
      <c r="AA5962" s="0" t="n">
        <f aca="false">X5962-Z5962</f>
        <v>42.0988560492733</v>
      </c>
      <c r="AB5962" s="0" t="n">
        <f aca="false">X5962+Z5962</f>
        <v>45.4436512606684</v>
      </c>
      <c r="AC5962" s="54" t="b">
        <f aca="false">AND(E5962&gt;=01_因子設定!$L$5-0.000000001,E5962&lt;=01_因子設定!$M$5+0.000000001,F5962&gt;=01_因子設定!$L$6-0.000000001,F5962&lt;=01_因子設定!$M$6+0.000000001,G5962&gt;=01_因子設定!$L$7-0.000000001,G5962&lt;=01_因子設定!$M$7+0.000000001,H5962&gt;=01_因子設定!$L$8-0.000000001,H5962&lt;=01_因子設定!$M$8+0.000000001,IF(01_因子設定!$B$20="Box-Behnken",E5962^2+F5962^2+G5962^2+H5962^2&lt;=2+0.000000001,TRUE()))</f>
        <v>1</v>
      </c>
      <c r="AD5962" s="55" t="n">
        <f aca="false">IF(AC5962,IF(01_因子設定!$B$13="最大化",AA5962-01_因子設定!$B$14,IF(01_因子設定!$B$13="最小化",01_因子設定!$B$15-AB5962,MIN(AA5962-01_因子設定!$B$14,01_因子設定!$B$15-AB5962))),-1E+030)</f>
        <v>-4.40114395072673</v>
      </c>
      <c r="AE5962" s="55" t="n">
        <f aca="false">IF(AC5962,IF(01_因子設定!$B$13="最大化",X5962,IF(01_因子設定!$B$13="最小化",-X5962,-ABS(X5962-01_因子設定!$B$16))),-1E+030)</f>
        <v>43.7712536549708</v>
      </c>
      <c r="AF5962" s="55" t="n">
        <f aca="false">AD5962+ROW()*0.000000001</f>
        <v>-4.40113798872673</v>
      </c>
      <c r="AG5962" s="55" t="n">
        <f aca="false">AE5962+ROW()*0.000000001</f>
        <v>43.7712596169708</v>
      </c>
    </row>
    <row r="5963" customFormat="false" ht="15" hidden="false" customHeight="false" outlineLevel="0" collapsed="false">
      <c r="A5963" s="0" t="n">
        <v>8</v>
      </c>
      <c r="B5963" s="0" t="n">
        <v>1</v>
      </c>
      <c r="C5963" s="0" t="n">
        <v>5</v>
      </c>
      <c r="D5963" s="0" t="n">
        <v>0</v>
      </c>
      <c r="E5963" s="0" t="n">
        <f aca="false">-1+A5963*0.25</f>
        <v>1</v>
      </c>
      <c r="F5963" s="0" t="n">
        <f aca="false">-1+B5963*0.25</f>
        <v>-0.75</v>
      </c>
      <c r="G5963" s="0" t="n">
        <f aca="false">-1+C5963*0.25</f>
        <v>0.25</v>
      </c>
      <c r="H5963" s="0" t="n">
        <f aca="false">-1+D5963*0.25</f>
        <v>-1</v>
      </c>
      <c r="I5963" s="0" t="n">
        <f aca="false">1</f>
        <v>1</v>
      </c>
      <c r="J5963" s="0" t="n">
        <f aca="false">E5963</f>
        <v>1</v>
      </c>
      <c r="K5963" s="0" t="n">
        <f aca="false">F5963</f>
        <v>-0.75</v>
      </c>
      <c r="L5963" s="0" t="n">
        <f aca="false">G5963</f>
        <v>0.25</v>
      </c>
      <c r="M5963" s="0" t="n">
        <f aca="false">H5963</f>
        <v>-1</v>
      </c>
      <c r="N5963" s="0" t="n">
        <f aca="false">E5963*F5963</f>
        <v>-0.75</v>
      </c>
      <c r="O5963" s="0" t="n">
        <f aca="false">E5963*G5963</f>
        <v>0.25</v>
      </c>
      <c r="P5963" s="0" t="n">
        <f aca="false">E5963*H5963</f>
        <v>-1</v>
      </c>
      <c r="Q5963" s="0" t="n">
        <f aca="false">F5963*G5963</f>
        <v>-0.1875</v>
      </c>
      <c r="R5963" s="0" t="n">
        <f aca="false">F5963*H5963</f>
        <v>0.75</v>
      </c>
      <c r="S5963" s="0" t="n">
        <f aca="false">G5963*H5963</f>
        <v>-0.25</v>
      </c>
      <c r="T5963" s="0" t="n">
        <f aca="false">E5963*E5963</f>
        <v>1</v>
      </c>
      <c r="U5963" s="0" t="n">
        <f aca="false">F5963*F5963</f>
        <v>0.5625</v>
      </c>
      <c r="V5963" s="0" t="n">
        <f aca="false">G5963*G5963</f>
        <v>0.0625</v>
      </c>
      <c r="W5963" s="0" t="n">
        <f aca="false">H5963*H5963</f>
        <v>1</v>
      </c>
      <c r="X5963" s="0" t="n">
        <f aca="false">SUMPRODUCT(I5963:W5963,_XtX!$B$96:$P$96)</f>
        <v>42.3016036184211</v>
      </c>
      <c r="Y5963" s="0" t="n">
        <f aca="false">SUMPRODUCT(MMULT(I5963:W5963,_XtX!$B$78:$P$92),I5963:W5963)</f>
        <v>0.621372155975877</v>
      </c>
      <c r="Z5963" s="0" t="n">
        <f aca="false">04_回帰ANOVA!$K$19*04_回帰ANOVA!$K$14*SQRT(1+Y5963)</f>
        <v>1.65973880499872</v>
      </c>
      <c r="AA5963" s="0" t="n">
        <f aca="false">X5963-Z5963</f>
        <v>40.6418648134224</v>
      </c>
      <c r="AB5963" s="0" t="n">
        <f aca="false">X5963+Z5963</f>
        <v>43.9613424234198</v>
      </c>
      <c r="AC5963" s="54" t="b">
        <f aca="false">AND(E5963&gt;=01_因子設定!$L$5-0.000000001,E5963&lt;=01_因子設定!$M$5+0.000000001,F5963&gt;=01_因子設定!$L$6-0.000000001,F5963&lt;=01_因子設定!$M$6+0.000000001,G5963&gt;=01_因子設定!$L$7-0.000000001,G5963&lt;=01_因子設定!$M$7+0.000000001,H5963&gt;=01_因子設定!$L$8-0.000000001,H5963&lt;=01_因子設定!$M$8+0.000000001,IF(01_因子設定!$B$20="Box-Behnken",E5963^2+F5963^2+G5963^2+H5963^2&lt;=2+0.000000001,TRUE()))</f>
        <v>1</v>
      </c>
      <c r="AD5963" s="55" t="n">
        <f aca="false">IF(AC5963,IF(01_因子設定!$B$13="最大化",AA5963-01_因子設定!$B$14,IF(01_因子設定!$B$13="最小化",01_因子設定!$B$15-AB5963,MIN(AA5963-01_因子設定!$B$14,01_因子設定!$B$15-AB5963))),-1E+030)</f>
        <v>-5.85813518657761</v>
      </c>
      <c r="AE5963" s="55" t="n">
        <f aca="false">IF(AC5963,IF(01_因子設定!$B$13="最大化",X5963,IF(01_因子設定!$B$13="最小化",-X5963,-ABS(X5963-01_因子設定!$B$16))),-1E+030)</f>
        <v>42.3016036184211</v>
      </c>
      <c r="AF5963" s="55" t="n">
        <f aca="false">AD5963+ROW()*0.000000001</f>
        <v>-5.85812922357761</v>
      </c>
      <c r="AG5963" s="55" t="n">
        <f aca="false">AE5963+ROW()*0.000000001</f>
        <v>42.3016095814211</v>
      </c>
    </row>
    <row r="5964" customFormat="false" ht="15" hidden="false" customHeight="false" outlineLevel="0" collapsed="false">
      <c r="A5964" s="0" t="n">
        <v>8</v>
      </c>
      <c r="B5964" s="0" t="n">
        <v>1</v>
      </c>
      <c r="C5964" s="0" t="n">
        <v>5</v>
      </c>
      <c r="D5964" s="0" t="n">
        <v>1</v>
      </c>
      <c r="E5964" s="0" t="n">
        <f aca="false">-1+A5964*0.25</f>
        <v>1</v>
      </c>
      <c r="F5964" s="0" t="n">
        <f aca="false">-1+B5964*0.25</f>
        <v>-0.75</v>
      </c>
      <c r="G5964" s="0" t="n">
        <f aca="false">-1+C5964*0.25</f>
        <v>0.25</v>
      </c>
      <c r="H5964" s="0" t="n">
        <f aca="false">-1+D5964*0.25</f>
        <v>-0.75</v>
      </c>
      <c r="I5964" s="0" t="n">
        <f aca="false">1</f>
        <v>1</v>
      </c>
      <c r="J5964" s="0" t="n">
        <f aca="false">E5964</f>
        <v>1</v>
      </c>
      <c r="K5964" s="0" t="n">
        <f aca="false">F5964</f>
        <v>-0.75</v>
      </c>
      <c r="L5964" s="0" t="n">
        <f aca="false">G5964</f>
        <v>0.25</v>
      </c>
      <c r="M5964" s="0" t="n">
        <f aca="false">H5964</f>
        <v>-0.75</v>
      </c>
      <c r="N5964" s="0" t="n">
        <f aca="false">E5964*F5964</f>
        <v>-0.75</v>
      </c>
      <c r="O5964" s="0" t="n">
        <f aca="false">E5964*G5964</f>
        <v>0.25</v>
      </c>
      <c r="P5964" s="0" t="n">
        <f aca="false">E5964*H5964</f>
        <v>-0.75</v>
      </c>
      <c r="Q5964" s="0" t="n">
        <f aca="false">F5964*G5964</f>
        <v>-0.1875</v>
      </c>
      <c r="R5964" s="0" t="n">
        <f aca="false">F5964*H5964</f>
        <v>0.5625</v>
      </c>
      <c r="S5964" s="0" t="n">
        <f aca="false">G5964*H5964</f>
        <v>-0.1875</v>
      </c>
      <c r="T5964" s="0" t="n">
        <f aca="false">E5964*E5964</f>
        <v>1</v>
      </c>
      <c r="U5964" s="0" t="n">
        <f aca="false">F5964*F5964</f>
        <v>0.5625</v>
      </c>
      <c r="V5964" s="0" t="n">
        <f aca="false">G5964*G5964</f>
        <v>0.0625</v>
      </c>
      <c r="W5964" s="0" t="n">
        <f aca="false">H5964*H5964</f>
        <v>0.5625</v>
      </c>
      <c r="X5964" s="0" t="n">
        <f aca="false">SUMPRODUCT(I5964:W5964,_XtX!$B$96:$P$96)</f>
        <v>42.6593795687135</v>
      </c>
      <c r="Y5964" s="0" t="n">
        <f aca="false">SUMPRODUCT(MMULT(I5964:W5964,_XtX!$B$78:$P$92),I5964:W5964)</f>
        <v>0.473959761056287</v>
      </c>
      <c r="Z5964" s="0" t="n">
        <f aca="false">04_回帰ANOVA!$K$19*04_回帰ANOVA!$K$14*SQRT(1+Y5964)</f>
        <v>1.58249084588329</v>
      </c>
      <c r="AA5964" s="0" t="n">
        <f aca="false">X5964-Z5964</f>
        <v>41.0768887228302</v>
      </c>
      <c r="AB5964" s="0" t="n">
        <f aca="false">X5964+Z5964</f>
        <v>44.2418704145968</v>
      </c>
      <c r="AC5964" s="54" t="b">
        <f aca="false">AND(E5964&gt;=01_因子設定!$L$5-0.000000001,E5964&lt;=01_因子設定!$M$5+0.000000001,F5964&gt;=01_因子設定!$L$6-0.000000001,F5964&lt;=01_因子設定!$M$6+0.000000001,G5964&gt;=01_因子設定!$L$7-0.000000001,G5964&lt;=01_因子設定!$M$7+0.000000001,H5964&gt;=01_因子設定!$L$8-0.000000001,H5964&lt;=01_因子設定!$M$8+0.000000001,IF(01_因子設定!$B$20="Box-Behnken",E5964^2+F5964^2+G5964^2+H5964^2&lt;=2+0.000000001,TRUE()))</f>
        <v>1</v>
      </c>
      <c r="AD5964" s="55" t="n">
        <f aca="false">IF(AC5964,IF(01_因子設定!$B$13="最大化",AA5964-01_因子設定!$B$14,IF(01_因子設定!$B$13="最小化",01_因子設定!$B$15-AB5964,MIN(AA5964-01_因子設定!$B$14,01_因子設定!$B$15-AB5964))),-1E+030)</f>
        <v>-5.42311127716979</v>
      </c>
      <c r="AE5964" s="55" t="n">
        <f aca="false">IF(AC5964,IF(01_因子設定!$B$13="最大化",X5964,IF(01_因子設定!$B$13="最小化",-X5964,-ABS(X5964-01_因子設定!$B$16))),-1E+030)</f>
        <v>42.6593795687135</v>
      </c>
      <c r="AF5964" s="55" t="n">
        <f aca="false">AD5964+ROW()*0.000000001</f>
        <v>-5.42310531316979</v>
      </c>
      <c r="AG5964" s="55" t="n">
        <f aca="false">AE5964+ROW()*0.000000001</f>
        <v>42.6593855327135</v>
      </c>
    </row>
    <row r="5965" customFormat="false" ht="15" hidden="false" customHeight="false" outlineLevel="0" collapsed="false">
      <c r="A5965" s="0" t="n">
        <v>8</v>
      </c>
      <c r="B5965" s="0" t="n">
        <v>1</v>
      </c>
      <c r="C5965" s="0" t="n">
        <v>5</v>
      </c>
      <c r="D5965" s="0" t="n">
        <v>2</v>
      </c>
      <c r="E5965" s="0" t="n">
        <f aca="false">-1+A5965*0.25</f>
        <v>1</v>
      </c>
      <c r="F5965" s="0" t="n">
        <f aca="false">-1+B5965*0.25</f>
        <v>-0.75</v>
      </c>
      <c r="G5965" s="0" t="n">
        <f aca="false">-1+C5965*0.25</f>
        <v>0.25</v>
      </c>
      <c r="H5965" s="0" t="n">
        <f aca="false">-1+D5965*0.25</f>
        <v>-0.5</v>
      </c>
      <c r="I5965" s="0" t="n">
        <f aca="false">1</f>
        <v>1</v>
      </c>
      <c r="J5965" s="0" t="n">
        <f aca="false">E5965</f>
        <v>1</v>
      </c>
      <c r="K5965" s="0" t="n">
        <f aca="false">F5965</f>
        <v>-0.75</v>
      </c>
      <c r="L5965" s="0" t="n">
        <f aca="false">G5965</f>
        <v>0.25</v>
      </c>
      <c r="M5965" s="0" t="n">
        <f aca="false">H5965</f>
        <v>-0.5</v>
      </c>
      <c r="N5965" s="0" t="n">
        <f aca="false">E5965*F5965</f>
        <v>-0.75</v>
      </c>
      <c r="O5965" s="0" t="n">
        <f aca="false">E5965*G5965</f>
        <v>0.25</v>
      </c>
      <c r="P5965" s="0" t="n">
        <f aca="false">E5965*H5965</f>
        <v>-0.5</v>
      </c>
      <c r="Q5965" s="0" t="n">
        <f aca="false">F5965*G5965</f>
        <v>-0.1875</v>
      </c>
      <c r="R5965" s="0" t="n">
        <f aca="false">F5965*H5965</f>
        <v>0.375</v>
      </c>
      <c r="S5965" s="0" t="n">
        <f aca="false">G5965*H5965</f>
        <v>-0.125</v>
      </c>
      <c r="T5965" s="0" t="n">
        <f aca="false">E5965*E5965</f>
        <v>1</v>
      </c>
      <c r="U5965" s="0" t="n">
        <f aca="false">F5965*F5965</f>
        <v>0.5625</v>
      </c>
      <c r="V5965" s="0" t="n">
        <f aca="false">G5965*G5965</f>
        <v>0.0625</v>
      </c>
      <c r="W5965" s="0" t="n">
        <f aca="false">H5965*H5965</f>
        <v>0.25</v>
      </c>
      <c r="X5965" s="0" t="n">
        <f aca="false">SUMPRODUCT(I5965:W5965,_XtX!$B$96:$P$96)</f>
        <v>42.969348501462</v>
      </c>
      <c r="Y5965" s="0" t="n">
        <f aca="false">SUMPRODUCT(MMULT(I5965:W5965,_XtX!$B$78:$P$92),I5965:W5965)</f>
        <v>0.459125719572369</v>
      </c>
      <c r="Z5965" s="0" t="n">
        <f aca="false">04_回帰ANOVA!$K$19*04_回帰ANOVA!$K$14*SQRT(1+Y5965)</f>
        <v>1.57450755575573</v>
      </c>
      <c r="AA5965" s="0" t="n">
        <f aca="false">X5965-Z5965</f>
        <v>41.3948409457063</v>
      </c>
      <c r="AB5965" s="0" t="n">
        <f aca="false">X5965+Z5965</f>
        <v>44.5438560572178</v>
      </c>
      <c r="AC5965" s="54" t="b">
        <f aca="false">AND(E5965&gt;=01_因子設定!$L$5-0.000000001,E5965&lt;=01_因子設定!$M$5+0.000000001,F5965&gt;=01_因子設定!$L$6-0.000000001,F5965&lt;=01_因子設定!$M$6+0.000000001,G5965&gt;=01_因子設定!$L$7-0.000000001,G5965&lt;=01_因子設定!$M$7+0.000000001,H5965&gt;=01_因子設定!$L$8-0.000000001,H5965&lt;=01_因子設定!$M$8+0.000000001,IF(01_因子設定!$B$20="Box-Behnken",E5965^2+F5965^2+G5965^2+H5965^2&lt;=2+0.000000001,TRUE()))</f>
        <v>1</v>
      </c>
      <c r="AD5965" s="55" t="n">
        <f aca="false">IF(AC5965,IF(01_因子設定!$B$13="最大化",AA5965-01_因子設定!$B$14,IF(01_因子設定!$B$13="最小化",01_因子設定!$B$15-AB5965,MIN(AA5965-01_因子設定!$B$14,01_因子設定!$B$15-AB5965))),-1E+030)</f>
        <v>-5.10515905429371</v>
      </c>
      <c r="AE5965" s="55" t="n">
        <f aca="false">IF(AC5965,IF(01_因子設定!$B$13="最大化",X5965,IF(01_因子設定!$B$13="最小化",-X5965,-ABS(X5965-01_因子設定!$B$16))),-1E+030)</f>
        <v>42.969348501462</v>
      </c>
      <c r="AF5965" s="55" t="n">
        <f aca="false">AD5965+ROW()*0.000000001</f>
        <v>-5.10515308929371</v>
      </c>
      <c r="AG5965" s="55" t="n">
        <f aca="false">AE5965+ROW()*0.000000001</f>
        <v>42.969354466462</v>
      </c>
    </row>
    <row r="5966" customFormat="false" ht="15" hidden="false" customHeight="false" outlineLevel="0" collapsed="false">
      <c r="A5966" s="0" t="n">
        <v>8</v>
      </c>
      <c r="B5966" s="0" t="n">
        <v>1</v>
      </c>
      <c r="C5966" s="0" t="n">
        <v>5</v>
      </c>
      <c r="D5966" s="0" t="n">
        <v>3</v>
      </c>
      <c r="E5966" s="0" t="n">
        <f aca="false">-1+A5966*0.25</f>
        <v>1</v>
      </c>
      <c r="F5966" s="0" t="n">
        <f aca="false">-1+B5966*0.25</f>
        <v>-0.75</v>
      </c>
      <c r="G5966" s="0" t="n">
        <f aca="false">-1+C5966*0.25</f>
        <v>0.25</v>
      </c>
      <c r="H5966" s="0" t="n">
        <f aca="false">-1+D5966*0.25</f>
        <v>-0.25</v>
      </c>
      <c r="I5966" s="0" t="n">
        <f aca="false">1</f>
        <v>1</v>
      </c>
      <c r="J5966" s="0" t="n">
        <f aca="false">E5966</f>
        <v>1</v>
      </c>
      <c r="K5966" s="0" t="n">
        <f aca="false">F5966</f>
        <v>-0.75</v>
      </c>
      <c r="L5966" s="0" t="n">
        <f aca="false">G5966</f>
        <v>0.25</v>
      </c>
      <c r="M5966" s="0" t="n">
        <f aca="false">H5966</f>
        <v>-0.25</v>
      </c>
      <c r="N5966" s="0" t="n">
        <f aca="false">E5966*F5966</f>
        <v>-0.75</v>
      </c>
      <c r="O5966" s="0" t="n">
        <f aca="false">E5966*G5966</f>
        <v>0.25</v>
      </c>
      <c r="P5966" s="0" t="n">
        <f aca="false">E5966*H5966</f>
        <v>-0.25</v>
      </c>
      <c r="Q5966" s="0" t="n">
        <f aca="false">F5966*G5966</f>
        <v>-0.1875</v>
      </c>
      <c r="R5966" s="0" t="n">
        <f aca="false">F5966*H5966</f>
        <v>0.1875</v>
      </c>
      <c r="S5966" s="0" t="n">
        <f aca="false">G5966*H5966</f>
        <v>-0.0625</v>
      </c>
      <c r="T5966" s="0" t="n">
        <f aca="false">E5966*E5966</f>
        <v>1</v>
      </c>
      <c r="U5966" s="0" t="n">
        <f aca="false">F5966*F5966</f>
        <v>0.5625</v>
      </c>
      <c r="V5966" s="0" t="n">
        <f aca="false">G5966*G5966</f>
        <v>0.0625</v>
      </c>
      <c r="W5966" s="0" t="n">
        <f aca="false">H5966*H5966</f>
        <v>0.0625</v>
      </c>
      <c r="X5966" s="0" t="n">
        <f aca="false">SUMPRODUCT(I5966:W5966,_XtX!$B$96:$P$96)</f>
        <v>43.2315104166667</v>
      </c>
      <c r="Y5966" s="0" t="n">
        <f aca="false">SUMPRODUCT(MMULT(I5966:W5966,_XtX!$B$78:$P$92),I5966:W5966)</f>
        <v>0.486409505208334</v>
      </c>
      <c r="Z5966" s="0" t="n">
        <f aca="false">04_回帰ANOVA!$K$19*04_回帰ANOVA!$K$14*SQRT(1+Y5966)</f>
        <v>1.58916001665498</v>
      </c>
      <c r="AA5966" s="0" t="n">
        <f aca="false">X5966-Z5966</f>
        <v>41.6423504000117</v>
      </c>
      <c r="AB5966" s="0" t="n">
        <f aca="false">X5966+Z5966</f>
        <v>44.8206704333217</v>
      </c>
      <c r="AC5966" s="54" t="b">
        <f aca="false">AND(E5966&gt;=01_因子設定!$L$5-0.000000001,E5966&lt;=01_因子設定!$M$5+0.000000001,F5966&gt;=01_因子設定!$L$6-0.000000001,F5966&lt;=01_因子設定!$M$6+0.000000001,G5966&gt;=01_因子設定!$L$7-0.000000001,G5966&lt;=01_因子設定!$M$7+0.000000001,H5966&gt;=01_因子設定!$L$8-0.000000001,H5966&lt;=01_因子設定!$M$8+0.000000001,IF(01_因子設定!$B$20="Box-Behnken",E5966^2+F5966^2+G5966^2+H5966^2&lt;=2+0.000000001,TRUE()))</f>
        <v>1</v>
      </c>
      <c r="AD5966" s="55" t="n">
        <f aca="false">IF(AC5966,IF(01_因子設定!$B$13="最大化",AA5966-01_因子設定!$B$14,IF(01_因子設定!$B$13="最小化",01_因子設定!$B$15-AB5966,MIN(AA5966-01_因子設定!$B$14,01_因子設定!$B$15-AB5966))),-1E+030)</f>
        <v>-4.85764959998829</v>
      </c>
      <c r="AE5966" s="55" t="n">
        <f aca="false">IF(AC5966,IF(01_因子設定!$B$13="最大化",X5966,IF(01_因子設定!$B$13="最小化",-X5966,-ABS(X5966-01_因子設定!$B$16))),-1E+030)</f>
        <v>43.2315104166667</v>
      </c>
      <c r="AF5966" s="55" t="n">
        <f aca="false">AD5966+ROW()*0.000000001</f>
        <v>-4.85764363398829</v>
      </c>
      <c r="AG5966" s="55" t="n">
        <f aca="false">AE5966+ROW()*0.000000001</f>
        <v>43.2315163826667</v>
      </c>
    </row>
    <row r="5967" customFormat="false" ht="15" hidden="false" customHeight="false" outlineLevel="0" collapsed="false">
      <c r="A5967" s="0" t="n">
        <v>8</v>
      </c>
      <c r="B5967" s="0" t="n">
        <v>1</v>
      </c>
      <c r="C5967" s="0" t="n">
        <v>5</v>
      </c>
      <c r="D5967" s="0" t="n">
        <v>4</v>
      </c>
      <c r="E5967" s="0" t="n">
        <f aca="false">-1+A5967*0.25</f>
        <v>1</v>
      </c>
      <c r="F5967" s="0" t="n">
        <f aca="false">-1+B5967*0.25</f>
        <v>-0.75</v>
      </c>
      <c r="G5967" s="0" t="n">
        <f aca="false">-1+C5967*0.25</f>
        <v>0.25</v>
      </c>
      <c r="H5967" s="0" t="n">
        <f aca="false">-1+D5967*0.25</f>
        <v>0</v>
      </c>
      <c r="I5967" s="0" t="n">
        <f aca="false">1</f>
        <v>1</v>
      </c>
      <c r="J5967" s="0" t="n">
        <f aca="false">E5967</f>
        <v>1</v>
      </c>
      <c r="K5967" s="0" t="n">
        <f aca="false">F5967</f>
        <v>-0.75</v>
      </c>
      <c r="L5967" s="0" t="n">
        <f aca="false">G5967</f>
        <v>0.25</v>
      </c>
      <c r="M5967" s="0" t="n">
        <f aca="false">H5967</f>
        <v>0</v>
      </c>
      <c r="N5967" s="0" t="n">
        <f aca="false">E5967*F5967</f>
        <v>-0.75</v>
      </c>
      <c r="O5967" s="0" t="n">
        <f aca="false">E5967*G5967</f>
        <v>0.25</v>
      </c>
      <c r="P5967" s="0" t="n">
        <f aca="false">E5967*H5967</f>
        <v>0</v>
      </c>
      <c r="Q5967" s="0" t="n">
        <f aca="false">F5967*G5967</f>
        <v>-0.1875</v>
      </c>
      <c r="R5967" s="0" t="n">
        <f aca="false">F5967*H5967</f>
        <v>-0</v>
      </c>
      <c r="S5967" s="0" t="n">
        <f aca="false">G5967*H5967</f>
        <v>0</v>
      </c>
      <c r="T5967" s="0" t="n">
        <f aca="false">E5967*E5967</f>
        <v>1</v>
      </c>
      <c r="U5967" s="0" t="n">
        <f aca="false">F5967*F5967</f>
        <v>0.5625</v>
      </c>
      <c r="V5967" s="0" t="n">
        <f aca="false">G5967*G5967</f>
        <v>0.0625</v>
      </c>
      <c r="W5967" s="0" t="n">
        <f aca="false">H5967*H5967</f>
        <v>0</v>
      </c>
      <c r="X5967" s="0" t="n">
        <f aca="false">SUMPRODUCT(I5967:W5967,_XtX!$B$96:$P$96)</f>
        <v>43.4458653143275</v>
      </c>
      <c r="Y5967" s="0" t="n">
        <f aca="false">SUMPRODUCT(MMULT(I5967:W5967,_XtX!$B$78:$P$92),I5967:W5967)</f>
        <v>0.501534802174708</v>
      </c>
      <c r="Z5967" s="0" t="n">
        <f aca="false">04_回帰ANOVA!$K$19*04_回帰ANOVA!$K$14*SQRT(1+Y5967)</f>
        <v>1.59722498091333</v>
      </c>
      <c r="AA5967" s="0" t="n">
        <f aca="false">X5967-Z5967</f>
        <v>41.8486403334142</v>
      </c>
      <c r="AB5967" s="0" t="n">
        <f aca="false">X5967+Z5967</f>
        <v>45.0430902952408</v>
      </c>
      <c r="AC5967" s="54" t="b">
        <f aca="false">AND(E5967&gt;=01_因子設定!$L$5-0.000000001,E5967&lt;=01_因子設定!$M$5+0.000000001,F5967&gt;=01_因子設定!$L$6-0.000000001,F5967&lt;=01_因子設定!$M$6+0.000000001,G5967&gt;=01_因子設定!$L$7-0.000000001,G5967&lt;=01_因子設定!$M$7+0.000000001,H5967&gt;=01_因子設定!$L$8-0.000000001,H5967&lt;=01_因子設定!$M$8+0.000000001,IF(01_因子設定!$B$20="Box-Behnken",E5967^2+F5967^2+G5967^2+H5967^2&lt;=2+0.000000001,TRUE()))</f>
        <v>1</v>
      </c>
      <c r="AD5967" s="55" t="n">
        <f aca="false">IF(AC5967,IF(01_因子設定!$B$13="最大化",AA5967-01_因子設定!$B$14,IF(01_因子設定!$B$13="最小化",01_因子設定!$B$15-AB5967,MIN(AA5967-01_因子設定!$B$14,01_因子設定!$B$15-AB5967))),-1E+030)</f>
        <v>-4.65135966658583</v>
      </c>
      <c r="AE5967" s="55" t="n">
        <f aca="false">IF(AC5967,IF(01_因子設定!$B$13="最大化",X5967,IF(01_因子設定!$B$13="最小化",-X5967,-ABS(X5967-01_因子設定!$B$16))),-1E+030)</f>
        <v>43.4458653143275</v>
      </c>
      <c r="AF5967" s="55" t="n">
        <f aca="false">AD5967+ROW()*0.000000001</f>
        <v>-4.65135369958583</v>
      </c>
      <c r="AG5967" s="55" t="n">
        <f aca="false">AE5967+ROW()*0.000000001</f>
        <v>43.4458712813275</v>
      </c>
    </row>
    <row r="5968" customFormat="false" ht="15" hidden="false" customHeight="false" outlineLevel="0" collapsed="false">
      <c r="A5968" s="0" t="n">
        <v>8</v>
      </c>
      <c r="B5968" s="0" t="n">
        <v>1</v>
      </c>
      <c r="C5968" s="0" t="n">
        <v>5</v>
      </c>
      <c r="D5968" s="0" t="n">
        <v>5</v>
      </c>
      <c r="E5968" s="0" t="n">
        <f aca="false">-1+A5968*0.25</f>
        <v>1</v>
      </c>
      <c r="F5968" s="0" t="n">
        <f aca="false">-1+B5968*0.25</f>
        <v>-0.75</v>
      </c>
      <c r="G5968" s="0" t="n">
        <f aca="false">-1+C5968*0.25</f>
        <v>0.25</v>
      </c>
      <c r="H5968" s="0" t="n">
        <f aca="false">-1+D5968*0.25</f>
        <v>0.25</v>
      </c>
      <c r="I5968" s="0" t="n">
        <f aca="false">1</f>
        <v>1</v>
      </c>
      <c r="J5968" s="0" t="n">
        <f aca="false">E5968</f>
        <v>1</v>
      </c>
      <c r="K5968" s="0" t="n">
        <f aca="false">F5968</f>
        <v>-0.75</v>
      </c>
      <c r="L5968" s="0" t="n">
        <f aca="false">G5968</f>
        <v>0.25</v>
      </c>
      <c r="M5968" s="0" t="n">
        <f aca="false">H5968</f>
        <v>0.25</v>
      </c>
      <c r="N5968" s="0" t="n">
        <f aca="false">E5968*F5968</f>
        <v>-0.75</v>
      </c>
      <c r="O5968" s="0" t="n">
        <f aca="false">E5968*G5968</f>
        <v>0.25</v>
      </c>
      <c r="P5968" s="0" t="n">
        <f aca="false">E5968*H5968</f>
        <v>0.25</v>
      </c>
      <c r="Q5968" s="0" t="n">
        <f aca="false">F5968*G5968</f>
        <v>-0.1875</v>
      </c>
      <c r="R5968" s="0" t="n">
        <f aca="false">F5968*H5968</f>
        <v>-0.1875</v>
      </c>
      <c r="S5968" s="0" t="n">
        <f aca="false">G5968*H5968</f>
        <v>0.0625</v>
      </c>
      <c r="T5968" s="0" t="n">
        <f aca="false">E5968*E5968</f>
        <v>1</v>
      </c>
      <c r="U5968" s="0" t="n">
        <f aca="false">F5968*F5968</f>
        <v>0.5625</v>
      </c>
      <c r="V5968" s="0" t="n">
        <f aca="false">G5968*G5968</f>
        <v>0.0625</v>
      </c>
      <c r="W5968" s="0" t="n">
        <f aca="false">H5968*H5968</f>
        <v>0.0625</v>
      </c>
      <c r="X5968" s="0" t="n">
        <f aca="false">SUMPRODUCT(I5968:W5968,_XtX!$B$96:$P$96)</f>
        <v>43.6124131944445</v>
      </c>
      <c r="Y5968" s="0" t="n">
        <f aca="false">SUMPRODUCT(MMULT(I5968:W5968,_XtX!$B$78:$P$92),I5968:W5968)</f>
        <v>0.486409505208334</v>
      </c>
      <c r="Z5968" s="0" t="n">
        <f aca="false">04_回帰ANOVA!$K$19*04_回帰ANOVA!$K$14*SQRT(1+Y5968)</f>
        <v>1.58916001665498</v>
      </c>
      <c r="AA5968" s="0" t="n">
        <f aca="false">X5968-Z5968</f>
        <v>42.0232531777895</v>
      </c>
      <c r="AB5968" s="0" t="n">
        <f aca="false">X5968+Z5968</f>
        <v>45.2015732110995</v>
      </c>
      <c r="AC5968" s="54" t="b">
        <f aca="false">AND(E5968&gt;=01_因子設定!$L$5-0.000000001,E5968&lt;=01_因子設定!$M$5+0.000000001,F5968&gt;=01_因子設定!$L$6-0.000000001,F5968&lt;=01_因子設定!$M$6+0.000000001,G5968&gt;=01_因子設定!$L$7-0.000000001,G5968&lt;=01_因子設定!$M$7+0.000000001,H5968&gt;=01_因子設定!$L$8-0.000000001,H5968&lt;=01_因子設定!$M$8+0.000000001,IF(01_因子設定!$B$20="Box-Behnken",E5968^2+F5968^2+G5968^2+H5968^2&lt;=2+0.000000001,TRUE()))</f>
        <v>1</v>
      </c>
      <c r="AD5968" s="55" t="n">
        <f aca="false">IF(AC5968,IF(01_因子設定!$B$13="最大化",AA5968-01_因子設定!$B$14,IF(01_因子設定!$B$13="最小化",01_因子設定!$B$15-AB5968,MIN(AA5968-01_因子設定!$B$14,01_因子設定!$B$15-AB5968))),-1E+030)</f>
        <v>-4.47674682221051</v>
      </c>
      <c r="AE5968" s="55" t="n">
        <f aca="false">IF(AC5968,IF(01_因子設定!$B$13="最大化",X5968,IF(01_因子設定!$B$13="最小化",-X5968,-ABS(X5968-01_因子設定!$B$16))),-1E+030)</f>
        <v>43.6124131944445</v>
      </c>
      <c r="AF5968" s="55" t="n">
        <f aca="false">AD5968+ROW()*0.000000001</f>
        <v>-4.47674085421051</v>
      </c>
      <c r="AG5968" s="55" t="n">
        <f aca="false">AE5968+ROW()*0.000000001</f>
        <v>43.6124191624445</v>
      </c>
    </row>
    <row r="5969" customFormat="false" ht="15" hidden="false" customHeight="false" outlineLevel="0" collapsed="false">
      <c r="A5969" s="0" t="n">
        <v>8</v>
      </c>
      <c r="B5969" s="0" t="n">
        <v>1</v>
      </c>
      <c r="C5969" s="0" t="n">
        <v>5</v>
      </c>
      <c r="D5969" s="0" t="n">
        <v>6</v>
      </c>
      <c r="E5969" s="0" t="n">
        <f aca="false">-1+A5969*0.25</f>
        <v>1</v>
      </c>
      <c r="F5969" s="0" t="n">
        <f aca="false">-1+B5969*0.25</f>
        <v>-0.75</v>
      </c>
      <c r="G5969" s="0" t="n">
        <f aca="false">-1+C5969*0.25</f>
        <v>0.25</v>
      </c>
      <c r="H5969" s="0" t="n">
        <f aca="false">-1+D5969*0.25</f>
        <v>0.5</v>
      </c>
      <c r="I5969" s="0" t="n">
        <f aca="false">1</f>
        <v>1</v>
      </c>
      <c r="J5969" s="0" t="n">
        <f aca="false">E5969</f>
        <v>1</v>
      </c>
      <c r="K5969" s="0" t="n">
        <f aca="false">F5969</f>
        <v>-0.75</v>
      </c>
      <c r="L5969" s="0" t="n">
        <f aca="false">G5969</f>
        <v>0.25</v>
      </c>
      <c r="M5969" s="0" t="n">
        <f aca="false">H5969</f>
        <v>0.5</v>
      </c>
      <c r="N5969" s="0" t="n">
        <f aca="false">E5969*F5969</f>
        <v>-0.75</v>
      </c>
      <c r="O5969" s="0" t="n">
        <f aca="false">E5969*G5969</f>
        <v>0.25</v>
      </c>
      <c r="P5969" s="0" t="n">
        <f aca="false">E5969*H5969</f>
        <v>0.5</v>
      </c>
      <c r="Q5969" s="0" t="n">
        <f aca="false">F5969*G5969</f>
        <v>-0.1875</v>
      </c>
      <c r="R5969" s="0" t="n">
        <f aca="false">F5969*H5969</f>
        <v>-0.375</v>
      </c>
      <c r="S5969" s="0" t="n">
        <f aca="false">G5969*H5969</f>
        <v>0.125</v>
      </c>
      <c r="T5969" s="0" t="n">
        <f aca="false">E5969*E5969</f>
        <v>1</v>
      </c>
      <c r="U5969" s="0" t="n">
        <f aca="false">F5969*F5969</f>
        <v>0.5625</v>
      </c>
      <c r="V5969" s="0" t="n">
        <f aca="false">G5969*G5969</f>
        <v>0.0625</v>
      </c>
      <c r="W5969" s="0" t="n">
        <f aca="false">H5969*H5969</f>
        <v>0.25</v>
      </c>
      <c r="X5969" s="0" t="n">
        <f aca="false">SUMPRODUCT(I5969:W5969,_XtX!$B$96:$P$96)</f>
        <v>43.7311540570176</v>
      </c>
      <c r="Y5969" s="0" t="n">
        <f aca="false">SUMPRODUCT(MMULT(I5969:W5969,_XtX!$B$78:$P$92),I5969:W5969)</f>
        <v>0.459125719572369</v>
      </c>
      <c r="Z5969" s="0" t="n">
        <f aca="false">04_回帰ANOVA!$K$19*04_回帰ANOVA!$K$14*SQRT(1+Y5969)</f>
        <v>1.57450755575573</v>
      </c>
      <c r="AA5969" s="0" t="n">
        <f aca="false">X5969-Z5969</f>
        <v>42.1566465012619</v>
      </c>
      <c r="AB5969" s="0" t="n">
        <f aca="false">X5969+Z5969</f>
        <v>45.3056616127733</v>
      </c>
      <c r="AC5969" s="54" t="b">
        <f aca="false">AND(E5969&gt;=01_因子設定!$L$5-0.000000001,E5969&lt;=01_因子設定!$M$5+0.000000001,F5969&gt;=01_因子設定!$L$6-0.000000001,F5969&lt;=01_因子設定!$M$6+0.000000001,G5969&gt;=01_因子設定!$L$7-0.000000001,G5969&lt;=01_因子設定!$M$7+0.000000001,H5969&gt;=01_因子設定!$L$8-0.000000001,H5969&lt;=01_因子設定!$M$8+0.000000001,IF(01_因子設定!$B$20="Box-Behnken",E5969^2+F5969^2+G5969^2+H5969^2&lt;=2+0.000000001,TRUE()))</f>
        <v>1</v>
      </c>
      <c r="AD5969" s="55" t="n">
        <f aca="false">IF(AC5969,IF(01_因子設定!$B$13="最大化",AA5969-01_因子設定!$B$14,IF(01_因子設定!$B$13="最小化",01_因子設定!$B$15-AB5969,MIN(AA5969-01_因子設定!$B$14,01_因子設定!$B$15-AB5969))),-1E+030)</f>
        <v>-4.34335349873815</v>
      </c>
      <c r="AE5969" s="55" t="n">
        <f aca="false">IF(AC5969,IF(01_因子設定!$B$13="最大化",X5969,IF(01_因子設定!$B$13="最小化",-X5969,-ABS(X5969-01_因子設定!$B$16))),-1E+030)</f>
        <v>43.7311540570176</v>
      </c>
      <c r="AF5969" s="55" t="n">
        <f aca="false">AD5969+ROW()*0.000000001</f>
        <v>-4.34334752973815</v>
      </c>
      <c r="AG5969" s="55" t="n">
        <f aca="false">AE5969+ROW()*0.000000001</f>
        <v>43.7311600260176</v>
      </c>
    </row>
    <row r="5970" customFormat="false" ht="15" hidden="false" customHeight="false" outlineLevel="0" collapsed="false">
      <c r="A5970" s="0" t="n">
        <v>8</v>
      </c>
      <c r="B5970" s="0" t="n">
        <v>1</v>
      </c>
      <c r="C5970" s="0" t="n">
        <v>5</v>
      </c>
      <c r="D5970" s="0" t="n">
        <v>7</v>
      </c>
      <c r="E5970" s="0" t="n">
        <f aca="false">-1+A5970*0.25</f>
        <v>1</v>
      </c>
      <c r="F5970" s="0" t="n">
        <f aca="false">-1+B5970*0.25</f>
        <v>-0.75</v>
      </c>
      <c r="G5970" s="0" t="n">
        <f aca="false">-1+C5970*0.25</f>
        <v>0.25</v>
      </c>
      <c r="H5970" s="0" t="n">
        <f aca="false">-1+D5970*0.25</f>
        <v>0.75</v>
      </c>
      <c r="I5970" s="0" t="n">
        <f aca="false">1</f>
        <v>1</v>
      </c>
      <c r="J5970" s="0" t="n">
        <f aca="false">E5970</f>
        <v>1</v>
      </c>
      <c r="K5970" s="0" t="n">
        <f aca="false">F5970</f>
        <v>-0.75</v>
      </c>
      <c r="L5970" s="0" t="n">
        <f aca="false">G5970</f>
        <v>0.25</v>
      </c>
      <c r="M5970" s="0" t="n">
        <f aca="false">H5970</f>
        <v>0.75</v>
      </c>
      <c r="N5970" s="0" t="n">
        <f aca="false">E5970*F5970</f>
        <v>-0.75</v>
      </c>
      <c r="O5970" s="0" t="n">
        <f aca="false">E5970*G5970</f>
        <v>0.25</v>
      </c>
      <c r="P5970" s="0" t="n">
        <f aca="false">E5970*H5970</f>
        <v>0.75</v>
      </c>
      <c r="Q5970" s="0" t="n">
        <f aca="false">F5970*G5970</f>
        <v>-0.1875</v>
      </c>
      <c r="R5970" s="0" t="n">
        <f aca="false">F5970*H5970</f>
        <v>-0.5625</v>
      </c>
      <c r="S5970" s="0" t="n">
        <f aca="false">G5970*H5970</f>
        <v>0.1875</v>
      </c>
      <c r="T5970" s="0" t="n">
        <f aca="false">E5970*E5970</f>
        <v>1</v>
      </c>
      <c r="U5970" s="0" t="n">
        <f aca="false">F5970*F5970</f>
        <v>0.5625</v>
      </c>
      <c r="V5970" s="0" t="n">
        <f aca="false">G5970*G5970</f>
        <v>0.0625</v>
      </c>
      <c r="W5970" s="0" t="n">
        <f aca="false">H5970*H5970</f>
        <v>0.5625</v>
      </c>
      <c r="X5970" s="0" t="n">
        <f aca="false">SUMPRODUCT(I5970:W5970,_XtX!$B$96:$P$96)</f>
        <v>43.8020879020468</v>
      </c>
      <c r="Y5970" s="0" t="n">
        <f aca="false">SUMPRODUCT(MMULT(I5970:W5970,_XtX!$B$78:$P$92),I5970:W5970)</f>
        <v>0.473959761056287</v>
      </c>
      <c r="Z5970" s="0" t="n">
        <f aca="false">04_回帰ANOVA!$K$19*04_回帰ANOVA!$K$14*SQRT(1+Y5970)</f>
        <v>1.58249084588329</v>
      </c>
      <c r="AA5970" s="0" t="n">
        <f aca="false">X5970-Z5970</f>
        <v>42.2195970561635</v>
      </c>
      <c r="AB5970" s="0" t="n">
        <f aca="false">X5970+Z5970</f>
        <v>45.3845787479301</v>
      </c>
      <c r="AC5970" s="54" t="b">
        <f aca="false">AND(E5970&gt;=01_因子設定!$L$5-0.000000001,E5970&lt;=01_因子設定!$M$5+0.000000001,F5970&gt;=01_因子設定!$L$6-0.000000001,F5970&lt;=01_因子設定!$M$6+0.000000001,G5970&gt;=01_因子設定!$L$7-0.000000001,G5970&lt;=01_因子設定!$M$7+0.000000001,H5970&gt;=01_因子設定!$L$8-0.000000001,H5970&lt;=01_因子設定!$M$8+0.000000001,IF(01_因子設定!$B$20="Box-Behnken",E5970^2+F5970^2+G5970^2+H5970^2&lt;=2+0.000000001,TRUE()))</f>
        <v>1</v>
      </c>
      <c r="AD5970" s="55" t="n">
        <f aca="false">IF(AC5970,IF(01_因子設定!$B$13="最大化",AA5970-01_因子設定!$B$14,IF(01_因子設定!$B$13="最小化",01_因子設定!$B$15-AB5970,MIN(AA5970-01_因子設定!$B$14,01_因子設定!$B$15-AB5970))),-1E+030)</f>
        <v>-4.28040294383646</v>
      </c>
      <c r="AE5970" s="55" t="n">
        <f aca="false">IF(AC5970,IF(01_因子設定!$B$13="最大化",X5970,IF(01_因子設定!$B$13="最小化",-X5970,-ABS(X5970-01_因子設定!$B$16))),-1E+030)</f>
        <v>43.8020879020468</v>
      </c>
      <c r="AF5970" s="55" t="n">
        <f aca="false">AD5970+ROW()*0.000000001</f>
        <v>-4.28039697383646</v>
      </c>
      <c r="AG5970" s="55" t="n">
        <f aca="false">AE5970+ROW()*0.000000001</f>
        <v>43.8020938720468</v>
      </c>
    </row>
    <row r="5971" customFormat="false" ht="15" hidden="false" customHeight="false" outlineLevel="0" collapsed="false">
      <c r="A5971" s="0" t="n">
        <v>8</v>
      </c>
      <c r="B5971" s="0" t="n">
        <v>1</v>
      </c>
      <c r="C5971" s="0" t="n">
        <v>5</v>
      </c>
      <c r="D5971" s="0" t="n">
        <v>8</v>
      </c>
      <c r="E5971" s="0" t="n">
        <f aca="false">-1+A5971*0.25</f>
        <v>1</v>
      </c>
      <c r="F5971" s="0" t="n">
        <f aca="false">-1+B5971*0.25</f>
        <v>-0.75</v>
      </c>
      <c r="G5971" s="0" t="n">
        <f aca="false">-1+C5971*0.25</f>
        <v>0.25</v>
      </c>
      <c r="H5971" s="0" t="n">
        <f aca="false">-1+D5971*0.25</f>
        <v>1</v>
      </c>
      <c r="I5971" s="0" t="n">
        <f aca="false">1</f>
        <v>1</v>
      </c>
      <c r="J5971" s="0" t="n">
        <f aca="false">E5971</f>
        <v>1</v>
      </c>
      <c r="K5971" s="0" t="n">
        <f aca="false">F5971</f>
        <v>-0.75</v>
      </c>
      <c r="L5971" s="0" t="n">
        <f aca="false">G5971</f>
        <v>0.25</v>
      </c>
      <c r="M5971" s="0" t="n">
        <f aca="false">H5971</f>
        <v>1</v>
      </c>
      <c r="N5971" s="0" t="n">
        <f aca="false">E5971*F5971</f>
        <v>-0.75</v>
      </c>
      <c r="O5971" s="0" t="n">
        <f aca="false">E5971*G5971</f>
        <v>0.25</v>
      </c>
      <c r="P5971" s="0" t="n">
        <f aca="false">E5971*H5971</f>
        <v>1</v>
      </c>
      <c r="Q5971" s="0" t="n">
        <f aca="false">F5971*G5971</f>
        <v>-0.1875</v>
      </c>
      <c r="R5971" s="0" t="n">
        <f aca="false">F5971*H5971</f>
        <v>-0.75</v>
      </c>
      <c r="S5971" s="0" t="n">
        <f aca="false">G5971*H5971</f>
        <v>0.25</v>
      </c>
      <c r="T5971" s="0" t="n">
        <f aca="false">E5971*E5971</f>
        <v>1</v>
      </c>
      <c r="U5971" s="0" t="n">
        <f aca="false">F5971*F5971</f>
        <v>0.5625</v>
      </c>
      <c r="V5971" s="0" t="n">
        <f aca="false">G5971*G5971</f>
        <v>0.0625</v>
      </c>
      <c r="W5971" s="0" t="n">
        <f aca="false">H5971*H5971</f>
        <v>1</v>
      </c>
      <c r="X5971" s="0" t="n">
        <f aca="false">SUMPRODUCT(I5971:W5971,_XtX!$B$96:$P$96)</f>
        <v>43.8252147295322</v>
      </c>
      <c r="Y5971" s="0" t="n">
        <f aca="false">SUMPRODUCT(MMULT(I5971:W5971,_XtX!$B$78:$P$92),I5971:W5971)</f>
        <v>0.621372155975877</v>
      </c>
      <c r="Z5971" s="0" t="n">
        <f aca="false">04_回帰ANOVA!$K$19*04_回帰ANOVA!$K$14*SQRT(1+Y5971)</f>
        <v>1.65973880499872</v>
      </c>
      <c r="AA5971" s="0" t="n">
        <f aca="false">X5971-Z5971</f>
        <v>42.1654759245335</v>
      </c>
      <c r="AB5971" s="0" t="n">
        <f aca="false">X5971+Z5971</f>
        <v>45.4849535345309</v>
      </c>
      <c r="AC5971" s="54" t="b">
        <f aca="false">AND(E5971&gt;=01_因子設定!$L$5-0.000000001,E5971&lt;=01_因子設定!$M$5+0.000000001,F5971&gt;=01_因子設定!$L$6-0.000000001,F5971&lt;=01_因子設定!$M$6+0.000000001,G5971&gt;=01_因子設定!$L$7-0.000000001,G5971&lt;=01_因子設定!$M$7+0.000000001,H5971&gt;=01_因子設定!$L$8-0.000000001,H5971&lt;=01_因子設定!$M$8+0.000000001,IF(01_因子設定!$B$20="Box-Behnken",E5971^2+F5971^2+G5971^2+H5971^2&lt;=2+0.000000001,TRUE()))</f>
        <v>1</v>
      </c>
      <c r="AD5971" s="55" t="n">
        <f aca="false">IF(AC5971,IF(01_因子設定!$B$13="最大化",AA5971-01_因子設定!$B$14,IF(01_因子設定!$B$13="最小化",01_因子設定!$B$15-AB5971,MIN(AA5971-01_因子設定!$B$14,01_因子設定!$B$15-AB5971))),-1E+030)</f>
        <v>-4.33452407546649</v>
      </c>
      <c r="AE5971" s="55" t="n">
        <f aca="false">IF(AC5971,IF(01_因子設定!$B$13="最大化",X5971,IF(01_因子設定!$B$13="最小化",-X5971,-ABS(X5971-01_因子設定!$B$16))),-1E+030)</f>
        <v>43.8252147295322</v>
      </c>
      <c r="AF5971" s="55" t="n">
        <f aca="false">AD5971+ROW()*0.000000001</f>
        <v>-4.33451810446649</v>
      </c>
      <c r="AG5971" s="55" t="n">
        <f aca="false">AE5971+ROW()*0.000000001</f>
        <v>43.8252207005322</v>
      </c>
    </row>
    <row r="5972" customFormat="false" ht="15" hidden="false" customHeight="false" outlineLevel="0" collapsed="false">
      <c r="A5972" s="0" t="n">
        <v>8</v>
      </c>
      <c r="B5972" s="0" t="n">
        <v>1</v>
      </c>
      <c r="C5972" s="0" t="n">
        <v>6</v>
      </c>
      <c r="D5972" s="0" t="n">
        <v>0</v>
      </c>
      <c r="E5972" s="0" t="n">
        <f aca="false">-1+A5972*0.25</f>
        <v>1</v>
      </c>
      <c r="F5972" s="0" t="n">
        <f aca="false">-1+B5972*0.25</f>
        <v>-0.75</v>
      </c>
      <c r="G5972" s="0" t="n">
        <f aca="false">-1+C5972*0.25</f>
        <v>0.5</v>
      </c>
      <c r="H5972" s="0" t="n">
        <f aca="false">-1+D5972*0.25</f>
        <v>-1</v>
      </c>
      <c r="I5972" s="0" t="n">
        <f aca="false">1</f>
        <v>1</v>
      </c>
      <c r="J5972" s="0" t="n">
        <f aca="false">E5972</f>
        <v>1</v>
      </c>
      <c r="K5972" s="0" t="n">
        <f aca="false">F5972</f>
        <v>-0.75</v>
      </c>
      <c r="L5972" s="0" t="n">
        <f aca="false">G5972</f>
        <v>0.5</v>
      </c>
      <c r="M5972" s="0" t="n">
        <f aca="false">H5972</f>
        <v>-1</v>
      </c>
      <c r="N5972" s="0" t="n">
        <f aca="false">E5972*F5972</f>
        <v>-0.75</v>
      </c>
      <c r="O5972" s="0" t="n">
        <f aca="false">E5972*G5972</f>
        <v>0.5</v>
      </c>
      <c r="P5972" s="0" t="n">
        <f aca="false">E5972*H5972</f>
        <v>-1</v>
      </c>
      <c r="Q5972" s="0" t="n">
        <f aca="false">F5972*G5972</f>
        <v>-0.375</v>
      </c>
      <c r="R5972" s="0" t="n">
        <f aca="false">F5972*H5972</f>
        <v>0.75</v>
      </c>
      <c r="S5972" s="0" t="n">
        <f aca="false">G5972*H5972</f>
        <v>-0.5</v>
      </c>
      <c r="T5972" s="0" t="n">
        <f aca="false">E5972*E5972</f>
        <v>1</v>
      </c>
      <c r="U5972" s="0" t="n">
        <f aca="false">F5972*F5972</f>
        <v>0.5625</v>
      </c>
      <c r="V5972" s="0" t="n">
        <f aca="false">G5972*G5972</f>
        <v>0.25</v>
      </c>
      <c r="W5972" s="0" t="n">
        <f aca="false">H5972*H5972</f>
        <v>1</v>
      </c>
      <c r="X5972" s="0" t="n">
        <f aca="false">SUMPRODUCT(I5972:W5972,_XtX!$B$96:$P$96)</f>
        <v>42.1265076754387</v>
      </c>
      <c r="Y5972" s="0" t="n">
        <f aca="false">SUMPRODUCT(MMULT(I5972:W5972,_XtX!$B$78:$P$92),I5972:W5972)</f>
        <v>0.564984237938597</v>
      </c>
      <c r="Z5972" s="0" t="n">
        <f aca="false">04_回帰ANOVA!$K$19*04_回帰ANOVA!$K$14*SQRT(1+Y5972)</f>
        <v>1.63062229734503</v>
      </c>
      <c r="AA5972" s="0" t="n">
        <f aca="false">X5972-Z5972</f>
        <v>40.4958853780936</v>
      </c>
      <c r="AB5972" s="0" t="n">
        <f aca="false">X5972+Z5972</f>
        <v>43.7571299727837</v>
      </c>
      <c r="AC5972" s="54" t="b">
        <f aca="false">AND(E5972&gt;=01_因子設定!$L$5-0.000000001,E5972&lt;=01_因子設定!$M$5+0.000000001,F5972&gt;=01_因子設定!$L$6-0.000000001,F5972&lt;=01_因子設定!$M$6+0.000000001,G5972&gt;=01_因子設定!$L$7-0.000000001,G5972&lt;=01_因子設定!$M$7+0.000000001,H5972&gt;=01_因子設定!$L$8-0.000000001,H5972&lt;=01_因子設定!$M$8+0.000000001,IF(01_因子設定!$B$20="Box-Behnken",E5972^2+F5972^2+G5972^2+H5972^2&lt;=2+0.000000001,TRUE()))</f>
        <v>1</v>
      </c>
      <c r="AD5972" s="55" t="n">
        <f aca="false">IF(AC5972,IF(01_因子設定!$B$13="最大化",AA5972-01_因子設定!$B$14,IF(01_因子設定!$B$13="最小化",01_因子設定!$B$15-AB5972,MIN(AA5972-01_因子設定!$B$14,01_因子設定!$B$15-AB5972))),-1E+030)</f>
        <v>-6.00411462190638</v>
      </c>
      <c r="AE5972" s="55" t="n">
        <f aca="false">IF(AC5972,IF(01_因子設定!$B$13="最大化",X5972,IF(01_因子設定!$B$13="最小化",-X5972,-ABS(X5972-01_因子設定!$B$16))),-1E+030)</f>
        <v>42.1265076754387</v>
      </c>
      <c r="AF5972" s="55" t="n">
        <f aca="false">AD5972+ROW()*0.000000001</f>
        <v>-6.00410864990637</v>
      </c>
      <c r="AG5972" s="55" t="n">
        <f aca="false">AE5972+ROW()*0.000000001</f>
        <v>42.1265136474387</v>
      </c>
    </row>
    <row r="5973" customFormat="false" ht="15" hidden="false" customHeight="false" outlineLevel="0" collapsed="false">
      <c r="A5973" s="0" t="n">
        <v>8</v>
      </c>
      <c r="B5973" s="0" t="n">
        <v>1</v>
      </c>
      <c r="C5973" s="0" t="n">
        <v>6</v>
      </c>
      <c r="D5973" s="0" t="n">
        <v>1</v>
      </c>
      <c r="E5973" s="0" t="n">
        <f aca="false">-1+A5973*0.25</f>
        <v>1</v>
      </c>
      <c r="F5973" s="0" t="n">
        <f aca="false">-1+B5973*0.25</f>
        <v>-0.75</v>
      </c>
      <c r="G5973" s="0" t="n">
        <f aca="false">-1+C5973*0.25</f>
        <v>0.5</v>
      </c>
      <c r="H5973" s="0" t="n">
        <f aca="false">-1+D5973*0.25</f>
        <v>-0.75</v>
      </c>
      <c r="I5973" s="0" t="n">
        <f aca="false">1</f>
        <v>1</v>
      </c>
      <c r="J5973" s="0" t="n">
        <f aca="false">E5973</f>
        <v>1</v>
      </c>
      <c r="K5973" s="0" t="n">
        <f aca="false">F5973</f>
        <v>-0.75</v>
      </c>
      <c r="L5973" s="0" t="n">
        <f aca="false">G5973</f>
        <v>0.5</v>
      </c>
      <c r="M5973" s="0" t="n">
        <f aca="false">H5973</f>
        <v>-0.75</v>
      </c>
      <c r="N5973" s="0" t="n">
        <f aca="false">E5973*F5973</f>
        <v>-0.75</v>
      </c>
      <c r="O5973" s="0" t="n">
        <f aca="false">E5973*G5973</f>
        <v>0.5</v>
      </c>
      <c r="P5973" s="0" t="n">
        <f aca="false">E5973*H5973</f>
        <v>-0.75</v>
      </c>
      <c r="Q5973" s="0" t="n">
        <f aca="false">F5973*G5973</f>
        <v>-0.375</v>
      </c>
      <c r="R5973" s="0" t="n">
        <f aca="false">F5973*H5973</f>
        <v>0.5625</v>
      </c>
      <c r="S5973" s="0" t="n">
        <f aca="false">G5973*H5973</f>
        <v>-0.375</v>
      </c>
      <c r="T5973" s="0" t="n">
        <f aca="false">E5973*E5973</f>
        <v>1</v>
      </c>
      <c r="U5973" s="0" t="n">
        <f aca="false">F5973*F5973</f>
        <v>0.5625</v>
      </c>
      <c r="V5973" s="0" t="n">
        <f aca="false">G5973*G5973</f>
        <v>0.25</v>
      </c>
      <c r="W5973" s="0" t="n">
        <f aca="false">H5973*H5973</f>
        <v>0.5625</v>
      </c>
      <c r="X5973" s="0" t="n">
        <f aca="false">SUMPRODUCT(I5973:W5973,_XtX!$B$96:$P$96)</f>
        <v>42.502252375731</v>
      </c>
      <c r="Y5973" s="0" t="n">
        <f aca="false">SUMPRODUCT(MMULT(I5973:W5973,_XtX!$B$78:$P$92),I5973:W5973)</f>
        <v>0.431153771472953</v>
      </c>
      <c r="Z5973" s="0" t="n">
        <f aca="false">04_回帰ANOVA!$K$19*04_回帰ANOVA!$K$14*SQRT(1+Y5973)</f>
        <v>1.55934259562563</v>
      </c>
      <c r="AA5973" s="0" t="n">
        <f aca="false">X5973-Z5973</f>
        <v>40.9429097801054</v>
      </c>
      <c r="AB5973" s="0" t="n">
        <f aca="false">X5973+Z5973</f>
        <v>44.0615949713567</v>
      </c>
      <c r="AC5973" s="54" t="b">
        <f aca="false">AND(E5973&gt;=01_因子設定!$L$5-0.000000001,E5973&lt;=01_因子設定!$M$5+0.000000001,F5973&gt;=01_因子設定!$L$6-0.000000001,F5973&lt;=01_因子設定!$M$6+0.000000001,G5973&gt;=01_因子設定!$L$7-0.000000001,G5973&lt;=01_因子設定!$M$7+0.000000001,H5973&gt;=01_因子設定!$L$8-0.000000001,H5973&lt;=01_因子設定!$M$8+0.000000001,IF(01_因子設定!$B$20="Box-Behnken",E5973^2+F5973^2+G5973^2+H5973^2&lt;=2+0.000000001,TRUE()))</f>
        <v>1</v>
      </c>
      <c r="AD5973" s="55" t="n">
        <f aca="false">IF(AC5973,IF(01_因子設定!$B$13="最大化",AA5973-01_因子設定!$B$14,IF(01_因子設定!$B$13="最小化",01_因子設定!$B$15-AB5973,MIN(AA5973-01_因子設定!$B$14,01_因子設定!$B$15-AB5973))),-1E+030)</f>
        <v>-5.55709021989459</v>
      </c>
      <c r="AE5973" s="55" t="n">
        <f aca="false">IF(AC5973,IF(01_因子設定!$B$13="最大化",X5973,IF(01_因子設定!$B$13="最小化",-X5973,-ABS(X5973-01_因子設定!$B$16))),-1E+030)</f>
        <v>42.502252375731</v>
      </c>
      <c r="AF5973" s="55" t="n">
        <f aca="false">AD5973+ROW()*0.000000001</f>
        <v>-5.55708424689459</v>
      </c>
      <c r="AG5973" s="55" t="n">
        <f aca="false">AE5973+ROW()*0.000000001</f>
        <v>42.502258348731</v>
      </c>
    </row>
    <row r="5974" customFormat="false" ht="15" hidden="false" customHeight="false" outlineLevel="0" collapsed="false">
      <c r="A5974" s="0" t="n">
        <v>8</v>
      </c>
      <c r="B5974" s="0" t="n">
        <v>1</v>
      </c>
      <c r="C5974" s="0" t="n">
        <v>6</v>
      </c>
      <c r="D5974" s="0" t="n">
        <v>2</v>
      </c>
      <c r="E5974" s="0" t="n">
        <f aca="false">-1+A5974*0.25</f>
        <v>1</v>
      </c>
      <c r="F5974" s="0" t="n">
        <f aca="false">-1+B5974*0.25</f>
        <v>-0.75</v>
      </c>
      <c r="G5974" s="0" t="n">
        <f aca="false">-1+C5974*0.25</f>
        <v>0.5</v>
      </c>
      <c r="H5974" s="0" t="n">
        <f aca="false">-1+D5974*0.25</f>
        <v>-0.5</v>
      </c>
      <c r="I5974" s="0" t="n">
        <f aca="false">1</f>
        <v>1</v>
      </c>
      <c r="J5974" s="0" t="n">
        <f aca="false">E5974</f>
        <v>1</v>
      </c>
      <c r="K5974" s="0" t="n">
        <f aca="false">F5974</f>
        <v>-0.75</v>
      </c>
      <c r="L5974" s="0" t="n">
        <f aca="false">G5974</f>
        <v>0.5</v>
      </c>
      <c r="M5974" s="0" t="n">
        <f aca="false">H5974</f>
        <v>-0.5</v>
      </c>
      <c r="N5974" s="0" t="n">
        <f aca="false">E5974*F5974</f>
        <v>-0.75</v>
      </c>
      <c r="O5974" s="0" t="n">
        <f aca="false">E5974*G5974</f>
        <v>0.5</v>
      </c>
      <c r="P5974" s="0" t="n">
        <f aca="false">E5974*H5974</f>
        <v>-0.5</v>
      </c>
      <c r="Q5974" s="0" t="n">
        <f aca="false">F5974*G5974</f>
        <v>-0.375</v>
      </c>
      <c r="R5974" s="0" t="n">
        <f aca="false">F5974*H5974</f>
        <v>0.375</v>
      </c>
      <c r="S5974" s="0" t="n">
        <f aca="false">G5974*H5974</f>
        <v>-0.25</v>
      </c>
      <c r="T5974" s="0" t="n">
        <f aca="false">E5974*E5974</f>
        <v>1</v>
      </c>
      <c r="U5974" s="0" t="n">
        <f aca="false">F5974*F5974</f>
        <v>0.5625</v>
      </c>
      <c r="V5974" s="0" t="n">
        <f aca="false">G5974*G5974</f>
        <v>0.25</v>
      </c>
      <c r="W5974" s="0" t="n">
        <f aca="false">H5974*H5974</f>
        <v>0.25</v>
      </c>
      <c r="X5974" s="0" t="n">
        <f aca="false">SUMPRODUCT(I5974:W5974,_XtX!$B$96:$P$96)</f>
        <v>42.8301900584796</v>
      </c>
      <c r="Y5974" s="0" t="n">
        <f aca="false">SUMPRODUCT(MMULT(I5974:W5974,_XtX!$B$78:$P$92),I5974:W5974)</f>
        <v>0.42602110745614</v>
      </c>
      <c r="Z5974" s="0" t="n">
        <f aca="false">04_回帰ANOVA!$K$19*04_回帰ANOVA!$K$14*SQRT(1+Y5974)</f>
        <v>1.55654388501114</v>
      </c>
      <c r="AA5974" s="0" t="n">
        <f aca="false">X5974-Z5974</f>
        <v>41.2736461734684</v>
      </c>
      <c r="AB5974" s="0" t="n">
        <f aca="false">X5974+Z5974</f>
        <v>44.3867339434907</v>
      </c>
      <c r="AC5974" s="54" t="b">
        <f aca="false">AND(E5974&gt;=01_因子設定!$L$5-0.000000001,E5974&lt;=01_因子設定!$M$5+0.000000001,F5974&gt;=01_因子設定!$L$6-0.000000001,F5974&lt;=01_因子設定!$M$6+0.000000001,G5974&gt;=01_因子設定!$L$7-0.000000001,G5974&lt;=01_因子設定!$M$7+0.000000001,H5974&gt;=01_因子設定!$L$8-0.000000001,H5974&lt;=01_因子設定!$M$8+0.000000001,IF(01_因子設定!$B$20="Box-Behnken",E5974^2+F5974^2+G5974^2+H5974^2&lt;=2+0.000000001,TRUE()))</f>
        <v>1</v>
      </c>
      <c r="AD5974" s="55" t="n">
        <f aca="false">IF(AC5974,IF(01_因子設定!$B$13="最大化",AA5974-01_因子設定!$B$14,IF(01_因子設定!$B$13="最小化",01_因子設定!$B$15-AB5974,MIN(AA5974-01_因子設定!$B$14,01_因子設定!$B$15-AB5974))),-1E+030)</f>
        <v>-5.22635382653157</v>
      </c>
      <c r="AE5974" s="55" t="n">
        <f aca="false">IF(AC5974,IF(01_因子設定!$B$13="最大化",X5974,IF(01_因子設定!$B$13="最小化",-X5974,-ABS(X5974-01_因子設定!$B$16))),-1E+030)</f>
        <v>42.8301900584796</v>
      </c>
      <c r="AF5974" s="55" t="n">
        <f aca="false">AD5974+ROW()*0.000000001</f>
        <v>-5.22634785253157</v>
      </c>
      <c r="AG5974" s="55" t="n">
        <f aca="false">AE5974+ROW()*0.000000001</f>
        <v>42.8301960324796</v>
      </c>
    </row>
    <row r="5975" customFormat="false" ht="15" hidden="false" customHeight="false" outlineLevel="0" collapsed="false">
      <c r="A5975" s="0" t="n">
        <v>8</v>
      </c>
      <c r="B5975" s="0" t="n">
        <v>1</v>
      </c>
      <c r="C5975" s="0" t="n">
        <v>6</v>
      </c>
      <c r="D5975" s="0" t="n">
        <v>3</v>
      </c>
      <c r="E5975" s="0" t="n">
        <f aca="false">-1+A5975*0.25</f>
        <v>1</v>
      </c>
      <c r="F5975" s="0" t="n">
        <f aca="false">-1+B5975*0.25</f>
        <v>-0.75</v>
      </c>
      <c r="G5975" s="0" t="n">
        <f aca="false">-1+C5975*0.25</f>
        <v>0.5</v>
      </c>
      <c r="H5975" s="0" t="n">
        <f aca="false">-1+D5975*0.25</f>
        <v>-0.25</v>
      </c>
      <c r="I5975" s="0" t="n">
        <f aca="false">1</f>
        <v>1</v>
      </c>
      <c r="J5975" s="0" t="n">
        <f aca="false">E5975</f>
        <v>1</v>
      </c>
      <c r="K5975" s="0" t="n">
        <f aca="false">F5975</f>
        <v>-0.75</v>
      </c>
      <c r="L5975" s="0" t="n">
        <f aca="false">G5975</f>
        <v>0.5</v>
      </c>
      <c r="M5975" s="0" t="n">
        <f aca="false">H5975</f>
        <v>-0.25</v>
      </c>
      <c r="N5975" s="0" t="n">
        <f aca="false">E5975*F5975</f>
        <v>-0.75</v>
      </c>
      <c r="O5975" s="0" t="n">
        <f aca="false">E5975*G5975</f>
        <v>0.5</v>
      </c>
      <c r="P5975" s="0" t="n">
        <f aca="false">E5975*H5975</f>
        <v>-0.25</v>
      </c>
      <c r="Q5975" s="0" t="n">
        <f aca="false">F5975*G5975</f>
        <v>-0.375</v>
      </c>
      <c r="R5975" s="0" t="n">
        <f aca="false">F5975*H5975</f>
        <v>0.1875</v>
      </c>
      <c r="S5975" s="0" t="n">
        <f aca="false">G5975*H5975</f>
        <v>-0.125</v>
      </c>
      <c r="T5975" s="0" t="n">
        <f aca="false">E5975*E5975</f>
        <v>1</v>
      </c>
      <c r="U5975" s="0" t="n">
        <f aca="false">F5975*F5975</f>
        <v>0.5625</v>
      </c>
      <c r="V5975" s="0" t="n">
        <f aca="false">G5975*G5975</f>
        <v>0.25</v>
      </c>
      <c r="W5975" s="0" t="n">
        <f aca="false">H5975*H5975</f>
        <v>0.0625</v>
      </c>
      <c r="X5975" s="0" t="n">
        <f aca="false">SUMPRODUCT(I5975:W5975,_XtX!$B$96:$P$96)</f>
        <v>43.1103207236842</v>
      </c>
      <c r="Y5975" s="0" t="n">
        <f aca="false">SUMPRODUCT(MMULT(I5975:W5975,_XtX!$B$78:$P$92),I5975:W5975)</f>
        <v>0.459125719572369</v>
      </c>
      <c r="Z5975" s="0" t="n">
        <f aca="false">04_回帰ANOVA!$K$19*04_回帰ANOVA!$K$14*SQRT(1+Y5975)</f>
        <v>1.57450755575573</v>
      </c>
      <c r="AA5975" s="0" t="n">
        <f aca="false">X5975-Z5975</f>
        <v>41.5358131679285</v>
      </c>
      <c r="AB5975" s="0" t="n">
        <f aca="false">X5975+Z5975</f>
        <v>44.68482827944</v>
      </c>
      <c r="AC5975" s="54" t="b">
        <f aca="false">AND(E5975&gt;=01_因子設定!$L$5-0.000000001,E5975&lt;=01_因子設定!$M$5+0.000000001,F5975&gt;=01_因子設定!$L$6-0.000000001,F5975&lt;=01_因子設定!$M$6+0.000000001,G5975&gt;=01_因子設定!$L$7-0.000000001,G5975&lt;=01_因子設定!$M$7+0.000000001,H5975&gt;=01_因子設定!$L$8-0.000000001,H5975&lt;=01_因子設定!$M$8+0.000000001,IF(01_因子設定!$B$20="Box-Behnken",E5975^2+F5975^2+G5975^2+H5975^2&lt;=2+0.000000001,TRUE()))</f>
        <v>1</v>
      </c>
      <c r="AD5975" s="55" t="n">
        <f aca="false">IF(AC5975,IF(01_因子設定!$B$13="最大化",AA5975-01_因子設定!$B$14,IF(01_因子設定!$B$13="最小化",01_因子設定!$B$15-AB5975,MIN(AA5975-01_因子設定!$B$14,01_因子設定!$B$15-AB5975))),-1E+030)</f>
        <v>-4.96418683207149</v>
      </c>
      <c r="AE5975" s="55" t="n">
        <f aca="false">IF(AC5975,IF(01_因子設定!$B$13="最大化",X5975,IF(01_因子設定!$B$13="最小化",-X5975,-ABS(X5975-01_因子設定!$B$16))),-1E+030)</f>
        <v>43.1103207236842</v>
      </c>
      <c r="AF5975" s="55" t="n">
        <f aca="false">AD5975+ROW()*0.000000001</f>
        <v>-4.96418085707149</v>
      </c>
      <c r="AG5975" s="55" t="n">
        <f aca="false">AE5975+ROW()*0.000000001</f>
        <v>43.1103266986842</v>
      </c>
    </row>
    <row r="5976" customFormat="false" ht="15" hidden="false" customHeight="false" outlineLevel="0" collapsed="false">
      <c r="A5976" s="0" t="n">
        <v>8</v>
      </c>
      <c r="B5976" s="0" t="n">
        <v>1</v>
      </c>
      <c r="C5976" s="0" t="n">
        <v>6</v>
      </c>
      <c r="D5976" s="0" t="n">
        <v>4</v>
      </c>
      <c r="E5976" s="0" t="n">
        <f aca="false">-1+A5976*0.25</f>
        <v>1</v>
      </c>
      <c r="F5976" s="0" t="n">
        <f aca="false">-1+B5976*0.25</f>
        <v>-0.75</v>
      </c>
      <c r="G5976" s="0" t="n">
        <f aca="false">-1+C5976*0.25</f>
        <v>0.5</v>
      </c>
      <c r="H5976" s="0" t="n">
        <f aca="false">-1+D5976*0.25</f>
        <v>0</v>
      </c>
      <c r="I5976" s="0" t="n">
        <f aca="false">1</f>
        <v>1</v>
      </c>
      <c r="J5976" s="0" t="n">
        <f aca="false">E5976</f>
        <v>1</v>
      </c>
      <c r="K5976" s="0" t="n">
        <f aca="false">F5976</f>
        <v>-0.75</v>
      </c>
      <c r="L5976" s="0" t="n">
        <f aca="false">G5976</f>
        <v>0.5</v>
      </c>
      <c r="M5976" s="0" t="n">
        <f aca="false">H5976</f>
        <v>0</v>
      </c>
      <c r="N5976" s="0" t="n">
        <f aca="false">E5976*F5976</f>
        <v>-0.75</v>
      </c>
      <c r="O5976" s="0" t="n">
        <f aca="false">E5976*G5976</f>
        <v>0.5</v>
      </c>
      <c r="P5976" s="0" t="n">
        <f aca="false">E5976*H5976</f>
        <v>0</v>
      </c>
      <c r="Q5976" s="0" t="n">
        <f aca="false">F5976*G5976</f>
        <v>-0.375</v>
      </c>
      <c r="R5976" s="0" t="n">
        <f aca="false">F5976*H5976</f>
        <v>-0</v>
      </c>
      <c r="S5976" s="0" t="n">
        <f aca="false">G5976*H5976</f>
        <v>0</v>
      </c>
      <c r="T5976" s="0" t="n">
        <f aca="false">E5976*E5976</f>
        <v>1</v>
      </c>
      <c r="U5976" s="0" t="n">
        <f aca="false">F5976*F5976</f>
        <v>0.5625</v>
      </c>
      <c r="V5976" s="0" t="n">
        <f aca="false">G5976*G5976</f>
        <v>0.25</v>
      </c>
      <c r="W5976" s="0" t="n">
        <f aca="false">H5976*H5976</f>
        <v>0</v>
      </c>
      <c r="X5976" s="0" t="n">
        <f aca="false">SUMPRODUCT(I5976:W5976,_XtX!$B$96:$P$96)</f>
        <v>43.3426443713451</v>
      </c>
      <c r="Y5976" s="0" t="n">
        <f aca="false">SUMPRODUCT(MMULT(I5976:W5976,_XtX!$B$78:$P$92),I5976:W5976)</f>
        <v>0.476191292032164</v>
      </c>
      <c r="Z5976" s="0" t="n">
        <f aca="false">04_回帰ANOVA!$K$19*04_回帰ANOVA!$K$14*SQRT(1+Y5976)</f>
        <v>1.58368831471718</v>
      </c>
      <c r="AA5976" s="0" t="n">
        <f aca="false">X5976-Z5976</f>
        <v>41.7589560566279</v>
      </c>
      <c r="AB5976" s="0" t="n">
        <f aca="false">X5976+Z5976</f>
        <v>44.9263326860622</v>
      </c>
      <c r="AC5976" s="54" t="b">
        <f aca="false">AND(E5976&gt;=01_因子設定!$L$5-0.000000001,E5976&lt;=01_因子設定!$M$5+0.000000001,F5976&gt;=01_因子設定!$L$6-0.000000001,F5976&lt;=01_因子設定!$M$6+0.000000001,G5976&gt;=01_因子設定!$L$7-0.000000001,G5976&lt;=01_因子設定!$M$7+0.000000001,H5976&gt;=01_因子設定!$L$8-0.000000001,H5976&lt;=01_因子設定!$M$8+0.000000001,IF(01_因子設定!$B$20="Box-Behnken",E5976^2+F5976^2+G5976^2+H5976^2&lt;=2+0.000000001,TRUE()))</f>
        <v>1</v>
      </c>
      <c r="AD5976" s="55" t="n">
        <f aca="false">IF(AC5976,IF(01_因子設定!$B$13="最大化",AA5976-01_因子設定!$B$14,IF(01_因子設定!$B$13="最小化",01_因子設定!$B$15-AB5976,MIN(AA5976-01_因子設定!$B$14,01_因子設定!$B$15-AB5976))),-1E+030)</f>
        <v>-4.74104394337213</v>
      </c>
      <c r="AE5976" s="55" t="n">
        <f aca="false">IF(AC5976,IF(01_因子設定!$B$13="最大化",X5976,IF(01_因子設定!$B$13="最小化",-X5976,-ABS(X5976-01_因子設定!$B$16))),-1E+030)</f>
        <v>43.3426443713451</v>
      </c>
      <c r="AF5976" s="55" t="n">
        <f aca="false">AD5976+ROW()*0.000000001</f>
        <v>-4.74103796737213</v>
      </c>
      <c r="AG5976" s="55" t="n">
        <f aca="false">AE5976+ROW()*0.000000001</f>
        <v>43.3426503473451</v>
      </c>
    </row>
    <row r="5977" customFormat="false" ht="15" hidden="false" customHeight="false" outlineLevel="0" collapsed="false">
      <c r="A5977" s="0" t="n">
        <v>8</v>
      </c>
      <c r="B5977" s="0" t="n">
        <v>1</v>
      </c>
      <c r="C5977" s="0" t="n">
        <v>6</v>
      </c>
      <c r="D5977" s="0" t="n">
        <v>5</v>
      </c>
      <c r="E5977" s="0" t="n">
        <f aca="false">-1+A5977*0.25</f>
        <v>1</v>
      </c>
      <c r="F5977" s="0" t="n">
        <f aca="false">-1+B5977*0.25</f>
        <v>-0.75</v>
      </c>
      <c r="G5977" s="0" t="n">
        <f aca="false">-1+C5977*0.25</f>
        <v>0.5</v>
      </c>
      <c r="H5977" s="0" t="n">
        <f aca="false">-1+D5977*0.25</f>
        <v>0.25</v>
      </c>
      <c r="I5977" s="0" t="n">
        <f aca="false">1</f>
        <v>1</v>
      </c>
      <c r="J5977" s="0" t="n">
        <f aca="false">E5977</f>
        <v>1</v>
      </c>
      <c r="K5977" s="0" t="n">
        <f aca="false">F5977</f>
        <v>-0.75</v>
      </c>
      <c r="L5977" s="0" t="n">
        <f aca="false">G5977</f>
        <v>0.5</v>
      </c>
      <c r="M5977" s="0" t="n">
        <f aca="false">H5977</f>
        <v>0.25</v>
      </c>
      <c r="N5977" s="0" t="n">
        <f aca="false">E5977*F5977</f>
        <v>-0.75</v>
      </c>
      <c r="O5977" s="0" t="n">
        <f aca="false">E5977*G5977</f>
        <v>0.5</v>
      </c>
      <c r="P5977" s="0" t="n">
        <f aca="false">E5977*H5977</f>
        <v>0.25</v>
      </c>
      <c r="Q5977" s="0" t="n">
        <f aca="false">F5977*G5977</f>
        <v>-0.375</v>
      </c>
      <c r="R5977" s="0" t="n">
        <f aca="false">F5977*H5977</f>
        <v>-0.1875</v>
      </c>
      <c r="S5977" s="0" t="n">
        <f aca="false">G5977*H5977</f>
        <v>0.125</v>
      </c>
      <c r="T5977" s="0" t="n">
        <f aca="false">E5977*E5977</f>
        <v>1</v>
      </c>
      <c r="U5977" s="0" t="n">
        <f aca="false">F5977*F5977</f>
        <v>0.5625</v>
      </c>
      <c r="V5977" s="0" t="n">
        <f aca="false">G5977*G5977</f>
        <v>0.25</v>
      </c>
      <c r="W5977" s="0" t="n">
        <f aca="false">H5977*H5977</f>
        <v>0.0625</v>
      </c>
      <c r="X5977" s="0" t="n">
        <f aca="false">SUMPRODUCT(I5977:W5977,_XtX!$B$96:$P$96)</f>
        <v>43.527161001462</v>
      </c>
      <c r="Y5977" s="0" t="n">
        <f aca="false">SUMPRODUCT(MMULT(I5977:W5977,_XtX!$B$78:$P$92),I5977:W5977)</f>
        <v>0.459125719572369</v>
      </c>
      <c r="Z5977" s="0" t="n">
        <f aca="false">04_回帰ANOVA!$K$19*04_回帰ANOVA!$K$14*SQRT(1+Y5977)</f>
        <v>1.57450755575573</v>
      </c>
      <c r="AA5977" s="0" t="n">
        <f aca="false">X5977-Z5977</f>
        <v>41.9526534457063</v>
      </c>
      <c r="AB5977" s="0" t="n">
        <f aca="false">X5977+Z5977</f>
        <v>45.1016685572177</v>
      </c>
      <c r="AC5977" s="54" t="b">
        <f aca="false">AND(E5977&gt;=01_因子設定!$L$5-0.000000001,E5977&lt;=01_因子設定!$M$5+0.000000001,F5977&gt;=01_因子設定!$L$6-0.000000001,F5977&lt;=01_因子設定!$M$6+0.000000001,G5977&gt;=01_因子設定!$L$7-0.000000001,G5977&lt;=01_因子設定!$M$7+0.000000001,H5977&gt;=01_因子設定!$L$8-0.000000001,H5977&lt;=01_因子設定!$M$8+0.000000001,IF(01_因子設定!$B$20="Box-Behnken",E5977^2+F5977^2+G5977^2+H5977^2&lt;=2+0.000000001,TRUE()))</f>
        <v>1</v>
      </c>
      <c r="AD5977" s="55" t="n">
        <f aca="false">IF(AC5977,IF(01_因子設定!$B$13="最大化",AA5977-01_因子設定!$B$14,IF(01_因子設定!$B$13="最小化",01_因子設定!$B$15-AB5977,MIN(AA5977-01_因子設定!$B$14,01_因子設定!$B$15-AB5977))),-1E+030)</f>
        <v>-4.54734655429372</v>
      </c>
      <c r="AE5977" s="55" t="n">
        <f aca="false">IF(AC5977,IF(01_因子設定!$B$13="最大化",X5977,IF(01_因子設定!$B$13="最小化",-X5977,-ABS(X5977-01_因子設定!$B$16))),-1E+030)</f>
        <v>43.527161001462</v>
      </c>
      <c r="AF5977" s="55" t="n">
        <f aca="false">AD5977+ROW()*0.000000001</f>
        <v>-4.54734057729372</v>
      </c>
      <c r="AG5977" s="55" t="n">
        <f aca="false">AE5977+ROW()*0.000000001</f>
        <v>43.527166978462</v>
      </c>
    </row>
    <row r="5978" customFormat="false" ht="15" hidden="false" customHeight="false" outlineLevel="0" collapsed="false">
      <c r="A5978" s="0" t="n">
        <v>8</v>
      </c>
      <c r="B5978" s="0" t="n">
        <v>1</v>
      </c>
      <c r="C5978" s="0" t="n">
        <v>6</v>
      </c>
      <c r="D5978" s="0" t="n">
        <v>6</v>
      </c>
      <c r="E5978" s="0" t="n">
        <f aca="false">-1+A5978*0.25</f>
        <v>1</v>
      </c>
      <c r="F5978" s="0" t="n">
        <f aca="false">-1+B5978*0.25</f>
        <v>-0.75</v>
      </c>
      <c r="G5978" s="0" t="n">
        <f aca="false">-1+C5978*0.25</f>
        <v>0.5</v>
      </c>
      <c r="H5978" s="0" t="n">
        <f aca="false">-1+D5978*0.25</f>
        <v>0.5</v>
      </c>
      <c r="I5978" s="0" t="n">
        <f aca="false">1</f>
        <v>1</v>
      </c>
      <c r="J5978" s="0" t="n">
        <f aca="false">E5978</f>
        <v>1</v>
      </c>
      <c r="K5978" s="0" t="n">
        <f aca="false">F5978</f>
        <v>-0.75</v>
      </c>
      <c r="L5978" s="0" t="n">
        <f aca="false">G5978</f>
        <v>0.5</v>
      </c>
      <c r="M5978" s="0" t="n">
        <f aca="false">H5978</f>
        <v>0.5</v>
      </c>
      <c r="N5978" s="0" t="n">
        <f aca="false">E5978*F5978</f>
        <v>-0.75</v>
      </c>
      <c r="O5978" s="0" t="n">
        <f aca="false">E5978*G5978</f>
        <v>0.5</v>
      </c>
      <c r="P5978" s="0" t="n">
        <f aca="false">E5978*H5978</f>
        <v>0.5</v>
      </c>
      <c r="Q5978" s="0" t="n">
        <f aca="false">F5978*G5978</f>
        <v>-0.375</v>
      </c>
      <c r="R5978" s="0" t="n">
        <f aca="false">F5978*H5978</f>
        <v>-0.375</v>
      </c>
      <c r="S5978" s="0" t="n">
        <f aca="false">G5978*H5978</f>
        <v>0.25</v>
      </c>
      <c r="T5978" s="0" t="n">
        <f aca="false">E5978*E5978</f>
        <v>1</v>
      </c>
      <c r="U5978" s="0" t="n">
        <f aca="false">F5978*F5978</f>
        <v>0.5625</v>
      </c>
      <c r="V5978" s="0" t="n">
        <f aca="false">G5978*G5978</f>
        <v>0.25</v>
      </c>
      <c r="W5978" s="0" t="n">
        <f aca="false">H5978*H5978</f>
        <v>0.25</v>
      </c>
      <c r="X5978" s="0" t="n">
        <f aca="false">SUMPRODUCT(I5978:W5978,_XtX!$B$96:$P$96)</f>
        <v>43.6638706140351</v>
      </c>
      <c r="Y5978" s="0" t="n">
        <f aca="false">SUMPRODUCT(MMULT(I5978:W5978,_XtX!$B$78:$P$92),I5978:W5978)</f>
        <v>0.42602110745614</v>
      </c>
      <c r="Z5978" s="0" t="n">
        <f aca="false">04_回帰ANOVA!$K$19*04_回帰ANOVA!$K$14*SQRT(1+Y5978)</f>
        <v>1.55654388501114</v>
      </c>
      <c r="AA5978" s="0" t="n">
        <f aca="false">X5978-Z5978</f>
        <v>42.107326729024</v>
      </c>
      <c r="AB5978" s="0" t="n">
        <f aca="false">X5978+Z5978</f>
        <v>45.2204144990463</v>
      </c>
      <c r="AC5978" s="54" t="b">
        <f aca="false">AND(E5978&gt;=01_因子設定!$L$5-0.000000001,E5978&lt;=01_因子設定!$M$5+0.000000001,F5978&gt;=01_因子設定!$L$6-0.000000001,F5978&lt;=01_因子設定!$M$6+0.000000001,G5978&gt;=01_因子設定!$L$7-0.000000001,G5978&lt;=01_因子設定!$M$7+0.000000001,H5978&gt;=01_因子設定!$L$8-0.000000001,H5978&lt;=01_因子設定!$M$8+0.000000001,IF(01_因子設定!$B$20="Box-Behnken",E5978^2+F5978^2+G5978^2+H5978^2&lt;=2+0.000000001,TRUE()))</f>
        <v>1</v>
      </c>
      <c r="AD5978" s="55" t="n">
        <f aca="false">IF(AC5978,IF(01_因子設定!$B$13="最大化",AA5978-01_因子設定!$B$14,IF(01_因子設定!$B$13="最小化",01_因子設定!$B$15-AB5978,MIN(AA5978-01_因子設定!$B$14,01_因子設定!$B$15-AB5978))),-1E+030)</f>
        <v>-4.39267327097602</v>
      </c>
      <c r="AE5978" s="55" t="n">
        <f aca="false">IF(AC5978,IF(01_因子設定!$B$13="最大化",X5978,IF(01_因子設定!$B$13="最小化",-X5978,-ABS(X5978-01_因子設定!$B$16))),-1E+030)</f>
        <v>43.6638706140351</v>
      </c>
      <c r="AF5978" s="55" t="n">
        <f aca="false">AD5978+ROW()*0.000000001</f>
        <v>-4.39266729297602</v>
      </c>
      <c r="AG5978" s="55" t="n">
        <f aca="false">AE5978+ROW()*0.000000001</f>
        <v>43.6638765920351</v>
      </c>
    </row>
    <row r="5979" customFormat="false" ht="15" hidden="false" customHeight="false" outlineLevel="0" collapsed="false">
      <c r="A5979" s="0" t="n">
        <v>8</v>
      </c>
      <c r="B5979" s="0" t="n">
        <v>1</v>
      </c>
      <c r="C5979" s="0" t="n">
        <v>6</v>
      </c>
      <c r="D5979" s="0" t="n">
        <v>7</v>
      </c>
      <c r="E5979" s="0" t="n">
        <f aca="false">-1+A5979*0.25</f>
        <v>1</v>
      </c>
      <c r="F5979" s="0" t="n">
        <f aca="false">-1+B5979*0.25</f>
        <v>-0.75</v>
      </c>
      <c r="G5979" s="0" t="n">
        <f aca="false">-1+C5979*0.25</f>
        <v>0.5</v>
      </c>
      <c r="H5979" s="0" t="n">
        <f aca="false">-1+D5979*0.25</f>
        <v>0.75</v>
      </c>
      <c r="I5979" s="0" t="n">
        <f aca="false">1</f>
        <v>1</v>
      </c>
      <c r="J5979" s="0" t="n">
        <f aca="false">E5979</f>
        <v>1</v>
      </c>
      <c r="K5979" s="0" t="n">
        <f aca="false">F5979</f>
        <v>-0.75</v>
      </c>
      <c r="L5979" s="0" t="n">
        <f aca="false">G5979</f>
        <v>0.5</v>
      </c>
      <c r="M5979" s="0" t="n">
        <f aca="false">H5979</f>
        <v>0.75</v>
      </c>
      <c r="N5979" s="0" t="n">
        <f aca="false">E5979*F5979</f>
        <v>-0.75</v>
      </c>
      <c r="O5979" s="0" t="n">
        <f aca="false">E5979*G5979</f>
        <v>0.5</v>
      </c>
      <c r="P5979" s="0" t="n">
        <f aca="false">E5979*H5979</f>
        <v>0.75</v>
      </c>
      <c r="Q5979" s="0" t="n">
        <f aca="false">F5979*G5979</f>
        <v>-0.375</v>
      </c>
      <c r="R5979" s="0" t="n">
        <f aca="false">F5979*H5979</f>
        <v>-0.5625</v>
      </c>
      <c r="S5979" s="0" t="n">
        <f aca="false">G5979*H5979</f>
        <v>0.375</v>
      </c>
      <c r="T5979" s="0" t="n">
        <f aca="false">E5979*E5979</f>
        <v>1</v>
      </c>
      <c r="U5979" s="0" t="n">
        <f aca="false">F5979*F5979</f>
        <v>0.5625</v>
      </c>
      <c r="V5979" s="0" t="n">
        <f aca="false">G5979*G5979</f>
        <v>0.25</v>
      </c>
      <c r="W5979" s="0" t="n">
        <f aca="false">H5979*H5979</f>
        <v>0.5625</v>
      </c>
      <c r="X5979" s="0" t="n">
        <f aca="false">SUMPRODUCT(I5979:W5979,_XtX!$B$96:$P$96)</f>
        <v>43.7527732090644</v>
      </c>
      <c r="Y5979" s="0" t="n">
        <f aca="false">SUMPRODUCT(MMULT(I5979:W5979,_XtX!$B$78:$P$92),I5979:W5979)</f>
        <v>0.431153771472953</v>
      </c>
      <c r="Z5979" s="0" t="n">
        <f aca="false">04_回帰ANOVA!$K$19*04_回帰ANOVA!$K$14*SQRT(1+Y5979)</f>
        <v>1.55934259562563</v>
      </c>
      <c r="AA5979" s="0" t="n">
        <f aca="false">X5979-Z5979</f>
        <v>42.1934306134387</v>
      </c>
      <c r="AB5979" s="0" t="n">
        <f aca="false">X5979+Z5979</f>
        <v>45.31211580469</v>
      </c>
      <c r="AC5979" s="54" t="b">
        <f aca="false">AND(E5979&gt;=01_因子設定!$L$5-0.000000001,E5979&lt;=01_因子設定!$M$5+0.000000001,F5979&gt;=01_因子設定!$L$6-0.000000001,F5979&lt;=01_因子設定!$M$6+0.000000001,G5979&gt;=01_因子設定!$L$7-0.000000001,G5979&lt;=01_因子設定!$M$7+0.000000001,H5979&gt;=01_因子設定!$L$8-0.000000001,H5979&lt;=01_因子設定!$M$8+0.000000001,IF(01_因子設定!$B$20="Box-Behnken",E5979^2+F5979^2+G5979^2+H5979^2&lt;=2+0.000000001,TRUE()))</f>
        <v>1</v>
      </c>
      <c r="AD5979" s="55" t="n">
        <f aca="false">IF(AC5979,IF(01_因子設定!$B$13="最大化",AA5979-01_因子設定!$B$14,IF(01_因子設定!$B$13="最小化",01_因子設定!$B$15-AB5979,MIN(AA5979-01_因子設定!$B$14,01_因子設定!$B$15-AB5979))),-1E+030)</f>
        <v>-4.30656938656126</v>
      </c>
      <c r="AE5979" s="55" t="n">
        <f aca="false">IF(AC5979,IF(01_因子設定!$B$13="最大化",X5979,IF(01_因子設定!$B$13="最小化",-X5979,-ABS(X5979-01_因子設定!$B$16))),-1E+030)</f>
        <v>43.7527732090644</v>
      </c>
      <c r="AF5979" s="55" t="n">
        <f aca="false">AD5979+ROW()*0.000000001</f>
        <v>-4.30656340756126</v>
      </c>
      <c r="AG5979" s="55" t="n">
        <f aca="false">AE5979+ROW()*0.000000001</f>
        <v>43.7527791880644</v>
      </c>
    </row>
    <row r="5980" customFormat="false" ht="15" hidden="false" customHeight="false" outlineLevel="0" collapsed="false">
      <c r="A5980" s="0" t="n">
        <v>8</v>
      </c>
      <c r="B5980" s="0" t="n">
        <v>1</v>
      </c>
      <c r="C5980" s="0" t="n">
        <v>6</v>
      </c>
      <c r="D5980" s="0" t="n">
        <v>8</v>
      </c>
      <c r="E5980" s="0" t="n">
        <f aca="false">-1+A5980*0.25</f>
        <v>1</v>
      </c>
      <c r="F5980" s="0" t="n">
        <f aca="false">-1+B5980*0.25</f>
        <v>-0.75</v>
      </c>
      <c r="G5980" s="0" t="n">
        <f aca="false">-1+C5980*0.25</f>
        <v>0.5</v>
      </c>
      <c r="H5980" s="0" t="n">
        <f aca="false">-1+D5980*0.25</f>
        <v>1</v>
      </c>
      <c r="I5980" s="0" t="n">
        <f aca="false">1</f>
        <v>1</v>
      </c>
      <c r="J5980" s="0" t="n">
        <f aca="false">E5980</f>
        <v>1</v>
      </c>
      <c r="K5980" s="0" t="n">
        <f aca="false">F5980</f>
        <v>-0.75</v>
      </c>
      <c r="L5980" s="0" t="n">
        <f aca="false">G5980</f>
        <v>0.5</v>
      </c>
      <c r="M5980" s="0" t="n">
        <f aca="false">H5980</f>
        <v>1</v>
      </c>
      <c r="N5980" s="0" t="n">
        <f aca="false">E5980*F5980</f>
        <v>-0.75</v>
      </c>
      <c r="O5980" s="0" t="n">
        <f aca="false">E5980*G5980</f>
        <v>0.5</v>
      </c>
      <c r="P5980" s="0" t="n">
        <f aca="false">E5980*H5980</f>
        <v>1</v>
      </c>
      <c r="Q5980" s="0" t="n">
        <f aca="false">F5980*G5980</f>
        <v>-0.375</v>
      </c>
      <c r="R5980" s="0" t="n">
        <f aca="false">F5980*H5980</f>
        <v>-0.75</v>
      </c>
      <c r="S5980" s="0" t="n">
        <f aca="false">G5980*H5980</f>
        <v>0.5</v>
      </c>
      <c r="T5980" s="0" t="n">
        <f aca="false">E5980*E5980</f>
        <v>1</v>
      </c>
      <c r="U5980" s="0" t="n">
        <f aca="false">F5980*F5980</f>
        <v>0.5625</v>
      </c>
      <c r="V5980" s="0" t="n">
        <f aca="false">G5980*G5980</f>
        <v>0.25</v>
      </c>
      <c r="W5980" s="0" t="n">
        <f aca="false">H5980*H5980</f>
        <v>1</v>
      </c>
      <c r="X5980" s="0" t="n">
        <f aca="false">SUMPRODUCT(I5980:W5980,_XtX!$B$96:$P$96)</f>
        <v>43.7938687865498</v>
      </c>
      <c r="Y5980" s="0" t="n">
        <f aca="false">SUMPRODUCT(MMULT(I5980:W5980,_XtX!$B$78:$P$92),I5980:W5980)</f>
        <v>0.564984237938597</v>
      </c>
      <c r="Z5980" s="0" t="n">
        <f aca="false">04_回帰ANOVA!$K$19*04_回帰ANOVA!$K$14*SQRT(1+Y5980)</f>
        <v>1.63062229734503</v>
      </c>
      <c r="AA5980" s="0" t="n">
        <f aca="false">X5980-Z5980</f>
        <v>42.1632464892047</v>
      </c>
      <c r="AB5980" s="0" t="n">
        <f aca="false">X5980+Z5980</f>
        <v>45.4244910838948</v>
      </c>
      <c r="AC5980" s="54" t="b">
        <f aca="false">AND(E5980&gt;=01_因子設定!$L$5-0.000000001,E5980&lt;=01_因子設定!$M$5+0.000000001,F5980&gt;=01_因子設定!$L$6-0.000000001,F5980&lt;=01_因子設定!$M$6+0.000000001,G5980&gt;=01_因子設定!$L$7-0.000000001,G5980&lt;=01_因子設定!$M$7+0.000000001,H5980&gt;=01_因子設定!$L$8-0.000000001,H5980&lt;=01_因子設定!$M$8+0.000000001,IF(01_因子設定!$B$20="Box-Behnken",E5980^2+F5980^2+G5980^2+H5980^2&lt;=2+0.000000001,TRUE()))</f>
        <v>1</v>
      </c>
      <c r="AD5980" s="55" t="n">
        <f aca="false">IF(AC5980,IF(01_因子設定!$B$13="最大化",AA5980-01_因子設定!$B$14,IF(01_因子設定!$B$13="最小化",01_因子設定!$B$15-AB5980,MIN(AA5980-01_因子設定!$B$14,01_因子設定!$B$15-AB5980))),-1E+030)</f>
        <v>-4.33675351079527</v>
      </c>
      <c r="AE5980" s="55" t="n">
        <f aca="false">IF(AC5980,IF(01_因子設定!$B$13="最大化",X5980,IF(01_因子設定!$B$13="最小化",-X5980,-ABS(X5980-01_因子設定!$B$16))),-1E+030)</f>
        <v>43.7938687865498</v>
      </c>
      <c r="AF5980" s="55" t="n">
        <f aca="false">AD5980+ROW()*0.000000001</f>
        <v>-4.33674753079527</v>
      </c>
      <c r="AG5980" s="55" t="n">
        <f aca="false">AE5980+ROW()*0.000000001</f>
        <v>43.7938747665498</v>
      </c>
    </row>
    <row r="5981" customFormat="false" ht="15" hidden="false" customHeight="false" outlineLevel="0" collapsed="false">
      <c r="A5981" s="0" t="n">
        <v>8</v>
      </c>
      <c r="B5981" s="0" t="n">
        <v>1</v>
      </c>
      <c r="C5981" s="0" t="n">
        <v>7</v>
      </c>
      <c r="D5981" s="0" t="n">
        <v>0</v>
      </c>
      <c r="E5981" s="0" t="n">
        <f aca="false">-1+A5981*0.25</f>
        <v>1</v>
      </c>
      <c r="F5981" s="0" t="n">
        <f aca="false">-1+B5981*0.25</f>
        <v>-0.75</v>
      </c>
      <c r="G5981" s="0" t="n">
        <f aca="false">-1+C5981*0.25</f>
        <v>0.75</v>
      </c>
      <c r="H5981" s="0" t="n">
        <f aca="false">-1+D5981*0.25</f>
        <v>-1</v>
      </c>
      <c r="I5981" s="0" t="n">
        <f aca="false">1</f>
        <v>1</v>
      </c>
      <c r="J5981" s="0" t="n">
        <f aca="false">E5981</f>
        <v>1</v>
      </c>
      <c r="K5981" s="0" t="n">
        <f aca="false">F5981</f>
        <v>-0.75</v>
      </c>
      <c r="L5981" s="0" t="n">
        <f aca="false">G5981</f>
        <v>0.75</v>
      </c>
      <c r="M5981" s="0" t="n">
        <f aca="false">H5981</f>
        <v>-1</v>
      </c>
      <c r="N5981" s="0" t="n">
        <f aca="false">E5981*F5981</f>
        <v>-0.75</v>
      </c>
      <c r="O5981" s="0" t="n">
        <f aca="false">E5981*G5981</f>
        <v>0.75</v>
      </c>
      <c r="P5981" s="0" t="n">
        <f aca="false">E5981*H5981</f>
        <v>-1</v>
      </c>
      <c r="Q5981" s="0" t="n">
        <f aca="false">F5981*G5981</f>
        <v>-0.5625</v>
      </c>
      <c r="R5981" s="0" t="n">
        <f aca="false">F5981*H5981</f>
        <v>0.75</v>
      </c>
      <c r="S5981" s="0" t="n">
        <f aca="false">G5981*H5981</f>
        <v>-0.75</v>
      </c>
      <c r="T5981" s="0" t="n">
        <f aca="false">E5981*E5981</f>
        <v>1</v>
      </c>
      <c r="U5981" s="0" t="n">
        <f aca="false">F5981*F5981</f>
        <v>0.5625</v>
      </c>
      <c r="V5981" s="0" t="n">
        <f aca="false">G5981*G5981</f>
        <v>0.5625</v>
      </c>
      <c r="W5981" s="0" t="n">
        <f aca="false">H5981*H5981</f>
        <v>1</v>
      </c>
      <c r="X5981" s="0" t="n">
        <f aca="false">SUMPRODUCT(I5981:W5981,_XtX!$B$96:$P$96)</f>
        <v>41.8661047149123</v>
      </c>
      <c r="Y5981" s="0" t="n">
        <f aca="false">SUMPRODUCT(MMULT(I5981:W5981,_XtX!$B$78:$P$92),I5981:W5981)</f>
        <v>0.531311392086988</v>
      </c>
      <c r="Z5981" s="0" t="n">
        <f aca="false">04_回帰ANOVA!$K$19*04_回帰ANOVA!$K$14*SQRT(1+Y5981)</f>
        <v>1.61298433431428</v>
      </c>
      <c r="AA5981" s="0" t="n">
        <f aca="false">X5981-Z5981</f>
        <v>40.2531203805981</v>
      </c>
      <c r="AB5981" s="0" t="n">
        <f aca="false">X5981+Z5981</f>
        <v>43.4790890492266</v>
      </c>
      <c r="AC5981" s="54" t="b">
        <f aca="false">AND(E5981&gt;=01_因子設定!$L$5-0.000000001,E5981&lt;=01_因子設定!$M$5+0.000000001,F5981&gt;=01_因子設定!$L$6-0.000000001,F5981&lt;=01_因子設定!$M$6+0.000000001,G5981&gt;=01_因子設定!$L$7-0.000000001,G5981&lt;=01_因子設定!$M$7+0.000000001,H5981&gt;=01_因子設定!$L$8-0.000000001,H5981&lt;=01_因子設定!$M$8+0.000000001,IF(01_因子設定!$B$20="Box-Behnken",E5981^2+F5981^2+G5981^2+H5981^2&lt;=2+0.000000001,TRUE()))</f>
        <v>1</v>
      </c>
      <c r="AD5981" s="55" t="n">
        <f aca="false">IF(AC5981,IF(01_因子設定!$B$13="最大化",AA5981-01_因子設定!$B$14,IF(01_因子設定!$B$13="最小化",01_因子設定!$B$15-AB5981,MIN(AA5981-01_因子設定!$B$14,01_因子設定!$B$15-AB5981))),-1E+030)</f>
        <v>-6.24687961940194</v>
      </c>
      <c r="AE5981" s="55" t="n">
        <f aca="false">IF(AC5981,IF(01_因子設定!$B$13="最大化",X5981,IF(01_因子設定!$B$13="最小化",-X5981,-ABS(X5981-01_因子設定!$B$16))),-1E+030)</f>
        <v>41.8661047149123</v>
      </c>
      <c r="AF5981" s="55" t="n">
        <f aca="false">AD5981+ROW()*0.000000001</f>
        <v>-6.24687363840194</v>
      </c>
      <c r="AG5981" s="55" t="n">
        <f aca="false">AE5981+ROW()*0.000000001</f>
        <v>41.8661106959124</v>
      </c>
    </row>
    <row r="5982" customFormat="false" ht="15" hidden="false" customHeight="false" outlineLevel="0" collapsed="false">
      <c r="A5982" s="0" t="n">
        <v>8</v>
      </c>
      <c r="B5982" s="0" t="n">
        <v>1</v>
      </c>
      <c r="C5982" s="0" t="n">
        <v>7</v>
      </c>
      <c r="D5982" s="0" t="n">
        <v>1</v>
      </c>
      <c r="E5982" s="0" t="n">
        <f aca="false">-1+A5982*0.25</f>
        <v>1</v>
      </c>
      <c r="F5982" s="0" t="n">
        <f aca="false">-1+B5982*0.25</f>
        <v>-0.75</v>
      </c>
      <c r="G5982" s="0" t="n">
        <f aca="false">-1+C5982*0.25</f>
        <v>0.75</v>
      </c>
      <c r="H5982" s="0" t="n">
        <f aca="false">-1+D5982*0.25</f>
        <v>-0.75</v>
      </c>
      <c r="I5982" s="0" t="n">
        <f aca="false">1</f>
        <v>1</v>
      </c>
      <c r="J5982" s="0" t="n">
        <f aca="false">E5982</f>
        <v>1</v>
      </c>
      <c r="K5982" s="0" t="n">
        <f aca="false">F5982</f>
        <v>-0.75</v>
      </c>
      <c r="L5982" s="0" t="n">
        <f aca="false">G5982</f>
        <v>0.75</v>
      </c>
      <c r="M5982" s="0" t="n">
        <f aca="false">H5982</f>
        <v>-0.75</v>
      </c>
      <c r="N5982" s="0" t="n">
        <f aca="false">E5982*F5982</f>
        <v>-0.75</v>
      </c>
      <c r="O5982" s="0" t="n">
        <f aca="false">E5982*G5982</f>
        <v>0.75</v>
      </c>
      <c r="P5982" s="0" t="n">
        <f aca="false">E5982*H5982</f>
        <v>-0.75</v>
      </c>
      <c r="Q5982" s="0" t="n">
        <f aca="false">F5982*G5982</f>
        <v>-0.5625</v>
      </c>
      <c r="R5982" s="0" t="n">
        <f aca="false">F5982*H5982</f>
        <v>0.5625</v>
      </c>
      <c r="S5982" s="0" t="n">
        <f aca="false">G5982*H5982</f>
        <v>-0.5625</v>
      </c>
      <c r="T5982" s="0" t="n">
        <f aca="false">E5982*E5982</f>
        <v>1</v>
      </c>
      <c r="U5982" s="0" t="n">
        <f aca="false">F5982*F5982</f>
        <v>0.5625</v>
      </c>
      <c r="V5982" s="0" t="n">
        <f aca="false">G5982*G5982</f>
        <v>0.5625</v>
      </c>
      <c r="W5982" s="0" t="n">
        <f aca="false">H5982*H5982</f>
        <v>0.5625</v>
      </c>
      <c r="X5982" s="0" t="n">
        <f aca="false">SUMPRODUCT(I5982:W5982,_XtX!$B$96:$P$96)</f>
        <v>42.2598181652047</v>
      </c>
      <c r="Y5982" s="0" t="n">
        <f aca="false">SUMPRODUCT(MMULT(I5982:W5982,_XtX!$B$78:$P$92),I5982:W5982)</f>
        <v>0.420117473044591</v>
      </c>
      <c r="Z5982" s="0" t="n">
        <f aca="false">04_回帰ANOVA!$K$19*04_回帰ANOVA!$K$14*SQRT(1+Y5982)</f>
        <v>1.55331854827765</v>
      </c>
      <c r="AA5982" s="0" t="n">
        <f aca="false">X5982-Z5982</f>
        <v>40.7064996169271</v>
      </c>
      <c r="AB5982" s="0" t="n">
        <f aca="false">X5982+Z5982</f>
        <v>43.8131367134824</v>
      </c>
      <c r="AC5982" s="54" t="b">
        <f aca="false">AND(E5982&gt;=01_因子設定!$L$5-0.000000001,E5982&lt;=01_因子設定!$M$5+0.000000001,F5982&gt;=01_因子設定!$L$6-0.000000001,F5982&lt;=01_因子設定!$M$6+0.000000001,G5982&gt;=01_因子設定!$L$7-0.000000001,G5982&lt;=01_因子設定!$M$7+0.000000001,H5982&gt;=01_因子設定!$L$8-0.000000001,H5982&lt;=01_因子設定!$M$8+0.000000001,IF(01_因子設定!$B$20="Box-Behnken",E5982^2+F5982^2+G5982^2+H5982^2&lt;=2+0.000000001,TRUE()))</f>
        <v>1</v>
      </c>
      <c r="AD5982" s="55" t="n">
        <f aca="false">IF(AC5982,IF(01_因子設定!$B$13="最大化",AA5982-01_因子設定!$B$14,IF(01_因子設定!$B$13="最小化",01_因子設定!$B$15-AB5982,MIN(AA5982-01_因子設定!$B$14,01_因子設定!$B$15-AB5982))),-1E+030)</f>
        <v>-5.79350038307292</v>
      </c>
      <c r="AE5982" s="55" t="n">
        <f aca="false">IF(AC5982,IF(01_因子設定!$B$13="最大化",X5982,IF(01_因子設定!$B$13="最小化",-X5982,-ABS(X5982-01_因子設定!$B$16))),-1E+030)</f>
        <v>42.2598181652047</v>
      </c>
      <c r="AF5982" s="55" t="n">
        <f aca="false">AD5982+ROW()*0.000000001</f>
        <v>-5.79349440107292</v>
      </c>
      <c r="AG5982" s="55" t="n">
        <f aca="false">AE5982+ROW()*0.000000001</f>
        <v>42.2598241472047</v>
      </c>
    </row>
    <row r="5983" customFormat="false" ht="15" hidden="false" customHeight="false" outlineLevel="0" collapsed="false">
      <c r="A5983" s="0" t="n">
        <v>8</v>
      </c>
      <c r="B5983" s="0" t="n">
        <v>1</v>
      </c>
      <c r="C5983" s="0" t="n">
        <v>7</v>
      </c>
      <c r="D5983" s="0" t="n">
        <v>2</v>
      </c>
      <c r="E5983" s="0" t="n">
        <f aca="false">-1+A5983*0.25</f>
        <v>1</v>
      </c>
      <c r="F5983" s="0" t="n">
        <f aca="false">-1+B5983*0.25</f>
        <v>-0.75</v>
      </c>
      <c r="G5983" s="0" t="n">
        <f aca="false">-1+C5983*0.25</f>
        <v>0.75</v>
      </c>
      <c r="H5983" s="0" t="n">
        <f aca="false">-1+D5983*0.25</f>
        <v>-0.5</v>
      </c>
      <c r="I5983" s="0" t="n">
        <f aca="false">1</f>
        <v>1</v>
      </c>
      <c r="J5983" s="0" t="n">
        <f aca="false">E5983</f>
        <v>1</v>
      </c>
      <c r="K5983" s="0" t="n">
        <f aca="false">F5983</f>
        <v>-0.75</v>
      </c>
      <c r="L5983" s="0" t="n">
        <f aca="false">G5983</f>
        <v>0.75</v>
      </c>
      <c r="M5983" s="0" t="n">
        <f aca="false">H5983</f>
        <v>-0.5</v>
      </c>
      <c r="N5983" s="0" t="n">
        <f aca="false">E5983*F5983</f>
        <v>-0.75</v>
      </c>
      <c r="O5983" s="0" t="n">
        <f aca="false">E5983*G5983</f>
        <v>0.75</v>
      </c>
      <c r="P5983" s="0" t="n">
        <f aca="false">E5983*H5983</f>
        <v>-0.5</v>
      </c>
      <c r="Q5983" s="0" t="n">
        <f aca="false">F5983*G5983</f>
        <v>-0.5625</v>
      </c>
      <c r="R5983" s="0" t="n">
        <f aca="false">F5983*H5983</f>
        <v>0.375</v>
      </c>
      <c r="S5983" s="0" t="n">
        <f aca="false">G5983*H5983</f>
        <v>-0.375</v>
      </c>
      <c r="T5983" s="0" t="n">
        <f aca="false">E5983*E5983</f>
        <v>1</v>
      </c>
      <c r="U5983" s="0" t="n">
        <f aca="false">F5983*F5983</f>
        <v>0.5625</v>
      </c>
      <c r="V5983" s="0" t="n">
        <f aca="false">G5983*G5983</f>
        <v>0.5625</v>
      </c>
      <c r="W5983" s="0" t="n">
        <f aca="false">H5983*H5983</f>
        <v>0.25</v>
      </c>
      <c r="X5983" s="0" t="n">
        <f aca="false">SUMPRODUCT(I5983:W5983,_XtX!$B$96:$P$96)</f>
        <v>42.6057245979533</v>
      </c>
      <c r="Y5983" s="0" t="n">
        <f aca="false">SUMPRODUCT(MMULT(I5983:W5983,_XtX!$B$78:$P$92),I5983:W5983)</f>
        <v>0.431153771472953</v>
      </c>
      <c r="Z5983" s="0" t="n">
        <f aca="false">04_回帰ANOVA!$K$19*04_回帰ANOVA!$K$14*SQRT(1+Y5983)</f>
        <v>1.55934259562563</v>
      </c>
      <c r="AA5983" s="0" t="n">
        <f aca="false">X5983-Z5983</f>
        <v>41.0463820023276</v>
      </c>
      <c r="AB5983" s="0" t="n">
        <f aca="false">X5983+Z5983</f>
        <v>44.1650671935789</v>
      </c>
      <c r="AC5983" s="54" t="b">
        <f aca="false">AND(E5983&gt;=01_因子設定!$L$5-0.000000001,E5983&lt;=01_因子設定!$M$5+0.000000001,F5983&gt;=01_因子設定!$L$6-0.000000001,F5983&lt;=01_因子設定!$M$6+0.000000001,G5983&gt;=01_因子設定!$L$7-0.000000001,G5983&lt;=01_因子設定!$M$7+0.000000001,H5983&gt;=01_因子設定!$L$8-0.000000001,H5983&lt;=01_因子設定!$M$8+0.000000001,IF(01_因子設定!$B$20="Box-Behnken",E5983^2+F5983^2+G5983^2+H5983^2&lt;=2+0.000000001,TRUE()))</f>
        <v>1</v>
      </c>
      <c r="AD5983" s="55" t="n">
        <f aca="false">IF(AC5983,IF(01_因子設定!$B$13="最大化",AA5983-01_因子設定!$B$14,IF(01_因子設定!$B$13="最小化",01_因子設定!$B$15-AB5983,MIN(AA5983-01_因子設定!$B$14,01_因子設定!$B$15-AB5983))),-1E+030)</f>
        <v>-5.45361799767237</v>
      </c>
      <c r="AE5983" s="55" t="n">
        <f aca="false">IF(AC5983,IF(01_因子設定!$B$13="最大化",X5983,IF(01_因子設定!$B$13="最小化",-X5983,-ABS(X5983-01_因子設定!$B$16))),-1E+030)</f>
        <v>42.6057245979533</v>
      </c>
      <c r="AF5983" s="55" t="n">
        <f aca="false">AD5983+ROW()*0.000000001</f>
        <v>-5.45361201467237</v>
      </c>
      <c r="AG5983" s="55" t="n">
        <f aca="false">AE5983+ROW()*0.000000001</f>
        <v>42.6057305809533</v>
      </c>
    </row>
    <row r="5984" customFormat="false" ht="15" hidden="false" customHeight="false" outlineLevel="0" collapsed="false">
      <c r="A5984" s="0" t="n">
        <v>8</v>
      </c>
      <c r="B5984" s="0" t="n">
        <v>1</v>
      </c>
      <c r="C5984" s="0" t="n">
        <v>7</v>
      </c>
      <c r="D5984" s="0" t="n">
        <v>3</v>
      </c>
      <c r="E5984" s="0" t="n">
        <f aca="false">-1+A5984*0.25</f>
        <v>1</v>
      </c>
      <c r="F5984" s="0" t="n">
        <f aca="false">-1+B5984*0.25</f>
        <v>-0.75</v>
      </c>
      <c r="G5984" s="0" t="n">
        <f aca="false">-1+C5984*0.25</f>
        <v>0.75</v>
      </c>
      <c r="H5984" s="0" t="n">
        <f aca="false">-1+D5984*0.25</f>
        <v>-0.25</v>
      </c>
      <c r="I5984" s="0" t="n">
        <f aca="false">1</f>
        <v>1</v>
      </c>
      <c r="J5984" s="0" t="n">
        <f aca="false">E5984</f>
        <v>1</v>
      </c>
      <c r="K5984" s="0" t="n">
        <f aca="false">F5984</f>
        <v>-0.75</v>
      </c>
      <c r="L5984" s="0" t="n">
        <f aca="false">G5984</f>
        <v>0.75</v>
      </c>
      <c r="M5984" s="0" t="n">
        <f aca="false">H5984</f>
        <v>-0.25</v>
      </c>
      <c r="N5984" s="0" t="n">
        <f aca="false">E5984*F5984</f>
        <v>-0.75</v>
      </c>
      <c r="O5984" s="0" t="n">
        <f aca="false">E5984*G5984</f>
        <v>0.75</v>
      </c>
      <c r="P5984" s="0" t="n">
        <f aca="false">E5984*H5984</f>
        <v>-0.25</v>
      </c>
      <c r="Q5984" s="0" t="n">
        <f aca="false">F5984*G5984</f>
        <v>-0.5625</v>
      </c>
      <c r="R5984" s="0" t="n">
        <f aca="false">F5984*H5984</f>
        <v>0.1875</v>
      </c>
      <c r="S5984" s="0" t="n">
        <f aca="false">G5984*H5984</f>
        <v>-0.1875</v>
      </c>
      <c r="T5984" s="0" t="n">
        <f aca="false">E5984*E5984</f>
        <v>1</v>
      </c>
      <c r="U5984" s="0" t="n">
        <f aca="false">F5984*F5984</f>
        <v>0.5625</v>
      </c>
      <c r="V5984" s="0" t="n">
        <f aca="false">G5984*G5984</f>
        <v>0.5625</v>
      </c>
      <c r="W5984" s="0" t="n">
        <f aca="false">H5984*H5984</f>
        <v>0.0625</v>
      </c>
      <c r="X5984" s="0" t="n">
        <f aca="false">SUMPRODUCT(I5984:W5984,_XtX!$B$96:$P$96)</f>
        <v>42.9038240131579</v>
      </c>
      <c r="Y5984" s="0" t="n">
        <f aca="false">SUMPRODUCT(MMULT(I5984:W5984,_XtX!$B$78:$P$92),I5984:W5984)</f>
        <v>0.473959761056287</v>
      </c>
      <c r="Z5984" s="0" t="n">
        <f aca="false">04_回帰ANOVA!$K$19*04_回帰ANOVA!$K$14*SQRT(1+Y5984)</f>
        <v>1.58249084588329</v>
      </c>
      <c r="AA5984" s="0" t="n">
        <f aca="false">X5984-Z5984</f>
        <v>41.3213331672746</v>
      </c>
      <c r="AB5984" s="0" t="n">
        <f aca="false">X5984+Z5984</f>
        <v>44.4863148590412</v>
      </c>
      <c r="AC5984" s="54" t="b">
        <f aca="false">AND(E5984&gt;=01_因子設定!$L$5-0.000000001,E5984&lt;=01_因子設定!$M$5+0.000000001,F5984&gt;=01_因子設定!$L$6-0.000000001,F5984&lt;=01_因子設定!$M$6+0.000000001,G5984&gt;=01_因子設定!$L$7-0.000000001,G5984&lt;=01_因子設定!$M$7+0.000000001,H5984&gt;=01_因子設定!$L$8-0.000000001,H5984&lt;=01_因子設定!$M$8+0.000000001,IF(01_因子設定!$B$20="Box-Behnken",E5984^2+F5984^2+G5984^2+H5984^2&lt;=2+0.000000001,TRUE()))</f>
        <v>1</v>
      </c>
      <c r="AD5984" s="55" t="n">
        <f aca="false">IF(AC5984,IF(01_因子設定!$B$13="最大化",AA5984-01_因子設定!$B$14,IF(01_因子設定!$B$13="最小化",01_因子設定!$B$15-AB5984,MIN(AA5984-01_因子設定!$B$14,01_因子設定!$B$15-AB5984))),-1E+030)</f>
        <v>-5.17866683272536</v>
      </c>
      <c r="AE5984" s="55" t="n">
        <f aca="false">IF(AC5984,IF(01_因子設定!$B$13="最大化",X5984,IF(01_因子設定!$B$13="最小化",-X5984,-ABS(X5984-01_因子設定!$B$16))),-1E+030)</f>
        <v>42.9038240131579</v>
      </c>
      <c r="AF5984" s="55" t="n">
        <f aca="false">AD5984+ROW()*0.000000001</f>
        <v>-5.17866084872536</v>
      </c>
      <c r="AG5984" s="55" t="n">
        <f aca="false">AE5984+ROW()*0.000000001</f>
        <v>42.9038299971579</v>
      </c>
    </row>
    <row r="5985" customFormat="false" ht="15" hidden="false" customHeight="false" outlineLevel="0" collapsed="false">
      <c r="A5985" s="0" t="n">
        <v>8</v>
      </c>
      <c r="B5985" s="0" t="n">
        <v>1</v>
      </c>
      <c r="C5985" s="0" t="n">
        <v>7</v>
      </c>
      <c r="D5985" s="0" t="n">
        <v>4</v>
      </c>
      <c r="E5985" s="0" t="n">
        <f aca="false">-1+A5985*0.25</f>
        <v>1</v>
      </c>
      <c r="F5985" s="0" t="n">
        <f aca="false">-1+B5985*0.25</f>
        <v>-0.75</v>
      </c>
      <c r="G5985" s="0" t="n">
        <f aca="false">-1+C5985*0.25</f>
        <v>0.75</v>
      </c>
      <c r="H5985" s="0" t="n">
        <f aca="false">-1+D5985*0.25</f>
        <v>0</v>
      </c>
      <c r="I5985" s="0" t="n">
        <f aca="false">1</f>
        <v>1</v>
      </c>
      <c r="J5985" s="0" t="n">
        <f aca="false">E5985</f>
        <v>1</v>
      </c>
      <c r="K5985" s="0" t="n">
        <f aca="false">F5985</f>
        <v>-0.75</v>
      </c>
      <c r="L5985" s="0" t="n">
        <f aca="false">G5985</f>
        <v>0.75</v>
      </c>
      <c r="M5985" s="0" t="n">
        <f aca="false">H5985</f>
        <v>0</v>
      </c>
      <c r="N5985" s="0" t="n">
        <f aca="false">E5985*F5985</f>
        <v>-0.75</v>
      </c>
      <c r="O5985" s="0" t="n">
        <f aca="false">E5985*G5985</f>
        <v>0.75</v>
      </c>
      <c r="P5985" s="0" t="n">
        <f aca="false">E5985*H5985</f>
        <v>0</v>
      </c>
      <c r="Q5985" s="0" t="n">
        <f aca="false">F5985*G5985</f>
        <v>-0.5625</v>
      </c>
      <c r="R5985" s="0" t="n">
        <f aca="false">F5985*H5985</f>
        <v>-0</v>
      </c>
      <c r="S5985" s="0" t="n">
        <f aca="false">G5985*H5985</f>
        <v>0</v>
      </c>
      <c r="T5985" s="0" t="n">
        <f aca="false">E5985*E5985</f>
        <v>1</v>
      </c>
      <c r="U5985" s="0" t="n">
        <f aca="false">F5985*F5985</f>
        <v>0.5625</v>
      </c>
      <c r="V5985" s="0" t="n">
        <f aca="false">G5985*G5985</f>
        <v>0.5625</v>
      </c>
      <c r="W5985" s="0" t="n">
        <f aca="false">H5985*H5985</f>
        <v>0</v>
      </c>
      <c r="X5985" s="0" t="n">
        <f aca="false">SUMPRODUCT(I5985:W5985,_XtX!$B$96:$P$96)</f>
        <v>43.1541164108187</v>
      </c>
      <c r="Y5985" s="0" t="n">
        <f aca="false">SUMPRODUCT(MMULT(I5985:W5985,_XtX!$B$78:$P$92),I5985:W5985)</f>
        <v>0.494259126005117</v>
      </c>
      <c r="Z5985" s="0" t="n">
        <f aca="false">04_回帰ANOVA!$K$19*04_回帰ANOVA!$K$14*SQRT(1+Y5985)</f>
        <v>1.59335061078203</v>
      </c>
      <c r="AA5985" s="0" t="n">
        <f aca="false">X5985-Z5985</f>
        <v>41.5607658000367</v>
      </c>
      <c r="AB5985" s="0" t="n">
        <f aca="false">X5985+Z5985</f>
        <v>44.7474670216008</v>
      </c>
      <c r="AC5985" s="54" t="b">
        <f aca="false">AND(E5985&gt;=01_因子設定!$L$5-0.000000001,E5985&lt;=01_因子設定!$M$5+0.000000001,F5985&gt;=01_因子設定!$L$6-0.000000001,F5985&lt;=01_因子設定!$M$6+0.000000001,G5985&gt;=01_因子設定!$L$7-0.000000001,G5985&lt;=01_因子設定!$M$7+0.000000001,H5985&gt;=01_因子設定!$L$8-0.000000001,H5985&lt;=01_因子設定!$M$8+0.000000001,IF(01_因子設定!$B$20="Box-Behnken",E5985^2+F5985^2+G5985^2+H5985^2&lt;=2+0.000000001,TRUE()))</f>
        <v>1</v>
      </c>
      <c r="AD5985" s="55" t="n">
        <f aca="false">IF(AC5985,IF(01_因子設定!$B$13="最大化",AA5985-01_因子設定!$B$14,IF(01_因子設定!$B$13="最小化",01_因子設定!$B$15-AB5985,MIN(AA5985-01_因子設定!$B$14,01_因子設定!$B$15-AB5985))),-1E+030)</f>
        <v>-4.93923419996329</v>
      </c>
      <c r="AE5985" s="55" t="n">
        <f aca="false">IF(AC5985,IF(01_因子設定!$B$13="最大化",X5985,IF(01_因子設定!$B$13="最小化",-X5985,-ABS(X5985-01_因子設定!$B$16))),-1E+030)</f>
        <v>43.1541164108187</v>
      </c>
      <c r="AF5985" s="55" t="n">
        <f aca="false">AD5985+ROW()*0.000000001</f>
        <v>-4.93922821496329</v>
      </c>
      <c r="AG5985" s="55" t="n">
        <f aca="false">AE5985+ROW()*0.000000001</f>
        <v>43.1541223958187</v>
      </c>
    </row>
    <row r="5986" customFormat="false" ht="15" hidden="false" customHeight="false" outlineLevel="0" collapsed="false">
      <c r="A5986" s="0" t="n">
        <v>8</v>
      </c>
      <c r="B5986" s="0" t="n">
        <v>1</v>
      </c>
      <c r="C5986" s="0" t="n">
        <v>7</v>
      </c>
      <c r="D5986" s="0" t="n">
        <v>5</v>
      </c>
      <c r="E5986" s="0" t="n">
        <f aca="false">-1+A5986*0.25</f>
        <v>1</v>
      </c>
      <c r="F5986" s="0" t="n">
        <f aca="false">-1+B5986*0.25</f>
        <v>-0.75</v>
      </c>
      <c r="G5986" s="0" t="n">
        <f aca="false">-1+C5986*0.25</f>
        <v>0.75</v>
      </c>
      <c r="H5986" s="0" t="n">
        <f aca="false">-1+D5986*0.25</f>
        <v>0.25</v>
      </c>
      <c r="I5986" s="0" t="n">
        <f aca="false">1</f>
        <v>1</v>
      </c>
      <c r="J5986" s="0" t="n">
        <f aca="false">E5986</f>
        <v>1</v>
      </c>
      <c r="K5986" s="0" t="n">
        <f aca="false">F5986</f>
        <v>-0.75</v>
      </c>
      <c r="L5986" s="0" t="n">
        <f aca="false">G5986</f>
        <v>0.75</v>
      </c>
      <c r="M5986" s="0" t="n">
        <f aca="false">H5986</f>
        <v>0.25</v>
      </c>
      <c r="N5986" s="0" t="n">
        <f aca="false">E5986*F5986</f>
        <v>-0.75</v>
      </c>
      <c r="O5986" s="0" t="n">
        <f aca="false">E5986*G5986</f>
        <v>0.75</v>
      </c>
      <c r="P5986" s="0" t="n">
        <f aca="false">E5986*H5986</f>
        <v>0.25</v>
      </c>
      <c r="Q5986" s="0" t="n">
        <f aca="false">F5986*G5986</f>
        <v>-0.5625</v>
      </c>
      <c r="R5986" s="0" t="n">
        <f aca="false">F5986*H5986</f>
        <v>-0.1875</v>
      </c>
      <c r="S5986" s="0" t="n">
        <f aca="false">G5986*H5986</f>
        <v>0.1875</v>
      </c>
      <c r="T5986" s="0" t="n">
        <f aca="false">E5986*E5986</f>
        <v>1</v>
      </c>
      <c r="U5986" s="0" t="n">
        <f aca="false">F5986*F5986</f>
        <v>0.5625</v>
      </c>
      <c r="V5986" s="0" t="n">
        <f aca="false">G5986*G5986</f>
        <v>0.5625</v>
      </c>
      <c r="W5986" s="0" t="n">
        <f aca="false">H5986*H5986</f>
        <v>0.0625</v>
      </c>
      <c r="X5986" s="0" t="n">
        <f aca="false">SUMPRODUCT(I5986:W5986,_XtX!$B$96:$P$96)</f>
        <v>43.3566017909357</v>
      </c>
      <c r="Y5986" s="0" t="n">
        <f aca="false">SUMPRODUCT(MMULT(I5986:W5986,_XtX!$B$78:$P$92),I5986:W5986)</f>
        <v>0.473959761056287</v>
      </c>
      <c r="Z5986" s="0" t="n">
        <f aca="false">04_回帰ANOVA!$K$19*04_回帰ANOVA!$K$14*SQRT(1+Y5986)</f>
        <v>1.58249084588329</v>
      </c>
      <c r="AA5986" s="0" t="n">
        <f aca="false">X5986-Z5986</f>
        <v>41.7741109450524</v>
      </c>
      <c r="AB5986" s="0" t="n">
        <f aca="false">X5986+Z5986</f>
        <v>44.939092636819</v>
      </c>
      <c r="AC5986" s="54" t="b">
        <f aca="false">AND(E5986&gt;=01_因子設定!$L$5-0.000000001,E5986&lt;=01_因子設定!$M$5+0.000000001,F5986&gt;=01_因子設定!$L$6-0.000000001,F5986&lt;=01_因子設定!$M$6+0.000000001,G5986&gt;=01_因子設定!$L$7-0.000000001,G5986&lt;=01_因子設定!$M$7+0.000000001,H5986&gt;=01_因子設定!$L$8-0.000000001,H5986&lt;=01_因子設定!$M$8+0.000000001,IF(01_因子設定!$B$20="Box-Behnken",E5986^2+F5986^2+G5986^2+H5986^2&lt;=2+0.000000001,TRUE()))</f>
        <v>1</v>
      </c>
      <c r="AD5986" s="55" t="n">
        <f aca="false">IF(AC5986,IF(01_因子設定!$B$13="最大化",AA5986-01_因子設定!$B$14,IF(01_因子設定!$B$13="最小化",01_因子設定!$B$15-AB5986,MIN(AA5986-01_因子設定!$B$14,01_因子設定!$B$15-AB5986))),-1E+030)</f>
        <v>-4.72588905494759</v>
      </c>
      <c r="AE5986" s="55" t="n">
        <f aca="false">IF(AC5986,IF(01_因子設定!$B$13="最大化",X5986,IF(01_因子設定!$B$13="最小化",-X5986,-ABS(X5986-01_因子設定!$B$16))),-1E+030)</f>
        <v>43.3566017909357</v>
      </c>
      <c r="AF5986" s="55" t="n">
        <f aca="false">AD5986+ROW()*0.000000001</f>
        <v>-4.72588306894759</v>
      </c>
      <c r="AG5986" s="55" t="n">
        <f aca="false">AE5986+ROW()*0.000000001</f>
        <v>43.3566077769357</v>
      </c>
    </row>
    <row r="5987" customFormat="false" ht="15" hidden="false" customHeight="false" outlineLevel="0" collapsed="false">
      <c r="A5987" s="0" t="n">
        <v>8</v>
      </c>
      <c r="B5987" s="0" t="n">
        <v>1</v>
      </c>
      <c r="C5987" s="0" t="n">
        <v>7</v>
      </c>
      <c r="D5987" s="0" t="n">
        <v>6</v>
      </c>
      <c r="E5987" s="0" t="n">
        <f aca="false">-1+A5987*0.25</f>
        <v>1</v>
      </c>
      <c r="F5987" s="0" t="n">
        <f aca="false">-1+B5987*0.25</f>
        <v>-0.75</v>
      </c>
      <c r="G5987" s="0" t="n">
        <f aca="false">-1+C5987*0.25</f>
        <v>0.75</v>
      </c>
      <c r="H5987" s="0" t="n">
        <f aca="false">-1+D5987*0.25</f>
        <v>0.5</v>
      </c>
      <c r="I5987" s="0" t="n">
        <f aca="false">1</f>
        <v>1</v>
      </c>
      <c r="J5987" s="0" t="n">
        <f aca="false">E5987</f>
        <v>1</v>
      </c>
      <c r="K5987" s="0" t="n">
        <f aca="false">F5987</f>
        <v>-0.75</v>
      </c>
      <c r="L5987" s="0" t="n">
        <f aca="false">G5987</f>
        <v>0.75</v>
      </c>
      <c r="M5987" s="0" t="n">
        <f aca="false">H5987</f>
        <v>0.5</v>
      </c>
      <c r="N5987" s="0" t="n">
        <f aca="false">E5987*F5987</f>
        <v>-0.75</v>
      </c>
      <c r="O5987" s="0" t="n">
        <f aca="false">E5987*G5987</f>
        <v>0.75</v>
      </c>
      <c r="P5987" s="0" t="n">
        <f aca="false">E5987*H5987</f>
        <v>0.5</v>
      </c>
      <c r="Q5987" s="0" t="n">
        <f aca="false">F5987*G5987</f>
        <v>-0.5625</v>
      </c>
      <c r="R5987" s="0" t="n">
        <f aca="false">F5987*H5987</f>
        <v>-0.375</v>
      </c>
      <c r="S5987" s="0" t="n">
        <f aca="false">G5987*H5987</f>
        <v>0.375</v>
      </c>
      <c r="T5987" s="0" t="n">
        <f aca="false">E5987*E5987</f>
        <v>1</v>
      </c>
      <c r="U5987" s="0" t="n">
        <f aca="false">F5987*F5987</f>
        <v>0.5625</v>
      </c>
      <c r="V5987" s="0" t="n">
        <f aca="false">G5987*G5987</f>
        <v>0.5625</v>
      </c>
      <c r="W5987" s="0" t="n">
        <f aca="false">H5987*H5987</f>
        <v>0.25</v>
      </c>
      <c r="X5987" s="0" t="n">
        <f aca="false">SUMPRODUCT(I5987:W5987,_XtX!$B$96:$P$96)</f>
        <v>43.5112801535088</v>
      </c>
      <c r="Y5987" s="0" t="n">
        <f aca="false">SUMPRODUCT(MMULT(I5987:W5987,_XtX!$B$78:$P$92),I5987:W5987)</f>
        <v>0.431153771472953</v>
      </c>
      <c r="Z5987" s="0" t="n">
        <f aca="false">04_回帰ANOVA!$K$19*04_回帰ANOVA!$K$14*SQRT(1+Y5987)</f>
        <v>1.55934259562563</v>
      </c>
      <c r="AA5987" s="0" t="n">
        <f aca="false">X5987-Z5987</f>
        <v>41.9519375578832</v>
      </c>
      <c r="AB5987" s="0" t="n">
        <f aca="false">X5987+Z5987</f>
        <v>45.0706227491344</v>
      </c>
      <c r="AC5987" s="54" t="b">
        <f aca="false">AND(E5987&gt;=01_因子設定!$L$5-0.000000001,E5987&lt;=01_因子設定!$M$5+0.000000001,F5987&gt;=01_因子設定!$L$6-0.000000001,F5987&lt;=01_因子設定!$M$6+0.000000001,G5987&gt;=01_因子設定!$L$7-0.000000001,G5987&lt;=01_因子設定!$M$7+0.000000001,H5987&gt;=01_因子設定!$L$8-0.000000001,H5987&lt;=01_因子設定!$M$8+0.000000001,IF(01_因子設定!$B$20="Box-Behnken",E5987^2+F5987^2+G5987^2+H5987^2&lt;=2+0.000000001,TRUE()))</f>
        <v>1</v>
      </c>
      <c r="AD5987" s="55" t="n">
        <f aca="false">IF(AC5987,IF(01_因子設定!$B$13="最大化",AA5987-01_因子設定!$B$14,IF(01_因子設定!$B$13="最小化",01_因子設定!$B$15-AB5987,MIN(AA5987-01_因子設定!$B$14,01_因子設定!$B$15-AB5987))),-1E+030)</f>
        <v>-4.54806244211682</v>
      </c>
      <c r="AE5987" s="55" t="n">
        <f aca="false">IF(AC5987,IF(01_因子設定!$B$13="最大化",X5987,IF(01_因子設定!$B$13="最小化",-X5987,-ABS(X5987-01_因子設定!$B$16))),-1E+030)</f>
        <v>43.5112801535088</v>
      </c>
      <c r="AF5987" s="55" t="n">
        <f aca="false">AD5987+ROW()*0.000000001</f>
        <v>-4.54805645511682</v>
      </c>
      <c r="AG5987" s="55" t="n">
        <f aca="false">AE5987+ROW()*0.000000001</f>
        <v>43.5112861405088</v>
      </c>
    </row>
    <row r="5988" customFormat="false" ht="15" hidden="false" customHeight="false" outlineLevel="0" collapsed="false">
      <c r="A5988" s="0" t="n">
        <v>8</v>
      </c>
      <c r="B5988" s="0" t="n">
        <v>1</v>
      </c>
      <c r="C5988" s="0" t="n">
        <v>7</v>
      </c>
      <c r="D5988" s="0" t="n">
        <v>7</v>
      </c>
      <c r="E5988" s="0" t="n">
        <f aca="false">-1+A5988*0.25</f>
        <v>1</v>
      </c>
      <c r="F5988" s="0" t="n">
        <f aca="false">-1+B5988*0.25</f>
        <v>-0.75</v>
      </c>
      <c r="G5988" s="0" t="n">
        <f aca="false">-1+C5988*0.25</f>
        <v>0.75</v>
      </c>
      <c r="H5988" s="0" t="n">
        <f aca="false">-1+D5988*0.25</f>
        <v>0.75</v>
      </c>
      <c r="I5988" s="0" t="n">
        <f aca="false">1</f>
        <v>1</v>
      </c>
      <c r="J5988" s="0" t="n">
        <f aca="false">E5988</f>
        <v>1</v>
      </c>
      <c r="K5988" s="0" t="n">
        <f aca="false">F5988</f>
        <v>-0.75</v>
      </c>
      <c r="L5988" s="0" t="n">
        <f aca="false">G5988</f>
        <v>0.75</v>
      </c>
      <c r="M5988" s="0" t="n">
        <f aca="false">H5988</f>
        <v>0.75</v>
      </c>
      <c r="N5988" s="0" t="n">
        <f aca="false">E5988*F5988</f>
        <v>-0.75</v>
      </c>
      <c r="O5988" s="0" t="n">
        <f aca="false">E5988*G5988</f>
        <v>0.75</v>
      </c>
      <c r="P5988" s="0" t="n">
        <f aca="false">E5988*H5988</f>
        <v>0.75</v>
      </c>
      <c r="Q5988" s="0" t="n">
        <f aca="false">F5988*G5988</f>
        <v>-0.5625</v>
      </c>
      <c r="R5988" s="0" t="n">
        <f aca="false">F5988*H5988</f>
        <v>-0.5625</v>
      </c>
      <c r="S5988" s="0" t="n">
        <f aca="false">G5988*H5988</f>
        <v>0.5625</v>
      </c>
      <c r="T5988" s="0" t="n">
        <f aca="false">E5988*E5988</f>
        <v>1</v>
      </c>
      <c r="U5988" s="0" t="n">
        <f aca="false">F5988*F5988</f>
        <v>0.5625</v>
      </c>
      <c r="V5988" s="0" t="n">
        <f aca="false">G5988*G5988</f>
        <v>0.5625</v>
      </c>
      <c r="W5988" s="0" t="n">
        <f aca="false">H5988*H5988</f>
        <v>0.5625</v>
      </c>
      <c r="X5988" s="0" t="n">
        <f aca="false">SUMPRODUCT(I5988:W5988,_XtX!$B$96:$P$96)</f>
        <v>43.6181514985381</v>
      </c>
      <c r="Y5988" s="0" t="n">
        <f aca="false">SUMPRODUCT(MMULT(I5988:W5988,_XtX!$B$78:$P$92),I5988:W5988)</f>
        <v>0.420117473044591</v>
      </c>
      <c r="Z5988" s="0" t="n">
        <f aca="false">04_回帰ANOVA!$K$19*04_回帰ANOVA!$K$14*SQRT(1+Y5988)</f>
        <v>1.55331854827765</v>
      </c>
      <c r="AA5988" s="0" t="n">
        <f aca="false">X5988-Z5988</f>
        <v>42.0648329502604</v>
      </c>
      <c r="AB5988" s="0" t="n">
        <f aca="false">X5988+Z5988</f>
        <v>45.1714700468157</v>
      </c>
      <c r="AC5988" s="54" t="b">
        <f aca="false">AND(E5988&gt;=01_因子設定!$L$5-0.000000001,E5988&lt;=01_因子設定!$M$5+0.000000001,F5988&gt;=01_因子設定!$L$6-0.000000001,F5988&lt;=01_因子設定!$M$6+0.000000001,G5988&gt;=01_因子設定!$L$7-0.000000001,G5988&lt;=01_因子設定!$M$7+0.000000001,H5988&gt;=01_因子設定!$L$8-0.000000001,H5988&lt;=01_因子設定!$M$8+0.000000001,IF(01_因子設定!$B$20="Box-Behnken",E5988^2+F5988^2+G5988^2+H5988^2&lt;=2+0.000000001,TRUE()))</f>
        <v>1</v>
      </c>
      <c r="AD5988" s="55" t="n">
        <f aca="false">IF(AC5988,IF(01_因子設定!$B$13="最大化",AA5988-01_因子設定!$B$14,IF(01_因子設定!$B$13="最小化",01_因子設定!$B$15-AB5988,MIN(AA5988-01_因子設定!$B$14,01_因子設定!$B$15-AB5988))),-1E+030)</f>
        <v>-4.43516704973959</v>
      </c>
      <c r="AE5988" s="55" t="n">
        <f aca="false">IF(AC5988,IF(01_因子設定!$B$13="最大化",X5988,IF(01_因子設定!$B$13="最小化",-X5988,-ABS(X5988-01_因子設定!$B$16))),-1E+030)</f>
        <v>43.6181514985381</v>
      </c>
      <c r="AF5988" s="55" t="n">
        <f aca="false">AD5988+ROW()*0.000000001</f>
        <v>-4.43516106173959</v>
      </c>
      <c r="AG5988" s="55" t="n">
        <f aca="false">AE5988+ROW()*0.000000001</f>
        <v>43.6181574865381</v>
      </c>
    </row>
    <row r="5989" customFormat="false" ht="15" hidden="false" customHeight="false" outlineLevel="0" collapsed="false">
      <c r="A5989" s="0" t="n">
        <v>8</v>
      </c>
      <c r="B5989" s="0" t="n">
        <v>1</v>
      </c>
      <c r="C5989" s="0" t="n">
        <v>7</v>
      </c>
      <c r="D5989" s="0" t="n">
        <v>8</v>
      </c>
      <c r="E5989" s="0" t="n">
        <f aca="false">-1+A5989*0.25</f>
        <v>1</v>
      </c>
      <c r="F5989" s="0" t="n">
        <f aca="false">-1+B5989*0.25</f>
        <v>-0.75</v>
      </c>
      <c r="G5989" s="0" t="n">
        <f aca="false">-1+C5989*0.25</f>
        <v>0.75</v>
      </c>
      <c r="H5989" s="0" t="n">
        <f aca="false">-1+D5989*0.25</f>
        <v>1</v>
      </c>
      <c r="I5989" s="0" t="n">
        <f aca="false">1</f>
        <v>1</v>
      </c>
      <c r="J5989" s="0" t="n">
        <f aca="false">E5989</f>
        <v>1</v>
      </c>
      <c r="K5989" s="0" t="n">
        <f aca="false">F5989</f>
        <v>-0.75</v>
      </c>
      <c r="L5989" s="0" t="n">
        <f aca="false">G5989</f>
        <v>0.75</v>
      </c>
      <c r="M5989" s="0" t="n">
        <f aca="false">H5989</f>
        <v>1</v>
      </c>
      <c r="N5989" s="0" t="n">
        <f aca="false">E5989*F5989</f>
        <v>-0.75</v>
      </c>
      <c r="O5989" s="0" t="n">
        <f aca="false">E5989*G5989</f>
        <v>0.75</v>
      </c>
      <c r="P5989" s="0" t="n">
        <f aca="false">E5989*H5989</f>
        <v>1</v>
      </c>
      <c r="Q5989" s="0" t="n">
        <f aca="false">F5989*G5989</f>
        <v>-0.5625</v>
      </c>
      <c r="R5989" s="0" t="n">
        <f aca="false">F5989*H5989</f>
        <v>-0.75</v>
      </c>
      <c r="S5989" s="0" t="n">
        <f aca="false">G5989*H5989</f>
        <v>0.75</v>
      </c>
      <c r="T5989" s="0" t="n">
        <f aca="false">E5989*E5989</f>
        <v>1</v>
      </c>
      <c r="U5989" s="0" t="n">
        <f aca="false">F5989*F5989</f>
        <v>0.5625</v>
      </c>
      <c r="V5989" s="0" t="n">
        <f aca="false">G5989*G5989</f>
        <v>0.5625</v>
      </c>
      <c r="W5989" s="0" t="n">
        <f aca="false">H5989*H5989</f>
        <v>1</v>
      </c>
      <c r="X5989" s="0" t="n">
        <f aca="false">SUMPRODUCT(I5989:W5989,_XtX!$B$96:$P$96)</f>
        <v>43.6772158260235</v>
      </c>
      <c r="Y5989" s="0" t="n">
        <f aca="false">SUMPRODUCT(MMULT(I5989:W5989,_XtX!$B$78:$P$92),I5989:W5989)</f>
        <v>0.531311392086988</v>
      </c>
      <c r="Z5989" s="0" t="n">
        <f aca="false">04_回帰ANOVA!$K$19*04_回帰ANOVA!$K$14*SQRT(1+Y5989)</f>
        <v>1.61298433431428</v>
      </c>
      <c r="AA5989" s="0" t="n">
        <f aca="false">X5989-Z5989</f>
        <v>42.0642314917092</v>
      </c>
      <c r="AB5989" s="0" t="n">
        <f aca="false">X5989+Z5989</f>
        <v>45.2902001603377</v>
      </c>
      <c r="AC5989" s="54" t="b">
        <f aca="false">AND(E5989&gt;=01_因子設定!$L$5-0.000000001,E5989&lt;=01_因子設定!$M$5+0.000000001,F5989&gt;=01_因子設定!$L$6-0.000000001,F5989&lt;=01_因子設定!$M$6+0.000000001,G5989&gt;=01_因子設定!$L$7-0.000000001,G5989&lt;=01_因子設定!$M$7+0.000000001,H5989&gt;=01_因子設定!$L$8-0.000000001,H5989&lt;=01_因子設定!$M$8+0.000000001,IF(01_因子設定!$B$20="Box-Behnken",E5989^2+F5989^2+G5989^2+H5989^2&lt;=2+0.000000001,TRUE()))</f>
        <v>1</v>
      </c>
      <c r="AD5989" s="55" t="n">
        <f aca="false">IF(AC5989,IF(01_因子設定!$B$13="最大化",AA5989-01_因子設定!$B$14,IF(01_因子設定!$B$13="最小化",01_因子設定!$B$15-AB5989,MIN(AA5989-01_因子設定!$B$14,01_因子設定!$B$15-AB5989))),-1E+030)</f>
        <v>-4.43576850829083</v>
      </c>
      <c r="AE5989" s="55" t="n">
        <f aca="false">IF(AC5989,IF(01_因子設定!$B$13="最大化",X5989,IF(01_因子設定!$B$13="最小化",-X5989,-ABS(X5989-01_因子設定!$B$16))),-1E+030)</f>
        <v>43.6772158260235</v>
      </c>
      <c r="AF5989" s="55" t="n">
        <f aca="false">AD5989+ROW()*0.000000001</f>
        <v>-4.43576251929083</v>
      </c>
      <c r="AG5989" s="55" t="n">
        <f aca="false">AE5989+ROW()*0.000000001</f>
        <v>43.6772218150235</v>
      </c>
    </row>
    <row r="5990" customFormat="false" ht="15" hidden="false" customHeight="false" outlineLevel="0" collapsed="false">
      <c r="A5990" s="0" t="n">
        <v>8</v>
      </c>
      <c r="B5990" s="0" t="n">
        <v>1</v>
      </c>
      <c r="C5990" s="0" t="n">
        <v>8</v>
      </c>
      <c r="D5990" s="0" t="n">
        <v>0</v>
      </c>
      <c r="E5990" s="0" t="n">
        <f aca="false">-1+A5990*0.25</f>
        <v>1</v>
      </c>
      <c r="F5990" s="0" t="n">
        <f aca="false">-1+B5990*0.25</f>
        <v>-0.75</v>
      </c>
      <c r="G5990" s="0" t="n">
        <f aca="false">-1+C5990*0.25</f>
        <v>1</v>
      </c>
      <c r="H5990" s="0" t="n">
        <f aca="false">-1+D5990*0.25</f>
        <v>-1</v>
      </c>
      <c r="I5990" s="0" t="n">
        <f aca="false">1</f>
        <v>1</v>
      </c>
      <c r="J5990" s="0" t="n">
        <f aca="false">E5990</f>
        <v>1</v>
      </c>
      <c r="K5990" s="0" t="n">
        <f aca="false">F5990</f>
        <v>-0.75</v>
      </c>
      <c r="L5990" s="0" t="n">
        <f aca="false">G5990</f>
        <v>1</v>
      </c>
      <c r="M5990" s="0" t="n">
        <f aca="false">H5990</f>
        <v>-1</v>
      </c>
      <c r="N5990" s="0" t="n">
        <f aca="false">E5990*F5990</f>
        <v>-0.75</v>
      </c>
      <c r="O5990" s="0" t="n">
        <f aca="false">E5990*G5990</f>
        <v>1</v>
      </c>
      <c r="P5990" s="0" t="n">
        <f aca="false">E5990*H5990</f>
        <v>-1</v>
      </c>
      <c r="Q5990" s="0" t="n">
        <f aca="false">F5990*G5990</f>
        <v>-0.75</v>
      </c>
      <c r="R5990" s="0" t="n">
        <f aca="false">F5990*H5990</f>
        <v>0.75</v>
      </c>
      <c r="S5990" s="0" t="n">
        <f aca="false">G5990*H5990</f>
        <v>-1</v>
      </c>
      <c r="T5990" s="0" t="n">
        <f aca="false">E5990*E5990</f>
        <v>1</v>
      </c>
      <c r="U5990" s="0" t="n">
        <f aca="false">F5990*F5990</f>
        <v>0.5625</v>
      </c>
      <c r="V5990" s="0" t="n">
        <f aca="false">G5990*G5990</f>
        <v>1</v>
      </c>
      <c r="W5990" s="0" t="n">
        <f aca="false">H5990*H5990</f>
        <v>1</v>
      </c>
      <c r="X5990" s="0" t="n">
        <f aca="false">SUMPRODUCT(I5990:W5990,_XtX!$B$96:$P$96)</f>
        <v>41.5203947368422</v>
      </c>
      <c r="Y5990" s="0" t="n">
        <f aca="false">SUMPRODUCT(MMULT(I5990:W5990,_XtX!$B$78:$P$92),I5990:W5990)</f>
        <v>0.610814144736842</v>
      </c>
      <c r="Z5990" s="0" t="n">
        <f aca="false">04_回帰ANOVA!$K$19*04_回帰ANOVA!$K$14*SQRT(1+Y5990)</f>
        <v>1.6543260558361</v>
      </c>
      <c r="AA5990" s="0" t="n">
        <f aca="false">X5990-Z5990</f>
        <v>39.8660686810061</v>
      </c>
      <c r="AB5990" s="0" t="n">
        <f aca="false">X5990+Z5990</f>
        <v>43.1747207926783</v>
      </c>
      <c r="AC5990" s="54" t="b">
        <f aca="false">AND(E5990&gt;=01_因子設定!$L$5-0.000000001,E5990&lt;=01_因子設定!$M$5+0.000000001,F5990&gt;=01_因子設定!$L$6-0.000000001,F5990&lt;=01_因子設定!$M$6+0.000000001,G5990&gt;=01_因子設定!$L$7-0.000000001,G5990&lt;=01_因子設定!$M$7+0.000000001,H5990&gt;=01_因子設定!$L$8-0.000000001,H5990&lt;=01_因子設定!$M$8+0.000000001,IF(01_因子設定!$B$20="Box-Behnken",E5990^2+F5990^2+G5990^2+H5990^2&lt;=2+0.000000001,TRUE()))</f>
        <v>1</v>
      </c>
      <c r="AD5990" s="55" t="n">
        <f aca="false">IF(AC5990,IF(01_因子設定!$B$13="最大化",AA5990-01_因子設定!$B$14,IF(01_因子設定!$B$13="最小化",01_因子設定!$B$15-AB5990,MIN(AA5990-01_因子設定!$B$14,01_因子設定!$B$15-AB5990))),-1E+030)</f>
        <v>-6.63393131899392</v>
      </c>
      <c r="AE5990" s="55" t="n">
        <f aca="false">IF(AC5990,IF(01_因子設定!$B$13="最大化",X5990,IF(01_因子設定!$B$13="最小化",-X5990,-ABS(X5990-01_因子設定!$B$16))),-1E+030)</f>
        <v>41.5203947368422</v>
      </c>
      <c r="AF5990" s="55" t="n">
        <f aca="false">AD5990+ROW()*0.000000001</f>
        <v>-6.63392532899392</v>
      </c>
      <c r="AG5990" s="55" t="n">
        <f aca="false">AE5990+ROW()*0.000000001</f>
        <v>41.5204007268422</v>
      </c>
    </row>
    <row r="5991" customFormat="false" ht="15" hidden="false" customHeight="false" outlineLevel="0" collapsed="false">
      <c r="A5991" s="0" t="n">
        <v>8</v>
      </c>
      <c r="B5991" s="0" t="n">
        <v>1</v>
      </c>
      <c r="C5991" s="0" t="n">
        <v>8</v>
      </c>
      <c r="D5991" s="0" t="n">
        <v>1</v>
      </c>
      <c r="E5991" s="0" t="n">
        <f aca="false">-1+A5991*0.25</f>
        <v>1</v>
      </c>
      <c r="F5991" s="0" t="n">
        <f aca="false">-1+B5991*0.25</f>
        <v>-0.75</v>
      </c>
      <c r="G5991" s="0" t="n">
        <f aca="false">-1+C5991*0.25</f>
        <v>1</v>
      </c>
      <c r="H5991" s="0" t="n">
        <f aca="false">-1+D5991*0.25</f>
        <v>-0.75</v>
      </c>
      <c r="I5991" s="0" t="n">
        <f aca="false">1</f>
        <v>1</v>
      </c>
      <c r="J5991" s="0" t="n">
        <f aca="false">E5991</f>
        <v>1</v>
      </c>
      <c r="K5991" s="0" t="n">
        <f aca="false">F5991</f>
        <v>-0.75</v>
      </c>
      <c r="L5991" s="0" t="n">
        <f aca="false">G5991</f>
        <v>1</v>
      </c>
      <c r="M5991" s="0" t="n">
        <f aca="false">H5991</f>
        <v>-0.75</v>
      </c>
      <c r="N5991" s="0" t="n">
        <f aca="false">E5991*F5991</f>
        <v>-0.75</v>
      </c>
      <c r="O5991" s="0" t="n">
        <f aca="false">E5991*G5991</f>
        <v>1</v>
      </c>
      <c r="P5991" s="0" t="n">
        <f aca="false">E5991*H5991</f>
        <v>-0.75</v>
      </c>
      <c r="Q5991" s="0" t="n">
        <f aca="false">F5991*G5991</f>
        <v>-0.75</v>
      </c>
      <c r="R5991" s="0" t="n">
        <f aca="false">F5991*H5991</f>
        <v>0.5625</v>
      </c>
      <c r="S5991" s="0" t="n">
        <f aca="false">G5991*H5991</f>
        <v>-0.75</v>
      </c>
      <c r="T5991" s="0" t="n">
        <f aca="false">E5991*E5991</f>
        <v>1</v>
      </c>
      <c r="U5991" s="0" t="n">
        <f aca="false">F5991*F5991</f>
        <v>0.5625</v>
      </c>
      <c r="V5991" s="0" t="n">
        <f aca="false">G5991*G5991</f>
        <v>1</v>
      </c>
      <c r="W5991" s="0" t="n">
        <f aca="false">H5991*H5991</f>
        <v>0.5625</v>
      </c>
      <c r="X5991" s="0" t="n">
        <f aca="false">SUMPRODUCT(I5991:W5991,_XtX!$B$96:$P$96)</f>
        <v>41.9320769371346</v>
      </c>
      <c r="Y5991" s="0" t="n">
        <f aca="false">SUMPRODUCT(MMULT(I5991:W5991,_XtX!$B$78:$P$92),I5991:W5991)</f>
        <v>0.531311392086988</v>
      </c>
      <c r="Z5991" s="0" t="n">
        <f aca="false">04_回帰ANOVA!$K$19*04_回帰ANOVA!$K$14*SQRT(1+Y5991)</f>
        <v>1.61298433431428</v>
      </c>
      <c r="AA5991" s="0" t="n">
        <f aca="false">X5991-Z5991</f>
        <v>40.3190926028203</v>
      </c>
      <c r="AB5991" s="0" t="n">
        <f aca="false">X5991+Z5991</f>
        <v>43.5450612714488</v>
      </c>
      <c r="AC5991" s="54" t="b">
        <f aca="false">AND(E5991&gt;=01_因子設定!$L$5-0.000000001,E5991&lt;=01_因子設定!$M$5+0.000000001,F5991&gt;=01_因子設定!$L$6-0.000000001,F5991&lt;=01_因子設定!$M$6+0.000000001,G5991&gt;=01_因子設定!$L$7-0.000000001,G5991&lt;=01_因子設定!$M$7+0.000000001,H5991&gt;=01_因子設定!$L$8-0.000000001,H5991&lt;=01_因子設定!$M$8+0.000000001,IF(01_因子設定!$B$20="Box-Behnken",E5991^2+F5991^2+G5991^2+H5991^2&lt;=2+0.000000001,TRUE()))</f>
        <v>1</v>
      </c>
      <c r="AD5991" s="55" t="n">
        <f aca="false">IF(AC5991,IF(01_因子設定!$B$13="最大化",AA5991-01_因子設定!$B$14,IF(01_因子設定!$B$13="最小化",01_因子設定!$B$15-AB5991,MIN(AA5991-01_因子設定!$B$14,01_因子設定!$B$15-AB5991))),-1E+030)</f>
        <v>-6.18090739717973</v>
      </c>
      <c r="AE5991" s="55" t="n">
        <f aca="false">IF(AC5991,IF(01_因子設定!$B$13="最大化",X5991,IF(01_因子設定!$B$13="最小化",-X5991,-ABS(X5991-01_因子設定!$B$16))),-1E+030)</f>
        <v>41.9320769371346</v>
      </c>
      <c r="AF5991" s="55" t="n">
        <f aca="false">AD5991+ROW()*0.000000001</f>
        <v>-6.18090140617973</v>
      </c>
      <c r="AG5991" s="55" t="n">
        <f aca="false">AE5991+ROW()*0.000000001</f>
        <v>41.9320829281346</v>
      </c>
    </row>
    <row r="5992" customFormat="false" ht="15" hidden="false" customHeight="false" outlineLevel="0" collapsed="false">
      <c r="A5992" s="0" t="n">
        <v>8</v>
      </c>
      <c r="B5992" s="0" t="n">
        <v>1</v>
      </c>
      <c r="C5992" s="0" t="n">
        <v>8</v>
      </c>
      <c r="D5992" s="0" t="n">
        <v>2</v>
      </c>
      <c r="E5992" s="0" t="n">
        <f aca="false">-1+A5992*0.25</f>
        <v>1</v>
      </c>
      <c r="F5992" s="0" t="n">
        <f aca="false">-1+B5992*0.25</f>
        <v>-0.75</v>
      </c>
      <c r="G5992" s="0" t="n">
        <f aca="false">-1+C5992*0.25</f>
        <v>1</v>
      </c>
      <c r="H5992" s="0" t="n">
        <f aca="false">-1+D5992*0.25</f>
        <v>-0.5</v>
      </c>
      <c r="I5992" s="0" t="n">
        <f aca="false">1</f>
        <v>1</v>
      </c>
      <c r="J5992" s="0" t="n">
        <f aca="false">E5992</f>
        <v>1</v>
      </c>
      <c r="K5992" s="0" t="n">
        <f aca="false">F5992</f>
        <v>-0.75</v>
      </c>
      <c r="L5992" s="0" t="n">
        <f aca="false">G5992</f>
        <v>1</v>
      </c>
      <c r="M5992" s="0" t="n">
        <f aca="false">H5992</f>
        <v>-0.5</v>
      </c>
      <c r="N5992" s="0" t="n">
        <f aca="false">E5992*F5992</f>
        <v>-0.75</v>
      </c>
      <c r="O5992" s="0" t="n">
        <f aca="false">E5992*G5992</f>
        <v>1</v>
      </c>
      <c r="P5992" s="0" t="n">
        <f aca="false">E5992*H5992</f>
        <v>-0.5</v>
      </c>
      <c r="Q5992" s="0" t="n">
        <f aca="false">F5992*G5992</f>
        <v>-0.75</v>
      </c>
      <c r="R5992" s="0" t="n">
        <f aca="false">F5992*H5992</f>
        <v>0.375</v>
      </c>
      <c r="S5992" s="0" t="n">
        <f aca="false">G5992*H5992</f>
        <v>-0.5</v>
      </c>
      <c r="T5992" s="0" t="n">
        <f aca="false">E5992*E5992</f>
        <v>1</v>
      </c>
      <c r="U5992" s="0" t="n">
        <f aca="false">F5992*F5992</f>
        <v>0.5625</v>
      </c>
      <c r="V5992" s="0" t="n">
        <f aca="false">G5992*G5992</f>
        <v>1</v>
      </c>
      <c r="W5992" s="0" t="n">
        <f aca="false">H5992*H5992</f>
        <v>0.25</v>
      </c>
      <c r="X5992" s="0" t="n">
        <f aca="false">SUMPRODUCT(I5992:W5992,_XtX!$B$96:$P$96)</f>
        <v>42.2959521198831</v>
      </c>
      <c r="Y5992" s="0" t="n">
        <f aca="false">SUMPRODUCT(MMULT(I5992:W5992,_XtX!$B$78:$P$92),I5992:W5992)</f>
        <v>0.564984237938597</v>
      </c>
      <c r="Z5992" s="0" t="n">
        <f aca="false">04_回帰ANOVA!$K$19*04_回帰ANOVA!$K$14*SQRT(1+Y5992)</f>
        <v>1.63062229734503</v>
      </c>
      <c r="AA5992" s="0" t="n">
        <f aca="false">X5992-Z5992</f>
        <v>40.665329822538</v>
      </c>
      <c r="AB5992" s="0" t="n">
        <f aca="false">X5992+Z5992</f>
        <v>43.9265744172281</v>
      </c>
      <c r="AC5992" s="54" t="b">
        <f aca="false">AND(E5992&gt;=01_因子設定!$L$5-0.000000001,E5992&lt;=01_因子設定!$M$5+0.000000001,F5992&gt;=01_因子設定!$L$6-0.000000001,F5992&lt;=01_因子設定!$M$6+0.000000001,G5992&gt;=01_因子設定!$L$7-0.000000001,G5992&lt;=01_因子設定!$M$7+0.000000001,H5992&gt;=01_因子設定!$L$8-0.000000001,H5992&lt;=01_因子設定!$M$8+0.000000001,IF(01_因子設定!$B$20="Box-Behnken",E5992^2+F5992^2+G5992^2+H5992^2&lt;=2+0.000000001,TRUE()))</f>
        <v>1</v>
      </c>
      <c r="AD5992" s="55" t="n">
        <f aca="false">IF(AC5992,IF(01_因子設定!$B$13="最大化",AA5992-01_因子設定!$B$14,IF(01_因子設定!$B$13="最小化",01_因子設定!$B$15-AB5992,MIN(AA5992-01_因子設定!$B$14,01_因子設定!$B$15-AB5992))),-1E+030)</f>
        <v>-5.83467017746196</v>
      </c>
      <c r="AE5992" s="55" t="n">
        <f aca="false">IF(AC5992,IF(01_因子設定!$B$13="最大化",X5992,IF(01_因子設定!$B$13="最小化",-X5992,-ABS(X5992-01_因子設定!$B$16))),-1E+030)</f>
        <v>42.2959521198831</v>
      </c>
      <c r="AF5992" s="55" t="n">
        <f aca="false">AD5992+ROW()*0.000000001</f>
        <v>-5.83466418546196</v>
      </c>
      <c r="AG5992" s="55" t="n">
        <f aca="false">AE5992+ROW()*0.000000001</f>
        <v>42.2959581118831</v>
      </c>
    </row>
    <row r="5993" customFormat="false" ht="15" hidden="false" customHeight="false" outlineLevel="0" collapsed="false">
      <c r="A5993" s="0" t="n">
        <v>8</v>
      </c>
      <c r="B5993" s="0" t="n">
        <v>1</v>
      </c>
      <c r="C5993" s="0" t="n">
        <v>8</v>
      </c>
      <c r="D5993" s="0" t="n">
        <v>3</v>
      </c>
      <c r="E5993" s="0" t="n">
        <f aca="false">-1+A5993*0.25</f>
        <v>1</v>
      </c>
      <c r="F5993" s="0" t="n">
        <f aca="false">-1+B5993*0.25</f>
        <v>-0.75</v>
      </c>
      <c r="G5993" s="0" t="n">
        <f aca="false">-1+C5993*0.25</f>
        <v>1</v>
      </c>
      <c r="H5993" s="0" t="n">
        <f aca="false">-1+D5993*0.25</f>
        <v>-0.25</v>
      </c>
      <c r="I5993" s="0" t="n">
        <f aca="false">1</f>
        <v>1</v>
      </c>
      <c r="J5993" s="0" t="n">
        <f aca="false">E5993</f>
        <v>1</v>
      </c>
      <c r="K5993" s="0" t="n">
        <f aca="false">F5993</f>
        <v>-0.75</v>
      </c>
      <c r="L5993" s="0" t="n">
        <f aca="false">G5993</f>
        <v>1</v>
      </c>
      <c r="M5993" s="0" t="n">
        <f aca="false">H5993</f>
        <v>-0.25</v>
      </c>
      <c r="N5993" s="0" t="n">
        <f aca="false">E5993*F5993</f>
        <v>-0.75</v>
      </c>
      <c r="O5993" s="0" t="n">
        <f aca="false">E5993*G5993</f>
        <v>1</v>
      </c>
      <c r="P5993" s="0" t="n">
        <f aca="false">E5993*H5993</f>
        <v>-0.25</v>
      </c>
      <c r="Q5993" s="0" t="n">
        <f aca="false">F5993*G5993</f>
        <v>-0.75</v>
      </c>
      <c r="R5993" s="0" t="n">
        <f aca="false">F5993*H5993</f>
        <v>0.1875</v>
      </c>
      <c r="S5993" s="0" t="n">
        <f aca="false">G5993*H5993</f>
        <v>-0.25</v>
      </c>
      <c r="T5993" s="0" t="n">
        <f aca="false">E5993*E5993</f>
        <v>1</v>
      </c>
      <c r="U5993" s="0" t="n">
        <f aca="false">F5993*F5993</f>
        <v>0.5625</v>
      </c>
      <c r="V5993" s="0" t="n">
        <f aca="false">G5993*G5993</f>
        <v>1</v>
      </c>
      <c r="W5993" s="0" t="n">
        <f aca="false">H5993*H5993</f>
        <v>0.0625</v>
      </c>
      <c r="X5993" s="0" t="n">
        <f aca="false">SUMPRODUCT(I5993:W5993,_XtX!$B$96:$P$96)</f>
        <v>42.6120202850878</v>
      </c>
      <c r="Y5993" s="0" t="n">
        <f aca="false">SUMPRODUCT(MMULT(I5993:W5993,_XtX!$B$78:$P$92),I5993:W5993)</f>
        <v>0.621372155975877</v>
      </c>
      <c r="Z5993" s="0" t="n">
        <f aca="false">04_回帰ANOVA!$K$19*04_回帰ANOVA!$K$14*SQRT(1+Y5993)</f>
        <v>1.65973880499872</v>
      </c>
      <c r="AA5993" s="0" t="n">
        <f aca="false">X5993-Z5993</f>
        <v>40.952281480089</v>
      </c>
      <c r="AB5993" s="0" t="n">
        <f aca="false">X5993+Z5993</f>
        <v>44.2717590900865</v>
      </c>
      <c r="AC5993" s="54" t="b">
        <f aca="false">AND(E5993&gt;=01_因子設定!$L$5-0.000000001,E5993&lt;=01_因子設定!$M$5+0.000000001,F5993&gt;=01_因子設定!$L$6-0.000000001,F5993&lt;=01_因子設定!$M$6+0.000000001,G5993&gt;=01_因子設定!$L$7-0.000000001,G5993&lt;=01_因子設定!$M$7+0.000000001,H5993&gt;=01_因子設定!$L$8-0.000000001,H5993&lt;=01_因子設定!$M$8+0.000000001,IF(01_因子設定!$B$20="Box-Behnken",E5993^2+F5993^2+G5993^2+H5993^2&lt;=2+0.000000001,TRUE()))</f>
        <v>1</v>
      </c>
      <c r="AD5993" s="55" t="n">
        <f aca="false">IF(AC5993,IF(01_因子設定!$B$13="最大化",AA5993-01_因子設定!$B$14,IF(01_因子設定!$B$13="最小化",01_因子設定!$B$15-AB5993,MIN(AA5993-01_因子設定!$B$14,01_因子設定!$B$15-AB5993))),-1E+030)</f>
        <v>-5.54771851991097</v>
      </c>
      <c r="AE5993" s="55" t="n">
        <f aca="false">IF(AC5993,IF(01_因子設定!$B$13="最大化",X5993,IF(01_因子設定!$B$13="最小化",-X5993,-ABS(X5993-01_因子設定!$B$16))),-1E+030)</f>
        <v>42.6120202850878</v>
      </c>
      <c r="AF5993" s="55" t="n">
        <f aca="false">AD5993+ROW()*0.000000001</f>
        <v>-5.54771252691097</v>
      </c>
      <c r="AG5993" s="55" t="n">
        <f aca="false">AE5993+ROW()*0.000000001</f>
        <v>42.6120262780878</v>
      </c>
    </row>
    <row r="5994" customFormat="false" ht="15" hidden="false" customHeight="false" outlineLevel="0" collapsed="false">
      <c r="A5994" s="0" t="n">
        <v>8</v>
      </c>
      <c r="B5994" s="0" t="n">
        <v>1</v>
      </c>
      <c r="C5994" s="0" t="n">
        <v>8</v>
      </c>
      <c r="D5994" s="0" t="n">
        <v>4</v>
      </c>
      <c r="E5994" s="0" t="n">
        <f aca="false">-1+A5994*0.25</f>
        <v>1</v>
      </c>
      <c r="F5994" s="0" t="n">
        <f aca="false">-1+B5994*0.25</f>
        <v>-0.75</v>
      </c>
      <c r="G5994" s="0" t="n">
        <f aca="false">-1+C5994*0.25</f>
        <v>1</v>
      </c>
      <c r="H5994" s="0" t="n">
        <f aca="false">-1+D5994*0.25</f>
        <v>0</v>
      </c>
      <c r="I5994" s="0" t="n">
        <f aca="false">1</f>
        <v>1</v>
      </c>
      <c r="J5994" s="0" t="n">
        <f aca="false">E5994</f>
        <v>1</v>
      </c>
      <c r="K5994" s="0" t="n">
        <f aca="false">F5994</f>
        <v>-0.75</v>
      </c>
      <c r="L5994" s="0" t="n">
        <f aca="false">G5994</f>
        <v>1</v>
      </c>
      <c r="M5994" s="0" t="n">
        <f aca="false">H5994</f>
        <v>0</v>
      </c>
      <c r="N5994" s="0" t="n">
        <f aca="false">E5994*F5994</f>
        <v>-0.75</v>
      </c>
      <c r="O5994" s="0" t="n">
        <f aca="false">E5994*G5994</f>
        <v>1</v>
      </c>
      <c r="P5994" s="0" t="n">
        <f aca="false">E5994*H5994</f>
        <v>0</v>
      </c>
      <c r="Q5994" s="0" t="n">
        <f aca="false">F5994*G5994</f>
        <v>-0.75</v>
      </c>
      <c r="R5994" s="0" t="n">
        <f aca="false">F5994*H5994</f>
        <v>-0</v>
      </c>
      <c r="S5994" s="0" t="n">
        <f aca="false">G5994*H5994</f>
        <v>0</v>
      </c>
      <c r="T5994" s="0" t="n">
        <f aca="false">E5994*E5994</f>
        <v>1</v>
      </c>
      <c r="U5994" s="0" t="n">
        <f aca="false">F5994*F5994</f>
        <v>0.5625</v>
      </c>
      <c r="V5994" s="0" t="n">
        <f aca="false">G5994*G5994</f>
        <v>1</v>
      </c>
      <c r="W5994" s="0" t="n">
        <f aca="false">H5994*H5994</f>
        <v>0</v>
      </c>
      <c r="X5994" s="0" t="n">
        <f aca="false">SUMPRODUCT(I5994:W5994,_XtX!$B$96:$P$96)</f>
        <v>42.8802814327486</v>
      </c>
      <c r="Y5994" s="0" t="n">
        <f aca="false">SUMPRODUCT(MMULT(I5994:W5994,_XtX!$B$78:$P$92),I5994:W5994)</f>
        <v>0.646198830409357</v>
      </c>
      <c r="Z5994" s="0" t="n">
        <f aca="false">04_回帰ANOVA!$K$19*04_回帰ANOVA!$K$14*SQRT(1+Y5994)</f>
        <v>1.67239760569756</v>
      </c>
      <c r="AA5994" s="0" t="n">
        <f aca="false">X5994-Z5994</f>
        <v>41.207883827051</v>
      </c>
      <c r="AB5994" s="0" t="n">
        <f aca="false">X5994+Z5994</f>
        <v>44.5526790384461</v>
      </c>
      <c r="AC5994" s="54" t="b">
        <f aca="false">AND(E5994&gt;=01_因子設定!$L$5-0.000000001,E5994&lt;=01_因子設定!$M$5+0.000000001,F5994&gt;=01_因子設定!$L$6-0.000000001,F5994&lt;=01_因子設定!$M$6+0.000000001,G5994&gt;=01_因子設定!$L$7-0.000000001,G5994&lt;=01_因子設定!$M$7+0.000000001,H5994&gt;=01_因子設定!$L$8-0.000000001,H5994&lt;=01_因子設定!$M$8+0.000000001,IF(01_因子設定!$B$20="Box-Behnken",E5994^2+F5994^2+G5994^2+H5994^2&lt;=2+0.000000001,TRUE()))</f>
        <v>1</v>
      </c>
      <c r="AD5994" s="55" t="n">
        <f aca="false">IF(AC5994,IF(01_因子設定!$B$13="最大化",AA5994-01_因子設定!$B$14,IF(01_因子設定!$B$13="最小化",01_因子設定!$B$15-AB5994,MIN(AA5994-01_因子設定!$B$14,01_因子設定!$B$15-AB5994))),-1E+030)</f>
        <v>-5.29211617294899</v>
      </c>
      <c r="AE5994" s="55" t="n">
        <f aca="false">IF(AC5994,IF(01_因子設定!$B$13="最大化",X5994,IF(01_因子設定!$B$13="最小化",-X5994,-ABS(X5994-01_因子設定!$B$16))),-1E+030)</f>
        <v>42.8802814327486</v>
      </c>
      <c r="AF5994" s="55" t="n">
        <f aca="false">AD5994+ROW()*0.000000001</f>
        <v>-5.29211017894899</v>
      </c>
      <c r="AG5994" s="55" t="n">
        <f aca="false">AE5994+ROW()*0.000000001</f>
        <v>42.8802874267486</v>
      </c>
    </row>
    <row r="5995" customFormat="false" ht="15" hidden="false" customHeight="false" outlineLevel="0" collapsed="false">
      <c r="A5995" s="0" t="n">
        <v>8</v>
      </c>
      <c r="B5995" s="0" t="n">
        <v>1</v>
      </c>
      <c r="C5995" s="0" t="n">
        <v>8</v>
      </c>
      <c r="D5995" s="0" t="n">
        <v>5</v>
      </c>
      <c r="E5995" s="0" t="n">
        <f aca="false">-1+A5995*0.25</f>
        <v>1</v>
      </c>
      <c r="F5995" s="0" t="n">
        <f aca="false">-1+B5995*0.25</f>
        <v>-0.75</v>
      </c>
      <c r="G5995" s="0" t="n">
        <f aca="false">-1+C5995*0.25</f>
        <v>1</v>
      </c>
      <c r="H5995" s="0" t="n">
        <f aca="false">-1+D5995*0.25</f>
        <v>0.25</v>
      </c>
      <c r="I5995" s="0" t="n">
        <f aca="false">1</f>
        <v>1</v>
      </c>
      <c r="J5995" s="0" t="n">
        <f aca="false">E5995</f>
        <v>1</v>
      </c>
      <c r="K5995" s="0" t="n">
        <f aca="false">F5995</f>
        <v>-0.75</v>
      </c>
      <c r="L5995" s="0" t="n">
        <f aca="false">G5995</f>
        <v>1</v>
      </c>
      <c r="M5995" s="0" t="n">
        <f aca="false">H5995</f>
        <v>0.25</v>
      </c>
      <c r="N5995" s="0" t="n">
        <f aca="false">E5995*F5995</f>
        <v>-0.75</v>
      </c>
      <c r="O5995" s="0" t="n">
        <f aca="false">E5995*G5995</f>
        <v>1</v>
      </c>
      <c r="P5995" s="0" t="n">
        <f aca="false">E5995*H5995</f>
        <v>0.25</v>
      </c>
      <c r="Q5995" s="0" t="n">
        <f aca="false">F5995*G5995</f>
        <v>-0.75</v>
      </c>
      <c r="R5995" s="0" t="n">
        <f aca="false">F5995*H5995</f>
        <v>-0.1875</v>
      </c>
      <c r="S5995" s="0" t="n">
        <f aca="false">G5995*H5995</f>
        <v>0.25</v>
      </c>
      <c r="T5995" s="0" t="n">
        <f aca="false">E5995*E5995</f>
        <v>1</v>
      </c>
      <c r="U5995" s="0" t="n">
        <f aca="false">F5995*F5995</f>
        <v>0.5625</v>
      </c>
      <c r="V5995" s="0" t="n">
        <f aca="false">G5995*G5995</f>
        <v>1</v>
      </c>
      <c r="W5995" s="0" t="n">
        <f aca="false">H5995*H5995</f>
        <v>0.0625</v>
      </c>
      <c r="X5995" s="0" t="n">
        <f aca="false">SUMPRODUCT(I5995:W5995,_XtX!$B$96:$P$96)</f>
        <v>43.1007355628655</v>
      </c>
      <c r="Y5995" s="0" t="n">
        <f aca="false">SUMPRODUCT(MMULT(I5995:W5995,_XtX!$B$78:$P$92),I5995:W5995)</f>
        <v>0.621372155975877</v>
      </c>
      <c r="Z5995" s="0" t="n">
        <f aca="false">04_回帰ANOVA!$K$19*04_回帰ANOVA!$K$14*SQRT(1+Y5995)</f>
        <v>1.65973880499872</v>
      </c>
      <c r="AA5995" s="0" t="n">
        <f aca="false">X5995-Z5995</f>
        <v>41.4409967578668</v>
      </c>
      <c r="AB5995" s="0" t="n">
        <f aca="false">X5995+Z5995</f>
        <v>44.7604743678643</v>
      </c>
      <c r="AC5995" s="54" t="b">
        <f aca="false">AND(E5995&gt;=01_因子設定!$L$5-0.000000001,E5995&lt;=01_因子設定!$M$5+0.000000001,F5995&gt;=01_因子設定!$L$6-0.000000001,F5995&lt;=01_因子設定!$M$6+0.000000001,G5995&gt;=01_因子設定!$L$7-0.000000001,G5995&lt;=01_因子設定!$M$7+0.000000001,H5995&gt;=01_因子設定!$L$8-0.000000001,H5995&lt;=01_因子設定!$M$8+0.000000001,IF(01_因子設定!$B$20="Box-Behnken",E5995^2+F5995^2+G5995^2+H5995^2&lt;=2+0.000000001,TRUE()))</f>
        <v>1</v>
      </c>
      <c r="AD5995" s="55" t="n">
        <f aca="false">IF(AC5995,IF(01_因子設定!$B$13="最大化",AA5995-01_因子設定!$B$14,IF(01_因子設定!$B$13="最小化",01_因子設定!$B$15-AB5995,MIN(AA5995-01_因子設定!$B$14,01_因子設定!$B$15-AB5995))),-1E+030)</f>
        <v>-5.05900324213319</v>
      </c>
      <c r="AE5995" s="55" t="n">
        <f aca="false">IF(AC5995,IF(01_因子設定!$B$13="最大化",X5995,IF(01_因子設定!$B$13="最小化",-X5995,-ABS(X5995-01_因子設定!$B$16))),-1E+030)</f>
        <v>43.1007355628655</v>
      </c>
      <c r="AF5995" s="55" t="n">
        <f aca="false">AD5995+ROW()*0.000000001</f>
        <v>-5.05899724713319</v>
      </c>
      <c r="AG5995" s="55" t="n">
        <f aca="false">AE5995+ROW()*0.000000001</f>
        <v>43.1007415578655</v>
      </c>
    </row>
    <row r="5996" customFormat="false" ht="15" hidden="false" customHeight="false" outlineLevel="0" collapsed="false">
      <c r="A5996" s="0" t="n">
        <v>8</v>
      </c>
      <c r="B5996" s="0" t="n">
        <v>1</v>
      </c>
      <c r="C5996" s="0" t="n">
        <v>8</v>
      </c>
      <c r="D5996" s="0" t="n">
        <v>6</v>
      </c>
      <c r="E5996" s="0" t="n">
        <f aca="false">-1+A5996*0.25</f>
        <v>1</v>
      </c>
      <c r="F5996" s="0" t="n">
        <f aca="false">-1+B5996*0.25</f>
        <v>-0.75</v>
      </c>
      <c r="G5996" s="0" t="n">
        <f aca="false">-1+C5996*0.25</f>
        <v>1</v>
      </c>
      <c r="H5996" s="0" t="n">
        <f aca="false">-1+D5996*0.25</f>
        <v>0.5</v>
      </c>
      <c r="I5996" s="0" t="n">
        <f aca="false">1</f>
        <v>1</v>
      </c>
      <c r="J5996" s="0" t="n">
        <f aca="false">E5996</f>
        <v>1</v>
      </c>
      <c r="K5996" s="0" t="n">
        <f aca="false">F5996</f>
        <v>-0.75</v>
      </c>
      <c r="L5996" s="0" t="n">
        <f aca="false">G5996</f>
        <v>1</v>
      </c>
      <c r="M5996" s="0" t="n">
        <f aca="false">H5996</f>
        <v>0.5</v>
      </c>
      <c r="N5996" s="0" t="n">
        <f aca="false">E5996*F5996</f>
        <v>-0.75</v>
      </c>
      <c r="O5996" s="0" t="n">
        <f aca="false">E5996*G5996</f>
        <v>1</v>
      </c>
      <c r="P5996" s="0" t="n">
        <f aca="false">E5996*H5996</f>
        <v>0.5</v>
      </c>
      <c r="Q5996" s="0" t="n">
        <f aca="false">F5996*G5996</f>
        <v>-0.75</v>
      </c>
      <c r="R5996" s="0" t="n">
        <f aca="false">F5996*H5996</f>
        <v>-0.375</v>
      </c>
      <c r="S5996" s="0" t="n">
        <f aca="false">G5996*H5996</f>
        <v>0.5</v>
      </c>
      <c r="T5996" s="0" t="n">
        <f aca="false">E5996*E5996</f>
        <v>1</v>
      </c>
      <c r="U5996" s="0" t="n">
        <f aca="false">F5996*F5996</f>
        <v>0.5625</v>
      </c>
      <c r="V5996" s="0" t="n">
        <f aca="false">G5996*G5996</f>
        <v>1</v>
      </c>
      <c r="W5996" s="0" t="n">
        <f aca="false">H5996*H5996</f>
        <v>0.25</v>
      </c>
      <c r="X5996" s="0" t="n">
        <f aca="false">SUMPRODUCT(I5996:W5996,_XtX!$B$96:$P$96)</f>
        <v>43.2733826754386</v>
      </c>
      <c r="Y5996" s="0" t="n">
        <f aca="false">SUMPRODUCT(MMULT(I5996:W5996,_XtX!$B$78:$P$92),I5996:W5996)</f>
        <v>0.564984237938597</v>
      </c>
      <c r="Z5996" s="0" t="n">
        <f aca="false">04_回帰ANOVA!$K$19*04_回帰ANOVA!$K$14*SQRT(1+Y5996)</f>
        <v>1.63062229734503</v>
      </c>
      <c r="AA5996" s="0" t="n">
        <f aca="false">X5996-Z5996</f>
        <v>41.6427603780936</v>
      </c>
      <c r="AB5996" s="0" t="n">
        <f aca="false">X5996+Z5996</f>
        <v>44.9040049727837</v>
      </c>
      <c r="AC5996" s="54" t="b">
        <f aca="false">AND(E5996&gt;=01_因子設定!$L$5-0.000000001,E5996&lt;=01_因子設定!$M$5+0.000000001,F5996&gt;=01_因子設定!$L$6-0.000000001,F5996&lt;=01_因子設定!$M$6+0.000000001,G5996&gt;=01_因子設定!$L$7-0.000000001,G5996&lt;=01_因子設定!$M$7+0.000000001,H5996&gt;=01_因子設定!$L$8-0.000000001,H5996&lt;=01_因子設定!$M$8+0.000000001,IF(01_因子設定!$B$20="Box-Behnken",E5996^2+F5996^2+G5996^2+H5996^2&lt;=2+0.000000001,TRUE()))</f>
        <v>1</v>
      </c>
      <c r="AD5996" s="55" t="n">
        <f aca="false">IF(AC5996,IF(01_因子設定!$B$13="最大化",AA5996-01_因子設定!$B$14,IF(01_因子設定!$B$13="最小化",01_因子設定!$B$15-AB5996,MIN(AA5996-01_因子設定!$B$14,01_因子設定!$B$15-AB5996))),-1E+030)</f>
        <v>-4.8572396219064</v>
      </c>
      <c r="AE5996" s="55" t="n">
        <f aca="false">IF(AC5996,IF(01_因子設定!$B$13="最大化",X5996,IF(01_因子設定!$B$13="最小化",-X5996,-ABS(X5996-01_因子設定!$B$16))),-1E+030)</f>
        <v>43.2733826754386</v>
      </c>
      <c r="AF5996" s="55" t="n">
        <f aca="false">AD5996+ROW()*0.000000001</f>
        <v>-4.8572336259064</v>
      </c>
      <c r="AG5996" s="55" t="n">
        <f aca="false">AE5996+ROW()*0.000000001</f>
        <v>43.2733886714386</v>
      </c>
    </row>
    <row r="5997" customFormat="false" ht="15" hidden="false" customHeight="false" outlineLevel="0" collapsed="false">
      <c r="A5997" s="0" t="n">
        <v>8</v>
      </c>
      <c r="B5997" s="0" t="n">
        <v>1</v>
      </c>
      <c r="C5997" s="0" t="n">
        <v>8</v>
      </c>
      <c r="D5997" s="0" t="n">
        <v>7</v>
      </c>
      <c r="E5997" s="0" t="n">
        <f aca="false">-1+A5997*0.25</f>
        <v>1</v>
      </c>
      <c r="F5997" s="0" t="n">
        <f aca="false">-1+B5997*0.25</f>
        <v>-0.75</v>
      </c>
      <c r="G5997" s="0" t="n">
        <f aca="false">-1+C5997*0.25</f>
        <v>1</v>
      </c>
      <c r="H5997" s="0" t="n">
        <f aca="false">-1+D5997*0.25</f>
        <v>0.75</v>
      </c>
      <c r="I5997" s="0" t="n">
        <f aca="false">1</f>
        <v>1</v>
      </c>
      <c r="J5997" s="0" t="n">
        <f aca="false">E5997</f>
        <v>1</v>
      </c>
      <c r="K5997" s="0" t="n">
        <f aca="false">F5997</f>
        <v>-0.75</v>
      </c>
      <c r="L5997" s="0" t="n">
        <f aca="false">G5997</f>
        <v>1</v>
      </c>
      <c r="M5997" s="0" t="n">
        <f aca="false">H5997</f>
        <v>0.75</v>
      </c>
      <c r="N5997" s="0" t="n">
        <f aca="false">E5997*F5997</f>
        <v>-0.75</v>
      </c>
      <c r="O5997" s="0" t="n">
        <f aca="false">E5997*G5997</f>
        <v>1</v>
      </c>
      <c r="P5997" s="0" t="n">
        <f aca="false">E5997*H5997</f>
        <v>0.75</v>
      </c>
      <c r="Q5997" s="0" t="n">
        <f aca="false">F5997*G5997</f>
        <v>-0.75</v>
      </c>
      <c r="R5997" s="0" t="n">
        <f aca="false">F5997*H5997</f>
        <v>-0.5625</v>
      </c>
      <c r="S5997" s="0" t="n">
        <f aca="false">G5997*H5997</f>
        <v>0.75</v>
      </c>
      <c r="T5997" s="0" t="n">
        <f aca="false">E5997*E5997</f>
        <v>1</v>
      </c>
      <c r="U5997" s="0" t="n">
        <f aca="false">F5997*F5997</f>
        <v>0.5625</v>
      </c>
      <c r="V5997" s="0" t="n">
        <f aca="false">G5997*G5997</f>
        <v>1</v>
      </c>
      <c r="W5997" s="0" t="n">
        <f aca="false">H5997*H5997</f>
        <v>0.5625</v>
      </c>
      <c r="X5997" s="0" t="n">
        <f aca="false">SUMPRODUCT(I5997:W5997,_XtX!$B$96:$P$96)</f>
        <v>43.3982227704679</v>
      </c>
      <c r="Y5997" s="0" t="n">
        <f aca="false">SUMPRODUCT(MMULT(I5997:W5997,_XtX!$B$78:$P$92),I5997:W5997)</f>
        <v>0.531311392086988</v>
      </c>
      <c r="Z5997" s="0" t="n">
        <f aca="false">04_回帰ANOVA!$K$19*04_回帰ANOVA!$K$14*SQRT(1+Y5997)</f>
        <v>1.61298433431428</v>
      </c>
      <c r="AA5997" s="0" t="n">
        <f aca="false">X5997-Z5997</f>
        <v>41.7852384361536</v>
      </c>
      <c r="AB5997" s="0" t="n">
        <f aca="false">X5997+Z5997</f>
        <v>45.0112071047822</v>
      </c>
      <c r="AC5997" s="54" t="b">
        <f aca="false">AND(E5997&gt;=01_因子設定!$L$5-0.000000001,E5997&lt;=01_因子設定!$M$5+0.000000001,F5997&gt;=01_因子設定!$L$6-0.000000001,F5997&lt;=01_因子設定!$M$6+0.000000001,G5997&gt;=01_因子設定!$L$7-0.000000001,G5997&lt;=01_因子設定!$M$7+0.000000001,H5997&gt;=01_因子設定!$L$8-0.000000001,H5997&lt;=01_因子設定!$M$8+0.000000001,IF(01_因子設定!$B$20="Box-Behnken",E5997^2+F5997^2+G5997^2+H5997^2&lt;=2+0.000000001,TRUE()))</f>
        <v>1</v>
      </c>
      <c r="AD5997" s="55" t="n">
        <f aca="false">IF(AC5997,IF(01_因子設定!$B$13="最大化",AA5997-01_因子設定!$B$14,IF(01_因子設定!$B$13="最小化",01_因子設定!$B$15-AB5997,MIN(AA5997-01_因子設定!$B$14,01_因子設定!$B$15-AB5997))),-1E+030)</f>
        <v>-4.7147615638464</v>
      </c>
      <c r="AE5997" s="55" t="n">
        <f aca="false">IF(AC5997,IF(01_因子設定!$B$13="最大化",X5997,IF(01_因子設定!$B$13="最小化",-X5997,-ABS(X5997-01_因子設定!$B$16))),-1E+030)</f>
        <v>43.3982227704679</v>
      </c>
      <c r="AF5997" s="55" t="n">
        <f aca="false">AD5997+ROW()*0.000000001</f>
        <v>-4.7147555668464</v>
      </c>
      <c r="AG5997" s="55" t="n">
        <f aca="false">AE5997+ROW()*0.000000001</f>
        <v>43.3982287674679</v>
      </c>
    </row>
    <row r="5998" customFormat="false" ht="15" hidden="false" customHeight="false" outlineLevel="0" collapsed="false">
      <c r="A5998" s="0" t="n">
        <v>8</v>
      </c>
      <c r="B5998" s="0" t="n">
        <v>1</v>
      </c>
      <c r="C5998" s="0" t="n">
        <v>8</v>
      </c>
      <c r="D5998" s="0" t="n">
        <v>8</v>
      </c>
      <c r="E5998" s="0" t="n">
        <f aca="false">-1+A5998*0.25</f>
        <v>1</v>
      </c>
      <c r="F5998" s="0" t="n">
        <f aca="false">-1+B5998*0.25</f>
        <v>-0.75</v>
      </c>
      <c r="G5998" s="0" t="n">
        <f aca="false">-1+C5998*0.25</f>
        <v>1</v>
      </c>
      <c r="H5998" s="0" t="n">
        <f aca="false">-1+D5998*0.25</f>
        <v>1</v>
      </c>
      <c r="I5998" s="0" t="n">
        <f aca="false">1</f>
        <v>1</v>
      </c>
      <c r="J5998" s="0" t="n">
        <f aca="false">E5998</f>
        <v>1</v>
      </c>
      <c r="K5998" s="0" t="n">
        <f aca="false">F5998</f>
        <v>-0.75</v>
      </c>
      <c r="L5998" s="0" t="n">
        <f aca="false">G5998</f>
        <v>1</v>
      </c>
      <c r="M5998" s="0" t="n">
        <f aca="false">H5998</f>
        <v>1</v>
      </c>
      <c r="N5998" s="0" t="n">
        <f aca="false">E5998*F5998</f>
        <v>-0.75</v>
      </c>
      <c r="O5998" s="0" t="n">
        <f aca="false">E5998*G5998</f>
        <v>1</v>
      </c>
      <c r="P5998" s="0" t="n">
        <f aca="false">E5998*H5998</f>
        <v>1</v>
      </c>
      <c r="Q5998" s="0" t="n">
        <f aca="false">F5998*G5998</f>
        <v>-0.75</v>
      </c>
      <c r="R5998" s="0" t="n">
        <f aca="false">F5998*H5998</f>
        <v>-0.75</v>
      </c>
      <c r="S5998" s="0" t="n">
        <f aca="false">G5998*H5998</f>
        <v>1</v>
      </c>
      <c r="T5998" s="0" t="n">
        <f aca="false">E5998*E5998</f>
        <v>1</v>
      </c>
      <c r="U5998" s="0" t="n">
        <f aca="false">F5998*F5998</f>
        <v>0.5625</v>
      </c>
      <c r="V5998" s="0" t="n">
        <f aca="false">G5998*G5998</f>
        <v>1</v>
      </c>
      <c r="W5998" s="0" t="n">
        <f aca="false">H5998*H5998</f>
        <v>1</v>
      </c>
      <c r="X5998" s="0" t="n">
        <f aca="false">SUMPRODUCT(I5998:W5998,_XtX!$B$96:$P$96)</f>
        <v>43.4752558479533</v>
      </c>
      <c r="Y5998" s="0" t="n">
        <f aca="false">SUMPRODUCT(MMULT(I5998:W5998,_XtX!$B$78:$P$92),I5998:W5998)</f>
        <v>0.610814144736842</v>
      </c>
      <c r="Z5998" s="0" t="n">
        <f aca="false">04_回帰ANOVA!$K$19*04_回帰ANOVA!$K$14*SQRT(1+Y5998)</f>
        <v>1.6543260558361</v>
      </c>
      <c r="AA5998" s="0" t="n">
        <f aca="false">X5998-Z5998</f>
        <v>41.8209297921172</v>
      </c>
      <c r="AB5998" s="0" t="n">
        <f aca="false">X5998+Z5998</f>
        <v>45.1295819037894</v>
      </c>
      <c r="AC5998" s="54" t="b">
        <f aca="false">AND(E5998&gt;=01_因子設定!$L$5-0.000000001,E5998&lt;=01_因子設定!$M$5+0.000000001,F5998&gt;=01_因子設定!$L$6-0.000000001,F5998&lt;=01_因子設定!$M$6+0.000000001,G5998&gt;=01_因子設定!$L$7-0.000000001,G5998&lt;=01_因子設定!$M$7+0.000000001,H5998&gt;=01_因子設定!$L$8-0.000000001,H5998&lt;=01_因子設定!$M$8+0.000000001,IF(01_因子設定!$B$20="Box-Behnken",E5998^2+F5998^2+G5998^2+H5998^2&lt;=2+0.000000001,TRUE()))</f>
        <v>1</v>
      </c>
      <c r="AD5998" s="55" t="n">
        <f aca="false">IF(AC5998,IF(01_因子設定!$B$13="最大化",AA5998-01_因子設定!$B$14,IF(01_因子設定!$B$13="最小化",01_因子設定!$B$15-AB5998,MIN(AA5998-01_因子設定!$B$14,01_因子設定!$B$15-AB5998))),-1E+030)</f>
        <v>-4.67907020788282</v>
      </c>
      <c r="AE5998" s="55" t="n">
        <f aca="false">IF(AC5998,IF(01_因子設定!$B$13="最大化",X5998,IF(01_因子設定!$B$13="最小化",-X5998,-ABS(X5998-01_因子設定!$B$16))),-1E+030)</f>
        <v>43.4752558479533</v>
      </c>
      <c r="AF5998" s="55" t="n">
        <f aca="false">AD5998+ROW()*0.000000001</f>
        <v>-4.67906420988282</v>
      </c>
      <c r="AG5998" s="55" t="n">
        <f aca="false">AE5998+ROW()*0.000000001</f>
        <v>43.4752618459533</v>
      </c>
    </row>
    <row r="5999" customFormat="false" ht="15" hidden="false" customHeight="false" outlineLevel="0" collapsed="false">
      <c r="A5999" s="0" t="n">
        <v>8</v>
      </c>
      <c r="B5999" s="0" t="n">
        <v>2</v>
      </c>
      <c r="C5999" s="0" t="n">
        <v>0</v>
      </c>
      <c r="D5999" s="0" t="n">
        <v>0</v>
      </c>
      <c r="E5999" s="0" t="n">
        <f aca="false">-1+A5999*0.25</f>
        <v>1</v>
      </c>
      <c r="F5999" s="0" t="n">
        <f aca="false">-1+B5999*0.25</f>
        <v>-0.5</v>
      </c>
      <c r="G5999" s="0" t="n">
        <f aca="false">-1+C5999*0.25</f>
        <v>-1</v>
      </c>
      <c r="H5999" s="0" t="n">
        <f aca="false">-1+D5999*0.25</f>
        <v>-1</v>
      </c>
      <c r="I5999" s="0" t="n">
        <f aca="false">1</f>
        <v>1</v>
      </c>
      <c r="J5999" s="0" t="n">
        <f aca="false">E5999</f>
        <v>1</v>
      </c>
      <c r="K5999" s="0" t="n">
        <f aca="false">F5999</f>
        <v>-0.5</v>
      </c>
      <c r="L5999" s="0" t="n">
        <f aca="false">G5999</f>
        <v>-1</v>
      </c>
      <c r="M5999" s="0" t="n">
        <f aca="false">H5999</f>
        <v>-1</v>
      </c>
      <c r="N5999" s="0" t="n">
        <f aca="false">E5999*F5999</f>
        <v>-0.5</v>
      </c>
      <c r="O5999" s="0" t="n">
        <f aca="false">E5999*G5999</f>
        <v>-1</v>
      </c>
      <c r="P5999" s="0" t="n">
        <f aca="false">E5999*H5999</f>
        <v>-1</v>
      </c>
      <c r="Q5999" s="0" t="n">
        <f aca="false">F5999*G5999</f>
        <v>0.5</v>
      </c>
      <c r="R5999" s="0" t="n">
        <f aca="false">F5999*H5999</f>
        <v>0.5</v>
      </c>
      <c r="S5999" s="0" t="n">
        <f aca="false">G5999*H5999</f>
        <v>1</v>
      </c>
      <c r="T5999" s="0" t="n">
        <f aca="false">E5999*E5999</f>
        <v>1</v>
      </c>
      <c r="U5999" s="0" t="n">
        <f aca="false">F5999*F5999</f>
        <v>0.25</v>
      </c>
      <c r="V5999" s="0" t="n">
        <f aca="false">G5999*G5999</f>
        <v>1</v>
      </c>
      <c r="W5999" s="0" t="n">
        <f aca="false">H5999*H5999</f>
        <v>1</v>
      </c>
      <c r="X5999" s="0" t="n">
        <f aca="false">SUMPRODUCT(I5999:W5999,_XtX!$B$96:$P$96)</f>
        <v>43.4843567251463</v>
      </c>
      <c r="Y5999" s="0" t="n">
        <f aca="false">SUMPRODUCT(MMULT(I5999:W5999,_XtX!$B$78:$P$92),I5999:W5999)</f>
        <v>0.667123538011696</v>
      </c>
      <c r="Z5999" s="0" t="n">
        <f aca="false">04_回帰ANOVA!$K$19*04_回帰ANOVA!$K$14*SQRT(1+Y5999)</f>
        <v>1.68299290213005</v>
      </c>
      <c r="AA5999" s="0" t="n">
        <f aca="false">X5999-Z5999</f>
        <v>41.8013638230162</v>
      </c>
      <c r="AB5999" s="0" t="n">
        <f aca="false">X5999+Z5999</f>
        <v>45.1673496272763</v>
      </c>
      <c r="AC5999" s="54" t="b">
        <f aca="false">AND(E5999&gt;=01_因子設定!$L$5-0.000000001,E5999&lt;=01_因子設定!$M$5+0.000000001,F5999&gt;=01_因子設定!$L$6-0.000000001,F5999&lt;=01_因子設定!$M$6+0.000000001,G5999&gt;=01_因子設定!$L$7-0.000000001,G5999&lt;=01_因子設定!$M$7+0.000000001,H5999&gt;=01_因子設定!$L$8-0.000000001,H5999&lt;=01_因子設定!$M$8+0.000000001,IF(01_因子設定!$B$20="Box-Behnken",E5999^2+F5999^2+G5999^2+H5999^2&lt;=2+0.000000001,TRUE()))</f>
        <v>1</v>
      </c>
      <c r="AD5999" s="55" t="n">
        <f aca="false">IF(AC5999,IF(01_因子設定!$B$13="最大化",AA5999-01_因子設定!$B$14,IF(01_因子設定!$B$13="最小化",01_因子設定!$B$15-AB5999,MIN(AA5999-01_因子設定!$B$14,01_因子設定!$B$15-AB5999))),-1E+030)</f>
        <v>-4.69863617698379</v>
      </c>
      <c r="AE5999" s="55" t="n">
        <f aca="false">IF(AC5999,IF(01_因子設定!$B$13="最大化",X5999,IF(01_因子設定!$B$13="最小化",-X5999,-ABS(X5999-01_因子設定!$B$16))),-1E+030)</f>
        <v>43.4843567251463</v>
      </c>
      <c r="AF5999" s="55" t="n">
        <f aca="false">AD5999+ROW()*0.000000001</f>
        <v>-4.69863017798379</v>
      </c>
      <c r="AG5999" s="55" t="n">
        <f aca="false">AE5999+ROW()*0.000000001</f>
        <v>43.4843627241463</v>
      </c>
    </row>
    <row r="6000" customFormat="false" ht="15" hidden="false" customHeight="false" outlineLevel="0" collapsed="false">
      <c r="A6000" s="0" t="n">
        <v>8</v>
      </c>
      <c r="B6000" s="0" t="n">
        <v>2</v>
      </c>
      <c r="C6000" s="0" t="n">
        <v>0</v>
      </c>
      <c r="D6000" s="0" t="n">
        <v>1</v>
      </c>
      <c r="E6000" s="0" t="n">
        <f aca="false">-1+A6000*0.25</f>
        <v>1</v>
      </c>
      <c r="F6000" s="0" t="n">
        <f aca="false">-1+B6000*0.25</f>
        <v>-0.5</v>
      </c>
      <c r="G6000" s="0" t="n">
        <f aca="false">-1+C6000*0.25</f>
        <v>-1</v>
      </c>
      <c r="H6000" s="0" t="n">
        <f aca="false">-1+D6000*0.25</f>
        <v>-0.75</v>
      </c>
      <c r="I6000" s="0" t="n">
        <f aca="false">1</f>
        <v>1</v>
      </c>
      <c r="J6000" s="0" t="n">
        <f aca="false">E6000</f>
        <v>1</v>
      </c>
      <c r="K6000" s="0" t="n">
        <f aca="false">F6000</f>
        <v>-0.5</v>
      </c>
      <c r="L6000" s="0" t="n">
        <f aca="false">G6000</f>
        <v>-1</v>
      </c>
      <c r="M6000" s="0" t="n">
        <f aca="false">H6000</f>
        <v>-0.75</v>
      </c>
      <c r="N6000" s="0" t="n">
        <f aca="false">E6000*F6000</f>
        <v>-0.5</v>
      </c>
      <c r="O6000" s="0" t="n">
        <f aca="false">E6000*G6000</f>
        <v>-1</v>
      </c>
      <c r="P6000" s="0" t="n">
        <f aca="false">E6000*H6000</f>
        <v>-0.75</v>
      </c>
      <c r="Q6000" s="0" t="n">
        <f aca="false">F6000*G6000</f>
        <v>0.5</v>
      </c>
      <c r="R6000" s="0" t="n">
        <f aca="false">F6000*H6000</f>
        <v>0.375</v>
      </c>
      <c r="S6000" s="0" t="n">
        <f aca="false">G6000*H6000</f>
        <v>0.75</v>
      </c>
      <c r="T6000" s="0" t="n">
        <f aca="false">E6000*E6000</f>
        <v>1</v>
      </c>
      <c r="U6000" s="0" t="n">
        <f aca="false">F6000*F6000</f>
        <v>0.25</v>
      </c>
      <c r="V6000" s="0" t="n">
        <f aca="false">G6000*G6000</f>
        <v>1</v>
      </c>
      <c r="W6000" s="0" t="n">
        <f aca="false">H6000*H6000</f>
        <v>0.5625</v>
      </c>
      <c r="X6000" s="0" t="n">
        <f aca="false">SUMPRODUCT(I6000:W6000,_XtX!$B$96:$P$96)</f>
        <v>43.7390076754387</v>
      </c>
      <c r="Y6000" s="0" t="n">
        <f aca="false">SUMPRODUCT(MMULT(I6000:W6000,_XtX!$B$78:$P$92),I6000:W6000)</f>
        <v>0.564984237938597</v>
      </c>
      <c r="Z6000" s="0" t="n">
        <f aca="false">04_回帰ANOVA!$K$19*04_回帰ANOVA!$K$14*SQRT(1+Y6000)</f>
        <v>1.63062229734503</v>
      </c>
      <c r="AA6000" s="0" t="n">
        <f aca="false">X6000-Z6000</f>
        <v>42.1083853780936</v>
      </c>
      <c r="AB6000" s="0" t="n">
        <f aca="false">X6000+Z6000</f>
        <v>45.3696299727837</v>
      </c>
      <c r="AC6000" s="54" t="b">
        <f aca="false">AND(E6000&gt;=01_因子設定!$L$5-0.000000001,E6000&lt;=01_因子設定!$M$5+0.000000001,F6000&gt;=01_因子設定!$L$6-0.000000001,F6000&lt;=01_因子設定!$M$6+0.000000001,G6000&gt;=01_因子設定!$L$7-0.000000001,G6000&lt;=01_因子設定!$M$7+0.000000001,H6000&gt;=01_因子設定!$L$8-0.000000001,H6000&lt;=01_因子設定!$M$8+0.000000001,IF(01_因子設定!$B$20="Box-Behnken",E6000^2+F6000^2+G6000^2+H6000^2&lt;=2+0.000000001,TRUE()))</f>
        <v>1</v>
      </c>
      <c r="AD6000" s="55" t="n">
        <f aca="false">IF(AC6000,IF(01_因子設定!$B$13="最大化",AA6000-01_因子設定!$B$14,IF(01_因子設定!$B$13="最小化",01_因子設定!$B$15-AB6000,MIN(AA6000-01_因子設定!$B$14,01_因子設定!$B$15-AB6000))),-1E+030)</f>
        <v>-4.39161462190639</v>
      </c>
      <c r="AE6000" s="55" t="n">
        <f aca="false">IF(AC6000,IF(01_因子設定!$B$13="最大化",X6000,IF(01_因子設定!$B$13="最小化",-X6000,-ABS(X6000-01_因子設定!$B$16))),-1E+030)</f>
        <v>43.7390076754387</v>
      </c>
      <c r="AF6000" s="55" t="n">
        <f aca="false">AD6000+ROW()*0.000000001</f>
        <v>-4.39160862190639</v>
      </c>
      <c r="AG6000" s="55" t="n">
        <f aca="false">AE6000+ROW()*0.000000001</f>
        <v>43.7390136754387</v>
      </c>
    </row>
    <row r="6001" customFormat="false" ht="15" hidden="false" customHeight="false" outlineLevel="0" collapsed="false">
      <c r="A6001" s="0" t="n">
        <v>8</v>
      </c>
      <c r="B6001" s="0" t="n">
        <v>2</v>
      </c>
      <c r="C6001" s="0" t="n">
        <v>0</v>
      </c>
      <c r="D6001" s="0" t="n">
        <v>2</v>
      </c>
      <c r="E6001" s="0" t="n">
        <f aca="false">-1+A6001*0.25</f>
        <v>1</v>
      </c>
      <c r="F6001" s="0" t="n">
        <f aca="false">-1+B6001*0.25</f>
        <v>-0.5</v>
      </c>
      <c r="G6001" s="0" t="n">
        <f aca="false">-1+C6001*0.25</f>
        <v>-1</v>
      </c>
      <c r="H6001" s="0" t="n">
        <f aca="false">-1+D6001*0.25</f>
        <v>-0.5</v>
      </c>
      <c r="I6001" s="0" t="n">
        <f aca="false">1</f>
        <v>1</v>
      </c>
      <c r="J6001" s="0" t="n">
        <f aca="false">E6001</f>
        <v>1</v>
      </c>
      <c r="K6001" s="0" t="n">
        <f aca="false">F6001</f>
        <v>-0.5</v>
      </c>
      <c r="L6001" s="0" t="n">
        <f aca="false">G6001</f>
        <v>-1</v>
      </c>
      <c r="M6001" s="0" t="n">
        <f aca="false">H6001</f>
        <v>-0.5</v>
      </c>
      <c r="N6001" s="0" t="n">
        <f aca="false">E6001*F6001</f>
        <v>-0.5</v>
      </c>
      <c r="O6001" s="0" t="n">
        <f aca="false">E6001*G6001</f>
        <v>-1</v>
      </c>
      <c r="P6001" s="0" t="n">
        <f aca="false">E6001*H6001</f>
        <v>-0.5</v>
      </c>
      <c r="Q6001" s="0" t="n">
        <f aca="false">F6001*G6001</f>
        <v>0.5</v>
      </c>
      <c r="R6001" s="0" t="n">
        <f aca="false">F6001*H6001</f>
        <v>0.25</v>
      </c>
      <c r="S6001" s="0" t="n">
        <f aca="false">G6001*H6001</f>
        <v>0.5</v>
      </c>
      <c r="T6001" s="0" t="n">
        <f aca="false">E6001*E6001</f>
        <v>1</v>
      </c>
      <c r="U6001" s="0" t="n">
        <f aca="false">F6001*F6001</f>
        <v>0.25</v>
      </c>
      <c r="V6001" s="0" t="n">
        <f aca="false">G6001*G6001</f>
        <v>1</v>
      </c>
      <c r="W6001" s="0" t="n">
        <f aca="false">H6001*H6001</f>
        <v>0.25</v>
      </c>
      <c r="X6001" s="0" t="n">
        <f aca="false">SUMPRODUCT(I6001:W6001,_XtX!$B$96:$P$96)</f>
        <v>43.9458516081872</v>
      </c>
      <c r="Y6001" s="0" t="n">
        <f aca="false">SUMPRODUCT(MMULT(I6001:W6001,_XtX!$B$78:$P$92),I6001:W6001)</f>
        <v>0.582488121345029</v>
      </c>
      <c r="Z6001" s="0" t="n">
        <f aca="false">04_回帰ANOVA!$K$19*04_回帰ANOVA!$K$14*SQRT(1+Y6001)</f>
        <v>1.63971595338287</v>
      </c>
      <c r="AA6001" s="0" t="n">
        <f aca="false">X6001-Z6001</f>
        <v>42.3061356548043</v>
      </c>
      <c r="AB6001" s="0" t="n">
        <f aca="false">X6001+Z6001</f>
        <v>45.58556756157</v>
      </c>
      <c r="AC6001" s="54" t="b">
        <f aca="false">AND(E6001&gt;=01_因子設定!$L$5-0.000000001,E6001&lt;=01_因子設定!$M$5+0.000000001,F6001&gt;=01_因子設定!$L$6-0.000000001,F6001&lt;=01_因子設定!$M$6+0.000000001,G6001&gt;=01_因子設定!$L$7-0.000000001,G6001&lt;=01_因子設定!$M$7+0.000000001,H6001&gt;=01_因子設定!$L$8-0.000000001,H6001&lt;=01_因子設定!$M$8+0.000000001,IF(01_因子設定!$B$20="Box-Behnken",E6001^2+F6001^2+G6001^2+H6001^2&lt;=2+0.000000001,TRUE()))</f>
        <v>1</v>
      </c>
      <c r="AD6001" s="55" t="n">
        <f aca="false">IF(AC6001,IF(01_因子設定!$B$13="最大化",AA6001-01_因子設定!$B$14,IF(01_因子設定!$B$13="最小化",01_因子設定!$B$15-AB6001,MIN(AA6001-01_因子設定!$B$14,01_因子設定!$B$15-AB6001))),-1E+030)</f>
        <v>-4.1938643451957</v>
      </c>
      <c r="AE6001" s="55" t="n">
        <f aca="false">IF(AC6001,IF(01_因子設定!$B$13="最大化",X6001,IF(01_因子設定!$B$13="最小化",-X6001,-ABS(X6001-01_因子設定!$B$16))),-1E+030)</f>
        <v>43.9458516081872</v>
      </c>
      <c r="AF6001" s="55" t="n">
        <f aca="false">AD6001+ROW()*0.000000001</f>
        <v>-4.1938583441957</v>
      </c>
      <c r="AG6001" s="55" t="n">
        <f aca="false">AE6001+ROW()*0.000000001</f>
        <v>43.9458576091872</v>
      </c>
    </row>
    <row r="6002" customFormat="false" ht="15" hidden="false" customHeight="false" outlineLevel="0" collapsed="false">
      <c r="A6002" s="0" t="n">
        <v>8</v>
      </c>
      <c r="B6002" s="0" t="n">
        <v>2</v>
      </c>
      <c r="C6002" s="0" t="n">
        <v>0</v>
      </c>
      <c r="D6002" s="0" t="n">
        <v>3</v>
      </c>
      <c r="E6002" s="0" t="n">
        <f aca="false">-1+A6002*0.25</f>
        <v>1</v>
      </c>
      <c r="F6002" s="0" t="n">
        <f aca="false">-1+B6002*0.25</f>
        <v>-0.5</v>
      </c>
      <c r="G6002" s="0" t="n">
        <f aca="false">-1+C6002*0.25</f>
        <v>-1</v>
      </c>
      <c r="H6002" s="0" t="n">
        <f aca="false">-1+D6002*0.25</f>
        <v>-0.25</v>
      </c>
      <c r="I6002" s="0" t="n">
        <f aca="false">1</f>
        <v>1</v>
      </c>
      <c r="J6002" s="0" t="n">
        <f aca="false">E6002</f>
        <v>1</v>
      </c>
      <c r="K6002" s="0" t="n">
        <f aca="false">F6002</f>
        <v>-0.5</v>
      </c>
      <c r="L6002" s="0" t="n">
        <f aca="false">G6002</f>
        <v>-1</v>
      </c>
      <c r="M6002" s="0" t="n">
        <f aca="false">H6002</f>
        <v>-0.25</v>
      </c>
      <c r="N6002" s="0" t="n">
        <f aca="false">E6002*F6002</f>
        <v>-0.5</v>
      </c>
      <c r="O6002" s="0" t="n">
        <f aca="false">E6002*G6002</f>
        <v>-1</v>
      </c>
      <c r="P6002" s="0" t="n">
        <f aca="false">E6002*H6002</f>
        <v>-0.25</v>
      </c>
      <c r="Q6002" s="0" t="n">
        <f aca="false">F6002*G6002</f>
        <v>0.5</v>
      </c>
      <c r="R6002" s="0" t="n">
        <f aca="false">F6002*H6002</f>
        <v>0.125</v>
      </c>
      <c r="S6002" s="0" t="n">
        <f aca="false">G6002*H6002</f>
        <v>0.25</v>
      </c>
      <c r="T6002" s="0" t="n">
        <f aca="false">E6002*E6002</f>
        <v>1</v>
      </c>
      <c r="U6002" s="0" t="n">
        <f aca="false">F6002*F6002</f>
        <v>0.25</v>
      </c>
      <c r="V6002" s="0" t="n">
        <f aca="false">G6002*G6002</f>
        <v>1</v>
      </c>
      <c r="W6002" s="0" t="n">
        <f aca="false">H6002*H6002</f>
        <v>0.0625</v>
      </c>
      <c r="X6002" s="0" t="n">
        <f aca="false">SUMPRODUCT(I6002:W6002,_XtX!$B$96:$P$96)</f>
        <v>44.1048885233918</v>
      </c>
      <c r="Y6002" s="0" t="n">
        <f aca="false">SUMPRODUCT(MMULT(I6002:W6002,_XtX!$B$78:$P$92),I6002:W6002)</f>
        <v>0.629174661915205</v>
      </c>
      <c r="Z6002" s="0" t="n">
        <f aca="false">04_回帰ANOVA!$K$19*04_回帰ANOVA!$K$14*SQRT(1+Y6002)</f>
        <v>1.66372758058297</v>
      </c>
      <c r="AA6002" s="0" t="n">
        <f aca="false">X6002-Z6002</f>
        <v>42.4411609428089</v>
      </c>
      <c r="AB6002" s="0" t="n">
        <f aca="false">X6002+Z6002</f>
        <v>45.7686161039748</v>
      </c>
      <c r="AC6002" s="54" t="b">
        <f aca="false">AND(E6002&gt;=01_因子設定!$L$5-0.000000001,E6002&lt;=01_因子設定!$M$5+0.000000001,F6002&gt;=01_因子設定!$L$6-0.000000001,F6002&lt;=01_因子設定!$M$6+0.000000001,G6002&gt;=01_因子設定!$L$7-0.000000001,G6002&lt;=01_因子設定!$M$7+0.000000001,H6002&gt;=01_因子設定!$L$8-0.000000001,H6002&lt;=01_因子設定!$M$8+0.000000001,IF(01_因子設定!$B$20="Box-Behnken",E6002^2+F6002^2+G6002^2+H6002^2&lt;=2+0.000000001,TRUE()))</f>
        <v>1</v>
      </c>
      <c r="AD6002" s="55" t="n">
        <f aca="false">IF(AC6002,IF(01_因子設定!$B$13="最大化",AA6002-01_因子設定!$B$14,IF(01_因子設定!$B$13="最小化",01_因子設定!$B$15-AB6002,MIN(AA6002-01_因子設定!$B$14,01_因子設定!$B$15-AB6002))),-1E+030)</f>
        <v>-4.05883905719113</v>
      </c>
      <c r="AE6002" s="55" t="n">
        <f aca="false">IF(AC6002,IF(01_因子設定!$B$13="最大化",X6002,IF(01_因子設定!$B$13="最小化",-X6002,-ABS(X6002-01_因子設定!$B$16))),-1E+030)</f>
        <v>44.1048885233918</v>
      </c>
      <c r="AF6002" s="55" t="n">
        <f aca="false">AD6002+ROW()*0.000000001</f>
        <v>-4.05883305519113</v>
      </c>
      <c r="AG6002" s="55" t="n">
        <f aca="false">AE6002+ROW()*0.000000001</f>
        <v>44.1048945253918</v>
      </c>
    </row>
    <row r="6003" customFormat="false" ht="15" hidden="false" customHeight="false" outlineLevel="0" collapsed="false">
      <c r="A6003" s="0" t="n">
        <v>8</v>
      </c>
      <c r="B6003" s="0" t="n">
        <v>2</v>
      </c>
      <c r="C6003" s="0" t="n">
        <v>0</v>
      </c>
      <c r="D6003" s="0" t="n">
        <v>4</v>
      </c>
      <c r="E6003" s="0" t="n">
        <f aca="false">-1+A6003*0.25</f>
        <v>1</v>
      </c>
      <c r="F6003" s="0" t="n">
        <f aca="false">-1+B6003*0.25</f>
        <v>-0.5</v>
      </c>
      <c r="G6003" s="0" t="n">
        <f aca="false">-1+C6003*0.25</f>
        <v>-1</v>
      </c>
      <c r="H6003" s="0" t="n">
        <f aca="false">-1+D6003*0.25</f>
        <v>0</v>
      </c>
      <c r="I6003" s="0" t="n">
        <f aca="false">1</f>
        <v>1</v>
      </c>
      <c r="J6003" s="0" t="n">
        <f aca="false">E6003</f>
        <v>1</v>
      </c>
      <c r="K6003" s="0" t="n">
        <f aca="false">F6003</f>
        <v>-0.5</v>
      </c>
      <c r="L6003" s="0" t="n">
        <f aca="false">G6003</f>
        <v>-1</v>
      </c>
      <c r="M6003" s="0" t="n">
        <f aca="false">H6003</f>
        <v>0</v>
      </c>
      <c r="N6003" s="0" t="n">
        <f aca="false">E6003*F6003</f>
        <v>-0.5</v>
      </c>
      <c r="O6003" s="0" t="n">
        <f aca="false">E6003*G6003</f>
        <v>-1</v>
      </c>
      <c r="P6003" s="0" t="n">
        <f aca="false">E6003*H6003</f>
        <v>0</v>
      </c>
      <c r="Q6003" s="0" t="n">
        <f aca="false">F6003*G6003</f>
        <v>0.5</v>
      </c>
      <c r="R6003" s="0" t="n">
        <f aca="false">F6003*H6003</f>
        <v>-0</v>
      </c>
      <c r="S6003" s="0" t="n">
        <f aca="false">G6003*H6003</f>
        <v>-0</v>
      </c>
      <c r="T6003" s="0" t="n">
        <f aca="false">E6003*E6003</f>
        <v>1</v>
      </c>
      <c r="U6003" s="0" t="n">
        <f aca="false">F6003*F6003</f>
        <v>0.25</v>
      </c>
      <c r="V6003" s="0" t="n">
        <f aca="false">G6003*G6003</f>
        <v>1</v>
      </c>
      <c r="W6003" s="0" t="n">
        <f aca="false">H6003*H6003</f>
        <v>0</v>
      </c>
      <c r="X6003" s="0" t="n">
        <f aca="false">SUMPRODUCT(I6003:W6003,_XtX!$B$96:$P$96)</f>
        <v>44.2161184210527</v>
      </c>
      <c r="Y6003" s="0" t="n">
        <f aca="false">SUMPRODUCT(MMULT(I6003:W6003,_XtX!$B$78:$P$92),I6003:W6003)</f>
        <v>0.650767543859649</v>
      </c>
      <c r="Z6003" s="0" t="n">
        <f aca="false">04_回帰ANOVA!$K$19*04_回帰ANOVA!$K$14*SQRT(1+Y6003)</f>
        <v>1.67471670935165</v>
      </c>
      <c r="AA6003" s="0" t="n">
        <f aca="false">X6003-Z6003</f>
        <v>42.541401711701</v>
      </c>
      <c r="AB6003" s="0" t="n">
        <f aca="false">X6003+Z6003</f>
        <v>45.8908351304043</v>
      </c>
      <c r="AC6003" s="54" t="b">
        <f aca="false">AND(E6003&gt;=01_因子設定!$L$5-0.000000001,E6003&lt;=01_因子設定!$M$5+0.000000001,F6003&gt;=01_因子設定!$L$6-0.000000001,F6003&lt;=01_因子設定!$M$6+0.000000001,G6003&gt;=01_因子設定!$L$7-0.000000001,G6003&lt;=01_因子設定!$M$7+0.000000001,H6003&gt;=01_因子設定!$L$8-0.000000001,H6003&lt;=01_因子設定!$M$8+0.000000001,IF(01_因子設定!$B$20="Box-Behnken",E6003^2+F6003^2+G6003^2+H6003^2&lt;=2+0.000000001,TRUE()))</f>
        <v>1</v>
      </c>
      <c r="AD6003" s="55" t="n">
        <f aca="false">IF(AC6003,IF(01_因子設定!$B$13="最大化",AA6003-01_因子設定!$B$14,IF(01_因子設定!$B$13="最小化",01_因子設定!$B$15-AB6003,MIN(AA6003-01_因子設定!$B$14,01_因子設定!$B$15-AB6003))),-1E+030)</f>
        <v>-3.95859828829899</v>
      </c>
      <c r="AE6003" s="55" t="n">
        <f aca="false">IF(AC6003,IF(01_因子設定!$B$13="最大化",X6003,IF(01_因子設定!$B$13="最小化",-X6003,-ABS(X6003-01_因子設定!$B$16))),-1E+030)</f>
        <v>44.2161184210527</v>
      </c>
      <c r="AF6003" s="55" t="n">
        <f aca="false">AD6003+ROW()*0.000000001</f>
        <v>-3.95859228529899</v>
      </c>
      <c r="AG6003" s="55" t="n">
        <f aca="false">AE6003+ROW()*0.000000001</f>
        <v>44.2161244240527</v>
      </c>
    </row>
    <row r="6004" customFormat="false" ht="15" hidden="false" customHeight="false" outlineLevel="0" collapsed="false">
      <c r="A6004" s="0" t="n">
        <v>8</v>
      </c>
      <c r="B6004" s="0" t="n">
        <v>2</v>
      </c>
      <c r="C6004" s="0" t="n">
        <v>0</v>
      </c>
      <c r="D6004" s="0" t="n">
        <v>5</v>
      </c>
      <c r="E6004" s="0" t="n">
        <f aca="false">-1+A6004*0.25</f>
        <v>1</v>
      </c>
      <c r="F6004" s="0" t="n">
        <f aca="false">-1+B6004*0.25</f>
        <v>-0.5</v>
      </c>
      <c r="G6004" s="0" t="n">
        <f aca="false">-1+C6004*0.25</f>
        <v>-1</v>
      </c>
      <c r="H6004" s="0" t="n">
        <f aca="false">-1+D6004*0.25</f>
        <v>0.25</v>
      </c>
      <c r="I6004" s="0" t="n">
        <f aca="false">1</f>
        <v>1</v>
      </c>
      <c r="J6004" s="0" t="n">
        <f aca="false">E6004</f>
        <v>1</v>
      </c>
      <c r="K6004" s="0" t="n">
        <f aca="false">F6004</f>
        <v>-0.5</v>
      </c>
      <c r="L6004" s="0" t="n">
        <f aca="false">G6004</f>
        <v>-1</v>
      </c>
      <c r="M6004" s="0" t="n">
        <f aca="false">H6004</f>
        <v>0.25</v>
      </c>
      <c r="N6004" s="0" t="n">
        <f aca="false">E6004*F6004</f>
        <v>-0.5</v>
      </c>
      <c r="O6004" s="0" t="n">
        <f aca="false">E6004*G6004</f>
        <v>-1</v>
      </c>
      <c r="P6004" s="0" t="n">
        <f aca="false">E6004*H6004</f>
        <v>0.25</v>
      </c>
      <c r="Q6004" s="0" t="n">
        <f aca="false">F6004*G6004</f>
        <v>0.5</v>
      </c>
      <c r="R6004" s="0" t="n">
        <f aca="false">F6004*H6004</f>
        <v>-0.125</v>
      </c>
      <c r="S6004" s="0" t="n">
        <f aca="false">G6004*H6004</f>
        <v>-0.25</v>
      </c>
      <c r="T6004" s="0" t="n">
        <f aca="false">E6004*E6004</f>
        <v>1</v>
      </c>
      <c r="U6004" s="0" t="n">
        <f aca="false">F6004*F6004</f>
        <v>0.25</v>
      </c>
      <c r="V6004" s="0" t="n">
        <f aca="false">G6004*G6004</f>
        <v>1</v>
      </c>
      <c r="W6004" s="0" t="n">
        <f aca="false">H6004*H6004</f>
        <v>0.0625</v>
      </c>
      <c r="X6004" s="0" t="n">
        <f aca="false">SUMPRODUCT(I6004:W6004,_XtX!$B$96:$P$96)</f>
        <v>44.2795413011696</v>
      </c>
      <c r="Y6004" s="0" t="n">
        <f aca="false">SUMPRODUCT(MMULT(I6004:W6004,_XtX!$B$78:$P$92),I6004:W6004)</f>
        <v>0.629174661915205</v>
      </c>
      <c r="Z6004" s="0" t="n">
        <f aca="false">04_回帰ANOVA!$K$19*04_回帰ANOVA!$K$14*SQRT(1+Y6004)</f>
        <v>1.66372758058297</v>
      </c>
      <c r="AA6004" s="0" t="n">
        <f aca="false">X6004-Z6004</f>
        <v>42.6158137205867</v>
      </c>
      <c r="AB6004" s="0" t="n">
        <f aca="false">X6004+Z6004</f>
        <v>45.9432688817526</v>
      </c>
      <c r="AC6004" s="54" t="b">
        <f aca="false">AND(E6004&gt;=01_因子設定!$L$5-0.000000001,E6004&lt;=01_因子設定!$M$5+0.000000001,F6004&gt;=01_因子設定!$L$6-0.000000001,F6004&lt;=01_因子設定!$M$6+0.000000001,G6004&gt;=01_因子設定!$L$7-0.000000001,G6004&lt;=01_因子設定!$M$7+0.000000001,H6004&gt;=01_因子設定!$L$8-0.000000001,H6004&lt;=01_因子設定!$M$8+0.000000001,IF(01_因子設定!$B$20="Box-Behnken",E6004^2+F6004^2+G6004^2+H6004^2&lt;=2+0.000000001,TRUE()))</f>
        <v>1</v>
      </c>
      <c r="AD6004" s="55" t="n">
        <f aca="false">IF(AC6004,IF(01_因子設定!$B$13="最大化",AA6004-01_因子設定!$B$14,IF(01_因子設定!$B$13="最小化",01_因子設定!$B$15-AB6004,MIN(AA6004-01_因子設定!$B$14,01_因子設定!$B$15-AB6004))),-1E+030)</f>
        <v>-3.88418627941335</v>
      </c>
      <c r="AE6004" s="55" t="n">
        <f aca="false">IF(AC6004,IF(01_因子設定!$B$13="最大化",X6004,IF(01_因子設定!$B$13="最小化",-X6004,-ABS(X6004-01_因子設定!$B$16))),-1E+030)</f>
        <v>44.2795413011696</v>
      </c>
      <c r="AF6004" s="55" t="n">
        <f aca="false">AD6004+ROW()*0.000000001</f>
        <v>-3.88418027541335</v>
      </c>
      <c r="AG6004" s="55" t="n">
        <f aca="false">AE6004+ROW()*0.000000001</f>
        <v>44.2795473051696</v>
      </c>
    </row>
    <row r="6005" customFormat="false" ht="15" hidden="false" customHeight="false" outlineLevel="0" collapsed="false">
      <c r="A6005" s="0" t="n">
        <v>8</v>
      </c>
      <c r="B6005" s="0" t="n">
        <v>2</v>
      </c>
      <c r="C6005" s="0" t="n">
        <v>0</v>
      </c>
      <c r="D6005" s="0" t="n">
        <v>6</v>
      </c>
      <c r="E6005" s="0" t="n">
        <f aca="false">-1+A6005*0.25</f>
        <v>1</v>
      </c>
      <c r="F6005" s="0" t="n">
        <f aca="false">-1+B6005*0.25</f>
        <v>-0.5</v>
      </c>
      <c r="G6005" s="0" t="n">
        <f aca="false">-1+C6005*0.25</f>
        <v>-1</v>
      </c>
      <c r="H6005" s="0" t="n">
        <f aca="false">-1+D6005*0.25</f>
        <v>0.5</v>
      </c>
      <c r="I6005" s="0" t="n">
        <f aca="false">1</f>
        <v>1</v>
      </c>
      <c r="J6005" s="0" t="n">
        <f aca="false">E6005</f>
        <v>1</v>
      </c>
      <c r="K6005" s="0" t="n">
        <f aca="false">F6005</f>
        <v>-0.5</v>
      </c>
      <c r="L6005" s="0" t="n">
        <f aca="false">G6005</f>
        <v>-1</v>
      </c>
      <c r="M6005" s="0" t="n">
        <f aca="false">H6005</f>
        <v>0.5</v>
      </c>
      <c r="N6005" s="0" t="n">
        <f aca="false">E6005*F6005</f>
        <v>-0.5</v>
      </c>
      <c r="O6005" s="0" t="n">
        <f aca="false">E6005*G6005</f>
        <v>-1</v>
      </c>
      <c r="P6005" s="0" t="n">
        <f aca="false">E6005*H6005</f>
        <v>0.5</v>
      </c>
      <c r="Q6005" s="0" t="n">
        <f aca="false">F6005*G6005</f>
        <v>0.5</v>
      </c>
      <c r="R6005" s="0" t="n">
        <f aca="false">F6005*H6005</f>
        <v>-0.25</v>
      </c>
      <c r="S6005" s="0" t="n">
        <f aca="false">G6005*H6005</f>
        <v>-0.5</v>
      </c>
      <c r="T6005" s="0" t="n">
        <f aca="false">E6005*E6005</f>
        <v>1</v>
      </c>
      <c r="U6005" s="0" t="n">
        <f aca="false">F6005*F6005</f>
        <v>0.25</v>
      </c>
      <c r="V6005" s="0" t="n">
        <f aca="false">G6005*G6005</f>
        <v>1</v>
      </c>
      <c r="W6005" s="0" t="n">
        <f aca="false">H6005*H6005</f>
        <v>0.25</v>
      </c>
      <c r="X6005" s="0" t="n">
        <f aca="false">SUMPRODUCT(I6005:W6005,_XtX!$B$96:$P$96)</f>
        <v>44.2951571637427</v>
      </c>
      <c r="Y6005" s="0" t="n">
        <f aca="false">SUMPRODUCT(MMULT(I6005:W6005,_XtX!$B$78:$P$92),I6005:W6005)</f>
        <v>0.582488121345029</v>
      </c>
      <c r="Z6005" s="0" t="n">
        <f aca="false">04_回帰ANOVA!$K$19*04_回帰ANOVA!$K$14*SQRT(1+Y6005)</f>
        <v>1.63971595338287</v>
      </c>
      <c r="AA6005" s="0" t="n">
        <f aca="false">X6005-Z6005</f>
        <v>42.6554412103599</v>
      </c>
      <c r="AB6005" s="0" t="n">
        <f aca="false">X6005+Z6005</f>
        <v>45.9348731171256</v>
      </c>
      <c r="AC6005" s="54" t="b">
        <f aca="false">AND(E6005&gt;=01_因子設定!$L$5-0.000000001,E6005&lt;=01_因子設定!$M$5+0.000000001,F6005&gt;=01_因子設定!$L$6-0.000000001,F6005&lt;=01_因子設定!$M$6+0.000000001,G6005&gt;=01_因子設定!$L$7-0.000000001,G6005&lt;=01_因子設定!$M$7+0.000000001,H6005&gt;=01_因子設定!$L$8-0.000000001,H6005&lt;=01_因子設定!$M$8+0.000000001,IF(01_因子設定!$B$20="Box-Behnken",E6005^2+F6005^2+G6005^2+H6005^2&lt;=2+0.000000001,TRUE()))</f>
        <v>1</v>
      </c>
      <c r="AD6005" s="55" t="n">
        <f aca="false">IF(AC6005,IF(01_因子設定!$B$13="最大化",AA6005-01_因子設定!$B$14,IF(01_因子設定!$B$13="最小化",01_因子設定!$B$15-AB6005,MIN(AA6005-01_因子設定!$B$14,01_因子設定!$B$15-AB6005))),-1E+030)</f>
        <v>-3.84455878964014</v>
      </c>
      <c r="AE6005" s="55" t="n">
        <f aca="false">IF(AC6005,IF(01_因子設定!$B$13="最大化",X6005,IF(01_因子設定!$B$13="最小化",-X6005,-ABS(X6005-01_因子設定!$B$16))),-1E+030)</f>
        <v>44.2951571637427</v>
      </c>
      <c r="AF6005" s="55" t="n">
        <f aca="false">AD6005+ROW()*0.000000001</f>
        <v>-3.84455278464014</v>
      </c>
      <c r="AG6005" s="55" t="n">
        <f aca="false">AE6005+ROW()*0.000000001</f>
        <v>44.2951631687427</v>
      </c>
    </row>
    <row r="6006" customFormat="false" ht="15" hidden="false" customHeight="false" outlineLevel="0" collapsed="false">
      <c r="A6006" s="0" t="n">
        <v>8</v>
      </c>
      <c r="B6006" s="0" t="n">
        <v>2</v>
      </c>
      <c r="C6006" s="0" t="n">
        <v>0</v>
      </c>
      <c r="D6006" s="0" t="n">
        <v>7</v>
      </c>
      <c r="E6006" s="0" t="n">
        <f aca="false">-1+A6006*0.25</f>
        <v>1</v>
      </c>
      <c r="F6006" s="0" t="n">
        <f aca="false">-1+B6006*0.25</f>
        <v>-0.5</v>
      </c>
      <c r="G6006" s="0" t="n">
        <f aca="false">-1+C6006*0.25</f>
        <v>-1</v>
      </c>
      <c r="H6006" s="0" t="n">
        <f aca="false">-1+D6006*0.25</f>
        <v>0.75</v>
      </c>
      <c r="I6006" s="0" t="n">
        <f aca="false">1</f>
        <v>1</v>
      </c>
      <c r="J6006" s="0" t="n">
        <f aca="false">E6006</f>
        <v>1</v>
      </c>
      <c r="K6006" s="0" t="n">
        <f aca="false">F6006</f>
        <v>-0.5</v>
      </c>
      <c r="L6006" s="0" t="n">
        <f aca="false">G6006</f>
        <v>-1</v>
      </c>
      <c r="M6006" s="0" t="n">
        <f aca="false">H6006</f>
        <v>0.75</v>
      </c>
      <c r="N6006" s="0" t="n">
        <f aca="false">E6006*F6006</f>
        <v>-0.5</v>
      </c>
      <c r="O6006" s="0" t="n">
        <f aca="false">E6006*G6006</f>
        <v>-1</v>
      </c>
      <c r="P6006" s="0" t="n">
        <f aca="false">E6006*H6006</f>
        <v>0.75</v>
      </c>
      <c r="Q6006" s="0" t="n">
        <f aca="false">F6006*G6006</f>
        <v>0.5</v>
      </c>
      <c r="R6006" s="0" t="n">
        <f aca="false">F6006*H6006</f>
        <v>-0.375</v>
      </c>
      <c r="S6006" s="0" t="n">
        <f aca="false">G6006*H6006</f>
        <v>-0.75</v>
      </c>
      <c r="T6006" s="0" t="n">
        <f aca="false">E6006*E6006</f>
        <v>1</v>
      </c>
      <c r="U6006" s="0" t="n">
        <f aca="false">F6006*F6006</f>
        <v>0.25</v>
      </c>
      <c r="V6006" s="0" t="n">
        <f aca="false">G6006*G6006</f>
        <v>1</v>
      </c>
      <c r="W6006" s="0" t="n">
        <f aca="false">H6006*H6006</f>
        <v>0.5625</v>
      </c>
      <c r="X6006" s="0" t="n">
        <f aca="false">SUMPRODUCT(I6006:W6006,_XtX!$B$96:$P$96)</f>
        <v>44.262966008772</v>
      </c>
      <c r="Y6006" s="0" t="n">
        <f aca="false">SUMPRODUCT(MMULT(I6006:W6006,_XtX!$B$78:$P$92),I6006:W6006)</f>
        <v>0.564984237938597</v>
      </c>
      <c r="Z6006" s="0" t="n">
        <f aca="false">04_回帰ANOVA!$K$19*04_回帰ANOVA!$K$14*SQRT(1+Y6006)</f>
        <v>1.63062229734503</v>
      </c>
      <c r="AA6006" s="0" t="n">
        <f aca="false">X6006-Z6006</f>
        <v>42.632343711427</v>
      </c>
      <c r="AB6006" s="0" t="n">
        <f aca="false">X6006+Z6006</f>
        <v>45.893588306117</v>
      </c>
      <c r="AC6006" s="54" t="b">
        <f aca="false">AND(E6006&gt;=01_因子設定!$L$5-0.000000001,E6006&lt;=01_因子設定!$M$5+0.000000001,F6006&gt;=01_因子設定!$L$6-0.000000001,F6006&lt;=01_因子設定!$M$6+0.000000001,G6006&gt;=01_因子設定!$L$7-0.000000001,G6006&lt;=01_因子設定!$M$7+0.000000001,H6006&gt;=01_因子設定!$L$8-0.000000001,H6006&lt;=01_因子設定!$M$8+0.000000001,IF(01_因子設定!$B$20="Box-Behnken",E6006^2+F6006^2+G6006^2+H6006^2&lt;=2+0.000000001,TRUE()))</f>
        <v>1</v>
      </c>
      <c r="AD6006" s="55" t="n">
        <f aca="false">IF(AC6006,IF(01_因子設定!$B$13="最大化",AA6006-01_因子設定!$B$14,IF(01_因子設定!$B$13="最小化",01_因子設定!$B$15-AB6006,MIN(AA6006-01_因子設定!$B$14,01_因子設定!$B$15-AB6006))),-1E+030)</f>
        <v>-3.86765628857305</v>
      </c>
      <c r="AE6006" s="55" t="n">
        <f aca="false">IF(AC6006,IF(01_因子設定!$B$13="最大化",X6006,IF(01_因子設定!$B$13="最小化",-X6006,-ABS(X6006-01_因子設定!$B$16))),-1E+030)</f>
        <v>44.262966008772</v>
      </c>
      <c r="AF6006" s="55" t="n">
        <f aca="false">AD6006+ROW()*0.000000001</f>
        <v>-3.86765028257305</v>
      </c>
      <c r="AG6006" s="55" t="n">
        <f aca="false">AE6006+ROW()*0.000000001</f>
        <v>44.262972014772</v>
      </c>
    </row>
    <row r="6007" customFormat="false" ht="15" hidden="false" customHeight="false" outlineLevel="0" collapsed="false">
      <c r="A6007" s="0" t="n">
        <v>8</v>
      </c>
      <c r="B6007" s="0" t="n">
        <v>2</v>
      </c>
      <c r="C6007" s="0" t="n">
        <v>0</v>
      </c>
      <c r="D6007" s="0" t="n">
        <v>8</v>
      </c>
      <c r="E6007" s="0" t="n">
        <f aca="false">-1+A6007*0.25</f>
        <v>1</v>
      </c>
      <c r="F6007" s="0" t="n">
        <f aca="false">-1+B6007*0.25</f>
        <v>-0.5</v>
      </c>
      <c r="G6007" s="0" t="n">
        <f aca="false">-1+C6007*0.25</f>
        <v>-1</v>
      </c>
      <c r="H6007" s="0" t="n">
        <f aca="false">-1+D6007*0.25</f>
        <v>1</v>
      </c>
      <c r="I6007" s="0" t="n">
        <f aca="false">1</f>
        <v>1</v>
      </c>
      <c r="J6007" s="0" t="n">
        <f aca="false">E6007</f>
        <v>1</v>
      </c>
      <c r="K6007" s="0" t="n">
        <f aca="false">F6007</f>
        <v>-0.5</v>
      </c>
      <c r="L6007" s="0" t="n">
        <f aca="false">G6007</f>
        <v>-1</v>
      </c>
      <c r="M6007" s="0" t="n">
        <f aca="false">H6007</f>
        <v>1</v>
      </c>
      <c r="N6007" s="0" t="n">
        <f aca="false">E6007*F6007</f>
        <v>-0.5</v>
      </c>
      <c r="O6007" s="0" t="n">
        <f aca="false">E6007*G6007</f>
        <v>-1</v>
      </c>
      <c r="P6007" s="0" t="n">
        <f aca="false">E6007*H6007</f>
        <v>1</v>
      </c>
      <c r="Q6007" s="0" t="n">
        <f aca="false">F6007*G6007</f>
        <v>0.5</v>
      </c>
      <c r="R6007" s="0" t="n">
        <f aca="false">F6007*H6007</f>
        <v>-0.5</v>
      </c>
      <c r="S6007" s="0" t="n">
        <f aca="false">G6007*H6007</f>
        <v>-1</v>
      </c>
      <c r="T6007" s="0" t="n">
        <f aca="false">E6007*E6007</f>
        <v>1</v>
      </c>
      <c r="U6007" s="0" t="n">
        <f aca="false">F6007*F6007</f>
        <v>0.25</v>
      </c>
      <c r="V6007" s="0" t="n">
        <f aca="false">G6007*G6007</f>
        <v>1</v>
      </c>
      <c r="W6007" s="0" t="n">
        <f aca="false">H6007*H6007</f>
        <v>1</v>
      </c>
      <c r="X6007" s="0" t="n">
        <f aca="false">SUMPRODUCT(I6007:W6007,_XtX!$B$96:$P$96)</f>
        <v>44.1829678362574</v>
      </c>
      <c r="Y6007" s="0" t="n">
        <f aca="false">SUMPRODUCT(MMULT(I6007:W6007,_XtX!$B$78:$P$92),I6007:W6007)</f>
        <v>0.667123538011696</v>
      </c>
      <c r="Z6007" s="0" t="n">
        <f aca="false">04_回帰ANOVA!$K$19*04_回帰ANOVA!$K$14*SQRT(1+Y6007)</f>
        <v>1.68299290213005</v>
      </c>
      <c r="AA6007" s="0" t="n">
        <f aca="false">X6007-Z6007</f>
        <v>42.4999749341273</v>
      </c>
      <c r="AB6007" s="0" t="n">
        <f aca="false">X6007+Z6007</f>
        <v>45.8659607383874</v>
      </c>
      <c r="AC6007" s="54" t="b">
        <f aca="false">AND(E6007&gt;=01_因子設定!$L$5-0.000000001,E6007&lt;=01_因子設定!$M$5+0.000000001,F6007&gt;=01_因子設定!$L$6-0.000000001,F6007&lt;=01_因子設定!$M$6+0.000000001,G6007&gt;=01_因子設定!$L$7-0.000000001,G6007&lt;=01_因子設定!$M$7+0.000000001,H6007&gt;=01_因子設定!$L$8-0.000000001,H6007&lt;=01_因子設定!$M$8+0.000000001,IF(01_因子設定!$B$20="Box-Behnken",E6007^2+F6007^2+G6007^2+H6007^2&lt;=2+0.000000001,TRUE()))</f>
        <v>1</v>
      </c>
      <c r="AD6007" s="55" t="n">
        <f aca="false">IF(AC6007,IF(01_因子設定!$B$13="最大化",AA6007-01_因子設定!$B$14,IF(01_因子設定!$B$13="最小化",01_因子設定!$B$15-AB6007,MIN(AA6007-01_因子設定!$B$14,01_因子設定!$B$15-AB6007))),-1E+030)</f>
        <v>-4.00002506587268</v>
      </c>
      <c r="AE6007" s="55" t="n">
        <f aca="false">IF(AC6007,IF(01_因子設定!$B$13="最大化",X6007,IF(01_因子設定!$B$13="最小化",-X6007,-ABS(X6007-01_因子設定!$B$16))),-1E+030)</f>
        <v>44.1829678362574</v>
      </c>
      <c r="AF6007" s="55" t="n">
        <f aca="false">AD6007+ROW()*0.000000001</f>
        <v>-4.00001905887268</v>
      </c>
      <c r="AG6007" s="55" t="n">
        <f aca="false">AE6007+ROW()*0.000000001</f>
        <v>44.1829738432574</v>
      </c>
    </row>
    <row r="6008" customFormat="false" ht="15" hidden="false" customHeight="false" outlineLevel="0" collapsed="false">
      <c r="A6008" s="0" t="n">
        <v>8</v>
      </c>
      <c r="B6008" s="0" t="n">
        <v>2</v>
      </c>
      <c r="C6008" s="0" t="n">
        <v>1</v>
      </c>
      <c r="D6008" s="0" t="n">
        <v>0</v>
      </c>
      <c r="E6008" s="0" t="n">
        <f aca="false">-1+A6008*0.25</f>
        <v>1</v>
      </c>
      <c r="F6008" s="0" t="n">
        <f aca="false">-1+B6008*0.25</f>
        <v>-0.5</v>
      </c>
      <c r="G6008" s="0" t="n">
        <f aca="false">-1+C6008*0.25</f>
        <v>-0.75</v>
      </c>
      <c r="H6008" s="0" t="n">
        <f aca="false">-1+D6008*0.25</f>
        <v>-1</v>
      </c>
      <c r="I6008" s="0" t="n">
        <f aca="false">1</f>
        <v>1</v>
      </c>
      <c r="J6008" s="0" t="n">
        <f aca="false">E6008</f>
        <v>1</v>
      </c>
      <c r="K6008" s="0" t="n">
        <f aca="false">F6008</f>
        <v>-0.5</v>
      </c>
      <c r="L6008" s="0" t="n">
        <f aca="false">G6008</f>
        <v>-0.75</v>
      </c>
      <c r="M6008" s="0" t="n">
        <f aca="false">H6008</f>
        <v>-1</v>
      </c>
      <c r="N6008" s="0" t="n">
        <f aca="false">E6008*F6008</f>
        <v>-0.5</v>
      </c>
      <c r="O6008" s="0" t="n">
        <f aca="false">E6008*G6008</f>
        <v>-0.75</v>
      </c>
      <c r="P6008" s="0" t="n">
        <f aca="false">E6008*H6008</f>
        <v>-1</v>
      </c>
      <c r="Q6008" s="0" t="n">
        <f aca="false">F6008*G6008</f>
        <v>0.375</v>
      </c>
      <c r="R6008" s="0" t="n">
        <f aca="false">F6008*H6008</f>
        <v>0.5</v>
      </c>
      <c r="S6008" s="0" t="n">
        <f aca="false">G6008*H6008</f>
        <v>0.75</v>
      </c>
      <c r="T6008" s="0" t="n">
        <f aca="false">E6008*E6008</f>
        <v>1</v>
      </c>
      <c r="U6008" s="0" t="n">
        <f aca="false">F6008*F6008</f>
        <v>0.25</v>
      </c>
      <c r="V6008" s="0" t="n">
        <f aca="false">G6008*G6008</f>
        <v>0.5625</v>
      </c>
      <c r="W6008" s="0" t="n">
        <f aca="false">H6008*H6008</f>
        <v>1</v>
      </c>
      <c r="X6008" s="0" t="n">
        <f aca="false">SUMPRODUCT(I6008:W6008,_XtX!$B$96:$P$96)</f>
        <v>43.7553271198831</v>
      </c>
      <c r="Y6008" s="0" t="n">
        <f aca="false">SUMPRODUCT(MMULT(I6008:W6008,_XtX!$B$78:$P$92),I6008:W6008)</f>
        <v>0.564984237938597</v>
      </c>
      <c r="Z6008" s="0" t="n">
        <f aca="false">04_回帰ANOVA!$K$19*04_回帰ANOVA!$K$14*SQRT(1+Y6008)</f>
        <v>1.63062229734503</v>
      </c>
      <c r="AA6008" s="0" t="n">
        <f aca="false">X6008-Z6008</f>
        <v>42.1247048225381</v>
      </c>
      <c r="AB6008" s="0" t="n">
        <f aca="false">X6008+Z6008</f>
        <v>45.3859494172281</v>
      </c>
      <c r="AC6008" s="54" t="b">
        <f aca="false">AND(E6008&gt;=01_因子設定!$L$5-0.000000001,E6008&lt;=01_因子設定!$M$5+0.000000001,F6008&gt;=01_因子設定!$L$6-0.000000001,F6008&lt;=01_因子設定!$M$6+0.000000001,G6008&gt;=01_因子設定!$L$7-0.000000001,G6008&lt;=01_因子設定!$M$7+0.000000001,H6008&gt;=01_因子設定!$L$8-0.000000001,H6008&lt;=01_因子設定!$M$8+0.000000001,IF(01_因子設定!$B$20="Box-Behnken",E6008^2+F6008^2+G6008^2+H6008^2&lt;=2+0.000000001,TRUE()))</f>
        <v>1</v>
      </c>
      <c r="AD6008" s="55" t="n">
        <f aca="false">IF(AC6008,IF(01_因子設定!$B$13="最大化",AA6008-01_因子設定!$B$14,IF(01_因子設定!$B$13="最小化",01_因子設定!$B$15-AB6008,MIN(AA6008-01_因子設定!$B$14,01_因子設定!$B$15-AB6008))),-1E+030)</f>
        <v>-4.37529517746193</v>
      </c>
      <c r="AE6008" s="55" t="n">
        <f aca="false">IF(AC6008,IF(01_因子設定!$B$13="最大化",X6008,IF(01_因子設定!$B$13="最小化",-X6008,-ABS(X6008-01_因子設定!$B$16))),-1E+030)</f>
        <v>43.7553271198831</v>
      </c>
      <c r="AF6008" s="55" t="n">
        <f aca="false">AD6008+ROW()*0.000000001</f>
        <v>-4.37528916946193</v>
      </c>
      <c r="AG6008" s="55" t="n">
        <f aca="false">AE6008+ROW()*0.000000001</f>
        <v>43.7553331278831</v>
      </c>
    </row>
    <row r="6009" customFormat="false" ht="15" hidden="false" customHeight="false" outlineLevel="0" collapsed="false">
      <c r="A6009" s="0" t="n">
        <v>8</v>
      </c>
      <c r="B6009" s="0" t="n">
        <v>2</v>
      </c>
      <c r="C6009" s="0" t="n">
        <v>1</v>
      </c>
      <c r="D6009" s="0" t="n">
        <v>1</v>
      </c>
      <c r="E6009" s="0" t="n">
        <f aca="false">-1+A6009*0.25</f>
        <v>1</v>
      </c>
      <c r="F6009" s="0" t="n">
        <f aca="false">-1+B6009*0.25</f>
        <v>-0.5</v>
      </c>
      <c r="G6009" s="0" t="n">
        <f aca="false">-1+C6009*0.25</f>
        <v>-0.75</v>
      </c>
      <c r="H6009" s="0" t="n">
        <f aca="false">-1+D6009*0.25</f>
        <v>-0.75</v>
      </c>
      <c r="I6009" s="0" t="n">
        <f aca="false">1</f>
        <v>1</v>
      </c>
      <c r="J6009" s="0" t="n">
        <f aca="false">E6009</f>
        <v>1</v>
      </c>
      <c r="K6009" s="0" t="n">
        <f aca="false">F6009</f>
        <v>-0.5</v>
      </c>
      <c r="L6009" s="0" t="n">
        <f aca="false">G6009</f>
        <v>-0.75</v>
      </c>
      <c r="M6009" s="0" t="n">
        <f aca="false">H6009</f>
        <v>-0.75</v>
      </c>
      <c r="N6009" s="0" t="n">
        <f aca="false">E6009*F6009</f>
        <v>-0.5</v>
      </c>
      <c r="O6009" s="0" t="n">
        <f aca="false">E6009*G6009</f>
        <v>-0.75</v>
      </c>
      <c r="P6009" s="0" t="n">
        <f aca="false">E6009*H6009</f>
        <v>-0.75</v>
      </c>
      <c r="Q6009" s="0" t="n">
        <f aca="false">F6009*G6009</f>
        <v>0.375</v>
      </c>
      <c r="R6009" s="0" t="n">
        <f aca="false">F6009*H6009</f>
        <v>0.375</v>
      </c>
      <c r="S6009" s="0" t="n">
        <f aca="false">G6009*H6009</f>
        <v>0.5625</v>
      </c>
      <c r="T6009" s="0" t="n">
        <f aca="false">E6009*E6009</f>
        <v>1</v>
      </c>
      <c r="U6009" s="0" t="n">
        <f aca="false">F6009*F6009</f>
        <v>0.25</v>
      </c>
      <c r="V6009" s="0" t="n">
        <f aca="false">G6009*G6009</f>
        <v>0.5625</v>
      </c>
      <c r="W6009" s="0" t="n">
        <f aca="false">H6009*H6009</f>
        <v>0.5625</v>
      </c>
      <c r="X6009" s="0" t="n">
        <f aca="false">SUMPRODUCT(I6009:W6009,_XtX!$B$96:$P$96)</f>
        <v>44.0279468201755</v>
      </c>
      <c r="Y6009" s="0" t="n">
        <f aca="false">SUMPRODUCT(MMULT(I6009:W6009,_XtX!$B$78:$P$92),I6009:W6009)</f>
        <v>0.431153771472953</v>
      </c>
      <c r="Z6009" s="0" t="n">
        <f aca="false">04_回帰ANOVA!$K$19*04_回帰ANOVA!$K$14*SQRT(1+Y6009)</f>
        <v>1.55934259562563</v>
      </c>
      <c r="AA6009" s="0" t="n">
        <f aca="false">X6009-Z6009</f>
        <v>42.4686042245499</v>
      </c>
      <c r="AB6009" s="0" t="n">
        <f aca="false">X6009+Z6009</f>
        <v>45.5872894158011</v>
      </c>
      <c r="AC6009" s="54" t="b">
        <f aca="false">AND(E6009&gt;=01_因子設定!$L$5-0.000000001,E6009&lt;=01_因子設定!$M$5+0.000000001,F6009&gt;=01_因子設定!$L$6-0.000000001,F6009&lt;=01_因子設定!$M$6+0.000000001,G6009&gt;=01_因子設定!$L$7-0.000000001,G6009&lt;=01_因子設定!$M$7+0.000000001,H6009&gt;=01_因子設定!$L$8-0.000000001,H6009&lt;=01_因子設定!$M$8+0.000000001,IF(01_因子設定!$B$20="Box-Behnken",E6009^2+F6009^2+G6009^2+H6009^2&lt;=2+0.000000001,TRUE()))</f>
        <v>1</v>
      </c>
      <c r="AD6009" s="55" t="n">
        <f aca="false">IF(AC6009,IF(01_因子設定!$B$13="最大化",AA6009-01_因子設定!$B$14,IF(01_因子設定!$B$13="最小化",01_因子設定!$B$15-AB6009,MIN(AA6009-01_因子設定!$B$14,01_因子設定!$B$15-AB6009))),-1E+030)</f>
        <v>-4.03139577545014</v>
      </c>
      <c r="AE6009" s="55" t="n">
        <f aca="false">IF(AC6009,IF(01_因子設定!$B$13="最大化",X6009,IF(01_因子設定!$B$13="最小化",-X6009,-ABS(X6009-01_因子設定!$B$16))),-1E+030)</f>
        <v>44.0279468201755</v>
      </c>
      <c r="AF6009" s="55" t="n">
        <f aca="false">AD6009+ROW()*0.000000001</f>
        <v>-4.03138976645014</v>
      </c>
      <c r="AG6009" s="55" t="n">
        <f aca="false">AE6009+ROW()*0.000000001</f>
        <v>44.0279528291755</v>
      </c>
    </row>
    <row r="6010" customFormat="false" ht="15" hidden="false" customHeight="false" outlineLevel="0" collapsed="false">
      <c r="A6010" s="0" t="n">
        <v>8</v>
      </c>
      <c r="B6010" s="0" t="n">
        <v>2</v>
      </c>
      <c r="C6010" s="0" t="n">
        <v>1</v>
      </c>
      <c r="D6010" s="0" t="n">
        <v>2</v>
      </c>
      <c r="E6010" s="0" t="n">
        <f aca="false">-1+A6010*0.25</f>
        <v>1</v>
      </c>
      <c r="F6010" s="0" t="n">
        <f aca="false">-1+B6010*0.25</f>
        <v>-0.5</v>
      </c>
      <c r="G6010" s="0" t="n">
        <f aca="false">-1+C6010*0.25</f>
        <v>-0.75</v>
      </c>
      <c r="H6010" s="0" t="n">
        <f aca="false">-1+D6010*0.25</f>
        <v>-0.5</v>
      </c>
      <c r="I6010" s="0" t="n">
        <f aca="false">1</f>
        <v>1</v>
      </c>
      <c r="J6010" s="0" t="n">
        <f aca="false">E6010</f>
        <v>1</v>
      </c>
      <c r="K6010" s="0" t="n">
        <f aca="false">F6010</f>
        <v>-0.5</v>
      </c>
      <c r="L6010" s="0" t="n">
        <f aca="false">G6010</f>
        <v>-0.75</v>
      </c>
      <c r="M6010" s="0" t="n">
        <f aca="false">H6010</f>
        <v>-0.5</v>
      </c>
      <c r="N6010" s="0" t="n">
        <f aca="false">E6010*F6010</f>
        <v>-0.5</v>
      </c>
      <c r="O6010" s="0" t="n">
        <f aca="false">E6010*G6010</f>
        <v>-0.75</v>
      </c>
      <c r="P6010" s="0" t="n">
        <f aca="false">E6010*H6010</f>
        <v>-0.5</v>
      </c>
      <c r="Q6010" s="0" t="n">
        <f aca="false">F6010*G6010</f>
        <v>0.375</v>
      </c>
      <c r="R6010" s="0" t="n">
        <f aca="false">F6010*H6010</f>
        <v>0.25</v>
      </c>
      <c r="S6010" s="0" t="n">
        <f aca="false">G6010*H6010</f>
        <v>0.375</v>
      </c>
      <c r="T6010" s="0" t="n">
        <f aca="false">E6010*E6010</f>
        <v>1</v>
      </c>
      <c r="U6010" s="0" t="n">
        <f aca="false">F6010*F6010</f>
        <v>0.25</v>
      </c>
      <c r="V6010" s="0" t="n">
        <f aca="false">G6010*G6010</f>
        <v>0.5625</v>
      </c>
      <c r="W6010" s="0" t="n">
        <f aca="false">H6010*H6010</f>
        <v>0.25</v>
      </c>
      <c r="X6010" s="0" t="n">
        <f aca="false">SUMPRODUCT(I6010:W6010,_XtX!$B$96:$P$96)</f>
        <v>44.252759502924</v>
      </c>
      <c r="Y6010" s="0" t="n">
        <f aca="false">SUMPRODUCT(MMULT(I6010:W6010,_XtX!$B$78:$P$92),I6010:W6010)</f>
        <v>0.42602110745614</v>
      </c>
      <c r="Z6010" s="0" t="n">
        <f aca="false">04_回帰ANOVA!$K$19*04_回帰ANOVA!$K$14*SQRT(1+Y6010)</f>
        <v>1.55654388501114</v>
      </c>
      <c r="AA6010" s="0" t="n">
        <f aca="false">X6010-Z6010</f>
        <v>42.6962156179129</v>
      </c>
      <c r="AB6010" s="0" t="n">
        <f aca="false">X6010+Z6010</f>
        <v>45.8093033879352</v>
      </c>
      <c r="AC6010" s="54" t="b">
        <f aca="false">AND(E6010&gt;=01_因子設定!$L$5-0.000000001,E6010&lt;=01_因子設定!$M$5+0.000000001,F6010&gt;=01_因子設定!$L$6-0.000000001,F6010&lt;=01_因子設定!$M$6+0.000000001,G6010&gt;=01_因子設定!$L$7-0.000000001,G6010&lt;=01_因子設定!$M$7+0.000000001,H6010&gt;=01_因子設定!$L$8-0.000000001,H6010&lt;=01_因子設定!$M$8+0.000000001,IF(01_因子設定!$B$20="Box-Behnken",E6010^2+F6010^2+G6010^2+H6010^2&lt;=2+0.000000001,TRUE()))</f>
        <v>1</v>
      </c>
      <c r="AD6010" s="55" t="n">
        <f aca="false">IF(AC6010,IF(01_因子設定!$B$13="最大化",AA6010-01_因子設定!$B$14,IF(01_因子設定!$B$13="最小化",01_因子設定!$B$15-AB6010,MIN(AA6010-01_因子設定!$B$14,01_因子設定!$B$15-AB6010))),-1E+030)</f>
        <v>-3.80378438208712</v>
      </c>
      <c r="AE6010" s="55" t="n">
        <f aca="false">IF(AC6010,IF(01_因子設定!$B$13="最大化",X6010,IF(01_因子設定!$B$13="最小化",-X6010,-ABS(X6010-01_因子設定!$B$16))),-1E+030)</f>
        <v>44.252759502924</v>
      </c>
      <c r="AF6010" s="55" t="n">
        <f aca="false">AD6010+ROW()*0.000000001</f>
        <v>-3.80377837208712</v>
      </c>
      <c r="AG6010" s="55" t="n">
        <f aca="false">AE6010+ROW()*0.000000001</f>
        <v>44.252765512924</v>
      </c>
    </row>
    <row r="6011" customFormat="false" ht="15" hidden="false" customHeight="false" outlineLevel="0" collapsed="false">
      <c r="A6011" s="0" t="n">
        <v>8</v>
      </c>
      <c r="B6011" s="0" t="n">
        <v>2</v>
      </c>
      <c r="C6011" s="0" t="n">
        <v>1</v>
      </c>
      <c r="D6011" s="0" t="n">
        <v>3</v>
      </c>
      <c r="E6011" s="0" t="n">
        <f aca="false">-1+A6011*0.25</f>
        <v>1</v>
      </c>
      <c r="F6011" s="0" t="n">
        <f aca="false">-1+B6011*0.25</f>
        <v>-0.5</v>
      </c>
      <c r="G6011" s="0" t="n">
        <f aca="false">-1+C6011*0.25</f>
        <v>-0.75</v>
      </c>
      <c r="H6011" s="0" t="n">
        <f aca="false">-1+D6011*0.25</f>
        <v>-0.25</v>
      </c>
      <c r="I6011" s="0" t="n">
        <f aca="false">1</f>
        <v>1</v>
      </c>
      <c r="J6011" s="0" t="n">
        <f aca="false">E6011</f>
        <v>1</v>
      </c>
      <c r="K6011" s="0" t="n">
        <f aca="false">F6011</f>
        <v>-0.5</v>
      </c>
      <c r="L6011" s="0" t="n">
        <f aca="false">G6011</f>
        <v>-0.75</v>
      </c>
      <c r="M6011" s="0" t="n">
        <f aca="false">H6011</f>
        <v>-0.25</v>
      </c>
      <c r="N6011" s="0" t="n">
        <f aca="false">E6011*F6011</f>
        <v>-0.5</v>
      </c>
      <c r="O6011" s="0" t="n">
        <f aca="false">E6011*G6011</f>
        <v>-0.75</v>
      </c>
      <c r="P6011" s="0" t="n">
        <f aca="false">E6011*H6011</f>
        <v>-0.25</v>
      </c>
      <c r="Q6011" s="0" t="n">
        <f aca="false">F6011*G6011</f>
        <v>0.375</v>
      </c>
      <c r="R6011" s="0" t="n">
        <f aca="false">F6011*H6011</f>
        <v>0.125</v>
      </c>
      <c r="S6011" s="0" t="n">
        <f aca="false">G6011*H6011</f>
        <v>0.1875</v>
      </c>
      <c r="T6011" s="0" t="n">
        <f aca="false">E6011*E6011</f>
        <v>1</v>
      </c>
      <c r="U6011" s="0" t="n">
        <f aca="false">F6011*F6011</f>
        <v>0.25</v>
      </c>
      <c r="V6011" s="0" t="n">
        <f aca="false">G6011*G6011</f>
        <v>0.5625</v>
      </c>
      <c r="W6011" s="0" t="n">
        <f aca="false">H6011*H6011</f>
        <v>0.0625</v>
      </c>
      <c r="X6011" s="0" t="n">
        <f aca="false">SUMPRODUCT(I6011:W6011,_XtX!$B$96:$P$96)</f>
        <v>44.4297651681287</v>
      </c>
      <c r="Y6011" s="0" t="n">
        <f aca="false">SUMPRODUCT(MMULT(I6011:W6011,_XtX!$B$78:$P$92),I6011:W6011)</f>
        <v>0.459125719572369</v>
      </c>
      <c r="Z6011" s="0" t="n">
        <f aca="false">04_回帰ANOVA!$K$19*04_回帰ANOVA!$K$14*SQRT(1+Y6011)</f>
        <v>1.57450755575573</v>
      </c>
      <c r="AA6011" s="0" t="n">
        <f aca="false">X6011-Z6011</f>
        <v>42.855257612373</v>
      </c>
      <c r="AB6011" s="0" t="n">
        <f aca="false">X6011+Z6011</f>
        <v>46.0042727238844</v>
      </c>
      <c r="AC6011" s="54" t="b">
        <f aca="false">AND(E6011&gt;=01_因子設定!$L$5-0.000000001,E6011&lt;=01_因子設定!$M$5+0.000000001,F6011&gt;=01_因子設定!$L$6-0.000000001,F6011&lt;=01_因子設定!$M$6+0.000000001,G6011&gt;=01_因子設定!$L$7-0.000000001,G6011&lt;=01_因子設定!$M$7+0.000000001,H6011&gt;=01_因子設定!$L$8-0.000000001,H6011&lt;=01_因子設定!$M$8+0.000000001,IF(01_因子設定!$B$20="Box-Behnken",E6011^2+F6011^2+G6011^2+H6011^2&lt;=2+0.000000001,TRUE()))</f>
        <v>1</v>
      </c>
      <c r="AD6011" s="55" t="n">
        <f aca="false">IF(AC6011,IF(01_因子設定!$B$13="最大化",AA6011-01_因子設定!$B$14,IF(01_因子設定!$B$13="最小化",01_因子設定!$B$15-AB6011,MIN(AA6011-01_因子設定!$B$14,01_因子設定!$B$15-AB6011))),-1E+030)</f>
        <v>-3.64474238762705</v>
      </c>
      <c r="AE6011" s="55" t="n">
        <f aca="false">IF(AC6011,IF(01_因子設定!$B$13="最大化",X6011,IF(01_因子設定!$B$13="最小化",-X6011,-ABS(X6011-01_因子設定!$B$16))),-1E+030)</f>
        <v>44.4297651681287</v>
      </c>
      <c r="AF6011" s="55" t="n">
        <f aca="false">AD6011+ROW()*0.000000001</f>
        <v>-3.64473637662705</v>
      </c>
      <c r="AG6011" s="55" t="n">
        <f aca="false">AE6011+ROW()*0.000000001</f>
        <v>44.4297711791287</v>
      </c>
    </row>
    <row r="6012" customFormat="false" ht="15" hidden="false" customHeight="false" outlineLevel="0" collapsed="false">
      <c r="A6012" s="0" t="n">
        <v>8</v>
      </c>
      <c r="B6012" s="0" t="n">
        <v>2</v>
      </c>
      <c r="C6012" s="0" t="n">
        <v>1</v>
      </c>
      <c r="D6012" s="0" t="n">
        <v>4</v>
      </c>
      <c r="E6012" s="0" t="n">
        <f aca="false">-1+A6012*0.25</f>
        <v>1</v>
      </c>
      <c r="F6012" s="0" t="n">
        <f aca="false">-1+B6012*0.25</f>
        <v>-0.5</v>
      </c>
      <c r="G6012" s="0" t="n">
        <f aca="false">-1+C6012*0.25</f>
        <v>-0.75</v>
      </c>
      <c r="H6012" s="0" t="n">
        <f aca="false">-1+D6012*0.25</f>
        <v>0</v>
      </c>
      <c r="I6012" s="0" t="n">
        <f aca="false">1</f>
        <v>1</v>
      </c>
      <c r="J6012" s="0" t="n">
        <f aca="false">E6012</f>
        <v>1</v>
      </c>
      <c r="K6012" s="0" t="n">
        <f aca="false">F6012</f>
        <v>-0.5</v>
      </c>
      <c r="L6012" s="0" t="n">
        <f aca="false">G6012</f>
        <v>-0.75</v>
      </c>
      <c r="M6012" s="0" t="n">
        <f aca="false">H6012</f>
        <v>0</v>
      </c>
      <c r="N6012" s="0" t="n">
        <f aca="false">E6012*F6012</f>
        <v>-0.5</v>
      </c>
      <c r="O6012" s="0" t="n">
        <f aca="false">E6012*G6012</f>
        <v>-0.75</v>
      </c>
      <c r="P6012" s="0" t="n">
        <f aca="false">E6012*H6012</f>
        <v>0</v>
      </c>
      <c r="Q6012" s="0" t="n">
        <f aca="false">F6012*G6012</f>
        <v>0.375</v>
      </c>
      <c r="R6012" s="0" t="n">
        <f aca="false">F6012*H6012</f>
        <v>-0</v>
      </c>
      <c r="S6012" s="0" t="n">
        <f aca="false">G6012*H6012</f>
        <v>-0</v>
      </c>
      <c r="T6012" s="0" t="n">
        <f aca="false">E6012*E6012</f>
        <v>1</v>
      </c>
      <c r="U6012" s="0" t="n">
        <f aca="false">F6012*F6012</f>
        <v>0.25</v>
      </c>
      <c r="V6012" s="0" t="n">
        <f aca="false">G6012*G6012</f>
        <v>0.5625</v>
      </c>
      <c r="W6012" s="0" t="n">
        <f aca="false">H6012*H6012</f>
        <v>0</v>
      </c>
      <c r="X6012" s="0" t="n">
        <f aca="false">SUMPRODUCT(I6012:W6012,_XtX!$B$96:$P$96)</f>
        <v>44.5589638157895</v>
      </c>
      <c r="Y6012" s="0" t="n">
        <f aca="false">SUMPRODUCT(MMULT(I6012:W6012,_XtX!$B$78:$P$92),I6012:W6012)</f>
        <v>0.476191292032164</v>
      </c>
      <c r="Z6012" s="0" t="n">
        <f aca="false">04_回帰ANOVA!$K$19*04_回帰ANOVA!$K$14*SQRT(1+Y6012)</f>
        <v>1.58368831471718</v>
      </c>
      <c r="AA6012" s="0" t="n">
        <f aca="false">X6012-Z6012</f>
        <v>42.9752755010723</v>
      </c>
      <c r="AB6012" s="0" t="n">
        <f aca="false">X6012+Z6012</f>
        <v>46.1426521305067</v>
      </c>
      <c r="AC6012" s="54" t="b">
        <f aca="false">AND(E6012&gt;=01_因子設定!$L$5-0.000000001,E6012&lt;=01_因子設定!$M$5+0.000000001,F6012&gt;=01_因子設定!$L$6-0.000000001,F6012&lt;=01_因子設定!$M$6+0.000000001,G6012&gt;=01_因子設定!$L$7-0.000000001,G6012&lt;=01_因子設定!$M$7+0.000000001,H6012&gt;=01_因子設定!$L$8-0.000000001,H6012&lt;=01_因子設定!$M$8+0.000000001,IF(01_因子設定!$B$20="Box-Behnken",E6012^2+F6012^2+G6012^2+H6012^2&lt;=2+0.000000001,TRUE()))</f>
        <v>1</v>
      </c>
      <c r="AD6012" s="55" t="n">
        <f aca="false">IF(AC6012,IF(01_因子設定!$B$13="最大化",AA6012-01_因子設定!$B$14,IF(01_因子設定!$B$13="最小化",01_因子設定!$B$15-AB6012,MIN(AA6012-01_因子設定!$B$14,01_因子設定!$B$15-AB6012))),-1E+030)</f>
        <v>-3.52472449892768</v>
      </c>
      <c r="AE6012" s="55" t="n">
        <f aca="false">IF(AC6012,IF(01_因子設定!$B$13="最大化",X6012,IF(01_因子設定!$B$13="最小化",-X6012,-ABS(X6012-01_因子設定!$B$16))),-1E+030)</f>
        <v>44.5589638157895</v>
      </c>
      <c r="AF6012" s="55" t="n">
        <f aca="false">AD6012+ROW()*0.000000001</f>
        <v>-3.52471848692768</v>
      </c>
      <c r="AG6012" s="55" t="n">
        <f aca="false">AE6012+ROW()*0.000000001</f>
        <v>44.5589698277895</v>
      </c>
    </row>
    <row r="6013" customFormat="false" ht="15" hidden="false" customHeight="false" outlineLevel="0" collapsed="false">
      <c r="A6013" s="0" t="n">
        <v>8</v>
      </c>
      <c r="B6013" s="0" t="n">
        <v>2</v>
      </c>
      <c r="C6013" s="0" t="n">
        <v>1</v>
      </c>
      <c r="D6013" s="0" t="n">
        <v>5</v>
      </c>
      <c r="E6013" s="0" t="n">
        <f aca="false">-1+A6013*0.25</f>
        <v>1</v>
      </c>
      <c r="F6013" s="0" t="n">
        <f aca="false">-1+B6013*0.25</f>
        <v>-0.5</v>
      </c>
      <c r="G6013" s="0" t="n">
        <f aca="false">-1+C6013*0.25</f>
        <v>-0.75</v>
      </c>
      <c r="H6013" s="0" t="n">
        <f aca="false">-1+D6013*0.25</f>
        <v>0.25</v>
      </c>
      <c r="I6013" s="0" t="n">
        <f aca="false">1</f>
        <v>1</v>
      </c>
      <c r="J6013" s="0" t="n">
        <f aca="false">E6013</f>
        <v>1</v>
      </c>
      <c r="K6013" s="0" t="n">
        <f aca="false">F6013</f>
        <v>-0.5</v>
      </c>
      <c r="L6013" s="0" t="n">
        <f aca="false">G6013</f>
        <v>-0.75</v>
      </c>
      <c r="M6013" s="0" t="n">
        <f aca="false">H6013</f>
        <v>0.25</v>
      </c>
      <c r="N6013" s="0" t="n">
        <f aca="false">E6013*F6013</f>
        <v>-0.5</v>
      </c>
      <c r="O6013" s="0" t="n">
        <f aca="false">E6013*G6013</f>
        <v>-0.75</v>
      </c>
      <c r="P6013" s="0" t="n">
        <f aca="false">E6013*H6013</f>
        <v>0.25</v>
      </c>
      <c r="Q6013" s="0" t="n">
        <f aca="false">F6013*G6013</f>
        <v>0.375</v>
      </c>
      <c r="R6013" s="0" t="n">
        <f aca="false">F6013*H6013</f>
        <v>-0.125</v>
      </c>
      <c r="S6013" s="0" t="n">
        <f aca="false">G6013*H6013</f>
        <v>-0.1875</v>
      </c>
      <c r="T6013" s="0" t="n">
        <f aca="false">E6013*E6013</f>
        <v>1</v>
      </c>
      <c r="U6013" s="0" t="n">
        <f aca="false">F6013*F6013</f>
        <v>0.25</v>
      </c>
      <c r="V6013" s="0" t="n">
        <f aca="false">G6013*G6013</f>
        <v>0.5625</v>
      </c>
      <c r="W6013" s="0" t="n">
        <f aca="false">H6013*H6013</f>
        <v>0.0625</v>
      </c>
      <c r="X6013" s="0" t="n">
        <f aca="false">SUMPRODUCT(I6013:W6013,_XtX!$B$96:$P$96)</f>
        <v>44.6403554459065</v>
      </c>
      <c r="Y6013" s="0" t="n">
        <f aca="false">SUMPRODUCT(MMULT(I6013:W6013,_XtX!$B$78:$P$92),I6013:W6013)</f>
        <v>0.459125719572369</v>
      </c>
      <c r="Z6013" s="0" t="n">
        <f aca="false">04_回帰ANOVA!$K$19*04_回帰ANOVA!$K$14*SQRT(1+Y6013)</f>
        <v>1.57450755575573</v>
      </c>
      <c r="AA6013" s="0" t="n">
        <f aca="false">X6013-Z6013</f>
        <v>43.0658478901507</v>
      </c>
      <c r="AB6013" s="0" t="n">
        <f aca="false">X6013+Z6013</f>
        <v>46.2148630016622</v>
      </c>
      <c r="AC6013" s="54" t="b">
        <f aca="false">AND(E6013&gt;=01_因子設定!$L$5-0.000000001,E6013&lt;=01_因子設定!$M$5+0.000000001,F6013&gt;=01_因子設定!$L$6-0.000000001,F6013&lt;=01_因子設定!$M$6+0.000000001,G6013&gt;=01_因子設定!$L$7-0.000000001,G6013&lt;=01_因子設定!$M$7+0.000000001,H6013&gt;=01_因子設定!$L$8-0.000000001,H6013&lt;=01_因子設定!$M$8+0.000000001,IF(01_因子設定!$B$20="Box-Behnken",E6013^2+F6013^2+G6013^2+H6013^2&lt;=2+0.000000001,TRUE()))</f>
        <v>1</v>
      </c>
      <c r="AD6013" s="55" t="n">
        <f aca="false">IF(AC6013,IF(01_因子設定!$B$13="最大化",AA6013-01_因子設定!$B$14,IF(01_因子設定!$B$13="最小化",01_因子設定!$B$15-AB6013,MIN(AA6013-01_因子設定!$B$14,01_因子設定!$B$15-AB6013))),-1E+030)</f>
        <v>-3.43415210984927</v>
      </c>
      <c r="AE6013" s="55" t="n">
        <f aca="false">IF(AC6013,IF(01_因子設定!$B$13="最大化",X6013,IF(01_因子設定!$B$13="最小化",-X6013,-ABS(X6013-01_因子設定!$B$16))),-1E+030)</f>
        <v>44.6403554459065</v>
      </c>
      <c r="AF6013" s="55" t="n">
        <f aca="false">AD6013+ROW()*0.000000001</f>
        <v>-3.43414609684926</v>
      </c>
      <c r="AG6013" s="55" t="n">
        <f aca="false">AE6013+ROW()*0.000000001</f>
        <v>44.6403614589065</v>
      </c>
    </row>
    <row r="6014" customFormat="false" ht="15" hidden="false" customHeight="false" outlineLevel="0" collapsed="false">
      <c r="A6014" s="0" t="n">
        <v>8</v>
      </c>
      <c r="B6014" s="0" t="n">
        <v>2</v>
      </c>
      <c r="C6014" s="0" t="n">
        <v>1</v>
      </c>
      <c r="D6014" s="0" t="n">
        <v>6</v>
      </c>
      <c r="E6014" s="0" t="n">
        <f aca="false">-1+A6014*0.25</f>
        <v>1</v>
      </c>
      <c r="F6014" s="0" t="n">
        <f aca="false">-1+B6014*0.25</f>
        <v>-0.5</v>
      </c>
      <c r="G6014" s="0" t="n">
        <f aca="false">-1+C6014*0.25</f>
        <v>-0.75</v>
      </c>
      <c r="H6014" s="0" t="n">
        <f aca="false">-1+D6014*0.25</f>
        <v>0.5</v>
      </c>
      <c r="I6014" s="0" t="n">
        <f aca="false">1</f>
        <v>1</v>
      </c>
      <c r="J6014" s="0" t="n">
        <f aca="false">E6014</f>
        <v>1</v>
      </c>
      <c r="K6014" s="0" t="n">
        <f aca="false">F6014</f>
        <v>-0.5</v>
      </c>
      <c r="L6014" s="0" t="n">
        <f aca="false">G6014</f>
        <v>-0.75</v>
      </c>
      <c r="M6014" s="0" t="n">
        <f aca="false">H6014</f>
        <v>0.5</v>
      </c>
      <c r="N6014" s="0" t="n">
        <f aca="false">E6014*F6014</f>
        <v>-0.5</v>
      </c>
      <c r="O6014" s="0" t="n">
        <f aca="false">E6014*G6014</f>
        <v>-0.75</v>
      </c>
      <c r="P6014" s="0" t="n">
        <f aca="false">E6014*H6014</f>
        <v>0.5</v>
      </c>
      <c r="Q6014" s="0" t="n">
        <f aca="false">F6014*G6014</f>
        <v>0.375</v>
      </c>
      <c r="R6014" s="0" t="n">
        <f aca="false">F6014*H6014</f>
        <v>-0.25</v>
      </c>
      <c r="S6014" s="0" t="n">
        <f aca="false">G6014*H6014</f>
        <v>-0.375</v>
      </c>
      <c r="T6014" s="0" t="n">
        <f aca="false">E6014*E6014</f>
        <v>1</v>
      </c>
      <c r="U6014" s="0" t="n">
        <f aca="false">F6014*F6014</f>
        <v>0.25</v>
      </c>
      <c r="V6014" s="0" t="n">
        <f aca="false">G6014*G6014</f>
        <v>0.5625</v>
      </c>
      <c r="W6014" s="0" t="n">
        <f aca="false">H6014*H6014</f>
        <v>0.25</v>
      </c>
      <c r="X6014" s="0" t="n">
        <f aca="false">SUMPRODUCT(I6014:W6014,_XtX!$B$96:$P$96)</f>
        <v>44.6739400584796</v>
      </c>
      <c r="Y6014" s="0" t="n">
        <f aca="false">SUMPRODUCT(MMULT(I6014:W6014,_XtX!$B$78:$P$92),I6014:W6014)</f>
        <v>0.42602110745614</v>
      </c>
      <c r="Z6014" s="0" t="n">
        <f aca="false">04_回帰ANOVA!$K$19*04_回帰ANOVA!$K$14*SQRT(1+Y6014)</f>
        <v>1.55654388501114</v>
      </c>
      <c r="AA6014" s="0" t="n">
        <f aca="false">X6014-Z6014</f>
        <v>43.1173961734684</v>
      </c>
      <c r="AB6014" s="0" t="n">
        <f aca="false">X6014+Z6014</f>
        <v>46.2304839434907</v>
      </c>
      <c r="AC6014" s="54" t="b">
        <f aca="false">AND(E6014&gt;=01_因子設定!$L$5-0.000000001,E6014&lt;=01_因子設定!$M$5+0.000000001,F6014&gt;=01_因子設定!$L$6-0.000000001,F6014&lt;=01_因子設定!$M$6+0.000000001,G6014&gt;=01_因子設定!$L$7-0.000000001,G6014&lt;=01_因子設定!$M$7+0.000000001,H6014&gt;=01_因子設定!$L$8-0.000000001,H6014&lt;=01_因子設定!$M$8+0.000000001,IF(01_因子設定!$B$20="Box-Behnken",E6014^2+F6014^2+G6014^2+H6014^2&lt;=2+0.000000001,TRUE()))</f>
        <v>1</v>
      </c>
      <c r="AD6014" s="55" t="n">
        <f aca="false">IF(AC6014,IF(01_因子設定!$B$13="最大化",AA6014-01_因子設定!$B$14,IF(01_因子設定!$B$13="最小化",01_因子設定!$B$15-AB6014,MIN(AA6014-01_因子設定!$B$14,01_因子設定!$B$15-AB6014))),-1E+030)</f>
        <v>-3.38260382653157</v>
      </c>
      <c r="AE6014" s="55" t="n">
        <f aca="false">IF(AC6014,IF(01_因子設定!$B$13="最大化",X6014,IF(01_因子設定!$B$13="最小化",-X6014,-ABS(X6014-01_因子設定!$B$16))),-1E+030)</f>
        <v>44.6739400584796</v>
      </c>
      <c r="AF6014" s="55" t="n">
        <f aca="false">AD6014+ROW()*0.000000001</f>
        <v>-3.38259781253157</v>
      </c>
      <c r="AG6014" s="55" t="n">
        <f aca="false">AE6014+ROW()*0.000000001</f>
        <v>44.6739460724796</v>
      </c>
    </row>
    <row r="6015" customFormat="false" ht="15" hidden="false" customHeight="false" outlineLevel="0" collapsed="false">
      <c r="A6015" s="0" t="n">
        <v>8</v>
      </c>
      <c r="B6015" s="0" t="n">
        <v>2</v>
      </c>
      <c r="C6015" s="0" t="n">
        <v>1</v>
      </c>
      <c r="D6015" s="0" t="n">
        <v>7</v>
      </c>
      <c r="E6015" s="0" t="n">
        <f aca="false">-1+A6015*0.25</f>
        <v>1</v>
      </c>
      <c r="F6015" s="0" t="n">
        <f aca="false">-1+B6015*0.25</f>
        <v>-0.5</v>
      </c>
      <c r="G6015" s="0" t="n">
        <f aca="false">-1+C6015*0.25</f>
        <v>-0.75</v>
      </c>
      <c r="H6015" s="0" t="n">
        <f aca="false">-1+D6015*0.25</f>
        <v>0.75</v>
      </c>
      <c r="I6015" s="0" t="n">
        <f aca="false">1</f>
        <v>1</v>
      </c>
      <c r="J6015" s="0" t="n">
        <f aca="false">E6015</f>
        <v>1</v>
      </c>
      <c r="K6015" s="0" t="n">
        <f aca="false">F6015</f>
        <v>-0.5</v>
      </c>
      <c r="L6015" s="0" t="n">
        <f aca="false">G6015</f>
        <v>-0.75</v>
      </c>
      <c r="M6015" s="0" t="n">
        <f aca="false">H6015</f>
        <v>0.75</v>
      </c>
      <c r="N6015" s="0" t="n">
        <f aca="false">E6015*F6015</f>
        <v>-0.5</v>
      </c>
      <c r="O6015" s="0" t="n">
        <f aca="false">E6015*G6015</f>
        <v>-0.75</v>
      </c>
      <c r="P6015" s="0" t="n">
        <f aca="false">E6015*H6015</f>
        <v>0.75</v>
      </c>
      <c r="Q6015" s="0" t="n">
        <f aca="false">F6015*G6015</f>
        <v>0.375</v>
      </c>
      <c r="R6015" s="0" t="n">
        <f aca="false">F6015*H6015</f>
        <v>-0.375</v>
      </c>
      <c r="S6015" s="0" t="n">
        <f aca="false">G6015*H6015</f>
        <v>-0.5625</v>
      </c>
      <c r="T6015" s="0" t="n">
        <f aca="false">E6015*E6015</f>
        <v>1</v>
      </c>
      <c r="U6015" s="0" t="n">
        <f aca="false">F6015*F6015</f>
        <v>0.25</v>
      </c>
      <c r="V6015" s="0" t="n">
        <f aca="false">G6015*G6015</f>
        <v>0.5625</v>
      </c>
      <c r="W6015" s="0" t="n">
        <f aca="false">H6015*H6015</f>
        <v>0.5625</v>
      </c>
      <c r="X6015" s="0" t="n">
        <f aca="false">SUMPRODUCT(I6015:W6015,_XtX!$B$96:$P$96)</f>
        <v>44.6597176535088</v>
      </c>
      <c r="Y6015" s="0" t="n">
        <f aca="false">SUMPRODUCT(MMULT(I6015:W6015,_XtX!$B$78:$P$92),I6015:W6015)</f>
        <v>0.431153771472953</v>
      </c>
      <c r="Z6015" s="0" t="n">
        <f aca="false">04_回帰ANOVA!$K$19*04_回帰ANOVA!$K$14*SQRT(1+Y6015)</f>
        <v>1.55934259562563</v>
      </c>
      <c r="AA6015" s="0" t="n">
        <f aca="false">X6015-Z6015</f>
        <v>43.1003750578832</v>
      </c>
      <c r="AB6015" s="0" t="n">
        <f aca="false">X6015+Z6015</f>
        <v>46.2190602491345</v>
      </c>
      <c r="AC6015" s="54" t="b">
        <f aca="false">AND(E6015&gt;=01_因子設定!$L$5-0.000000001,E6015&lt;=01_因子設定!$M$5+0.000000001,F6015&gt;=01_因子設定!$L$6-0.000000001,F6015&lt;=01_因子設定!$M$6+0.000000001,G6015&gt;=01_因子設定!$L$7-0.000000001,G6015&lt;=01_因子設定!$M$7+0.000000001,H6015&gt;=01_因子設定!$L$8-0.000000001,H6015&lt;=01_因子設定!$M$8+0.000000001,IF(01_因子設定!$B$20="Box-Behnken",E6015^2+F6015^2+G6015^2+H6015^2&lt;=2+0.000000001,TRUE()))</f>
        <v>1</v>
      </c>
      <c r="AD6015" s="55" t="n">
        <f aca="false">IF(AC6015,IF(01_因子設定!$B$13="最大化",AA6015-01_因子設定!$B$14,IF(01_因子設定!$B$13="最小化",01_因子設定!$B$15-AB6015,MIN(AA6015-01_因子設定!$B$14,01_因子設定!$B$15-AB6015))),-1E+030)</f>
        <v>-3.39962494211681</v>
      </c>
      <c r="AE6015" s="55" t="n">
        <f aca="false">IF(AC6015,IF(01_因子設定!$B$13="最大化",X6015,IF(01_因子設定!$B$13="最小化",-X6015,-ABS(X6015-01_因子設定!$B$16))),-1E+030)</f>
        <v>44.6597176535088</v>
      </c>
      <c r="AF6015" s="55" t="n">
        <f aca="false">AD6015+ROW()*0.000000001</f>
        <v>-3.39961892711681</v>
      </c>
      <c r="AG6015" s="55" t="n">
        <f aca="false">AE6015+ROW()*0.000000001</f>
        <v>44.6597236685088</v>
      </c>
    </row>
    <row r="6016" customFormat="false" ht="15" hidden="false" customHeight="false" outlineLevel="0" collapsed="false">
      <c r="A6016" s="0" t="n">
        <v>8</v>
      </c>
      <c r="B6016" s="0" t="n">
        <v>2</v>
      </c>
      <c r="C6016" s="0" t="n">
        <v>1</v>
      </c>
      <c r="D6016" s="0" t="n">
        <v>8</v>
      </c>
      <c r="E6016" s="0" t="n">
        <f aca="false">-1+A6016*0.25</f>
        <v>1</v>
      </c>
      <c r="F6016" s="0" t="n">
        <f aca="false">-1+B6016*0.25</f>
        <v>-0.5</v>
      </c>
      <c r="G6016" s="0" t="n">
        <f aca="false">-1+C6016*0.25</f>
        <v>-0.75</v>
      </c>
      <c r="H6016" s="0" t="n">
        <f aca="false">-1+D6016*0.25</f>
        <v>1</v>
      </c>
      <c r="I6016" s="0" t="n">
        <f aca="false">1</f>
        <v>1</v>
      </c>
      <c r="J6016" s="0" t="n">
        <f aca="false">E6016</f>
        <v>1</v>
      </c>
      <c r="K6016" s="0" t="n">
        <f aca="false">F6016</f>
        <v>-0.5</v>
      </c>
      <c r="L6016" s="0" t="n">
        <f aca="false">G6016</f>
        <v>-0.75</v>
      </c>
      <c r="M6016" s="0" t="n">
        <f aca="false">H6016</f>
        <v>1</v>
      </c>
      <c r="N6016" s="0" t="n">
        <f aca="false">E6016*F6016</f>
        <v>-0.5</v>
      </c>
      <c r="O6016" s="0" t="n">
        <f aca="false">E6016*G6016</f>
        <v>-0.75</v>
      </c>
      <c r="P6016" s="0" t="n">
        <f aca="false">E6016*H6016</f>
        <v>1</v>
      </c>
      <c r="Q6016" s="0" t="n">
        <f aca="false">F6016*G6016</f>
        <v>0.375</v>
      </c>
      <c r="R6016" s="0" t="n">
        <f aca="false">F6016*H6016</f>
        <v>-0.5</v>
      </c>
      <c r="S6016" s="0" t="n">
        <f aca="false">G6016*H6016</f>
        <v>-0.75</v>
      </c>
      <c r="T6016" s="0" t="n">
        <f aca="false">E6016*E6016</f>
        <v>1</v>
      </c>
      <c r="U6016" s="0" t="n">
        <f aca="false">F6016*F6016</f>
        <v>0.25</v>
      </c>
      <c r="V6016" s="0" t="n">
        <f aca="false">G6016*G6016</f>
        <v>0.5625</v>
      </c>
      <c r="W6016" s="0" t="n">
        <f aca="false">H6016*H6016</f>
        <v>1</v>
      </c>
      <c r="X6016" s="0" t="n">
        <f aca="false">SUMPRODUCT(I6016:W6016,_XtX!$B$96:$P$96)</f>
        <v>44.5976882309942</v>
      </c>
      <c r="Y6016" s="0" t="n">
        <f aca="false">SUMPRODUCT(MMULT(I6016:W6016,_XtX!$B$78:$P$92),I6016:W6016)</f>
        <v>0.564984237938597</v>
      </c>
      <c r="Z6016" s="0" t="n">
        <f aca="false">04_回帰ANOVA!$K$19*04_回帰ANOVA!$K$14*SQRT(1+Y6016)</f>
        <v>1.63062229734503</v>
      </c>
      <c r="AA6016" s="0" t="n">
        <f aca="false">X6016-Z6016</f>
        <v>42.9670659336492</v>
      </c>
      <c r="AB6016" s="0" t="n">
        <f aca="false">X6016+Z6016</f>
        <v>46.2283105283393</v>
      </c>
      <c r="AC6016" s="54" t="b">
        <f aca="false">AND(E6016&gt;=01_因子設定!$L$5-0.000000001,E6016&lt;=01_因子設定!$M$5+0.000000001,F6016&gt;=01_因子設定!$L$6-0.000000001,F6016&lt;=01_因子設定!$M$6+0.000000001,G6016&gt;=01_因子設定!$L$7-0.000000001,G6016&lt;=01_因子設定!$M$7+0.000000001,H6016&gt;=01_因子設定!$L$8-0.000000001,H6016&lt;=01_因子設定!$M$8+0.000000001,IF(01_因子設定!$B$20="Box-Behnken",E6016^2+F6016^2+G6016^2+H6016^2&lt;=2+0.000000001,TRUE()))</f>
        <v>1</v>
      </c>
      <c r="AD6016" s="55" t="n">
        <f aca="false">IF(AC6016,IF(01_因子設定!$B$13="最大化",AA6016-01_因子設定!$B$14,IF(01_因子設定!$B$13="最小化",01_因子設定!$B$15-AB6016,MIN(AA6016-01_因子設定!$B$14,01_因子設定!$B$15-AB6016))),-1E+030)</f>
        <v>-3.53293406635082</v>
      </c>
      <c r="AE6016" s="55" t="n">
        <f aca="false">IF(AC6016,IF(01_因子設定!$B$13="最大化",X6016,IF(01_因子設定!$B$13="最小化",-X6016,-ABS(X6016-01_因子設定!$B$16))),-1E+030)</f>
        <v>44.5976882309942</v>
      </c>
      <c r="AF6016" s="55" t="n">
        <f aca="false">AD6016+ROW()*0.000000001</f>
        <v>-3.53292805035082</v>
      </c>
      <c r="AG6016" s="55" t="n">
        <f aca="false">AE6016+ROW()*0.000000001</f>
        <v>44.5976942469942</v>
      </c>
    </row>
    <row r="6017" customFormat="false" ht="15" hidden="false" customHeight="false" outlineLevel="0" collapsed="false">
      <c r="A6017" s="0" t="n">
        <v>8</v>
      </c>
      <c r="B6017" s="0" t="n">
        <v>2</v>
      </c>
      <c r="C6017" s="0" t="n">
        <v>2</v>
      </c>
      <c r="D6017" s="0" t="n">
        <v>0</v>
      </c>
      <c r="E6017" s="0" t="n">
        <f aca="false">-1+A6017*0.25</f>
        <v>1</v>
      </c>
      <c r="F6017" s="0" t="n">
        <f aca="false">-1+B6017*0.25</f>
        <v>-0.5</v>
      </c>
      <c r="G6017" s="0" t="n">
        <f aca="false">-1+C6017*0.25</f>
        <v>-0.5</v>
      </c>
      <c r="H6017" s="0" t="n">
        <f aca="false">-1+D6017*0.25</f>
        <v>-1</v>
      </c>
      <c r="I6017" s="0" t="n">
        <f aca="false">1</f>
        <v>1</v>
      </c>
      <c r="J6017" s="0" t="n">
        <f aca="false">E6017</f>
        <v>1</v>
      </c>
      <c r="K6017" s="0" t="n">
        <f aca="false">F6017</f>
        <v>-0.5</v>
      </c>
      <c r="L6017" s="0" t="n">
        <f aca="false">G6017</f>
        <v>-0.5</v>
      </c>
      <c r="M6017" s="0" t="n">
        <f aca="false">H6017</f>
        <v>-1</v>
      </c>
      <c r="N6017" s="0" t="n">
        <f aca="false">E6017*F6017</f>
        <v>-0.5</v>
      </c>
      <c r="O6017" s="0" t="n">
        <f aca="false">E6017*G6017</f>
        <v>-0.5</v>
      </c>
      <c r="P6017" s="0" t="n">
        <f aca="false">E6017*H6017</f>
        <v>-1</v>
      </c>
      <c r="Q6017" s="0" t="n">
        <f aca="false">F6017*G6017</f>
        <v>0.25</v>
      </c>
      <c r="R6017" s="0" t="n">
        <f aca="false">F6017*H6017</f>
        <v>0.5</v>
      </c>
      <c r="S6017" s="0" t="n">
        <f aca="false">G6017*H6017</f>
        <v>0.5</v>
      </c>
      <c r="T6017" s="0" t="n">
        <f aca="false">E6017*E6017</f>
        <v>1</v>
      </c>
      <c r="U6017" s="0" t="n">
        <f aca="false">F6017*F6017</f>
        <v>0.25</v>
      </c>
      <c r="V6017" s="0" t="n">
        <f aca="false">G6017*G6017</f>
        <v>0.25</v>
      </c>
      <c r="W6017" s="0" t="n">
        <f aca="false">H6017*H6017</f>
        <v>1</v>
      </c>
      <c r="X6017" s="0" t="n">
        <f aca="false">SUMPRODUCT(I6017:W6017,_XtX!$B$96:$P$96)</f>
        <v>43.9409904970761</v>
      </c>
      <c r="Y6017" s="0" t="n">
        <f aca="false">SUMPRODUCT(MMULT(I6017:W6017,_XtX!$B$78:$P$92),I6017:W6017)</f>
        <v>0.582488121345029</v>
      </c>
      <c r="Z6017" s="0" t="n">
        <f aca="false">04_回帰ANOVA!$K$19*04_回帰ANOVA!$K$14*SQRT(1+Y6017)</f>
        <v>1.63971595338287</v>
      </c>
      <c r="AA6017" s="0" t="n">
        <f aca="false">X6017-Z6017</f>
        <v>42.3012745436932</v>
      </c>
      <c r="AB6017" s="0" t="n">
        <f aca="false">X6017+Z6017</f>
        <v>45.580706450459</v>
      </c>
      <c r="AC6017" s="54" t="b">
        <f aca="false">AND(E6017&gt;=01_因子設定!$L$5-0.000000001,E6017&lt;=01_因子設定!$M$5+0.000000001,F6017&gt;=01_因子設定!$L$6-0.000000001,F6017&lt;=01_因子設定!$M$6+0.000000001,G6017&gt;=01_因子設定!$L$7-0.000000001,G6017&lt;=01_因子設定!$M$7+0.000000001,H6017&gt;=01_因子設定!$L$8-0.000000001,H6017&lt;=01_因子設定!$M$8+0.000000001,IF(01_因子設定!$B$20="Box-Behnken",E6017^2+F6017^2+G6017^2+H6017^2&lt;=2+0.000000001,TRUE()))</f>
        <v>1</v>
      </c>
      <c r="AD6017" s="55" t="n">
        <f aca="false">IF(AC6017,IF(01_因子設定!$B$13="最大化",AA6017-01_因子設定!$B$14,IF(01_因子設定!$B$13="最小化",01_因子設定!$B$15-AB6017,MIN(AA6017-01_因子設定!$B$14,01_因子設定!$B$15-AB6017))),-1E+030)</f>
        <v>-4.19872545630678</v>
      </c>
      <c r="AE6017" s="55" t="n">
        <f aca="false">IF(AC6017,IF(01_因子設定!$B$13="最大化",X6017,IF(01_因子設定!$B$13="最小化",-X6017,-ABS(X6017-01_因子設定!$B$16))),-1E+030)</f>
        <v>43.9409904970761</v>
      </c>
      <c r="AF6017" s="55" t="n">
        <f aca="false">AD6017+ROW()*0.000000001</f>
        <v>-4.19871943930678</v>
      </c>
      <c r="AG6017" s="55" t="n">
        <f aca="false">AE6017+ROW()*0.000000001</f>
        <v>43.9409965140761</v>
      </c>
    </row>
    <row r="6018" customFormat="false" ht="15" hidden="false" customHeight="false" outlineLevel="0" collapsed="false">
      <c r="A6018" s="0" t="n">
        <v>8</v>
      </c>
      <c r="B6018" s="0" t="n">
        <v>2</v>
      </c>
      <c r="C6018" s="0" t="n">
        <v>2</v>
      </c>
      <c r="D6018" s="0" t="n">
        <v>1</v>
      </c>
      <c r="E6018" s="0" t="n">
        <f aca="false">-1+A6018*0.25</f>
        <v>1</v>
      </c>
      <c r="F6018" s="0" t="n">
        <f aca="false">-1+B6018*0.25</f>
        <v>-0.5</v>
      </c>
      <c r="G6018" s="0" t="n">
        <f aca="false">-1+C6018*0.25</f>
        <v>-0.5</v>
      </c>
      <c r="H6018" s="0" t="n">
        <f aca="false">-1+D6018*0.25</f>
        <v>-0.75</v>
      </c>
      <c r="I6018" s="0" t="n">
        <f aca="false">1</f>
        <v>1</v>
      </c>
      <c r="J6018" s="0" t="n">
        <f aca="false">E6018</f>
        <v>1</v>
      </c>
      <c r="K6018" s="0" t="n">
        <f aca="false">F6018</f>
        <v>-0.5</v>
      </c>
      <c r="L6018" s="0" t="n">
        <f aca="false">G6018</f>
        <v>-0.5</v>
      </c>
      <c r="M6018" s="0" t="n">
        <f aca="false">H6018</f>
        <v>-0.75</v>
      </c>
      <c r="N6018" s="0" t="n">
        <f aca="false">E6018*F6018</f>
        <v>-0.5</v>
      </c>
      <c r="O6018" s="0" t="n">
        <f aca="false">E6018*G6018</f>
        <v>-0.5</v>
      </c>
      <c r="P6018" s="0" t="n">
        <f aca="false">E6018*H6018</f>
        <v>-0.75</v>
      </c>
      <c r="Q6018" s="0" t="n">
        <f aca="false">F6018*G6018</f>
        <v>0.25</v>
      </c>
      <c r="R6018" s="0" t="n">
        <f aca="false">F6018*H6018</f>
        <v>0.375</v>
      </c>
      <c r="S6018" s="0" t="n">
        <f aca="false">G6018*H6018</f>
        <v>0.375</v>
      </c>
      <c r="T6018" s="0" t="n">
        <f aca="false">E6018*E6018</f>
        <v>1</v>
      </c>
      <c r="U6018" s="0" t="n">
        <f aca="false">F6018*F6018</f>
        <v>0.25</v>
      </c>
      <c r="V6018" s="0" t="n">
        <f aca="false">G6018*G6018</f>
        <v>0.25</v>
      </c>
      <c r="W6018" s="0" t="n">
        <f aca="false">H6018*H6018</f>
        <v>0.5625</v>
      </c>
      <c r="X6018" s="0" t="n">
        <f aca="false">SUMPRODUCT(I6018:W6018,_XtX!$B$96:$P$96)</f>
        <v>44.2315789473685</v>
      </c>
      <c r="Y6018" s="0" t="n">
        <f aca="false">SUMPRODUCT(MMULT(I6018:W6018,_XtX!$B$78:$P$92),I6018:W6018)</f>
        <v>0.42602110745614</v>
      </c>
      <c r="Z6018" s="0" t="n">
        <f aca="false">04_回帰ANOVA!$K$19*04_回帰ANOVA!$K$14*SQRT(1+Y6018)</f>
        <v>1.55654388501114</v>
      </c>
      <c r="AA6018" s="0" t="n">
        <f aca="false">X6018-Z6018</f>
        <v>42.6750350623573</v>
      </c>
      <c r="AB6018" s="0" t="n">
        <f aca="false">X6018+Z6018</f>
        <v>45.7881228323796</v>
      </c>
      <c r="AC6018" s="54" t="b">
        <f aca="false">AND(E6018&gt;=01_因子設定!$L$5-0.000000001,E6018&lt;=01_因子設定!$M$5+0.000000001,F6018&gt;=01_因子設定!$L$6-0.000000001,F6018&lt;=01_因子設定!$M$6+0.000000001,G6018&gt;=01_因子設定!$L$7-0.000000001,G6018&lt;=01_因子設定!$M$7+0.000000001,H6018&gt;=01_因子設定!$L$8-0.000000001,H6018&lt;=01_因子設定!$M$8+0.000000001,IF(01_因子設定!$B$20="Box-Behnken",E6018^2+F6018^2+G6018^2+H6018^2&lt;=2+0.000000001,TRUE()))</f>
        <v>1</v>
      </c>
      <c r="AD6018" s="55" t="n">
        <f aca="false">IF(AC6018,IF(01_因子設定!$B$13="最大化",AA6018-01_因子設定!$B$14,IF(01_因子設定!$B$13="最小化",01_因子設定!$B$15-AB6018,MIN(AA6018-01_因子設定!$B$14,01_因子設定!$B$15-AB6018))),-1E+030)</f>
        <v>-3.82496493764267</v>
      </c>
      <c r="AE6018" s="55" t="n">
        <f aca="false">IF(AC6018,IF(01_因子設定!$B$13="最大化",X6018,IF(01_因子設定!$B$13="最小化",-X6018,-ABS(X6018-01_因子設定!$B$16))),-1E+030)</f>
        <v>44.2315789473685</v>
      </c>
      <c r="AF6018" s="55" t="n">
        <f aca="false">AD6018+ROW()*0.000000001</f>
        <v>-3.82495891964267</v>
      </c>
      <c r="AG6018" s="55" t="n">
        <f aca="false">AE6018+ROW()*0.000000001</f>
        <v>44.2315849653685</v>
      </c>
    </row>
    <row r="6019" customFormat="false" ht="15" hidden="false" customHeight="false" outlineLevel="0" collapsed="false">
      <c r="A6019" s="0" t="n">
        <v>8</v>
      </c>
      <c r="B6019" s="0" t="n">
        <v>2</v>
      </c>
      <c r="C6019" s="0" t="n">
        <v>2</v>
      </c>
      <c r="D6019" s="0" t="n">
        <v>2</v>
      </c>
      <c r="E6019" s="0" t="n">
        <f aca="false">-1+A6019*0.25</f>
        <v>1</v>
      </c>
      <c r="F6019" s="0" t="n">
        <f aca="false">-1+B6019*0.25</f>
        <v>-0.5</v>
      </c>
      <c r="G6019" s="0" t="n">
        <f aca="false">-1+C6019*0.25</f>
        <v>-0.5</v>
      </c>
      <c r="H6019" s="0" t="n">
        <f aca="false">-1+D6019*0.25</f>
        <v>-0.5</v>
      </c>
      <c r="I6019" s="0" t="n">
        <f aca="false">1</f>
        <v>1</v>
      </c>
      <c r="J6019" s="0" t="n">
        <f aca="false">E6019</f>
        <v>1</v>
      </c>
      <c r="K6019" s="0" t="n">
        <f aca="false">F6019</f>
        <v>-0.5</v>
      </c>
      <c r="L6019" s="0" t="n">
        <f aca="false">G6019</f>
        <v>-0.5</v>
      </c>
      <c r="M6019" s="0" t="n">
        <f aca="false">H6019</f>
        <v>-0.5</v>
      </c>
      <c r="N6019" s="0" t="n">
        <f aca="false">E6019*F6019</f>
        <v>-0.5</v>
      </c>
      <c r="O6019" s="0" t="n">
        <f aca="false">E6019*G6019</f>
        <v>-0.5</v>
      </c>
      <c r="P6019" s="0" t="n">
        <f aca="false">E6019*H6019</f>
        <v>-0.5</v>
      </c>
      <c r="Q6019" s="0" t="n">
        <f aca="false">F6019*G6019</f>
        <v>0.25</v>
      </c>
      <c r="R6019" s="0" t="n">
        <f aca="false">F6019*H6019</f>
        <v>0.25</v>
      </c>
      <c r="S6019" s="0" t="n">
        <f aca="false">G6019*H6019</f>
        <v>0.25</v>
      </c>
      <c r="T6019" s="0" t="n">
        <f aca="false">E6019*E6019</f>
        <v>1</v>
      </c>
      <c r="U6019" s="0" t="n">
        <f aca="false">F6019*F6019</f>
        <v>0.25</v>
      </c>
      <c r="V6019" s="0" t="n">
        <f aca="false">G6019*G6019</f>
        <v>0.25</v>
      </c>
      <c r="W6019" s="0" t="n">
        <f aca="false">H6019*H6019</f>
        <v>0.25</v>
      </c>
      <c r="X6019" s="0" t="n">
        <f aca="false">SUMPRODUCT(I6019:W6019,_XtX!$B$96:$P$96)</f>
        <v>44.474360380117</v>
      </c>
      <c r="Y6019" s="0" t="n">
        <f aca="false">SUMPRODUCT(MMULT(I6019:W6019,_XtX!$B$78:$P$92),I6019:W6019)</f>
        <v>0.404719480994152</v>
      </c>
      <c r="Z6019" s="0" t="n">
        <f aca="false">04_回帰ANOVA!$K$19*04_回帰ANOVA!$K$14*SQRT(1+Y6019)</f>
        <v>1.54487446697867</v>
      </c>
      <c r="AA6019" s="0" t="n">
        <f aca="false">X6019-Z6019</f>
        <v>42.9294859131383</v>
      </c>
      <c r="AB6019" s="0" t="n">
        <f aca="false">X6019+Z6019</f>
        <v>46.0192348470957</v>
      </c>
      <c r="AC6019" s="54" t="b">
        <f aca="false">AND(E6019&gt;=01_因子設定!$L$5-0.000000001,E6019&lt;=01_因子設定!$M$5+0.000000001,F6019&gt;=01_因子設定!$L$6-0.000000001,F6019&lt;=01_因子設定!$M$6+0.000000001,G6019&gt;=01_因子設定!$L$7-0.000000001,G6019&lt;=01_因子設定!$M$7+0.000000001,H6019&gt;=01_因子設定!$L$8-0.000000001,H6019&lt;=01_因子設定!$M$8+0.000000001,IF(01_因子設定!$B$20="Box-Behnken",E6019^2+F6019^2+G6019^2+H6019^2&lt;=2+0.000000001,TRUE()))</f>
        <v>1</v>
      </c>
      <c r="AD6019" s="55" t="n">
        <f aca="false">IF(AC6019,IF(01_因子設定!$B$13="最大化",AA6019-01_因子設定!$B$14,IF(01_因子設定!$B$13="最小化",01_因子設定!$B$15-AB6019,MIN(AA6019-01_因子設定!$B$14,01_因子設定!$B$15-AB6019))),-1E+030)</f>
        <v>-3.57051408686169</v>
      </c>
      <c r="AE6019" s="55" t="n">
        <f aca="false">IF(AC6019,IF(01_因子設定!$B$13="最大化",X6019,IF(01_因子設定!$B$13="最小化",-X6019,-ABS(X6019-01_因子設定!$B$16))),-1E+030)</f>
        <v>44.474360380117</v>
      </c>
      <c r="AF6019" s="55" t="n">
        <f aca="false">AD6019+ROW()*0.000000001</f>
        <v>-3.57050806786169</v>
      </c>
      <c r="AG6019" s="55" t="n">
        <f aca="false">AE6019+ROW()*0.000000001</f>
        <v>44.474366399117</v>
      </c>
    </row>
    <row r="6020" customFormat="false" ht="15" hidden="false" customHeight="false" outlineLevel="0" collapsed="false">
      <c r="A6020" s="0" t="n">
        <v>8</v>
      </c>
      <c r="B6020" s="0" t="n">
        <v>2</v>
      </c>
      <c r="C6020" s="0" t="n">
        <v>2</v>
      </c>
      <c r="D6020" s="0" t="n">
        <v>3</v>
      </c>
      <c r="E6020" s="0" t="n">
        <f aca="false">-1+A6020*0.25</f>
        <v>1</v>
      </c>
      <c r="F6020" s="0" t="n">
        <f aca="false">-1+B6020*0.25</f>
        <v>-0.5</v>
      </c>
      <c r="G6020" s="0" t="n">
        <f aca="false">-1+C6020*0.25</f>
        <v>-0.5</v>
      </c>
      <c r="H6020" s="0" t="n">
        <f aca="false">-1+D6020*0.25</f>
        <v>-0.25</v>
      </c>
      <c r="I6020" s="0" t="n">
        <f aca="false">1</f>
        <v>1</v>
      </c>
      <c r="J6020" s="0" t="n">
        <f aca="false">E6020</f>
        <v>1</v>
      </c>
      <c r="K6020" s="0" t="n">
        <f aca="false">F6020</f>
        <v>-0.5</v>
      </c>
      <c r="L6020" s="0" t="n">
        <f aca="false">G6020</f>
        <v>-0.5</v>
      </c>
      <c r="M6020" s="0" t="n">
        <f aca="false">H6020</f>
        <v>-0.25</v>
      </c>
      <c r="N6020" s="0" t="n">
        <f aca="false">E6020*F6020</f>
        <v>-0.5</v>
      </c>
      <c r="O6020" s="0" t="n">
        <f aca="false">E6020*G6020</f>
        <v>-0.5</v>
      </c>
      <c r="P6020" s="0" t="n">
        <f aca="false">E6020*H6020</f>
        <v>-0.25</v>
      </c>
      <c r="Q6020" s="0" t="n">
        <f aca="false">F6020*G6020</f>
        <v>0.25</v>
      </c>
      <c r="R6020" s="0" t="n">
        <f aca="false">F6020*H6020</f>
        <v>0.125</v>
      </c>
      <c r="S6020" s="0" t="n">
        <f aca="false">G6020*H6020</f>
        <v>0.125</v>
      </c>
      <c r="T6020" s="0" t="n">
        <f aca="false">E6020*E6020</f>
        <v>1</v>
      </c>
      <c r="U6020" s="0" t="n">
        <f aca="false">F6020*F6020</f>
        <v>0.25</v>
      </c>
      <c r="V6020" s="0" t="n">
        <f aca="false">G6020*G6020</f>
        <v>0.25</v>
      </c>
      <c r="W6020" s="0" t="n">
        <f aca="false">H6020*H6020</f>
        <v>0.0625</v>
      </c>
      <c r="X6020" s="0" t="n">
        <f aca="false">SUMPRODUCT(I6020:W6020,_XtX!$B$96:$P$96)</f>
        <v>44.6693347953217</v>
      </c>
      <c r="Y6020" s="0" t="n">
        <f aca="false">SUMPRODUCT(MMULT(I6020:W6020,_XtX!$B$78:$P$92),I6020:W6020)</f>
        <v>0.428122715643275</v>
      </c>
      <c r="Z6020" s="0" t="n">
        <f aca="false">04_回帰ANOVA!$K$19*04_回帰ANOVA!$K$14*SQRT(1+Y6020)</f>
        <v>1.55769044623229</v>
      </c>
      <c r="AA6020" s="0" t="n">
        <f aca="false">X6020-Z6020</f>
        <v>43.1116443490894</v>
      </c>
      <c r="AB6020" s="0" t="n">
        <f aca="false">X6020+Z6020</f>
        <v>46.227025241554</v>
      </c>
      <c r="AC6020" s="54" t="b">
        <f aca="false">AND(E6020&gt;=01_因子設定!$L$5-0.000000001,E6020&lt;=01_因子設定!$M$5+0.000000001,F6020&gt;=01_因子設定!$L$6-0.000000001,F6020&lt;=01_因子設定!$M$6+0.000000001,G6020&gt;=01_因子設定!$L$7-0.000000001,G6020&lt;=01_因子設定!$M$7+0.000000001,H6020&gt;=01_因子設定!$L$8-0.000000001,H6020&lt;=01_因子設定!$M$8+0.000000001,IF(01_因子設定!$B$20="Box-Behnken",E6020^2+F6020^2+G6020^2+H6020^2&lt;=2+0.000000001,TRUE()))</f>
        <v>1</v>
      </c>
      <c r="AD6020" s="55" t="n">
        <f aca="false">IF(AC6020,IF(01_因子設定!$B$13="最大化",AA6020-01_因子設定!$B$14,IF(01_因子設定!$B$13="最小化",01_因子設定!$B$15-AB6020,MIN(AA6020-01_因子設定!$B$14,01_因子設定!$B$15-AB6020))),-1E+030)</f>
        <v>-3.38835565091063</v>
      </c>
      <c r="AE6020" s="55" t="n">
        <f aca="false">IF(AC6020,IF(01_因子設定!$B$13="最大化",X6020,IF(01_因子設定!$B$13="最小化",-X6020,-ABS(X6020-01_因子設定!$B$16))),-1E+030)</f>
        <v>44.6693347953217</v>
      </c>
      <c r="AF6020" s="55" t="n">
        <f aca="false">AD6020+ROW()*0.000000001</f>
        <v>-3.38834963091063</v>
      </c>
      <c r="AG6020" s="55" t="n">
        <f aca="false">AE6020+ROW()*0.000000001</f>
        <v>44.6693408153217</v>
      </c>
    </row>
    <row r="6021" customFormat="false" ht="15" hidden="false" customHeight="false" outlineLevel="0" collapsed="false">
      <c r="A6021" s="0" t="n">
        <v>8</v>
      </c>
      <c r="B6021" s="0" t="n">
        <v>2</v>
      </c>
      <c r="C6021" s="0" t="n">
        <v>2</v>
      </c>
      <c r="D6021" s="0" t="n">
        <v>4</v>
      </c>
      <c r="E6021" s="0" t="n">
        <f aca="false">-1+A6021*0.25</f>
        <v>1</v>
      </c>
      <c r="F6021" s="0" t="n">
        <f aca="false">-1+B6021*0.25</f>
        <v>-0.5</v>
      </c>
      <c r="G6021" s="0" t="n">
        <f aca="false">-1+C6021*0.25</f>
        <v>-0.5</v>
      </c>
      <c r="H6021" s="0" t="n">
        <f aca="false">-1+D6021*0.25</f>
        <v>0</v>
      </c>
      <c r="I6021" s="0" t="n">
        <f aca="false">1</f>
        <v>1</v>
      </c>
      <c r="J6021" s="0" t="n">
        <f aca="false">E6021</f>
        <v>1</v>
      </c>
      <c r="K6021" s="0" t="n">
        <f aca="false">F6021</f>
        <v>-0.5</v>
      </c>
      <c r="L6021" s="0" t="n">
        <f aca="false">G6021</f>
        <v>-0.5</v>
      </c>
      <c r="M6021" s="0" t="n">
        <f aca="false">H6021</f>
        <v>0</v>
      </c>
      <c r="N6021" s="0" t="n">
        <f aca="false">E6021*F6021</f>
        <v>-0.5</v>
      </c>
      <c r="O6021" s="0" t="n">
        <f aca="false">E6021*G6021</f>
        <v>-0.5</v>
      </c>
      <c r="P6021" s="0" t="n">
        <f aca="false">E6021*H6021</f>
        <v>0</v>
      </c>
      <c r="Q6021" s="0" t="n">
        <f aca="false">F6021*G6021</f>
        <v>0.25</v>
      </c>
      <c r="R6021" s="0" t="n">
        <f aca="false">F6021*H6021</f>
        <v>-0</v>
      </c>
      <c r="S6021" s="0" t="n">
        <f aca="false">G6021*H6021</f>
        <v>-0</v>
      </c>
      <c r="T6021" s="0" t="n">
        <f aca="false">E6021*E6021</f>
        <v>1</v>
      </c>
      <c r="U6021" s="0" t="n">
        <f aca="false">F6021*F6021</f>
        <v>0.25</v>
      </c>
      <c r="V6021" s="0" t="n">
        <f aca="false">G6021*G6021</f>
        <v>0.25</v>
      </c>
      <c r="W6021" s="0" t="n">
        <f aca="false">H6021*H6021</f>
        <v>0</v>
      </c>
      <c r="X6021" s="0" t="n">
        <f aca="false">SUMPRODUCT(I6021:W6021,_XtX!$B$96:$P$96)</f>
        <v>44.8165021929825</v>
      </c>
      <c r="Y6021" s="0" t="n">
        <f aca="false">SUMPRODUCT(MMULT(I6021:W6021,_XtX!$B$78:$P$92),I6021:W6021)</f>
        <v>0.441954495614035</v>
      </c>
      <c r="Z6021" s="0" t="n">
        <f aca="false">04_回帰ANOVA!$K$19*04_回帰ANOVA!$K$14*SQRT(1+Y6021)</f>
        <v>1.56521560968066</v>
      </c>
      <c r="AA6021" s="0" t="n">
        <f aca="false">X6021-Z6021</f>
        <v>43.2512865833018</v>
      </c>
      <c r="AB6021" s="0" t="n">
        <f aca="false">X6021+Z6021</f>
        <v>46.3817178026632</v>
      </c>
      <c r="AC6021" s="54" t="b">
        <f aca="false">AND(E6021&gt;=01_因子設定!$L$5-0.000000001,E6021&lt;=01_因子設定!$M$5+0.000000001,F6021&gt;=01_因子設定!$L$6-0.000000001,F6021&lt;=01_因子設定!$M$6+0.000000001,G6021&gt;=01_因子設定!$L$7-0.000000001,G6021&lt;=01_因子設定!$M$7+0.000000001,H6021&gt;=01_因子設定!$L$8-0.000000001,H6021&lt;=01_因子設定!$M$8+0.000000001,IF(01_因子設定!$B$20="Box-Behnken",E6021^2+F6021^2+G6021^2+H6021^2&lt;=2+0.000000001,TRUE()))</f>
        <v>1</v>
      </c>
      <c r="AD6021" s="55" t="n">
        <f aca="false">IF(AC6021,IF(01_因子設定!$B$13="最大化",AA6021-01_因子設定!$B$14,IF(01_因子設定!$B$13="最小化",01_因子設定!$B$15-AB6021,MIN(AA6021-01_因子設定!$B$14,01_因子設定!$B$15-AB6021))),-1E+030)</f>
        <v>-3.24871341669818</v>
      </c>
      <c r="AE6021" s="55" t="n">
        <f aca="false">IF(AC6021,IF(01_因子設定!$B$13="最大化",X6021,IF(01_因子設定!$B$13="最小化",-X6021,-ABS(X6021-01_因子設定!$B$16))),-1E+030)</f>
        <v>44.8165021929825</v>
      </c>
      <c r="AF6021" s="55" t="n">
        <f aca="false">AD6021+ROW()*0.000000001</f>
        <v>-3.24870739569818</v>
      </c>
      <c r="AG6021" s="55" t="n">
        <f aca="false">AE6021+ROW()*0.000000001</f>
        <v>44.8165082139825</v>
      </c>
    </row>
    <row r="6022" customFormat="false" ht="15" hidden="false" customHeight="false" outlineLevel="0" collapsed="false">
      <c r="A6022" s="0" t="n">
        <v>8</v>
      </c>
      <c r="B6022" s="0" t="n">
        <v>2</v>
      </c>
      <c r="C6022" s="0" t="n">
        <v>2</v>
      </c>
      <c r="D6022" s="0" t="n">
        <v>5</v>
      </c>
      <c r="E6022" s="0" t="n">
        <f aca="false">-1+A6022*0.25</f>
        <v>1</v>
      </c>
      <c r="F6022" s="0" t="n">
        <f aca="false">-1+B6022*0.25</f>
        <v>-0.5</v>
      </c>
      <c r="G6022" s="0" t="n">
        <f aca="false">-1+C6022*0.25</f>
        <v>-0.5</v>
      </c>
      <c r="H6022" s="0" t="n">
        <f aca="false">-1+D6022*0.25</f>
        <v>0.25</v>
      </c>
      <c r="I6022" s="0" t="n">
        <f aca="false">1</f>
        <v>1</v>
      </c>
      <c r="J6022" s="0" t="n">
        <f aca="false">E6022</f>
        <v>1</v>
      </c>
      <c r="K6022" s="0" t="n">
        <f aca="false">F6022</f>
        <v>-0.5</v>
      </c>
      <c r="L6022" s="0" t="n">
        <f aca="false">G6022</f>
        <v>-0.5</v>
      </c>
      <c r="M6022" s="0" t="n">
        <f aca="false">H6022</f>
        <v>0.25</v>
      </c>
      <c r="N6022" s="0" t="n">
        <f aca="false">E6022*F6022</f>
        <v>-0.5</v>
      </c>
      <c r="O6022" s="0" t="n">
        <f aca="false">E6022*G6022</f>
        <v>-0.5</v>
      </c>
      <c r="P6022" s="0" t="n">
        <f aca="false">E6022*H6022</f>
        <v>0.25</v>
      </c>
      <c r="Q6022" s="0" t="n">
        <f aca="false">F6022*G6022</f>
        <v>0.25</v>
      </c>
      <c r="R6022" s="0" t="n">
        <f aca="false">F6022*H6022</f>
        <v>-0.125</v>
      </c>
      <c r="S6022" s="0" t="n">
        <f aca="false">G6022*H6022</f>
        <v>-0.125</v>
      </c>
      <c r="T6022" s="0" t="n">
        <f aca="false">E6022*E6022</f>
        <v>1</v>
      </c>
      <c r="U6022" s="0" t="n">
        <f aca="false">F6022*F6022</f>
        <v>0.25</v>
      </c>
      <c r="V6022" s="0" t="n">
        <f aca="false">G6022*G6022</f>
        <v>0.25</v>
      </c>
      <c r="W6022" s="0" t="n">
        <f aca="false">H6022*H6022</f>
        <v>0.0625</v>
      </c>
      <c r="X6022" s="0" t="n">
        <f aca="false">SUMPRODUCT(I6022:W6022,_XtX!$B$96:$P$96)</f>
        <v>44.9158625730994</v>
      </c>
      <c r="Y6022" s="0" t="n">
        <f aca="false">SUMPRODUCT(MMULT(I6022:W6022,_XtX!$B$78:$P$92),I6022:W6022)</f>
        <v>0.428122715643275</v>
      </c>
      <c r="Z6022" s="0" t="n">
        <f aca="false">04_回帰ANOVA!$K$19*04_回帰ANOVA!$K$14*SQRT(1+Y6022)</f>
        <v>1.55769044623229</v>
      </c>
      <c r="AA6022" s="0" t="n">
        <f aca="false">X6022-Z6022</f>
        <v>43.3581721268672</v>
      </c>
      <c r="AB6022" s="0" t="n">
        <f aca="false">X6022+Z6022</f>
        <v>46.4735530193317</v>
      </c>
      <c r="AC6022" s="54" t="b">
        <f aca="false">AND(E6022&gt;=01_因子設定!$L$5-0.000000001,E6022&lt;=01_因子設定!$M$5+0.000000001,F6022&gt;=01_因子設定!$L$6-0.000000001,F6022&lt;=01_因子設定!$M$6+0.000000001,G6022&gt;=01_因子設定!$L$7-0.000000001,G6022&lt;=01_因子設定!$M$7+0.000000001,H6022&gt;=01_因子設定!$L$8-0.000000001,H6022&lt;=01_因子設定!$M$8+0.000000001,IF(01_因子設定!$B$20="Box-Behnken",E6022^2+F6022^2+G6022^2+H6022^2&lt;=2+0.000000001,TRUE()))</f>
        <v>1</v>
      </c>
      <c r="AD6022" s="55" t="n">
        <f aca="false">IF(AC6022,IF(01_因子設定!$B$13="最大化",AA6022-01_因子設定!$B$14,IF(01_因子設定!$B$13="最小化",01_因子設定!$B$15-AB6022,MIN(AA6022-01_因子設定!$B$14,01_因子設定!$B$15-AB6022))),-1E+030)</f>
        <v>-3.14182787313285</v>
      </c>
      <c r="AE6022" s="55" t="n">
        <f aca="false">IF(AC6022,IF(01_因子設定!$B$13="最大化",X6022,IF(01_因子設定!$B$13="最小化",-X6022,-ABS(X6022-01_因子設定!$B$16))),-1E+030)</f>
        <v>44.9158625730994</v>
      </c>
      <c r="AF6022" s="55" t="n">
        <f aca="false">AD6022+ROW()*0.000000001</f>
        <v>-3.14182185113285</v>
      </c>
      <c r="AG6022" s="55" t="n">
        <f aca="false">AE6022+ROW()*0.000000001</f>
        <v>44.9158685950995</v>
      </c>
    </row>
    <row r="6023" customFormat="false" ht="15" hidden="false" customHeight="false" outlineLevel="0" collapsed="false">
      <c r="A6023" s="0" t="n">
        <v>8</v>
      </c>
      <c r="B6023" s="0" t="n">
        <v>2</v>
      </c>
      <c r="C6023" s="0" t="n">
        <v>2</v>
      </c>
      <c r="D6023" s="0" t="n">
        <v>6</v>
      </c>
      <c r="E6023" s="0" t="n">
        <f aca="false">-1+A6023*0.25</f>
        <v>1</v>
      </c>
      <c r="F6023" s="0" t="n">
        <f aca="false">-1+B6023*0.25</f>
        <v>-0.5</v>
      </c>
      <c r="G6023" s="0" t="n">
        <f aca="false">-1+C6023*0.25</f>
        <v>-0.5</v>
      </c>
      <c r="H6023" s="0" t="n">
        <f aca="false">-1+D6023*0.25</f>
        <v>0.5</v>
      </c>
      <c r="I6023" s="0" t="n">
        <f aca="false">1</f>
        <v>1</v>
      </c>
      <c r="J6023" s="0" t="n">
        <f aca="false">E6023</f>
        <v>1</v>
      </c>
      <c r="K6023" s="0" t="n">
        <f aca="false">F6023</f>
        <v>-0.5</v>
      </c>
      <c r="L6023" s="0" t="n">
        <f aca="false">G6023</f>
        <v>-0.5</v>
      </c>
      <c r="M6023" s="0" t="n">
        <f aca="false">H6023</f>
        <v>0.5</v>
      </c>
      <c r="N6023" s="0" t="n">
        <f aca="false">E6023*F6023</f>
        <v>-0.5</v>
      </c>
      <c r="O6023" s="0" t="n">
        <f aca="false">E6023*G6023</f>
        <v>-0.5</v>
      </c>
      <c r="P6023" s="0" t="n">
        <f aca="false">E6023*H6023</f>
        <v>0.5</v>
      </c>
      <c r="Q6023" s="0" t="n">
        <f aca="false">F6023*G6023</f>
        <v>0.25</v>
      </c>
      <c r="R6023" s="0" t="n">
        <f aca="false">F6023*H6023</f>
        <v>-0.25</v>
      </c>
      <c r="S6023" s="0" t="n">
        <f aca="false">G6023*H6023</f>
        <v>-0.25</v>
      </c>
      <c r="T6023" s="0" t="n">
        <f aca="false">E6023*E6023</f>
        <v>1</v>
      </c>
      <c r="U6023" s="0" t="n">
        <f aca="false">F6023*F6023</f>
        <v>0.25</v>
      </c>
      <c r="V6023" s="0" t="n">
        <f aca="false">G6023*G6023</f>
        <v>0.25</v>
      </c>
      <c r="W6023" s="0" t="n">
        <f aca="false">H6023*H6023</f>
        <v>0.25</v>
      </c>
      <c r="X6023" s="0" t="n">
        <f aca="false">SUMPRODUCT(I6023:W6023,_XtX!$B$96:$P$96)</f>
        <v>44.9674159356726</v>
      </c>
      <c r="Y6023" s="0" t="n">
        <f aca="false">SUMPRODUCT(MMULT(I6023:W6023,_XtX!$B$78:$P$92),I6023:W6023)</f>
        <v>0.404719480994152</v>
      </c>
      <c r="Z6023" s="0" t="n">
        <f aca="false">04_回帰ANOVA!$K$19*04_回帰ANOVA!$K$14*SQRT(1+Y6023)</f>
        <v>1.54487446697867</v>
      </c>
      <c r="AA6023" s="0" t="n">
        <f aca="false">X6023-Z6023</f>
        <v>43.4225414686939</v>
      </c>
      <c r="AB6023" s="0" t="n">
        <f aca="false">X6023+Z6023</f>
        <v>46.5122904026512</v>
      </c>
      <c r="AC6023" s="54" t="b">
        <f aca="false">AND(E6023&gt;=01_因子設定!$L$5-0.000000001,E6023&lt;=01_因子設定!$M$5+0.000000001,F6023&gt;=01_因子設定!$L$6-0.000000001,F6023&lt;=01_因子設定!$M$6+0.000000001,G6023&gt;=01_因子設定!$L$7-0.000000001,G6023&lt;=01_因子設定!$M$7+0.000000001,H6023&gt;=01_因子設定!$L$8-0.000000001,H6023&lt;=01_因子設定!$M$8+0.000000001,IF(01_因子設定!$B$20="Box-Behnken",E6023^2+F6023^2+G6023^2+H6023^2&lt;=2+0.000000001,TRUE()))</f>
        <v>1</v>
      </c>
      <c r="AD6023" s="55" t="n">
        <f aca="false">IF(AC6023,IF(01_因子設定!$B$13="最大化",AA6023-01_因子設定!$B$14,IF(01_因子設定!$B$13="最小化",01_因子設定!$B$15-AB6023,MIN(AA6023-01_因子設定!$B$14,01_因子設定!$B$15-AB6023))),-1E+030)</f>
        <v>-3.07745853130613</v>
      </c>
      <c r="AE6023" s="55" t="n">
        <f aca="false">IF(AC6023,IF(01_因子設定!$B$13="最大化",X6023,IF(01_因子設定!$B$13="最小化",-X6023,-ABS(X6023-01_因子設定!$B$16))),-1E+030)</f>
        <v>44.9674159356726</v>
      </c>
      <c r="AF6023" s="55" t="n">
        <f aca="false">AD6023+ROW()*0.000000001</f>
        <v>-3.07745250830613</v>
      </c>
      <c r="AG6023" s="55" t="n">
        <f aca="false">AE6023+ROW()*0.000000001</f>
        <v>44.9674219586725</v>
      </c>
    </row>
    <row r="6024" customFormat="false" ht="15" hidden="false" customHeight="false" outlineLevel="0" collapsed="false">
      <c r="A6024" s="0" t="n">
        <v>8</v>
      </c>
      <c r="B6024" s="0" t="n">
        <v>2</v>
      </c>
      <c r="C6024" s="0" t="n">
        <v>2</v>
      </c>
      <c r="D6024" s="0" t="n">
        <v>7</v>
      </c>
      <c r="E6024" s="0" t="n">
        <f aca="false">-1+A6024*0.25</f>
        <v>1</v>
      </c>
      <c r="F6024" s="0" t="n">
        <f aca="false">-1+B6024*0.25</f>
        <v>-0.5</v>
      </c>
      <c r="G6024" s="0" t="n">
        <f aca="false">-1+C6024*0.25</f>
        <v>-0.5</v>
      </c>
      <c r="H6024" s="0" t="n">
        <f aca="false">-1+D6024*0.25</f>
        <v>0.75</v>
      </c>
      <c r="I6024" s="0" t="n">
        <f aca="false">1</f>
        <v>1</v>
      </c>
      <c r="J6024" s="0" t="n">
        <f aca="false">E6024</f>
        <v>1</v>
      </c>
      <c r="K6024" s="0" t="n">
        <f aca="false">F6024</f>
        <v>-0.5</v>
      </c>
      <c r="L6024" s="0" t="n">
        <f aca="false">G6024</f>
        <v>-0.5</v>
      </c>
      <c r="M6024" s="0" t="n">
        <f aca="false">H6024</f>
        <v>0.75</v>
      </c>
      <c r="N6024" s="0" t="n">
        <f aca="false">E6024*F6024</f>
        <v>-0.5</v>
      </c>
      <c r="O6024" s="0" t="n">
        <f aca="false">E6024*G6024</f>
        <v>-0.5</v>
      </c>
      <c r="P6024" s="0" t="n">
        <f aca="false">E6024*H6024</f>
        <v>0.75</v>
      </c>
      <c r="Q6024" s="0" t="n">
        <f aca="false">F6024*G6024</f>
        <v>0.25</v>
      </c>
      <c r="R6024" s="0" t="n">
        <f aca="false">F6024*H6024</f>
        <v>-0.375</v>
      </c>
      <c r="S6024" s="0" t="n">
        <f aca="false">G6024*H6024</f>
        <v>-0.375</v>
      </c>
      <c r="T6024" s="0" t="n">
        <f aca="false">E6024*E6024</f>
        <v>1</v>
      </c>
      <c r="U6024" s="0" t="n">
        <f aca="false">F6024*F6024</f>
        <v>0.25</v>
      </c>
      <c r="V6024" s="0" t="n">
        <f aca="false">G6024*G6024</f>
        <v>0.25</v>
      </c>
      <c r="W6024" s="0" t="n">
        <f aca="false">H6024*H6024</f>
        <v>0.5625</v>
      </c>
      <c r="X6024" s="0" t="n">
        <f aca="false">SUMPRODUCT(I6024:W6024,_XtX!$B$96:$P$96)</f>
        <v>44.9711622807018</v>
      </c>
      <c r="Y6024" s="0" t="n">
        <f aca="false">SUMPRODUCT(MMULT(I6024:W6024,_XtX!$B$78:$P$92),I6024:W6024)</f>
        <v>0.42602110745614</v>
      </c>
      <c r="Z6024" s="0" t="n">
        <f aca="false">04_回帰ANOVA!$K$19*04_回帰ANOVA!$K$14*SQRT(1+Y6024)</f>
        <v>1.55654388501114</v>
      </c>
      <c r="AA6024" s="0" t="n">
        <f aca="false">X6024-Z6024</f>
        <v>43.4146183956907</v>
      </c>
      <c r="AB6024" s="0" t="n">
        <f aca="false">X6024+Z6024</f>
        <v>46.5277061657129</v>
      </c>
      <c r="AC6024" s="54" t="b">
        <f aca="false">AND(E6024&gt;=01_因子設定!$L$5-0.000000001,E6024&lt;=01_因子設定!$M$5+0.000000001,F6024&gt;=01_因子設定!$L$6-0.000000001,F6024&lt;=01_因子設定!$M$6+0.000000001,G6024&gt;=01_因子設定!$L$7-0.000000001,G6024&lt;=01_因子設定!$M$7+0.000000001,H6024&gt;=01_因子設定!$L$8-0.000000001,H6024&lt;=01_因子設定!$M$8+0.000000001,IF(01_因子設定!$B$20="Box-Behnken",E6024^2+F6024^2+G6024^2+H6024^2&lt;=2+0.000000001,TRUE()))</f>
        <v>1</v>
      </c>
      <c r="AD6024" s="55" t="n">
        <f aca="false">IF(AC6024,IF(01_因子設定!$B$13="最大化",AA6024-01_因子設定!$B$14,IF(01_因子設定!$B$13="最小化",01_因子設定!$B$15-AB6024,MIN(AA6024-01_因子設定!$B$14,01_因子設定!$B$15-AB6024))),-1E+030)</f>
        <v>-3.08538160430934</v>
      </c>
      <c r="AE6024" s="55" t="n">
        <f aca="false">IF(AC6024,IF(01_因子設定!$B$13="最大化",X6024,IF(01_因子設定!$B$13="最小化",-X6024,-ABS(X6024-01_因子設定!$B$16))),-1E+030)</f>
        <v>44.9711622807018</v>
      </c>
      <c r="AF6024" s="55" t="n">
        <f aca="false">AD6024+ROW()*0.000000001</f>
        <v>-3.08537558030934</v>
      </c>
      <c r="AG6024" s="55" t="n">
        <f aca="false">AE6024+ROW()*0.000000001</f>
        <v>44.9711683047018</v>
      </c>
    </row>
    <row r="6025" customFormat="false" ht="15" hidden="false" customHeight="false" outlineLevel="0" collapsed="false">
      <c r="A6025" s="0" t="n">
        <v>8</v>
      </c>
      <c r="B6025" s="0" t="n">
        <v>2</v>
      </c>
      <c r="C6025" s="0" t="n">
        <v>2</v>
      </c>
      <c r="D6025" s="0" t="n">
        <v>8</v>
      </c>
      <c r="E6025" s="0" t="n">
        <f aca="false">-1+A6025*0.25</f>
        <v>1</v>
      </c>
      <c r="F6025" s="0" t="n">
        <f aca="false">-1+B6025*0.25</f>
        <v>-0.5</v>
      </c>
      <c r="G6025" s="0" t="n">
        <f aca="false">-1+C6025*0.25</f>
        <v>-0.5</v>
      </c>
      <c r="H6025" s="0" t="n">
        <f aca="false">-1+D6025*0.25</f>
        <v>1</v>
      </c>
      <c r="I6025" s="0" t="n">
        <f aca="false">1</f>
        <v>1</v>
      </c>
      <c r="J6025" s="0" t="n">
        <f aca="false">E6025</f>
        <v>1</v>
      </c>
      <c r="K6025" s="0" t="n">
        <f aca="false">F6025</f>
        <v>-0.5</v>
      </c>
      <c r="L6025" s="0" t="n">
        <f aca="false">G6025</f>
        <v>-0.5</v>
      </c>
      <c r="M6025" s="0" t="n">
        <f aca="false">H6025</f>
        <v>1</v>
      </c>
      <c r="N6025" s="0" t="n">
        <f aca="false">E6025*F6025</f>
        <v>-0.5</v>
      </c>
      <c r="O6025" s="0" t="n">
        <f aca="false">E6025*G6025</f>
        <v>-0.5</v>
      </c>
      <c r="P6025" s="0" t="n">
        <f aca="false">E6025*H6025</f>
        <v>1</v>
      </c>
      <c r="Q6025" s="0" t="n">
        <f aca="false">F6025*G6025</f>
        <v>0.25</v>
      </c>
      <c r="R6025" s="0" t="n">
        <f aca="false">F6025*H6025</f>
        <v>-0.5</v>
      </c>
      <c r="S6025" s="0" t="n">
        <f aca="false">G6025*H6025</f>
        <v>-0.5</v>
      </c>
      <c r="T6025" s="0" t="n">
        <f aca="false">E6025*E6025</f>
        <v>1</v>
      </c>
      <c r="U6025" s="0" t="n">
        <f aca="false">F6025*F6025</f>
        <v>0.25</v>
      </c>
      <c r="V6025" s="0" t="n">
        <f aca="false">G6025*G6025</f>
        <v>0.25</v>
      </c>
      <c r="W6025" s="0" t="n">
        <f aca="false">H6025*H6025</f>
        <v>1</v>
      </c>
      <c r="X6025" s="0" t="n">
        <f aca="false">SUMPRODUCT(I6025:W6025,_XtX!$B$96:$P$96)</f>
        <v>44.9271016081872</v>
      </c>
      <c r="Y6025" s="0" t="n">
        <f aca="false">SUMPRODUCT(MMULT(I6025:W6025,_XtX!$B$78:$P$92),I6025:W6025)</f>
        <v>0.582488121345029</v>
      </c>
      <c r="Z6025" s="0" t="n">
        <f aca="false">04_回帰ANOVA!$K$19*04_回帰ANOVA!$K$14*SQRT(1+Y6025)</f>
        <v>1.63971595338287</v>
      </c>
      <c r="AA6025" s="0" t="n">
        <f aca="false">X6025-Z6025</f>
        <v>43.2873856548043</v>
      </c>
      <c r="AB6025" s="0" t="n">
        <f aca="false">X6025+Z6025</f>
        <v>46.5668175615701</v>
      </c>
      <c r="AC6025" s="54" t="b">
        <f aca="false">AND(E6025&gt;=01_因子設定!$L$5-0.000000001,E6025&lt;=01_因子設定!$M$5+0.000000001,F6025&gt;=01_因子設定!$L$6-0.000000001,F6025&lt;=01_因子設定!$M$6+0.000000001,G6025&gt;=01_因子設定!$L$7-0.000000001,G6025&lt;=01_因子設定!$M$7+0.000000001,H6025&gt;=01_因子設定!$L$8-0.000000001,H6025&lt;=01_因子設定!$M$8+0.000000001,IF(01_因子設定!$B$20="Box-Behnken",E6025^2+F6025^2+G6025^2+H6025^2&lt;=2+0.000000001,TRUE()))</f>
        <v>1</v>
      </c>
      <c r="AD6025" s="55" t="n">
        <f aca="false">IF(AC6025,IF(01_因子設定!$B$13="最大化",AA6025-01_因子設定!$B$14,IF(01_因子設定!$B$13="最小化",01_因子設定!$B$15-AB6025,MIN(AA6025-01_因子設定!$B$14,01_因子設定!$B$15-AB6025))),-1E+030)</f>
        <v>-3.21261434519568</v>
      </c>
      <c r="AE6025" s="55" t="n">
        <f aca="false">IF(AC6025,IF(01_因子設定!$B$13="最大化",X6025,IF(01_因子設定!$B$13="最小化",-X6025,-ABS(X6025-01_因子設定!$B$16))),-1E+030)</f>
        <v>44.9271016081872</v>
      </c>
      <c r="AF6025" s="55" t="n">
        <f aca="false">AD6025+ROW()*0.000000001</f>
        <v>-3.21260832019568</v>
      </c>
      <c r="AG6025" s="55" t="n">
        <f aca="false">AE6025+ROW()*0.000000001</f>
        <v>44.9271076331872</v>
      </c>
    </row>
    <row r="6026" customFormat="false" ht="15" hidden="false" customHeight="false" outlineLevel="0" collapsed="false">
      <c r="A6026" s="0" t="n">
        <v>8</v>
      </c>
      <c r="B6026" s="0" t="n">
        <v>2</v>
      </c>
      <c r="C6026" s="0" t="n">
        <v>3</v>
      </c>
      <c r="D6026" s="0" t="n">
        <v>0</v>
      </c>
      <c r="E6026" s="0" t="n">
        <f aca="false">-1+A6026*0.25</f>
        <v>1</v>
      </c>
      <c r="F6026" s="0" t="n">
        <f aca="false">-1+B6026*0.25</f>
        <v>-0.5</v>
      </c>
      <c r="G6026" s="0" t="n">
        <f aca="false">-1+C6026*0.25</f>
        <v>-0.25</v>
      </c>
      <c r="H6026" s="0" t="n">
        <f aca="false">-1+D6026*0.25</f>
        <v>-1</v>
      </c>
      <c r="I6026" s="0" t="n">
        <f aca="false">1</f>
        <v>1</v>
      </c>
      <c r="J6026" s="0" t="n">
        <f aca="false">E6026</f>
        <v>1</v>
      </c>
      <c r="K6026" s="0" t="n">
        <f aca="false">F6026</f>
        <v>-0.5</v>
      </c>
      <c r="L6026" s="0" t="n">
        <f aca="false">G6026</f>
        <v>-0.25</v>
      </c>
      <c r="M6026" s="0" t="n">
        <f aca="false">H6026</f>
        <v>-1</v>
      </c>
      <c r="N6026" s="0" t="n">
        <f aca="false">E6026*F6026</f>
        <v>-0.5</v>
      </c>
      <c r="O6026" s="0" t="n">
        <f aca="false">E6026*G6026</f>
        <v>-0.25</v>
      </c>
      <c r="P6026" s="0" t="n">
        <f aca="false">E6026*H6026</f>
        <v>-1</v>
      </c>
      <c r="Q6026" s="0" t="n">
        <f aca="false">F6026*G6026</f>
        <v>0.125</v>
      </c>
      <c r="R6026" s="0" t="n">
        <f aca="false">F6026*H6026</f>
        <v>0.5</v>
      </c>
      <c r="S6026" s="0" t="n">
        <f aca="false">G6026*H6026</f>
        <v>0.25</v>
      </c>
      <c r="T6026" s="0" t="n">
        <f aca="false">E6026*E6026</f>
        <v>1</v>
      </c>
      <c r="U6026" s="0" t="n">
        <f aca="false">F6026*F6026</f>
        <v>0.25</v>
      </c>
      <c r="V6026" s="0" t="n">
        <f aca="false">G6026*G6026</f>
        <v>0.0625</v>
      </c>
      <c r="W6026" s="0" t="n">
        <f aca="false">H6026*H6026</f>
        <v>1</v>
      </c>
      <c r="X6026" s="0" t="n">
        <f aca="false">SUMPRODUCT(I6026:W6026,_XtX!$B$96:$P$96)</f>
        <v>44.0413468567252</v>
      </c>
      <c r="Y6026" s="0" t="n">
        <f aca="false">SUMPRODUCT(MMULT(I6026:W6026,_XtX!$B$78:$P$92),I6026:W6026)</f>
        <v>0.629174661915205</v>
      </c>
      <c r="Z6026" s="0" t="n">
        <f aca="false">04_回帰ANOVA!$K$19*04_回帰ANOVA!$K$14*SQRT(1+Y6026)</f>
        <v>1.66372758058297</v>
      </c>
      <c r="AA6026" s="0" t="n">
        <f aca="false">X6026-Z6026</f>
        <v>42.3776192761422</v>
      </c>
      <c r="AB6026" s="0" t="n">
        <f aca="false">X6026+Z6026</f>
        <v>45.7050744373082</v>
      </c>
      <c r="AC6026" s="54" t="b">
        <f aca="false">AND(E6026&gt;=01_因子設定!$L$5-0.000000001,E6026&lt;=01_因子設定!$M$5+0.000000001,F6026&gt;=01_因子設定!$L$6-0.000000001,F6026&lt;=01_因子設定!$M$6+0.000000001,G6026&gt;=01_因子設定!$L$7-0.000000001,G6026&lt;=01_因子設定!$M$7+0.000000001,H6026&gt;=01_因子設定!$L$8-0.000000001,H6026&lt;=01_因子設定!$M$8+0.000000001,IF(01_因子設定!$B$20="Box-Behnken",E6026^2+F6026^2+G6026^2+H6026^2&lt;=2+0.000000001,TRUE()))</f>
        <v>1</v>
      </c>
      <c r="AD6026" s="55" t="n">
        <f aca="false">IF(AC6026,IF(01_因子設定!$B$13="最大化",AA6026-01_因子設定!$B$14,IF(01_因子設定!$B$13="最小化",01_因子設定!$B$15-AB6026,MIN(AA6026-01_因子設定!$B$14,01_因子設定!$B$15-AB6026))),-1E+030)</f>
        <v>-4.12238072385777</v>
      </c>
      <c r="AE6026" s="55" t="n">
        <f aca="false">IF(AC6026,IF(01_因子設定!$B$13="最大化",X6026,IF(01_因子設定!$B$13="最小化",-X6026,-ABS(X6026-01_因子設定!$B$16))),-1E+030)</f>
        <v>44.0413468567252</v>
      </c>
      <c r="AF6026" s="55" t="n">
        <f aca="false">AD6026+ROW()*0.000000001</f>
        <v>-4.12237469785777</v>
      </c>
      <c r="AG6026" s="55" t="n">
        <f aca="false">AE6026+ROW()*0.000000001</f>
        <v>44.0413528827252</v>
      </c>
    </row>
    <row r="6027" customFormat="false" ht="15" hidden="false" customHeight="false" outlineLevel="0" collapsed="false">
      <c r="A6027" s="0" t="n">
        <v>8</v>
      </c>
      <c r="B6027" s="0" t="n">
        <v>2</v>
      </c>
      <c r="C6027" s="0" t="n">
        <v>3</v>
      </c>
      <c r="D6027" s="0" t="n">
        <v>1</v>
      </c>
      <c r="E6027" s="0" t="n">
        <f aca="false">-1+A6027*0.25</f>
        <v>1</v>
      </c>
      <c r="F6027" s="0" t="n">
        <f aca="false">-1+B6027*0.25</f>
        <v>-0.5</v>
      </c>
      <c r="G6027" s="0" t="n">
        <f aca="false">-1+C6027*0.25</f>
        <v>-0.25</v>
      </c>
      <c r="H6027" s="0" t="n">
        <f aca="false">-1+D6027*0.25</f>
        <v>-0.75</v>
      </c>
      <c r="I6027" s="0" t="n">
        <f aca="false">1</f>
        <v>1</v>
      </c>
      <c r="J6027" s="0" t="n">
        <f aca="false">E6027</f>
        <v>1</v>
      </c>
      <c r="K6027" s="0" t="n">
        <f aca="false">F6027</f>
        <v>-0.5</v>
      </c>
      <c r="L6027" s="0" t="n">
        <f aca="false">G6027</f>
        <v>-0.25</v>
      </c>
      <c r="M6027" s="0" t="n">
        <f aca="false">H6027</f>
        <v>-0.75</v>
      </c>
      <c r="N6027" s="0" t="n">
        <f aca="false">E6027*F6027</f>
        <v>-0.5</v>
      </c>
      <c r="O6027" s="0" t="n">
        <f aca="false">E6027*G6027</f>
        <v>-0.25</v>
      </c>
      <c r="P6027" s="0" t="n">
        <f aca="false">E6027*H6027</f>
        <v>-0.75</v>
      </c>
      <c r="Q6027" s="0" t="n">
        <f aca="false">F6027*G6027</f>
        <v>0.125</v>
      </c>
      <c r="R6027" s="0" t="n">
        <f aca="false">F6027*H6027</f>
        <v>0.375</v>
      </c>
      <c r="S6027" s="0" t="n">
        <f aca="false">G6027*H6027</f>
        <v>0.1875</v>
      </c>
      <c r="T6027" s="0" t="n">
        <f aca="false">E6027*E6027</f>
        <v>1</v>
      </c>
      <c r="U6027" s="0" t="n">
        <f aca="false">F6027*F6027</f>
        <v>0.25</v>
      </c>
      <c r="V6027" s="0" t="n">
        <f aca="false">G6027*G6027</f>
        <v>0.0625</v>
      </c>
      <c r="W6027" s="0" t="n">
        <f aca="false">H6027*H6027</f>
        <v>0.5625</v>
      </c>
      <c r="X6027" s="0" t="n">
        <f aca="false">SUMPRODUCT(I6027:W6027,_XtX!$B$96:$P$96)</f>
        <v>44.3499040570176</v>
      </c>
      <c r="Y6027" s="0" t="n">
        <f aca="false">SUMPRODUCT(MMULT(I6027:W6027,_XtX!$B$78:$P$92),I6027:W6027)</f>
        <v>0.459125719572369</v>
      </c>
      <c r="Z6027" s="0" t="n">
        <f aca="false">04_回帰ANOVA!$K$19*04_回帰ANOVA!$K$14*SQRT(1+Y6027)</f>
        <v>1.57450755575573</v>
      </c>
      <c r="AA6027" s="0" t="n">
        <f aca="false">X6027-Z6027</f>
        <v>42.7753965012619</v>
      </c>
      <c r="AB6027" s="0" t="n">
        <f aca="false">X6027+Z6027</f>
        <v>45.9244116127733</v>
      </c>
      <c r="AC6027" s="54" t="b">
        <f aca="false">AND(E6027&gt;=01_因子設定!$L$5-0.000000001,E6027&lt;=01_因子設定!$M$5+0.000000001,F6027&gt;=01_因子設定!$L$6-0.000000001,F6027&lt;=01_因子設定!$M$6+0.000000001,G6027&gt;=01_因子設定!$L$7-0.000000001,G6027&lt;=01_因子設定!$M$7+0.000000001,H6027&gt;=01_因子設定!$L$8-0.000000001,H6027&lt;=01_因子設定!$M$8+0.000000001,IF(01_因子設定!$B$20="Box-Behnken",E6027^2+F6027^2+G6027^2+H6027^2&lt;=2+0.000000001,TRUE()))</f>
        <v>1</v>
      </c>
      <c r="AD6027" s="55" t="n">
        <f aca="false">IF(AC6027,IF(01_因子設定!$B$13="最大化",AA6027-01_因子設定!$B$14,IF(01_因子設定!$B$13="最小化",01_因子設定!$B$15-AB6027,MIN(AA6027-01_因子設定!$B$14,01_因子設定!$B$15-AB6027))),-1E+030)</f>
        <v>-3.72460349873814</v>
      </c>
      <c r="AE6027" s="55" t="n">
        <f aca="false">IF(AC6027,IF(01_因子設定!$B$13="最大化",X6027,IF(01_因子設定!$B$13="最小化",-X6027,-ABS(X6027-01_因子設定!$B$16))),-1E+030)</f>
        <v>44.3499040570176</v>
      </c>
      <c r="AF6027" s="55" t="n">
        <f aca="false">AD6027+ROW()*0.000000001</f>
        <v>-3.72459747173814</v>
      </c>
      <c r="AG6027" s="55" t="n">
        <f aca="false">AE6027+ROW()*0.000000001</f>
        <v>44.3499100840176</v>
      </c>
    </row>
    <row r="6028" customFormat="false" ht="15" hidden="false" customHeight="false" outlineLevel="0" collapsed="false">
      <c r="A6028" s="0" t="n">
        <v>8</v>
      </c>
      <c r="B6028" s="0" t="n">
        <v>2</v>
      </c>
      <c r="C6028" s="0" t="n">
        <v>3</v>
      </c>
      <c r="D6028" s="0" t="n">
        <v>2</v>
      </c>
      <c r="E6028" s="0" t="n">
        <f aca="false">-1+A6028*0.25</f>
        <v>1</v>
      </c>
      <c r="F6028" s="0" t="n">
        <f aca="false">-1+B6028*0.25</f>
        <v>-0.5</v>
      </c>
      <c r="G6028" s="0" t="n">
        <f aca="false">-1+C6028*0.25</f>
        <v>-0.25</v>
      </c>
      <c r="H6028" s="0" t="n">
        <f aca="false">-1+D6028*0.25</f>
        <v>-0.5</v>
      </c>
      <c r="I6028" s="0" t="n">
        <f aca="false">1</f>
        <v>1</v>
      </c>
      <c r="J6028" s="0" t="n">
        <f aca="false">E6028</f>
        <v>1</v>
      </c>
      <c r="K6028" s="0" t="n">
        <f aca="false">F6028</f>
        <v>-0.5</v>
      </c>
      <c r="L6028" s="0" t="n">
        <f aca="false">G6028</f>
        <v>-0.25</v>
      </c>
      <c r="M6028" s="0" t="n">
        <f aca="false">H6028</f>
        <v>-0.5</v>
      </c>
      <c r="N6028" s="0" t="n">
        <f aca="false">E6028*F6028</f>
        <v>-0.5</v>
      </c>
      <c r="O6028" s="0" t="n">
        <f aca="false">E6028*G6028</f>
        <v>-0.25</v>
      </c>
      <c r="P6028" s="0" t="n">
        <f aca="false">E6028*H6028</f>
        <v>-0.5</v>
      </c>
      <c r="Q6028" s="0" t="n">
        <f aca="false">F6028*G6028</f>
        <v>0.125</v>
      </c>
      <c r="R6028" s="0" t="n">
        <f aca="false">F6028*H6028</f>
        <v>0.25</v>
      </c>
      <c r="S6028" s="0" t="n">
        <f aca="false">G6028*H6028</f>
        <v>0.125</v>
      </c>
      <c r="T6028" s="0" t="n">
        <f aca="false">E6028*E6028</f>
        <v>1</v>
      </c>
      <c r="U6028" s="0" t="n">
        <f aca="false">F6028*F6028</f>
        <v>0.25</v>
      </c>
      <c r="V6028" s="0" t="n">
        <f aca="false">G6028*G6028</f>
        <v>0.0625</v>
      </c>
      <c r="W6028" s="0" t="n">
        <f aca="false">H6028*H6028</f>
        <v>0.25</v>
      </c>
      <c r="X6028" s="0" t="n">
        <f aca="false">SUMPRODUCT(I6028:W6028,_XtX!$B$96:$P$96)</f>
        <v>44.6106542397661</v>
      </c>
      <c r="Y6028" s="0" t="n">
        <f aca="false">SUMPRODUCT(MMULT(I6028:W6028,_XtX!$B$78:$P$92),I6028:W6028)</f>
        <v>0.428122715643275</v>
      </c>
      <c r="Z6028" s="0" t="n">
        <f aca="false">04_回帰ANOVA!$K$19*04_回帰ANOVA!$K$14*SQRT(1+Y6028)</f>
        <v>1.55769044623229</v>
      </c>
      <c r="AA6028" s="0" t="n">
        <f aca="false">X6028-Z6028</f>
        <v>43.0529637935338</v>
      </c>
      <c r="AB6028" s="0" t="n">
        <f aca="false">X6028+Z6028</f>
        <v>46.1683446859984</v>
      </c>
      <c r="AC6028" s="54" t="b">
        <f aca="false">AND(E6028&gt;=01_因子設定!$L$5-0.000000001,E6028&lt;=01_因子設定!$M$5+0.000000001,F6028&gt;=01_因子設定!$L$6-0.000000001,F6028&lt;=01_因子設定!$M$6+0.000000001,G6028&gt;=01_因子設定!$L$7-0.000000001,G6028&lt;=01_因子設定!$M$7+0.000000001,H6028&gt;=01_因子設定!$L$8-0.000000001,H6028&lt;=01_因子設定!$M$8+0.000000001,IF(01_因子設定!$B$20="Box-Behnken",E6028^2+F6028^2+G6028^2+H6028^2&lt;=2+0.000000001,TRUE()))</f>
        <v>1</v>
      </c>
      <c r="AD6028" s="55" t="n">
        <f aca="false">IF(AC6028,IF(01_因子設定!$B$13="最大化",AA6028-01_因子設定!$B$14,IF(01_因子設定!$B$13="最小化",01_因子設定!$B$15-AB6028,MIN(AA6028-01_因子設定!$B$14,01_因子設定!$B$15-AB6028))),-1E+030)</f>
        <v>-3.44703620646618</v>
      </c>
      <c r="AE6028" s="55" t="n">
        <f aca="false">IF(AC6028,IF(01_因子設定!$B$13="最大化",X6028,IF(01_因子設定!$B$13="最小化",-X6028,-ABS(X6028-01_因子設定!$B$16))),-1E+030)</f>
        <v>44.6106542397661</v>
      </c>
      <c r="AF6028" s="55" t="n">
        <f aca="false">AD6028+ROW()*0.000000001</f>
        <v>-3.44703017846618</v>
      </c>
      <c r="AG6028" s="55" t="n">
        <f aca="false">AE6028+ROW()*0.000000001</f>
        <v>44.6106602677661</v>
      </c>
    </row>
    <row r="6029" customFormat="false" ht="15" hidden="false" customHeight="false" outlineLevel="0" collapsed="false">
      <c r="A6029" s="0" t="n">
        <v>8</v>
      </c>
      <c r="B6029" s="0" t="n">
        <v>2</v>
      </c>
      <c r="C6029" s="0" t="n">
        <v>3</v>
      </c>
      <c r="D6029" s="0" t="n">
        <v>3</v>
      </c>
      <c r="E6029" s="0" t="n">
        <f aca="false">-1+A6029*0.25</f>
        <v>1</v>
      </c>
      <c r="F6029" s="0" t="n">
        <f aca="false">-1+B6029*0.25</f>
        <v>-0.5</v>
      </c>
      <c r="G6029" s="0" t="n">
        <f aca="false">-1+C6029*0.25</f>
        <v>-0.25</v>
      </c>
      <c r="H6029" s="0" t="n">
        <f aca="false">-1+D6029*0.25</f>
        <v>-0.25</v>
      </c>
      <c r="I6029" s="0" t="n">
        <f aca="false">1</f>
        <v>1</v>
      </c>
      <c r="J6029" s="0" t="n">
        <f aca="false">E6029</f>
        <v>1</v>
      </c>
      <c r="K6029" s="0" t="n">
        <f aca="false">F6029</f>
        <v>-0.5</v>
      </c>
      <c r="L6029" s="0" t="n">
        <f aca="false">G6029</f>
        <v>-0.25</v>
      </c>
      <c r="M6029" s="0" t="n">
        <f aca="false">H6029</f>
        <v>-0.25</v>
      </c>
      <c r="N6029" s="0" t="n">
        <f aca="false">E6029*F6029</f>
        <v>-0.5</v>
      </c>
      <c r="O6029" s="0" t="n">
        <f aca="false">E6029*G6029</f>
        <v>-0.25</v>
      </c>
      <c r="P6029" s="0" t="n">
        <f aca="false">E6029*H6029</f>
        <v>-0.25</v>
      </c>
      <c r="Q6029" s="0" t="n">
        <f aca="false">F6029*G6029</f>
        <v>0.125</v>
      </c>
      <c r="R6029" s="0" t="n">
        <f aca="false">F6029*H6029</f>
        <v>0.125</v>
      </c>
      <c r="S6029" s="0" t="n">
        <f aca="false">G6029*H6029</f>
        <v>0.0625</v>
      </c>
      <c r="T6029" s="0" t="n">
        <f aca="false">E6029*E6029</f>
        <v>1</v>
      </c>
      <c r="U6029" s="0" t="n">
        <f aca="false">F6029*F6029</f>
        <v>0.25</v>
      </c>
      <c r="V6029" s="0" t="n">
        <f aca="false">G6029*G6029</f>
        <v>0.0625</v>
      </c>
      <c r="W6029" s="0" t="n">
        <f aca="false">H6029*H6029</f>
        <v>0.0625</v>
      </c>
      <c r="X6029" s="0" t="n">
        <f aca="false">SUMPRODUCT(I6029:W6029,_XtX!$B$96:$P$96)</f>
        <v>44.8235974049708</v>
      </c>
      <c r="Y6029" s="0" t="n">
        <f aca="false">SUMPRODUCT(MMULT(I6029:W6029,_XtX!$B$78:$P$92),I6029:W6029)</f>
        <v>0.445705123812135</v>
      </c>
      <c r="Z6029" s="0" t="n">
        <f aca="false">04_回帰ANOVA!$K$19*04_回帰ANOVA!$K$14*SQRT(1+Y6029)</f>
        <v>1.56724990734749</v>
      </c>
      <c r="AA6029" s="0" t="n">
        <f aca="false">X6029-Z6029</f>
        <v>43.2563474976233</v>
      </c>
      <c r="AB6029" s="0" t="n">
        <f aca="false">X6029+Z6029</f>
        <v>46.3908473123183</v>
      </c>
      <c r="AC6029" s="54" t="b">
        <f aca="false">AND(E6029&gt;=01_因子設定!$L$5-0.000000001,E6029&lt;=01_因子設定!$M$5+0.000000001,F6029&gt;=01_因子設定!$L$6-0.000000001,F6029&lt;=01_因子設定!$M$6+0.000000001,G6029&gt;=01_因子設定!$L$7-0.000000001,G6029&lt;=01_因子設定!$M$7+0.000000001,H6029&gt;=01_因子設定!$L$8-0.000000001,H6029&lt;=01_因子設定!$M$8+0.000000001,IF(01_因子設定!$B$20="Box-Behnken",E6029^2+F6029^2+G6029^2+H6029^2&lt;=2+0.000000001,TRUE()))</f>
        <v>1</v>
      </c>
      <c r="AD6029" s="55" t="n">
        <f aca="false">IF(AC6029,IF(01_因子設定!$B$13="最大化",AA6029-01_因子設定!$B$14,IF(01_因子設定!$B$13="最小化",01_因子設定!$B$15-AB6029,MIN(AA6029-01_因子設定!$B$14,01_因子設定!$B$15-AB6029))),-1E+030)</f>
        <v>-3.2436525023767</v>
      </c>
      <c r="AE6029" s="55" t="n">
        <f aca="false">IF(AC6029,IF(01_因子設定!$B$13="最大化",X6029,IF(01_因子設定!$B$13="最小化",-X6029,-ABS(X6029-01_因子設定!$B$16))),-1E+030)</f>
        <v>44.8235974049708</v>
      </c>
      <c r="AF6029" s="55" t="n">
        <f aca="false">AD6029+ROW()*0.000000001</f>
        <v>-3.2436464733767</v>
      </c>
      <c r="AG6029" s="55" t="n">
        <f aca="false">AE6029+ROW()*0.000000001</f>
        <v>44.8236034339708</v>
      </c>
    </row>
    <row r="6030" customFormat="false" ht="15" hidden="false" customHeight="false" outlineLevel="0" collapsed="false">
      <c r="A6030" s="0" t="n">
        <v>8</v>
      </c>
      <c r="B6030" s="0" t="n">
        <v>2</v>
      </c>
      <c r="C6030" s="0" t="n">
        <v>3</v>
      </c>
      <c r="D6030" s="0" t="n">
        <v>4</v>
      </c>
      <c r="E6030" s="0" t="n">
        <f aca="false">-1+A6030*0.25</f>
        <v>1</v>
      </c>
      <c r="F6030" s="0" t="n">
        <f aca="false">-1+B6030*0.25</f>
        <v>-0.5</v>
      </c>
      <c r="G6030" s="0" t="n">
        <f aca="false">-1+C6030*0.25</f>
        <v>-0.25</v>
      </c>
      <c r="H6030" s="0" t="n">
        <f aca="false">-1+D6030*0.25</f>
        <v>0</v>
      </c>
      <c r="I6030" s="0" t="n">
        <f aca="false">1</f>
        <v>1</v>
      </c>
      <c r="J6030" s="0" t="n">
        <f aca="false">E6030</f>
        <v>1</v>
      </c>
      <c r="K6030" s="0" t="n">
        <f aca="false">F6030</f>
        <v>-0.5</v>
      </c>
      <c r="L6030" s="0" t="n">
        <f aca="false">G6030</f>
        <v>-0.25</v>
      </c>
      <c r="M6030" s="0" t="n">
        <f aca="false">H6030</f>
        <v>0</v>
      </c>
      <c r="N6030" s="0" t="n">
        <f aca="false">E6030*F6030</f>
        <v>-0.5</v>
      </c>
      <c r="O6030" s="0" t="n">
        <f aca="false">E6030*G6030</f>
        <v>-0.25</v>
      </c>
      <c r="P6030" s="0" t="n">
        <f aca="false">E6030*H6030</f>
        <v>0</v>
      </c>
      <c r="Q6030" s="0" t="n">
        <f aca="false">F6030*G6030</f>
        <v>0.125</v>
      </c>
      <c r="R6030" s="0" t="n">
        <f aca="false">F6030*H6030</f>
        <v>-0</v>
      </c>
      <c r="S6030" s="0" t="n">
        <f aca="false">G6030*H6030</f>
        <v>-0</v>
      </c>
      <c r="T6030" s="0" t="n">
        <f aca="false">E6030*E6030</f>
        <v>1</v>
      </c>
      <c r="U6030" s="0" t="n">
        <f aca="false">F6030*F6030</f>
        <v>0.25</v>
      </c>
      <c r="V6030" s="0" t="n">
        <f aca="false">G6030*G6030</f>
        <v>0.0625</v>
      </c>
      <c r="W6030" s="0" t="n">
        <f aca="false">H6030*H6030</f>
        <v>0</v>
      </c>
      <c r="X6030" s="0" t="n">
        <f aca="false">SUMPRODUCT(I6030:W6030,_XtX!$B$96:$P$96)</f>
        <v>44.9887335526316</v>
      </c>
      <c r="Y6030" s="0" t="n">
        <f aca="false">SUMPRODUCT(MMULT(I6030:W6030,_XtX!$B$78:$P$92),I6030:W6030)</f>
        <v>0.457596628289474</v>
      </c>
      <c r="Z6030" s="0" t="n">
        <f aca="false">04_回帰ANOVA!$K$19*04_回帰ANOVA!$K$14*SQRT(1+Y6030)</f>
        <v>1.57368233664366</v>
      </c>
      <c r="AA6030" s="0" t="n">
        <f aca="false">X6030-Z6030</f>
        <v>43.4150512159879</v>
      </c>
      <c r="AB6030" s="0" t="n">
        <f aca="false">X6030+Z6030</f>
        <v>46.5624158892753</v>
      </c>
      <c r="AC6030" s="54" t="b">
        <f aca="false">AND(E6030&gt;=01_因子設定!$L$5-0.000000001,E6030&lt;=01_因子設定!$M$5+0.000000001,F6030&gt;=01_因子設定!$L$6-0.000000001,F6030&lt;=01_因子設定!$M$6+0.000000001,G6030&gt;=01_因子設定!$L$7-0.000000001,G6030&lt;=01_因子設定!$M$7+0.000000001,H6030&gt;=01_因子設定!$L$8-0.000000001,H6030&lt;=01_因子設定!$M$8+0.000000001,IF(01_因子設定!$B$20="Box-Behnken",E6030^2+F6030^2+G6030^2+H6030^2&lt;=2+0.000000001,TRUE()))</f>
        <v>1</v>
      </c>
      <c r="AD6030" s="55" t="n">
        <f aca="false">IF(AC6030,IF(01_因子設定!$B$13="最大化",AA6030-01_因子設定!$B$14,IF(01_因子設定!$B$13="最小化",01_因子設定!$B$15-AB6030,MIN(AA6030-01_因子設定!$B$14,01_因子設定!$B$15-AB6030))),-1E+030)</f>
        <v>-3.08494878401206</v>
      </c>
      <c r="AE6030" s="55" t="n">
        <f aca="false">IF(AC6030,IF(01_因子設定!$B$13="最大化",X6030,IF(01_因子設定!$B$13="最小化",-X6030,-ABS(X6030-01_因子設定!$B$16))),-1E+030)</f>
        <v>44.9887335526316</v>
      </c>
      <c r="AF6030" s="55" t="n">
        <f aca="false">AD6030+ROW()*0.000000001</f>
        <v>-3.08494275401206</v>
      </c>
      <c r="AG6030" s="55" t="n">
        <f aca="false">AE6030+ROW()*0.000000001</f>
        <v>44.9887395826316</v>
      </c>
    </row>
    <row r="6031" customFormat="false" ht="15" hidden="false" customHeight="false" outlineLevel="0" collapsed="false">
      <c r="A6031" s="0" t="n">
        <v>8</v>
      </c>
      <c r="B6031" s="0" t="n">
        <v>2</v>
      </c>
      <c r="C6031" s="0" t="n">
        <v>3</v>
      </c>
      <c r="D6031" s="0" t="n">
        <v>5</v>
      </c>
      <c r="E6031" s="0" t="n">
        <f aca="false">-1+A6031*0.25</f>
        <v>1</v>
      </c>
      <c r="F6031" s="0" t="n">
        <f aca="false">-1+B6031*0.25</f>
        <v>-0.5</v>
      </c>
      <c r="G6031" s="0" t="n">
        <f aca="false">-1+C6031*0.25</f>
        <v>-0.25</v>
      </c>
      <c r="H6031" s="0" t="n">
        <f aca="false">-1+D6031*0.25</f>
        <v>0.25</v>
      </c>
      <c r="I6031" s="0" t="n">
        <f aca="false">1</f>
        <v>1</v>
      </c>
      <c r="J6031" s="0" t="n">
        <f aca="false">E6031</f>
        <v>1</v>
      </c>
      <c r="K6031" s="0" t="n">
        <f aca="false">F6031</f>
        <v>-0.5</v>
      </c>
      <c r="L6031" s="0" t="n">
        <f aca="false">G6031</f>
        <v>-0.25</v>
      </c>
      <c r="M6031" s="0" t="n">
        <f aca="false">H6031</f>
        <v>0.25</v>
      </c>
      <c r="N6031" s="0" t="n">
        <f aca="false">E6031*F6031</f>
        <v>-0.5</v>
      </c>
      <c r="O6031" s="0" t="n">
        <f aca="false">E6031*G6031</f>
        <v>-0.25</v>
      </c>
      <c r="P6031" s="0" t="n">
        <f aca="false">E6031*H6031</f>
        <v>0.25</v>
      </c>
      <c r="Q6031" s="0" t="n">
        <f aca="false">F6031*G6031</f>
        <v>0.125</v>
      </c>
      <c r="R6031" s="0" t="n">
        <f aca="false">F6031*H6031</f>
        <v>-0.125</v>
      </c>
      <c r="S6031" s="0" t="n">
        <f aca="false">G6031*H6031</f>
        <v>-0.0625</v>
      </c>
      <c r="T6031" s="0" t="n">
        <f aca="false">E6031*E6031</f>
        <v>1</v>
      </c>
      <c r="U6031" s="0" t="n">
        <f aca="false">F6031*F6031</f>
        <v>0.25</v>
      </c>
      <c r="V6031" s="0" t="n">
        <f aca="false">G6031*G6031</f>
        <v>0.0625</v>
      </c>
      <c r="W6031" s="0" t="n">
        <f aca="false">H6031*H6031</f>
        <v>0.0625</v>
      </c>
      <c r="X6031" s="0" t="n">
        <f aca="false">SUMPRODUCT(I6031:W6031,_XtX!$B$96:$P$96)</f>
        <v>45.1060626827486</v>
      </c>
      <c r="Y6031" s="0" t="n">
        <f aca="false">SUMPRODUCT(MMULT(I6031:W6031,_XtX!$B$78:$P$92),I6031:W6031)</f>
        <v>0.445705123812135</v>
      </c>
      <c r="Z6031" s="0" t="n">
        <f aca="false">04_回帰ANOVA!$K$19*04_回帰ANOVA!$K$14*SQRT(1+Y6031)</f>
        <v>1.56724990734749</v>
      </c>
      <c r="AA6031" s="0" t="n">
        <f aca="false">X6031-Z6031</f>
        <v>43.5388127754011</v>
      </c>
      <c r="AB6031" s="0" t="n">
        <f aca="false">X6031+Z6031</f>
        <v>46.6733125900961</v>
      </c>
      <c r="AC6031" s="54" t="b">
        <f aca="false">AND(E6031&gt;=01_因子設定!$L$5-0.000000001,E6031&lt;=01_因子設定!$M$5+0.000000001,F6031&gt;=01_因子設定!$L$6-0.000000001,F6031&lt;=01_因子設定!$M$6+0.000000001,G6031&gt;=01_因子設定!$L$7-0.000000001,G6031&lt;=01_因子設定!$M$7+0.000000001,H6031&gt;=01_因子設定!$L$8-0.000000001,H6031&lt;=01_因子設定!$M$8+0.000000001,IF(01_因子設定!$B$20="Box-Behnken",E6031^2+F6031^2+G6031^2+H6031^2&lt;=2+0.000000001,TRUE()))</f>
        <v>1</v>
      </c>
      <c r="AD6031" s="55" t="n">
        <f aca="false">IF(AC6031,IF(01_因子設定!$B$13="最大化",AA6031-01_因子設定!$B$14,IF(01_因子設定!$B$13="最小化",01_因子設定!$B$15-AB6031,MIN(AA6031-01_因子設定!$B$14,01_因子設定!$B$15-AB6031))),-1E+030)</f>
        <v>-2.96118722459892</v>
      </c>
      <c r="AE6031" s="55" t="n">
        <f aca="false">IF(AC6031,IF(01_因子設定!$B$13="最大化",X6031,IF(01_因子設定!$B$13="最小化",-X6031,-ABS(X6031-01_因子設定!$B$16))),-1E+030)</f>
        <v>45.1060626827486</v>
      </c>
      <c r="AF6031" s="55" t="n">
        <f aca="false">AD6031+ROW()*0.000000001</f>
        <v>-2.96118119359892</v>
      </c>
      <c r="AG6031" s="55" t="n">
        <f aca="false">AE6031+ROW()*0.000000001</f>
        <v>45.1060687137486</v>
      </c>
    </row>
    <row r="6032" customFormat="false" ht="15" hidden="false" customHeight="false" outlineLevel="0" collapsed="false">
      <c r="A6032" s="0" t="n">
        <v>8</v>
      </c>
      <c r="B6032" s="0" t="n">
        <v>2</v>
      </c>
      <c r="C6032" s="0" t="n">
        <v>3</v>
      </c>
      <c r="D6032" s="0" t="n">
        <v>6</v>
      </c>
      <c r="E6032" s="0" t="n">
        <f aca="false">-1+A6032*0.25</f>
        <v>1</v>
      </c>
      <c r="F6032" s="0" t="n">
        <f aca="false">-1+B6032*0.25</f>
        <v>-0.5</v>
      </c>
      <c r="G6032" s="0" t="n">
        <f aca="false">-1+C6032*0.25</f>
        <v>-0.25</v>
      </c>
      <c r="H6032" s="0" t="n">
        <f aca="false">-1+D6032*0.25</f>
        <v>0.5</v>
      </c>
      <c r="I6032" s="0" t="n">
        <f aca="false">1</f>
        <v>1</v>
      </c>
      <c r="J6032" s="0" t="n">
        <f aca="false">E6032</f>
        <v>1</v>
      </c>
      <c r="K6032" s="0" t="n">
        <f aca="false">F6032</f>
        <v>-0.5</v>
      </c>
      <c r="L6032" s="0" t="n">
        <f aca="false">G6032</f>
        <v>-0.25</v>
      </c>
      <c r="M6032" s="0" t="n">
        <f aca="false">H6032</f>
        <v>0.5</v>
      </c>
      <c r="N6032" s="0" t="n">
        <f aca="false">E6032*F6032</f>
        <v>-0.5</v>
      </c>
      <c r="O6032" s="0" t="n">
        <f aca="false">E6032*G6032</f>
        <v>-0.25</v>
      </c>
      <c r="P6032" s="0" t="n">
        <f aca="false">E6032*H6032</f>
        <v>0.5</v>
      </c>
      <c r="Q6032" s="0" t="n">
        <f aca="false">F6032*G6032</f>
        <v>0.125</v>
      </c>
      <c r="R6032" s="0" t="n">
        <f aca="false">F6032*H6032</f>
        <v>-0.25</v>
      </c>
      <c r="S6032" s="0" t="n">
        <f aca="false">G6032*H6032</f>
        <v>-0.125</v>
      </c>
      <c r="T6032" s="0" t="n">
        <f aca="false">E6032*E6032</f>
        <v>1</v>
      </c>
      <c r="U6032" s="0" t="n">
        <f aca="false">F6032*F6032</f>
        <v>0.25</v>
      </c>
      <c r="V6032" s="0" t="n">
        <f aca="false">G6032*G6032</f>
        <v>0.0625</v>
      </c>
      <c r="W6032" s="0" t="n">
        <f aca="false">H6032*H6032</f>
        <v>0.25</v>
      </c>
      <c r="X6032" s="0" t="n">
        <f aca="false">SUMPRODUCT(I6032:W6032,_XtX!$B$96:$P$96)</f>
        <v>45.1755847953217</v>
      </c>
      <c r="Y6032" s="0" t="n">
        <f aca="false">SUMPRODUCT(MMULT(I6032:W6032,_XtX!$B$78:$P$92),I6032:W6032)</f>
        <v>0.428122715643275</v>
      </c>
      <c r="Z6032" s="0" t="n">
        <f aca="false">04_回帰ANOVA!$K$19*04_回帰ANOVA!$K$14*SQRT(1+Y6032)</f>
        <v>1.55769044623229</v>
      </c>
      <c r="AA6032" s="0" t="n">
        <f aca="false">X6032-Z6032</f>
        <v>43.6178943490894</v>
      </c>
      <c r="AB6032" s="0" t="n">
        <f aca="false">X6032+Z6032</f>
        <v>46.733275241554</v>
      </c>
      <c r="AC6032" s="54" t="b">
        <f aca="false">AND(E6032&gt;=01_因子設定!$L$5-0.000000001,E6032&lt;=01_因子設定!$M$5+0.000000001,F6032&gt;=01_因子設定!$L$6-0.000000001,F6032&lt;=01_因子設定!$M$6+0.000000001,G6032&gt;=01_因子設定!$L$7-0.000000001,G6032&lt;=01_因子設定!$M$7+0.000000001,H6032&gt;=01_因子設定!$L$8-0.000000001,H6032&lt;=01_因子設定!$M$8+0.000000001,IF(01_因子設定!$B$20="Box-Behnken",E6032^2+F6032^2+G6032^2+H6032^2&lt;=2+0.000000001,TRUE()))</f>
        <v>1</v>
      </c>
      <c r="AD6032" s="55" t="n">
        <f aca="false">IF(AC6032,IF(01_因子設定!$B$13="最大化",AA6032-01_因子設定!$B$14,IF(01_因子設定!$B$13="最小化",01_因子設定!$B$15-AB6032,MIN(AA6032-01_因子設定!$B$14,01_因子設定!$B$15-AB6032))),-1E+030)</f>
        <v>-2.88210565091062</v>
      </c>
      <c r="AE6032" s="55" t="n">
        <f aca="false">IF(AC6032,IF(01_因子設定!$B$13="最大化",X6032,IF(01_因子設定!$B$13="最小化",-X6032,-ABS(X6032-01_因子設定!$B$16))),-1E+030)</f>
        <v>45.1755847953217</v>
      </c>
      <c r="AF6032" s="55" t="n">
        <f aca="false">AD6032+ROW()*0.000000001</f>
        <v>-2.88209961891062</v>
      </c>
      <c r="AG6032" s="55" t="n">
        <f aca="false">AE6032+ROW()*0.000000001</f>
        <v>45.1755908273217</v>
      </c>
    </row>
    <row r="6033" customFormat="false" ht="15" hidden="false" customHeight="false" outlineLevel="0" collapsed="false">
      <c r="A6033" s="0" t="n">
        <v>8</v>
      </c>
      <c r="B6033" s="0" t="n">
        <v>2</v>
      </c>
      <c r="C6033" s="0" t="n">
        <v>3</v>
      </c>
      <c r="D6033" s="0" t="n">
        <v>7</v>
      </c>
      <c r="E6033" s="0" t="n">
        <f aca="false">-1+A6033*0.25</f>
        <v>1</v>
      </c>
      <c r="F6033" s="0" t="n">
        <f aca="false">-1+B6033*0.25</f>
        <v>-0.5</v>
      </c>
      <c r="G6033" s="0" t="n">
        <f aca="false">-1+C6033*0.25</f>
        <v>-0.25</v>
      </c>
      <c r="H6033" s="0" t="n">
        <f aca="false">-1+D6033*0.25</f>
        <v>0.75</v>
      </c>
      <c r="I6033" s="0" t="n">
        <f aca="false">1</f>
        <v>1</v>
      </c>
      <c r="J6033" s="0" t="n">
        <f aca="false">E6033</f>
        <v>1</v>
      </c>
      <c r="K6033" s="0" t="n">
        <f aca="false">F6033</f>
        <v>-0.5</v>
      </c>
      <c r="L6033" s="0" t="n">
        <f aca="false">G6033</f>
        <v>-0.25</v>
      </c>
      <c r="M6033" s="0" t="n">
        <f aca="false">H6033</f>
        <v>0.75</v>
      </c>
      <c r="N6033" s="0" t="n">
        <f aca="false">E6033*F6033</f>
        <v>-0.5</v>
      </c>
      <c r="O6033" s="0" t="n">
        <f aca="false">E6033*G6033</f>
        <v>-0.25</v>
      </c>
      <c r="P6033" s="0" t="n">
        <f aca="false">E6033*H6033</f>
        <v>0.75</v>
      </c>
      <c r="Q6033" s="0" t="n">
        <f aca="false">F6033*G6033</f>
        <v>0.125</v>
      </c>
      <c r="R6033" s="0" t="n">
        <f aca="false">F6033*H6033</f>
        <v>-0.375</v>
      </c>
      <c r="S6033" s="0" t="n">
        <f aca="false">G6033*H6033</f>
        <v>-0.1875</v>
      </c>
      <c r="T6033" s="0" t="n">
        <f aca="false">E6033*E6033</f>
        <v>1</v>
      </c>
      <c r="U6033" s="0" t="n">
        <f aca="false">F6033*F6033</f>
        <v>0.25</v>
      </c>
      <c r="V6033" s="0" t="n">
        <f aca="false">G6033*G6033</f>
        <v>0.0625</v>
      </c>
      <c r="W6033" s="0" t="n">
        <f aca="false">H6033*H6033</f>
        <v>0.5625</v>
      </c>
      <c r="X6033" s="0" t="n">
        <f aca="false">SUMPRODUCT(I6033:W6033,_XtX!$B$96:$P$96)</f>
        <v>45.1972998903509</v>
      </c>
      <c r="Y6033" s="0" t="n">
        <f aca="false">SUMPRODUCT(MMULT(I6033:W6033,_XtX!$B$78:$P$92),I6033:W6033)</f>
        <v>0.459125719572369</v>
      </c>
      <c r="Z6033" s="0" t="n">
        <f aca="false">04_回帰ANOVA!$K$19*04_回帰ANOVA!$K$14*SQRT(1+Y6033)</f>
        <v>1.57450755575573</v>
      </c>
      <c r="AA6033" s="0" t="n">
        <f aca="false">X6033-Z6033</f>
        <v>43.6227923345952</v>
      </c>
      <c r="AB6033" s="0" t="n">
        <f aca="false">X6033+Z6033</f>
        <v>46.7718074461067</v>
      </c>
      <c r="AC6033" s="54" t="b">
        <f aca="false">AND(E6033&gt;=01_因子設定!$L$5-0.000000001,E6033&lt;=01_因子設定!$M$5+0.000000001,F6033&gt;=01_因子設定!$L$6-0.000000001,F6033&lt;=01_因子設定!$M$6+0.000000001,G6033&gt;=01_因子設定!$L$7-0.000000001,G6033&lt;=01_因子設定!$M$7+0.000000001,H6033&gt;=01_因子設定!$L$8-0.000000001,H6033&lt;=01_因子設定!$M$8+0.000000001,IF(01_因子設定!$B$20="Box-Behnken",E6033^2+F6033^2+G6033^2+H6033^2&lt;=2+0.000000001,TRUE()))</f>
        <v>1</v>
      </c>
      <c r="AD6033" s="55" t="n">
        <f aca="false">IF(AC6033,IF(01_因子設定!$B$13="最大化",AA6033-01_因子設定!$B$14,IF(01_因子設定!$B$13="最小化",01_因子設定!$B$15-AB6033,MIN(AA6033-01_因子設定!$B$14,01_因子設定!$B$15-AB6033))),-1E+030)</f>
        <v>-2.87720766540481</v>
      </c>
      <c r="AE6033" s="55" t="n">
        <f aca="false">IF(AC6033,IF(01_因子設定!$B$13="最大化",X6033,IF(01_因子設定!$B$13="最小化",-X6033,-ABS(X6033-01_因子設定!$B$16))),-1E+030)</f>
        <v>45.1972998903509</v>
      </c>
      <c r="AF6033" s="55" t="n">
        <f aca="false">AD6033+ROW()*0.000000001</f>
        <v>-2.87720163240481</v>
      </c>
      <c r="AG6033" s="55" t="n">
        <f aca="false">AE6033+ROW()*0.000000001</f>
        <v>45.1973059233509</v>
      </c>
    </row>
    <row r="6034" customFormat="false" ht="15" hidden="false" customHeight="false" outlineLevel="0" collapsed="false">
      <c r="A6034" s="0" t="n">
        <v>8</v>
      </c>
      <c r="B6034" s="0" t="n">
        <v>2</v>
      </c>
      <c r="C6034" s="0" t="n">
        <v>3</v>
      </c>
      <c r="D6034" s="0" t="n">
        <v>8</v>
      </c>
      <c r="E6034" s="0" t="n">
        <f aca="false">-1+A6034*0.25</f>
        <v>1</v>
      </c>
      <c r="F6034" s="0" t="n">
        <f aca="false">-1+B6034*0.25</f>
        <v>-0.5</v>
      </c>
      <c r="G6034" s="0" t="n">
        <f aca="false">-1+C6034*0.25</f>
        <v>-0.25</v>
      </c>
      <c r="H6034" s="0" t="n">
        <f aca="false">-1+D6034*0.25</f>
        <v>1</v>
      </c>
      <c r="I6034" s="0" t="n">
        <f aca="false">1</f>
        <v>1</v>
      </c>
      <c r="J6034" s="0" t="n">
        <f aca="false">E6034</f>
        <v>1</v>
      </c>
      <c r="K6034" s="0" t="n">
        <f aca="false">F6034</f>
        <v>-0.5</v>
      </c>
      <c r="L6034" s="0" t="n">
        <f aca="false">G6034</f>
        <v>-0.25</v>
      </c>
      <c r="M6034" s="0" t="n">
        <f aca="false">H6034</f>
        <v>1</v>
      </c>
      <c r="N6034" s="0" t="n">
        <f aca="false">E6034*F6034</f>
        <v>-0.5</v>
      </c>
      <c r="O6034" s="0" t="n">
        <f aca="false">E6034*G6034</f>
        <v>-0.25</v>
      </c>
      <c r="P6034" s="0" t="n">
        <f aca="false">E6034*H6034</f>
        <v>1</v>
      </c>
      <c r="Q6034" s="0" t="n">
        <f aca="false">F6034*G6034</f>
        <v>0.125</v>
      </c>
      <c r="R6034" s="0" t="n">
        <f aca="false">F6034*H6034</f>
        <v>-0.5</v>
      </c>
      <c r="S6034" s="0" t="n">
        <f aca="false">G6034*H6034</f>
        <v>-0.25</v>
      </c>
      <c r="T6034" s="0" t="n">
        <f aca="false">E6034*E6034</f>
        <v>1</v>
      </c>
      <c r="U6034" s="0" t="n">
        <f aca="false">F6034*F6034</f>
        <v>0.25</v>
      </c>
      <c r="V6034" s="0" t="n">
        <f aca="false">G6034*G6034</f>
        <v>0.0625</v>
      </c>
      <c r="W6034" s="0" t="n">
        <f aca="false">H6034*H6034</f>
        <v>1</v>
      </c>
      <c r="X6034" s="0" t="n">
        <f aca="false">SUMPRODUCT(I6034:W6034,_XtX!$B$96:$P$96)</f>
        <v>45.1712079678363</v>
      </c>
      <c r="Y6034" s="0" t="n">
        <f aca="false">SUMPRODUCT(MMULT(I6034:W6034,_XtX!$B$78:$P$92),I6034:W6034)</f>
        <v>0.629174661915205</v>
      </c>
      <c r="Z6034" s="0" t="n">
        <f aca="false">04_回帰ANOVA!$K$19*04_回帰ANOVA!$K$14*SQRT(1+Y6034)</f>
        <v>1.66372758058297</v>
      </c>
      <c r="AA6034" s="0" t="n">
        <f aca="false">X6034-Z6034</f>
        <v>43.5074803872533</v>
      </c>
      <c r="AB6034" s="0" t="n">
        <f aca="false">X6034+Z6034</f>
        <v>46.8349355484193</v>
      </c>
      <c r="AC6034" s="54" t="b">
        <f aca="false">AND(E6034&gt;=01_因子設定!$L$5-0.000000001,E6034&lt;=01_因子設定!$M$5+0.000000001,F6034&gt;=01_因子設定!$L$6-0.000000001,F6034&lt;=01_因子設定!$M$6+0.000000001,G6034&gt;=01_因子設定!$L$7-0.000000001,G6034&lt;=01_因子設定!$M$7+0.000000001,H6034&gt;=01_因子設定!$L$8-0.000000001,H6034&lt;=01_因子設定!$M$8+0.000000001,IF(01_因子設定!$B$20="Box-Behnken",E6034^2+F6034^2+G6034^2+H6034^2&lt;=2+0.000000001,TRUE()))</f>
        <v>1</v>
      </c>
      <c r="AD6034" s="55" t="n">
        <f aca="false">IF(AC6034,IF(01_因子設定!$B$13="最大化",AA6034-01_因子設定!$B$14,IF(01_因子設定!$B$13="最小化",01_因子設定!$B$15-AB6034,MIN(AA6034-01_因子設定!$B$14,01_因子設定!$B$15-AB6034))),-1E+030)</f>
        <v>-2.99251961274666</v>
      </c>
      <c r="AE6034" s="55" t="n">
        <f aca="false">IF(AC6034,IF(01_因子設定!$B$13="最大化",X6034,IF(01_因子設定!$B$13="最小化",-X6034,-ABS(X6034-01_因子設定!$B$16))),-1E+030)</f>
        <v>45.1712079678363</v>
      </c>
      <c r="AF6034" s="55" t="n">
        <f aca="false">AD6034+ROW()*0.000000001</f>
        <v>-2.99251357874666</v>
      </c>
      <c r="AG6034" s="55" t="n">
        <f aca="false">AE6034+ROW()*0.000000001</f>
        <v>45.1712140018363</v>
      </c>
    </row>
    <row r="6035" customFormat="false" ht="15" hidden="false" customHeight="false" outlineLevel="0" collapsed="false">
      <c r="A6035" s="0" t="n">
        <v>8</v>
      </c>
      <c r="B6035" s="0" t="n">
        <v>2</v>
      </c>
      <c r="C6035" s="0" t="n">
        <v>4</v>
      </c>
      <c r="D6035" s="0" t="n">
        <v>0</v>
      </c>
      <c r="E6035" s="0" t="n">
        <f aca="false">-1+A6035*0.25</f>
        <v>1</v>
      </c>
      <c r="F6035" s="0" t="n">
        <f aca="false">-1+B6035*0.25</f>
        <v>-0.5</v>
      </c>
      <c r="G6035" s="0" t="n">
        <f aca="false">-1+C6035*0.25</f>
        <v>0</v>
      </c>
      <c r="H6035" s="0" t="n">
        <f aca="false">-1+D6035*0.25</f>
        <v>-1</v>
      </c>
      <c r="I6035" s="0" t="n">
        <f aca="false">1</f>
        <v>1</v>
      </c>
      <c r="J6035" s="0" t="n">
        <f aca="false">E6035</f>
        <v>1</v>
      </c>
      <c r="K6035" s="0" t="n">
        <f aca="false">F6035</f>
        <v>-0.5</v>
      </c>
      <c r="L6035" s="0" t="n">
        <f aca="false">G6035</f>
        <v>0</v>
      </c>
      <c r="M6035" s="0" t="n">
        <f aca="false">H6035</f>
        <v>-1</v>
      </c>
      <c r="N6035" s="0" t="n">
        <f aca="false">E6035*F6035</f>
        <v>-0.5</v>
      </c>
      <c r="O6035" s="0" t="n">
        <f aca="false">E6035*G6035</f>
        <v>0</v>
      </c>
      <c r="P6035" s="0" t="n">
        <f aca="false">E6035*H6035</f>
        <v>-1</v>
      </c>
      <c r="Q6035" s="0" t="n">
        <f aca="false">F6035*G6035</f>
        <v>-0</v>
      </c>
      <c r="R6035" s="0" t="n">
        <f aca="false">F6035*H6035</f>
        <v>0.5</v>
      </c>
      <c r="S6035" s="0" t="n">
        <f aca="false">G6035*H6035</f>
        <v>-0</v>
      </c>
      <c r="T6035" s="0" t="n">
        <f aca="false">E6035*E6035</f>
        <v>1</v>
      </c>
      <c r="U6035" s="0" t="n">
        <f aca="false">F6035*F6035</f>
        <v>0.25</v>
      </c>
      <c r="V6035" s="0" t="n">
        <f aca="false">G6035*G6035</f>
        <v>0</v>
      </c>
      <c r="W6035" s="0" t="n">
        <f aca="false">H6035*H6035</f>
        <v>1</v>
      </c>
      <c r="X6035" s="0" t="n">
        <f aca="false">SUMPRODUCT(I6035:W6035,_XtX!$B$96:$P$96)</f>
        <v>44.0563961988305</v>
      </c>
      <c r="Y6035" s="0" t="n">
        <f aca="false">SUMPRODUCT(MMULT(I6035:W6035,_XtX!$B$78:$P$92),I6035:W6035)</f>
        <v>0.650767543859649</v>
      </c>
      <c r="Z6035" s="0" t="n">
        <f aca="false">04_回帰ANOVA!$K$19*04_回帰ANOVA!$K$14*SQRT(1+Y6035)</f>
        <v>1.67471670935165</v>
      </c>
      <c r="AA6035" s="0" t="n">
        <f aca="false">X6035-Z6035</f>
        <v>42.3816794894788</v>
      </c>
      <c r="AB6035" s="0" t="n">
        <f aca="false">X6035+Z6035</f>
        <v>45.7311129081821</v>
      </c>
      <c r="AC6035" s="54" t="b">
        <f aca="false">AND(E6035&gt;=01_因子設定!$L$5-0.000000001,E6035&lt;=01_因子設定!$M$5+0.000000001,F6035&gt;=01_因子設定!$L$6-0.000000001,F6035&lt;=01_因子設定!$M$6+0.000000001,G6035&gt;=01_因子設定!$L$7-0.000000001,G6035&lt;=01_因子設定!$M$7+0.000000001,H6035&gt;=01_因子設定!$L$8-0.000000001,H6035&lt;=01_因子設定!$M$8+0.000000001,IF(01_因子設定!$B$20="Box-Behnken",E6035^2+F6035^2+G6035^2+H6035^2&lt;=2+0.000000001,TRUE()))</f>
        <v>1</v>
      </c>
      <c r="AD6035" s="55" t="n">
        <f aca="false">IF(AC6035,IF(01_因子設定!$B$13="最大化",AA6035-01_因子設定!$B$14,IF(01_因子設定!$B$13="最小化",01_因子設定!$B$15-AB6035,MIN(AA6035-01_因子設定!$B$14,01_因子設定!$B$15-AB6035))),-1E+030)</f>
        <v>-4.11832051052118</v>
      </c>
      <c r="AE6035" s="55" t="n">
        <f aca="false">IF(AC6035,IF(01_因子設定!$B$13="最大化",X6035,IF(01_因子設定!$B$13="最小化",-X6035,-ABS(X6035-01_因子設定!$B$16))),-1E+030)</f>
        <v>44.0563961988305</v>
      </c>
      <c r="AF6035" s="55" t="n">
        <f aca="false">AD6035+ROW()*0.000000001</f>
        <v>-4.11831447552118</v>
      </c>
      <c r="AG6035" s="55" t="n">
        <f aca="false">AE6035+ROW()*0.000000001</f>
        <v>44.0564022338305</v>
      </c>
    </row>
    <row r="6036" customFormat="false" ht="15" hidden="false" customHeight="false" outlineLevel="0" collapsed="false">
      <c r="A6036" s="0" t="n">
        <v>8</v>
      </c>
      <c r="B6036" s="0" t="n">
        <v>2</v>
      </c>
      <c r="C6036" s="0" t="n">
        <v>4</v>
      </c>
      <c r="D6036" s="0" t="n">
        <v>1</v>
      </c>
      <c r="E6036" s="0" t="n">
        <f aca="false">-1+A6036*0.25</f>
        <v>1</v>
      </c>
      <c r="F6036" s="0" t="n">
        <f aca="false">-1+B6036*0.25</f>
        <v>-0.5</v>
      </c>
      <c r="G6036" s="0" t="n">
        <f aca="false">-1+C6036*0.25</f>
        <v>0</v>
      </c>
      <c r="H6036" s="0" t="n">
        <f aca="false">-1+D6036*0.25</f>
        <v>-0.75</v>
      </c>
      <c r="I6036" s="0" t="n">
        <f aca="false">1</f>
        <v>1</v>
      </c>
      <c r="J6036" s="0" t="n">
        <f aca="false">E6036</f>
        <v>1</v>
      </c>
      <c r="K6036" s="0" t="n">
        <f aca="false">F6036</f>
        <v>-0.5</v>
      </c>
      <c r="L6036" s="0" t="n">
        <f aca="false">G6036</f>
        <v>0</v>
      </c>
      <c r="M6036" s="0" t="n">
        <f aca="false">H6036</f>
        <v>-0.75</v>
      </c>
      <c r="N6036" s="0" t="n">
        <f aca="false">E6036*F6036</f>
        <v>-0.5</v>
      </c>
      <c r="O6036" s="0" t="n">
        <f aca="false">E6036*G6036</f>
        <v>0</v>
      </c>
      <c r="P6036" s="0" t="n">
        <f aca="false">E6036*H6036</f>
        <v>-0.75</v>
      </c>
      <c r="Q6036" s="0" t="n">
        <f aca="false">F6036*G6036</f>
        <v>-0</v>
      </c>
      <c r="R6036" s="0" t="n">
        <f aca="false">F6036*H6036</f>
        <v>0.375</v>
      </c>
      <c r="S6036" s="0" t="n">
        <f aca="false">G6036*H6036</f>
        <v>-0</v>
      </c>
      <c r="T6036" s="0" t="n">
        <f aca="false">E6036*E6036</f>
        <v>1</v>
      </c>
      <c r="U6036" s="0" t="n">
        <f aca="false">F6036*F6036</f>
        <v>0.25</v>
      </c>
      <c r="V6036" s="0" t="n">
        <f aca="false">G6036*G6036</f>
        <v>0</v>
      </c>
      <c r="W6036" s="0" t="n">
        <f aca="false">H6036*H6036</f>
        <v>0.5625</v>
      </c>
      <c r="X6036" s="0" t="n">
        <f aca="false">SUMPRODUCT(I6036:W6036,_XtX!$B$96:$P$96)</f>
        <v>44.3829221491229</v>
      </c>
      <c r="Y6036" s="0" t="n">
        <f aca="false">SUMPRODUCT(MMULT(I6036:W6036,_XtX!$B$78:$P$92),I6036:W6036)</f>
        <v>0.476191292032164</v>
      </c>
      <c r="Z6036" s="0" t="n">
        <f aca="false">04_回帰ANOVA!$K$19*04_回帰ANOVA!$K$14*SQRT(1+Y6036)</f>
        <v>1.58368831471718</v>
      </c>
      <c r="AA6036" s="0" t="n">
        <f aca="false">X6036-Z6036</f>
        <v>42.7992338344057</v>
      </c>
      <c r="AB6036" s="0" t="n">
        <f aca="false">X6036+Z6036</f>
        <v>45.96661046384</v>
      </c>
      <c r="AC6036" s="54" t="b">
        <f aca="false">AND(E6036&gt;=01_因子設定!$L$5-0.000000001,E6036&lt;=01_因子設定!$M$5+0.000000001,F6036&gt;=01_因子設定!$L$6-0.000000001,F6036&lt;=01_因子設定!$M$6+0.000000001,G6036&gt;=01_因子設定!$L$7-0.000000001,G6036&lt;=01_因子設定!$M$7+0.000000001,H6036&gt;=01_因子設定!$L$8-0.000000001,H6036&lt;=01_因子設定!$M$8+0.000000001,IF(01_因子設定!$B$20="Box-Behnken",E6036^2+F6036^2+G6036^2+H6036^2&lt;=2+0.000000001,TRUE()))</f>
        <v>1</v>
      </c>
      <c r="AD6036" s="55" t="n">
        <f aca="false">IF(AC6036,IF(01_因子設定!$B$13="最大化",AA6036-01_因子設定!$B$14,IF(01_因子設定!$B$13="最小化",01_因子設定!$B$15-AB6036,MIN(AA6036-01_因子設定!$B$14,01_因子設定!$B$15-AB6036))),-1E+030)</f>
        <v>-3.70076616559432</v>
      </c>
      <c r="AE6036" s="55" t="n">
        <f aca="false">IF(AC6036,IF(01_因子設定!$B$13="最大化",X6036,IF(01_因子設定!$B$13="最小化",-X6036,-ABS(X6036-01_因子設定!$B$16))),-1E+030)</f>
        <v>44.3829221491229</v>
      </c>
      <c r="AF6036" s="55" t="n">
        <f aca="false">AD6036+ROW()*0.000000001</f>
        <v>-3.70076012959432</v>
      </c>
      <c r="AG6036" s="55" t="n">
        <f aca="false">AE6036+ROW()*0.000000001</f>
        <v>44.3829281851229</v>
      </c>
    </row>
    <row r="6037" customFormat="false" ht="15" hidden="false" customHeight="false" outlineLevel="0" collapsed="false">
      <c r="A6037" s="0" t="n">
        <v>8</v>
      </c>
      <c r="B6037" s="0" t="n">
        <v>2</v>
      </c>
      <c r="C6037" s="0" t="n">
        <v>4</v>
      </c>
      <c r="D6037" s="0" t="n">
        <v>2</v>
      </c>
      <c r="E6037" s="0" t="n">
        <f aca="false">-1+A6037*0.25</f>
        <v>1</v>
      </c>
      <c r="F6037" s="0" t="n">
        <f aca="false">-1+B6037*0.25</f>
        <v>-0.5</v>
      </c>
      <c r="G6037" s="0" t="n">
        <f aca="false">-1+C6037*0.25</f>
        <v>0</v>
      </c>
      <c r="H6037" s="0" t="n">
        <f aca="false">-1+D6037*0.25</f>
        <v>-0.5</v>
      </c>
      <c r="I6037" s="0" t="n">
        <f aca="false">1</f>
        <v>1</v>
      </c>
      <c r="J6037" s="0" t="n">
        <f aca="false">E6037</f>
        <v>1</v>
      </c>
      <c r="K6037" s="0" t="n">
        <f aca="false">F6037</f>
        <v>-0.5</v>
      </c>
      <c r="L6037" s="0" t="n">
        <f aca="false">G6037</f>
        <v>0</v>
      </c>
      <c r="M6037" s="0" t="n">
        <f aca="false">H6037</f>
        <v>-0.5</v>
      </c>
      <c r="N6037" s="0" t="n">
        <f aca="false">E6037*F6037</f>
        <v>-0.5</v>
      </c>
      <c r="O6037" s="0" t="n">
        <f aca="false">E6037*G6037</f>
        <v>0</v>
      </c>
      <c r="P6037" s="0" t="n">
        <f aca="false">E6037*H6037</f>
        <v>-0.5</v>
      </c>
      <c r="Q6037" s="0" t="n">
        <f aca="false">F6037*G6037</f>
        <v>-0</v>
      </c>
      <c r="R6037" s="0" t="n">
        <f aca="false">F6037*H6037</f>
        <v>0.25</v>
      </c>
      <c r="S6037" s="0" t="n">
        <f aca="false">G6037*H6037</f>
        <v>-0</v>
      </c>
      <c r="T6037" s="0" t="n">
        <f aca="false">E6037*E6037</f>
        <v>1</v>
      </c>
      <c r="U6037" s="0" t="n">
        <f aca="false">F6037*F6037</f>
        <v>0.25</v>
      </c>
      <c r="V6037" s="0" t="n">
        <f aca="false">G6037*G6037</f>
        <v>0</v>
      </c>
      <c r="W6037" s="0" t="n">
        <f aca="false">H6037*H6037</f>
        <v>0.25</v>
      </c>
      <c r="X6037" s="0" t="n">
        <f aca="false">SUMPRODUCT(I6037:W6037,_XtX!$B$96:$P$96)</f>
        <v>44.6616410818714</v>
      </c>
      <c r="Y6037" s="0" t="n">
        <f aca="false">SUMPRODUCT(MMULT(I6037:W6037,_XtX!$B$78:$P$92),I6037:W6037)</f>
        <v>0.441954495614035</v>
      </c>
      <c r="Z6037" s="0" t="n">
        <f aca="false">04_回帰ANOVA!$K$19*04_回帰ANOVA!$K$14*SQRT(1+Y6037)</f>
        <v>1.56521560968066</v>
      </c>
      <c r="AA6037" s="0" t="n">
        <f aca="false">X6037-Z6037</f>
        <v>43.0964254721907</v>
      </c>
      <c r="AB6037" s="0" t="n">
        <f aca="false">X6037+Z6037</f>
        <v>46.226856691552</v>
      </c>
      <c r="AC6037" s="54" t="b">
        <f aca="false">AND(E6037&gt;=01_因子設定!$L$5-0.000000001,E6037&lt;=01_因子設定!$M$5+0.000000001,F6037&gt;=01_因子設定!$L$6-0.000000001,F6037&lt;=01_因子設定!$M$6+0.000000001,G6037&gt;=01_因子設定!$L$7-0.000000001,G6037&lt;=01_因子設定!$M$7+0.000000001,H6037&gt;=01_因子設定!$L$8-0.000000001,H6037&lt;=01_因子設定!$M$8+0.000000001,IF(01_因子設定!$B$20="Box-Behnken",E6037^2+F6037^2+G6037^2+H6037^2&lt;=2+0.000000001,TRUE()))</f>
        <v>1</v>
      </c>
      <c r="AD6037" s="55" t="n">
        <f aca="false">IF(AC6037,IF(01_因子設定!$B$13="最大化",AA6037-01_因子設定!$B$14,IF(01_因子設定!$B$13="最小化",01_因子設定!$B$15-AB6037,MIN(AA6037-01_因子設定!$B$14,01_因子設定!$B$15-AB6037))),-1E+030)</f>
        <v>-3.40357452780928</v>
      </c>
      <c r="AE6037" s="55" t="n">
        <f aca="false">IF(AC6037,IF(01_因子設定!$B$13="最大化",X6037,IF(01_因子設定!$B$13="最小化",-X6037,-ABS(X6037-01_因子設定!$B$16))),-1E+030)</f>
        <v>44.6616410818714</v>
      </c>
      <c r="AF6037" s="55" t="n">
        <f aca="false">AD6037+ROW()*0.000000001</f>
        <v>-3.40356849080928</v>
      </c>
      <c r="AG6037" s="55" t="n">
        <f aca="false">AE6037+ROW()*0.000000001</f>
        <v>44.6616471188714</v>
      </c>
    </row>
    <row r="6038" customFormat="false" ht="15" hidden="false" customHeight="false" outlineLevel="0" collapsed="false">
      <c r="A6038" s="0" t="n">
        <v>8</v>
      </c>
      <c r="B6038" s="0" t="n">
        <v>2</v>
      </c>
      <c r="C6038" s="0" t="n">
        <v>4</v>
      </c>
      <c r="D6038" s="0" t="n">
        <v>3</v>
      </c>
      <c r="E6038" s="0" t="n">
        <f aca="false">-1+A6038*0.25</f>
        <v>1</v>
      </c>
      <c r="F6038" s="0" t="n">
        <f aca="false">-1+B6038*0.25</f>
        <v>-0.5</v>
      </c>
      <c r="G6038" s="0" t="n">
        <f aca="false">-1+C6038*0.25</f>
        <v>0</v>
      </c>
      <c r="H6038" s="0" t="n">
        <f aca="false">-1+D6038*0.25</f>
        <v>-0.25</v>
      </c>
      <c r="I6038" s="0" t="n">
        <f aca="false">1</f>
        <v>1</v>
      </c>
      <c r="J6038" s="0" t="n">
        <f aca="false">E6038</f>
        <v>1</v>
      </c>
      <c r="K6038" s="0" t="n">
        <f aca="false">F6038</f>
        <v>-0.5</v>
      </c>
      <c r="L6038" s="0" t="n">
        <f aca="false">G6038</f>
        <v>0</v>
      </c>
      <c r="M6038" s="0" t="n">
        <f aca="false">H6038</f>
        <v>-0.25</v>
      </c>
      <c r="N6038" s="0" t="n">
        <f aca="false">E6038*F6038</f>
        <v>-0.5</v>
      </c>
      <c r="O6038" s="0" t="n">
        <f aca="false">E6038*G6038</f>
        <v>0</v>
      </c>
      <c r="P6038" s="0" t="n">
        <f aca="false">E6038*H6038</f>
        <v>-0.25</v>
      </c>
      <c r="Q6038" s="0" t="n">
        <f aca="false">F6038*G6038</f>
        <v>-0</v>
      </c>
      <c r="R6038" s="0" t="n">
        <f aca="false">F6038*H6038</f>
        <v>0.125</v>
      </c>
      <c r="S6038" s="0" t="n">
        <f aca="false">G6038*H6038</f>
        <v>-0</v>
      </c>
      <c r="T6038" s="0" t="n">
        <f aca="false">E6038*E6038</f>
        <v>1</v>
      </c>
      <c r="U6038" s="0" t="n">
        <f aca="false">F6038*F6038</f>
        <v>0.25</v>
      </c>
      <c r="V6038" s="0" t="n">
        <f aca="false">G6038*G6038</f>
        <v>0</v>
      </c>
      <c r="W6038" s="0" t="n">
        <f aca="false">H6038*H6038</f>
        <v>0.0625</v>
      </c>
      <c r="X6038" s="0" t="n">
        <f aca="false">SUMPRODUCT(I6038:W6038,_XtX!$B$96:$P$96)</f>
        <v>44.8925529970761</v>
      </c>
      <c r="Y6038" s="0" t="n">
        <f aca="false">SUMPRODUCT(MMULT(I6038:W6038,_XtX!$B$78:$P$92),I6038:W6038)</f>
        <v>0.457596628289474</v>
      </c>
      <c r="Z6038" s="0" t="n">
        <f aca="false">04_回帰ANOVA!$K$19*04_回帰ANOVA!$K$14*SQRT(1+Y6038)</f>
        <v>1.57368233664366</v>
      </c>
      <c r="AA6038" s="0" t="n">
        <f aca="false">X6038-Z6038</f>
        <v>43.3188706604324</v>
      </c>
      <c r="AB6038" s="0" t="n">
        <f aca="false">X6038+Z6038</f>
        <v>46.4662353337197</v>
      </c>
      <c r="AC6038" s="54" t="b">
        <f aca="false">AND(E6038&gt;=01_因子設定!$L$5-0.000000001,E6038&lt;=01_因子設定!$M$5+0.000000001,F6038&gt;=01_因子設定!$L$6-0.000000001,F6038&lt;=01_因子設定!$M$6+0.000000001,G6038&gt;=01_因子設定!$L$7-0.000000001,G6038&lt;=01_因子設定!$M$7+0.000000001,H6038&gt;=01_因子設定!$L$8-0.000000001,H6038&lt;=01_因子設定!$M$8+0.000000001,IF(01_因子設定!$B$20="Box-Behnken",E6038^2+F6038^2+G6038^2+H6038^2&lt;=2+0.000000001,TRUE()))</f>
        <v>1</v>
      </c>
      <c r="AD6038" s="55" t="n">
        <f aca="false">IF(AC6038,IF(01_因子設定!$B$13="最大化",AA6038-01_因子設定!$B$14,IF(01_因子設定!$B$13="最小化",01_因子設定!$B$15-AB6038,MIN(AA6038-01_因子設定!$B$14,01_因子設定!$B$15-AB6038))),-1E+030)</f>
        <v>-3.1811293395676</v>
      </c>
      <c r="AE6038" s="55" t="n">
        <f aca="false">IF(AC6038,IF(01_因子設定!$B$13="最大化",X6038,IF(01_因子設定!$B$13="最小化",-X6038,-ABS(X6038-01_因子設定!$B$16))),-1E+030)</f>
        <v>44.8925529970761</v>
      </c>
      <c r="AF6038" s="55" t="n">
        <f aca="false">AD6038+ROW()*0.000000001</f>
        <v>-3.1811233015676</v>
      </c>
      <c r="AG6038" s="55" t="n">
        <f aca="false">AE6038+ROW()*0.000000001</f>
        <v>44.8925590350761</v>
      </c>
    </row>
    <row r="6039" customFormat="false" ht="15" hidden="false" customHeight="false" outlineLevel="0" collapsed="false">
      <c r="A6039" s="0" t="n">
        <v>8</v>
      </c>
      <c r="B6039" s="0" t="n">
        <v>2</v>
      </c>
      <c r="C6039" s="0" t="n">
        <v>4</v>
      </c>
      <c r="D6039" s="0" t="n">
        <v>4</v>
      </c>
      <c r="E6039" s="0" t="n">
        <f aca="false">-1+A6039*0.25</f>
        <v>1</v>
      </c>
      <c r="F6039" s="0" t="n">
        <f aca="false">-1+B6039*0.25</f>
        <v>-0.5</v>
      </c>
      <c r="G6039" s="0" t="n">
        <f aca="false">-1+C6039*0.25</f>
        <v>0</v>
      </c>
      <c r="H6039" s="0" t="n">
        <f aca="false">-1+D6039*0.25</f>
        <v>0</v>
      </c>
      <c r="I6039" s="0" t="n">
        <f aca="false">1</f>
        <v>1</v>
      </c>
      <c r="J6039" s="0" t="n">
        <f aca="false">E6039</f>
        <v>1</v>
      </c>
      <c r="K6039" s="0" t="n">
        <f aca="false">F6039</f>
        <v>-0.5</v>
      </c>
      <c r="L6039" s="0" t="n">
        <f aca="false">G6039</f>
        <v>0</v>
      </c>
      <c r="M6039" s="0" t="n">
        <f aca="false">H6039</f>
        <v>0</v>
      </c>
      <c r="N6039" s="0" t="n">
        <f aca="false">E6039*F6039</f>
        <v>-0.5</v>
      </c>
      <c r="O6039" s="0" t="n">
        <f aca="false">E6039*G6039</f>
        <v>0</v>
      </c>
      <c r="P6039" s="0" t="n">
        <f aca="false">E6039*H6039</f>
        <v>0</v>
      </c>
      <c r="Q6039" s="0" t="n">
        <f aca="false">F6039*G6039</f>
        <v>-0</v>
      </c>
      <c r="R6039" s="0" t="n">
        <f aca="false">F6039*H6039</f>
        <v>-0</v>
      </c>
      <c r="S6039" s="0" t="n">
        <f aca="false">G6039*H6039</f>
        <v>0</v>
      </c>
      <c r="T6039" s="0" t="n">
        <f aca="false">E6039*E6039</f>
        <v>1</v>
      </c>
      <c r="U6039" s="0" t="n">
        <f aca="false">F6039*F6039</f>
        <v>0.25</v>
      </c>
      <c r="V6039" s="0" t="n">
        <f aca="false">G6039*G6039</f>
        <v>0</v>
      </c>
      <c r="W6039" s="0" t="n">
        <f aca="false">H6039*H6039</f>
        <v>0</v>
      </c>
      <c r="X6039" s="0" t="n">
        <f aca="false">SUMPRODUCT(I6039:W6039,_XtX!$B$96:$P$96)</f>
        <v>45.0756578947369</v>
      </c>
      <c r="Y6039" s="0" t="n">
        <f aca="false">SUMPRODUCT(MMULT(I6039:W6039,_XtX!$B$78:$P$92),I6039:W6039)</f>
        <v>0.468841374269006</v>
      </c>
      <c r="Z6039" s="0" t="n">
        <f aca="false">04_回帰ANOVA!$K$19*04_回帰ANOVA!$K$14*SQRT(1+Y6039)</f>
        <v>1.57974082366087</v>
      </c>
      <c r="AA6039" s="0" t="n">
        <f aca="false">X6039-Z6039</f>
        <v>43.495917071076</v>
      </c>
      <c r="AB6039" s="0" t="n">
        <f aca="false">X6039+Z6039</f>
        <v>46.6553987183977</v>
      </c>
      <c r="AC6039" s="54" t="b">
        <f aca="false">AND(E6039&gt;=01_因子設定!$L$5-0.000000001,E6039&lt;=01_因子設定!$M$5+0.000000001,F6039&gt;=01_因子設定!$L$6-0.000000001,F6039&lt;=01_因子設定!$M$6+0.000000001,G6039&gt;=01_因子設定!$L$7-0.000000001,G6039&lt;=01_因子設定!$M$7+0.000000001,H6039&gt;=01_因子設定!$L$8-0.000000001,H6039&lt;=01_因子設定!$M$8+0.000000001,IF(01_因子設定!$B$20="Box-Behnken",E6039^2+F6039^2+G6039^2+H6039^2&lt;=2+0.000000001,TRUE()))</f>
        <v>1</v>
      </c>
      <c r="AD6039" s="55" t="n">
        <f aca="false">IF(AC6039,IF(01_因子設定!$B$13="最大化",AA6039-01_因子設定!$B$14,IF(01_因子設定!$B$13="最小化",01_因子設定!$B$15-AB6039,MIN(AA6039-01_因子設定!$B$14,01_因子設定!$B$15-AB6039))),-1E+030)</f>
        <v>-3.00408292892401</v>
      </c>
      <c r="AE6039" s="55" t="n">
        <f aca="false">IF(AC6039,IF(01_因子設定!$B$13="最大化",X6039,IF(01_因子設定!$B$13="最小化",-X6039,-ABS(X6039-01_因子設定!$B$16))),-1E+030)</f>
        <v>45.0756578947369</v>
      </c>
      <c r="AF6039" s="55" t="n">
        <f aca="false">AD6039+ROW()*0.000000001</f>
        <v>-3.00407688992401</v>
      </c>
      <c r="AG6039" s="55" t="n">
        <f aca="false">AE6039+ROW()*0.000000001</f>
        <v>45.0756639337369</v>
      </c>
    </row>
    <row r="6040" customFormat="false" ht="15" hidden="false" customHeight="false" outlineLevel="0" collapsed="false">
      <c r="A6040" s="0" t="n">
        <v>8</v>
      </c>
      <c r="B6040" s="0" t="n">
        <v>2</v>
      </c>
      <c r="C6040" s="0" t="n">
        <v>4</v>
      </c>
      <c r="D6040" s="0" t="n">
        <v>5</v>
      </c>
      <c r="E6040" s="0" t="n">
        <f aca="false">-1+A6040*0.25</f>
        <v>1</v>
      </c>
      <c r="F6040" s="0" t="n">
        <f aca="false">-1+B6040*0.25</f>
        <v>-0.5</v>
      </c>
      <c r="G6040" s="0" t="n">
        <f aca="false">-1+C6040*0.25</f>
        <v>0</v>
      </c>
      <c r="H6040" s="0" t="n">
        <f aca="false">-1+D6040*0.25</f>
        <v>0.25</v>
      </c>
      <c r="I6040" s="0" t="n">
        <f aca="false">1</f>
        <v>1</v>
      </c>
      <c r="J6040" s="0" t="n">
        <f aca="false">E6040</f>
        <v>1</v>
      </c>
      <c r="K6040" s="0" t="n">
        <f aca="false">F6040</f>
        <v>-0.5</v>
      </c>
      <c r="L6040" s="0" t="n">
        <f aca="false">G6040</f>
        <v>0</v>
      </c>
      <c r="M6040" s="0" t="n">
        <f aca="false">H6040</f>
        <v>0.25</v>
      </c>
      <c r="N6040" s="0" t="n">
        <f aca="false">E6040*F6040</f>
        <v>-0.5</v>
      </c>
      <c r="O6040" s="0" t="n">
        <f aca="false">E6040*G6040</f>
        <v>0</v>
      </c>
      <c r="P6040" s="0" t="n">
        <f aca="false">E6040*H6040</f>
        <v>0.25</v>
      </c>
      <c r="Q6040" s="0" t="n">
        <f aca="false">F6040*G6040</f>
        <v>-0</v>
      </c>
      <c r="R6040" s="0" t="n">
        <f aca="false">F6040*H6040</f>
        <v>-0.125</v>
      </c>
      <c r="S6040" s="0" t="n">
        <f aca="false">G6040*H6040</f>
        <v>0</v>
      </c>
      <c r="T6040" s="0" t="n">
        <f aca="false">E6040*E6040</f>
        <v>1</v>
      </c>
      <c r="U6040" s="0" t="n">
        <f aca="false">F6040*F6040</f>
        <v>0.25</v>
      </c>
      <c r="V6040" s="0" t="n">
        <f aca="false">G6040*G6040</f>
        <v>0</v>
      </c>
      <c r="W6040" s="0" t="n">
        <f aca="false">H6040*H6040</f>
        <v>0.0625</v>
      </c>
      <c r="X6040" s="0" t="n">
        <f aca="false">SUMPRODUCT(I6040:W6040,_XtX!$B$96:$P$96)</f>
        <v>45.2109557748538</v>
      </c>
      <c r="Y6040" s="0" t="n">
        <f aca="false">SUMPRODUCT(MMULT(I6040:W6040,_XtX!$B$78:$P$92),I6040:W6040)</f>
        <v>0.457596628289474</v>
      </c>
      <c r="Z6040" s="0" t="n">
        <f aca="false">04_回帰ANOVA!$K$19*04_回帰ANOVA!$K$14*SQRT(1+Y6040)</f>
        <v>1.57368233664366</v>
      </c>
      <c r="AA6040" s="0" t="n">
        <f aca="false">X6040-Z6040</f>
        <v>43.6372734382102</v>
      </c>
      <c r="AB6040" s="0" t="n">
        <f aca="false">X6040+Z6040</f>
        <v>46.7846381114975</v>
      </c>
      <c r="AC6040" s="54" t="b">
        <f aca="false">AND(E6040&gt;=01_因子設定!$L$5-0.000000001,E6040&lt;=01_因子設定!$M$5+0.000000001,F6040&gt;=01_因子設定!$L$6-0.000000001,F6040&lt;=01_因子設定!$M$6+0.000000001,G6040&gt;=01_因子設定!$L$7-0.000000001,G6040&lt;=01_因子設定!$M$7+0.000000001,H6040&gt;=01_因子設定!$L$8-0.000000001,H6040&lt;=01_因子設定!$M$8+0.000000001,IF(01_因子設定!$B$20="Box-Behnken",E6040^2+F6040^2+G6040^2+H6040^2&lt;=2+0.000000001,TRUE()))</f>
        <v>1</v>
      </c>
      <c r="AD6040" s="55" t="n">
        <f aca="false">IF(AC6040,IF(01_因子設定!$B$13="最大化",AA6040-01_因子設定!$B$14,IF(01_因子設定!$B$13="最小化",01_因子設定!$B$15-AB6040,MIN(AA6040-01_因子設定!$B$14,01_因子設定!$B$15-AB6040))),-1E+030)</f>
        <v>-2.86272656178983</v>
      </c>
      <c r="AE6040" s="55" t="n">
        <f aca="false">IF(AC6040,IF(01_因子設定!$B$13="最大化",X6040,IF(01_因子設定!$B$13="最小化",-X6040,-ABS(X6040-01_因子設定!$B$16))),-1E+030)</f>
        <v>45.2109557748538</v>
      </c>
      <c r="AF6040" s="55" t="n">
        <f aca="false">AD6040+ROW()*0.000000001</f>
        <v>-2.86272052178983</v>
      </c>
      <c r="AG6040" s="55" t="n">
        <f aca="false">AE6040+ROW()*0.000000001</f>
        <v>45.2109618148538</v>
      </c>
    </row>
    <row r="6041" customFormat="false" ht="15" hidden="false" customHeight="false" outlineLevel="0" collapsed="false">
      <c r="A6041" s="0" t="n">
        <v>8</v>
      </c>
      <c r="B6041" s="0" t="n">
        <v>2</v>
      </c>
      <c r="C6041" s="0" t="n">
        <v>4</v>
      </c>
      <c r="D6041" s="0" t="n">
        <v>6</v>
      </c>
      <c r="E6041" s="0" t="n">
        <f aca="false">-1+A6041*0.25</f>
        <v>1</v>
      </c>
      <c r="F6041" s="0" t="n">
        <f aca="false">-1+B6041*0.25</f>
        <v>-0.5</v>
      </c>
      <c r="G6041" s="0" t="n">
        <f aca="false">-1+C6041*0.25</f>
        <v>0</v>
      </c>
      <c r="H6041" s="0" t="n">
        <f aca="false">-1+D6041*0.25</f>
        <v>0.5</v>
      </c>
      <c r="I6041" s="0" t="n">
        <f aca="false">1</f>
        <v>1</v>
      </c>
      <c r="J6041" s="0" t="n">
        <f aca="false">E6041</f>
        <v>1</v>
      </c>
      <c r="K6041" s="0" t="n">
        <f aca="false">F6041</f>
        <v>-0.5</v>
      </c>
      <c r="L6041" s="0" t="n">
        <f aca="false">G6041</f>
        <v>0</v>
      </c>
      <c r="M6041" s="0" t="n">
        <f aca="false">H6041</f>
        <v>0.5</v>
      </c>
      <c r="N6041" s="0" t="n">
        <f aca="false">E6041*F6041</f>
        <v>-0.5</v>
      </c>
      <c r="O6041" s="0" t="n">
        <f aca="false">E6041*G6041</f>
        <v>0</v>
      </c>
      <c r="P6041" s="0" t="n">
        <f aca="false">E6041*H6041</f>
        <v>0.5</v>
      </c>
      <c r="Q6041" s="0" t="n">
        <f aca="false">F6041*G6041</f>
        <v>-0</v>
      </c>
      <c r="R6041" s="0" t="n">
        <f aca="false">F6041*H6041</f>
        <v>-0.25</v>
      </c>
      <c r="S6041" s="0" t="n">
        <f aca="false">G6041*H6041</f>
        <v>0</v>
      </c>
      <c r="T6041" s="0" t="n">
        <f aca="false">E6041*E6041</f>
        <v>1</v>
      </c>
      <c r="U6041" s="0" t="n">
        <f aca="false">F6041*F6041</f>
        <v>0.25</v>
      </c>
      <c r="V6041" s="0" t="n">
        <f aca="false">G6041*G6041</f>
        <v>0</v>
      </c>
      <c r="W6041" s="0" t="n">
        <f aca="false">H6041*H6041</f>
        <v>0.25</v>
      </c>
      <c r="X6041" s="0" t="n">
        <f aca="false">SUMPRODUCT(I6041:W6041,_XtX!$B$96:$P$96)</f>
        <v>45.2984466374269</v>
      </c>
      <c r="Y6041" s="0" t="n">
        <f aca="false">SUMPRODUCT(MMULT(I6041:W6041,_XtX!$B$78:$P$92),I6041:W6041)</f>
        <v>0.441954495614035</v>
      </c>
      <c r="Z6041" s="0" t="n">
        <f aca="false">04_回帰ANOVA!$K$19*04_回帰ANOVA!$K$14*SQRT(1+Y6041)</f>
        <v>1.56521560968066</v>
      </c>
      <c r="AA6041" s="0" t="n">
        <f aca="false">X6041-Z6041</f>
        <v>43.7332310277463</v>
      </c>
      <c r="AB6041" s="0" t="n">
        <f aca="false">X6041+Z6041</f>
        <v>46.8636622471076</v>
      </c>
      <c r="AC6041" s="54" t="b">
        <f aca="false">AND(E6041&gt;=01_因子設定!$L$5-0.000000001,E6041&lt;=01_因子設定!$M$5+0.000000001,F6041&gt;=01_因子設定!$L$6-0.000000001,F6041&lt;=01_因子設定!$M$6+0.000000001,G6041&gt;=01_因子設定!$L$7-0.000000001,G6041&lt;=01_因子設定!$M$7+0.000000001,H6041&gt;=01_因子設定!$L$8-0.000000001,H6041&lt;=01_因子設定!$M$8+0.000000001,IF(01_因子設定!$B$20="Box-Behnken",E6041^2+F6041^2+G6041^2+H6041^2&lt;=2+0.000000001,TRUE()))</f>
        <v>1</v>
      </c>
      <c r="AD6041" s="55" t="n">
        <f aca="false">IF(AC6041,IF(01_因子設定!$B$13="最大化",AA6041-01_因子設定!$B$14,IF(01_因子設定!$B$13="最小化",01_因子設定!$B$15-AB6041,MIN(AA6041-01_因子設定!$B$14,01_因子設定!$B$15-AB6041))),-1E+030)</f>
        <v>-2.76676897225373</v>
      </c>
      <c r="AE6041" s="55" t="n">
        <f aca="false">IF(AC6041,IF(01_因子設定!$B$13="最大化",X6041,IF(01_因子設定!$B$13="最小化",-X6041,-ABS(X6041-01_因子設定!$B$16))),-1E+030)</f>
        <v>45.2984466374269</v>
      </c>
      <c r="AF6041" s="55" t="n">
        <f aca="false">AD6041+ROW()*0.000000001</f>
        <v>-2.76676293125373</v>
      </c>
      <c r="AG6041" s="55" t="n">
        <f aca="false">AE6041+ROW()*0.000000001</f>
        <v>45.2984526784269</v>
      </c>
    </row>
    <row r="6042" customFormat="false" ht="15" hidden="false" customHeight="false" outlineLevel="0" collapsed="false">
      <c r="A6042" s="0" t="n">
        <v>8</v>
      </c>
      <c r="B6042" s="0" t="n">
        <v>2</v>
      </c>
      <c r="C6042" s="0" t="n">
        <v>4</v>
      </c>
      <c r="D6042" s="0" t="n">
        <v>7</v>
      </c>
      <c r="E6042" s="0" t="n">
        <f aca="false">-1+A6042*0.25</f>
        <v>1</v>
      </c>
      <c r="F6042" s="0" t="n">
        <f aca="false">-1+B6042*0.25</f>
        <v>-0.5</v>
      </c>
      <c r="G6042" s="0" t="n">
        <f aca="false">-1+C6042*0.25</f>
        <v>0</v>
      </c>
      <c r="H6042" s="0" t="n">
        <f aca="false">-1+D6042*0.25</f>
        <v>0.75</v>
      </c>
      <c r="I6042" s="0" t="n">
        <f aca="false">1</f>
        <v>1</v>
      </c>
      <c r="J6042" s="0" t="n">
        <f aca="false">E6042</f>
        <v>1</v>
      </c>
      <c r="K6042" s="0" t="n">
        <f aca="false">F6042</f>
        <v>-0.5</v>
      </c>
      <c r="L6042" s="0" t="n">
        <f aca="false">G6042</f>
        <v>0</v>
      </c>
      <c r="M6042" s="0" t="n">
        <f aca="false">H6042</f>
        <v>0.75</v>
      </c>
      <c r="N6042" s="0" t="n">
        <f aca="false">E6042*F6042</f>
        <v>-0.5</v>
      </c>
      <c r="O6042" s="0" t="n">
        <f aca="false">E6042*G6042</f>
        <v>0</v>
      </c>
      <c r="P6042" s="0" t="n">
        <f aca="false">E6042*H6042</f>
        <v>0.75</v>
      </c>
      <c r="Q6042" s="0" t="n">
        <f aca="false">F6042*G6042</f>
        <v>-0</v>
      </c>
      <c r="R6042" s="0" t="n">
        <f aca="false">F6042*H6042</f>
        <v>-0.375</v>
      </c>
      <c r="S6042" s="0" t="n">
        <f aca="false">G6042*H6042</f>
        <v>0</v>
      </c>
      <c r="T6042" s="0" t="n">
        <f aca="false">E6042*E6042</f>
        <v>1</v>
      </c>
      <c r="U6042" s="0" t="n">
        <f aca="false">F6042*F6042</f>
        <v>0.25</v>
      </c>
      <c r="V6042" s="0" t="n">
        <f aca="false">G6042*G6042</f>
        <v>0</v>
      </c>
      <c r="W6042" s="0" t="n">
        <f aca="false">H6042*H6042</f>
        <v>0.5625</v>
      </c>
      <c r="X6042" s="0" t="n">
        <f aca="false">SUMPRODUCT(I6042:W6042,_XtX!$B$96:$P$96)</f>
        <v>45.3381304824562</v>
      </c>
      <c r="Y6042" s="0" t="n">
        <f aca="false">SUMPRODUCT(MMULT(I6042:W6042,_XtX!$B$78:$P$92),I6042:W6042)</f>
        <v>0.476191292032164</v>
      </c>
      <c r="Z6042" s="0" t="n">
        <f aca="false">04_回帰ANOVA!$K$19*04_回帰ANOVA!$K$14*SQRT(1+Y6042)</f>
        <v>1.58368831471718</v>
      </c>
      <c r="AA6042" s="0" t="n">
        <f aca="false">X6042-Z6042</f>
        <v>43.754442167739</v>
      </c>
      <c r="AB6042" s="0" t="n">
        <f aca="false">X6042+Z6042</f>
        <v>46.9218187971734</v>
      </c>
      <c r="AC6042" s="54" t="b">
        <f aca="false">AND(E6042&gt;=01_因子設定!$L$5-0.000000001,E6042&lt;=01_因子設定!$M$5+0.000000001,F6042&gt;=01_因子設定!$L$6-0.000000001,F6042&lt;=01_因子設定!$M$6+0.000000001,G6042&gt;=01_因子設定!$L$7-0.000000001,G6042&lt;=01_因子設定!$M$7+0.000000001,H6042&gt;=01_因子設定!$L$8-0.000000001,H6042&lt;=01_因子設定!$M$8+0.000000001,IF(01_因子設定!$B$20="Box-Behnken",E6042^2+F6042^2+G6042^2+H6042^2&lt;=2+0.000000001,TRUE()))</f>
        <v>1</v>
      </c>
      <c r="AD6042" s="55" t="n">
        <f aca="false">IF(AC6042,IF(01_因子設定!$B$13="最大化",AA6042-01_因子設定!$B$14,IF(01_因子設定!$B$13="最小化",01_因子設定!$B$15-AB6042,MIN(AA6042-01_因子設定!$B$14,01_因子設定!$B$15-AB6042))),-1E+030)</f>
        <v>-2.74555783226099</v>
      </c>
      <c r="AE6042" s="55" t="n">
        <f aca="false">IF(AC6042,IF(01_因子設定!$B$13="最大化",X6042,IF(01_因子設定!$B$13="最小化",-X6042,-ABS(X6042-01_因子設定!$B$16))),-1E+030)</f>
        <v>45.3381304824562</v>
      </c>
      <c r="AF6042" s="55" t="n">
        <f aca="false">AD6042+ROW()*0.000000001</f>
        <v>-2.74555179026099</v>
      </c>
      <c r="AG6042" s="55" t="n">
        <f aca="false">AE6042+ROW()*0.000000001</f>
        <v>45.3381365244562</v>
      </c>
    </row>
    <row r="6043" customFormat="false" ht="15" hidden="false" customHeight="false" outlineLevel="0" collapsed="false">
      <c r="A6043" s="0" t="n">
        <v>8</v>
      </c>
      <c r="B6043" s="0" t="n">
        <v>2</v>
      </c>
      <c r="C6043" s="0" t="n">
        <v>4</v>
      </c>
      <c r="D6043" s="0" t="n">
        <v>8</v>
      </c>
      <c r="E6043" s="0" t="n">
        <f aca="false">-1+A6043*0.25</f>
        <v>1</v>
      </c>
      <c r="F6043" s="0" t="n">
        <f aca="false">-1+B6043*0.25</f>
        <v>-0.5</v>
      </c>
      <c r="G6043" s="0" t="n">
        <f aca="false">-1+C6043*0.25</f>
        <v>0</v>
      </c>
      <c r="H6043" s="0" t="n">
        <f aca="false">-1+D6043*0.25</f>
        <v>1</v>
      </c>
      <c r="I6043" s="0" t="n">
        <f aca="false">1</f>
        <v>1</v>
      </c>
      <c r="J6043" s="0" t="n">
        <f aca="false">E6043</f>
        <v>1</v>
      </c>
      <c r="K6043" s="0" t="n">
        <f aca="false">F6043</f>
        <v>-0.5</v>
      </c>
      <c r="L6043" s="0" t="n">
        <f aca="false">G6043</f>
        <v>0</v>
      </c>
      <c r="M6043" s="0" t="n">
        <f aca="false">H6043</f>
        <v>1</v>
      </c>
      <c r="N6043" s="0" t="n">
        <f aca="false">E6043*F6043</f>
        <v>-0.5</v>
      </c>
      <c r="O6043" s="0" t="n">
        <f aca="false">E6043*G6043</f>
        <v>0</v>
      </c>
      <c r="P6043" s="0" t="n">
        <f aca="false">E6043*H6043</f>
        <v>1</v>
      </c>
      <c r="Q6043" s="0" t="n">
        <f aca="false">F6043*G6043</f>
        <v>-0</v>
      </c>
      <c r="R6043" s="0" t="n">
        <f aca="false">F6043*H6043</f>
        <v>-0.5</v>
      </c>
      <c r="S6043" s="0" t="n">
        <f aca="false">G6043*H6043</f>
        <v>0</v>
      </c>
      <c r="T6043" s="0" t="n">
        <f aca="false">E6043*E6043</f>
        <v>1</v>
      </c>
      <c r="U6043" s="0" t="n">
        <f aca="false">F6043*F6043</f>
        <v>0.25</v>
      </c>
      <c r="V6043" s="0" t="n">
        <f aca="false">G6043*G6043</f>
        <v>0</v>
      </c>
      <c r="W6043" s="0" t="n">
        <f aca="false">H6043*H6043</f>
        <v>1</v>
      </c>
      <c r="X6043" s="0" t="n">
        <f aca="false">SUMPRODUCT(I6043:W6043,_XtX!$B$96:$P$96)</f>
        <v>45.3300073099416</v>
      </c>
      <c r="Y6043" s="0" t="n">
        <f aca="false">SUMPRODUCT(MMULT(I6043:W6043,_XtX!$B$78:$P$92),I6043:W6043)</f>
        <v>0.650767543859649</v>
      </c>
      <c r="Z6043" s="0" t="n">
        <f aca="false">04_回帰ANOVA!$K$19*04_回帰ANOVA!$K$14*SQRT(1+Y6043)</f>
        <v>1.67471670935165</v>
      </c>
      <c r="AA6043" s="0" t="n">
        <f aca="false">X6043-Z6043</f>
        <v>43.6552906005899</v>
      </c>
      <c r="AB6043" s="0" t="n">
        <f aca="false">X6043+Z6043</f>
        <v>47.0047240192932</v>
      </c>
      <c r="AC6043" s="54" t="b">
        <f aca="false">AND(E6043&gt;=01_因子設定!$L$5-0.000000001,E6043&lt;=01_因子設定!$M$5+0.000000001,F6043&gt;=01_因子設定!$L$6-0.000000001,F6043&lt;=01_因子設定!$M$6+0.000000001,G6043&gt;=01_因子設定!$L$7-0.000000001,G6043&lt;=01_因子設定!$M$7+0.000000001,H6043&gt;=01_因子設定!$L$8-0.000000001,H6043&lt;=01_因子設定!$M$8+0.000000001,IF(01_因子設定!$B$20="Box-Behnken",E6043^2+F6043^2+G6043^2+H6043^2&lt;=2+0.000000001,TRUE()))</f>
        <v>1</v>
      </c>
      <c r="AD6043" s="55" t="n">
        <f aca="false">IF(AC6043,IF(01_因子設定!$B$13="最大化",AA6043-01_因子設定!$B$14,IF(01_因子設定!$B$13="最小化",01_因子設定!$B$15-AB6043,MIN(AA6043-01_因子設定!$B$14,01_因子設定!$B$15-AB6043))),-1E+030)</f>
        <v>-2.84470939941007</v>
      </c>
      <c r="AE6043" s="55" t="n">
        <f aca="false">IF(AC6043,IF(01_因子設定!$B$13="最大化",X6043,IF(01_因子設定!$B$13="最小化",-X6043,-ABS(X6043-01_因子設定!$B$16))),-1E+030)</f>
        <v>45.3300073099416</v>
      </c>
      <c r="AF6043" s="55" t="n">
        <f aca="false">AD6043+ROW()*0.000000001</f>
        <v>-2.84470335641007</v>
      </c>
      <c r="AG6043" s="55" t="n">
        <f aca="false">AE6043+ROW()*0.000000001</f>
        <v>45.3300133529416</v>
      </c>
    </row>
    <row r="6044" customFormat="false" ht="15" hidden="false" customHeight="false" outlineLevel="0" collapsed="false">
      <c r="A6044" s="0" t="n">
        <v>8</v>
      </c>
      <c r="B6044" s="0" t="n">
        <v>2</v>
      </c>
      <c r="C6044" s="0" t="n">
        <v>5</v>
      </c>
      <c r="D6044" s="0" t="n">
        <v>0</v>
      </c>
      <c r="E6044" s="0" t="n">
        <f aca="false">-1+A6044*0.25</f>
        <v>1</v>
      </c>
      <c r="F6044" s="0" t="n">
        <f aca="false">-1+B6044*0.25</f>
        <v>-0.5</v>
      </c>
      <c r="G6044" s="0" t="n">
        <f aca="false">-1+C6044*0.25</f>
        <v>0.25</v>
      </c>
      <c r="H6044" s="0" t="n">
        <f aca="false">-1+D6044*0.25</f>
        <v>-1</v>
      </c>
      <c r="I6044" s="0" t="n">
        <f aca="false">1</f>
        <v>1</v>
      </c>
      <c r="J6044" s="0" t="n">
        <f aca="false">E6044</f>
        <v>1</v>
      </c>
      <c r="K6044" s="0" t="n">
        <f aca="false">F6044</f>
        <v>-0.5</v>
      </c>
      <c r="L6044" s="0" t="n">
        <f aca="false">G6044</f>
        <v>0.25</v>
      </c>
      <c r="M6044" s="0" t="n">
        <f aca="false">H6044</f>
        <v>-1</v>
      </c>
      <c r="N6044" s="0" t="n">
        <f aca="false">E6044*F6044</f>
        <v>-0.5</v>
      </c>
      <c r="O6044" s="0" t="n">
        <f aca="false">E6044*G6044</f>
        <v>0.25</v>
      </c>
      <c r="P6044" s="0" t="n">
        <f aca="false">E6044*H6044</f>
        <v>-1</v>
      </c>
      <c r="Q6044" s="0" t="n">
        <f aca="false">F6044*G6044</f>
        <v>-0.125</v>
      </c>
      <c r="R6044" s="0" t="n">
        <f aca="false">F6044*H6044</f>
        <v>0.5</v>
      </c>
      <c r="S6044" s="0" t="n">
        <f aca="false">G6044*H6044</f>
        <v>-0.25</v>
      </c>
      <c r="T6044" s="0" t="n">
        <f aca="false">E6044*E6044</f>
        <v>1</v>
      </c>
      <c r="U6044" s="0" t="n">
        <f aca="false">F6044*F6044</f>
        <v>0.25</v>
      </c>
      <c r="V6044" s="0" t="n">
        <f aca="false">G6044*G6044</f>
        <v>0.0625</v>
      </c>
      <c r="W6044" s="0" t="n">
        <f aca="false">H6044*H6044</f>
        <v>1</v>
      </c>
      <c r="X6044" s="0" t="n">
        <f aca="false">SUMPRODUCT(I6044:W6044,_XtX!$B$96:$P$96)</f>
        <v>43.9861385233919</v>
      </c>
      <c r="Y6044" s="0" t="n">
        <f aca="false">SUMPRODUCT(MMULT(I6044:W6044,_XtX!$B$78:$P$92),I6044:W6044)</f>
        <v>0.629174661915205</v>
      </c>
      <c r="Z6044" s="0" t="n">
        <f aca="false">04_回帰ANOVA!$K$19*04_回帰ANOVA!$K$14*SQRT(1+Y6044)</f>
        <v>1.66372758058297</v>
      </c>
      <c r="AA6044" s="0" t="n">
        <f aca="false">X6044-Z6044</f>
        <v>42.3224109428089</v>
      </c>
      <c r="AB6044" s="0" t="n">
        <f aca="false">X6044+Z6044</f>
        <v>45.6498661039748</v>
      </c>
      <c r="AC6044" s="54" t="b">
        <f aca="false">AND(E6044&gt;=01_因子設定!$L$5-0.000000001,E6044&lt;=01_因子設定!$M$5+0.000000001,F6044&gt;=01_因子設定!$L$6-0.000000001,F6044&lt;=01_因子設定!$M$6+0.000000001,G6044&gt;=01_因子設定!$L$7-0.000000001,G6044&lt;=01_因子設定!$M$7+0.000000001,H6044&gt;=01_因子設定!$L$8-0.000000001,H6044&lt;=01_因子設定!$M$8+0.000000001,IF(01_因子設定!$B$20="Box-Behnken",E6044^2+F6044^2+G6044^2+H6044^2&lt;=2+0.000000001,TRUE()))</f>
        <v>1</v>
      </c>
      <c r="AD6044" s="55" t="n">
        <f aca="false">IF(AC6044,IF(01_因子設定!$B$13="最大化",AA6044-01_因子設定!$B$14,IF(01_因子設定!$B$13="最小化",01_因子設定!$B$15-AB6044,MIN(AA6044-01_因子設定!$B$14,01_因子設定!$B$15-AB6044))),-1E+030)</f>
        <v>-4.1775890571911</v>
      </c>
      <c r="AE6044" s="55" t="n">
        <f aca="false">IF(AC6044,IF(01_因子設定!$B$13="最大化",X6044,IF(01_因子設定!$B$13="最小化",-X6044,-ABS(X6044-01_因子設定!$B$16))),-1E+030)</f>
        <v>43.9861385233919</v>
      </c>
      <c r="AF6044" s="55" t="n">
        <f aca="false">AD6044+ROW()*0.000000001</f>
        <v>-4.1775830131911</v>
      </c>
      <c r="AG6044" s="55" t="n">
        <f aca="false">AE6044+ROW()*0.000000001</f>
        <v>43.9861445673919</v>
      </c>
    </row>
    <row r="6045" customFormat="false" ht="15" hidden="false" customHeight="false" outlineLevel="0" collapsed="false">
      <c r="A6045" s="0" t="n">
        <v>8</v>
      </c>
      <c r="B6045" s="0" t="n">
        <v>2</v>
      </c>
      <c r="C6045" s="0" t="n">
        <v>5</v>
      </c>
      <c r="D6045" s="0" t="n">
        <v>1</v>
      </c>
      <c r="E6045" s="0" t="n">
        <f aca="false">-1+A6045*0.25</f>
        <v>1</v>
      </c>
      <c r="F6045" s="0" t="n">
        <f aca="false">-1+B6045*0.25</f>
        <v>-0.5</v>
      </c>
      <c r="G6045" s="0" t="n">
        <f aca="false">-1+C6045*0.25</f>
        <v>0.25</v>
      </c>
      <c r="H6045" s="0" t="n">
        <f aca="false">-1+D6045*0.25</f>
        <v>-0.75</v>
      </c>
      <c r="I6045" s="0" t="n">
        <f aca="false">1</f>
        <v>1</v>
      </c>
      <c r="J6045" s="0" t="n">
        <f aca="false">E6045</f>
        <v>1</v>
      </c>
      <c r="K6045" s="0" t="n">
        <f aca="false">F6045</f>
        <v>-0.5</v>
      </c>
      <c r="L6045" s="0" t="n">
        <f aca="false">G6045</f>
        <v>0.25</v>
      </c>
      <c r="M6045" s="0" t="n">
        <f aca="false">H6045</f>
        <v>-0.75</v>
      </c>
      <c r="N6045" s="0" t="n">
        <f aca="false">E6045*F6045</f>
        <v>-0.5</v>
      </c>
      <c r="O6045" s="0" t="n">
        <f aca="false">E6045*G6045</f>
        <v>0.25</v>
      </c>
      <c r="P6045" s="0" t="n">
        <f aca="false">E6045*H6045</f>
        <v>-0.75</v>
      </c>
      <c r="Q6045" s="0" t="n">
        <f aca="false">F6045*G6045</f>
        <v>-0.125</v>
      </c>
      <c r="R6045" s="0" t="n">
        <f aca="false">F6045*H6045</f>
        <v>0.375</v>
      </c>
      <c r="S6045" s="0" t="n">
        <f aca="false">G6045*H6045</f>
        <v>-0.1875</v>
      </c>
      <c r="T6045" s="0" t="n">
        <f aca="false">E6045*E6045</f>
        <v>1</v>
      </c>
      <c r="U6045" s="0" t="n">
        <f aca="false">F6045*F6045</f>
        <v>0.25</v>
      </c>
      <c r="V6045" s="0" t="n">
        <f aca="false">G6045*G6045</f>
        <v>0.0625</v>
      </c>
      <c r="W6045" s="0" t="n">
        <f aca="false">H6045*H6045</f>
        <v>0.5625</v>
      </c>
      <c r="X6045" s="0" t="n">
        <f aca="false">SUMPRODUCT(I6045:W6045,_XtX!$B$96:$P$96)</f>
        <v>44.3306332236843</v>
      </c>
      <c r="Y6045" s="0" t="n">
        <f aca="false">SUMPRODUCT(MMULT(I6045:W6045,_XtX!$B$78:$P$92),I6045:W6045)</f>
        <v>0.459125719572369</v>
      </c>
      <c r="Z6045" s="0" t="n">
        <f aca="false">04_回帰ANOVA!$K$19*04_回帰ANOVA!$K$14*SQRT(1+Y6045)</f>
        <v>1.57450755575573</v>
      </c>
      <c r="AA6045" s="0" t="n">
        <f aca="false">X6045-Z6045</f>
        <v>42.7561256679285</v>
      </c>
      <c r="AB6045" s="0" t="n">
        <f aca="false">X6045+Z6045</f>
        <v>45.90514077944</v>
      </c>
      <c r="AC6045" s="54" t="b">
        <f aca="false">AND(E6045&gt;=01_因子設定!$L$5-0.000000001,E6045&lt;=01_因子設定!$M$5+0.000000001,F6045&gt;=01_因子設定!$L$6-0.000000001,F6045&lt;=01_因子設定!$M$6+0.000000001,G6045&gt;=01_因子設定!$L$7-0.000000001,G6045&lt;=01_因子設定!$M$7+0.000000001,H6045&gt;=01_因子設定!$L$8-0.000000001,H6045&lt;=01_因子設定!$M$8+0.000000001,IF(01_因子設定!$B$20="Box-Behnken",E6045^2+F6045^2+G6045^2+H6045^2&lt;=2+0.000000001,TRUE()))</f>
        <v>1</v>
      </c>
      <c r="AD6045" s="55" t="n">
        <f aca="false">IF(AC6045,IF(01_因子設定!$B$13="最大化",AA6045-01_因子設定!$B$14,IF(01_因子設定!$B$13="最小化",01_因子設定!$B$15-AB6045,MIN(AA6045-01_因子設定!$B$14,01_因子設定!$B$15-AB6045))),-1E+030)</f>
        <v>-3.74387433207147</v>
      </c>
      <c r="AE6045" s="55" t="n">
        <f aca="false">IF(AC6045,IF(01_因子設定!$B$13="最大化",X6045,IF(01_因子設定!$B$13="最小化",-X6045,-ABS(X6045-01_因子設定!$B$16))),-1E+030)</f>
        <v>44.3306332236843</v>
      </c>
      <c r="AF6045" s="55" t="n">
        <f aca="false">AD6045+ROW()*0.000000001</f>
        <v>-3.74386828707147</v>
      </c>
      <c r="AG6045" s="55" t="n">
        <f aca="false">AE6045+ROW()*0.000000001</f>
        <v>44.3306392686843</v>
      </c>
    </row>
    <row r="6046" customFormat="false" ht="15" hidden="false" customHeight="false" outlineLevel="0" collapsed="false">
      <c r="A6046" s="0" t="n">
        <v>8</v>
      </c>
      <c r="B6046" s="0" t="n">
        <v>2</v>
      </c>
      <c r="C6046" s="0" t="n">
        <v>5</v>
      </c>
      <c r="D6046" s="0" t="n">
        <v>2</v>
      </c>
      <c r="E6046" s="0" t="n">
        <f aca="false">-1+A6046*0.25</f>
        <v>1</v>
      </c>
      <c r="F6046" s="0" t="n">
        <f aca="false">-1+B6046*0.25</f>
        <v>-0.5</v>
      </c>
      <c r="G6046" s="0" t="n">
        <f aca="false">-1+C6046*0.25</f>
        <v>0.25</v>
      </c>
      <c r="H6046" s="0" t="n">
        <f aca="false">-1+D6046*0.25</f>
        <v>-0.5</v>
      </c>
      <c r="I6046" s="0" t="n">
        <f aca="false">1</f>
        <v>1</v>
      </c>
      <c r="J6046" s="0" t="n">
        <f aca="false">E6046</f>
        <v>1</v>
      </c>
      <c r="K6046" s="0" t="n">
        <f aca="false">F6046</f>
        <v>-0.5</v>
      </c>
      <c r="L6046" s="0" t="n">
        <f aca="false">G6046</f>
        <v>0.25</v>
      </c>
      <c r="M6046" s="0" t="n">
        <f aca="false">H6046</f>
        <v>-0.5</v>
      </c>
      <c r="N6046" s="0" t="n">
        <f aca="false">E6046*F6046</f>
        <v>-0.5</v>
      </c>
      <c r="O6046" s="0" t="n">
        <f aca="false">E6046*G6046</f>
        <v>0.25</v>
      </c>
      <c r="P6046" s="0" t="n">
        <f aca="false">E6046*H6046</f>
        <v>-0.5</v>
      </c>
      <c r="Q6046" s="0" t="n">
        <f aca="false">F6046*G6046</f>
        <v>-0.125</v>
      </c>
      <c r="R6046" s="0" t="n">
        <f aca="false">F6046*H6046</f>
        <v>0.25</v>
      </c>
      <c r="S6046" s="0" t="n">
        <f aca="false">G6046*H6046</f>
        <v>-0.125</v>
      </c>
      <c r="T6046" s="0" t="n">
        <f aca="false">E6046*E6046</f>
        <v>1</v>
      </c>
      <c r="U6046" s="0" t="n">
        <f aca="false">F6046*F6046</f>
        <v>0.25</v>
      </c>
      <c r="V6046" s="0" t="n">
        <f aca="false">G6046*G6046</f>
        <v>0.0625</v>
      </c>
      <c r="W6046" s="0" t="n">
        <f aca="false">H6046*H6046</f>
        <v>0.25</v>
      </c>
      <c r="X6046" s="0" t="n">
        <f aca="false">SUMPRODUCT(I6046:W6046,_XtX!$B$96:$P$96)</f>
        <v>44.6273209064328</v>
      </c>
      <c r="Y6046" s="0" t="n">
        <f aca="false">SUMPRODUCT(MMULT(I6046:W6046,_XtX!$B$78:$P$92),I6046:W6046)</f>
        <v>0.428122715643275</v>
      </c>
      <c r="Z6046" s="0" t="n">
        <f aca="false">04_回帰ANOVA!$K$19*04_回帰ANOVA!$K$14*SQRT(1+Y6046)</f>
        <v>1.55769044623229</v>
      </c>
      <c r="AA6046" s="0" t="n">
        <f aca="false">X6046-Z6046</f>
        <v>43.0696304602005</v>
      </c>
      <c r="AB6046" s="0" t="n">
        <f aca="false">X6046+Z6046</f>
        <v>46.1850113526651</v>
      </c>
      <c r="AC6046" s="54" t="b">
        <f aca="false">AND(E6046&gt;=01_因子設定!$L$5-0.000000001,E6046&lt;=01_因子設定!$M$5+0.000000001,F6046&gt;=01_因子設定!$L$6-0.000000001,F6046&lt;=01_因子設定!$M$6+0.000000001,G6046&gt;=01_因子設定!$L$7-0.000000001,G6046&lt;=01_因子設定!$M$7+0.000000001,H6046&gt;=01_因子設定!$L$8-0.000000001,H6046&lt;=01_因子設定!$M$8+0.000000001,IF(01_因子設定!$B$20="Box-Behnken",E6046^2+F6046^2+G6046^2+H6046^2&lt;=2+0.000000001,TRUE()))</f>
        <v>1</v>
      </c>
      <c r="AD6046" s="55" t="n">
        <f aca="false">IF(AC6046,IF(01_因子設定!$B$13="最大化",AA6046-01_因子設定!$B$14,IF(01_因子設定!$B$13="最小化",01_因子設定!$B$15-AB6046,MIN(AA6046-01_因子設定!$B$14,01_因子設定!$B$15-AB6046))),-1E+030)</f>
        <v>-3.43036953979951</v>
      </c>
      <c r="AE6046" s="55" t="n">
        <f aca="false">IF(AC6046,IF(01_因子設定!$B$13="最大化",X6046,IF(01_因子設定!$B$13="最小化",-X6046,-ABS(X6046-01_因子設定!$B$16))),-1E+030)</f>
        <v>44.6273209064328</v>
      </c>
      <c r="AF6046" s="55" t="n">
        <f aca="false">AD6046+ROW()*0.000000001</f>
        <v>-3.43036349379951</v>
      </c>
      <c r="AG6046" s="55" t="n">
        <f aca="false">AE6046+ROW()*0.000000001</f>
        <v>44.6273269524328</v>
      </c>
    </row>
    <row r="6047" customFormat="false" ht="15" hidden="false" customHeight="false" outlineLevel="0" collapsed="false">
      <c r="A6047" s="0" t="n">
        <v>8</v>
      </c>
      <c r="B6047" s="0" t="n">
        <v>2</v>
      </c>
      <c r="C6047" s="0" t="n">
        <v>5</v>
      </c>
      <c r="D6047" s="0" t="n">
        <v>3</v>
      </c>
      <c r="E6047" s="0" t="n">
        <f aca="false">-1+A6047*0.25</f>
        <v>1</v>
      </c>
      <c r="F6047" s="0" t="n">
        <f aca="false">-1+B6047*0.25</f>
        <v>-0.5</v>
      </c>
      <c r="G6047" s="0" t="n">
        <f aca="false">-1+C6047*0.25</f>
        <v>0.25</v>
      </c>
      <c r="H6047" s="0" t="n">
        <f aca="false">-1+D6047*0.25</f>
        <v>-0.25</v>
      </c>
      <c r="I6047" s="0" t="n">
        <f aca="false">1</f>
        <v>1</v>
      </c>
      <c r="J6047" s="0" t="n">
        <f aca="false">E6047</f>
        <v>1</v>
      </c>
      <c r="K6047" s="0" t="n">
        <f aca="false">F6047</f>
        <v>-0.5</v>
      </c>
      <c r="L6047" s="0" t="n">
        <f aca="false">G6047</f>
        <v>0.25</v>
      </c>
      <c r="M6047" s="0" t="n">
        <f aca="false">H6047</f>
        <v>-0.25</v>
      </c>
      <c r="N6047" s="0" t="n">
        <f aca="false">E6047*F6047</f>
        <v>-0.5</v>
      </c>
      <c r="O6047" s="0" t="n">
        <f aca="false">E6047*G6047</f>
        <v>0.25</v>
      </c>
      <c r="P6047" s="0" t="n">
        <f aca="false">E6047*H6047</f>
        <v>-0.25</v>
      </c>
      <c r="Q6047" s="0" t="n">
        <f aca="false">F6047*G6047</f>
        <v>-0.125</v>
      </c>
      <c r="R6047" s="0" t="n">
        <f aca="false">F6047*H6047</f>
        <v>0.125</v>
      </c>
      <c r="S6047" s="0" t="n">
        <f aca="false">G6047*H6047</f>
        <v>-0.0625</v>
      </c>
      <c r="T6047" s="0" t="n">
        <f aca="false">E6047*E6047</f>
        <v>1</v>
      </c>
      <c r="U6047" s="0" t="n">
        <f aca="false">F6047*F6047</f>
        <v>0.25</v>
      </c>
      <c r="V6047" s="0" t="n">
        <f aca="false">G6047*G6047</f>
        <v>0.0625</v>
      </c>
      <c r="W6047" s="0" t="n">
        <f aca="false">H6047*H6047</f>
        <v>0.0625</v>
      </c>
      <c r="X6047" s="0" t="n">
        <f aca="false">SUMPRODUCT(I6047:W6047,_XtX!$B$96:$P$96)</f>
        <v>44.8762015716375</v>
      </c>
      <c r="Y6047" s="0" t="n">
        <f aca="false">SUMPRODUCT(MMULT(I6047:W6047,_XtX!$B$78:$P$92),I6047:W6047)</f>
        <v>0.445705123812135</v>
      </c>
      <c r="Z6047" s="0" t="n">
        <f aca="false">04_回帰ANOVA!$K$19*04_回帰ANOVA!$K$14*SQRT(1+Y6047)</f>
        <v>1.56724990734749</v>
      </c>
      <c r="AA6047" s="0" t="n">
        <f aca="false">X6047-Z6047</f>
        <v>43.30895166429</v>
      </c>
      <c r="AB6047" s="0" t="n">
        <f aca="false">X6047+Z6047</f>
        <v>46.4434514789849</v>
      </c>
      <c r="AC6047" s="54" t="b">
        <f aca="false">AND(E6047&gt;=01_因子設定!$L$5-0.000000001,E6047&lt;=01_因子設定!$M$5+0.000000001,F6047&gt;=01_因子設定!$L$6-0.000000001,F6047&lt;=01_因子設定!$M$6+0.000000001,G6047&gt;=01_因子設定!$L$7-0.000000001,G6047&lt;=01_因子設定!$M$7+0.000000001,H6047&gt;=01_因子設定!$L$8-0.000000001,H6047&lt;=01_因子設定!$M$8+0.000000001,IF(01_因子設定!$B$20="Box-Behnken",E6047^2+F6047^2+G6047^2+H6047^2&lt;=2+0.000000001,TRUE()))</f>
        <v>1</v>
      </c>
      <c r="AD6047" s="55" t="n">
        <f aca="false">IF(AC6047,IF(01_因子設定!$B$13="最大化",AA6047-01_因子設定!$B$14,IF(01_因子設定!$B$13="最小化",01_因子設定!$B$15-AB6047,MIN(AA6047-01_因子設定!$B$14,01_因子設定!$B$15-AB6047))),-1E+030)</f>
        <v>-3.19104833571004</v>
      </c>
      <c r="AE6047" s="55" t="n">
        <f aca="false">IF(AC6047,IF(01_因子設定!$B$13="最大化",X6047,IF(01_因子設定!$B$13="最小化",-X6047,-ABS(X6047-01_因子設定!$B$16))),-1E+030)</f>
        <v>44.8762015716375</v>
      </c>
      <c r="AF6047" s="55" t="n">
        <f aca="false">AD6047+ROW()*0.000000001</f>
        <v>-3.19104228871004</v>
      </c>
      <c r="AG6047" s="55" t="n">
        <f aca="false">AE6047+ROW()*0.000000001</f>
        <v>44.8762076186375</v>
      </c>
    </row>
    <row r="6048" customFormat="false" ht="15" hidden="false" customHeight="false" outlineLevel="0" collapsed="false">
      <c r="A6048" s="0" t="n">
        <v>8</v>
      </c>
      <c r="B6048" s="0" t="n">
        <v>2</v>
      </c>
      <c r="C6048" s="0" t="n">
        <v>5</v>
      </c>
      <c r="D6048" s="0" t="n">
        <v>4</v>
      </c>
      <c r="E6048" s="0" t="n">
        <f aca="false">-1+A6048*0.25</f>
        <v>1</v>
      </c>
      <c r="F6048" s="0" t="n">
        <f aca="false">-1+B6048*0.25</f>
        <v>-0.5</v>
      </c>
      <c r="G6048" s="0" t="n">
        <f aca="false">-1+C6048*0.25</f>
        <v>0.25</v>
      </c>
      <c r="H6048" s="0" t="n">
        <f aca="false">-1+D6048*0.25</f>
        <v>0</v>
      </c>
      <c r="I6048" s="0" t="n">
        <f aca="false">1</f>
        <v>1</v>
      </c>
      <c r="J6048" s="0" t="n">
        <f aca="false">E6048</f>
        <v>1</v>
      </c>
      <c r="K6048" s="0" t="n">
        <f aca="false">F6048</f>
        <v>-0.5</v>
      </c>
      <c r="L6048" s="0" t="n">
        <f aca="false">G6048</f>
        <v>0.25</v>
      </c>
      <c r="M6048" s="0" t="n">
        <f aca="false">H6048</f>
        <v>0</v>
      </c>
      <c r="N6048" s="0" t="n">
        <f aca="false">E6048*F6048</f>
        <v>-0.5</v>
      </c>
      <c r="O6048" s="0" t="n">
        <f aca="false">E6048*G6048</f>
        <v>0.25</v>
      </c>
      <c r="P6048" s="0" t="n">
        <f aca="false">E6048*H6048</f>
        <v>0</v>
      </c>
      <c r="Q6048" s="0" t="n">
        <f aca="false">F6048*G6048</f>
        <v>-0.125</v>
      </c>
      <c r="R6048" s="0" t="n">
        <f aca="false">F6048*H6048</f>
        <v>-0</v>
      </c>
      <c r="S6048" s="0" t="n">
        <f aca="false">G6048*H6048</f>
        <v>0</v>
      </c>
      <c r="T6048" s="0" t="n">
        <f aca="false">E6048*E6048</f>
        <v>1</v>
      </c>
      <c r="U6048" s="0" t="n">
        <f aca="false">F6048*F6048</f>
        <v>0.25</v>
      </c>
      <c r="V6048" s="0" t="n">
        <f aca="false">G6048*G6048</f>
        <v>0.0625</v>
      </c>
      <c r="W6048" s="0" t="n">
        <f aca="false">H6048*H6048</f>
        <v>0</v>
      </c>
      <c r="X6048" s="0" t="n">
        <f aca="false">SUMPRODUCT(I6048:W6048,_XtX!$B$96:$P$96)</f>
        <v>45.0772752192983</v>
      </c>
      <c r="Y6048" s="0" t="n">
        <f aca="false">SUMPRODUCT(MMULT(I6048:W6048,_XtX!$B$78:$P$92),I6048:W6048)</f>
        <v>0.457596628289474</v>
      </c>
      <c r="Z6048" s="0" t="n">
        <f aca="false">04_回帰ANOVA!$K$19*04_回帰ANOVA!$K$14*SQRT(1+Y6048)</f>
        <v>1.57368233664366</v>
      </c>
      <c r="AA6048" s="0" t="n">
        <f aca="false">X6048-Z6048</f>
        <v>43.5035928826546</v>
      </c>
      <c r="AB6048" s="0" t="n">
        <f aca="false">X6048+Z6048</f>
        <v>46.6509575559419</v>
      </c>
      <c r="AC6048" s="54" t="b">
        <f aca="false">AND(E6048&gt;=01_因子設定!$L$5-0.000000001,E6048&lt;=01_因子設定!$M$5+0.000000001,F6048&gt;=01_因子設定!$L$6-0.000000001,F6048&lt;=01_因子設定!$M$6+0.000000001,G6048&gt;=01_因子設定!$L$7-0.000000001,G6048&lt;=01_因子設定!$M$7+0.000000001,H6048&gt;=01_因子設定!$L$8-0.000000001,H6048&lt;=01_因子設定!$M$8+0.000000001,IF(01_因子設定!$B$20="Box-Behnken",E6048^2+F6048^2+G6048^2+H6048^2&lt;=2+0.000000001,TRUE()))</f>
        <v>1</v>
      </c>
      <c r="AD6048" s="55" t="n">
        <f aca="false">IF(AC6048,IF(01_因子設定!$B$13="最大化",AA6048-01_因子設定!$B$14,IF(01_因子設定!$B$13="最小化",01_因子設定!$B$15-AB6048,MIN(AA6048-01_因子設定!$B$14,01_因子設定!$B$15-AB6048))),-1E+030)</f>
        <v>-2.99640711734538</v>
      </c>
      <c r="AE6048" s="55" t="n">
        <f aca="false">IF(AC6048,IF(01_因子設定!$B$13="最大化",X6048,IF(01_因子設定!$B$13="最小化",-X6048,-ABS(X6048-01_因子設定!$B$16))),-1E+030)</f>
        <v>45.0772752192983</v>
      </c>
      <c r="AF6048" s="55" t="n">
        <f aca="false">AD6048+ROW()*0.000000001</f>
        <v>-2.99640106934538</v>
      </c>
      <c r="AG6048" s="55" t="n">
        <f aca="false">AE6048+ROW()*0.000000001</f>
        <v>45.0772812672983</v>
      </c>
    </row>
    <row r="6049" customFormat="false" ht="15" hidden="false" customHeight="false" outlineLevel="0" collapsed="false">
      <c r="A6049" s="0" t="n">
        <v>8</v>
      </c>
      <c r="B6049" s="0" t="n">
        <v>2</v>
      </c>
      <c r="C6049" s="0" t="n">
        <v>5</v>
      </c>
      <c r="D6049" s="0" t="n">
        <v>5</v>
      </c>
      <c r="E6049" s="0" t="n">
        <f aca="false">-1+A6049*0.25</f>
        <v>1</v>
      </c>
      <c r="F6049" s="0" t="n">
        <f aca="false">-1+B6049*0.25</f>
        <v>-0.5</v>
      </c>
      <c r="G6049" s="0" t="n">
        <f aca="false">-1+C6049*0.25</f>
        <v>0.25</v>
      </c>
      <c r="H6049" s="0" t="n">
        <f aca="false">-1+D6049*0.25</f>
        <v>0.25</v>
      </c>
      <c r="I6049" s="0" t="n">
        <f aca="false">1</f>
        <v>1</v>
      </c>
      <c r="J6049" s="0" t="n">
        <f aca="false">E6049</f>
        <v>1</v>
      </c>
      <c r="K6049" s="0" t="n">
        <f aca="false">F6049</f>
        <v>-0.5</v>
      </c>
      <c r="L6049" s="0" t="n">
        <f aca="false">G6049</f>
        <v>0.25</v>
      </c>
      <c r="M6049" s="0" t="n">
        <f aca="false">H6049</f>
        <v>0.25</v>
      </c>
      <c r="N6049" s="0" t="n">
        <f aca="false">E6049*F6049</f>
        <v>-0.5</v>
      </c>
      <c r="O6049" s="0" t="n">
        <f aca="false">E6049*G6049</f>
        <v>0.25</v>
      </c>
      <c r="P6049" s="0" t="n">
        <f aca="false">E6049*H6049</f>
        <v>0.25</v>
      </c>
      <c r="Q6049" s="0" t="n">
        <f aca="false">F6049*G6049</f>
        <v>-0.125</v>
      </c>
      <c r="R6049" s="0" t="n">
        <f aca="false">F6049*H6049</f>
        <v>-0.125</v>
      </c>
      <c r="S6049" s="0" t="n">
        <f aca="false">G6049*H6049</f>
        <v>0.0625</v>
      </c>
      <c r="T6049" s="0" t="n">
        <f aca="false">E6049*E6049</f>
        <v>1</v>
      </c>
      <c r="U6049" s="0" t="n">
        <f aca="false">F6049*F6049</f>
        <v>0.25</v>
      </c>
      <c r="V6049" s="0" t="n">
        <f aca="false">G6049*G6049</f>
        <v>0.0625</v>
      </c>
      <c r="W6049" s="0" t="n">
        <f aca="false">H6049*H6049</f>
        <v>0.0625</v>
      </c>
      <c r="X6049" s="0" t="n">
        <f aca="false">SUMPRODUCT(I6049:W6049,_XtX!$B$96:$P$96)</f>
        <v>45.2305418494152</v>
      </c>
      <c r="Y6049" s="0" t="n">
        <f aca="false">SUMPRODUCT(MMULT(I6049:W6049,_XtX!$B$78:$P$92),I6049:W6049)</f>
        <v>0.445705123812135</v>
      </c>
      <c r="Z6049" s="0" t="n">
        <f aca="false">04_回帰ANOVA!$K$19*04_回帰ANOVA!$K$14*SQRT(1+Y6049)</f>
        <v>1.56724990734749</v>
      </c>
      <c r="AA6049" s="0" t="n">
        <f aca="false">X6049-Z6049</f>
        <v>43.6632919420677</v>
      </c>
      <c r="AB6049" s="0" t="n">
        <f aca="false">X6049+Z6049</f>
        <v>46.7977917567627</v>
      </c>
      <c r="AC6049" s="54" t="b">
        <f aca="false">AND(E6049&gt;=01_因子設定!$L$5-0.000000001,E6049&lt;=01_因子設定!$M$5+0.000000001,F6049&gt;=01_因子設定!$L$6-0.000000001,F6049&lt;=01_因子設定!$M$6+0.000000001,G6049&gt;=01_因子設定!$L$7-0.000000001,G6049&lt;=01_因子設定!$M$7+0.000000001,H6049&gt;=01_因子設定!$L$8-0.000000001,H6049&lt;=01_因子設定!$M$8+0.000000001,IF(01_因子設定!$B$20="Box-Behnken",E6049^2+F6049^2+G6049^2+H6049^2&lt;=2+0.000000001,TRUE()))</f>
        <v>1</v>
      </c>
      <c r="AD6049" s="55" t="n">
        <f aca="false">IF(AC6049,IF(01_因子設定!$B$13="最大化",AA6049-01_因子設定!$B$14,IF(01_因子設定!$B$13="最小化",01_因子設定!$B$15-AB6049,MIN(AA6049-01_因子設定!$B$14,01_因子設定!$B$15-AB6049))),-1E+030)</f>
        <v>-2.83670805793226</v>
      </c>
      <c r="AE6049" s="55" t="n">
        <f aca="false">IF(AC6049,IF(01_因子設定!$B$13="最大化",X6049,IF(01_因子設定!$B$13="最小化",-X6049,-ABS(X6049-01_因子設定!$B$16))),-1E+030)</f>
        <v>45.2305418494152</v>
      </c>
      <c r="AF6049" s="55" t="n">
        <f aca="false">AD6049+ROW()*0.000000001</f>
        <v>-2.83670200893226</v>
      </c>
      <c r="AG6049" s="55" t="n">
        <f aca="false">AE6049+ROW()*0.000000001</f>
        <v>45.2305478984152</v>
      </c>
    </row>
    <row r="6050" customFormat="false" ht="15" hidden="false" customHeight="false" outlineLevel="0" collapsed="false">
      <c r="A6050" s="0" t="n">
        <v>8</v>
      </c>
      <c r="B6050" s="0" t="n">
        <v>2</v>
      </c>
      <c r="C6050" s="0" t="n">
        <v>5</v>
      </c>
      <c r="D6050" s="0" t="n">
        <v>6</v>
      </c>
      <c r="E6050" s="0" t="n">
        <f aca="false">-1+A6050*0.25</f>
        <v>1</v>
      </c>
      <c r="F6050" s="0" t="n">
        <f aca="false">-1+B6050*0.25</f>
        <v>-0.5</v>
      </c>
      <c r="G6050" s="0" t="n">
        <f aca="false">-1+C6050*0.25</f>
        <v>0.25</v>
      </c>
      <c r="H6050" s="0" t="n">
        <f aca="false">-1+D6050*0.25</f>
        <v>0.5</v>
      </c>
      <c r="I6050" s="0" t="n">
        <f aca="false">1</f>
        <v>1</v>
      </c>
      <c r="J6050" s="0" t="n">
        <f aca="false">E6050</f>
        <v>1</v>
      </c>
      <c r="K6050" s="0" t="n">
        <f aca="false">F6050</f>
        <v>-0.5</v>
      </c>
      <c r="L6050" s="0" t="n">
        <f aca="false">G6050</f>
        <v>0.25</v>
      </c>
      <c r="M6050" s="0" t="n">
        <f aca="false">H6050</f>
        <v>0.5</v>
      </c>
      <c r="N6050" s="0" t="n">
        <f aca="false">E6050*F6050</f>
        <v>-0.5</v>
      </c>
      <c r="O6050" s="0" t="n">
        <f aca="false">E6050*G6050</f>
        <v>0.25</v>
      </c>
      <c r="P6050" s="0" t="n">
        <f aca="false">E6050*H6050</f>
        <v>0.5</v>
      </c>
      <c r="Q6050" s="0" t="n">
        <f aca="false">F6050*G6050</f>
        <v>-0.125</v>
      </c>
      <c r="R6050" s="0" t="n">
        <f aca="false">F6050*H6050</f>
        <v>-0.25</v>
      </c>
      <c r="S6050" s="0" t="n">
        <f aca="false">G6050*H6050</f>
        <v>0.125</v>
      </c>
      <c r="T6050" s="0" t="n">
        <f aca="false">E6050*E6050</f>
        <v>1</v>
      </c>
      <c r="U6050" s="0" t="n">
        <f aca="false">F6050*F6050</f>
        <v>0.25</v>
      </c>
      <c r="V6050" s="0" t="n">
        <f aca="false">G6050*G6050</f>
        <v>0.0625</v>
      </c>
      <c r="W6050" s="0" t="n">
        <f aca="false">H6050*H6050</f>
        <v>0.25</v>
      </c>
      <c r="X6050" s="0" t="n">
        <f aca="false">SUMPRODUCT(I6050:W6050,_XtX!$B$96:$P$96)</f>
        <v>45.3360014619883</v>
      </c>
      <c r="Y6050" s="0" t="n">
        <f aca="false">SUMPRODUCT(MMULT(I6050:W6050,_XtX!$B$78:$P$92),I6050:W6050)</f>
        <v>0.428122715643275</v>
      </c>
      <c r="Z6050" s="0" t="n">
        <f aca="false">04_回帰ANOVA!$K$19*04_回帰ANOVA!$K$14*SQRT(1+Y6050)</f>
        <v>1.55769044623229</v>
      </c>
      <c r="AA6050" s="0" t="n">
        <f aca="false">X6050-Z6050</f>
        <v>43.778311015756</v>
      </c>
      <c r="AB6050" s="0" t="n">
        <f aca="false">X6050+Z6050</f>
        <v>46.8936919082206</v>
      </c>
      <c r="AC6050" s="54" t="b">
        <f aca="false">AND(E6050&gt;=01_因子設定!$L$5-0.000000001,E6050&lt;=01_因子設定!$M$5+0.000000001,F6050&gt;=01_因子設定!$L$6-0.000000001,F6050&lt;=01_因子設定!$M$6+0.000000001,G6050&gt;=01_因子設定!$L$7-0.000000001,G6050&lt;=01_因子設定!$M$7+0.000000001,H6050&gt;=01_因子設定!$L$8-0.000000001,H6050&lt;=01_因子設定!$M$8+0.000000001,IF(01_因子設定!$B$20="Box-Behnken",E6050^2+F6050^2+G6050^2+H6050^2&lt;=2+0.000000001,TRUE()))</f>
        <v>1</v>
      </c>
      <c r="AD6050" s="55" t="n">
        <f aca="false">IF(AC6050,IF(01_因子設定!$B$13="最大化",AA6050-01_因子設定!$B$14,IF(01_因子設定!$B$13="最小化",01_因子設定!$B$15-AB6050,MIN(AA6050-01_因子設定!$B$14,01_因子設定!$B$15-AB6050))),-1E+030)</f>
        <v>-2.72168898424395</v>
      </c>
      <c r="AE6050" s="55" t="n">
        <f aca="false">IF(AC6050,IF(01_因子設定!$B$13="最大化",X6050,IF(01_因子設定!$B$13="最小化",-X6050,-ABS(X6050-01_因子設定!$B$16))),-1E+030)</f>
        <v>45.3360014619883</v>
      </c>
      <c r="AF6050" s="55" t="n">
        <f aca="false">AD6050+ROW()*0.000000001</f>
        <v>-2.72168293424395</v>
      </c>
      <c r="AG6050" s="55" t="n">
        <f aca="false">AE6050+ROW()*0.000000001</f>
        <v>45.3360075119883</v>
      </c>
    </row>
    <row r="6051" customFormat="false" ht="15" hidden="false" customHeight="false" outlineLevel="0" collapsed="false">
      <c r="A6051" s="0" t="n">
        <v>8</v>
      </c>
      <c r="B6051" s="0" t="n">
        <v>2</v>
      </c>
      <c r="C6051" s="0" t="n">
        <v>5</v>
      </c>
      <c r="D6051" s="0" t="n">
        <v>7</v>
      </c>
      <c r="E6051" s="0" t="n">
        <f aca="false">-1+A6051*0.25</f>
        <v>1</v>
      </c>
      <c r="F6051" s="0" t="n">
        <f aca="false">-1+B6051*0.25</f>
        <v>-0.5</v>
      </c>
      <c r="G6051" s="0" t="n">
        <f aca="false">-1+C6051*0.25</f>
        <v>0.25</v>
      </c>
      <c r="H6051" s="0" t="n">
        <f aca="false">-1+D6051*0.25</f>
        <v>0.75</v>
      </c>
      <c r="I6051" s="0" t="n">
        <f aca="false">1</f>
        <v>1</v>
      </c>
      <c r="J6051" s="0" t="n">
        <f aca="false">E6051</f>
        <v>1</v>
      </c>
      <c r="K6051" s="0" t="n">
        <f aca="false">F6051</f>
        <v>-0.5</v>
      </c>
      <c r="L6051" s="0" t="n">
        <f aca="false">G6051</f>
        <v>0.25</v>
      </c>
      <c r="M6051" s="0" t="n">
        <f aca="false">H6051</f>
        <v>0.75</v>
      </c>
      <c r="N6051" s="0" t="n">
        <f aca="false">E6051*F6051</f>
        <v>-0.5</v>
      </c>
      <c r="O6051" s="0" t="n">
        <f aca="false">E6051*G6051</f>
        <v>0.25</v>
      </c>
      <c r="P6051" s="0" t="n">
        <f aca="false">E6051*H6051</f>
        <v>0.75</v>
      </c>
      <c r="Q6051" s="0" t="n">
        <f aca="false">F6051*G6051</f>
        <v>-0.125</v>
      </c>
      <c r="R6051" s="0" t="n">
        <f aca="false">F6051*H6051</f>
        <v>-0.375</v>
      </c>
      <c r="S6051" s="0" t="n">
        <f aca="false">G6051*H6051</f>
        <v>0.1875</v>
      </c>
      <c r="T6051" s="0" t="n">
        <f aca="false">E6051*E6051</f>
        <v>1</v>
      </c>
      <c r="U6051" s="0" t="n">
        <f aca="false">F6051*F6051</f>
        <v>0.25</v>
      </c>
      <c r="V6051" s="0" t="n">
        <f aca="false">G6051*G6051</f>
        <v>0.0625</v>
      </c>
      <c r="W6051" s="0" t="n">
        <f aca="false">H6051*H6051</f>
        <v>0.5625</v>
      </c>
      <c r="X6051" s="0" t="n">
        <f aca="false">SUMPRODUCT(I6051:W6051,_XtX!$B$96:$P$96)</f>
        <v>45.3936540570176</v>
      </c>
      <c r="Y6051" s="0" t="n">
        <f aca="false">SUMPRODUCT(MMULT(I6051:W6051,_XtX!$B$78:$P$92),I6051:W6051)</f>
        <v>0.459125719572369</v>
      </c>
      <c r="Z6051" s="0" t="n">
        <f aca="false">04_回帰ANOVA!$K$19*04_回帰ANOVA!$K$14*SQRT(1+Y6051)</f>
        <v>1.57450755575573</v>
      </c>
      <c r="AA6051" s="0" t="n">
        <f aca="false">X6051-Z6051</f>
        <v>43.8191465012619</v>
      </c>
      <c r="AB6051" s="0" t="n">
        <f aca="false">X6051+Z6051</f>
        <v>46.9681616127733</v>
      </c>
      <c r="AC6051" s="54" t="b">
        <f aca="false">AND(E6051&gt;=01_因子設定!$L$5-0.000000001,E6051&lt;=01_因子設定!$M$5+0.000000001,F6051&gt;=01_因子設定!$L$6-0.000000001,F6051&lt;=01_因子設定!$M$6+0.000000001,G6051&gt;=01_因子設定!$L$7-0.000000001,G6051&lt;=01_因子設定!$M$7+0.000000001,H6051&gt;=01_因子設定!$L$8-0.000000001,H6051&lt;=01_因子設定!$M$8+0.000000001,IF(01_因子設定!$B$20="Box-Behnken",E6051^2+F6051^2+G6051^2+H6051^2&lt;=2+0.000000001,TRUE()))</f>
        <v>1</v>
      </c>
      <c r="AD6051" s="55" t="n">
        <f aca="false">IF(AC6051,IF(01_因子設定!$B$13="最大化",AA6051-01_因子設定!$B$14,IF(01_因子設定!$B$13="最小化",01_因子設定!$B$15-AB6051,MIN(AA6051-01_因子設定!$B$14,01_因子設定!$B$15-AB6051))),-1E+030)</f>
        <v>-2.68085349873815</v>
      </c>
      <c r="AE6051" s="55" t="n">
        <f aca="false">IF(AC6051,IF(01_因子設定!$B$13="最大化",X6051,IF(01_因子設定!$B$13="最小化",-X6051,-ABS(X6051-01_因子設定!$B$16))),-1E+030)</f>
        <v>45.3936540570176</v>
      </c>
      <c r="AF6051" s="55" t="n">
        <f aca="false">AD6051+ROW()*0.000000001</f>
        <v>-2.68084744773814</v>
      </c>
      <c r="AG6051" s="55" t="n">
        <f aca="false">AE6051+ROW()*0.000000001</f>
        <v>45.3936601080176</v>
      </c>
    </row>
    <row r="6052" customFormat="false" ht="15" hidden="false" customHeight="false" outlineLevel="0" collapsed="false">
      <c r="A6052" s="0" t="n">
        <v>8</v>
      </c>
      <c r="B6052" s="0" t="n">
        <v>2</v>
      </c>
      <c r="C6052" s="0" t="n">
        <v>5</v>
      </c>
      <c r="D6052" s="0" t="n">
        <v>8</v>
      </c>
      <c r="E6052" s="0" t="n">
        <f aca="false">-1+A6052*0.25</f>
        <v>1</v>
      </c>
      <c r="F6052" s="0" t="n">
        <f aca="false">-1+B6052*0.25</f>
        <v>-0.5</v>
      </c>
      <c r="G6052" s="0" t="n">
        <f aca="false">-1+C6052*0.25</f>
        <v>0.25</v>
      </c>
      <c r="H6052" s="0" t="n">
        <f aca="false">-1+D6052*0.25</f>
        <v>1</v>
      </c>
      <c r="I6052" s="0" t="n">
        <f aca="false">1</f>
        <v>1</v>
      </c>
      <c r="J6052" s="0" t="n">
        <f aca="false">E6052</f>
        <v>1</v>
      </c>
      <c r="K6052" s="0" t="n">
        <f aca="false">F6052</f>
        <v>-0.5</v>
      </c>
      <c r="L6052" s="0" t="n">
        <f aca="false">G6052</f>
        <v>0.25</v>
      </c>
      <c r="M6052" s="0" t="n">
        <f aca="false">H6052</f>
        <v>1</v>
      </c>
      <c r="N6052" s="0" t="n">
        <f aca="false">E6052*F6052</f>
        <v>-0.5</v>
      </c>
      <c r="O6052" s="0" t="n">
        <f aca="false">E6052*G6052</f>
        <v>0.25</v>
      </c>
      <c r="P6052" s="0" t="n">
        <f aca="false">E6052*H6052</f>
        <v>1</v>
      </c>
      <c r="Q6052" s="0" t="n">
        <f aca="false">F6052*G6052</f>
        <v>-0.125</v>
      </c>
      <c r="R6052" s="0" t="n">
        <f aca="false">F6052*H6052</f>
        <v>-0.5</v>
      </c>
      <c r="S6052" s="0" t="n">
        <f aca="false">G6052*H6052</f>
        <v>0.25</v>
      </c>
      <c r="T6052" s="0" t="n">
        <f aca="false">E6052*E6052</f>
        <v>1</v>
      </c>
      <c r="U6052" s="0" t="n">
        <f aca="false">F6052*F6052</f>
        <v>0.25</v>
      </c>
      <c r="V6052" s="0" t="n">
        <f aca="false">G6052*G6052</f>
        <v>0.0625</v>
      </c>
      <c r="W6052" s="0" t="n">
        <f aca="false">H6052*H6052</f>
        <v>1</v>
      </c>
      <c r="X6052" s="0" t="n">
        <f aca="false">SUMPRODUCT(I6052:W6052,_XtX!$B$96:$P$96)</f>
        <v>45.403499634503</v>
      </c>
      <c r="Y6052" s="0" t="n">
        <f aca="false">SUMPRODUCT(MMULT(I6052:W6052,_XtX!$B$78:$P$92),I6052:W6052)</f>
        <v>0.629174661915205</v>
      </c>
      <c r="Z6052" s="0" t="n">
        <f aca="false">04_回帰ANOVA!$K$19*04_回帰ANOVA!$K$14*SQRT(1+Y6052)</f>
        <v>1.66372758058297</v>
      </c>
      <c r="AA6052" s="0" t="n">
        <f aca="false">X6052-Z6052</f>
        <v>43.73977205392</v>
      </c>
      <c r="AB6052" s="0" t="n">
        <f aca="false">X6052+Z6052</f>
        <v>47.067227215086</v>
      </c>
      <c r="AC6052" s="54" t="b">
        <f aca="false">AND(E6052&gt;=01_因子設定!$L$5-0.000000001,E6052&lt;=01_因子設定!$M$5+0.000000001,F6052&gt;=01_因子設定!$L$6-0.000000001,F6052&lt;=01_因子設定!$M$6+0.000000001,G6052&gt;=01_因子設定!$L$7-0.000000001,G6052&lt;=01_因子設定!$M$7+0.000000001,H6052&gt;=01_因子設定!$L$8-0.000000001,H6052&lt;=01_因子設定!$M$8+0.000000001,IF(01_因子設定!$B$20="Box-Behnken",E6052^2+F6052^2+G6052^2+H6052^2&lt;=2+0.000000001,TRUE()))</f>
        <v>1</v>
      </c>
      <c r="AD6052" s="55" t="n">
        <f aca="false">IF(AC6052,IF(01_因子設定!$B$13="最大化",AA6052-01_因子設定!$B$14,IF(01_因子設定!$B$13="最小化",01_因子設定!$B$15-AB6052,MIN(AA6052-01_因子設定!$B$14,01_因子設定!$B$15-AB6052))),-1E+030)</f>
        <v>-2.76022794607999</v>
      </c>
      <c r="AE6052" s="55" t="n">
        <f aca="false">IF(AC6052,IF(01_因子設定!$B$13="最大化",X6052,IF(01_因子設定!$B$13="最小化",-X6052,-ABS(X6052-01_因子設定!$B$16))),-1E+030)</f>
        <v>45.403499634503</v>
      </c>
      <c r="AF6052" s="55" t="n">
        <f aca="false">AD6052+ROW()*0.000000001</f>
        <v>-2.76022189407999</v>
      </c>
      <c r="AG6052" s="55" t="n">
        <f aca="false">AE6052+ROW()*0.000000001</f>
        <v>45.403505686503</v>
      </c>
    </row>
    <row r="6053" customFormat="false" ht="15" hidden="false" customHeight="false" outlineLevel="0" collapsed="false">
      <c r="A6053" s="0" t="n">
        <v>8</v>
      </c>
      <c r="B6053" s="0" t="n">
        <v>2</v>
      </c>
      <c r="C6053" s="0" t="n">
        <v>6</v>
      </c>
      <c r="D6053" s="0" t="n">
        <v>0</v>
      </c>
      <c r="E6053" s="0" t="n">
        <f aca="false">-1+A6053*0.25</f>
        <v>1</v>
      </c>
      <c r="F6053" s="0" t="n">
        <f aca="false">-1+B6053*0.25</f>
        <v>-0.5</v>
      </c>
      <c r="G6053" s="0" t="n">
        <f aca="false">-1+C6053*0.25</f>
        <v>0.5</v>
      </c>
      <c r="H6053" s="0" t="n">
        <f aca="false">-1+D6053*0.25</f>
        <v>-1</v>
      </c>
      <c r="I6053" s="0" t="n">
        <f aca="false">1</f>
        <v>1</v>
      </c>
      <c r="J6053" s="0" t="n">
        <f aca="false">E6053</f>
        <v>1</v>
      </c>
      <c r="K6053" s="0" t="n">
        <f aca="false">F6053</f>
        <v>-0.5</v>
      </c>
      <c r="L6053" s="0" t="n">
        <f aca="false">G6053</f>
        <v>0.5</v>
      </c>
      <c r="M6053" s="0" t="n">
        <f aca="false">H6053</f>
        <v>-1</v>
      </c>
      <c r="N6053" s="0" t="n">
        <f aca="false">E6053*F6053</f>
        <v>-0.5</v>
      </c>
      <c r="O6053" s="0" t="n">
        <f aca="false">E6053*G6053</f>
        <v>0.5</v>
      </c>
      <c r="P6053" s="0" t="n">
        <f aca="false">E6053*H6053</f>
        <v>-1</v>
      </c>
      <c r="Q6053" s="0" t="n">
        <f aca="false">F6053*G6053</f>
        <v>-0.25</v>
      </c>
      <c r="R6053" s="0" t="n">
        <f aca="false">F6053*H6053</f>
        <v>0.5</v>
      </c>
      <c r="S6053" s="0" t="n">
        <f aca="false">G6053*H6053</f>
        <v>-0.5</v>
      </c>
      <c r="T6053" s="0" t="n">
        <f aca="false">E6053*E6053</f>
        <v>1</v>
      </c>
      <c r="U6053" s="0" t="n">
        <f aca="false">F6053*F6053</f>
        <v>0.25</v>
      </c>
      <c r="V6053" s="0" t="n">
        <f aca="false">G6053*G6053</f>
        <v>0.25</v>
      </c>
      <c r="W6053" s="0" t="n">
        <f aca="false">H6053*H6053</f>
        <v>1</v>
      </c>
      <c r="X6053" s="0" t="n">
        <f aca="false">SUMPRODUCT(I6053:W6053,_XtX!$B$96:$P$96)</f>
        <v>43.8305738304094</v>
      </c>
      <c r="Y6053" s="0" t="n">
        <f aca="false">SUMPRODUCT(MMULT(I6053:W6053,_XtX!$B$78:$P$92),I6053:W6053)</f>
        <v>0.582488121345029</v>
      </c>
      <c r="Z6053" s="0" t="n">
        <f aca="false">04_回帰ANOVA!$K$19*04_回帰ANOVA!$K$14*SQRT(1+Y6053)</f>
        <v>1.63971595338287</v>
      </c>
      <c r="AA6053" s="0" t="n">
        <f aca="false">X6053-Z6053</f>
        <v>42.1908578770266</v>
      </c>
      <c r="AB6053" s="0" t="n">
        <f aca="false">X6053+Z6053</f>
        <v>45.4702897837923</v>
      </c>
      <c r="AC6053" s="54" t="b">
        <f aca="false">AND(E6053&gt;=01_因子設定!$L$5-0.000000001,E6053&lt;=01_因子設定!$M$5+0.000000001,F6053&gt;=01_因子設定!$L$6-0.000000001,F6053&lt;=01_因子設定!$M$6+0.000000001,G6053&gt;=01_因子設定!$L$7-0.000000001,G6053&lt;=01_因子設定!$M$7+0.000000001,H6053&gt;=01_因子設定!$L$8-0.000000001,H6053&lt;=01_因子設定!$M$8+0.000000001,IF(01_因子設定!$B$20="Box-Behnken",E6053^2+F6053^2+G6053^2+H6053^2&lt;=2+0.000000001,TRUE()))</f>
        <v>1</v>
      </c>
      <c r="AD6053" s="55" t="n">
        <f aca="false">IF(AC6053,IF(01_因子設定!$B$13="最大化",AA6053-01_因子設定!$B$14,IF(01_因子設定!$B$13="最小化",01_因子設定!$B$15-AB6053,MIN(AA6053-01_因子設定!$B$14,01_因子設定!$B$15-AB6053))),-1E+030)</f>
        <v>-4.30914212297345</v>
      </c>
      <c r="AE6053" s="55" t="n">
        <f aca="false">IF(AC6053,IF(01_因子設定!$B$13="最大化",X6053,IF(01_因子設定!$B$13="最小化",-X6053,-ABS(X6053-01_因子設定!$B$16))),-1E+030)</f>
        <v>43.8305738304094</v>
      </c>
      <c r="AF6053" s="55" t="n">
        <f aca="false">AD6053+ROW()*0.000000001</f>
        <v>-4.30913606997345</v>
      </c>
      <c r="AG6053" s="55" t="n">
        <f aca="false">AE6053+ROW()*0.000000001</f>
        <v>43.8305798834094</v>
      </c>
    </row>
    <row r="6054" customFormat="false" ht="15" hidden="false" customHeight="false" outlineLevel="0" collapsed="false">
      <c r="A6054" s="0" t="n">
        <v>8</v>
      </c>
      <c r="B6054" s="0" t="n">
        <v>2</v>
      </c>
      <c r="C6054" s="0" t="n">
        <v>6</v>
      </c>
      <c r="D6054" s="0" t="n">
        <v>1</v>
      </c>
      <c r="E6054" s="0" t="n">
        <f aca="false">-1+A6054*0.25</f>
        <v>1</v>
      </c>
      <c r="F6054" s="0" t="n">
        <f aca="false">-1+B6054*0.25</f>
        <v>-0.5</v>
      </c>
      <c r="G6054" s="0" t="n">
        <f aca="false">-1+C6054*0.25</f>
        <v>0.5</v>
      </c>
      <c r="H6054" s="0" t="n">
        <f aca="false">-1+D6054*0.25</f>
        <v>-0.75</v>
      </c>
      <c r="I6054" s="0" t="n">
        <f aca="false">1</f>
        <v>1</v>
      </c>
      <c r="J6054" s="0" t="n">
        <f aca="false">E6054</f>
        <v>1</v>
      </c>
      <c r="K6054" s="0" t="n">
        <f aca="false">F6054</f>
        <v>-0.5</v>
      </c>
      <c r="L6054" s="0" t="n">
        <f aca="false">G6054</f>
        <v>0.5</v>
      </c>
      <c r="M6054" s="0" t="n">
        <f aca="false">H6054</f>
        <v>-0.75</v>
      </c>
      <c r="N6054" s="0" t="n">
        <f aca="false">E6054*F6054</f>
        <v>-0.5</v>
      </c>
      <c r="O6054" s="0" t="n">
        <f aca="false">E6054*G6054</f>
        <v>0.5</v>
      </c>
      <c r="P6054" s="0" t="n">
        <f aca="false">E6054*H6054</f>
        <v>-0.75</v>
      </c>
      <c r="Q6054" s="0" t="n">
        <f aca="false">F6054*G6054</f>
        <v>-0.25</v>
      </c>
      <c r="R6054" s="0" t="n">
        <f aca="false">F6054*H6054</f>
        <v>0.375</v>
      </c>
      <c r="S6054" s="0" t="n">
        <f aca="false">G6054*H6054</f>
        <v>-0.375</v>
      </c>
      <c r="T6054" s="0" t="n">
        <f aca="false">E6054*E6054</f>
        <v>1</v>
      </c>
      <c r="U6054" s="0" t="n">
        <f aca="false">F6054*F6054</f>
        <v>0.25</v>
      </c>
      <c r="V6054" s="0" t="n">
        <f aca="false">G6054*G6054</f>
        <v>0.25</v>
      </c>
      <c r="W6054" s="0" t="n">
        <f aca="false">H6054*H6054</f>
        <v>0.5625</v>
      </c>
      <c r="X6054" s="0" t="n">
        <f aca="false">SUMPRODUCT(I6054:W6054,_XtX!$B$96:$P$96)</f>
        <v>44.1930372807018</v>
      </c>
      <c r="Y6054" s="0" t="n">
        <f aca="false">SUMPRODUCT(MMULT(I6054:W6054,_XtX!$B$78:$P$92),I6054:W6054)</f>
        <v>0.42602110745614</v>
      </c>
      <c r="Z6054" s="0" t="n">
        <f aca="false">04_回帰ANOVA!$K$19*04_回帰ANOVA!$K$14*SQRT(1+Y6054)</f>
        <v>1.55654388501114</v>
      </c>
      <c r="AA6054" s="0" t="n">
        <f aca="false">X6054-Z6054</f>
        <v>42.6364933956907</v>
      </c>
      <c r="AB6054" s="0" t="n">
        <f aca="false">X6054+Z6054</f>
        <v>45.7495811657129</v>
      </c>
      <c r="AC6054" s="54" t="b">
        <f aca="false">AND(E6054&gt;=01_因子設定!$L$5-0.000000001,E6054&lt;=01_因子設定!$M$5+0.000000001,F6054&gt;=01_因子設定!$L$6-0.000000001,F6054&lt;=01_因子設定!$M$6+0.000000001,G6054&gt;=01_因子設定!$L$7-0.000000001,G6054&lt;=01_因子設定!$M$7+0.000000001,H6054&gt;=01_因子設定!$L$8-0.000000001,H6054&lt;=01_因子設定!$M$8+0.000000001,IF(01_因子設定!$B$20="Box-Behnken",E6054^2+F6054^2+G6054^2+H6054^2&lt;=2+0.000000001,TRUE()))</f>
        <v>1</v>
      </c>
      <c r="AD6054" s="55" t="n">
        <f aca="false">IF(AC6054,IF(01_因子設定!$B$13="最大化",AA6054-01_因子設定!$B$14,IF(01_因子設定!$B$13="最小化",01_因子設定!$B$15-AB6054,MIN(AA6054-01_因子設定!$B$14,01_因子設定!$B$15-AB6054))),-1E+030)</f>
        <v>-3.86350660430934</v>
      </c>
      <c r="AE6054" s="55" t="n">
        <f aca="false">IF(AC6054,IF(01_因子設定!$B$13="最大化",X6054,IF(01_因子設定!$B$13="最小化",-X6054,-ABS(X6054-01_因子設定!$B$16))),-1E+030)</f>
        <v>44.1930372807018</v>
      </c>
      <c r="AF6054" s="55" t="n">
        <f aca="false">AD6054+ROW()*0.000000001</f>
        <v>-3.86350055030934</v>
      </c>
      <c r="AG6054" s="55" t="n">
        <f aca="false">AE6054+ROW()*0.000000001</f>
        <v>44.1930433347018</v>
      </c>
    </row>
    <row r="6055" customFormat="false" ht="15" hidden="false" customHeight="false" outlineLevel="0" collapsed="false">
      <c r="A6055" s="0" t="n">
        <v>8</v>
      </c>
      <c r="B6055" s="0" t="n">
        <v>2</v>
      </c>
      <c r="C6055" s="0" t="n">
        <v>6</v>
      </c>
      <c r="D6055" s="0" t="n">
        <v>2</v>
      </c>
      <c r="E6055" s="0" t="n">
        <f aca="false">-1+A6055*0.25</f>
        <v>1</v>
      </c>
      <c r="F6055" s="0" t="n">
        <f aca="false">-1+B6055*0.25</f>
        <v>-0.5</v>
      </c>
      <c r="G6055" s="0" t="n">
        <f aca="false">-1+C6055*0.25</f>
        <v>0.5</v>
      </c>
      <c r="H6055" s="0" t="n">
        <f aca="false">-1+D6055*0.25</f>
        <v>-0.5</v>
      </c>
      <c r="I6055" s="0" t="n">
        <f aca="false">1</f>
        <v>1</v>
      </c>
      <c r="J6055" s="0" t="n">
        <f aca="false">E6055</f>
        <v>1</v>
      </c>
      <c r="K6055" s="0" t="n">
        <f aca="false">F6055</f>
        <v>-0.5</v>
      </c>
      <c r="L6055" s="0" t="n">
        <f aca="false">G6055</f>
        <v>0.5</v>
      </c>
      <c r="M6055" s="0" t="n">
        <f aca="false">H6055</f>
        <v>-0.5</v>
      </c>
      <c r="N6055" s="0" t="n">
        <f aca="false">E6055*F6055</f>
        <v>-0.5</v>
      </c>
      <c r="O6055" s="0" t="n">
        <f aca="false">E6055*G6055</f>
        <v>0.5</v>
      </c>
      <c r="P6055" s="0" t="n">
        <f aca="false">E6055*H6055</f>
        <v>-0.5</v>
      </c>
      <c r="Q6055" s="0" t="n">
        <f aca="false">F6055*G6055</f>
        <v>-0.25</v>
      </c>
      <c r="R6055" s="0" t="n">
        <f aca="false">F6055*H6055</f>
        <v>0.25</v>
      </c>
      <c r="S6055" s="0" t="n">
        <f aca="false">G6055*H6055</f>
        <v>-0.25</v>
      </c>
      <c r="T6055" s="0" t="n">
        <f aca="false">E6055*E6055</f>
        <v>1</v>
      </c>
      <c r="U6055" s="0" t="n">
        <f aca="false">F6055*F6055</f>
        <v>0.25</v>
      </c>
      <c r="V6055" s="0" t="n">
        <f aca="false">G6055*G6055</f>
        <v>0.25</v>
      </c>
      <c r="W6055" s="0" t="n">
        <f aca="false">H6055*H6055</f>
        <v>0.25</v>
      </c>
      <c r="X6055" s="0" t="n">
        <f aca="false">SUMPRODUCT(I6055:W6055,_XtX!$B$96:$P$96)</f>
        <v>44.5076937134503</v>
      </c>
      <c r="Y6055" s="0" t="n">
        <f aca="false">SUMPRODUCT(MMULT(I6055:W6055,_XtX!$B$78:$P$92),I6055:W6055)</f>
        <v>0.404719480994152</v>
      </c>
      <c r="Z6055" s="0" t="n">
        <f aca="false">04_回帰ANOVA!$K$19*04_回帰ANOVA!$K$14*SQRT(1+Y6055)</f>
        <v>1.54487446697867</v>
      </c>
      <c r="AA6055" s="0" t="n">
        <f aca="false">X6055-Z6055</f>
        <v>42.9628192464717</v>
      </c>
      <c r="AB6055" s="0" t="n">
        <f aca="false">X6055+Z6055</f>
        <v>46.052568180429</v>
      </c>
      <c r="AC6055" s="54" t="b">
        <f aca="false">AND(E6055&gt;=01_因子設定!$L$5-0.000000001,E6055&lt;=01_因子設定!$M$5+0.000000001,F6055&gt;=01_因子設定!$L$6-0.000000001,F6055&lt;=01_因子設定!$M$6+0.000000001,G6055&gt;=01_因子設定!$L$7-0.000000001,G6055&lt;=01_因子設定!$M$7+0.000000001,H6055&gt;=01_因子設定!$L$8-0.000000001,H6055&lt;=01_因子設定!$M$8+0.000000001,IF(01_因子設定!$B$20="Box-Behnken",E6055^2+F6055^2+G6055^2+H6055^2&lt;=2+0.000000001,TRUE()))</f>
        <v>1</v>
      </c>
      <c r="AD6055" s="55" t="n">
        <f aca="false">IF(AC6055,IF(01_因子設定!$B$13="最大化",AA6055-01_因子設定!$B$14,IF(01_因子設定!$B$13="最小化",01_因子設定!$B$15-AB6055,MIN(AA6055-01_因子設定!$B$14,01_因子設定!$B$15-AB6055))),-1E+030)</f>
        <v>-3.53718075352835</v>
      </c>
      <c r="AE6055" s="55" t="n">
        <f aca="false">IF(AC6055,IF(01_因子設定!$B$13="最大化",X6055,IF(01_因子設定!$B$13="最小化",-X6055,-ABS(X6055-01_因子設定!$B$16))),-1E+030)</f>
        <v>44.5076937134503</v>
      </c>
      <c r="AF6055" s="55" t="n">
        <f aca="false">AD6055+ROW()*0.000000001</f>
        <v>-3.53717469852835</v>
      </c>
      <c r="AG6055" s="55" t="n">
        <f aca="false">AE6055+ROW()*0.000000001</f>
        <v>44.5076997684503</v>
      </c>
    </row>
    <row r="6056" customFormat="false" ht="15" hidden="false" customHeight="false" outlineLevel="0" collapsed="false">
      <c r="A6056" s="0" t="n">
        <v>8</v>
      </c>
      <c r="B6056" s="0" t="n">
        <v>2</v>
      </c>
      <c r="C6056" s="0" t="n">
        <v>6</v>
      </c>
      <c r="D6056" s="0" t="n">
        <v>3</v>
      </c>
      <c r="E6056" s="0" t="n">
        <f aca="false">-1+A6056*0.25</f>
        <v>1</v>
      </c>
      <c r="F6056" s="0" t="n">
        <f aca="false">-1+B6056*0.25</f>
        <v>-0.5</v>
      </c>
      <c r="G6056" s="0" t="n">
        <f aca="false">-1+C6056*0.25</f>
        <v>0.5</v>
      </c>
      <c r="H6056" s="0" t="n">
        <f aca="false">-1+D6056*0.25</f>
        <v>-0.25</v>
      </c>
      <c r="I6056" s="0" t="n">
        <f aca="false">1</f>
        <v>1</v>
      </c>
      <c r="J6056" s="0" t="n">
        <f aca="false">E6056</f>
        <v>1</v>
      </c>
      <c r="K6056" s="0" t="n">
        <f aca="false">F6056</f>
        <v>-0.5</v>
      </c>
      <c r="L6056" s="0" t="n">
        <f aca="false">G6056</f>
        <v>0.5</v>
      </c>
      <c r="M6056" s="0" t="n">
        <f aca="false">H6056</f>
        <v>-0.25</v>
      </c>
      <c r="N6056" s="0" t="n">
        <f aca="false">E6056*F6056</f>
        <v>-0.5</v>
      </c>
      <c r="O6056" s="0" t="n">
        <f aca="false">E6056*G6056</f>
        <v>0.5</v>
      </c>
      <c r="P6056" s="0" t="n">
        <f aca="false">E6056*H6056</f>
        <v>-0.25</v>
      </c>
      <c r="Q6056" s="0" t="n">
        <f aca="false">F6056*G6056</f>
        <v>-0.25</v>
      </c>
      <c r="R6056" s="0" t="n">
        <f aca="false">F6056*H6056</f>
        <v>0.125</v>
      </c>
      <c r="S6056" s="0" t="n">
        <f aca="false">G6056*H6056</f>
        <v>-0.125</v>
      </c>
      <c r="T6056" s="0" t="n">
        <f aca="false">E6056*E6056</f>
        <v>1</v>
      </c>
      <c r="U6056" s="0" t="n">
        <f aca="false">F6056*F6056</f>
        <v>0.25</v>
      </c>
      <c r="V6056" s="0" t="n">
        <f aca="false">G6056*G6056</f>
        <v>0.25</v>
      </c>
      <c r="W6056" s="0" t="n">
        <f aca="false">H6056*H6056</f>
        <v>0.0625</v>
      </c>
      <c r="X6056" s="0" t="n">
        <f aca="false">SUMPRODUCT(I6056:W6056,_XtX!$B$96:$P$96)</f>
        <v>44.774543128655</v>
      </c>
      <c r="Y6056" s="0" t="n">
        <f aca="false">SUMPRODUCT(MMULT(I6056:W6056,_XtX!$B$78:$P$92),I6056:W6056)</f>
        <v>0.428122715643275</v>
      </c>
      <c r="Z6056" s="0" t="n">
        <f aca="false">04_回帰ANOVA!$K$19*04_回帰ANOVA!$K$14*SQRT(1+Y6056)</f>
        <v>1.55769044623229</v>
      </c>
      <c r="AA6056" s="0" t="n">
        <f aca="false">X6056-Z6056</f>
        <v>43.2168526824227</v>
      </c>
      <c r="AB6056" s="0" t="n">
        <f aca="false">X6056+Z6056</f>
        <v>46.3322335748873</v>
      </c>
      <c r="AC6056" s="54" t="b">
        <f aca="false">AND(E6056&gt;=01_因子設定!$L$5-0.000000001,E6056&lt;=01_因子設定!$M$5+0.000000001,F6056&gt;=01_因子設定!$L$6-0.000000001,F6056&lt;=01_因子設定!$M$6+0.000000001,G6056&gt;=01_因子設定!$L$7-0.000000001,G6056&lt;=01_因子設定!$M$7+0.000000001,H6056&gt;=01_因子設定!$L$8-0.000000001,H6056&lt;=01_因子設定!$M$8+0.000000001,IF(01_因子設定!$B$20="Box-Behnken",E6056^2+F6056^2+G6056^2+H6056^2&lt;=2+0.000000001,TRUE()))</f>
        <v>1</v>
      </c>
      <c r="AD6056" s="55" t="n">
        <f aca="false">IF(AC6056,IF(01_因子設定!$B$13="最大化",AA6056-01_因子設定!$B$14,IF(01_因子設定!$B$13="最小化",01_因子設定!$B$15-AB6056,MIN(AA6056-01_因子設定!$B$14,01_因子設定!$B$15-AB6056))),-1E+030)</f>
        <v>-3.2831473175773</v>
      </c>
      <c r="AE6056" s="55" t="n">
        <f aca="false">IF(AC6056,IF(01_因子設定!$B$13="最大化",X6056,IF(01_因子設定!$B$13="最小化",-X6056,-ABS(X6056-01_因子設定!$B$16))),-1E+030)</f>
        <v>44.774543128655</v>
      </c>
      <c r="AF6056" s="55" t="n">
        <f aca="false">AD6056+ROW()*0.000000001</f>
        <v>-3.2831412615773</v>
      </c>
      <c r="AG6056" s="55" t="n">
        <f aca="false">AE6056+ROW()*0.000000001</f>
        <v>44.774549184655</v>
      </c>
    </row>
    <row r="6057" customFormat="false" ht="15" hidden="false" customHeight="false" outlineLevel="0" collapsed="false">
      <c r="A6057" s="0" t="n">
        <v>8</v>
      </c>
      <c r="B6057" s="0" t="n">
        <v>2</v>
      </c>
      <c r="C6057" s="0" t="n">
        <v>6</v>
      </c>
      <c r="D6057" s="0" t="n">
        <v>4</v>
      </c>
      <c r="E6057" s="0" t="n">
        <f aca="false">-1+A6057*0.25</f>
        <v>1</v>
      </c>
      <c r="F6057" s="0" t="n">
        <f aca="false">-1+B6057*0.25</f>
        <v>-0.5</v>
      </c>
      <c r="G6057" s="0" t="n">
        <f aca="false">-1+C6057*0.25</f>
        <v>0.5</v>
      </c>
      <c r="H6057" s="0" t="n">
        <f aca="false">-1+D6057*0.25</f>
        <v>0</v>
      </c>
      <c r="I6057" s="0" t="n">
        <f aca="false">1</f>
        <v>1</v>
      </c>
      <c r="J6057" s="0" t="n">
        <f aca="false">E6057</f>
        <v>1</v>
      </c>
      <c r="K6057" s="0" t="n">
        <f aca="false">F6057</f>
        <v>-0.5</v>
      </c>
      <c r="L6057" s="0" t="n">
        <f aca="false">G6057</f>
        <v>0.5</v>
      </c>
      <c r="M6057" s="0" t="n">
        <f aca="false">H6057</f>
        <v>0</v>
      </c>
      <c r="N6057" s="0" t="n">
        <f aca="false">E6057*F6057</f>
        <v>-0.5</v>
      </c>
      <c r="O6057" s="0" t="n">
        <f aca="false">E6057*G6057</f>
        <v>0.5</v>
      </c>
      <c r="P6057" s="0" t="n">
        <f aca="false">E6057*H6057</f>
        <v>0</v>
      </c>
      <c r="Q6057" s="0" t="n">
        <f aca="false">F6057*G6057</f>
        <v>-0.25</v>
      </c>
      <c r="R6057" s="0" t="n">
        <f aca="false">F6057*H6057</f>
        <v>-0</v>
      </c>
      <c r="S6057" s="0" t="n">
        <f aca="false">G6057*H6057</f>
        <v>0</v>
      </c>
      <c r="T6057" s="0" t="n">
        <f aca="false">E6057*E6057</f>
        <v>1</v>
      </c>
      <c r="U6057" s="0" t="n">
        <f aca="false">F6057*F6057</f>
        <v>0.25</v>
      </c>
      <c r="V6057" s="0" t="n">
        <f aca="false">G6057*G6057</f>
        <v>0.25</v>
      </c>
      <c r="W6057" s="0" t="n">
        <f aca="false">H6057*H6057</f>
        <v>0</v>
      </c>
      <c r="X6057" s="0" t="n">
        <f aca="false">SUMPRODUCT(I6057:W6057,_XtX!$B$96:$P$96)</f>
        <v>44.9935855263158</v>
      </c>
      <c r="Y6057" s="0" t="n">
        <f aca="false">SUMPRODUCT(MMULT(I6057:W6057,_XtX!$B$78:$P$92),I6057:W6057)</f>
        <v>0.441954495614035</v>
      </c>
      <c r="Z6057" s="0" t="n">
        <f aca="false">04_回帰ANOVA!$K$19*04_回帰ANOVA!$K$14*SQRT(1+Y6057)</f>
        <v>1.56521560968066</v>
      </c>
      <c r="AA6057" s="0" t="n">
        <f aca="false">X6057-Z6057</f>
        <v>43.4283699166352</v>
      </c>
      <c r="AB6057" s="0" t="n">
        <f aca="false">X6057+Z6057</f>
        <v>46.5588011359965</v>
      </c>
      <c r="AC6057" s="54" t="b">
        <f aca="false">AND(E6057&gt;=01_因子設定!$L$5-0.000000001,E6057&lt;=01_因子設定!$M$5+0.000000001,F6057&gt;=01_因子設定!$L$6-0.000000001,F6057&lt;=01_因子設定!$M$6+0.000000001,G6057&gt;=01_因子設定!$L$7-0.000000001,G6057&lt;=01_因子設定!$M$7+0.000000001,H6057&gt;=01_因子設定!$L$8-0.000000001,H6057&lt;=01_因子設定!$M$8+0.000000001,IF(01_因子設定!$B$20="Box-Behnken",E6057^2+F6057^2+G6057^2+H6057^2&lt;=2+0.000000001,TRUE()))</f>
        <v>1</v>
      </c>
      <c r="AD6057" s="55" t="n">
        <f aca="false">IF(AC6057,IF(01_因子設定!$B$13="最大化",AA6057-01_因子設定!$B$14,IF(01_因子設定!$B$13="最小化",01_因子設定!$B$15-AB6057,MIN(AA6057-01_因子設定!$B$14,01_因子設定!$B$15-AB6057))),-1E+030)</f>
        <v>-3.07163008336485</v>
      </c>
      <c r="AE6057" s="55" t="n">
        <f aca="false">IF(AC6057,IF(01_因子設定!$B$13="最大化",X6057,IF(01_因子設定!$B$13="最小化",-X6057,-ABS(X6057-01_因子設定!$B$16))),-1E+030)</f>
        <v>44.9935855263158</v>
      </c>
      <c r="AF6057" s="55" t="n">
        <f aca="false">AD6057+ROW()*0.000000001</f>
        <v>-3.07162402636485</v>
      </c>
      <c r="AG6057" s="55" t="n">
        <f aca="false">AE6057+ROW()*0.000000001</f>
        <v>44.9935915833158</v>
      </c>
    </row>
    <row r="6058" customFormat="false" ht="15" hidden="false" customHeight="false" outlineLevel="0" collapsed="false">
      <c r="A6058" s="0" t="n">
        <v>8</v>
      </c>
      <c r="B6058" s="0" t="n">
        <v>2</v>
      </c>
      <c r="C6058" s="0" t="n">
        <v>6</v>
      </c>
      <c r="D6058" s="0" t="n">
        <v>5</v>
      </c>
      <c r="E6058" s="0" t="n">
        <f aca="false">-1+A6058*0.25</f>
        <v>1</v>
      </c>
      <c r="F6058" s="0" t="n">
        <f aca="false">-1+B6058*0.25</f>
        <v>-0.5</v>
      </c>
      <c r="G6058" s="0" t="n">
        <f aca="false">-1+C6058*0.25</f>
        <v>0.5</v>
      </c>
      <c r="H6058" s="0" t="n">
        <f aca="false">-1+D6058*0.25</f>
        <v>0.25</v>
      </c>
      <c r="I6058" s="0" t="n">
        <f aca="false">1</f>
        <v>1</v>
      </c>
      <c r="J6058" s="0" t="n">
        <f aca="false">E6058</f>
        <v>1</v>
      </c>
      <c r="K6058" s="0" t="n">
        <f aca="false">F6058</f>
        <v>-0.5</v>
      </c>
      <c r="L6058" s="0" t="n">
        <f aca="false">G6058</f>
        <v>0.5</v>
      </c>
      <c r="M6058" s="0" t="n">
        <f aca="false">H6058</f>
        <v>0.25</v>
      </c>
      <c r="N6058" s="0" t="n">
        <f aca="false">E6058*F6058</f>
        <v>-0.5</v>
      </c>
      <c r="O6058" s="0" t="n">
        <f aca="false">E6058*G6058</f>
        <v>0.5</v>
      </c>
      <c r="P6058" s="0" t="n">
        <f aca="false">E6058*H6058</f>
        <v>0.25</v>
      </c>
      <c r="Q6058" s="0" t="n">
        <f aca="false">F6058*G6058</f>
        <v>-0.25</v>
      </c>
      <c r="R6058" s="0" t="n">
        <f aca="false">F6058*H6058</f>
        <v>-0.125</v>
      </c>
      <c r="S6058" s="0" t="n">
        <f aca="false">G6058*H6058</f>
        <v>0.125</v>
      </c>
      <c r="T6058" s="0" t="n">
        <f aca="false">E6058*E6058</f>
        <v>1</v>
      </c>
      <c r="U6058" s="0" t="n">
        <f aca="false">F6058*F6058</f>
        <v>0.25</v>
      </c>
      <c r="V6058" s="0" t="n">
        <f aca="false">G6058*G6058</f>
        <v>0.25</v>
      </c>
      <c r="W6058" s="0" t="n">
        <f aca="false">H6058*H6058</f>
        <v>0.0625</v>
      </c>
      <c r="X6058" s="0" t="n">
        <f aca="false">SUMPRODUCT(I6058:W6058,_XtX!$B$96:$P$96)</f>
        <v>45.1648209064328</v>
      </c>
      <c r="Y6058" s="0" t="n">
        <f aca="false">SUMPRODUCT(MMULT(I6058:W6058,_XtX!$B$78:$P$92),I6058:W6058)</f>
        <v>0.428122715643275</v>
      </c>
      <c r="Z6058" s="0" t="n">
        <f aca="false">04_回帰ANOVA!$K$19*04_回帰ANOVA!$K$14*SQRT(1+Y6058)</f>
        <v>1.55769044623229</v>
      </c>
      <c r="AA6058" s="0" t="n">
        <f aca="false">X6058-Z6058</f>
        <v>43.6071304602005</v>
      </c>
      <c r="AB6058" s="0" t="n">
        <f aca="false">X6058+Z6058</f>
        <v>46.7225113526651</v>
      </c>
      <c r="AC6058" s="54" t="b">
        <f aca="false">AND(E6058&gt;=01_因子設定!$L$5-0.000000001,E6058&lt;=01_因子設定!$M$5+0.000000001,F6058&gt;=01_因子設定!$L$6-0.000000001,F6058&lt;=01_因子設定!$M$6+0.000000001,G6058&gt;=01_因子設定!$L$7-0.000000001,G6058&lt;=01_因子設定!$M$7+0.000000001,H6058&gt;=01_因子設定!$L$8-0.000000001,H6058&lt;=01_因子設定!$M$8+0.000000001,IF(01_因子設定!$B$20="Box-Behnken",E6058^2+F6058^2+G6058^2+H6058^2&lt;=2+0.000000001,TRUE()))</f>
        <v>1</v>
      </c>
      <c r="AD6058" s="55" t="n">
        <f aca="false">IF(AC6058,IF(01_因子設定!$B$13="最大化",AA6058-01_因子設定!$B$14,IF(01_因子設定!$B$13="最小化",01_因子設定!$B$15-AB6058,MIN(AA6058-01_因子設定!$B$14,01_因子設定!$B$15-AB6058))),-1E+030)</f>
        <v>-2.89286953979952</v>
      </c>
      <c r="AE6058" s="55" t="n">
        <f aca="false">IF(AC6058,IF(01_因子設定!$B$13="最大化",X6058,IF(01_因子設定!$B$13="最小化",-X6058,-ABS(X6058-01_因子設定!$B$16))),-1E+030)</f>
        <v>45.1648209064328</v>
      </c>
      <c r="AF6058" s="55" t="n">
        <f aca="false">AD6058+ROW()*0.000000001</f>
        <v>-2.89286348179952</v>
      </c>
      <c r="AG6058" s="55" t="n">
        <f aca="false">AE6058+ROW()*0.000000001</f>
        <v>45.1648269644328</v>
      </c>
    </row>
    <row r="6059" customFormat="false" ht="15" hidden="false" customHeight="false" outlineLevel="0" collapsed="false">
      <c r="A6059" s="0" t="n">
        <v>8</v>
      </c>
      <c r="B6059" s="0" t="n">
        <v>2</v>
      </c>
      <c r="C6059" s="0" t="n">
        <v>6</v>
      </c>
      <c r="D6059" s="0" t="n">
        <v>6</v>
      </c>
      <c r="E6059" s="0" t="n">
        <f aca="false">-1+A6059*0.25</f>
        <v>1</v>
      </c>
      <c r="F6059" s="0" t="n">
        <f aca="false">-1+B6059*0.25</f>
        <v>-0.5</v>
      </c>
      <c r="G6059" s="0" t="n">
        <f aca="false">-1+C6059*0.25</f>
        <v>0.5</v>
      </c>
      <c r="H6059" s="0" t="n">
        <f aca="false">-1+D6059*0.25</f>
        <v>0.5</v>
      </c>
      <c r="I6059" s="0" t="n">
        <f aca="false">1</f>
        <v>1</v>
      </c>
      <c r="J6059" s="0" t="n">
        <f aca="false">E6059</f>
        <v>1</v>
      </c>
      <c r="K6059" s="0" t="n">
        <f aca="false">F6059</f>
        <v>-0.5</v>
      </c>
      <c r="L6059" s="0" t="n">
        <f aca="false">G6059</f>
        <v>0.5</v>
      </c>
      <c r="M6059" s="0" t="n">
        <f aca="false">H6059</f>
        <v>0.5</v>
      </c>
      <c r="N6059" s="0" t="n">
        <f aca="false">E6059*F6059</f>
        <v>-0.5</v>
      </c>
      <c r="O6059" s="0" t="n">
        <f aca="false">E6059*G6059</f>
        <v>0.5</v>
      </c>
      <c r="P6059" s="0" t="n">
        <f aca="false">E6059*H6059</f>
        <v>0.5</v>
      </c>
      <c r="Q6059" s="0" t="n">
        <f aca="false">F6059*G6059</f>
        <v>-0.25</v>
      </c>
      <c r="R6059" s="0" t="n">
        <f aca="false">F6059*H6059</f>
        <v>-0.25</v>
      </c>
      <c r="S6059" s="0" t="n">
        <f aca="false">G6059*H6059</f>
        <v>0.25</v>
      </c>
      <c r="T6059" s="0" t="n">
        <f aca="false">E6059*E6059</f>
        <v>1</v>
      </c>
      <c r="U6059" s="0" t="n">
        <f aca="false">F6059*F6059</f>
        <v>0.25</v>
      </c>
      <c r="V6059" s="0" t="n">
        <f aca="false">G6059*G6059</f>
        <v>0.25</v>
      </c>
      <c r="W6059" s="0" t="n">
        <f aca="false">H6059*H6059</f>
        <v>0.25</v>
      </c>
      <c r="X6059" s="0" t="n">
        <f aca="false">SUMPRODUCT(I6059:W6059,_XtX!$B$96:$P$96)</f>
        <v>45.2882492690059</v>
      </c>
      <c r="Y6059" s="0" t="n">
        <f aca="false">SUMPRODUCT(MMULT(I6059:W6059,_XtX!$B$78:$P$92),I6059:W6059)</f>
        <v>0.404719480994152</v>
      </c>
      <c r="Z6059" s="0" t="n">
        <f aca="false">04_回帰ANOVA!$K$19*04_回帰ANOVA!$K$14*SQRT(1+Y6059)</f>
        <v>1.54487446697867</v>
      </c>
      <c r="AA6059" s="0" t="n">
        <f aca="false">X6059-Z6059</f>
        <v>43.7433748020272</v>
      </c>
      <c r="AB6059" s="0" t="n">
        <f aca="false">X6059+Z6059</f>
        <v>46.8331237359846</v>
      </c>
      <c r="AC6059" s="54" t="b">
        <f aca="false">AND(E6059&gt;=01_因子設定!$L$5-0.000000001,E6059&lt;=01_因子設定!$M$5+0.000000001,F6059&gt;=01_因子設定!$L$6-0.000000001,F6059&lt;=01_因子設定!$M$6+0.000000001,G6059&gt;=01_因子設定!$L$7-0.000000001,G6059&lt;=01_因子設定!$M$7+0.000000001,H6059&gt;=01_因子設定!$L$8-0.000000001,H6059&lt;=01_因子設定!$M$8+0.000000001,IF(01_因子設定!$B$20="Box-Behnken",E6059^2+F6059^2+G6059^2+H6059^2&lt;=2+0.000000001,TRUE()))</f>
        <v>1</v>
      </c>
      <c r="AD6059" s="55" t="n">
        <f aca="false">IF(AC6059,IF(01_因子設定!$B$13="最大化",AA6059-01_因子設定!$B$14,IF(01_因子設定!$B$13="最小化",01_因子設定!$B$15-AB6059,MIN(AA6059-01_因子設定!$B$14,01_因子設定!$B$15-AB6059))),-1E+030)</f>
        <v>-2.7566251979728</v>
      </c>
      <c r="AE6059" s="55" t="n">
        <f aca="false">IF(AC6059,IF(01_因子設定!$B$13="最大化",X6059,IF(01_因子設定!$B$13="最小化",-X6059,-ABS(X6059-01_因子設定!$B$16))),-1E+030)</f>
        <v>45.2882492690059</v>
      </c>
      <c r="AF6059" s="55" t="n">
        <f aca="false">AD6059+ROW()*0.000000001</f>
        <v>-2.7566191389728</v>
      </c>
      <c r="AG6059" s="55" t="n">
        <f aca="false">AE6059+ROW()*0.000000001</f>
        <v>45.2882553280059</v>
      </c>
    </row>
    <row r="6060" customFormat="false" ht="15" hidden="false" customHeight="false" outlineLevel="0" collapsed="false">
      <c r="A6060" s="0" t="n">
        <v>8</v>
      </c>
      <c r="B6060" s="0" t="n">
        <v>2</v>
      </c>
      <c r="C6060" s="0" t="n">
        <v>6</v>
      </c>
      <c r="D6060" s="0" t="n">
        <v>7</v>
      </c>
      <c r="E6060" s="0" t="n">
        <f aca="false">-1+A6060*0.25</f>
        <v>1</v>
      </c>
      <c r="F6060" s="0" t="n">
        <f aca="false">-1+B6060*0.25</f>
        <v>-0.5</v>
      </c>
      <c r="G6060" s="0" t="n">
        <f aca="false">-1+C6060*0.25</f>
        <v>0.5</v>
      </c>
      <c r="H6060" s="0" t="n">
        <f aca="false">-1+D6060*0.25</f>
        <v>0.75</v>
      </c>
      <c r="I6060" s="0" t="n">
        <f aca="false">1</f>
        <v>1</v>
      </c>
      <c r="J6060" s="0" t="n">
        <f aca="false">E6060</f>
        <v>1</v>
      </c>
      <c r="K6060" s="0" t="n">
        <f aca="false">F6060</f>
        <v>-0.5</v>
      </c>
      <c r="L6060" s="0" t="n">
        <f aca="false">G6060</f>
        <v>0.5</v>
      </c>
      <c r="M6060" s="0" t="n">
        <f aca="false">H6060</f>
        <v>0.75</v>
      </c>
      <c r="N6060" s="0" t="n">
        <f aca="false">E6060*F6060</f>
        <v>-0.5</v>
      </c>
      <c r="O6060" s="0" t="n">
        <f aca="false">E6060*G6060</f>
        <v>0.5</v>
      </c>
      <c r="P6060" s="0" t="n">
        <f aca="false">E6060*H6060</f>
        <v>0.75</v>
      </c>
      <c r="Q6060" s="0" t="n">
        <f aca="false">F6060*G6060</f>
        <v>-0.25</v>
      </c>
      <c r="R6060" s="0" t="n">
        <f aca="false">F6060*H6060</f>
        <v>-0.375</v>
      </c>
      <c r="S6060" s="0" t="n">
        <f aca="false">G6060*H6060</f>
        <v>0.375</v>
      </c>
      <c r="T6060" s="0" t="n">
        <f aca="false">E6060*E6060</f>
        <v>1</v>
      </c>
      <c r="U6060" s="0" t="n">
        <f aca="false">F6060*F6060</f>
        <v>0.25</v>
      </c>
      <c r="V6060" s="0" t="n">
        <f aca="false">G6060*G6060</f>
        <v>0.25</v>
      </c>
      <c r="W6060" s="0" t="n">
        <f aca="false">H6060*H6060</f>
        <v>0.5625</v>
      </c>
      <c r="X6060" s="0" t="n">
        <f aca="false">SUMPRODUCT(I6060:W6060,_XtX!$B$96:$P$96)</f>
        <v>45.3638706140351</v>
      </c>
      <c r="Y6060" s="0" t="n">
        <f aca="false">SUMPRODUCT(MMULT(I6060:W6060,_XtX!$B$78:$P$92),I6060:W6060)</f>
        <v>0.42602110745614</v>
      </c>
      <c r="Z6060" s="0" t="n">
        <f aca="false">04_回帰ANOVA!$K$19*04_回帰ANOVA!$K$14*SQRT(1+Y6060)</f>
        <v>1.55654388501114</v>
      </c>
      <c r="AA6060" s="0" t="n">
        <f aca="false">X6060-Z6060</f>
        <v>43.807326729024</v>
      </c>
      <c r="AB6060" s="0" t="n">
        <f aca="false">X6060+Z6060</f>
        <v>46.9204144990463</v>
      </c>
      <c r="AC6060" s="54" t="b">
        <f aca="false">AND(E6060&gt;=01_因子設定!$L$5-0.000000001,E6060&lt;=01_因子設定!$M$5+0.000000001,F6060&gt;=01_因子設定!$L$6-0.000000001,F6060&lt;=01_因子設定!$M$6+0.000000001,G6060&gt;=01_因子設定!$L$7-0.000000001,G6060&lt;=01_因子設定!$M$7+0.000000001,H6060&gt;=01_因子設定!$L$8-0.000000001,H6060&lt;=01_因子設定!$M$8+0.000000001,IF(01_因子設定!$B$20="Box-Behnken",E6060^2+F6060^2+G6060^2+H6060^2&lt;=2+0.000000001,TRUE()))</f>
        <v>1</v>
      </c>
      <c r="AD6060" s="55" t="n">
        <f aca="false">IF(AC6060,IF(01_因子設定!$B$13="最大化",AA6060-01_因子設定!$B$14,IF(01_因子設定!$B$13="最小化",01_因子設定!$B$15-AB6060,MIN(AA6060-01_因子設定!$B$14,01_因子設定!$B$15-AB6060))),-1E+030)</f>
        <v>-2.692673270976</v>
      </c>
      <c r="AE6060" s="55" t="n">
        <f aca="false">IF(AC6060,IF(01_因子設定!$B$13="最大化",X6060,IF(01_因子設定!$B$13="最小化",-X6060,-ABS(X6060-01_因子設定!$B$16))),-1E+030)</f>
        <v>45.3638706140351</v>
      </c>
      <c r="AF6060" s="55" t="n">
        <f aca="false">AD6060+ROW()*0.000000001</f>
        <v>-2.692667210976</v>
      </c>
      <c r="AG6060" s="55" t="n">
        <f aca="false">AE6060+ROW()*0.000000001</f>
        <v>45.3638766740351</v>
      </c>
    </row>
    <row r="6061" customFormat="false" ht="15" hidden="false" customHeight="false" outlineLevel="0" collapsed="false">
      <c r="A6061" s="0" t="n">
        <v>8</v>
      </c>
      <c r="B6061" s="0" t="n">
        <v>2</v>
      </c>
      <c r="C6061" s="0" t="n">
        <v>6</v>
      </c>
      <c r="D6061" s="0" t="n">
        <v>8</v>
      </c>
      <c r="E6061" s="0" t="n">
        <f aca="false">-1+A6061*0.25</f>
        <v>1</v>
      </c>
      <c r="F6061" s="0" t="n">
        <f aca="false">-1+B6061*0.25</f>
        <v>-0.5</v>
      </c>
      <c r="G6061" s="0" t="n">
        <f aca="false">-1+C6061*0.25</f>
        <v>0.5</v>
      </c>
      <c r="H6061" s="0" t="n">
        <f aca="false">-1+D6061*0.25</f>
        <v>1</v>
      </c>
      <c r="I6061" s="0" t="n">
        <f aca="false">1</f>
        <v>1</v>
      </c>
      <c r="J6061" s="0" t="n">
        <f aca="false">E6061</f>
        <v>1</v>
      </c>
      <c r="K6061" s="0" t="n">
        <f aca="false">F6061</f>
        <v>-0.5</v>
      </c>
      <c r="L6061" s="0" t="n">
        <f aca="false">G6061</f>
        <v>0.5</v>
      </c>
      <c r="M6061" s="0" t="n">
        <f aca="false">H6061</f>
        <v>1</v>
      </c>
      <c r="N6061" s="0" t="n">
        <f aca="false">E6061*F6061</f>
        <v>-0.5</v>
      </c>
      <c r="O6061" s="0" t="n">
        <f aca="false">E6061*G6061</f>
        <v>0.5</v>
      </c>
      <c r="P6061" s="0" t="n">
        <f aca="false">E6061*H6061</f>
        <v>1</v>
      </c>
      <c r="Q6061" s="0" t="n">
        <f aca="false">F6061*G6061</f>
        <v>-0.25</v>
      </c>
      <c r="R6061" s="0" t="n">
        <f aca="false">F6061*H6061</f>
        <v>-0.5</v>
      </c>
      <c r="S6061" s="0" t="n">
        <f aca="false">G6061*H6061</f>
        <v>0.5</v>
      </c>
      <c r="T6061" s="0" t="n">
        <f aca="false">E6061*E6061</f>
        <v>1</v>
      </c>
      <c r="U6061" s="0" t="n">
        <f aca="false">F6061*F6061</f>
        <v>0.25</v>
      </c>
      <c r="V6061" s="0" t="n">
        <f aca="false">G6061*G6061</f>
        <v>0.25</v>
      </c>
      <c r="W6061" s="0" t="n">
        <f aca="false">H6061*H6061</f>
        <v>1</v>
      </c>
      <c r="X6061" s="0" t="n">
        <f aca="false">SUMPRODUCT(I6061:W6061,_XtX!$B$96:$P$96)</f>
        <v>45.3916849415205</v>
      </c>
      <c r="Y6061" s="0" t="n">
        <f aca="false">SUMPRODUCT(MMULT(I6061:W6061,_XtX!$B$78:$P$92),I6061:W6061)</f>
        <v>0.582488121345029</v>
      </c>
      <c r="Z6061" s="0" t="n">
        <f aca="false">04_回帰ANOVA!$K$19*04_回帰ANOVA!$K$14*SQRT(1+Y6061)</f>
        <v>1.63971595338287</v>
      </c>
      <c r="AA6061" s="0" t="n">
        <f aca="false">X6061-Z6061</f>
        <v>43.7519689881377</v>
      </c>
      <c r="AB6061" s="0" t="n">
        <f aca="false">X6061+Z6061</f>
        <v>47.0314008949034</v>
      </c>
      <c r="AC6061" s="54" t="b">
        <f aca="false">AND(E6061&gt;=01_因子設定!$L$5-0.000000001,E6061&lt;=01_因子設定!$M$5+0.000000001,F6061&gt;=01_因子設定!$L$6-0.000000001,F6061&lt;=01_因子設定!$M$6+0.000000001,G6061&gt;=01_因子設定!$L$7-0.000000001,G6061&lt;=01_因子設定!$M$7+0.000000001,H6061&gt;=01_因子設定!$L$8-0.000000001,H6061&lt;=01_因子設定!$M$8+0.000000001,IF(01_因子設定!$B$20="Box-Behnken",E6061^2+F6061^2+G6061^2+H6061^2&lt;=2+0.000000001,TRUE()))</f>
        <v>1</v>
      </c>
      <c r="AD6061" s="55" t="n">
        <f aca="false">IF(AC6061,IF(01_因子設定!$B$13="最大化",AA6061-01_因子設定!$B$14,IF(01_因子設定!$B$13="最小化",01_因子設定!$B$15-AB6061,MIN(AA6061-01_因子設定!$B$14,01_因子設定!$B$15-AB6061))),-1E+030)</f>
        <v>-2.74803101186234</v>
      </c>
      <c r="AE6061" s="55" t="n">
        <f aca="false">IF(AC6061,IF(01_因子設定!$B$13="最大化",X6061,IF(01_因子設定!$B$13="最小化",-X6061,-ABS(X6061-01_因子設定!$B$16))),-1E+030)</f>
        <v>45.3916849415205</v>
      </c>
      <c r="AF6061" s="55" t="n">
        <f aca="false">AD6061+ROW()*0.000000001</f>
        <v>-2.74802495086234</v>
      </c>
      <c r="AG6061" s="55" t="n">
        <f aca="false">AE6061+ROW()*0.000000001</f>
        <v>45.3916910025205</v>
      </c>
    </row>
    <row r="6062" customFormat="false" ht="15" hidden="false" customHeight="false" outlineLevel="0" collapsed="false">
      <c r="A6062" s="0" t="n">
        <v>8</v>
      </c>
      <c r="B6062" s="0" t="n">
        <v>2</v>
      </c>
      <c r="C6062" s="0" t="n">
        <v>7</v>
      </c>
      <c r="D6062" s="0" t="n">
        <v>0</v>
      </c>
      <c r="E6062" s="0" t="n">
        <f aca="false">-1+A6062*0.25</f>
        <v>1</v>
      </c>
      <c r="F6062" s="0" t="n">
        <f aca="false">-1+B6062*0.25</f>
        <v>-0.5</v>
      </c>
      <c r="G6062" s="0" t="n">
        <f aca="false">-1+C6062*0.25</f>
        <v>0.75</v>
      </c>
      <c r="H6062" s="0" t="n">
        <f aca="false">-1+D6062*0.25</f>
        <v>-1</v>
      </c>
      <c r="I6062" s="0" t="n">
        <f aca="false">1</f>
        <v>1</v>
      </c>
      <c r="J6062" s="0" t="n">
        <f aca="false">E6062</f>
        <v>1</v>
      </c>
      <c r="K6062" s="0" t="n">
        <f aca="false">F6062</f>
        <v>-0.5</v>
      </c>
      <c r="L6062" s="0" t="n">
        <f aca="false">G6062</f>
        <v>0.75</v>
      </c>
      <c r="M6062" s="0" t="n">
        <f aca="false">H6062</f>
        <v>-1</v>
      </c>
      <c r="N6062" s="0" t="n">
        <f aca="false">E6062*F6062</f>
        <v>-0.5</v>
      </c>
      <c r="O6062" s="0" t="n">
        <f aca="false">E6062*G6062</f>
        <v>0.75</v>
      </c>
      <c r="P6062" s="0" t="n">
        <f aca="false">E6062*H6062</f>
        <v>-1</v>
      </c>
      <c r="Q6062" s="0" t="n">
        <f aca="false">F6062*G6062</f>
        <v>-0.375</v>
      </c>
      <c r="R6062" s="0" t="n">
        <f aca="false">F6062*H6062</f>
        <v>0.5</v>
      </c>
      <c r="S6062" s="0" t="n">
        <f aca="false">G6062*H6062</f>
        <v>-0.75</v>
      </c>
      <c r="T6062" s="0" t="n">
        <f aca="false">E6062*E6062</f>
        <v>1</v>
      </c>
      <c r="U6062" s="0" t="n">
        <f aca="false">F6062*F6062</f>
        <v>0.25</v>
      </c>
      <c r="V6062" s="0" t="n">
        <f aca="false">G6062*G6062</f>
        <v>0.5625</v>
      </c>
      <c r="W6062" s="0" t="n">
        <f aca="false">H6062*H6062</f>
        <v>1</v>
      </c>
      <c r="X6062" s="0" t="n">
        <f aca="false">SUMPRODUCT(I6062:W6062,_XtX!$B$96:$P$96)</f>
        <v>43.5897021198831</v>
      </c>
      <c r="Y6062" s="0" t="n">
        <f aca="false">SUMPRODUCT(MMULT(I6062:W6062,_XtX!$B$78:$P$92),I6062:W6062)</f>
        <v>0.564984237938597</v>
      </c>
      <c r="Z6062" s="0" t="n">
        <f aca="false">04_回帰ANOVA!$K$19*04_回帰ANOVA!$K$14*SQRT(1+Y6062)</f>
        <v>1.63062229734503</v>
      </c>
      <c r="AA6062" s="0" t="n">
        <f aca="false">X6062-Z6062</f>
        <v>41.9590798225381</v>
      </c>
      <c r="AB6062" s="0" t="n">
        <f aca="false">X6062+Z6062</f>
        <v>45.2203244172281</v>
      </c>
      <c r="AC6062" s="54" t="b">
        <f aca="false">AND(E6062&gt;=01_因子設定!$L$5-0.000000001,E6062&lt;=01_因子設定!$M$5+0.000000001,F6062&gt;=01_因子設定!$L$6-0.000000001,F6062&lt;=01_因子設定!$M$6+0.000000001,G6062&gt;=01_因子設定!$L$7-0.000000001,G6062&lt;=01_因子設定!$M$7+0.000000001,H6062&gt;=01_因子設定!$L$8-0.000000001,H6062&lt;=01_因子設定!$M$8+0.000000001,IF(01_因子設定!$B$20="Box-Behnken",E6062^2+F6062^2+G6062^2+H6062^2&lt;=2+0.000000001,TRUE()))</f>
        <v>1</v>
      </c>
      <c r="AD6062" s="55" t="n">
        <f aca="false">IF(AC6062,IF(01_因子設定!$B$13="最大化",AA6062-01_因子設定!$B$14,IF(01_因子設定!$B$13="最小化",01_因子設定!$B$15-AB6062,MIN(AA6062-01_因子設定!$B$14,01_因子設定!$B$15-AB6062))),-1E+030)</f>
        <v>-4.54092017746193</v>
      </c>
      <c r="AE6062" s="55" t="n">
        <f aca="false">IF(AC6062,IF(01_因子設定!$B$13="最大化",X6062,IF(01_因子設定!$B$13="最小化",-X6062,-ABS(X6062-01_因子設定!$B$16))),-1E+030)</f>
        <v>43.5897021198831</v>
      </c>
      <c r="AF6062" s="55" t="n">
        <f aca="false">AD6062+ROW()*0.000000001</f>
        <v>-4.54091411546193</v>
      </c>
      <c r="AG6062" s="55" t="n">
        <f aca="false">AE6062+ROW()*0.000000001</f>
        <v>43.5897081818831</v>
      </c>
    </row>
    <row r="6063" customFormat="false" ht="15" hidden="false" customHeight="false" outlineLevel="0" collapsed="false">
      <c r="A6063" s="0" t="n">
        <v>8</v>
      </c>
      <c r="B6063" s="0" t="n">
        <v>2</v>
      </c>
      <c r="C6063" s="0" t="n">
        <v>7</v>
      </c>
      <c r="D6063" s="0" t="n">
        <v>1</v>
      </c>
      <c r="E6063" s="0" t="n">
        <f aca="false">-1+A6063*0.25</f>
        <v>1</v>
      </c>
      <c r="F6063" s="0" t="n">
        <f aca="false">-1+B6063*0.25</f>
        <v>-0.5</v>
      </c>
      <c r="G6063" s="0" t="n">
        <f aca="false">-1+C6063*0.25</f>
        <v>0.75</v>
      </c>
      <c r="H6063" s="0" t="n">
        <f aca="false">-1+D6063*0.25</f>
        <v>-0.75</v>
      </c>
      <c r="I6063" s="0" t="n">
        <f aca="false">1</f>
        <v>1</v>
      </c>
      <c r="J6063" s="0" t="n">
        <f aca="false">E6063</f>
        <v>1</v>
      </c>
      <c r="K6063" s="0" t="n">
        <f aca="false">F6063</f>
        <v>-0.5</v>
      </c>
      <c r="L6063" s="0" t="n">
        <f aca="false">G6063</f>
        <v>0.75</v>
      </c>
      <c r="M6063" s="0" t="n">
        <f aca="false">H6063</f>
        <v>-0.75</v>
      </c>
      <c r="N6063" s="0" t="n">
        <f aca="false">E6063*F6063</f>
        <v>-0.5</v>
      </c>
      <c r="O6063" s="0" t="n">
        <f aca="false">E6063*G6063</f>
        <v>0.75</v>
      </c>
      <c r="P6063" s="0" t="n">
        <f aca="false">E6063*H6063</f>
        <v>-0.75</v>
      </c>
      <c r="Q6063" s="0" t="n">
        <f aca="false">F6063*G6063</f>
        <v>-0.375</v>
      </c>
      <c r="R6063" s="0" t="n">
        <f aca="false">F6063*H6063</f>
        <v>0.375</v>
      </c>
      <c r="S6063" s="0" t="n">
        <f aca="false">G6063*H6063</f>
        <v>-0.5625</v>
      </c>
      <c r="T6063" s="0" t="n">
        <f aca="false">E6063*E6063</f>
        <v>1</v>
      </c>
      <c r="U6063" s="0" t="n">
        <f aca="false">F6063*F6063</f>
        <v>0.25</v>
      </c>
      <c r="V6063" s="0" t="n">
        <f aca="false">G6063*G6063</f>
        <v>0.5625</v>
      </c>
      <c r="W6063" s="0" t="n">
        <f aca="false">H6063*H6063</f>
        <v>0.5625</v>
      </c>
      <c r="X6063" s="0" t="n">
        <f aca="false">SUMPRODUCT(I6063:W6063,_XtX!$B$96:$P$96)</f>
        <v>43.9701343201755</v>
      </c>
      <c r="Y6063" s="0" t="n">
        <f aca="false">SUMPRODUCT(MMULT(I6063:W6063,_XtX!$B$78:$P$92),I6063:W6063)</f>
        <v>0.431153771472953</v>
      </c>
      <c r="Z6063" s="0" t="n">
        <f aca="false">04_回帰ANOVA!$K$19*04_回帰ANOVA!$K$14*SQRT(1+Y6063)</f>
        <v>1.55934259562563</v>
      </c>
      <c r="AA6063" s="0" t="n">
        <f aca="false">X6063-Z6063</f>
        <v>42.4107917245499</v>
      </c>
      <c r="AB6063" s="0" t="n">
        <f aca="false">X6063+Z6063</f>
        <v>45.5294769158011</v>
      </c>
      <c r="AC6063" s="54" t="b">
        <f aca="false">AND(E6063&gt;=01_因子設定!$L$5-0.000000001,E6063&lt;=01_因子設定!$M$5+0.000000001,F6063&gt;=01_因子設定!$L$6-0.000000001,F6063&lt;=01_因子設定!$M$6+0.000000001,G6063&gt;=01_因子設定!$L$7-0.000000001,G6063&lt;=01_因子設定!$M$7+0.000000001,H6063&gt;=01_因子設定!$L$8-0.000000001,H6063&lt;=01_因子設定!$M$8+0.000000001,IF(01_因子設定!$B$20="Box-Behnken",E6063^2+F6063^2+G6063^2+H6063^2&lt;=2+0.000000001,TRUE()))</f>
        <v>1</v>
      </c>
      <c r="AD6063" s="55" t="n">
        <f aca="false">IF(AC6063,IF(01_因子設定!$B$13="最大化",AA6063-01_因子設定!$B$14,IF(01_因子設定!$B$13="最小化",01_因子設定!$B$15-AB6063,MIN(AA6063-01_因子設定!$B$14,01_因子設定!$B$15-AB6063))),-1E+030)</f>
        <v>-4.08920827545014</v>
      </c>
      <c r="AE6063" s="55" t="n">
        <f aca="false">IF(AC6063,IF(01_因子設定!$B$13="最大化",X6063,IF(01_因子設定!$B$13="最小化",-X6063,-ABS(X6063-01_因子設定!$B$16))),-1E+030)</f>
        <v>43.9701343201755</v>
      </c>
      <c r="AF6063" s="55" t="n">
        <f aca="false">AD6063+ROW()*0.000000001</f>
        <v>-4.08920221245014</v>
      </c>
      <c r="AG6063" s="55" t="n">
        <f aca="false">AE6063+ROW()*0.000000001</f>
        <v>43.9701403831755</v>
      </c>
    </row>
    <row r="6064" customFormat="false" ht="15" hidden="false" customHeight="false" outlineLevel="0" collapsed="false">
      <c r="A6064" s="0" t="n">
        <v>8</v>
      </c>
      <c r="B6064" s="0" t="n">
        <v>2</v>
      </c>
      <c r="C6064" s="0" t="n">
        <v>7</v>
      </c>
      <c r="D6064" s="0" t="n">
        <v>2</v>
      </c>
      <c r="E6064" s="0" t="n">
        <f aca="false">-1+A6064*0.25</f>
        <v>1</v>
      </c>
      <c r="F6064" s="0" t="n">
        <f aca="false">-1+B6064*0.25</f>
        <v>-0.5</v>
      </c>
      <c r="G6064" s="0" t="n">
        <f aca="false">-1+C6064*0.25</f>
        <v>0.75</v>
      </c>
      <c r="H6064" s="0" t="n">
        <f aca="false">-1+D6064*0.25</f>
        <v>-0.5</v>
      </c>
      <c r="I6064" s="0" t="n">
        <f aca="false">1</f>
        <v>1</v>
      </c>
      <c r="J6064" s="0" t="n">
        <f aca="false">E6064</f>
        <v>1</v>
      </c>
      <c r="K6064" s="0" t="n">
        <f aca="false">F6064</f>
        <v>-0.5</v>
      </c>
      <c r="L6064" s="0" t="n">
        <f aca="false">G6064</f>
        <v>0.75</v>
      </c>
      <c r="M6064" s="0" t="n">
        <f aca="false">H6064</f>
        <v>-0.5</v>
      </c>
      <c r="N6064" s="0" t="n">
        <f aca="false">E6064*F6064</f>
        <v>-0.5</v>
      </c>
      <c r="O6064" s="0" t="n">
        <f aca="false">E6064*G6064</f>
        <v>0.75</v>
      </c>
      <c r="P6064" s="0" t="n">
        <f aca="false">E6064*H6064</f>
        <v>-0.5</v>
      </c>
      <c r="Q6064" s="0" t="n">
        <f aca="false">F6064*G6064</f>
        <v>-0.375</v>
      </c>
      <c r="R6064" s="0" t="n">
        <f aca="false">F6064*H6064</f>
        <v>0.25</v>
      </c>
      <c r="S6064" s="0" t="n">
        <f aca="false">G6064*H6064</f>
        <v>-0.375</v>
      </c>
      <c r="T6064" s="0" t="n">
        <f aca="false">E6064*E6064</f>
        <v>1</v>
      </c>
      <c r="U6064" s="0" t="n">
        <f aca="false">F6064*F6064</f>
        <v>0.25</v>
      </c>
      <c r="V6064" s="0" t="n">
        <f aca="false">G6064*G6064</f>
        <v>0.5625</v>
      </c>
      <c r="W6064" s="0" t="n">
        <f aca="false">H6064*H6064</f>
        <v>0.25</v>
      </c>
      <c r="X6064" s="0" t="n">
        <f aca="false">SUMPRODUCT(I6064:W6064,_XtX!$B$96:$P$96)</f>
        <v>44.302759502924</v>
      </c>
      <c r="Y6064" s="0" t="n">
        <f aca="false">SUMPRODUCT(MMULT(I6064:W6064,_XtX!$B$78:$P$92),I6064:W6064)</f>
        <v>0.42602110745614</v>
      </c>
      <c r="Z6064" s="0" t="n">
        <f aca="false">04_回帰ANOVA!$K$19*04_回帰ANOVA!$K$14*SQRT(1+Y6064)</f>
        <v>1.55654388501114</v>
      </c>
      <c r="AA6064" s="0" t="n">
        <f aca="false">X6064-Z6064</f>
        <v>42.7462156179129</v>
      </c>
      <c r="AB6064" s="0" t="n">
        <f aca="false">X6064+Z6064</f>
        <v>45.8593033879352</v>
      </c>
      <c r="AC6064" s="54" t="b">
        <f aca="false">AND(E6064&gt;=01_因子設定!$L$5-0.000000001,E6064&lt;=01_因子設定!$M$5+0.000000001,F6064&gt;=01_因子設定!$L$6-0.000000001,F6064&lt;=01_因子設定!$M$6+0.000000001,G6064&gt;=01_因子設定!$L$7-0.000000001,G6064&lt;=01_因子設定!$M$7+0.000000001,H6064&gt;=01_因子設定!$L$8-0.000000001,H6064&lt;=01_因子設定!$M$8+0.000000001,IF(01_因子設定!$B$20="Box-Behnken",E6064^2+F6064^2+G6064^2+H6064^2&lt;=2+0.000000001,TRUE()))</f>
        <v>1</v>
      </c>
      <c r="AD6064" s="55" t="n">
        <f aca="false">IF(AC6064,IF(01_因子設定!$B$13="最大化",AA6064-01_因子設定!$B$14,IF(01_因子設定!$B$13="最小化",01_因子設定!$B$15-AB6064,MIN(AA6064-01_因子設定!$B$14,01_因子設定!$B$15-AB6064))),-1E+030)</f>
        <v>-3.75378438208713</v>
      </c>
      <c r="AE6064" s="55" t="n">
        <f aca="false">IF(AC6064,IF(01_因子設定!$B$13="最大化",X6064,IF(01_因子設定!$B$13="最小化",-X6064,-ABS(X6064-01_因子設定!$B$16))),-1E+030)</f>
        <v>44.302759502924</v>
      </c>
      <c r="AF6064" s="55" t="n">
        <f aca="false">AD6064+ROW()*0.000000001</f>
        <v>-3.75377831808713</v>
      </c>
      <c r="AG6064" s="55" t="n">
        <f aca="false">AE6064+ROW()*0.000000001</f>
        <v>44.302765566924</v>
      </c>
    </row>
    <row r="6065" customFormat="false" ht="15" hidden="false" customHeight="false" outlineLevel="0" collapsed="false">
      <c r="A6065" s="0" t="n">
        <v>8</v>
      </c>
      <c r="B6065" s="0" t="n">
        <v>2</v>
      </c>
      <c r="C6065" s="0" t="n">
        <v>7</v>
      </c>
      <c r="D6065" s="0" t="n">
        <v>3</v>
      </c>
      <c r="E6065" s="0" t="n">
        <f aca="false">-1+A6065*0.25</f>
        <v>1</v>
      </c>
      <c r="F6065" s="0" t="n">
        <f aca="false">-1+B6065*0.25</f>
        <v>-0.5</v>
      </c>
      <c r="G6065" s="0" t="n">
        <f aca="false">-1+C6065*0.25</f>
        <v>0.75</v>
      </c>
      <c r="H6065" s="0" t="n">
        <f aca="false">-1+D6065*0.25</f>
        <v>-0.25</v>
      </c>
      <c r="I6065" s="0" t="n">
        <f aca="false">1</f>
        <v>1</v>
      </c>
      <c r="J6065" s="0" t="n">
        <f aca="false">E6065</f>
        <v>1</v>
      </c>
      <c r="K6065" s="0" t="n">
        <f aca="false">F6065</f>
        <v>-0.5</v>
      </c>
      <c r="L6065" s="0" t="n">
        <f aca="false">G6065</f>
        <v>0.75</v>
      </c>
      <c r="M6065" s="0" t="n">
        <f aca="false">H6065</f>
        <v>-0.25</v>
      </c>
      <c r="N6065" s="0" t="n">
        <f aca="false">E6065*F6065</f>
        <v>-0.5</v>
      </c>
      <c r="O6065" s="0" t="n">
        <f aca="false">E6065*G6065</f>
        <v>0.75</v>
      </c>
      <c r="P6065" s="0" t="n">
        <f aca="false">E6065*H6065</f>
        <v>-0.25</v>
      </c>
      <c r="Q6065" s="0" t="n">
        <f aca="false">F6065*G6065</f>
        <v>-0.375</v>
      </c>
      <c r="R6065" s="0" t="n">
        <f aca="false">F6065*H6065</f>
        <v>0.125</v>
      </c>
      <c r="S6065" s="0" t="n">
        <f aca="false">G6065*H6065</f>
        <v>-0.1875</v>
      </c>
      <c r="T6065" s="0" t="n">
        <f aca="false">E6065*E6065</f>
        <v>1</v>
      </c>
      <c r="U6065" s="0" t="n">
        <f aca="false">F6065*F6065</f>
        <v>0.25</v>
      </c>
      <c r="V6065" s="0" t="n">
        <f aca="false">G6065*G6065</f>
        <v>0.5625</v>
      </c>
      <c r="W6065" s="0" t="n">
        <f aca="false">H6065*H6065</f>
        <v>0.0625</v>
      </c>
      <c r="X6065" s="0" t="n">
        <f aca="false">SUMPRODUCT(I6065:W6065,_XtX!$B$96:$P$96)</f>
        <v>44.5875776681287</v>
      </c>
      <c r="Y6065" s="0" t="n">
        <f aca="false">SUMPRODUCT(MMULT(I6065:W6065,_XtX!$B$78:$P$92),I6065:W6065)</f>
        <v>0.459125719572369</v>
      </c>
      <c r="Z6065" s="0" t="n">
        <f aca="false">04_回帰ANOVA!$K$19*04_回帰ANOVA!$K$14*SQRT(1+Y6065)</f>
        <v>1.57450755575573</v>
      </c>
      <c r="AA6065" s="0" t="n">
        <f aca="false">X6065-Z6065</f>
        <v>43.013070112373</v>
      </c>
      <c r="AB6065" s="0" t="n">
        <f aca="false">X6065+Z6065</f>
        <v>46.1620852238844</v>
      </c>
      <c r="AC6065" s="54" t="b">
        <f aca="false">AND(E6065&gt;=01_因子設定!$L$5-0.000000001,E6065&lt;=01_因子設定!$M$5+0.000000001,F6065&gt;=01_因子設定!$L$6-0.000000001,F6065&lt;=01_因子設定!$M$6+0.000000001,G6065&gt;=01_因子設定!$L$7-0.000000001,G6065&lt;=01_因子設定!$M$7+0.000000001,H6065&gt;=01_因子設定!$L$8-0.000000001,H6065&lt;=01_因子設定!$M$8+0.000000001,IF(01_因子設定!$B$20="Box-Behnken",E6065^2+F6065^2+G6065^2+H6065^2&lt;=2+0.000000001,TRUE()))</f>
        <v>1</v>
      </c>
      <c r="AD6065" s="55" t="n">
        <f aca="false">IF(AC6065,IF(01_因子設定!$B$13="最大化",AA6065-01_因子設定!$B$14,IF(01_因子設定!$B$13="最小化",01_因子設定!$B$15-AB6065,MIN(AA6065-01_因子設定!$B$14,01_因子設定!$B$15-AB6065))),-1E+030)</f>
        <v>-3.48692988762705</v>
      </c>
      <c r="AE6065" s="55" t="n">
        <f aca="false">IF(AC6065,IF(01_因子設定!$B$13="最大化",X6065,IF(01_因子設定!$B$13="最小化",-X6065,-ABS(X6065-01_因子設定!$B$16))),-1E+030)</f>
        <v>44.5875776681287</v>
      </c>
      <c r="AF6065" s="55" t="n">
        <f aca="false">AD6065+ROW()*0.000000001</f>
        <v>-3.48692382262705</v>
      </c>
      <c r="AG6065" s="55" t="n">
        <f aca="false">AE6065+ROW()*0.000000001</f>
        <v>44.5875837331287</v>
      </c>
    </row>
    <row r="6066" customFormat="false" ht="15" hidden="false" customHeight="false" outlineLevel="0" collapsed="false">
      <c r="A6066" s="0" t="n">
        <v>8</v>
      </c>
      <c r="B6066" s="0" t="n">
        <v>2</v>
      </c>
      <c r="C6066" s="0" t="n">
        <v>7</v>
      </c>
      <c r="D6066" s="0" t="n">
        <v>4</v>
      </c>
      <c r="E6066" s="0" t="n">
        <f aca="false">-1+A6066*0.25</f>
        <v>1</v>
      </c>
      <c r="F6066" s="0" t="n">
        <f aca="false">-1+B6066*0.25</f>
        <v>-0.5</v>
      </c>
      <c r="G6066" s="0" t="n">
        <f aca="false">-1+C6066*0.25</f>
        <v>0.75</v>
      </c>
      <c r="H6066" s="0" t="n">
        <f aca="false">-1+D6066*0.25</f>
        <v>0</v>
      </c>
      <c r="I6066" s="0" t="n">
        <f aca="false">1</f>
        <v>1</v>
      </c>
      <c r="J6066" s="0" t="n">
        <f aca="false">E6066</f>
        <v>1</v>
      </c>
      <c r="K6066" s="0" t="n">
        <f aca="false">F6066</f>
        <v>-0.5</v>
      </c>
      <c r="L6066" s="0" t="n">
        <f aca="false">G6066</f>
        <v>0.75</v>
      </c>
      <c r="M6066" s="0" t="n">
        <f aca="false">H6066</f>
        <v>0</v>
      </c>
      <c r="N6066" s="0" t="n">
        <f aca="false">E6066*F6066</f>
        <v>-0.5</v>
      </c>
      <c r="O6066" s="0" t="n">
        <f aca="false">E6066*G6066</f>
        <v>0.75</v>
      </c>
      <c r="P6066" s="0" t="n">
        <f aca="false">E6066*H6066</f>
        <v>0</v>
      </c>
      <c r="Q6066" s="0" t="n">
        <f aca="false">F6066*G6066</f>
        <v>-0.375</v>
      </c>
      <c r="R6066" s="0" t="n">
        <f aca="false">F6066*H6066</f>
        <v>-0</v>
      </c>
      <c r="S6066" s="0" t="n">
        <f aca="false">G6066*H6066</f>
        <v>0</v>
      </c>
      <c r="T6066" s="0" t="n">
        <f aca="false">E6066*E6066</f>
        <v>1</v>
      </c>
      <c r="U6066" s="0" t="n">
        <f aca="false">F6066*F6066</f>
        <v>0.25</v>
      </c>
      <c r="V6066" s="0" t="n">
        <f aca="false">G6066*G6066</f>
        <v>0.5625</v>
      </c>
      <c r="W6066" s="0" t="n">
        <f aca="false">H6066*H6066</f>
        <v>0</v>
      </c>
      <c r="X6066" s="0" t="n">
        <f aca="false">SUMPRODUCT(I6066:W6066,_XtX!$B$96:$P$96)</f>
        <v>44.8245888157895</v>
      </c>
      <c r="Y6066" s="0" t="n">
        <f aca="false">SUMPRODUCT(MMULT(I6066:W6066,_XtX!$B$78:$P$92),I6066:W6066)</f>
        <v>0.476191292032164</v>
      </c>
      <c r="Z6066" s="0" t="n">
        <f aca="false">04_回帰ANOVA!$K$19*04_回帰ANOVA!$K$14*SQRT(1+Y6066)</f>
        <v>1.58368831471718</v>
      </c>
      <c r="AA6066" s="0" t="n">
        <f aca="false">X6066-Z6066</f>
        <v>43.2409005010723</v>
      </c>
      <c r="AB6066" s="0" t="n">
        <f aca="false">X6066+Z6066</f>
        <v>46.4082771305067</v>
      </c>
      <c r="AC6066" s="54" t="b">
        <f aca="false">AND(E6066&gt;=01_因子設定!$L$5-0.000000001,E6066&lt;=01_因子設定!$M$5+0.000000001,F6066&gt;=01_因子設定!$L$6-0.000000001,F6066&lt;=01_因子設定!$M$6+0.000000001,G6066&gt;=01_因子設定!$L$7-0.000000001,G6066&lt;=01_因子設定!$M$7+0.000000001,H6066&gt;=01_因子設定!$L$8-0.000000001,H6066&lt;=01_因子設定!$M$8+0.000000001,IF(01_因子設定!$B$20="Box-Behnken",E6066^2+F6066^2+G6066^2+H6066^2&lt;=2+0.000000001,TRUE()))</f>
        <v>1</v>
      </c>
      <c r="AD6066" s="55" t="n">
        <f aca="false">IF(AC6066,IF(01_因子設定!$B$13="最大化",AA6066-01_因子設定!$B$14,IF(01_因子設定!$B$13="最小化",01_因子設定!$B$15-AB6066,MIN(AA6066-01_因子設定!$B$14,01_因子設定!$B$15-AB6066))),-1E+030)</f>
        <v>-3.25909949892768</v>
      </c>
      <c r="AE6066" s="55" t="n">
        <f aca="false">IF(AC6066,IF(01_因子設定!$B$13="最大化",X6066,IF(01_因子設定!$B$13="最小化",-X6066,-ABS(X6066-01_因子設定!$B$16))),-1E+030)</f>
        <v>44.8245888157895</v>
      </c>
      <c r="AF6066" s="55" t="n">
        <f aca="false">AD6066+ROW()*0.000000001</f>
        <v>-3.25909343292768</v>
      </c>
      <c r="AG6066" s="55" t="n">
        <f aca="false">AE6066+ROW()*0.000000001</f>
        <v>44.8245948817895</v>
      </c>
    </row>
    <row r="6067" customFormat="false" ht="15" hidden="false" customHeight="false" outlineLevel="0" collapsed="false">
      <c r="A6067" s="0" t="n">
        <v>8</v>
      </c>
      <c r="B6067" s="0" t="n">
        <v>2</v>
      </c>
      <c r="C6067" s="0" t="n">
        <v>7</v>
      </c>
      <c r="D6067" s="0" t="n">
        <v>5</v>
      </c>
      <c r="E6067" s="0" t="n">
        <f aca="false">-1+A6067*0.25</f>
        <v>1</v>
      </c>
      <c r="F6067" s="0" t="n">
        <f aca="false">-1+B6067*0.25</f>
        <v>-0.5</v>
      </c>
      <c r="G6067" s="0" t="n">
        <f aca="false">-1+C6067*0.25</f>
        <v>0.75</v>
      </c>
      <c r="H6067" s="0" t="n">
        <f aca="false">-1+D6067*0.25</f>
        <v>0.25</v>
      </c>
      <c r="I6067" s="0" t="n">
        <f aca="false">1</f>
        <v>1</v>
      </c>
      <c r="J6067" s="0" t="n">
        <f aca="false">E6067</f>
        <v>1</v>
      </c>
      <c r="K6067" s="0" t="n">
        <f aca="false">F6067</f>
        <v>-0.5</v>
      </c>
      <c r="L6067" s="0" t="n">
        <f aca="false">G6067</f>
        <v>0.75</v>
      </c>
      <c r="M6067" s="0" t="n">
        <f aca="false">H6067</f>
        <v>0.25</v>
      </c>
      <c r="N6067" s="0" t="n">
        <f aca="false">E6067*F6067</f>
        <v>-0.5</v>
      </c>
      <c r="O6067" s="0" t="n">
        <f aca="false">E6067*G6067</f>
        <v>0.75</v>
      </c>
      <c r="P6067" s="0" t="n">
        <f aca="false">E6067*H6067</f>
        <v>0.25</v>
      </c>
      <c r="Q6067" s="0" t="n">
        <f aca="false">F6067*G6067</f>
        <v>-0.375</v>
      </c>
      <c r="R6067" s="0" t="n">
        <f aca="false">F6067*H6067</f>
        <v>-0.125</v>
      </c>
      <c r="S6067" s="0" t="n">
        <f aca="false">G6067*H6067</f>
        <v>0.1875</v>
      </c>
      <c r="T6067" s="0" t="n">
        <f aca="false">E6067*E6067</f>
        <v>1</v>
      </c>
      <c r="U6067" s="0" t="n">
        <f aca="false">F6067*F6067</f>
        <v>0.25</v>
      </c>
      <c r="V6067" s="0" t="n">
        <f aca="false">G6067*G6067</f>
        <v>0.5625</v>
      </c>
      <c r="W6067" s="0" t="n">
        <f aca="false">H6067*H6067</f>
        <v>0.0625</v>
      </c>
      <c r="X6067" s="0" t="n">
        <f aca="false">SUMPRODUCT(I6067:W6067,_XtX!$B$96:$P$96)</f>
        <v>45.0137929459065</v>
      </c>
      <c r="Y6067" s="0" t="n">
        <f aca="false">SUMPRODUCT(MMULT(I6067:W6067,_XtX!$B$78:$P$92),I6067:W6067)</f>
        <v>0.459125719572369</v>
      </c>
      <c r="Z6067" s="0" t="n">
        <f aca="false">04_回帰ANOVA!$K$19*04_回帰ANOVA!$K$14*SQRT(1+Y6067)</f>
        <v>1.57450755575573</v>
      </c>
      <c r="AA6067" s="0" t="n">
        <f aca="false">X6067-Z6067</f>
        <v>43.4392853901507</v>
      </c>
      <c r="AB6067" s="0" t="n">
        <f aca="false">X6067+Z6067</f>
        <v>46.5883005016622</v>
      </c>
      <c r="AC6067" s="54" t="b">
        <f aca="false">AND(E6067&gt;=01_因子設定!$L$5-0.000000001,E6067&lt;=01_因子設定!$M$5+0.000000001,F6067&gt;=01_因子設定!$L$6-0.000000001,F6067&lt;=01_因子設定!$M$6+0.000000001,G6067&gt;=01_因子設定!$L$7-0.000000001,G6067&lt;=01_因子設定!$M$7+0.000000001,H6067&gt;=01_因子設定!$L$8-0.000000001,H6067&lt;=01_因子設定!$M$8+0.000000001,IF(01_因子設定!$B$20="Box-Behnken",E6067^2+F6067^2+G6067^2+H6067^2&lt;=2+0.000000001,TRUE()))</f>
        <v>1</v>
      </c>
      <c r="AD6067" s="55" t="n">
        <f aca="false">IF(AC6067,IF(01_因子設定!$B$13="最大化",AA6067-01_因子設定!$B$14,IF(01_因子設定!$B$13="最小化",01_因子設定!$B$15-AB6067,MIN(AA6067-01_因子設定!$B$14,01_因子設定!$B$15-AB6067))),-1E+030)</f>
        <v>-3.06071460984927</v>
      </c>
      <c r="AE6067" s="55" t="n">
        <f aca="false">IF(AC6067,IF(01_因子設定!$B$13="最大化",X6067,IF(01_因子設定!$B$13="最小化",-X6067,-ABS(X6067-01_因子設定!$B$16))),-1E+030)</f>
        <v>45.0137929459065</v>
      </c>
      <c r="AF6067" s="55" t="n">
        <f aca="false">AD6067+ROW()*0.000000001</f>
        <v>-3.06070854284927</v>
      </c>
      <c r="AG6067" s="55" t="n">
        <f aca="false">AE6067+ROW()*0.000000001</f>
        <v>45.0137990129065</v>
      </c>
    </row>
    <row r="6068" customFormat="false" ht="15" hidden="false" customHeight="false" outlineLevel="0" collapsed="false">
      <c r="A6068" s="0" t="n">
        <v>8</v>
      </c>
      <c r="B6068" s="0" t="n">
        <v>2</v>
      </c>
      <c r="C6068" s="0" t="n">
        <v>7</v>
      </c>
      <c r="D6068" s="0" t="n">
        <v>6</v>
      </c>
      <c r="E6068" s="0" t="n">
        <f aca="false">-1+A6068*0.25</f>
        <v>1</v>
      </c>
      <c r="F6068" s="0" t="n">
        <f aca="false">-1+B6068*0.25</f>
        <v>-0.5</v>
      </c>
      <c r="G6068" s="0" t="n">
        <f aca="false">-1+C6068*0.25</f>
        <v>0.75</v>
      </c>
      <c r="H6068" s="0" t="n">
        <f aca="false">-1+D6068*0.25</f>
        <v>0.5</v>
      </c>
      <c r="I6068" s="0" t="n">
        <f aca="false">1</f>
        <v>1</v>
      </c>
      <c r="J6068" s="0" t="n">
        <f aca="false">E6068</f>
        <v>1</v>
      </c>
      <c r="K6068" s="0" t="n">
        <f aca="false">F6068</f>
        <v>-0.5</v>
      </c>
      <c r="L6068" s="0" t="n">
        <f aca="false">G6068</f>
        <v>0.75</v>
      </c>
      <c r="M6068" s="0" t="n">
        <f aca="false">H6068</f>
        <v>0.5</v>
      </c>
      <c r="N6068" s="0" t="n">
        <f aca="false">E6068*F6068</f>
        <v>-0.5</v>
      </c>
      <c r="O6068" s="0" t="n">
        <f aca="false">E6068*G6068</f>
        <v>0.75</v>
      </c>
      <c r="P6068" s="0" t="n">
        <f aca="false">E6068*H6068</f>
        <v>0.5</v>
      </c>
      <c r="Q6068" s="0" t="n">
        <f aca="false">F6068*G6068</f>
        <v>-0.375</v>
      </c>
      <c r="R6068" s="0" t="n">
        <f aca="false">F6068*H6068</f>
        <v>-0.25</v>
      </c>
      <c r="S6068" s="0" t="n">
        <f aca="false">G6068*H6068</f>
        <v>0.375</v>
      </c>
      <c r="T6068" s="0" t="n">
        <f aca="false">E6068*E6068</f>
        <v>1</v>
      </c>
      <c r="U6068" s="0" t="n">
        <f aca="false">F6068*F6068</f>
        <v>0.25</v>
      </c>
      <c r="V6068" s="0" t="n">
        <f aca="false">G6068*G6068</f>
        <v>0.5625</v>
      </c>
      <c r="W6068" s="0" t="n">
        <f aca="false">H6068*H6068</f>
        <v>0.25</v>
      </c>
      <c r="X6068" s="0" t="n">
        <f aca="false">SUMPRODUCT(I6068:W6068,_XtX!$B$96:$P$96)</f>
        <v>45.1551900584796</v>
      </c>
      <c r="Y6068" s="0" t="n">
        <f aca="false">SUMPRODUCT(MMULT(I6068:W6068,_XtX!$B$78:$P$92),I6068:W6068)</f>
        <v>0.42602110745614</v>
      </c>
      <c r="Z6068" s="0" t="n">
        <f aca="false">04_回帰ANOVA!$K$19*04_回帰ANOVA!$K$14*SQRT(1+Y6068)</f>
        <v>1.55654388501114</v>
      </c>
      <c r="AA6068" s="0" t="n">
        <f aca="false">X6068-Z6068</f>
        <v>43.5986461734684</v>
      </c>
      <c r="AB6068" s="0" t="n">
        <f aca="false">X6068+Z6068</f>
        <v>46.7117339434907</v>
      </c>
      <c r="AC6068" s="54" t="b">
        <f aca="false">AND(E6068&gt;=01_因子設定!$L$5-0.000000001,E6068&lt;=01_因子設定!$M$5+0.000000001,F6068&gt;=01_因子設定!$L$6-0.000000001,F6068&lt;=01_因子設定!$M$6+0.000000001,G6068&gt;=01_因子設定!$L$7-0.000000001,G6068&lt;=01_因子設定!$M$7+0.000000001,H6068&gt;=01_因子設定!$L$8-0.000000001,H6068&lt;=01_因子設定!$M$8+0.000000001,IF(01_因子設定!$B$20="Box-Behnken",E6068^2+F6068^2+G6068^2+H6068^2&lt;=2+0.000000001,TRUE()))</f>
        <v>1</v>
      </c>
      <c r="AD6068" s="55" t="n">
        <f aca="false">IF(AC6068,IF(01_因子設定!$B$13="最大化",AA6068-01_因子設定!$B$14,IF(01_因子設定!$B$13="最小化",01_因子設定!$B$15-AB6068,MIN(AA6068-01_因子設定!$B$14,01_因子設定!$B$15-AB6068))),-1E+030)</f>
        <v>-2.90135382653157</v>
      </c>
      <c r="AE6068" s="55" t="n">
        <f aca="false">IF(AC6068,IF(01_因子設定!$B$13="最大化",X6068,IF(01_因子設定!$B$13="最小化",-X6068,-ABS(X6068-01_因子設定!$B$16))),-1E+030)</f>
        <v>45.1551900584796</v>
      </c>
      <c r="AF6068" s="55" t="n">
        <f aca="false">AD6068+ROW()*0.000000001</f>
        <v>-2.90134775853157</v>
      </c>
      <c r="AG6068" s="55" t="n">
        <f aca="false">AE6068+ROW()*0.000000001</f>
        <v>45.1551961264796</v>
      </c>
    </row>
    <row r="6069" customFormat="false" ht="15" hidden="false" customHeight="false" outlineLevel="0" collapsed="false">
      <c r="A6069" s="0" t="n">
        <v>8</v>
      </c>
      <c r="B6069" s="0" t="n">
        <v>2</v>
      </c>
      <c r="C6069" s="0" t="n">
        <v>7</v>
      </c>
      <c r="D6069" s="0" t="n">
        <v>7</v>
      </c>
      <c r="E6069" s="0" t="n">
        <f aca="false">-1+A6069*0.25</f>
        <v>1</v>
      </c>
      <c r="F6069" s="0" t="n">
        <f aca="false">-1+B6069*0.25</f>
        <v>-0.5</v>
      </c>
      <c r="G6069" s="0" t="n">
        <f aca="false">-1+C6069*0.25</f>
        <v>0.75</v>
      </c>
      <c r="H6069" s="0" t="n">
        <f aca="false">-1+D6069*0.25</f>
        <v>0.75</v>
      </c>
      <c r="I6069" s="0" t="n">
        <f aca="false">1</f>
        <v>1</v>
      </c>
      <c r="J6069" s="0" t="n">
        <f aca="false">E6069</f>
        <v>1</v>
      </c>
      <c r="K6069" s="0" t="n">
        <f aca="false">F6069</f>
        <v>-0.5</v>
      </c>
      <c r="L6069" s="0" t="n">
        <f aca="false">G6069</f>
        <v>0.75</v>
      </c>
      <c r="M6069" s="0" t="n">
        <f aca="false">H6069</f>
        <v>0.75</v>
      </c>
      <c r="N6069" s="0" t="n">
        <f aca="false">E6069*F6069</f>
        <v>-0.5</v>
      </c>
      <c r="O6069" s="0" t="n">
        <f aca="false">E6069*G6069</f>
        <v>0.75</v>
      </c>
      <c r="P6069" s="0" t="n">
        <f aca="false">E6069*H6069</f>
        <v>0.75</v>
      </c>
      <c r="Q6069" s="0" t="n">
        <f aca="false">F6069*G6069</f>
        <v>-0.375</v>
      </c>
      <c r="R6069" s="0" t="n">
        <f aca="false">F6069*H6069</f>
        <v>-0.375</v>
      </c>
      <c r="S6069" s="0" t="n">
        <f aca="false">G6069*H6069</f>
        <v>0.5625</v>
      </c>
      <c r="T6069" s="0" t="n">
        <f aca="false">E6069*E6069</f>
        <v>1</v>
      </c>
      <c r="U6069" s="0" t="n">
        <f aca="false">F6069*F6069</f>
        <v>0.25</v>
      </c>
      <c r="V6069" s="0" t="n">
        <f aca="false">G6069*G6069</f>
        <v>0.5625</v>
      </c>
      <c r="W6069" s="0" t="n">
        <f aca="false">H6069*H6069</f>
        <v>0.5625</v>
      </c>
      <c r="X6069" s="0" t="n">
        <f aca="false">SUMPRODUCT(I6069:W6069,_XtX!$B$96:$P$96)</f>
        <v>45.2487801535088</v>
      </c>
      <c r="Y6069" s="0" t="n">
        <f aca="false">SUMPRODUCT(MMULT(I6069:W6069,_XtX!$B$78:$P$92),I6069:W6069)</f>
        <v>0.431153771472953</v>
      </c>
      <c r="Z6069" s="0" t="n">
        <f aca="false">04_回帰ANOVA!$K$19*04_回帰ANOVA!$K$14*SQRT(1+Y6069)</f>
        <v>1.55934259562563</v>
      </c>
      <c r="AA6069" s="0" t="n">
        <f aca="false">X6069-Z6069</f>
        <v>43.6894375578832</v>
      </c>
      <c r="AB6069" s="0" t="n">
        <f aca="false">X6069+Z6069</f>
        <v>46.8081227491345</v>
      </c>
      <c r="AC6069" s="54" t="b">
        <f aca="false">AND(E6069&gt;=01_因子設定!$L$5-0.000000001,E6069&lt;=01_因子設定!$M$5+0.000000001,F6069&gt;=01_因子設定!$L$6-0.000000001,F6069&lt;=01_因子設定!$M$6+0.000000001,G6069&gt;=01_因子設定!$L$7-0.000000001,G6069&lt;=01_因子設定!$M$7+0.000000001,H6069&gt;=01_因子設定!$L$8-0.000000001,H6069&lt;=01_因子設定!$M$8+0.000000001,IF(01_因子設定!$B$20="Box-Behnken",E6069^2+F6069^2+G6069^2+H6069^2&lt;=2+0.000000001,TRUE()))</f>
        <v>1</v>
      </c>
      <c r="AD6069" s="55" t="n">
        <f aca="false">IF(AC6069,IF(01_因子設定!$B$13="最大化",AA6069-01_因子設定!$B$14,IF(01_因子設定!$B$13="最小化",01_因子設定!$B$15-AB6069,MIN(AA6069-01_因子設定!$B$14,01_因子設定!$B$15-AB6069))),-1E+030)</f>
        <v>-2.81056244211681</v>
      </c>
      <c r="AE6069" s="55" t="n">
        <f aca="false">IF(AC6069,IF(01_因子設定!$B$13="最大化",X6069,IF(01_因子設定!$B$13="最小化",-X6069,-ABS(X6069-01_因子設定!$B$16))),-1E+030)</f>
        <v>45.2487801535088</v>
      </c>
      <c r="AF6069" s="55" t="n">
        <f aca="false">AD6069+ROW()*0.000000001</f>
        <v>-2.81055637311681</v>
      </c>
      <c r="AG6069" s="55" t="n">
        <f aca="false">AE6069+ROW()*0.000000001</f>
        <v>45.2487862225088</v>
      </c>
    </row>
    <row r="6070" customFormat="false" ht="15" hidden="false" customHeight="false" outlineLevel="0" collapsed="false">
      <c r="A6070" s="0" t="n">
        <v>8</v>
      </c>
      <c r="B6070" s="0" t="n">
        <v>2</v>
      </c>
      <c r="C6070" s="0" t="n">
        <v>7</v>
      </c>
      <c r="D6070" s="0" t="n">
        <v>8</v>
      </c>
      <c r="E6070" s="0" t="n">
        <f aca="false">-1+A6070*0.25</f>
        <v>1</v>
      </c>
      <c r="F6070" s="0" t="n">
        <f aca="false">-1+B6070*0.25</f>
        <v>-0.5</v>
      </c>
      <c r="G6070" s="0" t="n">
        <f aca="false">-1+C6070*0.25</f>
        <v>0.75</v>
      </c>
      <c r="H6070" s="0" t="n">
        <f aca="false">-1+D6070*0.25</f>
        <v>1</v>
      </c>
      <c r="I6070" s="0" t="n">
        <f aca="false">1</f>
        <v>1</v>
      </c>
      <c r="J6070" s="0" t="n">
        <f aca="false">E6070</f>
        <v>1</v>
      </c>
      <c r="K6070" s="0" t="n">
        <f aca="false">F6070</f>
        <v>-0.5</v>
      </c>
      <c r="L6070" s="0" t="n">
        <f aca="false">G6070</f>
        <v>0.75</v>
      </c>
      <c r="M6070" s="0" t="n">
        <f aca="false">H6070</f>
        <v>1</v>
      </c>
      <c r="N6070" s="0" t="n">
        <f aca="false">E6070*F6070</f>
        <v>-0.5</v>
      </c>
      <c r="O6070" s="0" t="n">
        <f aca="false">E6070*G6070</f>
        <v>0.75</v>
      </c>
      <c r="P6070" s="0" t="n">
        <f aca="false">E6070*H6070</f>
        <v>1</v>
      </c>
      <c r="Q6070" s="0" t="n">
        <f aca="false">F6070*G6070</f>
        <v>-0.375</v>
      </c>
      <c r="R6070" s="0" t="n">
        <f aca="false">F6070*H6070</f>
        <v>-0.5</v>
      </c>
      <c r="S6070" s="0" t="n">
        <f aca="false">G6070*H6070</f>
        <v>0.75</v>
      </c>
      <c r="T6070" s="0" t="n">
        <f aca="false">E6070*E6070</f>
        <v>1</v>
      </c>
      <c r="U6070" s="0" t="n">
        <f aca="false">F6070*F6070</f>
        <v>0.25</v>
      </c>
      <c r="V6070" s="0" t="n">
        <f aca="false">G6070*G6070</f>
        <v>0.5625</v>
      </c>
      <c r="W6070" s="0" t="n">
        <f aca="false">H6070*H6070</f>
        <v>1</v>
      </c>
      <c r="X6070" s="0" t="n">
        <f aca="false">SUMPRODUCT(I6070:W6070,_XtX!$B$96:$P$96)</f>
        <v>45.2945632309942</v>
      </c>
      <c r="Y6070" s="0" t="n">
        <f aca="false">SUMPRODUCT(MMULT(I6070:W6070,_XtX!$B$78:$P$92),I6070:W6070)</f>
        <v>0.564984237938597</v>
      </c>
      <c r="Z6070" s="0" t="n">
        <f aca="false">04_回帰ANOVA!$K$19*04_回帰ANOVA!$K$14*SQRT(1+Y6070)</f>
        <v>1.63062229734503</v>
      </c>
      <c r="AA6070" s="0" t="n">
        <f aca="false">X6070-Z6070</f>
        <v>43.6639409336492</v>
      </c>
      <c r="AB6070" s="0" t="n">
        <f aca="false">X6070+Z6070</f>
        <v>46.9251855283393</v>
      </c>
      <c r="AC6070" s="54" t="b">
        <f aca="false">AND(E6070&gt;=01_因子設定!$L$5-0.000000001,E6070&lt;=01_因子設定!$M$5+0.000000001,F6070&gt;=01_因子設定!$L$6-0.000000001,F6070&lt;=01_因子設定!$M$6+0.000000001,G6070&gt;=01_因子設定!$L$7-0.000000001,G6070&lt;=01_因子設定!$M$7+0.000000001,H6070&gt;=01_因子設定!$L$8-0.000000001,H6070&lt;=01_因子設定!$M$8+0.000000001,IF(01_因子設定!$B$20="Box-Behnken",E6070^2+F6070^2+G6070^2+H6070^2&lt;=2+0.000000001,TRUE()))</f>
        <v>1</v>
      </c>
      <c r="AD6070" s="55" t="n">
        <f aca="false">IF(AC6070,IF(01_因子設定!$B$13="最大化",AA6070-01_因子設定!$B$14,IF(01_因子設定!$B$13="最小化",01_因子設定!$B$15-AB6070,MIN(AA6070-01_因子設定!$B$14,01_因子設定!$B$15-AB6070))),-1E+030)</f>
        <v>-2.83605906635082</v>
      </c>
      <c r="AE6070" s="55" t="n">
        <f aca="false">IF(AC6070,IF(01_因子設定!$B$13="最大化",X6070,IF(01_因子設定!$B$13="最小化",-X6070,-ABS(X6070-01_因子設定!$B$16))),-1E+030)</f>
        <v>45.2945632309942</v>
      </c>
      <c r="AF6070" s="55" t="n">
        <f aca="false">AD6070+ROW()*0.000000001</f>
        <v>-2.83605299635082</v>
      </c>
      <c r="AG6070" s="55" t="n">
        <f aca="false">AE6070+ROW()*0.000000001</f>
        <v>45.2945693009942</v>
      </c>
    </row>
    <row r="6071" customFormat="false" ht="15" hidden="false" customHeight="false" outlineLevel="0" collapsed="false">
      <c r="A6071" s="0" t="n">
        <v>8</v>
      </c>
      <c r="B6071" s="0" t="n">
        <v>2</v>
      </c>
      <c r="C6071" s="0" t="n">
        <v>8</v>
      </c>
      <c r="D6071" s="0" t="n">
        <v>0</v>
      </c>
      <c r="E6071" s="0" t="n">
        <f aca="false">-1+A6071*0.25</f>
        <v>1</v>
      </c>
      <c r="F6071" s="0" t="n">
        <f aca="false">-1+B6071*0.25</f>
        <v>-0.5</v>
      </c>
      <c r="G6071" s="0" t="n">
        <f aca="false">-1+C6071*0.25</f>
        <v>1</v>
      </c>
      <c r="H6071" s="0" t="n">
        <f aca="false">-1+D6071*0.25</f>
        <v>-1</v>
      </c>
      <c r="I6071" s="0" t="n">
        <f aca="false">1</f>
        <v>1</v>
      </c>
      <c r="J6071" s="0" t="n">
        <f aca="false">E6071</f>
        <v>1</v>
      </c>
      <c r="K6071" s="0" t="n">
        <f aca="false">F6071</f>
        <v>-0.5</v>
      </c>
      <c r="L6071" s="0" t="n">
        <f aca="false">G6071</f>
        <v>1</v>
      </c>
      <c r="M6071" s="0" t="n">
        <f aca="false">H6071</f>
        <v>-1</v>
      </c>
      <c r="N6071" s="0" t="n">
        <f aca="false">E6071*F6071</f>
        <v>-0.5</v>
      </c>
      <c r="O6071" s="0" t="n">
        <f aca="false">E6071*G6071</f>
        <v>1</v>
      </c>
      <c r="P6071" s="0" t="n">
        <f aca="false">E6071*H6071</f>
        <v>-1</v>
      </c>
      <c r="Q6071" s="0" t="n">
        <f aca="false">F6071*G6071</f>
        <v>-0.5</v>
      </c>
      <c r="R6071" s="0" t="n">
        <f aca="false">F6071*H6071</f>
        <v>0.5</v>
      </c>
      <c r="S6071" s="0" t="n">
        <f aca="false">G6071*H6071</f>
        <v>-1</v>
      </c>
      <c r="T6071" s="0" t="n">
        <f aca="false">E6071*E6071</f>
        <v>1</v>
      </c>
      <c r="U6071" s="0" t="n">
        <f aca="false">F6071*F6071</f>
        <v>0.25</v>
      </c>
      <c r="V6071" s="0" t="n">
        <f aca="false">G6071*G6071</f>
        <v>1</v>
      </c>
      <c r="W6071" s="0" t="n">
        <f aca="false">H6071*H6071</f>
        <v>1</v>
      </c>
      <c r="X6071" s="0" t="n">
        <f aca="false">SUMPRODUCT(I6071:W6071,_XtX!$B$96:$P$96)</f>
        <v>43.2635233918129</v>
      </c>
      <c r="Y6071" s="0" t="n">
        <f aca="false">SUMPRODUCT(MMULT(I6071:W6071,_XtX!$B$78:$P$92),I6071:W6071)</f>
        <v>0.667123538011696</v>
      </c>
      <c r="Z6071" s="0" t="n">
        <f aca="false">04_回帰ANOVA!$K$19*04_回帰ANOVA!$K$14*SQRT(1+Y6071)</f>
        <v>1.68299290213005</v>
      </c>
      <c r="AA6071" s="0" t="n">
        <f aca="false">X6071-Z6071</f>
        <v>41.5805304896829</v>
      </c>
      <c r="AB6071" s="0" t="n">
        <f aca="false">X6071+Z6071</f>
        <v>44.946516293943</v>
      </c>
      <c r="AC6071" s="54" t="b">
        <f aca="false">AND(E6071&gt;=01_因子設定!$L$5-0.000000001,E6071&lt;=01_因子設定!$M$5+0.000000001,F6071&gt;=01_因子設定!$L$6-0.000000001,F6071&lt;=01_因子設定!$M$6+0.000000001,G6071&gt;=01_因子設定!$L$7-0.000000001,G6071&lt;=01_因子設定!$M$7+0.000000001,H6071&gt;=01_因子設定!$L$8-0.000000001,H6071&lt;=01_因子設定!$M$8+0.000000001,IF(01_因子設定!$B$20="Box-Behnken",E6071^2+F6071^2+G6071^2+H6071^2&lt;=2+0.000000001,TRUE()))</f>
        <v>1</v>
      </c>
      <c r="AD6071" s="55" t="n">
        <f aca="false">IF(AC6071,IF(01_因子設定!$B$13="最大化",AA6071-01_因子設定!$B$14,IF(01_因子設定!$B$13="最小化",01_因子設定!$B$15-AB6071,MIN(AA6071-01_因子設定!$B$14,01_因子設定!$B$15-AB6071))),-1E+030)</f>
        <v>-4.91946951031712</v>
      </c>
      <c r="AE6071" s="55" t="n">
        <f aca="false">IF(AC6071,IF(01_因子設定!$B$13="最大化",X6071,IF(01_因子設定!$B$13="最小化",-X6071,-ABS(X6071-01_因子設定!$B$16))),-1E+030)</f>
        <v>43.2635233918129</v>
      </c>
      <c r="AF6071" s="55" t="n">
        <f aca="false">AD6071+ROW()*0.000000001</f>
        <v>-4.91946343931712</v>
      </c>
      <c r="AG6071" s="55" t="n">
        <f aca="false">AE6071+ROW()*0.000000001</f>
        <v>43.2635294628129</v>
      </c>
    </row>
    <row r="6072" customFormat="false" ht="15" hidden="false" customHeight="false" outlineLevel="0" collapsed="false">
      <c r="A6072" s="0" t="n">
        <v>8</v>
      </c>
      <c r="B6072" s="0" t="n">
        <v>2</v>
      </c>
      <c r="C6072" s="0" t="n">
        <v>8</v>
      </c>
      <c r="D6072" s="0" t="n">
        <v>1</v>
      </c>
      <c r="E6072" s="0" t="n">
        <f aca="false">-1+A6072*0.25</f>
        <v>1</v>
      </c>
      <c r="F6072" s="0" t="n">
        <f aca="false">-1+B6072*0.25</f>
        <v>-0.5</v>
      </c>
      <c r="G6072" s="0" t="n">
        <f aca="false">-1+C6072*0.25</f>
        <v>1</v>
      </c>
      <c r="H6072" s="0" t="n">
        <f aca="false">-1+D6072*0.25</f>
        <v>-0.75</v>
      </c>
      <c r="I6072" s="0" t="n">
        <f aca="false">1</f>
        <v>1</v>
      </c>
      <c r="J6072" s="0" t="n">
        <f aca="false">E6072</f>
        <v>1</v>
      </c>
      <c r="K6072" s="0" t="n">
        <f aca="false">F6072</f>
        <v>-0.5</v>
      </c>
      <c r="L6072" s="0" t="n">
        <f aca="false">G6072</f>
        <v>1</v>
      </c>
      <c r="M6072" s="0" t="n">
        <f aca="false">H6072</f>
        <v>-0.75</v>
      </c>
      <c r="N6072" s="0" t="n">
        <f aca="false">E6072*F6072</f>
        <v>-0.5</v>
      </c>
      <c r="O6072" s="0" t="n">
        <f aca="false">E6072*G6072</f>
        <v>1</v>
      </c>
      <c r="P6072" s="0" t="n">
        <f aca="false">E6072*H6072</f>
        <v>-0.75</v>
      </c>
      <c r="Q6072" s="0" t="n">
        <f aca="false">F6072*G6072</f>
        <v>-0.5</v>
      </c>
      <c r="R6072" s="0" t="n">
        <f aca="false">F6072*H6072</f>
        <v>0.375</v>
      </c>
      <c r="S6072" s="0" t="n">
        <f aca="false">G6072*H6072</f>
        <v>-0.75</v>
      </c>
      <c r="T6072" s="0" t="n">
        <f aca="false">E6072*E6072</f>
        <v>1</v>
      </c>
      <c r="U6072" s="0" t="n">
        <f aca="false">F6072*F6072</f>
        <v>0.25</v>
      </c>
      <c r="V6072" s="0" t="n">
        <f aca="false">G6072*G6072</f>
        <v>1</v>
      </c>
      <c r="W6072" s="0" t="n">
        <f aca="false">H6072*H6072</f>
        <v>0.5625</v>
      </c>
      <c r="X6072" s="0" t="n">
        <f aca="false">SUMPRODUCT(I6072:W6072,_XtX!$B$96:$P$96)</f>
        <v>43.6619243421053</v>
      </c>
      <c r="Y6072" s="0" t="n">
        <f aca="false">SUMPRODUCT(MMULT(I6072:W6072,_XtX!$B$78:$P$92),I6072:W6072)</f>
        <v>0.564984237938597</v>
      </c>
      <c r="Z6072" s="0" t="n">
        <f aca="false">04_回帰ANOVA!$K$19*04_回帰ANOVA!$K$14*SQRT(1+Y6072)</f>
        <v>1.63062229734503</v>
      </c>
      <c r="AA6072" s="0" t="n">
        <f aca="false">X6072-Z6072</f>
        <v>42.0313020447603</v>
      </c>
      <c r="AB6072" s="0" t="n">
        <f aca="false">X6072+Z6072</f>
        <v>45.2925466394504</v>
      </c>
      <c r="AC6072" s="54" t="b">
        <f aca="false">AND(E6072&gt;=01_因子設定!$L$5-0.000000001,E6072&lt;=01_因子設定!$M$5+0.000000001,F6072&gt;=01_因子設定!$L$6-0.000000001,F6072&lt;=01_因子設定!$M$6+0.000000001,G6072&gt;=01_因子設定!$L$7-0.000000001,G6072&lt;=01_因子設定!$M$7+0.000000001,H6072&gt;=01_因子設定!$L$8-0.000000001,H6072&lt;=01_因子設定!$M$8+0.000000001,IF(01_因子設定!$B$20="Box-Behnken",E6072^2+F6072^2+G6072^2+H6072^2&lt;=2+0.000000001,TRUE()))</f>
        <v>1</v>
      </c>
      <c r="AD6072" s="55" t="n">
        <f aca="false">IF(AC6072,IF(01_因子設定!$B$13="最大化",AA6072-01_因子設定!$B$14,IF(01_因子設定!$B$13="最小化",01_因子設定!$B$15-AB6072,MIN(AA6072-01_因子設定!$B$14,01_因子設定!$B$15-AB6072))),-1E+030)</f>
        <v>-4.46869795523972</v>
      </c>
      <c r="AE6072" s="55" t="n">
        <f aca="false">IF(AC6072,IF(01_因子設定!$B$13="最大化",X6072,IF(01_因子設定!$B$13="最小化",-X6072,-ABS(X6072-01_因子設定!$B$16))),-1E+030)</f>
        <v>43.6619243421053</v>
      </c>
      <c r="AF6072" s="55" t="n">
        <f aca="false">AD6072+ROW()*0.000000001</f>
        <v>-4.46869188323972</v>
      </c>
      <c r="AG6072" s="55" t="n">
        <f aca="false">AE6072+ROW()*0.000000001</f>
        <v>43.6619304141053</v>
      </c>
    </row>
    <row r="6073" customFormat="false" ht="15" hidden="false" customHeight="false" outlineLevel="0" collapsed="false">
      <c r="A6073" s="0" t="n">
        <v>8</v>
      </c>
      <c r="B6073" s="0" t="n">
        <v>2</v>
      </c>
      <c r="C6073" s="0" t="n">
        <v>8</v>
      </c>
      <c r="D6073" s="0" t="n">
        <v>2</v>
      </c>
      <c r="E6073" s="0" t="n">
        <f aca="false">-1+A6073*0.25</f>
        <v>1</v>
      </c>
      <c r="F6073" s="0" t="n">
        <f aca="false">-1+B6073*0.25</f>
        <v>-0.5</v>
      </c>
      <c r="G6073" s="0" t="n">
        <f aca="false">-1+C6073*0.25</f>
        <v>1</v>
      </c>
      <c r="H6073" s="0" t="n">
        <f aca="false">-1+D6073*0.25</f>
        <v>-0.5</v>
      </c>
      <c r="I6073" s="0" t="n">
        <f aca="false">1</f>
        <v>1</v>
      </c>
      <c r="J6073" s="0" t="n">
        <f aca="false">E6073</f>
        <v>1</v>
      </c>
      <c r="K6073" s="0" t="n">
        <f aca="false">F6073</f>
        <v>-0.5</v>
      </c>
      <c r="L6073" s="0" t="n">
        <f aca="false">G6073</f>
        <v>1</v>
      </c>
      <c r="M6073" s="0" t="n">
        <f aca="false">H6073</f>
        <v>-0.5</v>
      </c>
      <c r="N6073" s="0" t="n">
        <f aca="false">E6073*F6073</f>
        <v>-0.5</v>
      </c>
      <c r="O6073" s="0" t="n">
        <f aca="false">E6073*G6073</f>
        <v>1</v>
      </c>
      <c r="P6073" s="0" t="n">
        <f aca="false">E6073*H6073</f>
        <v>-0.5</v>
      </c>
      <c r="Q6073" s="0" t="n">
        <f aca="false">F6073*G6073</f>
        <v>-0.5</v>
      </c>
      <c r="R6073" s="0" t="n">
        <f aca="false">F6073*H6073</f>
        <v>0.25</v>
      </c>
      <c r="S6073" s="0" t="n">
        <f aca="false">G6073*H6073</f>
        <v>-0.5</v>
      </c>
      <c r="T6073" s="0" t="n">
        <f aca="false">E6073*E6073</f>
        <v>1</v>
      </c>
      <c r="U6073" s="0" t="n">
        <f aca="false">F6073*F6073</f>
        <v>0.25</v>
      </c>
      <c r="V6073" s="0" t="n">
        <f aca="false">G6073*G6073</f>
        <v>1</v>
      </c>
      <c r="W6073" s="0" t="n">
        <f aca="false">H6073*H6073</f>
        <v>0.25</v>
      </c>
      <c r="X6073" s="0" t="n">
        <f aca="false">SUMPRODUCT(I6073:W6073,_XtX!$B$96:$P$96)</f>
        <v>44.0125182748538</v>
      </c>
      <c r="Y6073" s="0" t="n">
        <f aca="false">SUMPRODUCT(MMULT(I6073:W6073,_XtX!$B$78:$P$92),I6073:W6073)</f>
        <v>0.582488121345029</v>
      </c>
      <c r="Z6073" s="0" t="n">
        <f aca="false">04_回帰ANOVA!$K$19*04_回帰ANOVA!$K$14*SQRT(1+Y6073)</f>
        <v>1.63971595338287</v>
      </c>
      <c r="AA6073" s="0" t="n">
        <f aca="false">X6073-Z6073</f>
        <v>42.372802321471</v>
      </c>
      <c r="AB6073" s="0" t="n">
        <f aca="false">X6073+Z6073</f>
        <v>45.6522342282367</v>
      </c>
      <c r="AC6073" s="54" t="b">
        <f aca="false">AND(E6073&gt;=01_因子設定!$L$5-0.000000001,E6073&lt;=01_因子設定!$M$5+0.000000001,F6073&gt;=01_因子設定!$L$6-0.000000001,F6073&lt;=01_因子設定!$M$6+0.000000001,G6073&gt;=01_因子設定!$L$7-0.000000001,G6073&lt;=01_因子設定!$M$7+0.000000001,H6073&gt;=01_因子設定!$L$8-0.000000001,H6073&lt;=01_因子設定!$M$8+0.000000001,IF(01_因子設定!$B$20="Box-Behnken",E6073^2+F6073^2+G6073^2+H6073^2&lt;=2+0.000000001,TRUE()))</f>
        <v>1</v>
      </c>
      <c r="AD6073" s="55" t="n">
        <f aca="false">IF(AC6073,IF(01_因子設定!$B$13="最大化",AA6073-01_因子設定!$B$14,IF(01_因子設定!$B$13="最小化",01_因子設定!$B$15-AB6073,MIN(AA6073-01_因子設定!$B$14,01_因子設定!$B$15-AB6073))),-1E+030)</f>
        <v>-4.12719767852903</v>
      </c>
      <c r="AE6073" s="55" t="n">
        <f aca="false">IF(AC6073,IF(01_因子設定!$B$13="最大化",X6073,IF(01_因子設定!$B$13="最小化",-X6073,-ABS(X6073-01_因子設定!$B$16))),-1E+030)</f>
        <v>44.0125182748538</v>
      </c>
      <c r="AF6073" s="55" t="n">
        <f aca="false">AD6073+ROW()*0.000000001</f>
        <v>-4.12719160552903</v>
      </c>
      <c r="AG6073" s="55" t="n">
        <f aca="false">AE6073+ROW()*0.000000001</f>
        <v>44.0125243478538</v>
      </c>
    </row>
    <row r="6074" customFormat="false" ht="15" hidden="false" customHeight="false" outlineLevel="0" collapsed="false">
      <c r="A6074" s="0" t="n">
        <v>8</v>
      </c>
      <c r="B6074" s="0" t="n">
        <v>2</v>
      </c>
      <c r="C6074" s="0" t="n">
        <v>8</v>
      </c>
      <c r="D6074" s="0" t="n">
        <v>3</v>
      </c>
      <c r="E6074" s="0" t="n">
        <f aca="false">-1+A6074*0.25</f>
        <v>1</v>
      </c>
      <c r="F6074" s="0" t="n">
        <f aca="false">-1+B6074*0.25</f>
        <v>-0.5</v>
      </c>
      <c r="G6074" s="0" t="n">
        <f aca="false">-1+C6074*0.25</f>
        <v>1</v>
      </c>
      <c r="H6074" s="0" t="n">
        <f aca="false">-1+D6074*0.25</f>
        <v>-0.25</v>
      </c>
      <c r="I6074" s="0" t="n">
        <f aca="false">1</f>
        <v>1</v>
      </c>
      <c r="J6074" s="0" t="n">
        <f aca="false">E6074</f>
        <v>1</v>
      </c>
      <c r="K6074" s="0" t="n">
        <f aca="false">F6074</f>
        <v>-0.5</v>
      </c>
      <c r="L6074" s="0" t="n">
        <f aca="false">G6074</f>
        <v>1</v>
      </c>
      <c r="M6074" s="0" t="n">
        <f aca="false">H6074</f>
        <v>-0.25</v>
      </c>
      <c r="N6074" s="0" t="n">
        <f aca="false">E6074*F6074</f>
        <v>-0.5</v>
      </c>
      <c r="O6074" s="0" t="n">
        <f aca="false">E6074*G6074</f>
        <v>1</v>
      </c>
      <c r="P6074" s="0" t="n">
        <f aca="false">E6074*H6074</f>
        <v>-0.25</v>
      </c>
      <c r="Q6074" s="0" t="n">
        <f aca="false">F6074*G6074</f>
        <v>-0.5</v>
      </c>
      <c r="R6074" s="0" t="n">
        <f aca="false">F6074*H6074</f>
        <v>0.125</v>
      </c>
      <c r="S6074" s="0" t="n">
        <f aca="false">G6074*H6074</f>
        <v>-0.25</v>
      </c>
      <c r="T6074" s="0" t="n">
        <f aca="false">E6074*E6074</f>
        <v>1</v>
      </c>
      <c r="U6074" s="0" t="n">
        <f aca="false">F6074*F6074</f>
        <v>0.25</v>
      </c>
      <c r="V6074" s="0" t="n">
        <f aca="false">G6074*G6074</f>
        <v>1</v>
      </c>
      <c r="W6074" s="0" t="n">
        <f aca="false">H6074*H6074</f>
        <v>0.0625</v>
      </c>
      <c r="X6074" s="0" t="n">
        <f aca="false">SUMPRODUCT(I6074:W6074,_XtX!$B$96:$P$96)</f>
        <v>44.3153051900585</v>
      </c>
      <c r="Y6074" s="0" t="n">
        <f aca="false">SUMPRODUCT(MMULT(I6074:W6074,_XtX!$B$78:$P$92),I6074:W6074)</f>
        <v>0.629174661915205</v>
      </c>
      <c r="Z6074" s="0" t="n">
        <f aca="false">04_回帰ANOVA!$K$19*04_回帰ANOVA!$K$14*SQRT(1+Y6074)</f>
        <v>1.66372758058297</v>
      </c>
      <c r="AA6074" s="0" t="n">
        <f aca="false">X6074-Z6074</f>
        <v>42.6515776094755</v>
      </c>
      <c r="AB6074" s="0" t="n">
        <f aca="false">X6074+Z6074</f>
        <v>45.9790327706415</v>
      </c>
      <c r="AC6074" s="54" t="b">
        <f aca="false">AND(E6074&gt;=01_因子設定!$L$5-0.000000001,E6074&lt;=01_因子設定!$M$5+0.000000001,F6074&gt;=01_因子設定!$L$6-0.000000001,F6074&lt;=01_因子設定!$M$6+0.000000001,G6074&gt;=01_因子設定!$L$7-0.000000001,G6074&lt;=01_因子設定!$M$7+0.000000001,H6074&gt;=01_因子設定!$L$8-0.000000001,H6074&lt;=01_因子設定!$M$8+0.000000001,IF(01_因子設定!$B$20="Box-Behnken",E6074^2+F6074^2+G6074^2+H6074^2&lt;=2+0.000000001,TRUE()))</f>
        <v>1</v>
      </c>
      <c r="AD6074" s="55" t="n">
        <f aca="false">IF(AC6074,IF(01_因子設定!$B$13="最大化",AA6074-01_因子設定!$B$14,IF(01_因子設定!$B$13="最小化",01_因子設定!$B$15-AB6074,MIN(AA6074-01_因子設定!$B$14,01_因子設定!$B$15-AB6074))),-1E+030)</f>
        <v>-3.84842239052446</v>
      </c>
      <c r="AE6074" s="55" t="n">
        <f aca="false">IF(AC6074,IF(01_因子設定!$B$13="最大化",X6074,IF(01_因子設定!$B$13="最小化",-X6074,-ABS(X6074-01_因子設定!$B$16))),-1E+030)</f>
        <v>44.3153051900585</v>
      </c>
      <c r="AF6074" s="55" t="n">
        <f aca="false">AD6074+ROW()*0.000000001</f>
        <v>-3.84841631652446</v>
      </c>
      <c r="AG6074" s="55" t="n">
        <f aca="false">AE6074+ROW()*0.000000001</f>
        <v>44.3153112640585</v>
      </c>
    </row>
    <row r="6075" customFormat="false" ht="15" hidden="false" customHeight="false" outlineLevel="0" collapsed="false">
      <c r="A6075" s="0" t="n">
        <v>8</v>
      </c>
      <c r="B6075" s="0" t="n">
        <v>2</v>
      </c>
      <c r="C6075" s="0" t="n">
        <v>8</v>
      </c>
      <c r="D6075" s="0" t="n">
        <v>4</v>
      </c>
      <c r="E6075" s="0" t="n">
        <f aca="false">-1+A6075*0.25</f>
        <v>1</v>
      </c>
      <c r="F6075" s="0" t="n">
        <f aca="false">-1+B6075*0.25</f>
        <v>-0.5</v>
      </c>
      <c r="G6075" s="0" t="n">
        <f aca="false">-1+C6075*0.25</f>
        <v>1</v>
      </c>
      <c r="H6075" s="0" t="n">
        <f aca="false">-1+D6075*0.25</f>
        <v>0</v>
      </c>
      <c r="I6075" s="0" t="n">
        <f aca="false">1</f>
        <v>1</v>
      </c>
      <c r="J6075" s="0" t="n">
        <f aca="false">E6075</f>
        <v>1</v>
      </c>
      <c r="K6075" s="0" t="n">
        <f aca="false">F6075</f>
        <v>-0.5</v>
      </c>
      <c r="L6075" s="0" t="n">
        <f aca="false">G6075</f>
        <v>1</v>
      </c>
      <c r="M6075" s="0" t="n">
        <f aca="false">H6075</f>
        <v>0</v>
      </c>
      <c r="N6075" s="0" t="n">
        <f aca="false">E6075*F6075</f>
        <v>-0.5</v>
      </c>
      <c r="O6075" s="0" t="n">
        <f aca="false">E6075*G6075</f>
        <v>1</v>
      </c>
      <c r="P6075" s="0" t="n">
        <f aca="false">E6075*H6075</f>
        <v>0</v>
      </c>
      <c r="Q6075" s="0" t="n">
        <f aca="false">F6075*G6075</f>
        <v>-0.5</v>
      </c>
      <c r="R6075" s="0" t="n">
        <f aca="false">F6075*H6075</f>
        <v>-0</v>
      </c>
      <c r="S6075" s="0" t="n">
        <f aca="false">G6075*H6075</f>
        <v>0</v>
      </c>
      <c r="T6075" s="0" t="n">
        <f aca="false">E6075*E6075</f>
        <v>1</v>
      </c>
      <c r="U6075" s="0" t="n">
        <f aca="false">F6075*F6075</f>
        <v>0.25</v>
      </c>
      <c r="V6075" s="0" t="n">
        <f aca="false">G6075*G6075</f>
        <v>1</v>
      </c>
      <c r="W6075" s="0" t="n">
        <f aca="false">H6075*H6075</f>
        <v>0</v>
      </c>
      <c r="X6075" s="0" t="n">
        <f aca="false">SUMPRODUCT(I6075:W6075,_XtX!$B$96:$P$96)</f>
        <v>44.5702850877193</v>
      </c>
      <c r="Y6075" s="0" t="n">
        <f aca="false">SUMPRODUCT(MMULT(I6075:W6075,_XtX!$B$78:$P$92),I6075:W6075)</f>
        <v>0.650767543859649</v>
      </c>
      <c r="Z6075" s="0" t="n">
        <f aca="false">04_回帰ANOVA!$K$19*04_回帰ANOVA!$K$14*SQRT(1+Y6075)</f>
        <v>1.67471670935165</v>
      </c>
      <c r="AA6075" s="0" t="n">
        <f aca="false">X6075-Z6075</f>
        <v>42.8955683783677</v>
      </c>
      <c r="AB6075" s="0" t="n">
        <f aca="false">X6075+Z6075</f>
        <v>46.245001797071</v>
      </c>
      <c r="AC6075" s="54" t="b">
        <f aca="false">AND(E6075&gt;=01_因子設定!$L$5-0.000000001,E6075&lt;=01_因子設定!$M$5+0.000000001,F6075&gt;=01_因子設定!$L$6-0.000000001,F6075&lt;=01_因子設定!$M$6+0.000000001,G6075&gt;=01_因子設定!$L$7-0.000000001,G6075&lt;=01_因子設定!$M$7+0.000000001,H6075&gt;=01_因子設定!$L$8-0.000000001,H6075&lt;=01_因子設定!$M$8+0.000000001,IF(01_因子設定!$B$20="Box-Behnken",E6075^2+F6075^2+G6075^2+H6075^2&lt;=2+0.000000001,TRUE()))</f>
        <v>1</v>
      </c>
      <c r="AD6075" s="55" t="n">
        <f aca="false">IF(AC6075,IF(01_因子設定!$B$13="最大化",AA6075-01_因子設定!$B$14,IF(01_因子設定!$B$13="最小化",01_因子設定!$B$15-AB6075,MIN(AA6075-01_因子設定!$B$14,01_因子設定!$B$15-AB6075))),-1E+030)</f>
        <v>-3.60443162163232</v>
      </c>
      <c r="AE6075" s="55" t="n">
        <f aca="false">IF(AC6075,IF(01_因子設定!$B$13="最大化",X6075,IF(01_因子設定!$B$13="最小化",-X6075,-ABS(X6075-01_因子設定!$B$16))),-1E+030)</f>
        <v>44.5702850877193</v>
      </c>
      <c r="AF6075" s="55" t="n">
        <f aca="false">AD6075+ROW()*0.000000001</f>
        <v>-3.60442554663232</v>
      </c>
      <c r="AG6075" s="55" t="n">
        <f aca="false">AE6075+ROW()*0.000000001</f>
        <v>44.5702911627193</v>
      </c>
    </row>
    <row r="6076" customFormat="false" ht="15" hidden="false" customHeight="false" outlineLevel="0" collapsed="false">
      <c r="A6076" s="0" t="n">
        <v>8</v>
      </c>
      <c r="B6076" s="0" t="n">
        <v>2</v>
      </c>
      <c r="C6076" s="0" t="n">
        <v>8</v>
      </c>
      <c r="D6076" s="0" t="n">
        <v>5</v>
      </c>
      <c r="E6076" s="0" t="n">
        <f aca="false">-1+A6076*0.25</f>
        <v>1</v>
      </c>
      <c r="F6076" s="0" t="n">
        <f aca="false">-1+B6076*0.25</f>
        <v>-0.5</v>
      </c>
      <c r="G6076" s="0" t="n">
        <f aca="false">-1+C6076*0.25</f>
        <v>1</v>
      </c>
      <c r="H6076" s="0" t="n">
        <f aca="false">-1+D6076*0.25</f>
        <v>0.25</v>
      </c>
      <c r="I6076" s="0" t="n">
        <f aca="false">1</f>
        <v>1</v>
      </c>
      <c r="J6076" s="0" t="n">
        <f aca="false">E6076</f>
        <v>1</v>
      </c>
      <c r="K6076" s="0" t="n">
        <f aca="false">F6076</f>
        <v>-0.5</v>
      </c>
      <c r="L6076" s="0" t="n">
        <f aca="false">G6076</f>
        <v>1</v>
      </c>
      <c r="M6076" s="0" t="n">
        <f aca="false">H6076</f>
        <v>0.25</v>
      </c>
      <c r="N6076" s="0" t="n">
        <f aca="false">E6076*F6076</f>
        <v>-0.5</v>
      </c>
      <c r="O6076" s="0" t="n">
        <f aca="false">E6076*G6076</f>
        <v>1</v>
      </c>
      <c r="P6076" s="0" t="n">
        <f aca="false">E6076*H6076</f>
        <v>0.25</v>
      </c>
      <c r="Q6076" s="0" t="n">
        <f aca="false">F6076*G6076</f>
        <v>-0.5</v>
      </c>
      <c r="R6076" s="0" t="n">
        <f aca="false">F6076*H6076</f>
        <v>-0.125</v>
      </c>
      <c r="S6076" s="0" t="n">
        <f aca="false">G6076*H6076</f>
        <v>0.25</v>
      </c>
      <c r="T6076" s="0" t="n">
        <f aca="false">E6076*E6076</f>
        <v>1</v>
      </c>
      <c r="U6076" s="0" t="n">
        <f aca="false">F6076*F6076</f>
        <v>0.25</v>
      </c>
      <c r="V6076" s="0" t="n">
        <f aca="false">G6076*G6076</f>
        <v>1</v>
      </c>
      <c r="W6076" s="0" t="n">
        <f aca="false">H6076*H6076</f>
        <v>0.0625</v>
      </c>
      <c r="X6076" s="0" t="n">
        <f aca="false">SUMPRODUCT(I6076:W6076,_XtX!$B$96:$P$96)</f>
        <v>44.7774579678363</v>
      </c>
      <c r="Y6076" s="0" t="n">
        <f aca="false">SUMPRODUCT(MMULT(I6076:W6076,_XtX!$B$78:$P$92),I6076:W6076)</f>
        <v>0.629174661915205</v>
      </c>
      <c r="Z6076" s="0" t="n">
        <f aca="false">04_回帰ANOVA!$K$19*04_回帰ANOVA!$K$14*SQRT(1+Y6076)</f>
        <v>1.66372758058297</v>
      </c>
      <c r="AA6076" s="0" t="n">
        <f aca="false">X6076-Z6076</f>
        <v>43.1137303872533</v>
      </c>
      <c r="AB6076" s="0" t="n">
        <f aca="false">X6076+Z6076</f>
        <v>46.4411855484193</v>
      </c>
      <c r="AC6076" s="54" t="b">
        <f aca="false">AND(E6076&gt;=01_因子設定!$L$5-0.000000001,E6076&lt;=01_因子設定!$M$5+0.000000001,F6076&gt;=01_因子設定!$L$6-0.000000001,F6076&lt;=01_因子設定!$M$6+0.000000001,G6076&gt;=01_因子設定!$L$7-0.000000001,G6076&lt;=01_因子設定!$M$7+0.000000001,H6076&gt;=01_因子設定!$L$8-0.000000001,H6076&lt;=01_因子設定!$M$8+0.000000001,IF(01_因子設定!$B$20="Box-Behnken",E6076^2+F6076^2+G6076^2+H6076^2&lt;=2+0.000000001,TRUE()))</f>
        <v>1</v>
      </c>
      <c r="AD6076" s="55" t="n">
        <f aca="false">IF(AC6076,IF(01_因子設定!$B$13="最大化",AA6076-01_因子設定!$B$14,IF(01_因子設定!$B$13="最小化",01_因子設定!$B$15-AB6076,MIN(AA6076-01_因子設定!$B$14,01_因子設定!$B$15-AB6076))),-1E+030)</f>
        <v>-3.38626961274669</v>
      </c>
      <c r="AE6076" s="55" t="n">
        <f aca="false">IF(AC6076,IF(01_因子設定!$B$13="最大化",X6076,IF(01_因子設定!$B$13="最小化",-X6076,-ABS(X6076-01_因子設定!$B$16))),-1E+030)</f>
        <v>44.7774579678363</v>
      </c>
      <c r="AF6076" s="55" t="n">
        <f aca="false">AD6076+ROW()*0.000000001</f>
        <v>-3.38626353674669</v>
      </c>
      <c r="AG6076" s="55" t="n">
        <f aca="false">AE6076+ROW()*0.000000001</f>
        <v>44.7774640438363</v>
      </c>
    </row>
    <row r="6077" customFormat="false" ht="15" hidden="false" customHeight="false" outlineLevel="0" collapsed="false">
      <c r="A6077" s="0" t="n">
        <v>8</v>
      </c>
      <c r="B6077" s="0" t="n">
        <v>2</v>
      </c>
      <c r="C6077" s="0" t="n">
        <v>8</v>
      </c>
      <c r="D6077" s="0" t="n">
        <v>6</v>
      </c>
      <c r="E6077" s="0" t="n">
        <f aca="false">-1+A6077*0.25</f>
        <v>1</v>
      </c>
      <c r="F6077" s="0" t="n">
        <f aca="false">-1+B6077*0.25</f>
        <v>-0.5</v>
      </c>
      <c r="G6077" s="0" t="n">
        <f aca="false">-1+C6077*0.25</f>
        <v>1</v>
      </c>
      <c r="H6077" s="0" t="n">
        <f aca="false">-1+D6077*0.25</f>
        <v>0.5</v>
      </c>
      <c r="I6077" s="0" t="n">
        <f aca="false">1</f>
        <v>1</v>
      </c>
      <c r="J6077" s="0" t="n">
        <f aca="false">E6077</f>
        <v>1</v>
      </c>
      <c r="K6077" s="0" t="n">
        <f aca="false">F6077</f>
        <v>-0.5</v>
      </c>
      <c r="L6077" s="0" t="n">
        <f aca="false">G6077</f>
        <v>1</v>
      </c>
      <c r="M6077" s="0" t="n">
        <f aca="false">H6077</f>
        <v>0.5</v>
      </c>
      <c r="N6077" s="0" t="n">
        <f aca="false">E6077*F6077</f>
        <v>-0.5</v>
      </c>
      <c r="O6077" s="0" t="n">
        <f aca="false">E6077*G6077</f>
        <v>1</v>
      </c>
      <c r="P6077" s="0" t="n">
        <f aca="false">E6077*H6077</f>
        <v>0.5</v>
      </c>
      <c r="Q6077" s="0" t="n">
        <f aca="false">F6077*G6077</f>
        <v>-0.5</v>
      </c>
      <c r="R6077" s="0" t="n">
        <f aca="false">F6077*H6077</f>
        <v>-0.25</v>
      </c>
      <c r="S6077" s="0" t="n">
        <f aca="false">G6077*H6077</f>
        <v>0.5</v>
      </c>
      <c r="T6077" s="0" t="n">
        <f aca="false">E6077*E6077</f>
        <v>1</v>
      </c>
      <c r="U6077" s="0" t="n">
        <f aca="false">F6077*F6077</f>
        <v>0.25</v>
      </c>
      <c r="V6077" s="0" t="n">
        <f aca="false">G6077*G6077</f>
        <v>1</v>
      </c>
      <c r="W6077" s="0" t="n">
        <f aca="false">H6077*H6077</f>
        <v>0.25</v>
      </c>
      <c r="X6077" s="0" t="n">
        <f aca="false">SUMPRODUCT(I6077:W6077,_XtX!$B$96:$P$96)</f>
        <v>44.9368238304094</v>
      </c>
      <c r="Y6077" s="0" t="n">
        <f aca="false">SUMPRODUCT(MMULT(I6077:W6077,_XtX!$B$78:$P$92),I6077:W6077)</f>
        <v>0.582488121345029</v>
      </c>
      <c r="Z6077" s="0" t="n">
        <f aca="false">04_回帰ANOVA!$K$19*04_回帰ANOVA!$K$14*SQRT(1+Y6077)</f>
        <v>1.63971595338287</v>
      </c>
      <c r="AA6077" s="0" t="n">
        <f aca="false">X6077-Z6077</f>
        <v>43.2971078770265</v>
      </c>
      <c r="AB6077" s="0" t="n">
        <f aca="false">X6077+Z6077</f>
        <v>46.5765397837923</v>
      </c>
      <c r="AC6077" s="54" t="b">
        <f aca="false">AND(E6077&gt;=01_因子設定!$L$5-0.000000001,E6077&lt;=01_因子設定!$M$5+0.000000001,F6077&gt;=01_因子設定!$L$6-0.000000001,F6077&lt;=01_因子設定!$M$6+0.000000001,G6077&gt;=01_因子設定!$L$7-0.000000001,G6077&lt;=01_因子設定!$M$7+0.000000001,H6077&gt;=01_因子設定!$L$8-0.000000001,H6077&lt;=01_因子設定!$M$8+0.000000001,IF(01_因子設定!$B$20="Box-Behnken",E6077^2+F6077^2+G6077^2+H6077^2&lt;=2+0.000000001,TRUE()))</f>
        <v>1</v>
      </c>
      <c r="AD6077" s="55" t="n">
        <f aca="false">IF(AC6077,IF(01_因子設定!$B$13="最大化",AA6077-01_因子設定!$B$14,IF(01_因子設定!$B$13="最小化",01_因子設定!$B$15-AB6077,MIN(AA6077-01_因子設定!$B$14,01_因子設定!$B$15-AB6077))),-1E+030)</f>
        <v>-3.20289212297347</v>
      </c>
      <c r="AE6077" s="55" t="n">
        <f aca="false">IF(AC6077,IF(01_因子設定!$B$13="最大化",X6077,IF(01_因子設定!$B$13="最小化",-X6077,-ABS(X6077-01_因子設定!$B$16))),-1E+030)</f>
        <v>44.9368238304094</v>
      </c>
      <c r="AF6077" s="55" t="n">
        <f aca="false">AD6077+ROW()*0.000000001</f>
        <v>-3.20288604597347</v>
      </c>
      <c r="AG6077" s="55" t="n">
        <f aca="false">AE6077+ROW()*0.000000001</f>
        <v>44.9368299074094</v>
      </c>
    </row>
    <row r="6078" customFormat="false" ht="15" hidden="false" customHeight="false" outlineLevel="0" collapsed="false">
      <c r="A6078" s="0" t="n">
        <v>8</v>
      </c>
      <c r="B6078" s="0" t="n">
        <v>2</v>
      </c>
      <c r="C6078" s="0" t="n">
        <v>8</v>
      </c>
      <c r="D6078" s="0" t="n">
        <v>7</v>
      </c>
      <c r="E6078" s="0" t="n">
        <f aca="false">-1+A6078*0.25</f>
        <v>1</v>
      </c>
      <c r="F6078" s="0" t="n">
        <f aca="false">-1+B6078*0.25</f>
        <v>-0.5</v>
      </c>
      <c r="G6078" s="0" t="n">
        <f aca="false">-1+C6078*0.25</f>
        <v>1</v>
      </c>
      <c r="H6078" s="0" t="n">
        <f aca="false">-1+D6078*0.25</f>
        <v>0.75</v>
      </c>
      <c r="I6078" s="0" t="n">
        <f aca="false">1</f>
        <v>1</v>
      </c>
      <c r="J6078" s="0" t="n">
        <f aca="false">E6078</f>
        <v>1</v>
      </c>
      <c r="K6078" s="0" t="n">
        <f aca="false">F6078</f>
        <v>-0.5</v>
      </c>
      <c r="L6078" s="0" t="n">
        <f aca="false">G6078</f>
        <v>1</v>
      </c>
      <c r="M6078" s="0" t="n">
        <f aca="false">H6078</f>
        <v>0.75</v>
      </c>
      <c r="N6078" s="0" t="n">
        <f aca="false">E6078*F6078</f>
        <v>-0.5</v>
      </c>
      <c r="O6078" s="0" t="n">
        <f aca="false">E6078*G6078</f>
        <v>1</v>
      </c>
      <c r="P6078" s="0" t="n">
        <f aca="false">E6078*H6078</f>
        <v>0.75</v>
      </c>
      <c r="Q6078" s="0" t="n">
        <f aca="false">F6078*G6078</f>
        <v>-0.5</v>
      </c>
      <c r="R6078" s="0" t="n">
        <f aca="false">F6078*H6078</f>
        <v>-0.375</v>
      </c>
      <c r="S6078" s="0" t="n">
        <f aca="false">G6078*H6078</f>
        <v>0.75</v>
      </c>
      <c r="T6078" s="0" t="n">
        <f aca="false">E6078*E6078</f>
        <v>1</v>
      </c>
      <c r="U6078" s="0" t="n">
        <f aca="false">F6078*F6078</f>
        <v>0.25</v>
      </c>
      <c r="V6078" s="0" t="n">
        <f aca="false">G6078*G6078</f>
        <v>1</v>
      </c>
      <c r="W6078" s="0" t="n">
        <f aca="false">H6078*H6078</f>
        <v>0.5625</v>
      </c>
      <c r="X6078" s="0" t="n">
        <f aca="false">SUMPRODUCT(I6078:W6078,_XtX!$B$96:$P$96)</f>
        <v>45.0483826754386</v>
      </c>
      <c r="Y6078" s="0" t="n">
        <f aca="false">SUMPRODUCT(MMULT(I6078:W6078,_XtX!$B$78:$P$92),I6078:W6078)</f>
        <v>0.564984237938597</v>
      </c>
      <c r="Z6078" s="0" t="n">
        <f aca="false">04_回帰ANOVA!$K$19*04_回帰ANOVA!$K$14*SQRT(1+Y6078)</f>
        <v>1.63062229734503</v>
      </c>
      <c r="AA6078" s="0" t="n">
        <f aca="false">X6078-Z6078</f>
        <v>43.4177603780936</v>
      </c>
      <c r="AB6078" s="0" t="n">
        <f aca="false">X6078+Z6078</f>
        <v>46.6790049727837</v>
      </c>
      <c r="AC6078" s="54" t="b">
        <f aca="false">AND(E6078&gt;=01_因子設定!$L$5-0.000000001,E6078&lt;=01_因子設定!$M$5+0.000000001,F6078&gt;=01_因子設定!$L$6-0.000000001,F6078&lt;=01_因子設定!$M$6+0.000000001,G6078&gt;=01_因子設定!$L$7-0.000000001,G6078&lt;=01_因子設定!$M$7+0.000000001,H6078&gt;=01_因子設定!$L$8-0.000000001,H6078&lt;=01_因子設定!$M$8+0.000000001,IF(01_因子設定!$B$20="Box-Behnken",E6078^2+F6078^2+G6078^2+H6078^2&lt;=2+0.000000001,TRUE()))</f>
        <v>1</v>
      </c>
      <c r="AD6078" s="55" t="n">
        <f aca="false">IF(AC6078,IF(01_因子設定!$B$13="最大化",AA6078-01_因子設定!$B$14,IF(01_因子設定!$B$13="最小化",01_因子設定!$B$15-AB6078,MIN(AA6078-01_因子設定!$B$14,01_因子設定!$B$15-AB6078))),-1E+030)</f>
        <v>-3.08223962190639</v>
      </c>
      <c r="AE6078" s="55" t="n">
        <f aca="false">IF(AC6078,IF(01_因子設定!$B$13="最大化",X6078,IF(01_因子設定!$B$13="最小化",-X6078,-ABS(X6078-01_因子設定!$B$16))),-1E+030)</f>
        <v>45.0483826754386</v>
      </c>
      <c r="AF6078" s="55" t="n">
        <f aca="false">AD6078+ROW()*0.000000001</f>
        <v>-3.08223354390639</v>
      </c>
      <c r="AG6078" s="55" t="n">
        <f aca="false">AE6078+ROW()*0.000000001</f>
        <v>45.0483887534386</v>
      </c>
    </row>
    <row r="6079" customFormat="false" ht="15" hidden="false" customHeight="false" outlineLevel="0" collapsed="false">
      <c r="A6079" s="0" t="n">
        <v>8</v>
      </c>
      <c r="B6079" s="0" t="n">
        <v>2</v>
      </c>
      <c r="C6079" s="0" t="n">
        <v>8</v>
      </c>
      <c r="D6079" s="0" t="n">
        <v>8</v>
      </c>
      <c r="E6079" s="0" t="n">
        <f aca="false">-1+A6079*0.25</f>
        <v>1</v>
      </c>
      <c r="F6079" s="0" t="n">
        <f aca="false">-1+B6079*0.25</f>
        <v>-0.5</v>
      </c>
      <c r="G6079" s="0" t="n">
        <f aca="false">-1+C6079*0.25</f>
        <v>1</v>
      </c>
      <c r="H6079" s="0" t="n">
        <f aca="false">-1+D6079*0.25</f>
        <v>1</v>
      </c>
      <c r="I6079" s="0" t="n">
        <f aca="false">1</f>
        <v>1</v>
      </c>
      <c r="J6079" s="0" t="n">
        <f aca="false">E6079</f>
        <v>1</v>
      </c>
      <c r="K6079" s="0" t="n">
        <f aca="false">F6079</f>
        <v>-0.5</v>
      </c>
      <c r="L6079" s="0" t="n">
        <f aca="false">G6079</f>
        <v>1</v>
      </c>
      <c r="M6079" s="0" t="n">
        <f aca="false">H6079</f>
        <v>1</v>
      </c>
      <c r="N6079" s="0" t="n">
        <f aca="false">E6079*F6079</f>
        <v>-0.5</v>
      </c>
      <c r="O6079" s="0" t="n">
        <f aca="false">E6079*G6079</f>
        <v>1</v>
      </c>
      <c r="P6079" s="0" t="n">
        <f aca="false">E6079*H6079</f>
        <v>1</v>
      </c>
      <c r="Q6079" s="0" t="n">
        <f aca="false">F6079*G6079</f>
        <v>-0.5</v>
      </c>
      <c r="R6079" s="0" t="n">
        <f aca="false">F6079*H6079</f>
        <v>-0.5</v>
      </c>
      <c r="S6079" s="0" t="n">
        <f aca="false">G6079*H6079</f>
        <v>1</v>
      </c>
      <c r="T6079" s="0" t="n">
        <f aca="false">E6079*E6079</f>
        <v>1</v>
      </c>
      <c r="U6079" s="0" t="n">
        <f aca="false">F6079*F6079</f>
        <v>0.25</v>
      </c>
      <c r="V6079" s="0" t="n">
        <f aca="false">G6079*G6079</f>
        <v>1</v>
      </c>
      <c r="W6079" s="0" t="n">
        <f aca="false">H6079*H6079</f>
        <v>1</v>
      </c>
      <c r="X6079" s="0" t="n">
        <f aca="false">SUMPRODUCT(I6079:W6079,_XtX!$B$96:$P$96)</f>
        <v>45.112134502924</v>
      </c>
      <c r="Y6079" s="0" t="n">
        <f aca="false">SUMPRODUCT(MMULT(I6079:W6079,_XtX!$B$78:$P$92),I6079:W6079)</f>
        <v>0.667123538011696</v>
      </c>
      <c r="Z6079" s="0" t="n">
        <f aca="false">04_回帰ANOVA!$K$19*04_回帰ANOVA!$K$14*SQRT(1+Y6079)</f>
        <v>1.68299290213005</v>
      </c>
      <c r="AA6079" s="0" t="n">
        <f aca="false">X6079-Z6079</f>
        <v>43.429141600794</v>
      </c>
      <c r="AB6079" s="0" t="n">
        <f aca="false">X6079+Z6079</f>
        <v>46.7951274050541</v>
      </c>
      <c r="AC6079" s="54" t="b">
        <f aca="false">AND(E6079&gt;=01_因子設定!$L$5-0.000000001,E6079&lt;=01_因子設定!$M$5+0.000000001,F6079&gt;=01_因子設定!$L$6-0.000000001,F6079&lt;=01_因子設定!$M$6+0.000000001,G6079&gt;=01_因子設定!$L$7-0.000000001,G6079&lt;=01_因子設定!$M$7+0.000000001,H6079&gt;=01_因子設定!$L$8-0.000000001,H6079&lt;=01_因子設定!$M$8+0.000000001,IF(01_因子設定!$B$20="Box-Behnken",E6079^2+F6079^2+G6079^2+H6079^2&lt;=2+0.000000001,TRUE()))</f>
        <v>1</v>
      </c>
      <c r="AD6079" s="55" t="n">
        <f aca="false">IF(AC6079,IF(01_因子設定!$B$13="最大化",AA6079-01_因子設定!$B$14,IF(01_因子設定!$B$13="最小化",01_因子設定!$B$15-AB6079,MIN(AA6079-01_因子設定!$B$14,01_因子設定!$B$15-AB6079))),-1E+030)</f>
        <v>-3.07085839920601</v>
      </c>
      <c r="AE6079" s="55" t="n">
        <f aca="false">IF(AC6079,IF(01_因子設定!$B$13="最大化",X6079,IF(01_因子設定!$B$13="最小化",-X6079,-ABS(X6079-01_因子設定!$B$16))),-1E+030)</f>
        <v>45.112134502924</v>
      </c>
      <c r="AF6079" s="55" t="n">
        <f aca="false">AD6079+ROW()*0.000000001</f>
        <v>-3.07085232020601</v>
      </c>
      <c r="AG6079" s="55" t="n">
        <f aca="false">AE6079+ROW()*0.000000001</f>
        <v>45.112140581924</v>
      </c>
    </row>
    <row r="6080" customFormat="false" ht="15" hidden="false" customHeight="false" outlineLevel="0" collapsed="false">
      <c r="A6080" s="0" t="n">
        <v>8</v>
      </c>
      <c r="B6080" s="0" t="n">
        <v>3</v>
      </c>
      <c r="C6080" s="0" t="n">
        <v>0</v>
      </c>
      <c r="D6080" s="0" t="n">
        <v>0</v>
      </c>
      <c r="E6080" s="0" t="n">
        <f aca="false">-1+A6080*0.25</f>
        <v>1</v>
      </c>
      <c r="F6080" s="0" t="n">
        <f aca="false">-1+B6080*0.25</f>
        <v>-0.25</v>
      </c>
      <c r="G6080" s="0" t="n">
        <f aca="false">-1+C6080*0.25</f>
        <v>-1</v>
      </c>
      <c r="H6080" s="0" t="n">
        <f aca="false">-1+D6080*0.25</f>
        <v>-1</v>
      </c>
      <c r="I6080" s="0" t="n">
        <f aca="false">1</f>
        <v>1</v>
      </c>
      <c r="J6080" s="0" t="n">
        <f aca="false">E6080</f>
        <v>1</v>
      </c>
      <c r="K6080" s="0" t="n">
        <f aca="false">F6080</f>
        <v>-0.25</v>
      </c>
      <c r="L6080" s="0" t="n">
        <f aca="false">G6080</f>
        <v>-1</v>
      </c>
      <c r="M6080" s="0" t="n">
        <f aca="false">H6080</f>
        <v>-1</v>
      </c>
      <c r="N6080" s="0" t="n">
        <f aca="false">E6080*F6080</f>
        <v>-0.25</v>
      </c>
      <c r="O6080" s="0" t="n">
        <f aca="false">E6080*G6080</f>
        <v>-1</v>
      </c>
      <c r="P6080" s="0" t="n">
        <f aca="false">E6080*H6080</f>
        <v>-1</v>
      </c>
      <c r="Q6080" s="0" t="n">
        <f aca="false">F6080*G6080</f>
        <v>0.25</v>
      </c>
      <c r="R6080" s="0" t="n">
        <f aca="false">F6080*H6080</f>
        <v>0.25</v>
      </c>
      <c r="S6080" s="0" t="n">
        <f aca="false">G6080*H6080</f>
        <v>1</v>
      </c>
      <c r="T6080" s="0" t="n">
        <f aca="false">E6080*E6080</f>
        <v>1</v>
      </c>
      <c r="U6080" s="0" t="n">
        <f aca="false">F6080*F6080</f>
        <v>0.0625</v>
      </c>
      <c r="V6080" s="0" t="n">
        <f aca="false">G6080*G6080</f>
        <v>1</v>
      </c>
      <c r="W6080" s="0" t="n">
        <f aca="false">H6080*H6080</f>
        <v>1</v>
      </c>
      <c r="X6080" s="0" t="n">
        <f aca="false">SUMPRODUCT(I6080:W6080,_XtX!$B$96:$P$96)</f>
        <v>44.7484283625732</v>
      </c>
      <c r="Y6080" s="0" t="n">
        <f aca="false">SUMPRODUCT(MMULT(I6080:W6080,_XtX!$B$78:$P$92),I6080:W6080)</f>
        <v>0.737093384502924</v>
      </c>
      <c r="Z6080" s="0" t="n">
        <f aca="false">04_回帰ANOVA!$K$19*04_回帰ANOVA!$K$14*SQRT(1+Y6080)</f>
        <v>1.71794784853551</v>
      </c>
      <c r="AA6080" s="0" t="n">
        <f aca="false">X6080-Z6080</f>
        <v>43.0304805140377</v>
      </c>
      <c r="AB6080" s="0" t="n">
        <f aca="false">X6080+Z6080</f>
        <v>46.4663762111087</v>
      </c>
      <c r="AC6080" s="54" t="b">
        <f aca="false">AND(E6080&gt;=01_因子設定!$L$5-0.000000001,E6080&lt;=01_因子設定!$M$5+0.000000001,F6080&gt;=01_因子設定!$L$6-0.000000001,F6080&lt;=01_因子設定!$M$6+0.000000001,G6080&gt;=01_因子設定!$L$7-0.000000001,G6080&lt;=01_因子設定!$M$7+0.000000001,H6080&gt;=01_因子設定!$L$8-0.000000001,H6080&lt;=01_因子設定!$M$8+0.000000001,IF(01_因子設定!$B$20="Box-Behnken",E6080^2+F6080^2+G6080^2+H6080^2&lt;=2+0.000000001,TRUE()))</f>
        <v>1</v>
      </c>
      <c r="AD6080" s="55" t="n">
        <f aca="false">IF(AC6080,IF(01_因子設定!$B$13="最大化",AA6080-01_因子設定!$B$14,IF(01_因子設定!$B$13="最小化",01_因子設定!$B$15-AB6080,MIN(AA6080-01_因子設定!$B$14,01_因子設定!$B$15-AB6080))),-1E+030)</f>
        <v>-3.46951948596234</v>
      </c>
      <c r="AE6080" s="55" t="n">
        <f aca="false">IF(AC6080,IF(01_因子設定!$B$13="最大化",X6080,IF(01_因子設定!$B$13="最小化",-X6080,-ABS(X6080-01_因子設定!$B$16))),-1E+030)</f>
        <v>44.7484283625732</v>
      </c>
      <c r="AF6080" s="55" t="n">
        <f aca="false">AD6080+ROW()*0.000000001</f>
        <v>-3.46951340596234</v>
      </c>
      <c r="AG6080" s="55" t="n">
        <f aca="false">AE6080+ROW()*0.000000001</f>
        <v>44.7484344425732</v>
      </c>
    </row>
    <row r="6081" customFormat="false" ht="15" hidden="false" customHeight="false" outlineLevel="0" collapsed="false">
      <c r="A6081" s="0" t="n">
        <v>8</v>
      </c>
      <c r="B6081" s="0" t="n">
        <v>3</v>
      </c>
      <c r="C6081" s="0" t="n">
        <v>0</v>
      </c>
      <c r="D6081" s="0" t="n">
        <v>1</v>
      </c>
      <c r="E6081" s="0" t="n">
        <f aca="false">-1+A6081*0.25</f>
        <v>1</v>
      </c>
      <c r="F6081" s="0" t="n">
        <f aca="false">-1+B6081*0.25</f>
        <v>-0.25</v>
      </c>
      <c r="G6081" s="0" t="n">
        <f aca="false">-1+C6081*0.25</f>
        <v>-1</v>
      </c>
      <c r="H6081" s="0" t="n">
        <f aca="false">-1+D6081*0.25</f>
        <v>-0.75</v>
      </c>
      <c r="I6081" s="0" t="n">
        <f aca="false">1</f>
        <v>1</v>
      </c>
      <c r="J6081" s="0" t="n">
        <f aca="false">E6081</f>
        <v>1</v>
      </c>
      <c r="K6081" s="0" t="n">
        <f aca="false">F6081</f>
        <v>-0.25</v>
      </c>
      <c r="L6081" s="0" t="n">
        <f aca="false">G6081</f>
        <v>-1</v>
      </c>
      <c r="M6081" s="0" t="n">
        <f aca="false">H6081</f>
        <v>-0.75</v>
      </c>
      <c r="N6081" s="0" t="n">
        <f aca="false">E6081*F6081</f>
        <v>-0.25</v>
      </c>
      <c r="O6081" s="0" t="n">
        <f aca="false">E6081*G6081</f>
        <v>-1</v>
      </c>
      <c r="P6081" s="0" t="n">
        <f aca="false">E6081*H6081</f>
        <v>-0.75</v>
      </c>
      <c r="Q6081" s="0" t="n">
        <f aca="false">F6081*G6081</f>
        <v>0.25</v>
      </c>
      <c r="R6081" s="0" t="n">
        <f aca="false">F6081*H6081</f>
        <v>0.1875</v>
      </c>
      <c r="S6081" s="0" t="n">
        <f aca="false">G6081*H6081</f>
        <v>0.75</v>
      </c>
      <c r="T6081" s="0" t="n">
        <f aca="false">E6081*E6081</f>
        <v>1</v>
      </c>
      <c r="U6081" s="0" t="n">
        <f aca="false">F6081*F6081</f>
        <v>0.0625</v>
      </c>
      <c r="V6081" s="0" t="n">
        <f aca="false">G6081*G6081</f>
        <v>1</v>
      </c>
      <c r="W6081" s="0" t="n">
        <f aca="false">H6081*H6081</f>
        <v>0.5625</v>
      </c>
      <c r="X6081" s="0" t="n">
        <f aca="false">SUMPRODUCT(I6081:W6081,_XtX!$B$96:$P$96)</f>
        <v>44.9897980628655</v>
      </c>
      <c r="Y6081" s="0" t="n">
        <f aca="false">SUMPRODUCT(MMULT(I6081:W6081,_XtX!$B$78:$P$92),I6081:W6081)</f>
        <v>0.621372155975877</v>
      </c>
      <c r="Z6081" s="0" t="n">
        <f aca="false">04_回帰ANOVA!$K$19*04_回帰ANOVA!$K$14*SQRT(1+Y6081)</f>
        <v>1.65973880499872</v>
      </c>
      <c r="AA6081" s="0" t="n">
        <f aca="false">X6081-Z6081</f>
        <v>43.3300592578668</v>
      </c>
      <c r="AB6081" s="0" t="n">
        <f aca="false">X6081+Z6081</f>
        <v>46.6495368678643</v>
      </c>
      <c r="AC6081" s="54" t="b">
        <f aca="false">AND(E6081&gt;=01_因子設定!$L$5-0.000000001,E6081&lt;=01_因子設定!$M$5+0.000000001,F6081&gt;=01_因子設定!$L$6-0.000000001,F6081&lt;=01_因子設定!$M$6+0.000000001,G6081&gt;=01_因子設定!$L$7-0.000000001,G6081&lt;=01_因子設定!$M$7+0.000000001,H6081&gt;=01_因子設定!$L$8-0.000000001,H6081&lt;=01_因子設定!$M$8+0.000000001,IF(01_因子設定!$B$20="Box-Behnken",E6081^2+F6081^2+G6081^2+H6081^2&lt;=2+0.000000001,TRUE()))</f>
        <v>1</v>
      </c>
      <c r="AD6081" s="55" t="n">
        <f aca="false">IF(AC6081,IF(01_因子設定!$B$13="最大化",AA6081-01_因子設定!$B$14,IF(01_因子設定!$B$13="最小化",01_因子設定!$B$15-AB6081,MIN(AA6081-01_因子設定!$B$14,01_因子設定!$B$15-AB6081))),-1E+030)</f>
        <v>-3.16994074213317</v>
      </c>
      <c r="AE6081" s="55" t="n">
        <f aca="false">IF(AC6081,IF(01_因子設定!$B$13="最大化",X6081,IF(01_因子設定!$B$13="最小化",-X6081,-ABS(X6081-01_因子設定!$B$16))),-1E+030)</f>
        <v>44.9897980628655</v>
      </c>
      <c r="AF6081" s="55" t="n">
        <f aca="false">AD6081+ROW()*0.000000001</f>
        <v>-3.16993466113317</v>
      </c>
      <c r="AG6081" s="55" t="n">
        <f aca="false">AE6081+ROW()*0.000000001</f>
        <v>44.9898041438656</v>
      </c>
    </row>
    <row r="6082" customFormat="false" ht="15" hidden="false" customHeight="false" outlineLevel="0" collapsed="false">
      <c r="A6082" s="0" t="n">
        <v>8</v>
      </c>
      <c r="B6082" s="0" t="n">
        <v>3</v>
      </c>
      <c r="C6082" s="0" t="n">
        <v>0</v>
      </c>
      <c r="D6082" s="0" t="n">
        <v>2</v>
      </c>
      <c r="E6082" s="0" t="n">
        <f aca="false">-1+A6082*0.25</f>
        <v>1</v>
      </c>
      <c r="F6082" s="0" t="n">
        <f aca="false">-1+B6082*0.25</f>
        <v>-0.25</v>
      </c>
      <c r="G6082" s="0" t="n">
        <f aca="false">-1+C6082*0.25</f>
        <v>-1</v>
      </c>
      <c r="H6082" s="0" t="n">
        <f aca="false">-1+D6082*0.25</f>
        <v>-0.5</v>
      </c>
      <c r="I6082" s="0" t="n">
        <f aca="false">1</f>
        <v>1</v>
      </c>
      <c r="J6082" s="0" t="n">
        <f aca="false">E6082</f>
        <v>1</v>
      </c>
      <c r="K6082" s="0" t="n">
        <f aca="false">F6082</f>
        <v>-0.25</v>
      </c>
      <c r="L6082" s="0" t="n">
        <f aca="false">G6082</f>
        <v>-1</v>
      </c>
      <c r="M6082" s="0" t="n">
        <f aca="false">H6082</f>
        <v>-0.5</v>
      </c>
      <c r="N6082" s="0" t="n">
        <f aca="false">E6082*F6082</f>
        <v>-0.25</v>
      </c>
      <c r="O6082" s="0" t="n">
        <f aca="false">E6082*G6082</f>
        <v>-1</v>
      </c>
      <c r="P6082" s="0" t="n">
        <f aca="false">E6082*H6082</f>
        <v>-0.5</v>
      </c>
      <c r="Q6082" s="0" t="n">
        <f aca="false">F6082*G6082</f>
        <v>0.25</v>
      </c>
      <c r="R6082" s="0" t="n">
        <f aca="false">F6082*H6082</f>
        <v>0.125</v>
      </c>
      <c r="S6082" s="0" t="n">
        <f aca="false">G6082*H6082</f>
        <v>0.5</v>
      </c>
      <c r="T6082" s="0" t="n">
        <f aca="false">E6082*E6082</f>
        <v>1</v>
      </c>
      <c r="U6082" s="0" t="n">
        <f aca="false">F6082*F6082</f>
        <v>0.0625</v>
      </c>
      <c r="V6082" s="0" t="n">
        <f aca="false">G6082*G6082</f>
        <v>1</v>
      </c>
      <c r="W6082" s="0" t="n">
        <f aca="false">H6082*H6082</f>
        <v>0.25</v>
      </c>
      <c r="X6082" s="0" t="n">
        <f aca="false">SUMPRODUCT(I6082:W6082,_XtX!$B$96:$P$96)</f>
        <v>45.1833607456141</v>
      </c>
      <c r="Y6082" s="0" t="n">
        <f aca="false">SUMPRODUCT(MMULT(I6082:W6082,_XtX!$B$78:$P$92),I6082:W6082)</f>
        <v>0.629174661915205</v>
      </c>
      <c r="Z6082" s="0" t="n">
        <f aca="false">04_回帰ANOVA!$K$19*04_回帰ANOVA!$K$14*SQRT(1+Y6082)</f>
        <v>1.66372758058297</v>
      </c>
      <c r="AA6082" s="0" t="n">
        <f aca="false">X6082-Z6082</f>
        <v>43.5196331650311</v>
      </c>
      <c r="AB6082" s="0" t="n">
        <f aca="false">X6082+Z6082</f>
        <v>46.847088326197</v>
      </c>
      <c r="AC6082" s="54" t="b">
        <f aca="false">AND(E6082&gt;=01_因子設定!$L$5-0.000000001,E6082&lt;=01_因子設定!$M$5+0.000000001,F6082&gt;=01_因子設定!$L$6-0.000000001,F6082&lt;=01_因子設定!$M$6+0.000000001,G6082&gt;=01_因子設定!$L$7-0.000000001,G6082&lt;=01_因子設定!$M$7+0.000000001,H6082&gt;=01_因子設定!$L$8-0.000000001,H6082&lt;=01_因子設定!$M$8+0.000000001,IF(01_因子設定!$B$20="Box-Behnken",E6082^2+F6082^2+G6082^2+H6082^2&lt;=2+0.000000001,TRUE()))</f>
        <v>1</v>
      </c>
      <c r="AD6082" s="55" t="n">
        <f aca="false">IF(AC6082,IF(01_因子設定!$B$13="最大化",AA6082-01_因子設定!$B$14,IF(01_因子設定!$B$13="最小化",01_因子設定!$B$15-AB6082,MIN(AA6082-01_因子設定!$B$14,01_因子設定!$B$15-AB6082))),-1E+030)</f>
        <v>-2.9803668349689</v>
      </c>
      <c r="AE6082" s="55" t="n">
        <f aca="false">IF(AC6082,IF(01_因子設定!$B$13="最大化",X6082,IF(01_因子設定!$B$13="最小化",-X6082,-ABS(X6082-01_因子設定!$B$16))),-1E+030)</f>
        <v>45.1833607456141</v>
      </c>
      <c r="AF6082" s="55" t="n">
        <f aca="false">AD6082+ROW()*0.000000001</f>
        <v>-2.9803607529689</v>
      </c>
      <c r="AG6082" s="55" t="n">
        <f aca="false">AE6082+ROW()*0.000000001</f>
        <v>45.1833668276141</v>
      </c>
    </row>
    <row r="6083" customFormat="false" ht="15" hidden="false" customHeight="false" outlineLevel="0" collapsed="false">
      <c r="A6083" s="0" t="n">
        <v>8</v>
      </c>
      <c r="B6083" s="0" t="n">
        <v>3</v>
      </c>
      <c r="C6083" s="0" t="n">
        <v>0</v>
      </c>
      <c r="D6083" s="0" t="n">
        <v>3</v>
      </c>
      <c r="E6083" s="0" t="n">
        <f aca="false">-1+A6083*0.25</f>
        <v>1</v>
      </c>
      <c r="F6083" s="0" t="n">
        <f aca="false">-1+B6083*0.25</f>
        <v>-0.25</v>
      </c>
      <c r="G6083" s="0" t="n">
        <f aca="false">-1+C6083*0.25</f>
        <v>-1</v>
      </c>
      <c r="H6083" s="0" t="n">
        <f aca="false">-1+D6083*0.25</f>
        <v>-0.25</v>
      </c>
      <c r="I6083" s="0" t="n">
        <f aca="false">1</f>
        <v>1</v>
      </c>
      <c r="J6083" s="0" t="n">
        <f aca="false">E6083</f>
        <v>1</v>
      </c>
      <c r="K6083" s="0" t="n">
        <f aca="false">F6083</f>
        <v>-0.25</v>
      </c>
      <c r="L6083" s="0" t="n">
        <f aca="false">G6083</f>
        <v>-1</v>
      </c>
      <c r="M6083" s="0" t="n">
        <f aca="false">H6083</f>
        <v>-0.25</v>
      </c>
      <c r="N6083" s="0" t="n">
        <f aca="false">E6083*F6083</f>
        <v>-0.25</v>
      </c>
      <c r="O6083" s="0" t="n">
        <f aca="false">E6083*G6083</f>
        <v>-1</v>
      </c>
      <c r="P6083" s="0" t="n">
        <f aca="false">E6083*H6083</f>
        <v>-0.25</v>
      </c>
      <c r="Q6083" s="0" t="n">
        <f aca="false">F6083*G6083</f>
        <v>0.25</v>
      </c>
      <c r="R6083" s="0" t="n">
        <f aca="false">F6083*H6083</f>
        <v>0.0625</v>
      </c>
      <c r="S6083" s="0" t="n">
        <f aca="false">G6083*H6083</f>
        <v>0.25</v>
      </c>
      <c r="T6083" s="0" t="n">
        <f aca="false">E6083*E6083</f>
        <v>1</v>
      </c>
      <c r="U6083" s="0" t="n">
        <f aca="false">F6083*F6083</f>
        <v>0.0625</v>
      </c>
      <c r="V6083" s="0" t="n">
        <f aca="false">G6083*G6083</f>
        <v>1</v>
      </c>
      <c r="W6083" s="0" t="n">
        <f aca="false">H6083*H6083</f>
        <v>0.0625</v>
      </c>
      <c r="X6083" s="0" t="n">
        <f aca="false">SUMPRODUCT(I6083:W6083,_XtX!$B$96:$P$96)</f>
        <v>45.3291164108187</v>
      </c>
      <c r="Y6083" s="0" t="n">
        <f aca="false">SUMPRODUCT(MMULT(I6083:W6083,_XtX!$B$78:$P$92),I6083:W6083)</f>
        <v>0.670040376005117</v>
      </c>
      <c r="Z6083" s="0" t="n">
        <f aca="false">04_回帰ANOVA!$K$19*04_回帰ANOVA!$K$14*SQRT(1+Y6083)</f>
        <v>1.68446456039992</v>
      </c>
      <c r="AA6083" s="0" t="n">
        <f aca="false">X6083-Z6083</f>
        <v>43.6446518504188</v>
      </c>
      <c r="AB6083" s="0" t="n">
        <f aca="false">X6083+Z6083</f>
        <v>47.0135809712187</v>
      </c>
      <c r="AC6083" s="54" t="b">
        <f aca="false">AND(E6083&gt;=01_因子設定!$L$5-0.000000001,E6083&lt;=01_因子設定!$M$5+0.000000001,F6083&gt;=01_因子設定!$L$6-0.000000001,F6083&lt;=01_因子設定!$M$6+0.000000001,G6083&gt;=01_因子設定!$L$7-0.000000001,G6083&lt;=01_因子設定!$M$7+0.000000001,H6083&gt;=01_因子設定!$L$8-0.000000001,H6083&lt;=01_因子設定!$M$8+0.000000001,IF(01_因子設定!$B$20="Box-Behnken",E6083^2+F6083^2+G6083^2+H6083^2&lt;=2+0.000000001,TRUE()))</f>
        <v>1</v>
      </c>
      <c r="AD6083" s="55" t="n">
        <f aca="false">IF(AC6083,IF(01_因子設定!$B$13="最大化",AA6083-01_因子設定!$B$14,IF(01_因子設定!$B$13="最小化",01_因子設定!$B$15-AB6083,MIN(AA6083-01_因子設定!$B$14,01_因子設定!$B$15-AB6083))),-1E+030)</f>
        <v>-2.85534814958118</v>
      </c>
      <c r="AE6083" s="55" t="n">
        <f aca="false">IF(AC6083,IF(01_因子設定!$B$13="最大化",X6083,IF(01_因子設定!$B$13="最小化",-X6083,-ABS(X6083-01_因子設定!$B$16))),-1E+030)</f>
        <v>45.3291164108187</v>
      </c>
      <c r="AF6083" s="55" t="n">
        <f aca="false">AD6083+ROW()*0.000000001</f>
        <v>-2.85534206658118</v>
      </c>
      <c r="AG6083" s="55" t="n">
        <f aca="false">AE6083+ROW()*0.000000001</f>
        <v>45.3291224938187</v>
      </c>
    </row>
    <row r="6084" customFormat="false" ht="15" hidden="false" customHeight="false" outlineLevel="0" collapsed="false">
      <c r="A6084" s="0" t="n">
        <v>8</v>
      </c>
      <c r="B6084" s="0" t="n">
        <v>3</v>
      </c>
      <c r="C6084" s="0" t="n">
        <v>0</v>
      </c>
      <c r="D6084" s="0" t="n">
        <v>4</v>
      </c>
      <c r="E6084" s="0" t="n">
        <f aca="false">-1+A6084*0.25</f>
        <v>1</v>
      </c>
      <c r="F6084" s="0" t="n">
        <f aca="false">-1+B6084*0.25</f>
        <v>-0.25</v>
      </c>
      <c r="G6084" s="0" t="n">
        <f aca="false">-1+C6084*0.25</f>
        <v>-1</v>
      </c>
      <c r="H6084" s="0" t="n">
        <f aca="false">-1+D6084*0.25</f>
        <v>0</v>
      </c>
      <c r="I6084" s="0" t="n">
        <f aca="false">1</f>
        <v>1</v>
      </c>
      <c r="J6084" s="0" t="n">
        <f aca="false">E6084</f>
        <v>1</v>
      </c>
      <c r="K6084" s="0" t="n">
        <f aca="false">F6084</f>
        <v>-0.25</v>
      </c>
      <c r="L6084" s="0" t="n">
        <f aca="false">G6084</f>
        <v>-1</v>
      </c>
      <c r="M6084" s="0" t="n">
        <f aca="false">H6084</f>
        <v>0</v>
      </c>
      <c r="N6084" s="0" t="n">
        <f aca="false">E6084*F6084</f>
        <v>-0.25</v>
      </c>
      <c r="O6084" s="0" t="n">
        <f aca="false">E6084*G6084</f>
        <v>-1</v>
      </c>
      <c r="P6084" s="0" t="n">
        <f aca="false">E6084*H6084</f>
        <v>0</v>
      </c>
      <c r="Q6084" s="0" t="n">
        <f aca="false">F6084*G6084</f>
        <v>0.25</v>
      </c>
      <c r="R6084" s="0" t="n">
        <f aca="false">F6084*H6084</f>
        <v>-0</v>
      </c>
      <c r="S6084" s="0" t="n">
        <f aca="false">G6084*H6084</f>
        <v>-0</v>
      </c>
      <c r="T6084" s="0" t="n">
        <f aca="false">E6084*E6084</f>
        <v>1</v>
      </c>
      <c r="U6084" s="0" t="n">
        <f aca="false">F6084*F6084</f>
        <v>0.0625</v>
      </c>
      <c r="V6084" s="0" t="n">
        <f aca="false">G6084*G6084</f>
        <v>1</v>
      </c>
      <c r="W6084" s="0" t="n">
        <f aca="false">H6084*H6084</f>
        <v>0</v>
      </c>
      <c r="X6084" s="0" t="n">
        <f aca="false">SUMPRODUCT(I6084:W6084,_XtX!$B$96:$P$96)</f>
        <v>45.4270650584796</v>
      </c>
      <c r="Y6084" s="0" t="n">
        <f aca="false">SUMPRODUCT(MMULT(I6084:W6084,_XtX!$B$78:$P$92),I6084:W6084)</f>
        <v>0.689692982456141</v>
      </c>
      <c r="Z6084" s="0" t="n">
        <f aca="false">04_回帰ANOVA!$K$19*04_回帰ANOVA!$K$14*SQRT(1+Y6084)</f>
        <v>1.69434674594998</v>
      </c>
      <c r="AA6084" s="0" t="n">
        <f aca="false">X6084-Z6084</f>
        <v>43.7327183125296</v>
      </c>
      <c r="AB6084" s="0" t="n">
        <f aca="false">X6084+Z6084</f>
        <v>47.1214118044296</v>
      </c>
      <c r="AC6084" s="54" t="b">
        <f aca="false">AND(E6084&gt;=01_因子設定!$L$5-0.000000001,E6084&lt;=01_因子設定!$M$5+0.000000001,F6084&gt;=01_因子設定!$L$6-0.000000001,F6084&lt;=01_因子設定!$M$6+0.000000001,G6084&gt;=01_因子設定!$L$7-0.000000001,G6084&lt;=01_因子設定!$M$7+0.000000001,H6084&gt;=01_因子設定!$L$8-0.000000001,H6084&lt;=01_因子設定!$M$8+0.000000001,IF(01_因子設定!$B$20="Box-Behnken",E6084^2+F6084^2+G6084^2+H6084^2&lt;=2+0.000000001,TRUE()))</f>
        <v>1</v>
      </c>
      <c r="AD6084" s="55" t="n">
        <f aca="false">IF(AC6084,IF(01_因子設定!$B$13="最大化",AA6084-01_因子設定!$B$14,IF(01_因子設定!$B$13="最小化",01_因子設定!$B$15-AB6084,MIN(AA6084-01_因子設定!$B$14,01_因子設定!$B$15-AB6084))),-1E+030)</f>
        <v>-2.76728168747042</v>
      </c>
      <c r="AE6084" s="55" t="n">
        <f aca="false">IF(AC6084,IF(01_因子設定!$B$13="最大化",X6084,IF(01_因子設定!$B$13="最小化",-X6084,-ABS(X6084-01_因子設定!$B$16))),-1E+030)</f>
        <v>45.4270650584796</v>
      </c>
      <c r="AF6084" s="55" t="n">
        <f aca="false">AD6084+ROW()*0.000000001</f>
        <v>-2.76727560347042</v>
      </c>
      <c r="AG6084" s="55" t="n">
        <f aca="false">AE6084+ROW()*0.000000001</f>
        <v>45.4270711424796</v>
      </c>
    </row>
    <row r="6085" customFormat="false" ht="15" hidden="false" customHeight="false" outlineLevel="0" collapsed="false">
      <c r="A6085" s="0" t="n">
        <v>8</v>
      </c>
      <c r="B6085" s="0" t="n">
        <v>3</v>
      </c>
      <c r="C6085" s="0" t="n">
        <v>0</v>
      </c>
      <c r="D6085" s="0" t="n">
        <v>5</v>
      </c>
      <c r="E6085" s="0" t="n">
        <f aca="false">-1+A6085*0.25</f>
        <v>1</v>
      </c>
      <c r="F6085" s="0" t="n">
        <f aca="false">-1+B6085*0.25</f>
        <v>-0.25</v>
      </c>
      <c r="G6085" s="0" t="n">
        <f aca="false">-1+C6085*0.25</f>
        <v>-1</v>
      </c>
      <c r="H6085" s="0" t="n">
        <f aca="false">-1+D6085*0.25</f>
        <v>0.25</v>
      </c>
      <c r="I6085" s="0" t="n">
        <f aca="false">1</f>
        <v>1</v>
      </c>
      <c r="J6085" s="0" t="n">
        <f aca="false">E6085</f>
        <v>1</v>
      </c>
      <c r="K6085" s="0" t="n">
        <f aca="false">F6085</f>
        <v>-0.25</v>
      </c>
      <c r="L6085" s="0" t="n">
        <f aca="false">G6085</f>
        <v>-1</v>
      </c>
      <c r="M6085" s="0" t="n">
        <f aca="false">H6085</f>
        <v>0.25</v>
      </c>
      <c r="N6085" s="0" t="n">
        <f aca="false">E6085*F6085</f>
        <v>-0.25</v>
      </c>
      <c r="O6085" s="0" t="n">
        <f aca="false">E6085*G6085</f>
        <v>-1</v>
      </c>
      <c r="P6085" s="0" t="n">
        <f aca="false">E6085*H6085</f>
        <v>0.25</v>
      </c>
      <c r="Q6085" s="0" t="n">
        <f aca="false">F6085*G6085</f>
        <v>0.25</v>
      </c>
      <c r="R6085" s="0" t="n">
        <f aca="false">F6085*H6085</f>
        <v>-0.0625</v>
      </c>
      <c r="S6085" s="0" t="n">
        <f aca="false">G6085*H6085</f>
        <v>-0.25</v>
      </c>
      <c r="T6085" s="0" t="n">
        <f aca="false">E6085*E6085</f>
        <v>1</v>
      </c>
      <c r="U6085" s="0" t="n">
        <f aca="false">F6085*F6085</f>
        <v>0.0625</v>
      </c>
      <c r="V6085" s="0" t="n">
        <f aca="false">G6085*G6085</f>
        <v>1</v>
      </c>
      <c r="W6085" s="0" t="n">
        <f aca="false">H6085*H6085</f>
        <v>0.0625</v>
      </c>
      <c r="X6085" s="0" t="n">
        <f aca="false">SUMPRODUCT(I6085:W6085,_XtX!$B$96:$P$96)</f>
        <v>45.4772066885965</v>
      </c>
      <c r="Y6085" s="0" t="n">
        <f aca="false">SUMPRODUCT(MMULT(I6085:W6085,_XtX!$B$78:$P$92),I6085:W6085)</f>
        <v>0.670040376005117</v>
      </c>
      <c r="Z6085" s="0" t="n">
        <f aca="false">04_回帰ANOVA!$K$19*04_回帰ANOVA!$K$14*SQRT(1+Y6085)</f>
        <v>1.68446456039992</v>
      </c>
      <c r="AA6085" s="0" t="n">
        <f aca="false">X6085-Z6085</f>
        <v>43.7927421281966</v>
      </c>
      <c r="AB6085" s="0" t="n">
        <f aca="false">X6085+Z6085</f>
        <v>47.1616712489964</v>
      </c>
      <c r="AC6085" s="54" t="b">
        <f aca="false">AND(E6085&gt;=01_因子設定!$L$5-0.000000001,E6085&lt;=01_因子設定!$M$5+0.000000001,F6085&gt;=01_因子設定!$L$6-0.000000001,F6085&lt;=01_因子設定!$M$6+0.000000001,G6085&gt;=01_因子設定!$L$7-0.000000001,G6085&lt;=01_因子設定!$M$7+0.000000001,H6085&gt;=01_因子設定!$L$8-0.000000001,H6085&lt;=01_因子設定!$M$8+0.000000001,IF(01_因子設定!$B$20="Box-Behnken",E6085^2+F6085^2+G6085^2+H6085^2&lt;=2+0.000000001,TRUE()))</f>
        <v>1</v>
      </c>
      <c r="AD6085" s="55" t="n">
        <f aca="false">IF(AC6085,IF(01_因子設定!$B$13="最大化",AA6085-01_因子設定!$B$14,IF(01_因子設定!$B$13="最小化",01_因子設定!$B$15-AB6085,MIN(AA6085-01_因子設定!$B$14,01_因子設定!$B$15-AB6085))),-1E+030)</f>
        <v>-2.70725787180339</v>
      </c>
      <c r="AE6085" s="55" t="n">
        <f aca="false">IF(AC6085,IF(01_因子設定!$B$13="最大化",X6085,IF(01_因子設定!$B$13="最小化",-X6085,-ABS(X6085-01_因子設定!$B$16))),-1E+030)</f>
        <v>45.4772066885965</v>
      </c>
      <c r="AF6085" s="55" t="n">
        <f aca="false">AD6085+ROW()*0.000000001</f>
        <v>-2.70725178680339</v>
      </c>
      <c r="AG6085" s="55" t="n">
        <f aca="false">AE6085+ROW()*0.000000001</f>
        <v>45.4772127735965</v>
      </c>
    </row>
    <row r="6086" customFormat="false" ht="15" hidden="false" customHeight="false" outlineLevel="0" collapsed="false">
      <c r="A6086" s="0" t="n">
        <v>8</v>
      </c>
      <c r="B6086" s="0" t="n">
        <v>3</v>
      </c>
      <c r="C6086" s="0" t="n">
        <v>0</v>
      </c>
      <c r="D6086" s="0" t="n">
        <v>6</v>
      </c>
      <c r="E6086" s="0" t="n">
        <f aca="false">-1+A6086*0.25</f>
        <v>1</v>
      </c>
      <c r="F6086" s="0" t="n">
        <f aca="false">-1+B6086*0.25</f>
        <v>-0.25</v>
      </c>
      <c r="G6086" s="0" t="n">
        <f aca="false">-1+C6086*0.25</f>
        <v>-1</v>
      </c>
      <c r="H6086" s="0" t="n">
        <f aca="false">-1+D6086*0.25</f>
        <v>0.5</v>
      </c>
      <c r="I6086" s="0" t="n">
        <f aca="false">1</f>
        <v>1</v>
      </c>
      <c r="J6086" s="0" t="n">
        <f aca="false">E6086</f>
        <v>1</v>
      </c>
      <c r="K6086" s="0" t="n">
        <f aca="false">F6086</f>
        <v>-0.25</v>
      </c>
      <c r="L6086" s="0" t="n">
        <f aca="false">G6086</f>
        <v>-1</v>
      </c>
      <c r="M6086" s="0" t="n">
        <f aca="false">H6086</f>
        <v>0.5</v>
      </c>
      <c r="N6086" s="0" t="n">
        <f aca="false">E6086*F6086</f>
        <v>-0.25</v>
      </c>
      <c r="O6086" s="0" t="n">
        <f aca="false">E6086*G6086</f>
        <v>-1</v>
      </c>
      <c r="P6086" s="0" t="n">
        <f aca="false">E6086*H6086</f>
        <v>0.5</v>
      </c>
      <c r="Q6086" s="0" t="n">
        <f aca="false">F6086*G6086</f>
        <v>0.25</v>
      </c>
      <c r="R6086" s="0" t="n">
        <f aca="false">F6086*H6086</f>
        <v>-0.125</v>
      </c>
      <c r="S6086" s="0" t="n">
        <f aca="false">G6086*H6086</f>
        <v>-0.5</v>
      </c>
      <c r="T6086" s="0" t="n">
        <f aca="false">E6086*E6086</f>
        <v>1</v>
      </c>
      <c r="U6086" s="0" t="n">
        <f aca="false">F6086*F6086</f>
        <v>0.0625</v>
      </c>
      <c r="V6086" s="0" t="n">
        <f aca="false">G6086*G6086</f>
        <v>1</v>
      </c>
      <c r="W6086" s="0" t="n">
        <f aca="false">H6086*H6086</f>
        <v>0.25</v>
      </c>
      <c r="X6086" s="0" t="n">
        <f aca="false">SUMPRODUCT(I6086:W6086,_XtX!$B$96:$P$96)</f>
        <v>45.4795413011696</v>
      </c>
      <c r="Y6086" s="0" t="n">
        <f aca="false">SUMPRODUCT(MMULT(I6086:W6086,_XtX!$B$78:$P$92),I6086:W6086)</f>
        <v>0.629174661915205</v>
      </c>
      <c r="Z6086" s="0" t="n">
        <f aca="false">04_回帰ANOVA!$K$19*04_回帰ANOVA!$K$14*SQRT(1+Y6086)</f>
        <v>1.66372758058297</v>
      </c>
      <c r="AA6086" s="0" t="n">
        <f aca="false">X6086-Z6086</f>
        <v>43.8158137205867</v>
      </c>
      <c r="AB6086" s="0" t="n">
        <f aca="false">X6086+Z6086</f>
        <v>47.1432688817526</v>
      </c>
      <c r="AC6086" s="54" t="b">
        <f aca="false">AND(E6086&gt;=01_因子設定!$L$5-0.000000001,E6086&lt;=01_因子設定!$M$5+0.000000001,F6086&gt;=01_因子設定!$L$6-0.000000001,F6086&lt;=01_因子設定!$M$6+0.000000001,G6086&gt;=01_因子設定!$L$7-0.000000001,G6086&lt;=01_因子設定!$M$7+0.000000001,H6086&gt;=01_因子設定!$L$8-0.000000001,H6086&lt;=01_因子設定!$M$8+0.000000001,IF(01_因子設定!$B$20="Box-Behnken",E6086^2+F6086^2+G6086^2+H6086^2&lt;=2+0.000000001,TRUE()))</f>
        <v>1</v>
      </c>
      <c r="AD6086" s="55" t="n">
        <f aca="false">IF(AC6086,IF(01_因子設定!$B$13="最大化",AA6086-01_因子設定!$B$14,IF(01_因子設定!$B$13="最小化",01_因子設定!$B$15-AB6086,MIN(AA6086-01_因子設定!$B$14,01_因子設定!$B$15-AB6086))),-1E+030)</f>
        <v>-2.68418627941335</v>
      </c>
      <c r="AE6086" s="55" t="n">
        <f aca="false">IF(AC6086,IF(01_因子設定!$B$13="最大化",X6086,IF(01_因子設定!$B$13="最小化",-X6086,-ABS(X6086-01_因子設定!$B$16))),-1E+030)</f>
        <v>45.4795413011696</v>
      </c>
      <c r="AF6086" s="55" t="n">
        <f aca="false">AD6086+ROW()*0.000000001</f>
        <v>-2.68418019341335</v>
      </c>
      <c r="AG6086" s="55" t="n">
        <f aca="false">AE6086+ROW()*0.000000001</f>
        <v>45.4795473871696</v>
      </c>
    </row>
    <row r="6087" customFormat="false" ht="15" hidden="false" customHeight="false" outlineLevel="0" collapsed="false">
      <c r="A6087" s="0" t="n">
        <v>8</v>
      </c>
      <c r="B6087" s="0" t="n">
        <v>3</v>
      </c>
      <c r="C6087" s="0" t="n">
        <v>0</v>
      </c>
      <c r="D6087" s="0" t="n">
        <v>7</v>
      </c>
      <c r="E6087" s="0" t="n">
        <f aca="false">-1+A6087*0.25</f>
        <v>1</v>
      </c>
      <c r="F6087" s="0" t="n">
        <f aca="false">-1+B6087*0.25</f>
        <v>-0.25</v>
      </c>
      <c r="G6087" s="0" t="n">
        <f aca="false">-1+C6087*0.25</f>
        <v>-1</v>
      </c>
      <c r="H6087" s="0" t="n">
        <f aca="false">-1+D6087*0.25</f>
        <v>0.75</v>
      </c>
      <c r="I6087" s="0" t="n">
        <f aca="false">1</f>
        <v>1</v>
      </c>
      <c r="J6087" s="0" t="n">
        <f aca="false">E6087</f>
        <v>1</v>
      </c>
      <c r="K6087" s="0" t="n">
        <f aca="false">F6087</f>
        <v>-0.25</v>
      </c>
      <c r="L6087" s="0" t="n">
        <f aca="false">G6087</f>
        <v>-1</v>
      </c>
      <c r="M6087" s="0" t="n">
        <f aca="false">H6087</f>
        <v>0.75</v>
      </c>
      <c r="N6087" s="0" t="n">
        <f aca="false">E6087*F6087</f>
        <v>-0.25</v>
      </c>
      <c r="O6087" s="0" t="n">
        <f aca="false">E6087*G6087</f>
        <v>-1</v>
      </c>
      <c r="P6087" s="0" t="n">
        <f aca="false">E6087*H6087</f>
        <v>0.75</v>
      </c>
      <c r="Q6087" s="0" t="n">
        <f aca="false">F6087*G6087</f>
        <v>0.25</v>
      </c>
      <c r="R6087" s="0" t="n">
        <f aca="false">F6087*H6087</f>
        <v>-0.1875</v>
      </c>
      <c r="S6087" s="0" t="n">
        <f aca="false">G6087*H6087</f>
        <v>-0.75</v>
      </c>
      <c r="T6087" s="0" t="n">
        <f aca="false">E6087*E6087</f>
        <v>1</v>
      </c>
      <c r="U6087" s="0" t="n">
        <f aca="false">F6087*F6087</f>
        <v>0.0625</v>
      </c>
      <c r="V6087" s="0" t="n">
        <f aca="false">G6087*G6087</f>
        <v>1</v>
      </c>
      <c r="W6087" s="0" t="n">
        <f aca="false">H6087*H6087</f>
        <v>0.5625</v>
      </c>
      <c r="X6087" s="0" t="n">
        <f aca="false">SUMPRODUCT(I6087:W6087,_XtX!$B$96:$P$96)</f>
        <v>45.4340688961989</v>
      </c>
      <c r="Y6087" s="0" t="n">
        <f aca="false">SUMPRODUCT(MMULT(I6087:W6087,_XtX!$B$78:$P$92),I6087:W6087)</f>
        <v>0.621372155975877</v>
      </c>
      <c r="Z6087" s="0" t="n">
        <f aca="false">04_回帰ANOVA!$K$19*04_回帰ANOVA!$K$14*SQRT(1+Y6087)</f>
        <v>1.65973880499872</v>
      </c>
      <c r="AA6087" s="0" t="n">
        <f aca="false">X6087-Z6087</f>
        <v>43.7743300912002</v>
      </c>
      <c r="AB6087" s="0" t="n">
        <f aca="false">X6087+Z6087</f>
        <v>47.0938077011976</v>
      </c>
      <c r="AC6087" s="54" t="b">
        <f aca="false">AND(E6087&gt;=01_因子設定!$L$5-0.000000001,E6087&lt;=01_因子設定!$M$5+0.000000001,F6087&gt;=01_因子設定!$L$6-0.000000001,F6087&lt;=01_因子設定!$M$6+0.000000001,G6087&gt;=01_因子設定!$L$7-0.000000001,G6087&lt;=01_因子設定!$M$7+0.000000001,H6087&gt;=01_因子設定!$L$8-0.000000001,H6087&lt;=01_因子設定!$M$8+0.000000001,IF(01_因子設定!$B$20="Box-Behnken",E6087^2+F6087^2+G6087^2+H6087^2&lt;=2+0.000000001,TRUE()))</f>
        <v>1</v>
      </c>
      <c r="AD6087" s="55" t="n">
        <f aca="false">IF(AC6087,IF(01_因子設定!$B$13="最大化",AA6087-01_因子設定!$B$14,IF(01_因子設定!$B$13="最小化",01_因子設定!$B$15-AB6087,MIN(AA6087-01_因子設定!$B$14,01_因子設定!$B$15-AB6087))),-1E+030)</f>
        <v>-2.72566990879984</v>
      </c>
      <c r="AE6087" s="55" t="n">
        <f aca="false">IF(AC6087,IF(01_因子設定!$B$13="最大化",X6087,IF(01_因子設定!$B$13="最小化",-X6087,-ABS(X6087-01_因子設定!$B$16))),-1E+030)</f>
        <v>45.4340688961989</v>
      </c>
      <c r="AF6087" s="55" t="n">
        <f aca="false">AD6087+ROW()*0.000000001</f>
        <v>-2.72566382179984</v>
      </c>
      <c r="AG6087" s="55" t="n">
        <f aca="false">AE6087+ROW()*0.000000001</f>
        <v>45.4340749831989</v>
      </c>
    </row>
    <row r="6088" customFormat="false" ht="15" hidden="false" customHeight="false" outlineLevel="0" collapsed="false">
      <c r="A6088" s="0" t="n">
        <v>8</v>
      </c>
      <c r="B6088" s="0" t="n">
        <v>3</v>
      </c>
      <c r="C6088" s="0" t="n">
        <v>0</v>
      </c>
      <c r="D6088" s="0" t="n">
        <v>8</v>
      </c>
      <c r="E6088" s="0" t="n">
        <f aca="false">-1+A6088*0.25</f>
        <v>1</v>
      </c>
      <c r="F6088" s="0" t="n">
        <f aca="false">-1+B6088*0.25</f>
        <v>-0.25</v>
      </c>
      <c r="G6088" s="0" t="n">
        <f aca="false">-1+C6088*0.25</f>
        <v>-1</v>
      </c>
      <c r="H6088" s="0" t="n">
        <f aca="false">-1+D6088*0.25</f>
        <v>1</v>
      </c>
      <c r="I6088" s="0" t="n">
        <f aca="false">1</f>
        <v>1</v>
      </c>
      <c r="J6088" s="0" t="n">
        <f aca="false">E6088</f>
        <v>1</v>
      </c>
      <c r="K6088" s="0" t="n">
        <f aca="false">F6088</f>
        <v>-0.25</v>
      </c>
      <c r="L6088" s="0" t="n">
        <f aca="false">G6088</f>
        <v>-1</v>
      </c>
      <c r="M6088" s="0" t="n">
        <f aca="false">H6088</f>
        <v>1</v>
      </c>
      <c r="N6088" s="0" t="n">
        <f aca="false">E6088*F6088</f>
        <v>-0.25</v>
      </c>
      <c r="O6088" s="0" t="n">
        <f aca="false">E6088*G6088</f>
        <v>-1</v>
      </c>
      <c r="P6088" s="0" t="n">
        <f aca="false">E6088*H6088</f>
        <v>1</v>
      </c>
      <c r="Q6088" s="0" t="n">
        <f aca="false">F6088*G6088</f>
        <v>0.25</v>
      </c>
      <c r="R6088" s="0" t="n">
        <f aca="false">F6088*H6088</f>
        <v>-0.25</v>
      </c>
      <c r="S6088" s="0" t="n">
        <f aca="false">G6088*H6088</f>
        <v>-1</v>
      </c>
      <c r="T6088" s="0" t="n">
        <f aca="false">E6088*E6088</f>
        <v>1</v>
      </c>
      <c r="U6088" s="0" t="n">
        <f aca="false">F6088*F6088</f>
        <v>0.0625</v>
      </c>
      <c r="V6088" s="0" t="n">
        <f aca="false">G6088*G6088</f>
        <v>1</v>
      </c>
      <c r="W6088" s="0" t="n">
        <f aca="false">H6088*H6088</f>
        <v>1</v>
      </c>
      <c r="X6088" s="0" t="n">
        <f aca="false">SUMPRODUCT(I6088:W6088,_XtX!$B$96:$P$96)</f>
        <v>45.3407894736843</v>
      </c>
      <c r="Y6088" s="0" t="n">
        <f aca="false">SUMPRODUCT(MMULT(I6088:W6088,_XtX!$B$78:$P$92),I6088:W6088)</f>
        <v>0.737093384502924</v>
      </c>
      <c r="Z6088" s="0" t="n">
        <f aca="false">04_回帰ANOVA!$K$19*04_回帰ANOVA!$K$14*SQRT(1+Y6088)</f>
        <v>1.71794784853551</v>
      </c>
      <c r="AA6088" s="0" t="n">
        <f aca="false">X6088-Z6088</f>
        <v>43.6228416251488</v>
      </c>
      <c r="AB6088" s="0" t="n">
        <f aca="false">X6088+Z6088</f>
        <v>47.0587373222198</v>
      </c>
      <c r="AC6088" s="54" t="b">
        <f aca="false">AND(E6088&gt;=01_因子設定!$L$5-0.000000001,E6088&lt;=01_因子設定!$M$5+0.000000001,F6088&gt;=01_因子設定!$L$6-0.000000001,F6088&lt;=01_因子設定!$M$6+0.000000001,G6088&gt;=01_因子設定!$L$7-0.000000001,G6088&lt;=01_因子設定!$M$7+0.000000001,H6088&gt;=01_因子設定!$L$8-0.000000001,H6088&lt;=01_因子設定!$M$8+0.000000001,IF(01_因子設定!$B$20="Box-Behnken",E6088^2+F6088^2+G6088^2+H6088^2&lt;=2+0.000000001,TRUE()))</f>
        <v>1</v>
      </c>
      <c r="AD6088" s="55" t="n">
        <f aca="false">IF(AC6088,IF(01_因子設定!$B$13="最大化",AA6088-01_因子設定!$B$14,IF(01_因子設定!$B$13="最小化",01_因子設定!$B$15-AB6088,MIN(AA6088-01_因子設定!$B$14,01_因子設定!$B$15-AB6088))),-1E+030)</f>
        <v>-2.87715837485123</v>
      </c>
      <c r="AE6088" s="55" t="n">
        <f aca="false">IF(AC6088,IF(01_因子設定!$B$13="最大化",X6088,IF(01_因子設定!$B$13="最小化",-X6088,-ABS(X6088-01_因子設定!$B$16))),-1E+030)</f>
        <v>45.3407894736843</v>
      </c>
      <c r="AF6088" s="55" t="n">
        <f aca="false">AD6088+ROW()*0.000000001</f>
        <v>-2.87715228685123</v>
      </c>
      <c r="AG6088" s="55" t="n">
        <f aca="false">AE6088+ROW()*0.000000001</f>
        <v>45.3407955616843</v>
      </c>
    </row>
    <row r="6089" customFormat="false" ht="15" hidden="false" customHeight="false" outlineLevel="0" collapsed="false">
      <c r="A6089" s="0" t="n">
        <v>8</v>
      </c>
      <c r="B6089" s="0" t="n">
        <v>3</v>
      </c>
      <c r="C6089" s="0" t="n">
        <v>1</v>
      </c>
      <c r="D6089" s="0" t="n">
        <v>0</v>
      </c>
      <c r="E6089" s="0" t="n">
        <f aca="false">-1+A6089*0.25</f>
        <v>1</v>
      </c>
      <c r="F6089" s="0" t="n">
        <f aca="false">-1+B6089*0.25</f>
        <v>-0.25</v>
      </c>
      <c r="G6089" s="0" t="n">
        <f aca="false">-1+C6089*0.25</f>
        <v>-0.75</v>
      </c>
      <c r="H6089" s="0" t="n">
        <f aca="false">-1+D6089*0.25</f>
        <v>-1</v>
      </c>
      <c r="I6089" s="0" t="n">
        <f aca="false">1</f>
        <v>1</v>
      </c>
      <c r="J6089" s="0" t="n">
        <f aca="false">E6089</f>
        <v>1</v>
      </c>
      <c r="K6089" s="0" t="n">
        <f aca="false">F6089</f>
        <v>-0.25</v>
      </c>
      <c r="L6089" s="0" t="n">
        <f aca="false">G6089</f>
        <v>-0.75</v>
      </c>
      <c r="M6089" s="0" t="n">
        <f aca="false">H6089</f>
        <v>-1</v>
      </c>
      <c r="N6089" s="0" t="n">
        <f aca="false">E6089*F6089</f>
        <v>-0.25</v>
      </c>
      <c r="O6089" s="0" t="n">
        <f aca="false">E6089*G6089</f>
        <v>-0.75</v>
      </c>
      <c r="P6089" s="0" t="n">
        <f aca="false">E6089*H6089</f>
        <v>-1</v>
      </c>
      <c r="Q6089" s="0" t="n">
        <f aca="false">F6089*G6089</f>
        <v>0.1875</v>
      </c>
      <c r="R6089" s="0" t="n">
        <f aca="false">F6089*H6089</f>
        <v>0.25</v>
      </c>
      <c r="S6089" s="0" t="n">
        <f aca="false">G6089*H6089</f>
        <v>0.75</v>
      </c>
      <c r="T6089" s="0" t="n">
        <f aca="false">E6089*E6089</f>
        <v>1</v>
      </c>
      <c r="U6089" s="0" t="n">
        <f aca="false">F6089*F6089</f>
        <v>0.0625</v>
      </c>
      <c r="V6089" s="0" t="n">
        <f aca="false">G6089*G6089</f>
        <v>0.5625</v>
      </c>
      <c r="W6089" s="0" t="n">
        <f aca="false">H6089*H6089</f>
        <v>1</v>
      </c>
      <c r="X6089" s="0" t="n">
        <f aca="false">SUMPRODUCT(I6089:W6089,_XtX!$B$96:$P$96)</f>
        <v>45.03893000731</v>
      </c>
      <c r="Y6089" s="0" t="n">
        <f aca="false">SUMPRODUCT(MMULT(I6089:W6089,_XtX!$B$78:$P$92),I6089:W6089)</f>
        <v>0.621372155975877</v>
      </c>
      <c r="Z6089" s="0" t="n">
        <f aca="false">04_回帰ANOVA!$K$19*04_回帰ANOVA!$K$14*SQRT(1+Y6089)</f>
        <v>1.65973880499872</v>
      </c>
      <c r="AA6089" s="0" t="n">
        <f aca="false">X6089-Z6089</f>
        <v>43.3791912023113</v>
      </c>
      <c r="AB6089" s="0" t="n">
        <f aca="false">X6089+Z6089</f>
        <v>46.6986688123087</v>
      </c>
      <c r="AC6089" s="54" t="b">
        <f aca="false">AND(E6089&gt;=01_因子設定!$L$5-0.000000001,E6089&lt;=01_因子設定!$M$5+0.000000001,F6089&gt;=01_因子設定!$L$6-0.000000001,F6089&lt;=01_因子設定!$M$6+0.000000001,G6089&gt;=01_因子設定!$L$7-0.000000001,G6089&lt;=01_因子設定!$M$7+0.000000001,H6089&gt;=01_因子設定!$L$8-0.000000001,H6089&lt;=01_因子設定!$M$8+0.000000001,IF(01_因子設定!$B$20="Box-Behnken",E6089^2+F6089^2+G6089^2+H6089^2&lt;=2+0.000000001,TRUE()))</f>
        <v>1</v>
      </c>
      <c r="AD6089" s="55" t="n">
        <f aca="false">IF(AC6089,IF(01_因子設定!$B$13="最大化",AA6089-01_因子設定!$B$14,IF(01_因子設定!$B$13="最小化",01_因子設定!$B$15-AB6089,MIN(AA6089-01_因子設定!$B$14,01_因子設定!$B$15-AB6089))),-1E+030)</f>
        <v>-3.12080879768871</v>
      </c>
      <c r="AE6089" s="55" t="n">
        <f aca="false">IF(AC6089,IF(01_因子設定!$B$13="最大化",X6089,IF(01_因子設定!$B$13="最小化",-X6089,-ABS(X6089-01_因子設定!$B$16))),-1E+030)</f>
        <v>45.03893000731</v>
      </c>
      <c r="AF6089" s="55" t="n">
        <f aca="false">AD6089+ROW()*0.000000001</f>
        <v>-3.12080270868871</v>
      </c>
      <c r="AG6089" s="55" t="n">
        <f aca="false">AE6089+ROW()*0.000000001</f>
        <v>45.03893609631</v>
      </c>
    </row>
    <row r="6090" customFormat="false" ht="15" hidden="false" customHeight="false" outlineLevel="0" collapsed="false">
      <c r="A6090" s="0" t="n">
        <v>8</v>
      </c>
      <c r="B6090" s="0" t="n">
        <v>3</v>
      </c>
      <c r="C6090" s="0" t="n">
        <v>1</v>
      </c>
      <c r="D6090" s="0" t="n">
        <v>1</v>
      </c>
      <c r="E6090" s="0" t="n">
        <f aca="false">-1+A6090*0.25</f>
        <v>1</v>
      </c>
      <c r="F6090" s="0" t="n">
        <f aca="false">-1+B6090*0.25</f>
        <v>-0.25</v>
      </c>
      <c r="G6090" s="0" t="n">
        <f aca="false">-1+C6090*0.25</f>
        <v>-0.75</v>
      </c>
      <c r="H6090" s="0" t="n">
        <f aca="false">-1+D6090*0.25</f>
        <v>-0.75</v>
      </c>
      <c r="I6090" s="0" t="n">
        <f aca="false">1</f>
        <v>1</v>
      </c>
      <c r="J6090" s="0" t="n">
        <f aca="false">E6090</f>
        <v>1</v>
      </c>
      <c r="K6090" s="0" t="n">
        <f aca="false">F6090</f>
        <v>-0.25</v>
      </c>
      <c r="L6090" s="0" t="n">
        <f aca="false">G6090</f>
        <v>-0.75</v>
      </c>
      <c r="M6090" s="0" t="n">
        <f aca="false">H6090</f>
        <v>-0.75</v>
      </c>
      <c r="N6090" s="0" t="n">
        <f aca="false">E6090*F6090</f>
        <v>-0.25</v>
      </c>
      <c r="O6090" s="0" t="n">
        <f aca="false">E6090*G6090</f>
        <v>-0.75</v>
      </c>
      <c r="P6090" s="0" t="n">
        <f aca="false">E6090*H6090</f>
        <v>-0.75</v>
      </c>
      <c r="Q6090" s="0" t="n">
        <f aca="false">F6090*G6090</f>
        <v>0.1875</v>
      </c>
      <c r="R6090" s="0" t="n">
        <f aca="false">F6090*H6090</f>
        <v>0.1875</v>
      </c>
      <c r="S6090" s="0" t="n">
        <f aca="false">G6090*H6090</f>
        <v>0.5625</v>
      </c>
      <c r="T6090" s="0" t="n">
        <f aca="false">E6090*E6090</f>
        <v>1</v>
      </c>
      <c r="U6090" s="0" t="n">
        <f aca="false">F6090*F6090</f>
        <v>0.0625</v>
      </c>
      <c r="V6090" s="0" t="n">
        <f aca="false">G6090*G6090</f>
        <v>0.5625</v>
      </c>
      <c r="W6090" s="0" t="n">
        <f aca="false">H6090*H6090</f>
        <v>0.5625</v>
      </c>
      <c r="X6090" s="0" t="n">
        <f aca="false">SUMPRODUCT(I6090:W6090,_XtX!$B$96:$P$96)</f>
        <v>45.2982684576024</v>
      </c>
      <c r="Y6090" s="0" t="n">
        <f aca="false">SUMPRODUCT(MMULT(I6090:W6090,_XtX!$B$78:$P$92),I6090:W6090)</f>
        <v>0.473959761056287</v>
      </c>
      <c r="Z6090" s="0" t="n">
        <f aca="false">04_回帰ANOVA!$K$19*04_回帰ANOVA!$K$14*SQRT(1+Y6090)</f>
        <v>1.58249084588329</v>
      </c>
      <c r="AA6090" s="0" t="n">
        <f aca="false">X6090-Z6090</f>
        <v>43.7157776117191</v>
      </c>
      <c r="AB6090" s="0" t="n">
        <f aca="false">X6090+Z6090</f>
        <v>46.8807593034857</v>
      </c>
      <c r="AC6090" s="54" t="b">
        <f aca="false">AND(E6090&gt;=01_因子設定!$L$5-0.000000001,E6090&lt;=01_因子設定!$M$5+0.000000001,F6090&gt;=01_因子設定!$L$6-0.000000001,F6090&lt;=01_因子設定!$M$6+0.000000001,G6090&gt;=01_因子設定!$L$7-0.000000001,G6090&lt;=01_因子設定!$M$7+0.000000001,H6090&gt;=01_因子設定!$L$8-0.000000001,H6090&lt;=01_因子設定!$M$8+0.000000001,IF(01_因子設定!$B$20="Box-Behnken",E6090^2+F6090^2+G6090^2+H6090^2&lt;=2+0.000000001,TRUE()))</f>
        <v>1</v>
      </c>
      <c r="AD6090" s="55" t="n">
        <f aca="false">IF(AC6090,IF(01_因子設定!$B$13="最大化",AA6090-01_因子設定!$B$14,IF(01_因子設定!$B$13="最小化",01_因子設定!$B$15-AB6090,MIN(AA6090-01_因子設定!$B$14,01_因子設定!$B$15-AB6090))),-1E+030)</f>
        <v>-2.7842223882809</v>
      </c>
      <c r="AE6090" s="55" t="n">
        <f aca="false">IF(AC6090,IF(01_因子設定!$B$13="最大化",X6090,IF(01_因子設定!$B$13="最小化",-X6090,-ABS(X6090-01_因子設定!$B$16))),-1E+030)</f>
        <v>45.2982684576024</v>
      </c>
      <c r="AF6090" s="55" t="n">
        <f aca="false">AD6090+ROW()*0.000000001</f>
        <v>-2.7842162982809</v>
      </c>
      <c r="AG6090" s="55" t="n">
        <f aca="false">AE6090+ROW()*0.000000001</f>
        <v>45.2982745476024</v>
      </c>
    </row>
    <row r="6091" customFormat="false" ht="15" hidden="false" customHeight="false" outlineLevel="0" collapsed="false">
      <c r="A6091" s="0" t="n">
        <v>8</v>
      </c>
      <c r="B6091" s="0" t="n">
        <v>3</v>
      </c>
      <c r="C6091" s="0" t="n">
        <v>1</v>
      </c>
      <c r="D6091" s="0" t="n">
        <v>2</v>
      </c>
      <c r="E6091" s="0" t="n">
        <f aca="false">-1+A6091*0.25</f>
        <v>1</v>
      </c>
      <c r="F6091" s="0" t="n">
        <f aca="false">-1+B6091*0.25</f>
        <v>-0.25</v>
      </c>
      <c r="G6091" s="0" t="n">
        <f aca="false">-1+C6091*0.25</f>
        <v>-0.75</v>
      </c>
      <c r="H6091" s="0" t="n">
        <f aca="false">-1+D6091*0.25</f>
        <v>-0.5</v>
      </c>
      <c r="I6091" s="0" t="n">
        <f aca="false">1</f>
        <v>1</v>
      </c>
      <c r="J6091" s="0" t="n">
        <f aca="false">E6091</f>
        <v>1</v>
      </c>
      <c r="K6091" s="0" t="n">
        <f aca="false">F6091</f>
        <v>-0.25</v>
      </c>
      <c r="L6091" s="0" t="n">
        <f aca="false">G6091</f>
        <v>-0.75</v>
      </c>
      <c r="M6091" s="0" t="n">
        <f aca="false">H6091</f>
        <v>-0.5</v>
      </c>
      <c r="N6091" s="0" t="n">
        <f aca="false">E6091*F6091</f>
        <v>-0.25</v>
      </c>
      <c r="O6091" s="0" t="n">
        <f aca="false">E6091*G6091</f>
        <v>-0.75</v>
      </c>
      <c r="P6091" s="0" t="n">
        <f aca="false">E6091*H6091</f>
        <v>-0.5</v>
      </c>
      <c r="Q6091" s="0" t="n">
        <f aca="false">F6091*G6091</f>
        <v>0.1875</v>
      </c>
      <c r="R6091" s="0" t="n">
        <f aca="false">F6091*H6091</f>
        <v>0.125</v>
      </c>
      <c r="S6091" s="0" t="n">
        <f aca="false">G6091*H6091</f>
        <v>0.375</v>
      </c>
      <c r="T6091" s="0" t="n">
        <f aca="false">E6091*E6091</f>
        <v>1</v>
      </c>
      <c r="U6091" s="0" t="n">
        <f aca="false">F6091*F6091</f>
        <v>0.0625</v>
      </c>
      <c r="V6091" s="0" t="n">
        <f aca="false">G6091*G6091</f>
        <v>0.5625</v>
      </c>
      <c r="W6091" s="0" t="n">
        <f aca="false">H6091*H6091</f>
        <v>0.25</v>
      </c>
      <c r="X6091" s="0" t="n">
        <f aca="false">SUMPRODUCT(I6091:W6091,_XtX!$B$96:$P$96)</f>
        <v>45.5097998903509</v>
      </c>
      <c r="Y6091" s="0" t="n">
        <f aca="false">SUMPRODUCT(MMULT(I6091:W6091,_XtX!$B$78:$P$92),I6091:W6091)</f>
        <v>0.459125719572369</v>
      </c>
      <c r="Z6091" s="0" t="n">
        <f aca="false">04_回帰ANOVA!$K$19*04_回帰ANOVA!$K$14*SQRT(1+Y6091)</f>
        <v>1.57450755575573</v>
      </c>
      <c r="AA6091" s="0" t="n">
        <f aca="false">X6091-Z6091</f>
        <v>43.9352923345952</v>
      </c>
      <c r="AB6091" s="0" t="n">
        <f aca="false">X6091+Z6091</f>
        <v>47.0843074461066</v>
      </c>
      <c r="AC6091" s="54" t="b">
        <f aca="false">AND(E6091&gt;=01_因子設定!$L$5-0.000000001,E6091&lt;=01_因子設定!$M$5+0.000000001,F6091&gt;=01_因子設定!$L$6-0.000000001,F6091&lt;=01_因子設定!$M$6+0.000000001,G6091&gt;=01_因子設定!$L$7-0.000000001,G6091&lt;=01_因子設定!$M$7+0.000000001,H6091&gt;=01_因子設定!$L$8-0.000000001,H6091&lt;=01_因子設定!$M$8+0.000000001,IF(01_因子設定!$B$20="Box-Behnken",E6091^2+F6091^2+G6091^2+H6091^2&lt;=2+0.000000001,TRUE()))</f>
        <v>1</v>
      </c>
      <c r="AD6091" s="55" t="n">
        <f aca="false">IF(AC6091,IF(01_因子設定!$B$13="最大化",AA6091-01_因子設定!$B$14,IF(01_因子設定!$B$13="最小化",01_因子設定!$B$15-AB6091,MIN(AA6091-01_因子設定!$B$14,01_因子設定!$B$15-AB6091))),-1E+030)</f>
        <v>-2.56470766540482</v>
      </c>
      <c r="AE6091" s="55" t="n">
        <f aca="false">IF(AC6091,IF(01_因子設定!$B$13="最大化",X6091,IF(01_因子設定!$B$13="最小化",-X6091,-ABS(X6091-01_因子設定!$B$16))),-1E+030)</f>
        <v>45.5097998903509</v>
      </c>
      <c r="AF6091" s="55" t="n">
        <f aca="false">AD6091+ROW()*0.000000001</f>
        <v>-2.56470157440482</v>
      </c>
      <c r="AG6091" s="55" t="n">
        <f aca="false">AE6091+ROW()*0.000000001</f>
        <v>45.5098059813509</v>
      </c>
    </row>
    <row r="6092" customFormat="false" ht="15" hidden="false" customHeight="false" outlineLevel="0" collapsed="false">
      <c r="A6092" s="0" t="n">
        <v>8</v>
      </c>
      <c r="B6092" s="0" t="n">
        <v>3</v>
      </c>
      <c r="C6092" s="0" t="n">
        <v>1</v>
      </c>
      <c r="D6092" s="0" t="n">
        <v>3</v>
      </c>
      <c r="E6092" s="0" t="n">
        <f aca="false">-1+A6092*0.25</f>
        <v>1</v>
      </c>
      <c r="F6092" s="0" t="n">
        <f aca="false">-1+B6092*0.25</f>
        <v>-0.25</v>
      </c>
      <c r="G6092" s="0" t="n">
        <f aca="false">-1+C6092*0.25</f>
        <v>-0.75</v>
      </c>
      <c r="H6092" s="0" t="n">
        <f aca="false">-1+D6092*0.25</f>
        <v>-0.25</v>
      </c>
      <c r="I6092" s="0" t="n">
        <f aca="false">1</f>
        <v>1</v>
      </c>
      <c r="J6092" s="0" t="n">
        <f aca="false">E6092</f>
        <v>1</v>
      </c>
      <c r="K6092" s="0" t="n">
        <f aca="false">F6092</f>
        <v>-0.25</v>
      </c>
      <c r="L6092" s="0" t="n">
        <f aca="false">G6092</f>
        <v>-0.75</v>
      </c>
      <c r="M6092" s="0" t="n">
        <f aca="false">H6092</f>
        <v>-0.25</v>
      </c>
      <c r="N6092" s="0" t="n">
        <f aca="false">E6092*F6092</f>
        <v>-0.25</v>
      </c>
      <c r="O6092" s="0" t="n">
        <f aca="false">E6092*G6092</f>
        <v>-0.75</v>
      </c>
      <c r="P6092" s="0" t="n">
        <f aca="false">E6092*H6092</f>
        <v>-0.25</v>
      </c>
      <c r="Q6092" s="0" t="n">
        <f aca="false">F6092*G6092</f>
        <v>0.1875</v>
      </c>
      <c r="R6092" s="0" t="n">
        <f aca="false">F6092*H6092</f>
        <v>0.0625</v>
      </c>
      <c r="S6092" s="0" t="n">
        <f aca="false">G6092*H6092</f>
        <v>0.1875</v>
      </c>
      <c r="T6092" s="0" t="n">
        <f aca="false">E6092*E6092</f>
        <v>1</v>
      </c>
      <c r="U6092" s="0" t="n">
        <f aca="false">F6092*F6092</f>
        <v>0.0625</v>
      </c>
      <c r="V6092" s="0" t="n">
        <f aca="false">G6092*G6092</f>
        <v>0.5625</v>
      </c>
      <c r="W6092" s="0" t="n">
        <f aca="false">H6092*H6092</f>
        <v>0.0625</v>
      </c>
      <c r="X6092" s="0" t="n">
        <f aca="false">SUMPRODUCT(I6092:W6092,_XtX!$B$96:$P$96)</f>
        <v>45.6735243055556</v>
      </c>
      <c r="Y6092" s="0" t="n">
        <f aca="false">SUMPRODUCT(MMULT(I6092:W6092,_XtX!$B$78:$P$92),I6092:W6092)</f>
        <v>0.486409505208334</v>
      </c>
      <c r="Z6092" s="0" t="n">
        <f aca="false">04_回帰ANOVA!$K$19*04_回帰ANOVA!$K$14*SQRT(1+Y6092)</f>
        <v>1.58916001665498</v>
      </c>
      <c r="AA6092" s="0" t="n">
        <f aca="false">X6092-Z6092</f>
        <v>44.0843642889006</v>
      </c>
      <c r="AB6092" s="0" t="n">
        <f aca="false">X6092+Z6092</f>
        <v>47.2626843222106</v>
      </c>
      <c r="AC6092" s="54" t="b">
        <f aca="false">AND(E6092&gt;=01_因子設定!$L$5-0.000000001,E6092&lt;=01_因子設定!$M$5+0.000000001,F6092&gt;=01_因子設定!$L$6-0.000000001,F6092&lt;=01_因子設定!$M$6+0.000000001,G6092&gt;=01_因子設定!$L$7-0.000000001,G6092&lt;=01_因子設定!$M$7+0.000000001,H6092&gt;=01_因子設定!$L$8-0.000000001,H6092&lt;=01_因子設定!$M$8+0.000000001,IF(01_因子設定!$B$20="Box-Behnken",E6092^2+F6092^2+G6092^2+H6092^2&lt;=2+0.000000001,TRUE()))</f>
        <v>1</v>
      </c>
      <c r="AD6092" s="55" t="n">
        <f aca="false">IF(AC6092,IF(01_因子設定!$B$13="最大化",AA6092-01_因子設定!$B$14,IF(01_因子設定!$B$13="最小化",01_因子設定!$B$15-AB6092,MIN(AA6092-01_因子設定!$B$14,01_因子設定!$B$15-AB6092))),-1E+030)</f>
        <v>-2.41563571109939</v>
      </c>
      <c r="AE6092" s="55" t="n">
        <f aca="false">IF(AC6092,IF(01_因子設定!$B$13="最大化",X6092,IF(01_因子設定!$B$13="最小化",-X6092,-ABS(X6092-01_因子設定!$B$16))),-1E+030)</f>
        <v>45.6735243055556</v>
      </c>
      <c r="AF6092" s="55" t="n">
        <f aca="false">AD6092+ROW()*0.000000001</f>
        <v>-2.41562961909939</v>
      </c>
      <c r="AG6092" s="55" t="n">
        <f aca="false">AE6092+ROW()*0.000000001</f>
        <v>45.6735303975556</v>
      </c>
    </row>
    <row r="6093" customFormat="false" ht="15" hidden="false" customHeight="false" outlineLevel="0" collapsed="false">
      <c r="A6093" s="0" t="n">
        <v>8</v>
      </c>
      <c r="B6093" s="0" t="n">
        <v>3</v>
      </c>
      <c r="C6093" s="0" t="n">
        <v>1</v>
      </c>
      <c r="D6093" s="0" t="n">
        <v>4</v>
      </c>
      <c r="E6093" s="0" t="n">
        <f aca="false">-1+A6093*0.25</f>
        <v>1</v>
      </c>
      <c r="F6093" s="0" t="n">
        <f aca="false">-1+B6093*0.25</f>
        <v>-0.25</v>
      </c>
      <c r="G6093" s="0" t="n">
        <f aca="false">-1+C6093*0.25</f>
        <v>-0.75</v>
      </c>
      <c r="H6093" s="0" t="n">
        <f aca="false">-1+D6093*0.25</f>
        <v>0</v>
      </c>
      <c r="I6093" s="0" t="n">
        <f aca="false">1</f>
        <v>1</v>
      </c>
      <c r="J6093" s="0" t="n">
        <f aca="false">E6093</f>
        <v>1</v>
      </c>
      <c r="K6093" s="0" t="n">
        <f aca="false">F6093</f>
        <v>-0.25</v>
      </c>
      <c r="L6093" s="0" t="n">
        <f aca="false">G6093</f>
        <v>-0.75</v>
      </c>
      <c r="M6093" s="0" t="n">
        <f aca="false">H6093</f>
        <v>0</v>
      </c>
      <c r="N6093" s="0" t="n">
        <f aca="false">E6093*F6093</f>
        <v>-0.25</v>
      </c>
      <c r="O6093" s="0" t="n">
        <f aca="false">E6093*G6093</f>
        <v>-0.75</v>
      </c>
      <c r="P6093" s="0" t="n">
        <f aca="false">E6093*H6093</f>
        <v>0</v>
      </c>
      <c r="Q6093" s="0" t="n">
        <f aca="false">F6093*G6093</f>
        <v>0.1875</v>
      </c>
      <c r="R6093" s="0" t="n">
        <f aca="false">F6093*H6093</f>
        <v>-0</v>
      </c>
      <c r="S6093" s="0" t="n">
        <f aca="false">G6093*H6093</f>
        <v>-0</v>
      </c>
      <c r="T6093" s="0" t="n">
        <f aca="false">E6093*E6093</f>
        <v>1</v>
      </c>
      <c r="U6093" s="0" t="n">
        <f aca="false">F6093*F6093</f>
        <v>0.0625</v>
      </c>
      <c r="V6093" s="0" t="n">
        <f aca="false">G6093*G6093</f>
        <v>0.5625</v>
      </c>
      <c r="W6093" s="0" t="n">
        <f aca="false">H6093*H6093</f>
        <v>0</v>
      </c>
      <c r="X6093" s="0" t="n">
        <f aca="false">SUMPRODUCT(I6093:W6093,_XtX!$B$96:$P$96)</f>
        <v>45.7894417032164</v>
      </c>
      <c r="Y6093" s="0" t="n">
        <f aca="false">SUMPRODUCT(MMULT(I6093:W6093,_XtX!$B$78:$P$92),I6093:W6093)</f>
        <v>0.501534802174708</v>
      </c>
      <c r="Z6093" s="0" t="n">
        <f aca="false">04_回帰ANOVA!$K$19*04_回帰ANOVA!$K$14*SQRT(1+Y6093)</f>
        <v>1.59722498091333</v>
      </c>
      <c r="AA6093" s="0" t="n">
        <f aca="false">X6093-Z6093</f>
        <v>44.1922167223031</v>
      </c>
      <c r="AB6093" s="0" t="n">
        <f aca="false">X6093+Z6093</f>
        <v>47.3866666841297</v>
      </c>
      <c r="AC6093" s="54" t="b">
        <f aca="false">AND(E6093&gt;=01_因子設定!$L$5-0.000000001,E6093&lt;=01_因子設定!$M$5+0.000000001,F6093&gt;=01_因子設定!$L$6-0.000000001,F6093&lt;=01_因子設定!$M$6+0.000000001,G6093&gt;=01_因子設定!$L$7-0.000000001,G6093&lt;=01_因子設定!$M$7+0.000000001,H6093&gt;=01_因子設定!$L$8-0.000000001,H6093&lt;=01_因子設定!$M$8+0.000000001,IF(01_因子設定!$B$20="Box-Behnken",E6093^2+F6093^2+G6093^2+H6093^2&lt;=2+0.000000001,TRUE()))</f>
        <v>1</v>
      </c>
      <c r="AD6093" s="55" t="n">
        <f aca="false">IF(AC6093,IF(01_因子設定!$B$13="最大化",AA6093-01_因子設定!$B$14,IF(01_因子設定!$B$13="最小化",01_因子設定!$B$15-AB6093,MIN(AA6093-01_因子設定!$B$14,01_因子設定!$B$15-AB6093))),-1E+030)</f>
        <v>-2.30778327769693</v>
      </c>
      <c r="AE6093" s="55" t="n">
        <f aca="false">IF(AC6093,IF(01_因子設定!$B$13="最大化",X6093,IF(01_因子設定!$B$13="最小化",-X6093,-ABS(X6093-01_因子設定!$B$16))),-1E+030)</f>
        <v>45.7894417032164</v>
      </c>
      <c r="AF6093" s="55" t="n">
        <f aca="false">AD6093+ROW()*0.000000001</f>
        <v>-2.30777718469693</v>
      </c>
      <c r="AG6093" s="55" t="n">
        <f aca="false">AE6093+ROW()*0.000000001</f>
        <v>45.7894477962164</v>
      </c>
    </row>
    <row r="6094" customFormat="false" ht="15" hidden="false" customHeight="false" outlineLevel="0" collapsed="false">
      <c r="A6094" s="0" t="n">
        <v>8</v>
      </c>
      <c r="B6094" s="0" t="n">
        <v>3</v>
      </c>
      <c r="C6094" s="0" t="n">
        <v>1</v>
      </c>
      <c r="D6094" s="0" t="n">
        <v>5</v>
      </c>
      <c r="E6094" s="0" t="n">
        <f aca="false">-1+A6094*0.25</f>
        <v>1</v>
      </c>
      <c r="F6094" s="0" t="n">
        <f aca="false">-1+B6094*0.25</f>
        <v>-0.25</v>
      </c>
      <c r="G6094" s="0" t="n">
        <f aca="false">-1+C6094*0.25</f>
        <v>-0.75</v>
      </c>
      <c r="H6094" s="0" t="n">
        <f aca="false">-1+D6094*0.25</f>
        <v>0.25</v>
      </c>
      <c r="I6094" s="0" t="n">
        <f aca="false">1</f>
        <v>1</v>
      </c>
      <c r="J6094" s="0" t="n">
        <f aca="false">E6094</f>
        <v>1</v>
      </c>
      <c r="K6094" s="0" t="n">
        <f aca="false">F6094</f>
        <v>-0.25</v>
      </c>
      <c r="L6094" s="0" t="n">
        <f aca="false">G6094</f>
        <v>-0.75</v>
      </c>
      <c r="M6094" s="0" t="n">
        <f aca="false">H6094</f>
        <v>0.25</v>
      </c>
      <c r="N6094" s="0" t="n">
        <f aca="false">E6094*F6094</f>
        <v>-0.25</v>
      </c>
      <c r="O6094" s="0" t="n">
        <f aca="false">E6094*G6094</f>
        <v>-0.75</v>
      </c>
      <c r="P6094" s="0" t="n">
        <f aca="false">E6094*H6094</f>
        <v>0.25</v>
      </c>
      <c r="Q6094" s="0" t="n">
        <f aca="false">F6094*G6094</f>
        <v>0.1875</v>
      </c>
      <c r="R6094" s="0" t="n">
        <f aca="false">F6094*H6094</f>
        <v>-0.0625</v>
      </c>
      <c r="S6094" s="0" t="n">
        <f aca="false">G6094*H6094</f>
        <v>-0.1875</v>
      </c>
      <c r="T6094" s="0" t="n">
        <f aca="false">E6094*E6094</f>
        <v>1</v>
      </c>
      <c r="U6094" s="0" t="n">
        <f aca="false">F6094*F6094</f>
        <v>0.0625</v>
      </c>
      <c r="V6094" s="0" t="n">
        <f aca="false">G6094*G6094</f>
        <v>0.5625</v>
      </c>
      <c r="W6094" s="0" t="n">
        <f aca="false">H6094*H6094</f>
        <v>0.0625</v>
      </c>
      <c r="X6094" s="0" t="n">
        <f aca="false">SUMPRODUCT(I6094:W6094,_XtX!$B$96:$P$96)</f>
        <v>45.8575520833334</v>
      </c>
      <c r="Y6094" s="0" t="n">
        <f aca="false">SUMPRODUCT(MMULT(I6094:W6094,_XtX!$B$78:$P$92),I6094:W6094)</f>
        <v>0.486409505208334</v>
      </c>
      <c r="Z6094" s="0" t="n">
        <f aca="false">04_回帰ANOVA!$K$19*04_回帰ANOVA!$K$14*SQRT(1+Y6094)</f>
        <v>1.58916001665498</v>
      </c>
      <c r="AA6094" s="0" t="n">
        <f aca="false">X6094-Z6094</f>
        <v>44.2683920666784</v>
      </c>
      <c r="AB6094" s="0" t="n">
        <f aca="false">X6094+Z6094</f>
        <v>47.4467120999883</v>
      </c>
      <c r="AC6094" s="54" t="b">
        <f aca="false">AND(E6094&gt;=01_因子設定!$L$5-0.000000001,E6094&lt;=01_因子設定!$M$5+0.000000001,F6094&gt;=01_因子設定!$L$6-0.000000001,F6094&lt;=01_因子設定!$M$6+0.000000001,G6094&gt;=01_因子設定!$L$7-0.000000001,G6094&lt;=01_因子設定!$M$7+0.000000001,H6094&gt;=01_因子設定!$L$8-0.000000001,H6094&lt;=01_因子設定!$M$8+0.000000001,IF(01_因子設定!$B$20="Box-Behnken",E6094^2+F6094^2+G6094^2+H6094^2&lt;=2+0.000000001,TRUE()))</f>
        <v>1</v>
      </c>
      <c r="AD6094" s="55" t="n">
        <f aca="false">IF(AC6094,IF(01_因子設定!$B$13="最大化",AA6094-01_因子設定!$B$14,IF(01_因子設定!$B$13="最小化",01_因子設定!$B$15-AB6094,MIN(AA6094-01_因子設定!$B$14,01_因子設定!$B$15-AB6094))),-1E+030)</f>
        <v>-2.23160793332162</v>
      </c>
      <c r="AE6094" s="55" t="n">
        <f aca="false">IF(AC6094,IF(01_因子設定!$B$13="最大化",X6094,IF(01_因子設定!$B$13="最小化",-X6094,-ABS(X6094-01_因子設定!$B$16))),-1E+030)</f>
        <v>45.8575520833334</v>
      </c>
      <c r="AF6094" s="55" t="n">
        <f aca="false">AD6094+ROW()*0.000000001</f>
        <v>-2.23160183932162</v>
      </c>
      <c r="AG6094" s="55" t="n">
        <f aca="false">AE6094+ROW()*0.000000001</f>
        <v>45.8575581773334</v>
      </c>
    </row>
    <row r="6095" customFormat="false" ht="15" hidden="false" customHeight="false" outlineLevel="0" collapsed="false">
      <c r="A6095" s="0" t="n">
        <v>8</v>
      </c>
      <c r="B6095" s="0" t="n">
        <v>3</v>
      </c>
      <c r="C6095" s="0" t="n">
        <v>1</v>
      </c>
      <c r="D6095" s="0" t="n">
        <v>6</v>
      </c>
      <c r="E6095" s="0" t="n">
        <f aca="false">-1+A6095*0.25</f>
        <v>1</v>
      </c>
      <c r="F6095" s="0" t="n">
        <f aca="false">-1+B6095*0.25</f>
        <v>-0.25</v>
      </c>
      <c r="G6095" s="0" t="n">
        <f aca="false">-1+C6095*0.25</f>
        <v>-0.75</v>
      </c>
      <c r="H6095" s="0" t="n">
        <f aca="false">-1+D6095*0.25</f>
        <v>0.5</v>
      </c>
      <c r="I6095" s="0" t="n">
        <f aca="false">1</f>
        <v>1</v>
      </c>
      <c r="J6095" s="0" t="n">
        <f aca="false">E6095</f>
        <v>1</v>
      </c>
      <c r="K6095" s="0" t="n">
        <f aca="false">F6095</f>
        <v>-0.25</v>
      </c>
      <c r="L6095" s="0" t="n">
        <f aca="false">G6095</f>
        <v>-0.75</v>
      </c>
      <c r="M6095" s="0" t="n">
        <f aca="false">H6095</f>
        <v>0.5</v>
      </c>
      <c r="N6095" s="0" t="n">
        <f aca="false">E6095*F6095</f>
        <v>-0.25</v>
      </c>
      <c r="O6095" s="0" t="n">
        <f aca="false">E6095*G6095</f>
        <v>-0.75</v>
      </c>
      <c r="P6095" s="0" t="n">
        <f aca="false">E6095*H6095</f>
        <v>0.5</v>
      </c>
      <c r="Q6095" s="0" t="n">
        <f aca="false">F6095*G6095</f>
        <v>0.1875</v>
      </c>
      <c r="R6095" s="0" t="n">
        <f aca="false">F6095*H6095</f>
        <v>-0.125</v>
      </c>
      <c r="S6095" s="0" t="n">
        <f aca="false">G6095*H6095</f>
        <v>-0.375</v>
      </c>
      <c r="T6095" s="0" t="n">
        <f aca="false">E6095*E6095</f>
        <v>1</v>
      </c>
      <c r="U6095" s="0" t="n">
        <f aca="false">F6095*F6095</f>
        <v>0.0625</v>
      </c>
      <c r="V6095" s="0" t="n">
        <f aca="false">G6095*G6095</f>
        <v>0.5625</v>
      </c>
      <c r="W6095" s="0" t="n">
        <f aca="false">H6095*H6095</f>
        <v>0.25</v>
      </c>
      <c r="X6095" s="0" t="n">
        <f aca="false">SUMPRODUCT(I6095:W6095,_XtX!$B$96:$P$96)</f>
        <v>45.8778554459065</v>
      </c>
      <c r="Y6095" s="0" t="n">
        <f aca="false">SUMPRODUCT(MMULT(I6095:W6095,_XtX!$B$78:$P$92),I6095:W6095)</f>
        <v>0.459125719572369</v>
      </c>
      <c r="Z6095" s="0" t="n">
        <f aca="false">04_回帰ANOVA!$K$19*04_回帰ANOVA!$K$14*SQRT(1+Y6095)</f>
        <v>1.57450755575573</v>
      </c>
      <c r="AA6095" s="0" t="n">
        <f aca="false">X6095-Z6095</f>
        <v>44.3033478901507</v>
      </c>
      <c r="AB6095" s="0" t="n">
        <f aca="false">X6095+Z6095</f>
        <v>47.4523630016622</v>
      </c>
      <c r="AC6095" s="54" t="b">
        <f aca="false">AND(E6095&gt;=01_因子設定!$L$5-0.000000001,E6095&lt;=01_因子設定!$M$5+0.000000001,F6095&gt;=01_因子設定!$L$6-0.000000001,F6095&lt;=01_因子設定!$M$6+0.000000001,G6095&gt;=01_因子設定!$L$7-0.000000001,G6095&lt;=01_因子設定!$M$7+0.000000001,H6095&gt;=01_因子設定!$L$8-0.000000001,H6095&lt;=01_因子設定!$M$8+0.000000001,IF(01_因子設定!$B$20="Box-Behnken",E6095^2+F6095^2+G6095^2+H6095^2&lt;=2+0.000000001,TRUE()))</f>
        <v>1</v>
      </c>
      <c r="AD6095" s="55" t="n">
        <f aca="false">IF(AC6095,IF(01_因子設定!$B$13="最大化",AA6095-01_因子設定!$B$14,IF(01_因子設定!$B$13="最小化",01_因子設定!$B$15-AB6095,MIN(AA6095-01_因子設定!$B$14,01_因子設定!$B$15-AB6095))),-1E+030)</f>
        <v>-2.19665210984926</v>
      </c>
      <c r="AE6095" s="55" t="n">
        <f aca="false">IF(AC6095,IF(01_因子設定!$B$13="最大化",X6095,IF(01_因子設定!$B$13="最小化",-X6095,-ABS(X6095-01_因子設定!$B$16))),-1E+030)</f>
        <v>45.8778554459065</v>
      </c>
      <c r="AF6095" s="55" t="n">
        <f aca="false">AD6095+ROW()*0.000000001</f>
        <v>-2.19664601484926</v>
      </c>
      <c r="AG6095" s="55" t="n">
        <f aca="false">AE6095+ROW()*0.000000001</f>
        <v>45.8778615409065</v>
      </c>
    </row>
    <row r="6096" customFormat="false" ht="15" hidden="false" customHeight="false" outlineLevel="0" collapsed="false">
      <c r="A6096" s="0" t="n">
        <v>8</v>
      </c>
      <c r="B6096" s="0" t="n">
        <v>3</v>
      </c>
      <c r="C6096" s="0" t="n">
        <v>1</v>
      </c>
      <c r="D6096" s="0" t="n">
        <v>7</v>
      </c>
      <c r="E6096" s="0" t="n">
        <f aca="false">-1+A6096*0.25</f>
        <v>1</v>
      </c>
      <c r="F6096" s="0" t="n">
        <f aca="false">-1+B6096*0.25</f>
        <v>-0.25</v>
      </c>
      <c r="G6096" s="0" t="n">
        <f aca="false">-1+C6096*0.25</f>
        <v>-0.75</v>
      </c>
      <c r="H6096" s="0" t="n">
        <f aca="false">-1+D6096*0.25</f>
        <v>0.75</v>
      </c>
      <c r="I6096" s="0" t="n">
        <f aca="false">1</f>
        <v>1</v>
      </c>
      <c r="J6096" s="0" t="n">
        <f aca="false">E6096</f>
        <v>1</v>
      </c>
      <c r="K6096" s="0" t="n">
        <f aca="false">F6096</f>
        <v>-0.25</v>
      </c>
      <c r="L6096" s="0" t="n">
        <f aca="false">G6096</f>
        <v>-0.75</v>
      </c>
      <c r="M6096" s="0" t="n">
        <f aca="false">H6096</f>
        <v>0.75</v>
      </c>
      <c r="N6096" s="0" t="n">
        <f aca="false">E6096*F6096</f>
        <v>-0.25</v>
      </c>
      <c r="O6096" s="0" t="n">
        <f aca="false">E6096*G6096</f>
        <v>-0.75</v>
      </c>
      <c r="P6096" s="0" t="n">
        <f aca="false">E6096*H6096</f>
        <v>0.75</v>
      </c>
      <c r="Q6096" s="0" t="n">
        <f aca="false">F6096*G6096</f>
        <v>0.1875</v>
      </c>
      <c r="R6096" s="0" t="n">
        <f aca="false">F6096*H6096</f>
        <v>-0.1875</v>
      </c>
      <c r="S6096" s="0" t="n">
        <f aca="false">G6096*H6096</f>
        <v>-0.5625</v>
      </c>
      <c r="T6096" s="0" t="n">
        <f aca="false">E6096*E6096</f>
        <v>1</v>
      </c>
      <c r="U6096" s="0" t="n">
        <f aca="false">F6096*F6096</f>
        <v>0.0625</v>
      </c>
      <c r="V6096" s="0" t="n">
        <f aca="false">G6096*G6096</f>
        <v>0.5625</v>
      </c>
      <c r="W6096" s="0" t="n">
        <f aca="false">H6096*H6096</f>
        <v>0.5625</v>
      </c>
      <c r="X6096" s="0" t="n">
        <f aca="false">SUMPRODUCT(I6096:W6096,_XtX!$B$96:$P$96)</f>
        <v>45.8503517909357</v>
      </c>
      <c r="Y6096" s="0" t="n">
        <f aca="false">SUMPRODUCT(MMULT(I6096:W6096,_XtX!$B$78:$P$92),I6096:W6096)</f>
        <v>0.473959761056287</v>
      </c>
      <c r="Z6096" s="0" t="n">
        <f aca="false">04_回帰ANOVA!$K$19*04_回帰ANOVA!$K$14*SQRT(1+Y6096)</f>
        <v>1.58249084588329</v>
      </c>
      <c r="AA6096" s="0" t="n">
        <f aca="false">X6096-Z6096</f>
        <v>44.2678609450524</v>
      </c>
      <c r="AB6096" s="0" t="n">
        <f aca="false">X6096+Z6096</f>
        <v>47.432842636819</v>
      </c>
      <c r="AC6096" s="54" t="b">
        <f aca="false">AND(E6096&gt;=01_因子設定!$L$5-0.000000001,E6096&lt;=01_因子設定!$M$5+0.000000001,F6096&gt;=01_因子設定!$L$6-0.000000001,F6096&lt;=01_因子設定!$M$6+0.000000001,G6096&gt;=01_因子設定!$L$7-0.000000001,G6096&lt;=01_因子設定!$M$7+0.000000001,H6096&gt;=01_因子設定!$L$8-0.000000001,H6096&lt;=01_因子設定!$M$8+0.000000001,IF(01_因子設定!$B$20="Box-Behnken",E6096^2+F6096^2+G6096^2+H6096^2&lt;=2+0.000000001,TRUE()))</f>
        <v>1</v>
      </c>
      <c r="AD6096" s="55" t="n">
        <f aca="false">IF(AC6096,IF(01_因子設定!$B$13="最大化",AA6096-01_因子設定!$B$14,IF(01_因子設定!$B$13="最小化",01_因子設定!$B$15-AB6096,MIN(AA6096-01_因子設定!$B$14,01_因子設定!$B$15-AB6096))),-1E+030)</f>
        <v>-2.23213905494757</v>
      </c>
      <c r="AE6096" s="55" t="n">
        <f aca="false">IF(AC6096,IF(01_因子設定!$B$13="最大化",X6096,IF(01_因子設定!$B$13="最小化",-X6096,-ABS(X6096-01_因子設定!$B$16))),-1E+030)</f>
        <v>45.8503517909357</v>
      </c>
      <c r="AF6096" s="55" t="n">
        <f aca="false">AD6096+ROW()*0.000000001</f>
        <v>-2.23213295894757</v>
      </c>
      <c r="AG6096" s="55" t="n">
        <f aca="false">AE6096+ROW()*0.000000001</f>
        <v>45.8503578869357</v>
      </c>
    </row>
    <row r="6097" customFormat="false" ht="15" hidden="false" customHeight="false" outlineLevel="0" collapsed="false">
      <c r="A6097" s="0" t="n">
        <v>8</v>
      </c>
      <c r="B6097" s="0" t="n">
        <v>3</v>
      </c>
      <c r="C6097" s="0" t="n">
        <v>1</v>
      </c>
      <c r="D6097" s="0" t="n">
        <v>8</v>
      </c>
      <c r="E6097" s="0" t="n">
        <f aca="false">-1+A6097*0.25</f>
        <v>1</v>
      </c>
      <c r="F6097" s="0" t="n">
        <f aca="false">-1+B6097*0.25</f>
        <v>-0.25</v>
      </c>
      <c r="G6097" s="0" t="n">
        <f aca="false">-1+C6097*0.25</f>
        <v>-0.75</v>
      </c>
      <c r="H6097" s="0" t="n">
        <f aca="false">-1+D6097*0.25</f>
        <v>1</v>
      </c>
      <c r="I6097" s="0" t="n">
        <f aca="false">1</f>
        <v>1</v>
      </c>
      <c r="J6097" s="0" t="n">
        <f aca="false">E6097</f>
        <v>1</v>
      </c>
      <c r="K6097" s="0" t="n">
        <f aca="false">F6097</f>
        <v>-0.25</v>
      </c>
      <c r="L6097" s="0" t="n">
        <f aca="false">G6097</f>
        <v>-0.75</v>
      </c>
      <c r="M6097" s="0" t="n">
        <f aca="false">H6097</f>
        <v>1</v>
      </c>
      <c r="N6097" s="0" t="n">
        <f aca="false">E6097*F6097</f>
        <v>-0.25</v>
      </c>
      <c r="O6097" s="0" t="n">
        <f aca="false">E6097*G6097</f>
        <v>-0.75</v>
      </c>
      <c r="P6097" s="0" t="n">
        <f aca="false">E6097*H6097</f>
        <v>1</v>
      </c>
      <c r="Q6097" s="0" t="n">
        <f aca="false">F6097*G6097</f>
        <v>0.1875</v>
      </c>
      <c r="R6097" s="0" t="n">
        <f aca="false">F6097*H6097</f>
        <v>-0.25</v>
      </c>
      <c r="S6097" s="0" t="n">
        <f aca="false">G6097*H6097</f>
        <v>-0.75</v>
      </c>
      <c r="T6097" s="0" t="n">
        <f aca="false">E6097*E6097</f>
        <v>1</v>
      </c>
      <c r="U6097" s="0" t="n">
        <f aca="false">F6097*F6097</f>
        <v>0.0625</v>
      </c>
      <c r="V6097" s="0" t="n">
        <f aca="false">G6097*G6097</f>
        <v>0.5625</v>
      </c>
      <c r="W6097" s="0" t="n">
        <f aca="false">H6097*H6097</f>
        <v>1</v>
      </c>
      <c r="X6097" s="0" t="n">
        <f aca="false">SUMPRODUCT(I6097:W6097,_XtX!$B$96:$P$96)</f>
        <v>45.7750411184211</v>
      </c>
      <c r="Y6097" s="0" t="n">
        <f aca="false">SUMPRODUCT(MMULT(I6097:W6097,_XtX!$B$78:$P$92),I6097:W6097)</f>
        <v>0.621372155975877</v>
      </c>
      <c r="Z6097" s="0" t="n">
        <f aca="false">04_回帰ANOVA!$K$19*04_回帰ANOVA!$K$14*SQRT(1+Y6097)</f>
        <v>1.65973880499872</v>
      </c>
      <c r="AA6097" s="0" t="n">
        <f aca="false">X6097-Z6097</f>
        <v>44.1153023134224</v>
      </c>
      <c r="AB6097" s="0" t="n">
        <f aca="false">X6097+Z6097</f>
        <v>47.4347799234198</v>
      </c>
      <c r="AC6097" s="54" t="b">
        <f aca="false">AND(E6097&gt;=01_因子設定!$L$5-0.000000001,E6097&lt;=01_因子設定!$M$5+0.000000001,F6097&gt;=01_因子設定!$L$6-0.000000001,F6097&lt;=01_因子設定!$M$6+0.000000001,G6097&gt;=01_因子設定!$L$7-0.000000001,G6097&lt;=01_因子設定!$M$7+0.000000001,H6097&gt;=01_因子設定!$L$8-0.000000001,H6097&lt;=01_因子設定!$M$8+0.000000001,IF(01_因子設定!$B$20="Box-Behnken",E6097^2+F6097^2+G6097^2+H6097^2&lt;=2+0.000000001,TRUE()))</f>
        <v>1</v>
      </c>
      <c r="AD6097" s="55" t="n">
        <f aca="false">IF(AC6097,IF(01_因子設定!$B$13="最大化",AA6097-01_因子設定!$B$14,IF(01_因子設定!$B$13="最小化",01_因子設定!$B$15-AB6097,MIN(AA6097-01_因子設定!$B$14,01_因子設定!$B$15-AB6097))),-1E+030)</f>
        <v>-2.3846976865776</v>
      </c>
      <c r="AE6097" s="55" t="n">
        <f aca="false">IF(AC6097,IF(01_因子設定!$B$13="最大化",X6097,IF(01_因子設定!$B$13="最小化",-X6097,-ABS(X6097-01_因子設定!$B$16))),-1E+030)</f>
        <v>45.7750411184211</v>
      </c>
      <c r="AF6097" s="55" t="n">
        <f aca="false">AD6097+ROW()*0.000000001</f>
        <v>-2.3846915895776</v>
      </c>
      <c r="AG6097" s="55" t="n">
        <f aca="false">AE6097+ROW()*0.000000001</f>
        <v>45.7750472154211</v>
      </c>
    </row>
    <row r="6098" customFormat="false" ht="15" hidden="false" customHeight="false" outlineLevel="0" collapsed="false">
      <c r="A6098" s="0" t="n">
        <v>8</v>
      </c>
      <c r="B6098" s="0" t="n">
        <v>3</v>
      </c>
      <c r="C6098" s="0" t="n">
        <v>2</v>
      </c>
      <c r="D6098" s="0" t="n">
        <v>0</v>
      </c>
      <c r="E6098" s="0" t="n">
        <f aca="false">-1+A6098*0.25</f>
        <v>1</v>
      </c>
      <c r="F6098" s="0" t="n">
        <f aca="false">-1+B6098*0.25</f>
        <v>-0.25</v>
      </c>
      <c r="G6098" s="0" t="n">
        <f aca="false">-1+C6098*0.25</f>
        <v>-0.5</v>
      </c>
      <c r="H6098" s="0" t="n">
        <f aca="false">-1+D6098*0.25</f>
        <v>-1</v>
      </c>
      <c r="I6098" s="0" t="n">
        <f aca="false">1</f>
        <v>1</v>
      </c>
      <c r="J6098" s="0" t="n">
        <f aca="false">E6098</f>
        <v>1</v>
      </c>
      <c r="K6098" s="0" t="n">
        <f aca="false">F6098</f>
        <v>-0.25</v>
      </c>
      <c r="L6098" s="0" t="n">
        <f aca="false">G6098</f>
        <v>-0.5</v>
      </c>
      <c r="M6098" s="0" t="n">
        <f aca="false">H6098</f>
        <v>-1</v>
      </c>
      <c r="N6098" s="0" t="n">
        <f aca="false">E6098*F6098</f>
        <v>-0.25</v>
      </c>
      <c r="O6098" s="0" t="n">
        <f aca="false">E6098*G6098</f>
        <v>-0.5</v>
      </c>
      <c r="P6098" s="0" t="n">
        <f aca="false">E6098*H6098</f>
        <v>-1</v>
      </c>
      <c r="Q6098" s="0" t="n">
        <f aca="false">F6098*G6098</f>
        <v>0.125</v>
      </c>
      <c r="R6098" s="0" t="n">
        <f aca="false">F6098*H6098</f>
        <v>0.25</v>
      </c>
      <c r="S6098" s="0" t="n">
        <f aca="false">G6098*H6098</f>
        <v>0.5</v>
      </c>
      <c r="T6098" s="0" t="n">
        <f aca="false">E6098*E6098</f>
        <v>1</v>
      </c>
      <c r="U6098" s="0" t="n">
        <f aca="false">F6098*F6098</f>
        <v>0.0625</v>
      </c>
      <c r="V6098" s="0" t="n">
        <f aca="false">G6098*G6098</f>
        <v>0.25</v>
      </c>
      <c r="W6098" s="0" t="n">
        <f aca="false">H6098*H6098</f>
        <v>1</v>
      </c>
      <c r="X6098" s="0" t="n">
        <f aca="false">SUMPRODUCT(I6098:W6098,_XtX!$B$96:$P$96)</f>
        <v>45.244124634503</v>
      </c>
      <c r="Y6098" s="0" t="n">
        <f aca="false">SUMPRODUCT(MMULT(I6098:W6098,_XtX!$B$78:$P$92),I6098:W6098)</f>
        <v>0.629174661915205</v>
      </c>
      <c r="Z6098" s="0" t="n">
        <f aca="false">04_回帰ANOVA!$K$19*04_回帰ANOVA!$K$14*SQRT(1+Y6098)</f>
        <v>1.66372758058297</v>
      </c>
      <c r="AA6098" s="0" t="n">
        <f aca="false">X6098-Z6098</f>
        <v>43.58039705392</v>
      </c>
      <c r="AB6098" s="0" t="n">
        <f aca="false">X6098+Z6098</f>
        <v>46.907852215086</v>
      </c>
      <c r="AC6098" s="54" t="b">
        <f aca="false">AND(E6098&gt;=01_因子設定!$L$5-0.000000001,E6098&lt;=01_因子設定!$M$5+0.000000001,F6098&gt;=01_因子設定!$L$6-0.000000001,F6098&lt;=01_因子設定!$M$6+0.000000001,G6098&gt;=01_因子設定!$L$7-0.000000001,G6098&lt;=01_因子設定!$M$7+0.000000001,H6098&gt;=01_因子設定!$L$8-0.000000001,H6098&lt;=01_因子設定!$M$8+0.000000001,IF(01_因子設定!$B$20="Box-Behnken",E6098^2+F6098^2+G6098^2+H6098^2&lt;=2+0.000000001,TRUE()))</f>
        <v>1</v>
      </c>
      <c r="AD6098" s="55" t="n">
        <f aca="false">IF(AC6098,IF(01_因子設定!$B$13="最大化",AA6098-01_因子設定!$B$14,IF(01_因子設定!$B$13="最小化",01_因子設定!$B$15-AB6098,MIN(AA6098-01_因子設定!$B$14,01_因子設定!$B$15-AB6098))),-1E+030)</f>
        <v>-2.91960294607998</v>
      </c>
      <c r="AE6098" s="55" t="n">
        <f aca="false">IF(AC6098,IF(01_因子設定!$B$13="最大化",X6098,IF(01_因子設定!$B$13="最小化",-X6098,-ABS(X6098-01_因子設定!$B$16))),-1E+030)</f>
        <v>45.244124634503</v>
      </c>
      <c r="AF6098" s="55" t="n">
        <f aca="false">AD6098+ROW()*0.000000001</f>
        <v>-2.91959684807998</v>
      </c>
      <c r="AG6098" s="55" t="n">
        <f aca="false">AE6098+ROW()*0.000000001</f>
        <v>45.244130732503</v>
      </c>
    </row>
    <row r="6099" customFormat="false" ht="15" hidden="false" customHeight="false" outlineLevel="0" collapsed="false">
      <c r="A6099" s="0" t="n">
        <v>8</v>
      </c>
      <c r="B6099" s="0" t="n">
        <v>3</v>
      </c>
      <c r="C6099" s="0" t="n">
        <v>2</v>
      </c>
      <c r="D6099" s="0" t="n">
        <v>1</v>
      </c>
      <c r="E6099" s="0" t="n">
        <f aca="false">-1+A6099*0.25</f>
        <v>1</v>
      </c>
      <c r="F6099" s="0" t="n">
        <f aca="false">-1+B6099*0.25</f>
        <v>-0.25</v>
      </c>
      <c r="G6099" s="0" t="n">
        <f aca="false">-1+C6099*0.25</f>
        <v>-0.5</v>
      </c>
      <c r="H6099" s="0" t="n">
        <f aca="false">-1+D6099*0.25</f>
        <v>-0.75</v>
      </c>
      <c r="I6099" s="0" t="n">
        <f aca="false">1</f>
        <v>1</v>
      </c>
      <c r="J6099" s="0" t="n">
        <f aca="false">E6099</f>
        <v>1</v>
      </c>
      <c r="K6099" s="0" t="n">
        <f aca="false">F6099</f>
        <v>-0.25</v>
      </c>
      <c r="L6099" s="0" t="n">
        <f aca="false">G6099</f>
        <v>-0.5</v>
      </c>
      <c r="M6099" s="0" t="n">
        <f aca="false">H6099</f>
        <v>-0.75</v>
      </c>
      <c r="N6099" s="0" t="n">
        <f aca="false">E6099*F6099</f>
        <v>-0.25</v>
      </c>
      <c r="O6099" s="0" t="n">
        <f aca="false">E6099*G6099</f>
        <v>-0.5</v>
      </c>
      <c r="P6099" s="0" t="n">
        <f aca="false">E6099*H6099</f>
        <v>-0.75</v>
      </c>
      <c r="Q6099" s="0" t="n">
        <f aca="false">F6099*G6099</f>
        <v>0.125</v>
      </c>
      <c r="R6099" s="0" t="n">
        <f aca="false">F6099*H6099</f>
        <v>0.1875</v>
      </c>
      <c r="S6099" s="0" t="n">
        <f aca="false">G6099*H6099</f>
        <v>0.375</v>
      </c>
      <c r="T6099" s="0" t="n">
        <f aca="false">E6099*E6099</f>
        <v>1</v>
      </c>
      <c r="U6099" s="0" t="n">
        <f aca="false">F6099*F6099</f>
        <v>0.0625</v>
      </c>
      <c r="V6099" s="0" t="n">
        <f aca="false">G6099*G6099</f>
        <v>0.25</v>
      </c>
      <c r="W6099" s="0" t="n">
        <f aca="false">H6099*H6099</f>
        <v>0.5625</v>
      </c>
      <c r="X6099" s="0" t="n">
        <f aca="false">SUMPRODUCT(I6099:W6099,_XtX!$B$96:$P$96)</f>
        <v>45.5214318347954</v>
      </c>
      <c r="Y6099" s="0" t="n">
        <f aca="false">SUMPRODUCT(MMULT(I6099:W6099,_XtX!$B$78:$P$92),I6099:W6099)</f>
        <v>0.459125719572369</v>
      </c>
      <c r="Z6099" s="0" t="n">
        <f aca="false">04_回帰ANOVA!$K$19*04_回帰ANOVA!$K$14*SQRT(1+Y6099)</f>
        <v>1.57450755575573</v>
      </c>
      <c r="AA6099" s="0" t="n">
        <f aca="false">X6099-Z6099</f>
        <v>43.9469242790396</v>
      </c>
      <c r="AB6099" s="0" t="n">
        <f aca="false">X6099+Z6099</f>
        <v>47.0959393905511</v>
      </c>
      <c r="AC6099" s="54" t="b">
        <f aca="false">AND(E6099&gt;=01_因子設定!$L$5-0.000000001,E6099&lt;=01_因子設定!$M$5+0.000000001,F6099&gt;=01_因子設定!$L$6-0.000000001,F6099&lt;=01_因子設定!$M$6+0.000000001,G6099&gt;=01_因子設定!$L$7-0.000000001,G6099&lt;=01_因子設定!$M$7+0.000000001,H6099&gt;=01_因子設定!$L$8-0.000000001,H6099&lt;=01_因子設定!$M$8+0.000000001,IF(01_因子設定!$B$20="Box-Behnken",E6099^2+F6099^2+G6099^2+H6099^2&lt;=2+0.000000001,TRUE()))</f>
        <v>1</v>
      </c>
      <c r="AD6099" s="55" t="n">
        <f aca="false">IF(AC6099,IF(01_因子設定!$B$13="最大化",AA6099-01_因子設定!$B$14,IF(01_因子設定!$B$13="最小化",01_因子設定!$B$15-AB6099,MIN(AA6099-01_因子設定!$B$14,01_因子設定!$B$15-AB6099))),-1E+030)</f>
        <v>-2.55307572096037</v>
      </c>
      <c r="AE6099" s="55" t="n">
        <f aca="false">IF(AC6099,IF(01_因子設定!$B$13="最大化",X6099,IF(01_因子設定!$B$13="最小化",-X6099,-ABS(X6099-01_因子設定!$B$16))),-1E+030)</f>
        <v>45.5214318347954</v>
      </c>
      <c r="AF6099" s="55" t="n">
        <f aca="false">AD6099+ROW()*0.000000001</f>
        <v>-2.55306962196037</v>
      </c>
      <c r="AG6099" s="55" t="n">
        <f aca="false">AE6099+ROW()*0.000000001</f>
        <v>45.5214379337954</v>
      </c>
    </row>
    <row r="6100" customFormat="false" ht="15" hidden="false" customHeight="false" outlineLevel="0" collapsed="false">
      <c r="A6100" s="0" t="n">
        <v>8</v>
      </c>
      <c r="B6100" s="0" t="n">
        <v>3</v>
      </c>
      <c r="C6100" s="0" t="n">
        <v>2</v>
      </c>
      <c r="D6100" s="0" t="n">
        <v>2</v>
      </c>
      <c r="E6100" s="0" t="n">
        <f aca="false">-1+A6100*0.25</f>
        <v>1</v>
      </c>
      <c r="F6100" s="0" t="n">
        <f aca="false">-1+B6100*0.25</f>
        <v>-0.25</v>
      </c>
      <c r="G6100" s="0" t="n">
        <f aca="false">-1+C6100*0.25</f>
        <v>-0.5</v>
      </c>
      <c r="H6100" s="0" t="n">
        <f aca="false">-1+D6100*0.25</f>
        <v>-0.5</v>
      </c>
      <c r="I6100" s="0" t="n">
        <f aca="false">1</f>
        <v>1</v>
      </c>
      <c r="J6100" s="0" t="n">
        <f aca="false">E6100</f>
        <v>1</v>
      </c>
      <c r="K6100" s="0" t="n">
        <f aca="false">F6100</f>
        <v>-0.25</v>
      </c>
      <c r="L6100" s="0" t="n">
        <f aca="false">G6100</f>
        <v>-0.5</v>
      </c>
      <c r="M6100" s="0" t="n">
        <f aca="false">H6100</f>
        <v>-0.5</v>
      </c>
      <c r="N6100" s="0" t="n">
        <f aca="false">E6100*F6100</f>
        <v>-0.25</v>
      </c>
      <c r="O6100" s="0" t="n">
        <f aca="false">E6100*G6100</f>
        <v>-0.5</v>
      </c>
      <c r="P6100" s="0" t="n">
        <f aca="false">E6100*H6100</f>
        <v>-0.5</v>
      </c>
      <c r="Q6100" s="0" t="n">
        <f aca="false">F6100*G6100</f>
        <v>0.125</v>
      </c>
      <c r="R6100" s="0" t="n">
        <f aca="false">F6100*H6100</f>
        <v>0.125</v>
      </c>
      <c r="S6100" s="0" t="n">
        <f aca="false">G6100*H6100</f>
        <v>0.25</v>
      </c>
      <c r="T6100" s="0" t="n">
        <f aca="false">E6100*E6100</f>
        <v>1</v>
      </c>
      <c r="U6100" s="0" t="n">
        <f aca="false">F6100*F6100</f>
        <v>0.0625</v>
      </c>
      <c r="V6100" s="0" t="n">
        <f aca="false">G6100*G6100</f>
        <v>0.25</v>
      </c>
      <c r="W6100" s="0" t="n">
        <f aca="false">H6100*H6100</f>
        <v>0.25</v>
      </c>
      <c r="X6100" s="0" t="n">
        <f aca="false">SUMPRODUCT(I6100:W6100,_XtX!$B$96:$P$96)</f>
        <v>45.7509320175439</v>
      </c>
      <c r="Y6100" s="0" t="n">
        <f aca="false">SUMPRODUCT(MMULT(I6100:W6100,_XtX!$B$78:$P$92),I6100:W6100)</f>
        <v>0.428122715643275</v>
      </c>
      <c r="Z6100" s="0" t="n">
        <f aca="false">04_回帰ANOVA!$K$19*04_回帰ANOVA!$K$14*SQRT(1+Y6100)</f>
        <v>1.55769044623229</v>
      </c>
      <c r="AA6100" s="0" t="n">
        <f aca="false">X6100-Z6100</f>
        <v>44.1932415713116</v>
      </c>
      <c r="AB6100" s="0" t="n">
        <f aca="false">X6100+Z6100</f>
        <v>47.3086224637762</v>
      </c>
      <c r="AC6100" s="54" t="b">
        <f aca="false">AND(E6100&gt;=01_因子設定!$L$5-0.000000001,E6100&lt;=01_因子設定!$M$5+0.000000001,F6100&gt;=01_因子設定!$L$6-0.000000001,F6100&lt;=01_因子設定!$M$6+0.000000001,G6100&gt;=01_因子設定!$L$7-0.000000001,G6100&lt;=01_因子設定!$M$7+0.000000001,H6100&gt;=01_因子設定!$L$8-0.000000001,H6100&lt;=01_因子設定!$M$8+0.000000001,IF(01_因子設定!$B$20="Box-Behnken",E6100^2+F6100^2+G6100^2+H6100^2&lt;=2+0.000000001,TRUE()))</f>
        <v>1</v>
      </c>
      <c r="AD6100" s="55" t="n">
        <f aca="false">IF(AC6100,IF(01_因子設定!$B$13="最大化",AA6100-01_因子設定!$B$14,IF(01_因子設定!$B$13="最小化",01_因子設定!$B$15-AB6100,MIN(AA6100-01_因子設定!$B$14,01_因子設定!$B$15-AB6100))),-1E+030)</f>
        <v>-2.3067584286884</v>
      </c>
      <c r="AE6100" s="55" t="n">
        <f aca="false">IF(AC6100,IF(01_因子設定!$B$13="最大化",X6100,IF(01_因子設定!$B$13="最小化",-X6100,-ABS(X6100-01_因子設定!$B$16))),-1E+030)</f>
        <v>45.7509320175439</v>
      </c>
      <c r="AF6100" s="55" t="n">
        <f aca="false">AD6100+ROW()*0.000000001</f>
        <v>-2.3067523286884</v>
      </c>
      <c r="AG6100" s="55" t="n">
        <f aca="false">AE6100+ROW()*0.000000001</f>
        <v>45.7509381175439</v>
      </c>
    </row>
    <row r="6101" customFormat="false" ht="15" hidden="false" customHeight="false" outlineLevel="0" collapsed="false">
      <c r="A6101" s="0" t="n">
        <v>8</v>
      </c>
      <c r="B6101" s="0" t="n">
        <v>3</v>
      </c>
      <c r="C6101" s="0" t="n">
        <v>2</v>
      </c>
      <c r="D6101" s="0" t="n">
        <v>3</v>
      </c>
      <c r="E6101" s="0" t="n">
        <f aca="false">-1+A6101*0.25</f>
        <v>1</v>
      </c>
      <c r="F6101" s="0" t="n">
        <f aca="false">-1+B6101*0.25</f>
        <v>-0.25</v>
      </c>
      <c r="G6101" s="0" t="n">
        <f aca="false">-1+C6101*0.25</f>
        <v>-0.5</v>
      </c>
      <c r="H6101" s="0" t="n">
        <f aca="false">-1+D6101*0.25</f>
        <v>-0.25</v>
      </c>
      <c r="I6101" s="0" t="n">
        <f aca="false">1</f>
        <v>1</v>
      </c>
      <c r="J6101" s="0" t="n">
        <f aca="false">E6101</f>
        <v>1</v>
      </c>
      <c r="K6101" s="0" t="n">
        <f aca="false">F6101</f>
        <v>-0.25</v>
      </c>
      <c r="L6101" s="0" t="n">
        <f aca="false">G6101</f>
        <v>-0.5</v>
      </c>
      <c r="M6101" s="0" t="n">
        <f aca="false">H6101</f>
        <v>-0.25</v>
      </c>
      <c r="N6101" s="0" t="n">
        <f aca="false">E6101*F6101</f>
        <v>-0.25</v>
      </c>
      <c r="O6101" s="0" t="n">
        <f aca="false">E6101*G6101</f>
        <v>-0.5</v>
      </c>
      <c r="P6101" s="0" t="n">
        <f aca="false">E6101*H6101</f>
        <v>-0.25</v>
      </c>
      <c r="Q6101" s="0" t="n">
        <f aca="false">F6101*G6101</f>
        <v>0.125</v>
      </c>
      <c r="R6101" s="0" t="n">
        <f aca="false">F6101*H6101</f>
        <v>0.0625</v>
      </c>
      <c r="S6101" s="0" t="n">
        <f aca="false">G6101*H6101</f>
        <v>0.125</v>
      </c>
      <c r="T6101" s="0" t="n">
        <f aca="false">E6101*E6101</f>
        <v>1</v>
      </c>
      <c r="U6101" s="0" t="n">
        <f aca="false">F6101*F6101</f>
        <v>0.0625</v>
      </c>
      <c r="V6101" s="0" t="n">
        <f aca="false">G6101*G6101</f>
        <v>0.25</v>
      </c>
      <c r="W6101" s="0" t="n">
        <f aca="false">H6101*H6101</f>
        <v>0.0625</v>
      </c>
      <c r="X6101" s="0" t="n">
        <f aca="false">SUMPRODUCT(I6101:W6101,_XtX!$B$96:$P$96)</f>
        <v>45.9326251827486</v>
      </c>
      <c r="Y6101" s="0" t="n">
        <f aca="false">SUMPRODUCT(MMULT(I6101:W6101,_XtX!$B$78:$P$92),I6101:W6101)</f>
        <v>0.445705123812135</v>
      </c>
      <c r="Z6101" s="0" t="n">
        <f aca="false">04_回帰ANOVA!$K$19*04_回帰ANOVA!$K$14*SQRT(1+Y6101)</f>
        <v>1.56724990734749</v>
      </c>
      <c r="AA6101" s="0" t="n">
        <f aca="false">X6101-Z6101</f>
        <v>44.3653752754011</v>
      </c>
      <c r="AB6101" s="0" t="n">
        <f aca="false">X6101+Z6101</f>
        <v>47.4998750900961</v>
      </c>
      <c r="AC6101" s="54" t="b">
        <f aca="false">AND(E6101&gt;=01_因子設定!$L$5-0.000000001,E6101&lt;=01_因子設定!$M$5+0.000000001,F6101&gt;=01_因子設定!$L$6-0.000000001,F6101&lt;=01_因子設定!$M$6+0.000000001,G6101&gt;=01_因子設定!$L$7-0.000000001,G6101&lt;=01_因子設定!$M$7+0.000000001,H6101&gt;=01_因子設定!$L$8-0.000000001,H6101&lt;=01_因子設定!$M$8+0.000000001,IF(01_因子設定!$B$20="Box-Behnken",E6101^2+F6101^2+G6101^2+H6101^2&lt;=2+0.000000001,TRUE()))</f>
        <v>1</v>
      </c>
      <c r="AD6101" s="55" t="n">
        <f aca="false">IF(AC6101,IF(01_因子設定!$B$13="最大化",AA6101-01_因子設定!$B$14,IF(01_因子設定!$B$13="最小化",01_因子設定!$B$15-AB6101,MIN(AA6101-01_因子設定!$B$14,01_因子設定!$B$15-AB6101))),-1E+030)</f>
        <v>-2.13462472459892</v>
      </c>
      <c r="AE6101" s="55" t="n">
        <f aca="false">IF(AC6101,IF(01_因子設定!$B$13="最大化",X6101,IF(01_因子設定!$B$13="最小化",-X6101,-ABS(X6101-01_因子設定!$B$16))),-1E+030)</f>
        <v>45.9326251827486</v>
      </c>
      <c r="AF6101" s="55" t="n">
        <f aca="false">AD6101+ROW()*0.000000001</f>
        <v>-2.13461862359892</v>
      </c>
      <c r="AG6101" s="55" t="n">
        <f aca="false">AE6101+ROW()*0.000000001</f>
        <v>45.9326312837486</v>
      </c>
    </row>
    <row r="6102" customFormat="false" ht="15" hidden="false" customHeight="false" outlineLevel="0" collapsed="false">
      <c r="A6102" s="0" t="n">
        <v>8</v>
      </c>
      <c r="B6102" s="0" t="n">
        <v>3</v>
      </c>
      <c r="C6102" s="0" t="n">
        <v>2</v>
      </c>
      <c r="D6102" s="0" t="n">
        <v>4</v>
      </c>
      <c r="E6102" s="0" t="n">
        <f aca="false">-1+A6102*0.25</f>
        <v>1</v>
      </c>
      <c r="F6102" s="0" t="n">
        <f aca="false">-1+B6102*0.25</f>
        <v>-0.25</v>
      </c>
      <c r="G6102" s="0" t="n">
        <f aca="false">-1+C6102*0.25</f>
        <v>-0.5</v>
      </c>
      <c r="H6102" s="0" t="n">
        <f aca="false">-1+D6102*0.25</f>
        <v>0</v>
      </c>
      <c r="I6102" s="0" t="n">
        <f aca="false">1</f>
        <v>1</v>
      </c>
      <c r="J6102" s="0" t="n">
        <f aca="false">E6102</f>
        <v>1</v>
      </c>
      <c r="K6102" s="0" t="n">
        <f aca="false">F6102</f>
        <v>-0.25</v>
      </c>
      <c r="L6102" s="0" t="n">
        <f aca="false">G6102</f>
        <v>-0.5</v>
      </c>
      <c r="M6102" s="0" t="n">
        <f aca="false">H6102</f>
        <v>0</v>
      </c>
      <c r="N6102" s="0" t="n">
        <f aca="false">E6102*F6102</f>
        <v>-0.25</v>
      </c>
      <c r="O6102" s="0" t="n">
        <f aca="false">E6102*G6102</f>
        <v>-0.5</v>
      </c>
      <c r="P6102" s="0" t="n">
        <f aca="false">E6102*H6102</f>
        <v>0</v>
      </c>
      <c r="Q6102" s="0" t="n">
        <f aca="false">F6102*G6102</f>
        <v>0.125</v>
      </c>
      <c r="R6102" s="0" t="n">
        <f aca="false">F6102*H6102</f>
        <v>-0</v>
      </c>
      <c r="S6102" s="0" t="n">
        <f aca="false">G6102*H6102</f>
        <v>-0</v>
      </c>
      <c r="T6102" s="0" t="n">
        <f aca="false">E6102*E6102</f>
        <v>1</v>
      </c>
      <c r="U6102" s="0" t="n">
        <f aca="false">F6102*F6102</f>
        <v>0.0625</v>
      </c>
      <c r="V6102" s="0" t="n">
        <f aca="false">G6102*G6102</f>
        <v>0.25</v>
      </c>
      <c r="W6102" s="0" t="n">
        <f aca="false">H6102*H6102</f>
        <v>0</v>
      </c>
      <c r="X6102" s="0" t="n">
        <f aca="false">SUMPRODUCT(I6102:W6102,_XtX!$B$96:$P$96)</f>
        <v>46.0665113304094</v>
      </c>
      <c r="Y6102" s="0" t="n">
        <f aca="false">SUMPRODUCT(MMULT(I6102:W6102,_XtX!$B$78:$P$92),I6102:W6102)</f>
        <v>0.457596628289474</v>
      </c>
      <c r="Z6102" s="0" t="n">
        <f aca="false">04_回帰ANOVA!$K$19*04_回帰ANOVA!$K$14*SQRT(1+Y6102)</f>
        <v>1.57368233664366</v>
      </c>
      <c r="AA6102" s="0" t="n">
        <f aca="false">X6102-Z6102</f>
        <v>44.4928289937657</v>
      </c>
      <c r="AB6102" s="0" t="n">
        <f aca="false">X6102+Z6102</f>
        <v>47.640193667053</v>
      </c>
      <c r="AC6102" s="54" t="b">
        <f aca="false">AND(E6102&gt;=01_因子設定!$L$5-0.000000001,E6102&lt;=01_因子設定!$M$5+0.000000001,F6102&gt;=01_因子設定!$L$6-0.000000001,F6102&lt;=01_因子設定!$M$6+0.000000001,G6102&gt;=01_因子設定!$L$7-0.000000001,G6102&lt;=01_因子設定!$M$7+0.000000001,H6102&gt;=01_因子設定!$L$8-0.000000001,H6102&lt;=01_因子設定!$M$8+0.000000001,IF(01_因子設定!$B$20="Box-Behnken",E6102^2+F6102^2+G6102^2+H6102^2&lt;=2+0.000000001,TRUE()))</f>
        <v>1</v>
      </c>
      <c r="AD6102" s="55" t="n">
        <f aca="false">IF(AC6102,IF(01_因子設定!$B$13="最大化",AA6102-01_因子設定!$B$14,IF(01_因子設定!$B$13="最小化",01_因子設定!$B$15-AB6102,MIN(AA6102-01_因子設定!$B$14,01_因子設定!$B$15-AB6102))),-1E+030)</f>
        <v>-2.00717100623427</v>
      </c>
      <c r="AE6102" s="55" t="n">
        <f aca="false">IF(AC6102,IF(01_因子設定!$B$13="最大化",X6102,IF(01_因子設定!$B$13="最小化",-X6102,-ABS(X6102-01_因子設定!$B$16))),-1E+030)</f>
        <v>46.0665113304094</v>
      </c>
      <c r="AF6102" s="55" t="n">
        <f aca="false">AD6102+ROW()*0.000000001</f>
        <v>-2.00716490423427</v>
      </c>
      <c r="AG6102" s="55" t="n">
        <f aca="false">AE6102+ROW()*0.000000001</f>
        <v>46.0665174324094</v>
      </c>
    </row>
    <row r="6103" customFormat="false" ht="15" hidden="false" customHeight="false" outlineLevel="0" collapsed="false">
      <c r="A6103" s="0" t="n">
        <v>8</v>
      </c>
      <c r="B6103" s="0" t="n">
        <v>3</v>
      </c>
      <c r="C6103" s="0" t="n">
        <v>2</v>
      </c>
      <c r="D6103" s="0" t="n">
        <v>5</v>
      </c>
      <c r="E6103" s="0" t="n">
        <f aca="false">-1+A6103*0.25</f>
        <v>1</v>
      </c>
      <c r="F6103" s="0" t="n">
        <f aca="false">-1+B6103*0.25</f>
        <v>-0.25</v>
      </c>
      <c r="G6103" s="0" t="n">
        <f aca="false">-1+C6103*0.25</f>
        <v>-0.5</v>
      </c>
      <c r="H6103" s="0" t="n">
        <f aca="false">-1+D6103*0.25</f>
        <v>0.25</v>
      </c>
      <c r="I6103" s="0" t="n">
        <f aca="false">1</f>
        <v>1</v>
      </c>
      <c r="J6103" s="0" t="n">
        <f aca="false">E6103</f>
        <v>1</v>
      </c>
      <c r="K6103" s="0" t="n">
        <f aca="false">F6103</f>
        <v>-0.25</v>
      </c>
      <c r="L6103" s="0" t="n">
        <f aca="false">G6103</f>
        <v>-0.5</v>
      </c>
      <c r="M6103" s="0" t="n">
        <f aca="false">H6103</f>
        <v>0.25</v>
      </c>
      <c r="N6103" s="0" t="n">
        <f aca="false">E6103*F6103</f>
        <v>-0.25</v>
      </c>
      <c r="O6103" s="0" t="n">
        <f aca="false">E6103*G6103</f>
        <v>-0.5</v>
      </c>
      <c r="P6103" s="0" t="n">
        <f aca="false">E6103*H6103</f>
        <v>0.25</v>
      </c>
      <c r="Q6103" s="0" t="n">
        <f aca="false">F6103*G6103</f>
        <v>0.125</v>
      </c>
      <c r="R6103" s="0" t="n">
        <f aca="false">F6103*H6103</f>
        <v>-0.0625</v>
      </c>
      <c r="S6103" s="0" t="n">
        <f aca="false">G6103*H6103</f>
        <v>-0.125</v>
      </c>
      <c r="T6103" s="0" t="n">
        <f aca="false">E6103*E6103</f>
        <v>1</v>
      </c>
      <c r="U6103" s="0" t="n">
        <f aca="false">F6103*F6103</f>
        <v>0.0625</v>
      </c>
      <c r="V6103" s="0" t="n">
        <f aca="false">G6103*G6103</f>
        <v>0.25</v>
      </c>
      <c r="W6103" s="0" t="n">
        <f aca="false">H6103*H6103</f>
        <v>0.0625</v>
      </c>
      <c r="X6103" s="0" t="n">
        <f aca="false">SUMPRODUCT(I6103:W6103,_XtX!$B$96:$P$96)</f>
        <v>46.1525904605263</v>
      </c>
      <c r="Y6103" s="0" t="n">
        <f aca="false">SUMPRODUCT(MMULT(I6103:W6103,_XtX!$B$78:$P$92),I6103:W6103)</f>
        <v>0.445705123812135</v>
      </c>
      <c r="Z6103" s="0" t="n">
        <f aca="false">04_回帰ANOVA!$K$19*04_回帰ANOVA!$K$14*SQRT(1+Y6103)</f>
        <v>1.56724990734749</v>
      </c>
      <c r="AA6103" s="0" t="n">
        <f aca="false">X6103-Z6103</f>
        <v>44.5853405531789</v>
      </c>
      <c r="AB6103" s="0" t="n">
        <f aca="false">X6103+Z6103</f>
        <v>47.7198403678738</v>
      </c>
      <c r="AC6103" s="54" t="b">
        <f aca="false">AND(E6103&gt;=01_因子設定!$L$5-0.000000001,E6103&lt;=01_因子設定!$M$5+0.000000001,F6103&gt;=01_因子設定!$L$6-0.000000001,F6103&lt;=01_因子設定!$M$6+0.000000001,G6103&gt;=01_因子設定!$L$7-0.000000001,G6103&lt;=01_因子設定!$M$7+0.000000001,H6103&gt;=01_因子設定!$L$8-0.000000001,H6103&lt;=01_因子設定!$M$8+0.000000001,IF(01_因子設定!$B$20="Box-Behnken",E6103^2+F6103^2+G6103^2+H6103^2&lt;=2+0.000000001,TRUE()))</f>
        <v>1</v>
      </c>
      <c r="AD6103" s="55" t="n">
        <f aca="false">IF(AC6103,IF(01_因子設定!$B$13="最大化",AA6103-01_因子設定!$B$14,IF(01_因子設定!$B$13="最小化",01_因子設定!$B$15-AB6103,MIN(AA6103-01_因子設定!$B$14,01_因子設定!$B$15-AB6103))),-1E+030)</f>
        <v>-1.91465944682115</v>
      </c>
      <c r="AE6103" s="55" t="n">
        <f aca="false">IF(AC6103,IF(01_因子設定!$B$13="最大化",X6103,IF(01_因子設定!$B$13="最小化",-X6103,-ABS(X6103-01_因子設定!$B$16))),-1E+030)</f>
        <v>46.1525904605263</v>
      </c>
      <c r="AF6103" s="55" t="n">
        <f aca="false">AD6103+ROW()*0.000000001</f>
        <v>-1.91465334382115</v>
      </c>
      <c r="AG6103" s="55" t="n">
        <f aca="false">AE6103+ROW()*0.000000001</f>
        <v>46.1525965635263</v>
      </c>
    </row>
    <row r="6104" customFormat="false" ht="15" hidden="false" customHeight="false" outlineLevel="0" collapsed="false">
      <c r="A6104" s="0" t="n">
        <v>8</v>
      </c>
      <c r="B6104" s="0" t="n">
        <v>3</v>
      </c>
      <c r="C6104" s="0" t="n">
        <v>2</v>
      </c>
      <c r="D6104" s="0" t="n">
        <v>6</v>
      </c>
      <c r="E6104" s="0" t="n">
        <f aca="false">-1+A6104*0.25</f>
        <v>1</v>
      </c>
      <c r="F6104" s="0" t="n">
        <f aca="false">-1+B6104*0.25</f>
        <v>-0.25</v>
      </c>
      <c r="G6104" s="0" t="n">
        <f aca="false">-1+C6104*0.25</f>
        <v>-0.5</v>
      </c>
      <c r="H6104" s="0" t="n">
        <f aca="false">-1+D6104*0.25</f>
        <v>0.5</v>
      </c>
      <c r="I6104" s="0" t="n">
        <f aca="false">1</f>
        <v>1</v>
      </c>
      <c r="J6104" s="0" t="n">
        <f aca="false">E6104</f>
        <v>1</v>
      </c>
      <c r="K6104" s="0" t="n">
        <f aca="false">F6104</f>
        <v>-0.25</v>
      </c>
      <c r="L6104" s="0" t="n">
        <f aca="false">G6104</f>
        <v>-0.5</v>
      </c>
      <c r="M6104" s="0" t="n">
        <f aca="false">H6104</f>
        <v>0.5</v>
      </c>
      <c r="N6104" s="0" t="n">
        <f aca="false">E6104*F6104</f>
        <v>-0.25</v>
      </c>
      <c r="O6104" s="0" t="n">
        <f aca="false">E6104*G6104</f>
        <v>-0.5</v>
      </c>
      <c r="P6104" s="0" t="n">
        <f aca="false">E6104*H6104</f>
        <v>0.5</v>
      </c>
      <c r="Q6104" s="0" t="n">
        <f aca="false">F6104*G6104</f>
        <v>0.125</v>
      </c>
      <c r="R6104" s="0" t="n">
        <f aca="false">F6104*H6104</f>
        <v>-0.125</v>
      </c>
      <c r="S6104" s="0" t="n">
        <f aca="false">G6104*H6104</f>
        <v>-0.25</v>
      </c>
      <c r="T6104" s="0" t="n">
        <f aca="false">E6104*E6104</f>
        <v>1</v>
      </c>
      <c r="U6104" s="0" t="n">
        <f aca="false">F6104*F6104</f>
        <v>0.0625</v>
      </c>
      <c r="V6104" s="0" t="n">
        <f aca="false">G6104*G6104</f>
        <v>0.25</v>
      </c>
      <c r="W6104" s="0" t="n">
        <f aca="false">H6104*H6104</f>
        <v>0.25</v>
      </c>
      <c r="X6104" s="0" t="n">
        <f aca="false">SUMPRODUCT(I6104:W6104,_XtX!$B$96:$P$96)</f>
        <v>46.1908625730995</v>
      </c>
      <c r="Y6104" s="0" t="n">
        <f aca="false">SUMPRODUCT(MMULT(I6104:W6104,_XtX!$B$78:$P$92),I6104:W6104)</f>
        <v>0.428122715643275</v>
      </c>
      <c r="Z6104" s="0" t="n">
        <f aca="false">04_回帰ANOVA!$K$19*04_回帰ANOVA!$K$14*SQRT(1+Y6104)</f>
        <v>1.55769044623229</v>
      </c>
      <c r="AA6104" s="0" t="n">
        <f aca="false">X6104-Z6104</f>
        <v>44.6331721268672</v>
      </c>
      <c r="AB6104" s="0" t="n">
        <f aca="false">X6104+Z6104</f>
        <v>47.7485530193317</v>
      </c>
      <c r="AC6104" s="54" t="b">
        <f aca="false">AND(E6104&gt;=01_因子設定!$L$5-0.000000001,E6104&lt;=01_因子設定!$M$5+0.000000001,F6104&gt;=01_因子設定!$L$6-0.000000001,F6104&lt;=01_因子設定!$M$6+0.000000001,G6104&gt;=01_因子設定!$L$7-0.000000001,G6104&lt;=01_因子設定!$M$7+0.000000001,H6104&gt;=01_因子設定!$L$8-0.000000001,H6104&lt;=01_因子設定!$M$8+0.000000001,IF(01_因子設定!$B$20="Box-Behnken",E6104^2+F6104^2+G6104^2+H6104^2&lt;=2+0.000000001,TRUE()))</f>
        <v>1</v>
      </c>
      <c r="AD6104" s="55" t="n">
        <f aca="false">IF(AC6104,IF(01_因子設定!$B$13="最大化",AA6104-01_因子設定!$B$14,IF(01_因子設定!$B$13="最小化",01_因子設定!$B$15-AB6104,MIN(AA6104-01_因子設定!$B$14,01_因子設定!$B$15-AB6104))),-1E+030)</f>
        <v>-1.86682787313284</v>
      </c>
      <c r="AE6104" s="55" t="n">
        <f aca="false">IF(AC6104,IF(01_因子設定!$B$13="最大化",X6104,IF(01_因子設定!$B$13="最小化",-X6104,-ABS(X6104-01_因子設定!$B$16))),-1E+030)</f>
        <v>46.1908625730995</v>
      </c>
      <c r="AF6104" s="55" t="n">
        <f aca="false">AD6104+ROW()*0.000000001</f>
        <v>-1.86682176913284</v>
      </c>
      <c r="AG6104" s="55" t="n">
        <f aca="false">AE6104+ROW()*0.000000001</f>
        <v>46.1908686770995</v>
      </c>
    </row>
    <row r="6105" customFormat="false" ht="15" hidden="false" customHeight="false" outlineLevel="0" collapsed="false">
      <c r="A6105" s="0" t="n">
        <v>8</v>
      </c>
      <c r="B6105" s="0" t="n">
        <v>3</v>
      </c>
      <c r="C6105" s="0" t="n">
        <v>2</v>
      </c>
      <c r="D6105" s="0" t="n">
        <v>7</v>
      </c>
      <c r="E6105" s="0" t="n">
        <f aca="false">-1+A6105*0.25</f>
        <v>1</v>
      </c>
      <c r="F6105" s="0" t="n">
        <f aca="false">-1+B6105*0.25</f>
        <v>-0.25</v>
      </c>
      <c r="G6105" s="0" t="n">
        <f aca="false">-1+C6105*0.25</f>
        <v>-0.5</v>
      </c>
      <c r="H6105" s="0" t="n">
        <f aca="false">-1+D6105*0.25</f>
        <v>0.75</v>
      </c>
      <c r="I6105" s="0" t="n">
        <f aca="false">1</f>
        <v>1</v>
      </c>
      <c r="J6105" s="0" t="n">
        <f aca="false">E6105</f>
        <v>1</v>
      </c>
      <c r="K6105" s="0" t="n">
        <f aca="false">F6105</f>
        <v>-0.25</v>
      </c>
      <c r="L6105" s="0" t="n">
        <f aca="false">G6105</f>
        <v>-0.5</v>
      </c>
      <c r="M6105" s="0" t="n">
        <f aca="false">H6105</f>
        <v>0.75</v>
      </c>
      <c r="N6105" s="0" t="n">
        <f aca="false">E6105*F6105</f>
        <v>-0.25</v>
      </c>
      <c r="O6105" s="0" t="n">
        <f aca="false">E6105*G6105</f>
        <v>-0.5</v>
      </c>
      <c r="P6105" s="0" t="n">
        <f aca="false">E6105*H6105</f>
        <v>0.75</v>
      </c>
      <c r="Q6105" s="0" t="n">
        <f aca="false">F6105*G6105</f>
        <v>0.125</v>
      </c>
      <c r="R6105" s="0" t="n">
        <f aca="false">F6105*H6105</f>
        <v>-0.1875</v>
      </c>
      <c r="S6105" s="0" t="n">
        <f aca="false">G6105*H6105</f>
        <v>-0.375</v>
      </c>
      <c r="T6105" s="0" t="n">
        <f aca="false">E6105*E6105</f>
        <v>1</v>
      </c>
      <c r="U6105" s="0" t="n">
        <f aca="false">F6105*F6105</f>
        <v>0.0625</v>
      </c>
      <c r="V6105" s="0" t="n">
        <f aca="false">G6105*G6105</f>
        <v>0.25</v>
      </c>
      <c r="W6105" s="0" t="n">
        <f aca="false">H6105*H6105</f>
        <v>0.5625</v>
      </c>
      <c r="X6105" s="0" t="n">
        <f aca="false">SUMPRODUCT(I6105:W6105,_XtX!$B$96:$P$96)</f>
        <v>46.1813276681287</v>
      </c>
      <c r="Y6105" s="0" t="n">
        <f aca="false">SUMPRODUCT(MMULT(I6105:W6105,_XtX!$B$78:$P$92),I6105:W6105)</f>
        <v>0.459125719572369</v>
      </c>
      <c r="Z6105" s="0" t="n">
        <f aca="false">04_回帰ANOVA!$K$19*04_回帰ANOVA!$K$14*SQRT(1+Y6105)</f>
        <v>1.57450755575573</v>
      </c>
      <c r="AA6105" s="0" t="n">
        <f aca="false">X6105-Z6105</f>
        <v>44.606820112373</v>
      </c>
      <c r="AB6105" s="0" t="n">
        <f aca="false">X6105+Z6105</f>
        <v>47.7558352238844</v>
      </c>
      <c r="AC6105" s="54" t="b">
        <f aca="false">AND(E6105&gt;=01_因子設定!$L$5-0.000000001,E6105&lt;=01_因子設定!$M$5+0.000000001,F6105&gt;=01_因子設定!$L$6-0.000000001,F6105&lt;=01_因子設定!$M$6+0.000000001,G6105&gt;=01_因子設定!$L$7-0.000000001,G6105&lt;=01_因子設定!$M$7+0.000000001,H6105&gt;=01_因子設定!$L$8-0.000000001,H6105&lt;=01_因子設定!$M$8+0.000000001,IF(01_因子設定!$B$20="Box-Behnken",E6105^2+F6105^2+G6105^2+H6105^2&lt;=2+0.000000001,TRUE()))</f>
        <v>1</v>
      </c>
      <c r="AD6105" s="55" t="n">
        <f aca="false">IF(AC6105,IF(01_因子設定!$B$13="最大化",AA6105-01_因子設定!$B$14,IF(01_因子設定!$B$13="最小化",01_因子設定!$B$15-AB6105,MIN(AA6105-01_因子設定!$B$14,01_因子設定!$B$15-AB6105))),-1E+030)</f>
        <v>-1.89317988762703</v>
      </c>
      <c r="AE6105" s="55" t="n">
        <f aca="false">IF(AC6105,IF(01_因子設定!$B$13="最大化",X6105,IF(01_因子設定!$B$13="最小化",-X6105,-ABS(X6105-01_因子設定!$B$16))),-1E+030)</f>
        <v>46.1813276681287</v>
      </c>
      <c r="AF6105" s="55" t="n">
        <f aca="false">AD6105+ROW()*0.000000001</f>
        <v>-1.89317378262703</v>
      </c>
      <c r="AG6105" s="55" t="n">
        <f aca="false">AE6105+ROW()*0.000000001</f>
        <v>46.1813337731287</v>
      </c>
    </row>
    <row r="6106" customFormat="false" ht="15" hidden="false" customHeight="false" outlineLevel="0" collapsed="false">
      <c r="A6106" s="0" t="n">
        <v>8</v>
      </c>
      <c r="B6106" s="0" t="n">
        <v>3</v>
      </c>
      <c r="C6106" s="0" t="n">
        <v>2</v>
      </c>
      <c r="D6106" s="0" t="n">
        <v>8</v>
      </c>
      <c r="E6106" s="0" t="n">
        <f aca="false">-1+A6106*0.25</f>
        <v>1</v>
      </c>
      <c r="F6106" s="0" t="n">
        <f aca="false">-1+B6106*0.25</f>
        <v>-0.25</v>
      </c>
      <c r="G6106" s="0" t="n">
        <f aca="false">-1+C6106*0.25</f>
        <v>-0.5</v>
      </c>
      <c r="H6106" s="0" t="n">
        <f aca="false">-1+D6106*0.25</f>
        <v>1</v>
      </c>
      <c r="I6106" s="0" t="n">
        <f aca="false">1</f>
        <v>1</v>
      </c>
      <c r="J6106" s="0" t="n">
        <f aca="false">E6106</f>
        <v>1</v>
      </c>
      <c r="K6106" s="0" t="n">
        <f aca="false">F6106</f>
        <v>-0.25</v>
      </c>
      <c r="L6106" s="0" t="n">
        <f aca="false">G6106</f>
        <v>-0.5</v>
      </c>
      <c r="M6106" s="0" t="n">
        <f aca="false">H6106</f>
        <v>1</v>
      </c>
      <c r="N6106" s="0" t="n">
        <f aca="false">E6106*F6106</f>
        <v>-0.25</v>
      </c>
      <c r="O6106" s="0" t="n">
        <f aca="false">E6106*G6106</f>
        <v>-0.5</v>
      </c>
      <c r="P6106" s="0" t="n">
        <f aca="false">E6106*H6106</f>
        <v>1</v>
      </c>
      <c r="Q6106" s="0" t="n">
        <f aca="false">F6106*G6106</f>
        <v>0.125</v>
      </c>
      <c r="R6106" s="0" t="n">
        <f aca="false">F6106*H6106</f>
        <v>-0.25</v>
      </c>
      <c r="S6106" s="0" t="n">
        <f aca="false">G6106*H6106</f>
        <v>-0.5</v>
      </c>
      <c r="T6106" s="0" t="n">
        <f aca="false">E6106*E6106</f>
        <v>1</v>
      </c>
      <c r="U6106" s="0" t="n">
        <f aca="false">F6106*F6106</f>
        <v>0.0625</v>
      </c>
      <c r="V6106" s="0" t="n">
        <f aca="false">G6106*G6106</f>
        <v>0.25</v>
      </c>
      <c r="W6106" s="0" t="n">
        <f aca="false">H6106*H6106</f>
        <v>1</v>
      </c>
      <c r="X6106" s="0" t="n">
        <f aca="false">SUMPRODUCT(I6106:W6106,_XtX!$B$96:$P$96)</f>
        <v>46.1239857456141</v>
      </c>
      <c r="Y6106" s="0" t="n">
        <f aca="false">SUMPRODUCT(MMULT(I6106:W6106,_XtX!$B$78:$P$92),I6106:W6106)</f>
        <v>0.629174661915205</v>
      </c>
      <c r="Z6106" s="0" t="n">
        <f aca="false">04_回帰ANOVA!$K$19*04_回帰ANOVA!$K$14*SQRT(1+Y6106)</f>
        <v>1.66372758058297</v>
      </c>
      <c r="AA6106" s="0" t="n">
        <f aca="false">X6106-Z6106</f>
        <v>44.4602581650311</v>
      </c>
      <c r="AB6106" s="0" t="n">
        <f aca="false">X6106+Z6106</f>
        <v>47.7877133261971</v>
      </c>
      <c r="AC6106" s="54" t="b">
        <f aca="false">AND(E6106&gt;=01_因子設定!$L$5-0.000000001,E6106&lt;=01_因子設定!$M$5+0.000000001,F6106&gt;=01_因子設定!$L$6-0.000000001,F6106&lt;=01_因子設定!$M$6+0.000000001,G6106&gt;=01_因子設定!$L$7-0.000000001,G6106&lt;=01_因子設定!$M$7+0.000000001,H6106&gt;=01_因子設定!$L$8-0.000000001,H6106&lt;=01_因子設定!$M$8+0.000000001,IF(01_因子設定!$B$20="Box-Behnken",E6106^2+F6106^2+G6106^2+H6106^2&lt;=2+0.000000001,TRUE()))</f>
        <v>1</v>
      </c>
      <c r="AD6106" s="55" t="n">
        <f aca="false">IF(AC6106,IF(01_因子設定!$B$13="最大化",AA6106-01_因子設定!$B$14,IF(01_因子設定!$B$13="最小化",01_因子設定!$B$15-AB6106,MIN(AA6106-01_因子設定!$B$14,01_因子設定!$B$15-AB6106))),-1E+030)</f>
        <v>-2.03974183496887</v>
      </c>
      <c r="AE6106" s="55" t="n">
        <f aca="false">IF(AC6106,IF(01_因子設定!$B$13="最大化",X6106,IF(01_因子設定!$B$13="最小化",-X6106,-ABS(X6106-01_因子設定!$B$16))),-1E+030)</f>
        <v>46.1239857456141</v>
      </c>
      <c r="AF6106" s="55" t="n">
        <f aca="false">AD6106+ROW()*0.000000001</f>
        <v>-2.03973572896887</v>
      </c>
      <c r="AG6106" s="55" t="n">
        <f aca="false">AE6106+ROW()*0.000000001</f>
        <v>46.1239918516141</v>
      </c>
    </row>
    <row r="6107" customFormat="false" ht="15" hidden="false" customHeight="false" outlineLevel="0" collapsed="false">
      <c r="A6107" s="0" t="n">
        <v>8</v>
      </c>
      <c r="B6107" s="0" t="n">
        <v>3</v>
      </c>
      <c r="C6107" s="0" t="n">
        <v>3</v>
      </c>
      <c r="D6107" s="0" t="n">
        <v>0</v>
      </c>
      <c r="E6107" s="0" t="n">
        <f aca="false">-1+A6107*0.25</f>
        <v>1</v>
      </c>
      <c r="F6107" s="0" t="n">
        <f aca="false">-1+B6107*0.25</f>
        <v>-0.25</v>
      </c>
      <c r="G6107" s="0" t="n">
        <f aca="false">-1+C6107*0.25</f>
        <v>-0.25</v>
      </c>
      <c r="H6107" s="0" t="n">
        <f aca="false">-1+D6107*0.25</f>
        <v>-1</v>
      </c>
      <c r="I6107" s="0" t="n">
        <f aca="false">1</f>
        <v>1</v>
      </c>
      <c r="J6107" s="0" t="n">
        <f aca="false">E6107</f>
        <v>1</v>
      </c>
      <c r="K6107" s="0" t="n">
        <f aca="false">F6107</f>
        <v>-0.25</v>
      </c>
      <c r="L6107" s="0" t="n">
        <f aca="false">G6107</f>
        <v>-0.25</v>
      </c>
      <c r="M6107" s="0" t="n">
        <f aca="false">H6107</f>
        <v>-1</v>
      </c>
      <c r="N6107" s="0" t="n">
        <f aca="false">E6107*F6107</f>
        <v>-0.25</v>
      </c>
      <c r="O6107" s="0" t="n">
        <f aca="false">E6107*G6107</f>
        <v>-0.25</v>
      </c>
      <c r="P6107" s="0" t="n">
        <f aca="false">E6107*H6107</f>
        <v>-1</v>
      </c>
      <c r="Q6107" s="0" t="n">
        <f aca="false">F6107*G6107</f>
        <v>0.0625</v>
      </c>
      <c r="R6107" s="0" t="n">
        <f aca="false">F6107*H6107</f>
        <v>0.25</v>
      </c>
      <c r="S6107" s="0" t="n">
        <f aca="false">G6107*H6107</f>
        <v>0.25</v>
      </c>
      <c r="T6107" s="0" t="n">
        <f aca="false">E6107*E6107</f>
        <v>1</v>
      </c>
      <c r="U6107" s="0" t="n">
        <f aca="false">F6107*F6107</f>
        <v>0.0625</v>
      </c>
      <c r="V6107" s="0" t="n">
        <f aca="false">G6107*G6107</f>
        <v>0.0625</v>
      </c>
      <c r="W6107" s="0" t="n">
        <f aca="false">H6107*H6107</f>
        <v>1</v>
      </c>
      <c r="X6107" s="0" t="n">
        <f aca="false">SUMPRODUCT(I6107:W6107,_XtX!$B$96:$P$96)</f>
        <v>45.3640122441521</v>
      </c>
      <c r="Y6107" s="0" t="n">
        <f aca="false">SUMPRODUCT(MMULT(I6107:W6107,_XtX!$B$78:$P$92),I6107:W6107)</f>
        <v>0.670040376005117</v>
      </c>
      <c r="Z6107" s="0" t="n">
        <f aca="false">04_回帰ANOVA!$K$19*04_回帰ANOVA!$K$14*SQRT(1+Y6107)</f>
        <v>1.68446456039992</v>
      </c>
      <c r="AA6107" s="0" t="n">
        <f aca="false">X6107-Z6107</f>
        <v>43.6795476837522</v>
      </c>
      <c r="AB6107" s="0" t="n">
        <f aca="false">X6107+Z6107</f>
        <v>47.048476804552</v>
      </c>
      <c r="AC6107" s="54" t="b">
        <f aca="false">AND(E6107&gt;=01_因子設定!$L$5-0.000000001,E6107&lt;=01_因子設定!$M$5+0.000000001,F6107&gt;=01_因子設定!$L$6-0.000000001,F6107&lt;=01_因子設定!$M$6+0.000000001,G6107&gt;=01_因子設定!$L$7-0.000000001,G6107&lt;=01_因子設定!$M$7+0.000000001,H6107&gt;=01_因子設定!$L$8-0.000000001,H6107&lt;=01_因子設定!$M$8+0.000000001,IF(01_因子設定!$B$20="Box-Behnken",E6107^2+F6107^2+G6107^2+H6107^2&lt;=2+0.000000001,TRUE()))</f>
        <v>1</v>
      </c>
      <c r="AD6107" s="55" t="n">
        <f aca="false">IF(AC6107,IF(01_因子設定!$B$13="最大化",AA6107-01_因子設定!$B$14,IF(01_因子設定!$B$13="最小化",01_因子設定!$B$15-AB6107,MIN(AA6107-01_因子設定!$B$14,01_因子設定!$B$15-AB6107))),-1E+030)</f>
        <v>-2.82045231624781</v>
      </c>
      <c r="AE6107" s="55" t="n">
        <f aca="false">IF(AC6107,IF(01_因子設定!$B$13="最大化",X6107,IF(01_因子設定!$B$13="最小化",-X6107,-ABS(X6107-01_因子設定!$B$16))),-1E+030)</f>
        <v>45.3640122441521</v>
      </c>
      <c r="AF6107" s="55" t="n">
        <f aca="false">AD6107+ROW()*0.000000001</f>
        <v>-2.82044620924781</v>
      </c>
      <c r="AG6107" s="55" t="n">
        <f aca="false">AE6107+ROW()*0.000000001</f>
        <v>45.3640183511521</v>
      </c>
    </row>
    <row r="6108" customFormat="false" ht="15" hidden="false" customHeight="false" outlineLevel="0" collapsed="false">
      <c r="A6108" s="0" t="n">
        <v>8</v>
      </c>
      <c r="B6108" s="0" t="n">
        <v>3</v>
      </c>
      <c r="C6108" s="0" t="n">
        <v>3</v>
      </c>
      <c r="D6108" s="0" t="n">
        <v>1</v>
      </c>
      <c r="E6108" s="0" t="n">
        <f aca="false">-1+A6108*0.25</f>
        <v>1</v>
      </c>
      <c r="F6108" s="0" t="n">
        <f aca="false">-1+B6108*0.25</f>
        <v>-0.25</v>
      </c>
      <c r="G6108" s="0" t="n">
        <f aca="false">-1+C6108*0.25</f>
        <v>-0.25</v>
      </c>
      <c r="H6108" s="0" t="n">
        <f aca="false">-1+D6108*0.25</f>
        <v>-0.75</v>
      </c>
      <c r="I6108" s="0" t="n">
        <f aca="false">1</f>
        <v>1</v>
      </c>
      <c r="J6108" s="0" t="n">
        <f aca="false">E6108</f>
        <v>1</v>
      </c>
      <c r="K6108" s="0" t="n">
        <f aca="false">F6108</f>
        <v>-0.25</v>
      </c>
      <c r="L6108" s="0" t="n">
        <f aca="false">G6108</f>
        <v>-0.25</v>
      </c>
      <c r="M6108" s="0" t="n">
        <f aca="false">H6108</f>
        <v>-0.75</v>
      </c>
      <c r="N6108" s="0" t="n">
        <f aca="false">E6108*F6108</f>
        <v>-0.25</v>
      </c>
      <c r="O6108" s="0" t="n">
        <f aca="false">E6108*G6108</f>
        <v>-0.25</v>
      </c>
      <c r="P6108" s="0" t="n">
        <f aca="false">E6108*H6108</f>
        <v>-0.75</v>
      </c>
      <c r="Q6108" s="0" t="n">
        <f aca="false">F6108*G6108</f>
        <v>0.0625</v>
      </c>
      <c r="R6108" s="0" t="n">
        <f aca="false">F6108*H6108</f>
        <v>0.1875</v>
      </c>
      <c r="S6108" s="0" t="n">
        <f aca="false">G6108*H6108</f>
        <v>0.1875</v>
      </c>
      <c r="T6108" s="0" t="n">
        <f aca="false">E6108*E6108</f>
        <v>1</v>
      </c>
      <c r="U6108" s="0" t="n">
        <f aca="false">F6108*F6108</f>
        <v>0.0625</v>
      </c>
      <c r="V6108" s="0" t="n">
        <f aca="false">G6108*G6108</f>
        <v>0.0625</v>
      </c>
      <c r="W6108" s="0" t="n">
        <f aca="false">H6108*H6108</f>
        <v>0.5625</v>
      </c>
      <c r="X6108" s="0" t="n">
        <f aca="false">SUMPRODUCT(I6108:W6108,_XtX!$B$96:$P$96)</f>
        <v>45.6592881944445</v>
      </c>
      <c r="Y6108" s="0" t="n">
        <f aca="false">SUMPRODUCT(MMULT(I6108:W6108,_XtX!$B$78:$P$92),I6108:W6108)</f>
        <v>0.486409505208334</v>
      </c>
      <c r="Z6108" s="0" t="n">
        <f aca="false">04_回帰ANOVA!$K$19*04_回帰ANOVA!$K$14*SQRT(1+Y6108)</f>
        <v>1.58916001665498</v>
      </c>
      <c r="AA6108" s="0" t="n">
        <f aca="false">X6108-Z6108</f>
        <v>44.0701281777895</v>
      </c>
      <c r="AB6108" s="0" t="n">
        <f aca="false">X6108+Z6108</f>
        <v>47.2484482110995</v>
      </c>
      <c r="AC6108" s="54" t="b">
        <f aca="false">AND(E6108&gt;=01_因子設定!$L$5-0.000000001,E6108&lt;=01_因子設定!$M$5+0.000000001,F6108&gt;=01_因子設定!$L$6-0.000000001,F6108&lt;=01_因子設定!$M$6+0.000000001,G6108&gt;=01_因子設定!$L$7-0.000000001,G6108&lt;=01_因子設定!$M$7+0.000000001,H6108&gt;=01_因子設定!$L$8-0.000000001,H6108&lt;=01_因子設定!$M$8+0.000000001,IF(01_因子設定!$B$20="Box-Behnken",E6108^2+F6108^2+G6108^2+H6108^2&lt;=2+0.000000001,TRUE()))</f>
        <v>1</v>
      </c>
      <c r="AD6108" s="55" t="n">
        <f aca="false">IF(AC6108,IF(01_因子設定!$B$13="最大化",AA6108-01_因子設定!$B$14,IF(01_因子設定!$B$13="最小化",01_因子設定!$B$15-AB6108,MIN(AA6108-01_因子設定!$B$14,01_因子設定!$B$15-AB6108))),-1E+030)</f>
        <v>-2.42987182221049</v>
      </c>
      <c r="AE6108" s="55" t="n">
        <f aca="false">IF(AC6108,IF(01_因子設定!$B$13="最大化",X6108,IF(01_因子設定!$B$13="最小化",-X6108,-ABS(X6108-01_因子設定!$B$16))),-1E+030)</f>
        <v>45.6592881944445</v>
      </c>
      <c r="AF6108" s="55" t="n">
        <f aca="false">AD6108+ROW()*0.000000001</f>
        <v>-2.42986571421049</v>
      </c>
      <c r="AG6108" s="55" t="n">
        <f aca="false">AE6108+ROW()*0.000000001</f>
        <v>45.6592943024445</v>
      </c>
    </row>
    <row r="6109" customFormat="false" ht="15" hidden="false" customHeight="false" outlineLevel="0" collapsed="false">
      <c r="A6109" s="0" t="n">
        <v>8</v>
      </c>
      <c r="B6109" s="0" t="n">
        <v>3</v>
      </c>
      <c r="C6109" s="0" t="n">
        <v>3</v>
      </c>
      <c r="D6109" s="0" t="n">
        <v>2</v>
      </c>
      <c r="E6109" s="0" t="n">
        <f aca="false">-1+A6109*0.25</f>
        <v>1</v>
      </c>
      <c r="F6109" s="0" t="n">
        <f aca="false">-1+B6109*0.25</f>
        <v>-0.25</v>
      </c>
      <c r="G6109" s="0" t="n">
        <f aca="false">-1+C6109*0.25</f>
        <v>-0.25</v>
      </c>
      <c r="H6109" s="0" t="n">
        <f aca="false">-1+D6109*0.25</f>
        <v>-0.5</v>
      </c>
      <c r="I6109" s="0" t="n">
        <f aca="false">1</f>
        <v>1</v>
      </c>
      <c r="J6109" s="0" t="n">
        <f aca="false">E6109</f>
        <v>1</v>
      </c>
      <c r="K6109" s="0" t="n">
        <f aca="false">F6109</f>
        <v>-0.25</v>
      </c>
      <c r="L6109" s="0" t="n">
        <f aca="false">G6109</f>
        <v>-0.25</v>
      </c>
      <c r="M6109" s="0" t="n">
        <f aca="false">H6109</f>
        <v>-0.5</v>
      </c>
      <c r="N6109" s="0" t="n">
        <f aca="false">E6109*F6109</f>
        <v>-0.25</v>
      </c>
      <c r="O6109" s="0" t="n">
        <f aca="false">E6109*G6109</f>
        <v>-0.25</v>
      </c>
      <c r="P6109" s="0" t="n">
        <f aca="false">E6109*H6109</f>
        <v>-0.5</v>
      </c>
      <c r="Q6109" s="0" t="n">
        <f aca="false">F6109*G6109</f>
        <v>0.0625</v>
      </c>
      <c r="R6109" s="0" t="n">
        <f aca="false">F6109*H6109</f>
        <v>0.125</v>
      </c>
      <c r="S6109" s="0" t="n">
        <f aca="false">G6109*H6109</f>
        <v>0.125</v>
      </c>
      <c r="T6109" s="0" t="n">
        <f aca="false">E6109*E6109</f>
        <v>1</v>
      </c>
      <c r="U6109" s="0" t="n">
        <f aca="false">F6109*F6109</f>
        <v>0.0625</v>
      </c>
      <c r="V6109" s="0" t="n">
        <f aca="false">G6109*G6109</f>
        <v>0.0625</v>
      </c>
      <c r="W6109" s="0" t="n">
        <f aca="false">H6109*H6109</f>
        <v>0.25</v>
      </c>
      <c r="X6109" s="0" t="n">
        <f aca="false">SUMPRODUCT(I6109:W6109,_XtX!$B$96:$P$96)</f>
        <v>45.906757127193</v>
      </c>
      <c r="Y6109" s="0" t="n">
        <f aca="false">SUMPRODUCT(MMULT(I6109:W6109,_XtX!$B$78:$P$92),I6109:W6109)</f>
        <v>0.445705123812135</v>
      </c>
      <c r="Z6109" s="0" t="n">
        <f aca="false">04_回帰ANOVA!$K$19*04_回帰ANOVA!$K$14*SQRT(1+Y6109)</f>
        <v>1.56724990734749</v>
      </c>
      <c r="AA6109" s="0" t="n">
        <f aca="false">X6109-Z6109</f>
        <v>44.3395072198455</v>
      </c>
      <c r="AB6109" s="0" t="n">
        <f aca="false">X6109+Z6109</f>
        <v>47.4740070345405</v>
      </c>
      <c r="AC6109" s="54" t="b">
        <f aca="false">AND(E6109&gt;=01_因子設定!$L$5-0.000000001,E6109&lt;=01_因子設定!$M$5+0.000000001,F6109&gt;=01_因子設定!$L$6-0.000000001,F6109&lt;=01_因子設定!$M$6+0.000000001,G6109&gt;=01_因子設定!$L$7-0.000000001,G6109&lt;=01_因子設定!$M$7+0.000000001,H6109&gt;=01_因子設定!$L$8-0.000000001,H6109&lt;=01_因子設定!$M$8+0.000000001,IF(01_因子設定!$B$20="Box-Behnken",E6109^2+F6109^2+G6109^2+H6109^2&lt;=2+0.000000001,TRUE()))</f>
        <v>1</v>
      </c>
      <c r="AD6109" s="55" t="n">
        <f aca="false">IF(AC6109,IF(01_因子設定!$B$13="最大化",AA6109-01_因子設定!$B$14,IF(01_因子設定!$B$13="最小化",01_因子設定!$B$15-AB6109,MIN(AA6109-01_因子設定!$B$14,01_因子設定!$B$15-AB6109))),-1E+030)</f>
        <v>-2.16049278015447</v>
      </c>
      <c r="AE6109" s="55" t="n">
        <f aca="false">IF(AC6109,IF(01_因子設定!$B$13="最大化",X6109,IF(01_因子設定!$B$13="最小化",-X6109,-ABS(X6109-01_因子設定!$B$16))),-1E+030)</f>
        <v>45.906757127193</v>
      </c>
      <c r="AF6109" s="55" t="n">
        <f aca="false">AD6109+ROW()*0.000000001</f>
        <v>-2.16048667115447</v>
      </c>
      <c r="AG6109" s="55" t="n">
        <f aca="false">AE6109+ROW()*0.000000001</f>
        <v>45.906763236193</v>
      </c>
    </row>
    <row r="6110" customFormat="false" ht="15" hidden="false" customHeight="false" outlineLevel="0" collapsed="false">
      <c r="A6110" s="0" t="n">
        <v>8</v>
      </c>
      <c r="B6110" s="0" t="n">
        <v>3</v>
      </c>
      <c r="C6110" s="0" t="n">
        <v>3</v>
      </c>
      <c r="D6110" s="0" t="n">
        <v>3</v>
      </c>
      <c r="E6110" s="0" t="n">
        <f aca="false">-1+A6110*0.25</f>
        <v>1</v>
      </c>
      <c r="F6110" s="0" t="n">
        <f aca="false">-1+B6110*0.25</f>
        <v>-0.25</v>
      </c>
      <c r="G6110" s="0" t="n">
        <f aca="false">-1+C6110*0.25</f>
        <v>-0.25</v>
      </c>
      <c r="H6110" s="0" t="n">
        <f aca="false">-1+D6110*0.25</f>
        <v>-0.25</v>
      </c>
      <c r="I6110" s="0" t="n">
        <f aca="false">1</f>
        <v>1</v>
      </c>
      <c r="J6110" s="0" t="n">
        <f aca="false">E6110</f>
        <v>1</v>
      </c>
      <c r="K6110" s="0" t="n">
        <f aca="false">F6110</f>
        <v>-0.25</v>
      </c>
      <c r="L6110" s="0" t="n">
        <f aca="false">G6110</f>
        <v>-0.25</v>
      </c>
      <c r="M6110" s="0" t="n">
        <f aca="false">H6110</f>
        <v>-0.25</v>
      </c>
      <c r="N6110" s="0" t="n">
        <f aca="false">E6110*F6110</f>
        <v>-0.25</v>
      </c>
      <c r="O6110" s="0" t="n">
        <f aca="false">E6110*G6110</f>
        <v>-0.25</v>
      </c>
      <c r="P6110" s="0" t="n">
        <f aca="false">E6110*H6110</f>
        <v>-0.25</v>
      </c>
      <c r="Q6110" s="0" t="n">
        <f aca="false">F6110*G6110</f>
        <v>0.0625</v>
      </c>
      <c r="R6110" s="0" t="n">
        <f aca="false">F6110*H6110</f>
        <v>0.0625</v>
      </c>
      <c r="S6110" s="0" t="n">
        <f aca="false">G6110*H6110</f>
        <v>0.0625</v>
      </c>
      <c r="T6110" s="0" t="n">
        <f aca="false">E6110*E6110</f>
        <v>1</v>
      </c>
      <c r="U6110" s="0" t="n">
        <f aca="false">F6110*F6110</f>
        <v>0.0625</v>
      </c>
      <c r="V6110" s="0" t="n">
        <f aca="false">G6110*G6110</f>
        <v>0.0625</v>
      </c>
      <c r="W6110" s="0" t="n">
        <f aca="false">H6110*H6110</f>
        <v>0.0625</v>
      </c>
      <c r="X6110" s="0" t="n">
        <f aca="false">SUMPRODUCT(I6110:W6110,_XtX!$B$96:$P$96)</f>
        <v>46.1064190423977</v>
      </c>
      <c r="Y6110" s="0" t="n">
        <f aca="false">SUMPRODUCT(MMULT(I6110:W6110,_XtX!$B$78:$P$92),I6110:W6110)</f>
        <v>0.457466705500731</v>
      </c>
      <c r="Z6110" s="0" t="n">
        <f aca="false">04_回帰ANOVA!$K$19*04_回帰ANOVA!$K$14*SQRT(1+Y6110)</f>
        <v>1.57361220003999</v>
      </c>
      <c r="AA6110" s="0" t="n">
        <f aca="false">X6110-Z6110</f>
        <v>44.5328068423577</v>
      </c>
      <c r="AB6110" s="0" t="n">
        <f aca="false">X6110+Z6110</f>
        <v>47.6800312424377</v>
      </c>
      <c r="AC6110" s="54" t="b">
        <f aca="false">AND(E6110&gt;=01_因子設定!$L$5-0.000000001,E6110&lt;=01_因子設定!$M$5+0.000000001,F6110&gt;=01_因子設定!$L$6-0.000000001,F6110&lt;=01_因子設定!$M$6+0.000000001,G6110&gt;=01_因子設定!$L$7-0.000000001,G6110&lt;=01_因子設定!$M$7+0.000000001,H6110&gt;=01_因子設定!$L$8-0.000000001,H6110&lt;=01_因子設定!$M$8+0.000000001,IF(01_因子設定!$B$20="Box-Behnken",E6110^2+F6110^2+G6110^2+H6110^2&lt;=2+0.000000001,TRUE()))</f>
        <v>1</v>
      </c>
      <c r="AD6110" s="55" t="n">
        <f aca="false">IF(AC6110,IF(01_因子設定!$B$13="最大化",AA6110-01_因子設定!$B$14,IF(01_因子設定!$B$13="最小化",01_因子設定!$B$15-AB6110,MIN(AA6110-01_因子設定!$B$14,01_因子設定!$B$15-AB6110))),-1E+030)</f>
        <v>-1.96719315764231</v>
      </c>
      <c r="AE6110" s="55" t="n">
        <f aca="false">IF(AC6110,IF(01_因子設定!$B$13="最大化",X6110,IF(01_因子設定!$B$13="最小化",-X6110,-ABS(X6110-01_因子設定!$B$16))),-1E+030)</f>
        <v>46.1064190423977</v>
      </c>
      <c r="AF6110" s="55" t="n">
        <f aca="false">AD6110+ROW()*0.000000001</f>
        <v>-1.96718704764231</v>
      </c>
      <c r="AG6110" s="55" t="n">
        <f aca="false">AE6110+ROW()*0.000000001</f>
        <v>46.1064251523977</v>
      </c>
    </row>
    <row r="6111" customFormat="false" ht="15" hidden="false" customHeight="false" outlineLevel="0" collapsed="false">
      <c r="A6111" s="0" t="n">
        <v>8</v>
      </c>
      <c r="B6111" s="0" t="n">
        <v>3</v>
      </c>
      <c r="C6111" s="0" t="n">
        <v>3</v>
      </c>
      <c r="D6111" s="0" t="n">
        <v>4</v>
      </c>
      <c r="E6111" s="0" t="n">
        <f aca="false">-1+A6111*0.25</f>
        <v>1</v>
      </c>
      <c r="F6111" s="0" t="n">
        <f aca="false">-1+B6111*0.25</f>
        <v>-0.25</v>
      </c>
      <c r="G6111" s="0" t="n">
        <f aca="false">-1+C6111*0.25</f>
        <v>-0.25</v>
      </c>
      <c r="H6111" s="0" t="n">
        <f aca="false">-1+D6111*0.25</f>
        <v>0</v>
      </c>
      <c r="I6111" s="0" t="n">
        <f aca="false">1</f>
        <v>1</v>
      </c>
      <c r="J6111" s="0" t="n">
        <f aca="false">E6111</f>
        <v>1</v>
      </c>
      <c r="K6111" s="0" t="n">
        <f aca="false">F6111</f>
        <v>-0.25</v>
      </c>
      <c r="L6111" s="0" t="n">
        <f aca="false">G6111</f>
        <v>-0.25</v>
      </c>
      <c r="M6111" s="0" t="n">
        <f aca="false">H6111</f>
        <v>0</v>
      </c>
      <c r="N6111" s="0" t="n">
        <f aca="false">E6111*F6111</f>
        <v>-0.25</v>
      </c>
      <c r="O6111" s="0" t="n">
        <f aca="false">E6111*G6111</f>
        <v>-0.25</v>
      </c>
      <c r="P6111" s="0" t="n">
        <f aca="false">E6111*H6111</f>
        <v>0</v>
      </c>
      <c r="Q6111" s="0" t="n">
        <f aca="false">F6111*G6111</f>
        <v>0.0625</v>
      </c>
      <c r="R6111" s="0" t="n">
        <f aca="false">F6111*H6111</f>
        <v>-0</v>
      </c>
      <c r="S6111" s="0" t="n">
        <f aca="false">G6111*H6111</f>
        <v>-0</v>
      </c>
      <c r="T6111" s="0" t="n">
        <f aca="false">E6111*E6111</f>
        <v>1</v>
      </c>
      <c r="U6111" s="0" t="n">
        <f aca="false">F6111*F6111</f>
        <v>0.0625</v>
      </c>
      <c r="V6111" s="0" t="n">
        <f aca="false">G6111*G6111</f>
        <v>0.0625</v>
      </c>
      <c r="W6111" s="0" t="n">
        <f aca="false">H6111*H6111</f>
        <v>0</v>
      </c>
      <c r="X6111" s="0" t="n">
        <f aca="false">SUMPRODUCT(I6111:W6111,_XtX!$B$96:$P$96)</f>
        <v>46.2582739400585</v>
      </c>
      <c r="Y6111" s="0" t="n">
        <f aca="false">SUMPRODUCT(MMULT(I6111:W6111,_XtX!$B$78:$P$92),I6111:W6111)</f>
        <v>0.467417934484649</v>
      </c>
      <c r="Z6111" s="0" t="n">
        <f aca="false">04_回帰ANOVA!$K$19*04_回帰ANOVA!$K$14*SQRT(1+Y6111)</f>
        <v>1.57897518244497</v>
      </c>
      <c r="AA6111" s="0" t="n">
        <f aca="false">X6111-Z6111</f>
        <v>44.6792987576135</v>
      </c>
      <c r="AB6111" s="0" t="n">
        <f aca="false">X6111+Z6111</f>
        <v>47.8372491225035</v>
      </c>
      <c r="AC6111" s="54" t="b">
        <f aca="false">AND(E6111&gt;=01_因子設定!$L$5-0.000000001,E6111&lt;=01_因子設定!$M$5+0.000000001,F6111&gt;=01_因子設定!$L$6-0.000000001,F6111&lt;=01_因子設定!$M$6+0.000000001,G6111&gt;=01_因子設定!$L$7-0.000000001,G6111&lt;=01_因子設定!$M$7+0.000000001,H6111&gt;=01_因子設定!$L$8-0.000000001,H6111&lt;=01_因子設定!$M$8+0.000000001,IF(01_因子設定!$B$20="Box-Behnken",E6111^2+F6111^2+G6111^2+H6111^2&lt;=2+0.000000001,TRUE()))</f>
        <v>1</v>
      </c>
      <c r="AD6111" s="55" t="n">
        <f aca="false">IF(AC6111,IF(01_因子設定!$B$13="最大化",AA6111-01_因子設定!$B$14,IF(01_因子設定!$B$13="最小化",01_因子設定!$B$15-AB6111,MIN(AA6111-01_因子設定!$B$14,01_因子設定!$B$15-AB6111))),-1E+030)</f>
        <v>-1.82070124238647</v>
      </c>
      <c r="AE6111" s="55" t="n">
        <f aca="false">IF(AC6111,IF(01_因子設定!$B$13="最大化",X6111,IF(01_因子設定!$B$13="最小化",-X6111,-ABS(X6111-01_因子設定!$B$16))),-1E+030)</f>
        <v>46.2582739400585</v>
      </c>
      <c r="AF6111" s="55" t="n">
        <f aca="false">AD6111+ROW()*0.000000001</f>
        <v>-1.82069513138647</v>
      </c>
      <c r="AG6111" s="55" t="n">
        <f aca="false">AE6111+ROW()*0.000000001</f>
        <v>46.2582800510585</v>
      </c>
    </row>
    <row r="6112" customFormat="false" ht="15" hidden="false" customHeight="false" outlineLevel="0" collapsed="false">
      <c r="A6112" s="0" t="n">
        <v>8</v>
      </c>
      <c r="B6112" s="0" t="n">
        <v>3</v>
      </c>
      <c r="C6112" s="0" t="n">
        <v>3</v>
      </c>
      <c r="D6112" s="0" t="n">
        <v>5</v>
      </c>
      <c r="E6112" s="0" t="n">
        <f aca="false">-1+A6112*0.25</f>
        <v>1</v>
      </c>
      <c r="F6112" s="0" t="n">
        <f aca="false">-1+B6112*0.25</f>
        <v>-0.25</v>
      </c>
      <c r="G6112" s="0" t="n">
        <f aca="false">-1+C6112*0.25</f>
        <v>-0.25</v>
      </c>
      <c r="H6112" s="0" t="n">
        <f aca="false">-1+D6112*0.25</f>
        <v>0.25</v>
      </c>
      <c r="I6112" s="0" t="n">
        <f aca="false">1</f>
        <v>1</v>
      </c>
      <c r="J6112" s="0" t="n">
        <f aca="false">E6112</f>
        <v>1</v>
      </c>
      <c r="K6112" s="0" t="n">
        <f aca="false">F6112</f>
        <v>-0.25</v>
      </c>
      <c r="L6112" s="0" t="n">
        <f aca="false">G6112</f>
        <v>-0.25</v>
      </c>
      <c r="M6112" s="0" t="n">
        <f aca="false">H6112</f>
        <v>0.25</v>
      </c>
      <c r="N6112" s="0" t="n">
        <f aca="false">E6112*F6112</f>
        <v>-0.25</v>
      </c>
      <c r="O6112" s="0" t="n">
        <f aca="false">E6112*G6112</f>
        <v>-0.25</v>
      </c>
      <c r="P6112" s="0" t="n">
        <f aca="false">E6112*H6112</f>
        <v>0.25</v>
      </c>
      <c r="Q6112" s="0" t="n">
        <f aca="false">F6112*G6112</f>
        <v>0.0625</v>
      </c>
      <c r="R6112" s="0" t="n">
        <f aca="false">F6112*H6112</f>
        <v>-0.0625</v>
      </c>
      <c r="S6112" s="0" t="n">
        <f aca="false">G6112*H6112</f>
        <v>-0.0625</v>
      </c>
      <c r="T6112" s="0" t="n">
        <f aca="false">E6112*E6112</f>
        <v>1</v>
      </c>
      <c r="U6112" s="0" t="n">
        <f aca="false">F6112*F6112</f>
        <v>0.0625</v>
      </c>
      <c r="V6112" s="0" t="n">
        <f aca="false">G6112*G6112</f>
        <v>0.0625</v>
      </c>
      <c r="W6112" s="0" t="n">
        <f aca="false">H6112*H6112</f>
        <v>0.0625</v>
      </c>
      <c r="X6112" s="0" t="n">
        <f aca="false">SUMPRODUCT(I6112:W6112,_XtX!$B$96:$P$96)</f>
        <v>46.3623218201755</v>
      </c>
      <c r="Y6112" s="0" t="n">
        <f aca="false">SUMPRODUCT(MMULT(I6112:W6112,_XtX!$B$78:$P$92),I6112:W6112)</f>
        <v>0.457466705500731</v>
      </c>
      <c r="Z6112" s="0" t="n">
        <f aca="false">04_回帰ANOVA!$K$19*04_回帰ANOVA!$K$14*SQRT(1+Y6112)</f>
        <v>1.57361220003999</v>
      </c>
      <c r="AA6112" s="0" t="n">
        <f aca="false">X6112-Z6112</f>
        <v>44.7887096201355</v>
      </c>
      <c r="AB6112" s="0" t="n">
        <f aca="false">X6112+Z6112</f>
        <v>47.9359340202155</v>
      </c>
      <c r="AC6112" s="54" t="b">
        <f aca="false">AND(E6112&gt;=01_因子設定!$L$5-0.000000001,E6112&lt;=01_因子設定!$M$5+0.000000001,F6112&gt;=01_因子設定!$L$6-0.000000001,F6112&lt;=01_因子設定!$M$6+0.000000001,G6112&gt;=01_因子設定!$L$7-0.000000001,G6112&lt;=01_因子設定!$M$7+0.000000001,H6112&gt;=01_因子設定!$L$8-0.000000001,H6112&lt;=01_因子設定!$M$8+0.000000001,IF(01_因子設定!$B$20="Box-Behnken",E6112^2+F6112^2+G6112^2+H6112^2&lt;=2+0.000000001,TRUE()))</f>
        <v>1</v>
      </c>
      <c r="AD6112" s="55" t="n">
        <f aca="false">IF(AC6112,IF(01_因子設定!$B$13="最大化",AA6112-01_因子設定!$B$14,IF(01_因子設定!$B$13="最小化",01_因子設定!$B$15-AB6112,MIN(AA6112-01_因子設定!$B$14,01_因子設定!$B$15-AB6112))),-1E+030)</f>
        <v>-1.71129037986453</v>
      </c>
      <c r="AE6112" s="55" t="n">
        <f aca="false">IF(AC6112,IF(01_因子設定!$B$13="最大化",X6112,IF(01_因子設定!$B$13="最小化",-X6112,-ABS(X6112-01_因子設定!$B$16))),-1E+030)</f>
        <v>46.3623218201755</v>
      </c>
      <c r="AF6112" s="55" t="n">
        <f aca="false">AD6112+ROW()*0.000000001</f>
        <v>-1.71128426786453</v>
      </c>
      <c r="AG6112" s="55" t="n">
        <f aca="false">AE6112+ROW()*0.000000001</f>
        <v>46.3623279321755</v>
      </c>
    </row>
    <row r="6113" customFormat="false" ht="15" hidden="false" customHeight="false" outlineLevel="0" collapsed="false">
      <c r="A6113" s="0" t="n">
        <v>8</v>
      </c>
      <c r="B6113" s="0" t="n">
        <v>3</v>
      </c>
      <c r="C6113" s="0" t="n">
        <v>3</v>
      </c>
      <c r="D6113" s="0" t="n">
        <v>6</v>
      </c>
      <c r="E6113" s="0" t="n">
        <f aca="false">-1+A6113*0.25</f>
        <v>1</v>
      </c>
      <c r="F6113" s="0" t="n">
        <f aca="false">-1+B6113*0.25</f>
        <v>-0.25</v>
      </c>
      <c r="G6113" s="0" t="n">
        <f aca="false">-1+C6113*0.25</f>
        <v>-0.25</v>
      </c>
      <c r="H6113" s="0" t="n">
        <f aca="false">-1+D6113*0.25</f>
        <v>0.5</v>
      </c>
      <c r="I6113" s="0" t="n">
        <f aca="false">1</f>
        <v>1</v>
      </c>
      <c r="J6113" s="0" t="n">
        <f aca="false">E6113</f>
        <v>1</v>
      </c>
      <c r="K6113" s="0" t="n">
        <f aca="false">F6113</f>
        <v>-0.25</v>
      </c>
      <c r="L6113" s="0" t="n">
        <f aca="false">G6113</f>
        <v>-0.25</v>
      </c>
      <c r="M6113" s="0" t="n">
        <f aca="false">H6113</f>
        <v>0.5</v>
      </c>
      <c r="N6113" s="0" t="n">
        <f aca="false">E6113*F6113</f>
        <v>-0.25</v>
      </c>
      <c r="O6113" s="0" t="n">
        <f aca="false">E6113*G6113</f>
        <v>-0.25</v>
      </c>
      <c r="P6113" s="0" t="n">
        <f aca="false">E6113*H6113</f>
        <v>0.5</v>
      </c>
      <c r="Q6113" s="0" t="n">
        <f aca="false">F6113*G6113</f>
        <v>0.0625</v>
      </c>
      <c r="R6113" s="0" t="n">
        <f aca="false">F6113*H6113</f>
        <v>-0.125</v>
      </c>
      <c r="S6113" s="0" t="n">
        <f aca="false">G6113*H6113</f>
        <v>-0.125</v>
      </c>
      <c r="T6113" s="0" t="n">
        <f aca="false">E6113*E6113</f>
        <v>1</v>
      </c>
      <c r="U6113" s="0" t="n">
        <f aca="false">F6113*F6113</f>
        <v>0.0625</v>
      </c>
      <c r="V6113" s="0" t="n">
        <f aca="false">G6113*G6113</f>
        <v>0.0625</v>
      </c>
      <c r="W6113" s="0" t="n">
        <f aca="false">H6113*H6113</f>
        <v>0.25</v>
      </c>
      <c r="X6113" s="0" t="n">
        <f aca="false">SUMPRODUCT(I6113:W6113,_XtX!$B$96:$P$96)</f>
        <v>46.4185626827486</v>
      </c>
      <c r="Y6113" s="0" t="n">
        <f aca="false">SUMPRODUCT(MMULT(I6113:W6113,_XtX!$B$78:$P$92),I6113:W6113)</f>
        <v>0.445705123812135</v>
      </c>
      <c r="Z6113" s="0" t="n">
        <f aca="false">04_回帰ANOVA!$K$19*04_回帰ANOVA!$K$14*SQRT(1+Y6113)</f>
        <v>1.56724990734749</v>
      </c>
      <c r="AA6113" s="0" t="n">
        <f aca="false">X6113-Z6113</f>
        <v>44.8513127754011</v>
      </c>
      <c r="AB6113" s="0" t="n">
        <f aca="false">X6113+Z6113</f>
        <v>47.9858125900961</v>
      </c>
      <c r="AC6113" s="54" t="b">
        <f aca="false">AND(E6113&gt;=01_因子設定!$L$5-0.000000001,E6113&lt;=01_因子設定!$M$5+0.000000001,F6113&gt;=01_因子設定!$L$6-0.000000001,F6113&lt;=01_因子設定!$M$6+0.000000001,G6113&gt;=01_因子設定!$L$7-0.000000001,G6113&lt;=01_因子設定!$M$7+0.000000001,H6113&gt;=01_因子設定!$L$8-0.000000001,H6113&lt;=01_因子設定!$M$8+0.000000001,IF(01_因子設定!$B$20="Box-Behnken",E6113^2+F6113^2+G6113^2+H6113^2&lt;=2+0.000000001,TRUE()))</f>
        <v>1</v>
      </c>
      <c r="AD6113" s="55" t="n">
        <f aca="false">IF(AC6113,IF(01_因子設定!$B$13="最大化",AA6113-01_因子設定!$B$14,IF(01_因子設定!$B$13="最小化",01_因子設定!$B$15-AB6113,MIN(AA6113-01_因子設定!$B$14,01_因子設定!$B$15-AB6113))),-1E+030)</f>
        <v>-1.64868722459892</v>
      </c>
      <c r="AE6113" s="55" t="n">
        <f aca="false">IF(AC6113,IF(01_因子設定!$B$13="最大化",X6113,IF(01_因子設定!$B$13="最小化",-X6113,-ABS(X6113-01_因子設定!$B$16))),-1E+030)</f>
        <v>46.4185626827486</v>
      </c>
      <c r="AF6113" s="55" t="n">
        <f aca="false">AD6113+ROW()*0.000000001</f>
        <v>-1.64868111159892</v>
      </c>
      <c r="AG6113" s="55" t="n">
        <f aca="false">AE6113+ROW()*0.000000001</f>
        <v>46.4185687957486</v>
      </c>
    </row>
    <row r="6114" customFormat="false" ht="15" hidden="false" customHeight="false" outlineLevel="0" collapsed="false">
      <c r="A6114" s="0" t="n">
        <v>8</v>
      </c>
      <c r="B6114" s="0" t="n">
        <v>3</v>
      </c>
      <c r="C6114" s="0" t="n">
        <v>3</v>
      </c>
      <c r="D6114" s="0" t="n">
        <v>7</v>
      </c>
      <c r="E6114" s="0" t="n">
        <f aca="false">-1+A6114*0.25</f>
        <v>1</v>
      </c>
      <c r="F6114" s="0" t="n">
        <f aca="false">-1+B6114*0.25</f>
        <v>-0.25</v>
      </c>
      <c r="G6114" s="0" t="n">
        <f aca="false">-1+C6114*0.25</f>
        <v>-0.25</v>
      </c>
      <c r="H6114" s="0" t="n">
        <f aca="false">-1+D6114*0.25</f>
        <v>0.75</v>
      </c>
      <c r="I6114" s="0" t="n">
        <f aca="false">1</f>
        <v>1</v>
      </c>
      <c r="J6114" s="0" t="n">
        <f aca="false">E6114</f>
        <v>1</v>
      </c>
      <c r="K6114" s="0" t="n">
        <f aca="false">F6114</f>
        <v>-0.25</v>
      </c>
      <c r="L6114" s="0" t="n">
        <f aca="false">G6114</f>
        <v>-0.25</v>
      </c>
      <c r="M6114" s="0" t="n">
        <f aca="false">H6114</f>
        <v>0.75</v>
      </c>
      <c r="N6114" s="0" t="n">
        <f aca="false">E6114*F6114</f>
        <v>-0.25</v>
      </c>
      <c r="O6114" s="0" t="n">
        <f aca="false">E6114*G6114</f>
        <v>-0.25</v>
      </c>
      <c r="P6114" s="0" t="n">
        <f aca="false">E6114*H6114</f>
        <v>0.75</v>
      </c>
      <c r="Q6114" s="0" t="n">
        <f aca="false">F6114*G6114</f>
        <v>0.0625</v>
      </c>
      <c r="R6114" s="0" t="n">
        <f aca="false">F6114*H6114</f>
        <v>-0.1875</v>
      </c>
      <c r="S6114" s="0" t="n">
        <f aca="false">G6114*H6114</f>
        <v>-0.1875</v>
      </c>
      <c r="T6114" s="0" t="n">
        <f aca="false">E6114*E6114</f>
        <v>1</v>
      </c>
      <c r="U6114" s="0" t="n">
        <f aca="false">F6114*F6114</f>
        <v>0.0625</v>
      </c>
      <c r="V6114" s="0" t="n">
        <f aca="false">G6114*G6114</f>
        <v>0.0625</v>
      </c>
      <c r="W6114" s="0" t="n">
        <f aca="false">H6114*H6114</f>
        <v>0.5625</v>
      </c>
      <c r="X6114" s="0" t="n">
        <f aca="false">SUMPRODUCT(I6114:W6114,_XtX!$B$96:$P$96)</f>
        <v>46.4269965277778</v>
      </c>
      <c r="Y6114" s="0" t="n">
        <f aca="false">SUMPRODUCT(MMULT(I6114:W6114,_XtX!$B$78:$P$92),I6114:W6114)</f>
        <v>0.486409505208334</v>
      </c>
      <c r="Z6114" s="0" t="n">
        <f aca="false">04_回帰ANOVA!$K$19*04_回帰ANOVA!$K$14*SQRT(1+Y6114)</f>
        <v>1.58916001665498</v>
      </c>
      <c r="AA6114" s="0" t="n">
        <f aca="false">X6114-Z6114</f>
        <v>44.8378365111228</v>
      </c>
      <c r="AB6114" s="0" t="n">
        <f aca="false">X6114+Z6114</f>
        <v>48.0161565444328</v>
      </c>
      <c r="AC6114" s="54" t="b">
        <f aca="false">AND(E6114&gt;=01_因子設定!$L$5-0.000000001,E6114&lt;=01_因子設定!$M$5+0.000000001,F6114&gt;=01_因子設定!$L$6-0.000000001,F6114&lt;=01_因子設定!$M$6+0.000000001,G6114&gt;=01_因子設定!$L$7-0.000000001,G6114&lt;=01_因子設定!$M$7+0.000000001,H6114&gt;=01_因子設定!$L$8-0.000000001,H6114&lt;=01_因子設定!$M$8+0.000000001,IF(01_因子設定!$B$20="Box-Behnken",E6114^2+F6114^2+G6114^2+H6114^2&lt;=2+0.000000001,TRUE()))</f>
        <v>1</v>
      </c>
      <c r="AD6114" s="55" t="n">
        <f aca="false">IF(AC6114,IF(01_因子設定!$B$13="最大化",AA6114-01_因子設定!$B$14,IF(01_因子設定!$B$13="最小化",01_因子設定!$B$15-AB6114,MIN(AA6114-01_因子設定!$B$14,01_因子設定!$B$15-AB6114))),-1E+030)</f>
        <v>-1.66216348887716</v>
      </c>
      <c r="AE6114" s="55" t="n">
        <f aca="false">IF(AC6114,IF(01_因子設定!$B$13="最大化",X6114,IF(01_因子設定!$B$13="最小化",-X6114,-ABS(X6114-01_因子設定!$B$16))),-1E+030)</f>
        <v>46.4269965277778</v>
      </c>
      <c r="AF6114" s="55" t="n">
        <f aca="false">AD6114+ROW()*0.000000001</f>
        <v>-1.66215737487716</v>
      </c>
      <c r="AG6114" s="55" t="n">
        <f aca="false">AE6114+ROW()*0.000000001</f>
        <v>46.4270026417778</v>
      </c>
    </row>
    <row r="6115" customFormat="false" ht="15" hidden="false" customHeight="false" outlineLevel="0" collapsed="false">
      <c r="A6115" s="0" t="n">
        <v>8</v>
      </c>
      <c r="B6115" s="0" t="n">
        <v>3</v>
      </c>
      <c r="C6115" s="0" t="n">
        <v>3</v>
      </c>
      <c r="D6115" s="0" t="n">
        <v>8</v>
      </c>
      <c r="E6115" s="0" t="n">
        <f aca="false">-1+A6115*0.25</f>
        <v>1</v>
      </c>
      <c r="F6115" s="0" t="n">
        <f aca="false">-1+B6115*0.25</f>
        <v>-0.25</v>
      </c>
      <c r="G6115" s="0" t="n">
        <f aca="false">-1+C6115*0.25</f>
        <v>-0.25</v>
      </c>
      <c r="H6115" s="0" t="n">
        <f aca="false">-1+D6115*0.25</f>
        <v>1</v>
      </c>
      <c r="I6115" s="0" t="n">
        <f aca="false">1</f>
        <v>1</v>
      </c>
      <c r="J6115" s="0" t="n">
        <f aca="false">E6115</f>
        <v>1</v>
      </c>
      <c r="K6115" s="0" t="n">
        <f aca="false">F6115</f>
        <v>-0.25</v>
      </c>
      <c r="L6115" s="0" t="n">
        <f aca="false">G6115</f>
        <v>-0.25</v>
      </c>
      <c r="M6115" s="0" t="n">
        <f aca="false">H6115</f>
        <v>1</v>
      </c>
      <c r="N6115" s="0" t="n">
        <f aca="false">E6115*F6115</f>
        <v>-0.25</v>
      </c>
      <c r="O6115" s="0" t="n">
        <f aca="false">E6115*G6115</f>
        <v>-0.25</v>
      </c>
      <c r="P6115" s="0" t="n">
        <f aca="false">E6115*H6115</f>
        <v>1</v>
      </c>
      <c r="Q6115" s="0" t="n">
        <f aca="false">F6115*G6115</f>
        <v>0.0625</v>
      </c>
      <c r="R6115" s="0" t="n">
        <f aca="false">F6115*H6115</f>
        <v>-0.25</v>
      </c>
      <c r="S6115" s="0" t="n">
        <f aca="false">G6115*H6115</f>
        <v>-0.25</v>
      </c>
      <c r="T6115" s="0" t="n">
        <f aca="false">E6115*E6115</f>
        <v>1</v>
      </c>
      <c r="U6115" s="0" t="n">
        <f aca="false">F6115*F6115</f>
        <v>0.0625</v>
      </c>
      <c r="V6115" s="0" t="n">
        <f aca="false">G6115*G6115</f>
        <v>0.0625</v>
      </c>
      <c r="W6115" s="0" t="n">
        <f aca="false">H6115*H6115</f>
        <v>1</v>
      </c>
      <c r="X6115" s="0" t="n">
        <f aca="false">SUMPRODUCT(I6115:W6115,_XtX!$B$96:$P$96)</f>
        <v>46.3876233552632</v>
      </c>
      <c r="Y6115" s="0" t="n">
        <f aca="false">SUMPRODUCT(MMULT(I6115:W6115,_XtX!$B$78:$P$92),I6115:W6115)</f>
        <v>0.670040376005117</v>
      </c>
      <c r="Z6115" s="0" t="n">
        <f aca="false">04_回帰ANOVA!$K$19*04_回帰ANOVA!$K$14*SQRT(1+Y6115)</f>
        <v>1.68446456039992</v>
      </c>
      <c r="AA6115" s="0" t="n">
        <f aca="false">X6115-Z6115</f>
        <v>44.7031587948633</v>
      </c>
      <c r="AB6115" s="0" t="n">
        <f aca="false">X6115+Z6115</f>
        <v>48.0720879156631</v>
      </c>
      <c r="AC6115" s="54" t="b">
        <f aca="false">AND(E6115&gt;=01_因子設定!$L$5-0.000000001,E6115&lt;=01_因子設定!$M$5+0.000000001,F6115&gt;=01_因子設定!$L$6-0.000000001,F6115&lt;=01_因子設定!$M$6+0.000000001,G6115&gt;=01_因子設定!$L$7-0.000000001,G6115&lt;=01_因子設定!$M$7+0.000000001,H6115&gt;=01_因子設定!$L$8-0.000000001,H6115&lt;=01_因子設定!$M$8+0.000000001,IF(01_因子設定!$B$20="Box-Behnken",E6115^2+F6115^2+G6115^2+H6115^2&lt;=2+0.000000001,TRUE()))</f>
        <v>1</v>
      </c>
      <c r="AD6115" s="55" t="n">
        <f aca="false">IF(AC6115,IF(01_因子設定!$B$13="最大化",AA6115-01_因子設定!$B$14,IF(01_因子設定!$B$13="最小化",01_因子設定!$B$15-AB6115,MIN(AA6115-01_因子設定!$B$14,01_因子設定!$B$15-AB6115))),-1E+030)</f>
        <v>-1.7968412051367</v>
      </c>
      <c r="AE6115" s="55" t="n">
        <f aca="false">IF(AC6115,IF(01_因子設定!$B$13="最大化",X6115,IF(01_因子設定!$B$13="最小化",-X6115,-ABS(X6115-01_因子設定!$B$16))),-1E+030)</f>
        <v>46.3876233552632</v>
      </c>
      <c r="AF6115" s="55" t="n">
        <f aca="false">AD6115+ROW()*0.000000001</f>
        <v>-1.7968350901367</v>
      </c>
      <c r="AG6115" s="55" t="n">
        <f aca="false">AE6115+ROW()*0.000000001</f>
        <v>46.3876294702632</v>
      </c>
    </row>
    <row r="6116" customFormat="false" ht="15" hidden="false" customHeight="false" outlineLevel="0" collapsed="false">
      <c r="A6116" s="0" t="n">
        <v>8</v>
      </c>
      <c r="B6116" s="0" t="n">
        <v>3</v>
      </c>
      <c r="C6116" s="0" t="n">
        <v>4</v>
      </c>
      <c r="D6116" s="0" t="n">
        <v>0</v>
      </c>
      <c r="E6116" s="0" t="n">
        <f aca="false">-1+A6116*0.25</f>
        <v>1</v>
      </c>
      <c r="F6116" s="0" t="n">
        <f aca="false">-1+B6116*0.25</f>
        <v>-0.25</v>
      </c>
      <c r="G6116" s="0" t="n">
        <f aca="false">-1+C6116*0.25</f>
        <v>0</v>
      </c>
      <c r="H6116" s="0" t="n">
        <f aca="false">-1+D6116*0.25</f>
        <v>-1</v>
      </c>
      <c r="I6116" s="0" t="n">
        <f aca="false">1</f>
        <v>1</v>
      </c>
      <c r="J6116" s="0" t="n">
        <f aca="false">E6116</f>
        <v>1</v>
      </c>
      <c r="K6116" s="0" t="n">
        <f aca="false">F6116</f>
        <v>-0.25</v>
      </c>
      <c r="L6116" s="0" t="n">
        <f aca="false">G6116</f>
        <v>0</v>
      </c>
      <c r="M6116" s="0" t="n">
        <f aca="false">H6116</f>
        <v>-1</v>
      </c>
      <c r="N6116" s="0" t="n">
        <f aca="false">E6116*F6116</f>
        <v>-0.25</v>
      </c>
      <c r="O6116" s="0" t="n">
        <f aca="false">E6116*G6116</f>
        <v>0</v>
      </c>
      <c r="P6116" s="0" t="n">
        <f aca="false">E6116*H6116</f>
        <v>-1</v>
      </c>
      <c r="Q6116" s="0" t="n">
        <f aca="false">F6116*G6116</f>
        <v>-0</v>
      </c>
      <c r="R6116" s="0" t="n">
        <f aca="false">F6116*H6116</f>
        <v>0.25</v>
      </c>
      <c r="S6116" s="0" t="n">
        <f aca="false">G6116*H6116</f>
        <v>-0</v>
      </c>
      <c r="T6116" s="0" t="n">
        <f aca="false">E6116*E6116</f>
        <v>1</v>
      </c>
      <c r="U6116" s="0" t="n">
        <f aca="false">F6116*F6116</f>
        <v>0.0625</v>
      </c>
      <c r="V6116" s="0" t="n">
        <f aca="false">G6116*G6116</f>
        <v>0</v>
      </c>
      <c r="W6116" s="0" t="n">
        <f aca="false">H6116*H6116</f>
        <v>1</v>
      </c>
      <c r="X6116" s="0" t="n">
        <f aca="false">SUMPRODUCT(I6116:W6116,_XtX!$B$96:$P$96)</f>
        <v>45.3985928362574</v>
      </c>
      <c r="Y6116" s="0" t="n">
        <f aca="false">SUMPRODUCT(MMULT(I6116:W6116,_XtX!$B$78:$P$92),I6116:W6116)</f>
        <v>0.689692982456141</v>
      </c>
      <c r="Z6116" s="0" t="n">
        <f aca="false">04_回帰ANOVA!$K$19*04_回帰ANOVA!$K$14*SQRT(1+Y6116)</f>
        <v>1.69434674594998</v>
      </c>
      <c r="AA6116" s="0" t="n">
        <f aca="false">X6116-Z6116</f>
        <v>43.7042460903074</v>
      </c>
      <c r="AB6116" s="0" t="n">
        <f aca="false">X6116+Z6116</f>
        <v>47.0929395822074</v>
      </c>
      <c r="AC6116" s="54" t="b">
        <f aca="false">AND(E6116&gt;=01_因子設定!$L$5-0.000000001,E6116&lt;=01_因子設定!$M$5+0.000000001,F6116&gt;=01_因子設定!$L$6-0.000000001,F6116&lt;=01_因子設定!$M$6+0.000000001,G6116&gt;=01_因子設定!$L$7-0.000000001,G6116&lt;=01_因子設定!$M$7+0.000000001,H6116&gt;=01_因子設定!$L$8-0.000000001,H6116&lt;=01_因子設定!$M$8+0.000000001,IF(01_因子設定!$B$20="Box-Behnken",E6116^2+F6116^2+G6116^2+H6116^2&lt;=2+0.000000001,TRUE()))</f>
        <v>1</v>
      </c>
      <c r="AD6116" s="55" t="n">
        <f aca="false">IF(AC6116,IF(01_因子設定!$B$13="最大化",AA6116-01_因子設定!$B$14,IF(01_因子設定!$B$13="最小化",01_因子設定!$B$15-AB6116,MIN(AA6116-01_因子設定!$B$14,01_因子設定!$B$15-AB6116))),-1E+030)</f>
        <v>-2.79575390969261</v>
      </c>
      <c r="AE6116" s="55" t="n">
        <f aca="false">IF(AC6116,IF(01_因子設定!$B$13="最大化",X6116,IF(01_因子設定!$B$13="最小化",-X6116,-ABS(X6116-01_因子設定!$B$16))),-1E+030)</f>
        <v>45.3985928362574</v>
      </c>
      <c r="AF6116" s="55" t="n">
        <f aca="false">AD6116+ROW()*0.000000001</f>
        <v>-2.79574779369261</v>
      </c>
      <c r="AG6116" s="55" t="n">
        <f aca="false">AE6116+ROW()*0.000000001</f>
        <v>45.3985989522574</v>
      </c>
    </row>
    <row r="6117" customFormat="false" ht="15" hidden="false" customHeight="false" outlineLevel="0" collapsed="false">
      <c r="A6117" s="0" t="n">
        <v>8</v>
      </c>
      <c r="B6117" s="0" t="n">
        <v>3</v>
      </c>
      <c r="C6117" s="0" t="n">
        <v>4</v>
      </c>
      <c r="D6117" s="0" t="n">
        <v>1</v>
      </c>
      <c r="E6117" s="0" t="n">
        <f aca="false">-1+A6117*0.25</f>
        <v>1</v>
      </c>
      <c r="F6117" s="0" t="n">
        <f aca="false">-1+B6117*0.25</f>
        <v>-0.25</v>
      </c>
      <c r="G6117" s="0" t="n">
        <f aca="false">-1+C6117*0.25</f>
        <v>0</v>
      </c>
      <c r="H6117" s="0" t="n">
        <f aca="false">-1+D6117*0.25</f>
        <v>-0.75</v>
      </c>
      <c r="I6117" s="0" t="n">
        <f aca="false">1</f>
        <v>1</v>
      </c>
      <c r="J6117" s="0" t="n">
        <f aca="false">E6117</f>
        <v>1</v>
      </c>
      <c r="K6117" s="0" t="n">
        <f aca="false">F6117</f>
        <v>-0.25</v>
      </c>
      <c r="L6117" s="0" t="n">
        <f aca="false">G6117</f>
        <v>0</v>
      </c>
      <c r="M6117" s="0" t="n">
        <f aca="false">H6117</f>
        <v>-0.75</v>
      </c>
      <c r="N6117" s="0" t="n">
        <f aca="false">E6117*F6117</f>
        <v>-0.25</v>
      </c>
      <c r="O6117" s="0" t="n">
        <f aca="false">E6117*G6117</f>
        <v>0</v>
      </c>
      <c r="P6117" s="0" t="n">
        <f aca="false">E6117*H6117</f>
        <v>-0.75</v>
      </c>
      <c r="Q6117" s="0" t="n">
        <f aca="false">F6117*G6117</f>
        <v>-0</v>
      </c>
      <c r="R6117" s="0" t="n">
        <f aca="false">F6117*H6117</f>
        <v>0.1875</v>
      </c>
      <c r="S6117" s="0" t="n">
        <f aca="false">G6117*H6117</f>
        <v>-0</v>
      </c>
      <c r="T6117" s="0" t="n">
        <f aca="false">E6117*E6117</f>
        <v>1</v>
      </c>
      <c r="U6117" s="0" t="n">
        <f aca="false">F6117*F6117</f>
        <v>0.0625</v>
      </c>
      <c r="V6117" s="0" t="n">
        <f aca="false">G6117*G6117</f>
        <v>0</v>
      </c>
      <c r="W6117" s="0" t="n">
        <f aca="false">H6117*H6117</f>
        <v>0.5625</v>
      </c>
      <c r="X6117" s="0" t="n">
        <f aca="false">SUMPRODUCT(I6117:W6117,_XtX!$B$96:$P$96)</f>
        <v>45.7118375365498</v>
      </c>
      <c r="Y6117" s="0" t="n">
        <f aca="false">SUMPRODUCT(MMULT(I6117:W6117,_XtX!$B$78:$P$92),I6117:W6117)</f>
        <v>0.501534802174708</v>
      </c>
      <c r="Z6117" s="0" t="n">
        <f aca="false">04_回帰ANOVA!$K$19*04_回帰ANOVA!$K$14*SQRT(1+Y6117)</f>
        <v>1.59722498091333</v>
      </c>
      <c r="AA6117" s="0" t="n">
        <f aca="false">X6117-Z6117</f>
        <v>44.1146125556364</v>
      </c>
      <c r="AB6117" s="0" t="n">
        <f aca="false">X6117+Z6117</f>
        <v>47.3090625174631</v>
      </c>
      <c r="AC6117" s="54" t="b">
        <f aca="false">AND(E6117&gt;=01_因子設定!$L$5-0.000000001,E6117&lt;=01_因子設定!$M$5+0.000000001,F6117&gt;=01_因子設定!$L$6-0.000000001,F6117&lt;=01_因子設定!$M$6+0.000000001,G6117&gt;=01_因子設定!$L$7-0.000000001,G6117&lt;=01_因子設定!$M$7+0.000000001,H6117&gt;=01_因子設定!$L$8-0.000000001,H6117&lt;=01_因子設定!$M$8+0.000000001,IF(01_因子設定!$B$20="Box-Behnken",E6117^2+F6117^2+G6117^2+H6117^2&lt;=2+0.000000001,TRUE()))</f>
        <v>1</v>
      </c>
      <c r="AD6117" s="55" t="n">
        <f aca="false">IF(AC6117,IF(01_因子設定!$B$13="最大化",AA6117-01_因子設定!$B$14,IF(01_因子設定!$B$13="最小化",01_因子設定!$B$15-AB6117,MIN(AA6117-01_因子設定!$B$14,01_因子設定!$B$15-AB6117))),-1E+030)</f>
        <v>-2.38538744436358</v>
      </c>
      <c r="AE6117" s="55" t="n">
        <f aca="false">IF(AC6117,IF(01_因子設定!$B$13="最大化",X6117,IF(01_因子設定!$B$13="最小化",-X6117,-ABS(X6117-01_因子設定!$B$16))),-1E+030)</f>
        <v>45.7118375365498</v>
      </c>
      <c r="AF6117" s="55" t="n">
        <f aca="false">AD6117+ROW()*0.000000001</f>
        <v>-2.38538132736358</v>
      </c>
      <c r="AG6117" s="55" t="n">
        <f aca="false">AE6117+ROW()*0.000000001</f>
        <v>45.7118436535498</v>
      </c>
    </row>
    <row r="6118" customFormat="false" ht="15" hidden="false" customHeight="false" outlineLevel="0" collapsed="false">
      <c r="A6118" s="0" t="n">
        <v>8</v>
      </c>
      <c r="B6118" s="0" t="n">
        <v>3</v>
      </c>
      <c r="C6118" s="0" t="n">
        <v>4</v>
      </c>
      <c r="D6118" s="0" t="n">
        <v>2</v>
      </c>
      <c r="E6118" s="0" t="n">
        <f aca="false">-1+A6118*0.25</f>
        <v>1</v>
      </c>
      <c r="F6118" s="0" t="n">
        <f aca="false">-1+B6118*0.25</f>
        <v>-0.25</v>
      </c>
      <c r="G6118" s="0" t="n">
        <f aca="false">-1+C6118*0.25</f>
        <v>0</v>
      </c>
      <c r="H6118" s="0" t="n">
        <f aca="false">-1+D6118*0.25</f>
        <v>-0.5</v>
      </c>
      <c r="I6118" s="0" t="n">
        <f aca="false">1</f>
        <v>1</v>
      </c>
      <c r="J6118" s="0" t="n">
        <f aca="false">E6118</f>
        <v>1</v>
      </c>
      <c r="K6118" s="0" t="n">
        <f aca="false">F6118</f>
        <v>-0.25</v>
      </c>
      <c r="L6118" s="0" t="n">
        <f aca="false">G6118</f>
        <v>0</v>
      </c>
      <c r="M6118" s="0" t="n">
        <f aca="false">H6118</f>
        <v>-0.5</v>
      </c>
      <c r="N6118" s="0" t="n">
        <f aca="false">E6118*F6118</f>
        <v>-0.25</v>
      </c>
      <c r="O6118" s="0" t="n">
        <f aca="false">E6118*G6118</f>
        <v>0</v>
      </c>
      <c r="P6118" s="0" t="n">
        <f aca="false">E6118*H6118</f>
        <v>-0.5</v>
      </c>
      <c r="Q6118" s="0" t="n">
        <f aca="false">F6118*G6118</f>
        <v>-0</v>
      </c>
      <c r="R6118" s="0" t="n">
        <f aca="false">F6118*H6118</f>
        <v>0.125</v>
      </c>
      <c r="S6118" s="0" t="n">
        <f aca="false">G6118*H6118</f>
        <v>-0</v>
      </c>
      <c r="T6118" s="0" t="n">
        <f aca="false">E6118*E6118</f>
        <v>1</v>
      </c>
      <c r="U6118" s="0" t="n">
        <f aca="false">F6118*F6118</f>
        <v>0.0625</v>
      </c>
      <c r="V6118" s="0" t="n">
        <f aca="false">G6118*G6118</f>
        <v>0</v>
      </c>
      <c r="W6118" s="0" t="n">
        <f aca="false">H6118*H6118</f>
        <v>0.25</v>
      </c>
      <c r="X6118" s="0" t="n">
        <f aca="false">SUMPRODUCT(I6118:W6118,_XtX!$B$96:$P$96)</f>
        <v>45.9772752192983</v>
      </c>
      <c r="Y6118" s="0" t="n">
        <f aca="false">SUMPRODUCT(MMULT(I6118:W6118,_XtX!$B$78:$P$92),I6118:W6118)</f>
        <v>0.457596628289474</v>
      </c>
      <c r="Z6118" s="0" t="n">
        <f aca="false">04_回帰ANOVA!$K$19*04_回帰ANOVA!$K$14*SQRT(1+Y6118)</f>
        <v>1.57368233664366</v>
      </c>
      <c r="AA6118" s="0" t="n">
        <f aca="false">X6118-Z6118</f>
        <v>44.4035928826546</v>
      </c>
      <c r="AB6118" s="0" t="n">
        <f aca="false">X6118+Z6118</f>
        <v>47.5509575559419</v>
      </c>
      <c r="AC6118" s="54" t="b">
        <f aca="false">AND(E6118&gt;=01_因子設定!$L$5-0.000000001,E6118&lt;=01_因子設定!$M$5+0.000000001,F6118&gt;=01_因子設定!$L$6-0.000000001,F6118&lt;=01_因子設定!$M$6+0.000000001,G6118&gt;=01_因子設定!$L$7-0.000000001,G6118&lt;=01_因子設定!$M$7+0.000000001,H6118&gt;=01_因子設定!$L$8-0.000000001,H6118&lt;=01_因子設定!$M$8+0.000000001,IF(01_因子設定!$B$20="Box-Behnken",E6118^2+F6118^2+G6118^2+H6118^2&lt;=2+0.000000001,TRUE()))</f>
        <v>1</v>
      </c>
      <c r="AD6118" s="55" t="n">
        <f aca="false">IF(AC6118,IF(01_因子設定!$B$13="最大化",AA6118-01_因子設定!$B$14,IF(01_因子設定!$B$13="最小化",01_因子設定!$B$15-AB6118,MIN(AA6118-01_因子設定!$B$14,01_因子設定!$B$15-AB6118))),-1E+030)</f>
        <v>-2.09640711734538</v>
      </c>
      <c r="AE6118" s="55" t="n">
        <f aca="false">IF(AC6118,IF(01_因子設定!$B$13="最大化",X6118,IF(01_因子設定!$B$13="最小化",-X6118,-ABS(X6118-01_因子設定!$B$16))),-1E+030)</f>
        <v>45.9772752192983</v>
      </c>
      <c r="AF6118" s="55" t="n">
        <f aca="false">AD6118+ROW()*0.000000001</f>
        <v>-2.09640099934538</v>
      </c>
      <c r="AG6118" s="55" t="n">
        <f aca="false">AE6118+ROW()*0.000000001</f>
        <v>45.9772813372983</v>
      </c>
    </row>
    <row r="6119" customFormat="false" ht="15" hidden="false" customHeight="false" outlineLevel="0" collapsed="false">
      <c r="A6119" s="0" t="n">
        <v>8</v>
      </c>
      <c r="B6119" s="0" t="n">
        <v>3</v>
      </c>
      <c r="C6119" s="0" t="n">
        <v>4</v>
      </c>
      <c r="D6119" s="0" t="n">
        <v>3</v>
      </c>
      <c r="E6119" s="0" t="n">
        <f aca="false">-1+A6119*0.25</f>
        <v>1</v>
      </c>
      <c r="F6119" s="0" t="n">
        <f aca="false">-1+B6119*0.25</f>
        <v>-0.25</v>
      </c>
      <c r="G6119" s="0" t="n">
        <f aca="false">-1+C6119*0.25</f>
        <v>0</v>
      </c>
      <c r="H6119" s="0" t="n">
        <f aca="false">-1+D6119*0.25</f>
        <v>-0.25</v>
      </c>
      <c r="I6119" s="0" t="n">
        <f aca="false">1</f>
        <v>1</v>
      </c>
      <c r="J6119" s="0" t="n">
        <f aca="false">E6119</f>
        <v>1</v>
      </c>
      <c r="K6119" s="0" t="n">
        <f aca="false">F6119</f>
        <v>-0.25</v>
      </c>
      <c r="L6119" s="0" t="n">
        <f aca="false">G6119</f>
        <v>0</v>
      </c>
      <c r="M6119" s="0" t="n">
        <f aca="false">H6119</f>
        <v>-0.25</v>
      </c>
      <c r="N6119" s="0" t="n">
        <f aca="false">E6119*F6119</f>
        <v>-0.25</v>
      </c>
      <c r="O6119" s="0" t="n">
        <f aca="false">E6119*G6119</f>
        <v>0</v>
      </c>
      <c r="P6119" s="0" t="n">
        <f aca="false">E6119*H6119</f>
        <v>-0.25</v>
      </c>
      <c r="Q6119" s="0" t="n">
        <f aca="false">F6119*G6119</f>
        <v>-0</v>
      </c>
      <c r="R6119" s="0" t="n">
        <f aca="false">F6119*H6119</f>
        <v>0.0625</v>
      </c>
      <c r="S6119" s="0" t="n">
        <f aca="false">G6119*H6119</f>
        <v>-0</v>
      </c>
      <c r="T6119" s="0" t="n">
        <f aca="false">E6119*E6119</f>
        <v>1</v>
      </c>
      <c r="U6119" s="0" t="n">
        <f aca="false">F6119*F6119</f>
        <v>0.0625</v>
      </c>
      <c r="V6119" s="0" t="n">
        <f aca="false">G6119*G6119</f>
        <v>0</v>
      </c>
      <c r="W6119" s="0" t="n">
        <f aca="false">H6119*H6119</f>
        <v>0.0625</v>
      </c>
      <c r="X6119" s="0" t="n">
        <f aca="false">SUMPRODUCT(I6119:W6119,_XtX!$B$96:$P$96)</f>
        <v>46.194905884503</v>
      </c>
      <c r="Y6119" s="0" t="n">
        <f aca="false">SUMPRODUCT(MMULT(I6119:W6119,_XtX!$B$78:$P$92),I6119:W6119)</f>
        <v>0.467417934484649</v>
      </c>
      <c r="Z6119" s="0" t="n">
        <f aca="false">04_回帰ANOVA!$K$19*04_回帰ANOVA!$K$14*SQRT(1+Y6119)</f>
        <v>1.57897518244497</v>
      </c>
      <c r="AA6119" s="0" t="n">
        <f aca="false">X6119-Z6119</f>
        <v>44.615930702058</v>
      </c>
      <c r="AB6119" s="0" t="n">
        <f aca="false">X6119+Z6119</f>
        <v>47.7738810669479</v>
      </c>
      <c r="AC6119" s="54" t="b">
        <f aca="false">AND(E6119&gt;=01_因子設定!$L$5-0.000000001,E6119&lt;=01_因子設定!$M$5+0.000000001,F6119&gt;=01_因子設定!$L$6-0.000000001,F6119&lt;=01_因子設定!$M$6+0.000000001,G6119&gt;=01_因子設定!$L$7-0.000000001,G6119&lt;=01_因子設定!$M$7+0.000000001,H6119&gt;=01_因子設定!$L$8-0.000000001,H6119&lt;=01_因子設定!$M$8+0.000000001,IF(01_因子設定!$B$20="Box-Behnken",E6119^2+F6119^2+G6119^2+H6119^2&lt;=2+0.000000001,TRUE()))</f>
        <v>1</v>
      </c>
      <c r="AD6119" s="55" t="n">
        <f aca="false">IF(AC6119,IF(01_因子設定!$B$13="最大化",AA6119-01_因子設定!$B$14,IF(01_因子設定!$B$13="最小化",01_因子設定!$B$15-AB6119,MIN(AA6119-01_因子設定!$B$14,01_因子設定!$B$15-AB6119))),-1E+030)</f>
        <v>-1.88406929794202</v>
      </c>
      <c r="AE6119" s="55" t="n">
        <f aca="false">IF(AC6119,IF(01_因子設定!$B$13="最大化",X6119,IF(01_因子設定!$B$13="最小化",-X6119,-ABS(X6119-01_因子設定!$B$16))),-1E+030)</f>
        <v>46.194905884503</v>
      </c>
      <c r="AF6119" s="55" t="n">
        <f aca="false">AD6119+ROW()*0.000000001</f>
        <v>-1.88406317894202</v>
      </c>
      <c r="AG6119" s="55" t="n">
        <f aca="false">AE6119+ROW()*0.000000001</f>
        <v>46.194912003503</v>
      </c>
    </row>
    <row r="6120" customFormat="false" ht="15" hidden="false" customHeight="false" outlineLevel="0" collapsed="false">
      <c r="A6120" s="0" t="n">
        <v>8</v>
      </c>
      <c r="B6120" s="0" t="n">
        <v>3</v>
      </c>
      <c r="C6120" s="0" t="n">
        <v>4</v>
      </c>
      <c r="D6120" s="0" t="n">
        <v>4</v>
      </c>
      <c r="E6120" s="0" t="n">
        <f aca="false">-1+A6120*0.25</f>
        <v>1</v>
      </c>
      <c r="F6120" s="0" t="n">
        <f aca="false">-1+B6120*0.25</f>
        <v>-0.25</v>
      </c>
      <c r="G6120" s="0" t="n">
        <f aca="false">-1+C6120*0.25</f>
        <v>0</v>
      </c>
      <c r="H6120" s="0" t="n">
        <f aca="false">-1+D6120*0.25</f>
        <v>0</v>
      </c>
      <c r="I6120" s="0" t="n">
        <f aca="false">1</f>
        <v>1</v>
      </c>
      <c r="J6120" s="0" t="n">
        <f aca="false">E6120</f>
        <v>1</v>
      </c>
      <c r="K6120" s="0" t="n">
        <f aca="false">F6120</f>
        <v>-0.25</v>
      </c>
      <c r="L6120" s="0" t="n">
        <f aca="false">G6120</f>
        <v>0</v>
      </c>
      <c r="M6120" s="0" t="n">
        <f aca="false">H6120</f>
        <v>0</v>
      </c>
      <c r="N6120" s="0" t="n">
        <f aca="false">E6120*F6120</f>
        <v>-0.25</v>
      </c>
      <c r="O6120" s="0" t="n">
        <f aca="false">E6120*G6120</f>
        <v>0</v>
      </c>
      <c r="P6120" s="0" t="n">
        <f aca="false">E6120*H6120</f>
        <v>0</v>
      </c>
      <c r="Q6120" s="0" t="n">
        <f aca="false">F6120*G6120</f>
        <v>-0</v>
      </c>
      <c r="R6120" s="0" t="n">
        <f aca="false">F6120*H6120</f>
        <v>-0</v>
      </c>
      <c r="S6120" s="0" t="n">
        <f aca="false">G6120*H6120</f>
        <v>0</v>
      </c>
      <c r="T6120" s="0" t="n">
        <f aca="false">E6120*E6120</f>
        <v>1</v>
      </c>
      <c r="U6120" s="0" t="n">
        <f aca="false">F6120*F6120</f>
        <v>0.0625</v>
      </c>
      <c r="V6120" s="0" t="n">
        <f aca="false">G6120*G6120</f>
        <v>0</v>
      </c>
      <c r="W6120" s="0" t="n">
        <f aca="false">H6120*H6120</f>
        <v>0</v>
      </c>
      <c r="X6120" s="0" t="n">
        <f aca="false">SUMPRODUCT(I6120:W6120,_XtX!$B$96:$P$96)</f>
        <v>46.3647295321638</v>
      </c>
      <c r="Y6120" s="0" t="n">
        <f aca="false">SUMPRODUCT(MMULT(I6120:W6120,_XtX!$B$78:$P$92),I6120:W6120)</f>
        <v>0.47672240497076</v>
      </c>
      <c r="Z6120" s="0" t="n">
        <f aca="false">04_回帰ANOVA!$K$19*04_回帰ANOVA!$K$14*SQRT(1+Y6120)</f>
        <v>1.58397318352695</v>
      </c>
      <c r="AA6120" s="0" t="n">
        <f aca="false">X6120-Z6120</f>
        <v>44.7807563486368</v>
      </c>
      <c r="AB6120" s="0" t="n">
        <f aca="false">X6120+Z6120</f>
        <v>47.9487027156907</v>
      </c>
      <c r="AC6120" s="54" t="b">
        <f aca="false">AND(E6120&gt;=01_因子設定!$L$5-0.000000001,E6120&lt;=01_因子設定!$M$5+0.000000001,F6120&gt;=01_因子設定!$L$6-0.000000001,F6120&lt;=01_因子設定!$M$6+0.000000001,G6120&gt;=01_因子設定!$L$7-0.000000001,G6120&lt;=01_因子設定!$M$7+0.000000001,H6120&gt;=01_因子設定!$L$8-0.000000001,H6120&lt;=01_因子設定!$M$8+0.000000001,IF(01_因子設定!$B$20="Box-Behnken",E6120^2+F6120^2+G6120^2+H6120^2&lt;=2+0.000000001,TRUE()))</f>
        <v>1</v>
      </c>
      <c r="AD6120" s="55" t="n">
        <f aca="false">IF(AC6120,IF(01_因子設定!$B$13="最大化",AA6120-01_因子設定!$B$14,IF(01_因子設定!$B$13="最小化",01_因子設定!$B$15-AB6120,MIN(AA6120-01_因子設定!$B$14,01_因子設定!$B$15-AB6120))),-1E+030)</f>
        <v>-1.71924365136318</v>
      </c>
      <c r="AE6120" s="55" t="n">
        <f aca="false">IF(AC6120,IF(01_因子設定!$B$13="最大化",X6120,IF(01_因子設定!$B$13="最小化",-X6120,-ABS(X6120-01_因子設定!$B$16))),-1E+030)</f>
        <v>46.3647295321638</v>
      </c>
      <c r="AF6120" s="55" t="n">
        <f aca="false">AD6120+ROW()*0.000000001</f>
        <v>-1.71923753136318</v>
      </c>
      <c r="AG6120" s="55" t="n">
        <f aca="false">AE6120+ROW()*0.000000001</f>
        <v>46.3647356521638</v>
      </c>
    </row>
    <row r="6121" customFormat="false" ht="15" hidden="false" customHeight="false" outlineLevel="0" collapsed="false">
      <c r="A6121" s="0" t="n">
        <v>8</v>
      </c>
      <c r="B6121" s="0" t="n">
        <v>3</v>
      </c>
      <c r="C6121" s="0" t="n">
        <v>4</v>
      </c>
      <c r="D6121" s="0" t="n">
        <v>5</v>
      </c>
      <c r="E6121" s="0" t="n">
        <f aca="false">-1+A6121*0.25</f>
        <v>1</v>
      </c>
      <c r="F6121" s="0" t="n">
        <f aca="false">-1+B6121*0.25</f>
        <v>-0.25</v>
      </c>
      <c r="G6121" s="0" t="n">
        <f aca="false">-1+C6121*0.25</f>
        <v>0</v>
      </c>
      <c r="H6121" s="0" t="n">
        <f aca="false">-1+D6121*0.25</f>
        <v>0.25</v>
      </c>
      <c r="I6121" s="0" t="n">
        <f aca="false">1</f>
        <v>1</v>
      </c>
      <c r="J6121" s="0" t="n">
        <f aca="false">E6121</f>
        <v>1</v>
      </c>
      <c r="K6121" s="0" t="n">
        <f aca="false">F6121</f>
        <v>-0.25</v>
      </c>
      <c r="L6121" s="0" t="n">
        <f aca="false">G6121</f>
        <v>0</v>
      </c>
      <c r="M6121" s="0" t="n">
        <f aca="false">H6121</f>
        <v>0.25</v>
      </c>
      <c r="N6121" s="0" t="n">
        <f aca="false">E6121*F6121</f>
        <v>-0.25</v>
      </c>
      <c r="O6121" s="0" t="n">
        <f aca="false">E6121*G6121</f>
        <v>0</v>
      </c>
      <c r="P6121" s="0" t="n">
        <f aca="false">E6121*H6121</f>
        <v>0.25</v>
      </c>
      <c r="Q6121" s="0" t="n">
        <f aca="false">F6121*G6121</f>
        <v>-0</v>
      </c>
      <c r="R6121" s="0" t="n">
        <f aca="false">F6121*H6121</f>
        <v>-0.0625</v>
      </c>
      <c r="S6121" s="0" t="n">
        <f aca="false">G6121*H6121</f>
        <v>0</v>
      </c>
      <c r="T6121" s="0" t="n">
        <f aca="false">E6121*E6121</f>
        <v>1</v>
      </c>
      <c r="U6121" s="0" t="n">
        <f aca="false">F6121*F6121</f>
        <v>0.0625</v>
      </c>
      <c r="V6121" s="0" t="n">
        <f aca="false">G6121*G6121</f>
        <v>0</v>
      </c>
      <c r="W6121" s="0" t="n">
        <f aca="false">H6121*H6121</f>
        <v>0.0625</v>
      </c>
      <c r="X6121" s="0" t="n">
        <f aca="false">SUMPRODUCT(I6121:W6121,_XtX!$B$96:$P$96)</f>
        <v>46.4867461622807</v>
      </c>
      <c r="Y6121" s="0" t="n">
        <f aca="false">SUMPRODUCT(MMULT(I6121:W6121,_XtX!$B$78:$P$92),I6121:W6121)</f>
        <v>0.467417934484649</v>
      </c>
      <c r="Z6121" s="0" t="n">
        <f aca="false">04_回帰ANOVA!$K$19*04_回帰ANOVA!$K$14*SQRT(1+Y6121)</f>
        <v>1.57897518244497</v>
      </c>
      <c r="AA6121" s="0" t="n">
        <f aca="false">X6121-Z6121</f>
        <v>44.9077709798358</v>
      </c>
      <c r="AB6121" s="0" t="n">
        <f aca="false">X6121+Z6121</f>
        <v>48.0657213447257</v>
      </c>
      <c r="AC6121" s="54" t="b">
        <f aca="false">AND(E6121&gt;=01_因子設定!$L$5-0.000000001,E6121&lt;=01_因子設定!$M$5+0.000000001,F6121&gt;=01_因子設定!$L$6-0.000000001,F6121&lt;=01_因子設定!$M$6+0.000000001,G6121&gt;=01_因子設定!$L$7-0.000000001,G6121&lt;=01_因子設定!$M$7+0.000000001,H6121&gt;=01_因子設定!$L$8-0.000000001,H6121&lt;=01_因子設定!$M$8+0.000000001,IF(01_因子設定!$B$20="Box-Behnken",E6121^2+F6121^2+G6121^2+H6121^2&lt;=2+0.000000001,TRUE()))</f>
        <v>1</v>
      </c>
      <c r="AD6121" s="55" t="n">
        <f aca="false">IF(AC6121,IF(01_因子設定!$B$13="最大化",AA6121-01_因子設定!$B$14,IF(01_因子設定!$B$13="最小化",01_因子設定!$B$15-AB6121,MIN(AA6121-01_因子設定!$B$14,01_因子設定!$B$15-AB6121))),-1E+030)</f>
        <v>-1.59222902016424</v>
      </c>
      <c r="AE6121" s="55" t="n">
        <f aca="false">IF(AC6121,IF(01_因子設定!$B$13="最大化",X6121,IF(01_因子設定!$B$13="最小化",-X6121,-ABS(X6121-01_因子設定!$B$16))),-1E+030)</f>
        <v>46.4867461622807</v>
      </c>
      <c r="AF6121" s="55" t="n">
        <f aca="false">AD6121+ROW()*0.000000001</f>
        <v>-1.59222289916424</v>
      </c>
      <c r="AG6121" s="55" t="n">
        <f aca="false">AE6121+ROW()*0.000000001</f>
        <v>46.4867522832807</v>
      </c>
    </row>
    <row r="6122" customFormat="false" ht="15" hidden="false" customHeight="false" outlineLevel="0" collapsed="false">
      <c r="A6122" s="0" t="n">
        <v>8</v>
      </c>
      <c r="B6122" s="0" t="n">
        <v>3</v>
      </c>
      <c r="C6122" s="0" t="n">
        <v>4</v>
      </c>
      <c r="D6122" s="0" t="n">
        <v>6</v>
      </c>
      <c r="E6122" s="0" t="n">
        <f aca="false">-1+A6122*0.25</f>
        <v>1</v>
      </c>
      <c r="F6122" s="0" t="n">
        <f aca="false">-1+B6122*0.25</f>
        <v>-0.25</v>
      </c>
      <c r="G6122" s="0" t="n">
        <f aca="false">-1+C6122*0.25</f>
        <v>0</v>
      </c>
      <c r="H6122" s="0" t="n">
        <f aca="false">-1+D6122*0.25</f>
        <v>0.5</v>
      </c>
      <c r="I6122" s="0" t="n">
        <f aca="false">1</f>
        <v>1</v>
      </c>
      <c r="J6122" s="0" t="n">
        <f aca="false">E6122</f>
        <v>1</v>
      </c>
      <c r="K6122" s="0" t="n">
        <f aca="false">F6122</f>
        <v>-0.25</v>
      </c>
      <c r="L6122" s="0" t="n">
        <f aca="false">G6122</f>
        <v>0</v>
      </c>
      <c r="M6122" s="0" t="n">
        <f aca="false">H6122</f>
        <v>0.5</v>
      </c>
      <c r="N6122" s="0" t="n">
        <f aca="false">E6122*F6122</f>
        <v>-0.25</v>
      </c>
      <c r="O6122" s="0" t="n">
        <f aca="false">E6122*G6122</f>
        <v>0</v>
      </c>
      <c r="P6122" s="0" t="n">
        <f aca="false">E6122*H6122</f>
        <v>0.5</v>
      </c>
      <c r="Q6122" s="0" t="n">
        <f aca="false">F6122*G6122</f>
        <v>-0</v>
      </c>
      <c r="R6122" s="0" t="n">
        <f aca="false">F6122*H6122</f>
        <v>-0.125</v>
      </c>
      <c r="S6122" s="0" t="n">
        <f aca="false">G6122*H6122</f>
        <v>0</v>
      </c>
      <c r="T6122" s="0" t="n">
        <f aca="false">E6122*E6122</f>
        <v>1</v>
      </c>
      <c r="U6122" s="0" t="n">
        <f aca="false">F6122*F6122</f>
        <v>0.0625</v>
      </c>
      <c r="V6122" s="0" t="n">
        <f aca="false">G6122*G6122</f>
        <v>0</v>
      </c>
      <c r="W6122" s="0" t="n">
        <f aca="false">H6122*H6122</f>
        <v>0.25</v>
      </c>
      <c r="X6122" s="0" t="n">
        <f aca="false">SUMPRODUCT(I6122:W6122,_XtX!$B$96:$P$96)</f>
        <v>46.5609557748538</v>
      </c>
      <c r="Y6122" s="0" t="n">
        <f aca="false">SUMPRODUCT(MMULT(I6122:W6122,_XtX!$B$78:$P$92),I6122:W6122)</f>
        <v>0.457596628289474</v>
      </c>
      <c r="Z6122" s="0" t="n">
        <f aca="false">04_回帰ANOVA!$K$19*04_回帰ANOVA!$K$14*SQRT(1+Y6122)</f>
        <v>1.57368233664366</v>
      </c>
      <c r="AA6122" s="0" t="n">
        <f aca="false">X6122-Z6122</f>
        <v>44.9872734382102</v>
      </c>
      <c r="AB6122" s="0" t="n">
        <f aca="false">X6122+Z6122</f>
        <v>48.1346381114975</v>
      </c>
      <c r="AC6122" s="54" t="b">
        <f aca="false">AND(E6122&gt;=01_因子設定!$L$5-0.000000001,E6122&lt;=01_因子設定!$M$5+0.000000001,F6122&gt;=01_因子設定!$L$6-0.000000001,F6122&lt;=01_因子設定!$M$6+0.000000001,G6122&gt;=01_因子設定!$L$7-0.000000001,G6122&lt;=01_因子設定!$M$7+0.000000001,H6122&gt;=01_因子設定!$L$8-0.000000001,H6122&lt;=01_因子設定!$M$8+0.000000001,IF(01_因子設定!$B$20="Box-Behnken",E6122^2+F6122^2+G6122^2+H6122^2&lt;=2+0.000000001,TRUE()))</f>
        <v>1</v>
      </c>
      <c r="AD6122" s="55" t="n">
        <f aca="false">IF(AC6122,IF(01_因子設定!$B$13="最大化",AA6122-01_因子設定!$B$14,IF(01_因子設定!$B$13="最小化",01_因子設定!$B$15-AB6122,MIN(AA6122-01_因子設定!$B$14,01_因子設定!$B$15-AB6122))),-1E+030)</f>
        <v>-1.51272656178983</v>
      </c>
      <c r="AE6122" s="55" t="n">
        <f aca="false">IF(AC6122,IF(01_因子設定!$B$13="最大化",X6122,IF(01_因子設定!$B$13="最小化",-X6122,-ABS(X6122-01_因子設定!$B$16))),-1E+030)</f>
        <v>46.5609557748538</v>
      </c>
      <c r="AF6122" s="55" t="n">
        <f aca="false">AD6122+ROW()*0.000000001</f>
        <v>-1.51272043978983</v>
      </c>
      <c r="AG6122" s="55" t="n">
        <f aca="false">AE6122+ROW()*0.000000001</f>
        <v>46.5609618968538</v>
      </c>
    </row>
    <row r="6123" customFormat="false" ht="15" hidden="false" customHeight="false" outlineLevel="0" collapsed="false">
      <c r="A6123" s="0" t="n">
        <v>8</v>
      </c>
      <c r="B6123" s="0" t="n">
        <v>3</v>
      </c>
      <c r="C6123" s="0" t="n">
        <v>4</v>
      </c>
      <c r="D6123" s="0" t="n">
        <v>7</v>
      </c>
      <c r="E6123" s="0" t="n">
        <f aca="false">-1+A6123*0.25</f>
        <v>1</v>
      </c>
      <c r="F6123" s="0" t="n">
        <f aca="false">-1+B6123*0.25</f>
        <v>-0.25</v>
      </c>
      <c r="G6123" s="0" t="n">
        <f aca="false">-1+C6123*0.25</f>
        <v>0</v>
      </c>
      <c r="H6123" s="0" t="n">
        <f aca="false">-1+D6123*0.25</f>
        <v>0.75</v>
      </c>
      <c r="I6123" s="0" t="n">
        <f aca="false">1</f>
        <v>1</v>
      </c>
      <c r="J6123" s="0" t="n">
        <f aca="false">E6123</f>
        <v>1</v>
      </c>
      <c r="K6123" s="0" t="n">
        <f aca="false">F6123</f>
        <v>-0.25</v>
      </c>
      <c r="L6123" s="0" t="n">
        <f aca="false">G6123</f>
        <v>0</v>
      </c>
      <c r="M6123" s="0" t="n">
        <f aca="false">H6123</f>
        <v>0.75</v>
      </c>
      <c r="N6123" s="0" t="n">
        <f aca="false">E6123*F6123</f>
        <v>-0.25</v>
      </c>
      <c r="O6123" s="0" t="n">
        <f aca="false">E6123*G6123</f>
        <v>0</v>
      </c>
      <c r="P6123" s="0" t="n">
        <f aca="false">E6123*H6123</f>
        <v>0.75</v>
      </c>
      <c r="Q6123" s="0" t="n">
        <f aca="false">F6123*G6123</f>
        <v>-0</v>
      </c>
      <c r="R6123" s="0" t="n">
        <f aca="false">F6123*H6123</f>
        <v>-0.1875</v>
      </c>
      <c r="S6123" s="0" t="n">
        <f aca="false">G6123*H6123</f>
        <v>0</v>
      </c>
      <c r="T6123" s="0" t="n">
        <f aca="false">E6123*E6123</f>
        <v>1</v>
      </c>
      <c r="U6123" s="0" t="n">
        <f aca="false">F6123*F6123</f>
        <v>0.0625</v>
      </c>
      <c r="V6123" s="0" t="n">
        <f aca="false">G6123*G6123</f>
        <v>0</v>
      </c>
      <c r="W6123" s="0" t="n">
        <f aca="false">H6123*H6123</f>
        <v>0.5625</v>
      </c>
      <c r="X6123" s="0" t="n">
        <f aca="false">SUMPRODUCT(I6123:W6123,_XtX!$B$96:$P$96)</f>
        <v>46.5873583698831</v>
      </c>
      <c r="Y6123" s="0" t="n">
        <f aca="false">SUMPRODUCT(MMULT(I6123:W6123,_XtX!$B$78:$P$92),I6123:W6123)</f>
        <v>0.501534802174708</v>
      </c>
      <c r="Z6123" s="0" t="n">
        <f aca="false">04_回帰ANOVA!$K$19*04_回帰ANOVA!$K$14*SQRT(1+Y6123)</f>
        <v>1.59722498091333</v>
      </c>
      <c r="AA6123" s="0" t="n">
        <f aca="false">X6123-Z6123</f>
        <v>44.9901333889698</v>
      </c>
      <c r="AB6123" s="0" t="n">
        <f aca="false">X6123+Z6123</f>
        <v>48.1845833507964</v>
      </c>
      <c r="AC6123" s="54" t="b">
        <f aca="false">AND(E6123&gt;=01_因子設定!$L$5-0.000000001,E6123&lt;=01_因子設定!$M$5+0.000000001,F6123&gt;=01_因子設定!$L$6-0.000000001,F6123&lt;=01_因子設定!$M$6+0.000000001,G6123&gt;=01_因子設定!$L$7-0.000000001,G6123&lt;=01_因子設定!$M$7+0.000000001,H6123&gt;=01_因子設定!$L$8-0.000000001,H6123&lt;=01_因子設定!$M$8+0.000000001,IF(01_因子設定!$B$20="Box-Behnken",E6123^2+F6123^2+G6123^2+H6123^2&lt;=2+0.000000001,TRUE()))</f>
        <v>1</v>
      </c>
      <c r="AD6123" s="55" t="n">
        <f aca="false">IF(AC6123,IF(01_因子設定!$B$13="最大化",AA6123-01_因子設定!$B$14,IF(01_因子設定!$B$13="最小化",01_因子設定!$B$15-AB6123,MIN(AA6123-01_因子設定!$B$14,01_因子設定!$B$15-AB6123))),-1E+030)</f>
        <v>-1.50986661103025</v>
      </c>
      <c r="AE6123" s="55" t="n">
        <f aca="false">IF(AC6123,IF(01_因子設定!$B$13="最大化",X6123,IF(01_因子設定!$B$13="最小化",-X6123,-ABS(X6123-01_因子設定!$B$16))),-1E+030)</f>
        <v>46.5873583698831</v>
      </c>
      <c r="AF6123" s="55" t="n">
        <f aca="false">AD6123+ROW()*0.000000001</f>
        <v>-1.50986048803025</v>
      </c>
      <c r="AG6123" s="55" t="n">
        <f aca="false">AE6123+ROW()*0.000000001</f>
        <v>46.5873644928831</v>
      </c>
    </row>
    <row r="6124" customFormat="false" ht="15" hidden="false" customHeight="false" outlineLevel="0" collapsed="false">
      <c r="A6124" s="0" t="n">
        <v>8</v>
      </c>
      <c r="B6124" s="0" t="n">
        <v>3</v>
      </c>
      <c r="C6124" s="0" t="n">
        <v>4</v>
      </c>
      <c r="D6124" s="0" t="n">
        <v>8</v>
      </c>
      <c r="E6124" s="0" t="n">
        <f aca="false">-1+A6124*0.25</f>
        <v>1</v>
      </c>
      <c r="F6124" s="0" t="n">
        <f aca="false">-1+B6124*0.25</f>
        <v>-0.25</v>
      </c>
      <c r="G6124" s="0" t="n">
        <f aca="false">-1+C6124*0.25</f>
        <v>0</v>
      </c>
      <c r="H6124" s="0" t="n">
        <f aca="false">-1+D6124*0.25</f>
        <v>1</v>
      </c>
      <c r="I6124" s="0" t="n">
        <f aca="false">1</f>
        <v>1</v>
      </c>
      <c r="J6124" s="0" t="n">
        <f aca="false">E6124</f>
        <v>1</v>
      </c>
      <c r="K6124" s="0" t="n">
        <f aca="false">F6124</f>
        <v>-0.25</v>
      </c>
      <c r="L6124" s="0" t="n">
        <f aca="false">G6124</f>
        <v>0</v>
      </c>
      <c r="M6124" s="0" t="n">
        <f aca="false">H6124</f>
        <v>1</v>
      </c>
      <c r="N6124" s="0" t="n">
        <f aca="false">E6124*F6124</f>
        <v>-0.25</v>
      </c>
      <c r="O6124" s="0" t="n">
        <f aca="false">E6124*G6124</f>
        <v>0</v>
      </c>
      <c r="P6124" s="0" t="n">
        <f aca="false">E6124*H6124</f>
        <v>1</v>
      </c>
      <c r="Q6124" s="0" t="n">
        <f aca="false">F6124*G6124</f>
        <v>-0</v>
      </c>
      <c r="R6124" s="0" t="n">
        <f aca="false">F6124*H6124</f>
        <v>-0.25</v>
      </c>
      <c r="S6124" s="0" t="n">
        <f aca="false">G6124*H6124</f>
        <v>0</v>
      </c>
      <c r="T6124" s="0" t="n">
        <f aca="false">E6124*E6124</f>
        <v>1</v>
      </c>
      <c r="U6124" s="0" t="n">
        <f aca="false">F6124*F6124</f>
        <v>0.0625</v>
      </c>
      <c r="V6124" s="0" t="n">
        <f aca="false">G6124*G6124</f>
        <v>0</v>
      </c>
      <c r="W6124" s="0" t="n">
        <f aca="false">H6124*H6124</f>
        <v>1</v>
      </c>
      <c r="X6124" s="0" t="n">
        <f aca="false">SUMPRODUCT(I6124:W6124,_XtX!$B$96:$P$96)</f>
        <v>46.5659539473685</v>
      </c>
      <c r="Y6124" s="0" t="n">
        <f aca="false">SUMPRODUCT(MMULT(I6124:W6124,_XtX!$B$78:$P$92),I6124:W6124)</f>
        <v>0.689692982456141</v>
      </c>
      <c r="Z6124" s="0" t="n">
        <f aca="false">04_回帰ANOVA!$K$19*04_回帰ANOVA!$K$14*SQRT(1+Y6124)</f>
        <v>1.69434674594998</v>
      </c>
      <c r="AA6124" s="0" t="n">
        <f aca="false">X6124-Z6124</f>
        <v>44.8716072014185</v>
      </c>
      <c r="AB6124" s="0" t="n">
        <f aca="false">X6124+Z6124</f>
        <v>48.2603006933185</v>
      </c>
      <c r="AC6124" s="54" t="b">
        <f aca="false">AND(E6124&gt;=01_因子設定!$L$5-0.000000001,E6124&lt;=01_因子設定!$M$5+0.000000001,F6124&gt;=01_因子設定!$L$6-0.000000001,F6124&lt;=01_因子設定!$M$6+0.000000001,G6124&gt;=01_因子設定!$L$7-0.000000001,G6124&lt;=01_因子設定!$M$7+0.000000001,H6124&gt;=01_因子設定!$L$8-0.000000001,H6124&lt;=01_因子設定!$M$8+0.000000001,IF(01_因子設定!$B$20="Box-Behnken",E6124^2+F6124^2+G6124^2+H6124^2&lt;=2+0.000000001,TRUE()))</f>
        <v>1</v>
      </c>
      <c r="AD6124" s="55" t="n">
        <f aca="false">IF(AC6124,IF(01_因子設定!$B$13="最大化",AA6124-01_因子設定!$B$14,IF(01_因子設定!$B$13="最小化",01_因子設定!$B$15-AB6124,MIN(AA6124-01_因子設定!$B$14,01_因子設定!$B$15-AB6124))),-1E+030)</f>
        <v>-1.6283927985815</v>
      </c>
      <c r="AE6124" s="55" t="n">
        <f aca="false">IF(AC6124,IF(01_因子設定!$B$13="最大化",X6124,IF(01_因子設定!$B$13="最小化",-X6124,-ABS(X6124-01_因子設定!$B$16))),-1E+030)</f>
        <v>46.5659539473685</v>
      </c>
      <c r="AF6124" s="55" t="n">
        <f aca="false">AD6124+ROW()*0.000000001</f>
        <v>-1.6283866745815</v>
      </c>
      <c r="AG6124" s="55" t="n">
        <f aca="false">AE6124+ROW()*0.000000001</f>
        <v>46.5659600713685</v>
      </c>
    </row>
    <row r="6125" customFormat="false" ht="15" hidden="false" customHeight="false" outlineLevel="0" collapsed="false">
      <c r="A6125" s="0" t="n">
        <v>8</v>
      </c>
      <c r="B6125" s="0" t="n">
        <v>3</v>
      </c>
      <c r="C6125" s="0" t="n">
        <v>5</v>
      </c>
      <c r="D6125" s="0" t="n">
        <v>0</v>
      </c>
      <c r="E6125" s="0" t="n">
        <f aca="false">-1+A6125*0.25</f>
        <v>1</v>
      </c>
      <c r="F6125" s="0" t="n">
        <f aca="false">-1+B6125*0.25</f>
        <v>-0.25</v>
      </c>
      <c r="G6125" s="0" t="n">
        <f aca="false">-1+C6125*0.25</f>
        <v>0.25</v>
      </c>
      <c r="H6125" s="0" t="n">
        <f aca="false">-1+D6125*0.25</f>
        <v>-1</v>
      </c>
      <c r="I6125" s="0" t="n">
        <f aca="false">1</f>
        <v>1</v>
      </c>
      <c r="J6125" s="0" t="n">
        <f aca="false">E6125</f>
        <v>1</v>
      </c>
      <c r="K6125" s="0" t="n">
        <f aca="false">F6125</f>
        <v>-0.25</v>
      </c>
      <c r="L6125" s="0" t="n">
        <f aca="false">G6125</f>
        <v>0.25</v>
      </c>
      <c r="M6125" s="0" t="n">
        <f aca="false">H6125</f>
        <v>-1</v>
      </c>
      <c r="N6125" s="0" t="n">
        <f aca="false">E6125*F6125</f>
        <v>-0.25</v>
      </c>
      <c r="O6125" s="0" t="n">
        <f aca="false">E6125*G6125</f>
        <v>0.25</v>
      </c>
      <c r="P6125" s="0" t="n">
        <f aca="false">E6125*H6125</f>
        <v>-1</v>
      </c>
      <c r="Q6125" s="0" t="n">
        <f aca="false">F6125*G6125</f>
        <v>-0.0625</v>
      </c>
      <c r="R6125" s="0" t="n">
        <f aca="false">F6125*H6125</f>
        <v>0.25</v>
      </c>
      <c r="S6125" s="0" t="n">
        <f aca="false">G6125*H6125</f>
        <v>-0.25</v>
      </c>
      <c r="T6125" s="0" t="n">
        <f aca="false">E6125*E6125</f>
        <v>1</v>
      </c>
      <c r="U6125" s="0" t="n">
        <f aca="false">F6125*F6125</f>
        <v>0.0625</v>
      </c>
      <c r="V6125" s="0" t="n">
        <f aca="false">G6125*G6125</f>
        <v>0.0625</v>
      </c>
      <c r="W6125" s="0" t="n">
        <f aca="false">H6125*H6125</f>
        <v>1</v>
      </c>
      <c r="X6125" s="0" t="n">
        <f aca="false">SUMPRODUCT(I6125:W6125,_XtX!$B$96:$P$96)</f>
        <v>45.3478664108188</v>
      </c>
      <c r="Y6125" s="0" t="n">
        <f aca="false">SUMPRODUCT(MMULT(I6125:W6125,_XtX!$B$78:$P$92),I6125:W6125)</f>
        <v>0.670040376005117</v>
      </c>
      <c r="Z6125" s="0" t="n">
        <f aca="false">04_回帰ANOVA!$K$19*04_回帰ANOVA!$K$14*SQRT(1+Y6125)</f>
        <v>1.68446456039992</v>
      </c>
      <c r="AA6125" s="0" t="n">
        <f aca="false">X6125-Z6125</f>
        <v>43.6634018504189</v>
      </c>
      <c r="AB6125" s="0" t="n">
        <f aca="false">X6125+Z6125</f>
        <v>47.0323309712187</v>
      </c>
      <c r="AC6125" s="54" t="b">
        <f aca="false">AND(E6125&gt;=01_因子設定!$L$5-0.000000001,E6125&lt;=01_因子設定!$M$5+0.000000001,F6125&gt;=01_因子設定!$L$6-0.000000001,F6125&lt;=01_因子設定!$M$6+0.000000001,G6125&gt;=01_因子設定!$L$7-0.000000001,G6125&lt;=01_因子設定!$M$7+0.000000001,H6125&gt;=01_因子設定!$L$8-0.000000001,H6125&lt;=01_因子設定!$M$8+0.000000001,IF(01_因子設定!$B$20="Box-Behnken",E6125^2+F6125^2+G6125^2+H6125^2&lt;=2+0.000000001,TRUE()))</f>
        <v>1</v>
      </c>
      <c r="AD6125" s="55" t="n">
        <f aca="false">IF(AC6125,IF(01_因子設定!$B$13="最大化",AA6125-01_因子設定!$B$14,IF(01_因子設定!$B$13="最小化",01_因子設定!$B$15-AB6125,MIN(AA6125-01_因子設定!$B$14,01_因子設定!$B$15-AB6125))),-1E+030)</f>
        <v>-2.83659814958114</v>
      </c>
      <c r="AE6125" s="55" t="n">
        <f aca="false">IF(AC6125,IF(01_因子設定!$B$13="最大化",X6125,IF(01_因子設定!$B$13="最小化",-X6125,-ABS(X6125-01_因子設定!$B$16))),-1E+030)</f>
        <v>45.3478664108188</v>
      </c>
      <c r="AF6125" s="55" t="n">
        <f aca="false">AD6125+ROW()*0.000000001</f>
        <v>-2.83659202458114</v>
      </c>
      <c r="AG6125" s="55" t="n">
        <f aca="false">AE6125+ROW()*0.000000001</f>
        <v>45.3478725358188</v>
      </c>
    </row>
    <row r="6126" customFormat="false" ht="15" hidden="false" customHeight="false" outlineLevel="0" collapsed="false">
      <c r="A6126" s="0" t="n">
        <v>8</v>
      </c>
      <c r="B6126" s="0" t="n">
        <v>3</v>
      </c>
      <c r="C6126" s="0" t="n">
        <v>5</v>
      </c>
      <c r="D6126" s="0" t="n">
        <v>1</v>
      </c>
      <c r="E6126" s="0" t="n">
        <f aca="false">-1+A6126*0.25</f>
        <v>1</v>
      </c>
      <c r="F6126" s="0" t="n">
        <f aca="false">-1+B6126*0.25</f>
        <v>-0.25</v>
      </c>
      <c r="G6126" s="0" t="n">
        <f aca="false">-1+C6126*0.25</f>
        <v>0.25</v>
      </c>
      <c r="H6126" s="0" t="n">
        <f aca="false">-1+D6126*0.25</f>
        <v>-0.75</v>
      </c>
      <c r="I6126" s="0" t="n">
        <f aca="false">1</f>
        <v>1</v>
      </c>
      <c r="J6126" s="0" t="n">
        <f aca="false">E6126</f>
        <v>1</v>
      </c>
      <c r="K6126" s="0" t="n">
        <f aca="false">F6126</f>
        <v>-0.25</v>
      </c>
      <c r="L6126" s="0" t="n">
        <f aca="false">G6126</f>
        <v>0.25</v>
      </c>
      <c r="M6126" s="0" t="n">
        <f aca="false">H6126</f>
        <v>-0.75</v>
      </c>
      <c r="N6126" s="0" t="n">
        <f aca="false">E6126*F6126</f>
        <v>-0.25</v>
      </c>
      <c r="O6126" s="0" t="n">
        <f aca="false">E6126*G6126</f>
        <v>0.25</v>
      </c>
      <c r="P6126" s="0" t="n">
        <f aca="false">E6126*H6126</f>
        <v>-0.75</v>
      </c>
      <c r="Q6126" s="0" t="n">
        <f aca="false">F6126*G6126</f>
        <v>-0.0625</v>
      </c>
      <c r="R6126" s="0" t="n">
        <f aca="false">F6126*H6126</f>
        <v>0.1875</v>
      </c>
      <c r="S6126" s="0" t="n">
        <f aca="false">G6126*H6126</f>
        <v>-0.1875</v>
      </c>
      <c r="T6126" s="0" t="n">
        <f aca="false">E6126*E6126</f>
        <v>1</v>
      </c>
      <c r="U6126" s="0" t="n">
        <f aca="false">F6126*F6126</f>
        <v>0.0625</v>
      </c>
      <c r="V6126" s="0" t="n">
        <f aca="false">G6126*G6126</f>
        <v>0.0625</v>
      </c>
      <c r="W6126" s="0" t="n">
        <f aca="false">H6126*H6126</f>
        <v>0.5625</v>
      </c>
      <c r="X6126" s="0" t="n">
        <f aca="false">SUMPRODUCT(I6126:W6126,_XtX!$B$96:$P$96)</f>
        <v>45.6790798611112</v>
      </c>
      <c r="Y6126" s="0" t="n">
        <f aca="false">SUMPRODUCT(MMULT(I6126:W6126,_XtX!$B$78:$P$92),I6126:W6126)</f>
        <v>0.486409505208334</v>
      </c>
      <c r="Z6126" s="0" t="n">
        <f aca="false">04_回帰ANOVA!$K$19*04_回帰ANOVA!$K$14*SQRT(1+Y6126)</f>
        <v>1.58916001665498</v>
      </c>
      <c r="AA6126" s="0" t="n">
        <f aca="false">X6126-Z6126</f>
        <v>44.0899198444562</v>
      </c>
      <c r="AB6126" s="0" t="n">
        <f aca="false">X6126+Z6126</f>
        <v>47.2682398777661</v>
      </c>
      <c r="AC6126" s="54" t="b">
        <f aca="false">AND(E6126&gt;=01_因子設定!$L$5-0.000000001,E6126&lt;=01_因子設定!$M$5+0.000000001,F6126&gt;=01_因子設定!$L$6-0.000000001,F6126&lt;=01_因子設定!$M$6+0.000000001,G6126&gt;=01_因子設定!$L$7-0.000000001,G6126&lt;=01_因子設定!$M$7+0.000000001,H6126&gt;=01_因子設定!$L$8-0.000000001,H6126&lt;=01_因子設定!$M$8+0.000000001,IF(01_因子設定!$B$20="Box-Behnken",E6126^2+F6126^2+G6126^2+H6126^2&lt;=2+0.000000001,TRUE()))</f>
        <v>1</v>
      </c>
      <c r="AD6126" s="55" t="n">
        <f aca="false">IF(AC6126,IF(01_因子設定!$B$13="最大化",AA6126-01_因子設定!$B$14,IF(01_因子設定!$B$13="最小化",01_因子設定!$B$15-AB6126,MIN(AA6126-01_因子設定!$B$14,01_因子設定!$B$15-AB6126))),-1E+030)</f>
        <v>-2.41008015554382</v>
      </c>
      <c r="AE6126" s="55" t="n">
        <f aca="false">IF(AC6126,IF(01_因子設定!$B$13="最大化",X6126,IF(01_因子設定!$B$13="最小化",-X6126,-ABS(X6126-01_因子設定!$B$16))),-1E+030)</f>
        <v>45.6790798611112</v>
      </c>
      <c r="AF6126" s="55" t="n">
        <f aca="false">AD6126+ROW()*0.000000001</f>
        <v>-2.41007402954382</v>
      </c>
      <c r="AG6126" s="55" t="n">
        <f aca="false">AE6126+ROW()*0.000000001</f>
        <v>45.6790859871112</v>
      </c>
    </row>
    <row r="6127" customFormat="false" ht="15" hidden="false" customHeight="false" outlineLevel="0" collapsed="false">
      <c r="A6127" s="0" t="n">
        <v>8</v>
      </c>
      <c r="B6127" s="0" t="n">
        <v>3</v>
      </c>
      <c r="C6127" s="0" t="n">
        <v>5</v>
      </c>
      <c r="D6127" s="0" t="n">
        <v>2</v>
      </c>
      <c r="E6127" s="0" t="n">
        <f aca="false">-1+A6127*0.25</f>
        <v>1</v>
      </c>
      <c r="F6127" s="0" t="n">
        <f aca="false">-1+B6127*0.25</f>
        <v>-0.25</v>
      </c>
      <c r="G6127" s="0" t="n">
        <f aca="false">-1+C6127*0.25</f>
        <v>0.25</v>
      </c>
      <c r="H6127" s="0" t="n">
        <f aca="false">-1+D6127*0.25</f>
        <v>-0.5</v>
      </c>
      <c r="I6127" s="0" t="n">
        <f aca="false">1</f>
        <v>1</v>
      </c>
      <c r="J6127" s="0" t="n">
        <f aca="false">E6127</f>
        <v>1</v>
      </c>
      <c r="K6127" s="0" t="n">
        <f aca="false">F6127</f>
        <v>-0.25</v>
      </c>
      <c r="L6127" s="0" t="n">
        <f aca="false">G6127</f>
        <v>0.25</v>
      </c>
      <c r="M6127" s="0" t="n">
        <f aca="false">H6127</f>
        <v>-0.5</v>
      </c>
      <c r="N6127" s="0" t="n">
        <f aca="false">E6127*F6127</f>
        <v>-0.25</v>
      </c>
      <c r="O6127" s="0" t="n">
        <f aca="false">E6127*G6127</f>
        <v>0.25</v>
      </c>
      <c r="P6127" s="0" t="n">
        <f aca="false">E6127*H6127</f>
        <v>-0.5</v>
      </c>
      <c r="Q6127" s="0" t="n">
        <f aca="false">F6127*G6127</f>
        <v>-0.0625</v>
      </c>
      <c r="R6127" s="0" t="n">
        <f aca="false">F6127*H6127</f>
        <v>0.125</v>
      </c>
      <c r="S6127" s="0" t="n">
        <f aca="false">G6127*H6127</f>
        <v>-0.125</v>
      </c>
      <c r="T6127" s="0" t="n">
        <f aca="false">E6127*E6127</f>
        <v>1</v>
      </c>
      <c r="U6127" s="0" t="n">
        <f aca="false">F6127*F6127</f>
        <v>0.0625</v>
      </c>
      <c r="V6127" s="0" t="n">
        <f aca="false">G6127*G6127</f>
        <v>0.0625</v>
      </c>
      <c r="W6127" s="0" t="n">
        <f aca="false">H6127*H6127</f>
        <v>0.25</v>
      </c>
      <c r="X6127" s="0" t="n">
        <f aca="false">SUMPRODUCT(I6127:W6127,_XtX!$B$96:$P$96)</f>
        <v>45.9624862938597</v>
      </c>
      <c r="Y6127" s="0" t="n">
        <f aca="false">SUMPRODUCT(MMULT(I6127:W6127,_XtX!$B$78:$P$92),I6127:W6127)</f>
        <v>0.445705123812135</v>
      </c>
      <c r="Z6127" s="0" t="n">
        <f aca="false">04_回帰ANOVA!$K$19*04_回帰ANOVA!$K$14*SQRT(1+Y6127)</f>
        <v>1.56724990734749</v>
      </c>
      <c r="AA6127" s="0" t="n">
        <f aca="false">X6127-Z6127</f>
        <v>44.3952363865122</v>
      </c>
      <c r="AB6127" s="0" t="n">
        <f aca="false">X6127+Z6127</f>
        <v>47.5297362012072</v>
      </c>
      <c r="AC6127" s="54" t="b">
        <f aca="false">AND(E6127&gt;=01_因子設定!$L$5-0.000000001,E6127&lt;=01_因子設定!$M$5+0.000000001,F6127&gt;=01_因子設定!$L$6-0.000000001,F6127&lt;=01_因子設定!$M$6+0.000000001,G6127&gt;=01_因子設定!$L$7-0.000000001,G6127&lt;=01_因子設定!$M$7+0.000000001,H6127&gt;=01_因子設定!$L$8-0.000000001,H6127&lt;=01_因子設定!$M$8+0.000000001,IF(01_因子設定!$B$20="Box-Behnken",E6127^2+F6127^2+G6127^2+H6127^2&lt;=2+0.000000001,TRUE()))</f>
        <v>1</v>
      </c>
      <c r="AD6127" s="55" t="n">
        <f aca="false">IF(AC6127,IF(01_因子設定!$B$13="最大化",AA6127-01_因子設定!$B$14,IF(01_因子設定!$B$13="最小化",01_因子設定!$B$15-AB6127,MIN(AA6127-01_因子設定!$B$14,01_因子設定!$B$15-AB6127))),-1E+030)</f>
        <v>-2.1047636134878</v>
      </c>
      <c r="AE6127" s="55" t="n">
        <f aca="false">IF(AC6127,IF(01_因子設定!$B$13="最大化",X6127,IF(01_因子設定!$B$13="最小化",-X6127,-ABS(X6127-01_因子設定!$B$16))),-1E+030)</f>
        <v>45.9624862938597</v>
      </c>
      <c r="AF6127" s="55" t="n">
        <f aca="false">AD6127+ROW()*0.000000001</f>
        <v>-2.10475748648781</v>
      </c>
      <c r="AG6127" s="55" t="n">
        <f aca="false">AE6127+ROW()*0.000000001</f>
        <v>45.9624924208597</v>
      </c>
    </row>
    <row r="6128" customFormat="false" ht="15" hidden="false" customHeight="false" outlineLevel="0" collapsed="false">
      <c r="A6128" s="0" t="n">
        <v>8</v>
      </c>
      <c r="B6128" s="0" t="n">
        <v>3</v>
      </c>
      <c r="C6128" s="0" t="n">
        <v>5</v>
      </c>
      <c r="D6128" s="0" t="n">
        <v>3</v>
      </c>
      <c r="E6128" s="0" t="n">
        <f aca="false">-1+A6128*0.25</f>
        <v>1</v>
      </c>
      <c r="F6128" s="0" t="n">
        <f aca="false">-1+B6128*0.25</f>
        <v>-0.25</v>
      </c>
      <c r="G6128" s="0" t="n">
        <f aca="false">-1+C6128*0.25</f>
        <v>0.25</v>
      </c>
      <c r="H6128" s="0" t="n">
        <f aca="false">-1+D6128*0.25</f>
        <v>-0.25</v>
      </c>
      <c r="I6128" s="0" t="n">
        <f aca="false">1</f>
        <v>1</v>
      </c>
      <c r="J6128" s="0" t="n">
        <f aca="false">E6128</f>
        <v>1</v>
      </c>
      <c r="K6128" s="0" t="n">
        <f aca="false">F6128</f>
        <v>-0.25</v>
      </c>
      <c r="L6128" s="0" t="n">
        <f aca="false">G6128</f>
        <v>0.25</v>
      </c>
      <c r="M6128" s="0" t="n">
        <f aca="false">H6128</f>
        <v>-0.25</v>
      </c>
      <c r="N6128" s="0" t="n">
        <f aca="false">E6128*F6128</f>
        <v>-0.25</v>
      </c>
      <c r="O6128" s="0" t="n">
        <f aca="false">E6128*G6128</f>
        <v>0.25</v>
      </c>
      <c r="P6128" s="0" t="n">
        <f aca="false">E6128*H6128</f>
        <v>-0.25</v>
      </c>
      <c r="Q6128" s="0" t="n">
        <f aca="false">F6128*G6128</f>
        <v>-0.0625</v>
      </c>
      <c r="R6128" s="0" t="n">
        <f aca="false">F6128*H6128</f>
        <v>0.0625</v>
      </c>
      <c r="S6128" s="0" t="n">
        <f aca="false">G6128*H6128</f>
        <v>-0.0625</v>
      </c>
      <c r="T6128" s="0" t="n">
        <f aca="false">E6128*E6128</f>
        <v>1</v>
      </c>
      <c r="U6128" s="0" t="n">
        <f aca="false">F6128*F6128</f>
        <v>0.0625</v>
      </c>
      <c r="V6128" s="0" t="n">
        <f aca="false">G6128*G6128</f>
        <v>0.0625</v>
      </c>
      <c r="W6128" s="0" t="n">
        <f aca="false">H6128*H6128</f>
        <v>0.0625</v>
      </c>
      <c r="X6128" s="0" t="n">
        <f aca="false">SUMPRODUCT(I6128:W6128,_XtX!$B$96:$P$96)</f>
        <v>46.1980857090644</v>
      </c>
      <c r="Y6128" s="0" t="n">
        <f aca="false">SUMPRODUCT(MMULT(I6128:W6128,_XtX!$B$78:$P$92),I6128:W6128)</f>
        <v>0.457466705500731</v>
      </c>
      <c r="Z6128" s="0" t="n">
        <f aca="false">04_回帰ANOVA!$K$19*04_回帰ANOVA!$K$14*SQRT(1+Y6128)</f>
        <v>1.57361220003999</v>
      </c>
      <c r="AA6128" s="0" t="n">
        <f aca="false">X6128-Z6128</f>
        <v>44.6244735090244</v>
      </c>
      <c r="AB6128" s="0" t="n">
        <f aca="false">X6128+Z6128</f>
        <v>47.7716979091044</v>
      </c>
      <c r="AC6128" s="54" t="b">
        <f aca="false">AND(E6128&gt;=01_因子設定!$L$5-0.000000001,E6128&lt;=01_因子設定!$M$5+0.000000001,F6128&gt;=01_因子設定!$L$6-0.000000001,F6128&lt;=01_因子設定!$M$6+0.000000001,G6128&gt;=01_因子設定!$L$7-0.000000001,G6128&lt;=01_因子設定!$M$7+0.000000001,H6128&gt;=01_因子設定!$L$8-0.000000001,H6128&lt;=01_因子設定!$M$8+0.000000001,IF(01_因子設定!$B$20="Box-Behnken",E6128^2+F6128^2+G6128^2+H6128^2&lt;=2+0.000000001,TRUE()))</f>
        <v>1</v>
      </c>
      <c r="AD6128" s="55" t="n">
        <f aca="false">IF(AC6128,IF(01_因子設定!$B$13="最大化",AA6128-01_因子設定!$B$14,IF(01_因子設定!$B$13="最小化",01_因子設定!$B$15-AB6128,MIN(AA6128-01_因子設定!$B$14,01_因子設定!$B$15-AB6128))),-1E+030)</f>
        <v>-1.87552649097564</v>
      </c>
      <c r="AE6128" s="55" t="n">
        <f aca="false">IF(AC6128,IF(01_因子設定!$B$13="最大化",X6128,IF(01_因子設定!$B$13="最小化",-X6128,-ABS(X6128-01_因子設定!$B$16))),-1E+030)</f>
        <v>46.1980857090644</v>
      </c>
      <c r="AF6128" s="55" t="n">
        <f aca="false">AD6128+ROW()*0.000000001</f>
        <v>-1.87552036297564</v>
      </c>
      <c r="AG6128" s="55" t="n">
        <f aca="false">AE6128+ROW()*0.000000001</f>
        <v>46.1980918370644</v>
      </c>
    </row>
    <row r="6129" customFormat="false" ht="15" hidden="false" customHeight="false" outlineLevel="0" collapsed="false">
      <c r="A6129" s="0" t="n">
        <v>8</v>
      </c>
      <c r="B6129" s="0" t="n">
        <v>3</v>
      </c>
      <c r="C6129" s="0" t="n">
        <v>5</v>
      </c>
      <c r="D6129" s="0" t="n">
        <v>4</v>
      </c>
      <c r="E6129" s="0" t="n">
        <f aca="false">-1+A6129*0.25</f>
        <v>1</v>
      </c>
      <c r="F6129" s="0" t="n">
        <f aca="false">-1+B6129*0.25</f>
        <v>-0.25</v>
      </c>
      <c r="G6129" s="0" t="n">
        <f aca="false">-1+C6129*0.25</f>
        <v>0.25</v>
      </c>
      <c r="H6129" s="0" t="n">
        <f aca="false">-1+D6129*0.25</f>
        <v>0</v>
      </c>
      <c r="I6129" s="0" t="n">
        <f aca="false">1</f>
        <v>1</v>
      </c>
      <c r="J6129" s="0" t="n">
        <f aca="false">E6129</f>
        <v>1</v>
      </c>
      <c r="K6129" s="0" t="n">
        <f aca="false">F6129</f>
        <v>-0.25</v>
      </c>
      <c r="L6129" s="0" t="n">
        <f aca="false">G6129</f>
        <v>0.25</v>
      </c>
      <c r="M6129" s="0" t="n">
        <f aca="false">H6129</f>
        <v>0</v>
      </c>
      <c r="N6129" s="0" t="n">
        <f aca="false">E6129*F6129</f>
        <v>-0.25</v>
      </c>
      <c r="O6129" s="0" t="n">
        <f aca="false">E6129*G6129</f>
        <v>0.25</v>
      </c>
      <c r="P6129" s="0" t="n">
        <f aca="false">E6129*H6129</f>
        <v>0</v>
      </c>
      <c r="Q6129" s="0" t="n">
        <f aca="false">F6129*G6129</f>
        <v>-0.0625</v>
      </c>
      <c r="R6129" s="0" t="n">
        <f aca="false">F6129*H6129</f>
        <v>-0</v>
      </c>
      <c r="S6129" s="0" t="n">
        <f aca="false">G6129*H6129</f>
        <v>0</v>
      </c>
      <c r="T6129" s="0" t="n">
        <f aca="false">E6129*E6129</f>
        <v>1</v>
      </c>
      <c r="U6129" s="0" t="n">
        <f aca="false">F6129*F6129</f>
        <v>0.0625</v>
      </c>
      <c r="V6129" s="0" t="n">
        <f aca="false">G6129*G6129</f>
        <v>0.0625</v>
      </c>
      <c r="W6129" s="0" t="n">
        <f aca="false">H6129*H6129</f>
        <v>0</v>
      </c>
      <c r="X6129" s="0" t="n">
        <f aca="false">SUMPRODUCT(I6129:W6129,_XtX!$B$96:$P$96)</f>
        <v>46.3858781067252</v>
      </c>
      <c r="Y6129" s="0" t="n">
        <f aca="false">SUMPRODUCT(MMULT(I6129:W6129,_XtX!$B$78:$P$92),I6129:W6129)</f>
        <v>0.467417934484649</v>
      </c>
      <c r="Z6129" s="0" t="n">
        <f aca="false">04_回帰ANOVA!$K$19*04_回帰ANOVA!$K$14*SQRT(1+Y6129)</f>
        <v>1.57897518244497</v>
      </c>
      <c r="AA6129" s="0" t="n">
        <f aca="false">X6129-Z6129</f>
        <v>44.8069029242802</v>
      </c>
      <c r="AB6129" s="0" t="n">
        <f aca="false">X6129+Z6129</f>
        <v>47.9648532891701</v>
      </c>
      <c r="AC6129" s="54" t="b">
        <f aca="false">AND(E6129&gt;=01_因子設定!$L$5-0.000000001,E6129&lt;=01_因子設定!$M$5+0.000000001,F6129&gt;=01_因子設定!$L$6-0.000000001,F6129&lt;=01_因子設定!$M$6+0.000000001,G6129&gt;=01_因子設定!$L$7-0.000000001,G6129&lt;=01_因子設定!$M$7+0.000000001,H6129&gt;=01_因子設定!$L$8-0.000000001,H6129&lt;=01_因子設定!$M$8+0.000000001,IF(01_因子設定!$B$20="Box-Behnken",E6129^2+F6129^2+G6129^2+H6129^2&lt;=2+0.000000001,TRUE()))</f>
        <v>1</v>
      </c>
      <c r="AD6129" s="55" t="n">
        <f aca="false">IF(AC6129,IF(01_因子設定!$B$13="最大化",AA6129-01_因子設定!$B$14,IF(01_因子設定!$B$13="最小化",01_因子設定!$B$15-AB6129,MIN(AA6129-01_因子設定!$B$14,01_因子設定!$B$15-AB6129))),-1E+030)</f>
        <v>-1.6930970757198</v>
      </c>
      <c r="AE6129" s="55" t="n">
        <f aca="false">IF(AC6129,IF(01_因子設定!$B$13="最大化",X6129,IF(01_因子設定!$B$13="最小化",-X6129,-ABS(X6129-01_因子設定!$B$16))),-1E+030)</f>
        <v>46.3858781067252</v>
      </c>
      <c r="AF6129" s="55" t="n">
        <f aca="false">AD6129+ROW()*0.000000001</f>
        <v>-1.6930909467198</v>
      </c>
      <c r="AG6129" s="55" t="n">
        <f aca="false">AE6129+ROW()*0.000000001</f>
        <v>46.3858842357252</v>
      </c>
    </row>
    <row r="6130" customFormat="false" ht="15" hidden="false" customHeight="false" outlineLevel="0" collapsed="false">
      <c r="A6130" s="0" t="n">
        <v>8</v>
      </c>
      <c r="B6130" s="0" t="n">
        <v>3</v>
      </c>
      <c r="C6130" s="0" t="n">
        <v>5</v>
      </c>
      <c r="D6130" s="0" t="n">
        <v>5</v>
      </c>
      <c r="E6130" s="0" t="n">
        <f aca="false">-1+A6130*0.25</f>
        <v>1</v>
      </c>
      <c r="F6130" s="0" t="n">
        <f aca="false">-1+B6130*0.25</f>
        <v>-0.25</v>
      </c>
      <c r="G6130" s="0" t="n">
        <f aca="false">-1+C6130*0.25</f>
        <v>0.25</v>
      </c>
      <c r="H6130" s="0" t="n">
        <f aca="false">-1+D6130*0.25</f>
        <v>0.25</v>
      </c>
      <c r="I6130" s="0" t="n">
        <f aca="false">1</f>
        <v>1</v>
      </c>
      <c r="J6130" s="0" t="n">
        <f aca="false">E6130</f>
        <v>1</v>
      </c>
      <c r="K6130" s="0" t="n">
        <f aca="false">F6130</f>
        <v>-0.25</v>
      </c>
      <c r="L6130" s="0" t="n">
        <f aca="false">G6130</f>
        <v>0.25</v>
      </c>
      <c r="M6130" s="0" t="n">
        <f aca="false">H6130</f>
        <v>0.25</v>
      </c>
      <c r="N6130" s="0" t="n">
        <f aca="false">E6130*F6130</f>
        <v>-0.25</v>
      </c>
      <c r="O6130" s="0" t="n">
        <f aca="false">E6130*G6130</f>
        <v>0.25</v>
      </c>
      <c r="P6130" s="0" t="n">
        <f aca="false">E6130*H6130</f>
        <v>0.25</v>
      </c>
      <c r="Q6130" s="0" t="n">
        <f aca="false">F6130*G6130</f>
        <v>-0.0625</v>
      </c>
      <c r="R6130" s="0" t="n">
        <f aca="false">F6130*H6130</f>
        <v>-0.0625</v>
      </c>
      <c r="S6130" s="0" t="n">
        <f aca="false">G6130*H6130</f>
        <v>0.0625</v>
      </c>
      <c r="T6130" s="0" t="n">
        <f aca="false">E6130*E6130</f>
        <v>1</v>
      </c>
      <c r="U6130" s="0" t="n">
        <f aca="false">F6130*F6130</f>
        <v>0.0625</v>
      </c>
      <c r="V6130" s="0" t="n">
        <f aca="false">G6130*G6130</f>
        <v>0.0625</v>
      </c>
      <c r="W6130" s="0" t="n">
        <f aca="false">H6130*H6130</f>
        <v>0.0625</v>
      </c>
      <c r="X6130" s="0" t="n">
        <f aca="false">SUMPRODUCT(I6130:W6130,_XtX!$B$96:$P$96)</f>
        <v>46.5258634868421</v>
      </c>
      <c r="Y6130" s="0" t="n">
        <f aca="false">SUMPRODUCT(MMULT(I6130:W6130,_XtX!$B$78:$P$92),I6130:W6130)</f>
        <v>0.457466705500731</v>
      </c>
      <c r="Z6130" s="0" t="n">
        <f aca="false">04_回帰ANOVA!$K$19*04_回帰ANOVA!$K$14*SQRT(1+Y6130)</f>
        <v>1.57361220003999</v>
      </c>
      <c r="AA6130" s="0" t="n">
        <f aca="false">X6130-Z6130</f>
        <v>44.9522512868021</v>
      </c>
      <c r="AB6130" s="0" t="n">
        <f aca="false">X6130+Z6130</f>
        <v>48.0994756868821</v>
      </c>
      <c r="AC6130" s="54" t="b">
        <f aca="false">AND(E6130&gt;=01_因子設定!$L$5-0.000000001,E6130&lt;=01_因子設定!$M$5+0.000000001,F6130&gt;=01_因子設定!$L$6-0.000000001,F6130&lt;=01_因子設定!$M$6+0.000000001,G6130&gt;=01_因子設定!$L$7-0.000000001,G6130&lt;=01_因子設定!$M$7+0.000000001,H6130&gt;=01_因子設定!$L$8-0.000000001,H6130&lt;=01_因子設定!$M$8+0.000000001,IF(01_因子設定!$B$20="Box-Behnken",E6130^2+F6130^2+G6130^2+H6130^2&lt;=2+0.000000001,TRUE()))</f>
        <v>1</v>
      </c>
      <c r="AD6130" s="55" t="n">
        <f aca="false">IF(AC6130,IF(01_因子設定!$B$13="最大化",AA6130-01_因子設定!$B$14,IF(01_因子設定!$B$13="最小化",01_因子設定!$B$15-AB6130,MIN(AA6130-01_因子設定!$B$14,01_因子設定!$B$15-AB6130))),-1E+030)</f>
        <v>-1.54774871319786</v>
      </c>
      <c r="AE6130" s="55" t="n">
        <f aca="false">IF(AC6130,IF(01_因子設定!$B$13="最大化",X6130,IF(01_因子設定!$B$13="最小化",-X6130,-ABS(X6130-01_因子設定!$B$16))),-1E+030)</f>
        <v>46.5258634868421</v>
      </c>
      <c r="AF6130" s="55" t="n">
        <f aca="false">AD6130+ROW()*0.000000001</f>
        <v>-1.54774258319786</v>
      </c>
      <c r="AG6130" s="55" t="n">
        <f aca="false">AE6130+ROW()*0.000000001</f>
        <v>46.5258696168421</v>
      </c>
    </row>
    <row r="6131" customFormat="false" ht="15" hidden="false" customHeight="false" outlineLevel="0" collapsed="false">
      <c r="A6131" s="0" t="n">
        <v>8</v>
      </c>
      <c r="B6131" s="0" t="n">
        <v>3</v>
      </c>
      <c r="C6131" s="0" t="n">
        <v>5</v>
      </c>
      <c r="D6131" s="0" t="n">
        <v>6</v>
      </c>
      <c r="E6131" s="0" t="n">
        <f aca="false">-1+A6131*0.25</f>
        <v>1</v>
      </c>
      <c r="F6131" s="0" t="n">
        <f aca="false">-1+B6131*0.25</f>
        <v>-0.25</v>
      </c>
      <c r="G6131" s="0" t="n">
        <f aca="false">-1+C6131*0.25</f>
        <v>0.25</v>
      </c>
      <c r="H6131" s="0" t="n">
        <f aca="false">-1+D6131*0.25</f>
        <v>0.5</v>
      </c>
      <c r="I6131" s="0" t="n">
        <f aca="false">1</f>
        <v>1</v>
      </c>
      <c r="J6131" s="0" t="n">
        <f aca="false">E6131</f>
        <v>1</v>
      </c>
      <c r="K6131" s="0" t="n">
        <f aca="false">F6131</f>
        <v>-0.25</v>
      </c>
      <c r="L6131" s="0" t="n">
        <f aca="false">G6131</f>
        <v>0.25</v>
      </c>
      <c r="M6131" s="0" t="n">
        <f aca="false">H6131</f>
        <v>0.5</v>
      </c>
      <c r="N6131" s="0" t="n">
        <f aca="false">E6131*F6131</f>
        <v>-0.25</v>
      </c>
      <c r="O6131" s="0" t="n">
        <f aca="false">E6131*G6131</f>
        <v>0.25</v>
      </c>
      <c r="P6131" s="0" t="n">
        <f aca="false">E6131*H6131</f>
        <v>0.5</v>
      </c>
      <c r="Q6131" s="0" t="n">
        <f aca="false">F6131*G6131</f>
        <v>-0.0625</v>
      </c>
      <c r="R6131" s="0" t="n">
        <f aca="false">F6131*H6131</f>
        <v>-0.125</v>
      </c>
      <c r="S6131" s="0" t="n">
        <f aca="false">G6131*H6131</f>
        <v>0.125</v>
      </c>
      <c r="T6131" s="0" t="n">
        <f aca="false">E6131*E6131</f>
        <v>1</v>
      </c>
      <c r="U6131" s="0" t="n">
        <f aca="false">F6131*F6131</f>
        <v>0.0625</v>
      </c>
      <c r="V6131" s="0" t="n">
        <f aca="false">G6131*G6131</f>
        <v>0.0625</v>
      </c>
      <c r="W6131" s="0" t="n">
        <f aca="false">H6131*H6131</f>
        <v>0.25</v>
      </c>
      <c r="X6131" s="0" t="n">
        <f aca="false">SUMPRODUCT(I6131:W6131,_XtX!$B$96:$P$96)</f>
        <v>46.6180418494152</v>
      </c>
      <c r="Y6131" s="0" t="n">
        <f aca="false">SUMPRODUCT(MMULT(I6131:W6131,_XtX!$B$78:$P$92),I6131:W6131)</f>
        <v>0.445705123812135</v>
      </c>
      <c r="Z6131" s="0" t="n">
        <f aca="false">04_回帰ANOVA!$K$19*04_回帰ANOVA!$K$14*SQRT(1+Y6131)</f>
        <v>1.56724990734749</v>
      </c>
      <c r="AA6131" s="0" t="n">
        <f aca="false">X6131-Z6131</f>
        <v>45.0507919420678</v>
      </c>
      <c r="AB6131" s="0" t="n">
        <f aca="false">X6131+Z6131</f>
        <v>48.1852917567627</v>
      </c>
      <c r="AC6131" s="54" t="b">
        <f aca="false">AND(E6131&gt;=01_因子設定!$L$5-0.000000001,E6131&lt;=01_因子設定!$M$5+0.000000001,F6131&gt;=01_因子設定!$L$6-0.000000001,F6131&lt;=01_因子設定!$M$6+0.000000001,G6131&gt;=01_因子設定!$L$7-0.000000001,G6131&lt;=01_因子設定!$M$7+0.000000001,H6131&gt;=01_因子設定!$L$8-0.000000001,H6131&lt;=01_因子設定!$M$8+0.000000001,IF(01_因子設定!$B$20="Box-Behnken",E6131^2+F6131^2+G6131^2+H6131^2&lt;=2+0.000000001,TRUE()))</f>
        <v>1</v>
      </c>
      <c r="AD6131" s="55" t="n">
        <f aca="false">IF(AC6131,IF(01_因子設定!$B$13="最大化",AA6131-01_因子設定!$B$14,IF(01_因子設定!$B$13="最小化",01_因子設定!$B$15-AB6131,MIN(AA6131-01_因子設定!$B$14,01_因子設定!$B$15-AB6131))),-1E+030)</f>
        <v>-1.44920805793225</v>
      </c>
      <c r="AE6131" s="55" t="n">
        <f aca="false">IF(AC6131,IF(01_因子設定!$B$13="最大化",X6131,IF(01_因子設定!$B$13="最小化",-X6131,-ABS(X6131-01_因子設定!$B$16))),-1E+030)</f>
        <v>46.6180418494152</v>
      </c>
      <c r="AF6131" s="55" t="n">
        <f aca="false">AD6131+ROW()*0.000000001</f>
        <v>-1.44920192693225</v>
      </c>
      <c r="AG6131" s="55" t="n">
        <f aca="false">AE6131+ROW()*0.000000001</f>
        <v>46.6180479804152</v>
      </c>
    </row>
    <row r="6132" customFormat="false" ht="15" hidden="false" customHeight="false" outlineLevel="0" collapsed="false">
      <c r="A6132" s="0" t="n">
        <v>8</v>
      </c>
      <c r="B6132" s="0" t="n">
        <v>3</v>
      </c>
      <c r="C6132" s="0" t="n">
        <v>5</v>
      </c>
      <c r="D6132" s="0" t="n">
        <v>7</v>
      </c>
      <c r="E6132" s="0" t="n">
        <f aca="false">-1+A6132*0.25</f>
        <v>1</v>
      </c>
      <c r="F6132" s="0" t="n">
        <f aca="false">-1+B6132*0.25</f>
        <v>-0.25</v>
      </c>
      <c r="G6132" s="0" t="n">
        <f aca="false">-1+C6132*0.25</f>
        <v>0.25</v>
      </c>
      <c r="H6132" s="0" t="n">
        <f aca="false">-1+D6132*0.25</f>
        <v>0.75</v>
      </c>
      <c r="I6132" s="0" t="n">
        <f aca="false">1</f>
        <v>1</v>
      </c>
      <c r="J6132" s="0" t="n">
        <f aca="false">E6132</f>
        <v>1</v>
      </c>
      <c r="K6132" s="0" t="n">
        <f aca="false">F6132</f>
        <v>-0.25</v>
      </c>
      <c r="L6132" s="0" t="n">
        <f aca="false">G6132</f>
        <v>0.25</v>
      </c>
      <c r="M6132" s="0" t="n">
        <f aca="false">H6132</f>
        <v>0.75</v>
      </c>
      <c r="N6132" s="0" t="n">
        <f aca="false">E6132*F6132</f>
        <v>-0.25</v>
      </c>
      <c r="O6132" s="0" t="n">
        <f aca="false">E6132*G6132</f>
        <v>0.25</v>
      </c>
      <c r="P6132" s="0" t="n">
        <f aca="false">E6132*H6132</f>
        <v>0.75</v>
      </c>
      <c r="Q6132" s="0" t="n">
        <f aca="false">F6132*G6132</f>
        <v>-0.0625</v>
      </c>
      <c r="R6132" s="0" t="n">
        <f aca="false">F6132*H6132</f>
        <v>-0.1875</v>
      </c>
      <c r="S6132" s="0" t="n">
        <f aca="false">G6132*H6132</f>
        <v>0.1875</v>
      </c>
      <c r="T6132" s="0" t="n">
        <f aca="false">E6132*E6132</f>
        <v>1</v>
      </c>
      <c r="U6132" s="0" t="n">
        <f aca="false">F6132*F6132</f>
        <v>0.0625</v>
      </c>
      <c r="V6132" s="0" t="n">
        <f aca="false">G6132*G6132</f>
        <v>0.0625</v>
      </c>
      <c r="W6132" s="0" t="n">
        <f aca="false">H6132*H6132</f>
        <v>0.5625</v>
      </c>
      <c r="X6132" s="0" t="n">
        <f aca="false">SUMPRODUCT(I6132:W6132,_XtX!$B$96:$P$96)</f>
        <v>46.6624131944445</v>
      </c>
      <c r="Y6132" s="0" t="n">
        <f aca="false">SUMPRODUCT(MMULT(I6132:W6132,_XtX!$B$78:$P$92),I6132:W6132)</f>
        <v>0.486409505208334</v>
      </c>
      <c r="Z6132" s="0" t="n">
        <f aca="false">04_回帰ANOVA!$K$19*04_回帰ANOVA!$K$14*SQRT(1+Y6132)</f>
        <v>1.58916001665498</v>
      </c>
      <c r="AA6132" s="0" t="n">
        <f aca="false">X6132-Z6132</f>
        <v>45.0732531777895</v>
      </c>
      <c r="AB6132" s="0" t="n">
        <f aca="false">X6132+Z6132</f>
        <v>48.2515732110995</v>
      </c>
      <c r="AC6132" s="54" t="b">
        <f aca="false">AND(E6132&gt;=01_因子設定!$L$5-0.000000001,E6132&lt;=01_因子設定!$M$5+0.000000001,F6132&gt;=01_因子設定!$L$6-0.000000001,F6132&lt;=01_因子設定!$M$6+0.000000001,G6132&gt;=01_因子設定!$L$7-0.000000001,G6132&lt;=01_因子設定!$M$7+0.000000001,H6132&gt;=01_因子設定!$L$8-0.000000001,H6132&lt;=01_因子設定!$M$8+0.000000001,IF(01_因子設定!$B$20="Box-Behnken",E6132^2+F6132^2+G6132^2+H6132^2&lt;=2+0.000000001,TRUE()))</f>
        <v>1</v>
      </c>
      <c r="AD6132" s="55" t="n">
        <f aca="false">IF(AC6132,IF(01_因子設定!$B$13="最大化",AA6132-01_因子設定!$B$14,IF(01_因子設定!$B$13="最小化",01_因子設定!$B$15-AB6132,MIN(AA6132-01_因子設定!$B$14,01_因子設定!$B$15-AB6132))),-1E+030)</f>
        <v>-1.42674682221049</v>
      </c>
      <c r="AE6132" s="55" t="n">
        <f aca="false">IF(AC6132,IF(01_因子設定!$B$13="最大化",X6132,IF(01_因子設定!$B$13="最小化",-X6132,-ABS(X6132-01_因子設定!$B$16))),-1E+030)</f>
        <v>46.6624131944445</v>
      </c>
      <c r="AF6132" s="55" t="n">
        <f aca="false">AD6132+ROW()*0.000000001</f>
        <v>-1.42674069021049</v>
      </c>
      <c r="AG6132" s="55" t="n">
        <f aca="false">AE6132+ROW()*0.000000001</f>
        <v>46.6624193264445</v>
      </c>
    </row>
    <row r="6133" customFormat="false" ht="15" hidden="false" customHeight="false" outlineLevel="0" collapsed="false">
      <c r="A6133" s="0" t="n">
        <v>8</v>
      </c>
      <c r="B6133" s="0" t="n">
        <v>3</v>
      </c>
      <c r="C6133" s="0" t="n">
        <v>5</v>
      </c>
      <c r="D6133" s="0" t="n">
        <v>8</v>
      </c>
      <c r="E6133" s="0" t="n">
        <f aca="false">-1+A6133*0.25</f>
        <v>1</v>
      </c>
      <c r="F6133" s="0" t="n">
        <f aca="false">-1+B6133*0.25</f>
        <v>-0.25</v>
      </c>
      <c r="G6133" s="0" t="n">
        <f aca="false">-1+C6133*0.25</f>
        <v>0.25</v>
      </c>
      <c r="H6133" s="0" t="n">
        <f aca="false">-1+D6133*0.25</f>
        <v>1</v>
      </c>
      <c r="I6133" s="0" t="n">
        <f aca="false">1</f>
        <v>1</v>
      </c>
      <c r="J6133" s="0" t="n">
        <f aca="false">E6133</f>
        <v>1</v>
      </c>
      <c r="K6133" s="0" t="n">
        <f aca="false">F6133</f>
        <v>-0.25</v>
      </c>
      <c r="L6133" s="0" t="n">
        <f aca="false">G6133</f>
        <v>0.25</v>
      </c>
      <c r="M6133" s="0" t="n">
        <f aca="false">H6133</f>
        <v>1</v>
      </c>
      <c r="N6133" s="0" t="n">
        <f aca="false">E6133*F6133</f>
        <v>-0.25</v>
      </c>
      <c r="O6133" s="0" t="n">
        <f aca="false">E6133*G6133</f>
        <v>0.25</v>
      </c>
      <c r="P6133" s="0" t="n">
        <f aca="false">E6133*H6133</f>
        <v>1</v>
      </c>
      <c r="Q6133" s="0" t="n">
        <f aca="false">F6133*G6133</f>
        <v>-0.0625</v>
      </c>
      <c r="R6133" s="0" t="n">
        <f aca="false">F6133*H6133</f>
        <v>-0.25</v>
      </c>
      <c r="S6133" s="0" t="n">
        <f aca="false">G6133*H6133</f>
        <v>0.25</v>
      </c>
      <c r="T6133" s="0" t="n">
        <f aca="false">E6133*E6133</f>
        <v>1</v>
      </c>
      <c r="U6133" s="0" t="n">
        <f aca="false">F6133*F6133</f>
        <v>0.0625</v>
      </c>
      <c r="V6133" s="0" t="n">
        <f aca="false">G6133*G6133</f>
        <v>0.0625</v>
      </c>
      <c r="W6133" s="0" t="n">
        <f aca="false">H6133*H6133</f>
        <v>1</v>
      </c>
      <c r="X6133" s="0" t="n">
        <f aca="false">SUMPRODUCT(I6133:W6133,_XtX!$B$96:$P$96)</f>
        <v>46.6589775219299</v>
      </c>
      <c r="Y6133" s="0" t="n">
        <f aca="false">SUMPRODUCT(MMULT(I6133:W6133,_XtX!$B$78:$P$92),I6133:W6133)</f>
        <v>0.670040376005117</v>
      </c>
      <c r="Z6133" s="0" t="n">
        <f aca="false">04_回帰ANOVA!$K$19*04_回帰ANOVA!$K$14*SQRT(1+Y6133)</f>
        <v>1.68446456039992</v>
      </c>
      <c r="AA6133" s="0" t="n">
        <f aca="false">X6133-Z6133</f>
        <v>44.97451296153</v>
      </c>
      <c r="AB6133" s="0" t="n">
        <f aca="false">X6133+Z6133</f>
        <v>48.3434420823298</v>
      </c>
      <c r="AC6133" s="54" t="b">
        <f aca="false">AND(E6133&gt;=01_因子設定!$L$5-0.000000001,E6133&lt;=01_因子設定!$M$5+0.000000001,F6133&gt;=01_因子設定!$L$6-0.000000001,F6133&lt;=01_因子設定!$M$6+0.000000001,G6133&gt;=01_因子設定!$L$7-0.000000001,G6133&lt;=01_因子設定!$M$7+0.000000001,H6133&gt;=01_因子設定!$L$8-0.000000001,H6133&lt;=01_因子設定!$M$8+0.000000001,IF(01_因子設定!$B$20="Box-Behnken",E6133^2+F6133^2+G6133^2+H6133^2&lt;=2+0.000000001,TRUE()))</f>
        <v>1</v>
      </c>
      <c r="AD6133" s="55" t="n">
        <f aca="false">IF(AC6133,IF(01_因子設定!$B$13="最大化",AA6133-01_因子設定!$B$14,IF(01_因子設定!$B$13="最小化",01_因子設定!$B$15-AB6133,MIN(AA6133-01_因子設定!$B$14,01_因子設定!$B$15-AB6133))),-1E+030)</f>
        <v>-1.52548703847003</v>
      </c>
      <c r="AE6133" s="55" t="n">
        <f aca="false">IF(AC6133,IF(01_因子設定!$B$13="最大化",X6133,IF(01_因子設定!$B$13="最小化",-X6133,-ABS(X6133-01_因子設定!$B$16))),-1E+030)</f>
        <v>46.6589775219299</v>
      </c>
      <c r="AF6133" s="55" t="n">
        <f aca="false">AD6133+ROW()*0.000000001</f>
        <v>-1.52548090547003</v>
      </c>
      <c r="AG6133" s="55" t="n">
        <f aca="false">AE6133+ROW()*0.000000001</f>
        <v>46.6589836549299</v>
      </c>
    </row>
    <row r="6134" customFormat="false" ht="15" hidden="false" customHeight="false" outlineLevel="0" collapsed="false">
      <c r="A6134" s="0" t="n">
        <v>8</v>
      </c>
      <c r="B6134" s="0" t="n">
        <v>3</v>
      </c>
      <c r="C6134" s="0" t="n">
        <v>6</v>
      </c>
      <c r="D6134" s="0" t="n">
        <v>0</v>
      </c>
      <c r="E6134" s="0" t="n">
        <f aca="false">-1+A6134*0.25</f>
        <v>1</v>
      </c>
      <c r="F6134" s="0" t="n">
        <f aca="false">-1+B6134*0.25</f>
        <v>-0.25</v>
      </c>
      <c r="G6134" s="0" t="n">
        <f aca="false">-1+C6134*0.25</f>
        <v>0.5</v>
      </c>
      <c r="H6134" s="0" t="n">
        <f aca="false">-1+D6134*0.25</f>
        <v>-1</v>
      </c>
      <c r="I6134" s="0" t="n">
        <f aca="false">1</f>
        <v>1</v>
      </c>
      <c r="J6134" s="0" t="n">
        <f aca="false">E6134</f>
        <v>1</v>
      </c>
      <c r="K6134" s="0" t="n">
        <f aca="false">F6134</f>
        <v>-0.25</v>
      </c>
      <c r="L6134" s="0" t="n">
        <f aca="false">G6134</f>
        <v>0.5</v>
      </c>
      <c r="M6134" s="0" t="n">
        <f aca="false">H6134</f>
        <v>-1</v>
      </c>
      <c r="N6134" s="0" t="n">
        <f aca="false">E6134*F6134</f>
        <v>-0.25</v>
      </c>
      <c r="O6134" s="0" t="n">
        <f aca="false">E6134*G6134</f>
        <v>0.5</v>
      </c>
      <c r="P6134" s="0" t="n">
        <f aca="false">E6134*H6134</f>
        <v>-1</v>
      </c>
      <c r="Q6134" s="0" t="n">
        <f aca="false">F6134*G6134</f>
        <v>-0.125</v>
      </c>
      <c r="R6134" s="0" t="n">
        <f aca="false">F6134*H6134</f>
        <v>0.25</v>
      </c>
      <c r="S6134" s="0" t="n">
        <f aca="false">G6134*H6134</f>
        <v>-0.5</v>
      </c>
      <c r="T6134" s="0" t="n">
        <f aca="false">E6134*E6134</f>
        <v>1</v>
      </c>
      <c r="U6134" s="0" t="n">
        <f aca="false">F6134*F6134</f>
        <v>0.0625</v>
      </c>
      <c r="V6134" s="0" t="n">
        <f aca="false">G6134*G6134</f>
        <v>0.25</v>
      </c>
      <c r="W6134" s="0" t="n">
        <f aca="false">H6134*H6134</f>
        <v>1</v>
      </c>
      <c r="X6134" s="0" t="n">
        <f aca="false">SUMPRODUCT(I6134:W6134,_XtX!$B$96:$P$96)</f>
        <v>45.2118329678363</v>
      </c>
      <c r="Y6134" s="0" t="n">
        <f aca="false">SUMPRODUCT(MMULT(I6134:W6134,_XtX!$B$78:$P$92),I6134:W6134)</f>
        <v>0.629174661915205</v>
      </c>
      <c r="Z6134" s="0" t="n">
        <f aca="false">04_回帰ANOVA!$K$19*04_回帰ANOVA!$K$14*SQRT(1+Y6134)</f>
        <v>1.66372758058297</v>
      </c>
      <c r="AA6134" s="0" t="n">
        <f aca="false">X6134-Z6134</f>
        <v>43.5481053872534</v>
      </c>
      <c r="AB6134" s="0" t="n">
        <f aca="false">X6134+Z6134</f>
        <v>46.8755605484193</v>
      </c>
      <c r="AC6134" s="54" t="b">
        <f aca="false">AND(E6134&gt;=01_因子設定!$L$5-0.000000001,E6134&lt;=01_因子設定!$M$5+0.000000001,F6134&gt;=01_因子設定!$L$6-0.000000001,F6134&lt;=01_因子設定!$M$6+0.000000001,G6134&gt;=01_因子設定!$L$7-0.000000001,G6134&lt;=01_因子設定!$M$7+0.000000001,H6134&gt;=01_因子設定!$L$8-0.000000001,H6134&lt;=01_因子設定!$M$8+0.000000001,IF(01_因子設定!$B$20="Box-Behnken",E6134^2+F6134^2+G6134^2+H6134^2&lt;=2+0.000000001,TRUE()))</f>
        <v>1</v>
      </c>
      <c r="AD6134" s="55" t="n">
        <f aca="false">IF(AC6134,IF(01_因子設定!$B$13="最大化",AA6134-01_因子設定!$B$14,IF(01_因子設定!$B$13="最小化",01_因子設定!$B$15-AB6134,MIN(AA6134-01_因子設定!$B$14,01_因子設定!$B$15-AB6134))),-1E+030)</f>
        <v>-2.95189461274665</v>
      </c>
      <c r="AE6134" s="55" t="n">
        <f aca="false">IF(AC6134,IF(01_因子設定!$B$13="最大化",X6134,IF(01_因子設定!$B$13="最小化",-X6134,-ABS(X6134-01_因子設定!$B$16))),-1E+030)</f>
        <v>45.2118329678363</v>
      </c>
      <c r="AF6134" s="55" t="n">
        <f aca="false">AD6134+ROW()*0.000000001</f>
        <v>-2.95188847874665</v>
      </c>
      <c r="AG6134" s="55" t="n">
        <f aca="false">AE6134+ROW()*0.000000001</f>
        <v>45.2118391018363</v>
      </c>
    </row>
    <row r="6135" customFormat="false" ht="15" hidden="false" customHeight="false" outlineLevel="0" collapsed="false">
      <c r="A6135" s="0" t="n">
        <v>8</v>
      </c>
      <c r="B6135" s="0" t="n">
        <v>3</v>
      </c>
      <c r="C6135" s="0" t="n">
        <v>6</v>
      </c>
      <c r="D6135" s="0" t="n">
        <v>1</v>
      </c>
      <c r="E6135" s="0" t="n">
        <f aca="false">-1+A6135*0.25</f>
        <v>1</v>
      </c>
      <c r="F6135" s="0" t="n">
        <f aca="false">-1+B6135*0.25</f>
        <v>-0.25</v>
      </c>
      <c r="G6135" s="0" t="n">
        <f aca="false">-1+C6135*0.25</f>
        <v>0.5</v>
      </c>
      <c r="H6135" s="0" t="n">
        <f aca="false">-1+D6135*0.25</f>
        <v>-0.75</v>
      </c>
      <c r="I6135" s="0" t="n">
        <f aca="false">1</f>
        <v>1</v>
      </c>
      <c r="J6135" s="0" t="n">
        <f aca="false">E6135</f>
        <v>1</v>
      </c>
      <c r="K6135" s="0" t="n">
        <f aca="false">F6135</f>
        <v>-0.25</v>
      </c>
      <c r="L6135" s="0" t="n">
        <f aca="false">G6135</f>
        <v>0.5</v>
      </c>
      <c r="M6135" s="0" t="n">
        <f aca="false">H6135</f>
        <v>-0.75</v>
      </c>
      <c r="N6135" s="0" t="n">
        <f aca="false">E6135*F6135</f>
        <v>-0.25</v>
      </c>
      <c r="O6135" s="0" t="n">
        <f aca="false">E6135*G6135</f>
        <v>0.5</v>
      </c>
      <c r="P6135" s="0" t="n">
        <f aca="false">E6135*H6135</f>
        <v>-0.75</v>
      </c>
      <c r="Q6135" s="0" t="n">
        <f aca="false">F6135*G6135</f>
        <v>-0.125</v>
      </c>
      <c r="R6135" s="0" t="n">
        <f aca="false">F6135*H6135</f>
        <v>0.1875</v>
      </c>
      <c r="S6135" s="0" t="n">
        <f aca="false">G6135*H6135</f>
        <v>-0.375</v>
      </c>
      <c r="T6135" s="0" t="n">
        <f aca="false">E6135*E6135</f>
        <v>1</v>
      </c>
      <c r="U6135" s="0" t="n">
        <f aca="false">F6135*F6135</f>
        <v>0.0625</v>
      </c>
      <c r="V6135" s="0" t="n">
        <f aca="false">G6135*G6135</f>
        <v>0.25</v>
      </c>
      <c r="W6135" s="0" t="n">
        <f aca="false">H6135*H6135</f>
        <v>0.5625</v>
      </c>
      <c r="X6135" s="0" t="n">
        <f aca="false">SUMPRODUCT(I6135:W6135,_XtX!$B$96:$P$96)</f>
        <v>45.5610151681287</v>
      </c>
      <c r="Y6135" s="0" t="n">
        <f aca="false">SUMPRODUCT(MMULT(I6135:W6135,_XtX!$B$78:$P$92),I6135:W6135)</f>
        <v>0.459125719572369</v>
      </c>
      <c r="Z6135" s="0" t="n">
        <f aca="false">04_回帰ANOVA!$K$19*04_回帰ANOVA!$K$14*SQRT(1+Y6135)</f>
        <v>1.57450755575573</v>
      </c>
      <c r="AA6135" s="0" t="n">
        <f aca="false">X6135-Z6135</f>
        <v>43.986507612373</v>
      </c>
      <c r="AB6135" s="0" t="n">
        <f aca="false">X6135+Z6135</f>
        <v>47.1355227238844</v>
      </c>
      <c r="AC6135" s="54" t="b">
        <f aca="false">AND(E6135&gt;=01_因子設定!$L$5-0.000000001,E6135&lt;=01_因子設定!$M$5+0.000000001,F6135&gt;=01_因子設定!$L$6-0.000000001,F6135&lt;=01_因子設定!$M$6+0.000000001,G6135&gt;=01_因子設定!$L$7-0.000000001,G6135&lt;=01_因子設定!$M$7+0.000000001,H6135&gt;=01_因子設定!$L$8-0.000000001,H6135&lt;=01_因子設定!$M$8+0.000000001,IF(01_因子設定!$B$20="Box-Behnken",E6135^2+F6135^2+G6135^2+H6135^2&lt;=2+0.000000001,TRUE()))</f>
        <v>1</v>
      </c>
      <c r="AD6135" s="55" t="n">
        <f aca="false">IF(AC6135,IF(01_因子設定!$B$13="最大化",AA6135-01_因子設定!$B$14,IF(01_因子設定!$B$13="最小化",01_因子設定!$B$15-AB6135,MIN(AA6135-01_因子設定!$B$14,01_因子設定!$B$15-AB6135))),-1E+030)</f>
        <v>-2.51349238762703</v>
      </c>
      <c r="AE6135" s="55" t="n">
        <f aca="false">IF(AC6135,IF(01_因子設定!$B$13="最大化",X6135,IF(01_因子設定!$B$13="最小化",-X6135,-ABS(X6135-01_因子設定!$B$16))),-1E+030)</f>
        <v>45.5610151681287</v>
      </c>
      <c r="AF6135" s="55" t="n">
        <f aca="false">AD6135+ROW()*0.000000001</f>
        <v>-2.51348625262703</v>
      </c>
      <c r="AG6135" s="55" t="n">
        <f aca="false">AE6135+ROW()*0.000000001</f>
        <v>45.5610213031287</v>
      </c>
    </row>
    <row r="6136" customFormat="false" ht="15" hidden="false" customHeight="false" outlineLevel="0" collapsed="false">
      <c r="A6136" s="0" t="n">
        <v>8</v>
      </c>
      <c r="B6136" s="0" t="n">
        <v>3</v>
      </c>
      <c r="C6136" s="0" t="n">
        <v>6</v>
      </c>
      <c r="D6136" s="0" t="n">
        <v>2</v>
      </c>
      <c r="E6136" s="0" t="n">
        <f aca="false">-1+A6136*0.25</f>
        <v>1</v>
      </c>
      <c r="F6136" s="0" t="n">
        <f aca="false">-1+B6136*0.25</f>
        <v>-0.25</v>
      </c>
      <c r="G6136" s="0" t="n">
        <f aca="false">-1+C6136*0.25</f>
        <v>0.5</v>
      </c>
      <c r="H6136" s="0" t="n">
        <f aca="false">-1+D6136*0.25</f>
        <v>-0.5</v>
      </c>
      <c r="I6136" s="0" t="n">
        <f aca="false">1</f>
        <v>1</v>
      </c>
      <c r="J6136" s="0" t="n">
        <f aca="false">E6136</f>
        <v>1</v>
      </c>
      <c r="K6136" s="0" t="n">
        <f aca="false">F6136</f>
        <v>-0.25</v>
      </c>
      <c r="L6136" s="0" t="n">
        <f aca="false">G6136</f>
        <v>0.5</v>
      </c>
      <c r="M6136" s="0" t="n">
        <f aca="false">H6136</f>
        <v>-0.5</v>
      </c>
      <c r="N6136" s="0" t="n">
        <f aca="false">E6136*F6136</f>
        <v>-0.25</v>
      </c>
      <c r="O6136" s="0" t="n">
        <f aca="false">E6136*G6136</f>
        <v>0.5</v>
      </c>
      <c r="P6136" s="0" t="n">
        <f aca="false">E6136*H6136</f>
        <v>-0.5</v>
      </c>
      <c r="Q6136" s="0" t="n">
        <f aca="false">F6136*G6136</f>
        <v>-0.125</v>
      </c>
      <c r="R6136" s="0" t="n">
        <f aca="false">F6136*H6136</f>
        <v>0.125</v>
      </c>
      <c r="S6136" s="0" t="n">
        <f aca="false">G6136*H6136</f>
        <v>-0.25</v>
      </c>
      <c r="T6136" s="0" t="n">
        <f aca="false">E6136*E6136</f>
        <v>1</v>
      </c>
      <c r="U6136" s="0" t="n">
        <f aca="false">F6136*F6136</f>
        <v>0.0625</v>
      </c>
      <c r="V6136" s="0" t="n">
        <f aca="false">G6136*G6136</f>
        <v>0.25</v>
      </c>
      <c r="W6136" s="0" t="n">
        <f aca="false">H6136*H6136</f>
        <v>0.25</v>
      </c>
      <c r="X6136" s="0" t="n">
        <f aca="false">SUMPRODUCT(I6136:W6136,_XtX!$B$96:$P$96)</f>
        <v>45.8623903508772</v>
      </c>
      <c r="Y6136" s="0" t="n">
        <f aca="false">SUMPRODUCT(MMULT(I6136:W6136,_XtX!$B$78:$P$92),I6136:W6136)</f>
        <v>0.428122715643275</v>
      </c>
      <c r="Z6136" s="0" t="n">
        <f aca="false">04_回帰ANOVA!$K$19*04_回帰ANOVA!$K$14*SQRT(1+Y6136)</f>
        <v>1.55769044623229</v>
      </c>
      <c r="AA6136" s="0" t="n">
        <f aca="false">X6136-Z6136</f>
        <v>44.3046999046449</v>
      </c>
      <c r="AB6136" s="0" t="n">
        <f aca="false">X6136+Z6136</f>
        <v>47.4200807971095</v>
      </c>
      <c r="AC6136" s="54" t="b">
        <f aca="false">AND(E6136&gt;=01_因子設定!$L$5-0.000000001,E6136&lt;=01_因子設定!$M$5+0.000000001,F6136&gt;=01_因子設定!$L$6-0.000000001,F6136&lt;=01_因子設定!$M$6+0.000000001,G6136&gt;=01_因子設定!$L$7-0.000000001,G6136&lt;=01_因子設定!$M$7+0.000000001,H6136&gt;=01_因子設定!$L$8-0.000000001,H6136&lt;=01_因子設定!$M$8+0.000000001,IF(01_因子設定!$B$20="Box-Behnken",E6136^2+F6136^2+G6136^2+H6136^2&lt;=2+0.000000001,TRUE()))</f>
        <v>1</v>
      </c>
      <c r="AD6136" s="55" t="n">
        <f aca="false">IF(AC6136,IF(01_因子設定!$B$13="最大化",AA6136-01_因子設定!$B$14,IF(01_因子設定!$B$13="最小化",01_因子設定!$B$15-AB6136,MIN(AA6136-01_因子設定!$B$14,01_因子設定!$B$15-AB6136))),-1E+030)</f>
        <v>-2.19530009535507</v>
      </c>
      <c r="AE6136" s="55" t="n">
        <f aca="false">IF(AC6136,IF(01_因子設定!$B$13="最大化",X6136,IF(01_因子設定!$B$13="最小化",-X6136,-ABS(X6136-01_因子設定!$B$16))),-1E+030)</f>
        <v>45.8623903508772</v>
      </c>
      <c r="AF6136" s="55" t="n">
        <f aca="false">AD6136+ROW()*0.000000001</f>
        <v>-2.19529395935507</v>
      </c>
      <c r="AG6136" s="55" t="n">
        <f aca="false">AE6136+ROW()*0.000000001</f>
        <v>45.8623964868772</v>
      </c>
    </row>
    <row r="6137" customFormat="false" ht="15" hidden="false" customHeight="false" outlineLevel="0" collapsed="false">
      <c r="A6137" s="0" t="n">
        <v>8</v>
      </c>
      <c r="B6137" s="0" t="n">
        <v>3</v>
      </c>
      <c r="C6137" s="0" t="n">
        <v>6</v>
      </c>
      <c r="D6137" s="0" t="n">
        <v>3</v>
      </c>
      <c r="E6137" s="0" t="n">
        <f aca="false">-1+A6137*0.25</f>
        <v>1</v>
      </c>
      <c r="F6137" s="0" t="n">
        <f aca="false">-1+B6137*0.25</f>
        <v>-0.25</v>
      </c>
      <c r="G6137" s="0" t="n">
        <f aca="false">-1+C6137*0.25</f>
        <v>0.5</v>
      </c>
      <c r="H6137" s="0" t="n">
        <f aca="false">-1+D6137*0.25</f>
        <v>-0.25</v>
      </c>
      <c r="I6137" s="0" t="n">
        <f aca="false">1</f>
        <v>1</v>
      </c>
      <c r="J6137" s="0" t="n">
        <f aca="false">E6137</f>
        <v>1</v>
      </c>
      <c r="K6137" s="0" t="n">
        <f aca="false">F6137</f>
        <v>-0.25</v>
      </c>
      <c r="L6137" s="0" t="n">
        <f aca="false">G6137</f>
        <v>0.5</v>
      </c>
      <c r="M6137" s="0" t="n">
        <f aca="false">H6137</f>
        <v>-0.25</v>
      </c>
      <c r="N6137" s="0" t="n">
        <f aca="false">E6137*F6137</f>
        <v>-0.25</v>
      </c>
      <c r="O6137" s="0" t="n">
        <f aca="false">E6137*G6137</f>
        <v>0.5</v>
      </c>
      <c r="P6137" s="0" t="n">
        <f aca="false">E6137*H6137</f>
        <v>-0.25</v>
      </c>
      <c r="Q6137" s="0" t="n">
        <f aca="false">F6137*G6137</f>
        <v>-0.125</v>
      </c>
      <c r="R6137" s="0" t="n">
        <f aca="false">F6137*H6137</f>
        <v>0.0625</v>
      </c>
      <c r="S6137" s="0" t="n">
        <f aca="false">G6137*H6137</f>
        <v>-0.125</v>
      </c>
      <c r="T6137" s="0" t="n">
        <f aca="false">E6137*E6137</f>
        <v>1</v>
      </c>
      <c r="U6137" s="0" t="n">
        <f aca="false">F6137*F6137</f>
        <v>0.0625</v>
      </c>
      <c r="V6137" s="0" t="n">
        <f aca="false">G6137*G6137</f>
        <v>0.25</v>
      </c>
      <c r="W6137" s="0" t="n">
        <f aca="false">H6137*H6137</f>
        <v>0.0625</v>
      </c>
      <c r="X6137" s="0" t="n">
        <f aca="false">SUMPRODUCT(I6137:W6137,_XtX!$B$96:$P$96)</f>
        <v>46.1159585160819</v>
      </c>
      <c r="Y6137" s="0" t="n">
        <f aca="false">SUMPRODUCT(MMULT(I6137:W6137,_XtX!$B$78:$P$92),I6137:W6137)</f>
        <v>0.445705123812135</v>
      </c>
      <c r="Z6137" s="0" t="n">
        <f aca="false">04_回帰ANOVA!$K$19*04_回帰ANOVA!$K$14*SQRT(1+Y6137)</f>
        <v>1.56724990734749</v>
      </c>
      <c r="AA6137" s="0" t="n">
        <f aca="false">X6137-Z6137</f>
        <v>44.5487086087344</v>
      </c>
      <c r="AB6137" s="0" t="n">
        <f aca="false">X6137+Z6137</f>
        <v>47.6832084234294</v>
      </c>
      <c r="AC6137" s="54" t="b">
        <f aca="false">AND(E6137&gt;=01_因子設定!$L$5-0.000000001,E6137&lt;=01_因子設定!$M$5+0.000000001,F6137&gt;=01_因子設定!$L$6-0.000000001,F6137&lt;=01_因子設定!$M$6+0.000000001,G6137&gt;=01_因子設定!$L$7-0.000000001,G6137&lt;=01_因子設定!$M$7+0.000000001,H6137&gt;=01_因子設定!$L$8-0.000000001,H6137&lt;=01_因子設定!$M$8+0.000000001,IF(01_因子設定!$B$20="Box-Behnken",E6137^2+F6137^2+G6137^2+H6137^2&lt;=2+0.000000001,TRUE()))</f>
        <v>1</v>
      </c>
      <c r="AD6137" s="55" t="n">
        <f aca="false">IF(AC6137,IF(01_因子設定!$B$13="最大化",AA6137-01_因子設定!$B$14,IF(01_因子設定!$B$13="最小化",01_因子設定!$B$15-AB6137,MIN(AA6137-01_因子設定!$B$14,01_因子設定!$B$15-AB6137))),-1E+030)</f>
        <v>-1.95129139126559</v>
      </c>
      <c r="AE6137" s="55" t="n">
        <f aca="false">IF(AC6137,IF(01_因子設定!$B$13="最大化",X6137,IF(01_因子設定!$B$13="最小化",-X6137,-ABS(X6137-01_因子設定!$B$16))),-1E+030)</f>
        <v>46.1159585160819</v>
      </c>
      <c r="AF6137" s="55" t="n">
        <f aca="false">AD6137+ROW()*0.000000001</f>
        <v>-1.95128525426559</v>
      </c>
      <c r="AG6137" s="55" t="n">
        <f aca="false">AE6137+ROW()*0.000000001</f>
        <v>46.1159646530819</v>
      </c>
    </row>
    <row r="6138" customFormat="false" ht="15" hidden="false" customHeight="false" outlineLevel="0" collapsed="false">
      <c r="A6138" s="0" t="n">
        <v>8</v>
      </c>
      <c r="B6138" s="0" t="n">
        <v>3</v>
      </c>
      <c r="C6138" s="0" t="n">
        <v>6</v>
      </c>
      <c r="D6138" s="0" t="n">
        <v>4</v>
      </c>
      <c r="E6138" s="0" t="n">
        <f aca="false">-1+A6138*0.25</f>
        <v>1</v>
      </c>
      <c r="F6138" s="0" t="n">
        <f aca="false">-1+B6138*0.25</f>
        <v>-0.25</v>
      </c>
      <c r="G6138" s="0" t="n">
        <f aca="false">-1+C6138*0.25</f>
        <v>0.5</v>
      </c>
      <c r="H6138" s="0" t="n">
        <f aca="false">-1+D6138*0.25</f>
        <v>0</v>
      </c>
      <c r="I6138" s="0" t="n">
        <f aca="false">1</f>
        <v>1</v>
      </c>
      <c r="J6138" s="0" t="n">
        <f aca="false">E6138</f>
        <v>1</v>
      </c>
      <c r="K6138" s="0" t="n">
        <f aca="false">F6138</f>
        <v>-0.25</v>
      </c>
      <c r="L6138" s="0" t="n">
        <f aca="false">G6138</f>
        <v>0.5</v>
      </c>
      <c r="M6138" s="0" t="n">
        <f aca="false">H6138</f>
        <v>0</v>
      </c>
      <c r="N6138" s="0" t="n">
        <f aca="false">E6138*F6138</f>
        <v>-0.25</v>
      </c>
      <c r="O6138" s="0" t="n">
        <f aca="false">E6138*G6138</f>
        <v>0.5</v>
      </c>
      <c r="P6138" s="0" t="n">
        <f aca="false">E6138*H6138</f>
        <v>0</v>
      </c>
      <c r="Q6138" s="0" t="n">
        <f aca="false">F6138*G6138</f>
        <v>-0.125</v>
      </c>
      <c r="R6138" s="0" t="n">
        <f aca="false">F6138*H6138</f>
        <v>-0</v>
      </c>
      <c r="S6138" s="0" t="n">
        <f aca="false">G6138*H6138</f>
        <v>0</v>
      </c>
      <c r="T6138" s="0" t="n">
        <f aca="false">E6138*E6138</f>
        <v>1</v>
      </c>
      <c r="U6138" s="0" t="n">
        <f aca="false">F6138*F6138</f>
        <v>0.0625</v>
      </c>
      <c r="V6138" s="0" t="n">
        <f aca="false">G6138*G6138</f>
        <v>0.25</v>
      </c>
      <c r="W6138" s="0" t="n">
        <f aca="false">H6138*H6138</f>
        <v>0</v>
      </c>
      <c r="X6138" s="0" t="n">
        <f aca="false">SUMPRODUCT(I6138:W6138,_XtX!$B$96:$P$96)</f>
        <v>46.3217196637427</v>
      </c>
      <c r="Y6138" s="0" t="n">
        <f aca="false">SUMPRODUCT(MMULT(I6138:W6138,_XtX!$B$78:$P$92),I6138:W6138)</f>
        <v>0.457596628289474</v>
      </c>
      <c r="Z6138" s="0" t="n">
        <f aca="false">04_回帰ANOVA!$K$19*04_回帰ANOVA!$K$14*SQRT(1+Y6138)</f>
        <v>1.57368233664366</v>
      </c>
      <c r="AA6138" s="0" t="n">
        <f aca="false">X6138-Z6138</f>
        <v>44.7480373270991</v>
      </c>
      <c r="AB6138" s="0" t="n">
        <f aca="false">X6138+Z6138</f>
        <v>47.8954020003864</v>
      </c>
      <c r="AC6138" s="54" t="b">
        <f aca="false">AND(E6138&gt;=01_因子設定!$L$5-0.000000001,E6138&lt;=01_因子設定!$M$5+0.000000001,F6138&gt;=01_因子設定!$L$6-0.000000001,F6138&lt;=01_因子設定!$M$6+0.000000001,G6138&gt;=01_因子設定!$L$7-0.000000001,G6138&lt;=01_因子設定!$M$7+0.000000001,H6138&gt;=01_因子設定!$L$8-0.000000001,H6138&lt;=01_因子設定!$M$8+0.000000001,IF(01_因子設定!$B$20="Box-Behnken",E6138^2+F6138^2+G6138^2+H6138^2&lt;=2+0.000000001,TRUE()))</f>
        <v>1</v>
      </c>
      <c r="AD6138" s="55" t="n">
        <f aca="false">IF(AC6138,IF(01_因子設定!$B$13="最大化",AA6138-01_因子設定!$B$14,IF(01_因子設定!$B$13="最小化",01_因子設定!$B$15-AB6138,MIN(AA6138-01_因子設定!$B$14,01_因子設定!$B$15-AB6138))),-1E+030)</f>
        <v>-1.75196267290094</v>
      </c>
      <c r="AE6138" s="55" t="n">
        <f aca="false">IF(AC6138,IF(01_因子設定!$B$13="最大化",X6138,IF(01_因子設定!$B$13="最小化",-X6138,-ABS(X6138-01_因子設定!$B$16))),-1E+030)</f>
        <v>46.3217196637427</v>
      </c>
      <c r="AF6138" s="55" t="n">
        <f aca="false">AD6138+ROW()*0.000000001</f>
        <v>-1.75195653490094</v>
      </c>
      <c r="AG6138" s="55" t="n">
        <f aca="false">AE6138+ROW()*0.000000001</f>
        <v>46.3217258017427</v>
      </c>
    </row>
    <row r="6139" customFormat="false" ht="15" hidden="false" customHeight="false" outlineLevel="0" collapsed="false">
      <c r="A6139" s="0" t="n">
        <v>8</v>
      </c>
      <c r="B6139" s="0" t="n">
        <v>3</v>
      </c>
      <c r="C6139" s="0" t="n">
        <v>6</v>
      </c>
      <c r="D6139" s="0" t="n">
        <v>5</v>
      </c>
      <c r="E6139" s="0" t="n">
        <f aca="false">-1+A6139*0.25</f>
        <v>1</v>
      </c>
      <c r="F6139" s="0" t="n">
        <f aca="false">-1+B6139*0.25</f>
        <v>-0.25</v>
      </c>
      <c r="G6139" s="0" t="n">
        <f aca="false">-1+C6139*0.25</f>
        <v>0.5</v>
      </c>
      <c r="H6139" s="0" t="n">
        <f aca="false">-1+D6139*0.25</f>
        <v>0.25</v>
      </c>
      <c r="I6139" s="0" t="n">
        <f aca="false">1</f>
        <v>1</v>
      </c>
      <c r="J6139" s="0" t="n">
        <f aca="false">E6139</f>
        <v>1</v>
      </c>
      <c r="K6139" s="0" t="n">
        <f aca="false">F6139</f>
        <v>-0.25</v>
      </c>
      <c r="L6139" s="0" t="n">
        <f aca="false">G6139</f>
        <v>0.5</v>
      </c>
      <c r="M6139" s="0" t="n">
        <f aca="false">H6139</f>
        <v>0.25</v>
      </c>
      <c r="N6139" s="0" t="n">
        <f aca="false">E6139*F6139</f>
        <v>-0.25</v>
      </c>
      <c r="O6139" s="0" t="n">
        <f aca="false">E6139*G6139</f>
        <v>0.5</v>
      </c>
      <c r="P6139" s="0" t="n">
        <f aca="false">E6139*H6139</f>
        <v>0.25</v>
      </c>
      <c r="Q6139" s="0" t="n">
        <f aca="false">F6139*G6139</f>
        <v>-0.125</v>
      </c>
      <c r="R6139" s="0" t="n">
        <f aca="false">F6139*H6139</f>
        <v>-0.0625</v>
      </c>
      <c r="S6139" s="0" t="n">
        <f aca="false">G6139*H6139</f>
        <v>0.125</v>
      </c>
      <c r="T6139" s="0" t="n">
        <f aca="false">E6139*E6139</f>
        <v>1</v>
      </c>
      <c r="U6139" s="0" t="n">
        <f aca="false">F6139*F6139</f>
        <v>0.0625</v>
      </c>
      <c r="V6139" s="0" t="n">
        <f aca="false">G6139*G6139</f>
        <v>0.25</v>
      </c>
      <c r="W6139" s="0" t="n">
        <f aca="false">H6139*H6139</f>
        <v>0.0625</v>
      </c>
      <c r="X6139" s="0" t="n">
        <f aca="false">SUMPRODUCT(I6139:W6139,_XtX!$B$96:$P$96)</f>
        <v>46.4796737938597</v>
      </c>
      <c r="Y6139" s="0" t="n">
        <f aca="false">SUMPRODUCT(MMULT(I6139:W6139,_XtX!$B$78:$P$92),I6139:W6139)</f>
        <v>0.445705123812135</v>
      </c>
      <c r="Z6139" s="0" t="n">
        <f aca="false">04_回帰ANOVA!$K$19*04_回帰ANOVA!$K$14*SQRT(1+Y6139)</f>
        <v>1.56724990734749</v>
      </c>
      <c r="AA6139" s="0" t="n">
        <f aca="false">X6139-Z6139</f>
        <v>44.9124238865122</v>
      </c>
      <c r="AB6139" s="0" t="n">
        <f aca="false">X6139+Z6139</f>
        <v>48.0469237012072</v>
      </c>
      <c r="AC6139" s="54" t="b">
        <f aca="false">AND(E6139&gt;=01_因子設定!$L$5-0.000000001,E6139&lt;=01_因子設定!$M$5+0.000000001,F6139&gt;=01_因子設定!$L$6-0.000000001,F6139&lt;=01_因子設定!$M$6+0.000000001,G6139&gt;=01_因子設定!$L$7-0.000000001,G6139&lt;=01_因子設定!$M$7+0.000000001,H6139&gt;=01_因子設定!$L$8-0.000000001,H6139&lt;=01_因子設定!$M$8+0.000000001,IF(01_因子設定!$B$20="Box-Behnken",E6139^2+F6139^2+G6139^2+H6139^2&lt;=2+0.000000001,TRUE()))</f>
        <v>1</v>
      </c>
      <c r="AD6139" s="55" t="n">
        <f aca="false">IF(AC6139,IF(01_因子設定!$B$13="最大化",AA6139-01_因子設定!$B$14,IF(01_因子設定!$B$13="最小化",01_因子設定!$B$15-AB6139,MIN(AA6139-01_因子設定!$B$14,01_因子設定!$B$15-AB6139))),-1E+030)</f>
        <v>-1.58757611348781</v>
      </c>
      <c r="AE6139" s="55" t="n">
        <f aca="false">IF(AC6139,IF(01_因子設定!$B$13="最大化",X6139,IF(01_因子設定!$B$13="最小化",-X6139,-ABS(X6139-01_因子設定!$B$16))),-1E+030)</f>
        <v>46.4796737938597</v>
      </c>
      <c r="AF6139" s="55" t="n">
        <f aca="false">AD6139+ROW()*0.000000001</f>
        <v>-1.58756997448781</v>
      </c>
      <c r="AG6139" s="55" t="n">
        <f aca="false">AE6139+ROW()*0.000000001</f>
        <v>46.4796799328597</v>
      </c>
    </row>
    <row r="6140" customFormat="false" ht="15" hidden="false" customHeight="false" outlineLevel="0" collapsed="false">
      <c r="A6140" s="0" t="n">
        <v>8</v>
      </c>
      <c r="B6140" s="0" t="n">
        <v>3</v>
      </c>
      <c r="C6140" s="0" t="n">
        <v>6</v>
      </c>
      <c r="D6140" s="0" t="n">
        <v>6</v>
      </c>
      <c r="E6140" s="0" t="n">
        <f aca="false">-1+A6140*0.25</f>
        <v>1</v>
      </c>
      <c r="F6140" s="0" t="n">
        <f aca="false">-1+B6140*0.25</f>
        <v>-0.25</v>
      </c>
      <c r="G6140" s="0" t="n">
        <f aca="false">-1+C6140*0.25</f>
        <v>0.5</v>
      </c>
      <c r="H6140" s="0" t="n">
        <f aca="false">-1+D6140*0.25</f>
        <v>0.5</v>
      </c>
      <c r="I6140" s="0" t="n">
        <f aca="false">1</f>
        <v>1</v>
      </c>
      <c r="J6140" s="0" t="n">
        <f aca="false">E6140</f>
        <v>1</v>
      </c>
      <c r="K6140" s="0" t="n">
        <f aca="false">F6140</f>
        <v>-0.25</v>
      </c>
      <c r="L6140" s="0" t="n">
        <f aca="false">G6140</f>
        <v>0.5</v>
      </c>
      <c r="M6140" s="0" t="n">
        <f aca="false">H6140</f>
        <v>0.5</v>
      </c>
      <c r="N6140" s="0" t="n">
        <f aca="false">E6140*F6140</f>
        <v>-0.25</v>
      </c>
      <c r="O6140" s="0" t="n">
        <f aca="false">E6140*G6140</f>
        <v>0.5</v>
      </c>
      <c r="P6140" s="0" t="n">
        <f aca="false">E6140*H6140</f>
        <v>0.5</v>
      </c>
      <c r="Q6140" s="0" t="n">
        <f aca="false">F6140*G6140</f>
        <v>-0.125</v>
      </c>
      <c r="R6140" s="0" t="n">
        <f aca="false">F6140*H6140</f>
        <v>-0.125</v>
      </c>
      <c r="S6140" s="0" t="n">
        <f aca="false">G6140*H6140</f>
        <v>0.25</v>
      </c>
      <c r="T6140" s="0" t="n">
        <f aca="false">E6140*E6140</f>
        <v>1</v>
      </c>
      <c r="U6140" s="0" t="n">
        <f aca="false">F6140*F6140</f>
        <v>0.0625</v>
      </c>
      <c r="V6140" s="0" t="n">
        <f aca="false">G6140*G6140</f>
        <v>0.25</v>
      </c>
      <c r="W6140" s="0" t="n">
        <f aca="false">H6140*H6140</f>
        <v>0.25</v>
      </c>
      <c r="X6140" s="0" t="n">
        <f aca="false">SUMPRODUCT(I6140:W6140,_XtX!$B$96:$P$96)</f>
        <v>46.5898209064328</v>
      </c>
      <c r="Y6140" s="0" t="n">
        <f aca="false">SUMPRODUCT(MMULT(I6140:W6140,_XtX!$B$78:$P$92),I6140:W6140)</f>
        <v>0.428122715643275</v>
      </c>
      <c r="Z6140" s="0" t="n">
        <f aca="false">04_回帰ANOVA!$K$19*04_回帰ANOVA!$K$14*SQRT(1+Y6140)</f>
        <v>1.55769044623229</v>
      </c>
      <c r="AA6140" s="0" t="n">
        <f aca="false">X6140-Z6140</f>
        <v>45.0321304602005</v>
      </c>
      <c r="AB6140" s="0" t="n">
        <f aca="false">X6140+Z6140</f>
        <v>48.1475113526651</v>
      </c>
      <c r="AC6140" s="54" t="b">
        <f aca="false">AND(E6140&gt;=01_因子設定!$L$5-0.000000001,E6140&lt;=01_因子設定!$M$5+0.000000001,F6140&gt;=01_因子設定!$L$6-0.000000001,F6140&lt;=01_因子設定!$M$6+0.000000001,G6140&gt;=01_因子設定!$L$7-0.000000001,G6140&lt;=01_因子設定!$M$7+0.000000001,H6140&gt;=01_因子設定!$L$8-0.000000001,H6140&lt;=01_因子設定!$M$8+0.000000001,IF(01_因子設定!$B$20="Box-Behnken",E6140^2+F6140^2+G6140^2+H6140^2&lt;=2+0.000000001,TRUE()))</f>
        <v>1</v>
      </c>
      <c r="AD6140" s="55" t="n">
        <f aca="false">IF(AC6140,IF(01_因子設定!$B$13="最大化",AA6140-01_因子設定!$B$14,IF(01_因子設定!$B$13="最小化",01_因子設定!$B$15-AB6140,MIN(AA6140-01_因子設定!$B$14,01_因子設定!$B$15-AB6140))),-1E+030)</f>
        <v>-1.46786953979951</v>
      </c>
      <c r="AE6140" s="55" t="n">
        <f aca="false">IF(AC6140,IF(01_因子設定!$B$13="最大化",X6140,IF(01_因子設定!$B$13="最小化",-X6140,-ABS(X6140-01_因子設定!$B$16))),-1E+030)</f>
        <v>46.5898209064328</v>
      </c>
      <c r="AF6140" s="55" t="n">
        <f aca="false">AD6140+ROW()*0.000000001</f>
        <v>-1.46786339979951</v>
      </c>
      <c r="AG6140" s="55" t="n">
        <f aca="false">AE6140+ROW()*0.000000001</f>
        <v>46.5898270464328</v>
      </c>
    </row>
    <row r="6141" customFormat="false" ht="15" hidden="false" customHeight="false" outlineLevel="0" collapsed="false">
      <c r="A6141" s="0" t="n">
        <v>8</v>
      </c>
      <c r="B6141" s="0" t="n">
        <v>3</v>
      </c>
      <c r="C6141" s="0" t="n">
        <v>6</v>
      </c>
      <c r="D6141" s="0" t="n">
        <v>7</v>
      </c>
      <c r="E6141" s="0" t="n">
        <f aca="false">-1+A6141*0.25</f>
        <v>1</v>
      </c>
      <c r="F6141" s="0" t="n">
        <f aca="false">-1+B6141*0.25</f>
        <v>-0.25</v>
      </c>
      <c r="G6141" s="0" t="n">
        <f aca="false">-1+C6141*0.25</f>
        <v>0.5</v>
      </c>
      <c r="H6141" s="0" t="n">
        <f aca="false">-1+D6141*0.25</f>
        <v>0.75</v>
      </c>
      <c r="I6141" s="0" t="n">
        <f aca="false">1</f>
        <v>1</v>
      </c>
      <c r="J6141" s="0" t="n">
        <f aca="false">E6141</f>
        <v>1</v>
      </c>
      <c r="K6141" s="0" t="n">
        <f aca="false">F6141</f>
        <v>-0.25</v>
      </c>
      <c r="L6141" s="0" t="n">
        <f aca="false">G6141</f>
        <v>0.5</v>
      </c>
      <c r="M6141" s="0" t="n">
        <f aca="false">H6141</f>
        <v>0.75</v>
      </c>
      <c r="N6141" s="0" t="n">
        <f aca="false">E6141*F6141</f>
        <v>-0.25</v>
      </c>
      <c r="O6141" s="0" t="n">
        <f aca="false">E6141*G6141</f>
        <v>0.5</v>
      </c>
      <c r="P6141" s="0" t="n">
        <f aca="false">E6141*H6141</f>
        <v>0.75</v>
      </c>
      <c r="Q6141" s="0" t="n">
        <f aca="false">F6141*G6141</f>
        <v>-0.125</v>
      </c>
      <c r="R6141" s="0" t="n">
        <f aca="false">F6141*H6141</f>
        <v>-0.1875</v>
      </c>
      <c r="S6141" s="0" t="n">
        <f aca="false">G6141*H6141</f>
        <v>0.375</v>
      </c>
      <c r="T6141" s="0" t="n">
        <f aca="false">E6141*E6141</f>
        <v>1</v>
      </c>
      <c r="U6141" s="0" t="n">
        <f aca="false">F6141*F6141</f>
        <v>0.0625</v>
      </c>
      <c r="V6141" s="0" t="n">
        <f aca="false">G6141*G6141</f>
        <v>0.25</v>
      </c>
      <c r="W6141" s="0" t="n">
        <f aca="false">H6141*H6141</f>
        <v>0.5625</v>
      </c>
      <c r="X6141" s="0" t="n">
        <f aca="false">SUMPRODUCT(I6141:W6141,_XtX!$B$96:$P$96)</f>
        <v>46.652161001462</v>
      </c>
      <c r="Y6141" s="0" t="n">
        <f aca="false">SUMPRODUCT(MMULT(I6141:W6141,_XtX!$B$78:$P$92),I6141:W6141)</f>
        <v>0.459125719572369</v>
      </c>
      <c r="Z6141" s="0" t="n">
        <f aca="false">04_回帰ANOVA!$K$19*04_回帰ANOVA!$K$14*SQRT(1+Y6141)</f>
        <v>1.57450755575573</v>
      </c>
      <c r="AA6141" s="0" t="n">
        <f aca="false">X6141-Z6141</f>
        <v>45.0776534457063</v>
      </c>
      <c r="AB6141" s="0" t="n">
        <f aca="false">X6141+Z6141</f>
        <v>48.2266685572178</v>
      </c>
      <c r="AC6141" s="54" t="b">
        <f aca="false">AND(E6141&gt;=01_因子設定!$L$5-0.000000001,E6141&lt;=01_因子設定!$M$5+0.000000001,F6141&gt;=01_因子設定!$L$6-0.000000001,F6141&lt;=01_因子設定!$M$6+0.000000001,G6141&gt;=01_因子設定!$L$7-0.000000001,G6141&lt;=01_因子設定!$M$7+0.000000001,H6141&gt;=01_因子設定!$L$8-0.000000001,H6141&lt;=01_因子設定!$M$8+0.000000001,IF(01_因子設定!$B$20="Box-Behnken",E6141^2+F6141^2+G6141^2+H6141^2&lt;=2+0.000000001,TRUE()))</f>
        <v>1</v>
      </c>
      <c r="AD6141" s="55" t="n">
        <f aca="false">IF(AC6141,IF(01_因子設定!$B$13="最大化",AA6141-01_因子設定!$B$14,IF(01_因子設定!$B$13="最小化",01_因子設定!$B$15-AB6141,MIN(AA6141-01_因子設定!$B$14,01_因子設定!$B$15-AB6141))),-1E+030)</f>
        <v>-1.4223465542937</v>
      </c>
      <c r="AE6141" s="55" t="n">
        <f aca="false">IF(AC6141,IF(01_因子設定!$B$13="最大化",X6141,IF(01_因子設定!$B$13="最小化",-X6141,-ABS(X6141-01_因子設定!$B$16))),-1E+030)</f>
        <v>46.652161001462</v>
      </c>
      <c r="AF6141" s="55" t="n">
        <f aca="false">AD6141+ROW()*0.000000001</f>
        <v>-1.4223404132937</v>
      </c>
      <c r="AG6141" s="55" t="n">
        <f aca="false">AE6141+ROW()*0.000000001</f>
        <v>46.652167142462</v>
      </c>
    </row>
    <row r="6142" customFormat="false" ht="15" hidden="false" customHeight="false" outlineLevel="0" collapsed="false">
      <c r="A6142" s="0" t="n">
        <v>8</v>
      </c>
      <c r="B6142" s="0" t="n">
        <v>3</v>
      </c>
      <c r="C6142" s="0" t="n">
        <v>6</v>
      </c>
      <c r="D6142" s="0" t="n">
        <v>8</v>
      </c>
      <c r="E6142" s="0" t="n">
        <f aca="false">-1+A6142*0.25</f>
        <v>1</v>
      </c>
      <c r="F6142" s="0" t="n">
        <f aca="false">-1+B6142*0.25</f>
        <v>-0.25</v>
      </c>
      <c r="G6142" s="0" t="n">
        <f aca="false">-1+C6142*0.25</f>
        <v>0.5</v>
      </c>
      <c r="H6142" s="0" t="n">
        <f aca="false">-1+D6142*0.25</f>
        <v>1</v>
      </c>
      <c r="I6142" s="0" t="n">
        <f aca="false">1</f>
        <v>1</v>
      </c>
      <c r="J6142" s="0" t="n">
        <f aca="false">E6142</f>
        <v>1</v>
      </c>
      <c r="K6142" s="0" t="n">
        <f aca="false">F6142</f>
        <v>-0.25</v>
      </c>
      <c r="L6142" s="0" t="n">
        <f aca="false">G6142</f>
        <v>0.5</v>
      </c>
      <c r="M6142" s="0" t="n">
        <f aca="false">H6142</f>
        <v>1</v>
      </c>
      <c r="N6142" s="0" t="n">
        <f aca="false">E6142*F6142</f>
        <v>-0.25</v>
      </c>
      <c r="O6142" s="0" t="n">
        <f aca="false">E6142*G6142</f>
        <v>0.5</v>
      </c>
      <c r="P6142" s="0" t="n">
        <f aca="false">E6142*H6142</f>
        <v>1</v>
      </c>
      <c r="Q6142" s="0" t="n">
        <f aca="false">F6142*G6142</f>
        <v>-0.125</v>
      </c>
      <c r="R6142" s="0" t="n">
        <f aca="false">F6142*H6142</f>
        <v>-0.25</v>
      </c>
      <c r="S6142" s="0" t="n">
        <f aca="false">G6142*H6142</f>
        <v>0.5</v>
      </c>
      <c r="T6142" s="0" t="n">
        <f aca="false">E6142*E6142</f>
        <v>1</v>
      </c>
      <c r="U6142" s="0" t="n">
        <f aca="false">F6142*F6142</f>
        <v>0.0625</v>
      </c>
      <c r="V6142" s="0" t="n">
        <f aca="false">G6142*G6142</f>
        <v>0.25</v>
      </c>
      <c r="W6142" s="0" t="n">
        <f aca="false">H6142*H6142</f>
        <v>1</v>
      </c>
      <c r="X6142" s="0" t="n">
        <f aca="false">SUMPRODUCT(I6142:W6142,_XtX!$B$96:$P$96)</f>
        <v>46.6666940789474</v>
      </c>
      <c r="Y6142" s="0" t="n">
        <f aca="false">SUMPRODUCT(MMULT(I6142:W6142,_XtX!$B$78:$P$92),I6142:W6142)</f>
        <v>0.629174661915205</v>
      </c>
      <c r="Z6142" s="0" t="n">
        <f aca="false">04_回帰ANOVA!$K$19*04_回帰ANOVA!$K$14*SQRT(1+Y6142)</f>
        <v>1.66372758058297</v>
      </c>
      <c r="AA6142" s="0" t="n">
        <f aca="false">X6142-Z6142</f>
        <v>45.0029664983645</v>
      </c>
      <c r="AB6142" s="0" t="n">
        <f aca="false">X6142+Z6142</f>
        <v>48.3304216595304</v>
      </c>
      <c r="AC6142" s="54" t="b">
        <f aca="false">AND(E6142&gt;=01_因子設定!$L$5-0.000000001,E6142&lt;=01_因子設定!$M$5+0.000000001,F6142&gt;=01_因子設定!$L$6-0.000000001,F6142&lt;=01_因子設定!$M$6+0.000000001,G6142&gt;=01_因子設定!$L$7-0.000000001,G6142&lt;=01_因子設定!$M$7+0.000000001,H6142&gt;=01_因子設定!$L$8-0.000000001,H6142&lt;=01_因子設定!$M$8+0.000000001,IF(01_因子設定!$B$20="Box-Behnken",E6142^2+F6142^2+G6142^2+H6142^2&lt;=2+0.000000001,TRUE()))</f>
        <v>1</v>
      </c>
      <c r="AD6142" s="55" t="n">
        <f aca="false">IF(AC6142,IF(01_因子設定!$B$13="最大化",AA6142-01_因子設定!$B$14,IF(01_因子設定!$B$13="最小化",01_因子設定!$B$15-AB6142,MIN(AA6142-01_因子設定!$B$14,01_因子設定!$B$15-AB6142))),-1E+030)</f>
        <v>-1.49703350163554</v>
      </c>
      <c r="AE6142" s="55" t="n">
        <f aca="false">IF(AC6142,IF(01_因子設定!$B$13="最大化",X6142,IF(01_因子設定!$B$13="最小化",-X6142,-ABS(X6142-01_因子設定!$B$16))),-1E+030)</f>
        <v>46.6666940789474</v>
      </c>
      <c r="AF6142" s="55" t="n">
        <f aca="false">AD6142+ROW()*0.000000001</f>
        <v>-1.49702735963554</v>
      </c>
      <c r="AG6142" s="55" t="n">
        <f aca="false">AE6142+ROW()*0.000000001</f>
        <v>46.6667002209474</v>
      </c>
    </row>
    <row r="6143" customFormat="false" ht="15" hidden="false" customHeight="false" outlineLevel="0" collapsed="false">
      <c r="A6143" s="0" t="n">
        <v>8</v>
      </c>
      <c r="B6143" s="0" t="n">
        <v>3</v>
      </c>
      <c r="C6143" s="0" t="n">
        <v>7</v>
      </c>
      <c r="D6143" s="0" t="n">
        <v>0</v>
      </c>
      <c r="E6143" s="0" t="n">
        <f aca="false">-1+A6143*0.25</f>
        <v>1</v>
      </c>
      <c r="F6143" s="0" t="n">
        <f aca="false">-1+B6143*0.25</f>
        <v>-0.25</v>
      </c>
      <c r="G6143" s="0" t="n">
        <f aca="false">-1+C6143*0.25</f>
        <v>0.75</v>
      </c>
      <c r="H6143" s="0" t="n">
        <f aca="false">-1+D6143*0.25</f>
        <v>-1</v>
      </c>
      <c r="I6143" s="0" t="n">
        <f aca="false">1</f>
        <v>1</v>
      </c>
      <c r="J6143" s="0" t="n">
        <f aca="false">E6143</f>
        <v>1</v>
      </c>
      <c r="K6143" s="0" t="n">
        <f aca="false">F6143</f>
        <v>-0.25</v>
      </c>
      <c r="L6143" s="0" t="n">
        <f aca="false">G6143</f>
        <v>0.75</v>
      </c>
      <c r="M6143" s="0" t="n">
        <f aca="false">H6143</f>
        <v>-1</v>
      </c>
      <c r="N6143" s="0" t="n">
        <f aca="false">E6143*F6143</f>
        <v>-0.25</v>
      </c>
      <c r="O6143" s="0" t="n">
        <f aca="false">E6143*G6143</f>
        <v>0.75</v>
      </c>
      <c r="P6143" s="0" t="n">
        <f aca="false">E6143*H6143</f>
        <v>-1</v>
      </c>
      <c r="Q6143" s="0" t="n">
        <f aca="false">F6143*G6143</f>
        <v>-0.1875</v>
      </c>
      <c r="R6143" s="0" t="n">
        <f aca="false">F6143*H6143</f>
        <v>0.25</v>
      </c>
      <c r="S6143" s="0" t="n">
        <f aca="false">G6143*H6143</f>
        <v>-0.75</v>
      </c>
      <c r="T6143" s="0" t="n">
        <f aca="false">E6143*E6143</f>
        <v>1</v>
      </c>
      <c r="U6143" s="0" t="n">
        <f aca="false">F6143*F6143</f>
        <v>0.0625</v>
      </c>
      <c r="V6143" s="0" t="n">
        <f aca="false">G6143*G6143</f>
        <v>0.5625</v>
      </c>
      <c r="W6143" s="0" t="n">
        <f aca="false">H6143*H6143</f>
        <v>1</v>
      </c>
      <c r="X6143" s="0" t="n">
        <f aca="false">SUMPRODUCT(I6143:W6143,_XtX!$B$96:$P$96)</f>
        <v>44.99049250731</v>
      </c>
      <c r="Y6143" s="0" t="n">
        <f aca="false">SUMPRODUCT(MMULT(I6143:W6143,_XtX!$B$78:$P$92),I6143:W6143)</f>
        <v>0.621372155975877</v>
      </c>
      <c r="Z6143" s="0" t="n">
        <f aca="false">04_回帰ANOVA!$K$19*04_回帰ANOVA!$K$14*SQRT(1+Y6143)</f>
        <v>1.65973880499872</v>
      </c>
      <c r="AA6143" s="0" t="n">
        <f aca="false">X6143-Z6143</f>
        <v>43.3307537023113</v>
      </c>
      <c r="AB6143" s="0" t="n">
        <f aca="false">X6143+Z6143</f>
        <v>46.6502313123087</v>
      </c>
      <c r="AC6143" s="54" t="b">
        <f aca="false">AND(E6143&gt;=01_因子設定!$L$5-0.000000001,E6143&lt;=01_因子設定!$M$5+0.000000001,F6143&gt;=01_因子設定!$L$6-0.000000001,F6143&lt;=01_因子設定!$M$6+0.000000001,G6143&gt;=01_因子設定!$L$7-0.000000001,G6143&lt;=01_因子設定!$M$7+0.000000001,H6143&gt;=01_因子設定!$L$8-0.000000001,H6143&lt;=01_因子設定!$M$8+0.000000001,IF(01_因子設定!$B$20="Box-Behnken",E6143^2+F6143^2+G6143^2+H6143^2&lt;=2+0.000000001,TRUE()))</f>
        <v>1</v>
      </c>
      <c r="AD6143" s="55" t="n">
        <f aca="false">IF(AC6143,IF(01_因子設定!$B$13="最大化",AA6143-01_因子設定!$B$14,IF(01_因子設定!$B$13="最小化",01_因子設定!$B$15-AB6143,MIN(AA6143-01_因子設定!$B$14,01_因子設定!$B$15-AB6143))),-1E+030)</f>
        <v>-3.16924629768871</v>
      </c>
      <c r="AE6143" s="55" t="n">
        <f aca="false">IF(AC6143,IF(01_因子設定!$B$13="最大化",X6143,IF(01_因子設定!$B$13="最小化",-X6143,-ABS(X6143-01_因子設定!$B$16))),-1E+030)</f>
        <v>44.99049250731</v>
      </c>
      <c r="AF6143" s="55" t="n">
        <f aca="false">AD6143+ROW()*0.000000001</f>
        <v>-3.16924015468871</v>
      </c>
      <c r="AG6143" s="55" t="n">
        <f aca="false">AE6143+ROW()*0.000000001</f>
        <v>44.99049865031</v>
      </c>
    </row>
    <row r="6144" customFormat="false" ht="15" hidden="false" customHeight="false" outlineLevel="0" collapsed="false">
      <c r="A6144" s="0" t="n">
        <v>8</v>
      </c>
      <c r="B6144" s="0" t="n">
        <v>3</v>
      </c>
      <c r="C6144" s="0" t="n">
        <v>7</v>
      </c>
      <c r="D6144" s="0" t="n">
        <v>1</v>
      </c>
      <c r="E6144" s="0" t="n">
        <f aca="false">-1+A6144*0.25</f>
        <v>1</v>
      </c>
      <c r="F6144" s="0" t="n">
        <f aca="false">-1+B6144*0.25</f>
        <v>-0.25</v>
      </c>
      <c r="G6144" s="0" t="n">
        <f aca="false">-1+C6144*0.25</f>
        <v>0.75</v>
      </c>
      <c r="H6144" s="0" t="n">
        <f aca="false">-1+D6144*0.25</f>
        <v>-0.75</v>
      </c>
      <c r="I6144" s="0" t="n">
        <f aca="false">1</f>
        <v>1</v>
      </c>
      <c r="J6144" s="0" t="n">
        <f aca="false">E6144</f>
        <v>1</v>
      </c>
      <c r="K6144" s="0" t="n">
        <f aca="false">F6144</f>
        <v>-0.25</v>
      </c>
      <c r="L6144" s="0" t="n">
        <f aca="false">G6144</f>
        <v>0.75</v>
      </c>
      <c r="M6144" s="0" t="n">
        <f aca="false">H6144</f>
        <v>-0.75</v>
      </c>
      <c r="N6144" s="0" t="n">
        <f aca="false">E6144*F6144</f>
        <v>-0.25</v>
      </c>
      <c r="O6144" s="0" t="n">
        <f aca="false">E6144*G6144</f>
        <v>0.75</v>
      </c>
      <c r="P6144" s="0" t="n">
        <f aca="false">E6144*H6144</f>
        <v>-0.75</v>
      </c>
      <c r="Q6144" s="0" t="n">
        <f aca="false">F6144*G6144</f>
        <v>-0.1875</v>
      </c>
      <c r="R6144" s="0" t="n">
        <f aca="false">F6144*H6144</f>
        <v>0.1875</v>
      </c>
      <c r="S6144" s="0" t="n">
        <f aca="false">G6144*H6144</f>
        <v>-0.5625</v>
      </c>
      <c r="T6144" s="0" t="n">
        <f aca="false">E6144*E6144</f>
        <v>1</v>
      </c>
      <c r="U6144" s="0" t="n">
        <f aca="false">F6144*F6144</f>
        <v>0.0625</v>
      </c>
      <c r="V6144" s="0" t="n">
        <f aca="false">G6144*G6144</f>
        <v>0.5625</v>
      </c>
      <c r="W6144" s="0" t="n">
        <f aca="false">H6144*H6144</f>
        <v>0.5625</v>
      </c>
      <c r="X6144" s="0" t="n">
        <f aca="false">SUMPRODUCT(I6144:W6144,_XtX!$B$96:$P$96)</f>
        <v>45.3576434576024</v>
      </c>
      <c r="Y6144" s="0" t="n">
        <f aca="false">SUMPRODUCT(MMULT(I6144:W6144,_XtX!$B$78:$P$92),I6144:W6144)</f>
        <v>0.473959761056287</v>
      </c>
      <c r="Z6144" s="0" t="n">
        <f aca="false">04_回帰ANOVA!$K$19*04_回帰ANOVA!$K$14*SQRT(1+Y6144)</f>
        <v>1.58249084588329</v>
      </c>
      <c r="AA6144" s="0" t="n">
        <f aca="false">X6144-Z6144</f>
        <v>43.7751526117191</v>
      </c>
      <c r="AB6144" s="0" t="n">
        <f aca="false">X6144+Z6144</f>
        <v>46.9401343034857</v>
      </c>
      <c r="AC6144" s="54" t="b">
        <f aca="false">AND(E6144&gt;=01_因子設定!$L$5-0.000000001,E6144&lt;=01_因子設定!$M$5+0.000000001,F6144&gt;=01_因子設定!$L$6-0.000000001,F6144&lt;=01_因子設定!$M$6+0.000000001,G6144&gt;=01_因子設定!$L$7-0.000000001,G6144&lt;=01_因子設定!$M$7+0.000000001,H6144&gt;=01_因子設定!$L$8-0.000000001,H6144&lt;=01_因子設定!$M$8+0.000000001,IF(01_因子設定!$B$20="Box-Behnken",E6144^2+F6144^2+G6144^2+H6144^2&lt;=2+0.000000001,TRUE()))</f>
        <v>1</v>
      </c>
      <c r="AD6144" s="55" t="n">
        <f aca="false">IF(AC6144,IF(01_因子設定!$B$13="最大化",AA6144-01_因子設定!$B$14,IF(01_因子設定!$B$13="最小化",01_因子設定!$B$15-AB6144,MIN(AA6144-01_因子設定!$B$14,01_因子設定!$B$15-AB6144))),-1E+030)</f>
        <v>-2.7248473882809</v>
      </c>
      <c r="AE6144" s="55" t="n">
        <f aca="false">IF(AC6144,IF(01_因子設定!$B$13="最大化",X6144,IF(01_因子設定!$B$13="最小化",-X6144,-ABS(X6144-01_因子設定!$B$16))),-1E+030)</f>
        <v>45.3576434576024</v>
      </c>
      <c r="AF6144" s="55" t="n">
        <f aca="false">AD6144+ROW()*0.000000001</f>
        <v>-2.7248412442809</v>
      </c>
      <c r="AG6144" s="55" t="n">
        <f aca="false">AE6144+ROW()*0.000000001</f>
        <v>45.3576496016024</v>
      </c>
    </row>
    <row r="6145" customFormat="false" ht="15" hidden="false" customHeight="false" outlineLevel="0" collapsed="false">
      <c r="A6145" s="0" t="n">
        <v>8</v>
      </c>
      <c r="B6145" s="0" t="n">
        <v>3</v>
      </c>
      <c r="C6145" s="0" t="n">
        <v>7</v>
      </c>
      <c r="D6145" s="0" t="n">
        <v>2</v>
      </c>
      <c r="E6145" s="0" t="n">
        <f aca="false">-1+A6145*0.25</f>
        <v>1</v>
      </c>
      <c r="F6145" s="0" t="n">
        <f aca="false">-1+B6145*0.25</f>
        <v>-0.25</v>
      </c>
      <c r="G6145" s="0" t="n">
        <f aca="false">-1+C6145*0.25</f>
        <v>0.75</v>
      </c>
      <c r="H6145" s="0" t="n">
        <f aca="false">-1+D6145*0.25</f>
        <v>-0.5</v>
      </c>
      <c r="I6145" s="0" t="n">
        <f aca="false">1</f>
        <v>1</v>
      </c>
      <c r="J6145" s="0" t="n">
        <f aca="false">E6145</f>
        <v>1</v>
      </c>
      <c r="K6145" s="0" t="n">
        <f aca="false">F6145</f>
        <v>-0.25</v>
      </c>
      <c r="L6145" s="0" t="n">
        <f aca="false">G6145</f>
        <v>0.75</v>
      </c>
      <c r="M6145" s="0" t="n">
        <f aca="false">H6145</f>
        <v>-0.5</v>
      </c>
      <c r="N6145" s="0" t="n">
        <f aca="false">E6145*F6145</f>
        <v>-0.25</v>
      </c>
      <c r="O6145" s="0" t="n">
        <f aca="false">E6145*G6145</f>
        <v>0.75</v>
      </c>
      <c r="P6145" s="0" t="n">
        <f aca="false">E6145*H6145</f>
        <v>-0.5</v>
      </c>
      <c r="Q6145" s="0" t="n">
        <f aca="false">F6145*G6145</f>
        <v>-0.1875</v>
      </c>
      <c r="R6145" s="0" t="n">
        <f aca="false">F6145*H6145</f>
        <v>0.125</v>
      </c>
      <c r="S6145" s="0" t="n">
        <f aca="false">G6145*H6145</f>
        <v>-0.375</v>
      </c>
      <c r="T6145" s="0" t="n">
        <f aca="false">E6145*E6145</f>
        <v>1</v>
      </c>
      <c r="U6145" s="0" t="n">
        <f aca="false">F6145*F6145</f>
        <v>0.0625</v>
      </c>
      <c r="V6145" s="0" t="n">
        <f aca="false">G6145*G6145</f>
        <v>0.5625</v>
      </c>
      <c r="W6145" s="0" t="n">
        <f aca="false">H6145*H6145</f>
        <v>0.25</v>
      </c>
      <c r="X6145" s="0" t="n">
        <f aca="false">SUMPRODUCT(I6145:W6145,_XtX!$B$96:$P$96)</f>
        <v>45.6769873903509</v>
      </c>
      <c r="Y6145" s="0" t="n">
        <f aca="false">SUMPRODUCT(MMULT(I6145:W6145,_XtX!$B$78:$P$92),I6145:W6145)</f>
        <v>0.459125719572369</v>
      </c>
      <c r="Z6145" s="0" t="n">
        <f aca="false">04_回帰ANOVA!$K$19*04_回帰ANOVA!$K$14*SQRT(1+Y6145)</f>
        <v>1.57450755575573</v>
      </c>
      <c r="AA6145" s="0" t="n">
        <f aca="false">X6145-Z6145</f>
        <v>44.1024798345952</v>
      </c>
      <c r="AB6145" s="0" t="n">
        <f aca="false">X6145+Z6145</f>
        <v>47.2514949461067</v>
      </c>
      <c r="AC6145" s="54" t="b">
        <f aca="false">AND(E6145&gt;=01_因子設定!$L$5-0.000000001,E6145&lt;=01_因子設定!$M$5+0.000000001,F6145&gt;=01_因子設定!$L$6-0.000000001,F6145&lt;=01_因子設定!$M$6+0.000000001,G6145&gt;=01_因子設定!$L$7-0.000000001,G6145&lt;=01_因子設定!$M$7+0.000000001,H6145&gt;=01_因子設定!$L$8-0.000000001,H6145&lt;=01_因子設定!$M$8+0.000000001,IF(01_因子設定!$B$20="Box-Behnken",E6145^2+F6145^2+G6145^2+H6145^2&lt;=2+0.000000001,TRUE()))</f>
        <v>1</v>
      </c>
      <c r="AD6145" s="55" t="n">
        <f aca="false">IF(AC6145,IF(01_因子設定!$B$13="最大化",AA6145-01_因子設定!$B$14,IF(01_因子設定!$B$13="最小化",01_因子設定!$B$15-AB6145,MIN(AA6145-01_因子設定!$B$14,01_因子設定!$B$15-AB6145))),-1E+030)</f>
        <v>-2.39752016540481</v>
      </c>
      <c r="AE6145" s="55" t="n">
        <f aca="false">IF(AC6145,IF(01_因子設定!$B$13="最大化",X6145,IF(01_因子設定!$B$13="最小化",-X6145,-ABS(X6145-01_因子設定!$B$16))),-1E+030)</f>
        <v>45.6769873903509</v>
      </c>
      <c r="AF6145" s="55" t="n">
        <f aca="false">AD6145+ROW()*0.000000001</f>
        <v>-2.39751402040481</v>
      </c>
      <c r="AG6145" s="55" t="n">
        <f aca="false">AE6145+ROW()*0.000000001</f>
        <v>45.6769935353509</v>
      </c>
    </row>
    <row r="6146" customFormat="false" ht="15" hidden="false" customHeight="false" outlineLevel="0" collapsed="false">
      <c r="A6146" s="0" t="n">
        <v>8</v>
      </c>
      <c r="B6146" s="0" t="n">
        <v>3</v>
      </c>
      <c r="C6146" s="0" t="n">
        <v>7</v>
      </c>
      <c r="D6146" s="0" t="n">
        <v>3</v>
      </c>
      <c r="E6146" s="0" t="n">
        <f aca="false">-1+A6146*0.25</f>
        <v>1</v>
      </c>
      <c r="F6146" s="0" t="n">
        <f aca="false">-1+B6146*0.25</f>
        <v>-0.25</v>
      </c>
      <c r="G6146" s="0" t="n">
        <f aca="false">-1+C6146*0.25</f>
        <v>0.75</v>
      </c>
      <c r="H6146" s="0" t="n">
        <f aca="false">-1+D6146*0.25</f>
        <v>-0.25</v>
      </c>
      <c r="I6146" s="0" t="n">
        <f aca="false">1</f>
        <v>1</v>
      </c>
      <c r="J6146" s="0" t="n">
        <f aca="false">E6146</f>
        <v>1</v>
      </c>
      <c r="K6146" s="0" t="n">
        <f aca="false">F6146</f>
        <v>-0.25</v>
      </c>
      <c r="L6146" s="0" t="n">
        <f aca="false">G6146</f>
        <v>0.75</v>
      </c>
      <c r="M6146" s="0" t="n">
        <f aca="false">H6146</f>
        <v>-0.25</v>
      </c>
      <c r="N6146" s="0" t="n">
        <f aca="false">E6146*F6146</f>
        <v>-0.25</v>
      </c>
      <c r="O6146" s="0" t="n">
        <f aca="false">E6146*G6146</f>
        <v>0.75</v>
      </c>
      <c r="P6146" s="0" t="n">
        <f aca="false">E6146*H6146</f>
        <v>-0.25</v>
      </c>
      <c r="Q6146" s="0" t="n">
        <f aca="false">F6146*G6146</f>
        <v>-0.1875</v>
      </c>
      <c r="R6146" s="0" t="n">
        <f aca="false">F6146*H6146</f>
        <v>0.0625</v>
      </c>
      <c r="S6146" s="0" t="n">
        <f aca="false">G6146*H6146</f>
        <v>-0.1875</v>
      </c>
      <c r="T6146" s="0" t="n">
        <f aca="false">E6146*E6146</f>
        <v>1</v>
      </c>
      <c r="U6146" s="0" t="n">
        <f aca="false">F6146*F6146</f>
        <v>0.0625</v>
      </c>
      <c r="V6146" s="0" t="n">
        <f aca="false">G6146*G6146</f>
        <v>0.5625</v>
      </c>
      <c r="W6146" s="0" t="n">
        <f aca="false">H6146*H6146</f>
        <v>0.0625</v>
      </c>
      <c r="X6146" s="0" t="n">
        <f aca="false">SUMPRODUCT(I6146:W6146,_XtX!$B$96:$P$96)</f>
        <v>45.9485243055556</v>
      </c>
      <c r="Y6146" s="0" t="n">
        <f aca="false">SUMPRODUCT(MMULT(I6146:W6146,_XtX!$B$78:$P$92),I6146:W6146)</f>
        <v>0.486409505208334</v>
      </c>
      <c r="Z6146" s="0" t="n">
        <f aca="false">04_回帰ANOVA!$K$19*04_回帰ANOVA!$K$14*SQRT(1+Y6146)</f>
        <v>1.58916001665498</v>
      </c>
      <c r="AA6146" s="0" t="n">
        <f aca="false">X6146-Z6146</f>
        <v>44.3593642889006</v>
      </c>
      <c r="AB6146" s="0" t="n">
        <f aca="false">X6146+Z6146</f>
        <v>47.5376843222106</v>
      </c>
      <c r="AC6146" s="54" t="b">
        <f aca="false">AND(E6146&gt;=01_因子設定!$L$5-0.000000001,E6146&lt;=01_因子設定!$M$5+0.000000001,F6146&gt;=01_因子設定!$L$6-0.000000001,F6146&lt;=01_因子設定!$M$6+0.000000001,G6146&gt;=01_因子設定!$L$7-0.000000001,G6146&lt;=01_因子設定!$M$7+0.000000001,H6146&gt;=01_因子設定!$L$8-0.000000001,H6146&lt;=01_因子設定!$M$8+0.000000001,IF(01_因子設定!$B$20="Box-Behnken",E6146^2+F6146^2+G6146^2+H6146^2&lt;=2+0.000000001,TRUE()))</f>
        <v>1</v>
      </c>
      <c r="AD6146" s="55" t="n">
        <f aca="false">IF(AC6146,IF(01_因子設定!$B$13="最大化",AA6146-01_因子設定!$B$14,IF(01_因子設定!$B$13="最小化",01_因子設定!$B$15-AB6146,MIN(AA6146-01_因子設定!$B$14,01_因子設定!$B$15-AB6146))),-1E+030)</f>
        <v>-2.14063571109939</v>
      </c>
      <c r="AE6146" s="55" t="n">
        <f aca="false">IF(AC6146,IF(01_因子設定!$B$13="最大化",X6146,IF(01_因子設定!$B$13="最小化",-X6146,-ABS(X6146-01_因子設定!$B$16))),-1E+030)</f>
        <v>45.9485243055556</v>
      </c>
      <c r="AF6146" s="55" t="n">
        <f aca="false">AD6146+ROW()*0.000000001</f>
        <v>-2.14062956509939</v>
      </c>
      <c r="AG6146" s="55" t="n">
        <f aca="false">AE6146+ROW()*0.000000001</f>
        <v>45.9485304515556</v>
      </c>
    </row>
    <row r="6147" customFormat="false" ht="15" hidden="false" customHeight="false" outlineLevel="0" collapsed="false">
      <c r="A6147" s="0" t="n">
        <v>8</v>
      </c>
      <c r="B6147" s="0" t="n">
        <v>3</v>
      </c>
      <c r="C6147" s="0" t="n">
        <v>7</v>
      </c>
      <c r="D6147" s="0" t="n">
        <v>4</v>
      </c>
      <c r="E6147" s="0" t="n">
        <f aca="false">-1+A6147*0.25</f>
        <v>1</v>
      </c>
      <c r="F6147" s="0" t="n">
        <f aca="false">-1+B6147*0.25</f>
        <v>-0.25</v>
      </c>
      <c r="G6147" s="0" t="n">
        <f aca="false">-1+C6147*0.25</f>
        <v>0.75</v>
      </c>
      <c r="H6147" s="0" t="n">
        <f aca="false">-1+D6147*0.25</f>
        <v>0</v>
      </c>
      <c r="I6147" s="0" t="n">
        <f aca="false">1</f>
        <v>1</v>
      </c>
      <c r="J6147" s="0" t="n">
        <f aca="false">E6147</f>
        <v>1</v>
      </c>
      <c r="K6147" s="0" t="n">
        <f aca="false">F6147</f>
        <v>-0.25</v>
      </c>
      <c r="L6147" s="0" t="n">
        <f aca="false">G6147</f>
        <v>0.75</v>
      </c>
      <c r="M6147" s="0" t="n">
        <f aca="false">H6147</f>
        <v>0</v>
      </c>
      <c r="N6147" s="0" t="n">
        <f aca="false">E6147*F6147</f>
        <v>-0.25</v>
      </c>
      <c r="O6147" s="0" t="n">
        <f aca="false">E6147*G6147</f>
        <v>0.75</v>
      </c>
      <c r="P6147" s="0" t="n">
        <f aca="false">E6147*H6147</f>
        <v>0</v>
      </c>
      <c r="Q6147" s="0" t="n">
        <f aca="false">F6147*G6147</f>
        <v>-0.1875</v>
      </c>
      <c r="R6147" s="0" t="n">
        <f aca="false">F6147*H6147</f>
        <v>-0</v>
      </c>
      <c r="S6147" s="0" t="n">
        <f aca="false">G6147*H6147</f>
        <v>0</v>
      </c>
      <c r="T6147" s="0" t="n">
        <f aca="false">E6147*E6147</f>
        <v>1</v>
      </c>
      <c r="U6147" s="0" t="n">
        <f aca="false">F6147*F6147</f>
        <v>0.0625</v>
      </c>
      <c r="V6147" s="0" t="n">
        <f aca="false">G6147*G6147</f>
        <v>0.5625</v>
      </c>
      <c r="W6147" s="0" t="n">
        <f aca="false">H6147*H6147</f>
        <v>0</v>
      </c>
      <c r="X6147" s="0" t="n">
        <f aca="false">SUMPRODUCT(I6147:W6147,_XtX!$B$96:$P$96)</f>
        <v>46.1722542032164</v>
      </c>
      <c r="Y6147" s="0" t="n">
        <f aca="false">SUMPRODUCT(MMULT(I6147:W6147,_XtX!$B$78:$P$92),I6147:W6147)</f>
        <v>0.501534802174708</v>
      </c>
      <c r="Z6147" s="0" t="n">
        <f aca="false">04_回帰ANOVA!$K$19*04_回帰ANOVA!$K$14*SQRT(1+Y6147)</f>
        <v>1.59722498091333</v>
      </c>
      <c r="AA6147" s="0" t="n">
        <f aca="false">X6147-Z6147</f>
        <v>44.5750292223031</v>
      </c>
      <c r="AB6147" s="0" t="n">
        <f aca="false">X6147+Z6147</f>
        <v>47.7694791841297</v>
      </c>
      <c r="AC6147" s="54" t="b">
        <f aca="false">AND(E6147&gt;=01_因子設定!$L$5-0.000000001,E6147&lt;=01_因子設定!$M$5+0.000000001,F6147&gt;=01_因子設定!$L$6-0.000000001,F6147&lt;=01_因子設定!$M$6+0.000000001,G6147&gt;=01_因子設定!$L$7-0.000000001,G6147&lt;=01_因子設定!$M$7+0.000000001,H6147&gt;=01_因子設定!$L$8-0.000000001,H6147&lt;=01_因子設定!$M$8+0.000000001,IF(01_因子設定!$B$20="Box-Behnken",E6147^2+F6147^2+G6147^2+H6147^2&lt;=2+0.000000001,TRUE()))</f>
        <v>1</v>
      </c>
      <c r="AD6147" s="55" t="n">
        <f aca="false">IF(AC6147,IF(01_因子設定!$B$13="最大化",AA6147-01_因子設定!$B$14,IF(01_因子設定!$B$13="最小化",01_因子設定!$B$15-AB6147,MIN(AA6147-01_因子設定!$B$14,01_因子設定!$B$15-AB6147))),-1E+030)</f>
        <v>-1.92497077769693</v>
      </c>
      <c r="AE6147" s="55" t="n">
        <f aca="false">IF(AC6147,IF(01_因子設定!$B$13="最大化",X6147,IF(01_因子設定!$B$13="最小化",-X6147,-ABS(X6147-01_因子設定!$B$16))),-1E+030)</f>
        <v>46.1722542032164</v>
      </c>
      <c r="AF6147" s="55" t="n">
        <f aca="false">AD6147+ROW()*0.000000001</f>
        <v>-1.92496463069693</v>
      </c>
      <c r="AG6147" s="55" t="n">
        <f aca="false">AE6147+ROW()*0.000000001</f>
        <v>46.1722603502164</v>
      </c>
    </row>
    <row r="6148" customFormat="false" ht="15" hidden="false" customHeight="false" outlineLevel="0" collapsed="false">
      <c r="A6148" s="0" t="n">
        <v>8</v>
      </c>
      <c r="B6148" s="0" t="n">
        <v>3</v>
      </c>
      <c r="C6148" s="0" t="n">
        <v>7</v>
      </c>
      <c r="D6148" s="0" t="n">
        <v>5</v>
      </c>
      <c r="E6148" s="0" t="n">
        <f aca="false">-1+A6148*0.25</f>
        <v>1</v>
      </c>
      <c r="F6148" s="0" t="n">
        <f aca="false">-1+B6148*0.25</f>
        <v>-0.25</v>
      </c>
      <c r="G6148" s="0" t="n">
        <f aca="false">-1+C6148*0.25</f>
        <v>0.75</v>
      </c>
      <c r="H6148" s="0" t="n">
        <f aca="false">-1+D6148*0.25</f>
        <v>0.25</v>
      </c>
      <c r="I6148" s="0" t="n">
        <f aca="false">1</f>
        <v>1</v>
      </c>
      <c r="J6148" s="0" t="n">
        <f aca="false">E6148</f>
        <v>1</v>
      </c>
      <c r="K6148" s="0" t="n">
        <f aca="false">F6148</f>
        <v>-0.25</v>
      </c>
      <c r="L6148" s="0" t="n">
        <f aca="false">G6148</f>
        <v>0.75</v>
      </c>
      <c r="M6148" s="0" t="n">
        <f aca="false">H6148</f>
        <v>0.25</v>
      </c>
      <c r="N6148" s="0" t="n">
        <f aca="false">E6148*F6148</f>
        <v>-0.25</v>
      </c>
      <c r="O6148" s="0" t="n">
        <f aca="false">E6148*G6148</f>
        <v>0.75</v>
      </c>
      <c r="P6148" s="0" t="n">
        <f aca="false">E6148*H6148</f>
        <v>0.25</v>
      </c>
      <c r="Q6148" s="0" t="n">
        <f aca="false">F6148*G6148</f>
        <v>-0.1875</v>
      </c>
      <c r="R6148" s="0" t="n">
        <f aca="false">F6148*H6148</f>
        <v>-0.0625</v>
      </c>
      <c r="S6148" s="0" t="n">
        <f aca="false">G6148*H6148</f>
        <v>0.1875</v>
      </c>
      <c r="T6148" s="0" t="n">
        <f aca="false">E6148*E6148</f>
        <v>1</v>
      </c>
      <c r="U6148" s="0" t="n">
        <f aca="false">F6148*F6148</f>
        <v>0.0625</v>
      </c>
      <c r="V6148" s="0" t="n">
        <f aca="false">G6148*G6148</f>
        <v>0.5625</v>
      </c>
      <c r="W6148" s="0" t="n">
        <f aca="false">H6148*H6148</f>
        <v>0.0625</v>
      </c>
      <c r="X6148" s="0" t="n">
        <f aca="false">SUMPRODUCT(I6148:W6148,_XtX!$B$96:$P$96)</f>
        <v>46.3481770833334</v>
      </c>
      <c r="Y6148" s="0" t="n">
        <f aca="false">SUMPRODUCT(MMULT(I6148:W6148,_XtX!$B$78:$P$92),I6148:W6148)</f>
        <v>0.486409505208334</v>
      </c>
      <c r="Z6148" s="0" t="n">
        <f aca="false">04_回帰ANOVA!$K$19*04_回帰ANOVA!$K$14*SQRT(1+Y6148)</f>
        <v>1.58916001665498</v>
      </c>
      <c r="AA6148" s="0" t="n">
        <f aca="false">X6148-Z6148</f>
        <v>44.7590170666784</v>
      </c>
      <c r="AB6148" s="0" t="n">
        <f aca="false">X6148+Z6148</f>
        <v>47.9373370999883</v>
      </c>
      <c r="AC6148" s="54" t="b">
        <f aca="false">AND(E6148&gt;=01_因子設定!$L$5-0.000000001,E6148&lt;=01_因子設定!$M$5+0.000000001,F6148&gt;=01_因子設定!$L$6-0.000000001,F6148&lt;=01_因子設定!$M$6+0.000000001,G6148&gt;=01_因子設定!$L$7-0.000000001,G6148&lt;=01_因子設定!$M$7+0.000000001,H6148&gt;=01_因子設定!$L$8-0.000000001,H6148&lt;=01_因子設定!$M$8+0.000000001,IF(01_因子設定!$B$20="Box-Behnken",E6148^2+F6148^2+G6148^2+H6148^2&lt;=2+0.000000001,TRUE()))</f>
        <v>1</v>
      </c>
      <c r="AD6148" s="55" t="n">
        <f aca="false">IF(AC6148,IF(01_因子設定!$B$13="最大化",AA6148-01_因子設定!$B$14,IF(01_因子設定!$B$13="最小化",01_因子設定!$B$15-AB6148,MIN(AA6148-01_因子設定!$B$14,01_因子設定!$B$15-AB6148))),-1E+030)</f>
        <v>-1.74098293332162</v>
      </c>
      <c r="AE6148" s="55" t="n">
        <f aca="false">IF(AC6148,IF(01_因子設定!$B$13="最大化",X6148,IF(01_因子設定!$B$13="最小化",-X6148,-ABS(X6148-01_因子設定!$B$16))),-1E+030)</f>
        <v>46.3481770833334</v>
      </c>
      <c r="AF6148" s="55" t="n">
        <f aca="false">AD6148+ROW()*0.000000001</f>
        <v>-1.74097678532162</v>
      </c>
      <c r="AG6148" s="55" t="n">
        <f aca="false">AE6148+ROW()*0.000000001</f>
        <v>46.3481832313334</v>
      </c>
    </row>
    <row r="6149" customFormat="false" ht="15" hidden="false" customHeight="false" outlineLevel="0" collapsed="false">
      <c r="A6149" s="0" t="n">
        <v>8</v>
      </c>
      <c r="B6149" s="0" t="n">
        <v>3</v>
      </c>
      <c r="C6149" s="0" t="n">
        <v>7</v>
      </c>
      <c r="D6149" s="0" t="n">
        <v>6</v>
      </c>
      <c r="E6149" s="0" t="n">
        <f aca="false">-1+A6149*0.25</f>
        <v>1</v>
      </c>
      <c r="F6149" s="0" t="n">
        <f aca="false">-1+B6149*0.25</f>
        <v>-0.25</v>
      </c>
      <c r="G6149" s="0" t="n">
        <f aca="false">-1+C6149*0.25</f>
        <v>0.75</v>
      </c>
      <c r="H6149" s="0" t="n">
        <f aca="false">-1+D6149*0.25</f>
        <v>0.5</v>
      </c>
      <c r="I6149" s="0" t="n">
        <f aca="false">1</f>
        <v>1</v>
      </c>
      <c r="J6149" s="0" t="n">
        <f aca="false">E6149</f>
        <v>1</v>
      </c>
      <c r="K6149" s="0" t="n">
        <f aca="false">F6149</f>
        <v>-0.25</v>
      </c>
      <c r="L6149" s="0" t="n">
        <f aca="false">G6149</f>
        <v>0.75</v>
      </c>
      <c r="M6149" s="0" t="n">
        <f aca="false">H6149</f>
        <v>0.5</v>
      </c>
      <c r="N6149" s="0" t="n">
        <f aca="false">E6149*F6149</f>
        <v>-0.25</v>
      </c>
      <c r="O6149" s="0" t="n">
        <f aca="false">E6149*G6149</f>
        <v>0.75</v>
      </c>
      <c r="P6149" s="0" t="n">
        <f aca="false">E6149*H6149</f>
        <v>0.5</v>
      </c>
      <c r="Q6149" s="0" t="n">
        <f aca="false">F6149*G6149</f>
        <v>-0.1875</v>
      </c>
      <c r="R6149" s="0" t="n">
        <f aca="false">F6149*H6149</f>
        <v>-0.125</v>
      </c>
      <c r="S6149" s="0" t="n">
        <f aca="false">G6149*H6149</f>
        <v>0.375</v>
      </c>
      <c r="T6149" s="0" t="n">
        <f aca="false">E6149*E6149</f>
        <v>1</v>
      </c>
      <c r="U6149" s="0" t="n">
        <f aca="false">F6149*F6149</f>
        <v>0.0625</v>
      </c>
      <c r="V6149" s="0" t="n">
        <f aca="false">G6149*G6149</f>
        <v>0.5625</v>
      </c>
      <c r="W6149" s="0" t="n">
        <f aca="false">H6149*H6149</f>
        <v>0.25</v>
      </c>
      <c r="X6149" s="0" t="n">
        <f aca="false">SUMPRODUCT(I6149:W6149,_XtX!$B$96:$P$96)</f>
        <v>46.4762929459065</v>
      </c>
      <c r="Y6149" s="0" t="n">
        <f aca="false">SUMPRODUCT(MMULT(I6149:W6149,_XtX!$B$78:$P$92),I6149:W6149)</f>
        <v>0.459125719572369</v>
      </c>
      <c r="Z6149" s="0" t="n">
        <f aca="false">04_回帰ANOVA!$K$19*04_回帰ANOVA!$K$14*SQRT(1+Y6149)</f>
        <v>1.57450755575573</v>
      </c>
      <c r="AA6149" s="0" t="n">
        <f aca="false">X6149-Z6149</f>
        <v>44.9017853901507</v>
      </c>
      <c r="AB6149" s="0" t="n">
        <f aca="false">X6149+Z6149</f>
        <v>48.0508005016622</v>
      </c>
      <c r="AC6149" s="54" t="b">
        <f aca="false">AND(E6149&gt;=01_因子設定!$L$5-0.000000001,E6149&lt;=01_因子設定!$M$5+0.000000001,F6149&gt;=01_因子設定!$L$6-0.000000001,F6149&lt;=01_因子設定!$M$6+0.000000001,G6149&gt;=01_因子設定!$L$7-0.000000001,G6149&lt;=01_因子設定!$M$7+0.000000001,H6149&gt;=01_因子設定!$L$8-0.000000001,H6149&lt;=01_因子設定!$M$8+0.000000001,IF(01_因子設定!$B$20="Box-Behnken",E6149^2+F6149^2+G6149^2+H6149^2&lt;=2+0.000000001,TRUE()))</f>
        <v>1</v>
      </c>
      <c r="AD6149" s="55" t="n">
        <f aca="false">IF(AC6149,IF(01_因子設定!$B$13="最大化",AA6149-01_因子設定!$B$14,IF(01_因子設定!$B$13="最小化",01_因子設定!$B$15-AB6149,MIN(AA6149-01_因子設定!$B$14,01_因子設定!$B$15-AB6149))),-1E+030)</f>
        <v>-1.59821460984926</v>
      </c>
      <c r="AE6149" s="55" t="n">
        <f aca="false">IF(AC6149,IF(01_因子設定!$B$13="最大化",X6149,IF(01_因子設定!$B$13="最小化",-X6149,-ABS(X6149-01_因子設定!$B$16))),-1E+030)</f>
        <v>46.4762929459065</v>
      </c>
      <c r="AF6149" s="55" t="n">
        <f aca="false">AD6149+ROW()*0.000000001</f>
        <v>-1.59820846084926</v>
      </c>
      <c r="AG6149" s="55" t="n">
        <f aca="false">AE6149+ROW()*0.000000001</f>
        <v>46.4762990949065</v>
      </c>
    </row>
    <row r="6150" customFormat="false" ht="15" hidden="false" customHeight="false" outlineLevel="0" collapsed="false">
      <c r="A6150" s="0" t="n">
        <v>8</v>
      </c>
      <c r="B6150" s="0" t="n">
        <v>3</v>
      </c>
      <c r="C6150" s="0" t="n">
        <v>7</v>
      </c>
      <c r="D6150" s="0" t="n">
        <v>7</v>
      </c>
      <c r="E6150" s="0" t="n">
        <f aca="false">-1+A6150*0.25</f>
        <v>1</v>
      </c>
      <c r="F6150" s="0" t="n">
        <f aca="false">-1+B6150*0.25</f>
        <v>-0.25</v>
      </c>
      <c r="G6150" s="0" t="n">
        <f aca="false">-1+C6150*0.25</f>
        <v>0.75</v>
      </c>
      <c r="H6150" s="0" t="n">
        <f aca="false">-1+D6150*0.25</f>
        <v>0.75</v>
      </c>
      <c r="I6150" s="0" t="n">
        <f aca="false">1</f>
        <v>1</v>
      </c>
      <c r="J6150" s="0" t="n">
        <f aca="false">E6150</f>
        <v>1</v>
      </c>
      <c r="K6150" s="0" t="n">
        <f aca="false">F6150</f>
        <v>-0.25</v>
      </c>
      <c r="L6150" s="0" t="n">
        <f aca="false">G6150</f>
        <v>0.75</v>
      </c>
      <c r="M6150" s="0" t="n">
        <f aca="false">H6150</f>
        <v>0.75</v>
      </c>
      <c r="N6150" s="0" t="n">
        <f aca="false">E6150*F6150</f>
        <v>-0.25</v>
      </c>
      <c r="O6150" s="0" t="n">
        <f aca="false">E6150*G6150</f>
        <v>0.75</v>
      </c>
      <c r="P6150" s="0" t="n">
        <f aca="false">E6150*H6150</f>
        <v>0.75</v>
      </c>
      <c r="Q6150" s="0" t="n">
        <f aca="false">F6150*G6150</f>
        <v>-0.1875</v>
      </c>
      <c r="R6150" s="0" t="n">
        <f aca="false">F6150*H6150</f>
        <v>-0.1875</v>
      </c>
      <c r="S6150" s="0" t="n">
        <f aca="false">G6150*H6150</f>
        <v>0.5625</v>
      </c>
      <c r="T6150" s="0" t="n">
        <f aca="false">E6150*E6150</f>
        <v>1</v>
      </c>
      <c r="U6150" s="0" t="n">
        <f aca="false">F6150*F6150</f>
        <v>0.0625</v>
      </c>
      <c r="V6150" s="0" t="n">
        <f aca="false">G6150*G6150</f>
        <v>0.5625</v>
      </c>
      <c r="W6150" s="0" t="n">
        <f aca="false">H6150*H6150</f>
        <v>0.5625</v>
      </c>
      <c r="X6150" s="0" t="n">
        <f aca="false">SUMPRODUCT(I6150:W6150,_XtX!$B$96:$P$96)</f>
        <v>46.5566017909357</v>
      </c>
      <c r="Y6150" s="0" t="n">
        <f aca="false">SUMPRODUCT(MMULT(I6150:W6150,_XtX!$B$78:$P$92),I6150:W6150)</f>
        <v>0.473959761056287</v>
      </c>
      <c r="Z6150" s="0" t="n">
        <f aca="false">04_回帰ANOVA!$K$19*04_回帰ANOVA!$K$14*SQRT(1+Y6150)</f>
        <v>1.58249084588329</v>
      </c>
      <c r="AA6150" s="0" t="n">
        <f aca="false">X6150-Z6150</f>
        <v>44.9741109450524</v>
      </c>
      <c r="AB6150" s="0" t="n">
        <f aca="false">X6150+Z6150</f>
        <v>48.139092636819</v>
      </c>
      <c r="AC6150" s="54" t="b">
        <f aca="false">AND(E6150&gt;=01_因子設定!$L$5-0.000000001,E6150&lt;=01_因子設定!$M$5+0.000000001,F6150&gt;=01_因子設定!$L$6-0.000000001,F6150&lt;=01_因子設定!$M$6+0.000000001,G6150&gt;=01_因子設定!$L$7-0.000000001,G6150&lt;=01_因子設定!$M$7+0.000000001,H6150&gt;=01_因子設定!$L$8-0.000000001,H6150&lt;=01_因子設定!$M$8+0.000000001,IF(01_因子設定!$B$20="Box-Behnken",E6150^2+F6150^2+G6150^2+H6150^2&lt;=2+0.000000001,TRUE()))</f>
        <v>1</v>
      </c>
      <c r="AD6150" s="55" t="n">
        <f aca="false">IF(AC6150,IF(01_因子設定!$B$13="最大化",AA6150-01_因子設定!$B$14,IF(01_因子設定!$B$13="最小化",01_因子設定!$B$15-AB6150,MIN(AA6150-01_因子設定!$B$14,01_因子設定!$B$15-AB6150))),-1E+030)</f>
        <v>-1.52588905494757</v>
      </c>
      <c r="AE6150" s="55" t="n">
        <f aca="false">IF(AC6150,IF(01_因子設定!$B$13="最大化",X6150,IF(01_因子設定!$B$13="最小化",-X6150,-ABS(X6150-01_因子設定!$B$16))),-1E+030)</f>
        <v>46.5566017909357</v>
      </c>
      <c r="AF6150" s="55" t="n">
        <f aca="false">AD6150+ROW()*0.000000001</f>
        <v>-1.52588290494757</v>
      </c>
      <c r="AG6150" s="55" t="n">
        <f aca="false">AE6150+ROW()*0.000000001</f>
        <v>46.5566079409357</v>
      </c>
    </row>
    <row r="6151" customFormat="false" ht="15" hidden="false" customHeight="false" outlineLevel="0" collapsed="false">
      <c r="A6151" s="0" t="n">
        <v>8</v>
      </c>
      <c r="B6151" s="0" t="n">
        <v>3</v>
      </c>
      <c r="C6151" s="0" t="n">
        <v>7</v>
      </c>
      <c r="D6151" s="0" t="n">
        <v>8</v>
      </c>
      <c r="E6151" s="0" t="n">
        <f aca="false">-1+A6151*0.25</f>
        <v>1</v>
      </c>
      <c r="F6151" s="0" t="n">
        <f aca="false">-1+B6151*0.25</f>
        <v>-0.25</v>
      </c>
      <c r="G6151" s="0" t="n">
        <f aca="false">-1+C6151*0.25</f>
        <v>0.75</v>
      </c>
      <c r="H6151" s="0" t="n">
        <f aca="false">-1+D6151*0.25</f>
        <v>1</v>
      </c>
      <c r="I6151" s="0" t="n">
        <f aca="false">1</f>
        <v>1</v>
      </c>
      <c r="J6151" s="0" t="n">
        <f aca="false">E6151</f>
        <v>1</v>
      </c>
      <c r="K6151" s="0" t="n">
        <f aca="false">F6151</f>
        <v>-0.25</v>
      </c>
      <c r="L6151" s="0" t="n">
        <f aca="false">G6151</f>
        <v>0.75</v>
      </c>
      <c r="M6151" s="0" t="n">
        <f aca="false">H6151</f>
        <v>1</v>
      </c>
      <c r="N6151" s="0" t="n">
        <f aca="false">E6151*F6151</f>
        <v>-0.25</v>
      </c>
      <c r="O6151" s="0" t="n">
        <f aca="false">E6151*G6151</f>
        <v>0.75</v>
      </c>
      <c r="P6151" s="0" t="n">
        <f aca="false">E6151*H6151</f>
        <v>1</v>
      </c>
      <c r="Q6151" s="0" t="n">
        <f aca="false">F6151*G6151</f>
        <v>-0.1875</v>
      </c>
      <c r="R6151" s="0" t="n">
        <f aca="false">F6151*H6151</f>
        <v>-0.25</v>
      </c>
      <c r="S6151" s="0" t="n">
        <f aca="false">G6151*H6151</f>
        <v>0.75</v>
      </c>
      <c r="T6151" s="0" t="n">
        <f aca="false">E6151*E6151</f>
        <v>1</v>
      </c>
      <c r="U6151" s="0" t="n">
        <f aca="false">F6151*F6151</f>
        <v>0.0625</v>
      </c>
      <c r="V6151" s="0" t="n">
        <f aca="false">G6151*G6151</f>
        <v>0.5625</v>
      </c>
      <c r="W6151" s="0" t="n">
        <f aca="false">H6151*H6151</f>
        <v>1</v>
      </c>
      <c r="X6151" s="0" t="n">
        <f aca="false">SUMPRODUCT(I6151:W6151,_XtX!$B$96:$P$96)</f>
        <v>46.5891036184211</v>
      </c>
      <c r="Y6151" s="0" t="n">
        <f aca="false">SUMPRODUCT(MMULT(I6151:W6151,_XtX!$B$78:$P$92),I6151:W6151)</f>
        <v>0.621372155975877</v>
      </c>
      <c r="Z6151" s="0" t="n">
        <f aca="false">04_回帰ANOVA!$K$19*04_回帰ANOVA!$K$14*SQRT(1+Y6151)</f>
        <v>1.65973880499872</v>
      </c>
      <c r="AA6151" s="0" t="n">
        <f aca="false">X6151-Z6151</f>
        <v>44.9293648134224</v>
      </c>
      <c r="AB6151" s="0" t="n">
        <f aca="false">X6151+Z6151</f>
        <v>48.2488424234198</v>
      </c>
      <c r="AC6151" s="54" t="b">
        <f aca="false">AND(E6151&gt;=01_因子設定!$L$5-0.000000001,E6151&lt;=01_因子設定!$M$5+0.000000001,F6151&gt;=01_因子設定!$L$6-0.000000001,F6151&lt;=01_因子設定!$M$6+0.000000001,G6151&gt;=01_因子設定!$L$7-0.000000001,G6151&lt;=01_因子設定!$M$7+0.000000001,H6151&gt;=01_因子設定!$L$8-0.000000001,H6151&lt;=01_因子設定!$M$8+0.000000001,IF(01_因子設定!$B$20="Box-Behnken",E6151^2+F6151^2+G6151^2+H6151^2&lt;=2+0.000000001,TRUE()))</f>
        <v>1</v>
      </c>
      <c r="AD6151" s="55" t="n">
        <f aca="false">IF(AC6151,IF(01_因子設定!$B$13="最大化",AA6151-01_因子設定!$B$14,IF(01_因子設定!$B$13="最小化",01_因子設定!$B$15-AB6151,MIN(AA6151-01_因子設定!$B$14,01_因子設定!$B$15-AB6151))),-1E+030)</f>
        <v>-1.5706351865776</v>
      </c>
      <c r="AE6151" s="55" t="n">
        <f aca="false">IF(AC6151,IF(01_因子設定!$B$13="最大化",X6151,IF(01_因子設定!$B$13="最小化",-X6151,-ABS(X6151-01_因子設定!$B$16))),-1E+030)</f>
        <v>46.5891036184211</v>
      </c>
      <c r="AF6151" s="55" t="n">
        <f aca="false">AD6151+ROW()*0.000000001</f>
        <v>-1.5706290355776</v>
      </c>
      <c r="AG6151" s="55" t="n">
        <f aca="false">AE6151+ROW()*0.000000001</f>
        <v>46.5891097694211</v>
      </c>
    </row>
    <row r="6152" customFormat="false" ht="15" hidden="false" customHeight="false" outlineLevel="0" collapsed="false">
      <c r="A6152" s="0" t="n">
        <v>8</v>
      </c>
      <c r="B6152" s="0" t="n">
        <v>3</v>
      </c>
      <c r="C6152" s="0" t="n">
        <v>8</v>
      </c>
      <c r="D6152" s="0" t="n">
        <v>0</v>
      </c>
      <c r="E6152" s="0" t="n">
        <f aca="false">-1+A6152*0.25</f>
        <v>1</v>
      </c>
      <c r="F6152" s="0" t="n">
        <f aca="false">-1+B6152*0.25</f>
        <v>-0.25</v>
      </c>
      <c r="G6152" s="0" t="n">
        <f aca="false">-1+C6152*0.25</f>
        <v>1</v>
      </c>
      <c r="H6152" s="0" t="n">
        <f aca="false">-1+D6152*0.25</f>
        <v>-1</v>
      </c>
      <c r="I6152" s="0" t="n">
        <f aca="false">1</f>
        <v>1</v>
      </c>
      <c r="J6152" s="0" t="n">
        <f aca="false">E6152</f>
        <v>1</v>
      </c>
      <c r="K6152" s="0" t="n">
        <f aca="false">F6152</f>
        <v>-0.25</v>
      </c>
      <c r="L6152" s="0" t="n">
        <f aca="false">G6152</f>
        <v>1</v>
      </c>
      <c r="M6152" s="0" t="n">
        <f aca="false">H6152</f>
        <v>-1</v>
      </c>
      <c r="N6152" s="0" t="n">
        <f aca="false">E6152*F6152</f>
        <v>-0.25</v>
      </c>
      <c r="O6152" s="0" t="n">
        <f aca="false">E6152*G6152</f>
        <v>1</v>
      </c>
      <c r="P6152" s="0" t="n">
        <f aca="false">E6152*H6152</f>
        <v>-1</v>
      </c>
      <c r="Q6152" s="0" t="n">
        <f aca="false">F6152*G6152</f>
        <v>-0.25</v>
      </c>
      <c r="R6152" s="0" t="n">
        <f aca="false">F6152*H6152</f>
        <v>0.25</v>
      </c>
      <c r="S6152" s="0" t="n">
        <f aca="false">G6152*H6152</f>
        <v>-1</v>
      </c>
      <c r="T6152" s="0" t="n">
        <f aca="false">E6152*E6152</f>
        <v>1</v>
      </c>
      <c r="U6152" s="0" t="n">
        <f aca="false">F6152*F6152</f>
        <v>0.0625</v>
      </c>
      <c r="V6152" s="0" t="n">
        <f aca="false">G6152*G6152</f>
        <v>1</v>
      </c>
      <c r="W6152" s="0" t="n">
        <f aca="false">H6152*H6152</f>
        <v>1</v>
      </c>
      <c r="X6152" s="0" t="n">
        <f aca="false">SUMPRODUCT(I6152:W6152,_XtX!$B$96:$P$96)</f>
        <v>44.6838450292398</v>
      </c>
      <c r="Y6152" s="0" t="n">
        <f aca="false">SUMPRODUCT(MMULT(I6152:W6152,_XtX!$B$78:$P$92),I6152:W6152)</f>
        <v>0.737093384502924</v>
      </c>
      <c r="Z6152" s="0" t="n">
        <f aca="false">04_回帰ANOVA!$K$19*04_回帰ANOVA!$K$14*SQRT(1+Y6152)</f>
        <v>1.71794784853551</v>
      </c>
      <c r="AA6152" s="0" t="n">
        <f aca="false">X6152-Z6152</f>
        <v>42.9658971807043</v>
      </c>
      <c r="AB6152" s="0" t="n">
        <f aca="false">X6152+Z6152</f>
        <v>46.4017928777753</v>
      </c>
      <c r="AC6152" s="54" t="b">
        <f aca="false">AND(E6152&gt;=01_因子設定!$L$5-0.000000001,E6152&lt;=01_因子設定!$M$5+0.000000001,F6152&gt;=01_因子設定!$L$6-0.000000001,F6152&lt;=01_因子設定!$M$6+0.000000001,G6152&gt;=01_因子設定!$L$7-0.000000001,G6152&lt;=01_因子設定!$M$7+0.000000001,H6152&gt;=01_因子設定!$L$8-0.000000001,H6152&lt;=01_因子設定!$M$8+0.000000001,IF(01_因子設定!$B$20="Box-Behnken",E6152^2+F6152^2+G6152^2+H6152^2&lt;=2+0.000000001,TRUE()))</f>
        <v>1</v>
      </c>
      <c r="AD6152" s="55" t="n">
        <f aca="false">IF(AC6152,IF(01_因子設定!$B$13="最大化",AA6152-01_因子設定!$B$14,IF(01_因子設定!$B$13="最小化",01_因子設定!$B$15-AB6152,MIN(AA6152-01_因子設定!$B$14,01_因子設定!$B$15-AB6152))),-1E+030)</f>
        <v>-3.53410281929567</v>
      </c>
      <c r="AE6152" s="55" t="n">
        <f aca="false">IF(AC6152,IF(01_因子設定!$B$13="最大化",X6152,IF(01_因子設定!$B$13="最小化",-X6152,-ABS(X6152-01_因子設定!$B$16))),-1E+030)</f>
        <v>44.6838450292398</v>
      </c>
      <c r="AF6152" s="55" t="n">
        <f aca="false">AD6152+ROW()*0.000000001</f>
        <v>-3.53409666729567</v>
      </c>
      <c r="AG6152" s="55" t="n">
        <f aca="false">AE6152+ROW()*0.000000001</f>
        <v>44.6838511812398</v>
      </c>
    </row>
    <row r="6153" customFormat="false" ht="15" hidden="false" customHeight="false" outlineLevel="0" collapsed="false">
      <c r="A6153" s="0" t="n">
        <v>8</v>
      </c>
      <c r="B6153" s="0" t="n">
        <v>3</v>
      </c>
      <c r="C6153" s="0" t="n">
        <v>8</v>
      </c>
      <c r="D6153" s="0" t="n">
        <v>1</v>
      </c>
      <c r="E6153" s="0" t="n">
        <f aca="false">-1+A6153*0.25</f>
        <v>1</v>
      </c>
      <c r="F6153" s="0" t="n">
        <f aca="false">-1+B6153*0.25</f>
        <v>-0.25</v>
      </c>
      <c r="G6153" s="0" t="n">
        <f aca="false">-1+C6153*0.25</f>
        <v>1</v>
      </c>
      <c r="H6153" s="0" t="n">
        <f aca="false">-1+D6153*0.25</f>
        <v>-0.75</v>
      </c>
      <c r="I6153" s="0" t="n">
        <f aca="false">1</f>
        <v>1</v>
      </c>
      <c r="J6153" s="0" t="n">
        <f aca="false">E6153</f>
        <v>1</v>
      </c>
      <c r="K6153" s="0" t="n">
        <f aca="false">F6153</f>
        <v>-0.25</v>
      </c>
      <c r="L6153" s="0" t="n">
        <f aca="false">G6153</f>
        <v>1</v>
      </c>
      <c r="M6153" s="0" t="n">
        <f aca="false">H6153</f>
        <v>-0.75</v>
      </c>
      <c r="N6153" s="0" t="n">
        <f aca="false">E6153*F6153</f>
        <v>-0.25</v>
      </c>
      <c r="O6153" s="0" t="n">
        <f aca="false">E6153*G6153</f>
        <v>1</v>
      </c>
      <c r="P6153" s="0" t="n">
        <f aca="false">E6153*H6153</f>
        <v>-0.75</v>
      </c>
      <c r="Q6153" s="0" t="n">
        <f aca="false">F6153*G6153</f>
        <v>-0.25</v>
      </c>
      <c r="R6153" s="0" t="n">
        <f aca="false">F6153*H6153</f>
        <v>0.1875</v>
      </c>
      <c r="S6153" s="0" t="n">
        <f aca="false">G6153*H6153</f>
        <v>-0.75</v>
      </c>
      <c r="T6153" s="0" t="n">
        <f aca="false">E6153*E6153</f>
        <v>1</v>
      </c>
      <c r="U6153" s="0" t="n">
        <f aca="false">F6153*F6153</f>
        <v>0.0625</v>
      </c>
      <c r="V6153" s="0" t="n">
        <f aca="false">G6153*G6153</f>
        <v>1</v>
      </c>
      <c r="W6153" s="0" t="n">
        <f aca="false">H6153*H6153</f>
        <v>0.5625</v>
      </c>
      <c r="X6153" s="0" t="n">
        <f aca="false">SUMPRODUCT(I6153:W6153,_XtX!$B$96:$P$96)</f>
        <v>45.0689647295322</v>
      </c>
      <c r="Y6153" s="0" t="n">
        <f aca="false">SUMPRODUCT(MMULT(I6153:W6153,_XtX!$B$78:$P$92),I6153:W6153)</f>
        <v>0.621372155975877</v>
      </c>
      <c r="Z6153" s="0" t="n">
        <f aca="false">04_回帰ANOVA!$K$19*04_回帰ANOVA!$K$14*SQRT(1+Y6153)</f>
        <v>1.65973880499872</v>
      </c>
      <c r="AA6153" s="0" t="n">
        <f aca="false">X6153-Z6153</f>
        <v>43.4092259245335</v>
      </c>
      <c r="AB6153" s="0" t="n">
        <f aca="false">X6153+Z6153</f>
        <v>46.7287035345309</v>
      </c>
      <c r="AC6153" s="54" t="b">
        <f aca="false">AND(E6153&gt;=01_因子設定!$L$5-0.000000001,E6153&lt;=01_因子設定!$M$5+0.000000001,F6153&gt;=01_因子設定!$L$6-0.000000001,F6153&lt;=01_因子設定!$M$6+0.000000001,G6153&gt;=01_因子設定!$L$7-0.000000001,G6153&lt;=01_因子設定!$M$7+0.000000001,H6153&gt;=01_因子設定!$L$8-0.000000001,H6153&lt;=01_因子設定!$M$8+0.000000001,IF(01_因子設定!$B$20="Box-Behnken",E6153^2+F6153^2+G6153^2+H6153^2&lt;=2+0.000000001,TRUE()))</f>
        <v>1</v>
      </c>
      <c r="AD6153" s="55" t="n">
        <f aca="false">IF(AC6153,IF(01_因子設定!$B$13="最大化",AA6153-01_因子設定!$B$14,IF(01_因子設定!$B$13="最小化",01_因子設定!$B$15-AB6153,MIN(AA6153-01_因子設定!$B$14,01_因子設定!$B$15-AB6153))),-1E+030)</f>
        <v>-3.09077407546651</v>
      </c>
      <c r="AE6153" s="55" t="n">
        <f aca="false">IF(AC6153,IF(01_因子設定!$B$13="最大化",X6153,IF(01_因子設定!$B$13="最小化",-X6153,-ABS(X6153-01_因子設定!$B$16))),-1E+030)</f>
        <v>45.0689647295322</v>
      </c>
      <c r="AF6153" s="55" t="n">
        <f aca="false">AD6153+ROW()*0.000000001</f>
        <v>-3.09076792246651</v>
      </c>
      <c r="AG6153" s="55" t="n">
        <f aca="false">AE6153+ROW()*0.000000001</f>
        <v>45.0689708825322</v>
      </c>
    </row>
    <row r="6154" customFormat="false" ht="15" hidden="false" customHeight="false" outlineLevel="0" collapsed="false">
      <c r="A6154" s="0" t="n">
        <v>8</v>
      </c>
      <c r="B6154" s="0" t="n">
        <v>3</v>
      </c>
      <c r="C6154" s="0" t="n">
        <v>8</v>
      </c>
      <c r="D6154" s="0" t="n">
        <v>2</v>
      </c>
      <c r="E6154" s="0" t="n">
        <f aca="false">-1+A6154*0.25</f>
        <v>1</v>
      </c>
      <c r="F6154" s="0" t="n">
        <f aca="false">-1+B6154*0.25</f>
        <v>-0.25</v>
      </c>
      <c r="G6154" s="0" t="n">
        <f aca="false">-1+C6154*0.25</f>
        <v>1</v>
      </c>
      <c r="H6154" s="0" t="n">
        <f aca="false">-1+D6154*0.25</f>
        <v>-0.5</v>
      </c>
      <c r="I6154" s="0" t="n">
        <f aca="false">1</f>
        <v>1</v>
      </c>
      <c r="J6154" s="0" t="n">
        <f aca="false">E6154</f>
        <v>1</v>
      </c>
      <c r="K6154" s="0" t="n">
        <f aca="false">F6154</f>
        <v>-0.25</v>
      </c>
      <c r="L6154" s="0" t="n">
        <f aca="false">G6154</f>
        <v>1</v>
      </c>
      <c r="M6154" s="0" t="n">
        <f aca="false">H6154</f>
        <v>-0.5</v>
      </c>
      <c r="N6154" s="0" t="n">
        <f aca="false">E6154*F6154</f>
        <v>-0.25</v>
      </c>
      <c r="O6154" s="0" t="n">
        <f aca="false">E6154*G6154</f>
        <v>1</v>
      </c>
      <c r="P6154" s="0" t="n">
        <f aca="false">E6154*H6154</f>
        <v>-0.5</v>
      </c>
      <c r="Q6154" s="0" t="n">
        <f aca="false">F6154*G6154</f>
        <v>-0.25</v>
      </c>
      <c r="R6154" s="0" t="n">
        <f aca="false">F6154*H6154</f>
        <v>0.125</v>
      </c>
      <c r="S6154" s="0" t="n">
        <f aca="false">G6154*H6154</f>
        <v>-0.5</v>
      </c>
      <c r="T6154" s="0" t="n">
        <f aca="false">E6154*E6154</f>
        <v>1</v>
      </c>
      <c r="U6154" s="0" t="n">
        <f aca="false">F6154*F6154</f>
        <v>0.0625</v>
      </c>
      <c r="V6154" s="0" t="n">
        <f aca="false">G6154*G6154</f>
        <v>1</v>
      </c>
      <c r="W6154" s="0" t="n">
        <f aca="false">H6154*H6154</f>
        <v>0.25</v>
      </c>
      <c r="X6154" s="0" t="n">
        <f aca="false">SUMPRODUCT(I6154:W6154,_XtX!$B$96:$P$96)</f>
        <v>45.4062774122807</v>
      </c>
      <c r="Y6154" s="0" t="n">
        <f aca="false">SUMPRODUCT(MMULT(I6154:W6154,_XtX!$B$78:$P$92),I6154:W6154)</f>
        <v>0.629174661915205</v>
      </c>
      <c r="Z6154" s="0" t="n">
        <f aca="false">04_回帰ANOVA!$K$19*04_回帰ANOVA!$K$14*SQRT(1+Y6154)</f>
        <v>1.66372758058297</v>
      </c>
      <c r="AA6154" s="0" t="n">
        <f aca="false">X6154-Z6154</f>
        <v>43.7425498316978</v>
      </c>
      <c r="AB6154" s="0" t="n">
        <f aca="false">X6154+Z6154</f>
        <v>47.0700049928637</v>
      </c>
      <c r="AC6154" s="54" t="b">
        <f aca="false">AND(E6154&gt;=01_因子設定!$L$5-0.000000001,E6154&lt;=01_因子設定!$M$5+0.000000001,F6154&gt;=01_因子設定!$L$6-0.000000001,F6154&lt;=01_因子設定!$M$6+0.000000001,G6154&gt;=01_因子設定!$L$7-0.000000001,G6154&lt;=01_因子設定!$M$7+0.000000001,H6154&gt;=01_因子設定!$L$8-0.000000001,H6154&lt;=01_因子設定!$M$8+0.000000001,IF(01_因子設定!$B$20="Box-Behnken",E6154^2+F6154^2+G6154^2+H6154^2&lt;=2+0.000000001,TRUE()))</f>
        <v>1</v>
      </c>
      <c r="AD6154" s="55" t="n">
        <f aca="false">IF(AC6154,IF(01_因子設定!$B$13="最大化",AA6154-01_因子設定!$B$14,IF(01_因子設定!$B$13="最小化",01_因子設定!$B$15-AB6154,MIN(AA6154-01_因子設定!$B$14,01_因子設定!$B$15-AB6154))),-1E+030)</f>
        <v>-2.75745016830223</v>
      </c>
      <c r="AE6154" s="55" t="n">
        <f aca="false">IF(AC6154,IF(01_因子設定!$B$13="最大化",X6154,IF(01_因子設定!$B$13="最小化",-X6154,-ABS(X6154-01_因子設定!$B$16))),-1E+030)</f>
        <v>45.4062774122807</v>
      </c>
      <c r="AF6154" s="55" t="n">
        <f aca="false">AD6154+ROW()*0.000000001</f>
        <v>-2.75744401430224</v>
      </c>
      <c r="AG6154" s="55" t="n">
        <f aca="false">AE6154+ROW()*0.000000001</f>
        <v>45.4062835662807</v>
      </c>
    </row>
    <row r="6155" customFormat="false" ht="15" hidden="false" customHeight="false" outlineLevel="0" collapsed="false">
      <c r="A6155" s="0" t="n">
        <v>8</v>
      </c>
      <c r="B6155" s="0" t="n">
        <v>3</v>
      </c>
      <c r="C6155" s="0" t="n">
        <v>8</v>
      </c>
      <c r="D6155" s="0" t="n">
        <v>3</v>
      </c>
      <c r="E6155" s="0" t="n">
        <f aca="false">-1+A6155*0.25</f>
        <v>1</v>
      </c>
      <c r="F6155" s="0" t="n">
        <f aca="false">-1+B6155*0.25</f>
        <v>-0.25</v>
      </c>
      <c r="G6155" s="0" t="n">
        <f aca="false">-1+C6155*0.25</f>
        <v>1</v>
      </c>
      <c r="H6155" s="0" t="n">
        <f aca="false">-1+D6155*0.25</f>
        <v>-0.25</v>
      </c>
      <c r="I6155" s="0" t="n">
        <f aca="false">1</f>
        <v>1</v>
      </c>
      <c r="J6155" s="0" t="n">
        <f aca="false">E6155</f>
        <v>1</v>
      </c>
      <c r="K6155" s="0" t="n">
        <f aca="false">F6155</f>
        <v>-0.25</v>
      </c>
      <c r="L6155" s="0" t="n">
        <f aca="false">G6155</f>
        <v>1</v>
      </c>
      <c r="M6155" s="0" t="n">
        <f aca="false">H6155</f>
        <v>-0.25</v>
      </c>
      <c r="N6155" s="0" t="n">
        <f aca="false">E6155*F6155</f>
        <v>-0.25</v>
      </c>
      <c r="O6155" s="0" t="n">
        <f aca="false">E6155*G6155</f>
        <v>1</v>
      </c>
      <c r="P6155" s="0" t="n">
        <f aca="false">E6155*H6155</f>
        <v>-0.25</v>
      </c>
      <c r="Q6155" s="0" t="n">
        <f aca="false">F6155*G6155</f>
        <v>-0.25</v>
      </c>
      <c r="R6155" s="0" t="n">
        <f aca="false">F6155*H6155</f>
        <v>0.0625</v>
      </c>
      <c r="S6155" s="0" t="n">
        <f aca="false">G6155*H6155</f>
        <v>-0.25</v>
      </c>
      <c r="T6155" s="0" t="n">
        <f aca="false">E6155*E6155</f>
        <v>1</v>
      </c>
      <c r="U6155" s="0" t="n">
        <f aca="false">F6155*F6155</f>
        <v>0.0625</v>
      </c>
      <c r="V6155" s="0" t="n">
        <f aca="false">G6155*G6155</f>
        <v>1</v>
      </c>
      <c r="W6155" s="0" t="n">
        <f aca="false">H6155*H6155</f>
        <v>0.0625</v>
      </c>
      <c r="X6155" s="0" t="n">
        <f aca="false">SUMPRODUCT(I6155:W6155,_XtX!$B$96:$P$96)</f>
        <v>45.6957830774854</v>
      </c>
      <c r="Y6155" s="0" t="n">
        <f aca="false">SUMPRODUCT(MMULT(I6155:W6155,_XtX!$B$78:$P$92),I6155:W6155)</f>
        <v>0.670040376005117</v>
      </c>
      <c r="Z6155" s="0" t="n">
        <f aca="false">04_回帰ANOVA!$K$19*04_回帰ANOVA!$K$14*SQRT(1+Y6155)</f>
        <v>1.68446456039992</v>
      </c>
      <c r="AA6155" s="0" t="n">
        <f aca="false">X6155-Z6155</f>
        <v>44.0113185170855</v>
      </c>
      <c r="AB6155" s="0" t="n">
        <f aca="false">X6155+Z6155</f>
        <v>47.3802476378853</v>
      </c>
      <c r="AC6155" s="54" t="b">
        <f aca="false">AND(E6155&gt;=01_因子設定!$L$5-0.000000001,E6155&lt;=01_因子設定!$M$5+0.000000001,F6155&gt;=01_因子設定!$L$6-0.000000001,F6155&lt;=01_因子設定!$M$6+0.000000001,G6155&gt;=01_因子設定!$L$7-0.000000001,G6155&lt;=01_因子設定!$M$7+0.000000001,H6155&gt;=01_因子設定!$L$8-0.000000001,H6155&lt;=01_因子設定!$M$8+0.000000001,IF(01_因子設定!$B$20="Box-Behnken",E6155^2+F6155^2+G6155^2+H6155^2&lt;=2+0.000000001,TRUE()))</f>
        <v>1</v>
      </c>
      <c r="AD6155" s="55" t="n">
        <f aca="false">IF(AC6155,IF(01_因子設定!$B$13="最大化",AA6155-01_因子設定!$B$14,IF(01_因子設定!$B$13="最小化",01_因子設定!$B$15-AB6155,MIN(AA6155-01_因子設定!$B$14,01_因子設定!$B$15-AB6155))),-1E+030)</f>
        <v>-2.48868148291451</v>
      </c>
      <c r="AE6155" s="55" t="n">
        <f aca="false">IF(AC6155,IF(01_因子設定!$B$13="最大化",X6155,IF(01_因子設定!$B$13="最小化",-X6155,-ABS(X6155-01_因子設定!$B$16))),-1E+030)</f>
        <v>45.6957830774854</v>
      </c>
      <c r="AF6155" s="55" t="n">
        <f aca="false">AD6155+ROW()*0.000000001</f>
        <v>-2.48867532791451</v>
      </c>
      <c r="AG6155" s="55" t="n">
        <f aca="false">AE6155+ROW()*0.000000001</f>
        <v>45.6957892324854</v>
      </c>
    </row>
    <row r="6156" customFormat="false" ht="15" hidden="false" customHeight="false" outlineLevel="0" collapsed="false">
      <c r="A6156" s="0" t="n">
        <v>8</v>
      </c>
      <c r="B6156" s="0" t="n">
        <v>3</v>
      </c>
      <c r="C6156" s="0" t="n">
        <v>8</v>
      </c>
      <c r="D6156" s="0" t="n">
        <v>4</v>
      </c>
      <c r="E6156" s="0" t="n">
        <f aca="false">-1+A6156*0.25</f>
        <v>1</v>
      </c>
      <c r="F6156" s="0" t="n">
        <f aca="false">-1+B6156*0.25</f>
        <v>-0.25</v>
      </c>
      <c r="G6156" s="0" t="n">
        <f aca="false">-1+C6156*0.25</f>
        <v>1</v>
      </c>
      <c r="H6156" s="0" t="n">
        <f aca="false">-1+D6156*0.25</f>
        <v>0</v>
      </c>
      <c r="I6156" s="0" t="n">
        <f aca="false">1</f>
        <v>1</v>
      </c>
      <c r="J6156" s="0" t="n">
        <f aca="false">E6156</f>
        <v>1</v>
      </c>
      <c r="K6156" s="0" t="n">
        <f aca="false">F6156</f>
        <v>-0.25</v>
      </c>
      <c r="L6156" s="0" t="n">
        <f aca="false">G6156</f>
        <v>1</v>
      </c>
      <c r="M6156" s="0" t="n">
        <f aca="false">H6156</f>
        <v>0</v>
      </c>
      <c r="N6156" s="0" t="n">
        <f aca="false">E6156*F6156</f>
        <v>-0.25</v>
      </c>
      <c r="O6156" s="0" t="n">
        <f aca="false">E6156*G6156</f>
        <v>1</v>
      </c>
      <c r="P6156" s="0" t="n">
        <f aca="false">E6156*H6156</f>
        <v>0</v>
      </c>
      <c r="Q6156" s="0" t="n">
        <f aca="false">F6156*G6156</f>
        <v>-0.25</v>
      </c>
      <c r="R6156" s="0" t="n">
        <f aca="false">F6156*H6156</f>
        <v>-0</v>
      </c>
      <c r="S6156" s="0" t="n">
        <f aca="false">G6156*H6156</f>
        <v>0</v>
      </c>
      <c r="T6156" s="0" t="n">
        <f aca="false">E6156*E6156</f>
        <v>1</v>
      </c>
      <c r="U6156" s="0" t="n">
        <f aca="false">F6156*F6156</f>
        <v>0.0625</v>
      </c>
      <c r="V6156" s="0" t="n">
        <f aca="false">G6156*G6156</f>
        <v>1</v>
      </c>
      <c r="W6156" s="0" t="n">
        <f aca="false">H6156*H6156</f>
        <v>0</v>
      </c>
      <c r="X6156" s="0" t="n">
        <f aca="false">SUMPRODUCT(I6156:W6156,_XtX!$B$96:$P$96)</f>
        <v>45.9374817251462</v>
      </c>
      <c r="Y6156" s="0" t="n">
        <f aca="false">SUMPRODUCT(MMULT(I6156:W6156,_XtX!$B$78:$P$92),I6156:W6156)</f>
        <v>0.689692982456141</v>
      </c>
      <c r="Z6156" s="0" t="n">
        <f aca="false">04_回帰ANOVA!$K$19*04_回帰ANOVA!$K$14*SQRT(1+Y6156)</f>
        <v>1.69434674594998</v>
      </c>
      <c r="AA6156" s="0" t="n">
        <f aca="false">X6156-Z6156</f>
        <v>44.2431349791962</v>
      </c>
      <c r="AB6156" s="0" t="n">
        <f aca="false">X6156+Z6156</f>
        <v>47.6318284710962</v>
      </c>
      <c r="AC6156" s="54" t="b">
        <f aca="false">AND(E6156&gt;=01_因子設定!$L$5-0.000000001,E6156&lt;=01_因子設定!$M$5+0.000000001,F6156&gt;=01_因子設定!$L$6-0.000000001,F6156&lt;=01_因子設定!$M$6+0.000000001,G6156&gt;=01_因子設定!$L$7-0.000000001,G6156&lt;=01_因子設定!$M$7+0.000000001,H6156&gt;=01_因子設定!$L$8-0.000000001,H6156&lt;=01_因子設定!$M$8+0.000000001,IF(01_因子設定!$B$20="Box-Behnken",E6156^2+F6156^2+G6156^2+H6156^2&lt;=2+0.000000001,TRUE()))</f>
        <v>1</v>
      </c>
      <c r="AD6156" s="55" t="n">
        <f aca="false">IF(AC6156,IF(01_因子設定!$B$13="最大化",AA6156-01_因子設定!$B$14,IF(01_因子設定!$B$13="最小化",01_因子設定!$B$15-AB6156,MIN(AA6156-01_因子設定!$B$14,01_因子設定!$B$15-AB6156))),-1E+030)</f>
        <v>-2.25686502080376</v>
      </c>
      <c r="AE6156" s="55" t="n">
        <f aca="false">IF(AC6156,IF(01_因子設定!$B$13="最大化",X6156,IF(01_因子設定!$B$13="最小化",-X6156,-ABS(X6156-01_因子設定!$B$16))),-1E+030)</f>
        <v>45.9374817251462</v>
      </c>
      <c r="AF6156" s="55" t="n">
        <f aca="false">AD6156+ROW()*0.000000001</f>
        <v>-2.25685886480376</v>
      </c>
      <c r="AG6156" s="55" t="n">
        <f aca="false">AE6156+ROW()*0.000000001</f>
        <v>45.9374878811462</v>
      </c>
    </row>
    <row r="6157" customFormat="false" ht="15" hidden="false" customHeight="false" outlineLevel="0" collapsed="false">
      <c r="A6157" s="0" t="n">
        <v>8</v>
      </c>
      <c r="B6157" s="0" t="n">
        <v>3</v>
      </c>
      <c r="C6157" s="0" t="n">
        <v>8</v>
      </c>
      <c r="D6157" s="0" t="n">
        <v>5</v>
      </c>
      <c r="E6157" s="0" t="n">
        <f aca="false">-1+A6157*0.25</f>
        <v>1</v>
      </c>
      <c r="F6157" s="0" t="n">
        <f aca="false">-1+B6157*0.25</f>
        <v>-0.25</v>
      </c>
      <c r="G6157" s="0" t="n">
        <f aca="false">-1+C6157*0.25</f>
        <v>1</v>
      </c>
      <c r="H6157" s="0" t="n">
        <f aca="false">-1+D6157*0.25</f>
        <v>0.25</v>
      </c>
      <c r="I6157" s="0" t="n">
        <f aca="false">1</f>
        <v>1</v>
      </c>
      <c r="J6157" s="0" t="n">
        <f aca="false">E6157</f>
        <v>1</v>
      </c>
      <c r="K6157" s="0" t="n">
        <f aca="false">F6157</f>
        <v>-0.25</v>
      </c>
      <c r="L6157" s="0" t="n">
        <f aca="false">G6157</f>
        <v>1</v>
      </c>
      <c r="M6157" s="0" t="n">
        <f aca="false">H6157</f>
        <v>0.25</v>
      </c>
      <c r="N6157" s="0" t="n">
        <f aca="false">E6157*F6157</f>
        <v>-0.25</v>
      </c>
      <c r="O6157" s="0" t="n">
        <f aca="false">E6157*G6157</f>
        <v>1</v>
      </c>
      <c r="P6157" s="0" t="n">
        <f aca="false">E6157*H6157</f>
        <v>0.25</v>
      </c>
      <c r="Q6157" s="0" t="n">
        <f aca="false">F6157*G6157</f>
        <v>-0.25</v>
      </c>
      <c r="R6157" s="0" t="n">
        <f aca="false">F6157*H6157</f>
        <v>-0.0625</v>
      </c>
      <c r="S6157" s="0" t="n">
        <f aca="false">G6157*H6157</f>
        <v>0.25</v>
      </c>
      <c r="T6157" s="0" t="n">
        <f aca="false">E6157*E6157</f>
        <v>1</v>
      </c>
      <c r="U6157" s="0" t="n">
        <f aca="false">F6157*F6157</f>
        <v>0.0625</v>
      </c>
      <c r="V6157" s="0" t="n">
        <f aca="false">G6157*G6157</f>
        <v>1</v>
      </c>
      <c r="W6157" s="0" t="n">
        <f aca="false">H6157*H6157</f>
        <v>0.0625</v>
      </c>
      <c r="X6157" s="0" t="n">
        <f aca="false">SUMPRODUCT(I6157:W6157,_XtX!$B$96:$P$96)</f>
        <v>46.1313733552632</v>
      </c>
      <c r="Y6157" s="0" t="n">
        <f aca="false">SUMPRODUCT(MMULT(I6157:W6157,_XtX!$B$78:$P$92),I6157:W6157)</f>
        <v>0.670040376005117</v>
      </c>
      <c r="Z6157" s="0" t="n">
        <f aca="false">04_回帰ANOVA!$K$19*04_回帰ANOVA!$K$14*SQRT(1+Y6157)</f>
        <v>1.68446456039992</v>
      </c>
      <c r="AA6157" s="0" t="n">
        <f aca="false">X6157-Z6157</f>
        <v>44.4469087948633</v>
      </c>
      <c r="AB6157" s="0" t="n">
        <f aca="false">X6157+Z6157</f>
        <v>47.8158379156631</v>
      </c>
      <c r="AC6157" s="54" t="b">
        <f aca="false">AND(E6157&gt;=01_因子設定!$L$5-0.000000001,E6157&lt;=01_因子設定!$M$5+0.000000001,F6157&gt;=01_因子設定!$L$6-0.000000001,F6157&lt;=01_因子設定!$M$6+0.000000001,G6157&gt;=01_因子設定!$L$7-0.000000001,G6157&lt;=01_因子設定!$M$7+0.000000001,H6157&gt;=01_因子設定!$L$8-0.000000001,H6157&lt;=01_因子設定!$M$8+0.000000001,IF(01_因子設定!$B$20="Box-Behnken",E6157^2+F6157^2+G6157^2+H6157^2&lt;=2+0.000000001,TRUE()))</f>
        <v>1</v>
      </c>
      <c r="AD6157" s="55" t="n">
        <f aca="false">IF(AC6157,IF(01_因子設定!$B$13="最大化",AA6157-01_因子設定!$B$14,IF(01_因子設定!$B$13="最小化",01_因子設定!$B$15-AB6157,MIN(AA6157-01_因子設定!$B$14,01_因子設定!$B$15-AB6157))),-1E+030)</f>
        <v>-2.05309120513673</v>
      </c>
      <c r="AE6157" s="55" t="n">
        <f aca="false">IF(AC6157,IF(01_因子設定!$B$13="最大化",X6157,IF(01_因子設定!$B$13="最小化",-X6157,-ABS(X6157-01_因子設定!$B$16))),-1E+030)</f>
        <v>46.1313733552632</v>
      </c>
      <c r="AF6157" s="55" t="n">
        <f aca="false">AD6157+ROW()*0.000000001</f>
        <v>-2.05308504813673</v>
      </c>
      <c r="AG6157" s="55" t="n">
        <f aca="false">AE6157+ROW()*0.000000001</f>
        <v>46.1313795122632</v>
      </c>
    </row>
    <row r="6158" customFormat="false" ht="15" hidden="false" customHeight="false" outlineLevel="0" collapsed="false">
      <c r="A6158" s="0" t="n">
        <v>8</v>
      </c>
      <c r="B6158" s="0" t="n">
        <v>3</v>
      </c>
      <c r="C6158" s="0" t="n">
        <v>8</v>
      </c>
      <c r="D6158" s="0" t="n">
        <v>6</v>
      </c>
      <c r="E6158" s="0" t="n">
        <f aca="false">-1+A6158*0.25</f>
        <v>1</v>
      </c>
      <c r="F6158" s="0" t="n">
        <f aca="false">-1+B6158*0.25</f>
        <v>-0.25</v>
      </c>
      <c r="G6158" s="0" t="n">
        <f aca="false">-1+C6158*0.25</f>
        <v>1</v>
      </c>
      <c r="H6158" s="0" t="n">
        <f aca="false">-1+D6158*0.25</f>
        <v>0.5</v>
      </c>
      <c r="I6158" s="0" t="n">
        <f aca="false">1</f>
        <v>1</v>
      </c>
      <c r="J6158" s="0" t="n">
        <f aca="false">E6158</f>
        <v>1</v>
      </c>
      <c r="K6158" s="0" t="n">
        <f aca="false">F6158</f>
        <v>-0.25</v>
      </c>
      <c r="L6158" s="0" t="n">
        <f aca="false">G6158</f>
        <v>1</v>
      </c>
      <c r="M6158" s="0" t="n">
        <f aca="false">H6158</f>
        <v>0.5</v>
      </c>
      <c r="N6158" s="0" t="n">
        <f aca="false">E6158*F6158</f>
        <v>-0.25</v>
      </c>
      <c r="O6158" s="0" t="n">
        <f aca="false">E6158*G6158</f>
        <v>1</v>
      </c>
      <c r="P6158" s="0" t="n">
        <f aca="false">E6158*H6158</f>
        <v>0.5</v>
      </c>
      <c r="Q6158" s="0" t="n">
        <f aca="false">F6158*G6158</f>
        <v>-0.25</v>
      </c>
      <c r="R6158" s="0" t="n">
        <f aca="false">F6158*H6158</f>
        <v>-0.125</v>
      </c>
      <c r="S6158" s="0" t="n">
        <f aca="false">G6158*H6158</f>
        <v>0.5</v>
      </c>
      <c r="T6158" s="0" t="n">
        <f aca="false">E6158*E6158</f>
        <v>1</v>
      </c>
      <c r="U6158" s="0" t="n">
        <f aca="false">F6158*F6158</f>
        <v>0.0625</v>
      </c>
      <c r="V6158" s="0" t="n">
        <f aca="false">G6158*G6158</f>
        <v>1</v>
      </c>
      <c r="W6158" s="0" t="n">
        <f aca="false">H6158*H6158</f>
        <v>0.25</v>
      </c>
      <c r="X6158" s="0" t="n">
        <f aca="false">SUMPRODUCT(I6158:W6158,_XtX!$B$96:$P$96)</f>
        <v>46.2774579678363</v>
      </c>
      <c r="Y6158" s="0" t="n">
        <f aca="false">SUMPRODUCT(MMULT(I6158:W6158,_XtX!$B$78:$P$92),I6158:W6158)</f>
        <v>0.629174661915205</v>
      </c>
      <c r="Z6158" s="0" t="n">
        <f aca="false">04_回帰ANOVA!$K$19*04_回帰ANOVA!$K$14*SQRT(1+Y6158)</f>
        <v>1.66372758058297</v>
      </c>
      <c r="AA6158" s="0" t="n">
        <f aca="false">X6158-Z6158</f>
        <v>44.6137303872533</v>
      </c>
      <c r="AB6158" s="0" t="n">
        <f aca="false">X6158+Z6158</f>
        <v>47.9411855484193</v>
      </c>
      <c r="AC6158" s="54" t="b">
        <f aca="false">AND(E6158&gt;=01_因子設定!$L$5-0.000000001,E6158&lt;=01_因子設定!$M$5+0.000000001,F6158&gt;=01_因子設定!$L$6-0.000000001,F6158&lt;=01_因子設定!$M$6+0.000000001,G6158&gt;=01_因子設定!$L$7-0.000000001,G6158&lt;=01_因子設定!$M$7+0.000000001,H6158&gt;=01_因子設定!$L$8-0.000000001,H6158&lt;=01_因子設定!$M$8+0.000000001,IF(01_因子設定!$B$20="Box-Behnken",E6158^2+F6158^2+G6158^2+H6158^2&lt;=2+0.000000001,TRUE()))</f>
        <v>1</v>
      </c>
      <c r="AD6158" s="55" t="n">
        <f aca="false">IF(AC6158,IF(01_因子設定!$B$13="最大化",AA6158-01_因子設定!$B$14,IF(01_因子設定!$B$13="最小化",01_因子設定!$B$15-AB6158,MIN(AA6158-01_因子設定!$B$14,01_因子設定!$B$15-AB6158))),-1E+030)</f>
        <v>-1.88626961274668</v>
      </c>
      <c r="AE6158" s="55" t="n">
        <f aca="false">IF(AC6158,IF(01_因子設定!$B$13="最大化",X6158,IF(01_因子設定!$B$13="最小化",-X6158,-ABS(X6158-01_因子設定!$B$16))),-1E+030)</f>
        <v>46.2774579678363</v>
      </c>
      <c r="AF6158" s="55" t="n">
        <f aca="false">AD6158+ROW()*0.000000001</f>
        <v>-1.88626345474668</v>
      </c>
      <c r="AG6158" s="55" t="n">
        <f aca="false">AE6158+ROW()*0.000000001</f>
        <v>46.2774641258363</v>
      </c>
    </row>
    <row r="6159" customFormat="false" ht="15" hidden="false" customHeight="false" outlineLevel="0" collapsed="false">
      <c r="A6159" s="0" t="n">
        <v>8</v>
      </c>
      <c r="B6159" s="0" t="n">
        <v>3</v>
      </c>
      <c r="C6159" s="0" t="n">
        <v>8</v>
      </c>
      <c r="D6159" s="0" t="n">
        <v>7</v>
      </c>
      <c r="E6159" s="0" t="n">
        <f aca="false">-1+A6159*0.25</f>
        <v>1</v>
      </c>
      <c r="F6159" s="0" t="n">
        <f aca="false">-1+B6159*0.25</f>
        <v>-0.25</v>
      </c>
      <c r="G6159" s="0" t="n">
        <f aca="false">-1+C6159*0.25</f>
        <v>1</v>
      </c>
      <c r="H6159" s="0" t="n">
        <f aca="false">-1+D6159*0.25</f>
        <v>0.75</v>
      </c>
      <c r="I6159" s="0" t="n">
        <f aca="false">1</f>
        <v>1</v>
      </c>
      <c r="J6159" s="0" t="n">
        <f aca="false">E6159</f>
        <v>1</v>
      </c>
      <c r="K6159" s="0" t="n">
        <f aca="false">F6159</f>
        <v>-0.25</v>
      </c>
      <c r="L6159" s="0" t="n">
        <f aca="false">G6159</f>
        <v>1</v>
      </c>
      <c r="M6159" s="0" t="n">
        <f aca="false">H6159</f>
        <v>0.75</v>
      </c>
      <c r="N6159" s="0" t="n">
        <f aca="false">E6159*F6159</f>
        <v>-0.25</v>
      </c>
      <c r="O6159" s="0" t="n">
        <f aca="false">E6159*G6159</f>
        <v>1</v>
      </c>
      <c r="P6159" s="0" t="n">
        <f aca="false">E6159*H6159</f>
        <v>0.75</v>
      </c>
      <c r="Q6159" s="0" t="n">
        <f aca="false">F6159*G6159</f>
        <v>-0.25</v>
      </c>
      <c r="R6159" s="0" t="n">
        <f aca="false">F6159*H6159</f>
        <v>-0.1875</v>
      </c>
      <c r="S6159" s="0" t="n">
        <f aca="false">G6159*H6159</f>
        <v>0.75</v>
      </c>
      <c r="T6159" s="0" t="n">
        <f aca="false">E6159*E6159</f>
        <v>1</v>
      </c>
      <c r="U6159" s="0" t="n">
        <f aca="false">F6159*F6159</f>
        <v>0.0625</v>
      </c>
      <c r="V6159" s="0" t="n">
        <f aca="false">G6159*G6159</f>
        <v>1</v>
      </c>
      <c r="W6159" s="0" t="n">
        <f aca="false">H6159*H6159</f>
        <v>0.5625</v>
      </c>
      <c r="X6159" s="0" t="n">
        <f aca="false">SUMPRODUCT(I6159:W6159,_XtX!$B$96:$P$96)</f>
        <v>46.3757355628655</v>
      </c>
      <c r="Y6159" s="0" t="n">
        <f aca="false">SUMPRODUCT(MMULT(I6159:W6159,_XtX!$B$78:$P$92),I6159:W6159)</f>
        <v>0.621372155975877</v>
      </c>
      <c r="Z6159" s="0" t="n">
        <f aca="false">04_回帰ANOVA!$K$19*04_回帰ANOVA!$K$14*SQRT(1+Y6159)</f>
        <v>1.65973880499872</v>
      </c>
      <c r="AA6159" s="0" t="n">
        <f aca="false">X6159-Z6159</f>
        <v>44.7159967578668</v>
      </c>
      <c r="AB6159" s="0" t="n">
        <f aca="false">X6159+Z6159</f>
        <v>48.0354743678643</v>
      </c>
      <c r="AC6159" s="54" t="b">
        <f aca="false">AND(E6159&gt;=01_因子設定!$L$5-0.000000001,E6159&lt;=01_因子設定!$M$5+0.000000001,F6159&gt;=01_因子設定!$L$6-0.000000001,F6159&lt;=01_因子設定!$M$6+0.000000001,G6159&gt;=01_因子設定!$L$7-0.000000001,G6159&lt;=01_因子設定!$M$7+0.000000001,H6159&gt;=01_因子設定!$L$8-0.000000001,H6159&lt;=01_因子設定!$M$8+0.000000001,IF(01_因子設定!$B$20="Box-Behnken",E6159^2+F6159^2+G6159^2+H6159^2&lt;=2+0.000000001,TRUE()))</f>
        <v>1</v>
      </c>
      <c r="AD6159" s="55" t="n">
        <f aca="false">IF(AC6159,IF(01_因子設定!$B$13="最大化",AA6159-01_因子設定!$B$14,IF(01_因子設定!$B$13="最小化",01_因子設定!$B$15-AB6159,MIN(AA6159-01_因子設定!$B$14,01_因子設定!$B$15-AB6159))),-1E+030)</f>
        <v>-1.78400324213317</v>
      </c>
      <c r="AE6159" s="55" t="n">
        <f aca="false">IF(AC6159,IF(01_因子設定!$B$13="最大化",X6159,IF(01_因子設定!$B$13="最小化",-X6159,-ABS(X6159-01_因子設定!$B$16))),-1E+030)</f>
        <v>46.3757355628655</v>
      </c>
      <c r="AF6159" s="55" t="n">
        <f aca="false">AD6159+ROW()*0.000000001</f>
        <v>-1.78399708313317</v>
      </c>
      <c r="AG6159" s="55" t="n">
        <f aca="false">AE6159+ROW()*0.000000001</f>
        <v>46.3757417218655</v>
      </c>
    </row>
    <row r="6160" customFormat="false" ht="15" hidden="false" customHeight="false" outlineLevel="0" collapsed="false">
      <c r="A6160" s="0" t="n">
        <v>8</v>
      </c>
      <c r="B6160" s="0" t="n">
        <v>3</v>
      </c>
      <c r="C6160" s="0" t="n">
        <v>8</v>
      </c>
      <c r="D6160" s="0" t="n">
        <v>8</v>
      </c>
      <c r="E6160" s="0" t="n">
        <f aca="false">-1+A6160*0.25</f>
        <v>1</v>
      </c>
      <c r="F6160" s="0" t="n">
        <f aca="false">-1+B6160*0.25</f>
        <v>-0.25</v>
      </c>
      <c r="G6160" s="0" t="n">
        <f aca="false">-1+C6160*0.25</f>
        <v>1</v>
      </c>
      <c r="H6160" s="0" t="n">
        <f aca="false">-1+D6160*0.25</f>
        <v>1</v>
      </c>
      <c r="I6160" s="0" t="n">
        <f aca="false">1</f>
        <v>1</v>
      </c>
      <c r="J6160" s="0" t="n">
        <f aca="false">E6160</f>
        <v>1</v>
      </c>
      <c r="K6160" s="0" t="n">
        <f aca="false">F6160</f>
        <v>-0.25</v>
      </c>
      <c r="L6160" s="0" t="n">
        <f aca="false">G6160</f>
        <v>1</v>
      </c>
      <c r="M6160" s="0" t="n">
        <f aca="false">H6160</f>
        <v>1</v>
      </c>
      <c r="N6160" s="0" t="n">
        <f aca="false">E6160*F6160</f>
        <v>-0.25</v>
      </c>
      <c r="O6160" s="0" t="n">
        <f aca="false">E6160*G6160</f>
        <v>1</v>
      </c>
      <c r="P6160" s="0" t="n">
        <f aca="false">E6160*H6160</f>
        <v>1</v>
      </c>
      <c r="Q6160" s="0" t="n">
        <f aca="false">F6160*G6160</f>
        <v>-0.25</v>
      </c>
      <c r="R6160" s="0" t="n">
        <f aca="false">F6160*H6160</f>
        <v>-0.25</v>
      </c>
      <c r="S6160" s="0" t="n">
        <f aca="false">G6160*H6160</f>
        <v>1</v>
      </c>
      <c r="T6160" s="0" t="n">
        <f aca="false">E6160*E6160</f>
        <v>1</v>
      </c>
      <c r="U6160" s="0" t="n">
        <f aca="false">F6160*F6160</f>
        <v>0.0625</v>
      </c>
      <c r="V6160" s="0" t="n">
        <f aca="false">G6160*G6160</f>
        <v>1</v>
      </c>
      <c r="W6160" s="0" t="n">
        <f aca="false">H6160*H6160</f>
        <v>1</v>
      </c>
      <c r="X6160" s="0" t="n">
        <f aca="false">SUMPRODUCT(I6160:W6160,_XtX!$B$96:$P$96)</f>
        <v>46.4262061403509</v>
      </c>
      <c r="Y6160" s="0" t="n">
        <f aca="false">SUMPRODUCT(MMULT(I6160:W6160,_XtX!$B$78:$P$92),I6160:W6160)</f>
        <v>0.737093384502924</v>
      </c>
      <c r="Z6160" s="0" t="n">
        <f aca="false">04_回帰ANOVA!$K$19*04_回帰ANOVA!$K$14*SQRT(1+Y6160)</f>
        <v>1.71794784853551</v>
      </c>
      <c r="AA6160" s="0" t="n">
        <f aca="false">X6160-Z6160</f>
        <v>44.7082582918154</v>
      </c>
      <c r="AB6160" s="0" t="n">
        <f aca="false">X6160+Z6160</f>
        <v>48.1441539888864</v>
      </c>
      <c r="AC6160" s="54" t="b">
        <f aca="false">AND(E6160&gt;=01_因子設定!$L$5-0.000000001,E6160&lt;=01_因子設定!$M$5+0.000000001,F6160&gt;=01_因子設定!$L$6-0.000000001,F6160&lt;=01_因子設定!$M$6+0.000000001,G6160&gt;=01_因子設定!$L$7-0.000000001,G6160&lt;=01_因子設定!$M$7+0.000000001,H6160&gt;=01_因子設定!$L$8-0.000000001,H6160&lt;=01_因子設定!$M$8+0.000000001,IF(01_因子設定!$B$20="Box-Behnken",E6160^2+F6160^2+G6160^2+H6160^2&lt;=2+0.000000001,TRUE()))</f>
        <v>1</v>
      </c>
      <c r="AD6160" s="55" t="n">
        <f aca="false">IF(AC6160,IF(01_因子設定!$B$13="最大化",AA6160-01_因子設定!$B$14,IF(01_因子設定!$B$13="最小化",01_因子設定!$B$15-AB6160,MIN(AA6160-01_因子設定!$B$14,01_因子設定!$B$15-AB6160))),-1E+030)</f>
        <v>-1.79174170818456</v>
      </c>
      <c r="AE6160" s="55" t="n">
        <f aca="false">IF(AC6160,IF(01_因子設定!$B$13="最大化",X6160,IF(01_因子設定!$B$13="最小化",-X6160,-ABS(X6160-01_因子設定!$B$16))),-1E+030)</f>
        <v>46.4262061403509</v>
      </c>
      <c r="AF6160" s="55" t="n">
        <f aca="false">AD6160+ROW()*0.000000001</f>
        <v>-1.79173554818456</v>
      </c>
      <c r="AG6160" s="55" t="n">
        <f aca="false">AE6160+ROW()*0.000000001</f>
        <v>46.4262123003509</v>
      </c>
    </row>
    <row r="6161" customFormat="false" ht="15" hidden="false" customHeight="false" outlineLevel="0" collapsed="false">
      <c r="A6161" s="0" t="n">
        <v>8</v>
      </c>
      <c r="B6161" s="0" t="n">
        <v>4</v>
      </c>
      <c r="C6161" s="0" t="n">
        <v>0</v>
      </c>
      <c r="D6161" s="0" t="n">
        <v>0</v>
      </c>
      <c r="E6161" s="0" t="n">
        <f aca="false">-1+A6161*0.25</f>
        <v>1</v>
      </c>
      <c r="F6161" s="0" t="n">
        <f aca="false">-1+B6161*0.25</f>
        <v>0</v>
      </c>
      <c r="G6161" s="0" t="n">
        <f aca="false">-1+C6161*0.25</f>
        <v>-1</v>
      </c>
      <c r="H6161" s="0" t="n">
        <f aca="false">-1+D6161*0.25</f>
        <v>-1</v>
      </c>
      <c r="I6161" s="0" t="n">
        <f aca="false">1</f>
        <v>1</v>
      </c>
      <c r="J6161" s="0" t="n">
        <f aca="false">E6161</f>
        <v>1</v>
      </c>
      <c r="K6161" s="0" t="n">
        <f aca="false">F6161</f>
        <v>0</v>
      </c>
      <c r="L6161" s="0" t="n">
        <f aca="false">G6161</f>
        <v>-1</v>
      </c>
      <c r="M6161" s="0" t="n">
        <f aca="false">H6161</f>
        <v>-1</v>
      </c>
      <c r="N6161" s="0" t="n">
        <f aca="false">E6161*F6161</f>
        <v>0</v>
      </c>
      <c r="O6161" s="0" t="n">
        <f aca="false">E6161*G6161</f>
        <v>-1</v>
      </c>
      <c r="P6161" s="0" t="n">
        <f aca="false">E6161*H6161</f>
        <v>-1</v>
      </c>
      <c r="Q6161" s="0" t="n">
        <f aca="false">F6161*G6161</f>
        <v>-0</v>
      </c>
      <c r="R6161" s="0" t="n">
        <f aca="false">F6161*H6161</f>
        <v>-0</v>
      </c>
      <c r="S6161" s="0" t="n">
        <f aca="false">G6161*H6161</f>
        <v>1</v>
      </c>
      <c r="T6161" s="0" t="n">
        <f aca="false">E6161*E6161</f>
        <v>1</v>
      </c>
      <c r="U6161" s="0" t="n">
        <f aca="false">F6161*F6161</f>
        <v>0</v>
      </c>
      <c r="V6161" s="0" t="n">
        <f aca="false">G6161*G6161</f>
        <v>1</v>
      </c>
      <c r="W6161" s="0" t="n">
        <f aca="false">H6161*H6161</f>
        <v>1</v>
      </c>
      <c r="X6161" s="0" t="n">
        <f aca="false">SUMPRODUCT(I6161:W6161,_XtX!$B$96:$P$96)</f>
        <v>45.6896929824562</v>
      </c>
      <c r="Y6161" s="0" t="n">
        <f aca="false">SUMPRODUCT(MMULT(I6161:W6161,_XtX!$B$78:$P$92),I6161:W6161)</f>
        <v>0.766447368421053</v>
      </c>
      <c r="Z6161" s="0" t="n">
        <f aca="false">04_回帰ANOVA!$K$19*04_回帰ANOVA!$K$14*SQRT(1+Y6161)</f>
        <v>1.7324022685743</v>
      </c>
      <c r="AA6161" s="0" t="n">
        <f aca="false">X6161-Z6161</f>
        <v>43.9572907138819</v>
      </c>
      <c r="AB6161" s="0" t="n">
        <f aca="false">X6161+Z6161</f>
        <v>47.4220952510305</v>
      </c>
      <c r="AC6161" s="54" t="b">
        <f aca="false">AND(E6161&gt;=01_因子設定!$L$5-0.000000001,E6161&lt;=01_因子設定!$M$5+0.000000001,F6161&gt;=01_因子設定!$L$6-0.000000001,F6161&lt;=01_因子設定!$M$6+0.000000001,G6161&gt;=01_因子設定!$L$7-0.000000001,G6161&lt;=01_因子設定!$M$7+0.000000001,H6161&gt;=01_因子設定!$L$8-0.000000001,H6161&lt;=01_因子設定!$M$8+0.000000001,IF(01_因子設定!$B$20="Box-Behnken",E6161^2+F6161^2+G6161^2+H6161^2&lt;=2+0.000000001,TRUE()))</f>
        <v>1</v>
      </c>
      <c r="AD6161" s="55" t="n">
        <f aca="false">IF(AC6161,IF(01_因子設定!$B$13="最大化",AA6161-01_因子設定!$B$14,IF(01_因子設定!$B$13="最小化",01_因子設定!$B$15-AB6161,MIN(AA6161-01_因子設定!$B$14,01_因子設定!$B$15-AB6161))),-1E+030)</f>
        <v>-2.5427092861181</v>
      </c>
      <c r="AE6161" s="55" t="n">
        <f aca="false">IF(AC6161,IF(01_因子設定!$B$13="最大化",X6161,IF(01_因子設定!$B$13="最小化",-X6161,-ABS(X6161-01_因子設定!$B$16))),-1E+030)</f>
        <v>45.6896929824562</v>
      </c>
      <c r="AF6161" s="55" t="n">
        <f aca="false">AD6161+ROW()*0.000000001</f>
        <v>-2.5427031251181</v>
      </c>
      <c r="AG6161" s="55" t="n">
        <f aca="false">AE6161+ROW()*0.000000001</f>
        <v>45.6896991434562</v>
      </c>
    </row>
    <row r="6162" customFormat="false" ht="15" hidden="false" customHeight="false" outlineLevel="0" collapsed="false">
      <c r="A6162" s="0" t="n">
        <v>8</v>
      </c>
      <c r="B6162" s="0" t="n">
        <v>4</v>
      </c>
      <c r="C6162" s="0" t="n">
        <v>0</v>
      </c>
      <c r="D6162" s="0" t="n">
        <v>1</v>
      </c>
      <c r="E6162" s="0" t="n">
        <f aca="false">-1+A6162*0.25</f>
        <v>1</v>
      </c>
      <c r="F6162" s="0" t="n">
        <f aca="false">-1+B6162*0.25</f>
        <v>0</v>
      </c>
      <c r="G6162" s="0" t="n">
        <f aca="false">-1+C6162*0.25</f>
        <v>-1</v>
      </c>
      <c r="H6162" s="0" t="n">
        <f aca="false">-1+D6162*0.25</f>
        <v>-0.75</v>
      </c>
      <c r="I6162" s="0" t="n">
        <f aca="false">1</f>
        <v>1</v>
      </c>
      <c r="J6162" s="0" t="n">
        <f aca="false">E6162</f>
        <v>1</v>
      </c>
      <c r="K6162" s="0" t="n">
        <f aca="false">F6162</f>
        <v>0</v>
      </c>
      <c r="L6162" s="0" t="n">
        <f aca="false">G6162</f>
        <v>-1</v>
      </c>
      <c r="M6162" s="0" t="n">
        <f aca="false">H6162</f>
        <v>-0.75</v>
      </c>
      <c r="N6162" s="0" t="n">
        <f aca="false">E6162*F6162</f>
        <v>0</v>
      </c>
      <c r="O6162" s="0" t="n">
        <f aca="false">E6162*G6162</f>
        <v>-1</v>
      </c>
      <c r="P6162" s="0" t="n">
        <f aca="false">E6162*H6162</f>
        <v>-0.75</v>
      </c>
      <c r="Q6162" s="0" t="n">
        <f aca="false">F6162*G6162</f>
        <v>-0</v>
      </c>
      <c r="R6162" s="0" t="n">
        <f aca="false">F6162*H6162</f>
        <v>-0</v>
      </c>
      <c r="S6162" s="0" t="n">
        <f aca="false">G6162*H6162</f>
        <v>0.75</v>
      </c>
      <c r="T6162" s="0" t="n">
        <f aca="false">E6162*E6162</f>
        <v>1</v>
      </c>
      <c r="U6162" s="0" t="n">
        <f aca="false">F6162*F6162</f>
        <v>0</v>
      </c>
      <c r="V6162" s="0" t="n">
        <f aca="false">G6162*G6162</f>
        <v>1</v>
      </c>
      <c r="W6162" s="0" t="n">
        <f aca="false">H6162*H6162</f>
        <v>0.5625</v>
      </c>
      <c r="X6162" s="0" t="n">
        <f aca="false">SUMPRODUCT(I6162:W6162,_XtX!$B$96:$P$96)</f>
        <v>45.9177814327486</v>
      </c>
      <c r="Y6162" s="0" t="n">
        <f aca="false">SUMPRODUCT(MMULT(I6162:W6162,_XtX!$B$78:$P$92),I6162:W6162)</f>
        <v>0.646198830409357</v>
      </c>
      <c r="Z6162" s="0" t="n">
        <f aca="false">04_回帰ANOVA!$K$19*04_回帰ANOVA!$K$14*SQRT(1+Y6162)</f>
        <v>1.67239760569756</v>
      </c>
      <c r="AA6162" s="0" t="n">
        <f aca="false">X6162-Z6162</f>
        <v>44.245383827051</v>
      </c>
      <c r="AB6162" s="0" t="n">
        <f aca="false">X6162+Z6162</f>
        <v>47.5901790384461</v>
      </c>
      <c r="AC6162" s="54" t="b">
        <f aca="false">AND(E6162&gt;=01_因子設定!$L$5-0.000000001,E6162&lt;=01_因子設定!$M$5+0.000000001,F6162&gt;=01_因子設定!$L$6-0.000000001,F6162&lt;=01_因子設定!$M$6+0.000000001,G6162&gt;=01_因子設定!$L$7-0.000000001,G6162&lt;=01_因子設定!$M$7+0.000000001,H6162&gt;=01_因子設定!$L$8-0.000000001,H6162&lt;=01_因子設定!$M$8+0.000000001,IF(01_因子設定!$B$20="Box-Behnken",E6162^2+F6162^2+G6162^2+H6162^2&lt;=2+0.000000001,TRUE()))</f>
        <v>1</v>
      </c>
      <c r="AD6162" s="55" t="n">
        <f aca="false">IF(AC6162,IF(01_因子設定!$B$13="最大化",AA6162-01_因子設定!$B$14,IF(01_因子設定!$B$13="最小化",01_因子設定!$B$15-AB6162,MIN(AA6162-01_因子設定!$B$14,01_因子設定!$B$15-AB6162))),-1E+030)</f>
        <v>-2.25461617294896</v>
      </c>
      <c r="AE6162" s="55" t="n">
        <f aca="false">IF(AC6162,IF(01_因子設定!$B$13="最大化",X6162,IF(01_因子設定!$B$13="最小化",-X6162,-ABS(X6162-01_因子設定!$B$16))),-1E+030)</f>
        <v>45.9177814327486</v>
      </c>
      <c r="AF6162" s="55" t="n">
        <f aca="false">AD6162+ROW()*0.000000001</f>
        <v>-2.25461001094896</v>
      </c>
      <c r="AG6162" s="55" t="n">
        <f aca="false">AE6162+ROW()*0.000000001</f>
        <v>45.9177875947486</v>
      </c>
    </row>
    <row r="6163" customFormat="false" ht="15" hidden="false" customHeight="false" outlineLevel="0" collapsed="false">
      <c r="A6163" s="0" t="n">
        <v>8</v>
      </c>
      <c r="B6163" s="0" t="n">
        <v>4</v>
      </c>
      <c r="C6163" s="0" t="n">
        <v>0</v>
      </c>
      <c r="D6163" s="0" t="n">
        <v>2</v>
      </c>
      <c r="E6163" s="0" t="n">
        <f aca="false">-1+A6163*0.25</f>
        <v>1</v>
      </c>
      <c r="F6163" s="0" t="n">
        <f aca="false">-1+B6163*0.25</f>
        <v>0</v>
      </c>
      <c r="G6163" s="0" t="n">
        <f aca="false">-1+C6163*0.25</f>
        <v>-1</v>
      </c>
      <c r="H6163" s="0" t="n">
        <f aca="false">-1+D6163*0.25</f>
        <v>-0.5</v>
      </c>
      <c r="I6163" s="0" t="n">
        <f aca="false">1</f>
        <v>1</v>
      </c>
      <c r="J6163" s="0" t="n">
        <f aca="false">E6163</f>
        <v>1</v>
      </c>
      <c r="K6163" s="0" t="n">
        <f aca="false">F6163</f>
        <v>0</v>
      </c>
      <c r="L6163" s="0" t="n">
        <f aca="false">G6163</f>
        <v>-1</v>
      </c>
      <c r="M6163" s="0" t="n">
        <f aca="false">H6163</f>
        <v>-0.5</v>
      </c>
      <c r="N6163" s="0" t="n">
        <f aca="false">E6163*F6163</f>
        <v>0</v>
      </c>
      <c r="O6163" s="0" t="n">
        <f aca="false">E6163*G6163</f>
        <v>-1</v>
      </c>
      <c r="P6163" s="0" t="n">
        <f aca="false">E6163*H6163</f>
        <v>-0.5</v>
      </c>
      <c r="Q6163" s="0" t="n">
        <f aca="false">F6163*G6163</f>
        <v>-0</v>
      </c>
      <c r="R6163" s="0" t="n">
        <f aca="false">F6163*H6163</f>
        <v>-0</v>
      </c>
      <c r="S6163" s="0" t="n">
        <f aca="false">G6163*H6163</f>
        <v>0.5</v>
      </c>
      <c r="T6163" s="0" t="n">
        <f aca="false">E6163*E6163</f>
        <v>1</v>
      </c>
      <c r="U6163" s="0" t="n">
        <f aca="false">F6163*F6163</f>
        <v>0</v>
      </c>
      <c r="V6163" s="0" t="n">
        <f aca="false">G6163*G6163</f>
        <v>1</v>
      </c>
      <c r="W6163" s="0" t="n">
        <f aca="false">H6163*H6163</f>
        <v>0.25</v>
      </c>
      <c r="X6163" s="0" t="n">
        <f aca="false">SUMPRODUCT(I6163:W6163,_XtX!$B$96:$P$96)</f>
        <v>46.0980628654971</v>
      </c>
      <c r="Y6163" s="0" t="n">
        <f aca="false">SUMPRODUCT(MMULT(I6163:W6163,_XtX!$B$78:$P$92),I6163:W6163)</f>
        <v>0.650767543859649</v>
      </c>
      <c r="Z6163" s="0" t="n">
        <f aca="false">04_回帰ANOVA!$K$19*04_回帰ANOVA!$K$14*SQRT(1+Y6163)</f>
        <v>1.67471670935165</v>
      </c>
      <c r="AA6163" s="0" t="n">
        <f aca="false">X6163-Z6163</f>
        <v>44.4233461561455</v>
      </c>
      <c r="AB6163" s="0" t="n">
        <f aca="false">X6163+Z6163</f>
        <v>47.7727795748488</v>
      </c>
      <c r="AC6163" s="54" t="b">
        <f aca="false">AND(E6163&gt;=01_因子設定!$L$5-0.000000001,E6163&lt;=01_因子設定!$M$5+0.000000001,F6163&gt;=01_因子設定!$L$6-0.000000001,F6163&lt;=01_因子設定!$M$6+0.000000001,G6163&gt;=01_因子設定!$L$7-0.000000001,G6163&lt;=01_因子設定!$M$7+0.000000001,H6163&gt;=01_因子設定!$L$8-0.000000001,H6163&lt;=01_因子設定!$M$8+0.000000001,IF(01_因子設定!$B$20="Box-Behnken",E6163^2+F6163^2+G6163^2+H6163^2&lt;=2+0.000000001,TRUE()))</f>
        <v>1</v>
      </c>
      <c r="AD6163" s="55" t="n">
        <f aca="false">IF(AC6163,IF(01_因子設定!$B$13="最大化",AA6163-01_因子設定!$B$14,IF(01_因子設定!$B$13="最小化",01_因子設定!$B$15-AB6163,MIN(AA6163-01_因子設定!$B$14,01_因子設定!$B$15-AB6163))),-1E+030)</f>
        <v>-2.07665384385454</v>
      </c>
      <c r="AE6163" s="55" t="n">
        <f aca="false">IF(AC6163,IF(01_因子設定!$B$13="最大化",X6163,IF(01_因子設定!$B$13="最小化",-X6163,-ABS(X6163-01_因子設定!$B$16))),-1E+030)</f>
        <v>46.0980628654971</v>
      </c>
      <c r="AF6163" s="55" t="n">
        <f aca="false">AD6163+ROW()*0.000000001</f>
        <v>-2.07664768085454</v>
      </c>
      <c r="AG6163" s="55" t="n">
        <f aca="false">AE6163+ROW()*0.000000001</f>
        <v>46.0980690284971</v>
      </c>
    </row>
    <row r="6164" customFormat="false" ht="15" hidden="false" customHeight="false" outlineLevel="0" collapsed="false">
      <c r="A6164" s="0" t="n">
        <v>8</v>
      </c>
      <c r="B6164" s="0" t="n">
        <v>4</v>
      </c>
      <c r="C6164" s="0" t="n">
        <v>0</v>
      </c>
      <c r="D6164" s="0" t="n">
        <v>3</v>
      </c>
      <c r="E6164" s="0" t="n">
        <f aca="false">-1+A6164*0.25</f>
        <v>1</v>
      </c>
      <c r="F6164" s="0" t="n">
        <f aca="false">-1+B6164*0.25</f>
        <v>0</v>
      </c>
      <c r="G6164" s="0" t="n">
        <f aca="false">-1+C6164*0.25</f>
        <v>-1</v>
      </c>
      <c r="H6164" s="0" t="n">
        <f aca="false">-1+D6164*0.25</f>
        <v>-0.25</v>
      </c>
      <c r="I6164" s="0" t="n">
        <f aca="false">1</f>
        <v>1</v>
      </c>
      <c r="J6164" s="0" t="n">
        <f aca="false">E6164</f>
        <v>1</v>
      </c>
      <c r="K6164" s="0" t="n">
        <f aca="false">F6164</f>
        <v>0</v>
      </c>
      <c r="L6164" s="0" t="n">
        <f aca="false">G6164</f>
        <v>-1</v>
      </c>
      <c r="M6164" s="0" t="n">
        <f aca="false">H6164</f>
        <v>-0.25</v>
      </c>
      <c r="N6164" s="0" t="n">
        <f aca="false">E6164*F6164</f>
        <v>0</v>
      </c>
      <c r="O6164" s="0" t="n">
        <f aca="false">E6164*G6164</f>
        <v>-1</v>
      </c>
      <c r="P6164" s="0" t="n">
        <f aca="false">E6164*H6164</f>
        <v>-0.25</v>
      </c>
      <c r="Q6164" s="0" t="n">
        <f aca="false">F6164*G6164</f>
        <v>-0</v>
      </c>
      <c r="R6164" s="0" t="n">
        <f aca="false">F6164*H6164</f>
        <v>-0</v>
      </c>
      <c r="S6164" s="0" t="n">
        <f aca="false">G6164*H6164</f>
        <v>0.25</v>
      </c>
      <c r="T6164" s="0" t="n">
        <f aca="false">E6164*E6164</f>
        <v>1</v>
      </c>
      <c r="U6164" s="0" t="n">
        <f aca="false">F6164*F6164</f>
        <v>0</v>
      </c>
      <c r="V6164" s="0" t="n">
        <f aca="false">G6164*G6164</f>
        <v>1</v>
      </c>
      <c r="W6164" s="0" t="n">
        <f aca="false">H6164*H6164</f>
        <v>0.0625</v>
      </c>
      <c r="X6164" s="0" t="n">
        <f aca="false">SUMPRODUCT(I6164:W6164,_XtX!$B$96:$P$96)</f>
        <v>46.2305372807018</v>
      </c>
      <c r="Y6164" s="0" t="n">
        <f aca="false">SUMPRODUCT(MMULT(I6164:W6164,_XtX!$B$78:$P$92),I6164:W6164)</f>
        <v>0.689692982456141</v>
      </c>
      <c r="Z6164" s="0" t="n">
        <f aca="false">04_回帰ANOVA!$K$19*04_回帰ANOVA!$K$14*SQRT(1+Y6164)</f>
        <v>1.69434674594998</v>
      </c>
      <c r="AA6164" s="0" t="n">
        <f aca="false">X6164-Z6164</f>
        <v>44.5361905347518</v>
      </c>
      <c r="AB6164" s="0" t="n">
        <f aca="false">X6164+Z6164</f>
        <v>47.9248840266518</v>
      </c>
      <c r="AC6164" s="54" t="b">
        <f aca="false">AND(E6164&gt;=01_因子設定!$L$5-0.000000001,E6164&lt;=01_因子設定!$M$5+0.000000001,F6164&gt;=01_因子設定!$L$6-0.000000001,F6164&lt;=01_因子設定!$M$6+0.000000001,G6164&gt;=01_因子設定!$L$7-0.000000001,G6164&lt;=01_因子設定!$M$7+0.000000001,H6164&gt;=01_因子設定!$L$8-0.000000001,H6164&lt;=01_因子設定!$M$8+0.000000001,IF(01_因子設定!$B$20="Box-Behnken",E6164^2+F6164^2+G6164^2+H6164^2&lt;=2+0.000000001,TRUE()))</f>
        <v>1</v>
      </c>
      <c r="AD6164" s="55" t="n">
        <f aca="false">IF(AC6164,IF(01_因子設定!$B$13="最大化",AA6164-01_因子設定!$B$14,IF(01_因子設定!$B$13="最小化",01_因子設定!$B$15-AB6164,MIN(AA6164-01_因子設定!$B$14,01_因子設定!$B$15-AB6164))),-1E+030)</f>
        <v>-1.9638094652482</v>
      </c>
      <c r="AE6164" s="55" t="n">
        <f aca="false">IF(AC6164,IF(01_因子設定!$B$13="最大化",X6164,IF(01_因子設定!$B$13="最小化",-X6164,-ABS(X6164-01_因子設定!$B$16))),-1E+030)</f>
        <v>46.2305372807018</v>
      </c>
      <c r="AF6164" s="55" t="n">
        <f aca="false">AD6164+ROW()*0.000000001</f>
        <v>-1.9638033012482</v>
      </c>
      <c r="AG6164" s="55" t="n">
        <f aca="false">AE6164+ROW()*0.000000001</f>
        <v>46.2305434447018</v>
      </c>
    </row>
    <row r="6165" customFormat="false" ht="15" hidden="false" customHeight="false" outlineLevel="0" collapsed="false">
      <c r="A6165" s="0" t="n">
        <v>8</v>
      </c>
      <c r="B6165" s="0" t="n">
        <v>4</v>
      </c>
      <c r="C6165" s="0" t="n">
        <v>0</v>
      </c>
      <c r="D6165" s="0" t="n">
        <v>4</v>
      </c>
      <c r="E6165" s="0" t="n">
        <f aca="false">-1+A6165*0.25</f>
        <v>1</v>
      </c>
      <c r="F6165" s="0" t="n">
        <f aca="false">-1+B6165*0.25</f>
        <v>0</v>
      </c>
      <c r="G6165" s="0" t="n">
        <f aca="false">-1+C6165*0.25</f>
        <v>-1</v>
      </c>
      <c r="H6165" s="0" t="n">
        <f aca="false">-1+D6165*0.25</f>
        <v>0</v>
      </c>
      <c r="I6165" s="0" t="n">
        <f aca="false">1</f>
        <v>1</v>
      </c>
      <c r="J6165" s="0" t="n">
        <f aca="false">E6165</f>
        <v>1</v>
      </c>
      <c r="K6165" s="0" t="n">
        <f aca="false">F6165</f>
        <v>0</v>
      </c>
      <c r="L6165" s="0" t="n">
        <f aca="false">G6165</f>
        <v>-1</v>
      </c>
      <c r="M6165" s="0" t="n">
        <f aca="false">H6165</f>
        <v>0</v>
      </c>
      <c r="N6165" s="0" t="n">
        <f aca="false">E6165*F6165</f>
        <v>0</v>
      </c>
      <c r="O6165" s="0" t="n">
        <f aca="false">E6165*G6165</f>
        <v>-1</v>
      </c>
      <c r="P6165" s="0" t="n">
        <f aca="false">E6165*H6165</f>
        <v>0</v>
      </c>
      <c r="Q6165" s="0" t="n">
        <f aca="false">F6165*G6165</f>
        <v>-0</v>
      </c>
      <c r="R6165" s="0" t="n">
        <f aca="false">F6165*H6165</f>
        <v>0</v>
      </c>
      <c r="S6165" s="0" t="n">
        <f aca="false">G6165*H6165</f>
        <v>-0</v>
      </c>
      <c r="T6165" s="0" t="n">
        <f aca="false">E6165*E6165</f>
        <v>1</v>
      </c>
      <c r="U6165" s="0" t="n">
        <f aca="false">F6165*F6165</f>
        <v>0</v>
      </c>
      <c r="V6165" s="0" t="n">
        <f aca="false">G6165*G6165</f>
        <v>1</v>
      </c>
      <c r="W6165" s="0" t="n">
        <f aca="false">H6165*H6165</f>
        <v>0</v>
      </c>
      <c r="X6165" s="0" t="n">
        <f aca="false">SUMPRODUCT(I6165:W6165,_XtX!$B$96:$P$96)</f>
        <v>46.3152046783626</v>
      </c>
      <c r="Y6165" s="0" t="n">
        <f aca="false">SUMPRODUCT(MMULT(I6165:W6165,_XtX!$B$78:$P$92),I6165:W6165)</f>
        <v>0.708698830409357</v>
      </c>
      <c r="Z6165" s="0" t="n">
        <f aca="false">04_回帰ANOVA!$K$19*04_回帰ANOVA!$K$14*SQRT(1+Y6165)</f>
        <v>1.70384919651719</v>
      </c>
      <c r="AA6165" s="0" t="n">
        <f aca="false">X6165-Z6165</f>
        <v>44.6113554818454</v>
      </c>
      <c r="AB6165" s="0" t="n">
        <f aca="false">X6165+Z6165</f>
        <v>48.0190538748798</v>
      </c>
      <c r="AC6165" s="54" t="b">
        <f aca="false">AND(E6165&gt;=01_因子設定!$L$5-0.000000001,E6165&lt;=01_因子設定!$M$5+0.000000001,F6165&gt;=01_因子設定!$L$6-0.000000001,F6165&lt;=01_因子設定!$M$6+0.000000001,G6165&gt;=01_因子設定!$L$7-0.000000001,G6165&lt;=01_因子設定!$M$7+0.000000001,H6165&gt;=01_因子設定!$L$8-0.000000001,H6165&lt;=01_因子設定!$M$8+0.000000001,IF(01_因子設定!$B$20="Box-Behnken",E6165^2+F6165^2+G6165^2+H6165^2&lt;=2+0.000000001,TRUE()))</f>
        <v>1</v>
      </c>
      <c r="AD6165" s="55" t="n">
        <f aca="false">IF(AC6165,IF(01_因子設定!$B$13="最大化",AA6165-01_因子設定!$B$14,IF(01_因子設定!$B$13="最小化",01_因子設定!$B$15-AB6165,MIN(AA6165-01_因子設定!$B$14,01_因子設定!$B$15-AB6165))),-1E+030)</f>
        <v>-1.88864451815459</v>
      </c>
      <c r="AE6165" s="55" t="n">
        <f aca="false">IF(AC6165,IF(01_因子設定!$B$13="最大化",X6165,IF(01_因子設定!$B$13="最小化",-X6165,-ABS(X6165-01_因子設定!$B$16))),-1E+030)</f>
        <v>46.3152046783626</v>
      </c>
      <c r="AF6165" s="55" t="n">
        <f aca="false">AD6165+ROW()*0.000000001</f>
        <v>-1.88863835315459</v>
      </c>
      <c r="AG6165" s="55" t="n">
        <f aca="false">AE6165+ROW()*0.000000001</f>
        <v>46.3152108433626</v>
      </c>
    </row>
    <row r="6166" customFormat="false" ht="15" hidden="false" customHeight="false" outlineLevel="0" collapsed="false">
      <c r="A6166" s="0" t="n">
        <v>8</v>
      </c>
      <c r="B6166" s="0" t="n">
        <v>4</v>
      </c>
      <c r="C6166" s="0" t="n">
        <v>0</v>
      </c>
      <c r="D6166" s="0" t="n">
        <v>5</v>
      </c>
      <c r="E6166" s="0" t="n">
        <f aca="false">-1+A6166*0.25</f>
        <v>1</v>
      </c>
      <c r="F6166" s="0" t="n">
        <f aca="false">-1+B6166*0.25</f>
        <v>0</v>
      </c>
      <c r="G6166" s="0" t="n">
        <f aca="false">-1+C6166*0.25</f>
        <v>-1</v>
      </c>
      <c r="H6166" s="0" t="n">
        <f aca="false">-1+D6166*0.25</f>
        <v>0.25</v>
      </c>
      <c r="I6166" s="0" t="n">
        <f aca="false">1</f>
        <v>1</v>
      </c>
      <c r="J6166" s="0" t="n">
        <f aca="false">E6166</f>
        <v>1</v>
      </c>
      <c r="K6166" s="0" t="n">
        <f aca="false">F6166</f>
        <v>0</v>
      </c>
      <c r="L6166" s="0" t="n">
        <f aca="false">G6166</f>
        <v>-1</v>
      </c>
      <c r="M6166" s="0" t="n">
        <f aca="false">H6166</f>
        <v>0.25</v>
      </c>
      <c r="N6166" s="0" t="n">
        <f aca="false">E6166*F6166</f>
        <v>0</v>
      </c>
      <c r="O6166" s="0" t="n">
        <f aca="false">E6166*G6166</f>
        <v>-1</v>
      </c>
      <c r="P6166" s="0" t="n">
        <f aca="false">E6166*H6166</f>
        <v>0.25</v>
      </c>
      <c r="Q6166" s="0" t="n">
        <f aca="false">F6166*G6166</f>
        <v>-0</v>
      </c>
      <c r="R6166" s="0" t="n">
        <f aca="false">F6166*H6166</f>
        <v>0</v>
      </c>
      <c r="S6166" s="0" t="n">
        <f aca="false">G6166*H6166</f>
        <v>-0.25</v>
      </c>
      <c r="T6166" s="0" t="n">
        <f aca="false">E6166*E6166</f>
        <v>1</v>
      </c>
      <c r="U6166" s="0" t="n">
        <f aca="false">F6166*F6166</f>
        <v>0</v>
      </c>
      <c r="V6166" s="0" t="n">
        <f aca="false">G6166*G6166</f>
        <v>1</v>
      </c>
      <c r="W6166" s="0" t="n">
        <f aca="false">H6166*H6166</f>
        <v>0.0625</v>
      </c>
      <c r="X6166" s="0" t="n">
        <f aca="false">SUMPRODUCT(I6166:W6166,_XtX!$B$96:$P$96)</f>
        <v>46.3520650584796</v>
      </c>
      <c r="Y6166" s="0" t="n">
        <f aca="false">SUMPRODUCT(MMULT(I6166:W6166,_XtX!$B$78:$P$92),I6166:W6166)</f>
        <v>0.689692982456141</v>
      </c>
      <c r="Z6166" s="0" t="n">
        <f aca="false">04_回帰ANOVA!$K$19*04_回帰ANOVA!$K$14*SQRT(1+Y6166)</f>
        <v>1.69434674594998</v>
      </c>
      <c r="AA6166" s="0" t="n">
        <f aca="false">X6166-Z6166</f>
        <v>44.6577183125296</v>
      </c>
      <c r="AB6166" s="0" t="n">
        <f aca="false">X6166+Z6166</f>
        <v>48.0464118044295</v>
      </c>
      <c r="AC6166" s="54" t="b">
        <f aca="false">AND(E6166&gt;=01_因子設定!$L$5-0.000000001,E6166&lt;=01_因子設定!$M$5+0.000000001,F6166&gt;=01_因子設定!$L$6-0.000000001,F6166&lt;=01_因子設定!$M$6+0.000000001,G6166&gt;=01_因子設定!$L$7-0.000000001,G6166&lt;=01_因子設定!$M$7+0.000000001,H6166&gt;=01_因子設定!$L$8-0.000000001,H6166&lt;=01_因子設定!$M$8+0.000000001,IF(01_因子設定!$B$20="Box-Behnken",E6166^2+F6166^2+G6166^2+H6166^2&lt;=2+0.000000001,TRUE()))</f>
        <v>1</v>
      </c>
      <c r="AD6166" s="55" t="n">
        <f aca="false">IF(AC6166,IF(01_因子設定!$B$13="最大化",AA6166-01_因子設定!$B$14,IF(01_因子設定!$B$13="最小化",01_因子設定!$B$15-AB6166,MIN(AA6166-01_因子設定!$B$14,01_因子設定!$B$15-AB6166))),-1E+030)</f>
        <v>-1.84228168747043</v>
      </c>
      <c r="AE6166" s="55" t="n">
        <f aca="false">IF(AC6166,IF(01_因子設定!$B$13="最大化",X6166,IF(01_因子設定!$B$13="最小化",-X6166,-ABS(X6166-01_因子設定!$B$16))),-1E+030)</f>
        <v>46.3520650584796</v>
      </c>
      <c r="AF6166" s="55" t="n">
        <f aca="false">AD6166+ROW()*0.000000001</f>
        <v>-1.84227552147043</v>
      </c>
      <c r="AG6166" s="55" t="n">
        <f aca="false">AE6166+ROW()*0.000000001</f>
        <v>46.3520712244796</v>
      </c>
    </row>
    <row r="6167" customFormat="false" ht="15" hidden="false" customHeight="false" outlineLevel="0" collapsed="false">
      <c r="A6167" s="0" t="n">
        <v>8</v>
      </c>
      <c r="B6167" s="0" t="n">
        <v>4</v>
      </c>
      <c r="C6167" s="0" t="n">
        <v>0</v>
      </c>
      <c r="D6167" s="0" t="n">
        <v>6</v>
      </c>
      <c r="E6167" s="0" t="n">
        <f aca="false">-1+A6167*0.25</f>
        <v>1</v>
      </c>
      <c r="F6167" s="0" t="n">
        <f aca="false">-1+B6167*0.25</f>
        <v>0</v>
      </c>
      <c r="G6167" s="0" t="n">
        <f aca="false">-1+C6167*0.25</f>
        <v>-1</v>
      </c>
      <c r="H6167" s="0" t="n">
        <f aca="false">-1+D6167*0.25</f>
        <v>0.5</v>
      </c>
      <c r="I6167" s="0" t="n">
        <f aca="false">1</f>
        <v>1</v>
      </c>
      <c r="J6167" s="0" t="n">
        <f aca="false">E6167</f>
        <v>1</v>
      </c>
      <c r="K6167" s="0" t="n">
        <f aca="false">F6167</f>
        <v>0</v>
      </c>
      <c r="L6167" s="0" t="n">
        <f aca="false">G6167</f>
        <v>-1</v>
      </c>
      <c r="M6167" s="0" t="n">
        <f aca="false">H6167</f>
        <v>0.5</v>
      </c>
      <c r="N6167" s="0" t="n">
        <f aca="false">E6167*F6167</f>
        <v>0</v>
      </c>
      <c r="O6167" s="0" t="n">
        <f aca="false">E6167*G6167</f>
        <v>-1</v>
      </c>
      <c r="P6167" s="0" t="n">
        <f aca="false">E6167*H6167</f>
        <v>0.5</v>
      </c>
      <c r="Q6167" s="0" t="n">
        <f aca="false">F6167*G6167</f>
        <v>-0</v>
      </c>
      <c r="R6167" s="0" t="n">
        <f aca="false">F6167*H6167</f>
        <v>0</v>
      </c>
      <c r="S6167" s="0" t="n">
        <f aca="false">G6167*H6167</f>
        <v>-0.5</v>
      </c>
      <c r="T6167" s="0" t="n">
        <f aca="false">E6167*E6167</f>
        <v>1</v>
      </c>
      <c r="U6167" s="0" t="n">
        <f aca="false">F6167*F6167</f>
        <v>0</v>
      </c>
      <c r="V6167" s="0" t="n">
        <f aca="false">G6167*G6167</f>
        <v>1</v>
      </c>
      <c r="W6167" s="0" t="n">
        <f aca="false">H6167*H6167</f>
        <v>0.25</v>
      </c>
      <c r="X6167" s="0" t="n">
        <f aca="false">SUMPRODUCT(I6167:W6167,_XtX!$B$96:$P$96)</f>
        <v>46.3411184210527</v>
      </c>
      <c r="Y6167" s="0" t="n">
        <f aca="false">SUMPRODUCT(MMULT(I6167:W6167,_XtX!$B$78:$P$92),I6167:W6167)</f>
        <v>0.650767543859649</v>
      </c>
      <c r="Z6167" s="0" t="n">
        <f aca="false">04_回帰ANOVA!$K$19*04_回帰ANOVA!$K$14*SQRT(1+Y6167)</f>
        <v>1.67471670935165</v>
      </c>
      <c r="AA6167" s="0" t="n">
        <f aca="false">X6167-Z6167</f>
        <v>44.666401711701</v>
      </c>
      <c r="AB6167" s="0" t="n">
        <f aca="false">X6167+Z6167</f>
        <v>48.0158351304043</v>
      </c>
      <c r="AC6167" s="54" t="b">
        <f aca="false">AND(E6167&gt;=01_因子設定!$L$5-0.000000001,E6167&lt;=01_因子設定!$M$5+0.000000001,F6167&gt;=01_因子設定!$L$6-0.000000001,F6167&lt;=01_因子設定!$M$6+0.000000001,G6167&gt;=01_因子設定!$L$7-0.000000001,G6167&lt;=01_因子設定!$M$7+0.000000001,H6167&gt;=01_因子設定!$L$8-0.000000001,H6167&lt;=01_因子設定!$M$8+0.000000001,IF(01_因子設定!$B$20="Box-Behnken",E6167^2+F6167^2+G6167^2+H6167^2&lt;=2+0.000000001,TRUE()))</f>
        <v>1</v>
      </c>
      <c r="AD6167" s="55" t="n">
        <f aca="false">IF(AC6167,IF(01_因子設定!$B$13="最大化",AA6167-01_因子設定!$B$14,IF(01_因子設定!$B$13="最小化",01_因子設定!$B$15-AB6167,MIN(AA6167-01_因子設定!$B$14,01_因子設定!$B$15-AB6167))),-1E+030)</f>
        <v>-1.83359828829898</v>
      </c>
      <c r="AE6167" s="55" t="n">
        <f aca="false">IF(AC6167,IF(01_因子設定!$B$13="最大化",X6167,IF(01_因子設定!$B$13="最小化",-X6167,-ABS(X6167-01_因子設定!$B$16))),-1E+030)</f>
        <v>46.3411184210527</v>
      </c>
      <c r="AF6167" s="55" t="n">
        <f aca="false">AD6167+ROW()*0.000000001</f>
        <v>-1.83359212129898</v>
      </c>
      <c r="AG6167" s="55" t="n">
        <f aca="false">AE6167+ROW()*0.000000001</f>
        <v>46.3411245880527</v>
      </c>
    </row>
    <row r="6168" customFormat="false" ht="15" hidden="false" customHeight="false" outlineLevel="0" collapsed="false">
      <c r="A6168" s="0" t="n">
        <v>8</v>
      </c>
      <c r="B6168" s="0" t="n">
        <v>4</v>
      </c>
      <c r="C6168" s="0" t="n">
        <v>0</v>
      </c>
      <c r="D6168" s="0" t="n">
        <v>7</v>
      </c>
      <c r="E6168" s="0" t="n">
        <f aca="false">-1+A6168*0.25</f>
        <v>1</v>
      </c>
      <c r="F6168" s="0" t="n">
        <f aca="false">-1+B6168*0.25</f>
        <v>0</v>
      </c>
      <c r="G6168" s="0" t="n">
        <f aca="false">-1+C6168*0.25</f>
        <v>-1</v>
      </c>
      <c r="H6168" s="0" t="n">
        <f aca="false">-1+D6168*0.25</f>
        <v>0.75</v>
      </c>
      <c r="I6168" s="0" t="n">
        <f aca="false">1</f>
        <v>1</v>
      </c>
      <c r="J6168" s="0" t="n">
        <f aca="false">E6168</f>
        <v>1</v>
      </c>
      <c r="K6168" s="0" t="n">
        <f aca="false">F6168</f>
        <v>0</v>
      </c>
      <c r="L6168" s="0" t="n">
        <f aca="false">G6168</f>
        <v>-1</v>
      </c>
      <c r="M6168" s="0" t="n">
        <f aca="false">H6168</f>
        <v>0.75</v>
      </c>
      <c r="N6168" s="0" t="n">
        <f aca="false">E6168*F6168</f>
        <v>0</v>
      </c>
      <c r="O6168" s="0" t="n">
        <f aca="false">E6168*G6168</f>
        <v>-1</v>
      </c>
      <c r="P6168" s="0" t="n">
        <f aca="false">E6168*H6168</f>
        <v>0.75</v>
      </c>
      <c r="Q6168" s="0" t="n">
        <f aca="false">F6168*G6168</f>
        <v>-0</v>
      </c>
      <c r="R6168" s="0" t="n">
        <f aca="false">F6168*H6168</f>
        <v>0</v>
      </c>
      <c r="S6168" s="0" t="n">
        <f aca="false">G6168*H6168</f>
        <v>-0.75</v>
      </c>
      <c r="T6168" s="0" t="n">
        <f aca="false">E6168*E6168</f>
        <v>1</v>
      </c>
      <c r="U6168" s="0" t="n">
        <f aca="false">F6168*F6168</f>
        <v>0</v>
      </c>
      <c r="V6168" s="0" t="n">
        <f aca="false">G6168*G6168</f>
        <v>1</v>
      </c>
      <c r="W6168" s="0" t="n">
        <f aca="false">H6168*H6168</f>
        <v>0.5625</v>
      </c>
      <c r="X6168" s="0" t="n">
        <f aca="false">SUMPRODUCT(I6168:W6168,_XtX!$B$96:$P$96)</f>
        <v>46.2823647660819</v>
      </c>
      <c r="Y6168" s="0" t="n">
        <f aca="false">SUMPRODUCT(MMULT(I6168:W6168,_XtX!$B$78:$P$92),I6168:W6168)</f>
        <v>0.646198830409357</v>
      </c>
      <c r="Z6168" s="0" t="n">
        <f aca="false">04_回帰ANOVA!$K$19*04_回帰ANOVA!$K$14*SQRT(1+Y6168)</f>
        <v>1.67239760569756</v>
      </c>
      <c r="AA6168" s="0" t="n">
        <f aca="false">X6168-Z6168</f>
        <v>44.6099671603844</v>
      </c>
      <c r="AB6168" s="0" t="n">
        <f aca="false">X6168+Z6168</f>
        <v>47.9547623717795</v>
      </c>
      <c r="AC6168" s="54" t="b">
        <f aca="false">AND(E6168&gt;=01_因子設定!$L$5-0.000000001,E6168&lt;=01_因子設定!$M$5+0.000000001,F6168&gt;=01_因子設定!$L$6-0.000000001,F6168&lt;=01_因子設定!$M$6+0.000000001,G6168&gt;=01_因子設定!$L$7-0.000000001,G6168&lt;=01_因子設定!$M$7+0.000000001,H6168&gt;=01_因子設定!$L$8-0.000000001,H6168&lt;=01_因子設定!$M$8+0.000000001,IF(01_因子設定!$B$20="Box-Behnken",E6168^2+F6168^2+G6168^2+H6168^2&lt;=2+0.000000001,TRUE()))</f>
        <v>1</v>
      </c>
      <c r="AD6168" s="55" t="n">
        <f aca="false">IF(AC6168,IF(01_因子設定!$B$13="最大化",AA6168-01_因子設定!$B$14,IF(01_因子設定!$B$13="最小化",01_因子設定!$B$15-AB6168,MIN(AA6168-01_因子設定!$B$14,01_因子設定!$B$15-AB6168))),-1E+030)</f>
        <v>-1.89003283961564</v>
      </c>
      <c r="AE6168" s="55" t="n">
        <f aca="false">IF(AC6168,IF(01_因子設定!$B$13="最大化",X6168,IF(01_因子設定!$B$13="最小化",-X6168,-ABS(X6168-01_因子設定!$B$16))),-1E+030)</f>
        <v>46.2823647660819</v>
      </c>
      <c r="AF6168" s="55" t="n">
        <f aca="false">AD6168+ROW()*0.000000001</f>
        <v>-1.89002667161564</v>
      </c>
      <c r="AG6168" s="55" t="n">
        <f aca="false">AE6168+ROW()*0.000000001</f>
        <v>46.2823709340819</v>
      </c>
    </row>
    <row r="6169" customFormat="false" ht="15" hidden="false" customHeight="false" outlineLevel="0" collapsed="false">
      <c r="A6169" s="0" t="n">
        <v>8</v>
      </c>
      <c r="B6169" s="0" t="n">
        <v>4</v>
      </c>
      <c r="C6169" s="0" t="n">
        <v>0</v>
      </c>
      <c r="D6169" s="0" t="n">
        <v>8</v>
      </c>
      <c r="E6169" s="0" t="n">
        <f aca="false">-1+A6169*0.25</f>
        <v>1</v>
      </c>
      <c r="F6169" s="0" t="n">
        <f aca="false">-1+B6169*0.25</f>
        <v>0</v>
      </c>
      <c r="G6169" s="0" t="n">
        <f aca="false">-1+C6169*0.25</f>
        <v>-1</v>
      </c>
      <c r="H6169" s="0" t="n">
        <f aca="false">-1+D6169*0.25</f>
        <v>1</v>
      </c>
      <c r="I6169" s="0" t="n">
        <f aca="false">1</f>
        <v>1</v>
      </c>
      <c r="J6169" s="0" t="n">
        <f aca="false">E6169</f>
        <v>1</v>
      </c>
      <c r="K6169" s="0" t="n">
        <f aca="false">F6169</f>
        <v>0</v>
      </c>
      <c r="L6169" s="0" t="n">
        <f aca="false">G6169</f>
        <v>-1</v>
      </c>
      <c r="M6169" s="0" t="n">
        <f aca="false">H6169</f>
        <v>1</v>
      </c>
      <c r="N6169" s="0" t="n">
        <f aca="false">E6169*F6169</f>
        <v>0</v>
      </c>
      <c r="O6169" s="0" t="n">
        <f aca="false">E6169*G6169</f>
        <v>-1</v>
      </c>
      <c r="P6169" s="0" t="n">
        <f aca="false">E6169*H6169</f>
        <v>1</v>
      </c>
      <c r="Q6169" s="0" t="n">
        <f aca="false">F6169*G6169</f>
        <v>-0</v>
      </c>
      <c r="R6169" s="0" t="n">
        <f aca="false">F6169*H6169</f>
        <v>0</v>
      </c>
      <c r="S6169" s="0" t="n">
        <f aca="false">G6169*H6169</f>
        <v>-1</v>
      </c>
      <c r="T6169" s="0" t="n">
        <f aca="false">E6169*E6169</f>
        <v>1</v>
      </c>
      <c r="U6169" s="0" t="n">
        <f aca="false">F6169*F6169</f>
        <v>0</v>
      </c>
      <c r="V6169" s="0" t="n">
        <f aca="false">G6169*G6169</f>
        <v>1</v>
      </c>
      <c r="W6169" s="0" t="n">
        <f aca="false">H6169*H6169</f>
        <v>1</v>
      </c>
      <c r="X6169" s="0" t="n">
        <f aca="false">SUMPRODUCT(I6169:W6169,_XtX!$B$96:$P$96)</f>
        <v>46.1758040935673</v>
      </c>
      <c r="Y6169" s="0" t="n">
        <f aca="false">SUMPRODUCT(MMULT(I6169:W6169,_XtX!$B$78:$P$92),I6169:W6169)</f>
        <v>0.766447368421053</v>
      </c>
      <c r="Z6169" s="0" t="n">
        <f aca="false">04_回帰ANOVA!$K$19*04_回帰ANOVA!$K$14*SQRT(1+Y6169)</f>
        <v>1.7324022685743</v>
      </c>
      <c r="AA6169" s="0" t="n">
        <f aca="false">X6169-Z6169</f>
        <v>44.443401824993</v>
      </c>
      <c r="AB6169" s="0" t="n">
        <f aca="false">X6169+Z6169</f>
        <v>47.9082063621416</v>
      </c>
      <c r="AC6169" s="54" t="b">
        <f aca="false">AND(E6169&gt;=01_因子設定!$L$5-0.000000001,E6169&lt;=01_因子設定!$M$5+0.000000001,F6169&gt;=01_因子設定!$L$6-0.000000001,F6169&lt;=01_因子設定!$M$6+0.000000001,G6169&gt;=01_因子設定!$L$7-0.000000001,G6169&lt;=01_因子設定!$M$7+0.000000001,H6169&gt;=01_因子設定!$L$8-0.000000001,H6169&lt;=01_因子設定!$M$8+0.000000001,IF(01_因子設定!$B$20="Box-Behnken",E6169^2+F6169^2+G6169^2+H6169^2&lt;=2+0.000000001,TRUE()))</f>
        <v>1</v>
      </c>
      <c r="AD6169" s="55" t="n">
        <f aca="false">IF(AC6169,IF(01_因子設定!$B$13="最大化",AA6169-01_因子設定!$B$14,IF(01_因子設定!$B$13="最小化",01_因子設定!$B$15-AB6169,MIN(AA6169-01_因子設定!$B$14,01_因子設定!$B$15-AB6169))),-1E+030)</f>
        <v>-2.05659817500699</v>
      </c>
      <c r="AE6169" s="55" t="n">
        <f aca="false">IF(AC6169,IF(01_因子設定!$B$13="最大化",X6169,IF(01_因子設定!$B$13="最小化",-X6169,-ABS(X6169-01_因子設定!$B$16))),-1E+030)</f>
        <v>46.1758040935673</v>
      </c>
      <c r="AF6169" s="55" t="n">
        <f aca="false">AD6169+ROW()*0.000000001</f>
        <v>-2.05659200600699</v>
      </c>
      <c r="AG6169" s="55" t="n">
        <f aca="false">AE6169+ROW()*0.000000001</f>
        <v>46.1758102625673</v>
      </c>
    </row>
    <row r="6170" customFormat="false" ht="15" hidden="false" customHeight="false" outlineLevel="0" collapsed="false">
      <c r="A6170" s="0" t="n">
        <v>8</v>
      </c>
      <c r="B6170" s="0" t="n">
        <v>4</v>
      </c>
      <c r="C6170" s="0" t="n">
        <v>1</v>
      </c>
      <c r="D6170" s="0" t="n">
        <v>0</v>
      </c>
      <c r="E6170" s="0" t="n">
        <f aca="false">-1+A6170*0.25</f>
        <v>1</v>
      </c>
      <c r="F6170" s="0" t="n">
        <f aca="false">-1+B6170*0.25</f>
        <v>0</v>
      </c>
      <c r="G6170" s="0" t="n">
        <f aca="false">-1+C6170*0.25</f>
        <v>-0.75</v>
      </c>
      <c r="H6170" s="0" t="n">
        <f aca="false">-1+D6170*0.25</f>
        <v>-1</v>
      </c>
      <c r="I6170" s="0" t="n">
        <f aca="false">1</f>
        <v>1</v>
      </c>
      <c r="J6170" s="0" t="n">
        <f aca="false">E6170</f>
        <v>1</v>
      </c>
      <c r="K6170" s="0" t="n">
        <f aca="false">F6170</f>
        <v>0</v>
      </c>
      <c r="L6170" s="0" t="n">
        <f aca="false">G6170</f>
        <v>-0.75</v>
      </c>
      <c r="M6170" s="0" t="n">
        <f aca="false">H6170</f>
        <v>-1</v>
      </c>
      <c r="N6170" s="0" t="n">
        <f aca="false">E6170*F6170</f>
        <v>0</v>
      </c>
      <c r="O6170" s="0" t="n">
        <f aca="false">E6170*G6170</f>
        <v>-0.75</v>
      </c>
      <c r="P6170" s="0" t="n">
        <f aca="false">E6170*H6170</f>
        <v>-1</v>
      </c>
      <c r="Q6170" s="0" t="n">
        <f aca="false">F6170*G6170</f>
        <v>-0</v>
      </c>
      <c r="R6170" s="0" t="n">
        <f aca="false">F6170*H6170</f>
        <v>-0</v>
      </c>
      <c r="S6170" s="0" t="n">
        <f aca="false">G6170*H6170</f>
        <v>0.75</v>
      </c>
      <c r="T6170" s="0" t="n">
        <f aca="false">E6170*E6170</f>
        <v>1</v>
      </c>
      <c r="U6170" s="0" t="n">
        <f aca="false">F6170*F6170</f>
        <v>0</v>
      </c>
      <c r="V6170" s="0" t="n">
        <f aca="false">G6170*G6170</f>
        <v>0.5625</v>
      </c>
      <c r="W6170" s="0" t="n">
        <f aca="false">H6170*H6170</f>
        <v>1</v>
      </c>
      <c r="X6170" s="0" t="n">
        <f aca="false">SUMPRODUCT(I6170:W6170,_XtX!$B$96:$P$96)</f>
        <v>45.9997258771931</v>
      </c>
      <c r="Y6170" s="0" t="n">
        <f aca="false">SUMPRODUCT(MMULT(I6170:W6170,_XtX!$B$78:$P$92),I6170:W6170)</f>
        <v>0.646198830409357</v>
      </c>
      <c r="Z6170" s="0" t="n">
        <f aca="false">04_回帰ANOVA!$K$19*04_回帰ANOVA!$K$14*SQRT(1+Y6170)</f>
        <v>1.67239760569756</v>
      </c>
      <c r="AA6170" s="0" t="n">
        <f aca="false">X6170-Z6170</f>
        <v>44.3273282714955</v>
      </c>
      <c r="AB6170" s="0" t="n">
        <f aca="false">X6170+Z6170</f>
        <v>47.6721234828906</v>
      </c>
      <c r="AC6170" s="54" t="b">
        <f aca="false">AND(E6170&gt;=01_因子設定!$L$5-0.000000001,E6170&lt;=01_因子設定!$M$5+0.000000001,F6170&gt;=01_因子設定!$L$6-0.000000001,F6170&lt;=01_因子設定!$M$6+0.000000001,G6170&gt;=01_因子設定!$L$7-0.000000001,G6170&lt;=01_因子設定!$M$7+0.000000001,H6170&gt;=01_因子設定!$L$8-0.000000001,H6170&lt;=01_因子設定!$M$8+0.000000001,IF(01_因子設定!$B$20="Box-Behnken",E6170^2+F6170^2+G6170^2+H6170^2&lt;=2+0.000000001,TRUE()))</f>
        <v>1</v>
      </c>
      <c r="AD6170" s="55" t="n">
        <f aca="false">IF(AC6170,IF(01_因子設定!$B$13="最大化",AA6170-01_因子設定!$B$14,IF(01_因子設定!$B$13="最小化",01_因子設定!$B$15-AB6170,MIN(AA6170-01_因子設定!$B$14,01_因子設定!$B$15-AB6170))),-1E+030)</f>
        <v>-2.1726717285045</v>
      </c>
      <c r="AE6170" s="55" t="n">
        <f aca="false">IF(AC6170,IF(01_因子設定!$B$13="最大化",X6170,IF(01_因子設定!$B$13="最小化",-X6170,-ABS(X6170-01_因子設定!$B$16))),-1E+030)</f>
        <v>45.9997258771931</v>
      </c>
      <c r="AF6170" s="55" t="n">
        <f aca="false">AD6170+ROW()*0.000000001</f>
        <v>-2.1726655585045</v>
      </c>
      <c r="AG6170" s="55" t="n">
        <f aca="false">AE6170+ROW()*0.000000001</f>
        <v>45.9997320471931</v>
      </c>
    </row>
    <row r="6171" customFormat="false" ht="15" hidden="false" customHeight="false" outlineLevel="0" collapsed="false">
      <c r="A6171" s="0" t="n">
        <v>8</v>
      </c>
      <c r="B6171" s="0" t="n">
        <v>4</v>
      </c>
      <c r="C6171" s="0" t="n">
        <v>1</v>
      </c>
      <c r="D6171" s="0" t="n">
        <v>1</v>
      </c>
      <c r="E6171" s="0" t="n">
        <f aca="false">-1+A6171*0.25</f>
        <v>1</v>
      </c>
      <c r="F6171" s="0" t="n">
        <f aca="false">-1+B6171*0.25</f>
        <v>0</v>
      </c>
      <c r="G6171" s="0" t="n">
        <f aca="false">-1+C6171*0.25</f>
        <v>-0.75</v>
      </c>
      <c r="H6171" s="0" t="n">
        <f aca="false">-1+D6171*0.25</f>
        <v>-0.75</v>
      </c>
      <c r="I6171" s="0" t="n">
        <f aca="false">1</f>
        <v>1</v>
      </c>
      <c r="J6171" s="0" t="n">
        <f aca="false">E6171</f>
        <v>1</v>
      </c>
      <c r="K6171" s="0" t="n">
        <f aca="false">F6171</f>
        <v>0</v>
      </c>
      <c r="L6171" s="0" t="n">
        <f aca="false">G6171</f>
        <v>-0.75</v>
      </c>
      <c r="M6171" s="0" t="n">
        <f aca="false">H6171</f>
        <v>-0.75</v>
      </c>
      <c r="N6171" s="0" t="n">
        <f aca="false">E6171*F6171</f>
        <v>0</v>
      </c>
      <c r="O6171" s="0" t="n">
        <f aca="false">E6171*G6171</f>
        <v>-0.75</v>
      </c>
      <c r="P6171" s="0" t="n">
        <f aca="false">E6171*H6171</f>
        <v>-0.75</v>
      </c>
      <c r="Q6171" s="0" t="n">
        <f aca="false">F6171*G6171</f>
        <v>-0</v>
      </c>
      <c r="R6171" s="0" t="n">
        <f aca="false">F6171*H6171</f>
        <v>-0</v>
      </c>
      <c r="S6171" s="0" t="n">
        <f aca="false">G6171*H6171</f>
        <v>0.5625</v>
      </c>
      <c r="T6171" s="0" t="n">
        <f aca="false">E6171*E6171</f>
        <v>1</v>
      </c>
      <c r="U6171" s="0" t="n">
        <f aca="false">F6171*F6171</f>
        <v>0</v>
      </c>
      <c r="V6171" s="0" t="n">
        <f aca="false">G6171*G6171</f>
        <v>0.5625</v>
      </c>
      <c r="W6171" s="0" t="n">
        <f aca="false">H6171*H6171</f>
        <v>0.5625</v>
      </c>
      <c r="X6171" s="0" t="n">
        <f aca="false">SUMPRODUCT(I6171:W6171,_XtX!$B$96:$P$96)</f>
        <v>46.2457830774854</v>
      </c>
      <c r="Y6171" s="0" t="n">
        <f aca="false">SUMPRODUCT(MMULT(I6171:W6171,_XtX!$B$78:$P$92),I6171:W6171)</f>
        <v>0.494259126005117</v>
      </c>
      <c r="Z6171" s="0" t="n">
        <f aca="false">04_回帰ANOVA!$K$19*04_回帰ANOVA!$K$14*SQRT(1+Y6171)</f>
        <v>1.59335061078203</v>
      </c>
      <c r="AA6171" s="0" t="n">
        <f aca="false">X6171-Z6171</f>
        <v>44.6524324667034</v>
      </c>
      <c r="AB6171" s="0" t="n">
        <f aca="false">X6171+Z6171</f>
        <v>47.8391336882675</v>
      </c>
      <c r="AC6171" s="54" t="b">
        <f aca="false">AND(E6171&gt;=01_因子設定!$L$5-0.000000001,E6171&lt;=01_因子設定!$M$5+0.000000001,F6171&gt;=01_因子設定!$L$6-0.000000001,F6171&lt;=01_因子設定!$M$6+0.000000001,G6171&gt;=01_因子設定!$L$7-0.000000001,G6171&lt;=01_因子設定!$M$7+0.000000001,H6171&gt;=01_因子設定!$L$8-0.000000001,H6171&lt;=01_因子設定!$M$8+0.000000001,IF(01_因子設定!$B$20="Box-Behnken",E6171^2+F6171^2+G6171^2+H6171^2&lt;=2+0.000000001,TRUE()))</f>
        <v>1</v>
      </c>
      <c r="AD6171" s="55" t="n">
        <f aca="false">IF(AC6171,IF(01_因子設定!$B$13="最大化",AA6171-01_因子設定!$B$14,IF(01_因子設定!$B$13="最小化",01_因子設定!$B$15-AB6171,MIN(AA6171-01_因子設定!$B$14,01_因子設定!$B$15-AB6171))),-1E+030)</f>
        <v>-1.8475675332966</v>
      </c>
      <c r="AE6171" s="55" t="n">
        <f aca="false">IF(AC6171,IF(01_因子設定!$B$13="最大化",X6171,IF(01_因子設定!$B$13="最小化",-X6171,-ABS(X6171-01_因子設定!$B$16))),-1E+030)</f>
        <v>46.2457830774854</v>
      </c>
      <c r="AF6171" s="55" t="n">
        <f aca="false">AD6171+ROW()*0.000000001</f>
        <v>-1.8475613622966</v>
      </c>
      <c r="AG6171" s="55" t="n">
        <f aca="false">AE6171+ROW()*0.000000001</f>
        <v>46.2457892484854</v>
      </c>
    </row>
    <row r="6172" customFormat="false" ht="15" hidden="false" customHeight="false" outlineLevel="0" collapsed="false">
      <c r="A6172" s="0" t="n">
        <v>8</v>
      </c>
      <c r="B6172" s="0" t="n">
        <v>4</v>
      </c>
      <c r="C6172" s="0" t="n">
        <v>1</v>
      </c>
      <c r="D6172" s="0" t="n">
        <v>2</v>
      </c>
      <c r="E6172" s="0" t="n">
        <f aca="false">-1+A6172*0.25</f>
        <v>1</v>
      </c>
      <c r="F6172" s="0" t="n">
        <f aca="false">-1+B6172*0.25</f>
        <v>0</v>
      </c>
      <c r="G6172" s="0" t="n">
        <f aca="false">-1+C6172*0.25</f>
        <v>-0.75</v>
      </c>
      <c r="H6172" s="0" t="n">
        <f aca="false">-1+D6172*0.25</f>
        <v>-0.5</v>
      </c>
      <c r="I6172" s="0" t="n">
        <f aca="false">1</f>
        <v>1</v>
      </c>
      <c r="J6172" s="0" t="n">
        <f aca="false">E6172</f>
        <v>1</v>
      </c>
      <c r="K6172" s="0" t="n">
        <f aca="false">F6172</f>
        <v>0</v>
      </c>
      <c r="L6172" s="0" t="n">
        <f aca="false">G6172</f>
        <v>-0.75</v>
      </c>
      <c r="M6172" s="0" t="n">
        <f aca="false">H6172</f>
        <v>-0.5</v>
      </c>
      <c r="N6172" s="0" t="n">
        <f aca="false">E6172*F6172</f>
        <v>0</v>
      </c>
      <c r="O6172" s="0" t="n">
        <f aca="false">E6172*G6172</f>
        <v>-0.75</v>
      </c>
      <c r="P6172" s="0" t="n">
        <f aca="false">E6172*H6172</f>
        <v>-0.5</v>
      </c>
      <c r="Q6172" s="0" t="n">
        <f aca="false">F6172*G6172</f>
        <v>-0</v>
      </c>
      <c r="R6172" s="0" t="n">
        <f aca="false">F6172*H6172</f>
        <v>-0</v>
      </c>
      <c r="S6172" s="0" t="n">
        <f aca="false">G6172*H6172</f>
        <v>0.375</v>
      </c>
      <c r="T6172" s="0" t="n">
        <f aca="false">E6172*E6172</f>
        <v>1</v>
      </c>
      <c r="U6172" s="0" t="n">
        <f aca="false">F6172*F6172</f>
        <v>0</v>
      </c>
      <c r="V6172" s="0" t="n">
        <f aca="false">G6172*G6172</f>
        <v>0.5625</v>
      </c>
      <c r="W6172" s="0" t="n">
        <f aca="false">H6172*H6172</f>
        <v>0.25</v>
      </c>
      <c r="X6172" s="0" t="n">
        <f aca="false">SUMPRODUCT(I6172:W6172,_XtX!$B$96:$P$96)</f>
        <v>46.444033260234</v>
      </c>
      <c r="Y6172" s="0" t="n">
        <f aca="false">SUMPRODUCT(MMULT(I6172:W6172,_XtX!$B$78:$P$92),I6172:W6172)</f>
        <v>0.476191292032164</v>
      </c>
      <c r="Z6172" s="0" t="n">
        <f aca="false">04_回帰ANOVA!$K$19*04_回帰ANOVA!$K$14*SQRT(1+Y6172)</f>
        <v>1.58368831471718</v>
      </c>
      <c r="AA6172" s="0" t="n">
        <f aca="false">X6172-Z6172</f>
        <v>44.8603449455168</v>
      </c>
      <c r="AB6172" s="0" t="n">
        <f aca="false">X6172+Z6172</f>
        <v>48.0277215749511</v>
      </c>
      <c r="AC6172" s="54" t="b">
        <f aca="false">AND(E6172&gt;=01_因子設定!$L$5-0.000000001,E6172&lt;=01_因子設定!$M$5+0.000000001,F6172&gt;=01_因子設定!$L$6-0.000000001,F6172&lt;=01_因子設定!$M$6+0.000000001,G6172&gt;=01_因子設定!$L$7-0.000000001,G6172&lt;=01_因子設定!$M$7+0.000000001,H6172&gt;=01_因子設定!$L$8-0.000000001,H6172&lt;=01_因子設定!$M$8+0.000000001,IF(01_因子設定!$B$20="Box-Behnken",E6172^2+F6172^2+G6172^2+H6172^2&lt;=2+0.000000001,TRUE()))</f>
        <v>1</v>
      </c>
      <c r="AD6172" s="55" t="n">
        <f aca="false">IF(AC6172,IF(01_因子設定!$B$13="最大化",AA6172-01_因子設定!$B$14,IF(01_因子設定!$B$13="最小化",01_因子設定!$B$15-AB6172,MIN(AA6172-01_因子設定!$B$14,01_因子設定!$B$15-AB6172))),-1E+030)</f>
        <v>-1.63965505448322</v>
      </c>
      <c r="AE6172" s="55" t="n">
        <f aca="false">IF(AC6172,IF(01_因子設定!$B$13="最大化",X6172,IF(01_因子設定!$B$13="最小化",-X6172,-ABS(X6172-01_因子設定!$B$16))),-1E+030)</f>
        <v>46.444033260234</v>
      </c>
      <c r="AF6172" s="55" t="n">
        <f aca="false">AD6172+ROW()*0.000000001</f>
        <v>-1.63964888248322</v>
      </c>
      <c r="AG6172" s="55" t="n">
        <f aca="false">AE6172+ROW()*0.000000001</f>
        <v>46.444039432234</v>
      </c>
    </row>
    <row r="6173" customFormat="false" ht="15" hidden="false" customHeight="false" outlineLevel="0" collapsed="false">
      <c r="A6173" s="0" t="n">
        <v>8</v>
      </c>
      <c r="B6173" s="0" t="n">
        <v>4</v>
      </c>
      <c r="C6173" s="0" t="n">
        <v>1</v>
      </c>
      <c r="D6173" s="0" t="n">
        <v>3</v>
      </c>
      <c r="E6173" s="0" t="n">
        <f aca="false">-1+A6173*0.25</f>
        <v>1</v>
      </c>
      <c r="F6173" s="0" t="n">
        <f aca="false">-1+B6173*0.25</f>
        <v>0</v>
      </c>
      <c r="G6173" s="0" t="n">
        <f aca="false">-1+C6173*0.25</f>
        <v>-0.75</v>
      </c>
      <c r="H6173" s="0" t="n">
        <f aca="false">-1+D6173*0.25</f>
        <v>-0.25</v>
      </c>
      <c r="I6173" s="0" t="n">
        <f aca="false">1</f>
        <v>1</v>
      </c>
      <c r="J6173" s="0" t="n">
        <f aca="false">E6173</f>
        <v>1</v>
      </c>
      <c r="K6173" s="0" t="n">
        <f aca="false">F6173</f>
        <v>0</v>
      </c>
      <c r="L6173" s="0" t="n">
        <f aca="false">G6173</f>
        <v>-0.75</v>
      </c>
      <c r="M6173" s="0" t="n">
        <f aca="false">H6173</f>
        <v>-0.25</v>
      </c>
      <c r="N6173" s="0" t="n">
        <f aca="false">E6173*F6173</f>
        <v>0</v>
      </c>
      <c r="O6173" s="0" t="n">
        <f aca="false">E6173*G6173</f>
        <v>-0.75</v>
      </c>
      <c r="P6173" s="0" t="n">
        <f aca="false">E6173*H6173</f>
        <v>-0.25</v>
      </c>
      <c r="Q6173" s="0" t="n">
        <f aca="false">F6173*G6173</f>
        <v>-0</v>
      </c>
      <c r="R6173" s="0" t="n">
        <f aca="false">F6173*H6173</f>
        <v>-0</v>
      </c>
      <c r="S6173" s="0" t="n">
        <f aca="false">G6173*H6173</f>
        <v>0.1875</v>
      </c>
      <c r="T6173" s="0" t="n">
        <f aca="false">E6173*E6173</f>
        <v>1</v>
      </c>
      <c r="U6173" s="0" t="n">
        <f aca="false">F6173*F6173</f>
        <v>0</v>
      </c>
      <c r="V6173" s="0" t="n">
        <f aca="false">G6173*G6173</f>
        <v>0.5625</v>
      </c>
      <c r="W6173" s="0" t="n">
        <f aca="false">H6173*H6173</f>
        <v>0.0625</v>
      </c>
      <c r="X6173" s="0" t="n">
        <f aca="false">SUMPRODUCT(I6173:W6173,_XtX!$B$96:$P$96)</f>
        <v>46.5944764254386</v>
      </c>
      <c r="Y6173" s="0" t="n">
        <f aca="false">SUMPRODUCT(MMULT(I6173:W6173,_XtX!$B$78:$P$92),I6173:W6173)</f>
        <v>0.501534802174708</v>
      </c>
      <c r="Z6173" s="0" t="n">
        <f aca="false">04_回帰ANOVA!$K$19*04_回帰ANOVA!$K$14*SQRT(1+Y6173)</f>
        <v>1.59722498091333</v>
      </c>
      <c r="AA6173" s="0" t="n">
        <f aca="false">X6173-Z6173</f>
        <v>44.9972514445253</v>
      </c>
      <c r="AB6173" s="0" t="n">
        <f aca="false">X6173+Z6173</f>
        <v>48.191701406352</v>
      </c>
      <c r="AC6173" s="54" t="b">
        <f aca="false">AND(E6173&gt;=01_因子設定!$L$5-0.000000001,E6173&lt;=01_因子設定!$M$5+0.000000001,F6173&gt;=01_因子設定!$L$6-0.000000001,F6173&lt;=01_因子設定!$M$6+0.000000001,G6173&gt;=01_因子設定!$L$7-0.000000001,G6173&lt;=01_因子設定!$M$7+0.000000001,H6173&gt;=01_因子設定!$L$8-0.000000001,H6173&lt;=01_因子設定!$M$8+0.000000001,IF(01_因子設定!$B$20="Box-Behnken",E6173^2+F6173^2+G6173^2+H6173^2&lt;=2+0.000000001,TRUE()))</f>
        <v>1</v>
      </c>
      <c r="AD6173" s="55" t="n">
        <f aca="false">IF(AC6173,IF(01_因子設定!$B$13="最大化",AA6173-01_因子設定!$B$14,IF(01_因子設定!$B$13="最小化",01_因子設定!$B$15-AB6173,MIN(AA6173-01_因子設定!$B$14,01_因子設定!$B$15-AB6173))),-1E+030)</f>
        <v>-1.5027485554747</v>
      </c>
      <c r="AE6173" s="55" t="n">
        <f aca="false">IF(AC6173,IF(01_因子設定!$B$13="最大化",X6173,IF(01_因子設定!$B$13="最小化",-X6173,-ABS(X6173-01_因子設定!$B$16))),-1E+030)</f>
        <v>46.5944764254386</v>
      </c>
      <c r="AF6173" s="55" t="n">
        <f aca="false">AD6173+ROW()*0.000000001</f>
        <v>-1.5027423824747</v>
      </c>
      <c r="AG6173" s="55" t="n">
        <f aca="false">AE6173+ROW()*0.000000001</f>
        <v>46.5944825984386</v>
      </c>
    </row>
    <row r="6174" customFormat="false" ht="15" hidden="false" customHeight="false" outlineLevel="0" collapsed="false">
      <c r="A6174" s="0" t="n">
        <v>8</v>
      </c>
      <c r="B6174" s="0" t="n">
        <v>4</v>
      </c>
      <c r="C6174" s="0" t="n">
        <v>1</v>
      </c>
      <c r="D6174" s="0" t="n">
        <v>4</v>
      </c>
      <c r="E6174" s="0" t="n">
        <f aca="false">-1+A6174*0.25</f>
        <v>1</v>
      </c>
      <c r="F6174" s="0" t="n">
        <f aca="false">-1+B6174*0.25</f>
        <v>0</v>
      </c>
      <c r="G6174" s="0" t="n">
        <f aca="false">-1+C6174*0.25</f>
        <v>-0.75</v>
      </c>
      <c r="H6174" s="0" t="n">
        <f aca="false">-1+D6174*0.25</f>
        <v>0</v>
      </c>
      <c r="I6174" s="0" t="n">
        <f aca="false">1</f>
        <v>1</v>
      </c>
      <c r="J6174" s="0" t="n">
        <f aca="false">E6174</f>
        <v>1</v>
      </c>
      <c r="K6174" s="0" t="n">
        <f aca="false">F6174</f>
        <v>0</v>
      </c>
      <c r="L6174" s="0" t="n">
        <f aca="false">G6174</f>
        <v>-0.75</v>
      </c>
      <c r="M6174" s="0" t="n">
        <f aca="false">H6174</f>
        <v>0</v>
      </c>
      <c r="N6174" s="0" t="n">
        <f aca="false">E6174*F6174</f>
        <v>0</v>
      </c>
      <c r="O6174" s="0" t="n">
        <f aca="false">E6174*G6174</f>
        <v>-0.75</v>
      </c>
      <c r="P6174" s="0" t="n">
        <f aca="false">E6174*H6174</f>
        <v>0</v>
      </c>
      <c r="Q6174" s="0" t="n">
        <f aca="false">F6174*G6174</f>
        <v>-0</v>
      </c>
      <c r="R6174" s="0" t="n">
        <f aca="false">F6174*H6174</f>
        <v>0</v>
      </c>
      <c r="S6174" s="0" t="n">
        <f aca="false">G6174*H6174</f>
        <v>-0</v>
      </c>
      <c r="T6174" s="0" t="n">
        <f aca="false">E6174*E6174</f>
        <v>1</v>
      </c>
      <c r="U6174" s="0" t="n">
        <f aca="false">F6174*F6174</f>
        <v>0</v>
      </c>
      <c r="V6174" s="0" t="n">
        <f aca="false">G6174*G6174</f>
        <v>0.5625</v>
      </c>
      <c r="W6174" s="0" t="n">
        <f aca="false">H6174*H6174</f>
        <v>0</v>
      </c>
      <c r="X6174" s="0" t="n">
        <f aca="false">SUMPRODUCT(I6174:W6174,_XtX!$B$96:$P$96)</f>
        <v>46.6971125730994</v>
      </c>
      <c r="Y6174" s="0" t="n">
        <f aca="false">SUMPRODUCT(MMULT(I6174:W6174,_XtX!$B$78:$P$92),I6174:W6174)</f>
        <v>0.516013340643275</v>
      </c>
      <c r="Z6174" s="0" t="n">
        <f aca="false">04_回帰ANOVA!$K$19*04_回帰ANOVA!$K$14*SQRT(1+Y6174)</f>
        <v>1.60490712175667</v>
      </c>
      <c r="AA6174" s="0" t="n">
        <f aca="false">X6174-Z6174</f>
        <v>45.0922054513428</v>
      </c>
      <c r="AB6174" s="0" t="n">
        <f aca="false">X6174+Z6174</f>
        <v>48.3020196948561</v>
      </c>
      <c r="AC6174" s="54" t="b">
        <f aca="false">AND(E6174&gt;=01_因子設定!$L$5-0.000000001,E6174&lt;=01_因子設定!$M$5+0.000000001,F6174&gt;=01_因子設定!$L$6-0.000000001,F6174&lt;=01_因子設定!$M$6+0.000000001,G6174&gt;=01_因子設定!$L$7-0.000000001,G6174&lt;=01_因子設定!$M$7+0.000000001,H6174&gt;=01_因子設定!$L$8-0.000000001,H6174&lt;=01_因子設定!$M$8+0.000000001,IF(01_因子設定!$B$20="Box-Behnken",E6174^2+F6174^2+G6174^2+H6174^2&lt;=2+0.000000001,TRUE()))</f>
        <v>1</v>
      </c>
      <c r="AD6174" s="55" t="n">
        <f aca="false">IF(AC6174,IF(01_因子設定!$B$13="最大化",AA6174-01_因子設定!$B$14,IF(01_因子設定!$B$13="最小化",01_因子設定!$B$15-AB6174,MIN(AA6174-01_因子設定!$B$14,01_因子設定!$B$15-AB6174))),-1E+030)</f>
        <v>-1.40779454865723</v>
      </c>
      <c r="AE6174" s="55" t="n">
        <f aca="false">IF(AC6174,IF(01_因子設定!$B$13="最大化",X6174,IF(01_因子設定!$B$13="最小化",-X6174,-ABS(X6174-01_因子設定!$B$16))),-1E+030)</f>
        <v>46.6971125730994</v>
      </c>
      <c r="AF6174" s="55" t="n">
        <f aca="false">AD6174+ROW()*0.000000001</f>
        <v>-1.40778837465723</v>
      </c>
      <c r="AG6174" s="55" t="n">
        <f aca="false">AE6174+ROW()*0.000000001</f>
        <v>46.6971187470994</v>
      </c>
    </row>
    <row r="6175" customFormat="false" ht="15" hidden="false" customHeight="false" outlineLevel="0" collapsed="false">
      <c r="A6175" s="0" t="n">
        <v>8</v>
      </c>
      <c r="B6175" s="0" t="n">
        <v>4</v>
      </c>
      <c r="C6175" s="0" t="n">
        <v>1</v>
      </c>
      <c r="D6175" s="0" t="n">
        <v>5</v>
      </c>
      <c r="E6175" s="0" t="n">
        <f aca="false">-1+A6175*0.25</f>
        <v>1</v>
      </c>
      <c r="F6175" s="0" t="n">
        <f aca="false">-1+B6175*0.25</f>
        <v>0</v>
      </c>
      <c r="G6175" s="0" t="n">
        <f aca="false">-1+C6175*0.25</f>
        <v>-0.75</v>
      </c>
      <c r="H6175" s="0" t="n">
        <f aca="false">-1+D6175*0.25</f>
        <v>0.25</v>
      </c>
      <c r="I6175" s="0" t="n">
        <f aca="false">1</f>
        <v>1</v>
      </c>
      <c r="J6175" s="0" t="n">
        <f aca="false">E6175</f>
        <v>1</v>
      </c>
      <c r="K6175" s="0" t="n">
        <f aca="false">F6175</f>
        <v>0</v>
      </c>
      <c r="L6175" s="0" t="n">
        <f aca="false">G6175</f>
        <v>-0.75</v>
      </c>
      <c r="M6175" s="0" t="n">
        <f aca="false">H6175</f>
        <v>0.25</v>
      </c>
      <c r="N6175" s="0" t="n">
        <f aca="false">E6175*F6175</f>
        <v>0</v>
      </c>
      <c r="O6175" s="0" t="n">
        <f aca="false">E6175*G6175</f>
        <v>-0.75</v>
      </c>
      <c r="P6175" s="0" t="n">
        <f aca="false">E6175*H6175</f>
        <v>0.25</v>
      </c>
      <c r="Q6175" s="0" t="n">
        <f aca="false">F6175*G6175</f>
        <v>-0</v>
      </c>
      <c r="R6175" s="0" t="n">
        <f aca="false">F6175*H6175</f>
        <v>0</v>
      </c>
      <c r="S6175" s="0" t="n">
        <f aca="false">G6175*H6175</f>
        <v>-0.1875</v>
      </c>
      <c r="T6175" s="0" t="n">
        <f aca="false">E6175*E6175</f>
        <v>1</v>
      </c>
      <c r="U6175" s="0" t="n">
        <f aca="false">F6175*F6175</f>
        <v>0</v>
      </c>
      <c r="V6175" s="0" t="n">
        <f aca="false">G6175*G6175</f>
        <v>0.5625</v>
      </c>
      <c r="W6175" s="0" t="n">
        <f aca="false">H6175*H6175</f>
        <v>0.0625</v>
      </c>
      <c r="X6175" s="0" t="n">
        <f aca="false">SUMPRODUCT(I6175:W6175,_XtX!$B$96:$P$96)</f>
        <v>46.7519417032164</v>
      </c>
      <c r="Y6175" s="0" t="n">
        <f aca="false">SUMPRODUCT(MMULT(I6175:W6175,_XtX!$B$78:$P$92),I6175:W6175)</f>
        <v>0.501534802174708</v>
      </c>
      <c r="Z6175" s="0" t="n">
        <f aca="false">04_回帰ANOVA!$K$19*04_回帰ANOVA!$K$14*SQRT(1+Y6175)</f>
        <v>1.59722498091333</v>
      </c>
      <c r="AA6175" s="0" t="n">
        <f aca="false">X6175-Z6175</f>
        <v>45.1547167223031</v>
      </c>
      <c r="AB6175" s="0" t="n">
        <f aca="false">X6175+Z6175</f>
        <v>48.3491666841297</v>
      </c>
      <c r="AC6175" s="54" t="b">
        <f aca="false">AND(E6175&gt;=01_因子設定!$L$5-0.000000001,E6175&lt;=01_因子設定!$M$5+0.000000001,F6175&gt;=01_因子設定!$L$6-0.000000001,F6175&lt;=01_因子設定!$M$6+0.000000001,G6175&gt;=01_因子設定!$L$7-0.000000001,G6175&lt;=01_因子設定!$M$7+0.000000001,H6175&gt;=01_因子設定!$L$8-0.000000001,H6175&lt;=01_因子設定!$M$8+0.000000001,IF(01_因子設定!$B$20="Box-Behnken",E6175^2+F6175^2+G6175^2+H6175^2&lt;=2+0.000000001,TRUE()))</f>
        <v>1</v>
      </c>
      <c r="AD6175" s="55" t="n">
        <f aca="false">IF(AC6175,IF(01_因子設定!$B$13="最大化",AA6175-01_因子設定!$B$14,IF(01_因子設定!$B$13="最小化",01_因子設定!$B$15-AB6175,MIN(AA6175-01_因子設定!$B$14,01_因子設定!$B$15-AB6175))),-1E+030)</f>
        <v>-1.34528327769693</v>
      </c>
      <c r="AE6175" s="55" t="n">
        <f aca="false">IF(AC6175,IF(01_因子設定!$B$13="最大化",X6175,IF(01_因子設定!$B$13="最小化",-X6175,-ABS(X6175-01_因子設定!$B$16))),-1E+030)</f>
        <v>46.7519417032164</v>
      </c>
      <c r="AF6175" s="55" t="n">
        <f aca="false">AD6175+ROW()*0.000000001</f>
        <v>-1.34527710269693</v>
      </c>
      <c r="AG6175" s="55" t="n">
        <f aca="false">AE6175+ROW()*0.000000001</f>
        <v>46.7519478782164</v>
      </c>
    </row>
    <row r="6176" customFormat="false" ht="15" hidden="false" customHeight="false" outlineLevel="0" collapsed="false">
      <c r="A6176" s="0" t="n">
        <v>8</v>
      </c>
      <c r="B6176" s="0" t="n">
        <v>4</v>
      </c>
      <c r="C6176" s="0" t="n">
        <v>1</v>
      </c>
      <c r="D6176" s="0" t="n">
        <v>6</v>
      </c>
      <c r="E6176" s="0" t="n">
        <f aca="false">-1+A6176*0.25</f>
        <v>1</v>
      </c>
      <c r="F6176" s="0" t="n">
        <f aca="false">-1+B6176*0.25</f>
        <v>0</v>
      </c>
      <c r="G6176" s="0" t="n">
        <f aca="false">-1+C6176*0.25</f>
        <v>-0.75</v>
      </c>
      <c r="H6176" s="0" t="n">
        <f aca="false">-1+D6176*0.25</f>
        <v>0.5</v>
      </c>
      <c r="I6176" s="0" t="n">
        <f aca="false">1</f>
        <v>1</v>
      </c>
      <c r="J6176" s="0" t="n">
        <f aca="false">E6176</f>
        <v>1</v>
      </c>
      <c r="K6176" s="0" t="n">
        <f aca="false">F6176</f>
        <v>0</v>
      </c>
      <c r="L6176" s="0" t="n">
        <f aca="false">G6176</f>
        <v>-0.75</v>
      </c>
      <c r="M6176" s="0" t="n">
        <f aca="false">H6176</f>
        <v>0.5</v>
      </c>
      <c r="N6176" s="0" t="n">
        <f aca="false">E6176*F6176</f>
        <v>0</v>
      </c>
      <c r="O6176" s="0" t="n">
        <f aca="false">E6176*G6176</f>
        <v>-0.75</v>
      </c>
      <c r="P6176" s="0" t="n">
        <f aca="false">E6176*H6176</f>
        <v>0.5</v>
      </c>
      <c r="Q6176" s="0" t="n">
        <f aca="false">F6176*G6176</f>
        <v>-0</v>
      </c>
      <c r="R6176" s="0" t="n">
        <f aca="false">F6176*H6176</f>
        <v>0</v>
      </c>
      <c r="S6176" s="0" t="n">
        <f aca="false">G6176*H6176</f>
        <v>-0.375</v>
      </c>
      <c r="T6176" s="0" t="n">
        <f aca="false">E6176*E6176</f>
        <v>1</v>
      </c>
      <c r="U6176" s="0" t="n">
        <f aca="false">F6176*F6176</f>
        <v>0</v>
      </c>
      <c r="V6176" s="0" t="n">
        <f aca="false">G6176*G6176</f>
        <v>0.5625</v>
      </c>
      <c r="W6176" s="0" t="n">
        <f aca="false">H6176*H6176</f>
        <v>0.25</v>
      </c>
      <c r="X6176" s="0" t="n">
        <f aca="false">SUMPRODUCT(I6176:W6176,_XtX!$B$96:$P$96)</f>
        <v>46.7589638157895</v>
      </c>
      <c r="Y6176" s="0" t="n">
        <f aca="false">SUMPRODUCT(MMULT(I6176:W6176,_XtX!$B$78:$P$92),I6176:W6176)</f>
        <v>0.476191292032164</v>
      </c>
      <c r="Z6176" s="0" t="n">
        <f aca="false">04_回帰ANOVA!$K$19*04_回帰ANOVA!$K$14*SQRT(1+Y6176)</f>
        <v>1.58368831471718</v>
      </c>
      <c r="AA6176" s="0" t="n">
        <f aca="false">X6176-Z6176</f>
        <v>45.1752755010723</v>
      </c>
      <c r="AB6176" s="0" t="n">
        <f aca="false">X6176+Z6176</f>
        <v>48.3426521305067</v>
      </c>
      <c r="AC6176" s="54" t="b">
        <f aca="false">AND(E6176&gt;=01_因子設定!$L$5-0.000000001,E6176&lt;=01_因子設定!$M$5+0.000000001,F6176&gt;=01_因子設定!$L$6-0.000000001,F6176&lt;=01_因子設定!$M$6+0.000000001,G6176&gt;=01_因子設定!$L$7-0.000000001,G6176&lt;=01_因子設定!$M$7+0.000000001,H6176&gt;=01_因子設定!$L$8-0.000000001,H6176&lt;=01_因子設定!$M$8+0.000000001,IF(01_因子設定!$B$20="Box-Behnken",E6176^2+F6176^2+G6176^2+H6176^2&lt;=2+0.000000001,TRUE()))</f>
        <v>1</v>
      </c>
      <c r="AD6176" s="55" t="n">
        <f aca="false">IF(AC6176,IF(01_因子設定!$B$13="最大化",AA6176-01_因子設定!$B$14,IF(01_因子設定!$B$13="最小化",01_因子設定!$B$15-AB6176,MIN(AA6176-01_因子設定!$B$14,01_因子設定!$B$15-AB6176))),-1E+030)</f>
        <v>-1.32472449892767</v>
      </c>
      <c r="AE6176" s="55" t="n">
        <f aca="false">IF(AC6176,IF(01_因子設定!$B$13="最大化",X6176,IF(01_因子設定!$B$13="最小化",-X6176,-ABS(X6176-01_因子設定!$B$16))),-1E+030)</f>
        <v>46.7589638157895</v>
      </c>
      <c r="AF6176" s="55" t="n">
        <f aca="false">AD6176+ROW()*0.000000001</f>
        <v>-1.32471832292767</v>
      </c>
      <c r="AG6176" s="55" t="n">
        <f aca="false">AE6176+ROW()*0.000000001</f>
        <v>46.7589699917895</v>
      </c>
    </row>
    <row r="6177" customFormat="false" ht="15" hidden="false" customHeight="false" outlineLevel="0" collapsed="false">
      <c r="A6177" s="0" t="n">
        <v>8</v>
      </c>
      <c r="B6177" s="0" t="n">
        <v>4</v>
      </c>
      <c r="C6177" s="0" t="n">
        <v>1</v>
      </c>
      <c r="D6177" s="0" t="n">
        <v>7</v>
      </c>
      <c r="E6177" s="0" t="n">
        <f aca="false">-1+A6177*0.25</f>
        <v>1</v>
      </c>
      <c r="F6177" s="0" t="n">
        <f aca="false">-1+B6177*0.25</f>
        <v>0</v>
      </c>
      <c r="G6177" s="0" t="n">
        <f aca="false">-1+C6177*0.25</f>
        <v>-0.75</v>
      </c>
      <c r="H6177" s="0" t="n">
        <f aca="false">-1+D6177*0.25</f>
        <v>0.75</v>
      </c>
      <c r="I6177" s="0" t="n">
        <f aca="false">1</f>
        <v>1</v>
      </c>
      <c r="J6177" s="0" t="n">
        <f aca="false">E6177</f>
        <v>1</v>
      </c>
      <c r="K6177" s="0" t="n">
        <f aca="false">F6177</f>
        <v>0</v>
      </c>
      <c r="L6177" s="0" t="n">
        <f aca="false">G6177</f>
        <v>-0.75</v>
      </c>
      <c r="M6177" s="0" t="n">
        <f aca="false">H6177</f>
        <v>0.75</v>
      </c>
      <c r="N6177" s="0" t="n">
        <f aca="false">E6177*F6177</f>
        <v>0</v>
      </c>
      <c r="O6177" s="0" t="n">
        <f aca="false">E6177*G6177</f>
        <v>-0.75</v>
      </c>
      <c r="P6177" s="0" t="n">
        <f aca="false">E6177*H6177</f>
        <v>0.75</v>
      </c>
      <c r="Q6177" s="0" t="n">
        <f aca="false">F6177*G6177</f>
        <v>-0</v>
      </c>
      <c r="R6177" s="0" t="n">
        <f aca="false">F6177*H6177</f>
        <v>0</v>
      </c>
      <c r="S6177" s="0" t="n">
        <f aca="false">G6177*H6177</f>
        <v>-0.5625</v>
      </c>
      <c r="T6177" s="0" t="n">
        <f aca="false">E6177*E6177</f>
        <v>1</v>
      </c>
      <c r="U6177" s="0" t="n">
        <f aca="false">F6177*F6177</f>
        <v>0</v>
      </c>
      <c r="V6177" s="0" t="n">
        <f aca="false">G6177*G6177</f>
        <v>0.5625</v>
      </c>
      <c r="W6177" s="0" t="n">
        <f aca="false">H6177*H6177</f>
        <v>0.5625</v>
      </c>
      <c r="X6177" s="0" t="n">
        <f aca="false">SUMPRODUCT(I6177:W6177,_XtX!$B$96:$P$96)</f>
        <v>46.7181789108188</v>
      </c>
      <c r="Y6177" s="0" t="n">
        <f aca="false">SUMPRODUCT(MMULT(I6177:W6177,_XtX!$B$78:$P$92),I6177:W6177)</f>
        <v>0.494259126005117</v>
      </c>
      <c r="Z6177" s="0" t="n">
        <f aca="false">04_回帰ANOVA!$K$19*04_回帰ANOVA!$K$14*SQRT(1+Y6177)</f>
        <v>1.59335061078203</v>
      </c>
      <c r="AA6177" s="0" t="n">
        <f aca="false">X6177-Z6177</f>
        <v>45.1248283000367</v>
      </c>
      <c r="AB6177" s="0" t="n">
        <f aca="false">X6177+Z6177</f>
        <v>48.3115295216008</v>
      </c>
      <c r="AC6177" s="54" t="b">
        <f aca="false">AND(E6177&gt;=01_因子設定!$L$5-0.000000001,E6177&lt;=01_因子設定!$M$5+0.000000001,F6177&gt;=01_因子設定!$L$6-0.000000001,F6177&lt;=01_因子設定!$M$6+0.000000001,G6177&gt;=01_因子設定!$L$7-0.000000001,G6177&lt;=01_因子設定!$M$7+0.000000001,H6177&gt;=01_因子設定!$L$8-0.000000001,H6177&lt;=01_因子設定!$M$8+0.000000001,IF(01_因子設定!$B$20="Box-Behnken",E6177^2+F6177^2+G6177^2+H6177^2&lt;=2+0.000000001,TRUE()))</f>
        <v>1</v>
      </c>
      <c r="AD6177" s="55" t="n">
        <f aca="false">IF(AC6177,IF(01_因子設定!$B$13="最大化",AA6177-01_因子設定!$B$14,IF(01_因子設定!$B$13="最小化",01_因子設定!$B$15-AB6177,MIN(AA6177-01_因子設定!$B$14,01_因子設定!$B$15-AB6177))),-1E+030)</f>
        <v>-1.37517169996326</v>
      </c>
      <c r="AE6177" s="55" t="n">
        <f aca="false">IF(AC6177,IF(01_因子設定!$B$13="最大化",X6177,IF(01_因子設定!$B$13="最小化",-X6177,-ABS(X6177-01_因子設定!$B$16))),-1E+030)</f>
        <v>46.7181789108188</v>
      </c>
      <c r="AF6177" s="55" t="n">
        <f aca="false">AD6177+ROW()*0.000000001</f>
        <v>-1.37516552296326</v>
      </c>
      <c r="AG6177" s="55" t="n">
        <f aca="false">AE6177+ROW()*0.000000001</f>
        <v>46.7181850878188</v>
      </c>
    </row>
    <row r="6178" customFormat="false" ht="15" hidden="false" customHeight="false" outlineLevel="0" collapsed="false">
      <c r="A6178" s="0" t="n">
        <v>8</v>
      </c>
      <c r="B6178" s="0" t="n">
        <v>4</v>
      </c>
      <c r="C6178" s="0" t="n">
        <v>1</v>
      </c>
      <c r="D6178" s="0" t="n">
        <v>8</v>
      </c>
      <c r="E6178" s="0" t="n">
        <f aca="false">-1+A6178*0.25</f>
        <v>1</v>
      </c>
      <c r="F6178" s="0" t="n">
        <f aca="false">-1+B6178*0.25</f>
        <v>0</v>
      </c>
      <c r="G6178" s="0" t="n">
        <f aca="false">-1+C6178*0.25</f>
        <v>-0.75</v>
      </c>
      <c r="H6178" s="0" t="n">
        <f aca="false">-1+D6178*0.25</f>
        <v>1</v>
      </c>
      <c r="I6178" s="0" t="n">
        <f aca="false">1</f>
        <v>1</v>
      </c>
      <c r="J6178" s="0" t="n">
        <f aca="false">E6178</f>
        <v>1</v>
      </c>
      <c r="K6178" s="0" t="n">
        <f aca="false">F6178</f>
        <v>0</v>
      </c>
      <c r="L6178" s="0" t="n">
        <f aca="false">G6178</f>
        <v>-0.75</v>
      </c>
      <c r="M6178" s="0" t="n">
        <f aca="false">H6178</f>
        <v>1</v>
      </c>
      <c r="N6178" s="0" t="n">
        <f aca="false">E6178*F6178</f>
        <v>0</v>
      </c>
      <c r="O6178" s="0" t="n">
        <f aca="false">E6178*G6178</f>
        <v>-0.75</v>
      </c>
      <c r="P6178" s="0" t="n">
        <f aca="false">E6178*H6178</f>
        <v>1</v>
      </c>
      <c r="Q6178" s="0" t="n">
        <f aca="false">F6178*G6178</f>
        <v>-0</v>
      </c>
      <c r="R6178" s="0" t="n">
        <f aca="false">F6178*H6178</f>
        <v>0</v>
      </c>
      <c r="S6178" s="0" t="n">
        <f aca="false">G6178*H6178</f>
        <v>-0.75</v>
      </c>
      <c r="T6178" s="0" t="n">
        <f aca="false">E6178*E6178</f>
        <v>1</v>
      </c>
      <c r="U6178" s="0" t="n">
        <f aca="false">F6178*F6178</f>
        <v>0</v>
      </c>
      <c r="V6178" s="0" t="n">
        <f aca="false">G6178*G6178</f>
        <v>0.5625</v>
      </c>
      <c r="W6178" s="0" t="n">
        <f aca="false">H6178*H6178</f>
        <v>1</v>
      </c>
      <c r="X6178" s="0" t="n">
        <f aca="false">SUMPRODUCT(I6178:W6178,_XtX!$B$96:$P$96)</f>
        <v>46.6295869883042</v>
      </c>
      <c r="Y6178" s="0" t="n">
        <f aca="false">SUMPRODUCT(MMULT(I6178:W6178,_XtX!$B$78:$P$92),I6178:W6178)</f>
        <v>0.646198830409357</v>
      </c>
      <c r="Z6178" s="0" t="n">
        <f aca="false">04_回帰ANOVA!$K$19*04_回帰ANOVA!$K$14*SQRT(1+Y6178)</f>
        <v>1.67239760569756</v>
      </c>
      <c r="AA6178" s="0" t="n">
        <f aca="false">X6178-Z6178</f>
        <v>44.9571893826066</v>
      </c>
      <c r="AB6178" s="0" t="n">
        <f aca="false">X6178+Z6178</f>
        <v>48.3019845940017</v>
      </c>
      <c r="AC6178" s="54" t="b">
        <f aca="false">AND(E6178&gt;=01_因子設定!$L$5-0.000000001,E6178&lt;=01_因子設定!$M$5+0.000000001,F6178&gt;=01_因子設定!$L$6-0.000000001,F6178&lt;=01_因子設定!$M$6+0.000000001,G6178&gt;=01_因子設定!$L$7-0.000000001,G6178&lt;=01_因子設定!$M$7+0.000000001,H6178&gt;=01_因子設定!$L$8-0.000000001,H6178&lt;=01_因子設定!$M$8+0.000000001,IF(01_因子設定!$B$20="Box-Behnken",E6178^2+F6178^2+G6178^2+H6178^2&lt;=2+0.000000001,TRUE()))</f>
        <v>1</v>
      </c>
      <c r="AD6178" s="55" t="n">
        <f aca="false">IF(AC6178,IF(01_因子設定!$B$13="最大化",AA6178-01_因子設定!$B$14,IF(01_因子設定!$B$13="最小化",01_因子設定!$B$15-AB6178,MIN(AA6178-01_因子設定!$B$14,01_因子設定!$B$15-AB6178))),-1E+030)</f>
        <v>-1.5428106173934</v>
      </c>
      <c r="AE6178" s="55" t="n">
        <f aca="false">IF(AC6178,IF(01_因子設定!$B$13="最大化",X6178,IF(01_因子設定!$B$13="最小化",-X6178,-ABS(X6178-01_因子設定!$B$16))),-1E+030)</f>
        <v>46.6295869883042</v>
      </c>
      <c r="AF6178" s="55" t="n">
        <f aca="false">AD6178+ROW()*0.000000001</f>
        <v>-1.5428044393934</v>
      </c>
      <c r="AG6178" s="55" t="n">
        <f aca="false">AE6178+ROW()*0.000000001</f>
        <v>46.6295931663042</v>
      </c>
    </row>
    <row r="6179" customFormat="false" ht="15" hidden="false" customHeight="false" outlineLevel="0" collapsed="false">
      <c r="A6179" s="0" t="n">
        <v>8</v>
      </c>
      <c r="B6179" s="0" t="n">
        <v>4</v>
      </c>
      <c r="C6179" s="0" t="n">
        <v>2</v>
      </c>
      <c r="D6179" s="0" t="n">
        <v>0</v>
      </c>
      <c r="E6179" s="0" t="n">
        <f aca="false">-1+A6179*0.25</f>
        <v>1</v>
      </c>
      <c r="F6179" s="0" t="n">
        <f aca="false">-1+B6179*0.25</f>
        <v>0</v>
      </c>
      <c r="G6179" s="0" t="n">
        <f aca="false">-1+C6179*0.25</f>
        <v>-0.5</v>
      </c>
      <c r="H6179" s="0" t="n">
        <f aca="false">-1+D6179*0.25</f>
        <v>-1</v>
      </c>
      <c r="I6179" s="0" t="n">
        <f aca="false">1</f>
        <v>1</v>
      </c>
      <c r="J6179" s="0" t="n">
        <f aca="false">E6179</f>
        <v>1</v>
      </c>
      <c r="K6179" s="0" t="n">
        <f aca="false">F6179</f>
        <v>0</v>
      </c>
      <c r="L6179" s="0" t="n">
        <f aca="false">G6179</f>
        <v>-0.5</v>
      </c>
      <c r="M6179" s="0" t="n">
        <f aca="false">H6179</f>
        <v>-1</v>
      </c>
      <c r="N6179" s="0" t="n">
        <f aca="false">E6179*F6179</f>
        <v>0</v>
      </c>
      <c r="O6179" s="0" t="n">
        <f aca="false">E6179*G6179</f>
        <v>-0.5</v>
      </c>
      <c r="P6179" s="0" t="n">
        <f aca="false">E6179*H6179</f>
        <v>-1</v>
      </c>
      <c r="Q6179" s="0" t="n">
        <f aca="false">F6179*G6179</f>
        <v>-0</v>
      </c>
      <c r="R6179" s="0" t="n">
        <f aca="false">F6179*H6179</f>
        <v>-0</v>
      </c>
      <c r="S6179" s="0" t="n">
        <f aca="false">G6179*H6179</f>
        <v>0.5</v>
      </c>
      <c r="T6179" s="0" t="n">
        <f aca="false">E6179*E6179</f>
        <v>1</v>
      </c>
      <c r="U6179" s="0" t="n">
        <f aca="false">F6179*F6179</f>
        <v>0</v>
      </c>
      <c r="V6179" s="0" t="n">
        <f aca="false">G6179*G6179</f>
        <v>0.25</v>
      </c>
      <c r="W6179" s="0" t="n">
        <f aca="false">H6179*H6179</f>
        <v>1</v>
      </c>
      <c r="X6179" s="0" t="n">
        <f aca="false">SUMPRODUCT(I6179:W6179,_XtX!$B$96:$P$96)</f>
        <v>46.224451754386</v>
      </c>
      <c r="Y6179" s="0" t="n">
        <f aca="false">SUMPRODUCT(MMULT(I6179:W6179,_XtX!$B$78:$P$92),I6179:W6179)</f>
        <v>0.650767543859649</v>
      </c>
      <c r="Z6179" s="0" t="n">
        <f aca="false">04_回帰ANOVA!$K$19*04_回帰ANOVA!$K$14*SQRT(1+Y6179)</f>
        <v>1.67471670935165</v>
      </c>
      <c r="AA6179" s="0" t="n">
        <f aca="false">X6179-Z6179</f>
        <v>44.5497350450344</v>
      </c>
      <c r="AB6179" s="0" t="n">
        <f aca="false">X6179+Z6179</f>
        <v>47.8991684637377</v>
      </c>
      <c r="AC6179" s="54" t="b">
        <f aca="false">AND(E6179&gt;=01_因子設定!$L$5-0.000000001,E6179&lt;=01_因子設定!$M$5+0.000000001,F6179&gt;=01_因子設定!$L$6-0.000000001,F6179&lt;=01_因子設定!$M$6+0.000000001,G6179&gt;=01_因子設定!$L$7-0.000000001,G6179&lt;=01_因子設定!$M$7+0.000000001,H6179&gt;=01_因子設定!$L$8-0.000000001,H6179&lt;=01_因子設定!$M$8+0.000000001,IF(01_因子設定!$B$20="Box-Behnken",E6179^2+F6179^2+G6179^2+H6179^2&lt;=2+0.000000001,TRUE()))</f>
        <v>1</v>
      </c>
      <c r="AD6179" s="55" t="n">
        <f aca="false">IF(AC6179,IF(01_因子設定!$B$13="最大化",AA6179-01_因子設定!$B$14,IF(01_因子設定!$B$13="最小化",01_因子設定!$B$15-AB6179,MIN(AA6179-01_因子設定!$B$14,01_因子設定!$B$15-AB6179))),-1E+030)</f>
        <v>-1.95026495496562</v>
      </c>
      <c r="AE6179" s="55" t="n">
        <f aca="false">IF(AC6179,IF(01_因子設定!$B$13="最大化",X6179,IF(01_因子設定!$B$13="最小化",-X6179,-ABS(X6179-01_因子設定!$B$16))),-1E+030)</f>
        <v>46.224451754386</v>
      </c>
      <c r="AF6179" s="55" t="n">
        <f aca="false">AD6179+ROW()*0.000000001</f>
        <v>-1.95025877596562</v>
      </c>
      <c r="AG6179" s="55" t="n">
        <f aca="false">AE6179+ROW()*0.000000001</f>
        <v>46.224457933386</v>
      </c>
    </row>
    <row r="6180" customFormat="false" ht="15" hidden="false" customHeight="false" outlineLevel="0" collapsed="false">
      <c r="A6180" s="0" t="n">
        <v>8</v>
      </c>
      <c r="B6180" s="0" t="n">
        <v>4</v>
      </c>
      <c r="C6180" s="0" t="n">
        <v>2</v>
      </c>
      <c r="D6180" s="0" t="n">
        <v>1</v>
      </c>
      <c r="E6180" s="0" t="n">
        <f aca="false">-1+A6180*0.25</f>
        <v>1</v>
      </c>
      <c r="F6180" s="0" t="n">
        <f aca="false">-1+B6180*0.25</f>
        <v>0</v>
      </c>
      <c r="G6180" s="0" t="n">
        <f aca="false">-1+C6180*0.25</f>
        <v>-0.5</v>
      </c>
      <c r="H6180" s="0" t="n">
        <f aca="false">-1+D6180*0.25</f>
        <v>-0.75</v>
      </c>
      <c r="I6180" s="0" t="n">
        <f aca="false">1</f>
        <v>1</v>
      </c>
      <c r="J6180" s="0" t="n">
        <f aca="false">E6180</f>
        <v>1</v>
      </c>
      <c r="K6180" s="0" t="n">
        <f aca="false">F6180</f>
        <v>0</v>
      </c>
      <c r="L6180" s="0" t="n">
        <f aca="false">G6180</f>
        <v>-0.5</v>
      </c>
      <c r="M6180" s="0" t="n">
        <f aca="false">H6180</f>
        <v>-0.75</v>
      </c>
      <c r="N6180" s="0" t="n">
        <f aca="false">E6180*F6180</f>
        <v>0</v>
      </c>
      <c r="O6180" s="0" t="n">
        <f aca="false">E6180*G6180</f>
        <v>-0.5</v>
      </c>
      <c r="P6180" s="0" t="n">
        <f aca="false">E6180*H6180</f>
        <v>-0.75</v>
      </c>
      <c r="Q6180" s="0" t="n">
        <f aca="false">F6180*G6180</f>
        <v>-0</v>
      </c>
      <c r="R6180" s="0" t="n">
        <f aca="false">F6180*H6180</f>
        <v>-0</v>
      </c>
      <c r="S6180" s="0" t="n">
        <f aca="false">G6180*H6180</f>
        <v>0.375</v>
      </c>
      <c r="T6180" s="0" t="n">
        <f aca="false">E6180*E6180</f>
        <v>1</v>
      </c>
      <c r="U6180" s="0" t="n">
        <f aca="false">F6180*F6180</f>
        <v>0</v>
      </c>
      <c r="V6180" s="0" t="n">
        <f aca="false">G6180*G6180</f>
        <v>0.25</v>
      </c>
      <c r="W6180" s="0" t="n">
        <f aca="false">H6180*H6180</f>
        <v>0.5625</v>
      </c>
      <c r="X6180" s="0" t="n">
        <f aca="false">SUMPRODUCT(I6180:W6180,_XtX!$B$96:$P$96)</f>
        <v>46.4884777046784</v>
      </c>
      <c r="Y6180" s="0" t="n">
        <f aca="false">SUMPRODUCT(MMULT(I6180:W6180,_XtX!$B$78:$P$92),I6180:W6180)</f>
        <v>0.476191292032164</v>
      </c>
      <c r="Z6180" s="0" t="n">
        <f aca="false">04_回帰ANOVA!$K$19*04_回帰ANOVA!$K$14*SQRT(1+Y6180)</f>
        <v>1.58368831471718</v>
      </c>
      <c r="AA6180" s="0" t="n">
        <f aca="false">X6180-Z6180</f>
        <v>44.9047893899612</v>
      </c>
      <c r="AB6180" s="0" t="n">
        <f aca="false">X6180+Z6180</f>
        <v>48.0721660193956</v>
      </c>
      <c r="AC6180" s="54" t="b">
        <f aca="false">AND(E6180&gt;=01_因子設定!$L$5-0.000000001,E6180&lt;=01_因子設定!$M$5+0.000000001,F6180&gt;=01_因子設定!$L$6-0.000000001,F6180&lt;=01_因子設定!$M$6+0.000000001,G6180&gt;=01_因子設定!$L$7-0.000000001,G6180&lt;=01_因子設定!$M$7+0.000000001,H6180&gt;=01_因子設定!$L$8-0.000000001,H6180&lt;=01_因子設定!$M$8+0.000000001,IF(01_因子設定!$B$20="Box-Behnken",E6180^2+F6180^2+G6180^2+H6180^2&lt;=2+0.000000001,TRUE()))</f>
        <v>1</v>
      </c>
      <c r="AD6180" s="55" t="n">
        <f aca="false">IF(AC6180,IF(01_因子設定!$B$13="最大化",AA6180-01_因子設定!$B$14,IF(01_因子設定!$B$13="最小化",01_因子設定!$B$15-AB6180,MIN(AA6180-01_因子設定!$B$14,01_因子設定!$B$15-AB6180))),-1E+030)</f>
        <v>-1.59521061003877</v>
      </c>
      <c r="AE6180" s="55" t="n">
        <f aca="false">IF(AC6180,IF(01_因子設定!$B$13="最大化",X6180,IF(01_因子設定!$B$13="最小化",-X6180,-ABS(X6180-01_因子設定!$B$16))),-1E+030)</f>
        <v>46.4884777046784</v>
      </c>
      <c r="AF6180" s="55" t="n">
        <f aca="false">AD6180+ROW()*0.000000001</f>
        <v>-1.59520443003877</v>
      </c>
      <c r="AG6180" s="55" t="n">
        <f aca="false">AE6180+ROW()*0.000000001</f>
        <v>46.4884838846784</v>
      </c>
    </row>
    <row r="6181" customFormat="false" ht="15" hidden="false" customHeight="false" outlineLevel="0" collapsed="false">
      <c r="A6181" s="0" t="n">
        <v>8</v>
      </c>
      <c r="B6181" s="0" t="n">
        <v>4</v>
      </c>
      <c r="C6181" s="0" t="n">
        <v>2</v>
      </c>
      <c r="D6181" s="0" t="n">
        <v>2</v>
      </c>
      <c r="E6181" s="0" t="n">
        <f aca="false">-1+A6181*0.25</f>
        <v>1</v>
      </c>
      <c r="F6181" s="0" t="n">
        <f aca="false">-1+B6181*0.25</f>
        <v>0</v>
      </c>
      <c r="G6181" s="0" t="n">
        <f aca="false">-1+C6181*0.25</f>
        <v>-0.5</v>
      </c>
      <c r="H6181" s="0" t="n">
        <f aca="false">-1+D6181*0.25</f>
        <v>-0.5</v>
      </c>
      <c r="I6181" s="0" t="n">
        <f aca="false">1</f>
        <v>1</v>
      </c>
      <c r="J6181" s="0" t="n">
        <f aca="false">E6181</f>
        <v>1</v>
      </c>
      <c r="K6181" s="0" t="n">
        <f aca="false">F6181</f>
        <v>0</v>
      </c>
      <c r="L6181" s="0" t="n">
        <f aca="false">G6181</f>
        <v>-0.5</v>
      </c>
      <c r="M6181" s="0" t="n">
        <f aca="false">H6181</f>
        <v>-0.5</v>
      </c>
      <c r="N6181" s="0" t="n">
        <f aca="false">E6181*F6181</f>
        <v>0</v>
      </c>
      <c r="O6181" s="0" t="n">
        <f aca="false">E6181*G6181</f>
        <v>-0.5</v>
      </c>
      <c r="P6181" s="0" t="n">
        <f aca="false">E6181*H6181</f>
        <v>-0.5</v>
      </c>
      <c r="Q6181" s="0" t="n">
        <f aca="false">F6181*G6181</f>
        <v>-0</v>
      </c>
      <c r="R6181" s="0" t="n">
        <f aca="false">F6181*H6181</f>
        <v>-0</v>
      </c>
      <c r="S6181" s="0" t="n">
        <f aca="false">G6181*H6181</f>
        <v>0.25</v>
      </c>
      <c r="T6181" s="0" t="n">
        <f aca="false">E6181*E6181</f>
        <v>1</v>
      </c>
      <c r="U6181" s="0" t="n">
        <f aca="false">F6181*F6181</f>
        <v>0</v>
      </c>
      <c r="V6181" s="0" t="n">
        <f aca="false">G6181*G6181</f>
        <v>0.25</v>
      </c>
      <c r="W6181" s="0" t="n">
        <f aca="false">H6181*H6181</f>
        <v>0.25</v>
      </c>
      <c r="X6181" s="0" t="n">
        <f aca="false">SUMPRODUCT(I6181:W6181,_XtX!$B$96:$P$96)</f>
        <v>46.7046966374269</v>
      </c>
      <c r="Y6181" s="0" t="n">
        <f aca="false">SUMPRODUCT(MMULT(I6181:W6181,_XtX!$B$78:$P$92),I6181:W6181)</f>
        <v>0.441954495614035</v>
      </c>
      <c r="Z6181" s="0" t="n">
        <f aca="false">04_回帰ANOVA!$K$19*04_回帰ANOVA!$K$14*SQRT(1+Y6181)</f>
        <v>1.56521560968066</v>
      </c>
      <c r="AA6181" s="0" t="n">
        <f aca="false">X6181-Z6181</f>
        <v>45.1394810277463</v>
      </c>
      <c r="AB6181" s="0" t="n">
        <f aca="false">X6181+Z6181</f>
        <v>48.2699122471076</v>
      </c>
      <c r="AC6181" s="54" t="b">
        <f aca="false">AND(E6181&gt;=01_因子設定!$L$5-0.000000001,E6181&lt;=01_因子設定!$M$5+0.000000001,F6181&gt;=01_因子設定!$L$6-0.000000001,F6181&lt;=01_因子設定!$M$6+0.000000001,G6181&gt;=01_因子設定!$L$7-0.000000001,G6181&lt;=01_因子設定!$M$7+0.000000001,H6181&gt;=01_因子設定!$L$8-0.000000001,H6181&lt;=01_因子設定!$M$8+0.000000001,IF(01_因子設定!$B$20="Box-Behnken",E6181^2+F6181^2+G6181^2+H6181^2&lt;=2+0.000000001,TRUE()))</f>
        <v>1</v>
      </c>
      <c r="AD6181" s="55" t="n">
        <f aca="false">IF(AC6181,IF(01_因子設定!$B$13="最大化",AA6181-01_因子設定!$B$14,IF(01_因子設定!$B$13="最小化",01_因子設定!$B$15-AB6181,MIN(AA6181-01_因子設定!$B$14,01_因子設定!$B$15-AB6181))),-1E+030)</f>
        <v>-1.36051897225373</v>
      </c>
      <c r="AE6181" s="55" t="n">
        <f aca="false">IF(AC6181,IF(01_因子設定!$B$13="最大化",X6181,IF(01_因子設定!$B$13="最小化",-X6181,-ABS(X6181-01_因子設定!$B$16))),-1E+030)</f>
        <v>46.7046966374269</v>
      </c>
      <c r="AF6181" s="55" t="n">
        <f aca="false">AD6181+ROW()*0.000000001</f>
        <v>-1.36051279125373</v>
      </c>
      <c r="AG6181" s="55" t="n">
        <f aca="false">AE6181+ROW()*0.000000001</f>
        <v>46.7047028184269</v>
      </c>
    </row>
    <row r="6182" customFormat="false" ht="15" hidden="false" customHeight="false" outlineLevel="0" collapsed="false">
      <c r="A6182" s="0" t="n">
        <v>8</v>
      </c>
      <c r="B6182" s="0" t="n">
        <v>4</v>
      </c>
      <c r="C6182" s="0" t="n">
        <v>2</v>
      </c>
      <c r="D6182" s="0" t="n">
        <v>3</v>
      </c>
      <c r="E6182" s="0" t="n">
        <f aca="false">-1+A6182*0.25</f>
        <v>1</v>
      </c>
      <c r="F6182" s="0" t="n">
        <f aca="false">-1+B6182*0.25</f>
        <v>0</v>
      </c>
      <c r="G6182" s="0" t="n">
        <f aca="false">-1+C6182*0.25</f>
        <v>-0.5</v>
      </c>
      <c r="H6182" s="0" t="n">
        <f aca="false">-1+D6182*0.25</f>
        <v>-0.25</v>
      </c>
      <c r="I6182" s="0" t="n">
        <f aca="false">1</f>
        <v>1</v>
      </c>
      <c r="J6182" s="0" t="n">
        <f aca="false">E6182</f>
        <v>1</v>
      </c>
      <c r="K6182" s="0" t="n">
        <f aca="false">F6182</f>
        <v>0</v>
      </c>
      <c r="L6182" s="0" t="n">
        <f aca="false">G6182</f>
        <v>-0.5</v>
      </c>
      <c r="M6182" s="0" t="n">
        <f aca="false">H6182</f>
        <v>-0.25</v>
      </c>
      <c r="N6182" s="0" t="n">
        <f aca="false">E6182*F6182</f>
        <v>0</v>
      </c>
      <c r="O6182" s="0" t="n">
        <f aca="false">E6182*G6182</f>
        <v>-0.5</v>
      </c>
      <c r="P6182" s="0" t="n">
        <f aca="false">E6182*H6182</f>
        <v>-0.25</v>
      </c>
      <c r="Q6182" s="0" t="n">
        <f aca="false">F6182*G6182</f>
        <v>-0</v>
      </c>
      <c r="R6182" s="0" t="n">
        <f aca="false">F6182*H6182</f>
        <v>-0</v>
      </c>
      <c r="S6182" s="0" t="n">
        <f aca="false">G6182*H6182</f>
        <v>0.125</v>
      </c>
      <c r="T6182" s="0" t="n">
        <f aca="false">E6182*E6182</f>
        <v>1</v>
      </c>
      <c r="U6182" s="0" t="n">
        <f aca="false">F6182*F6182</f>
        <v>0</v>
      </c>
      <c r="V6182" s="0" t="n">
        <f aca="false">G6182*G6182</f>
        <v>0.25</v>
      </c>
      <c r="W6182" s="0" t="n">
        <f aca="false">H6182*H6182</f>
        <v>0.0625</v>
      </c>
      <c r="X6182" s="0" t="n">
        <f aca="false">SUMPRODUCT(I6182:W6182,_XtX!$B$96:$P$96)</f>
        <v>46.8731085526316</v>
      </c>
      <c r="Y6182" s="0" t="n">
        <f aca="false">SUMPRODUCT(MMULT(I6182:W6182,_XtX!$B$78:$P$92),I6182:W6182)</f>
        <v>0.457596628289474</v>
      </c>
      <c r="Z6182" s="0" t="n">
        <f aca="false">04_回帰ANOVA!$K$19*04_回帰ANOVA!$K$14*SQRT(1+Y6182)</f>
        <v>1.57368233664366</v>
      </c>
      <c r="AA6182" s="0" t="n">
        <f aca="false">X6182-Z6182</f>
        <v>45.299426215988</v>
      </c>
      <c r="AB6182" s="0" t="n">
        <f aca="false">X6182+Z6182</f>
        <v>48.4467908892753</v>
      </c>
      <c r="AC6182" s="54" t="b">
        <f aca="false">AND(E6182&gt;=01_因子設定!$L$5-0.000000001,E6182&lt;=01_因子設定!$M$5+0.000000001,F6182&gt;=01_因子設定!$L$6-0.000000001,F6182&lt;=01_因子設定!$M$6+0.000000001,G6182&gt;=01_因子設定!$L$7-0.000000001,G6182&lt;=01_因子設定!$M$7+0.000000001,H6182&gt;=01_因子設定!$L$8-0.000000001,H6182&lt;=01_因子設定!$M$8+0.000000001,IF(01_因子設定!$B$20="Box-Behnken",E6182^2+F6182^2+G6182^2+H6182^2&lt;=2+0.000000001,TRUE()))</f>
        <v>1</v>
      </c>
      <c r="AD6182" s="55" t="n">
        <f aca="false">IF(AC6182,IF(01_因子設定!$B$13="最大化",AA6182-01_因子設定!$B$14,IF(01_因子設定!$B$13="最小化",01_因子設定!$B$15-AB6182,MIN(AA6182-01_因子設定!$B$14,01_因子設定!$B$15-AB6182))),-1E+030)</f>
        <v>-1.20057378401205</v>
      </c>
      <c r="AE6182" s="55" t="n">
        <f aca="false">IF(AC6182,IF(01_因子設定!$B$13="最大化",X6182,IF(01_因子設定!$B$13="最小化",-X6182,-ABS(X6182-01_因子設定!$B$16))),-1E+030)</f>
        <v>46.8731085526316</v>
      </c>
      <c r="AF6182" s="55" t="n">
        <f aca="false">AD6182+ROW()*0.000000001</f>
        <v>-1.20056760201205</v>
      </c>
      <c r="AG6182" s="55" t="n">
        <f aca="false">AE6182+ROW()*0.000000001</f>
        <v>46.8731147346316</v>
      </c>
    </row>
    <row r="6183" customFormat="false" ht="15" hidden="false" customHeight="false" outlineLevel="0" collapsed="false">
      <c r="A6183" s="0" t="n">
        <v>8</v>
      </c>
      <c r="B6183" s="0" t="n">
        <v>4</v>
      </c>
      <c r="C6183" s="0" t="n">
        <v>2</v>
      </c>
      <c r="D6183" s="0" t="n">
        <v>4</v>
      </c>
      <c r="E6183" s="0" t="n">
        <f aca="false">-1+A6183*0.25</f>
        <v>1</v>
      </c>
      <c r="F6183" s="0" t="n">
        <f aca="false">-1+B6183*0.25</f>
        <v>0</v>
      </c>
      <c r="G6183" s="0" t="n">
        <f aca="false">-1+C6183*0.25</f>
        <v>-0.5</v>
      </c>
      <c r="H6183" s="0" t="n">
        <f aca="false">-1+D6183*0.25</f>
        <v>0</v>
      </c>
      <c r="I6183" s="0" t="n">
        <f aca="false">1</f>
        <v>1</v>
      </c>
      <c r="J6183" s="0" t="n">
        <f aca="false">E6183</f>
        <v>1</v>
      </c>
      <c r="K6183" s="0" t="n">
        <f aca="false">F6183</f>
        <v>0</v>
      </c>
      <c r="L6183" s="0" t="n">
        <f aca="false">G6183</f>
        <v>-0.5</v>
      </c>
      <c r="M6183" s="0" t="n">
        <f aca="false">H6183</f>
        <v>0</v>
      </c>
      <c r="N6183" s="0" t="n">
        <f aca="false">E6183*F6183</f>
        <v>0</v>
      </c>
      <c r="O6183" s="0" t="n">
        <f aca="false">E6183*G6183</f>
        <v>-0.5</v>
      </c>
      <c r="P6183" s="0" t="n">
        <f aca="false">E6183*H6183</f>
        <v>0</v>
      </c>
      <c r="Q6183" s="0" t="n">
        <f aca="false">F6183*G6183</f>
        <v>-0</v>
      </c>
      <c r="R6183" s="0" t="n">
        <f aca="false">F6183*H6183</f>
        <v>0</v>
      </c>
      <c r="S6183" s="0" t="n">
        <f aca="false">G6183*H6183</f>
        <v>-0</v>
      </c>
      <c r="T6183" s="0" t="n">
        <f aca="false">E6183*E6183</f>
        <v>1</v>
      </c>
      <c r="U6183" s="0" t="n">
        <f aca="false">F6183*F6183</f>
        <v>0</v>
      </c>
      <c r="V6183" s="0" t="n">
        <f aca="false">G6183*G6183</f>
        <v>0.25</v>
      </c>
      <c r="W6183" s="0" t="n">
        <f aca="false">H6183*H6183</f>
        <v>0</v>
      </c>
      <c r="X6183" s="0" t="n">
        <f aca="false">SUMPRODUCT(I6183:W6183,_XtX!$B$96:$P$96)</f>
        <v>46.9937134502924</v>
      </c>
      <c r="Y6183" s="0" t="n">
        <f aca="false">SUMPRODUCT(MMULT(I6183:W6183,_XtX!$B$78:$P$92),I6183:W6183)</f>
        <v>0.468841374269006</v>
      </c>
      <c r="Z6183" s="0" t="n">
        <f aca="false">04_回帰ANOVA!$K$19*04_回帰ANOVA!$K$14*SQRT(1+Y6183)</f>
        <v>1.57974082366087</v>
      </c>
      <c r="AA6183" s="0" t="n">
        <f aca="false">X6183-Z6183</f>
        <v>45.4139726266316</v>
      </c>
      <c r="AB6183" s="0" t="n">
        <f aca="false">X6183+Z6183</f>
        <v>48.5734542739533</v>
      </c>
      <c r="AC6183" s="54" t="b">
        <f aca="false">AND(E6183&gt;=01_因子設定!$L$5-0.000000001,E6183&lt;=01_因子設定!$M$5+0.000000001,F6183&gt;=01_因子設定!$L$6-0.000000001,F6183&lt;=01_因子設定!$M$6+0.000000001,G6183&gt;=01_因子設定!$L$7-0.000000001,G6183&lt;=01_因子設定!$M$7+0.000000001,H6183&gt;=01_因子設定!$L$8-0.000000001,H6183&lt;=01_因子設定!$M$8+0.000000001,IF(01_因子設定!$B$20="Box-Behnken",E6183^2+F6183^2+G6183^2+H6183^2&lt;=2+0.000000001,TRUE()))</f>
        <v>1</v>
      </c>
      <c r="AD6183" s="55" t="n">
        <f aca="false">IF(AC6183,IF(01_因子設定!$B$13="最大化",AA6183-01_因子設定!$B$14,IF(01_因子設定!$B$13="最小化",01_因子設定!$B$15-AB6183,MIN(AA6183-01_因子設定!$B$14,01_因子設定!$B$15-AB6183))),-1E+030)</f>
        <v>-1.08602737336845</v>
      </c>
      <c r="AE6183" s="55" t="n">
        <f aca="false">IF(AC6183,IF(01_因子設定!$B$13="最大化",X6183,IF(01_因子設定!$B$13="最小化",-X6183,-ABS(X6183-01_因子設定!$B$16))),-1E+030)</f>
        <v>46.9937134502924</v>
      </c>
      <c r="AF6183" s="55" t="n">
        <f aca="false">AD6183+ROW()*0.000000001</f>
        <v>-1.08602119036845</v>
      </c>
      <c r="AG6183" s="55" t="n">
        <f aca="false">AE6183+ROW()*0.000000001</f>
        <v>46.9937196332924</v>
      </c>
    </row>
    <row r="6184" customFormat="false" ht="15" hidden="false" customHeight="false" outlineLevel="0" collapsed="false">
      <c r="A6184" s="0" t="n">
        <v>8</v>
      </c>
      <c r="B6184" s="0" t="n">
        <v>4</v>
      </c>
      <c r="C6184" s="0" t="n">
        <v>2</v>
      </c>
      <c r="D6184" s="0" t="n">
        <v>5</v>
      </c>
      <c r="E6184" s="0" t="n">
        <f aca="false">-1+A6184*0.25</f>
        <v>1</v>
      </c>
      <c r="F6184" s="0" t="n">
        <f aca="false">-1+B6184*0.25</f>
        <v>0</v>
      </c>
      <c r="G6184" s="0" t="n">
        <f aca="false">-1+C6184*0.25</f>
        <v>-0.5</v>
      </c>
      <c r="H6184" s="0" t="n">
        <f aca="false">-1+D6184*0.25</f>
        <v>0.25</v>
      </c>
      <c r="I6184" s="0" t="n">
        <f aca="false">1</f>
        <v>1</v>
      </c>
      <c r="J6184" s="0" t="n">
        <f aca="false">E6184</f>
        <v>1</v>
      </c>
      <c r="K6184" s="0" t="n">
        <f aca="false">F6184</f>
        <v>0</v>
      </c>
      <c r="L6184" s="0" t="n">
        <f aca="false">G6184</f>
        <v>-0.5</v>
      </c>
      <c r="M6184" s="0" t="n">
        <f aca="false">H6184</f>
        <v>0.25</v>
      </c>
      <c r="N6184" s="0" t="n">
        <f aca="false">E6184*F6184</f>
        <v>0</v>
      </c>
      <c r="O6184" s="0" t="n">
        <f aca="false">E6184*G6184</f>
        <v>-0.5</v>
      </c>
      <c r="P6184" s="0" t="n">
        <f aca="false">E6184*H6184</f>
        <v>0.25</v>
      </c>
      <c r="Q6184" s="0" t="n">
        <f aca="false">F6184*G6184</f>
        <v>-0</v>
      </c>
      <c r="R6184" s="0" t="n">
        <f aca="false">F6184*H6184</f>
        <v>0</v>
      </c>
      <c r="S6184" s="0" t="n">
        <f aca="false">G6184*H6184</f>
        <v>-0.125</v>
      </c>
      <c r="T6184" s="0" t="n">
        <f aca="false">E6184*E6184</f>
        <v>1</v>
      </c>
      <c r="U6184" s="0" t="n">
        <f aca="false">F6184*F6184</f>
        <v>0</v>
      </c>
      <c r="V6184" s="0" t="n">
        <f aca="false">G6184*G6184</f>
        <v>0.25</v>
      </c>
      <c r="W6184" s="0" t="n">
        <f aca="false">H6184*H6184</f>
        <v>0.0625</v>
      </c>
      <c r="X6184" s="0" t="n">
        <f aca="false">SUMPRODUCT(I6184:W6184,_XtX!$B$96:$P$96)</f>
        <v>47.0665113304094</v>
      </c>
      <c r="Y6184" s="0" t="n">
        <f aca="false">SUMPRODUCT(MMULT(I6184:W6184,_XtX!$B$78:$P$92),I6184:W6184)</f>
        <v>0.457596628289474</v>
      </c>
      <c r="Z6184" s="0" t="n">
        <f aca="false">04_回帰ANOVA!$K$19*04_回帰ANOVA!$K$14*SQRT(1+Y6184)</f>
        <v>1.57368233664366</v>
      </c>
      <c r="AA6184" s="0" t="n">
        <f aca="false">X6184-Z6184</f>
        <v>45.4928289937657</v>
      </c>
      <c r="AB6184" s="0" t="n">
        <f aca="false">X6184+Z6184</f>
        <v>48.640193667053</v>
      </c>
      <c r="AC6184" s="54" t="b">
        <f aca="false">AND(E6184&gt;=01_因子設定!$L$5-0.000000001,E6184&lt;=01_因子設定!$M$5+0.000000001,F6184&gt;=01_因子設定!$L$6-0.000000001,F6184&lt;=01_因子設定!$M$6+0.000000001,G6184&gt;=01_因子設定!$L$7-0.000000001,G6184&lt;=01_因子設定!$M$7+0.000000001,H6184&gt;=01_因子設定!$L$8-0.000000001,H6184&lt;=01_因子設定!$M$8+0.000000001,IF(01_因子設定!$B$20="Box-Behnken",E6184^2+F6184^2+G6184^2+H6184^2&lt;=2+0.000000001,TRUE()))</f>
        <v>1</v>
      </c>
      <c r="AD6184" s="55" t="n">
        <f aca="false">IF(AC6184,IF(01_因子設定!$B$13="最大化",AA6184-01_因子設定!$B$14,IF(01_因子設定!$B$13="最小化",01_因子設定!$B$15-AB6184,MIN(AA6184-01_因子設定!$B$14,01_因子設定!$B$15-AB6184))),-1E+030)</f>
        <v>-1.00717100623427</v>
      </c>
      <c r="AE6184" s="55" t="n">
        <f aca="false">IF(AC6184,IF(01_因子設定!$B$13="最大化",X6184,IF(01_因子設定!$B$13="最小化",-X6184,-ABS(X6184-01_因子設定!$B$16))),-1E+030)</f>
        <v>47.0665113304094</v>
      </c>
      <c r="AF6184" s="55" t="n">
        <f aca="false">AD6184+ROW()*0.000000001</f>
        <v>-1.00716482223427</v>
      </c>
      <c r="AG6184" s="55" t="n">
        <f aca="false">AE6184+ROW()*0.000000001</f>
        <v>47.0665175144094</v>
      </c>
    </row>
    <row r="6185" customFormat="false" ht="15" hidden="false" customHeight="false" outlineLevel="0" collapsed="false">
      <c r="A6185" s="0" t="n">
        <v>8</v>
      </c>
      <c r="B6185" s="0" t="n">
        <v>4</v>
      </c>
      <c r="C6185" s="0" t="n">
        <v>2</v>
      </c>
      <c r="D6185" s="0" t="n">
        <v>6</v>
      </c>
      <c r="E6185" s="0" t="n">
        <f aca="false">-1+A6185*0.25</f>
        <v>1</v>
      </c>
      <c r="F6185" s="0" t="n">
        <f aca="false">-1+B6185*0.25</f>
        <v>0</v>
      </c>
      <c r="G6185" s="0" t="n">
        <f aca="false">-1+C6185*0.25</f>
        <v>-0.5</v>
      </c>
      <c r="H6185" s="0" t="n">
        <f aca="false">-1+D6185*0.25</f>
        <v>0.5</v>
      </c>
      <c r="I6185" s="0" t="n">
        <f aca="false">1</f>
        <v>1</v>
      </c>
      <c r="J6185" s="0" t="n">
        <f aca="false">E6185</f>
        <v>1</v>
      </c>
      <c r="K6185" s="0" t="n">
        <f aca="false">F6185</f>
        <v>0</v>
      </c>
      <c r="L6185" s="0" t="n">
        <f aca="false">G6185</f>
        <v>-0.5</v>
      </c>
      <c r="M6185" s="0" t="n">
        <f aca="false">H6185</f>
        <v>0.5</v>
      </c>
      <c r="N6185" s="0" t="n">
        <f aca="false">E6185*F6185</f>
        <v>0</v>
      </c>
      <c r="O6185" s="0" t="n">
        <f aca="false">E6185*G6185</f>
        <v>-0.5</v>
      </c>
      <c r="P6185" s="0" t="n">
        <f aca="false">E6185*H6185</f>
        <v>0.5</v>
      </c>
      <c r="Q6185" s="0" t="n">
        <f aca="false">F6185*G6185</f>
        <v>-0</v>
      </c>
      <c r="R6185" s="0" t="n">
        <f aca="false">F6185*H6185</f>
        <v>0</v>
      </c>
      <c r="S6185" s="0" t="n">
        <f aca="false">G6185*H6185</f>
        <v>-0.25</v>
      </c>
      <c r="T6185" s="0" t="n">
        <f aca="false">E6185*E6185</f>
        <v>1</v>
      </c>
      <c r="U6185" s="0" t="n">
        <f aca="false">F6185*F6185</f>
        <v>0</v>
      </c>
      <c r="V6185" s="0" t="n">
        <f aca="false">G6185*G6185</f>
        <v>0.25</v>
      </c>
      <c r="W6185" s="0" t="n">
        <f aca="false">H6185*H6185</f>
        <v>0.25</v>
      </c>
      <c r="X6185" s="0" t="n">
        <f aca="false">SUMPRODUCT(I6185:W6185,_XtX!$B$96:$P$96)</f>
        <v>47.0915021929825</v>
      </c>
      <c r="Y6185" s="0" t="n">
        <f aca="false">SUMPRODUCT(MMULT(I6185:W6185,_XtX!$B$78:$P$92),I6185:W6185)</f>
        <v>0.441954495614035</v>
      </c>
      <c r="Z6185" s="0" t="n">
        <f aca="false">04_回帰ANOVA!$K$19*04_回帰ANOVA!$K$14*SQRT(1+Y6185)</f>
        <v>1.56521560968066</v>
      </c>
      <c r="AA6185" s="0" t="n">
        <f aca="false">X6185-Z6185</f>
        <v>45.5262865833018</v>
      </c>
      <c r="AB6185" s="0" t="n">
        <f aca="false">X6185+Z6185</f>
        <v>48.6567178026632</v>
      </c>
      <c r="AC6185" s="54" t="b">
        <f aca="false">AND(E6185&gt;=01_因子設定!$L$5-0.000000001,E6185&lt;=01_因子設定!$M$5+0.000000001,F6185&gt;=01_因子設定!$L$6-0.000000001,F6185&lt;=01_因子設定!$M$6+0.000000001,G6185&gt;=01_因子設定!$L$7-0.000000001,G6185&lt;=01_因子設定!$M$7+0.000000001,H6185&gt;=01_因子設定!$L$8-0.000000001,H6185&lt;=01_因子設定!$M$8+0.000000001,IF(01_因子設定!$B$20="Box-Behnken",E6185^2+F6185^2+G6185^2+H6185^2&lt;=2+0.000000001,TRUE()))</f>
        <v>1</v>
      </c>
      <c r="AD6185" s="55" t="n">
        <f aca="false">IF(AC6185,IF(01_因子設定!$B$13="最大化",AA6185-01_因子設定!$B$14,IF(01_因子設定!$B$13="最小化",01_因子設定!$B$15-AB6185,MIN(AA6185-01_因子設定!$B$14,01_因子設定!$B$15-AB6185))),-1E+030)</f>
        <v>-0.973713416698175</v>
      </c>
      <c r="AE6185" s="55" t="n">
        <f aca="false">IF(AC6185,IF(01_因子設定!$B$13="最大化",X6185,IF(01_因子設定!$B$13="最小化",-X6185,-ABS(X6185-01_因子設定!$B$16))),-1E+030)</f>
        <v>47.0915021929825</v>
      </c>
      <c r="AF6185" s="55" t="n">
        <f aca="false">AD6185+ROW()*0.000000001</f>
        <v>-0.973707231698175</v>
      </c>
      <c r="AG6185" s="55" t="n">
        <f aca="false">AE6185+ROW()*0.000000001</f>
        <v>47.0915083779825</v>
      </c>
    </row>
    <row r="6186" customFormat="false" ht="15" hidden="false" customHeight="false" outlineLevel="0" collapsed="false">
      <c r="A6186" s="0" t="n">
        <v>8</v>
      </c>
      <c r="B6186" s="0" t="n">
        <v>4</v>
      </c>
      <c r="C6186" s="0" t="n">
        <v>2</v>
      </c>
      <c r="D6186" s="0" t="n">
        <v>7</v>
      </c>
      <c r="E6186" s="0" t="n">
        <f aca="false">-1+A6186*0.25</f>
        <v>1</v>
      </c>
      <c r="F6186" s="0" t="n">
        <f aca="false">-1+B6186*0.25</f>
        <v>0</v>
      </c>
      <c r="G6186" s="0" t="n">
        <f aca="false">-1+C6186*0.25</f>
        <v>-0.5</v>
      </c>
      <c r="H6186" s="0" t="n">
        <f aca="false">-1+D6186*0.25</f>
        <v>0.75</v>
      </c>
      <c r="I6186" s="0" t="n">
        <f aca="false">1</f>
        <v>1</v>
      </c>
      <c r="J6186" s="0" t="n">
        <f aca="false">E6186</f>
        <v>1</v>
      </c>
      <c r="K6186" s="0" t="n">
        <f aca="false">F6186</f>
        <v>0</v>
      </c>
      <c r="L6186" s="0" t="n">
        <f aca="false">G6186</f>
        <v>-0.5</v>
      </c>
      <c r="M6186" s="0" t="n">
        <f aca="false">H6186</f>
        <v>0.75</v>
      </c>
      <c r="N6186" s="0" t="n">
        <f aca="false">E6186*F6186</f>
        <v>0</v>
      </c>
      <c r="O6186" s="0" t="n">
        <f aca="false">E6186*G6186</f>
        <v>-0.5</v>
      </c>
      <c r="P6186" s="0" t="n">
        <f aca="false">E6186*H6186</f>
        <v>0.75</v>
      </c>
      <c r="Q6186" s="0" t="n">
        <f aca="false">F6186*G6186</f>
        <v>-0</v>
      </c>
      <c r="R6186" s="0" t="n">
        <f aca="false">F6186*H6186</f>
        <v>0</v>
      </c>
      <c r="S6186" s="0" t="n">
        <f aca="false">G6186*H6186</f>
        <v>-0.375</v>
      </c>
      <c r="T6186" s="0" t="n">
        <f aca="false">E6186*E6186</f>
        <v>1</v>
      </c>
      <c r="U6186" s="0" t="n">
        <f aca="false">F6186*F6186</f>
        <v>0</v>
      </c>
      <c r="V6186" s="0" t="n">
        <f aca="false">G6186*G6186</f>
        <v>0.25</v>
      </c>
      <c r="W6186" s="0" t="n">
        <f aca="false">H6186*H6186</f>
        <v>0.5625</v>
      </c>
      <c r="X6186" s="0" t="n">
        <f aca="false">SUMPRODUCT(I6186:W6186,_XtX!$B$96:$P$96)</f>
        <v>47.0686860380117</v>
      </c>
      <c r="Y6186" s="0" t="n">
        <f aca="false">SUMPRODUCT(MMULT(I6186:W6186,_XtX!$B$78:$P$92),I6186:W6186)</f>
        <v>0.476191292032164</v>
      </c>
      <c r="Z6186" s="0" t="n">
        <f aca="false">04_回帰ANOVA!$K$19*04_回帰ANOVA!$K$14*SQRT(1+Y6186)</f>
        <v>1.58368831471718</v>
      </c>
      <c r="AA6186" s="0" t="n">
        <f aca="false">X6186-Z6186</f>
        <v>45.4849977232946</v>
      </c>
      <c r="AB6186" s="0" t="n">
        <f aca="false">X6186+Z6186</f>
        <v>48.6523743527289</v>
      </c>
      <c r="AC6186" s="54" t="b">
        <f aca="false">AND(E6186&gt;=01_因子設定!$L$5-0.000000001,E6186&lt;=01_因子設定!$M$5+0.000000001,F6186&gt;=01_因子設定!$L$6-0.000000001,F6186&lt;=01_因子設定!$M$6+0.000000001,G6186&gt;=01_因子設定!$L$7-0.000000001,G6186&lt;=01_因子設定!$M$7+0.000000001,H6186&gt;=01_因子設定!$L$8-0.000000001,H6186&lt;=01_因子設定!$M$8+0.000000001,IF(01_因子設定!$B$20="Box-Behnken",E6186^2+F6186^2+G6186^2+H6186^2&lt;=2+0.000000001,TRUE()))</f>
        <v>1</v>
      </c>
      <c r="AD6186" s="55" t="n">
        <f aca="false">IF(AC6186,IF(01_因子設定!$B$13="最大化",AA6186-01_因子設定!$B$14,IF(01_因子設定!$B$13="最小化",01_因子設定!$B$15-AB6186,MIN(AA6186-01_因子設定!$B$14,01_因子設定!$B$15-AB6186))),-1E+030)</f>
        <v>-1.01500227670544</v>
      </c>
      <c r="AE6186" s="55" t="n">
        <f aca="false">IF(AC6186,IF(01_因子設定!$B$13="最大化",X6186,IF(01_因子設定!$B$13="最小化",-X6186,-ABS(X6186-01_因子設定!$B$16))),-1E+030)</f>
        <v>47.0686860380117</v>
      </c>
      <c r="AF6186" s="55" t="n">
        <f aca="false">AD6186+ROW()*0.000000001</f>
        <v>-1.01499609070544</v>
      </c>
      <c r="AG6186" s="55" t="n">
        <f aca="false">AE6186+ROW()*0.000000001</f>
        <v>47.0686922240117</v>
      </c>
    </row>
    <row r="6187" customFormat="false" ht="15" hidden="false" customHeight="false" outlineLevel="0" collapsed="false">
      <c r="A6187" s="0" t="n">
        <v>8</v>
      </c>
      <c r="B6187" s="0" t="n">
        <v>4</v>
      </c>
      <c r="C6187" s="0" t="n">
        <v>2</v>
      </c>
      <c r="D6187" s="0" t="n">
        <v>8</v>
      </c>
      <c r="E6187" s="0" t="n">
        <f aca="false">-1+A6187*0.25</f>
        <v>1</v>
      </c>
      <c r="F6187" s="0" t="n">
        <f aca="false">-1+B6187*0.25</f>
        <v>0</v>
      </c>
      <c r="G6187" s="0" t="n">
        <f aca="false">-1+C6187*0.25</f>
        <v>-0.5</v>
      </c>
      <c r="H6187" s="0" t="n">
        <f aca="false">-1+D6187*0.25</f>
        <v>1</v>
      </c>
      <c r="I6187" s="0" t="n">
        <f aca="false">1</f>
        <v>1</v>
      </c>
      <c r="J6187" s="0" t="n">
        <f aca="false">E6187</f>
        <v>1</v>
      </c>
      <c r="K6187" s="0" t="n">
        <f aca="false">F6187</f>
        <v>0</v>
      </c>
      <c r="L6187" s="0" t="n">
        <f aca="false">G6187</f>
        <v>-0.5</v>
      </c>
      <c r="M6187" s="0" t="n">
        <f aca="false">H6187</f>
        <v>1</v>
      </c>
      <c r="N6187" s="0" t="n">
        <f aca="false">E6187*F6187</f>
        <v>0</v>
      </c>
      <c r="O6187" s="0" t="n">
        <f aca="false">E6187*G6187</f>
        <v>-0.5</v>
      </c>
      <c r="P6187" s="0" t="n">
        <f aca="false">E6187*H6187</f>
        <v>1</v>
      </c>
      <c r="Q6187" s="0" t="n">
        <f aca="false">F6187*G6187</f>
        <v>-0</v>
      </c>
      <c r="R6187" s="0" t="n">
        <f aca="false">F6187*H6187</f>
        <v>0</v>
      </c>
      <c r="S6187" s="0" t="n">
        <f aca="false">G6187*H6187</f>
        <v>-0.5</v>
      </c>
      <c r="T6187" s="0" t="n">
        <f aca="false">E6187*E6187</f>
        <v>1</v>
      </c>
      <c r="U6187" s="0" t="n">
        <f aca="false">F6187*F6187</f>
        <v>0</v>
      </c>
      <c r="V6187" s="0" t="n">
        <f aca="false">G6187*G6187</f>
        <v>0.25</v>
      </c>
      <c r="W6187" s="0" t="n">
        <f aca="false">H6187*H6187</f>
        <v>1</v>
      </c>
      <c r="X6187" s="0" t="n">
        <f aca="false">SUMPRODUCT(I6187:W6187,_XtX!$B$96:$P$96)</f>
        <v>46.9980628654971</v>
      </c>
      <c r="Y6187" s="0" t="n">
        <f aca="false">SUMPRODUCT(MMULT(I6187:W6187,_XtX!$B$78:$P$92),I6187:W6187)</f>
        <v>0.650767543859649</v>
      </c>
      <c r="Z6187" s="0" t="n">
        <f aca="false">04_回帰ANOVA!$K$19*04_回帰ANOVA!$K$14*SQRT(1+Y6187)</f>
        <v>1.67471670935165</v>
      </c>
      <c r="AA6187" s="0" t="n">
        <f aca="false">X6187-Z6187</f>
        <v>45.3233461561455</v>
      </c>
      <c r="AB6187" s="0" t="n">
        <f aca="false">X6187+Z6187</f>
        <v>48.6727795748488</v>
      </c>
      <c r="AC6187" s="54" t="b">
        <f aca="false">AND(E6187&gt;=01_因子設定!$L$5-0.000000001,E6187&lt;=01_因子設定!$M$5+0.000000001,F6187&gt;=01_因子設定!$L$6-0.000000001,F6187&lt;=01_因子設定!$M$6+0.000000001,G6187&gt;=01_因子設定!$L$7-0.000000001,G6187&lt;=01_因子設定!$M$7+0.000000001,H6187&gt;=01_因子設定!$L$8-0.000000001,H6187&lt;=01_因子設定!$M$8+0.000000001,IF(01_因子設定!$B$20="Box-Behnken",E6187^2+F6187^2+G6187^2+H6187^2&lt;=2+0.000000001,TRUE()))</f>
        <v>1</v>
      </c>
      <c r="AD6187" s="55" t="n">
        <f aca="false">IF(AC6187,IF(01_因子設定!$B$13="最大化",AA6187-01_因子設定!$B$14,IF(01_因子設定!$B$13="最小化",01_因子設定!$B$15-AB6187,MIN(AA6187-01_因子設定!$B$14,01_因子設定!$B$15-AB6187))),-1E+030)</f>
        <v>-1.17665384385451</v>
      </c>
      <c r="AE6187" s="55" t="n">
        <f aca="false">IF(AC6187,IF(01_因子設定!$B$13="最大化",X6187,IF(01_因子設定!$B$13="最小化",-X6187,-ABS(X6187-01_因子設定!$B$16))),-1E+030)</f>
        <v>46.9980628654971</v>
      </c>
      <c r="AF6187" s="55" t="n">
        <f aca="false">AD6187+ROW()*0.000000001</f>
        <v>-1.17664765685451</v>
      </c>
      <c r="AG6187" s="55" t="n">
        <f aca="false">AE6187+ROW()*0.000000001</f>
        <v>46.9980690524971</v>
      </c>
    </row>
    <row r="6188" customFormat="false" ht="15" hidden="false" customHeight="false" outlineLevel="0" collapsed="false">
      <c r="A6188" s="0" t="n">
        <v>8</v>
      </c>
      <c r="B6188" s="0" t="n">
        <v>4</v>
      </c>
      <c r="C6188" s="0" t="n">
        <v>3</v>
      </c>
      <c r="D6188" s="0" t="n">
        <v>0</v>
      </c>
      <c r="E6188" s="0" t="n">
        <f aca="false">-1+A6188*0.25</f>
        <v>1</v>
      </c>
      <c r="F6188" s="0" t="n">
        <f aca="false">-1+B6188*0.25</f>
        <v>0</v>
      </c>
      <c r="G6188" s="0" t="n">
        <f aca="false">-1+C6188*0.25</f>
        <v>-0.25</v>
      </c>
      <c r="H6188" s="0" t="n">
        <f aca="false">-1+D6188*0.25</f>
        <v>-1</v>
      </c>
      <c r="I6188" s="0" t="n">
        <f aca="false">1</f>
        <v>1</v>
      </c>
      <c r="J6188" s="0" t="n">
        <f aca="false">E6188</f>
        <v>1</v>
      </c>
      <c r="K6188" s="0" t="n">
        <f aca="false">F6188</f>
        <v>0</v>
      </c>
      <c r="L6188" s="0" t="n">
        <f aca="false">G6188</f>
        <v>-0.25</v>
      </c>
      <c r="M6188" s="0" t="n">
        <f aca="false">H6188</f>
        <v>-1</v>
      </c>
      <c r="N6188" s="0" t="n">
        <f aca="false">E6188*F6188</f>
        <v>0</v>
      </c>
      <c r="O6188" s="0" t="n">
        <f aca="false">E6188*G6188</f>
        <v>-0.25</v>
      </c>
      <c r="P6188" s="0" t="n">
        <f aca="false">E6188*H6188</f>
        <v>-1</v>
      </c>
      <c r="Q6188" s="0" t="n">
        <f aca="false">F6188*G6188</f>
        <v>-0</v>
      </c>
      <c r="R6188" s="0" t="n">
        <f aca="false">F6188*H6188</f>
        <v>-0</v>
      </c>
      <c r="S6188" s="0" t="n">
        <f aca="false">G6188*H6188</f>
        <v>0.25</v>
      </c>
      <c r="T6188" s="0" t="n">
        <f aca="false">E6188*E6188</f>
        <v>1</v>
      </c>
      <c r="U6188" s="0" t="n">
        <f aca="false">F6188*F6188</f>
        <v>0</v>
      </c>
      <c r="V6188" s="0" t="n">
        <f aca="false">G6188*G6188</f>
        <v>0.0625</v>
      </c>
      <c r="W6188" s="0" t="n">
        <f aca="false">H6188*H6188</f>
        <v>1</v>
      </c>
      <c r="X6188" s="0" t="n">
        <f aca="false">SUMPRODUCT(I6188:W6188,_XtX!$B$96:$P$96)</f>
        <v>46.3638706140352</v>
      </c>
      <c r="Y6188" s="0" t="n">
        <f aca="false">SUMPRODUCT(MMULT(I6188:W6188,_XtX!$B$78:$P$92),I6188:W6188)</f>
        <v>0.689692982456141</v>
      </c>
      <c r="Z6188" s="0" t="n">
        <f aca="false">04_回帰ANOVA!$K$19*04_回帰ANOVA!$K$14*SQRT(1+Y6188)</f>
        <v>1.69434674594998</v>
      </c>
      <c r="AA6188" s="0" t="n">
        <f aca="false">X6188-Z6188</f>
        <v>44.6695238680852</v>
      </c>
      <c r="AB6188" s="0" t="n">
        <f aca="false">X6188+Z6188</f>
        <v>48.0582173599851</v>
      </c>
      <c r="AC6188" s="54" t="b">
        <f aca="false">AND(E6188&gt;=01_因子設定!$L$5-0.000000001,E6188&lt;=01_因子設定!$M$5+0.000000001,F6188&gt;=01_因子設定!$L$6-0.000000001,F6188&lt;=01_因子設定!$M$6+0.000000001,G6188&gt;=01_因子設定!$L$7-0.000000001,G6188&lt;=01_因子設定!$M$7+0.000000001,H6188&gt;=01_因子設定!$L$8-0.000000001,H6188&lt;=01_因子設定!$M$8+0.000000001,IF(01_因子設定!$B$20="Box-Behnken",E6188^2+F6188^2+G6188^2+H6188^2&lt;=2+0.000000001,TRUE()))</f>
        <v>1</v>
      </c>
      <c r="AD6188" s="55" t="n">
        <f aca="false">IF(AC6188,IF(01_因子設定!$B$13="最大化",AA6188-01_因子設定!$B$14,IF(01_因子設定!$B$13="最小化",01_因子設定!$B$15-AB6188,MIN(AA6188-01_因子設定!$B$14,01_因子設定!$B$15-AB6188))),-1E+030)</f>
        <v>-1.83047613191484</v>
      </c>
      <c r="AE6188" s="55" t="n">
        <f aca="false">IF(AC6188,IF(01_因子設定!$B$13="最大化",X6188,IF(01_因子設定!$B$13="最小化",-X6188,-ABS(X6188-01_因子設定!$B$16))),-1E+030)</f>
        <v>46.3638706140352</v>
      </c>
      <c r="AF6188" s="55" t="n">
        <f aca="false">AD6188+ROW()*0.000000001</f>
        <v>-1.83046994391484</v>
      </c>
      <c r="AG6188" s="55" t="n">
        <f aca="false">AE6188+ROW()*0.000000001</f>
        <v>46.3638768020352</v>
      </c>
    </row>
    <row r="6189" customFormat="false" ht="15" hidden="false" customHeight="false" outlineLevel="0" collapsed="false">
      <c r="A6189" s="0" t="n">
        <v>8</v>
      </c>
      <c r="B6189" s="0" t="n">
        <v>4</v>
      </c>
      <c r="C6189" s="0" t="n">
        <v>3</v>
      </c>
      <c r="D6189" s="0" t="n">
        <v>1</v>
      </c>
      <c r="E6189" s="0" t="n">
        <f aca="false">-1+A6189*0.25</f>
        <v>1</v>
      </c>
      <c r="F6189" s="0" t="n">
        <f aca="false">-1+B6189*0.25</f>
        <v>0</v>
      </c>
      <c r="G6189" s="0" t="n">
        <f aca="false">-1+C6189*0.25</f>
        <v>-0.25</v>
      </c>
      <c r="H6189" s="0" t="n">
        <f aca="false">-1+D6189*0.25</f>
        <v>-0.75</v>
      </c>
      <c r="I6189" s="0" t="n">
        <f aca="false">1</f>
        <v>1</v>
      </c>
      <c r="J6189" s="0" t="n">
        <f aca="false">E6189</f>
        <v>1</v>
      </c>
      <c r="K6189" s="0" t="n">
        <f aca="false">F6189</f>
        <v>0</v>
      </c>
      <c r="L6189" s="0" t="n">
        <f aca="false">G6189</f>
        <v>-0.25</v>
      </c>
      <c r="M6189" s="0" t="n">
        <f aca="false">H6189</f>
        <v>-0.75</v>
      </c>
      <c r="N6189" s="0" t="n">
        <f aca="false">E6189*F6189</f>
        <v>0</v>
      </c>
      <c r="O6189" s="0" t="n">
        <f aca="false">E6189*G6189</f>
        <v>-0.25</v>
      </c>
      <c r="P6189" s="0" t="n">
        <f aca="false">E6189*H6189</f>
        <v>-0.75</v>
      </c>
      <c r="Q6189" s="0" t="n">
        <f aca="false">F6189*G6189</f>
        <v>-0</v>
      </c>
      <c r="R6189" s="0" t="n">
        <f aca="false">F6189*H6189</f>
        <v>-0</v>
      </c>
      <c r="S6189" s="0" t="n">
        <f aca="false">G6189*H6189</f>
        <v>0.1875</v>
      </c>
      <c r="T6189" s="0" t="n">
        <f aca="false">E6189*E6189</f>
        <v>1</v>
      </c>
      <c r="U6189" s="0" t="n">
        <f aca="false">F6189*F6189</f>
        <v>0</v>
      </c>
      <c r="V6189" s="0" t="n">
        <f aca="false">G6189*G6189</f>
        <v>0.0625</v>
      </c>
      <c r="W6189" s="0" t="n">
        <f aca="false">H6189*H6189</f>
        <v>0.5625</v>
      </c>
      <c r="X6189" s="0" t="n">
        <f aca="false">SUMPRODUCT(I6189:W6189,_XtX!$B$96:$P$96)</f>
        <v>46.6458653143275</v>
      </c>
      <c r="Y6189" s="0" t="n">
        <f aca="false">SUMPRODUCT(MMULT(I6189:W6189,_XtX!$B$78:$P$92),I6189:W6189)</f>
        <v>0.501534802174708</v>
      </c>
      <c r="Z6189" s="0" t="n">
        <f aca="false">04_回帰ANOVA!$K$19*04_回帰ANOVA!$K$14*SQRT(1+Y6189)</f>
        <v>1.59722498091333</v>
      </c>
      <c r="AA6189" s="0" t="n">
        <f aca="false">X6189-Z6189</f>
        <v>45.0486403334142</v>
      </c>
      <c r="AB6189" s="0" t="n">
        <f aca="false">X6189+Z6189</f>
        <v>48.2430902952409</v>
      </c>
      <c r="AC6189" s="54" t="b">
        <f aca="false">AND(E6189&gt;=01_因子設定!$L$5-0.000000001,E6189&lt;=01_因子設定!$M$5+0.000000001,F6189&gt;=01_因子設定!$L$6-0.000000001,F6189&lt;=01_因子設定!$M$6+0.000000001,G6189&gt;=01_因子設定!$L$7-0.000000001,G6189&lt;=01_因子設定!$M$7+0.000000001,H6189&gt;=01_因子設定!$L$8-0.000000001,H6189&lt;=01_因子設定!$M$8+0.000000001,IF(01_因子設定!$B$20="Box-Behnken",E6189^2+F6189^2+G6189^2+H6189^2&lt;=2+0.000000001,TRUE()))</f>
        <v>1</v>
      </c>
      <c r="AD6189" s="55" t="n">
        <f aca="false">IF(AC6189,IF(01_因子設定!$B$13="最大化",AA6189-01_因子設定!$B$14,IF(01_因子設定!$B$13="最小化",01_因子設定!$B$15-AB6189,MIN(AA6189-01_因子設定!$B$14,01_因子設定!$B$15-AB6189))),-1E+030)</f>
        <v>-1.4513596665858</v>
      </c>
      <c r="AE6189" s="55" t="n">
        <f aca="false">IF(AC6189,IF(01_因子設定!$B$13="最大化",X6189,IF(01_因子設定!$B$13="最小化",-X6189,-ABS(X6189-01_因子設定!$B$16))),-1E+030)</f>
        <v>46.6458653143275</v>
      </c>
      <c r="AF6189" s="55" t="n">
        <f aca="false">AD6189+ROW()*0.000000001</f>
        <v>-1.4513534775858</v>
      </c>
      <c r="AG6189" s="55" t="n">
        <f aca="false">AE6189+ROW()*0.000000001</f>
        <v>46.6458715033275</v>
      </c>
    </row>
    <row r="6190" customFormat="false" ht="15" hidden="false" customHeight="false" outlineLevel="0" collapsed="false">
      <c r="A6190" s="0" t="n">
        <v>8</v>
      </c>
      <c r="B6190" s="0" t="n">
        <v>4</v>
      </c>
      <c r="C6190" s="0" t="n">
        <v>3</v>
      </c>
      <c r="D6190" s="0" t="n">
        <v>2</v>
      </c>
      <c r="E6190" s="0" t="n">
        <f aca="false">-1+A6190*0.25</f>
        <v>1</v>
      </c>
      <c r="F6190" s="0" t="n">
        <f aca="false">-1+B6190*0.25</f>
        <v>0</v>
      </c>
      <c r="G6190" s="0" t="n">
        <f aca="false">-1+C6190*0.25</f>
        <v>-0.25</v>
      </c>
      <c r="H6190" s="0" t="n">
        <f aca="false">-1+D6190*0.25</f>
        <v>-0.5</v>
      </c>
      <c r="I6190" s="0" t="n">
        <f aca="false">1</f>
        <v>1</v>
      </c>
      <c r="J6190" s="0" t="n">
        <f aca="false">E6190</f>
        <v>1</v>
      </c>
      <c r="K6190" s="0" t="n">
        <f aca="false">F6190</f>
        <v>0</v>
      </c>
      <c r="L6190" s="0" t="n">
        <f aca="false">G6190</f>
        <v>-0.25</v>
      </c>
      <c r="M6190" s="0" t="n">
        <f aca="false">H6190</f>
        <v>-0.5</v>
      </c>
      <c r="N6190" s="0" t="n">
        <f aca="false">E6190*F6190</f>
        <v>0</v>
      </c>
      <c r="O6190" s="0" t="n">
        <f aca="false">E6190*G6190</f>
        <v>-0.25</v>
      </c>
      <c r="P6190" s="0" t="n">
        <f aca="false">E6190*H6190</f>
        <v>-0.5</v>
      </c>
      <c r="Q6190" s="0" t="n">
        <f aca="false">F6190*G6190</f>
        <v>-0</v>
      </c>
      <c r="R6190" s="0" t="n">
        <f aca="false">F6190*H6190</f>
        <v>-0</v>
      </c>
      <c r="S6190" s="0" t="n">
        <f aca="false">G6190*H6190</f>
        <v>0.125</v>
      </c>
      <c r="T6190" s="0" t="n">
        <f aca="false">E6190*E6190</f>
        <v>1</v>
      </c>
      <c r="U6190" s="0" t="n">
        <f aca="false">F6190*F6190</f>
        <v>0</v>
      </c>
      <c r="V6190" s="0" t="n">
        <f aca="false">G6190*G6190</f>
        <v>0.0625</v>
      </c>
      <c r="W6190" s="0" t="n">
        <f aca="false">H6190*H6190</f>
        <v>0.25</v>
      </c>
      <c r="X6190" s="0" t="n">
        <f aca="false">SUMPRODUCT(I6190:W6190,_XtX!$B$96:$P$96)</f>
        <v>46.8800529970761</v>
      </c>
      <c r="Y6190" s="0" t="n">
        <f aca="false">SUMPRODUCT(MMULT(I6190:W6190,_XtX!$B$78:$P$92),I6190:W6190)</f>
        <v>0.457596628289474</v>
      </c>
      <c r="Z6190" s="0" t="n">
        <f aca="false">04_回帰ANOVA!$K$19*04_回帰ANOVA!$K$14*SQRT(1+Y6190)</f>
        <v>1.57368233664366</v>
      </c>
      <c r="AA6190" s="0" t="n">
        <f aca="false">X6190-Z6190</f>
        <v>45.3063706604324</v>
      </c>
      <c r="AB6190" s="0" t="n">
        <f aca="false">X6190+Z6190</f>
        <v>48.4537353337197</v>
      </c>
      <c r="AC6190" s="54" t="b">
        <f aca="false">AND(E6190&gt;=01_因子設定!$L$5-0.000000001,E6190&lt;=01_因子設定!$M$5+0.000000001,F6190&gt;=01_因子設定!$L$6-0.000000001,F6190&lt;=01_因子設定!$M$6+0.000000001,G6190&gt;=01_因子設定!$L$7-0.000000001,G6190&lt;=01_因子設定!$M$7+0.000000001,H6190&gt;=01_因子設定!$L$8-0.000000001,H6190&lt;=01_因子設定!$M$8+0.000000001,IF(01_因子設定!$B$20="Box-Behnken",E6190^2+F6190^2+G6190^2+H6190^2&lt;=2+0.000000001,TRUE()))</f>
        <v>1</v>
      </c>
      <c r="AD6190" s="55" t="n">
        <f aca="false">IF(AC6190,IF(01_因子設定!$B$13="最大化",AA6190-01_因子設定!$B$14,IF(01_因子設定!$B$13="最小化",01_因子設定!$B$15-AB6190,MIN(AA6190-01_因子設定!$B$14,01_因子設定!$B$15-AB6190))),-1E+030)</f>
        <v>-1.1936293395676</v>
      </c>
      <c r="AE6190" s="55" t="n">
        <f aca="false">IF(AC6190,IF(01_因子設定!$B$13="最大化",X6190,IF(01_因子設定!$B$13="最小化",-X6190,-ABS(X6190-01_因子設定!$B$16))),-1E+030)</f>
        <v>46.8800529970761</v>
      </c>
      <c r="AF6190" s="55" t="n">
        <f aca="false">AD6190+ROW()*0.000000001</f>
        <v>-1.1936231495676</v>
      </c>
      <c r="AG6190" s="55" t="n">
        <f aca="false">AE6190+ROW()*0.000000001</f>
        <v>46.8800591870761</v>
      </c>
    </row>
    <row r="6191" customFormat="false" ht="15" hidden="false" customHeight="false" outlineLevel="0" collapsed="false">
      <c r="A6191" s="0" t="n">
        <v>8</v>
      </c>
      <c r="B6191" s="0" t="n">
        <v>4</v>
      </c>
      <c r="C6191" s="0" t="n">
        <v>3</v>
      </c>
      <c r="D6191" s="0" t="n">
        <v>3</v>
      </c>
      <c r="E6191" s="0" t="n">
        <f aca="false">-1+A6191*0.25</f>
        <v>1</v>
      </c>
      <c r="F6191" s="0" t="n">
        <f aca="false">-1+B6191*0.25</f>
        <v>0</v>
      </c>
      <c r="G6191" s="0" t="n">
        <f aca="false">-1+C6191*0.25</f>
        <v>-0.25</v>
      </c>
      <c r="H6191" s="0" t="n">
        <f aca="false">-1+D6191*0.25</f>
        <v>-0.25</v>
      </c>
      <c r="I6191" s="0" t="n">
        <f aca="false">1</f>
        <v>1</v>
      </c>
      <c r="J6191" s="0" t="n">
        <f aca="false">E6191</f>
        <v>1</v>
      </c>
      <c r="K6191" s="0" t="n">
        <f aca="false">F6191</f>
        <v>0</v>
      </c>
      <c r="L6191" s="0" t="n">
        <f aca="false">G6191</f>
        <v>-0.25</v>
      </c>
      <c r="M6191" s="0" t="n">
        <f aca="false">H6191</f>
        <v>-0.25</v>
      </c>
      <c r="N6191" s="0" t="n">
        <f aca="false">E6191*F6191</f>
        <v>0</v>
      </c>
      <c r="O6191" s="0" t="n">
        <f aca="false">E6191*G6191</f>
        <v>-0.25</v>
      </c>
      <c r="P6191" s="0" t="n">
        <f aca="false">E6191*H6191</f>
        <v>-0.25</v>
      </c>
      <c r="Q6191" s="0" t="n">
        <f aca="false">F6191*G6191</f>
        <v>-0</v>
      </c>
      <c r="R6191" s="0" t="n">
        <f aca="false">F6191*H6191</f>
        <v>-0</v>
      </c>
      <c r="S6191" s="0" t="n">
        <f aca="false">G6191*H6191</f>
        <v>0.0625</v>
      </c>
      <c r="T6191" s="0" t="n">
        <f aca="false">E6191*E6191</f>
        <v>1</v>
      </c>
      <c r="U6191" s="0" t="n">
        <f aca="false">F6191*F6191</f>
        <v>0</v>
      </c>
      <c r="V6191" s="0" t="n">
        <f aca="false">G6191*G6191</f>
        <v>0.0625</v>
      </c>
      <c r="W6191" s="0" t="n">
        <f aca="false">H6191*H6191</f>
        <v>0.0625</v>
      </c>
      <c r="X6191" s="0" t="n">
        <f aca="false">SUMPRODUCT(I6191:W6191,_XtX!$B$96:$P$96)</f>
        <v>47.0664336622807</v>
      </c>
      <c r="Y6191" s="0" t="n">
        <f aca="false">SUMPRODUCT(MMULT(I6191:W6191,_XtX!$B$78:$P$92),I6191:W6191)</f>
        <v>0.467417934484649</v>
      </c>
      <c r="Z6191" s="0" t="n">
        <f aca="false">04_回帰ANOVA!$K$19*04_回帰ANOVA!$K$14*SQRT(1+Y6191)</f>
        <v>1.57897518244497</v>
      </c>
      <c r="AA6191" s="0" t="n">
        <f aca="false">X6191-Z6191</f>
        <v>45.4874584798358</v>
      </c>
      <c r="AB6191" s="0" t="n">
        <f aca="false">X6191+Z6191</f>
        <v>48.6454088447257</v>
      </c>
      <c r="AC6191" s="54" t="b">
        <f aca="false">AND(E6191&gt;=01_因子設定!$L$5-0.000000001,E6191&lt;=01_因子設定!$M$5+0.000000001,F6191&gt;=01_因子設定!$L$6-0.000000001,F6191&lt;=01_因子設定!$M$6+0.000000001,G6191&gt;=01_因子設定!$L$7-0.000000001,G6191&lt;=01_因子設定!$M$7+0.000000001,H6191&gt;=01_因子設定!$L$8-0.000000001,H6191&lt;=01_因子設定!$M$8+0.000000001,IF(01_因子設定!$B$20="Box-Behnken",E6191^2+F6191^2+G6191^2+H6191^2&lt;=2+0.000000001,TRUE()))</f>
        <v>1</v>
      </c>
      <c r="AD6191" s="55" t="n">
        <f aca="false">IF(AC6191,IF(01_因子設定!$B$13="最大化",AA6191-01_因子設定!$B$14,IF(01_因子設定!$B$13="最小化",01_因子設定!$B$15-AB6191,MIN(AA6191-01_因子設定!$B$14,01_因子設定!$B$15-AB6191))),-1E+030)</f>
        <v>-1.01254152016424</v>
      </c>
      <c r="AE6191" s="55" t="n">
        <f aca="false">IF(AC6191,IF(01_因子設定!$B$13="最大化",X6191,IF(01_因子設定!$B$13="最小化",-X6191,-ABS(X6191-01_因子設定!$B$16))),-1E+030)</f>
        <v>47.0664336622807</v>
      </c>
      <c r="AF6191" s="55" t="n">
        <f aca="false">AD6191+ROW()*0.000000001</f>
        <v>-1.01253532916424</v>
      </c>
      <c r="AG6191" s="55" t="n">
        <f aca="false">AE6191+ROW()*0.000000001</f>
        <v>47.0664398532807</v>
      </c>
    </row>
    <row r="6192" customFormat="false" ht="15" hidden="false" customHeight="false" outlineLevel="0" collapsed="false">
      <c r="A6192" s="0" t="n">
        <v>8</v>
      </c>
      <c r="B6192" s="0" t="n">
        <v>4</v>
      </c>
      <c r="C6192" s="0" t="n">
        <v>3</v>
      </c>
      <c r="D6192" s="0" t="n">
        <v>4</v>
      </c>
      <c r="E6192" s="0" t="n">
        <f aca="false">-1+A6192*0.25</f>
        <v>1</v>
      </c>
      <c r="F6192" s="0" t="n">
        <f aca="false">-1+B6192*0.25</f>
        <v>0</v>
      </c>
      <c r="G6192" s="0" t="n">
        <f aca="false">-1+C6192*0.25</f>
        <v>-0.25</v>
      </c>
      <c r="H6192" s="0" t="n">
        <f aca="false">-1+D6192*0.25</f>
        <v>0</v>
      </c>
      <c r="I6192" s="0" t="n">
        <f aca="false">1</f>
        <v>1</v>
      </c>
      <c r="J6192" s="0" t="n">
        <f aca="false">E6192</f>
        <v>1</v>
      </c>
      <c r="K6192" s="0" t="n">
        <f aca="false">F6192</f>
        <v>0</v>
      </c>
      <c r="L6192" s="0" t="n">
        <f aca="false">G6192</f>
        <v>-0.25</v>
      </c>
      <c r="M6192" s="0" t="n">
        <f aca="false">H6192</f>
        <v>0</v>
      </c>
      <c r="N6192" s="0" t="n">
        <f aca="false">E6192*F6192</f>
        <v>0</v>
      </c>
      <c r="O6192" s="0" t="n">
        <f aca="false">E6192*G6192</f>
        <v>-0.25</v>
      </c>
      <c r="P6192" s="0" t="n">
        <f aca="false">E6192*H6192</f>
        <v>0</v>
      </c>
      <c r="Q6192" s="0" t="n">
        <f aca="false">F6192*G6192</f>
        <v>-0</v>
      </c>
      <c r="R6192" s="0" t="n">
        <f aca="false">F6192*H6192</f>
        <v>0</v>
      </c>
      <c r="S6192" s="0" t="n">
        <f aca="false">G6192*H6192</f>
        <v>-0</v>
      </c>
      <c r="T6192" s="0" t="n">
        <f aca="false">E6192*E6192</f>
        <v>1</v>
      </c>
      <c r="U6192" s="0" t="n">
        <f aca="false">F6192*F6192</f>
        <v>0</v>
      </c>
      <c r="V6192" s="0" t="n">
        <f aca="false">G6192*G6192</f>
        <v>0.0625</v>
      </c>
      <c r="W6192" s="0" t="n">
        <f aca="false">H6192*H6192</f>
        <v>0</v>
      </c>
      <c r="X6192" s="0" t="n">
        <f aca="false">SUMPRODUCT(I6192:W6192,_XtX!$B$96:$P$96)</f>
        <v>47.2050073099415</v>
      </c>
      <c r="Y6192" s="0" t="n">
        <f aca="false">SUMPRODUCT(MMULT(I6192:W6192,_XtX!$B$78:$P$92),I6192:W6192)</f>
        <v>0.47672240497076</v>
      </c>
      <c r="Z6192" s="0" t="n">
        <f aca="false">04_回帰ANOVA!$K$19*04_回帰ANOVA!$K$14*SQRT(1+Y6192)</f>
        <v>1.58397318352695</v>
      </c>
      <c r="AA6192" s="0" t="n">
        <f aca="false">X6192-Z6192</f>
        <v>45.6210341264146</v>
      </c>
      <c r="AB6192" s="0" t="n">
        <f aca="false">X6192+Z6192</f>
        <v>48.7889804934685</v>
      </c>
      <c r="AC6192" s="54" t="b">
        <f aca="false">AND(E6192&gt;=01_因子設定!$L$5-0.000000001,E6192&lt;=01_因子設定!$M$5+0.000000001,F6192&gt;=01_因子設定!$L$6-0.000000001,F6192&lt;=01_因子設定!$M$6+0.000000001,G6192&gt;=01_因子設定!$L$7-0.000000001,G6192&lt;=01_因子設定!$M$7+0.000000001,H6192&gt;=01_因子設定!$L$8-0.000000001,H6192&lt;=01_因子設定!$M$8+0.000000001,IF(01_因子設定!$B$20="Box-Behnken",E6192^2+F6192^2+G6192^2+H6192^2&lt;=2+0.000000001,TRUE()))</f>
        <v>1</v>
      </c>
      <c r="AD6192" s="55" t="n">
        <f aca="false">IF(AC6192,IF(01_因子設定!$B$13="最大化",AA6192-01_因子設定!$B$14,IF(01_因子設定!$B$13="最小化",01_因子設定!$B$15-AB6192,MIN(AA6192-01_因子設定!$B$14,01_因子設定!$B$15-AB6192))),-1E+030)</f>
        <v>-0.878965873585401</v>
      </c>
      <c r="AE6192" s="55" t="n">
        <f aca="false">IF(AC6192,IF(01_因子設定!$B$13="最大化",X6192,IF(01_因子設定!$B$13="最小化",-X6192,-ABS(X6192-01_因子設定!$B$16))),-1E+030)</f>
        <v>47.2050073099415</v>
      </c>
      <c r="AF6192" s="55" t="n">
        <f aca="false">AD6192+ROW()*0.000000001</f>
        <v>-0.878959681585401</v>
      </c>
      <c r="AG6192" s="55" t="n">
        <f aca="false">AE6192+ROW()*0.000000001</f>
        <v>47.2050135019415</v>
      </c>
    </row>
    <row r="6193" customFormat="false" ht="15" hidden="false" customHeight="false" outlineLevel="0" collapsed="false">
      <c r="A6193" s="0" t="n">
        <v>8</v>
      </c>
      <c r="B6193" s="0" t="n">
        <v>4</v>
      </c>
      <c r="C6193" s="0" t="n">
        <v>3</v>
      </c>
      <c r="D6193" s="0" t="n">
        <v>5</v>
      </c>
      <c r="E6193" s="0" t="n">
        <f aca="false">-1+A6193*0.25</f>
        <v>1</v>
      </c>
      <c r="F6193" s="0" t="n">
        <f aca="false">-1+B6193*0.25</f>
        <v>0</v>
      </c>
      <c r="G6193" s="0" t="n">
        <f aca="false">-1+C6193*0.25</f>
        <v>-0.25</v>
      </c>
      <c r="H6193" s="0" t="n">
        <f aca="false">-1+D6193*0.25</f>
        <v>0.25</v>
      </c>
      <c r="I6193" s="0" t="n">
        <f aca="false">1</f>
        <v>1</v>
      </c>
      <c r="J6193" s="0" t="n">
        <f aca="false">E6193</f>
        <v>1</v>
      </c>
      <c r="K6193" s="0" t="n">
        <f aca="false">F6193</f>
        <v>0</v>
      </c>
      <c r="L6193" s="0" t="n">
        <f aca="false">G6193</f>
        <v>-0.25</v>
      </c>
      <c r="M6193" s="0" t="n">
        <f aca="false">H6193</f>
        <v>0.25</v>
      </c>
      <c r="N6193" s="0" t="n">
        <f aca="false">E6193*F6193</f>
        <v>0</v>
      </c>
      <c r="O6193" s="0" t="n">
        <f aca="false">E6193*G6193</f>
        <v>-0.25</v>
      </c>
      <c r="P6193" s="0" t="n">
        <f aca="false">E6193*H6193</f>
        <v>0.25</v>
      </c>
      <c r="Q6193" s="0" t="n">
        <f aca="false">F6193*G6193</f>
        <v>-0</v>
      </c>
      <c r="R6193" s="0" t="n">
        <f aca="false">F6193*H6193</f>
        <v>0</v>
      </c>
      <c r="S6193" s="0" t="n">
        <f aca="false">G6193*H6193</f>
        <v>-0.0625</v>
      </c>
      <c r="T6193" s="0" t="n">
        <f aca="false">E6193*E6193</f>
        <v>1</v>
      </c>
      <c r="U6193" s="0" t="n">
        <f aca="false">F6193*F6193</f>
        <v>0</v>
      </c>
      <c r="V6193" s="0" t="n">
        <f aca="false">G6193*G6193</f>
        <v>0.0625</v>
      </c>
      <c r="W6193" s="0" t="n">
        <f aca="false">H6193*H6193</f>
        <v>0.0625</v>
      </c>
      <c r="X6193" s="0" t="n">
        <f aca="false">SUMPRODUCT(I6193:W6193,_XtX!$B$96:$P$96)</f>
        <v>47.2957739400585</v>
      </c>
      <c r="Y6193" s="0" t="n">
        <f aca="false">SUMPRODUCT(MMULT(I6193:W6193,_XtX!$B$78:$P$92),I6193:W6193)</f>
        <v>0.467417934484649</v>
      </c>
      <c r="Z6193" s="0" t="n">
        <f aca="false">04_回帰ANOVA!$K$19*04_回帰ANOVA!$K$14*SQRT(1+Y6193)</f>
        <v>1.57897518244497</v>
      </c>
      <c r="AA6193" s="0" t="n">
        <f aca="false">X6193-Z6193</f>
        <v>45.7167987576135</v>
      </c>
      <c r="AB6193" s="0" t="n">
        <f aca="false">X6193+Z6193</f>
        <v>48.8747491225035</v>
      </c>
      <c r="AC6193" s="54" t="b">
        <f aca="false">AND(E6193&gt;=01_因子設定!$L$5-0.000000001,E6193&lt;=01_因子設定!$M$5+0.000000001,F6193&gt;=01_因子設定!$L$6-0.000000001,F6193&lt;=01_因子設定!$M$6+0.000000001,G6193&gt;=01_因子設定!$L$7-0.000000001,G6193&lt;=01_因子設定!$M$7+0.000000001,H6193&gt;=01_因子設定!$L$8-0.000000001,H6193&lt;=01_因子設定!$M$8+0.000000001,IF(01_因子設定!$B$20="Box-Behnken",E6193^2+F6193^2+G6193^2+H6193^2&lt;=2+0.000000001,TRUE()))</f>
        <v>1</v>
      </c>
      <c r="AD6193" s="55" t="n">
        <f aca="false">IF(AC6193,IF(01_因子設定!$B$13="最大化",AA6193-01_因子設定!$B$14,IF(01_因子設定!$B$13="最小化",01_因子設定!$B$15-AB6193,MIN(AA6193-01_因子設定!$B$14,01_因子設定!$B$15-AB6193))),-1E+030)</f>
        <v>-0.783201242386468</v>
      </c>
      <c r="AE6193" s="55" t="n">
        <f aca="false">IF(AC6193,IF(01_因子設定!$B$13="最大化",X6193,IF(01_因子設定!$B$13="最小化",-X6193,-ABS(X6193-01_因子設定!$B$16))),-1E+030)</f>
        <v>47.2957739400585</v>
      </c>
      <c r="AF6193" s="55" t="n">
        <f aca="false">AD6193+ROW()*0.000000001</f>
        <v>-0.783195049386468</v>
      </c>
      <c r="AG6193" s="55" t="n">
        <f aca="false">AE6193+ROW()*0.000000001</f>
        <v>47.2957801330585</v>
      </c>
    </row>
    <row r="6194" customFormat="false" ht="15" hidden="false" customHeight="false" outlineLevel="0" collapsed="false">
      <c r="A6194" s="0" t="n">
        <v>8</v>
      </c>
      <c r="B6194" s="0" t="n">
        <v>4</v>
      </c>
      <c r="C6194" s="0" t="n">
        <v>3</v>
      </c>
      <c r="D6194" s="0" t="n">
        <v>6</v>
      </c>
      <c r="E6194" s="0" t="n">
        <f aca="false">-1+A6194*0.25</f>
        <v>1</v>
      </c>
      <c r="F6194" s="0" t="n">
        <f aca="false">-1+B6194*0.25</f>
        <v>0</v>
      </c>
      <c r="G6194" s="0" t="n">
        <f aca="false">-1+C6194*0.25</f>
        <v>-0.25</v>
      </c>
      <c r="H6194" s="0" t="n">
        <f aca="false">-1+D6194*0.25</f>
        <v>0.5</v>
      </c>
      <c r="I6194" s="0" t="n">
        <f aca="false">1</f>
        <v>1</v>
      </c>
      <c r="J6194" s="0" t="n">
        <f aca="false">E6194</f>
        <v>1</v>
      </c>
      <c r="K6194" s="0" t="n">
        <f aca="false">F6194</f>
        <v>0</v>
      </c>
      <c r="L6194" s="0" t="n">
        <f aca="false">G6194</f>
        <v>-0.25</v>
      </c>
      <c r="M6194" s="0" t="n">
        <f aca="false">H6194</f>
        <v>0.5</v>
      </c>
      <c r="N6194" s="0" t="n">
        <f aca="false">E6194*F6194</f>
        <v>0</v>
      </c>
      <c r="O6194" s="0" t="n">
        <f aca="false">E6194*G6194</f>
        <v>-0.25</v>
      </c>
      <c r="P6194" s="0" t="n">
        <f aca="false">E6194*H6194</f>
        <v>0.5</v>
      </c>
      <c r="Q6194" s="0" t="n">
        <f aca="false">F6194*G6194</f>
        <v>-0</v>
      </c>
      <c r="R6194" s="0" t="n">
        <f aca="false">F6194*H6194</f>
        <v>0</v>
      </c>
      <c r="S6194" s="0" t="n">
        <f aca="false">G6194*H6194</f>
        <v>-0.125</v>
      </c>
      <c r="T6194" s="0" t="n">
        <f aca="false">E6194*E6194</f>
        <v>1</v>
      </c>
      <c r="U6194" s="0" t="n">
        <f aca="false">F6194*F6194</f>
        <v>0</v>
      </c>
      <c r="V6194" s="0" t="n">
        <f aca="false">G6194*G6194</f>
        <v>0.0625</v>
      </c>
      <c r="W6194" s="0" t="n">
        <f aca="false">H6194*H6194</f>
        <v>0.25</v>
      </c>
      <c r="X6194" s="0" t="n">
        <f aca="false">SUMPRODUCT(I6194:W6194,_XtX!$B$96:$P$96)</f>
        <v>47.3387335526316</v>
      </c>
      <c r="Y6194" s="0" t="n">
        <f aca="false">SUMPRODUCT(MMULT(I6194:W6194,_XtX!$B$78:$P$92),I6194:W6194)</f>
        <v>0.457596628289474</v>
      </c>
      <c r="Z6194" s="0" t="n">
        <f aca="false">04_回帰ANOVA!$K$19*04_回帰ANOVA!$K$14*SQRT(1+Y6194)</f>
        <v>1.57368233664366</v>
      </c>
      <c r="AA6194" s="0" t="n">
        <f aca="false">X6194-Z6194</f>
        <v>45.765051215988</v>
      </c>
      <c r="AB6194" s="0" t="n">
        <f aca="false">X6194+Z6194</f>
        <v>48.9124158892753</v>
      </c>
      <c r="AC6194" s="54" t="b">
        <f aca="false">AND(E6194&gt;=01_因子設定!$L$5-0.000000001,E6194&lt;=01_因子設定!$M$5+0.000000001,F6194&gt;=01_因子設定!$L$6-0.000000001,F6194&lt;=01_因子設定!$M$6+0.000000001,G6194&gt;=01_因子設定!$L$7-0.000000001,G6194&lt;=01_因子設定!$M$7+0.000000001,H6194&gt;=01_因子設定!$L$8-0.000000001,H6194&lt;=01_因子設定!$M$8+0.000000001,IF(01_因子設定!$B$20="Box-Behnken",E6194^2+F6194^2+G6194^2+H6194^2&lt;=2+0.000000001,TRUE()))</f>
        <v>1</v>
      </c>
      <c r="AD6194" s="55" t="n">
        <f aca="false">IF(AC6194,IF(01_因子設定!$B$13="最大化",AA6194-01_因子設定!$B$14,IF(01_因子設定!$B$13="最小化",01_因子設定!$B$15-AB6194,MIN(AA6194-01_因子設定!$B$14,01_因子設定!$B$15-AB6194))),-1E+030)</f>
        <v>-0.734948784012047</v>
      </c>
      <c r="AE6194" s="55" t="n">
        <f aca="false">IF(AC6194,IF(01_因子設定!$B$13="最大化",X6194,IF(01_因子設定!$B$13="最小化",-X6194,-ABS(X6194-01_因子設定!$B$16))),-1E+030)</f>
        <v>47.3387335526316</v>
      </c>
      <c r="AF6194" s="55" t="n">
        <f aca="false">AD6194+ROW()*0.000000001</f>
        <v>-0.734942590012047</v>
      </c>
      <c r="AG6194" s="55" t="n">
        <f aca="false">AE6194+ROW()*0.000000001</f>
        <v>47.3387397466316</v>
      </c>
    </row>
    <row r="6195" customFormat="false" ht="15" hidden="false" customHeight="false" outlineLevel="0" collapsed="false">
      <c r="A6195" s="0" t="n">
        <v>8</v>
      </c>
      <c r="B6195" s="0" t="n">
        <v>4</v>
      </c>
      <c r="C6195" s="0" t="n">
        <v>3</v>
      </c>
      <c r="D6195" s="0" t="n">
        <v>7</v>
      </c>
      <c r="E6195" s="0" t="n">
        <f aca="false">-1+A6195*0.25</f>
        <v>1</v>
      </c>
      <c r="F6195" s="0" t="n">
        <f aca="false">-1+B6195*0.25</f>
        <v>0</v>
      </c>
      <c r="G6195" s="0" t="n">
        <f aca="false">-1+C6195*0.25</f>
        <v>-0.25</v>
      </c>
      <c r="H6195" s="0" t="n">
        <f aca="false">-1+D6195*0.25</f>
        <v>0.75</v>
      </c>
      <c r="I6195" s="0" t="n">
        <f aca="false">1</f>
        <v>1</v>
      </c>
      <c r="J6195" s="0" t="n">
        <f aca="false">E6195</f>
        <v>1</v>
      </c>
      <c r="K6195" s="0" t="n">
        <f aca="false">F6195</f>
        <v>0</v>
      </c>
      <c r="L6195" s="0" t="n">
        <f aca="false">G6195</f>
        <v>-0.25</v>
      </c>
      <c r="M6195" s="0" t="n">
        <f aca="false">H6195</f>
        <v>0.75</v>
      </c>
      <c r="N6195" s="0" t="n">
        <f aca="false">E6195*F6195</f>
        <v>0</v>
      </c>
      <c r="O6195" s="0" t="n">
        <f aca="false">E6195*G6195</f>
        <v>-0.25</v>
      </c>
      <c r="P6195" s="0" t="n">
        <f aca="false">E6195*H6195</f>
        <v>0.75</v>
      </c>
      <c r="Q6195" s="0" t="n">
        <f aca="false">F6195*G6195</f>
        <v>-0</v>
      </c>
      <c r="R6195" s="0" t="n">
        <f aca="false">F6195*H6195</f>
        <v>0</v>
      </c>
      <c r="S6195" s="0" t="n">
        <f aca="false">G6195*H6195</f>
        <v>-0.1875</v>
      </c>
      <c r="T6195" s="0" t="n">
        <f aca="false">E6195*E6195</f>
        <v>1</v>
      </c>
      <c r="U6195" s="0" t="n">
        <f aca="false">F6195*F6195</f>
        <v>0</v>
      </c>
      <c r="V6195" s="0" t="n">
        <f aca="false">G6195*G6195</f>
        <v>0.0625</v>
      </c>
      <c r="W6195" s="0" t="n">
        <f aca="false">H6195*H6195</f>
        <v>0.5625</v>
      </c>
      <c r="X6195" s="0" t="n">
        <f aca="false">SUMPRODUCT(I6195:W6195,_XtX!$B$96:$P$96)</f>
        <v>47.3338861476609</v>
      </c>
      <c r="Y6195" s="0" t="n">
        <f aca="false">SUMPRODUCT(MMULT(I6195:W6195,_XtX!$B$78:$P$92),I6195:W6195)</f>
        <v>0.501534802174708</v>
      </c>
      <c r="Z6195" s="0" t="n">
        <f aca="false">04_回帰ANOVA!$K$19*04_回帰ANOVA!$K$14*SQRT(1+Y6195)</f>
        <v>1.59722498091333</v>
      </c>
      <c r="AA6195" s="0" t="n">
        <f aca="false">X6195-Z6195</f>
        <v>45.7366611667475</v>
      </c>
      <c r="AB6195" s="0" t="n">
        <f aca="false">X6195+Z6195</f>
        <v>48.9311111285742</v>
      </c>
      <c r="AC6195" s="54" t="b">
        <f aca="false">AND(E6195&gt;=01_因子設定!$L$5-0.000000001,E6195&lt;=01_因子設定!$M$5+0.000000001,F6195&gt;=01_因子設定!$L$6-0.000000001,F6195&lt;=01_因子設定!$M$6+0.000000001,G6195&gt;=01_因子設定!$L$7-0.000000001,G6195&lt;=01_因子設定!$M$7+0.000000001,H6195&gt;=01_因子設定!$L$8-0.000000001,H6195&lt;=01_因子設定!$M$8+0.000000001,IF(01_因子設定!$B$20="Box-Behnken",E6195^2+F6195^2+G6195^2+H6195^2&lt;=2+0.000000001,TRUE()))</f>
        <v>1</v>
      </c>
      <c r="AD6195" s="55" t="n">
        <f aca="false">IF(AC6195,IF(01_因子設定!$B$13="最大化",AA6195-01_因子設定!$B$14,IF(01_因子設定!$B$13="最小化",01_因子設定!$B$15-AB6195,MIN(AA6195-01_因子設定!$B$14,01_因子設定!$B$15-AB6195))),-1E+030)</f>
        <v>-0.763338833252469</v>
      </c>
      <c r="AE6195" s="55" t="n">
        <f aca="false">IF(AC6195,IF(01_因子設定!$B$13="最大化",X6195,IF(01_因子設定!$B$13="最小化",-X6195,-ABS(X6195-01_因子設定!$B$16))),-1E+030)</f>
        <v>47.3338861476609</v>
      </c>
      <c r="AF6195" s="55" t="n">
        <f aca="false">AD6195+ROW()*0.000000001</f>
        <v>-0.763332638252469</v>
      </c>
      <c r="AG6195" s="55" t="n">
        <f aca="false">AE6195+ROW()*0.000000001</f>
        <v>47.3338923426609</v>
      </c>
    </row>
    <row r="6196" customFormat="false" ht="15" hidden="false" customHeight="false" outlineLevel="0" collapsed="false">
      <c r="A6196" s="0" t="n">
        <v>8</v>
      </c>
      <c r="B6196" s="0" t="n">
        <v>4</v>
      </c>
      <c r="C6196" s="0" t="n">
        <v>3</v>
      </c>
      <c r="D6196" s="0" t="n">
        <v>8</v>
      </c>
      <c r="E6196" s="0" t="n">
        <f aca="false">-1+A6196*0.25</f>
        <v>1</v>
      </c>
      <c r="F6196" s="0" t="n">
        <f aca="false">-1+B6196*0.25</f>
        <v>0</v>
      </c>
      <c r="G6196" s="0" t="n">
        <f aca="false">-1+C6196*0.25</f>
        <v>-0.25</v>
      </c>
      <c r="H6196" s="0" t="n">
        <f aca="false">-1+D6196*0.25</f>
        <v>1</v>
      </c>
      <c r="I6196" s="0" t="n">
        <f aca="false">1</f>
        <v>1</v>
      </c>
      <c r="J6196" s="0" t="n">
        <f aca="false">E6196</f>
        <v>1</v>
      </c>
      <c r="K6196" s="0" t="n">
        <f aca="false">F6196</f>
        <v>0</v>
      </c>
      <c r="L6196" s="0" t="n">
        <f aca="false">G6196</f>
        <v>-0.25</v>
      </c>
      <c r="M6196" s="0" t="n">
        <f aca="false">H6196</f>
        <v>1</v>
      </c>
      <c r="N6196" s="0" t="n">
        <f aca="false">E6196*F6196</f>
        <v>0</v>
      </c>
      <c r="O6196" s="0" t="n">
        <f aca="false">E6196*G6196</f>
        <v>-0.25</v>
      </c>
      <c r="P6196" s="0" t="n">
        <f aca="false">E6196*H6196</f>
        <v>1</v>
      </c>
      <c r="Q6196" s="0" t="n">
        <f aca="false">F6196*G6196</f>
        <v>-0</v>
      </c>
      <c r="R6196" s="0" t="n">
        <f aca="false">F6196*H6196</f>
        <v>0</v>
      </c>
      <c r="S6196" s="0" t="n">
        <f aca="false">G6196*H6196</f>
        <v>-0.25</v>
      </c>
      <c r="T6196" s="0" t="n">
        <f aca="false">E6196*E6196</f>
        <v>1</v>
      </c>
      <c r="U6196" s="0" t="n">
        <f aca="false">F6196*F6196</f>
        <v>0</v>
      </c>
      <c r="V6196" s="0" t="n">
        <f aca="false">G6196*G6196</f>
        <v>0.0625</v>
      </c>
      <c r="W6196" s="0" t="n">
        <f aca="false">H6196*H6196</f>
        <v>1</v>
      </c>
      <c r="X6196" s="0" t="n">
        <f aca="false">SUMPRODUCT(I6196:W6196,_XtX!$B$96:$P$96)</f>
        <v>47.2812317251463</v>
      </c>
      <c r="Y6196" s="0" t="n">
        <f aca="false">SUMPRODUCT(MMULT(I6196:W6196,_XtX!$B$78:$P$92),I6196:W6196)</f>
        <v>0.689692982456141</v>
      </c>
      <c r="Z6196" s="0" t="n">
        <f aca="false">04_回帰ANOVA!$K$19*04_回帰ANOVA!$K$14*SQRT(1+Y6196)</f>
        <v>1.69434674594998</v>
      </c>
      <c r="AA6196" s="0" t="n">
        <f aca="false">X6196-Z6196</f>
        <v>45.5868849791963</v>
      </c>
      <c r="AB6196" s="0" t="n">
        <f aca="false">X6196+Z6196</f>
        <v>48.9755784710963</v>
      </c>
      <c r="AC6196" s="54" t="b">
        <f aca="false">AND(E6196&gt;=01_因子設定!$L$5-0.000000001,E6196&lt;=01_因子設定!$M$5+0.000000001,F6196&gt;=01_因子設定!$L$6-0.000000001,F6196&lt;=01_因子設定!$M$6+0.000000001,G6196&gt;=01_因子設定!$L$7-0.000000001,G6196&lt;=01_因子設定!$M$7+0.000000001,H6196&gt;=01_因子設定!$L$8-0.000000001,H6196&lt;=01_因子設定!$M$8+0.000000001,IF(01_因子設定!$B$20="Box-Behnken",E6196^2+F6196^2+G6196^2+H6196^2&lt;=2+0.000000001,TRUE()))</f>
        <v>1</v>
      </c>
      <c r="AD6196" s="55" t="n">
        <f aca="false">IF(AC6196,IF(01_因子設定!$B$13="最大化",AA6196-01_因子設定!$B$14,IF(01_因子設定!$B$13="最小化",01_因子設定!$B$15-AB6196,MIN(AA6196-01_因子設定!$B$14,01_因子設定!$B$15-AB6196))),-1E+030)</f>
        <v>-0.913115020803723</v>
      </c>
      <c r="AE6196" s="55" t="n">
        <f aca="false">IF(AC6196,IF(01_因子設定!$B$13="最大化",X6196,IF(01_因子設定!$B$13="最小化",-X6196,-ABS(X6196-01_因子設定!$B$16))),-1E+030)</f>
        <v>47.2812317251463</v>
      </c>
      <c r="AF6196" s="55" t="n">
        <f aca="false">AD6196+ROW()*0.000000001</f>
        <v>-0.913108824803723</v>
      </c>
      <c r="AG6196" s="55" t="n">
        <f aca="false">AE6196+ROW()*0.000000001</f>
        <v>47.2812379211463</v>
      </c>
    </row>
    <row r="6197" customFormat="false" ht="15" hidden="false" customHeight="false" outlineLevel="0" collapsed="false">
      <c r="A6197" s="0" t="n">
        <v>8</v>
      </c>
      <c r="B6197" s="0" t="n">
        <v>4</v>
      </c>
      <c r="C6197" s="0" t="n">
        <v>4</v>
      </c>
      <c r="D6197" s="0" t="n">
        <v>0</v>
      </c>
      <c r="E6197" s="0" t="n">
        <f aca="false">-1+A6197*0.25</f>
        <v>1</v>
      </c>
      <c r="F6197" s="0" t="n">
        <f aca="false">-1+B6197*0.25</f>
        <v>0</v>
      </c>
      <c r="G6197" s="0" t="n">
        <f aca="false">-1+C6197*0.25</f>
        <v>0</v>
      </c>
      <c r="H6197" s="0" t="n">
        <f aca="false">-1+D6197*0.25</f>
        <v>-1</v>
      </c>
      <c r="I6197" s="0" t="n">
        <f aca="false">1</f>
        <v>1</v>
      </c>
      <c r="J6197" s="0" t="n">
        <f aca="false">E6197</f>
        <v>1</v>
      </c>
      <c r="K6197" s="0" t="n">
        <f aca="false">F6197</f>
        <v>0</v>
      </c>
      <c r="L6197" s="0" t="n">
        <f aca="false">G6197</f>
        <v>0</v>
      </c>
      <c r="M6197" s="0" t="n">
        <f aca="false">H6197</f>
        <v>-1</v>
      </c>
      <c r="N6197" s="0" t="n">
        <f aca="false">E6197*F6197</f>
        <v>0</v>
      </c>
      <c r="O6197" s="0" t="n">
        <f aca="false">E6197*G6197</f>
        <v>0</v>
      </c>
      <c r="P6197" s="0" t="n">
        <f aca="false">E6197*H6197</f>
        <v>-1</v>
      </c>
      <c r="Q6197" s="0" t="n">
        <f aca="false">F6197*G6197</f>
        <v>0</v>
      </c>
      <c r="R6197" s="0" t="n">
        <f aca="false">F6197*H6197</f>
        <v>-0</v>
      </c>
      <c r="S6197" s="0" t="n">
        <f aca="false">G6197*H6197</f>
        <v>-0</v>
      </c>
      <c r="T6197" s="0" t="n">
        <f aca="false">E6197*E6197</f>
        <v>1</v>
      </c>
      <c r="U6197" s="0" t="n">
        <f aca="false">F6197*F6197</f>
        <v>0</v>
      </c>
      <c r="V6197" s="0" t="n">
        <f aca="false">G6197*G6197</f>
        <v>0</v>
      </c>
      <c r="W6197" s="0" t="n">
        <f aca="false">H6197*H6197</f>
        <v>1</v>
      </c>
      <c r="X6197" s="0" t="n">
        <f aca="false">SUMPRODUCT(I6197:W6197,_XtX!$B$96:$P$96)</f>
        <v>46.4179824561404</v>
      </c>
      <c r="Y6197" s="0" t="n">
        <f aca="false">SUMPRODUCT(MMULT(I6197:W6197,_XtX!$B$78:$P$92),I6197:W6197)</f>
        <v>0.708698830409357</v>
      </c>
      <c r="Z6197" s="0" t="n">
        <f aca="false">04_回帰ANOVA!$K$19*04_回帰ANOVA!$K$14*SQRT(1+Y6197)</f>
        <v>1.70384919651719</v>
      </c>
      <c r="AA6197" s="0" t="n">
        <f aca="false">X6197-Z6197</f>
        <v>44.7141332596232</v>
      </c>
      <c r="AB6197" s="0" t="n">
        <f aca="false">X6197+Z6197</f>
        <v>48.1218316526576</v>
      </c>
      <c r="AC6197" s="54" t="b">
        <f aca="false">AND(E6197&gt;=01_因子設定!$L$5-0.000000001,E6197&lt;=01_因子設定!$M$5+0.000000001,F6197&gt;=01_因子設定!$L$6-0.000000001,F6197&lt;=01_因子設定!$M$6+0.000000001,G6197&gt;=01_因子設定!$L$7-0.000000001,G6197&lt;=01_因子設定!$M$7+0.000000001,H6197&gt;=01_因子設定!$L$8-0.000000001,H6197&lt;=01_因子設定!$M$8+0.000000001,IF(01_因子設定!$B$20="Box-Behnken",E6197^2+F6197^2+G6197^2+H6197^2&lt;=2+0.000000001,TRUE()))</f>
        <v>1</v>
      </c>
      <c r="AD6197" s="55" t="n">
        <f aca="false">IF(AC6197,IF(01_因子設定!$B$13="最大化",AA6197-01_因子設定!$B$14,IF(01_因子設定!$B$13="最小化",01_因子設定!$B$15-AB6197,MIN(AA6197-01_因子設定!$B$14,01_因子設定!$B$15-AB6197))),-1E+030)</f>
        <v>-1.78586674037678</v>
      </c>
      <c r="AE6197" s="55" t="n">
        <f aca="false">IF(AC6197,IF(01_因子設定!$B$13="最大化",X6197,IF(01_因子設定!$B$13="最小化",-X6197,-ABS(X6197-01_因子設定!$B$16))),-1E+030)</f>
        <v>46.4179824561404</v>
      </c>
      <c r="AF6197" s="55" t="n">
        <f aca="false">AD6197+ROW()*0.000000001</f>
        <v>-1.78586054337678</v>
      </c>
      <c r="AG6197" s="55" t="n">
        <f aca="false">AE6197+ROW()*0.000000001</f>
        <v>46.4179886531404</v>
      </c>
    </row>
    <row r="6198" customFormat="false" ht="15" hidden="false" customHeight="false" outlineLevel="0" collapsed="false">
      <c r="A6198" s="0" t="n">
        <v>8</v>
      </c>
      <c r="B6198" s="0" t="n">
        <v>4</v>
      </c>
      <c r="C6198" s="0" t="n">
        <v>4</v>
      </c>
      <c r="D6198" s="0" t="n">
        <v>1</v>
      </c>
      <c r="E6198" s="0" t="n">
        <f aca="false">-1+A6198*0.25</f>
        <v>1</v>
      </c>
      <c r="F6198" s="0" t="n">
        <f aca="false">-1+B6198*0.25</f>
        <v>0</v>
      </c>
      <c r="G6198" s="0" t="n">
        <f aca="false">-1+C6198*0.25</f>
        <v>0</v>
      </c>
      <c r="H6198" s="0" t="n">
        <f aca="false">-1+D6198*0.25</f>
        <v>-0.75</v>
      </c>
      <c r="I6198" s="0" t="n">
        <f aca="false">1</f>
        <v>1</v>
      </c>
      <c r="J6198" s="0" t="n">
        <f aca="false">E6198</f>
        <v>1</v>
      </c>
      <c r="K6198" s="0" t="n">
        <f aca="false">F6198</f>
        <v>0</v>
      </c>
      <c r="L6198" s="0" t="n">
        <f aca="false">G6198</f>
        <v>0</v>
      </c>
      <c r="M6198" s="0" t="n">
        <f aca="false">H6198</f>
        <v>-0.75</v>
      </c>
      <c r="N6198" s="0" t="n">
        <f aca="false">E6198*F6198</f>
        <v>0</v>
      </c>
      <c r="O6198" s="0" t="n">
        <f aca="false">E6198*G6198</f>
        <v>0</v>
      </c>
      <c r="P6198" s="0" t="n">
        <f aca="false">E6198*H6198</f>
        <v>-0.75</v>
      </c>
      <c r="Q6198" s="0" t="n">
        <f aca="false">F6198*G6198</f>
        <v>0</v>
      </c>
      <c r="R6198" s="0" t="n">
        <f aca="false">F6198*H6198</f>
        <v>-0</v>
      </c>
      <c r="S6198" s="0" t="n">
        <f aca="false">G6198*H6198</f>
        <v>-0</v>
      </c>
      <c r="T6198" s="0" t="n">
        <f aca="false">E6198*E6198</f>
        <v>1</v>
      </c>
      <c r="U6198" s="0" t="n">
        <f aca="false">F6198*F6198</f>
        <v>0</v>
      </c>
      <c r="V6198" s="0" t="n">
        <f aca="false">G6198*G6198</f>
        <v>0</v>
      </c>
      <c r="W6198" s="0" t="n">
        <f aca="false">H6198*H6198</f>
        <v>0.5625</v>
      </c>
      <c r="X6198" s="0" t="n">
        <f aca="false">SUMPRODUCT(I6198:W6198,_XtX!$B$96:$P$96)</f>
        <v>46.7179459064328</v>
      </c>
      <c r="Y6198" s="0" t="n">
        <f aca="false">SUMPRODUCT(MMULT(I6198:W6198,_XtX!$B$78:$P$92),I6198:W6198)</f>
        <v>0.516013340643275</v>
      </c>
      <c r="Z6198" s="0" t="n">
        <f aca="false">04_回帰ANOVA!$K$19*04_回帰ANOVA!$K$14*SQRT(1+Y6198)</f>
        <v>1.60490712175667</v>
      </c>
      <c r="AA6198" s="0" t="n">
        <f aca="false">X6198-Z6198</f>
        <v>45.1130387846761</v>
      </c>
      <c r="AB6198" s="0" t="n">
        <f aca="false">X6198+Z6198</f>
        <v>48.3228530281895</v>
      </c>
      <c r="AC6198" s="54" t="b">
        <f aca="false">AND(E6198&gt;=01_因子設定!$L$5-0.000000001,E6198&lt;=01_因子設定!$M$5+0.000000001,F6198&gt;=01_因子設定!$L$6-0.000000001,F6198&lt;=01_因子設定!$M$6+0.000000001,G6198&gt;=01_因子設定!$L$7-0.000000001,G6198&lt;=01_因子設定!$M$7+0.000000001,H6198&gt;=01_因子設定!$L$8-0.000000001,H6198&lt;=01_因子設定!$M$8+0.000000001,IF(01_因子設定!$B$20="Box-Behnken",E6198^2+F6198^2+G6198^2+H6198^2&lt;=2+0.000000001,TRUE()))</f>
        <v>1</v>
      </c>
      <c r="AD6198" s="55" t="n">
        <f aca="false">IF(AC6198,IF(01_因子設定!$B$13="最大化",AA6198-01_因子設定!$B$14,IF(01_因子設定!$B$13="最小化",01_因子設定!$B$15-AB6198,MIN(AA6198-01_因子設定!$B$14,01_因子設定!$B$15-AB6198))),-1E+030)</f>
        <v>-1.38696121532387</v>
      </c>
      <c r="AE6198" s="55" t="n">
        <f aca="false">IF(AC6198,IF(01_因子設定!$B$13="最大化",X6198,IF(01_因子設定!$B$13="最小化",-X6198,-ABS(X6198-01_因子設定!$B$16))),-1E+030)</f>
        <v>46.7179459064328</v>
      </c>
      <c r="AF6198" s="55" t="n">
        <f aca="false">AD6198+ROW()*0.000000001</f>
        <v>-1.38695501732387</v>
      </c>
      <c r="AG6198" s="55" t="n">
        <f aca="false">AE6198+ROW()*0.000000001</f>
        <v>46.7179521044328</v>
      </c>
    </row>
    <row r="6199" customFormat="false" ht="15" hidden="false" customHeight="false" outlineLevel="0" collapsed="false">
      <c r="A6199" s="0" t="n">
        <v>8</v>
      </c>
      <c r="B6199" s="0" t="n">
        <v>4</v>
      </c>
      <c r="C6199" s="0" t="n">
        <v>4</v>
      </c>
      <c r="D6199" s="0" t="n">
        <v>2</v>
      </c>
      <c r="E6199" s="0" t="n">
        <f aca="false">-1+A6199*0.25</f>
        <v>1</v>
      </c>
      <c r="F6199" s="0" t="n">
        <f aca="false">-1+B6199*0.25</f>
        <v>0</v>
      </c>
      <c r="G6199" s="0" t="n">
        <f aca="false">-1+C6199*0.25</f>
        <v>0</v>
      </c>
      <c r="H6199" s="0" t="n">
        <f aca="false">-1+D6199*0.25</f>
        <v>-0.5</v>
      </c>
      <c r="I6199" s="0" t="n">
        <f aca="false">1</f>
        <v>1</v>
      </c>
      <c r="J6199" s="0" t="n">
        <f aca="false">E6199</f>
        <v>1</v>
      </c>
      <c r="K6199" s="0" t="n">
        <f aca="false">F6199</f>
        <v>0</v>
      </c>
      <c r="L6199" s="0" t="n">
        <f aca="false">G6199</f>
        <v>0</v>
      </c>
      <c r="M6199" s="0" t="n">
        <f aca="false">H6199</f>
        <v>-0.5</v>
      </c>
      <c r="N6199" s="0" t="n">
        <f aca="false">E6199*F6199</f>
        <v>0</v>
      </c>
      <c r="O6199" s="0" t="n">
        <f aca="false">E6199*G6199</f>
        <v>0</v>
      </c>
      <c r="P6199" s="0" t="n">
        <f aca="false">E6199*H6199</f>
        <v>-0.5</v>
      </c>
      <c r="Q6199" s="0" t="n">
        <f aca="false">F6199*G6199</f>
        <v>0</v>
      </c>
      <c r="R6199" s="0" t="n">
        <f aca="false">F6199*H6199</f>
        <v>-0</v>
      </c>
      <c r="S6199" s="0" t="n">
        <f aca="false">G6199*H6199</f>
        <v>-0</v>
      </c>
      <c r="T6199" s="0" t="n">
        <f aca="false">E6199*E6199</f>
        <v>1</v>
      </c>
      <c r="U6199" s="0" t="n">
        <f aca="false">F6199*F6199</f>
        <v>0</v>
      </c>
      <c r="V6199" s="0" t="n">
        <f aca="false">G6199*G6199</f>
        <v>0</v>
      </c>
      <c r="W6199" s="0" t="n">
        <f aca="false">H6199*H6199</f>
        <v>0.25</v>
      </c>
      <c r="X6199" s="0" t="n">
        <f aca="false">SUMPRODUCT(I6199:W6199,_XtX!$B$96:$P$96)</f>
        <v>46.9701023391813</v>
      </c>
      <c r="Y6199" s="0" t="n">
        <f aca="false">SUMPRODUCT(MMULT(I6199:W6199,_XtX!$B$78:$P$92),I6199:W6199)</f>
        <v>0.468841374269006</v>
      </c>
      <c r="Z6199" s="0" t="n">
        <f aca="false">04_回帰ANOVA!$K$19*04_回帰ANOVA!$K$14*SQRT(1+Y6199)</f>
        <v>1.57974082366087</v>
      </c>
      <c r="AA6199" s="0" t="n">
        <f aca="false">X6199-Z6199</f>
        <v>45.3903615155204</v>
      </c>
      <c r="AB6199" s="0" t="n">
        <f aca="false">X6199+Z6199</f>
        <v>48.5498431628422</v>
      </c>
      <c r="AC6199" s="54" t="b">
        <f aca="false">AND(E6199&gt;=01_因子設定!$L$5-0.000000001,E6199&lt;=01_因子設定!$M$5+0.000000001,F6199&gt;=01_因子設定!$L$6-0.000000001,F6199&lt;=01_因子設定!$M$6+0.000000001,G6199&gt;=01_因子設定!$L$7-0.000000001,G6199&lt;=01_因子設定!$M$7+0.000000001,H6199&gt;=01_因子設定!$L$8-0.000000001,H6199&lt;=01_因子設定!$M$8+0.000000001,IF(01_因子設定!$B$20="Box-Behnken",E6199^2+F6199^2+G6199^2+H6199^2&lt;=2+0.000000001,TRUE()))</f>
        <v>1</v>
      </c>
      <c r="AD6199" s="55" t="n">
        <f aca="false">IF(AC6199,IF(01_因子設定!$B$13="最大化",AA6199-01_因子設定!$B$14,IF(01_因子設定!$B$13="最小化",01_因子設定!$B$15-AB6199,MIN(AA6199-01_因子設定!$B$14,01_因子設定!$B$15-AB6199))),-1E+030)</f>
        <v>-1.10963848447955</v>
      </c>
      <c r="AE6199" s="55" t="n">
        <f aca="false">IF(AC6199,IF(01_因子設定!$B$13="最大化",X6199,IF(01_因子設定!$B$13="最小化",-X6199,-ABS(X6199-01_因子設定!$B$16))),-1E+030)</f>
        <v>46.9701023391813</v>
      </c>
      <c r="AF6199" s="55" t="n">
        <f aca="false">AD6199+ROW()*0.000000001</f>
        <v>-1.10963228547955</v>
      </c>
      <c r="AG6199" s="55" t="n">
        <f aca="false">AE6199+ROW()*0.000000001</f>
        <v>46.9701085381813</v>
      </c>
    </row>
    <row r="6200" customFormat="false" ht="15" hidden="false" customHeight="false" outlineLevel="0" collapsed="false">
      <c r="A6200" s="0" t="n">
        <v>8</v>
      </c>
      <c r="B6200" s="0" t="n">
        <v>4</v>
      </c>
      <c r="C6200" s="0" t="n">
        <v>4</v>
      </c>
      <c r="D6200" s="0" t="n">
        <v>3</v>
      </c>
      <c r="E6200" s="0" t="n">
        <f aca="false">-1+A6200*0.25</f>
        <v>1</v>
      </c>
      <c r="F6200" s="0" t="n">
        <f aca="false">-1+B6200*0.25</f>
        <v>0</v>
      </c>
      <c r="G6200" s="0" t="n">
        <f aca="false">-1+C6200*0.25</f>
        <v>0</v>
      </c>
      <c r="H6200" s="0" t="n">
        <f aca="false">-1+D6200*0.25</f>
        <v>-0.25</v>
      </c>
      <c r="I6200" s="0" t="n">
        <f aca="false">1</f>
        <v>1</v>
      </c>
      <c r="J6200" s="0" t="n">
        <f aca="false">E6200</f>
        <v>1</v>
      </c>
      <c r="K6200" s="0" t="n">
        <f aca="false">F6200</f>
        <v>0</v>
      </c>
      <c r="L6200" s="0" t="n">
        <f aca="false">G6200</f>
        <v>0</v>
      </c>
      <c r="M6200" s="0" t="n">
        <f aca="false">H6200</f>
        <v>-0.25</v>
      </c>
      <c r="N6200" s="0" t="n">
        <f aca="false">E6200*F6200</f>
        <v>0</v>
      </c>
      <c r="O6200" s="0" t="n">
        <f aca="false">E6200*G6200</f>
        <v>0</v>
      </c>
      <c r="P6200" s="0" t="n">
        <f aca="false">E6200*H6200</f>
        <v>-0.25</v>
      </c>
      <c r="Q6200" s="0" t="n">
        <f aca="false">F6200*G6200</f>
        <v>0</v>
      </c>
      <c r="R6200" s="0" t="n">
        <f aca="false">F6200*H6200</f>
        <v>-0</v>
      </c>
      <c r="S6200" s="0" t="n">
        <f aca="false">G6200*H6200</f>
        <v>-0</v>
      </c>
      <c r="T6200" s="0" t="n">
        <f aca="false">E6200*E6200</f>
        <v>1</v>
      </c>
      <c r="U6200" s="0" t="n">
        <f aca="false">F6200*F6200</f>
        <v>0</v>
      </c>
      <c r="V6200" s="0" t="n">
        <f aca="false">G6200*G6200</f>
        <v>0</v>
      </c>
      <c r="W6200" s="0" t="n">
        <f aca="false">H6200*H6200</f>
        <v>0.0625</v>
      </c>
      <c r="X6200" s="0" t="n">
        <f aca="false">SUMPRODUCT(I6200:W6200,_XtX!$B$96:$P$96)</f>
        <v>47.174451754386</v>
      </c>
      <c r="Y6200" s="0" t="n">
        <f aca="false">SUMPRODUCT(MMULT(I6200:W6200,_XtX!$B$78:$P$92),I6200:W6200)</f>
        <v>0.47672240497076</v>
      </c>
      <c r="Z6200" s="0" t="n">
        <f aca="false">04_回帰ANOVA!$K$19*04_回帰ANOVA!$K$14*SQRT(1+Y6200)</f>
        <v>1.58397318352695</v>
      </c>
      <c r="AA6200" s="0" t="n">
        <f aca="false">X6200-Z6200</f>
        <v>45.5904785708591</v>
      </c>
      <c r="AB6200" s="0" t="n">
        <f aca="false">X6200+Z6200</f>
        <v>48.7584249379129</v>
      </c>
      <c r="AC6200" s="54" t="b">
        <f aca="false">AND(E6200&gt;=01_因子設定!$L$5-0.000000001,E6200&lt;=01_因子設定!$M$5+0.000000001,F6200&gt;=01_因子設定!$L$6-0.000000001,F6200&lt;=01_因子設定!$M$6+0.000000001,G6200&gt;=01_因子設定!$L$7-0.000000001,G6200&lt;=01_因子設定!$M$7+0.000000001,H6200&gt;=01_因子設定!$L$8-0.000000001,H6200&lt;=01_因子設定!$M$8+0.000000001,IF(01_因子設定!$B$20="Box-Behnken",E6200^2+F6200^2+G6200^2+H6200^2&lt;=2+0.000000001,TRUE()))</f>
        <v>1</v>
      </c>
      <c r="AD6200" s="55" t="n">
        <f aca="false">IF(AC6200,IF(01_因子設定!$B$13="最大化",AA6200-01_因子設定!$B$14,IF(01_因子設定!$B$13="最小化",01_因子設定!$B$15-AB6200,MIN(AA6200-01_因子設定!$B$14,01_因子設定!$B$15-AB6200))),-1E+030)</f>
        <v>-0.909521429140952</v>
      </c>
      <c r="AE6200" s="55" t="n">
        <f aca="false">IF(AC6200,IF(01_因子設定!$B$13="最大化",X6200,IF(01_因子設定!$B$13="最小化",-X6200,-ABS(X6200-01_因子設定!$B$16))),-1E+030)</f>
        <v>47.174451754386</v>
      </c>
      <c r="AF6200" s="55" t="n">
        <f aca="false">AD6200+ROW()*0.000000001</f>
        <v>-0.909515229140952</v>
      </c>
      <c r="AG6200" s="55" t="n">
        <f aca="false">AE6200+ROW()*0.000000001</f>
        <v>47.174457954386</v>
      </c>
    </row>
    <row r="6201" customFormat="false" ht="15" hidden="false" customHeight="false" outlineLevel="0" collapsed="false">
      <c r="A6201" s="0" t="n">
        <v>8</v>
      </c>
      <c r="B6201" s="0" t="n">
        <v>4</v>
      </c>
      <c r="C6201" s="0" t="n">
        <v>4</v>
      </c>
      <c r="D6201" s="0" t="n">
        <v>4</v>
      </c>
      <c r="E6201" s="0" t="n">
        <f aca="false">-1+A6201*0.25</f>
        <v>1</v>
      </c>
      <c r="F6201" s="0" t="n">
        <f aca="false">-1+B6201*0.25</f>
        <v>0</v>
      </c>
      <c r="G6201" s="0" t="n">
        <f aca="false">-1+C6201*0.25</f>
        <v>0</v>
      </c>
      <c r="H6201" s="0" t="n">
        <f aca="false">-1+D6201*0.25</f>
        <v>0</v>
      </c>
      <c r="I6201" s="0" t="n">
        <f aca="false">1</f>
        <v>1</v>
      </c>
      <c r="J6201" s="0" t="n">
        <f aca="false">E6201</f>
        <v>1</v>
      </c>
      <c r="K6201" s="0" t="n">
        <f aca="false">F6201</f>
        <v>0</v>
      </c>
      <c r="L6201" s="0" t="n">
        <f aca="false">G6201</f>
        <v>0</v>
      </c>
      <c r="M6201" s="0" t="n">
        <f aca="false">H6201</f>
        <v>0</v>
      </c>
      <c r="N6201" s="0" t="n">
        <f aca="false">E6201*F6201</f>
        <v>0</v>
      </c>
      <c r="O6201" s="0" t="n">
        <f aca="false">E6201*G6201</f>
        <v>0</v>
      </c>
      <c r="P6201" s="0" t="n">
        <f aca="false">E6201*H6201</f>
        <v>0</v>
      </c>
      <c r="Q6201" s="0" t="n">
        <f aca="false">F6201*G6201</f>
        <v>0</v>
      </c>
      <c r="R6201" s="0" t="n">
        <f aca="false">F6201*H6201</f>
        <v>0</v>
      </c>
      <c r="S6201" s="0" t="n">
        <f aca="false">G6201*H6201</f>
        <v>0</v>
      </c>
      <c r="T6201" s="0" t="n">
        <f aca="false">E6201*E6201</f>
        <v>1</v>
      </c>
      <c r="U6201" s="0" t="n">
        <f aca="false">F6201*F6201</f>
        <v>0</v>
      </c>
      <c r="V6201" s="0" t="n">
        <f aca="false">G6201*G6201</f>
        <v>0</v>
      </c>
      <c r="W6201" s="0" t="n">
        <f aca="false">H6201*H6201</f>
        <v>0</v>
      </c>
      <c r="X6201" s="0" t="n">
        <f aca="false">SUMPRODUCT(I6201:W6201,_XtX!$B$96:$P$96)</f>
        <v>47.3309941520468</v>
      </c>
      <c r="Y6201" s="0" t="n">
        <f aca="false">SUMPRODUCT(MMULT(I6201:W6201,_XtX!$B$78:$P$92),I6201:W6201)</f>
        <v>0.485380116959064</v>
      </c>
      <c r="Z6201" s="0" t="n">
        <f aca="false">04_回帰ANOVA!$K$19*04_回帰ANOVA!$K$14*SQRT(1+Y6201)</f>
        <v>1.58860964814545</v>
      </c>
      <c r="AA6201" s="0" t="n">
        <f aca="false">X6201-Z6201</f>
        <v>45.7423845039014</v>
      </c>
      <c r="AB6201" s="0" t="n">
        <f aca="false">X6201+Z6201</f>
        <v>48.9196038001923</v>
      </c>
      <c r="AC6201" s="54" t="b">
        <f aca="false">AND(E6201&gt;=01_因子設定!$L$5-0.000000001,E6201&lt;=01_因子設定!$M$5+0.000000001,F6201&gt;=01_因子設定!$L$6-0.000000001,F6201&lt;=01_因子設定!$M$6+0.000000001,G6201&gt;=01_因子設定!$L$7-0.000000001,G6201&lt;=01_因子設定!$M$7+0.000000001,H6201&gt;=01_因子設定!$L$8-0.000000001,H6201&lt;=01_因子設定!$M$8+0.000000001,IF(01_因子設定!$B$20="Box-Behnken",E6201^2+F6201^2+G6201^2+H6201^2&lt;=2+0.000000001,TRUE()))</f>
        <v>1</v>
      </c>
      <c r="AD6201" s="55" t="n">
        <f aca="false">IF(AC6201,IF(01_因子設定!$B$13="最大化",AA6201-01_因子設定!$B$14,IF(01_因子設定!$B$13="最小化",01_因子設定!$B$15-AB6201,MIN(AA6201-01_因子設定!$B$14,01_因子設定!$B$15-AB6201))),-1E+030)</f>
        <v>-0.757615496098644</v>
      </c>
      <c r="AE6201" s="55" t="n">
        <f aca="false">IF(AC6201,IF(01_因子設定!$B$13="最大化",X6201,IF(01_因子設定!$B$13="最小化",-X6201,-ABS(X6201-01_因子設定!$B$16))),-1E+030)</f>
        <v>47.3309941520468</v>
      </c>
      <c r="AF6201" s="55" t="n">
        <f aca="false">AD6201+ROW()*0.000000001</f>
        <v>-0.757609295098644</v>
      </c>
      <c r="AG6201" s="55" t="n">
        <f aca="false">AE6201+ROW()*0.000000001</f>
        <v>47.3310003530468</v>
      </c>
    </row>
    <row r="6202" customFormat="false" ht="15" hidden="false" customHeight="false" outlineLevel="0" collapsed="false">
      <c r="A6202" s="0" t="n">
        <v>8</v>
      </c>
      <c r="B6202" s="0" t="n">
        <v>4</v>
      </c>
      <c r="C6202" s="0" t="n">
        <v>4</v>
      </c>
      <c r="D6202" s="0" t="n">
        <v>5</v>
      </c>
      <c r="E6202" s="0" t="n">
        <f aca="false">-1+A6202*0.25</f>
        <v>1</v>
      </c>
      <c r="F6202" s="0" t="n">
        <f aca="false">-1+B6202*0.25</f>
        <v>0</v>
      </c>
      <c r="G6202" s="0" t="n">
        <f aca="false">-1+C6202*0.25</f>
        <v>0</v>
      </c>
      <c r="H6202" s="0" t="n">
        <f aca="false">-1+D6202*0.25</f>
        <v>0.25</v>
      </c>
      <c r="I6202" s="0" t="n">
        <f aca="false">1</f>
        <v>1</v>
      </c>
      <c r="J6202" s="0" t="n">
        <f aca="false">E6202</f>
        <v>1</v>
      </c>
      <c r="K6202" s="0" t="n">
        <f aca="false">F6202</f>
        <v>0</v>
      </c>
      <c r="L6202" s="0" t="n">
        <f aca="false">G6202</f>
        <v>0</v>
      </c>
      <c r="M6202" s="0" t="n">
        <f aca="false">H6202</f>
        <v>0.25</v>
      </c>
      <c r="N6202" s="0" t="n">
        <f aca="false">E6202*F6202</f>
        <v>0</v>
      </c>
      <c r="O6202" s="0" t="n">
        <f aca="false">E6202*G6202</f>
        <v>0</v>
      </c>
      <c r="P6202" s="0" t="n">
        <f aca="false">E6202*H6202</f>
        <v>0.25</v>
      </c>
      <c r="Q6202" s="0" t="n">
        <f aca="false">F6202*G6202</f>
        <v>0</v>
      </c>
      <c r="R6202" s="0" t="n">
        <f aca="false">F6202*H6202</f>
        <v>0</v>
      </c>
      <c r="S6202" s="0" t="n">
        <f aca="false">G6202*H6202</f>
        <v>0</v>
      </c>
      <c r="T6202" s="0" t="n">
        <f aca="false">E6202*E6202</f>
        <v>1</v>
      </c>
      <c r="U6202" s="0" t="n">
        <f aca="false">F6202*F6202</f>
        <v>0</v>
      </c>
      <c r="V6202" s="0" t="n">
        <f aca="false">G6202*G6202</f>
        <v>0</v>
      </c>
      <c r="W6202" s="0" t="n">
        <f aca="false">H6202*H6202</f>
        <v>0.0625</v>
      </c>
      <c r="X6202" s="0" t="n">
        <f aca="false">SUMPRODUCT(I6202:W6202,_XtX!$B$96:$P$96)</f>
        <v>47.4397295321638</v>
      </c>
      <c r="Y6202" s="0" t="n">
        <f aca="false">SUMPRODUCT(MMULT(I6202:W6202,_XtX!$B$78:$P$92),I6202:W6202)</f>
        <v>0.47672240497076</v>
      </c>
      <c r="Z6202" s="0" t="n">
        <f aca="false">04_回帰ANOVA!$K$19*04_回帰ANOVA!$K$14*SQRT(1+Y6202)</f>
        <v>1.58397318352695</v>
      </c>
      <c r="AA6202" s="0" t="n">
        <f aca="false">X6202-Z6202</f>
        <v>45.8557563486368</v>
      </c>
      <c r="AB6202" s="0" t="n">
        <f aca="false">X6202+Z6202</f>
        <v>49.0237027156907</v>
      </c>
      <c r="AC6202" s="54" t="b">
        <f aca="false">AND(E6202&gt;=01_因子設定!$L$5-0.000000001,E6202&lt;=01_因子設定!$M$5+0.000000001,F6202&gt;=01_因子設定!$L$6-0.000000001,F6202&lt;=01_因子設定!$M$6+0.000000001,G6202&gt;=01_因子設定!$L$7-0.000000001,G6202&lt;=01_因子設定!$M$7+0.000000001,H6202&gt;=01_因子設定!$L$8-0.000000001,H6202&lt;=01_因子設定!$M$8+0.000000001,IF(01_因子設定!$B$20="Box-Behnken",E6202^2+F6202^2+G6202^2+H6202^2&lt;=2+0.000000001,TRUE()))</f>
        <v>1</v>
      </c>
      <c r="AD6202" s="55" t="n">
        <f aca="false">IF(AC6202,IF(01_因子設定!$B$13="最大化",AA6202-01_因子設定!$B$14,IF(01_因子設定!$B$13="最小化",01_因子設定!$B$15-AB6202,MIN(AA6202-01_因子設定!$B$14,01_因子設定!$B$15-AB6202))),-1E+030)</f>
        <v>-0.644243651363176</v>
      </c>
      <c r="AE6202" s="55" t="n">
        <f aca="false">IF(AC6202,IF(01_因子設定!$B$13="最大化",X6202,IF(01_因子設定!$B$13="最小化",-X6202,-ABS(X6202-01_因子設定!$B$16))),-1E+030)</f>
        <v>47.4397295321638</v>
      </c>
      <c r="AF6202" s="55" t="n">
        <f aca="false">AD6202+ROW()*0.000000001</f>
        <v>-0.644237449363176</v>
      </c>
      <c r="AG6202" s="55" t="n">
        <f aca="false">AE6202+ROW()*0.000000001</f>
        <v>47.4397357341638</v>
      </c>
    </row>
    <row r="6203" customFormat="false" ht="15" hidden="false" customHeight="false" outlineLevel="0" collapsed="false">
      <c r="A6203" s="0" t="n">
        <v>8</v>
      </c>
      <c r="B6203" s="0" t="n">
        <v>4</v>
      </c>
      <c r="C6203" s="0" t="n">
        <v>4</v>
      </c>
      <c r="D6203" s="0" t="n">
        <v>6</v>
      </c>
      <c r="E6203" s="0" t="n">
        <f aca="false">-1+A6203*0.25</f>
        <v>1</v>
      </c>
      <c r="F6203" s="0" t="n">
        <f aca="false">-1+B6203*0.25</f>
        <v>0</v>
      </c>
      <c r="G6203" s="0" t="n">
        <f aca="false">-1+C6203*0.25</f>
        <v>0</v>
      </c>
      <c r="H6203" s="0" t="n">
        <f aca="false">-1+D6203*0.25</f>
        <v>0.5</v>
      </c>
      <c r="I6203" s="0" t="n">
        <f aca="false">1</f>
        <v>1</v>
      </c>
      <c r="J6203" s="0" t="n">
        <f aca="false">E6203</f>
        <v>1</v>
      </c>
      <c r="K6203" s="0" t="n">
        <f aca="false">F6203</f>
        <v>0</v>
      </c>
      <c r="L6203" s="0" t="n">
        <f aca="false">G6203</f>
        <v>0</v>
      </c>
      <c r="M6203" s="0" t="n">
        <f aca="false">H6203</f>
        <v>0.5</v>
      </c>
      <c r="N6203" s="0" t="n">
        <f aca="false">E6203*F6203</f>
        <v>0</v>
      </c>
      <c r="O6203" s="0" t="n">
        <f aca="false">E6203*G6203</f>
        <v>0</v>
      </c>
      <c r="P6203" s="0" t="n">
        <f aca="false">E6203*H6203</f>
        <v>0.5</v>
      </c>
      <c r="Q6203" s="0" t="n">
        <f aca="false">F6203*G6203</f>
        <v>0</v>
      </c>
      <c r="R6203" s="0" t="n">
        <f aca="false">F6203*H6203</f>
        <v>0</v>
      </c>
      <c r="S6203" s="0" t="n">
        <f aca="false">G6203*H6203</f>
        <v>0</v>
      </c>
      <c r="T6203" s="0" t="n">
        <f aca="false">E6203*E6203</f>
        <v>1</v>
      </c>
      <c r="U6203" s="0" t="n">
        <f aca="false">F6203*F6203</f>
        <v>0</v>
      </c>
      <c r="V6203" s="0" t="n">
        <f aca="false">G6203*G6203</f>
        <v>0</v>
      </c>
      <c r="W6203" s="0" t="n">
        <f aca="false">H6203*H6203</f>
        <v>0.25</v>
      </c>
      <c r="X6203" s="0" t="n">
        <f aca="false">SUMPRODUCT(I6203:W6203,_XtX!$B$96:$P$96)</f>
        <v>47.5006578947369</v>
      </c>
      <c r="Y6203" s="0" t="n">
        <f aca="false">SUMPRODUCT(MMULT(I6203:W6203,_XtX!$B$78:$P$92),I6203:W6203)</f>
        <v>0.468841374269006</v>
      </c>
      <c r="Z6203" s="0" t="n">
        <f aca="false">04_回帰ANOVA!$K$19*04_回帰ANOVA!$K$14*SQRT(1+Y6203)</f>
        <v>1.57974082366087</v>
      </c>
      <c r="AA6203" s="0" t="n">
        <f aca="false">X6203-Z6203</f>
        <v>45.920917071076</v>
      </c>
      <c r="AB6203" s="0" t="n">
        <f aca="false">X6203+Z6203</f>
        <v>49.0803987183978</v>
      </c>
      <c r="AC6203" s="54" t="b">
        <f aca="false">AND(E6203&gt;=01_因子設定!$L$5-0.000000001,E6203&lt;=01_因子設定!$M$5+0.000000001,F6203&gt;=01_因子設定!$L$6-0.000000001,F6203&lt;=01_因子設定!$M$6+0.000000001,G6203&gt;=01_因子設定!$L$7-0.000000001,G6203&lt;=01_因子設定!$M$7+0.000000001,H6203&gt;=01_因子設定!$L$8-0.000000001,H6203&lt;=01_因子設定!$M$8+0.000000001,IF(01_因子設定!$B$20="Box-Behnken",E6203^2+F6203^2+G6203^2+H6203^2&lt;=2+0.000000001,TRUE()))</f>
        <v>1</v>
      </c>
      <c r="AD6203" s="55" t="n">
        <f aca="false">IF(AC6203,IF(01_因子設定!$B$13="最大化",AA6203-01_因子設定!$B$14,IF(01_因子設定!$B$13="最小化",01_因子設定!$B$15-AB6203,MIN(AA6203-01_因子設定!$B$14,01_因子設定!$B$15-AB6203))),-1E+030)</f>
        <v>-0.579082928924002</v>
      </c>
      <c r="AE6203" s="55" t="n">
        <f aca="false">IF(AC6203,IF(01_因子設定!$B$13="最大化",X6203,IF(01_因子設定!$B$13="最小化",-X6203,-ABS(X6203-01_因子設定!$B$16))),-1E+030)</f>
        <v>47.5006578947369</v>
      </c>
      <c r="AF6203" s="55" t="n">
        <f aca="false">AD6203+ROW()*0.000000001</f>
        <v>-0.579076725924002</v>
      </c>
      <c r="AG6203" s="55" t="n">
        <f aca="false">AE6203+ROW()*0.000000001</f>
        <v>47.5006640977369</v>
      </c>
    </row>
    <row r="6204" customFormat="false" ht="15" hidden="false" customHeight="false" outlineLevel="0" collapsed="false">
      <c r="A6204" s="0" t="n">
        <v>8</v>
      </c>
      <c r="B6204" s="0" t="n">
        <v>4</v>
      </c>
      <c r="C6204" s="0" t="n">
        <v>4</v>
      </c>
      <c r="D6204" s="0" t="n">
        <v>7</v>
      </c>
      <c r="E6204" s="0" t="n">
        <f aca="false">-1+A6204*0.25</f>
        <v>1</v>
      </c>
      <c r="F6204" s="0" t="n">
        <f aca="false">-1+B6204*0.25</f>
        <v>0</v>
      </c>
      <c r="G6204" s="0" t="n">
        <f aca="false">-1+C6204*0.25</f>
        <v>0</v>
      </c>
      <c r="H6204" s="0" t="n">
        <f aca="false">-1+D6204*0.25</f>
        <v>0.75</v>
      </c>
      <c r="I6204" s="0" t="n">
        <f aca="false">1</f>
        <v>1</v>
      </c>
      <c r="J6204" s="0" t="n">
        <f aca="false">E6204</f>
        <v>1</v>
      </c>
      <c r="K6204" s="0" t="n">
        <f aca="false">F6204</f>
        <v>0</v>
      </c>
      <c r="L6204" s="0" t="n">
        <f aca="false">G6204</f>
        <v>0</v>
      </c>
      <c r="M6204" s="0" t="n">
        <f aca="false">H6204</f>
        <v>0.75</v>
      </c>
      <c r="N6204" s="0" t="n">
        <f aca="false">E6204*F6204</f>
        <v>0</v>
      </c>
      <c r="O6204" s="0" t="n">
        <f aca="false">E6204*G6204</f>
        <v>0</v>
      </c>
      <c r="P6204" s="0" t="n">
        <f aca="false">E6204*H6204</f>
        <v>0.75</v>
      </c>
      <c r="Q6204" s="0" t="n">
        <f aca="false">F6204*G6204</f>
        <v>0</v>
      </c>
      <c r="R6204" s="0" t="n">
        <f aca="false">F6204*H6204</f>
        <v>0</v>
      </c>
      <c r="S6204" s="0" t="n">
        <f aca="false">G6204*H6204</f>
        <v>0</v>
      </c>
      <c r="T6204" s="0" t="n">
        <f aca="false">E6204*E6204</f>
        <v>1</v>
      </c>
      <c r="U6204" s="0" t="n">
        <f aca="false">F6204*F6204</f>
        <v>0</v>
      </c>
      <c r="V6204" s="0" t="n">
        <f aca="false">G6204*G6204</f>
        <v>0</v>
      </c>
      <c r="W6204" s="0" t="n">
        <f aca="false">H6204*H6204</f>
        <v>0.5625</v>
      </c>
      <c r="X6204" s="0" t="n">
        <f aca="false">SUMPRODUCT(I6204:W6204,_XtX!$B$96:$P$96)</f>
        <v>47.5137792397661</v>
      </c>
      <c r="Y6204" s="0" t="n">
        <f aca="false">SUMPRODUCT(MMULT(I6204:W6204,_XtX!$B$78:$P$92),I6204:W6204)</f>
        <v>0.516013340643275</v>
      </c>
      <c r="Z6204" s="0" t="n">
        <f aca="false">04_回帰ANOVA!$K$19*04_回帰ANOVA!$K$14*SQRT(1+Y6204)</f>
        <v>1.60490712175667</v>
      </c>
      <c r="AA6204" s="0" t="n">
        <f aca="false">X6204-Z6204</f>
        <v>45.9088721180095</v>
      </c>
      <c r="AB6204" s="0" t="n">
        <f aca="false">X6204+Z6204</f>
        <v>49.1186863615228</v>
      </c>
      <c r="AC6204" s="54" t="b">
        <f aca="false">AND(E6204&gt;=01_因子設定!$L$5-0.000000001,E6204&lt;=01_因子設定!$M$5+0.000000001,F6204&gt;=01_因子設定!$L$6-0.000000001,F6204&lt;=01_因子設定!$M$6+0.000000001,G6204&gt;=01_因子設定!$L$7-0.000000001,G6204&lt;=01_因子設定!$M$7+0.000000001,H6204&gt;=01_因子設定!$L$8-0.000000001,H6204&lt;=01_因子設定!$M$8+0.000000001,IF(01_因子設定!$B$20="Box-Behnken",E6204^2+F6204^2+G6204^2+H6204^2&lt;=2+0.000000001,TRUE()))</f>
        <v>1</v>
      </c>
      <c r="AD6204" s="55" t="n">
        <f aca="false">IF(AC6204,IF(01_因子設定!$B$13="最大化",AA6204-01_因子設定!$B$14,IF(01_因子設定!$B$13="最小化",01_因子設定!$B$15-AB6204,MIN(AA6204-01_因子設定!$B$14,01_因子設定!$B$15-AB6204))),-1E+030)</f>
        <v>-0.591127881990545</v>
      </c>
      <c r="AE6204" s="55" t="n">
        <f aca="false">IF(AC6204,IF(01_因子設定!$B$13="最大化",X6204,IF(01_因子設定!$B$13="最小化",-X6204,-ABS(X6204-01_因子設定!$B$16))),-1E+030)</f>
        <v>47.5137792397661</v>
      </c>
      <c r="AF6204" s="55" t="n">
        <f aca="false">AD6204+ROW()*0.000000001</f>
        <v>-0.591121677990545</v>
      </c>
      <c r="AG6204" s="55" t="n">
        <f aca="false">AE6204+ROW()*0.000000001</f>
        <v>47.5137854437661</v>
      </c>
    </row>
    <row r="6205" customFormat="false" ht="15" hidden="false" customHeight="false" outlineLevel="0" collapsed="false">
      <c r="A6205" s="0" t="n">
        <v>8</v>
      </c>
      <c r="B6205" s="0" t="n">
        <v>4</v>
      </c>
      <c r="C6205" s="0" t="n">
        <v>4</v>
      </c>
      <c r="D6205" s="0" t="n">
        <v>8</v>
      </c>
      <c r="E6205" s="0" t="n">
        <f aca="false">-1+A6205*0.25</f>
        <v>1</v>
      </c>
      <c r="F6205" s="0" t="n">
        <f aca="false">-1+B6205*0.25</f>
        <v>0</v>
      </c>
      <c r="G6205" s="0" t="n">
        <f aca="false">-1+C6205*0.25</f>
        <v>0</v>
      </c>
      <c r="H6205" s="0" t="n">
        <f aca="false">-1+D6205*0.25</f>
        <v>1</v>
      </c>
      <c r="I6205" s="0" t="n">
        <f aca="false">1</f>
        <v>1</v>
      </c>
      <c r="J6205" s="0" t="n">
        <f aca="false">E6205</f>
        <v>1</v>
      </c>
      <c r="K6205" s="0" t="n">
        <f aca="false">F6205</f>
        <v>0</v>
      </c>
      <c r="L6205" s="0" t="n">
        <f aca="false">G6205</f>
        <v>0</v>
      </c>
      <c r="M6205" s="0" t="n">
        <f aca="false">H6205</f>
        <v>1</v>
      </c>
      <c r="N6205" s="0" t="n">
        <f aca="false">E6205*F6205</f>
        <v>0</v>
      </c>
      <c r="O6205" s="0" t="n">
        <f aca="false">E6205*G6205</f>
        <v>0</v>
      </c>
      <c r="P6205" s="0" t="n">
        <f aca="false">E6205*H6205</f>
        <v>1</v>
      </c>
      <c r="Q6205" s="0" t="n">
        <f aca="false">F6205*G6205</f>
        <v>0</v>
      </c>
      <c r="R6205" s="0" t="n">
        <f aca="false">F6205*H6205</f>
        <v>0</v>
      </c>
      <c r="S6205" s="0" t="n">
        <f aca="false">G6205*H6205</f>
        <v>0</v>
      </c>
      <c r="T6205" s="0" t="n">
        <f aca="false">E6205*E6205</f>
        <v>1</v>
      </c>
      <c r="U6205" s="0" t="n">
        <f aca="false">F6205*F6205</f>
        <v>0</v>
      </c>
      <c r="V6205" s="0" t="n">
        <f aca="false">G6205*G6205</f>
        <v>0</v>
      </c>
      <c r="W6205" s="0" t="n">
        <f aca="false">H6205*H6205</f>
        <v>1</v>
      </c>
      <c r="X6205" s="0" t="n">
        <f aca="false">SUMPRODUCT(I6205:W6205,_XtX!$B$96:$P$96)</f>
        <v>47.4790935672515</v>
      </c>
      <c r="Y6205" s="0" t="n">
        <f aca="false">SUMPRODUCT(MMULT(I6205:W6205,_XtX!$B$78:$P$92),I6205:W6205)</f>
        <v>0.708698830409357</v>
      </c>
      <c r="Z6205" s="0" t="n">
        <f aca="false">04_回帰ANOVA!$K$19*04_回帰ANOVA!$K$14*SQRT(1+Y6205)</f>
        <v>1.70384919651719</v>
      </c>
      <c r="AA6205" s="0" t="n">
        <f aca="false">X6205-Z6205</f>
        <v>45.7752443707343</v>
      </c>
      <c r="AB6205" s="0" t="n">
        <f aca="false">X6205+Z6205</f>
        <v>49.1829427637687</v>
      </c>
      <c r="AC6205" s="54" t="b">
        <f aca="false">AND(E6205&gt;=01_因子設定!$L$5-0.000000001,E6205&lt;=01_因子設定!$M$5+0.000000001,F6205&gt;=01_因子設定!$L$6-0.000000001,F6205&lt;=01_因子設定!$M$6+0.000000001,G6205&gt;=01_因子設定!$L$7-0.000000001,G6205&lt;=01_因子設定!$M$7+0.000000001,H6205&gt;=01_因子設定!$L$8-0.000000001,H6205&lt;=01_因子設定!$M$8+0.000000001,IF(01_因子設定!$B$20="Box-Behnken",E6205^2+F6205^2+G6205^2+H6205^2&lt;=2+0.000000001,TRUE()))</f>
        <v>1</v>
      </c>
      <c r="AD6205" s="55" t="n">
        <f aca="false">IF(AC6205,IF(01_因子設定!$B$13="最大化",AA6205-01_因子設定!$B$14,IF(01_因子設定!$B$13="最小化",01_因子設定!$B$15-AB6205,MIN(AA6205-01_因子設定!$B$14,01_因子設定!$B$15-AB6205))),-1E+030)</f>
        <v>-0.724755629265665</v>
      </c>
      <c r="AE6205" s="55" t="n">
        <f aca="false">IF(AC6205,IF(01_因子設定!$B$13="最大化",X6205,IF(01_因子設定!$B$13="最小化",-X6205,-ABS(X6205-01_因子設定!$B$16))),-1E+030)</f>
        <v>47.4790935672515</v>
      </c>
      <c r="AF6205" s="55" t="n">
        <f aca="false">AD6205+ROW()*0.000000001</f>
        <v>-0.724749424265665</v>
      </c>
      <c r="AG6205" s="55" t="n">
        <f aca="false">AE6205+ROW()*0.000000001</f>
        <v>47.4790997722515</v>
      </c>
    </row>
    <row r="6206" customFormat="false" ht="15" hidden="false" customHeight="false" outlineLevel="0" collapsed="false">
      <c r="A6206" s="0" t="n">
        <v>8</v>
      </c>
      <c r="B6206" s="0" t="n">
        <v>4</v>
      </c>
      <c r="C6206" s="0" t="n">
        <v>5</v>
      </c>
      <c r="D6206" s="0" t="n">
        <v>0</v>
      </c>
      <c r="E6206" s="0" t="n">
        <f aca="false">-1+A6206*0.25</f>
        <v>1</v>
      </c>
      <c r="F6206" s="0" t="n">
        <f aca="false">-1+B6206*0.25</f>
        <v>0</v>
      </c>
      <c r="G6206" s="0" t="n">
        <f aca="false">-1+C6206*0.25</f>
        <v>0.25</v>
      </c>
      <c r="H6206" s="0" t="n">
        <f aca="false">-1+D6206*0.25</f>
        <v>-1</v>
      </c>
      <c r="I6206" s="0" t="n">
        <f aca="false">1</f>
        <v>1</v>
      </c>
      <c r="J6206" s="0" t="n">
        <f aca="false">E6206</f>
        <v>1</v>
      </c>
      <c r="K6206" s="0" t="n">
        <f aca="false">F6206</f>
        <v>0</v>
      </c>
      <c r="L6206" s="0" t="n">
        <f aca="false">G6206</f>
        <v>0.25</v>
      </c>
      <c r="M6206" s="0" t="n">
        <f aca="false">H6206</f>
        <v>-1</v>
      </c>
      <c r="N6206" s="0" t="n">
        <f aca="false">E6206*F6206</f>
        <v>0</v>
      </c>
      <c r="O6206" s="0" t="n">
        <f aca="false">E6206*G6206</f>
        <v>0.25</v>
      </c>
      <c r="P6206" s="0" t="n">
        <f aca="false">E6206*H6206</f>
        <v>-1</v>
      </c>
      <c r="Q6206" s="0" t="n">
        <f aca="false">F6206*G6206</f>
        <v>0</v>
      </c>
      <c r="R6206" s="0" t="n">
        <f aca="false">F6206*H6206</f>
        <v>-0</v>
      </c>
      <c r="S6206" s="0" t="n">
        <f aca="false">G6206*H6206</f>
        <v>-0.25</v>
      </c>
      <c r="T6206" s="0" t="n">
        <f aca="false">E6206*E6206</f>
        <v>1</v>
      </c>
      <c r="U6206" s="0" t="n">
        <f aca="false">F6206*F6206</f>
        <v>0</v>
      </c>
      <c r="V6206" s="0" t="n">
        <f aca="false">G6206*G6206</f>
        <v>0.0625</v>
      </c>
      <c r="W6206" s="0" t="n">
        <f aca="false">H6206*H6206</f>
        <v>1</v>
      </c>
      <c r="X6206" s="0" t="n">
        <f aca="false">SUMPRODUCT(I6206:W6206,_XtX!$B$96:$P$96)</f>
        <v>46.3867872807018</v>
      </c>
      <c r="Y6206" s="0" t="n">
        <f aca="false">SUMPRODUCT(MMULT(I6206:W6206,_XtX!$B$78:$P$92),I6206:W6206)</f>
        <v>0.689692982456141</v>
      </c>
      <c r="Z6206" s="0" t="n">
        <f aca="false">04_回帰ANOVA!$K$19*04_回帰ANOVA!$K$14*SQRT(1+Y6206)</f>
        <v>1.69434674594998</v>
      </c>
      <c r="AA6206" s="0" t="n">
        <f aca="false">X6206-Z6206</f>
        <v>44.6924405347518</v>
      </c>
      <c r="AB6206" s="0" t="n">
        <f aca="false">X6206+Z6206</f>
        <v>48.0811340266518</v>
      </c>
      <c r="AC6206" s="54" t="b">
        <f aca="false">AND(E6206&gt;=01_因子設定!$L$5-0.000000001,E6206&lt;=01_因子設定!$M$5+0.000000001,F6206&gt;=01_因子設定!$L$6-0.000000001,F6206&lt;=01_因子設定!$M$6+0.000000001,G6206&gt;=01_因子設定!$L$7-0.000000001,G6206&lt;=01_因子設定!$M$7+0.000000001,H6206&gt;=01_因子設定!$L$8-0.000000001,H6206&lt;=01_因子設定!$M$8+0.000000001,IF(01_因子設定!$B$20="Box-Behnken",E6206^2+F6206^2+G6206^2+H6206^2&lt;=2+0.000000001,TRUE()))</f>
        <v>1</v>
      </c>
      <c r="AD6206" s="55" t="n">
        <f aca="false">IF(AC6206,IF(01_因子設定!$B$13="最大化",AA6206-01_因子設定!$B$14,IF(01_因子設定!$B$13="最小化",01_因子設定!$B$15-AB6206,MIN(AA6206-01_因子設定!$B$14,01_因子設定!$B$15-AB6206))),-1E+030)</f>
        <v>-1.80755946524817</v>
      </c>
      <c r="AE6206" s="55" t="n">
        <f aca="false">IF(AC6206,IF(01_因子設定!$B$13="最大化",X6206,IF(01_因子設定!$B$13="最小化",-X6206,-ABS(X6206-01_因子設定!$B$16))),-1E+030)</f>
        <v>46.3867872807018</v>
      </c>
      <c r="AF6206" s="55" t="n">
        <f aca="false">AD6206+ROW()*0.000000001</f>
        <v>-1.80755325924817</v>
      </c>
      <c r="AG6206" s="55" t="n">
        <f aca="false">AE6206+ROW()*0.000000001</f>
        <v>46.3867934867018</v>
      </c>
    </row>
    <row r="6207" customFormat="false" ht="15" hidden="false" customHeight="false" outlineLevel="0" collapsed="false">
      <c r="A6207" s="0" t="n">
        <v>8</v>
      </c>
      <c r="B6207" s="0" t="n">
        <v>4</v>
      </c>
      <c r="C6207" s="0" t="n">
        <v>5</v>
      </c>
      <c r="D6207" s="0" t="n">
        <v>1</v>
      </c>
      <c r="E6207" s="0" t="n">
        <f aca="false">-1+A6207*0.25</f>
        <v>1</v>
      </c>
      <c r="F6207" s="0" t="n">
        <f aca="false">-1+B6207*0.25</f>
        <v>0</v>
      </c>
      <c r="G6207" s="0" t="n">
        <f aca="false">-1+C6207*0.25</f>
        <v>0.25</v>
      </c>
      <c r="H6207" s="0" t="n">
        <f aca="false">-1+D6207*0.25</f>
        <v>-0.75</v>
      </c>
      <c r="I6207" s="0" t="n">
        <f aca="false">1</f>
        <v>1</v>
      </c>
      <c r="J6207" s="0" t="n">
        <f aca="false">E6207</f>
        <v>1</v>
      </c>
      <c r="K6207" s="0" t="n">
        <f aca="false">F6207</f>
        <v>0</v>
      </c>
      <c r="L6207" s="0" t="n">
        <f aca="false">G6207</f>
        <v>0.25</v>
      </c>
      <c r="M6207" s="0" t="n">
        <f aca="false">H6207</f>
        <v>-0.75</v>
      </c>
      <c r="N6207" s="0" t="n">
        <f aca="false">E6207*F6207</f>
        <v>0</v>
      </c>
      <c r="O6207" s="0" t="n">
        <f aca="false">E6207*G6207</f>
        <v>0.25</v>
      </c>
      <c r="P6207" s="0" t="n">
        <f aca="false">E6207*H6207</f>
        <v>-0.75</v>
      </c>
      <c r="Q6207" s="0" t="n">
        <f aca="false">F6207*G6207</f>
        <v>0</v>
      </c>
      <c r="R6207" s="0" t="n">
        <f aca="false">F6207*H6207</f>
        <v>-0</v>
      </c>
      <c r="S6207" s="0" t="n">
        <f aca="false">G6207*H6207</f>
        <v>-0.1875</v>
      </c>
      <c r="T6207" s="0" t="n">
        <f aca="false">E6207*E6207</f>
        <v>1</v>
      </c>
      <c r="U6207" s="0" t="n">
        <f aca="false">F6207*F6207</f>
        <v>0</v>
      </c>
      <c r="V6207" s="0" t="n">
        <f aca="false">G6207*G6207</f>
        <v>0.0625</v>
      </c>
      <c r="W6207" s="0" t="n">
        <f aca="false">H6207*H6207</f>
        <v>0.5625</v>
      </c>
      <c r="X6207" s="0" t="n">
        <f aca="false">SUMPRODUCT(I6207:W6207,_XtX!$B$96:$P$96)</f>
        <v>46.7047194809942</v>
      </c>
      <c r="Y6207" s="0" t="n">
        <f aca="false">SUMPRODUCT(MMULT(I6207:W6207,_XtX!$B$78:$P$92),I6207:W6207)</f>
        <v>0.501534802174708</v>
      </c>
      <c r="Z6207" s="0" t="n">
        <f aca="false">04_回帰ANOVA!$K$19*04_回帰ANOVA!$K$14*SQRT(1+Y6207)</f>
        <v>1.59722498091333</v>
      </c>
      <c r="AA6207" s="0" t="n">
        <f aca="false">X6207-Z6207</f>
        <v>45.1074945000809</v>
      </c>
      <c r="AB6207" s="0" t="n">
        <f aca="false">X6207+Z6207</f>
        <v>48.3019444619075</v>
      </c>
      <c r="AC6207" s="54" t="b">
        <f aca="false">AND(E6207&gt;=01_因子設定!$L$5-0.000000001,E6207&lt;=01_因子設定!$M$5+0.000000001,F6207&gt;=01_因子設定!$L$6-0.000000001,F6207&lt;=01_因子設定!$M$6+0.000000001,G6207&gt;=01_因子設定!$L$7-0.000000001,G6207&lt;=01_因子設定!$M$7+0.000000001,H6207&gt;=01_因子設定!$L$8-0.000000001,H6207&lt;=01_因子設定!$M$8+0.000000001,IF(01_因子設定!$B$20="Box-Behnken",E6207^2+F6207^2+G6207^2+H6207^2&lt;=2+0.000000001,TRUE()))</f>
        <v>1</v>
      </c>
      <c r="AD6207" s="55" t="n">
        <f aca="false">IF(AC6207,IF(01_因子設定!$B$13="最大化",AA6207-01_因子設定!$B$14,IF(01_因子設定!$B$13="最小化",01_因子設定!$B$15-AB6207,MIN(AA6207-01_因子設定!$B$14,01_因子設定!$B$15-AB6207))),-1E+030)</f>
        <v>-1.39250549991913</v>
      </c>
      <c r="AE6207" s="55" t="n">
        <f aca="false">IF(AC6207,IF(01_因子設定!$B$13="最大化",X6207,IF(01_因子設定!$B$13="最小化",-X6207,-ABS(X6207-01_因子設定!$B$16))),-1E+030)</f>
        <v>46.7047194809942</v>
      </c>
      <c r="AF6207" s="55" t="n">
        <f aca="false">AD6207+ROW()*0.000000001</f>
        <v>-1.39249929291913</v>
      </c>
      <c r="AG6207" s="55" t="n">
        <f aca="false">AE6207+ROW()*0.000000001</f>
        <v>46.7047256879942</v>
      </c>
    </row>
    <row r="6208" customFormat="false" ht="15" hidden="false" customHeight="false" outlineLevel="0" collapsed="false">
      <c r="A6208" s="0" t="n">
        <v>8</v>
      </c>
      <c r="B6208" s="0" t="n">
        <v>4</v>
      </c>
      <c r="C6208" s="0" t="n">
        <v>5</v>
      </c>
      <c r="D6208" s="0" t="n">
        <v>2</v>
      </c>
      <c r="E6208" s="0" t="n">
        <f aca="false">-1+A6208*0.25</f>
        <v>1</v>
      </c>
      <c r="F6208" s="0" t="n">
        <f aca="false">-1+B6208*0.25</f>
        <v>0</v>
      </c>
      <c r="G6208" s="0" t="n">
        <f aca="false">-1+C6208*0.25</f>
        <v>0.25</v>
      </c>
      <c r="H6208" s="0" t="n">
        <f aca="false">-1+D6208*0.25</f>
        <v>-0.5</v>
      </c>
      <c r="I6208" s="0" t="n">
        <f aca="false">1</f>
        <v>1</v>
      </c>
      <c r="J6208" s="0" t="n">
        <f aca="false">E6208</f>
        <v>1</v>
      </c>
      <c r="K6208" s="0" t="n">
        <f aca="false">F6208</f>
        <v>0</v>
      </c>
      <c r="L6208" s="0" t="n">
        <f aca="false">G6208</f>
        <v>0.25</v>
      </c>
      <c r="M6208" s="0" t="n">
        <f aca="false">H6208</f>
        <v>-0.5</v>
      </c>
      <c r="N6208" s="0" t="n">
        <f aca="false">E6208*F6208</f>
        <v>0</v>
      </c>
      <c r="O6208" s="0" t="n">
        <f aca="false">E6208*G6208</f>
        <v>0.25</v>
      </c>
      <c r="P6208" s="0" t="n">
        <f aca="false">E6208*H6208</f>
        <v>-0.5</v>
      </c>
      <c r="Q6208" s="0" t="n">
        <f aca="false">F6208*G6208</f>
        <v>0</v>
      </c>
      <c r="R6208" s="0" t="n">
        <f aca="false">F6208*H6208</f>
        <v>-0</v>
      </c>
      <c r="S6208" s="0" t="n">
        <f aca="false">G6208*H6208</f>
        <v>-0.125</v>
      </c>
      <c r="T6208" s="0" t="n">
        <f aca="false">E6208*E6208</f>
        <v>1</v>
      </c>
      <c r="U6208" s="0" t="n">
        <f aca="false">F6208*F6208</f>
        <v>0</v>
      </c>
      <c r="V6208" s="0" t="n">
        <f aca="false">G6208*G6208</f>
        <v>0.0625</v>
      </c>
      <c r="W6208" s="0" t="n">
        <f aca="false">H6208*H6208</f>
        <v>0.25</v>
      </c>
      <c r="X6208" s="0" t="n">
        <f aca="false">SUMPRODUCT(I6208:W6208,_XtX!$B$96:$P$96)</f>
        <v>46.9748446637427</v>
      </c>
      <c r="Y6208" s="0" t="n">
        <f aca="false">SUMPRODUCT(MMULT(I6208:W6208,_XtX!$B$78:$P$92),I6208:W6208)</f>
        <v>0.457596628289474</v>
      </c>
      <c r="Z6208" s="0" t="n">
        <f aca="false">04_回帰ANOVA!$K$19*04_回帰ANOVA!$K$14*SQRT(1+Y6208)</f>
        <v>1.57368233664366</v>
      </c>
      <c r="AA6208" s="0" t="n">
        <f aca="false">X6208-Z6208</f>
        <v>45.4011623270991</v>
      </c>
      <c r="AB6208" s="0" t="n">
        <f aca="false">X6208+Z6208</f>
        <v>48.5485270003864</v>
      </c>
      <c r="AC6208" s="54" t="b">
        <f aca="false">AND(E6208&gt;=01_因子設定!$L$5-0.000000001,E6208&lt;=01_因子設定!$M$5+0.000000001,F6208&gt;=01_因子設定!$L$6-0.000000001,F6208&lt;=01_因子設定!$M$6+0.000000001,G6208&gt;=01_因子設定!$L$7-0.000000001,G6208&lt;=01_因子設定!$M$7+0.000000001,H6208&gt;=01_因子設定!$L$8-0.000000001,H6208&lt;=01_因子設定!$M$8+0.000000001,IF(01_因子設定!$B$20="Box-Behnken",E6208^2+F6208^2+G6208^2+H6208^2&lt;=2+0.000000001,TRUE()))</f>
        <v>1</v>
      </c>
      <c r="AD6208" s="55" t="n">
        <f aca="false">IF(AC6208,IF(01_因子設定!$B$13="最大化",AA6208-01_因子設定!$B$14,IF(01_因子設定!$B$13="最小化",01_因子設定!$B$15-AB6208,MIN(AA6208-01_因子設定!$B$14,01_因子設定!$B$15-AB6208))),-1E+030)</f>
        <v>-1.09883767290093</v>
      </c>
      <c r="AE6208" s="55" t="n">
        <f aca="false">IF(AC6208,IF(01_因子設定!$B$13="最大化",X6208,IF(01_因子設定!$B$13="最小化",-X6208,-ABS(X6208-01_因子設定!$B$16))),-1E+030)</f>
        <v>46.9748446637427</v>
      </c>
      <c r="AF6208" s="55" t="n">
        <f aca="false">AD6208+ROW()*0.000000001</f>
        <v>-1.09883146490093</v>
      </c>
      <c r="AG6208" s="55" t="n">
        <f aca="false">AE6208+ROW()*0.000000001</f>
        <v>46.9748508717427</v>
      </c>
    </row>
    <row r="6209" customFormat="false" ht="15" hidden="false" customHeight="false" outlineLevel="0" collapsed="false">
      <c r="A6209" s="0" t="n">
        <v>8</v>
      </c>
      <c r="B6209" s="0" t="n">
        <v>4</v>
      </c>
      <c r="C6209" s="0" t="n">
        <v>5</v>
      </c>
      <c r="D6209" s="0" t="n">
        <v>3</v>
      </c>
      <c r="E6209" s="0" t="n">
        <f aca="false">-1+A6209*0.25</f>
        <v>1</v>
      </c>
      <c r="F6209" s="0" t="n">
        <f aca="false">-1+B6209*0.25</f>
        <v>0</v>
      </c>
      <c r="G6209" s="0" t="n">
        <f aca="false">-1+C6209*0.25</f>
        <v>0.25</v>
      </c>
      <c r="H6209" s="0" t="n">
        <f aca="false">-1+D6209*0.25</f>
        <v>-0.25</v>
      </c>
      <c r="I6209" s="0" t="n">
        <f aca="false">1</f>
        <v>1</v>
      </c>
      <c r="J6209" s="0" t="n">
        <f aca="false">E6209</f>
        <v>1</v>
      </c>
      <c r="K6209" s="0" t="n">
        <f aca="false">F6209</f>
        <v>0</v>
      </c>
      <c r="L6209" s="0" t="n">
        <f aca="false">G6209</f>
        <v>0.25</v>
      </c>
      <c r="M6209" s="0" t="n">
        <f aca="false">H6209</f>
        <v>-0.25</v>
      </c>
      <c r="N6209" s="0" t="n">
        <f aca="false">E6209*F6209</f>
        <v>0</v>
      </c>
      <c r="O6209" s="0" t="n">
        <f aca="false">E6209*G6209</f>
        <v>0.25</v>
      </c>
      <c r="P6209" s="0" t="n">
        <f aca="false">E6209*H6209</f>
        <v>-0.25</v>
      </c>
      <c r="Q6209" s="0" t="n">
        <f aca="false">F6209*G6209</f>
        <v>0</v>
      </c>
      <c r="R6209" s="0" t="n">
        <f aca="false">F6209*H6209</f>
        <v>-0</v>
      </c>
      <c r="S6209" s="0" t="n">
        <f aca="false">G6209*H6209</f>
        <v>-0.0625</v>
      </c>
      <c r="T6209" s="0" t="n">
        <f aca="false">E6209*E6209</f>
        <v>1</v>
      </c>
      <c r="U6209" s="0" t="n">
        <f aca="false">F6209*F6209</f>
        <v>0</v>
      </c>
      <c r="V6209" s="0" t="n">
        <f aca="false">G6209*G6209</f>
        <v>0.0625</v>
      </c>
      <c r="W6209" s="0" t="n">
        <f aca="false">H6209*H6209</f>
        <v>0.0625</v>
      </c>
      <c r="X6209" s="0" t="n">
        <f aca="false">SUMPRODUCT(I6209:W6209,_XtX!$B$96:$P$96)</f>
        <v>47.1971628289474</v>
      </c>
      <c r="Y6209" s="0" t="n">
        <f aca="false">SUMPRODUCT(MMULT(I6209:W6209,_XtX!$B$78:$P$92),I6209:W6209)</f>
        <v>0.467417934484649</v>
      </c>
      <c r="Z6209" s="0" t="n">
        <f aca="false">04_回帰ANOVA!$K$19*04_回帰ANOVA!$K$14*SQRT(1+Y6209)</f>
        <v>1.57897518244497</v>
      </c>
      <c r="AA6209" s="0" t="n">
        <f aca="false">X6209-Z6209</f>
        <v>45.6181876465024</v>
      </c>
      <c r="AB6209" s="0" t="n">
        <f aca="false">X6209+Z6209</f>
        <v>48.7761380113924</v>
      </c>
      <c r="AC6209" s="54" t="b">
        <f aca="false">AND(E6209&gt;=01_因子設定!$L$5-0.000000001,E6209&lt;=01_因子設定!$M$5+0.000000001,F6209&gt;=01_因子設定!$L$6-0.000000001,F6209&lt;=01_因子設定!$M$6+0.000000001,G6209&gt;=01_因子設定!$L$7-0.000000001,G6209&lt;=01_因子設定!$M$7+0.000000001,H6209&gt;=01_因子設定!$L$8-0.000000001,H6209&lt;=01_因子設定!$M$8+0.000000001,IF(01_因子設定!$B$20="Box-Behnken",E6209^2+F6209^2+G6209^2+H6209^2&lt;=2+0.000000001,TRUE()))</f>
        <v>1</v>
      </c>
      <c r="AD6209" s="55" t="n">
        <f aca="false">IF(AC6209,IF(01_因子設定!$B$13="最大化",AA6209-01_因子設定!$B$14,IF(01_因子設定!$B$13="最小化",01_因子設定!$B$15-AB6209,MIN(AA6209-01_因子設定!$B$14,01_因子設定!$B$15-AB6209))),-1E+030)</f>
        <v>-0.881812353497573</v>
      </c>
      <c r="AE6209" s="55" t="n">
        <f aca="false">IF(AC6209,IF(01_因子設定!$B$13="最大化",X6209,IF(01_因子設定!$B$13="最小化",-X6209,-ABS(X6209-01_因子設定!$B$16))),-1E+030)</f>
        <v>47.1971628289474</v>
      </c>
      <c r="AF6209" s="55" t="n">
        <f aca="false">AD6209+ROW()*0.000000001</f>
        <v>-0.881806144497573</v>
      </c>
      <c r="AG6209" s="55" t="n">
        <f aca="false">AE6209+ROW()*0.000000001</f>
        <v>47.1971690379474</v>
      </c>
    </row>
    <row r="6210" customFormat="false" ht="15" hidden="false" customHeight="false" outlineLevel="0" collapsed="false">
      <c r="A6210" s="0" t="n">
        <v>8</v>
      </c>
      <c r="B6210" s="0" t="n">
        <v>4</v>
      </c>
      <c r="C6210" s="0" t="n">
        <v>5</v>
      </c>
      <c r="D6210" s="0" t="n">
        <v>4</v>
      </c>
      <c r="E6210" s="0" t="n">
        <f aca="false">-1+A6210*0.25</f>
        <v>1</v>
      </c>
      <c r="F6210" s="0" t="n">
        <f aca="false">-1+B6210*0.25</f>
        <v>0</v>
      </c>
      <c r="G6210" s="0" t="n">
        <f aca="false">-1+C6210*0.25</f>
        <v>0.25</v>
      </c>
      <c r="H6210" s="0" t="n">
        <f aca="false">-1+D6210*0.25</f>
        <v>0</v>
      </c>
      <c r="I6210" s="0" t="n">
        <f aca="false">1</f>
        <v>1</v>
      </c>
      <c r="J6210" s="0" t="n">
        <f aca="false">E6210</f>
        <v>1</v>
      </c>
      <c r="K6210" s="0" t="n">
        <f aca="false">F6210</f>
        <v>0</v>
      </c>
      <c r="L6210" s="0" t="n">
        <f aca="false">G6210</f>
        <v>0.25</v>
      </c>
      <c r="M6210" s="0" t="n">
        <f aca="false">H6210</f>
        <v>0</v>
      </c>
      <c r="N6210" s="0" t="n">
        <f aca="false">E6210*F6210</f>
        <v>0</v>
      </c>
      <c r="O6210" s="0" t="n">
        <f aca="false">E6210*G6210</f>
        <v>0.25</v>
      </c>
      <c r="P6210" s="0" t="n">
        <f aca="false">E6210*H6210</f>
        <v>0</v>
      </c>
      <c r="Q6210" s="0" t="n">
        <f aca="false">F6210*G6210</f>
        <v>0</v>
      </c>
      <c r="R6210" s="0" t="n">
        <f aca="false">F6210*H6210</f>
        <v>0</v>
      </c>
      <c r="S6210" s="0" t="n">
        <f aca="false">G6210*H6210</f>
        <v>0</v>
      </c>
      <c r="T6210" s="0" t="n">
        <f aca="false">E6210*E6210</f>
        <v>1</v>
      </c>
      <c r="U6210" s="0" t="n">
        <f aca="false">F6210*F6210</f>
        <v>0</v>
      </c>
      <c r="V6210" s="0" t="n">
        <f aca="false">G6210*G6210</f>
        <v>0.0625</v>
      </c>
      <c r="W6210" s="0" t="n">
        <f aca="false">H6210*H6210</f>
        <v>0</v>
      </c>
      <c r="X6210" s="0" t="n">
        <f aca="false">SUMPRODUCT(I6210:W6210,_XtX!$B$96:$P$96)</f>
        <v>47.3716739766082</v>
      </c>
      <c r="Y6210" s="0" t="n">
        <f aca="false">SUMPRODUCT(MMULT(I6210:W6210,_XtX!$B$78:$P$92),I6210:W6210)</f>
        <v>0.47672240497076</v>
      </c>
      <c r="Z6210" s="0" t="n">
        <f aca="false">04_回帰ANOVA!$K$19*04_回帰ANOVA!$K$14*SQRT(1+Y6210)</f>
        <v>1.58397318352695</v>
      </c>
      <c r="AA6210" s="0" t="n">
        <f aca="false">X6210-Z6210</f>
        <v>45.7877007930813</v>
      </c>
      <c r="AB6210" s="0" t="n">
        <f aca="false">X6210+Z6210</f>
        <v>48.9556471601352</v>
      </c>
      <c r="AC6210" s="54" t="b">
        <f aca="false">AND(E6210&gt;=01_因子設定!$L$5-0.000000001,E6210&lt;=01_因子設定!$M$5+0.000000001,F6210&gt;=01_因子設定!$L$6-0.000000001,F6210&lt;=01_因子設定!$M$6+0.000000001,G6210&gt;=01_因子設定!$L$7-0.000000001,G6210&lt;=01_因子設定!$M$7+0.000000001,H6210&gt;=01_因子設定!$L$8-0.000000001,H6210&lt;=01_因子設定!$M$8+0.000000001,IF(01_因子設定!$B$20="Box-Behnken",E6210^2+F6210^2+G6210^2+H6210^2&lt;=2+0.000000001,TRUE()))</f>
        <v>1</v>
      </c>
      <c r="AD6210" s="55" t="n">
        <f aca="false">IF(AC6210,IF(01_因子設定!$B$13="最大化",AA6210-01_因子設定!$B$14,IF(01_因子設定!$B$13="最小化",01_因子設定!$B$15-AB6210,MIN(AA6210-01_因子設定!$B$14,01_因子設定!$B$15-AB6210))),-1E+030)</f>
        <v>-0.712299206918729</v>
      </c>
      <c r="AE6210" s="55" t="n">
        <f aca="false">IF(AC6210,IF(01_因子設定!$B$13="最大化",X6210,IF(01_因子設定!$B$13="最小化",-X6210,-ABS(X6210-01_因子設定!$B$16))),-1E+030)</f>
        <v>47.3716739766082</v>
      </c>
      <c r="AF6210" s="55" t="n">
        <f aca="false">AD6210+ROW()*0.000000001</f>
        <v>-0.712292996918729</v>
      </c>
      <c r="AG6210" s="55" t="n">
        <f aca="false">AE6210+ROW()*0.000000001</f>
        <v>47.3716801866082</v>
      </c>
    </row>
    <row r="6211" customFormat="false" ht="15" hidden="false" customHeight="false" outlineLevel="0" collapsed="false">
      <c r="A6211" s="0" t="n">
        <v>8</v>
      </c>
      <c r="B6211" s="0" t="n">
        <v>4</v>
      </c>
      <c r="C6211" s="0" t="n">
        <v>5</v>
      </c>
      <c r="D6211" s="0" t="n">
        <v>5</v>
      </c>
      <c r="E6211" s="0" t="n">
        <f aca="false">-1+A6211*0.25</f>
        <v>1</v>
      </c>
      <c r="F6211" s="0" t="n">
        <f aca="false">-1+B6211*0.25</f>
        <v>0</v>
      </c>
      <c r="G6211" s="0" t="n">
        <f aca="false">-1+C6211*0.25</f>
        <v>0.25</v>
      </c>
      <c r="H6211" s="0" t="n">
        <f aca="false">-1+D6211*0.25</f>
        <v>0.25</v>
      </c>
      <c r="I6211" s="0" t="n">
        <f aca="false">1</f>
        <v>1</v>
      </c>
      <c r="J6211" s="0" t="n">
        <f aca="false">E6211</f>
        <v>1</v>
      </c>
      <c r="K6211" s="0" t="n">
        <f aca="false">F6211</f>
        <v>0</v>
      </c>
      <c r="L6211" s="0" t="n">
        <f aca="false">G6211</f>
        <v>0.25</v>
      </c>
      <c r="M6211" s="0" t="n">
        <f aca="false">H6211</f>
        <v>0.25</v>
      </c>
      <c r="N6211" s="0" t="n">
        <f aca="false">E6211*F6211</f>
        <v>0</v>
      </c>
      <c r="O6211" s="0" t="n">
        <f aca="false">E6211*G6211</f>
        <v>0.25</v>
      </c>
      <c r="P6211" s="0" t="n">
        <f aca="false">E6211*H6211</f>
        <v>0.25</v>
      </c>
      <c r="Q6211" s="0" t="n">
        <f aca="false">F6211*G6211</f>
        <v>0</v>
      </c>
      <c r="R6211" s="0" t="n">
        <f aca="false">F6211*H6211</f>
        <v>0</v>
      </c>
      <c r="S6211" s="0" t="n">
        <f aca="false">G6211*H6211</f>
        <v>0.0625</v>
      </c>
      <c r="T6211" s="0" t="n">
        <f aca="false">E6211*E6211</f>
        <v>1</v>
      </c>
      <c r="U6211" s="0" t="n">
        <f aca="false">F6211*F6211</f>
        <v>0</v>
      </c>
      <c r="V6211" s="0" t="n">
        <f aca="false">G6211*G6211</f>
        <v>0.0625</v>
      </c>
      <c r="W6211" s="0" t="n">
        <f aca="false">H6211*H6211</f>
        <v>0.0625</v>
      </c>
      <c r="X6211" s="0" t="n">
        <f aca="false">SUMPRODUCT(I6211:W6211,_XtX!$B$96:$P$96)</f>
        <v>47.4983781067252</v>
      </c>
      <c r="Y6211" s="0" t="n">
        <f aca="false">SUMPRODUCT(MMULT(I6211:W6211,_XtX!$B$78:$P$92),I6211:W6211)</f>
        <v>0.467417934484649</v>
      </c>
      <c r="Z6211" s="0" t="n">
        <f aca="false">04_回帰ANOVA!$K$19*04_回帰ANOVA!$K$14*SQRT(1+Y6211)</f>
        <v>1.57897518244497</v>
      </c>
      <c r="AA6211" s="0" t="n">
        <f aca="false">X6211-Z6211</f>
        <v>45.9194029242802</v>
      </c>
      <c r="AB6211" s="0" t="n">
        <f aca="false">X6211+Z6211</f>
        <v>49.0773532891701</v>
      </c>
      <c r="AC6211" s="54" t="b">
        <f aca="false">AND(E6211&gt;=01_因子設定!$L$5-0.000000001,E6211&lt;=01_因子設定!$M$5+0.000000001,F6211&gt;=01_因子設定!$L$6-0.000000001,F6211&lt;=01_因子設定!$M$6+0.000000001,G6211&gt;=01_因子設定!$L$7-0.000000001,G6211&lt;=01_因子設定!$M$7+0.000000001,H6211&gt;=01_因子設定!$L$8-0.000000001,H6211&lt;=01_因子設定!$M$8+0.000000001,IF(01_因子設定!$B$20="Box-Behnken",E6211^2+F6211^2+G6211^2+H6211^2&lt;=2+0.000000001,TRUE()))</f>
        <v>1</v>
      </c>
      <c r="AD6211" s="55" t="n">
        <f aca="false">IF(AC6211,IF(01_因子設定!$B$13="最大化",AA6211-01_因子設定!$B$14,IF(01_因子設定!$B$13="最小化",01_因子設定!$B$15-AB6211,MIN(AA6211-01_因子設定!$B$14,01_因子設定!$B$15-AB6211))),-1E+030)</f>
        <v>-0.580597075719801</v>
      </c>
      <c r="AE6211" s="55" t="n">
        <f aca="false">IF(AC6211,IF(01_因子設定!$B$13="最大化",X6211,IF(01_因子設定!$B$13="最小化",-X6211,-ABS(X6211-01_因子設定!$B$16))),-1E+030)</f>
        <v>47.4983781067252</v>
      </c>
      <c r="AF6211" s="55" t="n">
        <f aca="false">AD6211+ROW()*0.000000001</f>
        <v>-0.580590864719801</v>
      </c>
      <c r="AG6211" s="55" t="n">
        <f aca="false">AE6211+ROW()*0.000000001</f>
        <v>47.4983843177252</v>
      </c>
    </row>
    <row r="6212" customFormat="false" ht="15" hidden="false" customHeight="false" outlineLevel="0" collapsed="false">
      <c r="A6212" s="0" t="n">
        <v>8</v>
      </c>
      <c r="B6212" s="0" t="n">
        <v>4</v>
      </c>
      <c r="C6212" s="0" t="n">
        <v>5</v>
      </c>
      <c r="D6212" s="0" t="n">
        <v>6</v>
      </c>
      <c r="E6212" s="0" t="n">
        <f aca="false">-1+A6212*0.25</f>
        <v>1</v>
      </c>
      <c r="F6212" s="0" t="n">
        <f aca="false">-1+B6212*0.25</f>
        <v>0</v>
      </c>
      <c r="G6212" s="0" t="n">
        <f aca="false">-1+C6212*0.25</f>
        <v>0.25</v>
      </c>
      <c r="H6212" s="0" t="n">
        <f aca="false">-1+D6212*0.25</f>
        <v>0.5</v>
      </c>
      <c r="I6212" s="0" t="n">
        <f aca="false">1</f>
        <v>1</v>
      </c>
      <c r="J6212" s="0" t="n">
        <f aca="false">E6212</f>
        <v>1</v>
      </c>
      <c r="K6212" s="0" t="n">
        <f aca="false">F6212</f>
        <v>0</v>
      </c>
      <c r="L6212" s="0" t="n">
        <f aca="false">G6212</f>
        <v>0.25</v>
      </c>
      <c r="M6212" s="0" t="n">
        <f aca="false">H6212</f>
        <v>0.5</v>
      </c>
      <c r="N6212" s="0" t="n">
        <f aca="false">E6212*F6212</f>
        <v>0</v>
      </c>
      <c r="O6212" s="0" t="n">
        <f aca="false">E6212*G6212</f>
        <v>0.25</v>
      </c>
      <c r="P6212" s="0" t="n">
        <f aca="false">E6212*H6212</f>
        <v>0.5</v>
      </c>
      <c r="Q6212" s="0" t="n">
        <f aca="false">F6212*G6212</f>
        <v>0</v>
      </c>
      <c r="R6212" s="0" t="n">
        <f aca="false">F6212*H6212</f>
        <v>0</v>
      </c>
      <c r="S6212" s="0" t="n">
        <f aca="false">G6212*H6212</f>
        <v>0.125</v>
      </c>
      <c r="T6212" s="0" t="n">
        <f aca="false">E6212*E6212</f>
        <v>1</v>
      </c>
      <c r="U6212" s="0" t="n">
        <f aca="false">F6212*F6212</f>
        <v>0</v>
      </c>
      <c r="V6212" s="0" t="n">
        <f aca="false">G6212*G6212</f>
        <v>0.0625</v>
      </c>
      <c r="W6212" s="0" t="n">
        <f aca="false">H6212*H6212</f>
        <v>0.25</v>
      </c>
      <c r="X6212" s="0" t="n">
        <f aca="false">SUMPRODUCT(I6212:W6212,_XtX!$B$96:$P$96)</f>
        <v>47.5772752192983</v>
      </c>
      <c r="Y6212" s="0" t="n">
        <f aca="false">SUMPRODUCT(MMULT(I6212:W6212,_XtX!$B$78:$P$92),I6212:W6212)</f>
        <v>0.457596628289474</v>
      </c>
      <c r="Z6212" s="0" t="n">
        <f aca="false">04_回帰ANOVA!$K$19*04_回帰ANOVA!$K$14*SQRT(1+Y6212)</f>
        <v>1.57368233664366</v>
      </c>
      <c r="AA6212" s="0" t="n">
        <f aca="false">X6212-Z6212</f>
        <v>46.0035928826546</v>
      </c>
      <c r="AB6212" s="0" t="n">
        <f aca="false">X6212+Z6212</f>
        <v>49.1509575559419</v>
      </c>
      <c r="AC6212" s="54" t="b">
        <f aca="false">AND(E6212&gt;=01_因子設定!$L$5-0.000000001,E6212&lt;=01_因子設定!$M$5+0.000000001,F6212&gt;=01_因子設定!$L$6-0.000000001,F6212&lt;=01_因子設定!$M$6+0.000000001,G6212&gt;=01_因子設定!$L$7-0.000000001,G6212&lt;=01_因子設定!$M$7+0.000000001,H6212&gt;=01_因子設定!$L$8-0.000000001,H6212&lt;=01_因子設定!$M$8+0.000000001,IF(01_因子設定!$B$20="Box-Behnken",E6212^2+F6212^2+G6212^2+H6212^2&lt;=2+0.000000001,TRUE()))</f>
        <v>1</v>
      </c>
      <c r="AD6212" s="55" t="n">
        <f aca="false">IF(AC6212,IF(01_因子設定!$B$13="最大化",AA6212-01_因子設定!$B$14,IF(01_因子設定!$B$13="最小化",01_因子設定!$B$15-AB6212,MIN(AA6212-01_因子設定!$B$14,01_因子設定!$B$15-AB6212))),-1E+030)</f>
        <v>-0.496407117345377</v>
      </c>
      <c r="AE6212" s="55" t="n">
        <f aca="false">IF(AC6212,IF(01_因子設定!$B$13="最大化",X6212,IF(01_因子設定!$B$13="最小化",-X6212,-ABS(X6212-01_因子設定!$B$16))),-1E+030)</f>
        <v>47.5772752192983</v>
      </c>
      <c r="AF6212" s="55" t="n">
        <f aca="false">AD6212+ROW()*0.000000001</f>
        <v>-0.496400905345377</v>
      </c>
      <c r="AG6212" s="55" t="n">
        <f aca="false">AE6212+ROW()*0.000000001</f>
        <v>47.5772814312983</v>
      </c>
    </row>
    <row r="6213" customFormat="false" ht="15" hidden="false" customHeight="false" outlineLevel="0" collapsed="false">
      <c r="A6213" s="0" t="n">
        <v>8</v>
      </c>
      <c r="B6213" s="0" t="n">
        <v>4</v>
      </c>
      <c r="C6213" s="0" t="n">
        <v>5</v>
      </c>
      <c r="D6213" s="0" t="n">
        <v>7</v>
      </c>
      <c r="E6213" s="0" t="n">
        <f aca="false">-1+A6213*0.25</f>
        <v>1</v>
      </c>
      <c r="F6213" s="0" t="n">
        <f aca="false">-1+B6213*0.25</f>
        <v>0</v>
      </c>
      <c r="G6213" s="0" t="n">
        <f aca="false">-1+C6213*0.25</f>
        <v>0.25</v>
      </c>
      <c r="H6213" s="0" t="n">
        <f aca="false">-1+D6213*0.25</f>
        <v>0.75</v>
      </c>
      <c r="I6213" s="0" t="n">
        <f aca="false">1</f>
        <v>1</v>
      </c>
      <c r="J6213" s="0" t="n">
        <f aca="false">E6213</f>
        <v>1</v>
      </c>
      <c r="K6213" s="0" t="n">
        <f aca="false">F6213</f>
        <v>0</v>
      </c>
      <c r="L6213" s="0" t="n">
        <f aca="false">G6213</f>
        <v>0.25</v>
      </c>
      <c r="M6213" s="0" t="n">
        <f aca="false">H6213</f>
        <v>0.75</v>
      </c>
      <c r="N6213" s="0" t="n">
        <f aca="false">E6213*F6213</f>
        <v>0</v>
      </c>
      <c r="O6213" s="0" t="n">
        <f aca="false">E6213*G6213</f>
        <v>0.25</v>
      </c>
      <c r="P6213" s="0" t="n">
        <f aca="false">E6213*H6213</f>
        <v>0.75</v>
      </c>
      <c r="Q6213" s="0" t="n">
        <f aca="false">F6213*G6213</f>
        <v>0</v>
      </c>
      <c r="R6213" s="0" t="n">
        <f aca="false">F6213*H6213</f>
        <v>0</v>
      </c>
      <c r="S6213" s="0" t="n">
        <f aca="false">G6213*H6213</f>
        <v>0.1875</v>
      </c>
      <c r="T6213" s="0" t="n">
        <f aca="false">E6213*E6213</f>
        <v>1</v>
      </c>
      <c r="U6213" s="0" t="n">
        <f aca="false">F6213*F6213</f>
        <v>0</v>
      </c>
      <c r="V6213" s="0" t="n">
        <f aca="false">G6213*G6213</f>
        <v>0.0625</v>
      </c>
      <c r="W6213" s="0" t="n">
        <f aca="false">H6213*H6213</f>
        <v>0.5625</v>
      </c>
      <c r="X6213" s="0" t="n">
        <f aca="false">SUMPRODUCT(I6213:W6213,_XtX!$B$96:$P$96)</f>
        <v>47.6083653143275</v>
      </c>
      <c r="Y6213" s="0" t="n">
        <f aca="false">SUMPRODUCT(MMULT(I6213:W6213,_XtX!$B$78:$P$92),I6213:W6213)</f>
        <v>0.501534802174708</v>
      </c>
      <c r="Z6213" s="0" t="n">
        <f aca="false">04_回帰ANOVA!$K$19*04_回帰ANOVA!$K$14*SQRT(1+Y6213)</f>
        <v>1.59722498091333</v>
      </c>
      <c r="AA6213" s="0" t="n">
        <f aca="false">X6213-Z6213</f>
        <v>46.0111403334142</v>
      </c>
      <c r="AB6213" s="0" t="n">
        <f aca="false">X6213+Z6213</f>
        <v>49.2055902952409</v>
      </c>
      <c r="AC6213" s="54" t="b">
        <f aca="false">AND(E6213&gt;=01_因子設定!$L$5-0.000000001,E6213&lt;=01_因子設定!$M$5+0.000000001,F6213&gt;=01_因子設定!$L$6-0.000000001,F6213&lt;=01_因子設定!$M$6+0.000000001,G6213&gt;=01_因子設定!$L$7-0.000000001,G6213&lt;=01_因子設定!$M$7+0.000000001,H6213&gt;=01_因子設定!$L$8-0.000000001,H6213&lt;=01_因子設定!$M$8+0.000000001,IF(01_因子設定!$B$20="Box-Behnken",E6213^2+F6213^2+G6213^2+H6213^2&lt;=2+0.000000001,TRUE()))</f>
        <v>1</v>
      </c>
      <c r="AD6213" s="55" t="n">
        <f aca="false">IF(AC6213,IF(01_因子設定!$B$13="最大化",AA6213-01_因子設定!$B$14,IF(01_因子設定!$B$13="最小化",01_因子設定!$B$15-AB6213,MIN(AA6213-01_因子設定!$B$14,01_因子設定!$B$15-AB6213))),-1E+030)</f>
        <v>-0.488859666585803</v>
      </c>
      <c r="AE6213" s="55" t="n">
        <f aca="false">IF(AC6213,IF(01_因子設定!$B$13="最大化",X6213,IF(01_因子設定!$B$13="最小化",-X6213,-ABS(X6213-01_因子設定!$B$16))),-1E+030)</f>
        <v>47.6083653143275</v>
      </c>
      <c r="AF6213" s="55" t="n">
        <f aca="false">AD6213+ROW()*0.000000001</f>
        <v>-0.488853453585803</v>
      </c>
      <c r="AG6213" s="55" t="n">
        <f aca="false">AE6213+ROW()*0.000000001</f>
        <v>47.6083715273275</v>
      </c>
    </row>
    <row r="6214" customFormat="false" ht="15" hidden="false" customHeight="false" outlineLevel="0" collapsed="false">
      <c r="A6214" s="0" t="n">
        <v>8</v>
      </c>
      <c r="B6214" s="0" t="n">
        <v>4</v>
      </c>
      <c r="C6214" s="0" t="n">
        <v>5</v>
      </c>
      <c r="D6214" s="0" t="n">
        <v>8</v>
      </c>
      <c r="E6214" s="0" t="n">
        <f aca="false">-1+A6214*0.25</f>
        <v>1</v>
      </c>
      <c r="F6214" s="0" t="n">
        <f aca="false">-1+B6214*0.25</f>
        <v>0</v>
      </c>
      <c r="G6214" s="0" t="n">
        <f aca="false">-1+C6214*0.25</f>
        <v>0.25</v>
      </c>
      <c r="H6214" s="0" t="n">
        <f aca="false">-1+D6214*0.25</f>
        <v>1</v>
      </c>
      <c r="I6214" s="0" t="n">
        <f aca="false">1</f>
        <v>1</v>
      </c>
      <c r="J6214" s="0" t="n">
        <f aca="false">E6214</f>
        <v>1</v>
      </c>
      <c r="K6214" s="0" t="n">
        <f aca="false">F6214</f>
        <v>0</v>
      </c>
      <c r="L6214" s="0" t="n">
        <f aca="false">G6214</f>
        <v>0.25</v>
      </c>
      <c r="M6214" s="0" t="n">
        <f aca="false">H6214</f>
        <v>1</v>
      </c>
      <c r="N6214" s="0" t="n">
        <f aca="false">E6214*F6214</f>
        <v>0</v>
      </c>
      <c r="O6214" s="0" t="n">
        <f aca="false">E6214*G6214</f>
        <v>0.25</v>
      </c>
      <c r="P6214" s="0" t="n">
        <f aca="false">E6214*H6214</f>
        <v>1</v>
      </c>
      <c r="Q6214" s="0" t="n">
        <f aca="false">F6214*G6214</f>
        <v>0</v>
      </c>
      <c r="R6214" s="0" t="n">
        <f aca="false">F6214*H6214</f>
        <v>0</v>
      </c>
      <c r="S6214" s="0" t="n">
        <f aca="false">G6214*H6214</f>
        <v>0.25</v>
      </c>
      <c r="T6214" s="0" t="n">
        <f aca="false">E6214*E6214</f>
        <v>1</v>
      </c>
      <c r="U6214" s="0" t="n">
        <f aca="false">F6214*F6214</f>
        <v>0</v>
      </c>
      <c r="V6214" s="0" t="n">
        <f aca="false">G6214*G6214</f>
        <v>0.0625</v>
      </c>
      <c r="W6214" s="0" t="n">
        <f aca="false">H6214*H6214</f>
        <v>1</v>
      </c>
      <c r="X6214" s="0" t="n">
        <f aca="false">SUMPRODUCT(I6214:W6214,_XtX!$B$96:$P$96)</f>
        <v>47.5916483918129</v>
      </c>
      <c r="Y6214" s="0" t="n">
        <f aca="false">SUMPRODUCT(MMULT(I6214:W6214,_XtX!$B$78:$P$92),I6214:W6214)</f>
        <v>0.689692982456141</v>
      </c>
      <c r="Z6214" s="0" t="n">
        <f aca="false">04_回帰ANOVA!$K$19*04_回帰ANOVA!$K$14*SQRT(1+Y6214)</f>
        <v>1.69434674594998</v>
      </c>
      <c r="AA6214" s="0" t="n">
        <f aca="false">X6214-Z6214</f>
        <v>45.8973016458629</v>
      </c>
      <c r="AB6214" s="0" t="n">
        <f aca="false">X6214+Z6214</f>
        <v>49.2859951377629</v>
      </c>
      <c r="AC6214" s="54" t="b">
        <f aca="false">AND(E6214&gt;=01_因子設定!$L$5-0.000000001,E6214&lt;=01_因子設定!$M$5+0.000000001,F6214&gt;=01_因子設定!$L$6-0.000000001,F6214&lt;=01_因子設定!$M$6+0.000000001,G6214&gt;=01_因子設定!$L$7-0.000000001,G6214&lt;=01_因子設定!$M$7+0.000000001,H6214&gt;=01_因子設定!$L$8-0.000000001,H6214&lt;=01_因子設定!$M$8+0.000000001,IF(01_因子設定!$B$20="Box-Behnken",E6214^2+F6214^2+G6214^2+H6214^2&lt;=2+0.000000001,TRUE()))</f>
        <v>1</v>
      </c>
      <c r="AD6214" s="55" t="n">
        <f aca="false">IF(AC6214,IF(01_因子設定!$B$13="最大化",AA6214-01_因子設定!$B$14,IF(01_因子設定!$B$13="最小化",01_因子設定!$B$15-AB6214,MIN(AA6214-01_因子設定!$B$14,01_因子設定!$B$15-AB6214))),-1E+030)</f>
        <v>-0.602698354137061</v>
      </c>
      <c r="AE6214" s="55" t="n">
        <f aca="false">IF(AC6214,IF(01_因子設定!$B$13="最大化",X6214,IF(01_因子設定!$B$13="最小化",-X6214,-ABS(X6214-01_因子設定!$B$16))),-1E+030)</f>
        <v>47.5916483918129</v>
      </c>
      <c r="AF6214" s="55" t="n">
        <f aca="false">AD6214+ROW()*0.000000001</f>
        <v>-0.602692140137061</v>
      </c>
      <c r="AG6214" s="55" t="n">
        <f aca="false">AE6214+ROW()*0.000000001</f>
        <v>47.5916546058129</v>
      </c>
    </row>
    <row r="6215" customFormat="false" ht="15" hidden="false" customHeight="false" outlineLevel="0" collapsed="false">
      <c r="A6215" s="0" t="n">
        <v>8</v>
      </c>
      <c r="B6215" s="0" t="n">
        <v>4</v>
      </c>
      <c r="C6215" s="0" t="n">
        <v>6</v>
      </c>
      <c r="D6215" s="0" t="n">
        <v>0</v>
      </c>
      <c r="E6215" s="0" t="n">
        <f aca="false">-1+A6215*0.25</f>
        <v>1</v>
      </c>
      <c r="F6215" s="0" t="n">
        <f aca="false">-1+B6215*0.25</f>
        <v>0</v>
      </c>
      <c r="G6215" s="0" t="n">
        <f aca="false">-1+C6215*0.25</f>
        <v>0.5</v>
      </c>
      <c r="H6215" s="0" t="n">
        <f aca="false">-1+D6215*0.25</f>
        <v>-1</v>
      </c>
      <c r="I6215" s="0" t="n">
        <f aca="false">1</f>
        <v>1</v>
      </c>
      <c r="J6215" s="0" t="n">
        <f aca="false">E6215</f>
        <v>1</v>
      </c>
      <c r="K6215" s="0" t="n">
        <f aca="false">F6215</f>
        <v>0</v>
      </c>
      <c r="L6215" s="0" t="n">
        <f aca="false">G6215</f>
        <v>0.5</v>
      </c>
      <c r="M6215" s="0" t="n">
        <f aca="false">H6215</f>
        <v>-1</v>
      </c>
      <c r="N6215" s="0" t="n">
        <f aca="false">E6215*F6215</f>
        <v>0</v>
      </c>
      <c r="O6215" s="0" t="n">
        <f aca="false">E6215*G6215</f>
        <v>0.5</v>
      </c>
      <c r="P6215" s="0" t="n">
        <f aca="false">E6215*H6215</f>
        <v>-1</v>
      </c>
      <c r="Q6215" s="0" t="n">
        <f aca="false">F6215*G6215</f>
        <v>0</v>
      </c>
      <c r="R6215" s="0" t="n">
        <f aca="false">F6215*H6215</f>
        <v>-0</v>
      </c>
      <c r="S6215" s="0" t="n">
        <f aca="false">G6215*H6215</f>
        <v>-0.5</v>
      </c>
      <c r="T6215" s="0" t="n">
        <f aca="false">E6215*E6215</f>
        <v>1</v>
      </c>
      <c r="U6215" s="0" t="n">
        <f aca="false">F6215*F6215</f>
        <v>0</v>
      </c>
      <c r="V6215" s="0" t="n">
        <f aca="false">G6215*G6215</f>
        <v>0.25</v>
      </c>
      <c r="W6215" s="0" t="n">
        <f aca="false">H6215*H6215</f>
        <v>1</v>
      </c>
      <c r="X6215" s="0" t="n">
        <f aca="false">SUMPRODUCT(I6215:W6215,_XtX!$B$96:$P$96)</f>
        <v>46.2702850877194</v>
      </c>
      <c r="Y6215" s="0" t="n">
        <f aca="false">SUMPRODUCT(MMULT(I6215:W6215,_XtX!$B$78:$P$92),I6215:W6215)</f>
        <v>0.650767543859649</v>
      </c>
      <c r="Z6215" s="0" t="n">
        <f aca="false">04_回帰ANOVA!$K$19*04_回帰ANOVA!$K$14*SQRT(1+Y6215)</f>
        <v>1.67471670935165</v>
      </c>
      <c r="AA6215" s="0" t="n">
        <f aca="false">X6215-Z6215</f>
        <v>44.5955683783677</v>
      </c>
      <c r="AB6215" s="0" t="n">
        <f aca="false">X6215+Z6215</f>
        <v>47.945001797071</v>
      </c>
      <c r="AC6215" s="54" t="b">
        <f aca="false">AND(E6215&gt;=01_因子設定!$L$5-0.000000001,E6215&lt;=01_因子設定!$M$5+0.000000001,F6215&gt;=01_因子設定!$L$6-0.000000001,F6215&lt;=01_因子設定!$M$6+0.000000001,G6215&gt;=01_因子設定!$L$7-0.000000001,G6215&lt;=01_因子設定!$M$7+0.000000001,H6215&gt;=01_因子設定!$L$8-0.000000001,H6215&lt;=01_因子設定!$M$8+0.000000001,IF(01_因子設定!$B$20="Box-Behnken",E6215^2+F6215^2+G6215^2+H6215^2&lt;=2+0.000000001,TRUE()))</f>
        <v>1</v>
      </c>
      <c r="AD6215" s="55" t="n">
        <f aca="false">IF(AC6215,IF(01_因子設定!$B$13="最大化",AA6215-01_因子設定!$B$14,IF(01_因子設定!$B$13="最小化",01_因子設定!$B$15-AB6215,MIN(AA6215-01_因子設定!$B$14,01_因子設定!$B$15-AB6215))),-1E+030)</f>
        <v>-1.90443162163229</v>
      </c>
      <c r="AE6215" s="55" t="n">
        <f aca="false">IF(AC6215,IF(01_因子設定!$B$13="最大化",X6215,IF(01_因子設定!$B$13="最小化",-X6215,-ABS(X6215-01_因子設定!$B$16))),-1E+030)</f>
        <v>46.2702850877194</v>
      </c>
      <c r="AF6215" s="55" t="n">
        <f aca="false">AD6215+ROW()*0.000000001</f>
        <v>-1.90442540663229</v>
      </c>
      <c r="AG6215" s="55" t="n">
        <f aca="false">AE6215+ROW()*0.000000001</f>
        <v>46.2702913027194</v>
      </c>
    </row>
    <row r="6216" customFormat="false" ht="15" hidden="false" customHeight="false" outlineLevel="0" collapsed="false">
      <c r="A6216" s="0" t="n">
        <v>8</v>
      </c>
      <c r="B6216" s="0" t="n">
        <v>4</v>
      </c>
      <c r="C6216" s="0" t="n">
        <v>6</v>
      </c>
      <c r="D6216" s="0" t="n">
        <v>1</v>
      </c>
      <c r="E6216" s="0" t="n">
        <f aca="false">-1+A6216*0.25</f>
        <v>1</v>
      </c>
      <c r="F6216" s="0" t="n">
        <f aca="false">-1+B6216*0.25</f>
        <v>0</v>
      </c>
      <c r="G6216" s="0" t="n">
        <f aca="false">-1+C6216*0.25</f>
        <v>0.5</v>
      </c>
      <c r="H6216" s="0" t="n">
        <f aca="false">-1+D6216*0.25</f>
        <v>-0.75</v>
      </c>
      <c r="I6216" s="0" t="n">
        <f aca="false">1</f>
        <v>1</v>
      </c>
      <c r="J6216" s="0" t="n">
        <f aca="false">E6216</f>
        <v>1</v>
      </c>
      <c r="K6216" s="0" t="n">
        <f aca="false">F6216</f>
        <v>0</v>
      </c>
      <c r="L6216" s="0" t="n">
        <f aca="false">G6216</f>
        <v>0.5</v>
      </c>
      <c r="M6216" s="0" t="n">
        <f aca="false">H6216</f>
        <v>-0.75</v>
      </c>
      <c r="N6216" s="0" t="n">
        <f aca="false">E6216*F6216</f>
        <v>0</v>
      </c>
      <c r="O6216" s="0" t="n">
        <f aca="false">E6216*G6216</f>
        <v>0.5</v>
      </c>
      <c r="P6216" s="0" t="n">
        <f aca="false">E6216*H6216</f>
        <v>-0.75</v>
      </c>
      <c r="Q6216" s="0" t="n">
        <f aca="false">F6216*G6216</f>
        <v>0</v>
      </c>
      <c r="R6216" s="0" t="n">
        <f aca="false">F6216*H6216</f>
        <v>-0</v>
      </c>
      <c r="S6216" s="0" t="n">
        <f aca="false">G6216*H6216</f>
        <v>-0.375</v>
      </c>
      <c r="T6216" s="0" t="n">
        <f aca="false">E6216*E6216</f>
        <v>1</v>
      </c>
      <c r="U6216" s="0" t="n">
        <f aca="false">F6216*F6216</f>
        <v>0</v>
      </c>
      <c r="V6216" s="0" t="n">
        <f aca="false">G6216*G6216</f>
        <v>0.25</v>
      </c>
      <c r="W6216" s="0" t="n">
        <f aca="false">H6216*H6216</f>
        <v>0.5625</v>
      </c>
      <c r="X6216" s="0" t="n">
        <f aca="false">SUMPRODUCT(I6216:W6216,_XtX!$B$96:$P$96)</f>
        <v>46.6061860380117</v>
      </c>
      <c r="Y6216" s="0" t="n">
        <f aca="false">SUMPRODUCT(MMULT(I6216:W6216,_XtX!$B$78:$P$92),I6216:W6216)</f>
        <v>0.476191292032164</v>
      </c>
      <c r="Z6216" s="0" t="n">
        <f aca="false">04_回帰ANOVA!$K$19*04_回帰ANOVA!$K$14*SQRT(1+Y6216)</f>
        <v>1.58368831471718</v>
      </c>
      <c r="AA6216" s="0" t="n">
        <f aca="false">X6216-Z6216</f>
        <v>45.0224977232946</v>
      </c>
      <c r="AB6216" s="0" t="n">
        <f aca="false">X6216+Z6216</f>
        <v>48.1898743527289</v>
      </c>
      <c r="AC6216" s="54" t="b">
        <f aca="false">AND(E6216&gt;=01_因子設定!$L$5-0.000000001,E6216&lt;=01_因子設定!$M$5+0.000000001,F6216&gt;=01_因子設定!$L$6-0.000000001,F6216&lt;=01_因子設定!$M$6+0.000000001,G6216&gt;=01_因子設定!$L$7-0.000000001,G6216&lt;=01_因子設定!$M$7+0.000000001,H6216&gt;=01_因子設定!$L$8-0.000000001,H6216&lt;=01_因子設定!$M$8+0.000000001,IF(01_因子設定!$B$20="Box-Behnken",E6216^2+F6216^2+G6216^2+H6216^2&lt;=2+0.000000001,TRUE()))</f>
        <v>1</v>
      </c>
      <c r="AD6216" s="55" t="n">
        <f aca="false">IF(AC6216,IF(01_因子設定!$B$13="最大化",AA6216-01_因子設定!$B$14,IF(01_因子設定!$B$13="最小化",01_因子設定!$B$15-AB6216,MIN(AA6216-01_因子設定!$B$14,01_因子設定!$B$15-AB6216))),-1E+030)</f>
        <v>-1.47750227670544</v>
      </c>
      <c r="AE6216" s="55" t="n">
        <f aca="false">IF(AC6216,IF(01_因子設定!$B$13="最大化",X6216,IF(01_因子設定!$B$13="最小化",-X6216,-ABS(X6216-01_因子設定!$B$16))),-1E+030)</f>
        <v>46.6061860380117</v>
      </c>
      <c r="AF6216" s="55" t="n">
        <f aca="false">AD6216+ROW()*0.000000001</f>
        <v>-1.47749606070544</v>
      </c>
      <c r="AG6216" s="55" t="n">
        <f aca="false">AE6216+ROW()*0.000000001</f>
        <v>46.6061922540117</v>
      </c>
    </row>
    <row r="6217" customFormat="false" ht="15" hidden="false" customHeight="false" outlineLevel="0" collapsed="false">
      <c r="A6217" s="0" t="n">
        <v>8</v>
      </c>
      <c r="B6217" s="0" t="n">
        <v>4</v>
      </c>
      <c r="C6217" s="0" t="n">
        <v>6</v>
      </c>
      <c r="D6217" s="0" t="n">
        <v>2</v>
      </c>
      <c r="E6217" s="0" t="n">
        <f aca="false">-1+A6217*0.25</f>
        <v>1</v>
      </c>
      <c r="F6217" s="0" t="n">
        <f aca="false">-1+B6217*0.25</f>
        <v>0</v>
      </c>
      <c r="G6217" s="0" t="n">
        <f aca="false">-1+C6217*0.25</f>
        <v>0.5</v>
      </c>
      <c r="H6217" s="0" t="n">
        <f aca="false">-1+D6217*0.25</f>
        <v>-0.5</v>
      </c>
      <c r="I6217" s="0" t="n">
        <f aca="false">1</f>
        <v>1</v>
      </c>
      <c r="J6217" s="0" t="n">
        <f aca="false">E6217</f>
        <v>1</v>
      </c>
      <c r="K6217" s="0" t="n">
        <f aca="false">F6217</f>
        <v>0</v>
      </c>
      <c r="L6217" s="0" t="n">
        <f aca="false">G6217</f>
        <v>0.5</v>
      </c>
      <c r="M6217" s="0" t="n">
        <f aca="false">H6217</f>
        <v>-0.5</v>
      </c>
      <c r="N6217" s="0" t="n">
        <f aca="false">E6217*F6217</f>
        <v>0</v>
      </c>
      <c r="O6217" s="0" t="n">
        <f aca="false">E6217*G6217</f>
        <v>0.5</v>
      </c>
      <c r="P6217" s="0" t="n">
        <f aca="false">E6217*H6217</f>
        <v>-0.5</v>
      </c>
      <c r="Q6217" s="0" t="n">
        <f aca="false">F6217*G6217</f>
        <v>0</v>
      </c>
      <c r="R6217" s="0" t="n">
        <f aca="false">F6217*H6217</f>
        <v>-0</v>
      </c>
      <c r="S6217" s="0" t="n">
        <f aca="false">G6217*H6217</f>
        <v>-0.25</v>
      </c>
      <c r="T6217" s="0" t="n">
        <f aca="false">E6217*E6217</f>
        <v>1</v>
      </c>
      <c r="U6217" s="0" t="n">
        <f aca="false">F6217*F6217</f>
        <v>0</v>
      </c>
      <c r="V6217" s="0" t="n">
        <f aca="false">G6217*G6217</f>
        <v>0.25</v>
      </c>
      <c r="W6217" s="0" t="n">
        <f aca="false">H6217*H6217</f>
        <v>0.25</v>
      </c>
      <c r="X6217" s="0" t="n">
        <f aca="false">SUMPRODUCT(I6217:W6217,_XtX!$B$96:$P$96)</f>
        <v>46.8942799707603</v>
      </c>
      <c r="Y6217" s="0" t="n">
        <f aca="false">SUMPRODUCT(MMULT(I6217:W6217,_XtX!$B$78:$P$92),I6217:W6217)</f>
        <v>0.441954495614035</v>
      </c>
      <c r="Z6217" s="0" t="n">
        <f aca="false">04_回帰ANOVA!$K$19*04_回帰ANOVA!$K$14*SQRT(1+Y6217)</f>
        <v>1.56521560968066</v>
      </c>
      <c r="AA6217" s="0" t="n">
        <f aca="false">X6217-Z6217</f>
        <v>45.3290643610796</v>
      </c>
      <c r="AB6217" s="0" t="n">
        <f aca="false">X6217+Z6217</f>
        <v>48.4594955804409</v>
      </c>
      <c r="AC6217" s="54" t="b">
        <f aca="false">AND(E6217&gt;=01_因子設定!$L$5-0.000000001,E6217&lt;=01_因子設定!$M$5+0.000000001,F6217&gt;=01_因子設定!$L$6-0.000000001,F6217&lt;=01_因子設定!$M$6+0.000000001,G6217&gt;=01_因子設定!$L$7-0.000000001,G6217&lt;=01_因子設定!$M$7+0.000000001,H6217&gt;=01_因子設定!$L$8-0.000000001,H6217&lt;=01_因子設定!$M$8+0.000000001,IF(01_因子設定!$B$20="Box-Behnken",E6217^2+F6217^2+G6217^2+H6217^2&lt;=2+0.000000001,TRUE()))</f>
        <v>1</v>
      </c>
      <c r="AD6217" s="55" t="n">
        <f aca="false">IF(AC6217,IF(01_因子設定!$B$13="最大化",AA6217-01_因子設定!$B$14,IF(01_因子設定!$B$13="最小化",01_因子設定!$B$15-AB6217,MIN(AA6217-01_因子設定!$B$14,01_因子設定!$B$15-AB6217))),-1E+030)</f>
        <v>-1.1709356389204</v>
      </c>
      <c r="AE6217" s="55" t="n">
        <f aca="false">IF(AC6217,IF(01_因子設定!$B$13="最大化",X6217,IF(01_因子設定!$B$13="最小化",-X6217,-ABS(X6217-01_因子設定!$B$16))),-1E+030)</f>
        <v>46.8942799707603</v>
      </c>
      <c r="AF6217" s="55" t="n">
        <f aca="false">AD6217+ROW()*0.000000001</f>
        <v>-1.1709294219204</v>
      </c>
      <c r="AG6217" s="55" t="n">
        <f aca="false">AE6217+ROW()*0.000000001</f>
        <v>46.8942861877603</v>
      </c>
    </row>
    <row r="6218" customFormat="false" ht="15" hidden="false" customHeight="false" outlineLevel="0" collapsed="false">
      <c r="A6218" s="0" t="n">
        <v>8</v>
      </c>
      <c r="B6218" s="0" t="n">
        <v>4</v>
      </c>
      <c r="C6218" s="0" t="n">
        <v>6</v>
      </c>
      <c r="D6218" s="0" t="n">
        <v>3</v>
      </c>
      <c r="E6218" s="0" t="n">
        <f aca="false">-1+A6218*0.25</f>
        <v>1</v>
      </c>
      <c r="F6218" s="0" t="n">
        <f aca="false">-1+B6218*0.25</f>
        <v>0</v>
      </c>
      <c r="G6218" s="0" t="n">
        <f aca="false">-1+C6218*0.25</f>
        <v>0.5</v>
      </c>
      <c r="H6218" s="0" t="n">
        <f aca="false">-1+D6218*0.25</f>
        <v>-0.25</v>
      </c>
      <c r="I6218" s="0" t="n">
        <f aca="false">1</f>
        <v>1</v>
      </c>
      <c r="J6218" s="0" t="n">
        <f aca="false">E6218</f>
        <v>1</v>
      </c>
      <c r="K6218" s="0" t="n">
        <f aca="false">F6218</f>
        <v>0</v>
      </c>
      <c r="L6218" s="0" t="n">
        <f aca="false">G6218</f>
        <v>0.5</v>
      </c>
      <c r="M6218" s="0" t="n">
        <f aca="false">H6218</f>
        <v>-0.25</v>
      </c>
      <c r="N6218" s="0" t="n">
        <f aca="false">E6218*F6218</f>
        <v>0</v>
      </c>
      <c r="O6218" s="0" t="n">
        <f aca="false">E6218*G6218</f>
        <v>0.5</v>
      </c>
      <c r="P6218" s="0" t="n">
        <f aca="false">E6218*H6218</f>
        <v>-0.25</v>
      </c>
      <c r="Q6218" s="0" t="n">
        <f aca="false">F6218*G6218</f>
        <v>0</v>
      </c>
      <c r="R6218" s="0" t="n">
        <f aca="false">F6218*H6218</f>
        <v>-0</v>
      </c>
      <c r="S6218" s="0" t="n">
        <f aca="false">G6218*H6218</f>
        <v>-0.125</v>
      </c>
      <c r="T6218" s="0" t="n">
        <f aca="false">E6218*E6218</f>
        <v>1</v>
      </c>
      <c r="U6218" s="0" t="n">
        <f aca="false">F6218*F6218</f>
        <v>0</v>
      </c>
      <c r="V6218" s="0" t="n">
        <f aca="false">G6218*G6218</f>
        <v>0.25</v>
      </c>
      <c r="W6218" s="0" t="n">
        <f aca="false">H6218*H6218</f>
        <v>0.0625</v>
      </c>
      <c r="X6218" s="0" t="n">
        <f aca="false">SUMPRODUCT(I6218:W6218,_XtX!$B$96:$P$96)</f>
        <v>47.1345668859649</v>
      </c>
      <c r="Y6218" s="0" t="n">
        <f aca="false">SUMPRODUCT(MMULT(I6218:W6218,_XtX!$B$78:$P$92),I6218:W6218)</f>
        <v>0.457596628289474</v>
      </c>
      <c r="Z6218" s="0" t="n">
        <f aca="false">04_回帰ANOVA!$K$19*04_回帰ANOVA!$K$14*SQRT(1+Y6218)</f>
        <v>1.57368233664366</v>
      </c>
      <c r="AA6218" s="0" t="n">
        <f aca="false">X6218-Z6218</f>
        <v>45.5608845493213</v>
      </c>
      <c r="AB6218" s="0" t="n">
        <f aca="false">X6218+Z6218</f>
        <v>48.7082492226086</v>
      </c>
      <c r="AC6218" s="54" t="b">
        <f aca="false">AND(E6218&gt;=01_因子設定!$L$5-0.000000001,E6218&lt;=01_因子設定!$M$5+0.000000001,F6218&gt;=01_因子設定!$L$6-0.000000001,F6218&lt;=01_因子設定!$M$6+0.000000001,G6218&gt;=01_因子設定!$L$7-0.000000001,G6218&lt;=01_因子設定!$M$7+0.000000001,H6218&gt;=01_因子設定!$L$8-0.000000001,H6218&lt;=01_因子設定!$M$8+0.000000001,IF(01_因子設定!$B$20="Box-Behnken",E6218^2+F6218^2+G6218^2+H6218^2&lt;=2+0.000000001,TRUE()))</f>
        <v>1</v>
      </c>
      <c r="AD6218" s="55" t="n">
        <f aca="false">IF(AC6218,IF(01_因子設定!$B$13="最大化",AA6218-01_因子設定!$B$14,IF(01_因子設定!$B$13="最小化",01_因子設定!$B$15-AB6218,MIN(AA6218-01_因子設定!$B$14,01_因子設定!$B$15-AB6218))),-1E+030)</f>
        <v>-0.93911545067872</v>
      </c>
      <c r="AE6218" s="55" t="n">
        <f aca="false">IF(AC6218,IF(01_因子設定!$B$13="最大化",X6218,IF(01_因子設定!$B$13="最小化",-X6218,-ABS(X6218-01_因子設定!$B$16))),-1E+030)</f>
        <v>47.1345668859649</v>
      </c>
      <c r="AF6218" s="55" t="n">
        <f aca="false">AD6218+ROW()*0.000000001</f>
        <v>-0.93910923267872</v>
      </c>
      <c r="AG6218" s="55" t="n">
        <f aca="false">AE6218+ROW()*0.000000001</f>
        <v>47.1345731039649</v>
      </c>
    </row>
    <row r="6219" customFormat="false" ht="15" hidden="false" customHeight="false" outlineLevel="0" collapsed="false">
      <c r="A6219" s="0" t="n">
        <v>8</v>
      </c>
      <c r="B6219" s="0" t="n">
        <v>4</v>
      </c>
      <c r="C6219" s="0" t="n">
        <v>6</v>
      </c>
      <c r="D6219" s="0" t="n">
        <v>4</v>
      </c>
      <c r="E6219" s="0" t="n">
        <f aca="false">-1+A6219*0.25</f>
        <v>1</v>
      </c>
      <c r="F6219" s="0" t="n">
        <f aca="false">-1+B6219*0.25</f>
        <v>0</v>
      </c>
      <c r="G6219" s="0" t="n">
        <f aca="false">-1+C6219*0.25</f>
        <v>0.5</v>
      </c>
      <c r="H6219" s="0" t="n">
        <f aca="false">-1+D6219*0.25</f>
        <v>0</v>
      </c>
      <c r="I6219" s="0" t="n">
        <f aca="false">1</f>
        <v>1</v>
      </c>
      <c r="J6219" s="0" t="n">
        <f aca="false">E6219</f>
        <v>1</v>
      </c>
      <c r="K6219" s="0" t="n">
        <f aca="false">F6219</f>
        <v>0</v>
      </c>
      <c r="L6219" s="0" t="n">
        <f aca="false">G6219</f>
        <v>0.5</v>
      </c>
      <c r="M6219" s="0" t="n">
        <f aca="false">H6219</f>
        <v>0</v>
      </c>
      <c r="N6219" s="0" t="n">
        <f aca="false">E6219*F6219</f>
        <v>0</v>
      </c>
      <c r="O6219" s="0" t="n">
        <f aca="false">E6219*G6219</f>
        <v>0.5</v>
      </c>
      <c r="P6219" s="0" t="n">
        <f aca="false">E6219*H6219</f>
        <v>0</v>
      </c>
      <c r="Q6219" s="0" t="n">
        <f aca="false">F6219*G6219</f>
        <v>0</v>
      </c>
      <c r="R6219" s="0" t="n">
        <f aca="false">F6219*H6219</f>
        <v>0</v>
      </c>
      <c r="S6219" s="0" t="n">
        <f aca="false">G6219*H6219</f>
        <v>0</v>
      </c>
      <c r="T6219" s="0" t="n">
        <f aca="false">E6219*E6219</f>
        <v>1</v>
      </c>
      <c r="U6219" s="0" t="n">
        <f aca="false">F6219*F6219</f>
        <v>0</v>
      </c>
      <c r="V6219" s="0" t="n">
        <f aca="false">G6219*G6219</f>
        <v>0.25</v>
      </c>
      <c r="W6219" s="0" t="n">
        <f aca="false">H6219*H6219</f>
        <v>0</v>
      </c>
      <c r="X6219" s="0" t="n">
        <f aca="false">SUMPRODUCT(I6219:W6219,_XtX!$B$96:$P$96)</f>
        <v>47.3270467836258</v>
      </c>
      <c r="Y6219" s="0" t="n">
        <f aca="false">SUMPRODUCT(MMULT(I6219:W6219,_XtX!$B$78:$P$92),I6219:W6219)</f>
        <v>0.468841374269006</v>
      </c>
      <c r="Z6219" s="0" t="n">
        <f aca="false">04_回帰ANOVA!$K$19*04_回帰ANOVA!$K$14*SQRT(1+Y6219)</f>
        <v>1.57974082366087</v>
      </c>
      <c r="AA6219" s="0" t="n">
        <f aca="false">X6219-Z6219</f>
        <v>45.7473059599649</v>
      </c>
      <c r="AB6219" s="0" t="n">
        <f aca="false">X6219+Z6219</f>
        <v>48.9067876072866</v>
      </c>
      <c r="AC6219" s="54" t="b">
        <f aca="false">AND(E6219&gt;=01_因子設定!$L$5-0.000000001,E6219&lt;=01_因子設定!$M$5+0.000000001,F6219&gt;=01_因子設定!$L$6-0.000000001,F6219&lt;=01_因子設定!$M$6+0.000000001,G6219&gt;=01_因子設定!$L$7-0.000000001,G6219&lt;=01_因子設定!$M$7+0.000000001,H6219&gt;=01_因子設定!$L$8-0.000000001,H6219&lt;=01_因子設定!$M$8+0.000000001,IF(01_因子設定!$B$20="Box-Behnken",E6219^2+F6219^2+G6219^2+H6219^2&lt;=2+0.000000001,TRUE()))</f>
        <v>1</v>
      </c>
      <c r="AD6219" s="55" t="n">
        <f aca="false">IF(AC6219,IF(01_因子設定!$B$13="最大化",AA6219-01_因子設定!$B$14,IF(01_因子設定!$B$13="最小化",01_因子設定!$B$15-AB6219,MIN(AA6219-01_因子設定!$B$14,01_因子設定!$B$15-AB6219))),-1E+030)</f>
        <v>-0.752694040035124</v>
      </c>
      <c r="AE6219" s="55" t="n">
        <f aca="false">IF(AC6219,IF(01_因子設定!$B$13="最大化",X6219,IF(01_因子設定!$B$13="最小化",-X6219,-ABS(X6219-01_因子設定!$B$16))),-1E+030)</f>
        <v>47.3270467836258</v>
      </c>
      <c r="AF6219" s="55" t="n">
        <f aca="false">AD6219+ROW()*0.000000001</f>
        <v>-0.752687821035124</v>
      </c>
      <c r="AG6219" s="55" t="n">
        <f aca="false">AE6219+ROW()*0.000000001</f>
        <v>47.3270530026258</v>
      </c>
    </row>
    <row r="6220" customFormat="false" ht="15" hidden="false" customHeight="false" outlineLevel="0" collapsed="false">
      <c r="A6220" s="0" t="n">
        <v>8</v>
      </c>
      <c r="B6220" s="0" t="n">
        <v>4</v>
      </c>
      <c r="C6220" s="0" t="n">
        <v>6</v>
      </c>
      <c r="D6220" s="0" t="n">
        <v>5</v>
      </c>
      <c r="E6220" s="0" t="n">
        <f aca="false">-1+A6220*0.25</f>
        <v>1</v>
      </c>
      <c r="F6220" s="0" t="n">
        <f aca="false">-1+B6220*0.25</f>
        <v>0</v>
      </c>
      <c r="G6220" s="0" t="n">
        <f aca="false">-1+C6220*0.25</f>
        <v>0.5</v>
      </c>
      <c r="H6220" s="0" t="n">
        <f aca="false">-1+D6220*0.25</f>
        <v>0.25</v>
      </c>
      <c r="I6220" s="0" t="n">
        <f aca="false">1</f>
        <v>1</v>
      </c>
      <c r="J6220" s="0" t="n">
        <f aca="false">E6220</f>
        <v>1</v>
      </c>
      <c r="K6220" s="0" t="n">
        <f aca="false">F6220</f>
        <v>0</v>
      </c>
      <c r="L6220" s="0" t="n">
        <f aca="false">G6220</f>
        <v>0.5</v>
      </c>
      <c r="M6220" s="0" t="n">
        <f aca="false">H6220</f>
        <v>0.25</v>
      </c>
      <c r="N6220" s="0" t="n">
        <f aca="false">E6220*F6220</f>
        <v>0</v>
      </c>
      <c r="O6220" s="0" t="n">
        <f aca="false">E6220*G6220</f>
        <v>0.5</v>
      </c>
      <c r="P6220" s="0" t="n">
        <f aca="false">E6220*H6220</f>
        <v>0.25</v>
      </c>
      <c r="Q6220" s="0" t="n">
        <f aca="false">F6220*G6220</f>
        <v>0</v>
      </c>
      <c r="R6220" s="0" t="n">
        <f aca="false">F6220*H6220</f>
        <v>0</v>
      </c>
      <c r="S6220" s="0" t="n">
        <f aca="false">G6220*H6220</f>
        <v>0.125</v>
      </c>
      <c r="T6220" s="0" t="n">
        <f aca="false">E6220*E6220</f>
        <v>1</v>
      </c>
      <c r="U6220" s="0" t="n">
        <f aca="false">F6220*F6220</f>
        <v>0</v>
      </c>
      <c r="V6220" s="0" t="n">
        <f aca="false">G6220*G6220</f>
        <v>0.25</v>
      </c>
      <c r="W6220" s="0" t="n">
        <f aca="false">H6220*H6220</f>
        <v>0.0625</v>
      </c>
      <c r="X6220" s="0" t="n">
        <f aca="false">SUMPRODUCT(I6220:W6220,_XtX!$B$96:$P$96)</f>
        <v>47.4717196637427</v>
      </c>
      <c r="Y6220" s="0" t="n">
        <f aca="false">SUMPRODUCT(MMULT(I6220:W6220,_XtX!$B$78:$P$92),I6220:W6220)</f>
        <v>0.457596628289474</v>
      </c>
      <c r="Z6220" s="0" t="n">
        <f aca="false">04_回帰ANOVA!$K$19*04_回帰ANOVA!$K$14*SQRT(1+Y6220)</f>
        <v>1.57368233664366</v>
      </c>
      <c r="AA6220" s="0" t="n">
        <f aca="false">X6220-Z6220</f>
        <v>45.8980373270991</v>
      </c>
      <c r="AB6220" s="0" t="n">
        <f aca="false">X6220+Z6220</f>
        <v>49.0454020003864</v>
      </c>
      <c r="AC6220" s="54" t="b">
        <f aca="false">AND(E6220&gt;=01_因子設定!$L$5-0.000000001,E6220&lt;=01_因子設定!$M$5+0.000000001,F6220&gt;=01_因子設定!$L$6-0.000000001,F6220&lt;=01_因子設定!$M$6+0.000000001,G6220&gt;=01_因子設定!$L$7-0.000000001,G6220&lt;=01_因子設定!$M$7+0.000000001,H6220&gt;=01_因子設定!$L$8-0.000000001,H6220&lt;=01_因子設定!$M$8+0.000000001,IF(01_因子設定!$B$20="Box-Behnken",E6220^2+F6220^2+G6220^2+H6220^2&lt;=2+0.000000001,TRUE()))</f>
        <v>1</v>
      </c>
      <c r="AD6220" s="55" t="n">
        <f aca="false">IF(AC6220,IF(01_因子設定!$B$13="最大化",AA6220-01_因子設定!$B$14,IF(01_因子設定!$B$13="最小化",01_因子設定!$B$15-AB6220,MIN(AA6220-01_因子設定!$B$14,01_因子設定!$B$15-AB6220))),-1E+030)</f>
        <v>-0.601962672900939</v>
      </c>
      <c r="AE6220" s="55" t="n">
        <f aca="false">IF(AC6220,IF(01_因子設定!$B$13="最大化",X6220,IF(01_因子設定!$B$13="最小化",-X6220,-ABS(X6220-01_因子設定!$B$16))),-1E+030)</f>
        <v>47.4717196637427</v>
      </c>
      <c r="AF6220" s="55" t="n">
        <f aca="false">AD6220+ROW()*0.000000001</f>
        <v>-0.601956452900939</v>
      </c>
      <c r="AG6220" s="55" t="n">
        <f aca="false">AE6220+ROW()*0.000000001</f>
        <v>47.4717258837427</v>
      </c>
    </row>
    <row r="6221" customFormat="false" ht="15" hidden="false" customHeight="false" outlineLevel="0" collapsed="false">
      <c r="A6221" s="0" t="n">
        <v>8</v>
      </c>
      <c r="B6221" s="0" t="n">
        <v>4</v>
      </c>
      <c r="C6221" s="0" t="n">
        <v>6</v>
      </c>
      <c r="D6221" s="0" t="n">
        <v>6</v>
      </c>
      <c r="E6221" s="0" t="n">
        <f aca="false">-1+A6221*0.25</f>
        <v>1</v>
      </c>
      <c r="F6221" s="0" t="n">
        <f aca="false">-1+B6221*0.25</f>
        <v>0</v>
      </c>
      <c r="G6221" s="0" t="n">
        <f aca="false">-1+C6221*0.25</f>
        <v>0.5</v>
      </c>
      <c r="H6221" s="0" t="n">
        <f aca="false">-1+D6221*0.25</f>
        <v>0.5</v>
      </c>
      <c r="I6221" s="0" t="n">
        <f aca="false">1</f>
        <v>1</v>
      </c>
      <c r="J6221" s="0" t="n">
        <f aca="false">E6221</f>
        <v>1</v>
      </c>
      <c r="K6221" s="0" t="n">
        <f aca="false">F6221</f>
        <v>0</v>
      </c>
      <c r="L6221" s="0" t="n">
        <f aca="false">G6221</f>
        <v>0.5</v>
      </c>
      <c r="M6221" s="0" t="n">
        <f aca="false">H6221</f>
        <v>0.5</v>
      </c>
      <c r="N6221" s="0" t="n">
        <f aca="false">E6221*F6221</f>
        <v>0</v>
      </c>
      <c r="O6221" s="0" t="n">
        <f aca="false">E6221*G6221</f>
        <v>0.5</v>
      </c>
      <c r="P6221" s="0" t="n">
        <f aca="false">E6221*H6221</f>
        <v>0.5</v>
      </c>
      <c r="Q6221" s="0" t="n">
        <f aca="false">F6221*G6221</f>
        <v>0</v>
      </c>
      <c r="R6221" s="0" t="n">
        <f aca="false">F6221*H6221</f>
        <v>0</v>
      </c>
      <c r="S6221" s="0" t="n">
        <f aca="false">G6221*H6221</f>
        <v>0.25</v>
      </c>
      <c r="T6221" s="0" t="n">
        <f aca="false">E6221*E6221</f>
        <v>1</v>
      </c>
      <c r="U6221" s="0" t="n">
        <f aca="false">F6221*F6221</f>
        <v>0</v>
      </c>
      <c r="V6221" s="0" t="n">
        <f aca="false">G6221*G6221</f>
        <v>0.25</v>
      </c>
      <c r="W6221" s="0" t="n">
        <f aca="false">H6221*H6221</f>
        <v>0.25</v>
      </c>
      <c r="X6221" s="0" t="n">
        <f aca="false">SUMPRODUCT(I6221:W6221,_XtX!$B$96:$P$96)</f>
        <v>47.5685855263158</v>
      </c>
      <c r="Y6221" s="0" t="n">
        <f aca="false">SUMPRODUCT(MMULT(I6221:W6221,_XtX!$B$78:$P$92),I6221:W6221)</f>
        <v>0.441954495614035</v>
      </c>
      <c r="Z6221" s="0" t="n">
        <f aca="false">04_回帰ANOVA!$K$19*04_回帰ANOVA!$K$14*SQRT(1+Y6221)</f>
        <v>1.56521560968066</v>
      </c>
      <c r="AA6221" s="0" t="n">
        <f aca="false">X6221-Z6221</f>
        <v>46.0033699166352</v>
      </c>
      <c r="AB6221" s="0" t="n">
        <f aca="false">X6221+Z6221</f>
        <v>49.1338011359965</v>
      </c>
      <c r="AC6221" s="54" t="b">
        <f aca="false">AND(E6221&gt;=01_因子設定!$L$5-0.000000001,E6221&lt;=01_因子設定!$M$5+0.000000001,F6221&gt;=01_因子設定!$L$6-0.000000001,F6221&lt;=01_因子設定!$M$6+0.000000001,G6221&gt;=01_因子設定!$L$7-0.000000001,G6221&lt;=01_因子設定!$M$7+0.000000001,H6221&gt;=01_因子設定!$L$8-0.000000001,H6221&lt;=01_因子設定!$M$8+0.000000001,IF(01_因子設定!$B$20="Box-Behnken",E6221^2+F6221^2+G6221^2+H6221^2&lt;=2+0.000000001,TRUE()))</f>
        <v>1</v>
      </c>
      <c r="AD6221" s="55" t="n">
        <f aca="false">IF(AC6221,IF(01_因子設定!$B$13="最大化",AA6221-01_因子設定!$B$14,IF(01_因子設定!$B$13="最小化",01_因子設定!$B$15-AB6221,MIN(AA6221-01_因子設定!$B$14,01_因子設定!$B$15-AB6221))),-1E+030)</f>
        <v>-0.496630083364842</v>
      </c>
      <c r="AE6221" s="55" t="n">
        <f aca="false">IF(AC6221,IF(01_因子設定!$B$13="最大化",X6221,IF(01_因子設定!$B$13="最小化",-X6221,-ABS(X6221-01_因子設定!$B$16))),-1E+030)</f>
        <v>47.5685855263158</v>
      </c>
      <c r="AF6221" s="55" t="n">
        <f aca="false">AD6221+ROW()*0.000000001</f>
        <v>-0.496623862364842</v>
      </c>
      <c r="AG6221" s="55" t="n">
        <f aca="false">AE6221+ROW()*0.000000001</f>
        <v>47.5685917473158</v>
      </c>
    </row>
    <row r="6222" customFormat="false" ht="15" hidden="false" customHeight="false" outlineLevel="0" collapsed="false">
      <c r="A6222" s="0" t="n">
        <v>8</v>
      </c>
      <c r="B6222" s="0" t="n">
        <v>4</v>
      </c>
      <c r="C6222" s="0" t="n">
        <v>6</v>
      </c>
      <c r="D6222" s="0" t="n">
        <v>7</v>
      </c>
      <c r="E6222" s="0" t="n">
        <f aca="false">-1+A6222*0.25</f>
        <v>1</v>
      </c>
      <c r="F6222" s="0" t="n">
        <f aca="false">-1+B6222*0.25</f>
        <v>0</v>
      </c>
      <c r="G6222" s="0" t="n">
        <f aca="false">-1+C6222*0.25</f>
        <v>0.5</v>
      </c>
      <c r="H6222" s="0" t="n">
        <f aca="false">-1+D6222*0.25</f>
        <v>0.75</v>
      </c>
      <c r="I6222" s="0" t="n">
        <f aca="false">1</f>
        <v>1</v>
      </c>
      <c r="J6222" s="0" t="n">
        <f aca="false">E6222</f>
        <v>1</v>
      </c>
      <c r="K6222" s="0" t="n">
        <f aca="false">F6222</f>
        <v>0</v>
      </c>
      <c r="L6222" s="0" t="n">
        <f aca="false">G6222</f>
        <v>0.5</v>
      </c>
      <c r="M6222" s="0" t="n">
        <f aca="false">H6222</f>
        <v>0.75</v>
      </c>
      <c r="N6222" s="0" t="n">
        <f aca="false">E6222*F6222</f>
        <v>0</v>
      </c>
      <c r="O6222" s="0" t="n">
        <f aca="false">E6222*G6222</f>
        <v>0.5</v>
      </c>
      <c r="P6222" s="0" t="n">
        <f aca="false">E6222*H6222</f>
        <v>0.75</v>
      </c>
      <c r="Q6222" s="0" t="n">
        <f aca="false">F6222*G6222</f>
        <v>0</v>
      </c>
      <c r="R6222" s="0" t="n">
        <f aca="false">F6222*H6222</f>
        <v>0</v>
      </c>
      <c r="S6222" s="0" t="n">
        <f aca="false">G6222*H6222</f>
        <v>0.375</v>
      </c>
      <c r="T6222" s="0" t="n">
        <f aca="false">E6222*E6222</f>
        <v>1</v>
      </c>
      <c r="U6222" s="0" t="n">
        <f aca="false">F6222*F6222</f>
        <v>0</v>
      </c>
      <c r="V6222" s="0" t="n">
        <f aca="false">G6222*G6222</f>
        <v>0.25</v>
      </c>
      <c r="W6222" s="0" t="n">
        <f aca="false">H6222*H6222</f>
        <v>0.5625</v>
      </c>
      <c r="X6222" s="0" t="n">
        <f aca="false">SUMPRODUCT(I6222:W6222,_XtX!$B$96:$P$96)</f>
        <v>47.6176443713451</v>
      </c>
      <c r="Y6222" s="0" t="n">
        <f aca="false">SUMPRODUCT(MMULT(I6222:W6222,_XtX!$B$78:$P$92),I6222:W6222)</f>
        <v>0.476191292032164</v>
      </c>
      <c r="Z6222" s="0" t="n">
        <f aca="false">04_回帰ANOVA!$K$19*04_回帰ANOVA!$K$14*SQRT(1+Y6222)</f>
        <v>1.58368831471718</v>
      </c>
      <c r="AA6222" s="0" t="n">
        <f aca="false">X6222-Z6222</f>
        <v>46.0339560566279</v>
      </c>
      <c r="AB6222" s="0" t="n">
        <f aca="false">X6222+Z6222</f>
        <v>49.2013326860623</v>
      </c>
      <c r="AC6222" s="54" t="b">
        <f aca="false">AND(E6222&gt;=01_因子設定!$L$5-0.000000001,E6222&lt;=01_因子設定!$M$5+0.000000001,F6222&gt;=01_因子設定!$L$6-0.000000001,F6222&lt;=01_因子設定!$M$6+0.000000001,G6222&gt;=01_因子設定!$L$7-0.000000001,G6222&lt;=01_因子設定!$M$7+0.000000001,H6222&gt;=01_因子設定!$L$8-0.000000001,H6222&lt;=01_因子設定!$M$8+0.000000001,IF(01_因子設定!$B$20="Box-Behnken",E6222^2+F6222^2+G6222^2+H6222^2&lt;=2+0.000000001,TRUE()))</f>
        <v>1</v>
      </c>
      <c r="AD6222" s="55" t="n">
        <f aca="false">IF(AC6222,IF(01_因子設定!$B$13="最大化",AA6222-01_因子設定!$B$14,IF(01_因子設定!$B$13="最小化",01_因子設定!$B$15-AB6222,MIN(AA6222-01_因子設定!$B$14,01_因子設定!$B$15-AB6222))),-1E+030)</f>
        <v>-0.466043943372107</v>
      </c>
      <c r="AE6222" s="55" t="n">
        <f aca="false">IF(AC6222,IF(01_因子設定!$B$13="最大化",X6222,IF(01_因子設定!$B$13="最小化",-X6222,-ABS(X6222-01_因子設定!$B$16))),-1E+030)</f>
        <v>47.6176443713451</v>
      </c>
      <c r="AF6222" s="55" t="n">
        <f aca="false">AD6222+ROW()*0.000000001</f>
        <v>-0.466037721372107</v>
      </c>
      <c r="AG6222" s="55" t="n">
        <f aca="false">AE6222+ROW()*0.000000001</f>
        <v>47.6176505933451</v>
      </c>
    </row>
    <row r="6223" customFormat="false" ht="15" hidden="false" customHeight="false" outlineLevel="0" collapsed="false">
      <c r="A6223" s="0" t="n">
        <v>8</v>
      </c>
      <c r="B6223" s="0" t="n">
        <v>4</v>
      </c>
      <c r="C6223" s="0" t="n">
        <v>6</v>
      </c>
      <c r="D6223" s="0" t="n">
        <v>8</v>
      </c>
      <c r="E6223" s="0" t="n">
        <f aca="false">-1+A6223*0.25</f>
        <v>1</v>
      </c>
      <c r="F6223" s="0" t="n">
        <f aca="false">-1+B6223*0.25</f>
        <v>0</v>
      </c>
      <c r="G6223" s="0" t="n">
        <f aca="false">-1+C6223*0.25</f>
        <v>0.5</v>
      </c>
      <c r="H6223" s="0" t="n">
        <f aca="false">-1+D6223*0.25</f>
        <v>1</v>
      </c>
      <c r="I6223" s="0" t="n">
        <f aca="false">1</f>
        <v>1</v>
      </c>
      <c r="J6223" s="0" t="n">
        <f aca="false">E6223</f>
        <v>1</v>
      </c>
      <c r="K6223" s="0" t="n">
        <f aca="false">F6223</f>
        <v>0</v>
      </c>
      <c r="L6223" s="0" t="n">
        <f aca="false">G6223</f>
        <v>0.5</v>
      </c>
      <c r="M6223" s="0" t="n">
        <f aca="false">H6223</f>
        <v>1</v>
      </c>
      <c r="N6223" s="0" t="n">
        <f aca="false">E6223*F6223</f>
        <v>0</v>
      </c>
      <c r="O6223" s="0" t="n">
        <f aca="false">E6223*G6223</f>
        <v>0.5</v>
      </c>
      <c r="P6223" s="0" t="n">
        <f aca="false">E6223*H6223</f>
        <v>1</v>
      </c>
      <c r="Q6223" s="0" t="n">
        <f aca="false">F6223*G6223</f>
        <v>0</v>
      </c>
      <c r="R6223" s="0" t="n">
        <f aca="false">F6223*H6223</f>
        <v>0</v>
      </c>
      <c r="S6223" s="0" t="n">
        <f aca="false">G6223*H6223</f>
        <v>0.5</v>
      </c>
      <c r="T6223" s="0" t="n">
        <f aca="false">E6223*E6223</f>
        <v>1</v>
      </c>
      <c r="U6223" s="0" t="n">
        <f aca="false">F6223*F6223</f>
        <v>0</v>
      </c>
      <c r="V6223" s="0" t="n">
        <f aca="false">G6223*G6223</f>
        <v>0.25</v>
      </c>
      <c r="W6223" s="0" t="n">
        <f aca="false">H6223*H6223</f>
        <v>1</v>
      </c>
      <c r="X6223" s="0" t="n">
        <f aca="false">SUMPRODUCT(I6223:W6223,_XtX!$B$96:$P$96)</f>
        <v>47.6188961988305</v>
      </c>
      <c r="Y6223" s="0" t="n">
        <f aca="false">SUMPRODUCT(MMULT(I6223:W6223,_XtX!$B$78:$P$92),I6223:W6223)</f>
        <v>0.650767543859649</v>
      </c>
      <c r="Z6223" s="0" t="n">
        <f aca="false">04_回帰ANOVA!$K$19*04_回帰ANOVA!$K$14*SQRT(1+Y6223)</f>
        <v>1.67471670935165</v>
      </c>
      <c r="AA6223" s="0" t="n">
        <f aca="false">X6223-Z6223</f>
        <v>45.9441794894788</v>
      </c>
      <c r="AB6223" s="0" t="n">
        <f aca="false">X6223+Z6223</f>
        <v>49.2936129081821</v>
      </c>
      <c r="AC6223" s="54" t="b">
        <f aca="false">AND(E6223&gt;=01_因子設定!$L$5-0.000000001,E6223&lt;=01_因子設定!$M$5+0.000000001,F6223&gt;=01_因子設定!$L$6-0.000000001,F6223&lt;=01_因子設定!$M$6+0.000000001,G6223&gt;=01_因子設定!$L$7-0.000000001,G6223&lt;=01_因子設定!$M$7+0.000000001,H6223&gt;=01_因子設定!$L$8-0.000000001,H6223&lt;=01_因子設定!$M$8+0.000000001,IF(01_因子設定!$B$20="Box-Behnken",E6223^2+F6223^2+G6223^2+H6223^2&lt;=2+0.000000001,TRUE()))</f>
        <v>1</v>
      </c>
      <c r="AD6223" s="55" t="n">
        <f aca="false">IF(AC6223,IF(01_因子設定!$B$13="最大化",AA6223-01_因子設定!$B$14,IF(01_因子設定!$B$13="最小化",01_因子設定!$B$15-AB6223,MIN(AA6223-01_因子設定!$B$14,01_因子設定!$B$15-AB6223))),-1E+030)</f>
        <v>-0.55582051052118</v>
      </c>
      <c r="AE6223" s="55" t="n">
        <f aca="false">IF(AC6223,IF(01_因子設定!$B$13="最大化",X6223,IF(01_因子設定!$B$13="最小化",-X6223,-ABS(X6223-01_因子設定!$B$16))),-1E+030)</f>
        <v>47.6188961988305</v>
      </c>
      <c r="AF6223" s="55" t="n">
        <f aca="false">AD6223+ROW()*0.000000001</f>
        <v>-0.55581428752118</v>
      </c>
      <c r="AG6223" s="55" t="n">
        <f aca="false">AE6223+ROW()*0.000000001</f>
        <v>47.6189024218305</v>
      </c>
    </row>
    <row r="6224" customFormat="false" ht="15" hidden="false" customHeight="false" outlineLevel="0" collapsed="false">
      <c r="A6224" s="0" t="n">
        <v>8</v>
      </c>
      <c r="B6224" s="0" t="n">
        <v>4</v>
      </c>
      <c r="C6224" s="0" t="n">
        <v>7</v>
      </c>
      <c r="D6224" s="0" t="n">
        <v>0</v>
      </c>
      <c r="E6224" s="0" t="n">
        <f aca="false">-1+A6224*0.25</f>
        <v>1</v>
      </c>
      <c r="F6224" s="0" t="n">
        <f aca="false">-1+B6224*0.25</f>
        <v>0</v>
      </c>
      <c r="G6224" s="0" t="n">
        <f aca="false">-1+C6224*0.25</f>
        <v>0.75</v>
      </c>
      <c r="H6224" s="0" t="n">
        <f aca="false">-1+D6224*0.25</f>
        <v>-1</v>
      </c>
      <c r="I6224" s="0" t="n">
        <f aca="false">1</f>
        <v>1</v>
      </c>
      <c r="J6224" s="0" t="n">
        <f aca="false">E6224</f>
        <v>1</v>
      </c>
      <c r="K6224" s="0" t="n">
        <f aca="false">F6224</f>
        <v>0</v>
      </c>
      <c r="L6224" s="0" t="n">
        <f aca="false">G6224</f>
        <v>0.75</v>
      </c>
      <c r="M6224" s="0" t="n">
        <f aca="false">H6224</f>
        <v>-1</v>
      </c>
      <c r="N6224" s="0" t="n">
        <f aca="false">E6224*F6224</f>
        <v>0</v>
      </c>
      <c r="O6224" s="0" t="n">
        <f aca="false">E6224*G6224</f>
        <v>0.75</v>
      </c>
      <c r="P6224" s="0" t="n">
        <f aca="false">E6224*H6224</f>
        <v>-1</v>
      </c>
      <c r="Q6224" s="0" t="n">
        <f aca="false">F6224*G6224</f>
        <v>0</v>
      </c>
      <c r="R6224" s="0" t="n">
        <f aca="false">F6224*H6224</f>
        <v>-0</v>
      </c>
      <c r="S6224" s="0" t="n">
        <f aca="false">G6224*H6224</f>
        <v>-0.75</v>
      </c>
      <c r="T6224" s="0" t="n">
        <f aca="false">E6224*E6224</f>
        <v>1</v>
      </c>
      <c r="U6224" s="0" t="n">
        <f aca="false">F6224*F6224</f>
        <v>0</v>
      </c>
      <c r="V6224" s="0" t="n">
        <f aca="false">G6224*G6224</f>
        <v>0.5625</v>
      </c>
      <c r="W6224" s="0" t="n">
        <f aca="false">H6224*H6224</f>
        <v>1</v>
      </c>
      <c r="X6224" s="0" t="n">
        <f aca="false">SUMPRODUCT(I6224:W6224,_XtX!$B$96:$P$96)</f>
        <v>46.068475877193</v>
      </c>
      <c r="Y6224" s="0" t="n">
        <f aca="false">SUMPRODUCT(MMULT(I6224:W6224,_XtX!$B$78:$P$92),I6224:W6224)</f>
        <v>0.646198830409357</v>
      </c>
      <c r="Z6224" s="0" t="n">
        <f aca="false">04_回帰ANOVA!$K$19*04_回帰ANOVA!$K$14*SQRT(1+Y6224)</f>
        <v>1.67239760569756</v>
      </c>
      <c r="AA6224" s="0" t="n">
        <f aca="false">X6224-Z6224</f>
        <v>44.3960782714955</v>
      </c>
      <c r="AB6224" s="0" t="n">
        <f aca="false">X6224+Z6224</f>
        <v>47.7408734828906</v>
      </c>
      <c r="AC6224" s="54" t="b">
        <f aca="false">AND(E6224&gt;=01_因子設定!$L$5-0.000000001,E6224&lt;=01_因子設定!$M$5+0.000000001,F6224&gt;=01_因子設定!$L$6-0.000000001,F6224&lt;=01_因子設定!$M$6+0.000000001,G6224&gt;=01_因子設定!$L$7-0.000000001,G6224&lt;=01_因子設定!$M$7+0.000000001,H6224&gt;=01_因子設定!$L$8-0.000000001,H6224&lt;=01_因子設定!$M$8+0.000000001,IF(01_因子設定!$B$20="Box-Behnken",E6224^2+F6224^2+G6224^2+H6224^2&lt;=2+0.000000001,TRUE()))</f>
        <v>1</v>
      </c>
      <c r="AD6224" s="55" t="n">
        <f aca="false">IF(AC6224,IF(01_因子設定!$B$13="最大化",AA6224-01_因子設定!$B$14,IF(01_因子設定!$B$13="最小化",01_因子設定!$B$15-AB6224,MIN(AA6224-01_因子設定!$B$14,01_因子設定!$B$15-AB6224))),-1E+030)</f>
        <v>-2.10392172850451</v>
      </c>
      <c r="AE6224" s="55" t="n">
        <f aca="false">IF(AC6224,IF(01_因子設定!$B$13="最大化",X6224,IF(01_因子設定!$B$13="最小化",-X6224,-ABS(X6224-01_因子設定!$B$16))),-1E+030)</f>
        <v>46.068475877193</v>
      </c>
      <c r="AF6224" s="55" t="n">
        <f aca="false">AD6224+ROW()*0.000000001</f>
        <v>-2.10391550450451</v>
      </c>
      <c r="AG6224" s="55" t="n">
        <f aca="false">AE6224+ROW()*0.000000001</f>
        <v>46.0684821011931</v>
      </c>
    </row>
    <row r="6225" customFormat="false" ht="15" hidden="false" customHeight="false" outlineLevel="0" collapsed="false">
      <c r="A6225" s="0" t="n">
        <v>8</v>
      </c>
      <c r="B6225" s="0" t="n">
        <v>4</v>
      </c>
      <c r="C6225" s="0" t="n">
        <v>7</v>
      </c>
      <c r="D6225" s="0" t="n">
        <v>1</v>
      </c>
      <c r="E6225" s="0" t="n">
        <f aca="false">-1+A6225*0.25</f>
        <v>1</v>
      </c>
      <c r="F6225" s="0" t="n">
        <f aca="false">-1+B6225*0.25</f>
        <v>0</v>
      </c>
      <c r="G6225" s="0" t="n">
        <f aca="false">-1+C6225*0.25</f>
        <v>0.75</v>
      </c>
      <c r="H6225" s="0" t="n">
        <f aca="false">-1+D6225*0.25</f>
        <v>-0.75</v>
      </c>
      <c r="I6225" s="0" t="n">
        <f aca="false">1</f>
        <v>1</v>
      </c>
      <c r="J6225" s="0" t="n">
        <f aca="false">E6225</f>
        <v>1</v>
      </c>
      <c r="K6225" s="0" t="n">
        <f aca="false">F6225</f>
        <v>0</v>
      </c>
      <c r="L6225" s="0" t="n">
        <f aca="false">G6225</f>
        <v>0.75</v>
      </c>
      <c r="M6225" s="0" t="n">
        <f aca="false">H6225</f>
        <v>-0.75</v>
      </c>
      <c r="N6225" s="0" t="n">
        <f aca="false">E6225*F6225</f>
        <v>0</v>
      </c>
      <c r="O6225" s="0" t="n">
        <f aca="false">E6225*G6225</f>
        <v>0.75</v>
      </c>
      <c r="P6225" s="0" t="n">
        <f aca="false">E6225*H6225</f>
        <v>-0.75</v>
      </c>
      <c r="Q6225" s="0" t="n">
        <f aca="false">F6225*G6225</f>
        <v>0</v>
      </c>
      <c r="R6225" s="0" t="n">
        <f aca="false">F6225*H6225</f>
        <v>-0</v>
      </c>
      <c r="S6225" s="0" t="n">
        <f aca="false">G6225*H6225</f>
        <v>-0.5625</v>
      </c>
      <c r="T6225" s="0" t="n">
        <f aca="false">E6225*E6225</f>
        <v>1</v>
      </c>
      <c r="U6225" s="0" t="n">
        <f aca="false">F6225*F6225</f>
        <v>0</v>
      </c>
      <c r="V6225" s="0" t="n">
        <f aca="false">G6225*G6225</f>
        <v>0.5625</v>
      </c>
      <c r="W6225" s="0" t="n">
        <f aca="false">H6225*H6225</f>
        <v>0.5625</v>
      </c>
      <c r="X6225" s="0" t="n">
        <f aca="false">SUMPRODUCT(I6225:W6225,_XtX!$B$96:$P$96)</f>
        <v>46.4223455774854</v>
      </c>
      <c r="Y6225" s="0" t="n">
        <f aca="false">SUMPRODUCT(MMULT(I6225:W6225,_XtX!$B$78:$P$92),I6225:W6225)</f>
        <v>0.494259126005117</v>
      </c>
      <c r="Z6225" s="0" t="n">
        <f aca="false">04_回帰ANOVA!$K$19*04_回帰ANOVA!$K$14*SQRT(1+Y6225)</f>
        <v>1.59335061078203</v>
      </c>
      <c r="AA6225" s="0" t="n">
        <f aca="false">X6225-Z6225</f>
        <v>44.8289949667034</v>
      </c>
      <c r="AB6225" s="0" t="n">
        <f aca="false">X6225+Z6225</f>
        <v>48.0156961882675</v>
      </c>
      <c r="AC6225" s="54" t="b">
        <f aca="false">AND(E6225&gt;=01_因子設定!$L$5-0.000000001,E6225&lt;=01_因子設定!$M$5+0.000000001,F6225&gt;=01_因子設定!$L$6-0.000000001,F6225&lt;=01_因子設定!$M$6+0.000000001,G6225&gt;=01_因子設定!$L$7-0.000000001,G6225&lt;=01_因子設定!$M$7+0.000000001,H6225&gt;=01_因子設定!$L$8-0.000000001,H6225&lt;=01_因子設定!$M$8+0.000000001,IF(01_因子設定!$B$20="Box-Behnken",E6225^2+F6225^2+G6225^2+H6225^2&lt;=2+0.000000001,TRUE()))</f>
        <v>1</v>
      </c>
      <c r="AD6225" s="55" t="n">
        <f aca="false">IF(AC6225,IF(01_因子設定!$B$13="最大化",AA6225-01_因子設定!$B$14,IF(01_因子設定!$B$13="最小化",01_因子設定!$B$15-AB6225,MIN(AA6225-01_因子設定!$B$14,01_因子設定!$B$15-AB6225))),-1E+030)</f>
        <v>-1.67100503329659</v>
      </c>
      <c r="AE6225" s="55" t="n">
        <f aca="false">IF(AC6225,IF(01_因子設定!$B$13="最大化",X6225,IF(01_因子設定!$B$13="最小化",-X6225,-ABS(X6225-01_因子設定!$B$16))),-1E+030)</f>
        <v>46.4223455774854</v>
      </c>
      <c r="AF6225" s="55" t="n">
        <f aca="false">AD6225+ROW()*0.000000001</f>
        <v>-1.6709988082966</v>
      </c>
      <c r="AG6225" s="55" t="n">
        <f aca="false">AE6225+ROW()*0.000000001</f>
        <v>46.4223518024854</v>
      </c>
    </row>
    <row r="6226" customFormat="false" ht="15" hidden="false" customHeight="false" outlineLevel="0" collapsed="false">
      <c r="A6226" s="0" t="n">
        <v>8</v>
      </c>
      <c r="B6226" s="0" t="n">
        <v>4</v>
      </c>
      <c r="C6226" s="0" t="n">
        <v>7</v>
      </c>
      <c r="D6226" s="0" t="n">
        <v>2</v>
      </c>
      <c r="E6226" s="0" t="n">
        <f aca="false">-1+A6226*0.25</f>
        <v>1</v>
      </c>
      <c r="F6226" s="0" t="n">
        <f aca="false">-1+B6226*0.25</f>
        <v>0</v>
      </c>
      <c r="G6226" s="0" t="n">
        <f aca="false">-1+C6226*0.25</f>
        <v>0.75</v>
      </c>
      <c r="H6226" s="0" t="n">
        <f aca="false">-1+D6226*0.25</f>
        <v>-0.5</v>
      </c>
      <c r="I6226" s="0" t="n">
        <f aca="false">1</f>
        <v>1</v>
      </c>
      <c r="J6226" s="0" t="n">
        <f aca="false">E6226</f>
        <v>1</v>
      </c>
      <c r="K6226" s="0" t="n">
        <f aca="false">F6226</f>
        <v>0</v>
      </c>
      <c r="L6226" s="0" t="n">
        <f aca="false">G6226</f>
        <v>0.75</v>
      </c>
      <c r="M6226" s="0" t="n">
        <f aca="false">H6226</f>
        <v>-0.5</v>
      </c>
      <c r="N6226" s="0" t="n">
        <f aca="false">E6226*F6226</f>
        <v>0</v>
      </c>
      <c r="O6226" s="0" t="n">
        <f aca="false">E6226*G6226</f>
        <v>0.75</v>
      </c>
      <c r="P6226" s="0" t="n">
        <f aca="false">E6226*H6226</f>
        <v>-0.5</v>
      </c>
      <c r="Q6226" s="0" t="n">
        <f aca="false">F6226*G6226</f>
        <v>0</v>
      </c>
      <c r="R6226" s="0" t="n">
        <f aca="false">F6226*H6226</f>
        <v>-0</v>
      </c>
      <c r="S6226" s="0" t="n">
        <f aca="false">G6226*H6226</f>
        <v>-0.375</v>
      </c>
      <c r="T6226" s="0" t="n">
        <f aca="false">E6226*E6226</f>
        <v>1</v>
      </c>
      <c r="U6226" s="0" t="n">
        <f aca="false">F6226*F6226</f>
        <v>0</v>
      </c>
      <c r="V6226" s="0" t="n">
        <f aca="false">G6226*G6226</f>
        <v>0.5625</v>
      </c>
      <c r="W6226" s="0" t="n">
        <f aca="false">H6226*H6226</f>
        <v>0.25</v>
      </c>
      <c r="X6226" s="0" t="n">
        <f aca="false">SUMPRODUCT(I6226:W6226,_XtX!$B$96:$P$96)</f>
        <v>46.728408260234</v>
      </c>
      <c r="Y6226" s="0" t="n">
        <f aca="false">SUMPRODUCT(MMULT(I6226:W6226,_XtX!$B$78:$P$92),I6226:W6226)</f>
        <v>0.476191292032164</v>
      </c>
      <c r="Z6226" s="0" t="n">
        <f aca="false">04_回帰ANOVA!$K$19*04_回帰ANOVA!$K$14*SQRT(1+Y6226)</f>
        <v>1.58368831471718</v>
      </c>
      <c r="AA6226" s="0" t="n">
        <f aca="false">X6226-Z6226</f>
        <v>45.1447199455168</v>
      </c>
      <c r="AB6226" s="0" t="n">
        <f aca="false">X6226+Z6226</f>
        <v>48.3120965749511</v>
      </c>
      <c r="AC6226" s="54" t="b">
        <f aca="false">AND(E6226&gt;=01_因子設定!$L$5-0.000000001,E6226&lt;=01_因子設定!$M$5+0.000000001,F6226&gt;=01_因子設定!$L$6-0.000000001,F6226&lt;=01_因子設定!$M$6+0.000000001,G6226&gt;=01_因子設定!$L$7-0.000000001,G6226&lt;=01_因子設定!$M$7+0.000000001,H6226&gt;=01_因子設定!$L$8-0.000000001,H6226&lt;=01_因子設定!$M$8+0.000000001,IF(01_因子設定!$B$20="Box-Behnken",E6226^2+F6226^2+G6226^2+H6226^2&lt;=2+0.000000001,TRUE()))</f>
        <v>1</v>
      </c>
      <c r="AD6226" s="55" t="n">
        <f aca="false">IF(AC6226,IF(01_因子設定!$B$13="最大化",AA6226-01_因子設定!$B$14,IF(01_因子設定!$B$13="最小化",01_因子設定!$B$15-AB6226,MIN(AA6226-01_因子設定!$B$14,01_因子設定!$B$15-AB6226))),-1E+030)</f>
        <v>-1.35528005448322</v>
      </c>
      <c r="AE6226" s="55" t="n">
        <f aca="false">IF(AC6226,IF(01_因子設定!$B$13="最大化",X6226,IF(01_因子設定!$B$13="最小化",-X6226,-ABS(X6226-01_因子設定!$B$16))),-1E+030)</f>
        <v>46.728408260234</v>
      </c>
      <c r="AF6226" s="55" t="n">
        <f aca="false">AD6226+ROW()*0.000000001</f>
        <v>-1.35527382848322</v>
      </c>
      <c r="AG6226" s="55" t="n">
        <f aca="false">AE6226+ROW()*0.000000001</f>
        <v>46.728414486234</v>
      </c>
    </row>
    <row r="6227" customFormat="false" ht="15" hidden="false" customHeight="false" outlineLevel="0" collapsed="false">
      <c r="A6227" s="0" t="n">
        <v>8</v>
      </c>
      <c r="B6227" s="0" t="n">
        <v>4</v>
      </c>
      <c r="C6227" s="0" t="n">
        <v>7</v>
      </c>
      <c r="D6227" s="0" t="n">
        <v>3</v>
      </c>
      <c r="E6227" s="0" t="n">
        <f aca="false">-1+A6227*0.25</f>
        <v>1</v>
      </c>
      <c r="F6227" s="0" t="n">
        <f aca="false">-1+B6227*0.25</f>
        <v>0</v>
      </c>
      <c r="G6227" s="0" t="n">
        <f aca="false">-1+C6227*0.25</f>
        <v>0.75</v>
      </c>
      <c r="H6227" s="0" t="n">
        <f aca="false">-1+D6227*0.25</f>
        <v>-0.25</v>
      </c>
      <c r="I6227" s="0" t="n">
        <f aca="false">1</f>
        <v>1</v>
      </c>
      <c r="J6227" s="0" t="n">
        <f aca="false">E6227</f>
        <v>1</v>
      </c>
      <c r="K6227" s="0" t="n">
        <f aca="false">F6227</f>
        <v>0</v>
      </c>
      <c r="L6227" s="0" t="n">
        <f aca="false">G6227</f>
        <v>0.75</v>
      </c>
      <c r="M6227" s="0" t="n">
        <f aca="false">H6227</f>
        <v>-0.25</v>
      </c>
      <c r="N6227" s="0" t="n">
        <f aca="false">E6227*F6227</f>
        <v>0</v>
      </c>
      <c r="O6227" s="0" t="n">
        <f aca="false">E6227*G6227</f>
        <v>0.75</v>
      </c>
      <c r="P6227" s="0" t="n">
        <f aca="false">E6227*H6227</f>
        <v>-0.25</v>
      </c>
      <c r="Q6227" s="0" t="n">
        <f aca="false">F6227*G6227</f>
        <v>0</v>
      </c>
      <c r="R6227" s="0" t="n">
        <f aca="false">F6227*H6227</f>
        <v>-0</v>
      </c>
      <c r="S6227" s="0" t="n">
        <f aca="false">G6227*H6227</f>
        <v>-0.1875</v>
      </c>
      <c r="T6227" s="0" t="n">
        <f aca="false">E6227*E6227</f>
        <v>1</v>
      </c>
      <c r="U6227" s="0" t="n">
        <f aca="false">F6227*F6227</f>
        <v>0</v>
      </c>
      <c r="V6227" s="0" t="n">
        <f aca="false">G6227*G6227</f>
        <v>0.5625</v>
      </c>
      <c r="W6227" s="0" t="n">
        <f aca="false">H6227*H6227</f>
        <v>0.0625</v>
      </c>
      <c r="X6227" s="0" t="n">
        <f aca="false">SUMPRODUCT(I6227:W6227,_XtX!$B$96:$P$96)</f>
        <v>46.9866639254386</v>
      </c>
      <c r="Y6227" s="0" t="n">
        <f aca="false">SUMPRODUCT(MMULT(I6227:W6227,_XtX!$B$78:$P$92),I6227:W6227)</f>
        <v>0.501534802174708</v>
      </c>
      <c r="Z6227" s="0" t="n">
        <f aca="false">04_回帰ANOVA!$K$19*04_回帰ANOVA!$K$14*SQRT(1+Y6227)</f>
        <v>1.59722498091333</v>
      </c>
      <c r="AA6227" s="0" t="n">
        <f aca="false">X6227-Z6227</f>
        <v>45.3894389445253</v>
      </c>
      <c r="AB6227" s="0" t="n">
        <f aca="false">X6227+Z6227</f>
        <v>48.583888906352</v>
      </c>
      <c r="AC6227" s="54" t="b">
        <f aca="false">AND(E6227&gt;=01_因子設定!$L$5-0.000000001,E6227&lt;=01_因子設定!$M$5+0.000000001,F6227&gt;=01_因子設定!$L$6-0.000000001,F6227&lt;=01_因子設定!$M$6+0.000000001,G6227&gt;=01_因子設定!$L$7-0.000000001,G6227&lt;=01_因子設定!$M$7+0.000000001,H6227&gt;=01_因子設定!$L$8-0.000000001,H6227&lt;=01_因子設定!$M$8+0.000000001,IF(01_因子設定!$B$20="Box-Behnken",E6227^2+F6227^2+G6227^2+H6227^2&lt;=2+0.000000001,TRUE()))</f>
        <v>1</v>
      </c>
      <c r="AD6227" s="55" t="n">
        <f aca="false">IF(AC6227,IF(01_因子設定!$B$13="最大化",AA6227-01_因子設定!$B$14,IF(01_因子設定!$B$13="最小化",01_因子設定!$B$15-AB6227,MIN(AA6227-01_因子設定!$B$14,01_因子設定!$B$15-AB6227))),-1E+030)</f>
        <v>-1.1105610554747</v>
      </c>
      <c r="AE6227" s="55" t="n">
        <f aca="false">IF(AC6227,IF(01_因子設定!$B$13="最大化",X6227,IF(01_因子設定!$B$13="最小化",-X6227,-ABS(X6227-01_因子設定!$B$16))),-1E+030)</f>
        <v>46.9866639254386</v>
      </c>
      <c r="AF6227" s="55" t="n">
        <f aca="false">AD6227+ROW()*0.000000001</f>
        <v>-1.1105548284747</v>
      </c>
      <c r="AG6227" s="55" t="n">
        <f aca="false">AE6227+ROW()*0.000000001</f>
        <v>46.9866701524386</v>
      </c>
    </row>
    <row r="6228" customFormat="false" ht="15" hidden="false" customHeight="false" outlineLevel="0" collapsed="false">
      <c r="A6228" s="0" t="n">
        <v>8</v>
      </c>
      <c r="B6228" s="0" t="n">
        <v>4</v>
      </c>
      <c r="C6228" s="0" t="n">
        <v>7</v>
      </c>
      <c r="D6228" s="0" t="n">
        <v>4</v>
      </c>
      <c r="E6228" s="0" t="n">
        <f aca="false">-1+A6228*0.25</f>
        <v>1</v>
      </c>
      <c r="F6228" s="0" t="n">
        <f aca="false">-1+B6228*0.25</f>
        <v>0</v>
      </c>
      <c r="G6228" s="0" t="n">
        <f aca="false">-1+C6228*0.25</f>
        <v>0.75</v>
      </c>
      <c r="H6228" s="0" t="n">
        <f aca="false">-1+D6228*0.25</f>
        <v>0</v>
      </c>
      <c r="I6228" s="0" t="n">
        <f aca="false">1</f>
        <v>1</v>
      </c>
      <c r="J6228" s="0" t="n">
        <f aca="false">E6228</f>
        <v>1</v>
      </c>
      <c r="K6228" s="0" t="n">
        <f aca="false">F6228</f>
        <v>0</v>
      </c>
      <c r="L6228" s="0" t="n">
        <f aca="false">G6228</f>
        <v>0.75</v>
      </c>
      <c r="M6228" s="0" t="n">
        <f aca="false">H6228</f>
        <v>0</v>
      </c>
      <c r="N6228" s="0" t="n">
        <f aca="false">E6228*F6228</f>
        <v>0</v>
      </c>
      <c r="O6228" s="0" t="n">
        <f aca="false">E6228*G6228</f>
        <v>0.75</v>
      </c>
      <c r="P6228" s="0" t="n">
        <f aca="false">E6228*H6228</f>
        <v>0</v>
      </c>
      <c r="Q6228" s="0" t="n">
        <f aca="false">F6228*G6228</f>
        <v>0</v>
      </c>
      <c r="R6228" s="0" t="n">
        <f aca="false">F6228*H6228</f>
        <v>0</v>
      </c>
      <c r="S6228" s="0" t="n">
        <f aca="false">G6228*H6228</f>
        <v>0</v>
      </c>
      <c r="T6228" s="0" t="n">
        <f aca="false">E6228*E6228</f>
        <v>1</v>
      </c>
      <c r="U6228" s="0" t="n">
        <f aca="false">F6228*F6228</f>
        <v>0</v>
      </c>
      <c r="V6228" s="0" t="n">
        <f aca="false">G6228*G6228</f>
        <v>0.5625</v>
      </c>
      <c r="W6228" s="0" t="n">
        <f aca="false">H6228*H6228</f>
        <v>0</v>
      </c>
      <c r="X6228" s="0" t="n">
        <f aca="false">SUMPRODUCT(I6228:W6228,_XtX!$B$96:$P$96)</f>
        <v>47.1971125730994</v>
      </c>
      <c r="Y6228" s="0" t="n">
        <f aca="false">SUMPRODUCT(MMULT(I6228:W6228,_XtX!$B$78:$P$92),I6228:W6228)</f>
        <v>0.516013340643275</v>
      </c>
      <c r="Z6228" s="0" t="n">
        <f aca="false">04_回帰ANOVA!$K$19*04_回帰ANOVA!$K$14*SQRT(1+Y6228)</f>
        <v>1.60490712175667</v>
      </c>
      <c r="AA6228" s="0" t="n">
        <f aca="false">X6228-Z6228</f>
        <v>45.5922054513428</v>
      </c>
      <c r="AB6228" s="0" t="n">
        <f aca="false">X6228+Z6228</f>
        <v>48.8020196948561</v>
      </c>
      <c r="AC6228" s="54" t="b">
        <f aca="false">AND(E6228&gt;=01_因子設定!$L$5-0.000000001,E6228&lt;=01_因子設定!$M$5+0.000000001,F6228&gt;=01_因子設定!$L$6-0.000000001,F6228&lt;=01_因子設定!$M$6+0.000000001,G6228&gt;=01_因子設定!$L$7-0.000000001,G6228&lt;=01_因子設定!$M$7+0.000000001,H6228&gt;=01_因子設定!$L$8-0.000000001,H6228&lt;=01_因子設定!$M$8+0.000000001,IF(01_因子設定!$B$20="Box-Behnken",E6228^2+F6228^2+G6228^2+H6228^2&lt;=2+0.000000001,TRUE()))</f>
        <v>1</v>
      </c>
      <c r="AD6228" s="55" t="n">
        <f aca="false">IF(AC6228,IF(01_因子設定!$B$13="最大化",AA6228-01_因子設定!$B$14,IF(01_因子設定!$B$13="最小化",01_因子設定!$B$15-AB6228,MIN(AA6228-01_因子設定!$B$14,01_因子設定!$B$15-AB6228))),-1E+030)</f>
        <v>-0.907794548657229</v>
      </c>
      <c r="AE6228" s="55" t="n">
        <f aca="false">IF(AC6228,IF(01_因子設定!$B$13="最大化",X6228,IF(01_因子設定!$B$13="最小化",-X6228,-ABS(X6228-01_因子設定!$B$16))),-1E+030)</f>
        <v>47.1971125730994</v>
      </c>
      <c r="AF6228" s="55" t="n">
        <f aca="false">AD6228+ROW()*0.000000001</f>
        <v>-0.907788320657229</v>
      </c>
      <c r="AG6228" s="55" t="n">
        <f aca="false">AE6228+ROW()*0.000000001</f>
        <v>47.1971188010994</v>
      </c>
    </row>
    <row r="6229" customFormat="false" ht="15" hidden="false" customHeight="false" outlineLevel="0" collapsed="false">
      <c r="A6229" s="0" t="n">
        <v>8</v>
      </c>
      <c r="B6229" s="0" t="n">
        <v>4</v>
      </c>
      <c r="C6229" s="0" t="n">
        <v>7</v>
      </c>
      <c r="D6229" s="0" t="n">
        <v>5</v>
      </c>
      <c r="E6229" s="0" t="n">
        <f aca="false">-1+A6229*0.25</f>
        <v>1</v>
      </c>
      <c r="F6229" s="0" t="n">
        <f aca="false">-1+B6229*0.25</f>
        <v>0</v>
      </c>
      <c r="G6229" s="0" t="n">
        <f aca="false">-1+C6229*0.25</f>
        <v>0.75</v>
      </c>
      <c r="H6229" s="0" t="n">
        <f aca="false">-1+D6229*0.25</f>
        <v>0.25</v>
      </c>
      <c r="I6229" s="0" t="n">
        <f aca="false">1</f>
        <v>1</v>
      </c>
      <c r="J6229" s="0" t="n">
        <f aca="false">E6229</f>
        <v>1</v>
      </c>
      <c r="K6229" s="0" t="n">
        <f aca="false">F6229</f>
        <v>0</v>
      </c>
      <c r="L6229" s="0" t="n">
        <f aca="false">G6229</f>
        <v>0.75</v>
      </c>
      <c r="M6229" s="0" t="n">
        <f aca="false">H6229</f>
        <v>0.25</v>
      </c>
      <c r="N6229" s="0" t="n">
        <f aca="false">E6229*F6229</f>
        <v>0</v>
      </c>
      <c r="O6229" s="0" t="n">
        <f aca="false">E6229*G6229</f>
        <v>0.75</v>
      </c>
      <c r="P6229" s="0" t="n">
        <f aca="false">E6229*H6229</f>
        <v>0.25</v>
      </c>
      <c r="Q6229" s="0" t="n">
        <f aca="false">F6229*G6229</f>
        <v>0</v>
      </c>
      <c r="R6229" s="0" t="n">
        <f aca="false">F6229*H6229</f>
        <v>0</v>
      </c>
      <c r="S6229" s="0" t="n">
        <f aca="false">G6229*H6229</f>
        <v>0.1875</v>
      </c>
      <c r="T6229" s="0" t="n">
        <f aca="false">E6229*E6229</f>
        <v>1</v>
      </c>
      <c r="U6229" s="0" t="n">
        <f aca="false">F6229*F6229</f>
        <v>0</v>
      </c>
      <c r="V6229" s="0" t="n">
        <f aca="false">G6229*G6229</f>
        <v>0.5625</v>
      </c>
      <c r="W6229" s="0" t="n">
        <f aca="false">H6229*H6229</f>
        <v>0.0625</v>
      </c>
      <c r="X6229" s="0" t="n">
        <f aca="false">SUMPRODUCT(I6229:W6229,_XtX!$B$96:$P$96)</f>
        <v>47.3597542032164</v>
      </c>
      <c r="Y6229" s="0" t="n">
        <f aca="false">SUMPRODUCT(MMULT(I6229:W6229,_XtX!$B$78:$P$92),I6229:W6229)</f>
        <v>0.501534802174708</v>
      </c>
      <c r="Z6229" s="0" t="n">
        <f aca="false">04_回帰ANOVA!$K$19*04_回帰ANOVA!$K$14*SQRT(1+Y6229)</f>
        <v>1.59722498091333</v>
      </c>
      <c r="AA6229" s="0" t="n">
        <f aca="false">X6229-Z6229</f>
        <v>45.7625292223031</v>
      </c>
      <c r="AB6229" s="0" t="n">
        <f aca="false">X6229+Z6229</f>
        <v>48.9569791841297</v>
      </c>
      <c r="AC6229" s="54" t="b">
        <f aca="false">AND(E6229&gt;=01_因子設定!$L$5-0.000000001,E6229&lt;=01_因子設定!$M$5+0.000000001,F6229&gt;=01_因子設定!$L$6-0.000000001,F6229&lt;=01_因子設定!$M$6+0.000000001,G6229&gt;=01_因子設定!$L$7-0.000000001,G6229&lt;=01_因子設定!$M$7+0.000000001,H6229&gt;=01_因子設定!$L$8-0.000000001,H6229&lt;=01_因子設定!$M$8+0.000000001,IF(01_因子設定!$B$20="Box-Behnken",E6229^2+F6229^2+G6229^2+H6229^2&lt;=2+0.000000001,TRUE()))</f>
        <v>1</v>
      </c>
      <c r="AD6229" s="55" t="n">
        <f aca="false">IF(AC6229,IF(01_因子設定!$B$13="最大化",AA6229-01_因子設定!$B$14,IF(01_因子設定!$B$13="最小化",01_因子設定!$B$15-AB6229,MIN(AA6229-01_因子設定!$B$14,01_因子設定!$B$15-AB6229))),-1E+030)</f>
        <v>-0.737470777696927</v>
      </c>
      <c r="AE6229" s="55" t="n">
        <f aca="false">IF(AC6229,IF(01_因子設定!$B$13="最大化",X6229,IF(01_因子設定!$B$13="最小化",-X6229,-ABS(X6229-01_因子設定!$B$16))),-1E+030)</f>
        <v>47.3597542032164</v>
      </c>
      <c r="AF6229" s="55" t="n">
        <f aca="false">AD6229+ROW()*0.000000001</f>
        <v>-0.737464548696927</v>
      </c>
      <c r="AG6229" s="55" t="n">
        <f aca="false">AE6229+ROW()*0.000000001</f>
        <v>47.3597604322164</v>
      </c>
    </row>
    <row r="6230" customFormat="false" ht="15" hidden="false" customHeight="false" outlineLevel="0" collapsed="false">
      <c r="A6230" s="0" t="n">
        <v>8</v>
      </c>
      <c r="B6230" s="0" t="n">
        <v>4</v>
      </c>
      <c r="C6230" s="0" t="n">
        <v>7</v>
      </c>
      <c r="D6230" s="0" t="n">
        <v>6</v>
      </c>
      <c r="E6230" s="0" t="n">
        <f aca="false">-1+A6230*0.25</f>
        <v>1</v>
      </c>
      <c r="F6230" s="0" t="n">
        <f aca="false">-1+B6230*0.25</f>
        <v>0</v>
      </c>
      <c r="G6230" s="0" t="n">
        <f aca="false">-1+C6230*0.25</f>
        <v>0.75</v>
      </c>
      <c r="H6230" s="0" t="n">
        <f aca="false">-1+D6230*0.25</f>
        <v>0.5</v>
      </c>
      <c r="I6230" s="0" t="n">
        <f aca="false">1</f>
        <v>1</v>
      </c>
      <c r="J6230" s="0" t="n">
        <f aca="false">E6230</f>
        <v>1</v>
      </c>
      <c r="K6230" s="0" t="n">
        <f aca="false">F6230</f>
        <v>0</v>
      </c>
      <c r="L6230" s="0" t="n">
        <f aca="false">G6230</f>
        <v>0.75</v>
      </c>
      <c r="M6230" s="0" t="n">
        <f aca="false">H6230</f>
        <v>0.5</v>
      </c>
      <c r="N6230" s="0" t="n">
        <f aca="false">E6230*F6230</f>
        <v>0</v>
      </c>
      <c r="O6230" s="0" t="n">
        <f aca="false">E6230*G6230</f>
        <v>0.75</v>
      </c>
      <c r="P6230" s="0" t="n">
        <f aca="false">E6230*H6230</f>
        <v>0.5</v>
      </c>
      <c r="Q6230" s="0" t="n">
        <f aca="false">F6230*G6230</f>
        <v>0</v>
      </c>
      <c r="R6230" s="0" t="n">
        <f aca="false">F6230*H6230</f>
        <v>0</v>
      </c>
      <c r="S6230" s="0" t="n">
        <f aca="false">G6230*H6230</f>
        <v>0.375</v>
      </c>
      <c r="T6230" s="0" t="n">
        <f aca="false">E6230*E6230</f>
        <v>1</v>
      </c>
      <c r="U6230" s="0" t="n">
        <f aca="false">F6230*F6230</f>
        <v>0</v>
      </c>
      <c r="V6230" s="0" t="n">
        <f aca="false">G6230*G6230</f>
        <v>0.5625</v>
      </c>
      <c r="W6230" s="0" t="n">
        <f aca="false">H6230*H6230</f>
        <v>0.25</v>
      </c>
      <c r="X6230" s="0" t="n">
        <f aca="false">SUMPRODUCT(I6230:W6230,_XtX!$B$96:$P$96)</f>
        <v>47.4745888157895</v>
      </c>
      <c r="Y6230" s="0" t="n">
        <f aca="false">SUMPRODUCT(MMULT(I6230:W6230,_XtX!$B$78:$P$92),I6230:W6230)</f>
        <v>0.476191292032164</v>
      </c>
      <c r="Z6230" s="0" t="n">
        <f aca="false">04_回帰ANOVA!$K$19*04_回帰ANOVA!$K$14*SQRT(1+Y6230)</f>
        <v>1.58368831471718</v>
      </c>
      <c r="AA6230" s="0" t="n">
        <f aca="false">X6230-Z6230</f>
        <v>45.8909005010723</v>
      </c>
      <c r="AB6230" s="0" t="n">
        <f aca="false">X6230+Z6230</f>
        <v>49.0582771305067</v>
      </c>
      <c r="AC6230" s="54" t="b">
        <f aca="false">AND(E6230&gt;=01_因子設定!$L$5-0.000000001,E6230&lt;=01_因子設定!$M$5+0.000000001,F6230&gt;=01_因子設定!$L$6-0.000000001,F6230&lt;=01_因子設定!$M$6+0.000000001,G6230&gt;=01_因子設定!$L$7-0.000000001,G6230&lt;=01_因子設定!$M$7+0.000000001,H6230&gt;=01_因子設定!$L$8-0.000000001,H6230&lt;=01_因子設定!$M$8+0.000000001,IF(01_因子設定!$B$20="Box-Behnken",E6230^2+F6230^2+G6230^2+H6230^2&lt;=2+0.000000001,TRUE()))</f>
        <v>1</v>
      </c>
      <c r="AD6230" s="55" t="n">
        <f aca="false">IF(AC6230,IF(01_因子設定!$B$13="最大化",AA6230-01_因子設定!$B$14,IF(01_因子設定!$B$13="最小化",01_因子設定!$B$15-AB6230,MIN(AA6230-01_因子設定!$B$14,01_因子設定!$B$15-AB6230))),-1E+030)</f>
        <v>-0.60909949892767</v>
      </c>
      <c r="AE6230" s="55" t="n">
        <f aca="false">IF(AC6230,IF(01_因子設定!$B$13="最大化",X6230,IF(01_因子設定!$B$13="最小化",-X6230,-ABS(X6230-01_因子設定!$B$16))),-1E+030)</f>
        <v>47.4745888157895</v>
      </c>
      <c r="AF6230" s="55" t="n">
        <f aca="false">AD6230+ROW()*0.000000001</f>
        <v>-0.60909326892767</v>
      </c>
      <c r="AG6230" s="55" t="n">
        <f aca="false">AE6230+ROW()*0.000000001</f>
        <v>47.4745950457895</v>
      </c>
    </row>
    <row r="6231" customFormat="false" ht="15" hidden="false" customHeight="false" outlineLevel="0" collapsed="false">
      <c r="A6231" s="0" t="n">
        <v>8</v>
      </c>
      <c r="B6231" s="0" t="n">
        <v>4</v>
      </c>
      <c r="C6231" s="0" t="n">
        <v>7</v>
      </c>
      <c r="D6231" s="0" t="n">
        <v>7</v>
      </c>
      <c r="E6231" s="0" t="n">
        <f aca="false">-1+A6231*0.25</f>
        <v>1</v>
      </c>
      <c r="F6231" s="0" t="n">
        <f aca="false">-1+B6231*0.25</f>
        <v>0</v>
      </c>
      <c r="G6231" s="0" t="n">
        <f aca="false">-1+C6231*0.25</f>
        <v>0.75</v>
      </c>
      <c r="H6231" s="0" t="n">
        <f aca="false">-1+D6231*0.25</f>
        <v>0.75</v>
      </c>
      <c r="I6231" s="0" t="n">
        <f aca="false">1</f>
        <v>1</v>
      </c>
      <c r="J6231" s="0" t="n">
        <f aca="false">E6231</f>
        <v>1</v>
      </c>
      <c r="K6231" s="0" t="n">
        <f aca="false">F6231</f>
        <v>0</v>
      </c>
      <c r="L6231" s="0" t="n">
        <f aca="false">G6231</f>
        <v>0.75</v>
      </c>
      <c r="M6231" s="0" t="n">
        <f aca="false">H6231</f>
        <v>0.75</v>
      </c>
      <c r="N6231" s="0" t="n">
        <f aca="false">E6231*F6231</f>
        <v>0</v>
      </c>
      <c r="O6231" s="0" t="n">
        <f aca="false">E6231*G6231</f>
        <v>0.75</v>
      </c>
      <c r="P6231" s="0" t="n">
        <f aca="false">E6231*H6231</f>
        <v>0.75</v>
      </c>
      <c r="Q6231" s="0" t="n">
        <f aca="false">F6231*G6231</f>
        <v>0</v>
      </c>
      <c r="R6231" s="0" t="n">
        <f aca="false">F6231*H6231</f>
        <v>0</v>
      </c>
      <c r="S6231" s="0" t="n">
        <f aca="false">G6231*H6231</f>
        <v>0.5625</v>
      </c>
      <c r="T6231" s="0" t="n">
        <f aca="false">E6231*E6231</f>
        <v>1</v>
      </c>
      <c r="U6231" s="0" t="n">
        <f aca="false">F6231*F6231</f>
        <v>0</v>
      </c>
      <c r="V6231" s="0" t="n">
        <f aca="false">G6231*G6231</f>
        <v>0.5625</v>
      </c>
      <c r="W6231" s="0" t="n">
        <f aca="false">H6231*H6231</f>
        <v>0.5625</v>
      </c>
      <c r="X6231" s="0" t="n">
        <f aca="false">SUMPRODUCT(I6231:W6231,_XtX!$B$96:$P$96)</f>
        <v>47.5416164108188</v>
      </c>
      <c r="Y6231" s="0" t="n">
        <f aca="false">SUMPRODUCT(MMULT(I6231:W6231,_XtX!$B$78:$P$92),I6231:W6231)</f>
        <v>0.494259126005117</v>
      </c>
      <c r="Z6231" s="0" t="n">
        <f aca="false">04_回帰ANOVA!$K$19*04_回帰ANOVA!$K$14*SQRT(1+Y6231)</f>
        <v>1.59335061078203</v>
      </c>
      <c r="AA6231" s="0" t="n">
        <f aca="false">X6231-Z6231</f>
        <v>45.9482658000367</v>
      </c>
      <c r="AB6231" s="0" t="n">
        <f aca="false">X6231+Z6231</f>
        <v>49.1349670216008</v>
      </c>
      <c r="AC6231" s="54" t="b">
        <f aca="false">AND(E6231&gt;=01_因子設定!$L$5-0.000000001,E6231&lt;=01_因子設定!$M$5+0.000000001,F6231&gt;=01_因子設定!$L$6-0.000000001,F6231&lt;=01_因子設定!$M$6+0.000000001,G6231&gt;=01_因子設定!$L$7-0.000000001,G6231&lt;=01_因子設定!$M$7+0.000000001,H6231&gt;=01_因子設定!$L$8-0.000000001,H6231&lt;=01_因子設定!$M$8+0.000000001,IF(01_因子設定!$B$20="Box-Behnken",E6231^2+F6231^2+G6231^2+H6231^2&lt;=2+0.000000001,TRUE()))</f>
        <v>1</v>
      </c>
      <c r="AD6231" s="55" t="n">
        <f aca="false">IF(AC6231,IF(01_因子設定!$B$13="最大化",AA6231-01_因子設定!$B$14,IF(01_因子設定!$B$13="最小化",01_因子設定!$B$15-AB6231,MIN(AA6231-01_因子設定!$B$14,01_因子設定!$B$15-AB6231))),-1E+030)</f>
        <v>-0.551734199963263</v>
      </c>
      <c r="AE6231" s="55" t="n">
        <f aca="false">IF(AC6231,IF(01_因子設定!$B$13="最大化",X6231,IF(01_因子設定!$B$13="最小化",-X6231,-ABS(X6231-01_因子設定!$B$16))),-1E+030)</f>
        <v>47.5416164108188</v>
      </c>
      <c r="AF6231" s="55" t="n">
        <f aca="false">AD6231+ROW()*0.000000001</f>
        <v>-0.551727968963264</v>
      </c>
      <c r="AG6231" s="55" t="n">
        <f aca="false">AE6231+ROW()*0.000000001</f>
        <v>47.5416226418188</v>
      </c>
    </row>
    <row r="6232" customFormat="false" ht="15" hidden="false" customHeight="false" outlineLevel="0" collapsed="false">
      <c r="A6232" s="0" t="n">
        <v>8</v>
      </c>
      <c r="B6232" s="0" t="n">
        <v>4</v>
      </c>
      <c r="C6232" s="0" t="n">
        <v>7</v>
      </c>
      <c r="D6232" s="0" t="n">
        <v>8</v>
      </c>
      <c r="E6232" s="0" t="n">
        <f aca="false">-1+A6232*0.25</f>
        <v>1</v>
      </c>
      <c r="F6232" s="0" t="n">
        <f aca="false">-1+B6232*0.25</f>
        <v>0</v>
      </c>
      <c r="G6232" s="0" t="n">
        <f aca="false">-1+C6232*0.25</f>
        <v>0.75</v>
      </c>
      <c r="H6232" s="0" t="n">
        <f aca="false">-1+D6232*0.25</f>
        <v>1</v>
      </c>
      <c r="I6232" s="0" t="n">
        <f aca="false">1</f>
        <v>1</v>
      </c>
      <c r="J6232" s="0" t="n">
        <f aca="false">E6232</f>
        <v>1</v>
      </c>
      <c r="K6232" s="0" t="n">
        <f aca="false">F6232</f>
        <v>0</v>
      </c>
      <c r="L6232" s="0" t="n">
        <f aca="false">G6232</f>
        <v>0.75</v>
      </c>
      <c r="M6232" s="0" t="n">
        <f aca="false">H6232</f>
        <v>1</v>
      </c>
      <c r="N6232" s="0" t="n">
        <f aca="false">E6232*F6232</f>
        <v>0</v>
      </c>
      <c r="O6232" s="0" t="n">
        <f aca="false">E6232*G6232</f>
        <v>0.75</v>
      </c>
      <c r="P6232" s="0" t="n">
        <f aca="false">E6232*H6232</f>
        <v>1</v>
      </c>
      <c r="Q6232" s="0" t="n">
        <f aca="false">F6232*G6232</f>
        <v>0</v>
      </c>
      <c r="R6232" s="0" t="n">
        <f aca="false">F6232*H6232</f>
        <v>0</v>
      </c>
      <c r="S6232" s="0" t="n">
        <f aca="false">G6232*H6232</f>
        <v>0.75</v>
      </c>
      <c r="T6232" s="0" t="n">
        <f aca="false">E6232*E6232</f>
        <v>1</v>
      </c>
      <c r="U6232" s="0" t="n">
        <f aca="false">F6232*F6232</f>
        <v>0</v>
      </c>
      <c r="V6232" s="0" t="n">
        <f aca="false">G6232*G6232</f>
        <v>0.5625</v>
      </c>
      <c r="W6232" s="0" t="n">
        <f aca="false">H6232*H6232</f>
        <v>1</v>
      </c>
      <c r="X6232" s="0" t="n">
        <f aca="false">SUMPRODUCT(I6232:W6232,_XtX!$B$96:$P$96)</f>
        <v>47.5608369883042</v>
      </c>
      <c r="Y6232" s="0" t="n">
        <f aca="false">SUMPRODUCT(MMULT(I6232:W6232,_XtX!$B$78:$P$92),I6232:W6232)</f>
        <v>0.646198830409357</v>
      </c>
      <c r="Z6232" s="0" t="n">
        <f aca="false">04_回帰ANOVA!$K$19*04_回帰ANOVA!$K$14*SQRT(1+Y6232)</f>
        <v>1.67239760569756</v>
      </c>
      <c r="AA6232" s="0" t="n">
        <f aca="false">X6232-Z6232</f>
        <v>45.8884393826066</v>
      </c>
      <c r="AB6232" s="0" t="n">
        <f aca="false">X6232+Z6232</f>
        <v>49.2332345940017</v>
      </c>
      <c r="AC6232" s="54" t="b">
        <f aca="false">AND(E6232&gt;=01_因子設定!$L$5-0.000000001,E6232&lt;=01_因子設定!$M$5+0.000000001,F6232&gt;=01_因子設定!$L$6-0.000000001,F6232&lt;=01_因子設定!$M$6+0.000000001,G6232&gt;=01_因子設定!$L$7-0.000000001,G6232&lt;=01_因子設定!$M$7+0.000000001,H6232&gt;=01_因子設定!$L$8-0.000000001,H6232&lt;=01_因子設定!$M$8+0.000000001,IF(01_因子設定!$B$20="Box-Behnken",E6232^2+F6232^2+G6232^2+H6232^2&lt;=2+0.000000001,TRUE()))</f>
        <v>1</v>
      </c>
      <c r="AD6232" s="55" t="n">
        <f aca="false">IF(AC6232,IF(01_因子設定!$B$13="最大化",AA6232-01_因子設定!$B$14,IF(01_因子設定!$B$13="最小化",01_因子設定!$B$15-AB6232,MIN(AA6232-01_因子設定!$B$14,01_因子設定!$B$15-AB6232))),-1E+030)</f>
        <v>-0.611560617393401</v>
      </c>
      <c r="AE6232" s="55" t="n">
        <f aca="false">IF(AC6232,IF(01_因子設定!$B$13="最大化",X6232,IF(01_因子設定!$B$13="最小化",-X6232,-ABS(X6232-01_因子設定!$B$16))),-1E+030)</f>
        <v>47.5608369883042</v>
      </c>
      <c r="AF6232" s="55" t="n">
        <f aca="false">AD6232+ROW()*0.000000001</f>
        <v>-0.611554385393401</v>
      </c>
      <c r="AG6232" s="55" t="n">
        <f aca="false">AE6232+ROW()*0.000000001</f>
        <v>47.5608432203042</v>
      </c>
    </row>
    <row r="6233" customFormat="false" ht="15" hidden="false" customHeight="false" outlineLevel="0" collapsed="false">
      <c r="A6233" s="0" t="n">
        <v>8</v>
      </c>
      <c r="B6233" s="0" t="n">
        <v>4</v>
      </c>
      <c r="C6233" s="0" t="n">
        <v>8</v>
      </c>
      <c r="D6233" s="0" t="n">
        <v>0</v>
      </c>
      <c r="E6233" s="0" t="n">
        <f aca="false">-1+A6233*0.25</f>
        <v>1</v>
      </c>
      <c r="F6233" s="0" t="n">
        <f aca="false">-1+B6233*0.25</f>
        <v>0</v>
      </c>
      <c r="G6233" s="0" t="n">
        <f aca="false">-1+C6233*0.25</f>
        <v>1</v>
      </c>
      <c r="H6233" s="0" t="n">
        <f aca="false">-1+D6233*0.25</f>
        <v>-1</v>
      </c>
      <c r="I6233" s="0" t="n">
        <f aca="false">1</f>
        <v>1</v>
      </c>
      <c r="J6233" s="0" t="n">
        <f aca="false">E6233</f>
        <v>1</v>
      </c>
      <c r="K6233" s="0" t="n">
        <f aca="false">F6233</f>
        <v>0</v>
      </c>
      <c r="L6233" s="0" t="n">
        <f aca="false">G6233</f>
        <v>1</v>
      </c>
      <c r="M6233" s="0" t="n">
        <f aca="false">H6233</f>
        <v>-1</v>
      </c>
      <c r="N6233" s="0" t="n">
        <f aca="false">E6233*F6233</f>
        <v>0</v>
      </c>
      <c r="O6233" s="0" t="n">
        <f aca="false">E6233*G6233</f>
        <v>1</v>
      </c>
      <c r="P6233" s="0" t="n">
        <f aca="false">E6233*H6233</f>
        <v>-1</v>
      </c>
      <c r="Q6233" s="0" t="n">
        <f aca="false">F6233*G6233</f>
        <v>0</v>
      </c>
      <c r="R6233" s="0" t="n">
        <f aca="false">F6233*H6233</f>
        <v>-0</v>
      </c>
      <c r="S6233" s="0" t="n">
        <f aca="false">G6233*H6233</f>
        <v>-1</v>
      </c>
      <c r="T6233" s="0" t="n">
        <f aca="false">E6233*E6233</f>
        <v>1</v>
      </c>
      <c r="U6233" s="0" t="n">
        <f aca="false">F6233*F6233</f>
        <v>0</v>
      </c>
      <c r="V6233" s="0" t="n">
        <f aca="false">G6233*G6233</f>
        <v>1</v>
      </c>
      <c r="W6233" s="0" t="n">
        <f aca="false">H6233*H6233</f>
        <v>1</v>
      </c>
      <c r="X6233" s="0" t="n">
        <f aca="false">SUMPRODUCT(I6233:W6233,_XtX!$B$96:$P$96)</f>
        <v>45.7813596491229</v>
      </c>
      <c r="Y6233" s="0" t="n">
        <f aca="false">SUMPRODUCT(MMULT(I6233:W6233,_XtX!$B$78:$P$92),I6233:W6233)</f>
        <v>0.766447368421053</v>
      </c>
      <c r="Z6233" s="0" t="n">
        <f aca="false">04_回帰ANOVA!$K$19*04_回帰ANOVA!$K$14*SQRT(1+Y6233)</f>
        <v>1.7324022685743</v>
      </c>
      <c r="AA6233" s="0" t="n">
        <f aca="false">X6233-Z6233</f>
        <v>44.0489573805486</v>
      </c>
      <c r="AB6233" s="0" t="n">
        <f aca="false">X6233+Z6233</f>
        <v>47.5137619176972</v>
      </c>
      <c r="AC6233" s="54" t="b">
        <f aca="false">AND(E6233&gt;=01_因子設定!$L$5-0.000000001,E6233&lt;=01_因子設定!$M$5+0.000000001,F6233&gt;=01_因子設定!$L$6-0.000000001,F6233&lt;=01_因子設定!$M$6+0.000000001,G6233&gt;=01_因子設定!$L$7-0.000000001,G6233&lt;=01_因子設定!$M$7+0.000000001,H6233&gt;=01_因子設定!$L$8-0.000000001,H6233&lt;=01_因子設定!$M$8+0.000000001,IF(01_因子設定!$B$20="Box-Behnken",E6233^2+F6233^2+G6233^2+H6233^2&lt;=2+0.000000001,TRUE()))</f>
        <v>1</v>
      </c>
      <c r="AD6233" s="55" t="n">
        <f aca="false">IF(AC6233,IF(01_因子設定!$B$13="最大化",AA6233-01_因子設定!$B$14,IF(01_因子設定!$B$13="最小化",01_因子設定!$B$15-AB6233,MIN(AA6233-01_因子設定!$B$14,01_因子設定!$B$15-AB6233))),-1E+030)</f>
        <v>-2.45104261945143</v>
      </c>
      <c r="AE6233" s="55" t="n">
        <f aca="false">IF(AC6233,IF(01_因子設定!$B$13="最大化",X6233,IF(01_因子設定!$B$13="最小化",-X6233,-ABS(X6233-01_因子設定!$B$16))),-1E+030)</f>
        <v>45.7813596491229</v>
      </c>
      <c r="AF6233" s="55" t="n">
        <f aca="false">AD6233+ROW()*0.000000001</f>
        <v>-2.45103638645143</v>
      </c>
      <c r="AG6233" s="55" t="n">
        <f aca="false">AE6233+ROW()*0.000000001</f>
        <v>45.7813658821229</v>
      </c>
    </row>
    <row r="6234" customFormat="false" ht="15" hidden="false" customHeight="false" outlineLevel="0" collapsed="false">
      <c r="A6234" s="0" t="n">
        <v>8</v>
      </c>
      <c r="B6234" s="0" t="n">
        <v>4</v>
      </c>
      <c r="C6234" s="0" t="n">
        <v>8</v>
      </c>
      <c r="D6234" s="0" t="n">
        <v>1</v>
      </c>
      <c r="E6234" s="0" t="n">
        <f aca="false">-1+A6234*0.25</f>
        <v>1</v>
      </c>
      <c r="F6234" s="0" t="n">
        <f aca="false">-1+B6234*0.25</f>
        <v>0</v>
      </c>
      <c r="G6234" s="0" t="n">
        <f aca="false">-1+C6234*0.25</f>
        <v>1</v>
      </c>
      <c r="H6234" s="0" t="n">
        <f aca="false">-1+D6234*0.25</f>
        <v>-0.75</v>
      </c>
      <c r="I6234" s="0" t="n">
        <f aca="false">1</f>
        <v>1</v>
      </c>
      <c r="J6234" s="0" t="n">
        <f aca="false">E6234</f>
        <v>1</v>
      </c>
      <c r="K6234" s="0" t="n">
        <f aca="false">F6234</f>
        <v>0</v>
      </c>
      <c r="L6234" s="0" t="n">
        <f aca="false">G6234</f>
        <v>1</v>
      </c>
      <c r="M6234" s="0" t="n">
        <f aca="false">H6234</f>
        <v>-0.75</v>
      </c>
      <c r="N6234" s="0" t="n">
        <f aca="false">E6234*F6234</f>
        <v>0</v>
      </c>
      <c r="O6234" s="0" t="n">
        <f aca="false">E6234*G6234</f>
        <v>1</v>
      </c>
      <c r="P6234" s="0" t="n">
        <f aca="false">E6234*H6234</f>
        <v>-0.75</v>
      </c>
      <c r="Q6234" s="0" t="n">
        <f aca="false">F6234*G6234</f>
        <v>0</v>
      </c>
      <c r="R6234" s="0" t="n">
        <f aca="false">F6234*H6234</f>
        <v>-0</v>
      </c>
      <c r="S6234" s="0" t="n">
        <f aca="false">G6234*H6234</f>
        <v>-0.75</v>
      </c>
      <c r="T6234" s="0" t="n">
        <f aca="false">E6234*E6234</f>
        <v>1</v>
      </c>
      <c r="U6234" s="0" t="n">
        <f aca="false">F6234*F6234</f>
        <v>0</v>
      </c>
      <c r="V6234" s="0" t="n">
        <f aca="false">G6234*G6234</f>
        <v>1</v>
      </c>
      <c r="W6234" s="0" t="n">
        <f aca="false">H6234*H6234</f>
        <v>0.5625</v>
      </c>
      <c r="X6234" s="0" t="n">
        <f aca="false">SUMPRODUCT(I6234:W6234,_XtX!$B$96:$P$96)</f>
        <v>46.1531980994153</v>
      </c>
      <c r="Y6234" s="0" t="n">
        <f aca="false">SUMPRODUCT(MMULT(I6234:W6234,_XtX!$B$78:$P$92),I6234:W6234)</f>
        <v>0.646198830409357</v>
      </c>
      <c r="Z6234" s="0" t="n">
        <f aca="false">04_回帰ANOVA!$K$19*04_回帰ANOVA!$K$14*SQRT(1+Y6234)</f>
        <v>1.67239760569756</v>
      </c>
      <c r="AA6234" s="0" t="n">
        <f aca="false">X6234-Z6234</f>
        <v>44.4808004937177</v>
      </c>
      <c r="AB6234" s="0" t="n">
        <f aca="false">X6234+Z6234</f>
        <v>47.8255957051128</v>
      </c>
      <c r="AC6234" s="54" t="b">
        <f aca="false">AND(E6234&gt;=01_因子設定!$L$5-0.000000001,E6234&lt;=01_因子設定!$M$5+0.000000001,F6234&gt;=01_因子設定!$L$6-0.000000001,F6234&lt;=01_因子設定!$M$6+0.000000001,G6234&gt;=01_因子設定!$L$7-0.000000001,G6234&lt;=01_因子設定!$M$7+0.000000001,H6234&gt;=01_因子設定!$L$8-0.000000001,H6234&lt;=01_因子設定!$M$8+0.000000001,IF(01_因子設定!$B$20="Box-Behnken",E6234^2+F6234^2+G6234^2+H6234^2&lt;=2+0.000000001,TRUE()))</f>
        <v>1</v>
      </c>
      <c r="AD6234" s="55" t="n">
        <f aca="false">IF(AC6234,IF(01_因子設定!$B$13="最大化",AA6234-01_因子設定!$B$14,IF(01_因子設定!$B$13="最小化",01_因子設定!$B$15-AB6234,MIN(AA6234-01_因子設定!$B$14,01_因子設定!$B$15-AB6234))),-1E+030)</f>
        <v>-2.0191995062823</v>
      </c>
      <c r="AE6234" s="55" t="n">
        <f aca="false">IF(AC6234,IF(01_因子設定!$B$13="最大化",X6234,IF(01_因子設定!$B$13="最小化",-X6234,-ABS(X6234-01_因子設定!$B$16))),-1E+030)</f>
        <v>46.1531980994153</v>
      </c>
      <c r="AF6234" s="55" t="n">
        <f aca="false">AD6234+ROW()*0.000000001</f>
        <v>-2.0191932722823</v>
      </c>
      <c r="AG6234" s="55" t="n">
        <f aca="false">AE6234+ROW()*0.000000001</f>
        <v>46.1532043334153</v>
      </c>
    </row>
    <row r="6235" customFormat="false" ht="15" hidden="false" customHeight="false" outlineLevel="0" collapsed="false">
      <c r="A6235" s="0" t="n">
        <v>8</v>
      </c>
      <c r="B6235" s="0" t="n">
        <v>4</v>
      </c>
      <c r="C6235" s="0" t="n">
        <v>8</v>
      </c>
      <c r="D6235" s="0" t="n">
        <v>2</v>
      </c>
      <c r="E6235" s="0" t="n">
        <f aca="false">-1+A6235*0.25</f>
        <v>1</v>
      </c>
      <c r="F6235" s="0" t="n">
        <f aca="false">-1+B6235*0.25</f>
        <v>0</v>
      </c>
      <c r="G6235" s="0" t="n">
        <f aca="false">-1+C6235*0.25</f>
        <v>1</v>
      </c>
      <c r="H6235" s="0" t="n">
        <f aca="false">-1+D6235*0.25</f>
        <v>-0.5</v>
      </c>
      <c r="I6235" s="0" t="n">
        <f aca="false">1</f>
        <v>1</v>
      </c>
      <c r="J6235" s="0" t="n">
        <f aca="false">E6235</f>
        <v>1</v>
      </c>
      <c r="K6235" s="0" t="n">
        <f aca="false">F6235</f>
        <v>0</v>
      </c>
      <c r="L6235" s="0" t="n">
        <f aca="false">G6235</f>
        <v>1</v>
      </c>
      <c r="M6235" s="0" t="n">
        <f aca="false">H6235</f>
        <v>-0.5</v>
      </c>
      <c r="N6235" s="0" t="n">
        <f aca="false">E6235*F6235</f>
        <v>0</v>
      </c>
      <c r="O6235" s="0" t="n">
        <f aca="false">E6235*G6235</f>
        <v>1</v>
      </c>
      <c r="P6235" s="0" t="n">
        <f aca="false">E6235*H6235</f>
        <v>-0.5</v>
      </c>
      <c r="Q6235" s="0" t="n">
        <f aca="false">F6235*G6235</f>
        <v>0</v>
      </c>
      <c r="R6235" s="0" t="n">
        <f aca="false">F6235*H6235</f>
        <v>-0</v>
      </c>
      <c r="S6235" s="0" t="n">
        <f aca="false">G6235*H6235</f>
        <v>-0.5</v>
      </c>
      <c r="T6235" s="0" t="n">
        <f aca="false">E6235*E6235</f>
        <v>1</v>
      </c>
      <c r="U6235" s="0" t="n">
        <f aca="false">F6235*F6235</f>
        <v>0</v>
      </c>
      <c r="V6235" s="0" t="n">
        <f aca="false">G6235*G6235</f>
        <v>1</v>
      </c>
      <c r="W6235" s="0" t="n">
        <f aca="false">H6235*H6235</f>
        <v>0.25</v>
      </c>
      <c r="X6235" s="0" t="n">
        <f aca="false">SUMPRODUCT(I6235:W6235,_XtX!$B$96:$P$96)</f>
        <v>46.4772295321638</v>
      </c>
      <c r="Y6235" s="0" t="n">
        <f aca="false">SUMPRODUCT(MMULT(I6235:W6235,_XtX!$B$78:$P$92),I6235:W6235)</f>
        <v>0.650767543859649</v>
      </c>
      <c r="Z6235" s="0" t="n">
        <f aca="false">04_回帰ANOVA!$K$19*04_回帰ANOVA!$K$14*SQRT(1+Y6235)</f>
        <v>1.67471670935165</v>
      </c>
      <c r="AA6235" s="0" t="n">
        <f aca="false">X6235-Z6235</f>
        <v>44.8025128228121</v>
      </c>
      <c r="AB6235" s="0" t="n">
        <f aca="false">X6235+Z6235</f>
        <v>48.1519462415154</v>
      </c>
      <c r="AC6235" s="54" t="b">
        <f aca="false">AND(E6235&gt;=01_因子設定!$L$5-0.000000001,E6235&lt;=01_因子設定!$M$5+0.000000001,F6235&gt;=01_因子設定!$L$6-0.000000001,F6235&lt;=01_因子設定!$M$6+0.000000001,G6235&gt;=01_因子設定!$L$7-0.000000001,G6235&lt;=01_因子設定!$M$7+0.000000001,H6235&gt;=01_因子設定!$L$8-0.000000001,H6235&lt;=01_因子設定!$M$8+0.000000001,IF(01_因子設定!$B$20="Box-Behnken",E6235^2+F6235^2+G6235^2+H6235^2&lt;=2+0.000000001,TRUE()))</f>
        <v>1</v>
      </c>
      <c r="AD6235" s="55" t="n">
        <f aca="false">IF(AC6235,IF(01_因子設定!$B$13="最大化",AA6235-01_因子設定!$B$14,IF(01_因子設定!$B$13="最小化",01_因子設定!$B$15-AB6235,MIN(AA6235-01_因子設定!$B$14,01_因子設定!$B$15-AB6235))),-1E+030)</f>
        <v>-1.69748717718787</v>
      </c>
      <c r="AE6235" s="55" t="n">
        <f aca="false">IF(AC6235,IF(01_因子設定!$B$13="最大化",X6235,IF(01_因子設定!$B$13="最小化",-X6235,-ABS(X6235-01_因子設定!$B$16))),-1E+030)</f>
        <v>46.4772295321638</v>
      </c>
      <c r="AF6235" s="55" t="n">
        <f aca="false">AD6235+ROW()*0.000000001</f>
        <v>-1.69748094218787</v>
      </c>
      <c r="AG6235" s="55" t="n">
        <f aca="false">AE6235+ROW()*0.000000001</f>
        <v>46.4772357671638</v>
      </c>
    </row>
    <row r="6236" customFormat="false" ht="15" hidden="false" customHeight="false" outlineLevel="0" collapsed="false">
      <c r="A6236" s="0" t="n">
        <v>8</v>
      </c>
      <c r="B6236" s="0" t="n">
        <v>4</v>
      </c>
      <c r="C6236" s="0" t="n">
        <v>8</v>
      </c>
      <c r="D6236" s="0" t="n">
        <v>3</v>
      </c>
      <c r="E6236" s="0" t="n">
        <f aca="false">-1+A6236*0.25</f>
        <v>1</v>
      </c>
      <c r="F6236" s="0" t="n">
        <f aca="false">-1+B6236*0.25</f>
        <v>0</v>
      </c>
      <c r="G6236" s="0" t="n">
        <f aca="false">-1+C6236*0.25</f>
        <v>1</v>
      </c>
      <c r="H6236" s="0" t="n">
        <f aca="false">-1+D6236*0.25</f>
        <v>-0.25</v>
      </c>
      <c r="I6236" s="0" t="n">
        <f aca="false">1</f>
        <v>1</v>
      </c>
      <c r="J6236" s="0" t="n">
        <f aca="false">E6236</f>
        <v>1</v>
      </c>
      <c r="K6236" s="0" t="n">
        <f aca="false">F6236</f>
        <v>0</v>
      </c>
      <c r="L6236" s="0" t="n">
        <f aca="false">G6236</f>
        <v>1</v>
      </c>
      <c r="M6236" s="0" t="n">
        <f aca="false">H6236</f>
        <v>-0.25</v>
      </c>
      <c r="N6236" s="0" t="n">
        <f aca="false">E6236*F6236</f>
        <v>0</v>
      </c>
      <c r="O6236" s="0" t="n">
        <f aca="false">E6236*G6236</f>
        <v>1</v>
      </c>
      <c r="P6236" s="0" t="n">
        <f aca="false">E6236*H6236</f>
        <v>-0.25</v>
      </c>
      <c r="Q6236" s="0" t="n">
        <f aca="false">F6236*G6236</f>
        <v>0</v>
      </c>
      <c r="R6236" s="0" t="n">
        <f aca="false">F6236*H6236</f>
        <v>-0</v>
      </c>
      <c r="S6236" s="0" t="n">
        <f aca="false">G6236*H6236</f>
        <v>-0.25</v>
      </c>
      <c r="T6236" s="0" t="n">
        <f aca="false">E6236*E6236</f>
        <v>1</v>
      </c>
      <c r="U6236" s="0" t="n">
        <f aca="false">F6236*F6236</f>
        <v>0</v>
      </c>
      <c r="V6236" s="0" t="n">
        <f aca="false">G6236*G6236</f>
        <v>1</v>
      </c>
      <c r="W6236" s="0" t="n">
        <f aca="false">H6236*H6236</f>
        <v>0.0625</v>
      </c>
      <c r="X6236" s="0" t="n">
        <f aca="false">SUMPRODUCT(I6236:W6236,_XtX!$B$96:$P$96)</f>
        <v>46.7534539473685</v>
      </c>
      <c r="Y6236" s="0" t="n">
        <f aca="false">SUMPRODUCT(MMULT(I6236:W6236,_XtX!$B$78:$P$92),I6236:W6236)</f>
        <v>0.689692982456141</v>
      </c>
      <c r="Z6236" s="0" t="n">
        <f aca="false">04_回帰ANOVA!$K$19*04_回帰ANOVA!$K$14*SQRT(1+Y6236)</f>
        <v>1.69434674594998</v>
      </c>
      <c r="AA6236" s="0" t="n">
        <f aca="false">X6236-Z6236</f>
        <v>45.0591072014185</v>
      </c>
      <c r="AB6236" s="0" t="n">
        <f aca="false">X6236+Z6236</f>
        <v>48.4478006933184</v>
      </c>
      <c r="AC6236" s="54" t="b">
        <f aca="false">AND(E6236&gt;=01_因子設定!$L$5-0.000000001,E6236&lt;=01_因子設定!$M$5+0.000000001,F6236&gt;=01_因子設定!$L$6-0.000000001,F6236&lt;=01_因子設定!$M$6+0.000000001,G6236&gt;=01_因子設定!$L$7-0.000000001,G6236&lt;=01_因子設定!$M$7+0.000000001,H6236&gt;=01_因子設定!$L$8-0.000000001,H6236&lt;=01_因子設定!$M$8+0.000000001,IF(01_因子設定!$B$20="Box-Behnken",E6236^2+F6236^2+G6236^2+H6236^2&lt;=2+0.000000001,TRUE()))</f>
        <v>1</v>
      </c>
      <c r="AD6236" s="55" t="n">
        <f aca="false">IF(AC6236,IF(01_因子設定!$B$13="最大化",AA6236-01_因子設定!$B$14,IF(01_因子設定!$B$13="最小化",01_因子設定!$B$15-AB6236,MIN(AA6236-01_因子設定!$B$14,01_因子設定!$B$15-AB6236))),-1E+030)</f>
        <v>-1.44089279858154</v>
      </c>
      <c r="AE6236" s="55" t="n">
        <f aca="false">IF(AC6236,IF(01_因子設定!$B$13="最大化",X6236,IF(01_因子設定!$B$13="最小化",-X6236,-ABS(X6236-01_因子設定!$B$16))),-1E+030)</f>
        <v>46.7534539473685</v>
      </c>
      <c r="AF6236" s="55" t="n">
        <f aca="false">AD6236+ROW()*0.000000001</f>
        <v>-1.44088656258154</v>
      </c>
      <c r="AG6236" s="55" t="n">
        <f aca="false">AE6236+ROW()*0.000000001</f>
        <v>46.7534601833684</v>
      </c>
    </row>
    <row r="6237" customFormat="false" ht="15" hidden="false" customHeight="false" outlineLevel="0" collapsed="false">
      <c r="A6237" s="0" t="n">
        <v>8</v>
      </c>
      <c r="B6237" s="0" t="n">
        <v>4</v>
      </c>
      <c r="C6237" s="0" t="n">
        <v>8</v>
      </c>
      <c r="D6237" s="0" t="n">
        <v>4</v>
      </c>
      <c r="E6237" s="0" t="n">
        <f aca="false">-1+A6237*0.25</f>
        <v>1</v>
      </c>
      <c r="F6237" s="0" t="n">
        <f aca="false">-1+B6237*0.25</f>
        <v>0</v>
      </c>
      <c r="G6237" s="0" t="n">
        <f aca="false">-1+C6237*0.25</f>
        <v>1</v>
      </c>
      <c r="H6237" s="0" t="n">
        <f aca="false">-1+D6237*0.25</f>
        <v>0</v>
      </c>
      <c r="I6237" s="0" t="n">
        <f aca="false">1</f>
        <v>1</v>
      </c>
      <c r="J6237" s="0" t="n">
        <f aca="false">E6237</f>
        <v>1</v>
      </c>
      <c r="K6237" s="0" t="n">
        <f aca="false">F6237</f>
        <v>0</v>
      </c>
      <c r="L6237" s="0" t="n">
        <f aca="false">G6237</f>
        <v>1</v>
      </c>
      <c r="M6237" s="0" t="n">
        <f aca="false">H6237</f>
        <v>0</v>
      </c>
      <c r="N6237" s="0" t="n">
        <f aca="false">E6237*F6237</f>
        <v>0</v>
      </c>
      <c r="O6237" s="0" t="n">
        <f aca="false">E6237*G6237</f>
        <v>1</v>
      </c>
      <c r="P6237" s="0" t="n">
        <f aca="false">E6237*H6237</f>
        <v>0</v>
      </c>
      <c r="Q6237" s="0" t="n">
        <f aca="false">F6237*G6237</f>
        <v>0</v>
      </c>
      <c r="R6237" s="0" t="n">
        <f aca="false">F6237*H6237</f>
        <v>0</v>
      </c>
      <c r="S6237" s="0" t="n">
        <f aca="false">G6237*H6237</f>
        <v>0</v>
      </c>
      <c r="T6237" s="0" t="n">
        <f aca="false">E6237*E6237</f>
        <v>1</v>
      </c>
      <c r="U6237" s="0" t="n">
        <f aca="false">F6237*F6237</f>
        <v>0</v>
      </c>
      <c r="V6237" s="0" t="n">
        <f aca="false">G6237*G6237</f>
        <v>1</v>
      </c>
      <c r="W6237" s="0" t="n">
        <f aca="false">H6237*H6237</f>
        <v>0</v>
      </c>
      <c r="X6237" s="0" t="n">
        <f aca="false">SUMPRODUCT(I6237:W6237,_XtX!$B$96:$P$96)</f>
        <v>46.9818713450293</v>
      </c>
      <c r="Y6237" s="0" t="n">
        <f aca="false">SUMPRODUCT(MMULT(I6237:W6237,_XtX!$B$78:$P$92),I6237:W6237)</f>
        <v>0.708698830409357</v>
      </c>
      <c r="Z6237" s="0" t="n">
        <f aca="false">04_回帰ANOVA!$K$19*04_回帰ANOVA!$K$14*SQRT(1+Y6237)</f>
        <v>1.70384919651719</v>
      </c>
      <c r="AA6237" s="0" t="n">
        <f aca="false">X6237-Z6237</f>
        <v>45.2780221485121</v>
      </c>
      <c r="AB6237" s="0" t="n">
        <f aca="false">X6237+Z6237</f>
        <v>48.6857205415465</v>
      </c>
      <c r="AC6237" s="54" t="b">
        <f aca="false">AND(E6237&gt;=01_因子設定!$L$5-0.000000001,E6237&lt;=01_因子設定!$M$5+0.000000001,F6237&gt;=01_因子設定!$L$6-0.000000001,F6237&lt;=01_因子設定!$M$6+0.000000001,G6237&gt;=01_因子設定!$L$7-0.000000001,G6237&lt;=01_因子設定!$M$7+0.000000001,H6237&gt;=01_因子設定!$L$8-0.000000001,H6237&lt;=01_因子設定!$M$8+0.000000001,IF(01_因子設定!$B$20="Box-Behnken",E6237^2+F6237^2+G6237^2+H6237^2&lt;=2+0.000000001,TRUE()))</f>
        <v>1</v>
      </c>
      <c r="AD6237" s="55" t="n">
        <f aca="false">IF(AC6237,IF(01_因子設定!$B$13="最大化",AA6237-01_因子設定!$B$14,IF(01_因子設定!$B$13="最小化",01_因子設定!$B$15-AB6237,MIN(AA6237-01_因子設定!$B$14,01_因子設定!$B$15-AB6237))),-1E+030)</f>
        <v>-1.22197785148792</v>
      </c>
      <c r="AE6237" s="55" t="n">
        <f aca="false">IF(AC6237,IF(01_因子設定!$B$13="最大化",X6237,IF(01_因子設定!$B$13="最小化",-X6237,-ABS(X6237-01_因子設定!$B$16))),-1E+030)</f>
        <v>46.9818713450293</v>
      </c>
      <c r="AF6237" s="55" t="n">
        <f aca="false">AD6237+ROW()*0.000000001</f>
        <v>-1.22197161448792</v>
      </c>
      <c r="AG6237" s="55" t="n">
        <f aca="false">AE6237+ROW()*0.000000001</f>
        <v>46.9818775820293</v>
      </c>
    </row>
    <row r="6238" customFormat="false" ht="15" hidden="false" customHeight="false" outlineLevel="0" collapsed="false">
      <c r="A6238" s="0" t="n">
        <v>8</v>
      </c>
      <c r="B6238" s="0" t="n">
        <v>4</v>
      </c>
      <c r="C6238" s="0" t="n">
        <v>8</v>
      </c>
      <c r="D6238" s="0" t="n">
        <v>5</v>
      </c>
      <c r="E6238" s="0" t="n">
        <f aca="false">-1+A6238*0.25</f>
        <v>1</v>
      </c>
      <c r="F6238" s="0" t="n">
        <f aca="false">-1+B6238*0.25</f>
        <v>0</v>
      </c>
      <c r="G6238" s="0" t="n">
        <f aca="false">-1+C6238*0.25</f>
        <v>1</v>
      </c>
      <c r="H6238" s="0" t="n">
        <f aca="false">-1+D6238*0.25</f>
        <v>0.25</v>
      </c>
      <c r="I6238" s="0" t="n">
        <f aca="false">1</f>
        <v>1</v>
      </c>
      <c r="J6238" s="0" t="n">
        <f aca="false">E6238</f>
        <v>1</v>
      </c>
      <c r="K6238" s="0" t="n">
        <f aca="false">F6238</f>
        <v>0</v>
      </c>
      <c r="L6238" s="0" t="n">
        <f aca="false">G6238</f>
        <v>1</v>
      </c>
      <c r="M6238" s="0" t="n">
        <f aca="false">H6238</f>
        <v>0.25</v>
      </c>
      <c r="N6238" s="0" t="n">
        <f aca="false">E6238*F6238</f>
        <v>0</v>
      </c>
      <c r="O6238" s="0" t="n">
        <f aca="false">E6238*G6238</f>
        <v>1</v>
      </c>
      <c r="P6238" s="0" t="n">
        <f aca="false">E6238*H6238</f>
        <v>0.25</v>
      </c>
      <c r="Q6238" s="0" t="n">
        <f aca="false">F6238*G6238</f>
        <v>0</v>
      </c>
      <c r="R6238" s="0" t="n">
        <f aca="false">F6238*H6238</f>
        <v>0</v>
      </c>
      <c r="S6238" s="0" t="n">
        <f aca="false">G6238*H6238</f>
        <v>0.25</v>
      </c>
      <c r="T6238" s="0" t="n">
        <f aca="false">E6238*E6238</f>
        <v>1</v>
      </c>
      <c r="U6238" s="0" t="n">
        <f aca="false">F6238*F6238</f>
        <v>0</v>
      </c>
      <c r="V6238" s="0" t="n">
        <f aca="false">G6238*G6238</f>
        <v>1</v>
      </c>
      <c r="W6238" s="0" t="n">
        <f aca="false">H6238*H6238</f>
        <v>0.0625</v>
      </c>
      <c r="X6238" s="0" t="n">
        <f aca="false">SUMPRODUCT(I6238:W6238,_XtX!$B$96:$P$96)</f>
        <v>47.1624817251462</v>
      </c>
      <c r="Y6238" s="0" t="n">
        <f aca="false">SUMPRODUCT(MMULT(I6238:W6238,_XtX!$B$78:$P$92),I6238:W6238)</f>
        <v>0.689692982456141</v>
      </c>
      <c r="Z6238" s="0" t="n">
        <f aca="false">04_回帰ANOVA!$K$19*04_回帰ANOVA!$K$14*SQRT(1+Y6238)</f>
        <v>1.69434674594998</v>
      </c>
      <c r="AA6238" s="0" t="n">
        <f aca="false">X6238-Z6238</f>
        <v>45.4681349791962</v>
      </c>
      <c r="AB6238" s="0" t="n">
        <f aca="false">X6238+Z6238</f>
        <v>48.8568284710962</v>
      </c>
      <c r="AC6238" s="54" t="b">
        <f aca="false">AND(E6238&gt;=01_因子設定!$L$5-0.000000001,E6238&lt;=01_因子設定!$M$5+0.000000001,F6238&gt;=01_因子設定!$L$6-0.000000001,F6238&lt;=01_因子設定!$M$6+0.000000001,G6238&gt;=01_因子設定!$L$7-0.000000001,G6238&lt;=01_因子設定!$M$7+0.000000001,H6238&gt;=01_因子設定!$L$8-0.000000001,H6238&lt;=01_因子設定!$M$8+0.000000001,IF(01_因子設定!$B$20="Box-Behnken",E6238^2+F6238^2+G6238^2+H6238^2&lt;=2+0.000000001,TRUE()))</f>
        <v>1</v>
      </c>
      <c r="AD6238" s="55" t="n">
        <f aca="false">IF(AC6238,IF(01_因子設定!$B$13="最大化",AA6238-01_因子設定!$B$14,IF(01_因子設定!$B$13="最小化",01_因子設定!$B$15-AB6238,MIN(AA6238-01_因子設定!$B$14,01_因子設定!$B$15-AB6238))),-1E+030)</f>
        <v>-1.03186502080376</v>
      </c>
      <c r="AE6238" s="55" t="n">
        <f aca="false">IF(AC6238,IF(01_因子設定!$B$13="最大化",X6238,IF(01_因子設定!$B$13="最小化",-X6238,-ABS(X6238-01_因子設定!$B$16))),-1E+030)</f>
        <v>47.1624817251462</v>
      </c>
      <c r="AF6238" s="55" t="n">
        <f aca="false">AD6238+ROW()*0.000000001</f>
        <v>-1.03185878280376</v>
      </c>
      <c r="AG6238" s="55" t="n">
        <f aca="false">AE6238+ROW()*0.000000001</f>
        <v>47.1624879631462</v>
      </c>
    </row>
    <row r="6239" customFormat="false" ht="15" hidden="false" customHeight="false" outlineLevel="0" collapsed="false">
      <c r="A6239" s="0" t="n">
        <v>8</v>
      </c>
      <c r="B6239" s="0" t="n">
        <v>4</v>
      </c>
      <c r="C6239" s="0" t="n">
        <v>8</v>
      </c>
      <c r="D6239" s="0" t="n">
        <v>6</v>
      </c>
      <c r="E6239" s="0" t="n">
        <f aca="false">-1+A6239*0.25</f>
        <v>1</v>
      </c>
      <c r="F6239" s="0" t="n">
        <f aca="false">-1+B6239*0.25</f>
        <v>0</v>
      </c>
      <c r="G6239" s="0" t="n">
        <f aca="false">-1+C6239*0.25</f>
        <v>1</v>
      </c>
      <c r="H6239" s="0" t="n">
        <f aca="false">-1+D6239*0.25</f>
        <v>0.5</v>
      </c>
      <c r="I6239" s="0" t="n">
        <f aca="false">1</f>
        <v>1</v>
      </c>
      <c r="J6239" s="0" t="n">
        <f aca="false">E6239</f>
        <v>1</v>
      </c>
      <c r="K6239" s="0" t="n">
        <f aca="false">F6239</f>
        <v>0</v>
      </c>
      <c r="L6239" s="0" t="n">
        <f aca="false">G6239</f>
        <v>1</v>
      </c>
      <c r="M6239" s="0" t="n">
        <f aca="false">H6239</f>
        <v>0.5</v>
      </c>
      <c r="N6239" s="0" t="n">
        <f aca="false">E6239*F6239</f>
        <v>0</v>
      </c>
      <c r="O6239" s="0" t="n">
        <f aca="false">E6239*G6239</f>
        <v>1</v>
      </c>
      <c r="P6239" s="0" t="n">
        <f aca="false">E6239*H6239</f>
        <v>0.5</v>
      </c>
      <c r="Q6239" s="0" t="n">
        <f aca="false">F6239*G6239</f>
        <v>0</v>
      </c>
      <c r="R6239" s="0" t="n">
        <f aca="false">F6239*H6239</f>
        <v>0</v>
      </c>
      <c r="S6239" s="0" t="n">
        <f aca="false">G6239*H6239</f>
        <v>0.5</v>
      </c>
      <c r="T6239" s="0" t="n">
        <f aca="false">E6239*E6239</f>
        <v>1</v>
      </c>
      <c r="U6239" s="0" t="n">
        <f aca="false">F6239*F6239</f>
        <v>0</v>
      </c>
      <c r="V6239" s="0" t="n">
        <f aca="false">G6239*G6239</f>
        <v>1</v>
      </c>
      <c r="W6239" s="0" t="n">
        <f aca="false">H6239*H6239</f>
        <v>0.25</v>
      </c>
      <c r="X6239" s="0" t="n">
        <f aca="false">SUMPRODUCT(I6239:W6239,_XtX!$B$96:$P$96)</f>
        <v>47.2952850877193</v>
      </c>
      <c r="Y6239" s="0" t="n">
        <f aca="false">SUMPRODUCT(MMULT(I6239:W6239,_XtX!$B$78:$P$92),I6239:W6239)</f>
        <v>0.650767543859649</v>
      </c>
      <c r="Z6239" s="0" t="n">
        <f aca="false">04_回帰ANOVA!$K$19*04_回帰ANOVA!$K$14*SQRT(1+Y6239)</f>
        <v>1.67471670935165</v>
      </c>
      <c r="AA6239" s="0" t="n">
        <f aca="false">X6239-Z6239</f>
        <v>45.6205683783677</v>
      </c>
      <c r="AB6239" s="0" t="n">
        <f aca="false">X6239+Z6239</f>
        <v>48.970001797071</v>
      </c>
      <c r="AC6239" s="54" t="b">
        <f aca="false">AND(E6239&gt;=01_因子設定!$L$5-0.000000001,E6239&lt;=01_因子設定!$M$5+0.000000001,F6239&gt;=01_因子設定!$L$6-0.000000001,F6239&lt;=01_因子設定!$M$6+0.000000001,G6239&gt;=01_因子設定!$L$7-0.000000001,G6239&lt;=01_因子設定!$M$7+0.000000001,H6239&gt;=01_因子設定!$L$8-0.000000001,H6239&lt;=01_因子設定!$M$8+0.000000001,IF(01_因子設定!$B$20="Box-Behnken",E6239^2+F6239^2+G6239^2+H6239^2&lt;=2+0.000000001,TRUE()))</f>
        <v>1</v>
      </c>
      <c r="AD6239" s="55" t="n">
        <f aca="false">IF(AC6239,IF(01_因子設定!$B$13="最大化",AA6239-01_因子設定!$B$14,IF(01_因子設定!$B$13="最小化",01_因子設定!$B$15-AB6239,MIN(AA6239-01_因子設定!$B$14,01_因子設定!$B$15-AB6239))),-1E+030)</f>
        <v>-0.879431621632314</v>
      </c>
      <c r="AE6239" s="55" t="n">
        <f aca="false">IF(AC6239,IF(01_因子設定!$B$13="最大化",X6239,IF(01_因子設定!$B$13="最小化",-X6239,-ABS(X6239-01_因子設定!$B$16))),-1E+030)</f>
        <v>47.2952850877193</v>
      </c>
      <c r="AF6239" s="55" t="n">
        <f aca="false">AD6239+ROW()*0.000000001</f>
        <v>-0.879425382632314</v>
      </c>
      <c r="AG6239" s="55" t="n">
        <f aca="false">AE6239+ROW()*0.000000001</f>
        <v>47.2952913267193</v>
      </c>
    </row>
    <row r="6240" customFormat="false" ht="15" hidden="false" customHeight="false" outlineLevel="0" collapsed="false">
      <c r="A6240" s="0" t="n">
        <v>8</v>
      </c>
      <c r="B6240" s="0" t="n">
        <v>4</v>
      </c>
      <c r="C6240" s="0" t="n">
        <v>8</v>
      </c>
      <c r="D6240" s="0" t="n">
        <v>7</v>
      </c>
      <c r="E6240" s="0" t="n">
        <f aca="false">-1+A6240*0.25</f>
        <v>1</v>
      </c>
      <c r="F6240" s="0" t="n">
        <f aca="false">-1+B6240*0.25</f>
        <v>0</v>
      </c>
      <c r="G6240" s="0" t="n">
        <f aca="false">-1+C6240*0.25</f>
        <v>1</v>
      </c>
      <c r="H6240" s="0" t="n">
        <f aca="false">-1+D6240*0.25</f>
        <v>0.75</v>
      </c>
      <c r="I6240" s="0" t="n">
        <f aca="false">1</f>
        <v>1</v>
      </c>
      <c r="J6240" s="0" t="n">
        <f aca="false">E6240</f>
        <v>1</v>
      </c>
      <c r="K6240" s="0" t="n">
        <f aca="false">F6240</f>
        <v>0</v>
      </c>
      <c r="L6240" s="0" t="n">
        <f aca="false">G6240</f>
        <v>1</v>
      </c>
      <c r="M6240" s="0" t="n">
        <f aca="false">H6240</f>
        <v>0.75</v>
      </c>
      <c r="N6240" s="0" t="n">
        <f aca="false">E6240*F6240</f>
        <v>0</v>
      </c>
      <c r="O6240" s="0" t="n">
        <f aca="false">E6240*G6240</f>
        <v>1</v>
      </c>
      <c r="P6240" s="0" t="n">
        <f aca="false">E6240*H6240</f>
        <v>0.75</v>
      </c>
      <c r="Q6240" s="0" t="n">
        <f aca="false">F6240*G6240</f>
        <v>0</v>
      </c>
      <c r="R6240" s="0" t="n">
        <f aca="false">F6240*H6240</f>
        <v>0</v>
      </c>
      <c r="S6240" s="0" t="n">
        <f aca="false">G6240*H6240</f>
        <v>0.75</v>
      </c>
      <c r="T6240" s="0" t="n">
        <f aca="false">E6240*E6240</f>
        <v>1</v>
      </c>
      <c r="U6240" s="0" t="n">
        <f aca="false">F6240*F6240</f>
        <v>0</v>
      </c>
      <c r="V6240" s="0" t="n">
        <f aca="false">G6240*G6240</f>
        <v>1</v>
      </c>
      <c r="W6240" s="0" t="n">
        <f aca="false">H6240*H6240</f>
        <v>0.5625</v>
      </c>
      <c r="X6240" s="0" t="n">
        <f aca="false">SUMPRODUCT(I6240:W6240,_XtX!$B$96:$P$96)</f>
        <v>47.3802814327486</v>
      </c>
      <c r="Y6240" s="0" t="n">
        <f aca="false">SUMPRODUCT(MMULT(I6240:W6240,_XtX!$B$78:$P$92),I6240:W6240)</f>
        <v>0.646198830409357</v>
      </c>
      <c r="Z6240" s="0" t="n">
        <f aca="false">04_回帰ANOVA!$K$19*04_回帰ANOVA!$K$14*SQRT(1+Y6240)</f>
        <v>1.67239760569756</v>
      </c>
      <c r="AA6240" s="0" t="n">
        <f aca="false">X6240-Z6240</f>
        <v>45.707883827051</v>
      </c>
      <c r="AB6240" s="0" t="n">
        <f aca="false">X6240+Z6240</f>
        <v>49.0526790384461</v>
      </c>
      <c r="AC6240" s="54" t="b">
        <f aca="false">AND(E6240&gt;=01_因子設定!$L$5-0.000000001,E6240&lt;=01_因子設定!$M$5+0.000000001,F6240&gt;=01_因子設定!$L$6-0.000000001,F6240&lt;=01_因子設定!$M$6+0.000000001,G6240&gt;=01_因子設定!$L$7-0.000000001,G6240&lt;=01_因子設定!$M$7+0.000000001,H6240&gt;=01_因子設定!$L$8-0.000000001,H6240&lt;=01_因子設定!$M$8+0.000000001,IF(01_因子設定!$B$20="Box-Behnken",E6240^2+F6240^2+G6240^2+H6240^2&lt;=2+0.000000001,TRUE()))</f>
        <v>1</v>
      </c>
      <c r="AD6240" s="55" t="n">
        <f aca="false">IF(AC6240,IF(01_因子設定!$B$13="最大化",AA6240-01_因子設定!$B$14,IF(01_因子設定!$B$13="最小化",01_因子設定!$B$15-AB6240,MIN(AA6240-01_因子設定!$B$14,01_因子設定!$B$15-AB6240))),-1E+030)</f>
        <v>-0.792116172948965</v>
      </c>
      <c r="AE6240" s="55" t="n">
        <f aca="false">IF(AC6240,IF(01_因子設定!$B$13="最大化",X6240,IF(01_因子設定!$B$13="最小化",-X6240,-ABS(X6240-01_因子設定!$B$16))),-1E+030)</f>
        <v>47.3802814327486</v>
      </c>
      <c r="AF6240" s="55" t="n">
        <f aca="false">AD6240+ROW()*0.000000001</f>
        <v>-0.792109932948965</v>
      </c>
      <c r="AG6240" s="55" t="n">
        <f aca="false">AE6240+ROW()*0.000000001</f>
        <v>47.3802876727486</v>
      </c>
    </row>
    <row r="6241" customFormat="false" ht="15" hidden="false" customHeight="false" outlineLevel="0" collapsed="false">
      <c r="A6241" s="0" t="n">
        <v>8</v>
      </c>
      <c r="B6241" s="0" t="n">
        <v>4</v>
      </c>
      <c r="C6241" s="0" t="n">
        <v>8</v>
      </c>
      <c r="D6241" s="0" t="n">
        <v>8</v>
      </c>
      <c r="E6241" s="0" t="n">
        <f aca="false">-1+A6241*0.25</f>
        <v>1</v>
      </c>
      <c r="F6241" s="0" t="n">
        <f aca="false">-1+B6241*0.25</f>
        <v>0</v>
      </c>
      <c r="G6241" s="0" t="n">
        <f aca="false">-1+C6241*0.25</f>
        <v>1</v>
      </c>
      <c r="H6241" s="0" t="n">
        <f aca="false">-1+D6241*0.25</f>
        <v>1</v>
      </c>
      <c r="I6241" s="0" t="n">
        <f aca="false">1</f>
        <v>1</v>
      </c>
      <c r="J6241" s="0" t="n">
        <f aca="false">E6241</f>
        <v>1</v>
      </c>
      <c r="K6241" s="0" t="n">
        <f aca="false">F6241</f>
        <v>0</v>
      </c>
      <c r="L6241" s="0" t="n">
        <f aca="false">G6241</f>
        <v>1</v>
      </c>
      <c r="M6241" s="0" t="n">
        <f aca="false">H6241</f>
        <v>1</v>
      </c>
      <c r="N6241" s="0" t="n">
        <f aca="false">E6241*F6241</f>
        <v>0</v>
      </c>
      <c r="O6241" s="0" t="n">
        <f aca="false">E6241*G6241</f>
        <v>1</v>
      </c>
      <c r="P6241" s="0" t="n">
        <f aca="false">E6241*H6241</f>
        <v>1</v>
      </c>
      <c r="Q6241" s="0" t="n">
        <f aca="false">F6241*G6241</f>
        <v>0</v>
      </c>
      <c r="R6241" s="0" t="n">
        <f aca="false">F6241*H6241</f>
        <v>0</v>
      </c>
      <c r="S6241" s="0" t="n">
        <f aca="false">G6241*H6241</f>
        <v>1</v>
      </c>
      <c r="T6241" s="0" t="n">
        <f aca="false">E6241*E6241</f>
        <v>1</v>
      </c>
      <c r="U6241" s="0" t="n">
        <f aca="false">F6241*F6241</f>
        <v>0</v>
      </c>
      <c r="V6241" s="0" t="n">
        <f aca="false">G6241*G6241</f>
        <v>1</v>
      </c>
      <c r="W6241" s="0" t="n">
        <f aca="false">H6241*H6241</f>
        <v>1</v>
      </c>
      <c r="X6241" s="0" t="n">
        <f aca="false">SUMPRODUCT(I6241:W6241,_XtX!$B$96:$P$96)</f>
        <v>47.417470760234</v>
      </c>
      <c r="Y6241" s="0" t="n">
        <f aca="false">SUMPRODUCT(MMULT(I6241:W6241,_XtX!$B$78:$P$92),I6241:W6241)</f>
        <v>0.766447368421053</v>
      </c>
      <c r="Z6241" s="0" t="n">
        <f aca="false">04_回帰ANOVA!$K$19*04_回帰ANOVA!$K$14*SQRT(1+Y6241)</f>
        <v>1.7324022685743</v>
      </c>
      <c r="AA6241" s="0" t="n">
        <f aca="false">X6241-Z6241</f>
        <v>45.6850684916597</v>
      </c>
      <c r="AB6241" s="0" t="n">
        <f aca="false">X6241+Z6241</f>
        <v>49.1498730288083</v>
      </c>
      <c r="AC6241" s="54" t="b">
        <f aca="false">AND(E6241&gt;=01_因子設定!$L$5-0.000000001,E6241&lt;=01_因子設定!$M$5+0.000000001,F6241&gt;=01_因子設定!$L$6-0.000000001,F6241&lt;=01_因子設定!$M$6+0.000000001,G6241&gt;=01_因子設定!$L$7-0.000000001,G6241&lt;=01_因子設定!$M$7+0.000000001,H6241&gt;=01_因子設定!$L$8-0.000000001,H6241&lt;=01_因子設定!$M$8+0.000000001,IF(01_因子設定!$B$20="Box-Behnken",E6241^2+F6241^2+G6241^2+H6241^2&lt;=2+0.000000001,TRUE()))</f>
        <v>1</v>
      </c>
      <c r="AD6241" s="55" t="n">
        <f aca="false">IF(AC6241,IF(01_因子設定!$B$13="最大化",AA6241-01_因子設定!$B$14,IF(01_因子設定!$B$13="最小化",01_因子設定!$B$15-AB6241,MIN(AA6241-01_因子設定!$B$14,01_因子設定!$B$15-AB6241))),-1E+030)</f>
        <v>-0.814931508340322</v>
      </c>
      <c r="AE6241" s="55" t="n">
        <f aca="false">IF(AC6241,IF(01_因子設定!$B$13="最大化",X6241,IF(01_因子設定!$B$13="最小化",-X6241,-ABS(X6241-01_因子設定!$B$16))),-1E+030)</f>
        <v>47.417470760234</v>
      </c>
      <c r="AF6241" s="55" t="n">
        <f aca="false">AD6241+ROW()*0.000000001</f>
        <v>-0.814925267340322</v>
      </c>
      <c r="AG6241" s="55" t="n">
        <f aca="false">AE6241+ROW()*0.000000001</f>
        <v>47.417477001234</v>
      </c>
    </row>
    <row r="6242" customFormat="false" ht="15" hidden="false" customHeight="false" outlineLevel="0" collapsed="false">
      <c r="A6242" s="0" t="n">
        <v>8</v>
      </c>
      <c r="B6242" s="0" t="n">
        <v>5</v>
      </c>
      <c r="C6242" s="0" t="n">
        <v>0</v>
      </c>
      <c r="D6242" s="0" t="n">
        <v>0</v>
      </c>
      <c r="E6242" s="0" t="n">
        <f aca="false">-1+A6242*0.25</f>
        <v>1</v>
      </c>
      <c r="F6242" s="0" t="n">
        <f aca="false">-1+B6242*0.25</f>
        <v>0.25</v>
      </c>
      <c r="G6242" s="0" t="n">
        <f aca="false">-1+C6242*0.25</f>
        <v>-1</v>
      </c>
      <c r="H6242" s="0" t="n">
        <f aca="false">-1+D6242*0.25</f>
        <v>-1</v>
      </c>
      <c r="I6242" s="0" t="n">
        <f aca="false">1</f>
        <v>1</v>
      </c>
      <c r="J6242" s="0" t="n">
        <f aca="false">E6242</f>
        <v>1</v>
      </c>
      <c r="K6242" s="0" t="n">
        <f aca="false">F6242</f>
        <v>0.25</v>
      </c>
      <c r="L6242" s="0" t="n">
        <f aca="false">G6242</f>
        <v>-1</v>
      </c>
      <c r="M6242" s="0" t="n">
        <f aca="false">H6242</f>
        <v>-1</v>
      </c>
      <c r="N6242" s="0" t="n">
        <f aca="false">E6242*F6242</f>
        <v>0.25</v>
      </c>
      <c r="O6242" s="0" t="n">
        <f aca="false">E6242*G6242</f>
        <v>-1</v>
      </c>
      <c r="P6242" s="0" t="n">
        <f aca="false">E6242*H6242</f>
        <v>-1</v>
      </c>
      <c r="Q6242" s="0" t="n">
        <f aca="false">F6242*G6242</f>
        <v>-0.25</v>
      </c>
      <c r="R6242" s="0" t="n">
        <f aca="false">F6242*H6242</f>
        <v>-0.25</v>
      </c>
      <c r="S6242" s="0" t="n">
        <f aca="false">G6242*H6242</f>
        <v>1</v>
      </c>
      <c r="T6242" s="0" t="n">
        <f aca="false">E6242*E6242</f>
        <v>1</v>
      </c>
      <c r="U6242" s="0" t="n">
        <f aca="false">F6242*F6242</f>
        <v>0.0625</v>
      </c>
      <c r="V6242" s="0" t="n">
        <f aca="false">G6242*G6242</f>
        <v>1</v>
      </c>
      <c r="W6242" s="0" t="n">
        <f aca="false">H6242*H6242</f>
        <v>1</v>
      </c>
      <c r="X6242" s="0" t="n">
        <f aca="false">SUMPRODUCT(I6242:W6242,_XtX!$B$96:$P$96)</f>
        <v>46.3081505847954</v>
      </c>
      <c r="Y6242" s="0" t="n">
        <f aca="false">SUMPRODUCT(MMULT(I6242:W6242,_XtX!$B$78:$P$92),I6242:W6242)</f>
        <v>0.737093384502924</v>
      </c>
      <c r="Z6242" s="0" t="n">
        <f aca="false">04_回帰ANOVA!$K$19*04_回帰ANOVA!$K$14*SQRT(1+Y6242)</f>
        <v>1.71794784853551</v>
      </c>
      <c r="AA6242" s="0" t="n">
        <f aca="false">X6242-Z6242</f>
        <v>44.5902027362599</v>
      </c>
      <c r="AB6242" s="0" t="n">
        <f aca="false">X6242+Z6242</f>
        <v>48.0260984333309</v>
      </c>
      <c r="AC6242" s="54" t="b">
        <f aca="false">AND(E6242&gt;=01_因子設定!$L$5-0.000000001,E6242&lt;=01_因子設定!$M$5+0.000000001,F6242&gt;=01_因子設定!$L$6-0.000000001,F6242&lt;=01_因子設定!$M$6+0.000000001,G6242&gt;=01_因子設定!$L$7-0.000000001,G6242&lt;=01_因子設定!$M$7+0.000000001,H6242&gt;=01_因子設定!$L$8-0.000000001,H6242&lt;=01_因子設定!$M$8+0.000000001,IF(01_因子設定!$B$20="Box-Behnken",E6242^2+F6242^2+G6242^2+H6242^2&lt;=2+0.000000001,TRUE()))</f>
        <v>1</v>
      </c>
      <c r="AD6242" s="55" t="n">
        <f aca="false">IF(AC6242,IF(01_因子設定!$B$13="最大化",AA6242-01_因子設定!$B$14,IF(01_因子設定!$B$13="最小化",01_因子設定!$B$15-AB6242,MIN(AA6242-01_因子設定!$B$14,01_因子設定!$B$15-AB6242))),-1E+030)</f>
        <v>-1.90979726374011</v>
      </c>
      <c r="AE6242" s="55" t="n">
        <f aca="false">IF(AC6242,IF(01_因子設定!$B$13="最大化",X6242,IF(01_因子設定!$B$13="最小化",-X6242,-ABS(X6242-01_因子設定!$B$16))),-1E+030)</f>
        <v>46.3081505847954</v>
      </c>
      <c r="AF6242" s="55" t="n">
        <f aca="false">AD6242+ROW()*0.000000001</f>
        <v>-1.90979102174011</v>
      </c>
      <c r="AG6242" s="55" t="n">
        <f aca="false">AE6242+ROW()*0.000000001</f>
        <v>46.3081568267954</v>
      </c>
    </row>
    <row r="6243" customFormat="false" ht="15" hidden="false" customHeight="false" outlineLevel="0" collapsed="false">
      <c r="A6243" s="0" t="n">
        <v>8</v>
      </c>
      <c r="B6243" s="0" t="n">
        <v>5</v>
      </c>
      <c r="C6243" s="0" t="n">
        <v>0</v>
      </c>
      <c r="D6243" s="0" t="n">
        <v>1</v>
      </c>
      <c r="E6243" s="0" t="n">
        <f aca="false">-1+A6243*0.25</f>
        <v>1</v>
      </c>
      <c r="F6243" s="0" t="n">
        <f aca="false">-1+B6243*0.25</f>
        <v>0.25</v>
      </c>
      <c r="G6243" s="0" t="n">
        <f aca="false">-1+C6243*0.25</f>
        <v>-1</v>
      </c>
      <c r="H6243" s="0" t="n">
        <f aca="false">-1+D6243*0.25</f>
        <v>-0.75</v>
      </c>
      <c r="I6243" s="0" t="n">
        <f aca="false">1</f>
        <v>1</v>
      </c>
      <c r="J6243" s="0" t="n">
        <f aca="false">E6243</f>
        <v>1</v>
      </c>
      <c r="K6243" s="0" t="n">
        <f aca="false">F6243</f>
        <v>0.25</v>
      </c>
      <c r="L6243" s="0" t="n">
        <f aca="false">G6243</f>
        <v>-1</v>
      </c>
      <c r="M6243" s="0" t="n">
        <f aca="false">H6243</f>
        <v>-0.75</v>
      </c>
      <c r="N6243" s="0" t="n">
        <f aca="false">E6243*F6243</f>
        <v>0.25</v>
      </c>
      <c r="O6243" s="0" t="n">
        <f aca="false">E6243*G6243</f>
        <v>-1</v>
      </c>
      <c r="P6243" s="0" t="n">
        <f aca="false">E6243*H6243</f>
        <v>-0.75</v>
      </c>
      <c r="Q6243" s="0" t="n">
        <f aca="false">F6243*G6243</f>
        <v>-0.25</v>
      </c>
      <c r="R6243" s="0" t="n">
        <f aca="false">F6243*H6243</f>
        <v>-0.1875</v>
      </c>
      <c r="S6243" s="0" t="n">
        <f aca="false">G6243*H6243</f>
        <v>0.75</v>
      </c>
      <c r="T6243" s="0" t="n">
        <f aca="false">E6243*E6243</f>
        <v>1</v>
      </c>
      <c r="U6243" s="0" t="n">
        <f aca="false">F6243*F6243</f>
        <v>0.0625</v>
      </c>
      <c r="V6243" s="0" t="n">
        <f aca="false">G6243*G6243</f>
        <v>1</v>
      </c>
      <c r="W6243" s="0" t="n">
        <f aca="false">H6243*H6243</f>
        <v>0.5625</v>
      </c>
      <c r="X6243" s="0" t="n">
        <f aca="false">SUMPRODUCT(I6243:W6243,_XtX!$B$96:$P$96)</f>
        <v>46.5229577850878</v>
      </c>
      <c r="Y6243" s="0" t="n">
        <f aca="false">SUMPRODUCT(MMULT(I6243:W6243,_XtX!$B$78:$P$92),I6243:W6243)</f>
        <v>0.621372155975877</v>
      </c>
      <c r="Z6243" s="0" t="n">
        <f aca="false">04_回帰ANOVA!$K$19*04_回帰ANOVA!$K$14*SQRT(1+Y6243)</f>
        <v>1.65973880499872</v>
      </c>
      <c r="AA6243" s="0" t="n">
        <f aca="false">X6243-Z6243</f>
        <v>44.8632189800891</v>
      </c>
      <c r="AB6243" s="0" t="n">
        <f aca="false">X6243+Z6243</f>
        <v>48.1826965900865</v>
      </c>
      <c r="AC6243" s="54" t="b">
        <f aca="false">AND(E6243&gt;=01_因子設定!$L$5-0.000000001,E6243&lt;=01_因子設定!$M$5+0.000000001,F6243&gt;=01_因子設定!$L$6-0.000000001,F6243&lt;=01_因子設定!$M$6+0.000000001,G6243&gt;=01_因子設定!$L$7-0.000000001,G6243&lt;=01_因子設定!$M$7+0.000000001,H6243&gt;=01_因子設定!$L$8-0.000000001,H6243&lt;=01_因子設定!$M$8+0.000000001,IF(01_因子設定!$B$20="Box-Behnken",E6243^2+F6243^2+G6243^2+H6243^2&lt;=2+0.000000001,TRUE()))</f>
        <v>1</v>
      </c>
      <c r="AD6243" s="55" t="n">
        <f aca="false">IF(AC6243,IF(01_因子設定!$B$13="最大化",AA6243-01_因子設定!$B$14,IF(01_因子設定!$B$13="最小化",01_因子設定!$B$15-AB6243,MIN(AA6243-01_因子設定!$B$14,01_因子設定!$B$15-AB6243))),-1E+030)</f>
        <v>-1.63678101991095</v>
      </c>
      <c r="AE6243" s="55" t="n">
        <f aca="false">IF(AC6243,IF(01_因子設定!$B$13="最大化",X6243,IF(01_因子設定!$B$13="最小化",-X6243,-ABS(X6243-01_因子設定!$B$16))),-1E+030)</f>
        <v>46.5229577850878</v>
      </c>
      <c r="AF6243" s="55" t="n">
        <f aca="false">AD6243+ROW()*0.000000001</f>
        <v>-1.63677477691095</v>
      </c>
      <c r="AG6243" s="55" t="n">
        <f aca="false">AE6243+ROW()*0.000000001</f>
        <v>46.5229640280878</v>
      </c>
    </row>
    <row r="6244" customFormat="false" ht="15" hidden="false" customHeight="false" outlineLevel="0" collapsed="false">
      <c r="A6244" s="0" t="n">
        <v>8</v>
      </c>
      <c r="B6244" s="0" t="n">
        <v>5</v>
      </c>
      <c r="C6244" s="0" t="n">
        <v>0</v>
      </c>
      <c r="D6244" s="0" t="n">
        <v>2</v>
      </c>
      <c r="E6244" s="0" t="n">
        <f aca="false">-1+A6244*0.25</f>
        <v>1</v>
      </c>
      <c r="F6244" s="0" t="n">
        <f aca="false">-1+B6244*0.25</f>
        <v>0.25</v>
      </c>
      <c r="G6244" s="0" t="n">
        <f aca="false">-1+C6244*0.25</f>
        <v>-1</v>
      </c>
      <c r="H6244" s="0" t="n">
        <f aca="false">-1+D6244*0.25</f>
        <v>-0.5</v>
      </c>
      <c r="I6244" s="0" t="n">
        <f aca="false">1</f>
        <v>1</v>
      </c>
      <c r="J6244" s="0" t="n">
        <f aca="false">E6244</f>
        <v>1</v>
      </c>
      <c r="K6244" s="0" t="n">
        <f aca="false">F6244</f>
        <v>0.25</v>
      </c>
      <c r="L6244" s="0" t="n">
        <f aca="false">G6244</f>
        <v>-1</v>
      </c>
      <c r="M6244" s="0" t="n">
        <f aca="false">H6244</f>
        <v>-0.5</v>
      </c>
      <c r="N6244" s="0" t="n">
        <f aca="false">E6244*F6244</f>
        <v>0.25</v>
      </c>
      <c r="O6244" s="0" t="n">
        <f aca="false">E6244*G6244</f>
        <v>-1</v>
      </c>
      <c r="P6244" s="0" t="n">
        <f aca="false">E6244*H6244</f>
        <v>-0.5</v>
      </c>
      <c r="Q6244" s="0" t="n">
        <f aca="false">F6244*G6244</f>
        <v>-0.25</v>
      </c>
      <c r="R6244" s="0" t="n">
        <f aca="false">F6244*H6244</f>
        <v>-0.125</v>
      </c>
      <c r="S6244" s="0" t="n">
        <f aca="false">G6244*H6244</f>
        <v>0.5</v>
      </c>
      <c r="T6244" s="0" t="n">
        <f aca="false">E6244*E6244</f>
        <v>1</v>
      </c>
      <c r="U6244" s="0" t="n">
        <f aca="false">F6244*F6244</f>
        <v>0.0625</v>
      </c>
      <c r="V6244" s="0" t="n">
        <f aca="false">G6244*G6244</f>
        <v>1</v>
      </c>
      <c r="W6244" s="0" t="n">
        <f aca="false">H6244*H6244</f>
        <v>0.25</v>
      </c>
      <c r="X6244" s="0" t="n">
        <f aca="false">SUMPRODUCT(I6244:W6244,_XtX!$B$96:$P$96)</f>
        <v>46.6899579678363</v>
      </c>
      <c r="Y6244" s="0" t="n">
        <f aca="false">SUMPRODUCT(MMULT(I6244:W6244,_XtX!$B$78:$P$92),I6244:W6244)</f>
        <v>0.629174661915205</v>
      </c>
      <c r="Z6244" s="0" t="n">
        <f aca="false">04_回帰ANOVA!$K$19*04_回帰ANOVA!$K$14*SQRT(1+Y6244)</f>
        <v>1.66372758058297</v>
      </c>
      <c r="AA6244" s="0" t="n">
        <f aca="false">X6244-Z6244</f>
        <v>45.0262303872533</v>
      </c>
      <c r="AB6244" s="0" t="n">
        <f aca="false">X6244+Z6244</f>
        <v>48.3536855484193</v>
      </c>
      <c r="AC6244" s="54" t="b">
        <f aca="false">AND(E6244&gt;=01_因子設定!$L$5-0.000000001,E6244&lt;=01_因子設定!$M$5+0.000000001,F6244&gt;=01_因子設定!$L$6-0.000000001,F6244&lt;=01_因子設定!$M$6+0.000000001,G6244&gt;=01_因子設定!$L$7-0.000000001,G6244&lt;=01_因子設定!$M$7+0.000000001,H6244&gt;=01_因子設定!$L$8-0.000000001,H6244&lt;=01_因子設定!$M$8+0.000000001,IF(01_因子設定!$B$20="Box-Behnken",E6244^2+F6244^2+G6244^2+H6244^2&lt;=2+0.000000001,TRUE()))</f>
        <v>1</v>
      </c>
      <c r="AD6244" s="55" t="n">
        <f aca="false">IF(AC6244,IF(01_因子設定!$B$13="最大化",AA6244-01_因子設定!$B$14,IF(01_因子設定!$B$13="最小化",01_因子設定!$B$15-AB6244,MIN(AA6244-01_因子設定!$B$14,01_因子設定!$B$15-AB6244))),-1E+030)</f>
        <v>-1.47376961274668</v>
      </c>
      <c r="AE6244" s="55" t="n">
        <f aca="false">IF(AC6244,IF(01_因子設定!$B$13="最大化",X6244,IF(01_因子設定!$B$13="最小化",-X6244,-ABS(X6244-01_因子設定!$B$16))),-1E+030)</f>
        <v>46.6899579678363</v>
      </c>
      <c r="AF6244" s="55" t="n">
        <f aca="false">AD6244+ROW()*0.000000001</f>
        <v>-1.47376336874668</v>
      </c>
      <c r="AG6244" s="55" t="n">
        <f aca="false">AE6244+ROW()*0.000000001</f>
        <v>46.6899642118363</v>
      </c>
    </row>
    <row r="6245" customFormat="false" ht="15" hidden="false" customHeight="false" outlineLevel="0" collapsed="false">
      <c r="A6245" s="0" t="n">
        <v>8</v>
      </c>
      <c r="B6245" s="0" t="n">
        <v>5</v>
      </c>
      <c r="C6245" s="0" t="n">
        <v>0</v>
      </c>
      <c r="D6245" s="0" t="n">
        <v>3</v>
      </c>
      <c r="E6245" s="0" t="n">
        <f aca="false">-1+A6245*0.25</f>
        <v>1</v>
      </c>
      <c r="F6245" s="0" t="n">
        <f aca="false">-1+B6245*0.25</f>
        <v>0.25</v>
      </c>
      <c r="G6245" s="0" t="n">
        <f aca="false">-1+C6245*0.25</f>
        <v>-1</v>
      </c>
      <c r="H6245" s="0" t="n">
        <f aca="false">-1+D6245*0.25</f>
        <v>-0.25</v>
      </c>
      <c r="I6245" s="0" t="n">
        <f aca="false">1</f>
        <v>1</v>
      </c>
      <c r="J6245" s="0" t="n">
        <f aca="false">E6245</f>
        <v>1</v>
      </c>
      <c r="K6245" s="0" t="n">
        <f aca="false">F6245</f>
        <v>0.25</v>
      </c>
      <c r="L6245" s="0" t="n">
        <f aca="false">G6245</f>
        <v>-1</v>
      </c>
      <c r="M6245" s="0" t="n">
        <f aca="false">H6245</f>
        <v>-0.25</v>
      </c>
      <c r="N6245" s="0" t="n">
        <f aca="false">E6245*F6245</f>
        <v>0.25</v>
      </c>
      <c r="O6245" s="0" t="n">
        <f aca="false">E6245*G6245</f>
        <v>-1</v>
      </c>
      <c r="P6245" s="0" t="n">
        <f aca="false">E6245*H6245</f>
        <v>-0.25</v>
      </c>
      <c r="Q6245" s="0" t="n">
        <f aca="false">F6245*G6245</f>
        <v>-0.25</v>
      </c>
      <c r="R6245" s="0" t="n">
        <f aca="false">F6245*H6245</f>
        <v>-0.0625</v>
      </c>
      <c r="S6245" s="0" t="n">
        <f aca="false">G6245*H6245</f>
        <v>0.25</v>
      </c>
      <c r="T6245" s="0" t="n">
        <f aca="false">E6245*E6245</f>
        <v>1</v>
      </c>
      <c r="U6245" s="0" t="n">
        <f aca="false">F6245*F6245</f>
        <v>0.0625</v>
      </c>
      <c r="V6245" s="0" t="n">
        <f aca="false">G6245*G6245</f>
        <v>1</v>
      </c>
      <c r="W6245" s="0" t="n">
        <f aca="false">H6245*H6245</f>
        <v>0.0625</v>
      </c>
      <c r="X6245" s="0" t="n">
        <f aca="false">SUMPRODUCT(I6245:W6245,_XtX!$B$96:$P$96)</f>
        <v>46.809151133041</v>
      </c>
      <c r="Y6245" s="0" t="n">
        <f aca="false">SUMPRODUCT(MMULT(I6245:W6245,_XtX!$B$78:$P$92),I6245:W6245)</f>
        <v>0.670040376005117</v>
      </c>
      <c r="Z6245" s="0" t="n">
        <f aca="false">04_回帰ANOVA!$K$19*04_回帰ANOVA!$K$14*SQRT(1+Y6245)</f>
        <v>1.68446456039992</v>
      </c>
      <c r="AA6245" s="0" t="n">
        <f aca="false">X6245-Z6245</f>
        <v>45.1246865726411</v>
      </c>
      <c r="AB6245" s="0" t="n">
        <f aca="false">X6245+Z6245</f>
        <v>48.4936156934409</v>
      </c>
      <c r="AC6245" s="54" t="b">
        <f aca="false">AND(E6245&gt;=01_因子設定!$L$5-0.000000001,E6245&lt;=01_因子設定!$M$5+0.000000001,F6245&gt;=01_因子設定!$L$6-0.000000001,F6245&lt;=01_因子設定!$M$6+0.000000001,G6245&gt;=01_因子設定!$L$7-0.000000001,G6245&lt;=01_因子設定!$M$7+0.000000001,H6245&gt;=01_因子設定!$L$8-0.000000001,H6245&lt;=01_因子設定!$M$8+0.000000001,IF(01_因子設定!$B$20="Box-Behnken",E6245^2+F6245^2+G6245^2+H6245^2&lt;=2+0.000000001,TRUE()))</f>
        <v>1</v>
      </c>
      <c r="AD6245" s="55" t="n">
        <f aca="false">IF(AC6245,IF(01_因子設定!$B$13="最大化",AA6245-01_因子設定!$B$14,IF(01_因子設定!$B$13="最小化",01_因子設定!$B$15-AB6245,MIN(AA6245-01_因子設定!$B$14,01_因子設定!$B$15-AB6245))),-1E+030)</f>
        <v>-1.37531342735895</v>
      </c>
      <c r="AE6245" s="55" t="n">
        <f aca="false">IF(AC6245,IF(01_因子設定!$B$13="最大化",X6245,IF(01_因子設定!$B$13="最小化",-X6245,-ABS(X6245-01_因子設定!$B$16))),-1E+030)</f>
        <v>46.809151133041</v>
      </c>
      <c r="AF6245" s="55" t="n">
        <f aca="false">AD6245+ROW()*0.000000001</f>
        <v>-1.37530718235895</v>
      </c>
      <c r="AG6245" s="55" t="n">
        <f aca="false">AE6245+ROW()*0.000000001</f>
        <v>46.809157378041</v>
      </c>
    </row>
    <row r="6246" customFormat="false" ht="15" hidden="false" customHeight="false" outlineLevel="0" collapsed="false">
      <c r="A6246" s="0" t="n">
        <v>8</v>
      </c>
      <c r="B6246" s="0" t="n">
        <v>5</v>
      </c>
      <c r="C6246" s="0" t="n">
        <v>0</v>
      </c>
      <c r="D6246" s="0" t="n">
        <v>4</v>
      </c>
      <c r="E6246" s="0" t="n">
        <f aca="false">-1+A6246*0.25</f>
        <v>1</v>
      </c>
      <c r="F6246" s="0" t="n">
        <f aca="false">-1+B6246*0.25</f>
        <v>0.25</v>
      </c>
      <c r="G6246" s="0" t="n">
        <f aca="false">-1+C6246*0.25</f>
        <v>-1</v>
      </c>
      <c r="H6246" s="0" t="n">
        <f aca="false">-1+D6246*0.25</f>
        <v>0</v>
      </c>
      <c r="I6246" s="0" t="n">
        <f aca="false">1</f>
        <v>1</v>
      </c>
      <c r="J6246" s="0" t="n">
        <f aca="false">E6246</f>
        <v>1</v>
      </c>
      <c r="K6246" s="0" t="n">
        <f aca="false">F6246</f>
        <v>0.25</v>
      </c>
      <c r="L6246" s="0" t="n">
        <f aca="false">G6246</f>
        <v>-1</v>
      </c>
      <c r="M6246" s="0" t="n">
        <f aca="false">H6246</f>
        <v>0</v>
      </c>
      <c r="N6246" s="0" t="n">
        <f aca="false">E6246*F6246</f>
        <v>0.25</v>
      </c>
      <c r="O6246" s="0" t="n">
        <f aca="false">E6246*G6246</f>
        <v>-1</v>
      </c>
      <c r="P6246" s="0" t="n">
        <f aca="false">E6246*H6246</f>
        <v>0</v>
      </c>
      <c r="Q6246" s="0" t="n">
        <f aca="false">F6246*G6246</f>
        <v>-0.25</v>
      </c>
      <c r="R6246" s="0" t="n">
        <f aca="false">F6246*H6246</f>
        <v>0</v>
      </c>
      <c r="S6246" s="0" t="n">
        <f aca="false">G6246*H6246</f>
        <v>-0</v>
      </c>
      <c r="T6246" s="0" t="n">
        <f aca="false">E6246*E6246</f>
        <v>1</v>
      </c>
      <c r="U6246" s="0" t="n">
        <f aca="false">F6246*F6246</f>
        <v>0.0625</v>
      </c>
      <c r="V6246" s="0" t="n">
        <f aca="false">G6246*G6246</f>
        <v>1</v>
      </c>
      <c r="W6246" s="0" t="n">
        <f aca="false">H6246*H6246</f>
        <v>0</v>
      </c>
      <c r="X6246" s="0" t="n">
        <f aca="false">SUMPRODUCT(I6246:W6246,_XtX!$B$96:$P$96)</f>
        <v>46.8805372807018</v>
      </c>
      <c r="Y6246" s="0" t="n">
        <f aca="false">SUMPRODUCT(MMULT(I6246:W6246,_XtX!$B$78:$P$92),I6246:W6246)</f>
        <v>0.689692982456141</v>
      </c>
      <c r="Z6246" s="0" t="n">
        <f aca="false">04_回帰ANOVA!$K$19*04_回帰ANOVA!$K$14*SQRT(1+Y6246)</f>
        <v>1.69434674594998</v>
      </c>
      <c r="AA6246" s="0" t="n">
        <f aca="false">X6246-Z6246</f>
        <v>45.1861905347518</v>
      </c>
      <c r="AB6246" s="0" t="n">
        <f aca="false">X6246+Z6246</f>
        <v>48.5748840266518</v>
      </c>
      <c r="AC6246" s="54" t="b">
        <f aca="false">AND(E6246&gt;=01_因子設定!$L$5-0.000000001,E6246&lt;=01_因子設定!$M$5+0.000000001,F6246&gt;=01_因子設定!$L$6-0.000000001,F6246&lt;=01_因子設定!$M$6+0.000000001,G6246&gt;=01_因子設定!$L$7-0.000000001,G6246&lt;=01_因子設定!$M$7+0.000000001,H6246&gt;=01_因子設定!$L$8-0.000000001,H6246&lt;=01_因子設定!$M$8+0.000000001,IF(01_因子設定!$B$20="Box-Behnken",E6246^2+F6246^2+G6246^2+H6246^2&lt;=2+0.000000001,TRUE()))</f>
        <v>1</v>
      </c>
      <c r="AD6246" s="55" t="n">
        <f aca="false">IF(AC6246,IF(01_因子設定!$B$13="最大化",AA6246-01_因子設定!$B$14,IF(01_因子設定!$B$13="最小化",01_因子設定!$B$15-AB6246,MIN(AA6246-01_因子設定!$B$14,01_因子設定!$B$15-AB6246))),-1E+030)</f>
        <v>-1.31380946524821</v>
      </c>
      <c r="AE6246" s="55" t="n">
        <f aca="false">IF(AC6246,IF(01_因子設定!$B$13="最大化",X6246,IF(01_因子設定!$B$13="最小化",-X6246,-ABS(X6246-01_因子設定!$B$16))),-1E+030)</f>
        <v>46.8805372807018</v>
      </c>
      <c r="AF6246" s="55" t="n">
        <f aca="false">AD6246+ROW()*0.000000001</f>
        <v>-1.31380321924821</v>
      </c>
      <c r="AG6246" s="55" t="n">
        <f aca="false">AE6246+ROW()*0.000000001</f>
        <v>46.8805435267018</v>
      </c>
    </row>
    <row r="6247" customFormat="false" ht="15" hidden="false" customHeight="false" outlineLevel="0" collapsed="false">
      <c r="A6247" s="0" t="n">
        <v>8</v>
      </c>
      <c r="B6247" s="0" t="n">
        <v>5</v>
      </c>
      <c r="C6247" s="0" t="n">
        <v>0</v>
      </c>
      <c r="D6247" s="0" t="n">
        <v>5</v>
      </c>
      <c r="E6247" s="0" t="n">
        <f aca="false">-1+A6247*0.25</f>
        <v>1</v>
      </c>
      <c r="F6247" s="0" t="n">
        <f aca="false">-1+B6247*0.25</f>
        <v>0.25</v>
      </c>
      <c r="G6247" s="0" t="n">
        <f aca="false">-1+C6247*0.25</f>
        <v>-1</v>
      </c>
      <c r="H6247" s="0" t="n">
        <f aca="false">-1+D6247*0.25</f>
        <v>0.25</v>
      </c>
      <c r="I6247" s="0" t="n">
        <f aca="false">1</f>
        <v>1</v>
      </c>
      <c r="J6247" s="0" t="n">
        <f aca="false">E6247</f>
        <v>1</v>
      </c>
      <c r="K6247" s="0" t="n">
        <f aca="false">F6247</f>
        <v>0.25</v>
      </c>
      <c r="L6247" s="0" t="n">
        <f aca="false">G6247</f>
        <v>-1</v>
      </c>
      <c r="M6247" s="0" t="n">
        <f aca="false">H6247</f>
        <v>0.25</v>
      </c>
      <c r="N6247" s="0" t="n">
        <f aca="false">E6247*F6247</f>
        <v>0.25</v>
      </c>
      <c r="O6247" s="0" t="n">
        <f aca="false">E6247*G6247</f>
        <v>-1</v>
      </c>
      <c r="P6247" s="0" t="n">
        <f aca="false">E6247*H6247</f>
        <v>0.25</v>
      </c>
      <c r="Q6247" s="0" t="n">
        <f aca="false">F6247*G6247</f>
        <v>-0.25</v>
      </c>
      <c r="R6247" s="0" t="n">
        <f aca="false">F6247*H6247</f>
        <v>0.0625</v>
      </c>
      <c r="S6247" s="0" t="n">
        <f aca="false">G6247*H6247</f>
        <v>-0.25</v>
      </c>
      <c r="T6247" s="0" t="n">
        <f aca="false">E6247*E6247</f>
        <v>1</v>
      </c>
      <c r="U6247" s="0" t="n">
        <f aca="false">F6247*F6247</f>
        <v>0.0625</v>
      </c>
      <c r="V6247" s="0" t="n">
        <f aca="false">G6247*G6247</f>
        <v>1</v>
      </c>
      <c r="W6247" s="0" t="n">
        <f aca="false">H6247*H6247</f>
        <v>0.0625</v>
      </c>
      <c r="X6247" s="0" t="n">
        <f aca="false">SUMPRODUCT(I6247:W6247,_XtX!$B$96:$P$96)</f>
        <v>46.9041164108187</v>
      </c>
      <c r="Y6247" s="0" t="n">
        <f aca="false">SUMPRODUCT(MMULT(I6247:W6247,_XtX!$B$78:$P$92),I6247:W6247)</f>
        <v>0.670040376005117</v>
      </c>
      <c r="Z6247" s="0" t="n">
        <f aca="false">04_回帰ANOVA!$K$19*04_回帰ANOVA!$K$14*SQRT(1+Y6247)</f>
        <v>1.68446456039992</v>
      </c>
      <c r="AA6247" s="0" t="n">
        <f aca="false">X6247-Z6247</f>
        <v>45.2196518504188</v>
      </c>
      <c r="AB6247" s="0" t="n">
        <f aca="false">X6247+Z6247</f>
        <v>48.5885809712187</v>
      </c>
      <c r="AC6247" s="54" t="b">
        <f aca="false">AND(E6247&gt;=01_因子設定!$L$5-0.000000001,E6247&lt;=01_因子設定!$M$5+0.000000001,F6247&gt;=01_因子設定!$L$6-0.000000001,F6247&lt;=01_因子設定!$M$6+0.000000001,G6247&gt;=01_因子設定!$L$7-0.000000001,G6247&lt;=01_因子設定!$M$7+0.000000001,H6247&gt;=01_因子設定!$L$8-0.000000001,H6247&lt;=01_因子設定!$M$8+0.000000001,IF(01_因子設定!$B$20="Box-Behnken",E6247^2+F6247^2+G6247^2+H6247^2&lt;=2+0.000000001,TRUE()))</f>
        <v>1</v>
      </c>
      <c r="AD6247" s="55" t="n">
        <f aca="false">IF(AC6247,IF(01_因子設定!$B$13="最大化",AA6247-01_因子設定!$B$14,IF(01_因子設定!$B$13="最小化",01_因子設定!$B$15-AB6247,MIN(AA6247-01_因子設定!$B$14,01_因子設定!$B$15-AB6247))),-1E+030)</f>
        <v>-1.28034814958117</v>
      </c>
      <c r="AE6247" s="55" t="n">
        <f aca="false">IF(AC6247,IF(01_因子設定!$B$13="最大化",X6247,IF(01_因子設定!$B$13="最小化",-X6247,-ABS(X6247-01_因子設定!$B$16))),-1E+030)</f>
        <v>46.9041164108187</v>
      </c>
      <c r="AF6247" s="55" t="n">
        <f aca="false">AD6247+ROW()*0.000000001</f>
        <v>-1.28034190258117</v>
      </c>
      <c r="AG6247" s="55" t="n">
        <f aca="false">AE6247+ROW()*0.000000001</f>
        <v>46.9041226578187</v>
      </c>
    </row>
    <row r="6248" customFormat="false" ht="15" hidden="false" customHeight="false" outlineLevel="0" collapsed="false">
      <c r="A6248" s="0" t="n">
        <v>8</v>
      </c>
      <c r="B6248" s="0" t="n">
        <v>5</v>
      </c>
      <c r="C6248" s="0" t="n">
        <v>0</v>
      </c>
      <c r="D6248" s="0" t="n">
        <v>6</v>
      </c>
      <c r="E6248" s="0" t="n">
        <f aca="false">-1+A6248*0.25</f>
        <v>1</v>
      </c>
      <c r="F6248" s="0" t="n">
        <f aca="false">-1+B6248*0.25</f>
        <v>0.25</v>
      </c>
      <c r="G6248" s="0" t="n">
        <f aca="false">-1+C6248*0.25</f>
        <v>-1</v>
      </c>
      <c r="H6248" s="0" t="n">
        <f aca="false">-1+D6248*0.25</f>
        <v>0.5</v>
      </c>
      <c r="I6248" s="0" t="n">
        <f aca="false">1</f>
        <v>1</v>
      </c>
      <c r="J6248" s="0" t="n">
        <f aca="false">E6248</f>
        <v>1</v>
      </c>
      <c r="K6248" s="0" t="n">
        <f aca="false">F6248</f>
        <v>0.25</v>
      </c>
      <c r="L6248" s="0" t="n">
        <f aca="false">G6248</f>
        <v>-1</v>
      </c>
      <c r="M6248" s="0" t="n">
        <f aca="false">H6248</f>
        <v>0.5</v>
      </c>
      <c r="N6248" s="0" t="n">
        <f aca="false">E6248*F6248</f>
        <v>0.25</v>
      </c>
      <c r="O6248" s="0" t="n">
        <f aca="false">E6248*G6248</f>
        <v>-1</v>
      </c>
      <c r="P6248" s="0" t="n">
        <f aca="false">E6248*H6248</f>
        <v>0.5</v>
      </c>
      <c r="Q6248" s="0" t="n">
        <f aca="false">F6248*G6248</f>
        <v>-0.25</v>
      </c>
      <c r="R6248" s="0" t="n">
        <f aca="false">F6248*H6248</f>
        <v>0.125</v>
      </c>
      <c r="S6248" s="0" t="n">
        <f aca="false">G6248*H6248</f>
        <v>-0.5</v>
      </c>
      <c r="T6248" s="0" t="n">
        <f aca="false">E6248*E6248</f>
        <v>1</v>
      </c>
      <c r="U6248" s="0" t="n">
        <f aca="false">F6248*F6248</f>
        <v>0.0625</v>
      </c>
      <c r="V6248" s="0" t="n">
        <f aca="false">G6248*G6248</f>
        <v>1</v>
      </c>
      <c r="W6248" s="0" t="n">
        <f aca="false">H6248*H6248</f>
        <v>0.25</v>
      </c>
      <c r="X6248" s="0" t="n">
        <f aca="false">SUMPRODUCT(I6248:W6248,_XtX!$B$96:$P$96)</f>
        <v>46.8798885233919</v>
      </c>
      <c r="Y6248" s="0" t="n">
        <f aca="false">SUMPRODUCT(MMULT(I6248:W6248,_XtX!$B$78:$P$92),I6248:W6248)</f>
        <v>0.629174661915205</v>
      </c>
      <c r="Z6248" s="0" t="n">
        <f aca="false">04_回帰ANOVA!$K$19*04_回帰ANOVA!$K$14*SQRT(1+Y6248)</f>
        <v>1.66372758058297</v>
      </c>
      <c r="AA6248" s="0" t="n">
        <f aca="false">X6248-Z6248</f>
        <v>45.2161609428089</v>
      </c>
      <c r="AB6248" s="0" t="n">
        <f aca="false">X6248+Z6248</f>
        <v>48.5436161039748</v>
      </c>
      <c r="AC6248" s="54" t="b">
        <f aca="false">AND(E6248&gt;=01_因子設定!$L$5-0.000000001,E6248&lt;=01_因子設定!$M$5+0.000000001,F6248&gt;=01_因子設定!$L$6-0.000000001,F6248&lt;=01_因子設定!$M$6+0.000000001,G6248&gt;=01_因子設定!$L$7-0.000000001,G6248&lt;=01_因子設定!$M$7+0.000000001,H6248&gt;=01_因子設定!$L$8-0.000000001,H6248&lt;=01_因子設定!$M$8+0.000000001,IF(01_因子設定!$B$20="Box-Behnken",E6248^2+F6248^2+G6248^2+H6248^2&lt;=2+0.000000001,TRUE()))</f>
        <v>1</v>
      </c>
      <c r="AD6248" s="55" t="n">
        <f aca="false">IF(AC6248,IF(01_因子設定!$B$13="最大化",AA6248-01_因子設定!$B$14,IF(01_因子設定!$B$13="最小化",01_因子設定!$B$15-AB6248,MIN(AA6248-01_因子設定!$B$14,01_因子設定!$B$15-AB6248))),-1E+030)</f>
        <v>-1.28383905719112</v>
      </c>
      <c r="AE6248" s="55" t="n">
        <f aca="false">IF(AC6248,IF(01_因子設定!$B$13="最大化",X6248,IF(01_因子設定!$B$13="最小化",-X6248,-ABS(X6248-01_因子設定!$B$16))),-1E+030)</f>
        <v>46.8798885233919</v>
      </c>
      <c r="AF6248" s="55" t="n">
        <f aca="false">AD6248+ROW()*0.000000001</f>
        <v>-1.28383280919112</v>
      </c>
      <c r="AG6248" s="55" t="n">
        <f aca="false">AE6248+ROW()*0.000000001</f>
        <v>46.8798947713919</v>
      </c>
    </row>
    <row r="6249" customFormat="false" ht="15" hidden="false" customHeight="false" outlineLevel="0" collapsed="false">
      <c r="A6249" s="0" t="n">
        <v>8</v>
      </c>
      <c r="B6249" s="0" t="n">
        <v>5</v>
      </c>
      <c r="C6249" s="0" t="n">
        <v>0</v>
      </c>
      <c r="D6249" s="0" t="n">
        <v>7</v>
      </c>
      <c r="E6249" s="0" t="n">
        <f aca="false">-1+A6249*0.25</f>
        <v>1</v>
      </c>
      <c r="F6249" s="0" t="n">
        <f aca="false">-1+B6249*0.25</f>
        <v>0.25</v>
      </c>
      <c r="G6249" s="0" t="n">
        <f aca="false">-1+C6249*0.25</f>
        <v>-1</v>
      </c>
      <c r="H6249" s="0" t="n">
        <f aca="false">-1+D6249*0.25</f>
        <v>0.75</v>
      </c>
      <c r="I6249" s="0" t="n">
        <f aca="false">1</f>
        <v>1</v>
      </c>
      <c r="J6249" s="0" t="n">
        <f aca="false">E6249</f>
        <v>1</v>
      </c>
      <c r="K6249" s="0" t="n">
        <f aca="false">F6249</f>
        <v>0.25</v>
      </c>
      <c r="L6249" s="0" t="n">
        <f aca="false">G6249</f>
        <v>-1</v>
      </c>
      <c r="M6249" s="0" t="n">
        <f aca="false">H6249</f>
        <v>0.75</v>
      </c>
      <c r="N6249" s="0" t="n">
        <f aca="false">E6249*F6249</f>
        <v>0.25</v>
      </c>
      <c r="O6249" s="0" t="n">
        <f aca="false">E6249*G6249</f>
        <v>-1</v>
      </c>
      <c r="P6249" s="0" t="n">
        <f aca="false">E6249*H6249</f>
        <v>0.75</v>
      </c>
      <c r="Q6249" s="0" t="n">
        <f aca="false">F6249*G6249</f>
        <v>-0.25</v>
      </c>
      <c r="R6249" s="0" t="n">
        <f aca="false">F6249*H6249</f>
        <v>0.1875</v>
      </c>
      <c r="S6249" s="0" t="n">
        <f aca="false">G6249*H6249</f>
        <v>-0.75</v>
      </c>
      <c r="T6249" s="0" t="n">
        <f aca="false">E6249*E6249</f>
        <v>1</v>
      </c>
      <c r="U6249" s="0" t="n">
        <f aca="false">F6249*F6249</f>
        <v>0.0625</v>
      </c>
      <c r="V6249" s="0" t="n">
        <f aca="false">G6249*G6249</f>
        <v>1</v>
      </c>
      <c r="W6249" s="0" t="n">
        <f aca="false">H6249*H6249</f>
        <v>0.5625</v>
      </c>
      <c r="X6249" s="0" t="n">
        <f aca="false">SUMPRODUCT(I6249:W6249,_XtX!$B$96:$P$96)</f>
        <v>46.8078536184211</v>
      </c>
      <c r="Y6249" s="0" t="n">
        <f aca="false">SUMPRODUCT(MMULT(I6249:W6249,_XtX!$B$78:$P$92),I6249:W6249)</f>
        <v>0.621372155975877</v>
      </c>
      <c r="Z6249" s="0" t="n">
        <f aca="false">04_回帰ANOVA!$K$19*04_回帰ANOVA!$K$14*SQRT(1+Y6249)</f>
        <v>1.65973880499872</v>
      </c>
      <c r="AA6249" s="0" t="n">
        <f aca="false">X6249-Z6249</f>
        <v>45.1481148134224</v>
      </c>
      <c r="AB6249" s="0" t="n">
        <f aca="false">X6249+Z6249</f>
        <v>48.4675924234198</v>
      </c>
      <c r="AC6249" s="54" t="b">
        <f aca="false">AND(E6249&gt;=01_因子設定!$L$5-0.000000001,E6249&lt;=01_因子設定!$M$5+0.000000001,F6249&gt;=01_因子設定!$L$6-0.000000001,F6249&lt;=01_因子設定!$M$6+0.000000001,G6249&gt;=01_因子設定!$L$7-0.000000001,G6249&lt;=01_因子設定!$M$7+0.000000001,H6249&gt;=01_因子設定!$L$8-0.000000001,H6249&lt;=01_因子設定!$M$8+0.000000001,IF(01_因子設定!$B$20="Box-Behnken",E6249^2+F6249^2+G6249^2+H6249^2&lt;=2+0.000000001,TRUE()))</f>
        <v>1</v>
      </c>
      <c r="AD6249" s="55" t="n">
        <f aca="false">IF(AC6249,IF(01_因子設定!$B$13="最大化",AA6249-01_因子設定!$B$14,IF(01_因子設定!$B$13="最小化",01_因子設定!$B$15-AB6249,MIN(AA6249-01_因子設定!$B$14,01_因子設定!$B$15-AB6249))),-1E+030)</f>
        <v>-1.35188518657762</v>
      </c>
      <c r="AE6249" s="55" t="n">
        <f aca="false">IF(AC6249,IF(01_因子設定!$B$13="最大化",X6249,IF(01_因子設定!$B$13="最小化",-X6249,-ABS(X6249-01_因子設定!$B$16))),-1E+030)</f>
        <v>46.8078536184211</v>
      </c>
      <c r="AF6249" s="55" t="n">
        <f aca="false">AD6249+ROW()*0.000000001</f>
        <v>-1.35187893757762</v>
      </c>
      <c r="AG6249" s="55" t="n">
        <f aca="false">AE6249+ROW()*0.000000001</f>
        <v>46.8078598674211</v>
      </c>
    </row>
    <row r="6250" customFormat="false" ht="15" hidden="false" customHeight="false" outlineLevel="0" collapsed="false">
      <c r="A6250" s="0" t="n">
        <v>8</v>
      </c>
      <c r="B6250" s="0" t="n">
        <v>5</v>
      </c>
      <c r="C6250" s="0" t="n">
        <v>0</v>
      </c>
      <c r="D6250" s="0" t="n">
        <v>8</v>
      </c>
      <c r="E6250" s="0" t="n">
        <f aca="false">-1+A6250*0.25</f>
        <v>1</v>
      </c>
      <c r="F6250" s="0" t="n">
        <f aca="false">-1+B6250*0.25</f>
        <v>0.25</v>
      </c>
      <c r="G6250" s="0" t="n">
        <f aca="false">-1+C6250*0.25</f>
        <v>-1</v>
      </c>
      <c r="H6250" s="0" t="n">
        <f aca="false">-1+D6250*0.25</f>
        <v>1</v>
      </c>
      <c r="I6250" s="0" t="n">
        <f aca="false">1</f>
        <v>1</v>
      </c>
      <c r="J6250" s="0" t="n">
        <f aca="false">E6250</f>
        <v>1</v>
      </c>
      <c r="K6250" s="0" t="n">
        <f aca="false">F6250</f>
        <v>0.25</v>
      </c>
      <c r="L6250" s="0" t="n">
        <f aca="false">G6250</f>
        <v>-1</v>
      </c>
      <c r="M6250" s="0" t="n">
        <f aca="false">H6250</f>
        <v>1</v>
      </c>
      <c r="N6250" s="0" t="n">
        <f aca="false">E6250*F6250</f>
        <v>0.25</v>
      </c>
      <c r="O6250" s="0" t="n">
        <f aca="false">E6250*G6250</f>
        <v>-1</v>
      </c>
      <c r="P6250" s="0" t="n">
        <f aca="false">E6250*H6250</f>
        <v>1</v>
      </c>
      <c r="Q6250" s="0" t="n">
        <f aca="false">F6250*G6250</f>
        <v>-0.25</v>
      </c>
      <c r="R6250" s="0" t="n">
        <f aca="false">F6250*H6250</f>
        <v>0.25</v>
      </c>
      <c r="S6250" s="0" t="n">
        <f aca="false">G6250*H6250</f>
        <v>-1</v>
      </c>
      <c r="T6250" s="0" t="n">
        <f aca="false">E6250*E6250</f>
        <v>1</v>
      </c>
      <c r="U6250" s="0" t="n">
        <f aca="false">F6250*F6250</f>
        <v>0.0625</v>
      </c>
      <c r="V6250" s="0" t="n">
        <f aca="false">G6250*G6250</f>
        <v>1</v>
      </c>
      <c r="W6250" s="0" t="n">
        <f aca="false">H6250*H6250</f>
        <v>1</v>
      </c>
      <c r="X6250" s="0" t="n">
        <f aca="false">SUMPRODUCT(I6250:W6250,_XtX!$B$96:$P$96)</f>
        <v>46.6880116959065</v>
      </c>
      <c r="Y6250" s="0" t="n">
        <f aca="false">SUMPRODUCT(MMULT(I6250:W6250,_XtX!$B$78:$P$92),I6250:W6250)</f>
        <v>0.737093384502924</v>
      </c>
      <c r="Z6250" s="0" t="n">
        <f aca="false">04_回帰ANOVA!$K$19*04_回帰ANOVA!$K$14*SQRT(1+Y6250)</f>
        <v>1.71794784853551</v>
      </c>
      <c r="AA6250" s="0" t="n">
        <f aca="false">X6250-Z6250</f>
        <v>44.970063847371</v>
      </c>
      <c r="AB6250" s="0" t="n">
        <f aca="false">X6250+Z6250</f>
        <v>48.405959544442</v>
      </c>
      <c r="AC6250" s="54" t="b">
        <f aca="false">AND(E6250&gt;=01_因子設定!$L$5-0.000000001,E6250&lt;=01_因子設定!$M$5+0.000000001,F6250&gt;=01_因子設定!$L$6-0.000000001,F6250&lt;=01_因子設定!$M$6+0.000000001,G6250&gt;=01_因子設定!$L$7-0.000000001,G6250&lt;=01_因子設定!$M$7+0.000000001,H6250&gt;=01_因子設定!$L$8-0.000000001,H6250&lt;=01_因子設定!$M$8+0.000000001,IF(01_因子設定!$B$20="Box-Behnken",E6250^2+F6250^2+G6250^2+H6250^2&lt;=2+0.000000001,TRUE()))</f>
        <v>1</v>
      </c>
      <c r="AD6250" s="55" t="n">
        <f aca="false">IF(AC6250,IF(01_因子設定!$B$13="最大化",AA6250-01_因子設定!$B$14,IF(01_因子設定!$B$13="最小化",01_因子設定!$B$15-AB6250,MIN(AA6250-01_因子設定!$B$14,01_因子設定!$B$15-AB6250))),-1E+030)</f>
        <v>-1.52993615262901</v>
      </c>
      <c r="AE6250" s="55" t="n">
        <f aca="false">IF(AC6250,IF(01_因子設定!$B$13="最大化",X6250,IF(01_因子設定!$B$13="最小化",-X6250,-ABS(X6250-01_因子設定!$B$16))),-1E+030)</f>
        <v>46.6880116959065</v>
      </c>
      <c r="AF6250" s="55" t="n">
        <f aca="false">AD6250+ROW()*0.000000001</f>
        <v>-1.52992990262901</v>
      </c>
      <c r="AG6250" s="55" t="n">
        <f aca="false">AE6250+ROW()*0.000000001</f>
        <v>46.6880179459065</v>
      </c>
    </row>
    <row r="6251" customFormat="false" ht="15" hidden="false" customHeight="false" outlineLevel="0" collapsed="false">
      <c r="A6251" s="0" t="n">
        <v>8</v>
      </c>
      <c r="B6251" s="0" t="n">
        <v>5</v>
      </c>
      <c r="C6251" s="0" t="n">
        <v>1</v>
      </c>
      <c r="D6251" s="0" t="n">
        <v>0</v>
      </c>
      <c r="E6251" s="0" t="n">
        <f aca="false">-1+A6251*0.25</f>
        <v>1</v>
      </c>
      <c r="F6251" s="0" t="n">
        <f aca="false">-1+B6251*0.25</f>
        <v>0.25</v>
      </c>
      <c r="G6251" s="0" t="n">
        <f aca="false">-1+C6251*0.25</f>
        <v>-0.75</v>
      </c>
      <c r="H6251" s="0" t="n">
        <f aca="false">-1+D6251*0.25</f>
        <v>-1</v>
      </c>
      <c r="I6251" s="0" t="n">
        <f aca="false">1</f>
        <v>1</v>
      </c>
      <c r="J6251" s="0" t="n">
        <f aca="false">E6251</f>
        <v>1</v>
      </c>
      <c r="K6251" s="0" t="n">
        <f aca="false">F6251</f>
        <v>0.25</v>
      </c>
      <c r="L6251" s="0" t="n">
        <f aca="false">G6251</f>
        <v>-0.75</v>
      </c>
      <c r="M6251" s="0" t="n">
        <f aca="false">H6251</f>
        <v>-1</v>
      </c>
      <c r="N6251" s="0" t="n">
        <f aca="false">E6251*F6251</f>
        <v>0.25</v>
      </c>
      <c r="O6251" s="0" t="n">
        <f aca="false">E6251*G6251</f>
        <v>-0.75</v>
      </c>
      <c r="P6251" s="0" t="n">
        <f aca="false">E6251*H6251</f>
        <v>-1</v>
      </c>
      <c r="Q6251" s="0" t="n">
        <f aca="false">F6251*G6251</f>
        <v>-0.1875</v>
      </c>
      <c r="R6251" s="0" t="n">
        <f aca="false">F6251*H6251</f>
        <v>-0.25</v>
      </c>
      <c r="S6251" s="0" t="n">
        <f aca="false">G6251*H6251</f>
        <v>0.75</v>
      </c>
      <c r="T6251" s="0" t="n">
        <f aca="false">E6251*E6251</f>
        <v>1</v>
      </c>
      <c r="U6251" s="0" t="n">
        <f aca="false">F6251*F6251</f>
        <v>0.0625</v>
      </c>
      <c r="V6251" s="0" t="n">
        <f aca="false">G6251*G6251</f>
        <v>0.5625</v>
      </c>
      <c r="W6251" s="0" t="n">
        <f aca="false">H6251*H6251</f>
        <v>1</v>
      </c>
      <c r="X6251" s="0" t="n">
        <f aca="false">SUMPRODUCT(I6251:W6251,_XtX!$B$96:$P$96)</f>
        <v>46.6377147295322</v>
      </c>
      <c r="Y6251" s="0" t="n">
        <f aca="false">SUMPRODUCT(MMULT(I6251:W6251,_XtX!$B$78:$P$92),I6251:W6251)</f>
        <v>0.621372155975877</v>
      </c>
      <c r="Z6251" s="0" t="n">
        <f aca="false">04_回帰ANOVA!$K$19*04_回帰ANOVA!$K$14*SQRT(1+Y6251)</f>
        <v>1.65973880499872</v>
      </c>
      <c r="AA6251" s="0" t="n">
        <f aca="false">X6251-Z6251</f>
        <v>44.9779759245335</v>
      </c>
      <c r="AB6251" s="0" t="n">
        <f aca="false">X6251+Z6251</f>
        <v>48.2974535345309</v>
      </c>
      <c r="AC6251" s="54" t="b">
        <f aca="false">AND(E6251&gt;=01_因子設定!$L$5-0.000000001,E6251&lt;=01_因子設定!$M$5+0.000000001,F6251&gt;=01_因子設定!$L$6-0.000000001,F6251&lt;=01_因子設定!$M$6+0.000000001,G6251&gt;=01_因子設定!$L$7-0.000000001,G6251&lt;=01_因子設定!$M$7+0.000000001,H6251&gt;=01_因子設定!$L$8-0.000000001,H6251&lt;=01_因子設定!$M$8+0.000000001,IF(01_因子設定!$B$20="Box-Behnken",E6251^2+F6251^2+G6251^2+H6251^2&lt;=2+0.000000001,TRUE()))</f>
        <v>1</v>
      </c>
      <c r="AD6251" s="55" t="n">
        <f aca="false">IF(AC6251,IF(01_因子設定!$B$13="最大化",AA6251-01_因子設定!$B$14,IF(01_因子設定!$B$13="最小化",01_因子設定!$B$15-AB6251,MIN(AA6251-01_因子設定!$B$14,01_因子設定!$B$15-AB6251))),-1E+030)</f>
        <v>-1.52202407546649</v>
      </c>
      <c r="AE6251" s="55" t="n">
        <f aca="false">IF(AC6251,IF(01_因子設定!$B$13="最大化",X6251,IF(01_因子設定!$B$13="最小化",-X6251,-ABS(X6251-01_因子設定!$B$16))),-1E+030)</f>
        <v>46.6377147295322</v>
      </c>
      <c r="AF6251" s="55" t="n">
        <f aca="false">AD6251+ROW()*0.000000001</f>
        <v>-1.52201782446649</v>
      </c>
      <c r="AG6251" s="55" t="n">
        <f aca="false">AE6251+ROW()*0.000000001</f>
        <v>46.6377209805322</v>
      </c>
    </row>
    <row r="6252" customFormat="false" ht="15" hidden="false" customHeight="false" outlineLevel="0" collapsed="false">
      <c r="A6252" s="0" t="n">
        <v>8</v>
      </c>
      <c r="B6252" s="0" t="n">
        <v>5</v>
      </c>
      <c r="C6252" s="0" t="n">
        <v>1</v>
      </c>
      <c r="D6252" s="0" t="n">
        <v>1</v>
      </c>
      <c r="E6252" s="0" t="n">
        <f aca="false">-1+A6252*0.25</f>
        <v>1</v>
      </c>
      <c r="F6252" s="0" t="n">
        <f aca="false">-1+B6252*0.25</f>
        <v>0.25</v>
      </c>
      <c r="G6252" s="0" t="n">
        <f aca="false">-1+C6252*0.25</f>
        <v>-0.75</v>
      </c>
      <c r="H6252" s="0" t="n">
        <f aca="false">-1+D6252*0.25</f>
        <v>-0.75</v>
      </c>
      <c r="I6252" s="0" t="n">
        <f aca="false">1</f>
        <v>1</v>
      </c>
      <c r="J6252" s="0" t="n">
        <f aca="false">E6252</f>
        <v>1</v>
      </c>
      <c r="K6252" s="0" t="n">
        <f aca="false">F6252</f>
        <v>0.25</v>
      </c>
      <c r="L6252" s="0" t="n">
        <f aca="false">G6252</f>
        <v>-0.75</v>
      </c>
      <c r="M6252" s="0" t="n">
        <f aca="false">H6252</f>
        <v>-0.75</v>
      </c>
      <c r="N6252" s="0" t="n">
        <f aca="false">E6252*F6252</f>
        <v>0.25</v>
      </c>
      <c r="O6252" s="0" t="n">
        <f aca="false">E6252*G6252</f>
        <v>-0.75</v>
      </c>
      <c r="P6252" s="0" t="n">
        <f aca="false">E6252*H6252</f>
        <v>-0.75</v>
      </c>
      <c r="Q6252" s="0" t="n">
        <f aca="false">F6252*G6252</f>
        <v>-0.1875</v>
      </c>
      <c r="R6252" s="0" t="n">
        <f aca="false">F6252*H6252</f>
        <v>-0.1875</v>
      </c>
      <c r="S6252" s="0" t="n">
        <f aca="false">G6252*H6252</f>
        <v>0.5625</v>
      </c>
      <c r="T6252" s="0" t="n">
        <f aca="false">E6252*E6252</f>
        <v>1</v>
      </c>
      <c r="U6252" s="0" t="n">
        <f aca="false">F6252*F6252</f>
        <v>0.0625</v>
      </c>
      <c r="V6252" s="0" t="n">
        <f aca="false">G6252*G6252</f>
        <v>0.5625</v>
      </c>
      <c r="W6252" s="0" t="n">
        <f aca="false">H6252*H6252</f>
        <v>0.5625</v>
      </c>
      <c r="X6252" s="0" t="n">
        <f aca="false">SUMPRODUCT(I6252:W6252,_XtX!$B$96:$P$96)</f>
        <v>46.8704906798246</v>
      </c>
      <c r="Y6252" s="0" t="n">
        <f aca="false">SUMPRODUCT(MMULT(I6252:W6252,_XtX!$B$78:$P$92),I6252:W6252)</f>
        <v>0.473959761056287</v>
      </c>
      <c r="Z6252" s="0" t="n">
        <f aca="false">04_回帰ANOVA!$K$19*04_回帰ANOVA!$K$14*SQRT(1+Y6252)</f>
        <v>1.58249084588329</v>
      </c>
      <c r="AA6252" s="0" t="n">
        <f aca="false">X6252-Z6252</f>
        <v>45.2879998339413</v>
      </c>
      <c r="AB6252" s="0" t="n">
        <f aca="false">X6252+Z6252</f>
        <v>48.4529815257079</v>
      </c>
      <c r="AC6252" s="54" t="b">
        <f aca="false">AND(E6252&gt;=01_因子設定!$L$5-0.000000001,E6252&lt;=01_因子設定!$M$5+0.000000001,F6252&gt;=01_因子設定!$L$6-0.000000001,F6252&lt;=01_因子設定!$M$6+0.000000001,G6252&gt;=01_因子設定!$L$7-0.000000001,G6252&lt;=01_因子設定!$M$7+0.000000001,H6252&gt;=01_因子設定!$L$8-0.000000001,H6252&lt;=01_因子設定!$M$8+0.000000001,IF(01_因子設定!$B$20="Box-Behnken",E6252^2+F6252^2+G6252^2+H6252^2&lt;=2+0.000000001,TRUE()))</f>
        <v>1</v>
      </c>
      <c r="AD6252" s="55" t="n">
        <f aca="false">IF(AC6252,IF(01_因子設定!$B$13="最大化",AA6252-01_因子設定!$B$14,IF(01_因子設定!$B$13="最小化",01_因子設定!$B$15-AB6252,MIN(AA6252-01_因子設定!$B$14,01_因子設定!$B$15-AB6252))),-1E+030)</f>
        <v>-1.21200016605867</v>
      </c>
      <c r="AE6252" s="55" t="n">
        <f aca="false">IF(AC6252,IF(01_因子設定!$B$13="最大化",X6252,IF(01_因子設定!$B$13="最小化",-X6252,-ABS(X6252-01_因子設定!$B$16))),-1E+030)</f>
        <v>46.8704906798246</v>
      </c>
      <c r="AF6252" s="55" t="n">
        <f aca="false">AD6252+ROW()*0.000000001</f>
        <v>-1.21199391405867</v>
      </c>
      <c r="AG6252" s="55" t="n">
        <f aca="false">AE6252+ROW()*0.000000001</f>
        <v>46.8704969318246</v>
      </c>
    </row>
    <row r="6253" customFormat="false" ht="15" hidden="false" customHeight="false" outlineLevel="0" collapsed="false">
      <c r="A6253" s="0" t="n">
        <v>8</v>
      </c>
      <c r="B6253" s="0" t="n">
        <v>5</v>
      </c>
      <c r="C6253" s="0" t="n">
        <v>1</v>
      </c>
      <c r="D6253" s="0" t="n">
        <v>2</v>
      </c>
      <c r="E6253" s="0" t="n">
        <f aca="false">-1+A6253*0.25</f>
        <v>1</v>
      </c>
      <c r="F6253" s="0" t="n">
        <f aca="false">-1+B6253*0.25</f>
        <v>0.25</v>
      </c>
      <c r="G6253" s="0" t="n">
        <f aca="false">-1+C6253*0.25</f>
        <v>-0.75</v>
      </c>
      <c r="H6253" s="0" t="n">
        <f aca="false">-1+D6253*0.25</f>
        <v>-0.5</v>
      </c>
      <c r="I6253" s="0" t="n">
        <f aca="false">1</f>
        <v>1</v>
      </c>
      <c r="J6253" s="0" t="n">
        <f aca="false">E6253</f>
        <v>1</v>
      </c>
      <c r="K6253" s="0" t="n">
        <f aca="false">F6253</f>
        <v>0.25</v>
      </c>
      <c r="L6253" s="0" t="n">
        <f aca="false">G6253</f>
        <v>-0.75</v>
      </c>
      <c r="M6253" s="0" t="n">
        <f aca="false">H6253</f>
        <v>-0.5</v>
      </c>
      <c r="N6253" s="0" t="n">
        <f aca="false">E6253*F6253</f>
        <v>0.25</v>
      </c>
      <c r="O6253" s="0" t="n">
        <f aca="false">E6253*G6253</f>
        <v>-0.75</v>
      </c>
      <c r="P6253" s="0" t="n">
        <f aca="false">E6253*H6253</f>
        <v>-0.5</v>
      </c>
      <c r="Q6253" s="0" t="n">
        <f aca="false">F6253*G6253</f>
        <v>-0.1875</v>
      </c>
      <c r="R6253" s="0" t="n">
        <f aca="false">F6253*H6253</f>
        <v>-0.125</v>
      </c>
      <c r="S6253" s="0" t="n">
        <f aca="false">G6253*H6253</f>
        <v>0.375</v>
      </c>
      <c r="T6253" s="0" t="n">
        <f aca="false">E6253*E6253</f>
        <v>1</v>
      </c>
      <c r="U6253" s="0" t="n">
        <f aca="false">F6253*F6253</f>
        <v>0.0625</v>
      </c>
      <c r="V6253" s="0" t="n">
        <f aca="false">G6253*G6253</f>
        <v>0.5625</v>
      </c>
      <c r="W6253" s="0" t="n">
        <f aca="false">H6253*H6253</f>
        <v>0.25</v>
      </c>
      <c r="X6253" s="0" t="n">
        <f aca="false">SUMPRODUCT(I6253:W6253,_XtX!$B$96:$P$96)</f>
        <v>47.0554596125731</v>
      </c>
      <c r="Y6253" s="0" t="n">
        <f aca="false">SUMPRODUCT(MMULT(I6253:W6253,_XtX!$B$78:$P$92),I6253:W6253)</f>
        <v>0.459125719572369</v>
      </c>
      <c r="Z6253" s="0" t="n">
        <f aca="false">04_回帰ANOVA!$K$19*04_回帰ANOVA!$K$14*SQRT(1+Y6253)</f>
        <v>1.57450755575573</v>
      </c>
      <c r="AA6253" s="0" t="n">
        <f aca="false">X6253-Z6253</f>
        <v>45.4809520568174</v>
      </c>
      <c r="AB6253" s="0" t="n">
        <f aca="false">X6253+Z6253</f>
        <v>48.6299671683289</v>
      </c>
      <c r="AC6253" s="54" t="b">
        <f aca="false">AND(E6253&gt;=01_因子設定!$L$5-0.000000001,E6253&lt;=01_因子設定!$M$5+0.000000001,F6253&gt;=01_因子設定!$L$6-0.000000001,F6253&lt;=01_因子設定!$M$6+0.000000001,G6253&gt;=01_因子設定!$L$7-0.000000001,G6253&lt;=01_因子設定!$M$7+0.000000001,H6253&gt;=01_因子設定!$L$8-0.000000001,H6253&lt;=01_因子設定!$M$8+0.000000001,IF(01_因子設定!$B$20="Box-Behnken",E6253^2+F6253^2+G6253^2+H6253^2&lt;=2+0.000000001,TRUE()))</f>
        <v>1</v>
      </c>
      <c r="AD6253" s="55" t="n">
        <f aca="false">IF(AC6253,IF(01_因子設定!$B$13="最大化",AA6253-01_因子設定!$B$14,IF(01_因子設定!$B$13="最小化",01_因子設定!$B$15-AB6253,MIN(AA6253-01_因子設定!$B$14,01_因子設定!$B$15-AB6253))),-1E+030)</f>
        <v>-1.01904794318259</v>
      </c>
      <c r="AE6253" s="55" t="n">
        <f aca="false">IF(AC6253,IF(01_因子設定!$B$13="最大化",X6253,IF(01_因子設定!$B$13="最小化",-X6253,-ABS(X6253-01_因子設定!$B$16))),-1E+030)</f>
        <v>47.0554596125731</v>
      </c>
      <c r="AF6253" s="55" t="n">
        <f aca="false">AD6253+ROW()*0.000000001</f>
        <v>-1.01904169018259</v>
      </c>
      <c r="AG6253" s="55" t="n">
        <f aca="false">AE6253+ROW()*0.000000001</f>
        <v>47.0554658655731</v>
      </c>
    </row>
    <row r="6254" customFormat="false" ht="15" hidden="false" customHeight="false" outlineLevel="0" collapsed="false">
      <c r="A6254" s="0" t="n">
        <v>8</v>
      </c>
      <c r="B6254" s="0" t="n">
        <v>5</v>
      </c>
      <c r="C6254" s="0" t="n">
        <v>1</v>
      </c>
      <c r="D6254" s="0" t="n">
        <v>3</v>
      </c>
      <c r="E6254" s="0" t="n">
        <f aca="false">-1+A6254*0.25</f>
        <v>1</v>
      </c>
      <c r="F6254" s="0" t="n">
        <f aca="false">-1+B6254*0.25</f>
        <v>0.25</v>
      </c>
      <c r="G6254" s="0" t="n">
        <f aca="false">-1+C6254*0.25</f>
        <v>-0.75</v>
      </c>
      <c r="H6254" s="0" t="n">
        <f aca="false">-1+D6254*0.25</f>
        <v>-0.25</v>
      </c>
      <c r="I6254" s="0" t="n">
        <f aca="false">1</f>
        <v>1</v>
      </c>
      <c r="J6254" s="0" t="n">
        <f aca="false">E6254</f>
        <v>1</v>
      </c>
      <c r="K6254" s="0" t="n">
        <f aca="false">F6254</f>
        <v>0.25</v>
      </c>
      <c r="L6254" s="0" t="n">
        <f aca="false">G6254</f>
        <v>-0.75</v>
      </c>
      <c r="M6254" s="0" t="n">
        <f aca="false">H6254</f>
        <v>-0.25</v>
      </c>
      <c r="N6254" s="0" t="n">
        <f aca="false">E6254*F6254</f>
        <v>0.25</v>
      </c>
      <c r="O6254" s="0" t="n">
        <f aca="false">E6254*G6254</f>
        <v>-0.75</v>
      </c>
      <c r="P6254" s="0" t="n">
        <f aca="false">E6254*H6254</f>
        <v>-0.25</v>
      </c>
      <c r="Q6254" s="0" t="n">
        <f aca="false">F6254*G6254</f>
        <v>-0.1875</v>
      </c>
      <c r="R6254" s="0" t="n">
        <f aca="false">F6254*H6254</f>
        <v>-0.0625</v>
      </c>
      <c r="S6254" s="0" t="n">
        <f aca="false">G6254*H6254</f>
        <v>0.1875</v>
      </c>
      <c r="T6254" s="0" t="n">
        <f aca="false">E6254*E6254</f>
        <v>1</v>
      </c>
      <c r="U6254" s="0" t="n">
        <f aca="false">F6254*F6254</f>
        <v>0.0625</v>
      </c>
      <c r="V6254" s="0" t="n">
        <f aca="false">G6254*G6254</f>
        <v>0.5625</v>
      </c>
      <c r="W6254" s="0" t="n">
        <f aca="false">H6254*H6254</f>
        <v>0.0625</v>
      </c>
      <c r="X6254" s="0" t="n">
        <f aca="false">SUMPRODUCT(I6254:W6254,_XtX!$B$96:$P$96)</f>
        <v>47.1926215277778</v>
      </c>
      <c r="Y6254" s="0" t="n">
        <f aca="false">SUMPRODUCT(MMULT(I6254:W6254,_XtX!$B$78:$P$92),I6254:W6254)</f>
        <v>0.486409505208334</v>
      </c>
      <c r="Z6254" s="0" t="n">
        <f aca="false">04_回帰ANOVA!$K$19*04_回帰ANOVA!$K$14*SQRT(1+Y6254)</f>
        <v>1.58916001665498</v>
      </c>
      <c r="AA6254" s="0" t="n">
        <f aca="false">X6254-Z6254</f>
        <v>45.6034615111228</v>
      </c>
      <c r="AB6254" s="0" t="n">
        <f aca="false">X6254+Z6254</f>
        <v>48.7817815444328</v>
      </c>
      <c r="AC6254" s="54" t="b">
        <f aca="false">AND(E6254&gt;=01_因子設定!$L$5-0.000000001,E6254&lt;=01_因子設定!$M$5+0.000000001,F6254&gt;=01_因子設定!$L$6-0.000000001,F6254&lt;=01_因子設定!$M$6+0.000000001,G6254&gt;=01_因子設定!$L$7-0.000000001,G6254&lt;=01_因子設定!$M$7+0.000000001,H6254&gt;=01_因子設定!$L$8-0.000000001,H6254&lt;=01_因子設定!$M$8+0.000000001,IF(01_因子設定!$B$20="Box-Behnken",E6254^2+F6254^2+G6254^2+H6254^2&lt;=2+0.000000001,TRUE()))</f>
        <v>1</v>
      </c>
      <c r="AD6254" s="55" t="n">
        <f aca="false">IF(AC6254,IF(01_因子設定!$B$13="最大化",AA6254-01_因子設定!$B$14,IF(01_因子設定!$B$13="最小化",01_因子設定!$B$15-AB6254,MIN(AA6254-01_因子設定!$B$14,01_因子設定!$B$15-AB6254))),-1E+030)</f>
        <v>-0.89653848887717</v>
      </c>
      <c r="AE6254" s="55" t="n">
        <f aca="false">IF(AC6254,IF(01_因子設定!$B$13="最大化",X6254,IF(01_因子設定!$B$13="最小化",-X6254,-ABS(X6254-01_因子設定!$B$16))),-1E+030)</f>
        <v>47.1926215277778</v>
      </c>
      <c r="AF6254" s="55" t="n">
        <f aca="false">AD6254+ROW()*0.000000001</f>
        <v>-0.89653223487717</v>
      </c>
      <c r="AG6254" s="55" t="n">
        <f aca="false">AE6254+ROW()*0.000000001</f>
        <v>47.1926277817778</v>
      </c>
    </row>
    <row r="6255" customFormat="false" ht="15" hidden="false" customHeight="false" outlineLevel="0" collapsed="false">
      <c r="A6255" s="0" t="n">
        <v>8</v>
      </c>
      <c r="B6255" s="0" t="n">
        <v>5</v>
      </c>
      <c r="C6255" s="0" t="n">
        <v>1</v>
      </c>
      <c r="D6255" s="0" t="n">
        <v>4</v>
      </c>
      <c r="E6255" s="0" t="n">
        <f aca="false">-1+A6255*0.25</f>
        <v>1</v>
      </c>
      <c r="F6255" s="0" t="n">
        <f aca="false">-1+B6255*0.25</f>
        <v>0.25</v>
      </c>
      <c r="G6255" s="0" t="n">
        <f aca="false">-1+C6255*0.25</f>
        <v>-0.75</v>
      </c>
      <c r="H6255" s="0" t="n">
        <f aca="false">-1+D6255*0.25</f>
        <v>0</v>
      </c>
      <c r="I6255" s="0" t="n">
        <f aca="false">1</f>
        <v>1</v>
      </c>
      <c r="J6255" s="0" t="n">
        <f aca="false">E6255</f>
        <v>1</v>
      </c>
      <c r="K6255" s="0" t="n">
        <f aca="false">F6255</f>
        <v>0.25</v>
      </c>
      <c r="L6255" s="0" t="n">
        <f aca="false">G6255</f>
        <v>-0.75</v>
      </c>
      <c r="M6255" s="0" t="n">
        <f aca="false">H6255</f>
        <v>0</v>
      </c>
      <c r="N6255" s="0" t="n">
        <f aca="false">E6255*F6255</f>
        <v>0.25</v>
      </c>
      <c r="O6255" s="0" t="n">
        <f aca="false">E6255*G6255</f>
        <v>-0.75</v>
      </c>
      <c r="P6255" s="0" t="n">
        <f aca="false">E6255*H6255</f>
        <v>0</v>
      </c>
      <c r="Q6255" s="0" t="n">
        <f aca="false">F6255*G6255</f>
        <v>-0.1875</v>
      </c>
      <c r="R6255" s="0" t="n">
        <f aca="false">F6255*H6255</f>
        <v>0</v>
      </c>
      <c r="S6255" s="0" t="n">
        <f aca="false">G6255*H6255</f>
        <v>-0</v>
      </c>
      <c r="T6255" s="0" t="n">
        <f aca="false">E6255*E6255</f>
        <v>1</v>
      </c>
      <c r="U6255" s="0" t="n">
        <f aca="false">F6255*F6255</f>
        <v>0.0625</v>
      </c>
      <c r="V6255" s="0" t="n">
        <f aca="false">G6255*G6255</f>
        <v>0.5625</v>
      </c>
      <c r="W6255" s="0" t="n">
        <f aca="false">H6255*H6255</f>
        <v>0</v>
      </c>
      <c r="X6255" s="0" t="n">
        <f aca="false">SUMPRODUCT(I6255:W6255,_XtX!$B$96:$P$96)</f>
        <v>47.2819764254386</v>
      </c>
      <c r="Y6255" s="0" t="n">
        <f aca="false">SUMPRODUCT(MMULT(I6255:W6255,_XtX!$B$78:$P$92),I6255:W6255)</f>
        <v>0.501534802174708</v>
      </c>
      <c r="Z6255" s="0" t="n">
        <f aca="false">04_回帰ANOVA!$K$19*04_回帰ANOVA!$K$14*SQRT(1+Y6255)</f>
        <v>1.59722498091333</v>
      </c>
      <c r="AA6255" s="0" t="n">
        <f aca="false">X6255-Z6255</f>
        <v>45.6847514445253</v>
      </c>
      <c r="AB6255" s="0" t="n">
        <f aca="false">X6255+Z6255</f>
        <v>48.879201406352</v>
      </c>
      <c r="AC6255" s="54" t="b">
        <f aca="false">AND(E6255&gt;=01_因子設定!$L$5-0.000000001,E6255&lt;=01_因子設定!$M$5+0.000000001,F6255&gt;=01_因子設定!$L$6-0.000000001,F6255&lt;=01_因子設定!$M$6+0.000000001,G6255&gt;=01_因子設定!$L$7-0.000000001,G6255&lt;=01_因子設定!$M$7+0.000000001,H6255&gt;=01_因子設定!$L$8-0.000000001,H6255&lt;=01_因子設定!$M$8+0.000000001,IF(01_因子設定!$B$20="Box-Behnken",E6255^2+F6255^2+G6255^2+H6255^2&lt;=2+0.000000001,TRUE()))</f>
        <v>1</v>
      </c>
      <c r="AD6255" s="55" t="n">
        <f aca="false">IF(AC6255,IF(01_因子設定!$B$13="最大化",AA6255-01_因子設定!$B$14,IF(01_因子設定!$B$13="最小化",01_因子設定!$B$15-AB6255,MIN(AA6255-01_因子設定!$B$14,01_因子設定!$B$15-AB6255))),-1E+030)</f>
        <v>-0.81524855547471</v>
      </c>
      <c r="AE6255" s="55" t="n">
        <f aca="false">IF(AC6255,IF(01_因子設定!$B$13="最大化",X6255,IF(01_因子設定!$B$13="最小化",-X6255,-ABS(X6255-01_因子設定!$B$16))),-1E+030)</f>
        <v>47.2819764254386</v>
      </c>
      <c r="AF6255" s="55" t="n">
        <f aca="false">AD6255+ROW()*0.000000001</f>
        <v>-0.81524230047471</v>
      </c>
      <c r="AG6255" s="55" t="n">
        <f aca="false">AE6255+ROW()*0.000000001</f>
        <v>47.2819826804386</v>
      </c>
    </row>
    <row r="6256" customFormat="false" ht="15" hidden="false" customHeight="false" outlineLevel="0" collapsed="false">
      <c r="A6256" s="0" t="n">
        <v>8</v>
      </c>
      <c r="B6256" s="0" t="n">
        <v>5</v>
      </c>
      <c r="C6256" s="0" t="n">
        <v>1</v>
      </c>
      <c r="D6256" s="0" t="n">
        <v>5</v>
      </c>
      <c r="E6256" s="0" t="n">
        <f aca="false">-1+A6256*0.25</f>
        <v>1</v>
      </c>
      <c r="F6256" s="0" t="n">
        <f aca="false">-1+B6256*0.25</f>
        <v>0.25</v>
      </c>
      <c r="G6256" s="0" t="n">
        <f aca="false">-1+C6256*0.25</f>
        <v>-0.75</v>
      </c>
      <c r="H6256" s="0" t="n">
        <f aca="false">-1+D6256*0.25</f>
        <v>0.25</v>
      </c>
      <c r="I6256" s="0" t="n">
        <f aca="false">1</f>
        <v>1</v>
      </c>
      <c r="J6256" s="0" t="n">
        <f aca="false">E6256</f>
        <v>1</v>
      </c>
      <c r="K6256" s="0" t="n">
        <f aca="false">F6256</f>
        <v>0.25</v>
      </c>
      <c r="L6256" s="0" t="n">
        <f aca="false">G6256</f>
        <v>-0.75</v>
      </c>
      <c r="M6256" s="0" t="n">
        <f aca="false">H6256</f>
        <v>0.25</v>
      </c>
      <c r="N6256" s="0" t="n">
        <f aca="false">E6256*F6256</f>
        <v>0.25</v>
      </c>
      <c r="O6256" s="0" t="n">
        <f aca="false">E6256*G6256</f>
        <v>-0.75</v>
      </c>
      <c r="P6256" s="0" t="n">
        <f aca="false">E6256*H6256</f>
        <v>0.25</v>
      </c>
      <c r="Q6256" s="0" t="n">
        <f aca="false">F6256*G6256</f>
        <v>-0.1875</v>
      </c>
      <c r="R6256" s="0" t="n">
        <f aca="false">F6256*H6256</f>
        <v>0.0625</v>
      </c>
      <c r="S6256" s="0" t="n">
        <f aca="false">G6256*H6256</f>
        <v>-0.1875</v>
      </c>
      <c r="T6256" s="0" t="n">
        <f aca="false">E6256*E6256</f>
        <v>1</v>
      </c>
      <c r="U6256" s="0" t="n">
        <f aca="false">F6256*F6256</f>
        <v>0.0625</v>
      </c>
      <c r="V6256" s="0" t="n">
        <f aca="false">G6256*G6256</f>
        <v>0.5625</v>
      </c>
      <c r="W6256" s="0" t="n">
        <f aca="false">H6256*H6256</f>
        <v>0.0625</v>
      </c>
      <c r="X6256" s="0" t="n">
        <f aca="false">SUMPRODUCT(I6256:W6256,_XtX!$B$96:$P$96)</f>
        <v>47.3235243055556</v>
      </c>
      <c r="Y6256" s="0" t="n">
        <f aca="false">SUMPRODUCT(MMULT(I6256:W6256,_XtX!$B$78:$P$92),I6256:W6256)</f>
        <v>0.486409505208334</v>
      </c>
      <c r="Z6256" s="0" t="n">
        <f aca="false">04_回帰ANOVA!$K$19*04_回帰ANOVA!$K$14*SQRT(1+Y6256)</f>
        <v>1.58916001665498</v>
      </c>
      <c r="AA6256" s="0" t="n">
        <f aca="false">X6256-Z6256</f>
        <v>45.7343642889006</v>
      </c>
      <c r="AB6256" s="0" t="n">
        <f aca="false">X6256+Z6256</f>
        <v>48.9126843222106</v>
      </c>
      <c r="AC6256" s="54" t="b">
        <f aca="false">AND(E6256&gt;=01_因子設定!$L$5-0.000000001,E6256&lt;=01_因子設定!$M$5+0.000000001,F6256&gt;=01_因子設定!$L$6-0.000000001,F6256&lt;=01_因子設定!$M$6+0.000000001,G6256&gt;=01_因子設定!$L$7-0.000000001,G6256&lt;=01_因子設定!$M$7+0.000000001,H6256&gt;=01_因子設定!$L$8-0.000000001,H6256&lt;=01_因子設定!$M$8+0.000000001,IF(01_因子設定!$B$20="Box-Behnken",E6256^2+F6256^2+G6256^2+H6256^2&lt;=2+0.000000001,TRUE()))</f>
        <v>1</v>
      </c>
      <c r="AD6256" s="55" t="n">
        <f aca="false">IF(AC6256,IF(01_因子設定!$B$13="最大化",AA6256-01_因子設定!$B$14,IF(01_因子設定!$B$13="最小化",01_因子設定!$B$15-AB6256,MIN(AA6256-01_因子設定!$B$14,01_因子設定!$B$15-AB6256))),-1E+030)</f>
        <v>-0.765635711099392</v>
      </c>
      <c r="AE6256" s="55" t="n">
        <f aca="false">IF(AC6256,IF(01_因子設定!$B$13="最大化",X6256,IF(01_因子設定!$B$13="最小化",-X6256,-ABS(X6256-01_因子設定!$B$16))),-1E+030)</f>
        <v>47.3235243055556</v>
      </c>
      <c r="AF6256" s="55" t="n">
        <f aca="false">AD6256+ROW()*0.000000001</f>
        <v>-0.765629455099392</v>
      </c>
      <c r="AG6256" s="55" t="n">
        <f aca="false">AE6256+ROW()*0.000000001</f>
        <v>47.3235305615556</v>
      </c>
    </row>
    <row r="6257" customFormat="false" ht="15" hidden="false" customHeight="false" outlineLevel="0" collapsed="false">
      <c r="A6257" s="0" t="n">
        <v>8</v>
      </c>
      <c r="B6257" s="0" t="n">
        <v>5</v>
      </c>
      <c r="C6257" s="0" t="n">
        <v>1</v>
      </c>
      <c r="D6257" s="0" t="n">
        <v>6</v>
      </c>
      <c r="E6257" s="0" t="n">
        <f aca="false">-1+A6257*0.25</f>
        <v>1</v>
      </c>
      <c r="F6257" s="0" t="n">
        <f aca="false">-1+B6257*0.25</f>
        <v>0.25</v>
      </c>
      <c r="G6257" s="0" t="n">
        <f aca="false">-1+C6257*0.25</f>
        <v>-0.75</v>
      </c>
      <c r="H6257" s="0" t="n">
        <f aca="false">-1+D6257*0.25</f>
        <v>0.5</v>
      </c>
      <c r="I6257" s="0" t="n">
        <f aca="false">1</f>
        <v>1</v>
      </c>
      <c r="J6257" s="0" t="n">
        <f aca="false">E6257</f>
        <v>1</v>
      </c>
      <c r="K6257" s="0" t="n">
        <f aca="false">F6257</f>
        <v>0.25</v>
      </c>
      <c r="L6257" s="0" t="n">
        <f aca="false">G6257</f>
        <v>-0.75</v>
      </c>
      <c r="M6257" s="0" t="n">
        <f aca="false">H6257</f>
        <v>0.5</v>
      </c>
      <c r="N6257" s="0" t="n">
        <f aca="false">E6257*F6257</f>
        <v>0.25</v>
      </c>
      <c r="O6257" s="0" t="n">
        <f aca="false">E6257*G6257</f>
        <v>-0.75</v>
      </c>
      <c r="P6257" s="0" t="n">
        <f aca="false">E6257*H6257</f>
        <v>0.5</v>
      </c>
      <c r="Q6257" s="0" t="n">
        <f aca="false">F6257*G6257</f>
        <v>-0.1875</v>
      </c>
      <c r="R6257" s="0" t="n">
        <f aca="false">F6257*H6257</f>
        <v>0.125</v>
      </c>
      <c r="S6257" s="0" t="n">
        <f aca="false">G6257*H6257</f>
        <v>-0.375</v>
      </c>
      <c r="T6257" s="0" t="n">
        <f aca="false">E6257*E6257</f>
        <v>1</v>
      </c>
      <c r="U6257" s="0" t="n">
        <f aca="false">F6257*F6257</f>
        <v>0.0625</v>
      </c>
      <c r="V6257" s="0" t="n">
        <f aca="false">G6257*G6257</f>
        <v>0.5625</v>
      </c>
      <c r="W6257" s="0" t="n">
        <f aca="false">H6257*H6257</f>
        <v>0.25</v>
      </c>
      <c r="X6257" s="0" t="n">
        <f aca="false">SUMPRODUCT(I6257:W6257,_XtX!$B$96:$P$96)</f>
        <v>47.3172651681287</v>
      </c>
      <c r="Y6257" s="0" t="n">
        <f aca="false">SUMPRODUCT(MMULT(I6257:W6257,_XtX!$B$78:$P$92),I6257:W6257)</f>
        <v>0.459125719572369</v>
      </c>
      <c r="Z6257" s="0" t="n">
        <f aca="false">04_回帰ANOVA!$K$19*04_回帰ANOVA!$K$14*SQRT(1+Y6257)</f>
        <v>1.57450755575573</v>
      </c>
      <c r="AA6257" s="0" t="n">
        <f aca="false">X6257-Z6257</f>
        <v>45.742757612373</v>
      </c>
      <c r="AB6257" s="0" t="n">
        <f aca="false">X6257+Z6257</f>
        <v>48.8917727238844</v>
      </c>
      <c r="AC6257" s="54" t="b">
        <f aca="false">AND(E6257&gt;=01_因子設定!$L$5-0.000000001,E6257&lt;=01_因子設定!$M$5+0.000000001,F6257&gt;=01_因子設定!$L$6-0.000000001,F6257&lt;=01_因子設定!$M$6+0.000000001,G6257&gt;=01_因子設定!$L$7-0.000000001,G6257&lt;=01_因子設定!$M$7+0.000000001,H6257&gt;=01_因子設定!$L$8-0.000000001,H6257&lt;=01_因子設定!$M$8+0.000000001,IF(01_因子設定!$B$20="Box-Behnken",E6257^2+F6257^2+G6257^2+H6257^2&lt;=2+0.000000001,TRUE()))</f>
        <v>1</v>
      </c>
      <c r="AD6257" s="55" t="n">
        <f aca="false">IF(AC6257,IF(01_因子設定!$B$13="最大化",AA6257-01_因子設定!$B$14,IF(01_因子設定!$B$13="最小化",01_因子設定!$B$15-AB6257,MIN(AA6257-01_因子設定!$B$14,01_因子設定!$B$15-AB6257))),-1E+030)</f>
        <v>-0.757242387627038</v>
      </c>
      <c r="AE6257" s="55" t="n">
        <f aca="false">IF(AC6257,IF(01_因子設定!$B$13="最大化",X6257,IF(01_因子設定!$B$13="最小化",-X6257,-ABS(X6257-01_因子設定!$B$16))),-1E+030)</f>
        <v>47.3172651681287</v>
      </c>
      <c r="AF6257" s="55" t="n">
        <f aca="false">AD6257+ROW()*0.000000001</f>
        <v>-0.757236130627038</v>
      </c>
      <c r="AG6257" s="55" t="n">
        <f aca="false">AE6257+ROW()*0.000000001</f>
        <v>47.3172714251287</v>
      </c>
    </row>
    <row r="6258" customFormat="false" ht="15" hidden="false" customHeight="false" outlineLevel="0" collapsed="false">
      <c r="A6258" s="0" t="n">
        <v>8</v>
      </c>
      <c r="B6258" s="0" t="n">
        <v>5</v>
      </c>
      <c r="C6258" s="0" t="n">
        <v>1</v>
      </c>
      <c r="D6258" s="0" t="n">
        <v>7</v>
      </c>
      <c r="E6258" s="0" t="n">
        <f aca="false">-1+A6258*0.25</f>
        <v>1</v>
      </c>
      <c r="F6258" s="0" t="n">
        <f aca="false">-1+B6258*0.25</f>
        <v>0.25</v>
      </c>
      <c r="G6258" s="0" t="n">
        <f aca="false">-1+C6258*0.25</f>
        <v>-0.75</v>
      </c>
      <c r="H6258" s="0" t="n">
        <f aca="false">-1+D6258*0.25</f>
        <v>0.75</v>
      </c>
      <c r="I6258" s="0" t="n">
        <f aca="false">1</f>
        <v>1</v>
      </c>
      <c r="J6258" s="0" t="n">
        <f aca="false">E6258</f>
        <v>1</v>
      </c>
      <c r="K6258" s="0" t="n">
        <f aca="false">F6258</f>
        <v>0.25</v>
      </c>
      <c r="L6258" s="0" t="n">
        <f aca="false">G6258</f>
        <v>-0.75</v>
      </c>
      <c r="M6258" s="0" t="n">
        <f aca="false">H6258</f>
        <v>0.75</v>
      </c>
      <c r="N6258" s="0" t="n">
        <f aca="false">E6258*F6258</f>
        <v>0.25</v>
      </c>
      <c r="O6258" s="0" t="n">
        <f aca="false">E6258*G6258</f>
        <v>-0.75</v>
      </c>
      <c r="P6258" s="0" t="n">
        <f aca="false">E6258*H6258</f>
        <v>0.75</v>
      </c>
      <c r="Q6258" s="0" t="n">
        <f aca="false">F6258*G6258</f>
        <v>-0.1875</v>
      </c>
      <c r="R6258" s="0" t="n">
        <f aca="false">F6258*H6258</f>
        <v>0.1875</v>
      </c>
      <c r="S6258" s="0" t="n">
        <f aca="false">G6258*H6258</f>
        <v>-0.5625</v>
      </c>
      <c r="T6258" s="0" t="n">
        <f aca="false">E6258*E6258</f>
        <v>1</v>
      </c>
      <c r="U6258" s="0" t="n">
        <f aca="false">F6258*F6258</f>
        <v>0.0625</v>
      </c>
      <c r="V6258" s="0" t="n">
        <f aca="false">G6258*G6258</f>
        <v>0.5625</v>
      </c>
      <c r="W6258" s="0" t="n">
        <f aca="false">H6258*H6258</f>
        <v>0.5625</v>
      </c>
      <c r="X6258" s="0" t="n">
        <f aca="false">SUMPRODUCT(I6258:W6258,_XtX!$B$96:$P$96)</f>
        <v>47.2631990131579</v>
      </c>
      <c r="Y6258" s="0" t="n">
        <f aca="false">SUMPRODUCT(MMULT(I6258:W6258,_XtX!$B$78:$P$92),I6258:W6258)</f>
        <v>0.473959761056287</v>
      </c>
      <c r="Z6258" s="0" t="n">
        <f aca="false">04_回帰ANOVA!$K$19*04_回帰ANOVA!$K$14*SQRT(1+Y6258)</f>
        <v>1.58249084588329</v>
      </c>
      <c r="AA6258" s="0" t="n">
        <f aca="false">X6258-Z6258</f>
        <v>45.6807081672747</v>
      </c>
      <c r="AB6258" s="0" t="n">
        <f aca="false">X6258+Z6258</f>
        <v>48.8456898590412</v>
      </c>
      <c r="AC6258" s="54" t="b">
        <f aca="false">AND(E6258&gt;=01_因子設定!$L$5-0.000000001,E6258&lt;=01_因子設定!$M$5+0.000000001,F6258&gt;=01_因子設定!$L$6-0.000000001,F6258&lt;=01_因子設定!$M$6+0.000000001,G6258&gt;=01_因子設定!$L$7-0.000000001,G6258&lt;=01_因子設定!$M$7+0.000000001,H6258&gt;=01_因子設定!$L$8-0.000000001,H6258&lt;=01_因子設定!$M$8+0.000000001,IF(01_因子設定!$B$20="Box-Behnken",E6258^2+F6258^2+G6258^2+H6258^2&lt;=2+0.000000001,TRUE()))</f>
        <v>1</v>
      </c>
      <c r="AD6258" s="55" t="n">
        <f aca="false">IF(AC6258,IF(01_因子設定!$B$13="最大化",AA6258-01_因子設定!$B$14,IF(01_因子設定!$B$13="最小化",01_因子設定!$B$15-AB6258,MIN(AA6258-01_因子設定!$B$14,01_因子設定!$B$15-AB6258))),-1E+030)</f>
        <v>-0.819291832725341</v>
      </c>
      <c r="AE6258" s="55" t="n">
        <f aca="false">IF(AC6258,IF(01_因子設定!$B$13="最大化",X6258,IF(01_因子設定!$B$13="最小化",-X6258,-ABS(X6258-01_因子設定!$B$16))),-1E+030)</f>
        <v>47.2631990131579</v>
      </c>
      <c r="AF6258" s="55" t="n">
        <f aca="false">AD6258+ROW()*0.000000001</f>
        <v>-0.819285574725341</v>
      </c>
      <c r="AG6258" s="55" t="n">
        <f aca="false">AE6258+ROW()*0.000000001</f>
        <v>47.2632052711579</v>
      </c>
    </row>
    <row r="6259" customFormat="false" ht="15" hidden="false" customHeight="false" outlineLevel="0" collapsed="false">
      <c r="A6259" s="0" t="n">
        <v>8</v>
      </c>
      <c r="B6259" s="0" t="n">
        <v>5</v>
      </c>
      <c r="C6259" s="0" t="n">
        <v>1</v>
      </c>
      <c r="D6259" s="0" t="n">
        <v>8</v>
      </c>
      <c r="E6259" s="0" t="n">
        <f aca="false">-1+A6259*0.25</f>
        <v>1</v>
      </c>
      <c r="F6259" s="0" t="n">
        <f aca="false">-1+B6259*0.25</f>
        <v>0.25</v>
      </c>
      <c r="G6259" s="0" t="n">
        <f aca="false">-1+C6259*0.25</f>
        <v>-0.75</v>
      </c>
      <c r="H6259" s="0" t="n">
        <f aca="false">-1+D6259*0.25</f>
        <v>1</v>
      </c>
      <c r="I6259" s="0" t="n">
        <f aca="false">1</f>
        <v>1</v>
      </c>
      <c r="J6259" s="0" t="n">
        <f aca="false">E6259</f>
        <v>1</v>
      </c>
      <c r="K6259" s="0" t="n">
        <f aca="false">F6259</f>
        <v>0.25</v>
      </c>
      <c r="L6259" s="0" t="n">
        <f aca="false">G6259</f>
        <v>-0.75</v>
      </c>
      <c r="M6259" s="0" t="n">
        <f aca="false">H6259</f>
        <v>1</v>
      </c>
      <c r="N6259" s="0" t="n">
        <f aca="false">E6259*F6259</f>
        <v>0.25</v>
      </c>
      <c r="O6259" s="0" t="n">
        <f aca="false">E6259*G6259</f>
        <v>-0.75</v>
      </c>
      <c r="P6259" s="0" t="n">
        <f aca="false">E6259*H6259</f>
        <v>1</v>
      </c>
      <c r="Q6259" s="0" t="n">
        <f aca="false">F6259*G6259</f>
        <v>-0.1875</v>
      </c>
      <c r="R6259" s="0" t="n">
        <f aca="false">F6259*H6259</f>
        <v>0.25</v>
      </c>
      <c r="S6259" s="0" t="n">
        <f aca="false">G6259*H6259</f>
        <v>-0.75</v>
      </c>
      <c r="T6259" s="0" t="n">
        <f aca="false">E6259*E6259</f>
        <v>1</v>
      </c>
      <c r="U6259" s="0" t="n">
        <f aca="false">F6259*F6259</f>
        <v>0.0625</v>
      </c>
      <c r="V6259" s="0" t="n">
        <f aca="false">G6259*G6259</f>
        <v>0.5625</v>
      </c>
      <c r="W6259" s="0" t="n">
        <f aca="false">H6259*H6259</f>
        <v>1</v>
      </c>
      <c r="X6259" s="0" t="n">
        <f aca="false">SUMPRODUCT(I6259:W6259,_XtX!$B$96:$P$96)</f>
        <v>47.1613258406433</v>
      </c>
      <c r="Y6259" s="0" t="n">
        <f aca="false">SUMPRODUCT(MMULT(I6259:W6259,_XtX!$B$78:$P$92),I6259:W6259)</f>
        <v>0.621372155975877</v>
      </c>
      <c r="Z6259" s="0" t="n">
        <f aca="false">04_回帰ANOVA!$K$19*04_回帰ANOVA!$K$14*SQRT(1+Y6259)</f>
        <v>1.65973880499872</v>
      </c>
      <c r="AA6259" s="0" t="n">
        <f aca="false">X6259-Z6259</f>
        <v>45.5015870356446</v>
      </c>
      <c r="AB6259" s="0" t="n">
        <f aca="false">X6259+Z6259</f>
        <v>48.8210646456421</v>
      </c>
      <c r="AC6259" s="54" t="b">
        <f aca="false">AND(E6259&gt;=01_因子設定!$L$5-0.000000001,E6259&lt;=01_因子設定!$M$5+0.000000001,F6259&gt;=01_因子設定!$L$6-0.000000001,F6259&lt;=01_因子設定!$M$6+0.000000001,G6259&gt;=01_因子設定!$L$7-0.000000001,G6259&lt;=01_因子設定!$M$7+0.000000001,H6259&gt;=01_因子設定!$L$8-0.000000001,H6259&lt;=01_因子設定!$M$8+0.000000001,IF(01_因子設定!$B$20="Box-Behnken",E6259^2+F6259^2+G6259^2+H6259^2&lt;=2+0.000000001,TRUE()))</f>
        <v>1</v>
      </c>
      <c r="AD6259" s="55" t="n">
        <f aca="false">IF(AC6259,IF(01_因子設定!$B$13="最大化",AA6259-01_因子設定!$B$14,IF(01_因子設定!$B$13="最小化",01_因子設定!$B$15-AB6259,MIN(AA6259-01_因子設定!$B$14,01_因子設定!$B$15-AB6259))),-1E+030)</f>
        <v>-0.998412964355381</v>
      </c>
      <c r="AE6259" s="55" t="n">
        <f aca="false">IF(AC6259,IF(01_因子設定!$B$13="最大化",X6259,IF(01_因子設定!$B$13="最小化",-X6259,-ABS(X6259-01_因子設定!$B$16))),-1E+030)</f>
        <v>47.1613258406433</v>
      </c>
      <c r="AF6259" s="55" t="n">
        <f aca="false">AD6259+ROW()*0.000000001</f>
        <v>-0.998406705355382</v>
      </c>
      <c r="AG6259" s="55" t="n">
        <f aca="false">AE6259+ROW()*0.000000001</f>
        <v>47.1613320996433</v>
      </c>
    </row>
    <row r="6260" customFormat="false" ht="15" hidden="false" customHeight="false" outlineLevel="0" collapsed="false">
      <c r="A6260" s="0" t="n">
        <v>8</v>
      </c>
      <c r="B6260" s="0" t="n">
        <v>5</v>
      </c>
      <c r="C6260" s="0" t="n">
        <v>2</v>
      </c>
      <c r="D6260" s="0" t="n">
        <v>0</v>
      </c>
      <c r="E6260" s="0" t="n">
        <f aca="false">-1+A6260*0.25</f>
        <v>1</v>
      </c>
      <c r="F6260" s="0" t="n">
        <f aca="false">-1+B6260*0.25</f>
        <v>0.25</v>
      </c>
      <c r="G6260" s="0" t="n">
        <f aca="false">-1+C6260*0.25</f>
        <v>-0.5</v>
      </c>
      <c r="H6260" s="0" t="n">
        <f aca="false">-1+D6260*0.25</f>
        <v>-1</v>
      </c>
      <c r="I6260" s="0" t="n">
        <f aca="false">1</f>
        <v>1</v>
      </c>
      <c r="J6260" s="0" t="n">
        <f aca="false">E6260</f>
        <v>1</v>
      </c>
      <c r="K6260" s="0" t="n">
        <f aca="false">F6260</f>
        <v>0.25</v>
      </c>
      <c r="L6260" s="0" t="n">
        <f aca="false">G6260</f>
        <v>-0.5</v>
      </c>
      <c r="M6260" s="0" t="n">
        <f aca="false">H6260</f>
        <v>-1</v>
      </c>
      <c r="N6260" s="0" t="n">
        <f aca="false">E6260*F6260</f>
        <v>0.25</v>
      </c>
      <c r="O6260" s="0" t="n">
        <f aca="false">E6260*G6260</f>
        <v>-0.5</v>
      </c>
      <c r="P6260" s="0" t="n">
        <f aca="false">E6260*H6260</f>
        <v>-1</v>
      </c>
      <c r="Q6260" s="0" t="n">
        <f aca="false">F6260*G6260</f>
        <v>-0.125</v>
      </c>
      <c r="R6260" s="0" t="n">
        <f aca="false">F6260*H6260</f>
        <v>-0.25</v>
      </c>
      <c r="S6260" s="0" t="n">
        <f aca="false">G6260*H6260</f>
        <v>0.5</v>
      </c>
      <c r="T6260" s="0" t="n">
        <f aca="false">E6260*E6260</f>
        <v>1</v>
      </c>
      <c r="U6260" s="0" t="n">
        <f aca="false">F6260*F6260</f>
        <v>0.0625</v>
      </c>
      <c r="V6260" s="0" t="n">
        <f aca="false">G6260*G6260</f>
        <v>0.25</v>
      </c>
      <c r="W6260" s="0" t="n">
        <f aca="false">H6260*H6260</f>
        <v>1</v>
      </c>
      <c r="X6260" s="0" t="n">
        <f aca="false">SUMPRODUCT(I6260:W6260,_XtX!$B$96:$P$96)</f>
        <v>46.8819718567252</v>
      </c>
      <c r="Y6260" s="0" t="n">
        <f aca="false">SUMPRODUCT(MMULT(I6260:W6260,_XtX!$B$78:$P$92),I6260:W6260)</f>
        <v>0.629174661915205</v>
      </c>
      <c r="Z6260" s="0" t="n">
        <f aca="false">04_回帰ANOVA!$K$19*04_回帰ANOVA!$K$14*SQRT(1+Y6260)</f>
        <v>1.66372758058297</v>
      </c>
      <c r="AA6260" s="0" t="n">
        <f aca="false">X6260-Z6260</f>
        <v>45.2182442761422</v>
      </c>
      <c r="AB6260" s="0" t="n">
        <f aca="false">X6260+Z6260</f>
        <v>48.5456994373082</v>
      </c>
      <c r="AC6260" s="54" t="b">
        <f aca="false">AND(E6260&gt;=01_因子設定!$L$5-0.000000001,E6260&lt;=01_因子設定!$M$5+0.000000001,F6260&gt;=01_因子設定!$L$6-0.000000001,F6260&lt;=01_因子設定!$M$6+0.000000001,G6260&gt;=01_因子設定!$L$7-0.000000001,G6260&lt;=01_因子設定!$M$7+0.000000001,H6260&gt;=01_因子設定!$L$8-0.000000001,H6260&lt;=01_因子設定!$M$8+0.000000001,IF(01_因子設定!$B$20="Box-Behnken",E6260^2+F6260^2+G6260^2+H6260^2&lt;=2+0.000000001,TRUE()))</f>
        <v>1</v>
      </c>
      <c r="AD6260" s="55" t="n">
        <f aca="false">IF(AC6260,IF(01_因子設定!$B$13="最大化",AA6260-01_因子設定!$B$14,IF(01_因子設定!$B$13="最小化",01_因子設定!$B$15-AB6260,MIN(AA6260-01_因子設定!$B$14,01_因子設定!$B$15-AB6260))),-1E+030)</f>
        <v>-1.28175572385776</v>
      </c>
      <c r="AE6260" s="55" t="n">
        <f aca="false">IF(AC6260,IF(01_因子設定!$B$13="最大化",X6260,IF(01_因子設定!$B$13="最小化",-X6260,-ABS(X6260-01_因子設定!$B$16))),-1E+030)</f>
        <v>46.8819718567252</v>
      </c>
      <c r="AF6260" s="55" t="n">
        <f aca="false">AD6260+ROW()*0.000000001</f>
        <v>-1.28174946385776</v>
      </c>
      <c r="AG6260" s="55" t="n">
        <f aca="false">AE6260+ROW()*0.000000001</f>
        <v>46.8819781167252</v>
      </c>
    </row>
    <row r="6261" customFormat="false" ht="15" hidden="false" customHeight="false" outlineLevel="0" collapsed="false">
      <c r="A6261" s="0" t="n">
        <v>8</v>
      </c>
      <c r="B6261" s="0" t="n">
        <v>5</v>
      </c>
      <c r="C6261" s="0" t="n">
        <v>2</v>
      </c>
      <c r="D6261" s="0" t="n">
        <v>1</v>
      </c>
      <c r="E6261" s="0" t="n">
        <f aca="false">-1+A6261*0.25</f>
        <v>1</v>
      </c>
      <c r="F6261" s="0" t="n">
        <f aca="false">-1+B6261*0.25</f>
        <v>0.25</v>
      </c>
      <c r="G6261" s="0" t="n">
        <f aca="false">-1+C6261*0.25</f>
        <v>-0.5</v>
      </c>
      <c r="H6261" s="0" t="n">
        <f aca="false">-1+D6261*0.25</f>
        <v>-0.75</v>
      </c>
      <c r="I6261" s="0" t="n">
        <f aca="false">1</f>
        <v>1</v>
      </c>
      <c r="J6261" s="0" t="n">
        <f aca="false">E6261</f>
        <v>1</v>
      </c>
      <c r="K6261" s="0" t="n">
        <f aca="false">F6261</f>
        <v>0.25</v>
      </c>
      <c r="L6261" s="0" t="n">
        <f aca="false">G6261</f>
        <v>-0.5</v>
      </c>
      <c r="M6261" s="0" t="n">
        <f aca="false">H6261</f>
        <v>-0.75</v>
      </c>
      <c r="N6261" s="0" t="n">
        <f aca="false">E6261*F6261</f>
        <v>0.25</v>
      </c>
      <c r="O6261" s="0" t="n">
        <f aca="false">E6261*G6261</f>
        <v>-0.5</v>
      </c>
      <c r="P6261" s="0" t="n">
        <f aca="false">E6261*H6261</f>
        <v>-0.75</v>
      </c>
      <c r="Q6261" s="0" t="n">
        <f aca="false">F6261*G6261</f>
        <v>-0.125</v>
      </c>
      <c r="R6261" s="0" t="n">
        <f aca="false">F6261*H6261</f>
        <v>-0.1875</v>
      </c>
      <c r="S6261" s="0" t="n">
        <f aca="false">G6261*H6261</f>
        <v>0.375</v>
      </c>
      <c r="T6261" s="0" t="n">
        <f aca="false">E6261*E6261</f>
        <v>1</v>
      </c>
      <c r="U6261" s="0" t="n">
        <f aca="false">F6261*F6261</f>
        <v>0.0625</v>
      </c>
      <c r="V6261" s="0" t="n">
        <f aca="false">G6261*G6261</f>
        <v>0.25</v>
      </c>
      <c r="W6261" s="0" t="n">
        <f aca="false">H6261*H6261</f>
        <v>0.5625</v>
      </c>
      <c r="X6261" s="0" t="n">
        <f aca="false">SUMPRODUCT(I6261:W6261,_XtX!$B$96:$P$96)</f>
        <v>47.1327165570176</v>
      </c>
      <c r="Y6261" s="0" t="n">
        <f aca="false">SUMPRODUCT(MMULT(I6261:W6261,_XtX!$B$78:$P$92),I6261:W6261)</f>
        <v>0.459125719572369</v>
      </c>
      <c r="Z6261" s="0" t="n">
        <f aca="false">04_回帰ANOVA!$K$19*04_回帰ANOVA!$K$14*SQRT(1+Y6261)</f>
        <v>1.57450755575573</v>
      </c>
      <c r="AA6261" s="0" t="n">
        <f aca="false">X6261-Z6261</f>
        <v>45.5582090012619</v>
      </c>
      <c r="AB6261" s="0" t="n">
        <f aca="false">X6261+Z6261</f>
        <v>48.7072241127733</v>
      </c>
      <c r="AC6261" s="54" t="b">
        <f aca="false">AND(E6261&gt;=01_因子設定!$L$5-0.000000001,E6261&lt;=01_因子設定!$M$5+0.000000001,F6261&gt;=01_因子設定!$L$6-0.000000001,F6261&lt;=01_因子設定!$M$6+0.000000001,G6261&gt;=01_因子設定!$L$7-0.000000001,G6261&lt;=01_因子設定!$M$7+0.000000001,H6261&gt;=01_因子設定!$L$8-0.000000001,H6261&lt;=01_因子設定!$M$8+0.000000001,IF(01_因子設定!$B$20="Box-Behnken",E6261^2+F6261^2+G6261^2+H6261^2&lt;=2+0.000000001,TRUE()))</f>
        <v>1</v>
      </c>
      <c r="AD6261" s="55" t="n">
        <f aca="false">IF(AC6261,IF(01_因子設定!$B$13="最大化",AA6261-01_因子設定!$B$14,IF(01_因子設定!$B$13="最小化",01_因子設定!$B$15-AB6261,MIN(AA6261-01_因子設定!$B$14,01_因子設定!$B$15-AB6261))),-1E+030)</f>
        <v>-0.941790998738142</v>
      </c>
      <c r="AE6261" s="55" t="n">
        <f aca="false">IF(AC6261,IF(01_因子設定!$B$13="最大化",X6261,IF(01_因子設定!$B$13="最小化",-X6261,-ABS(X6261-01_因子設定!$B$16))),-1E+030)</f>
        <v>47.1327165570176</v>
      </c>
      <c r="AF6261" s="55" t="n">
        <f aca="false">AD6261+ROW()*0.000000001</f>
        <v>-0.941784737738142</v>
      </c>
      <c r="AG6261" s="55" t="n">
        <f aca="false">AE6261+ROW()*0.000000001</f>
        <v>47.1327228180176</v>
      </c>
    </row>
    <row r="6262" customFormat="false" ht="15" hidden="false" customHeight="false" outlineLevel="0" collapsed="false">
      <c r="A6262" s="0" t="n">
        <v>8</v>
      </c>
      <c r="B6262" s="0" t="n">
        <v>5</v>
      </c>
      <c r="C6262" s="0" t="n">
        <v>2</v>
      </c>
      <c r="D6262" s="0" t="n">
        <v>2</v>
      </c>
      <c r="E6262" s="0" t="n">
        <f aca="false">-1+A6262*0.25</f>
        <v>1</v>
      </c>
      <c r="F6262" s="0" t="n">
        <f aca="false">-1+B6262*0.25</f>
        <v>0.25</v>
      </c>
      <c r="G6262" s="0" t="n">
        <f aca="false">-1+C6262*0.25</f>
        <v>-0.5</v>
      </c>
      <c r="H6262" s="0" t="n">
        <f aca="false">-1+D6262*0.25</f>
        <v>-0.5</v>
      </c>
      <c r="I6262" s="0" t="n">
        <f aca="false">1</f>
        <v>1</v>
      </c>
      <c r="J6262" s="0" t="n">
        <f aca="false">E6262</f>
        <v>1</v>
      </c>
      <c r="K6262" s="0" t="n">
        <f aca="false">F6262</f>
        <v>0.25</v>
      </c>
      <c r="L6262" s="0" t="n">
        <f aca="false">G6262</f>
        <v>-0.5</v>
      </c>
      <c r="M6262" s="0" t="n">
        <f aca="false">H6262</f>
        <v>-0.5</v>
      </c>
      <c r="N6262" s="0" t="n">
        <f aca="false">E6262*F6262</f>
        <v>0.25</v>
      </c>
      <c r="O6262" s="0" t="n">
        <f aca="false">E6262*G6262</f>
        <v>-0.5</v>
      </c>
      <c r="P6262" s="0" t="n">
        <f aca="false">E6262*H6262</f>
        <v>-0.5</v>
      </c>
      <c r="Q6262" s="0" t="n">
        <f aca="false">F6262*G6262</f>
        <v>-0.125</v>
      </c>
      <c r="R6262" s="0" t="n">
        <f aca="false">F6262*H6262</f>
        <v>-0.125</v>
      </c>
      <c r="S6262" s="0" t="n">
        <f aca="false">G6262*H6262</f>
        <v>0.25</v>
      </c>
      <c r="T6262" s="0" t="n">
        <f aca="false">E6262*E6262</f>
        <v>1</v>
      </c>
      <c r="U6262" s="0" t="n">
        <f aca="false">F6262*F6262</f>
        <v>0.0625</v>
      </c>
      <c r="V6262" s="0" t="n">
        <f aca="false">G6262*G6262</f>
        <v>0.25</v>
      </c>
      <c r="W6262" s="0" t="n">
        <f aca="false">H6262*H6262</f>
        <v>0.25</v>
      </c>
      <c r="X6262" s="0" t="n">
        <f aca="false">SUMPRODUCT(I6262:W6262,_XtX!$B$96:$P$96)</f>
        <v>47.3356542397661</v>
      </c>
      <c r="Y6262" s="0" t="n">
        <f aca="false">SUMPRODUCT(MMULT(I6262:W6262,_XtX!$B$78:$P$92),I6262:W6262)</f>
        <v>0.428122715643275</v>
      </c>
      <c r="Z6262" s="0" t="n">
        <f aca="false">04_回帰ANOVA!$K$19*04_回帰ANOVA!$K$14*SQRT(1+Y6262)</f>
        <v>1.55769044623229</v>
      </c>
      <c r="AA6262" s="0" t="n">
        <f aca="false">X6262-Z6262</f>
        <v>45.7779637935338</v>
      </c>
      <c r="AB6262" s="0" t="n">
        <f aca="false">X6262+Z6262</f>
        <v>48.8933446859984</v>
      </c>
      <c r="AC6262" s="54" t="b">
        <f aca="false">AND(E6262&gt;=01_因子設定!$L$5-0.000000001,E6262&lt;=01_因子設定!$M$5+0.000000001,F6262&gt;=01_因子設定!$L$6-0.000000001,F6262&lt;=01_因子設定!$M$6+0.000000001,G6262&gt;=01_因子設定!$L$7-0.000000001,G6262&lt;=01_因子設定!$M$7+0.000000001,H6262&gt;=01_因子設定!$L$8-0.000000001,H6262&lt;=01_因子設定!$M$8+0.000000001,IF(01_因子設定!$B$20="Box-Behnken",E6262^2+F6262^2+G6262^2+H6262^2&lt;=2+0.000000001,TRUE()))</f>
        <v>1</v>
      </c>
      <c r="AD6262" s="55" t="n">
        <f aca="false">IF(AC6262,IF(01_因子設定!$B$13="最大化",AA6262-01_因子設定!$B$14,IF(01_因子設定!$B$13="最小化",01_因子設定!$B$15-AB6262,MIN(AA6262-01_因子設定!$B$14,01_因子設定!$B$15-AB6262))),-1E+030)</f>
        <v>-0.722036206466179</v>
      </c>
      <c r="AE6262" s="55" t="n">
        <f aca="false">IF(AC6262,IF(01_因子設定!$B$13="最大化",X6262,IF(01_因子設定!$B$13="最小化",-X6262,-ABS(X6262-01_因子設定!$B$16))),-1E+030)</f>
        <v>47.3356542397661</v>
      </c>
      <c r="AF6262" s="55" t="n">
        <f aca="false">AD6262+ROW()*0.000000001</f>
        <v>-0.722029944466179</v>
      </c>
      <c r="AG6262" s="55" t="n">
        <f aca="false">AE6262+ROW()*0.000000001</f>
        <v>47.3356605017661</v>
      </c>
    </row>
    <row r="6263" customFormat="false" ht="15" hidden="false" customHeight="false" outlineLevel="0" collapsed="false">
      <c r="A6263" s="0" t="n">
        <v>8</v>
      </c>
      <c r="B6263" s="0" t="n">
        <v>5</v>
      </c>
      <c r="C6263" s="0" t="n">
        <v>2</v>
      </c>
      <c r="D6263" s="0" t="n">
        <v>3</v>
      </c>
      <c r="E6263" s="0" t="n">
        <f aca="false">-1+A6263*0.25</f>
        <v>1</v>
      </c>
      <c r="F6263" s="0" t="n">
        <f aca="false">-1+B6263*0.25</f>
        <v>0.25</v>
      </c>
      <c r="G6263" s="0" t="n">
        <f aca="false">-1+C6263*0.25</f>
        <v>-0.5</v>
      </c>
      <c r="H6263" s="0" t="n">
        <f aca="false">-1+D6263*0.25</f>
        <v>-0.25</v>
      </c>
      <c r="I6263" s="0" t="n">
        <f aca="false">1</f>
        <v>1</v>
      </c>
      <c r="J6263" s="0" t="n">
        <f aca="false">E6263</f>
        <v>1</v>
      </c>
      <c r="K6263" s="0" t="n">
        <f aca="false">F6263</f>
        <v>0.25</v>
      </c>
      <c r="L6263" s="0" t="n">
        <f aca="false">G6263</f>
        <v>-0.5</v>
      </c>
      <c r="M6263" s="0" t="n">
        <f aca="false">H6263</f>
        <v>-0.25</v>
      </c>
      <c r="N6263" s="0" t="n">
        <f aca="false">E6263*F6263</f>
        <v>0.25</v>
      </c>
      <c r="O6263" s="0" t="n">
        <f aca="false">E6263*G6263</f>
        <v>-0.5</v>
      </c>
      <c r="P6263" s="0" t="n">
        <f aca="false">E6263*H6263</f>
        <v>-0.25</v>
      </c>
      <c r="Q6263" s="0" t="n">
        <f aca="false">F6263*G6263</f>
        <v>-0.125</v>
      </c>
      <c r="R6263" s="0" t="n">
        <f aca="false">F6263*H6263</f>
        <v>-0.0625</v>
      </c>
      <c r="S6263" s="0" t="n">
        <f aca="false">G6263*H6263</f>
        <v>0.125</v>
      </c>
      <c r="T6263" s="0" t="n">
        <f aca="false">E6263*E6263</f>
        <v>1</v>
      </c>
      <c r="U6263" s="0" t="n">
        <f aca="false">F6263*F6263</f>
        <v>0.0625</v>
      </c>
      <c r="V6263" s="0" t="n">
        <f aca="false">G6263*G6263</f>
        <v>0.25</v>
      </c>
      <c r="W6263" s="0" t="n">
        <f aca="false">H6263*H6263</f>
        <v>0.0625</v>
      </c>
      <c r="X6263" s="0" t="n">
        <f aca="false">SUMPRODUCT(I6263:W6263,_XtX!$B$96:$P$96)</f>
        <v>47.4907849049708</v>
      </c>
      <c r="Y6263" s="0" t="n">
        <f aca="false">SUMPRODUCT(MMULT(I6263:W6263,_XtX!$B$78:$P$92),I6263:W6263)</f>
        <v>0.445705123812135</v>
      </c>
      <c r="Z6263" s="0" t="n">
        <f aca="false">04_回帰ANOVA!$K$19*04_回帰ANOVA!$K$14*SQRT(1+Y6263)</f>
        <v>1.56724990734749</v>
      </c>
      <c r="AA6263" s="0" t="n">
        <f aca="false">X6263-Z6263</f>
        <v>45.9235349976233</v>
      </c>
      <c r="AB6263" s="0" t="n">
        <f aca="false">X6263+Z6263</f>
        <v>49.0580348123183</v>
      </c>
      <c r="AC6263" s="54" t="b">
        <f aca="false">AND(E6263&gt;=01_因子設定!$L$5-0.000000001,E6263&lt;=01_因子設定!$M$5+0.000000001,F6263&gt;=01_因子設定!$L$6-0.000000001,F6263&lt;=01_因子設定!$M$6+0.000000001,G6263&gt;=01_因子設定!$L$7-0.000000001,G6263&lt;=01_因子設定!$M$7+0.000000001,H6263&gt;=01_因子設定!$L$8-0.000000001,H6263&lt;=01_因子設定!$M$8+0.000000001,IF(01_因子設定!$B$20="Box-Behnken",E6263^2+F6263^2+G6263^2+H6263^2&lt;=2+0.000000001,TRUE()))</f>
        <v>1</v>
      </c>
      <c r="AD6263" s="55" t="n">
        <f aca="false">IF(AC6263,IF(01_因子設定!$B$13="最大化",AA6263-01_因子設定!$B$14,IF(01_因子設定!$B$13="最小化",01_因子設定!$B$15-AB6263,MIN(AA6263-01_因子設定!$B$14,01_因子設定!$B$15-AB6263))),-1E+030)</f>
        <v>-0.5764650023767</v>
      </c>
      <c r="AE6263" s="55" t="n">
        <f aca="false">IF(AC6263,IF(01_因子設定!$B$13="最大化",X6263,IF(01_因子設定!$B$13="最小化",-X6263,-ABS(X6263-01_因子設定!$B$16))),-1E+030)</f>
        <v>47.4907849049708</v>
      </c>
      <c r="AF6263" s="55" t="n">
        <f aca="false">AD6263+ROW()*0.000000001</f>
        <v>-0.5764587393767</v>
      </c>
      <c r="AG6263" s="55" t="n">
        <f aca="false">AE6263+ROW()*0.000000001</f>
        <v>47.4907911679708</v>
      </c>
    </row>
    <row r="6264" customFormat="false" ht="15" hidden="false" customHeight="false" outlineLevel="0" collapsed="false">
      <c r="A6264" s="0" t="n">
        <v>8</v>
      </c>
      <c r="B6264" s="0" t="n">
        <v>5</v>
      </c>
      <c r="C6264" s="0" t="n">
        <v>2</v>
      </c>
      <c r="D6264" s="0" t="n">
        <v>4</v>
      </c>
      <c r="E6264" s="0" t="n">
        <f aca="false">-1+A6264*0.25</f>
        <v>1</v>
      </c>
      <c r="F6264" s="0" t="n">
        <f aca="false">-1+B6264*0.25</f>
        <v>0.25</v>
      </c>
      <c r="G6264" s="0" t="n">
        <f aca="false">-1+C6264*0.25</f>
        <v>-0.5</v>
      </c>
      <c r="H6264" s="0" t="n">
        <f aca="false">-1+D6264*0.25</f>
        <v>0</v>
      </c>
      <c r="I6264" s="0" t="n">
        <f aca="false">1</f>
        <v>1</v>
      </c>
      <c r="J6264" s="0" t="n">
        <f aca="false">E6264</f>
        <v>1</v>
      </c>
      <c r="K6264" s="0" t="n">
        <f aca="false">F6264</f>
        <v>0.25</v>
      </c>
      <c r="L6264" s="0" t="n">
        <f aca="false">G6264</f>
        <v>-0.5</v>
      </c>
      <c r="M6264" s="0" t="n">
        <f aca="false">H6264</f>
        <v>0</v>
      </c>
      <c r="N6264" s="0" t="n">
        <f aca="false">E6264*F6264</f>
        <v>0.25</v>
      </c>
      <c r="O6264" s="0" t="n">
        <f aca="false">E6264*G6264</f>
        <v>-0.5</v>
      </c>
      <c r="P6264" s="0" t="n">
        <f aca="false">E6264*H6264</f>
        <v>0</v>
      </c>
      <c r="Q6264" s="0" t="n">
        <f aca="false">F6264*G6264</f>
        <v>-0.125</v>
      </c>
      <c r="R6264" s="0" t="n">
        <f aca="false">F6264*H6264</f>
        <v>0</v>
      </c>
      <c r="S6264" s="0" t="n">
        <f aca="false">G6264*H6264</f>
        <v>-0</v>
      </c>
      <c r="T6264" s="0" t="n">
        <f aca="false">E6264*E6264</f>
        <v>1</v>
      </c>
      <c r="U6264" s="0" t="n">
        <f aca="false">F6264*F6264</f>
        <v>0.0625</v>
      </c>
      <c r="V6264" s="0" t="n">
        <f aca="false">G6264*G6264</f>
        <v>0.25</v>
      </c>
      <c r="W6264" s="0" t="n">
        <f aca="false">H6264*H6264</f>
        <v>0</v>
      </c>
      <c r="X6264" s="0" t="n">
        <f aca="false">SUMPRODUCT(I6264:W6264,_XtX!$B$96:$P$96)</f>
        <v>47.5981085526316</v>
      </c>
      <c r="Y6264" s="0" t="n">
        <f aca="false">SUMPRODUCT(MMULT(I6264:W6264,_XtX!$B$78:$P$92),I6264:W6264)</f>
        <v>0.457596628289474</v>
      </c>
      <c r="Z6264" s="0" t="n">
        <f aca="false">04_回帰ANOVA!$K$19*04_回帰ANOVA!$K$14*SQRT(1+Y6264)</f>
        <v>1.57368233664366</v>
      </c>
      <c r="AA6264" s="0" t="n">
        <f aca="false">X6264-Z6264</f>
        <v>46.0244262159879</v>
      </c>
      <c r="AB6264" s="0" t="n">
        <f aca="false">X6264+Z6264</f>
        <v>49.1717908892753</v>
      </c>
      <c r="AC6264" s="54" t="b">
        <f aca="false">AND(E6264&gt;=01_因子設定!$L$5-0.000000001,E6264&lt;=01_因子設定!$M$5+0.000000001,F6264&gt;=01_因子設定!$L$6-0.000000001,F6264&lt;=01_因子設定!$M$6+0.000000001,G6264&gt;=01_因子設定!$L$7-0.000000001,G6264&lt;=01_因子設定!$M$7+0.000000001,H6264&gt;=01_因子設定!$L$8-0.000000001,H6264&lt;=01_因子設定!$M$8+0.000000001,IF(01_因子設定!$B$20="Box-Behnken",E6264^2+F6264^2+G6264^2+H6264^2&lt;=2+0.000000001,TRUE()))</f>
        <v>1</v>
      </c>
      <c r="AD6264" s="55" t="n">
        <f aca="false">IF(AC6264,IF(01_因子設定!$B$13="最大化",AA6264-01_因子設定!$B$14,IF(01_因子設定!$B$13="最小化",01_因子設定!$B$15-AB6264,MIN(AA6264-01_因子設定!$B$14,01_因子設定!$B$15-AB6264))),-1E+030)</f>
        <v>-0.475573784012056</v>
      </c>
      <c r="AE6264" s="55" t="n">
        <f aca="false">IF(AC6264,IF(01_因子設定!$B$13="最大化",X6264,IF(01_因子設定!$B$13="最小化",-X6264,-ABS(X6264-01_因子設定!$B$16))),-1E+030)</f>
        <v>47.5981085526316</v>
      </c>
      <c r="AF6264" s="55" t="n">
        <f aca="false">AD6264+ROW()*0.000000001</f>
        <v>-0.475567520012056</v>
      </c>
      <c r="AG6264" s="55" t="n">
        <f aca="false">AE6264+ROW()*0.000000001</f>
        <v>47.5981148166316</v>
      </c>
    </row>
    <row r="6265" customFormat="false" ht="15" hidden="false" customHeight="false" outlineLevel="0" collapsed="false">
      <c r="A6265" s="0" t="n">
        <v>8</v>
      </c>
      <c r="B6265" s="0" t="n">
        <v>5</v>
      </c>
      <c r="C6265" s="0" t="n">
        <v>2</v>
      </c>
      <c r="D6265" s="0" t="n">
        <v>5</v>
      </c>
      <c r="E6265" s="0" t="n">
        <f aca="false">-1+A6265*0.25</f>
        <v>1</v>
      </c>
      <c r="F6265" s="0" t="n">
        <f aca="false">-1+B6265*0.25</f>
        <v>0.25</v>
      </c>
      <c r="G6265" s="0" t="n">
        <f aca="false">-1+C6265*0.25</f>
        <v>-0.5</v>
      </c>
      <c r="H6265" s="0" t="n">
        <f aca="false">-1+D6265*0.25</f>
        <v>0.25</v>
      </c>
      <c r="I6265" s="0" t="n">
        <f aca="false">1</f>
        <v>1</v>
      </c>
      <c r="J6265" s="0" t="n">
        <f aca="false">E6265</f>
        <v>1</v>
      </c>
      <c r="K6265" s="0" t="n">
        <f aca="false">F6265</f>
        <v>0.25</v>
      </c>
      <c r="L6265" s="0" t="n">
        <f aca="false">G6265</f>
        <v>-0.5</v>
      </c>
      <c r="M6265" s="0" t="n">
        <f aca="false">H6265</f>
        <v>0.25</v>
      </c>
      <c r="N6265" s="0" t="n">
        <f aca="false">E6265*F6265</f>
        <v>0.25</v>
      </c>
      <c r="O6265" s="0" t="n">
        <f aca="false">E6265*G6265</f>
        <v>-0.5</v>
      </c>
      <c r="P6265" s="0" t="n">
        <f aca="false">E6265*H6265</f>
        <v>0.25</v>
      </c>
      <c r="Q6265" s="0" t="n">
        <f aca="false">F6265*G6265</f>
        <v>-0.125</v>
      </c>
      <c r="R6265" s="0" t="n">
        <f aca="false">F6265*H6265</f>
        <v>0.0625</v>
      </c>
      <c r="S6265" s="0" t="n">
        <f aca="false">G6265*H6265</f>
        <v>-0.125</v>
      </c>
      <c r="T6265" s="0" t="n">
        <f aca="false">E6265*E6265</f>
        <v>1</v>
      </c>
      <c r="U6265" s="0" t="n">
        <f aca="false">F6265*F6265</f>
        <v>0.0625</v>
      </c>
      <c r="V6265" s="0" t="n">
        <f aca="false">G6265*G6265</f>
        <v>0.25</v>
      </c>
      <c r="W6265" s="0" t="n">
        <f aca="false">H6265*H6265</f>
        <v>0.0625</v>
      </c>
      <c r="X6265" s="0" t="n">
        <f aca="false">SUMPRODUCT(I6265:W6265,_XtX!$B$96:$P$96)</f>
        <v>47.6576251827486</v>
      </c>
      <c r="Y6265" s="0" t="n">
        <f aca="false">SUMPRODUCT(MMULT(I6265:W6265,_XtX!$B$78:$P$92),I6265:W6265)</f>
        <v>0.445705123812135</v>
      </c>
      <c r="Z6265" s="0" t="n">
        <f aca="false">04_回帰ANOVA!$K$19*04_回帰ANOVA!$K$14*SQRT(1+Y6265)</f>
        <v>1.56724990734749</v>
      </c>
      <c r="AA6265" s="0" t="n">
        <f aca="false">X6265-Z6265</f>
        <v>46.0903752754011</v>
      </c>
      <c r="AB6265" s="0" t="n">
        <f aca="false">X6265+Z6265</f>
        <v>49.2248750900961</v>
      </c>
      <c r="AC6265" s="54" t="b">
        <f aca="false">AND(E6265&gt;=01_因子設定!$L$5-0.000000001,E6265&lt;=01_因子設定!$M$5+0.000000001,F6265&gt;=01_因子設定!$L$6-0.000000001,F6265&lt;=01_因子設定!$M$6+0.000000001,G6265&gt;=01_因子設定!$L$7-0.000000001,G6265&lt;=01_因子設定!$M$7+0.000000001,H6265&gt;=01_因子設定!$L$8-0.000000001,H6265&lt;=01_因子設定!$M$8+0.000000001,IF(01_因子設定!$B$20="Box-Behnken",E6265^2+F6265^2+G6265^2+H6265^2&lt;=2+0.000000001,TRUE()))</f>
        <v>1</v>
      </c>
      <c r="AD6265" s="55" t="n">
        <f aca="false">IF(AC6265,IF(01_因子設定!$B$13="最大化",AA6265-01_因子設定!$B$14,IF(01_因子設定!$B$13="最小化",01_因子設定!$B$15-AB6265,MIN(AA6265-01_因子設定!$B$14,01_因子設定!$B$15-AB6265))),-1E+030)</f>
        <v>-0.40962472459892</v>
      </c>
      <c r="AE6265" s="55" t="n">
        <f aca="false">IF(AC6265,IF(01_因子設定!$B$13="最大化",X6265,IF(01_因子設定!$B$13="最小化",-X6265,-ABS(X6265-01_因子設定!$B$16))),-1E+030)</f>
        <v>47.6576251827486</v>
      </c>
      <c r="AF6265" s="55" t="n">
        <f aca="false">AD6265+ROW()*0.000000001</f>
        <v>-0.40961845959892</v>
      </c>
      <c r="AG6265" s="55" t="n">
        <f aca="false">AE6265+ROW()*0.000000001</f>
        <v>47.6576314477486</v>
      </c>
    </row>
    <row r="6266" customFormat="false" ht="15" hidden="false" customHeight="false" outlineLevel="0" collapsed="false">
      <c r="A6266" s="0" t="n">
        <v>8</v>
      </c>
      <c r="B6266" s="0" t="n">
        <v>5</v>
      </c>
      <c r="C6266" s="0" t="n">
        <v>2</v>
      </c>
      <c r="D6266" s="0" t="n">
        <v>6</v>
      </c>
      <c r="E6266" s="0" t="n">
        <f aca="false">-1+A6266*0.25</f>
        <v>1</v>
      </c>
      <c r="F6266" s="0" t="n">
        <f aca="false">-1+B6266*0.25</f>
        <v>0.25</v>
      </c>
      <c r="G6266" s="0" t="n">
        <f aca="false">-1+C6266*0.25</f>
        <v>-0.5</v>
      </c>
      <c r="H6266" s="0" t="n">
        <f aca="false">-1+D6266*0.25</f>
        <v>0.5</v>
      </c>
      <c r="I6266" s="0" t="n">
        <f aca="false">1</f>
        <v>1</v>
      </c>
      <c r="J6266" s="0" t="n">
        <f aca="false">E6266</f>
        <v>1</v>
      </c>
      <c r="K6266" s="0" t="n">
        <f aca="false">F6266</f>
        <v>0.25</v>
      </c>
      <c r="L6266" s="0" t="n">
        <f aca="false">G6266</f>
        <v>-0.5</v>
      </c>
      <c r="M6266" s="0" t="n">
        <f aca="false">H6266</f>
        <v>0.5</v>
      </c>
      <c r="N6266" s="0" t="n">
        <f aca="false">E6266*F6266</f>
        <v>0.25</v>
      </c>
      <c r="O6266" s="0" t="n">
        <f aca="false">E6266*G6266</f>
        <v>-0.5</v>
      </c>
      <c r="P6266" s="0" t="n">
        <f aca="false">E6266*H6266</f>
        <v>0.5</v>
      </c>
      <c r="Q6266" s="0" t="n">
        <f aca="false">F6266*G6266</f>
        <v>-0.125</v>
      </c>
      <c r="R6266" s="0" t="n">
        <f aca="false">F6266*H6266</f>
        <v>0.125</v>
      </c>
      <c r="S6266" s="0" t="n">
        <f aca="false">G6266*H6266</f>
        <v>-0.25</v>
      </c>
      <c r="T6266" s="0" t="n">
        <f aca="false">E6266*E6266</f>
        <v>1</v>
      </c>
      <c r="U6266" s="0" t="n">
        <f aca="false">F6266*F6266</f>
        <v>0.0625</v>
      </c>
      <c r="V6266" s="0" t="n">
        <f aca="false">G6266*G6266</f>
        <v>0.25</v>
      </c>
      <c r="W6266" s="0" t="n">
        <f aca="false">H6266*H6266</f>
        <v>0.25</v>
      </c>
      <c r="X6266" s="0" t="n">
        <f aca="false">SUMPRODUCT(I6266:W6266,_XtX!$B$96:$P$96)</f>
        <v>47.6693347953217</v>
      </c>
      <c r="Y6266" s="0" t="n">
        <f aca="false">SUMPRODUCT(MMULT(I6266:W6266,_XtX!$B$78:$P$92),I6266:W6266)</f>
        <v>0.428122715643275</v>
      </c>
      <c r="Z6266" s="0" t="n">
        <f aca="false">04_回帰ANOVA!$K$19*04_回帰ANOVA!$K$14*SQRT(1+Y6266)</f>
        <v>1.55769044623229</v>
      </c>
      <c r="AA6266" s="0" t="n">
        <f aca="false">X6266-Z6266</f>
        <v>46.1116443490894</v>
      </c>
      <c r="AB6266" s="0" t="n">
        <f aca="false">X6266+Z6266</f>
        <v>49.227025241554</v>
      </c>
      <c r="AC6266" s="54" t="b">
        <f aca="false">AND(E6266&gt;=01_因子設定!$L$5-0.000000001,E6266&lt;=01_因子設定!$M$5+0.000000001,F6266&gt;=01_因子設定!$L$6-0.000000001,F6266&lt;=01_因子設定!$M$6+0.000000001,G6266&gt;=01_因子設定!$L$7-0.000000001,G6266&lt;=01_因子設定!$M$7+0.000000001,H6266&gt;=01_因子設定!$L$8-0.000000001,H6266&lt;=01_因子設定!$M$8+0.000000001,IF(01_因子設定!$B$20="Box-Behnken",E6266^2+F6266^2+G6266^2+H6266^2&lt;=2+0.000000001,TRUE()))</f>
        <v>1</v>
      </c>
      <c r="AD6266" s="55" t="n">
        <f aca="false">IF(AC6266,IF(01_因子設定!$B$13="最大化",AA6266-01_因子設定!$B$14,IF(01_因子設定!$B$13="最小化",01_因子設定!$B$15-AB6266,MIN(AA6266-01_因子設定!$B$14,01_因子設定!$B$15-AB6266))),-1E+030)</f>
        <v>-0.388355650910619</v>
      </c>
      <c r="AE6266" s="55" t="n">
        <f aca="false">IF(AC6266,IF(01_因子設定!$B$13="最大化",X6266,IF(01_因子設定!$B$13="最小化",-X6266,-ABS(X6266-01_因子設定!$B$16))),-1E+030)</f>
        <v>47.6693347953217</v>
      </c>
      <c r="AF6266" s="55" t="n">
        <f aca="false">AD6266+ROW()*0.000000001</f>
        <v>-0.388349384910619</v>
      </c>
      <c r="AG6266" s="55" t="n">
        <f aca="false">AE6266+ROW()*0.000000001</f>
        <v>47.6693410613217</v>
      </c>
    </row>
    <row r="6267" customFormat="false" ht="15" hidden="false" customHeight="false" outlineLevel="0" collapsed="false">
      <c r="A6267" s="0" t="n">
        <v>8</v>
      </c>
      <c r="B6267" s="0" t="n">
        <v>5</v>
      </c>
      <c r="C6267" s="0" t="n">
        <v>2</v>
      </c>
      <c r="D6267" s="0" t="n">
        <v>7</v>
      </c>
      <c r="E6267" s="0" t="n">
        <f aca="false">-1+A6267*0.25</f>
        <v>1</v>
      </c>
      <c r="F6267" s="0" t="n">
        <f aca="false">-1+B6267*0.25</f>
        <v>0.25</v>
      </c>
      <c r="G6267" s="0" t="n">
        <f aca="false">-1+C6267*0.25</f>
        <v>-0.5</v>
      </c>
      <c r="H6267" s="0" t="n">
        <f aca="false">-1+D6267*0.25</f>
        <v>0.75</v>
      </c>
      <c r="I6267" s="0" t="n">
        <f aca="false">1</f>
        <v>1</v>
      </c>
      <c r="J6267" s="0" t="n">
        <f aca="false">E6267</f>
        <v>1</v>
      </c>
      <c r="K6267" s="0" t="n">
        <f aca="false">F6267</f>
        <v>0.25</v>
      </c>
      <c r="L6267" s="0" t="n">
        <f aca="false">G6267</f>
        <v>-0.5</v>
      </c>
      <c r="M6267" s="0" t="n">
        <f aca="false">H6267</f>
        <v>0.75</v>
      </c>
      <c r="N6267" s="0" t="n">
        <f aca="false">E6267*F6267</f>
        <v>0.25</v>
      </c>
      <c r="O6267" s="0" t="n">
        <f aca="false">E6267*G6267</f>
        <v>-0.5</v>
      </c>
      <c r="P6267" s="0" t="n">
        <f aca="false">E6267*H6267</f>
        <v>0.75</v>
      </c>
      <c r="Q6267" s="0" t="n">
        <f aca="false">F6267*G6267</f>
        <v>-0.125</v>
      </c>
      <c r="R6267" s="0" t="n">
        <f aca="false">F6267*H6267</f>
        <v>0.1875</v>
      </c>
      <c r="S6267" s="0" t="n">
        <f aca="false">G6267*H6267</f>
        <v>-0.375</v>
      </c>
      <c r="T6267" s="0" t="n">
        <f aca="false">E6267*E6267</f>
        <v>1</v>
      </c>
      <c r="U6267" s="0" t="n">
        <f aca="false">F6267*F6267</f>
        <v>0.0625</v>
      </c>
      <c r="V6267" s="0" t="n">
        <f aca="false">G6267*G6267</f>
        <v>0.25</v>
      </c>
      <c r="W6267" s="0" t="n">
        <f aca="false">H6267*H6267</f>
        <v>0.5625</v>
      </c>
      <c r="X6267" s="0" t="n">
        <f aca="false">SUMPRODUCT(I6267:W6267,_XtX!$B$96:$P$96)</f>
        <v>47.6332373903509</v>
      </c>
      <c r="Y6267" s="0" t="n">
        <f aca="false">SUMPRODUCT(MMULT(I6267:W6267,_XtX!$B$78:$P$92),I6267:W6267)</f>
        <v>0.459125719572369</v>
      </c>
      <c r="Z6267" s="0" t="n">
        <f aca="false">04_回帰ANOVA!$K$19*04_回帰ANOVA!$K$14*SQRT(1+Y6267)</f>
        <v>1.57450755575573</v>
      </c>
      <c r="AA6267" s="0" t="n">
        <f aca="false">X6267-Z6267</f>
        <v>46.0587298345952</v>
      </c>
      <c r="AB6267" s="0" t="n">
        <f aca="false">X6267+Z6267</f>
        <v>49.2077449461067</v>
      </c>
      <c r="AC6267" s="54" t="b">
        <f aca="false">AND(E6267&gt;=01_因子設定!$L$5-0.000000001,E6267&lt;=01_因子設定!$M$5+0.000000001,F6267&gt;=01_因子設定!$L$6-0.000000001,F6267&lt;=01_因子設定!$M$6+0.000000001,G6267&gt;=01_因子設定!$L$7-0.000000001,G6267&lt;=01_因子設定!$M$7+0.000000001,H6267&gt;=01_因子設定!$L$8-0.000000001,H6267&lt;=01_因子設定!$M$8+0.000000001,IF(01_因子設定!$B$20="Box-Behnken",E6267^2+F6267^2+G6267^2+H6267^2&lt;=2+0.000000001,TRUE()))</f>
        <v>1</v>
      </c>
      <c r="AD6267" s="55" t="n">
        <f aca="false">IF(AC6267,IF(01_因子設定!$B$13="最大化",AA6267-01_因子設定!$B$14,IF(01_因子設定!$B$13="最小化",01_因子設定!$B$15-AB6267,MIN(AA6267-01_因子設定!$B$14,01_因子設定!$B$15-AB6267))),-1E+030)</f>
        <v>-0.441270165404809</v>
      </c>
      <c r="AE6267" s="55" t="n">
        <f aca="false">IF(AC6267,IF(01_因子設定!$B$13="最大化",X6267,IF(01_因子設定!$B$13="最小化",-X6267,-ABS(X6267-01_因子設定!$B$16))),-1E+030)</f>
        <v>47.6332373903509</v>
      </c>
      <c r="AF6267" s="55" t="n">
        <f aca="false">AD6267+ROW()*0.000000001</f>
        <v>-0.441263898404809</v>
      </c>
      <c r="AG6267" s="55" t="n">
        <f aca="false">AE6267+ROW()*0.000000001</f>
        <v>47.6332436573509</v>
      </c>
    </row>
    <row r="6268" customFormat="false" ht="15" hidden="false" customHeight="false" outlineLevel="0" collapsed="false">
      <c r="A6268" s="0" t="n">
        <v>8</v>
      </c>
      <c r="B6268" s="0" t="n">
        <v>5</v>
      </c>
      <c r="C6268" s="0" t="n">
        <v>2</v>
      </c>
      <c r="D6268" s="0" t="n">
        <v>8</v>
      </c>
      <c r="E6268" s="0" t="n">
        <f aca="false">-1+A6268*0.25</f>
        <v>1</v>
      </c>
      <c r="F6268" s="0" t="n">
        <f aca="false">-1+B6268*0.25</f>
        <v>0.25</v>
      </c>
      <c r="G6268" s="0" t="n">
        <f aca="false">-1+C6268*0.25</f>
        <v>-0.5</v>
      </c>
      <c r="H6268" s="0" t="n">
        <f aca="false">-1+D6268*0.25</f>
        <v>1</v>
      </c>
      <c r="I6268" s="0" t="n">
        <f aca="false">1</f>
        <v>1</v>
      </c>
      <c r="J6268" s="0" t="n">
        <f aca="false">E6268</f>
        <v>1</v>
      </c>
      <c r="K6268" s="0" t="n">
        <f aca="false">F6268</f>
        <v>0.25</v>
      </c>
      <c r="L6268" s="0" t="n">
        <f aca="false">G6268</f>
        <v>-0.5</v>
      </c>
      <c r="M6268" s="0" t="n">
        <f aca="false">H6268</f>
        <v>1</v>
      </c>
      <c r="N6268" s="0" t="n">
        <f aca="false">E6268*F6268</f>
        <v>0.25</v>
      </c>
      <c r="O6268" s="0" t="n">
        <f aca="false">E6268*G6268</f>
        <v>-0.5</v>
      </c>
      <c r="P6268" s="0" t="n">
        <f aca="false">E6268*H6268</f>
        <v>1</v>
      </c>
      <c r="Q6268" s="0" t="n">
        <f aca="false">F6268*G6268</f>
        <v>-0.125</v>
      </c>
      <c r="R6268" s="0" t="n">
        <f aca="false">F6268*H6268</f>
        <v>0.25</v>
      </c>
      <c r="S6268" s="0" t="n">
        <f aca="false">G6268*H6268</f>
        <v>-0.5</v>
      </c>
      <c r="T6268" s="0" t="n">
        <f aca="false">E6268*E6268</f>
        <v>1</v>
      </c>
      <c r="U6268" s="0" t="n">
        <f aca="false">F6268*F6268</f>
        <v>0.0625</v>
      </c>
      <c r="V6268" s="0" t="n">
        <f aca="false">G6268*G6268</f>
        <v>0.25</v>
      </c>
      <c r="W6268" s="0" t="n">
        <f aca="false">H6268*H6268</f>
        <v>1</v>
      </c>
      <c r="X6268" s="0" t="n">
        <f aca="false">SUMPRODUCT(I6268:W6268,_XtX!$B$96:$P$96)</f>
        <v>47.5493329678363</v>
      </c>
      <c r="Y6268" s="0" t="n">
        <f aca="false">SUMPRODUCT(MMULT(I6268:W6268,_XtX!$B$78:$P$92),I6268:W6268)</f>
        <v>0.629174661915205</v>
      </c>
      <c r="Z6268" s="0" t="n">
        <f aca="false">04_回帰ANOVA!$K$19*04_回帰ANOVA!$K$14*SQRT(1+Y6268)</f>
        <v>1.66372758058297</v>
      </c>
      <c r="AA6268" s="0" t="n">
        <f aca="false">X6268-Z6268</f>
        <v>45.8856053872534</v>
      </c>
      <c r="AB6268" s="0" t="n">
        <f aca="false">X6268+Z6268</f>
        <v>49.2130605484193</v>
      </c>
      <c r="AC6268" s="54" t="b">
        <f aca="false">AND(E6268&gt;=01_因子設定!$L$5-0.000000001,E6268&lt;=01_因子設定!$M$5+0.000000001,F6268&gt;=01_因子設定!$L$6-0.000000001,F6268&lt;=01_因子設定!$M$6+0.000000001,G6268&gt;=01_因子設定!$L$7-0.000000001,G6268&lt;=01_因子設定!$M$7+0.000000001,H6268&gt;=01_因子設定!$L$8-0.000000001,H6268&lt;=01_因子設定!$M$8+0.000000001,IF(01_因子設定!$B$20="Box-Behnken",E6268^2+F6268^2+G6268^2+H6268^2&lt;=2+0.000000001,TRUE()))</f>
        <v>1</v>
      </c>
      <c r="AD6268" s="55" t="n">
        <f aca="false">IF(AC6268,IF(01_因子設定!$B$13="最大化",AA6268-01_因子設定!$B$14,IF(01_因子設定!$B$13="最小化",01_因子設定!$B$15-AB6268,MIN(AA6268-01_因子設定!$B$14,01_因子設定!$B$15-AB6268))),-1E+030)</f>
        <v>-0.614394612746651</v>
      </c>
      <c r="AE6268" s="55" t="n">
        <f aca="false">IF(AC6268,IF(01_因子設定!$B$13="最大化",X6268,IF(01_因子設定!$B$13="最小化",-X6268,-ABS(X6268-01_因子設定!$B$16))),-1E+030)</f>
        <v>47.5493329678363</v>
      </c>
      <c r="AF6268" s="55" t="n">
        <f aca="false">AD6268+ROW()*0.000000001</f>
        <v>-0.614388344746651</v>
      </c>
      <c r="AG6268" s="55" t="n">
        <f aca="false">AE6268+ROW()*0.000000001</f>
        <v>47.5493392358363</v>
      </c>
    </row>
    <row r="6269" customFormat="false" ht="15" hidden="false" customHeight="false" outlineLevel="0" collapsed="false">
      <c r="A6269" s="0" t="n">
        <v>8</v>
      </c>
      <c r="B6269" s="0" t="n">
        <v>5</v>
      </c>
      <c r="C6269" s="0" t="n">
        <v>3</v>
      </c>
      <c r="D6269" s="0" t="n">
        <v>0</v>
      </c>
      <c r="E6269" s="0" t="n">
        <f aca="false">-1+A6269*0.25</f>
        <v>1</v>
      </c>
      <c r="F6269" s="0" t="n">
        <f aca="false">-1+B6269*0.25</f>
        <v>0.25</v>
      </c>
      <c r="G6269" s="0" t="n">
        <f aca="false">-1+C6269*0.25</f>
        <v>-0.25</v>
      </c>
      <c r="H6269" s="0" t="n">
        <f aca="false">-1+D6269*0.25</f>
        <v>-1</v>
      </c>
      <c r="I6269" s="0" t="n">
        <f aca="false">1</f>
        <v>1</v>
      </c>
      <c r="J6269" s="0" t="n">
        <f aca="false">E6269</f>
        <v>1</v>
      </c>
      <c r="K6269" s="0" t="n">
        <f aca="false">F6269</f>
        <v>0.25</v>
      </c>
      <c r="L6269" s="0" t="n">
        <f aca="false">G6269</f>
        <v>-0.25</v>
      </c>
      <c r="M6269" s="0" t="n">
        <f aca="false">H6269</f>
        <v>-1</v>
      </c>
      <c r="N6269" s="0" t="n">
        <f aca="false">E6269*F6269</f>
        <v>0.25</v>
      </c>
      <c r="O6269" s="0" t="n">
        <f aca="false">E6269*G6269</f>
        <v>-0.25</v>
      </c>
      <c r="P6269" s="0" t="n">
        <f aca="false">E6269*H6269</f>
        <v>-1</v>
      </c>
      <c r="Q6269" s="0" t="n">
        <f aca="false">F6269*G6269</f>
        <v>-0.0625</v>
      </c>
      <c r="R6269" s="0" t="n">
        <f aca="false">F6269*H6269</f>
        <v>-0.25</v>
      </c>
      <c r="S6269" s="0" t="n">
        <f aca="false">G6269*H6269</f>
        <v>0.25</v>
      </c>
      <c r="T6269" s="0" t="n">
        <f aca="false">E6269*E6269</f>
        <v>1</v>
      </c>
      <c r="U6269" s="0" t="n">
        <f aca="false">F6269*F6269</f>
        <v>0.0625</v>
      </c>
      <c r="V6269" s="0" t="n">
        <f aca="false">G6269*G6269</f>
        <v>0.0625</v>
      </c>
      <c r="W6269" s="0" t="n">
        <f aca="false">H6269*H6269</f>
        <v>1</v>
      </c>
      <c r="X6269" s="0" t="n">
        <f aca="false">SUMPRODUCT(I6269:W6269,_XtX!$B$96:$P$96)</f>
        <v>47.0409219663743</v>
      </c>
      <c r="Y6269" s="0" t="n">
        <f aca="false">SUMPRODUCT(MMULT(I6269:W6269,_XtX!$B$78:$P$92),I6269:W6269)</f>
        <v>0.670040376005117</v>
      </c>
      <c r="Z6269" s="0" t="n">
        <f aca="false">04_回帰ANOVA!$K$19*04_回帰ANOVA!$K$14*SQRT(1+Y6269)</f>
        <v>1.68446456039992</v>
      </c>
      <c r="AA6269" s="0" t="n">
        <f aca="false">X6269-Z6269</f>
        <v>45.3564574059744</v>
      </c>
      <c r="AB6269" s="0" t="n">
        <f aca="false">X6269+Z6269</f>
        <v>48.7253865267743</v>
      </c>
      <c r="AC6269" s="54" t="b">
        <f aca="false">AND(E6269&gt;=01_因子設定!$L$5-0.000000001,E6269&lt;=01_因子設定!$M$5+0.000000001,F6269&gt;=01_因子設定!$L$6-0.000000001,F6269&lt;=01_因子設定!$M$6+0.000000001,G6269&gt;=01_因子設定!$L$7-0.000000001,G6269&lt;=01_因子設定!$M$7+0.000000001,H6269&gt;=01_因子設定!$L$8-0.000000001,H6269&lt;=01_因子設定!$M$8+0.000000001,IF(01_因子設定!$B$20="Box-Behnken",E6269^2+F6269^2+G6269^2+H6269^2&lt;=2+0.000000001,TRUE()))</f>
        <v>1</v>
      </c>
      <c r="AD6269" s="55" t="n">
        <f aca="false">IF(AC6269,IF(01_因子設定!$B$13="最大化",AA6269-01_因子設定!$B$14,IF(01_因子設定!$B$13="最小化",01_因子設定!$B$15-AB6269,MIN(AA6269-01_因子設定!$B$14,01_因子設定!$B$15-AB6269))),-1E+030)</f>
        <v>-1.14354259402558</v>
      </c>
      <c r="AE6269" s="55" t="n">
        <f aca="false">IF(AC6269,IF(01_因子設定!$B$13="最大化",X6269,IF(01_因子設定!$B$13="最小化",-X6269,-ABS(X6269-01_因子設定!$B$16))),-1E+030)</f>
        <v>47.0409219663743</v>
      </c>
      <c r="AF6269" s="55" t="n">
        <f aca="false">AD6269+ROW()*0.000000001</f>
        <v>-1.14353632502558</v>
      </c>
      <c r="AG6269" s="55" t="n">
        <f aca="false">AE6269+ROW()*0.000000001</f>
        <v>47.0409282353743</v>
      </c>
    </row>
    <row r="6270" customFormat="false" ht="15" hidden="false" customHeight="false" outlineLevel="0" collapsed="false">
      <c r="A6270" s="0" t="n">
        <v>8</v>
      </c>
      <c r="B6270" s="0" t="n">
        <v>5</v>
      </c>
      <c r="C6270" s="0" t="n">
        <v>3</v>
      </c>
      <c r="D6270" s="0" t="n">
        <v>1</v>
      </c>
      <c r="E6270" s="0" t="n">
        <f aca="false">-1+A6270*0.25</f>
        <v>1</v>
      </c>
      <c r="F6270" s="0" t="n">
        <f aca="false">-1+B6270*0.25</f>
        <v>0.25</v>
      </c>
      <c r="G6270" s="0" t="n">
        <f aca="false">-1+C6270*0.25</f>
        <v>-0.25</v>
      </c>
      <c r="H6270" s="0" t="n">
        <f aca="false">-1+D6270*0.25</f>
        <v>-0.75</v>
      </c>
      <c r="I6270" s="0" t="n">
        <f aca="false">1</f>
        <v>1</v>
      </c>
      <c r="J6270" s="0" t="n">
        <f aca="false">E6270</f>
        <v>1</v>
      </c>
      <c r="K6270" s="0" t="n">
        <f aca="false">F6270</f>
        <v>0.25</v>
      </c>
      <c r="L6270" s="0" t="n">
        <f aca="false">G6270</f>
        <v>-0.25</v>
      </c>
      <c r="M6270" s="0" t="n">
        <f aca="false">H6270</f>
        <v>-0.75</v>
      </c>
      <c r="N6270" s="0" t="n">
        <f aca="false">E6270*F6270</f>
        <v>0.25</v>
      </c>
      <c r="O6270" s="0" t="n">
        <f aca="false">E6270*G6270</f>
        <v>-0.25</v>
      </c>
      <c r="P6270" s="0" t="n">
        <f aca="false">E6270*H6270</f>
        <v>-0.75</v>
      </c>
      <c r="Q6270" s="0" t="n">
        <f aca="false">F6270*G6270</f>
        <v>-0.0625</v>
      </c>
      <c r="R6270" s="0" t="n">
        <f aca="false">F6270*H6270</f>
        <v>-0.1875</v>
      </c>
      <c r="S6270" s="0" t="n">
        <f aca="false">G6270*H6270</f>
        <v>0.1875</v>
      </c>
      <c r="T6270" s="0" t="n">
        <f aca="false">E6270*E6270</f>
        <v>1</v>
      </c>
      <c r="U6270" s="0" t="n">
        <f aca="false">F6270*F6270</f>
        <v>0.0625</v>
      </c>
      <c r="V6270" s="0" t="n">
        <f aca="false">G6270*G6270</f>
        <v>0.0625</v>
      </c>
      <c r="W6270" s="0" t="n">
        <f aca="false">H6270*H6270</f>
        <v>0.5625</v>
      </c>
      <c r="X6270" s="0" t="n">
        <f aca="false">SUMPRODUCT(I6270:W6270,_XtX!$B$96:$P$96)</f>
        <v>47.3096354166667</v>
      </c>
      <c r="Y6270" s="0" t="n">
        <f aca="false">SUMPRODUCT(MMULT(I6270:W6270,_XtX!$B$78:$P$92),I6270:W6270)</f>
        <v>0.486409505208334</v>
      </c>
      <c r="Z6270" s="0" t="n">
        <f aca="false">04_回帰ANOVA!$K$19*04_回帰ANOVA!$K$14*SQRT(1+Y6270)</f>
        <v>1.58916001665498</v>
      </c>
      <c r="AA6270" s="0" t="n">
        <f aca="false">X6270-Z6270</f>
        <v>45.7204754000117</v>
      </c>
      <c r="AB6270" s="0" t="n">
        <f aca="false">X6270+Z6270</f>
        <v>48.8987954333217</v>
      </c>
      <c r="AC6270" s="54" t="b">
        <f aca="false">AND(E6270&gt;=01_因子設定!$L$5-0.000000001,E6270&lt;=01_因子設定!$M$5+0.000000001,F6270&gt;=01_因子設定!$L$6-0.000000001,F6270&lt;=01_因子設定!$M$6+0.000000001,G6270&gt;=01_因子設定!$L$7-0.000000001,G6270&lt;=01_因子設定!$M$7+0.000000001,H6270&gt;=01_因子設定!$L$8-0.000000001,H6270&lt;=01_因子設定!$M$8+0.000000001,IF(01_因子設定!$B$20="Box-Behnken",E6270^2+F6270^2+G6270^2+H6270^2&lt;=2+0.000000001,TRUE()))</f>
        <v>1</v>
      </c>
      <c r="AD6270" s="55" t="n">
        <f aca="false">IF(AC6270,IF(01_因子設定!$B$13="最大化",AA6270-01_因子設定!$B$14,IF(01_因子設定!$B$13="最小化",01_因子設定!$B$15-AB6270,MIN(AA6270-01_因子設定!$B$14,01_因子設定!$B$15-AB6270))),-1E+030)</f>
        <v>-0.779524599988264</v>
      </c>
      <c r="AE6270" s="55" t="n">
        <f aca="false">IF(AC6270,IF(01_因子設定!$B$13="最大化",X6270,IF(01_因子設定!$B$13="最小化",-X6270,-ABS(X6270-01_因子設定!$B$16))),-1E+030)</f>
        <v>47.3096354166667</v>
      </c>
      <c r="AF6270" s="55" t="n">
        <f aca="false">AD6270+ROW()*0.000000001</f>
        <v>-0.779518329988264</v>
      </c>
      <c r="AG6270" s="55" t="n">
        <f aca="false">AE6270+ROW()*0.000000001</f>
        <v>47.3096416866667</v>
      </c>
    </row>
    <row r="6271" customFormat="false" ht="15" hidden="false" customHeight="false" outlineLevel="0" collapsed="false">
      <c r="A6271" s="0" t="n">
        <v>8</v>
      </c>
      <c r="B6271" s="0" t="n">
        <v>5</v>
      </c>
      <c r="C6271" s="0" t="n">
        <v>3</v>
      </c>
      <c r="D6271" s="0" t="n">
        <v>2</v>
      </c>
      <c r="E6271" s="0" t="n">
        <f aca="false">-1+A6271*0.25</f>
        <v>1</v>
      </c>
      <c r="F6271" s="0" t="n">
        <f aca="false">-1+B6271*0.25</f>
        <v>0.25</v>
      </c>
      <c r="G6271" s="0" t="n">
        <f aca="false">-1+C6271*0.25</f>
        <v>-0.25</v>
      </c>
      <c r="H6271" s="0" t="n">
        <f aca="false">-1+D6271*0.25</f>
        <v>-0.5</v>
      </c>
      <c r="I6271" s="0" t="n">
        <f aca="false">1</f>
        <v>1</v>
      </c>
      <c r="J6271" s="0" t="n">
        <f aca="false">E6271</f>
        <v>1</v>
      </c>
      <c r="K6271" s="0" t="n">
        <f aca="false">F6271</f>
        <v>0.25</v>
      </c>
      <c r="L6271" s="0" t="n">
        <f aca="false">G6271</f>
        <v>-0.25</v>
      </c>
      <c r="M6271" s="0" t="n">
        <f aca="false">H6271</f>
        <v>-0.5</v>
      </c>
      <c r="N6271" s="0" t="n">
        <f aca="false">E6271*F6271</f>
        <v>0.25</v>
      </c>
      <c r="O6271" s="0" t="n">
        <f aca="false">E6271*G6271</f>
        <v>-0.25</v>
      </c>
      <c r="P6271" s="0" t="n">
        <f aca="false">E6271*H6271</f>
        <v>-0.5</v>
      </c>
      <c r="Q6271" s="0" t="n">
        <f aca="false">F6271*G6271</f>
        <v>-0.0625</v>
      </c>
      <c r="R6271" s="0" t="n">
        <f aca="false">F6271*H6271</f>
        <v>-0.125</v>
      </c>
      <c r="S6271" s="0" t="n">
        <f aca="false">G6271*H6271</f>
        <v>0.125</v>
      </c>
      <c r="T6271" s="0" t="n">
        <f aca="false">E6271*E6271</f>
        <v>1</v>
      </c>
      <c r="U6271" s="0" t="n">
        <f aca="false">F6271*F6271</f>
        <v>0.0625</v>
      </c>
      <c r="V6271" s="0" t="n">
        <f aca="false">G6271*G6271</f>
        <v>0.0625</v>
      </c>
      <c r="W6271" s="0" t="n">
        <f aca="false">H6271*H6271</f>
        <v>0.25</v>
      </c>
      <c r="X6271" s="0" t="n">
        <f aca="false">SUMPRODUCT(I6271:W6271,_XtX!$B$96:$P$96)</f>
        <v>47.5305418494152</v>
      </c>
      <c r="Y6271" s="0" t="n">
        <f aca="false">SUMPRODUCT(MMULT(I6271:W6271,_XtX!$B$78:$P$92),I6271:W6271)</f>
        <v>0.445705123812135</v>
      </c>
      <c r="Z6271" s="0" t="n">
        <f aca="false">04_回帰ANOVA!$K$19*04_回帰ANOVA!$K$14*SQRT(1+Y6271)</f>
        <v>1.56724990734749</v>
      </c>
      <c r="AA6271" s="0" t="n">
        <f aca="false">X6271-Z6271</f>
        <v>45.9632919420678</v>
      </c>
      <c r="AB6271" s="0" t="n">
        <f aca="false">X6271+Z6271</f>
        <v>49.0977917567627</v>
      </c>
      <c r="AC6271" s="54" t="b">
        <f aca="false">AND(E6271&gt;=01_因子設定!$L$5-0.000000001,E6271&lt;=01_因子設定!$M$5+0.000000001,F6271&gt;=01_因子設定!$L$6-0.000000001,F6271&lt;=01_因子設定!$M$6+0.000000001,G6271&gt;=01_因子設定!$L$7-0.000000001,G6271&lt;=01_因子設定!$M$7+0.000000001,H6271&gt;=01_因子設定!$L$8-0.000000001,H6271&lt;=01_因子設定!$M$8+0.000000001,IF(01_因子設定!$B$20="Box-Behnken",E6271^2+F6271^2+G6271^2+H6271^2&lt;=2+0.000000001,TRUE()))</f>
        <v>1</v>
      </c>
      <c r="AD6271" s="55" t="n">
        <f aca="false">IF(AC6271,IF(01_因子設定!$B$13="最大化",AA6271-01_因子設定!$B$14,IF(01_因子設定!$B$13="最小化",01_因子設定!$B$15-AB6271,MIN(AA6271-01_因子設定!$B$14,01_因子設定!$B$15-AB6271))),-1E+030)</f>
        <v>-0.536708057932252</v>
      </c>
      <c r="AE6271" s="55" t="n">
        <f aca="false">IF(AC6271,IF(01_因子設定!$B$13="最大化",X6271,IF(01_因子設定!$B$13="最小化",-X6271,-ABS(X6271-01_因子設定!$B$16))),-1E+030)</f>
        <v>47.5305418494152</v>
      </c>
      <c r="AF6271" s="55" t="n">
        <f aca="false">AD6271+ROW()*0.000000001</f>
        <v>-0.536701786932252</v>
      </c>
      <c r="AG6271" s="55" t="n">
        <f aca="false">AE6271+ROW()*0.000000001</f>
        <v>47.5305481204152</v>
      </c>
    </row>
    <row r="6272" customFormat="false" ht="15" hidden="false" customHeight="false" outlineLevel="0" collapsed="false">
      <c r="A6272" s="0" t="n">
        <v>8</v>
      </c>
      <c r="B6272" s="0" t="n">
        <v>5</v>
      </c>
      <c r="C6272" s="0" t="n">
        <v>3</v>
      </c>
      <c r="D6272" s="0" t="n">
        <v>3</v>
      </c>
      <c r="E6272" s="0" t="n">
        <f aca="false">-1+A6272*0.25</f>
        <v>1</v>
      </c>
      <c r="F6272" s="0" t="n">
        <f aca="false">-1+B6272*0.25</f>
        <v>0.25</v>
      </c>
      <c r="G6272" s="0" t="n">
        <f aca="false">-1+C6272*0.25</f>
        <v>-0.25</v>
      </c>
      <c r="H6272" s="0" t="n">
        <f aca="false">-1+D6272*0.25</f>
        <v>-0.25</v>
      </c>
      <c r="I6272" s="0" t="n">
        <f aca="false">1</f>
        <v>1</v>
      </c>
      <c r="J6272" s="0" t="n">
        <f aca="false">E6272</f>
        <v>1</v>
      </c>
      <c r="K6272" s="0" t="n">
        <f aca="false">F6272</f>
        <v>0.25</v>
      </c>
      <c r="L6272" s="0" t="n">
        <f aca="false">G6272</f>
        <v>-0.25</v>
      </c>
      <c r="M6272" s="0" t="n">
        <f aca="false">H6272</f>
        <v>-0.25</v>
      </c>
      <c r="N6272" s="0" t="n">
        <f aca="false">E6272*F6272</f>
        <v>0.25</v>
      </c>
      <c r="O6272" s="0" t="n">
        <f aca="false">E6272*G6272</f>
        <v>-0.25</v>
      </c>
      <c r="P6272" s="0" t="n">
        <f aca="false">E6272*H6272</f>
        <v>-0.25</v>
      </c>
      <c r="Q6272" s="0" t="n">
        <f aca="false">F6272*G6272</f>
        <v>-0.0625</v>
      </c>
      <c r="R6272" s="0" t="n">
        <f aca="false">F6272*H6272</f>
        <v>-0.0625</v>
      </c>
      <c r="S6272" s="0" t="n">
        <f aca="false">G6272*H6272</f>
        <v>0.0625</v>
      </c>
      <c r="T6272" s="0" t="n">
        <f aca="false">E6272*E6272</f>
        <v>1</v>
      </c>
      <c r="U6272" s="0" t="n">
        <f aca="false">F6272*F6272</f>
        <v>0.0625</v>
      </c>
      <c r="V6272" s="0" t="n">
        <f aca="false">G6272*G6272</f>
        <v>0.0625</v>
      </c>
      <c r="W6272" s="0" t="n">
        <f aca="false">H6272*H6272</f>
        <v>0.0625</v>
      </c>
      <c r="X6272" s="0" t="n">
        <f aca="false">SUMPRODUCT(I6272:W6272,_XtX!$B$96:$P$96)</f>
        <v>47.7036412646199</v>
      </c>
      <c r="Y6272" s="0" t="n">
        <f aca="false">SUMPRODUCT(MMULT(I6272:W6272,_XtX!$B$78:$P$92),I6272:W6272)</f>
        <v>0.457466705500731</v>
      </c>
      <c r="Z6272" s="0" t="n">
        <f aca="false">04_回帰ANOVA!$K$19*04_回帰ANOVA!$K$14*SQRT(1+Y6272)</f>
        <v>1.57361220003999</v>
      </c>
      <c r="AA6272" s="0" t="n">
        <f aca="false">X6272-Z6272</f>
        <v>46.1300290645799</v>
      </c>
      <c r="AB6272" s="0" t="n">
        <f aca="false">X6272+Z6272</f>
        <v>49.2772534646599</v>
      </c>
      <c r="AC6272" s="54" t="b">
        <f aca="false">AND(E6272&gt;=01_因子設定!$L$5-0.000000001,E6272&lt;=01_因子設定!$M$5+0.000000001,F6272&gt;=01_因子設定!$L$6-0.000000001,F6272&lt;=01_因子設定!$M$6+0.000000001,G6272&gt;=01_因子設定!$L$7-0.000000001,G6272&lt;=01_因子設定!$M$7+0.000000001,H6272&gt;=01_因子設定!$L$8-0.000000001,H6272&lt;=01_因子設定!$M$8+0.000000001,IF(01_因子設定!$B$20="Box-Behnken",E6272^2+F6272^2+G6272^2+H6272^2&lt;=2+0.000000001,TRUE()))</f>
        <v>1</v>
      </c>
      <c r="AD6272" s="55" t="n">
        <f aca="false">IF(AC6272,IF(01_因子設定!$B$13="最大化",AA6272-01_因子設定!$B$14,IF(01_因子設定!$B$13="最小化",01_因子設定!$B$15-AB6272,MIN(AA6272-01_因子設定!$B$14,01_因子設定!$B$15-AB6272))),-1E+030)</f>
        <v>-0.369970935420085</v>
      </c>
      <c r="AE6272" s="55" t="n">
        <f aca="false">IF(AC6272,IF(01_因子設定!$B$13="最大化",X6272,IF(01_因子設定!$B$13="最小化",-X6272,-ABS(X6272-01_因子設定!$B$16))),-1E+030)</f>
        <v>47.7036412646199</v>
      </c>
      <c r="AF6272" s="55" t="n">
        <f aca="false">AD6272+ROW()*0.000000001</f>
        <v>-0.369964663420085</v>
      </c>
      <c r="AG6272" s="55" t="n">
        <f aca="false">AE6272+ROW()*0.000000001</f>
        <v>47.7036475366199</v>
      </c>
    </row>
    <row r="6273" customFormat="false" ht="15" hidden="false" customHeight="false" outlineLevel="0" collapsed="false">
      <c r="A6273" s="0" t="n">
        <v>8</v>
      </c>
      <c r="B6273" s="0" t="n">
        <v>5</v>
      </c>
      <c r="C6273" s="0" t="n">
        <v>3</v>
      </c>
      <c r="D6273" s="0" t="n">
        <v>4</v>
      </c>
      <c r="E6273" s="0" t="n">
        <f aca="false">-1+A6273*0.25</f>
        <v>1</v>
      </c>
      <c r="F6273" s="0" t="n">
        <f aca="false">-1+B6273*0.25</f>
        <v>0.25</v>
      </c>
      <c r="G6273" s="0" t="n">
        <f aca="false">-1+C6273*0.25</f>
        <v>-0.25</v>
      </c>
      <c r="H6273" s="0" t="n">
        <f aca="false">-1+D6273*0.25</f>
        <v>0</v>
      </c>
      <c r="I6273" s="0" t="n">
        <f aca="false">1</f>
        <v>1</v>
      </c>
      <c r="J6273" s="0" t="n">
        <f aca="false">E6273</f>
        <v>1</v>
      </c>
      <c r="K6273" s="0" t="n">
        <f aca="false">F6273</f>
        <v>0.25</v>
      </c>
      <c r="L6273" s="0" t="n">
        <f aca="false">G6273</f>
        <v>-0.25</v>
      </c>
      <c r="M6273" s="0" t="n">
        <f aca="false">H6273</f>
        <v>0</v>
      </c>
      <c r="N6273" s="0" t="n">
        <f aca="false">E6273*F6273</f>
        <v>0.25</v>
      </c>
      <c r="O6273" s="0" t="n">
        <f aca="false">E6273*G6273</f>
        <v>-0.25</v>
      </c>
      <c r="P6273" s="0" t="n">
        <f aca="false">E6273*H6273</f>
        <v>0</v>
      </c>
      <c r="Q6273" s="0" t="n">
        <f aca="false">F6273*G6273</f>
        <v>-0.0625</v>
      </c>
      <c r="R6273" s="0" t="n">
        <f aca="false">F6273*H6273</f>
        <v>0</v>
      </c>
      <c r="S6273" s="0" t="n">
        <f aca="false">G6273*H6273</f>
        <v>-0</v>
      </c>
      <c r="T6273" s="0" t="n">
        <f aca="false">E6273*E6273</f>
        <v>1</v>
      </c>
      <c r="U6273" s="0" t="n">
        <f aca="false">F6273*F6273</f>
        <v>0.0625</v>
      </c>
      <c r="V6273" s="0" t="n">
        <f aca="false">G6273*G6273</f>
        <v>0.0625</v>
      </c>
      <c r="W6273" s="0" t="n">
        <f aca="false">H6273*H6273</f>
        <v>0</v>
      </c>
      <c r="X6273" s="0" t="n">
        <f aca="false">SUMPRODUCT(I6273:W6273,_XtX!$B$96:$P$96)</f>
        <v>47.8289336622807</v>
      </c>
      <c r="Y6273" s="0" t="n">
        <f aca="false">SUMPRODUCT(MMULT(I6273:W6273,_XtX!$B$78:$P$92),I6273:W6273)</f>
        <v>0.467417934484649</v>
      </c>
      <c r="Z6273" s="0" t="n">
        <f aca="false">04_回帰ANOVA!$K$19*04_回帰ANOVA!$K$14*SQRT(1+Y6273)</f>
        <v>1.57897518244497</v>
      </c>
      <c r="AA6273" s="0" t="n">
        <f aca="false">X6273-Z6273</f>
        <v>46.2499584798358</v>
      </c>
      <c r="AB6273" s="0" t="n">
        <f aca="false">X6273+Z6273</f>
        <v>49.4079088447257</v>
      </c>
      <c r="AC6273" s="54" t="b">
        <f aca="false">AND(E6273&gt;=01_因子設定!$L$5-0.000000001,E6273&lt;=01_因子設定!$M$5+0.000000001,F6273&gt;=01_因子設定!$L$6-0.000000001,F6273&lt;=01_因子設定!$M$6+0.000000001,G6273&gt;=01_因子設定!$L$7-0.000000001,G6273&lt;=01_因子設定!$M$7+0.000000001,H6273&gt;=01_因子設定!$L$8-0.000000001,H6273&lt;=01_因子設定!$M$8+0.000000001,IF(01_因子設定!$B$20="Box-Behnken",E6273^2+F6273^2+G6273^2+H6273^2&lt;=2+0.000000001,TRUE()))</f>
        <v>1</v>
      </c>
      <c r="AD6273" s="55" t="n">
        <f aca="false">IF(AC6273,IF(01_因子設定!$B$13="最大化",AA6273-01_因子設定!$B$14,IF(01_因子設定!$B$13="最小化",01_因子設定!$B$15-AB6273,MIN(AA6273-01_因子設定!$B$14,01_因子設定!$B$15-AB6273))),-1E+030)</f>
        <v>-0.250041520164245</v>
      </c>
      <c r="AE6273" s="55" t="n">
        <f aca="false">IF(AC6273,IF(01_因子設定!$B$13="最大化",X6273,IF(01_因子設定!$B$13="最小化",-X6273,-ABS(X6273-01_因子設定!$B$16))),-1E+030)</f>
        <v>47.8289336622807</v>
      </c>
      <c r="AF6273" s="55" t="n">
        <f aca="false">AD6273+ROW()*0.000000001</f>
        <v>-0.250035247164245</v>
      </c>
      <c r="AG6273" s="55" t="n">
        <f aca="false">AE6273+ROW()*0.000000001</f>
        <v>47.8289399352807</v>
      </c>
    </row>
    <row r="6274" customFormat="false" ht="15" hidden="false" customHeight="false" outlineLevel="0" collapsed="false">
      <c r="A6274" s="0" t="n">
        <v>8</v>
      </c>
      <c r="B6274" s="0" t="n">
        <v>5</v>
      </c>
      <c r="C6274" s="0" t="n">
        <v>3</v>
      </c>
      <c r="D6274" s="0" t="n">
        <v>5</v>
      </c>
      <c r="E6274" s="0" t="n">
        <f aca="false">-1+A6274*0.25</f>
        <v>1</v>
      </c>
      <c r="F6274" s="0" t="n">
        <f aca="false">-1+B6274*0.25</f>
        <v>0.25</v>
      </c>
      <c r="G6274" s="0" t="n">
        <f aca="false">-1+C6274*0.25</f>
        <v>-0.25</v>
      </c>
      <c r="H6274" s="0" t="n">
        <f aca="false">-1+D6274*0.25</f>
        <v>0.25</v>
      </c>
      <c r="I6274" s="0" t="n">
        <f aca="false">1</f>
        <v>1</v>
      </c>
      <c r="J6274" s="0" t="n">
        <f aca="false">E6274</f>
        <v>1</v>
      </c>
      <c r="K6274" s="0" t="n">
        <f aca="false">F6274</f>
        <v>0.25</v>
      </c>
      <c r="L6274" s="0" t="n">
        <f aca="false">G6274</f>
        <v>-0.25</v>
      </c>
      <c r="M6274" s="0" t="n">
        <f aca="false">H6274</f>
        <v>0.25</v>
      </c>
      <c r="N6274" s="0" t="n">
        <f aca="false">E6274*F6274</f>
        <v>0.25</v>
      </c>
      <c r="O6274" s="0" t="n">
        <f aca="false">E6274*G6274</f>
        <v>-0.25</v>
      </c>
      <c r="P6274" s="0" t="n">
        <f aca="false">E6274*H6274</f>
        <v>0.25</v>
      </c>
      <c r="Q6274" s="0" t="n">
        <f aca="false">F6274*G6274</f>
        <v>-0.0625</v>
      </c>
      <c r="R6274" s="0" t="n">
        <f aca="false">F6274*H6274</f>
        <v>0.0625</v>
      </c>
      <c r="S6274" s="0" t="n">
        <f aca="false">G6274*H6274</f>
        <v>-0.0625</v>
      </c>
      <c r="T6274" s="0" t="n">
        <f aca="false">E6274*E6274</f>
        <v>1</v>
      </c>
      <c r="U6274" s="0" t="n">
        <f aca="false">F6274*F6274</f>
        <v>0.0625</v>
      </c>
      <c r="V6274" s="0" t="n">
        <f aca="false">G6274*G6274</f>
        <v>0.0625</v>
      </c>
      <c r="W6274" s="0" t="n">
        <f aca="false">H6274*H6274</f>
        <v>0.0625</v>
      </c>
      <c r="X6274" s="0" t="n">
        <f aca="false">SUMPRODUCT(I6274:W6274,_XtX!$B$96:$P$96)</f>
        <v>47.9064190423977</v>
      </c>
      <c r="Y6274" s="0" t="n">
        <f aca="false">SUMPRODUCT(MMULT(I6274:W6274,_XtX!$B$78:$P$92),I6274:W6274)</f>
        <v>0.457466705500731</v>
      </c>
      <c r="Z6274" s="0" t="n">
        <f aca="false">04_回帰ANOVA!$K$19*04_回帰ANOVA!$K$14*SQRT(1+Y6274)</f>
        <v>1.57361220003999</v>
      </c>
      <c r="AA6274" s="0" t="n">
        <f aca="false">X6274-Z6274</f>
        <v>46.3328068423577</v>
      </c>
      <c r="AB6274" s="0" t="n">
        <f aca="false">X6274+Z6274</f>
        <v>49.4800312424377</v>
      </c>
      <c r="AC6274" s="54" t="b">
        <f aca="false">AND(E6274&gt;=01_因子設定!$L$5-0.000000001,E6274&lt;=01_因子設定!$M$5+0.000000001,F6274&gt;=01_因子設定!$L$6-0.000000001,F6274&lt;=01_因子設定!$M$6+0.000000001,G6274&gt;=01_因子設定!$L$7-0.000000001,G6274&lt;=01_因子設定!$M$7+0.000000001,H6274&gt;=01_因子設定!$L$8-0.000000001,H6274&lt;=01_因子設定!$M$8+0.000000001,IF(01_因子設定!$B$20="Box-Behnken",E6274^2+F6274^2+G6274^2+H6274^2&lt;=2+0.000000001,TRUE()))</f>
        <v>1</v>
      </c>
      <c r="AD6274" s="55" t="n">
        <f aca="false">IF(AC6274,IF(01_因子設定!$B$13="最大化",AA6274-01_因子設定!$B$14,IF(01_因子設定!$B$13="最小化",01_因子設定!$B$15-AB6274,MIN(AA6274-01_因子設定!$B$14,01_因子設定!$B$15-AB6274))),-1E+030)</f>
        <v>-0.167193157642309</v>
      </c>
      <c r="AE6274" s="55" t="n">
        <f aca="false">IF(AC6274,IF(01_因子設定!$B$13="最大化",X6274,IF(01_因子設定!$B$13="最小化",-X6274,-ABS(X6274-01_因子設定!$B$16))),-1E+030)</f>
        <v>47.9064190423977</v>
      </c>
      <c r="AF6274" s="55" t="n">
        <f aca="false">AD6274+ROW()*0.000000001</f>
        <v>-0.167186883642309</v>
      </c>
      <c r="AG6274" s="55" t="n">
        <f aca="false">AE6274+ROW()*0.000000001</f>
        <v>47.9064253163977</v>
      </c>
    </row>
    <row r="6275" customFormat="false" ht="15" hidden="false" customHeight="false" outlineLevel="0" collapsed="false">
      <c r="A6275" s="0" t="n">
        <v>8</v>
      </c>
      <c r="B6275" s="0" t="n">
        <v>5</v>
      </c>
      <c r="C6275" s="0" t="n">
        <v>3</v>
      </c>
      <c r="D6275" s="0" t="n">
        <v>6</v>
      </c>
      <c r="E6275" s="0" t="n">
        <f aca="false">-1+A6275*0.25</f>
        <v>1</v>
      </c>
      <c r="F6275" s="0" t="n">
        <f aca="false">-1+B6275*0.25</f>
        <v>0.25</v>
      </c>
      <c r="G6275" s="0" t="n">
        <f aca="false">-1+C6275*0.25</f>
        <v>-0.25</v>
      </c>
      <c r="H6275" s="0" t="n">
        <f aca="false">-1+D6275*0.25</f>
        <v>0.5</v>
      </c>
      <c r="I6275" s="0" t="n">
        <f aca="false">1</f>
        <v>1</v>
      </c>
      <c r="J6275" s="0" t="n">
        <f aca="false">E6275</f>
        <v>1</v>
      </c>
      <c r="K6275" s="0" t="n">
        <f aca="false">F6275</f>
        <v>0.25</v>
      </c>
      <c r="L6275" s="0" t="n">
        <f aca="false">G6275</f>
        <v>-0.25</v>
      </c>
      <c r="M6275" s="0" t="n">
        <f aca="false">H6275</f>
        <v>0.5</v>
      </c>
      <c r="N6275" s="0" t="n">
        <f aca="false">E6275*F6275</f>
        <v>0.25</v>
      </c>
      <c r="O6275" s="0" t="n">
        <f aca="false">E6275*G6275</f>
        <v>-0.25</v>
      </c>
      <c r="P6275" s="0" t="n">
        <f aca="false">E6275*H6275</f>
        <v>0.5</v>
      </c>
      <c r="Q6275" s="0" t="n">
        <f aca="false">F6275*G6275</f>
        <v>-0.0625</v>
      </c>
      <c r="R6275" s="0" t="n">
        <f aca="false">F6275*H6275</f>
        <v>0.125</v>
      </c>
      <c r="S6275" s="0" t="n">
        <f aca="false">G6275*H6275</f>
        <v>-0.125</v>
      </c>
      <c r="T6275" s="0" t="n">
        <f aca="false">E6275*E6275</f>
        <v>1</v>
      </c>
      <c r="U6275" s="0" t="n">
        <f aca="false">F6275*F6275</f>
        <v>0.0625</v>
      </c>
      <c r="V6275" s="0" t="n">
        <f aca="false">G6275*G6275</f>
        <v>0.0625</v>
      </c>
      <c r="W6275" s="0" t="n">
        <f aca="false">H6275*H6275</f>
        <v>0.25</v>
      </c>
      <c r="X6275" s="0" t="n">
        <f aca="false">SUMPRODUCT(I6275:W6275,_XtX!$B$96:$P$96)</f>
        <v>47.9360974049708</v>
      </c>
      <c r="Y6275" s="0" t="n">
        <f aca="false">SUMPRODUCT(MMULT(I6275:W6275,_XtX!$B$78:$P$92),I6275:W6275)</f>
        <v>0.445705123812135</v>
      </c>
      <c r="Z6275" s="0" t="n">
        <f aca="false">04_回帰ANOVA!$K$19*04_回帰ANOVA!$K$14*SQRT(1+Y6275)</f>
        <v>1.56724990734749</v>
      </c>
      <c r="AA6275" s="0" t="n">
        <f aca="false">X6275-Z6275</f>
        <v>46.3688474976233</v>
      </c>
      <c r="AB6275" s="0" t="n">
        <f aca="false">X6275+Z6275</f>
        <v>49.5033473123183</v>
      </c>
      <c r="AC6275" s="54" t="b">
        <f aca="false">AND(E6275&gt;=01_因子設定!$L$5-0.000000001,E6275&lt;=01_因子設定!$M$5+0.000000001,F6275&gt;=01_因子設定!$L$6-0.000000001,F6275&lt;=01_因子設定!$M$6+0.000000001,G6275&gt;=01_因子設定!$L$7-0.000000001,G6275&lt;=01_因子設定!$M$7+0.000000001,H6275&gt;=01_因子設定!$L$8-0.000000001,H6275&lt;=01_因子設定!$M$8+0.000000001,IF(01_因子設定!$B$20="Box-Behnken",E6275^2+F6275^2+G6275^2+H6275^2&lt;=2+0.000000001,TRUE()))</f>
        <v>1</v>
      </c>
      <c r="AD6275" s="55" t="n">
        <f aca="false">IF(AC6275,IF(01_因子設定!$B$13="最大化",AA6275-01_因子設定!$B$14,IF(01_因子設定!$B$13="最小化",01_因子設定!$B$15-AB6275,MIN(AA6275-01_因子設定!$B$14,01_因子設定!$B$15-AB6275))),-1E+030)</f>
        <v>-0.131152502376693</v>
      </c>
      <c r="AE6275" s="55" t="n">
        <f aca="false">IF(AC6275,IF(01_因子設定!$B$13="最大化",X6275,IF(01_因子設定!$B$13="最小化",-X6275,-ABS(X6275-01_因子設定!$B$16))),-1E+030)</f>
        <v>47.9360974049708</v>
      </c>
      <c r="AF6275" s="55" t="n">
        <f aca="false">AD6275+ROW()*0.000000001</f>
        <v>-0.131146227376693</v>
      </c>
      <c r="AG6275" s="55" t="n">
        <f aca="false">AE6275+ROW()*0.000000001</f>
        <v>47.9361036799708</v>
      </c>
    </row>
    <row r="6276" customFormat="false" ht="15" hidden="false" customHeight="false" outlineLevel="0" collapsed="false">
      <c r="A6276" s="0" t="n">
        <v>8</v>
      </c>
      <c r="B6276" s="0" t="n">
        <v>5</v>
      </c>
      <c r="C6276" s="0" t="n">
        <v>3</v>
      </c>
      <c r="D6276" s="0" t="n">
        <v>7</v>
      </c>
      <c r="E6276" s="0" t="n">
        <f aca="false">-1+A6276*0.25</f>
        <v>1</v>
      </c>
      <c r="F6276" s="0" t="n">
        <f aca="false">-1+B6276*0.25</f>
        <v>0.25</v>
      </c>
      <c r="G6276" s="0" t="n">
        <f aca="false">-1+C6276*0.25</f>
        <v>-0.25</v>
      </c>
      <c r="H6276" s="0" t="n">
        <f aca="false">-1+D6276*0.25</f>
        <v>0.75</v>
      </c>
      <c r="I6276" s="0" t="n">
        <f aca="false">1</f>
        <v>1</v>
      </c>
      <c r="J6276" s="0" t="n">
        <f aca="false">E6276</f>
        <v>1</v>
      </c>
      <c r="K6276" s="0" t="n">
        <f aca="false">F6276</f>
        <v>0.25</v>
      </c>
      <c r="L6276" s="0" t="n">
        <f aca="false">G6276</f>
        <v>-0.25</v>
      </c>
      <c r="M6276" s="0" t="n">
        <f aca="false">H6276</f>
        <v>0.75</v>
      </c>
      <c r="N6276" s="0" t="n">
        <f aca="false">E6276*F6276</f>
        <v>0.25</v>
      </c>
      <c r="O6276" s="0" t="n">
        <f aca="false">E6276*G6276</f>
        <v>-0.25</v>
      </c>
      <c r="P6276" s="0" t="n">
        <f aca="false">E6276*H6276</f>
        <v>0.75</v>
      </c>
      <c r="Q6276" s="0" t="n">
        <f aca="false">F6276*G6276</f>
        <v>-0.0625</v>
      </c>
      <c r="R6276" s="0" t="n">
        <f aca="false">F6276*H6276</f>
        <v>0.1875</v>
      </c>
      <c r="S6276" s="0" t="n">
        <f aca="false">G6276*H6276</f>
        <v>-0.1875</v>
      </c>
      <c r="T6276" s="0" t="n">
        <f aca="false">E6276*E6276</f>
        <v>1</v>
      </c>
      <c r="U6276" s="0" t="n">
        <f aca="false">F6276*F6276</f>
        <v>0.0625</v>
      </c>
      <c r="V6276" s="0" t="n">
        <f aca="false">G6276*G6276</f>
        <v>0.0625</v>
      </c>
      <c r="W6276" s="0" t="n">
        <f aca="false">H6276*H6276</f>
        <v>0.5625</v>
      </c>
      <c r="X6276" s="0" t="n">
        <f aca="false">SUMPRODUCT(I6276:W6276,_XtX!$B$96:$P$96)</f>
        <v>47.91796875</v>
      </c>
      <c r="Y6276" s="0" t="n">
        <f aca="false">SUMPRODUCT(MMULT(I6276:W6276,_XtX!$B$78:$P$92),I6276:W6276)</f>
        <v>0.486409505208334</v>
      </c>
      <c r="Z6276" s="0" t="n">
        <f aca="false">04_回帰ANOVA!$K$19*04_回帰ANOVA!$K$14*SQRT(1+Y6276)</f>
        <v>1.58916001665498</v>
      </c>
      <c r="AA6276" s="0" t="n">
        <f aca="false">X6276-Z6276</f>
        <v>46.3288087333451</v>
      </c>
      <c r="AB6276" s="0" t="n">
        <f aca="false">X6276+Z6276</f>
        <v>49.507128766655</v>
      </c>
      <c r="AC6276" s="54" t="b">
        <f aca="false">AND(E6276&gt;=01_因子設定!$L$5-0.000000001,E6276&lt;=01_因子設定!$M$5+0.000000001,F6276&gt;=01_因子設定!$L$6-0.000000001,F6276&lt;=01_因子設定!$M$6+0.000000001,G6276&gt;=01_因子設定!$L$7-0.000000001,G6276&lt;=01_因子設定!$M$7+0.000000001,H6276&gt;=01_因子設定!$L$8-0.000000001,H6276&lt;=01_因子設定!$M$8+0.000000001,IF(01_因子設定!$B$20="Box-Behnken",E6276^2+F6276^2+G6276^2+H6276^2&lt;=2+0.000000001,TRUE()))</f>
        <v>1</v>
      </c>
      <c r="AD6276" s="55" t="n">
        <f aca="false">IF(AC6276,IF(01_因子設定!$B$13="最大化",AA6276-01_因子設定!$B$14,IF(01_因子設定!$B$13="最小化",01_因子設定!$B$15-AB6276,MIN(AA6276-01_因子設定!$B$14,01_因子設定!$B$15-AB6276))),-1E+030)</f>
        <v>-0.171191266654937</v>
      </c>
      <c r="AE6276" s="55" t="n">
        <f aca="false">IF(AC6276,IF(01_因子設定!$B$13="最大化",X6276,IF(01_因子設定!$B$13="最小化",-X6276,-ABS(X6276-01_因子設定!$B$16))),-1E+030)</f>
        <v>47.91796875</v>
      </c>
      <c r="AF6276" s="55" t="n">
        <f aca="false">AD6276+ROW()*0.000000001</f>
        <v>-0.171184990654937</v>
      </c>
      <c r="AG6276" s="55" t="n">
        <f aca="false">AE6276+ROW()*0.000000001</f>
        <v>47.917975026</v>
      </c>
    </row>
    <row r="6277" customFormat="false" ht="15" hidden="false" customHeight="false" outlineLevel="0" collapsed="false">
      <c r="A6277" s="0" t="n">
        <v>8</v>
      </c>
      <c r="B6277" s="0" t="n">
        <v>5</v>
      </c>
      <c r="C6277" s="0" t="n">
        <v>3</v>
      </c>
      <c r="D6277" s="0" t="n">
        <v>8</v>
      </c>
      <c r="E6277" s="0" t="n">
        <f aca="false">-1+A6277*0.25</f>
        <v>1</v>
      </c>
      <c r="F6277" s="0" t="n">
        <f aca="false">-1+B6277*0.25</f>
        <v>0.25</v>
      </c>
      <c r="G6277" s="0" t="n">
        <f aca="false">-1+C6277*0.25</f>
        <v>-0.25</v>
      </c>
      <c r="H6277" s="0" t="n">
        <f aca="false">-1+D6277*0.25</f>
        <v>1</v>
      </c>
      <c r="I6277" s="0" t="n">
        <f aca="false">1</f>
        <v>1</v>
      </c>
      <c r="J6277" s="0" t="n">
        <f aca="false">E6277</f>
        <v>1</v>
      </c>
      <c r="K6277" s="0" t="n">
        <f aca="false">F6277</f>
        <v>0.25</v>
      </c>
      <c r="L6277" s="0" t="n">
        <f aca="false">G6277</f>
        <v>-0.25</v>
      </c>
      <c r="M6277" s="0" t="n">
        <f aca="false">H6277</f>
        <v>1</v>
      </c>
      <c r="N6277" s="0" t="n">
        <f aca="false">E6277*F6277</f>
        <v>0.25</v>
      </c>
      <c r="O6277" s="0" t="n">
        <f aca="false">E6277*G6277</f>
        <v>-0.25</v>
      </c>
      <c r="P6277" s="0" t="n">
        <f aca="false">E6277*H6277</f>
        <v>1</v>
      </c>
      <c r="Q6277" s="0" t="n">
        <f aca="false">F6277*G6277</f>
        <v>-0.0625</v>
      </c>
      <c r="R6277" s="0" t="n">
        <f aca="false">F6277*H6277</f>
        <v>0.25</v>
      </c>
      <c r="S6277" s="0" t="n">
        <f aca="false">G6277*H6277</f>
        <v>-0.25</v>
      </c>
      <c r="T6277" s="0" t="n">
        <f aca="false">E6277*E6277</f>
        <v>1</v>
      </c>
      <c r="U6277" s="0" t="n">
        <f aca="false">F6277*F6277</f>
        <v>0.0625</v>
      </c>
      <c r="V6277" s="0" t="n">
        <f aca="false">G6277*G6277</f>
        <v>0.0625</v>
      </c>
      <c r="W6277" s="0" t="n">
        <f aca="false">H6277*H6277</f>
        <v>1</v>
      </c>
      <c r="X6277" s="0" t="n">
        <f aca="false">SUMPRODUCT(I6277:W6277,_XtX!$B$96:$P$96)</f>
        <v>47.8520330774854</v>
      </c>
      <c r="Y6277" s="0" t="n">
        <f aca="false">SUMPRODUCT(MMULT(I6277:W6277,_XtX!$B$78:$P$92),I6277:W6277)</f>
        <v>0.670040376005117</v>
      </c>
      <c r="Z6277" s="0" t="n">
        <f aca="false">04_回帰ANOVA!$K$19*04_回帰ANOVA!$K$14*SQRT(1+Y6277)</f>
        <v>1.68446456039992</v>
      </c>
      <c r="AA6277" s="0" t="n">
        <f aca="false">X6277-Z6277</f>
        <v>46.1675685170855</v>
      </c>
      <c r="AB6277" s="0" t="n">
        <f aca="false">X6277+Z6277</f>
        <v>49.5364976378854</v>
      </c>
      <c r="AC6277" s="54" t="b">
        <f aca="false">AND(E6277&gt;=01_因子設定!$L$5-0.000000001,E6277&lt;=01_因子設定!$M$5+0.000000001,F6277&gt;=01_因子設定!$L$6-0.000000001,F6277&lt;=01_因子設定!$M$6+0.000000001,G6277&gt;=01_因子設定!$L$7-0.000000001,G6277&lt;=01_因子設定!$M$7+0.000000001,H6277&gt;=01_因子設定!$L$8-0.000000001,H6277&lt;=01_因子設定!$M$8+0.000000001,IF(01_因子設定!$B$20="Box-Behnken",E6277^2+F6277^2+G6277^2+H6277^2&lt;=2+0.000000001,TRUE()))</f>
        <v>1</v>
      </c>
      <c r="AD6277" s="55" t="n">
        <f aca="false">IF(AC6277,IF(01_因子設定!$B$13="最大化",AA6277-01_因子設定!$B$14,IF(01_因子設定!$B$13="最小化",01_因子設定!$B$15-AB6277,MIN(AA6277-01_因子設定!$B$14,01_因子設定!$B$15-AB6277))),-1E+030)</f>
        <v>-0.332431482914473</v>
      </c>
      <c r="AE6277" s="55" t="n">
        <f aca="false">IF(AC6277,IF(01_因子設定!$B$13="最大化",X6277,IF(01_因子設定!$B$13="最小化",-X6277,-ABS(X6277-01_因子設定!$B$16))),-1E+030)</f>
        <v>47.8520330774854</v>
      </c>
      <c r="AF6277" s="55" t="n">
        <f aca="false">AD6277+ROW()*0.000000001</f>
        <v>-0.332425205914473</v>
      </c>
      <c r="AG6277" s="55" t="n">
        <f aca="false">AE6277+ROW()*0.000000001</f>
        <v>47.8520393544854</v>
      </c>
    </row>
    <row r="6278" customFormat="false" ht="15" hidden="false" customHeight="false" outlineLevel="0" collapsed="false">
      <c r="A6278" s="0" t="n">
        <v>8</v>
      </c>
      <c r="B6278" s="0" t="n">
        <v>5</v>
      </c>
      <c r="C6278" s="0" t="n">
        <v>4</v>
      </c>
      <c r="D6278" s="0" t="n">
        <v>0</v>
      </c>
      <c r="E6278" s="0" t="n">
        <f aca="false">-1+A6278*0.25</f>
        <v>1</v>
      </c>
      <c r="F6278" s="0" t="n">
        <f aca="false">-1+B6278*0.25</f>
        <v>0.25</v>
      </c>
      <c r="G6278" s="0" t="n">
        <f aca="false">-1+C6278*0.25</f>
        <v>0</v>
      </c>
      <c r="H6278" s="0" t="n">
        <f aca="false">-1+D6278*0.25</f>
        <v>-1</v>
      </c>
      <c r="I6278" s="0" t="n">
        <f aca="false">1</f>
        <v>1</v>
      </c>
      <c r="J6278" s="0" t="n">
        <f aca="false">E6278</f>
        <v>1</v>
      </c>
      <c r="K6278" s="0" t="n">
        <f aca="false">F6278</f>
        <v>0.25</v>
      </c>
      <c r="L6278" s="0" t="n">
        <f aca="false">G6278</f>
        <v>0</v>
      </c>
      <c r="M6278" s="0" t="n">
        <f aca="false">H6278</f>
        <v>-1</v>
      </c>
      <c r="N6278" s="0" t="n">
        <f aca="false">E6278*F6278</f>
        <v>0.25</v>
      </c>
      <c r="O6278" s="0" t="n">
        <f aca="false">E6278*G6278</f>
        <v>0</v>
      </c>
      <c r="P6278" s="0" t="n">
        <f aca="false">E6278*H6278</f>
        <v>-1</v>
      </c>
      <c r="Q6278" s="0" t="n">
        <f aca="false">F6278*G6278</f>
        <v>0</v>
      </c>
      <c r="R6278" s="0" t="n">
        <f aca="false">F6278*H6278</f>
        <v>-0.25</v>
      </c>
      <c r="S6278" s="0" t="n">
        <f aca="false">G6278*H6278</f>
        <v>-0</v>
      </c>
      <c r="T6278" s="0" t="n">
        <f aca="false">E6278*E6278</f>
        <v>1</v>
      </c>
      <c r="U6278" s="0" t="n">
        <f aca="false">F6278*F6278</f>
        <v>0.0625</v>
      </c>
      <c r="V6278" s="0" t="n">
        <f aca="false">G6278*G6278</f>
        <v>0</v>
      </c>
      <c r="W6278" s="0" t="n">
        <f aca="false">H6278*H6278</f>
        <v>1</v>
      </c>
      <c r="X6278" s="0" t="n">
        <f aca="false">SUMPRODUCT(I6278:W6278,_XtX!$B$96:$P$96)</f>
        <v>47.1145650584796</v>
      </c>
      <c r="Y6278" s="0" t="n">
        <f aca="false">SUMPRODUCT(MMULT(I6278:W6278,_XtX!$B$78:$P$92),I6278:W6278)</f>
        <v>0.689692982456141</v>
      </c>
      <c r="Z6278" s="0" t="n">
        <f aca="false">04_回帰ANOVA!$K$19*04_回帰ANOVA!$K$14*SQRT(1+Y6278)</f>
        <v>1.69434674594998</v>
      </c>
      <c r="AA6278" s="0" t="n">
        <f aca="false">X6278-Z6278</f>
        <v>45.4202183125296</v>
      </c>
      <c r="AB6278" s="0" t="n">
        <f aca="false">X6278+Z6278</f>
        <v>48.8089118044296</v>
      </c>
      <c r="AC6278" s="54" t="b">
        <f aca="false">AND(E6278&gt;=01_因子設定!$L$5-0.000000001,E6278&lt;=01_因子設定!$M$5+0.000000001,F6278&gt;=01_因子設定!$L$6-0.000000001,F6278&lt;=01_因子設定!$M$6+0.000000001,G6278&gt;=01_因子設定!$L$7-0.000000001,G6278&lt;=01_因子設定!$M$7+0.000000001,H6278&gt;=01_因子設定!$L$8-0.000000001,H6278&lt;=01_因子設定!$M$8+0.000000001,IF(01_因子設定!$B$20="Box-Behnken",E6278^2+F6278^2+G6278^2+H6278^2&lt;=2+0.000000001,TRUE()))</f>
        <v>1</v>
      </c>
      <c r="AD6278" s="55" t="n">
        <f aca="false">IF(AC6278,IF(01_因子設定!$B$13="最大化",AA6278-01_因子設定!$B$14,IF(01_因子設定!$B$13="最小化",01_因子設定!$B$15-AB6278,MIN(AA6278-01_因子設定!$B$14,01_因子設定!$B$15-AB6278))),-1E+030)</f>
        <v>-1.07978168747039</v>
      </c>
      <c r="AE6278" s="55" t="n">
        <f aca="false">IF(AC6278,IF(01_因子設定!$B$13="最大化",X6278,IF(01_因子設定!$B$13="最小化",-X6278,-ABS(X6278-01_因子設定!$B$16))),-1E+030)</f>
        <v>47.1145650584796</v>
      </c>
      <c r="AF6278" s="55" t="n">
        <f aca="false">AD6278+ROW()*0.000000001</f>
        <v>-1.07977540947039</v>
      </c>
      <c r="AG6278" s="55" t="n">
        <f aca="false">AE6278+ROW()*0.000000001</f>
        <v>47.1145713364796</v>
      </c>
    </row>
    <row r="6279" customFormat="false" ht="15" hidden="false" customHeight="false" outlineLevel="0" collapsed="false">
      <c r="A6279" s="0" t="n">
        <v>8</v>
      </c>
      <c r="B6279" s="0" t="n">
        <v>5</v>
      </c>
      <c r="C6279" s="0" t="n">
        <v>4</v>
      </c>
      <c r="D6279" s="0" t="n">
        <v>1</v>
      </c>
      <c r="E6279" s="0" t="n">
        <f aca="false">-1+A6279*0.25</f>
        <v>1</v>
      </c>
      <c r="F6279" s="0" t="n">
        <f aca="false">-1+B6279*0.25</f>
        <v>0.25</v>
      </c>
      <c r="G6279" s="0" t="n">
        <f aca="false">-1+C6279*0.25</f>
        <v>0</v>
      </c>
      <c r="H6279" s="0" t="n">
        <f aca="false">-1+D6279*0.25</f>
        <v>-0.75</v>
      </c>
      <c r="I6279" s="0" t="n">
        <f aca="false">1</f>
        <v>1</v>
      </c>
      <c r="J6279" s="0" t="n">
        <f aca="false">E6279</f>
        <v>1</v>
      </c>
      <c r="K6279" s="0" t="n">
        <f aca="false">F6279</f>
        <v>0.25</v>
      </c>
      <c r="L6279" s="0" t="n">
        <f aca="false">G6279</f>
        <v>0</v>
      </c>
      <c r="M6279" s="0" t="n">
        <f aca="false">H6279</f>
        <v>-0.75</v>
      </c>
      <c r="N6279" s="0" t="n">
        <f aca="false">E6279*F6279</f>
        <v>0.25</v>
      </c>
      <c r="O6279" s="0" t="n">
        <f aca="false">E6279*G6279</f>
        <v>0</v>
      </c>
      <c r="P6279" s="0" t="n">
        <f aca="false">E6279*H6279</f>
        <v>-0.75</v>
      </c>
      <c r="Q6279" s="0" t="n">
        <f aca="false">F6279*G6279</f>
        <v>0</v>
      </c>
      <c r="R6279" s="0" t="n">
        <f aca="false">F6279*H6279</f>
        <v>-0.1875</v>
      </c>
      <c r="S6279" s="0" t="n">
        <f aca="false">G6279*H6279</f>
        <v>-0</v>
      </c>
      <c r="T6279" s="0" t="n">
        <f aca="false">E6279*E6279</f>
        <v>1</v>
      </c>
      <c r="U6279" s="0" t="n">
        <f aca="false">F6279*F6279</f>
        <v>0.0625</v>
      </c>
      <c r="V6279" s="0" t="n">
        <f aca="false">G6279*G6279</f>
        <v>0</v>
      </c>
      <c r="W6279" s="0" t="n">
        <f aca="false">H6279*H6279</f>
        <v>0.5625</v>
      </c>
      <c r="X6279" s="0" t="n">
        <f aca="false">SUMPRODUCT(I6279:W6279,_XtX!$B$96:$P$96)</f>
        <v>47.401247258772</v>
      </c>
      <c r="Y6279" s="0" t="n">
        <f aca="false">SUMPRODUCT(MMULT(I6279:W6279,_XtX!$B$78:$P$92),I6279:W6279)</f>
        <v>0.501534802174708</v>
      </c>
      <c r="Z6279" s="0" t="n">
        <f aca="false">04_回帰ANOVA!$K$19*04_回帰ANOVA!$K$14*SQRT(1+Y6279)</f>
        <v>1.59722498091333</v>
      </c>
      <c r="AA6279" s="0" t="n">
        <f aca="false">X6279-Z6279</f>
        <v>45.8040222778586</v>
      </c>
      <c r="AB6279" s="0" t="n">
        <f aca="false">X6279+Z6279</f>
        <v>48.9984722396853</v>
      </c>
      <c r="AC6279" s="54" t="b">
        <f aca="false">AND(E6279&gt;=01_因子設定!$L$5-0.000000001,E6279&lt;=01_因子設定!$M$5+0.000000001,F6279&gt;=01_因子設定!$L$6-0.000000001,F6279&lt;=01_因子設定!$M$6+0.000000001,G6279&gt;=01_因子設定!$L$7-0.000000001,G6279&lt;=01_因子設定!$M$7+0.000000001,H6279&gt;=01_因子設定!$L$8-0.000000001,H6279&lt;=01_因子設定!$M$8+0.000000001,IF(01_因子設定!$B$20="Box-Behnken",E6279^2+F6279^2+G6279^2+H6279^2&lt;=2+0.000000001,TRUE()))</f>
        <v>1</v>
      </c>
      <c r="AD6279" s="55" t="n">
        <f aca="false">IF(AC6279,IF(01_因子設定!$B$13="最大化",AA6279-01_因子設定!$B$14,IF(01_因子設定!$B$13="最小化",01_因子設定!$B$15-AB6279,MIN(AA6279-01_因子設定!$B$14,01_因子設定!$B$15-AB6279))),-1E+030)</f>
        <v>-0.695977722141357</v>
      </c>
      <c r="AE6279" s="55" t="n">
        <f aca="false">IF(AC6279,IF(01_因子設定!$B$13="最大化",X6279,IF(01_因子設定!$B$13="最小化",-X6279,-ABS(X6279-01_因子設定!$B$16))),-1E+030)</f>
        <v>47.401247258772</v>
      </c>
      <c r="AF6279" s="55" t="n">
        <f aca="false">AD6279+ROW()*0.000000001</f>
        <v>-0.695971443141357</v>
      </c>
      <c r="AG6279" s="55" t="n">
        <f aca="false">AE6279+ROW()*0.000000001</f>
        <v>47.401253537772</v>
      </c>
    </row>
    <row r="6280" customFormat="false" ht="15" hidden="false" customHeight="false" outlineLevel="0" collapsed="false">
      <c r="A6280" s="0" t="n">
        <v>8</v>
      </c>
      <c r="B6280" s="0" t="n">
        <v>5</v>
      </c>
      <c r="C6280" s="0" t="n">
        <v>4</v>
      </c>
      <c r="D6280" s="0" t="n">
        <v>2</v>
      </c>
      <c r="E6280" s="0" t="n">
        <f aca="false">-1+A6280*0.25</f>
        <v>1</v>
      </c>
      <c r="F6280" s="0" t="n">
        <f aca="false">-1+B6280*0.25</f>
        <v>0.25</v>
      </c>
      <c r="G6280" s="0" t="n">
        <f aca="false">-1+C6280*0.25</f>
        <v>0</v>
      </c>
      <c r="H6280" s="0" t="n">
        <f aca="false">-1+D6280*0.25</f>
        <v>-0.5</v>
      </c>
      <c r="I6280" s="0" t="n">
        <f aca="false">1</f>
        <v>1</v>
      </c>
      <c r="J6280" s="0" t="n">
        <f aca="false">E6280</f>
        <v>1</v>
      </c>
      <c r="K6280" s="0" t="n">
        <f aca="false">F6280</f>
        <v>0.25</v>
      </c>
      <c r="L6280" s="0" t="n">
        <f aca="false">G6280</f>
        <v>0</v>
      </c>
      <c r="M6280" s="0" t="n">
        <f aca="false">H6280</f>
        <v>-0.5</v>
      </c>
      <c r="N6280" s="0" t="n">
        <f aca="false">E6280*F6280</f>
        <v>0.25</v>
      </c>
      <c r="O6280" s="0" t="n">
        <f aca="false">E6280*G6280</f>
        <v>0</v>
      </c>
      <c r="P6280" s="0" t="n">
        <f aca="false">E6280*H6280</f>
        <v>-0.5</v>
      </c>
      <c r="Q6280" s="0" t="n">
        <f aca="false">F6280*G6280</f>
        <v>0</v>
      </c>
      <c r="R6280" s="0" t="n">
        <f aca="false">F6280*H6280</f>
        <v>-0.125</v>
      </c>
      <c r="S6280" s="0" t="n">
        <f aca="false">G6280*H6280</f>
        <v>-0</v>
      </c>
      <c r="T6280" s="0" t="n">
        <f aca="false">E6280*E6280</f>
        <v>1</v>
      </c>
      <c r="U6280" s="0" t="n">
        <f aca="false">F6280*F6280</f>
        <v>0.0625</v>
      </c>
      <c r="V6280" s="0" t="n">
        <f aca="false">G6280*G6280</f>
        <v>0</v>
      </c>
      <c r="W6280" s="0" t="n">
        <f aca="false">H6280*H6280</f>
        <v>0.25</v>
      </c>
      <c r="X6280" s="0" t="n">
        <f aca="false">SUMPRODUCT(I6280:W6280,_XtX!$B$96:$P$96)</f>
        <v>47.6401224415205</v>
      </c>
      <c r="Y6280" s="0" t="n">
        <f aca="false">SUMPRODUCT(MMULT(I6280:W6280,_XtX!$B$78:$P$92),I6280:W6280)</f>
        <v>0.457596628289474</v>
      </c>
      <c r="Z6280" s="0" t="n">
        <f aca="false">04_回帰ANOVA!$K$19*04_回帰ANOVA!$K$14*SQRT(1+Y6280)</f>
        <v>1.57368233664366</v>
      </c>
      <c r="AA6280" s="0" t="n">
        <f aca="false">X6280-Z6280</f>
        <v>46.0664401048769</v>
      </c>
      <c r="AB6280" s="0" t="n">
        <f aca="false">X6280+Z6280</f>
        <v>49.2138047781642</v>
      </c>
      <c r="AC6280" s="54" t="b">
        <f aca="false">AND(E6280&gt;=01_因子設定!$L$5-0.000000001,E6280&lt;=01_因子設定!$M$5+0.000000001,F6280&gt;=01_因子設定!$L$6-0.000000001,F6280&lt;=01_因子設定!$M$6+0.000000001,G6280&gt;=01_因子設定!$L$7-0.000000001,G6280&lt;=01_因子設定!$M$7+0.000000001,H6280&gt;=01_因子設定!$L$8-0.000000001,H6280&lt;=01_因子設定!$M$8+0.000000001,IF(01_因子設定!$B$20="Box-Behnken",E6280^2+F6280^2+G6280^2+H6280^2&lt;=2+0.000000001,TRUE()))</f>
        <v>1</v>
      </c>
      <c r="AD6280" s="55" t="n">
        <f aca="false">IF(AC6280,IF(01_因子設定!$B$13="最大化",AA6280-01_因子設定!$B$14,IF(01_因子設定!$B$13="最小化",01_因子設定!$B$15-AB6280,MIN(AA6280-01_因子設定!$B$14,01_因子設定!$B$15-AB6280))),-1E+030)</f>
        <v>-0.433559895123153</v>
      </c>
      <c r="AE6280" s="55" t="n">
        <f aca="false">IF(AC6280,IF(01_因子設定!$B$13="最大化",X6280,IF(01_因子設定!$B$13="最小化",-X6280,-ABS(X6280-01_因子設定!$B$16))),-1E+030)</f>
        <v>47.6401224415205</v>
      </c>
      <c r="AF6280" s="55" t="n">
        <f aca="false">AD6280+ROW()*0.000000001</f>
        <v>-0.433553615123153</v>
      </c>
      <c r="AG6280" s="55" t="n">
        <f aca="false">AE6280+ROW()*0.000000001</f>
        <v>47.6401287215205</v>
      </c>
    </row>
    <row r="6281" customFormat="false" ht="15" hidden="false" customHeight="false" outlineLevel="0" collapsed="false">
      <c r="A6281" s="0" t="n">
        <v>8</v>
      </c>
      <c r="B6281" s="0" t="n">
        <v>5</v>
      </c>
      <c r="C6281" s="0" t="n">
        <v>4</v>
      </c>
      <c r="D6281" s="0" t="n">
        <v>3</v>
      </c>
      <c r="E6281" s="0" t="n">
        <f aca="false">-1+A6281*0.25</f>
        <v>1</v>
      </c>
      <c r="F6281" s="0" t="n">
        <f aca="false">-1+B6281*0.25</f>
        <v>0.25</v>
      </c>
      <c r="G6281" s="0" t="n">
        <f aca="false">-1+C6281*0.25</f>
        <v>0</v>
      </c>
      <c r="H6281" s="0" t="n">
        <f aca="false">-1+D6281*0.25</f>
        <v>-0.25</v>
      </c>
      <c r="I6281" s="0" t="n">
        <f aca="false">1</f>
        <v>1</v>
      </c>
      <c r="J6281" s="0" t="n">
        <f aca="false">E6281</f>
        <v>1</v>
      </c>
      <c r="K6281" s="0" t="n">
        <f aca="false">F6281</f>
        <v>0.25</v>
      </c>
      <c r="L6281" s="0" t="n">
        <f aca="false">G6281</f>
        <v>0</v>
      </c>
      <c r="M6281" s="0" t="n">
        <f aca="false">H6281</f>
        <v>-0.25</v>
      </c>
      <c r="N6281" s="0" t="n">
        <f aca="false">E6281*F6281</f>
        <v>0.25</v>
      </c>
      <c r="O6281" s="0" t="n">
        <f aca="false">E6281*G6281</f>
        <v>0</v>
      </c>
      <c r="P6281" s="0" t="n">
        <f aca="false">E6281*H6281</f>
        <v>-0.25</v>
      </c>
      <c r="Q6281" s="0" t="n">
        <f aca="false">F6281*G6281</f>
        <v>0</v>
      </c>
      <c r="R6281" s="0" t="n">
        <f aca="false">F6281*H6281</f>
        <v>-0.0625</v>
      </c>
      <c r="S6281" s="0" t="n">
        <f aca="false">G6281*H6281</f>
        <v>-0</v>
      </c>
      <c r="T6281" s="0" t="n">
        <f aca="false">E6281*E6281</f>
        <v>1</v>
      </c>
      <c r="U6281" s="0" t="n">
        <f aca="false">F6281*F6281</f>
        <v>0.0625</v>
      </c>
      <c r="V6281" s="0" t="n">
        <f aca="false">G6281*G6281</f>
        <v>0</v>
      </c>
      <c r="W6281" s="0" t="n">
        <f aca="false">H6281*H6281</f>
        <v>0.0625</v>
      </c>
      <c r="X6281" s="0" t="n">
        <f aca="false">SUMPRODUCT(I6281:W6281,_XtX!$B$96:$P$96)</f>
        <v>47.8311906067252</v>
      </c>
      <c r="Y6281" s="0" t="n">
        <f aca="false">SUMPRODUCT(MMULT(I6281:W6281,_XtX!$B$78:$P$92),I6281:W6281)</f>
        <v>0.467417934484649</v>
      </c>
      <c r="Z6281" s="0" t="n">
        <f aca="false">04_回帰ANOVA!$K$19*04_回帰ANOVA!$K$14*SQRT(1+Y6281)</f>
        <v>1.57897518244497</v>
      </c>
      <c r="AA6281" s="0" t="n">
        <f aca="false">X6281-Z6281</f>
        <v>46.2522154242802</v>
      </c>
      <c r="AB6281" s="0" t="n">
        <f aca="false">X6281+Z6281</f>
        <v>49.4101657891701</v>
      </c>
      <c r="AC6281" s="54" t="b">
        <f aca="false">AND(E6281&gt;=01_因子設定!$L$5-0.000000001,E6281&lt;=01_因子設定!$M$5+0.000000001,F6281&gt;=01_因子設定!$L$6-0.000000001,F6281&lt;=01_因子設定!$M$6+0.000000001,G6281&gt;=01_因子設定!$L$7-0.000000001,G6281&lt;=01_因子設定!$M$7+0.000000001,H6281&gt;=01_因子設定!$L$8-0.000000001,H6281&lt;=01_因子設定!$M$8+0.000000001,IF(01_因子設定!$B$20="Box-Behnken",E6281^2+F6281^2+G6281^2+H6281^2&lt;=2+0.000000001,TRUE()))</f>
        <v>1</v>
      </c>
      <c r="AD6281" s="55" t="n">
        <f aca="false">IF(AC6281,IF(01_因子設定!$B$13="最大化",AA6281-01_因子設定!$B$14,IF(01_因子設定!$B$13="最小化",01_因子設定!$B$15-AB6281,MIN(AA6281-01_因子設定!$B$14,01_因子設定!$B$15-AB6281))),-1E+030)</f>
        <v>-0.247784575719798</v>
      </c>
      <c r="AE6281" s="55" t="n">
        <f aca="false">IF(AC6281,IF(01_因子設定!$B$13="最大化",X6281,IF(01_因子設定!$B$13="最小化",-X6281,-ABS(X6281-01_因子設定!$B$16))),-1E+030)</f>
        <v>47.8311906067252</v>
      </c>
      <c r="AF6281" s="55" t="n">
        <f aca="false">AD6281+ROW()*0.000000001</f>
        <v>-0.247778294719798</v>
      </c>
      <c r="AG6281" s="55" t="n">
        <f aca="false">AE6281+ROW()*0.000000001</f>
        <v>47.8311968877252</v>
      </c>
    </row>
    <row r="6282" customFormat="false" ht="15" hidden="false" customHeight="false" outlineLevel="0" collapsed="false">
      <c r="A6282" s="0" t="n">
        <v>8</v>
      </c>
      <c r="B6282" s="0" t="n">
        <v>5</v>
      </c>
      <c r="C6282" s="0" t="n">
        <v>4</v>
      </c>
      <c r="D6282" s="0" t="n">
        <v>4</v>
      </c>
      <c r="E6282" s="0" t="n">
        <f aca="false">-1+A6282*0.25</f>
        <v>1</v>
      </c>
      <c r="F6282" s="0" t="n">
        <f aca="false">-1+B6282*0.25</f>
        <v>0.25</v>
      </c>
      <c r="G6282" s="0" t="n">
        <f aca="false">-1+C6282*0.25</f>
        <v>0</v>
      </c>
      <c r="H6282" s="0" t="n">
        <f aca="false">-1+D6282*0.25</f>
        <v>0</v>
      </c>
      <c r="I6282" s="0" t="n">
        <f aca="false">1</f>
        <v>1</v>
      </c>
      <c r="J6282" s="0" t="n">
        <f aca="false">E6282</f>
        <v>1</v>
      </c>
      <c r="K6282" s="0" t="n">
        <f aca="false">F6282</f>
        <v>0.25</v>
      </c>
      <c r="L6282" s="0" t="n">
        <f aca="false">G6282</f>
        <v>0</v>
      </c>
      <c r="M6282" s="0" t="n">
        <f aca="false">H6282</f>
        <v>0</v>
      </c>
      <c r="N6282" s="0" t="n">
        <f aca="false">E6282*F6282</f>
        <v>0.25</v>
      </c>
      <c r="O6282" s="0" t="n">
        <f aca="false">E6282*G6282</f>
        <v>0</v>
      </c>
      <c r="P6282" s="0" t="n">
        <f aca="false">E6282*H6282</f>
        <v>0</v>
      </c>
      <c r="Q6282" s="0" t="n">
        <f aca="false">F6282*G6282</f>
        <v>0</v>
      </c>
      <c r="R6282" s="0" t="n">
        <f aca="false">F6282*H6282</f>
        <v>0</v>
      </c>
      <c r="S6282" s="0" t="n">
        <f aca="false">G6282*H6282</f>
        <v>0</v>
      </c>
      <c r="T6282" s="0" t="n">
        <f aca="false">E6282*E6282</f>
        <v>1</v>
      </c>
      <c r="U6282" s="0" t="n">
        <f aca="false">F6282*F6282</f>
        <v>0.0625</v>
      </c>
      <c r="V6282" s="0" t="n">
        <f aca="false">G6282*G6282</f>
        <v>0</v>
      </c>
      <c r="W6282" s="0" t="n">
        <f aca="false">H6282*H6282</f>
        <v>0</v>
      </c>
      <c r="X6282" s="0" t="n">
        <f aca="false">SUMPRODUCT(I6282:W6282,_XtX!$B$96:$P$96)</f>
        <v>47.974451754386</v>
      </c>
      <c r="Y6282" s="0" t="n">
        <f aca="false">SUMPRODUCT(MMULT(I6282:W6282,_XtX!$B$78:$P$92),I6282:W6282)</f>
        <v>0.47672240497076</v>
      </c>
      <c r="Z6282" s="0" t="n">
        <f aca="false">04_回帰ANOVA!$K$19*04_回帰ANOVA!$K$14*SQRT(1+Y6282)</f>
        <v>1.58397318352695</v>
      </c>
      <c r="AA6282" s="0" t="n">
        <f aca="false">X6282-Z6282</f>
        <v>46.390478570859</v>
      </c>
      <c r="AB6282" s="0" t="n">
        <f aca="false">X6282+Z6282</f>
        <v>49.5584249379129</v>
      </c>
      <c r="AC6282" s="54" t="b">
        <f aca="false">AND(E6282&gt;=01_因子設定!$L$5-0.000000001,E6282&lt;=01_因子設定!$M$5+0.000000001,F6282&gt;=01_因子設定!$L$6-0.000000001,F6282&lt;=01_因子設定!$M$6+0.000000001,G6282&gt;=01_因子設定!$L$7-0.000000001,G6282&lt;=01_因子設定!$M$7+0.000000001,H6282&gt;=01_因子設定!$L$8-0.000000001,H6282&lt;=01_因子設定!$M$8+0.000000001,IF(01_因子設定!$B$20="Box-Behnken",E6282^2+F6282^2+G6282^2+H6282^2&lt;=2+0.000000001,TRUE()))</f>
        <v>1</v>
      </c>
      <c r="AD6282" s="55" t="n">
        <f aca="false">IF(AC6282,IF(01_因子設定!$B$13="最大化",AA6282-01_因子設定!$B$14,IF(01_因子設定!$B$13="最小化",01_因子設定!$B$15-AB6282,MIN(AA6282-01_因子設定!$B$14,01_因子設定!$B$15-AB6282))),-1E+030)</f>
        <v>-0.109521429140955</v>
      </c>
      <c r="AE6282" s="55" t="n">
        <f aca="false">IF(AC6282,IF(01_因子設定!$B$13="最大化",X6282,IF(01_因子設定!$B$13="最小化",-X6282,-ABS(X6282-01_因子設定!$B$16))),-1E+030)</f>
        <v>47.974451754386</v>
      </c>
      <c r="AF6282" s="55" t="n">
        <f aca="false">AD6282+ROW()*0.000000001</f>
        <v>-0.109515147140955</v>
      </c>
      <c r="AG6282" s="55" t="n">
        <f aca="false">AE6282+ROW()*0.000000001</f>
        <v>47.974458036386</v>
      </c>
    </row>
    <row r="6283" customFormat="false" ht="15" hidden="false" customHeight="false" outlineLevel="0" collapsed="false">
      <c r="A6283" s="0" t="n">
        <v>8</v>
      </c>
      <c r="B6283" s="0" t="n">
        <v>5</v>
      </c>
      <c r="C6283" s="0" t="n">
        <v>4</v>
      </c>
      <c r="D6283" s="0" t="n">
        <v>5</v>
      </c>
      <c r="E6283" s="0" t="n">
        <f aca="false">-1+A6283*0.25</f>
        <v>1</v>
      </c>
      <c r="F6283" s="0" t="n">
        <f aca="false">-1+B6283*0.25</f>
        <v>0.25</v>
      </c>
      <c r="G6283" s="0" t="n">
        <f aca="false">-1+C6283*0.25</f>
        <v>0</v>
      </c>
      <c r="H6283" s="0" t="n">
        <f aca="false">-1+D6283*0.25</f>
        <v>0.25</v>
      </c>
      <c r="I6283" s="0" t="n">
        <f aca="false">1</f>
        <v>1</v>
      </c>
      <c r="J6283" s="0" t="n">
        <f aca="false">E6283</f>
        <v>1</v>
      </c>
      <c r="K6283" s="0" t="n">
        <f aca="false">F6283</f>
        <v>0.25</v>
      </c>
      <c r="L6283" s="0" t="n">
        <f aca="false">G6283</f>
        <v>0</v>
      </c>
      <c r="M6283" s="0" t="n">
        <f aca="false">H6283</f>
        <v>0.25</v>
      </c>
      <c r="N6283" s="0" t="n">
        <f aca="false">E6283*F6283</f>
        <v>0.25</v>
      </c>
      <c r="O6283" s="0" t="n">
        <f aca="false">E6283*G6283</f>
        <v>0</v>
      </c>
      <c r="P6283" s="0" t="n">
        <f aca="false">E6283*H6283</f>
        <v>0.25</v>
      </c>
      <c r="Q6283" s="0" t="n">
        <f aca="false">F6283*G6283</f>
        <v>0</v>
      </c>
      <c r="R6283" s="0" t="n">
        <f aca="false">F6283*H6283</f>
        <v>0.0625</v>
      </c>
      <c r="S6283" s="0" t="n">
        <f aca="false">G6283*H6283</f>
        <v>0</v>
      </c>
      <c r="T6283" s="0" t="n">
        <f aca="false">E6283*E6283</f>
        <v>1</v>
      </c>
      <c r="U6283" s="0" t="n">
        <f aca="false">F6283*F6283</f>
        <v>0.0625</v>
      </c>
      <c r="V6283" s="0" t="n">
        <f aca="false">G6283*G6283</f>
        <v>0</v>
      </c>
      <c r="W6283" s="0" t="n">
        <f aca="false">H6283*H6283</f>
        <v>0.0625</v>
      </c>
      <c r="X6283" s="0" t="n">
        <f aca="false">SUMPRODUCT(I6283:W6283,_XtX!$B$96:$P$96)</f>
        <v>48.069905884503</v>
      </c>
      <c r="Y6283" s="0" t="n">
        <f aca="false">SUMPRODUCT(MMULT(I6283:W6283,_XtX!$B$78:$P$92),I6283:W6283)</f>
        <v>0.467417934484649</v>
      </c>
      <c r="Z6283" s="0" t="n">
        <f aca="false">04_回帰ANOVA!$K$19*04_回帰ANOVA!$K$14*SQRT(1+Y6283)</f>
        <v>1.57897518244497</v>
      </c>
      <c r="AA6283" s="0" t="n">
        <f aca="false">X6283-Z6283</f>
        <v>46.490930702058</v>
      </c>
      <c r="AB6283" s="0" t="n">
        <f aca="false">X6283+Z6283</f>
        <v>49.6488810669479</v>
      </c>
      <c r="AC6283" s="54" t="b">
        <f aca="false">AND(E6283&gt;=01_因子設定!$L$5-0.000000001,E6283&lt;=01_因子設定!$M$5+0.000000001,F6283&gt;=01_因子設定!$L$6-0.000000001,F6283&lt;=01_因子設定!$M$6+0.000000001,G6283&gt;=01_因子設定!$L$7-0.000000001,G6283&lt;=01_因子設定!$M$7+0.000000001,H6283&gt;=01_因子設定!$L$8-0.000000001,H6283&lt;=01_因子設定!$M$8+0.000000001,IF(01_因子設定!$B$20="Box-Behnken",E6283^2+F6283^2+G6283^2+H6283^2&lt;=2+0.000000001,TRUE()))</f>
        <v>1</v>
      </c>
      <c r="AD6283" s="55" t="n">
        <f aca="false">IF(AC6283,IF(01_因子設定!$B$13="最大化",AA6283-01_因子設定!$B$14,IF(01_因子設定!$B$13="最小化",01_因子設定!$B$15-AB6283,MIN(AA6283-01_因子設定!$B$14,01_因子設定!$B$15-AB6283))),-1E+030)</f>
        <v>-0.00906929794201972</v>
      </c>
      <c r="AE6283" s="55" t="n">
        <f aca="false">IF(AC6283,IF(01_因子設定!$B$13="最大化",X6283,IF(01_因子設定!$B$13="最小化",-X6283,-ABS(X6283-01_因子設定!$B$16))),-1E+030)</f>
        <v>48.069905884503</v>
      </c>
      <c r="AF6283" s="55" t="n">
        <f aca="false">AD6283+ROW()*0.000000001</f>
        <v>-0.00906301494201972</v>
      </c>
      <c r="AG6283" s="55" t="n">
        <f aca="false">AE6283+ROW()*0.000000001</f>
        <v>48.069912167503</v>
      </c>
    </row>
    <row r="6284" customFormat="false" ht="15" hidden="false" customHeight="false" outlineLevel="0" collapsed="false">
      <c r="A6284" s="0" t="n">
        <v>8</v>
      </c>
      <c r="B6284" s="0" t="n">
        <v>5</v>
      </c>
      <c r="C6284" s="0" t="n">
        <v>4</v>
      </c>
      <c r="D6284" s="0" t="n">
        <v>6</v>
      </c>
      <c r="E6284" s="0" t="n">
        <f aca="false">-1+A6284*0.25</f>
        <v>1</v>
      </c>
      <c r="F6284" s="0" t="n">
        <f aca="false">-1+B6284*0.25</f>
        <v>0.25</v>
      </c>
      <c r="G6284" s="0" t="n">
        <f aca="false">-1+C6284*0.25</f>
        <v>0</v>
      </c>
      <c r="H6284" s="0" t="n">
        <f aca="false">-1+D6284*0.25</f>
        <v>0.5</v>
      </c>
      <c r="I6284" s="0" t="n">
        <f aca="false">1</f>
        <v>1</v>
      </c>
      <c r="J6284" s="0" t="n">
        <f aca="false">E6284</f>
        <v>1</v>
      </c>
      <c r="K6284" s="0" t="n">
        <f aca="false">F6284</f>
        <v>0.25</v>
      </c>
      <c r="L6284" s="0" t="n">
        <f aca="false">G6284</f>
        <v>0</v>
      </c>
      <c r="M6284" s="0" t="n">
        <f aca="false">H6284</f>
        <v>0.5</v>
      </c>
      <c r="N6284" s="0" t="n">
        <f aca="false">E6284*F6284</f>
        <v>0.25</v>
      </c>
      <c r="O6284" s="0" t="n">
        <f aca="false">E6284*G6284</f>
        <v>0</v>
      </c>
      <c r="P6284" s="0" t="n">
        <f aca="false">E6284*H6284</f>
        <v>0.5</v>
      </c>
      <c r="Q6284" s="0" t="n">
        <f aca="false">F6284*G6284</f>
        <v>0</v>
      </c>
      <c r="R6284" s="0" t="n">
        <f aca="false">F6284*H6284</f>
        <v>0.125</v>
      </c>
      <c r="S6284" s="0" t="n">
        <f aca="false">G6284*H6284</f>
        <v>0</v>
      </c>
      <c r="T6284" s="0" t="n">
        <f aca="false">E6284*E6284</f>
        <v>1</v>
      </c>
      <c r="U6284" s="0" t="n">
        <f aca="false">F6284*F6284</f>
        <v>0.0625</v>
      </c>
      <c r="V6284" s="0" t="n">
        <f aca="false">G6284*G6284</f>
        <v>0</v>
      </c>
      <c r="W6284" s="0" t="n">
        <f aca="false">H6284*H6284</f>
        <v>0.25</v>
      </c>
      <c r="X6284" s="0" t="n">
        <f aca="false">SUMPRODUCT(I6284:W6284,_XtX!$B$96:$P$96)</f>
        <v>48.1175529970761</v>
      </c>
      <c r="Y6284" s="0" t="n">
        <f aca="false">SUMPRODUCT(MMULT(I6284:W6284,_XtX!$B$78:$P$92),I6284:W6284)</f>
        <v>0.457596628289474</v>
      </c>
      <c r="Z6284" s="0" t="n">
        <f aca="false">04_回帰ANOVA!$K$19*04_回帰ANOVA!$K$14*SQRT(1+Y6284)</f>
        <v>1.57368233664366</v>
      </c>
      <c r="AA6284" s="0" t="n">
        <f aca="false">X6284-Z6284</f>
        <v>46.5438706604324</v>
      </c>
      <c r="AB6284" s="0" t="n">
        <f aca="false">X6284+Z6284</f>
        <v>49.6912353337197</v>
      </c>
      <c r="AC6284" s="54" t="b">
        <f aca="false">AND(E6284&gt;=01_因子設定!$L$5-0.000000001,E6284&lt;=01_因子設定!$M$5+0.000000001,F6284&gt;=01_因子設定!$L$6-0.000000001,F6284&lt;=01_因子設定!$M$6+0.000000001,G6284&gt;=01_因子設定!$L$7-0.000000001,G6284&lt;=01_因子設定!$M$7+0.000000001,H6284&gt;=01_因子設定!$L$8-0.000000001,H6284&lt;=01_因子設定!$M$8+0.000000001,IF(01_因子設定!$B$20="Box-Behnken",E6284^2+F6284^2+G6284^2+H6284^2&lt;=2+0.000000001,TRUE()))</f>
        <v>1</v>
      </c>
      <c r="AD6284" s="55" t="n">
        <f aca="false">IF(AC6284,IF(01_因子設定!$B$13="最大化",AA6284-01_因子設定!$B$14,IF(01_因子設定!$B$13="最小化",01_因子設定!$B$15-AB6284,MIN(AA6284-01_因子設定!$B$14,01_因子設定!$B$15-AB6284))),-1E+030)</f>
        <v>0.0438706604323968</v>
      </c>
      <c r="AE6284" s="55" t="n">
        <f aca="false">IF(AC6284,IF(01_因子設定!$B$13="最大化",X6284,IF(01_因子設定!$B$13="最小化",-X6284,-ABS(X6284-01_因子設定!$B$16))),-1E+030)</f>
        <v>48.1175529970761</v>
      </c>
      <c r="AF6284" s="55" t="n">
        <f aca="false">AD6284+ROW()*0.000000001</f>
        <v>0.0438769444323969</v>
      </c>
      <c r="AG6284" s="55" t="n">
        <f aca="false">AE6284+ROW()*0.000000001</f>
        <v>48.1175592810761</v>
      </c>
    </row>
    <row r="6285" customFormat="false" ht="15" hidden="false" customHeight="false" outlineLevel="0" collapsed="false">
      <c r="A6285" s="0" t="n">
        <v>8</v>
      </c>
      <c r="B6285" s="0" t="n">
        <v>5</v>
      </c>
      <c r="C6285" s="0" t="n">
        <v>4</v>
      </c>
      <c r="D6285" s="0" t="n">
        <v>7</v>
      </c>
      <c r="E6285" s="0" t="n">
        <f aca="false">-1+A6285*0.25</f>
        <v>1</v>
      </c>
      <c r="F6285" s="0" t="n">
        <f aca="false">-1+B6285*0.25</f>
        <v>0.25</v>
      </c>
      <c r="G6285" s="0" t="n">
        <f aca="false">-1+C6285*0.25</f>
        <v>0</v>
      </c>
      <c r="H6285" s="0" t="n">
        <f aca="false">-1+D6285*0.25</f>
        <v>0.75</v>
      </c>
      <c r="I6285" s="0" t="n">
        <f aca="false">1</f>
        <v>1</v>
      </c>
      <c r="J6285" s="0" t="n">
        <f aca="false">E6285</f>
        <v>1</v>
      </c>
      <c r="K6285" s="0" t="n">
        <f aca="false">F6285</f>
        <v>0.25</v>
      </c>
      <c r="L6285" s="0" t="n">
        <f aca="false">G6285</f>
        <v>0</v>
      </c>
      <c r="M6285" s="0" t="n">
        <f aca="false">H6285</f>
        <v>0.75</v>
      </c>
      <c r="N6285" s="0" t="n">
        <f aca="false">E6285*F6285</f>
        <v>0.25</v>
      </c>
      <c r="O6285" s="0" t="n">
        <f aca="false">E6285*G6285</f>
        <v>0</v>
      </c>
      <c r="P6285" s="0" t="n">
        <f aca="false">E6285*H6285</f>
        <v>0.75</v>
      </c>
      <c r="Q6285" s="0" t="n">
        <f aca="false">F6285*G6285</f>
        <v>0</v>
      </c>
      <c r="R6285" s="0" t="n">
        <f aca="false">F6285*H6285</f>
        <v>0.1875</v>
      </c>
      <c r="S6285" s="0" t="n">
        <f aca="false">G6285*H6285</f>
        <v>0</v>
      </c>
      <c r="T6285" s="0" t="n">
        <f aca="false">E6285*E6285</f>
        <v>1</v>
      </c>
      <c r="U6285" s="0" t="n">
        <f aca="false">F6285*F6285</f>
        <v>0.0625</v>
      </c>
      <c r="V6285" s="0" t="n">
        <f aca="false">G6285*G6285</f>
        <v>0</v>
      </c>
      <c r="W6285" s="0" t="n">
        <f aca="false">H6285*H6285</f>
        <v>0.5625</v>
      </c>
      <c r="X6285" s="0" t="n">
        <f aca="false">SUMPRODUCT(I6285:W6285,_XtX!$B$96:$P$96)</f>
        <v>48.1173930921053</v>
      </c>
      <c r="Y6285" s="0" t="n">
        <f aca="false">SUMPRODUCT(MMULT(I6285:W6285,_XtX!$B$78:$P$92),I6285:W6285)</f>
        <v>0.501534802174708</v>
      </c>
      <c r="Z6285" s="0" t="n">
        <f aca="false">04_回帰ANOVA!$K$19*04_回帰ANOVA!$K$14*SQRT(1+Y6285)</f>
        <v>1.59722498091333</v>
      </c>
      <c r="AA6285" s="0" t="n">
        <f aca="false">X6285-Z6285</f>
        <v>46.520168111192</v>
      </c>
      <c r="AB6285" s="0" t="n">
        <f aca="false">X6285+Z6285</f>
        <v>49.7146180730186</v>
      </c>
      <c r="AC6285" s="54" t="b">
        <f aca="false">AND(E6285&gt;=01_因子設定!$L$5-0.000000001,E6285&lt;=01_因子設定!$M$5+0.000000001,F6285&gt;=01_因子設定!$L$6-0.000000001,F6285&lt;=01_因子設定!$M$6+0.000000001,G6285&gt;=01_因子設定!$L$7-0.000000001,G6285&lt;=01_因子設定!$M$7+0.000000001,H6285&gt;=01_因子設定!$L$8-0.000000001,H6285&lt;=01_因子設定!$M$8+0.000000001,IF(01_因子設定!$B$20="Box-Behnken",E6285^2+F6285^2+G6285^2+H6285^2&lt;=2+0.000000001,TRUE()))</f>
        <v>1</v>
      </c>
      <c r="AD6285" s="55" t="n">
        <f aca="false">IF(AC6285,IF(01_因子設定!$B$13="最大化",AA6285-01_因子設定!$B$14,IF(01_因子設定!$B$13="最小化",01_因子設定!$B$15-AB6285,MIN(AA6285-01_因子設定!$B$14,01_因子設定!$B$15-AB6285))),-1E+030)</f>
        <v>0.0201681111919783</v>
      </c>
      <c r="AE6285" s="55" t="n">
        <f aca="false">IF(AC6285,IF(01_因子設定!$B$13="最大化",X6285,IF(01_因子設定!$B$13="最小化",-X6285,-ABS(X6285-01_因子設定!$B$16))),-1E+030)</f>
        <v>48.1173930921053</v>
      </c>
      <c r="AF6285" s="55" t="n">
        <f aca="false">AD6285+ROW()*0.000000001</f>
        <v>0.0201743961919783</v>
      </c>
      <c r="AG6285" s="55" t="n">
        <f aca="false">AE6285+ROW()*0.000000001</f>
        <v>48.1173993771053</v>
      </c>
    </row>
    <row r="6286" customFormat="false" ht="15" hidden="false" customHeight="false" outlineLevel="0" collapsed="false">
      <c r="A6286" s="0" t="n">
        <v>8</v>
      </c>
      <c r="B6286" s="0" t="n">
        <v>5</v>
      </c>
      <c r="C6286" s="0" t="n">
        <v>4</v>
      </c>
      <c r="D6286" s="0" t="n">
        <v>8</v>
      </c>
      <c r="E6286" s="0" t="n">
        <f aca="false">-1+A6286*0.25</f>
        <v>1</v>
      </c>
      <c r="F6286" s="0" t="n">
        <f aca="false">-1+B6286*0.25</f>
        <v>0.25</v>
      </c>
      <c r="G6286" s="0" t="n">
        <f aca="false">-1+C6286*0.25</f>
        <v>0</v>
      </c>
      <c r="H6286" s="0" t="n">
        <f aca="false">-1+D6286*0.25</f>
        <v>1</v>
      </c>
      <c r="I6286" s="0" t="n">
        <f aca="false">1</f>
        <v>1</v>
      </c>
      <c r="J6286" s="0" t="n">
        <f aca="false">E6286</f>
        <v>1</v>
      </c>
      <c r="K6286" s="0" t="n">
        <f aca="false">F6286</f>
        <v>0.25</v>
      </c>
      <c r="L6286" s="0" t="n">
        <f aca="false">G6286</f>
        <v>0</v>
      </c>
      <c r="M6286" s="0" t="n">
        <f aca="false">H6286</f>
        <v>1</v>
      </c>
      <c r="N6286" s="0" t="n">
        <f aca="false">E6286*F6286</f>
        <v>0.25</v>
      </c>
      <c r="O6286" s="0" t="n">
        <f aca="false">E6286*G6286</f>
        <v>0</v>
      </c>
      <c r="P6286" s="0" t="n">
        <f aca="false">E6286*H6286</f>
        <v>1</v>
      </c>
      <c r="Q6286" s="0" t="n">
        <f aca="false">F6286*G6286</f>
        <v>0</v>
      </c>
      <c r="R6286" s="0" t="n">
        <f aca="false">F6286*H6286</f>
        <v>0.25</v>
      </c>
      <c r="S6286" s="0" t="n">
        <f aca="false">G6286*H6286</f>
        <v>0</v>
      </c>
      <c r="T6286" s="0" t="n">
        <f aca="false">E6286*E6286</f>
        <v>1</v>
      </c>
      <c r="U6286" s="0" t="n">
        <f aca="false">F6286*F6286</f>
        <v>0.0625</v>
      </c>
      <c r="V6286" s="0" t="n">
        <f aca="false">G6286*G6286</f>
        <v>0</v>
      </c>
      <c r="W6286" s="0" t="n">
        <f aca="false">H6286*H6286</f>
        <v>1</v>
      </c>
      <c r="X6286" s="0" t="n">
        <f aca="false">SUMPRODUCT(I6286:W6286,_XtX!$B$96:$P$96)</f>
        <v>48.0694261695907</v>
      </c>
      <c r="Y6286" s="0" t="n">
        <f aca="false">SUMPRODUCT(MMULT(I6286:W6286,_XtX!$B$78:$P$92),I6286:W6286)</f>
        <v>0.689692982456141</v>
      </c>
      <c r="Z6286" s="0" t="n">
        <f aca="false">04_回帰ANOVA!$K$19*04_回帰ANOVA!$K$14*SQRT(1+Y6286)</f>
        <v>1.69434674594998</v>
      </c>
      <c r="AA6286" s="0" t="n">
        <f aca="false">X6286-Z6286</f>
        <v>46.3750794236407</v>
      </c>
      <c r="AB6286" s="0" t="n">
        <f aca="false">X6286+Z6286</f>
        <v>49.7637729155407</v>
      </c>
      <c r="AC6286" s="54" t="b">
        <f aca="false">AND(E6286&gt;=01_因子設定!$L$5-0.000000001,E6286&lt;=01_因子設定!$M$5+0.000000001,F6286&gt;=01_因子設定!$L$6-0.000000001,F6286&lt;=01_因子設定!$M$6+0.000000001,G6286&gt;=01_因子設定!$L$7-0.000000001,G6286&lt;=01_因子設定!$M$7+0.000000001,H6286&gt;=01_因子設定!$L$8-0.000000001,H6286&lt;=01_因子設定!$M$8+0.000000001,IF(01_因子設定!$B$20="Box-Behnken",E6286^2+F6286^2+G6286^2+H6286^2&lt;=2+0.000000001,TRUE()))</f>
        <v>1</v>
      </c>
      <c r="AD6286" s="55" t="n">
        <f aca="false">IF(AC6286,IF(01_因子設定!$B$13="最大化",AA6286-01_因子設定!$B$14,IF(01_因子設定!$B$13="最小化",01_因子設定!$B$15-AB6286,MIN(AA6286-01_因子設定!$B$14,01_因子設定!$B$15-AB6286))),-1E+030)</f>
        <v>-0.12492057635928</v>
      </c>
      <c r="AE6286" s="55" t="n">
        <f aca="false">IF(AC6286,IF(01_因子設定!$B$13="最大化",X6286,IF(01_因子設定!$B$13="最小化",-X6286,-ABS(X6286-01_因子設定!$B$16))),-1E+030)</f>
        <v>48.0694261695907</v>
      </c>
      <c r="AF6286" s="55" t="n">
        <f aca="false">AD6286+ROW()*0.000000001</f>
        <v>-0.12491429035928</v>
      </c>
      <c r="AG6286" s="55" t="n">
        <f aca="false">AE6286+ROW()*0.000000001</f>
        <v>48.0694324555907</v>
      </c>
    </row>
    <row r="6287" customFormat="false" ht="15" hidden="false" customHeight="false" outlineLevel="0" collapsed="false">
      <c r="A6287" s="0" t="n">
        <v>8</v>
      </c>
      <c r="B6287" s="0" t="n">
        <v>5</v>
      </c>
      <c r="C6287" s="0" t="n">
        <v>5</v>
      </c>
      <c r="D6287" s="0" t="n">
        <v>0</v>
      </c>
      <c r="E6287" s="0" t="n">
        <f aca="false">-1+A6287*0.25</f>
        <v>1</v>
      </c>
      <c r="F6287" s="0" t="n">
        <f aca="false">-1+B6287*0.25</f>
        <v>0.25</v>
      </c>
      <c r="G6287" s="0" t="n">
        <f aca="false">-1+C6287*0.25</f>
        <v>0.25</v>
      </c>
      <c r="H6287" s="0" t="n">
        <f aca="false">-1+D6287*0.25</f>
        <v>-1</v>
      </c>
      <c r="I6287" s="0" t="n">
        <f aca="false">1</f>
        <v>1</v>
      </c>
      <c r="J6287" s="0" t="n">
        <f aca="false">E6287</f>
        <v>1</v>
      </c>
      <c r="K6287" s="0" t="n">
        <f aca="false">F6287</f>
        <v>0.25</v>
      </c>
      <c r="L6287" s="0" t="n">
        <f aca="false">G6287</f>
        <v>0.25</v>
      </c>
      <c r="M6287" s="0" t="n">
        <f aca="false">H6287</f>
        <v>-1</v>
      </c>
      <c r="N6287" s="0" t="n">
        <f aca="false">E6287*F6287</f>
        <v>0.25</v>
      </c>
      <c r="O6287" s="0" t="n">
        <f aca="false">E6287*G6287</f>
        <v>0.25</v>
      </c>
      <c r="P6287" s="0" t="n">
        <f aca="false">E6287*H6287</f>
        <v>-1</v>
      </c>
      <c r="Q6287" s="0" t="n">
        <f aca="false">F6287*G6287</f>
        <v>0.0625</v>
      </c>
      <c r="R6287" s="0" t="n">
        <f aca="false">F6287*H6287</f>
        <v>-0.25</v>
      </c>
      <c r="S6287" s="0" t="n">
        <f aca="false">G6287*H6287</f>
        <v>-0.25</v>
      </c>
      <c r="T6287" s="0" t="n">
        <f aca="false">E6287*E6287</f>
        <v>1</v>
      </c>
      <c r="U6287" s="0" t="n">
        <f aca="false">F6287*F6287</f>
        <v>0.0625</v>
      </c>
      <c r="V6287" s="0" t="n">
        <f aca="false">G6287*G6287</f>
        <v>0.0625</v>
      </c>
      <c r="W6287" s="0" t="n">
        <f aca="false">H6287*H6287</f>
        <v>1</v>
      </c>
      <c r="X6287" s="0" t="n">
        <f aca="false">SUMPRODUCT(I6287:W6287,_XtX!$B$96:$P$96)</f>
        <v>47.102901133041</v>
      </c>
      <c r="Y6287" s="0" t="n">
        <f aca="false">SUMPRODUCT(MMULT(I6287:W6287,_XtX!$B$78:$P$92),I6287:W6287)</f>
        <v>0.670040376005117</v>
      </c>
      <c r="Z6287" s="0" t="n">
        <f aca="false">04_回帰ANOVA!$K$19*04_回帰ANOVA!$K$14*SQRT(1+Y6287)</f>
        <v>1.68446456039992</v>
      </c>
      <c r="AA6287" s="0" t="n">
        <f aca="false">X6287-Z6287</f>
        <v>45.4184365726411</v>
      </c>
      <c r="AB6287" s="0" t="n">
        <f aca="false">X6287+Z6287</f>
        <v>48.7873656934409</v>
      </c>
      <c r="AC6287" s="54" t="b">
        <f aca="false">AND(E6287&gt;=01_因子設定!$L$5-0.000000001,E6287&lt;=01_因子設定!$M$5+0.000000001,F6287&gt;=01_因子設定!$L$6-0.000000001,F6287&lt;=01_因子設定!$M$6+0.000000001,G6287&gt;=01_因子設定!$L$7-0.000000001,G6287&lt;=01_因子設定!$M$7+0.000000001,H6287&gt;=01_因子設定!$L$8-0.000000001,H6287&lt;=01_因子設定!$M$8+0.000000001,IF(01_因子設定!$B$20="Box-Behnken",E6287^2+F6287^2+G6287^2+H6287^2&lt;=2+0.000000001,TRUE()))</f>
        <v>1</v>
      </c>
      <c r="AD6287" s="55" t="n">
        <f aca="false">IF(AC6287,IF(01_因子設定!$B$13="最大化",AA6287-01_因子設定!$B$14,IF(01_因子設定!$B$13="最小化",01_因子設定!$B$15-AB6287,MIN(AA6287-01_因子設定!$B$14,01_因子設定!$B$15-AB6287))),-1E+030)</f>
        <v>-1.08156342735892</v>
      </c>
      <c r="AE6287" s="55" t="n">
        <f aca="false">IF(AC6287,IF(01_因子設定!$B$13="最大化",X6287,IF(01_因子設定!$B$13="最小化",-X6287,-ABS(X6287-01_因子設定!$B$16))),-1E+030)</f>
        <v>47.102901133041</v>
      </c>
      <c r="AF6287" s="55" t="n">
        <f aca="false">AD6287+ROW()*0.000000001</f>
        <v>-1.08155714035892</v>
      </c>
      <c r="AG6287" s="55" t="n">
        <f aca="false">AE6287+ROW()*0.000000001</f>
        <v>47.102907420041</v>
      </c>
    </row>
    <row r="6288" customFormat="false" ht="15" hidden="false" customHeight="false" outlineLevel="0" collapsed="false">
      <c r="A6288" s="0" t="n">
        <v>8</v>
      </c>
      <c r="B6288" s="0" t="n">
        <v>5</v>
      </c>
      <c r="C6288" s="0" t="n">
        <v>5</v>
      </c>
      <c r="D6288" s="0" t="n">
        <v>1</v>
      </c>
      <c r="E6288" s="0" t="n">
        <f aca="false">-1+A6288*0.25</f>
        <v>1</v>
      </c>
      <c r="F6288" s="0" t="n">
        <f aca="false">-1+B6288*0.25</f>
        <v>0.25</v>
      </c>
      <c r="G6288" s="0" t="n">
        <f aca="false">-1+C6288*0.25</f>
        <v>0.25</v>
      </c>
      <c r="H6288" s="0" t="n">
        <f aca="false">-1+D6288*0.25</f>
        <v>-0.75</v>
      </c>
      <c r="I6288" s="0" t="n">
        <f aca="false">1</f>
        <v>1</v>
      </c>
      <c r="J6288" s="0" t="n">
        <f aca="false">E6288</f>
        <v>1</v>
      </c>
      <c r="K6288" s="0" t="n">
        <f aca="false">F6288</f>
        <v>0.25</v>
      </c>
      <c r="L6288" s="0" t="n">
        <f aca="false">G6288</f>
        <v>0.25</v>
      </c>
      <c r="M6288" s="0" t="n">
        <f aca="false">H6288</f>
        <v>-0.75</v>
      </c>
      <c r="N6288" s="0" t="n">
        <f aca="false">E6288*F6288</f>
        <v>0.25</v>
      </c>
      <c r="O6288" s="0" t="n">
        <f aca="false">E6288*G6288</f>
        <v>0.25</v>
      </c>
      <c r="P6288" s="0" t="n">
        <f aca="false">E6288*H6288</f>
        <v>-0.75</v>
      </c>
      <c r="Q6288" s="0" t="n">
        <f aca="false">F6288*G6288</f>
        <v>0.0625</v>
      </c>
      <c r="R6288" s="0" t="n">
        <f aca="false">F6288*H6288</f>
        <v>-0.1875</v>
      </c>
      <c r="S6288" s="0" t="n">
        <f aca="false">G6288*H6288</f>
        <v>-0.1875</v>
      </c>
      <c r="T6288" s="0" t="n">
        <f aca="false">E6288*E6288</f>
        <v>1</v>
      </c>
      <c r="U6288" s="0" t="n">
        <f aca="false">F6288*F6288</f>
        <v>0.0625</v>
      </c>
      <c r="V6288" s="0" t="n">
        <f aca="false">G6288*G6288</f>
        <v>0.0625</v>
      </c>
      <c r="W6288" s="0" t="n">
        <f aca="false">H6288*H6288</f>
        <v>0.5625</v>
      </c>
      <c r="X6288" s="0" t="n">
        <f aca="false">SUMPRODUCT(I6288:W6288,_XtX!$B$96:$P$96)</f>
        <v>47.4075520833334</v>
      </c>
      <c r="Y6288" s="0" t="n">
        <f aca="false">SUMPRODUCT(MMULT(I6288:W6288,_XtX!$B$78:$P$92),I6288:W6288)</f>
        <v>0.486409505208334</v>
      </c>
      <c r="Z6288" s="0" t="n">
        <f aca="false">04_回帰ANOVA!$K$19*04_回帰ANOVA!$K$14*SQRT(1+Y6288)</f>
        <v>1.58916001665498</v>
      </c>
      <c r="AA6288" s="0" t="n">
        <f aca="false">X6288-Z6288</f>
        <v>45.8183920666784</v>
      </c>
      <c r="AB6288" s="0" t="n">
        <f aca="false">X6288+Z6288</f>
        <v>48.9967120999884</v>
      </c>
      <c r="AC6288" s="54" t="b">
        <f aca="false">AND(E6288&gt;=01_因子設定!$L$5-0.000000001,E6288&lt;=01_因子設定!$M$5+0.000000001,F6288&gt;=01_因子設定!$L$6-0.000000001,F6288&lt;=01_因子設定!$M$6+0.000000001,G6288&gt;=01_因子設定!$L$7-0.000000001,G6288&lt;=01_因子設定!$M$7+0.000000001,H6288&gt;=01_因子設定!$L$8-0.000000001,H6288&lt;=01_因子設定!$M$8+0.000000001,IF(01_因子設定!$B$20="Box-Behnken",E6288^2+F6288^2+G6288^2+H6288^2&lt;=2+0.000000001,TRUE()))</f>
        <v>1</v>
      </c>
      <c r="AD6288" s="55" t="n">
        <f aca="false">IF(AC6288,IF(01_因子設定!$B$13="最大化",AA6288-01_因子設定!$B$14,IF(01_因子設定!$B$13="最小化",01_因子設定!$B$15-AB6288,MIN(AA6288-01_因子設定!$B$14,01_因子設定!$B$15-AB6288))),-1E+030)</f>
        <v>-0.681607933321601</v>
      </c>
      <c r="AE6288" s="55" t="n">
        <f aca="false">IF(AC6288,IF(01_因子設定!$B$13="最大化",X6288,IF(01_因子設定!$B$13="最小化",-X6288,-ABS(X6288-01_因子設定!$B$16))),-1E+030)</f>
        <v>47.4075520833334</v>
      </c>
      <c r="AF6288" s="55" t="n">
        <f aca="false">AD6288+ROW()*0.000000001</f>
        <v>-0.681601645321601</v>
      </c>
      <c r="AG6288" s="55" t="n">
        <f aca="false">AE6288+ROW()*0.000000001</f>
        <v>47.4075583713334</v>
      </c>
    </row>
    <row r="6289" customFormat="false" ht="15" hidden="false" customHeight="false" outlineLevel="0" collapsed="false">
      <c r="A6289" s="0" t="n">
        <v>8</v>
      </c>
      <c r="B6289" s="0" t="n">
        <v>5</v>
      </c>
      <c r="C6289" s="0" t="n">
        <v>5</v>
      </c>
      <c r="D6289" s="0" t="n">
        <v>2</v>
      </c>
      <c r="E6289" s="0" t="n">
        <f aca="false">-1+A6289*0.25</f>
        <v>1</v>
      </c>
      <c r="F6289" s="0" t="n">
        <f aca="false">-1+B6289*0.25</f>
        <v>0.25</v>
      </c>
      <c r="G6289" s="0" t="n">
        <f aca="false">-1+C6289*0.25</f>
        <v>0.25</v>
      </c>
      <c r="H6289" s="0" t="n">
        <f aca="false">-1+D6289*0.25</f>
        <v>-0.5</v>
      </c>
      <c r="I6289" s="0" t="n">
        <f aca="false">1</f>
        <v>1</v>
      </c>
      <c r="J6289" s="0" t="n">
        <f aca="false">E6289</f>
        <v>1</v>
      </c>
      <c r="K6289" s="0" t="n">
        <f aca="false">F6289</f>
        <v>0.25</v>
      </c>
      <c r="L6289" s="0" t="n">
        <f aca="false">G6289</f>
        <v>0.25</v>
      </c>
      <c r="M6289" s="0" t="n">
        <f aca="false">H6289</f>
        <v>-0.5</v>
      </c>
      <c r="N6289" s="0" t="n">
        <f aca="false">E6289*F6289</f>
        <v>0.25</v>
      </c>
      <c r="O6289" s="0" t="n">
        <f aca="false">E6289*G6289</f>
        <v>0.25</v>
      </c>
      <c r="P6289" s="0" t="n">
        <f aca="false">E6289*H6289</f>
        <v>-0.5</v>
      </c>
      <c r="Q6289" s="0" t="n">
        <f aca="false">F6289*G6289</f>
        <v>0.0625</v>
      </c>
      <c r="R6289" s="0" t="n">
        <f aca="false">F6289*H6289</f>
        <v>-0.125</v>
      </c>
      <c r="S6289" s="0" t="n">
        <f aca="false">G6289*H6289</f>
        <v>-0.125</v>
      </c>
      <c r="T6289" s="0" t="n">
        <f aca="false">E6289*E6289</f>
        <v>1</v>
      </c>
      <c r="U6289" s="0" t="n">
        <f aca="false">F6289*F6289</f>
        <v>0.0625</v>
      </c>
      <c r="V6289" s="0" t="n">
        <f aca="false">G6289*G6289</f>
        <v>0.0625</v>
      </c>
      <c r="W6289" s="0" t="n">
        <f aca="false">H6289*H6289</f>
        <v>0.25</v>
      </c>
      <c r="X6289" s="0" t="n">
        <f aca="false">SUMPRODUCT(I6289:W6289,_XtX!$B$96:$P$96)</f>
        <v>47.6643960160819</v>
      </c>
      <c r="Y6289" s="0" t="n">
        <f aca="false">SUMPRODUCT(MMULT(I6289:W6289,_XtX!$B$78:$P$92),I6289:W6289)</f>
        <v>0.445705123812135</v>
      </c>
      <c r="Z6289" s="0" t="n">
        <f aca="false">04_回帰ANOVA!$K$19*04_回帰ANOVA!$K$14*SQRT(1+Y6289)</f>
        <v>1.56724990734749</v>
      </c>
      <c r="AA6289" s="0" t="n">
        <f aca="false">X6289-Z6289</f>
        <v>46.0971461087344</v>
      </c>
      <c r="AB6289" s="0" t="n">
        <f aca="false">X6289+Z6289</f>
        <v>49.2316459234294</v>
      </c>
      <c r="AC6289" s="54" t="b">
        <f aca="false">AND(E6289&gt;=01_因子設定!$L$5-0.000000001,E6289&lt;=01_因子設定!$M$5+0.000000001,F6289&gt;=01_因子設定!$L$6-0.000000001,F6289&lt;=01_因子設定!$M$6+0.000000001,G6289&gt;=01_因子設定!$L$7-0.000000001,G6289&lt;=01_因子設定!$M$7+0.000000001,H6289&gt;=01_因子設定!$L$8-0.000000001,H6289&lt;=01_因子設定!$M$8+0.000000001,IF(01_因子設定!$B$20="Box-Behnken",E6289^2+F6289^2+G6289^2+H6289^2&lt;=2+0.000000001,TRUE()))</f>
        <v>1</v>
      </c>
      <c r="AD6289" s="55" t="n">
        <f aca="false">IF(AC6289,IF(01_因子設定!$B$13="最大化",AA6289-01_因子設定!$B$14,IF(01_因子設定!$B$13="最小化",01_因子設定!$B$15-AB6289,MIN(AA6289-01_因子設定!$B$14,01_因子設定!$B$15-AB6289))),-1E+030)</f>
        <v>-0.402853891265586</v>
      </c>
      <c r="AE6289" s="55" t="n">
        <f aca="false">IF(AC6289,IF(01_因子設定!$B$13="最大化",X6289,IF(01_因子設定!$B$13="最小化",-X6289,-ABS(X6289-01_因子設定!$B$16))),-1E+030)</f>
        <v>47.6643960160819</v>
      </c>
      <c r="AF6289" s="55" t="n">
        <f aca="false">AD6289+ROW()*0.000000001</f>
        <v>-0.402847602265586</v>
      </c>
      <c r="AG6289" s="55" t="n">
        <f aca="false">AE6289+ROW()*0.000000001</f>
        <v>47.6644023050819</v>
      </c>
    </row>
    <row r="6290" customFormat="false" ht="15" hidden="false" customHeight="false" outlineLevel="0" collapsed="false">
      <c r="A6290" s="0" t="n">
        <v>8</v>
      </c>
      <c r="B6290" s="0" t="n">
        <v>5</v>
      </c>
      <c r="C6290" s="0" t="n">
        <v>5</v>
      </c>
      <c r="D6290" s="0" t="n">
        <v>3</v>
      </c>
      <c r="E6290" s="0" t="n">
        <f aca="false">-1+A6290*0.25</f>
        <v>1</v>
      </c>
      <c r="F6290" s="0" t="n">
        <f aca="false">-1+B6290*0.25</f>
        <v>0.25</v>
      </c>
      <c r="G6290" s="0" t="n">
        <f aca="false">-1+C6290*0.25</f>
        <v>0.25</v>
      </c>
      <c r="H6290" s="0" t="n">
        <f aca="false">-1+D6290*0.25</f>
        <v>-0.25</v>
      </c>
      <c r="I6290" s="0" t="n">
        <f aca="false">1</f>
        <v>1</v>
      </c>
      <c r="J6290" s="0" t="n">
        <f aca="false">E6290</f>
        <v>1</v>
      </c>
      <c r="K6290" s="0" t="n">
        <f aca="false">F6290</f>
        <v>0.25</v>
      </c>
      <c r="L6290" s="0" t="n">
        <f aca="false">G6290</f>
        <v>0.25</v>
      </c>
      <c r="M6290" s="0" t="n">
        <f aca="false">H6290</f>
        <v>-0.25</v>
      </c>
      <c r="N6290" s="0" t="n">
        <f aca="false">E6290*F6290</f>
        <v>0.25</v>
      </c>
      <c r="O6290" s="0" t="n">
        <f aca="false">E6290*G6290</f>
        <v>0.25</v>
      </c>
      <c r="P6290" s="0" t="n">
        <f aca="false">E6290*H6290</f>
        <v>-0.25</v>
      </c>
      <c r="Q6290" s="0" t="n">
        <f aca="false">F6290*G6290</f>
        <v>0.0625</v>
      </c>
      <c r="R6290" s="0" t="n">
        <f aca="false">F6290*H6290</f>
        <v>-0.0625</v>
      </c>
      <c r="S6290" s="0" t="n">
        <f aca="false">G6290*H6290</f>
        <v>-0.0625</v>
      </c>
      <c r="T6290" s="0" t="n">
        <f aca="false">E6290*E6290</f>
        <v>1</v>
      </c>
      <c r="U6290" s="0" t="n">
        <f aca="false">F6290*F6290</f>
        <v>0.0625</v>
      </c>
      <c r="V6290" s="0" t="n">
        <f aca="false">G6290*G6290</f>
        <v>0.0625</v>
      </c>
      <c r="W6290" s="0" t="n">
        <f aca="false">H6290*H6290</f>
        <v>0.0625</v>
      </c>
      <c r="X6290" s="0" t="n">
        <f aca="false">SUMPRODUCT(I6290:W6290,_XtX!$B$96:$P$96)</f>
        <v>47.8734329312866</v>
      </c>
      <c r="Y6290" s="0" t="n">
        <f aca="false">SUMPRODUCT(MMULT(I6290:W6290,_XtX!$B$78:$P$92),I6290:W6290)</f>
        <v>0.457466705500731</v>
      </c>
      <c r="Z6290" s="0" t="n">
        <f aca="false">04_回帰ANOVA!$K$19*04_回帰ANOVA!$K$14*SQRT(1+Y6290)</f>
        <v>1.57361220003999</v>
      </c>
      <c r="AA6290" s="0" t="n">
        <f aca="false">X6290-Z6290</f>
        <v>46.2998207312466</v>
      </c>
      <c r="AB6290" s="0" t="n">
        <f aca="false">X6290+Z6290</f>
        <v>49.4470451313266</v>
      </c>
      <c r="AC6290" s="54" t="b">
        <f aca="false">AND(E6290&gt;=01_因子設定!$L$5-0.000000001,E6290&lt;=01_因子設定!$M$5+0.000000001,F6290&gt;=01_因子設定!$L$6-0.000000001,F6290&lt;=01_因子設定!$M$6+0.000000001,G6290&gt;=01_因子設定!$L$7-0.000000001,G6290&lt;=01_因子設定!$M$7+0.000000001,H6290&gt;=01_因子設定!$L$8-0.000000001,H6290&lt;=01_因子設定!$M$8+0.000000001,IF(01_因子設定!$B$20="Box-Behnken",E6290^2+F6290^2+G6290^2+H6290^2&lt;=2+0.000000001,TRUE()))</f>
        <v>1</v>
      </c>
      <c r="AD6290" s="55" t="n">
        <f aca="false">IF(AC6290,IF(01_因子設定!$B$13="最大化",AA6290-01_因子設定!$B$14,IF(01_因子設定!$B$13="最小化",01_因子設定!$B$15-AB6290,MIN(AA6290-01_因子設定!$B$14,01_因子設定!$B$15-AB6290))),-1E+030)</f>
        <v>-0.200179268753416</v>
      </c>
      <c r="AE6290" s="55" t="n">
        <f aca="false">IF(AC6290,IF(01_因子設定!$B$13="最大化",X6290,IF(01_因子設定!$B$13="最小化",-X6290,-ABS(X6290-01_因子設定!$B$16))),-1E+030)</f>
        <v>47.8734329312866</v>
      </c>
      <c r="AF6290" s="55" t="n">
        <f aca="false">AD6290+ROW()*0.000000001</f>
        <v>-0.200172978753416</v>
      </c>
      <c r="AG6290" s="55" t="n">
        <f aca="false">AE6290+ROW()*0.000000001</f>
        <v>47.8734392212866</v>
      </c>
    </row>
    <row r="6291" customFormat="false" ht="15" hidden="false" customHeight="false" outlineLevel="0" collapsed="false">
      <c r="A6291" s="0" t="n">
        <v>8</v>
      </c>
      <c r="B6291" s="0" t="n">
        <v>5</v>
      </c>
      <c r="C6291" s="0" t="n">
        <v>5</v>
      </c>
      <c r="D6291" s="0" t="n">
        <v>4</v>
      </c>
      <c r="E6291" s="0" t="n">
        <f aca="false">-1+A6291*0.25</f>
        <v>1</v>
      </c>
      <c r="F6291" s="0" t="n">
        <f aca="false">-1+B6291*0.25</f>
        <v>0.25</v>
      </c>
      <c r="G6291" s="0" t="n">
        <f aca="false">-1+C6291*0.25</f>
        <v>0.25</v>
      </c>
      <c r="H6291" s="0" t="n">
        <f aca="false">-1+D6291*0.25</f>
        <v>0</v>
      </c>
      <c r="I6291" s="0" t="n">
        <f aca="false">1</f>
        <v>1</v>
      </c>
      <c r="J6291" s="0" t="n">
        <f aca="false">E6291</f>
        <v>1</v>
      </c>
      <c r="K6291" s="0" t="n">
        <f aca="false">F6291</f>
        <v>0.25</v>
      </c>
      <c r="L6291" s="0" t="n">
        <f aca="false">G6291</f>
        <v>0.25</v>
      </c>
      <c r="M6291" s="0" t="n">
        <f aca="false">H6291</f>
        <v>0</v>
      </c>
      <c r="N6291" s="0" t="n">
        <f aca="false">E6291*F6291</f>
        <v>0.25</v>
      </c>
      <c r="O6291" s="0" t="n">
        <f aca="false">E6291*G6291</f>
        <v>0.25</v>
      </c>
      <c r="P6291" s="0" t="n">
        <f aca="false">E6291*H6291</f>
        <v>0</v>
      </c>
      <c r="Q6291" s="0" t="n">
        <f aca="false">F6291*G6291</f>
        <v>0.0625</v>
      </c>
      <c r="R6291" s="0" t="n">
        <f aca="false">F6291*H6291</f>
        <v>0</v>
      </c>
      <c r="S6291" s="0" t="n">
        <f aca="false">G6291*H6291</f>
        <v>0</v>
      </c>
      <c r="T6291" s="0" t="n">
        <f aca="false">E6291*E6291</f>
        <v>1</v>
      </c>
      <c r="U6291" s="0" t="n">
        <f aca="false">F6291*F6291</f>
        <v>0.0625</v>
      </c>
      <c r="V6291" s="0" t="n">
        <f aca="false">G6291*G6291</f>
        <v>0.0625</v>
      </c>
      <c r="W6291" s="0" t="n">
        <f aca="false">H6291*H6291</f>
        <v>0</v>
      </c>
      <c r="X6291" s="0" t="n">
        <f aca="false">SUMPRODUCT(I6291:W6291,_XtX!$B$96:$P$96)</f>
        <v>48.0346628289474</v>
      </c>
      <c r="Y6291" s="0" t="n">
        <f aca="false">SUMPRODUCT(MMULT(I6291:W6291,_XtX!$B$78:$P$92),I6291:W6291)</f>
        <v>0.467417934484649</v>
      </c>
      <c r="Z6291" s="0" t="n">
        <f aca="false">04_回帰ANOVA!$K$19*04_回帰ANOVA!$K$14*SQRT(1+Y6291)</f>
        <v>1.57897518244497</v>
      </c>
      <c r="AA6291" s="0" t="n">
        <f aca="false">X6291-Z6291</f>
        <v>46.4556876465024</v>
      </c>
      <c r="AB6291" s="0" t="n">
        <f aca="false">X6291+Z6291</f>
        <v>49.6136380113924</v>
      </c>
      <c r="AC6291" s="54" t="b">
        <f aca="false">AND(E6291&gt;=01_因子設定!$L$5-0.000000001,E6291&lt;=01_因子設定!$M$5+0.000000001,F6291&gt;=01_因子設定!$L$6-0.000000001,F6291&lt;=01_因子設定!$M$6+0.000000001,G6291&gt;=01_因子設定!$L$7-0.000000001,G6291&lt;=01_因子設定!$M$7+0.000000001,H6291&gt;=01_因子設定!$L$8-0.000000001,H6291&lt;=01_因子設定!$M$8+0.000000001,IF(01_因子設定!$B$20="Box-Behnken",E6291^2+F6291^2+G6291^2+H6291^2&lt;=2+0.000000001,TRUE()))</f>
        <v>1</v>
      </c>
      <c r="AD6291" s="55" t="n">
        <f aca="false">IF(AC6291,IF(01_因子設定!$B$13="最大化",AA6291-01_因子設定!$B$14,IF(01_因子設定!$B$13="最小化",01_因子設定!$B$15-AB6291,MIN(AA6291-01_因子設定!$B$14,01_因子設定!$B$15-AB6291))),-1E+030)</f>
        <v>-0.0443123534975811</v>
      </c>
      <c r="AE6291" s="55" t="n">
        <f aca="false">IF(AC6291,IF(01_因子設定!$B$13="最大化",X6291,IF(01_因子設定!$B$13="最小化",-X6291,-ABS(X6291-01_因子設定!$B$16))),-1E+030)</f>
        <v>48.0346628289474</v>
      </c>
      <c r="AF6291" s="55" t="n">
        <f aca="false">AD6291+ROW()*0.000000001</f>
        <v>-0.0443060624975811</v>
      </c>
      <c r="AG6291" s="55" t="n">
        <f aca="false">AE6291+ROW()*0.000000001</f>
        <v>48.0346691199474</v>
      </c>
    </row>
    <row r="6292" customFormat="false" ht="15" hidden="false" customHeight="false" outlineLevel="0" collapsed="false">
      <c r="A6292" s="0" t="n">
        <v>8</v>
      </c>
      <c r="B6292" s="0" t="n">
        <v>5</v>
      </c>
      <c r="C6292" s="0" t="n">
        <v>5</v>
      </c>
      <c r="D6292" s="0" t="n">
        <v>5</v>
      </c>
      <c r="E6292" s="0" t="n">
        <f aca="false">-1+A6292*0.25</f>
        <v>1</v>
      </c>
      <c r="F6292" s="0" t="n">
        <f aca="false">-1+B6292*0.25</f>
        <v>0.25</v>
      </c>
      <c r="G6292" s="0" t="n">
        <f aca="false">-1+C6292*0.25</f>
        <v>0.25</v>
      </c>
      <c r="H6292" s="0" t="n">
        <f aca="false">-1+D6292*0.25</f>
        <v>0.25</v>
      </c>
      <c r="I6292" s="0" t="n">
        <f aca="false">1</f>
        <v>1</v>
      </c>
      <c r="J6292" s="0" t="n">
        <f aca="false">E6292</f>
        <v>1</v>
      </c>
      <c r="K6292" s="0" t="n">
        <f aca="false">F6292</f>
        <v>0.25</v>
      </c>
      <c r="L6292" s="0" t="n">
        <f aca="false">G6292</f>
        <v>0.25</v>
      </c>
      <c r="M6292" s="0" t="n">
        <f aca="false">H6292</f>
        <v>0.25</v>
      </c>
      <c r="N6292" s="0" t="n">
        <f aca="false">E6292*F6292</f>
        <v>0.25</v>
      </c>
      <c r="O6292" s="0" t="n">
        <f aca="false">E6292*G6292</f>
        <v>0.25</v>
      </c>
      <c r="P6292" s="0" t="n">
        <f aca="false">E6292*H6292</f>
        <v>0.25</v>
      </c>
      <c r="Q6292" s="0" t="n">
        <f aca="false">F6292*G6292</f>
        <v>0.0625</v>
      </c>
      <c r="R6292" s="0" t="n">
        <f aca="false">F6292*H6292</f>
        <v>0.0625</v>
      </c>
      <c r="S6292" s="0" t="n">
        <f aca="false">G6292*H6292</f>
        <v>0.0625</v>
      </c>
      <c r="T6292" s="0" t="n">
        <f aca="false">E6292*E6292</f>
        <v>1</v>
      </c>
      <c r="U6292" s="0" t="n">
        <f aca="false">F6292*F6292</f>
        <v>0.0625</v>
      </c>
      <c r="V6292" s="0" t="n">
        <f aca="false">G6292*G6292</f>
        <v>0.0625</v>
      </c>
      <c r="W6292" s="0" t="n">
        <f aca="false">H6292*H6292</f>
        <v>0.0625</v>
      </c>
      <c r="X6292" s="0" t="n">
        <f aca="false">SUMPRODUCT(I6292:W6292,_XtX!$B$96:$P$96)</f>
        <v>48.1480857090644</v>
      </c>
      <c r="Y6292" s="0" t="n">
        <f aca="false">SUMPRODUCT(MMULT(I6292:W6292,_XtX!$B$78:$P$92),I6292:W6292)</f>
        <v>0.457466705500731</v>
      </c>
      <c r="Z6292" s="0" t="n">
        <f aca="false">04_回帰ANOVA!$K$19*04_回帰ANOVA!$K$14*SQRT(1+Y6292)</f>
        <v>1.57361220003999</v>
      </c>
      <c r="AA6292" s="0" t="n">
        <f aca="false">X6292-Z6292</f>
        <v>46.5744735090244</v>
      </c>
      <c r="AB6292" s="0" t="n">
        <f aca="false">X6292+Z6292</f>
        <v>49.7216979091044</v>
      </c>
      <c r="AC6292" s="54" t="b">
        <f aca="false">AND(E6292&gt;=01_因子設定!$L$5-0.000000001,E6292&lt;=01_因子設定!$M$5+0.000000001,F6292&gt;=01_因子設定!$L$6-0.000000001,F6292&lt;=01_因子設定!$M$6+0.000000001,G6292&gt;=01_因子設定!$L$7-0.000000001,G6292&lt;=01_因子設定!$M$7+0.000000001,H6292&gt;=01_因子設定!$L$8-0.000000001,H6292&lt;=01_因子設定!$M$8+0.000000001,IF(01_因子設定!$B$20="Box-Behnken",E6292^2+F6292^2+G6292^2+H6292^2&lt;=2+0.000000001,TRUE()))</f>
        <v>1</v>
      </c>
      <c r="AD6292" s="55" t="n">
        <f aca="false">IF(AC6292,IF(01_因子設定!$B$13="最大化",AA6292-01_因子設定!$B$14,IF(01_因子設定!$B$13="最小化",01_因子設定!$B$15-AB6292,MIN(AA6292-01_因子設定!$B$14,01_因子設定!$B$15-AB6292))),-1E+030)</f>
        <v>0.074473509024358</v>
      </c>
      <c r="AE6292" s="55" t="n">
        <f aca="false">IF(AC6292,IF(01_因子設定!$B$13="最大化",X6292,IF(01_因子設定!$B$13="最小化",-X6292,-ABS(X6292-01_因子設定!$B$16))),-1E+030)</f>
        <v>48.1480857090644</v>
      </c>
      <c r="AF6292" s="55" t="n">
        <f aca="false">AD6292+ROW()*0.000000001</f>
        <v>0.074479801024358</v>
      </c>
      <c r="AG6292" s="55" t="n">
        <f aca="false">AE6292+ROW()*0.000000001</f>
        <v>48.1480920010644</v>
      </c>
    </row>
    <row r="6293" customFormat="false" ht="15" hidden="false" customHeight="false" outlineLevel="0" collapsed="false">
      <c r="A6293" s="0" t="n">
        <v>8</v>
      </c>
      <c r="B6293" s="0" t="n">
        <v>5</v>
      </c>
      <c r="C6293" s="0" t="n">
        <v>5</v>
      </c>
      <c r="D6293" s="0" t="n">
        <v>6</v>
      </c>
      <c r="E6293" s="0" t="n">
        <f aca="false">-1+A6293*0.25</f>
        <v>1</v>
      </c>
      <c r="F6293" s="0" t="n">
        <f aca="false">-1+B6293*0.25</f>
        <v>0.25</v>
      </c>
      <c r="G6293" s="0" t="n">
        <f aca="false">-1+C6293*0.25</f>
        <v>0.25</v>
      </c>
      <c r="H6293" s="0" t="n">
        <f aca="false">-1+D6293*0.25</f>
        <v>0.5</v>
      </c>
      <c r="I6293" s="0" t="n">
        <f aca="false">1</f>
        <v>1</v>
      </c>
      <c r="J6293" s="0" t="n">
        <f aca="false">E6293</f>
        <v>1</v>
      </c>
      <c r="K6293" s="0" t="n">
        <f aca="false">F6293</f>
        <v>0.25</v>
      </c>
      <c r="L6293" s="0" t="n">
        <f aca="false">G6293</f>
        <v>0.25</v>
      </c>
      <c r="M6293" s="0" t="n">
        <f aca="false">H6293</f>
        <v>0.5</v>
      </c>
      <c r="N6293" s="0" t="n">
        <f aca="false">E6293*F6293</f>
        <v>0.25</v>
      </c>
      <c r="O6293" s="0" t="n">
        <f aca="false">E6293*G6293</f>
        <v>0.25</v>
      </c>
      <c r="P6293" s="0" t="n">
        <f aca="false">E6293*H6293</f>
        <v>0.5</v>
      </c>
      <c r="Q6293" s="0" t="n">
        <f aca="false">F6293*G6293</f>
        <v>0.0625</v>
      </c>
      <c r="R6293" s="0" t="n">
        <f aca="false">F6293*H6293</f>
        <v>0.125</v>
      </c>
      <c r="S6293" s="0" t="n">
        <f aca="false">G6293*H6293</f>
        <v>0.125</v>
      </c>
      <c r="T6293" s="0" t="n">
        <f aca="false">E6293*E6293</f>
        <v>1</v>
      </c>
      <c r="U6293" s="0" t="n">
        <f aca="false">F6293*F6293</f>
        <v>0.0625</v>
      </c>
      <c r="V6293" s="0" t="n">
        <f aca="false">G6293*G6293</f>
        <v>0.0625</v>
      </c>
      <c r="W6293" s="0" t="n">
        <f aca="false">H6293*H6293</f>
        <v>0.25</v>
      </c>
      <c r="X6293" s="0" t="n">
        <f aca="false">SUMPRODUCT(I6293:W6293,_XtX!$B$96:$P$96)</f>
        <v>48.2137015716375</v>
      </c>
      <c r="Y6293" s="0" t="n">
        <f aca="false">SUMPRODUCT(MMULT(I6293:W6293,_XtX!$B$78:$P$92),I6293:W6293)</f>
        <v>0.445705123812135</v>
      </c>
      <c r="Z6293" s="0" t="n">
        <f aca="false">04_回帰ANOVA!$K$19*04_回帰ANOVA!$K$14*SQRT(1+Y6293)</f>
        <v>1.56724990734749</v>
      </c>
      <c r="AA6293" s="0" t="n">
        <f aca="false">X6293-Z6293</f>
        <v>46.64645166429</v>
      </c>
      <c r="AB6293" s="0" t="n">
        <f aca="false">X6293+Z6293</f>
        <v>49.7809514789849</v>
      </c>
      <c r="AC6293" s="54" t="b">
        <f aca="false">AND(E6293&gt;=01_因子設定!$L$5-0.000000001,E6293&lt;=01_因子設定!$M$5+0.000000001,F6293&gt;=01_因子設定!$L$6-0.000000001,F6293&lt;=01_因子設定!$M$6+0.000000001,G6293&gt;=01_因子設定!$L$7-0.000000001,G6293&lt;=01_因子設定!$M$7+0.000000001,H6293&gt;=01_因子設定!$L$8-0.000000001,H6293&lt;=01_因子設定!$M$8+0.000000001,IF(01_因子設定!$B$20="Box-Behnken",E6293^2+F6293^2+G6293^2+H6293^2&lt;=2+0.000000001,TRUE()))</f>
        <v>1</v>
      </c>
      <c r="AD6293" s="55" t="n">
        <f aca="false">IF(AC6293,IF(01_因子設定!$B$13="最大化",AA6293-01_因子設定!$B$14,IF(01_因子設定!$B$13="最小化",01_因子設定!$B$15-AB6293,MIN(AA6293-01_因子設定!$B$14,01_因子設定!$B$15-AB6293))),-1E+030)</f>
        <v>0.14645166428997</v>
      </c>
      <c r="AE6293" s="55" t="n">
        <f aca="false">IF(AC6293,IF(01_因子設定!$B$13="最大化",X6293,IF(01_因子設定!$B$13="最小化",-X6293,-ABS(X6293-01_因子設定!$B$16))),-1E+030)</f>
        <v>48.2137015716375</v>
      </c>
      <c r="AF6293" s="55" t="n">
        <f aca="false">AD6293+ROW()*0.000000001</f>
        <v>0.14645795728997</v>
      </c>
      <c r="AG6293" s="55" t="n">
        <f aca="false">AE6293+ROW()*0.000000001</f>
        <v>48.2137078646375</v>
      </c>
    </row>
    <row r="6294" customFormat="false" ht="15" hidden="false" customHeight="false" outlineLevel="0" collapsed="false">
      <c r="A6294" s="0" t="n">
        <v>8</v>
      </c>
      <c r="B6294" s="0" t="n">
        <v>5</v>
      </c>
      <c r="C6294" s="0" t="n">
        <v>5</v>
      </c>
      <c r="D6294" s="0" t="n">
        <v>7</v>
      </c>
      <c r="E6294" s="0" t="n">
        <f aca="false">-1+A6294*0.25</f>
        <v>1</v>
      </c>
      <c r="F6294" s="0" t="n">
        <f aca="false">-1+B6294*0.25</f>
        <v>0.25</v>
      </c>
      <c r="G6294" s="0" t="n">
        <f aca="false">-1+C6294*0.25</f>
        <v>0.25</v>
      </c>
      <c r="H6294" s="0" t="n">
        <f aca="false">-1+D6294*0.25</f>
        <v>0.75</v>
      </c>
      <c r="I6294" s="0" t="n">
        <f aca="false">1</f>
        <v>1</v>
      </c>
      <c r="J6294" s="0" t="n">
        <f aca="false">E6294</f>
        <v>1</v>
      </c>
      <c r="K6294" s="0" t="n">
        <f aca="false">F6294</f>
        <v>0.25</v>
      </c>
      <c r="L6294" s="0" t="n">
        <f aca="false">G6294</f>
        <v>0.25</v>
      </c>
      <c r="M6294" s="0" t="n">
        <f aca="false">H6294</f>
        <v>0.75</v>
      </c>
      <c r="N6294" s="0" t="n">
        <f aca="false">E6294*F6294</f>
        <v>0.25</v>
      </c>
      <c r="O6294" s="0" t="n">
        <f aca="false">E6294*G6294</f>
        <v>0.25</v>
      </c>
      <c r="P6294" s="0" t="n">
        <f aca="false">E6294*H6294</f>
        <v>0.75</v>
      </c>
      <c r="Q6294" s="0" t="n">
        <f aca="false">F6294*G6294</f>
        <v>0.0625</v>
      </c>
      <c r="R6294" s="0" t="n">
        <f aca="false">F6294*H6294</f>
        <v>0.1875</v>
      </c>
      <c r="S6294" s="0" t="n">
        <f aca="false">G6294*H6294</f>
        <v>0.1875</v>
      </c>
      <c r="T6294" s="0" t="n">
        <f aca="false">E6294*E6294</f>
        <v>1</v>
      </c>
      <c r="U6294" s="0" t="n">
        <f aca="false">F6294*F6294</f>
        <v>0.0625</v>
      </c>
      <c r="V6294" s="0" t="n">
        <f aca="false">G6294*G6294</f>
        <v>0.0625</v>
      </c>
      <c r="W6294" s="0" t="n">
        <f aca="false">H6294*H6294</f>
        <v>0.5625</v>
      </c>
      <c r="X6294" s="0" t="n">
        <f aca="false">SUMPRODUCT(I6294:W6294,_XtX!$B$96:$P$96)</f>
        <v>48.2315104166667</v>
      </c>
      <c r="Y6294" s="0" t="n">
        <f aca="false">SUMPRODUCT(MMULT(I6294:W6294,_XtX!$B$78:$P$92),I6294:W6294)</f>
        <v>0.486409505208334</v>
      </c>
      <c r="Z6294" s="0" t="n">
        <f aca="false">04_回帰ANOVA!$K$19*04_回帰ANOVA!$K$14*SQRT(1+Y6294)</f>
        <v>1.58916001665498</v>
      </c>
      <c r="AA6294" s="0" t="n">
        <f aca="false">X6294-Z6294</f>
        <v>46.6423504000117</v>
      </c>
      <c r="AB6294" s="0" t="n">
        <f aca="false">X6294+Z6294</f>
        <v>49.8206704333217</v>
      </c>
      <c r="AC6294" s="54" t="b">
        <f aca="false">AND(E6294&gt;=01_因子設定!$L$5-0.000000001,E6294&lt;=01_因子設定!$M$5+0.000000001,F6294&gt;=01_因子設定!$L$6-0.000000001,F6294&lt;=01_因子設定!$M$6+0.000000001,G6294&gt;=01_因子設定!$L$7-0.000000001,G6294&lt;=01_因子設定!$M$7+0.000000001,H6294&gt;=01_因子設定!$L$8-0.000000001,H6294&lt;=01_因子設定!$M$8+0.000000001,IF(01_因子設定!$B$20="Box-Behnken",E6294^2+F6294^2+G6294^2+H6294^2&lt;=2+0.000000001,TRUE()))</f>
        <v>1</v>
      </c>
      <c r="AD6294" s="55" t="n">
        <f aca="false">IF(AC6294,IF(01_因子設定!$B$13="最大化",AA6294-01_因子設定!$B$14,IF(01_因子設定!$B$13="最小化",01_因子設定!$B$15-AB6294,MIN(AA6294-01_因子設定!$B$14,01_因子設定!$B$15-AB6294))),-1E+030)</f>
        <v>0.142350400011729</v>
      </c>
      <c r="AE6294" s="55" t="n">
        <f aca="false">IF(AC6294,IF(01_因子設定!$B$13="最大化",X6294,IF(01_因子設定!$B$13="最小化",-X6294,-ABS(X6294-01_因子設定!$B$16))),-1E+030)</f>
        <v>48.2315104166667</v>
      </c>
      <c r="AF6294" s="55" t="n">
        <f aca="false">AD6294+ROW()*0.000000001</f>
        <v>0.142356694011729</v>
      </c>
      <c r="AG6294" s="55" t="n">
        <f aca="false">AE6294+ROW()*0.000000001</f>
        <v>48.2315167106667</v>
      </c>
    </row>
    <row r="6295" customFormat="false" ht="15" hidden="false" customHeight="false" outlineLevel="0" collapsed="false">
      <c r="A6295" s="0" t="n">
        <v>8</v>
      </c>
      <c r="B6295" s="0" t="n">
        <v>5</v>
      </c>
      <c r="C6295" s="0" t="n">
        <v>5</v>
      </c>
      <c r="D6295" s="0" t="n">
        <v>8</v>
      </c>
      <c r="E6295" s="0" t="n">
        <f aca="false">-1+A6295*0.25</f>
        <v>1</v>
      </c>
      <c r="F6295" s="0" t="n">
        <f aca="false">-1+B6295*0.25</f>
        <v>0.25</v>
      </c>
      <c r="G6295" s="0" t="n">
        <f aca="false">-1+C6295*0.25</f>
        <v>0.25</v>
      </c>
      <c r="H6295" s="0" t="n">
        <f aca="false">-1+D6295*0.25</f>
        <v>1</v>
      </c>
      <c r="I6295" s="0" t="n">
        <f aca="false">1</f>
        <v>1</v>
      </c>
      <c r="J6295" s="0" t="n">
        <f aca="false">E6295</f>
        <v>1</v>
      </c>
      <c r="K6295" s="0" t="n">
        <f aca="false">F6295</f>
        <v>0.25</v>
      </c>
      <c r="L6295" s="0" t="n">
        <f aca="false">G6295</f>
        <v>0.25</v>
      </c>
      <c r="M6295" s="0" t="n">
        <f aca="false">H6295</f>
        <v>1</v>
      </c>
      <c r="N6295" s="0" t="n">
        <f aca="false">E6295*F6295</f>
        <v>0.25</v>
      </c>
      <c r="O6295" s="0" t="n">
        <f aca="false">E6295*G6295</f>
        <v>0.25</v>
      </c>
      <c r="P6295" s="0" t="n">
        <f aca="false">E6295*H6295</f>
        <v>1</v>
      </c>
      <c r="Q6295" s="0" t="n">
        <f aca="false">F6295*G6295</f>
        <v>0.0625</v>
      </c>
      <c r="R6295" s="0" t="n">
        <f aca="false">F6295*H6295</f>
        <v>0.25</v>
      </c>
      <c r="S6295" s="0" t="n">
        <f aca="false">G6295*H6295</f>
        <v>0.25</v>
      </c>
      <c r="T6295" s="0" t="n">
        <f aca="false">E6295*E6295</f>
        <v>1</v>
      </c>
      <c r="U6295" s="0" t="n">
        <f aca="false">F6295*F6295</f>
        <v>0.0625</v>
      </c>
      <c r="V6295" s="0" t="n">
        <f aca="false">G6295*G6295</f>
        <v>0.0625</v>
      </c>
      <c r="W6295" s="0" t="n">
        <f aca="false">H6295*H6295</f>
        <v>1</v>
      </c>
      <c r="X6295" s="0" t="n">
        <f aca="false">SUMPRODUCT(I6295:W6295,_XtX!$B$96:$P$96)</f>
        <v>48.2015122441521</v>
      </c>
      <c r="Y6295" s="0" t="n">
        <f aca="false">SUMPRODUCT(MMULT(I6295:W6295,_XtX!$B$78:$P$92),I6295:W6295)</f>
        <v>0.670040376005117</v>
      </c>
      <c r="Z6295" s="0" t="n">
        <f aca="false">04_回帰ANOVA!$K$19*04_回帰ANOVA!$K$14*SQRT(1+Y6295)</f>
        <v>1.68446456039992</v>
      </c>
      <c r="AA6295" s="0" t="n">
        <f aca="false">X6295-Z6295</f>
        <v>46.5170476837522</v>
      </c>
      <c r="AB6295" s="0" t="n">
        <f aca="false">X6295+Z6295</f>
        <v>49.885976804552</v>
      </c>
      <c r="AC6295" s="54" t="b">
        <f aca="false">AND(E6295&gt;=01_因子設定!$L$5-0.000000001,E6295&lt;=01_因子設定!$M$5+0.000000001,F6295&gt;=01_因子設定!$L$6-0.000000001,F6295&lt;=01_因子設定!$M$6+0.000000001,G6295&gt;=01_因子設定!$L$7-0.000000001,G6295&lt;=01_因子設定!$M$7+0.000000001,H6295&gt;=01_因子設定!$L$8-0.000000001,H6295&lt;=01_因子設定!$M$8+0.000000001,IF(01_因子設定!$B$20="Box-Behnken",E6295^2+F6295^2+G6295^2+H6295^2&lt;=2+0.000000001,TRUE()))</f>
        <v>1</v>
      </c>
      <c r="AD6295" s="55" t="n">
        <f aca="false">IF(AC6295,IF(01_因子設定!$B$13="最大化",AA6295-01_因子設定!$B$14,IF(01_因子設定!$B$13="最小化",01_因子設定!$B$15-AB6295,MIN(AA6295-01_因子設定!$B$14,01_因子設定!$B$15-AB6295))),-1E+030)</f>
        <v>0.0170476837521889</v>
      </c>
      <c r="AE6295" s="55" t="n">
        <f aca="false">IF(AC6295,IF(01_因子設定!$B$13="最大化",X6295,IF(01_因子設定!$B$13="最小化",-X6295,-ABS(X6295-01_因子設定!$B$16))),-1E+030)</f>
        <v>48.2015122441521</v>
      </c>
      <c r="AF6295" s="55" t="n">
        <f aca="false">AD6295+ROW()*0.000000001</f>
        <v>0.0170539787521889</v>
      </c>
      <c r="AG6295" s="55" t="n">
        <f aca="false">AE6295+ROW()*0.000000001</f>
        <v>48.2015185391521</v>
      </c>
    </row>
    <row r="6296" customFormat="false" ht="15" hidden="false" customHeight="false" outlineLevel="0" collapsed="false">
      <c r="A6296" s="0" t="n">
        <v>8</v>
      </c>
      <c r="B6296" s="0" t="n">
        <v>5</v>
      </c>
      <c r="C6296" s="0" t="n">
        <v>6</v>
      </c>
      <c r="D6296" s="0" t="n">
        <v>0</v>
      </c>
      <c r="E6296" s="0" t="n">
        <f aca="false">-1+A6296*0.25</f>
        <v>1</v>
      </c>
      <c r="F6296" s="0" t="n">
        <f aca="false">-1+B6296*0.25</f>
        <v>0.25</v>
      </c>
      <c r="G6296" s="0" t="n">
        <f aca="false">-1+C6296*0.25</f>
        <v>0.5</v>
      </c>
      <c r="H6296" s="0" t="n">
        <f aca="false">-1+D6296*0.25</f>
        <v>-1</v>
      </c>
      <c r="I6296" s="0" t="n">
        <f aca="false">1</f>
        <v>1</v>
      </c>
      <c r="J6296" s="0" t="n">
        <f aca="false">E6296</f>
        <v>1</v>
      </c>
      <c r="K6296" s="0" t="n">
        <f aca="false">F6296</f>
        <v>0.25</v>
      </c>
      <c r="L6296" s="0" t="n">
        <f aca="false">G6296</f>
        <v>0.5</v>
      </c>
      <c r="M6296" s="0" t="n">
        <f aca="false">H6296</f>
        <v>-1</v>
      </c>
      <c r="N6296" s="0" t="n">
        <f aca="false">E6296*F6296</f>
        <v>0.25</v>
      </c>
      <c r="O6296" s="0" t="n">
        <f aca="false">E6296*G6296</f>
        <v>0.5</v>
      </c>
      <c r="P6296" s="0" t="n">
        <f aca="false">E6296*H6296</f>
        <v>-1</v>
      </c>
      <c r="Q6296" s="0" t="n">
        <f aca="false">F6296*G6296</f>
        <v>0.125</v>
      </c>
      <c r="R6296" s="0" t="n">
        <f aca="false">F6296*H6296</f>
        <v>-0.25</v>
      </c>
      <c r="S6296" s="0" t="n">
        <f aca="false">G6296*H6296</f>
        <v>-0.5</v>
      </c>
      <c r="T6296" s="0" t="n">
        <f aca="false">E6296*E6296</f>
        <v>1</v>
      </c>
      <c r="U6296" s="0" t="n">
        <f aca="false">F6296*F6296</f>
        <v>0.0625</v>
      </c>
      <c r="V6296" s="0" t="n">
        <f aca="false">G6296*G6296</f>
        <v>0.25</v>
      </c>
      <c r="W6296" s="0" t="n">
        <f aca="false">H6296*H6296</f>
        <v>1</v>
      </c>
      <c r="X6296" s="0" t="n">
        <f aca="false">SUMPRODUCT(I6296:W6296,_XtX!$B$96:$P$96)</f>
        <v>47.0059301900585</v>
      </c>
      <c r="Y6296" s="0" t="n">
        <f aca="false">SUMPRODUCT(MMULT(I6296:W6296,_XtX!$B$78:$P$92),I6296:W6296)</f>
        <v>0.629174661915205</v>
      </c>
      <c r="Z6296" s="0" t="n">
        <f aca="false">04_回帰ANOVA!$K$19*04_回帰ANOVA!$K$14*SQRT(1+Y6296)</f>
        <v>1.66372758058297</v>
      </c>
      <c r="AA6296" s="0" t="n">
        <f aca="false">X6296-Z6296</f>
        <v>45.3422026094756</v>
      </c>
      <c r="AB6296" s="0" t="n">
        <f aca="false">X6296+Z6296</f>
        <v>48.6696577706415</v>
      </c>
      <c r="AC6296" s="54" t="b">
        <f aca="false">AND(E6296&gt;=01_因子設定!$L$5-0.000000001,E6296&lt;=01_因子設定!$M$5+0.000000001,F6296&gt;=01_因子設定!$L$6-0.000000001,F6296&lt;=01_因子設定!$M$6+0.000000001,G6296&gt;=01_因子設定!$L$7-0.000000001,G6296&lt;=01_因子設定!$M$7+0.000000001,H6296&gt;=01_因子設定!$L$8-0.000000001,H6296&lt;=01_因子設定!$M$8+0.000000001,IF(01_因子設定!$B$20="Box-Behnken",E6296^2+F6296^2+G6296^2+H6296^2&lt;=2+0.000000001,TRUE()))</f>
        <v>1</v>
      </c>
      <c r="AD6296" s="55" t="n">
        <f aca="false">IF(AC6296,IF(01_因子設定!$B$13="最大化",AA6296-01_因子設定!$B$14,IF(01_因子設定!$B$13="最小化",01_因子設定!$B$15-AB6296,MIN(AA6296-01_因子設定!$B$14,01_因子設定!$B$15-AB6296))),-1E+030)</f>
        <v>-1.15779739052443</v>
      </c>
      <c r="AE6296" s="55" t="n">
        <f aca="false">IF(AC6296,IF(01_因子設定!$B$13="最大化",X6296,IF(01_因子設定!$B$13="最小化",-X6296,-ABS(X6296-01_因子設定!$B$16))),-1E+030)</f>
        <v>47.0059301900585</v>
      </c>
      <c r="AF6296" s="55" t="n">
        <f aca="false">AD6296+ROW()*0.000000001</f>
        <v>-1.15779109452443</v>
      </c>
      <c r="AG6296" s="55" t="n">
        <f aca="false">AE6296+ROW()*0.000000001</f>
        <v>47.0059364860585</v>
      </c>
    </row>
    <row r="6297" customFormat="false" ht="15" hidden="false" customHeight="false" outlineLevel="0" collapsed="false">
      <c r="A6297" s="0" t="n">
        <v>8</v>
      </c>
      <c r="B6297" s="0" t="n">
        <v>5</v>
      </c>
      <c r="C6297" s="0" t="n">
        <v>6</v>
      </c>
      <c r="D6297" s="0" t="n">
        <v>1</v>
      </c>
      <c r="E6297" s="0" t="n">
        <f aca="false">-1+A6297*0.25</f>
        <v>1</v>
      </c>
      <c r="F6297" s="0" t="n">
        <f aca="false">-1+B6297*0.25</f>
        <v>0.25</v>
      </c>
      <c r="G6297" s="0" t="n">
        <f aca="false">-1+C6297*0.25</f>
        <v>0.5</v>
      </c>
      <c r="H6297" s="0" t="n">
        <f aca="false">-1+D6297*0.25</f>
        <v>-0.75</v>
      </c>
      <c r="I6297" s="0" t="n">
        <f aca="false">1</f>
        <v>1</v>
      </c>
      <c r="J6297" s="0" t="n">
        <f aca="false">E6297</f>
        <v>1</v>
      </c>
      <c r="K6297" s="0" t="n">
        <f aca="false">F6297</f>
        <v>0.25</v>
      </c>
      <c r="L6297" s="0" t="n">
        <f aca="false">G6297</f>
        <v>0.5</v>
      </c>
      <c r="M6297" s="0" t="n">
        <f aca="false">H6297</f>
        <v>-0.75</v>
      </c>
      <c r="N6297" s="0" t="n">
        <f aca="false">E6297*F6297</f>
        <v>0.25</v>
      </c>
      <c r="O6297" s="0" t="n">
        <f aca="false">E6297*G6297</f>
        <v>0.5</v>
      </c>
      <c r="P6297" s="0" t="n">
        <f aca="false">E6297*H6297</f>
        <v>-0.75</v>
      </c>
      <c r="Q6297" s="0" t="n">
        <f aca="false">F6297*G6297</f>
        <v>0.125</v>
      </c>
      <c r="R6297" s="0" t="n">
        <f aca="false">F6297*H6297</f>
        <v>-0.1875</v>
      </c>
      <c r="S6297" s="0" t="n">
        <f aca="false">G6297*H6297</f>
        <v>-0.375</v>
      </c>
      <c r="T6297" s="0" t="n">
        <f aca="false">E6297*E6297</f>
        <v>1</v>
      </c>
      <c r="U6297" s="0" t="n">
        <f aca="false">F6297*F6297</f>
        <v>0.0625</v>
      </c>
      <c r="V6297" s="0" t="n">
        <f aca="false">G6297*G6297</f>
        <v>0.25</v>
      </c>
      <c r="W6297" s="0" t="n">
        <f aca="false">H6297*H6297</f>
        <v>0.5625</v>
      </c>
      <c r="X6297" s="0" t="n">
        <f aca="false">SUMPRODUCT(I6297:W6297,_XtX!$B$96:$P$96)</f>
        <v>47.3285498903509</v>
      </c>
      <c r="Y6297" s="0" t="n">
        <f aca="false">SUMPRODUCT(MMULT(I6297:W6297,_XtX!$B$78:$P$92),I6297:W6297)</f>
        <v>0.459125719572369</v>
      </c>
      <c r="Z6297" s="0" t="n">
        <f aca="false">04_回帰ANOVA!$K$19*04_回帰ANOVA!$K$14*SQRT(1+Y6297)</f>
        <v>1.57450755575573</v>
      </c>
      <c r="AA6297" s="0" t="n">
        <f aca="false">X6297-Z6297</f>
        <v>45.7540423345952</v>
      </c>
      <c r="AB6297" s="0" t="n">
        <f aca="false">X6297+Z6297</f>
        <v>48.9030574461067</v>
      </c>
      <c r="AC6297" s="54" t="b">
        <f aca="false">AND(E6297&gt;=01_因子設定!$L$5-0.000000001,E6297&lt;=01_因子設定!$M$5+0.000000001,F6297&gt;=01_因子設定!$L$6-0.000000001,F6297&lt;=01_因子設定!$M$6+0.000000001,G6297&gt;=01_因子設定!$L$7-0.000000001,G6297&lt;=01_因子設定!$M$7+0.000000001,H6297&gt;=01_因子設定!$L$8-0.000000001,H6297&lt;=01_因子設定!$M$8+0.000000001,IF(01_因子設定!$B$20="Box-Behnken",E6297^2+F6297^2+G6297^2+H6297^2&lt;=2+0.000000001,TRUE()))</f>
        <v>1</v>
      </c>
      <c r="AD6297" s="55" t="n">
        <f aca="false">IF(AC6297,IF(01_因子設定!$B$13="最大化",AA6297-01_因子設定!$B$14,IF(01_因子設定!$B$13="最小化",01_因子設定!$B$15-AB6297,MIN(AA6297-01_因子設定!$B$14,01_因子設定!$B$15-AB6297))),-1E+030)</f>
        <v>-0.745957665404809</v>
      </c>
      <c r="AE6297" s="55" t="n">
        <f aca="false">IF(AC6297,IF(01_因子設定!$B$13="最大化",X6297,IF(01_因子設定!$B$13="最小化",-X6297,-ABS(X6297-01_因子設定!$B$16))),-1E+030)</f>
        <v>47.3285498903509</v>
      </c>
      <c r="AF6297" s="55" t="n">
        <f aca="false">AD6297+ROW()*0.000000001</f>
        <v>-0.745951368404809</v>
      </c>
      <c r="AG6297" s="55" t="n">
        <f aca="false">AE6297+ROW()*0.000000001</f>
        <v>47.3285561873509</v>
      </c>
    </row>
    <row r="6298" customFormat="false" ht="15" hidden="false" customHeight="false" outlineLevel="0" collapsed="false">
      <c r="A6298" s="0" t="n">
        <v>8</v>
      </c>
      <c r="B6298" s="0" t="n">
        <v>5</v>
      </c>
      <c r="C6298" s="0" t="n">
        <v>6</v>
      </c>
      <c r="D6298" s="0" t="n">
        <v>2</v>
      </c>
      <c r="E6298" s="0" t="n">
        <f aca="false">-1+A6298*0.25</f>
        <v>1</v>
      </c>
      <c r="F6298" s="0" t="n">
        <f aca="false">-1+B6298*0.25</f>
        <v>0.25</v>
      </c>
      <c r="G6298" s="0" t="n">
        <f aca="false">-1+C6298*0.25</f>
        <v>0.5</v>
      </c>
      <c r="H6298" s="0" t="n">
        <f aca="false">-1+D6298*0.25</f>
        <v>-0.5</v>
      </c>
      <c r="I6298" s="0" t="n">
        <f aca="false">1</f>
        <v>1</v>
      </c>
      <c r="J6298" s="0" t="n">
        <f aca="false">E6298</f>
        <v>1</v>
      </c>
      <c r="K6298" s="0" t="n">
        <f aca="false">F6298</f>
        <v>0.25</v>
      </c>
      <c r="L6298" s="0" t="n">
        <f aca="false">G6298</f>
        <v>0.5</v>
      </c>
      <c r="M6298" s="0" t="n">
        <f aca="false">H6298</f>
        <v>-0.5</v>
      </c>
      <c r="N6298" s="0" t="n">
        <f aca="false">E6298*F6298</f>
        <v>0.25</v>
      </c>
      <c r="O6298" s="0" t="n">
        <f aca="false">E6298*G6298</f>
        <v>0.5</v>
      </c>
      <c r="P6298" s="0" t="n">
        <f aca="false">E6298*H6298</f>
        <v>-0.5</v>
      </c>
      <c r="Q6298" s="0" t="n">
        <f aca="false">F6298*G6298</f>
        <v>0.125</v>
      </c>
      <c r="R6298" s="0" t="n">
        <f aca="false">F6298*H6298</f>
        <v>-0.125</v>
      </c>
      <c r="S6298" s="0" t="n">
        <f aca="false">G6298*H6298</f>
        <v>-0.25</v>
      </c>
      <c r="T6298" s="0" t="n">
        <f aca="false">E6298*E6298</f>
        <v>1</v>
      </c>
      <c r="U6298" s="0" t="n">
        <f aca="false">F6298*F6298</f>
        <v>0.0625</v>
      </c>
      <c r="V6298" s="0" t="n">
        <f aca="false">G6298*G6298</f>
        <v>0.25</v>
      </c>
      <c r="W6298" s="0" t="n">
        <f aca="false">H6298*H6298</f>
        <v>0.25</v>
      </c>
      <c r="X6298" s="0" t="n">
        <f aca="false">SUMPRODUCT(I6298:W6298,_XtX!$B$96:$P$96)</f>
        <v>47.6033625730995</v>
      </c>
      <c r="Y6298" s="0" t="n">
        <f aca="false">SUMPRODUCT(MMULT(I6298:W6298,_XtX!$B$78:$P$92),I6298:W6298)</f>
        <v>0.428122715643275</v>
      </c>
      <c r="Z6298" s="0" t="n">
        <f aca="false">04_回帰ANOVA!$K$19*04_回帰ANOVA!$K$14*SQRT(1+Y6298)</f>
        <v>1.55769044623229</v>
      </c>
      <c r="AA6298" s="0" t="n">
        <f aca="false">X6298-Z6298</f>
        <v>46.0456721268672</v>
      </c>
      <c r="AB6298" s="0" t="n">
        <f aca="false">X6298+Z6298</f>
        <v>49.1610530193317</v>
      </c>
      <c r="AC6298" s="54" t="b">
        <f aca="false">AND(E6298&gt;=01_因子設定!$L$5-0.000000001,E6298&lt;=01_因子設定!$M$5+0.000000001,F6298&gt;=01_因子設定!$L$6-0.000000001,F6298&lt;=01_因子設定!$M$6+0.000000001,G6298&gt;=01_因子設定!$L$7-0.000000001,G6298&lt;=01_因子設定!$M$7+0.000000001,H6298&gt;=01_因子設定!$L$8-0.000000001,H6298&lt;=01_因子設定!$M$8+0.000000001,IF(01_因子設定!$B$20="Box-Behnken",E6298^2+F6298^2+G6298^2+H6298^2&lt;=2+0.000000001,TRUE()))</f>
        <v>1</v>
      </c>
      <c r="AD6298" s="55" t="n">
        <f aca="false">IF(AC6298,IF(01_因子設定!$B$13="最大化",AA6298-01_因子設定!$B$14,IF(01_因子設定!$B$13="最小化",01_因子設定!$B$15-AB6298,MIN(AA6298-01_因子設定!$B$14,01_因子設定!$B$15-AB6298))),-1E+030)</f>
        <v>-0.45432787313284</v>
      </c>
      <c r="AE6298" s="55" t="n">
        <f aca="false">IF(AC6298,IF(01_因子設定!$B$13="最大化",X6298,IF(01_因子設定!$B$13="最小化",-X6298,-ABS(X6298-01_因子設定!$B$16))),-1E+030)</f>
        <v>47.6033625730995</v>
      </c>
      <c r="AF6298" s="55" t="n">
        <f aca="false">AD6298+ROW()*0.000000001</f>
        <v>-0.45432157513284</v>
      </c>
      <c r="AG6298" s="55" t="n">
        <f aca="false">AE6298+ROW()*0.000000001</f>
        <v>47.6033688710995</v>
      </c>
    </row>
    <row r="6299" customFormat="false" ht="15" hidden="false" customHeight="false" outlineLevel="0" collapsed="false">
      <c r="A6299" s="0" t="n">
        <v>8</v>
      </c>
      <c r="B6299" s="0" t="n">
        <v>5</v>
      </c>
      <c r="C6299" s="0" t="n">
        <v>6</v>
      </c>
      <c r="D6299" s="0" t="n">
        <v>3</v>
      </c>
      <c r="E6299" s="0" t="n">
        <f aca="false">-1+A6299*0.25</f>
        <v>1</v>
      </c>
      <c r="F6299" s="0" t="n">
        <f aca="false">-1+B6299*0.25</f>
        <v>0.25</v>
      </c>
      <c r="G6299" s="0" t="n">
        <f aca="false">-1+C6299*0.25</f>
        <v>0.5</v>
      </c>
      <c r="H6299" s="0" t="n">
        <f aca="false">-1+D6299*0.25</f>
        <v>-0.25</v>
      </c>
      <c r="I6299" s="0" t="n">
        <f aca="false">1</f>
        <v>1</v>
      </c>
      <c r="J6299" s="0" t="n">
        <f aca="false">E6299</f>
        <v>1</v>
      </c>
      <c r="K6299" s="0" t="n">
        <f aca="false">F6299</f>
        <v>0.25</v>
      </c>
      <c r="L6299" s="0" t="n">
        <f aca="false">G6299</f>
        <v>0.5</v>
      </c>
      <c r="M6299" s="0" t="n">
        <f aca="false">H6299</f>
        <v>-0.25</v>
      </c>
      <c r="N6299" s="0" t="n">
        <f aca="false">E6299*F6299</f>
        <v>0.25</v>
      </c>
      <c r="O6299" s="0" t="n">
        <f aca="false">E6299*G6299</f>
        <v>0.5</v>
      </c>
      <c r="P6299" s="0" t="n">
        <f aca="false">E6299*H6299</f>
        <v>-0.25</v>
      </c>
      <c r="Q6299" s="0" t="n">
        <f aca="false">F6299*G6299</f>
        <v>0.125</v>
      </c>
      <c r="R6299" s="0" t="n">
        <f aca="false">F6299*H6299</f>
        <v>-0.0625</v>
      </c>
      <c r="S6299" s="0" t="n">
        <f aca="false">G6299*H6299</f>
        <v>-0.125</v>
      </c>
      <c r="T6299" s="0" t="n">
        <f aca="false">E6299*E6299</f>
        <v>1</v>
      </c>
      <c r="U6299" s="0" t="n">
        <f aca="false">F6299*F6299</f>
        <v>0.0625</v>
      </c>
      <c r="V6299" s="0" t="n">
        <f aca="false">G6299*G6299</f>
        <v>0.25</v>
      </c>
      <c r="W6299" s="0" t="n">
        <f aca="false">H6299*H6299</f>
        <v>0.0625</v>
      </c>
      <c r="X6299" s="0" t="n">
        <f aca="false">SUMPRODUCT(I6299:W6299,_XtX!$B$96:$P$96)</f>
        <v>47.8303682383041</v>
      </c>
      <c r="Y6299" s="0" t="n">
        <f aca="false">SUMPRODUCT(MMULT(I6299:W6299,_XtX!$B$78:$P$92),I6299:W6299)</f>
        <v>0.445705123812135</v>
      </c>
      <c r="Z6299" s="0" t="n">
        <f aca="false">04_回帰ANOVA!$K$19*04_回帰ANOVA!$K$14*SQRT(1+Y6299)</f>
        <v>1.56724990734749</v>
      </c>
      <c r="AA6299" s="0" t="n">
        <f aca="false">X6299-Z6299</f>
        <v>46.2631183309566</v>
      </c>
      <c r="AB6299" s="0" t="n">
        <f aca="false">X6299+Z6299</f>
        <v>49.3976181456516</v>
      </c>
      <c r="AC6299" s="54" t="b">
        <f aca="false">AND(E6299&gt;=01_因子設定!$L$5-0.000000001,E6299&lt;=01_因子設定!$M$5+0.000000001,F6299&gt;=01_因子設定!$L$6-0.000000001,F6299&lt;=01_因子設定!$M$6+0.000000001,G6299&gt;=01_因子設定!$L$7-0.000000001,G6299&lt;=01_因子設定!$M$7+0.000000001,H6299&gt;=01_因子設定!$L$8-0.000000001,H6299&lt;=01_因子設定!$M$8+0.000000001,IF(01_因子設定!$B$20="Box-Behnken",E6299^2+F6299^2+G6299^2+H6299^2&lt;=2+0.000000001,TRUE()))</f>
        <v>1</v>
      </c>
      <c r="AD6299" s="55" t="n">
        <f aca="false">IF(AC6299,IF(01_因子設定!$B$13="最大化",AA6299-01_因子設定!$B$14,IF(01_因子設定!$B$13="最小化",01_因子設定!$B$15-AB6299,MIN(AA6299-01_因子設定!$B$14,01_因子設定!$B$15-AB6299))),-1E+030)</f>
        <v>-0.23688166904337</v>
      </c>
      <c r="AE6299" s="55" t="n">
        <f aca="false">IF(AC6299,IF(01_因子設定!$B$13="最大化",X6299,IF(01_因子設定!$B$13="最小化",-X6299,-ABS(X6299-01_因子設定!$B$16))),-1E+030)</f>
        <v>47.8303682383041</v>
      </c>
      <c r="AF6299" s="55" t="n">
        <f aca="false">AD6299+ROW()*0.000000001</f>
        <v>-0.23687537004337</v>
      </c>
      <c r="AG6299" s="55" t="n">
        <f aca="false">AE6299+ROW()*0.000000001</f>
        <v>47.8303745373041</v>
      </c>
    </row>
    <row r="6300" customFormat="false" ht="15" hidden="false" customHeight="false" outlineLevel="0" collapsed="false">
      <c r="A6300" s="0" t="n">
        <v>8</v>
      </c>
      <c r="B6300" s="0" t="n">
        <v>5</v>
      </c>
      <c r="C6300" s="0" t="n">
        <v>6</v>
      </c>
      <c r="D6300" s="0" t="n">
        <v>4</v>
      </c>
      <c r="E6300" s="0" t="n">
        <f aca="false">-1+A6300*0.25</f>
        <v>1</v>
      </c>
      <c r="F6300" s="0" t="n">
        <f aca="false">-1+B6300*0.25</f>
        <v>0.25</v>
      </c>
      <c r="G6300" s="0" t="n">
        <f aca="false">-1+C6300*0.25</f>
        <v>0.5</v>
      </c>
      <c r="H6300" s="0" t="n">
        <f aca="false">-1+D6300*0.25</f>
        <v>0</v>
      </c>
      <c r="I6300" s="0" t="n">
        <f aca="false">1</f>
        <v>1</v>
      </c>
      <c r="J6300" s="0" t="n">
        <f aca="false">E6300</f>
        <v>1</v>
      </c>
      <c r="K6300" s="0" t="n">
        <f aca="false">F6300</f>
        <v>0.25</v>
      </c>
      <c r="L6300" s="0" t="n">
        <f aca="false">G6300</f>
        <v>0.5</v>
      </c>
      <c r="M6300" s="0" t="n">
        <f aca="false">H6300</f>
        <v>0</v>
      </c>
      <c r="N6300" s="0" t="n">
        <f aca="false">E6300*F6300</f>
        <v>0.25</v>
      </c>
      <c r="O6300" s="0" t="n">
        <f aca="false">E6300*G6300</f>
        <v>0.5</v>
      </c>
      <c r="P6300" s="0" t="n">
        <f aca="false">E6300*H6300</f>
        <v>0</v>
      </c>
      <c r="Q6300" s="0" t="n">
        <f aca="false">F6300*G6300</f>
        <v>0.125</v>
      </c>
      <c r="R6300" s="0" t="n">
        <f aca="false">F6300*H6300</f>
        <v>0</v>
      </c>
      <c r="S6300" s="0" t="n">
        <f aca="false">G6300*H6300</f>
        <v>0</v>
      </c>
      <c r="T6300" s="0" t="n">
        <f aca="false">E6300*E6300</f>
        <v>1</v>
      </c>
      <c r="U6300" s="0" t="n">
        <f aca="false">F6300*F6300</f>
        <v>0.0625</v>
      </c>
      <c r="V6300" s="0" t="n">
        <f aca="false">G6300*G6300</f>
        <v>0.25</v>
      </c>
      <c r="W6300" s="0" t="n">
        <f aca="false">H6300*H6300</f>
        <v>0</v>
      </c>
      <c r="X6300" s="0" t="n">
        <f aca="false">SUMPRODUCT(I6300:W6300,_XtX!$B$96:$P$96)</f>
        <v>48.0095668859649</v>
      </c>
      <c r="Y6300" s="0" t="n">
        <f aca="false">SUMPRODUCT(MMULT(I6300:W6300,_XtX!$B$78:$P$92),I6300:W6300)</f>
        <v>0.457596628289474</v>
      </c>
      <c r="Z6300" s="0" t="n">
        <f aca="false">04_回帰ANOVA!$K$19*04_回帰ANOVA!$K$14*SQRT(1+Y6300)</f>
        <v>1.57368233664366</v>
      </c>
      <c r="AA6300" s="0" t="n">
        <f aca="false">X6300-Z6300</f>
        <v>46.4358845493213</v>
      </c>
      <c r="AB6300" s="0" t="n">
        <f aca="false">X6300+Z6300</f>
        <v>49.5832492226086</v>
      </c>
      <c r="AC6300" s="54" t="b">
        <f aca="false">AND(E6300&gt;=01_因子設定!$L$5-0.000000001,E6300&lt;=01_因子設定!$M$5+0.000000001,F6300&gt;=01_因子設定!$L$6-0.000000001,F6300&lt;=01_因子設定!$M$6+0.000000001,G6300&gt;=01_因子設定!$L$7-0.000000001,G6300&lt;=01_因子設定!$M$7+0.000000001,H6300&gt;=01_因子設定!$L$8-0.000000001,H6300&lt;=01_因子設定!$M$8+0.000000001,IF(01_因子設定!$B$20="Box-Behnken",E6300^2+F6300^2+G6300^2+H6300^2&lt;=2+0.000000001,TRUE()))</f>
        <v>1</v>
      </c>
      <c r="AD6300" s="55" t="n">
        <f aca="false">IF(AC6300,IF(01_因子設定!$B$13="最大化",AA6300-01_因子設定!$B$14,IF(01_因子設定!$B$13="最小化",01_因子設定!$B$15-AB6300,MIN(AA6300-01_因子設定!$B$14,01_因子設定!$B$15-AB6300))),-1E+030)</f>
        <v>-0.0641154506787203</v>
      </c>
      <c r="AE6300" s="55" t="n">
        <f aca="false">IF(AC6300,IF(01_因子設定!$B$13="最大化",X6300,IF(01_因子設定!$B$13="最小化",-X6300,-ABS(X6300-01_因子設定!$B$16))),-1E+030)</f>
        <v>48.0095668859649</v>
      </c>
      <c r="AF6300" s="55" t="n">
        <f aca="false">AD6300+ROW()*0.000000001</f>
        <v>-0.0641091506787203</v>
      </c>
      <c r="AG6300" s="55" t="n">
        <f aca="false">AE6300+ROW()*0.000000001</f>
        <v>48.0095731859649</v>
      </c>
    </row>
    <row r="6301" customFormat="false" ht="15" hidden="false" customHeight="false" outlineLevel="0" collapsed="false">
      <c r="A6301" s="0" t="n">
        <v>8</v>
      </c>
      <c r="B6301" s="0" t="n">
        <v>5</v>
      </c>
      <c r="C6301" s="0" t="n">
        <v>6</v>
      </c>
      <c r="D6301" s="0" t="n">
        <v>5</v>
      </c>
      <c r="E6301" s="0" t="n">
        <f aca="false">-1+A6301*0.25</f>
        <v>1</v>
      </c>
      <c r="F6301" s="0" t="n">
        <f aca="false">-1+B6301*0.25</f>
        <v>0.25</v>
      </c>
      <c r="G6301" s="0" t="n">
        <f aca="false">-1+C6301*0.25</f>
        <v>0.5</v>
      </c>
      <c r="H6301" s="0" t="n">
        <f aca="false">-1+D6301*0.25</f>
        <v>0.25</v>
      </c>
      <c r="I6301" s="0" t="n">
        <f aca="false">1</f>
        <v>1</v>
      </c>
      <c r="J6301" s="0" t="n">
        <f aca="false">E6301</f>
        <v>1</v>
      </c>
      <c r="K6301" s="0" t="n">
        <f aca="false">F6301</f>
        <v>0.25</v>
      </c>
      <c r="L6301" s="0" t="n">
        <f aca="false">G6301</f>
        <v>0.5</v>
      </c>
      <c r="M6301" s="0" t="n">
        <f aca="false">H6301</f>
        <v>0.25</v>
      </c>
      <c r="N6301" s="0" t="n">
        <f aca="false">E6301*F6301</f>
        <v>0.25</v>
      </c>
      <c r="O6301" s="0" t="n">
        <f aca="false">E6301*G6301</f>
        <v>0.5</v>
      </c>
      <c r="P6301" s="0" t="n">
        <f aca="false">E6301*H6301</f>
        <v>0.25</v>
      </c>
      <c r="Q6301" s="0" t="n">
        <f aca="false">F6301*G6301</f>
        <v>0.125</v>
      </c>
      <c r="R6301" s="0" t="n">
        <f aca="false">F6301*H6301</f>
        <v>0.0625</v>
      </c>
      <c r="S6301" s="0" t="n">
        <f aca="false">G6301*H6301</f>
        <v>0.125</v>
      </c>
      <c r="T6301" s="0" t="n">
        <f aca="false">E6301*E6301</f>
        <v>1</v>
      </c>
      <c r="U6301" s="0" t="n">
        <f aca="false">F6301*F6301</f>
        <v>0.0625</v>
      </c>
      <c r="V6301" s="0" t="n">
        <f aca="false">G6301*G6301</f>
        <v>0.25</v>
      </c>
      <c r="W6301" s="0" t="n">
        <f aca="false">H6301*H6301</f>
        <v>0.0625</v>
      </c>
      <c r="X6301" s="0" t="n">
        <f aca="false">SUMPRODUCT(I6301:W6301,_XtX!$B$96:$P$96)</f>
        <v>48.1409585160819</v>
      </c>
      <c r="Y6301" s="0" t="n">
        <f aca="false">SUMPRODUCT(MMULT(I6301:W6301,_XtX!$B$78:$P$92),I6301:W6301)</f>
        <v>0.445705123812135</v>
      </c>
      <c r="Z6301" s="0" t="n">
        <f aca="false">04_回帰ANOVA!$K$19*04_回帰ANOVA!$K$14*SQRT(1+Y6301)</f>
        <v>1.56724990734749</v>
      </c>
      <c r="AA6301" s="0" t="n">
        <f aca="false">X6301-Z6301</f>
        <v>46.5737086087344</v>
      </c>
      <c r="AB6301" s="0" t="n">
        <f aca="false">X6301+Z6301</f>
        <v>49.7082084234294</v>
      </c>
      <c r="AC6301" s="54" t="b">
        <f aca="false">AND(E6301&gt;=01_因子設定!$L$5-0.000000001,E6301&lt;=01_因子設定!$M$5+0.000000001,F6301&gt;=01_因子設定!$L$6-0.000000001,F6301&lt;=01_因子設定!$M$6+0.000000001,G6301&gt;=01_因子設定!$L$7-0.000000001,G6301&lt;=01_因子設定!$M$7+0.000000001,H6301&gt;=01_因子設定!$L$8-0.000000001,H6301&lt;=01_因子設定!$M$8+0.000000001,IF(01_因子設定!$B$20="Box-Behnken",E6301^2+F6301^2+G6301^2+H6301^2&lt;=2+0.000000001,TRUE()))</f>
        <v>1</v>
      </c>
      <c r="AD6301" s="55" t="n">
        <f aca="false">IF(AC6301,IF(01_因子設定!$B$13="最大化",AA6301-01_因子設定!$B$14,IF(01_因子設定!$B$13="最小化",01_因子設定!$B$15-AB6301,MIN(AA6301-01_因子設定!$B$14,01_因子設定!$B$15-AB6301))),-1E+030)</f>
        <v>0.0737086087344068</v>
      </c>
      <c r="AE6301" s="55" t="n">
        <f aca="false">IF(AC6301,IF(01_因子設定!$B$13="最大化",X6301,IF(01_因子設定!$B$13="最小化",-X6301,-ABS(X6301-01_因子設定!$B$16))),-1E+030)</f>
        <v>48.1409585160819</v>
      </c>
      <c r="AF6301" s="55" t="n">
        <f aca="false">AD6301+ROW()*0.000000001</f>
        <v>0.0737149097344068</v>
      </c>
      <c r="AG6301" s="55" t="n">
        <f aca="false">AE6301+ROW()*0.000000001</f>
        <v>48.1409648170819</v>
      </c>
    </row>
    <row r="6302" customFormat="false" ht="15" hidden="false" customHeight="false" outlineLevel="0" collapsed="false">
      <c r="A6302" s="0" t="n">
        <v>8</v>
      </c>
      <c r="B6302" s="0" t="n">
        <v>5</v>
      </c>
      <c r="C6302" s="0" t="n">
        <v>6</v>
      </c>
      <c r="D6302" s="0" t="n">
        <v>6</v>
      </c>
      <c r="E6302" s="0" t="n">
        <f aca="false">-1+A6302*0.25</f>
        <v>1</v>
      </c>
      <c r="F6302" s="0" t="n">
        <f aca="false">-1+B6302*0.25</f>
        <v>0.25</v>
      </c>
      <c r="G6302" s="0" t="n">
        <f aca="false">-1+C6302*0.25</f>
        <v>0.5</v>
      </c>
      <c r="H6302" s="0" t="n">
        <f aca="false">-1+D6302*0.25</f>
        <v>0.5</v>
      </c>
      <c r="I6302" s="0" t="n">
        <f aca="false">1</f>
        <v>1</v>
      </c>
      <c r="J6302" s="0" t="n">
        <f aca="false">E6302</f>
        <v>1</v>
      </c>
      <c r="K6302" s="0" t="n">
        <f aca="false">F6302</f>
        <v>0.25</v>
      </c>
      <c r="L6302" s="0" t="n">
        <f aca="false">G6302</f>
        <v>0.5</v>
      </c>
      <c r="M6302" s="0" t="n">
        <f aca="false">H6302</f>
        <v>0.5</v>
      </c>
      <c r="N6302" s="0" t="n">
        <f aca="false">E6302*F6302</f>
        <v>0.25</v>
      </c>
      <c r="O6302" s="0" t="n">
        <f aca="false">E6302*G6302</f>
        <v>0.5</v>
      </c>
      <c r="P6302" s="0" t="n">
        <f aca="false">E6302*H6302</f>
        <v>0.5</v>
      </c>
      <c r="Q6302" s="0" t="n">
        <f aca="false">F6302*G6302</f>
        <v>0.125</v>
      </c>
      <c r="R6302" s="0" t="n">
        <f aca="false">F6302*H6302</f>
        <v>0.125</v>
      </c>
      <c r="S6302" s="0" t="n">
        <f aca="false">G6302*H6302</f>
        <v>0.25</v>
      </c>
      <c r="T6302" s="0" t="n">
        <f aca="false">E6302*E6302</f>
        <v>1</v>
      </c>
      <c r="U6302" s="0" t="n">
        <f aca="false">F6302*F6302</f>
        <v>0.0625</v>
      </c>
      <c r="V6302" s="0" t="n">
        <f aca="false">G6302*G6302</f>
        <v>0.25</v>
      </c>
      <c r="W6302" s="0" t="n">
        <f aca="false">H6302*H6302</f>
        <v>0.25</v>
      </c>
      <c r="X6302" s="0" t="n">
        <f aca="false">SUMPRODUCT(I6302:W6302,_XtX!$B$96:$P$96)</f>
        <v>48.224543128655</v>
      </c>
      <c r="Y6302" s="0" t="n">
        <f aca="false">SUMPRODUCT(MMULT(I6302:W6302,_XtX!$B$78:$P$92),I6302:W6302)</f>
        <v>0.428122715643275</v>
      </c>
      <c r="Z6302" s="0" t="n">
        <f aca="false">04_回帰ANOVA!$K$19*04_回帰ANOVA!$K$14*SQRT(1+Y6302)</f>
        <v>1.55769044623229</v>
      </c>
      <c r="AA6302" s="0" t="n">
        <f aca="false">X6302-Z6302</f>
        <v>46.6668526824227</v>
      </c>
      <c r="AB6302" s="0" t="n">
        <f aca="false">X6302+Z6302</f>
        <v>49.7822335748873</v>
      </c>
      <c r="AC6302" s="54" t="b">
        <f aca="false">AND(E6302&gt;=01_因子設定!$L$5-0.000000001,E6302&lt;=01_因子設定!$M$5+0.000000001,F6302&gt;=01_因子設定!$L$6-0.000000001,F6302&lt;=01_因子設定!$M$6+0.000000001,G6302&gt;=01_因子設定!$L$7-0.000000001,G6302&lt;=01_因子設定!$M$7+0.000000001,H6302&gt;=01_因子設定!$L$8-0.000000001,H6302&lt;=01_因子設定!$M$8+0.000000001,IF(01_因子設定!$B$20="Box-Behnken",E6302^2+F6302^2+G6302^2+H6302^2&lt;=2+0.000000001,TRUE()))</f>
        <v>1</v>
      </c>
      <c r="AD6302" s="55" t="n">
        <f aca="false">IF(AC6302,IF(01_因子設定!$B$13="最大化",AA6302-01_因子設定!$B$14,IF(01_因子設定!$B$13="最小化",01_因子設定!$B$15-AB6302,MIN(AA6302-01_因子設定!$B$14,01_因子設定!$B$15-AB6302))),-1E+030)</f>
        <v>0.166852682422714</v>
      </c>
      <c r="AE6302" s="55" t="n">
        <f aca="false">IF(AC6302,IF(01_因子設定!$B$13="最大化",X6302,IF(01_因子設定!$B$13="最小化",-X6302,-ABS(X6302-01_因子設定!$B$16))),-1E+030)</f>
        <v>48.224543128655</v>
      </c>
      <c r="AF6302" s="55" t="n">
        <f aca="false">AD6302+ROW()*0.000000001</f>
        <v>0.166858984422714</v>
      </c>
      <c r="AG6302" s="55" t="n">
        <f aca="false">AE6302+ROW()*0.000000001</f>
        <v>48.224549430655</v>
      </c>
    </row>
    <row r="6303" customFormat="false" ht="15" hidden="false" customHeight="false" outlineLevel="0" collapsed="false">
      <c r="A6303" s="0" t="n">
        <v>8</v>
      </c>
      <c r="B6303" s="0" t="n">
        <v>5</v>
      </c>
      <c r="C6303" s="0" t="n">
        <v>6</v>
      </c>
      <c r="D6303" s="0" t="n">
        <v>7</v>
      </c>
      <c r="E6303" s="0" t="n">
        <f aca="false">-1+A6303*0.25</f>
        <v>1</v>
      </c>
      <c r="F6303" s="0" t="n">
        <f aca="false">-1+B6303*0.25</f>
        <v>0.25</v>
      </c>
      <c r="G6303" s="0" t="n">
        <f aca="false">-1+C6303*0.25</f>
        <v>0.5</v>
      </c>
      <c r="H6303" s="0" t="n">
        <f aca="false">-1+D6303*0.25</f>
        <v>0.75</v>
      </c>
      <c r="I6303" s="0" t="n">
        <f aca="false">1</f>
        <v>1</v>
      </c>
      <c r="J6303" s="0" t="n">
        <f aca="false">E6303</f>
        <v>1</v>
      </c>
      <c r="K6303" s="0" t="n">
        <f aca="false">F6303</f>
        <v>0.25</v>
      </c>
      <c r="L6303" s="0" t="n">
        <f aca="false">G6303</f>
        <v>0.5</v>
      </c>
      <c r="M6303" s="0" t="n">
        <f aca="false">H6303</f>
        <v>0.75</v>
      </c>
      <c r="N6303" s="0" t="n">
        <f aca="false">E6303*F6303</f>
        <v>0.25</v>
      </c>
      <c r="O6303" s="0" t="n">
        <f aca="false">E6303*G6303</f>
        <v>0.5</v>
      </c>
      <c r="P6303" s="0" t="n">
        <f aca="false">E6303*H6303</f>
        <v>0.75</v>
      </c>
      <c r="Q6303" s="0" t="n">
        <f aca="false">F6303*G6303</f>
        <v>0.125</v>
      </c>
      <c r="R6303" s="0" t="n">
        <f aca="false">F6303*H6303</f>
        <v>0.1875</v>
      </c>
      <c r="S6303" s="0" t="n">
        <f aca="false">G6303*H6303</f>
        <v>0.375</v>
      </c>
      <c r="T6303" s="0" t="n">
        <f aca="false">E6303*E6303</f>
        <v>1</v>
      </c>
      <c r="U6303" s="0" t="n">
        <f aca="false">F6303*F6303</f>
        <v>0.0625</v>
      </c>
      <c r="V6303" s="0" t="n">
        <f aca="false">G6303*G6303</f>
        <v>0.25</v>
      </c>
      <c r="W6303" s="0" t="n">
        <f aca="false">H6303*H6303</f>
        <v>0.5625</v>
      </c>
      <c r="X6303" s="0" t="n">
        <f aca="false">SUMPRODUCT(I6303:W6303,_XtX!$B$96:$P$96)</f>
        <v>48.2603207236843</v>
      </c>
      <c r="Y6303" s="0" t="n">
        <f aca="false">SUMPRODUCT(MMULT(I6303:W6303,_XtX!$B$78:$P$92),I6303:W6303)</f>
        <v>0.459125719572369</v>
      </c>
      <c r="Z6303" s="0" t="n">
        <f aca="false">04_回帰ANOVA!$K$19*04_回帰ANOVA!$K$14*SQRT(1+Y6303)</f>
        <v>1.57450755575573</v>
      </c>
      <c r="AA6303" s="0" t="n">
        <f aca="false">X6303-Z6303</f>
        <v>46.6858131679285</v>
      </c>
      <c r="AB6303" s="0" t="n">
        <f aca="false">X6303+Z6303</f>
        <v>49.83482827944</v>
      </c>
      <c r="AC6303" s="54" t="b">
        <f aca="false">AND(E6303&gt;=01_因子設定!$L$5-0.000000001,E6303&lt;=01_因子設定!$M$5+0.000000001,F6303&gt;=01_因子設定!$L$6-0.000000001,F6303&lt;=01_因子設定!$M$6+0.000000001,G6303&gt;=01_因子設定!$L$7-0.000000001,G6303&lt;=01_因子設定!$M$7+0.000000001,H6303&gt;=01_因子設定!$L$8-0.000000001,H6303&lt;=01_因子設定!$M$8+0.000000001,IF(01_因子設定!$B$20="Box-Behnken",E6303^2+F6303^2+G6303^2+H6303^2&lt;=2+0.000000001,TRUE()))</f>
        <v>1</v>
      </c>
      <c r="AD6303" s="55" t="n">
        <f aca="false">IF(AC6303,IF(01_因子設定!$B$13="最大化",AA6303-01_因子設定!$B$14,IF(01_因子設定!$B$13="最小化",01_因子設定!$B$15-AB6303,MIN(AA6303-01_因子設定!$B$14,01_因子設定!$B$15-AB6303))),-1E+030)</f>
        <v>0.185813167928522</v>
      </c>
      <c r="AE6303" s="55" t="n">
        <f aca="false">IF(AC6303,IF(01_因子設定!$B$13="最大化",X6303,IF(01_因子設定!$B$13="最小化",-X6303,-ABS(X6303-01_因子設定!$B$16))),-1E+030)</f>
        <v>48.2603207236843</v>
      </c>
      <c r="AF6303" s="55" t="n">
        <f aca="false">AD6303+ROW()*0.000000001</f>
        <v>0.185819470928522</v>
      </c>
      <c r="AG6303" s="55" t="n">
        <f aca="false">AE6303+ROW()*0.000000001</f>
        <v>48.2603270266843</v>
      </c>
    </row>
    <row r="6304" customFormat="false" ht="15" hidden="false" customHeight="false" outlineLevel="0" collapsed="false">
      <c r="A6304" s="0" t="n">
        <v>8</v>
      </c>
      <c r="B6304" s="0" t="n">
        <v>5</v>
      </c>
      <c r="C6304" s="0" t="n">
        <v>6</v>
      </c>
      <c r="D6304" s="0" t="n">
        <v>8</v>
      </c>
      <c r="E6304" s="0" t="n">
        <f aca="false">-1+A6304*0.25</f>
        <v>1</v>
      </c>
      <c r="F6304" s="0" t="n">
        <f aca="false">-1+B6304*0.25</f>
        <v>0.25</v>
      </c>
      <c r="G6304" s="0" t="n">
        <f aca="false">-1+C6304*0.25</f>
        <v>0.5</v>
      </c>
      <c r="H6304" s="0" t="n">
        <f aca="false">-1+D6304*0.25</f>
        <v>1</v>
      </c>
      <c r="I6304" s="0" t="n">
        <f aca="false">1</f>
        <v>1</v>
      </c>
      <c r="J6304" s="0" t="n">
        <f aca="false">E6304</f>
        <v>1</v>
      </c>
      <c r="K6304" s="0" t="n">
        <f aca="false">F6304</f>
        <v>0.25</v>
      </c>
      <c r="L6304" s="0" t="n">
        <f aca="false">G6304</f>
        <v>0.5</v>
      </c>
      <c r="M6304" s="0" t="n">
        <f aca="false">H6304</f>
        <v>1</v>
      </c>
      <c r="N6304" s="0" t="n">
        <f aca="false">E6304*F6304</f>
        <v>0.25</v>
      </c>
      <c r="O6304" s="0" t="n">
        <f aca="false">E6304*G6304</f>
        <v>0.5</v>
      </c>
      <c r="P6304" s="0" t="n">
        <f aca="false">E6304*H6304</f>
        <v>1</v>
      </c>
      <c r="Q6304" s="0" t="n">
        <f aca="false">F6304*G6304</f>
        <v>0.125</v>
      </c>
      <c r="R6304" s="0" t="n">
        <f aca="false">F6304*H6304</f>
        <v>0.25</v>
      </c>
      <c r="S6304" s="0" t="n">
        <f aca="false">G6304*H6304</f>
        <v>0.5</v>
      </c>
      <c r="T6304" s="0" t="n">
        <f aca="false">E6304*E6304</f>
        <v>1</v>
      </c>
      <c r="U6304" s="0" t="n">
        <f aca="false">F6304*F6304</f>
        <v>0.0625</v>
      </c>
      <c r="V6304" s="0" t="n">
        <f aca="false">G6304*G6304</f>
        <v>0.25</v>
      </c>
      <c r="W6304" s="0" t="n">
        <f aca="false">H6304*H6304</f>
        <v>1</v>
      </c>
      <c r="X6304" s="0" t="n">
        <f aca="false">SUMPRODUCT(I6304:W6304,_XtX!$B$96:$P$96)</f>
        <v>48.2482913011697</v>
      </c>
      <c r="Y6304" s="0" t="n">
        <f aca="false">SUMPRODUCT(MMULT(I6304:W6304,_XtX!$B$78:$P$92),I6304:W6304)</f>
        <v>0.629174661915205</v>
      </c>
      <c r="Z6304" s="0" t="n">
        <f aca="false">04_回帰ANOVA!$K$19*04_回帰ANOVA!$K$14*SQRT(1+Y6304)</f>
        <v>1.66372758058297</v>
      </c>
      <c r="AA6304" s="0" t="n">
        <f aca="false">X6304-Z6304</f>
        <v>46.5845637205867</v>
      </c>
      <c r="AB6304" s="0" t="n">
        <f aca="false">X6304+Z6304</f>
        <v>49.9120188817526</v>
      </c>
      <c r="AC6304" s="54" t="b">
        <f aca="false">AND(E6304&gt;=01_因子設定!$L$5-0.000000001,E6304&lt;=01_因子設定!$M$5+0.000000001,F6304&gt;=01_因子設定!$L$6-0.000000001,F6304&lt;=01_因子設定!$M$6+0.000000001,G6304&gt;=01_因子設定!$L$7-0.000000001,G6304&lt;=01_因子設定!$M$7+0.000000001,H6304&gt;=01_因子設定!$L$8-0.000000001,H6304&lt;=01_因子設定!$M$8+0.000000001,IF(01_因子設定!$B$20="Box-Behnken",E6304^2+F6304^2+G6304^2+H6304^2&lt;=2+0.000000001,TRUE()))</f>
        <v>1</v>
      </c>
      <c r="AD6304" s="55" t="n">
        <f aca="false">IF(AC6304,IF(01_因子設定!$B$13="最大化",AA6304-01_因子設定!$B$14,IF(01_因子設定!$B$13="最小化",01_因子設定!$B$15-AB6304,MIN(AA6304-01_因子設定!$B$14,01_因子設定!$B$15-AB6304))),-1E+030)</f>
        <v>0.0845637205866794</v>
      </c>
      <c r="AE6304" s="55" t="n">
        <f aca="false">IF(AC6304,IF(01_因子設定!$B$13="最大化",X6304,IF(01_因子設定!$B$13="最小化",-X6304,-ABS(X6304-01_因子設定!$B$16))),-1E+030)</f>
        <v>48.2482913011697</v>
      </c>
      <c r="AF6304" s="55" t="n">
        <f aca="false">AD6304+ROW()*0.000000001</f>
        <v>0.0845700245866794</v>
      </c>
      <c r="AG6304" s="55" t="n">
        <f aca="false">AE6304+ROW()*0.000000001</f>
        <v>48.2482976051697</v>
      </c>
    </row>
    <row r="6305" customFormat="false" ht="15" hidden="false" customHeight="false" outlineLevel="0" collapsed="false">
      <c r="A6305" s="0" t="n">
        <v>8</v>
      </c>
      <c r="B6305" s="0" t="n">
        <v>5</v>
      </c>
      <c r="C6305" s="0" t="n">
        <v>7</v>
      </c>
      <c r="D6305" s="0" t="n">
        <v>0</v>
      </c>
      <c r="E6305" s="0" t="n">
        <f aca="false">-1+A6305*0.25</f>
        <v>1</v>
      </c>
      <c r="F6305" s="0" t="n">
        <f aca="false">-1+B6305*0.25</f>
        <v>0.25</v>
      </c>
      <c r="G6305" s="0" t="n">
        <f aca="false">-1+C6305*0.25</f>
        <v>0.75</v>
      </c>
      <c r="H6305" s="0" t="n">
        <f aca="false">-1+D6305*0.25</f>
        <v>-1</v>
      </c>
      <c r="I6305" s="0" t="n">
        <f aca="false">1</f>
        <v>1</v>
      </c>
      <c r="J6305" s="0" t="n">
        <f aca="false">E6305</f>
        <v>1</v>
      </c>
      <c r="K6305" s="0" t="n">
        <f aca="false">F6305</f>
        <v>0.25</v>
      </c>
      <c r="L6305" s="0" t="n">
        <f aca="false">G6305</f>
        <v>0.75</v>
      </c>
      <c r="M6305" s="0" t="n">
        <f aca="false">H6305</f>
        <v>-1</v>
      </c>
      <c r="N6305" s="0" t="n">
        <f aca="false">E6305*F6305</f>
        <v>0.25</v>
      </c>
      <c r="O6305" s="0" t="n">
        <f aca="false">E6305*G6305</f>
        <v>0.75</v>
      </c>
      <c r="P6305" s="0" t="n">
        <f aca="false">E6305*H6305</f>
        <v>-1</v>
      </c>
      <c r="Q6305" s="0" t="n">
        <f aca="false">F6305*G6305</f>
        <v>0.1875</v>
      </c>
      <c r="R6305" s="0" t="n">
        <f aca="false">F6305*H6305</f>
        <v>-0.25</v>
      </c>
      <c r="S6305" s="0" t="n">
        <f aca="false">G6305*H6305</f>
        <v>-0.75</v>
      </c>
      <c r="T6305" s="0" t="n">
        <f aca="false">E6305*E6305</f>
        <v>1</v>
      </c>
      <c r="U6305" s="0" t="n">
        <f aca="false">F6305*F6305</f>
        <v>0.0625</v>
      </c>
      <c r="V6305" s="0" t="n">
        <f aca="false">G6305*G6305</f>
        <v>0.5625</v>
      </c>
      <c r="W6305" s="0" t="n">
        <f aca="false">H6305*H6305</f>
        <v>1</v>
      </c>
      <c r="X6305" s="0" t="n">
        <f aca="false">SUMPRODUCT(I6305:W6305,_XtX!$B$96:$P$96)</f>
        <v>46.8236522295322</v>
      </c>
      <c r="Y6305" s="0" t="n">
        <f aca="false">SUMPRODUCT(MMULT(I6305:W6305,_XtX!$B$78:$P$92),I6305:W6305)</f>
        <v>0.621372155975877</v>
      </c>
      <c r="Z6305" s="0" t="n">
        <f aca="false">04_回帰ANOVA!$K$19*04_回帰ANOVA!$K$14*SQRT(1+Y6305)</f>
        <v>1.65973880499872</v>
      </c>
      <c r="AA6305" s="0" t="n">
        <f aca="false">X6305-Z6305</f>
        <v>45.1639134245335</v>
      </c>
      <c r="AB6305" s="0" t="n">
        <f aca="false">X6305+Z6305</f>
        <v>48.4833910345309</v>
      </c>
      <c r="AC6305" s="54" t="b">
        <f aca="false">AND(E6305&gt;=01_因子設定!$L$5-0.000000001,E6305&lt;=01_因子設定!$M$5+0.000000001,F6305&gt;=01_因子設定!$L$6-0.000000001,F6305&lt;=01_因子設定!$M$6+0.000000001,G6305&gt;=01_因子設定!$L$7-0.000000001,G6305&lt;=01_因子設定!$M$7+0.000000001,H6305&gt;=01_因子設定!$L$8-0.000000001,H6305&lt;=01_因子設定!$M$8+0.000000001,IF(01_因子設定!$B$20="Box-Behnken",E6305^2+F6305^2+G6305^2+H6305^2&lt;=2+0.000000001,TRUE()))</f>
        <v>1</v>
      </c>
      <c r="AD6305" s="55" t="n">
        <f aca="false">IF(AC6305,IF(01_因子設定!$B$13="最大化",AA6305-01_因子設定!$B$14,IF(01_因子設定!$B$13="最小化",01_因子設定!$B$15-AB6305,MIN(AA6305-01_因子設定!$B$14,01_因子設定!$B$15-AB6305))),-1E+030)</f>
        <v>-1.33608657546649</v>
      </c>
      <c r="AE6305" s="55" t="n">
        <f aca="false">IF(AC6305,IF(01_因子設定!$B$13="最大化",X6305,IF(01_因子設定!$B$13="最小化",-X6305,-ABS(X6305-01_因子設定!$B$16))),-1E+030)</f>
        <v>46.8236522295322</v>
      </c>
      <c r="AF6305" s="55" t="n">
        <f aca="false">AD6305+ROW()*0.000000001</f>
        <v>-1.33608027046649</v>
      </c>
      <c r="AG6305" s="55" t="n">
        <f aca="false">AE6305+ROW()*0.000000001</f>
        <v>46.8236585345322</v>
      </c>
    </row>
    <row r="6306" customFormat="false" ht="15" hidden="false" customHeight="false" outlineLevel="0" collapsed="false">
      <c r="A6306" s="0" t="n">
        <v>8</v>
      </c>
      <c r="B6306" s="0" t="n">
        <v>5</v>
      </c>
      <c r="C6306" s="0" t="n">
        <v>7</v>
      </c>
      <c r="D6306" s="0" t="n">
        <v>1</v>
      </c>
      <c r="E6306" s="0" t="n">
        <f aca="false">-1+A6306*0.25</f>
        <v>1</v>
      </c>
      <c r="F6306" s="0" t="n">
        <f aca="false">-1+B6306*0.25</f>
        <v>0.25</v>
      </c>
      <c r="G6306" s="0" t="n">
        <f aca="false">-1+C6306*0.25</f>
        <v>0.75</v>
      </c>
      <c r="H6306" s="0" t="n">
        <f aca="false">-1+D6306*0.25</f>
        <v>-0.75</v>
      </c>
      <c r="I6306" s="0" t="n">
        <f aca="false">1</f>
        <v>1</v>
      </c>
      <c r="J6306" s="0" t="n">
        <f aca="false">E6306</f>
        <v>1</v>
      </c>
      <c r="K6306" s="0" t="n">
        <f aca="false">F6306</f>
        <v>0.25</v>
      </c>
      <c r="L6306" s="0" t="n">
        <f aca="false">G6306</f>
        <v>0.75</v>
      </c>
      <c r="M6306" s="0" t="n">
        <f aca="false">H6306</f>
        <v>-0.75</v>
      </c>
      <c r="N6306" s="0" t="n">
        <f aca="false">E6306*F6306</f>
        <v>0.25</v>
      </c>
      <c r="O6306" s="0" t="n">
        <f aca="false">E6306*G6306</f>
        <v>0.75</v>
      </c>
      <c r="P6306" s="0" t="n">
        <f aca="false">E6306*H6306</f>
        <v>-0.75</v>
      </c>
      <c r="Q6306" s="0" t="n">
        <f aca="false">F6306*G6306</f>
        <v>0.1875</v>
      </c>
      <c r="R6306" s="0" t="n">
        <f aca="false">F6306*H6306</f>
        <v>-0.1875</v>
      </c>
      <c r="S6306" s="0" t="n">
        <f aca="false">G6306*H6306</f>
        <v>-0.5625</v>
      </c>
      <c r="T6306" s="0" t="n">
        <f aca="false">E6306*E6306</f>
        <v>1</v>
      </c>
      <c r="U6306" s="0" t="n">
        <f aca="false">F6306*F6306</f>
        <v>0.0625</v>
      </c>
      <c r="V6306" s="0" t="n">
        <f aca="false">G6306*G6306</f>
        <v>0.5625</v>
      </c>
      <c r="W6306" s="0" t="n">
        <f aca="false">H6306*H6306</f>
        <v>0.5625</v>
      </c>
      <c r="X6306" s="0" t="n">
        <f aca="false">SUMPRODUCT(I6306:W6306,_XtX!$B$96:$P$96)</f>
        <v>47.1642406798246</v>
      </c>
      <c r="Y6306" s="0" t="n">
        <f aca="false">SUMPRODUCT(MMULT(I6306:W6306,_XtX!$B$78:$P$92),I6306:W6306)</f>
        <v>0.473959761056287</v>
      </c>
      <c r="Z6306" s="0" t="n">
        <f aca="false">04_回帰ANOVA!$K$19*04_回帰ANOVA!$K$14*SQRT(1+Y6306)</f>
        <v>1.58249084588329</v>
      </c>
      <c r="AA6306" s="0" t="n">
        <f aca="false">X6306-Z6306</f>
        <v>45.5817498339413</v>
      </c>
      <c r="AB6306" s="0" t="n">
        <f aca="false">X6306+Z6306</f>
        <v>48.7467315257079</v>
      </c>
      <c r="AC6306" s="54" t="b">
        <f aca="false">AND(E6306&gt;=01_因子設定!$L$5-0.000000001,E6306&lt;=01_因子設定!$M$5+0.000000001,F6306&gt;=01_因子設定!$L$6-0.000000001,F6306&lt;=01_因子設定!$M$6+0.000000001,G6306&gt;=01_因子設定!$L$7-0.000000001,G6306&lt;=01_因子設定!$M$7+0.000000001,H6306&gt;=01_因子設定!$L$8-0.000000001,H6306&lt;=01_因子設定!$M$8+0.000000001,IF(01_因子設定!$B$20="Box-Behnken",E6306^2+F6306^2+G6306^2+H6306^2&lt;=2+0.000000001,TRUE()))</f>
        <v>1</v>
      </c>
      <c r="AD6306" s="55" t="n">
        <f aca="false">IF(AC6306,IF(01_因子設定!$B$13="最大化",AA6306-01_因子設定!$B$14,IF(01_因子設定!$B$13="最小化",01_因子設定!$B$15-AB6306,MIN(AA6306-01_因子設定!$B$14,01_因子設定!$B$15-AB6306))),-1E+030)</f>
        <v>-0.918250166058677</v>
      </c>
      <c r="AE6306" s="55" t="n">
        <f aca="false">IF(AC6306,IF(01_因子設定!$B$13="最大化",X6306,IF(01_因子設定!$B$13="最小化",-X6306,-ABS(X6306-01_因子設定!$B$16))),-1E+030)</f>
        <v>47.1642406798246</v>
      </c>
      <c r="AF6306" s="55" t="n">
        <f aca="false">AD6306+ROW()*0.000000001</f>
        <v>-0.918243860058677</v>
      </c>
      <c r="AG6306" s="55" t="n">
        <f aca="false">AE6306+ROW()*0.000000001</f>
        <v>47.1642469858246</v>
      </c>
    </row>
    <row r="6307" customFormat="false" ht="15" hidden="false" customHeight="false" outlineLevel="0" collapsed="false">
      <c r="A6307" s="0" t="n">
        <v>8</v>
      </c>
      <c r="B6307" s="0" t="n">
        <v>5</v>
      </c>
      <c r="C6307" s="0" t="n">
        <v>7</v>
      </c>
      <c r="D6307" s="0" t="n">
        <v>2</v>
      </c>
      <c r="E6307" s="0" t="n">
        <f aca="false">-1+A6307*0.25</f>
        <v>1</v>
      </c>
      <c r="F6307" s="0" t="n">
        <f aca="false">-1+B6307*0.25</f>
        <v>0.25</v>
      </c>
      <c r="G6307" s="0" t="n">
        <f aca="false">-1+C6307*0.25</f>
        <v>0.75</v>
      </c>
      <c r="H6307" s="0" t="n">
        <f aca="false">-1+D6307*0.25</f>
        <v>-0.5</v>
      </c>
      <c r="I6307" s="0" t="n">
        <f aca="false">1</f>
        <v>1</v>
      </c>
      <c r="J6307" s="0" t="n">
        <f aca="false">E6307</f>
        <v>1</v>
      </c>
      <c r="K6307" s="0" t="n">
        <f aca="false">F6307</f>
        <v>0.25</v>
      </c>
      <c r="L6307" s="0" t="n">
        <f aca="false">G6307</f>
        <v>0.75</v>
      </c>
      <c r="M6307" s="0" t="n">
        <f aca="false">H6307</f>
        <v>-0.5</v>
      </c>
      <c r="N6307" s="0" t="n">
        <f aca="false">E6307*F6307</f>
        <v>0.25</v>
      </c>
      <c r="O6307" s="0" t="n">
        <f aca="false">E6307*G6307</f>
        <v>0.75</v>
      </c>
      <c r="P6307" s="0" t="n">
        <f aca="false">E6307*H6307</f>
        <v>-0.5</v>
      </c>
      <c r="Q6307" s="0" t="n">
        <f aca="false">F6307*G6307</f>
        <v>0.1875</v>
      </c>
      <c r="R6307" s="0" t="n">
        <f aca="false">F6307*H6307</f>
        <v>-0.125</v>
      </c>
      <c r="S6307" s="0" t="n">
        <f aca="false">G6307*H6307</f>
        <v>-0.375</v>
      </c>
      <c r="T6307" s="0" t="n">
        <f aca="false">E6307*E6307</f>
        <v>1</v>
      </c>
      <c r="U6307" s="0" t="n">
        <f aca="false">F6307*F6307</f>
        <v>0.0625</v>
      </c>
      <c r="V6307" s="0" t="n">
        <f aca="false">G6307*G6307</f>
        <v>0.5625</v>
      </c>
      <c r="W6307" s="0" t="n">
        <f aca="false">H6307*H6307</f>
        <v>0.25</v>
      </c>
      <c r="X6307" s="0" t="n">
        <f aca="false">SUMPRODUCT(I6307:W6307,_XtX!$B$96:$P$96)</f>
        <v>47.4570221125731</v>
      </c>
      <c r="Y6307" s="0" t="n">
        <f aca="false">SUMPRODUCT(MMULT(I6307:W6307,_XtX!$B$78:$P$92),I6307:W6307)</f>
        <v>0.459125719572369</v>
      </c>
      <c r="Z6307" s="0" t="n">
        <f aca="false">04_回帰ANOVA!$K$19*04_回帰ANOVA!$K$14*SQRT(1+Y6307)</f>
        <v>1.57450755575573</v>
      </c>
      <c r="AA6307" s="0" t="n">
        <f aca="false">X6307-Z6307</f>
        <v>45.8825145568174</v>
      </c>
      <c r="AB6307" s="0" t="n">
        <f aca="false">X6307+Z6307</f>
        <v>49.0315296683289</v>
      </c>
      <c r="AC6307" s="54" t="b">
        <f aca="false">AND(E6307&gt;=01_因子設定!$L$5-0.000000001,E6307&lt;=01_因子設定!$M$5+0.000000001,F6307&gt;=01_因子設定!$L$6-0.000000001,F6307&lt;=01_因子設定!$M$6+0.000000001,G6307&gt;=01_因子設定!$L$7-0.000000001,G6307&lt;=01_因子設定!$M$7+0.000000001,H6307&gt;=01_因子設定!$L$8-0.000000001,H6307&lt;=01_因子設定!$M$8+0.000000001,IF(01_因子設定!$B$20="Box-Behnken",E6307^2+F6307^2+G6307^2+H6307^2&lt;=2+0.000000001,TRUE()))</f>
        <v>1</v>
      </c>
      <c r="AD6307" s="55" t="n">
        <f aca="false">IF(AC6307,IF(01_因子設定!$B$13="最大化",AA6307-01_因子設定!$B$14,IF(01_因子設定!$B$13="最小化",01_因子設定!$B$15-AB6307,MIN(AA6307-01_因子設定!$B$14,01_因子設定!$B$15-AB6307))),-1E+030)</f>
        <v>-0.617485443182595</v>
      </c>
      <c r="AE6307" s="55" t="n">
        <f aca="false">IF(AC6307,IF(01_因子設定!$B$13="最大化",X6307,IF(01_因子設定!$B$13="最小化",-X6307,-ABS(X6307-01_因子設定!$B$16))),-1E+030)</f>
        <v>47.4570221125731</v>
      </c>
      <c r="AF6307" s="55" t="n">
        <f aca="false">AD6307+ROW()*0.000000001</f>
        <v>-0.617479136182595</v>
      </c>
      <c r="AG6307" s="55" t="n">
        <f aca="false">AE6307+ROW()*0.000000001</f>
        <v>47.4570284195731</v>
      </c>
    </row>
    <row r="6308" customFormat="false" ht="15" hidden="false" customHeight="false" outlineLevel="0" collapsed="false">
      <c r="A6308" s="0" t="n">
        <v>8</v>
      </c>
      <c r="B6308" s="0" t="n">
        <v>5</v>
      </c>
      <c r="C6308" s="0" t="n">
        <v>7</v>
      </c>
      <c r="D6308" s="0" t="n">
        <v>3</v>
      </c>
      <c r="E6308" s="0" t="n">
        <f aca="false">-1+A6308*0.25</f>
        <v>1</v>
      </c>
      <c r="F6308" s="0" t="n">
        <f aca="false">-1+B6308*0.25</f>
        <v>0.25</v>
      </c>
      <c r="G6308" s="0" t="n">
        <f aca="false">-1+C6308*0.25</f>
        <v>0.75</v>
      </c>
      <c r="H6308" s="0" t="n">
        <f aca="false">-1+D6308*0.25</f>
        <v>-0.25</v>
      </c>
      <c r="I6308" s="0" t="n">
        <f aca="false">1</f>
        <v>1</v>
      </c>
      <c r="J6308" s="0" t="n">
        <f aca="false">E6308</f>
        <v>1</v>
      </c>
      <c r="K6308" s="0" t="n">
        <f aca="false">F6308</f>
        <v>0.25</v>
      </c>
      <c r="L6308" s="0" t="n">
        <f aca="false">G6308</f>
        <v>0.75</v>
      </c>
      <c r="M6308" s="0" t="n">
        <f aca="false">H6308</f>
        <v>-0.25</v>
      </c>
      <c r="N6308" s="0" t="n">
        <f aca="false">E6308*F6308</f>
        <v>0.25</v>
      </c>
      <c r="O6308" s="0" t="n">
        <f aca="false">E6308*G6308</f>
        <v>0.75</v>
      </c>
      <c r="P6308" s="0" t="n">
        <f aca="false">E6308*H6308</f>
        <v>-0.25</v>
      </c>
      <c r="Q6308" s="0" t="n">
        <f aca="false">F6308*G6308</f>
        <v>0.1875</v>
      </c>
      <c r="R6308" s="0" t="n">
        <f aca="false">F6308*H6308</f>
        <v>-0.0625</v>
      </c>
      <c r="S6308" s="0" t="n">
        <f aca="false">G6308*H6308</f>
        <v>-0.1875</v>
      </c>
      <c r="T6308" s="0" t="n">
        <f aca="false">E6308*E6308</f>
        <v>1</v>
      </c>
      <c r="U6308" s="0" t="n">
        <f aca="false">F6308*F6308</f>
        <v>0.0625</v>
      </c>
      <c r="V6308" s="0" t="n">
        <f aca="false">G6308*G6308</f>
        <v>0.5625</v>
      </c>
      <c r="W6308" s="0" t="n">
        <f aca="false">H6308*H6308</f>
        <v>0.0625</v>
      </c>
      <c r="X6308" s="0" t="n">
        <f aca="false">SUMPRODUCT(I6308:W6308,_XtX!$B$96:$P$96)</f>
        <v>47.7019965277778</v>
      </c>
      <c r="Y6308" s="0" t="n">
        <f aca="false">SUMPRODUCT(MMULT(I6308:W6308,_XtX!$B$78:$P$92),I6308:W6308)</f>
        <v>0.486409505208334</v>
      </c>
      <c r="Z6308" s="0" t="n">
        <f aca="false">04_回帰ANOVA!$K$19*04_回帰ANOVA!$K$14*SQRT(1+Y6308)</f>
        <v>1.58916001665498</v>
      </c>
      <c r="AA6308" s="0" t="n">
        <f aca="false">X6308-Z6308</f>
        <v>46.1128365111228</v>
      </c>
      <c r="AB6308" s="0" t="n">
        <f aca="false">X6308+Z6308</f>
        <v>49.2911565444328</v>
      </c>
      <c r="AC6308" s="54" t="b">
        <f aca="false">AND(E6308&gt;=01_因子設定!$L$5-0.000000001,E6308&lt;=01_因子設定!$M$5+0.000000001,F6308&gt;=01_因子設定!$L$6-0.000000001,F6308&lt;=01_因子設定!$M$6+0.000000001,G6308&gt;=01_因子設定!$L$7-0.000000001,G6308&lt;=01_因子設定!$M$7+0.000000001,H6308&gt;=01_因子設定!$L$8-0.000000001,H6308&lt;=01_因子設定!$M$8+0.000000001,IF(01_因子設定!$B$20="Box-Behnken",E6308^2+F6308^2+G6308^2+H6308^2&lt;=2+0.000000001,TRUE()))</f>
        <v>1</v>
      </c>
      <c r="AD6308" s="55" t="n">
        <f aca="false">IF(AC6308,IF(01_因子設定!$B$13="最大化",AA6308-01_因子設定!$B$14,IF(01_因子設定!$B$13="最小化",01_因子設定!$B$15-AB6308,MIN(AA6308-01_因子設定!$B$14,01_因子設定!$B$15-AB6308))),-1E+030)</f>
        <v>-0.387163488877171</v>
      </c>
      <c r="AE6308" s="55" t="n">
        <f aca="false">IF(AC6308,IF(01_因子設定!$B$13="最大化",X6308,IF(01_因子設定!$B$13="最小化",-X6308,-ABS(X6308-01_因子設定!$B$16))),-1E+030)</f>
        <v>47.7019965277778</v>
      </c>
      <c r="AF6308" s="55" t="n">
        <f aca="false">AD6308+ROW()*0.000000001</f>
        <v>-0.387157180877171</v>
      </c>
      <c r="AG6308" s="55" t="n">
        <f aca="false">AE6308+ROW()*0.000000001</f>
        <v>47.7020028357778</v>
      </c>
    </row>
    <row r="6309" customFormat="false" ht="15" hidden="false" customHeight="false" outlineLevel="0" collapsed="false">
      <c r="A6309" s="0" t="n">
        <v>8</v>
      </c>
      <c r="B6309" s="0" t="n">
        <v>5</v>
      </c>
      <c r="C6309" s="0" t="n">
        <v>7</v>
      </c>
      <c r="D6309" s="0" t="n">
        <v>4</v>
      </c>
      <c r="E6309" s="0" t="n">
        <f aca="false">-1+A6309*0.25</f>
        <v>1</v>
      </c>
      <c r="F6309" s="0" t="n">
        <f aca="false">-1+B6309*0.25</f>
        <v>0.25</v>
      </c>
      <c r="G6309" s="0" t="n">
        <f aca="false">-1+C6309*0.25</f>
        <v>0.75</v>
      </c>
      <c r="H6309" s="0" t="n">
        <f aca="false">-1+D6309*0.25</f>
        <v>0</v>
      </c>
      <c r="I6309" s="0" t="n">
        <f aca="false">1</f>
        <v>1</v>
      </c>
      <c r="J6309" s="0" t="n">
        <f aca="false">E6309</f>
        <v>1</v>
      </c>
      <c r="K6309" s="0" t="n">
        <f aca="false">F6309</f>
        <v>0.25</v>
      </c>
      <c r="L6309" s="0" t="n">
        <f aca="false">G6309</f>
        <v>0.75</v>
      </c>
      <c r="M6309" s="0" t="n">
        <f aca="false">H6309</f>
        <v>0</v>
      </c>
      <c r="N6309" s="0" t="n">
        <f aca="false">E6309*F6309</f>
        <v>0.25</v>
      </c>
      <c r="O6309" s="0" t="n">
        <f aca="false">E6309*G6309</f>
        <v>0.75</v>
      </c>
      <c r="P6309" s="0" t="n">
        <f aca="false">E6309*H6309</f>
        <v>0</v>
      </c>
      <c r="Q6309" s="0" t="n">
        <f aca="false">F6309*G6309</f>
        <v>0.1875</v>
      </c>
      <c r="R6309" s="0" t="n">
        <f aca="false">F6309*H6309</f>
        <v>0</v>
      </c>
      <c r="S6309" s="0" t="n">
        <f aca="false">G6309*H6309</f>
        <v>0</v>
      </c>
      <c r="T6309" s="0" t="n">
        <f aca="false">E6309*E6309</f>
        <v>1</v>
      </c>
      <c r="U6309" s="0" t="n">
        <f aca="false">F6309*F6309</f>
        <v>0.0625</v>
      </c>
      <c r="V6309" s="0" t="n">
        <f aca="false">G6309*G6309</f>
        <v>0.5625</v>
      </c>
      <c r="W6309" s="0" t="n">
        <f aca="false">H6309*H6309</f>
        <v>0</v>
      </c>
      <c r="X6309" s="0" t="n">
        <f aca="false">SUMPRODUCT(I6309:W6309,_XtX!$B$96:$P$96)</f>
        <v>47.8991639254386</v>
      </c>
      <c r="Y6309" s="0" t="n">
        <f aca="false">SUMPRODUCT(MMULT(I6309:W6309,_XtX!$B$78:$P$92),I6309:W6309)</f>
        <v>0.501534802174708</v>
      </c>
      <c r="Z6309" s="0" t="n">
        <f aca="false">04_回帰ANOVA!$K$19*04_回帰ANOVA!$K$14*SQRT(1+Y6309)</f>
        <v>1.59722498091333</v>
      </c>
      <c r="AA6309" s="0" t="n">
        <f aca="false">X6309-Z6309</f>
        <v>46.3019389445253</v>
      </c>
      <c r="AB6309" s="0" t="n">
        <f aca="false">X6309+Z6309</f>
        <v>49.496388906352</v>
      </c>
      <c r="AC6309" s="54" t="b">
        <f aca="false">AND(E6309&gt;=01_因子設定!$L$5-0.000000001,E6309&lt;=01_因子設定!$M$5+0.000000001,F6309&gt;=01_因子設定!$L$6-0.000000001,F6309&lt;=01_因子設定!$M$6+0.000000001,G6309&gt;=01_因子設定!$L$7-0.000000001,G6309&lt;=01_因子設定!$M$7+0.000000001,H6309&gt;=01_因子設定!$L$8-0.000000001,H6309&lt;=01_因子設定!$M$8+0.000000001,IF(01_因子設定!$B$20="Box-Behnken",E6309^2+F6309^2+G6309^2+H6309^2&lt;=2+0.000000001,TRUE()))</f>
        <v>1</v>
      </c>
      <c r="AD6309" s="55" t="n">
        <f aca="false">IF(AC6309,IF(01_因子設定!$B$13="最大化",AA6309-01_因子設定!$B$14,IF(01_因子設定!$B$13="最小化",01_因子設定!$B$15-AB6309,MIN(AA6309-01_因子設定!$B$14,01_因子設定!$B$15-AB6309))),-1E+030)</f>
        <v>-0.19806105547471</v>
      </c>
      <c r="AE6309" s="55" t="n">
        <f aca="false">IF(AC6309,IF(01_因子設定!$B$13="最大化",X6309,IF(01_因子設定!$B$13="最小化",-X6309,-ABS(X6309-01_因子設定!$B$16))),-1E+030)</f>
        <v>47.8991639254386</v>
      </c>
      <c r="AF6309" s="55" t="n">
        <f aca="false">AD6309+ROW()*0.000000001</f>
        <v>-0.19805474647471</v>
      </c>
      <c r="AG6309" s="55" t="n">
        <f aca="false">AE6309+ROW()*0.000000001</f>
        <v>47.8991702344386</v>
      </c>
    </row>
    <row r="6310" customFormat="false" ht="15" hidden="false" customHeight="false" outlineLevel="0" collapsed="false">
      <c r="A6310" s="0" t="n">
        <v>8</v>
      </c>
      <c r="B6310" s="0" t="n">
        <v>5</v>
      </c>
      <c r="C6310" s="0" t="n">
        <v>7</v>
      </c>
      <c r="D6310" s="0" t="n">
        <v>5</v>
      </c>
      <c r="E6310" s="0" t="n">
        <f aca="false">-1+A6310*0.25</f>
        <v>1</v>
      </c>
      <c r="F6310" s="0" t="n">
        <f aca="false">-1+B6310*0.25</f>
        <v>0.25</v>
      </c>
      <c r="G6310" s="0" t="n">
        <f aca="false">-1+C6310*0.25</f>
        <v>0.75</v>
      </c>
      <c r="H6310" s="0" t="n">
        <f aca="false">-1+D6310*0.25</f>
        <v>0.25</v>
      </c>
      <c r="I6310" s="0" t="n">
        <f aca="false">1</f>
        <v>1</v>
      </c>
      <c r="J6310" s="0" t="n">
        <f aca="false">E6310</f>
        <v>1</v>
      </c>
      <c r="K6310" s="0" t="n">
        <f aca="false">F6310</f>
        <v>0.25</v>
      </c>
      <c r="L6310" s="0" t="n">
        <f aca="false">G6310</f>
        <v>0.75</v>
      </c>
      <c r="M6310" s="0" t="n">
        <f aca="false">H6310</f>
        <v>0.25</v>
      </c>
      <c r="N6310" s="0" t="n">
        <f aca="false">E6310*F6310</f>
        <v>0.25</v>
      </c>
      <c r="O6310" s="0" t="n">
        <f aca="false">E6310*G6310</f>
        <v>0.75</v>
      </c>
      <c r="P6310" s="0" t="n">
        <f aca="false">E6310*H6310</f>
        <v>0.25</v>
      </c>
      <c r="Q6310" s="0" t="n">
        <f aca="false">F6310*G6310</f>
        <v>0.1875</v>
      </c>
      <c r="R6310" s="0" t="n">
        <f aca="false">F6310*H6310</f>
        <v>0.0625</v>
      </c>
      <c r="S6310" s="0" t="n">
        <f aca="false">G6310*H6310</f>
        <v>0.1875</v>
      </c>
      <c r="T6310" s="0" t="n">
        <f aca="false">E6310*E6310</f>
        <v>1</v>
      </c>
      <c r="U6310" s="0" t="n">
        <f aca="false">F6310*F6310</f>
        <v>0.0625</v>
      </c>
      <c r="V6310" s="0" t="n">
        <f aca="false">G6310*G6310</f>
        <v>0.5625</v>
      </c>
      <c r="W6310" s="0" t="n">
        <f aca="false">H6310*H6310</f>
        <v>0.0625</v>
      </c>
      <c r="X6310" s="0" t="n">
        <f aca="false">SUMPRODUCT(I6310:W6310,_XtX!$B$96:$P$96)</f>
        <v>48.0485243055556</v>
      </c>
      <c r="Y6310" s="0" t="n">
        <f aca="false">SUMPRODUCT(MMULT(I6310:W6310,_XtX!$B$78:$P$92),I6310:W6310)</f>
        <v>0.486409505208334</v>
      </c>
      <c r="Z6310" s="0" t="n">
        <f aca="false">04_回帰ANOVA!$K$19*04_回帰ANOVA!$K$14*SQRT(1+Y6310)</f>
        <v>1.58916001665498</v>
      </c>
      <c r="AA6310" s="0" t="n">
        <f aca="false">X6310-Z6310</f>
        <v>46.4593642889006</v>
      </c>
      <c r="AB6310" s="0" t="n">
        <f aca="false">X6310+Z6310</f>
        <v>49.6376843222106</v>
      </c>
      <c r="AC6310" s="54" t="b">
        <f aca="false">AND(E6310&gt;=01_因子設定!$L$5-0.000000001,E6310&lt;=01_因子設定!$M$5+0.000000001,F6310&gt;=01_因子設定!$L$6-0.000000001,F6310&lt;=01_因子設定!$M$6+0.000000001,G6310&gt;=01_因子設定!$L$7-0.000000001,G6310&lt;=01_因子設定!$M$7+0.000000001,H6310&gt;=01_因子設定!$L$8-0.000000001,H6310&lt;=01_因子設定!$M$8+0.000000001,IF(01_因子設定!$B$20="Box-Behnken",E6310^2+F6310^2+G6310^2+H6310^2&lt;=2+0.000000001,TRUE()))</f>
        <v>1</v>
      </c>
      <c r="AD6310" s="55" t="n">
        <f aca="false">IF(AC6310,IF(01_因子設定!$B$13="最大化",AA6310-01_因子設定!$B$14,IF(01_因子設定!$B$13="最小化",01_因子設定!$B$15-AB6310,MIN(AA6310-01_因子設定!$B$14,01_因子設定!$B$15-AB6310))),-1E+030)</f>
        <v>-0.040635711099398</v>
      </c>
      <c r="AE6310" s="55" t="n">
        <f aca="false">IF(AC6310,IF(01_因子設定!$B$13="最大化",X6310,IF(01_因子設定!$B$13="最小化",-X6310,-ABS(X6310-01_因子設定!$B$16))),-1E+030)</f>
        <v>48.0485243055556</v>
      </c>
      <c r="AF6310" s="55" t="n">
        <f aca="false">AD6310+ROW()*0.000000001</f>
        <v>-0.040629401099398</v>
      </c>
      <c r="AG6310" s="55" t="n">
        <f aca="false">AE6310+ROW()*0.000000001</f>
        <v>48.0485306155556</v>
      </c>
    </row>
    <row r="6311" customFormat="false" ht="15" hidden="false" customHeight="false" outlineLevel="0" collapsed="false">
      <c r="A6311" s="0" t="n">
        <v>8</v>
      </c>
      <c r="B6311" s="0" t="n">
        <v>5</v>
      </c>
      <c r="C6311" s="0" t="n">
        <v>7</v>
      </c>
      <c r="D6311" s="0" t="n">
        <v>6</v>
      </c>
      <c r="E6311" s="0" t="n">
        <f aca="false">-1+A6311*0.25</f>
        <v>1</v>
      </c>
      <c r="F6311" s="0" t="n">
        <f aca="false">-1+B6311*0.25</f>
        <v>0.25</v>
      </c>
      <c r="G6311" s="0" t="n">
        <f aca="false">-1+C6311*0.25</f>
        <v>0.75</v>
      </c>
      <c r="H6311" s="0" t="n">
        <f aca="false">-1+D6311*0.25</f>
        <v>0.5</v>
      </c>
      <c r="I6311" s="0" t="n">
        <f aca="false">1</f>
        <v>1</v>
      </c>
      <c r="J6311" s="0" t="n">
        <f aca="false">E6311</f>
        <v>1</v>
      </c>
      <c r="K6311" s="0" t="n">
        <f aca="false">F6311</f>
        <v>0.25</v>
      </c>
      <c r="L6311" s="0" t="n">
        <f aca="false">G6311</f>
        <v>0.75</v>
      </c>
      <c r="M6311" s="0" t="n">
        <f aca="false">H6311</f>
        <v>0.5</v>
      </c>
      <c r="N6311" s="0" t="n">
        <f aca="false">E6311*F6311</f>
        <v>0.25</v>
      </c>
      <c r="O6311" s="0" t="n">
        <f aca="false">E6311*G6311</f>
        <v>0.75</v>
      </c>
      <c r="P6311" s="0" t="n">
        <f aca="false">E6311*H6311</f>
        <v>0.5</v>
      </c>
      <c r="Q6311" s="0" t="n">
        <f aca="false">F6311*G6311</f>
        <v>0.1875</v>
      </c>
      <c r="R6311" s="0" t="n">
        <f aca="false">F6311*H6311</f>
        <v>0.125</v>
      </c>
      <c r="S6311" s="0" t="n">
        <f aca="false">G6311*H6311</f>
        <v>0.375</v>
      </c>
      <c r="T6311" s="0" t="n">
        <f aca="false">E6311*E6311</f>
        <v>1</v>
      </c>
      <c r="U6311" s="0" t="n">
        <f aca="false">F6311*F6311</f>
        <v>0.0625</v>
      </c>
      <c r="V6311" s="0" t="n">
        <f aca="false">G6311*G6311</f>
        <v>0.5625</v>
      </c>
      <c r="W6311" s="0" t="n">
        <f aca="false">H6311*H6311</f>
        <v>0.25</v>
      </c>
      <c r="X6311" s="0" t="n">
        <f aca="false">SUMPRODUCT(I6311:W6311,_XtX!$B$96:$P$96)</f>
        <v>48.1500776681287</v>
      </c>
      <c r="Y6311" s="0" t="n">
        <f aca="false">SUMPRODUCT(MMULT(I6311:W6311,_XtX!$B$78:$P$92),I6311:W6311)</f>
        <v>0.459125719572369</v>
      </c>
      <c r="Z6311" s="0" t="n">
        <f aca="false">04_回帰ANOVA!$K$19*04_回帰ANOVA!$K$14*SQRT(1+Y6311)</f>
        <v>1.57450755575573</v>
      </c>
      <c r="AA6311" s="0" t="n">
        <f aca="false">X6311-Z6311</f>
        <v>46.575570112373</v>
      </c>
      <c r="AB6311" s="0" t="n">
        <f aca="false">X6311+Z6311</f>
        <v>49.7245852238844</v>
      </c>
      <c r="AC6311" s="54" t="b">
        <f aca="false">AND(E6311&gt;=01_因子設定!$L$5-0.000000001,E6311&lt;=01_因子設定!$M$5+0.000000001,F6311&gt;=01_因子設定!$L$6-0.000000001,F6311&lt;=01_因子設定!$M$6+0.000000001,G6311&gt;=01_因子設定!$L$7-0.000000001,G6311&lt;=01_因子設定!$M$7+0.000000001,H6311&gt;=01_因子設定!$L$8-0.000000001,H6311&lt;=01_因子設定!$M$8+0.000000001,IF(01_因子設定!$B$20="Box-Behnken",E6311^2+F6311^2+G6311^2+H6311^2&lt;=2+0.000000001,TRUE()))</f>
        <v>1</v>
      </c>
      <c r="AD6311" s="55" t="n">
        <f aca="false">IF(AC6311,IF(01_因子設定!$B$13="最大化",AA6311-01_因子設定!$B$14,IF(01_因子設定!$B$13="最小化",01_因子設定!$B$15-AB6311,MIN(AA6311-01_因子設定!$B$14,01_因子設定!$B$15-AB6311))),-1E+030)</f>
        <v>0.075570112372958</v>
      </c>
      <c r="AE6311" s="55" t="n">
        <f aca="false">IF(AC6311,IF(01_因子設定!$B$13="最大化",X6311,IF(01_因子設定!$B$13="最小化",-X6311,-ABS(X6311-01_因子設定!$B$16))),-1E+030)</f>
        <v>48.1500776681287</v>
      </c>
      <c r="AF6311" s="55" t="n">
        <f aca="false">AD6311+ROW()*0.000000001</f>
        <v>0.075576423372958</v>
      </c>
      <c r="AG6311" s="55" t="n">
        <f aca="false">AE6311+ROW()*0.000000001</f>
        <v>48.1500839791287</v>
      </c>
    </row>
    <row r="6312" customFormat="false" ht="15" hidden="false" customHeight="false" outlineLevel="0" collapsed="false">
      <c r="A6312" s="0" t="n">
        <v>8</v>
      </c>
      <c r="B6312" s="0" t="n">
        <v>5</v>
      </c>
      <c r="C6312" s="0" t="n">
        <v>7</v>
      </c>
      <c r="D6312" s="0" t="n">
        <v>7</v>
      </c>
      <c r="E6312" s="0" t="n">
        <f aca="false">-1+A6312*0.25</f>
        <v>1</v>
      </c>
      <c r="F6312" s="0" t="n">
        <f aca="false">-1+B6312*0.25</f>
        <v>0.25</v>
      </c>
      <c r="G6312" s="0" t="n">
        <f aca="false">-1+C6312*0.25</f>
        <v>0.75</v>
      </c>
      <c r="H6312" s="0" t="n">
        <f aca="false">-1+D6312*0.25</f>
        <v>0.75</v>
      </c>
      <c r="I6312" s="0" t="n">
        <f aca="false">1</f>
        <v>1</v>
      </c>
      <c r="J6312" s="0" t="n">
        <f aca="false">E6312</f>
        <v>1</v>
      </c>
      <c r="K6312" s="0" t="n">
        <f aca="false">F6312</f>
        <v>0.25</v>
      </c>
      <c r="L6312" s="0" t="n">
        <f aca="false">G6312</f>
        <v>0.75</v>
      </c>
      <c r="M6312" s="0" t="n">
        <f aca="false">H6312</f>
        <v>0.75</v>
      </c>
      <c r="N6312" s="0" t="n">
        <f aca="false">E6312*F6312</f>
        <v>0.25</v>
      </c>
      <c r="O6312" s="0" t="n">
        <f aca="false">E6312*G6312</f>
        <v>0.75</v>
      </c>
      <c r="P6312" s="0" t="n">
        <f aca="false">E6312*H6312</f>
        <v>0.75</v>
      </c>
      <c r="Q6312" s="0" t="n">
        <f aca="false">F6312*G6312</f>
        <v>0.1875</v>
      </c>
      <c r="R6312" s="0" t="n">
        <f aca="false">F6312*H6312</f>
        <v>0.1875</v>
      </c>
      <c r="S6312" s="0" t="n">
        <f aca="false">G6312*H6312</f>
        <v>0.5625</v>
      </c>
      <c r="T6312" s="0" t="n">
        <f aca="false">E6312*E6312</f>
        <v>1</v>
      </c>
      <c r="U6312" s="0" t="n">
        <f aca="false">F6312*F6312</f>
        <v>0.0625</v>
      </c>
      <c r="V6312" s="0" t="n">
        <f aca="false">G6312*G6312</f>
        <v>0.5625</v>
      </c>
      <c r="W6312" s="0" t="n">
        <f aca="false">H6312*H6312</f>
        <v>0.5625</v>
      </c>
      <c r="X6312" s="0" t="n">
        <f aca="false">SUMPRODUCT(I6312:W6312,_XtX!$B$96:$P$96)</f>
        <v>48.2038240131579</v>
      </c>
      <c r="Y6312" s="0" t="n">
        <f aca="false">SUMPRODUCT(MMULT(I6312:W6312,_XtX!$B$78:$P$92),I6312:W6312)</f>
        <v>0.473959761056287</v>
      </c>
      <c r="Z6312" s="0" t="n">
        <f aca="false">04_回帰ANOVA!$K$19*04_回帰ANOVA!$K$14*SQRT(1+Y6312)</f>
        <v>1.58249084588329</v>
      </c>
      <c r="AA6312" s="0" t="n">
        <f aca="false">X6312-Z6312</f>
        <v>46.6213331672747</v>
      </c>
      <c r="AB6312" s="0" t="n">
        <f aca="false">X6312+Z6312</f>
        <v>49.7863148590412</v>
      </c>
      <c r="AC6312" s="54" t="b">
        <f aca="false">AND(E6312&gt;=01_因子設定!$L$5-0.000000001,E6312&lt;=01_因子設定!$M$5+0.000000001,F6312&gt;=01_因子設定!$L$6-0.000000001,F6312&lt;=01_因子設定!$M$6+0.000000001,G6312&gt;=01_因子設定!$L$7-0.000000001,G6312&lt;=01_因子設定!$M$7+0.000000001,H6312&gt;=01_因子設定!$L$8-0.000000001,H6312&lt;=01_因子設定!$M$8+0.000000001,IF(01_因子設定!$B$20="Box-Behnken",E6312^2+F6312^2+G6312^2+H6312^2&lt;=2+0.000000001,TRUE()))</f>
        <v>1</v>
      </c>
      <c r="AD6312" s="55" t="n">
        <f aca="false">IF(AC6312,IF(01_因子設定!$B$13="最大化",AA6312-01_因子設定!$B$14,IF(01_因子設定!$B$13="最小化",01_因子設定!$B$15-AB6312,MIN(AA6312-01_因子設定!$B$14,01_因子設定!$B$15-AB6312))),-1E+030)</f>
        <v>0.121333167274656</v>
      </c>
      <c r="AE6312" s="55" t="n">
        <f aca="false">IF(AC6312,IF(01_因子設定!$B$13="最大化",X6312,IF(01_因子設定!$B$13="最小化",-X6312,-ABS(X6312-01_因子設定!$B$16))),-1E+030)</f>
        <v>48.2038240131579</v>
      </c>
      <c r="AF6312" s="55" t="n">
        <f aca="false">AD6312+ROW()*0.000000001</f>
        <v>0.121339479274656</v>
      </c>
      <c r="AG6312" s="55" t="n">
        <f aca="false">AE6312+ROW()*0.000000001</f>
        <v>48.2038303251579</v>
      </c>
    </row>
    <row r="6313" customFormat="false" ht="15" hidden="false" customHeight="false" outlineLevel="0" collapsed="false">
      <c r="A6313" s="0" t="n">
        <v>8</v>
      </c>
      <c r="B6313" s="0" t="n">
        <v>5</v>
      </c>
      <c r="C6313" s="0" t="n">
        <v>7</v>
      </c>
      <c r="D6313" s="0" t="n">
        <v>8</v>
      </c>
      <c r="E6313" s="0" t="n">
        <f aca="false">-1+A6313*0.25</f>
        <v>1</v>
      </c>
      <c r="F6313" s="0" t="n">
        <f aca="false">-1+B6313*0.25</f>
        <v>0.25</v>
      </c>
      <c r="G6313" s="0" t="n">
        <f aca="false">-1+C6313*0.25</f>
        <v>0.75</v>
      </c>
      <c r="H6313" s="0" t="n">
        <f aca="false">-1+D6313*0.25</f>
        <v>1</v>
      </c>
      <c r="I6313" s="0" t="n">
        <f aca="false">1</f>
        <v>1</v>
      </c>
      <c r="J6313" s="0" t="n">
        <f aca="false">E6313</f>
        <v>1</v>
      </c>
      <c r="K6313" s="0" t="n">
        <f aca="false">F6313</f>
        <v>0.25</v>
      </c>
      <c r="L6313" s="0" t="n">
        <f aca="false">G6313</f>
        <v>0.75</v>
      </c>
      <c r="M6313" s="0" t="n">
        <f aca="false">H6313</f>
        <v>1</v>
      </c>
      <c r="N6313" s="0" t="n">
        <f aca="false">E6313*F6313</f>
        <v>0.25</v>
      </c>
      <c r="O6313" s="0" t="n">
        <f aca="false">E6313*G6313</f>
        <v>0.75</v>
      </c>
      <c r="P6313" s="0" t="n">
        <f aca="false">E6313*H6313</f>
        <v>1</v>
      </c>
      <c r="Q6313" s="0" t="n">
        <f aca="false">F6313*G6313</f>
        <v>0.1875</v>
      </c>
      <c r="R6313" s="0" t="n">
        <f aca="false">F6313*H6313</f>
        <v>0.25</v>
      </c>
      <c r="S6313" s="0" t="n">
        <f aca="false">G6313*H6313</f>
        <v>0.75</v>
      </c>
      <c r="T6313" s="0" t="n">
        <f aca="false">E6313*E6313</f>
        <v>1</v>
      </c>
      <c r="U6313" s="0" t="n">
        <f aca="false">F6313*F6313</f>
        <v>0.0625</v>
      </c>
      <c r="V6313" s="0" t="n">
        <f aca="false">G6313*G6313</f>
        <v>0.5625</v>
      </c>
      <c r="W6313" s="0" t="n">
        <f aca="false">H6313*H6313</f>
        <v>1</v>
      </c>
      <c r="X6313" s="0" t="n">
        <f aca="false">SUMPRODUCT(I6313:W6313,_XtX!$B$96:$P$96)</f>
        <v>48.2097633406433</v>
      </c>
      <c r="Y6313" s="0" t="n">
        <f aca="false">SUMPRODUCT(MMULT(I6313:W6313,_XtX!$B$78:$P$92),I6313:W6313)</f>
        <v>0.621372155975877</v>
      </c>
      <c r="Z6313" s="0" t="n">
        <f aca="false">04_回帰ANOVA!$K$19*04_回帰ANOVA!$K$14*SQRT(1+Y6313)</f>
        <v>1.65973880499872</v>
      </c>
      <c r="AA6313" s="0" t="n">
        <f aca="false">X6313-Z6313</f>
        <v>46.5500245356446</v>
      </c>
      <c r="AB6313" s="0" t="n">
        <f aca="false">X6313+Z6313</f>
        <v>49.8695021456421</v>
      </c>
      <c r="AC6313" s="54" t="b">
        <f aca="false">AND(E6313&gt;=01_因子設定!$L$5-0.000000001,E6313&lt;=01_因子設定!$M$5+0.000000001,F6313&gt;=01_因子設定!$L$6-0.000000001,F6313&lt;=01_因子設定!$M$6+0.000000001,G6313&gt;=01_因子設定!$L$7-0.000000001,G6313&lt;=01_因子設定!$M$7+0.000000001,H6313&gt;=01_因子設定!$L$8-0.000000001,H6313&lt;=01_因子設定!$M$8+0.000000001,IF(01_因子設定!$B$20="Box-Behnken",E6313^2+F6313^2+G6313^2+H6313^2&lt;=2+0.000000001,TRUE()))</f>
        <v>1</v>
      </c>
      <c r="AD6313" s="55" t="n">
        <f aca="false">IF(AC6313,IF(01_因子設定!$B$13="最大化",AA6313-01_因子設定!$B$14,IF(01_因子設定!$B$13="最小化",01_因子設定!$B$15-AB6313,MIN(AA6313-01_因子設定!$B$14,01_因子設定!$B$15-AB6313))),-1E+030)</f>
        <v>0.0500245356446172</v>
      </c>
      <c r="AE6313" s="55" t="n">
        <f aca="false">IF(AC6313,IF(01_因子設定!$B$13="最大化",X6313,IF(01_因子設定!$B$13="最小化",-X6313,-ABS(X6313-01_因子設定!$B$16))),-1E+030)</f>
        <v>48.2097633406433</v>
      </c>
      <c r="AF6313" s="55" t="n">
        <f aca="false">AD6313+ROW()*0.000000001</f>
        <v>0.0500308486446172</v>
      </c>
      <c r="AG6313" s="55" t="n">
        <f aca="false">AE6313+ROW()*0.000000001</f>
        <v>48.2097696536433</v>
      </c>
    </row>
    <row r="6314" customFormat="false" ht="15" hidden="false" customHeight="false" outlineLevel="0" collapsed="false">
      <c r="A6314" s="0" t="n">
        <v>8</v>
      </c>
      <c r="B6314" s="0" t="n">
        <v>5</v>
      </c>
      <c r="C6314" s="0" t="n">
        <v>8</v>
      </c>
      <c r="D6314" s="0" t="n">
        <v>0</v>
      </c>
      <c r="E6314" s="0" t="n">
        <f aca="false">-1+A6314*0.25</f>
        <v>1</v>
      </c>
      <c r="F6314" s="0" t="n">
        <f aca="false">-1+B6314*0.25</f>
        <v>0.25</v>
      </c>
      <c r="G6314" s="0" t="n">
        <f aca="false">-1+C6314*0.25</f>
        <v>1</v>
      </c>
      <c r="H6314" s="0" t="n">
        <f aca="false">-1+D6314*0.25</f>
        <v>-1</v>
      </c>
      <c r="I6314" s="0" t="n">
        <f aca="false">1</f>
        <v>1</v>
      </c>
      <c r="J6314" s="0" t="n">
        <f aca="false">E6314</f>
        <v>1</v>
      </c>
      <c r="K6314" s="0" t="n">
        <f aca="false">F6314</f>
        <v>0.25</v>
      </c>
      <c r="L6314" s="0" t="n">
        <f aca="false">G6314</f>
        <v>1</v>
      </c>
      <c r="M6314" s="0" t="n">
        <f aca="false">H6314</f>
        <v>-1</v>
      </c>
      <c r="N6314" s="0" t="n">
        <f aca="false">E6314*F6314</f>
        <v>0.25</v>
      </c>
      <c r="O6314" s="0" t="n">
        <f aca="false">E6314*G6314</f>
        <v>1</v>
      </c>
      <c r="P6314" s="0" t="n">
        <f aca="false">E6314*H6314</f>
        <v>-1</v>
      </c>
      <c r="Q6314" s="0" t="n">
        <f aca="false">F6314*G6314</f>
        <v>0.25</v>
      </c>
      <c r="R6314" s="0" t="n">
        <f aca="false">F6314*H6314</f>
        <v>-0.25</v>
      </c>
      <c r="S6314" s="0" t="n">
        <f aca="false">G6314*H6314</f>
        <v>-1</v>
      </c>
      <c r="T6314" s="0" t="n">
        <f aca="false">E6314*E6314</f>
        <v>1</v>
      </c>
      <c r="U6314" s="0" t="n">
        <f aca="false">F6314*F6314</f>
        <v>0.0625</v>
      </c>
      <c r="V6314" s="0" t="n">
        <f aca="false">G6314*G6314</f>
        <v>1</v>
      </c>
      <c r="W6314" s="0" t="n">
        <f aca="false">H6314*H6314</f>
        <v>1</v>
      </c>
      <c r="X6314" s="0" t="n">
        <f aca="false">SUMPRODUCT(I6314:W6314,_XtX!$B$96:$P$96)</f>
        <v>46.5560672514621</v>
      </c>
      <c r="Y6314" s="0" t="n">
        <f aca="false">SUMPRODUCT(MMULT(I6314:W6314,_XtX!$B$78:$P$92),I6314:W6314)</f>
        <v>0.737093384502924</v>
      </c>
      <c r="Z6314" s="0" t="n">
        <f aca="false">04_回帰ANOVA!$K$19*04_回帰ANOVA!$K$14*SQRT(1+Y6314)</f>
        <v>1.71794784853551</v>
      </c>
      <c r="AA6314" s="0" t="n">
        <f aca="false">X6314-Z6314</f>
        <v>44.8381194029266</v>
      </c>
      <c r="AB6314" s="0" t="n">
        <f aca="false">X6314+Z6314</f>
        <v>48.2740150999976</v>
      </c>
      <c r="AC6314" s="54" t="b">
        <f aca="false">AND(E6314&gt;=01_因子設定!$L$5-0.000000001,E6314&lt;=01_因子設定!$M$5+0.000000001,F6314&gt;=01_因子設定!$L$6-0.000000001,F6314&lt;=01_因子設定!$M$6+0.000000001,G6314&gt;=01_因子設定!$L$7-0.000000001,G6314&lt;=01_因子設定!$M$7+0.000000001,H6314&gt;=01_因子設定!$L$8-0.000000001,H6314&lt;=01_因子設定!$M$8+0.000000001,IF(01_因子設定!$B$20="Box-Behnken",E6314^2+F6314^2+G6314^2+H6314^2&lt;=2+0.000000001,TRUE()))</f>
        <v>1</v>
      </c>
      <c r="AD6314" s="55" t="n">
        <f aca="false">IF(AC6314,IF(01_因子設定!$B$13="最大化",AA6314-01_因子設定!$B$14,IF(01_因子設定!$B$13="最小化",01_因子設定!$B$15-AB6314,MIN(AA6314-01_因子設定!$B$14,01_因子設定!$B$15-AB6314))),-1E+030)</f>
        <v>-1.66188059707345</v>
      </c>
      <c r="AE6314" s="55" t="n">
        <f aca="false">IF(AC6314,IF(01_因子設定!$B$13="最大化",X6314,IF(01_因子設定!$B$13="最小化",-X6314,-ABS(X6314-01_因子設定!$B$16))),-1E+030)</f>
        <v>46.5560672514621</v>
      </c>
      <c r="AF6314" s="55" t="n">
        <f aca="false">AD6314+ROW()*0.000000001</f>
        <v>-1.66187428307345</v>
      </c>
      <c r="AG6314" s="55" t="n">
        <f aca="false">AE6314+ROW()*0.000000001</f>
        <v>46.5560735654621</v>
      </c>
    </row>
    <row r="6315" customFormat="false" ht="15" hidden="false" customHeight="false" outlineLevel="0" collapsed="false">
      <c r="A6315" s="0" t="n">
        <v>8</v>
      </c>
      <c r="B6315" s="0" t="n">
        <v>5</v>
      </c>
      <c r="C6315" s="0" t="n">
        <v>8</v>
      </c>
      <c r="D6315" s="0" t="n">
        <v>1</v>
      </c>
      <c r="E6315" s="0" t="n">
        <f aca="false">-1+A6315*0.25</f>
        <v>1</v>
      </c>
      <c r="F6315" s="0" t="n">
        <f aca="false">-1+B6315*0.25</f>
        <v>0.25</v>
      </c>
      <c r="G6315" s="0" t="n">
        <f aca="false">-1+C6315*0.25</f>
        <v>1</v>
      </c>
      <c r="H6315" s="0" t="n">
        <f aca="false">-1+D6315*0.25</f>
        <v>-0.75</v>
      </c>
      <c r="I6315" s="0" t="n">
        <f aca="false">1</f>
        <v>1</v>
      </c>
      <c r="J6315" s="0" t="n">
        <f aca="false">E6315</f>
        <v>1</v>
      </c>
      <c r="K6315" s="0" t="n">
        <f aca="false">F6315</f>
        <v>0.25</v>
      </c>
      <c r="L6315" s="0" t="n">
        <f aca="false">G6315</f>
        <v>1</v>
      </c>
      <c r="M6315" s="0" t="n">
        <f aca="false">H6315</f>
        <v>-0.75</v>
      </c>
      <c r="N6315" s="0" t="n">
        <f aca="false">E6315*F6315</f>
        <v>0.25</v>
      </c>
      <c r="O6315" s="0" t="n">
        <f aca="false">E6315*G6315</f>
        <v>1</v>
      </c>
      <c r="P6315" s="0" t="n">
        <f aca="false">E6315*H6315</f>
        <v>-0.75</v>
      </c>
      <c r="Q6315" s="0" t="n">
        <f aca="false">F6315*G6315</f>
        <v>0.25</v>
      </c>
      <c r="R6315" s="0" t="n">
        <f aca="false">F6315*H6315</f>
        <v>-0.1875</v>
      </c>
      <c r="S6315" s="0" t="n">
        <f aca="false">G6315*H6315</f>
        <v>-0.75</v>
      </c>
      <c r="T6315" s="0" t="n">
        <f aca="false">E6315*E6315</f>
        <v>1</v>
      </c>
      <c r="U6315" s="0" t="n">
        <f aca="false">F6315*F6315</f>
        <v>0.0625</v>
      </c>
      <c r="V6315" s="0" t="n">
        <f aca="false">G6315*G6315</f>
        <v>1</v>
      </c>
      <c r="W6315" s="0" t="n">
        <f aca="false">H6315*H6315</f>
        <v>0.5625</v>
      </c>
      <c r="X6315" s="0" t="n">
        <f aca="false">SUMPRODUCT(I6315:W6315,_XtX!$B$96:$P$96)</f>
        <v>46.9146244517544</v>
      </c>
      <c r="Y6315" s="0" t="n">
        <f aca="false">SUMPRODUCT(MMULT(I6315:W6315,_XtX!$B$78:$P$92),I6315:W6315)</f>
        <v>0.621372155975877</v>
      </c>
      <c r="Z6315" s="0" t="n">
        <f aca="false">04_回帰ANOVA!$K$19*04_回帰ANOVA!$K$14*SQRT(1+Y6315)</f>
        <v>1.65973880499872</v>
      </c>
      <c r="AA6315" s="0" t="n">
        <f aca="false">X6315-Z6315</f>
        <v>45.2548856467557</v>
      </c>
      <c r="AB6315" s="0" t="n">
        <f aca="false">X6315+Z6315</f>
        <v>48.5743632567532</v>
      </c>
      <c r="AC6315" s="54" t="b">
        <f aca="false">AND(E6315&gt;=01_因子設定!$L$5-0.000000001,E6315&lt;=01_因子設定!$M$5+0.000000001,F6315&gt;=01_因子設定!$L$6-0.000000001,F6315&lt;=01_因子設定!$M$6+0.000000001,G6315&gt;=01_因子設定!$L$7-0.000000001,G6315&lt;=01_因子設定!$M$7+0.000000001,H6315&gt;=01_因子設定!$L$8-0.000000001,H6315&lt;=01_因子設定!$M$8+0.000000001,IF(01_因子設定!$B$20="Box-Behnken",E6315^2+F6315^2+G6315^2+H6315^2&lt;=2+0.000000001,TRUE()))</f>
        <v>1</v>
      </c>
      <c r="AD6315" s="55" t="n">
        <f aca="false">IF(AC6315,IF(01_因子設定!$B$13="最大化",AA6315-01_因子設定!$B$14,IF(01_因子設定!$B$13="最小化",01_因子設定!$B$15-AB6315,MIN(AA6315-01_因子設定!$B$14,01_因子設定!$B$15-AB6315))),-1E+030)</f>
        <v>-1.24511435324428</v>
      </c>
      <c r="AE6315" s="55" t="n">
        <f aca="false">IF(AC6315,IF(01_因子設定!$B$13="最大化",X6315,IF(01_因子設定!$B$13="最小化",-X6315,-ABS(X6315-01_因子設定!$B$16))),-1E+030)</f>
        <v>46.9146244517544</v>
      </c>
      <c r="AF6315" s="55" t="n">
        <f aca="false">AD6315+ROW()*0.000000001</f>
        <v>-1.24510803824428</v>
      </c>
      <c r="AG6315" s="55" t="n">
        <f aca="false">AE6315+ROW()*0.000000001</f>
        <v>46.9146307667544</v>
      </c>
    </row>
    <row r="6316" customFormat="false" ht="15" hidden="false" customHeight="false" outlineLevel="0" collapsed="false">
      <c r="A6316" s="0" t="n">
        <v>8</v>
      </c>
      <c r="B6316" s="0" t="n">
        <v>5</v>
      </c>
      <c r="C6316" s="0" t="n">
        <v>8</v>
      </c>
      <c r="D6316" s="0" t="n">
        <v>2</v>
      </c>
      <c r="E6316" s="0" t="n">
        <f aca="false">-1+A6316*0.25</f>
        <v>1</v>
      </c>
      <c r="F6316" s="0" t="n">
        <f aca="false">-1+B6316*0.25</f>
        <v>0.25</v>
      </c>
      <c r="G6316" s="0" t="n">
        <f aca="false">-1+C6316*0.25</f>
        <v>1</v>
      </c>
      <c r="H6316" s="0" t="n">
        <f aca="false">-1+D6316*0.25</f>
        <v>-0.5</v>
      </c>
      <c r="I6316" s="0" t="n">
        <f aca="false">1</f>
        <v>1</v>
      </c>
      <c r="J6316" s="0" t="n">
        <f aca="false">E6316</f>
        <v>1</v>
      </c>
      <c r="K6316" s="0" t="n">
        <f aca="false">F6316</f>
        <v>0.25</v>
      </c>
      <c r="L6316" s="0" t="n">
        <f aca="false">G6316</f>
        <v>1</v>
      </c>
      <c r="M6316" s="0" t="n">
        <f aca="false">H6316</f>
        <v>-0.5</v>
      </c>
      <c r="N6316" s="0" t="n">
        <f aca="false">E6316*F6316</f>
        <v>0.25</v>
      </c>
      <c r="O6316" s="0" t="n">
        <f aca="false">E6316*G6316</f>
        <v>1</v>
      </c>
      <c r="P6316" s="0" t="n">
        <f aca="false">E6316*H6316</f>
        <v>-0.5</v>
      </c>
      <c r="Q6316" s="0" t="n">
        <f aca="false">F6316*G6316</f>
        <v>0.25</v>
      </c>
      <c r="R6316" s="0" t="n">
        <f aca="false">F6316*H6316</f>
        <v>-0.125</v>
      </c>
      <c r="S6316" s="0" t="n">
        <f aca="false">G6316*H6316</f>
        <v>-0.5</v>
      </c>
      <c r="T6316" s="0" t="n">
        <f aca="false">E6316*E6316</f>
        <v>1</v>
      </c>
      <c r="U6316" s="0" t="n">
        <f aca="false">F6316*F6316</f>
        <v>0.0625</v>
      </c>
      <c r="V6316" s="0" t="n">
        <f aca="false">G6316*G6316</f>
        <v>1</v>
      </c>
      <c r="W6316" s="0" t="n">
        <f aca="false">H6316*H6316</f>
        <v>0.25</v>
      </c>
      <c r="X6316" s="0" t="n">
        <f aca="false">SUMPRODUCT(I6316:W6316,_XtX!$B$96:$P$96)</f>
        <v>47.225374634503</v>
      </c>
      <c r="Y6316" s="0" t="n">
        <f aca="false">SUMPRODUCT(MMULT(I6316:W6316,_XtX!$B$78:$P$92),I6316:W6316)</f>
        <v>0.629174661915205</v>
      </c>
      <c r="Z6316" s="0" t="n">
        <f aca="false">04_回帰ANOVA!$K$19*04_回帰ANOVA!$K$14*SQRT(1+Y6316)</f>
        <v>1.66372758058297</v>
      </c>
      <c r="AA6316" s="0" t="n">
        <f aca="false">X6316-Z6316</f>
        <v>45.56164705392</v>
      </c>
      <c r="AB6316" s="0" t="n">
        <f aca="false">X6316+Z6316</f>
        <v>48.8891022150859</v>
      </c>
      <c r="AC6316" s="54" t="b">
        <f aca="false">AND(E6316&gt;=01_因子設定!$L$5-0.000000001,E6316&lt;=01_因子設定!$M$5+0.000000001,F6316&gt;=01_因子設定!$L$6-0.000000001,F6316&lt;=01_因子設定!$M$6+0.000000001,G6316&gt;=01_因子設定!$L$7-0.000000001,G6316&lt;=01_因子設定!$M$7+0.000000001,H6316&gt;=01_因子設定!$L$8-0.000000001,H6316&lt;=01_因子設定!$M$8+0.000000001,IF(01_因子設定!$B$20="Box-Behnken",E6316^2+F6316^2+G6316^2+H6316^2&lt;=2+0.000000001,TRUE()))</f>
        <v>1</v>
      </c>
      <c r="AD6316" s="55" t="n">
        <f aca="false">IF(AC6316,IF(01_因子設定!$B$13="最大化",AA6316-01_因子設定!$B$14,IF(01_因子設定!$B$13="最小化",01_因子設定!$B$15-AB6316,MIN(AA6316-01_因子設定!$B$14,01_因子設定!$B$15-AB6316))),-1E+030)</f>
        <v>-0.938352946080009</v>
      </c>
      <c r="AE6316" s="55" t="n">
        <f aca="false">IF(AC6316,IF(01_因子設定!$B$13="最大化",X6316,IF(01_因子設定!$B$13="最小化",-X6316,-ABS(X6316-01_因子設定!$B$16))),-1E+030)</f>
        <v>47.225374634503</v>
      </c>
      <c r="AF6316" s="55" t="n">
        <f aca="false">AD6316+ROW()*0.000000001</f>
        <v>-0.938346630080009</v>
      </c>
      <c r="AG6316" s="55" t="n">
        <f aca="false">AE6316+ROW()*0.000000001</f>
        <v>47.225380950503</v>
      </c>
    </row>
    <row r="6317" customFormat="false" ht="15" hidden="false" customHeight="false" outlineLevel="0" collapsed="false">
      <c r="A6317" s="0" t="n">
        <v>8</v>
      </c>
      <c r="B6317" s="0" t="n">
        <v>5</v>
      </c>
      <c r="C6317" s="0" t="n">
        <v>8</v>
      </c>
      <c r="D6317" s="0" t="n">
        <v>3</v>
      </c>
      <c r="E6317" s="0" t="n">
        <f aca="false">-1+A6317*0.25</f>
        <v>1</v>
      </c>
      <c r="F6317" s="0" t="n">
        <f aca="false">-1+B6317*0.25</f>
        <v>0.25</v>
      </c>
      <c r="G6317" s="0" t="n">
        <f aca="false">-1+C6317*0.25</f>
        <v>1</v>
      </c>
      <c r="H6317" s="0" t="n">
        <f aca="false">-1+D6317*0.25</f>
        <v>-0.25</v>
      </c>
      <c r="I6317" s="0" t="n">
        <f aca="false">1</f>
        <v>1</v>
      </c>
      <c r="J6317" s="0" t="n">
        <f aca="false">E6317</f>
        <v>1</v>
      </c>
      <c r="K6317" s="0" t="n">
        <f aca="false">F6317</f>
        <v>0.25</v>
      </c>
      <c r="L6317" s="0" t="n">
        <f aca="false">G6317</f>
        <v>1</v>
      </c>
      <c r="M6317" s="0" t="n">
        <f aca="false">H6317</f>
        <v>-0.25</v>
      </c>
      <c r="N6317" s="0" t="n">
        <f aca="false">E6317*F6317</f>
        <v>0.25</v>
      </c>
      <c r="O6317" s="0" t="n">
        <f aca="false">E6317*G6317</f>
        <v>1</v>
      </c>
      <c r="P6317" s="0" t="n">
        <f aca="false">E6317*H6317</f>
        <v>-0.25</v>
      </c>
      <c r="Q6317" s="0" t="n">
        <f aca="false">F6317*G6317</f>
        <v>0.25</v>
      </c>
      <c r="R6317" s="0" t="n">
        <f aca="false">F6317*H6317</f>
        <v>-0.0625</v>
      </c>
      <c r="S6317" s="0" t="n">
        <f aca="false">G6317*H6317</f>
        <v>-0.25</v>
      </c>
      <c r="T6317" s="0" t="n">
        <f aca="false">E6317*E6317</f>
        <v>1</v>
      </c>
      <c r="U6317" s="0" t="n">
        <f aca="false">F6317*F6317</f>
        <v>0.0625</v>
      </c>
      <c r="V6317" s="0" t="n">
        <f aca="false">G6317*G6317</f>
        <v>1</v>
      </c>
      <c r="W6317" s="0" t="n">
        <f aca="false">H6317*H6317</f>
        <v>0.0625</v>
      </c>
      <c r="X6317" s="0" t="n">
        <f aca="false">SUMPRODUCT(I6317:W6317,_XtX!$B$96:$P$96)</f>
        <v>47.4883177997076</v>
      </c>
      <c r="Y6317" s="0" t="n">
        <f aca="false">SUMPRODUCT(MMULT(I6317:W6317,_XtX!$B$78:$P$92),I6317:W6317)</f>
        <v>0.670040376005117</v>
      </c>
      <c r="Z6317" s="0" t="n">
        <f aca="false">04_回帰ANOVA!$K$19*04_回帰ANOVA!$K$14*SQRT(1+Y6317)</f>
        <v>1.68446456039992</v>
      </c>
      <c r="AA6317" s="0" t="n">
        <f aca="false">X6317-Z6317</f>
        <v>45.8038532393077</v>
      </c>
      <c r="AB6317" s="0" t="n">
        <f aca="false">X6317+Z6317</f>
        <v>49.1727823601076</v>
      </c>
      <c r="AC6317" s="54" t="b">
        <f aca="false">AND(E6317&gt;=01_因子設定!$L$5-0.000000001,E6317&lt;=01_因子設定!$M$5+0.000000001,F6317&gt;=01_因子設定!$L$6-0.000000001,F6317&lt;=01_因子設定!$M$6+0.000000001,G6317&gt;=01_因子設定!$L$7-0.000000001,G6317&lt;=01_因子設定!$M$7+0.000000001,H6317&gt;=01_因子設定!$L$8-0.000000001,H6317&lt;=01_因子設定!$M$8+0.000000001,IF(01_因子設定!$B$20="Box-Behnken",E6317^2+F6317^2+G6317^2+H6317^2&lt;=2+0.000000001,TRUE()))</f>
        <v>1</v>
      </c>
      <c r="AD6317" s="55" t="n">
        <f aca="false">IF(AC6317,IF(01_因子設定!$B$13="最大化",AA6317-01_因子設定!$B$14,IF(01_因子設定!$B$13="最小化",01_因子設定!$B$15-AB6317,MIN(AA6317-01_因子設定!$B$14,01_因子設定!$B$15-AB6317))),-1E+030)</f>
        <v>-0.696146760692287</v>
      </c>
      <c r="AE6317" s="55" t="n">
        <f aca="false">IF(AC6317,IF(01_因子設定!$B$13="最大化",X6317,IF(01_因子設定!$B$13="最小化",-X6317,-ABS(X6317-01_因子設定!$B$16))),-1E+030)</f>
        <v>47.4883177997076</v>
      </c>
      <c r="AF6317" s="55" t="n">
        <f aca="false">AD6317+ROW()*0.000000001</f>
        <v>-0.696140443692287</v>
      </c>
      <c r="AG6317" s="55" t="n">
        <f aca="false">AE6317+ROW()*0.000000001</f>
        <v>47.4883241167076</v>
      </c>
    </row>
    <row r="6318" customFormat="false" ht="15" hidden="false" customHeight="false" outlineLevel="0" collapsed="false">
      <c r="A6318" s="0" t="n">
        <v>8</v>
      </c>
      <c r="B6318" s="0" t="n">
        <v>5</v>
      </c>
      <c r="C6318" s="0" t="n">
        <v>8</v>
      </c>
      <c r="D6318" s="0" t="n">
        <v>4</v>
      </c>
      <c r="E6318" s="0" t="n">
        <f aca="false">-1+A6318*0.25</f>
        <v>1</v>
      </c>
      <c r="F6318" s="0" t="n">
        <f aca="false">-1+B6318*0.25</f>
        <v>0.25</v>
      </c>
      <c r="G6318" s="0" t="n">
        <f aca="false">-1+C6318*0.25</f>
        <v>1</v>
      </c>
      <c r="H6318" s="0" t="n">
        <f aca="false">-1+D6318*0.25</f>
        <v>0</v>
      </c>
      <c r="I6318" s="0" t="n">
        <f aca="false">1</f>
        <v>1</v>
      </c>
      <c r="J6318" s="0" t="n">
        <f aca="false">E6318</f>
        <v>1</v>
      </c>
      <c r="K6318" s="0" t="n">
        <f aca="false">F6318</f>
        <v>0.25</v>
      </c>
      <c r="L6318" s="0" t="n">
        <f aca="false">G6318</f>
        <v>1</v>
      </c>
      <c r="M6318" s="0" t="n">
        <f aca="false">H6318</f>
        <v>0</v>
      </c>
      <c r="N6318" s="0" t="n">
        <f aca="false">E6318*F6318</f>
        <v>0.25</v>
      </c>
      <c r="O6318" s="0" t="n">
        <f aca="false">E6318*G6318</f>
        <v>1</v>
      </c>
      <c r="P6318" s="0" t="n">
        <f aca="false">E6318*H6318</f>
        <v>0</v>
      </c>
      <c r="Q6318" s="0" t="n">
        <f aca="false">F6318*G6318</f>
        <v>0.25</v>
      </c>
      <c r="R6318" s="0" t="n">
        <f aca="false">F6318*H6318</f>
        <v>0</v>
      </c>
      <c r="S6318" s="0" t="n">
        <f aca="false">G6318*H6318</f>
        <v>0</v>
      </c>
      <c r="T6318" s="0" t="n">
        <f aca="false">E6318*E6318</f>
        <v>1</v>
      </c>
      <c r="U6318" s="0" t="n">
        <f aca="false">F6318*F6318</f>
        <v>0.0625</v>
      </c>
      <c r="V6318" s="0" t="n">
        <f aca="false">G6318*G6318</f>
        <v>1</v>
      </c>
      <c r="W6318" s="0" t="n">
        <f aca="false">H6318*H6318</f>
        <v>0</v>
      </c>
      <c r="X6318" s="0" t="n">
        <f aca="false">SUMPRODUCT(I6318:W6318,_XtX!$B$96:$P$96)</f>
        <v>47.7034539473685</v>
      </c>
      <c r="Y6318" s="0" t="n">
        <f aca="false">SUMPRODUCT(MMULT(I6318:W6318,_XtX!$B$78:$P$92),I6318:W6318)</f>
        <v>0.689692982456141</v>
      </c>
      <c r="Z6318" s="0" t="n">
        <f aca="false">04_回帰ANOVA!$K$19*04_回帰ANOVA!$K$14*SQRT(1+Y6318)</f>
        <v>1.69434674594998</v>
      </c>
      <c r="AA6318" s="0" t="n">
        <f aca="false">X6318-Z6318</f>
        <v>46.0091072014185</v>
      </c>
      <c r="AB6318" s="0" t="n">
        <f aca="false">X6318+Z6318</f>
        <v>49.3978006933184</v>
      </c>
      <c r="AC6318" s="54" t="b">
        <f aca="false">AND(E6318&gt;=01_因子設定!$L$5-0.000000001,E6318&lt;=01_因子設定!$M$5+0.000000001,F6318&gt;=01_因子設定!$L$6-0.000000001,F6318&lt;=01_因子設定!$M$6+0.000000001,G6318&gt;=01_因子設定!$L$7-0.000000001,G6318&lt;=01_因子設定!$M$7+0.000000001,H6318&gt;=01_因子設定!$L$8-0.000000001,H6318&lt;=01_因子設定!$M$8+0.000000001,IF(01_因子設定!$B$20="Box-Behnken",E6318^2+F6318^2+G6318^2+H6318^2&lt;=2+0.000000001,TRUE()))</f>
        <v>1</v>
      </c>
      <c r="AD6318" s="55" t="n">
        <f aca="false">IF(AC6318,IF(01_因子設定!$B$13="最大化",AA6318-01_因子設定!$B$14,IF(01_因子設定!$B$13="最小化",01_因子設定!$B$15-AB6318,MIN(AA6318-01_因子設定!$B$14,01_因子設定!$B$15-AB6318))),-1E+030)</f>
        <v>-0.490892798581534</v>
      </c>
      <c r="AE6318" s="55" t="n">
        <f aca="false">IF(AC6318,IF(01_因子設定!$B$13="最大化",X6318,IF(01_因子設定!$B$13="最小化",-X6318,-ABS(X6318-01_因子設定!$B$16))),-1E+030)</f>
        <v>47.7034539473685</v>
      </c>
      <c r="AF6318" s="55" t="n">
        <f aca="false">AD6318+ROW()*0.000000001</f>
        <v>-0.490886480581534</v>
      </c>
      <c r="AG6318" s="55" t="n">
        <f aca="false">AE6318+ROW()*0.000000001</f>
        <v>47.7034602653685</v>
      </c>
    </row>
    <row r="6319" customFormat="false" ht="15" hidden="false" customHeight="false" outlineLevel="0" collapsed="false">
      <c r="A6319" s="0" t="n">
        <v>8</v>
      </c>
      <c r="B6319" s="0" t="n">
        <v>5</v>
      </c>
      <c r="C6319" s="0" t="n">
        <v>8</v>
      </c>
      <c r="D6319" s="0" t="n">
        <v>5</v>
      </c>
      <c r="E6319" s="0" t="n">
        <f aca="false">-1+A6319*0.25</f>
        <v>1</v>
      </c>
      <c r="F6319" s="0" t="n">
        <f aca="false">-1+B6319*0.25</f>
        <v>0.25</v>
      </c>
      <c r="G6319" s="0" t="n">
        <f aca="false">-1+C6319*0.25</f>
        <v>1</v>
      </c>
      <c r="H6319" s="0" t="n">
        <f aca="false">-1+D6319*0.25</f>
        <v>0.25</v>
      </c>
      <c r="I6319" s="0" t="n">
        <f aca="false">1</f>
        <v>1</v>
      </c>
      <c r="J6319" s="0" t="n">
        <f aca="false">E6319</f>
        <v>1</v>
      </c>
      <c r="K6319" s="0" t="n">
        <f aca="false">F6319</f>
        <v>0.25</v>
      </c>
      <c r="L6319" s="0" t="n">
        <f aca="false">G6319</f>
        <v>1</v>
      </c>
      <c r="M6319" s="0" t="n">
        <f aca="false">H6319</f>
        <v>0.25</v>
      </c>
      <c r="N6319" s="0" t="n">
        <f aca="false">E6319*F6319</f>
        <v>0.25</v>
      </c>
      <c r="O6319" s="0" t="n">
        <f aca="false">E6319*G6319</f>
        <v>1</v>
      </c>
      <c r="P6319" s="0" t="n">
        <f aca="false">E6319*H6319</f>
        <v>0.25</v>
      </c>
      <c r="Q6319" s="0" t="n">
        <f aca="false">F6319*G6319</f>
        <v>0.25</v>
      </c>
      <c r="R6319" s="0" t="n">
        <f aca="false">F6319*H6319</f>
        <v>0.0625</v>
      </c>
      <c r="S6319" s="0" t="n">
        <f aca="false">G6319*H6319</f>
        <v>0.25</v>
      </c>
      <c r="T6319" s="0" t="n">
        <f aca="false">E6319*E6319</f>
        <v>1</v>
      </c>
      <c r="U6319" s="0" t="n">
        <f aca="false">F6319*F6319</f>
        <v>0.0625</v>
      </c>
      <c r="V6319" s="0" t="n">
        <f aca="false">G6319*G6319</f>
        <v>1</v>
      </c>
      <c r="W6319" s="0" t="n">
        <f aca="false">H6319*H6319</f>
        <v>0.0625</v>
      </c>
      <c r="X6319" s="0" t="n">
        <f aca="false">SUMPRODUCT(I6319:W6319,_XtX!$B$96:$P$96)</f>
        <v>47.8707830774854</v>
      </c>
      <c r="Y6319" s="0" t="n">
        <f aca="false">SUMPRODUCT(MMULT(I6319:W6319,_XtX!$B$78:$P$92),I6319:W6319)</f>
        <v>0.670040376005117</v>
      </c>
      <c r="Z6319" s="0" t="n">
        <f aca="false">04_回帰ANOVA!$K$19*04_回帰ANOVA!$K$14*SQRT(1+Y6319)</f>
        <v>1.68446456039992</v>
      </c>
      <c r="AA6319" s="0" t="n">
        <f aca="false">X6319-Z6319</f>
        <v>46.1863185170855</v>
      </c>
      <c r="AB6319" s="0" t="n">
        <f aca="false">X6319+Z6319</f>
        <v>49.5552476378853</v>
      </c>
      <c r="AC6319" s="54" t="b">
        <f aca="false">AND(E6319&gt;=01_因子設定!$L$5-0.000000001,E6319&lt;=01_因子設定!$M$5+0.000000001,F6319&gt;=01_因子設定!$L$6-0.000000001,F6319&lt;=01_因子設定!$M$6+0.000000001,G6319&gt;=01_因子設定!$L$7-0.000000001,G6319&lt;=01_因子設定!$M$7+0.000000001,H6319&gt;=01_因子設定!$L$8-0.000000001,H6319&lt;=01_因子設定!$M$8+0.000000001,IF(01_因子設定!$B$20="Box-Behnken",E6319^2+F6319^2+G6319^2+H6319^2&lt;=2+0.000000001,TRUE()))</f>
        <v>1</v>
      </c>
      <c r="AD6319" s="55" t="n">
        <f aca="false">IF(AC6319,IF(01_因子設定!$B$13="最大化",AA6319-01_因子設定!$B$14,IF(01_因子設定!$B$13="最小化",01_因子設定!$B$15-AB6319,MIN(AA6319-01_因子設定!$B$14,01_因子設定!$B$15-AB6319))),-1E+030)</f>
        <v>-0.313681482914504</v>
      </c>
      <c r="AE6319" s="55" t="n">
        <f aca="false">IF(AC6319,IF(01_因子設定!$B$13="最大化",X6319,IF(01_因子設定!$B$13="最小化",-X6319,-ABS(X6319-01_因子設定!$B$16))),-1E+030)</f>
        <v>47.8707830774854</v>
      </c>
      <c r="AF6319" s="55" t="n">
        <f aca="false">AD6319+ROW()*0.000000001</f>
        <v>-0.313675163914504</v>
      </c>
      <c r="AG6319" s="55" t="n">
        <f aca="false">AE6319+ROW()*0.000000001</f>
        <v>47.8707893964854</v>
      </c>
    </row>
    <row r="6320" customFormat="false" ht="15" hidden="false" customHeight="false" outlineLevel="0" collapsed="false">
      <c r="A6320" s="0" t="n">
        <v>8</v>
      </c>
      <c r="B6320" s="0" t="n">
        <v>5</v>
      </c>
      <c r="C6320" s="0" t="n">
        <v>8</v>
      </c>
      <c r="D6320" s="0" t="n">
        <v>6</v>
      </c>
      <c r="E6320" s="0" t="n">
        <f aca="false">-1+A6320*0.25</f>
        <v>1</v>
      </c>
      <c r="F6320" s="0" t="n">
        <f aca="false">-1+B6320*0.25</f>
        <v>0.25</v>
      </c>
      <c r="G6320" s="0" t="n">
        <f aca="false">-1+C6320*0.25</f>
        <v>1</v>
      </c>
      <c r="H6320" s="0" t="n">
        <f aca="false">-1+D6320*0.25</f>
        <v>0.5</v>
      </c>
      <c r="I6320" s="0" t="n">
        <f aca="false">1</f>
        <v>1</v>
      </c>
      <c r="J6320" s="0" t="n">
        <f aca="false">E6320</f>
        <v>1</v>
      </c>
      <c r="K6320" s="0" t="n">
        <f aca="false">F6320</f>
        <v>0.25</v>
      </c>
      <c r="L6320" s="0" t="n">
        <f aca="false">G6320</f>
        <v>1</v>
      </c>
      <c r="M6320" s="0" t="n">
        <f aca="false">H6320</f>
        <v>0.5</v>
      </c>
      <c r="N6320" s="0" t="n">
        <f aca="false">E6320*F6320</f>
        <v>0.25</v>
      </c>
      <c r="O6320" s="0" t="n">
        <f aca="false">E6320*G6320</f>
        <v>1</v>
      </c>
      <c r="P6320" s="0" t="n">
        <f aca="false">E6320*H6320</f>
        <v>0.5</v>
      </c>
      <c r="Q6320" s="0" t="n">
        <f aca="false">F6320*G6320</f>
        <v>0.25</v>
      </c>
      <c r="R6320" s="0" t="n">
        <f aca="false">F6320*H6320</f>
        <v>0.125</v>
      </c>
      <c r="S6320" s="0" t="n">
        <f aca="false">G6320*H6320</f>
        <v>0.5</v>
      </c>
      <c r="T6320" s="0" t="n">
        <f aca="false">E6320*E6320</f>
        <v>1</v>
      </c>
      <c r="U6320" s="0" t="n">
        <f aca="false">F6320*F6320</f>
        <v>0.0625</v>
      </c>
      <c r="V6320" s="0" t="n">
        <f aca="false">G6320*G6320</f>
        <v>1</v>
      </c>
      <c r="W6320" s="0" t="n">
        <f aca="false">H6320*H6320</f>
        <v>0.25</v>
      </c>
      <c r="X6320" s="0" t="n">
        <f aca="false">SUMPRODUCT(I6320:W6320,_XtX!$B$96:$P$96)</f>
        <v>47.9903051900585</v>
      </c>
      <c r="Y6320" s="0" t="n">
        <f aca="false">SUMPRODUCT(MMULT(I6320:W6320,_XtX!$B$78:$P$92),I6320:W6320)</f>
        <v>0.629174661915205</v>
      </c>
      <c r="Z6320" s="0" t="n">
        <f aca="false">04_回帰ANOVA!$K$19*04_回帰ANOVA!$K$14*SQRT(1+Y6320)</f>
        <v>1.66372758058297</v>
      </c>
      <c r="AA6320" s="0" t="n">
        <f aca="false">X6320-Z6320</f>
        <v>46.3265776094755</v>
      </c>
      <c r="AB6320" s="0" t="n">
        <f aca="false">X6320+Z6320</f>
        <v>49.6540327706415</v>
      </c>
      <c r="AC6320" s="54" t="b">
        <f aca="false">AND(E6320&gt;=01_因子設定!$L$5-0.000000001,E6320&lt;=01_因子設定!$M$5+0.000000001,F6320&gt;=01_因子設定!$L$6-0.000000001,F6320&lt;=01_因子設定!$M$6+0.000000001,G6320&gt;=01_因子設定!$L$7-0.000000001,G6320&lt;=01_因子設定!$M$7+0.000000001,H6320&gt;=01_因子設定!$L$8-0.000000001,H6320&lt;=01_因子設定!$M$8+0.000000001,IF(01_因子設定!$B$20="Box-Behnken",E6320^2+F6320^2+G6320^2+H6320^2&lt;=2+0.000000001,TRUE()))</f>
        <v>1</v>
      </c>
      <c r="AD6320" s="55" t="n">
        <f aca="false">IF(AC6320,IF(01_因子設定!$B$13="最大化",AA6320-01_因子設定!$B$14,IF(01_因子設定!$B$13="最小化",01_因子設定!$B$15-AB6320,MIN(AA6320-01_因子設定!$B$14,01_因子設定!$B$15-AB6320))),-1E+030)</f>
        <v>-0.173422390524458</v>
      </c>
      <c r="AE6320" s="55" t="n">
        <f aca="false">IF(AC6320,IF(01_因子設定!$B$13="最大化",X6320,IF(01_因子設定!$B$13="最小化",-X6320,-ABS(X6320-01_因子設定!$B$16))),-1E+030)</f>
        <v>47.9903051900585</v>
      </c>
      <c r="AF6320" s="55" t="n">
        <f aca="false">AD6320+ROW()*0.000000001</f>
        <v>-0.173416070524458</v>
      </c>
      <c r="AG6320" s="55" t="n">
        <f aca="false">AE6320+ROW()*0.000000001</f>
        <v>47.9903115100585</v>
      </c>
    </row>
    <row r="6321" customFormat="false" ht="15" hidden="false" customHeight="false" outlineLevel="0" collapsed="false">
      <c r="A6321" s="0" t="n">
        <v>8</v>
      </c>
      <c r="B6321" s="0" t="n">
        <v>5</v>
      </c>
      <c r="C6321" s="0" t="n">
        <v>8</v>
      </c>
      <c r="D6321" s="0" t="n">
        <v>7</v>
      </c>
      <c r="E6321" s="0" t="n">
        <f aca="false">-1+A6321*0.25</f>
        <v>1</v>
      </c>
      <c r="F6321" s="0" t="n">
        <f aca="false">-1+B6321*0.25</f>
        <v>0.25</v>
      </c>
      <c r="G6321" s="0" t="n">
        <f aca="false">-1+C6321*0.25</f>
        <v>1</v>
      </c>
      <c r="H6321" s="0" t="n">
        <f aca="false">-1+D6321*0.25</f>
        <v>0.75</v>
      </c>
      <c r="I6321" s="0" t="n">
        <f aca="false">1</f>
        <v>1</v>
      </c>
      <c r="J6321" s="0" t="n">
        <f aca="false">E6321</f>
        <v>1</v>
      </c>
      <c r="K6321" s="0" t="n">
        <f aca="false">F6321</f>
        <v>0.25</v>
      </c>
      <c r="L6321" s="0" t="n">
        <f aca="false">G6321</f>
        <v>1</v>
      </c>
      <c r="M6321" s="0" t="n">
        <f aca="false">H6321</f>
        <v>0.75</v>
      </c>
      <c r="N6321" s="0" t="n">
        <f aca="false">E6321*F6321</f>
        <v>0.25</v>
      </c>
      <c r="O6321" s="0" t="n">
        <f aca="false">E6321*G6321</f>
        <v>1</v>
      </c>
      <c r="P6321" s="0" t="n">
        <f aca="false">E6321*H6321</f>
        <v>0.75</v>
      </c>
      <c r="Q6321" s="0" t="n">
        <f aca="false">F6321*G6321</f>
        <v>0.25</v>
      </c>
      <c r="R6321" s="0" t="n">
        <f aca="false">F6321*H6321</f>
        <v>0.1875</v>
      </c>
      <c r="S6321" s="0" t="n">
        <f aca="false">G6321*H6321</f>
        <v>0.75</v>
      </c>
      <c r="T6321" s="0" t="n">
        <f aca="false">E6321*E6321</f>
        <v>1</v>
      </c>
      <c r="U6321" s="0" t="n">
        <f aca="false">F6321*F6321</f>
        <v>0.0625</v>
      </c>
      <c r="V6321" s="0" t="n">
        <f aca="false">G6321*G6321</f>
        <v>1</v>
      </c>
      <c r="W6321" s="0" t="n">
        <f aca="false">H6321*H6321</f>
        <v>0.5625</v>
      </c>
      <c r="X6321" s="0" t="n">
        <f aca="false">SUMPRODUCT(I6321:W6321,_XtX!$B$96:$P$96)</f>
        <v>48.0620202850878</v>
      </c>
      <c r="Y6321" s="0" t="n">
        <f aca="false">SUMPRODUCT(MMULT(I6321:W6321,_XtX!$B$78:$P$92),I6321:W6321)</f>
        <v>0.621372155975877</v>
      </c>
      <c r="Z6321" s="0" t="n">
        <f aca="false">04_回帰ANOVA!$K$19*04_回帰ANOVA!$K$14*SQRT(1+Y6321)</f>
        <v>1.65973880499872</v>
      </c>
      <c r="AA6321" s="0" t="n">
        <f aca="false">X6321-Z6321</f>
        <v>46.4022814800891</v>
      </c>
      <c r="AB6321" s="0" t="n">
        <f aca="false">X6321+Z6321</f>
        <v>49.7217590900865</v>
      </c>
      <c r="AC6321" s="54" t="b">
        <f aca="false">AND(E6321&gt;=01_因子設定!$L$5-0.000000001,E6321&lt;=01_因子設定!$M$5+0.000000001,F6321&gt;=01_因子設定!$L$6-0.000000001,F6321&lt;=01_因子設定!$M$6+0.000000001,G6321&gt;=01_因子設定!$L$7-0.000000001,G6321&lt;=01_因子設定!$M$7+0.000000001,H6321&gt;=01_因子設定!$L$8-0.000000001,H6321&lt;=01_因子設定!$M$8+0.000000001,IF(01_因子設定!$B$20="Box-Behnken",E6321^2+F6321^2+G6321^2+H6321^2&lt;=2+0.000000001,TRUE()))</f>
        <v>1</v>
      </c>
      <c r="AD6321" s="55" t="n">
        <f aca="false">IF(AC6321,IF(01_因子設定!$B$13="最大化",AA6321-01_因子設定!$B$14,IF(01_因子設定!$B$13="最小化",01_因子設定!$B$15-AB6321,MIN(AA6321-01_因子設定!$B$14,01_因子設定!$B$15-AB6321))),-1E+030)</f>
        <v>-0.0977185199109485</v>
      </c>
      <c r="AE6321" s="55" t="n">
        <f aca="false">IF(AC6321,IF(01_因子設定!$B$13="最大化",X6321,IF(01_因子設定!$B$13="最小化",-X6321,-ABS(X6321-01_因子設定!$B$16))),-1E+030)</f>
        <v>48.0620202850878</v>
      </c>
      <c r="AF6321" s="55" t="n">
        <f aca="false">AD6321+ROW()*0.000000001</f>
        <v>-0.0977121989109485</v>
      </c>
      <c r="AG6321" s="55" t="n">
        <f aca="false">AE6321+ROW()*0.000000001</f>
        <v>48.0620266060878</v>
      </c>
    </row>
    <row r="6322" customFormat="false" ht="15" hidden="false" customHeight="false" outlineLevel="0" collapsed="false">
      <c r="A6322" s="0" t="n">
        <v>8</v>
      </c>
      <c r="B6322" s="0" t="n">
        <v>5</v>
      </c>
      <c r="C6322" s="0" t="n">
        <v>8</v>
      </c>
      <c r="D6322" s="0" t="n">
        <v>8</v>
      </c>
      <c r="E6322" s="0" t="n">
        <f aca="false">-1+A6322*0.25</f>
        <v>1</v>
      </c>
      <c r="F6322" s="0" t="n">
        <f aca="false">-1+B6322*0.25</f>
        <v>0.25</v>
      </c>
      <c r="G6322" s="0" t="n">
        <f aca="false">-1+C6322*0.25</f>
        <v>1</v>
      </c>
      <c r="H6322" s="0" t="n">
        <f aca="false">-1+D6322*0.25</f>
        <v>1</v>
      </c>
      <c r="I6322" s="0" t="n">
        <f aca="false">1</f>
        <v>1</v>
      </c>
      <c r="J6322" s="0" t="n">
        <f aca="false">E6322</f>
        <v>1</v>
      </c>
      <c r="K6322" s="0" t="n">
        <f aca="false">F6322</f>
        <v>0.25</v>
      </c>
      <c r="L6322" s="0" t="n">
        <f aca="false">G6322</f>
        <v>1</v>
      </c>
      <c r="M6322" s="0" t="n">
        <f aca="false">H6322</f>
        <v>1</v>
      </c>
      <c r="N6322" s="0" t="n">
        <f aca="false">E6322*F6322</f>
        <v>0.25</v>
      </c>
      <c r="O6322" s="0" t="n">
        <f aca="false">E6322*G6322</f>
        <v>1</v>
      </c>
      <c r="P6322" s="0" t="n">
        <f aca="false">E6322*H6322</f>
        <v>1</v>
      </c>
      <c r="Q6322" s="0" t="n">
        <f aca="false">F6322*G6322</f>
        <v>0.25</v>
      </c>
      <c r="R6322" s="0" t="n">
        <f aca="false">F6322*H6322</f>
        <v>0.25</v>
      </c>
      <c r="S6322" s="0" t="n">
        <f aca="false">G6322*H6322</f>
        <v>1</v>
      </c>
      <c r="T6322" s="0" t="n">
        <f aca="false">E6322*E6322</f>
        <v>1</v>
      </c>
      <c r="U6322" s="0" t="n">
        <f aca="false">F6322*F6322</f>
        <v>0.0625</v>
      </c>
      <c r="V6322" s="0" t="n">
        <f aca="false">G6322*G6322</f>
        <v>1</v>
      </c>
      <c r="W6322" s="0" t="n">
        <f aca="false">H6322*H6322</f>
        <v>1</v>
      </c>
      <c r="X6322" s="0" t="n">
        <f aca="false">SUMPRODUCT(I6322:W6322,_XtX!$B$96:$P$96)</f>
        <v>48.0859283625732</v>
      </c>
      <c r="Y6322" s="0" t="n">
        <f aca="false">SUMPRODUCT(MMULT(I6322:W6322,_XtX!$B$78:$P$92),I6322:W6322)</f>
        <v>0.737093384502924</v>
      </c>
      <c r="Z6322" s="0" t="n">
        <f aca="false">04_回帰ANOVA!$K$19*04_回帰ANOVA!$K$14*SQRT(1+Y6322)</f>
        <v>1.71794784853551</v>
      </c>
      <c r="AA6322" s="0" t="n">
        <f aca="false">X6322-Z6322</f>
        <v>46.3679805140377</v>
      </c>
      <c r="AB6322" s="0" t="n">
        <f aca="false">X6322+Z6322</f>
        <v>49.8038762111087</v>
      </c>
      <c r="AC6322" s="54" t="b">
        <f aca="false">AND(E6322&gt;=01_因子設定!$L$5-0.000000001,E6322&lt;=01_因子設定!$M$5+0.000000001,F6322&gt;=01_因子設定!$L$6-0.000000001,F6322&lt;=01_因子設定!$M$6+0.000000001,G6322&gt;=01_因子設定!$L$7-0.000000001,G6322&lt;=01_因子設定!$M$7+0.000000001,H6322&gt;=01_因子設定!$L$8-0.000000001,H6322&lt;=01_因子設定!$M$8+0.000000001,IF(01_因子設定!$B$20="Box-Behnken",E6322^2+F6322^2+G6322^2+H6322^2&lt;=2+0.000000001,TRUE()))</f>
        <v>1</v>
      </c>
      <c r="AD6322" s="55" t="n">
        <f aca="false">IF(AC6322,IF(01_因子設定!$B$13="最大化",AA6322-01_因子設定!$B$14,IF(01_因子設定!$B$13="最小化",01_因子設定!$B$15-AB6322,MIN(AA6322-01_因子設定!$B$14,01_因子設定!$B$15-AB6322))),-1E+030)</f>
        <v>-0.132019485962338</v>
      </c>
      <c r="AE6322" s="55" t="n">
        <f aca="false">IF(AC6322,IF(01_因子設定!$B$13="最大化",X6322,IF(01_因子設定!$B$13="最小化",-X6322,-ABS(X6322-01_因子設定!$B$16))),-1E+030)</f>
        <v>48.0859283625732</v>
      </c>
      <c r="AF6322" s="55" t="n">
        <f aca="false">AD6322+ROW()*0.000000001</f>
        <v>-0.132013163962338</v>
      </c>
      <c r="AG6322" s="55" t="n">
        <f aca="false">AE6322+ROW()*0.000000001</f>
        <v>48.0859346845732</v>
      </c>
    </row>
    <row r="6323" customFormat="false" ht="15" hidden="false" customHeight="false" outlineLevel="0" collapsed="false">
      <c r="A6323" s="0" t="n">
        <v>8</v>
      </c>
      <c r="B6323" s="0" t="n">
        <v>6</v>
      </c>
      <c r="C6323" s="0" t="n">
        <v>0</v>
      </c>
      <c r="D6323" s="0" t="n">
        <v>0</v>
      </c>
      <c r="E6323" s="0" t="n">
        <f aca="false">-1+A6323*0.25</f>
        <v>1</v>
      </c>
      <c r="F6323" s="0" t="n">
        <f aca="false">-1+B6323*0.25</f>
        <v>0.5</v>
      </c>
      <c r="G6323" s="0" t="n">
        <f aca="false">-1+C6323*0.25</f>
        <v>-1</v>
      </c>
      <c r="H6323" s="0" t="n">
        <f aca="false">-1+D6323*0.25</f>
        <v>-1</v>
      </c>
      <c r="I6323" s="0" t="n">
        <f aca="false">1</f>
        <v>1</v>
      </c>
      <c r="J6323" s="0" t="n">
        <f aca="false">E6323</f>
        <v>1</v>
      </c>
      <c r="K6323" s="0" t="n">
        <f aca="false">F6323</f>
        <v>0.5</v>
      </c>
      <c r="L6323" s="0" t="n">
        <f aca="false">G6323</f>
        <v>-1</v>
      </c>
      <c r="M6323" s="0" t="n">
        <f aca="false">H6323</f>
        <v>-1</v>
      </c>
      <c r="N6323" s="0" t="n">
        <f aca="false">E6323*F6323</f>
        <v>0.5</v>
      </c>
      <c r="O6323" s="0" t="n">
        <f aca="false">E6323*G6323</f>
        <v>-1</v>
      </c>
      <c r="P6323" s="0" t="n">
        <f aca="false">E6323*H6323</f>
        <v>-1</v>
      </c>
      <c r="Q6323" s="0" t="n">
        <f aca="false">F6323*G6323</f>
        <v>-0.5</v>
      </c>
      <c r="R6323" s="0" t="n">
        <f aca="false">F6323*H6323</f>
        <v>-0.5</v>
      </c>
      <c r="S6323" s="0" t="n">
        <f aca="false">G6323*H6323</f>
        <v>1</v>
      </c>
      <c r="T6323" s="0" t="n">
        <f aca="false">E6323*E6323</f>
        <v>1</v>
      </c>
      <c r="U6323" s="0" t="n">
        <f aca="false">F6323*F6323</f>
        <v>0.25</v>
      </c>
      <c r="V6323" s="0" t="n">
        <f aca="false">G6323*G6323</f>
        <v>1</v>
      </c>
      <c r="W6323" s="0" t="n">
        <f aca="false">H6323*H6323</f>
        <v>1</v>
      </c>
      <c r="X6323" s="0" t="n">
        <f aca="false">SUMPRODUCT(I6323:W6323,_XtX!$B$96:$P$96)</f>
        <v>46.6038011695907</v>
      </c>
      <c r="Y6323" s="0" t="n">
        <f aca="false">SUMPRODUCT(MMULT(I6323:W6323,_XtX!$B$78:$P$92),I6323:W6323)</f>
        <v>0.667123538011696</v>
      </c>
      <c r="Z6323" s="0" t="n">
        <f aca="false">04_回帰ANOVA!$K$19*04_回帰ANOVA!$K$14*SQRT(1+Y6323)</f>
        <v>1.68299290213005</v>
      </c>
      <c r="AA6323" s="0" t="n">
        <f aca="false">X6323-Z6323</f>
        <v>44.9208082674607</v>
      </c>
      <c r="AB6323" s="0" t="n">
        <f aca="false">X6323+Z6323</f>
        <v>48.2867940717208</v>
      </c>
      <c r="AC6323" s="54" t="b">
        <f aca="false">AND(E6323&gt;=01_因子設定!$L$5-0.000000001,E6323&lt;=01_因子設定!$M$5+0.000000001,F6323&gt;=01_因子設定!$L$6-0.000000001,F6323&lt;=01_因子設定!$M$6+0.000000001,G6323&gt;=01_因子設定!$L$7-0.000000001,G6323&lt;=01_因子設定!$M$7+0.000000001,H6323&gt;=01_因子設定!$L$8-0.000000001,H6323&lt;=01_因子設定!$M$8+0.000000001,IF(01_因子設定!$B$20="Box-Behnken",E6323^2+F6323^2+G6323^2+H6323^2&lt;=2+0.000000001,TRUE()))</f>
        <v>1</v>
      </c>
      <c r="AD6323" s="55" t="n">
        <f aca="false">IF(AC6323,IF(01_因子設定!$B$13="最大化",AA6323-01_因子設定!$B$14,IF(01_因子設定!$B$13="最小化",01_因子設定!$B$15-AB6323,MIN(AA6323-01_因子設定!$B$14,01_因子設定!$B$15-AB6323))),-1E+030)</f>
        <v>-1.57919173253934</v>
      </c>
      <c r="AE6323" s="55" t="n">
        <f aca="false">IF(AC6323,IF(01_因子設定!$B$13="最大化",X6323,IF(01_因子設定!$B$13="最小化",-X6323,-ABS(X6323-01_因子設定!$B$16))),-1E+030)</f>
        <v>46.6038011695907</v>
      </c>
      <c r="AF6323" s="55" t="n">
        <f aca="false">AD6323+ROW()*0.000000001</f>
        <v>-1.57918540953934</v>
      </c>
      <c r="AG6323" s="55" t="n">
        <f aca="false">AE6323+ROW()*0.000000001</f>
        <v>46.6038074925907</v>
      </c>
    </row>
    <row r="6324" customFormat="false" ht="15" hidden="false" customHeight="false" outlineLevel="0" collapsed="false">
      <c r="A6324" s="0" t="n">
        <v>8</v>
      </c>
      <c r="B6324" s="0" t="n">
        <v>6</v>
      </c>
      <c r="C6324" s="0" t="n">
        <v>0</v>
      </c>
      <c r="D6324" s="0" t="n">
        <v>1</v>
      </c>
      <c r="E6324" s="0" t="n">
        <f aca="false">-1+A6324*0.25</f>
        <v>1</v>
      </c>
      <c r="F6324" s="0" t="n">
        <f aca="false">-1+B6324*0.25</f>
        <v>0.5</v>
      </c>
      <c r="G6324" s="0" t="n">
        <f aca="false">-1+C6324*0.25</f>
        <v>-1</v>
      </c>
      <c r="H6324" s="0" t="n">
        <f aca="false">-1+D6324*0.25</f>
        <v>-0.75</v>
      </c>
      <c r="I6324" s="0" t="n">
        <f aca="false">1</f>
        <v>1</v>
      </c>
      <c r="J6324" s="0" t="n">
        <f aca="false">E6324</f>
        <v>1</v>
      </c>
      <c r="K6324" s="0" t="n">
        <f aca="false">F6324</f>
        <v>0.5</v>
      </c>
      <c r="L6324" s="0" t="n">
        <f aca="false">G6324</f>
        <v>-1</v>
      </c>
      <c r="M6324" s="0" t="n">
        <f aca="false">H6324</f>
        <v>-0.75</v>
      </c>
      <c r="N6324" s="0" t="n">
        <f aca="false">E6324*F6324</f>
        <v>0.5</v>
      </c>
      <c r="O6324" s="0" t="n">
        <f aca="false">E6324*G6324</f>
        <v>-1</v>
      </c>
      <c r="P6324" s="0" t="n">
        <f aca="false">E6324*H6324</f>
        <v>-0.75</v>
      </c>
      <c r="Q6324" s="0" t="n">
        <f aca="false">F6324*G6324</f>
        <v>-0.5</v>
      </c>
      <c r="R6324" s="0" t="n">
        <f aca="false">F6324*H6324</f>
        <v>-0.375</v>
      </c>
      <c r="S6324" s="0" t="n">
        <f aca="false">G6324*H6324</f>
        <v>0.75</v>
      </c>
      <c r="T6324" s="0" t="n">
        <f aca="false">E6324*E6324</f>
        <v>1</v>
      </c>
      <c r="U6324" s="0" t="n">
        <f aca="false">F6324*F6324</f>
        <v>0.25</v>
      </c>
      <c r="V6324" s="0" t="n">
        <f aca="false">G6324*G6324</f>
        <v>1</v>
      </c>
      <c r="W6324" s="0" t="n">
        <f aca="false">H6324*H6324</f>
        <v>0.5625</v>
      </c>
      <c r="X6324" s="0" t="n">
        <f aca="false">SUMPRODUCT(I6324:W6324,_XtX!$B$96:$P$96)</f>
        <v>46.8053271198831</v>
      </c>
      <c r="Y6324" s="0" t="n">
        <f aca="false">SUMPRODUCT(MMULT(I6324:W6324,_XtX!$B$78:$P$92),I6324:W6324)</f>
        <v>0.564984237938597</v>
      </c>
      <c r="Z6324" s="0" t="n">
        <f aca="false">04_回帰ANOVA!$K$19*04_回帰ANOVA!$K$14*SQRT(1+Y6324)</f>
        <v>1.63062229734503</v>
      </c>
      <c r="AA6324" s="0" t="n">
        <f aca="false">X6324-Z6324</f>
        <v>45.1747048225381</v>
      </c>
      <c r="AB6324" s="0" t="n">
        <f aca="false">X6324+Z6324</f>
        <v>48.4359494172281</v>
      </c>
      <c r="AC6324" s="54" t="b">
        <f aca="false">AND(E6324&gt;=01_因子設定!$L$5-0.000000001,E6324&lt;=01_因子設定!$M$5+0.000000001,F6324&gt;=01_因子設定!$L$6-0.000000001,F6324&lt;=01_因子設定!$M$6+0.000000001,G6324&gt;=01_因子設定!$L$7-0.000000001,G6324&lt;=01_因子設定!$M$7+0.000000001,H6324&gt;=01_因子設定!$L$8-0.000000001,H6324&lt;=01_因子設定!$M$8+0.000000001,IF(01_因子設定!$B$20="Box-Behnken",E6324^2+F6324^2+G6324^2+H6324^2&lt;=2+0.000000001,TRUE()))</f>
        <v>1</v>
      </c>
      <c r="AD6324" s="55" t="n">
        <f aca="false">IF(AC6324,IF(01_因子設定!$B$13="最大化",AA6324-01_因子設定!$B$14,IF(01_因子設定!$B$13="最小化",01_因子設定!$B$15-AB6324,MIN(AA6324-01_因子設定!$B$14,01_因子設定!$B$15-AB6324))),-1E+030)</f>
        <v>-1.32529517746195</v>
      </c>
      <c r="AE6324" s="55" t="n">
        <f aca="false">IF(AC6324,IF(01_因子設定!$B$13="最大化",X6324,IF(01_因子設定!$B$13="最小化",-X6324,-ABS(X6324-01_因子設定!$B$16))),-1E+030)</f>
        <v>46.8053271198831</v>
      </c>
      <c r="AF6324" s="55" t="n">
        <f aca="false">AD6324+ROW()*0.000000001</f>
        <v>-1.32528885346195</v>
      </c>
      <c r="AG6324" s="55" t="n">
        <f aca="false">AE6324+ROW()*0.000000001</f>
        <v>46.8053334438831</v>
      </c>
    </row>
    <row r="6325" customFormat="false" ht="15" hidden="false" customHeight="false" outlineLevel="0" collapsed="false">
      <c r="A6325" s="0" t="n">
        <v>8</v>
      </c>
      <c r="B6325" s="0" t="n">
        <v>6</v>
      </c>
      <c r="C6325" s="0" t="n">
        <v>0</v>
      </c>
      <c r="D6325" s="0" t="n">
        <v>2</v>
      </c>
      <c r="E6325" s="0" t="n">
        <f aca="false">-1+A6325*0.25</f>
        <v>1</v>
      </c>
      <c r="F6325" s="0" t="n">
        <f aca="false">-1+B6325*0.25</f>
        <v>0.5</v>
      </c>
      <c r="G6325" s="0" t="n">
        <f aca="false">-1+C6325*0.25</f>
        <v>-1</v>
      </c>
      <c r="H6325" s="0" t="n">
        <f aca="false">-1+D6325*0.25</f>
        <v>-0.5</v>
      </c>
      <c r="I6325" s="0" t="n">
        <f aca="false">1</f>
        <v>1</v>
      </c>
      <c r="J6325" s="0" t="n">
        <f aca="false">E6325</f>
        <v>1</v>
      </c>
      <c r="K6325" s="0" t="n">
        <f aca="false">F6325</f>
        <v>0.5</v>
      </c>
      <c r="L6325" s="0" t="n">
        <f aca="false">G6325</f>
        <v>-1</v>
      </c>
      <c r="M6325" s="0" t="n">
        <f aca="false">H6325</f>
        <v>-0.5</v>
      </c>
      <c r="N6325" s="0" t="n">
        <f aca="false">E6325*F6325</f>
        <v>0.5</v>
      </c>
      <c r="O6325" s="0" t="n">
        <f aca="false">E6325*G6325</f>
        <v>-1</v>
      </c>
      <c r="P6325" s="0" t="n">
        <f aca="false">E6325*H6325</f>
        <v>-0.5</v>
      </c>
      <c r="Q6325" s="0" t="n">
        <f aca="false">F6325*G6325</f>
        <v>-0.5</v>
      </c>
      <c r="R6325" s="0" t="n">
        <f aca="false">F6325*H6325</f>
        <v>-0.25</v>
      </c>
      <c r="S6325" s="0" t="n">
        <f aca="false">G6325*H6325</f>
        <v>0.5</v>
      </c>
      <c r="T6325" s="0" t="n">
        <f aca="false">E6325*E6325</f>
        <v>1</v>
      </c>
      <c r="U6325" s="0" t="n">
        <f aca="false">F6325*F6325</f>
        <v>0.25</v>
      </c>
      <c r="V6325" s="0" t="n">
        <f aca="false">G6325*G6325</f>
        <v>1</v>
      </c>
      <c r="W6325" s="0" t="n">
        <f aca="false">H6325*H6325</f>
        <v>0.25</v>
      </c>
      <c r="X6325" s="0" t="n">
        <f aca="false">SUMPRODUCT(I6325:W6325,_XtX!$B$96:$P$96)</f>
        <v>46.9590460526316</v>
      </c>
      <c r="Y6325" s="0" t="n">
        <f aca="false">SUMPRODUCT(MMULT(I6325:W6325,_XtX!$B$78:$P$92),I6325:W6325)</f>
        <v>0.582488121345029</v>
      </c>
      <c r="Z6325" s="0" t="n">
        <f aca="false">04_回帰ANOVA!$K$19*04_回帰ANOVA!$K$14*SQRT(1+Y6325)</f>
        <v>1.63971595338287</v>
      </c>
      <c r="AA6325" s="0" t="n">
        <f aca="false">X6325-Z6325</f>
        <v>45.3193300992488</v>
      </c>
      <c r="AB6325" s="0" t="n">
        <f aca="false">X6325+Z6325</f>
        <v>48.5987620060145</v>
      </c>
      <c r="AC6325" s="54" t="b">
        <f aca="false">AND(E6325&gt;=01_因子設定!$L$5-0.000000001,E6325&lt;=01_因子設定!$M$5+0.000000001,F6325&gt;=01_因子設定!$L$6-0.000000001,F6325&lt;=01_因子設定!$M$6+0.000000001,G6325&gt;=01_因子設定!$L$7-0.000000001,G6325&lt;=01_因子設定!$M$7+0.000000001,H6325&gt;=01_因子設定!$L$8-0.000000001,H6325&lt;=01_因子設定!$M$8+0.000000001,IF(01_因子設定!$B$20="Box-Behnken",E6325^2+F6325^2+G6325^2+H6325^2&lt;=2+0.000000001,TRUE()))</f>
        <v>1</v>
      </c>
      <c r="AD6325" s="55" t="n">
        <f aca="false">IF(AC6325,IF(01_因子設定!$B$13="最大化",AA6325-01_因子設定!$B$14,IF(01_因子設定!$B$13="最小化",01_因子設定!$B$15-AB6325,MIN(AA6325-01_因子設定!$B$14,01_因子設定!$B$15-AB6325))),-1E+030)</f>
        <v>-1.18066990075125</v>
      </c>
      <c r="AE6325" s="55" t="n">
        <f aca="false">IF(AC6325,IF(01_因子設定!$B$13="最大化",X6325,IF(01_因子設定!$B$13="最小化",-X6325,-ABS(X6325-01_因子設定!$B$16))),-1E+030)</f>
        <v>46.9590460526316</v>
      </c>
      <c r="AF6325" s="55" t="n">
        <f aca="false">AD6325+ROW()*0.000000001</f>
        <v>-1.18066357575125</v>
      </c>
      <c r="AG6325" s="55" t="n">
        <f aca="false">AE6325+ROW()*0.000000001</f>
        <v>46.9590523776316</v>
      </c>
    </row>
    <row r="6326" customFormat="false" ht="15" hidden="false" customHeight="false" outlineLevel="0" collapsed="false">
      <c r="A6326" s="0" t="n">
        <v>8</v>
      </c>
      <c r="B6326" s="0" t="n">
        <v>6</v>
      </c>
      <c r="C6326" s="0" t="n">
        <v>0</v>
      </c>
      <c r="D6326" s="0" t="n">
        <v>3</v>
      </c>
      <c r="E6326" s="0" t="n">
        <f aca="false">-1+A6326*0.25</f>
        <v>1</v>
      </c>
      <c r="F6326" s="0" t="n">
        <f aca="false">-1+B6326*0.25</f>
        <v>0.5</v>
      </c>
      <c r="G6326" s="0" t="n">
        <f aca="false">-1+C6326*0.25</f>
        <v>-1</v>
      </c>
      <c r="H6326" s="0" t="n">
        <f aca="false">-1+D6326*0.25</f>
        <v>-0.25</v>
      </c>
      <c r="I6326" s="0" t="n">
        <f aca="false">1</f>
        <v>1</v>
      </c>
      <c r="J6326" s="0" t="n">
        <f aca="false">E6326</f>
        <v>1</v>
      </c>
      <c r="K6326" s="0" t="n">
        <f aca="false">F6326</f>
        <v>0.5</v>
      </c>
      <c r="L6326" s="0" t="n">
        <f aca="false">G6326</f>
        <v>-1</v>
      </c>
      <c r="M6326" s="0" t="n">
        <f aca="false">H6326</f>
        <v>-0.25</v>
      </c>
      <c r="N6326" s="0" t="n">
        <f aca="false">E6326*F6326</f>
        <v>0.5</v>
      </c>
      <c r="O6326" s="0" t="n">
        <f aca="false">E6326*G6326</f>
        <v>-1</v>
      </c>
      <c r="P6326" s="0" t="n">
        <f aca="false">E6326*H6326</f>
        <v>-0.25</v>
      </c>
      <c r="Q6326" s="0" t="n">
        <f aca="false">F6326*G6326</f>
        <v>-0.5</v>
      </c>
      <c r="R6326" s="0" t="n">
        <f aca="false">F6326*H6326</f>
        <v>-0.125</v>
      </c>
      <c r="S6326" s="0" t="n">
        <f aca="false">G6326*H6326</f>
        <v>0.25</v>
      </c>
      <c r="T6326" s="0" t="n">
        <f aca="false">E6326*E6326</f>
        <v>1</v>
      </c>
      <c r="U6326" s="0" t="n">
        <f aca="false">F6326*F6326</f>
        <v>0.25</v>
      </c>
      <c r="V6326" s="0" t="n">
        <f aca="false">G6326*G6326</f>
        <v>1</v>
      </c>
      <c r="W6326" s="0" t="n">
        <f aca="false">H6326*H6326</f>
        <v>0.0625</v>
      </c>
      <c r="X6326" s="0" t="n">
        <f aca="false">SUMPRODUCT(I6326:W6326,_XtX!$B$96:$P$96)</f>
        <v>47.0649579678363</v>
      </c>
      <c r="Y6326" s="0" t="n">
        <f aca="false">SUMPRODUCT(MMULT(I6326:W6326,_XtX!$B$78:$P$92),I6326:W6326)</f>
        <v>0.629174661915205</v>
      </c>
      <c r="Z6326" s="0" t="n">
        <f aca="false">04_回帰ANOVA!$K$19*04_回帰ANOVA!$K$14*SQRT(1+Y6326)</f>
        <v>1.66372758058297</v>
      </c>
      <c r="AA6326" s="0" t="n">
        <f aca="false">X6326-Z6326</f>
        <v>45.4012303872533</v>
      </c>
      <c r="AB6326" s="0" t="n">
        <f aca="false">X6326+Z6326</f>
        <v>48.7286855484193</v>
      </c>
      <c r="AC6326" s="54" t="b">
        <f aca="false">AND(E6326&gt;=01_因子設定!$L$5-0.000000001,E6326&lt;=01_因子設定!$M$5+0.000000001,F6326&gt;=01_因子設定!$L$6-0.000000001,F6326&lt;=01_因子設定!$M$6+0.000000001,G6326&gt;=01_因子設定!$L$7-0.000000001,G6326&lt;=01_因子設定!$M$7+0.000000001,H6326&gt;=01_因子設定!$L$8-0.000000001,H6326&lt;=01_因子設定!$M$8+0.000000001,IF(01_因子設定!$B$20="Box-Behnken",E6326^2+F6326^2+G6326^2+H6326^2&lt;=2+0.000000001,TRUE()))</f>
        <v>1</v>
      </c>
      <c r="AD6326" s="55" t="n">
        <f aca="false">IF(AC6326,IF(01_因子設定!$B$13="最大化",AA6326-01_因子設定!$B$14,IF(01_因子設定!$B$13="最小化",01_因子設定!$B$15-AB6326,MIN(AA6326-01_因子設定!$B$14,01_因子設定!$B$15-AB6326))),-1E+030)</f>
        <v>-1.09876961274669</v>
      </c>
      <c r="AE6326" s="55" t="n">
        <f aca="false">IF(AC6326,IF(01_因子設定!$B$13="最大化",X6326,IF(01_因子設定!$B$13="最小化",-X6326,-ABS(X6326-01_因子設定!$B$16))),-1E+030)</f>
        <v>47.0649579678363</v>
      </c>
      <c r="AF6326" s="55" t="n">
        <f aca="false">AD6326+ROW()*0.000000001</f>
        <v>-1.09876328674669</v>
      </c>
      <c r="AG6326" s="55" t="n">
        <f aca="false">AE6326+ROW()*0.000000001</f>
        <v>47.0649642938363</v>
      </c>
    </row>
    <row r="6327" customFormat="false" ht="15" hidden="false" customHeight="false" outlineLevel="0" collapsed="false">
      <c r="A6327" s="0" t="n">
        <v>8</v>
      </c>
      <c r="B6327" s="0" t="n">
        <v>6</v>
      </c>
      <c r="C6327" s="0" t="n">
        <v>0</v>
      </c>
      <c r="D6327" s="0" t="n">
        <v>4</v>
      </c>
      <c r="E6327" s="0" t="n">
        <f aca="false">-1+A6327*0.25</f>
        <v>1</v>
      </c>
      <c r="F6327" s="0" t="n">
        <f aca="false">-1+B6327*0.25</f>
        <v>0.5</v>
      </c>
      <c r="G6327" s="0" t="n">
        <f aca="false">-1+C6327*0.25</f>
        <v>-1</v>
      </c>
      <c r="H6327" s="0" t="n">
        <f aca="false">-1+D6327*0.25</f>
        <v>0</v>
      </c>
      <c r="I6327" s="0" t="n">
        <f aca="false">1</f>
        <v>1</v>
      </c>
      <c r="J6327" s="0" t="n">
        <f aca="false">E6327</f>
        <v>1</v>
      </c>
      <c r="K6327" s="0" t="n">
        <f aca="false">F6327</f>
        <v>0.5</v>
      </c>
      <c r="L6327" s="0" t="n">
        <f aca="false">G6327</f>
        <v>-1</v>
      </c>
      <c r="M6327" s="0" t="n">
        <f aca="false">H6327</f>
        <v>0</v>
      </c>
      <c r="N6327" s="0" t="n">
        <f aca="false">E6327*F6327</f>
        <v>0.5</v>
      </c>
      <c r="O6327" s="0" t="n">
        <f aca="false">E6327*G6327</f>
        <v>-1</v>
      </c>
      <c r="P6327" s="0" t="n">
        <f aca="false">E6327*H6327</f>
        <v>0</v>
      </c>
      <c r="Q6327" s="0" t="n">
        <f aca="false">F6327*G6327</f>
        <v>-0.5</v>
      </c>
      <c r="R6327" s="0" t="n">
        <f aca="false">F6327*H6327</f>
        <v>0</v>
      </c>
      <c r="S6327" s="0" t="n">
        <f aca="false">G6327*H6327</f>
        <v>-0</v>
      </c>
      <c r="T6327" s="0" t="n">
        <f aca="false">E6327*E6327</f>
        <v>1</v>
      </c>
      <c r="U6327" s="0" t="n">
        <f aca="false">F6327*F6327</f>
        <v>0.25</v>
      </c>
      <c r="V6327" s="0" t="n">
        <f aca="false">G6327*G6327</f>
        <v>1</v>
      </c>
      <c r="W6327" s="0" t="n">
        <f aca="false">H6327*H6327</f>
        <v>0</v>
      </c>
      <c r="X6327" s="0" t="n">
        <f aca="false">SUMPRODUCT(I6327:W6327,_XtX!$B$96:$P$96)</f>
        <v>47.1230628654971</v>
      </c>
      <c r="Y6327" s="0" t="n">
        <f aca="false">SUMPRODUCT(MMULT(I6327:W6327,_XtX!$B$78:$P$92),I6327:W6327)</f>
        <v>0.650767543859649</v>
      </c>
      <c r="Z6327" s="0" t="n">
        <f aca="false">04_回帰ANOVA!$K$19*04_回帰ANOVA!$K$14*SQRT(1+Y6327)</f>
        <v>1.67471670935165</v>
      </c>
      <c r="AA6327" s="0" t="n">
        <f aca="false">X6327-Z6327</f>
        <v>45.4483461561455</v>
      </c>
      <c r="AB6327" s="0" t="n">
        <f aca="false">X6327+Z6327</f>
        <v>48.7977795748488</v>
      </c>
      <c r="AC6327" s="54" t="b">
        <f aca="false">AND(E6327&gt;=01_因子設定!$L$5-0.000000001,E6327&lt;=01_因子設定!$M$5+0.000000001,F6327&gt;=01_因子設定!$L$6-0.000000001,F6327&lt;=01_因子設定!$M$6+0.000000001,G6327&gt;=01_因子設定!$L$7-0.000000001,G6327&lt;=01_因子設定!$M$7+0.000000001,H6327&gt;=01_因子設定!$L$8-0.000000001,H6327&lt;=01_因子設定!$M$8+0.000000001,IF(01_因子設定!$B$20="Box-Behnken",E6327^2+F6327^2+G6327^2+H6327^2&lt;=2+0.000000001,TRUE()))</f>
        <v>1</v>
      </c>
      <c r="AD6327" s="55" t="n">
        <f aca="false">IF(AC6327,IF(01_因子設定!$B$13="最大化",AA6327-01_因子設定!$B$14,IF(01_因子設定!$B$13="最小化",01_因子設定!$B$15-AB6327,MIN(AA6327-01_因子設定!$B$14,01_因子設定!$B$15-AB6327))),-1E+030)</f>
        <v>-1.05165384385455</v>
      </c>
      <c r="AE6327" s="55" t="n">
        <f aca="false">IF(AC6327,IF(01_因子設定!$B$13="最大化",X6327,IF(01_因子設定!$B$13="最小化",-X6327,-ABS(X6327-01_因子設定!$B$16))),-1E+030)</f>
        <v>47.1230628654971</v>
      </c>
      <c r="AF6327" s="55" t="n">
        <f aca="false">AD6327+ROW()*0.000000001</f>
        <v>-1.05164751685455</v>
      </c>
      <c r="AG6327" s="55" t="n">
        <f aca="false">AE6327+ROW()*0.000000001</f>
        <v>47.1230691924971</v>
      </c>
    </row>
    <row r="6328" customFormat="false" ht="15" hidden="false" customHeight="false" outlineLevel="0" collapsed="false">
      <c r="A6328" s="0" t="n">
        <v>8</v>
      </c>
      <c r="B6328" s="0" t="n">
        <v>6</v>
      </c>
      <c r="C6328" s="0" t="n">
        <v>0</v>
      </c>
      <c r="D6328" s="0" t="n">
        <v>5</v>
      </c>
      <c r="E6328" s="0" t="n">
        <f aca="false">-1+A6328*0.25</f>
        <v>1</v>
      </c>
      <c r="F6328" s="0" t="n">
        <f aca="false">-1+B6328*0.25</f>
        <v>0.5</v>
      </c>
      <c r="G6328" s="0" t="n">
        <f aca="false">-1+C6328*0.25</f>
        <v>-1</v>
      </c>
      <c r="H6328" s="0" t="n">
        <f aca="false">-1+D6328*0.25</f>
        <v>0.25</v>
      </c>
      <c r="I6328" s="0" t="n">
        <f aca="false">1</f>
        <v>1</v>
      </c>
      <c r="J6328" s="0" t="n">
        <f aca="false">E6328</f>
        <v>1</v>
      </c>
      <c r="K6328" s="0" t="n">
        <f aca="false">F6328</f>
        <v>0.5</v>
      </c>
      <c r="L6328" s="0" t="n">
        <f aca="false">G6328</f>
        <v>-1</v>
      </c>
      <c r="M6328" s="0" t="n">
        <f aca="false">H6328</f>
        <v>0.25</v>
      </c>
      <c r="N6328" s="0" t="n">
        <f aca="false">E6328*F6328</f>
        <v>0.5</v>
      </c>
      <c r="O6328" s="0" t="n">
        <f aca="false">E6328*G6328</f>
        <v>-1</v>
      </c>
      <c r="P6328" s="0" t="n">
        <f aca="false">E6328*H6328</f>
        <v>0.25</v>
      </c>
      <c r="Q6328" s="0" t="n">
        <f aca="false">F6328*G6328</f>
        <v>-0.5</v>
      </c>
      <c r="R6328" s="0" t="n">
        <f aca="false">F6328*H6328</f>
        <v>0.125</v>
      </c>
      <c r="S6328" s="0" t="n">
        <f aca="false">G6328*H6328</f>
        <v>-0.25</v>
      </c>
      <c r="T6328" s="0" t="n">
        <f aca="false">E6328*E6328</f>
        <v>1</v>
      </c>
      <c r="U6328" s="0" t="n">
        <f aca="false">F6328*F6328</f>
        <v>0.25</v>
      </c>
      <c r="V6328" s="0" t="n">
        <f aca="false">G6328*G6328</f>
        <v>1</v>
      </c>
      <c r="W6328" s="0" t="n">
        <f aca="false">H6328*H6328</f>
        <v>0.0625</v>
      </c>
      <c r="X6328" s="0" t="n">
        <f aca="false">SUMPRODUCT(I6328:W6328,_XtX!$B$96:$P$96)</f>
        <v>47.1333607456141</v>
      </c>
      <c r="Y6328" s="0" t="n">
        <f aca="false">SUMPRODUCT(MMULT(I6328:W6328,_XtX!$B$78:$P$92),I6328:W6328)</f>
        <v>0.629174661915205</v>
      </c>
      <c r="Z6328" s="0" t="n">
        <f aca="false">04_回帰ANOVA!$K$19*04_回帰ANOVA!$K$14*SQRT(1+Y6328)</f>
        <v>1.66372758058297</v>
      </c>
      <c r="AA6328" s="0" t="n">
        <f aca="false">X6328-Z6328</f>
        <v>45.4696331650311</v>
      </c>
      <c r="AB6328" s="0" t="n">
        <f aca="false">X6328+Z6328</f>
        <v>48.797088326197</v>
      </c>
      <c r="AC6328" s="54" t="b">
        <f aca="false">AND(E6328&gt;=01_因子設定!$L$5-0.000000001,E6328&lt;=01_因子設定!$M$5+0.000000001,F6328&gt;=01_因子設定!$L$6-0.000000001,F6328&lt;=01_因子設定!$M$6+0.000000001,G6328&gt;=01_因子設定!$L$7-0.000000001,G6328&lt;=01_因子設定!$M$7+0.000000001,H6328&gt;=01_因子設定!$L$8-0.000000001,H6328&lt;=01_因子設定!$M$8+0.000000001,IF(01_因子設定!$B$20="Box-Behnken",E6328^2+F6328^2+G6328^2+H6328^2&lt;=2+0.000000001,TRUE()))</f>
        <v>1</v>
      </c>
      <c r="AD6328" s="55" t="n">
        <f aca="false">IF(AC6328,IF(01_因子設定!$B$13="最大化",AA6328-01_因子設定!$B$14,IF(01_因子設定!$B$13="最小化",01_因子設定!$B$15-AB6328,MIN(AA6328-01_因子設定!$B$14,01_因子設定!$B$15-AB6328))),-1E+030)</f>
        <v>-1.03036683496891</v>
      </c>
      <c r="AE6328" s="55" t="n">
        <f aca="false">IF(AC6328,IF(01_因子設定!$B$13="最大化",X6328,IF(01_因子設定!$B$13="最小化",-X6328,-ABS(X6328-01_因子設定!$B$16))),-1E+030)</f>
        <v>47.1333607456141</v>
      </c>
      <c r="AF6328" s="55" t="n">
        <f aca="false">AD6328+ROW()*0.000000001</f>
        <v>-1.03036050696891</v>
      </c>
      <c r="AG6328" s="55" t="n">
        <f aca="false">AE6328+ROW()*0.000000001</f>
        <v>47.1333670736141</v>
      </c>
    </row>
    <row r="6329" customFormat="false" ht="15" hidden="false" customHeight="false" outlineLevel="0" collapsed="false">
      <c r="A6329" s="0" t="n">
        <v>8</v>
      </c>
      <c r="B6329" s="0" t="n">
        <v>6</v>
      </c>
      <c r="C6329" s="0" t="n">
        <v>0</v>
      </c>
      <c r="D6329" s="0" t="n">
        <v>6</v>
      </c>
      <c r="E6329" s="0" t="n">
        <f aca="false">-1+A6329*0.25</f>
        <v>1</v>
      </c>
      <c r="F6329" s="0" t="n">
        <f aca="false">-1+B6329*0.25</f>
        <v>0.5</v>
      </c>
      <c r="G6329" s="0" t="n">
        <f aca="false">-1+C6329*0.25</f>
        <v>-1</v>
      </c>
      <c r="H6329" s="0" t="n">
        <f aca="false">-1+D6329*0.25</f>
        <v>0.5</v>
      </c>
      <c r="I6329" s="0" t="n">
        <f aca="false">1</f>
        <v>1</v>
      </c>
      <c r="J6329" s="0" t="n">
        <f aca="false">E6329</f>
        <v>1</v>
      </c>
      <c r="K6329" s="0" t="n">
        <f aca="false">F6329</f>
        <v>0.5</v>
      </c>
      <c r="L6329" s="0" t="n">
        <f aca="false">G6329</f>
        <v>-1</v>
      </c>
      <c r="M6329" s="0" t="n">
        <f aca="false">H6329</f>
        <v>0.5</v>
      </c>
      <c r="N6329" s="0" t="n">
        <f aca="false">E6329*F6329</f>
        <v>0.5</v>
      </c>
      <c r="O6329" s="0" t="n">
        <f aca="false">E6329*G6329</f>
        <v>-1</v>
      </c>
      <c r="P6329" s="0" t="n">
        <f aca="false">E6329*H6329</f>
        <v>0.5</v>
      </c>
      <c r="Q6329" s="0" t="n">
        <f aca="false">F6329*G6329</f>
        <v>-0.5</v>
      </c>
      <c r="R6329" s="0" t="n">
        <f aca="false">F6329*H6329</f>
        <v>0.25</v>
      </c>
      <c r="S6329" s="0" t="n">
        <f aca="false">G6329*H6329</f>
        <v>-0.5</v>
      </c>
      <c r="T6329" s="0" t="n">
        <f aca="false">E6329*E6329</f>
        <v>1</v>
      </c>
      <c r="U6329" s="0" t="n">
        <f aca="false">F6329*F6329</f>
        <v>0.25</v>
      </c>
      <c r="V6329" s="0" t="n">
        <f aca="false">G6329*G6329</f>
        <v>1</v>
      </c>
      <c r="W6329" s="0" t="n">
        <f aca="false">H6329*H6329</f>
        <v>0.25</v>
      </c>
      <c r="X6329" s="0" t="n">
        <f aca="false">SUMPRODUCT(I6329:W6329,_XtX!$B$96:$P$96)</f>
        <v>47.0958516081872</v>
      </c>
      <c r="Y6329" s="0" t="n">
        <f aca="false">SUMPRODUCT(MMULT(I6329:W6329,_XtX!$B$78:$P$92),I6329:W6329)</f>
        <v>0.582488121345029</v>
      </c>
      <c r="Z6329" s="0" t="n">
        <f aca="false">04_回帰ANOVA!$K$19*04_回帰ANOVA!$K$14*SQRT(1+Y6329)</f>
        <v>1.63971595338287</v>
      </c>
      <c r="AA6329" s="0" t="n">
        <f aca="false">X6329-Z6329</f>
        <v>45.4561356548043</v>
      </c>
      <c r="AB6329" s="0" t="n">
        <f aca="false">X6329+Z6329</f>
        <v>48.73556756157</v>
      </c>
      <c r="AC6329" s="54" t="b">
        <f aca="false">AND(E6329&gt;=01_因子設定!$L$5-0.000000001,E6329&lt;=01_因子設定!$M$5+0.000000001,F6329&gt;=01_因子設定!$L$6-0.000000001,F6329&lt;=01_因子設定!$M$6+0.000000001,G6329&gt;=01_因子設定!$L$7-0.000000001,G6329&lt;=01_因子設定!$M$7+0.000000001,H6329&gt;=01_因子設定!$L$8-0.000000001,H6329&lt;=01_因子設定!$M$8+0.000000001,IF(01_因子設定!$B$20="Box-Behnken",E6329^2+F6329^2+G6329^2+H6329^2&lt;=2+0.000000001,TRUE()))</f>
        <v>1</v>
      </c>
      <c r="AD6329" s="55" t="n">
        <f aca="false">IF(AC6329,IF(01_因子設定!$B$13="最大化",AA6329-01_因子設定!$B$14,IF(01_因子設定!$B$13="最小化",01_因子設定!$B$15-AB6329,MIN(AA6329-01_因子設定!$B$14,01_因子設定!$B$15-AB6329))),-1E+030)</f>
        <v>-1.04386434519569</v>
      </c>
      <c r="AE6329" s="55" t="n">
        <f aca="false">IF(AC6329,IF(01_因子設定!$B$13="最大化",X6329,IF(01_因子設定!$B$13="最小化",-X6329,-ABS(X6329-01_因子設定!$B$16))),-1E+030)</f>
        <v>47.0958516081872</v>
      </c>
      <c r="AF6329" s="55" t="n">
        <f aca="false">AD6329+ROW()*0.000000001</f>
        <v>-1.04385801619569</v>
      </c>
      <c r="AG6329" s="55" t="n">
        <f aca="false">AE6329+ROW()*0.000000001</f>
        <v>47.0958579371872</v>
      </c>
    </row>
    <row r="6330" customFormat="false" ht="15" hidden="false" customHeight="false" outlineLevel="0" collapsed="false">
      <c r="A6330" s="0" t="n">
        <v>8</v>
      </c>
      <c r="B6330" s="0" t="n">
        <v>6</v>
      </c>
      <c r="C6330" s="0" t="n">
        <v>0</v>
      </c>
      <c r="D6330" s="0" t="n">
        <v>7</v>
      </c>
      <c r="E6330" s="0" t="n">
        <f aca="false">-1+A6330*0.25</f>
        <v>1</v>
      </c>
      <c r="F6330" s="0" t="n">
        <f aca="false">-1+B6330*0.25</f>
        <v>0.5</v>
      </c>
      <c r="G6330" s="0" t="n">
        <f aca="false">-1+C6330*0.25</f>
        <v>-1</v>
      </c>
      <c r="H6330" s="0" t="n">
        <f aca="false">-1+D6330*0.25</f>
        <v>0.75</v>
      </c>
      <c r="I6330" s="0" t="n">
        <f aca="false">1</f>
        <v>1</v>
      </c>
      <c r="J6330" s="0" t="n">
        <f aca="false">E6330</f>
        <v>1</v>
      </c>
      <c r="K6330" s="0" t="n">
        <f aca="false">F6330</f>
        <v>0.5</v>
      </c>
      <c r="L6330" s="0" t="n">
        <f aca="false">G6330</f>
        <v>-1</v>
      </c>
      <c r="M6330" s="0" t="n">
        <f aca="false">H6330</f>
        <v>0.75</v>
      </c>
      <c r="N6330" s="0" t="n">
        <f aca="false">E6330*F6330</f>
        <v>0.5</v>
      </c>
      <c r="O6330" s="0" t="n">
        <f aca="false">E6330*G6330</f>
        <v>-1</v>
      </c>
      <c r="P6330" s="0" t="n">
        <f aca="false">E6330*H6330</f>
        <v>0.75</v>
      </c>
      <c r="Q6330" s="0" t="n">
        <f aca="false">F6330*G6330</f>
        <v>-0.5</v>
      </c>
      <c r="R6330" s="0" t="n">
        <f aca="false">F6330*H6330</f>
        <v>0.375</v>
      </c>
      <c r="S6330" s="0" t="n">
        <f aca="false">G6330*H6330</f>
        <v>-0.75</v>
      </c>
      <c r="T6330" s="0" t="n">
        <f aca="false">E6330*E6330</f>
        <v>1</v>
      </c>
      <c r="U6330" s="0" t="n">
        <f aca="false">F6330*F6330</f>
        <v>0.25</v>
      </c>
      <c r="V6330" s="0" t="n">
        <f aca="false">G6330*G6330</f>
        <v>1</v>
      </c>
      <c r="W6330" s="0" t="n">
        <f aca="false">H6330*H6330</f>
        <v>0.5625</v>
      </c>
      <c r="X6330" s="0" t="n">
        <f aca="false">SUMPRODUCT(I6330:W6330,_XtX!$B$96:$P$96)</f>
        <v>47.0105354532164</v>
      </c>
      <c r="Y6330" s="0" t="n">
        <f aca="false">SUMPRODUCT(MMULT(I6330:W6330,_XtX!$B$78:$P$92),I6330:W6330)</f>
        <v>0.564984237938597</v>
      </c>
      <c r="Z6330" s="0" t="n">
        <f aca="false">04_回帰ANOVA!$K$19*04_回帰ANOVA!$K$14*SQRT(1+Y6330)</f>
        <v>1.63062229734503</v>
      </c>
      <c r="AA6330" s="0" t="n">
        <f aca="false">X6330-Z6330</f>
        <v>45.3799131558714</v>
      </c>
      <c r="AB6330" s="0" t="n">
        <f aca="false">X6330+Z6330</f>
        <v>48.6411577505615</v>
      </c>
      <c r="AC6330" s="54" t="b">
        <f aca="false">AND(E6330&gt;=01_因子設定!$L$5-0.000000001,E6330&lt;=01_因子設定!$M$5+0.000000001,F6330&gt;=01_因子設定!$L$6-0.000000001,F6330&lt;=01_因子設定!$M$6+0.000000001,G6330&gt;=01_因子設定!$L$7-0.000000001,G6330&lt;=01_因子設定!$M$7+0.000000001,H6330&gt;=01_因子設定!$L$8-0.000000001,H6330&lt;=01_因子設定!$M$8+0.000000001,IF(01_因子設定!$B$20="Box-Behnken",E6330^2+F6330^2+G6330^2+H6330^2&lt;=2+0.000000001,TRUE()))</f>
        <v>1</v>
      </c>
      <c r="AD6330" s="55" t="n">
        <f aca="false">IF(AC6330,IF(01_因子設定!$B$13="最大化",AA6330-01_因子設定!$B$14,IF(01_因子設定!$B$13="最小化",01_因子設定!$B$15-AB6330,MIN(AA6330-01_因子設定!$B$14,01_因子設定!$B$15-AB6330))),-1E+030)</f>
        <v>-1.12008684412861</v>
      </c>
      <c r="AE6330" s="55" t="n">
        <f aca="false">IF(AC6330,IF(01_因子設定!$B$13="最大化",X6330,IF(01_因子設定!$B$13="最小化",-X6330,-ABS(X6330-01_因子設定!$B$16))),-1E+030)</f>
        <v>47.0105354532164</v>
      </c>
      <c r="AF6330" s="55" t="n">
        <f aca="false">AD6330+ROW()*0.000000001</f>
        <v>-1.12008051412861</v>
      </c>
      <c r="AG6330" s="55" t="n">
        <f aca="false">AE6330+ROW()*0.000000001</f>
        <v>47.0105417832164</v>
      </c>
    </row>
    <row r="6331" customFormat="false" ht="15" hidden="false" customHeight="false" outlineLevel="0" collapsed="false">
      <c r="A6331" s="0" t="n">
        <v>8</v>
      </c>
      <c r="B6331" s="0" t="n">
        <v>6</v>
      </c>
      <c r="C6331" s="0" t="n">
        <v>0</v>
      </c>
      <c r="D6331" s="0" t="n">
        <v>8</v>
      </c>
      <c r="E6331" s="0" t="n">
        <f aca="false">-1+A6331*0.25</f>
        <v>1</v>
      </c>
      <c r="F6331" s="0" t="n">
        <f aca="false">-1+B6331*0.25</f>
        <v>0.5</v>
      </c>
      <c r="G6331" s="0" t="n">
        <f aca="false">-1+C6331*0.25</f>
        <v>-1</v>
      </c>
      <c r="H6331" s="0" t="n">
        <f aca="false">-1+D6331*0.25</f>
        <v>1</v>
      </c>
      <c r="I6331" s="0" t="n">
        <f aca="false">1</f>
        <v>1</v>
      </c>
      <c r="J6331" s="0" t="n">
        <f aca="false">E6331</f>
        <v>1</v>
      </c>
      <c r="K6331" s="0" t="n">
        <f aca="false">F6331</f>
        <v>0.5</v>
      </c>
      <c r="L6331" s="0" t="n">
        <f aca="false">G6331</f>
        <v>-1</v>
      </c>
      <c r="M6331" s="0" t="n">
        <f aca="false">H6331</f>
        <v>1</v>
      </c>
      <c r="N6331" s="0" t="n">
        <f aca="false">E6331*F6331</f>
        <v>0.5</v>
      </c>
      <c r="O6331" s="0" t="n">
        <f aca="false">E6331*G6331</f>
        <v>-1</v>
      </c>
      <c r="P6331" s="0" t="n">
        <f aca="false">E6331*H6331</f>
        <v>1</v>
      </c>
      <c r="Q6331" s="0" t="n">
        <f aca="false">F6331*G6331</f>
        <v>-0.5</v>
      </c>
      <c r="R6331" s="0" t="n">
        <f aca="false">F6331*H6331</f>
        <v>0.5</v>
      </c>
      <c r="S6331" s="0" t="n">
        <f aca="false">G6331*H6331</f>
        <v>-1</v>
      </c>
      <c r="T6331" s="0" t="n">
        <f aca="false">E6331*E6331</f>
        <v>1</v>
      </c>
      <c r="U6331" s="0" t="n">
        <f aca="false">F6331*F6331</f>
        <v>0.25</v>
      </c>
      <c r="V6331" s="0" t="n">
        <f aca="false">G6331*G6331</f>
        <v>1</v>
      </c>
      <c r="W6331" s="0" t="n">
        <f aca="false">H6331*H6331</f>
        <v>1</v>
      </c>
      <c r="X6331" s="0" t="n">
        <f aca="false">SUMPRODUCT(I6331:W6331,_XtX!$B$96:$P$96)</f>
        <v>46.8774122807018</v>
      </c>
      <c r="Y6331" s="0" t="n">
        <f aca="false">SUMPRODUCT(MMULT(I6331:W6331,_XtX!$B$78:$P$92),I6331:W6331)</f>
        <v>0.667123538011696</v>
      </c>
      <c r="Z6331" s="0" t="n">
        <f aca="false">04_回帰ANOVA!$K$19*04_回帰ANOVA!$K$14*SQRT(1+Y6331)</f>
        <v>1.68299290213005</v>
      </c>
      <c r="AA6331" s="0" t="n">
        <f aca="false">X6331-Z6331</f>
        <v>45.1944193785718</v>
      </c>
      <c r="AB6331" s="0" t="n">
        <f aca="false">X6331+Z6331</f>
        <v>48.5604051828319</v>
      </c>
      <c r="AC6331" s="54" t="b">
        <f aca="false">AND(E6331&gt;=01_因子設定!$L$5-0.000000001,E6331&lt;=01_因子設定!$M$5+0.000000001,F6331&gt;=01_因子設定!$L$6-0.000000001,F6331&lt;=01_因子設定!$M$6+0.000000001,G6331&gt;=01_因子設定!$L$7-0.000000001,G6331&lt;=01_因子設定!$M$7+0.000000001,H6331&gt;=01_因子設定!$L$8-0.000000001,H6331&lt;=01_因子設定!$M$8+0.000000001,IF(01_因子設定!$B$20="Box-Behnken",E6331^2+F6331^2+G6331^2+H6331^2&lt;=2+0.000000001,TRUE()))</f>
        <v>1</v>
      </c>
      <c r="AD6331" s="55" t="n">
        <f aca="false">IF(AC6331,IF(01_因子設定!$B$13="最大化",AA6331-01_因子設定!$B$14,IF(01_因子設定!$B$13="最小化",01_因子設定!$B$15-AB6331,MIN(AA6331-01_因子設定!$B$14,01_因子設定!$B$15-AB6331))),-1E+030)</f>
        <v>-1.30558062142823</v>
      </c>
      <c r="AE6331" s="55" t="n">
        <f aca="false">IF(AC6331,IF(01_因子設定!$B$13="最大化",X6331,IF(01_因子設定!$B$13="最小化",-X6331,-ABS(X6331-01_因子設定!$B$16))),-1E+030)</f>
        <v>46.8774122807018</v>
      </c>
      <c r="AF6331" s="55" t="n">
        <f aca="false">AD6331+ROW()*0.000000001</f>
        <v>-1.30557429042823</v>
      </c>
      <c r="AG6331" s="55" t="n">
        <f aca="false">AE6331+ROW()*0.000000001</f>
        <v>46.8774186117018</v>
      </c>
    </row>
    <row r="6332" customFormat="false" ht="15" hidden="false" customHeight="false" outlineLevel="0" collapsed="false">
      <c r="A6332" s="0" t="n">
        <v>8</v>
      </c>
      <c r="B6332" s="0" t="n">
        <v>6</v>
      </c>
      <c r="C6332" s="0" t="n">
        <v>1</v>
      </c>
      <c r="D6332" s="0" t="n">
        <v>0</v>
      </c>
      <c r="E6332" s="0" t="n">
        <f aca="false">-1+A6332*0.25</f>
        <v>1</v>
      </c>
      <c r="F6332" s="0" t="n">
        <f aca="false">-1+B6332*0.25</f>
        <v>0.5</v>
      </c>
      <c r="G6332" s="0" t="n">
        <f aca="false">-1+C6332*0.25</f>
        <v>-0.75</v>
      </c>
      <c r="H6332" s="0" t="n">
        <f aca="false">-1+D6332*0.25</f>
        <v>-1</v>
      </c>
      <c r="I6332" s="0" t="n">
        <f aca="false">1</f>
        <v>1</v>
      </c>
      <c r="J6332" s="0" t="n">
        <f aca="false">E6332</f>
        <v>1</v>
      </c>
      <c r="K6332" s="0" t="n">
        <f aca="false">F6332</f>
        <v>0.5</v>
      </c>
      <c r="L6332" s="0" t="n">
        <f aca="false">G6332</f>
        <v>-0.75</v>
      </c>
      <c r="M6332" s="0" t="n">
        <f aca="false">H6332</f>
        <v>-1</v>
      </c>
      <c r="N6332" s="0" t="n">
        <f aca="false">E6332*F6332</f>
        <v>0.5</v>
      </c>
      <c r="O6332" s="0" t="n">
        <f aca="false">E6332*G6332</f>
        <v>-0.75</v>
      </c>
      <c r="P6332" s="0" t="n">
        <f aca="false">E6332*H6332</f>
        <v>-1</v>
      </c>
      <c r="Q6332" s="0" t="n">
        <f aca="false">F6332*G6332</f>
        <v>-0.375</v>
      </c>
      <c r="R6332" s="0" t="n">
        <f aca="false">F6332*H6332</f>
        <v>-0.5</v>
      </c>
      <c r="S6332" s="0" t="n">
        <f aca="false">G6332*H6332</f>
        <v>0.75</v>
      </c>
      <c r="T6332" s="0" t="n">
        <f aca="false">E6332*E6332</f>
        <v>1</v>
      </c>
      <c r="U6332" s="0" t="n">
        <f aca="false">F6332*F6332</f>
        <v>0.25</v>
      </c>
      <c r="V6332" s="0" t="n">
        <f aca="false">G6332*G6332</f>
        <v>0.5625</v>
      </c>
      <c r="W6332" s="0" t="n">
        <f aca="false">H6332*H6332</f>
        <v>1</v>
      </c>
      <c r="X6332" s="0" t="n">
        <f aca="false">SUMPRODUCT(I6332:W6332,_XtX!$B$96:$P$96)</f>
        <v>46.9528965643276</v>
      </c>
      <c r="Y6332" s="0" t="n">
        <f aca="false">SUMPRODUCT(MMULT(I6332:W6332,_XtX!$B$78:$P$92),I6332:W6332)</f>
        <v>0.564984237938597</v>
      </c>
      <c r="Z6332" s="0" t="n">
        <f aca="false">04_回帰ANOVA!$K$19*04_回帰ANOVA!$K$14*SQRT(1+Y6332)</f>
        <v>1.63062229734503</v>
      </c>
      <c r="AA6332" s="0" t="n">
        <f aca="false">X6332-Z6332</f>
        <v>45.3222742669825</v>
      </c>
      <c r="AB6332" s="0" t="n">
        <f aca="false">X6332+Z6332</f>
        <v>48.5835188616726</v>
      </c>
      <c r="AC6332" s="54" t="b">
        <f aca="false">AND(E6332&gt;=01_因子設定!$L$5-0.000000001,E6332&lt;=01_因子設定!$M$5+0.000000001,F6332&gt;=01_因子設定!$L$6-0.000000001,F6332&lt;=01_因子設定!$M$6+0.000000001,G6332&gt;=01_因子設定!$L$7-0.000000001,G6332&lt;=01_因子設定!$M$7+0.000000001,H6332&gt;=01_因子設定!$L$8-0.000000001,H6332&lt;=01_因子設定!$M$8+0.000000001,IF(01_因子設定!$B$20="Box-Behnken",E6332^2+F6332^2+G6332^2+H6332^2&lt;=2+0.000000001,TRUE()))</f>
        <v>1</v>
      </c>
      <c r="AD6332" s="55" t="n">
        <f aca="false">IF(AC6332,IF(01_因子設定!$B$13="最大化",AA6332-01_因子設定!$B$14,IF(01_因子設定!$B$13="最小化",01_因子設定!$B$15-AB6332,MIN(AA6332-01_因子設定!$B$14,01_因子設定!$B$15-AB6332))),-1E+030)</f>
        <v>-1.17772573301748</v>
      </c>
      <c r="AE6332" s="55" t="n">
        <f aca="false">IF(AC6332,IF(01_因子設定!$B$13="最大化",X6332,IF(01_因子設定!$B$13="最小化",-X6332,-ABS(X6332-01_因子設定!$B$16))),-1E+030)</f>
        <v>46.9528965643276</v>
      </c>
      <c r="AF6332" s="55" t="n">
        <f aca="false">AD6332+ROW()*0.000000001</f>
        <v>-1.17771940101748</v>
      </c>
      <c r="AG6332" s="55" t="n">
        <f aca="false">AE6332+ROW()*0.000000001</f>
        <v>46.9529028963276</v>
      </c>
    </row>
    <row r="6333" customFormat="false" ht="15" hidden="false" customHeight="false" outlineLevel="0" collapsed="false">
      <c r="A6333" s="0" t="n">
        <v>8</v>
      </c>
      <c r="B6333" s="0" t="n">
        <v>6</v>
      </c>
      <c r="C6333" s="0" t="n">
        <v>1</v>
      </c>
      <c r="D6333" s="0" t="n">
        <v>1</v>
      </c>
      <c r="E6333" s="0" t="n">
        <f aca="false">-1+A6333*0.25</f>
        <v>1</v>
      </c>
      <c r="F6333" s="0" t="n">
        <f aca="false">-1+B6333*0.25</f>
        <v>0.5</v>
      </c>
      <c r="G6333" s="0" t="n">
        <f aca="false">-1+C6333*0.25</f>
        <v>-0.75</v>
      </c>
      <c r="H6333" s="0" t="n">
        <f aca="false">-1+D6333*0.25</f>
        <v>-0.75</v>
      </c>
      <c r="I6333" s="0" t="n">
        <f aca="false">1</f>
        <v>1</v>
      </c>
      <c r="J6333" s="0" t="n">
        <f aca="false">E6333</f>
        <v>1</v>
      </c>
      <c r="K6333" s="0" t="n">
        <f aca="false">F6333</f>
        <v>0.5</v>
      </c>
      <c r="L6333" s="0" t="n">
        <f aca="false">G6333</f>
        <v>-0.75</v>
      </c>
      <c r="M6333" s="0" t="n">
        <f aca="false">H6333</f>
        <v>-0.75</v>
      </c>
      <c r="N6333" s="0" t="n">
        <f aca="false">E6333*F6333</f>
        <v>0.5</v>
      </c>
      <c r="O6333" s="0" t="n">
        <f aca="false">E6333*G6333</f>
        <v>-0.75</v>
      </c>
      <c r="P6333" s="0" t="n">
        <f aca="false">E6333*H6333</f>
        <v>-0.75</v>
      </c>
      <c r="Q6333" s="0" t="n">
        <f aca="false">F6333*G6333</f>
        <v>-0.375</v>
      </c>
      <c r="R6333" s="0" t="n">
        <f aca="false">F6333*H6333</f>
        <v>-0.375</v>
      </c>
      <c r="S6333" s="0" t="n">
        <f aca="false">G6333*H6333</f>
        <v>0.5625</v>
      </c>
      <c r="T6333" s="0" t="n">
        <f aca="false">E6333*E6333</f>
        <v>1</v>
      </c>
      <c r="U6333" s="0" t="n">
        <f aca="false">F6333*F6333</f>
        <v>0.25</v>
      </c>
      <c r="V6333" s="0" t="n">
        <f aca="false">G6333*G6333</f>
        <v>0.5625</v>
      </c>
      <c r="W6333" s="0" t="n">
        <f aca="false">H6333*H6333</f>
        <v>0.5625</v>
      </c>
      <c r="X6333" s="0" t="n">
        <f aca="false">SUMPRODUCT(I6333:W6333,_XtX!$B$96:$P$96)</f>
        <v>47.1723912646199</v>
      </c>
      <c r="Y6333" s="0" t="n">
        <f aca="false">SUMPRODUCT(MMULT(I6333:W6333,_XtX!$B$78:$P$92),I6333:W6333)</f>
        <v>0.431153771472953</v>
      </c>
      <c r="Z6333" s="0" t="n">
        <f aca="false">04_回帰ANOVA!$K$19*04_回帰ANOVA!$K$14*SQRT(1+Y6333)</f>
        <v>1.55934259562563</v>
      </c>
      <c r="AA6333" s="0" t="n">
        <f aca="false">X6333-Z6333</f>
        <v>45.6130486689943</v>
      </c>
      <c r="AB6333" s="0" t="n">
        <f aca="false">X6333+Z6333</f>
        <v>48.7317338602456</v>
      </c>
      <c r="AC6333" s="54" t="b">
        <f aca="false">AND(E6333&gt;=01_因子設定!$L$5-0.000000001,E6333&lt;=01_因子設定!$M$5+0.000000001,F6333&gt;=01_因子設定!$L$6-0.000000001,F6333&lt;=01_因子設定!$M$6+0.000000001,G6333&gt;=01_因子設定!$L$7-0.000000001,G6333&lt;=01_因子設定!$M$7+0.000000001,H6333&gt;=01_因子設定!$L$8-0.000000001,H6333&lt;=01_因子設定!$M$8+0.000000001,IF(01_因子設定!$B$20="Box-Behnken",E6333^2+F6333^2+G6333^2+H6333^2&lt;=2+0.000000001,TRUE()))</f>
        <v>1</v>
      </c>
      <c r="AD6333" s="55" t="n">
        <f aca="false">IF(AC6333,IF(01_因子設定!$B$13="最大化",AA6333-01_因子設定!$B$14,IF(01_因子設定!$B$13="最小化",01_因子設定!$B$15-AB6333,MIN(AA6333-01_因子設定!$B$14,01_因子設定!$B$15-AB6333))),-1E+030)</f>
        <v>-0.886951331005697</v>
      </c>
      <c r="AE6333" s="55" t="n">
        <f aca="false">IF(AC6333,IF(01_因子設定!$B$13="最大化",X6333,IF(01_因子設定!$B$13="最小化",-X6333,-ABS(X6333-01_因子設定!$B$16))),-1E+030)</f>
        <v>47.1723912646199</v>
      </c>
      <c r="AF6333" s="55" t="n">
        <f aca="false">AD6333+ROW()*0.000000001</f>
        <v>-0.886944998005697</v>
      </c>
      <c r="AG6333" s="55" t="n">
        <f aca="false">AE6333+ROW()*0.000000001</f>
        <v>47.1723975976199</v>
      </c>
    </row>
    <row r="6334" customFormat="false" ht="15" hidden="false" customHeight="false" outlineLevel="0" collapsed="false">
      <c r="A6334" s="0" t="n">
        <v>8</v>
      </c>
      <c r="B6334" s="0" t="n">
        <v>6</v>
      </c>
      <c r="C6334" s="0" t="n">
        <v>1</v>
      </c>
      <c r="D6334" s="0" t="n">
        <v>2</v>
      </c>
      <c r="E6334" s="0" t="n">
        <f aca="false">-1+A6334*0.25</f>
        <v>1</v>
      </c>
      <c r="F6334" s="0" t="n">
        <f aca="false">-1+B6334*0.25</f>
        <v>0.5</v>
      </c>
      <c r="G6334" s="0" t="n">
        <f aca="false">-1+C6334*0.25</f>
        <v>-0.75</v>
      </c>
      <c r="H6334" s="0" t="n">
        <f aca="false">-1+D6334*0.25</f>
        <v>-0.5</v>
      </c>
      <c r="I6334" s="0" t="n">
        <f aca="false">1</f>
        <v>1</v>
      </c>
      <c r="J6334" s="0" t="n">
        <f aca="false">E6334</f>
        <v>1</v>
      </c>
      <c r="K6334" s="0" t="n">
        <f aca="false">F6334</f>
        <v>0.5</v>
      </c>
      <c r="L6334" s="0" t="n">
        <f aca="false">G6334</f>
        <v>-0.75</v>
      </c>
      <c r="M6334" s="0" t="n">
        <f aca="false">H6334</f>
        <v>-0.5</v>
      </c>
      <c r="N6334" s="0" t="n">
        <f aca="false">E6334*F6334</f>
        <v>0.5</v>
      </c>
      <c r="O6334" s="0" t="n">
        <f aca="false">E6334*G6334</f>
        <v>-0.75</v>
      </c>
      <c r="P6334" s="0" t="n">
        <f aca="false">E6334*H6334</f>
        <v>-0.5</v>
      </c>
      <c r="Q6334" s="0" t="n">
        <f aca="false">F6334*G6334</f>
        <v>-0.375</v>
      </c>
      <c r="R6334" s="0" t="n">
        <f aca="false">F6334*H6334</f>
        <v>-0.25</v>
      </c>
      <c r="S6334" s="0" t="n">
        <f aca="false">G6334*H6334</f>
        <v>0.375</v>
      </c>
      <c r="T6334" s="0" t="n">
        <f aca="false">E6334*E6334</f>
        <v>1</v>
      </c>
      <c r="U6334" s="0" t="n">
        <f aca="false">F6334*F6334</f>
        <v>0.25</v>
      </c>
      <c r="V6334" s="0" t="n">
        <f aca="false">G6334*G6334</f>
        <v>0.5625</v>
      </c>
      <c r="W6334" s="0" t="n">
        <f aca="false">H6334*H6334</f>
        <v>0.25</v>
      </c>
      <c r="X6334" s="0" t="n">
        <f aca="false">SUMPRODUCT(I6334:W6334,_XtX!$B$96:$P$96)</f>
        <v>47.3440789473685</v>
      </c>
      <c r="Y6334" s="0" t="n">
        <f aca="false">SUMPRODUCT(MMULT(I6334:W6334,_XtX!$B$78:$P$92),I6334:W6334)</f>
        <v>0.42602110745614</v>
      </c>
      <c r="Z6334" s="0" t="n">
        <f aca="false">04_回帰ANOVA!$K$19*04_回帰ANOVA!$K$14*SQRT(1+Y6334)</f>
        <v>1.55654388501114</v>
      </c>
      <c r="AA6334" s="0" t="n">
        <f aca="false">X6334-Z6334</f>
        <v>45.7875350623573</v>
      </c>
      <c r="AB6334" s="0" t="n">
        <f aca="false">X6334+Z6334</f>
        <v>48.9006228323796</v>
      </c>
      <c r="AC6334" s="54" t="b">
        <f aca="false">AND(E6334&gt;=01_因子設定!$L$5-0.000000001,E6334&lt;=01_因子設定!$M$5+0.000000001,F6334&gt;=01_因子設定!$L$6-0.000000001,F6334&lt;=01_因子設定!$M$6+0.000000001,G6334&gt;=01_因子設定!$L$7-0.000000001,G6334&lt;=01_因子設定!$M$7+0.000000001,H6334&gt;=01_因子設定!$L$8-0.000000001,H6334&lt;=01_因子設定!$M$8+0.000000001,IF(01_因子設定!$B$20="Box-Behnken",E6334^2+F6334^2+G6334^2+H6334^2&lt;=2+0.000000001,TRUE()))</f>
        <v>1</v>
      </c>
      <c r="AD6334" s="55" t="n">
        <f aca="false">IF(AC6334,IF(01_因子設定!$B$13="最大化",AA6334-01_因子設定!$B$14,IF(01_因子設定!$B$13="最小化",01_因子設定!$B$15-AB6334,MIN(AA6334-01_因子設定!$B$14,01_因子設定!$B$15-AB6334))),-1E+030)</f>
        <v>-0.712464937642679</v>
      </c>
      <c r="AE6334" s="55" t="n">
        <f aca="false">IF(AC6334,IF(01_因子設定!$B$13="最大化",X6334,IF(01_因子設定!$B$13="最小化",-X6334,-ABS(X6334-01_因子設定!$B$16))),-1E+030)</f>
        <v>47.3440789473685</v>
      </c>
      <c r="AF6334" s="55" t="n">
        <f aca="false">AD6334+ROW()*0.000000001</f>
        <v>-0.712458603642679</v>
      </c>
      <c r="AG6334" s="55" t="n">
        <f aca="false">AE6334+ROW()*0.000000001</f>
        <v>47.3440852813685</v>
      </c>
    </row>
    <row r="6335" customFormat="false" ht="15" hidden="false" customHeight="false" outlineLevel="0" collapsed="false">
      <c r="A6335" s="0" t="n">
        <v>8</v>
      </c>
      <c r="B6335" s="0" t="n">
        <v>6</v>
      </c>
      <c r="C6335" s="0" t="n">
        <v>1</v>
      </c>
      <c r="D6335" s="0" t="n">
        <v>3</v>
      </c>
      <c r="E6335" s="0" t="n">
        <f aca="false">-1+A6335*0.25</f>
        <v>1</v>
      </c>
      <c r="F6335" s="0" t="n">
        <f aca="false">-1+B6335*0.25</f>
        <v>0.5</v>
      </c>
      <c r="G6335" s="0" t="n">
        <f aca="false">-1+C6335*0.25</f>
        <v>-0.75</v>
      </c>
      <c r="H6335" s="0" t="n">
        <f aca="false">-1+D6335*0.25</f>
        <v>-0.25</v>
      </c>
      <c r="I6335" s="0" t="n">
        <f aca="false">1</f>
        <v>1</v>
      </c>
      <c r="J6335" s="0" t="n">
        <f aca="false">E6335</f>
        <v>1</v>
      </c>
      <c r="K6335" s="0" t="n">
        <f aca="false">F6335</f>
        <v>0.5</v>
      </c>
      <c r="L6335" s="0" t="n">
        <f aca="false">G6335</f>
        <v>-0.75</v>
      </c>
      <c r="M6335" s="0" t="n">
        <f aca="false">H6335</f>
        <v>-0.25</v>
      </c>
      <c r="N6335" s="0" t="n">
        <f aca="false">E6335*F6335</f>
        <v>0.5</v>
      </c>
      <c r="O6335" s="0" t="n">
        <f aca="false">E6335*G6335</f>
        <v>-0.75</v>
      </c>
      <c r="P6335" s="0" t="n">
        <f aca="false">E6335*H6335</f>
        <v>-0.25</v>
      </c>
      <c r="Q6335" s="0" t="n">
        <f aca="false">F6335*G6335</f>
        <v>-0.375</v>
      </c>
      <c r="R6335" s="0" t="n">
        <f aca="false">F6335*H6335</f>
        <v>-0.125</v>
      </c>
      <c r="S6335" s="0" t="n">
        <f aca="false">G6335*H6335</f>
        <v>0.1875</v>
      </c>
      <c r="T6335" s="0" t="n">
        <f aca="false">E6335*E6335</f>
        <v>1</v>
      </c>
      <c r="U6335" s="0" t="n">
        <f aca="false">F6335*F6335</f>
        <v>0.25</v>
      </c>
      <c r="V6335" s="0" t="n">
        <f aca="false">G6335*G6335</f>
        <v>0.5625</v>
      </c>
      <c r="W6335" s="0" t="n">
        <f aca="false">H6335*H6335</f>
        <v>0.0625</v>
      </c>
      <c r="X6335" s="0" t="n">
        <f aca="false">SUMPRODUCT(I6335:W6335,_XtX!$B$96:$P$96)</f>
        <v>47.4679596125731</v>
      </c>
      <c r="Y6335" s="0" t="n">
        <f aca="false">SUMPRODUCT(MMULT(I6335:W6335,_XtX!$B$78:$P$92),I6335:W6335)</f>
        <v>0.459125719572369</v>
      </c>
      <c r="Z6335" s="0" t="n">
        <f aca="false">04_回帰ANOVA!$K$19*04_回帰ANOVA!$K$14*SQRT(1+Y6335)</f>
        <v>1.57450755575573</v>
      </c>
      <c r="AA6335" s="0" t="n">
        <f aca="false">X6335-Z6335</f>
        <v>45.8934520568174</v>
      </c>
      <c r="AB6335" s="0" t="n">
        <f aca="false">X6335+Z6335</f>
        <v>49.0424671683289</v>
      </c>
      <c r="AC6335" s="54" t="b">
        <f aca="false">AND(E6335&gt;=01_因子設定!$L$5-0.000000001,E6335&lt;=01_因子設定!$M$5+0.000000001,F6335&gt;=01_因子設定!$L$6-0.000000001,F6335&lt;=01_因子設定!$M$6+0.000000001,G6335&gt;=01_因子設定!$L$7-0.000000001,G6335&lt;=01_因子設定!$M$7+0.000000001,H6335&gt;=01_因子設定!$L$8-0.000000001,H6335&lt;=01_因子設定!$M$8+0.000000001,IF(01_因子設定!$B$20="Box-Behnken",E6335^2+F6335^2+G6335^2+H6335^2&lt;=2+0.000000001,TRUE()))</f>
        <v>1</v>
      </c>
      <c r="AD6335" s="55" t="n">
        <f aca="false">IF(AC6335,IF(01_因子設定!$B$13="最大化",AA6335-01_因子設定!$B$14,IF(01_因子設定!$B$13="最小化",01_因子設定!$B$15-AB6335,MIN(AA6335-01_因子設定!$B$14,01_因子設定!$B$15-AB6335))),-1E+030)</f>
        <v>-0.606547943182605</v>
      </c>
      <c r="AE6335" s="55" t="n">
        <f aca="false">IF(AC6335,IF(01_因子設定!$B$13="最大化",X6335,IF(01_因子設定!$B$13="最小化",-X6335,-ABS(X6335-01_因子設定!$B$16))),-1E+030)</f>
        <v>47.4679596125731</v>
      </c>
      <c r="AF6335" s="55" t="n">
        <f aca="false">AD6335+ROW()*0.000000001</f>
        <v>-0.606541608182605</v>
      </c>
      <c r="AG6335" s="55" t="n">
        <f aca="false">AE6335+ROW()*0.000000001</f>
        <v>47.4679659475731</v>
      </c>
    </row>
    <row r="6336" customFormat="false" ht="15" hidden="false" customHeight="false" outlineLevel="0" collapsed="false">
      <c r="A6336" s="0" t="n">
        <v>8</v>
      </c>
      <c r="B6336" s="0" t="n">
        <v>6</v>
      </c>
      <c r="C6336" s="0" t="n">
        <v>1</v>
      </c>
      <c r="D6336" s="0" t="n">
        <v>4</v>
      </c>
      <c r="E6336" s="0" t="n">
        <f aca="false">-1+A6336*0.25</f>
        <v>1</v>
      </c>
      <c r="F6336" s="0" t="n">
        <f aca="false">-1+B6336*0.25</f>
        <v>0.5</v>
      </c>
      <c r="G6336" s="0" t="n">
        <f aca="false">-1+C6336*0.25</f>
        <v>-0.75</v>
      </c>
      <c r="H6336" s="0" t="n">
        <f aca="false">-1+D6336*0.25</f>
        <v>0</v>
      </c>
      <c r="I6336" s="0" t="n">
        <f aca="false">1</f>
        <v>1</v>
      </c>
      <c r="J6336" s="0" t="n">
        <f aca="false">E6336</f>
        <v>1</v>
      </c>
      <c r="K6336" s="0" t="n">
        <f aca="false">F6336</f>
        <v>0.5</v>
      </c>
      <c r="L6336" s="0" t="n">
        <f aca="false">G6336</f>
        <v>-0.75</v>
      </c>
      <c r="M6336" s="0" t="n">
        <f aca="false">H6336</f>
        <v>0</v>
      </c>
      <c r="N6336" s="0" t="n">
        <f aca="false">E6336*F6336</f>
        <v>0.5</v>
      </c>
      <c r="O6336" s="0" t="n">
        <f aca="false">E6336*G6336</f>
        <v>-0.75</v>
      </c>
      <c r="P6336" s="0" t="n">
        <f aca="false">E6336*H6336</f>
        <v>0</v>
      </c>
      <c r="Q6336" s="0" t="n">
        <f aca="false">F6336*G6336</f>
        <v>-0.375</v>
      </c>
      <c r="R6336" s="0" t="n">
        <f aca="false">F6336*H6336</f>
        <v>0</v>
      </c>
      <c r="S6336" s="0" t="n">
        <f aca="false">G6336*H6336</f>
        <v>-0</v>
      </c>
      <c r="T6336" s="0" t="n">
        <f aca="false">E6336*E6336</f>
        <v>1</v>
      </c>
      <c r="U6336" s="0" t="n">
        <f aca="false">F6336*F6336</f>
        <v>0.25</v>
      </c>
      <c r="V6336" s="0" t="n">
        <f aca="false">G6336*G6336</f>
        <v>0.5625</v>
      </c>
      <c r="W6336" s="0" t="n">
        <f aca="false">H6336*H6336</f>
        <v>0</v>
      </c>
      <c r="X6336" s="0" t="n">
        <f aca="false">SUMPRODUCT(I6336:W6336,_XtX!$B$96:$P$96)</f>
        <v>47.5440332602339</v>
      </c>
      <c r="Y6336" s="0" t="n">
        <f aca="false">SUMPRODUCT(MMULT(I6336:W6336,_XtX!$B$78:$P$92),I6336:W6336)</f>
        <v>0.476191292032164</v>
      </c>
      <c r="Z6336" s="0" t="n">
        <f aca="false">04_回帰ANOVA!$K$19*04_回帰ANOVA!$K$14*SQRT(1+Y6336)</f>
        <v>1.58368831471718</v>
      </c>
      <c r="AA6336" s="0" t="n">
        <f aca="false">X6336-Z6336</f>
        <v>45.9603449455168</v>
      </c>
      <c r="AB6336" s="0" t="n">
        <f aca="false">X6336+Z6336</f>
        <v>49.1277215749511</v>
      </c>
      <c r="AC6336" s="54" t="b">
        <f aca="false">AND(E6336&gt;=01_因子設定!$L$5-0.000000001,E6336&lt;=01_因子設定!$M$5+0.000000001,F6336&gt;=01_因子設定!$L$6-0.000000001,F6336&lt;=01_因子設定!$M$6+0.000000001,G6336&gt;=01_因子設定!$L$7-0.000000001,G6336&lt;=01_因子設定!$M$7+0.000000001,H6336&gt;=01_因子設定!$L$8-0.000000001,H6336&lt;=01_因子設定!$M$8+0.000000001,IF(01_因子設定!$B$20="Box-Behnken",E6336^2+F6336^2+G6336^2+H6336^2&lt;=2+0.000000001,TRUE()))</f>
        <v>1</v>
      </c>
      <c r="AD6336" s="55" t="n">
        <f aca="false">IF(AC6336,IF(01_因子設定!$B$13="最大化",AA6336-01_因子設定!$B$14,IF(01_因子設定!$B$13="最小化",01_因子設定!$B$15-AB6336,MIN(AA6336-01_因子設定!$B$14,01_因子設定!$B$15-AB6336))),-1E+030)</f>
        <v>-0.539655054483234</v>
      </c>
      <c r="AE6336" s="55" t="n">
        <f aca="false">IF(AC6336,IF(01_因子設定!$B$13="最大化",X6336,IF(01_因子設定!$B$13="最小化",-X6336,-ABS(X6336-01_因子設定!$B$16))),-1E+030)</f>
        <v>47.5440332602339</v>
      </c>
      <c r="AF6336" s="55" t="n">
        <f aca="false">AD6336+ROW()*0.000000001</f>
        <v>-0.539648718483234</v>
      </c>
      <c r="AG6336" s="55" t="n">
        <f aca="false">AE6336+ROW()*0.000000001</f>
        <v>47.5440395962339</v>
      </c>
    </row>
    <row r="6337" customFormat="false" ht="15" hidden="false" customHeight="false" outlineLevel="0" collapsed="false">
      <c r="A6337" s="0" t="n">
        <v>8</v>
      </c>
      <c r="B6337" s="0" t="n">
        <v>6</v>
      </c>
      <c r="C6337" s="0" t="n">
        <v>1</v>
      </c>
      <c r="D6337" s="0" t="n">
        <v>5</v>
      </c>
      <c r="E6337" s="0" t="n">
        <f aca="false">-1+A6337*0.25</f>
        <v>1</v>
      </c>
      <c r="F6337" s="0" t="n">
        <f aca="false">-1+B6337*0.25</f>
        <v>0.5</v>
      </c>
      <c r="G6337" s="0" t="n">
        <f aca="false">-1+C6337*0.25</f>
        <v>-0.75</v>
      </c>
      <c r="H6337" s="0" t="n">
        <f aca="false">-1+D6337*0.25</f>
        <v>0.25</v>
      </c>
      <c r="I6337" s="0" t="n">
        <f aca="false">1</f>
        <v>1</v>
      </c>
      <c r="J6337" s="0" t="n">
        <f aca="false">E6337</f>
        <v>1</v>
      </c>
      <c r="K6337" s="0" t="n">
        <f aca="false">F6337</f>
        <v>0.5</v>
      </c>
      <c r="L6337" s="0" t="n">
        <f aca="false">G6337</f>
        <v>-0.75</v>
      </c>
      <c r="M6337" s="0" t="n">
        <f aca="false">H6337</f>
        <v>0.25</v>
      </c>
      <c r="N6337" s="0" t="n">
        <f aca="false">E6337*F6337</f>
        <v>0.5</v>
      </c>
      <c r="O6337" s="0" t="n">
        <f aca="false">E6337*G6337</f>
        <v>-0.75</v>
      </c>
      <c r="P6337" s="0" t="n">
        <f aca="false">E6337*H6337</f>
        <v>0.25</v>
      </c>
      <c r="Q6337" s="0" t="n">
        <f aca="false">F6337*G6337</f>
        <v>-0.375</v>
      </c>
      <c r="R6337" s="0" t="n">
        <f aca="false">F6337*H6337</f>
        <v>0.125</v>
      </c>
      <c r="S6337" s="0" t="n">
        <f aca="false">G6337*H6337</f>
        <v>-0.1875</v>
      </c>
      <c r="T6337" s="0" t="n">
        <f aca="false">E6337*E6337</f>
        <v>1</v>
      </c>
      <c r="U6337" s="0" t="n">
        <f aca="false">F6337*F6337</f>
        <v>0.25</v>
      </c>
      <c r="V6337" s="0" t="n">
        <f aca="false">G6337*G6337</f>
        <v>0.5625</v>
      </c>
      <c r="W6337" s="0" t="n">
        <f aca="false">H6337*H6337</f>
        <v>0.0625</v>
      </c>
      <c r="X6337" s="0" t="n">
        <f aca="false">SUMPRODUCT(I6337:W6337,_XtX!$B$96:$P$96)</f>
        <v>47.5722998903509</v>
      </c>
      <c r="Y6337" s="0" t="n">
        <f aca="false">SUMPRODUCT(MMULT(I6337:W6337,_XtX!$B$78:$P$92),I6337:W6337)</f>
        <v>0.459125719572369</v>
      </c>
      <c r="Z6337" s="0" t="n">
        <f aca="false">04_回帰ANOVA!$K$19*04_回帰ANOVA!$K$14*SQRT(1+Y6337)</f>
        <v>1.57450755575573</v>
      </c>
      <c r="AA6337" s="0" t="n">
        <f aca="false">X6337-Z6337</f>
        <v>45.9977923345952</v>
      </c>
      <c r="AB6337" s="0" t="n">
        <f aca="false">X6337+Z6337</f>
        <v>49.1468074461066</v>
      </c>
      <c r="AC6337" s="54" t="b">
        <f aca="false">AND(E6337&gt;=01_因子設定!$L$5-0.000000001,E6337&lt;=01_因子設定!$M$5+0.000000001,F6337&gt;=01_因子設定!$L$6-0.000000001,F6337&lt;=01_因子設定!$M$6+0.000000001,G6337&gt;=01_因子設定!$L$7-0.000000001,G6337&lt;=01_因子設定!$M$7+0.000000001,H6337&gt;=01_因子設定!$L$8-0.000000001,H6337&lt;=01_因子設定!$M$8+0.000000001,IF(01_因子設定!$B$20="Box-Behnken",E6337^2+F6337^2+G6337^2+H6337^2&lt;=2+0.000000001,TRUE()))</f>
        <v>1</v>
      </c>
      <c r="AD6337" s="55" t="n">
        <f aca="false">IF(AC6337,IF(01_因子設定!$B$13="最大化",AA6337-01_因子設定!$B$14,IF(01_因子設定!$B$13="最小化",01_因子設定!$B$15-AB6337,MIN(AA6337-01_因子設定!$B$14,01_因子設定!$B$15-AB6337))),-1E+030)</f>
        <v>-0.502207665404825</v>
      </c>
      <c r="AE6337" s="55" t="n">
        <f aca="false">IF(AC6337,IF(01_因子設定!$B$13="最大化",X6337,IF(01_因子設定!$B$13="最小化",-X6337,-ABS(X6337-01_因子設定!$B$16))),-1E+030)</f>
        <v>47.5722998903509</v>
      </c>
      <c r="AF6337" s="55" t="n">
        <f aca="false">AD6337+ROW()*0.000000001</f>
        <v>-0.502201328404825</v>
      </c>
      <c r="AG6337" s="55" t="n">
        <f aca="false">AE6337+ROW()*0.000000001</f>
        <v>47.5723062273509</v>
      </c>
    </row>
    <row r="6338" customFormat="false" ht="15" hidden="false" customHeight="false" outlineLevel="0" collapsed="false">
      <c r="A6338" s="0" t="n">
        <v>8</v>
      </c>
      <c r="B6338" s="0" t="n">
        <v>6</v>
      </c>
      <c r="C6338" s="0" t="n">
        <v>1</v>
      </c>
      <c r="D6338" s="0" t="n">
        <v>6</v>
      </c>
      <c r="E6338" s="0" t="n">
        <f aca="false">-1+A6338*0.25</f>
        <v>1</v>
      </c>
      <c r="F6338" s="0" t="n">
        <f aca="false">-1+B6338*0.25</f>
        <v>0.5</v>
      </c>
      <c r="G6338" s="0" t="n">
        <f aca="false">-1+C6338*0.25</f>
        <v>-0.75</v>
      </c>
      <c r="H6338" s="0" t="n">
        <f aca="false">-1+D6338*0.25</f>
        <v>0.5</v>
      </c>
      <c r="I6338" s="0" t="n">
        <f aca="false">1</f>
        <v>1</v>
      </c>
      <c r="J6338" s="0" t="n">
        <f aca="false">E6338</f>
        <v>1</v>
      </c>
      <c r="K6338" s="0" t="n">
        <f aca="false">F6338</f>
        <v>0.5</v>
      </c>
      <c r="L6338" s="0" t="n">
        <f aca="false">G6338</f>
        <v>-0.75</v>
      </c>
      <c r="M6338" s="0" t="n">
        <f aca="false">H6338</f>
        <v>0.5</v>
      </c>
      <c r="N6338" s="0" t="n">
        <f aca="false">E6338*F6338</f>
        <v>0.5</v>
      </c>
      <c r="O6338" s="0" t="n">
        <f aca="false">E6338*G6338</f>
        <v>-0.75</v>
      </c>
      <c r="P6338" s="0" t="n">
        <f aca="false">E6338*H6338</f>
        <v>0.5</v>
      </c>
      <c r="Q6338" s="0" t="n">
        <f aca="false">F6338*G6338</f>
        <v>-0.375</v>
      </c>
      <c r="R6338" s="0" t="n">
        <f aca="false">F6338*H6338</f>
        <v>0.25</v>
      </c>
      <c r="S6338" s="0" t="n">
        <f aca="false">G6338*H6338</f>
        <v>-0.375</v>
      </c>
      <c r="T6338" s="0" t="n">
        <f aca="false">E6338*E6338</f>
        <v>1</v>
      </c>
      <c r="U6338" s="0" t="n">
        <f aca="false">F6338*F6338</f>
        <v>0.25</v>
      </c>
      <c r="V6338" s="0" t="n">
        <f aca="false">G6338*G6338</f>
        <v>0.5625</v>
      </c>
      <c r="W6338" s="0" t="n">
        <f aca="false">H6338*H6338</f>
        <v>0.25</v>
      </c>
      <c r="X6338" s="0" t="n">
        <f aca="false">SUMPRODUCT(I6338:W6338,_XtX!$B$96:$P$96)</f>
        <v>47.552759502924</v>
      </c>
      <c r="Y6338" s="0" t="n">
        <f aca="false">SUMPRODUCT(MMULT(I6338:W6338,_XtX!$B$78:$P$92),I6338:W6338)</f>
        <v>0.42602110745614</v>
      </c>
      <c r="Z6338" s="0" t="n">
        <f aca="false">04_回帰ANOVA!$K$19*04_回帰ANOVA!$K$14*SQRT(1+Y6338)</f>
        <v>1.55654388501114</v>
      </c>
      <c r="AA6338" s="0" t="n">
        <f aca="false">X6338-Z6338</f>
        <v>45.9962156179129</v>
      </c>
      <c r="AB6338" s="0" t="n">
        <f aca="false">X6338+Z6338</f>
        <v>49.1093033879352</v>
      </c>
      <c r="AC6338" s="54" t="b">
        <f aca="false">AND(E6338&gt;=01_因子設定!$L$5-0.000000001,E6338&lt;=01_因子設定!$M$5+0.000000001,F6338&gt;=01_因子設定!$L$6-0.000000001,F6338&lt;=01_因子設定!$M$6+0.000000001,G6338&gt;=01_因子設定!$L$7-0.000000001,G6338&lt;=01_因子設定!$M$7+0.000000001,H6338&gt;=01_因子設定!$L$8-0.000000001,H6338&lt;=01_因子設定!$M$8+0.000000001,IF(01_因子設定!$B$20="Box-Behnken",E6338^2+F6338^2+G6338^2+H6338^2&lt;=2+0.000000001,TRUE()))</f>
        <v>1</v>
      </c>
      <c r="AD6338" s="55" t="n">
        <f aca="false">IF(AC6338,IF(01_因子設定!$B$13="最大化",AA6338-01_因子設定!$B$14,IF(01_因子設定!$B$13="最小化",01_因子設定!$B$15-AB6338,MIN(AA6338-01_因子設定!$B$14,01_因子設定!$B$15-AB6338))),-1E+030)</f>
        <v>-0.503784382087126</v>
      </c>
      <c r="AE6338" s="55" t="n">
        <f aca="false">IF(AC6338,IF(01_因子設定!$B$13="最大化",X6338,IF(01_因子設定!$B$13="最小化",-X6338,-ABS(X6338-01_因子設定!$B$16))),-1E+030)</f>
        <v>47.552759502924</v>
      </c>
      <c r="AF6338" s="55" t="n">
        <f aca="false">AD6338+ROW()*0.000000001</f>
        <v>-0.503778044087126</v>
      </c>
      <c r="AG6338" s="55" t="n">
        <f aca="false">AE6338+ROW()*0.000000001</f>
        <v>47.552765840924</v>
      </c>
    </row>
    <row r="6339" customFormat="false" ht="15" hidden="false" customHeight="false" outlineLevel="0" collapsed="false">
      <c r="A6339" s="0" t="n">
        <v>8</v>
      </c>
      <c r="B6339" s="0" t="n">
        <v>6</v>
      </c>
      <c r="C6339" s="0" t="n">
        <v>1</v>
      </c>
      <c r="D6339" s="0" t="n">
        <v>7</v>
      </c>
      <c r="E6339" s="0" t="n">
        <f aca="false">-1+A6339*0.25</f>
        <v>1</v>
      </c>
      <c r="F6339" s="0" t="n">
        <f aca="false">-1+B6339*0.25</f>
        <v>0.5</v>
      </c>
      <c r="G6339" s="0" t="n">
        <f aca="false">-1+C6339*0.25</f>
        <v>-0.75</v>
      </c>
      <c r="H6339" s="0" t="n">
        <f aca="false">-1+D6339*0.25</f>
        <v>0.75</v>
      </c>
      <c r="I6339" s="0" t="n">
        <f aca="false">1</f>
        <v>1</v>
      </c>
      <c r="J6339" s="0" t="n">
        <f aca="false">E6339</f>
        <v>1</v>
      </c>
      <c r="K6339" s="0" t="n">
        <f aca="false">F6339</f>
        <v>0.5</v>
      </c>
      <c r="L6339" s="0" t="n">
        <f aca="false">G6339</f>
        <v>-0.75</v>
      </c>
      <c r="M6339" s="0" t="n">
        <f aca="false">H6339</f>
        <v>0.75</v>
      </c>
      <c r="N6339" s="0" t="n">
        <f aca="false">E6339*F6339</f>
        <v>0.5</v>
      </c>
      <c r="O6339" s="0" t="n">
        <f aca="false">E6339*G6339</f>
        <v>-0.75</v>
      </c>
      <c r="P6339" s="0" t="n">
        <f aca="false">E6339*H6339</f>
        <v>0.75</v>
      </c>
      <c r="Q6339" s="0" t="n">
        <f aca="false">F6339*G6339</f>
        <v>-0.375</v>
      </c>
      <c r="R6339" s="0" t="n">
        <f aca="false">F6339*H6339</f>
        <v>0.375</v>
      </c>
      <c r="S6339" s="0" t="n">
        <f aca="false">G6339*H6339</f>
        <v>-0.5625</v>
      </c>
      <c r="T6339" s="0" t="n">
        <f aca="false">E6339*E6339</f>
        <v>1</v>
      </c>
      <c r="U6339" s="0" t="n">
        <f aca="false">F6339*F6339</f>
        <v>0.25</v>
      </c>
      <c r="V6339" s="0" t="n">
        <f aca="false">G6339*G6339</f>
        <v>0.5625</v>
      </c>
      <c r="W6339" s="0" t="n">
        <f aca="false">H6339*H6339</f>
        <v>0.5625</v>
      </c>
      <c r="X6339" s="0" t="n">
        <f aca="false">SUMPRODUCT(I6339:W6339,_XtX!$B$96:$P$96)</f>
        <v>47.4854120979533</v>
      </c>
      <c r="Y6339" s="0" t="n">
        <f aca="false">SUMPRODUCT(MMULT(I6339:W6339,_XtX!$B$78:$P$92),I6339:W6339)</f>
        <v>0.431153771472953</v>
      </c>
      <c r="Z6339" s="0" t="n">
        <f aca="false">04_回帰ANOVA!$K$19*04_回帰ANOVA!$K$14*SQRT(1+Y6339)</f>
        <v>1.55934259562563</v>
      </c>
      <c r="AA6339" s="0" t="n">
        <f aca="false">X6339-Z6339</f>
        <v>45.9260695023276</v>
      </c>
      <c r="AB6339" s="0" t="n">
        <f aca="false">X6339+Z6339</f>
        <v>49.0447546935789</v>
      </c>
      <c r="AC6339" s="54" t="b">
        <f aca="false">AND(E6339&gt;=01_因子設定!$L$5-0.000000001,E6339&lt;=01_因子設定!$M$5+0.000000001,F6339&gt;=01_因子設定!$L$6-0.000000001,F6339&lt;=01_因子設定!$M$6+0.000000001,G6339&gt;=01_因子設定!$L$7-0.000000001,G6339&lt;=01_因子設定!$M$7+0.000000001,H6339&gt;=01_因子設定!$L$8-0.000000001,H6339&lt;=01_因子設定!$M$8+0.000000001,IF(01_因子設定!$B$20="Box-Behnken",E6339^2+F6339^2+G6339^2+H6339^2&lt;=2+0.000000001,TRUE()))</f>
        <v>1</v>
      </c>
      <c r="AD6339" s="55" t="n">
        <f aca="false">IF(AC6339,IF(01_因子設定!$B$13="最大化",AA6339-01_因子設定!$B$14,IF(01_因子設定!$B$13="最小化",01_因子設定!$B$15-AB6339,MIN(AA6339-01_因子設定!$B$14,01_因子設定!$B$15-AB6339))),-1E+030)</f>
        <v>-0.573930497672365</v>
      </c>
      <c r="AE6339" s="55" t="n">
        <f aca="false">IF(AC6339,IF(01_因子設定!$B$13="最大化",X6339,IF(01_因子設定!$B$13="最小化",-X6339,-ABS(X6339-01_因子設定!$B$16))),-1E+030)</f>
        <v>47.4854120979533</v>
      </c>
      <c r="AF6339" s="55" t="n">
        <f aca="false">AD6339+ROW()*0.000000001</f>
        <v>-0.573924158672365</v>
      </c>
      <c r="AG6339" s="55" t="n">
        <f aca="false">AE6339+ROW()*0.000000001</f>
        <v>47.4854184369533</v>
      </c>
    </row>
    <row r="6340" customFormat="false" ht="15" hidden="false" customHeight="false" outlineLevel="0" collapsed="false">
      <c r="A6340" s="0" t="n">
        <v>8</v>
      </c>
      <c r="B6340" s="0" t="n">
        <v>6</v>
      </c>
      <c r="C6340" s="0" t="n">
        <v>1</v>
      </c>
      <c r="D6340" s="0" t="n">
        <v>8</v>
      </c>
      <c r="E6340" s="0" t="n">
        <f aca="false">-1+A6340*0.25</f>
        <v>1</v>
      </c>
      <c r="F6340" s="0" t="n">
        <f aca="false">-1+B6340*0.25</f>
        <v>0.5</v>
      </c>
      <c r="G6340" s="0" t="n">
        <f aca="false">-1+C6340*0.25</f>
        <v>-0.75</v>
      </c>
      <c r="H6340" s="0" t="n">
        <f aca="false">-1+D6340*0.25</f>
        <v>1</v>
      </c>
      <c r="I6340" s="0" t="n">
        <f aca="false">1</f>
        <v>1</v>
      </c>
      <c r="J6340" s="0" t="n">
        <f aca="false">E6340</f>
        <v>1</v>
      </c>
      <c r="K6340" s="0" t="n">
        <f aca="false">F6340</f>
        <v>0.5</v>
      </c>
      <c r="L6340" s="0" t="n">
        <f aca="false">G6340</f>
        <v>-0.75</v>
      </c>
      <c r="M6340" s="0" t="n">
        <f aca="false">H6340</f>
        <v>1</v>
      </c>
      <c r="N6340" s="0" t="n">
        <f aca="false">E6340*F6340</f>
        <v>0.5</v>
      </c>
      <c r="O6340" s="0" t="n">
        <f aca="false">E6340*G6340</f>
        <v>-0.75</v>
      </c>
      <c r="P6340" s="0" t="n">
        <f aca="false">E6340*H6340</f>
        <v>1</v>
      </c>
      <c r="Q6340" s="0" t="n">
        <f aca="false">F6340*G6340</f>
        <v>-0.375</v>
      </c>
      <c r="R6340" s="0" t="n">
        <f aca="false">F6340*H6340</f>
        <v>0.5</v>
      </c>
      <c r="S6340" s="0" t="n">
        <f aca="false">G6340*H6340</f>
        <v>-0.75</v>
      </c>
      <c r="T6340" s="0" t="n">
        <f aca="false">E6340*E6340</f>
        <v>1</v>
      </c>
      <c r="U6340" s="0" t="n">
        <f aca="false">F6340*F6340</f>
        <v>0.25</v>
      </c>
      <c r="V6340" s="0" t="n">
        <f aca="false">G6340*G6340</f>
        <v>0.5625</v>
      </c>
      <c r="W6340" s="0" t="n">
        <f aca="false">H6340*H6340</f>
        <v>1</v>
      </c>
      <c r="X6340" s="0" t="n">
        <f aca="false">SUMPRODUCT(I6340:W6340,_XtX!$B$96:$P$96)</f>
        <v>47.3702576754387</v>
      </c>
      <c r="Y6340" s="0" t="n">
        <f aca="false">SUMPRODUCT(MMULT(I6340:W6340,_XtX!$B$78:$P$92),I6340:W6340)</f>
        <v>0.564984237938597</v>
      </c>
      <c r="Z6340" s="0" t="n">
        <f aca="false">04_回帰ANOVA!$K$19*04_回帰ANOVA!$K$14*SQRT(1+Y6340)</f>
        <v>1.63062229734503</v>
      </c>
      <c r="AA6340" s="0" t="n">
        <f aca="false">X6340-Z6340</f>
        <v>45.7396353780936</v>
      </c>
      <c r="AB6340" s="0" t="n">
        <f aca="false">X6340+Z6340</f>
        <v>49.0008799727837</v>
      </c>
      <c r="AC6340" s="54" t="b">
        <f aca="false">AND(E6340&gt;=01_因子設定!$L$5-0.000000001,E6340&lt;=01_因子設定!$M$5+0.000000001,F6340&gt;=01_因子設定!$L$6-0.000000001,F6340&lt;=01_因子設定!$M$6+0.000000001,G6340&gt;=01_因子設定!$L$7-0.000000001,G6340&lt;=01_因子設定!$M$7+0.000000001,H6340&gt;=01_因子設定!$L$8-0.000000001,H6340&lt;=01_因子設定!$M$8+0.000000001,IF(01_因子設定!$B$20="Box-Behnken",E6340^2+F6340^2+G6340^2+H6340^2&lt;=2+0.000000001,TRUE()))</f>
        <v>1</v>
      </c>
      <c r="AD6340" s="55" t="n">
        <f aca="false">IF(AC6340,IF(01_因子設定!$B$13="最大化",AA6340-01_因子設定!$B$14,IF(01_因子設定!$B$13="最小化",01_因子設定!$B$15-AB6340,MIN(AA6340-01_因子設定!$B$14,01_因子設定!$B$15-AB6340))),-1E+030)</f>
        <v>-0.760364621906376</v>
      </c>
      <c r="AE6340" s="55" t="n">
        <f aca="false">IF(AC6340,IF(01_因子設定!$B$13="最大化",X6340,IF(01_因子設定!$B$13="最小化",-X6340,-ABS(X6340-01_因子設定!$B$16))),-1E+030)</f>
        <v>47.3702576754387</v>
      </c>
      <c r="AF6340" s="55" t="n">
        <f aca="false">AD6340+ROW()*0.000000001</f>
        <v>-0.760358281906376</v>
      </c>
      <c r="AG6340" s="55" t="n">
        <f aca="false">AE6340+ROW()*0.000000001</f>
        <v>47.3702640154387</v>
      </c>
    </row>
    <row r="6341" customFormat="false" ht="15" hidden="false" customHeight="false" outlineLevel="0" collapsed="false">
      <c r="A6341" s="0" t="n">
        <v>8</v>
      </c>
      <c r="B6341" s="0" t="n">
        <v>6</v>
      </c>
      <c r="C6341" s="0" t="n">
        <v>2</v>
      </c>
      <c r="D6341" s="0" t="n">
        <v>0</v>
      </c>
      <c r="E6341" s="0" t="n">
        <f aca="false">-1+A6341*0.25</f>
        <v>1</v>
      </c>
      <c r="F6341" s="0" t="n">
        <f aca="false">-1+B6341*0.25</f>
        <v>0.5</v>
      </c>
      <c r="G6341" s="0" t="n">
        <f aca="false">-1+C6341*0.25</f>
        <v>-0.5</v>
      </c>
      <c r="H6341" s="0" t="n">
        <f aca="false">-1+D6341*0.25</f>
        <v>-1</v>
      </c>
      <c r="I6341" s="0" t="n">
        <f aca="false">1</f>
        <v>1</v>
      </c>
      <c r="J6341" s="0" t="n">
        <f aca="false">E6341</f>
        <v>1</v>
      </c>
      <c r="K6341" s="0" t="n">
        <f aca="false">F6341</f>
        <v>0.5</v>
      </c>
      <c r="L6341" s="0" t="n">
        <f aca="false">G6341</f>
        <v>-0.5</v>
      </c>
      <c r="M6341" s="0" t="n">
        <f aca="false">H6341</f>
        <v>-1</v>
      </c>
      <c r="N6341" s="0" t="n">
        <f aca="false">E6341*F6341</f>
        <v>0.5</v>
      </c>
      <c r="O6341" s="0" t="n">
        <f aca="false">E6341*G6341</f>
        <v>-0.5</v>
      </c>
      <c r="P6341" s="0" t="n">
        <f aca="false">E6341*H6341</f>
        <v>-1</v>
      </c>
      <c r="Q6341" s="0" t="n">
        <f aca="false">F6341*G6341</f>
        <v>-0.25</v>
      </c>
      <c r="R6341" s="0" t="n">
        <f aca="false">F6341*H6341</f>
        <v>-0.5</v>
      </c>
      <c r="S6341" s="0" t="n">
        <f aca="false">G6341*H6341</f>
        <v>0.5</v>
      </c>
      <c r="T6341" s="0" t="n">
        <f aca="false">E6341*E6341</f>
        <v>1</v>
      </c>
      <c r="U6341" s="0" t="n">
        <f aca="false">F6341*F6341</f>
        <v>0.25</v>
      </c>
      <c r="V6341" s="0" t="n">
        <f aca="false">G6341*G6341</f>
        <v>0.25</v>
      </c>
      <c r="W6341" s="0" t="n">
        <f aca="false">H6341*H6341</f>
        <v>1</v>
      </c>
      <c r="X6341" s="0" t="n">
        <f aca="false">SUMPRODUCT(I6341:W6341,_XtX!$B$96:$P$96)</f>
        <v>47.2166849415205</v>
      </c>
      <c r="Y6341" s="0" t="n">
        <f aca="false">SUMPRODUCT(MMULT(I6341:W6341,_XtX!$B$78:$P$92),I6341:W6341)</f>
        <v>0.582488121345029</v>
      </c>
      <c r="Z6341" s="0" t="n">
        <f aca="false">04_回帰ANOVA!$K$19*04_回帰ANOVA!$K$14*SQRT(1+Y6341)</f>
        <v>1.63971595338287</v>
      </c>
      <c r="AA6341" s="0" t="n">
        <f aca="false">X6341-Z6341</f>
        <v>45.5769689881377</v>
      </c>
      <c r="AB6341" s="0" t="n">
        <f aca="false">X6341+Z6341</f>
        <v>48.8564008949034</v>
      </c>
      <c r="AC6341" s="54" t="b">
        <f aca="false">AND(E6341&gt;=01_因子設定!$L$5-0.000000001,E6341&lt;=01_因子設定!$M$5+0.000000001,F6341&gt;=01_因子設定!$L$6-0.000000001,F6341&lt;=01_因子設定!$M$6+0.000000001,G6341&gt;=01_因子設定!$L$7-0.000000001,G6341&lt;=01_因子設定!$M$7+0.000000001,H6341&gt;=01_因子設定!$L$8-0.000000001,H6341&lt;=01_因子設定!$M$8+0.000000001,IF(01_因子設定!$B$20="Box-Behnken",E6341^2+F6341^2+G6341^2+H6341^2&lt;=2+0.000000001,TRUE()))</f>
        <v>1</v>
      </c>
      <c r="AD6341" s="55" t="n">
        <f aca="false">IF(AC6341,IF(01_因子設定!$B$13="最大化",AA6341-01_因子設定!$B$14,IF(01_因子設定!$B$13="最小化",01_因子設定!$B$15-AB6341,MIN(AA6341-01_因子設定!$B$14,01_因子設定!$B$15-AB6341))),-1E+030)</f>
        <v>-0.923031011862335</v>
      </c>
      <c r="AE6341" s="55" t="n">
        <f aca="false">IF(AC6341,IF(01_因子設定!$B$13="最大化",X6341,IF(01_因子設定!$B$13="最小化",-X6341,-ABS(X6341-01_因子設定!$B$16))),-1E+030)</f>
        <v>47.2166849415205</v>
      </c>
      <c r="AF6341" s="55" t="n">
        <f aca="false">AD6341+ROW()*0.000000001</f>
        <v>-0.923024670862335</v>
      </c>
      <c r="AG6341" s="55" t="n">
        <f aca="false">AE6341+ROW()*0.000000001</f>
        <v>47.2166912825205</v>
      </c>
    </row>
    <row r="6342" customFormat="false" ht="15" hidden="false" customHeight="false" outlineLevel="0" collapsed="false">
      <c r="A6342" s="0" t="n">
        <v>8</v>
      </c>
      <c r="B6342" s="0" t="n">
        <v>6</v>
      </c>
      <c r="C6342" s="0" t="n">
        <v>2</v>
      </c>
      <c r="D6342" s="0" t="n">
        <v>1</v>
      </c>
      <c r="E6342" s="0" t="n">
        <f aca="false">-1+A6342*0.25</f>
        <v>1</v>
      </c>
      <c r="F6342" s="0" t="n">
        <f aca="false">-1+B6342*0.25</f>
        <v>0.5</v>
      </c>
      <c r="G6342" s="0" t="n">
        <f aca="false">-1+C6342*0.25</f>
        <v>-0.5</v>
      </c>
      <c r="H6342" s="0" t="n">
        <f aca="false">-1+D6342*0.25</f>
        <v>-0.75</v>
      </c>
      <c r="I6342" s="0" t="n">
        <f aca="false">1</f>
        <v>1</v>
      </c>
      <c r="J6342" s="0" t="n">
        <f aca="false">E6342</f>
        <v>1</v>
      </c>
      <c r="K6342" s="0" t="n">
        <f aca="false">F6342</f>
        <v>0.5</v>
      </c>
      <c r="L6342" s="0" t="n">
        <f aca="false">G6342</f>
        <v>-0.5</v>
      </c>
      <c r="M6342" s="0" t="n">
        <f aca="false">H6342</f>
        <v>-0.75</v>
      </c>
      <c r="N6342" s="0" t="n">
        <f aca="false">E6342*F6342</f>
        <v>0.5</v>
      </c>
      <c r="O6342" s="0" t="n">
        <f aca="false">E6342*G6342</f>
        <v>-0.5</v>
      </c>
      <c r="P6342" s="0" t="n">
        <f aca="false">E6342*H6342</f>
        <v>-0.75</v>
      </c>
      <c r="Q6342" s="0" t="n">
        <f aca="false">F6342*G6342</f>
        <v>-0.25</v>
      </c>
      <c r="R6342" s="0" t="n">
        <f aca="false">F6342*H6342</f>
        <v>-0.375</v>
      </c>
      <c r="S6342" s="0" t="n">
        <f aca="false">G6342*H6342</f>
        <v>0.375</v>
      </c>
      <c r="T6342" s="0" t="n">
        <f aca="false">E6342*E6342</f>
        <v>1</v>
      </c>
      <c r="U6342" s="0" t="n">
        <f aca="false">F6342*F6342</f>
        <v>0.25</v>
      </c>
      <c r="V6342" s="0" t="n">
        <f aca="false">G6342*G6342</f>
        <v>0.25</v>
      </c>
      <c r="W6342" s="0" t="n">
        <f aca="false">H6342*H6342</f>
        <v>0.5625</v>
      </c>
      <c r="X6342" s="0" t="n">
        <f aca="false">SUMPRODUCT(I6342:W6342,_XtX!$B$96:$P$96)</f>
        <v>47.4541483918129</v>
      </c>
      <c r="Y6342" s="0" t="n">
        <f aca="false">SUMPRODUCT(MMULT(I6342:W6342,_XtX!$B$78:$P$92),I6342:W6342)</f>
        <v>0.42602110745614</v>
      </c>
      <c r="Z6342" s="0" t="n">
        <f aca="false">04_回帰ANOVA!$K$19*04_回帰ANOVA!$K$14*SQRT(1+Y6342)</f>
        <v>1.55654388501114</v>
      </c>
      <c r="AA6342" s="0" t="n">
        <f aca="false">X6342-Z6342</f>
        <v>45.8976045068018</v>
      </c>
      <c r="AB6342" s="0" t="n">
        <f aca="false">X6342+Z6342</f>
        <v>49.0106922768241</v>
      </c>
      <c r="AC6342" s="54" t="b">
        <f aca="false">AND(E6342&gt;=01_因子設定!$L$5-0.000000001,E6342&lt;=01_因子設定!$M$5+0.000000001,F6342&gt;=01_因子設定!$L$6-0.000000001,F6342&lt;=01_因子設定!$M$6+0.000000001,G6342&gt;=01_因子設定!$L$7-0.000000001,G6342&lt;=01_因子設定!$M$7+0.000000001,H6342&gt;=01_因子設定!$L$8-0.000000001,H6342&lt;=01_因子設定!$M$8+0.000000001,IF(01_因子設定!$B$20="Box-Behnken",E6342^2+F6342^2+G6342^2+H6342^2&lt;=2+0.000000001,TRUE()))</f>
        <v>1</v>
      </c>
      <c r="AD6342" s="55" t="n">
        <f aca="false">IF(AC6342,IF(01_因子設定!$B$13="最大化",AA6342-01_因子設定!$B$14,IF(01_因子設定!$B$13="最小化",01_因子設定!$B$15-AB6342,MIN(AA6342-01_因子設定!$B$14,01_因子設定!$B$15-AB6342))),-1E+030)</f>
        <v>-0.602395493198223</v>
      </c>
      <c r="AE6342" s="55" t="n">
        <f aca="false">IF(AC6342,IF(01_因子設定!$B$13="最大化",X6342,IF(01_因子設定!$B$13="最小化",-X6342,-ABS(X6342-01_因子設定!$B$16))),-1E+030)</f>
        <v>47.4541483918129</v>
      </c>
      <c r="AF6342" s="55" t="n">
        <f aca="false">AD6342+ROW()*0.000000001</f>
        <v>-0.602389151198223</v>
      </c>
      <c r="AG6342" s="55" t="n">
        <f aca="false">AE6342+ROW()*0.000000001</f>
        <v>47.4541547338129</v>
      </c>
    </row>
    <row r="6343" customFormat="false" ht="15" hidden="false" customHeight="false" outlineLevel="0" collapsed="false">
      <c r="A6343" s="0" t="n">
        <v>8</v>
      </c>
      <c r="B6343" s="0" t="n">
        <v>6</v>
      </c>
      <c r="C6343" s="0" t="n">
        <v>2</v>
      </c>
      <c r="D6343" s="0" t="n">
        <v>2</v>
      </c>
      <c r="E6343" s="0" t="n">
        <f aca="false">-1+A6343*0.25</f>
        <v>1</v>
      </c>
      <c r="F6343" s="0" t="n">
        <f aca="false">-1+B6343*0.25</f>
        <v>0.5</v>
      </c>
      <c r="G6343" s="0" t="n">
        <f aca="false">-1+C6343*0.25</f>
        <v>-0.5</v>
      </c>
      <c r="H6343" s="0" t="n">
        <f aca="false">-1+D6343*0.25</f>
        <v>-0.5</v>
      </c>
      <c r="I6343" s="0" t="n">
        <f aca="false">1</f>
        <v>1</v>
      </c>
      <c r="J6343" s="0" t="n">
        <f aca="false">E6343</f>
        <v>1</v>
      </c>
      <c r="K6343" s="0" t="n">
        <f aca="false">F6343</f>
        <v>0.5</v>
      </c>
      <c r="L6343" s="0" t="n">
        <f aca="false">G6343</f>
        <v>-0.5</v>
      </c>
      <c r="M6343" s="0" t="n">
        <f aca="false">H6343</f>
        <v>-0.5</v>
      </c>
      <c r="N6343" s="0" t="n">
        <f aca="false">E6343*F6343</f>
        <v>0.5</v>
      </c>
      <c r="O6343" s="0" t="n">
        <f aca="false">E6343*G6343</f>
        <v>-0.5</v>
      </c>
      <c r="P6343" s="0" t="n">
        <f aca="false">E6343*H6343</f>
        <v>-0.5</v>
      </c>
      <c r="Q6343" s="0" t="n">
        <f aca="false">F6343*G6343</f>
        <v>-0.25</v>
      </c>
      <c r="R6343" s="0" t="n">
        <f aca="false">F6343*H6343</f>
        <v>-0.25</v>
      </c>
      <c r="S6343" s="0" t="n">
        <f aca="false">G6343*H6343</f>
        <v>0.25</v>
      </c>
      <c r="T6343" s="0" t="n">
        <f aca="false">E6343*E6343</f>
        <v>1</v>
      </c>
      <c r="U6343" s="0" t="n">
        <f aca="false">F6343*F6343</f>
        <v>0.25</v>
      </c>
      <c r="V6343" s="0" t="n">
        <f aca="false">G6343*G6343</f>
        <v>0.25</v>
      </c>
      <c r="W6343" s="0" t="n">
        <f aca="false">H6343*H6343</f>
        <v>0.25</v>
      </c>
      <c r="X6343" s="0" t="n">
        <f aca="false">SUMPRODUCT(I6343:W6343,_XtX!$B$96:$P$96)</f>
        <v>47.6438048245614</v>
      </c>
      <c r="Y6343" s="0" t="n">
        <f aca="false">SUMPRODUCT(MMULT(I6343:W6343,_XtX!$B$78:$P$92),I6343:W6343)</f>
        <v>0.404719480994152</v>
      </c>
      <c r="Z6343" s="0" t="n">
        <f aca="false">04_回帰ANOVA!$K$19*04_回帰ANOVA!$K$14*SQRT(1+Y6343)</f>
        <v>1.54487446697867</v>
      </c>
      <c r="AA6343" s="0" t="n">
        <f aca="false">X6343-Z6343</f>
        <v>46.0989303575828</v>
      </c>
      <c r="AB6343" s="0" t="n">
        <f aca="false">X6343+Z6343</f>
        <v>49.1886792915401</v>
      </c>
      <c r="AC6343" s="54" t="b">
        <f aca="false">AND(E6343&gt;=01_因子設定!$L$5-0.000000001,E6343&lt;=01_因子設定!$M$5+0.000000001,F6343&gt;=01_因子設定!$L$6-0.000000001,F6343&lt;=01_因子設定!$M$6+0.000000001,G6343&gt;=01_因子設定!$L$7-0.000000001,G6343&lt;=01_因子設定!$M$7+0.000000001,H6343&gt;=01_因子設定!$L$8-0.000000001,H6343&lt;=01_因子設定!$M$8+0.000000001,IF(01_因子設定!$B$20="Box-Behnken",E6343^2+F6343^2+G6343^2+H6343^2&lt;=2+0.000000001,TRUE()))</f>
        <v>1</v>
      </c>
      <c r="AD6343" s="55" t="n">
        <f aca="false">IF(AC6343,IF(01_因子設定!$B$13="最大化",AA6343-01_因子設定!$B$14,IF(01_因子設定!$B$13="最小化",01_因子設定!$B$15-AB6343,MIN(AA6343-01_因子設定!$B$14,01_因子設定!$B$15-AB6343))),-1E+030)</f>
        <v>-0.401069642417241</v>
      </c>
      <c r="AE6343" s="55" t="n">
        <f aca="false">IF(AC6343,IF(01_因子設定!$B$13="最大化",X6343,IF(01_因子設定!$B$13="最小化",-X6343,-ABS(X6343-01_因子設定!$B$16))),-1E+030)</f>
        <v>47.6438048245614</v>
      </c>
      <c r="AF6343" s="55" t="n">
        <f aca="false">AD6343+ROW()*0.000000001</f>
        <v>-0.401063299417241</v>
      </c>
      <c r="AG6343" s="55" t="n">
        <f aca="false">AE6343+ROW()*0.000000001</f>
        <v>47.6438111675614</v>
      </c>
    </row>
    <row r="6344" customFormat="false" ht="15" hidden="false" customHeight="false" outlineLevel="0" collapsed="false">
      <c r="A6344" s="0" t="n">
        <v>8</v>
      </c>
      <c r="B6344" s="0" t="n">
        <v>6</v>
      </c>
      <c r="C6344" s="0" t="n">
        <v>2</v>
      </c>
      <c r="D6344" s="0" t="n">
        <v>3</v>
      </c>
      <c r="E6344" s="0" t="n">
        <f aca="false">-1+A6344*0.25</f>
        <v>1</v>
      </c>
      <c r="F6344" s="0" t="n">
        <f aca="false">-1+B6344*0.25</f>
        <v>0.5</v>
      </c>
      <c r="G6344" s="0" t="n">
        <f aca="false">-1+C6344*0.25</f>
        <v>-0.5</v>
      </c>
      <c r="H6344" s="0" t="n">
        <f aca="false">-1+D6344*0.25</f>
        <v>-0.25</v>
      </c>
      <c r="I6344" s="0" t="n">
        <f aca="false">1</f>
        <v>1</v>
      </c>
      <c r="J6344" s="0" t="n">
        <f aca="false">E6344</f>
        <v>1</v>
      </c>
      <c r="K6344" s="0" t="n">
        <f aca="false">F6344</f>
        <v>0.5</v>
      </c>
      <c r="L6344" s="0" t="n">
        <f aca="false">G6344</f>
        <v>-0.5</v>
      </c>
      <c r="M6344" s="0" t="n">
        <f aca="false">H6344</f>
        <v>-0.25</v>
      </c>
      <c r="N6344" s="0" t="n">
        <f aca="false">E6344*F6344</f>
        <v>0.5</v>
      </c>
      <c r="O6344" s="0" t="n">
        <f aca="false">E6344*G6344</f>
        <v>-0.5</v>
      </c>
      <c r="P6344" s="0" t="n">
        <f aca="false">E6344*H6344</f>
        <v>-0.25</v>
      </c>
      <c r="Q6344" s="0" t="n">
        <f aca="false">F6344*G6344</f>
        <v>-0.25</v>
      </c>
      <c r="R6344" s="0" t="n">
        <f aca="false">F6344*H6344</f>
        <v>-0.125</v>
      </c>
      <c r="S6344" s="0" t="n">
        <f aca="false">G6344*H6344</f>
        <v>0.125</v>
      </c>
      <c r="T6344" s="0" t="n">
        <f aca="false">E6344*E6344</f>
        <v>1</v>
      </c>
      <c r="U6344" s="0" t="n">
        <f aca="false">F6344*F6344</f>
        <v>0.25</v>
      </c>
      <c r="V6344" s="0" t="n">
        <f aca="false">G6344*G6344</f>
        <v>0.25</v>
      </c>
      <c r="W6344" s="0" t="n">
        <f aca="false">H6344*H6344</f>
        <v>0.0625</v>
      </c>
      <c r="X6344" s="0" t="n">
        <f aca="false">SUMPRODUCT(I6344:W6344,_XtX!$B$96:$P$96)</f>
        <v>47.7856542397661</v>
      </c>
      <c r="Y6344" s="0" t="n">
        <f aca="false">SUMPRODUCT(MMULT(I6344:W6344,_XtX!$B$78:$P$92),I6344:W6344)</f>
        <v>0.428122715643275</v>
      </c>
      <c r="Z6344" s="0" t="n">
        <f aca="false">04_回帰ANOVA!$K$19*04_回帰ANOVA!$K$14*SQRT(1+Y6344)</f>
        <v>1.55769044623229</v>
      </c>
      <c r="AA6344" s="0" t="n">
        <f aca="false">X6344-Z6344</f>
        <v>46.2279637935338</v>
      </c>
      <c r="AB6344" s="0" t="n">
        <f aca="false">X6344+Z6344</f>
        <v>49.3433446859984</v>
      </c>
      <c r="AC6344" s="54" t="b">
        <f aca="false">AND(E6344&gt;=01_因子設定!$L$5-0.000000001,E6344&lt;=01_因子設定!$M$5+0.000000001,F6344&gt;=01_因子設定!$L$6-0.000000001,F6344&lt;=01_因子設定!$M$6+0.000000001,G6344&gt;=01_因子設定!$L$7-0.000000001,G6344&lt;=01_因子設定!$M$7+0.000000001,H6344&gt;=01_因子設定!$L$8-0.000000001,H6344&lt;=01_因子設定!$M$8+0.000000001,IF(01_因子設定!$B$20="Box-Behnken",E6344^2+F6344^2+G6344^2+H6344^2&lt;=2+0.000000001,TRUE()))</f>
        <v>1</v>
      </c>
      <c r="AD6344" s="55" t="n">
        <f aca="false">IF(AC6344,IF(01_因子設定!$B$13="最大化",AA6344-01_因子設定!$B$14,IF(01_因子設定!$B$13="最小化",01_因子設定!$B$15-AB6344,MIN(AA6344-01_因子設定!$B$14,01_因子設定!$B$15-AB6344))),-1E+030)</f>
        <v>-0.272036206466183</v>
      </c>
      <c r="AE6344" s="55" t="n">
        <f aca="false">IF(AC6344,IF(01_因子設定!$B$13="最大化",X6344,IF(01_因子設定!$B$13="最小化",-X6344,-ABS(X6344-01_因子設定!$B$16))),-1E+030)</f>
        <v>47.7856542397661</v>
      </c>
      <c r="AF6344" s="55" t="n">
        <f aca="false">AD6344+ROW()*0.000000001</f>
        <v>-0.272029862466183</v>
      </c>
      <c r="AG6344" s="55" t="n">
        <f aca="false">AE6344+ROW()*0.000000001</f>
        <v>47.7856605837661</v>
      </c>
    </row>
    <row r="6345" customFormat="false" ht="15" hidden="false" customHeight="false" outlineLevel="0" collapsed="false">
      <c r="A6345" s="0" t="n">
        <v>8</v>
      </c>
      <c r="B6345" s="0" t="n">
        <v>6</v>
      </c>
      <c r="C6345" s="0" t="n">
        <v>2</v>
      </c>
      <c r="D6345" s="0" t="n">
        <v>4</v>
      </c>
      <c r="E6345" s="0" t="n">
        <f aca="false">-1+A6345*0.25</f>
        <v>1</v>
      </c>
      <c r="F6345" s="0" t="n">
        <f aca="false">-1+B6345*0.25</f>
        <v>0.5</v>
      </c>
      <c r="G6345" s="0" t="n">
        <f aca="false">-1+C6345*0.25</f>
        <v>-0.5</v>
      </c>
      <c r="H6345" s="0" t="n">
        <f aca="false">-1+D6345*0.25</f>
        <v>0</v>
      </c>
      <c r="I6345" s="0" t="n">
        <f aca="false">1</f>
        <v>1</v>
      </c>
      <c r="J6345" s="0" t="n">
        <f aca="false">E6345</f>
        <v>1</v>
      </c>
      <c r="K6345" s="0" t="n">
        <f aca="false">F6345</f>
        <v>0.5</v>
      </c>
      <c r="L6345" s="0" t="n">
        <f aca="false">G6345</f>
        <v>-0.5</v>
      </c>
      <c r="M6345" s="0" t="n">
        <f aca="false">H6345</f>
        <v>0</v>
      </c>
      <c r="N6345" s="0" t="n">
        <f aca="false">E6345*F6345</f>
        <v>0.5</v>
      </c>
      <c r="O6345" s="0" t="n">
        <f aca="false">E6345*G6345</f>
        <v>-0.5</v>
      </c>
      <c r="P6345" s="0" t="n">
        <f aca="false">E6345*H6345</f>
        <v>0</v>
      </c>
      <c r="Q6345" s="0" t="n">
        <f aca="false">F6345*G6345</f>
        <v>-0.25</v>
      </c>
      <c r="R6345" s="0" t="n">
        <f aca="false">F6345*H6345</f>
        <v>0</v>
      </c>
      <c r="S6345" s="0" t="n">
        <f aca="false">G6345*H6345</f>
        <v>-0</v>
      </c>
      <c r="T6345" s="0" t="n">
        <f aca="false">E6345*E6345</f>
        <v>1</v>
      </c>
      <c r="U6345" s="0" t="n">
        <f aca="false">F6345*F6345</f>
        <v>0.25</v>
      </c>
      <c r="V6345" s="0" t="n">
        <f aca="false">G6345*G6345</f>
        <v>0.25</v>
      </c>
      <c r="W6345" s="0" t="n">
        <f aca="false">H6345*H6345</f>
        <v>0</v>
      </c>
      <c r="X6345" s="0" t="n">
        <f aca="false">SUMPRODUCT(I6345:W6345,_XtX!$B$96:$P$96)</f>
        <v>47.8796966374269</v>
      </c>
      <c r="Y6345" s="0" t="n">
        <f aca="false">SUMPRODUCT(MMULT(I6345:W6345,_XtX!$B$78:$P$92),I6345:W6345)</f>
        <v>0.441954495614035</v>
      </c>
      <c r="Z6345" s="0" t="n">
        <f aca="false">04_回帰ANOVA!$K$19*04_回帰ANOVA!$K$14*SQRT(1+Y6345)</f>
        <v>1.56521560968066</v>
      </c>
      <c r="AA6345" s="0" t="n">
        <f aca="false">X6345-Z6345</f>
        <v>46.3144810277463</v>
      </c>
      <c r="AB6345" s="0" t="n">
        <f aca="false">X6345+Z6345</f>
        <v>49.4449122471076</v>
      </c>
      <c r="AC6345" s="54" t="b">
        <f aca="false">AND(E6345&gt;=01_因子設定!$L$5-0.000000001,E6345&lt;=01_因子設定!$M$5+0.000000001,F6345&gt;=01_因子設定!$L$6-0.000000001,F6345&lt;=01_因子設定!$M$6+0.000000001,G6345&gt;=01_因子設定!$L$7-0.000000001,G6345&lt;=01_因子設定!$M$7+0.000000001,H6345&gt;=01_因子設定!$L$8-0.000000001,H6345&lt;=01_因子設定!$M$8+0.000000001,IF(01_因子設定!$B$20="Box-Behnken",E6345^2+F6345^2+G6345^2+H6345^2&lt;=2+0.000000001,TRUE()))</f>
        <v>1</v>
      </c>
      <c r="AD6345" s="55" t="n">
        <f aca="false">IF(AC6345,IF(01_因子設定!$B$13="最大化",AA6345-01_因子設定!$B$14,IF(01_因子設定!$B$13="最小化",01_因子設定!$B$15-AB6345,MIN(AA6345-01_因子設定!$B$14,01_因子設定!$B$15-AB6345))),-1E+030)</f>
        <v>-0.185518972253739</v>
      </c>
      <c r="AE6345" s="55" t="n">
        <f aca="false">IF(AC6345,IF(01_因子設定!$B$13="最大化",X6345,IF(01_因子設定!$B$13="最小化",-X6345,-ABS(X6345-01_因子設定!$B$16))),-1E+030)</f>
        <v>47.8796966374269</v>
      </c>
      <c r="AF6345" s="55" t="n">
        <f aca="false">AD6345+ROW()*0.000000001</f>
        <v>-0.185512627253739</v>
      </c>
      <c r="AG6345" s="55" t="n">
        <f aca="false">AE6345+ROW()*0.000000001</f>
        <v>47.8797029824269</v>
      </c>
    </row>
    <row r="6346" customFormat="false" ht="15" hidden="false" customHeight="false" outlineLevel="0" collapsed="false">
      <c r="A6346" s="0" t="n">
        <v>8</v>
      </c>
      <c r="B6346" s="0" t="n">
        <v>6</v>
      </c>
      <c r="C6346" s="0" t="n">
        <v>2</v>
      </c>
      <c r="D6346" s="0" t="n">
        <v>5</v>
      </c>
      <c r="E6346" s="0" t="n">
        <f aca="false">-1+A6346*0.25</f>
        <v>1</v>
      </c>
      <c r="F6346" s="0" t="n">
        <f aca="false">-1+B6346*0.25</f>
        <v>0.5</v>
      </c>
      <c r="G6346" s="0" t="n">
        <f aca="false">-1+C6346*0.25</f>
        <v>-0.5</v>
      </c>
      <c r="H6346" s="0" t="n">
        <f aca="false">-1+D6346*0.25</f>
        <v>0.25</v>
      </c>
      <c r="I6346" s="0" t="n">
        <f aca="false">1</f>
        <v>1</v>
      </c>
      <c r="J6346" s="0" t="n">
        <f aca="false">E6346</f>
        <v>1</v>
      </c>
      <c r="K6346" s="0" t="n">
        <f aca="false">F6346</f>
        <v>0.5</v>
      </c>
      <c r="L6346" s="0" t="n">
        <f aca="false">G6346</f>
        <v>-0.5</v>
      </c>
      <c r="M6346" s="0" t="n">
        <f aca="false">H6346</f>
        <v>0.25</v>
      </c>
      <c r="N6346" s="0" t="n">
        <f aca="false">E6346*F6346</f>
        <v>0.5</v>
      </c>
      <c r="O6346" s="0" t="n">
        <f aca="false">E6346*G6346</f>
        <v>-0.5</v>
      </c>
      <c r="P6346" s="0" t="n">
        <f aca="false">E6346*H6346</f>
        <v>0.25</v>
      </c>
      <c r="Q6346" s="0" t="n">
        <f aca="false">F6346*G6346</f>
        <v>-0.25</v>
      </c>
      <c r="R6346" s="0" t="n">
        <f aca="false">F6346*H6346</f>
        <v>0.125</v>
      </c>
      <c r="S6346" s="0" t="n">
        <f aca="false">G6346*H6346</f>
        <v>-0.125</v>
      </c>
      <c r="T6346" s="0" t="n">
        <f aca="false">E6346*E6346</f>
        <v>1</v>
      </c>
      <c r="U6346" s="0" t="n">
        <f aca="false">F6346*F6346</f>
        <v>0.25</v>
      </c>
      <c r="V6346" s="0" t="n">
        <f aca="false">G6346*G6346</f>
        <v>0.25</v>
      </c>
      <c r="W6346" s="0" t="n">
        <f aca="false">H6346*H6346</f>
        <v>0.0625</v>
      </c>
      <c r="X6346" s="0" t="n">
        <f aca="false">SUMPRODUCT(I6346:W6346,_XtX!$B$96:$P$96)</f>
        <v>47.9259320175439</v>
      </c>
      <c r="Y6346" s="0" t="n">
        <f aca="false">SUMPRODUCT(MMULT(I6346:W6346,_XtX!$B$78:$P$92),I6346:W6346)</f>
        <v>0.428122715643275</v>
      </c>
      <c r="Z6346" s="0" t="n">
        <f aca="false">04_回帰ANOVA!$K$19*04_回帰ANOVA!$K$14*SQRT(1+Y6346)</f>
        <v>1.55769044623229</v>
      </c>
      <c r="AA6346" s="0" t="n">
        <f aca="false">X6346-Z6346</f>
        <v>46.3682415713116</v>
      </c>
      <c r="AB6346" s="0" t="n">
        <f aca="false">X6346+Z6346</f>
        <v>49.4836224637762</v>
      </c>
      <c r="AC6346" s="54" t="b">
        <f aca="false">AND(E6346&gt;=01_因子設定!$L$5-0.000000001,E6346&lt;=01_因子設定!$M$5+0.000000001,F6346&gt;=01_因子設定!$L$6-0.000000001,F6346&lt;=01_因子設定!$M$6+0.000000001,G6346&gt;=01_因子設定!$L$7-0.000000001,G6346&lt;=01_因子設定!$M$7+0.000000001,H6346&gt;=01_因子設定!$L$8-0.000000001,H6346&lt;=01_因子設定!$M$8+0.000000001,IF(01_因子設定!$B$20="Box-Behnken",E6346^2+F6346^2+G6346^2+H6346^2&lt;=2+0.000000001,TRUE()))</f>
        <v>1</v>
      </c>
      <c r="AD6346" s="55" t="n">
        <f aca="false">IF(AC6346,IF(01_因子設定!$B$13="最大化",AA6346-01_因子設定!$B$14,IF(01_因子設定!$B$13="最小化",01_因子設定!$B$15-AB6346,MIN(AA6346-01_因子設定!$B$14,01_因子設定!$B$15-AB6346))),-1E+030)</f>
        <v>-0.131758428688407</v>
      </c>
      <c r="AE6346" s="55" t="n">
        <f aca="false">IF(AC6346,IF(01_因子設定!$B$13="最大化",X6346,IF(01_因子設定!$B$13="最小化",-X6346,-ABS(X6346-01_因子設定!$B$16))),-1E+030)</f>
        <v>47.9259320175439</v>
      </c>
      <c r="AF6346" s="55" t="n">
        <f aca="false">AD6346+ROW()*0.000000001</f>
        <v>-0.131752082688407</v>
      </c>
      <c r="AG6346" s="55" t="n">
        <f aca="false">AE6346+ROW()*0.000000001</f>
        <v>47.9259383635439</v>
      </c>
    </row>
    <row r="6347" customFormat="false" ht="15" hidden="false" customHeight="false" outlineLevel="0" collapsed="false">
      <c r="A6347" s="0" t="n">
        <v>8</v>
      </c>
      <c r="B6347" s="0" t="n">
        <v>6</v>
      </c>
      <c r="C6347" s="0" t="n">
        <v>2</v>
      </c>
      <c r="D6347" s="0" t="n">
        <v>6</v>
      </c>
      <c r="E6347" s="0" t="n">
        <f aca="false">-1+A6347*0.25</f>
        <v>1</v>
      </c>
      <c r="F6347" s="0" t="n">
        <f aca="false">-1+B6347*0.25</f>
        <v>0.5</v>
      </c>
      <c r="G6347" s="0" t="n">
        <f aca="false">-1+C6347*0.25</f>
        <v>-0.5</v>
      </c>
      <c r="H6347" s="0" t="n">
        <f aca="false">-1+D6347*0.25</f>
        <v>0.5</v>
      </c>
      <c r="I6347" s="0" t="n">
        <f aca="false">1</f>
        <v>1</v>
      </c>
      <c r="J6347" s="0" t="n">
        <f aca="false">E6347</f>
        <v>1</v>
      </c>
      <c r="K6347" s="0" t="n">
        <f aca="false">F6347</f>
        <v>0.5</v>
      </c>
      <c r="L6347" s="0" t="n">
        <f aca="false">G6347</f>
        <v>-0.5</v>
      </c>
      <c r="M6347" s="0" t="n">
        <f aca="false">H6347</f>
        <v>0.5</v>
      </c>
      <c r="N6347" s="0" t="n">
        <f aca="false">E6347*F6347</f>
        <v>0.5</v>
      </c>
      <c r="O6347" s="0" t="n">
        <f aca="false">E6347*G6347</f>
        <v>-0.5</v>
      </c>
      <c r="P6347" s="0" t="n">
        <f aca="false">E6347*H6347</f>
        <v>0.5</v>
      </c>
      <c r="Q6347" s="0" t="n">
        <f aca="false">F6347*G6347</f>
        <v>-0.25</v>
      </c>
      <c r="R6347" s="0" t="n">
        <f aca="false">F6347*H6347</f>
        <v>0.25</v>
      </c>
      <c r="S6347" s="0" t="n">
        <f aca="false">G6347*H6347</f>
        <v>-0.25</v>
      </c>
      <c r="T6347" s="0" t="n">
        <f aca="false">E6347*E6347</f>
        <v>1</v>
      </c>
      <c r="U6347" s="0" t="n">
        <f aca="false">F6347*F6347</f>
        <v>0.25</v>
      </c>
      <c r="V6347" s="0" t="n">
        <f aca="false">G6347*G6347</f>
        <v>0.25</v>
      </c>
      <c r="W6347" s="0" t="n">
        <f aca="false">H6347*H6347</f>
        <v>0.25</v>
      </c>
      <c r="X6347" s="0" t="n">
        <f aca="false">SUMPRODUCT(I6347:W6347,_XtX!$B$96:$P$96)</f>
        <v>47.924360380117</v>
      </c>
      <c r="Y6347" s="0" t="n">
        <f aca="false">SUMPRODUCT(MMULT(I6347:W6347,_XtX!$B$78:$P$92),I6347:W6347)</f>
        <v>0.404719480994152</v>
      </c>
      <c r="Z6347" s="0" t="n">
        <f aca="false">04_回帰ANOVA!$K$19*04_回帰ANOVA!$K$14*SQRT(1+Y6347)</f>
        <v>1.54487446697867</v>
      </c>
      <c r="AA6347" s="0" t="n">
        <f aca="false">X6347-Z6347</f>
        <v>46.3794859131383</v>
      </c>
      <c r="AB6347" s="0" t="n">
        <f aca="false">X6347+Z6347</f>
        <v>49.4692348470957</v>
      </c>
      <c r="AC6347" s="54" t="b">
        <f aca="false">AND(E6347&gt;=01_因子設定!$L$5-0.000000001,E6347&lt;=01_因子設定!$M$5+0.000000001,F6347&gt;=01_因子設定!$L$6-0.000000001,F6347&lt;=01_因子設定!$M$6+0.000000001,G6347&gt;=01_因子設定!$L$7-0.000000001,G6347&lt;=01_因子設定!$M$7+0.000000001,H6347&gt;=01_因子設定!$L$8-0.000000001,H6347&lt;=01_因子設定!$M$8+0.000000001,IF(01_因子設定!$B$20="Box-Behnken",E6347^2+F6347^2+G6347^2+H6347^2&lt;=2+0.000000001,TRUE()))</f>
        <v>1</v>
      </c>
      <c r="AD6347" s="55" t="n">
        <f aca="false">IF(AC6347,IF(01_因子設定!$B$13="最大化",AA6347-01_因子設定!$B$14,IF(01_因子設定!$B$13="最小化",01_因子設定!$B$15-AB6347,MIN(AA6347-01_因子設定!$B$14,01_因子設定!$B$15-AB6347))),-1E+030)</f>
        <v>-0.120514086861682</v>
      </c>
      <c r="AE6347" s="55" t="n">
        <f aca="false">IF(AC6347,IF(01_因子設定!$B$13="最大化",X6347,IF(01_因子設定!$B$13="最小化",-X6347,-ABS(X6347-01_因子設定!$B$16))),-1E+030)</f>
        <v>47.924360380117</v>
      </c>
      <c r="AF6347" s="55" t="n">
        <f aca="false">AD6347+ROW()*0.000000001</f>
        <v>-0.120507739861682</v>
      </c>
      <c r="AG6347" s="55" t="n">
        <f aca="false">AE6347+ROW()*0.000000001</f>
        <v>47.924366727117</v>
      </c>
    </row>
    <row r="6348" customFormat="false" ht="15" hidden="false" customHeight="false" outlineLevel="0" collapsed="false">
      <c r="A6348" s="0" t="n">
        <v>8</v>
      </c>
      <c r="B6348" s="0" t="n">
        <v>6</v>
      </c>
      <c r="C6348" s="0" t="n">
        <v>2</v>
      </c>
      <c r="D6348" s="0" t="n">
        <v>7</v>
      </c>
      <c r="E6348" s="0" t="n">
        <f aca="false">-1+A6348*0.25</f>
        <v>1</v>
      </c>
      <c r="F6348" s="0" t="n">
        <f aca="false">-1+B6348*0.25</f>
        <v>0.5</v>
      </c>
      <c r="G6348" s="0" t="n">
        <f aca="false">-1+C6348*0.25</f>
        <v>-0.5</v>
      </c>
      <c r="H6348" s="0" t="n">
        <f aca="false">-1+D6348*0.25</f>
        <v>0.75</v>
      </c>
      <c r="I6348" s="0" t="n">
        <f aca="false">1</f>
        <v>1</v>
      </c>
      <c r="J6348" s="0" t="n">
        <f aca="false">E6348</f>
        <v>1</v>
      </c>
      <c r="K6348" s="0" t="n">
        <f aca="false">F6348</f>
        <v>0.5</v>
      </c>
      <c r="L6348" s="0" t="n">
        <f aca="false">G6348</f>
        <v>-0.5</v>
      </c>
      <c r="M6348" s="0" t="n">
        <f aca="false">H6348</f>
        <v>0.75</v>
      </c>
      <c r="N6348" s="0" t="n">
        <f aca="false">E6348*F6348</f>
        <v>0.5</v>
      </c>
      <c r="O6348" s="0" t="n">
        <f aca="false">E6348*G6348</f>
        <v>-0.5</v>
      </c>
      <c r="P6348" s="0" t="n">
        <f aca="false">E6348*H6348</f>
        <v>0.75</v>
      </c>
      <c r="Q6348" s="0" t="n">
        <f aca="false">F6348*G6348</f>
        <v>-0.25</v>
      </c>
      <c r="R6348" s="0" t="n">
        <f aca="false">F6348*H6348</f>
        <v>0.375</v>
      </c>
      <c r="S6348" s="0" t="n">
        <f aca="false">G6348*H6348</f>
        <v>-0.375</v>
      </c>
      <c r="T6348" s="0" t="n">
        <f aca="false">E6348*E6348</f>
        <v>1</v>
      </c>
      <c r="U6348" s="0" t="n">
        <f aca="false">F6348*F6348</f>
        <v>0.25</v>
      </c>
      <c r="V6348" s="0" t="n">
        <f aca="false">G6348*G6348</f>
        <v>0.25</v>
      </c>
      <c r="W6348" s="0" t="n">
        <f aca="false">H6348*H6348</f>
        <v>0.5625</v>
      </c>
      <c r="X6348" s="0" t="n">
        <f aca="false">SUMPRODUCT(I6348:W6348,_XtX!$B$96:$P$96)</f>
        <v>47.8749817251462</v>
      </c>
      <c r="Y6348" s="0" t="n">
        <f aca="false">SUMPRODUCT(MMULT(I6348:W6348,_XtX!$B$78:$P$92),I6348:W6348)</f>
        <v>0.42602110745614</v>
      </c>
      <c r="Z6348" s="0" t="n">
        <f aca="false">04_回帰ANOVA!$K$19*04_回帰ANOVA!$K$14*SQRT(1+Y6348)</f>
        <v>1.55654388501114</v>
      </c>
      <c r="AA6348" s="0" t="n">
        <f aca="false">X6348-Z6348</f>
        <v>46.3184378401351</v>
      </c>
      <c r="AB6348" s="0" t="n">
        <f aca="false">X6348+Z6348</f>
        <v>49.4315256101574</v>
      </c>
      <c r="AC6348" s="54" t="b">
        <f aca="false">AND(E6348&gt;=01_因子設定!$L$5-0.000000001,E6348&lt;=01_因子設定!$M$5+0.000000001,F6348&gt;=01_因子設定!$L$6-0.000000001,F6348&lt;=01_因子設定!$M$6+0.000000001,G6348&gt;=01_因子設定!$L$7-0.000000001,G6348&lt;=01_因子設定!$M$7+0.000000001,H6348&gt;=01_因子設定!$L$8-0.000000001,H6348&lt;=01_因子設定!$M$8+0.000000001,IF(01_因子設定!$B$20="Box-Behnken",E6348^2+F6348^2+G6348^2+H6348^2&lt;=2+0.000000001,TRUE()))</f>
        <v>1</v>
      </c>
      <c r="AD6348" s="55" t="n">
        <f aca="false">IF(AC6348,IF(01_因子設定!$B$13="最大化",AA6348-01_因子設定!$B$14,IF(01_因子設定!$B$13="最小化",01_因子設定!$B$15-AB6348,MIN(AA6348-01_因子設定!$B$14,01_因子設定!$B$15-AB6348))),-1E+030)</f>
        <v>-0.181562159864896</v>
      </c>
      <c r="AE6348" s="55" t="n">
        <f aca="false">IF(AC6348,IF(01_因子設定!$B$13="最大化",X6348,IF(01_因子設定!$B$13="最小化",-X6348,-ABS(X6348-01_因子設定!$B$16))),-1E+030)</f>
        <v>47.8749817251462</v>
      </c>
      <c r="AF6348" s="55" t="n">
        <f aca="false">AD6348+ROW()*0.000000001</f>
        <v>-0.181555811864896</v>
      </c>
      <c r="AG6348" s="55" t="n">
        <f aca="false">AE6348+ROW()*0.000000001</f>
        <v>47.8749880731462</v>
      </c>
    </row>
    <row r="6349" customFormat="false" ht="15" hidden="false" customHeight="false" outlineLevel="0" collapsed="false">
      <c r="A6349" s="0" t="n">
        <v>8</v>
      </c>
      <c r="B6349" s="0" t="n">
        <v>6</v>
      </c>
      <c r="C6349" s="0" t="n">
        <v>2</v>
      </c>
      <c r="D6349" s="0" t="n">
        <v>8</v>
      </c>
      <c r="E6349" s="0" t="n">
        <f aca="false">-1+A6349*0.25</f>
        <v>1</v>
      </c>
      <c r="F6349" s="0" t="n">
        <f aca="false">-1+B6349*0.25</f>
        <v>0.5</v>
      </c>
      <c r="G6349" s="0" t="n">
        <f aca="false">-1+C6349*0.25</f>
        <v>-0.5</v>
      </c>
      <c r="H6349" s="0" t="n">
        <f aca="false">-1+D6349*0.25</f>
        <v>1</v>
      </c>
      <c r="I6349" s="0" t="n">
        <f aca="false">1</f>
        <v>1</v>
      </c>
      <c r="J6349" s="0" t="n">
        <f aca="false">E6349</f>
        <v>1</v>
      </c>
      <c r="K6349" s="0" t="n">
        <f aca="false">F6349</f>
        <v>0.5</v>
      </c>
      <c r="L6349" s="0" t="n">
        <f aca="false">G6349</f>
        <v>-0.5</v>
      </c>
      <c r="M6349" s="0" t="n">
        <f aca="false">H6349</f>
        <v>1</v>
      </c>
      <c r="N6349" s="0" t="n">
        <f aca="false">E6349*F6349</f>
        <v>0.5</v>
      </c>
      <c r="O6349" s="0" t="n">
        <f aca="false">E6349*G6349</f>
        <v>-0.5</v>
      </c>
      <c r="P6349" s="0" t="n">
        <f aca="false">E6349*H6349</f>
        <v>1</v>
      </c>
      <c r="Q6349" s="0" t="n">
        <f aca="false">F6349*G6349</f>
        <v>-0.25</v>
      </c>
      <c r="R6349" s="0" t="n">
        <f aca="false">F6349*H6349</f>
        <v>0.5</v>
      </c>
      <c r="S6349" s="0" t="n">
        <f aca="false">G6349*H6349</f>
        <v>-0.5</v>
      </c>
      <c r="T6349" s="0" t="n">
        <f aca="false">E6349*E6349</f>
        <v>1</v>
      </c>
      <c r="U6349" s="0" t="n">
        <f aca="false">F6349*F6349</f>
        <v>0.25</v>
      </c>
      <c r="V6349" s="0" t="n">
        <f aca="false">G6349*G6349</f>
        <v>0.25</v>
      </c>
      <c r="W6349" s="0" t="n">
        <f aca="false">H6349*H6349</f>
        <v>1</v>
      </c>
      <c r="X6349" s="0" t="n">
        <f aca="false">SUMPRODUCT(I6349:W6349,_XtX!$B$96:$P$96)</f>
        <v>47.7777960526316</v>
      </c>
      <c r="Y6349" s="0" t="n">
        <f aca="false">SUMPRODUCT(MMULT(I6349:W6349,_XtX!$B$78:$P$92),I6349:W6349)</f>
        <v>0.582488121345029</v>
      </c>
      <c r="Z6349" s="0" t="n">
        <f aca="false">04_回帰ANOVA!$K$19*04_回帰ANOVA!$K$14*SQRT(1+Y6349)</f>
        <v>1.63971595338287</v>
      </c>
      <c r="AA6349" s="0" t="n">
        <f aca="false">X6349-Z6349</f>
        <v>46.1380800992488</v>
      </c>
      <c r="AB6349" s="0" t="n">
        <f aca="false">X6349+Z6349</f>
        <v>49.4175120060145</v>
      </c>
      <c r="AC6349" s="54" t="b">
        <f aca="false">AND(E6349&gt;=01_因子設定!$L$5-0.000000001,E6349&lt;=01_因子設定!$M$5+0.000000001,F6349&gt;=01_因子設定!$L$6-0.000000001,F6349&lt;=01_因子設定!$M$6+0.000000001,G6349&gt;=01_因子設定!$L$7-0.000000001,G6349&lt;=01_因子設定!$M$7+0.000000001,H6349&gt;=01_因子設定!$L$8-0.000000001,H6349&lt;=01_因子設定!$M$8+0.000000001,IF(01_因子設定!$B$20="Box-Behnken",E6349^2+F6349^2+G6349^2+H6349^2&lt;=2+0.000000001,TRUE()))</f>
        <v>1</v>
      </c>
      <c r="AD6349" s="55" t="n">
        <f aca="false">IF(AC6349,IF(01_因子設定!$B$13="最大化",AA6349-01_因子設定!$B$14,IF(01_因子設定!$B$13="最小化",01_因子設定!$B$15-AB6349,MIN(AA6349-01_因子設定!$B$14,01_因子設定!$B$15-AB6349))),-1E+030)</f>
        <v>-0.361919900751225</v>
      </c>
      <c r="AE6349" s="55" t="n">
        <f aca="false">IF(AC6349,IF(01_因子設定!$B$13="最大化",X6349,IF(01_因子設定!$B$13="最小化",-X6349,-ABS(X6349-01_因子設定!$B$16))),-1E+030)</f>
        <v>47.7777960526316</v>
      </c>
      <c r="AF6349" s="55" t="n">
        <f aca="false">AD6349+ROW()*0.000000001</f>
        <v>-0.361913551751225</v>
      </c>
      <c r="AG6349" s="55" t="n">
        <f aca="false">AE6349+ROW()*0.000000001</f>
        <v>47.7778024016317</v>
      </c>
    </row>
    <row r="6350" customFormat="false" ht="15" hidden="false" customHeight="false" outlineLevel="0" collapsed="false">
      <c r="A6350" s="0" t="n">
        <v>8</v>
      </c>
      <c r="B6350" s="0" t="n">
        <v>6</v>
      </c>
      <c r="C6350" s="0" t="n">
        <v>3</v>
      </c>
      <c r="D6350" s="0" t="n">
        <v>0</v>
      </c>
      <c r="E6350" s="0" t="n">
        <f aca="false">-1+A6350*0.25</f>
        <v>1</v>
      </c>
      <c r="F6350" s="0" t="n">
        <f aca="false">-1+B6350*0.25</f>
        <v>0.5</v>
      </c>
      <c r="G6350" s="0" t="n">
        <f aca="false">-1+C6350*0.25</f>
        <v>-0.25</v>
      </c>
      <c r="H6350" s="0" t="n">
        <f aca="false">-1+D6350*0.25</f>
        <v>-1</v>
      </c>
      <c r="I6350" s="0" t="n">
        <f aca="false">1</f>
        <v>1</v>
      </c>
      <c r="J6350" s="0" t="n">
        <f aca="false">E6350</f>
        <v>1</v>
      </c>
      <c r="K6350" s="0" t="n">
        <f aca="false">F6350</f>
        <v>0.5</v>
      </c>
      <c r="L6350" s="0" t="n">
        <f aca="false">G6350</f>
        <v>-0.25</v>
      </c>
      <c r="M6350" s="0" t="n">
        <f aca="false">H6350</f>
        <v>-1</v>
      </c>
      <c r="N6350" s="0" t="n">
        <f aca="false">E6350*F6350</f>
        <v>0.5</v>
      </c>
      <c r="O6350" s="0" t="n">
        <f aca="false">E6350*G6350</f>
        <v>-0.25</v>
      </c>
      <c r="P6350" s="0" t="n">
        <f aca="false">E6350*H6350</f>
        <v>-1</v>
      </c>
      <c r="Q6350" s="0" t="n">
        <f aca="false">F6350*G6350</f>
        <v>-0.125</v>
      </c>
      <c r="R6350" s="0" t="n">
        <f aca="false">F6350*H6350</f>
        <v>-0.5</v>
      </c>
      <c r="S6350" s="0" t="n">
        <f aca="false">G6350*H6350</f>
        <v>0.25</v>
      </c>
      <c r="T6350" s="0" t="n">
        <f aca="false">E6350*E6350</f>
        <v>1</v>
      </c>
      <c r="U6350" s="0" t="n">
        <f aca="false">F6350*F6350</f>
        <v>0.25</v>
      </c>
      <c r="V6350" s="0" t="n">
        <f aca="false">G6350*G6350</f>
        <v>0.0625</v>
      </c>
      <c r="W6350" s="0" t="n">
        <f aca="false">H6350*H6350</f>
        <v>1</v>
      </c>
      <c r="X6350" s="0" t="n">
        <f aca="false">SUMPRODUCT(I6350:W6350,_XtX!$B$96:$P$96)</f>
        <v>47.3951663011697</v>
      </c>
      <c r="Y6350" s="0" t="n">
        <f aca="false">SUMPRODUCT(MMULT(I6350:W6350,_XtX!$B$78:$P$92),I6350:W6350)</f>
        <v>0.629174661915205</v>
      </c>
      <c r="Z6350" s="0" t="n">
        <f aca="false">04_回帰ANOVA!$K$19*04_回帰ANOVA!$K$14*SQRT(1+Y6350)</f>
        <v>1.66372758058297</v>
      </c>
      <c r="AA6350" s="0" t="n">
        <f aca="false">X6350-Z6350</f>
        <v>45.7314387205867</v>
      </c>
      <c r="AB6350" s="0" t="n">
        <f aca="false">X6350+Z6350</f>
        <v>49.0588938817526</v>
      </c>
      <c r="AC6350" s="54" t="b">
        <f aca="false">AND(E6350&gt;=01_因子設定!$L$5-0.000000001,E6350&lt;=01_因子設定!$M$5+0.000000001,F6350&gt;=01_因子設定!$L$6-0.000000001,F6350&lt;=01_因子設定!$M$6+0.000000001,G6350&gt;=01_因子設定!$L$7-0.000000001,G6350&lt;=01_因子設定!$M$7+0.000000001,H6350&gt;=01_因子設定!$L$8-0.000000001,H6350&lt;=01_因子設定!$M$8+0.000000001,IF(01_因子設定!$B$20="Box-Behnken",E6350^2+F6350^2+G6350^2+H6350^2&lt;=2+0.000000001,TRUE()))</f>
        <v>1</v>
      </c>
      <c r="AD6350" s="55" t="n">
        <f aca="false">IF(AC6350,IF(01_因子設定!$B$13="最大化",AA6350-01_因子設定!$B$14,IF(01_因子設定!$B$13="最小化",01_因子設定!$B$15-AB6350,MIN(AA6350-01_因子設定!$B$14,01_因子設定!$B$15-AB6350))),-1E+030)</f>
        <v>-0.768561279413319</v>
      </c>
      <c r="AE6350" s="55" t="n">
        <f aca="false">IF(AC6350,IF(01_因子設定!$B$13="最大化",X6350,IF(01_因子設定!$B$13="最小化",-X6350,-ABS(X6350-01_因子設定!$B$16))),-1E+030)</f>
        <v>47.3951663011697</v>
      </c>
      <c r="AF6350" s="55" t="n">
        <f aca="false">AD6350+ROW()*0.000000001</f>
        <v>-0.768554929413319</v>
      </c>
      <c r="AG6350" s="55" t="n">
        <f aca="false">AE6350+ROW()*0.000000001</f>
        <v>47.3951726511697</v>
      </c>
    </row>
    <row r="6351" customFormat="false" ht="15" hidden="false" customHeight="false" outlineLevel="0" collapsed="false">
      <c r="A6351" s="0" t="n">
        <v>8</v>
      </c>
      <c r="B6351" s="0" t="n">
        <v>6</v>
      </c>
      <c r="C6351" s="0" t="n">
        <v>3</v>
      </c>
      <c r="D6351" s="0" t="n">
        <v>1</v>
      </c>
      <c r="E6351" s="0" t="n">
        <f aca="false">-1+A6351*0.25</f>
        <v>1</v>
      </c>
      <c r="F6351" s="0" t="n">
        <f aca="false">-1+B6351*0.25</f>
        <v>0.5</v>
      </c>
      <c r="G6351" s="0" t="n">
        <f aca="false">-1+C6351*0.25</f>
        <v>-0.25</v>
      </c>
      <c r="H6351" s="0" t="n">
        <f aca="false">-1+D6351*0.25</f>
        <v>-0.75</v>
      </c>
      <c r="I6351" s="0" t="n">
        <f aca="false">1</f>
        <v>1</v>
      </c>
      <c r="J6351" s="0" t="n">
        <f aca="false">E6351</f>
        <v>1</v>
      </c>
      <c r="K6351" s="0" t="n">
        <f aca="false">F6351</f>
        <v>0.5</v>
      </c>
      <c r="L6351" s="0" t="n">
        <f aca="false">G6351</f>
        <v>-0.25</v>
      </c>
      <c r="M6351" s="0" t="n">
        <f aca="false">H6351</f>
        <v>-0.75</v>
      </c>
      <c r="N6351" s="0" t="n">
        <f aca="false">E6351*F6351</f>
        <v>0.5</v>
      </c>
      <c r="O6351" s="0" t="n">
        <f aca="false">E6351*G6351</f>
        <v>-0.25</v>
      </c>
      <c r="P6351" s="0" t="n">
        <f aca="false">E6351*H6351</f>
        <v>-0.75</v>
      </c>
      <c r="Q6351" s="0" t="n">
        <f aca="false">F6351*G6351</f>
        <v>-0.125</v>
      </c>
      <c r="R6351" s="0" t="n">
        <f aca="false">F6351*H6351</f>
        <v>-0.375</v>
      </c>
      <c r="S6351" s="0" t="n">
        <f aca="false">G6351*H6351</f>
        <v>0.1875</v>
      </c>
      <c r="T6351" s="0" t="n">
        <f aca="false">E6351*E6351</f>
        <v>1</v>
      </c>
      <c r="U6351" s="0" t="n">
        <f aca="false">F6351*F6351</f>
        <v>0.25</v>
      </c>
      <c r="V6351" s="0" t="n">
        <f aca="false">G6351*G6351</f>
        <v>0.0625</v>
      </c>
      <c r="W6351" s="0" t="n">
        <f aca="false">H6351*H6351</f>
        <v>0.5625</v>
      </c>
      <c r="X6351" s="0" t="n">
        <f aca="false">SUMPRODUCT(I6351:W6351,_XtX!$B$96:$P$96)</f>
        <v>47.650598501462</v>
      </c>
      <c r="Y6351" s="0" t="n">
        <f aca="false">SUMPRODUCT(MMULT(I6351:W6351,_XtX!$B$78:$P$92),I6351:W6351)</f>
        <v>0.459125719572369</v>
      </c>
      <c r="Z6351" s="0" t="n">
        <f aca="false">04_回帰ANOVA!$K$19*04_回帰ANOVA!$K$14*SQRT(1+Y6351)</f>
        <v>1.57450755575573</v>
      </c>
      <c r="AA6351" s="0" t="n">
        <f aca="false">X6351-Z6351</f>
        <v>46.0760909457063</v>
      </c>
      <c r="AB6351" s="0" t="n">
        <f aca="false">X6351+Z6351</f>
        <v>49.2251060572178</v>
      </c>
      <c r="AC6351" s="54" t="b">
        <f aca="false">AND(E6351&gt;=01_因子設定!$L$5-0.000000001,E6351&lt;=01_因子設定!$M$5+0.000000001,F6351&gt;=01_因子設定!$L$6-0.000000001,F6351&lt;=01_因子設定!$M$6+0.000000001,G6351&gt;=01_因子設定!$L$7-0.000000001,G6351&lt;=01_因子設定!$M$7+0.000000001,H6351&gt;=01_因子設定!$L$8-0.000000001,H6351&lt;=01_因子設定!$M$8+0.000000001,IF(01_因子設定!$B$20="Box-Behnken",E6351^2+F6351^2+G6351^2+H6351^2&lt;=2+0.000000001,TRUE()))</f>
        <v>1</v>
      </c>
      <c r="AD6351" s="55" t="n">
        <f aca="false">IF(AC6351,IF(01_因子設定!$B$13="最大化",AA6351-01_因子設定!$B$14,IF(01_因子設定!$B$13="最小化",01_因子設定!$B$15-AB6351,MIN(AA6351-01_因子設定!$B$14,01_因子設定!$B$15-AB6351))),-1E+030)</f>
        <v>-0.423909054293695</v>
      </c>
      <c r="AE6351" s="55" t="n">
        <f aca="false">IF(AC6351,IF(01_因子設定!$B$13="最大化",X6351,IF(01_因子設定!$B$13="最小化",-X6351,-ABS(X6351-01_因子設定!$B$16))),-1E+030)</f>
        <v>47.650598501462</v>
      </c>
      <c r="AF6351" s="55" t="n">
        <f aca="false">AD6351+ROW()*0.000000001</f>
        <v>-0.423902703293695</v>
      </c>
      <c r="AG6351" s="55" t="n">
        <f aca="false">AE6351+ROW()*0.000000001</f>
        <v>47.650604852462</v>
      </c>
    </row>
    <row r="6352" customFormat="false" ht="15" hidden="false" customHeight="false" outlineLevel="0" collapsed="false">
      <c r="A6352" s="0" t="n">
        <v>8</v>
      </c>
      <c r="B6352" s="0" t="n">
        <v>6</v>
      </c>
      <c r="C6352" s="0" t="n">
        <v>3</v>
      </c>
      <c r="D6352" s="0" t="n">
        <v>2</v>
      </c>
      <c r="E6352" s="0" t="n">
        <f aca="false">-1+A6352*0.25</f>
        <v>1</v>
      </c>
      <c r="F6352" s="0" t="n">
        <f aca="false">-1+B6352*0.25</f>
        <v>0.5</v>
      </c>
      <c r="G6352" s="0" t="n">
        <f aca="false">-1+C6352*0.25</f>
        <v>-0.25</v>
      </c>
      <c r="H6352" s="0" t="n">
        <f aca="false">-1+D6352*0.25</f>
        <v>-0.5</v>
      </c>
      <c r="I6352" s="0" t="n">
        <f aca="false">1</f>
        <v>1</v>
      </c>
      <c r="J6352" s="0" t="n">
        <f aca="false">E6352</f>
        <v>1</v>
      </c>
      <c r="K6352" s="0" t="n">
        <f aca="false">F6352</f>
        <v>0.5</v>
      </c>
      <c r="L6352" s="0" t="n">
        <f aca="false">G6352</f>
        <v>-0.25</v>
      </c>
      <c r="M6352" s="0" t="n">
        <f aca="false">H6352</f>
        <v>-0.5</v>
      </c>
      <c r="N6352" s="0" t="n">
        <f aca="false">E6352*F6352</f>
        <v>0.5</v>
      </c>
      <c r="O6352" s="0" t="n">
        <f aca="false">E6352*G6352</f>
        <v>-0.25</v>
      </c>
      <c r="P6352" s="0" t="n">
        <f aca="false">E6352*H6352</f>
        <v>-0.5</v>
      </c>
      <c r="Q6352" s="0" t="n">
        <f aca="false">F6352*G6352</f>
        <v>-0.125</v>
      </c>
      <c r="R6352" s="0" t="n">
        <f aca="false">F6352*H6352</f>
        <v>-0.25</v>
      </c>
      <c r="S6352" s="0" t="n">
        <f aca="false">G6352*H6352</f>
        <v>0.125</v>
      </c>
      <c r="T6352" s="0" t="n">
        <f aca="false">E6352*E6352</f>
        <v>1</v>
      </c>
      <c r="U6352" s="0" t="n">
        <f aca="false">F6352*F6352</f>
        <v>0.25</v>
      </c>
      <c r="V6352" s="0" t="n">
        <f aca="false">G6352*G6352</f>
        <v>0.0625</v>
      </c>
      <c r="W6352" s="0" t="n">
        <f aca="false">H6352*H6352</f>
        <v>0.25</v>
      </c>
      <c r="X6352" s="0" t="n">
        <f aca="false">SUMPRODUCT(I6352:W6352,_XtX!$B$96:$P$96)</f>
        <v>47.8582236842106</v>
      </c>
      <c r="Y6352" s="0" t="n">
        <f aca="false">SUMPRODUCT(MMULT(I6352:W6352,_XtX!$B$78:$P$92),I6352:W6352)</f>
        <v>0.428122715643275</v>
      </c>
      <c r="Z6352" s="0" t="n">
        <f aca="false">04_回帰ANOVA!$K$19*04_回帰ANOVA!$K$14*SQRT(1+Y6352)</f>
        <v>1.55769044623229</v>
      </c>
      <c r="AA6352" s="0" t="n">
        <f aca="false">X6352-Z6352</f>
        <v>46.3005332379783</v>
      </c>
      <c r="AB6352" s="0" t="n">
        <f aca="false">X6352+Z6352</f>
        <v>49.4159141304429</v>
      </c>
      <c r="AC6352" s="54" t="b">
        <f aca="false">AND(E6352&gt;=01_因子設定!$L$5-0.000000001,E6352&lt;=01_因子設定!$M$5+0.000000001,F6352&gt;=01_因子設定!$L$6-0.000000001,F6352&lt;=01_因子設定!$M$6+0.000000001,G6352&gt;=01_因子設定!$L$7-0.000000001,G6352&lt;=01_因子設定!$M$7+0.000000001,H6352&gt;=01_因子設定!$L$8-0.000000001,H6352&lt;=01_因子設定!$M$8+0.000000001,IF(01_因子設定!$B$20="Box-Behnken",E6352^2+F6352^2+G6352^2+H6352^2&lt;=2+0.000000001,TRUE()))</f>
        <v>1</v>
      </c>
      <c r="AD6352" s="55" t="n">
        <f aca="false">IF(AC6352,IF(01_因子設定!$B$13="最大化",AA6352-01_因子設定!$B$14,IF(01_因子設定!$B$13="最小化",01_因子設定!$B$15-AB6352,MIN(AA6352-01_因子設定!$B$14,01_因子設定!$B$15-AB6352))),-1E+030)</f>
        <v>-0.199466762021736</v>
      </c>
      <c r="AE6352" s="55" t="n">
        <f aca="false">IF(AC6352,IF(01_因子設定!$B$13="最大化",X6352,IF(01_因子設定!$B$13="最小化",-X6352,-ABS(X6352-01_因子設定!$B$16))),-1E+030)</f>
        <v>47.8582236842106</v>
      </c>
      <c r="AF6352" s="55" t="n">
        <f aca="false">AD6352+ROW()*0.000000001</f>
        <v>-0.199460410021736</v>
      </c>
      <c r="AG6352" s="55" t="n">
        <f aca="false">AE6352+ROW()*0.000000001</f>
        <v>47.8582300362106</v>
      </c>
    </row>
    <row r="6353" customFormat="false" ht="15" hidden="false" customHeight="false" outlineLevel="0" collapsed="false">
      <c r="A6353" s="0" t="n">
        <v>8</v>
      </c>
      <c r="B6353" s="0" t="n">
        <v>6</v>
      </c>
      <c r="C6353" s="0" t="n">
        <v>3</v>
      </c>
      <c r="D6353" s="0" t="n">
        <v>3</v>
      </c>
      <c r="E6353" s="0" t="n">
        <f aca="false">-1+A6353*0.25</f>
        <v>1</v>
      </c>
      <c r="F6353" s="0" t="n">
        <f aca="false">-1+B6353*0.25</f>
        <v>0.5</v>
      </c>
      <c r="G6353" s="0" t="n">
        <f aca="false">-1+C6353*0.25</f>
        <v>-0.25</v>
      </c>
      <c r="H6353" s="0" t="n">
        <f aca="false">-1+D6353*0.25</f>
        <v>-0.25</v>
      </c>
      <c r="I6353" s="0" t="n">
        <f aca="false">1</f>
        <v>1</v>
      </c>
      <c r="J6353" s="0" t="n">
        <f aca="false">E6353</f>
        <v>1</v>
      </c>
      <c r="K6353" s="0" t="n">
        <f aca="false">F6353</f>
        <v>0.5</v>
      </c>
      <c r="L6353" s="0" t="n">
        <f aca="false">G6353</f>
        <v>-0.25</v>
      </c>
      <c r="M6353" s="0" t="n">
        <f aca="false">H6353</f>
        <v>-0.25</v>
      </c>
      <c r="N6353" s="0" t="n">
        <f aca="false">E6353*F6353</f>
        <v>0.5</v>
      </c>
      <c r="O6353" s="0" t="n">
        <f aca="false">E6353*G6353</f>
        <v>-0.25</v>
      </c>
      <c r="P6353" s="0" t="n">
        <f aca="false">E6353*H6353</f>
        <v>-0.25</v>
      </c>
      <c r="Q6353" s="0" t="n">
        <f aca="false">F6353*G6353</f>
        <v>-0.125</v>
      </c>
      <c r="R6353" s="0" t="n">
        <f aca="false">F6353*H6353</f>
        <v>-0.125</v>
      </c>
      <c r="S6353" s="0" t="n">
        <f aca="false">G6353*H6353</f>
        <v>0.0625</v>
      </c>
      <c r="T6353" s="0" t="n">
        <f aca="false">E6353*E6353</f>
        <v>1</v>
      </c>
      <c r="U6353" s="0" t="n">
        <f aca="false">F6353*F6353</f>
        <v>0.25</v>
      </c>
      <c r="V6353" s="0" t="n">
        <f aca="false">G6353*G6353</f>
        <v>0.0625</v>
      </c>
      <c r="W6353" s="0" t="n">
        <f aca="false">H6353*H6353</f>
        <v>0.0625</v>
      </c>
      <c r="X6353" s="0" t="n">
        <f aca="false">SUMPRODUCT(I6353:W6353,_XtX!$B$96:$P$96)</f>
        <v>48.0180418494152</v>
      </c>
      <c r="Y6353" s="0" t="n">
        <f aca="false">SUMPRODUCT(MMULT(I6353:W6353,_XtX!$B$78:$P$92),I6353:W6353)</f>
        <v>0.445705123812135</v>
      </c>
      <c r="Z6353" s="0" t="n">
        <f aca="false">04_回帰ANOVA!$K$19*04_回帰ANOVA!$K$14*SQRT(1+Y6353)</f>
        <v>1.56724990734749</v>
      </c>
      <c r="AA6353" s="0" t="n">
        <f aca="false">X6353-Z6353</f>
        <v>46.4507919420677</v>
      </c>
      <c r="AB6353" s="0" t="n">
        <f aca="false">X6353+Z6353</f>
        <v>49.5852917567627</v>
      </c>
      <c r="AC6353" s="54" t="b">
        <f aca="false">AND(E6353&gt;=01_因子設定!$L$5-0.000000001,E6353&lt;=01_因子設定!$M$5+0.000000001,F6353&gt;=01_因子設定!$L$6-0.000000001,F6353&lt;=01_因子設定!$M$6+0.000000001,G6353&gt;=01_因子設定!$L$7-0.000000001,G6353&lt;=01_因子設定!$M$7+0.000000001,H6353&gt;=01_因子設定!$L$8-0.000000001,H6353&lt;=01_因子設定!$M$8+0.000000001,IF(01_因子設定!$B$20="Box-Behnken",E6353^2+F6353^2+G6353^2+H6353^2&lt;=2+0.000000001,TRUE()))</f>
        <v>1</v>
      </c>
      <c r="AD6353" s="55" t="n">
        <f aca="false">IF(AC6353,IF(01_因子設定!$B$13="最大化",AA6353-01_因子設定!$B$14,IF(01_因子設定!$B$13="最小化",01_因子設定!$B$15-AB6353,MIN(AA6353-01_因子設定!$B$14,01_因子設定!$B$15-AB6353))),-1E+030)</f>
        <v>-0.0492080579322547</v>
      </c>
      <c r="AE6353" s="55" t="n">
        <f aca="false">IF(AC6353,IF(01_因子設定!$B$13="最大化",X6353,IF(01_因子設定!$B$13="最小化",-X6353,-ABS(X6353-01_因子設定!$B$16))),-1E+030)</f>
        <v>48.0180418494152</v>
      </c>
      <c r="AF6353" s="55" t="n">
        <f aca="false">AD6353+ROW()*0.000000001</f>
        <v>-0.0492017049322547</v>
      </c>
      <c r="AG6353" s="55" t="n">
        <f aca="false">AE6353+ROW()*0.000000001</f>
        <v>48.0180482024152</v>
      </c>
    </row>
    <row r="6354" customFormat="false" ht="15" hidden="false" customHeight="false" outlineLevel="0" collapsed="false">
      <c r="A6354" s="0" t="n">
        <v>8</v>
      </c>
      <c r="B6354" s="0" t="n">
        <v>6</v>
      </c>
      <c r="C6354" s="0" t="n">
        <v>3</v>
      </c>
      <c r="D6354" s="0" t="n">
        <v>4</v>
      </c>
      <c r="E6354" s="0" t="n">
        <f aca="false">-1+A6354*0.25</f>
        <v>1</v>
      </c>
      <c r="F6354" s="0" t="n">
        <f aca="false">-1+B6354*0.25</f>
        <v>0.5</v>
      </c>
      <c r="G6354" s="0" t="n">
        <f aca="false">-1+C6354*0.25</f>
        <v>-0.25</v>
      </c>
      <c r="H6354" s="0" t="n">
        <f aca="false">-1+D6354*0.25</f>
        <v>0</v>
      </c>
      <c r="I6354" s="0" t="n">
        <f aca="false">1</f>
        <v>1</v>
      </c>
      <c r="J6354" s="0" t="n">
        <f aca="false">E6354</f>
        <v>1</v>
      </c>
      <c r="K6354" s="0" t="n">
        <f aca="false">F6354</f>
        <v>0.5</v>
      </c>
      <c r="L6354" s="0" t="n">
        <f aca="false">G6354</f>
        <v>-0.25</v>
      </c>
      <c r="M6354" s="0" t="n">
        <f aca="false">H6354</f>
        <v>0</v>
      </c>
      <c r="N6354" s="0" t="n">
        <f aca="false">E6354*F6354</f>
        <v>0.5</v>
      </c>
      <c r="O6354" s="0" t="n">
        <f aca="false">E6354*G6354</f>
        <v>-0.25</v>
      </c>
      <c r="P6354" s="0" t="n">
        <f aca="false">E6354*H6354</f>
        <v>0</v>
      </c>
      <c r="Q6354" s="0" t="n">
        <f aca="false">F6354*G6354</f>
        <v>-0.125</v>
      </c>
      <c r="R6354" s="0" t="n">
        <f aca="false">F6354*H6354</f>
        <v>0</v>
      </c>
      <c r="S6354" s="0" t="n">
        <f aca="false">G6354*H6354</f>
        <v>-0</v>
      </c>
      <c r="T6354" s="0" t="n">
        <f aca="false">E6354*E6354</f>
        <v>1</v>
      </c>
      <c r="U6354" s="0" t="n">
        <f aca="false">F6354*F6354</f>
        <v>0.25</v>
      </c>
      <c r="V6354" s="0" t="n">
        <f aca="false">G6354*G6354</f>
        <v>0.0625</v>
      </c>
      <c r="W6354" s="0" t="n">
        <f aca="false">H6354*H6354</f>
        <v>0</v>
      </c>
      <c r="X6354" s="0" t="n">
        <f aca="false">SUMPRODUCT(I6354:W6354,_XtX!$B$96:$P$96)</f>
        <v>48.1300529970761</v>
      </c>
      <c r="Y6354" s="0" t="n">
        <f aca="false">SUMPRODUCT(MMULT(I6354:W6354,_XtX!$B$78:$P$92),I6354:W6354)</f>
        <v>0.457596628289474</v>
      </c>
      <c r="Z6354" s="0" t="n">
        <f aca="false">04_回帰ANOVA!$K$19*04_回帰ANOVA!$K$14*SQRT(1+Y6354)</f>
        <v>1.57368233664366</v>
      </c>
      <c r="AA6354" s="0" t="n">
        <f aca="false">X6354-Z6354</f>
        <v>46.5563706604324</v>
      </c>
      <c r="AB6354" s="0" t="n">
        <f aca="false">X6354+Z6354</f>
        <v>49.7037353337197</v>
      </c>
      <c r="AC6354" s="54" t="b">
        <f aca="false">AND(E6354&gt;=01_因子設定!$L$5-0.000000001,E6354&lt;=01_因子設定!$M$5+0.000000001,F6354&gt;=01_因子設定!$L$6-0.000000001,F6354&lt;=01_因子設定!$M$6+0.000000001,G6354&gt;=01_因子設定!$L$7-0.000000001,G6354&lt;=01_因子設定!$M$7+0.000000001,H6354&gt;=01_因子設定!$L$8-0.000000001,H6354&lt;=01_因子設定!$M$8+0.000000001,IF(01_因子設定!$B$20="Box-Behnken",E6354^2+F6354^2+G6354^2+H6354^2&lt;=2+0.000000001,TRUE()))</f>
        <v>1</v>
      </c>
      <c r="AD6354" s="55" t="n">
        <f aca="false">IF(AC6354,IF(01_因子設定!$B$13="最大化",AA6354-01_因子設定!$B$14,IF(01_因子設定!$B$13="最小化",01_因子設定!$B$15-AB6354,MIN(AA6354-01_因子設定!$B$14,01_因子設定!$B$15-AB6354))),-1E+030)</f>
        <v>0.0563706604323926</v>
      </c>
      <c r="AE6354" s="55" t="n">
        <f aca="false">IF(AC6354,IF(01_因子設定!$B$13="最大化",X6354,IF(01_因子設定!$B$13="最小化",-X6354,-ABS(X6354-01_因子設定!$B$16))),-1E+030)</f>
        <v>48.1300529970761</v>
      </c>
      <c r="AF6354" s="55" t="n">
        <f aca="false">AD6354+ROW()*0.000000001</f>
        <v>0.0563770144323926</v>
      </c>
      <c r="AG6354" s="55" t="n">
        <f aca="false">AE6354+ROW()*0.000000001</f>
        <v>48.1300593510761</v>
      </c>
    </row>
    <row r="6355" customFormat="false" ht="15" hidden="false" customHeight="false" outlineLevel="0" collapsed="false">
      <c r="A6355" s="0" t="n">
        <v>8</v>
      </c>
      <c r="B6355" s="0" t="n">
        <v>6</v>
      </c>
      <c r="C6355" s="0" t="n">
        <v>3</v>
      </c>
      <c r="D6355" s="0" t="n">
        <v>5</v>
      </c>
      <c r="E6355" s="0" t="n">
        <f aca="false">-1+A6355*0.25</f>
        <v>1</v>
      </c>
      <c r="F6355" s="0" t="n">
        <f aca="false">-1+B6355*0.25</f>
        <v>0.5</v>
      </c>
      <c r="G6355" s="0" t="n">
        <f aca="false">-1+C6355*0.25</f>
        <v>-0.25</v>
      </c>
      <c r="H6355" s="0" t="n">
        <f aca="false">-1+D6355*0.25</f>
        <v>0.25</v>
      </c>
      <c r="I6355" s="0" t="n">
        <f aca="false">1</f>
        <v>1</v>
      </c>
      <c r="J6355" s="0" t="n">
        <f aca="false">E6355</f>
        <v>1</v>
      </c>
      <c r="K6355" s="0" t="n">
        <f aca="false">F6355</f>
        <v>0.5</v>
      </c>
      <c r="L6355" s="0" t="n">
        <f aca="false">G6355</f>
        <v>-0.25</v>
      </c>
      <c r="M6355" s="0" t="n">
        <f aca="false">H6355</f>
        <v>0.25</v>
      </c>
      <c r="N6355" s="0" t="n">
        <f aca="false">E6355*F6355</f>
        <v>0.5</v>
      </c>
      <c r="O6355" s="0" t="n">
        <f aca="false">E6355*G6355</f>
        <v>-0.25</v>
      </c>
      <c r="P6355" s="0" t="n">
        <f aca="false">E6355*H6355</f>
        <v>0.25</v>
      </c>
      <c r="Q6355" s="0" t="n">
        <f aca="false">F6355*G6355</f>
        <v>-0.125</v>
      </c>
      <c r="R6355" s="0" t="n">
        <f aca="false">F6355*H6355</f>
        <v>0.125</v>
      </c>
      <c r="S6355" s="0" t="n">
        <f aca="false">G6355*H6355</f>
        <v>-0.0625</v>
      </c>
      <c r="T6355" s="0" t="n">
        <f aca="false">E6355*E6355</f>
        <v>1</v>
      </c>
      <c r="U6355" s="0" t="n">
        <f aca="false">F6355*F6355</f>
        <v>0.25</v>
      </c>
      <c r="V6355" s="0" t="n">
        <f aca="false">G6355*G6355</f>
        <v>0.0625</v>
      </c>
      <c r="W6355" s="0" t="n">
        <f aca="false">H6355*H6355</f>
        <v>0.0625</v>
      </c>
      <c r="X6355" s="0" t="n">
        <f aca="false">SUMPRODUCT(I6355:W6355,_XtX!$B$96:$P$96)</f>
        <v>48.194257127193</v>
      </c>
      <c r="Y6355" s="0" t="n">
        <f aca="false">SUMPRODUCT(MMULT(I6355:W6355,_XtX!$B$78:$P$92),I6355:W6355)</f>
        <v>0.445705123812135</v>
      </c>
      <c r="Z6355" s="0" t="n">
        <f aca="false">04_回帰ANOVA!$K$19*04_回帰ANOVA!$K$14*SQRT(1+Y6355)</f>
        <v>1.56724990734749</v>
      </c>
      <c r="AA6355" s="0" t="n">
        <f aca="false">X6355-Z6355</f>
        <v>46.6270072198455</v>
      </c>
      <c r="AB6355" s="0" t="n">
        <f aca="false">X6355+Z6355</f>
        <v>49.7615070345405</v>
      </c>
      <c r="AC6355" s="54" t="b">
        <f aca="false">AND(E6355&gt;=01_因子設定!$L$5-0.000000001,E6355&lt;=01_因子設定!$M$5+0.000000001,F6355&gt;=01_因子設定!$L$6-0.000000001,F6355&lt;=01_因子設定!$M$6+0.000000001,G6355&gt;=01_因子設定!$L$7-0.000000001,G6355&lt;=01_因子設定!$M$7+0.000000001,H6355&gt;=01_因子設定!$L$8-0.000000001,H6355&lt;=01_因子設定!$M$8+0.000000001,IF(01_因子設定!$B$20="Box-Behnken",E6355^2+F6355^2+G6355^2+H6355^2&lt;=2+0.000000001,TRUE()))</f>
        <v>1</v>
      </c>
      <c r="AD6355" s="55" t="n">
        <f aca="false">IF(AC6355,IF(01_因子設定!$B$13="最大化",AA6355-01_因子設定!$B$14,IF(01_因子設定!$B$13="最小化",01_因子設定!$B$15-AB6355,MIN(AA6355-01_因子設定!$B$14,01_因子設定!$B$15-AB6355))),-1E+030)</f>
        <v>0.127007219845524</v>
      </c>
      <c r="AE6355" s="55" t="n">
        <f aca="false">IF(AC6355,IF(01_因子設定!$B$13="最大化",X6355,IF(01_因子設定!$B$13="最小化",-X6355,-ABS(X6355-01_因子設定!$B$16))),-1E+030)</f>
        <v>48.194257127193</v>
      </c>
      <c r="AF6355" s="55" t="n">
        <f aca="false">AD6355+ROW()*0.000000001</f>
        <v>0.127013574845524</v>
      </c>
      <c r="AG6355" s="55" t="n">
        <f aca="false">AE6355+ROW()*0.000000001</f>
        <v>48.194263482193</v>
      </c>
    </row>
    <row r="6356" customFormat="false" ht="15" hidden="false" customHeight="false" outlineLevel="0" collapsed="false">
      <c r="A6356" s="0" t="n">
        <v>8</v>
      </c>
      <c r="B6356" s="0" t="n">
        <v>6</v>
      </c>
      <c r="C6356" s="0" t="n">
        <v>3</v>
      </c>
      <c r="D6356" s="0" t="n">
        <v>6</v>
      </c>
      <c r="E6356" s="0" t="n">
        <f aca="false">-1+A6356*0.25</f>
        <v>1</v>
      </c>
      <c r="F6356" s="0" t="n">
        <f aca="false">-1+B6356*0.25</f>
        <v>0.5</v>
      </c>
      <c r="G6356" s="0" t="n">
        <f aca="false">-1+C6356*0.25</f>
        <v>-0.25</v>
      </c>
      <c r="H6356" s="0" t="n">
        <f aca="false">-1+D6356*0.25</f>
        <v>0.5</v>
      </c>
      <c r="I6356" s="0" t="n">
        <f aca="false">1</f>
        <v>1</v>
      </c>
      <c r="J6356" s="0" t="n">
        <f aca="false">E6356</f>
        <v>1</v>
      </c>
      <c r="K6356" s="0" t="n">
        <f aca="false">F6356</f>
        <v>0.5</v>
      </c>
      <c r="L6356" s="0" t="n">
        <f aca="false">G6356</f>
        <v>-0.25</v>
      </c>
      <c r="M6356" s="0" t="n">
        <f aca="false">H6356</f>
        <v>0.5</v>
      </c>
      <c r="N6356" s="0" t="n">
        <f aca="false">E6356*F6356</f>
        <v>0.5</v>
      </c>
      <c r="O6356" s="0" t="n">
        <f aca="false">E6356*G6356</f>
        <v>-0.25</v>
      </c>
      <c r="P6356" s="0" t="n">
        <f aca="false">E6356*H6356</f>
        <v>0.5</v>
      </c>
      <c r="Q6356" s="0" t="n">
        <f aca="false">F6356*G6356</f>
        <v>-0.125</v>
      </c>
      <c r="R6356" s="0" t="n">
        <f aca="false">F6356*H6356</f>
        <v>0.25</v>
      </c>
      <c r="S6356" s="0" t="n">
        <f aca="false">G6356*H6356</f>
        <v>-0.125</v>
      </c>
      <c r="T6356" s="0" t="n">
        <f aca="false">E6356*E6356</f>
        <v>1</v>
      </c>
      <c r="U6356" s="0" t="n">
        <f aca="false">F6356*F6356</f>
        <v>0.25</v>
      </c>
      <c r="V6356" s="0" t="n">
        <f aca="false">G6356*G6356</f>
        <v>0.0625</v>
      </c>
      <c r="W6356" s="0" t="n">
        <f aca="false">H6356*H6356</f>
        <v>0.25</v>
      </c>
      <c r="X6356" s="0" t="n">
        <f aca="false">SUMPRODUCT(I6356:W6356,_XtX!$B$96:$P$96)</f>
        <v>48.2106542397661</v>
      </c>
      <c r="Y6356" s="0" t="n">
        <f aca="false">SUMPRODUCT(MMULT(I6356:W6356,_XtX!$B$78:$P$92),I6356:W6356)</f>
        <v>0.428122715643275</v>
      </c>
      <c r="Z6356" s="0" t="n">
        <f aca="false">04_回帰ANOVA!$K$19*04_回帰ANOVA!$K$14*SQRT(1+Y6356)</f>
        <v>1.55769044623229</v>
      </c>
      <c r="AA6356" s="0" t="n">
        <f aca="false">X6356-Z6356</f>
        <v>46.6529637935338</v>
      </c>
      <c r="AB6356" s="0" t="n">
        <f aca="false">X6356+Z6356</f>
        <v>49.7683446859984</v>
      </c>
      <c r="AC6356" s="54" t="b">
        <f aca="false">AND(E6356&gt;=01_因子設定!$L$5-0.000000001,E6356&lt;=01_因子設定!$M$5+0.000000001,F6356&gt;=01_因子設定!$L$6-0.000000001,F6356&lt;=01_因子設定!$M$6+0.000000001,G6356&gt;=01_因子設定!$L$7-0.000000001,G6356&lt;=01_因子設定!$M$7+0.000000001,H6356&gt;=01_因子設定!$L$8-0.000000001,H6356&lt;=01_因子設定!$M$8+0.000000001,IF(01_因子設定!$B$20="Box-Behnken",E6356^2+F6356^2+G6356^2+H6356^2&lt;=2+0.000000001,TRUE()))</f>
        <v>1</v>
      </c>
      <c r="AD6356" s="55" t="n">
        <f aca="false">IF(AC6356,IF(01_因子設定!$B$13="最大化",AA6356-01_因子設定!$B$14,IF(01_因子設定!$B$13="最小化",01_因子設定!$B$15-AB6356,MIN(AA6356-01_因子設定!$B$14,01_因子設定!$B$15-AB6356))),-1E+030)</f>
        <v>0.152963793533822</v>
      </c>
      <c r="AE6356" s="55" t="n">
        <f aca="false">IF(AC6356,IF(01_因子設定!$B$13="最大化",X6356,IF(01_因子設定!$B$13="最小化",-X6356,-ABS(X6356-01_因子設定!$B$16))),-1E+030)</f>
        <v>48.2106542397661</v>
      </c>
      <c r="AF6356" s="55" t="n">
        <f aca="false">AD6356+ROW()*0.000000001</f>
        <v>0.152970149533822</v>
      </c>
      <c r="AG6356" s="55" t="n">
        <f aca="false">AE6356+ROW()*0.000000001</f>
        <v>48.2106605957661</v>
      </c>
    </row>
    <row r="6357" customFormat="false" ht="15" hidden="false" customHeight="false" outlineLevel="0" collapsed="false">
      <c r="A6357" s="0" t="n">
        <v>8</v>
      </c>
      <c r="B6357" s="0" t="n">
        <v>6</v>
      </c>
      <c r="C6357" s="0" t="n">
        <v>3</v>
      </c>
      <c r="D6357" s="0" t="n">
        <v>7</v>
      </c>
      <c r="E6357" s="0" t="n">
        <f aca="false">-1+A6357*0.25</f>
        <v>1</v>
      </c>
      <c r="F6357" s="0" t="n">
        <f aca="false">-1+B6357*0.25</f>
        <v>0.5</v>
      </c>
      <c r="G6357" s="0" t="n">
        <f aca="false">-1+C6357*0.25</f>
        <v>-0.25</v>
      </c>
      <c r="H6357" s="0" t="n">
        <f aca="false">-1+D6357*0.25</f>
        <v>0.75</v>
      </c>
      <c r="I6357" s="0" t="n">
        <f aca="false">1</f>
        <v>1</v>
      </c>
      <c r="J6357" s="0" t="n">
        <f aca="false">E6357</f>
        <v>1</v>
      </c>
      <c r="K6357" s="0" t="n">
        <f aca="false">F6357</f>
        <v>0.5</v>
      </c>
      <c r="L6357" s="0" t="n">
        <f aca="false">G6357</f>
        <v>-0.25</v>
      </c>
      <c r="M6357" s="0" t="n">
        <f aca="false">H6357</f>
        <v>0.75</v>
      </c>
      <c r="N6357" s="0" t="n">
        <f aca="false">E6357*F6357</f>
        <v>0.5</v>
      </c>
      <c r="O6357" s="0" t="n">
        <f aca="false">E6357*G6357</f>
        <v>-0.25</v>
      </c>
      <c r="P6357" s="0" t="n">
        <f aca="false">E6357*H6357</f>
        <v>0.75</v>
      </c>
      <c r="Q6357" s="0" t="n">
        <f aca="false">F6357*G6357</f>
        <v>-0.125</v>
      </c>
      <c r="R6357" s="0" t="n">
        <f aca="false">F6357*H6357</f>
        <v>0.375</v>
      </c>
      <c r="S6357" s="0" t="n">
        <f aca="false">G6357*H6357</f>
        <v>-0.1875</v>
      </c>
      <c r="T6357" s="0" t="n">
        <f aca="false">E6357*E6357</f>
        <v>1</v>
      </c>
      <c r="U6357" s="0" t="n">
        <f aca="false">F6357*F6357</f>
        <v>0.25</v>
      </c>
      <c r="V6357" s="0" t="n">
        <f aca="false">G6357*G6357</f>
        <v>0.0625</v>
      </c>
      <c r="W6357" s="0" t="n">
        <f aca="false">H6357*H6357</f>
        <v>0.5625</v>
      </c>
      <c r="X6357" s="0" t="n">
        <f aca="false">SUMPRODUCT(I6357:W6357,_XtX!$B$96:$P$96)</f>
        <v>48.1792443347954</v>
      </c>
      <c r="Y6357" s="0" t="n">
        <f aca="false">SUMPRODUCT(MMULT(I6357:W6357,_XtX!$B$78:$P$92),I6357:W6357)</f>
        <v>0.459125719572369</v>
      </c>
      <c r="Z6357" s="0" t="n">
        <f aca="false">04_回帰ANOVA!$K$19*04_回帰ANOVA!$K$14*SQRT(1+Y6357)</f>
        <v>1.57450755575573</v>
      </c>
      <c r="AA6357" s="0" t="n">
        <f aca="false">X6357-Z6357</f>
        <v>46.6047367790396</v>
      </c>
      <c r="AB6357" s="0" t="n">
        <f aca="false">X6357+Z6357</f>
        <v>49.7537518905511</v>
      </c>
      <c r="AC6357" s="54" t="b">
        <f aca="false">AND(E6357&gt;=01_因子設定!$L$5-0.000000001,E6357&lt;=01_因子設定!$M$5+0.000000001,F6357&gt;=01_因子設定!$L$6-0.000000001,F6357&lt;=01_因子設定!$M$6+0.000000001,G6357&gt;=01_因子設定!$L$7-0.000000001,G6357&lt;=01_因子設定!$M$7+0.000000001,H6357&gt;=01_因子設定!$L$8-0.000000001,H6357&lt;=01_因子設定!$M$8+0.000000001,IF(01_因子設定!$B$20="Box-Behnken",E6357^2+F6357^2+G6357^2+H6357^2&lt;=2+0.000000001,TRUE()))</f>
        <v>1</v>
      </c>
      <c r="AD6357" s="55" t="n">
        <f aca="false">IF(AC6357,IF(01_因子設定!$B$13="最大化",AA6357-01_因子設定!$B$14,IF(01_因子設定!$B$13="最小化",01_因子設定!$B$15-AB6357,MIN(AA6357-01_因子設定!$B$14,01_因子設定!$B$15-AB6357))),-1E+030)</f>
        <v>0.104736779039634</v>
      </c>
      <c r="AE6357" s="55" t="n">
        <f aca="false">IF(AC6357,IF(01_因子設定!$B$13="最大化",X6357,IF(01_因子設定!$B$13="最小化",-X6357,-ABS(X6357-01_因子設定!$B$16))),-1E+030)</f>
        <v>48.1792443347954</v>
      </c>
      <c r="AF6357" s="55" t="n">
        <f aca="false">AD6357+ROW()*0.000000001</f>
        <v>0.104743136039634</v>
      </c>
      <c r="AG6357" s="55" t="n">
        <f aca="false">AE6357+ROW()*0.000000001</f>
        <v>48.1792506917954</v>
      </c>
    </row>
    <row r="6358" customFormat="false" ht="15" hidden="false" customHeight="false" outlineLevel="0" collapsed="false">
      <c r="A6358" s="0" t="n">
        <v>8</v>
      </c>
      <c r="B6358" s="0" t="n">
        <v>6</v>
      </c>
      <c r="C6358" s="0" t="n">
        <v>3</v>
      </c>
      <c r="D6358" s="0" t="n">
        <v>8</v>
      </c>
      <c r="E6358" s="0" t="n">
        <f aca="false">-1+A6358*0.25</f>
        <v>1</v>
      </c>
      <c r="F6358" s="0" t="n">
        <f aca="false">-1+B6358*0.25</f>
        <v>0.5</v>
      </c>
      <c r="G6358" s="0" t="n">
        <f aca="false">-1+C6358*0.25</f>
        <v>-0.25</v>
      </c>
      <c r="H6358" s="0" t="n">
        <f aca="false">-1+D6358*0.25</f>
        <v>1</v>
      </c>
      <c r="I6358" s="0" t="n">
        <f aca="false">1</f>
        <v>1</v>
      </c>
      <c r="J6358" s="0" t="n">
        <f aca="false">E6358</f>
        <v>1</v>
      </c>
      <c r="K6358" s="0" t="n">
        <f aca="false">F6358</f>
        <v>0.5</v>
      </c>
      <c r="L6358" s="0" t="n">
        <f aca="false">G6358</f>
        <v>-0.25</v>
      </c>
      <c r="M6358" s="0" t="n">
        <f aca="false">H6358</f>
        <v>1</v>
      </c>
      <c r="N6358" s="0" t="n">
        <f aca="false">E6358*F6358</f>
        <v>0.5</v>
      </c>
      <c r="O6358" s="0" t="n">
        <f aca="false">E6358*G6358</f>
        <v>-0.25</v>
      </c>
      <c r="P6358" s="0" t="n">
        <f aca="false">E6358*H6358</f>
        <v>1</v>
      </c>
      <c r="Q6358" s="0" t="n">
        <f aca="false">F6358*G6358</f>
        <v>-0.125</v>
      </c>
      <c r="R6358" s="0" t="n">
        <f aca="false">F6358*H6358</f>
        <v>0.5</v>
      </c>
      <c r="S6358" s="0" t="n">
        <f aca="false">G6358*H6358</f>
        <v>-0.25</v>
      </c>
      <c r="T6358" s="0" t="n">
        <f aca="false">E6358*E6358</f>
        <v>1</v>
      </c>
      <c r="U6358" s="0" t="n">
        <f aca="false">F6358*F6358</f>
        <v>0.25</v>
      </c>
      <c r="V6358" s="0" t="n">
        <f aca="false">G6358*G6358</f>
        <v>0.0625</v>
      </c>
      <c r="W6358" s="0" t="n">
        <f aca="false">H6358*H6358</f>
        <v>1</v>
      </c>
      <c r="X6358" s="0" t="n">
        <f aca="false">SUMPRODUCT(I6358:W6358,_XtX!$B$96:$P$96)</f>
        <v>48.1000274122808</v>
      </c>
      <c r="Y6358" s="0" t="n">
        <f aca="false">SUMPRODUCT(MMULT(I6358:W6358,_XtX!$B$78:$P$92),I6358:W6358)</f>
        <v>0.629174661915205</v>
      </c>
      <c r="Z6358" s="0" t="n">
        <f aca="false">04_回帰ANOVA!$K$19*04_回帰ANOVA!$K$14*SQRT(1+Y6358)</f>
        <v>1.66372758058297</v>
      </c>
      <c r="AA6358" s="0" t="n">
        <f aca="false">X6358-Z6358</f>
        <v>46.4362998316978</v>
      </c>
      <c r="AB6358" s="0" t="n">
        <f aca="false">X6358+Z6358</f>
        <v>49.7637549928637</v>
      </c>
      <c r="AC6358" s="54" t="b">
        <f aca="false">AND(E6358&gt;=01_因子設定!$L$5-0.000000001,E6358&lt;=01_因子設定!$M$5+0.000000001,F6358&gt;=01_因子設定!$L$6-0.000000001,F6358&lt;=01_因子設定!$M$6+0.000000001,G6358&gt;=01_因子設定!$L$7-0.000000001,G6358&lt;=01_因子設定!$M$7+0.000000001,H6358&gt;=01_因子設定!$L$8-0.000000001,H6358&lt;=01_因子設定!$M$8+0.000000001,IF(01_因子設定!$B$20="Box-Behnken",E6358^2+F6358^2+G6358^2+H6358^2&lt;=2+0.000000001,TRUE()))</f>
        <v>1</v>
      </c>
      <c r="AD6358" s="55" t="n">
        <f aca="false">IF(AC6358,IF(01_因子設定!$B$13="最大化",AA6358-01_因子設定!$B$14,IF(01_因子設定!$B$13="最小化",01_因子設定!$B$15-AB6358,MIN(AA6358-01_因子設定!$B$14,01_因子設定!$B$15-AB6358))),-1E+030)</f>
        <v>-0.063700168302212</v>
      </c>
      <c r="AE6358" s="55" t="n">
        <f aca="false">IF(AC6358,IF(01_因子設定!$B$13="最大化",X6358,IF(01_因子設定!$B$13="最小化",-X6358,-ABS(X6358-01_因子設定!$B$16))),-1E+030)</f>
        <v>48.1000274122808</v>
      </c>
      <c r="AF6358" s="55" t="n">
        <f aca="false">AD6358+ROW()*0.000000001</f>
        <v>-0.063693810302212</v>
      </c>
      <c r="AG6358" s="55" t="n">
        <f aca="false">AE6358+ROW()*0.000000001</f>
        <v>48.1000337702808</v>
      </c>
    </row>
    <row r="6359" customFormat="false" ht="15" hidden="false" customHeight="false" outlineLevel="0" collapsed="false">
      <c r="A6359" s="0" t="n">
        <v>8</v>
      </c>
      <c r="B6359" s="0" t="n">
        <v>6</v>
      </c>
      <c r="C6359" s="0" t="n">
        <v>4</v>
      </c>
      <c r="D6359" s="0" t="n">
        <v>0</v>
      </c>
      <c r="E6359" s="0" t="n">
        <f aca="false">-1+A6359*0.25</f>
        <v>1</v>
      </c>
      <c r="F6359" s="0" t="n">
        <f aca="false">-1+B6359*0.25</f>
        <v>0.5</v>
      </c>
      <c r="G6359" s="0" t="n">
        <f aca="false">-1+C6359*0.25</f>
        <v>0</v>
      </c>
      <c r="H6359" s="0" t="n">
        <f aca="false">-1+D6359*0.25</f>
        <v>-1</v>
      </c>
      <c r="I6359" s="0" t="n">
        <f aca="false">1</f>
        <v>1</v>
      </c>
      <c r="J6359" s="0" t="n">
        <f aca="false">E6359</f>
        <v>1</v>
      </c>
      <c r="K6359" s="0" t="n">
        <f aca="false">F6359</f>
        <v>0.5</v>
      </c>
      <c r="L6359" s="0" t="n">
        <f aca="false">G6359</f>
        <v>0</v>
      </c>
      <c r="M6359" s="0" t="n">
        <f aca="false">H6359</f>
        <v>-1</v>
      </c>
      <c r="N6359" s="0" t="n">
        <f aca="false">E6359*F6359</f>
        <v>0.5</v>
      </c>
      <c r="O6359" s="0" t="n">
        <f aca="false">E6359*G6359</f>
        <v>0</v>
      </c>
      <c r="P6359" s="0" t="n">
        <f aca="false">E6359*H6359</f>
        <v>-1</v>
      </c>
      <c r="Q6359" s="0" t="n">
        <f aca="false">F6359*G6359</f>
        <v>0</v>
      </c>
      <c r="R6359" s="0" t="n">
        <f aca="false">F6359*H6359</f>
        <v>-0.5</v>
      </c>
      <c r="S6359" s="0" t="n">
        <f aca="false">G6359*H6359</f>
        <v>-0</v>
      </c>
      <c r="T6359" s="0" t="n">
        <f aca="false">E6359*E6359</f>
        <v>1</v>
      </c>
      <c r="U6359" s="0" t="n">
        <f aca="false">F6359*F6359</f>
        <v>0.25</v>
      </c>
      <c r="V6359" s="0" t="n">
        <f aca="false">G6359*G6359</f>
        <v>0</v>
      </c>
      <c r="W6359" s="0" t="n">
        <f aca="false">H6359*H6359</f>
        <v>1</v>
      </c>
      <c r="X6359" s="0" t="n">
        <f aca="false">SUMPRODUCT(I6359:W6359,_XtX!$B$96:$P$96)</f>
        <v>47.4883406432749</v>
      </c>
      <c r="Y6359" s="0" t="n">
        <f aca="false">SUMPRODUCT(MMULT(I6359:W6359,_XtX!$B$78:$P$92),I6359:W6359)</f>
        <v>0.650767543859649</v>
      </c>
      <c r="Z6359" s="0" t="n">
        <f aca="false">04_回帰ANOVA!$K$19*04_回帰ANOVA!$K$14*SQRT(1+Y6359)</f>
        <v>1.67471670935165</v>
      </c>
      <c r="AA6359" s="0" t="n">
        <f aca="false">X6359-Z6359</f>
        <v>45.8136239339233</v>
      </c>
      <c r="AB6359" s="0" t="n">
        <f aca="false">X6359+Z6359</f>
        <v>49.1630573526266</v>
      </c>
      <c r="AC6359" s="54" t="b">
        <f aca="false">AND(E6359&gt;=01_因子設定!$L$5-0.000000001,E6359&lt;=01_因子設定!$M$5+0.000000001,F6359&gt;=01_因子設定!$L$6-0.000000001,F6359&lt;=01_因子設定!$M$6+0.000000001,G6359&gt;=01_因子設定!$L$7-0.000000001,G6359&lt;=01_因子設定!$M$7+0.000000001,H6359&gt;=01_因子設定!$L$8-0.000000001,H6359&lt;=01_因子設定!$M$8+0.000000001,IF(01_因子設定!$B$20="Box-Behnken",E6359^2+F6359^2+G6359^2+H6359^2&lt;=2+0.000000001,TRUE()))</f>
        <v>1</v>
      </c>
      <c r="AD6359" s="55" t="n">
        <f aca="false">IF(AC6359,IF(01_因子設定!$B$13="最大化",AA6359-01_因子設定!$B$14,IF(01_因子設定!$B$13="最小化",01_因子設定!$B$15-AB6359,MIN(AA6359-01_因子設定!$B$14,01_因子設定!$B$15-AB6359))),-1E+030)</f>
        <v>-0.686376066076733</v>
      </c>
      <c r="AE6359" s="55" t="n">
        <f aca="false">IF(AC6359,IF(01_因子設定!$B$13="最大化",X6359,IF(01_因子設定!$B$13="最小化",-X6359,-ABS(X6359-01_因子設定!$B$16))),-1E+030)</f>
        <v>47.4883406432749</v>
      </c>
      <c r="AF6359" s="55" t="n">
        <f aca="false">AD6359+ROW()*0.000000001</f>
        <v>-0.686369707076733</v>
      </c>
      <c r="AG6359" s="55" t="n">
        <f aca="false">AE6359+ROW()*0.000000001</f>
        <v>47.4883470022749</v>
      </c>
    </row>
    <row r="6360" customFormat="false" ht="15" hidden="false" customHeight="false" outlineLevel="0" collapsed="false">
      <c r="A6360" s="0" t="n">
        <v>8</v>
      </c>
      <c r="B6360" s="0" t="n">
        <v>6</v>
      </c>
      <c r="C6360" s="0" t="n">
        <v>4</v>
      </c>
      <c r="D6360" s="0" t="n">
        <v>1</v>
      </c>
      <c r="E6360" s="0" t="n">
        <f aca="false">-1+A6360*0.25</f>
        <v>1</v>
      </c>
      <c r="F6360" s="0" t="n">
        <f aca="false">-1+B6360*0.25</f>
        <v>0.5</v>
      </c>
      <c r="G6360" s="0" t="n">
        <f aca="false">-1+C6360*0.25</f>
        <v>0</v>
      </c>
      <c r="H6360" s="0" t="n">
        <f aca="false">-1+D6360*0.25</f>
        <v>-0.75</v>
      </c>
      <c r="I6360" s="0" t="n">
        <f aca="false">1</f>
        <v>1</v>
      </c>
      <c r="J6360" s="0" t="n">
        <f aca="false">E6360</f>
        <v>1</v>
      </c>
      <c r="K6360" s="0" t="n">
        <f aca="false">F6360</f>
        <v>0.5</v>
      </c>
      <c r="L6360" s="0" t="n">
        <f aca="false">G6360</f>
        <v>0</v>
      </c>
      <c r="M6360" s="0" t="n">
        <f aca="false">H6360</f>
        <v>-0.75</v>
      </c>
      <c r="N6360" s="0" t="n">
        <f aca="false">E6360*F6360</f>
        <v>0.5</v>
      </c>
      <c r="O6360" s="0" t="n">
        <f aca="false">E6360*G6360</f>
        <v>0</v>
      </c>
      <c r="P6360" s="0" t="n">
        <f aca="false">E6360*H6360</f>
        <v>-0.75</v>
      </c>
      <c r="Q6360" s="0" t="n">
        <f aca="false">F6360*G6360</f>
        <v>0</v>
      </c>
      <c r="R6360" s="0" t="n">
        <f aca="false">F6360*H6360</f>
        <v>-0.375</v>
      </c>
      <c r="S6360" s="0" t="n">
        <f aca="false">G6360*H6360</f>
        <v>-0</v>
      </c>
      <c r="T6360" s="0" t="n">
        <f aca="false">E6360*E6360</f>
        <v>1</v>
      </c>
      <c r="U6360" s="0" t="n">
        <f aca="false">F6360*F6360</f>
        <v>0.25</v>
      </c>
      <c r="V6360" s="0" t="n">
        <f aca="false">G6360*G6360</f>
        <v>0</v>
      </c>
      <c r="W6360" s="0" t="n">
        <f aca="false">H6360*H6360</f>
        <v>0.5625</v>
      </c>
      <c r="X6360" s="0" t="n">
        <f aca="false">SUMPRODUCT(I6360:W6360,_XtX!$B$96:$P$96)</f>
        <v>47.7617415935673</v>
      </c>
      <c r="Y6360" s="0" t="n">
        <f aca="false">SUMPRODUCT(MMULT(I6360:W6360,_XtX!$B$78:$P$92),I6360:W6360)</f>
        <v>0.476191292032164</v>
      </c>
      <c r="Z6360" s="0" t="n">
        <f aca="false">04_回帰ANOVA!$K$19*04_回帰ANOVA!$K$14*SQRT(1+Y6360)</f>
        <v>1.58368831471718</v>
      </c>
      <c r="AA6360" s="0" t="n">
        <f aca="false">X6360-Z6360</f>
        <v>46.1780532788501</v>
      </c>
      <c r="AB6360" s="0" t="n">
        <f aca="false">X6360+Z6360</f>
        <v>49.3454299082845</v>
      </c>
      <c r="AC6360" s="54" t="b">
        <f aca="false">AND(E6360&gt;=01_因子設定!$L$5-0.000000001,E6360&lt;=01_因子設定!$M$5+0.000000001,F6360&gt;=01_因子設定!$L$6-0.000000001,F6360&lt;=01_因子設定!$M$6+0.000000001,G6360&gt;=01_因子設定!$L$7-0.000000001,G6360&lt;=01_因子設定!$M$7+0.000000001,H6360&gt;=01_因子設定!$L$8-0.000000001,H6360&lt;=01_因子設定!$M$8+0.000000001,IF(01_因子設定!$B$20="Box-Behnken",E6360^2+F6360^2+G6360^2+H6360^2&lt;=2+0.000000001,TRUE()))</f>
        <v>1</v>
      </c>
      <c r="AD6360" s="55" t="n">
        <f aca="false">IF(AC6360,IF(01_因子設定!$B$13="最大化",AA6360-01_因子設定!$B$14,IF(01_因子設定!$B$13="最小化",01_因子設定!$B$15-AB6360,MIN(AA6360-01_因子設定!$B$14,01_因子設定!$B$15-AB6360))),-1E+030)</f>
        <v>-0.321946721149885</v>
      </c>
      <c r="AE6360" s="55" t="n">
        <f aca="false">IF(AC6360,IF(01_因子設定!$B$13="最大化",X6360,IF(01_因子設定!$B$13="最小化",-X6360,-ABS(X6360-01_因子設定!$B$16))),-1E+030)</f>
        <v>47.7617415935673</v>
      </c>
      <c r="AF6360" s="55" t="n">
        <f aca="false">AD6360+ROW()*0.000000001</f>
        <v>-0.321940361149885</v>
      </c>
      <c r="AG6360" s="55" t="n">
        <f aca="false">AE6360+ROW()*0.000000001</f>
        <v>47.7617479535673</v>
      </c>
    </row>
    <row r="6361" customFormat="false" ht="15" hidden="false" customHeight="false" outlineLevel="0" collapsed="false">
      <c r="A6361" s="0" t="n">
        <v>8</v>
      </c>
      <c r="B6361" s="0" t="n">
        <v>6</v>
      </c>
      <c r="C6361" s="0" t="n">
        <v>4</v>
      </c>
      <c r="D6361" s="0" t="n">
        <v>2</v>
      </c>
      <c r="E6361" s="0" t="n">
        <f aca="false">-1+A6361*0.25</f>
        <v>1</v>
      </c>
      <c r="F6361" s="0" t="n">
        <f aca="false">-1+B6361*0.25</f>
        <v>0.5</v>
      </c>
      <c r="G6361" s="0" t="n">
        <f aca="false">-1+C6361*0.25</f>
        <v>0</v>
      </c>
      <c r="H6361" s="0" t="n">
        <f aca="false">-1+D6361*0.25</f>
        <v>-0.5</v>
      </c>
      <c r="I6361" s="0" t="n">
        <f aca="false">1</f>
        <v>1</v>
      </c>
      <c r="J6361" s="0" t="n">
        <f aca="false">E6361</f>
        <v>1</v>
      </c>
      <c r="K6361" s="0" t="n">
        <f aca="false">F6361</f>
        <v>0.5</v>
      </c>
      <c r="L6361" s="0" t="n">
        <f aca="false">G6361</f>
        <v>0</v>
      </c>
      <c r="M6361" s="0" t="n">
        <f aca="false">H6361</f>
        <v>-0.5</v>
      </c>
      <c r="N6361" s="0" t="n">
        <f aca="false">E6361*F6361</f>
        <v>0.5</v>
      </c>
      <c r="O6361" s="0" t="n">
        <f aca="false">E6361*G6361</f>
        <v>0</v>
      </c>
      <c r="P6361" s="0" t="n">
        <f aca="false">E6361*H6361</f>
        <v>-0.5</v>
      </c>
      <c r="Q6361" s="0" t="n">
        <f aca="false">F6361*G6361</f>
        <v>0</v>
      </c>
      <c r="R6361" s="0" t="n">
        <f aca="false">F6361*H6361</f>
        <v>-0.25</v>
      </c>
      <c r="S6361" s="0" t="n">
        <f aca="false">G6361*H6361</f>
        <v>-0</v>
      </c>
      <c r="T6361" s="0" t="n">
        <f aca="false">E6361*E6361</f>
        <v>1</v>
      </c>
      <c r="U6361" s="0" t="n">
        <f aca="false">F6361*F6361</f>
        <v>0.25</v>
      </c>
      <c r="V6361" s="0" t="n">
        <f aca="false">G6361*G6361</f>
        <v>0</v>
      </c>
      <c r="W6361" s="0" t="n">
        <f aca="false">H6361*H6361</f>
        <v>0.25</v>
      </c>
      <c r="X6361" s="0" t="n">
        <f aca="false">SUMPRODUCT(I6361:W6361,_XtX!$B$96:$P$96)</f>
        <v>47.9873355263158</v>
      </c>
      <c r="Y6361" s="0" t="n">
        <f aca="false">SUMPRODUCT(MMULT(I6361:W6361,_XtX!$B$78:$P$92),I6361:W6361)</f>
        <v>0.441954495614035</v>
      </c>
      <c r="Z6361" s="0" t="n">
        <f aca="false">04_回帰ANOVA!$K$19*04_回帰ANOVA!$K$14*SQRT(1+Y6361)</f>
        <v>1.56521560968066</v>
      </c>
      <c r="AA6361" s="0" t="n">
        <f aca="false">X6361-Z6361</f>
        <v>46.4221199166352</v>
      </c>
      <c r="AB6361" s="0" t="n">
        <f aca="false">X6361+Z6361</f>
        <v>49.5525511359965</v>
      </c>
      <c r="AC6361" s="54" t="b">
        <f aca="false">AND(E6361&gt;=01_因子設定!$L$5-0.000000001,E6361&lt;=01_因子設定!$M$5+0.000000001,F6361&gt;=01_因子設定!$L$6-0.000000001,F6361&lt;=01_因子設定!$M$6+0.000000001,G6361&gt;=01_因子設定!$L$7-0.000000001,G6361&lt;=01_因子設定!$M$7+0.000000001,H6361&gt;=01_因子設定!$L$8-0.000000001,H6361&lt;=01_因子設定!$M$8+0.000000001,IF(01_因子設定!$B$20="Box-Behnken",E6361^2+F6361^2+G6361^2+H6361^2&lt;=2+0.000000001,TRUE()))</f>
        <v>1</v>
      </c>
      <c r="AD6361" s="55" t="n">
        <f aca="false">IF(AC6361,IF(01_因子設定!$B$13="最大化",AA6361-01_因子設定!$B$14,IF(01_因子設定!$B$13="最小化",01_因子設定!$B$15-AB6361,MIN(AA6361-01_因子設定!$B$14,01_因子設定!$B$15-AB6361))),-1E+030)</f>
        <v>-0.077880083364839</v>
      </c>
      <c r="AE6361" s="55" t="n">
        <f aca="false">IF(AC6361,IF(01_因子設定!$B$13="最大化",X6361,IF(01_因子設定!$B$13="最小化",-X6361,-ABS(X6361-01_因子設定!$B$16))),-1E+030)</f>
        <v>47.9873355263158</v>
      </c>
      <c r="AF6361" s="55" t="n">
        <f aca="false">AD6361+ROW()*0.000000001</f>
        <v>-0.077873722364839</v>
      </c>
      <c r="AG6361" s="55" t="n">
        <f aca="false">AE6361+ROW()*0.000000001</f>
        <v>47.9873418873158</v>
      </c>
    </row>
    <row r="6362" customFormat="false" ht="15" hidden="false" customHeight="false" outlineLevel="0" collapsed="false">
      <c r="A6362" s="0" t="n">
        <v>8</v>
      </c>
      <c r="B6362" s="0" t="n">
        <v>6</v>
      </c>
      <c r="C6362" s="0" t="n">
        <v>4</v>
      </c>
      <c r="D6362" s="0" t="n">
        <v>3</v>
      </c>
      <c r="E6362" s="0" t="n">
        <f aca="false">-1+A6362*0.25</f>
        <v>1</v>
      </c>
      <c r="F6362" s="0" t="n">
        <f aca="false">-1+B6362*0.25</f>
        <v>0.5</v>
      </c>
      <c r="G6362" s="0" t="n">
        <f aca="false">-1+C6362*0.25</f>
        <v>0</v>
      </c>
      <c r="H6362" s="0" t="n">
        <f aca="false">-1+D6362*0.25</f>
        <v>-0.25</v>
      </c>
      <c r="I6362" s="0" t="n">
        <f aca="false">1</f>
        <v>1</v>
      </c>
      <c r="J6362" s="0" t="n">
        <f aca="false">E6362</f>
        <v>1</v>
      </c>
      <c r="K6362" s="0" t="n">
        <f aca="false">F6362</f>
        <v>0.5</v>
      </c>
      <c r="L6362" s="0" t="n">
        <f aca="false">G6362</f>
        <v>0</v>
      </c>
      <c r="M6362" s="0" t="n">
        <f aca="false">H6362</f>
        <v>-0.25</v>
      </c>
      <c r="N6362" s="0" t="n">
        <f aca="false">E6362*F6362</f>
        <v>0.5</v>
      </c>
      <c r="O6362" s="0" t="n">
        <f aca="false">E6362*G6362</f>
        <v>0</v>
      </c>
      <c r="P6362" s="0" t="n">
        <f aca="false">E6362*H6362</f>
        <v>-0.25</v>
      </c>
      <c r="Q6362" s="0" t="n">
        <f aca="false">F6362*G6362</f>
        <v>0</v>
      </c>
      <c r="R6362" s="0" t="n">
        <f aca="false">F6362*H6362</f>
        <v>-0.125</v>
      </c>
      <c r="S6362" s="0" t="n">
        <f aca="false">G6362*H6362</f>
        <v>-0</v>
      </c>
      <c r="T6362" s="0" t="n">
        <f aca="false">E6362*E6362</f>
        <v>1</v>
      </c>
      <c r="U6362" s="0" t="n">
        <f aca="false">F6362*F6362</f>
        <v>0.25</v>
      </c>
      <c r="V6362" s="0" t="n">
        <f aca="false">G6362*G6362</f>
        <v>0</v>
      </c>
      <c r="W6362" s="0" t="n">
        <f aca="false">H6362*H6362</f>
        <v>0.0625</v>
      </c>
      <c r="X6362" s="0" t="n">
        <f aca="false">SUMPRODUCT(I6362:W6362,_XtX!$B$96:$P$96)</f>
        <v>48.1651224415205</v>
      </c>
      <c r="Y6362" s="0" t="n">
        <f aca="false">SUMPRODUCT(MMULT(I6362:W6362,_XtX!$B$78:$P$92),I6362:W6362)</f>
        <v>0.457596628289474</v>
      </c>
      <c r="Z6362" s="0" t="n">
        <f aca="false">04_回帰ANOVA!$K$19*04_回帰ANOVA!$K$14*SQRT(1+Y6362)</f>
        <v>1.57368233664366</v>
      </c>
      <c r="AA6362" s="0" t="n">
        <f aca="false">X6362-Z6362</f>
        <v>46.5914401048768</v>
      </c>
      <c r="AB6362" s="0" t="n">
        <f aca="false">X6362+Z6362</f>
        <v>49.7388047781642</v>
      </c>
      <c r="AC6362" s="54" t="b">
        <f aca="false">AND(E6362&gt;=01_因子設定!$L$5-0.000000001,E6362&lt;=01_因子設定!$M$5+0.000000001,F6362&gt;=01_因子設定!$L$6-0.000000001,F6362&lt;=01_因子設定!$M$6+0.000000001,G6362&gt;=01_因子設定!$L$7-0.000000001,G6362&lt;=01_因子設定!$M$7+0.000000001,H6362&gt;=01_因子設定!$L$8-0.000000001,H6362&lt;=01_因子設定!$M$8+0.000000001,IF(01_因子設定!$B$20="Box-Behnken",E6362^2+F6362^2+G6362^2+H6362^2&lt;=2+0.000000001,TRUE()))</f>
        <v>1</v>
      </c>
      <c r="AD6362" s="55" t="n">
        <f aca="false">IF(AC6362,IF(01_因子設定!$B$13="最大化",AA6362-01_因子設定!$B$14,IF(01_因子設定!$B$13="最小化",01_因子設定!$B$15-AB6362,MIN(AA6362-01_因子設定!$B$14,01_因子設定!$B$15-AB6362))),-1E+030)</f>
        <v>0.0914401048768383</v>
      </c>
      <c r="AE6362" s="55" t="n">
        <f aca="false">IF(AC6362,IF(01_因子設定!$B$13="最大化",X6362,IF(01_因子設定!$B$13="最小化",-X6362,-ABS(X6362-01_因子設定!$B$16))),-1E+030)</f>
        <v>48.1651224415205</v>
      </c>
      <c r="AF6362" s="55" t="n">
        <f aca="false">AD6362+ROW()*0.000000001</f>
        <v>0.0914464668768383</v>
      </c>
      <c r="AG6362" s="55" t="n">
        <f aca="false">AE6362+ROW()*0.000000001</f>
        <v>48.1651288035205</v>
      </c>
    </row>
    <row r="6363" customFormat="false" ht="15" hidden="false" customHeight="false" outlineLevel="0" collapsed="false">
      <c r="A6363" s="0" t="n">
        <v>8</v>
      </c>
      <c r="B6363" s="0" t="n">
        <v>6</v>
      </c>
      <c r="C6363" s="0" t="n">
        <v>4</v>
      </c>
      <c r="D6363" s="0" t="n">
        <v>4</v>
      </c>
      <c r="E6363" s="0" t="n">
        <f aca="false">-1+A6363*0.25</f>
        <v>1</v>
      </c>
      <c r="F6363" s="0" t="n">
        <f aca="false">-1+B6363*0.25</f>
        <v>0.5</v>
      </c>
      <c r="G6363" s="0" t="n">
        <f aca="false">-1+C6363*0.25</f>
        <v>0</v>
      </c>
      <c r="H6363" s="0" t="n">
        <f aca="false">-1+D6363*0.25</f>
        <v>0</v>
      </c>
      <c r="I6363" s="0" t="n">
        <f aca="false">1</f>
        <v>1</v>
      </c>
      <c r="J6363" s="0" t="n">
        <f aca="false">E6363</f>
        <v>1</v>
      </c>
      <c r="K6363" s="0" t="n">
        <f aca="false">F6363</f>
        <v>0.5</v>
      </c>
      <c r="L6363" s="0" t="n">
        <f aca="false">G6363</f>
        <v>0</v>
      </c>
      <c r="M6363" s="0" t="n">
        <f aca="false">H6363</f>
        <v>0</v>
      </c>
      <c r="N6363" s="0" t="n">
        <f aca="false">E6363*F6363</f>
        <v>0.5</v>
      </c>
      <c r="O6363" s="0" t="n">
        <f aca="false">E6363*G6363</f>
        <v>0</v>
      </c>
      <c r="P6363" s="0" t="n">
        <f aca="false">E6363*H6363</f>
        <v>0</v>
      </c>
      <c r="Q6363" s="0" t="n">
        <f aca="false">F6363*G6363</f>
        <v>0</v>
      </c>
      <c r="R6363" s="0" t="n">
        <f aca="false">F6363*H6363</f>
        <v>0</v>
      </c>
      <c r="S6363" s="0" t="n">
        <f aca="false">G6363*H6363</f>
        <v>0</v>
      </c>
      <c r="T6363" s="0" t="n">
        <f aca="false">E6363*E6363</f>
        <v>1</v>
      </c>
      <c r="U6363" s="0" t="n">
        <f aca="false">F6363*F6363</f>
        <v>0.25</v>
      </c>
      <c r="V6363" s="0" t="n">
        <f aca="false">G6363*G6363</f>
        <v>0</v>
      </c>
      <c r="W6363" s="0" t="n">
        <f aca="false">H6363*H6363</f>
        <v>0</v>
      </c>
      <c r="X6363" s="0" t="n">
        <f aca="false">SUMPRODUCT(I6363:W6363,_XtX!$B$96:$P$96)</f>
        <v>48.2951023391813</v>
      </c>
      <c r="Y6363" s="0" t="n">
        <f aca="false">SUMPRODUCT(MMULT(I6363:W6363,_XtX!$B$78:$P$92),I6363:W6363)</f>
        <v>0.468841374269006</v>
      </c>
      <c r="Z6363" s="0" t="n">
        <f aca="false">04_回帰ANOVA!$K$19*04_回帰ANOVA!$K$14*SQRT(1+Y6363)</f>
        <v>1.57974082366087</v>
      </c>
      <c r="AA6363" s="0" t="n">
        <f aca="false">X6363-Z6363</f>
        <v>46.7153615155204</v>
      </c>
      <c r="AB6363" s="0" t="n">
        <f aca="false">X6363+Z6363</f>
        <v>49.8748431628422</v>
      </c>
      <c r="AC6363" s="54" t="b">
        <f aca="false">AND(E6363&gt;=01_因子設定!$L$5-0.000000001,E6363&lt;=01_因子設定!$M$5+0.000000001,F6363&gt;=01_因子設定!$L$6-0.000000001,F6363&lt;=01_因子設定!$M$6+0.000000001,G6363&gt;=01_因子設定!$L$7-0.000000001,G6363&lt;=01_因子設定!$M$7+0.000000001,H6363&gt;=01_因子設定!$L$8-0.000000001,H6363&lt;=01_因子設定!$M$8+0.000000001,IF(01_因子設定!$B$20="Box-Behnken",E6363^2+F6363^2+G6363^2+H6363^2&lt;=2+0.000000001,TRUE()))</f>
        <v>1</v>
      </c>
      <c r="AD6363" s="55" t="n">
        <f aca="false">IF(AC6363,IF(01_因子設定!$B$13="最大化",AA6363-01_因子設定!$B$14,IF(01_因子設定!$B$13="最小化",01_因子設定!$B$15-AB6363,MIN(AA6363-01_因子設定!$B$14,01_因子設定!$B$15-AB6363))),-1E+030)</f>
        <v>0.215361515520435</v>
      </c>
      <c r="AE6363" s="55" t="n">
        <f aca="false">IF(AC6363,IF(01_因子設定!$B$13="最大化",X6363,IF(01_因子設定!$B$13="最小化",-X6363,-ABS(X6363-01_因子設定!$B$16))),-1E+030)</f>
        <v>48.2951023391813</v>
      </c>
      <c r="AF6363" s="55" t="n">
        <f aca="false">AD6363+ROW()*0.000000001</f>
        <v>0.215367878520435</v>
      </c>
      <c r="AG6363" s="55" t="n">
        <f aca="false">AE6363+ROW()*0.000000001</f>
        <v>48.2951087021813</v>
      </c>
    </row>
    <row r="6364" customFormat="false" ht="15" hidden="false" customHeight="false" outlineLevel="0" collapsed="false">
      <c r="A6364" s="0" t="n">
        <v>8</v>
      </c>
      <c r="B6364" s="0" t="n">
        <v>6</v>
      </c>
      <c r="C6364" s="0" t="n">
        <v>4</v>
      </c>
      <c r="D6364" s="0" t="n">
        <v>5</v>
      </c>
      <c r="E6364" s="0" t="n">
        <f aca="false">-1+A6364*0.25</f>
        <v>1</v>
      </c>
      <c r="F6364" s="0" t="n">
        <f aca="false">-1+B6364*0.25</f>
        <v>0.5</v>
      </c>
      <c r="G6364" s="0" t="n">
        <f aca="false">-1+C6364*0.25</f>
        <v>0</v>
      </c>
      <c r="H6364" s="0" t="n">
        <f aca="false">-1+D6364*0.25</f>
        <v>0.25</v>
      </c>
      <c r="I6364" s="0" t="n">
        <f aca="false">1</f>
        <v>1</v>
      </c>
      <c r="J6364" s="0" t="n">
        <f aca="false">E6364</f>
        <v>1</v>
      </c>
      <c r="K6364" s="0" t="n">
        <f aca="false">F6364</f>
        <v>0.5</v>
      </c>
      <c r="L6364" s="0" t="n">
        <f aca="false">G6364</f>
        <v>0</v>
      </c>
      <c r="M6364" s="0" t="n">
        <f aca="false">H6364</f>
        <v>0.25</v>
      </c>
      <c r="N6364" s="0" t="n">
        <f aca="false">E6364*F6364</f>
        <v>0.5</v>
      </c>
      <c r="O6364" s="0" t="n">
        <f aca="false">E6364*G6364</f>
        <v>0</v>
      </c>
      <c r="P6364" s="0" t="n">
        <f aca="false">E6364*H6364</f>
        <v>0.25</v>
      </c>
      <c r="Q6364" s="0" t="n">
        <f aca="false">F6364*G6364</f>
        <v>0</v>
      </c>
      <c r="R6364" s="0" t="n">
        <f aca="false">F6364*H6364</f>
        <v>0.125</v>
      </c>
      <c r="S6364" s="0" t="n">
        <f aca="false">G6364*H6364</f>
        <v>0</v>
      </c>
      <c r="T6364" s="0" t="n">
        <f aca="false">E6364*E6364</f>
        <v>1</v>
      </c>
      <c r="U6364" s="0" t="n">
        <f aca="false">F6364*F6364</f>
        <v>0.25</v>
      </c>
      <c r="V6364" s="0" t="n">
        <f aca="false">G6364*G6364</f>
        <v>0</v>
      </c>
      <c r="W6364" s="0" t="n">
        <f aca="false">H6364*H6364</f>
        <v>0.0625</v>
      </c>
      <c r="X6364" s="0" t="n">
        <f aca="false">SUMPRODUCT(I6364:W6364,_XtX!$B$96:$P$96)</f>
        <v>48.3772752192983</v>
      </c>
      <c r="Y6364" s="0" t="n">
        <f aca="false">SUMPRODUCT(MMULT(I6364:W6364,_XtX!$B$78:$P$92),I6364:W6364)</f>
        <v>0.457596628289474</v>
      </c>
      <c r="Z6364" s="0" t="n">
        <f aca="false">04_回帰ANOVA!$K$19*04_回帰ANOVA!$K$14*SQRT(1+Y6364)</f>
        <v>1.57368233664366</v>
      </c>
      <c r="AA6364" s="0" t="n">
        <f aca="false">X6364-Z6364</f>
        <v>46.8035928826546</v>
      </c>
      <c r="AB6364" s="0" t="n">
        <f aca="false">X6364+Z6364</f>
        <v>49.9509575559419</v>
      </c>
      <c r="AC6364" s="54" t="b">
        <f aca="false">AND(E6364&gt;=01_因子設定!$L$5-0.000000001,E6364&lt;=01_因子設定!$M$5+0.000000001,F6364&gt;=01_因子設定!$L$6-0.000000001,F6364&lt;=01_因子設定!$M$6+0.000000001,G6364&gt;=01_因子設定!$L$7-0.000000001,G6364&lt;=01_因子設定!$M$7+0.000000001,H6364&gt;=01_因子設定!$L$8-0.000000001,H6364&lt;=01_因子設定!$M$8+0.000000001,IF(01_因子設定!$B$20="Box-Behnken",E6364^2+F6364^2+G6364^2+H6364^2&lt;=2+0.000000001,TRUE()))</f>
        <v>1</v>
      </c>
      <c r="AD6364" s="55" t="n">
        <f aca="false">IF(AC6364,IF(01_因子設定!$B$13="最大化",AA6364-01_因子設定!$B$14,IF(01_因子設定!$B$13="最小化",01_因子設定!$B$15-AB6364,MIN(AA6364-01_因子設定!$B$14,01_因子設定!$B$15-AB6364))),-1E+030)</f>
        <v>0.303592882654613</v>
      </c>
      <c r="AE6364" s="55" t="n">
        <f aca="false">IF(AC6364,IF(01_因子設定!$B$13="最大化",X6364,IF(01_因子設定!$B$13="最小化",-X6364,-ABS(X6364-01_因子設定!$B$16))),-1E+030)</f>
        <v>48.3772752192983</v>
      </c>
      <c r="AF6364" s="55" t="n">
        <f aca="false">AD6364+ROW()*0.000000001</f>
        <v>0.303599246654613</v>
      </c>
      <c r="AG6364" s="55" t="n">
        <f aca="false">AE6364+ROW()*0.000000001</f>
        <v>48.3772815832983</v>
      </c>
    </row>
    <row r="6365" customFormat="false" ht="15" hidden="false" customHeight="false" outlineLevel="0" collapsed="false">
      <c r="A6365" s="0" t="n">
        <v>8</v>
      </c>
      <c r="B6365" s="0" t="n">
        <v>6</v>
      </c>
      <c r="C6365" s="0" t="n">
        <v>4</v>
      </c>
      <c r="D6365" s="0" t="n">
        <v>6</v>
      </c>
      <c r="E6365" s="0" t="n">
        <f aca="false">-1+A6365*0.25</f>
        <v>1</v>
      </c>
      <c r="F6365" s="0" t="n">
        <f aca="false">-1+B6365*0.25</f>
        <v>0.5</v>
      </c>
      <c r="G6365" s="0" t="n">
        <f aca="false">-1+C6365*0.25</f>
        <v>0</v>
      </c>
      <c r="H6365" s="0" t="n">
        <f aca="false">-1+D6365*0.25</f>
        <v>0.5</v>
      </c>
      <c r="I6365" s="0" t="n">
        <f aca="false">1</f>
        <v>1</v>
      </c>
      <c r="J6365" s="0" t="n">
        <f aca="false">E6365</f>
        <v>1</v>
      </c>
      <c r="K6365" s="0" t="n">
        <f aca="false">F6365</f>
        <v>0.5</v>
      </c>
      <c r="L6365" s="0" t="n">
        <f aca="false">G6365</f>
        <v>0</v>
      </c>
      <c r="M6365" s="0" t="n">
        <f aca="false">H6365</f>
        <v>0.5</v>
      </c>
      <c r="N6365" s="0" t="n">
        <f aca="false">E6365*F6365</f>
        <v>0.5</v>
      </c>
      <c r="O6365" s="0" t="n">
        <f aca="false">E6365*G6365</f>
        <v>0</v>
      </c>
      <c r="P6365" s="0" t="n">
        <f aca="false">E6365*H6365</f>
        <v>0.5</v>
      </c>
      <c r="Q6365" s="0" t="n">
        <f aca="false">F6365*G6365</f>
        <v>0</v>
      </c>
      <c r="R6365" s="0" t="n">
        <f aca="false">F6365*H6365</f>
        <v>0.25</v>
      </c>
      <c r="S6365" s="0" t="n">
        <f aca="false">G6365*H6365</f>
        <v>0</v>
      </c>
      <c r="T6365" s="0" t="n">
        <f aca="false">E6365*E6365</f>
        <v>1</v>
      </c>
      <c r="U6365" s="0" t="n">
        <f aca="false">F6365*F6365</f>
        <v>0.25</v>
      </c>
      <c r="V6365" s="0" t="n">
        <f aca="false">G6365*G6365</f>
        <v>0</v>
      </c>
      <c r="W6365" s="0" t="n">
        <f aca="false">H6365*H6365</f>
        <v>0.25</v>
      </c>
      <c r="X6365" s="0" t="n">
        <f aca="false">SUMPRODUCT(I6365:W6365,_XtX!$B$96:$P$96)</f>
        <v>48.4116410818714</v>
      </c>
      <c r="Y6365" s="0" t="n">
        <f aca="false">SUMPRODUCT(MMULT(I6365:W6365,_XtX!$B$78:$P$92),I6365:W6365)</f>
        <v>0.441954495614035</v>
      </c>
      <c r="Z6365" s="0" t="n">
        <f aca="false">04_回帰ANOVA!$K$19*04_回帰ANOVA!$K$14*SQRT(1+Y6365)</f>
        <v>1.56521560968066</v>
      </c>
      <c r="AA6365" s="0" t="n">
        <f aca="false">X6365-Z6365</f>
        <v>46.8464254721907</v>
      </c>
      <c r="AB6365" s="0" t="n">
        <f aca="false">X6365+Z6365</f>
        <v>49.976856691552</v>
      </c>
      <c r="AC6365" s="54" t="b">
        <f aca="false">AND(E6365&gt;=01_因子設定!$L$5-0.000000001,E6365&lt;=01_因子設定!$M$5+0.000000001,F6365&gt;=01_因子設定!$L$6-0.000000001,F6365&lt;=01_因子設定!$M$6+0.000000001,G6365&gt;=01_因子設定!$L$7-0.000000001,G6365&lt;=01_因子設定!$M$7+0.000000001,H6365&gt;=01_因子設定!$L$8-0.000000001,H6365&lt;=01_因子設定!$M$8+0.000000001,IF(01_因子設定!$B$20="Box-Behnken",E6365^2+F6365^2+G6365^2+H6365^2&lt;=2+0.000000001,TRUE()))</f>
        <v>1</v>
      </c>
      <c r="AD6365" s="55" t="n">
        <f aca="false">IF(AC6365,IF(01_因子設定!$B$13="最大化",AA6365-01_因子設定!$B$14,IF(01_因子設定!$B$13="最小化",01_因子設定!$B$15-AB6365,MIN(AA6365-01_因子設定!$B$14,01_因子設定!$B$15-AB6365))),-1E+030)</f>
        <v>0.346425472190717</v>
      </c>
      <c r="AE6365" s="55" t="n">
        <f aca="false">IF(AC6365,IF(01_因子設定!$B$13="最大化",X6365,IF(01_因子設定!$B$13="最小化",-X6365,-ABS(X6365-01_因子設定!$B$16))),-1E+030)</f>
        <v>48.4116410818714</v>
      </c>
      <c r="AF6365" s="55" t="n">
        <f aca="false">AD6365+ROW()*0.000000001</f>
        <v>0.346431837190717</v>
      </c>
      <c r="AG6365" s="55" t="n">
        <f aca="false">AE6365+ROW()*0.000000001</f>
        <v>48.4116474468714</v>
      </c>
    </row>
    <row r="6366" customFormat="false" ht="15" hidden="false" customHeight="false" outlineLevel="0" collapsed="false">
      <c r="A6366" s="0" t="n">
        <v>8</v>
      </c>
      <c r="B6366" s="0" t="n">
        <v>6</v>
      </c>
      <c r="C6366" s="0" t="n">
        <v>4</v>
      </c>
      <c r="D6366" s="0" t="n">
        <v>7</v>
      </c>
      <c r="E6366" s="0" t="n">
        <f aca="false">-1+A6366*0.25</f>
        <v>1</v>
      </c>
      <c r="F6366" s="0" t="n">
        <f aca="false">-1+B6366*0.25</f>
        <v>0.5</v>
      </c>
      <c r="G6366" s="0" t="n">
        <f aca="false">-1+C6366*0.25</f>
        <v>0</v>
      </c>
      <c r="H6366" s="0" t="n">
        <f aca="false">-1+D6366*0.25</f>
        <v>0.75</v>
      </c>
      <c r="I6366" s="0" t="n">
        <f aca="false">1</f>
        <v>1</v>
      </c>
      <c r="J6366" s="0" t="n">
        <f aca="false">E6366</f>
        <v>1</v>
      </c>
      <c r="K6366" s="0" t="n">
        <f aca="false">F6366</f>
        <v>0.5</v>
      </c>
      <c r="L6366" s="0" t="n">
        <f aca="false">G6366</f>
        <v>0</v>
      </c>
      <c r="M6366" s="0" t="n">
        <f aca="false">H6366</f>
        <v>0.75</v>
      </c>
      <c r="N6366" s="0" t="n">
        <f aca="false">E6366*F6366</f>
        <v>0.5</v>
      </c>
      <c r="O6366" s="0" t="n">
        <f aca="false">E6366*G6366</f>
        <v>0</v>
      </c>
      <c r="P6366" s="0" t="n">
        <f aca="false">E6366*H6366</f>
        <v>0.75</v>
      </c>
      <c r="Q6366" s="0" t="n">
        <f aca="false">F6366*G6366</f>
        <v>0</v>
      </c>
      <c r="R6366" s="0" t="n">
        <f aca="false">F6366*H6366</f>
        <v>0.375</v>
      </c>
      <c r="S6366" s="0" t="n">
        <f aca="false">G6366*H6366</f>
        <v>0</v>
      </c>
      <c r="T6366" s="0" t="n">
        <f aca="false">E6366*E6366</f>
        <v>1</v>
      </c>
      <c r="U6366" s="0" t="n">
        <f aca="false">F6366*F6366</f>
        <v>0.25</v>
      </c>
      <c r="V6366" s="0" t="n">
        <f aca="false">G6366*G6366</f>
        <v>0</v>
      </c>
      <c r="W6366" s="0" t="n">
        <f aca="false">H6366*H6366</f>
        <v>0.5625</v>
      </c>
      <c r="X6366" s="0" t="n">
        <f aca="false">SUMPRODUCT(I6366:W6366,_XtX!$B$96:$P$96)</f>
        <v>48.3981999269006</v>
      </c>
      <c r="Y6366" s="0" t="n">
        <f aca="false">SUMPRODUCT(MMULT(I6366:W6366,_XtX!$B$78:$P$92),I6366:W6366)</f>
        <v>0.476191292032164</v>
      </c>
      <c r="Z6366" s="0" t="n">
        <f aca="false">04_回帰ANOVA!$K$19*04_回帰ANOVA!$K$14*SQRT(1+Y6366)</f>
        <v>1.58368831471718</v>
      </c>
      <c r="AA6366" s="0" t="n">
        <f aca="false">X6366-Z6366</f>
        <v>46.8145116121835</v>
      </c>
      <c r="AB6366" s="0" t="n">
        <f aca="false">X6366+Z6366</f>
        <v>49.9818882416178</v>
      </c>
      <c r="AC6366" s="54" t="b">
        <f aca="false">AND(E6366&gt;=01_因子設定!$L$5-0.000000001,E6366&lt;=01_因子設定!$M$5+0.000000001,F6366&gt;=01_因子設定!$L$6-0.000000001,F6366&lt;=01_因子設定!$M$6+0.000000001,G6366&gt;=01_因子設定!$L$7-0.000000001,G6366&lt;=01_因子設定!$M$7+0.000000001,H6366&gt;=01_因子設定!$L$8-0.000000001,H6366&lt;=01_因子設定!$M$8+0.000000001,IF(01_因子設定!$B$20="Box-Behnken",E6366^2+F6366^2+G6366^2+H6366^2&lt;=2+0.000000001,TRUE()))</f>
        <v>1</v>
      </c>
      <c r="AD6366" s="55" t="n">
        <f aca="false">IF(AC6366,IF(01_因子設定!$B$13="最大化",AA6366-01_因子設定!$B$14,IF(01_因子設定!$B$13="最小化",01_因子設定!$B$15-AB6366,MIN(AA6366-01_因子設定!$B$14,01_因子設定!$B$15-AB6366))),-1E+030)</f>
        <v>0.314511612183452</v>
      </c>
      <c r="AE6366" s="55" t="n">
        <f aca="false">IF(AC6366,IF(01_因子設定!$B$13="最大化",X6366,IF(01_因子設定!$B$13="最小化",-X6366,-ABS(X6366-01_因子設定!$B$16))),-1E+030)</f>
        <v>48.3981999269006</v>
      </c>
      <c r="AF6366" s="55" t="n">
        <f aca="false">AD6366+ROW()*0.000000001</f>
        <v>0.314517978183452</v>
      </c>
      <c r="AG6366" s="55" t="n">
        <f aca="false">AE6366+ROW()*0.000000001</f>
        <v>48.3982062929006</v>
      </c>
    </row>
    <row r="6367" customFormat="false" ht="15" hidden="false" customHeight="false" outlineLevel="0" collapsed="false">
      <c r="A6367" s="0" t="n">
        <v>8</v>
      </c>
      <c r="B6367" s="0" t="n">
        <v>6</v>
      </c>
      <c r="C6367" s="0" t="n">
        <v>4</v>
      </c>
      <c r="D6367" s="0" t="n">
        <v>8</v>
      </c>
      <c r="E6367" s="0" t="n">
        <f aca="false">-1+A6367*0.25</f>
        <v>1</v>
      </c>
      <c r="F6367" s="0" t="n">
        <f aca="false">-1+B6367*0.25</f>
        <v>0.5</v>
      </c>
      <c r="G6367" s="0" t="n">
        <f aca="false">-1+C6367*0.25</f>
        <v>0</v>
      </c>
      <c r="H6367" s="0" t="n">
        <f aca="false">-1+D6367*0.25</f>
        <v>1</v>
      </c>
      <c r="I6367" s="0" t="n">
        <f aca="false">1</f>
        <v>1</v>
      </c>
      <c r="J6367" s="0" t="n">
        <f aca="false">E6367</f>
        <v>1</v>
      </c>
      <c r="K6367" s="0" t="n">
        <f aca="false">F6367</f>
        <v>0.5</v>
      </c>
      <c r="L6367" s="0" t="n">
        <f aca="false">G6367</f>
        <v>0</v>
      </c>
      <c r="M6367" s="0" t="n">
        <f aca="false">H6367</f>
        <v>1</v>
      </c>
      <c r="N6367" s="0" t="n">
        <f aca="false">E6367*F6367</f>
        <v>0.5</v>
      </c>
      <c r="O6367" s="0" t="n">
        <f aca="false">E6367*G6367</f>
        <v>0</v>
      </c>
      <c r="P6367" s="0" t="n">
        <f aca="false">E6367*H6367</f>
        <v>1</v>
      </c>
      <c r="Q6367" s="0" t="n">
        <f aca="false">F6367*G6367</f>
        <v>0</v>
      </c>
      <c r="R6367" s="0" t="n">
        <f aca="false">F6367*H6367</f>
        <v>0.5</v>
      </c>
      <c r="S6367" s="0" t="n">
        <f aca="false">G6367*H6367</f>
        <v>0</v>
      </c>
      <c r="T6367" s="0" t="n">
        <f aca="false">E6367*E6367</f>
        <v>1</v>
      </c>
      <c r="U6367" s="0" t="n">
        <f aca="false">F6367*F6367</f>
        <v>0.25</v>
      </c>
      <c r="V6367" s="0" t="n">
        <f aca="false">G6367*G6367</f>
        <v>0</v>
      </c>
      <c r="W6367" s="0" t="n">
        <f aca="false">H6367*H6367</f>
        <v>1</v>
      </c>
      <c r="X6367" s="0" t="n">
        <f aca="false">SUMPRODUCT(I6367:W6367,_XtX!$B$96:$P$96)</f>
        <v>48.336951754386</v>
      </c>
      <c r="Y6367" s="0" t="n">
        <f aca="false">SUMPRODUCT(MMULT(I6367:W6367,_XtX!$B$78:$P$92),I6367:W6367)</f>
        <v>0.650767543859649</v>
      </c>
      <c r="Z6367" s="0" t="n">
        <f aca="false">04_回帰ANOVA!$K$19*04_回帰ANOVA!$K$14*SQRT(1+Y6367)</f>
        <v>1.67471670935165</v>
      </c>
      <c r="AA6367" s="0" t="n">
        <f aca="false">X6367-Z6367</f>
        <v>46.6622350450344</v>
      </c>
      <c r="AB6367" s="0" t="n">
        <f aca="false">X6367+Z6367</f>
        <v>50.0116684637377</v>
      </c>
      <c r="AC6367" s="54" t="b">
        <f aca="false">AND(E6367&gt;=01_因子設定!$L$5-0.000000001,E6367&lt;=01_因子設定!$M$5+0.000000001,F6367&gt;=01_因子設定!$L$6-0.000000001,F6367&lt;=01_因子設定!$M$6+0.000000001,G6367&gt;=01_因子設定!$L$7-0.000000001,G6367&lt;=01_因子設定!$M$7+0.000000001,H6367&gt;=01_因子設定!$L$8-0.000000001,H6367&lt;=01_因子設定!$M$8+0.000000001,IF(01_因子設定!$B$20="Box-Behnken",E6367^2+F6367^2+G6367^2+H6367^2&lt;=2+0.000000001,TRUE()))</f>
        <v>1</v>
      </c>
      <c r="AD6367" s="55" t="n">
        <f aca="false">IF(AC6367,IF(01_因子設定!$B$13="最大化",AA6367-01_因子設定!$B$14,IF(01_因子設定!$B$13="最小化",01_因子設定!$B$15-AB6367,MIN(AA6367-01_因子設定!$B$14,01_因子設定!$B$15-AB6367))),-1E+030)</f>
        <v>0.162235045034379</v>
      </c>
      <c r="AE6367" s="55" t="n">
        <f aca="false">IF(AC6367,IF(01_因子設定!$B$13="最大化",X6367,IF(01_因子設定!$B$13="最小化",-X6367,-ABS(X6367-01_因子設定!$B$16))),-1E+030)</f>
        <v>48.336951754386</v>
      </c>
      <c r="AF6367" s="55" t="n">
        <f aca="false">AD6367+ROW()*0.000000001</f>
        <v>0.162241412034379</v>
      </c>
      <c r="AG6367" s="55" t="n">
        <f aca="false">AE6367+ROW()*0.000000001</f>
        <v>48.336958121386</v>
      </c>
    </row>
    <row r="6368" customFormat="false" ht="15" hidden="false" customHeight="false" outlineLevel="0" collapsed="false">
      <c r="A6368" s="0" t="n">
        <v>8</v>
      </c>
      <c r="B6368" s="0" t="n">
        <v>6</v>
      </c>
      <c r="C6368" s="0" t="n">
        <v>5</v>
      </c>
      <c r="D6368" s="0" t="n">
        <v>0</v>
      </c>
      <c r="E6368" s="0" t="n">
        <f aca="false">-1+A6368*0.25</f>
        <v>1</v>
      </c>
      <c r="F6368" s="0" t="n">
        <f aca="false">-1+B6368*0.25</f>
        <v>0.5</v>
      </c>
      <c r="G6368" s="0" t="n">
        <f aca="false">-1+C6368*0.25</f>
        <v>0.25</v>
      </c>
      <c r="H6368" s="0" t="n">
        <f aca="false">-1+D6368*0.25</f>
        <v>-1</v>
      </c>
      <c r="I6368" s="0" t="n">
        <f aca="false">1</f>
        <v>1</v>
      </c>
      <c r="J6368" s="0" t="n">
        <f aca="false">E6368</f>
        <v>1</v>
      </c>
      <c r="K6368" s="0" t="n">
        <f aca="false">F6368</f>
        <v>0.5</v>
      </c>
      <c r="L6368" s="0" t="n">
        <f aca="false">G6368</f>
        <v>0.25</v>
      </c>
      <c r="M6368" s="0" t="n">
        <f aca="false">H6368</f>
        <v>-1</v>
      </c>
      <c r="N6368" s="0" t="n">
        <f aca="false">E6368*F6368</f>
        <v>0.5</v>
      </c>
      <c r="O6368" s="0" t="n">
        <f aca="false">E6368*G6368</f>
        <v>0.25</v>
      </c>
      <c r="P6368" s="0" t="n">
        <f aca="false">E6368*H6368</f>
        <v>-1</v>
      </c>
      <c r="Q6368" s="0" t="n">
        <f aca="false">F6368*G6368</f>
        <v>0.125</v>
      </c>
      <c r="R6368" s="0" t="n">
        <f aca="false">F6368*H6368</f>
        <v>-0.5</v>
      </c>
      <c r="S6368" s="0" t="n">
        <f aca="false">G6368*H6368</f>
        <v>-0.25</v>
      </c>
      <c r="T6368" s="0" t="n">
        <f aca="false">E6368*E6368</f>
        <v>1</v>
      </c>
      <c r="U6368" s="0" t="n">
        <f aca="false">F6368*F6368</f>
        <v>0.25</v>
      </c>
      <c r="V6368" s="0" t="n">
        <f aca="false">G6368*G6368</f>
        <v>0.0625</v>
      </c>
      <c r="W6368" s="0" t="n">
        <f aca="false">H6368*H6368</f>
        <v>1</v>
      </c>
      <c r="X6368" s="0" t="n">
        <f aca="false">SUMPRODUCT(I6368:W6368,_XtX!$B$96:$P$96)</f>
        <v>47.4962079678363</v>
      </c>
      <c r="Y6368" s="0" t="n">
        <f aca="false">SUMPRODUCT(MMULT(I6368:W6368,_XtX!$B$78:$P$92),I6368:W6368)</f>
        <v>0.629174661915205</v>
      </c>
      <c r="Z6368" s="0" t="n">
        <f aca="false">04_回帰ANOVA!$K$19*04_回帰ANOVA!$K$14*SQRT(1+Y6368)</f>
        <v>1.66372758058297</v>
      </c>
      <c r="AA6368" s="0" t="n">
        <f aca="false">X6368-Z6368</f>
        <v>45.8324803872534</v>
      </c>
      <c r="AB6368" s="0" t="n">
        <f aca="false">X6368+Z6368</f>
        <v>49.1599355484193</v>
      </c>
      <c r="AC6368" s="54" t="b">
        <f aca="false">AND(E6368&gt;=01_因子設定!$L$5-0.000000001,E6368&lt;=01_因子設定!$M$5+0.000000001,F6368&gt;=01_因子設定!$L$6-0.000000001,F6368&lt;=01_因子設定!$M$6+0.000000001,G6368&gt;=01_因子設定!$L$7-0.000000001,G6368&lt;=01_因子設定!$M$7+0.000000001,H6368&gt;=01_因子設定!$L$8-0.000000001,H6368&lt;=01_因子設定!$M$8+0.000000001,IF(01_因子設定!$B$20="Box-Behnken",E6368^2+F6368^2+G6368^2+H6368^2&lt;=2+0.000000001,TRUE()))</f>
        <v>1</v>
      </c>
      <c r="AD6368" s="55" t="n">
        <f aca="false">IF(AC6368,IF(01_因子設定!$B$13="最大化",AA6368-01_因子設定!$B$14,IF(01_因子設定!$B$13="最小化",01_因子設定!$B$15-AB6368,MIN(AA6368-01_因子設定!$B$14,01_因子設定!$B$15-AB6368))),-1E+030)</f>
        <v>-0.667519612746652</v>
      </c>
      <c r="AE6368" s="55" t="n">
        <f aca="false">IF(AC6368,IF(01_因子設定!$B$13="最大化",X6368,IF(01_因子設定!$B$13="最小化",-X6368,-ABS(X6368-01_因子設定!$B$16))),-1E+030)</f>
        <v>47.4962079678363</v>
      </c>
      <c r="AF6368" s="55" t="n">
        <f aca="false">AD6368+ROW()*0.000000001</f>
        <v>-0.667513244746652</v>
      </c>
      <c r="AG6368" s="55" t="n">
        <f aca="false">AE6368+ROW()*0.000000001</f>
        <v>47.4962143358363</v>
      </c>
    </row>
    <row r="6369" customFormat="false" ht="15" hidden="false" customHeight="false" outlineLevel="0" collapsed="false">
      <c r="A6369" s="0" t="n">
        <v>8</v>
      </c>
      <c r="B6369" s="0" t="n">
        <v>6</v>
      </c>
      <c r="C6369" s="0" t="n">
        <v>5</v>
      </c>
      <c r="D6369" s="0" t="n">
        <v>1</v>
      </c>
      <c r="E6369" s="0" t="n">
        <f aca="false">-1+A6369*0.25</f>
        <v>1</v>
      </c>
      <c r="F6369" s="0" t="n">
        <f aca="false">-1+B6369*0.25</f>
        <v>0.5</v>
      </c>
      <c r="G6369" s="0" t="n">
        <f aca="false">-1+C6369*0.25</f>
        <v>0.25</v>
      </c>
      <c r="H6369" s="0" t="n">
        <f aca="false">-1+D6369*0.25</f>
        <v>-0.75</v>
      </c>
      <c r="I6369" s="0" t="n">
        <f aca="false">1</f>
        <v>1</v>
      </c>
      <c r="J6369" s="0" t="n">
        <f aca="false">E6369</f>
        <v>1</v>
      </c>
      <c r="K6369" s="0" t="n">
        <f aca="false">F6369</f>
        <v>0.5</v>
      </c>
      <c r="L6369" s="0" t="n">
        <f aca="false">G6369</f>
        <v>0.25</v>
      </c>
      <c r="M6369" s="0" t="n">
        <f aca="false">H6369</f>
        <v>-0.75</v>
      </c>
      <c r="N6369" s="0" t="n">
        <f aca="false">E6369*F6369</f>
        <v>0.5</v>
      </c>
      <c r="O6369" s="0" t="n">
        <f aca="false">E6369*G6369</f>
        <v>0.25</v>
      </c>
      <c r="P6369" s="0" t="n">
        <f aca="false">E6369*H6369</f>
        <v>-0.75</v>
      </c>
      <c r="Q6369" s="0" t="n">
        <f aca="false">F6369*G6369</f>
        <v>0.125</v>
      </c>
      <c r="R6369" s="0" t="n">
        <f aca="false">F6369*H6369</f>
        <v>-0.375</v>
      </c>
      <c r="S6369" s="0" t="n">
        <f aca="false">G6369*H6369</f>
        <v>-0.1875</v>
      </c>
      <c r="T6369" s="0" t="n">
        <f aca="false">E6369*E6369</f>
        <v>1</v>
      </c>
      <c r="U6369" s="0" t="n">
        <f aca="false">F6369*F6369</f>
        <v>0.25</v>
      </c>
      <c r="V6369" s="0" t="n">
        <f aca="false">G6369*G6369</f>
        <v>0.0625</v>
      </c>
      <c r="W6369" s="0" t="n">
        <f aca="false">H6369*H6369</f>
        <v>0.5625</v>
      </c>
      <c r="X6369" s="0" t="n">
        <f aca="false">SUMPRODUCT(I6369:W6369,_XtX!$B$96:$P$96)</f>
        <v>47.7875776681287</v>
      </c>
      <c r="Y6369" s="0" t="n">
        <f aca="false">SUMPRODUCT(MMULT(I6369:W6369,_XtX!$B$78:$P$92),I6369:W6369)</f>
        <v>0.459125719572369</v>
      </c>
      <c r="Z6369" s="0" t="n">
        <f aca="false">04_回帰ANOVA!$K$19*04_回帰ANOVA!$K$14*SQRT(1+Y6369)</f>
        <v>1.57450755575573</v>
      </c>
      <c r="AA6369" s="0" t="n">
        <f aca="false">X6369-Z6369</f>
        <v>46.213070112373</v>
      </c>
      <c r="AB6369" s="0" t="n">
        <f aca="false">X6369+Z6369</f>
        <v>49.3620852238844</v>
      </c>
      <c r="AC6369" s="54" t="b">
        <f aca="false">AND(E6369&gt;=01_因子設定!$L$5-0.000000001,E6369&lt;=01_因子設定!$M$5+0.000000001,F6369&gt;=01_因子設定!$L$6-0.000000001,F6369&lt;=01_因子設定!$M$6+0.000000001,G6369&gt;=01_因子設定!$L$7-0.000000001,G6369&lt;=01_因子設定!$M$7+0.000000001,H6369&gt;=01_因子設定!$L$8-0.000000001,H6369&lt;=01_因子設定!$M$8+0.000000001,IF(01_因子設定!$B$20="Box-Behnken",E6369^2+F6369^2+G6369^2+H6369^2&lt;=2+0.000000001,TRUE()))</f>
        <v>1</v>
      </c>
      <c r="AD6369" s="55" t="n">
        <f aca="false">IF(AC6369,IF(01_因子設定!$B$13="最大化",AA6369-01_因子設定!$B$14,IF(01_因子設定!$B$13="最小化",01_因子設定!$B$15-AB6369,MIN(AA6369-01_因子設定!$B$14,01_因子設定!$B$15-AB6369))),-1E+030)</f>
        <v>-0.286929887627032</v>
      </c>
      <c r="AE6369" s="55" t="n">
        <f aca="false">IF(AC6369,IF(01_因子設定!$B$13="最大化",X6369,IF(01_因子設定!$B$13="最小化",-X6369,-ABS(X6369-01_因子設定!$B$16))),-1E+030)</f>
        <v>47.7875776681287</v>
      </c>
      <c r="AF6369" s="55" t="n">
        <f aca="false">AD6369+ROW()*0.000000001</f>
        <v>-0.286923518627032</v>
      </c>
      <c r="AG6369" s="55" t="n">
        <f aca="false">AE6369+ROW()*0.000000001</f>
        <v>47.7875840371287</v>
      </c>
    </row>
    <row r="6370" customFormat="false" ht="15" hidden="false" customHeight="false" outlineLevel="0" collapsed="false">
      <c r="A6370" s="0" t="n">
        <v>8</v>
      </c>
      <c r="B6370" s="0" t="n">
        <v>6</v>
      </c>
      <c r="C6370" s="0" t="n">
        <v>5</v>
      </c>
      <c r="D6370" s="0" t="n">
        <v>2</v>
      </c>
      <c r="E6370" s="0" t="n">
        <f aca="false">-1+A6370*0.25</f>
        <v>1</v>
      </c>
      <c r="F6370" s="0" t="n">
        <f aca="false">-1+B6370*0.25</f>
        <v>0.5</v>
      </c>
      <c r="G6370" s="0" t="n">
        <f aca="false">-1+C6370*0.25</f>
        <v>0.25</v>
      </c>
      <c r="H6370" s="0" t="n">
        <f aca="false">-1+D6370*0.25</f>
        <v>-0.5</v>
      </c>
      <c r="I6370" s="0" t="n">
        <f aca="false">1</f>
        <v>1</v>
      </c>
      <c r="J6370" s="0" t="n">
        <f aca="false">E6370</f>
        <v>1</v>
      </c>
      <c r="K6370" s="0" t="n">
        <f aca="false">F6370</f>
        <v>0.5</v>
      </c>
      <c r="L6370" s="0" t="n">
        <f aca="false">G6370</f>
        <v>0.25</v>
      </c>
      <c r="M6370" s="0" t="n">
        <f aca="false">H6370</f>
        <v>-0.5</v>
      </c>
      <c r="N6370" s="0" t="n">
        <f aca="false">E6370*F6370</f>
        <v>0.5</v>
      </c>
      <c r="O6370" s="0" t="n">
        <f aca="false">E6370*G6370</f>
        <v>0.25</v>
      </c>
      <c r="P6370" s="0" t="n">
        <f aca="false">E6370*H6370</f>
        <v>-0.5</v>
      </c>
      <c r="Q6370" s="0" t="n">
        <f aca="false">F6370*G6370</f>
        <v>0.125</v>
      </c>
      <c r="R6370" s="0" t="n">
        <f aca="false">F6370*H6370</f>
        <v>-0.25</v>
      </c>
      <c r="S6370" s="0" t="n">
        <f aca="false">G6370*H6370</f>
        <v>-0.125</v>
      </c>
      <c r="T6370" s="0" t="n">
        <f aca="false">E6370*E6370</f>
        <v>1</v>
      </c>
      <c r="U6370" s="0" t="n">
        <f aca="false">F6370*F6370</f>
        <v>0.25</v>
      </c>
      <c r="V6370" s="0" t="n">
        <f aca="false">G6370*G6370</f>
        <v>0.0625</v>
      </c>
      <c r="W6370" s="0" t="n">
        <f aca="false">H6370*H6370</f>
        <v>0.25</v>
      </c>
      <c r="X6370" s="0" t="n">
        <f aca="false">SUMPRODUCT(I6370:W6370,_XtX!$B$96:$P$96)</f>
        <v>48.0311403508772</v>
      </c>
      <c r="Y6370" s="0" t="n">
        <f aca="false">SUMPRODUCT(MMULT(I6370:W6370,_XtX!$B$78:$P$92),I6370:W6370)</f>
        <v>0.428122715643275</v>
      </c>
      <c r="Z6370" s="0" t="n">
        <f aca="false">04_回帰ANOVA!$K$19*04_回帰ANOVA!$K$14*SQRT(1+Y6370)</f>
        <v>1.55769044623229</v>
      </c>
      <c r="AA6370" s="0" t="n">
        <f aca="false">X6370-Z6370</f>
        <v>46.4734499046449</v>
      </c>
      <c r="AB6370" s="0" t="n">
        <f aca="false">X6370+Z6370</f>
        <v>49.5888307971095</v>
      </c>
      <c r="AC6370" s="54" t="b">
        <f aca="false">AND(E6370&gt;=01_因子設定!$L$5-0.000000001,E6370&lt;=01_因子設定!$M$5+0.000000001,F6370&gt;=01_因子設定!$L$6-0.000000001,F6370&lt;=01_因子設定!$M$6+0.000000001,G6370&gt;=01_因子設定!$L$7-0.000000001,G6370&lt;=01_因子設定!$M$7+0.000000001,H6370&gt;=01_因子設定!$L$8-0.000000001,H6370&lt;=01_因子設定!$M$8+0.000000001,IF(01_因子設定!$B$20="Box-Behnken",E6370^2+F6370^2+G6370^2+H6370^2&lt;=2+0.000000001,TRUE()))</f>
        <v>1</v>
      </c>
      <c r="AD6370" s="55" t="n">
        <f aca="false">IF(AC6370,IF(01_因子設定!$B$13="最大化",AA6370-01_因子設定!$B$14,IF(01_因子設定!$B$13="最小化",01_因子設定!$B$15-AB6370,MIN(AA6370-01_因子設定!$B$14,01_因子設定!$B$15-AB6370))),-1E+030)</f>
        <v>-0.0265500953550628</v>
      </c>
      <c r="AE6370" s="55" t="n">
        <f aca="false">IF(AC6370,IF(01_因子設定!$B$13="最大化",X6370,IF(01_因子設定!$B$13="最小化",-X6370,-ABS(X6370-01_因子設定!$B$16))),-1E+030)</f>
        <v>48.0311403508772</v>
      </c>
      <c r="AF6370" s="55" t="n">
        <f aca="false">AD6370+ROW()*0.000000001</f>
        <v>-0.0265437253550628</v>
      </c>
      <c r="AG6370" s="55" t="n">
        <f aca="false">AE6370+ROW()*0.000000001</f>
        <v>48.0311467208772</v>
      </c>
    </row>
    <row r="6371" customFormat="false" ht="15" hidden="false" customHeight="false" outlineLevel="0" collapsed="false">
      <c r="A6371" s="0" t="n">
        <v>8</v>
      </c>
      <c r="B6371" s="0" t="n">
        <v>6</v>
      </c>
      <c r="C6371" s="0" t="n">
        <v>5</v>
      </c>
      <c r="D6371" s="0" t="n">
        <v>3</v>
      </c>
      <c r="E6371" s="0" t="n">
        <f aca="false">-1+A6371*0.25</f>
        <v>1</v>
      </c>
      <c r="F6371" s="0" t="n">
        <f aca="false">-1+B6371*0.25</f>
        <v>0.5</v>
      </c>
      <c r="G6371" s="0" t="n">
        <f aca="false">-1+C6371*0.25</f>
        <v>0.25</v>
      </c>
      <c r="H6371" s="0" t="n">
        <f aca="false">-1+D6371*0.25</f>
        <v>-0.25</v>
      </c>
      <c r="I6371" s="0" t="n">
        <f aca="false">1</f>
        <v>1</v>
      </c>
      <c r="J6371" s="0" t="n">
        <f aca="false">E6371</f>
        <v>1</v>
      </c>
      <c r="K6371" s="0" t="n">
        <f aca="false">F6371</f>
        <v>0.5</v>
      </c>
      <c r="L6371" s="0" t="n">
        <f aca="false">G6371</f>
        <v>0.25</v>
      </c>
      <c r="M6371" s="0" t="n">
        <f aca="false">H6371</f>
        <v>-0.25</v>
      </c>
      <c r="N6371" s="0" t="n">
        <f aca="false">E6371*F6371</f>
        <v>0.5</v>
      </c>
      <c r="O6371" s="0" t="n">
        <f aca="false">E6371*G6371</f>
        <v>0.25</v>
      </c>
      <c r="P6371" s="0" t="n">
        <f aca="false">E6371*H6371</f>
        <v>-0.25</v>
      </c>
      <c r="Q6371" s="0" t="n">
        <f aca="false">F6371*G6371</f>
        <v>0.125</v>
      </c>
      <c r="R6371" s="0" t="n">
        <f aca="false">F6371*H6371</f>
        <v>-0.125</v>
      </c>
      <c r="S6371" s="0" t="n">
        <f aca="false">G6371*H6371</f>
        <v>-0.0625</v>
      </c>
      <c r="T6371" s="0" t="n">
        <f aca="false">E6371*E6371</f>
        <v>1</v>
      </c>
      <c r="U6371" s="0" t="n">
        <f aca="false">F6371*F6371</f>
        <v>0.25</v>
      </c>
      <c r="V6371" s="0" t="n">
        <f aca="false">G6371*G6371</f>
        <v>0.0625</v>
      </c>
      <c r="W6371" s="0" t="n">
        <f aca="false">H6371*H6371</f>
        <v>0.0625</v>
      </c>
      <c r="X6371" s="0" t="n">
        <f aca="false">SUMPRODUCT(I6371:W6371,_XtX!$B$96:$P$96)</f>
        <v>48.2268960160819</v>
      </c>
      <c r="Y6371" s="0" t="n">
        <f aca="false">SUMPRODUCT(MMULT(I6371:W6371,_XtX!$B$78:$P$92),I6371:W6371)</f>
        <v>0.445705123812135</v>
      </c>
      <c r="Z6371" s="0" t="n">
        <f aca="false">04_回帰ANOVA!$K$19*04_回帰ANOVA!$K$14*SQRT(1+Y6371)</f>
        <v>1.56724990734749</v>
      </c>
      <c r="AA6371" s="0" t="n">
        <f aca="false">X6371-Z6371</f>
        <v>46.6596461087344</v>
      </c>
      <c r="AB6371" s="0" t="n">
        <f aca="false">X6371+Z6371</f>
        <v>49.7941459234294</v>
      </c>
      <c r="AC6371" s="54" t="b">
        <f aca="false">AND(E6371&gt;=01_因子設定!$L$5-0.000000001,E6371&lt;=01_因子設定!$M$5+0.000000001,F6371&gt;=01_因子設定!$L$6-0.000000001,F6371&lt;=01_因子設定!$M$6+0.000000001,G6371&gt;=01_因子設定!$L$7-0.000000001,G6371&lt;=01_因子設定!$M$7+0.000000001,H6371&gt;=01_因子設定!$L$8-0.000000001,H6371&lt;=01_因子設定!$M$8+0.000000001,IF(01_因子設定!$B$20="Box-Behnken",E6371^2+F6371^2+G6371^2+H6371^2&lt;=2+0.000000001,TRUE()))</f>
        <v>1</v>
      </c>
      <c r="AD6371" s="55" t="n">
        <f aca="false">IF(AC6371,IF(01_因子設定!$B$13="最大化",AA6371-01_因子設定!$B$14,IF(01_因子設定!$B$13="最小化",01_因子設定!$B$15-AB6371,MIN(AA6371-01_因子設定!$B$14,01_因子設定!$B$15-AB6371))),-1E+030)</f>
        <v>0.159646108734407</v>
      </c>
      <c r="AE6371" s="55" t="n">
        <f aca="false">IF(AC6371,IF(01_因子設定!$B$13="最大化",X6371,IF(01_因子設定!$B$13="最小化",-X6371,-ABS(X6371-01_因子設定!$B$16))),-1E+030)</f>
        <v>48.2268960160819</v>
      </c>
      <c r="AF6371" s="55" t="n">
        <f aca="false">AD6371+ROW()*0.000000001</f>
        <v>0.159652479734407</v>
      </c>
      <c r="AG6371" s="55" t="n">
        <f aca="false">AE6371+ROW()*0.000000001</f>
        <v>48.2269023870819</v>
      </c>
    </row>
    <row r="6372" customFormat="false" ht="15" hidden="false" customHeight="false" outlineLevel="0" collapsed="false">
      <c r="A6372" s="0" t="n">
        <v>8</v>
      </c>
      <c r="B6372" s="0" t="n">
        <v>6</v>
      </c>
      <c r="C6372" s="0" t="n">
        <v>5</v>
      </c>
      <c r="D6372" s="0" t="n">
        <v>4</v>
      </c>
      <c r="E6372" s="0" t="n">
        <f aca="false">-1+A6372*0.25</f>
        <v>1</v>
      </c>
      <c r="F6372" s="0" t="n">
        <f aca="false">-1+B6372*0.25</f>
        <v>0.5</v>
      </c>
      <c r="G6372" s="0" t="n">
        <f aca="false">-1+C6372*0.25</f>
        <v>0.25</v>
      </c>
      <c r="H6372" s="0" t="n">
        <f aca="false">-1+D6372*0.25</f>
        <v>0</v>
      </c>
      <c r="I6372" s="0" t="n">
        <f aca="false">1</f>
        <v>1</v>
      </c>
      <c r="J6372" s="0" t="n">
        <f aca="false">E6372</f>
        <v>1</v>
      </c>
      <c r="K6372" s="0" t="n">
        <f aca="false">F6372</f>
        <v>0.5</v>
      </c>
      <c r="L6372" s="0" t="n">
        <f aca="false">G6372</f>
        <v>0.25</v>
      </c>
      <c r="M6372" s="0" t="n">
        <f aca="false">H6372</f>
        <v>0</v>
      </c>
      <c r="N6372" s="0" t="n">
        <f aca="false">E6372*F6372</f>
        <v>0.5</v>
      </c>
      <c r="O6372" s="0" t="n">
        <f aca="false">E6372*G6372</f>
        <v>0.25</v>
      </c>
      <c r="P6372" s="0" t="n">
        <f aca="false">E6372*H6372</f>
        <v>0</v>
      </c>
      <c r="Q6372" s="0" t="n">
        <f aca="false">F6372*G6372</f>
        <v>0.125</v>
      </c>
      <c r="R6372" s="0" t="n">
        <f aca="false">F6372*H6372</f>
        <v>0</v>
      </c>
      <c r="S6372" s="0" t="n">
        <f aca="false">G6372*H6372</f>
        <v>0</v>
      </c>
      <c r="T6372" s="0" t="n">
        <f aca="false">E6372*E6372</f>
        <v>1</v>
      </c>
      <c r="U6372" s="0" t="n">
        <f aca="false">F6372*F6372</f>
        <v>0.25</v>
      </c>
      <c r="V6372" s="0" t="n">
        <f aca="false">G6372*G6372</f>
        <v>0.0625</v>
      </c>
      <c r="W6372" s="0" t="n">
        <f aca="false">H6372*H6372</f>
        <v>0</v>
      </c>
      <c r="X6372" s="0" t="n">
        <f aca="false">SUMPRODUCT(I6372:W6372,_XtX!$B$96:$P$96)</f>
        <v>48.3748446637427</v>
      </c>
      <c r="Y6372" s="0" t="n">
        <f aca="false">SUMPRODUCT(MMULT(I6372:W6372,_XtX!$B$78:$P$92),I6372:W6372)</f>
        <v>0.457596628289474</v>
      </c>
      <c r="Z6372" s="0" t="n">
        <f aca="false">04_回帰ANOVA!$K$19*04_回帰ANOVA!$K$14*SQRT(1+Y6372)</f>
        <v>1.57368233664366</v>
      </c>
      <c r="AA6372" s="0" t="n">
        <f aca="false">X6372-Z6372</f>
        <v>46.8011623270991</v>
      </c>
      <c r="AB6372" s="0" t="n">
        <f aca="false">X6372+Z6372</f>
        <v>49.9485270003864</v>
      </c>
      <c r="AC6372" s="54" t="b">
        <f aca="false">AND(E6372&gt;=01_因子設定!$L$5-0.000000001,E6372&lt;=01_因子設定!$M$5+0.000000001,F6372&gt;=01_因子設定!$L$6-0.000000001,F6372&lt;=01_因子設定!$M$6+0.000000001,G6372&gt;=01_因子設定!$L$7-0.000000001,G6372&lt;=01_因子設定!$M$7+0.000000001,H6372&gt;=01_因子設定!$L$8-0.000000001,H6372&lt;=01_因子設定!$M$8+0.000000001,IF(01_因子設定!$B$20="Box-Behnken",E6372^2+F6372^2+G6372^2+H6372^2&lt;=2+0.000000001,TRUE()))</f>
        <v>1</v>
      </c>
      <c r="AD6372" s="55" t="n">
        <f aca="false">IF(AC6372,IF(01_因子設定!$B$13="最大化",AA6372-01_因子設定!$B$14,IF(01_因子設定!$B$13="最小化",01_因子設定!$B$15-AB6372,MIN(AA6372-01_因子設定!$B$14,01_因子設定!$B$15-AB6372))),-1E+030)</f>
        <v>0.301162327099057</v>
      </c>
      <c r="AE6372" s="55" t="n">
        <f aca="false">IF(AC6372,IF(01_因子設定!$B$13="最大化",X6372,IF(01_因子設定!$B$13="最小化",-X6372,-ABS(X6372-01_因子設定!$B$16))),-1E+030)</f>
        <v>48.3748446637427</v>
      </c>
      <c r="AF6372" s="55" t="n">
        <f aca="false">AD6372+ROW()*0.000000001</f>
        <v>0.301168699099057</v>
      </c>
      <c r="AG6372" s="55" t="n">
        <f aca="false">AE6372+ROW()*0.000000001</f>
        <v>48.3748510357427</v>
      </c>
    </row>
    <row r="6373" customFormat="false" ht="15" hidden="false" customHeight="false" outlineLevel="0" collapsed="false">
      <c r="A6373" s="0" t="n">
        <v>8</v>
      </c>
      <c r="B6373" s="0" t="n">
        <v>6</v>
      </c>
      <c r="C6373" s="0" t="n">
        <v>5</v>
      </c>
      <c r="D6373" s="0" t="n">
        <v>5</v>
      </c>
      <c r="E6373" s="0" t="n">
        <f aca="false">-1+A6373*0.25</f>
        <v>1</v>
      </c>
      <c r="F6373" s="0" t="n">
        <f aca="false">-1+B6373*0.25</f>
        <v>0.5</v>
      </c>
      <c r="G6373" s="0" t="n">
        <f aca="false">-1+C6373*0.25</f>
        <v>0.25</v>
      </c>
      <c r="H6373" s="0" t="n">
        <f aca="false">-1+D6373*0.25</f>
        <v>0.25</v>
      </c>
      <c r="I6373" s="0" t="n">
        <f aca="false">1</f>
        <v>1</v>
      </c>
      <c r="J6373" s="0" t="n">
        <f aca="false">E6373</f>
        <v>1</v>
      </c>
      <c r="K6373" s="0" t="n">
        <f aca="false">F6373</f>
        <v>0.5</v>
      </c>
      <c r="L6373" s="0" t="n">
        <f aca="false">G6373</f>
        <v>0.25</v>
      </c>
      <c r="M6373" s="0" t="n">
        <f aca="false">H6373</f>
        <v>0.25</v>
      </c>
      <c r="N6373" s="0" t="n">
        <f aca="false">E6373*F6373</f>
        <v>0.5</v>
      </c>
      <c r="O6373" s="0" t="n">
        <f aca="false">E6373*G6373</f>
        <v>0.25</v>
      </c>
      <c r="P6373" s="0" t="n">
        <f aca="false">E6373*H6373</f>
        <v>0.25</v>
      </c>
      <c r="Q6373" s="0" t="n">
        <f aca="false">F6373*G6373</f>
        <v>0.125</v>
      </c>
      <c r="R6373" s="0" t="n">
        <f aca="false">F6373*H6373</f>
        <v>0.125</v>
      </c>
      <c r="S6373" s="0" t="n">
        <f aca="false">G6373*H6373</f>
        <v>0.0625</v>
      </c>
      <c r="T6373" s="0" t="n">
        <f aca="false">E6373*E6373</f>
        <v>1</v>
      </c>
      <c r="U6373" s="0" t="n">
        <f aca="false">F6373*F6373</f>
        <v>0.25</v>
      </c>
      <c r="V6373" s="0" t="n">
        <f aca="false">G6373*G6373</f>
        <v>0.0625</v>
      </c>
      <c r="W6373" s="0" t="n">
        <f aca="false">H6373*H6373</f>
        <v>0.0625</v>
      </c>
      <c r="X6373" s="0" t="n">
        <f aca="false">SUMPRODUCT(I6373:W6373,_XtX!$B$96:$P$96)</f>
        <v>48.4749862938597</v>
      </c>
      <c r="Y6373" s="0" t="n">
        <f aca="false">SUMPRODUCT(MMULT(I6373:W6373,_XtX!$B$78:$P$92),I6373:W6373)</f>
        <v>0.445705123812135</v>
      </c>
      <c r="Z6373" s="0" t="n">
        <f aca="false">04_回帰ANOVA!$K$19*04_回帰ANOVA!$K$14*SQRT(1+Y6373)</f>
        <v>1.56724990734749</v>
      </c>
      <c r="AA6373" s="0" t="n">
        <f aca="false">X6373-Z6373</f>
        <v>46.9077363865122</v>
      </c>
      <c r="AB6373" s="0" t="n">
        <f aca="false">X6373+Z6373</f>
        <v>50.0422362012072</v>
      </c>
      <c r="AC6373" s="54" t="b">
        <f aca="false">AND(E6373&gt;=01_因子設定!$L$5-0.000000001,E6373&lt;=01_因子設定!$M$5+0.000000001,F6373&gt;=01_因子設定!$L$6-0.000000001,F6373&lt;=01_因子設定!$M$6+0.000000001,G6373&gt;=01_因子設定!$L$7-0.000000001,G6373&lt;=01_因子設定!$M$7+0.000000001,H6373&gt;=01_因子設定!$L$8-0.000000001,H6373&lt;=01_因子設定!$M$8+0.000000001,IF(01_因子設定!$B$20="Box-Behnken",E6373^2+F6373^2+G6373^2+H6373^2&lt;=2+0.000000001,TRUE()))</f>
        <v>1</v>
      </c>
      <c r="AD6373" s="55" t="n">
        <f aca="false">IF(AC6373,IF(01_因子設定!$B$13="最大化",AA6373-01_因子設定!$B$14,IF(01_因子設定!$B$13="最小化",01_因子設定!$B$15-AB6373,MIN(AA6373-01_因子設定!$B$14,01_因子設定!$B$15-AB6373))),-1E+030)</f>
        <v>0.407736386512184</v>
      </c>
      <c r="AE6373" s="55" t="n">
        <f aca="false">IF(AC6373,IF(01_因子設定!$B$13="最大化",X6373,IF(01_因子設定!$B$13="最小化",-X6373,-ABS(X6373-01_因子設定!$B$16))),-1E+030)</f>
        <v>48.4749862938597</v>
      </c>
      <c r="AF6373" s="55" t="n">
        <f aca="false">AD6373+ROW()*0.000000001</f>
        <v>0.407742759512184</v>
      </c>
      <c r="AG6373" s="55" t="n">
        <f aca="false">AE6373+ROW()*0.000000001</f>
        <v>48.4749926668597</v>
      </c>
    </row>
    <row r="6374" customFormat="false" ht="15" hidden="false" customHeight="false" outlineLevel="0" collapsed="false">
      <c r="A6374" s="0" t="n">
        <v>8</v>
      </c>
      <c r="B6374" s="0" t="n">
        <v>6</v>
      </c>
      <c r="C6374" s="0" t="n">
        <v>5</v>
      </c>
      <c r="D6374" s="0" t="n">
        <v>6</v>
      </c>
      <c r="E6374" s="0" t="n">
        <f aca="false">-1+A6374*0.25</f>
        <v>1</v>
      </c>
      <c r="F6374" s="0" t="n">
        <f aca="false">-1+B6374*0.25</f>
        <v>0.5</v>
      </c>
      <c r="G6374" s="0" t="n">
        <f aca="false">-1+C6374*0.25</f>
        <v>0.25</v>
      </c>
      <c r="H6374" s="0" t="n">
        <f aca="false">-1+D6374*0.25</f>
        <v>0.5</v>
      </c>
      <c r="I6374" s="0" t="n">
        <f aca="false">1</f>
        <v>1</v>
      </c>
      <c r="J6374" s="0" t="n">
        <f aca="false">E6374</f>
        <v>1</v>
      </c>
      <c r="K6374" s="0" t="n">
        <f aca="false">F6374</f>
        <v>0.5</v>
      </c>
      <c r="L6374" s="0" t="n">
        <f aca="false">G6374</f>
        <v>0.25</v>
      </c>
      <c r="M6374" s="0" t="n">
        <f aca="false">H6374</f>
        <v>0.5</v>
      </c>
      <c r="N6374" s="0" t="n">
        <f aca="false">E6374*F6374</f>
        <v>0.5</v>
      </c>
      <c r="O6374" s="0" t="n">
        <f aca="false">E6374*G6374</f>
        <v>0.25</v>
      </c>
      <c r="P6374" s="0" t="n">
        <f aca="false">E6374*H6374</f>
        <v>0.5</v>
      </c>
      <c r="Q6374" s="0" t="n">
        <f aca="false">F6374*G6374</f>
        <v>0.125</v>
      </c>
      <c r="R6374" s="0" t="n">
        <f aca="false">F6374*H6374</f>
        <v>0.25</v>
      </c>
      <c r="S6374" s="0" t="n">
        <f aca="false">G6374*H6374</f>
        <v>0.125</v>
      </c>
      <c r="T6374" s="0" t="n">
        <f aca="false">E6374*E6374</f>
        <v>1</v>
      </c>
      <c r="U6374" s="0" t="n">
        <f aca="false">F6374*F6374</f>
        <v>0.25</v>
      </c>
      <c r="V6374" s="0" t="n">
        <f aca="false">G6374*G6374</f>
        <v>0.0625</v>
      </c>
      <c r="W6374" s="0" t="n">
        <f aca="false">H6374*H6374</f>
        <v>0.25</v>
      </c>
      <c r="X6374" s="0" t="n">
        <f aca="false">SUMPRODUCT(I6374:W6374,_XtX!$B$96:$P$96)</f>
        <v>48.5273209064328</v>
      </c>
      <c r="Y6374" s="0" t="n">
        <f aca="false">SUMPRODUCT(MMULT(I6374:W6374,_XtX!$B$78:$P$92),I6374:W6374)</f>
        <v>0.428122715643275</v>
      </c>
      <c r="Z6374" s="0" t="n">
        <f aca="false">04_回帰ANOVA!$K$19*04_回帰ANOVA!$K$14*SQRT(1+Y6374)</f>
        <v>1.55769044623229</v>
      </c>
      <c r="AA6374" s="0" t="n">
        <f aca="false">X6374-Z6374</f>
        <v>46.9696304602005</v>
      </c>
      <c r="AB6374" s="0" t="n">
        <f aca="false">X6374+Z6374</f>
        <v>50.0850113526651</v>
      </c>
      <c r="AC6374" s="54" t="b">
        <f aca="false">AND(E6374&gt;=01_因子設定!$L$5-0.000000001,E6374&lt;=01_因子設定!$M$5+0.000000001,F6374&gt;=01_因子設定!$L$6-0.000000001,F6374&lt;=01_因子設定!$M$6+0.000000001,G6374&gt;=01_因子設定!$L$7-0.000000001,G6374&lt;=01_因子設定!$M$7+0.000000001,H6374&gt;=01_因子設定!$L$8-0.000000001,H6374&lt;=01_因子設定!$M$8+0.000000001,IF(01_因子設定!$B$20="Box-Behnken",E6374^2+F6374^2+G6374^2+H6374^2&lt;=2+0.000000001,TRUE()))</f>
        <v>1</v>
      </c>
      <c r="AD6374" s="55" t="n">
        <f aca="false">IF(AC6374,IF(01_因子設定!$B$13="最大化",AA6374-01_因子設定!$B$14,IF(01_因子設定!$B$13="最小化",01_因子設定!$B$15-AB6374,MIN(AA6374-01_因子設定!$B$14,01_因子設定!$B$15-AB6374))),-1E+030)</f>
        <v>0.469630460200492</v>
      </c>
      <c r="AE6374" s="55" t="n">
        <f aca="false">IF(AC6374,IF(01_因子設定!$B$13="最大化",X6374,IF(01_因子設定!$B$13="最小化",-X6374,-ABS(X6374-01_因子設定!$B$16))),-1E+030)</f>
        <v>48.5273209064328</v>
      </c>
      <c r="AF6374" s="55" t="n">
        <f aca="false">AD6374+ROW()*0.000000001</f>
        <v>0.469636834200491</v>
      </c>
      <c r="AG6374" s="55" t="n">
        <f aca="false">AE6374+ROW()*0.000000001</f>
        <v>48.5273272804328</v>
      </c>
    </row>
    <row r="6375" customFormat="false" ht="15" hidden="false" customHeight="false" outlineLevel="0" collapsed="false">
      <c r="A6375" s="0" t="n">
        <v>8</v>
      </c>
      <c r="B6375" s="0" t="n">
        <v>6</v>
      </c>
      <c r="C6375" s="0" t="n">
        <v>5</v>
      </c>
      <c r="D6375" s="0" t="n">
        <v>7</v>
      </c>
      <c r="E6375" s="0" t="n">
        <f aca="false">-1+A6375*0.25</f>
        <v>1</v>
      </c>
      <c r="F6375" s="0" t="n">
        <f aca="false">-1+B6375*0.25</f>
        <v>0.5</v>
      </c>
      <c r="G6375" s="0" t="n">
        <f aca="false">-1+C6375*0.25</f>
        <v>0.25</v>
      </c>
      <c r="H6375" s="0" t="n">
        <f aca="false">-1+D6375*0.25</f>
        <v>0.75</v>
      </c>
      <c r="I6375" s="0" t="n">
        <f aca="false">1</f>
        <v>1</v>
      </c>
      <c r="J6375" s="0" t="n">
        <f aca="false">E6375</f>
        <v>1</v>
      </c>
      <c r="K6375" s="0" t="n">
        <f aca="false">F6375</f>
        <v>0.5</v>
      </c>
      <c r="L6375" s="0" t="n">
        <f aca="false">G6375</f>
        <v>0.25</v>
      </c>
      <c r="M6375" s="0" t="n">
        <f aca="false">H6375</f>
        <v>0.75</v>
      </c>
      <c r="N6375" s="0" t="n">
        <f aca="false">E6375*F6375</f>
        <v>0.5</v>
      </c>
      <c r="O6375" s="0" t="n">
        <f aca="false">E6375*G6375</f>
        <v>0.25</v>
      </c>
      <c r="P6375" s="0" t="n">
        <f aca="false">E6375*H6375</f>
        <v>0.75</v>
      </c>
      <c r="Q6375" s="0" t="n">
        <f aca="false">F6375*G6375</f>
        <v>0.125</v>
      </c>
      <c r="R6375" s="0" t="n">
        <f aca="false">F6375*H6375</f>
        <v>0.375</v>
      </c>
      <c r="S6375" s="0" t="n">
        <f aca="false">G6375*H6375</f>
        <v>0.1875</v>
      </c>
      <c r="T6375" s="0" t="n">
        <f aca="false">E6375*E6375</f>
        <v>1</v>
      </c>
      <c r="U6375" s="0" t="n">
        <f aca="false">F6375*F6375</f>
        <v>0.25</v>
      </c>
      <c r="V6375" s="0" t="n">
        <f aca="false">G6375*G6375</f>
        <v>0.0625</v>
      </c>
      <c r="W6375" s="0" t="n">
        <f aca="false">H6375*H6375</f>
        <v>0.5625</v>
      </c>
      <c r="X6375" s="0" t="n">
        <f aca="false">SUMPRODUCT(I6375:W6375,_XtX!$B$96:$P$96)</f>
        <v>48.531848501462</v>
      </c>
      <c r="Y6375" s="0" t="n">
        <f aca="false">SUMPRODUCT(MMULT(I6375:W6375,_XtX!$B$78:$P$92),I6375:W6375)</f>
        <v>0.459125719572369</v>
      </c>
      <c r="Z6375" s="0" t="n">
        <f aca="false">04_回帰ANOVA!$K$19*04_回帰ANOVA!$K$14*SQRT(1+Y6375)</f>
        <v>1.57450755575573</v>
      </c>
      <c r="AA6375" s="0" t="n">
        <f aca="false">X6375-Z6375</f>
        <v>46.9573409457063</v>
      </c>
      <c r="AB6375" s="0" t="n">
        <f aca="false">X6375+Z6375</f>
        <v>50.1063560572178</v>
      </c>
      <c r="AC6375" s="54" t="b">
        <f aca="false">AND(E6375&gt;=01_因子設定!$L$5-0.000000001,E6375&lt;=01_因子設定!$M$5+0.000000001,F6375&gt;=01_因子設定!$L$6-0.000000001,F6375&lt;=01_因子設定!$M$6+0.000000001,G6375&gt;=01_因子設定!$L$7-0.000000001,G6375&lt;=01_因子設定!$M$7+0.000000001,H6375&gt;=01_因子設定!$L$8-0.000000001,H6375&lt;=01_因子設定!$M$8+0.000000001,IF(01_因子設定!$B$20="Box-Behnken",E6375^2+F6375^2+G6375^2+H6375^2&lt;=2+0.000000001,TRUE()))</f>
        <v>1</v>
      </c>
      <c r="AD6375" s="55" t="n">
        <f aca="false">IF(AC6375,IF(01_因子設定!$B$13="最大化",AA6375-01_因子設定!$B$14,IF(01_因子設定!$B$13="最小化",01_因子設定!$B$15-AB6375,MIN(AA6375-01_因子設定!$B$14,01_因子設定!$B$15-AB6375))),-1E+030)</f>
        <v>0.457340945706299</v>
      </c>
      <c r="AE6375" s="55" t="n">
        <f aca="false">IF(AC6375,IF(01_因子設定!$B$13="最大化",X6375,IF(01_因子設定!$B$13="最小化",-X6375,-ABS(X6375-01_因子設定!$B$16))),-1E+030)</f>
        <v>48.531848501462</v>
      </c>
      <c r="AF6375" s="55" t="n">
        <f aca="false">AD6375+ROW()*0.000000001</f>
        <v>0.457347320706299</v>
      </c>
      <c r="AG6375" s="55" t="n">
        <f aca="false">AE6375+ROW()*0.000000001</f>
        <v>48.531854876462</v>
      </c>
    </row>
    <row r="6376" customFormat="false" ht="15" hidden="false" customHeight="false" outlineLevel="0" collapsed="false">
      <c r="A6376" s="0" t="n">
        <v>8</v>
      </c>
      <c r="B6376" s="0" t="n">
        <v>6</v>
      </c>
      <c r="C6376" s="0" t="n">
        <v>5</v>
      </c>
      <c r="D6376" s="0" t="n">
        <v>8</v>
      </c>
      <c r="E6376" s="0" t="n">
        <f aca="false">-1+A6376*0.25</f>
        <v>1</v>
      </c>
      <c r="F6376" s="0" t="n">
        <f aca="false">-1+B6376*0.25</f>
        <v>0.5</v>
      </c>
      <c r="G6376" s="0" t="n">
        <f aca="false">-1+C6376*0.25</f>
        <v>0.25</v>
      </c>
      <c r="H6376" s="0" t="n">
        <f aca="false">-1+D6376*0.25</f>
        <v>1</v>
      </c>
      <c r="I6376" s="0" t="n">
        <f aca="false">1</f>
        <v>1</v>
      </c>
      <c r="J6376" s="0" t="n">
        <f aca="false">E6376</f>
        <v>1</v>
      </c>
      <c r="K6376" s="0" t="n">
        <f aca="false">F6376</f>
        <v>0.5</v>
      </c>
      <c r="L6376" s="0" t="n">
        <f aca="false">G6376</f>
        <v>0.25</v>
      </c>
      <c r="M6376" s="0" t="n">
        <f aca="false">H6376</f>
        <v>1</v>
      </c>
      <c r="N6376" s="0" t="n">
        <f aca="false">E6376*F6376</f>
        <v>0.5</v>
      </c>
      <c r="O6376" s="0" t="n">
        <f aca="false">E6376*G6376</f>
        <v>0.25</v>
      </c>
      <c r="P6376" s="0" t="n">
        <f aca="false">E6376*H6376</f>
        <v>1</v>
      </c>
      <c r="Q6376" s="0" t="n">
        <f aca="false">F6376*G6376</f>
        <v>0.125</v>
      </c>
      <c r="R6376" s="0" t="n">
        <f aca="false">F6376*H6376</f>
        <v>0.5</v>
      </c>
      <c r="S6376" s="0" t="n">
        <f aca="false">G6376*H6376</f>
        <v>0.25</v>
      </c>
      <c r="T6376" s="0" t="n">
        <f aca="false">E6376*E6376</f>
        <v>1</v>
      </c>
      <c r="U6376" s="0" t="n">
        <f aca="false">F6376*F6376</f>
        <v>0.25</v>
      </c>
      <c r="V6376" s="0" t="n">
        <f aca="false">G6376*G6376</f>
        <v>0.0625</v>
      </c>
      <c r="W6376" s="0" t="n">
        <f aca="false">H6376*H6376</f>
        <v>1</v>
      </c>
      <c r="X6376" s="0" t="n">
        <f aca="false">SUMPRODUCT(I6376:W6376,_XtX!$B$96:$P$96)</f>
        <v>48.4885690789474</v>
      </c>
      <c r="Y6376" s="0" t="n">
        <f aca="false">SUMPRODUCT(MMULT(I6376:W6376,_XtX!$B$78:$P$92),I6376:W6376)</f>
        <v>0.629174661915205</v>
      </c>
      <c r="Z6376" s="0" t="n">
        <f aca="false">04_回帰ANOVA!$K$19*04_回帰ANOVA!$K$14*SQRT(1+Y6376)</f>
        <v>1.66372758058297</v>
      </c>
      <c r="AA6376" s="0" t="n">
        <f aca="false">X6376-Z6376</f>
        <v>46.8248414983645</v>
      </c>
      <c r="AB6376" s="0" t="n">
        <f aca="false">X6376+Z6376</f>
        <v>50.1522966595304</v>
      </c>
      <c r="AC6376" s="54" t="b">
        <f aca="false">AND(E6376&gt;=01_因子設定!$L$5-0.000000001,E6376&lt;=01_因子設定!$M$5+0.000000001,F6376&gt;=01_因子設定!$L$6-0.000000001,F6376&lt;=01_因子設定!$M$6+0.000000001,G6376&gt;=01_因子設定!$L$7-0.000000001,G6376&lt;=01_因子設定!$M$7+0.000000001,H6376&gt;=01_因子設定!$L$8-0.000000001,H6376&lt;=01_因子設定!$M$8+0.000000001,IF(01_因子設定!$B$20="Box-Behnken",E6376^2+F6376^2+G6376^2+H6376^2&lt;=2+0.000000001,TRUE()))</f>
        <v>1</v>
      </c>
      <c r="AD6376" s="55" t="n">
        <f aca="false">IF(AC6376,IF(01_因子設定!$B$13="最大化",AA6376-01_因子設定!$B$14,IF(01_因子設定!$B$13="最小化",01_因子設定!$B$15-AB6376,MIN(AA6376-01_因子設定!$B$14,01_因子設定!$B$15-AB6376))),-1E+030)</f>
        <v>0.324841498364457</v>
      </c>
      <c r="AE6376" s="55" t="n">
        <f aca="false">IF(AC6376,IF(01_因子設定!$B$13="最大化",X6376,IF(01_因子設定!$B$13="最小化",-X6376,-ABS(X6376-01_因子設定!$B$16))),-1E+030)</f>
        <v>48.4885690789474</v>
      </c>
      <c r="AF6376" s="55" t="n">
        <f aca="false">AD6376+ROW()*0.000000001</f>
        <v>0.324847874364457</v>
      </c>
      <c r="AG6376" s="55" t="n">
        <f aca="false">AE6376+ROW()*0.000000001</f>
        <v>48.4885754549474</v>
      </c>
    </row>
    <row r="6377" customFormat="false" ht="15" hidden="false" customHeight="false" outlineLevel="0" collapsed="false">
      <c r="A6377" s="0" t="n">
        <v>8</v>
      </c>
      <c r="B6377" s="0" t="n">
        <v>6</v>
      </c>
      <c r="C6377" s="0" t="n">
        <v>6</v>
      </c>
      <c r="D6377" s="0" t="n">
        <v>0</v>
      </c>
      <c r="E6377" s="0" t="n">
        <f aca="false">-1+A6377*0.25</f>
        <v>1</v>
      </c>
      <c r="F6377" s="0" t="n">
        <f aca="false">-1+B6377*0.25</f>
        <v>0.5</v>
      </c>
      <c r="G6377" s="0" t="n">
        <f aca="false">-1+C6377*0.25</f>
        <v>0.5</v>
      </c>
      <c r="H6377" s="0" t="n">
        <f aca="false">-1+D6377*0.25</f>
        <v>-1</v>
      </c>
      <c r="I6377" s="0" t="n">
        <f aca="false">1</f>
        <v>1</v>
      </c>
      <c r="J6377" s="0" t="n">
        <f aca="false">E6377</f>
        <v>1</v>
      </c>
      <c r="K6377" s="0" t="n">
        <f aca="false">F6377</f>
        <v>0.5</v>
      </c>
      <c r="L6377" s="0" t="n">
        <f aca="false">G6377</f>
        <v>0.5</v>
      </c>
      <c r="M6377" s="0" t="n">
        <f aca="false">H6377</f>
        <v>-1</v>
      </c>
      <c r="N6377" s="0" t="n">
        <f aca="false">E6377*F6377</f>
        <v>0.5</v>
      </c>
      <c r="O6377" s="0" t="n">
        <f aca="false">E6377*G6377</f>
        <v>0.5</v>
      </c>
      <c r="P6377" s="0" t="n">
        <f aca="false">E6377*H6377</f>
        <v>-1</v>
      </c>
      <c r="Q6377" s="0" t="n">
        <f aca="false">F6377*G6377</f>
        <v>0.25</v>
      </c>
      <c r="R6377" s="0" t="n">
        <f aca="false">F6377*H6377</f>
        <v>-0.5</v>
      </c>
      <c r="S6377" s="0" t="n">
        <f aca="false">G6377*H6377</f>
        <v>-0.5</v>
      </c>
      <c r="T6377" s="0" t="n">
        <f aca="false">E6377*E6377</f>
        <v>1</v>
      </c>
      <c r="U6377" s="0" t="n">
        <f aca="false">F6377*F6377</f>
        <v>0.25</v>
      </c>
      <c r="V6377" s="0" t="n">
        <f aca="false">G6377*G6377</f>
        <v>0.25</v>
      </c>
      <c r="W6377" s="0" t="n">
        <f aca="false">H6377*H6377</f>
        <v>1</v>
      </c>
      <c r="X6377" s="0" t="n">
        <f aca="false">SUMPRODUCT(I6377:W6377,_XtX!$B$96:$P$96)</f>
        <v>47.4187682748539</v>
      </c>
      <c r="Y6377" s="0" t="n">
        <f aca="false">SUMPRODUCT(MMULT(I6377:W6377,_XtX!$B$78:$P$92),I6377:W6377)</f>
        <v>0.582488121345029</v>
      </c>
      <c r="Z6377" s="0" t="n">
        <f aca="false">04_回帰ANOVA!$K$19*04_回帰ANOVA!$K$14*SQRT(1+Y6377)</f>
        <v>1.63971595338287</v>
      </c>
      <c r="AA6377" s="0" t="n">
        <f aca="false">X6377-Z6377</f>
        <v>45.779052321471</v>
      </c>
      <c r="AB6377" s="0" t="n">
        <f aca="false">X6377+Z6377</f>
        <v>49.0584842282367</v>
      </c>
      <c r="AC6377" s="54" t="b">
        <f aca="false">AND(E6377&gt;=01_因子設定!$L$5-0.000000001,E6377&lt;=01_因子設定!$M$5+0.000000001,F6377&gt;=01_因子設定!$L$6-0.000000001,F6377&lt;=01_因子設定!$M$6+0.000000001,G6377&gt;=01_因子設定!$L$7-0.000000001,G6377&lt;=01_因子設定!$M$7+0.000000001,H6377&gt;=01_因子設定!$L$8-0.000000001,H6377&lt;=01_因子設定!$M$8+0.000000001,IF(01_因子設定!$B$20="Box-Behnken",E6377^2+F6377^2+G6377^2+H6377^2&lt;=2+0.000000001,TRUE()))</f>
        <v>1</v>
      </c>
      <c r="AD6377" s="55" t="n">
        <f aca="false">IF(AC6377,IF(01_因子設定!$B$13="最大化",AA6377-01_因子設定!$B$14,IF(01_因子設定!$B$13="最小化",01_因子設定!$B$15-AB6377,MIN(AA6377-01_因子設定!$B$14,01_因子設定!$B$15-AB6377))),-1E+030)</f>
        <v>-0.720947678529001</v>
      </c>
      <c r="AE6377" s="55" t="n">
        <f aca="false">IF(AC6377,IF(01_因子設定!$B$13="最大化",X6377,IF(01_因子設定!$B$13="最小化",-X6377,-ABS(X6377-01_因子設定!$B$16))),-1E+030)</f>
        <v>47.4187682748539</v>
      </c>
      <c r="AF6377" s="55" t="n">
        <f aca="false">AD6377+ROW()*0.000000001</f>
        <v>-0.720941301529001</v>
      </c>
      <c r="AG6377" s="55" t="n">
        <f aca="false">AE6377+ROW()*0.000000001</f>
        <v>47.4187746518539</v>
      </c>
    </row>
    <row r="6378" customFormat="false" ht="15" hidden="false" customHeight="false" outlineLevel="0" collapsed="false">
      <c r="A6378" s="0" t="n">
        <v>8</v>
      </c>
      <c r="B6378" s="0" t="n">
        <v>6</v>
      </c>
      <c r="C6378" s="0" t="n">
        <v>6</v>
      </c>
      <c r="D6378" s="0" t="n">
        <v>1</v>
      </c>
      <c r="E6378" s="0" t="n">
        <f aca="false">-1+A6378*0.25</f>
        <v>1</v>
      </c>
      <c r="F6378" s="0" t="n">
        <f aca="false">-1+B6378*0.25</f>
        <v>0.5</v>
      </c>
      <c r="G6378" s="0" t="n">
        <f aca="false">-1+C6378*0.25</f>
        <v>0.5</v>
      </c>
      <c r="H6378" s="0" t="n">
        <f aca="false">-1+D6378*0.25</f>
        <v>-0.75</v>
      </c>
      <c r="I6378" s="0" t="n">
        <f aca="false">1</f>
        <v>1</v>
      </c>
      <c r="J6378" s="0" t="n">
        <f aca="false">E6378</f>
        <v>1</v>
      </c>
      <c r="K6378" s="0" t="n">
        <f aca="false">F6378</f>
        <v>0.5</v>
      </c>
      <c r="L6378" s="0" t="n">
        <f aca="false">G6378</f>
        <v>0.5</v>
      </c>
      <c r="M6378" s="0" t="n">
        <f aca="false">H6378</f>
        <v>-0.75</v>
      </c>
      <c r="N6378" s="0" t="n">
        <f aca="false">E6378*F6378</f>
        <v>0.5</v>
      </c>
      <c r="O6378" s="0" t="n">
        <f aca="false">E6378*G6378</f>
        <v>0.5</v>
      </c>
      <c r="P6378" s="0" t="n">
        <f aca="false">E6378*H6378</f>
        <v>-0.75</v>
      </c>
      <c r="Q6378" s="0" t="n">
        <f aca="false">F6378*G6378</f>
        <v>0.25</v>
      </c>
      <c r="R6378" s="0" t="n">
        <f aca="false">F6378*H6378</f>
        <v>-0.375</v>
      </c>
      <c r="S6378" s="0" t="n">
        <f aca="false">G6378*H6378</f>
        <v>-0.375</v>
      </c>
      <c r="T6378" s="0" t="n">
        <f aca="false">E6378*E6378</f>
        <v>1</v>
      </c>
      <c r="U6378" s="0" t="n">
        <f aca="false">F6378*F6378</f>
        <v>0.25</v>
      </c>
      <c r="V6378" s="0" t="n">
        <f aca="false">G6378*G6378</f>
        <v>0.25</v>
      </c>
      <c r="W6378" s="0" t="n">
        <f aca="false">H6378*H6378</f>
        <v>0.5625</v>
      </c>
      <c r="X6378" s="0" t="n">
        <f aca="false">SUMPRODUCT(I6378:W6378,_XtX!$B$96:$P$96)</f>
        <v>47.7281067251463</v>
      </c>
      <c r="Y6378" s="0" t="n">
        <f aca="false">SUMPRODUCT(MMULT(I6378:W6378,_XtX!$B$78:$P$92),I6378:W6378)</f>
        <v>0.42602110745614</v>
      </c>
      <c r="Z6378" s="0" t="n">
        <f aca="false">04_回帰ANOVA!$K$19*04_回帰ANOVA!$K$14*SQRT(1+Y6378)</f>
        <v>1.55654388501114</v>
      </c>
      <c r="AA6378" s="0" t="n">
        <f aca="false">X6378-Z6378</f>
        <v>46.1715628401351</v>
      </c>
      <c r="AB6378" s="0" t="n">
        <f aca="false">X6378+Z6378</f>
        <v>49.2846506101574</v>
      </c>
      <c r="AC6378" s="54" t="b">
        <f aca="false">AND(E6378&gt;=01_因子設定!$L$5-0.000000001,E6378&lt;=01_因子設定!$M$5+0.000000001,F6378&gt;=01_因子設定!$L$6-0.000000001,F6378&lt;=01_因子設定!$M$6+0.000000001,G6378&gt;=01_因子設定!$L$7-0.000000001,G6378&lt;=01_因子設定!$M$7+0.000000001,H6378&gt;=01_因子設定!$L$8-0.000000001,H6378&lt;=01_因子設定!$M$8+0.000000001,IF(01_因子設定!$B$20="Box-Behnken",E6378^2+F6378^2+G6378^2+H6378^2&lt;=2+0.000000001,TRUE()))</f>
        <v>1</v>
      </c>
      <c r="AD6378" s="55" t="n">
        <f aca="false">IF(AC6378,IF(01_因子設定!$B$13="最大化",AA6378-01_因子設定!$B$14,IF(01_因子設定!$B$13="最小化",01_因子設定!$B$15-AB6378,MIN(AA6378-01_因子設定!$B$14,01_因子設定!$B$15-AB6378))),-1E+030)</f>
        <v>-0.32843715986489</v>
      </c>
      <c r="AE6378" s="55" t="n">
        <f aca="false">IF(AC6378,IF(01_因子設定!$B$13="最大化",X6378,IF(01_因子設定!$B$13="最小化",-X6378,-ABS(X6378-01_因子設定!$B$16))),-1E+030)</f>
        <v>47.7281067251463</v>
      </c>
      <c r="AF6378" s="55" t="n">
        <f aca="false">AD6378+ROW()*0.000000001</f>
        <v>-0.32843078186489</v>
      </c>
      <c r="AG6378" s="55" t="n">
        <f aca="false">AE6378+ROW()*0.000000001</f>
        <v>47.7281131031463</v>
      </c>
    </row>
    <row r="6379" customFormat="false" ht="15" hidden="false" customHeight="false" outlineLevel="0" collapsed="false">
      <c r="A6379" s="0" t="n">
        <v>8</v>
      </c>
      <c r="B6379" s="0" t="n">
        <v>6</v>
      </c>
      <c r="C6379" s="0" t="n">
        <v>6</v>
      </c>
      <c r="D6379" s="0" t="n">
        <v>2</v>
      </c>
      <c r="E6379" s="0" t="n">
        <f aca="false">-1+A6379*0.25</f>
        <v>1</v>
      </c>
      <c r="F6379" s="0" t="n">
        <f aca="false">-1+B6379*0.25</f>
        <v>0.5</v>
      </c>
      <c r="G6379" s="0" t="n">
        <f aca="false">-1+C6379*0.25</f>
        <v>0.5</v>
      </c>
      <c r="H6379" s="0" t="n">
        <f aca="false">-1+D6379*0.25</f>
        <v>-0.5</v>
      </c>
      <c r="I6379" s="0" t="n">
        <f aca="false">1</f>
        <v>1</v>
      </c>
      <c r="J6379" s="0" t="n">
        <f aca="false">E6379</f>
        <v>1</v>
      </c>
      <c r="K6379" s="0" t="n">
        <f aca="false">F6379</f>
        <v>0.5</v>
      </c>
      <c r="L6379" s="0" t="n">
        <f aca="false">G6379</f>
        <v>0.5</v>
      </c>
      <c r="M6379" s="0" t="n">
        <f aca="false">H6379</f>
        <v>-0.5</v>
      </c>
      <c r="N6379" s="0" t="n">
        <f aca="false">E6379*F6379</f>
        <v>0.5</v>
      </c>
      <c r="O6379" s="0" t="n">
        <f aca="false">E6379*G6379</f>
        <v>0.5</v>
      </c>
      <c r="P6379" s="0" t="n">
        <f aca="false">E6379*H6379</f>
        <v>-0.5</v>
      </c>
      <c r="Q6379" s="0" t="n">
        <f aca="false">F6379*G6379</f>
        <v>0.25</v>
      </c>
      <c r="R6379" s="0" t="n">
        <f aca="false">F6379*H6379</f>
        <v>-0.25</v>
      </c>
      <c r="S6379" s="0" t="n">
        <f aca="false">G6379*H6379</f>
        <v>-0.25</v>
      </c>
      <c r="T6379" s="0" t="n">
        <f aca="false">E6379*E6379</f>
        <v>1</v>
      </c>
      <c r="U6379" s="0" t="n">
        <f aca="false">F6379*F6379</f>
        <v>0.25</v>
      </c>
      <c r="V6379" s="0" t="n">
        <f aca="false">G6379*G6379</f>
        <v>0.25</v>
      </c>
      <c r="W6379" s="0" t="n">
        <f aca="false">H6379*H6379</f>
        <v>0.25</v>
      </c>
      <c r="X6379" s="0" t="n">
        <f aca="false">SUMPRODUCT(I6379:W6379,_XtX!$B$96:$P$96)</f>
        <v>47.9896381578948</v>
      </c>
      <c r="Y6379" s="0" t="n">
        <f aca="false">SUMPRODUCT(MMULT(I6379:W6379,_XtX!$B$78:$P$92),I6379:W6379)</f>
        <v>0.404719480994152</v>
      </c>
      <c r="Z6379" s="0" t="n">
        <f aca="false">04_回帰ANOVA!$K$19*04_回帰ANOVA!$K$14*SQRT(1+Y6379)</f>
        <v>1.54487446697867</v>
      </c>
      <c r="AA6379" s="0" t="n">
        <f aca="false">X6379-Z6379</f>
        <v>46.4447636909161</v>
      </c>
      <c r="AB6379" s="0" t="n">
        <f aca="false">X6379+Z6379</f>
        <v>49.5345126248735</v>
      </c>
      <c r="AC6379" s="54" t="b">
        <f aca="false">AND(E6379&gt;=01_因子設定!$L$5-0.000000001,E6379&lt;=01_因子設定!$M$5+0.000000001,F6379&gt;=01_因子設定!$L$6-0.000000001,F6379&lt;=01_因子設定!$M$6+0.000000001,G6379&gt;=01_因子設定!$L$7-0.000000001,G6379&lt;=01_因子設定!$M$7+0.000000001,H6379&gt;=01_因子設定!$L$8-0.000000001,H6379&lt;=01_因子設定!$M$8+0.000000001,IF(01_因子設定!$B$20="Box-Behnken",E6379^2+F6379^2+G6379^2+H6379^2&lt;=2+0.000000001,TRUE()))</f>
        <v>1</v>
      </c>
      <c r="AD6379" s="55" t="n">
        <f aca="false">IF(AC6379,IF(01_因子設定!$B$13="最大化",AA6379-01_因子設定!$B$14,IF(01_因子設定!$B$13="最小化",01_因子設定!$B$15-AB6379,MIN(AA6379-01_因子設定!$B$14,01_因子設定!$B$15-AB6379))),-1E+030)</f>
        <v>-0.0552363090839023</v>
      </c>
      <c r="AE6379" s="55" t="n">
        <f aca="false">IF(AC6379,IF(01_因子設定!$B$13="最大化",X6379,IF(01_因子設定!$B$13="最小化",-X6379,-ABS(X6379-01_因子設定!$B$16))),-1E+030)</f>
        <v>47.9896381578948</v>
      </c>
      <c r="AF6379" s="55" t="n">
        <f aca="false">AD6379+ROW()*0.000000001</f>
        <v>-0.0552299300839023</v>
      </c>
      <c r="AG6379" s="55" t="n">
        <f aca="false">AE6379+ROW()*0.000000001</f>
        <v>47.9896445368948</v>
      </c>
    </row>
    <row r="6380" customFormat="false" ht="15" hidden="false" customHeight="false" outlineLevel="0" collapsed="false">
      <c r="A6380" s="0" t="n">
        <v>8</v>
      </c>
      <c r="B6380" s="0" t="n">
        <v>6</v>
      </c>
      <c r="C6380" s="0" t="n">
        <v>6</v>
      </c>
      <c r="D6380" s="0" t="n">
        <v>3</v>
      </c>
      <c r="E6380" s="0" t="n">
        <f aca="false">-1+A6380*0.25</f>
        <v>1</v>
      </c>
      <c r="F6380" s="0" t="n">
        <f aca="false">-1+B6380*0.25</f>
        <v>0.5</v>
      </c>
      <c r="G6380" s="0" t="n">
        <f aca="false">-1+C6380*0.25</f>
        <v>0.5</v>
      </c>
      <c r="H6380" s="0" t="n">
        <f aca="false">-1+D6380*0.25</f>
        <v>-0.25</v>
      </c>
      <c r="I6380" s="0" t="n">
        <f aca="false">1</f>
        <v>1</v>
      </c>
      <c r="J6380" s="0" t="n">
        <f aca="false">E6380</f>
        <v>1</v>
      </c>
      <c r="K6380" s="0" t="n">
        <f aca="false">F6380</f>
        <v>0.5</v>
      </c>
      <c r="L6380" s="0" t="n">
        <f aca="false">G6380</f>
        <v>0.5</v>
      </c>
      <c r="M6380" s="0" t="n">
        <f aca="false">H6380</f>
        <v>-0.25</v>
      </c>
      <c r="N6380" s="0" t="n">
        <f aca="false">E6380*F6380</f>
        <v>0.5</v>
      </c>
      <c r="O6380" s="0" t="n">
        <f aca="false">E6380*G6380</f>
        <v>0.5</v>
      </c>
      <c r="P6380" s="0" t="n">
        <f aca="false">E6380*H6380</f>
        <v>-0.25</v>
      </c>
      <c r="Q6380" s="0" t="n">
        <f aca="false">F6380*G6380</f>
        <v>0.25</v>
      </c>
      <c r="R6380" s="0" t="n">
        <f aca="false">F6380*H6380</f>
        <v>-0.125</v>
      </c>
      <c r="S6380" s="0" t="n">
        <f aca="false">G6380*H6380</f>
        <v>-0.125</v>
      </c>
      <c r="T6380" s="0" t="n">
        <f aca="false">E6380*E6380</f>
        <v>1</v>
      </c>
      <c r="U6380" s="0" t="n">
        <f aca="false">F6380*F6380</f>
        <v>0.25</v>
      </c>
      <c r="V6380" s="0" t="n">
        <f aca="false">G6380*G6380</f>
        <v>0.25</v>
      </c>
      <c r="W6380" s="0" t="n">
        <f aca="false">H6380*H6380</f>
        <v>0.0625</v>
      </c>
      <c r="X6380" s="0" t="n">
        <f aca="false">SUMPRODUCT(I6380:W6380,_XtX!$B$96:$P$96)</f>
        <v>48.2033625730994</v>
      </c>
      <c r="Y6380" s="0" t="n">
        <f aca="false">SUMPRODUCT(MMULT(I6380:W6380,_XtX!$B$78:$P$92),I6380:W6380)</f>
        <v>0.428122715643275</v>
      </c>
      <c r="Z6380" s="0" t="n">
        <f aca="false">04_回帰ANOVA!$K$19*04_回帰ANOVA!$K$14*SQRT(1+Y6380)</f>
        <v>1.55769044623229</v>
      </c>
      <c r="AA6380" s="0" t="n">
        <f aca="false">X6380-Z6380</f>
        <v>46.6456721268672</v>
      </c>
      <c r="AB6380" s="0" t="n">
        <f aca="false">X6380+Z6380</f>
        <v>49.7610530193317</v>
      </c>
      <c r="AC6380" s="54" t="b">
        <f aca="false">AND(E6380&gt;=01_因子設定!$L$5-0.000000001,E6380&lt;=01_因子設定!$M$5+0.000000001,F6380&gt;=01_因子設定!$L$6-0.000000001,F6380&lt;=01_因子設定!$M$6+0.000000001,G6380&gt;=01_因子設定!$L$7-0.000000001,G6380&lt;=01_因子設定!$M$7+0.000000001,H6380&gt;=01_因子設定!$L$8-0.000000001,H6380&lt;=01_因子設定!$M$8+0.000000001,IF(01_因子設定!$B$20="Box-Behnken",E6380^2+F6380^2+G6380^2+H6380^2&lt;=2+0.000000001,TRUE()))</f>
        <v>1</v>
      </c>
      <c r="AD6380" s="55" t="n">
        <f aca="false">IF(AC6380,IF(01_因子設定!$B$13="最大化",AA6380-01_因子設定!$B$14,IF(01_因子設定!$B$13="最小化",01_因子設定!$B$15-AB6380,MIN(AA6380-01_因子設定!$B$14,01_因子設定!$B$15-AB6380))),-1E+030)</f>
        <v>0.145672126867147</v>
      </c>
      <c r="AE6380" s="55" t="n">
        <f aca="false">IF(AC6380,IF(01_因子設定!$B$13="最大化",X6380,IF(01_因子設定!$B$13="最小化",-X6380,-ABS(X6380-01_因子設定!$B$16))),-1E+030)</f>
        <v>48.2033625730994</v>
      </c>
      <c r="AF6380" s="55" t="n">
        <f aca="false">AD6380+ROW()*0.000000001</f>
        <v>0.145678506867147</v>
      </c>
      <c r="AG6380" s="55" t="n">
        <f aca="false">AE6380+ROW()*0.000000001</f>
        <v>48.2033689530994</v>
      </c>
    </row>
    <row r="6381" customFormat="false" ht="15" hidden="false" customHeight="false" outlineLevel="0" collapsed="false">
      <c r="A6381" s="0" t="n">
        <v>8</v>
      </c>
      <c r="B6381" s="0" t="n">
        <v>6</v>
      </c>
      <c r="C6381" s="0" t="n">
        <v>6</v>
      </c>
      <c r="D6381" s="0" t="n">
        <v>4</v>
      </c>
      <c r="E6381" s="0" t="n">
        <f aca="false">-1+A6381*0.25</f>
        <v>1</v>
      </c>
      <c r="F6381" s="0" t="n">
        <f aca="false">-1+B6381*0.25</f>
        <v>0.5</v>
      </c>
      <c r="G6381" s="0" t="n">
        <f aca="false">-1+C6381*0.25</f>
        <v>0.5</v>
      </c>
      <c r="H6381" s="0" t="n">
        <f aca="false">-1+D6381*0.25</f>
        <v>0</v>
      </c>
      <c r="I6381" s="0" t="n">
        <f aca="false">1</f>
        <v>1</v>
      </c>
      <c r="J6381" s="0" t="n">
        <f aca="false">E6381</f>
        <v>1</v>
      </c>
      <c r="K6381" s="0" t="n">
        <f aca="false">F6381</f>
        <v>0.5</v>
      </c>
      <c r="L6381" s="0" t="n">
        <f aca="false">G6381</f>
        <v>0.5</v>
      </c>
      <c r="M6381" s="0" t="n">
        <f aca="false">H6381</f>
        <v>0</v>
      </c>
      <c r="N6381" s="0" t="n">
        <f aca="false">E6381*F6381</f>
        <v>0.5</v>
      </c>
      <c r="O6381" s="0" t="n">
        <f aca="false">E6381*G6381</f>
        <v>0.5</v>
      </c>
      <c r="P6381" s="0" t="n">
        <f aca="false">E6381*H6381</f>
        <v>0</v>
      </c>
      <c r="Q6381" s="0" t="n">
        <f aca="false">F6381*G6381</f>
        <v>0.25</v>
      </c>
      <c r="R6381" s="0" t="n">
        <f aca="false">F6381*H6381</f>
        <v>0</v>
      </c>
      <c r="S6381" s="0" t="n">
        <f aca="false">G6381*H6381</f>
        <v>0</v>
      </c>
      <c r="T6381" s="0" t="n">
        <f aca="false">E6381*E6381</f>
        <v>1</v>
      </c>
      <c r="U6381" s="0" t="n">
        <f aca="false">F6381*F6381</f>
        <v>0.25</v>
      </c>
      <c r="V6381" s="0" t="n">
        <f aca="false">G6381*G6381</f>
        <v>0.25</v>
      </c>
      <c r="W6381" s="0" t="n">
        <f aca="false">H6381*H6381</f>
        <v>0</v>
      </c>
      <c r="X6381" s="0" t="n">
        <f aca="false">SUMPRODUCT(I6381:W6381,_XtX!$B$96:$P$96)</f>
        <v>48.3692799707603</v>
      </c>
      <c r="Y6381" s="0" t="n">
        <f aca="false">SUMPRODUCT(MMULT(I6381:W6381,_XtX!$B$78:$P$92),I6381:W6381)</f>
        <v>0.441954495614035</v>
      </c>
      <c r="Z6381" s="0" t="n">
        <f aca="false">04_回帰ANOVA!$K$19*04_回帰ANOVA!$K$14*SQRT(1+Y6381)</f>
        <v>1.56521560968066</v>
      </c>
      <c r="AA6381" s="0" t="n">
        <f aca="false">X6381-Z6381</f>
        <v>46.8040643610796</v>
      </c>
      <c r="AB6381" s="0" t="n">
        <f aca="false">X6381+Z6381</f>
        <v>49.9344955804409</v>
      </c>
      <c r="AC6381" s="54" t="b">
        <f aca="false">AND(E6381&gt;=01_因子設定!$L$5-0.000000001,E6381&lt;=01_因子設定!$M$5+0.000000001,F6381&gt;=01_因子設定!$L$6-0.000000001,F6381&lt;=01_因子設定!$M$6+0.000000001,G6381&gt;=01_因子設定!$L$7-0.000000001,G6381&lt;=01_因子設定!$M$7+0.000000001,H6381&gt;=01_因子設定!$L$8-0.000000001,H6381&lt;=01_因子設定!$M$8+0.000000001,IF(01_因子設定!$B$20="Box-Behnken",E6381^2+F6381^2+G6381^2+H6381^2&lt;=2+0.000000001,TRUE()))</f>
        <v>1</v>
      </c>
      <c r="AD6381" s="55" t="n">
        <f aca="false">IF(AC6381,IF(01_因子設定!$B$13="最大化",AA6381-01_因子設定!$B$14,IF(01_因子設定!$B$13="最小化",01_因子設定!$B$15-AB6381,MIN(AA6381-01_因子設定!$B$14,01_因子設定!$B$15-AB6381))),-1E+030)</f>
        <v>0.304064361079597</v>
      </c>
      <c r="AE6381" s="55" t="n">
        <f aca="false">IF(AC6381,IF(01_因子設定!$B$13="最大化",X6381,IF(01_因子設定!$B$13="最小化",-X6381,-ABS(X6381-01_因子設定!$B$16))),-1E+030)</f>
        <v>48.3692799707603</v>
      </c>
      <c r="AF6381" s="55" t="n">
        <f aca="false">AD6381+ROW()*0.000000001</f>
        <v>0.304070742079597</v>
      </c>
      <c r="AG6381" s="55" t="n">
        <f aca="false">AE6381+ROW()*0.000000001</f>
        <v>48.3692863517603</v>
      </c>
    </row>
    <row r="6382" customFormat="false" ht="15" hidden="false" customHeight="false" outlineLevel="0" collapsed="false">
      <c r="A6382" s="0" t="n">
        <v>8</v>
      </c>
      <c r="B6382" s="0" t="n">
        <v>6</v>
      </c>
      <c r="C6382" s="0" t="n">
        <v>6</v>
      </c>
      <c r="D6382" s="0" t="n">
        <v>5</v>
      </c>
      <c r="E6382" s="0" t="n">
        <f aca="false">-1+A6382*0.25</f>
        <v>1</v>
      </c>
      <c r="F6382" s="0" t="n">
        <f aca="false">-1+B6382*0.25</f>
        <v>0.5</v>
      </c>
      <c r="G6382" s="0" t="n">
        <f aca="false">-1+C6382*0.25</f>
        <v>0.5</v>
      </c>
      <c r="H6382" s="0" t="n">
        <f aca="false">-1+D6382*0.25</f>
        <v>0.25</v>
      </c>
      <c r="I6382" s="0" t="n">
        <f aca="false">1</f>
        <v>1</v>
      </c>
      <c r="J6382" s="0" t="n">
        <f aca="false">E6382</f>
        <v>1</v>
      </c>
      <c r="K6382" s="0" t="n">
        <f aca="false">F6382</f>
        <v>0.5</v>
      </c>
      <c r="L6382" s="0" t="n">
        <f aca="false">G6382</f>
        <v>0.5</v>
      </c>
      <c r="M6382" s="0" t="n">
        <f aca="false">H6382</f>
        <v>0.25</v>
      </c>
      <c r="N6382" s="0" t="n">
        <f aca="false">E6382*F6382</f>
        <v>0.5</v>
      </c>
      <c r="O6382" s="0" t="n">
        <f aca="false">E6382*G6382</f>
        <v>0.5</v>
      </c>
      <c r="P6382" s="0" t="n">
        <f aca="false">E6382*H6382</f>
        <v>0.25</v>
      </c>
      <c r="Q6382" s="0" t="n">
        <f aca="false">F6382*G6382</f>
        <v>0.25</v>
      </c>
      <c r="R6382" s="0" t="n">
        <f aca="false">F6382*H6382</f>
        <v>0.125</v>
      </c>
      <c r="S6382" s="0" t="n">
        <f aca="false">G6382*H6382</f>
        <v>0.125</v>
      </c>
      <c r="T6382" s="0" t="n">
        <f aca="false">E6382*E6382</f>
        <v>1</v>
      </c>
      <c r="U6382" s="0" t="n">
        <f aca="false">F6382*F6382</f>
        <v>0.25</v>
      </c>
      <c r="V6382" s="0" t="n">
        <f aca="false">G6382*G6382</f>
        <v>0.25</v>
      </c>
      <c r="W6382" s="0" t="n">
        <f aca="false">H6382*H6382</f>
        <v>0.0625</v>
      </c>
      <c r="X6382" s="0" t="n">
        <f aca="false">SUMPRODUCT(I6382:W6382,_XtX!$B$96:$P$96)</f>
        <v>48.4873903508772</v>
      </c>
      <c r="Y6382" s="0" t="n">
        <f aca="false">SUMPRODUCT(MMULT(I6382:W6382,_XtX!$B$78:$P$92),I6382:W6382)</f>
        <v>0.428122715643275</v>
      </c>
      <c r="Z6382" s="0" t="n">
        <f aca="false">04_回帰ANOVA!$K$19*04_回帰ANOVA!$K$14*SQRT(1+Y6382)</f>
        <v>1.55769044623229</v>
      </c>
      <c r="AA6382" s="0" t="n">
        <f aca="false">X6382-Z6382</f>
        <v>46.9296999046449</v>
      </c>
      <c r="AB6382" s="0" t="n">
        <f aca="false">X6382+Z6382</f>
        <v>50.0450807971095</v>
      </c>
      <c r="AC6382" s="54" t="b">
        <f aca="false">AND(E6382&gt;=01_因子設定!$L$5-0.000000001,E6382&lt;=01_因子設定!$M$5+0.000000001,F6382&gt;=01_因子設定!$L$6-0.000000001,F6382&lt;=01_因子設定!$M$6+0.000000001,G6382&gt;=01_因子設定!$L$7-0.000000001,G6382&lt;=01_因子設定!$M$7+0.000000001,H6382&gt;=01_因子設定!$L$8-0.000000001,H6382&lt;=01_因子設定!$M$8+0.000000001,IF(01_因子設定!$B$20="Box-Behnken",E6382^2+F6382^2+G6382^2+H6382^2&lt;=2+0.000000001,TRUE()))</f>
        <v>1</v>
      </c>
      <c r="AD6382" s="55" t="n">
        <f aca="false">IF(AC6382,IF(01_因子設定!$B$13="最大化",AA6382-01_因子設定!$B$14,IF(01_因子設定!$B$13="最小化",01_因子設定!$B$15-AB6382,MIN(AA6382-01_因子設定!$B$14,01_因子設定!$B$15-AB6382))),-1E+030)</f>
        <v>0.429699904644927</v>
      </c>
      <c r="AE6382" s="55" t="n">
        <f aca="false">IF(AC6382,IF(01_因子設定!$B$13="最大化",X6382,IF(01_因子設定!$B$13="最小化",-X6382,-ABS(X6382-01_因子設定!$B$16))),-1E+030)</f>
        <v>48.4873903508772</v>
      </c>
      <c r="AF6382" s="55" t="n">
        <f aca="false">AD6382+ROW()*0.000000001</f>
        <v>0.429706286644927</v>
      </c>
      <c r="AG6382" s="55" t="n">
        <f aca="false">AE6382+ROW()*0.000000001</f>
        <v>48.4873967328772</v>
      </c>
    </row>
    <row r="6383" customFormat="false" ht="15" hidden="false" customHeight="false" outlineLevel="0" collapsed="false">
      <c r="A6383" s="0" t="n">
        <v>8</v>
      </c>
      <c r="B6383" s="0" t="n">
        <v>6</v>
      </c>
      <c r="C6383" s="0" t="n">
        <v>6</v>
      </c>
      <c r="D6383" s="0" t="n">
        <v>6</v>
      </c>
      <c r="E6383" s="0" t="n">
        <f aca="false">-1+A6383*0.25</f>
        <v>1</v>
      </c>
      <c r="F6383" s="0" t="n">
        <f aca="false">-1+B6383*0.25</f>
        <v>0.5</v>
      </c>
      <c r="G6383" s="0" t="n">
        <f aca="false">-1+C6383*0.25</f>
        <v>0.5</v>
      </c>
      <c r="H6383" s="0" t="n">
        <f aca="false">-1+D6383*0.25</f>
        <v>0.5</v>
      </c>
      <c r="I6383" s="0" t="n">
        <f aca="false">1</f>
        <v>1</v>
      </c>
      <c r="J6383" s="0" t="n">
        <f aca="false">E6383</f>
        <v>1</v>
      </c>
      <c r="K6383" s="0" t="n">
        <f aca="false">F6383</f>
        <v>0.5</v>
      </c>
      <c r="L6383" s="0" t="n">
        <f aca="false">G6383</f>
        <v>0.5</v>
      </c>
      <c r="M6383" s="0" t="n">
        <f aca="false">H6383</f>
        <v>0.5</v>
      </c>
      <c r="N6383" s="0" t="n">
        <f aca="false">E6383*F6383</f>
        <v>0.5</v>
      </c>
      <c r="O6383" s="0" t="n">
        <f aca="false">E6383*G6383</f>
        <v>0.5</v>
      </c>
      <c r="P6383" s="0" t="n">
        <f aca="false">E6383*H6383</f>
        <v>0.5</v>
      </c>
      <c r="Q6383" s="0" t="n">
        <f aca="false">F6383*G6383</f>
        <v>0.25</v>
      </c>
      <c r="R6383" s="0" t="n">
        <f aca="false">F6383*H6383</f>
        <v>0.25</v>
      </c>
      <c r="S6383" s="0" t="n">
        <f aca="false">G6383*H6383</f>
        <v>0.25</v>
      </c>
      <c r="T6383" s="0" t="n">
        <f aca="false">E6383*E6383</f>
        <v>1</v>
      </c>
      <c r="U6383" s="0" t="n">
        <f aca="false">F6383*F6383</f>
        <v>0.25</v>
      </c>
      <c r="V6383" s="0" t="n">
        <f aca="false">G6383*G6383</f>
        <v>0.25</v>
      </c>
      <c r="W6383" s="0" t="n">
        <f aca="false">H6383*H6383</f>
        <v>0.25</v>
      </c>
      <c r="X6383" s="0" t="n">
        <f aca="false">SUMPRODUCT(I6383:W6383,_XtX!$B$96:$P$96)</f>
        <v>48.5576937134503</v>
      </c>
      <c r="Y6383" s="0" t="n">
        <f aca="false">SUMPRODUCT(MMULT(I6383:W6383,_XtX!$B$78:$P$92),I6383:W6383)</f>
        <v>0.404719480994152</v>
      </c>
      <c r="Z6383" s="0" t="n">
        <f aca="false">04_回帰ANOVA!$K$19*04_回帰ANOVA!$K$14*SQRT(1+Y6383)</f>
        <v>1.54487446697867</v>
      </c>
      <c r="AA6383" s="0" t="n">
        <f aca="false">X6383-Z6383</f>
        <v>47.0128192464717</v>
      </c>
      <c r="AB6383" s="0" t="n">
        <f aca="false">X6383+Z6383</f>
        <v>50.102568180429</v>
      </c>
      <c r="AC6383" s="54" t="b">
        <f aca="false">AND(E6383&gt;=01_因子設定!$L$5-0.000000001,E6383&lt;=01_因子設定!$M$5+0.000000001,F6383&gt;=01_因子設定!$L$6-0.000000001,F6383&lt;=01_因子設定!$M$6+0.000000001,G6383&gt;=01_因子設定!$L$7-0.000000001,G6383&lt;=01_因子設定!$M$7+0.000000001,H6383&gt;=01_因子設定!$L$8-0.000000001,H6383&lt;=01_因子設定!$M$8+0.000000001,IF(01_因子設定!$B$20="Box-Behnken",E6383^2+F6383^2+G6383^2+H6383^2&lt;=2+0.000000001,TRUE()))</f>
        <v>1</v>
      </c>
      <c r="AD6383" s="55" t="n">
        <f aca="false">IF(AC6383,IF(01_因子設定!$B$13="最大化",AA6383-01_因子設定!$B$14,IF(01_因子設定!$B$13="最小化",01_因子設定!$B$15-AB6383,MIN(AA6383-01_因子設定!$B$14,01_因子設定!$B$15-AB6383))),-1E+030)</f>
        <v>0.512819246471651</v>
      </c>
      <c r="AE6383" s="55" t="n">
        <f aca="false">IF(AC6383,IF(01_因子設定!$B$13="最大化",X6383,IF(01_因子設定!$B$13="最小化",-X6383,-ABS(X6383-01_因子設定!$B$16))),-1E+030)</f>
        <v>48.5576937134503</v>
      </c>
      <c r="AF6383" s="55" t="n">
        <f aca="false">AD6383+ROW()*0.000000001</f>
        <v>0.512825629471651</v>
      </c>
      <c r="AG6383" s="55" t="n">
        <f aca="false">AE6383+ROW()*0.000000001</f>
        <v>48.5577000964503</v>
      </c>
    </row>
    <row r="6384" customFormat="false" ht="15" hidden="false" customHeight="false" outlineLevel="0" collapsed="false">
      <c r="A6384" s="0" t="n">
        <v>8</v>
      </c>
      <c r="B6384" s="0" t="n">
        <v>6</v>
      </c>
      <c r="C6384" s="0" t="n">
        <v>6</v>
      </c>
      <c r="D6384" s="0" t="n">
        <v>7</v>
      </c>
      <c r="E6384" s="0" t="n">
        <f aca="false">-1+A6384*0.25</f>
        <v>1</v>
      </c>
      <c r="F6384" s="0" t="n">
        <f aca="false">-1+B6384*0.25</f>
        <v>0.5</v>
      </c>
      <c r="G6384" s="0" t="n">
        <f aca="false">-1+C6384*0.25</f>
        <v>0.5</v>
      </c>
      <c r="H6384" s="0" t="n">
        <f aca="false">-1+D6384*0.25</f>
        <v>0.75</v>
      </c>
      <c r="I6384" s="0" t="n">
        <f aca="false">1</f>
        <v>1</v>
      </c>
      <c r="J6384" s="0" t="n">
        <f aca="false">E6384</f>
        <v>1</v>
      </c>
      <c r="K6384" s="0" t="n">
        <f aca="false">F6384</f>
        <v>0.5</v>
      </c>
      <c r="L6384" s="0" t="n">
        <f aca="false">G6384</f>
        <v>0.5</v>
      </c>
      <c r="M6384" s="0" t="n">
        <f aca="false">H6384</f>
        <v>0.75</v>
      </c>
      <c r="N6384" s="0" t="n">
        <f aca="false">E6384*F6384</f>
        <v>0.5</v>
      </c>
      <c r="O6384" s="0" t="n">
        <f aca="false">E6384*G6384</f>
        <v>0.5</v>
      </c>
      <c r="P6384" s="0" t="n">
        <f aca="false">E6384*H6384</f>
        <v>0.75</v>
      </c>
      <c r="Q6384" s="0" t="n">
        <f aca="false">F6384*G6384</f>
        <v>0.25</v>
      </c>
      <c r="R6384" s="0" t="n">
        <f aca="false">F6384*H6384</f>
        <v>0.375</v>
      </c>
      <c r="S6384" s="0" t="n">
        <f aca="false">G6384*H6384</f>
        <v>0.375</v>
      </c>
      <c r="T6384" s="0" t="n">
        <f aca="false">E6384*E6384</f>
        <v>1</v>
      </c>
      <c r="U6384" s="0" t="n">
        <f aca="false">F6384*F6384</f>
        <v>0.25</v>
      </c>
      <c r="V6384" s="0" t="n">
        <f aca="false">G6384*G6384</f>
        <v>0.25</v>
      </c>
      <c r="W6384" s="0" t="n">
        <f aca="false">H6384*H6384</f>
        <v>0.5625</v>
      </c>
      <c r="X6384" s="0" t="n">
        <f aca="false">SUMPRODUCT(I6384:W6384,_XtX!$B$96:$P$96)</f>
        <v>48.5801900584796</v>
      </c>
      <c r="Y6384" s="0" t="n">
        <f aca="false">SUMPRODUCT(MMULT(I6384:W6384,_XtX!$B$78:$P$92),I6384:W6384)</f>
        <v>0.42602110745614</v>
      </c>
      <c r="Z6384" s="0" t="n">
        <f aca="false">04_回帰ANOVA!$K$19*04_回帰ANOVA!$K$14*SQRT(1+Y6384)</f>
        <v>1.55654388501114</v>
      </c>
      <c r="AA6384" s="0" t="n">
        <f aca="false">X6384-Z6384</f>
        <v>47.0236461734684</v>
      </c>
      <c r="AB6384" s="0" t="n">
        <f aca="false">X6384+Z6384</f>
        <v>50.1367339434907</v>
      </c>
      <c r="AC6384" s="54" t="b">
        <f aca="false">AND(E6384&gt;=01_因子設定!$L$5-0.000000001,E6384&lt;=01_因子設定!$M$5+0.000000001,F6384&gt;=01_因子設定!$L$6-0.000000001,F6384&lt;=01_因子設定!$M$6+0.000000001,G6384&gt;=01_因子設定!$L$7-0.000000001,G6384&lt;=01_因子設定!$M$7+0.000000001,H6384&gt;=01_因子設定!$L$8-0.000000001,H6384&lt;=01_因子設定!$M$8+0.000000001,IF(01_因子設定!$B$20="Box-Behnken",E6384^2+F6384^2+G6384^2+H6384^2&lt;=2+0.000000001,TRUE()))</f>
        <v>1</v>
      </c>
      <c r="AD6384" s="55" t="n">
        <f aca="false">IF(AC6384,IF(01_因子設定!$B$13="最大化",AA6384-01_因子設定!$B$14,IF(01_因子設定!$B$13="最小化",01_因子設定!$B$15-AB6384,MIN(AA6384-01_因子設定!$B$14,01_因子設定!$B$15-AB6384))),-1E+030)</f>
        <v>0.523646173468443</v>
      </c>
      <c r="AE6384" s="55" t="n">
        <f aca="false">IF(AC6384,IF(01_因子設定!$B$13="最大化",X6384,IF(01_因子設定!$B$13="最小化",-X6384,-ABS(X6384-01_因子設定!$B$16))),-1E+030)</f>
        <v>48.5801900584796</v>
      </c>
      <c r="AF6384" s="55" t="n">
        <f aca="false">AD6384+ROW()*0.000000001</f>
        <v>0.523652557468443</v>
      </c>
      <c r="AG6384" s="55" t="n">
        <f aca="false">AE6384+ROW()*0.000000001</f>
        <v>48.5801964424796</v>
      </c>
    </row>
    <row r="6385" customFormat="false" ht="15" hidden="false" customHeight="false" outlineLevel="0" collapsed="false">
      <c r="A6385" s="0" t="n">
        <v>8</v>
      </c>
      <c r="B6385" s="0" t="n">
        <v>6</v>
      </c>
      <c r="C6385" s="0" t="n">
        <v>6</v>
      </c>
      <c r="D6385" s="0" t="n">
        <v>8</v>
      </c>
      <c r="E6385" s="0" t="n">
        <f aca="false">-1+A6385*0.25</f>
        <v>1</v>
      </c>
      <c r="F6385" s="0" t="n">
        <f aca="false">-1+B6385*0.25</f>
        <v>0.5</v>
      </c>
      <c r="G6385" s="0" t="n">
        <f aca="false">-1+C6385*0.25</f>
        <v>0.5</v>
      </c>
      <c r="H6385" s="0" t="n">
        <f aca="false">-1+D6385*0.25</f>
        <v>1</v>
      </c>
      <c r="I6385" s="0" t="n">
        <f aca="false">1</f>
        <v>1</v>
      </c>
      <c r="J6385" s="0" t="n">
        <f aca="false">E6385</f>
        <v>1</v>
      </c>
      <c r="K6385" s="0" t="n">
        <f aca="false">F6385</f>
        <v>0.5</v>
      </c>
      <c r="L6385" s="0" t="n">
        <f aca="false">G6385</f>
        <v>0.5</v>
      </c>
      <c r="M6385" s="0" t="n">
        <f aca="false">H6385</f>
        <v>1</v>
      </c>
      <c r="N6385" s="0" t="n">
        <f aca="false">E6385*F6385</f>
        <v>0.5</v>
      </c>
      <c r="O6385" s="0" t="n">
        <f aca="false">E6385*G6385</f>
        <v>0.5</v>
      </c>
      <c r="P6385" s="0" t="n">
        <f aca="false">E6385*H6385</f>
        <v>1</v>
      </c>
      <c r="Q6385" s="0" t="n">
        <f aca="false">F6385*G6385</f>
        <v>0.25</v>
      </c>
      <c r="R6385" s="0" t="n">
        <f aca="false">F6385*H6385</f>
        <v>0.5</v>
      </c>
      <c r="S6385" s="0" t="n">
        <f aca="false">G6385*H6385</f>
        <v>0.5</v>
      </c>
      <c r="T6385" s="0" t="n">
        <f aca="false">E6385*E6385</f>
        <v>1</v>
      </c>
      <c r="U6385" s="0" t="n">
        <f aca="false">F6385*F6385</f>
        <v>0.25</v>
      </c>
      <c r="V6385" s="0" t="n">
        <f aca="false">G6385*G6385</f>
        <v>0.25</v>
      </c>
      <c r="W6385" s="0" t="n">
        <f aca="false">H6385*H6385</f>
        <v>1</v>
      </c>
      <c r="X6385" s="0" t="n">
        <f aca="false">SUMPRODUCT(I6385:W6385,_XtX!$B$96:$P$96)</f>
        <v>48.554879385965</v>
      </c>
      <c r="Y6385" s="0" t="n">
        <f aca="false">SUMPRODUCT(MMULT(I6385:W6385,_XtX!$B$78:$P$92),I6385:W6385)</f>
        <v>0.582488121345029</v>
      </c>
      <c r="Z6385" s="0" t="n">
        <f aca="false">04_回帰ANOVA!$K$19*04_回帰ANOVA!$K$14*SQRT(1+Y6385)</f>
        <v>1.63971595338287</v>
      </c>
      <c r="AA6385" s="0" t="n">
        <f aca="false">X6385-Z6385</f>
        <v>46.9151634325821</v>
      </c>
      <c r="AB6385" s="0" t="n">
        <f aca="false">X6385+Z6385</f>
        <v>50.1945953393478</v>
      </c>
      <c r="AC6385" s="54" t="b">
        <f aca="false">AND(E6385&gt;=01_因子設定!$L$5-0.000000001,E6385&lt;=01_因子設定!$M$5+0.000000001,F6385&gt;=01_因子設定!$L$6-0.000000001,F6385&lt;=01_因子設定!$M$6+0.000000001,G6385&gt;=01_因子設定!$L$7-0.000000001,G6385&lt;=01_因子設定!$M$7+0.000000001,H6385&gt;=01_因子設定!$L$8-0.000000001,H6385&lt;=01_因子設定!$M$8+0.000000001,IF(01_因子設定!$B$20="Box-Behnken",E6385^2+F6385^2+G6385^2+H6385^2&lt;=2+0.000000001,TRUE()))</f>
        <v>1</v>
      </c>
      <c r="AD6385" s="55" t="n">
        <f aca="false">IF(AC6385,IF(01_因子設定!$B$13="最大化",AA6385-01_因子設定!$B$14,IF(01_因子設定!$B$13="最小化",01_因子設定!$B$15-AB6385,MIN(AA6385-01_因子設定!$B$14,01_因子設定!$B$15-AB6385))),-1E+030)</f>
        <v>0.415163432582105</v>
      </c>
      <c r="AE6385" s="55" t="n">
        <f aca="false">IF(AC6385,IF(01_因子設定!$B$13="最大化",X6385,IF(01_因子設定!$B$13="最小化",-X6385,-ABS(X6385-01_因子設定!$B$16))),-1E+030)</f>
        <v>48.554879385965</v>
      </c>
      <c r="AF6385" s="55" t="n">
        <f aca="false">AD6385+ROW()*0.000000001</f>
        <v>0.415169817582105</v>
      </c>
      <c r="AG6385" s="55" t="n">
        <f aca="false">AE6385+ROW()*0.000000001</f>
        <v>48.554885770965</v>
      </c>
    </row>
    <row r="6386" customFormat="false" ht="15" hidden="false" customHeight="false" outlineLevel="0" collapsed="false">
      <c r="A6386" s="0" t="n">
        <v>8</v>
      </c>
      <c r="B6386" s="0" t="n">
        <v>6</v>
      </c>
      <c r="C6386" s="0" t="n">
        <v>7</v>
      </c>
      <c r="D6386" s="0" t="n">
        <v>0</v>
      </c>
      <c r="E6386" s="0" t="n">
        <f aca="false">-1+A6386*0.25</f>
        <v>1</v>
      </c>
      <c r="F6386" s="0" t="n">
        <f aca="false">-1+B6386*0.25</f>
        <v>0.5</v>
      </c>
      <c r="G6386" s="0" t="n">
        <f aca="false">-1+C6386*0.25</f>
        <v>0.75</v>
      </c>
      <c r="H6386" s="0" t="n">
        <f aca="false">-1+D6386*0.25</f>
        <v>-1</v>
      </c>
      <c r="I6386" s="0" t="n">
        <f aca="false">1</f>
        <v>1</v>
      </c>
      <c r="J6386" s="0" t="n">
        <f aca="false">E6386</f>
        <v>1</v>
      </c>
      <c r="K6386" s="0" t="n">
        <f aca="false">F6386</f>
        <v>0.5</v>
      </c>
      <c r="L6386" s="0" t="n">
        <f aca="false">G6386</f>
        <v>0.75</v>
      </c>
      <c r="M6386" s="0" t="n">
        <f aca="false">H6386</f>
        <v>-1</v>
      </c>
      <c r="N6386" s="0" t="n">
        <f aca="false">E6386*F6386</f>
        <v>0.5</v>
      </c>
      <c r="O6386" s="0" t="n">
        <f aca="false">E6386*G6386</f>
        <v>0.75</v>
      </c>
      <c r="P6386" s="0" t="n">
        <f aca="false">E6386*H6386</f>
        <v>-1</v>
      </c>
      <c r="Q6386" s="0" t="n">
        <f aca="false">F6386*G6386</f>
        <v>0.375</v>
      </c>
      <c r="R6386" s="0" t="n">
        <f aca="false">F6386*H6386</f>
        <v>-0.5</v>
      </c>
      <c r="S6386" s="0" t="n">
        <f aca="false">G6386*H6386</f>
        <v>-0.75</v>
      </c>
      <c r="T6386" s="0" t="n">
        <f aca="false">E6386*E6386</f>
        <v>1</v>
      </c>
      <c r="U6386" s="0" t="n">
        <f aca="false">F6386*F6386</f>
        <v>0.25</v>
      </c>
      <c r="V6386" s="0" t="n">
        <f aca="false">G6386*G6386</f>
        <v>0.5625</v>
      </c>
      <c r="W6386" s="0" t="n">
        <f aca="false">H6386*H6386</f>
        <v>1</v>
      </c>
      <c r="X6386" s="0" t="n">
        <f aca="false">SUMPRODUCT(I6386:W6386,_XtX!$B$96:$P$96)</f>
        <v>47.2560215643276</v>
      </c>
      <c r="Y6386" s="0" t="n">
        <f aca="false">SUMPRODUCT(MMULT(I6386:W6386,_XtX!$B$78:$P$92),I6386:W6386)</f>
        <v>0.564984237938597</v>
      </c>
      <c r="Z6386" s="0" t="n">
        <f aca="false">04_回帰ANOVA!$K$19*04_回帰ANOVA!$K$14*SQRT(1+Y6386)</f>
        <v>1.63062229734503</v>
      </c>
      <c r="AA6386" s="0" t="n">
        <f aca="false">X6386-Z6386</f>
        <v>45.6253992669825</v>
      </c>
      <c r="AB6386" s="0" t="n">
        <f aca="false">X6386+Z6386</f>
        <v>48.8866438616726</v>
      </c>
      <c r="AC6386" s="54" t="b">
        <f aca="false">AND(E6386&gt;=01_因子設定!$L$5-0.000000001,E6386&lt;=01_因子設定!$M$5+0.000000001,F6386&gt;=01_因子設定!$L$6-0.000000001,F6386&lt;=01_因子設定!$M$6+0.000000001,G6386&gt;=01_因子設定!$L$7-0.000000001,G6386&lt;=01_因子設定!$M$7+0.000000001,H6386&gt;=01_因子設定!$L$8-0.000000001,H6386&lt;=01_因子設定!$M$8+0.000000001,IF(01_因子設定!$B$20="Box-Behnken",E6386^2+F6386^2+G6386^2+H6386^2&lt;=2+0.000000001,TRUE()))</f>
        <v>1</v>
      </c>
      <c r="AD6386" s="55" t="n">
        <f aca="false">IF(AC6386,IF(01_因子設定!$B$13="最大化",AA6386-01_因子設定!$B$14,IF(01_因子設定!$B$13="最小化",01_因子設定!$B$15-AB6386,MIN(AA6386-01_因子設定!$B$14,01_因子設定!$B$15-AB6386))),-1E+030)</f>
        <v>-0.874600733017481</v>
      </c>
      <c r="AE6386" s="55" t="n">
        <f aca="false">IF(AC6386,IF(01_因子設定!$B$13="最大化",X6386,IF(01_因子設定!$B$13="最小化",-X6386,-ABS(X6386-01_因子設定!$B$16))),-1E+030)</f>
        <v>47.2560215643276</v>
      </c>
      <c r="AF6386" s="55" t="n">
        <f aca="false">AD6386+ROW()*0.000000001</f>
        <v>-0.874594347017481</v>
      </c>
      <c r="AG6386" s="55" t="n">
        <f aca="false">AE6386+ROW()*0.000000001</f>
        <v>47.2560279503276</v>
      </c>
    </row>
    <row r="6387" customFormat="false" ht="15" hidden="false" customHeight="false" outlineLevel="0" collapsed="false">
      <c r="A6387" s="0" t="n">
        <v>8</v>
      </c>
      <c r="B6387" s="0" t="n">
        <v>6</v>
      </c>
      <c r="C6387" s="0" t="n">
        <v>7</v>
      </c>
      <c r="D6387" s="0" t="n">
        <v>1</v>
      </c>
      <c r="E6387" s="0" t="n">
        <f aca="false">-1+A6387*0.25</f>
        <v>1</v>
      </c>
      <c r="F6387" s="0" t="n">
        <f aca="false">-1+B6387*0.25</f>
        <v>0.5</v>
      </c>
      <c r="G6387" s="0" t="n">
        <f aca="false">-1+C6387*0.25</f>
        <v>0.75</v>
      </c>
      <c r="H6387" s="0" t="n">
        <f aca="false">-1+D6387*0.25</f>
        <v>-0.75</v>
      </c>
      <c r="I6387" s="0" t="n">
        <f aca="false">1</f>
        <v>1</v>
      </c>
      <c r="J6387" s="0" t="n">
        <f aca="false">E6387</f>
        <v>1</v>
      </c>
      <c r="K6387" s="0" t="n">
        <f aca="false">F6387</f>
        <v>0.5</v>
      </c>
      <c r="L6387" s="0" t="n">
        <f aca="false">G6387</f>
        <v>0.75</v>
      </c>
      <c r="M6387" s="0" t="n">
        <f aca="false">H6387</f>
        <v>-0.75</v>
      </c>
      <c r="N6387" s="0" t="n">
        <f aca="false">E6387*F6387</f>
        <v>0.5</v>
      </c>
      <c r="O6387" s="0" t="n">
        <f aca="false">E6387*G6387</f>
        <v>0.75</v>
      </c>
      <c r="P6387" s="0" t="n">
        <f aca="false">E6387*H6387</f>
        <v>-0.75</v>
      </c>
      <c r="Q6387" s="0" t="n">
        <f aca="false">F6387*G6387</f>
        <v>0.375</v>
      </c>
      <c r="R6387" s="0" t="n">
        <f aca="false">F6387*H6387</f>
        <v>-0.375</v>
      </c>
      <c r="S6387" s="0" t="n">
        <f aca="false">G6387*H6387</f>
        <v>-0.5625</v>
      </c>
      <c r="T6387" s="0" t="n">
        <f aca="false">E6387*E6387</f>
        <v>1</v>
      </c>
      <c r="U6387" s="0" t="n">
        <f aca="false">F6387*F6387</f>
        <v>0.25</v>
      </c>
      <c r="V6387" s="0" t="n">
        <f aca="false">G6387*G6387</f>
        <v>0.5625</v>
      </c>
      <c r="W6387" s="0" t="n">
        <f aca="false">H6387*H6387</f>
        <v>0.5625</v>
      </c>
      <c r="X6387" s="0" t="n">
        <f aca="false">SUMPRODUCT(I6387:W6387,_XtX!$B$96:$P$96)</f>
        <v>47.5833287646199</v>
      </c>
      <c r="Y6387" s="0" t="n">
        <f aca="false">SUMPRODUCT(MMULT(I6387:W6387,_XtX!$B$78:$P$92),I6387:W6387)</f>
        <v>0.431153771472953</v>
      </c>
      <c r="Z6387" s="0" t="n">
        <f aca="false">04_回帰ANOVA!$K$19*04_回帰ANOVA!$K$14*SQRT(1+Y6387)</f>
        <v>1.55934259562563</v>
      </c>
      <c r="AA6387" s="0" t="n">
        <f aca="false">X6387-Z6387</f>
        <v>46.0239861689943</v>
      </c>
      <c r="AB6387" s="0" t="n">
        <f aca="false">X6387+Z6387</f>
        <v>49.1426713602456</v>
      </c>
      <c r="AC6387" s="54" t="b">
        <f aca="false">AND(E6387&gt;=01_因子設定!$L$5-0.000000001,E6387&lt;=01_因子設定!$M$5+0.000000001,F6387&gt;=01_因子設定!$L$6-0.000000001,F6387&lt;=01_因子設定!$M$6+0.000000001,G6387&gt;=01_因子設定!$L$7-0.000000001,G6387&lt;=01_因子設定!$M$7+0.000000001,H6387&gt;=01_因子設定!$L$8-0.000000001,H6387&lt;=01_因子設定!$M$8+0.000000001,IF(01_因子設定!$B$20="Box-Behnken",E6387^2+F6387^2+G6387^2+H6387^2&lt;=2+0.000000001,TRUE()))</f>
        <v>1</v>
      </c>
      <c r="AD6387" s="55" t="n">
        <f aca="false">IF(AC6387,IF(01_因子設定!$B$13="最大化",AA6387-01_因子設定!$B$14,IF(01_因子設定!$B$13="最小化",01_因子設定!$B$15-AB6387,MIN(AA6387-01_因子設定!$B$14,01_因子設定!$B$15-AB6387))),-1E+030)</f>
        <v>-0.476013831005702</v>
      </c>
      <c r="AE6387" s="55" t="n">
        <f aca="false">IF(AC6387,IF(01_因子設定!$B$13="最大化",X6387,IF(01_因子設定!$B$13="最小化",-X6387,-ABS(X6387-01_因子設定!$B$16))),-1E+030)</f>
        <v>47.5833287646199</v>
      </c>
      <c r="AF6387" s="55" t="n">
        <f aca="false">AD6387+ROW()*0.000000001</f>
        <v>-0.476007444005702</v>
      </c>
      <c r="AG6387" s="55" t="n">
        <f aca="false">AE6387+ROW()*0.000000001</f>
        <v>47.5833351516199</v>
      </c>
    </row>
    <row r="6388" customFormat="false" ht="15" hidden="false" customHeight="false" outlineLevel="0" collapsed="false">
      <c r="A6388" s="0" t="n">
        <v>8</v>
      </c>
      <c r="B6388" s="0" t="n">
        <v>6</v>
      </c>
      <c r="C6388" s="0" t="n">
        <v>7</v>
      </c>
      <c r="D6388" s="0" t="n">
        <v>2</v>
      </c>
      <c r="E6388" s="0" t="n">
        <f aca="false">-1+A6388*0.25</f>
        <v>1</v>
      </c>
      <c r="F6388" s="0" t="n">
        <f aca="false">-1+B6388*0.25</f>
        <v>0.5</v>
      </c>
      <c r="G6388" s="0" t="n">
        <f aca="false">-1+C6388*0.25</f>
        <v>0.75</v>
      </c>
      <c r="H6388" s="0" t="n">
        <f aca="false">-1+D6388*0.25</f>
        <v>-0.5</v>
      </c>
      <c r="I6388" s="0" t="n">
        <f aca="false">1</f>
        <v>1</v>
      </c>
      <c r="J6388" s="0" t="n">
        <f aca="false">E6388</f>
        <v>1</v>
      </c>
      <c r="K6388" s="0" t="n">
        <f aca="false">F6388</f>
        <v>0.5</v>
      </c>
      <c r="L6388" s="0" t="n">
        <f aca="false">G6388</f>
        <v>0.75</v>
      </c>
      <c r="M6388" s="0" t="n">
        <f aca="false">H6388</f>
        <v>-0.5</v>
      </c>
      <c r="N6388" s="0" t="n">
        <f aca="false">E6388*F6388</f>
        <v>0.5</v>
      </c>
      <c r="O6388" s="0" t="n">
        <f aca="false">E6388*G6388</f>
        <v>0.75</v>
      </c>
      <c r="P6388" s="0" t="n">
        <f aca="false">E6388*H6388</f>
        <v>-0.5</v>
      </c>
      <c r="Q6388" s="0" t="n">
        <f aca="false">F6388*G6388</f>
        <v>0.375</v>
      </c>
      <c r="R6388" s="0" t="n">
        <f aca="false">F6388*H6388</f>
        <v>-0.25</v>
      </c>
      <c r="S6388" s="0" t="n">
        <f aca="false">G6388*H6388</f>
        <v>-0.375</v>
      </c>
      <c r="T6388" s="0" t="n">
        <f aca="false">E6388*E6388</f>
        <v>1</v>
      </c>
      <c r="U6388" s="0" t="n">
        <f aca="false">F6388*F6388</f>
        <v>0.25</v>
      </c>
      <c r="V6388" s="0" t="n">
        <f aca="false">G6388*G6388</f>
        <v>0.5625</v>
      </c>
      <c r="W6388" s="0" t="n">
        <f aca="false">H6388*H6388</f>
        <v>0.25</v>
      </c>
      <c r="X6388" s="0" t="n">
        <f aca="false">SUMPRODUCT(I6388:W6388,_XtX!$B$96:$P$96)</f>
        <v>47.8628289473685</v>
      </c>
      <c r="Y6388" s="0" t="n">
        <f aca="false">SUMPRODUCT(MMULT(I6388:W6388,_XtX!$B$78:$P$92),I6388:W6388)</f>
        <v>0.42602110745614</v>
      </c>
      <c r="Z6388" s="0" t="n">
        <f aca="false">04_回帰ANOVA!$K$19*04_回帰ANOVA!$K$14*SQRT(1+Y6388)</f>
        <v>1.55654388501114</v>
      </c>
      <c r="AA6388" s="0" t="n">
        <f aca="false">X6388-Z6388</f>
        <v>46.3062850623573</v>
      </c>
      <c r="AB6388" s="0" t="n">
        <f aca="false">X6388+Z6388</f>
        <v>49.4193728323796</v>
      </c>
      <c r="AC6388" s="54" t="b">
        <f aca="false">AND(E6388&gt;=01_因子設定!$L$5-0.000000001,E6388&lt;=01_因子設定!$M$5+0.000000001,F6388&gt;=01_因子設定!$L$6-0.000000001,F6388&lt;=01_因子設定!$M$6+0.000000001,G6388&gt;=01_因子設定!$L$7-0.000000001,G6388&lt;=01_因子設定!$M$7+0.000000001,H6388&gt;=01_因子設定!$L$8-0.000000001,H6388&lt;=01_因子設定!$M$8+0.000000001,IF(01_因子設定!$B$20="Box-Behnken",E6388^2+F6388^2+G6388^2+H6388^2&lt;=2+0.000000001,TRUE()))</f>
        <v>1</v>
      </c>
      <c r="AD6388" s="55" t="n">
        <f aca="false">IF(AC6388,IF(01_因子設定!$B$13="最大化",AA6388-01_因子設定!$B$14,IF(01_因子設定!$B$13="最小化",01_因子設定!$B$15-AB6388,MIN(AA6388-01_因子設定!$B$14,01_因子設定!$B$15-AB6388))),-1E+030)</f>
        <v>-0.193714937642682</v>
      </c>
      <c r="AE6388" s="55" t="n">
        <f aca="false">IF(AC6388,IF(01_因子設定!$B$13="最大化",X6388,IF(01_因子設定!$B$13="最小化",-X6388,-ABS(X6388-01_因子設定!$B$16))),-1E+030)</f>
        <v>47.8628289473685</v>
      </c>
      <c r="AF6388" s="55" t="n">
        <f aca="false">AD6388+ROW()*0.000000001</f>
        <v>-0.193708549642682</v>
      </c>
      <c r="AG6388" s="55" t="n">
        <f aca="false">AE6388+ROW()*0.000000001</f>
        <v>47.8628353353685</v>
      </c>
    </row>
    <row r="6389" customFormat="false" ht="15" hidden="false" customHeight="false" outlineLevel="0" collapsed="false">
      <c r="A6389" s="0" t="n">
        <v>8</v>
      </c>
      <c r="B6389" s="0" t="n">
        <v>6</v>
      </c>
      <c r="C6389" s="0" t="n">
        <v>7</v>
      </c>
      <c r="D6389" s="0" t="n">
        <v>3</v>
      </c>
      <c r="E6389" s="0" t="n">
        <f aca="false">-1+A6389*0.25</f>
        <v>1</v>
      </c>
      <c r="F6389" s="0" t="n">
        <f aca="false">-1+B6389*0.25</f>
        <v>0.5</v>
      </c>
      <c r="G6389" s="0" t="n">
        <f aca="false">-1+C6389*0.25</f>
        <v>0.75</v>
      </c>
      <c r="H6389" s="0" t="n">
        <f aca="false">-1+D6389*0.25</f>
        <v>-0.25</v>
      </c>
      <c r="I6389" s="0" t="n">
        <f aca="false">1</f>
        <v>1</v>
      </c>
      <c r="J6389" s="0" t="n">
        <f aca="false">E6389</f>
        <v>1</v>
      </c>
      <c r="K6389" s="0" t="n">
        <f aca="false">F6389</f>
        <v>0.5</v>
      </c>
      <c r="L6389" s="0" t="n">
        <f aca="false">G6389</f>
        <v>0.75</v>
      </c>
      <c r="M6389" s="0" t="n">
        <f aca="false">H6389</f>
        <v>-0.25</v>
      </c>
      <c r="N6389" s="0" t="n">
        <f aca="false">E6389*F6389</f>
        <v>0.5</v>
      </c>
      <c r="O6389" s="0" t="n">
        <f aca="false">E6389*G6389</f>
        <v>0.75</v>
      </c>
      <c r="P6389" s="0" t="n">
        <f aca="false">E6389*H6389</f>
        <v>-0.25</v>
      </c>
      <c r="Q6389" s="0" t="n">
        <f aca="false">F6389*G6389</f>
        <v>0.375</v>
      </c>
      <c r="R6389" s="0" t="n">
        <f aca="false">F6389*H6389</f>
        <v>-0.125</v>
      </c>
      <c r="S6389" s="0" t="n">
        <f aca="false">G6389*H6389</f>
        <v>-0.1875</v>
      </c>
      <c r="T6389" s="0" t="n">
        <f aca="false">E6389*E6389</f>
        <v>1</v>
      </c>
      <c r="U6389" s="0" t="n">
        <f aca="false">F6389*F6389</f>
        <v>0.25</v>
      </c>
      <c r="V6389" s="0" t="n">
        <f aca="false">G6389*G6389</f>
        <v>0.5625</v>
      </c>
      <c r="W6389" s="0" t="n">
        <f aca="false">H6389*H6389</f>
        <v>0.0625</v>
      </c>
      <c r="X6389" s="0" t="n">
        <f aca="false">SUMPRODUCT(I6389:W6389,_XtX!$B$96:$P$96)</f>
        <v>48.0945221125731</v>
      </c>
      <c r="Y6389" s="0" t="n">
        <f aca="false">SUMPRODUCT(MMULT(I6389:W6389,_XtX!$B$78:$P$92),I6389:W6389)</f>
        <v>0.459125719572369</v>
      </c>
      <c r="Z6389" s="0" t="n">
        <f aca="false">04_回帰ANOVA!$K$19*04_回帰ANOVA!$K$14*SQRT(1+Y6389)</f>
        <v>1.57450755575573</v>
      </c>
      <c r="AA6389" s="0" t="n">
        <f aca="false">X6389-Z6389</f>
        <v>46.5200145568174</v>
      </c>
      <c r="AB6389" s="0" t="n">
        <f aca="false">X6389+Z6389</f>
        <v>49.6690296683289</v>
      </c>
      <c r="AC6389" s="54" t="b">
        <f aca="false">AND(E6389&gt;=01_因子設定!$L$5-0.000000001,E6389&lt;=01_因子設定!$M$5+0.000000001,F6389&gt;=01_因子設定!$L$6-0.000000001,F6389&lt;=01_因子設定!$M$6+0.000000001,G6389&gt;=01_因子設定!$L$7-0.000000001,G6389&lt;=01_因子設定!$M$7+0.000000001,H6389&gt;=01_因子設定!$L$8-0.000000001,H6389&lt;=01_因子設定!$M$8+0.000000001,IF(01_因子設定!$B$20="Box-Behnken",E6389^2+F6389^2+G6389^2+H6389^2&lt;=2+0.000000001,TRUE()))</f>
        <v>1</v>
      </c>
      <c r="AD6389" s="55" t="n">
        <f aca="false">IF(AC6389,IF(01_因子設定!$B$13="最大化",AA6389-01_因子設定!$B$14,IF(01_因子設定!$B$13="最小化",01_因子設定!$B$15-AB6389,MIN(AA6389-01_因子設定!$B$14,01_因子設定!$B$15-AB6389))),-1E+030)</f>
        <v>0.0200145568174008</v>
      </c>
      <c r="AE6389" s="55" t="n">
        <f aca="false">IF(AC6389,IF(01_因子設定!$B$13="最大化",X6389,IF(01_因子設定!$B$13="最小化",-X6389,-ABS(X6389-01_因子設定!$B$16))),-1E+030)</f>
        <v>48.0945221125731</v>
      </c>
      <c r="AF6389" s="55" t="n">
        <f aca="false">AD6389+ROW()*0.000000001</f>
        <v>0.0200209458174008</v>
      </c>
      <c r="AG6389" s="55" t="n">
        <f aca="false">AE6389+ROW()*0.000000001</f>
        <v>48.0945285015731</v>
      </c>
    </row>
    <row r="6390" customFormat="false" ht="15" hidden="false" customHeight="false" outlineLevel="0" collapsed="false">
      <c r="A6390" s="0" t="n">
        <v>8</v>
      </c>
      <c r="B6390" s="0" t="n">
        <v>6</v>
      </c>
      <c r="C6390" s="0" t="n">
        <v>7</v>
      </c>
      <c r="D6390" s="0" t="n">
        <v>4</v>
      </c>
      <c r="E6390" s="0" t="n">
        <f aca="false">-1+A6390*0.25</f>
        <v>1</v>
      </c>
      <c r="F6390" s="0" t="n">
        <f aca="false">-1+B6390*0.25</f>
        <v>0.5</v>
      </c>
      <c r="G6390" s="0" t="n">
        <f aca="false">-1+C6390*0.25</f>
        <v>0.75</v>
      </c>
      <c r="H6390" s="0" t="n">
        <f aca="false">-1+D6390*0.25</f>
        <v>0</v>
      </c>
      <c r="I6390" s="0" t="n">
        <f aca="false">1</f>
        <v>1</v>
      </c>
      <c r="J6390" s="0" t="n">
        <f aca="false">E6390</f>
        <v>1</v>
      </c>
      <c r="K6390" s="0" t="n">
        <f aca="false">F6390</f>
        <v>0.5</v>
      </c>
      <c r="L6390" s="0" t="n">
        <f aca="false">G6390</f>
        <v>0.75</v>
      </c>
      <c r="M6390" s="0" t="n">
        <f aca="false">H6390</f>
        <v>0</v>
      </c>
      <c r="N6390" s="0" t="n">
        <f aca="false">E6390*F6390</f>
        <v>0.5</v>
      </c>
      <c r="O6390" s="0" t="n">
        <f aca="false">E6390*G6390</f>
        <v>0.75</v>
      </c>
      <c r="P6390" s="0" t="n">
        <f aca="false">E6390*H6390</f>
        <v>0</v>
      </c>
      <c r="Q6390" s="0" t="n">
        <f aca="false">F6390*G6390</f>
        <v>0.375</v>
      </c>
      <c r="R6390" s="0" t="n">
        <f aca="false">F6390*H6390</f>
        <v>0</v>
      </c>
      <c r="S6390" s="0" t="n">
        <f aca="false">G6390*H6390</f>
        <v>0</v>
      </c>
      <c r="T6390" s="0" t="n">
        <f aca="false">E6390*E6390</f>
        <v>1</v>
      </c>
      <c r="U6390" s="0" t="n">
        <f aca="false">F6390*F6390</f>
        <v>0.25</v>
      </c>
      <c r="V6390" s="0" t="n">
        <f aca="false">G6390*G6390</f>
        <v>0.5625</v>
      </c>
      <c r="W6390" s="0" t="n">
        <f aca="false">H6390*H6390</f>
        <v>0</v>
      </c>
      <c r="X6390" s="0" t="n">
        <f aca="false">SUMPRODUCT(I6390:W6390,_XtX!$B$96:$P$96)</f>
        <v>48.2784082602339</v>
      </c>
      <c r="Y6390" s="0" t="n">
        <f aca="false">SUMPRODUCT(MMULT(I6390:W6390,_XtX!$B$78:$P$92),I6390:W6390)</f>
        <v>0.476191292032164</v>
      </c>
      <c r="Z6390" s="0" t="n">
        <f aca="false">04_回帰ANOVA!$K$19*04_回帰ANOVA!$K$14*SQRT(1+Y6390)</f>
        <v>1.58368831471718</v>
      </c>
      <c r="AA6390" s="0" t="n">
        <f aca="false">X6390-Z6390</f>
        <v>46.6947199455168</v>
      </c>
      <c r="AB6390" s="0" t="n">
        <f aca="false">X6390+Z6390</f>
        <v>49.8620965749511</v>
      </c>
      <c r="AC6390" s="54" t="b">
        <f aca="false">AND(E6390&gt;=01_因子設定!$L$5-0.000000001,E6390&lt;=01_因子設定!$M$5+0.000000001,F6390&gt;=01_因子設定!$L$6-0.000000001,F6390&lt;=01_因子設定!$M$6+0.000000001,G6390&gt;=01_因子設定!$L$7-0.000000001,G6390&lt;=01_因子設定!$M$7+0.000000001,H6390&gt;=01_因子設定!$L$8-0.000000001,H6390&lt;=01_因子設定!$M$8+0.000000001,IF(01_因子設定!$B$20="Box-Behnken",E6390^2+F6390^2+G6390^2+H6390^2&lt;=2+0.000000001,TRUE()))</f>
        <v>1</v>
      </c>
      <c r="AD6390" s="55" t="n">
        <f aca="false">IF(AC6390,IF(01_因子設定!$B$13="最大化",AA6390-01_因子設定!$B$14,IF(01_因子設定!$B$13="最小化",01_因子設定!$B$15-AB6390,MIN(AA6390-01_因子設定!$B$14,01_因子設定!$B$15-AB6390))),-1E+030)</f>
        <v>0.194719945516766</v>
      </c>
      <c r="AE6390" s="55" t="n">
        <f aca="false">IF(AC6390,IF(01_因子設定!$B$13="最大化",X6390,IF(01_因子設定!$B$13="最小化",-X6390,-ABS(X6390-01_因子設定!$B$16))),-1E+030)</f>
        <v>48.2784082602339</v>
      </c>
      <c r="AF6390" s="55" t="n">
        <f aca="false">AD6390+ROW()*0.000000001</f>
        <v>0.194726335516766</v>
      </c>
      <c r="AG6390" s="55" t="n">
        <f aca="false">AE6390+ROW()*0.000000001</f>
        <v>48.278414650234</v>
      </c>
    </row>
    <row r="6391" customFormat="false" ht="15" hidden="false" customHeight="false" outlineLevel="0" collapsed="false">
      <c r="A6391" s="0" t="n">
        <v>8</v>
      </c>
      <c r="B6391" s="0" t="n">
        <v>6</v>
      </c>
      <c r="C6391" s="0" t="n">
        <v>7</v>
      </c>
      <c r="D6391" s="0" t="n">
        <v>5</v>
      </c>
      <c r="E6391" s="0" t="n">
        <f aca="false">-1+A6391*0.25</f>
        <v>1</v>
      </c>
      <c r="F6391" s="0" t="n">
        <f aca="false">-1+B6391*0.25</f>
        <v>0.5</v>
      </c>
      <c r="G6391" s="0" t="n">
        <f aca="false">-1+C6391*0.25</f>
        <v>0.75</v>
      </c>
      <c r="H6391" s="0" t="n">
        <f aca="false">-1+D6391*0.25</f>
        <v>0.25</v>
      </c>
      <c r="I6391" s="0" t="n">
        <f aca="false">1</f>
        <v>1</v>
      </c>
      <c r="J6391" s="0" t="n">
        <f aca="false">E6391</f>
        <v>1</v>
      </c>
      <c r="K6391" s="0" t="n">
        <f aca="false">F6391</f>
        <v>0.5</v>
      </c>
      <c r="L6391" s="0" t="n">
        <f aca="false">G6391</f>
        <v>0.75</v>
      </c>
      <c r="M6391" s="0" t="n">
        <f aca="false">H6391</f>
        <v>0.25</v>
      </c>
      <c r="N6391" s="0" t="n">
        <f aca="false">E6391*F6391</f>
        <v>0.5</v>
      </c>
      <c r="O6391" s="0" t="n">
        <f aca="false">E6391*G6391</f>
        <v>0.75</v>
      </c>
      <c r="P6391" s="0" t="n">
        <f aca="false">E6391*H6391</f>
        <v>0.25</v>
      </c>
      <c r="Q6391" s="0" t="n">
        <f aca="false">F6391*G6391</f>
        <v>0.375</v>
      </c>
      <c r="R6391" s="0" t="n">
        <f aca="false">F6391*H6391</f>
        <v>0.125</v>
      </c>
      <c r="S6391" s="0" t="n">
        <f aca="false">G6391*H6391</f>
        <v>0.1875</v>
      </c>
      <c r="T6391" s="0" t="n">
        <f aca="false">E6391*E6391</f>
        <v>1</v>
      </c>
      <c r="U6391" s="0" t="n">
        <f aca="false">F6391*F6391</f>
        <v>0.25</v>
      </c>
      <c r="V6391" s="0" t="n">
        <f aca="false">G6391*G6391</f>
        <v>0.5625</v>
      </c>
      <c r="W6391" s="0" t="n">
        <f aca="false">H6391*H6391</f>
        <v>0.0625</v>
      </c>
      <c r="X6391" s="0" t="n">
        <f aca="false">SUMPRODUCT(I6391:W6391,_XtX!$B$96:$P$96)</f>
        <v>48.4144873903509</v>
      </c>
      <c r="Y6391" s="0" t="n">
        <f aca="false">SUMPRODUCT(MMULT(I6391:W6391,_XtX!$B$78:$P$92),I6391:W6391)</f>
        <v>0.459125719572369</v>
      </c>
      <c r="Z6391" s="0" t="n">
        <f aca="false">04_回帰ANOVA!$K$19*04_回帰ANOVA!$K$14*SQRT(1+Y6391)</f>
        <v>1.57450755575573</v>
      </c>
      <c r="AA6391" s="0" t="n">
        <f aca="false">X6391-Z6391</f>
        <v>46.8399798345952</v>
      </c>
      <c r="AB6391" s="0" t="n">
        <f aca="false">X6391+Z6391</f>
        <v>49.9889949461066</v>
      </c>
      <c r="AC6391" s="54" t="b">
        <f aca="false">AND(E6391&gt;=01_因子設定!$L$5-0.000000001,E6391&lt;=01_因子設定!$M$5+0.000000001,F6391&gt;=01_因子設定!$L$6-0.000000001,F6391&lt;=01_因子設定!$M$6+0.000000001,G6391&gt;=01_因子設定!$L$7-0.000000001,G6391&lt;=01_因子設定!$M$7+0.000000001,H6391&gt;=01_因子設定!$L$8-0.000000001,H6391&lt;=01_因子設定!$M$8+0.000000001,IF(01_因子設定!$B$20="Box-Behnken",E6391^2+F6391^2+G6391^2+H6391^2&lt;=2+0.000000001,TRUE()))</f>
        <v>1</v>
      </c>
      <c r="AD6391" s="55" t="n">
        <f aca="false">IF(AC6391,IF(01_因子設定!$B$13="最大化",AA6391-01_因子設定!$B$14,IF(01_因子設定!$B$13="最小化",01_因子設定!$B$15-AB6391,MIN(AA6391-01_因子設定!$B$14,01_因子設定!$B$15-AB6391))),-1E+030)</f>
        <v>0.339979834595177</v>
      </c>
      <c r="AE6391" s="55" t="n">
        <f aca="false">IF(AC6391,IF(01_因子設定!$B$13="最大化",X6391,IF(01_因子設定!$B$13="最小化",-X6391,-ABS(X6391-01_因子設定!$B$16))),-1E+030)</f>
        <v>48.4144873903509</v>
      </c>
      <c r="AF6391" s="55" t="n">
        <f aca="false">AD6391+ROW()*0.000000001</f>
        <v>0.339986225595177</v>
      </c>
      <c r="AG6391" s="55" t="n">
        <f aca="false">AE6391+ROW()*0.000000001</f>
        <v>48.4144937813509</v>
      </c>
    </row>
    <row r="6392" customFormat="false" ht="15" hidden="false" customHeight="false" outlineLevel="0" collapsed="false">
      <c r="A6392" s="0" t="n">
        <v>8</v>
      </c>
      <c r="B6392" s="0" t="n">
        <v>6</v>
      </c>
      <c r="C6392" s="0" t="n">
        <v>7</v>
      </c>
      <c r="D6392" s="0" t="n">
        <v>6</v>
      </c>
      <c r="E6392" s="0" t="n">
        <f aca="false">-1+A6392*0.25</f>
        <v>1</v>
      </c>
      <c r="F6392" s="0" t="n">
        <f aca="false">-1+B6392*0.25</f>
        <v>0.5</v>
      </c>
      <c r="G6392" s="0" t="n">
        <f aca="false">-1+C6392*0.25</f>
        <v>0.75</v>
      </c>
      <c r="H6392" s="0" t="n">
        <f aca="false">-1+D6392*0.25</f>
        <v>0.5</v>
      </c>
      <c r="I6392" s="0" t="n">
        <f aca="false">1</f>
        <v>1</v>
      </c>
      <c r="J6392" s="0" t="n">
        <f aca="false">E6392</f>
        <v>1</v>
      </c>
      <c r="K6392" s="0" t="n">
        <f aca="false">F6392</f>
        <v>0.5</v>
      </c>
      <c r="L6392" s="0" t="n">
        <f aca="false">G6392</f>
        <v>0.75</v>
      </c>
      <c r="M6392" s="0" t="n">
        <f aca="false">H6392</f>
        <v>0.5</v>
      </c>
      <c r="N6392" s="0" t="n">
        <f aca="false">E6392*F6392</f>
        <v>0.5</v>
      </c>
      <c r="O6392" s="0" t="n">
        <f aca="false">E6392*G6392</f>
        <v>0.75</v>
      </c>
      <c r="P6392" s="0" t="n">
        <f aca="false">E6392*H6392</f>
        <v>0.5</v>
      </c>
      <c r="Q6392" s="0" t="n">
        <f aca="false">F6392*G6392</f>
        <v>0.375</v>
      </c>
      <c r="R6392" s="0" t="n">
        <f aca="false">F6392*H6392</f>
        <v>0.25</v>
      </c>
      <c r="S6392" s="0" t="n">
        <f aca="false">G6392*H6392</f>
        <v>0.375</v>
      </c>
      <c r="T6392" s="0" t="n">
        <f aca="false">E6392*E6392</f>
        <v>1</v>
      </c>
      <c r="U6392" s="0" t="n">
        <f aca="false">F6392*F6392</f>
        <v>0.25</v>
      </c>
      <c r="V6392" s="0" t="n">
        <f aca="false">G6392*G6392</f>
        <v>0.5625</v>
      </c>
      <c r="W6392" s="0" t="n">
        <f aca="false">H6392*H6392</f>
        <v>0.25</v>
      </c>
      <c r="X6392" s="0" t="n">
        <f aca="false">SUMPRODUCT(I6392:W6392,_XtX!$B$96:$P$96)</f>
        <v>48.502759502924</v>
      </c>
      <c r="Y6392" s="0" t="n">
        <f aca="false">SUMPRODUCT(MMULT(I6392:W6392,_XtX!$B$78:$P$92),I6392:W6392)</f>
        <v>0.42602110745614</v>
      </c>
      <c r="Z6392" s="0" t="n">
        <f aca="false">04_回帰ANOVA!$K$19*04_回帰ANOVA!$K$14*SQRT(1+Y6392)</f>
        <v>1.55654388501114</v>
      </c>
      <c r="AA6392" s="0" t="n">
        <f aca="false">X6392-Z6392</f>
        <v>46.9462156179129</v>
      </c>
      <c r="AB6392" s="0" t="n">
        <f aca="false">X6392+Z6392</f>
        <v>50.0593033879352</v>
      </c>
      <c r="AC6392" s="54" t="b">
        <f aca="false">AND(E6392&gt;=01_因子設定!$L$5-0.000000001,E6392&lt;=01_因子設定!$M$5+0.000000001,F6392&gt;=01_因子設定!$L$6-0.000000001,F6392&lt;=01_因子設定!$M$6+0.000000001,G6392&gt;=01_因子設定!$L$7-0.000000001,G6392&lt;=01_因子設定!$M$7+0.000000001,H6392&gt;=01_因子設定!$L$8-0.000000001,H6392&lt;=01_因子設定!$M$8+0.000000001,IF(01_因子設定!$B$20="Box-Behnken",E6392^2+F6392^2+G6392^2+H6392^2&lt;=2+0.000000001,TRUE()))</f>
        <v>1</v>
      </c>
      <c r="AD6392" s="55" t="n">
        <f aca="false">IF(AC6392,IF(01_因子設定!$B$13="最大化",AA6392-01_因子設定!$B$14,IF(01_因子設定!$B$13="最小化",01_因子設定!$B$15-AB6392,MIN(AA6392-01_因子設定!$B$14,01_因子設定!$B$15-AB6392))),-1E+030)</f>
        <v>0.446215617912877</v>
      </c>
      <c r="AE6392" s="55" t="n">
        <f aca="false">IF(AC6392,IF(01_因子設定!$B$13="最大化",X6392,IF(01_因子設定!$B$13="最小化",-X6392,-ABS(X6392-01_因子設定!$B$16))),-1E+030)</f>
        <v>48.502759502924</v>
      </c>
      <c r="AF6392" s="55" t="n">
        <f aca="false">AD6392+ROW()*0.000000001</f>
        <v>0.446222009912877</v>
      </c>
      <c r="AG6392" s="55" t="n">
        <f aca="false">AE6392+ROW()*0.000000001</f>
        <v>48.502765894924</v>
      </c>
    </row>
    <row r="6393" customFormat="false" ht="15" hidden="false" customHeight="false" outlineLevel="0" collapsed="false">
      <c r="A6393" s="0" t="n">
        <v>8</v>
      </c>
      <c r="B6393" s="0" t="n">
        <v>6</v>
      </c>
      <c r="C6393" s="0" t="n">
        <v>7</v>
      </c>
      <c r="D6393" s="0" t="n">
        <v>7</v>
      </c>
      <c r="E6393" s="0" t="n">
        <f aca="false">-1+A6393*0.25</f>
        <v>1</v>
      </c>
      <c r="F6393" s="0" t="n">
        <f aca="false">-1+B6393*0.25</f>
        <v>0.5</v>
      </c>
      <c r="G6393" s="0" t="n">
        <f aca="false">-1+C6393*0.25</f>
        <v>0.75</v>
      </c>
      <c r="H6393" s="0" t="n">
        <f aca="false">-1+D6393*0.25</f>
        <v>0.75</v>
      </c>
      <c r="I6393" s="0" t="n">
        <f aca="false">1</f>
        <v>1</v>
      </c>
      <c r="J6393" s="0" t="n">
        <f aca="false">E6393</f>
        <v>1</v>
      </c>
      <c r="K6393" s="0" t="n">
        <f aca="false">F6393</f>
        <v>0.5</v>
      </c>
      <c r="L6393" s="0" t="n">
        <f aca="false">G6393</f>
        <v>0.75</v>
      </c>
      <c r="M6393" s="0" t="n">
        <f aca="false">H6393</f>
        <v>0.75</v>
      </c>
      <c r="N6393" s="0" t="n">
        <f aca="false">E6393*F6393</f>
        <v>0.5</v>
      </c>
      <c r="O6393" s="0" t="n">
        <f aca="false">E6393*G6393</f>
        <v>0.75</v>
      </c>
      <c r="P6393" s="0" t="n">
        <f aca="false">E6393*H6393</f>
        <v>0.75</v>
      </c>
      <c r="Q6393" s="0" t="n">
        <f aca="false">F6393*G6393</f>
        <v>0.375</v>
      </c>
      <c r="R6393" s="0" t="n">
        <f aca="false">F6393*H6393</f>
        <v>0.375</v>
      </c>
      <c r="S6393" s="0" t="n">
        <f aca="false">G6393*H6393</f>
        <v>0.5625</v>
      </c>
      <c r="T6393" s="0" t="n">
        <f aca="false">E6393*E6393</f>
        <v>1</v>
      </c>
      <c r="U6393" s="0" t="n">
        <f aca="false">F6393*F6393</f>
        <v>0.25</v>
      </c>
      <c r="V6393" s="0" t="n">
        <f aca="false">G6393*G6393</f>
        <v>0.5625</v>
      </c>
      <c r="W6393" s="0" t="n">
        <f aca="false">H6393*H6393</f>
        <v>0.5625</v>
      </c>
      <c r="X6393" s="0" t="n">
        <f aca="false">SUMPRODUCT(I6393:W6393,_XtX!$B$96:$P$96)</f>
        <v>48.5432245979533</v>
      </c>
      <c r="Y6393" s="0" t="n">
        <f aca="false">SUMPRODUCT(MMULT(I6393:W6393,_XtX!$B$78:$P$92),I6393:W6393)</f>
        <v>0.431153771472953</v>
      </c>
      <c r="Z6393" s="0" t="n">
        <f aca="false">04_回帰ANOVA!$K$19*04_回帰ANOVA!$K$14*SQRT(1+Y6393)</f>
        <v>1.55934259562563</v>
      </c>
      <c r="AA6393" s="0" t="n">
        <f aca="false">X6393-Z6393</f>
        <v>46.9838820023276</v>
      </c>
      <c r="AB6393" s="0" t="n">
        <f aca="false">X6393+Z6393</f>
        <v>50.1025671935789</v>
      </c>
      <c r="AC6393" s="54" t="b">
        <f aca="false">AND(E6393&gt;=01_因子設定!$L$5-0.000000001,E6393&lt;=01_因子設定!$M$5+0.000000001,F6393&gt;=01_因子設定!$L$6-0.000000001,F6393&lt;=01_因子設定!$M$6+0.000000001,G6393&gt;=01_因子設定!$L$7-0.000000001,G6393&lt;=01_因子設定!$M$7+0.000000001,H6393&gt;=01_因子設定!$L$8-0.000000001,H6393&lt;=01_因子設定!$M$8+0.000000001,IF(01_因子設定!$B$20="Box-Behnken",E6393^2+F6393^2+G6393^2+H6393^2&lt;=2+0.000000001,TRUE()))</f>
        <v>1</v>
      </c>
      <c r="AD6393" s="55" t="n">
        <f aca="false">IF(AC6393,IF(01_因子設定!$B$13="最大化",AA6393-01_因子設定!$B$14,IF(01_因子設定!$B$13="最小化",01_因子設定!$B$15-AB6393,MIN(AA6393-01_因子設定!$B$14,01_因子設定!$B$15-AB6393))),-1E+030)</f>
        <v>0.483882002327633</v>
      </c>
      <c r="AE6393" s="55" t="n">
        <f aca="false">IF(AC6393,IF(01_因子設定!$B$13="最大化",X6393,IF(01_因子設定!$B$13="最小化",-X6393,-ABS(X6393-01_因子設定!$B$16))),-1E+030)</f>
        <v>48.5432245979533</v>
      </c>
      <c r="AF6393" s="55" t="n">
        <f aca="false">AD6393+ROW()*0.000000001</f>
        <v>0.483888395327633</v>
      </c>
      <c r="AG6393" s="55" t="n">
        <f aca="false">AE6393+ROW()*0.000000001</f>
        <v>48.5432309909533</v>
      </c>
    </row>
    <row r="6394" customFormat="false" ht="15" hidden="false" customHeight="false" outlineLevel="0" collapsed="false">
      <c r="A6394" s="0" t="n">
        <v>8</v>
      </c>
      <c r="B6394" s="0" t="n">
        <v>6</v>
      </c>
      <c r="C6394" s="0" t="n">
        <v>7</v>
      </c>
      <c r="D6394" s="0" t="n">
        <v>8</v>
      </c>
      <c r="E6394" s="0" t="n">
        <f aca="false">-1+A6394*0.25</f>
        <v>1</v>
      </c>
      <c r="F6394" s="0" t="n">
        <f aca="false">-1+B6394*0.25</f>
        <v>0.5</v>
      </c>
      <c r="G6394" s="0" t="n">
        <f aca="false">-1+C6394*0.25</f>
        <v>0.75</v>
      </c>
      <c r="H6394" s="0" t="n">
        <f aca="false">-1+D6394*0.25</f>
        <v>1</v>
      </c>
      <c r="I6394" s="0" t="n">
        <f aca="false">1</f>
        <v>1</v>
      </c>
      <c r="J6394" s="0" t="n">
        <f aca="false">E6394</f>
        <v>1</v>
      </c>
      <c r="K6394" s="0" t="n">
        <f aca="false">F6394</f>
        <v>0.5</v>
      </c>
      <c r="L6394" s="0" t="n">
        <f aca="false">G6394</f>
        <v>0.75</v>
      </c>
      <c r="M6394" s="0" t="n">
        <f aca="false">H6394</f>
        <v>1</v>
      </c>
      <c r="N6394" s="0" t="n">
        <f aca="false">E6394*F6394</f>
        <v>0.5</v>
      </c>
      <c r="O6394" s="0" t="n">
        <f aca="false">E6394*G6394</f>
        <v>0.75</v>
      </c>
      <c r="P6394" s="0" t="n">
        <f aca="false">E6394*H6394</f>
        <v>1</v>
      </c>
      <c r="Q6394" s="0" t="n">
        <f aca="false">F6394*G6394</f>
        <v>0.375</v>
      </c>
      <c r="R6394" s="0" t="n">
        <f aca="false">F6394*H6394</f>
        <v>0.5</v>
      </c>
      <c r="S6394" s="0" t="n">
        <f aca="false">G6394*H6394</f>
        <v>0.75</v>
      </c>
      <c r="T6394" s="0" t="n">
        <f aca="false">E6394*E6394</f>
        <v>1</v>
      </c>
      <c r="U6394" s="0" t="n">
        <f aca="false">F6394*F6394</f>
        <v>0.25</v>
      </c>
      <c r="V6394" s="0" t="n">
        <f aca="false">G6394*G6394</f>
        <v>0.5625</v>
      </c>
      <c r="W6394" s="0" t="n">
        <f aca="false">H6394*H6394</f>
        <v>1</v>
      </c>
      <c r="X6394" s="0" t="n">
        <f aca="false">SUMPRODUCT(I6394:W6394,_XtX!$B$96:$P$96)</f>
        <v>48.5358826754387</v>
      </c>
      <c r="Y6394" s="0" t="n">
        <f aca="false">SUMPRODUCT(MMULT(I6394:W6394,_XtX!$B$78:$P$92),I6394:W6394)</f>
        <v>0.564984237938597</v>
      </c>
      <c r="Z6394" s="0" t="n">
        <f aca="false">04_回帰ANOVA!$K$19*04_回帰ANOVA!$K$14*SQRT(1+Y6394)</f>
        <v>1.63062229734503</v>
      </c>
      <c r="AA6394" s="0" t="n">
        <f aca="false">X6394-Z6394</f>
        <v>46.9052603780936</v>
      </c>
      <c r="AB6394" s="0" t="n">
        <f aca="false">X6394+Z6394</f>
        <v>50.1665049727837</v>
      </c>
      <c r="AC6394" s="54" t="b">
        <f aca="false">AND(E6394&gt;=01_因子設定!$L$5-0.000000001,E6394&lt;=01_因子設定!$M$5+0.000000001,F6394&gt;=01_因子設定!$L$6-0.000000001,F6394&lt;=01_因子設定!$M$6+0.000000001,G6394&gt;=01_因子設定!$L$7-0.000000001,G6394&lt;=01_因子設定!$M$7+0.000000001,H6394&gt;=01_因子設定!$L$8-0.000000001,H6394&lt;=01_因子設定!$M$8+0.000000001,IF(01_因子設定!$B$20="Box-Behnken",E6394^2+F6394^2+G6394^2+H6394^2&lt;=2+0.000000001,TRUE()))</f>
        <v>1</v>
      </c>
      <c r="AD6394" s="55" t="n">
        <f aca="false">IF(AC6394,IF(01_因子設定!$B$13="最大化",AA6394-01_因子設定!$B$14,IF(01_因子設定!$B$13="最小化",01_因子設定!$B$15-AB6394,MIN(AA6394-01_因子設定!$B$14,01_因子設定!$B$15-AB6394))),-1E+030)</f>
        <v>0.405260378093622</v>
      </c>
      <c r="AE6394" s="55" t="n">
        <f aca="false">IF(AC6394,IF(01_因子設定!$B$13="最大化",X6394,IF(01_因子設定!$B$13="最小化",-X6394,-ABS(X6394-01_因子設定!$B$16))),-1E+030)</f>
        <v>48.5358826754387</v>
      </c>
      <c r="AF6394" s="55" t="n">
        <f aca="false">AD6394+ROW()*0.000000001</f>
        <v>0.405266772093622</v>
      </c>
      <c r="AG6394" s="55" t="n">
        <f aca="false">AE6394+ROW()*0.000000001</f>
        <v>48.5358890694387</v>
      </c>
    </row>
    <row r="6395" customFormat="false" ht="15" hidden="false" customHeight="false" outlineLevel="0" collapsed="false">
      <c r="A6395" s="0" t="n">
        <v>8</v>
      </c>
      <c r="B6395" s="0" t="n">
        <v>6</v>
      </c>
      <c r="C6395" s="0" t="n">
        <v>8</v>
      </c>
      <c r="D6395" s="0" t="n">
        <v>0</v>
      </c>
      <c r="E6395" s="0" t="n">
        <f aca="false">-1+A6395*0.25</f>
        <v>1</v>
      </c>
      <c r="F6395" s="0" t="n">
        <f aca="false">-1+B6395*0.25</f>
        <v>0.5</v>
      </c>
      <c r="G6395" s="0" t="n">
        <f aca="false">-1+C6395*0.25</f>
        <v>1</v>
      </c>
      <c r="H6395" s="0" t="n">
        <f aca="false">-1+D6395*0.25</f>
        <v>-1</v>
      </c>
      <c r="I6395" s="0" t="n">
        <f aca="false">1</f>
        <v>1</v>
      </c>
      <c r="J6395" s="0" t="n">
        <f aca="false">E6395</f>
        <v>1</v>
      </c>
      <c r="K6395" s="0" t="n">
        <f aca="false">F6395</f>
        <v>0.5</v>
      </c>
      <c r="L6395" s="0" t="n">
        <f aca="false">G6395</f>
        <v>1</v>
      </c>
      <c r="M6395" s="0" t="n">
        <f aca="false">H6395</f>
        <v>-1</v>
      </c>
      <c r="N6395" s="0" t="n">
        <f aca="false">E6395*F6395</f>
        <v>0.5</v>
      </c>
      <c r="O6395" s="0" t="n">
        <f aca="false">E6395*G6395</f>
        <v>1</v>
      </c>
      <c r="P6395" s="0" t="n">
        <f aca="false">E6395*H6395</f>
        <v>-1</v>
      </c>
      <c r="Q6395" s="0" t="n">
        <f aca="false">F6395*G6395</f>
        <v>0.5</v>
      </c>
      <c r="R6395" s="0" t="n">
        <f aca="false">F6395*H6395</f>
        <v>-0.5</v>
      </c>
      <c r="S6395" s="0" t="n">
        <f aca="false">G6395*H6395</f>
        <v>-1</v>
      </c>
      <c r="T6395" s="0" t="n">
        <f aca="false">E6395*E6395</f>
        <v>1</v>
      </c>
      <c r="U6395" s="0" t="n">
        <f aca="false">F6395*F6395</f>
        <v>0.25</v>
      </c>
      <c r="V6395" s="0" t="n">
        <f aca="false">G6395*G6395</f>
        <v>1</v>
      </c>
      <c r="W6395" s="0" t="n">
        <f aca="false">H6395*H6395</f>
        <v>1</v>
      </c>
      <c r="X6395" s="0" t="n">
        <f aca="false">SUMPRODUCT(I6395:W6395,_XtX!$B$96:$P$96)</f>
        <v>47.0079678362574</v>
      </c>
      <c r="Y6395" s="0" t="n">
        <f aca="false">SUMPRODUCT(MMULT(I6395:W6395,_XtX!$B$78:$P$92),I6395:W6395)</f>
        <v>0.667123538011696</v>
      </c>
      <c r="Z6395" s="0" t="n">
        <f aca="false">04_回帰ANOVA!$K$19*04_回帰ANOVA!$K$14*SQRT(1+Y6395)</f>
        <v>1.68299290213005</v>
      </c>
      <c r="AA6395" s="0" t="n">
        <f aca="false">X6395-Z6395</f>
        <v>45.3249749341273</v>
      </c>
      <c r="AB6395" s="0" t="n">
        <f aca="false">X6395+Z6395</f>
        <v>48.6909607383874</v>
      </c>
      <c r="AC6395" s="54" t="b">
        <f aca="false">AND(E6395&gt;=01_因子設定!$L$5-0.000000001,E6395&lt;=01_因子設定!$M$5+0.000000001,F6395&gt;=01_因子設定!$L$6-0.000000001,F6395&lt;=01_因子設定!$M$6+0.000000001,G6395&gt;=01_因子設定!$L$7-0.000000001,G6395&lt;=01_因子設定!$M$7+0.000000001,H6395&gt;=01_因子設定!$L$8-0.000000001,H6395&lt;=01_因子設定!$M$8+0.000000001,IF(01_因子設定!$B$20="Box-Behnken",E6395^2+F6395^2+G6395^2+H6395^2&lt;=2+0.000000001,TRUE()))</f>
        <v>1</v>
      </c>
      <c r="AD6395" s="55" t="n">
        <f aca="false">IF(AC6395,IF(01_因子設定!$B$13="最大化",AA6395-01_因子設定!$B$14,IF(01_因子設定!$B$13="最小化",01_因子設定!$B$15-AB6395,MIN(AA6395-01_因子設定!$B$14,01_因子設定!$B$15-AB6395))),-1E+030)</f>
        <v>-1.17502506587267</v>
      </c>
      <c r="AE6395" s="55" t="n">
        <f aca="false">IF(AC6395,IF(01_因子設定!$B$13="最大化",X6395,IF(01_因子設定!$B$13="最小化",-X6395,-ABS(X6395-01_因子設定!$B$16))),-1E+030)</f>
        <v>47.0079678362574</v>
      </c>
      <c r="AF6395" s="55" t="n">
        <f aca="false">AD6395+ROW()*0.000000001</f>
        <v>-1.17501867087267</v>
      </c>
      <c r="AG6395" s="55" t="n">
        <f aca="false">AE6395+ROW()*0.000000001</f>
        <v>47.0079742312574</v>
      </c>
    </row>
    <row r="6396" customFormat="false" ht="15" hidden="false" customHeight="false" outlineLevel="0" collapsed="false">
      <c r="A6396" s="0" t="n">
        <v>8</v>
      </c>
      <c r="B6396" s="0" t="n">
        <v>6</v>
      </c>
      <c r="C6396" s="0" t="n">
        <v>8</v>
      </c>
      <c r="D6396" s="0" t="n">
        <v>1</v>
      </c>
      <c r="E6396" s="0" t="n">
        <f aca="false">-1+A6396*0.25</f>
        <v>1</v>
      </c>
      <c r="F6396" s="0" t="n">
        <f aca="false">-1+B6396*0.25</f>
        <v>0.5</v>
      </c>
      <c r="G6396" s="0" t="n">
        <f aca="false">-1+C6396*0.25</f>
        <v>1</v>
      </c>
      <c r="H6396" s="0" t="n">
        <f aca="false">-1+D6396*0.25</f>
        <v>-0.75</v>
      </c>
      <c r="I6396" s="0" t="n">
        <f aca="false">1</f>
        <v>1</v>
      </c>
      <c r="J6396" s="0" t="n">
        <f aca="false">E6396</f>
        <v>1</v>
      </c>
      <c r="K6396" s="0" t="n">
        <f aca="false">F6396</f>
        <v>0.5</v>
      </c>
      <c r="L6396" s="0" t="n">
        <f aca="false">G6396</f>
        <v>1</v>
      </c>
      <c r="M6396" s="0" t="n">
        <f aca="false">H6396</f>
        <v>-0.75</v>
      </c>
      <c r="N6396" s="0" t="n">
        <f aca="false">E6396*F6396</f>
        <v>0.5</v>
      </c>
      <c r="O6396" s="0" t="n">
        <f aca="false">E6396*G6396</f>
        <v>1</v>
      </c>
      <c r="P6396" s="0" t="n">
        <f aca="false">E6396*H6396</f>
        <v>-0.75</v>
      </c>
      <c r="Q6396" s="0" t="n">
        <f aca="false">F6396*G6396</f>
        <v>0.5</v>
      </c>
      <c r="R6396" s="0" t="n">
        <f aca="false">F6396*H6396</f>
        <v>-0.375</v>
      </c>
      <c r="S6396" s="0" t="n">
        <f aca="false">G6396*H6396</f>
        <v>-0.75</v>
      </c>
      <c r="T6396" s="0" t="n">
        <f aca="false">E6396*E6396</f>
        <v>1</v>
      </c>
      <c r="U6396" s="0" t="n">
        <f aca="false">F6396*F6396</f>
        <v>0.25</v>
      </c>
      <c r="V6396" s="0" t="n">
        <f aca="false">G6396*G6396</f>
        <v>1</v>
      </c>
      <c r="W6396" s="0" t="n">
        <f aca="false">H6396*H6396</f>
        <v>0.5625</v>
      </c>
      <c r="X6396" s="0" t="n">
        <f aca="false">SUMPRODUCT(I6396:W6396,_XtX!$B$96:$P$96)</f>
        <v>47.3532437865498</v>
      </c>
      <c r="Y6396" s="0" t="n">
        <f aca="false">SUMPRODUCT(MMULT(I6396:W6396,_XtX!$B$78:$P$92),I6396:W6396)</f>
        <v>0.564984237938597</v>
      </c>
      <c r="Z6396" s="0" t="n">
        <f aca="false">04_回帰ANOVA!$K$19*04_回帰ANOVA!$K$14*SQRT(1+Y6396)</f>
        <v>1.63062229734503</v>
      </c>
      <c r="AA6396" s="0" t="n">
        <f aca="false">X6396-Z6396</f>
        <v>45.7226214892047</v>
      </c>
      <c r="AB6396" s="0" t="n">
        <f aca="false">X6396+Z6396</f>
        <v>48.9838660838948</v>
      </c>
      <c r="AC6396" s="54" t="b">
        <f aca="false">AND(E6396&gt;=01_因子設定!$L$5-0.000000001,E6396&lt;=01_因子設定!$M$5+0.000000001,F6396&gt;=01_因子設定!$L$6-0.000000001,F6396&lt;=01_因子設定!$M$6+0.000000001,G6396&gt;=01_因子設定!$L$7-0.000000001,G6396&lt;=01_因子設定!$M$7+0.000000001,H6396&gt;=01_因子設定!$L$8-0.000000001,H6396&lt;=01_因子設定!$M$8+0.000000001,IF(01_因子設定!$B$20="Box-Behnken",E6396^2+F6396^2+G6396^2+H6396^2&lt;=2+0.000000001,TRUE()))</f>
        <v>1</v>
      </c>
      <c r="AD6396" s="55" t="n">
        <f aca="false">IF(AC6396,IF(01_因子設定!$B$13="最大化",AA6396-01_因子設定!$B$14,IF(01_因子設定!$B$13="最小化",01_因子設定!$B$15-AB6396,MIN(AA6396-01_因子設定!$B$14,01_因子設定!$B$15-AB6396))),-1E+030)</f>
        <v>-0.777378510795273</v>
      </c>
      <c r="AE6396" s="55" t="n">
        <f aca="false">IF(AC6396,IF(01_因子設定!$B$13="最大化",X6396,IF(01_因子設定!$B$13="最小化",-X6396,-ABS(X6396-01_因子設定!$B$16))),-1E+030)</f>
        <v>47.3532437865498</v>
      </c>
      <c r="AF6396" s="55" t="n">
        <f aca="false">AD6396+ROW()*0.000000001</f>
        <v>-0.777372114795273</v>
      </c>
      <c r="AG6396" s="55" t="n">
        <f aca="false">AE6396+ROW()*0.000000001</f>
        <v>47.3532501825498</v>
      </c>
    </row>
    <row r="6397" customFormat="false" ht="15" hidden="false" customHeight="false" outlineLevel="0" collapsed="false">
      <c r="A6397" s="0" t="n">
        <v>8</v>
      </c>
      <c r="B6397" s="0" t="n">
        <v>6</v>
      </c>
      <c r="C6397" s="0" t="n">
        <v>8</v>
      </c>
      <c r="D6397" s="0" t="n">
        <v>2</v>
      </c>
      <c r="E6397" s="0" t="n">
        <f aca="false">-1+A6397*0.25</f>
        <v>1</v>
      </c>
      <c r="F6397" s="0" t="n">
        <f aca="false">-1+B6397*0.25</f>
        <v>0.5</v>
      </c>
      <c r="G6397" s="0" t="n">
        <f aca="false">-1+C6397*0.25</f>
        <v>1</v>
      </c>
      <c r="H6397" s="0" t="n">
        <f aca="false">-1+D6397*0.25</f>
        <v>-0.5</v>
      </c>
      <c r="I6397" s="0" t="n">
        <f aca="false">1</f>
        <v>1</v>
      </c>
      <c r="J6397" s="0" t="n">
        <f aca="false">E6397</f>
        <v>1</v>
      </c>
      <c r="K6397" s="0" t="n">
        <f aca="false">F6397</f>
        <v>0.5</v>
      </c>
      <c r="L6397" s="0" t="n">
        <f aca="false">G6397</f>
        <v>1</v>
      </c>
      <c r="M6397" s="0" t="n">
        <f aca="false">H6397</f>
        <v>-0.5</v>
      </c>
      <c r="N6397" s="0" t="n">
        <f aca="false">E6397*F6397</f>
        <v>0.5</v>
      </c>
      <c r="O6397" s="0" t="n">
        <f aca="false">E6397*G6397</f>
        <v>1</v>
      </c>
      <c r="P6397" s="0" t="n">
        <f aca="false">E6397*H6397</f>
        <v>-0.5</v>
      </c>
      <c r="Q6397" s="0" t="n">
        <f aca="false">F6397*G6397</f>
        <v>0.5</v>
      </c>
      <c r="R6397" s="0" t="n">
        <f aca="false">F6397*H6397</f>
        <v>-0.25</v>
      </c>
      <c r="S6397" s="0" t="n">
        <f aca="false">G6397*H6397</f>
        <v>-0.5</v>
      </c>
      <c r="T6397" s="0" t="n">
        <f aca="false">E6397*E6397</f>
        <v>1</v>
      </c>
      <c r="U6397" s="0" t="n">
        <f aca="false">F6397*F6397</f>
        <v>0.25</v>
      </c>
      <c r="V6397" s="0" t="n">
        <f aca="false">G6397*G6397</f>
        <v>1</v>
      </c>
      <c r="W6397" s="0" t="n">
        <f aca="false">H6397*H6397</f>
        <v>0.25</v>
      </c>
      <c r="X6397" s="0" t="n">
        <f aca="false">SUMPRODUCT(I6397:W6397,_XtX!$B$96:$P$96)</f>
        <v>47.6507127192983</v>
      </c>
      <c r="Y6397" s="0" t="n">
        <f aca="false">SUMPRODUCT(MMULT(I6397:W6397,_XtX!$B$78:$P$92),I6397:W6397)</f>
        <v>0.582488121345029</v>
      </c>
      <c r="Z6397" s="0" t="n">
        <f aca="false">04_回帰ANOVA!$K$19*04_回帰ANOVA!$K$14*SQRT(1+Y6397)</f>
        <v>1.63971595338287</v>
      </c>
      <c r="AA6397" s="0" t="n">
        <f aca="false">X6397-Z6397</f>
        <v>46.0109967659154</v>
      </c>
      <c r="AB6397" s="0" t="n">
        <f aca="false">X6397+Z6397</f>
        <v>49.2904286726812</v>
      </c>
      <c r="AC6397" s="54" t="b">
        <f aca="false">AND(E6397&gt;=01_因子設定!$L$5-0.000000001,E6397&lt;=01_因子設定!$M$5+0.000000001,F6397&gt;=01_因子設定!$L$6-0.000000001,F6397&lt;=01_因子設定!$M$6+0.000000001,G6397&gt;=01_因子設定!$L$7-0.000000001,G6397&lt;=01_因子設定!$M$7+0.000000001,H6397&gt;=01_因子設定!$L$8-0.000000001,H6397&lt;=01_因子設定!$M$8+0.000000001,IF(01_因子設定!$B$20="Box-Behnken",E6397^2+F6397^2+G6397^2+H6397^2&lt;=2+0.000000001,TRUE()))</f>
        <v>1</v>
      </c>
      <c r="AD6397" s="55" t="n">
        <f aca="false">IF(AC6397,IF(01_因子設定!$B$13="最大化",AA6397-01_因子設定!$B$14,IF(01_因子設定!$B$13="最小化",01_因子設定!$B$15-AB6397,MIN(AA6397-01_因子設定!$B$14,01_因子設定!$B$15-AB6397))),-1E+030)</f>
        <v>-0.489003234084585</v>
      </c>
      <c r="AE6397" s="55" t="n">
        <f aca="false">IF(AC6397,IF(01_因子設定!$B$13="最大化",X6397,IF(01_因子設定!$B$13="最小化",-X6397,-ABS(X6397-01_因子設定!$B$16))),-1E+030)</f>
        <v>47.6507127192983</v>
      </c>
      <c r="AF6397" s="55" t="n">
        <f aca="false">AD6397+ROW()*0.000000001</f>
        <v>-0.488996837084585</v>
      </c>
      <c r="AG6397" s="55" t="n">
        <f aca="false">AE6397+ROW()*0.000000001</f>
        <v>47.6507191162983</v>
      </c>
    </row>
    <row r="6398" customFormat="false" ht="15" hidden="false" customHeight="false" outlineLevel="0" collapsed="false">
      <c r="A6398" s="0" t="n">
        <v>8</v>
      </c>
      <c r="B6398" s="0" t="n">
        <v>6</v>
      </c>
      <c r="C6398" s="0" t="n">
        <v>8</v>
      </c>
      <c r="D6398" s="0" t="n">
        <v>3</v>
      </c>
      <c r="E6398" s="0" t="n">
        <f aca="false">-1+A6398*0.25</f>
        <v>1</v>
      </c>
      <c r="F6398" s="0" t="n">
        <f aca="false">-1+B6398*0.25</f>
        <v>0.5</v>
      </c>
      <c r="G6398" s="0" t="n">
        <f aca="false">-1+C6398*0.25</f>
        <v>1</v>
      </c>
      <c r="H6398" s="0" t="n">
        <f aca="false">-1+D6398*0.25</f>
        <v>-0.25</v>
      </c>
      <c r="I6398" s="0" t="n">
        <f aca="false">1</f>
        <v>1</v>
      </c>
      <c r="J6398" s="0" t="n">
        <f aca="false">E6398</f>
        <v>1</v>
      </c>
      <c r="K6398" s="0" t="n">
        <f aca="false">F6398</f>
        <v>0.5</v>
      </c>
      <c r="L6398" s="0" t="n">
        <f aca="false">G6398</f>
        <v>1</v>
      </c>
      <c r="M6398" s="0" t="n">
        <f aca="false">H6398</f>
        <v>-0.25</v>
      </c>
      <c r="N6398" s="0" t="n">
        <f aca="false">E6398*F6398</f>
        <v>0.5</v>
      </c>
      <c r="O6398" s="0" t="n">
        <f aca="false">E6398*G6398</f>
        <v>1</v>
      </c>
      <c r="P6398" s="0" t="n">
        <f aca="false">E6398*H6398</f>
        <v>-0.25</v>
      </c>
      <c r="Q6398" s="0" t="n">
        <f aca="false">F6398*G6398</f>
        <v>0.5</v>
      </c>
      <c r="R6398" s="0" t="n">
        <f aca="false">F6398*H6398</f>
        <v>-0.125</v>
      </c>
      <c r="S6398" s="0" t="n">
        <f aca="false">G6398*H6398</f>
        <v>-0.25</v>
      </c>
      <c r="T6398" s="0" t="n">
        <f aca="false">E6398*E6398</f>
        <v>1</v>
      </c>
      <c r="U6398" s="0" t="n">
        <f aca="false">F6398*F6398</f>
        <v>0.25</v>
      </c>
      <c r="V6398" s="0" t="n">
        <f aca="false">G6398*G6398</f>
        <v>1</v>
      </c>
      <c r="W6398" s="0" t="n">
        <f aca="false">H6398*H6398</f>
        <v>0.0625</v>
      </c>
      <c r="X6398" s="0" t="n">
        <f aca="false">SUMPRODUCT(I6398:W6398,_XtX!$B$96:$P$96)</f>
        <v>47.900374634503</v>
      </c>
      <c r="Y6398" s="0" t="n">
        <f aca="false">SUMPRODUCT(MMULT(I6398:W6398,_XtX!$B$78:$P$92),I6398:W6398)</f>
        <v>0.629174661915205</v>
      </c>
      <c r="Z6398" s="0" t="n">
        <f aca="false">04_回帰ANOVA!$K$19*04_回帰ANOVA!$K$14*SQRT(1+Y6398)</f>
        <v>1.66372758058297</v>
      </c>
      <c r="AA6398" s="0" t="n">
        <f aca="false">X6398-Z6398</f>
        <v>46.23664705392</v>
      </c>
      <c r="AB6398" s="0" t="n">
        <f aca="false">X6398+Z6398</f>
        <v>49.5641022150859</v>
      </c>
      <c r="AC6398" s="54" t="b">
        <f aca="false">AND(E6398&gt;=01_因子設定!$L$5-0.000000001,E6398&lt;=01_因子設定!$M$5+0.000000001,F6398&gt;=01_因子設定!$L$6-0.000000001,F6398&lt;=01_因子設定!$M$6+0.000000001,G6398&gt;=01_因子設定!$L$7-0.000000001,G6398&lt;=01_因子設定!$M$7+0.000000001,H6398&gt;=01_因子設定!$L$8-0.000000001,H6398&lt;=01_因子設定!$M$8+0.000000001,IF(01_因子設定!$B$20="Box-Behnken",E6398^2+F6398^2+G6398^2+H6398^2&lt;=2+0.000000001,TRUE()))</f>
        <v>1</v>
      </c>
      <c r="AD6398" s="55" t="n">
        <f aca="false">IF(AC6398,IF(01_因子設定!$B$13="最大化",AA6398-01_因子設定!$B$14,IF(01_因子設定!$B$13="最小化",01_因子設定!$B$15-AB6398,MIN(AA6398-01_因子設定!$B$14,01_因子設定!$B$15-AB6398))),-1E+030)</f>
        <v>-0.263352946080019</v>
      </c>
      <c r="AE6398" s="55" t="n">
        <f aca="false">IF(AC6398,IF(01_因子設定!$B$13="最大化",X6398,IF(01_因子設定!$B$13="最小化",-X6398,-ABS(X6398-01_因子設定!$B$16))),-1E+030)</f>
        <v>47.900374634503</v>
      </c>
      <c r="AF6398" s="55" t="n">
        <f aca="false">AD6398+ROW()*0.000000001</f>
        <v>-0.263346548080019</v>
      </c>
      <c r="AG6398" s="55" t="n">
        <f aca="false">AE6398+ROW()*0.000000001</f>
        <v>47.900381032503</v>
      </c>
    </row>
    <row r="6399" customFormat="false" ht="15" hidden="false" customHeight="false" outlineLevel="0" collapsed="false">
      <c r="A6399" s="0" t="n">
        <v>8</v>
      </c>
      <c r="B6399" s="0" t="n">
        <v>6</v>
      </c>
      <c r="C6399" s="0" t="n">
        <v>8</v>
      </c>
      <c r="D6399" s="0" t="n">
        <v>4</v>
      </c>
      <c r="E6399" s="0" t="n">
        <f aca="false">-1+A6399*0.25</f>
        <v>1</v>
      </c>
      <c r="F6399" s="0" t="n">
        <f aca="false">-1+B6399*0.25</f>
        <v>0.5</v>
      </c>
      <c r="G6399" s="0" t="n">
        <f aca="false">-1+C6399*0.25</f>
        <v>1</v>
      </c>
      <c r="H6399" s="0" t="n">
        <f aca="false">-1+D6399*0.25</f>
        <v>0</v>
      </c>
      <c r="I6399" s="0" t="n">
        <f aca="false">1</f>
        <v>1</v>
      </c>
      <c r="J6399" s="0" t="n">
        <f aca="false">E6399</f>
        <v>1</v>
      </c>
      <c r="K6399" s="0" t="n">
        <f aca="false">F6399</f>
        <v>0.5</v>
      </c>
      <c r="L6399" s="0" t="n">
        <f aca="false">G6399</f>
        <v>1</v>
      </c>
      <c r="M6399" s="0" t="n">
        <f aca="false">H6399</f>
        <v>0</v>
      </c>
      <c r="N6399" s="0" t="n">
        <f aca="false">E6399*F6399</f>
        <v>0.5</v>
      </c>
      <c r="O6399" s="0" t="n">
        <f aca="false">E6399*G6399</f>
        <v>1</v>
      </c>
      <c r="P6399" s="0" t="n">
        <f aca="false">E6399*H6399</f>
        <v>0</v>
      </c>
      <c r="Q6399" s="0" t="n">
        <f aca="false">F6399*G6399</f>
        <v>0.5</v>
      </c>
      <c r="R6399" s="0" t="n">
        <f aca="false">F6399*H6399</f>
        <v>0</v>
      </c>
      <c r="S6399" s="0" t="n">
        <f aca="false">G6399*H6399</f>
        <v>0</v>
      </c>
      <c r="T6399" s="0" t="n">
        <f aca="false">E6399*E6399</f>
        <v>1</v>
      </c>
      <c r="U6399" s="0" t="n">
        <f aca="false">F6399*F6399</f>
        <v>0.25</v>
      </c>
      <c r="V6399" s="0" t="n">
        <f aca="false">G6399*G6399</f>
        <v>1</v>
      </c>
      <c r="W6399" s="0" t="n">
        <f aca="false">H6399*H6399</f>
        <v>0</v>
      </c>
      <c r="X6399" s="0" t="n">
        <f aca="false">SUMPRODUCT(I6399:W6399,_XtX!$B$96:$P$96)</f>
        <v>48.1022295321638</v>
      </c>
      <c r="Y6399" s="0" t="n">
        <f aca="false">SUMPRODUCT(MMULT(I6399:W6399,_XtX!$B$78:$P$92),I6399:W6399)</f>
        <v>0.650767543859649</v>
      </c>
      <c r="Z6399" s="0" t="n">
        <f aca="false">04_回帰ANOVA!$K$19*04_回帰ANOVA!$K$14*SQRT(1+Y6399)</f>
        <v>1.67471670935165</v>
      </c>
      <c r="AA6399" s="0" t="n">
        <f aca="false">X6399-Z6399</f>
        <v>46.4275128228121</v>
      </c>
      <c r="AB6399" s="0" t="n">
        <f aca="false">X6399+Z6399</f>
        <v>49.7769462415154</v>
      </c>
      <c r="AC6399" s="54" t="b">
        <f aca="false">AND(E6399&gt;=01_因子設定!$L$5-0.000000001,E6399&lt;=01_因子設定!$M$5+0.000000001,F6399&gt;=01_因子設定!$L$6-0.000000001,F6399&lt;=01_因子設定!$M$6+0.000000001,G6399&gt;=01_因子設定!$L$7-0.000000001,G6399&lt;=01_因子設定!$M$7+0.000000001,H6399&gt;=01_因子設定!$L$8-0.000000001,H6399&lt;=01_因子設定!$M$8+0.000000001,IF(01_因子設定!$B$20="Box-Behnken",E6399^2+F6399^2+G6399^2+H6399^2&lt;=2+0.000000001,TRUE()))</f>
        <v>1</v>
      </c>
      <c r="AD6399" s="55" t="n">
        <f aca="false">IF(AC6399,IF(01_因子設定!$B$13="最大化",AA6399-01_因子設定!$B$14,IF(01_因子設定!$B$13="最小化",01_因子設定!$B$15-AB6399,MIN(AA6399-01_因子設定!$B$14,01_因子設定!$B$15-AB6399))),-1E+030)</f>
        <v>-0.072487177187881</v>
      </c>
      <c r="AE6399" s="55" t="n">
        <f aca="false">IF(AC6399,IF(01_因子設定!$B$13="最大化",X6399,IF(01_因子設定!$B$13="最小化",-X6399,-ABS(X6399-01_因子設定!$B$16))),-1E+030)</f>
        <v>48.1022295321638</v>
      </c>
      <c r="AF6399" s="55" t="n">
        <f aca="false">AD6399+ROW()*0.000000001</f>
        <v>-0.072480778187881</v>
      </c>
      <c r="AG6399" s="55" t="n">
        <f aca="false">AE6399+ROW()*0.000000001</f>
        <v>48.1022359311638</v>
      </c>
    </row>
    <row r="6400" customFormat="false" ht="15" hidden="false" customHeight="false" outlineLevel="0" collapsed="false">
      <c r="A6400" s="0" t="n">
        <v>8</v>
      </c>
      <c r="B6400" s="0" t="n">
        <v>6</v>
      </c>
      <c r="C6400" s="0" t="n">
        <v>8</v>
      </c>
      <c r="D6400" s="0" t="n">
        <v>5</v>
      </c>
      <c r="E6400" s="0" t="n">
        <f aca="false">-1+A6400*0.25</f>
        <v>1</v>
      </c>
      <c r="F6400" s="0" t="n">
        <f aca="false">-1+B6400*0.25</f>
        <v>0.5</v>
      </c>
      <c r="G6400" s="0" t="n">
        <f aca="false">-1+C6400*0.25</f>
        <v>1</v>
      </c>
      <c r="H6400" s="0" t="n">
        <f aca="false">-1+D6400*0.25</f>
        <v>0.25</v>
      </c>
      <c r="I6400" s="0" t="n">
        <f aca="false">1</f>
        <v>1</v>
      </c>
      <c r="J6400" s="0" t="n">
        <f aca="false">E6400</f>
        <v>1</v>
      </c>
      <c r="K6400" s="0" t="n">
        <f aca="false">F6400</f>
        <v>0.5</v>
      </c>
      <c r="L6400" s="0" t="n">
        <f aca="false">G6400</f>
        <v>1</v>
      </c>
      <c r="M6400" s="0" t="n">
        <f aca="false">H6400</f>
        <v>0.25</v>
      </c>
      <c r="N6400" s="0" t="n">
        <f aca="false">E6400*F6400</f>
        <v>0.5</v>
      </c>
      <c r="O6400" s="0" t="n">
        <f aca="false">E6400*G6400</f>
        <v>1</v>
      </c>
      <c r="P6400" s="0" t="n">
        <f aca="false">E6400*H6400</f>
        <v>0.25</v>
      </c>
      <c r="Q6400" s="0" t="n">
        <f aca="false">F6400*G6400</f>
        <v>0.5</v>
      </c>
      <c r="R6400" s="0" t="n">
        <f aca="false">F6400*H6400</f>
        <v>0.125</v>
      </c>
      <c r="S6400" s="0" t="n">
        <f aca="false">G6400*H6400</f>
        <v>0.25</v>
      </c>
      <c r="T6400" s="0" t="n">
        <f aca="false">E6400*E6400</f>
        <v>1</v>
      </c>
      <c r="U6400" s="0" t="n">
        <f aca="false">F6400*F6400</f>
        <v>0.25</v>
      </c>
      <c r="V6400" s="0" t="n">
        <f aca="false">G6400*G6400</f>
        <v>1</v>
      </c>
      <c r="W6400" s="0" t="n">
        <f aca="false">H6400*H6400</f>
        <v>0.0625</v>
      </c>
      <c r="X6400" s="0" t="n">
        <f aca="false">SUMPRODUCT(I6400:W6400,_XtX!$B$96:$P$96)</f>
        <v>48.2562774122807</v>
      </c>
      <c r="Y6400" s="0" t="n">
        <f aca="false">SUMPRODUCT(MMULT(I6400:W6400,_XtX!$B$78:$P$92),I6400:W6400)</f>
        <v>0.629174661915205</v>
      </c>
      <c r="Z6400" s="0" t="n">
        <f aca="false">04_回帰ANOVA!$K$19*04_回帰ANOVA!$K$14*SQRT(1+Y6400)</f>
        <v>1.66372758058297</v>
      </c>
      <c r="AA6400" s="0" t="n">
        <f aca="false">X6400-Z6400</f>
        <v>46.5925498316978</v>
      </c>
      <c r="AB6400" s="0" t="n">
        <f aca="false">X6400+Z6400</f>
        <v>49.9200049928637</v>
      </c>
      <c r="AC6400" s="54" t="b">
        <f aca="false">AND(E6400&gt;=01_因子設定!$L$5-0.000000001,E6400&lt;=01_因子設定!$M$5+0.000000001,F6400&gt;=01_因子設定!$L$6-0.000000001,F6400&lt;=01_因子設定!$M$6+0.000000001,G6400&gt;=01_因子設定!$L$7-0.000000001,G6400&lt;=01_因子設定!$M$7+0.000000001,H6400&gt;=01_因子設定!$L$8-0.000000001,H6400&lt;=01_因子設定!$M$8+0.000000001,IF(01_因子設定!$B$20="Box-Behnken",E6400^2+F6400^2+G6400^2+H6400^2&lt;=2+0.000000001,TRUE()))</f>
        <v>1</v>
      </c>
      <c r="AD6400" s="55" t="n">
        <f aca="false">IF(AC6400,IF(01_因子設定!$B$13="最大化",AA6400-01_因子設定!$B$14,IF(01_因子設定!$B$13="最小化",01_因子設定!$B$15-AB6400,MIN(AA6400-01_因子設定!$B$14,01_因子設定!$B$15-AB6400))),-1E+030)</f>
        <v>0.0925498316977595</v>
      </c>
      <c r="AE6400" s="55" t="n">
        <f aca="false">IF(AC6400,IF(01_因子設定!$B$13="最大化",X6400,IF(01_因子設定!$B$13="最小化",-X6400,-ABS(X6400-01_因子設定!$B$16))),-1E+030)</f>
        <v>48.2562774122807</v>
      </c>
      <c r="AF6400" s="55" t="n">
        <f aca="false">AD6400+ROW()*0.000000001</f>
        <v>0.0925562316977596</v>
      </c>
      <c r="AG6400" s="55" t="n">
        <f aca="false">AE6400+ROW()*0.000000001</f>
        <v>48.2562838122807</v>
      </c>
    </row>
    <row r="6401" customFormat="false" ht="15" hidden="false" customHeight="false" outlineLevel="0" collapsed="false">
      <c r="A6401" s="0" t="n">
        <v>8</v>
      </c>
      <c r="B6401" s="0" t="n">
        <v>6</v>
      </c>
      <c r="C6401" s="0" t="n">
        <v>8</v>
      </c>
      <c r="D6401" s="0" t="n">
        <v>6</v>
      </c>
      <c r="E6401" s="0" t="n">
        <f aca="false">-1+A6401*0.25</f>
        <v>1</v>
      </c>
      <c r="F6401" s="0" t="n">
        <f aca="false">-1+B6401*0.25</f>
        <v>0.5</v>
      </c>
      <c r="G6401" s="0" t="n">
        <f aca="false">-1+C6401*0.25</f>
        <v>1</v>
      </c>
      <c r="H6401" s="0" t="n">
        <f aca="false">-1+D6401*0.25</f>
        <v>0.5</v>
      </c>
      <c r="I6401" s="0" t="n">
        <f aca="false">1</f>
        <v>1</v>
      </c>
      <c r="J6401" s="0" t="n">
        <f aca="false">E6401</f>
        <v>1</v>
      </c>
      <c r="K6401" s="0" t="n">
        <f aca="false">F6401</f>
        <v>0.5</v>
      </c>
      <c r="L6401" s="0" t="n">
        <f aca="false">G6401</f>
        <v>1</v>
      </c>
      <c r="M6401" s="0" t="n">
        <f aca="false">H6401</f>
        <v>0.5</v>
      </c>
      <c r="N6401" s="0" t="n">
        <f aca="false">E6401*F6401</f>
        <v>0.5</v>
      </c>
      <c r="O6401" s="0" t="n">
        <f aca="false">E6401*G6401</f>
        <v>1</v>
      </c>
      <c r="P6401" s="0" t="n">
        <f aca="false">E6401*H6401</f>
        <v>0.5</v>
      </c>
      <c r="Q6401" s="0" t="n">
        <f aca="false">F6401*G6401</f>
        <v>0.5</v>
      </c>
      <c r="R6401" s="0" t="n">
        <f aca="false">F6401*H6401</f>
        <v>0.25</v>
      </c>
      <c r="S6401" s="0" t="n">
        <f aca="false">G6401*H6401</f>
        <v>0.5</v>
      </c>
      <c r="T6401" s="0" t="n">
        <f aca="false">E6401*E6401</f>
        <v>1</v>
      </c>
      <c r="U6401" s="0" t="n">
        <f aca="false">F6401*F6401</f>
        <v>0.25</v>
      </c>
      <c r="V6401" s="0" t="n">
        <f aca="false">G6401*G6401</f>
        <v>1</v>
      </c>
      <c r="W6401" s="0" t="n">
        <f aca="false">H6401*H6401</f>
        <v>0.25</v>
      </c>
      <c r="X6401" s="0" t="n">
        <f aca="false">SUMPRODUCT(I6401:W6401,_XtX!$B$96:$P$96)</f>
        <v>48.3625182748538</v>
      </c>
      <c r="Y6401" s="0" t="n">
        <f aca="false">SUMPRODUCT(MMULT(I6401:W6401,_XtX!$B$78:$P$92),I6401:W6401)</f>
        <v>0.582488121345029</v>
      </c>
      <c r="Z6401" s="0" t="n">
        <f aca="false">04_回帰ANOVA!$K$19*04_回帰ANOVA!$K$14*SQRT(1+Y6401)</f>
        <v>1.63971595338287</v>
      </c>
      <c r="AA6401" s="0" t="n">
        <f aca="false">X6401-Z6401</f>
        <v>46.722802321471</v>
      </c>
      <c r="AB6401" s="0" t="n">
        <f aca="false">X6401+Z6401</f>
        <v>50.0022342282367</v>
      </c>
      <c r="AC6401" s="54" t="b">
        <f aca="false">AND(E6401&gt;=01_因子設定!$L$5-0.000000001,E6401&lt;=01_因子設定!$M$5+0.000000001,F6401&gt;=01_因子設定!$L$6-0.000000001,F6401&lt;=01_因子設定!$M$6+0.000000001,G6401&gt;=01_因子設定!$L$7-0.000000001,G6401&lt;=01_因子設定!$M$7+0.000000001,H6401&gt;=01_因子設定!$L$8-0.000000001,H6401&lt;=01_因子設定!$M$8+0.000000001,IF(01_因子設定!$B$20="Box-Behnken",E6401^2+F6401^2+G6401^2+H6401^2&lt;=2+0.000000001,TRUE()))</f>
        <v>1</v>
      </c>
      <c r="AD6401" s="55" t="n">
        <f aca="false">IF(AC6401,IF(01_因子設定!$B$13="最大化",AA6401-01_因子設定!$B$14,IF(01_因子設定!$B$13="最小化",01_因子設定!$B$15-AB6401,MIN(AA6401-01_因子設定!$B$14,01_因子設定!$B$15-AB6401))),-1E+030)</f>
        <v>0.222802321470972</v>
      </c>
      <c r="AE6401" s="55" t="n">
        <f aca="false">IF(AC6401,IF(01_因子設定!$B$13="最大化",X6401,IF(01_因子設定!$B$13="最小化",-X6401,-ABS(X6401-01_因子設定!$B$16))),-1E+030)</f>
        <v>48.3625182748538</v>
      </c>
      <c r="AF6401" s="55" t="n">
        <f aca="false">AD6401+ROW()*0.000000001</f>
        <v>0.222808722470972</v>
      </c>
      <c r="AG6401" s="55" t="n">
        <f aca="false">AE6401+ROW()*0.000000001</f>
        <v>48.3625246758538</v>
      </c>
    </row>
    <row r="6402" customFormat="false" ht="15" hidden="false" customHeight="false" outlineLevel="0" collapsed="false">
      <c r="A6402" s="0" t="n">
        <v>8</v>
      </c>
      <c r="B6402" s="0" t="n">
        <v>6</v>
      </c>
      <c r="C6402" s="0" t="n">
        <v>8</v>
      </c>
      <c r="D6402" s="0" t="n">
        <v>7</v>
      </c>
      <c r="E6402" s="0" t="n">
        <f aca="false">-1+A6402*0.25</f>
        <v>1</v>
      </c>
      <c r="F6402" s="0" t="n">
        <f aca="false">-1+B6402*0.25</f>
        <v>0.5</v>
      </c>
      <c r="G6402" s="0" t="n">
        <f aca="false">-1+C6402*0.25</f>
        <v>1</v>
      </c>
      <c r="H6402" s="0" t="n">
        <f aca="false">-1+D6402*0.25</f>
        <v>0.75</v>
      </c>
      <c r="I6402" s="0" t="n">
        <f aca="false">1</f>
        <v>1</v>
      </c>
      <c r="J6402" s="0" t="n">
        <f aca="false">E6402</f>
        <v>1</v>
      </c>
      <c r="K6402" s="0" t="n">
        <f aca="false">F6402</f>
        <v>0.5</v>
      </c>
      <c r="L6402" s="0" t="n">
        <f aca="false">G6402</f>
        <v>1</v>
      </c>
      <c r="M6402" s="0" t="n">
        <f aca="false">H6402</f>
        <v>0.75</v>
      </c>
      <c r="N6402" s="0" t="n">
        <f aca="false">E6402*F6402</f>
        <v>0.5</v>
      </c>
      <c r="O6402" s="0" t="n">
        <f aca="false">E6402*G6402</f>
        <v>1</v>
      </c>
      <c r="P6402" s="0" t="n">
        <f aca="false">E6402*H6402</f>
        <v>0.75</v>
      </c>
      <c r="Q6402" s="0" t="n">
        <f aca="false">F6402*G6402</f>
        <v>0.5</v>
      </c>
      <c r="R6402" s="0" t="n">
        <f aca="false">F6402*H6402</f>
        <v>0.375</v>
      </c>
      <c r="S6402" s="0" t="n">
        <f aca="false">G6402*H6402</f>
        <v>0.75</v>
      </c>
      <c r="T6402" s="0" t="n">
        <f aca="false">E6402*E6402</f>
        <v>1</v>
      </c>
      <c r="U6402" s="0" t="n">
        <f aca="false">F6402*F6402</f>
        <v>0.25</v>
      </c>
      <c r="V6402" s="0" t="n">
        <f aca="false">G6402*G6402</f>
        <v>1</v>
      </c>
      <c r="W6402" s="0" t="n">
        <f aca="false">H6402*H6402</f>
        <v>0.5625</v>
      </c>
      <c r="X6402" s="0" t="n">
        <f aca="false">SUMPRODUCT(I6402:W6402,_XtX!$B$96:$P$96)</f>
        <v>48.4209521198831</v>
      </c>
      <c r="Y6402" s="0" t="n">
        <f aca="false">SUMPRODUCT(MMULT(I6402:W6402,_XtX!$B$78:$P$92),I6402:W6402)</f>
        <v>0.564984237938597</v>
      </c>
      <c r="Z6402" s="0" t="n">
        <f aca="false">04_回帰ANOVA!$K$19*04_回帰ANOVA!$K$14*SQRT(1+Y6402)</f>
        <v>1.63062229734503</v>
      </c>
      <c r="AA6402" s="0" t="n">
        <f aca="false">X6402-Z6402</f>
        <v>46.7903298225381</v>
      </c>
      <c r="AB6402" s="0" t="n">
        <f aca="false">X6402+Z6402</f>
        <v>50.0515744172281</v>
      </c>
      <c r="AC6402" s="54" t="b">
        <f aca="false">AND(E6402&gt;=01_因子設定!$L$5-0.000000001,E6402&lt;=01_因子設定!$M$5+0.000000001,F6402&gt;=01_因子設定!$L$6-0.000000001,F6402&lt;=01_因子設定!$M$6+0.000000001,G6402&gt;=01_因子設定!$L$7-0.000000001,G6402&lt;=01_因子設定!$M$7+0.000000001,H6402&gt;=01_因子設定!$L$8-0.000000001,H6402&lt;=01_因子設定!$M$8+0.000000001,IF(01_因子設定!$B$20="Box-Behnken",E6402^2+F6402^2+G6402^2+H6402^2&lt;=2+0.000000001,TRUE()))</f>
        <v>1</v>
      </c>
      <c r="AD6402" s="55" t="n">
        <f aca="false">IF(AC6402,IF(01_因子設定!$B$13="最大化",AA6402-01_因子設定!$B$14,IF(01_因子設定!$B$13="最小化",01_因子設定!$B$15-AB6402,MIN(AA6402-01_因子設定!$B$14,01_因子設定!$B$15-AB6402))),-1E+030)</f>
        <v>0.290329822538055</v>
      </c>
      <c r="AE6402" s="55" t="n">
        <f aca="false">IF(AC6402,IF(01_因子設定!$B$13="最大化",X6402,IF(01_因子設定!$B$13="最小化",-X6402,-ABS(X6402-01_因子設定!$B$16))),-1E+030)</f>
        <v>48.4209521198831</v>
      </c>
      <c r="AF6402" s="55" t="n">
        <f aca="false">AD6402+ROW()*0.000000001</f>
        <v>0.290336224538055</v>
      </c>
      <c r="AG6402" s="55" t="n">
        <f aca="false">AE6402+ROW()*0.000000001</f>
        <v>48.4209585218831</v>
      </c>
    </row>
    <row r="6403" customFormat="false" ht="15" hidden="false" customHeight="false" outlineLevel="0" collapsed="false">
      <c r="A6403" s="0" t="n">
        <v>8</v>
      </c>
      <c r="B6403" s="0" t="n">
        <v>6</v>
      </c>
      <c r="C6403" s="0" t="n">
        <v>8</v>
      </c>
      <c r="D6403" s="0" t="n">
        <v>8</v>
      </c>
      <c r="E6403" s="0" t="n">
        <f aca="false">-1+A6403*0.25</f>
        <v>1</v>
      </c>
      <c r="F6403" s="0" t="n">
        <f aca="false">-1+B6403*0.25</f>
        <v>0.5</v>
      </c>
      <c r="G6403" s="0" t="n">
        <f aca="false">-1+C6403*0.25</f>
        <v>1</v>
      </c>
      <c r="H6403" s="0" t="n">
        <f aca="false">-1+D6403*0.25</f>
        <v>1</v>
      </c>
      <c r="I6403" s="0" t="n">
        <f aca="false">1</f>
        <v>1</v>
      </c>
      <c r="J6403" s="0" t="n">
        <f aca="false">E6403</f>
        <v>1</v>
      </c>
      <c r="K6403" s="0" t="n">
        <f aca="false">F6403</f>
        <v>0.5</v>
      </c>
      <c r="L6403" s="0" t="n">
        <f aca="false">G6403</f>
        <v>1</v>
      </c>
      <c r="M6403" s="0" t="n">
        <f aca="false">H6403</f>
        <v>1</v>
      </c>
      <c r="N6403" s="0" t="n">
        <f aca="false">E6403*F6403</f>
        <v>0.5</v>
      </c>
      <c r="O6403" s="0" t="n">
        <f aca="false">E6403*G6403</f>
        <v>1</v>
      </c>
      <c r="P6403" s="0" t="n">
        <f aca="false">E6403*H6403</f>
        <v>1</v>
      </c>
      <c r="Q6403" s="0" t="n">
        <f aca="false">F6403*G6403</f>
        <v>0.5</v>
      </c>
      <c r="R6403" s="0" t="n">
        <f aca="false">F6403*H6403</f>
        <v>0.5</v>
      </c>
      <c r="S6403" s="0" t="n">
        <f aca="false">G6403*H6403</f>
        <v>1</v>
      </c>
      <c r="T6403" s="0" t="n">
        <f aca="false">E6403*E6403</f>
        <v>1</v>
      </c>
      <c r="U6403" s="0" t="n">
        <f aca="false">F6403*F6403</f>
        <v>0.25</v>
      </c>
      <c r="V6403" s="0" t="n">
        <f aca="false">G6403*G6403</f>
        <v>1</v>
      </c>
      <c r="W6403" s="0" t="n">
        <f aca="false">H6403*H6403</f>
        <v>1</v>
      </c>
      <c r="X6403" s="0" t="n">
        <f aca="false">SUMPRODUCT(I6403:W6403,_XtX!$B$96:$P$96)</f>
        <v>48.4315789473685</v>
      </c>
      <c r="Y6403" s="0" t="n">
        <f aca="false">SUMPRODUCT(MMULT(I6403:W6403,_XtX!$B$78:$P$92),I6403:W6403)</f>
        <v>0.667123538011696</v>
      </c>
      <c r="Z6403" s="0" t="n">
        <f aca="false">04_回帰ANOVA!$K$19*04_回帰ANOVA!$K$14*SQRT(1+Y6403)</f>
        <v>1.68299290213005</v>
      </c>
      <c r="AA6403" s="0" t="n">
        <f aca="false">X6403-Z6403</f>
        <v>46.7485860452384</v>
      </c>
      <c r="AB6403" s="0" t="n">
        <f aca="false">X6403+Z6403</f>
        <v>50.1145718494985</v>
      </c>
      <c r="AC6403" s="54" t="b">
        <f aca="false">AND(E6403&gt;=01_因子設定!$L$5-0.000000001,E6403&lt;=01_因子設定!$M$5+0.000000001,F6403&gt;=01_因子設定!$L$6-0.000000001,F6403&lt;=01_因子設定!$M$6+0.000000001,G6403&gt;=01_因子設定!$L$7-0.000000001,G6403&lt;=01_因子設定!$M$7+0.000000001,H6403&gt;=01_因子設定!$L$8-0.000000001,H6403&lt;=01_因子設定!$M$8+0.000000001,IF(01_因子設定!$B$20="Box-Behnken",E6403^2+F6403^2+G6403^2+H6403^2&lt;=2+0.000000001,TRUE()))</f>
        <v>1</v>
      </c>
      <c r="AD6403" s="55" t="n">
        <f aca="false">IF(AC6403,IF(01_因子設定!$B$13="最大化",AA6403-01_因子設定!$B$14,IF(01_因子設定!$B$13="最小化",01_因子設定!$B$15-AB6403,MIN(AA6403-01_因子設定!$B$14,01_因子設定!$B$15-AB6403))),-1E+030)</f>
        <v>0.248586045238433</v>
      </c>
      <c r="AE6403" s="55" t="n">
        <f aca="false">IF(AC6403,IF(01_因子設定!$B$13="最大化",X6403,IF(01_因子設定!$B$13="最小化",-X6403,-ABS(X6403-01_因子設定!$B$16))),-1E+030)</f>
        <v>48.4315789473685</v>
      </c>
      <c r="AF6403" s="55" t="n">
        <f aca="false">AD6403+ROW()*0.000000001</f>
        <v>0.248592448238433</v>
      </c>
      <c r="AG6403" s="55" t="n">
        <f aca="false">AE6403+ROW()*0.000000001</f>
        <v>48.4315853503685</v>
      </c>
    </row>
    <row r="6404" customFormat="false" ht="15" hidden="false" customHeight="false" outlineLevel="0" collapsed="false">
      <c r="A6404" s="0" t="n">
        <v>8</v>
      </c>
      <c r="B6404" s="0" t="n">
        <v>7</v>
      </c>
      <c r="C6404" s="0" t="n">
        <v>0</v>
      </c>
      <c r="D6404" s="0" t="n">
        <v>0</v>
      </c>
      <c r="E6404" s="0" t="n">
        <f aca="false">-1+A6404*0.25</f>
        <v>1</v>
      </c>
      <c r="F6404" s="0" t="n">
        <f aca="false">-1+B6404*0.25</f>
        <v>0.75</v>
      </c>
      <c r="G6404" s="0" t="n">
        <f aca="false">-1+C6404*0.25</f>
        <v>-1</v>
      </c>
      <c r="H6404" s="0" t="n">
        <f aca="false">-1+D6404*0.25</f>
        <v>-1</v>
      </c>
      <c r="I6404" s="0" t="n">
        <f aca="false">1</f>
        <v>1</v>
      </c>
      <c r="J6404" s="0" t="n">
        <f aca="false">E6404</f>
        <v>1</v>
      </c>
      <c r="K6404" s="0" t="n">
        <f aca="false">F6404</f>
        <v>0.75</v>
      </c>
      <c r="L6404" s="0" t="n">
        <f aca="false">G6404</f>
        <v>-1</v>
      </c>
      <c r="M6404" s="0" t="n">
        <f aca="false">H6404</f>
        <v>-1</v>
      </c>
      <c r="N6404" s="0" t="n">
        <f aca="false">E6404*F6404</f>
        <v>0.75</v>
      </c>
      <c r="O6404" s="0" t="n">
        <f aca="false">E6404*G6404</f>
        <v>-1</v>
      </c>
      <c r="P6404" s="0" t="n">
        <f aca="false">E6404*H6404</f>
        <v>-1</v>
      </c>
      <c r="Q6404" s="0" t="n">
        <f aca="false">F6404*G6404</f>
        <v>-0.75</v>
      </c>
      <c r="R6404" s="0" t="n">
        <f aca="false">F6404*H6404</f>
        <v>-0.75</v>
      </c>
      <c r="S6404" s="0" t="n">
        <f aca="false">G6404*H6404</f>
        <v>1</v>
      </c>
      <c r="T6404" s="0" t="n">
        <f aca="false">E6404*E6404</f>
        <v>1</v>
      </c>
      <c r="U6404" s="0" t="n">
        <f aca="false">F6404*F6404</f>
        <v>0.5625</v>
      </c>
      <c r="V6404" s="0" t="n">
        <f aca="false">G6404*G6404</f>
        <v>1</v>
      </c>
      <c r="W6404" s="0" t="n">
        <f aca="false">H6404*H6404</f>
        <v>1</v>
      </c>
      <c r="X6404" s="0" t="n">
        <f aca="false">SUMPRODUCT(I6404:W6404,_XtX!$B$96:$P$96)</f>
        <v>46.5766447368422</v>
      </c>
      <c r="Y6404" s="0" t="n">
        <f aca="false">SUMPRODUCT(MMULT(I6404:W6404,_XtX!$B$78:$P$92),I6404:W6404)</f>
        <v>0.610814144736842</v>
      </c>
      <c r="Z6404" s="0" t="n">
        <f aca="false">04_回帰ANOVA!$K$19*04_回帰ANOVA!$K$14*SQRT(1+Y6404)</f>
        <v>1.6543260558361</v>
      </c>
      <c r="AA6404" s="0" t="n">
        <f aca="false">X6404-Z6404</f>
        <v>44.9223186810061</v>
      </c>
      <c r="AB6404" s="0" t="n">
        <f aca="false">X6404+Z6404</f>
        <v>48.2309707926783</v>
      </c>
      <c r="AC6404" s="54" t="b">
        <f aca="false">AND(E6404&gt;=01_因子設定!$L$5-0.000000001,E6404&lt;=01_因子設定!$M$5+0.000000001,F6404&gt;=01_因子設定!$L$6-0.000000001,F6404&lt;=01_因子設定!$M$6+0.000000001,G6404&gt;=01_因子設定!$L$7-0.000000001,G6404&lt;=01_因子設定!$M$7+0.000000001,H6404&gt;=01_因子設定!$L$8-0.000000001,H6404&lt;=01_因子設定!$M$8+0.000000001,IF(01_因子設定!$B$20="Box-Behnken",E6404^2+F6404^2+G6404^2+H6404^2&lt;=2+0.000000001,TRUE()))</f>
        <v>1</v>
      </c>
      <c r="AD6404" s="55" t="n">
        <f aca="false">IF(AC6404,IF(01_因子設定!$B$13="最大化",AA6404-01_因子設定!$B$14,IF(01_因子設定!$B$13="最小化",01_因子設定!$B$15-AB6404,MIN(AA6404-01_因子設定!$B$14,01_因子設定!$B$15-AB6404))),-1E+030)</f>
        <v>-1.57768131899392</v>
      </c>
      <c r="AE6404" s="55" t="n">
        <f aca="false">IF(AC6404,IF(01_因子設定!$B$13="最大化",X6404,IF(01_因子設定!$B$13="最小化",-X6404,-ABS(X6404-01_因子設定!$B$16))),-1E+030)</f>
        <v>46.5766447368422</v>
      </c>
      <c r="AF6404" s="55" t="n">
        <f aca="false">AD6404+ROW()*0.000000001</f>
        <v>-1.57767491499392</v>
      </c>
      <c r="AG6404" s="55" t="n">
        <f aca="false">AE6404+ROW()*0.000000001</f>
        <v>46.5766511408422</v>
      </c>
    </row>
    <row r="6405" customFormat="false" ht="15" hidden="false" customHeight="false" outlineLevel="0" collapsed="false">
      <c r="A6405" s="0" t="n">
        <v>8</v>
      </c>
      <c r="B6405" s="0" t="n">
        <v>7</v>
      </c>
      <c r="C6405" s="0" t="n">
        <v>0</v>
      </c>
      <c r="D6405" s="0" t="n">
        <v>1</v>
      </c>
      <c r="E6405" s="0" t="n">
        <f aca="false">-1+A6405*0.25</f>
        <v>1</v>
      </c>
      <c r="F6405" s="0" t="n">
        <f aca="false">-1+B6405*0.25</f>
        <v>0.75</v>
      </c>
      <c r="G6405" s="0" t="n">
        <f aca="false">-1+C6405*0.25</f>
        <v>-1</v>
      </c>
      <c r="H6405" s="0" t="n">
        <f aca="false">-1+D6405*0.25</f>
        <v>-0.75</v>
      </c>
      <c r="I6405" s="0" t="n">
        <f aca="false">1</f>
        <v>1</v>
      </c>
      <c r="J6405" s="0" t="n">
        <f aca="false">E6405</f>
        <v>1</v>
      </c>
      <c r="K6405" s="0" t="n">
        <f aca="false">F6405</f>
        <v>0.75</v>
      </c>
      <c r="L6405" s="0" t="n">
        <f aca="false">G6405</f>
        <v>-1</v>
      </c>
      <c r="M6405" s="0" t="n">
        <f aca="false">H6405</f>
        <v>-0.75</v>
      </c>
      <c r="N6405" s="0" t="n">
        <f aca="false">E6405*F6405</f>
        <v>0.75</v>
      </c>
      <c r="O6405" s="0" t="n">
        <f aca="false">E6405*G6405</f>
        <v>-1</v>
      </c>
      <c r="P6405" s="0" t="n">
        <f aca="false">E6405*H6405</f>
        <v>-0.75</v>
      </c>
      <c r="Q6405" s="0" t="n">
        <f aca="false">F6405*G6405</f>
        <v>-0.75</v>
      </c>
      <c r="R6405" s="0" t="n">
        <f aca="false">F6405*H6405</f>
        <v>-0.5625</v>
      </c>
      <c r="S6405" s="0" t="n">
        <f aca="false">G6405*H6405</f>
        <v>0.75</v>
      </c>
      <c r="T6405" s="0" t="n">
        <f aca="false">E6405*E6405</f>
        <v>1</v>
      </c>
      <c r="U6405" s="0" t="n">
        <f aca="false">F6405*F6405</f>
        <v>0.5625</v>
      </c>
      <c r="V6405" s="0" t="n">
        <f aca="false">G6405*G6405</f>
        <v>1</v>
      </c>
      <c r="W6405" s="0" t="n">
        <f aca="false">H6405*H6405</f>
        <v>0.5625</v>
      </c>
      <c r="X6405" s="0" t="n">
        <f aca="false">SUMPRODUCT(I6405:W6405,_XtX!$B$96:$P$96)</f>
        <v>46.7648894371346</v>
      </c>
      <c r="Y6405" s="0" t="n">
        <f aca="false">SUMPRODUCT(MMULT(I6405:W6405,_XtX!$B$78:$P$92),I6405:W6405)</f>
        <v>0.531311392086988</v>
      </c>
      <c r="Z6405" s="0" t="n">
        <f aca="false">04_回帰ANOVA!$K$19*04_回帰ANOVA!$K$14*SQRT(1+Y6405)</f>
        <v>1.61298433431428</v>
      </c>
      <c r="AA6405" s="0" t="n">
        <f aca="false">X6405-Z6405</f>
        <v>45.1519051028203</v>
      </c>
      <c r="AB6405" s="0" t="n">
        <f aca="false">X6405+Z6405</f>
        <v>48.3778737714488</v>
      </c>
      <c r="AC6405" s="54" t="b">
        <f aca="false">AND(E6405&gt;=01_因子設定!$L$5-0.000000001,E6405&lt;=01_因子設定!$M$5+0.000000001,F6405&gt;=01_因子設定!$L$6-0.000000001,F6405&lt;=01_因子設定!$M$6+0.000000001,G6405&gt;=01_因子設定!$L$7-0.000000001,G6405&lt;=01_因子設定!$M$7+0.000000001,H6405&gt;=01_因子設定!$L$8-0.000000001,H6405&lt;=01_因子設定!$M$8+0.000000001,IF(01_因子設定!$B$20="Box-Behnken",E6405^2+F6405^2+G6405^2+H6405^2&lt;=2+0.000000001,TRUE()))</f>
        <v>1</v>
      </c>
      <c r="AD6405" s="55" t="n">
        <f aca="false">IF(AC6405,IF(01_因子設定!$B$13="最大化",AA6405-01_因子設定!$B$14,IF(01_因子設定!$B$13="最小化",01_因子設定!$B$15-AB6405,MIN(AA6405-01_因子設定!$B$14,01_因子設定!$B$15-AB6405))),-1E+030)</f>
        <v>-1.34809489717973</v>
      </c>
      <c r="AE6405" s="55" t="n">
        <f aca="false">IF(AC6405,IF(01_因子設定!$B$13="最大化",X6405,IF(01_因子設定!$B$13="最小化",-X6405,-ABS(X6405-01_因子設定!$B$16))),-1E+030)</f>
        <v>46.7648894371346</v>
      </c>
      <c r="AF6405" s="55" t="n">
        <f aca="false">AD6405+ROW()*0.000000001</f>
        <v>-1.34808849217973</v>
      </c>
      <c r="AG6405" s="55" t="n">
        <f aca="false">AE6405+ROW()*0.000000001</f>
        <v>46.7648958421346</v>
      </c>
    </row>
    <row r="6406" customFormat="false" ht="15" hidden="false" customHeight="false" outlineLevel="0" collapsed="false">
      <c r="A6406" s="0" t="n">
        <v>8</v>
      </c>
      <c r="B6406" s="0" t="n">
        <v>7</v>
      </c>
      <c r="C6406" s="0" t="n">
        <v>0</v>
      </c>
      <c r="D6406" s="0" t="n">
        <v>2</v>
      </c>
      <c r="E6406" s="0" t="n">
        <f aca="false">-1+A6406*0.25</f>
        <v>1</v>
      </c>
      <c r="F6406" s="0" t="n">
        <f aca="false">-1+B6406*0.25</f>
        <v>0.75</v>
      </c>
      <c r="G6406" s="0" t="n">
        <f aca="false">-1+C6406*0.25</f>
        <v>-1</v>
      </c>
      <c r="H6406" s="0" t="n">
        <f aca="false">-1+D6406*0.25</f>
        <v>-0.5</v>
      </c>
      <c r="I6406" s="0" t="n">
        <f aca="false">1</f>
        <v>1</v>
      </c>
      <c r="J6406" s="0" t="n">
        <f aca="false">E6406</f>
        <v>1</v>
      </c>
      <c r="K6406" s="0" t="n">
        <f aca="false">F6406</f>
        <v>0.75</v>
      </c>
      <c r="L6406" s="0" t="n">
        <f aca="false">G6406</f>
        <v>-1</v>
      </c>
      <c r="M6406" s="0" t="n">
        <f aca="false">H6406</f>
        <v>-0.5</v>
      </c>
      <c r="N6406" s="0" t="n">
        <f aca="false">E6406*F6406</f>
        <v>0.75</v>
      </c>
      <c r="O6406" s="0" t="n">
        <f aca="false">E6406*G6406</f>
        <v>-1</v>
      </c>
      <c r="P6406" s="0" t="n">
        <f aca="false">E6406*H6406</f>
        <v>-0.5</v>
      </c>
      <c r="Q6406" s="0" t="n">
        <f aca="false">F6406*G6406</f>
        <v>-0.75</v>
      </c>
      <c r="R6406" s="0" t="n">
        <f aca="false">F6406*H6406</f>
        <v>-0.375</v>
      </c>
      <c r="S6406" s="0" t="n">
        <f aca="false">G6406*H6406</f>
        <v>0.5</v>
      </c>
      <c r="T6406" s="0" t="n">
        <f aca="false">E6406*E6406</f>
        <v>1</v>
      </c>
      <c r="U6406" s="0" t="n">
        <f aca="false">F6406*F6406</f>
        <v>0.5625</v>
      </c>
      <c r="V6406" s="0" t="n">
        <f aca="false">G6406*G6406</f>
        <v>1</v>
      </c>
      <c r="W6406" s="0" t="n">
        <f aca="false">H6406*H6406</f>
        <v>0.25</v>
      </c>
      <c r="X6406" s="0" t="n">
        <f aca="false">SUMPRODUCT(I6406:W6406,_XtX!$B$96:$P$96)</f>
        <v>46.9053271198831</v>
      </c>
      <c r="Y6406" s="0" t="n">
        <f aca="false">SUMPRODUCT(MMULT(I6406:W6406,_XtX!$B$78:$P$92),I6406:W6406)</f>
        <v>0.564984237938597</v>
      </c>
      <c r="Z6406" s="0" t="n">
        <f aca="false">04_回帰ANOVA!$K$19*04_回帰ANOVA!$K$14*SQRT(1+Y6406)</f>
        <v>1.63062229734503</v>
      </c>
      <c r="AA6406" s="0" t="n">
        <f aca="false">X6406-Z6406</f>
        <v>45.2747048225381</v>
      </c>
      <c r="AB6406" s="0" t="n">
        <f aca="false">X6406+Z6406</f>
        <v>48.5359494172281</v>
      </c>
      <c r="AC6406" s="54" t="b">
        <f aca="false">AND(E6406&gt;=01_因子設定!$L$5-0.000000001,E6406&lt;=01_因子設定!$M$5+0.000000001,F6406&gt;=01_因子設定!$L$6-0.000000001,F6406&lt;=01_因子設定!$M$6+0.000000001,G6406&gt;=01_因子設定!$L$7-0.000000001,G6406&lt;=01_因子設定!$M$7+0.000000001,H6406&gt;=01_因子設定!$L$8-0.000000001,H6406&lt;=01_因子設定!$M$8+0.000000001,IF(01_因子設定!$B$20="Box-Behnken",E6406^2+F6406^2+G6406^2+H6406^2&lt;=2+0.000000001,TRUE()))</f>
        <v>1</v>
      </c>
      <c r="AD6406" s="55" t="n">
        <f aca="false">IF(AC6406,IF(01_因子設定!$B$13="最大化",AA6406-01_因子設定!$B$14,IF(01_因子設定!$B$13="最小化",01_因子設定!$B$15-AB6406,MIN(AA6406-01_因子設定!$B$14,01_因子設定!$B$15-AB6406))),-1E+030)</f>
        <v>-1.22529517746195</v>
      </c>
      <c r="AE6406" s="55" t="n">
        <f aca="false">IF(AC6406,IF(01_因子設定!$B$13="最大化",X6406,IF(01_因子設定!$B$13="最小化",-X6406,-ABS(X6406-01_因子設定!$B$16))),-1E+030)</f>
        <v>46.9053271198831</v>
      </c>
      <c r="AF6406" s="55" t="n">
        <f aca="false">AD6406+ROW()*0.000000001</f>
        <v>-1.22528877146195</v>
      </c>
      <c r="AG6406" s="55" t="n">
        <f aca="false">AE6406+ROW()*0.000000001</f>
        <v>46.9053335258831</v>
      </c>
    </row>
    <row r="6407" customFormat="false" ht="15" hidden="false" customHeight="false" outlineLevel="0" collapsed="false">
      <c r="A6407" s="0" t="n">
        <v>8</v>
      </c>
      <c r="B6407" s="0" t="n">
        <v>7</v>
      </c>
      <c r="C6407" s="0" t="n">
        <v>0</v>
      </c>
      <c r="D6407" s="0" t="n">
        <v>3</v>
      </c>
      <c r="E6407" s="0" t="n">
        <f aca="false">-1+A6407*0.25</f>
        <v>1</v>
      </c>
      <c r="F6407" s="0" t="n">
        <f aca="false">-1+B6407*0.25</f>
        <v>0.75</v>
      </c>
      <c r="G6407" s="0" t="n">
        <f aca="false">-1+C6407*0.25</f>
        <v>-1</v>
      </c>
      <c r="H6407" s="0" t="n">
        <f aca="false">-1+D6407*0.25</f>
        <v>-0.25</v>
      </c>
      <c r="I6407" s="0" t="n">
        <f aca="false">1</f>
        <v>1</v>
      </c>
      <c r="J6407" s="0" t="n">
        <f aca="false">E6407</f>
        <v>1</v>
      </c>
      <c r="K6407" s="0" t="n">
        <f aca="false">F6407</f>
        <v>0.75</v>
      </c>
      <c r="L6407" s="0" t="n">
        <f aca="false">G6407</f>
        <v>-1</v>
      </c>
      <c r="M6407" s="0" t="n">
        <f aca="false">H6407</f>
        <v>-0.25</v>
      </c>
      <c r="N6407" s="0" t="n">
        <f aca="false">E6407*F6407</f>
        <v>0.75</v>
      </c>
      <c r="O6407" s="0" t="n">
        <f aca="false">E6407*G6407</f>
        <v>-1</v>
      </c>
      <c r="P6407" s="0" t="n">
        <f aca="false">E6407*H6407</f>
        <v>-0.25</v>
      </c>
      <c r="Q6407" s="0" t="n">
        <f aca="false">F6407*G6407</f>
        <v>-0.75</v>
      </c>
      <c r="R6407" s="0" t="n">
        <f aca="false">F6407*H6407</f>
        <v>-0.1875</v>
      </c>
      <c r="S6407" s="0" t="n">
        <f aca="false">G6407*H6407</f>
        <v>0.25</v>
      </c>
      <c r="T6407" s="0" t="n">
        <f aca="false">E6407*E6407</f>
        <v>1</v>
      </c>
      <c r="U6407" s="0" t="n">
        <f aca="false">F6407*F6407</f>
        <v>0.5625</v>
      </c>
      <c r="V6407" s="0" t="n">
        <f aca="false">G6407*G6407</f>
        <v>1</v>
      </c>
      <c r="W6407" s="0" t="n">
        <f aca="false">H6407*H6407</f>
        <v>0.0625</v>
      </c>
      <c r="X6407" s="0" t="n">
        <f aca="false">SUMPRODUCT(I6407:W6407,_XtX!$B$96:$P$96)</f>
        <v>46.9979577850878</v>
      </c>
      <c r="Y6407" s="0" t="n">
        <f aca="false">SUMPRODUCT(MMULT(I6407:W6407,_XtX!$B$78:$P$92),I6407:W6407)</f>
        <v>0.621372155975877</v>
      </c>
      <c r="Z6407" s="0" t="n">
        <f aca="false">04_回帰ANOVA!$K$19*04_回帰ANOVA!$K$14*SQRT(1+Y6407)</f>
        <v>1.65973880499872</v>
      </c>
      <c r="AA6407" s="0" t="n">
        <f aca="false">X6407-Z6407</f>
        <v>45.338218980089</v>
      </c>
      <c r="AB6407" s="0" t="n">
        <f aca="false">X6407+Z6407</f>
        <v>48.6576965900865</v>
      </c>
      <c r="AC6407" s="54" t="b">
        <f aca="false">AND(E6407&gt;=01_因子設定!$L$5-0.000000001,E6407&lt;=01_因子設定!$M$5+0.000000001,F6407&gt;=01_因子設定!$L$6-0.000000001,F6407&lt;=01_因子設定!$M$6+0.000000001,G6407&gt;=01_因子設定!$L$7-0.000000001,G6407&lt;=01_因子設定!$M$7+0.000000001,H6407&gt;=01_因子設定!$L$8-0.000000001,H6407&lt;=01_因子設定!$M$8+0.000000001,IF(01_因子設定!$B$20="Box-Behnken",E6407^2+F6407^2+G6407^2+H6407^2&lt;=2+0.000000001,TRUE()))</f>
        <v>1</v>
      </c>
      <c r="AD6407" s="55" t="n">
        <f aca="false">IF(AC6407,IF(01_因子設定!$B$13="最大化",AA6407-01_因子設定!$B$14,IF(01_因子設定!$B$13="最小化",01_因子設定!$B$15-AB6407,MIN(AA6407-01_因子設定!$B$14,01_因子設定!$B$15-AB6407))),-1E+030)</f>
        <v>-1.16178101991097</v>
      </c>
      <c r="AE6407" s="55" t="n">
        <f aca="false">IF(AC6407,IF(01_因子設定!$B$13="最大化",X6407,IF(01_因子設定!$B$13="最小化",-X6407,-ABS(X6407-01_因子設定!$B$16))),-1E+030)</f>
        <v>46.9979577850878</v>
      </c>
      <c r="AF6407" s="55" t="n">
        <f aca="false">AD6407+ROW()*0.000000001</f>
        <v>-1.16177461291097</v>
      </c>
      <c r="AG6407" s="55" t="n">
        <f aca="false">AE6407+ROW()*0.000000001</f>
        <v>46.9979641920878</v>
      </c>
    </row>
    <row r="6408" customFormat="false" ht="15" hidden="false" customHeight="false" outlineLevel="0" collapsed="false">
      <c r="A6408" s="0" t="n">
        <v>8</v>
      </c>
      <c r="B6408" s="0" t="n">
        <v>7</v>
      </c>
      <c r="C6408" s="0" t="n">
        <v>0</v>
      </c>
      <c r="D6408" s="0" t="n">
        <v>4</v>
      </c>
      <c r="E6408" s="0" t="n">
        <f aca="false">-1+A6408*0.25</f>
        <v>1</v>
      </c>
      <c r="F6408" s="0" t="n">
        <f aca="false">-1+B6408*0.25</f>
        <v>0.75</v>
      </c>
      <c r="G6408" s="0" t="n">
        <f aca="false">-1+C6408*0.25</f>
        <v>-1</v>
      </c>
      <c r="H6408" s="0" t="n">
        <f aca="false">-1+D6408*0.25</f>
        <v>0</v>
      </c>
      <c r="I6408" s="0" t="n">
        <f aca="false">1</f>
        <v>1</v>
      </c>
      <c r="J6408" s="0" t="n">
        <f aca="false">E6408</f>
        <v>1</v>
      </c>
      <c r="K6408" s="0" t="n">
        <f aca="false">F6408</f>
        <v>0.75</v>
      </c>
      <c r="L6408" s="0" t="n">
        <f aca="false">G6408</f>
        <v>-1</v>
      </c>
      <c r="M6408" s="0" t="n">
        <f aca="false">H6408</f>
        <v>0</v>
      </c>
      <c r="N6408" s="0" t="n">
        <f aca="false">E6408*F6408</f>
        <v>0.75</v>
      </c>
      <c r="O6408" s="0" t="n">
        <f aca="false">E6408*G6408</f>
        <v>-1</v>
      </c>
      <c r="P6408" s="0" t="n">
        <f aca="false">E6408*H6408</f>
        <v>0</v>
      </c>
      <c r="Q6408" s="0" t="n">
        <f aca="false">F6408*G6408</f>
        <v>-0.75</v>
      </c>
      <c r="R6408" s="0" t="n">
        <f aca="false">F6408*H6408</f>
        <v>0</v>
      </c>
      <c r="S6408" s="0" t="n">
        <f aca="false">G6408*H6408</f>
        <v>-0</v>
      </c>
      <c r="T6408" s="0" t="n">
        <f aca="false">E6408*E6408</f>
        <v>1</v>
      </c>
      <c r="U6408" s="0" t="n">
        <f aca="false">F6408*F6408</f>
        <v>0.5625</v>
      </c>
      <c r="V6408" s="0" t="n">
        <f aca="false">G6408*G6408</f>
        <v>1</v>
      </c>
      <c r="W6408" s="0" t="n">
        <f aca="false">H6408*H6408</f>
        <v>0</v>
      </c>
      <c r="X6408" s="0" t="n">
        <f aca="false">SUMPRODUCT(I6408:W6408,_XtX!$B$96:$P$96)</f>
        <v>47.0427814327486</v>
      </c>
      <c r="Y6408" s="0" t="n">
        <f aca="false">SUMPRODUCT(MMULT(I6408:W6408,_XtX!$B$78:$P$92),I6408:W6408)</f>
        <v>0.646198830409357</v>
      </c>
      <c r="Z6408" s="0" t="n">
        <f aca="false">04_回帰ANOVA!$K$19*04_回帰ANOVA!$K$14*SQRT(1+Y6408)</f>
        <v>1.67239760569756</v>
      </c>
      <c r="AA6408" s="0" t="n">
        <f aca="false">X6408-Z6408</f>
        <v>45.370383827051</v>
      </c>
      <c r="AB6408" s="0" t="n">
        <f aca="false">X6408+Z6408</f>
        <v>48.7151790384461</v>
      </c>
      <c r="AC6408" s="54" t="b">
        <f aca="false">AND(E6408&gt;=01_因子設定!$L$5-0.000000001,E6408&lt;=01_因子設定!$M$5+0.000000001,F6408&gt;=01_因子設定!$L$6-0.000000001,F6408&lt;=01_因子設定!$M$6+0.000000001,G6408&gt;=01_因子設定!$L$7-0.000000001,G6408&lt;=01_因子設定!$M$7+0.000000001,H6408&gt;=01_因子設定!$L$8-0.000000001,H6408&lt;=01_因子設定!$M$8+0.000000001,IF(01_因子設定!$B$20="Box-Behnken",E6408^2+F6408^2+G6408^2+H6408^2&lt;=2+0.000000001,TRUE()))</f>
        <v>1</v>
      </c>
      <c r="AD6408" s="55" t="n">
        <f aca="false">IF(AC6408,IF(01_因子設定!$B$13="最大化",AA6408-01_因子設定!$B$14,IF(01_因子設定!$B$13="最小化",01_因子設定!$B$15-AB6408,MIN(AA6408-01_因子設定!$B$14,01_因子設定!$B$15-AB6408))),-1E+030)</f>
        <v>-1.12961617294899</v>
      </c>
      <c r="AE6408" s="55" t="n">
        <f aca="false">IF(AC6408,IF(01_因子設定!$B$13="最大化",X6408,IF(01_因子設定!$B$13="最小化",-X6408,-ABS(X6408-01_因子設定!$B$16))),-1E+030)</f>
        <v>47.0427814327486</v>
      </c>
      <c r="AF6408" s="55" t="n">
        <f aca="false">AD6408+ROW()*0.000000001</f>
        <v>-1.12960976494899</v>
      </c>
      <c r="AG6408" s="55" t="n">
        <f aca="false">AE6408+ROW()*0.000000001</f>
        <v>47.0427878407486</v>
      </c>
    </row>
    <row r="6409" customFormat="false" ht="15" hidden="false" customHeight="false" outlineLevel="0" collapsed="false">
      <c r="A6409" s="0" t="n">
        <v>8</v>
      </c>
      <c r="B6409" s="0" t="n">
        <v>7</v>
      </c>
      <c r="C6409" s="0" t="n">
        <v>0</v>
      </c>
      <c r="D6409" s="0" t="n">
        <v>5</v>
      </c>
      <c r="E6409" s="0" t="n">
        <f aca="false">-1+A6409*0.25</f>
        <v>1</v>
      </c>
      <c r="F6409" s="0" t="n">
        <f aca="false">-1+B6409*0.25</f>
        <v>0.75</v>
      </c>
      <c r="G6409" s="0" t="n">
        <f aca="false">-1+C6409*0.25</f>
        <v>-1</v>
      </c>
      <c r="H6409" s="0" t="n">
        <f aca="false">-1+D6409*0.25</f>
        <v>0.25</v>
      </c>
      <c r="I6409" s="0" t="n">
        <f aca="false">1</f>
        <v>1</v>
      </c>
      <c r="J6409" s="0" t="n">
        <f aca="false">E6409</f>
        <v>1</v>
      </c>
      <c r="K6409" s="0" t="n">
        <f aca="false">F6409</f>
        <v>0.75</v>
      </c>
      <c r="L6409" s="0" t="n">
        <f aca="false">G6409</f>
        <v>-1</v>
      </c>
      <c r="M6409" s="0" t="n">
        <f aca="false">H6409</f>
        <v>0.25</v>
      </c>
      <c r="N6409" s="0" t="n">
        <f aca="false">E6409*F6409</f>
        <v>0.75</v>
      </c>
      <c r="O6409" s="0" t="n">
        <f aca="false">E6409*G6409</f>
        <v>-1</v>
      </c>
      <c r="P6409" s="0" t="n">
        <f aca="false">E6409*H6409</f>
        <v>0.25</v>
      </c>
      <c r="Q6409" s="0" t="n">
        <f aca="false">F6409*G6409</f>
        <v>-0.75</v>
      </c>
      <c r="R6409" s="0" t="n">
        <f aca="false">F6409*H6409</f>
        <v>0.1875</v>
      </c>
      <c r="S6409" s="0" t="n">
        <f aca="false">G6409*H6409</f>
        <v>-0.25</v>
      </c>
      <c r="T6409" s="0" t="n">
        <f aca="false">E6409*E6409</f>
        <v>1</v>
      </c>
      <c r="U6409" s="0" t="n">
        <f aca="false">F6409*F6409</f>
        <v>0.5625</v>
      </c>
      <c r="V6409" s="0" t="n">
        <f aca="false">G6409*G6409</f>
        <v>1</v>
      </c>
      <c r="W6409" s="0" t="n">
        <f aca="false">H6409*H6409</f>
        <v>0.0625</v>
      </c>
      <c r="X6409" s="0" t="n">
        <f aca="false">SUMPRODUCT(I6409:W6409,_XtX!$B$96:$P$96)</f>
        <v>47.0397980628655</v>
      </c>
      <c r="Y6409" s="0" t="n">
        <f aca="false">SUMPRODUCT(MMULT(I6409:W6409,_XtX!$B$78:$P$92),I6409:W6409)</f>
        <v>0.621372155975877</v>
      </c>
      <c r="Z6409" s="0" t="n">
        <f aca="false">04_回帰ANOVA!$K$19*04_回帰ANOVA!$K$14*SQRT(1+Y6409)</f>
        <v>1.65973880499872</v>
      </c>
      <c r="AA6409" s="0" t="n">
        <f aca="false">X6409-Z6409</f>
        <v>45.3800592578668</v>
      </c>
      <c r="AB6409" s="0" t="n">
        <f aca="false">X6409+Z6409</f>
        <v>48.6995368678642</v>
      </c>
      <c r="AC6409" s="54" t="b">
        <f aca="false">AND(E6409&gt;=01_因子設定!$L$5-0.000000001,E6409&lt;=01_因子設定!$M$5+0.000000001,F6409&gt;=01_因子設定!$L$6-0.000000001,F6409&lt;=01_因子設定!$M$6+0.000000001,G6409&gt;=01_因子設定!$L$7-0.000000001,G6409&lt;=01_因子設定!$M$7+0.000000001,H6409&gt;=01_因子設定!$L$8-0.000000001,H6409&lt;=01_因子設定!$M$8+0.000000001,IF(01_因子設定!$B$20="Box-Behnken",E6409^2+F6409^2+G6409^2+H6409^2&lt;=2+0.000000001,TRUE()))</f>
        <v>1</v>
      </c>
      <c r="AD6409" s="55" t="n">
        <f aca="false">IF(AC6409,IF(01_因子設定!$B$13="最大化",AA6409-01_因子設定!$B$14,IF(01_因子設定!$B$13="最小化",01_因子設定!$B$15-AB6409,MIN(AA6409-01_因子設定!$B$14,01_因子設定!$B$15-AB6409))),-1E+030)</f>
        <v>-1.11994074213319</v>
      </c>
      <c r="AE6409" s="55" t="n">
        <f aca="false">IF(AC6409,IF(01_因子設定!$B$13="最大化",X6409,IF(01_因子設定!$B$13="最小化",-X6409,-ABS(X6409-01_因子設定!$B$16))),-1E+030)</f>
        <v>47.0397980628655</v>
      </c>
      <c r="AF6409" s="55" t="n">
        <f aca="false">AD6409+ROW()*0.000000001</f>
        <v>-1.11993433313319</v>
      </c>
      <c r="AG6409" s="55" t="n">
        <f aca="false">AE6409+ROW()*0.000000001</f>
        <v>47.0398044718655</v>
      </c>
    </row>
    <row r="6410" customFormat="false" ht="15" hidden="false" customHeight="false" outlineLevel="0" collapsed="false">
      <c r="A6410" s="0" t="n">
        <v>8</v>
      </c>
      <c r="B6410" s="0" t="n">
        <v>7</v>
      </c>
      <c r="C6410" s="0" t="n">
        <v>0</v>
      </c>
      <c r="D6410" s="0" t="n">
        <v>6</v>
      </c>
      <c r="E6410" s="0" t="n">
        <f aca="false">-1+A6410*0.25</f>
        <v>1</v>
      </c>
      <c r="F6410" s="0" t="n">
        <f aca="false">-1+B6410*0.25</f>
        <v>0.75</v>
      </c>
      <c r="G6410" s="0" t="n">
        <f aca="false">-1+C6410*0.25</f>
        <v>-1</v>
      </c>
      <c r="H6410" s="0" t="n">
        <f aca="false">-1+D6410*0.25</f>
        <v>0.5</v>
      </c>
      <c r="I6410" s="0" t="n">
        <f aca="false">1</f>
        <v>1</v>
      </c>
      <c r="J6410" s="0" t="n">
        <f aca="false">E6410</f>
        <v>1</v>
      </c>
      <c r="K6410" s="0" t="n">
        <f aca="false">F6410</f>
        <v>0.75</v>
      </c>
      <c r="L6410" s="0" t="n">
        <f aca="false">G6410</f>
        <v>-1</v>
      </c>
      <c r="M6410" s="0" t="n">
        <f aca="false">H6410</f>
        <v>0.5</v>
      </c>
      <c r="N6410" s="0" t="n">
        <f aca="false">E6410*F6410</f>
        <v>0.75</v>
      </c>
      <c r="O6410" s="0" t="n">
        <f aca="false">E6410*G6410</f>
        <v>-1</v>
      </c>
      <c r="P6410" s="0" t="n">
        <f aca="false">E6410*H6410</f>
        <v>0.5</v>
      </c>
      <c r="Q6410" s="0" t="n">
        <f aca="false">F6410*G6410</f>
        <v>-0.75</v>
      </c>
      <c r="R6410" s="0" t="n">
        <f aca="false">F6410*H6410</f>
        <v>0.375</v>
      </c>
      <c r="S6410" s="0" t="n">
        <f aca="false">G6410*H6410</f>
        <v>-0.5</v>
      </c>
      <c r="T6410" s="0" t="n">
        <f aca="false">E6410*E6410</f>
        <v>1</v>
      </c>
      <c r="U6410" s="0" t="n">
        <f aca="false">F6410*F6410</f>
        <v>0.5625</v>
      </c>
      <c r="V6410" s="0" t="n">
        <f aca="false">G6410*G6410</f>
        <v>1</v>
      </c>
      <c r="W6410" s="0" t="n">
        <f aca="false">H6410*H6410</f>
        <v>0.25</v>
      </c>
      <c r="X6410" s="0" t="n">
        <f aca="false">SUMPRODUCT(I6410:W6410,_XtX!$B$96:$P$96)</f>
        <v>46.9890076754386</v>
      </c>
      <c r="Y6410" s="0" t="n">
        <f aca="false">SUMPRODUCT(MMULT(I6410:W6410,_XtX!$B$78:$P$92),I6410:W6410)</f>
        <v>0.564984237938597</v>
      </c>
      <c r="Z6410" s="0" t="n">
        <f aca="false">04_回帰ANOVA!$K$19*04_回帰ANOVA!$K$14*SQRT(1+Y6410)</f>
        <v>1.63062229734503</v>
      </c>
      <c r="AA6410" s="0" t="n">
        <f aca="false">X6410-Z6410</f>
        <v>45.3583853780936</v>
      </c>
      <c r="AB6410" s="0" t="n">
        <f aca="false">X6410+Z6410</f>
        <v>48.6196299727837</v>
      </c>
      <c r="AC6410" s="54" t="b">
        <f aca="false">AND(E6410&gt;=01_因子設定!$L$5-0.000000001,E6410&lt;=01_因子設定!$M$5+0.000000001,F6410&gt;=01_因子設定!$L$6-0.000000001,F6410&lt;=01_因子設定!$M$6+0.000000001,G6410&gt;=01_因子設定!$L$7-0.000000001,G6410&lt;=01_因子設定!$M$7+0.000000001,H6410&gt;=01_因子設定!$L$8-0.000000001,H6410&lt;=01_因子設定!$M$8+0.000000001,IF(01_因子設定!$B$20="Box-Behnken",E6410^2+F6410^2+G6410^2+H6410^2&lt;=2+0.000000001,TRUE()))</f>
        <v>1</v>
      </c>
      <c r="AD6410" s="55" t="n">
        <f aca="false">IF(AC6410,IF(01_因子設定!$B$13="最大化",AA6410-01_因子設定!$B$14,IF(01_因子設定!$B$13="最小化",01_因子設定!$B$15-AB6410,MIN(AA6410-01_因子設定!$B$14,01_因子設定!$B$15-AB6410))),-1E+030)</f>
        <v>-1.1416146219064</v>
      </c>
      <c r="AE6410" s="55" t="n">
        <f aca="false">IF(AC6410,IF(01_因子設定!$B$13="最大化",X6410,IF(01_因子設定!$B$13="最小化",-X6410,-ABS(X6410-01_因子設定!$B$16))),-1E+030)</f>
        <v>46.9890076754386</v>
      </c>
      <c r="AF6410" s="55" t="n">
        <f aca="false">AD6410+ROW()*0.000000001</f>
        <v>-1.1416082119064</v>
      </c>
      <c r="AG6410" s="55" t="n">
        <f aca="false">AE6410+ROW()*0.000000001</f>
        <v>46.9890140854386</v>
      </c>
    </row>
    <row r="6411" customFormat="false" ht="15" hidden="false" customHeight="false" outlineLevel="0" collapsed="false">
      <c r="A6411" s="0" t="n">
        <v>8</v>
      </c>
      <c r="B6411" s="0" t="n">
        <v>7</v>
      </c>
      <c r="C6411" s="0" t="n">
        <v>0</v>
      </c>
      <c r="D6411" s="0" t="n">
        <v>7</v>
      </c>
      <c r="E6411" s="0" t="n">
        <f aca="false">-1+A6411*0.25</f>
        <v>1</v>
      </c>
      <c r="F6411" s="0" t="n">
        <f aca="false">-1+B6411*0.25</f>
        <v>0.75</v>
      </c>
      <c r="G6411" s="0" t="n">
        <f aca="false">-1+C6411*0.25</f>
        <v>-1</v>
      </c>
      <c r="H6411" s="0" t="n">
        <f aca="false">-1+D6411*0.25</f>
        <v>0.75</v>
      </c>
      <c r="I6411" s="0" t="n">
        <f aca="false">1</f>
        <v>1</v>
      </c>
      <c r="J6411" s="0" t="n">
        <f aca="false">E6411</f>
        <v>1</v>
      </c>
      <c r="K6411" s="0" t="n">
        <f aca="false">F6411</f>
        <v>0.75</v>
      </c>
      <c r="L6411" s="0" t="n">
        <f aca="false">G6411</f>
        <v>-1</v>
      </c>
      <c r="M6411" s="0" t="n">
        <f aca="false">H6411</f>
        <v>0.75</v>
      </c>
      <c r="N6411" s="0" t="n">
        <f aca="false">E6411*F6411</f>
        <v>0.75</v>
      </c>
      <c r="O6411" s="0" t="n">
        <f aca="false">E6411*G6411</f>
        <v>-1</v>
      </c>
      <c r="P6411" s="0" t="n">
        <f aca="false">E6411*H6411</f>
        <v>0.75</v>
      </c>
      <c r="Q6411" s="0" t="n">
        <f aca="false">F6411*G6411</f>
        <v>-0.75</v>
      </c>
      <c r="R6411" s="0" t="n">
        <f aca="false">F6411*H6411</f>
        <v>0.5625</v>
      </c>
      <c r="S6411" s="0" t="n">
        <f aca="false">G6411*H6411</f>
        <v>-0.75</v>
      </c>
      <c r="T6411" s="0" t="n">
        <f aca="false">E6411*E6411</f>
        <v>1</v>
      </c>
      <c r="U6411" s="0" t="n">
        <f aca="false">F6411*F6411</f>
        <v>0.5625</v>
      </c>
      <c r="V6411" s="0" t="n">
        <f aca="false">G6411*G6411</f>
        <v>1</v>
      </c>
      <c r="W6411" s="0" t="n">
        <f aca="false">H6411*H6411</f>
        <v>0.5625</v>
      </c>
      <c r="X6411" s="0" t="n">
        <f aca="false">SUMPRODUCT(I6411:W6411,_XtX!$B$96:$P$96)</f>
        <v>46.8904102704679</v>
      </c>
      <c r="Y6411" s="0" t="n">
        <f aca="false">SUMPRODUCT(MMULT(I6411:W6411,_XtX!$B$78:$P$92),I6411:W6411)</f>
        <v>0.531311392086988</v>
      </c>
      <c r="Z6411" s="0" t="n">
        <f aca="false">04_回帰ANOVA!$K$19*04_回帰ANOVA!$K$14*SQRT(1+Y6411)</f>
        <v>1.61298433431428</v>
      </c>
      <c r="AA6411" s="0" t="n">
        <f aca="false">X6411-Z6411</f>
        <v>45.2774259361536</v>
      </c>
      <c r="AB6411" s="0" t="n">
        <f aca="false">X6411+Z6411</f>
        <v>48.5033946047822</v>
      </c>
      <c r="AC6411" s="54" t="b">
        <f aca="false">AND(E6411&gt;=01_因子設定!$L$5-0.000000001,E6411&lt;=01_因子設定!$M$5+0.000000001,F6411&gt;=01_因子設定!$L$6-0.000000001,F6411&lt;=01_因子設定!$M$6+0.000000001,G6411&gt;=01_因子設定!$L$7-0.000000001,G6411&lt;=01_因子設定!$M$7+0.000000001,H6411&gt;=01_因子設定!$L$8-0.000000001,H6411&lt;=01_因子設定!$M$8+0.000000001,IF(01_因子設定!$B$20="Box-Behnken",E6411^2+F6411^2+G6411^2+H6411^2&lt;=2+0.000000001,TRUE()))</f>
        <v>1</v>
      </c>
      <c r="AD6411" s="55" t="n">
        <f aca="false">IF(AC6411,IF(01_因子設定!$B$13="最大化",AA6411-01_因子設定!$B$14,IF(01_因子設定!$B$13="最小化",01_因子設定!$B$15-AB6411,MIN(AA6411-01_因子設定!$B$14,01_因子設定!$B$15-AB6411))),-1E+030)</f>
        <v>-1.2225740638464</v>
      </c>
      <c r="AE6411" s="55" t="n">
        <f aca="false">IF(AC6411,IF(01_因子設定!$B$13="最大化",X6411,IF(01_因子設定!$B$13="最小化",-X6411,-ABS(X6411-01_因子設定!$B$16))),-1E+030)</f>
        <v>46.8904102704679</v>
      </c>
      <c r="AF6411" s="55" t="n">
        <f aca="false">AD6411+ROW()*0.000000001</f>
        <v>-1.2225676528464</v>
      </c>
      <c r="AG6411" s="55" t="n">
        <f aca="false">AE6411+ROW()*0.000000001</f>
        <v>46.8904166814679</v>
      </c>
    </row>
    <row r="6412" customFormat="false" ht="15" hidden="false" customHeight="false" outlineLevel="0" collapsed="false">
      <c r="A6412" s="0" t="n">
        <v>8</v>
      </c>
      <c r="B6412" s="0" t="n">
        <v>7</v>
      </c>
      <c r="C6412" s="0" t="n">
        <v>0</v>
      </c>
      <c r="D6412" s="0" t="n">
        <v>8</v>
      </c>
      <c r="E6412" s="0" t="n">
        <f aca="false">-1+A6412*0.25</f>
        <v>1</v>
      </c>
      <c r="F6412" s="0" t="n">
        <f aca="false">-1+B6412*0.25</f>
        <v>0.75</v>
      </c>
      <c r="G6412" s="0" t="n">
        <f aca="false">-1+C6412*0.25</f>
        <v>-1</v>
      </c>
      <c r="H6412" s="0" t="n">
        <f aca="false">-1+D6412*0.25</f>
        <v>1</v>
      </c>
      <c r="I6412" s="0" t="n">
        <f aca="false">1</f>
        <v>1</v>
      </c>
      <c r="J6412" s="0" t="n">
        <f aca="false">E6412</f>
        <v>1</v>
      </c>
      <c r="K6412" s="0" t="n">
        <f aca="false">F6412</f>
        <v>0.75</v>
      </c>
      <c r="L6412" s="0" t="n">
        <f aca="false">G6412</f>
        <v>-1</v>
      </c>
      <c r="M6412" s="0" t="n">
        <f aca="false">H6412</f>
        <v>1</v>
      </c>
      <c r="N6412" s="0" t="n">
        <f aca="false">E6412*F6412</f>
        <v>0.75</v>
      </c>
      <c r="O6412" s="0" t="n">
        <f aca="false">E6412*G6412</f>
        <v>-1</v>
      </c>
      <c r="P6412" s="0" t="n">
        <f aca="false">E6412*H6412</f>
        <v>1</v>
      </c>
      <c r="Q6412" s="0" t="n">
        <f aca="false">F6412*G6412</f>
        <v>-0.75</v>
      </c>
      <c r="R6412" s="0" t="n">
        <f aca="false">F6412*H6412</f>
        <v>0.75</v>
      </c>
      <c r="S6412" s="0" t="n">
        <f aca="false">G6412*H6412</f>
        <v>-1</v>
      </c>
      <c r="T6412" s="0" t="n">
        <f aca="false">E6412*E6412</f>
        <v>1</v>
      </c>
      <c r="U6412" s="0" t="n">
        <f aca="false">F6412*F6412</f>
        <v>0.5625</v>
      </c>
      <c r="V6412" s="0" t="n">
        <f aca="false">G6412*G6412</f>
        <v>1</v>
      </c>
      <c r="W6412" s="0" t="n">
        <f aca="false">H6412*H6412</f>
        <v>1</v>
      </c>
      <c r="X6412" s="0" t="n">
        <f aca="false">SUMPRODUCT(I6412:W6412,_XtX!$B$96:$P$96)</f>
        <v>46.7440058479533</v>
      </c>
      <c r="Y6412" s="0" t="n">
        <f aca="false">SUMPRODUCT(MMULT(I6412:W6412,_XtX!$B$78:$P$92),I6412:W6412)</f>
        <v>0.610814144736842</v>
      </c>
      <c r="Z6412" s="0" t="n">
        <f aca="false">04_回帰ANOVA!$K$19*04_回帰ANOVA!$K$14*SQRT(1+Y6412)</f>
        <v>1.6543260558361</v>
      </c>
      <c r="AA6412" s="0" t="n">
        <f aca="false">X6412-Z6412</f>
        <v>45.0896797921172</v>
      </c>
      <c r="AB6412" s="0" t="n">
        <f aca="false">X6412+Z6412</f>
        <v>48.3983319037894</v>
      </c>
      <c r="AC6412" s="54" t="b">
        <f aca="false">AND(E6412&gt;=01_因子設定!$L$5-0.000000001,E6412&lt;=01_因子設定!$M$5+0.000000001,F6412&gt;=01_因子設定!$L$6-0.000000001,F6412&lt;=01_因子設定!$M$6+0.000000001,G6412&gt;=01_因子設定!$L$7-0.000000001,G6412&lt;=01_因子設定!$M$7+0.000000001,H6412&gt;=01_因子設定!$L$8-0.000000001,H6412&lt;=01_因子設定!$M$8+0.000000001,IF(01_因子設定!$B$20="Box-Behnken",E6412^2+F6412^2+G6412^2+H6412^2&lt;=2+0.000000001,TRUE()))</f>
        <v>1</v>
      </c>
      <c r="AD6412" s="55" t="n">
        <f aca="false">IF(AC6412,IF(01_因子設定!$B$13="最大化",AA6412-01_因子設定!$B$14,IF(01_因子設定!$B$13="最小化",01_因子設定!$B$15-AB6412,MIN(AA6412-01_因子設定!$B$14,01_因子設定!$B$15-AB6412))),-1E+030)</f>
        <v>-1.41032020788281</v>
      </c>
      <c r="AE6412" s="55" t="n">
        <f aca="false">IF(AC6412,IF(01_因子設定!$B$13="最大化",X6412,IF(01_因子設定!$B$13="最小化",-X6412,-ABS(X6412-01_因子設定!$B$16))),-1E+030)</f>
        <v>46.7440058479533</v>
      </c>
      <c r="AF6412" s="55" t="n">
        <f aca="false">AD6412+ROW()*0.000000001</f>
        <v>-1.41031379588281</v>
      </c>
      <c r="AG6412" s="55" t="n">
        <f aca="false">AE6412+ROW()*0.000000001</f>
        <v>46.7440122599533</v>
      </c>
    </row>
    <row r="6413" customFormat="false" ht="15" hidden="false" customHeight="false" outlineLevel="0" collapsed="false">
      <c r="A6413" s="0" t="n">
        <v>8</v>
      </c>
      <c r="B6413" s="0" t="n">
        <v>7</v>
      </c>
      <c r="C6413" s="0" t="n">
        <v>1</v>
      </c>
      <c r="D6413" s="0" t="n">
        <v>0</v>
      </c>
      <c r="E6413" s="0" t="n">
        <f aca="false">-1+A6413*0.25</f>
        <v>1</v>
      </c>
      <c r="F6413" s="0" t="n">
        <f aca="false">-1+B6413*0.25</f>
        <v>0.75</v>
      </c>
      <c r="G6413" s="0" t="n">
        <f aca="false">-1+C6413*0.25</f>
        <v>-0.75</v>
      </c>
      <c r="H6413" s="0" t="n">
        <f aca="false">-1+D6413*0.25</f>
        <v>-1</v>
      </c>
      <c r="I6413" s="0" t="n">
        <f aca="false">1</f>
        <v>1</v>
      </c>
      <c r="J6413" s="0" t="n">
        <f aca="false">E6413</f>
        <v>1</v>
      </c>
      <c r="K6413" s="0" t="n">
        <f aca="false">F6413</f>
        <v>0.75</v>
      </c>
      <c r="L6413" s="0" t="n">
        <f aca="false">G6413</f>
        <v>-0.75</v>
      </c>
      <c r="M6413" s="0" t="n">
        <f aca="false">H6413</f>
        <v>-1</v>
      </c>
      <c r="N6413" s="0" t="n">
        <f aca="false">E6413*F6413</f>
        <v>0.75</v>
      </c>
      <c r="O6413" s="0" t="n">
        <f aca="false">E6413*G6413</f>
        <v>-0.75</v>
      </c>
      <c r="P6413" s="0" t="n">
        <f aca="false">E6413*H6413</f>
        <v>-1</v>
      </c>
      <c r="Q6413" s="0" t="n">
        <f aca="false">F6413*G6413</f>
        <v>-0.5625</v>
      </c>
      <c r="R6413" s="0" t="n">
        <f aca="false">F6413*H6413</f>
        <v>-0.75</v>
      </c>
      <c r="S6413" s="0" t="n">
        <f aca="false">G6413*H6413</f>
        <v>0.75</v>
      </c>
      <c r="T6413" s="0" t="n">
        <f aca="false">E6413*E6413</f>
        <v>1</v>
      </c>
      <c r="U6413" s="0" t="n">
        <f aca="false">F6413*F6413</f>
        <v>0.5625</v>
      </c>
      <c r="V6413" s="0" t="n">
        <f aca="false">G6413*G6413</f>
        <v>0.5625</v>
      </c>
      <c r="W6413" s="0" t="n">
        <f aca="false">H6413*H6413</f>
        <v>1</v>
      </c>
      <c r="X6413" s="0" t="n">
        <f aca="false">SUMPRODUCT(I6413:W6413,_XtX!$B$96:$P$96)</f>
        <v>46.945271381579</v>
      </c>
      <c r="Y6413" s="0" t="n">
        <f aca="false">SUMPRODUCT(MMULT(I6413:W6413,_XtX!$B$78:$P$92),I6413:W6413)</f>
        <v>0.531311392086988</v>
      </c>
      <c r="Z6413" s="0" t="n">
        <f aca="false">04_回帰ANOVA!$K$19*04_回帰ANOVA!$K$14*SQRT(1+Y6413)</f>
        <v>1.61298433431428</v>
      </c>
      <c r="AA6413" s="0" t="n">
        <f aca="false">X6413-Z6413</f>
        <v>45.3322870472647</v>
      </c>
      <c r="AB6413" s="0" t="n">
        <f aca="false">X6413+Z6413</f>
        <v>48.5582557158933</v>
      </c>
      <c r="AC6413" s="54" t="b">
        <f aca="false">AND(E6413&gt;=01_因子設定!$L$5-0.000000001,E6413&lt;=01_因子設定!$M$5+0.000000001,F6413&gt;=01_因子設定!$L$6-0.000000001,F6413&lt;=01_因子設定!$M$6+0.000000001,G6413&gt;=01_因子設定!$L$7-0.000000001,G6413&lt;=01_因子設定!$M$7+0.000000001,H6413&gt;=01_因子設定!$L$8-0.000000001,H6413&lt;=01_因子設定!$M$8+0.000000001,IF(01_因子設定!$B$20="Box-Behnken",E6413^2+F6413^2+G6413^2+H6413^2&lt;=2+0.000000001,TRUE()))</f>
        <v>1</v>
      </c>
      <c r="AD6413" s="55" t="n">
        <f aca="false">IF(AC6413,IF(01_因子設定!$B$13="最大化",AA6413-01_因子設定!$B$14,IF(01_因子設定!$B$13="最小化",01_因子設定!$B$15-AB6413,MIN(AA6413-01_因子設定!$B$14,01_因子設定!$B$15-AB6413))),-1E+030)</f>
        <v>-1.16771295273527</v>
      </c>
      <c r="AE6413" s="55" t="n">
        <f aca="false">IF(AC6413,IF(01_因子設定!$B$13="最大化",X6413,IF(01_因子設定!$B$13="最小化",-X6413,-ABS(X6413-01_因子設定!$B$16))),-1E+030)</f>
        <v>46.945271381579</v>
      </c>
      <c r="AF6413" s="55" t="n">
        <f aca="false">AD6413+ROW()*0.000000001</f>
        <v>-1.16770653973527</v>
      </c>
      <c r="AG6413" s="55" t="n">
        <f aca="false">AE6413+ROW()*0.000000001</f>
        <v>46.945277794579</v>
      </c>
    </row>
    <row r="6414" customFormat="false" ht="15" hidden="false" customHeight="false" outlineLevel="0" collapsed="false">
      <c r="A6414" s="0" t="n">
        <v>8</v>
      </c>
      <c r="B6414" s="0" t="n">
        <v>7</v>
      </c>
      <c r="C6414" s="0" t="n">
        <v>1</v>
      </c>
      <c r="D6414" s="0" t="n">
        <v>1</v>
      </c>
      <c r="E6414" s="0" t="n">
        <f aca="false">-1+A6414*0.25</f>
        <v>1</v>
      </c>
      <c r="F6414" s="0" t="n">
        <f aca="false">-1+B6414*0.25</f>
        <v>0.75</v>
      </c>
      <c r="G6414" s="0" t="n">
        <f aca="false">-1+C6414*0.25</f>
        <v>-0.75</v>
      </c>
      <c r="H6414" s="0" t="n">
        <f aca="false">-1+D6414*0.25</f>
        <v>-0.75</v>
      </c>
      <c r="I6414" s="0" t="n">
        <f aca="false">1</f>
        <v>1</v>
      </c>
      <c r="J6414" s="0" t="n">
        <f aca="false">E6414</f>
        <v>1</v>
      </c>
      <c r="K6414" s="0" t="n">
        <f aca="false">F6414</f>
        <v>0.75</v>
      </c>
      <c r="L6414" s="0" t="n">
        <f aca="false">G6414</f>
        <v>-0.75</v>
      </c>
      <c r="M6414" s="0" t="n">
        <f aca="false">H6414</f>
        <v>-0.75</v>
      </c>
      <c r="N6414" s="0" t="n">
        <f aca="false">E6414*F6414</f>
        <v>0.75</v>
      </c>
      <c r="O6414" s="0" t="n">
        <f aca="false">E6414*G6414</f>
        <v>-0.75</v>
      </c>
      <c r="P6414" s="0" t="n">
        <f aca="false">E6414*H6414</f>
        <v>-0.75</v>
      </c>
      <c r="Q6414" s="0" t="n">
        <f aca="false">F6414*G6414</f>
        <v>-0.5625</v>
      </c>
      <c r="R6414" s="0" t="n">
        <f aca="false">F6414*H6414</f>
        <v>-0.5625</v>
      </c>
      <c r="S6414" s="0" t="n">
        <f aca="false">G6414*H6414</f>
        <v>0.5625</v>
      </c>
      <c r="T6414" s="0" t="n">
        <f aca="false">E6414*E6414</f>
        <v>1</v>
      </c>
      <c r="U6414" s="0" t="n">
        <f aca="false">F6414*F6414</f>
        <v>0.5625</v>
      </c>
      <c r="V6414" s="0" t="n">
        <f aca="false">G6414*G6414</f>
        <v>0.5625</v>
      </c>
      <c r="W6414" s="0" t="n">
        <f aca="false">H6414*H6414</f>
        <v>0.5625</v>
      </c>
      <c r="X6414" s="0" t="n">
        <f aca="false">SUMPRODUCT(I6414:W6414,_XtX!$B$96:$P$96)</f>
        <v>47.1514848318714</v>
      </c>
      <c r="Y6414" s="0" t="n">
        <f aca="false">SUMPRODUCT(MMULT(I6414:W6414,_XtX!$B$78:$P$92),I6414:W6414)</f>
        <v>0.420117473044591</v>
      </c>
      <c r="Z6414" s="0" t="n">
        <f aca="false">04_回帰ANOVA!$K$19*04_回帰ANOVA!$K$14*SQRT(1+Y6414)</f>
        <v>1.55331854827765</v>
      </c>
      <c r="AA6414" s="0" t="n">
        <f aca="false">X6414-Z6414</f>
        <v>45.5981662835938</v>
      </c>
      <c r="AB6414" s="0" t="n">
        <f aca="false">X6414+Z6414</f>
        <v>48.704803380149</v>
      </c>
      <c r="AC6414" s="54" t="b">
        <f aca="false">AND(E6414&gt;=01_因子設定!$L$5-0.000000001,E6414&lt;=01_因子設定!$M$5+0.000000001,F6414&gt;=01_因子設定!$L$6-0.000000001,F6414&lt;=01_因子設定!$M$6+0.000000001,G6414&gt;=01_因子設定!$L$7-0.000000001,G6414&lt;=01_因子設定!$M$7+0.000000001,H6414&gt;=01_因子設定!$L$8-0.000000001,H6414&lt;=01_因子設定!$M$8+0.000000001,IF(01_因子設定!$B$20="Box-Behnken",E6414^2+F6414^2+G6414^2+H6414^2&lt;=2+0.000000001,TRUE()))</f>
        <v>1</v>
      </c>
      <c r="AD6414" s="55" t="n">
        <f aca="false">IF(AC6414,IF(01_因子設定!$B$13="最大化",AA6414-01_因子設定!$B$14,IF(01_因子設定!$B$13="最小化",01_因子設定!$B$15-AB6414,MIN(AA6414-01_因子設定!$B$14,01_因子設定!$B$15-AB6414))),-1E+030)</f>
        <v>-0.901833716406252</v>
      </c>
      <c r="AE6414" s="55" t="n">
        <f aca="false">IF(AC6414,IF(01_因子設定!$B$13="最大化",X6414,IF(01_因子設定!$B$13="最小化",-X6414,-ABS(X6414-01_因子設定!$B$16))),-1E+030)</f>
        <v>47.1514848318714</v>
      </c>
      <c r="AF6414" s="55" t="n">
        <f aca="false">AD6414+ROW()*0.000000001</f>
        <v>-0.901827302406252</v>
      </c>
      <c r="AG6414" s="55" t="n">
        <f aca="false">AE6414+ROW()*0.000000001</f>
        <v>47.1514912458714</v>
      </c>
    </row>
    <row r="6415" customFormat="false" ht="15" hidden="false" customHeight="false" outlineLevel="0" collapsed="false">
      <c r="A6415" s="0" t="n">
        <v>8</v>
      </c>
      <c r="B6415" s="0" t="n">
        <v>7</v>
      </c>
      <c r="C6415" s="0" t="n">
        <v>1</v>
      </c>
      <c r="D6415" s="0" t="n">
        <v>2</v>
      </c>
      <c r="E6415" s="0" t="n">
        <f aca="false">-1+A6415*0.25</f>
        <v>1</v>
      </c>
      <c r="F6415" s="0" t="n">
        <f aca="false">-1+B6415*0.25</f>
        <v>0.75</v>
      </c>
      <c r="G6415" s="0" t="n">
        <f aca="false">-1+C6415*0.25</f>
        <v>-0.75</v>
      </c>
      <c r="H6415" s="0" t="n">
        <f aca="false">-1+D6415*0.25</f>
        <v>-0.5</v>
      </c>
      <c r="I6415" s="0" t="n">
        <f aca="false">1</f>
        <v>1</v>
      </c>
      <c r="J6415" s="0" t="n">
        <f aca="false">E6415</f>
        <v>1</v>
      </c>
      <c r="K6415" s="0" t="n">
        <f aca="false">F6415</f>
        <v>0.75</v>
      </c>
      <c r="L6415" s="0" t="n">
        <f aca="false">G6415</f>
        <v>-0.75</v>
      </c>
      <c r="M6415" s="0" t="n">
        <f aca="false">H6415</f>
        <v>-0.5</v>
      </c>
      <c r="N6415" s="0" t="n">
        <f aca="false">E6415*F6415</f>
        <v>0.75</v>
      </c>
      <c r="O6415" s="0" t="n">
        <f aca="false">E6415*G6415</f>
        <v>-0.75</v>
      </c>
      <c r="P6415" s="0" t="n">
        <f aca="false">E6415*H6415</f>
        <v>-0.5</v>
      </c>
      <c r="Q6415" s="0" t="n">
        <f aca="false">F6415*G6415</f>
        <v>-0.5625</v>
      </c>
      <c r="R6415" s="0" t="n">
        <f aca="false">F6415*H6415</f>
        <v>-0.375</v>
      </c>
      <c r="S6415" s="0" t="n">
        <f aca="false">G6415*H6415</f>
        <v>0.375</v>
      </c>
      <c r="T6415" s="0" t="n">
        <f aca="false">E6415*E6415</f>
        <v>1</v>
      </c>
      <c r="U6415" s="0" t="n">
        <f aca="false">F6415*F6415</f>
        <v>0.5625</v>
      </c>
      <c r="V6415" s="0" t="n">
        <f aca="false">G6415*G6415</f>
        <v>0.5625</v>
      </c>
      <c r="W6415" s="0" t="n">
        <f aca="false">H6415*H6415</f>
        <v>0.25</v>
      </c>
      <c r="X6415" s="0" t="n">
        <f aca="false">SUMPRODUCT(I6415:W6415,_XtX!$B$96:$P$96)</f>
        <v>47.3098912646199</v>
      </c>
      <c r="Y6415" s="0" t="n">
        <f aca="false">SUMPRODUCT(MMULT(I6415:W6415,_XtX!$B$78:$P$92),I6415:W6415)</f>
        <v>0.431153771472953</v>
      </c>
      <c r="Z6415" s="0" t="n">
        <f aca="false">04_回帰ANOVA!$K$19*04_回帰ANOVA!$K$14*SQRT(1+Y6415)</f>
        <v>1.55934259562563</v>
      </c>
      <c r="AA6415" s="0" t="n">
        <f aca="false">X6415-Z6415</f>
        <v>45.7505486689943</v>
      </c>
      <c r="AB6415" s="0" t="n">
        <f aca="false">X6415+Z6415</f>
        <v>48.8692338602456</v>
      </c>
      <c r="AC6415" s="54" t="b">
        <f aca="false">AND(E6415&gt;=01_因子設定!$L$5-0.000000001,E6415&lt;=01_因子設定!$M$5+0.000000001,F6415&gt;=01_因子設定!$L$6-0.000000001,F6415&lt;=01_因子設定!$M$6+0.000000001,G6415&gt;=01_因子設定!$L$7-0.000000001,G6415&lt;=01_因子設定!$M$7+0.000000001,H6415&gt;=01_因子設定!$L$8-0.000000001,H6415&lt;=01_因子設定!$M$8+0.000000001,IF(01_因子設定!$B$20="Box-Behnken",E6415^2+F6415^2+G6415^2+H6415^2&lt;=2+0.000000001,TRUE()))</f>
        <v>1</v>
      </c>
      <c r="AD6415" s="55" t="n">
        <f aca="false">IF(AC6415,IF(01_因子設定!$B$13="最大化",AA6415-01_因子設定!$B$14,IF(01_因子設定!$B$13="最小化",01_因子設定!$B$15-AB6415,MIN(AA6415-01_因子設定!$B$14,01_因子設定!$B$15-AB6415))),-1E+030)</f>
        <v>-0.749451331005709</v>
      </c>
      <c r="AE6415" s="55" t="n">
        <f aca="false">IF(AC6415,IF(01_因子設定!$B$13="最大化",X6415,IF(01_因子設定!$B$13="最小化",-X6415,-ABS(X6415-01_因子設定!$B$16))),-1E+030)</f>
        <v>47.3098912646199</v>
      </c>
      <c r="AF6415" s="55" t="n">
        <f aca="false">AD6415+ROW()*0.000000001</f>
        <v>-0.749444916005709</v>
      </c>
      <c r="AG6415" s="55" t="n">
        <f aca="false">AE6415+ROW()*0.000000001</f>
        <v>47.3098976796199</v>
      </c>
    </row>
    <row r="6416" customFormat="false" ht="15" hidden="false" customHeight="false" outlineLevel="0" collapsed="false">
      <c r="A6416" s="0" t="n">
        <v>8</v>
      </c>
      <c r="B6416" s="0" t="n">
        <v>7</v>
      </c>
      <c r="C6416" s="0" t="n">
        <v>1</v>
      </c>
      <c r="D6416" s="0" t="n">
        <v>3</v>
      </c>
      <c r="E6416" s="0" t="n">
        <f aca="false">-1+A6416*0.25</f>
        <v>1</v>
      </c>
      <c r="F6416" s="0" t="n">
        <f aca="false">-1+B6416*0.25</f>
        <v>0.75</v>
      </c>
      <c r="G6416" s="0" t="n">
        <f aca="false">-1+C6416*0.25</f>
        <v>-0.75</v>
      </c>
      <c r="H6416" s="0" t="n">
        <f aca="false">-1+D6416*0.25</f>
        <v>-0.25</v>
      </c>
      <c r="I6416" s="0" t="n">
        <f aca="false">1</f>
        <v>1</v>
      </c>
      <c r="J6416" s="0" t="n">
        <f aca="false">E6416</f>
        <v>1</v>
      </c>
      <c r="K6416" s="0" t="n">
        <f aca="false">F6416</f>
        <v>0.75</v>
      </c>
      <c r="L6416" s="0" t="n">
        <f aca="false">G6416</f>
        <v>-0.75</v>
      </c>
      <c r="M6416" s="0" t="n">
        <f aca="false">H6416</f>
        <v>-0.25</v>
      </c>
      <c r="N6416" s="0" t="n">
        <f aca="false">E6416*F6416</f>
        <v>0.75</v>
      </c>
      <c r="O6416" s="0" t="n">
        <f aca="false">E6416*G6416</f>
        <v>-0.75</v>
      </c>
      <c r="P6416" s="0" t="n">
        <f aca="false">E6416*H6416</f>
        <v>-0.25</v>
      </c>
      <c r="Q6416" s="0" t="n">
        <f aca="false">F6416*G6416</f>
        <v>-0.5625</v>
      </c>
      <c r="R6416" s="0" t="n">
        <f aca="false">F6416*H6416</f>
        <v>-0.1875</v>
      </c>
      <c r="S6416" s="0" t="n">
        <f aca="false">G6416*H6416</f>
        <v>0.1875</v>
      </c>
      <c r="T6416" s="0" t="n">
        <f aca="false">E6416*E6416</f>
        <v>1</v>
      </c>
      <c r="U6416" s="0" t="n">
        <f aca="false">F6416*F6416</f>
        <v>0.5625</v>
      </c>
      <c r="V6416" s="0" t="n">
        <f aca="false">G6416*G6416</f>
        <v>0.5625</v>
      </c>
      <c r="W6416" s="0" t="n">
        <f aca="false">H6416*H6416</f>
        <v>0.0625</v>
      </c>
      <c r="X6416" s="0" t="n">
        <f aca="false">SUMPRODUCT(I6416:W6416,_XtX!$B$96:$P$96)</f>
        <v>47.4204906798246</v>
      </c>
      <c r="Y6416" s="0" t="n">
        <f aca="false">SUMPRODUCT(MMULT(I6416:W6416,_XtX!$B$78:$P$92),I6416:W6416)</f>
        <v>0.473959761056287</v>
      </c>
      <c r="Z6416" s="0" t="n">
        <f aca="false">04_回帰ANOVA!$K$19*04_回帰ANOVA!$K$14*SQRT(1+Y6416)</f>
        <v>1.58249084588329</v>
      </c>
      <c r="AA6416" s="0" t="n">
        <f aca="false">X6416-Z6416</f>
        <v>45.8379998339413</v>
      </c>
      <c r="AB6416" s="0" t="n">
        <f aca="false">X6416+Z6416</f>
        <v>49.0029815257079</v>
      </c>
      <c r="AC6416" s="54" t="b">
        <f aca="false">AND(E6416&gt;=01_因子設定!$L$5-0.000000001,E6416&lt;=01_因子設定!$M$5+0.000000001,F6416&gt;=01_因子設定!$L$6-0.000000001,F6416&lt;=01_因子設定!$M$6+0.000000001,G6416&gt;=01_因子設定!$L$7-0.000000001,G6416&lt;=01_因子設定!$M$7+0.000000001,H6416&gt;=01_因子設定!$L$8-0.000000001,H6416&lt;=01_因子設定!$M$8+0.000000001,IF(01_因子設定!$B$20="Box-Behnken",E6416^2+F6416^2+G6416^2+H6416^2&lt;=2+0.000000001,TRUE()))</f>
        <v>1</v>
      </c>
      <c r="AD6416" s="55" t="n">
        <f aca="false">IF(AC6416,IF(01_因子設定!$B$13="最大化",AA6416-01_因子設定!$B$14,IF(01_因子設定!$B$13="最小化",01_因子設定!$B$15-AB6416,MIN(AA6416-01_因子設定!$B$14,01_因子設定!$B$15-AB6416))),-1E+030)</f>
        <v>-0.662000166058697</v>
      </c>
      <c r="AE6416" s="55" t="n">
        <f aca="false">IF(AC6416,IF(01_因子設定!$B$13="最大化",X6416,IF(01_因子設定!$B$13="最小化",-X6416,-ABS(X6416-01_因子設定!$B$16))),-1E+030)</f>
        <v>47.4204906798246</v>
      </c>
      <c r="AF6416" s="55" t="n">
        <f aca="false">AD6416+ROW()*0.000000001</f>
        <v>-0.661993750058697</v>
      </c>
      <c r="AG6416" s="55" t="n">
        <f aca="false">AE6416+ROW()*0.000000001</f>
        <v>47.4204970958246</v>
      </c>
    </row>
    <row r="6417" customFormat="false" ht="15" hidden="false" customHeight="false" outlineLevel="0" collapsed="false">
      <c r="A6417" s="0" t="n">
        <v>8</v>
      </c>
      <c r="B6417" s="0" t="n">
        <v>7</v>
      </c>
      <c r="C6417" s="0" t="n">
        <v>1</v>
      </c>
      <c r="D6417" s="0" t="n">
        <v>4</v>
      </c>
      <c r="E6417" s="0" t="n">
        <f aca="false">-1+A6417*0.25</f>
        <v>1</v>
      </c>
      <c r="F6417" s="0" t="n">
        <f aca="false">-1+B6417*0.25</f>
        <v>0.75</v>
      </c>
      <c r="G6417" s="0" t="n">
        <f aca="false">-1+C6417*0.25</f>
        <v>-0.75</v>
      </c>
      <c r="H6417" s="0" t="n">
        <f aca="false">-1+D6417*0.25</f>
        <v>0</v>
      </c>
      <c r="I6417" s="0" t="n">
        <f aca="false">1</f>
        <v>1</v>
      </c>
      <c r="J6417" s="0" t="n">
        <f aca="false">E6417</f>
        <v>1</v>
      </c>
      <c r="K6417" s="0" t="n">
        <f aca="false">F6417</f>
        <v>0.75</v>
      </c>
      <c r="L6417" s="0" t="n">
        <f aca="false">G6417</f>
        <v>-0.75</v>
      </c>
      <c r="M6417" s="0" t="n">
        <f aca="false">H6417</f>
        <v>0</v>
      </c>
      <c r="N6417" s="0" t="n">
        <f aca="false">E6417*F6417</f>
        <v>0.75</v>
      </c>
      <c r="O6417" s="0" t="n">
        <f aca="false">E6417*G6417</f>
        <v>-0.75</v>
      </c>
      <c r="P6417" s="0" t="n">
        <f aca="false">E6417*H6417</f>
        <v>0</v>
      </c>
      <c r="Q6417" s="0" t="n">
        <f aca="false">F6417*G6417</f>
        <v>-0.5625</v>
      </c>
      <c r="R6417" s="0" t="n">
        <f aca="false">F6417*H6417</f>
        <v>0</v>
      </c>
      <c r="S6417" s="0" t="n">
        <f aca="false">G6417*H6417</f>
        <v>-0</v>
      </c>
      <c r="T6417" s="0" t="n">
        <f aca="false">E6417*E6417</f>
        <v>1</v>
      </c>
      <c r="U6417" s="0" t="n">
        <f aca="false">F6417*F6417</f>
        <v>0.5625</v>
      </c>
      <c r="V6417" s="0" t="n">
        <f aca="false">G6417*G6417</f>
        <v>0.5625</v>
      </c>
      <c r="W6417" s="0" t="n">
        <f aca="false">H6417*H6417</f>
        <v>0</v>
      </c>
      <c r="X6417" s="0" t="n">
        <f aca="false">SUMPRODUCT(I6417:W6417,_XtX!$B$96:$P$96)</f>
        <v>47.4832830774854</v>
      </c>
      <c r="Y6417" s="0" t="n">
        <f aca="false">SUMPRODUCT(MMULT(I6417:W6417,_XtX!$B$78:$P$92),I6417:W6417)</f>
        <v>0.494259126005117</v>
      </c>
      <c r="Z6417" s="0" t="n">
        <f aca="false">04_回帰ANOVA!$K$19*04_回帰ANOVA!$K$14*SQRT(1+Y6417)</f>
        <v>1.59335061078203</v>
      </c>
      <c r="AA6417" s="0" t="n">
        <f aca="false">X6417-Z6417</f>
        <v>45.8899324667034</v>
      </c>
      <c r="AB6417" s="0" t="n">
        <f aca="false">X6417+Z6417</f>
        <v>49.0766336882674</v>
      </c>
      <c r="AC6417" s="54" t="b">
        <f aca="false">AND(E6417&gt;=01_因子設定!$L$5-0.000000001,E6417&lt;=01_因子設定!$M$5+0.000000001,F6417&gt;=01_因子設定!$L$6-0.000000001,F6417&lt;=01_因子設定!$M$6+0.000000001,G6417&gt;=01_因子設定!$L$7-0.000000001,G6417&lt;=01_因子設定!$M$7+0.000000001,H6417&gt;=01_因子設定!$L$8-0.000000001,H6417&lt;=01_因子設定!$M$8+0.000000001,IF(01_因子設定!$B$20="Box-Behnken",E6417^2+F6417^2+G6417^2+H6417^2&lt;=2+0.000000001,TRUE()))</f>
        <v>1</v>
      </c>
      <c r="AD6417" s="55" t="n">
        <f aca="false">IF(AC6417,IF(01_因子設定!$B$13="最大化",AA6417-01_因子設定!$B$14,IF(01_因子設定!$B$13="最小化",01_因子設定!$B$15-AB6417,MIN(AA6417-01_因子設定!$B$14,01_因子設定!$B$15-AB6417))),-1E+030)</f>
        <v>-0.610067533296622</v>
      </c>
      <c r="AE6417" s="55" t="n">
        <f aca="false">IF(AC6417,IF(01_因子設定!$B$13="最大化",X6417,IF(01_因子設定!$B$13="最小化",-X6417,-ABS(X6417-01_因子設定!$B$16))),-1E+030)</f>
        <v>47.4832830774854</v>
      </c>
      <c r="AF6417" s="55" t="n">
        <f aca="false">AD6417+ROW()*0.000000001</f>
        <v>-0.610061116296622</v>
      </c>
      <c r="AG6417" s="55" t="n">
        <f aca="false">AE6417+ROW()*0.000000001</f>
        <v>47.4832894944854</v>
      </c>
    </row>
    <row r="6418" customFormat="false" ht="15" hidden="false" customHeight="false" outlineLevel="0" collapsed="false">
      <c r="A6418" s="0" t="n">
        <v>8</v>
      </c>
      <c r="B6418" s="0" t="n">
        <v>7</v>
      </c>
      <c r="C6418" s="0" t="n">
        <v>1</v>
      </c>
      <c r="D6418" s="0" t="n">
        <v>5</v>
      </c>
      <c r="E6418" s="0" t="n">
        <f aca="false">-1+A6418*0.25</f>
        <v>1</v>
      </c>
      <c r="F6418" s="0" t="n">
        <f aca="false">-1+B6418*0.25</f>
        <v>0.75</v>
      </c>
      <c r="G6418" s="0" t="n">
        <f aca="false">-1+C6418*0.25</f>
        <v>-0.75</v>
      </c>
      <c r="H6418" s="0" t="n">
        <f aca="false">-1+D6418*0.25</f>
        <v>0.25</v>
      </c>
      <c r="I6418" s="0" t="n">
        <f aca="false">1</f>
        <v>1</v>
      </c>
      <c r="J6418" s="0" t="n">
        <f aca="false">E6418</f>
        <v>1</v>
      </c>
      <c r="K6418" s="0" t="n">
        <f aca="false">F6418</f>
        <v>0.75</v>
      </c>
      <c r="L6418" s="0" t="n">
        <f aca="false">G6418</f>
        <v>-0.75</v>
      </c>
      <c r="M6418" s="0" t="n">
        <f aca="false">H6418</f>
        <v>0.25</v>
      </c>
      <c r="N6418" s="0" t="n">
        <f aca="false">E6418*F6418</f>
        <v>0.75</v>
      </c>
      <c r="O6418" s="0" t="n">
        <f aca="false">E6418*G6418</f>
        <v>-0.75</v>
      </c>
      <c r="P6418" s="0" t="n">
        <f aca="false">E6418*H6418</f>
        <v>0.25</v>
      </c>
      <c r="Q6418" s="0" t="n">
        <f aca="false">F6418*G6418</f>
        <v>-0.5625</v>
      </c>
      <c r="R6418" s="0" t="n">
        <f aca="false">F6418*H6418</f>
        <v>0.1875</v>
      </c>
      <c r="S6418" s="0" t="n">
        <f aca="false">G6418*H6418</f>
        <v>-0.1875</v>
      </c>
      <c r="T6418" s="0" t="n">
        <f aca="false">E6418*E6418</f>
        <v>1</v>
      </c>
      <c r="U6418" s="0" t="n">
        <f aca="false">F6418*F6418</f>
        <v>0.5625</v>
      </c>
      <c r="V6418" s="0" t="n">
        <f aca="false">G6418*G6418</f>
        <v>0.5625</v>
      </c>
      <c r="W6418" s="0" t="n">
        <f aca="false">H6418*H6418</f>
        <v>0.0625</v>
      </c>
      <c r="X6418" s="0" t="n">
        <f aca="false">SUMPRODUCT(I6418:W6418,_XtX!$B$96:$P$96)</f>
        <v>47.4982684576024</v>
      </c>
      <c r="Y6418" s="0" t="n">
        <f aca="false">SUMPRODUCT(MMULT(I6418:W6418,_XtX!$B$78:$P$92),I6418:W6418)</f>
        <v>0.473959761056287</v>
      </c>
      <c r="Z6418" s="0" t="n">
        <f aca="false">04_回帰ANOVA!$K$19*04_回帰ANOVA!$K$14*SQRT(1+Y6418)</f>
        <v>1.58249084588329</v>
      </c>
      <c r="AA6418" s="0" t="n">
        <f aca="false">X6418-Z6418</f>
        <v>45.9157776117191</v>
      </c>
      <c r="AB6418" s="0" t="n">
        <f aca="false">X6418+Z6418</f>
        <v>49.0807593034857</v>
      </c>
      <c r="AC6418" s="54" t="b">
        <f aca="false">AND(E6418&gt;=01_因子設定!$L$5-0.000000001,E6418&lt;=01_因子設定!$M$5+0.000000001,F6418&gt;=01_因子設定!$L$6-0.000000001,F6418&lt;=01_因子設定!$M$6+0.000000001,G6418&gt;=01_因子設定!$L$7-0.000000001,G6418&lt;=01_因子設定!$M$7+0.000000001,H6418&gt;=01_因子設定!$L$8-0.000000001,H6418&lt;=01_因子設定!$M$8+0.000000001,IF(01_因子設定!$B$20="Box-Behnken",E6418^2+F6418^2+G6418^2+H6418^2&lt;=2+0.000000001,TRUE()))</f>
        <v>1</v>
      </c>
      <c r="AD6418" s="55" t="n">
        <f aca="false">IF(AC6418,IF(01_因子設定!$B$13="最大化",AA6418-01_因子設定!$B$14,IF(01_因子設定!$B$13="最小化",01_因子設定!$B$15-AB6418,MIN(AA6418-01_因子設定!$B$14,01_因子設定!$B$15-AB6418))),-1E+030)</f>
        <v>-0.584222388280921</v>
      </c>
      <c r="AE6418" s="55" t="n">
        <f aca="false">IF(AC6418,IF(01_因子設定!$B$13="最大化",X6418,IF(01_因子設定!$B$13="最小化",-X6418,-ABS(X6418-01_因子設定!$B$16))),-1E+030)</f>
        <v>47.4982684576024</v>
      </c>
      <c r="AF6418" s="55" t="n">
        <f aca="false">AD6418+ROW()*0.000000001</f>
        <v>-0.584215970280921</v>
      </c>
      <c r="AG6418" s="55" t="n">
        <f aca="false">AE6418+ROW()*0.000000001</f>
        <v>47.4982748756024</v>
      </c>
    </row>
    <row r="6419" customFormat="false" ht="15" hidden="false" customHeight="false" outlineLevel="0" collapsed="false">
      <c r="A6419" s="0" t="n">
        <v>8</v>
      </c>
      <c r="B6419" s="0" t="n">
        <v>7</v>
      </c>
      <c r="C6419" s="0" t="n">
        <v>1</v>
      </c>
      <c r="D6419" s="0" t="n">
        <v>6</v>
      </c>
      <c r="E6419" s="0" t="n">
        <f aca="false">-1+A6419*0.25</f>
        <v>1</v>
      </c>
      <c r="F6419" s="0" t="n">
        <f aca="false">-1+B6419*0.25</f>
        <v>0.75</v>
      </c>
      <c r="G6419" s="0" t="n">
        <f aca="false">-1+C6419*0.25</f>
        <v>-0.75</v>
      </c>
      <c r="H6419" s="0" t="n">
        <f aca="false">-1+D6419*0.25</f>
        <v>0.5</v>
      </c>
      <c r="I6419" s="0" t="n">
        <f aca="false">1</f>
        <v>1</v>
      </c>
      <c r="J6419" s="0" t="n">
        <f aca="false">E6419</f>
        <v>1</v>
      </c>
      <c r="K6419" s="0" t="n">
        <f aca="false">F6419</f>
        <v>0.75</v>
      </c>
      <c r="L6419" s="0" t="n">
        <f aca="false">G6419</f>
        <v>-0.75</v>
      </c>
      <c r="M6419" s="0" t="n">
        <f aca="false">H6419</f>
        <v>0.5</v>
      </c>
      <c r="N6419" s="0" t="n">
        <f aca="false">E6419*F6419</f>
        <v>0.75</v>
      </c>
      <c r="O6419" s="0" t="n">
        <f aca="false">E6419*G6419</f>
        <v>-0.75</v>
      </c>
      <c r="P6419" s="0" t="n">
        <f aca="false">E6419*H6419</f>
        <v>0.5</v>
      </c>
      <c r="Q6419" s="0" t="n">
        <f aca="false">F6419*G6419</f>
        <v>-0.5625</v>
      </c>
      <c r="R6419" s="0" t="n">
        <f aca="false">F6419*H6419</f>
        <v>0.375</v>
      </c>
      <c r="S6419" s="0" t="n">
        <f aca="false">G6419*H6419</f>
        <v>-0.375</v>
      </c>
      <c r="T6419" s="0" t="n">
        <f aca="false">E6419*E6419</f>
        <v>1</v>
      </c>
      <c r="U6419" s="0" t="n">
        <f aca="false">F6419*F6419</f>
        <v>0.5625</v>
      </c>
      <c r="V6419" s="0" t="n">
        <f aca="false">G6419*G6419</f>
        <v>0.5625</v>
      </c>
      <c r="W6419" s="0" t="n">
        <f aca="false">H6419*H6419</f>
        <v>0.25</v>
      </c>
      <c r="X6419" s="0" t="n">
        <f aca="false">SUMPRODUCT(I6419:W6419,_XtX!$B$96:$P$96)</f>
        <v>47.4654468201755</v>
      </c>
      <c r="Y6419" s="0" t="n">
        <f aca="false">SUMPRODUCT(MMULT(I6419:W6419,_XtX!$B$78:$P$92),I6419:W6419)</f>
        <v>0.431153771472953</v>
      </c>
      <c r="Z6419" s="0" t="n">
        <f aca="false">04_回帰ANOVA!$K$19*04_回帰ANOVA!$K$14*SQRT(1+Y6419)</f>
        <v>1.55934259562563</v>
      </c>
      <c r="AA6419" s="0" t="n">
        <f aca="false">X6419-Z6419</f>
        <v>45.9061042245498</v>
      </c>
      <c r="AB6419" s="0" t="n">
        <f aca="false">X6419+Z6419</f>
        <v>49.0247894158011</v>
      </c>
      <c r="AC6419" s="54" t="b">
        <f aca="false">AND(E6419&gt;=01_因子設定!$L$5-0.000000001,E6419&lt;=01_因子設定!$M$5+0.000000001,F6419&gt;=01_因子設定!$L$6-0.000000001,F6419&lt;=01_因子設定!$M$6+0.000000001,G6419&gt;=01_因子設定!$L$7-0.000000001,G6419&lt;=01_因子設定!$M$7+0.000000001,H6419&gt;=01_因子設定!$L$8-0.000000001,H6419&lt;=01_因子設定!$M$8+0.000000001,IF(01_因子設定!$B$20="Box-Behnken",E6419^2+F6419^2+G6419^2+H6419^2&lt;=2+0.000000001,TRUE()))</f>
        <v>1</v>
      </c>
      <c r="AD6419" s="55" t="n">
        <f aca="false">IF(AC6419,IF(01_因子設定!$B$13="最大化",AA6419-01_因子設定!$B$14,IF(01_因子設定!$B$13="最小化",01_因子設定!$B$15-AB6419,MIN(AA6419-01_因子設定!$B$14,01_因子設定!$B$15-AB6419))),-1E+030)</f>
        <v>-0.593895775450157</v>
      </c>
      <c r="AE6419" s="55" t="n">
        <f aca="false">IF(AC6419,IF(01_因子設定!$B$13="最大化",X6419,IF(01_因子設定!$B$13="最小化",-X6419,-ABS(X6419-01_因子設定!$B$16))),-1E+030)</f>
        <v>47.4654468201755</v>
      </c>
      <c r="AF6419" s="55" t="n">
        <f aca="false">AD6419+ROW()*0.000000001</f>
        <v>-0.593889356450157</v>
      </c>
      <c r="AG6419" s="55" t="n">
        <f aca="false">AE6419+ROW()*0.000000001</f>
        <v>47.4654532391755</v>
      </c>
    </row>
    <row r="6420" customFormat="false" ht="15" hidden="false" customHeight="false" outlineLevel="0" collapsed="false">
      <c r="A6420" s="0" t="n">
        <v>8</v>
      </c>
      <c r="B6420" s="0" t="n">
        <v>7</v>
      </c>
      <c r="C6420" s="0" t="n">
        <v>1</v>
      </c>
      <c r="D6420" s="0" t="n">
        <v>7</v>
      </c>
      <c r="E6420" s="0" t="n">
        <f aca="false">-1+A6420*0.25</f>
        <v>1</v>
      </c>
      <c r="F6420" s="0" t="n">
        <f aca="false">-1+B6420*0.25</f>
        <v>0.75</v>
      </c>
      <c r="G6420" s="0" t="n">
        <f aca="false">-1+C6420*0.25</f>
        <v>-0.75</v>
      </c>
      <c r="H6420" s="0" t="n">
        <f aca="false">-1+D6420*0.25</f>
        <v>0.75</v>
      </c>
      <c r="I6420" s="0" t="n">
        <f aca="false">1</f>
        <v>1</v>
      </c>
      <c r="J6420" s="0" t="n">
        <f aca="false">E6420</f>
        <v>1</v>
      </c>
      <c r="K6420" s="0" t="n">
        <f aca="false">F6420</f>
        <v>0.75</v>
      </c>
      <c r="L6420" s="0" t="n">
        <f aca="false">G6420</f>
        <v>-0.75</v>
      </c>
      <c r="M6420" s="0" t="n">
        <f aca="false">H6420</f>
        <v>0.75</v>
      </c>
      <c r="N6420" s="0" t="n">
        <f aca="false">E6420*F6420</f>
        <v>0.75</v>
      </c>
      <c r="O6420" s="0" t="n">
        <f aca="false">E6420*G6420</f>
        <v>-0.75</v>
      </c>
      <c r="P6420" s="0" t="n">
        <f aca="false">E6420*H6420</f>
        <v>0.75</v>
      </c>
      <c r="Q6420" s="0" t="n">
        <f aca="false">F6420*G6420</f>
        <v>-0.5625</v>
      </c>
      <c r="R6420" s="0" t="n">
        <f aca="false">F6420*H6420</f>
        <v>0.5625</v>
      </c>
      <c r="S6420" s="0" t="n">
        <f aca="false">G6420*H6420</f>
        <v>-0.5625</v>
      </c>
      <c r="T6420" s="0" t="n">
        <f aca="false">E6420*E6420</f>
        <v>1</v>
      </c>
      <c r="U6420" s="0" t="n">
        <f aca="false">F6420*F6420</f>
        <v>0.5625</v>
      </c>
      <c r="V6420" s="0" t="n">
        <f aca="false">G6420*G6420</f>
        <v>0.5625</v>
      </c>
      <c r="W6420" s="0" t="n">
        <f aca="false">H6420*H6420</f>
        <v>0.5625</v>
      </c>
      <c r="X6420" s="0" t="n">
        <f aca="false">SUMPRODUCT(I6420:W6420,_XtX!$B$96:$P$96)</f>
        <v>47.3848181652047</v>
      </c>
      <c r="Y6420" s="0" t="n">
        <f aca="false">SUMPRODUCT(MMULT(I6420:W6420,_XtX!$B$78:$P$92),I6420:W6420)</f>
        <v>0.420117473044591</v>
      </c>
      <c r="Z6420" s="0" t="n">
        <f aca="false">04_回帰ANOVA!$K$19*04_回帰ANOVA!$K$14*SQRT(1+Y6420)</f>
        <v>1.55331854827765</v>
      </c>
      <c r="AA6420" s="0" t="n">
        <f aca="false">X6420-Z6420</f>
        <v>45.8314996169271</v>
      </c>
      <c r="AB6420" s="0" t="n">
        <f aca="false">X6420+Z6420</f>
        <v>48.9381367134824</v>
      </c>
      <c r="AC6420" s="54" t="b">
        <f aca="false">AND(E6420&gt;=01_因子設定!$L$5-0.000000001,E6420&lt;=01_因子設定!$M$5+0.000000001,F6420&gt;=01_因子設定!$L$6-0.000000001,F6420&lt;=01_因子設定!$M$6+0.000000001,G6420&gt;=01_因子設定!$L$7-0.000000001,G6420&lt;=01_因子設定!$M$7+0.000000001,H6420&gt;=01_因子設定!$L$8-0.000000001,H6420&lt;=01_因子設定!$M$8+0.000000001,IF(01_因子設定!$B$20="Box-Behnken",E6420^2+F6420^2+G6420^2+H6420^2&lt;=2+0.000000001,TRUE()))</f>
        <v>1</v>
      </c>
      <c r="AD6420" s="55" t="n">
        <f aca="false">IF(AC6420,IF(01_因子設定!$B$13="最大化",AA6420-01_因子設定!$B$14,IF(01_因子設定!$B$13="最小化",01_因子設定!$B$15-AB6420,MIN(AA6420-01_因子設定!$B$14,01_因子設定!$B$15-AB6420))),-1E+030)</f>
        <v>-0.668500383072917</v>
      </c>
      <c r="AE6420" s="55" t="n">
        <f aca="false">IF(AC6420,IF(01_因子設定!$B$13="最大化",X6420,IF(01_因子設定!$B$13="最小化",-X6420,-ABS(X6420-01_因子設定!$B$16))),-1E+030)</f>
        <v>47.3848181652047</v>
      </c>
      <c r="AF6420" s="55" t="n">
        <f aca="false">AD6420+ROW()*0.000000001</f>
        <v>-0.668493963072917</v>
      </c>
      <c r="AG6420" s="55" t="n">
        <f aca="false">AE6420+ROW()*0.000000001</f>
        <v>47.3848245852047</v>
      </c>
    </row>
    <row r="6421" customFormat="false" ht="15" hidden="false" customHeight="false" outlineLevel="0" collapsed="false">
      <c r="A6421" s="0" t="n">
        <v>8</v>
      </c>
      <c r="B6421" s="0" t="n">
        <v>7</v>
      </c>
      <c r="C6421" s="0" t="n">
        <v>1</v>
      </c>
      <c r="D6421" s="0" t="n">
        <v>8</v>
      </c>
      <c r="E6421" s="0" t="n">
        <f aca="false">-1+A6421*0.25</f>
        <v>1</v>
      </c>
      <c r="F6421" s="0" t="n">
        <f aca="false">-1+B6421*0.25</f>
        <v>0.75</v>
      </c>
      <c r="G6421" s="0" t="n">
        <f aca="false">-1+C6421*0.25</f>
        <v>-0.75</v>
      </c>
      <c r="H6421" s="0" t="n">
        <f aca="false">-1+D6421*0.25</f>
        <v>1</v>
      </c>
      <c r="I6421" s="0" t="n">
        <f aca="false">1</f>
        <v>1</v>
      </c>
      <c r="J6421" s="0" t="n">
        <f aca="false">E6421</f>
        <v>1</v>
      </c>
      <c r="K6421" s="0" t="n">
        <f aca="false">F6421</f>
        <v>0.75</v>
      </c>
      <c r="L6421" s="0" t="n">
        <f aca="false">G6421</f>
        <v>-0.75</v>
      </c>
      <c r="M6421" s="0" t="n">
        <f aca="false">H6421</f>
        <v>1</v>
      </c>
      <c r="N6421" s="0" t="n">
        <f aca="false">E6421*F6421</f>
        <v>0.75</v>
      </c>
      <c r="O6421" s="0" t="n">
        <f aca="false">E6421*G6421</f>
        <v>-0.75</v>
      </c>
      <c r="P6421" s="0" t="n">
        <f aca="false">E6421*H6421</f>
        <v>1</v>
      </c>
      <c r="Q6421" s="0" t="n">
        <f aca="false">F6421*G6421</f>
        <v>-0.5625</v>
      </c>
      <c r="R6421" s="0" t="n">
        <f aca="false">F6421*H6421</f>
        <v>0.75</v>
      </c>
      <c r="S6421" s="0" t="n">
        <f aca="false">G6421*H6421</f>
        <v>-0.75</v>
      </c>
      <c r="T6421" s="0" t="n">
        <f aca="false">E6421*E6421</f>
        <v>1</v>
      </c>
      <c r="U6421" s="0" t="n">
        <f aca="false">F6421*F6421</f>
        <v>0.5625</v>
      </c>
      <c r="V6421" s="0" t="n">
        <f aca="false">G6421*G6421</f>
        <v>0.5625</v>
      </c>
      <c r="W6421" s="0" t="n">
        <f aca="false">H6421*H6421</f>
        <v>1</v>
      </c>
      <c r="X6421" s="0" t="n">
        <f aca="false">SUMPRODUCT(I6421:W6421,_XtX!$B$96:$P$96)</f>
        <v>47.2563824926901</v>
      </c>
      <c r="Y6421" s="0" t="n">
        <f aca="false">SUMPRODUCT(MMULT(I6421:W6421,_XtX!$B$78:$P$92),I6421:W6421)</f>
        <v>0.531311392086988</v>
      </c>
      <c r="Z6421" s="0" t="n">
        <f aca="false">04_回帰ANOVA!$K$19*04_回帰ANOVA!$K$14*SQRT(1+Y6421)</f>
        <v>1.61298433431428</v>
      </c>
      <c r="AA6421" s="0" t="n">
        <f aca="false">X6421-Z6421</f>
        <v>45.6433981583758</v>
      </c>
      <c r="AB6421" s="0" t="n">
        <f aca="false">X6421+Z6421</f>
        <v>48.8693668270044</v>
      </c>
      <c r="AC6421" s="54" t="b">
        <f aca="false">AND(E6421&gt;=01_因子設定!$L$5-0.000000001,E6421&lt;=01_因子設定!$M$5+0.000000001,F6421&gt;=01_因子設定!$L$6-0.000000001,F6421&lt;=01_因子設定!$M$6+0.000000001,G6421&gt;=01_因子設定!$L$7-0.000000001,G6421&lt;=01_因子設定!$M$7+0.000000001,H6421&gt;=01_因子設定!$L$8-0.000000001,H6421&lt;=01_因子設定!$M$8+0.000000001,IF(01_因子設定!$B$20="Box-Behnken",E6421^2+F6421^2+G6421^2+H6421^2&lt;=2+0.000000001,TRUE()))</f>
        <v>1</v>
      </c>
      <c r="AD6421" s="55" t="n">
        <f aca="false">IF(AC6421,IF(01_因子設定!$B$13="最大化",AA6421-01_因子設定!$B$14,IF(01_因子設定!$B$13="最小化",01_因子設定!$B$15-AB6421,MIN(AA6421-01_因子設定!$B$14,01_因子設定!$B$15-AB6421))),-1E+030)</f>
        <v>-0.856601841624162</v>
      </c>
      <c r="AE6421" s="55" t="n">
        <f aca="false">IF(AC6421,IF(01_因子設定!$B$13="最大化",X6421,IF(01_因子設定!$B$13="最小化",-X6421,-ABS(X6421-01_因子設定!$B$16))),-1E+030)</f>
        <v>47.2563824926901</v>
      </c>
      <c r="AF6421" s="55" t="n">
        <f aca="false">AD6421+ROW()*0.000000001</f>
        <v>-0.856595420624162</v>
      </c>
      <c r="AG6421" s="55" t="n">
        <f aca="false">AE6421+ROW()*0.000000001</f>
        <v>47.2563889136901</v>
      </c>
    </row>
    <row r="6422" customFormat="false" ht="15" hidden="false" customHeight="false" outlineLevel="0" collapsed="false">
      <c r="A6422" s="0" t="n">
        <v>8</v>
      </c>
      <c r="B6422" s="0" t="n">
        <v>7</v>
      </c>
      <c r="C6422" s="0" t="n">
        <v>2</v>
      </c>
      <c r="D6422" s="0" t="n">
        <v>0</v>
      </c>
      <c r="E6422" s="0" t="n">
        <f aca="false">-1+A6422*0.25</f>
        <v>1</v>
      </c>
      <c r="F6422" s="0" t="n">
        <f aca="false">-1+B6422*0.25</f>
        <v>0.75</v>
      </c>
      <c r="G6422" s="0" t="n">
        <f aca="false">-1+C6422*0.25</f>
        <v>-0.5</v>
      </c>
      <c r="H6422" s="0" t="n">
        <f aca="false">-1+D6422*0.25</f>
        <v>-1</v>
      </c>
      <c r="I6422" s="0" t="n">
        <f aca="false">1</f>
        <v>1</v>
      </c>
      <c r="J6422" s="0" t="n">
        <f aca="false">E6422</f>
        <v>1</v>
      </c>
      <c r="K6422" s="0" t="n">
        <f aca="false">F6422</f>
        <v>0.75</v>
      </c>
      <c r="L6422" s="0" t="n">
        <f aca="false">G6422</f>
        <v>-0.5</v>
      </c>
      <c r="M6422" s="0" t="n">
        <f aca="false">H6422</f>
        <v>-1</v>
      </c>
      <c r="N6422" s="0" t="n">
        <f aca="false">E6422*F6422</f>
        <v>0.75</v>
      </c>
      <c r="O6422" s="0" t="n">
        <f aca="false">E6422*G6422</f>
        <v>-0.5</v>
      </c>
      <c r="P6422" s="0" t="n">
        <f aca="false">E6422*H6422</f>
        <v>-1</v>
      </c>
      <c r="Q6422" s="0" t="n">
        <f aca="false">F6422*G6422</f>
        <v>-0.375</v>
      </c>
      <c r="R6422" s="0" t="n">
        <f aca="false">F6422*H6422</f>
        <v>-0.75</v>
      </c>
      <c r="S6422" s="0" t="n">
        <f aca="false">G6422*H6422</f>
        <v>0.5</v>
      </c>
      <c r="T6422" s="0" t="n">
        <f aca="false">E6422*E6422</f>
        <v>1</v>
      </c>
      <c r="U6422" s="0" t="n">
        <f aca="false">F6422*F6422</f>
        <v>0.5625</v>
      </c>
      <c r="V6422" s="0" t="n">
        <f aca="false">G6422*G6422</f>
        <v>0.25</v>
      </c>
      <c r="W6422" s="0" t="n">
        <f aca="false">H6422*H6422</f>
        <v>1</v>
      </c>
      <c r="X6422" s="0" t="n">
        <f aca="false">SUMPRODUCT(I6422:W6422,_XtX!$B$96:$P$96)</f>
        <v>47.228591008772</v>
      </c>
      <c r="Y6422" s="0" t="n">
        <f aca="false">SUMPRODUCT(MMULT(I6422:W6422,_XtX!$B$78:$P$92),I6422:W6422)</f>
        <v>0.564984237938597</v>
      </c>
      <c r="Z6422" s="0" t="n">
        <f aca="false">04_回帰ANOVA!$K$19*04_回帰ANOVA!$K$14*SQRT(1+Y6422)</f>
        <v>1.63062229734503</v>
      </c>
      <c r="AA6422" s="0" t="n">
        <f aca="false">X6422-Z6422</f>
        <v>45.597968711427</v>
      </c>
      <c r="AB6422" s="0" t="n">
        <f aca="false">X6422+Z6422</f>
        <v>48.859213306117</v>
      </c>
      <c r="AC6422" s="54" t="b">
        <f aca="false">AND(E6422&gt;=01_因子設定!$L$5-0.000000001,E6422&lt;=01_因子設定!$M$5+0.000000001,F6422&gt;=01_因子設定!$L$6-0.000000001,F6422&lt;=01_因子設定!$M$6+0.000000001,G6422&gt;=01_因子設定!$L$7-0.000000001,G6422&lt;=01_因子設定!$M$7+0.000000001,H6422&gt;=01_因子設定!$L$8-0.000000001,H6422&lt;=01_因子設定!$M$8+0.000000001,IF(01_因子設定!$B$20="Box-Behnken",E6422^2+F6422^2+G6422^2+H6422^2&lt;=2+0.000000001,TRUE()))</f>
        <v>1</v>
      </c>
      <c r="AD6422" s="55" t="n">
        <f aca="false">IF(AC6422,IF(01_因子設定!$B$13="最大化",AA6422-01_因子設定!$B$14,IF(01_因子設定!$B$13="最小化",01_因子設定!$B$15-AB6422,MIN(AA6422-01_因子設定!$B$14,01_因子設定!$B$15-AB6422))),-1E+030)</f>
        <v>-0.902031288573042</v>
      </c>
      <c r="AE6422" s="55" t="n">
        <f aca="false">IF(AC6422,IF(01_因子設定!$B$13="最大化",X6422,IF(01_因子設定!$B$13="最小化",-X6422,-ABS(X6422-01_因子設定!$B$16))),-1E+030)</f>
        <v>47.228591008772</v>
      </c>
      <c r="AF6422" s="55" t="n">
        <f aca="false">AD6422+ROW()*0.000000001</f>
        <v>-0.902024866573042</v>
      </c>
      <c r="AG6422" s="55" t="n">
        <f aca="false">AE6422+ROW()*0.000000001</f>
        <v>47.228597430772</v>
      </c>
    </row>
    <row r="6423" customFormat="false" ht="15" hidden="false" customHeight="false" outlineLevel="0" collapsed="false">
      <c r="A6423" s="0" t="n">
        <v>8</v>
      </c>
      <c r="B6423" s="0" t="n">
        <v>7</v>
      </c>
      <c r="C6423" s="0" t="n">
        <v>2</v>
      </c>
      <c r="D6423" s="0" t="n">
        <v>1</v>
      </c>
      <c r="E6423" s="0" t="n">
        <f aca="false">-1+A6423*0.25</f>
        <v>1</v>
      </c>
      <c r="F6423" s="0" t="n">
        <f aca="false">-1+B6423*0.25</f>
        <v>0.75</v>
      </c>
      <c r="G6423" s="0" t="n">
        <f aca="false">-1+C6423*0.25</f>
        <v>-0.5</v>
      </c>
      <c r="H6423" s="0" t="n">
        <f aca="false">-1+D6423*0.25</f>
        <v>-0.75</v>
      </c>
      <c r="I6423" s="0" t="n">
        <f aca="false">1</f>
        <v>1</v>
      </c>
      <c r="J6423" s="0" t="n">
        <f aca="false">E6423</f>
        <v>1</v>
      </c>
      <c r="K6423" s="0" t="n">
        <f aca="false">F6423</f>
        <v>0.75</v>
      </c>
      <c r="L6423" s="0" t="n">
        <f aca="false">G6423</f>
        <v>-0.5</v>
      </c>
      <c r="M6423" s="0" t="n">
        <f aca="false">H6423</f>
        <v>-0.75</v>
      </c>
      <c r="N6423" s="0" t="n">
        <f aca="false">E6423*F6423</f>
        <v>0.75</v>
      </c>
      <c r="O6423" s="0" t="n">
        <f aca="false">E6423*G6423</f>
        <v>-0.5</v>
      </c>
      <c r="P6423" s="0" t="n">
        <f aca="false">E6423*H6423</f>
        <v>-0.75</v>
      </c>
      <c r="Q6423" s="0" t="n">
        <f aca="false">F6423*G6423</f>
        <v>-0.375</v>
      </c>
      <c r="R6423" s="0" t="n">
        <f aca="false">F6423*H6423</f>
        <v>-0.5625</v>
      </c>
      <c r="S6423" s="0" t="n">
        <f aca="false">G6423*H6423</f>
        <v>0.375</v>
      </c>
      <c r="T6423" s="0" t="n">
        <f aca="false">E6423*E6423</f>
        <v>1</v>
      </c>
      <c r="U6423" s="0" t="n">
        <f aca="false">F6423*F6423</f>
        <v>0.5625</v>
      </c>
      <c r="V6423" s="0" t="n">
        <f aca="false">G6423*G6423</f>
        <v>0.25</v>
      </c>
      <c r="W6423" s="0" t="n">
        <f aca="false">H6423*H6423</f>
        <v>0.5625</v>
      </c>
      <c r="X6423" s="0" t="n">
        <f aca="false">SUMPRODUCT(I6423:W6423,_XtX!$B$96:$P$96)</f>
        <v>47.4527732090644</v>
      </c>
      <c r="Y6423" s="0" t="n">
        <f aca="false">SUMPRODUCT(MMULT(I6423:W6423,_XtX!$B$78:$P$92),I6423:W6423)</f>
        <v>0.431153771472953</v>
      </c>
      <c r="Z6423" s="0" t="n">
        <f aca="false">04_回帰ANOVA!$K$19*04_回帰ANOVA!$K$14*SQRT(1+Y6423)</f>
        <v>1.55934259562563</v>
      </c>
      <c r="AA6423" s="0" t="n">
        <f aca="false">X6423-Z6423</f>
        <v>45.8934306134387</v>
      </c>
      <c r="AB6423" s="0" t="n">
        <f aca="false">X6423+Z6423</f>
        <v>49.01211580469</v>
      </c>
      <c r="AC6423" s="54" t="b">
        <f aca="false">AND(E6423&gt;=01_因子設定!$L$5-0.000000001,E6423&lt;=01_因子設定!$M$5+0.000000001,F6423&gt;=01_因子設定!$L$6-0.000000001,F6423&lt;=01_因子設定!$M$6+0.000000001,G6423&gt;=01_因子設定!$L$7-0.000000001,G6423&lt;=01_因子設定!$M$7+0.000000001,H6423&gt;=01_因子設定!$L$8-0.000000001,H6423&lt;=01_因子設定!$M$8+0.000000001,IF(01_因子設定!$B$20="Box-Behnken",E6423^2+F6423^2+G6423^2+H6423^2&lt;=2+0.000000001,TRUE()))</f>
        <v>1</v>
      </c>
      <c r="AD6423" s="55" t="n">
        <f aca="false">IF(AC6423,IF(01_因子設定!$B$13="最大化",AA6423-01_因子設定!$B$14,IF(01_因子設定!$B$13="最小化",01_因子設定!$B$15-AB6423,MIN(AA6423-01_因子設定!$B$14,01_因子設定!$B$15-AB6423))),-1E+030)</f>
        <v>-0.606569386561255</v>
      </c>
      <c r="AE6423" s="55" t="n">
        <f aca="false">IF(AC6423,IF(01_因子設定!$B$13="最大化",X6423,IF(01_因子設定!$B$13="最小化",-X6423,-ABS(X6423-01_因子設定!$B$16))),-1E+030)</f>
        <v>47.4527732090644</v>
      </c>
      <c r="AF6423" s="55" t="n">
        <f aca="false">AD6423+ROW()*0.000000001</f>
        <v>-0.606562963561255</v>
      </c>
      <c r="AG6423" s="55" t="n">
        <f aca="false">AE6423+ROW()*0.000000001</f>
        <v>47.4527796320644</v>
      </c>
    </row>
    <row r="6424" customFormat="false" ht="15" hidden="false" customHeight="false" outlineLevel="0" collapsed="false">
      <c r="A6424" s="0" t="n">
        <v>8</v>
      </c>
      <c r="B6424" s="0" t="n">
        <v>7</v>
      </c>
      <c r="C6424" s="0" t="n">
        <v>2</v>
      </c>
      <c r="D6424" s="0" t="n">
        <v>2</v>
      </c>
      <c r="E6424" s="0" t="n">
        <f aca="false">-1+A6424*0.25</f>
        <v>1</v>
      </c>
      <c r="F6424" s="0" t="n">
        <f aca="false">-1+B6424*0.25</f>
        <v>0.75</v>
      </c>
      <c r="G6424" s="0" t="n">
        <f aca="false">-1+C6424*0.25</f>
        <v>-0.5</v>
      </c>
      <c r="H6424" s="0" t="n">
        <f aca="false">-1+D6424*0.25</f>
        <v>-0.5</v>
      </c>
      <c r="I6424" s="0" t="n">
        <f aca="false">1</f>
        <v>1</v>
      </c>
      <c r="J6424" s="0" t="n">
        <f aca="false">E6424</f>
        <v>1</v>
      </c>
      <c r="K6424" s="0" t="n">
        <f aca="false">F6424</f>
        <v>0.75</v>
      </c>
      <c r="L6424" s="0" t="n">
        <f aca="false">G6424</f>
        <v>-0.5</v>
      </c>
      <c r="M6424" s="0" t="n">
        <f aca="false">H6424</f>
        <v>-0.5</v>
      </c>
      <c r="N6424" s="0" t="n">
        <f aca="false">E6424*F6424</f>
        <v>0.75</v>
      </c>
      <c r="O6424" s="0" t="n">
        <f aca="false">E6424*G6424</f>
        <v>-0.5</v>
      </c>
      <c r="P6424" s="0" t="n">
        <f aca="false">E6424*H6424</f>
        <v>-0.5</v>
      </c>
      <c r="Q6424" s="0" t="n">
        <f aca="false">F6424*G6424</f>
        <v>-0.375</v>
      </c>
      <c r="R6424" s="0" t="n">
        <f aca="false">F6424*H6424</f>
        <v>-0.375</v>
      </c>
      <c r="S6424" s="0" t="n">
        <f aca="false">G6424*H6424</f>
        <v>0.25</v>
      </c>
      <c r="T6424" s="0" t="n">
        <f aca="false">E6424*E6424</f>
        <v>1</v>
      </c>
      <c r="U6424" s="0" t="n">
        <f aca="false">F6424*F6424</f>
        <v>0.5625</v>
      </c>
      <c r="V6424" s="0" t="n">
        <f aca="false">G6424*G6424</f>
        <v>0.25</v>
      </c>
      <c r="W6424" s="0" t="n">
        <f aca="false">H6424*H6424</f>
        <v>0.25</v>
      </c>
      <c r="X6424" s="0" t="n">
        <f aca="false">SUMPRODUCT(I6424:W6424,_XtX!$B$96:$P$96)</f>
        <v>47.6291483918129</v>
      </c>
      <c r="Y6424" s="0" t="n">
        <f aca="false">SUMPRODUCT(MMULT(I6424:W6424,_XtX!$B$78:$P$92),I6424:W6424)</f>
        <v>0.42602110745614</v>
      </c>
      <c r="Z6424" s="0" t="n">
        <f aca="false">04_回帰ANOVA!$K$19*04_回帰ANOVA!$K$14*SQRT(1+Y6424)</f>
        <v>1.55654388501114</v>
      </c>
      <c r="AA6424" s="0" t="n">
        <f aca="false">X6424-Z6424</f>
        <v>46.0726045068018</v>
      </c>
      <c r="AB6424" s="0" t="n">
        <f aca="false">X6424+Z6424</f>
        <v>49.185692276824</v>
      </c>
      <c r="AC6424" s="54" t="b">
        <f aca="false">AND(E6424&gt;=01_因子設定!$L$5-0.000000001,E6424&lt;=01_因子設定!$M$5+0.000000001,F6424&gt;=01_因子設定!$L$6-0.000000001,F6424&lt;=01_因子設定!$M$6+0.000000001,G6424&gt;=01_因子設定!$L$7-0.000000001,G6424&lt;=01_因子設定!$M$7+0.000000001,H6424&gt;=01_因子設定!$L$8-0.000000001,H6424&lt;=01_因子設定!$M$8+0.000000001,IF(01_因子設定!$B$20="Box-Behnken",E6424^2+F6424^2+G6424^2+H6424^2&lt;=2+0.000000001,TRUE()))</f>
        <v>1</v>
      </c>
      <c r="AD6424" s="55" t="n">
        <f aca="false">IF(AC6424,IF(01_因子設定!$B$13="最大化",AA6424-01_因子設定!$B$14,IF(01_因子設定!$B$13="最小化",01_因子設定!$B$15-AB6424,MIN(AA6424-01_因子設定!$B$14,01_因子設定!$B$15-AB6424))),-1E+030)</f>
        <v>-0.42739549319824</v>
      </c>
      <c r="AE6424" s="55" t="n">
        <f aca="false">IF(AC6424,IF(01_因子設定!$B$13="最大化",X6424,IF(01_因子設定!$B$13="最小化",-X6424,-ABS(X6424-01_因子設定!$B$16))),-1E+030)</f>
        <v>47.6291483918129</v>
      </c>
      <c r="AF6424" s="55" t="n">
        <f aca="false">AD6424+ROW()*0.000000001</f>
        <v>-0.42738906919824</v>
      </c>
      <c r="AG6424" s="55" t="n">
        <f aca="false">AE6424+ROW()*0.000000001</f>
        <v>47.6291548158129</v>
      </c>
    </row>
    <row r="6425" customFormat="false" ht="15" hidden="false" customHeight="false" outlineLevel="0" collapsed="false">
      <c r="A6425" s="0" t="n">
        <v>8</v>
      </c>
      <c r="B6425" s="0" t="n">
        <v>7</v>
      </c>
      <c r="C6425" s="0" t="n">
        <v>2</v>
      </c>
      <c r="D6425" s="0" t="n">
        <v>3</v>
      </c>
      <c r="E6425" s="0" t="n">
        <f aca="false">-1+A6425*0.25</f>
        <v>1</v>
      </c>
      <c r="F6425" s="0" t="n">
        <f aca="false">-1+B6425*0.25</f>
        <v>0.75</v>
      </c>
      <c r="G6425" s="0" t="n">
        <f aca="false">-1+C6425*0.25</f>
        <v>-0.5</v>
      </c>
      <c r="H6425" s="0" t="n">
        <f aca="false">-1+D6425*0.25</f>
        <v>-0.25</v>
      </c>
      <c r="I6425" s="0" t="n">
        <f aca="false">1</f>
        <v>1</v>
      </c>
      <c r="J6425" s="0" t="n">
        <f aca="false">E6425</f>
        <v>1</v>
      </c>
      <c r="K6425" s="0" t="n">
        <f aca="false">F6425</f>
        <v>0.75</v>
      </c>
      <c r="L6425" s="0" t="n">
        <f aca="false">G6425</f>
        <v>-0.5</v>
      </c>
      <c r="M6425" s="0" t="n">
        <f aca="false">H6425</f>
        <v>-0.25</v>
      </c>
      <c r="N6425" s="0" t="n">
        <f aca="false">E6425*F6425</f>
        <v>0.75</v>
      </c>
      <c r="O6425" s="0" t="n">
        <f aca="false">E6425*G6425</f>
        <v>-0.5</v>
      </c>
      <c r="P6425" s="0" t="n">
        <f aca="false">E6425*H6425</f>
        <v>-0.25</v>
      </c>
      <c r="Q6425" s="0" t="n">
        <f aca="false">F6425*G6425</f>
        <v>-0.375</v>
      </c>
      <c r="R6425" s="0" t="n">
        <f aca="false">F6425*H6425</f>
        <v>-0.1875</v>
      </c>
      <c r="S6425" s="0" t="n">
        <f aca="false">G6425*H6425</f>
        <v>0.125</v>
      </c>
      <c r="T6425" s="0" t="n">
        <f aca="false">E6425*E6425</f>
        <v>1</v>
      </c>
      <c r="U6425" s="0" t="n">
        <f aca="false">F6425*F6425</f>
        <v>0.5625</v>
      </c>
      <c r="V6425" s="0" t="n">
        <f aca="false">G6425*G6425</f>
        <v>0.25</v>
      </c>
      <c r="W6425" s="0" t="n">
        <f aca="false">H6425*H6425</f>
        <v>0.0625</v>
      </c>
      <c r="X6425" s="0" t="n">
        <f aca="false">SUMPRODUCT(I6425:W6425,_XtX!$B$96:$P$96)</f>
        <v>47.7577165570176</v>
      </c>
      <c r="Y6425" s="0" t="n">
        <f aca="false">SUMPRODUCT(MMULT(I6425:W6425,_XtX!$B$78:$P$92),I6425:W6425)</f>
        <v>0.459125719572369</v>
      </c>
      <c r="Z6425" s="0" t="n">
        <f aca="false">04_回帰ANOVA!$K$19*04_回帰ANOVA!$K$14*SQRT(1+Y6425)</f>
        <v>1.57450755575573</v>
      </c>
      <c r="AA6425" s="0" t="n">
        <f aca="false">X6425-Z6425</f>
        <v>46.1832090012618</v>
      </c>
      <c r="AB6425" s="0" t="n">
        <f aca="false">X6425+Z6425</f>
        <v>49.3322241127733</v>
      </c>
      <c r="AC6425" s="54" t="b">
        <f aca="false">AND(E6425&gt;=01_因子設定!$L$5-0.000000001,E6425&lt;=01_因子設定!$M$5+0.000000001,F6425&gt;=01_因子設定!$L$6-0.000000001,F6425&lt;=01_因子設定!$M$6+0.000000001,G6425&gt;=01_因子設定!$L$7-0.000000001,G6425&lt;=01_因子設定!$M$7+0.000000001,H6425&gt;=01_因子設定!$L$8-0.000000001,H6425&lt;=01_因子設定!$M$8+0.000000001,IF(01_因子設定!$B$20="Box-Behnken",E6425^2+F6425^2+G6425^2+H6425^2&lt;=2+0.000000001,TRUE()))</f>
        <v>1</v>
      </c>
      <c r="AD6425" s="55" t="n">
        <f aca="false">IF(AC6425,IF(01_因子設定!$B$13="最大化",AA6425-01_因子設定!$B$14,IF(01_因子設定!$B$13="最小化",01_因子設定!$B$15-AB6425,MIN(AA6425-01_因子設定!$B$14,01_因子設定!$B$15-AB6425))),-1E+030)</f>
        <v>-0.316790998738156</v>
      </c>
      <c r="AE6425" s="55" t="n">
        <f aca="false">IF(AC6425,IF(01_因子設定!$B$13="最大化",X6425,IF(01_因子設定!$B$13="最小化",-X6425,-ABS(X6425-01_因子設定!$B$16))),-1E+030)</f>
        <v>47.7577165570176</v>
      </c>
      <c r="AF6425" s="55" t="n">
        <f aca="false">AD6425+ROW()*0.000000001</f>
        <v>-0.316784573738156</v>
      </c>
      <c r="AG6425" s="55" t="n">
        <f aca="false">AE6425+ROW()*0.000000001</f>
        <v>47.7577229820176</v>
      </c>
    </row>
    <row r="6426" customFormat="false" ht="15" hidden="false" customHeight="false" outlineLevel="0" collapsed="false">
      <c r="A6426" s="0" t="n">
        <v>8</v>
      </c>
      <c r="B6426" s="0" t="n">
        <v>7</v>
      </c>
      <c r="C6426" s="0" t="n">
        <v>2</v>
      </c>
      <c r="D6426" s="0" t="n">
        <v>4</v>
      </c>
      <c r="E6426" s="0" t="n">
        <f aca="false">-1+A6426*0.25</f>
        <v>1</v>
      </c>
      <c r="F6426" s="0" t="n">
        <f aca="false">-1+B6426*0.25</f>
        <v>0.75</v>
      </c>
      <c r="G6426" s="0" t="n">
        <f aca="false">-1+C6426*0.25</f>
        <v>-0.5</v>
      </c>
      <c r="H6426" s="0" t="n">
        <f aca="false">-1+D6426*0.25</f>
        <v>0</v>
      </c>
      <c r="I6426" s="0" t="n">
        <f aca="false">1</f>
        <v>1</v>
      </c>
      <c r="J6426" s="0" t="n">
        <f aca="false">E6426</f>
        <v>1</v>
      </c>
      <c r="K6426" s="0" t="n">
        <f aca="false">F6426</f>
        <v>0.75</v>
      </c>
      <c r="L6426" s="0" t="n">
        <f aca="false">G6426</f>
        <v>-0.5</v>
      </c>
      <c r="M6426" s="0" t="n">
        <f aca="false">H6426</f>
        <v>0</v>
      </c>
      <c r="N6426" s="0" t="n">
        <f aca="false">E6426*F6426</f>
        <v>0.75</v>
      </c>
      <c r="O6426" s="0" t="n">
        <f aca="false">E6426*G6426</f>
        <v>-0.5</v>
      </c>
      <c r="P6426" s="0" t="n">
        <f aca="false">E6426*H6426</f>
        <v>0</v>
      </c>
      <c r="Q6426" s="0" t="n">
        <f aca="false">F6426*G6426</f>
        <v>-0.375</v>
      </c>
      <c r="R6426" s="0" t="n">
        <f aca="false">F6426*H6426</f>
        <v>0</v>
      </c>
      <c r="S6426" s="0" t="n">
        <f aca="false">G6426*H6426</f>
        <v>-0</v>
      </c>
      <c r="T6426" s="0" t="n">
        <f aca="false">E6426*E6426</f>
        <v>1</v>
      </c>
      <c r="U6426" s="0" t="n">
        <f aca="false">F6426*F6426</f>
        <v>0.5625</v>
      </c>
      <c r="V6426" s="0" t="n">
        <f aca="false">G6426*G6426</f>
        <v>0.25</v>
      </c>
      <c r="W6426" s="0" t="n">
        <f aca="false">H6426*H6426</f>
        <v>0</v>
      </c>
      <c r="X6426" s="0" t="n">
        <f aca="false">SUMPRODUCT(I6426:W6426,_XtX!$B$96:$P$96)</f>
        <v>47.8384777046784</v>
      </c>
      <c r="Y6426" s="0" t="n">
        <f aca="false">SUMPRODUCT(MMULT(I6426:W6426,_XtX!$B$78:$P$92),I6426:W6426)</f>
        <v>0.476191292032164</v>
      </c>
      <c r="Z6426" s="0" t="n">
        <f aca="false">04_回帰ANOVA!$K$19*04_回帰ANOVA!$K$14*SQRT(1+Y6426)</f>
        <v>1.58368831471718</v>
      </c>
      <c r="AA6426" s="0" t="n">
        <f aca="false">X6426-Z6426</f>
        <v>46.2547893899612</v>
      </c>
      <c r="AB6426" s="0" t="n">
        <f aca="false">X6426+Z6426</f>
        <v>49.4221660193956</v>
      </c>
      <c r="AC6426" s="54" t="b">
        <f aca="false">AND(E6426&gt;=01_因子設定!$L$5-0.000000001,E6426&lt;=01_因子設定!$M$5+0.000000001,F6426&gt;=01_因子設定!$L$6-0.000000001,F6426&lt;=01_因子設定!$M$6+0.000000001,G6426&gt;=01_因子設定!$L$7-0.000000001,G6426&lt;=01_因子設定!$M$7+0.000000001,H6426&gt;=01_因子設定!$L$8-0.000000001,H6426&lt;=01_因子設定!$M$8+0.000000001,IF(01_因子設定!$B$20="Box-Behnken",E6426^2+F6426^2+G6426^2+H6426^2&lt;=2+0.000000001,TRUE()))</f>
        <v>1</v>
      </c>
      <c r="AD6426" s="55" t="n">
        <f aca="false">IF(AC6426,IF(01_因子設定!$B$13="最大化",AA6426-01_因子設定!$B$14,IF(01_因子設定!$B$13="最小化",01_因子設定!$B$15-AB6426,MIN(AA6426-01_因子設定!$B$14,01_因子設定!$B$15-AB6426))),-1E+030)</f>
        <v>-0.245210610038789</v>
      </c>
      <c r="AE6426" s="55" t="n">
        <f aca="false">IF(AC6426,IF(01_因子設定!$B$13="最大化",X6426,IF(01_因子設定!$B$13="最小化",-X6426,-ABS(X6426-01_因子設定!$B$16))),-1E+030)</f>
        <v>47.8384777046784</v>
      </c>
      <c r="AF6426" s="55" t="n">
        <f aca="false">AD6426+ROW()*0.000000001</f>
        <v>-0.245204184038789</v>
      </c>
      <c r="AG6426" s="55" t="n">
        <f aca="false">AE6426+ROW()*0.000000001</f>
        <v>47.8384841306784</v>
      </c>
    </row>
    <row r="6427" customFormat="false" ht="15" hidden="false" customHeight="false" outlineLevel="0" collapsed="false">
      <c r="A6427" s="0" t="n">
        <v>8</v>
      </c>
      <c r="B6427" s="0" t="n">
        <v>7</v>
      </c>
      <c r="C6427" s="0" t="n">
        <v>2</v>
      </c>
      <c r="D6427" s="0" t="n">
        <v>5</v>
      </c>
      <c r="E6427" s="0" t="n">
        <f aca="false">-1+A6427*0.25</f>
        <v>1</v>
      </c>
      <c r="F6427" s="0" t="n">
        <f aca="false">-1+B6427*0.25</f>
        <v>0.75</v>
      </c>
      <c r="G6427" s="0" t="n">
        <f aca="false">-1+C6427*0.25</f>
        <v>-0.5</v>
      </c>
      <c r="H6427" s="0" t="n">
        <f aca="false">-1+D6427*0.25</f>
        <v>0.25</v>
      </c>
      <c r="I6427" s="0" t="n">
        <f aca="false">1</f>
        <v>1</v>
      </c>
      <c r="J6427" s="0" t="n">
        <f aca="false">E6427</f>
        <v>1</v>
      </c>
      <c r="K6427" s="0" t="n">
        <f aca="false">F6427</f>
        <v>0.75</v>
      </c>
      <c r="L6427" s="0" t="n">
        <f aca="false">G6427</f>
        <v>-0.5</v>
      </c>
      <c r="M6427" s="0" t="n">
        <f aca="false">H6427</f>
        <v>0.25</v>
      </c>
      <c r="N6427" s="0" t="n">
        <f aca="false">E6427*F6427</f>
        <v>0.75</v>
      </c>
      <c r="O6427" s="0" t="n">
        <f aca="false">E6427*G6427</f>
        <v>-0.5</v>
      </c>
      <c r="P6427" s="0" t="n">
        <f aca="false">E6427*H6427</f>
        <v>0.25</v>
      </c>
      <c r="Q6427" s="0" t="n">
        <f aca="false">F6427*G6427</f>
        <v>-0.375</v>
      </c>
      <c r="R6427" s="0" t="n">
        <f aca="false">F6427*H6427</f>
        <v>0.1875</v>
      </c>
      <c r="S6427" s="0" t="n">
        <f aca="false">G6427*H6427</f>
        <v>-0.125</v>
      </c>
      <c r="T6427" s="0" t="n">
        <f aca="false">E6427*E6427</f>
        <v>1</v>
      </c>
      <c r="U6427" s="0" t="n">
        <f aca="false">F6427*F6427</f>
        <v>0.5625</v>
      </c>
      <c r="V6427" s="0" t="n">
        <f aca="false">G6427*G6427</f>
        <v>0.25</v>
      </c>
      <c r="W6427" s="0" t="n">
        <f aca="false">H6427*H6427</f>
        <v>0.0625</v>
      </c>
      <c r="X6427" s="0" t="n">
        <f aca="false">SUMPRODUCT(I6427:W6427,_XtX!$B$96:$P$96)</f>
        <v>47.8714318347953</v>
      </c>
      <c r="Y6427" s="0" t="n">
        <f aca="false">SUMPRODUCT(MMULT(I6427:W6427,_XtX!$B$78:$P$92),I6427:W6427)</f>
        <v>0.459125719572369</v>
      </c>
      <c r="Z6427" s="0" t="n">
        <f aca="false">04_回帰ANOVA!$K$19*04_回帰ANOVA!$K$14*SQRT(1+Y6427)</f>
        <v>1.57450755575573</v>
      </c>
      <c r="AA6427" s="0" t="n">
        <f aca="false">X6427-Z6427</f>
        <v>46.2969242790396</v>
      </c>
      <c r="AB6427" s="0" t="n">
        <f aca="false">X6427+Z6427</f>
        <v>49.4459393905511</v>
      </c>
      <c r="AC6427" s="54" t="b">
        <f aca="false">AND(E6427&gt;=01_因子設定!$L$5-0.000000001,E6427&lt;=01_因子設定!$M$5+0.000000001,F6427&gt;=01_因子設定!$L$6-0.000000001,F6427&lt;=01_因子設定!$M$6+0.000000001,G6427&gt;=01_因子設定!$L$7-0.000000001,G6427&lt;=01_因子設定!$M$7+0.000000001,H6427&gt;=01_因子設定!$L$8-0.000000001,H6427&lt;=01_因子設定!$M$8+0.000000001,IF(01_因子設定!$B$20="Box-Behnken",E6427^2+F6427^2+G6427^2+H6427^2&lt;=2+0.000000001,TRUE()))</f>
        <v>1</v>
      </c>
      <c r="AD6427" s="55" t="n">
        <f aca="false">IF(AC6427,IF(01_因子設定!$B$13="最大化",AA6427-01_因子設定!$B$14,IF(01_因子設定!$B$13="最小化",01_因子設定!$B$15-AB6427,MIN(AA6427-01_因子設定!$B$14,01_因子設定!$B$15-AB6427))),-1E+030)</f>
        <v>-0.203075720960385</v>
      </c>
      <c r="AE6427" s="55" t="n">
        <f aca="false">IF(AC6427,IF(01_因子設定!$B$13="最大化",X6427,IF(01_因子設定!$B$13="最小化",-X6427,-ABS(X6427-01_因子設定!$B$16))),-1E+030)</f>
        <v>47.8714318347953</v>
      </c>
      <c r="AF6427" s="55" t="n">
        <f aca="false">AD6427+ROW()*0.000000001</f>
        <v>-0.203069293960385</v>
      </c>
      <c r="AG6427" s="55" t="n">
        <f aca="false">AE6427+ROW()*0.000000001</f>
        <v>47.8714382617954</v>
      </c>
    </row>
    <row r="6428" customFormat="false" ht="15" hidden="false" customHeight="false" outlineLevel="0" collapsed="false">
      <c r="A6428" s="0" t="n">
        <v>8</v>
      </c>
      <c r="B6428" s="0" t="n">
        <v>7</v>
      </c>
      <c r="C6428" s="0" t="n">
        <v>2</v>
      </c>
      <c r="D6428" s="0" t="n">
        <v>6</v>
      </c>
      <c r="E6428" s="0" t="n">
        <f aca="false">-1+A6428*0.25</f>
        <v>1</v>
      </c>
      <c r="F6428" s="0" t="n">
        <f aca="false">-1+B6428*0.25</f>
        <v>0.75</v>
      </c>
      <c r="G6428" s="0" t="n">
        <f aca="false">-1+C6428*0.25</f>
        <v>-0.5</v>
      </c>
      <c r="H6428" s="0" t="n">
        <f aca="false">-1+D6428*0.25</f>
        <v>0.5</v>
      </c>
      <c r="I6428" s="0" t="n">
        <f aca="false">1</f>
        <v>1</v>
      </c>
      <c r="J6428" s="0" t="n">
        <f aca="false">E6428</f>
        <v>1</v>
      </c>
      <c r="K6428" s="0" t="n">
        <f aca="false">F6428</f>
        <v>0.75</v>
      </c>
      <c r="L6428" s="0" t="n">
        <f aca="false">G6428</f>
        <v>-0.5</v>
      </c>
      <c r="M6428" s="0" t="n">
        <f aca="false">H6428</f>
        <v>0.5</v>
      </c>
      <c r="N6428" s="0" t="n">
        <f aca="false">E6428*F6428</f>
        <v>0.75</v>
      </c>
      <c r="O6428" s="0" t="n">
        <f aca="false">E6428*G6428</f>
        <v>-0.5</v>
      </c>
      <c r="P6428" s="0" t="n">
        <f aca="false">E6428*H6428</f>
        <v>0.5</v>
      </c>
      <c r="Q6428" s="0" t="n">
        <f aca="false">F6428*G6428</f>
        <v>-0.375</v>
      </c>
      <c r="R6428" s="0" t="n">
        <f aca="false">F6428*H6428</f>
        <v>0.375</v>
      </c>
      <c r="S6428" s="0" t="n">
        <f aca="false">G6428*H6428</f>
        <v>-0.25</v>
      </c>
      <c r="T6428" s="0" t="n">
        <f aca="false">E6428*E6428</f>
        <v>1</v>
      </c>
      <c r="U6428" s="0" t="n">
        <f aca="false">F6428*F6428</f>
        <v>0.5625</v>
      </c>
      <c r="V6428" s="0" t="n">
        <f aca="false">G6428*G6428</f>
        <v>0.25</v>
      </c>
      <c r="W6428" s="0" t="n">
        <f aca="false">H6428*H6428</f>
        <v>0.25</v>
      </c>
      <c r="X6428" s="0" t="n">
        <f aca="false">SUMPRODUCT(I6428:W6428,_XtX!$B$96:$P$96)</f>
        <v>47.8565789473685</v>
      </c>
      <c r="Y6428" s="0" t="n">
        <f aca="false">SUMPRODUCT(MMULT(I6428:W6428,_XtX!$B$78:$P$92),I6428:W6428)</f>
        <v>0.42602110745614</v>
      </c>
      <c r="Z6428" s="0" t="n">
        <f aca="false">04_回帰ANOVA!$K$19*04_回帰ANOVA!$K$14*SQRT(1+Y6428)</f>
        <v>1.55654388501114</v>
      </c>
      <c r="AA6428" s="0" t="n">
        <f aca="false">X6428-Z6428</f>
        <v>46.3000350623573</v>
      </c>
      <c r="AB6428" s="0" t="n">
        <f aca="false">X6428+Z6428</f>
        <v>49.4131228323796</v>
      </c>
      <c r="AC6428" s="54" t="b">
        <f aca="false">AND(E6428&gt;=01_因子設定!$L$5-0.000000001,E6428&lt;=01_因子設定!$M$5+0.000000001,F6428&gt;=01_因子設定!$L$6-0.000000001,F6428&lt;=01_因子設定!$M$6+0.000000001,G6428&gt;=01_因子設定!$L$7-0.000000001,G6428&lt;=01_因子設定!$M$7+0.000000001,H6428&gt;=01_因子設定!$L$8-0.000000001,H6428&lt;=01_因子設定!$M$8+0.000000001,IF(01_因子設定!$B$20="Box-Behnken",E6428^2+F6428^2+G6428^2+H6428^2&lt;=2+0.000000001,TRUE()))</f>
        <v>1</v>
      </c>
      <c r="AD6428" s="55" t="n">
        <f aca="false">IF(AC6428,IF(01_因子設定!$B$13="最大化",AA6428-01_因子設定!$B$14,IF(01_因子設定!$B$13="最小化",01_因子設定!$B$15-AB6428,MIN(AA6428-01_因子設定!$B$14,01_因子設定!$B$15-AB6428))),-1E+030)</f>
        <v>-0.199964937642683</v>
      </c>
      <c r="AE6428" s="55" t="n">
        <f aca="false">IF(AC6428,IF(01_因子設定!$B$13="最大化",X6428,IF(01_因子設定!$B$13="最小化",-X6428,-ABS(X6428-01_因子設定!$B$16))),-1E+030)</f>
        <v>47.8565789473685</v>
      </c>
      <c r="AF6428" s="55" t="n">
        <f aca="false">AD6428+ROW()*0.000000001</f>
        <v>-0.199958509642683</v>
      </c>
      <c r="AG6428" s="55" t="n">
        <f aca="false">AE6428+ROW()*0.000000001</f>
        <v>47.8565853753685</v>
      </c>
    </row>
    <row r="6429" customFormat="false" ht="15" hidden="false" customHeight="false" outlineLevel="0" collapsed="false">
      <c r="A6429" s="0" t="n">
        <v>8</v>
      </c>
      <c r="B6429" s="0" t="n">
        <v>7</v>
      </c>
      <c r="C6429" s="0" t="n">
        <v>2</v>
      </c>
      <c r="D6429" s="0" t="n">
        <v>7</v>
      </c>
      <c r="E6429" s="0" t="n">
        <f aca="false">-1+A6429*0.25</f>
        <v>1</v>
      </c>
      <c r="F6429" s="0" t="n">
        <f aca="false">-1+B6429*0.25</f>
        <v>0.75</v>
      </c>
      <c r="G6429" s="0" t="n">
        <f aca="false">-1+C6429*0.25</f>
        <v>-0.5</v>
      </c>
      <c r="H6429" s="0" t="n">
        <f aca="false">-1+D6429*0.25</f>
        <v>0.75</v>
      </c>
      <c r="I6429" s="0" t="n">
        <f aca="false">1</f>
        <v>1</v>
      </c>
      <c r="J6429" s="0" t="n">
        <f aca="false">E6429</f>
        <v>1</v>
      </c>
      <c r="K6429" s="0" t="n">
        <f aca="false">F6429</f>
        <v>0.75</v>
      </c>
      <c r="L6429" s="0" t="n">
        <f aca="false">G6429</f>
        <v>-0.5</v>
      </c>
      <c r="M6429" s="0" t="n">
        <f aca="false">H6429</f>
        <v>0.75</v>
      </c>
      <c r="N6429" s="0" t="n">
        <f aca="false">E6429*F6429</f>
        <v>0.75</v>
      </c>
      <c r="O6429" s="0" t="n">
        <f aca="false">E6429*G6429</f>
        <v>-0.5</v>
      </c>
      <c r="P6429" s="0" t="n">
        <f aca="false">E6429*H6429</f>
        <v>0.75</v>
      </c>
      <c r="Q6429" s="0" t="n">
        <f aca="false">F6429*G6429</f>
        <v>-0.375</v>
      </c>
      <c r="R6429" s="0" t="n">
        <f aca="false">F6429*H6429</f>
        <v>0.5625</v>
      </c>
      <c r="S6429" s="0" t="n">
        <f aca="false">G6429*H6429</f>
        <v>-0.375</v>
      </c>
      <c r="T6429" s="0" t="n">
        <f aca="false">E6429*E6429</f>
        <v>1</v>
      </c>
      <c r="U6429" s="0" t="n">
        <f aca="false">F6429*F6429</f>
        <v>0.5625</v>
      </c>
      <c r="V6429" s="0" t="n">
        <f aca="false">G6429*G6429</f>
        <v>0.25</v>
      </c>
      <c r="W6429" s="0" t="n">
        <f aca="false">H6429*H6429</f>
        <v>0.5625</v>
      </c>
      <c r="X6429" s="0" t="n">
        <f aca="false">SUMPRODUCT(I6429:W6429,_XtX!$B$96:$P$96)</f>
        <v>47.7939190423977</v>
      </c>
      <c r="Y6429" s="0" t="n">
        <f aca="false">SUMPRODUCT(MMULT(I6429:W6429,_XtX!$B$78:$P$92),I6429:W6429)</f>
        <v>0.431153771472953</v>
      </c>
      <c r="Z6429" s="0" t="n">
        <f aca="false">04_回帰ANOVA!$K$19*04_回帰ANOVA!$K$14*SQRT(1+Y6429)</f>
        <v>1.55934259562563</v>
      </c>
      <c r="AA6429" s="0" t="n">
        <f aca="false">X6429-Z6429</f>
        <v>46.2345764467721</v>
      </c>
      <c r="AB6429" s="0" t="n">
        <f aca="false">X6429+Z6429</f>
        <v>49.3532616380233</v>
      </c>
      <c r="AC6429" s="54" t="b">
        <f aca="false">AND(E6429&gt;=01_因子設定!$L$5-0.000000001,E6429&lt;=01_因子設定!$M$5+0.000000001,F6429&gt;=01_因子設定!$L$6-0.000000001,F6429&lt;=01_因子設定!$M$6+0.000000001,G6429&gt;=01_因子設定!$L$7-0.000000001,G6429&lt;=01_因子設定!$M$7+0.000000001,H6429&gt;=01_因子設定!$L$8-0.000000001,H6429&lt;=01_因子設定!$M$8+0.000000001,IF(01_因子設定!$B$20="Box-Behnken",E6429^2+F6429^2+G6429^2+H6429^2&lt;=2+0.000000001,TRUE()))</f>
        <v>1</v>
      </c>
      <c r="AD6429" s="55" t="n">
        <f aca="false">IF(AC6429,IF(01_因子設定!$B$13="最大化",AA6429-01_因子設定!$B$14,IF(01_因子設定!$B$13="最小化",01_因子設定!$B$15-AB6429,MIN(AA6429-01_因子設定!$B$14,01_因子設定!$B$15-AB6429))),-1E+030)</f>
        <v>-0.265423553227926</v>
      </c>
      <c r="AE6429" s="55" t="n">
        <f aca="false">IF(AC6429,IF(01_因子設定!$B$13="最大化",X6429,IF(01_因子設定!$B$13="最小化",-X6429,-ABS(X6429-01_因子設定!$B$16))),-1E+030)</f>
        <v>47.7939190423977</v>
      </c>
      <c r="AF6429" s="55" t="n">
        <f aca="false">AD6429+ROW()*0.000000001</f>
        <v>-0.265417124227926</v>
      </c>
      <c r="AG6429" s="55" t="n">
        <f aca="false">AE6429+ROW()*0.000000001</f>
        <v>47.7939254713977</v>
      </c>
    </row>
    <row r="6430" customFormat="false" ht="15" hidden="false" customHeight="false" outlineLevel="0" collapsed="false">
      <c r="A6430" s="0" t="n">
        <v>8</v>
      </c>
      <c r="B6430" s="0" t="n">
        <v>7</v>
      </c>
      <c r="C6430" s="0" t="n">
        <v>2</v>
      </c>
      <c r="D6430" s="0" t="n">
        <v>8</v>
      </c>
      <c r="E6430" s="0" t="n">
        <f aca="false">-1+A6430*0.25</f>
        <v>1</v>
      </c>
      <c r="F6430" s="0" t="n">
        <f aca="false">-1+B6430*0.25</f>
        <v>0.75</v>
      </c>
      <c r="G6430" s="0" t="n">
        <f aca="false">-1+C6430*0.25</f>
        <v>-0.5</v>
      </c>
      <c r="H6430" s="0" t="n">
        <f aca="false">-1+D6430*0.25</f>
        <v>1</v>
      </c>
      <c r="I6430" s="0" t="n">
        <f aca="false">1</f>
        <v>1</v>
      </c>
      <c r="J6430" s="0" t="n">
        <f aca="false">E6430</f>
        <v>1</v>
      </c>
      <c r="K6430" s="0" t="n">
        <f aca="false">F6430</f>
        <v>0.75</v>
      </c>
      <c r="L6430" s="0" t="n">
        <f aca="false">G6430</f>
        <v>-0.5</v>
      </c>
      <c r="M6430" s="0" t="n">
        <f aca="false">H6430</f>
        <v>1</v>
      </c>
      <c r="N6430" s="0" t="n">
        <f aca="false">E6430*F6430</f>
        <v>0.75</v>
      </c>
      <c r="O6430" s="0" t="n">
        <f aca="false">E6430*G6430</f>
        <v>-0.5</v>
      </c>
      <c r="P6430" s="0" t="n">
        <f aca="false">E6430*H6430</f>
        <v>1</v>
      </c>
      <c r="Q6430" s="0" t="n">
        <f aca="false">F6430*G6430</f>
        <v>-0.375</v>
      </c>
      <c r="R6430" s="0" t="n">
        <f aca="false">F6430*H6430</f>
        <v>0.75</v>
      </c>
      <c r="S6430" s="0" t="n">
        <f aca="false">G6430*H6430</f>
        <v>-0.5</v>
      </c>
      <c r="T6430" s="0" t="n">
        <f aca="false">E6430*E6430</f>
        <v>1</v>
      </c>
      <c r="U6430" s="0" t="n">
        <f aca="false">F6430*F6430</f>
        <v>0.5625</v>
      </c>
      <c r="V6430" s="0" t="n">
        <f aca="false">G6430*G6430</f>
        <v>0.25</v>
      </c>
      <c r="W6430" s="0" t="n">
        <f aca="false">H6430*H6430</f>
        <v>1</v>
      </c>
      <c r="X6430" s="0" t="n">
        <f aca="false">SUMPRODUCT(I6430:W6430,_XtX!$B$96:$P$96)</f>
        <v>47.6834521198831</v>
      </c>
      <c r="Y6430" s="0" t="n">
        <f aca="false">SUMPRODUCT(MMULT(I6430:W6430,_XtX!$B$78:$P$92),I6430:W6430)</f>
        <v>0.564984237938597</v>
      </c>
      <c r="Z6430" s="0" t="n">
        <f aca="false">04_回帰ANOVA!$K$19*04_回帰ANOVA!$K$14*SQRT(1+Y6430)</f>
        <v>1.63062229734503</v>
      </c>
      <c r="AA6430" s="0" t="n">
        <f aca="false">X6430-Z6430</f>
        <v>46.0528298225381</v>
      </c>
      <c r="AB6430" s="0" t="n">
        <f aca="false">X6430+Z6430</f>
        <v>49.3140744172281</v>
      </c>
      <c r="AC6430" s="54" t="b">
        <f aca="false">AND(E6430&gt;=01_因子設定!$L$5-0.000000001,E6430&lt;=01_因子設定!$M$5+0.000000001,F6430&gt;=01_因子設定!$L$6-0.000000001,F6430&lt;=01_因子設定!$M$6+0.000000001,G6430&gt;=01_因子設定!$L$7-0.000000001,G6430&lt;=01_因子設定!$M$7+0.000000001,H6430&gt;=01_因子設定!$L$8-0.000000001,H6430&lt;=01_因子設定!$M$8+0.000000001,IF(01_因子設定!$B$20="Box-Behnken",E6430^2+F6430^2+G6430^2+H6430^2&lt;=2+0.000000001,TRUE()))</f>
        <v>1</v>
      </c>
      <c r="AD6430" s="55" t="n">
        <f aca="false">IF(AC6430,IF(01_因子設定!$B$13="最大化",AA6430-01_因子設定!$B$14,IF(01_因子設定!$B$13="最小化",01_因子設定!$B$15-AB6430,MIN(AA6430-01_因子設定!$B$14,01_因子設定!$B$15-AB6430))),-1E+030)</f>
        <v>-0.447170177461935</v>
      </c>
      <c r="AE6430" s="55" t="n">
        <f aca="false">IF(AC6430,IF(01_因子設定!$B$13="最大化",X6430,IF(01_因子設定!$B$13="最小化",-X6430,-ABS(X6430-01_因子設定!$B$16))),-1E+030)</f>
        <v>47.6834521198831</v>
      </c>
      <c r="AF6430" s="55" t="n">
        <f aca="false">AD6430+ROW()*0.000000001</f>
        <v>-0.447163747461935</v>
      </c>
      <c r="AG6430" s="55" t="n">
        <f aca="false">AE6430+ROW()*0.000000001</f>
        <v>47.6834585498831</v>
      </c>
    </row>
    <row r="6431" customFormat="false" ht="15" hidden="false" customHeight="false" outlineLevel="0" collapsed="false">
      <c r="A6431" s="0" t="n">
        <v>8</v>
      </c>
      <c r="B6431" s="0" t="n">
        <v>7</v>
      </c>
      <c r="C6431" s="0" t="n">
        <v>3</v>
      </c>
      <c r="D6431" s="0" t="n">
        <v>0</v>
      </c>
      <c r="E6431" s="0" t="n">
        <f aca="false">-1+A6431*0.25</f>
        <v>1</v>
      </c>
      <c r="F6431" s="0" t="n">
        <f aca="false">-1+B6431*0.25</f>
        <v>0.75</v>
      </c>
      <c r="G6431" s="0" t="n">
        <f aca="false">-1+C6431*0.25</f>
        <v>-0.25</v>
      </c>
      <c r="H6431" s="0" t="n">
        <f aca="false">-1+D6431*0.25</f>
        <v>-1</v>
      </c>
      <c r="I6431" s="0" t="n">
        <f aca="false">1</f>
        <v>1</v>
      </c>
      <c r="J6431" s="0" t="n">
        <f aca="false">E6431</f>
        <v>1</v>
      </c>
      <c r="K6431" s="0" t="n">
        <f aca="false">F6431</f>
        <v>0.75</v>
      </c>
      <c r="L6431" s="0" t="n">
        <f aca="false">G6431</f>
        <v>-0.25</v>
      </c>
      <c r="M6431" s="0" t="n">
        <f aca="false">H6431</f>
        <v>-1</v>
      </c>
      <c r="N6431" s="0" t="n">
        <f aca="false">E6431*F6431</f>
        <v>0.75</v>
      </c>
      <c r="O6431" s="0" t="n">
        <f aca="false">E6431*G6431</f>
        <v>-0.25</v>
      </c>
      <c r="P6431" s="0" t="n">
        <f aca="false">E6431*H6431</f>
        <v>-1</v>
      </c>
      <c r="Q6431" s="0" t="n">
        <f aca="false">F6431*G6431</f>
        <v>-0.1875</v>
      </c>
      <c r="R6431" s="0" t="n">
        <f aca="false">F6431*H6431</f>
        <v>-0.75</v>
      </c>
      <c r="S6431" s="0" t="n">
        <f aca="false">G6431*H6431</f>
        <v>0.25</v>
      </c>
      <c r="T6431" s="0" t="n">
        <f aca="false">E6431*E6431</f>
        <v>1</v>
      </c>
      <c r="U6431" s="0" t="n">
        <f aca="false">F6431*F6431</f>
        <v>0.5625</v>
      </c>
      <c r="V6431" s="0" t="n">
        <f aca="false">G6431*G6431</f>
        <v>0.0625</v>
      </c>
      <c r="W6431" s="0" t="n">
        <f aca="false">H6431*H6431</f>
        <v>1</v>
      </c>
      <c r="X6431" s="0" t="n">
        <f aca="false">SUMPRODUCT(I6431:W6431,_XtX!$B$96:$P$96)</f>
        <v>47.4266036184211</v>
      </c>
      <c r="Y6431" s="0" t="n">
        <f aca="false">SUMPRODUCT(MMULT(I6431:W6431,_XtX!$B$78:$P$92),I6431:W6431)</f>
        <v>0.621372155975877</v>
      </c>
      <c r="Z6431" s="0" t="n">
        <f aca="false">04_回帰ANOVA!$K$19*04_回帰ANOVA!$K$14*SQRT(1+Y6431)</f>
        <v>1.65973880499872</v>
      </c>
      <c r="AA6431" s="0" t="n">
        <f aca="false">X6431-Z6431</f>
        <v>45.7668648134224</v>
      </c>
      <c r="AB6431" s="0" t="n">
        <f aca="false">X6431+Z6431</f>
        <v>49.0863424234198</v>
      </c>
      <c r="AC6431" s="54" t="b">
        <f aca="false">AND(E6431&gt;=01_因子設定!$L$5-0.000000001,E6431&lt;=01_因子設定!$M$5+0.000000001,F6431&gt;=01_因子設定!$L$6-0.000000001,F6431&lt;=01_因子設定!$M$6+0.000000001,G6431&gt;=01_因子設定!$L$7-0.000000001,G6431&lt;=01_因子設定!$M$7+0.000000001,H6431&gt;=01_因子設定!$L$8-0.000000001,H6431&lt;=01_因子設定!$M$8+0.000000001,IF(01_因子設定!$B$20="Box-Behnken",E6431^2+F6431^2+G6431^2+H6431^2&lt;=2+0.000000001,TRUE()))</f>
        <v>1</v>
      </c>
      <c r="AD6431" s="55" t="n">
        <f aca="false">IF(AC6431,IF(01_因子設定!$B$13="最大化",AA6431-01_因子設定!$B$14,IF(01_因子設定!$B$13="最小化",01_因子設定!$B$15-AB6431,MIN(AA6431-01_因子設定!$B$14,01_因子設定!$B$15-AB6431))),-1E+030)</f>
        <v>-0.733135186577606</v>
      </c>
      <c r="AE6431" s="55" t="n">
        <f aca="false">IF(AC6431,IF(01_因子設定!$B$13="最大化",X6431,IF(01_因子設定!$B$13="最小化",-X6431,-ABS(X6431-01_因子設定!$B$16))),-1E+030)</f>
        <v>47.4266036184211</v>
      </c>
      <c r="AF6431" s="55" t="n">
        <f aca="false">AD6431+ROW()*0.000000001</f>
        <v>-0.733128755577606</v>
      </c>
      <c r="AG6431" s="55" t="n">
        <f aca="false">AE6431+ROW()*0.000000001</f>
        <v>47.4266100494211</v>
      </c>
    </row>
    <row r="6432" customFormat="false" ht="15" hidden="false" customHeight="false" outlineLevel="0" collapsed="false">
      <c r="A6432" s="0" t="n">
        <v>8</v>
      </c>
      <c r="B6432" s="0" t="n">
        <v>7</v>
      </c>
      <c r="C6432" s="0" t="n">
        <v>3</v>
      </c>
      <c r="D6432" s="0" t="n">
        <v>1</v>
      </c>
      <c r="E6432" s="0" t="n">
        <f aca="false">-1+A6432*0.25</f>
        <v>1</v>
      </c>
      <c r="F6432" s="0" t="n">
        <f aca="false">-1+B6432*0.25</f>
        <v>0.75</v>
      </c>
      <c r="G6432" s="0" t="n">
        <f aca="false">-1+C6432*0.25</f>
        <v>-0.25</v>
      </c>
      <c r="H6432" s="0" t="n">
        <f aca="false">-1+D6432*0.25</f>
        <v>-0.75</v>
      </c>
      <c r="I6432" s="0" t="n">
        <f aca="false">1</f>
        <v>1</v>
      </c>
      <c r="J6432" s="0" t="n">
        <f aca="false">E6432</f>
        <v>1</v>
      </c>
      <c r="K6432" s="0" t="n">
        <f aca="false">F6432</f>
        <v>0.75</v>
      </c>
      <c r="L6432" s="0" t="n">
        <f aca="false">G6432</f>
        <v>-0.25</v>
      </c>
      <c r="M6432" s="0" t="n">
        <f aca="false">H6432</f>
        <v>-0.75</v>
      </c>
      <c r="N6432" s="0" t="n">
        <f aca="false">E6432*F6432</f>
        <v>0.75</v>
      </c>
      <c r="O6432" s="0" t="n">
        <f aca="false">E6432*G6432</f>
        <v>-0.25</v>
      </c>
      <c r="P6432" s="0" t="n">
        <f aca="false">E6432*H6432</f>
        <v>-0.75</v>
      </c>
      <c r="Q6432" s="0" t="n">
        <f aca="false">F6432*G6432</f>
        <v>-0.1875</v>
      </c>
      <c r="R6432" s="0" t="n">
        <f aca="false">F6432*H6432</f>
        <v>-0.5625</v>
      </c>
      <c r="S6432" s="0" t="n">
        <f aca="false">G6432*H6432</f>
        <v>0.1875</v>
      </c>
      <c r="T6432" s="0" t="n">
        <f aca="false">E6432*E6432</f>
        <v>1</v>
      </c>
      <c r="U6432" s="0" t="n">
        <f aca="false">F6432*F6432</f>
        <v>0.5625</v>
      </c>
      <c r="V6432" s="0" t="n">
        <f aca="false">G6432*G6432</f>
        <v>0.0625</v>
      </c>
      <c r="W6432" s="0" t="n">
        <f aca="false">H6432*H6432</f>
        <v>0.5625</v>
      </c>
      <c r="X6432" s="0" t="n">
        <f aca="false">SUMPRODUCT(I6432:W6432,_XtX!$B$96:$P$96)</f>
        <v>47.6687545687135</v>
      </c>
      <c r="Y6432" s="0" t="n">
        <f aca="false">SUMPRODUCT(MMULT(I6432:W6432,_XtX!$B$78:$P$92),I6432:W6432)</f>
        <v>0.473959761056287</v>
      </c>
      <c r="Z6432" s="0" t="n">
        <f aca="false">04_回帰ANOVA!$K$19*04_回帰ANOVA!$K$14*SQRT(1+Y6432)</f>
        <v>1.58249084588329</v>
      </c>
      <c r="AA6432" s="0" t="n">
        <f aca="false">X6432-Z6432</f>
        <v>46.0862637228302</v>
      </c>
      <c r="AB6432" s="0" t="n">
        <f aca="false">X6432+Z6432</f>
        <v>49.2512454145968</v>
      </c>
      <c r="AC6432" s="54" t="b">
        <f aca="false">AND(E6432&gt;=01_因子設定!$L$5-0.000000001,E6432&lt;=01_因子設定!$M$5+0.000000001,F6432&gt;=01_因子設定!$L$6-0.000000001,F6432&lt;=01_因子設定!$M$6+0.000000001,G6432&gt;=01_因子設定!$L$7-0.000000001,G6432&lt;=01_因子設定!$M$7+0.000000001,H6432&gt;=01_因子設定!$L$8-0.000000001,H6432&lt;=01_因子設定!$M$8+0.000000001,IF(01_因子設定!$B$20="Box-Behnken",E6432^2+F6432^2+G6432^2+H6432^2&lt;=2+0.000000001,TRUE()))</f>
        <v>1</v>
      </c>
      <c r="AD6432" s="55" t="n">
        <f aca="false">IF(AC6432,IF(01_因子設定!$B$13="最大化",AA6432-01_因子設定!$B$14,IF(01_因子設定!$B$13="最小化",01_因子設定!$B$15-AB6432,MIN(AA6432-01_因子設定!$B$14,01_因子設定!$B$15-AB6432))),-1E+030)</f>
        <v>-0.413736277169789</v>
      </c>
      <c r="AE6432" s="55" t="n">
        <f aca="false">IF(AC6432,IF(01_因子設定!$B$13="最大化",X6432,IF(01_因子設定!$B$13="最小化",-X6432,-ABS(X6432-01_因子設定!$B$16))),-1E+030)</f>
        <v>47.6687545687135</v>
      </c>
      <c r="AF6432" s="55" t="n">
        <f aca="false">AD6432+ROW()*0.000000001</f>
        <v>-0.413729845169789</v>
      </c>
      <c r="AG6432" s="55" t="n">
        <f aca="false">AE6432+ROW()*0.000000001</f>
        <v>47.6687610007135</v>
      </c>
    </row>
    <row r="6433" customFormat="false" ht="15" hidden="false" customHeight="false" outlineLevel="0" collapsed="false">
      <c r="A6433" s="0" t="n">
        <v>8</v>
      </c>
      <c r="B6433" s="0" t="n">
        <v>7</v>
      </c>
      <c r="C6433" s="0" t="n">
        <v>3</v>
      </c>
      <c r="D6433" s="0" t="n">
        <v>2</v>
      </c>
      <c r="E6433" s="0" t="n">
        <f aca="false">-1+A6433*0.25</f>
        <v>1</v>
      </c>
      <c r="F6433" s="0" t="n">
        <f aca="false">-1+B6433*0.25</f>
        <v>0.75</v>
      </c>
      <c r="G6433" s="0" t="n">
        <f aca="false">-1+C6433*0.25</f>
        <v>-0.25</v>
      </c>
      <c r="H6433" s="0" t="n">
        <f aca="false">-1+D6433*0.25</f>
        <v>-0.5</v>
      </c>
      <c r="I6433" s="0" t="n">
        <f aca="false">1</f>
        <v>1</v>
      </c>
      <c r="J6433" s="0" t="n">
        <f aca="false">E6433</f>
        <v>1</v>
      </c>
      <c r="K6433" s="0" t="n">
        <f aca="false">F6433</f>
        <v>0.75</v>
      </c>
      <c r="L6433" s="0" t="n">
        <f aca="false">G6433</f>
        <v>-0.25</v>
      </c>
      <c r="M6433" s="0" t="n">
        <f aca="false">H6433</f>
        <v>-0.5</v>
      </c>
      <c r="N6433" s="0" t="n">
        <f aca="false">E6433*F6433</f>
        <v>0.75</v>
      </c>
      <c r="O6433" s="0" t="n">
        <f aca="false">E6433*G6433</f>
        <v>-0.25</v>
      </c>
      <c r="P6433" s="0" t="n">
        <f aca="false">E6433*H6433</f>
        <v>-0.5</v>
      </c>
      <c r="Q6433" s="0" t="n">
        <f aca="false">F6433*G6433</f>
        <v>-0.1875</v>
      </c>
      <c r="R6433" s="0" t="n">
        <f aca="false">F6433*H6433</f>
        <v>-0.375</v>
      </c>
      <c r="S6433" s="0" t="n">
        <f aca="false">G6433*H6433</f>
        <v>0.125</v>
      </c>
      <c r="T6433" s="0" t="n">
        <f aca="false">E6433*E6433</f>
        <v>1</v>
      </c>
      <c r="U6433" s="0" t="n">
        <f aca="false">F6433*F6433</f>
        <v>0.5625</v>
      </c>
      <c r="V6433" s="0" t="n">
        <f aca="false">G6433*G6433</f>
        <v>0.0625</v>
      </c>
      <c r="W6433" s="0" t="n">
        <f aca="false">H6433*H6433</f>
        <v>0.25</v>
      </c>
      <c r="X6433" s="0" t="n">
        <f aca="false">SUMPRODUCT(I6433:W6433,_XtX!$B$96:$P$96)</f>
        <v>47.863098501462</v>
      </c>
      <c r="Y6433" s="0" t="n">
        <f aca="false">SUMPRODUCT(MMULT(I6433:W6433,_XtX!$B$78:$P$92),I6433:W6433)</f>
        <v>0.459125719572369</v>
      </c>
      <c r="Z6433" s="0" t="n">
        <f aca="false">04_回帰ANOVA!$K$19*04_回帰ANOVA!$K$14*SQRT(1+Y6433)</f>
        <v>1.57450755575573</v>
      </c>
      <c r="AA6433" s="0" t="n">
        <f aca="false">X6433-Z6433</f>
        <v>46.2885909457063</v>
      </c>
      <c r="AB6433" s="0" t="n">
        <f aca="false">X6433+Z6433</f>
        <v>49.4376060572178</v>
      </c>
      <c r="AC6433" s="54" t="b">
        <f aca="false">AND(E6433&gt;=01_因子設定!$L$5-0.000000001,E6433&lt;=01_因子設定!$M$5+0.000000001,F6433&gt;=01_因子設定!$L$6-0.000000001,F6433&lt;=01_因子設定!$M$6+0.000000001,G6433&gt;=01_因子設定!$L$7-0.000000001,G6433&lt;=01_因子設定!$M$7+0.000000001,H6433&gt;=01_因子設定!$L$8-0.000000001,H6433&lt;=01_因子設定!$M$8+0.000000001,IF(01_因子設定!$B$20="Box-Behnken",E6433^2+F6433^2+G6433^2+H6433^2&lt;=2+0.000000001,TRUE()))</f>
        <v>1</v>
      </c>
      <c r="AD6433" s="55" t="n">
        <f aca="false">IF(AC6433,IF(01_因子設定!$B$13="最大化",AA6433-01_因子設定!$B$14,IF(01_因子設定!$B$13="最小化",01_因子設定!$B$15-AB6433,MIN(AA6433-01_因子設定!$B$14,01_因子設定!$B$15-AB6433))),-1E+030)</f>
        <v>-0.211409054293711</v>
      </c>
      <c r="AE6433" s="55" t="n">
        <f aca="false">IF(AC6433,IF(01_因子設定!$B$13="最大化",X6433,IF(01_因子設定!$B$13="最小化",-X6433,-ABS(X6433-01_因子設定!$B$16))),-1E+030)</f>
        <v>47.863098501462</v>
      </c>
      <c r="AF6433" s="55" t="n">
        <f aca="false">AD6433+ROW()*0.000000001</f>
        <v>-0.211402621293711</v>
      </c>
      <c r="AG6433" s="55" t="n">
        <f aca="false">AE6433+ROW()*0.000000001</f>
        <v>47.863104934462</v>
      </c>
    </row>
    <row r="6434" customFormat="false" ht="15" hidden="false" customHeight="false" outlineLevel="0" collapsed="false">
      <c r="A6434" s="0" t="n">
        <v>8</v>
      </c>
      <c r="B6434" s="0" t="n">
        <v>7</v>
      </c>
      <c r="C6434" s="0" t="n">
        <v>3</v>
      </c>
      <c r="D6434" s="0" t="n">
        <v>3</v>
      </c>
      <c r="E6434" s="0" t="n">
        <f aca="false">-1+A6434*0.25</f>
        <v>1</v>
      </c>
      <c r="F6434" s="0" t="n">
        <f aca="false">-1+B6434*0.25</f>
        <v>0.75</v>
      </c>
      <c r="G6434" s="0" t="n">
        <f aca="false">-1+C6434*0.25</f>
        <v>-0.25</v>
      </c>
      <c r="H6434" s="0" t="n">
        <f aca="false">-1+D6434*0.25</f>
        <v>-0.25</v>
      </c>
      <c r="I6434" s="0" t="n">
        <f aca="false">1</f>
        <v>1</v>
      </c>
      <c r="J6434" s="0" t="n">
        <f aca="false">E6434</f>
        <v>1</v>
      </c>
      <c r="K6434" s="0" t="n">
        <f aca="false">F6434</f>
        <v>0.75</v>
      </c>
      <c r="L6434" s="0" t="n">
        <f aca="false">G6434</f>
        <v>-0.25</v>
      </c>
      <c r="M6434" s="0" t="n">
        <f aca="false">H6434</f>
        <v>-0.25</v>
      </c>
      <c r="N6434" s="0" t="n">
        <f aca="false">E6434*F6434</f>
        <v>0.75</v>
      </c>
      <c r="O6434" s="0" t="n">
        <f aca="false">E6434*G6434</f>
        <v>-0.25</v>
      </c>
      <c r="P6434" s="0" t="n">
        <f aca="false">E6434*H6434</f>
        <v>-0.25</v>
      </c>
      <c r="Q6434" s="0" t="n">
        <f aca="false">F6434*G6434</f>
        <v>-0.1875</v>
      </c>
      <c r="R6434" s="0" t="n">
        <f aca="false">F6434*H6434</f>
        <v>-0.1875</v>
      </c>
      <c r="S6434" s="0" t="n">
        <f aca="false">G6434*H6434</f>
        <v>0.0625</v>
      </c>
      <c r="T6434" s="0" t="n">
        <f aca="false">E6434*E6434</f>
        <v>1</v>
      </c>
      <c r="U6434" s="0" t="n">
        <f aca="false">F6434*F6434</f>
        <v>0.5625</v>
      </c>
      <c r="V6434" s="0" t="n">
        <f aca="false">G6434*G6434</f>
        <v>0.0625</v>
      </c>
      <c r="W6434" s="0" t="n">
        <f aca="false">H6434*H6434</f>
        <v>0.0625</v>
      </c>
      <c r="X6434" s="0" t="n">
        <f aca="false">SUMPRODUCT(I6434:W6434,_XtX!$B$96:$P$96)</f>
        <v>48.0096354166667</v>
      </c>
      <c r="Y6434" s="0" t="n">
        <f aca="false">SUMPRODUCT(MMULT(I6434:W6434,_XtX!$B$78:$P$92),I6434:W6434)</f>
        <v>0.486409505208334</v>
      </c>
      <c r="Z6434" s="0" t="n">
        <f aca="false">04_回帰ANOVA!$K$19*04_回帰ANOVA!$K$14*SQRT(1+Y6434)</f>
        <v>1.58916001665498</v>
      </c>
      <c r="AA6434" s="0" t="n">
        <f aca="false">X6434-Z6434</f>
        <v>46.4204754000117</v>
      </c>
      <c r="AB6434" s="0" t="n">
        <f aca="false">X6434+Z6434</f>
        <v>49.5987954333217</v>
      </c>
      <c r="AC6434" s="54" t="b">
        <f aca="false">AND(E6434&gt;=01_因子設定!$L$5-0.000000001,E6434&lt;=01_因子設定!$M$5+0.000000001,F6434&gt;=01_因子設定!$L$6-0.000000001,F6434&lt;=01_因子設定!$M$6+0.000000001,G6434&gt;=01_因子設定!$L$7-0.000000001,G6434&lt;=01_因子設定!$M$7+0.000000001,H6434&gt;=01_因子設定!$L$8-0.000000001,H6434&lt;=01_因子設定!$M$8+0.000000001,IF(01_因子設定!$B$20="Box-Behnken",E6434^2+F6434^2+G6434^2+H6434^2&lt;=2+0.000000001,TRUE()))</f>
        <v>1</v>
      </c>
      <c r="AD6434" s="55" t="n">
        <f aca="false">IF(AC6434,IF(01_因子設定!$B$13="最大化",AA6434-01_因子設定!$B$14,IF(01_因子設定!$B$13="最小化",01_因子設定!$B$15-AB6434,MIN(AA6434-01_因子設定!$B$14,01_因子設定!$B$15-AB6434))),-1E+030)</f>
        <v>-0.0795245999882894</v>
      </c>
      <c r="AE6434" s="55" t="n">
        <f aca="false">IF(AC6434,IF(01_因子設定!$B$13="最大化",X6434,IF(01_因子設定!$B$13="最小化",-X6434,-ABS(X6434-01_因子設定!$B$16))),-1E+030)</f>
        <v>48.0096354166667</v>
      </c>
      <c r="AF6434" s="55" t="n">
        <f aca="false">AD6434+ROW()*0.000000001</f>
        <v>-0.0795181659882894</v>
      </c>
      <c r="AG6434" s="55" t="n">
        <f aca="false">AE6434+ROW()*0.000000001</f>
        <v>48.0096418506667</v>
      </c>
    </row>
    <row r="6435" customFormat="false" ht="15" hidden="false" customHeight="false" outlineLevel="0" collapsed="false">
      <c r="A6435" s="0" t="n">
        <v>8</v>
      </c>
      <c r="B6435" s="0" t="n">
        <v>7</v>
      </c>
      <c r="C6435" s="0" t="n">
        <v>3</v>
      </c>
      <c r="D6435" s="0" t="n">
        <v>4</v>
      </c>
      <c r="E6435" s="0" t="n">
        <f aca="false">-1+A6435*0.25</f>
        <v>1</v>
      </c>
      <c r="F6435" s="0" t="n">
        <f aca="false">-1+B6435*0.25</f>
        <v>0.75</v>
      </c>
      <c r="G6435" s="0" t="n">
        <f aca="false">-1+C6435*0.25</f>
        <v>-0.25</v>
      </c>
      <c r="H6435" s="0" t="n">
        <f aca="false">-1+D6435*0.25</f>
        <v>0</v>
      </c>
      <c r="I6435" s="0" t="n">
        <f aca="false">1</f>
        <v>1</v>
      </c>
      <c r="J6435" s="0" t="n">
        <f aca="false">E6435</f>
        <v>1</v>
      </c>
      <c r="K6435" s="0" t="n">
        <f aca="false">F6435</f>
        <v>0.75</v>
      </c>
      <c r="L6435" s="0" t="n">
        <f aca="false">G6435</f>
        <v>-0.25</v>
      </c>
      <c r="M6435" s="0" t="n">
        <f aca="false">H6435</f>
        <v>0</v>
      </c>
      <c r="N6435" s="0" t="n">
        <f aca="false">E6435*F6435</f>
        <v>0.75</v>
      </c>
      <c r="O6435" s="0" t="n">
        <f aca="false">E6435*G6435</f>
        <v>-0.25</v>
      </c>
      <c r="P6435" s="0" t="n">
        <f aca="false">E6435*H6435</f>
        <v>0</v>
      </c>
      <c r="Q6435" s="0" t="n">
        <f aca="false">F6435*G6435</f>
        <v>-0.1875</v>
      </c>
      <c r="R6435" s="0" t="n">
        <f aca="false">F6435*H6435</f>
        <v>0</v>
      </c>
      <c r="S6435" s="0" t="n">
        <f aca="false">G6435*H6435</f>
        <v>-0</v>
      </c>
      <c r="T6435" s="0" t="n">
        <f aca="false">E6435*E6435</f>
        <v>1</v>
      </c>
      <c r="U6435" s="0" t="n">
        <f aca="false">F6435*F6435</f>
        <v>0.5625</v>
      </c>
      <c r="V6435" s="0" t="n">
        <f aca="false">G6435*G6435</f>
        <v>0.0625</v>
      </c>
      <c r="W6435" s="0" t="n">
        <f aca="false">H6435*H6435</f>
        <v>0</v>
      </c>
      <c r="X6435" s="0" t="n">
        <f aca="false">SUMPRODUCT(I6435:W6435,_XtX!$B$96:$P$96)</f>
        <v>48.1083653143275</v>
      </c>
      <c r="Y6435" s="0" t="n">
        <f aca="false">SUMPRODUCT(MMULT(I6435:W6435,_XtX!$B$78:$P$92),I6435:W6435)</f>
        <v>0.501534802174708</v>
      </c>
      <c r="Z6435" s="0" t="n">
        <f aca="false">04_回帰ANOVA!$K$19*04_回帰ANOVA!$K$14*SQRT(1+Y6435)</f>
        <v>1.59722498091333</v>
      </c>
      <c r="AA6435" s="0" t="n">
        <f aca="false">X6435-Z6435</f>
        <v>46.5111403334142</v>
      </c>
      <c r="AB6435" s="0" t="n">
        <f aca="false">X6435+Z6435</f>
        <v>49.7055902952408</v>
      </c>
      <c r="AC6435" s="54" t="b">
        <f aca="false">AND(E6435&gt;=01_因子設定!$L$5-0.000000001,E6435&lt;=01_因子設定!$M$5+0.000000001,F6435&gt;=01_因子設定!$L$6-0.000000001,F6435&lt;=01_因子設定!$M$6+0.000000001,G6435&gt;=01_因子設定!$L$7-0.000000001,G6435&lt;=01_因子設定!$M$7+0.000000001,H6435&gt;=01_因子設定!$L$8-0.000000001,H6435&lt;=01_因子設定!$M$8+0.000000001,IF(01_因子設定!$B$20="Box-Behnken",E6435^2+F6435^2+G6435^2+H6435^2&lt;=2+0.000000001,TRUE()))</f>
        <v>1</v>
      </c>
      <c r="AD6435" s="55" t="n">
        <f aca="false">IF(AC6435,IF(01_因子設定!$B$13="最大化",AA6435-01_因子設定!$B$14,IF(01_因子設定!$B$13="最小化",01_因子設定!$B$15-AB6435,MIN(AA6435-01_因子設定!$B$14,01_因子設定!$B$15-AB6435))),-1E+030)</f>
        <v>0.0111403334141755</v>
      </c>
      <c r="AE6435" s="55" t="n">
        <f aca="false">IF(AC6435,IF(01_因子設定!$B$13="最大化",X6435,IF(01_因子設定!$B$13="最小化",-X6435,-ABS(X6435-01_因子設定!$B$16))),-1E+030)</f>
        <v>48.1083653143275</v>
      </c>
      <c r="AF6435" s="55" t="n">
        <f aca="false">AD6435+ROW()*0.000000001</f>
        <v>0.0111467684141755</v>
      </c>
      <c r="AG6435" s="55" t="n">
        <f aca="false">AE6435+ROW()*0.000000001</f>
        <v>48.1083717493275</v>
      </c>
    </row>
    <row r="6436" customFormat="false" ht="15" hidden="false" customHeight="false" outlineLevel="0" collapsed="false">
      <c r="A6436" s="0" t="n">
        <v>8</v>
      </c>
      <c r="B6436" s="0" t="n">
        <v>7</v>
      </c>
      <c r="C6436" s="0" t="n">
        <v>3</v>
      </c>
      <c r="D6436" s="0" t="n">
        <v>5</v>
      </c>
      <c r="E6436" s="0" t="n">
        <f aca="false">-1+A6436*0.25</f>
        <v>1</v>
      </c>
      <c r="F6436" s="0" t="n">
        <f aca="false">-1+B6436*0.25</f>
        <v>0.75</v>
      </c>
      <c r="G6436" s="0" t="n">
        <f aca="false">-1+C6436*0.25</f>
        <v>-0.25</v>
      </c>
      <c r="H6436" s="0" t="n">
        <f aca="false">-1+D6436*0.25</f>
        <v>0.25</v>
      </c>
      <c r="I6436" s="0" t="n">
        <f aca="false">1</f>
        <v>1</v>
      </c>
      <c r="J6436" s="0" t="n">
        <f aca="false">E6436</f>
        <v>1</v>
      </c>
      <c r="K6436" s="0" t="n">
        <f aca="false">F6436</f>
        <v>0.75</v>
      </c>
      <c r="L6436" s="0" t="n">
        <f aca="false">G6436</f>
        <v>-0.25</v>
      </c>
      <c r="M6436" s="0" t="n">
        <f aca="false">H6436</f>
        <v>0.25</v>
      </c>
      <c r="N6436" s="0" t="n">
        <f aca="false">E6436*F6436</f>
        <v>0.75</v>
      </c>
      <c r="O6436" s="0" t="n">
        <f aca="false">E6436*G6436</f>
        <v>-0.25</v>
      </c>
      <c r="P6436" s="0" t="n">
        <f aca="false">E6436*H6436</f>
        <v>0.25</v>
      </c>
      <c r="Q6436" s="0" t="n">
        <f aca="false">F6436*G6436</f>
        <v>-0.1875</v>
      </c>
      <c r="R6436" s="0" t="n">
        <f aca="false">F6436*H6436</f>
        <v>0.1875</v>
      </c>
      <c r="S6436" s="0" t="n">
        <f aca="false">G6436*H6436</f>
        <v>-0.0625</v>
      </c>
      <c r="T6436" s="0" t="n">
        <f aca="false">E6436*E6436</f>
        <v>1</v>
      </c>
      <c r="U6436" s="0" t="n">
        <f aca="false">F6436*F6436</f>
        <v>0.5625</v>
      </c>
      <c r="V6436" s="0" t="n">
        <f aca="false">G6436*G6436</f>
        <v>0.0625</v>
      </c>
      <c r="W6436" s="0" t="n">
        <f aca="false">H6436*H6436</f>
        <v>0.0625</v>
      </c>
      <c r="X6436" s="0" t="n">
        <f aca="false">SUMPRODUCT(I6436:W6436,_XtX!$B$96:$P$96)</f>
        <v>48.1592881944445</v>
      </c>
      <c r="Y6436" s="0" t="n">
        <f aca="false">SUMPRODUCT(MMULT(I6436:W6436,_XtX!$B$78:$P$92),I6436:W6436)</f>
        <v>0.486409505208334</v>
      </c>
      <c r="Z6436" s="0" t="n">
        <f aca="false">04_回帰ANOVA!$K$19*04_回帰ANOVA!$K$14*SQRT(1+Y6436)</f>
        <v>1.58916001665498</v>
      </c>
      <c r="AA6436" s="0" t="n">
        <f aca="false">X6436-Z6436</f>
        <v>46.5701281777895</v>
      </c>
      <c r="AB6436" s="0" t="n">
        <f aca="false">X6436+Z6436</f>
        <v>49.7484482110995</v>
      </c>
      <c r="AC6436" s="54" t="b">
        <f aca="false">AND(E6436&gt;=01_因子設定!$L$5-0.000000001,E6436&lt;=01_因子設定!$M$5+0.000000001,F6436&gt;=01_因子設定!$L$6-0.000000001,F6436&lt;=01_因子設定!$M$6+0.000000001,G6436&gt;=01_因子設定!$L$7-0.000000001,G6436&lt;=01_因子設定!$M$7+0.000000001,H6436&gt;=01_因子設定!$L$8-0.000000001,H6436&lt;=01_因子設定!$M$8+0.000000001,IF(01_因子設定!$B$20="Box-Behnken",E6436^2+F6436^2+G6436^2+H6436^2&lt;=2+0.000000001,TRUE()))</f>
        <v>1</v>
      </c>
      <c r="AD6436" s="55" t="n">
        <f aca="false">IF(AC6436,IF(01_因子設定!$B$13="最大化",AA6436-01_因子設定!$B$14,IF(01_因子設定!$B$13="最小化",01_因子設定!$B$15-AB6436,MIN(AA6436-01_因子設定!$B$14,01_因子設定!$B$15-AB6436))),-1E+030)</f>
        <v>0.070128177789492</v>
      </c>
      <c r="AE6436" s="55" t="n">
        <f aca="false">IF(AC6436,IF(01_因子設定!$B$13="最大化",X6436,IF(01_因子設定!$B$13="最小化",-X6436,-ABS(X6436-01_因子設定!$B$16))),-1E+030)</f>
        <v>48.1592881944445</v>
      </c>
      <c r="AF6436" s="55" t="n">
        <f aca="false">AD6436+ROW()*0.000000001</f>
        <v>0.070134613789492</v>
      </c>
      <c r="AG6436" s="55" t="n">
        <f aca="false">AE6436+ROW()*0.000000001</f>
        <v>48.1592946304445</v>
      </c>
    </row>
    <row r="6437" customFormat="false" ht="15" hidden="false" customHeight="false" outlineLevel="0" collapsed="false">
      <c r="A6437" s="0" t="n">
        <v>8</v>
      </c>
      <c r="B6437" s="0" t="n">
        <v>7</v>
      </c>
      <c r="C6437" s="0" t="n">
        <v>3</v>
      </c>
      <c r="D6437" s="0" t="n">
        <v>6</v>
      </c>
      <c r="E6437" s="0" t="n">
        <f aca="false">-1+A6437*0.25</f>
        <v>1</v>
      </c>
      <c r="F6437" s="0" t="n">
        <f aca="false">-1+B6437*0.25</f>
        <v>0.75</v>
      </c>
      <c r="G6437" s="0" t="n">
        <f aca="false">-1+C6437*0.25</f>
        <v>-0.25</v>
      </c>
      <c r="H6437" s="0" t="n">
        <f aca="false">-1+D6437*0.25</f>
        <v>0.5</v>
      </c>
      <c r="I6437" s="0" t="n">
        <f aca="false">1</f>
        <v>1</v>
      </c>
      <c r="J6437" s="0" t="n">
        <f aca="false">E6437</f>
        <v>1</v>
      </c>
      <c r="K6437" s="0" t="n">
        <f aca="false">F6437</f>
        <v>0.75</v>
      </c>
      <c r="L6437" s="0" t="n">
        <f aca="false">G6437</f>
        <v>-0.25</v>
      </c>
      <c r="M6437" s="0" t="n">
        <f aca="false">H6437</f>
        <v>0.5</v>
      </c>
      <c r="N6437" s="0" t="n">
        <f aca="false">E6437*F6437</f>
        <v>0.75</v>
      </c>
      <c r="O6437" s="0" t="n">
        <f aca="false">E6437*G6437</f>
        <v>-0.25</v>
      </c>
      <c r="P6437" s="0" t="n">
        <f aca="false">E6437*H6437</f>
        <v>0.5</v>
      </c>
      <c r="Q6437" s="0" t="n">
        <f aca="false">F6437*G6437</f>
        <v>-0.1875</v>
      </c>
      <c r="R6437" s="0" t="n">
        <f aca="false">F6437*H6437</f>
        <v>0.375</v>
      </c>
      <c r="S6437" s="0" t="n">
        <f aca="false">G6437*H6437</f>
        <v>-0.125</v>
      </c>
      <c r="T6437" s="0" t="n">
        <f aca="false">E6437*E6437</f>
        <v>1</v>
      </c>
      <c r="U6437" s="0" t="n">
        <f aca="false">F6437*F6437</f>
        <v>0.5625</v>
      </c>
      <c r="V6437" s="0" t="n">
        <f aca="false">G6437*G6437</f>
        <v>0.0625</v>
      </c>
      <c r="W6437" s="0" t="n">
        <f aca="false">H6437*H6437</f>
        <v>0.25</v>
      </c>
      <c r="X6437" s="0" t="n">
        <f aca="false">SUMPRODUCT(I6437:W6437,_XtX!$B$96:$P$96)</f>
        <v>48.1624040570176</v>
      </c>
      <c r="Y6437" s="0" t="n">
        <f aca="false">SUMPRODUCT(MMULT(I6437:W6437,_XtX!$B$78:$P$92),I6437:W6437)</f>
        <v>0.459125719572369</v>
      </c>
      <c r="Z6437" s="0" t="n">
        <f aca="false">04_回帰ANOVA!$K$19*04_回帰ANOVA!$K$14*SQRT(1+Y6437)</f>
        <v>1.57450755575573</v>
      </c>
      <c r="AA6437" s="0" t="n">
        <f aca="false">X6437-Z6437</f>
        <v>46.5878965012618</v>
      </c>
      <c r="AB6437" s="0" t="n">
        <f aca="false">X6437+Z6437</f>
        <v>49.7369116127733</v>
      </c>
      <c r="AC6437" s="54" t="b">
        <f aca="false">AND(E6437&gt;=01_因子設定!$L$5-0.000000001,E6437&lt;=01_因子設定!$M$5+0.000000001,F6437&gt;=01_因子設定!$L$6-0.000000001,F6437&lt;=01_因子設定!$M$6+0.000000001,G6437&gt;=01_因子設定!$L$7-0.000000001,G6437&lt;=01_因子設定!$M$7+0.000000001,H6437&gt;=01_因子設定!$L$8-0.000000001,H6437&lt;=01_因子設定!$M$8+0.000000001,IF(01_因子設定!$B$20="Box-Behnken",E6437^2+F6437^2+G6437^2+H6437^2&lt;=2+0.000000001,TRUE()))</f>
        <v>1</v>
      </c>
      <c r="AD6437" s="55" t="n">
        <f aca="false">IF(AC6437,IF(01_因子設定!$B$13="最大化",AA6437-01_因子設定!$B$14,IF(01_因子設定!$B$13="最小化",01_因子設定!$B$15-AB6437,MIN(AA6437-01_因子設定!$B$14,01_因子設定!$B$15-AB6437))),-1E+030)</f>
        <v>0.0878965012618451</v>
      </c>
      <c r="AE6437" s="55" t="n">
        <f aca="false">IF(AC6437,IF(01_因子設定!$B$13="最大化",X6437,IF(01_因子設定!$B$13="最小化",-X6437,-ABS(X6437-01_因子設定!$B$16))),-1E+030)</f>
        <v>48.1624040570176</v>
      </c>
      <c r="AF6437" s="55" t="n">
        <f aca="false">AD6437+ROW()*0.000000001</f>
        <v>0.0879029382618451</v>
      </c>
      <c r="AG6437" s="55" t="n">
        <f aca="false">AE6437+ROW()*0.000000001</f>
        <v>48.1624104940176</v>
      </c>
    </row>
    <row r="6438" customFormat="false" ht="15" hidden="false" customHeight="false" outlineLevel="0" collapsed="false">
      <c r="A6438" s="0" t="n">
        <v>8</v>
      </c>
      <c r="B6438" s="0" t="n">
        <v>7</v>
      </c>
      <c r="C6438" s="0" t="n">
        <v>3</v>
      </c>
      <c r="D6438" s="0" t="n">
        <v>7</v>
      </c>
      <c r="E6438" s="0" t="n">
        <f aca="false">-1+A6438*0.25</f>
        <v>1</v>
      </c>
      <c r="F6438" s="0" t="n">
        <f aca="false">-1+B6438*0.25</f>
        <v>0.75</v>
      </c>
      <c r="G6438" s="0" t="n">
        <f aca="false">-1+C6438*0.25</f>
        <v>-0.25</v>
      </c>
      <c r="H6438" s="0" t="n">
        <f aca="false">-1+D6438*0.25</f>
        <v>0.75</v>
      </c>
      <c r="I6438" s="0" t="n">
        <f aca="false">1</f>
        <v>1</v>
      </c>
      <c r="J6438" s="0" t="n">
        <f aca="false">E6438</f>
        <v>1</v>
      </c>
      <c r="K6438" s="0" t="n">
        <f aca="false">F6438</f>
        <v>0.75</v>
      </c>
      <c r="L6438" s="0" t="n">
        <f aca="false">G6438</f>
        <v>-0.25</v>
      </c>
      <c r="M6438" s="0" t="n">
        <f aca="false">H6438</f>
        <v>0.75</v>
      </c>
      <c r="N6438" s="0" t="n">
        <f aca="false">E6438*F6438</f>
        <v>0.75</v>
      </c>
      <c r="O6438" s="0" t="n">
        <f aca="false">E6438*G6438</f>
        <v>-0.25</v>
      </c>
      <c r="P6438" s="0" t="n">
        <f aca="false">E6438*H6438</f>
        <v>0.75</v>
      </c>
      <c r="Q6438" s="0" t="n">
        <f aca="false">F6438*G6438</f>
        <v>-0.1875</v>
      </c>
      <c r="R6438" s="0" t="n">
        <f aca="false">F6438*H6438</f>
        <v>0.5625</v>
      </c>
      <c r="S6438" s="0" t="n">
        <f aca="false">G6438*H6438</f>
        <v>-0.1875</v>
      </c>
      <c r="T6438" s="0" t="n">
        <f aca="false">E6438*E6438</f>
        <v>1</v>
      </c>
      <c r="U6438" s="0" t="n">
        <f aca="false">F6438*F6438</f>
        <v>0.5625</v>
      </c>
      <c r="V6438" s="0" t="n">
        <f aca="false">G6438*G6438</f>
        <v>0.0625</v>
      </c>
      <c r="W6438" s="0" t="n">
        <f aca="false">H6438*H6438</f>
        <v>0.5625</v>
      </c>
      <c r="X6438" s="0" t="n">
        <f aca="false">SUMPRODUCT(I6438:W6438,_XtX!$B$96:$P$96)</f>
        <v>48.1177129020468</v>
      </c>
      <c r="Y6438" s="0" t="n">
        <f aca="false">SUMPRODUCT(MMULT(I6438:W6438,_XtX!$B$78:$P$92),I6438:W6438)</f>
        <v>0.473959761056287</v>
      </c>
      <c r="Z6438" s="0" t="n">
        <f aca="false">04_回帰ANOVA!$K$19*04_回帰ANOVA!$K$14*SQRT(1+Y6438)</f>
        <v>1.58249084588329</v>
      </c>
      <c r="AA6438" s="0" t="n">
        <f aca="false">X6438-Z6438</f>
        <v>46.5352220561635</v>
      </c>
      <c r="AB6438" s="0" t="n">
        <f aca="false">X6438+Z6438</f>
        <v>49.7002037479301</v>
      </c>
      <c r="AC6438" s="54" t="b">
        <f aca="false">AND(E6438&gt;=01_因子設定!$L$5-0.000000001,E6438&lt;=01_因子設定!$M$5+0.000000001,F6438&gt;=01_因子設定!$L$6-0.000000001,F6438&lt;=01_因子設定!$M$6+0.000000001,G6438&gt;=01_因子設定!$L$7-0.000000001,G6438&lt;=01_因子設定!$M$7+0.000000001,H6438&gt;=01_因子設定!$L$8-0.000000001,H6438&lt;=01_因子設定!$M$8+0.000000001,IF(01_因子設定!$B$20="Box-Behnken",E6438^2+F6438^2+G6438^2+H6438^2&lt;=2+0.000000001,TRUE()))</f>
        <v>1</v>
      </c>
      <c r="AD6438" s="55" t="n">
        <f aca="false">IF(AC6438,IF(01_因子設定!$B$13="最大化",AA6438-01_因子設定!$B$14,IF(01_因子設定!$B$13="最小化",01_因子設定!$B$15-AB6438,MIN(AA6438-01_因子設定!$B$14,01_因子設定!$B$15-AB6438))),-1E+030)</f>
        <v>0.0352220561635406</v>
      </c>
      <c r="AE6438" s="55" t="n">
        <f aca="false">IF(AC6438,IF(01_因子設定!$B$13="最大化",X6438,IF(01_因子設定!$B$13="最小化",-X6438,-ABS(X6438-01_因子設定!$B$16))),-1E+030)</f>
        <v>48.1177129020468</v>
      </c>
      <c r="AF6438" s="55" t="n">
        <f aca="false">AD6438+ROW()*0.000000001</f>
        <v>0.0352284941635406</v>
      </c>
      <c r="AG6438" s="55" t="n">
        <f aca="false">AE6438+ROW()*0.000000001</f>
        <v>48.1177193400468</v>
      </c>
    </row>
    <row r="6439" customFormat="false" ht="15" hidden="false" customHeight="false" outlineLevel="0" collapsed="false">
      <c r="A6439" s="0" t="n">
        <v>8</v>
      </c>
      <c r="B6439" s="0" t="n">
        <v>7</v>
      </c>
      <c r="C6439" s="0" t="n">
        <v>3</v>
      </c>
      <c r="D6439" s="0" t="n">
        <v>8</v>
      </c>
      <c r="E6439" s="0" t="n">
        <f aca="false">-1+A6439*0.25</f>
        <v>1</v>
      </c>
      <c r="F6439" s="0" t="n">
        <f aca="false">-1+B6439*0.25</f>
        <v>0.75</v>
      </c>
      <c r="G6439" s="0" t="n">
        <f aca="false">-1+C6439*0.25</f>
        <v>-0.25</v>
      </c>
      <c r="H6439" s="0" t="n">
        <f aca="false">-1+D6439*0.25</f>
        <v>1</v>
      </c>
      <c r="I6439" s="0" t="n">
        <f aca="false">1</f>
        <v>1</v>
      </c>
      <c r="J6439" s="0" t="n">
        <f aca="false">E6439</f>
        <v>1</v>
      </c>
      <c r="K6439" s="0" t="n">
        <f aca="false">F6439</f>
        <v>0.75</v>
      </c>
      <c r="L6439" s="0" t="n">
        <f aca="false">G6439</f>
        <v>-0.25</v>
      </c>
      <c r="M6439" s="0" t="n">
        <f aca="false">H6439</f>
        <v>1</v>
      </c>
      <c r="N6439" s="0" t="n">
        <f aca="false">E6439*F6439</f>
        <v>0.75</v>
      </c>
      <c r="O6439" s="0" t="n">
        <f aca="false">E6439*G6439</f>
        <v>-0.25</v>
      </c>
      <c r="P6439" s="0" t="n">
        <f aca="false">E6439*H6439</f>
        <v>1</v>
      </c>
      <c r="Q6439" s="0" t="n">
        <f aca="false">F6439*G6439</f>
        <v>-0.1875</v>
      </c>
      <c r="R6439" s="0" t="n">
        <f aca="false">F6439*H6439</f>
        <v>0.75</v>
      </c>
      <c r="S6439" s="0" t="n">
        <f aca="false">G6439*H6439</f>
        <v>-0.25</v>
      </c>
      <c r="T6439" s="0" t="n">
        <f aca="false">E6439*E6439</f>
        <v>1</v>
      </c>
      <c r="U6439" s="0" t="n">
        <f aca="false">F6439*F6439</f>
        <v>0.5625</v>
      </c>
      <c r="V6439" s="0" t="n">
        <f aca="false">G6439*G6439</f>
        <v>0.0625</v>
      </c>
      <c r="W6439" s="0" t="n">
        <f aca="false">H6439*H6439</f>
        <v>1</v>
      </c>
      <c r="X6439" s="0" t="n">
        <f aca="false">SUMPRODUCT(I6439:W6439,_XtX!$B$96:$P$96)</f>
        <v>48.0252147295322</v>
      </c>
      <c r="Y6439" s="0" t="n">
        <f aca="false">SUMPRODUCT(MMULT(I6439:W6439,_XtX!$B$78:$P$92),I6439:W6439)</f>
        <v>0.621372155975877</v>
      </c>
      <c r="Z6439" s="0" t="n">
        <f aca="false">04_回帰ANOVA!$K$19*04_回帰ANOVA!$K$14*SQRT(1+Y6439)</f>
        <v>1.65973880499872</v>
      </c>
      <c r="AA6439" s="0" t="n">
        <f aca="false">X6439-Z6439</f>
        <v>46.3654759245335</v>
      </c>
      <c r="AB6439" s="0" t="n">
        <f aca="false">X6439+Z6439</f>
        <v>49.6849535345309</v>
      </c>
      <c r="AC6439" s="54" t="b">
        <f aca="false">AND(E6439&gt;=01_因子設定!$L$5-0.000000001,E6439&lt;=01_因子設定!$M$5+0.000000001,F6439&gt;=01_因子設定!$L$6-0.000000001,F6439&lt;=01_因子設定!$M$6+0.000000001,G6439&gt;=01_因子設定!$L$7-0.000000001,G6439&lt;=01_因子設定!$M$7+0.000000001,H6439&gt;=01_因子設定!$L$8-0.000000001,H6439&lt;=01_因子設定!$M$8+0.000000001,IF(01_因子設定!$B$20="Box-Behnken",E6439^2+F6439^2+G6439^2+H6439^2&lt;=2+0.000000001,TRUE()))</f>
        <v>1</v>
      </c>
      <c r="AD6439" s="55" t="n">
        <f aca="false">IF(AC6439,IF(01_因子設定!$B$13="最大化",AA6439-01_因子設定!$B$14,IF(01_因子設定!$B$13="最小化",01_因子設定!$B$15-AB6439,MIN(AA6439-01_因子設定!$B$14,01_因子設定!$B$15-AB6439))),-1E+030)</f>
        <v>-0.134524075466494</v>
      </c>
      <c r="AE6439" s="55" t="n">
        <f aca="false">IF(AC6439,IF(01_因子設定!$B$13="最大化",X6439,IF(01_因子設定!$B$13="最小化",-X6439,-ABS(X6439-01_因子設定!$B$16))),-1E+030)</f>
        <v>48.0252147295322</v>
      </c>
      <c r="AF6439" s="55" t="n">
        <f aca="false">AD6439+ROW()*0.000000001</f>
        <v>-0.134517636466494</v>
      </c>
      <c r="AG6439" s="55" t="n">
        <f aca="false">AE6439+ROW()*0.000000001</f>
        <v>48.0252211685322</v>
      </c>
    </row>
    <row r="6440" customFormat="false" ht="15" hidden="false" customHeight="false" outlineLevel="0" collapsed="false">
      <c r="A6440" s="0" t="n">
        <v>8</v>
      </c>
      <c r="B6440" s="0" t="n">
        <v>7</v>
      </c>
      <c r="C6440" s="0" t="n">
        <v>4</v>
      </c>
      <c r="D6440" s="0" t="n">
        <v>0</v>
      </c>
      <c r="E6440" s="0" t="n">
        <f aca="false">-1+A6440*0.25</f>
        <v>1</v>
      </c>
      <c r="F6440" s="0" t="n">
        <f aca="false">-1+B6440*0.25</f>
        <v>0.75</v>
      </c>
      <c r="G6440" s="0" t="n">
        <f aca="false">-1+C6440*0.25</f>
        <v>0</v>
      </c>
      <c r="H6440" s="0" t="n">
        <f aca="false">-1+D6440*0.25</f>
        <v>-1</v>
      </c>
      <c r="I6440" s="0" t="n">
        <f aca="false">1</f>
        <v>1</v>
      </c>
      <c r="J6440" s="0" t="n">
        <f aca="false">E6440</f>
        <v>1</v>
      </c>
      <c r="K6440" s="0" t="n">
        <f aca="false">F6440</f>
        <v>0.75</v>
      </c>
      <c r="L6440" s="0" t="n">
        <f aca="false">G6440</f>
        <v>0</v>
      </c>
      <c r="M6440" s="0" t="n">
        <f aca="false">H6440</f>
        <v>-1</v>
      </c>
      <c r="N6440" s="0" t="n">
        <f aca="false">E6440*F6440</f>
        <v>0.75</v>
      </c>
      <c r="O6440" s="0" t="n">
        <f aca="false">E6440*G6440</f>
        <v>0</v>
      </c>
      <c r="P6440" s="0" t="n">
        <f aca="false">E6440*H6440</f>
        <v>-1</v>
      </c>
      <c r="Q6440" s="0" t="n">
        <f aca="false">F6440*G6440</f>
        <v>0</v>
      </c>
      <c r="R6440" s="0" t="n">
        <f aca="false">F6440*H6440</f>
        <v>-0.75</v>
      </c>
      <c r="S6440" s="0" t="n">
        <f aca="false">G6440*H6440</f>
        <v>-0</v>
      </c>
      <c r="T6440" s="0" t="n">
        <f aca="false">E6440*E6440</f>
        <v>1</v>
      </c>
      <c r="U6440" s="0" t="n">
        <f aca="false">F6440*F6440</f>
        <v>0.5625</v>
      </c>
      <c r="V6440" s="0" t="n">
        <f aca="false">G6440*G6440</f>
        <v>0</v>
      </c>
      <c r="W6440" s="0" t="n">
        <f aca="false">H6440*H6440</f>
        <v>1</v>
      </c>
      <c r="X6440" s="0" t="n">
        <f aca="false">SUMPRODUCT(I6440:W6440,_XtX!$B$96:$P$96)</f>
        <v>47.5393092105264</v>
      </c>
      <c r="Y6440" s="0" t="n">
        <f aca="false">SUMPRODUCT(MMULT(I6440:W6440,_XtX!$B$78:$P$92),I6440:W6440)</f>
        <v>0.646198830409357</v>
      </c>
      <c r="Z6440" s="0" t="n">
        <f aca="false">04_回帰ANOVA!$K$19*04_回帰ANOVA!$K$14*SQRT(1+Y6440)</f>
        <v>1.67239760569756</v>
      </c>
      <c r="AA6440" s="0" t="n">
        <f aca="false">X6440-Z6440</f>
        <v>45.8669116048288</v>
      </c>
      <c r="AB6440" s="0" t="n">
        <f aca="false">X6440+Z6440</f>
        <v>49.2117068162239</v>
      </c>
      <c r="AC6440" s="54" t="b">
        <f aca="false">AND(E6440&gt;=01_因子設定!$L$5-0.000000001,E6440&lt;=01_因子設定!$M$5+0.000000001,F6440&gt;=01_因子設定!$L$6-0.000000001,F6440&lt;=01_因子設定!$M$6+0.000000001,G6440&gt;=01_因子設定!$L$7-0.000000001,G6440&lt;=01_因子設定!$M$7+0.000000001,H6440&gt;=01_因子設定!$L$8-0.000000001,H6440&lt;=01_因子設定!$M$8+0.000000001,IF(01_因子設定!$B$20="Box-Behnken",E6440^2+F6440^2+G6440^2+H6440^2&lt;=2+0.000000001,TRUE()))</f>
        <v>1</v>
      </c>
      <c r="AD6440" s="55" t="n">
        <f aca="false">IF(AC6440,IF(01_因子設定!$B$13="最大化",AA6440-01_因子設定!$B$14,IF(01_因子設定!$B$13="最小化",01_因子設定!$B$15-AB6440,MIN(AA6440-01_因子設定!$B$14,01_因子設定!$B$15-AB6440))),-1E+030)</f>
        <v>-0.633088395171178</v>
      </c>
      <c r="AE6440" s="55" t="n">
        <f aca="false">IF(AC6440,IF(01_因子設定!$B$13="最大化",X6440,IF(01_因子設定!$B$13="最小化",-X6440,-ABS(X6440-01_因子設定!$B$16))),-1E+030)</f>
        <v>47.5393092105264</v>
      </c>
      <c r="AF6440" s="55" t="n">
        <f aca="false">AD6440+ROW()*0.000000001</f>
        <v>-0.633081955171178</v>
      </c>
      <c r="AG6440" s="55" t="n">
        <f aca="false">AE6440+ROW()*0.000000001</f>
        <v>47.5393156505264</v>
      </c>
    </row>
    <row r="6441" customFormat="false" ht="15" hidden="false" customHeight="false" outlineLevel="0" collapsed="false">
      <c r="A6441" s="0" t="n">
        <v>8</v>
      </c>
      <c r="B6441" s="0" t="n">
        <v>7</v>
      </c>
      <c r="C6441" s="0" t="n">
        <v>4</v>
      </c>
      <c r="D6441" s="0" t="n">
        <v>1</v>
      </c>
      <c r="E6441" s="0" t="n">
        <f aca="false">-1+A6441*0.25</f>
        <v>1</v>
      </c>
      <c r="F6441" s="0" t="n">
        <f aca="false">-1+B6441*0.25</f>
        <v>0.75</v>
      </c>
      <c r="G6441" s="0" t="n">
        <f aca="false">-1+C6441*0.25</f>
        <v>0</v>
      </c>
      <c r="H6441" s="0" t="n">
        <f aca="false">-1+D6441*0.25</f>
        <v>-0.75</v>
      </c>
      <c r="I6441" s="0" t="n">
        <f aca="false">1</f>
        <v>1</v>
      </c>
      <c r="J6441" s="0" t="n">
        <f aca="false">E6441</f>
        <v>1</v>
      </c>
      <c r="K6441" s="0" t="n">
        <f aca="false">F6441</f>
        <v>0.75</v>
      </c>
      <c r="L6441" s="0" t="n">
        <f aca="false">G6441</f>
        <v>0</v>
      </c>
      <c r="M6441" s="0" t="n">
        <f aca="false">H6441</f>
        <v>-0.75</v>
      </c>
      <c r="N6441" s="0" t="n">
        <f aca="false">E6441*F6441</f>
        <v>0.75</v>
      </c>
      <c r="O6441" s="0" t="n">
        <f aca="false">E6441*G6441</f>
        <v>0</v>
      </c>
      <c r="P6441" s="0" t="n">
        <f aca="false">E6441*H6441</f>
        <v>-0.75</v>
      </c>
      <c r="Q6441" s="0" t="n">
        <f aca="false">F6441*G6441</f>
        <v>0</v>
      </c>
      <c r="R6441" s="0" t="n">
        <f aca="false">F6441*H6441</f>
        <v>-0.5625</v>
      </c>
      <c r="S6441" s="0" t="n">
        <f aca="false">G6441*H6441</f>
        <v>-0</v>
      </c>
      <c r="T6441" s="0" t="n">
        <f aca="false">E6441*E6441</f>
        <v>1</v>
      </c>
      <c r="U6441" s="0" t="n">
        <f aca="false">F6441*F6441</f>
        <v>0.5625</v>
      </c>
      <c r="V6441" s="0" t="n">
        <f aca="false">G6441*G6441</f>
        <v>0</v>
      </c>
      <c r="W6441" s="0" t="n">
        <f aca="false">H6441*H6441</f>
        <v>0.5625</v>
      </c>
      <c r="X6441" s="0" t="n">
        <f aca="false">SUMPRODUCT(I6441:W6441,_XtX!$B$96:$P$96)</f>
        <v>47.7994289108188</v>
      </c>
      <c r="Y6441" s="0" t="n">
        <f aca="false">SUMPRODUCT(MMULT(I6441:W6441,_XtX!$B$78:$P$92),I6441:W6441)</f>
        <v>0.494259126005117</v>
      </c>
      <c r="Z6441" s="0" t="n">
        <f aca="false">04_回帰ANOVA!$K$19*04_回帰ANOVA!$K$14*SQRT(1+Y6441)</f>
        <v>1.59335061078203</v>
      </c>
      <c r="AA6441" s="0" t="n">
        <f aca="false">X6441-Z6441</f>
        <v>46.2060783000367</v>
      </c>
      <c r="AB6441" s="0" t="n">
        <f aca="false">X6441+Z6441</f>
        <v>49.3927795216008</v>
      </c>
      <c r="AC6441" s="54" t="b">
        <f aca="false">AND(E6441&gt;=01_因子設定!$L$5-0.000000001,E6441&lt;=01_因子設定!$M$5+0.000000001,F6441&gt;=01_因子設定!$L$6-0.000000001,F6441&lt;=01_因子設定!$M$6+0.000000001,G6441&gt;=01_因子設定!$L$7-0.000000001,G6441&lt;=01_因子設定!$M$7+0.000000001,H6441&gt;=01_因子設定!$L$8-0.000000001,H6441&lt;=01_因子設定!$M$8+0.000000001,IF(01_因子設定!$B$20="Box-Behnken",E6441^2+F6441^2+G6441^2+H6441^2&lt;=2+0.000000001,TRUE()))</f>
        <v>1</v>
      </c>
      <c r="AD6441" s="55" t="n">
        <f aca="false">IF(AC6441,IF(01_因子設定!$B$13="最大化",AA6441-01_因子設定!$B$14,IF(01_因子設定!$B$13="最小化",01_因子設定!$B$15-AB6441,MIN(AA6441-01_因子設定!$B$14,01_因子設定!$B$15-AB6441))),-1E+030)</f>
        <v>-0.293921699963263</v>
      </c>
      <c r="AE6441" s="55" t="n">
        <f aca="false">IF(AC6441,IF(01_因子設定!$B$13="最大化",X6441,IF(01_因子設定!$B$13="最小化",-X6441,-ABS(X6441-01_因子設定!$B$16))),-1E+030)</f>
        <v>47.7994289108188</v>
      </c>
      <c r="AF6441" s="55" t="n">
        <f aca="false">AD6441+ROW()*0.000000001</f>
        <v>-0.293915258963263</v>
      </c>
      <c r="AG6441" s="55" t="n">
        <f aca="false">AE6441+ROW()*0.000000001</f>
        <v>47.7994353518188</v>
      </c>
    </row>
    <row r="6442" customFormat="false" ht="15" hidden="false" customHeight="false" outlineLevel="0" collapsed="false">
      <c r="A6442" s="0" t="n">
        <v>8</v>
      </c>
      <c r="B6442" s="0" t="n">
        <v>7</v>
      </c>
      <c r="C6442" s="0" t="n">
        <v>4</v>
      </c>
      <c r="D6442" s="0" t="n">
        <v>2</v>
      </c>
      <c r="E6442" s="0" t="n">
        <f aca="false">-1+A6442*0.25</f>
        <v>1</v>
      </c>
      <c r="F6442" s="0" t="n">
        <f aca="false">-1+B6442*0.25</f>
        <v>0.75</v>
      </c>
      <c r="G6442" s="0" t="n">
        <f aca="false">-1+C6442*0.25</f>
        <v>0</v>
      </c>
      <c r="H6442" s="0" t="n">
        <f aca="false">-1+D6442*0.25</f>
        <v>-0.5</v>
      </c>
      <c r="I6442" s="0" t="n">
        <f aca="false">1</f>
        <v>1</v>
      </c>
      <c r="J6442" s="0" t="n">
        <f aca="false">E6442</f>
        <v>1</v>
      </c>
      <c r="K6442" s="0" t="n">
        <f aca="false">F6442</f>
        <v>0.75</v>
      </c>
      <c r="L6442" s="0" t="n">
        <f aca="false">G6442</f>
        <v>0</v>
      </c>
      <c r="M6442" s="0" t="n">
        <f aca="false">H6442</f>
        <v>-0.5</v>
      </c>
      <c r="N6442" s="0" t="n">
        <f aca="false">E6442*F6442</f>
        <v>0.75</v>
      </c>
      <c r="O6442" s="0" t="n">
        <f aca="false">E6442*G6442</f>
        <v>0</v>
      </c>
      <c r="P6442" s="0" t="n">
        <f aca="false">E6442*H6442</f>
        <v>-0.5</v>
      </c>
      <c r="Q6442" s="0" t="n">
        <f aca="false">F6442*G6442</f>
        <v>0</v>
      </c>
      <c r="R6442" s="0" t="n">
        <f aca="false">F6442*H6442</f>
        <v>-0.375</v>
      </c>
      <c r="S6442" s="0" t="n">
        <f aca="false">G6442*H6442</f>
        <v>-0</v>
      </c>
      <c r="T6442" s="0" t="n">
        <f aca="false">E6442*E6442</f>
        <v>1</v>
      </c>
      <c r="U6442" s="0" t="n">
        <f aca="false">F6442*F6442</f>
        <v>0.5625</v>
      </c>
      <c r="V6442" s="0" t="n">
        <f aca="false">G6442*G6442</f>
        <v>0</v>
      </c>
      <c r="W6442" s="0" t="n">
        <f aca="false">H6442*H6442</f>
        <v>0.25</v>
      </c>
      <c r="X6442" s="0" t="n">
        <f aca="false">SUMPRODUCT(I6442:W6442,_XtX!$B$96:$P$96)</f>
        <v>48.0117415935673</v>
      </c>
      <c r="Y6442" s="0" t="n">
        <f aca="false">SUMPRODUCT(MMULT(I6442:W6442,_XtX!$B$78:$P$92),I6442:W6442)</f>
        <v>0.476191292032164</v>
      </c>
      <c r="Z6442" s="0" t="n">
        <f aca="false">04_回帰ANOVA!$K$19*04_回帰ANOVA!$K$14*SQRT(1+Y6442)</f>
        <v>1.58368831471718</v>
      </c>
      <c r="AA6442" s="0" t="n">
        <f aca="false">X6442-Z6442</f>
        <v>46.4280532788501</v>
      </c>
      <c r="AB6442" s="0" t="n">
        <f aca="false">X6442+Z6442</f>
        <v>49.5954299082845</v>
      </c>
      <c r="AC6442" s="54" t="b">
        <f aca="false">AND(E6442&gt;=01_因子設定!$L$5-0.000000001,E6442&lt;=01_因子設定!$M$5+0.000000001,F6442&gt;=01_因子設定!$L$6-0.000000001,F6442&lt;=01_因子設定!$M$6+0.000000001,G6442&gt;=01_因子設定!$L$7-0.000000001,G6442&lt;=01_因子設定!$M$7+0.000000001,H6442&gt;=01_因子設定!$L$8-0.000000001,H6442&lt;=01_因子設定!$M$8+0.000000001,IF(01_因子設定!$B$20="Box-Behnken",E6442^2+F6442^2+G6442^2+H6442^2&lt;=2+0.000000001,TRUE()))</f>
        <v>1</v>
      </c>
      <c r="AD6442" s="55" t="n">
        <f aca="false">IF(AC6442,IF(01_因子設定!$B$13="最大化",AA6442-01_因子設定!$B$14,IF(01_因子設定!$B$13="最小化",01_因子設定!$B$15-AB6442,MIN(AA6442-01_因子設定!$B$14,01_因子設定!$B$15-AB6442))),-1E+030)</f>
        <v>-0.0719467211498923</v>
      </c>
      <c r="AE6442" s="55" t="n">
        <f aca="false">IF(AC6442,IF(01_因子設定!$B$13="最大化",X6442,IF(01_因子設定!$B$13="最小化",-X6442,-ABS(X6442-01_因子設定!$B$16))),-1E+030)</f>
        <v>48.0117415935673</v>
      </c>
      <c r="AF6442" s="55" t="n">
        <f aca="false">AD6442+ROW()*0.000000001</f>
        <v>-0.0719402791498923</v>
      </c>
      <c r="AG6442" s="55" t="n">
        <f aca="false">AE6442+ROW()*0.000000001</f>
        <v>48.0117480355673</v>
      </c>
    </row>
    <row r="6443" customFormat="false" ht="15" hidden="false" customHeight="false" outlineLevel="0" collapsed="false">
      <c r="A6443" s="0" t="n">
        <v>8</v>
      </c>
      <c r="B6443" s="0" t="n">
        <v>7</v>
      </c>
      <c r="C6443" s="0" t="n">
        <v>4</v>
      </c>
      <c r="D6443" s="0" t="n">
        <v>3</v>
      </c>
      <c r="E6443" s="0" t="n">
        <f aca="false">-1+A6443*0.25</f>
        <v>1</v>
      </c>
      <c r="F6443" s="0" t="n">
        <f aca="false">-1+B6443*0.25</f>
        <v>0.75</v>
      </c>
      <c r="G6443" s="0" t="n">
        <f aca="false">-1+C6443*0.25</f>
        <v>0</v>
      </c>
      <c r="H6443" s="0" t="n">
        <f aca="false">-1+D6443*0.25</f>
        <v>-0.25</v>
      </c>
      <c r="I6443" s="0" t="n">
        <f aca="false">1</f>
        <v>1</v>
      </c>
      <c r="J6443" s="0" t="n">
        <f aca="false">E6443</f>
        <v>1</v>
      </c>
      <c r="K6443" s="0" t="n">
        <f aca="false">F6443</f>
        <v>0.75</v>
      </c>
      <c r="L6443" s="0" t="n">
        <f aca="false">G6443</f>
        <v>0</v>
      </c>
      <c r="M6443" s="0" t="n">
        <f aca="false">H6443</f>
        <v>-0.25</v>
      </c>
      <c r="N6443" s="0" t="n">
        <f aca="false">E6443*F6443</f>
        <v>0.75</v>
      </c>
      <c r="O6443" s="0" t="n">
        <f aca="false">E6443*G6443</f>
        <v>0</v>
      </c>
      <c r="P6443" s="0" t="n">
        <f aca="false">E6443*H6443</f>
        <v>-0.25</v>
      </c>
      <c r="Q6443" s="0" t="n">
        <f aca="false">F6443*G6443</f>
        <v>0</v>
      </c>
      <c r="R6443" s="0" t="n">
        <f aca="false">F6443*H6443</f>
        <v>-0.1875</v>
      </c>
      <c r="S6443" s="0" t="n">
        <f aca="false">G6443*H6443</f>
        <v>-0</v>
      </c>
      <c r="T6443" s="0" t="n">
        <f aca="false">E6443*E6443</f>
        <v>1</v>
      </c>
      <c r="U6443" s="0" t="n">
        <f aca="false">F6443*F6443</f>
        <v>0.5625</v>
      </c>
      <c r="V6443" s="0" t="n">
        <f aca="false">G6443*G6443</f>
        <v>0</v>
      </c>
      <c r="W6443" s="0" t="n">
        <f aca="false">H6443*H6443</f>
        <v>0.0625</v>
      </c>
      <c r="X6443" s="0" t="n">
        <f aca="false">SUMPRODUCT(I6443:W6443,_XtX!$B$96:$P$96)</f>
        <v>48.176247258772</v>
      </c>
      <c r="Y6443" s="0" t="n">
        <f aca="false">SUMPRODUCT(MMULT(I6443:W6443,_XtX!$B$78:$P$92),I6443:W6443)</f>
        <v>0.501534802174708</v>
      </c>
      <c r="Z6443" s="0" t="n">
        <f aca="false">04_回帰ANOVA!$K$19*04_回帰ANOVA!$K$14*SQRT(1+Y6443)</f>
        <v>1.59722498091333</v>
      </c>
      <c r="AA6443" s="0" t="n">
        <f aca="false">X6443-Z6443</f>
        <v>46.5790222778586</v>
      </c>
      <c r="AB6443" s="0" t="n">
        <f aca="false">X6443+Z6443</f>
        <v>49.7734722396853</v>
      </c>
      <c r="AC6443" s="54" t="b">
        <f aca="false">AND(E6443&gt;=01_因子設定!$L$5-0.000000001,E6443&lt;=01_因子設定!$M$5+0.000000001,F6443&gt;=01_因子設定!$L$6-0.000000001,F6443&lt;=01_因子設定!$M$6+0.000000001,G6443&gt;=01_因子設定!$L$7-0.000000001,G6443&lt;=01_因子設定!$M$7+0.000000001,H6443&gt;=01_因子設定!$L$8-0.000000001,H6443&lt;=01_因子設定!$M$8+0.000000001,IF(01_因子設定!$B$20="Box-Behnken",E6443^2+F6443^2+G6443^2+H6443^2&lt;=2+0.000000001,TRUE()))</f>
        <v>1</v>
      </c>
      <c r="AD6443" s="55" t="n">
        <f aca="false">IF(AC6443,IF(01_因子設定!$B$13="最大化",AA6443-01_因子設定!$B$14,IF(01_因子設定!$B$13="最小化",01_因子設定!$B$15-AB6443,MIN(AA6443-01_因子設定!$B$14,01_因子設定!$B$15-AB6443))),-1E+030)</f>
        <v>0.0790222778586269</v>
      </c>
      <c r="AE6443" s="55" t="n">
        <f aca="false">IF(AC6443,IF(01_因子設定!$B$13="最大化",X6443,IF(01_因子設定!$B$13="最小化",-X6443,-ABS(X6443-01_因子設定!$B$16))),-1E+030)</f>
        <v>48.176247258772</v>
      </c>
      <c r="AF6443" s="55" t="n">
        <f aca="false">AD6443+ROW()*0.000000001</f>
        <v>0.0790287208586269</v>
      </c>
      <c r="AG6443" s="55" t="n">
        <f aca="false">AE6443+ROW()*0.000000001</f>
        <v>48.176253701772</v>
      </c>
    </row>
    <row r="6444" customFormat="false" ht="15" hidden="false" customHeight="false" outlineLevel="0" collapsed="false">
      <c r="A6444" s="0" t="n">
        <v>8</v>
      </c>
      <c r="B6444" s="0" t="n">
        <v>7</v>
      </c>
      <c r="C6444" s="0" t="n">
        <v>4</v>
      </c>
      <c r="D6444" s="0" t="n">
        <v>4</v>
      </c>
      <c r="E6444" s="0" t="n">
        <f aca="false">-1+A6444*0.25</f>
        <v>1</v>
      </c>
      <c r="F6444" s="0" t="n">
        <f aca="false">-1+B6444*0.25</f>
        <v>0.75</v>
      </c>
      <c r="G6444" s="0" t="n">
        <f aca="false">-1+C6444*0.25</f>
        <v>0</v>
      </c>
      <c r="H6444" s="0" t="n">
        <f aca="false">-1+D6444*0.25</f>
        <v>0</v>
      </c>
      <c r="I6444" s="0" t="n">
        <f aca="false">1</f>
        <v>1</v>
      </c>
      <c r="J6444" s="0" t="n">
        <f aca="false">E6444</f>
        <v>1</v>
      </c>
      <c r="K6444" s="0" t="n">
        <f aca="false">F6444</f>
        <v>0.75</v>
      </c>
      <c r="L6444" s="0" t="n">
        <f aca="false">G6444</f>
        <v>0</v>
      </c>
      <c r="M6444" s="0" t="n">
        <f aca="false">H6444</f>
        <v>0</v>
      </c>
      <c r="N6444" s="0" t="n">
        <f aca="false">E6444*F6444</f>
        <v>0.75</v>
      </c>
      <c r="O6444" s="0" t="n">
        <f aca="false">E6444*G6444</f>
        <v>0</v>
      </c>
      <c r="P6444" s="0" t="n">
        <f aca="false">E6444*H6444</f>
        <v>0</v>
      </c>
      <c r="Q6444" s="0" t="n">
        <f aca="false">F6444*G6444</f>
        <v>0</v>
      </c>
      <c r="R6444" s="0" t="n">
        <f aca="false">F6444*H6444</f>
        <v>0</v>
      </c>
      <c r="S6444" s="0" t="n">
        <f aca="false">G6444*H6444</f>
        <v>0</v>
      </c>
      <c r="T6444" s="0" t="n">
        <f aca="false">E6444*E6444</f>
        <v>1</v>
      </c>
      <c r="U6444" s="0" t="n">
        <f aca="false">F6444*F6444</f>
        <v>0.5625</v>
      </c>
      <c r="V6444" s="0" t="n">
        <f aca="false">G6444*G6444</f>
        <v>0</v>
      </c>
      <c r="W6444" s="0" t="n">
        <f aca="false">H6444*H6444</f>
        <v>0</v>
      </c>
      <c r="X6444" s="0" t="n">
        <f aca="false">SUMPRODUCT(I6444:W6444,_XtX!$B$96:$P$96)</f>
        <v>48.2929459064328</v>
      </c>
      <c r="Y6444" s="0" t="n">
        <f aca="false">SUMPRODUCT(MMULT(I6444:W6444,_XtX!$B$78:$P$92),I6444:W6444)</f>
        <v>0.516013340643275</v>
      </c>
      <c r="Z6444" s="0" t="n">
        <f aca="false">04_回帰ANOVA!$K$19*04_回帰ANOVA!$K$14*SQRT(1+Y6444)</f>
        <v>1.60490712175667</v>
      </c>
      <c r="AA6444" s="0" t="n">
        <f aca="false">X6444-Z6444</f>
        <v>46.6880387846761</v>
      </c>
      <c r="AB6444" s="0" t="n">
        <f aca="false">X6444+Z6444</f>
        <v>49.8978530281894</v>
      </c>
      <c r="AC6444" s="54" t="b">
        <f aca="false">AND(E6444&gt;=01_因子設定!$L$5-0.000000001,E6444&lt;=01_因子設定!$M$5+0.000000001,F6444&gt;=01_因子設定!$L$6-0.000000001,F6444&lt;=01_因子設定!$M$6+0.000000001,G6444&gt;=01_因子設定!$L$7-0.000000001,G6444&lt;=01_因子設定!$M$7+0.000000001,H6444&gt;=01_因子設定!$L$8-0.000000001,H6444&lt;=01_因子設定!$M$8+0.000000001,IF(01_因子設定!$B$20="Box-Behnken",E6444^2+F6444^2+G6444^2+H6444^2&lt;=2+0.000000001,TRUE()))</f>
        <v>1</v>
      </c>
      <c r="AD6444" s="55" t="n">
        <f aca="false">IF(AC6444,IF(01_因子設定!$B$13="最大化",AA6444-01_因子設定!$B$14,IF(01_因子設定!$B$13="最小化",01_因子設定!$B$15-AB6444,MIN(AA6444-01_因子設定!$B$14,01_因子設定!$B$15-AB6444))),-1E+030)</f>
        <v>0.188038784676102</v>
      </c>
      <c r="AE6444" s="55" t="n">
        <f aca="false">IF(AC6444,IF(01_因子設定!$B$13="最大化",X6444,IF(01_因子設定!$B$13="最小化",-X6444,-ABS(X6444-01_因子設定!$B$16))),-1E+030)</f>
        <v>48.2929459064328</v>
      </c>
      <c r="AF6444" s="55" t="n">
        <f aca="false">AD6444+ROW()*0.000000001</f>
        <v>0.188045228676102</v>
      </c>
      <c r="AG6444" s="55" t="n">
        <f aca="false">AE6444+ROW()*0.000000001</f>
        <v>48.2929523504328</v>
      </c>
    </row>
    <row r="6445" customFormat="false" ht="15" hidden="false" customHeight="false" outlineLevel="0" collapsed="false">
      <c r="A6445" s="0" t="n">
        <v>8</v>
      </c>
      <c r="B6445" s="0" t="n">
        <v>7</v>
      </c>
      <c r="C6445" s="0" t="n">
        <v>4</v>
      </c>
      <c r="D6445" s="0" t="n">
        <v>5</v>
      </c>
      <c r="E6445" s="0" t="n">
        <f aca="false">-1+A6445*0.25</f>
        <v>1</v>
      </c>
      <c r="F6445" s="0" t="n">
        <f aca="false">-1+B6445*0.25</f>
        <v>0.75</v>
      </c>
      <c r="G6445" s="0" t="n">
        <f aca="false">-1+C6445*0.25</f>
        <v>0</v>
      </c>
      <c r="H6445" s="0" t="n">
        <f aca="false">-1+D6445*0.25</f>
        <v>0.25</v>
      </c>
      <c r="I6445" s="0" t="n">
        <f aca="false">1</f>
        <v>1</v>
      </c>
      <c r="J6445" s="0" t="n">
        <f aca="false">E6445</f>
        <v>1</v>
      </c>
      <c r="K6445" s="0" t="n">
        <f aca="false">F6445</f>
        <v>0.75</v>
      </c>
      <c r="L6445" s="0" t="n">
        <f aca="false">G6445</f>
        <v>0</v>
      </c>
      <c r="M6445" s="0" t="n">
        <f aca="false">H6445</f>
        <v>0.25</v>
      </c>
      <c r="N6445" s="0" t="n">
        <f aca="false">E6445*F6445</f>
        <v>0.75</v>
      </c>
      <c r="O6445" s="0" t="n">
        <f aca="false">E6445*G6445</f>
        <v>0</v>
      </c>
      <c r="P6445" s="0" t="n">
        <f aca="false">E6445*H6445</f>
        <v>0.25</v>
      </c>
      <c r="Q6445" s="0" t="n">
        <f aca="false">F6445*G6445</f>
        <v>0</v>
      </c>
      <c r="R6445" s="0" t="n">
        <f aca="false">F6445*H6445</f>
        <v>0.1875</v>
      </c>
      <c r="S6445" s="0" t="n">
        <f aca="false">G6445*H6445</f>
        <v>0</v>
      </c>
      <c r="T6445" s="0" t="n">
        <f aca="false">E6445*E6445</f>
        <v>1</v>
      </c>
      <c r="U6445" s="0" t="n">
        <f aca="false">F6445*F6445</f>
        <v>0.5625</v>
      </c>
      <c r="V6445" s="0" t="n">
        <f aca="false">G6445*G6445</f>
        <v>0</v>
      </c>
      <c r="W6445" s="0" t="n">
        <f aca="false">H6445*H6445</f>
        <v>0.0625</v>
      </c>
      <c r="X6445" s="0" t="n">
        <f aca="false">SUMPRODUCT(I6445:W6445,_XtX!$B$96:$P$96)</f>
        <v>48.3618375365497</v>
      </c>
      <c r="Y6445" s="0" t="n">
        <f aca="false">SUMPRODUCT(MMULT(I6445:W6445,_XtX!$B$78:$P$92),I6445:W6445)</f>
        <v>0.501534802174708</v>
      </c>
      <c r="Z6445" s="0" t="n">
        <f aca="false">04_回帰ANOVA!$K$19*04_回帰ANOVA!$K$14*SQRT(1+Y6445)</f>
        <v>1.59722498091333</v>
      </c>
      <c r="AA6445" s="0" t="n">
        <f aca="false">X6445-Z6445</f>
        <v>46.7646125556364</v>
      </c>
      <c r="AB6445" s="0" t="n">
        <f aca="false">X6445+Z6445</f>
        <v>49.9590625174631</v>
      </c>
      <c r="AC6445" s="54" t="b">
        <f aca="false">AND(E6445&gt;=01_因子設定!$L$5-0.000000001,E6445&lt;=01_因子設定!$M$5+0.000000001,F6445&gt;=01_因子設定!$L$6-0.000000001,F6445&lt;=01_因子設定!$M$6+0.000000001,G6445&gt;=01_因子設定!$L$7-0.000000001,G6445&lt;=01_因子設定!$M$7+0.000000001,H6445&gt;=01_因子設定!$L$8-0.000000001,H6445&lt;=01_因子設定!$M$8+0.000000001,IF(01_因子設定!$B$20="Box-Behnken",E6445^2+F6445^2+G6445^2+H6445^2&lt;=2+0.000000001,TRUE()))</f>
        <v>1</v>
      </c>
      <c r="AD6445" s="55" t="n">
        <f aca="false">IF(AC6445,IF(01_因子設定!$B$13="最大化",AA6445-01_因子設定!$B$14,IF(01_因子設定!$B$13="最小化",01_因子設定!$B$15-AB6445,MIN(AA6445-01_因子設定!$B$14,01_因子設定!$B$15-AB6445))),-1E+030)</f>
        <v>0.264612555636404</v>
      </c>
      <c r="AE6445" s="55" t="n">
        <f aca="false">IF(AC6445,IF(01_因子設定!$B$13="最大化",X6445,IF(01_因子設定!$B$13="最小化",-X6445,-ABS(X6445-01_因子設定!$B$16))),-1E+030)</f>
        <v>48.3618375365497</v>
      </c>
      <c r="AF6445" s="55" t="n">
        <f aca="false">AD6445+ROW()*0.000000001</f>
        <v>0.264619000636404</v>
      </c>
      <c r="AG6445" s="55" t="n">
        <f aca="false">AE6445+ROW()*0.000000001</f>
        <v>48.3618439815497</v>
      </c>
    </row>
    <row r="6446" customFormat="false" ht="15" hidden="false" customHeight="false" outlineLevel="0" collapsed="false">
      <c r="A6446" s="0" t="n">
        <v>8</v>
      </c>
      <c r="B6446" s="0" t="n">
        <v>7</v>
      </c>
      <c r="C6446" s="0" t="n">
        <v>4</v>
      </c>
      <c r="D6446" s="0" t="n">
        <v>6</v>
      </c>
      <c r="E6446" s="0" t="n">
        <f aca="false">-1+A6446*0.25</f>
        <v>1</v>
      </c>
      <c r="F6446" s="0" t="n">
        <f aca="false">-1+B6446*0.25</f>
        <v>0.75</v>
      </c>
      <c r="G6446" s="0" t="n">
        <f aca="false">-1+C6446*0.25</f>
        <v>0</v>
      </c>
      <c r="H6446" s="0" t="n">
        <f aca="false">-1+D6446*0.25</f>
        <v>0.5</v>
      </c>
      <c r="I6446" s="0" t="n">
        <f aca="false">1</f>
        <v>1</v>
      </c>
      <c r="J6446" s="0" t="n">
        <f aca="false">E6446</f>
        <v>1</v>
      </c>
      <c r="K6446" s="0" t="n">
        <f aca="false">F6446</f>
        <v>0.75</v>
      </c>
      <c r="L6446" s="0" t="n">
        <f aca="false">G6446</f>
        <v>0</v>
      </c>
      <c r="M6446" s="0" t="n">
        <f aca="false">H6446</f>
        <v>0.5</v>
      </c>
      <c r="N6446" s="0" t="n">
        <f aca="false">E6446*F6446</f>
        <v>0.75</v>
      </c>
      <c r="O6446" s="0" t="n">
        <f aca="false">E6446*G6446</f>
        <v>0</v>
      </c>
      <c r="P6446" s="0" t="n">
        <f aca="false">E6446*H6446</f>
        <v>0.5</v>
      </c>
      <c r="Q6446" s="0" t="n">
        <f aca="false">F6446*G6446</f>
        <v>0</v>
      </c>
      <c r="R6446" s="0" t="n">
        <f aca="false">F6446*H6446</f>
        <v>0.375</v>
      </c>
      <c r="S6446" s="0" t="n">
        <f aca="false">G6446*H6446</f>
        <v>0</v>
      </c>
      <c r="T6446" s="0" t="n">
        <f aca="false">E6446*E6446</f>
        <v>1</v>
      </c>
      <c r="U6446" s="0" t="n">
        <f aca="false">F6446*F6446</f>
        <v>0.5625</v>
      </c>
      <c r="V6446" s="0" t="n">
        <f aca="false">G6446*G6446</f>
        <v>0</v>
      </c>
      <c r="W6446" s="0" t="n">
        <f aca="false">H6446*H6446</f>
        <v>0.25</v>
      </c>
      <c r="X6446" s="0" t="n">
        <f aca="false">SUMPRODUCT(I6446:W6446,_XtX!$B$96:$P$96)</f>
        <v>48.3829221491228</v>
      </c>
      <c r="Y6446" s="0" t="n">
        <f aca="false">SUMPRODUCT(MMULT(I6446:W6446,_XtX!$B$78:$P$92),I6446:W6446)</f>
        <v>0.476191292032164</v>
      </c>
      <c r="Z6446" s="0" t="n">
        <f aca="false">04_回帰ANOVA!$K$19*04_回帰ANOVA!$K$14*SQRT(1+Y6446)</f>
        <v>1.58368831471718</v>
      </c>
      <c r="AA6446" s="0" t="n">
        <f aca="false">X6446-Z6446</f>
        <v>46.7992338344057</v>
      </c>
      <c r="AB6446" s="0" t="n">
        <f aca="false">X6446+Z6446</f>
        <v>49.96661046384</v>
      </c>
      <c r="AC6446" s="54" t="b">
        <f aca="false">AND(E6446&gt;=01_因子設定!$L$5-0.000000001,E6446&lt;=01_因子設定!$M$5+0.000000001,F6446&gt;=01_因子設定!$L$6-0.000000001,F6446&lt;=01_因子設定!$M$6+0.000000001,G6446&gt;=01_因子設定!$L$7-0.000000001,G6446&lt;=01_因子設定!$M$7+0.000000001,H6446&gt;=01_因子設定!$L$8-0.000000001,H6446&lt;=01_因子設定!$M$8+0.000000001,IF(01_因子設定!$B$20="Box-Behnken",E6446^2+F6446^2+G6446^2+H6446^2&lt;=2+0.000000001,TRUE()))</f>
        <v>1</v>
      </c>
      <c r="AD6446" s="55" t="n">
        <f aca="false">IF(AC6446,IF(01_因子設定!$B$13="最大化",AA6446-01_因子設定!$B$14,IF(01_因子設定!$B$13="最小化",01_因子設定!$B$15-AB6446,MIN(AA6446-01_因子設定!$B$14,01_因子設定!$B$15-AB6446))),-1E+030)</f>
        <v>0.299233834405662</v>
      </c>
      <c r="AE6446" s="55" t="n">
        <f aca="false">IF(AC6446,IF(01_因子設定!$B$13="最大化",X6446,IF(01_因子設定!$B$13="最小化",-X6446,-ABS(X6446-01_因子設定!$B$16))),-1E+030)</f>
        <v>48.3829221491228</v>
      </c>
      <c r="AF6446" s="55" t="n">
        <f aca="false">AD6446+ROW()*0.000000001</f>
        <v>0.299240280405662</v>
      </c>
      <c r="AG6446" s="55" t="n">
        <f aca="false">AE6446+ROW()*0.000000001</f>
        <v>48.3829285951228</v>
      </c>
    </row>
    <row r="6447" customFormat="false" ht="15" hidden="false" customHeight="false" outlineLevel="0" collapsed="false">
      <c r="A6447" s="0" t="n">
        <v>8</v>
      </c>
      <c r="B6447" s="0" t="n">
        <v>7</v>
      </c>
      <c r="C6447" s="0" t="n">
        <v>4</v>
      </c>
      <c r="D6447" s="0" t="n">
        <v>7</v>
      </c>
      <c r="E6447" s="0" t="n">
        <f aca="false">-1+A6447*0.25</f>
        <v>1</v>
      </c>
      <c r="F6447" s="0" t="n">
        <f aca="false">-1+B6447*0.25</f>
        <v>0.75</v>
      </c>
      <c r="G6447" s="0" t="n">
        <f aca="false">-1+C6447*0.25</f>
        <v>0</v>
      </c>
      <c r="H6447" s="0" t="n">
        <f aca="false">-1+D6447*0.25</f>
        <v>0.75</v>
      </c>
      <c r="I6447" s="0" t="n">
        <f aca="false">1</f>
        <v>1</v>
      </c>
      <c r="J6447" s="0" t="n">
        <f aca="false">E6447</f>
        <v>1</v>
      </c>
      <c r="K6447" s="0" t="n">
        <f aca="false">F6447</f>
        <v>0.75</v>
      </c>
      <c r="L6447" s="0" t="n">
        <f aca="false">G6447</f>
        <v>0</v>
      </c>
      <c r="M6447" s="0" t="n">
        <f aca="false">H6447</f>
        <v>0.75</v>
      </c>
      <c r="N6447" s="0" t="n">
        <f aca="false">E6447*F6447</f>
        <v>0.75</v>
      </c>
      <c r="O6447" s="0" t="n">
        <f aca="false">E6447*G6447</f>
        <v>0</v>
      </c>
      <c r="P6447" s="0" t="n">
        <f aca="false">E6447*H6447</f>
        <v>0.75</v>
      </c>
      <c r="Q6447" s="0" t="n">
        <f aca="false">F6447*G6447</f>
        <v>0</v>
      </c>
      <c r="R6447" s="0" t="n">
        <f aca="false">F6447*H6447</f>
        <v>0.5625</v>
      </c>
      <c r="S6447" s="0" t="n">
        <f aca="false">G6447*H6447</f>
        <v>0</v>
      </c>
      <c r="T6447" s="0" t="n">
        <f aca="false">E6447*E6447</f>
        <v>1</v>
      </c>
      <c r="U6447" s="0" t="n">
        <f aca="false">F6447*F6447</f>
        <v>0.5625</v>
      </c>
      <c r="V6447" s="0" t="n">
        <f aca="false">G6447*G6447</f>
        <v>0</v>
      </c>
      <c r="W6447" s="0" t="n">
        <f aca="false">H6447*H6447</f>
        <v>0.5625</v>
      </c>
      <c r="X6447" s="0" t="n">
        <f aca="false">SUMPRODUCT(I6447:W6447,_XtX!$B$96:$P$96)</f>
        <v>48.3561997441521</v>
      </c>
      <c r="Y6447" s="0" t="n">
        <f aca="false">SUMPRODUCT(MMULT(I6447:W6447,_XtX!$B$78:$P$92),I6447:W6447)</f>
        <v>0.494259126005117</v>
      </c>
      <c r="Z6447" s="0" t="n">
        <f aca="false">04_回帰ANOVA!$K$19*04_回帰ANOVA!$K$14*SQRT(1+Y6447)</f>
        <v>1.59335061078203</v>
      </c>
      <c r="AA6447" s="0" t="n">
        <f aca="false">X6447-Z6447</f>
        <v>46.7628491333701</v>
      </c>
      <c r="AB6447" s="0" t="n">
        <f aca="false">X6447+Z6447</f>
        <v>49.9495503549341</v>
      </c>
      <c r="AC6447" s="54" t="b">
        <f aca="false">AND(E6447&gt;=01_因子設定!$L$5-0.000000001,E6447&lt;=01_因子設定!$M$5+0.000000001,F6447&gt;=01_因子設定!$L$6-0.000000001,F6447&lt;=01_因子設定!$M$6+0.000000001,G6447&gt;=01_因子設定!$L$7-0.000000001,G6447&lt;=01_因子設定!$M$7+0.000000001,H6447&gt;=01_因子設定!$L$8-0.000000001,H6447&lt;=01_因子設定!$M$8+0.000000001,IF(01_因子設定!$B$20="Box-Behnken",E6447^2+F6447^2+G6447^2+H6447^2&lt;=2+0.000000001,TRUE()))</f>
        <v>1</v>
      </c>
      <c r="AD6447" s="55" t="n">
        <f aca="false">IF(AC6447,IF(01_因子設定!$B$13="最大化",AA6447-01_因子設定!$B$14,IF(01_因子設定!$B$13="最小化",01_因子設定!$B$15-AB6447,MIN(AA6447-01_因子設定!$B$14,01_因子設定!$B$15-AB6447))),-1E+030)</f>
        <v>0.262849133370068</v>
      </c>
      <c r="AE6447" s="55" t="n">
        <f aca="false">IF(AC6447,IF(01_因子設定!$B$13="最大化",X6447,IF(01_因子設定!$B$13="最小化",-X6447,-ABS(X6447-01_因子設定!$B$16))),-1E+030)</f>
        <v>48.3561997441521</v>
      </c>
      <c r="AF6447" s="55" t="n">
        <f aca="false">AD6447+ROW()*0.000000001</f>
        <v>0.262855580370068</v>
      </c>
      <c r="AG6447" s="55" t="n">
        <f aca="false">AE6447+ROW()*0.000000001</f>
        <v>48.3562061911521</v>
      </c>
    </row>
    <row r="6448" customFormat="false" ht="15" hidden="false" customHeight="false" outlineLevel="0" collapsed="false">
      <c r="A6448" s="0" t="n">
        <v>8</v>
      </c>
      <c r="B6448" s="0" t="n">
        <v>7</v>
      </c>
      <c r="C6448" s="0" t="n">
        <v>4</v>
      </c>
      <c r="D6448" s="0" t="n">
        <v>8</v>
      </c>
      <c r="E6448" s="0" t="n">
        <f aca="false">-1+A6448*0.25</f>
        <v>1</v>
      </c>
      <c r="F6448" s="0" t="n">
        <f aca="false">-1+B6448*0.25</f>
        <v>0.75</v>
      </c>
      <c r="G6448" s="0" t="n">
        <f aca="false">-1+C6448*0.25</f>
        <v>0</v>
      </c>
      <c r="H6448" s="0" t="n">
        <f aca="false">-1+D6448*0.25</f>
        <v>1</v>
      </c>
      <c r="I6448" s="0" t="n">
        <f aca="false">1</f>
        <v>1</v>
      </c>
      <c r="J6448" s="0" t="n">
        <f aca="false">E6448</f>
        <v>1</v>
      </c>
      <c r="K6448" s="0" t="n">
        <f aca="false">F6448</f>
        <v>0.75</v>
      </c>
      <c r="L6448" s="0" t="n">
        <f aca="false">G6448</f>
        <v>0</v>
      </c>
      <c r="M6448" s="0" t="n">
        <f aca="false">H6448</f>
        <v>1</v>
      </c>
      <c r="N6448" s="0" t="n">
        <f aca="false">E6448*F6448</f>
        <v>0.75</v>
      </c>
      <c r="O6448" s="0" t="n">
        <f aca="false">E6448*G6448</f>
        <v>0</v>
      </c>
      <c r="P6448" s="0" t="n">
        <f aca="false">E6448*H6448</f>
        <v>1</v>
      </c>
      <c r="Q6448" s="0" t="n">
        <f aca="false">F6448*G6448</f>
        <v>0</v>
      </c>
      <c r="R6448" s="0" t="n">
        <f aca="false">F6448*H6448</f>
        <v>0.75</v>
      </c>
      <c r="S6448" s="0" t="n">
        <f aca="false">G6448*H6448</f>
        <v>0</v>
      </c>
      <c r="T6448" s="0" t="n">
        <f aca="false">E6448*E6448</f>
        <v>1</v>
      </c>
      <c r="U6448" s="0" t="n">
        <f aca="false">F6448*F6448</f>
        <v>0.5625</v>
      </c>
      <c r="V6448" s="0" t="n">
        <f aca="false">G6448*G6448</f>
        <v>0</v>
      </c>
      <c r="W6448" s="0" t="n">
        <f aca="false">H6448*H6448</f>
        <v>1</v>
      </c>
      <c r="X6448" s="0" t="n">
        <f aca="false">SUMPRODUCT(I6448:W6448,_XtX!$B$96:$P$96)</f>
        <v>48.2816703216375</v>
      </c>
      <c r="Y6448" s="0" t="n">
        <f aca="false">SUMPRODUCT(MMULT(I6448:W6448,_XtX!$B$78:$P$92),I6448:W6448)</f>
        <v>0.646198830409357</v>
      </c>
      <c r="Z6448" s="0" t="n">
        <f aca="false">04_回帰ANOVA!$K$19*04_回帰ANOVA!$K$14*SQRT(1+Y6448)</f>
        <v>1.67239760569756</v>
      </c>
      <c r="AA6448" s="0" t="n">
        <f aca="false">X6448-Z6448</f>
        <v>46.6092727159399</v>
      </c>
      <c r="AB6448" s="0" t="n">
        <f aca="false">X6448+Z6448</f>
        <v>49.954067927335</v>
      </c>
      <c r="AC6448" s="54" t="b">
        <f aca="false">AND(E6448&gt;=01_因子設定!$L$5-0.000000001,E6448&lt;=01_因子設定!$M$5+0.000000001,F6448&gt;=01_因子設定!$L$6-0.000000001,F6448&lt;=01_因子設定!$M$6+0.000000001,G6448&gt;=01_因子設定!$L$7-0.000000001,G6448&lt;=01_因子設定!$M$7+0.000000001,H6448&gt;=01_因子設定!$L$8-0.000000001,H6448&lt;=01_因子設定!$M$8+0.000000001,IF(01_因子設定!$B$20="Box-Behnken",E6448^2+F6448^2+G6448^2+H6448^2&lt;=2+0.000000001,TRUE()))</f>
        <v>1</v>
      </c>
      <c r="AD6448" s="55" t="n">
        <f aca="false">IF(AC6448,IF(01_因子設定!$B$13="最大化",AA6448-01_因子設定!$B$14,IF(01_因子設定!$B$13="最小化",01_因子設定!$B$15-AB6448,MIN(AA6448-01_因子設定!$B$14,01_因子設定!$B$15-AB6448))),-1E+030)</f>
        <v>0.10927271593993</v>
      </c>
      <c r="AE6448" s="55" t="n">
        <f aca="false">IF(AC6448,IF(01_因子設定!$B$13="最大化",X6448,IF(01_因子設定!$B$13="最小化",-X6448,-ABS(X6448-01_因子設定!$B$16))),-1E+030)</f>
        <v>48.2816703216375</v>
      </c>
      <c r="AF6448" s="55" t="n">
        <f aca="false">AD6448+ROW()*0.000000001</f>
        <v>0.10927916393993</v>
      </c>
      <c r="AG6448" s="55" t="n">
        <f aca="false">AE6448+ROW()*0.000000001</f>
        <v>48.2816767696375</v>
      </c>
    </row>
    <row r="6449" customFormat="false" ht="15" hidden="false" customHeight="false" outlineLevel="0" collapsed="false">
      <c r="A6449" s="0" t="n">
        <v>8</v>
      </c>
      <c r="B6449" s="0" t="n">
        <v>7</v>
      </c>
      <c r="C6449" s="0" t="n">
        <v>5</v>
      </c>
      <c r="D6449" s="0" t="n">
        <v>0</v>
      </c>
      <c r="E6449" s="0" t="n">
        <f aca="false">-1+A6449*0.25</f>
        <v>1</v>
      </c>
      <c r="F6449" s="0" t="n">
        <f aca="false">-1+B6449*0.25</f>
        <v>0.75</v>
      </c>
      <c r="G6449" s="0" t="n">
        <f aca="false">-1+C6449*0.25</f>
        <v>0.25</v>
      </c>
      <c r="H6449" s="0" t="n">
        <f aca="false">-1+D6449*0.25</f>
        <v>-1</v>
      </c>
      <c r="I6449" s="0" t="n">
        <f aca="false">1</f>
        <v>1</v>
      </c>
      <c r="J6449" s="0" t="n">
        <f aca="false">E6449</f>
        <v>1</v>
      </c>
      <c r="K6449" s="0" t="n">
        <f aca="false">F6449</f>
        <v>0.75</v>
      </c>
      <c r="L6449" s="0" t="n">
        <f aca="false">G6449</f>
        <v>0.25</v>
      </c>
      <c r="M6449" s="0" t="n">
        <f aca="false">H6449</f>
        <v>-1</v>
      </c>
      <c r="N6449" s="0" t="n">
        <f aca="false">E6449*F6449</f>
        <v>0.75</v>
      </c>
      <c r="O6449" s="0" t="n">
        <f aca="false">E6449*G6449</f>
        <v>0.25</v>
      </c>
      <c r="P6449" s="0" t="n">
        <f aca="false">E6449*H6449</f>
        <v>-1</v>
      </c>
      <c r="Q6449" s="0" t="n">
        <f aca="false">F6449*G6449</f>
        <v>0.1875</v>
      </c>
      <c r="R6449" s="0" t="n">
        <f aca="false">F6449*H6449</f>
        <v>-0.75</v>
      </c>
      <c r="S6449" s="0" t="n">
        <f aca="false">G6449*H6449</f>
        <v>-0.25</v>
      </c>
      <c r="T6449" s="0" t="n">
        <f aca="false">E6449*E6449</f>
        <v>1</v>
      </c>
      <c r="U6449" s="0" t="n">
        <f aca="false">F6449*F6449</f>
        <v>0.5625</v>
      </c>
      <c r="V6449" s="0" t="n">
        <f aca="false">G6449*G6449</f>
        <v>0.0625</v>
      </c>
      <c r="W6449" s="0" t="n">
        <f aca="false">H6449*H6449</f>
        <v>1</v>
      </c>
      <c r="X6449" s="0" t="n">
        <f aca="false">SUMPRODUCT(I6449:W6449,_XtX!$B$96:$P$96)</f>
        <v>47.5667077850878</v>
      </c>
      <c r="Y6449" s="0" t="n">
        <f aca="false">SUMPRODUCT(MMULT(I6449:W6449,_XtX!$B$78:$P$92),I6449:W6449)</f>
        <v>0.621372155975877</v>
      </c>
      <c r="Z6449" s="0" t="n">
        <f aca="false">04_回帰ANOVA!$K$19*04_回帰ANOVA!$K$14*SQRT(1+Y6449)</f>
        <v>1.65973880499872</v>
      </c>
      <c r="AA6449" s="0" t="n">
        <f aca="false">X6449-Z6449</f>
        <v>45.9069689800891</v>
      </c>
      <c r="AB6449" s="0" t="n">
        <f aca="false">X6449+Z6449</f>
        <v>49.2264465900865</v>
      </c>
      <c r="AC6449" s="54" t="b">
        <f aca="false">AND(E6449&gt;=01_因子設定!$L$5-0.000000001,E6449&lt;=01_因子設定!$M$5+0.000000001,F6449&gt;=01_因子設定!$L$6-0.000000001,F6449&lt;=01_因子設定!$M$6+0.000000001,G6449&gt;=01_因子設定!$L$7-0.000000001,G6449&lt;=01_因子設定!$M$7+0.000000001,H6449&gt;=01_因子設定!$L$8-0.000000001,H6449&lt;=01_因子設定!$M$8+0.000000001,IF(01_因子設定!$B$20="Box-Behnken",E6449^2+F6449^2+G6449^2+H6449^2&lt;=2+0.000000001,TRUE()))</f>
        <v>1</v>
      </c>
      <c r="AD6449" s="55" t="n">
        <f aca="false">IF(AC6449,IF(01_因子設定!$B$13="最大化",AA6449-01_因子設定!$B$14,IF(01_因子設定!$B$13="最小化",01_因子設定!$B$15-AB6449,MIN(AA6449-01_因子設定!$B$14,01_因子設定!$B$15-AB6449))),-1E+030)</f>
        <v>-0.593031019910939</v>
      </c>
      <c r="AE6449" s="55" t="n">
        <f aca="false">IF(AC6449,IF(01_因子設定!$B$13="最大化",X6449,IF(01_因子設定!$B$13="最小化",-X6449,-ABS(X6449-01_因子設定!$B$16))),-1E+030)</f>
        <v>47.5667077850878</v>
      </c>
      <c r="AF6449" s="55" t="n">
        <f aca="false">AD6449+ROW()*0.000000001</f>
        <v>-0.593024570910939</v>
      </c>
      <c r="AG6449" s="55" t="n">
        <f aca="false">AE6449+ROW()*0.000000001</f>
        <v>47.5667142340878</v>
      </c>
    </row>
    <row r="6450" customFormat="false" ht="15" hidden="false" customHeight="false" outlineLevel="0" collapsed="false">
      <c r="A6450" s="0" t="n">
        <v>8</v>
      </c>
      <c r="B6450" s="0" t="n">
        <v>7</v>
      </c>
      <c r="C6450" s="0" t="n">
        <v>5</v>
      </c>
      <c r="D6450" s="0" t="n">
        <v>1</v>
      </c>
      <c r="E6450" s="0" t="n">
        <f aca="false">-1+A6450*0.25</f>
        <v>1</v>
      </c>
      <c r="F6450" s="0" t="n">
        <f aca="false">-1+B6450*0.25</f>
        <v>0.75</v>
      </c>
      <c r="G6450" s="0" t="n">
        <f aca="false">-1+C6450*0.25</f>
        <v>0.25</v>
      </c>
      <c r="H6450" s="0" t="n">
        <f aca="false">-1+D6450*0.25</f>
        <v>-0.75</v>
      </c>
      <c r="I6450" s="0" t="n">
        <f aca="false">1</f>
        <v>1</v>
      </c>
      <c r="J6450" s="0" t="n">
        <f aca="false">E6450</f>
        <v>1</v>
      </c>
      <c r="K6450" s="0" t="n">
        <f aca="false">F6450</f>
        <v>0.75</v>
      </c>
      <c r="L6450" s="0" t="n">
        <f aca="false">G6450</f>
        <v>0.25</v>
      </c>
      <c r="M6450" s="0" t="n">
        <f aca="false">H6450</f>
        <v>-0.75</v>
      </c>
      <c r="N6450" s="0" t="n">
        <f aca="false">E6450*F6450</f>
        <v>0.75</v>
      </c>
      <c r="O6450" s="0" t="n">
        <f aca="false">E6450*G6450</f>
        <v>0.25</v>
      </c>
      <c r="P6450" s="0" t="n">
        <f aca="false">E6450*H6450</f>
        <v>-0.75</v>
      </c>
      <c r="Q6450" s="0" t="n">
        <f aca="false">F6450*G6450</f>
        <v>0.1875</v>
      </c>
      <c r="R6450" s="0" t="n">
        <f aca="false">F6450*H6450</f>
        <v>-0.5625</v>
      </c>
      <c r="S6450" s="0" t="n">
        <f aca="false">G6450*H6450</f>
        <v>-0.1875</v>
      </c>
      <c r="T6450" s="0" t="n">
        <f aca="false">E6450*E6450</f>
        <v>1</v>
      </c>
      <c r="U6450" s="0" t="n">
        <f aca="false">F6450*F6450</f>
        <v>0.5625</v>
      </c>
      <c r="V6450" s="0" t="n">
        <f aca="false">G6450*G6450</f>
        <v>0.0625</v>
      </c>
      <c r="W6450" s="0" t="n">
        <f aca="false">H6450*H6450</f>
        <v>0.5625</v>
      </c>
      <c r="X6450" s="0" t="n">
        <f aca="false">SUMPRODUCT(I6450:W6450,_XtX!$B$96:$P$96)</f>
        <v>47.8447962353802</v>
      </c>
      <c r="Y6450" s="0" t="n">
        <f aca="false">SUMPRODUCT(MMULT(I6450:W6450,_XtX!$B$78:$P$92),I6450:W6450)</f>
        <v>0.473959761056287</v>
      </c>
      <c r="Z6450" s="0" t="n">
        <f aca="false">04_回帰ANOVA!$K$19*04_回帰ANOVA!$K$14*SQRT(1+Y6450)</f>
        <v>1.58249084588329</v>
      </c>
      <c r="AA6450" s="0" t="n">
        <f aca="false">X6450-Z6450</f>
        <v>46.2623053894969</v>
      </c>
      <c r="AB6450" s="0" t="n">
        <f aca="false">X6450+Z6450</f>
        <v>49.4272870812635</v>
      </c>
      <c r="AC6450" s="54" t="b">
        <f aca="false">AND(E6450&gt;=01_因子設定!$L$5-0.000000001,E6450&lt;=01_因子設定!$M$5+0.000000001,F6450&gt;=01_因子設定!$L$6-0.000000001,F6450&lt;=01_因子設定!$M$6+0.000000001,G6450&gt;=01_因子設定!$L$7-0.000000001,G6450&lt;=01_因子設定!$M$7+0.000000001,H6450&gt;=01_因子設定!$L$8-0.000000001,H6450&lt;=01_因子設定!$M$8+0.000000001,IF(01_因子設定!$B$20="Box-Behnken",E6450^2+F6450^2+G6450^2+H6450^2&lt;=2+0.000000001,TRUE()))</f>
        <v>1</v>
      </c>
      <c r="AD6450" s="55" t="n">
        <f aca="false">IF(AC6450,IF(01_因子設定!$B$13="最大化",AA6450-01_因子設定!$B$14,IF(01_因子設定!$B$13="最小化",01_因子設定!$B$15-AB6450,MIN(AA6450-01_因子設定!$B$14,01_因子設定!$B$15-AB6450))),-1E+030)</f>
        <v>-0.237694610503119</v>
      </c>
      <c r="AE6450" s="55" t="n">
        <f aca="false">IF(AC6450,IF(01_因子設定!$B$13="最大化",X6450,IF(01_因子設定!$B$13="最小化",-X6450,-ABS(X6450-01_因子設定!$B$16))),-1E+030)</f>
        <v>47.8447962353802</v>
      </c>
      <c r="AF6450" s="55" t="n">
        <f aca="false">AD6450+ROW()*0.000000001</f>
        <v>-0.237688160503119</v>
      </c>
      <c r="AG6450" s="55" t="n">
        <f aca="false">AE6450+ROW()*0.000000001</f>
        <v>47.8448026853802</v>
      </c>
    </row>
    <row r="6451" customFormat="false" ht="15" hidden="false" customHeight="false" outlineLevel="0" collapsed="false">
      <c r="A6451" s="0" t="n">
        <v>8</v>
      </c>
      <c r="B6451" s="0" t="n">
        <v>7</v>
      </c>
      <c r="C6451" s="0" t="n">
        <v>5</v>
      </c>
      <c r="D6451" s="0" t="n">
        <v>2</v>
      </c>
      <c r="E6451" s="0" t="n">
        <f aca="false">-1+A6451*0.25</f>
        <v>1</v>
      </c>
      <c r="F6451" s="0" t="n">
        <f aca="false">-1+B6451*0.25</f>
        <v>0.75</v>
      </c>
      <c r="G6451" s="0" t="n">
        <f aca="false">-1+C6451*0.25</f>
        <v>0.25</v>
      </c>
      <c r="H6451" s="0" t="n">
        <f aca="false">-1+D6451*0.25</f>
        <v>-0.5</v>
      </c>
      <c r="I6451" s="0" t="n">
        <f aca="false">1</f>
        <v>1</v>
      </c>
      <c r="J6451" s="0" t="n">
        <f aca="false">E6451</f>
        <v>1</v>
      </c>
      <c r="K6451" s="0" t="n">
        <f aca="false">F6451</f>
        <v>0.75</v>
      </c>
      <c r="L6451" s="0" t="n">
        <f aca="false">G6451</f>
        <v>0.25</v>
      </c>
      <c r="M6451" s="0" t="n">
        <f aca="false">H6451</f>
        <v>-0.5</v>
      </c>
      <c r="N6451" s="0" t="n">
        <f aca="false">E6451*F6451</f>
        <v>0.75</v>
      </c>
      <c r="O6451" s="0" t="n">
        <f aca="false">E6451*G6451</f>
        <v>0.25</v>
      </c>
      <c r="P6451" s="0" t="n">
        <f aca="false">E6451*H6451</f>
        <v>-0.5</v>
      </c>
      <c r="Q6451" s="0" t="n">
        <f aca="false">F6451*G6451</f>
        <v>0.1875</v>
      </c>
      <c r="R6451" s="0" t="n">
        <f aca="false">F6451*H6451</f>
        <v>-0.375</v>
      </c>
      <c r="S6451" s="0" t="n">
        <f aca="false">G6451*H6451</f>
        <v>-0.125</v>
      </c>
      <c r="T6451" s="0" t="n">
        <f aca="false">E6451*E6451</f>
        <v>1</v>
      </c>
      <c r="U6451" s="0" t="n">
        <f aca="false">F6451*F6451</f>
        <v>0.5625</v>
      </c>
      <c r="V6451" s="0" t="n">
        <f aca="false">G6451*G6451</f>
        <v>0.0625</v>
      </c>
      <c r="W6451" s="0" t="n">
        <f aca="false">H6451*H6451</f>
        <v>0.25</v>
      </c>
      <c r="X6451" s="0" t="n">
        <f aca="false">SUMPRODUCT(I6451:W6451,_XtX!$B$96:$P$96)</f>
        <v>48.0750776681287</v>
      </c>
      <c r="Y6451" s="0" t="n">
        <f aca="false">SUMPRODUCT(MMULT(I6451:W6451,_XtX!$B$78:$P$92),I6451:W6451)</f>
        <v>0.459125719572369</v>
      </c>
      <c r="Z6451" s="0" t="n">
        <f aca="false">04_回帰ANOVA!$K$19*04_回帰ANOVA!$K$14*SQRT(1+Y6451)</f>
        <v>1.57450755575573</v>
      </c>
      <c r="AA6451" s="0" t="n">
        <f aca="false">X6451-Z6451</f>
        <v>46.500570112373</v>
      </c>
      <c r="AB6451" s="0" t="n">
        <f aca="false">X6451+Z6451</f>
        <v>49.6495852238844</v>
      </c>
      <c r="AC6451" s="54" t="b">
        <f aca="false">AND(E6451&gt;=01_因子設定!$L$5-0.000000001,E6451&lt;=01_因子設定!$M$5+0.000000001,F6451&gt;=01_因子設定!$L$6-0.000000001,F6451&lt;=01_因子設定!$M$6+0.000000001,G6451&gt;=01_因子設定!$L$7-0.000000001,G6451&lt;=01_因子設定!$M$7+0.000000001,H6451&gt;=01_因子設定!$L$8-0.000000001,H6451&lt;=01_因子設定!$M$8+0.000000001,IF(01_因子設定!$B$20="Box-Behnken",E6451^2+F6451^2+G6451^2+H6451^2&lt;=2+0.000000001,TRUE()))</f>
        <v>1</v>
      </c>
      <c r="AD6451" s="55" t="n">
        <f aca="false">IF(AC6451,IF(01_因子設定!$B$13="最大化",AA6451-01_因子設定!$B$14,IF(01_因子設定!$B$13="最小化",01_因子設定!$B$15-AB6451,MIN(AA6451-01_因子設定!$B$14,01_因子設定!$B$15-AB6451))),-1E+030)</f>
        <v>0.000570112372955123</v>
      </c>
      <c r="AE6451" s="55" t="n">
        <f aca="false">IF(AC6451,IF(01_因子設定!$B$13="最大化",X6451,IF(01_因子設定!$B$13="最小化",-X6451,-ABS(X6451-01_因子設定!$B$16))),-1E+030)</f>
        <v>48.0750776681287</v>
      </c>
      <c r="AF6451" s="55" t="n">
        <f aca="false">AD6451+ROW()*0.000000001</f>
        <v>0.000576563372955123</v>
      </c>
      <c r="AG6451" s="55" t="n">
        <f aca="false">AE6451+ROW()*0.000000001</f>
        <v>48.0750841191287</v>
      </c>
    </row>
    <row r="6452" customFormat="false" ht="15" hidden="false" customHeight="false" outlineLevel="0" collapsed="false">
      <c r="A6452" s="0" t="n">
        <v>8</v>
      </c>
      <c r="B6452" s="0" t="n">
        <v>7</v>
      </c>
      <c r="C6452" s="0" t="n">
        <v>5</v>
      </c>
      <c r="D6452" s="0" t="n">
        <v>3</v>
      </c>
      <c r="E6452" s="0" t="n">
        <f aca="false">-1+A6452*0.25</f>
        <v>1</v>
      </c>
      <c r="F6452" s="0" t="n">
        <f aca="false">-1+B6452*0.25</f>
        <v>0.75</v>
      </c>
      <c r="G6452" s="0" t="n">
        <f aca="false">-1+C6452*0.25</f>
        <v>0.25</v>
      </c>
      <c r="H6452" s="0" t="n">
        <f aca="false">-1+D6452*0.25</f>
        <v>-0.25</v>
      </c>
      <c r="I6452" s="0" t="n">
        <f aca="false">1</f>
        <v>1</v>
      </c>
      <c r="J6452" s="0" t="n">
        <f aca="false">E6452</f>
        <v>1</v>
      </c>
      <c r="K6452" s="0" t="n">
        <f aca="false">F6452</f>
        <v>0.75</v>
      </c>
      <c r="L6452" s="0" t="n">
        <f aca="false">G6452</f>
        <v>0.25</v>
      </c>
      <c r="M6452" s="0" t="n">
        <f aca="false">H6452</f>
        <v>-0.25</v>
      </c>
      <c r="N6452" s="0" t="n">
        <f aca="false">E6452*F6452</f>
        <v>0.75</v>
      </c>
      <c r="O6452" s="0" t="n">
        <f aca="false">E6452*G6452</f>
        <v>0.25</v>
      </c>
      <c r="P6452" s="0" t="n">
        <f aca="false">E6452*H6452</f>
        <v>-0.25</v>
      </c>
      <c r="Q6452" s="0" t="n">
        <f aca="false">F6452*G6452</f>
        <v>0.1875</v>
      </c>
      <c r="R6452" s="0" t="n">
        <f aca="false">F6452*H6452</f>
        <v>-0.1875</v>
      </c>
      <c r="S6452" s="0" t="n">
        <f aca="false">G6452*H6452</f>
        <v>-0.0625</v>
      </c>
      <c r="T6452" s="0" t="n">
        <f aca="false">E6452*E6452</f>
        <v>1</v>
      </c>
      <c r="U6452" s="0" t="n">
        <f aca="false">F6452*F6452</f>
        <v>0.5625</v>
      </c>
      <c r="V6452" s="0" t="n">
        <f aca="false">G6452*G6452</f>
        <v>0.0625</v>
      </c>
      <c r="W6452" s="0" t="n">
        <f aca="false">H6452*H6452</f>
        <v>0.0625</v>
      </c>
      <c r="X6452" s="0" t="n">
        <f aca="false">SUMPRODUCT(I6452:W6452,_XtX!$B$96:$P$96)</f>
        <v>48.2575520833334</v>
      </c>
      <c r="Y6452" s="0" t="n">
        <f aca="false">SUMPRODUCT(MMULT(I6452:W6452,_XtX!$B$78:$P$92),I6452:W6452)</f>
        <v>0.486409505208334</v>
      </c>
      <c r="Z6452" s="0" t="n">
        <f aca="false">04_回帰ANOVA!$K$19*04_回帰ANOVA!$K$14*SQRT(1+Y6452)</f>
        <v>1.58916001665498</v>
      </c>
      <c r="AA6452" s="0" t="n">
        <f aca="false">X6452-Z6452</f>
        <v>46.6683920666784</v>
      </c>
      <c r="AB6452" s="0" t="n">
        <f aca="false">X6452+Z6452</f>
        <v>49.8467120999883</v>
      </c>
      <c r="AC6452" s="54" t="b">
        <f aca="false">AND(E6452&gt;=01_因子設定!$L$5-0.000000001,E6452&lt;=01_因子設定!$M$5+0.000000001,F6452&gt;=01_因子設定!$L$6-0.000000001,F6452&lt;=01_因子設定!$M$6+0.000000001,G6452&gt;=01_因子設定!$L$7-0.000000001,G6452&lt;=01_因子設定!$M$7+0.000000001,H6452&gt;=01_因子設定!$L$8-0.000000001,H6452&lt;=01_因子設定!$M$8+0.000000001,IF(01_因子設定!$B$20="Box-Behnken",E6452^2+F6452^2+G6452^2+H6452^2&lt;=2+0.000000001,TRUE()))</f>
        <v>1</v>
      </c>
      <c r="AD6452" s="55" t="n">
        <f aca="false">IF(AC6452,IF(01_因子設定!$B$13="最大化",AA6452-01_因子設定!$B$14,IF(01_因子設定!$B$13="最小化",01_因子設定!$B$15-AB6452,MIN(AA6452-01_因子設定!$B$14,01_因子設定!$B$15-AB6452))),-1E+030)</f>
        <v>0.168392066678379</v>
      </c>
      <c r="AE6452" s="55" t="n">
        <f aca="false">IF(AC6452,IF(01_因子設定!$B$13="最大化",X6452,IF(01_因子設定!$B$13="最小化",-X6452,-ABS(X6452-01_因子設定!$B$16))),-1E+030)</f>
        <v>48.2575520833334</v>
      </c>
      <c r="AF6452" s="55" t="n">
        <f aca="false">AD6452+ROW()*0.000000001</f>
        <v>0.168398518678379</v>
      </c>
      <c r="AG6452" s="55" t="n">
        <f aca="false">AE6452+ROW()*0.000000001</f>
        <v>48.2575585353334</v>
      </c>
    </row>
    <row r="6453" customFormat="false" ht="15" hidden="false" customHeight="false" outlineLevel="0" collapsed="false">
      <c r="A6453" s="0" t="n">
        <v>8</v>
      </c>
      <c r="B6453" s="0" t="n">
        <v>7</v>
      </c>
      <c r="C6453" s="0" t="n">
        <v>5</v>
      </c>
      <c r="D6453" s="0" t="n">
        <v>4</v>
      </c>
      <c r="E6453" s="0" t="n">
        <f aca="false">-1+A6453*0.25</f>
        <v>1</v>
      </c>
      <c r="F6453" s="0" t="n">
        <f aca="false">-1+B6453*0.25</f>
        <v>0.75</v>
      </c>
      <c r="G6453" s="0" t="n">
        <f aca="false">-1+C6453*0.25</f>
        <v>0.25</v>
      </c>
      <c r="H6453" s="0" t="n">
        <f aca="false">-1+D6453*0.25</f>
        <v>0</v>
      </c>
      <c r="I6453" s="0" t="n">
        <f aca="false">1</f>
        <v>1</v>
      </c>
      <c r="J6453" s="0" t="n">
        <f aca="false">E6453</f>
        <v>1</v>
      </c>
      <c r="K6453" s="0" t="n">
        <f aca="false">F6453</f>
        <v>0.75</v>
      </c>
      <c r="L6453" s="0" t="n">
        <f aca="false">G6453</f>
        <v>0.25</v>
      </c>
      <c r="M6453" s="0" t="n">
        <f aca="false">H6453</f>
        <v>0</v>
      </c>
      <c r="N6453" s="0" t="n">
        <f aca="false">E6453*F6453</f>
        <v>0.75</v>
      </c>
      <c r="O6453" s="0" t="n">
        <f aca="false">E6453*G6453</f>
        <v>0.25</v>
      </c>
      <c r="P6453" s="0" t="n">
        <f aca="false">E6453*H6453</f>
        <v>0</v>
      </c>
      <c r="Q6453" s="0" t="n">
        <f aca="false">F6453*G6453</f>
        <v>0.1875</v>
      </c>
      <c r="R6453" s="0" t="n">
        <f aca="false">F6453*H6453</f>
        <v>0</v>
      </c>
      <c r="S6453" s="0" t="n">
        <f aca="false">G6453*H6453</f>
        <v>0</v>
      </c>
      <c r="T6453" s="0" t="n">
        <f aca="false">E6453*E6453</f>
        <v>1</v>
      </c>
      <c r="U6453" s="0" t="n">
        <f aca="false">F6453*F6453</f>
        <v>0.5625</v>
      </c>
      <c r="V6453" s="0" t="n">
        <f aca="false">G6453*G6453</f>
        <v>0.0625</v>
      </c>
      <c r="W6453" s="0" t="n">
        <f aca="false">H6453*H6453</f>
        <v>0</v>
      </c>
      <c r="X6453" s="0" t="n">
        <f aca="false">SUMPRODUCT(I6453:W6453,_XtX!$B$96:$P$96)</f>
        <v>48.3922194809942</v>
      </c>
      <c r="Y6453" s="0" t="n">
        <f aca="false">SUMPRODUCT(MMULT(I6453:W6453,_XtX!$B$78:$P$92),I6453:W6453)</f>
        <v>0.501534802174708</v>
      </c>
      <c r="Z6453" s="0" t="n">
        <f aca="false">04_回帰ANOVA!$K$19*04_回帰ANOVA!$K$14*SQRT(1+Y6453)</f>
        <v>1.59722498091333</v>
      </c>
      <c r="AA6453" s="0" t="n">
        <f aca="false">X6453-Z6453</f>
        <v>46.7949945000809</v>
      </c>
      <c r="AB6453" s="0" t="n">
        <f aca="false">X6453+Z6453</f>
        <v>49.9894444619075</v>
      </c>
      <c r="AC6453" s="54" t="b">
        <f aca="false">AND(E6453&gt;=01_因子設定!$L$5-0.000000001,E6453&lt;=01_因子設定!$M$5+0.000000001,F6453&gt;=01_因子設定!$L$6-0.000000001,F6453&lt;=01_因子設定!$M$6+0.000000001,G6453&gt;=01_因子設定!$L$7-0.000000001,G6453&lt;=01_因子設定!$M$7+0.000000001,H6453&gt;=01_因子設定!$L$8-0.000000001,H6453&lt;=01_因子設定!$M$8+0.000000001,IF(01_因子設定!$B$20="Box-Behnken",E6453^2+F6453^2+G6453^2+H6453^2&lt;=2+0.000000001,TRUE()))</f>
        <v>1</v>
      </c>
      <c r="AD6453" s="55" t="n">
        <f aca="false">IF(AC6453,IF(01_因子設定!$B$13="最大化",AA6453-01_因子設定!$B$14,IF(01_因子設定!$B$13="最小化",01_因子設定!$B$15-AB6453,MIN(AA6453-01_因子設定!$B$14,01_因子設定!$B$15-AB6453))),-1E+030)</f>
        <v>0.294994500080847</v>
      </c>
      <c r="AE6453" s="55" t="n">
        <f aca="false">IF(AC6453,IF(01_因子設定!$B$13="最大化",X6453,IF(01_因子設定!$B$13="最小化",-X6453,-ABS(X6453-01_因子設定!$B$16))),-1E+030)</f>
        <v>48.3922194809942</v>
      </c>
      <c r="AF6453" s="55" t="n">
        <f aca="false">AD6453+ROW()*0.000000001</f>
        <v>0.295000953080847</v>
      </c>
      <c r="AG6453" s="55" t="n">
        <f aca="false">AE6453+ROW()*0.000000001</f>
        <v>48.3922259339942</v>
      </c>
    </row>
    <row r="6454" customFormat="false" ht="15" hidden="false" customHeight="false" outlineLevel="0" collapsed="false">
      <c r="A6454" s="0" t="n">
        <v>8</v>
      </c>
      <c r="B6454" s="0" t="n">
        <v>7</v>
      </c>
      <c r="C6454" s="0" t="n">
        <v>5</v>
      </c>
      <c r="D6454" s="0" t="n">
        <v>5</v>
      </c>
      <c r="E6454" s="0" t="n">
        <f aca="false">-1+A6454*0.25</f>
        <v>1</v>
      </c>
      <c r="F6454" s="0" t="n">
        <f aca="false">-1+B6454*0.25</f>
        <v>0.75</v>
      </c>
      <c r="G6454" s="0" t="n">
        <f aca="false">-1+C6454*0.25</f>
        <v>0.25</v>
      </c>
      <c r="H6454" s="0" t="n">
        <f aca="false">-1+D6454*0.25</f>
        <v>0.25</v>
      </c>
      <c r="I6454" s="0" t="n">
        <f aca="false">1</f>
        <v>1</v>
      </c>
      <c r="J6454" s="0" t="n">
        <f aca="false">E6454</f>
        <v>1</v>
      </c>
      <c r="K6454" s="0" t="n">
        <f aca="false">F6454</f>
        <v>0.75</v>
      </c>
      <c r="L6454" s="0" t="n">
        <f aca="false">G6454</f>
        <v>0.25</v>
      </c>
      <c r="M6454" s="0" t="n">
        <f aca="false">H6454</f>
        <v>0.25</v>
      </c>
      <c r="N6454" s="0" t="n">
        <f aca="false">E6454*F6454</f>
        <v>0.75</v>
      </c>
      <c r="O6454" s="0" t="n">
        <f aca="false">E6454*G6454</f>
        <v>0.25</v>
      </c>
      <c r="P6454" s="0" t="n">
        <f aca="false">E6454*H6454</f>
        <v>0.25</v>
      </c>
      <c r="Q6454" s="0" t="n">
        <f aca="false">F6454*G6454</f>
        <v>0.1875</v>
      </c>
      <c r="R6454" s="0" t="n">
        <f aca="false">F6454*H6454</f>
        <v>0.1875</v>
      </c>
      <c r="S6454" s="0" t="n">
        <f aca="false">G6454*H6454</f>
        <v>0.0625</v>
      </c>
      <c r="T6454" s="0" t="n">
        <f aca="false">E6454*E6454</f>
        <v>1</v>
      </c>
      <c r="U6454" s="0" t="n">
        <f aca="false">F6454*F6454</f>
        <v>0.5625</v>
      </c>
      <c r="V6454" s="0" t="n">
        <f aca="false">G6454*G6454</f>
        <v>0.0625</v>
      </c>
      <c r="W6454" s="0" t="n">
        <f aca="false">H6454*H6454</f>
        <v>0.0625</v>
      </c>
      <c r="X6454" s="0" t="n">
        <f aca="false">SUMPRODUCT(I6454:W6454,_XtX!$B$96:$P$96)</f>
        <v>48.4790798611111</v>
      </c>
      <c r="Y6454" s="0" t="n">
        <f aca="false">SUMPRODUCT(MMULT(I6454:W6454,_XtX!$B$78:$P$92),I6454:W6454)</f>
        <v>0.486409505208334</v>
      </c>
      <c r="Z6454" s="0" t="n">
        <f aca="false">04_回帰ANOVA!$K$19*04_回帰ANOVA!$K$14*SQRT(1+Y6454)</f>
        <v>1.58916001665498</v>
      </c>
      <c r="AA6454" s="0" t="n">
        <f aca="false">X6454-Z6454</f>
        <v>46.8899198444562</v>
      </c>
      <c r="AB6454" s="0" t="n">
        <f aca="false">X6454+Z6454</f>
        <v>50.0682398777661</v>
      </c>
      <c r="AC6454" s="54" t="b">
        <f aca="false">AND(E6454&gt;=01_因子設定!$L$5-0.000000001,E6454&lt;=01_因子設定!$M$5+0.000000001,F6454&gt;=01_因子設定!$L$6-0.000000001,F6454&lt;=01_因子設定!$M$6+0.000000001,G6454&gt;=01_因子設定!$L$7-0.000000001,G6454&lt;=01_因子設定!$M$7+0.000000001,H6454&gt;=01_因子設定!$L$8-0.000000001,H6454&lt;=01_因子設定!$M$8+0.000000001,IF(01_因子設定!$B$20="Box-Behnken",E6454^2+F6454^2+G6454^2+H6454^2&lt;=2+0.000000001,TRUE()))</f>
        <v>1</v>
      </c>
      <c r="AD6454" s="55" t="n">
        <f aca="false">IF(AC6454,IF(01_因子設定!$B$13="最大化",AA6454-01_因子設定!$B$14,IF(01_因子設定!$B$13="最小化",01_因子設定!$B$15-AB6454,MIN(AA6454-01_因子設定!$B$14,01_因子設定!$B$15-AB6454))),-1E+030)</f>
        <v>0.389919844456159</v>
      </c>
      <c r="AE6454" s="55" t="n">
        <f aca="false">IF(AC6454,IF(01_因子設定!$B$13="最大化",X6454,IF(01_因子設定!$B$13="最小化",-X6454,-ABS(X6454-01_因子設定!$B$16))),-1E+030)</f>
        <v>48.4790798611111</v>
      </c>
      <c r="AF6454" s="55" t="n">
        <f aca="false">AD6454+ROW()*0.000000001</f>
        <v>0.389926298456159</v>
      </c>
      <c r="AG6454" s="55" t="n">
        <f aca="false">AE6454+ROW()*0.000000001</f>
        <v>48.4790863151111</v>
      </c>
    </row>
    <row r="6455" customFormat="false" ht="15" hidden="false" customHeight="false" outlineLevel="0" collapsed="false">
      <c r="A6455" s="0" t="n">
        <v>8</v>
      </c>
      <c r="B6455" s="0" t="n">
        <v>7</v>
      </c>
      <c r="C6455" s="0" t="n">
        <v>5</v>
      </c>
      <c r="D6455" s="0" t="n">
        <v>6</v>
      </c>
      <c r="E6455" s="0" t="n">
        <f aca="false">-1+A6455*0.25</f>
        <v>1</v>
      </c>
      <c r="F6455" s="0" t="n">
        <f aca="false">-1+B6455*0.25</f>
        <v>0.75</v>
      </c>
      <c r="G6455" s="0" t="n">
        <f aca="false">-1+C6455*0.25</f>
        <v>0.25</v>
      </c>
      <c r="H6455" s="0" t="n">
        <f aca="false">-1+D6455*0.25</f>
        <v>0.5</v>
      </c>
      <c r="I6455" s="0" t="n">
        <f aca="false">1</f>
        <v>1</v>
      </c>
      <c r="J6455" s="0" t="n">
        <f aca="false">E6455</f>
        <v>1</v>
      </c>
      <c r="K6455" s="0" t="n">
        <f aca="false">F6455</f>
        <v>0.75</v>
      </c>
      <c r="L6455" s="0" t="n">
        <f aca="false">G6455</f>
        <v>0.25</v>
      </c>
      <c r="M6455" s="0" t="n">
        <f aca="false">H6455</f>
        <v>0.5</v>
      </c>
      <c r="N6455" s="0" t="n">
        <f aca="false">E6455*F6455</f>
        <v>0.75</v>
      </c>
      <c r="O6455" s="0" t="n">
        <f aca="false">E6455*G6455</f>
        <v>0.25</v>
      </c>
      <c r="P6455" s="0" t="n">
        <f aca="false">E6455*H6455</f>
        <v>0.5</v>
      </c>
      <c r="Q6455" s="0" t="n">
        <f aca="false">F6455*G6455</f>
        <v>0.1875</v>
      </c>
      <c r="R6455" s="0" t="n">
        <f aca="false">F6455*H6455</f>
        <v>0.375</v>
      </c>
      <c r="S6455" s="0" t="n">
        <f aca="false">G6455*H6455</f>
        <v>0.125</v>
      </c>
      <c r="T6455" s="0" t="n">
        <f aca="false">E6455*E6455</f>
        <v>1</v>
      </c>
      <c r="U6455" s="0" t="n">
        <f aca="false">F6455*F6455</f>
        <v>0.5625</v>
      </c>
      <c r="V6455" s="0" t="n">
        <f aca="false">G6455*G6455</f>
        <v>0.0625</v>
      </c>
      <c r="W6455" s="0" t="n">
        <f aca="false">H6455*H6455</f>
        <v>0.25</v>
      </c>
      <c r="X6455" s="0" t="n">
        <f aca="false">SUMPRODUCT(I6455:W6455,_XtX!$B$96:$P$96)</f>
        <v>48.5181332236842</v>
      </c>
      <c r="Y6455" s="0" t="n">
        <f aca="false">SUMPRODUCT(MMULT(I6455:W6455,_XtX!$B$78:$P$92),I6455:W6455)</f>
        <v>0.459125719572369</v>
      </c>
      <c r="Z6455" s="0" t="n">
        <f aca="false">04_回帰ANOVA!$K$19*04_回帰ANOVA!$K$14*SQRT(1+Y6455)</f>
        <v>1.57450755575573</v>
      </c>
      <c r="AA6455" s="0" t="n">
        <f aca="false">X6455-Z6455</f>
        <v>46.9436256679285</v>
      </c>
      <c r="AB6455" s="0" t="n">
        <f aca="false">X6455+Z6455</f>
        <v>50.09264077944</v>
      </c>
      <c r="AC6455" s="54" t="b">
        <f aca="false">AND(E6455&gt;=01_因子設定!$L$5-0.000000001,E6455&lt;=01_因子設定!$M$5+0.000000001,F6455&gt;=01_因子設定!$L$6-0.000000001,F6455&lt;=01_因子設定!$M$6+0.000000001,G6455&gt;=01_因子設定!$L$7-0.000000001,G6455&lt;=01_因子設定!$M$7+0.000000001,H6455&gt;=01_因子設定!$L$8-0.000000001,H6455&lt;=01_因子設定!$M$8+0.000000001,IF(01_因子設定!$B$20="Box-Behnken",E6455^2+F6455^2+G6455^2+H6455^2&lt;=2+0.000000001,TRUE()))</f>
        <v>1</v>
      </c>
      <c r="AD6455" s="55" t="n">
        <f aca="false">IF(AC6455,IF(01_因子設定!$B$13="最大化",AA6455-01_因子設定!$B$14,IF(01_因子設定!$B$13="最小化",01_因子設定!$B$15-AB6455,MIN(AA6455-01_因子設定!$B$14,01_因子設定!$B$15-AB6455))),-1E+030)</f>
        <v>0.443625667928515</v>
      </c>
      <c r="AE6455" s="55" t="n">
        <f aca="false">IF(AC6455,IF(01_因子設定!$B$13="最大化",X6455,IF(01_因子設定!$B$13="最小化",-X6455,-ABS(X6455-01_因子設定!$B$16))),-1E+030)</f>
        <v>48.5181332236842</v>
      </c>
      <c r="AF6455" s="55" t="n">
        <f aca="false">AD6455+ROW()*0.000000001</f>
        <v>0.443632122928515</v>
      </c>
      <c r="AG6455" s="55" t="n">
        <f aca="false">AE6455+ROW()*0.000000001</f>
        <v>48.5181396786842</v>
      </c>
    </row>
    <row r="6456" customFormat="false" ht="15" hidden="false" customHeight="false" outlineLevel="0" collapsed="false">
      <c r="A6456" s="0" t="n">
        <v>8</v>
      </c>
      <c r="B6456" s="0" t="n">
        <v>7</v>
      </c>
      <c r="C6456" s="0" t="n">
        <v>5</v>
      </c>
      <c r="D6456" s="0" t="n">
        <v>7</v>
      </c>
      <c r="E6456" s="0" t="n">
        <f aca="false">-1+A6456*0.25</f>
        <v>1</v>
      </c>
      <c r="F6456" s="0" t="n">
        <f aca="false">-1+B6456*0.25</f>
        <v>0.75</v>
      </c>
      <c r="G6456" s="0" t="n">
        <f aca="false">-1+C6456*0.25</f>
        <v>0.25</v>
      </c>
      <c r="H6456" s="0" t="n">
        <f aca="false">-1+D6456*0.25</f>
        <v>0.75</v>
      </c>
      <c r="I6456" s="0" t="n">
        <f aca="false">1</f>
        <v>1</v>
      </c>
      <c r="J6456" s="0" t="n">
        <f aca="false">E6456</f>
        <v>1</v>
      </c>
      <c r="K6456" s="0" t="n">
        <f aca="false">F6456</f>
        <v>0.75</v>
      </c>
      <c r="L6456" s="0" t="n">
        <f aca="false">G6456</f>
        <v>0.25</v>
      </c>
      <c r="M6456" s="0" t="n">
        <f aca="false">H6456</f>
        <v>0.75</v>
      </c>
      <c r="N6456" s="0" t="n">
        <f aca="false">E6456*F6456</f>
        <v>0.75</v>
      </c>
      <c r="O6456" s="0" t="n">
        <f aca="false">E6456*G6456</f>
        <v>0.25</v>
      </c>
      <c r="P6456" s="0" t="n">
        <f aca="false">E6456*H6456</f>
        <v>0.75</v>
      </c>
      <c r="Q6456" s="0" t="n">
        <f aca="false">F6456*G6456</f>
        <v>0.1875</v>
      </c>
      <c r="R6456" s="0" t="n">
        <f aca="false">F6456*H6456</f>
        <v>0.5625</v>
      </c>
      <c r="S6456" s="0" t="n">
        <f aca="false">G6456*H6456</f>
        <v>0.1875</v>
      </c>
      <c r="T6456" s="0" t="n">
        <f aca="false">E6456*E6456</f>
        <v>1</v>
      </c>
      <c r="U6456" s="0" t="n">
        <f aca="false">F6456*F6456</f>
        <v>0.5625</v>
      </c>
      <c r="V6456" s="0" t="n">
        <f aca="false">G6456*G6456</f>
        <v>0.0625</v>
      </c>
      <c r="W6456" s="0" t="n">
        <f aca="false">H6456*H6456</f>
        <v>0.5625</v>
      </c>
      <c r="X6456" s="0" t="n">
        <f aca="false">SUMPRODUCT(I6456:W6456,_XtX!$B$96:$P$96)</f>
        <v>48.5093795687135</v>
      </c>
      <c r="Y6456" s="0" t="n">
        <f aca="false">SUMPRODUCT(MMULT(I6456:W6456,_XtX!$B$78:$P$92),I6456:W6456)</f>
        <v>0.473959761056287</v>
      </c>
      <c r="Z6456" s="0" t="n">
        <f aca="false">04_回帰ANOVA!$K$19*04_回帰ANOVA!$K$14*SQRT(1+Y6456)</f>
        <v>1.58249084588329</v>
      </c>
      <c r="AA6456" s="0" t="n">
        <f aca="false">X6456-Z6456</f>
        <v>46.9268887228302</v>
      </c>
      <c r="AB6456" s="0" t="n">
        <f aca="false">X6456+Z6456</f>
        <v>50.0918704145968</v>
      </c>
      <c r="AC6456" s="54" t="b">
        <f aca="false">AND(E6456&gt;=01_因子設定!$L$5-0.000000001,E6456&lt;=01_因子設定!$M$5+0.000000001,F6456&gt;=01_因子設定!$L$6-0.000000001,F6456&lt;=01_因子設定!$M$6+0.000000001,G6456&gt;=01_因子設定!$L$7-0.000000001,G6456&lt;=01_因子設定!$M$7+0.000000001,H6456&gt;=01_因子設定!$L$8-0.000000001,H6456&lt;=01_因子設定!$M$8+0.000000001,IF(01_因子設定!$B$20="Box-Behnken",E6456^2+F6456^2+G6456^2+H6456^2&lt;=2+0.000000001,TRUE()))</f>
        <v>1</v>
      </c>
      <c r="AD6456" s="55" t="n">
        <f aca="false">IF(AC6456,IF(01_因子設定!$B$13="最大化",AA6456-01_因子設定!$B$14,IF(01_因子設定!$B$13="最小化",01_因子設定!$B$15-AB6456,MIN(AA6456-01_因子設定!$B$14,01_因子設定!$B$15-AB6456))),-1E+030)</f>
        <v>0.426888722830206</v>
      </c>
      <c r="AE6456" s="55" t="n">
        <f aca="false">IF(AC6456,IF(01_因子設定!$B$13="最大化",X6456,IF(01_因子設定!$B$13="最小化",-X6456,-ABS(X6456-01_因子設定!$B$16))),-1E+030)</f>
        <v>48.5093795687135</v>
      </c>
      <c r="AF6456" s="55" t="n">
        <f aca="false">AD6456+ROW()*0.000000001</f>
        <v>0.426895178830206</v>
      </c>
      <c r="AG6456" s="55" t="n">
        <f aca="false">AE6456+ROW()*0.000000001</f>
        <v>48.5093860247135</v>
      </c>
    </row>
    <row r="6457" customFormat="false" ht="15" hidden="false" customHeight="false" outlineLevel="0" collapsed="false">
      <c r="A6457" s="0" t="n">
        <v>8</v>
      </c>
      <c r="B6457" s="0" t="n">
        <v>7</v>
      </c>
      <c r="C6457" s="0" t="n">
        <v>5</v>
      </c>
      <c r="D6457" s="0" t="n">
        <v>8</v>
      </c>
      <c r="E6457" s="0" t="n">
        <f aca="false">-1+A6457*0.25</f>
        <v>1</v>
      </c>
      <c r="F6457" s="0" t="n">
        <f aca="false">-1+B6457*0.25</f>
        <v>0.75</v>
      </c>
      <c r="G6457" s="0" t="n">
        <f aca="false">-1+C6457*0.25</f>
        <v>0.25</v>
      </c>
      <c r="H6457" s="0" t="n">
        <f aca="false">-1+D6457*0.25</f>
        <v>1</v>
      </c>
      <c r="I6457" s="0" t="n">
        <f aca="false">1</f>
        <v>1</v>
      </c>
      <c r="J6457" s="0" t="n">
        <f aca="false">E6457</f>
        <v>1</v>
      </c>
      <c r="K6457" s="0" t="n">
        <f aca="false">F6457</f>
        <v>0.75</v>
      </c>
      <c r="L6457" s="0" t="n">
        <f aca="false">G6457</f>
        <v>0.25</v>
      </c>
      <c r="M6457" s="0" t="n">
        <f aca="false">H6457</f>
        <v>1</v>
      </c>
      <c r="N6457" s="0" t="n">
        <f aca="false">E6457*F6457</f>
        <v>0.75</v>
      </c>
      <c r="O6457" s="0" t="n">
        <f aca="false">E6457*G6457</f>
        <v>0.25</v>
      </c>
      <c r="P6457" s="0" t="n">
        <f aca="false">E6457*H6457</f>
        <v>1</v>
      </c>
      <c r="Q6457" s="0" t="n">
        <f aca="false">F6457*G6457</f>
        <v>0.1875</v>
      </c>
      <c r="R6457" s="0" t="n">
        <f aca="false">F6457*H6457</f>
        <v>0.75</v>
      </c>
      <c r="S6457" s="0" t="n">
        <f aca="false">G6457*H6457</f>
        <v>0.25</v>
      </c>
      <c r="T6457" s="0" t="n">
        <f aca="false">E6457*E6457</f>
        <v>1</v>
      </c>
      <c r="U6457" s="0" t="n">
        <f aca="false">F6457*F6457</f>
        <v>0.5625</v>
      </c>
      <c r="V6457" s="0" t="n">
        <f aca="false">G6457*G6457</f>
        <v>0.0625</v>
      </c>
      <c r="W6457" s="0" t="n">
        <f aca="false">H6457*H6457</f>
        <v>1</v>
      </c>
      <c r="X6457" s="0" t="n">
        <f aca="false">SUMPRODUCT(I6457:W6457,_XtX!$B$96:$P$96)</f>
        <v>48.4528188961989</v>
      </c>
      <c r="Y6457" s="0" t="n">
        <f aca="false">SUMPRODUCT(MMULT(I6457:W6457,_XtX!$B$78:$P$92),I6457:W6457)</f>
        <v>0.621372155975877</v>
      </c>
      <c r="Z6457" s="0" t="n">
        <f aca="false">04_回帰ANOVA!$K$19*04_回帰ANOVA!$K$14*SQRT(1+Y6457)</f>
        <v>1.65973880499872</v>
      </c>
      <c r="AA6457" s="0" t="n">
        <f aca="false">X6457-Z6457</f>
        <v>46.7930800912002</v>
      </c>
      <c r="AB6457" s="0" t="n">
        <f aca="false">X6457+Z6457</f>
        <v>50.1125577011976</v>
      </c>
      <c r="AC6457" s="54" t="b">
        <f aca="false">AND(E6457&gt;=01_因子設定!$L$5-0.000000001,E6457&lt;=01_因子設定!$M$5+0.000000001,F6457&gt;=01_因子設定!$L$6-0.000000001,F6457&lt;=01_因子設定!$M$6+0.000000001,G6457&gt;=01_因子設定!$L$7-0.000000001,G6457&lt;=01_因子設定!$M$7+0.000000001,H6457&gt;=01_因子設定!$L$8-0.000000001,H6457&lt;=01_因子設定!$M$8+0.000000001,IF(01_因子設定!$B$20="Box-Behnken",E6457^2+F6457^2+G6457^2+H6457^2&lt;=2+0.000000001,TRUE()))</f>
        <v>1</v>
      </c>
      <c r="AD6457" s="55" t="n">
        <f aca="false">IF(AC6457,IF(01_因子設定!$B$13="最大化",AA6457-01_因子設定!$B$14,IF(01_因子設定!$B$13="最小化",01_因子設定!$B$15-AB6457,MIN(AA6457-01_因子設定!$B$14,01_因子設定!$B$15-AB6457))),-1E+030)</f>
        <v>0.293080091200174</v>
      </c>
      <c r="AE6457" s="55" t="n">
        <f aca="false">IF(AC6457,IF(01_因子設定!$B$13="最大化",X6457,IF(01_因子設定!$B$13="最小化",-X6457,-ABS(X6457-01_因子設定!$B$16))),-1E+030)</f>
        <v>48.4528188961989</v>
      </c>
      <c r="AF6457" s="55" t="n">
        <f aca="false">AD6457+ROW()*0.000000001</f>
        <v>0.293086548200174</v>
      </c>
      <c r="AG6457" s="55" t="n">
        <f aca="false">AE6457+ROW()*0.000000001</f>
        <v>48.4528253531989</v>
      </c>
    </row>
    <row r="6458" customFormat="false" ht="15" hidden="false" customHeight="false" outlineLevel="0" collapsed="false">
      <c r="A6458" s="0" t="n">
        <v>8</v>
      </c>
      <c r="B6458" s="0" t="n">
        <v>7</v>
      </c>
      <c r="C6458" s="0" t="n">
        <v>6</v>
      </c>
      <c r="D6458" s="0" t="n">
        <v>0</v>
      </c>
      <c r="E6458" s="0" t="n">
        <f aca="false">-1+A6458*0.25</f>
        <v>1</v>
      </c>
      <c r="F6458" s="0" t="n">
        <f aca="false">-1+B6458*0.25</f>
        <v>0.75</v>
      </c>
      <c r="G6458" s="0" t="n">
        <f aca="false">-1+C6458*0.25</f>
        <v>0.5</v>
      </c>
      <c r="H6458" s="0" t="n">
        <f aca="false">-1+D6458*0.25</f>
        <v>-1</v>
      </c>
      <c r="I6458" s="0" t="n">
        <f aca="false">1</f>
        <v>1</v>
      </c>
      <c r="J6458" s="0" t="n">
        <f aca="false">E6458</f>
        <v>1</v>
      </c>
      <c r="K6458" s="0" t="n">
        <f aca="false">F6458</f>
        <v>0.75</v>
      </c>
      <c r="L6458" s="0" t="n">
        <f aca="false">G6458</f>
        <v>0.5</v>
      </c>
      <c r="M6458" s="0" t="n">
        <f aca="false">H6458</f>
        <v>-1</v>
      </c>
      <c r="N6458" s="0" t="n">
        <f aca="false">E6458*F6458</f>
        <v>0.75</v>
      </c>
      <c r="O6458" s="0" t="n">
        <f aca="false">E6458*G6458</f>
        <v>0.5</v>
      </c>
      <c r="P6458" s="0" t="n">
        <f aca="false">E6458*H6458</f>
        <v>-1</v>
      </c>
      <c r="Q6458" s="0" t="n">
        <f aca="false">F6458*G6458</f>
        <v>0.375</v>
      </c>
      <c r="R6458" s="0" t="n">
        <f aca="false">F6458*H6458</f>
        <v>-0.75</v>
      </c>
      <c r="S6458" s="0" t="n">
        <f aca="false">G6458*H6458</f>
        <v>-0.5</v>
      </c>
      <c r="T6458" s="0" t="n">
        <f aca="false">E6458*E6458</f>
        <v>1</v>
      </c>
      <c r="U6458" s="0" t="n">
        <f aca="false">F6458*F6458</f>
        <v>0.5625</v>
      </c>
      <c r="V6458" s="0" t="n">
        <f aca="false">G6458*G6458</f>
        <v>0.25</v>
      </c>
      <c r="W6458" s="0" t="n">
        <f aca="false">H6458*H6458</f>
        <v>1</v>
      </c>
      <c r="X6458" s="0" t="n">
        <f aca="false">SUMPRODUCT(I6458:W6458,_XtX!$B$96:$P$96)</f>
        <v>47.5087993421053</v>
      </c>
      <c r="Y6458" s="0" t="n">
        <f aca="false">SUMPRODUCT(MMULT(I6458:W6458,_XtX!$B$78:$P$92),I6458:W6458)</f>
        <v>0.564984237938597</v>
      </c>
      <c r="Z6458" s="0" t="n">
        <f aca="false">04_回帰ANOVA!$K$19*04_回帰ANOVA!$K$14*SQRT(1+Y6458)</f>
        <v>1.63062229734503</v>
      </c>
      <c r="AA6458" s="0" t="n">
        <f aca="false">X6458-Z6458</f>
        <v>45.8781770447603</v>
      </c>
      <c r="AB6458" s="0" t="n">
        <f aca="false">X6458+Z6458</f>
        <v>49.1394216394504</v>
      </c>
      <c r="AC6458" s="54" t="b">
        <f aca="false">AND(E6458&gt;=01_因子設定!$L$5-0.000000001,E6458&lt;=01_因子設定!$M$5+0.000000001,F6458&gt;=01_因子設定!$L$6-0.000000001,F6458&lt;=01_因子設定!$M$6+0.000000001,G6458&gt;=01_因子設定!$L$7-0.000000001,G6458&lt;=01_因子設定!$M$7+0.000000001,H6458&gt;=01_因子設定!$L$8-0.000000001,H6458&lt;=01_因子設定!$M$8+0.000000001,IF(01_因子設定!$B$20="Box-Behnken",E6458^2+F6458^2+G6458^2+H6458^2&lt;=2+0.000000001,TRUE()))</f>
        <v>1</v>
      </c>
      <c r="AD6458" s="55" t="n">
        <f aca="false">IF(AC6458,IF(01_因子設定!$B$13="最大化",AA6458-01_因子設定!$B$14,IF(01_因子設定!$B$13="最小化",01_因子設定!$B$15-AB6458,MIN(AA6458-01_因子設定!$B$14,01_因子設定!$B$15-AB6458))),-1E+030)</f>
        <v>-0.621822955239708</v>
      </c>
      <c r="AE6458" s="55" t="n">
        <f aca="false">IF(AC6458,IF(01_因子設定!$B$13="最大化",X6458,IF(01_因子設定!$B$13="最小化",-X6458,-ABS(X6458-01_因子設定!$B$16))),-1E+030)</f>
        <v>47.5087993421053</v>
      </c>
      <c r="AF6458" s="55" t="n">
        <f aca="false">AD6458+ROW()*0.000000001</f>
        <v>-0.621816497239708</v>
      </c>
      <c r="AG6458" s="55" t="n">
        <f aca="false">AE6458+ROW()*0.000000001</f>
        <v>47.5088058001053</v>
      </c>
    </row>
    <row r="6459" customFormat="false" ht="15" hidden="false" customHeight="false" outlineLevel="0" collapsed="false">
      <c r="A6459" s="0" t="n">
        <v>8</v>
      </c>
      <c r="B6459" s="0" t="n">
        <v>7</v>
      </c>
      <c r="C6459" s="0" t="n">
        <v>6</v>
      </c>
      <c r="D6459" s="0" t="n">
        <v>1</v>
      </c>
      <c r="E6459" s="0" t="n">
        <f aca="false">-1+A6459*0.25</f>
        <v>1</v>
      </c>
      <c r="F6459" s="0" t="n">
        <f aca="false">-1+B6459*0.25</f>
        <v>0.75</v>
      </c>
      <c r="G6459" s="0" t="n">
        <f aca="false">-1+C6459*0.25</f>
        <v>0.5</v>
      </c>
      <c r="H6459" s="0" t="n">
        <f aca="false">-1+D6459*0.25</f>
        <v>-0.75</v>
      </c>
      <c r="I6459" s="0" t="n">
        <f aca="false">1</f>
        <v>1</v>
      </c>
      <c r="J6459" s="0" t="n">
        <f aca="false">E6459</f>
        <v>1</v>
      </c>
      <c r="K6459" s="0" t="n">
        <f aca="false">F6459</f>
        <v>0.75</v>
      </c>
      <c r="L6459" s="0" t="n">
        <f aca="false">G6459</f>
        <v>0.5</v>
      </c>
      <c r="M6459" s="0" t="n">
        <f aca="false">H6459</f>
        <v>-0.75</v>
      </c>
      <c r="N6459" s="0" t="n">
        <f aca="false">E6459*F6459</f>
        <v>0.75</v>
      </c>
      <c r="O6459" s="0" t="n">
        <f aca="false">E6459*G6459</f>
        <v>0.5</v>
      </c>
      <c r="P6459" s="0" t="n">
        <f aca="false">E6459*H6459</f>
        <v>-0.75</v>
      </c>
      <c r="Q6459" s="0" t="n">
        <f aca="false">F6459*G6459</f>
        <v>0.375</v>
      </c>
      <c r="R6459" s="0" t="n">
        <f aca="false">F6459*H6459</f>
        <v>-0.5625</v>
      </c>
      <c r="S6459" s="0" t="n">
        <f aca="false">G6459*H6459</f>
        <v>-0.375</v>
      </c>
      <c r="T6459" s="0" t="n">
        <f aca="false">E6459*E6459</f>
        <v>1</v>
      </c>
      <c r="U6459" s="0" t="n">
        <f aca="false">F6459*F6459</f>
        <v>0.5625</v>
      </c>
      <c r="V6459" s="0" t="n">
        <f aca="false">G6459*G6459</f>
        <v>0.25</v>
      </c>
      <c r="W6459" s="0" t="n">
        <f aca="false">H6459*H6459</f>
        <v>0.5625</v>
      </c>
      <c r="X6459" s="0" t="n">
        <f aca="false">SUMPRODUCT(I6459:W6459,_XtX!$B$96:$P$96)</f>
        <v>47.8048565423977</v>
      </c>
      <c r="Y6459" s="0" t="n">
        <f aca="false">SUMPRODUCT(MMULT(I6459:W6459,_XtX!$B$78:$P$92),I6459:W6459)</f>
        <v>0.431153771472953</v>
      </c>
      <c r="Z6459" s="0" t="n">
        <f aca="false">04_回帰ANOVA!$K$19*04_回帰ANOVA!$K$14*SQRT(1+Y6459)</f>
        <v>1.55934259562563</v>
      </c>
      <c r="AA6459" s="0" t="n">
        <f aca="false">X6459-Z6459</f>
        <v>46.2455139467721</v>
      </c>
      <c r="AB6459" s="0" t="n">
        <f aca="false">X6459+Z6459</f>
        <v>49.3641991380233</v>
      </c>
      <c r="AC6459" s="54" t="b">
        <f aca="false">AND(E6459&gt;=01_因子設定!$L$5-0.000000001,E6459&lt;=01_因子設定!$M$5+0.000000001,F6459&gt;=01_因子設定!$L$6-0.000000001,F6459&lt;=01_因子設定!$M$6+0.000000001,G6459&gt;=01_因子設定!$L$7-0.000000001,G6459&lt;=01_因子設定!$M$7+0.000000001,H6459&gt;=01_因子設定!$L$8-0.000000001,H6459&lt;=01_因子設定!$M$8+0.000000001,IF(01_因子設定!$B$20="Box-Behnken",E6459^2+F6459^2+G6459^2+H6459^2&lt;=2+0.000000001,TRUE()))</f>
        <v>1</v>
      </c>
      <c r="AD6459" s="55" t="n">
        <f aca="false">IF(AC6459,IF(01_因子設定!$B$13="最大化",AA6459-01_因子設定!$B$14,IF(01_因子設定!$B$13="最小化",01_因子設定!$B$15-AB6459,MIN(AA6459-01_因子設定!$B$14,01_因子設定!$B$15-AB6459))),-1E+030)</f>
        <v>-0.254486053227922</v>
      </c>
      <c r="AE6459" s="55" t="n">
        <f aca="false">IF(AC6459,IF(01_因子設定!$B$13="最大化",X6459,IF(01_因子設定!$B$13="最小化",-X6459,-ABS(X6459-01_因子設定!$B$16))),-1E+030)</f>
        <v>47.8048565423977</v>
      </c>
      <c r="AF6459" s="55" t="n">
        <f aca="false">AD6459+ROW()*0.000000001</f>
        <v>-0.254479594227922</v>
      </c>
      <c r="AG6459" s="55" t="n">
        <f aca="false">AE6459+ROW()*0.000000001</f>
        <v>47.8048630013977</v>
      </c>
    </row>
    <row r="6460" customFormat="false" ht="15" hidden="false" customHeight="false" outlineLevel="0" collapsed="false">
      <c r="A6460" s="0" t="n">
        <v>8</v>
      </c>
      <c r="B6460" s="0" t="n">
        <v>7</v>
      </c>
      <c r="C6460" s="0" t="n">
        <v>6</v>
      </c>
      <c r="D6460" s="0" t="n">
        <v>2</v>
      </c>
      <c r="E6460" s="0" t="n">
        <f aca="false">-1+A6460*0.25</f>
        <v>1</v>
      </c>
      <c r="F6460" s="0" t="n">
        <f aca="false">-1+B6460*0.25</f>
        <v>0.75</v>
      </c>
      <c r="G6460" s="0" t="n">
        <f aca="false">-1+C6460*0.25</f>
        <v>0.5</v>
      </c>
      <c r="H6460" s="0" t="n">
        <f aca="false">-1+D6460*0.25</f>
        <v>-0.5</v>
      </c>
      <c r="I6460" s="0" t="n">
        <f aca="false">1</f>
        <v>1</v>
      </c>
      <c r="J6460" s="0" t="n">
        <f aca="false">E6460</f>
        <v>1</v>
      </c>
      <c r="K6460" s="0" t="n">
        <f aca="false">F6460</f>
        <v>0.75</v>
      </c>
      <c r="L6460" s="0" t="n">
        <f aca="false">G6460</f>
        <v>0.5</v>
      </c>
      <c r="M6460" s="0" t="n">
        <f aca="false">H6460</f>
        <v>-0.5</v>
      </c>
      <c r="N6460" s="0" t="n">
        <f aca="false">E6460*F6460</f>
        <v>0.75</v>
      </c>
      <c r="O6460" s="0" t="n">
        <f aca="false">E6460*G6460</f>
        <v>0.5</v>
      </c>
      <c r="P6460" s="0" t="n">
        <f aca="false">E6460*H6460</f>
        <v>-0.5</v>
      </c>
      <c r="Q6460" s="0" t="n">
        <f aca="false">F6460*G6460</f>
        <v>0.375</v>
      </c>
      <c r="R6460" s="0" t="n">
        <f aca="false">F6460*H6460</f>
        <v>-0.375</v>
      </c>
      <c r="S6460" s="0" t="n">
        <f aca="false">G6460*H6460</f>
        <v>-0.25</v>
      </c>
      <c r="T6460" s="0" t="n">
        <f aca="false">E6460*E6460</f>
        <v>1</v>
      </c>
      <c r="U6460" s="0" t="n">
        <f aca="false">F6460*F6460</f>
        <v>0.5625</v>
      </c>
      <c r="V6460" s="0" t="n">
        <f aca="false">G6460*G6460</f>
        <v>0.25</v>
      </c>
      <c r="W6460" s="0" t="n">
        <f aca="false">H6460*H6460</f>
        <v>0.25</v>
      </c>
      <c r="X6460" s="0" t="n">
        <f aca="false">SUMPRODUCT(I6460:W6460,_XtX!$B$96:$P$96)</f>
        <v>48.0531067251462</v>
      </c>
      <c r="Y6460" s="0" t="n">
        <f aca="false">SUMPRODUCT(MMULT(I6460:W6460,_XtX!$B$78:$P$92),I6460:W6460)</f>
        <v>0.42602110745614</v>
      </c>
      <c r="Z6460" s="0" t="n">
        <f aca="false">04_回帰ANOVA!$K$19*04_回帰ANOVA!$K$14*SQRT(1+Y6460)</f>
        <v>1.55654388501114</v>
      </c>
      <c r="AA6460" s="0" t="n">
        <f aca="false">X6460-Z6460</f>
        <v>46.4965628401351</v>
      </c>
      <c r="AB6460" s="0" t="n">
        <f aca="false">X6460+Z6460</f>
        <v>49.6096506101574</v>
      </c>
      <c r="AC6460" s="54" t="b">
        <f aca="false">AND(E6460&gt;=01_因子設定!$L$5-0.000000001,E6460&lt;=01_因子設定!$M$5+0.000000001,F6460&gt;=01_因子設定!$L$6-0.000000001,F6460&lt;=01_因子設定!$M$6+0.000000001,G6460&gt;=01_因子設定!$L$7-0.000000001,G6460&lt;=01_因子設定!$M$7+0.000000001,H6460&gt;=01_因子設定!$L$8-0.000000001,H6460&lt;=01_因子設定!$M$8+0.000000001,IF(01_因子設定!$B$20="Box-Behnken",E6460^2+F6460^2+G6460^2+H6460^2&lt;=2+0.000000001,TRUE()))</f>
        <v>1</v>
      </c>
      <c r="AD6460" s="55" t="n">
        <f aca="false">IF(AC6460,IF(01_因子設定!$B$13="最大化",AA6460-01_因子設定!$B$14,IF(01_因子設定!$B$13="最小化",01_因子設定!$B$15-AB6460,MIN(AA6460-01_因子設定!$B$14,01_因子設定!$B$15-AB6460))),-1E+030)</f>
        <v>-0.00343715986490167</v>
      </c>
      <c r="AE6460" s="55" t="n">
        <f aca="false">IF(AC6460,IF(01_因子設定!$B$13="最大化",X6460,IF(01_因子設定!$B$13="最小化",-X6460,-ABS(X6460-01_因子設定!$B$16))),-1E+030)</f>
        <v>48.0531067251462</v>
      </c>
      <c r="AF6460" s="55" t="n">
        <f aca="false">AD6460+ROW()*0.000000001</f>
        <v>-0.00343069986490167</v>
      </c>
      <c r="AG6460" s="55" t="n">
        <f aca="false">AE6460+ROW()*0.000000001</f>
        <v>48.0531131851462</v>
      </c>
    </row>
    <row r="6461" customFormat="false" ht="15" hidden="false" customHeight="false" outlineLevel="0" collapsed="false">
      <c r="A6461" s="0" t="n">
        <v>8</v>
      </c>
      <c r="B6461" s="0" t="n">
        <v>7</v>
      </c>
      <c r="C6461" s="0" t="n">
        <v>6</v>
      </c>
      <c r="D6461" s="0" t="n">
        <v>3</v>
      </c>
      <c r="E6461" s="0" t="n">
        <f aca="false">-1+A6461*0.25</f>
        <v>1</v>
      </c>
      <c r="F6461" s="0" t="n">
        <f aca="false">-1+B6461*0.25</f>
        <v>0.75</v>
      </c>
      <c r="G6461" s="0" t="n">
        <f aca="false">-1+C6461*0.25</f>
        <v>0.5</v>
      </c>
      <c r="H6461" s="0" t="n">
        <f aca="false">-1+D6461*0.25</f>
        <v>-0.25</v>
      </c>
      <c r="I6461" s="0" t="n">
        <f aca="false">1</f>
        <v>1</v>
      </c>
      <c r="J6461" s="0" t="n">
        <f aca="false">E6461</f>
        <v>1</v>
      </c>
      <c r="K6461" s="0" t="n">
        <f aca="false">F6461</f>
        <v>0.75</v>
      </c>
      <c r="L6461" s="0" t="n">
        <f aca="false">G6461</f>
        <v>0.5</v>
      </c>
      <c r="M6461" s="0" t="n">
        <f aca="false">H6461</f>
        <v>-0.25</v>
      </c>
      <c r="N6461" s="0" t="n">
        <f aca="false">E6461*F6461</f>
        <v>0.75</v>
      </c>
      <c r="O6461" s="0" t="n">
        <f aca="false">E6461*G6461</f>
        <v>0.5</v>
      </c>
      <c r="P6461" s="0" t="n">
        <f aca="false">E6461*H6461</f>
        <v>-0.25</v>
      </c>
      <c r="Q6461" s="0" t="n">
        <f aca="false">F6461*G6461</f>
        <v>0.375</v>
      </c>
      <c r="R6461" s="0" t="n">
        <f aca="false">F6461*H6461</f>
        <v>-0.1875</v>
      </c>
      <c r="S6461" s="0" t="n">
        <f aca="false">G6461*H6461</f>
        <v>-0.125</v>
      </c>
      <c r="T6461" s="0" t="n">
        <f aca="false">E6461*E6461</f>
        <v>1</v>
      </c>
      <c r="U6461" s="0" t="n">
        <f aca="false">F6461*F6461</f>
        <v>0.5625</v>
      </c>
      <c r="V6461" s="0" t="n">
        <f aca="false">G6461*G6461</f>
        <v>0.25</v>
      </c>
      <c r="W6461" s="0" t="n">
        <f aca="false">H6461*H6461</f>
        <v>0.0625</v>
      </c>
      <c r="X6461" s="0" t="n">
        <f aca="false">SUMPRODUCT(I6461:W6461,_XtX!$B$96:$P$96)</f>
        <v>48.2535498903509</v>
      </c>
      <c r="Y6461" s="0" t="n">
        <f aca="false">SUMPRODUCT(MMULT(I6461:W6461,_XtX!$B$78:$P$92),I6461:W6461)</f>
        <v>0.459125719572369</v>
      </c>
      <c r="Z6461" s="0" t="n">
        <f aca="false">04_回帰ANOVA!$K$19*04_回帰ANOVA!$K$14*SQRT(1+Y6461)</f>
        <v>1.57450755575573</v>
      </c>
      <c r="AA6461" s="0" t="n">
        <f aca="false">X6461-Z6461</f>
        <v>46.6790423345952</v>
      </c>
      <c r="AB6461" s="0" t="n">
        <f aca="false">X6461+Z6461</f>
        <v>49.8280574461066</v>
      </c>
      <c r="AC6461" s="54" t="b">
        <f aca="false">AND(E6461&gt;=01_因子設定!$L$5-0.000000001,E6461&lt;=01_因子設定!$M$5+0.000000001,F6461&gt;=01_因子設定!$L$6-0.000000001,F6461&lt;=01_因子設定!$M$6+0.000000001,G6461&gt;=01_因子設定!$L$7-0.000000001,G6461&lt;=01_因子設定!$M$7+0.000000001,H6461&gt;=01_因子設定!$L$8-0.000000001,H6461&lt;=01_因子設定!$M$8+0.000000001,IF(01_因子設定!$B$20="Box-Behnken",E6461^2+F6461^2+G6461^2+H6461^2&lt;=2+0.000000001,TRUE()))</f>
        <v>1</v>
      </c>
      <c r="AD6461" s="55" t="n">
        <f aca="false">IF(AC6461,IF(01_因子設定!$B$13="最大化",AA6461-01_因子設定!$B$14,IF(01_因子設定!$B$13="最小化",01_因子設定!$B$15-AB6461,MIN(AA6461-01_因子設定!$B$14,01_因子設定!$B$15-AB6461))),-1E+030)</f>
        <v>0.179042334595174</v>
      </c>
      <c r="AE6461" s="55" t="n">
        <f aca="false">IF(AC6461,IF(01_因子設定!$B$13="最大化",X6461,IF(01_因子設定!$B$13="最小化",-X6461,-ABS(X6461-01_因子設定!$B$16))),-1E+030)</f>
        <v>48.2535498903509</v>
      </c>
      <c r="AF6461" s="55" t="n">
        <f aca="false">AD6461+ROW()*0.000000001</f>
        <v>0.179048795595174</v>
      </c>
      <c r="AG6461" s="55" t="n">
        <f aca="false">AE6461+ROW()*0.000000001</f>
        <v>48.2535563513509</v>
      </c>
    </row>
    <row r="6462" customFormat="false" ht="15" hidden="false" customHeight="false" outlineLevel="0" collapsed="false">
      <c r="A6462" s="0" t="n">
        <v>8</v>
      </c>
      <c r="B6462" s="0" t="n">
        <v>7</v>
      </c>
      <c r="C6462" s="0" t="n">
        <v>6</v>
      </c>
      <c r="D6462" s="0" t="n">
        <v>4</v>
      </c>
      <c r="E6462" s="0" t="n">
        <f aca="false">-1+A6462*0.25</f>
        <v>1</v>
      </c>
      <c r="F6462" s="0" t="n">
        <f aca="false">-1+B6462*0.25</f>
        <v>0.75</v>
      </c>
      <c r="G6462" s="0" t="n">
        <f aca="false">-1+C6462*0.25</f>
        <v>0.5</v>
      </c>
      <c r="H6462" s="0" t="n">
        <f aca="false">-1+D6462*0.25</f>
        <v>0</v>
      </c>
      <c r="I6462" s="0" t="n">
        <f aca="false">1</f>
        <v>1</v>
      </c>
      <c r="J6462" s="0" t="n">
        <f aca="false">E6462</f>
        <v>1</v>
      </c>
      <c r="K6462" s="0" t="n">
        <f aca="false">F6462</f>
        <v>0.75</v>
      </c>
      <c r="L6462" s="0" t="n">
        <f aca="false">G6462</f>
        <v>0.5</v>
      </c>
      <c r="M6462" s="0" t="n">
        <f aca="false">H6462</f>
        <v>0</v>
      </c>
      <c r="N6462" s="0" t="n">
        <f aca="false">E6462*F6462</f>
        <v>0.75</v>
      </c>
      <c r="O6462" s="0" t="n">
        <f aca="false">E6462*G6462</f>
        <v>0.5</v>
      </c>
      <c r="P6462" s="0" t="n">
        <f aca="false">E6462*H6462</f>
        <v>0</v>
      </c>
      <c r="Q6462" s="0" t="n">
        <f aca="false">F6462*G6462</f>
        <v>0.375</v>
      </c>
      <c r="R6462" s="0" t="n">
        <f aca="false">F6462*H6462</f>
        <v>0</v>
      </c>
      <c r="S6462" s="0" t="n">
        <f aca="false">G6462*H6462</f>
        <v>0</v>
      </c>
      <c r="T6462" s="0" t="n">
        <f aca="false">E6462*E6462</f>
        <v>1</v>
      </c>
      <c r="U6462" s="0" t="n">
        <f aca="false">F6462*F6462</f>
        <v>0.5625</v>
      </c>
      <c r="V6462" s="0" t="n">
        <f aca="false">G6462*G6462</f>
        <v>0.25</v>
      </c>
      <c r="W6462" s="0" t="n">
        <f aca="false">H6462*H6462</f>
        <v>0</v>
      </c>
      <c r="X6462" s="0" t="n">
        <f aca="false">SUMPRODUCT(I6462:W6462,_XtX!$B$96:$P$96)</f>
        <v>48.4061860380117</v>
      </c>
      <c r="Y6462" s="0" t="n">
        <f aca="false">SUMPRODUCT(MMULT(I6462:W6462,_XtX!$B$78:$P$92),I6462:W6462)</f>
        <v>0.476191292032164</v>
      </c>
      <c r="Z6462" s="0" t="n">
        <f aca="false">04_回帰ANOVA!$K$19*04_回帰ANOVA!$K$14*SQRT(1+Y6462)</f>
        <v>1.58368831471718</v>
      </c>
      <c r="AA6462" s="0" t="n">
        <f aca="false">X6462-Z6462</f>
        <v>46.8224977232945</v>
      </c>
      <c r="AB6462" s="0" t="n">
        <f aca="false">X6462+Z6462</f>
        <v>49.9898743527289</v>
      </c>
      <c r="AC6462" s="54" t="b">
        <f aca="false">AND(E6462&gt;=01_因子設定!$L$5-0.000000001,E6462&lt;=01_因子設定!$M$5+0.000000001,F6462&gt;=01_因子設定!$L$6-0.000000001,F6462&lt;=01_因子設定!$M$6+0.000000001,G6462&gt;=01_因子設定!$L$7-0.000000001,G6462&lt;=01_因子設定!$M$7+0.000000001,H6462&gt;=01_因子設定!$L$8-0.000000001,H6462&lt;=01_因子設定!$M$8+0.000000001,IF(01_因子設定!$B$20="Box-Behnken",E6462^2+F6462^2+G6462^2+H6462^2&lt;=2+0.000000001,TRUE()))</f>
        <v>1</v>
      </c>
      <c r="AD6462" s="55" t="n">
        <f aca="false">IF(AC6462,IF(01_因子設定!$B$13="最大化",AA6462-01_因子設定!$B$14,IF(01_因子設定!$B$13="最小化",01_因子設定!$B$15-AB6462,MIN(AA6462-01_因子設定!$B$14,01_因子設定!$B$15-AB6462))),-1E+030)</f>
        <v>0.322497723294539</v>
      </c>
      <c r="AE6462" s="55" t="n">
        <f aca="false">IF(AC6462,IF(01_因子設定!$B$13="最大化",X6462,IF(01_因子設定!$B$13="最小化",-X6462,-ABS(X6462-01_因子設定!$B$16))),-1E+030)</f>
        <v>48.4061860380117</v>
      </c>
      <c r="AF6462" s="55" t="n">
        <f aca="false">AD6462+ROW()*0.000000001</f>
        <v>0.322504185294539</v>
      </c>
      <c r="AG6462" s="55" t="n">
        <f aca="false">AE6462+ROW()*0.000000001</f>
        <v>48.4061925000117</v>
      </c>
    </row>
    <row r="6463" customFormat="false" ht="15" hidden="false" customHeight="false" outlineLevel="0" collapsed="false">
      <c r="A6463" s="0" t="n">
        <v>8</v>
      </c>
      <c r="B6463" s="0" t="n">
        <v>7</v>
      </c>
      <c r="C6463" s="0" t="n">
        <v>6</v>
      </c>
      <c r="D6463" s="0" t="n">
        <v>5</v>
      </c>
      <c r="E6463" s="0" t="n">
        <f aca="false">-1+A6463*0.25</f>
        <v>1</v>
      </c>
      <c r="F6463" s="0" t="n">
        <f aca="false">-1+B6463*0.25</f>
        <v>0.75</v>
      </c>
      <c r="G6463" s="0" t="n">
        <f aca="false">-1+C6463*0.25</f>
        <v>0.5</v>
      </c>
      <c r="H6463" s="0" t="n">
        <f aca="false">-1+D6463*0.25</f>
        <v>0.25</v>
      </c>
      <c r="I6463" s="0" t="n">
        <f aca="false">1</f>
        <v>1</v>
      </c>
      <c r="J6463" s="0" t="n">
        <f aca="false">E6463</f>
        <v>1</v>
      </c>
      <c r="K6463" s="0" t="n">
        <f aca="false">F6463</f>
        <v>0.75</v>
      </c>
      <c r="L6463" s="0" t="n">
        <f aca="false">G6463</f>
        <v>0.5</v>
      </c>
      <c r="M6463" s="0" t="n">
        <f aca="false">H6463</f>
        <v>0.25</v>
      </c>
      <c r="N6463" s="0" t="n">
        <f aca="false">E6463*F6463</f>
        <v>0.75</v>
      </c>
      <c r="O6463" s="0" t="n">
        <f aca="false">E6463*G6463</f>
        <v>0.5</v>
      </c>
      <c r="P6463" s="0" t="n">
        <f aca="false">E6463*H6463</f>
        <v>0.25</v>
      </c>
      <c r="Q6463" s="0" t="n">
        <f aca="false">F6463*G6463</f>
        <v>0.375</v>
      </c>
      <c r="R6463" s="0" t="n">
        <f aca="false">F6463*H6463</f>
        <v>0.1875</v>
      </c>
      <c r="S6463" s="0" t="n">
        <f aca="false">G6463*H6463</f>
        <v>0.125</v>
      </c>
      <c r="T6463" s="0" t="n">
        <f aca="false">E6463*E6463</f>
        <v>1</v>
      </c>
      <c r="U6463" s="0" t="n">
        <f aca="false">F6463*F6463</f>
        <v>0.5625</v>
      </c>
      <c r="V6463" s="0" t="n">
        <f aca="false">G6463*G6463</f>
        <v>0.25</v>
      </c>
      <c r="W6463" s="0" t="n">
        <f aca="false">H6463*H6463</f>
        <v>0.0625</v>
      </c>
      <c r="X6463" s="0" t="n">
        <f aca="false">SUMPRODUCT(I6463:W6463,_XtX!$B$96:$P$96)</f>
        <v>48.5110151681287</v>
      </c>
      <c r="Y6463" s="0" t="n">
        <f aca="false">SUMPRODUCT(MMULT(I6463:W6463,_XtX!$B$78:$P$92),I6463:W6463)</f>
        <v>0.459125719572369</v>
      </c>
      <c r="Z6463" s="0" t="n">
        <f aca="false">04_回帰ANOVA!$K$19*04_回帰ANOVA!$K$14*SQRT(1+Y6463)</f>
        <v>1.57450755575573</v>
      </c>
      <c r="AA6463" s="0" t="n">
        <f aca="false">X6463-Z6463</f>
        <v>46.936507612373</v>
      </c>
      <c r="AB6463" s="0" t="n">
        <f aca="false">X6463+Z6463</f>
        <v>50.0855227238844</v>
      </c>
      <c r="AC6463" s="54" t="b">
        <f aca="false">AND(E6463&gt;=01_因子設定!$L$5-0.000000001,E6463&lt;=01_因子設定!$M$5+0.000000001,F6463&gt;=01_因子設定!$L$6-0.000000001,F6463&lt;=01_因子設定!$M$6+0.000000001,G6463&gt;=01_因子設定!$L$7-0.000000001,G6463&lt;=01_因子設定!$M$7+0.000000001,H6463&gt;=01_因子設定!$L$8-0.000000001,H6463&lt;=01_因子設定!$M$8+0.000000001,IF(01_因子設定!$B$20="Box-Behnken",E6463^2+F6463^2+G6463^2+H6463^2&lt;=2+0.000000001,TRUE()))</f>
        <v>1</v>
      </c>
      <c r="AD6463" s="55" t="n">
        <f aca="false">IF(AC6463,IF(01_因子設定!$B$13="最大化",AA6463-01_因子設定!$B$14,IF(01_因子設定!$B$13="最小化",01_因子設定!$B$15-AB6463,MIN(AA6463-01_因子設定!$B$14,01_因子設定!$B$15-AB6463))),-1E+030)</f>
        <v>0.436507612372949</v>
      </c>
      <c r="AE6463" s="55" t="n">
        <f aca="false">IF(AC6463,IF(01_因子設定!$B$13="最大化",X6463,IF(01_因子設定!$B$13="最小化",-X6463,-ABS(X6463-01_因子設定!$B$16))),-1E+030)</f>
        <v>48.5110151681287</v>
      </c>
      <c r="AF6463" s="55" t="n">
        <f aca="false">AD6463+ROW()*0.000000001</f>
        <v>0.436514075372949</v>
      </c>
      <c r="AG6463" s="55" t="n">
        <f aca="false">AE6463+ROW()*0.000000001</f>
        <v>48.5110216311287</v>
      </c>
    </row>
    <row r="6464" customFormat="false" ht="15" hidden="false" customHeight="false" outlineLevel="0" collapsed="false">
      <c r="A6464" s="0" t="n">
        <v>8</v>
      </c>
      <c r="B6464" s="0" t="n">
        <v>7</v>
      </c>
      <c r="C6464" s="0" t="n">
        <v>6</v>
      </c>
      <c r="D6464" s="0" t="n">
        <v>6</v>
      </c>
      <c r="E6464" s="0" t="n">
        <f aca="false">-1+A6464*0.25</f>
        <v>1</v>
      </c>
      <c r="F6464" s="0" t="n">
        <f aca="false">-1+B6464*0.25</f>
        <v>0.75</v>
      </c>
      <c r="G6464" s="0" t="n">
        <f aca="false">-1+C6464*0.25</f>
        <v>0.5</v>
      </c>
      <c r="H6464" s="0" t="n">
        <f aca="false">-1+D6464*0.25</f>
        <v>0.5</v>
      </c>
      <c r="I6464" s="0" t="n">
        <f aca="false">1</f>
        <v>1</v>
      </c>
      <c r="J6464" s="0" t="n">
        <f aca="false">E6464</f>
        <v>1</v>
      </c>
      <c r="K6464" s="0" t="n">
        <f aca="false">F6464</f>
        <v>0.75</v>
      </c>
      <c r="L6464" s="0" t="n">
        <f aca="false">G6464</f>
        <v>0.5</v>
      </c>
      <c r="M6464" s="0" t="n">
        <f aca="false">H6464</f>
        <v>0.5</v>
      </c>
      <c r="N6464" s="0" t="n">
        <f aca="false">E6464*F6464</f>
        <v>0.75</v>
      </c>
      <c r="O6464" s="0" t="n">
        <f aca="false">E6464*G6464</f>
        <v>0.5</v>
      </c>
      <c r="P6464" s="0" t="n">
        <f aca="false">E6464*H6464</f>
        <v>0.5</v>
      </c>
      <c r="Q6464" s="0" t="n">
        <f aca="false">F6464*G6464</f>
        <v>0.375</v>
      </c>
      <c r="R6464" s="0" t="n">
        <f aca="false">F6464*H6464</f>
        <v>0.375</v>
      </c>
      <c r="S6464" s="0" t="n">
        <f aca="false">G6464*H6464</f>
        <v>0.25</v>
      </c>
      <c r="T6464" s="0" t="n">
        <f aca="false">E6464*E6464</f>
        <v>1</v>
      </c>
      <c r="U6464" s="0" t="n">
        <f aca="false">F6464*F6464</f>
        <v>0.5625</v>
      </c>
      <c r="V6464" s="0" t="n">
        <f aca="false">G6464*G6464</f>
        <v>0.25</v>
      </c>
      <c r="W6464" s="0" t="n">
        <f aca="false">H6464*H6464</f>
        <v>0.25</v>
      </c>
      <c r="X6464" s="0" t="n">
        <f aca="false">SUMPRODUCT(I6464:W6464,_XtX!$B$96:$P$96)</f>
        <v>48.5680372807018</v>
      </c>
      <c r="Y6464" s="0" t="n">
        <f aca="false">SUMPRODUCT(MMULT(I6464:W6464,_XtX!$B$78:$P$92),I6464:W6464)</f>
        <v>0.42602110745614</v>
      </c>
      <c r="Z6464" s="0" t="n">
        <f aca="false">04_回帰ANOVA!$K$19*04_回帰ANOVA!$K$14*SQRT(1+Y6464)</f>
        <v>1.55654388501114</v>
      </c>
      <c r="AA6464" s="0" t="n">
        <f aca="false">X6464-Z6464</f>
        <v>47.0114933956907</v>
      </c>
      <c r="AB6464" s="0" t="n">
        <f aca="false">X6464+Z6464</f>
        <v>50.1245811657129</v>
      </c>
      <c r="AC6464" s="54" t="b">
        <f aca="false">AND(E6464&gt;=01_因子設定!$L$5-0.000000001,E6464&lt;=01_因子設定!$M$5+0.000000001,F6464&gt;=01_因子設定!$L$6-0.000000001,F6464&lt;=01_因子設定!$M$6+0.000000001,G6464&gt;=01_因子設定!$L$7-0.000000001,G6464&lt;=01_因子設定!$M$7+0.000000001,H6464&gt;=01_因子設定!$L$8-0.000000001,H6464&lt;=01_因子設定!$M$8+0.000000001,IF(01_因子設定!$B$20="Box-Behnken",E6464^2+F6464^2+G6464^2+H6464^2&lt;=2+0.000000001,TRUE()))</f>
        <v>1</v>
      </c>
      <c r="AD6464" s="55" t="n">
        <f aca="false">IF(AC6464,IF(01_因子設定!$B$13="最大化",AA6464-01_因子設定!$B$14,IF(01_因子設定!$B$13="最小化",01_因子設定!$B$15-AB6464,MIN(AA6464-01_因子設定!$B$14,01_因子設定!$B$15-AB6464))),-1E+030)</f>
        <v>0.51149339569065</v>
      </c>
      <c r="AE6464" s="55" t="n">
        <f aca="false">IF(AC6464,IF(01_因子設定!$B$13="最大化",X6464,IF(01_因子設定!$B$13="最小化",-X6464,-ABS(X6464-01_因子設定!$B$16))),-1E+030)</f>
        <v>48.5680372807018</v>
      </c>
      <c r="AF6464" s="55" t="n">
        <f aca="false">AD6464+ROW()*0.000000001</f>
        <v>0.51149985969065</v>
      </c>
      <c r="AG6464" s="55" t="n">
        <f aca="false">AE6464+ROW()*0.000000001</f>
        <v>48.5680437447018</v>
      </c>
    </row>
    <row r="6465" customFormat="false" ht="15" hidden="false" customHeight="false" outlineLevel="0" collapsed="false">
      <c r="A6465" s="0" t="n">
        <v>8</v>
      </c>
      <c r="B6465" s="0" t="n">
        <v>7</v>
      </c>
      <c r="C6465" s="0" t="n">
        <v>6</v>
      </c>
      <c r="D6465" s="0" t="n">
        <v>7</v>
      </c>
      <c r="E6465" s="0" t="n">
        <f aca="false">-1+A6465*0.25</f>
        <v>1</v>
      </c>
      <c r="F6465" s="0" t="n">
        <f aca="false">-1+B6465*0.25</f>
        <v>0.75</v>
      </c>
      <c r="G6465" s="0" t="n">
        <f aca="false">-1+C6465*0.25</f>
        <v>0.5</v>
      </c>
      <c r="H6465" s="0" t="n">
        <f aca="false">-1+D6465*0.25</f>
        <v>0.75</v>
      </c>
      <c r="I6465" s="0" t="n">
        <f aca="false">1</f>
        <v>1</v>
      </c>
      <c r="J6465" s="0" t="n">
        <f aca="false">E6465</f>
        <v>1</v>
      </c>
      <c r="K6465" s="0" t="n">
        <f aca="false">F6465</f>
        <v>0.75</v>
      </c>
      <c r="L6465" s="0" t="n">
        <f aca="false">G6465</f>
        <v>0.5</v>
      </c>
      <c r="M6465" s="0" t="n">
        <f aca="false">H6465</f>
        <v>0.75</v>
      </c>
      <c r="N6465" s="0" t="n">
        <f aca="false">E6465*F6465</f>
        <v>0.75</v>
      </c>
      <c r="O6465" s="0" t="n">
        <f aca="false">E6465*G6465</f>
        <v>0.5</v>
      </c>
      <c r="P6465" s="0" t="n">
        <f aca="false">E6465*H6465</f>
        <v>0.75</v>
      </c>
      <c r="Q6465" s="0" t="n">
        <f aca="false">F6465*G6465</f>
        <v>0.375</v>
      </c>
      <c r="R6465" s="0" t="n">
        <f aca="false">F6465*H6465</f>
        <v>0.5625</v>
      </c>
      <c r="S6465" s="0" t="n">
        <f aca="false">G6465*H6465</f>
        <v>0.375</v>
      </c>
      <c r="T6465" s="0" t="n">
        <f aca="false">E6465*E6465</f>
        <v>1</v>
      </c>
      <c r="U6465" s="0" t="n">
        <f aca="false">F6465*F6465</f>
        <v>0.5625</v>
      </c>
      <c r="V6465" s="0" t="n">
        <f aca="false">G6465*G6465</f>
        <v>0.25</v>
      </c>
      <c r="W6465" s="0" t="n">
        <f aca="false">H6465*H6465</f>
        <v>0.5625</v>
      </c>
      <c r="X6465" s="0" t="n">
        <f aca="false">SUMPRODUCT(I6465:W6465,_XtX!$B$96:$P$96)</f>
        <v>48.577252375731</v>
      </c>
      <c r="Y6465" s="0" t="n">
        <f aca="false">SUMPRODUCT(MMULT(I6465:W6465,_XtX!$B$78:$P$92),I6465:W6465)</f>
        <v>0.431153771472953</v>
      </c>
      <c r="Z6465" s="0" t="n">
        <f aca="false">04_回帰ANOVA!$K$19*04_回帰ANOVA!$K$14*SQRT(1+Y6465)</f>
        <v>1.55934259562563</v>
      </c>
      <c r="AA6465" s="0" t="n">
        <f aca="false">X6465-Z6465</f>
        <v>47.0179097801054</v>
      </c>
      <c r="AB6465" s="0" t="n">
        <f aca="false">X6465+Z6465</f>
        <v>50.1365949713567</v>
      </c>
      <c r="AC6465" s="54" t="b">
        <f aca="false">AND(E6465&gt;=01_因子設定!$L$5-0.000000001,E6465&lt;=01_因子設定!$M$5+0.000000001,F6465&gt;=01_因子設定!$L$6-0.000000001,F6465&lt;=01_因子設定!$M$6+0.000000001,G6465&gt;=01_因子設定!$L$7-0.000000001,G6465&lt;=01_因子設定!$M$7+0.000000001,H6465&gt;=01_因子設定!$L$8-0.000000001,H6465&lt;=01_因子設定!$M$8+0.000000001,IF(01_因子設定!$B$20="Box-Behnken",E6465^2+F6465^2+G6465^2+H6465^2&lt;=2+0.000000001,TRUE()))</f>
        <v>1</v>
      </c>
      <c r="AD6465" s="55" t="n">
        <f aca="false">IF(AC6465,IF(01_因子設定!$B$13="最大化",AA6465-01_因子設定!$B$14,IF(01_因子設定!$B$13="最小化",01_因子設定!$B$15-AB6465,MIN(AA6465-01_因子設定!$B$14,01_因子設定!$B$15-AB6465))),-1E+030)</f>
        <v>0.517909780105406</v>
      </c>
      <c r="AE6465" s="55" t="n">
        <f aca="false">IF(AC6465,IF(01_因子設定!$B$13="最大化",X6465,IF(01_因子設定!$B$13="最小化",-X6465,-ABS(X6465-01_因子設定!$B$16))),-1E+030)</f>
        <v>48.577252375731</v>
      </c>
      <c r="AF6465" s="55" t="n">
        <f aca="false">AD6465+ROW()*0.000000001</f>
        <v>0.517916245105406</v>
      </c>
      <c r="AG6465" s="55" t="n">
        <f aca="false">AE6465+ROW()*0.000000001</f>
        <v>48.577258840731</v>
      </c>
    </row>
    <row r="6466" customFormat="false" ht="15" hidden="false" customHeight="false" outlineLevel="0" collapsed="false">
      <c r="A6466" s="0" t="n">
        <v>8</v>
      </c>
      <c r="B6466" s="0" t="n">
        <v>7</v>
      </c>
      <c r="C6466" s="0" t="n">
        <v>6</v>
      </c>
      <c r="D6466" s="0" t="n">
        <v>8</v>
      </c>
      <c r="E6466" s="0" t="n">
        <f aca="false">-1+A6466*0.25</f>
        <v>1</v>
      </c>
      <c r="F6466" s="0" t="n">
        <f aca="false">-1+B6466*0.25</f>
        <v>0.75</v>
      </c>
      <c r="G6466" s="0" t="n">
        <f aca="false">-1+C6466*0.25</f>
        <v>0.5</v>
      </c>
      <c r="H6466" s="0" t="n">
        <f aca="false">-1+D6466*0.25</f>
        <v>1</v>
      </c>
      <c r="I6466" s="0" t="n">
        <f aca="false">1</f>
        <v>1</v>
      </c>
      <c r="J6466" s="0" t="n">
        <f aca="false">E6466</f>
        <v>1</v>
      </c>
      <c r="K6466" s="0" t="n">
        <f aca="false">F6466</f>
        <v>0.75</v>
      </c>
      <c r="L6466" s="0" t="n">
        <f aca="false">G6466</f>
        <v>0.5</v>
      </c>
      <c r="M6466" s="0" t="n">
        <f aca="false">H6466</f>
        <v>1</v>
      </c>
      <c r="N6466" s="0" t="n">
        <f aca="false">E6466*F6466</f>
        <v>0.75</v>
      </c>
      <c r="O6466" s="0" t="n">
        <f aca="false">E6466*G6466</f>
        <v>0.5</v>
      </c>
      <c r="P6466" s="0" t="n">
        <f aca="false">E6466*H6466</f>
        <v>1</v>
      </c>
      <c r="Q6466" s="0" t="n">
        <f aca="false">F6466*G6466</f>
        <v>0.375</v>
      </c>
      <c r="R6466" s="0" t="n">
        <f aca="false">F6466*H6466</f>
        <v>0.75</v>
      </c>
      <c r="S6466" s="0" t="n">
        <f aca="false">G6466*H6466</f>
        <v>0.5</v>
      </c>
      <c r="T6466" s="0" t="n">
        <f aca="false">E6466*E6466</f>
        <v>1</v>
      </c>
      <c r="U6466" s="0" t="n">
        <f aca="false">F6466*F6466</f>
        <v>0.5625</v>
      </c>
      <c r="V6466" s="0" t="n">
        <f aca="false">G6466*G6466</f>
        <v>0.25</v>
      </c>
      <c r="W6466" s="0" t="n">
        <f aca="false">H6466*H6466</f>
        <v>1</v>
      </c>
      <c r="X6466" s="0" t="n">
        <f aca="false">SUMPRODUCT(I6466:W6466,_XtX!$B$96:$P$96)</f>
        <v>48.5386604532164</v>
      </c>
      <c r="Y6466" s="0" t="n">
        <f aca="false">SUMPRODUCT(MMULT(I6466:W6466,_XtX!$B$78:$P$92),I6466:W6466)</f>
        <v>0.564984237938597</v>
      </c>
      <c r="Z6466" s="0" t="n">
        <f aca="false">04_回帰ANOVA!$K$19*04_回帰ANOVA!$K$14*SQRT(1+Y6466)</f>
        <v>1.63062229734503</v>
      </c>
      <c r="AA6466" s="0" t="n">
        <f aca="false">X6466-Z6466</f>
        <v>46.9080381558714</v>
      </c>
      <c r="AB6466" s="0" t="n">
        <f aca="false">X6466+Z6466</f>
        <v>50.1692827505615</v>
      </c>
      <c r="AC6466" s="54" t="b">
        <f aca="false">AND(E6466&gt;=01_因子設定!$L$5-0.000000001,E6466&lt;=01_因子設定!$M$5+0.000000001,F6466&gt;=01_因子設定!$L$6-0.000000001,F6466&lt;=01_因子設定!$M$6+0.000000001,G6466&gt;=01_因子設定!$L$7-0.000000001,G6466&lt;=01_因子設定!$M$7+0.000000001,H6466&gt;=01_因子設定!$L$8-0.000000001,H6466&lt;=01_因子設定!$M$8+0.000000001,IF(01_因子設定!$B$20="Box-Behnken",E6466^2+F6466^2+G6466^2+H6466^2&lt;=2+0.000000001,TRUE()))</f>
        <v>1</v>
      </c>
      <c r="AD6466" s="55" t="n">
        <f aca="false">IF(AC6466,IF(01_因子設定!$B$13="最大化",AA6466-01_因子設定!$B$14,IF(01_因子設定!$B$13="最小化",01_因子設定!$B$15-AB6466,MIN(AA6466-01_因子設定!$B$14,01_因子設定!$B$15-AB6466))),-1E+030)</f>
        <v>0.408038155871402</v>
      </c>
      <c r="AE6466" s="55" t="n">
        <f aca="false">IF(AC6466,IF(01_因子設定!$B$13="最大化",X6466,IF(01_因子設定!$B$13="最小化",-X6466,-ABS(X6466-01_因子設定!$B$16))),-1E+030)</f>
        <v>48.5386604532164</v>
      </c>
      <c r="AF6466" s="55" t="n">
        <f aca="false">AD6466+ROW()*0.000000001</f>
        <v>0.408044621871402</v>
      </c>
      <c r="AG6466" s="55" t="n">
        <f aca="false">AE6466+ROW()*0.000000001</f>
        <v>48.5386669192164</v>
      </c>
    </row>
    <row r="6467" customFormat="false" ht="15" hidden="false" customHeight="false" outlineLevel="0" collapsed="false">
      <c r="A6467" s="0" t="n">
        <v>8</v>
      </c>
      <c r="B6467" s="0" t="n">
        <v>7</v>
      </c>
      <c r="C6467" s="0" t="n">
        <v>7</v>
      </c>
      <c r="D6467" s="0" t="n">
        <v>0</v>
      </c>
      <c r="E6467" s="0" t="n">
        <f aca="false">-1+A6467*0.25</f>
        <v>1</v>
      </c>
      <c r="F6467" s="0" t="n">
        <f aca="false">-1+B6467*0.25</f>
        <v>0.75</v>
      </c>
      <c r="G6467" s="0" t="n">
        <f aca="false">-1+C6467*0.25</f>
        <v>0.75</v>
      </c>
      <c r="H6467" s="0" t="n">
        <f aca="false">-1+D6467*0.25</f>
        <v>-1</v>
      </c>
      <c r="I6467" s="0" t="n">
        <f aca="false">1</f>
        <v>1</v>
      </c>
      <c r="J6467" s="0" t="n">
        <f aca="false">E6467</f>
        <v>1</v>
      </c>
      <c r="K6467" s="0" t="n">
        <f aca="false">F6467</f>
        <v>0.75</v>
      </c>
      <c r="L6467" s="0" t="n">
        <f aca="false">G6467</f>
        <v>0.75</v>
      </c>
      <c r="M6467" s="0" t="n">
        <f aca="false">H6467</f>
        <v>-1</v>
      </c>
      <c r="N6467" s="0" t="n">
        <f aca="false">E6467*F6467</f>
        <v>0.75</v>
      </c>
      <c r="O6467" s="0" t="n">
        <f aca="false">E6467*G6467</f>
        <v>0.75</v>
      </c>
      <c r="P6467" s="0" t="n">
        <f aca="false">E6467*H6467</f>
        <v>-1</v>
      </c>
      <c r="Q6467" s="0" t="n">
        <f aca="false">F6467*G6467</f>
        <v>0.5625</v>
      </c>
      <c r="R6467" s="0" t="n">
        <f aca="false">F6467*H6467</f>
        <v>-0.75</v>
      </c>
      <c r="S6467" s="0" t="n">
        <f aca="false">G6467*H6467</f>
        <v>-0.75</v>
      </c>
      <c r="T6467" s="0" t="n">
        <f aca="false">E6467*E6467</f>
        <v>1</v>
      </c>
      <c r="U6467" s="0" t="n">
        <f aca="false">F6467*F6467</f>
        <v>0.5625</v>
      </c>
      <c r="V6467" s="0" t="n">
        <f aca="false">G6467*G6467</f>
        <v>0.5625</v>
      </c>
      <c r="W6467" s="0" t="n">
        <f aca="false">H6467*H6467</f>
        <v>1</v>
      </c>
      <c r="X6467" s="0" t="n">
        <f aca="false">SUMPRODUCT(I6467:W6467,_XtX!$B$96:$P$96)</f>
        <v>47.365583881579</v>
      </c>
      <c r="Y6467" s="0" t="n">
        <f aca="false">SUMPRODUCT(MMULT(I6467:W6467,_XtX!$B$78:$P$92),I6467:W6467)</f>
        <v>0.531311392086988</v>
      </c>
      <c r="Z6467" s="0" t="n">
        <f aca="false">04_回帰ANOVA!$K$19*04_回帰ANOVA!$K$14*SQRT(1+Y6467)</f>
        <v>1.61298433431428</v>
      </c>
      <c r="AA6467" s="0" t="n">
        <f aca="false">X6467-Z6467</f>
        <v>45.7525995472647</v>
      </c>
      <c r="AB6467" s="0" t="n">
        <f aca="false">X6467+Z6467</f>
        <v>48.9785682158933</v>
      </c>
      <c r="AC6467" s="54" t="b">
        <f aca="false">AND(E6467&gt;=01_因子設定!$L$5-0.000000001,E6467&lt;=01_因子設定!$M$5+0.000000001,F6467&gt;=01_因子設定!$L$6-0.000000001,F6467&lt;=01_因子設定!$M$6+0.000000001,G6467&gt;=01_因子設定!$L$7-0.000000001,G6467&lt;=01_因子設定!$M$7+0.000000001,H6467&gt;=01_因子設定!$L$8-0.000000001,H6467&lt;=01_因子設定!$M$8+0.000000001,IF(01_因子設定!$B$20="Box-Behnken",E6467^2+F6467^2+G6467^2+H6467^2&lt;=2+0.000000001,TRUE()))</f>
        <v>1</v>
      </c>
      <c r="AD6467" s="55" t="n">
        <f aca="false">IF(AC6467,IF(01_因子設定!$B$13="最大化",AA6467-01_因子設定!$B$14,IF(01_因子設定!$B$13="最小化",01_因子設定!$B$15-AB6467,MIN(AA6467-01_因子設定!$B$14,01_因子設定!$B$15-AB6467))),-1E+030)</f>
        <v>-0.74740045273527</v>
      </c>
      <c r="AE6467" s="55" t="n">
        <f aca="false">IF(AC6467,IF(01_因子設定!$B$13="最大化",X6467,IF(01_因子設定!$B$13="最小化",-X6467,-ABS(X6467-01_因子設定!$B$16))),-1E+030)</f>
        <v>47.365583881579</v>
      </c>
      <c r="AF6467" s="55" t="n">
        <f aca="false">AD6467+ROW()*0.000000001</f>
        <v>-0.747393985735271</v>
      </c>
      <c r="AG6467" s="55" t="n">
        <f aca="false">AE6467+ROW()*0.000000001</f>
        <v>47.365590348579</v>
      </c>
    </row>
    <row r="6468" customFormat="false" ht="15" hidden="false" customHeight="false" outlineLevel="0" collapsed="false">
      <c r="A6468" s="0" t="n">
        <v>8</v>
      </c>
      <c r="B6468" s="0" t="n">
        <v>7</v>
      </c>
      <c r="C6468" s="0" t="n">
        <v>7</v>
      </c>
      <c r="D6468" s="0" t="n">
        <v>1</v>
      </c>
      <c r="E6468" s="0" t="n">
        <f aca="false">-1+A6468*0.25</f>
        <v>1</v>
      </c>
      <c r="F6468" s="0" t="n">
        <f aca="false">-1+B6468*0.25</f>
        <v>0.75</v>
      </c>
      <c r="G6468" s="0" t="n">
        <f aca="false">-1+C6468*0.25</f>
        <v>0.75</v>
      </c>
      <c r="H6468" s="0" t="n">
        <f aca="false">-1+D6468*0.25</f>
        <v>-0.75</v>
      </c>
      <c r="I6468" s="0" t="n">
        <f aca="false">1</f>
        <v>1</v>
      </c>
      <c r="J6468" s="0" t="n">
        <f aca="false">E6468</f>
        <v>1</v>
      </c>
      <c r="K6468" s="0" t="n">
        <f aca="false">F6468</f>
        <v>0.75</v>
      </c>
      <c r="L6468" s="0" t="n">
        <f aca="false">G6468</f>
        <v>0.75</v>
      </c>
      <c r="M6468" s="0" t="n">
        <f aca="false">H6468</f>
        <v>-0.75</v>
      </c>
      <c r="N6468" s="0" t="n">
        <f aca="false">E6468*F6468</f>
        <v>0.75</v>
      </c>
      <c r="O6468" s="0" t="n">
        <f aca="false">E6468*G6468</f>
        <v>0.75</v>
      </c>
      <c r="P6468" s="0" t="n">
        <f aca="false">E6468*H6468</f>
        <v>-0.75</v>
      </c>
      <c r="Q6468" s="0" t="n">
        <f aca="false">F6468*G6468</f>
        <v>0.5625</v>
      </c>
      <c r="R6468" s="0" t="n">
        <f aca="false">F6468*H6468</f>
        <v>-0.5625</v>
      </c>
      <c r="S6468" s="0" t="n">
        <f aca="false">G6468*H6468</f>
        <v>-0.5625</v>
      </c>
      <c r="T6468" s="0" t="n">
        <f aca="false">E6468*E6468</f>
        <v>1</v>
      </c>
      <c r="U6468" s="0" t="n">
        <f aca="false">F6468*F6468</f>
        <v>0.5625</v>
      </c>
      <c r="V6468" s="0" t="n">
        <f aca="false">G6468*G6468</f>
        <v>0.5625</v>
      </c>
      <c r="W6468" s="0" t="n">
        <f aca="false">H6468*H6468</f>
        <v>0.5625</v>
      </c>
      <c r="X6468" s="0" t="n">
        <f aca="false">SUMPRODUCT(I6468:W6468,_XtX!$B$96:$P$96)</f>
        <v>47.6796098318714</v>
      </c>
      <c r="Y6468" s="0" t="n">
        <f aca="false">SUMPRODUCT(MMULT(I6468:W6468,_XtX!$B$78:$P$92),I6468:W6468)</f>
        <v>0.420117473044591</v>
      </c>
      <c r="Z6468" s="0" t="n">
        <f aca="false">04_回帰ANOVA!$K$19*04_回帰ANOVA!$K$14*SQRT(1+Y6468)</f>
        <v>1.55331854827765</v>
      </c>
      <c r="AA6468" s="0" t="n">
        <f aca="false">X6468-Z6468</f>
        <v>46.1262912835938</v>
      </c>
      <c r="AB6468" s="0" t="n">
        <f aca="false">X6468+Z6468</f>
        <v>49.232928380149</v>
      </c>
      <c r="AC6468" s="54" t="b">
        <f aca="false">AND(E6468&gt;=01_因子設定!$L$5-0.000000001,E6468&lt;=01_因子設定!$M$5+0.000000001,F6468&gt;=01_因子設定!$L$6-0.000000001,F6468&lt;=01_因子設定!$M$6+0.000000001,G6468&gt;=01_因子設定!$L$7-0.000000001,G6468&lt;=01_因子設定!$M$7+0.000000001,H6468&gt;=01_因子設定!$L$8-0.000000001,H6468&lt;=01_因子設定!$M$8+0.000000001,IF(01_因子設定!$B$20="Box-Behnken",E6468^2+F6468^2+G6468^2+H6468^2&lt;=2+0.000000001,TRUE()))</f>
        <v>1</v>
      </c>
      <c r="AD6468" s="55" t="n">
        <f aca="false">IF(AC6468,IF(01_因子設定!$B$13="最大化",AA6468-01_因子設定!$B$14,IF(01_因子設定!$B$13="最小化",01_因子設定!$B$15-AB6468,MIN(AA6468-01_因子設定!$B$14,01_因子設定!$B$15-AB6468))),-1E+030)</f>
        <v>-0.373708716406249</v>
      </c>
      <c r="AE6468" s="55" t="n">
        <f aca="false">IF(AC6468,IF(01_因子設定!$B$13="最大化",X6468,IF(01_因子設定!$B$13="最小化",-X6468,-ABS(X6468-01_因子設定!$B$16))),-1E+030)</f>
        <v>47.6796098318714</v>
      </c>
      <c r="AF6468" s="55" t="n">
        <f aca="false">AD6468+ROW()*0.000000001</f>
        <v>-0.373702248406249</v>
      </c>
      <c r="AG6468" s="55" t="n">
        <f aca="false">AE6468+ROW()*0.000000001</f>
        <v>47.6796162998714</v>
      </c>
    </row>
    <row r="6469" customFormat="false" ht="15" hidden="false" customHeight="false" outlineLevel="0" collapsed="false">
      <c r="A6469" s="0" t="n">
        <v>8</v>
      </c>
      <c r="B6469" s="0" t="n">
        <v>7</v>
      </c>
      <c r="C6469" s="0" t="n">
        <v>7</v>
      </c>
      <c r="D6469" s="0" t="n">
        <v>2</v>
      </c>
      <c r="E6469" s="0" t="n">
        <f aca="false">-1+A6469*0.25</f>
        <v>1</v>
      </c>
      <c r="F6469" s="0" t="n">
        <f aca="false">-1+B6469*0.25</f>
        <v>0.75</v>
      </c>
      <c r="G6469" s="0" t="n">
        <f aca="false">-1+C6469*0.25</f>
        <v>0.75</v>
      </c>
      <c r="H6469" s="0" t="n">
        <f aca="false">-1+D6469*0.25</f>
        <v>-0.5</v>
      </c>
      <c r="I6469" s="0" t="n">
        <f aca="false">1</f>
        <v>1</v>
      </c>
      <c r="J6469" s="0" t="n">
        <f aca="false">E6469</f>
        <v>1</v>
      </c>
      <c r="K6469" s="0" t="n">
        <f aca="false">F6469</f>
        <v>0.75</v>
      </c>
      <c r="L6469" s="0" t="n">
        <f aca="false">G6469</f>
        <v>0.75</v>
      </c>
      <c r="M6469" s="0" t="n">
        <f aca="false">H6469</f>
        <v>-0.5</v>
      </c>
      <c r="N6469" s="0" t="n">
        <f aca="false">E6469*F6469</f>
        <v>0.75</v>
      </c>
      <c r="O6469" s="0" t="n">
        <f aca="false">E6469*G6469</f>
        <v>0.75</v>
      </c>
      <c r="P6469" s="0" t="n">
        <f aca="false">E6469*H6469</f>
        <v>-0.5</v>
      </c>
      <c r="Q6469" s="0" t="n">
        <f aca="false">F6469*G6469</f>
        <v>0.5625</v>
      </c>
      <c r="R6469" s="0" t="n">
        <f aca="false">F6469*H6469</f>
        <v>-0.375</v>
      </c>
      <c r="S6469" s="0" t="n">
        <f aca="false">G6469*H6469</f>
        <v>-0.375</v>
      </c>
      <c r="T6469" s="0" t="n">
        <f aca="false">E6469*E6469</f>
        <v>1</v>
      </c>
      <c r="U6469" s="0" t="n">
        <f aca="false">F6469*F6469</f>
        <v>0.5625</v>
      </c>
      <c r="V6469" s="0" t="n">
        <f aca="false">G6469*G6469</f>
        <v>0.5625</v>
      </c>
      <c r="W6469" s="0" t="n">
        <f aca="false">H6469*H6469</f>
        <v>0.25</v>
      </c>
      <c r="X6469" s="0" t="n">
        <f aca="false">SUMPRODUCT(I6469:W6469,_XtX!$B$96:$P$96)</f>
        <v>47.9458287646199</v>
      </c>
      <c r="Y6469" s="0" t="n">
        <f aca="false">SUMPRODUCT(MMULT(I6469:W6469,_XtX!$B$78:$P$92),I6469:W6469)</f>
        <v>0.431153771472953</v>
      </c>
      <c r="Z6469" s="0" t="n">
        <f aca="false">04_回帰ANOVA!$K$19*04_回帰ANOVA!$K$14*SQRT(1+Y6469)</f>
        <v>1.55934259562563</v>
      </c>
      <c r="AA6469" s="0" t="n">
        <f aca="false">X6469-Z6469</f>
        <v>46.3864861689943</v>
      </c>
      <c r="AB6469" s="0" t="n">
        <f aca="false">X6469+Z6469</f>
        <v>49.5051713602456</v>
      </c>
      <c r="AC6469" s="54" t="b">
        <f aca="false">AND(E6469&gt;=01_因子設定!$L$5-0.000000001,E6469&lt;=01_因子設定!$M$5+0.000000001,F6469&gt;=01_因子設定!$L$6-0.000000001,F6469&lt;=01_因子設定!$M$6+0.000000001,G6469&gt;=01_因子設定!$L$7-0.000000001,G6469&lt;=01_因子設定!$M$7+0.000000001,H6469&gt;=01_因子設定!$L$8-0.000000001,H6469&lt;=01_因子設定!$M$8+0.000000001,IF(01_因子設定!$B$20="Box-Behnken",E6469^2+F6469^2+G6469^2+H6469^2&lt;=2+0.000000001,TRUE()))</f>
        <v>1</v>
      </c>
      <c r="AD6469" s="55" t="n">
        <f aca="false">IF(AC6469,IF(01_因子設定!$B$13="最大化",AA6469-01_因子設定!$B$14,IF(01_因子設定!$B$13="最小化",01_因子設定!$B$15-AB6469,MIN(AA6469-01_因子設定!$B$14,01_因子設定!$B$15-AB6469))),-1E+030)</f>
        <v>-0.113513831005712</v>
      </c>
      <c r="AE6469" s="55" t="n">
        <f aca="false">IF(AC6469,IF(01_因子設定!$B$13="最大化",X6469,IF(01_因子設定!$B$13="最小化",-X6469,-ABS(X6469-01_因子設定!$B$16))),-1E+030)</f>
        <v>47.9458287646199</v>
      </c>
      <c r="AF6469" s="55" t="n">
        <f aca="false">AD6469+ROW()*0.000000001</f>
        <v>-0.113507362005712</v>
      </c>
      <c r="AG6469" s="55" t="n">
        <f aca="false">AE6469+ROW()*0.000000001</f>
        <v>47.9458352336199</v>
      </c>
    </row>
    <row r="6470" customFormat="false" ht="15" hidden="false" customHeight="false" outlineLevel="0" collapsed="false">
      <c r="A6470" s="0" t="n">
        <v>8</v>
      </c>
      <c r="B6470" s="0" t="n">
        <v>7</v>
      </c>
      <c r="C6470" s="0" t="n">
        <v>7</v>
      </c>
      <c r="D6470" s="0" t="n">
        <v>3</v>
      </c>
      <c r="E6470" s="0" t="n">
        <f aca="false">-1+A6470*0.25</f>
        <v>1</v>
      </c>
      <c r="F6470" s="0" t="n">
        <f aca="false">-1+B6470*0.25</f>
        <v>0.75</v>
      </c>
      <c r="G6470" s="0" t="n">
        <f aca="false">-1+C6470*0.25</f>
        <v>0.75</v>
      </c>
      <c r="H6470" s="0" t="n">
        <f aca="false">-1+D6470*0.25</f>
        <v>-0.25</v>
      </c>
      <c r="I6470" s="0" t="n">
        <f aca="false">1</f>
        <v>1</v>
      </c>
      <c r="J6470" s="0" t="n">
        <f aca="false">E6470</f>
        <v>1</v>
      </c>
      <c r="K6470" s="0" t="n">
        <f aca="false">F6470</f>
        <v>0.75</v>
      </c>
      <c r="L6470" s="0" t="n">
        <f aca="false">G6470</f>
        <v>0.75</v>
      </c>
      <c r="M6470" s="0" t="n">
        <f aca="false">H6470</f>
        <v>-0.25</v>
      </c>
      <c r="N6470" s="0" t="n">
        <f aca="false">E6470*F6470</f>
        <v>0.75</v>
      </c>
      <c r="O6470" s="0" t="n">
        <f aca="false">E6470*G6470</f>
        <v>0.75</v>
      </c>
      <c r="P6470" s="0" t="n">
        <f aca="false">E6470*H6470</f>
        <v>-0.25</v>
      </c>
      <c r="Q6470" s="0" t="n">
        <f aca="false">F6470*G6470</f>
        <v>0.5625</v>
      </c>
      <c r="R6470" s="0" t="n">
        <f aca="false">F6470*H6470</f>
        <v>-0.1875</v>
      </c>
      <c r="S6470" s="0" t="n">
        <f aca="false">G6470*H6470</f>
        <v>-0.1875</v>
      </c>
      <c r="T6470" s="0" t="n">
        <f aca="false">E6470*E6470</f>
        <v>1</v>
      </c>
      <c r="U6470" s="0" t="n">
        <f aca="false">F6470*F6470</f>
        <v>0.5625</v>
      </c>
      <c r="V6470" s="0" t="n">
        <f aca="false">G6470*G6470</f>
        <v>0.5625</v>
      </c>
      <c r="W6470" s="0" t="n">
        <f aca="false">H6470*H6470</f>
        <v>0.0625</v>
      </c>
      <c r="X6470" s="0" t="n">
        <f aca="false">SUMPRODUCT(I6470:W6470,_XtX!$B$96:$P$96)</f>
        <v>48.1642406798246</v>
      </c>
      <c r="Y6470" s="0" t="n">
        <f aca="false">SUMPRODUCT(MMULT(I6470:W6470,_XtX!$B$78:$P$92),I6470:W6470)</f>
        <v>0.473959761056287</v>
      </c>
      <c r="Z6470" s="0" t="n">
        <f aca="false">04_回帰ANOVA!$K$19*04_回帰ANOVA!$K$14*SQRT(1+Y6470)</f>
        <v>1.58249084588329</v>
      </c>
      <c r="AA6470" s="0" t="n">
        <f aca="false">X6470-Z6470</f>
        <v>46.5817498339413</v>
      </c>
      <c r="AB6470" s="0" t="n">
        <f aca="false">X6470+Z6470</f>
        <v>49.7467315257079</v>
      </c>
      <c r="AC6470" s="54" t="b">
        <f aca="false">AND(E6470&gt;=01_因子設定!$L$5-0.000000001,E6470&lt;=01_因子設定!$M$5+0.000000001,F6470&gt;=01_因子設定!$L$6-0.000000001,F6470&lt;=01_因子設定!$M$6+0.000000001,G6470&gt;=01_因子設定!$L$7-0.000000001,G6470&lt;=01_因子設定!$M$7+0.000000001,H6470&gt;=01_因子設定!$L$8-0.000000001,H6470&lt;=01_因子設定!$M$8+0.000000001,IF(01_因子設定!$B$20="Box-Behnken",E6470^2+F6470^2+G6470^2+H6470^2&lt;=2+0.000000001,TRUE()))</f>
        <v>1</v>
      </c>
      <c r="AD6470" s="55" t="n">
        <f aca="false">IF(AC6470,IF(01_因子設定!$B$13="最大化",AA6470-01_因子設定!$B$14,IF(01_因子設定!$B$13="最小化",01_因子設定!$B$15-AB6470,MIN(AA6470-01_因子設定!$B$14,01_因子設定!$B$15-AB6470))),-1E+030)</f>
        <v>0.0817498339413021</v>
      </c>
      <c r="AE6470" s="55" t="n">
        <f aca="false">IF(AC6470,IF(01_因子設定!$B$13="最大化",X6470,IF(01_因子設定!$B$13="最小化",-X6470,-ABS(X6470-01_因子設定!$B$16))),-1E+030)</f>
        <v>48.1642406798246</v>
      </c>
      <c r="AF6470" s="55" t="n">
        <f aca="false">AD6470+ROW()*0.000000001</f>
        <v>0.0817563039413021</v>
      </c>
      <c r="AG6470" s="55" t="n">
        <f aca="false">AE6470+ROW()*0.000000001</f>
        <v>48.1642471498246</v>
      </c>
    </row>
    <row r="6471" customFormat="false" ht="15" hidden="false" customHeight="false" outlineLevel="0" collapsed="false">
      <c r="A6471" s="0" t="n">
        <v>8</v>
      </c>
      <c r="B6471" s="0" t="n">
        <v>7</v>
      </c>
      <c r="C6471" s="0" t="n">
        <v>7</v>
      </c>
      <c r="D6471" s="0" t="n">
        <v>4</v>
      </c>
      <c r="E6471" s="0" t="n">
        <f aca="false">-1+A6471*0.25</f>
        <v>1</v>
      </c>
      <c r="F6471" s="0" t="n">
        <f aca="false">-1+B6471*0.25</f>
        <v>0.75</v>
      </c>
      <c r="G6471" s="0" t="n">
        <f aca="false">-1+C6471*0.25</f>
        <v>0.75</v>
      </c>
      <c r="H6471" s="0" t="n">
        <f aca="false">-1+D6471*0.25</f>
        <v>0</v>
      </c>
      <c r="I6471" s="0" t="n">
        <f aca="false">1</f>
        <v>1</v>
      </c>
      <c r="J6471" s="0" t="n">
        <f aca="false">E6471</f>
        <v>1</v>
      </c>
      <c r="K6471" s="0" t="n">
        <f aca="false">F6471</f>
        <v>0.75</v>
      </c>
      <c r="L6471" s="0" t="n">
        <f aca="false">G6471</f>
        <v>0.75</v>
      </c>
      <c r="M6471" s="0" t="n">
        <f aca="false">H6471</f>
        <v>0</v>
      </c>
      <c r="N6471" s="0" t="n">
        <f aca="false">E6471*F6471</f>
        <v>0.75</v>
      </c>
      <c r="O6471" s="0" t="n">
        <f aca="false">E6471*G6471</f>
        <v>0.75</v>
      </c>
      <c r="P6471" s="0" t="n">
        <f aca="false">E6471*H6471</f>
        <v>0</v>
      </c>
      <c r="Q6471" s="0" t="n">
        <f aca="false">F6471*G6471</f>
        <v>0.5625</v>
      </c>
      <c r="R6471" s="0" t="n">
        <f aca="false">F6471*H6471</f>
        <v>0</v>
      </c>
      <c r="S6471" s="0" t="n">
        <f aca="false">G6471*H6471</f>
        <v>0</v>
      </c>
      <c r="T6471" s="0" t="n">
        <f aca="false">E6471*E6471</f>
        <v>1</v>
      </c>
      <c r="U6471" s="0" t="n">
        <f aca="false">F6471*F6471</f>
        <v>0.5625</v>
      </c>
      <c r="V6471" s="0" t="n">
        <f aca="false">G6471*G6471</f>
        <v>0.5625</v>
      </c>
      <c r="W6471" s="0" t="n">
        <f aca="false">H6471*H6471</f>
        <v>0</v>
      </c>
      <c r="X6471" s="0" t="n">
        <f aca="false">SUMPRODUCT(I6471:W6471,_XtX!$B$96:$P$96)</f>
        <v>48.3348455774854</v>
      </c>
      <c r="Y6471" s="0" t="n">
        <f aca="false">SUMPRODUCT(MMULT(I6471:W6471,_XtX!$B$78:$P$92),I6471:W6471)</f>
        <v>0.494259126005117</v>
      </c>
      <c r="Z6471" s="0" t="n">
        <f aca="false">04_回帰ANOVA!$K$19*04_回帰ANOVA!$K$14*SQRT(1+Y6471)</f>
        <v>1.59335061078203</v>
      </c>
      <c r="AA6471" s="0" t="n">
        <f aca="false">X6471-Z6471</f>
        <v>46.7414949667034</v>
      </c>
      <c r="AB6471" s="0" t="n">
        <f aca="false">X6471+Z6471</f>
        <v>49.9281961882674</v>
      </c>
      <c r="AC6471" s="54" t="b">
        <f aca="false">AND(E6471&gt;=01_因子設定!$L$5-0.000000001,E6471&lt;=01_因子設定!$M$5+0.000000001,F6471&gt;=01_因子設定!$L$6-0.000000001,F6471&lt;=01_因子設定!$M$6+0.000000001,G6471&gt;=01_因子設定!$L$7-0.000000001,G6471&lt;=01_因子設定!$M$7+0.000000001,H6471&gt;=01_因子設定!$L$8-0.000000001,H6471&lt;=01_因子設定!$M$8+0.000000001,IF(01_因子設定!$B$20="Box-Behnken",E6471^2+F6471^2+G6471^2+H6471^2&lt;=2+0.000000001,TRUE()))</f>
        <v>1</v>
      </c>
      <c r="AD6471" s="55" t="n">
        <f aca="false">IF(AC6471,IF(01_因子設定!$B$13="最大化",AA6471-01_因子設定!$B$14,IF(01_因子設定!$B$13="最小化",01_因子設定!$B$15-AB6471,MIN(AA6471-01_因子設定!$B$14,01_因子設定!$B$15-AB6471))),-1E+030)</f>
        <v>0.241494966703378</v>
      </c>
      <c r="AE6471" s="55" t="n">
        <f aca="false">IF(AC6471,IF(01_因子設定!$B$13="最大化",X6471,IF(01_因子設定!$B$13="最小化",-X6471,-ABS(X6471-01_因子設定!$B$16))),-1E+030)</f>
        <v>48.3348455774854</v>
      </c>
      <c r="AF6471" s="55" t="n">
        <f aca="false">AD6471+ROW()*0.000000001</f>
        <v>0.241501437703378</v>
      </c>
      <c r="AG6471" s="55" t="n">
        <f aca="false">AE6471+ROW()*0.000000001</f>
        <v>48.3348520484854</v>
      </c>
    </row>
    <row r="6472" customFormat="false" ht="15" hidden="false" customHeight="false" outlineLevel="0" collapsed="false">
      <c r="A6472" s="0" t="n">
        <v>8</v>
      </c>
      <c r="B6472" s="0" t="n">
        <v>7</v>
      </c>
      <c r="C6472" s="0" t="n">
        <v>7</v>
      </c>
      <c r="D6472" s="0" t="n">
        <v>5</v>
      </c>
      <c r="E6472" s="0" t="n">
        <f aca="false">-1+A6472*0.25</f>
        <v>1</v>
      </c>
      <c r="F6472" s="0" t="n">
        <f aca="false">-1+B6472*0.25</f>
        <v>0.75</v>
      </c>
      <c r="G6472" s="0" t="n">
        <f aca="false">-1+C6472*0.25</f>
        <v>0.75</v>
      </c>
      <c r="H6472" s="0" t="n">
        <f aca="false">-1+D6472*0.25</f>
        <v>0.25</v>
      </c>
      <c r="I6472" s="0" t="n">
        <f aca="false">1</f>
        <v>1</v>
      </c>
      <c r="J6472" s="0" t="n">
        <f aca="false">E6472</f>
        <v>1</v>
      </c>
      <c r="K6472" s="0" t="n">
        <f aca="false">F6472</f>
        <v>0.75</v>
      </c>
      <c r="L6472" s="0" t="n">
        <f aca="false">G6472</f>
        <v>0.75</v>
      </c>
      <c r="M6472" s="0" t="n">
        <f aca="false">H6472</f>
        <v>0.25</v>
      </c>
      <c r="N6472" s="0" t="n">
        <f aca="false">E6472*F6472</f>
        <v>0.75</v>
      </c>
      <c r="O6472" s="0" t="n">
        <f aca="false">E6472*G6472</f>
        <v>0.75</v>
      </c>
      <c r="P6472" s="0" t="n">
        <f aca="false">E6472*H6472</f>
        <v>0.25</v>
      </c>
      <c r="Q6472" s="0" t="n">
        <f aca="false">F6472*G6472</f>
        <v>0.5625</v>
      </c>
      <c r="R6472" s="0" t="n">
        <f aca="false">F6472*H6472</f>
        <v>0.1875</v>
      </c>
      <c r="S6472" s="0" t="n">
        <f aca="false">G6472*H6472</f>
        <v>0.1875</v>
      </c>
      <c r="T6472" s="0" t="n">
        <f aca="false">E6472*E6472</f>
        <v>1</v>
      </c>
      <c r="U6472" s="0" t="n">
        <f aca="false">F6472*F6472</f>
        <v>0.5625</v>
      </c>
      <c r="V6472" s="0" t="n">
        <f aca="false">G6472*G6472</f>
        <v>0.5625</v>
      </c>
      <c r="W6472" s="0" t="n">
        <f aca="false">H6472*H6472</f>
        <v>0.0625</v>
      </c>
      <c r="X6472" s="0" t="n">
        <f aca="false">SUMPRODUCT(I6472:W6472,_XtX!$B$96:$P$96)</f>
        <v>48.4576434576024</v>
      </c>
      <c r="Y6472" s="0" t="n">
        <f aca="false">SUMPRODUCT(MMULT(I6472:W6472,_XtX!$B$78:$P$92),I6472:W6472)</f>
        <v>0.473959761056287</v>
      </c>
      <c r="Z6472" s="0" t="n">
        <f aca="false">04_回帰ANOVA!$K$19*04_回帰ANOVA!$K$14*SQRT(1+Y6472)</f>
        <v>1.58249084588329</v>
      </c>
      <c r="AA6472" s="0" t="n">
        <f aca="false">X6472-Z6472</f>
        <v>46.8751526117191</v>
      </c>
      <c r="AB6472" s="0" t="n">
        <f aca="false">X6472+Z6472</f>
        <v>50.0401343034857</v>
      </c>
      <c r="AC6472" s="54" t="b">
        <f aca="false">AND(E6472&gt;=01_因子設定!$L$5-0.000000001,E6472&lt;=01_因子設定!$M$5+0.000000001,F6472&gt;=01_因子設定!$L$6-0.000000001,F6472&lt;=01_因子設定!$M$6+0.000000001,G6472&gt;=01_因子設定!$L$7-0.000000001,G6472&lt;=01_因子設定!$M$7+0.000000001,H6472&gt;=01_因子設定!$L$8-0.000000001,H6472&lt;=01_因子設定!$M$8+0.000000001,IF(01_因子設定!$B$20="Box-Behnken",E6472^2+F6472^2+G6472^2+H6472^2&lt;=2+0.000000001,TRUE()))</f>
        <v>1</v>
      </c>
      <c r="AD6472" s="55" t="n">
        <f aca="false">IF(AC6472,IF(01_因子設定!$B$13="最大化",AA6472-01_因子設定!$B$14,IF(01_因子設定!$B$13="最小化",01_因子設定!$B$15-AB6472,MIN(AA6472-01_因子設定!$B$14,01_因子設定!$B$15-AB6472))),-1E+030)</f>
        <v>0.375152611719081</v>
      </c>
      <c r="AE6472" s="55" t="n">
        <f aca="false">IF(AC6472,IF(01_因子設定!$B$13="最大化",X6472,IF(01_因子設定!$B$13="最小化",-X6472,-ABS(X6472-01_因子設定!$B$16))),-1E+030)</f>
        <v>48.4576434576024</v>
      </c>
      <c r="AF6472" s="55" t="n">
        <f aca="false">AD6472+ROW()*0.000000001</f>
        <v>0.375159083719081</v>
      </c>
      <c r="AG6472" s="55" t="n">
        <f aca="false">AE6472+ROW()*0.000000001</f>
        <v>48.4576499296024</v>
      </c>
    </row>
    <row r="6473" customFormat="false" ht="15" hidden="false" customHeight="false" outlineLevel="0" collapsed="false">
      <c r="A6473" s="0" t="n">
        <v>8</v>
      </c>
      <c r="B6473" s="0" t="n">
        <v>7</v>
      </c>
      <c r="C6473" s="0" t="n">
        <v>7</v>
      </c>
      <c r="D6473" s="0" t="n">
        <v>6</v>
      </c>
      <c r="E6473" s="0" t="n">
        <f aca="false">-1+A6473*0.25</f>
        <v>1</v>
      </c>
      <c r="F6473" s="0" t="n">
        <f aca="false">-1+B6473*0.25</f>
        <v>0.75</v>
      </c>
      <c r="G6473" s="0" t="n">
        <f aca="false">-1+C6473*0.25</f>
        <v>0.75</v>
      </c>
      <c r="H6473" s="0" t="n">
        <f aca="false">-1+D6473*0.25</f>
        <v>0.5</v>
      </c>
      <c r="I6473" s="0" t="n">
        <f aca="false">1</f>
        <v>1</v>
      </c>
      <c r="J6473" s="0" t="n">
        <f aca="false">E6473</f>
        <v>1</v>
      </c>
      <c r="K6473" s="0" t="n">
        <f aca="false">F6473</f>
        <v>0.75</v>
      </c>
      <c r="L6473" s="0" t="n">
        <f aca="false">G6473</f>
        <v>0.75</v>
      </c>
      <c r="M6473" s="0" t="n">
        <f aca="false">H6473</f>
        <v>0.5</v>
      </c>
      <c r="N6473" s="0" t="n">
        <f aca="false">E6473*F6473</f>
        <v>0.75</v>
      </c>
      <c r="O6473" s="0" t="n">
        <f aca="false">E6473*G6473</f>
        <v>0.75</v>
      </c>
      <c r="P6473" s="0" t="n">
        <f aca="false">E6473*H6473</f>
        <v>0.5</v>
      </c>
      <c r="Q6473" s="0" t="n">
        <f aca="false">F6473*G6473</f>
        <v>0.5625</v>
      </c>
      <c r="R6473" s="0" t="n">
        <f aca="false">F6473*H6473</f>
        <v>0.375</v>
      </c>
      <c r="S6473" s="0" t="n">
        <f aca="false">G6473*H6473</f>
        <v>0.375</v>
      </c>
      <c r="T6473" s="0" t="n">
        <f aca="false">E6473*E6473</f>
        <v>1</v>
      </c>
      <c r="U6473" s="0" t="n">
        <f aca="false">F6473*F6473</f>
        <v>0.5625</v>
      </c>
      <c r="V6473" s="0" t="n">
        <f aca="false">G6473*G6473</f>
        <v>0.5625</v>
      </c>
      <c r="W6473" s="0" t="n">
        <f aca="false">H6473*H6473</f>
        <v>0.25</v>
      </c>
      <c r="X6473" s="0" t="n">
        <f aca="false">SUMPRODUCT(I6473:W6473,_XtX!$B$96:$P$96)</f>
        <v>48.5326343201755</v>
      </c>
      <c r="Y6473" s="0" t="n">
        <f aca="false">SUMPRODUCT(MMULT(I6473:W6473,_XtX!$B$78:$P$92),I6473:W6473)</f>
        <v>0.431153771472953</v>
      </c>
      <c r="Z6473" s="0" t="n">
        <f aca="false">04_回帰ANOVA!$K$19*04_回帰ANOVA!$K$14*SQRT(1+Y6473)</f>
        <v>1.55934259562563</v>
      </c>
      <c r="AA6473" s="0" t="n">
        <f aca="false">X6473-Z6473</f>
        <v>46.9732917245498</v>
      </c>
      <c r="AB6473" s="0" t="n">
        <f aca="false">X6473+Z6473</f>
        <v>50.0919769158011</v>
      </c>
      <c r="AC6473" s="54" t="b">
        <f aca="false">AND(E6473&gt;=01_因子設定!$L$5-0.000000001,E6473&lt;=01_因子設定!$M$5+0.000000001,F6473&gt;=01_因子設定!$L$6-0.000000001,F6473&lt;=01_因子設定!$M$6+0.000000001,G6473&gt;=01_因子設定!$L$7-0.000000001,G6473&lt;=01_因子設定!$M$7+0.000000001,H6473&gt;=01_因子設定!$L$8-0.000000001,H6473&lt;=01_因子設定!$M$8+0.000000001,IF(01_因子設定!$B$20="Box-Behnken",E6473^2+F6473^2+G6473^2+H6473^2&lt;=2+0.000000001,TRUE()))</f>
        <v>1</v>
      </c>
      <c r="AD6473" s="55" t="n">
        <f aca="false">IF(AC6473,IF(01_因子設定!$B$13="最大化",AA6473-01_因子設定!$B$14,IF(01_因子設定!$B$13="最小化",01_因子設定!$B$15-AB6473,MIN(AA6473-01_因子設定!$B$14,01_因子設定!$B$15-AB6473))),-1E+030)</f>
        <v>0.473291724549846</v>
      </c>
      <c r="AE6473" s="55" t="n">
        <f aca="false">IF(AC6473,IF(01_因子設定!$B$13="最大化",X6473,IF(01_因子設定!$B$13="最小化",-X6473,-ABS(X6473-01_因子設定!$B$16))),-1E+030)</f>
        <v>48.5326343201755</v>
      </c>
      <c r="AF6473" s="55" t="n">
        <f aca="false">AD6473+ROW()*0.000000001</f>
        <v>0.473298197549846</v>
      </c>
      <c r="AG6473" s="55" t="n">
        <f aca="false">AE6473+ROW()*0.000000001</f>
        <v>48.5326407931755</v>
      </c>
    </row>
    <row r="6474" customFormat="false" ht="15" hidden="false" customHeight="false" outlineLevel="0" collapsed="false">
      <c r="A6474" s="0" t="n">
        <v>8</v>
      </c>
      <c r="B6474" s="0" t="n">
        <v>7</v>
      </c>
      <c r="C6474" s="0" t="n">
        <v>7</v>
      </c>
      <c r="D6474" s="0" t="n">
        <v>7</v>
      </c>
      <c r="E6474" s="0" t="n">
        <f aca="false">-1+A6474*0.25</f>
        <v>1</v>
      </c>
      <c r="F6474" s="0" t="n">
        <f aca="false">-1+B6474*0.25</f>
        <v>0.75</v>
      </c>
      <c r="G6474" s="0" t="n">
        <f aca="false">-1+C6474*0.25</f>
        <v>0.75</v>
      </c>
      <c r="H6474" s="0" t="n">
        <f aca="false">-1+D6474*0.25</f>
        <v>0.75</v>
      </c>
      <c r="I6474" s="0" t="n">
        <f aca="false">1</f>
        <v>1</v>
      </c>
      <c r="J6474" s="0" t="n">
        <f aca="false">E6474</f>
        <v>1</v>
      </c>
      <c r="K6474" s="0" t="n">
        <f aca="false">F6474</f>
        <v>0.75</v>
      </c>
      <c r="L6474" s="0" t="n">
        <f aca="false">G6474</f>
        <v>0.75</v>
      </c>
      <c r="M6474" s="0" t="n">
        <f aca="false">H6474</f>
        <v>0.75</v>
      </c>
      <c r="N6474" s="0" t="n">
        <f aca="false">E6474*F6474</f>
        <v>0.75</v>
      </c>
      <c r="O6474" s="0" t="n">
        <f aca="false">E6474*G6474</f>
        <v>0.75</v>
      </c>
      <c r="P6474" s="0" t="n">
        <f aca="false">E6474*H6474</f>
        <v>0.75</v>
      </c>
      <c r="Q6474" s="0" t="n">
        <f aca="false">F6474*G6474</f>
        <v>0.5625</v>
      </c>
      <c r="R6474" s="0" t="n">
        <f aca="false">F6474*H6474</f>
        <v>0.5625</v>
      </c>
      <c r="S6474" s="0" t="n">
        <f aca="false">G6474*H6474</f>
        <v>0.5625</v>
      </c>
      <c r="T6474" s="0" t="n">
        <f aca="false">E6474*E6474</f>
        <v>1</v>
      </c>
      <c r="U6474" s="0" t="n">
        <f aca="false">F6474*F6474</f>
        <v>0.5625</v>
      </c>
      <c r="V6474" s="0" t="n">
        <f aca="false">G6474*G6474</f>
        <v>0.5625</v>
      </c>
      <c r="W6474" s="0" t="n">
        <f aca="false">H6474*H6474</f>
        <v>0.5625</v>
      </c>
      <c r="X6474" s="0" t="n">
        <f aca="false">SUMPRODUCT(I6474:W6474,_XtX!$B$96:$P$96)</f>
        <v>48.5598181652047</v>
      </c>
      <c r="Y6474" s="0" t="n">
        <f aca="false">SUMPRODUCT(MMULT(I6474:W6474,_XtX!$B$78:$P$92),I6474:W6474)</f>
        <v>0.420117473044591</v>
      </c>
      <c r="Z6474" s="0" t="n">
        <f aca="false">04_回帰ANOVA!$K$19*04_回帰ANOVA!$K$14*SQRT(1+Y6474)</f>
        <v>1.55331854827765</v>
      </c>
      <c r="AA6474" s="0" t="n">
        <f aca="false">X6474-Z6474</f>
        <v>47.0064996169271</v>
      </c>
      <c r="AB6474" s="0" t="n">
        <f aca="false">X6474+Z6474</f>
        <v>50.1131367134824</v>
      </c>
      <c r="AC6474" s="54" t="b">
        <f aca="false">AND(E6474&gt;=01_因子設定!$L$5-0.000000001,E6474&lt;=01_因子設定!$M$5+0.000000001,F6474&gt;=01_因子設定!$L$6-0.000000001,F6474&lt;=01_因子設定!$M$6+0.000000001,G6474&gt;=01_因子設定!$L$7-0.000000001,G6474&lt;=01_因子設定!$M$7+0.000000001,H6474&gt;=01_因子設定!$L$8-0.000000001,H6474&lt;=01_因子設定!$M$8+0.000000001,IF(01_因子設定!$B$20="Box-Behnken",E6474^2+F6474^2+G6474^2+H6474^2&lt;=2+0.000000001,TRUE()))</f>
        <v>1</v>
      </c>
      <c r="AD6474" s="55" t="n">
        <f aca="false">IF(AC6474,IF(01_因子設定!$B$13="最大化",AA6474-01_因子設定!$B$14,IF(01_因子設定!$B$13="最小化",01_因子設定!$B$15-AB6474,MIN(AA6474-01_因子設定!$B$14,01_因子設定!$B$15-AB6474))),-1E+030)</f>
        <v>0.50649961692708</v>
      </c>
      <c r="AE6474" s="55" t="n">
        <f aca="false">IF(AC6474,IF(01_因子設定!$B$13="最大化",X6474,IF(01_因子設定!$B$13="最小化",-X6474,-ABS(X6474-01_因子設定!$B$16))),-1E+030)</f>
        <v>48.5598181652047</v>
      </c>
      <c r="AF6474" s="55" t="n">
        <f aca="false">AD6474+ROW()*0.000000001</f>
        <v>0.50650609092708</v>
      </c>
      <c r="AG6474" s="55" t="n">
        <f aca="false">AE6474+ROW()*0.000000001</f>
        <v>48.5598246392047</v>
      </c>
    </row>
    <row r="6475" customFormat="false" ht="15" hidden="false" customHeight="false" outlineLevel="0" collapsed="false">
      <c r="A6475" s="0" t="n">
        <v>8</v>
      </c>
      <c r="B6475" s="0" t="n">
        <v>7</v>
      </c>
      <c r="C6475" s="0" t="n">
        <v>7</v>
      </c>
      <c r="D6475" s="0" t="n">
        <v>8</v>
      </c>
      <c r="E6475" s="0" t="n">
        <f aca="false">-1+A6475*0.25</f>
        <v>1</v>
      </c>
      <c r="F6475" s="0" t="n">
        <f aca="false">-1+B6475*0.25</f>
        <v>0.75</v>
      </c>
      <c r="G6475" s="0" t="n">
        <f aca="false">-1+C6475*0.25</f>
        <v>0.75</v>
      </c>
      <c r="H6475" s="0" t="n">
        <f aca="false">-1+D6475*0.25</f>
        <v>1</v>
      </c>
      <c r="I6475" s="0" t="n">
        <f aca="false">1</f>
        <v>1</v>
      </c>
      <c r="J6475" s="0" t="n">
        <f aca="false">E6475</f>
        <v>1</v>
      </c>
      <c r="K6475" s="0" t="n">
        <f aca="false">F6475</f>
        <v>0.75</v>
      </c>
      <c r="L6475" s="0" t="n">
        <f aca="false">G6475</f>
        <v>0.75</v>
      </c>
      <c r="M6475" s="0" t="n">
        <f aca="false">H6475</f>
        <v>1</v>
      </c>
      <c r="N6475" s="0" t="n">
        <f aca="false">E6475*F6475</f>
        <v>0.75</v>
      </c>
      <c r="O6475" s="0" t="n">
        <f aca="false">E6475*G6475</f>
        <v>0.75</v>
      </c>
      <c r="P6475" s="0" t="n">
        <f aca="false">E6475*H6475</f>
        <v>1</v>
      </c>
      <c r="Q6475" s="0" t="n">
        <f aca="false">F6475*G6475</f>
        <v>0.5625</v>
      </c>
      <c r="R6475" s="0" t="n">
        <f aca="false">F6475*H6475</f>
        <v>0.75</v>
      </c>
      <c r="S6475" s="0" t="n">
        <f aca="false">G6475*H6475</f>
        <v>0.75</v>
      </c>
      <c r="T6475" s="0" t="n">
        <f aca="false">E6475*E6475</f>
        <v>1</v>
      </c>
      <c r="U6475" s="0" t="n">
        <f aca="false">F6475*F6475</f>
        <v>0.5625</v>
      </c>
      <c r="V6475" s="0" t="n">
        <f aca="false">G6475*G6475</f>
        <v>0.5625</v>
      </c>
      <c r="W6475" s="0" t="n">
        <f aca="false">H6475*H6475</f>
        <v>1</v>
      </c>
      <c r="X6475" s="0" t="n">
        <f aca="false">SUMPRODUCT(I6475:W6475,_XtX!$B$96:$P$96)</f>
        <v>48.5391949926901</v>
      </c>
      <c r="Y6475" s="0" t="n">
        <f aca="false">SUMPRODUCT(MMULT(I6475:W6475,_XtX!$B$78:$P$92),I6475:W6475)</f>
        <v>0.531311392086988</v>
      </c>
      <c r="Z6475" s="0" t="n">
        <f aca="false">04_回帰ANOVA!$K$19*04_回帰ANOVA!$K$14*SQRT(1+Y6475)</f>
        <v>1.61298433431428</v>
      </c>
      <c r="AA6475" s="0" t="n">
        <f aca="false">X6475-Z6475</f>
        <v>46.9262106583758</v>
      </c>
      <c r="AB6475" s="0" t="n">
        <f aca="false">X6475+Z6475</f>
        <v>50.1521793270044</v>
      </c>
      <c r="AC6475" s="54" t="b">
        <f aca="false">AND(E6475&gt;=01_因子設定!$L$5-0.000000001,E6475&lt;=01_因子設定!$M$5+0.000000001,F6475&gt;=01_因子設定!$L$6-0.000000001,F6475&lt;=01_因子設定!$M$6+0.000000001,G6475&gt;=01_因子設定!$L$7-0.000000001,G6475&lt;=01_因子設定!$M$7+0.000000001,H6475&gt;=01_因子設定!$L$8-0.000000001,H6475&lt;=01_因子設定!$M$8+0.000000001,IF(01_因子設定!$B$20="Box-Behnken",E6475^2+F6475^2+G6475^2+H6475^2&lt;=2+0.000000001,TRUE()))</f>
        <v>1</v>
      </c>
      <c r="AD6475" s="55" t="n">
        <f aca="false">IF(AC6475,IF(01_因子設定!$B$13="最大化",AA6475-01_因子設定!$B$14,IF(01_因子設定!$B$13="最小化",01_因子設定!$B$15-AB6475,MIN(AA6475-01_因子設定!$B$14,01_因子設定!$B$15-AB6475))),-1E+030)</f>
        <v>0.426210658375837</v>
      </c>
      <c r="AE6475" s="55" t="n">
        <f aca="false">IF(AC6475,IF(01_因子設定!$B$13="最大化",X6475,IF(01_因子設定!$B$13="最小化",-X6475,-ABS(X6475-01_因子設定!$B$16))),-1E+030)</f>
        <v>48.5391949926901</v>
      </c>
      <c r="AF6475" s="55" t="n">
        <f aca="false">AD6475+ROW()*0.000000001</f>
        <v>0.426217133375837</v>
      </c>
      <c r="AG6475" s="55" t="n">
        <f aca="false">AE6475+ROW()*0.000000001</f>
        <v>48.5392014676901</v>
      </c>
    </row>
    <row r="6476" customFormat="false" ht="15" hidden="false" customHeight="false" outlineLevel="0" collapsed="false">
      <c r="A6476" s="0" t="n">
        <v>8</v>
      </c>
      <c r="B6476" s="0" t="n">
        <v>7</v>
      </c>
      <c r="C6476" s="0" t="n">
        <v>8</v>
      </c>
      <c r="D6476" s="0" t="n">
        <v>0</v>
      </c>
      <c r="E6476" s="0" t="n">
        <f aca="false">-1+A6476*0.25</f>
        <v>1</v>
      </c>
      <c r="F6476" s="0" t="n">
        <f aca="false">-1+B6476*0.25</f>
        <v>0.75</v>
      </c>
      <c r="G6476" s="0" t="n">
        <f aca="false">-1+C6476*0.25</f>
        <v>1</v>
      </c>
      <c r="H6476" s="0" t="n">
        <f aca="false">-1+D6476*0.25</f>
        <v>-1</v>
      </c>
      <c r="I6476" s="0" t="n">
        <f aca="false">1</f>
        <v>1</v>
      </c>
      <c r="J6476" s="0" t="n">
        <f aca="false">E6476</f>
        <v>1</v>
      </c>
      <c r="K6476" s="0" t="n">
        <f aca="false">F6476</f>
        <v>0.75</v>
      </c>
      <c r="L6476" s="0" t="n">
        <f aca="false">G6476</f>
        <v>1</v>
      </c>
      <c r="M6476" s="0" t="n">
        <f aca="false">H6476</f>
        <v>-1</v>
      </c>
      <c r="N6476" s="0" t="n">
        <f aca="false">E6476*F6476</f>
        <v>0.75</v>
      </c>
      <c r="O6476" s="0" t="n">
        <f aca="false">E6476*G6476</f>
        <v>1</v>
      </c>
      <c r="P6476" s="0" t="n">
        <f aca="false">E6476*H6476</f>
        <v>-1</v>
      </c>
      <c r="Q6476" s="0" t="n">
        <f aca="false">F6476*G6476</f>
        <v>0.75</v>
      </c>
      <c r="R6476" s="0" t="n">
        <f aca="false">F6476*H6476</f>
        <v>-0.75</v>
      </c>
      <c r="S6476" s="0" t="n">
        <f aca="false">G6476*H6476</f>
        <v>-1</v>
      </c>
      <c r="T6476" s="0" t="n">
        <f aca="false">E6476*E6476</f>
        <v>1</v>
      </c>
      <c r="U6476" s="0" t="n">
        <f aca="false">F6476*F6476</f>
        <v>0.5625</v>
      </c>
      <c r="V6476" s="0" t="n">
        <f aca="false">G6476*G6476</f>
        <v>1</v>
      </c>
      <c r="W6476" s="0" t="n">
        <f aca="false">H6476*H6476</f>
        <v>1</v>
      </c>
      <c r="X6476" s="0" t="n">
        <f aca="false">SUMPRODUCT(I6476:W6476,_XtX!$B$96:$P$96)</f>
        <v>47.1370614035088</v>
      </c>
      <c r="Y6476" s="0" t="n">
        <f aca="false">SUMPRODUCT(MMULT(I6476:W6476,_XtX!$B$78:$P$92),I6476:W6476)</f>
        <v>0.610814144736842</v>
      </c>
      <c r="Z6476" s="0" t="n">
        <f aca="false">04_回帰ANOVA!$K$19*04_回帰ANOVA!$K$14*SQRT(1+Y6476)</f>
        <v>1.6543260558361</v>
      </c>
      <c r="AA6476" s="0" t="n">
        <f aca="false">X6476-Z6476</f>
        <v>45.4827353476727</v>
      </c>
      <c r="AB6476" s="0" t="n">
        <f aca="false">X6476+Z6476</f>
        <v>48.7913874593449</v>
      </c>
      <c r="AC6476" s="54" t="b">
        <f aca="false">AND(E6476&gt;=01_因子設定!$L$5-0.000000001,E6476&lt;=01_因子設定!$M$5+0.000000001,F6476&gt;=01_因子設定!$L$6-0.000000001,F6476&lt;=01_因子設定!$M$6+0.000000001,G6476&gt;=01_因子設定!$L$7-0.000000001,G6476&lt;=01_因子設定!$M$7+0.000000001,H6476&gt;=01_因子設定!$L$8-0.000000001,H6476&lt;=01_因子設定!$M$8+0.000000001,IF(01_因子設定!$B$20="Box-Behnken",E6476^2+F6476^2+G6476^2+H6476^2&lt;=2+0.000000001,TRUE()))</f>
        <v>1</v>
      </c>
      <c r="AD6476" s="55" t="n">
        <f aca="false">IF(AC6476,IF(01_因子設定!$B$13="最大化",AA6476-01_因子設定!$B$14,IF(01_因子設定!$B$13="最小化",01_因子設定!$B$15-AB6476,MIN(AA6476-01_因子設定!$B$14,01_因子設定!$B$15-AB6476))),-1E+030)</f>
        <v>-1.01726465232726</v>
      </c>
      <c r="AE6476" s="55" t="n">
        <f aca="false">IF(AC6476,IF(01_因子設定!$B$13="最大化",X6476,IF(01_因子設定!$B$13="最小化",-X6476,-ABS(X6476-01_因子設定!$B$16))),-1E+030)</f>
        <v>47.1370614035088</v>
      </c>
      <c r="AF6476" s="55" t="n">
        <f aca="false">AD6476+ROW()*0.000000001</f>
        <v>-1.01725817632726</v>
      </c>
      <c r="AG6476" s="55" t="n">
        <f aca="false">AE6476+ROW()*0.000000001</f>
        <v>47.1370678795088</v>
      </c>
    </row>
    <row r="6477" customFormat="false" ht="15" hidden="false" customHeight="false" outlineLevel="0" collapsed="false">
      <c r="A6477" s="0" t="n">
        <v>8</v>
      </c>
      <c r="B6477" s="0" t="n">
        <v>7</v>
      </c>
      <c r="C6477" s="0" t="n">
        <v>8</v>
      </c>
      <c r="D6477" s="0" t="n">
        <v>1</v>
      </c>
      <c r="E6477" s="0" t="n">
        <f aca="false">-1+A6477*0.25</f>
        <v>1</v>
      </c>
      <c r="F6477" s="0" t="n">
        <f aca="false">-1+B6477*0.25</f>
        <v>0.75</v>
      </c>
      <c r="G6477" s="0" t="n">
        <f aca="false">-1+C6477*0.25</f>
        <v>1</v>
      </c>
      <c r="H6477" s="0" t="n">
        <f aca="false">-1+D6477*0.25</f>
        <v>-0.75</v>
      </c>
      <c r="I6477" s="0" t="n">
        <f aca="false">1</f>
        <v>1</v>
      </c>
      <c r="J6477" s="0" t="n">
        <f aca="false">E6477</f>
        <v>1</v>
      </c>
      <c r="K6477" s="0" t="n">
        <f aca="false">F6477</f>
        <v>0.75</v>
      </c>
      <c r="L6477" s="0" t="n">
        <f aca="false">G6477</f>
        <v>1</v>
      </c>
      <c r="M6477" s="0" t="n">
        <f aca="false">H6477</f>
        <v>-0.75</v>
      </c>
      <c r="N6477" s="0" t="n">
        <f aca="false">E6477*F6477</f>
        <v>0.75</v>
      </c>
      <c r="O6477" s="0" t="n">
        <f aca="false">E6477*G6477</f>
        <v>1</v>
      </c>
      <c r="P6477" s="0" t="n">
        <f aca="false">E6477*H6477</f>
        <v>-0.75</v>
      </c>
      <c r="Q6477" s="0" t="n">
        <f aca="false">F6477*G6477</f>
        <v>0.75</v>
      </c>
      <c r="R6477" s="0" t="n">
        <f aca="false">F6477*H6477</f>
        <v>-0.5625</v>
      </c>
      <c r="S6477" s="0" t="n">
        <f aca="false">G6477*H6477</f>
        <v>-0.75</v>
      </c>
      <c r="T6477" s="0" t="n">
        <f aca="false">E6477*E6477</f>
        <v>1</v>
      </c>
      <c r="U6477" s="0" t="n">
        <f aca="false">F6477*F6477</f>
        <v>0.5625</v>
      </c>
      <c r="V6477" s="0" t="n">
        <f aca="false">G6477*G6477</f>
        <v>1</v>
      </c>
      <c r="W6477" s="0" t="n">
        <f aca="false">H6477*H6477</f>
        <v>0.5625</v>
      </c>
      <c r="X6477" s="0" t="n">
        <f aca="false">SUMPRODUCT(I6477:W6477,_XtX!$B$96:$P$96)</f>
        <v>47.4690561038012</v>
      </c>
      <c r="Y6477" s="0" t="n">
        <f aca="false">SUMPRODUCT(MMULT(I6477:W6477,_XtX!$B$78:$P$92),I6477:W6477)</f>
        <v>0.531311392086988</v>
      </c>
      <c r="Z6477" s="0" t="n">
        <f aca="false">04_回帰ANOVA!$K$19*04_回帰ANOVA!$K$14*SQRT(1+Y6477)</f>
        <v>1.61298433431428</v>
      </c>
      <c r="AA6477" s="0" t="n">
        <f aca="false">X6477-Z6477</f>
        <v>45.8560717694869</v>
      </c>
      <c r="AB6477" s="0" t="n">
        <f aca="false">X6477+Z6477</f>
        <v>49.0820404381155</v>
      </c>
      <c r="AC6477" s="54" t="b">
        <f aca="false">AND(E6477&gt;=01_因子設定!$L$5-0.000000001,E6477&lt;=01_因子設定!$M$5+0.000000001,F6477&gt;=01_因子設定!$L$6-0.000000001,F6477&lt;=01_因子設定!$M$6+0.000000001,G6477&gt;=01_因子設定!$L$7-0.000000001,G6477&lt;=01_因子設定!$M$7+0.000000001,H6477&gt;=01_因子設定!$L$8-0.000000001,H6477&lt;=01_因子設定!$M$8+0.000000001,IF(01_因子設定!$B$20="Box-Behnken",E6477^2+F6477^2+G6477^2+H6477^2&lt;=2+0.000000001,TRUE()))</f>
        <v>1</v>
      </c>
      <c r="AD6477" s="55" t="n">
        <f aca="false">IF(AC6477,IF(01_因子設定!$B$13="最大化",AA6477-01_因子設定!$B$14,IF(01_因子設定!$B$13="最小化",01_因子設定!$B$15-AB6477,MIN(AA6477-01_因子設定!$B$14,01_因子設定!$B$15-AB6477))),-1E+030)</f>
        <v>-0.643928230513062</v>
      </c>
      <c r="AE6477" s="55" t="n">
        <f aca="false">IF(AC6477,IF(01_因子設定!$B$13="最大化",X6477,IF(01_因子設定!$B$13="最小化",-X6477,-ABS(X6477-01_因子設定!$B$16))),-1E+030)</f>
        <v>47.4690561038012</v>
      </c>
      <c r="AF6477" s="55" t="n">
        <f aca="false">AD6477+ROW()*0.000000001</f>
        <v>-0.643921753513062</v>
      </c>
      <c r="AG6477" s="55" t="n">
        <f aca="false">AE6477+ROW()*0.000000001</f>
        <v>47.4690625808012</v>
      </c>
    </row>
    <row r="6478" customFormat="false" ht="15" hidden="false" customHeight="false" outlineLevel="0" collapsed="false">
      <c r="A6478" s="0" t="n">
        <v>8</v>
      </c>
      <c r="B6478" s="0" t="n">
        <v>7</v>
      </c>
      <c r="C6478" s="0" t="n">
        <v>8</v>
      </c>
      <c r="D6478" s="0" t="n">
        <v>2</v>
      </c>
      <c r="E6478" s="0" t="n">
        <f aca="false">-1+A6478*0.25</f>
        <v>1</v>
      </c>
      <c r="F6478" s="0" t="n">
        <f aca="false">-1+B6478*0.25</f>
        <v>0.75</v>
      </c>
      <c r="G6478" s="0" t="n">
        <f aca="false">-1+C6478*0.25</f>
        <v>1</v>
      </c>
      <c r="H6478" s="0" t="n">
        <f aca="false">-1+D6478*0.25</f>
        <v>-0.5</v>
      </c>
      <c r="I6478" s="0" t="n">
        <f aca="false">1</f>
        <v>1</v>
      </c>
      <c r="J6478" s="0" t="n">
        <f aca="false">E6478</f>
        <v>1</v>
      </c>
      <c r="K6478" s="0" t="n">
        <f aca="false">F6478</f>
        <v>0.75</v>
      </c>
      <c r="L6478" s="0" t="n">
        <f aca="false">G6478</f>
        <v>1</v>
      </c>
      <c r="M6478" s="0" t="n">
        <f aca="false">H6478</f>
        <v>-0.5</v>
      </c>
      <c r="N6478" s="0" t="n">
        <f aca="false">E6478*F6478</f>
        <v>0.75</v>
      </c>
      <c r="O6478" s="0" t="n">
        <f aca="false">E6478*G6478</f>
        <v>1</v>
      </c>
      <c r="P6478" s="0" t="n">
        <f aca="false">E6478*H6478</f>
        <v>-0.5</v>
      </c>
      <c r="Q6478" s="0" t="n">
        <f aca="false">F6478*G6478</f>
        <v>0.75</v>
      </c>
      <c r="R6478" s="0" t="n">
        <f aca="false">F6478*H6478</f>
        <v>-0.375</v>
      </c>
      <c r="S6478" s="0" t="n">
        <f aca="false">G6478*H6478</f>
        <v>-0.5</v>
      </c>
      <c r="T6478" s="0" t="n">
        <f aca="false">E6478*E6478</f>
        <v>1</v>
      </c>
      <c r="U6478" s="0" t="n">
        <f aca="false">F6478*F6478</f>
        <v>0.5625</v>
      </c>
      <c r="V6478" s="0" t="n">
        <f aca="false">G6478*G6478</f>
        <v>1</v>
      </c>
      <c r="W6478" s="0" t="n">
        <f aca="false">H6478*H6478</f>
        <v>0.25</v>
      </c>
      <c r="X6478" s="0" t="n">
        <f aca="false">SUMPRODUCT(I6478:W6478,_XtX!$B$96:$P$96)</f>
        <v>47.7532437865497</v>
      </c>
      <c r="Y6478" s="0" t="n">
        <f aca="false">SUMPRODUCT(MMULT(I6478:W6478,_XtX!$B$78:$P$92),I6478:W6478)</f>
        <v>0.564984237938597</v>
      </c>
      <c r="Z6478" s="0" t="n">
        <f aca="false">04_回帰ANOVA!$K$19*04_回帰ANOVA!$K$14*SQRT(1+Y6478)</f>
        <v>1.63062229734503</v>
      </c>
      <c r="AA6478" s="0" t="n">
        <f aca="false">X6478-Z6478</f>
        <v>46.1226214892047</v>
      </c>
      <c r="AB6478" s="0" t="n">
        <f aca="false">X6478+Z6478</f>
        <v>49.3838660838948</v>
      </c>
      <c r="AC6478" s="54" t="b">
        <f aca="false">AND(E6478&gt;=01_因子設定!$L$5-0.000000001,E6478&lt;=01_因子設定!$M$5+0.000000001,F6478&gt;=01_因子設定!$L$6-0.000000001,F6478&lt;=01_因子設定!$M$6+0.000000001,G6478&gt;=01_因子設定!$L$7-0.000000001,G6478&lt;=01_因子設定!$M$7+0.000000001,H6478&gt;=01_因子設定!$L$8-0.000000001,H6478&lt;=01_因子設定!$M$8+0.000000001,IF(01_因子設定!$B$20="Box-Behnken",E6478^2+F6478^2+G6478^2+H6478^2&lt;=2+0.000000001,TRUE()))</f>
        <v>1</v>
      </c>
      <c r="AD6478" s="55" t="n">
        <f aca="false">IF(AC6478,IF(01_因子設定!$B$13="最大化",AA6478-01_因子設定!$B$14,IF(01_因子設定!$B$13="最小化",01_因子設定!$B$15-AB6478,MIN(AA6478-01_因子設定!$B$14,01_因子設定!$B$15-AB6478))),-1E+030)</f>
        <v>-0.377378510795289</v>
      </c>
      <c r="AE6478" s="55" t="n">
        <f aca="false">IF(AC6478,IF(01_因子設定!$B$13="最大化",X6478,IF(01_因子設定!$B$13="最小化",-X6478,-ABS(X6478-01_因子設定!$B$16))),-1E+030)</f>
        <v>47.7532437865497</v>
      </c>
      <c r="AF6478" s="55" t="n">
        <f aca="false">AD6478+ROW()*0.000000001</f>
        <v>-0.377372032795289</v>
      </c>
      <c r="AG6478" s="55" t="n">
        <f aca="false">AE6478+ROW()*0.000000001</f>
        <v>47.7532502645498</v>
      </c>
    </row>
    <row r="6479" customFormat="false" ht="15" hidden="false" customHeight="false" outlineLevel="0" collapsed="false">
      <c r="A6479" s="0" t="n">
        <v>8</v>
      </c>
      <c r="B6479" s="0" t="n">
        <v>7</v>
      </c>
      <c r="C6479" s="0" t="n">
        <v>8</v>
      </c>
      <c r="D6479" s="0" t="n">
        <v>3</v>
      </c>
      <c r="E6479" s="0" t="n">
        <f aca="false">-1+A6479*0.25</f>
        <v>1</v>
      </c>
      <c r="F6479" s="0" t="n">
        <f aca="false">-1+B6479*0.25</f>
        <v>0.75</v>
      </c>
      <c r="G6479" s="0" t="n">
        <f aca="false">-1+C6479*0.25</f>
        <v>1</v>
      </c>
      <c r="H6479" s="0" t="n">
        <f aca="false">-1+D6479*0.25</f>
        <v>-0.25</v>
      </c>
      <c r="I6479" s="0" t="n">
        <f aca="false">1</f>
        <v>1</v>
      </c>
      <c r="J6479" s="0" t="n">
        <f aca="false">E6479</f>
        <v>1</v>
      </c>
      <c r="K6479" s="0" t="n">
        <f aca="false">F6479</f>
        <v>0.75</v>
      </c>
      <c r="L6479" s="0" t="n">
        <f aca="false">G6479</f>
        <v>1</v>
      </c>
      <c r="M6479" s="0" t="n">
        <f aca="false">H6479</f>
        <v>-0.25</v>
      </c>
      <c r="N6479" s="0" t="n">
        <f aca="false">E6479*F6479</f>
        <v>0.75</v>
      </c>
      <c r="O6479" s="0" t="n">
        <f aca="false">E6479*G6479</f>
        <v>1</v>
      </c>
      <c r="P6479" s="0" t="n">
        <f aca="false">E6479*H6479</f>
        <v>-0.25</v>
      </c>
      <c r="Q6479" s="0" t="n">
        <f aca="false">F6479*G6479</f>
        <v>0.75</v>
      </c>
      <c r="R6479" s="0" t="n">
        <f aca="false">F6479*H6479</f>
        <v>-0.1875</v>
      </c>
      <c r="S6479" s="0" t="n">
        <f aca="false">G6479*H6479</f>
        <v>-0.25</v>
      </c>
      <c r="T6479" s="0" t="n">
        <f aca="false">E6479*E6479</f>
        <v>1</v>
      </c>
      <c r="U6479" s="0" t="n">
        <f aca="false">F6479*F6479</f>
        <v>0.5625</v>
      </c>
      <c r="V6479" s="0" t="n">
        <f aca="false">G6479*G6479</f>
        <v>1</v>
      </c>
      <c r="W6479" s="0" t="n">
        <f aca="false">H6479*H6479</f>
        <v>0.0625</v>
      </c>
      <c r="X6479" s="0" t="n">
        <f aca="false">SUMPRODUCT(I6479:W6479,_XtX!$B$96:$P$96)</f>
        <v>47.9896244517544</v>
      </c>
      <c r="Y6479" s="0" t="n">
        <f aca="false">SUMPRODUCT(MMULT(I6479:W6479,_XtX!$B$78:$P$92),I6479:W6479)</f>
        <v>0.621372155975877</v>
      </c>
      <c r="Z6479" s="0" t="n">
        <f aca="false">04_回帰ANOVA!$K$19*04_回帰ANOVA!$K$14*SQRT(1+Y6479)</f>
        <v>1.65973880499872</v>
      </c>
      <c r="AA6479" s="0" t="n">
        <f aca="false">X6479-Z6479</f>
        <v>46.3298856467557</v>
      </c>
      <c r="AB6479" s="0" t="n">
        <f aca="false">X6479+Z6479</f>
        <v>49.6493632567531</v>
      </c>
      <c r="AC6479" s="54" t="b">
        <f aca="false">AND(E6479&gt;=01_因子設定!$L$5-0.000000001,E6479&lt;=01_因子設定!$M$5+0.000000001,F6479&gt;=01_因子設定!$L$6-0.000000001,F6479&lt;=01_因子設定!$M$6+0.000000001,G6479&gt;=01_因子設定!$L$7-0.000000001,G6479&lt;=01_因子設定!$M$7+0.000000001,H6479&gt;=01_因子設定!$L$8-0.000000001,H6479&lt;=01_因子設定!$M$8+0.000000001,IF(01_因子設定!$B$20="Box-Behnken",E6479^2+F6479^2+G6479^2+H6479^2&lt;=2+0.000000001,TRUE()))</f>
        <v>1</v>
      </c>
      <c r="AD6479" s="55" t="n">
        <f aca="false">IF(AC6479,IF(01_因子設定!$B$13="最大化",AA6479-01_因子設定!$B$14,IF(01_因子設定!$B$13="最小化",01_因子設定!$B$15-AB6479,MIN(AA6479-01_因子設定!$B$14,01_因子設定!$B$15-AB6479))),-1E+030)</f>
        <v>-0.170114353244301</v>
      </c>
      <c r="AE6479" s="55" t="n">
        <f aca="false">IF(AC6479,IF(01_因子設定!$B$13="最大化",X6479,IF(01_因子設定!$B$13="最小化",-X6479,-ABS(X6479-01_因子設定!$B$16))),-1E+030)</f>
        <v>47.9896244517544</v>
      </c>
      <c r="AF6479" s="55" t="n">
        <f aca="false">AD6479+ROW()*0.000000001</f>
        <v>-0.170107874244301</v>
      </c>
      <c r="AG6479" s="55" t="n">
        <f aca="false">AE6479+ROW()*0.000000001</f>
        <v>47.9896309307544</v>
      </c>
    </row>
    <row r="6480" customFormat="false" ht="15" hidden="false" customHeight="false" outlineLevel="0" collapsed="false">
      <c r="A6480" s="0" t="n">
        <v>8</v>
      </c>
      <c r="B6480" s="0" t="n">
        <v>7</v>
      </c>
      <c r="C6480" s="0" t="n">
        <v>8</v>
      </c>
      <c r="D6480" s="0" t="n">
        <v>4</v>
      </c>
      <c r="E6480" s="0" t="n">
        <f aca="false">-1+A6480*0.25</f>
        <v>1</v>
      </c>
      <c r="F6480" s="0" t="n">
        <f aca="false">-1+B6480*0.25</f>
        <v>0.75</v>
      </c>
      <c r="G6480" s="0" t="n">
        <f aca="false">-1+C6480*0.25</f>
        <v>1</v>
      </c>
      <c r="H6480" s="0" t="n">
        <f aca="false">-1+D6480*0.25</f>
        <v>0</v>
      </c>
      <c r="I6480" s="0" t="n">
        <f aca="false">1</f>
        <v>1</v>
      </c>
      <c r="J6480" s="0" t="n">
        <f aca="false">E6480</f>
        <v>1</v>
      </c>
      <c r="K6480" s="0" t="n">
        <f aca="false">F6480</f>
        <v>0.75</v>
      </c>
      <c r="L6480" s="0" t="n">
        <f aca="false">G6480</f>
        <v>1</v>
      </c>
      <c r="M6480" s="0" t="n">
        <f aca="false">H6480</f>
        <v>0</v>
      </c>
      <c r="N6480" s="0" t="n">
        <f aca="false">E6480*F6480</f>
        <v>0.75</v>
      </c>
      <c r="O6480" s="0" t="n">
        <f aca="false">E6480*G6480</f>
        <v>1</v>
      </c>
      <c r="P6480" s="0" t="n">
        <f aca="false">E6480*H6480</f>
        <v>0</v>
      </c>
      <c r="Q6480" s="0" t="n">
        <f aca="false">F6480*G6480</f>
        <v>0.75</v>
      </c>
      <c r="R6480" s="0" t="n">
        <f aca="false">F6480*H6480</f>
        <v>0</v>
      </c>
      <c r="S6480" s="0" t="n">
        <f aca="false">G6480*H6480</f>
        <v>0</v>
      </c>
      <c r="T6480" s="0" t="n">
        <f aca="false">E6480*E6480</f>
        <v>1</v>
      </c>
      <c r="U6480" s="0" t="n">
        <f aca="false">F6480*F6480</f>
        <v>0.5625</v>
      </c>
      <c r="V6480" s="0" t="n">
        <f aca="false">G6480*G6480</f>
        <v>1</v>
      </c>
      <c r="W6480" s="0" t="n">
        <f aca="false">H6480*H6480</f>
        <v>0</v>
      </c>
      <c r="X6480" s="0" t="n">
        <f aca="false">SUMPRODUCT(I6480:W6480,_XtX!$B$96:$P$96)</f>
        <v>48.1781980994152</v>
      </c>
      <c r="Y6480" s="0" t="n">
        <f aca="false">SUMPRODUCT(MMULT(I6480:W6480,_XtX!$B$78:$P$92),I6480:W6480)</f>
        <v>0.646198830409357</v>
      </c>
      <c r="Z6480" s="0" t="n">
        <f aca="false">04_回帰ANOVA!$K$19*04_回帰ANOVA!$K$14*SQRT(1+Y6480)</f>
        <v>1.67239760569756</v>
      </c>
      <c r="AA6480" s="0" t="n">
        <f aca="false">X6480-Z6480</f>
        <v>46.5058004937177</v>
      </c>
      <c r="AB6480" s="0" t="n">
        <f aca="false">X6480+Z6480</f>
        <v>49.8505957051128</v>
      </c>
      <c r="AC6480" s="54" t="b">
        <f aca="false">AND(E6480&gt;=01_因子設定!$L$5-0.000000001,E6480&lt;=01_因子設定!$M$5+0.000000001,F6480&gt;=01_因子設定!$L$6-0.000000001,F6480&lt;=01_因子設定!$M$6+0.000000001,G6480&gt;=01_因子設定!$L$7-0.000000001,G6480&lt;=01_因子設定!$M$7+0.000000001,H6480&gt;=01_因子設定!$L$8-0.000000001,H6480&lt;=01_因子設定!$M$8+0.000000001,IF(01_因子設定!$B$20="Box-Behnken",E6480^2+F6480^2+G6480^2+H6480^2&lt;=2+0.000000001,TRUE()))</f>
        <v>1</v>
      </c>
      <c r="AD6480" s="55" t="n">
        <f aca="false">IF(AC6480,IF(01_因子設定!$B$13="最大化",AA6480-01_因子設定!$B$14,IF(01_因子設定!$B$13="最小化",01_因子設定!$B$15-AB6480,MIN(AA6480-01_因子設定!$B$14,01_因子設定!$B$15-AB6480))),-1E+030)</f>
        <v>0.00580049371767899</v>
      </c>
      <c r="AE6480" s="55" t="n">
        <f aca="false">IF(AC6480,IF(01_因子設定!$B$13="最大化",X6480,IF(01_因子設定!$B$13="最小化",-X6480,-ABS(X6480-01_因子設定!$B$16))),-1E+030)</f>
        <v>48.1781980994152</v>
      </c>
      <c r="AF6480" s="55" t="n">
        <f aca="false">AD6480+ROW()*0.000000001</f>
        <v>0.00580697371767899</v>
      </c>
      <c r="AG6480" s="55" t="n">
        <f aca="false">AE6480+ROW()*0.000000001</f>
        <v>48.1782045794152</v>
      </c>
    </row>
    <row r="6481" customFormat="false" ht="15" hidden="false" customHeight="false" outlineLevel="0" collapsed="false">
      <c r="A6481" s="0" t="n">
        <v>8</v>
      </c>
      <c r="B6481" s="0" t="n">
        <v>7</v>
      </c>
      <c r="C6481" s="0" t="n">
        <v>8</v>
      </c>
      <c r="D6481" s="0" t="n">
        <v>5</v>
      </c>
      <c r="E6481" s="0" t="n">
        <f aca="false">-1+A6481*0.25</f>
        <v>1</v>
      </c>
      <c r="F6481" s="0" t="n">
        <f aca="false">-1+B6481*0.25</f>
        <v>0.75</v>
      </c>
      <c r="G6481" s="0" t="n">
        <f aca="false">-1+C6481*0.25</f>
        <v>1</v>
      </c>
      <c r="H6481" s="0" t="n">
        <f aca="false">-1+D6481*0.25</f>
        <v>0.25</v>
      </c>
      <c r="I6481" s="0" t="n">
        <f aca="false">1</f>
        <v>1</v>
      </c>
      <c r="J6481" s="0" t="n">
        <f aca="false">E6481</f>
        <v>1</v>
      </c>
      <c r="K6481" s="0" t="n">
        <f aca="false">F6481</f>
        <v>0.75</v>
      </c>
      <c r="L6481" s="0" t="n">
        <f aca="false">G6481</f>
        <v>1</v>
      </c>
      <c r="M6481" s="0" t="n">
        <f aca="false">H6481</f>
        <v>0.25</v>
      </c>
      <c r="N6481" s="0" t="n">
        <f aca="false">E6481*F6481</f>
        <v>0.75</v>
      </c>
      <c r="O6481" s="0" t="n">
        <f aca="false">E6481*G6481</f>
        <v>1</v>
      </c>
      <c r="P6481" s="0" t="n">
        <f aca="false">E6481*H6481</f>
        <v>0.25</v>
      </c>
      <c r="Q6481" s="0" t="n">
        <f aca="false">F6481*G6481</f>
        <v>0.75</v>
      </c>
      <c r="R6481" s="0" t="n">
        <f aca="false">F6481*H6481</f>
        <v>0.1875</v>
      </c>
      <c r="S6481" s="0" t="n">
        <f aca="false">G6481*H6481</f>
        <v>0.25</v>
      </c>
      <c r="T6481" s="0" t="n">
        <f aca="false">E6481*E6481</f>
        <v>1</v>
      </c>
      <c r="U6481" s="0" t="n">
        <f aca="false">F6481*F6481</f>
        <v>0.5625</v>
      </c>
      <c r="V6481" s="0" t="n">
        <f aca="false">G6481*G6481</f>
        <v>1</v>
      </c>
      <c r="W6481" s="0" t="n">
        <f aca="false">H6481*H6481</f>
        <v>0.0625</v>
      </c>
      <c r="X6481" s="0" t="n">
        <f aca="false">SUMPRODUCT(I6481:W6481,_XtX!$B$96:$P$96)</f>
        <v>48.3189647295322</v>
      </c>
      <c r="Y6481" s="0" t="n">
        <f aca="false">SUMPRODUCT(MMULT(I6481:W6481,_XtX!$B$78:$P$92),I6481:W6481)</f>
        <v>0.621372155975877</v>
      </c>
      <c r="Z6481" s="0" t="n">
        <f aca="false">04_回帰ANOVA!$K$19*04_回帰ANOVA!$K$14*SQRT(1+Y6481)</f>
        <v>1.65973880499872</v>
      </c>
      <c r="AA6481" s="0" t="n">
        <f aca="false">X6481-Z6481</f>
        <v>46.6592259245335</v>
      </c>
      <c r="AB6481" s="0" t="n">
        <f aca="false">X6481+Z6481</f>
        <v>49.9787035345309</v>
      </c>
      <c r="AC6481" s="54" t="b">
        <f aca="false">AND(E6481&gt;=01_因子設定!$L$5-0.000000001,E6481&lt;=01_因子設定!$M$5+0.000000001,F6481&gt;=01_因子設定!$L$6-0.000000001,F6481&lt;=01_因子設定!$M$6+0.000000001,G6481&gt;=01_因子設定!$L$7-0.000000001,G6481&lt;=01_因子設定!$M$7+0.000000001,H6481&gt;=01_因子設定!$L$8-0.000000001,H6481&lt;=01_因子設定!$M$8+0.000000001,IF(01_因子設定!$B$20="Box-Behnken",E6481^2+F6481^2+G6481^2+H6481^2&lt;=2+0.000000001,TRUE()))</f>
        <v>1</v>
      </c>
      <c r="AD6481" s="55" t="n">
        <f aca="false">IF(AC6481,IF(01_因子設定!$B$13="最大化",AA6481-01_因子設定!$B$14,IF(01_因子設定!$B$13="最小化",01_因子設定!$B$15-AB6481,MIN(AA6481-01_因子設定!$B$14,01_因子設定!$B$15-AB6481))),-1E+030)</f>
        <v>0.159225924533473</v>
      </c>
      <c r="AE6481" s="55" t="n">
        <f aca="false">IF(AC6481,IF(01_因子設定!$B$13="最大化",X6481,IF(01_因子設定!$B$13="最小化",-X6481,-ABS(X6481-01_因子設定!$B$16))),-1E+030)</f>
        <v>48.3189647295322</v>
      </c>
      <c r="AF6481" s="55" t="n">
        <f aca="false">AD6481+ROW()*0.000000001</f>
        <v>0.159232405533473</v>
      </c>
      <c r="AG6481" s="55" t="n">
        <f aca="false">AE6481+ROW()*0.000000001</f>
        <v>48.3189712105322</v>
      </c>
    </row>
    <row r="6482" customFormat="false" ht="15" hidden="false" customHeight="false" outlineLevel="0" collapsed="false">
      <c r="A6482" s="0" t="n">
        <v>8</v>
      </c>
      <c r="B6482" s="0" t="n">
        <v>7</v>
      </c>
      <c r="C6482" s="0" t="n">
        <v>8</v>
      </c>
      <c r="D6482" s="0" t="n">
        <v>6</v>
      </c>
      <c r="E6482" s="0" t="n">
        <f aca="false">-1+A6482*0.25</f>
        <v>1</v>
      </c>
      <c r="F6482" s="0" t="n">
        <f aca="false">-1+B6482*0.25</f>
        <v>0.75</v>
      </c>
      <c r="G6482" s="0" t="n">
        <f aca="false">-1+C6482*0.25</f>
        <v>1</v>
      </c>
      <c r="H6482" s="0" t="n">
        <f aca="false">-1+D6482*0.25</f>
        <v>0.5</v>
      </c>
      <c r="I6482" s="0" t="n">
        <f aca="false">1</f>
        <v>1</v>
      </c>
      <c r="J6482" s="0" t="n">
        <f aca="false">E6482</f>
        <v>1</v>
      </c>
      <c r="K6482" s="0" t="n">
        <f aca="false">F6482</f>
        <v>0.75</v>
      </c>
      <c r="L6482" s="0" t="n">
        <f aca="false">G6482</f>
        <v>1</v>
      </c>
      <c r="M6482" s="0" t="n">
        <f aca="false">H6482</f>
        <v>0.5</v>
      </c>
      <c r="N6482" s="0" t="n">
        <f aca="false">E6482*F6482</f>
        <v>0.75</v>
      </c>
      <c r="O6482" s="0" t="n">
        <f aca="false">E6482*G6482</f>
        <v>1</v>
      </c>
      <c r="P6482" s="0" t="n">
        <f aca="false">E6482*H6482</f>
        <v>0.5</v>
      </c>
      <c r="Q6482" s="0" t="n">
        <f aca="false">F6482*G6482</f>
        <v>0.75</v>
      </c>
      <c r="R6482" s="0" t="n">
        <f aca="false">F6482*H6482</f>
        <v>0.375</v>
      </c>
      <c r="S6482" s="0" t="n">
        <f aca="false">G6482*H6482</f>
        <v>0.5</v>
      </c>
      <c r="T6482" s="0" t="n">
        <f aca="false">E6482*E6482</f>
        <v>1</v>
      </c>
      <c r="U6482" s="0" t="n">
        <f aca="false">F6482*F6482</f>
        <v>0.5625</v>
      </c>
      <c r="V6482" s="0" t="n">
        <f aca="false">G6482*G6482</f>
        <v>1</v>
      </c>
      <c r="W6482" s="0" t="n">
        <f aca="false">H6482*H6482</f>
        <v>0.25</v>
      </c>
      <c r="X6482" s="0" t="n">
        <f aca="false">SUMPRODUCT(I6482:W6482,_XtX!$B$96:$P$96)</f>
        <v>48.4119243421053</v>
      </c>
      <c r="Y6482" s="0" t="n">
        <f aca="false">SUMPRODUCT(MMULT(I6482:W6482,_XtX!$B$78:$P$92),I6482:W6482)</f>
        <v>0.564984237938597</v>
      </c>
      <c r="Z6482" s="0" t="n">
        <f aca="false">04_回帰ANOVA!$K$19*04_回帰ANOVA!$K$14*SQRT(1+Y6482)</f>
        <v>1.63062229734503</v>
      </c>
      <c r="AA6482" s="0" t="n">
        <f aca="false">X6482-Z6482</f>
        <v>46.7813020447603</v>
      </c>
      <c r="AB6482" s="0" t="n">
        <f aca="false">X6482+Z6482</f>
        <v>50.0425466394503</v>
      </c>
      <c r="AC6482" s="54" t="b">
        <f aca="false">AND(E6482&gt;=01_因子設定!$L$5-0.000000001,E6482&lt;=01_因子設定!$M$5+0.000000001,F6482&gt;=01_因子設定!$L$6-0.000000001,F6482&lt;=01_因子設定!$M$6+0.000000001,G6482&gt;=01_因子設定!$L$7-0.000000001,G6482&lt;=01_因子設定!$M$7+0.000000001,H6482&gt;=01_因子設定!$L$8-0.000000001,H6482&lt;=01_因子設定!$M$8+0.000000001,IF(01_因子設定!$B$20="Box-Behnken",E6482^2+F6482^2+G6482^2+H6482^2&lt;=2+0.000000001,TRUE()))</f>
        <v>1</v>
      </c>
      <c r="AD6482" s="55" t="n">
        <f aca="false">IF(AC6482,IF(01_因子設定!$B$13="最大化",AA6482-01_因子設定!$B$14,IF(01_因子設定!$B$13="最小化",01_因子設定!$B$15-AB6482,MIN(AA6482-01_因子設定!$B$14,01_因子設定!$B$15-AB6482))),-1E+030)</f>
        <v>0.281302044760267</v>
      </c>
      <c r="AE6482" s="55" t="n">
        <f aca="false">IF(AC6482,IF(01_因子設定!$B$13="最大化",X6482,IF(01_因子設定!$B$13="最小化",-X6482,-ABS(X6482-01_因子設定!$B$16))),-1E+030)</f>
        <v>48.4119243421053</v>
      </c>
      <c r="AF6482" s="55" t="n">
        <f aca="false">AD6482+ROW()*0.000000001</f>
        <v>0.281308526760267</v>
      </c>
      <c r="AG6482" s="55" t="n">
        <f aca="false">AE6482+ROW()*0.000000001</f>
        <v>48.4119308241053</v>
      </c>
    </row>
    <row r="6483" customFormat="false" ht="15" hidden="false" customHeight="false" outlineLevel="0" collapsed="false">
      <c r="A6483" s="0" t="n">
        <v>8</v>
      </c>
      <c r="B6483" s="0" t="n">
        <v>7</v>
      </c>
      <c r="C6483" s="0" t="n">
        <v>8</v>
      </c>
      <c r="D6483" s="0" t="n">
        <v>7</v>
      </c>
      <c r="E6483" s="0" t="n">
        <f aca="false">-1+A6483*0.25</f>
        <v>1</v>
      </c>
      <c r="F6483" s="0" t="n">
        <f aca="false">-1+B6483*0.25</f>
        <v>0.75</v>
      </c>
      <c r="G6483" s="0" t="n">
        <f aca="false">-1+C6483*0.25</f>
        <v>1</v>
      </c>
      <c r="H6483" s="0" t="n">
        <f aca="false">-1+D6483*0.25</f>
        <v>0.75</v>
      </c>
      <c r="I6483" s="0" t="n">
        <f aca="false">1</f>
        <v>1</v>
      </c>
      <c r="J6483" s="0" t="n">
        <f aca="false">E6483</f>
        <v>1</v>
      </c>
      <c r="K6483" s="0" t="n">
        <f aca="false">F6483</f>
        <v>0.75</v>
      </c>
      <c r="L6483" s="0" t="n">
        <f aca="false">G6483</f>
        <v>1</v>
      </c>
      <c r="M6483" s="0" t="n">
        <f aca="false">H6483</f>
        <v>0.75</v>
      </c>
      <c r="N6483" s="0" t="n">
        <f aca="false">E6483*F6483</f>
        <v>0.75</v>
      </c>
      <c r="O6483" s="0" t="n">
        <f aca="false">E6483*G6483</f>
        <v>1</v>
      </c>
      <c r="P6483" s="0" t="n">
        <f aca="false">E6483*H6483</f>
        <v>0.75</v>
      </c>
      <c r="Q6483" s="0" t="n">
        <f aca="false">F6483*G6483</f>
        <v>0.75</v>
      </c>
      <c r="R6483" s="0" t="n">
        <f aca="false">F6483*H6483</f>
        <v>0.5625</v>
      </c>
      <c r="S6483" s="0" t="n">
        <f aca="false">G6483*H6483</f>
        <v>0.75</v>
      </c>
      <c r="T6483" s="0" t="n">
        <f aca="false">E6483*E6483</f>
        <v>1</v>
      </c>
      <c r="U6483" s="0" t="n">
        <f aca="false">F6483*F6483</f>
        <v>0.5625</v>
      </c>
      <c r="V6483" s="0" t="n">
        <f aca="false">G6483*G6483</f>
        <v>1</v>
      </c>
      <c r="W6483" s="0" t="n">
        <f aca="false">H6483*H6483</f>
        <v>0.5625</v>
      </c>
      <c r="X6483" s="0" t="n">
        <f aca="false">SUMPRODUCT(I6483:W6483,_XtX!$B$96:$P$96)</f>
        <v>48.4570769371346</v>
      </c>
      <c r="Y6483" s="0" t="n">
        <f aca="false">SUMPRODUCT(MMULT(I6483:W6483,_XtX!$B$78:$P$92),I6483:W6483)</f>
        <v>0.531311392086988</v>
      </c>
      <c r="Z6483" s="0" t="n">
        <f aca="false">04_回帰ANOVA!$K$19*04_回帰ANOVA!$K$14*SQRT(1+Y6483)</f>
        <v>1.61298433431428</v>
      </c>
      <c r="AA6483" s="0" t="n">
        <f aca="false">X6483-Z6483</f>
        <v>46.8440926028203</v>
      </c>
      <c r="AB6483" s="0" t="n">
        <f aca="false">X6483+Z6483</f>
        <v>50.0700612714488</v>
      </c>
      <c r="AC6483" s="54" t="b">
        <f aca="false">AND(E6483&gt;=01_因子設定!$L$5-0.000000001,E6483&lt;=01_因子設定!$M$5+0.000000001,F6483&gt;=01_因子設定!$L$6-0.000000001,F6483&lt;=01_因子設定!$M$6+0.000000001,G6483&gt;=01_因子設定!$L$7-0.000000001,G6483&lt;=01_因子設定!$M$7+0.000000001,H6483&gt;=01_因子設定!$L$8-0.000000001,H6483&lt;=01_因子設定!$M$8+0.000000001,IF(01_因子設定!$B$20="Box-Behnken",E6483^2+F6483^2+G6483^2+H6483^2&lt;=2+0.000000001,TRUE()))</f>
        <v>1</v>
      </c>
      <c r="AD6483" s="55" t="n">
        <f aca="false">IF(AC6483,IF(01_因子設定!$B$13="最大化",AA6483-01_因子設定!$B$14,IF(01_因子設定!$B$13="最小化",01_因子設定!$B$15-AB6483,MIN(AA6483-01_因子設定!$B$14,01_因子設定!$B$15-AB6483))),-1E+030)</f>
        <v>0.344092602820268</v>
      </c>
      <c r="AE6483" s="55" t="n">
        <f aca="false">IF(AC6483,IF(01_因子設定!$B$13="最大化",X6483,IF(01_因子設定!$B$13="最小化",-X6483,-ABS(X6483-01_因子設定!$B$16))),-1E+030)</f>
        <v>48.4570769371346</v>
      </c>
      <c r="AF6483" s="55" t="n">
        <f aca="false">AD6483+ROW()*0.000000001</f>
        <v>0.344099085820268</v>
      </c>
      <c r="AG6483" s="55" t="n">
        <f aca="false">AE6483+ROW()*0.000000001</f>
        <v>48.4570834201346</v>
      </c>
    </row>
    <row r="6484" customFormat="false" ht="15" hidden="false" customHeight="false" outlineLevel="0" collapsed="false">
      <c r="A6484" s="0" t="n">
        <v>8</v>
      </c>
      <c r="B6484" s="0" t="n">
        <v>7</v>
      </c>
      <c r="C6484" s="0" t="n">
        <v>8</v>
      </c>
      <c r="D6484" s="0" t="n">
        <v>8</v>
      </c>
      <c r="E6484" s="0" t="n">
        <f aca="false">-1+A6484*0.25</f>
        <v>1</v>
      </c>
      <c r="F6484" s="0" t="n">
        <f aca="false">-1+B6484*0.25</f>
        <v>0.75</v>
      </c>
      <c r="G6484" s="0" t="n">
        <f aca="false">-1+C6484*0.25</f>
        <v>1</v>
      </c>
      <c r="H6484" s="0" t="n">
        <f aca="false">-1+D6484*0.25</f>
        <v>1</v>
      </c>
      <c r="I6484" s="0" t="n">
        <f aca="false">1</f>
        <v>1</v>
      </c>
      <c r="J6484" s="0" t="n">
        <f aca="false">E6484</f>
        <v>1</v>
      </c>
      <c r="K6484" s="0" t="n">
        <f aca="false">F6484</f>
        <v>0.75</v>
      </c>
      <c r="L6484" s="0" t="n">
        <f aca="false">G6484</f>
        <v>1</v>
      </c>
      <c r="M6484" s="0" t="n">
        <f aca="false">H6484</f>
        <v>1</v>
      </c>
      <c r="N6484" s="0" t="n">
        <f aca="false">E6484*F6484</f>
        <v>0.75</v>
      </c>
      <c r="O6484" s="0" t="n">
        <f aca="false">E6484*G6484</f>
        <v>1</v>
      </c>
      <c r="P6484" s="0" t="n">
        <f aca="false">E6484*H6484</f>
        <v>1</v>
      </c>
      <c r="Q6484" s="0" t="n">
        <f aca="false">F6484*G6484</f>
        <v>0.75</v>
      </c>
      <c r="R6484" s="0" t="n">
        <f aca="false">F6484*H6484</f>
        <v>0.75</v>
      </c>
      <c r="S6484" s="0" t="n">
        <f aca="false">G6484*H6484</f>
        <v>1</v>
      </c>
      <c r="T6484" s="0" t="n">
        <f aca="false">E6484*E6484</f>
        <v>1</v>
      </c>
      <c r="U6484" s="0" t="n">
        <f aca="false">F6484*F6484</f>
        <v>0.5625</v>
      </c>
      <c r="V6484" s="0" t="n">
        <f aca="false">G6484*G6484</f>
        <v>1</v>
      </c>
      <c r="W6484" s="0" t="n">
        <f aca="false">H6484*H6484</f>
        <v>1</v>
      </c>
      <c r="X6484" s="0" t="n">
        <f aca="false">SUMPRODUCT(I6484:W6484,_XtX!$B$96:$P$96)</f>
        <v>48.45442251462</v>
      </c>
      <c r="Y6484" s="0" t="n">
        <f aca="false">SUMPRODUCT(MMULT(I6484:W6484,_XtX!$B$78:$P$92),I6484:W6484)</f>
        <v>0.610814144736842</v>
      </c>
      <c r="Z6484" s="0" t="n">
        <f aca="false">04_回帰ANOVA!$K$19*04_回帰ANOVA!$K$14*SQRT(1+Y6484)</f>
        <v>1.6543260558361</v>
      </c>
      <c r="AA6484" s="0" t="n">
        <f aca="false">X6484-Z6484</f>
        <v>46.8000964587839</v>
      </c>
      <c r="AB6484" s="0" t="n">
        <f aca="false">X6484+Z6484</f>
        <v>50.108748570456</v>
      </c>
      <c r="AC6484" s="54" t="b">
        <f aca="false">AND(E6484&gt;=01_因子設定!$L$5-0.000000001,E6484&lt;=01_因子設定!$M$5+0.000000001,F6484&gt;=01_因子設定!$L$6-0.000000001,F6484&lt;=01_因子設定!$M$6+0.000000001,G6484&gt;=01_因子設定!$L$7-0.000000001,G6484&lt;=01_因子設定!$M$7+0.000000001,H6484&gt;=01_因子設定!$L$8-0.000000001,H6484&lt;=01_因子設定!$M$8+0.000000001,IF(01_因子設定!$B$20="Box-Behnken",E6484^2+F6484^2+G6484^2+H6484^2&lt;=2+0.000000001,TRUE()))</f>
        <v>1</v>
      </c>
      <c r="AD6484" s="55" t="n">
        <f aca="false">IF(AC6484,IF(01_因子設定!$B$13="最大化",AA6484-01_因子設定!$B$14,IF(01_因子設定!$B$13="最小化",01_因子設定!$B$15-AB6484,MIN(AA6484-01_因子設定!$B$14,01_因子設定!$B$15-AB6484))),-1E+030)</f>
        <v>0.300096458783855</v>
      </c>
      <c r="AE6484" s="55" t="n">
        <f aca="false">IF(AC6484,IF(01_因子設定!$B$13="最大化",X6484,IF(01_因子設定!$B$13="最小化",-X6484,-ABS(X6484-01_因子設定!$B$16))),-1E+030)</f>
        <v>48.45442251462</v>
      </c>
      <c r="AF6484" s="55" t="n">
        <f aca="false">AD6484+ROW()*0.000000001</f>
        <v>0.300102942783855</v>
      </c>
      <c r="AG6484" s="55" t="n">
        <f aca="false">AE6484+ROW()*0.000000001</f>
        <v>48.4544289986199</v>
      </c>
    </row>
    <row r="6485" customFormat="false" ht="15" hidden="false" customHeight="false" outlineLevel="0" collapsed="false">
      <c r="A6485" s="0" t="n">
        <v>8</v>
      </c>
      <c r="B6485" s="0" t="n">
        <v>8</v>
      </c>
      <c r="C6485" s="0" t="n">
        <v>0</v>
      </c>
      <c r="D6485" s="0" t="n">
        <v>0</v>
      </c>
      <c r="E6485" s="0" t="n">
        <f aca="false">-1+A6485*0.25</f>
        <v>1</v>
      </c>
      <c r="F6485" s="0" t="n">
        <f aca="false">-1+B6485*0.25</f>
        <v>1</v>
      </c>
      <c r="G6485" s="0" t="n">
        <f aca="false">-1+C6485*0.25</f>
        <v>-1</v>
      </c>
      <c r="H6485" s="0" t="n">
        <f aca="false">-1+D6485*0.25</f>
        <v>-1</v>
      </c>
      <c r="I6485" s="0" t="n">
        <f aca="false">1</f>
        <v>1</v>
      </c>
      <c r="J6485" s="0" t="n">
        <f aca="false">E6485</f>
        <v>1</v>
      </c>
      <c r="K6485" s="0" t="n">
        <f aca="false">F6485</f>
        <v>1</v>
      </c>
      <c r="L6485" s="0" t="n">
        <f aca="false">G6485</f>
        <v>-1</v>
      </c>
      <c r="M6485" s="0" t="n">
        <f aca="false">H6485</f>
        <v>-1</v>
      </c>
      <c r="N6485" s="0" t="n">
        <f aca="false">E6485*F6485</f>
        <v>1</v>
      </c>
      <c r="O6485" s="0" t="n">
        <f aca="false">E6485*G6485</f>
        <v>-1</v>
      </c>
      <c r="P6485" s="0" t="n">
        <f aca="false">E6485*H6485</f>
        <v>-1</v>
      </c>
      <c r="Q6485" s="0" t="n">
        <f aca="false">F6485*G6485</f>
        <v>-1</v>
      </c>
      <c r="R6485" s="0" t="n">
        <f aca="false">F6485*H6485</f>
        <v>-1</v>
      </c>
      <c r="S6485" s="0" t="n">
        <f aca="false">G6485*H6485</f>
        <v>1</v>
      </c>
      <c r="T6485" s="0" t="n">
        <f aca="false">E6485*E6485</f>
        <v>1</v>
      </c>
      <c r="U6485" s="0" t="n">
        <f aca="false">F6485*F6485</f>
        <v>1</v>
      </c>
      <c r="V6485" s="0" t="n">
        <f aca="false">G6485*G6485</f>
        <v>1</v>
      </c>
      <c r="W6485" s="0" t="n">
        <f aca="false">H6485*H6485</f>
        <v>1</v>
      </c>
      <c r="X6485" s="0" t="n">
        <f aca="false">SUMPRODUCT(I6485:W6485,_XtX!$B$96:$P$96)</f>
        <v>46.2266812865498</v>
      </c>
      <c r="Y6485" s="0" t="n">
        <f aca="false">SUMPRODUCT(MMULT(I6485:W6485,_XtX!$B$78:$P$92),I6485:W6485)</f>
        <v>0.658625730994152</v>
      </c>
      <c r="Z6485" s="0" t="n">
        <f aca="false">04_回帰ANOVA!$K$19*04_回帰ANOVA!$K$14*SQRT(1+Y6485)</f>
        <v>1.67869807328422</v>
      </c>
      <c r="AA6485" s="0" t="n">
        <f aca="false">X6485-Z6485</f>
        <v>44.5479832132656</v>
      </c>
      <c r="AB6485" s="0" t="n">
        <f aca="false">X6485+Z6485</f>
        <v>47.905379359834</v>
      </c>
      <c r="AC6485" s="54" t="b">
        <f aca="false">AND(E6485&gt;=01_因子設定!$L$5-0.000000001,E6485&lt;=01_因子設定!$M$5+0.000000001,F6485&gt;=01_因子設定!$L$6-0.000000001,F6485&lt;=01_因子設定!$M$6+0.000000001,G6485&gt;=01_因子設定!$L$7-0.000000001,G6485&lt;=01_因子設定!$M$7+0.000000001,H6485&gt;=01_因子設定!$L$8-0.000000001,H6485&lt;=01_因子設定!$M$8+0.000000001,IF(01_因子設定!$B$20="Box-Behnken",E6485^2+F6485^2+G6485^2+H6485^2&lt;=2+0.000000001,TRUE()))</f>
        <v>1</v>
      </c>
      <c r="AD6485" s="55" t="n">
        <f aca="false">IF(AC6485,IF(01_因子設定!$B$13="最大化",AA6485-01_因子設定!$B$14,IF(01_因子設定!$B$13="最小化",01_因子設定!$B$15-AB6485,MIN(AA6485-01_因子設定!$B$14,01_因子設定!$B$15-AB6485))),-1E+030)</f>
        <v>-1.95201678673445</v>
      </c>
      <c r="AE6485" s="55" t="n">
        <f aca="false">IF(AC6485,IF(01_因子設定!$B$13="最大化",X6485,IF(01_因子設定!$B$13="最小化",-X6485,-ABS(X6485-01_因子設定!$B$16))),-1E+030)</f>
        <v>46.2266812865498</v>
      </c>
      <c r="AF6485" s="55" t="n">
        <f aca="false">AD6485+ROW()*0.000000001</f>
        <v>-1.95201030173445</v>
      </c>
      <c r="AG6485" s="55" t="n">
        <f aca="false">AE6485+ROW()*0.000000001</f>
        <v>46.2266877715498</v>
      </c>
    </row>
    <row r="6486" customFormat="false" ht="15" hidden="false" customHeight="false" outlineLevel="0" collapsed="false">
      <c r="A6486" s="0" t="n">
        <v>8</v>
      </c>
      <c r="B6486" s="0" t="n">
        <v>8</v>
      </c>
      <c r="C6486" s="0" t="n">
        <v>0</v>
      </c>
      <c r="D6486" s="0" t="n">
        <v>1</v>
      </c>
      <c r="E6486" s="0" t="n">
        <f aca="false">-1+A6486*0.25</f>
        <v>1</v>
      </c>
      <c r="F6486" s="0" t="n">
        <f aca="false">-1+B6486*0.25</f>
        <v>1</v>
      </c>
      <c r="G6486" s="0" t="n">
        <f aca="false">-1+C6486*0.25</f>
        <v>-1</v>
      </c>
      <c r="H6486" s="0" t="n">
        <f aca="false">-1+D6486*0.25</f>
        <v>-0.75</v>
      </c>
      <c r="I6486" s="0" t="n">
        <f aca="false">1</f>
        <v>1</v>
      </c>
      <c r="J6486" s="0" t="n">
        <f aca="false">E6486</f>
        <v>1</v>
      </c>
      <c r="K6486" s="0" t="n">
        <f aca="false">F6486</f>
        <v>1</v>
      </c>
      <c r="L6486" s="0" t="n">
        <f aca="false">G6486</f>
        <v>-1</v>
      </c>
      <c r="M6486" s="0" t="n">
        <f aca="false">H6486</f>
        <v>-0.75</v>
      </c>
      <c r="N6486" s="0" t="n">
        <f aca="false">E6486*F6486</f>
        <v>1</v>
      </c>
      <c r="O6486" s="0" t="n">
        <f aca="false">E6486*G6486</f>
        <v>-1</v>
      </c>
      <c r="P6486" s="0" t="n">
        <f aca="false">E6486*H6486</f>
        <v>-0.75</v>
      </c>
      <c r="Q6486" s="0" t="n">
        <f aca="false">F6486*G6486</f>
        <v>-1</v>
      </c>
      <c r="R6486" s="0" t="n">
        <f aca="false">F6486*H6486</f>
        <v>-0.75</v>
      </c>
      <c r="S6486" s="0" t="n">
        <f aca="false">G6486*H6486</f>
        <v>0.75</v>
      </c>
      <c r="T6486" s="0" t="n">
        <f aca="false">E6486*E6486</f>
        <v>1</v>
      </c>
      <c r="U6486" s="0" t="n">
        <f aca="false">F6486*F6486</f>
        <v>1</v>
      </c>
      <c r="V6486" s="0" t="n">
        <f aca="false">G6486*G6486</f>
        <v>1</v>
      </c>
      <c r="W6486" s="0" t="n">
        <f aca="false">H6486*H6486</f>
        <v>0.5625</v>
      </c>
      <c r="X6486" s="0" t="n">
        <f aca="false">SUMPRODUCT(I6486:W6486,_XtX!$B$96:$P$96)</f>
        <v>46.4016447368422</v>
      </c>
      <c r="Y6486" s="0" t="n">
        <f aca="false">SUMPRODUCT(MMULT(I6486:W6486,_XtX!$B$78:$P$92),I6486:W6486)</f>
        <v>0.610814144736842</v>
      </c>
      <c r="Z6486" s="0" t="n">
        <f aca="false">04_回帰ANOVA!$K$19*04_回帰ANOVA!$K$14*SQRT(1+Y6486)</f>
        <v>1.6543260558361</v>
      </c>
      <c r="AA6486" s="0" t="n">
        <f aca="false">X6486-Z6486</f>
        <v>44.7473186810061</v>
      </c>
      <c r="AB6486" s="0" t="n">
        <f aca="false">X6486+Z6486</f>
        <v>48.0559707926783</v>
      </c>
      <c r="AC6486" s="54" t="b">
        <f aca="false">AND(E6486&gt;=01_因子設定!$L$5-0.000000001,E6486&lt;=01_因子設定!$M$5+0.000000001,F6486&gt;=01_因子設定!$L$6-0.000000001,F6486&lt;=01_因子設定!$M$6+0.000000001,G6486&gt;=01_因子設定!$L$7-0.000000001,G6486&lt;=01_因子設定!$M$7+0.000000001,H6486&gt;=01_因子設定!$L$8-0.000000001,H6486&lt;=01_因子設定!$M$8+0.000000001,IF(01_因子設定!$B$20="Box-Behnken",E6486^2+F6486^2+G6486^2+H6486^2&lt;=2+0.000000001,TRUE()))</f>
        <v>1</v>
      </c>
      <c r="AD6486" s="55" t="n">
        <f aca="false">IF(AC6486,IF(01_因子設定!$B$13="最大化",AA6486-01_因子設定!$B$14,IF(01_因子設定!$B$13="最小化",01_因子設定!$B$15-AB6486,MIN(AA6486-01_因子設定!$B$14,01_因子設定!$B$15-AB6486))),-1E+030)</f>
        <v>-1.75268131899394</v>
      </c>
      <c r="AE6486" s="55" t="n">
        <f aca="false">IF(AC6486,IF(01_因子設定!$B$13="最大化",X6486,IF(01_因子設定!$B$13="最小化",-X6486,-ABS(X6486-01_因子設定!$B$16))),-1E+030)</f>
        <v>46.4016447368422</v>
      </c>
      <c r="AF6486" s="55" t="n">
        <f aca="false">AD6486+ROW()*0.000000001</f>
        <v>-1.75267483299394</v>
      </c>
      <c r="AG6486" s="55" t="n">
        <f aca="false">AE6486+ROW()*0.000000001</f>
        <v>46.4016512228422</v>
      </c>
    </row>
    <row r="6487" customFormat="false" ht="15" hidden="false" customHeight="false" outlineLevel="0" collapsed="false">
      <c r="A6487" s="0" t="n">
        <v>8</v>
      </c>
      <c r="B6487" s="0" t="n">
        <v>8</v>
      </c>
      <c r="C6487" s="0" t="n">
        <v>0</v>
      </c>
      <c r="D6487" s="0" t="n">
        <v>2</v>
      </c>
      <c r="E6487" s="0" t="n">
        <f aca="false">-1+A6487*0.25</f>
        <v>1</v>
      </c>
      <c r="F6487" s="0" t="n">
        <f aca="false">-1+B6487*0.25</f>
        <v>1</v>
      </c>
      <c r="G6487" s="0" t="n">
        <f aca="false">-1+C6487*0.25</f>
        <v>-1</v>
      </c>
      <c r="H6487" s="0" t="n">
        <f aca="false">-1+D6487*0.25</f>
        <v>-0.5</v>
      </c>
      <c r="I6487" s="0" t="n">
        <f aca="false">1</f>
        <v>1</v>
      </c>
      <c r="J6487" s="0" t="n">
        <f aca="false">E6487</f>
        <v>1</v>
      </c>
      <c r="K6487" s="0" t="n">
        <f aca="false">F6487</f>
        <v>1</v>
      </c>
      <c r="L6487" s="0" t="n">
        <f aca="false">G6487</f>
        <v>-1</v>
      </c>
      <c r="M6487" s="0" t="n">
        <f aca="false">H6487</f>
        <v>-0.5</v>
      </c>
      <c r="N6487" s="0" t="n">
        <f aca="false">E6487*F6487</f>
        <v>1</v>
      </c>
      <c r="O6487" s="0" t="n">
        <f aca="false">E6487*G6487</f>
        <v>-1</v>
      </c>
      <c r="P6487" s="0" t="n">
        <f aca="false">E6487*H6487</f>
        <v>-0.5</v>
      </c>
      <c r="Q6487" s="0" t="n">
        <f aca="false">F6487*G6487</f>
        <v>-1</v>
      </c>
      <c r="R6487" s="0" t="n">
        <f aca="false">F6487*H6487</f>
        <v>-0.5</v>
      </c>
      <c r="S6487" s="0" t="n">
        <f aca="false">G6487*H6487</f>
        <v>0.5</v>
      </c>
      <c r="T6487" s="0" t="n">
        <f aca="false">E6487*E6487</f>
        <v>1</v>
      </c>
      <c r="U6487" s="0" t="n">
        <f aca="false">F6487*F6487</f>
        <v>1</v>
      </c>
      <c r="V6487" s="0" t="n">
        <f aca="false">G6487*G6487</f>
        <v>1</v>
      </c>
      <c r="W6487" s="0" t="n">
        <f aca="false">H6487*H6487</f>
        <v>0.25</v>
      </c>
      <c r="X6487" s="0" t="n">
        <f aca="false">SUMPRODUCT(I6487:W6487,_XtX!$B$96:$P$96)</f>
        <v>46.5288011695907</v>
      </c>
      <c r="Y6487" s="0" t="n">
        <f aca="false">SUMPRODUCT(MMULT(I6487:W6487,_XtX!$B$78:$P$92),I6487:W6487)</f>
        <v>0.667123538011696</v>
      </c>
      <c r="Z6487" s="0" t="n">
        <f aca="false">04_回帰ANOVA!$K$19*04_回帰ANOVA!$K$14*SQRT(1+Y6487)</f>
        <v>1.68299290213005</v>
      </c>
      <c r="AA6487" s="0" t="n">
        <f aca="false">X6487-Z6487</f>
        <v>44.8458082674606</v>
      </c>
      <c r="AB6487" s="0" t="n">
        <f aca="false">X6487+Z6487</f>
        <v>48.2117940717207</v>
      </c>
      <c r="AC6487" s="54" t="b">
        <f aca="false">AND(E6487&gt;=01_因子設定!$L$5-0.000000001,E6487&lt;=01_因子設定!$M$5+0.000000001,F6487&gt;=01_因子設定!$L$6-0.000000001,F6487&lt;=01_因子設定!$M$6+0.000000001,G6487&gt;=01_因子設定!$L$7-0.000000001,G6487&lt;=01_因子設定!$M$7+0.000000001,H6487&gt;=01_因子設定!$L$8-0.000000001,H6487&lt;=01_因子設定!$M$8+0.000000001,IF(01_因子設定!$B$20="Box-Behnken",E6487^2+F6487^2+G6487^2+H6487^2&lt;=2+0.000000001,TRUE()))</f>
        <v>1</v>
      </c>
      <c r="AD6487" s="55" t="n">
        <f aca="false">IF(AC6487,IF(01_因子設定!$B$13="最大化",AA6487-01_因子設定!$B$14,IF(01_因子設定!$B$13="最小化",01_因子設定!$B$15-AB6487,MIN(AA6487-01_因子設定!$B$14,01_因子設定!$B$15-AB6487))),-1E+030)</f>
        <v>-1.65419173253937</v>
      </c>
      <c r="AE6487" s="55" t="n">
        <f aca="false">IF(AC6487,IF(01_因子設定!$B$13="最大化",X6487,IF(01_因子設定!$B$13="最小化",-X6487,-ABS(X6487-01_因子設定!$B$16))),-1E+030)</f>
        <v>46.5288011695907</v>
      </c>
      <c r="AF6487" s="55" t="n">
        <f aca="false">AD6487+ROW()*0.000000001</f>
        <v>-1.65418524553937</v>
      </c>
      <c r="AG6487" s="55" t="n">
        <f aca="false">AE6487+ROW()*0.000000001</f>
        <v>46.5288076565907</v>
      </c>
    </row>
    <row r="6488" customFormat="false" ht="15" hidden="false" customHeight="false" outlineLevel="0" collapsed="false">
      <c r="A6488" s="0" t="n">
        <v>8</v>
      </c>
      <c r="B6488" s="0" t="n">
        <v>8</v>
      </c>
      <c r="C6488" s="0" t="n">
        <v>0</v>
      </c>
      <c r="D6488" s="0" t="n">
        <v>3</v>
      </c>
      <c r="E6488" s="0" t="n">
        <f aca="false">-1+A6488*0.25</f>
        <v>1</v>
      </c>
      <c r="F6488" s="0" t="n">
        <f aca="false">-1+B6488*0.25</f>
        <v>1</v>
      </c>
      <c r="G6488" s="0" t="n">
        <f aca="false">-1+C6488*0.25</f>
        <v>-1</v>
      </c>
      <c r="H6488" s="0" t="n">
        <f aca="false">-1+D6488*0.25</f>
        <v>-0.25</v>
      </c>
      <c r="I6488" s="0" t="n">
        <f aca="false">1</f>
        <v>1</v>
      </c>
      <c r="J6488" s="0" t="n">
        <f aca="false">E6488</f>
        <v>1</v>
      </c>
      <c r="K6488" s="0" t="n">
        <f aca="false">F6488</f>
        <v>1</v>
      </c>
      <c r="L6488" s="0" t="n">
        <f aca="false">G6488</f>
        <v>-1</v>
      </c>
      <c r="M6488" s="0" t="n">
        <f aca="false">H6488</f>
        <v>-0.25</v>
      </c>
      <c r="N6488" s="0" t="n">
        <f aca="false">E6488*F6488</f>
        <v>1</v>
      </c>
      <c r="O6488" s="0" t="n">
        <f aca="false">E6488*G6488</f>
        <v>-1</v>
      </c>
      <c r="P6488" s="0" t="n">
        <f aca="false">E6488*H6488</f>
        <v>-0.25</v>
      </c>
      <c r="Q6488" s="0" t="n">
        <f aca="false">F6488*G6488</f>
        <v>-1</v>
      </c>
      <c r="R6488" s="0" t="n">
        <f aca="false">F6488*H6488</f>
        <v>-0.25</v>
      </c>
      <c r="S6488" s="0" t="n">
        <f aca="false">G6488*H6488</f>
        <v>0.25</v>
      </c>
      <c r="T6488" s="0" t="n">
        <f aca="false">E6488*E6488</f>
        <v>1</v>
      </c>
      <c r="U6488" s="0" t="n">
        <f aca="false">F6488*F6488</f>
        <v>1</v>
      </c>
      <c r="V6488" s="0" t="n">
        <f aca="false">G6488*G6488</f>
        <v>1</v>
      </c>
      <c r="W6488" s="0" t="n">
        <f aca="false">H6488*H6488</f>
        <v>0.0625</v>
      </c>
      <c r="X6488" s="0" t="n">
        <f aca="false">SUMPRODUCT(I6488:W6488,_XtX!$B$96:$P$96)</f>
        <v>46.6081505847954</v>
      </c>
      <c r="Y6488" s="0" t="n">
        <f aca="false">SUMPRODUCT(MMULT(I6488:W6488,_XtX!$B$78:$P$92),I6488:W6488)</f>
        <v>0.737093384502924</v>
      </c>
      <c r="Z6488" s="0" t="n">
        <f aca="false">04_回帰ANOVA!$K$19*04_回帰ANOVA!$K$14*SQRT(1+Y6488)</f>
        <v>1.71794784853551</v>
      </c>
      <c r="AA6488" s="0" t="n">
        <f aca="false">X6488-Z6488</f>
        <v>44.8902027362599</v>
      </c>
      <c r="AB6488" s="0" t="n">
        <f aca="false">X6488+Z6488</f>
        <v>48.3260984333309</v>
      </c>
      <c r="AC6488" s="54" t="b">
        <f aca="false">AND(E6488&gt;=01_因子設定!$L$5-0.000000001,E6488&lt;=01_因子設定!$M$5+0.000000001,F6488&gt;=01_因子設定!$L$6-0.000000001,F6488&lt;=01_因子設定!$M$6+0.000000001,G6488&gt;=01_因子設定!$L$7-0.000000001,G6488&lt;=01_因子設定!$M$7+0.000000001,H6488&gt;=01_因子設定!$L$8-0.000000001,H6488&lt;=01_因子設定!$M$8+0.000000001,IF(01_因子設定!$B$20="Box-Behnken",E6488^2+F6488^2+G6488^2+H6488^2&lt;=2+0.000000001,TRUE()))</f>
        <v>1</v>
      </c>
      <c r="AD6488" s="55" t="n">
        <f aca="false">IF(AC6488,IF(01_因子設定!$B$13="最大化",AA6488-01_因子設定!$B$14,IF(01_因子設定!$B$13="最小化",01_因子設定!$B$15-AB6488,MIN(AA6488-01_因子設定!$B$14,01_因子設定!$B$15-AB6488))),-1E+030)</f>
        <v>-1.60979726374015</v>
      </c>
      <c r="AE6488" s="55" t="n">
        <f aca="false">IF(AC6488,IF(01_因子設定!$B$13="最大化",X6488,IF(01_因子設定!$B$13="最小化",-X6488,-ABS(X6488-01_因子設定!$B$16))),-1E+030)</f>
        <v>46.6081505847954</v>
      </c>
      <c r="AF6488" s="55" t="n">
        <f aca="false">AD6488+ROW()*0.000000001</f>
        <v>-1.60979077574015</v>
      </c>
      <c r="AG6488" s="55" t="n">
        <f aca="false">AE6488+ROW()*0.000000001</f>
        <v>46.6081570727954</v>
      </c>
    </row>
    <row r="6489" customFormat="false" ht="15" hidden="false" customHeight="false" outlineLevel="0" collapsed="false">
      <c r="A6489" s="0" t="n">
        <v>8</v>
      </c>
      <c r="B6489" s="0" t="n">
        <v>8</v>
      </c>
      <c r="C6489" s="0" t="n">
        <v>0</v>
      </c>
      <c r="D6489" s="0" t="n">
        <v>4</v>
      </c>
      <c r="E6489" s="0" t="n">
        <f aca="false">-1+A6489*0.25</f>
        <v>1</v>
      </c>
      <c r="F6489" s="0" t="n">
        <f aca="false">-1+B6489*0.25</f>
        <v>1</v>
      </c>
      <c r="G6489" s="0" t="n">
        <f aca="false">-1+C6489*0.25</f>
        <v>-1</v>
      </c>
      <c r="H6489" s="0" t="n">
        <f aca="false">-1+D6489*0.25</f>
        <v>0</v>
      </c>
      <c r="I6489" s="0" t="n">
        <f aca="false">1</f>
        <v>1</v>
      </c>
      <c r="J6489" s="0" t="n">
        <f aca="false">E6489</f>
        <v>1</v>
      </c>
      <c r="K6489" s="0" t="n">
        <f aca="false">F6489</f>
        <v>1</v>
      </c>
      <c r="L6489" s="0" t="n">
        <f aca="false">G6489</f>
        <v>-1</v>
      </c>
      <c r="M6489" s="0" t="n">
        <f aca="false">H6489</f>
        <v>0</v>
      </c>
      <c r="N6489" s="0" t="n">
        <f aca="false">E6489*F6489</f>
        <v>1</v>
      </c>
      <c r="O6489" s="0" t="n">
        <f aca="false">E6489*G6489</f>
        <v>-1</v>
      </c>
      <c r="P6489" s="0" t="n">
        <f aca="false">E6489*H6489</f>
        <v>0</v>
      </c>
      <c r="Q6489" s="0" t="n">
        <f aca="false">F6489*G6489</f>
        <v>-1</v>
      </c>
      <c r="R6489" s="0" t="n">
        <f aca="false">F6489*H6489</f>
        <v>0</v>
      </c>
      <c r="S6489" s="0" t="n">
        <f aca="false">G6489*H6489</f>
        <v>-0</v>
      </c>
      <c r="T6489" s="0" t="n">
        <f aca="false">E6489*E6489</f>
        <v>1</v>
      </c>
      <c r="U6489" s="0" t="n">
        <f aca="false">F6489*F6489</f>
        <v>1</v>
      </c>
      <c r="V6489" s="0" t="n">
        <f aca="false">G6489*G6489</f>
        <v>1</v>
      </c>
      <c r="W6489" s="0" t="n">
        <f aca="false">H6489*H6489</f>
        <v>0</v>
      </c>
      <c r="X6489" s="0" t="n">
        <f aca="false">SUMPRODUCT(I6489:W6489,_XtX!$B$96:$P$96)</f>
        <v>46.6396929824562</v>
      </c>
      <c r="Y6489" s="0" t="n">
        <f aca="false">SUMPRODUCT(MMULT(I6489:W6489,_XtX!$B$78:$P$92),I6489:W6489)</f>
        <v>0.766447368421053</v>
      </c>
      <c r="Z6489" s="0" t="n">
        <f aca="false">04_回帰ANOVA!$K$19*04_回帰ANOVA!$K$14*SQRT(1+Y6489)</f>
        <v>1.7324022685743</v>
      </c>
      <c r="AA6489" s="0" t="n">
        <f aca="false">X6489-Z6489</f>
        <v>44.9072907138819</v>
      </c>
      <c r="AB6489" s="0" t="n">
        <f aca="false">X6489+Z6489</f>
        <v>48.3720952510305</v>
      </c>
      <c r="AC6489" s="54" t="b">
        <f aca="false">AND(E6489&gt;=01_因子設定!$L$5-0.000000001,E6489&lt;=01_因子設定!$M$5+0.000000001,F6489&gt;=01_因子設定!$L$6-0.000000001,F6489&lt;=01_因子設定!$M$6+0.000000001,G6489&gt;=01_因子設定!$L$7-0.000000001,G6489&lt;=01_因子設定!$M$7+0.000000001,H6489&gt;=01_因子設定!$L$8-0.000000001,H6489&lt;=01_因子設定!$M$8+0.000000001,IF(01_因子設定!$B$20="Box-Behnken",E6489^2+F6489^2+G6489^2+H6489^2&lt;=2+0.000000001,TRUE()))</f>
        <v>1</v>
      </c>
      <c r="AD6489" s="55" t="n">
        <f aca="false">IF(AC6489,IF(01_因子設定!$B$13="最大化",AA6489-01_因子設定!$B$14,IF(01_因子設定!$B$13="最小化",01_因子設定!$B$15-AB6489,MIN(AA6489-01_因子設定!$B$14,01_因子設定!$B$15-AB6489))),-1E+030)</f>
        <v>-1.59270928611814</v>
      </c>
      <c r="AE6489" s="55" t="n">
        <f aca="false">IF(AC6489,IF(01_因子設定!$B$13="最大化",X6489,IF(01_因子設定!$B$13="最小化",-X6489,-ABS(X6489-01_因子設定!$B$16))),-1E+030)</f>
        <v>46.6396929824562</v>
      </c>
      <c r="AF6489" s="55" t="n">
        <f aca="false">AD6489+ROW()*0.000000001</f>
        <v>-1.59270279711814</v>
      </c>
      <c r="AG6489" s="55" t="n">
        <f aca="false">AE6489+ROW()*0.000000001</f>
        <v>46.6396994714562</v>
      </c>
    </row>
    <row r="6490" customFormat="false" ht="15" hidden="false" customHeight="false" outlineLevel="0" collapsed="false">
      <c r="A6490" s="0" t="n">
        <v>8</v>
      </c>
      <c r="B6490" s="0" t="n">
        <v>8</v>
      </c>
      <c r="C6490" s="0" t="n">
        <v>0</v>
      </c>
      <c r="D6490" s="0" t="n">
        <v>5</v>
      </c>
      <c r="E6490" s="0" t="n">
        <f aca="false">-1+A6490*0.25</f>
        <v>1</v>
      </c>
      <c r="F6490" s="0" t="n">
        <f aca="false">-1+B6490*0.25</f>
        <v>1</v>
      </c>
      <c r="G6490" s="0" t="n">
        <f aca="false">-1+C6490*0.25</f>
        <v>-1</v>
      </c>
      <c r="H6490" s="0" t="n">
        <f aca="false">-1+D6490*0.25</f>
        <v>0.25</v>
      </c>
      <c r="I6490" s="0" t="n">
        <f aca="false">1</f>
        <v>1</v>
      </c>
      <c r="J6490" s="0" t="n">
        <f aca="false">E6490</f>
        <v>1</v>
      </c>
      <c r="K6490" s="0" t="n">
        <f aca="false">F6490</f>
        <v>1</v>
      </c>
      <c r="L6490" s="0" t="n">
        <f aca="false">G6490</f>
        <v>-1</v>
      </c>
      <c r="M6490" s="0" t="n">
        <f aca="false">H6490</f>
        <v>0.25</v>
      </c>
      <c r="N6490" s="0" t="n">
        <f aca="false">E6490*F6490</f>
        <v>1</v>
      </c>
      <c r="O6490" s="0" t="n">
        <f aca="false">E6490*G6490</f>
        <v>-1</v>
      </c>
      <c r="P6490" s="0" t="n">
        <f aca="false">E6490*H6490</f>
        <v>0.25</v>
      </c>
      <c r="Q6490" s="0" t="n">
        <f aca="false">F6490*G6490</f>
        <v>-1</v>
      </c>
      <c r="R6490" s="0" t="n">
        <f aca="false">F6490*H6490</f>
        <v>0.25</v>
      </c>
      <c r="S6490" s="0" t="n">
        <f aca="false">G6490*H6490</f>
        <v>-0.25</v>
      </c>
      <c r="T6490" s="0" t="n">
        <f aca="false">E6490*E6490</f>
        <v>1</v>
      </c>
      <c r="U6490" s="0" t="n">
        <f aca="false">F6490*F6490</f>
        <v>1</v>
      </c>
      <c r="V6490" s="0" t="n">
        <f aca="false">G6490*G6490</f>
        <v>1</v>
      </c>
      <c r="W6490" s="0" t="n">
        <f aca="false">H6490*H6490</f>
        <v>0.0625</v>
      </c>
      <c r="X6490" s="0" t="n">
        <f aca="false">SUMPRODUCT(I6490:W6490,_XtX!$B$96:$P$96)</f>
        <v>46.6234283625731</v>
      </c>
      <c r="Y6490" s="0" t="n">
        <f aca="false">SUMPRODUCT(MMULT(I6490:W6490,_XtX!$B$78:$P$92),I6490:W6490)</f>
        <v>0.737093384502924</v>
      </c>
      <c r="Z6490" s="0" t="n">
        <f aca="false">04_回帰ANOVA!$K$19*04_回帰ANOVA!$K$14*SQRT(1+Y6490)</f>
        <v>1.71794784853551</v>
      </c>
      <c r="AA6490" s="0" t="n">
        <f aca="false">X6490-Z6490</f>
        <v>44.9054805140376</v>
      </c>
      <c r="AB6490" s="0" t="n">
        <f aca="false">X6490+Z6490</f>
        <v>48.3413762111086</v>
      </c>
      <c r="AC6490" s="54" t="b">
        <f aca="false">AND(E6490&gt;=01_因子設定!$L$5-0.000000001,E6490&lt;=01_因子設定!$M$5+0.000000001,F6490&gt;=01_因子設定!$L$6-0.000000001,F6490&lt;=01_因子設定!$M$6+0.000000001,G6490&gt;=01_因子設定!$L$7-0.000000001,G6490&lt;=01_因子設定!$M$7+0.000000001,H6490&gt;=01_因子設定!$L$8-0.000000001,H6490&lt;=01_因子設定!$M$8+0.000000001,IF(01_因子設定!$B$20="Box-Behnken",E6490^2+F6490^2+G6490^2+H6490^2&lt;=2+0.000000001,TRUE()))</f>
        <v>1</v>
      </c>
      <c r="AD6490" s="55" t="n">
        <f aca="false">IF(AC6490,IF(01_因子設定!$B$13="最大化",AA6490-01_因子設定!$B$14,IF(01_因子設定!$B$13="最小化",01_因子設定!$B$15-AB6490,MIN(AA6490-01_因子設定!$B$14,01_因子設定!$B$15-AB6490))),-1E+030)</f>
        <v>-1.59451948596237</v>
      </c>
      <c r="AE6490" s="55" t="n">
        <f aca="false">IF(AC6490,IF(01_因子設定!$B$13="最大化",X6490,IF(01_因子設定!$B$13="最小化",-X6490,-ABS(X6490-01_因子設定!$B$16))),-1E+030)</f>
        <v>46.6234283625731</v>
      </c>
      <c r="AF6490" s="55" t="n">
        <f aca="false">AD6490+ROW()*0.000000001</f>
        <v>-1.59451299596237</v>
      </c>
      <c r="AG6490" s="55" t="n">
        <f aca="false">AE6490+ROW()*0.000000001</f>
        <v>46.6234348525731</v>
      </c>
    </row>
    <row r="6491" customFormat="false" ht="15" hidden="false" customHeight="false" outlineLevel="0" collapsed="false">
      <c r="A6491" s="0" t="n">
        <v>8</v>
      </c>
      <c r="B6491" s="0" t="n">
        <v>8</v>
      </c>
      <c r="C6491" s="0" t="n">
        <v>0</v>
      </c>
      <c r="D6491" s="0" t="n">
        <v>6</v>
      </c>
      <c r="E6491" s="0" t="n">
        <f aca="false">-1+A6491*0.25</f>
        <v>1</v>
      </c>
      <c r="F6491" s="0" t="n">
        <f aca="false">-1+B6491*0.25</f>
        <v>1</v>
      </c>
      <c r="G6491" s="0" t="n">
        <f aca="false">-1+C6491*0.25</f>
        <v>-1</v>
      </c>
      <c r="H6491" s="0" t="n">
        <f aca="false">-1+D6491*0.25</f>
        <v>0.5</v>
      </c>
      <c r="I6491" s="0" t="n">
        <f aca="false">1</f>
        <v>1</v>
      </c>
      <c r="J6491" s="0" t="n">
        <f aca="false">E6491</f>
        <v>1</v>
      </c>
      <c r="K6491" s="0" t="n">
        <f aca="false">F6491</f>
        <v>1</v>
      </c>
      <c r="L6491" s="0" t="n">
        <f aca="false">G6491</f>
        <v>-1</v>
      </c>
      <c r="M6491" s="0" t="n">
        <f aca="false">H6491</f>
        <v>0.5</v>
      </c>
      <c r="N6491" s="0" t="n">
        <f aca="false">E6491*F6491</f>
        <v>1</v>
      </c>
      <c r="O6491" s="0" t="n">
        <f aca="false">E6491*G6491</f>
        <v>-1</v>
      </c>
      <c r="P6491" s="0" t="n">
        <f aca="false">E6491*H6491</f>
        <v>0.5</v>
      </c>
      <c r="Q6491" s="0" t="n">
        <f aca="false">F6491*G6491</f>
        <v>-1</v>
      </c>
      <c r="R6491" s="0" t="n">
        <f aca="false">F6491*H6491</f>
        <v>0.5</v>
      </c>
      <c r="S6491" s="0" t="n">
        <f aca="false">G6491*H6491</f>
        <v>-0.5</v>
      </c>
      <c r="T6491" s="0" t="n">
        <f aca="false">E6491*E6491</f>
        <v>1</v>
      </c>
      <c r="U6491" s="0" t="n">
        <f aca="false">F6491*F6491</f>
        <v>1</v>
      </c>
      <c r="V6491" s="0" t="n">
        <f aca="false">G6491*G6491</f>
        <v>1</v>
      </c>
      <c r="W6491" s="0" t="n">
        <f aca="false">H6491*H6491</f>
        <v>0.25</v>
      </c>
      <c r="X6491" s="0" t="n">
        <f aca="false">SUMPRODUCT(I6491:W6491,_XtX!$B$96:$P$96)</f>
        <v>46.5593567251462</v>
      </c>
      <c r="Y6491" s="0" t="n">
        <f aca="false">SUMPRODUCT(MMULT(I6491:W6491,_XtX!$B$78:$P$92),I6491:W6491)</f>
        <v>0.667123538011696</v>
      </c>
      <c r="Z6491" s="0" t="n">
        <f aca="false">04_回帰ANOVA!$K$19*04_回帰ANOVA!$K$14*SQRT(1+Y6491)</f>
        <v>1.68299290213005</v>
      </c>
      <c r="AA6491" s="0" t="n">
        <f aca="false">X6491-Z6491</f>
        <v>44.8763638230162</v>
      </c>
      <c r="AB6491" s="0" t="n">
        <f aca="false">X6491+Z6491</f>
        <v>48.2423496272763</v>
      </c>
      <c r="AC6491" s="54" t="b">
        <f aca="false">AND(E6491&gt;=01_因子設定!$L$5-0.000000001,E6491&lt;=01_因子設定!$M$5+0.000000001,F6491&gt;=01_因子設定!$L$6-0.000000001,F6491&lt;=01_因子設定!$M$6+0.000000001,G6491&gt;=01_因子設定!$L$7-0.000000001,G6491&lt;=01_因子設定!$M$7+0.000000001,H6491&gt;=01_因子設定!$L$8-0.000000001,H6491&lt;=01_因子設定!$M$8+0.000000001,IF(01_因子設定!$B$20="Box-Behnken",E6491^2+F6491^2+G6491^2+H6491^2&lt;=2+0.000000001,TRUE()))</f>
        <v>1</v>
      </c>
      <c r="AD6491" s="55" t="n">
        <f aca="false">IF(AC6491,IF(01_因子設定!$B$13="最大化",AA6491-01_因子設定!$B$14,IF(01_因子設定!$B$13="最小化",01_因子設定!$B$15-AB6491,MIN(AA6491-01_因子設定!$B$14,01_因子設定!$B$15-AB6491))),-1E+030)</f>
        <v>-1.62363617698382</v>
      </c>
      <c r="AE6491" s="55" t="n">
        <f aca="false">IF(AC6491,IF(01_因子設定!$B$13="最大化",X6491,IF(01_因子設定!$B$13="最小化",-X6491,-ABS(X6491-01_因子設定!$B$16))),-1E+030)</f>
        <v>46.5593567251462</v>
      </c>
      <c r="AF6491" s="55" t="n">
        <f aca="false">AD6491+ROW()*0.000000001</f>
        <v>-1.62362968598382</v>
      </c>
      <c r="AG6491" s="55" t="n">
        <f aca="false">AE6491+ROW()*0.000000001</f>
        <v>46.5593632161462</v>
      </c>
    </row>
    <row r="6492" customFormat="false" ht="15" hidden="false" customHeight="false" outlineLevel="0" collapsed="false">
      <c r="A6492" s="0" t="n">
        <v>8</v>
      </c>
      <c r="B6492" s="0" t="n">
        <v>8</v>
      </c>
      <c r="C6492" s="0" t="n">
        <v>0</v>
      </c>
      <c r="D6492" s="0" t="n">
        <v>7</v>
      </c>
      <c r="E6492" s="0" t="n">
        <f aca="false">-1+A6492*0.25</f>
        <v>1</v>
      </c>
      <c r="F6492" s="0" t="n">
        <f aca="false">-1+B6492*0.25</f>
        <v>1</v>
      </c>
      <c r="G6492" s="0" t="n">
        <f aca="false">-1+C6492*0.25</f>
        <v>-1</v>
      </c>
      <c r="H6492" s="0" t="n">
        <f aca="false">-1+D6492*0.25</f>
        <v>0.75</v>
      </c>
      <c r="I6492" s="0" t="n">
        <f aca="false">1</f>
        <v>1</v>
      </c>
      <c r="J6492" s="0" t="n">
        <f aca="false">E6492</f>
        <v>1</v>
      </c>
      <c r="K6492" s="0" t="n">
        <f aca="false">F6492</f>
        <v>1</v>
      </c>
      <c r="L6492" s="0" t="n">
        <f aca="false">G6492</f>
        <v>-1</v>
      </c>
      <c r="M6492" s="0" t="n">
        <f aca="false">H6492</f>
        <v>0.75</v>
      </c>
      <c r="N6492" s="0" t="n">
        <f aca="false">E6492*F6492</f>
        <v>1</v>
      </c>
      <c r="O6492" s="0" t="n">
        <f aca="false">E6492*G6492</f>
        <v>-1</v>
      </c>
      <c r="P6492" s="0" t="n">
        <f aca="false">E6492*H6492</f>
        <v>0.75</v>
      </c>
      <c r="Q6492" s="0" t="n">
        <f aca="false">F6492*G6492</f>
        <v>-1</v>
      </c>
      <c r="R6492" s="0" t="n">
        <f aca="false">F6492*H6492</f>
        <v>0.75</v>
      </c>
      <c r="S6492" s="0" t="n">
        <f aca="false">G6492*H6492</f>
        <v>-0.75</v>
      </c>
      <c r="T6492" s="0" t="n">
        <f aca="false">E6492*E6492</f>
        <v>1</v>
      </c>
      <c r="U6492" s="0" t="n">
        <f aca="false">F6492*F6492</f>
        <v>1</v>
      </c>
      <c r="V6492" s="0" t="n">
        <f aca="false">G6492*G6492</f>
        <v>1</v>
      </c>
      <c r="W6492" s="0" t="n">
        <f aca="false">H6492*H6492</f>
        <v>0.5625</v>
      </c>
      <c r="X6492" s="0" t="n">
        <f aca="false">SUMPRODUCT(I6492:W6492,_XtX!$B$96:$P$96)</f>
        <v>46.4474780701755</v>
      </c>
      <c r="Y6492" s="0" t="n">
        <f aca="false">SUMPRODUCT(MMULT(I6492:W6492,_XtX!$B$78:$P$92),I6492:W6492)</f>
        <v>0.610814144736842</v>
      </c>
      <c r="Z6492" s="0" t="n">
        <f aca="false">04_回帰ANOVA!$K$19*04_回帰ANOVA!$K$14*SQRT(1+Y6492)</f>
        <v>1.6543260558361</v>
      </c>
      <c r="AA6492" s="0" t="n">
        <f aca="false">X6492-Z6492</f>
        <v>44.7931520143394</v>
      </c>
      <c r="AB6492" s="0" t="n">
        <f aca="false">X6492+Z6492</f>
        <v>48.1018041260116</v>
      </c>
      <c r="AC6492" s="54" t="b">
        <f aca="false">AND(E6492&gt;=01_因子設定!$L$5-0.000000001,E6492&lt;=01_因子設定!$M$5+0.000000001,F6492&gt;=01_因子設定!$L$6-0.000000001,F6492&lt;=01_因子設定!$M$6+0.000000001,G6492&gt;=01_因子設定!$L$7-0.000000001,G6492&lt;=01_因子設定!$M$7+0.000000001,H6492&gt;=01_因子設定!$L$8-0.000000001,H6492&lt;=01_因子設定!$M$8+0.000000001,IF(01_因子設定!$B$20="Box-Behnken",E6492^2+F6492^2+G6492^2+H6492^2&lt;=2+0.000000001,TRUE()))</f>
        <v>1</v>
      </c>
      <c r="AD6492" s="55" t="n">
        <f aca="false">IF(AC6492,IF(01_因子設定!$B$13="最大化",AA6492-01_因子設定!$B$14,IF(01_因子設定!$B$13="最小化",01_因子設定!$B$15-AB6492,MIN(AA6492-01_因子設定!$B$14,01_因子設定!$B$15-AB6492))),-1E+030)</f>
        <v>-1.70684798566061</v>
      </c>
      <c r="AE6492" s="55" t="n">
        <f aca="false">IF(AC6492,IF(01_因子設定!$B$13="最大化",X6492,IF(01_因子設定!$B$13="最小化",-X6492,-ABS(X6492-01_因子設定!$B$16))),-1E+030)</f>
        <v>46.4474780701755</v>
      </c>
      <c r="AF6492" s="55" t="n">
        <f aca="false">AD6492+ROW()*0.000000001</f>
        <v>-1.70684149366061</v>
      </c>
      <c r="AG6492" s="55" t="n">
        <f aca="false">AE6492+ROW()*0.000000001</f>
        <v>46.4474845621755</v>
      </c>
    </row>
    <row r="6493" customFormat="false" ht="15" hidden="false" customHeight="false" outlineLevel="0" collapsed="false">
      <c r="A6493" s="0" t="n">
        <v>8</v>
      </c>
      <c r="B6493" s="0" t="n">
        <v>8</v>
      </c>
      <c r="C6493" s="0" t="n">
        <v>0</v>
      </c>
      <c r="D6493" s="0" t="n">
        <v>8</v>
      </c>
      <c r="E6493" s="0" t="n">
        <f aca="false">-1+A6493*0.25</f>
        <v>1</v>
      </c>
      <c r="F6493" s="0" t="n">
        <f aca="false">-1+B6493*0.25</f>
        <v>1</v>
      </c>
      <c r="G6493" s="0" t="n">
        <f aca="false">-1+C6493*0.25</f>
        <v>-1</v>
      </c>
      <c r="H6493" s="0" t="n">
        <f aca="false">-1+D6493*0.25</f>
        <v>1</v>
      </c>
      <c r="I6493" s="0" t="n">
        <f aca="false">1</f>
        <v>1</v>
      </c>
      <c r="J6493" s="0" t="n">
        <f aca="false">E6493</f>
        <v>1</v>
      </c>
      <c r="K6493" s="0" t="n">
        <f aca="false">F6493</f>
        <v>1</v>
      </c>
      <c r="L6493" s="0" t="n">
        <f aca="false">G6493</f>
        <v>-1</v>
      </c>
      <c r="M6493" s="0" t="n">
        <f aca="false">H6493</f>
        <v>1</v>
      </c>
      <c r="N6493" s="0" t="n">
        <f aca="false">E6493*F6493</f>
        <v>1</v>
      </c>
      <c r="O6493" s="0" t="n">
        <f aca="false">E6493*G6493</f>
        <v>-1</v>
      </c>
      <c r="P6493" s="0" t="n">
        <f aca="false">E6493*H6493</f>
        <v>1</v>
      </c>
      <c r="Q6493" s="0" t="n">
        <f aca="false">F6493*G6493</f>
        <v>-1</v>
      </c>
      <c r="R6493" s="0" t="n">
        <f aca="false">F6493*H6493</f>
        <v>1</v>
      </c>
      <c r="S6493" s="0" t="n">
        <f aca="false">G6493*H6493</f>
        <v>-1</v>
      </c>
      <c r="T6493" s="0" t="n">
        <f aca="false">E6493*E6493</f>
        <v>1</v>
      </c>
      <c r="U6493" s="0" t="n">
        <f aca="false">F6493*F6493</f>
        <v>1</v>
      </c>
      <c r="V6493" s="0" t="n">
        <f aca="false">G6493*G6493</f>
        <v>1</v>
      </c>
      <c r="W6493" s="0" t="n">
        <f aca="false">H6493*H6493</f>
        <v>1</v>
      </c>
      <c r="X6493" s="0" t="n">
        <f aca="false">SUMPRODUCT(I6493:W6493,_XtX!$B$96:$P$96)</f>
        <v>46.2877923976609</v>
      </c>
      <c r="Y6493" s="0" t="n">
        <f aca="false">SUMPRODUCT(MMULT(I6493:W6493,_XtX!$B$78:$P$92),I6493:W6493)</f>
        <v>0.658625730994152</v>
      </c>
      <c r="Z6493" s="0" t="n">
        <f aca="false">04_回帰ANOVA!$K$19*04_回帰ANOVA!$K$14*SQRT(1+Y6493)</f>
        <v>1.67869807328422</v>
      </c>
      <c r="AA6493" s="0" t="n">
        <f aca="false">X6493-Z6493</f>
        <v>44.6090943243767</v>
      </c>
      <c r="AB6493" s="0" t="n">
        <f aca="false">X6493+Z6493</f>
        <v>47.9664904709451</v>
      </c>
      <c r="AC6493" s="54" t="b">
        <f aca="false">AND(E6493&gt;=01_因子設定!$L$5-0.000000001,E6493&lt;=01_因子設定!$M$5+0.000000001,F6493&gt;=01_因子設定!$L$6-0.000000001,F6493&lt;=01_因子設定!$M$6+0.000000001,G6493&gt;=01_因子設定!$L$7-0.000000001,G6493&lt;=01_因子設定!$M$7+0.000000001,H6493&gt;=01_因子設定!$L$8-0.000000001,H6493&lt;=01_因子設定!$M$8+0.000000001,IF(01_因子設定!$B$20="Box-Behnken",E6493^2+F6493^2+G6493^2+H6493^2&lt;=2+0.000000001,TRUE()))</f>
        <v>1</v>
      </c>
      <c r="AD6493" s="55" t="n">
        <f aca="false">IF(AC6493,IF(01_因子設定!$B$13="最大化",AA6493-01_因子設定!$B$14,IF(01_因子設定!$B$13="最小化",01_因子設定!$B$15-AB6493,MIN(AA6493-01_因子設定!$B$14,01_因子設定!$B$15-AB6493))),-1E+030)</f>
        <v>-1.89090567562334</v>
      </c>
      <c r="AE6493" s="55" t="n">
        <f aca="false">IF(AC6493,IF(01_因子設定!$B$13="最大化",X6493,IF(01_因子設定!$B$13="最小化",-X6493,-ABS(X6493-01_因子設定!$B$16))),-1E+030)</f>
        <v>46.2877923976609</v>
      </c>
      <c r="AF6493" s="55" t="n">
        <f aca="false">AD6493+ROW()*0.000000001</f>
        <v>-1.89089918262334</v>
      </c>
      <c r="AG6493" s="55" t="n">
        <f aca="false">AE6493+ROW()*0.000000001</f>
        <v>46.2877988906609</v>
      </c>
    </row>
    <row r="6494" customFormat="false" ht="15" hidden="false" customHeight="false" outlineLevel="0" collapsed="false">
      <c r="A6494" s="0" t="n">
        <v>8</v>
      </c>
      <c r="B6494" s="0" t="n">
        <v>8</v>
      </c>
      <c r="C6494" s="0" t="n">
        <v>1</v>
      </c>
      <c r="D6494" s="0" t="n">
        <v>0</v>
      </c>
      <c r="E6494" s="0" t="n">
        <f aca="false">-1+A6494*0.25</f>
        <v>1</v>
      </c>
      <c r="F6494" s="0" t="n">
        <f aca="false">-1+B6494*0.25</f>
        <v>1</v>
      </c>
      <c r="G6494" s="0" t="n">
        <f aca="false">-1+C6494*0.25</f>
        <v>-0.75</v>
      </c>
      <c r="H6494" s="0" t="n">
        <f aca="false">-1+D6494*0.25</f>
        <v>-1</v>
      </c>
      <c r="I6494" s="0" t="n">
        <f aca="false">1</f>
        <v>1</v>
      </c>
      <c r="J6494" s="0" t="n">
        <f aca="false">E6494</f>
        <v>1</v>
      </c>
      <c r="K6494" s="0" t="n">
        <f aca="false">F6494</f>
        <v>1</v>
      </c>
      <c r="L6494" s="0" t="n">
        <f aca="false">G6494</f>
        <v>-0.75</v>
      </c>
      <c r="M6494" s="0" t="n">
        <f aca="false">H6494</f>
        <v>-1</v>
      </c>
      <c r="N6494" s="0" t="n">
        <f aca="false">E6494*F6494</f>
        <v>1</v>
      </c>
      <c r="O6494" s="0" t="n">
        <f aca="false">E6494*G6494</f>
        <v>-0.75</v>
      </c>
      <c r="P6494" s="0" t="n">
        <f aca="false">E6494*H6494</f>
        <v>-1</v>
      </c>
      <c r="Q6494" s="0" t="n">
        <f aca="false">F6494*G6494</f>
        <v>-0.75</v>
      </c>
      <c r="R6494" s="0" t="n">
        <f aca="false">F6494*H6494</f>
        <v>-1</v>
      </c>
      <c r="S6494" s="0" t="n">
        <f aca="false">G6494*H6494</f>
        <v>0.75</v>
      </c>
      <c r="T6494" s="0" t="n">
        <f aca="false">E6494*E6494</f>
        <v>1</v>
      </c>
      <c r="U6494" s="0" t="n">
        <f aca="false">F6494*F6494</f>
        <v>1</v>
      </c>
      <c r="V6494" s="0" t="n">
        <f aca="false">G6494*G6494</f>
        <v>0.5625</v>
      </c>
      <c r="W6494" s="0" t="n">
        <f aca="false">H6494*H6494</f>
        <v>1</v>
      </c>
      <c r="X6494" s="0" t="n">
        <f aca="false">SUMPRODUCT(I6494:W6494,_XtX!$B$96:$P$96)</f>
        <v>46.6148391812866</v>
      </c>
      <c r="Y6494" s="0" t="n">
        <f aca="false">SUMPRODUCT(MMULT(I6494:W6494,_XtX!$B$78:$P$92),I6494:W6494)</f>
        <v>0.610814144736842</v>
      </c>
      <c r="Z6494" s="0" t="n">
        <f aca="false">04_回帰ANOVA!$K$19*04_回帰ANOVA!$K$14*SQRT(1+Y6494)</f>
        <v>1.6543260558361</v>
      </c>
      <c r="AA6494" s="0" t="n">
        <f aca="false">X6494-Z6494</f>
        <v>44.9605131254505</v>
      </c>
      <c r="AB6494" s="0" t="n">
        <f aca="false">X6494+Z6494</f>
        <v>48.2691652371227</v>
      </c>
      <c r="AC6494" s="54" t="b">
        <f aca="false">AND(E6494&gt;=01_因子設定!$L$5-0.000000001,E6494&lt;=01_因子設定!$M$5+0.000000001,F6494&gt;=01_因子設定!$L$6-0.000000001,F6494&lt;=01_因子設定!$M$6+0.000000001,G6494&gt;=01_因子設定!$L$7-0.000000001,G6494&lt;=01_因子設定!$M$7+0.000000001,H6494&gt;=01_因子設定!$L$8-0.000000001,H6494&lt;=01_因子設定!$M$8+0.000000001,IF(01_因子設定!$B$20="Box-Behnken",E6494^2+F6494^2+G6494^2+H6494^2&lt;=2+0.000000001,TRUE()))</f>
        <v>1</v>
      </c>
      <c r="AD6494" s="55" t="n">
        <f aca="false">IF(AC6494,IF(01_因子設定!$B$13="最大化",AA6494-01_因子設定!$B$14,IF(01_因子設定!$B$13="最小化",01_因子設定!$B$15-AB6494,MIN(AA6494-01_因子設定!$B$14,01_因子設定!$B$15-AB6494))),-1E+030)</f>
        <v>-1.53948687454948</v>
      </c>
      <c r="AE6494" s="55" t="n">
        <f aca="false">IF(AC6494,IF(01_因子設定!$B$13="最大化",X6494,IF(01_因子設定!$B$13="最小化",-X6494,-ABS(X6494-01_因子設定!$B$16))),-1E+030)</f>
        <v>46.6148391812866</v>
      </c>
      <c r="AF6494" s="55" t="n">
        <f aca="false">AD6494+ROW()*0.000000001</f>
        <v>-1.53948038054948</v>
      </c>
      <c r="AG6494" s="55" t="n">
        <f aca="false">AE6494+ROW()*0.000000001</f>
        <v>46.6148456752866</v>
      </c>
    </row>
    <row r="6495" customFormat="false" ht="15" hidden="false" customHeight="false" outlineLevel="0" collapsed="false">
      <c r="A6495" s="0" t="n">
        <v>8</v>
      </c>
      <c r="B6495" s="0" t="n">
        <v>8</v>
      </c>
      <c r="C6495" s="0" t="n">
        <v>1</v>
      </c>
      <c r="D6495" s="0" t="n">
        <v>1</v>
      </c>
      <c r="E6495" s="0" t="n">
        <f aca="false">-1+A6495*0.25</f>
        <v>1</v>
      </c>
      <c r="F6495" s="0" t="n">
        <f aca="false">-1+B6495*0.25</f>
        <v>1</v>
      </c>
      <c r="G6495" s="0" t="n">
        <f aca="false">-1+C6495*0.25</f>
        <v>-0.75</v>
      </c>
      <c r="H6495" s="0" t="n">
        <f aca="false">-1+D6495*0.25</f>
        <v>-0.75</v>
      </c>
      <c r="I6495" s="0" t="n">
        <f aca="false">1</f>
        <v>1</v>
      </c>
      <c r="J6495" s="0" t="n">
        <f aca="false">E6495</f>
        <v>1</v>
      </c>
      <c r="K6495" s="0" t="n">
        <f aca="false">F6495</f>
        <v>1</v>
      </c>
      <c r="L6495" s="0" t="n">
        <f aca="false">G6495</f>
        <v>-0.75</v>
      </c>
      <c r="M6495" s="0" t="n">
        <f aca="false">H6495</f>
        <v>-0.75</v>
      </c>
      <c r="N6495" s="0" t="n">
        <f aca="false">E6495*F6495</f>
        <v>1</v>
      </c>
      <c r="O6495" s="0" t="n">
        <f aca="false">E6495*G6495</f>
        <v>-0.75</v>
      </c>
      <c r="P6495" s="0" t="n">
        <f aca="false">E6495*H6495</f>
        <v>-0.75</v>
      </c>
      <c r="Q6495" s="0" t="n">
        <f aca="false">F6495*G6495</f>
        <v>-0.75</v>
      </c>
      <c r="R6495" s="0" t="n">
        <f aca="false">F6495*H6495</f>
        <v>-0.75</v>
      </c>
      <c r="S6495" s="0" t="n">
        <f aca="false">G6495*H6495</f>
        <v>0.5625</v>
      </c>
      <c r="T6495" s="0" t="n">
        <f aca="false">E6495*E6495</f>
        <v>1</v>
      </c>
      <c r="U6495" s="0" t="n">
        <f aca="false">F6495*F6495</f>
        <v>1</v>
      </c>
      <c r="V6495" s="0" t="n">
        <f aca="false">G6495*G6495</f>
        <v>0.5625</v>
      </c>
      <c r="W6495" s="0" t="n">
        <f aca="false">H6495*H6495</f>
        <v>0.5625</v>
      </c>
      <c r="X6495" s="0" t="n">
        <f aca="false">SUMPRODUCT(I6495:W6495,_XtX!$B$96:$P$96)</f>
        <v>46.807771381579</v>
      </c>
      <c r="Y6495" s="0" t="n">
        <f aca="false">SUMPRODUCT(MMULT(I6495:W6495,_XtX!$B$78:$P$92),I6495:W6495)</f>
        <v>0.531311392086988</v>
      </c>
      <c r="Z6495" s="0" t="n">
        <f aca="false">04_回帰ANOVA!$K$19*04_回帰ANOVA!$K$14*SQRT(1+Y6495)</f>
        <v>1.61298433431428</v>
      </c>
      <c r="AA6495" s="0" t="n">
        <f aca="false">X6495-Z6495</f>
        <v>45.1947870472647</v>
      </c>
      <c r="AB6495" s="0" t="n">
        <f aca="false">X6495+Z6495</f>
        <v>48.4207557158933</v>
      </c>
      <c r="AC6495" s="54" t="b">
        <f aca="false">AND(E6495&gt;=01_因子設定!$L$5-0.000000001,E6495&lt;=01_因子設定!$M$5+0.000000001,F6495&gt;=01_因子設定!$L$6-0.000000001,F6495&lt;=01_因子設定!$M$6+0.000000001,G6495&gt;=01_因子設定!$L$7-0.000000001,G6495&lt;=01_因子設定!$M$7+0.000000001,H6495&gt;=01_因子設定!$L$8-0.000000001,H6495&lt;=01_因子設定!$M$8+0.000000001,IF(01_因子設定!$B$20="Box-Behnken",E6495^2+F6495^2+G6495^2+H6495^2&lt;=2+0.000000001,TRUE()))</f>
        <v>1</v>
      </c>
      <c r="AD6495" s="55" t="n">
        <f aca="false">IF(AC6495,IF(01_因子設定!$B$13="最大化",AA6495-01_因子設定!$B$14,IF(01_因子設定!$B$13="最小化",01_因子設定!$B$15-AB6495,MIN(AA6495-01_因子設定!$B$14,01_因子設定!$B$15-AB6495))),-1E+030)</f>
        <v>-1.30521295273529</v>
      </c>
      <c r="AE6495" s="55" t="n">
        <f aca="false">IF(AC6495,IF(01_因子設定!$B$13="最大化",X6495,IF(01_因子設定!$B$13="最小化",-X6495,-ABS(X6495-01_因子設定!$B$16))),-1E+030)</f>
        <v>46.807771381579</v>
      </c>
      <c r="AF6495" s="55" t="n">
        <f aca="false">AD6495+ROW()*0.000000001</f>
        <v>-1.30520645773529</v>
      </c>
      <c r="AG6495" s="55" t="n">
        <f aca="false">AE6495+ROW()*0.000000001</f>
        <v>46.807777876579</v>
      </c>
    </row>
    <row r="6496" customFormat="false" ht="15" hidden="false" customHeight="false" outlineLevel="0" collapsed="false">
      <c r="A6496" s="0" t="n">
        <v>8</v>
      </c>
      <c r="B6496" s="0" t="n">
        <v>8</v>
      </c>
      <c r="C6496" s="0" t="n">
        <v>1</v>
      </c>
      <c r="D6496" s="0" t="n">
        <v>2</v>
      </c>
      <c r="E6496" s="0" t="n">
        <f aca="false">-1+A6496*0.25</f>
        <v>1</v>
      </c>
      <c r="F6496" s="0" t="n">
        <f aca="false">-1+B6496*0.25</f>
        <v>1</v>
      </c>
      <c r="G6496" s="0" t="n">
        <f aca="false">-1+C6496*0.25</f>
        <v>-0.75</v>
      </c>
      <c r="H6496" s="0" t="n">
        <f aca="false">-1+D6496*0.25</f>
        <v>-0.5</v>
      </c>
      <c r="I6496" s="0" t="n">
        <f aca="false">1</f>
        <v>1</v>
      </c>
      <c r="J6496" s="0" t="n">
        <f aca="false">E6496</f>
        <v>1</v>
      </c>
      <c r="K6496" s="0" t="n">
        <f aca="false">F6496</f>
        <v>1</v>
      </c>
      <c r="L6496" s="0" t="n">
        <f aca="false">G6496</f>
        <v>-0.75</v>
      </c>
      <c r="M6496" s="0" t="n">
        <f aca="false">H6496</f>
        <v>-0.5</v>
      </c>
      <c r="N6496" s="0" t="n">
        <f aca="false">E6496*F6496</f>
        <v>1</v>
      </c>
      <c r="O6496" s="0" t="n">
        <f aca="false">E6496*G6496</f>
        <v>-0.75</v>
      </c>
      <c r="P6496" s="0" t="n">
        <f aca="false">E6496*H6496</f>
        <v>-0.5</v>
      </c>
      <c r="Q6496" s="0" t="n">
        <f aca="false">F6496*G6496</f>
        <v>-0.75</v>
      </c>
      <c r="R6496" s="0" t="n">
        <f aca="false">F6496*H6496</f>
        <v>-0.5</v>
      </c>
      <c r="S6496" s="0" t="n">
        <f aca="false">G6496*H6496</f>
        <v>0.375</v>
      </c>
      <c r="T6496" s="0" t="n">
        <f aca="false">E6496*E6496</f>
        <v>1</v>
      </c>
      <c r="U6496" s="0" t="n">
        <f aca="false">F6496*F6496</f>
        <v>1</v>
      </c>
      <c r="V6496" s="0" t="n">
        <f aca="false">G6496*G6496</f>
        <v>0.5625</v>
      </c>
      <c r="W6496" s="0" t="n">
        <f aca="false">H6496*H6496</f>
        <v>0.25</v>
      </c>
      <c r="X6496" s="0" t="n">
        <f aca="false">SUMPRODUCT(I6496:W6496,_XtX!$B$96:$P$96)</f>
        <v>46.9528965643275</v>
      </c>
      <c r="Y6496" s="0" t="n">
        <f aca="false">SUMPRODUCT(MMULT(I6496:W6496,_XtX!$B$78:$P$92),I6496:W6496)</f>
        <v>0.564984237938597</v>
      </c>
      <c r="Z6496" s="0" t="n">
        <f aca="false">04_回帰ANOVA!$K$19*04_回帰ANOVA!$K$14*SQRT(1+Y6496)</f>
        <v>1.63062229734503</v>
      </c>
      <c r="AA6496" s="0" t="n">
        <f aca="false">X6496-Z6496</f>
        <v>45.3222742669825</v>
      </c>
      <c r="AB6496" s="0" t="n">
        <f aca="false">X6496+Z6496</f>
        <v>48.5835188616726</v>
      </c>
      <c r="AC6496" s="54" t="b">
        <f aca="false">AND(E6496&gt;=01_因子設定!$L$5-0.000000001,E6496&lt;=01_因子設定!$M$5+0.000000001,F6496&gt;=01_因子設定!$L$6-0.000000001,F6496&lt;=01_因子設定!$M$6+0.000000001,G6496&gt;=01_因子設定!$L$7-0.000000001,G6496&lt;=01_因子設定!$M$7+0.000000001,H6496&gt;=01_因子設定!$L$8-0.000000001,H6496&lt;=01_因子設定!$M$8+0.000000001,IF(01_因子設定!$B$20="Box-Behnken",E6496^2+F6496^2+G6496^2+H6496^2&lt;=2+0.000000001,TRUE()))</f>
        <v>1</v>
      </c>
      <c r="AD6496" s="55" t="n">
        <f aca="false">IF(AC6496,IF(01_因子設定!$B$13="最大化",AA6496-01_因子設定!$B$14,IF(01_因子設定!$B$13="最小化",01_因子設定!$B$15-AB6496,MIN(AA6496-01_因子設定!$B$14,01_因子設定!$B$15-AB6496))),-1E+030)</f>
        <v>-1.17772573301751</v>
      </c>
      <c r="AE6496" s="55" t="n">
        <f aca="false">IF(AC6496,IF(01_因子設定!$B$13="最大化",X6496,IF(01_因子設定!$B$13="最小化",-X6496,-ABS(X6496-01_因子設定!$B$16))),-1E+030)</f>
        <v>46.9528965643275</v>
      </c>
      <c r="AF6496" s="55" t="n">
        <f aca="false">AD6496+ROW()*0.000000001</f>
        <v>-1.17771923701751</v>
      </c>
      <c r="AG6496" s="55" t="n">
        <f aca="false">AE6496+ROW()*0.000000001</f>
        <v>46.9529030603275</v>
      </c>
    </row>
    <row r="6497" customFormat="false" ht="15" hidden="false" customHeight="false" outlineLevel="0" collapsed="false">
      <c r="A6497" s="0" t="n">
        <v>8</v>
      </c>
      <c r="B6497" s="0" t="n">
        <v>8</v>
      </c>
      <c r="C6497" s="0" t="n">
        <v>1</v>
      </c>
      <c r="D6497" s="0" t="n">
        <v>3</v>
      </c>
      <c r="E6497" s="0" t="n">
        <f aca="false">-1+A6497*0.25</f>
        <v>1</v>
      </c>
      <c r="F6497" s="0" t="n">
        <f aca="false">-1+B6497*0.25</f>
        <v>1</v>
      </c>
      <c r="G6497" s="0" t="n">
        <f aca="false">-1+C6497*0.25</f>
        <v>-0.75</v>
      </c>
      <c r="H6497" s="0" t="n">
        <f aca="false">-1+D6497*0.25</f>
        <v>-0.25</v>
      </c>
      <c r="I6497" s="0" t="n">
        <f aca="false">1</f>
        <v>1</v>
      </c>
      <c r="J6497" s="0" t="n">
        <f aca="false">E6497</f>
        <v>1</v>
      </c>
      <c r="K6497" s="0" t="n">
        <f aca="false">F6497</f>
        <v>1</v>
      </c>
      <c r="L6497" s="0" t="n">
        <f aca="false">G6497</f>
        <v>-0.75</v>
      </c>
      <c r="M6497" s="0" t="n">
        <f aca="false">H6497</f>
        <v>-0.25</v>
      </c>
      <c r="N6497" s="0" t="n">
        <f aca="false">E6497*F6497</f>
        <v>1</v>
      </c>
      <c r="O6497" s="0" t="n">
        <f aca="false">E6497*G6497</f>
        <v>-0.75</v>
      </c>
      <c r="P6497" s="0" t="n">
        <f aca="false">E6497*H6497</f>
        <v>-0.25</v>
      </c>
      <c r="Q6497" s="0" t="n">
        <f aca="false">F6497*G6497</f>
        <v>-0.75</v>
      </c>
      <c r="R6497" s="0" t="n">
        <f aca="false">F6497*H6497</f>
        <v>-0.25</v>
      </c>
      <c r="S6497" s="0" t="n">
        <f aca="false">G6497*H6497</f>
        <v>0.1875</v>
      </c>
      <c r="T6497" s="0" t="n">
        <f aca="false">E6497*E6497</f>
        <v>1</v>
      </c>
      <c r="U6497" s="0" t="n">
        <f aca="false">F6497*F6497</f>
        <v>1</v>
      </c>
      <c r="V6497" s="0" t="n">
        <f aca="false">G6497*G6497</f>
        <v>0.5625</v>
      </c>
      <c r="W6497" s="0" t="n">
        <f aca="false">H6497*H6497</f>
        <v>0.0625</v>
      </c>
      <c r="X6497" s="0" t="n">
        <f aca="false">SUMPRODUCT(I6497:W6497,_XtX!$B$96:$P$96)</f>
        <v>47.0502147295322</v>
      </c>
      <c r="Y6497" s="0" t="n">
        <f aca="false">SUMPRODUCT(MMULT(I6497:W6497,_XtX!$B$78:$P$92),I6497:W6497)</f>
        <v>0.621372155975877</v>
      </c>
      <c r="Z6497" s="0" t="n">
        <f aca="false">04_回帰ANOVA!$K$19*04_回帰ANOVA!$K$14*SQRT(1+Y6497)</f>
        <v>1.65973880499872</v>
      </c>
      <c r="AA6497" s="0" t="n">
        <f aca="false">X6497-Z6497</f>
        <v>45.3904759245335</v>
      </c>
      <c r="AB6497" s="0" t="n">
        <f aca="false">X6497+Z6497</f>
        <v>48.7099535345309</v>
      </c>
      <c r="AC6497" s="54" t="b">
        <f aca="false">AND(E6497&gt;=01_因子設定!$L$5-0.000000001,E6497&lt;=01_因子設定!$M$5+0.000000001,F6497&gt;=01_因子設定!$L$6-0.000000001,F6497&lt;=01_因子設定!$M$6+0.000000001,G6497&gt;=01_因子設定!$L$7-0.000000001,G6497&lt;=01_因子設定!$M$7+0.000000001,H6497&gt;=01_因子設定!$L$8-0.000000001,H6497&lt;=01_因子設定!$M$8+0.000000001,IF(01_因子設定!$B$20="Box-Behnken",E6497^2+F6497^2+G6497^2+H6497^2&lt;=2+0.000000001,TRUE()))</f>
        <v>1</v>
      </c>
      <c r="AD6497" s="55" t="n">
        <f aca="false">IF(AC6497,IF(01_因子設定!$B$13="最大化",AA6497-01_因子設定!$B$14,IF(01_因子設定!$B$13="最小化",01_因子設定!$B$15-AB6497,MIN(AA6497-01_因子設定!$B$14,01_因子設定!$B$15-AB6497))),-1E+030)</f>
        <v>-1.10952407546652</v>
      </c>
      <c r="AE6497" s="55" t="n">
        <f aca="false">IF(AC6497,IF(01_因子設定!$B$13="最大化",X6497,IF(01_因子設定!$B$13="最小化",-X6497,-ABS(X6497-01_因子設定!$B$16))),-1E+030)</f>
        <v>47.0502147295322</v>
      </c>
      <c r="AF6497" s="55" t="n">
        <f aca="false">AD6497+ROW()*0.000000001</f>
        <v>-1.10951757846652</v>
      </c>
      <c r="AG6497" s="55" t="n">
        <f aca="false">AE6497+ROW()*0.000000001</f>
        <v>47.0502212265322</v>
      </c>
    </row>
    <row r="6498" customFormat="false" ht="15" hidden="false" customHeight="false" outlineLevel="0" collapsed="false">
      <c r="A6498" s="0" t="n">
        <v>8</v>
      </c>
      <c r="B6498" s="0" t="n">
        <v>8</v>
      </c>
      <c r="C6498" s="0" t="n">
        <v>1</v>
      </c>
      <c r="D6498" s="0" t="n">
        <v>4</v>
      </c>
      <c r="E6498" s="0" t="n">
        <f aca="false">-1+A6498*0.25</f>
        <v>1</v>
      </c>
      <c r="F6498" s="0" t="n">
        <f aca="false">-1+B6498*0.25</f>
        <v>1</v>
      </c>
      <c r="G6498" s="0" t="n">
        <f aca="false">-1+C6498*0.25</f>
        <v>-0.75</v>
      </c>
      <c r="H6498" s="0" t="n">
        <f aca="false">-1+D6498*0.25</f>
        <v>0</v>
      </c>
      <c r="I6498" s="0" t="n">
        <f aca="false">1</f>
        <v>1</v>
      </c>
      <c r="J6498" s="0" t="n">
        <f aca="false">E6498</f>
        <v>1</v>
      </c>
      <c r="K6498" s="0" t="n">
        <f aca="false">F6498</f>
        <v>1</v>
      </c>
      <c r="L6498" s="0" t="n">
        <f aca="false">G6498</f>
        <v>-0.75</v>
      </c>
      <c r="M6498" s="0" t="n">
        <f aca="false">H6498</f>
        <v>0</v>
      </c>
      <c r="N6498" s="0" t="n">
        <f aca="false">E6498*F6498</f>
        <v>1</v>
      </c>
      <c r="O6498" s="0" t="n">
        <f aca="false">E6498*G6498</f>
        <v>-0.75</v>
      </c>
      <c r="P6498" s="0" t="n">
        <f aca="false">E6498*H6498</f>
        <v>0</v>
      </c>
      <c r="Q6498" s="0" t="n">
        <f aca="false">F6498*G6498</f>
        <v>-0.75</v>
      </c>
      <c r="R6498" s="0" t="n">
        <f aca="false">F6498*H6498</f>
        <v>0</v>
      </c>
      <c r="S6498" s="0" t="n">
        <f aca="false">G6498*H6498</f>
        <v>-0</v>
      </c>
      <c r="T6498" s="0" t="n">
        <f aca="false">E6498*E6498</f>
        <v>1</v>
      </c>
      <c r="U6498" s="0" t="n">
        <f aca="false">F6498*F6498</f>
        <v>1</v>
      </c>
      <c r="V6498" s="0" t="n">
        <f aca="false">G6498*G6498</f>
        <v>0.5625</v>
      </c>
      <c r="W6498" s="0" t="n">
        <f aca="false">H6498*H6498</f>
        <v>0</v>
      </c>
      <c r="X6498" s="0" t="n">
        <f aca="false">SUMPRODUCT(I6498:W6498,_XtX!$B$96:$P$96)</f>
        <v>47.099725877193</v>
      </c>
      <c r="Y6498" s="0" t="n">
        <f aca="false">SUMPRODUCT(MMULT(I6498:W6498,_XtX!$B$78:$P$92),I6498:W6498)</f>
        <v>0.646198830409357</v>
      </c>
      <c r="Z6498" s="0" t="n">
        <f aca="false">04_回帰ANOVA!$K$19*04_回帰ANOVA!$K$14*SQRT(1+Y6498)</f>
        <v>1.67239760569756</v>
      </c>
      <c r="AA6498" s="0" t="n">
        <f aca="false">X6498-Z6498</f>
        <v>45.4273282714955</v>
      </c>
      <c r="AB6498" s="0" t="n">
        <f aca="false">X6498+Z6498</f>
        <v>48.7721234828906</v>
      </c>
      <c r="AC6498" s="54" t="b">
        <f aca="false">AND(E6498&gt;=01_因子設定!$L$5-0.000000001,E6498&lt;=01_因子設定!$M$5+0.000000001,F6498&gt;=01_因子設定!$L$6-0.000000001,F6498&lt;=01_因子設定!$M$6+0.000000001,G6498&gt;=01_因子設定!$L$7-0.000000001,G6498&lt;=01_因子設定!$M$7+0.000000001,H6498&gt;=01_因子設定!$L$8-0.000000001,H6498&lt;=01_因子設定!$M$8+0.000000001,IF(01_因子設定!$B$20="Box-Behnken",E6498^2+F6498^2+G6498^2+H6498^2&lt;=2+0.000000001,TRUE()))</f>
        <v>1</v>
      </c>
      <c r="AD6498" s="55" t="n">
        <f aca="false">IF(AC6498,IF(01_因子設定!$B$13="最大化",AA6498-01_因子設定!$B$14,IF(01_因子設定!$B$13="最小化",01_因子設定!$B$15-AB6498,MIN(AA6498-01_因子設定!$B$14,01_因子設定!$B$15-AB6498))),-1E+030)</f>
        <v>-1.07267172850455</v>
      </c>
      <c r="AE6498" s="55" t="n">
        <f aca="false">IF(AC6498,IF(01_因子設定!$B$13="最大化",X6498,IF(01_因子設定!$B$13="最小化",-X6498,-ABS(X6498-01_因子設定!$B$16))),-1E+030)</f>
        <v>47.099725877193</v>
      </c>
      <c r="AF6498" s="55" t="n">
        <f aca="false">AD6498+ROW()*0.000000001</f>
        <v>-1.07266523050455</v>
      </c>
      <c r="AG6498" s="55" t="n">
        <f aca="false">AE6498+ROW()*0.000000001</f>
        <v>47.099732375193</v>
      </c>
    </row>
    <row r="6499" customFormat="false" ht="15" hidden="false" customHeight="false" outlineLevel="0" collapsed="false">
      <c r="A6499" s="0" t="n">
        <v>8</v>
      </c>
      <c r="B6499" s="0" t="n">
        <v>8</v>
      </c>
      <c r="C6499" s="0" t="n">
        <v>1</v>
      </c>
      <c r="D6499" s="0" t="n">
        <v>5</v>
      </c>
      <c r="E6499" s="0" t="n">
        <f aca="false">-1+A6499*0.25</f>
        <v>1</v>
      </c>
      <c r="F6499" s="0" t="n">
        <f aca="false">-1+B6499*0.25</f>
        <v>1</v>
      </c>
      <c r="G6499" s="0" t="n">
        <f aca="false">-1+C6499*0.25</f>
        <v>-0.75</v>
      </c>
      <c r="H6499" s="0" t="n">
        <f aca="false">-1+D6499*0.25</f>
        <v>0.25</v>
      </c>
      <c r="I6499" s="0" t="n">
        <f aca="false">1</f>
        <v>1</v>
      </c>
      <c r="J6499" s="0" t="n">
        <f aca="false">E6499</f>
        <v>1</v>
      </c>
      <c r="K6499" s="0" t="n">
        <f aca="false">F6499</f>
        <v>1</v>
      </c>
      <c r="L6499" s="0" t="n">
        <f aca="false">G6499</f>
        <v>-0.75</v>
      </c>
      <c r="M6499" s="0" t="n">
        <f aca="false">H6499</f>
        <v>0.25</v>
      </c>
      <c r="N6499" s="0" t="n">
        <f aca="false">E6499*F6499</f>
        <v>1</v>
      </c>
      <c r="O6499" s="0" t="n">
        <f aca="false">E6499*G6499</f>
        <v>-0.75</v>
      </c>
      <c r="P6499" s="0" t="n">
        <f aca="false">E6499*H6499</f>
        <v>0.25</v>
      </c>
      <c r="Q6499" s="0" t="n">
        <f aca="false">F6499*G6499</f>
        <v>-0.75</v>
      </c>
      <c r="R6499" s="0" t="n">
        <f aca="false">F6499*H6499</f>
        <v>0.25</v>
      </c>
      <c r="S6499" s="0" t="n">
        <f aca="false">G6499*H6499</f>
        <v>-0.1875</v>
      </c>
      <c r="T6499" s="0" t="n">
        <f aca="false">E6499*E6499</f>
        <v>1</v>
      </c>
      <c r="U6499" s="0" t="n">
        <f aca="false">F6499*F6499</f>
        <v>1</v>
      </c>
      <c r="V6499" s="0" t="n">
        <f aca="false">G6499*G6499</f>
        <v>0.5625</v>
      </c>
      <c r="W6499" s="0" t="n">
        <f aca="false">H6499*H6499</f>
        <v>0.0625</v>
      </c>
      <c r="X6499" s="0" t="n">
        <f aca="false">SUMPRODUCT(I6499:W6499,_XtX!$B$96:$P$96)</f>
        <v>47.10143000731</v>
      </c>
      <c r="Y6499" s="0" t="n">
        <f aca="false">SUMPRODUCT(MMULT(I6499:W6499,_XtX!$B$78:$P$92),I6499:W6499)</f>
        <v>0.621372155975877</v>
      </c>
      <c r="Z6499" s="0" t="n">
        <f aca="false">04_回帰ANOVA!$K$19*04_回帰ANOVA!$K$14*SQRT(1+Y6499)</f>
        <v>1.65973880499872</v>
      </c>
      <c r="AA6499" s="0" t="n">
        <f aca="false">X6499-Z6499</f>
        <v>45.4416912023113</v>
      </c>
      <c r="AB6499" s="0" t="n">
        <f aca="false">X6499+Z6499</f>
        <v>48.7611688123087</v>
      </c>
      <c r="AC6499" s="54" t="b">
        <f aca="false">AND(E6499&gt;=01_因子設定!$L$5-0.000000001,E6499&lt;=01_因子設定!$M$5+0.000000001,F6499&gt;=01_因子設定!$L$6-0.000000001,F6499&lt;=01_因子設定!$M$6+0.000000001,G6499&gt;=01_因子設定!$L$7-0.000000001,G6499&lt;=01_因子設定!$M$7+0.000000001,H6499&gt;=01_因子設定!$L$8-0.000000001,H6499&lt;=01_因子設定!$M$8+0.000000001,IF(01_因子設定!$B$20="Box-Behnken",E6499^2+F6499^2+G6499^2+H6499^2&lt;=2+0.000000001,TRUE()))</f>
        <v>1</v>
      </c>
      <c r="AD6499" s="55" t="n">
        <f aca="false">IF(AC6499,IF(01_因子設定!$B$13="最大化",AA6499-01_因子設定!$B$14,IF(01_因子設定!$B$13="最小化",01_因子設定!$B$15-AB6499,MIN(AA6499-01_因子設定!$B$14,01_因子設定!$B$15-AB6499))),-1E+030)</f>
        <v>-1.05830879768875</v>
      </c>
      <c r="AE6499" s="55" t="n">
        <f aca="false">IF(AC6499,IF(01_因子設定!$B$13="最大化",X6499,IF(01_因子設定!$B$13="最小化",-X6499,-ABS(X6499-01_因子設定!$B$16))),-1E+030)</f>
        <v>47.10143000731</v>
      </c>
      <c r="AF6499" s="55" t="n">
        <f aca="false">AD6499+ROW()*0.000000001</f>
        <v>-1.05830229868875</v>
      </c>
      <c r="AG6499" s="55" t="n">
        <f aca="false">AE6499+ROW()*0.000000001</f>
        <v>47.10143650631</v>
      </c>
    </row>
    <row r="6500" customFormat="false" ht="15" hidden="false" customHeight="false" outlineLevel="0" collapsed="false">
      <c r="A6500" s="0" t="n">
        <v>8</v>
      </c>
      <c r="B6500" s="0" t="n">
        <v>8</v>
      </c>
      <c r="C6500" s="0" t="n">
        <v>1</v>
      </c>
      <c r="D6500" s="0" t="n">
        <v>6</v>
      </c>
      <c r="E6500" s="0" t="n">
        <f aca="false">-1+A6500*0.25</f>
        <v>1</v>
      </c>
      <c r="F6500" s="0" t="n">
        <f aca="false">-1+B6500*0.25</f>
        <v>1</v>
      </c>
      <c r="G6500" s="0" t="n">
        <f aca="false">-1+C6500*0.25</f>
        <v>-0.75</v>
      </c>
      <c r="H6500" s="0" t="n">
        <f aca="false">-1+D6500*0.25</f>
        <v>0.5</v>
      </c>
      <c r="I6500" s="0" t="n">
        <f aca="false">1</f>
        <v>1</v>
      </c>
      <c r="J6500" s="0" t="n">
        <f aca="false">E6500</f>
        <v>1</v>
      </c>
      <c r="K6500" s="0" t="n">
        <f aca="false">F6500</f>
        <v>1</v>
      </c>
      <c r="L6500" s="0" t="n">
        <f aca="false">G6500</f>
        <v>-0.75</v>
      </c>
      <c r="M6500" s="0" t="n">
        <f aca="false">H6500</f>
        <v>0.5</v>
      </c>
      <c r="N6500" s="0" t="n">
        <f aca="false">E6500*F6500</f>
        <v>1</v>
      </c>
      <c r="O6500" s="0" t="n">
        <f aca="false">E6500*G6500</f>
        <v>-0.75</v>
      </c>
      <c r="P6500" s="0" t="n">
        <f aca="false">E6500*H6500</f>
        <v>0.5</v>
      </c>
      <c r="Q6500" s="0" t="n">
        <f aca="false">F6500*G6500</f>
        <v>-0.75</v>
      </c>
      <c r="R6500" s="0" t="n">
        <f aca="false">F6500*H6500</f>
        <v>0.5</v>
      </c>
      <c r="S6500" s="0" t="n">
        <f aca="false">G6500*H6500</f>
        <v>-0.375</v>
      </c>
      <c r="T6500" s="0" t="n">
        <f aca="false">E6500*E6500</f>
        <v>1</v>
      </c>
      <c r="U6500" s="0" t="n">
        <f aca="false">F6500*F6500</f>
        <v>1</v>
      </c>
      <c r="V6500" s="0" t="n">
        <f aca="false">G6500*G6500</f>
        <v>0.5625</v>
      </c>
      <c r="W6500" s="0" t="n">
        <f aca="false">H6500*H6500</f>
        <v>0.25</v>
      </c>
      <c r="X6500" s="0" t="n">
        <f aca="false">SUMPRODUCT(I6500:W6500,_XtX!$B$96:$P$96)</f>
        <v>47.0553271198831</v>
      </c>
      <c r="Y6500" s="0" t="n">
        <f aca="false">SUMPRODUCT(MMULT(I6500:W6500,_XtX!$B$78:$P$92),I6500:W6500)</f>
        <v>0.564984237938597</v>
      </c>
      <c r="Z6500" s="0" t="n">
        <f aca="false">04_回帰ANOVA!$K$19*04_回帰ANOVA!$K$14*SQRT(1+Y6500)</f>
        <v>1.63062229734503</v>
      </c>
      <c r="AA6500" s="0" t="n">
        <f aca="false">X6500-Z6500</f>
        <v>45.424704822538</v>
      </c>
      <c r="AB6500" s="0" t="n">
        <f aca="false">X6500+Z6500</f>
        <v>48.6859494172281</v>
      </c>
      <c r="AC6500" s="54" t="b">
        <f aca="false">AND(E6500&gt;=01_因子設定!$L$5-0.000000001,E6500&lt;=01_因子設定!$M$5+0.000000001,F6500&gt;=01_因子設定!$L$6-0.000000001,F6500&lt;=01_因子設定!$M$6+0.000000001,G6500&gt;=01_因子設定!$L$7-0.000000001,G6500&lt;=01_因子設定!$M$7+0.000000001,H6500&gt;=01_因子設定!$L$8-0.000000001,H6500&lt;=01_因子設定!$M$8+0.000000001,IF(01_因子設定!$B$20="Box-Behnken",E6500^2+F6500^2+G6500^2+H6500^2&lt;=2+0.000000001,TRUE()))</f>
        <v>1</v>
      </c>
      <c r="AD6500" s="55" t="n">
        <f aca="false">IF(AC6500,IF(01_因子設定!$B$13="最大化",AA6500-01_因子設定!$B$14,IF(01_因子設定!$B$13="最小化",01_因子設定!$B$15-AB6500,MIN(AA6500-01_因子設定!$B$14,01_因子設定!$B$15-AB6500))),-1E+030)</f>
        <v>-1.07529517746196</v>
      </c>
      <c r="AE6500" s="55" t="n">
        <f aca="false">IF(AC6500,IF(01_因子設定!$B$13="最大化",X6500,IF(01_因子設定!$B$13="最小化",-X6500,-ABS(X6500-01_因子設定!$B$16))),-1E+030)</f>
        <v>47.0553271198831</v>
      </c>
      <c r="AF6500" s="55" t="n">
        <f aca="false">AD6500+ROW()*0.000000001</f>
        <v>-1.07528867746196</v>
      </c>
      <c r="AG6500" s="55" t="n">
        <f aca="false">AE6500+ROW()*0.000000001</f>
        <v>47.0553336198831</v>
      </c>
    </row>
    <row r="6501" customFormat="false" ht="15" hidden="false" customHeight="false" outlineLevel="0" collapsed="false">
      <c r="A6501" s="0" t="n">
        <v>8</v>
      </c>
      <c r="B6501" s="0" t="n">
        <v>8</v>
      </c>
      <c r="C6501" s="0" t="n">
        <v>1</v>
      </c>
      <c r="D6501" s="0" t="n">
        <v>7</v>
      </c>
      <c r="E6501" s="0" t="n">
        <f aca="false">-1+A6501*0.25</f>
        <v>1</v>
      </c>
      <c r="F6501" s="0" t="n">
        <f aca="false">-1+B6501*0.25</f>
        <v>1</v>
      </c>
      <c r="G6501" s="0" t="n">
        <f aca="false">-1+C6501*0.25</f>
        <v>-0.75</v>
      </c>
      <c r="H6501" s="0" t="n">
        <f aca="false">-1+D6501*0.25</f>
        <v>0.75</v>
      </c>
      <c r="I6501" s="0" t="n">
        <f aca="false">1</f>
        <v>1</v>
      </c>
      <c r="J6501" s="0" t="n">
        <f aca="false">E6501</f>
        <v>1</v>
      </c>
      <c r="K6501" s="0" t="n">
        <f aca="false">F6501</f>
        <v>1</v>
      </c>
      <c r="L6501" s="0" t="n">
        <f aca="false">G6501</f>
        <v>-0.75</v>
      </c>
      <c r="M6501" s="0" t="n">
        <f aca="false">H6501</f>
        <v>0.75</v>
      </c>
      <c r="N6501" s="0" t="n">
        <f aca="false">E6501*F6501</f>
        <v>1</v>
      </c>
      <c r="O6501" s="0" t="n">
        <f aca="false">E6501*G6501</f>
        <v>-0.75</v>
      </c>
      <c r="P6501" s="0" t="n">
        <f aca="false">E6501*H6501</f>
        <v>0.75</v>
      </c>
      <c r="Q6501" s="0" t="n">
        <f aca="false">F6501*G6501</f>
        <v>-0.75</v>
      </c>
      <c r="R6501" s="0" t="n">
        <f aca="false">F6501*H6501</f>
        <v>0.75</v>
      </c>
      <c r="S6501" s="0" t="n">
        <f aca="false">G6501*H6501</f>
        <v>-0.5625</v>
      </c>
      <c r="T6501" s="0" t="n">
        <f aca="false">E6501*E6501</f>
        <v>1</v>
      </c>
      <c r="U6501" s="0" t="n">
        <f aca="false">F6501*F6501</f>
        <v>1</v>
      </c>
      <c r="V6501" s="0" t="n">
        <f aca="false">G6501*G6501</f>
        <v>0.5625</v>
      </c>
      <c r="W6501" s="0" t="n">
        <f aca="false">H6501*H6501</f>
        <v>0.5625</v>
      </c>
      <c r="X6501" s="0" t="n">
        <f aca="false">SUMPRODUCT(I6501:W6501,_XtX!$B$96:$P$96)</f>
        <v>46.9614172149123</v>
      </c>
      <c r="Y6501" s="0" t="n">
        <f aca="false">SUMPRODUCT(MMULT(I6501:W6501,_XtX!$B$78:$P$92),I6501:W6501)</f>
        <v>0.531311392086988</v>
      </c>
      <c r="Z6501" s="0" t="n">
        <f aca="false">04_回帰ANOVA!$K$19*04_回帰ANOVA!$K$14*SQRT(1+Y6501)</f>
        <v>1.61298433431428</v>
      </c>
      <c r="AA6501" s="0" t="n">
        <f aca="false">X6501-Z6501</f>
        <v>45.3484328805981</v>
      </c>
      <c r="AB6501" s="0" t="n">
        <f aca="false">X6501+Z6501</f>
        <v>48.5744015492266</v>
      </c>
      <c r="AC6501" s="54" t="b">
        <f aca="false">AND(E6501&gt;=01_因子設定!$L$5-0.000000001,E6501&lt;=01_因子設定!$M$5+0.000000001,F6501&gt;=01_因子設定!$L$6-0.000000001,F6501&lt;=01_因子設定!$M$6+0.000000001,G6501&gt;=01_因子設定!$L$7-0.000000001,G6501&lt;=01_因子設定!$M$7+0.000000001,H6501&gt;=01_因子設定!$L$8-0.000000001,H6501&lt;=01_因子設定!$M$8+0.000000001,IF(01_因子設定!$B$20="Box-Behnken",E6501^2+F6501^2+G6501^2+H6501^2&lt;=2+0.000000001,TRUE()))</f>
        <v>1</v>
      </c>
      <c r="AD6501" s="55" t="n">
        <f aca="false">IF(AC6501,IF(01_因子設定!$B$13="最大化",AA6501-01_因子設定!$B$14,IF(01_因子設定!$B$13="最小化",01_因子設定!$B$15-AB6501,MIN(AA6501-01_因子設定!$B$14,01_因子設定!$B$15-AB6501))),-1E+030)</f>
        <v>-1.15156711940195</v>
      </c>
      <c r="AE6501" s="55" t="n">
        <f aca="false">IF(AC6501,IF(01_因子設定!$B$13="最大化",X6501,IF(01_因子設定!$B$13="最小化",-X6501,-ABS(X6501-01_因子設定!$B$16))),-1E+030)</f>
        <v>46.9614172149123</v>
      </c>
      <c r="AF6501" s="55" t="n">
        <f aca="false">AD6501+ROW()*0.000000001</f>
        <v>-1.15156061840195</v>
      </c>
      <c r="AG6501" s="55" t="n">
        <f aca="false">AE6501+ROW()*0.000000001</f>
        <v>46.9614237159123</v>
      </c>
    </row>
    <row r="6502" customFormat="false" ht="15" hidden="false" customHeight="false" outlineLevel="0" collapsed="false">
      <c r="A6502" s="0" t="n">
        <v>8</v>
      </c>
      <c r="B6502" s="0" t="n">
        <v>8</v>
      </c>
      <c r="C6502" s="0" t="n">
        <v>1</v>
      </c>
      <c r="D6502" s="0" t="n">
        <v>8</v>
      </c>
      <c r="E6502" s="0" t="n">
        <f aca="false">-1+A6502*0.25</f>
        <v>1</v>
      </c>
      <c r="F6502" s="0" t="n">
        <f aca="false">-1+B6502*0.25</f>
        <v>1</v>
      </c>
      <c r="G6502" s="0" t="n">
        <f aca="false">-1+C6502*0.25</f>
        <v>-0.75</v>
      </c>
      <c r="H6502" s="0" t="n">
        <f aca="false">-1+D6502*0.25</f>
        <v>1</v>
      </c>
      <c r="I6502" s="0" t="n">
        <f aca="false">1</f>
        <v>1</v>
      </c>
      <c r="J6502" s="0" t="n">
        <f aca="false">E6502</f>
        <v>1</v>
      </c>
      <c r="K6502" s="0" t="n">
        <f aca="false">F6502</f>
        <v>1</v>
      </c>
      <c r="L6502" s="0" t="n">
        <f aca="false">G6502</f>
        <v>-0.75</v>
      </c>
      <c r="M6502" s="0" t="n">
        <f aca="false">H6502</f>
        <v>1</v>
      </c>
      <c r="N6502" s="0" t="n">
        <f aca="false">E6502*F6502</f>
        <v>1</v>
      </c>
      <c r="O6502" s="0" t="n">
        <f aca="false">E6502*G6502</f>
        <v>-0.75</v>
      </c>
      <c r="P6502" s="0" t="n">
        <f aca="false">E6502*H6502</f>
        <v>1</v>
      </c>
      <c r="Q6502" s="0" t="n">
        <f aca="false">F6502*G6502</f>
        <v>-0.75</v>
      </c>
      <c r="R6502" s="0" t="n">
        <f aca="false">F6502*H6502</f>
        <v>1</v>
      </c>
      <c r="S6502" s="0" t="n">
        <f aca="false">G6502*H6502</f>
        <v>-0.75</v>
      </c>
      <c r="T6502" s="0" t="n">
        <f aca="false">E6502*E6502</f>
        <v>1</v>
      </c>
      <c r="U6502" s="0" t="n">
        <f aca="false">F6502*F6502</f>
        <v>1</v>
      </c>
      <c r="V6502" s="0" t="n">
        <f aca="false">G6502*G6502</f>
        <v>0.5625</v>
      </c>
      <c r="W6502" s="0" t="n">
        <f aca="false">H6502*H6502</f>
        <v>1</v>
      </c>
      <c r="X6502" s="0" t="n">
        <f aca="false">SUMPRODUCT(I6502:W6502,_XtX!$B$96:$P$96)</f>
        <v>46.8197002923977</v>
      </c>
      <c r="Y6502" s="0" t="n">
        <f aca="false">SUMPRODUCT(MMULT(I6502:W6502,_XtX!$B$78:$P$92),I6502:W6502)</f>
        <v>0.610814144736842</v>
      </c>
      <c r="Z6502" s="0" t="n">
        <f aca="false">04_回帰ANOVA!$K$19*04_回帰ANOVA!$K$14*SQRT(1+Y6502)</f>
        <v>1.6543260558361</v>
      </c>
      <c r="AA6502" s="0" t="n">
        <f aca="false">X6502-Z6502</f>
        <v>45.1653742365616</v>
      </c>
      <c r="AB6502" s="0" t="n">
        <f aca="false">X6502+Z6502</f>
        <v>48.4740263482338</v>
      </c>
      <c r="AC6502" s="54" t="b">
        <f aca="false">AND(E6502&gt;=01_因子設定!$L$5-0.000000001,E6502&lt;=01_因子設定!$M$5+0.000000001,F6502&gt;=01_因子設定!$L$6-0.000000001,F6502&lt;=01_因子設定!$M$6+0.000000001,G6502&gt;=01_因子設定!$L$7-0.000000001,G6502&lt;=01_因子設定!$M$7+0.000000001,H6502&gt;=01_因子設定!$L$8-0.000000001,H6502&lt;=01_因子設定!$M$8+0.000000001,IF(01_因子設定!$B$20="Box-Behnken",E6502^2+F6502^2+G6502^2+H6502^2&lt;=2+0.000000001,TRUE()))</f>
        <v>1</v>
      </c>
      <c r="AD6502" s="55" t="n">
        <f aca="false">IF(AC6502,IF(01_因子設定!$B$13="最大化",AA6502-01_因子設定!$B$14,IF(01_因子設定!$B$13="最小化",01_因子設定!$B$15-AB6502,MIN(AA6502-01_因子設定!$B$14,01_因子設定!$B$15-AB6502))),-1E+030)</f>
        <v>-1.33462576343837</v>
      </c>
      <c r="AE6502" s="55" t="n">
        <f aca="false">IF(AC6502,IF(01_因子設定!$B$13="最大化",X6502,IF(01_因子設定!$B$13="最小化",-X6502,-ABS(X6502-01_因子設定!$B$16))),-1E+030)</f>
        <v>46.8197002923977</v>
      </c>
      <c r="AF6502" s="55" t="n">
        <f aca="false">AD6502+ROW()*0.000000001</f>
        <v>-1.33461926143837</v>
      </c>
      <c r="AG6502" s="55" t="n">
        <f aca="false">AE6502+ROW()*0.000000001</f>
        <v>46.8197067943977</v>
      </c>
    </row>
    <row r="6503" customFormat="false" ht="15" hidden="false" customHeight="false" outlineLevel="0" collapsed="false">
      <c r="A6503" s="0" t="n">
        <v>8</v>
      </c>
      <c r="B6503" s="0" t="n">
        <v>8</v>
      </c>
      <c r="C6503" s="0" t="n">
        <v>2</v>
      </c>
      <c r="D6503" s="0" t="n">
        <v>0</v>
      </c>
      <c r="E6503" s="0" t="n">
        <f aca="false">-1+A6503*0.25</f>
        <v>1</v>
      </c>
      <c r="F6503" s="0" t="n">
        <f aca="false">-1+B6503*0.25</f>
        <v>1</v>
      </c>
      <c r="G6503" s="0" t="n">
        <f aca="false">-1+C6503*0.25</f>
        <v>-0.5</v>
      </c>
      <c r="H6503" s="0" t="n">
        <f aca="false">-1+D6503*0.25</f>
        <v>-1</v>
      </c>
      <c r="I6503" s="0" t="n">
        <f aca="false">1</f>
        <v>1</v>
      </c>
      <c r="J6503" s="0" t="n">
        <f aca="false">E6503</f>
        <v>1</v>
      </c>
      <c r="K6503" s="0" t="n">
        <f aca="false">F6503</f>
        <v>1</v>
      </c>
      <c r="L6503" s="0" t="n">
        <f aca="false">G6503</f>
        <v>-0.5</v>
      </c>
      <c r="M6503" s="0" t="n">
        <f aca="false">H6503</f>
        <v>-1</v>
      </c>
      <c r="N6503" s="0" t="n">
        <f aca="false">E6503*F6503</f>
        <v>1</v>
      </c>
      <c r="O6503" s="0" t="n">
        <f aca="false">E6503*G6503</f>
        <v>-0.5</v>
      </c>
      <c r="P6503" s="0" t="n">
        <f aca="false">E6503*H6503</f>
        <v>-1</v>
      </c>
      <c r="Q6503" s="0" t="n">
        <f aca="false">F6503*G6503</f>
        <v>-0.5</v>
      </c>
      <c r="R6503" s="0" t="n">
        <f aca="false">F6503*H6503</f>
        <v>-1</v>
      </c>
      <c r="S6503" s="0" t="n">
        <f aca="false">G6503*H6503</f>
        <v>0.5</v>
      </c>
      <c r="T6503" s="0" t="n">
        <f aca="false">E6503*E6503</f>
        <v>1</v>
      </c>
      <c r="U6503" s="0" t="n">
        <f aca="false">F6503*F6503</f>
        <v>1</v>
      </c>
      <c r="V6503" s="0" t="n">
        <f aca="false">G6503*G6503</f>
        <v>0.25</v>
      </c>
      <c r="W6503" s="0" t="n">
        <f aca="false">H6503*H6503</f>
        <v>1</v>
      </c>
      <c r="X6503" s="0" t="n">
        <f aca="false">SUMPRODUCT(I6503:W6503,_XtX!$B$96:$P$96)</f>
        <v>46.9176900584796</v>
      </c>
      <c r="Y6503" s="0" t="n">
        <f aca="false">SUMPRODUCT(MMULT(I6503:W6503,_XtX!$B$78:$P$92),I6503:W6503)</f>
        <v>0.667123538011696</v>
      </c>
      <c r="Z6503" s="0" t="n">
        <f aca="false">04_回帰ANOVA!$K$19*04_回帰ANOVA!$K$14*SQRT(1+Y6503)</f>
        <v>1.68299290213005</v>
      </c>
      <c r="AA6503" s="0" t="n">
        <f aca="false">X6503-Z6503</f>
        <v>45.2346971563495</v>
      </c>
      <c r="AB6503" s="0" t="n">
        <f aca="false">X6503+Z6503</f>
        <v>48.6006829606096</v>
      </c>
      <c r="AC6503" s="54" t="b">
        <f aca="false">AND(E6503&gt;=01_因子設定!$L$5-0.000000001,E6503&lt;=01_因子設定!$M$5+0.000000001,F6503&gt;=01_因子設定!$L$6-0.000000001,F6503&lt;=01_因子設定!$M$6+0.000000001,G6503&gt;=01_因子設定!$L$7-0.000000001,G6503&lt;=01_因子設定!$M$7+0.000000001,H6503&gt;=01_因子設定!$L$8-0.000000001,H6503&lt;=01_因子設定!$M$8+0.000000001,IF(01_因子設定!$B$20="Box-Behnken",E6503^2+F6503^2+G6503^2+H6503^2&lt;=2+0.000000001,TRUE()))</f>
        <v>1</v>
      </c>
      <c r="AD6503" s="55" t="n">
        <f aca="false">IF(AC6503,IF(01_因子設定!$B$13="最大化",AA6503-01_因子設定!$B$14,IF(01_因子設定!$B$13="最小化",01_因子設定!$B$15-AB6503,MIN(AA6503-01_因子設定!$B$14,01_因子設定!$B$15-AB6503))),-1E+030)</f>
        <v>-1.26530284365046</v>
      </c>
      <c r="AE6503" s="55" t="n">
        <f aca="false">IF(AC6503,IF(01_因子設定!$B$13="最大化",X6503,IF(01_因子設定!$B$13="最小化",-X6503,-ABS(X6503-01_因子設定!$B$16))),-1E+030)</f>
        <v>46.9176900584796</v>
      </c>
      <c r="AF6503" s="55" t="n">
        <f aca="false">AD6503+ROW()*0.000000001</f>
        <v>-1.26529634065046</v>
      </c>
      <c r="AG6503" s="55" t="n">
        <f aca="false">AE6503+ROW()*0.000000001</f>
        <v>46.9176965614796</v>
      </c>
    </row>
    <row r="6504" customFormat="false" ht="15" hidden="false" customHeight="false" outlineLevel="0" collapsed="false">
      <c r="A6504" s="0" t="n">
        <v>8</v>
      </c>
      <c r="B6504" s="0" t="n">
        <v>8</v>
      </c>
      <c r="C6504" s="0" t="n">
        <v>2</v>
      </c>
      <c r="D6504" s="0" t="n">
        <v>1</v>
      </c>
      <c r="E6504" s="0" t="n">
        <f aca="false">-1+A6504*0.25</f>
        <v>1</v>
      </c>
      <c r="F6504" s="0" t="n">
        <f aca="false">-1+B6504*0.25</f>
        <v>1</v>
      </c>
      <c r="G6504" s="0" t="n">
        <f aca="false">-1+C6504*0.25</f>
        <v>-0.5</v>
      </c>
      <c r="H6504" s="0" t="n">
        <f aca="false">-1+D6504*0.25</f>
        <v>-0.75</v>
      </c>
      <c r="I6504" s="0" t="n">
        <f aca="false">1</f>
        <v>1</v>
      </c>
      <c r="J6504" s="0" t="n">
        <f aca="false">E6504</f>
        <v>1</v>
      </c>
      <c r="K6504" s="0" t="n">
        <f aca="false">F6504</f>
        <v>1</v>
      </c>
      <c r="L6504" s="0" t="n">
        <f aca="false">G6504</f>
        <v>-0.5</v>
      </c>
      <c r="M6504" s="0" t="n">
        <f aca="false">H6504</f>
        <v>-0.75</v>
      </c>
      <c r="N6504" s="0" t="n">
        <f aca="false">E6504*F6504</f>
        <v>1</v>
      </c>
      <c r="O6504" s="0" t="n">
        <f aca="false">E6504*G6504</f>
        <v>-0.5</v>
      </c>
      <c r="P6504" s="0" t="n">
        <f aca="false">E6504*H6504</f>
        <v>-0.75</v>
      </c>
      <c r="Q6504" s="0" t="n">
        <f aca="false">F6504*G6504</f>
        <v>-0.5</v>
      </c>
      <c r="R6504" s="0" t="n">
        <f aca="false">F6504*H6504</f>
        <v>-0.75</v>
      </c>
      <c r="S6504" s="0" t="n">
        <f aca="false">G6504*H6504</f>
        <v>0.375</v>
      </c>
      <c r="T6504" s="0" t="n">
        <f aca="false">E6504*E6504</f>
        <v>1</v>
      </c>
      <c r="U6504" s="0" t="n">
        <f aca="false">F6504*F6504</f>
        <v>1</v>
      </c>
      <c r="V6504" s="0" t="n">
        <f aca="false">G6504*G6504</f>
        <v>0.25</v>
      </c>
      <c r="W6504" s="0" t="n">
        <f aca="false">H6504*H6504</f>
        <v>0.5625</v>
      </c>
      <c r="X6504" s="0" t="n">
        <f aca="false">SUMPRODUCT(I6504:W6504,_XtX!$B$96:$P$96)</f>
        <v>47.128591008772</v>
      </c>
      <c r="Y6504" s="0" t="n">
        <f aca="false">SUMPRODUCT(MMULT(I6504:W6504,_XtX!$B$78:$P$92),I6504:W6504)</f>
        <v>0.564984237938597</v>
      </c>
      <c r="Z6504" s="0" t="n">
        <f aca="false">04_回帰ANOVA!$K$19*04_回帰ANOVA!$K$14*SQRT(1+Y6504)</f>
        <v>1.63062229734503</v>
      </c>
      <c r="AA6504" s="0" t="n">
        <f aca="false">X6504-Z6504</f>
        <v>45.4979687114269</v>
      </c>
      <c r="AB6504" s="0" t="n">
        <f aca="false">X6504+Z6504</f>
        <v>48.759213306117</v>
      </c>
      <c r="AC6504" s="54" t="b">
        <f aca="false">AND(E6504&gt;=01_因子設定!$L$5-0.000000001,E6504&lt;=01_因子設定!$M$5+0.000000001,F6504&gt;=01_因子設定!$L$6-0.000000001,F6504&lt;=01_因子設定!$M$6+0.000000001,G6504&gt;=01_因子設定!$L$7-0.000000001,G6504&lt;=01_因子設定!$M$7+0.000000001,H6504&gt;=01_因子設定!$L$8-0.000000001,H6504&lt;=01_因子設定!$M$8+0.000000001,IF(01_因子設定!$B$20="Box-Behnken",E6504^2+F6504^2+G6504^2+H6504^2&lt;=2+0.000000001,TRUE()))</f>
        <v>1</v>
      </c>
      <c r="AD6504" s="55" t="n">
        <f aca="false">IF(AC6504,IF(01_因子設定!$B$13="最大化",AA6504-01_因子設定!$B$14,IF(01_因子設定!$B$13="最小化",01_因子設定!$B$15-AB6504,MIN(AA6504-01_因子設定!$B$14,01_因子設定!$B$15-AB6504))),-1E+030)</f>
        <v>-1.00203128857306</v>
      </c>
      <c r="AE6504" s="55" t="n">
        <f aca="false">IF(AC6504,IF(01_因子設定!$B$13="最大化",X6504,IF(01_因子設定!$B$13="最小化",-X6504,-ABS(X6504-01_因子設定!$B$16))),-1E+030)</f>
        <v>47.128591008772</v>
      </c>
      <c r="AF6504" s="55" t="n">
        <f aca="false">AD6504+ROW()*0.000000001</f>
        <v>-1.00202478457306</v>
      </c>
      <c r="AG6504" s="55" t="n">
        <f aca="false">AE6504+ROW()*0.000000001</f>
        <v>47.128597512772</v>
      </c>
    </row>
    <row r="6505" customFormat="false" ht="15" hidden="false" customHeight="false" outlineLevel="0" collapsed="false">
      <c r="A6505" s="0" t="n">
        <v>8</v>
      </c>
      <c r="B6505" s="0" t="n">
        <v>8</v>
      </c>
      <c r="C6505" s="0" t="n">
        <v>2</v>
      </c>
      <c r="D6505" s="0" t="n">
        <v>2</v>
      </c>
      <c r="E6505" s="0" t="n">
        <f aca="false">-1+A6505*0.25</f>
        <v>1</v>
      </c>
      <c r="F6505" s="0" t="n">
        <f aca="false">-1+B6505*0.25</f>
        <v>1</v>
      </c>
      <c r="G6505" s="0" t="n">
        <f aca="false">-1+C6505*0.25</f>
        <v>-0.5</v>
      </c>
      <c r="H6505" s="0" t="n">
        <f aca="false">-1+D6505*0.25</f>
        <v>-0.5</v>
      </c>
      <c r="I6505" s="0" t="n">
        <f aca="false">1</f>
        <v>1</v>
      </c>
      <c r="J6505" s="0" t="n">
        <f aca="false">E6505</f>
        <v>1</v>
      </c>
      <c r="K6505" s="0" t="n">
        <f aca="false">F6505</f>
        <v>1</v>
      </c>
      <c r="L6505" s="0" t="n">
        <f aca="false">G6505</f>
        <v>-0.5</v>
      </c>
      <c r="M6505" s="0" t="n">
        <f aca="false">H6505</f>
        <v>-0.5</v>
      </c>
      <c r="N6505" s="0" t="n">
        <f aca="false">E6505*F6505</f>
        <v>1</v>
      </c>
      <c r="O6505" s="0" t="n">
        <f aca="false">E6505*G6505</f>
        <v>-0.5</v>
      </c>
      <c r="P6505" s="0" t="n">
        <f aca="false">E6505*H6505</f>
        <v>-0.5</v>
      </c>
      <c r="Q6505" s="0" t="n">
        <f aca="false">F6505*G6505</f>
        <v>-0.5</v>
      </c>
      <c r="R6505" s="0" t="n">
        <f aca="false">F6505*H6505</f>
        <v>-0.5</v>
      </c>
      <c r="S6505" s="0" t="n">
        <f aca="false">G6505*H6505</f>
        <v>0.25</v>
      </c>
      <c r="T6505" s="0" t="n">
        <f aca="false">E6505*E6505</f>
        <v>1</v>
      </c>
      <c r="U6505" s="0" t="n">
        <f aca="false">F6505*F6505</f>
        <v>1</v>
      </c>
      <c r="V6505" s="0" t="n">
        <f aca="false">G6505*G6505</f>
        <v>0.25</v>
      </c>
      <c r="W6505" s="0" t="n">
        <f aca="false">H6505*H6505</f>
        <v>0.25</v>
      </c>
      <c r="X6505" s="0" t="n">
        <f aca="false">SUMPRODUCT(I6505:W6505,_XtX!$B$96:$P$96)</f>
        <v>47.2916849415205</v>
      </c>
      <c r="Y6505" s="0" t="n">
        <f aca="false">SUMPRODUCT(MMULT(I6505:W6505,_XtX!$B$78:$P$92),I6505:W6505)</f>
        <v>0.582488121345029</v>
      </c>
      <c r="Z6505" s="0" t="n">
        <f aca="false">04_回帰ANOVA!$K$19*04_回帰ANOVA!$K$14*SQRT(1+Y6505)</f>
        <v>1.63971595338287</v>
      </c>
      <c r="AA6505" s="0" t="n">
        <f aca="false">X6505-Z6505</f>
        <v>45.6519689881376</v>
      </c>
      <c r="AB6505" s="0" t="n">
        <f aca="false">X6505+Z6505</f>
        <v>48.9314008949034</v>
      </c>
      <c r="AC6505" s="54" t="b">
        <f aca="false">AND(E6505&gt;=01_因子設定!$L$5-0.000000001,E6505&lt;=01_因子設定!$M$5+0.000000001,F6505&gt;=01_因子設定!$L$6-0.000000001,F6505&lt;=01_因子設定!$M$6+0.000000001,G6505&gt;=01_因子設定!$L$7-0.000000001,G6505&lt;=01_因子設定!$M$7+0.000000001,H6505&gt;=01_因子設定!$L$8-0.000000001,H6505&lt;=01_因子設定!$M$8+0.000000001,IF(01_因子設定!$B$20="Box-Behnken",E6505^2+F6505^2+G6505^2+H6505^2&lt;=2+0.000000001,TRUE()))</f>
        <v>1</v>
      </c>
      <c r="AD6505" s="55" t="n">
        <f aca="false">IF(AC6505,IF(01_因子設定!$B$13="最大化",AA6505-01_因子設定!$B$14,IF(01_因子設定!$B$13="最小化",01_因子設定!$B$15-AB6505,MIN(AA6505-01_因子設定!$B$14,01_因子設定!$B$15-AB6505))),-1E+030)</f>
        <v>-0.848031011862368</v>
      </c>
      <c r="AE6505" s="55" t="n">
        <f aca="false">IF(AC6505,IF(01_因子設定!$B$13="最大化",X6505,IF(01_因子設定!$B$13="最小化",-X6505,-ABS(X6505-01_因子設定!$B$16))),-1E+030)</f>
        <v>47.2916849415205</v>
      </c>
      <c r="AF6505" s="55" t="n">
        <f aca="false">AD6505+ROW()*0.000000001</f>
        <v>-0.848024506862368</v>
      </c>
      <c r="AG6505" s="55" t="n">
        <f aca="false">AE6505+ROW()*0.000000001</f>
        <v>47.2916914465205</v>
      </c>
    </row>
    <row r="6506" customFormat="false" ht="15" hidden="false" customHeight="false" outlineLevel="0" collapsed="false">
      <c r="A6506" s="0" t="n">
        <v>8</v>
      </c>
      <c r="B6506" s="0" t="n">
        <v>8</v>
      </c>
      <c r="C6506" s="0" t="n">
        <v>2</v>
      </c>
      <c r="D6506" s="0" t="n">
        <v>3</v>
      </c>
      <c r="E6506" s="0" t="n">
        <f aca="false">-1+A6506*0.25</f>
        <v>1</v>
      </c>
      <c r="F6506" s="0" t="n">
        <f aca="false">-1+B6506*0.25</f>
        <v>1</v>
      </c>
      <c r="G6506" s="0" t="n">
        <f aca="false">-1+C6506*0.25</f>
        <v>-0.5</v>
      </c>
      <c r="H6506" s="0" t="n">
        <f aca="false">-1+D6506*0.25</f>
        <v>-0.25</v>
      </c>
      <c r="I6506" s="0" t="n">
        <f aca="false">1</f>
        <v>1</v>
      </c>
      <c r="J6506" s="0" t="n">
        <f aca="false">E6506</f>
        <v>1</v>
      </c>
      <c r="K6506" s="0" t="n">
        <f aca="false">F6506</f>
        <v>1</v>
      </c>
      <c r="L6506" s="0" t="n">
        <f aca="false">G6506</f>
        <v>-0.5</v>
      </c>
      <c r="M6506" s="0" t="n">
        <f aca="false">H6506</f>
        <v>-0.25</v>
      </c>
      <c r="N6506" s="0" t="n">
        <f aca="false">E6506*F6506</f>
        <v>1</v>
      </c>
      <c r="O6506" s="0" t="n">
        <f aca="false">E6506*G6506</f>
        <v>-0.5</v>
      </c>
      <c r="P6506" s="0" t="n">
        <f aca="false">E6506*H6506</f>
        <v>-0.25</v>
      </c>
      <c r="Q6506" s="0" t="n">
        <f aca="false">F6506*G6506</f>
        <v>-0.5</v>
      </c>
      <c r="R6506" s="0" t="n">
        <f aca="false">F6506*H6506</f>
        <v>-0.25</v>
      </c>
      <c r="S6506" s="0" t="n">
        <f aca="false">G6506*H6506</f>
        <v>0.125</v>
      </c>
      <c r="T6506" s="0" t="n">
        <f aca="false">E6506*E6506</f>
        <v>1</v>
      </c>
      <c r="U6506" s="0" t="n">
        <f aca="false">F6506*F6506</f>
        <v>1</v>
      </c>
      <c r="V6506" s="0" t="n">
        <f aca="false">G6506*G6506</f>
        <v>0.25</v>
      </c>
      <c r="W6506" s="0" t="n">
        <f aca="false">H6506*H6506</f>
        <v>0.0625</v>
      </c>
      <c r="X6506" s="0" t="n">
        <f aca="false">SUMPRODUCT(I6506:W6506,_XtX!$B$96:$P$96)</f>
        <v>47.4069718567252</v>
      </c>
      <c r="Y6506" s="0" t="n">
        <f aca="false">SUMPRODUCT(MMULT(I6506:W6506,_XtX!$B$78:$P$92),I6506:W6506)</f>
        <v>0.629174661915205</v>
      </c>
      <c r="Z6506" s="0" t="n">
        <f aca="false">04_回帰ANOVA!$K$19*04_回帰ANOVA!$K$14*SQRT(1+Y6506)</f>
        <v>1.66372758058297</v>
      </c>
      <c r="AA6506" s="0" t="n">
        <f aca="false">X6506-Z6506</f>
        <v>45.7432442761422</v>
      </c>
      <c r="AB6506" s="0" t="n">
        <f aca="false">X6506+Z6506</f>
        <v>49.0706994373081</v>
      </c>
      <c r="AC6506" s="54" t="b">
        <f aca="false">AND(E6506&gt;=01_因子設定!$L$5-0.000000001,E6506&lt;=01_因子設定!$M$5+0.000000001,F6506&gt;=01_因子設定!$L$6-0.000000001,F6506&lt;=01_因子設定!$M$6+0.000000001,G6506&gt;=01_因子設定!$L$7-0.000000001,G6506&lt;=01_因子設定!$M$7+0.000000001,H6506&gt;=01_因子設定!$L$8-0.000000001,H6506&lt;=01_因子設定!$M$8+0.000000001,IF(01_因子設定!$B$20="Box-Behnken",E6506^2+F6506^2+G6506^2+H6506^2&lt;=2+0.000000001,TRUE()))</f>
        <v>1</v>
      </c>
      <c r="AD6506" s="55" t="n">
        <f aca="false">IF(AC6506,IF(01_因子設定!$B$13="最大化",AA6506-01_因子設定!$B$14,IF(01_因子設定!$B$13="最小化",01_因子設定!$B$15-AB6506,MIN(AA6506-01_因子設定!$B$14,01_因子設定!$B$15-AB6506))),-1E+030)</f>
        <v>-0.7567557238578</v>
      </c>
      <c r="AE6506" s="55" t="n">
        <f aca="false">IF(AC6506,IF(01_因子設定!$B$13="最大化",X6506,IF(01_因子設定!$B$13="最小化",-X6506,-ABS(X6506-01_因子設定!$B$16))),-1E+030)</f>
        <v>47.4069718567252</v>
      </c>
      <c r="AF6506" s="55" t="n">
        <f aca="false">AD6506+ROW()*0.000000001</f>
        <v>-0.756749217857801</v>
      </c>
      <c r="AG6506" s="55" t="n">
        <f aca="false">AE6506+ROW()*0.000000001</f>
        <v>47.4069783627252</v>
      </c>
    </row>
    <row r="6507" customFormat="false" ht="15" hidden="false" customHeight="false" outlineLevel="0" collapsed="false">
      <c r="A6507" s="0" t="n">
        <v>8</v>
      </c>
      <c r="B6507" s="0" t="n">
        <v>8</v>
      </c>
      <c r="C6507" s="0" t="n">
        <v>2</v>
      </c>
      <c r="D6507" s="0" t="n">
        <v>4</v>
      </c>
      <c r="E6507" s="0" t="n">
        <f aca="false">-1+A6507*0.25</f>
        <v>1</v>
      </c>
      <c r="F6507" s="0" t="n">
        <f aca="false">-1+B6507*0.25</f>
        <v>1</v>
      </c>
      <c r="G6507" s="0" t="n">
        <f aca="false">-1+C6507*0.25</f>
        <v>-0.5</v>
      </c>
      <c r="H6507" s="0" t="n">
        <f aca="false">-1+D6507*0.25</f>
        <v>0</v>
      </c>
      <c r="I6507" s="0" t="n">
        <f aca="false">1</f>
        <v>1</v>
      </c>
      <c r="J6507" s="0" t="n">
        <f aca="false">E6507</f>
        <v>1</v>
      </c>
      <c r="K6507" s="0" t="n">
        <f aca="false">F6507</f>
        <v>1</v>
      </c>
      <c r="L6507" s="0" t="n">
        <f aca="false">G6507</f>
        <v>-0.5</v>
      </c>
      <c r="M6507" s="0" t="n">
        <f aca="false">H6507</f>
        <v>0</v>
      </c>
      <c r="N6507" s="0" t="n">
        <f aca="false">E6507*F6507</f>
        <v>1</v>
      </c>
      <c r="O6507" s="0" t="n">
        <f aca="false">E6507*G6507</f>
        <v>-0.5</v>
      </c>
      <c r="P6507" s="0" t="n">
        <f aca="false">E6507*H6507</f>
        <v>0</v>
      </c>
      <c r="Q6507" s="0" t="n">
        <f aca="false">F6507*G6507</f>
        <v>-0.5</v>
      </c>
      <c r="R6507" s="0" t="n">
        <f aca="false">F6507*H6507</f>
        <v>0</v>
      </c>
      <c r="S6507" s="0" t="n">
        <f aca="false">G6507*H6507</f>
        <v>-0</v>
      </c>
      <c r="T6507" s="0" t="n">
        <f aca="false">E6507*E6507</f>
        <v>1</v>
      </c>
      <c r="U6507" s="0" t="n">
        <f aca="false">F6507*F6507</f>
        <v>1</v>
      </c>
      <c r="V6507" s="0" t="n">
        <f aca="false">G6507*G6507</f>
        <v>0.25</v>
      </c>
      <c r="W6507" s="0" t="n">
        <f aca="false">H6507*H6507</f>
        <v>0</v>
      </c>
      <c r="X6507" s="0" t="n">
        <f aca="false">SUMPRODUCT(I6507:W6507,_XtX!$B$96:$P$96)</f>
        <v>47.474451754386</v>
      </c>
      <c r="Y6507" s="0" t="n">
        <f aca="false">SUMPRODUCT(MMULT(I6507:W6507,_XtX!$B$78:$P$92),I6507:W6507)</f>
        <v>0.650767543859649</v>
      </c>
      <c r="Z6507" s="0" t="n">
        <f aca="false">04_回帰ANOVA!$K$19*04_回帰ANOVA!$K$14*SQRT(1+Y6507)</f>
        <v>1.67471670935165</v>
      </c>
      <c r="AA6507" s="0" t="n">
        <f aca="false">X6507-Z6507</f>
        <v>45.7997350450343</v>
      </c>
      <c r="AB6507" s="0" t="n">
        <f aca="false">X6507+Z6507</f>
        <v>49.1491684637376</v>
      </c>
      <c r="AC6507" s="54" t="b">
        <f aca="false">AND(E6507&gt;=01_因子設定!$L$5-0.000000001,E6507&lt;=01_因子設定!$M$5+0.000000001,F6507&gt;=01_因子設定!$L$6-0.000000001,F6507&lt;=01_因子設定!$M$6+0.000000001,G6507&gt;=01_因子設定!$L$7-0.000000001,G6507&lt;=01_因子設定!$M$7+0.000000001,H6507&gt;=01_因子設定!$L$8-0.000000001,H6507&lt;=01_因子設定!$M$8+0.000000001,IF(01_因子設定!$B$20="Box-Behnken",E6507^2+F6507^2+G6507^2+H6507^2&lt;=2+0.000000001,TRUE()))</f>
        <v>1</v>
      </c>
      <c r="AD6507" s="55" t="n">
        <f aca="false">IF(AC6507,IF(01_因子設定!$B$13="最大化",AA6507-01_因子設定!$B$14,IF(01_因子設定!$B$13="最小化",01_因子設定!$B$15-AB6507,MIN(AA6507-01_因子設定!$B$14,01_因子設定!$B$15-AB6507))),-1E+030)</f>
        <v>-0.700264954965661</v>
      </c>
      <c r="AE6507" s="55" t="n">
        <f aca="false">IF(AC6507,IF(01_因子設定!$B$13="最大化",X6507,IF(01_因子設定!$B$13="最小化",-X6507,-ABS(X6507-01_因子設定!$B$16))),-1E+030)</f>
        <v>47.474451754386</v>
      </c>
      <c r="AF6507" s="55" t="n">
        <f aca="false">AD6507+ROW()*0.000000001</f>
        <v>-0.700258447965661</v>
      </c>
      <c r="AG6507" s="55" t="n">
        <f aca="false">AE6507+ROW()*0.000000001</f>
        <v>47.474458261386</v>
      </c>
    </row>
    <row r="6508" customFormat="false" ht="15" hidden="false" customHeight="false" outlineLevel="0" collapsed="false">
      <c r="A6508" s="0" t="n">
        <v>8</v>
      </c>
      <c r="B6508" s="0" t="n">
        <v>8</v>
      </c>
      <c r="C6508" s="0" t="n">
        <v>2</v>
      </c>
      <c r="D6508" s="0" t="n">
        <v>5</v>
      </c>
      <c r="E6508" s="0" t="n">
        <f aca="false">-1+A6508*0.25</f>
        <v>1</v>
      </c>
      <c r="F6508" s="0" t="n">
        <f aca="false">-1+B6508*0.25</f>
        <v>1</v>
      </c>
      <c r="G6508" s="0" t="n">
        <f aca="false">-1+C6508*0.25</f>
        <v>-0.5</v>
      </c>
      <c r="H6508" s="0" t="n">
        <f aca="false">-1+D6508*0.25</f>
        <v>0.25</v>
      </c>
      <c r="I6508" s="0" t="n">
        <f aca="false">1</f>
        <v>1</v>
      </c>
      <c r="J6508" s="0" t="n">
        <f aca="false">E6508</f>
        <v>1</v>
      </c>
      <c r="K6508" s="0" t="n">
        <f aca="false">F6508</f>
        <v>1</v>
      </c>
      <c r="L6508" s="0" t="n">
        <f aca="false">G6508</f>
        <v>-0.5</v>
      </c>
      <c r="M6508" s="0" t="n">
        <f aca="false">H6508</f>
        <v>0.25</v>
      </c>
      <c r="N6508" s="0" t="n">
        <f aca="false">E6508*F6508</f>
        <v>1</v>
      </c>
      <c r="O6508" s="0" t="n">
        <f aca="false">E6508*G6508</f>
        <v>-0.5</v>
      </c>
      <c r="P6508" s="0" t="n">
        <f aca="false">E6508*H6508</f>
        <v>0.25</v>
      </c>
      <c r="Q6508" s="0" t="n">
        <f aca="false">F6508*G6508</f>
        <v>-0.5</v>
      </c>
      <c r="R6508" s="0" t="n">
        <f aca="false">F6508*H6508</f>
        <v>0.25</v>
      </c>
      <c r="S6508" s="0" t="n">
        <f aca="false">G6508*H6508</f>
        <v>-0.125</v>
      </c>
      <c r="T6508" s="0" t="n">
        <f aca="false">E6508*E6508</f>
        <v>1</v>
      </c>
      <c r="U6508" s="0" t="n">
        <f aca="false">F6508*F6508</f>
        <v>1</v>
      </c>
      <c r="V6508" s="0" t="n">
        <f aca="false">G6508*G6508</f>
        <v>0.25</v>
      </c>
      <c r="W6508" s="0" t="n">
        <f aca="false">H6508*H6508</f>
        <v>0.0625</v>
      </c>
      <c r="X6508" s="0" t="n">
        <f aca="false">SUMPRODUCT(I6508:W6508,_XtX!$B$96:$P$96)</f>
        <v>47.494124634503</v>
      </c>
      <c r="Y6508" s="0" t="n">
        <f aca="false">SUMPRODUCT(MMULT(I6508:W6508,_XtX!$B$78:$P$92),I6508:W6508)</f>
        <v>0.629174661915205</v>
      </c>
      <c r="Z6508" s="0" t="n">
        <f aca="false">04_回帰ANOVA!$K$19*04_回帰ANOVA!$K$14*SQRT(1+Y6508)</f>
        <v>1.66372758058297</v>
      </c>
      <c r="AA6508" s="0" t="n">
        <f aca="false">X6508-Z6508</f>
        <v>45.83039705392</v>
      </c>
      <c r="AB6508" s="0" t="n">
        <f aca="false">X6508+Z6508</f>
        <v>49.1578522150859</v>
      </c>
      <c r="AC6508" s="54" t="b">
        <f aca="false">AND(E6508&gt;=01_因子設定!$L$5-0.000000001,E6508&lt;=01_因子設定!$M$5+0.000000001,F6508&gt;=01_因子設定!$L$6-0.000000001,F6508&lt;=01_因子設定!$M$6+0.000000001,G6508&gt;=01_因子設定!$L$7-0.000000001,G6508&lt;=01_因子設定!$M$7+0.000000001,H6508&gt;=01_因子設定!$L$8-0.000000001,H6508&lt;=01_因子設定!$M$8+0.000000001,IF(01_因子設定!$B$20="Box-Behnken",E6508^2+F6508^2+G6508^2+H6508^2&lt;=2+0.000000001,TRUE()))</f>
        <v>1</v>
      </c>
      <c r="AD6508" s="55" t="n">
        <f aca="false">IF(AC6508,IF(01_因子設定!$B$13="最大化",AA6508-01_因子設定!$B$14,IF(01_因子設定!$B$13="最小化",01_因子設定!$B$15-AB6508,MIN(AA6508-01_因子設定!$B$14,01_因子設定!$B$15-AB6508))),-1E+030)</f>
        <v>-0.669602946080019</v>
      </c>
      <c r="AE6508" s="55" t="n">
        <f aca="false">IF(AC6508,IF(01_因子設定!$B$13="最大化",X6508,IF(01_因子設定!$B$13="最小化",-X6508,-ABS(X6508-01_因子設定!$B$16))),-1E+030)</f>
        <v>47.494124634503</v>
      </c>
      <c r="AF6508" s="55" t="n">
        <f aca="false">AD6508+ROW()*0.000000001</f>
        <v>-0.669596438080019</v>
      </c>
      <c r="AG6508" s="55" t="n">
        <f aca="false">AE6508+ROW()*0.000000001</f>
        <v>47.494131142503</v>
      </c>
    </row>
    <row r="6509" customFormat="false" ht="15" hidden="false" customHeight="false" outlineLevel="0" collapsed="false">
      <c r="A6509" s="0" t="n">
        <v>8</v>
      </c>
      <c r="B6509" s="0" t="n">
        <v>8</v>
      </c>
      <c r="C6509" s="0" t="n">
        <v>2</v>
      </c>
      <c r="D6509" s="0" t="n">
        <v>6</v>
      </c>
      <c r="E6509" s="0" t="n">
        <f aca="false">-1+A6509*0.25</f>
        <v>1</v>
      </c>
      <c r="F6509" s="0" t="n">
        <f aca="false">-1+B6509*0.25</f>
        <v>1</v>
      </c>
      <c r="G6509" s="0" t="n">
        <f aca="false">-1+C6509*0.25</f>
        <v>-0.5</v>
      </c>
      <c r="H6509" s="0" t="n">
        <f aca="false">-1+D6509*0.25</f>
        <v>0.5</v>
      </c>
      <c r="I6509" s="0" t="n">
        <f aca="false">1</f>
        <v>1</v>
      </c>
      <c r="J6509" s="0" t="n">
        <f aca="false">E6509</f>
        <v>1</v>
      </c>
      <c r="K6509" s="0" t="n">
        <f aca="false">F6509</f>
        <v>1</v>
      </c>
      <c r="L6509" s="0" t="n">
        <f aca="false">G6509</f>
        <v>-0.5</v>
      </c>
      <c r="M6509" s="0" t="n">
        <f aca="false">H6509</f>
        <v>0.5</v>
      </c>
      <c r="N6509" s="0" t="n">
        <f aca="false">E6509*F6509</f>
        <v>1</v>
      </c>
      <c r="O6509" s="0" t="n">
        <f aca="false">E6509*G6509</f>
        <v>-0.5</v>
      </c>
      <c r="P6509" s="0" t="n">
        <f aca="false">E6509*H6509</f>
        <v>0.5</v>
      </c>
      <c r="Q6509" s="0" t="n">
        <f aca="false">F6509*G6509</f>
        <v>-0.5</v>
      </c>
      <c r="R6509" s="0" t="n">
        <f aca="false">F6509*H6509</f>
        <v>0.5</v>
      </c>
      <c r="S6509" s="0" t="n">
        <f aca="false">G6509*H6509</f>
        <v>-0.25</v>
      </c>
      <c r="T6509" s="0" t="n">
        <f aca="false">E6509*E6509</f>
        <v>1</v>
      </c>
      <c r="U6509" s="0" t="n">
        <f aca="false">F6509*F6509</f>
        <v>1</v>
      </c>
      <c r="V6509" s="0" t="n">
        <f aca="false">G6509*G6509</f>
        <v>0.25</v>
      </c>
      <c r="W6509" s="0" t="n">
        <f aca="false">H6509*H6509</f>
        <v>0.25</v>
      </c>
      <c r="X6509" s="0" t="n">
        <f aca="false">SUMPRODUCT(I6509:W6509,_XtX!$B$96:$P$96)</f>
        <v>47.4659904970761</v>
      </c>
      <c r="Y6509" s="0" t="n">
        <f aca="false">SUMPRODUCT(MMULT(I6509:W6509,_XtX!$B$78:$P$92),I6509:W6509)</f>
        <v>0.582488121345029</v>
      </c>
      <c r="Z6509" s="0" t="n">
        <f aca="false">04_回帰ANOVA!$K$19*04_回帰ANOVA!$K$14*SQRT(1+Y6509)</f>
        <v>1.63971595338287</v>
      </c>
      <c r="AA6509" s="0" t="n">
        <f aca="false">X6509-Z6509</f>
        <v>45.8262745436932</v>
      </c>
      <c r="AB6509" s="0" t="n">
        <f aca="false">X6509+Z6509</f>
        <v>49.1057064504589</v>
      </c>
      <c r="AC6509" s="54" t="b">
        <f aca="false">AND(E6509&gt;=01_因子設定!$L$5-0.000000001,E6509&lt;=01_因子設定!$M$5+0.000000001,F6509&gt;=01_因子設定!$L$6-0.000000001,F6509&lt;=01_因子設定!$M$6+0.000000001,G6509&gt;=01_因子設定!$L$7-0.000000001,G6509&lt;=01_因子設定!$M$7+0.000000001,H6509&gt;=01_因子設定!$L$8-0.000000001,H6509&lt;=01_因子設定!$M$8+0.000000001,IF(01_因子設定!$B$20="Box-Behnken",E6509^2+F6509^2+G6509^2+H6509^2&lt;=2+0.000000001,TRUE()))</f>
        <v>1</v>
      </c>
      <c r="AD6509" s="55" t="n">
        <f aca="false">IF(AC6509,IF(01_因子設定!$B$13="最大化",AA6509-01_因子設定!$B$14,IF(01_因子設定!$B$13="最小化",01_因子設定!$B$15-AB6509,MIN(AA6509-01_因子設定!$B$14,01_因子設定!$B$15-AB6509))),-1E+030)</f>
        <v>-0.673725456306812</v>
      </c>
      <c r="AE6509" s="55" t="n">
        <f aca="false">IF(AC6509,IF(01_因子設定!$B$13="最大化",X6509,IF(01_因子設定!$B$13="最小化",-X6509,-ABS(X6509-01_因子設定!$B$16))),-1E+030)</f>
        <v>47.4659904970761</v>
      </c>
      <c r="AF6509" s="55" t="n">
        <f aca="false">AD6509+ROW()*0.000000001</f>
        <v>-0.673718947306812</v>
      </c>
      <c r="AG6509" s="55" t="n">
        <f aca="false">AE6509+ROW()*0.000000001</f>
        <v>47.4659970060761</v>
      </c>
    </row>
    <row r="6510" customFormat="false" ht="15" hidden="false" customHeight="false" outlineLevel="0" collapsed="false">
      <c r="A6510" s="0" t="n">
        <v>8</v>
      </c>
      <c r="B6510" s="0" t="n">
        <v>8</v>
      </c>
      <c r="C6510" s="0" t="n">
        <v>2</v>
      </c>
      <c r="D6510" s="0" t="n">
        <v>7</v>
      </c>
      <c r="E6510" s="0" t="n">
        <f aca="false">-1+A6510*0.25</f>
        <v>1</v>
      </c>
      <c r="F6510" s="0" t="n">
        <f aca="false">-1+B6510*0.25</f>
        <v>1</v>
      </c>
      <c r="G6510" s="0" t="n">
        <f aca="false">-1+C6510*0.25</f>
        <v>-0.5</v>
      </c>
      <c r="H6510" s="0" t="n">
        <f aca="false">-1+D6510*0.25</f>
        <v>0.75</v>
      </c>
      <c r="I6510" s="0" t="n">
        <f aca="false">1</f>
        <v>1</v>
      </c>
      <c r="J6510" s="0" t="n">
        <f aca="false">E6510</f>
        <v>1</v>
      </c>
      <c r="K6510" s="0" t="n">
        <f aca="false">F6510</f>
        <v>1</v>
      </c>
      <c r="L6510" s="0" t="n">
        <f aca="false">G6510</f>
        <v>-0.5</v>
      </c>
      <c r="M6510" s="0" t="n">
        <f aca="false">H6510</f>
        <v>0.75</v>
      </c>
      <c r="N6510" s="0" t="n">
        <f aca="false">E6510*F6510</f>
        <v>1</v>
      </c>
      <c r="O6510" s="0" t="n">
        <f aca="false">E6510*G6510</f>
        <v>-0.5</v>
      </c>
      <c r="P6510" s="0" t="n">
        <f aca="false">E6510*H6510</f>
        <v>0.75</v>
      </c>
      <c r="Q6510" s="0" t="n">
        <f aca="false">F6510*G6510</f>
        <v>-0.5</v>
      </c>
      <c r="R6510" s="0" t="n">
        <f aca="false">F6510*H6510</f>
        <v>0.75</v>
      </c>
      <c r="S6510" s="0" t="n">
        <f aca="false">G6510*H6510</f>
        <v>-0.375</v>
      </c>
      <c r="T6510" s="0" t="n">
        <f aca="false">E6510*E6510</f>
        <v>1</v>
      </c>
      <c r="U6510" s="0" t="n">
        <f aca="false">F6510*F6510</f>
        <v>1</v>
      </c>
      <c r="V6510" s="0" t="n">
        <f aca="false">G6510*G6510</f>
        <v>0.25</v>
      </c>
      <c r="W6510" s="0" t="n">
        <f aca="false">H6510*H6510</f>
        <v>0.5625</v>
      </c>
      <c r="X6510" s="0" t="n">
        <f aca="false">SUMPRODUCT(I6510:W6510,_XtX!$B$96:$P$96)</f>
        <v>47.3900493421053</v>
      </c>
      <c r="Y6510" s="0" t="n">
        <f aca="false">SUMPRODUCT(MMULT(I6510:W6510,_XtX!$B$78:$P$92),I6510:W6510)</f>
        <v>0.564984237938597</v>
      </c>
      <c r="Z6510" s="0" t="n">
        <f aca="false">04_回帰ANOVA!$K$19*04_回帰ANOVA!$K$14*SQRT(1+Y6510)</f>
        <v>1.63062229734503</v>
      </c>
      <c r="AA6510" s="0" t="n">
        <f aca="false">X6510-Z6510</f>
        <v>45.7594270447603</v>
      </c>
      <c r="AB6510" s="0" t="n">
        <f aca="false">X6510+Z6510</f>
        <v>49.0206716394503</v>
      </c>
      <c r="AC6510" s="54" t="b">
        <f aca="false">AND(E6510&gt;=01_因子設定!$L$5-0.000000001,E6510&lt;=01_因子設定!$M$5+0.000000001,F6510&gt;=01_因子設定!$L$6-0.000000001,F6510&lt;=01_因子設定!$M$6+0.000000001,G6510&gt;=01_因子設定!$L$7-0.000000001,G6510&lt;=01_因子設定!$M$7+0.000000001,H6510&gt;=01_因子設定!$L$8-0.000000001,H6510&lt;=01_因子設定!$M$8+0.000000001,IF(01_因子設定!$B$20="Box-Behnken",E6510^2+F6510^2+G6510^2+H6510^2&lt;=2+0.000000001,TRUE()))</f>
        <v>1</v>
      </c>
      <c r="AD6510" s="55" t="n">
        <f aca="false">IF(AC6510,IF(01_因子設定!$B$13="最大化",AA6510-01_因子設定!$B$14,IF(01_因子設定!$B$13="最小化",01_因子設定!$B$15-AB6510,MIN(AA6510-01_因子設定!$B$14,01_因子設定!$B$15-AB6510))),-1E+030)</f>
        <v>-0.740572955239728</v>
      </c>
      <c r="AE6510" s="55" t="n">
        <f aca="false">IF(AC6510,IF(01_因子設定!$B$13="最大化",X6510,IF(01_因子設定!$B$13="最小化",-X6510,-ABS(X6510-01_因子設定!$B$16))),-1E+030)</f>
        <v>47.3900493421053</v>
      </c>
      <c r="AF6510" s="55" t="n">
        <f aca="false">AD6510+ROW()*0.000000001</f>
        <v>-0.740566445239728</v>
      </c>
      <c r="AG6510" s="55" t="n">
        <f aca="false">AE6510+ROW()*0.000000001</f>
        <v>47.3900558521053</v>
      </c>
    </row>
    <row r="6511" customFormat="false" ht="15" hidden="false" customHeight="false" outlineLevel="0" collapsed="false">
      <c r="A6511" s="0" t="n">
        <v>8</v>
      </c>
      <c r="B6511" s="0" t="n">
        <v>8</v>
      </c>
      <c r="C6511" s="0" t="n">
        <v>2</v>
      </c>
      <c r="D6511" s="0" t="n">
        <v>8</v>
      </c>
      <c r="E6511" s="0" t="n">
        <f aca="false">-1+A6511*0.25</f>
        <v>1</v>
      </c>
      <c r="F6511" s="0" t="n">
        <f aca="false">-1+B6511*0.25</f>
        <v>1</v>
      </c>
      <c r="G6511" s="0" t="n">
        <f aca="false">-1+C6511*0.25</f>
        <v>-0.5</v>
      </c>
      <c r="H6511" s="0" t="n">
        <f aca="false">-1+D6511*0.25</f>
        <v>1</v>
      </c>
      <c r="I6511" s="0" t="n">
        <f aca="false">1</f>
        <v>1</v>
      </c>
      <c r="J6511" s="0" t="n">
        <f aca="false">E6511</f>
        <v>1</v>
      </c>
      <c r="K6511" s="0" t="n">
        <f aca="false">F6511</f>
        <v>1</v>
      </c>
      <c r="L6511" s="0" t="n">
        <f aca="false">G6511</f>
        <v>-0.5</v>
      </c>
      <c r="M6511" s="0" t="n">
        <f aca="false">H6511</f>
        <v>1</v>
      </c>
      <c r="N6511" s="0" t="n">
        <f aca="false">E6511*F6511</f>
        <v>1</v>
      </c>
      <c r="O6511" s="0" t="n">
        <f aca="false">E6511*G6511</f>
        <v>-0.5</v>
      </c>
      <c r="P6511" s="0" t="n">
        <f aca="false">E6511*H6511</f>
        <v>1</v>
      </c>
      <c r="Q6511" s="0" t="n">
        <f aca="false">F6511*G6511</f>
        <v>-0.5</v>
      </c>
      <c r="R6511" s="0" t="n">
        <f aca="false">F6511*H6511</f>
        <v>1</v>
      </c>
      <c r="S6511" s="0" t="n">
        <f aca="false">G6511*H6511</f>
        <v>-0.5</v>
      </c>
      <c r="T6511" s="0" t="n">
        <f aca="false">E6511*E6511</f>
        <v>1</v>
      </c>
      <c r="U6511" s="0" t="n">
        <f aca="false">F6511*F6511</f>
        <v>1</v>
      </c>
      <c r="V6511" s="0" t="n">
        <f aca="false">G6511*G6511</f>
        <v>0.25</v>
      </c>
      <c r="W6511" s="0" t="n">
        <f aca="false">H6511*H6511</f>
        <v>1</v>
      </c>
      <c r="X6511" s="0" t="n">
        <f aca="false">SUMPRODUCT(I6511:W6511,_XtX!$B$96:$P$96)</f>
        <v>47.2663011695907</v>
      </c>
      <c r="Y6511" s="0" t="n">
        <f aca="false">SUMPRODUCT(MMULT(I6511:W6511,_XtX!$B$78:$P$92),I6511:W6511)</f>
        <v>0.667123538011696</v>
      </c>
      <c r="Z6511" s="0" t="n">
        <f aca="false">04_回帰ANOVA!$K$19*04_回帰ANOVA!$K$14*SQRT(1+Y6511)</f>
        <v>1.68299290213005</v>
      </c>
      <c r="AA6511" s="0" t="n">
        <f aca="false">X6511-Z6511</f>
        <v>45.5833082674607</v>
      </c>
      <c r="AB6511" s="0" t="n">
        <f aca="false">X6511+Z6511</f>
        <v>48.9492940717208</v>
      </c>
      <c r="AC6511" s="54" t="b">
        <f aca="false">AND(E6511&gt;=01_因子設定!$L$5-0.000000001,E6511&lt;=01_因子設定!$M$5+0.000000001,F6511&gt;=01_因子設定!$L$6-0.000000001,F6511&lt;=01_因子設定!$M$6+0.000000001,G6511&gt;=01_因子設定!$L$7-0.000000001,G6511&lt;=01_因子設定!$M$7+0.000000001,H6511&gt;=01_因子設定!$L$8-0.000000001,H6511&lt;=01_因子設定!$M$8+0.000000001,IF(01_因子設定!$B$20="Box-Behnken",E6511^2+F6511^2+G6511^2+H6511^2&lt;=2+0.000000001,TRUE()))</f>
        <v>1</v>
      </c>
      <c r="AD6511" s="55" t="n">
        <f aca="false">IF(AC6511,IF(01_因子設定!$B$13="最大化",AA6511-01_因子設定!$B$14,IF(01_因子設定!$B$13="最小化",01_因子設定!$B$15-AB6511,MIN(AA6511-01_因子設定!$B$14,01_因子設定!$B$15-AB6511))),-1E+030)</f>
        <v>-0.916691732539348</v>
      </c>
      <c r="AE6511" s="55" t="n">
        <f aca="false">IF(AC6511,IF(01_因子設定!$B$13="最大化",X6511,IF(01_因子設定!$B$13="最小化",-X6511,-ABS(X6511-01_因子設定!$B$16))),-1E+030)</f>
        <v>47.2663011695907</v>
      </c>
      <c r="AF6511" s="55" t="n">
        <f aca="false">AD6511+ROW()*0.000000001</f>
        <v>-0.916685221539348</v>
      </c>
      <c r="AG6511" s="55" t="n">
        <f aca="false">AE6511+ROW()*0.000000001</f>
        <v>47.2663076805907</v>
      </c>
    </row>
    <row r="6512" customFormat="false" ht="15" hidden="false" customHeight="false" outlineLevel="0" collapsed="false">
      <c r="A6512" s="0" t="n">
        <v>8</v>
      </c>
      <c r="B6512" s="0" t="n">
        <v>8</v>
      </c>
      <c r="C6512" s="0" t="n">
        <v>3</v>
      </c>
      <c r="D6512" s="0" t="n">
        <v>0</v>
      </c>
      <c r="E6512" s="0" t="n">
        <f aca="false">-1+A6512*0.25</f>
        <v>1</v>
      </c>
      <c r="F6512" s="0" t="n">
        <f aca="false">-1+B6512*0.25</f>
        <v>1</v>
      </c>
      <c r="G6512" s="0" t="n">
        <f aca="false">-1+C6512*0.25</f>
        <v>-0.25</v>
      </c>
      <c r="H6512" s="0" t="n">
        <f aca="false">-1+D6512*0.25</f>
        <v>-1</v>
      </c>
      <c r="I6512" s="0" t="n">
        <f aca="false">1</f>
        <v>1</v>
      </c>
      <c r="J6512" s="0" t="n">
        <f aca="false">E6512</f>
        <v>1</v>
      </c>
      <c r="K6512" s="0" t="n">
        <f aca="false">F6512</f>
        <v>1</v>
      </c>
      <c r="L6512" s="0" t="n">
        <f aca="false">G6512</f>
        <v>-0.25</v>
      </c>
      <c r="M6512" s="0" t="n">
        <f aca="false">H6512</f>
        <v>-1</v>
      </c>
      <c r="N6512" s="0" t="n">
        <f aca="false">E6512*F6512</f>
        <v>1</v>
      </c>
      <c r="O6512" s="0" t="n">
        <f aca="false">E6512*G6512</f>
        <v>-0.25</v>
      </c>
      <c r="P6512" s="0" t="n">
        <f aca="false">E6512*H6512</f>
        <v>-1</v>
      </c>
      <c r="Q6512" s="0" t="n">
        <f aca="false">F6512*G6512</f>
        <v>-0.25</v>
      </c>
      <c r="R6512" s="0" t="n">
        <f aca="false">F6512*H6512</f>
        <v>-1</v>
      </c>
      <c r="S6512" s="0" t="n">
        <f aca="false">G6512*H6512</f>
        <v>0.25</v>
      </c>
      <c r="T6512" s="0" t="n">
        <f aca="false">E6512*E6512</f>
        <v>1</v>
      </c>
      <c r="U6512" s="0" t="n">
        <f aca="false">F6512*F6512</f>
        <v>1</v>
      </c>
      <c r="V6512" s="0" t="n">
        <f aca="false">G6512*G6512</f>
        <v>0.0625</v>
      </c>
      <c r="W6512" s="0" t="n">
        <f aca="false">H6512*H6512</f>
        <v>1</v>
      </c>
      <c r="X6512" s="0" t="n">
        <f aca="false">SUMPRODUCT(I6512:W6512,_XtX!$B$96:$P$96)</f>
        <v>47.1352339181287</v>
      </c>
      <c r="Y6512" s="0" t="n">
        <f aca="false">SUMPRODUCT(MMULT(I6512:W6512,_XtX!$B$78:$P$92),I6512:W6512)</f>
        <v>0.737093384502924</v>
      </c>
      <c r="Z6512" s="0" t="n">
        <f aca="false">04_回帰ANOVA!$K$19*04_回帰ANOVA!$K$14*SQRT(1+Y6512)</f>
        <v>1.71794784853551</v>
      </c>
      <c r="AA6512" s="0" t="n">
        <f aca="false">X6512-Z6512</f>
        <v>45.4172860695932</v>
      </c>
      <c r="AB6512" s="0" t="n">
        <f aca="false">X6512+Z6512</f>
        <v>48.8531817666642</v>
      </c>
      <c r="AC6512" s="54" t="b">
        <f aca="false">AND(E6512&gt;=01_因子設定!$L$5-0.000000001,E6512&lt;=01_因子設定!$M$5+0.000000001,F6512&gt;=01_因子設定!$L$6-0.000000001,F6512&lt;=01_因子設定!$M$6+0.000000001,G6512&gt;=01_因子設定!$L$7-0.000000001,G6512&lt;=01_因子設定!$M$7+0.000000001,H6512&gt;=01_因子設定!$L$8-0.000000001,H6512&lt;=01_因子設定!$M$8+0.000000001,IF(01_因子設定!$B$20="Box-Behnken",E6512^2+F6512^2+G6512^2+H6512^2&lt;=2+0.000000001,TRUE()))</f>
        <v>1</v>
      </c>
      <c r="AD6512" s="55" t="n">
        <f aca="false">IF(AC6512,IF(01_因子設定!$B$13="最大化",AA6512-01_因子設定!$B$14,IF(01_因子設定!$B$13="最小化",01_因子設定!$B$15-AB6512,MIN(AA6512-01_因子設定!$B$14,01_因子設定!$B$15-AB6512))),-1E+030)</f>
        <v>-1.08271393040678</v>
      </c>
      <c r="AE6512" s="55" t="n">
        <f aca="false">IF(AC6512,IF(01_因子設定!$B$13="最大化",X6512,IF(01_因子設定!$B$13="最小化",-X6512,-ABS(X6512-01_因子設定!$B$16))),-1E+030)</f>
        <v>47.1352339181287</v>
      </c>
      <c r="AF6512" s="55" t="n">
        <f aca="false">AD6512+ROW()*0.000000001</f>
        <v>-1.08270741840678</v>
      </c>
      <c r="AG6512" s="55" t="n">
        <f aca="false">AE6512+ROW()*0.000000001</f>
        <v>47.1352404301287</v>
      </c>
    </row>
    <row r="6513" customFormat="false" ht="15" hidden="false" customHeight="false" outlineLevel="0" collapsed="false">
      <c r="A6513" s="0" t="n">
        <v>8</v>
      </c>
      <c r="B6513" s="0" t="n">
        <v>8</v>
      </c>
      <c r="C6513" s="0" t="n">
        <v>3</v>
      </c>
      <c r="D6513" s="0" t="n">
        <v>1</v>
      </c>
      <c r="E6513" s="0" t="n">
        <f aca="false">-1+A6513*0.25</f>
        <v>1</v>
      </c>
      <c r="F6513" s="0" t="n">
        <f aca="false">-1+B6513*0.25</f>
        <v>1</v>
      </c>
      <c r="G6513" s="0" t="n">
        <f aca="false">-1+C6513*0.25</f>
        <v>-0.25</v>
      </c>
      <c r="H6513" s="0" t="n">
        <f aca="false">-1+D6513*0.25</f>
        <v>-0.75</v>
      </c>
      <c r="I6513" s="0" t="n">
        <f aca="false">1</f>
        <v>1</v>
      </c>
      <c r="J6513" s="0" t="n">
        <f aca="false">E6513</f>
        <v>1</v>
      </c>
      <c r="K6513" s="0" t="n">
        <f aca="false">F6513</f>
        <v>1</v>
      </c>
      <c r="L6513" s="0" t="n">
        <f aca="false">G6513</f>
        <v>-0.25</v>
      </c>
      <c r="M6513" s="0" t="n">
        <f aca="false">H6513</f>
        <v>-0.75</v>
      </c>
      <c r="N6513" s="0" t="n">
        <f aca="false">E6513*F6513</f>
        <v>1</v>
      </c>
      <c r="O6513" s="0" t="n">
        <f aca="false">E6513*G6513</f>
        <v>-0.25</v>
      </c>
      <c r="P6513" s="0" t="n">
        <f aca="false">E6513*H6513</f>
        <v>-0.75</v>
      </c>
      <c r="Q6513" s="0" t="n">
        <f aca="false">F6513*G6513</f>
        <v>-0.25</v>
      </c>
      <c r="R6513" s="0" t="n">
        <f aca="false">F6513*H6513</f>
        <v>-0.75</v>
      </c>
      <c r="S6513" s="0" t="n">
        <f aca="false">G6513*H6513</f>
        <v>0.1875</v>
      </c>
      <c r="T6513" s="0" t="n">
        <f aca="false">E6513*E6513</f>
        <v>1</v>
      </c>
      <c r="U6513" s="0" t="n">
        <f aca="false">F6513*F6513</f>
        <v>1</v>
      </c>
      <c r="V6513" s="0" t="n">
        <f aca="false">G6513*G6513</f>
        <v>0.0625</v>
      </c>
      <c r="W6513" s="0" t="n">
        <f aca="false">H6513*H6513</f>
        <v>0.5625</v>
      </c>
      <c r="X6513" s="0" t="n">
        <f aca="false">SUMPRODUCT(I6513:W6513,_XtX!$B$96:$P$96)</f>
        <v>47.3641036184211</v>
      </c>
      <c r="Y6513" s="0" t="n">
        <f aca="false">SUMPRODUCT(MMULT(I6513:W6513,_XtX!$B$78:$P$92),I6513:W6513)</f>
        <v>0.621372155975877</v>
      </c>
      <c r="Z6513" s="0" t="n">
        <f aca="false">04_回帰ANOVA!$K$19*04_回帰ANOVA!$K$14*SQRT(1+Y6513)</f>
        <v>1.65973880499872</v>
      </c>
      <c r="AA6513" s="0" t="n">
        <f aca="false">X6513-Z6513</f>
        <v>45.7043648134224</v>
      </c>
      <c r="AB6513" s="0" t="n">
        <f aca="false">X6513+Z6513</f>
        <v>49.0238424234198</v>
      </c>
      <c r="AC6513" s="54" t="b">
        <f aca="false">AND(E6513&gt;=01_因子設定!$L$5-0.000000001,E6513&lt;=01_因子設定!$M$5+0.000000001,F6513&gt;=01_因子設定!$L$6-0.000000001,F6513&lt;=01_因子設定!$M$6+0.000000001,G6513&gt;=01_因子設定!$L$7-0.000000001,G6513&lt;=01_因子設定!$M$7+0.000000001,H6513&gt;=01_因子設定!$L$8-0.000000001,H6513&lt;=01_因子設定!$M$8+0.000000001,IF(01_因子設定!$B$20="Box-Behnken",E6513^2+F6513^2+G6513^2+H6513^2&lt;=2+0.000000001,TRUE()))</f>
        <v>1</v>
      </c>
      <c r="AD6513" s="55" t="n">
        <f aca="false">IF(AC6513,IF(01_因子設定!$B$13="最大化",AA6513-01_因子設定!$B$14,IF(01_因子設定!$B$13="最小化",01_因子設定!$B$15-AB6513,MIN(AA6513-01_因子設定!$B$14,01_因子設定!$B$15-AB6513))),-1E+030)</f>
        <v>-0.79563518657762</v>
      </c>
      <c r="AE6513" s="55" t="n">
        <f aca="false">IF(AC6513,IF(01_因子設定!$B$13="最大化",X6513,IF(01_因子設定!$B$13="最小化",-X6513,-ABS(X6513-01_因子設定!$B$16))),-1E+030)</f>
        <v>47.3641036184211</v>
      </c>
      <c r="AF6513" s="55" t="n">
        <f aca="false">AD6513+ROW()*0.000000001</f>
        <v>-0.79562867357762</v>
      </c>
      <c r="AG6513" s="55" t="n">
        <f aca="false">AE6513+ROW()*0.000000001</f>
        <v>47.3641101314211</v>
      </c>
    </row>
    <row r="6514" customFormat="false" ht="15" hidden="false" customHeight="false" outlineLevel="0" collapsed="false">
      <c r="A6514" s="0" t="n">
        <v>8</v>
      </c>
      <c r="B6514" s="0" t="n">
        <v>8</v>
      </c>
      <c r="C6514" s="0" t="n">
        <v>3</v>
      </c>
      <c r="D6514" s="0" t="n">
        <v>2</v>
      </c>
      <c r="E6514" s="0" t="n">
        <f aca="false">-1+A6514*0.25</f>
        <v>1</v>
      </c>
      <c r="F6514" s="0" t="n">
        <f aca="false">-1+B6514*0.25</f>
        <v>1</v>
      </c>
      <c r="G6514" s="0" t="n">
        <f aca="false">-1+C6514*0.25</f>
        <v>-0.25</v>
      </c>
      <c r="H6514" s="0" t="n">
        <f aca="false">-1+D6514*0.25</f>
        <v>-0.5</v>
      </c>
      <c r="I6514" s="0" t="n">
        <f aca="false">1</f>
        <v>1</v>
      </c>
      <c r="J6514" s="0" t="n">
        <f aca="false">E6514</f>
        <v>1</v>
      </c>
      <c r="K6514" s="0" t="n">
        <f aca="false">F6514</f>
        <v>1</v>
      </c>
      <c r="L6514" s="0" t="n">
        <f aca="false">G6514</f>
        <v>-0.25</v>
      </c>
      <c r="M6514" s="0" t="n">
        <f aca="false">H6514</f>
        <v>-0.5</v>
      </c>
      <c r="N6514" s="0" t="n">
        <f aca="false">E6514*F6514</f>
        <v>1</v>
      </c>
      <c r="O6514" s="0" t="n">
        <f aca="false">E6514*G6514</f>
        <v>-0.25</v>
      </c>
      <c r="P6514" s="0" t="n">
        <f aca="false">E6514*H6514</f>
        <v>-0.5</v>
      </c>
      <c r="Q6514" s="0" t="n">
        <f aca="false">F6514*G6514</f>
        <v>-0.25</v>
      </c>
      <c r="R6514" s="0" t="n">
        <f aca="false">F6514*H6514</f>
        <v>-0.5</v>
      </c>
      <c r="S6514" s="0" t="n">
        <f aca="false">G6514*H6514</f>
        <v>0.125</v>
      </c>
      <c r="T6514" s="0" t="n">
        <f aca="false">E6514*E6514</f>
        <v>1</v>
      </c>
      <c r="U6514" s="0" t="n">
        <f aca="false">F6514*F6514</f>
        <v>1</v>
      </c>
      <c r="V6514" s="0" t="n">
        <f aca="false">G6514*G6514</f>
        <v>0.0625</v>
      </c>
      <c r="W6514" s="0" t="n">
        <f aca="false">H6514*H6514</f>
        <v>0.25</v>
      </c>
      <c r="X6514" s="0" t="n">
        <f aca="false">SUMPRODUCT(I6514:W6514,_XtX!$B$96:$P$96)</f>
        <v>47.5451663011696</v>
      </c>
      <c r="Y6514" s="0" t="n">
        <f aca="false">SUMPRODUCT(MMULT(I6514:W6514,_XtX!$B$78:$P$92),I6514:W6514)</f>
        <v>0.629174661915205</v>
      </c>
      <c r="Z6514" s="0" t="n">
        <f aca="false">04_回帰ANOVA!$K$19*04_回帰ANOVA!$K$14*SQRT(1+Y6514)</f>
        <v>1.66372758058297</v>
      </c>
      <c r="AA6514" s="0" t="n">
        <f aca="false">X6514-Z6514</f>
        <v>45.8814387205867</v>
      </c>
      <c r="AB6514" s="0" t="n">
        <f aca="false">X6514+Z6514</f>
        <v>49.2088938817526</v>
      </c>
      <c r="AC6514" s="54" t="b">
        <f aca="false">AND(E6514&gt;=01_因子設定!$L$5-0.000000001,E6514&lt;=01_因子設定!$M$5+0.000000001,F6514&gt;=01_因子設定!$L$6-0.000000001,F6514&lt;=01_因子設定!$M$6+0.000000001,G6514&gt;=01_因子設定!$L$7-0.000000001,G6514&lt;=01_因子設定!$M$7+0.000000001,H6514&gt;=01_因子設定!$L$8-0.000000001,H6514&lt;=01_因子設定!$M$8+0.000000001,IF(01_因子設定!$B$20="Box-Behnken",E6514^2+F6514^2+G6514^2+H6514^2&lt;=2+0.000000001,TRUE()))</f>
        <v>1</v>
      </c>
      <c r="AD6514" s="55" t="n">
        <f aca="false">IF(AC6514,IF(01_因子設定!$B$13="最大化",AA6514-01_因子設定!$B$14,IF(01_因子設定!$B$13="最小化",01_因子設定!$B$15-AB6514,MIN(AA6514-01_因子設定!$B$14,01_因子設定!$B$15-AB6514))),-1E+030)</f>
        <v>-0.618561279413349</v>
      </c>
      <c r="AE6514" s="55" t="n">
        <f aca="false">IF(AC6514,IF(01_因子設定!$B$13="最大化",X6514,IF(01_因子設定!$B$13="最小化",-X6514,-ABS(X6514-01_因子設定!$B$16))),-1E+030)</f>
        <v>47.5451663011696</v>
      </c>
      <c r="AF6514" s="55" t="n">
        <f aca="false">AD6514+ROW()*0.000000001</f>
        <v>-0.618554765413349</v>
      </c>
      <c r="AG6514" s="55" t="n">
        <f aca="false">AE6514+ROW()*0.000000001</f>
        <v>47.5451728151696</v>
      </c>
    </row>
    <row r="6515" customFormat="false" ht="15" hidden="false" customHeight="false" outlineLevel="0" collapsed="false">
      <c r="A6515" s="0" t="n">
        <v>8</v>
      </c>
      <c r="B6515" s="0" t="n">
        <v>8</v>
      </c>
      <c r="C6515" s="0" t="n">
        <v>3</v>
      </c>
      <c r="D6515" s="0" t="n">
        <v>3</v>
      </c>
      <c r="E6515" s="0" t="n">
        <f aca="false">-1+A6515*0.25</f>
        <v>1</v>
      </c>
      <c r="F6515" s="0" t="n">
        <f aca="false">-1+B6515*0.25</f>
        <v>1</v>
      </c>
      <c r="G6515" s="0" t="n">
        <f aca="false">-1+C6515*0.25</f>
        <v>-0.25</v>
      </c>
      <c r="H6515" s="0" t="n">
        <f aca="false">-1+D6515*0.25</f>
        <v>-0.25</v>
      </c>
      <c r="I6515" s="0" t="n">
        <f aca="false">1</f>
        <v>1</v>
      </c>
      <c r="J6515" s="0" t="n">
        <f aca="false">E6515</f>
        <v>1</v>
      </c>
      <c r="K6515" s="0" t="n">
        <f aca="false">F6515</f>
        <v>1</v>
      </c>
      <c r="L6515" s="0" t="n">
        <f aca="false">G6515</f>
        <v>-0.25</v>
      </c>
      <c r="M6515" s="0" t="n">
        <f aca="false">H6515</f>
        <v>-0.25</v>
      </c>
      <c r="N6515" s="0" t="n">
        <f aca="false">E6515*F6515</f>
        <v>1</v>
      </c>
      <c r="O6515" s="0" t="n">
        <f aca="false">E6515*G6515</f>
        <v>-0.25</v>
      </c>
      <c r="P6515" s="0" t="n">
        <f aca="false">E6515*H6515</f>
        <v>-0.25</v>
      </c>
      <c r="Q6515" s="0" t="n">
        <f aca="false">F6515*G6515</f>
        <v>-0.25</v>
      </c>
      <c r="R6515" s="0" t="n">
        <f aca="false">F6515*H6515</f>
        <v>-0.25</v>
      </c>
      <c r="S6515" s="0" t="n">
        <f aca="false">G6515*H6515</f>
        <v>0.0625</v>
      </c>
      <c r="T6515" s="0" t="n">
        <f aca="false">E6515*E6515</f>
        <v>1</v>
      </c>
      <c r="U6515" s="0" t="n">
        <f aca="false">F6515*F6515</f>
        <v>1</v>
      </c>
      <c r="V6515" s="0" t="n">
        <f aca="false">G6515*G6515</f>
        <v>0.0625</v>
      </c>
      <c r="W6515" s="0" t="n">
        <f aca="false">H6515*H6515</f>
        <v>0.0625</v>
      </c>
      <c r="X6515" s="0" t="n">
        <f aca="false">SUMPRODUCT(I6515:W6515,_XtX!$B$96:$P$96)</f>
        <v>47.6784219663743</v>
      </c>
      <c r="Y6515" s="0" t="n">
        <f aca="false">SUMPRODUCT(MMULT(I6515:W6515,_XtX!$B$78:$P$92),I6515:W6515)</f>
        <v>0.670040376005117</v>
      </c>
      <c r="Z6515" s="0" t="n">
        <f aca="false">04_回帰ANOVA!$K$19*04_回帰ANOVA!$K$14*SQRT(1+Y6515)</f>
        <v>1.68446456039992</v>
      </c>
      <c r="AA6515" s="0" t="n">
        <f aca="false">X6515-Z6515</f>
        <v>45.9939574059744</v>
      </c>
      <c r="AB6515" s="0" t="n">
        <f aca="false">X6515+Z6515</f>
        <v>49.3628865267742</v>
      </c>
      <c r="AC6515" s="54" t="b">
        <f aca="false">AND(E6515&gt;=01_因子設定!$L$5-0.000000001,E6515&lt;=01_因子設定!$M$5+0.000000001,F6515&gt;=01_因子設定!$L$6-0.000000001,F6515&lt;=01_因子設定!$M$6+0.000000001,G6515&gt;=01_因子設定!$L$7-0.000000001,G6515&lt;=01_因子設定!$M$7+0.000000001,H6515&gt;=01_因子設定!$L$8-0.000000001,H6515&lt;=01_因子設定!$M$8+0.000000001,IF(01_因子設定!$B$20="Box-Behnken",E6515^2+F6515^2+G6515^2+H6515^2&lt;=2+0.000000001,TRUE()))</f>
        <v>1</v>
      </c>
      <c r="AD6515" s="55" t="n">
        <f aca="false">IF(AC6515,IF(01_因子設定!$B$13="最大化",AA6515-01_因子設定!$B$14,IF(01_因子設定!$B$13="最小化",01_因子設定!$B$15-AB6515,MIN(AA6515-01_因子設定!$B$14,01_因子設定!$B$15-AB6515))),-1E+030)</f>
        <v>-0.506042594025622</v>
      </c>
      <c r="AE6515" s="55" t="n">
        <f aca="false">IF(AC6515,IF(01_因子設定!$B$13="最大化",X6515,IF(01_因子設定!$B$13="最小化",-X6515,-ABS(X6515-01_因子設定!$B$16))),-1E+030)</f>
        <v>47.6784219663743</v>
      </c>
      <c r="AF6515" s="55" t="n">
        <f aca="false">AD6515+ROW()*0.000000001</f>
        <v>-0.506036079025622</v>
      </c>
      <c r="AG6515" s="55" t="n">
        <f aca="false">AE6515+ROW()*0.000000001</f>
        <v>47.6784284813743</v>
      </c>
    </row>
    <row r="6516" customFormat="false" ht="15" hidden="false" customHeight="false" outlineLevel="0" collapsed="false">
      <c r="A6516" s="0" t="n">
        <v>8</v>
      </c>
      <c r="B6516" s="0" t="n">
        <v>8</v>
      </c>
      <c r="C6516" s="0" t="n">
        <v>3</v>
      </c>
      <c r="D6516" s="0" t="n">
        <v>4</v>
      </c>
      <c r="E6516" s="0" t="n">
        <f aca="false">-1+A6516*0.25</f>
        <v>1</v>
      </c>
      <c r="F6516" s="0" t="n">
        <f aca="false">-1+B6516*0.25</f>
        <v>1</v>
      </c>
      <c r="G6516" s="0" t="n">
        <f aca="false">-1+C6516*0.25</f>
        <v>-0.25</v>
      </c>
      <c r="H6516" s="0" t="n">
        <f aca="false">-1+D6516*0.25</f>
        <v>0</v>
      </c>
      <c r="I6516" s="0" t="n">
        <f aca="false">1</f>
        <v>1</v>
      </c>
      <c r="J6516" s="0" t="n">
        <f aca="false">E6516</f>
        <v>1</v>
      </c>
      <c r="K6516" s="0" t="n">
        <f aca="false">F6516</f>
        <v>1</v>
      </c>
      <c r="L6516" s="0" t="n">
        <f aca="false">G6516</f>
        <v>-0.25</v>
      </c>
      <c r="M6516" s="0" t="n">
        <f aca="false">H6516</f>
        <v>0</v>
      </c>
      <c r="N6516" s="0" t="n">
        <f aca="false">E6516*F6516</f>
        <v>1</v>
      </c>
      <c r="O6516" s="0" t="n">
        <f aca="false">E6516*G6516</f>
        <v>-0.25</v>
      </c>
      <c r="P6516" s="0" t="n">
        <f aca="false">E6516*H6516</f>
        <v>0</v>
      </c>
      <c r="Q6516" s="0" t="n">
        <f aca="false">F6516*G6516</f>
        <v>-0.25</v>
      </c>
      <c r="R6516" s="0" t="n">
        <f aca="false">F6516*H6516</f>
        <v>0</v>
      </c>
      <c r="S6516" s="0" t="n">
        <f aca="false">G6516*H6516</f>
        <v>-0</v>
      </c>
      <c r="T6516" s="0" t="n">
        <f aca="false">E6516*E6516</f>
        <v>1</v>
      </c>
      <c r="U6516" s="0" t="n">
        <f aca="false">F6516*F6516</f>
        <v>1</v>
      </c>
      <c r="V6516" s="0" t="n">
        <f aca="false">G6516*G6516</f>
        <v>0.0625</v>
      </c>
      <c r="W6516" s="0" t="n">
        <f aca="false">H6516*H6516</f>
        <v>0</v>
      </c>
      <c r="X6516" s="0" t="n">
        <f aca="false">SUMPRODUCT(I6516:W6516,_XtX!$B$96:$P$96)</f>
        <v>47.7638706140351</v>
      </c>
      <c r="Y6516" s="0" t="n">
        <f aca="false">SUMPRODUCT(MMULT(I6516:W6516,_XtX!$B$78:$P$92),I6516:W6516)</f>
        <v>0.689692982456141</v>
      </c>
      <c r="Z6516" s="0" t="n">
        <f aca="false">04_回帰ANOVA!$K$19*04_回帰ANOVA!$K$14*SQRT(1+Y6516)</f>
        <v>1.69434674594998</v>
      </c>
      <c r="AA6516" s="0" t="n">
        <f aca="false">X6516-Z6516</f>
        <v>46.0695238680851</v>
      </c>
      <c r="AB6516" s="0" t="n">
        <f aca="false">X6516+Z6516</f>
        <v>49.4582173599851</v>
      </c>
      <c r="AC6516" s="54" t="b">
        <f aca="false">AND(E6516&gt;=01_因子設定!$L$5-0.000000001,E6516&lt;=01_因子設定!$M$5+0.000000001,F6516&gt;=01_因子設定!$L$6-0.000000001,F6516&lt;=01_因子設定!$M$6+0.000000001,G6516&gt;=01_因子設定!$L$7-0.000000001,G6516&lt;=01_因子設定!$M$7+0.000000001,H6516&gt;=01_因子設定!$L$8-0.000000001,H6516&lt;=01_因子設定!$M$8+0.000000001,IF(01_因子設定!$B$20="Box-Behnken",E6516^2+F6516^2+G6516^2+H6516^2&lt;=2+0.000000001,TRUE()))</f>
        <v>1</v>
      </c>
      <c r="AD6516" s="55" t="n">
        <f aca="false">IF(AC6516,IF(01_因子設定!$B$13="最大化",AA6516-01_因子設定!$B$14,IF(01_因子設定!$B$13="最小化",01_因子設定!$B$15-AB6516,MIN(AA6516-01_因子設定!$B$14,01_因子設定!$B$15-AB6516))),-1E+030)</f>
        <v>-0.430476131914872</v>
      </c>
      <c r="AE6516" s="55" t="n">
        <f aca="false">IF(AC6516,IF(01_因子設定!$B$13="最大化",X6516,IF(01_因子設定!$B$13="最小化",-X6516,-ABS(X6516-01_因子設定!$B$16))),-1E+030)</f>
        <v>47.7638706140351</v>
      </c>
      <c r="AF6516" s="55" t="n">
        <f aca="false">AD6516+ROW()*0.000000001</f>
        <v>-0.430469615914872</v>
      </c>
      <c r="AG6516" s="55" t="n">
        <f aca="false">AE6516+ROW()*0.000000001</f>
        <v>47.7638771300351</v>
      </c>
    </row>
    <row r="6517" customFormat="false" ht="15" hidden="false" customHeight="false" outlineLevel="0" collapsed="false">
      <c r="A6517" s="0" t="n">
        <v>8</v>
      </c>
      <c r="B6517" s="0" t="n">
        <v>8</v>
      </c>
      <c r="C6517" s="0" t="n">
        <v>3</v>
      </c>
      <c r="D6517" s="0" t="n">
        <v>5</v>
      </c>
      <c r="E6517" s="0" t="n">
        <f aca="false">-1+A6517*0.25</f>
        <v>1</v>
      </c>
      <c r="F6517" s="0" t="n">
        <f aca="false">-1+B6517*0.25</f>
        <v>1</v>
      </c>
      <c r="G6517" s="0" t="n">
        <f aca="false">-1+C6517*0.25</f>
        <v>-0.25</v>
      </c>
      <c r="H6517" s="0" t="n">
        <f aca="false">-1+D6517*0.25</f>
        <v>0.25</v>
      </c>
      <c r="I6517" s="0" t="n">
        <f aca="false">1</f>
        <v>1</v>
      </c>
      <c r="J6517" s="0" t="n">
        <f aca="false">E6517</f>
        <v>1</v>
      </c>
      <c r="K6517" s="0" t="n">
        <f aca="false">F6517</f>
        <v>1</v>
      </c>
      <c r="L6517" s="0" t="n">
        <f aca="false">G6517</f>
        <v>-0.25</v>
      </c>
      <c r="M6517" s="0" t="n">
        <f aca="false">H6517</f>
        <v>0.25</v>
      </c>
      <c r="N6517" s="0" t="n">
        <f aca="false">E6517*F6517</f>
        <v>1</v>
      </c>
      <c r="O6517" s="0" t="n">
        <f aca="false">E6517*G6517</f>
        <v>-0.25</v>
      </c>
      <c r="P6517" s="0" t="n">
        <f aca="false">E6517*H6517</f>
        <v>0.25</v>
      </c>
      <c r="Q6517" s="0" t="n">
        <f aca="false">F6517*G6517</f>
        <v>-0.25</v>
      </c>
      <c r="R6517" s="0" t="n">
        <f aca="false">F6517*H6517</f>
        <v>0.25</v>
      </c>
      <c r="S6517" s="0" t="n">
        <f aca="false">G6517*H6517</f>
        <v>-0.0625</v>
      </c>
      <c r="T6517" s="0" t="n">
        <f aca="false">E6517*E6517</f>
        <v>1</v>
      </c>
      <c r="U6517" s="0" t="n">
        <f aca="false">F6517*F6517</f>
        <v>1</v>
      </c>
      <c r="V6517" s="0" t="n">
        <f aca="false">G6517*G6517</f>
        <v>0.0625</v>
      </c>
      <c r="W6517" s="0" t="n">
        <f aca="false">H6517*H6517</f>
        <v>0.0625</v>
      </c>
      <c r="X6517" s="0" t="n">
        <f aca="false">SUMPRODUCT(I6517:W6517,_XtX!$B$96:$P$96)</f>
        <v>47.8015122441521</v>
      </c>
      <c r="Y6517" s="0" t="n">
        <f aca="false">SUMPRODUCT(MMULT(I6517:W6517,_XtX!$B$78:$P$92),I6517:W6517)</f>
        <v>0.670040376005117</v>
      </c>
      <c r="Z6517" s="0" t="n">
        <f aca="false">04_回帰ANOVA!$K$19*04_回帰ANOVA!$K$14*SQRT(1+Y6517)</f>
        <v>1.68446456039992</v>
      </c>
      <c r="AA6517" s="0" t="n">
        <f aca="false">X6517-Z6517</f>
        <v>46.1170476837522</v>
      </c>
      <c r="AB6517" s="0" t="n">
        <f aca="false">X6517+Z6517</f>
        <v>49.485976804552</v>
      </c>
      <c r="AC6517" s="54" t="b">
        <f aca="false">AND(E6517&gt;=01_因子設定!$L$5-0.000000001,E6517&lt;=01_因子設定!$M$5+0.000000001,F6517&gt;=01_因子設定!$L$6-0.000000001,F6517&lt;=01_因子設定!$M$6+0.000000001,G6517&gt;=01_因子設定!$L$7-0.000000001,G6517&lt;=01_因子設定!$M$7+0.000000001,H6517&gt;=01_因子設定!$L$8-0.000000001,H6517&lt;=01_因子設定!$M$8+0.000000001,IF(01_因子設定!$B$20="Box-Behnken",E6517^2+F6517^2+G6517^2+H6517^2&lt;=2+0.000000001,TRUE()))</f>
        <v>1</v>
      </c>
      <c r="AD6517" s="55" t="n">
        <f aca="false">IF(AC6517,IF(01_因子設定!$B$13="最大化",AA6517-01_因子設定!$B$14,IF(01_因子設定!$B$13="最小化",01_因子設定!$B$15-AB6517,MIN(AA6517-01_因子設定!$B$14,01_因子設定!$B$15-AB6517))),-1E+030)</f>
        <v>-0.382952316247845</v>
      </c>
      <c r="AE6517" s="55" t="n">
        <f aca="false">IF(AC6517,IF(01_因子設定!$B$13="最大化",X6517,IF(01_因子設定!$B$13="最小化",-X6517,-ABS(X6517-01_因子設定!$B$16))),-1E+030)</f>
        <v>47.8015122441521</v>
      </c>
      <c r="AF6517" s="55" t="n">
        <f aca="false">AD6517+ROW()*0.000000001</f>
        <v>-0.382945799247845</v>
      </c>
      <c r="AG6517" s="55" t="n">
        <f aca="false">AE6517+ROW()*0.000000001</f>
        <v>47.8015187611521</v>
      </c>
    </row>
    <row r="6518" customFormat="false" ht="15" hidden="false" customHeight="false" outlineLevel="0" collapsed="false">
      <c r="A6518" s="0" t="n">
        <v>8</v>
      </c>
      <c r="B6518" s="0" t="n">
        <v>8</v>
      </c>
      <c r="C6518" s="0" t="n">
        <v>3</v>
      </c>
      <c r="D6518" s="0" t="n">
        <v>6</v>
      </c>
      <c r="E6518" s="0" t="n">
        <f aca="false">-1+A6518*0.25</f>
        <v>1</v>
      </c>
      <c r="F6518" s="0" t="n">
        <f aca="false">-1+B6518*0.25</f>
        <v>1</v>
      </c>
      <c r="G6518" s="0" t="n">
        <f aca="false">-1+C6518*0.25</f>
        <v>-0.25</v>
      </c>
      <c r="H6518" s="0" t="n">
        <f aca="false">-1+D6518*0.25</f>
        <v>0.5</v>
      </c>
      <c r="I6518" s="0" t="n">
        <f aca="false">1</f>
        <v>1</v>
      </c>
      <c r="J6518" s="0" t="n">
        <f aca="false">E6518</f>
        <v>1</v>
      </c>
      <c r="K6518" s="0" t="n">
        <f aca="false">F6518</f>
        <v>1</v>
      </c>
      <c r="L6518" s="0" t="n">
        <f aca="false">G6518</f>
        <v>-0.25</v>
      </c>
      <c r="M6518" s="0" t="n">
        <f aca="false">H6518</f>
        <v>0.5</v>
      </c>
      <c r="N6518" s="0" t="n">
        <f aca="false">E6518*F6518</f>
        <v>1</v>
      </c>
      <c r="O6518" s="0" t="n">
        <f aca="false">E6518*G6518</f>
        <v>-0.25</v>
      </c>
      <c r="P6518" s="0" t="n">
        <f aca="false">E6518*H6518</f>
        <v>0.5</v>
      </c>
      <c r="Q6518" s="0" t="n">
        <f aca="false">F6518*G6518</f>
        <v>-0.25</v>
      </c>
      <c r="R6518" s="0" t="n">
        <f aca="false">F6518*H6518</f>
        <v>0.5</v>
      </c>
      <c r="S6518" s="0" t="n">
        <f aca="false">G6518*H6518</f>
        <v>-0.125</v>
      </c>
      <c r="T6518" s="0" t="n">
        <f aca="false">E6518*E6518</f>
        <v>1</v>
      </c>
      <c r="U6518" s="0" t="n">
        <f aca="false">F6518*F6518</f>
        <v>1</v>
      </c>
      <c r="V6518" s="0" t="n">
        <f aca="false">G6518*G6518</f>
        <v>0.0625</v>
      </c>
      <c r="W6518" s="0" t="n">
        <f aca="false">H6518*H6518</f>
        <v>0.25</v>
      </c>
      <c r="X6518" s="0" t="n">
        <f aca="false">SUMPRODUCT(I6518:W6518,_XtX!$B$96:$P$96)</f>
        <v>47.7913468567252</v>
      </c>
      <c r="Y6518" s="0" t="n">
        <f aca="false">SUMPRODUCT(MMULT(I6518:W6518,_XtX!$B$78:$P$92),I6518:W6518)</f>
        <v>0.629174661915205</v>
      </c>
      <c r="Z6518" s="0" t="n">
        <f aca="false">04_回帰ANOVA!$K$19*04_回帰ANOVA!$K$14*SQRT(1+Y6518)</f>
        <v>1.66372758058297</v>
      </c>
      <c r="AA6518" s="0" t="n">
        <f aca="false">X6518-Z6518</f>
        <v>46.1276192761422</v>
      </c>
      <c r="AB6518" s="0" t="n">
        <f aca="false">X6518+Z6518</f>
        <v>49.4550744373082</v>
      </c>
      <c r="AC6518" s="54" t="b">
        <f aca="false">AND(E6518&gt;=01_因子設定!$L$5-0.000000001,E6518&lt;=01_因子設定!$M$5+0.000000001,F6518&gt;=01_因子設定!$L$6-0.000000001,F6518&lt;=01_因子設定!$M$6+0.000000001,G6518&gt;=01_因子設定!$L$7-0.000000001,G6518&lt;=01_因子設定!$M$7+0.000000001,H6518&gt;=01_因子設定!$L$8-0.000000001,H6518&lt;=01_因子設定!$M$8+0.000000001,IF(01_因子設定!$B$20="Box-Behnken",E6518^2+F6518^2+G6518^2+H6518^2&lt;=2+0.000000001,TRUE()))</f>
        <v>1</v>
      </c>
      <c r="AD6518" s="55" t="n">
        <f aca="false">IF(AC6518,IF(01_因子設定!$B$13="最大化",AA6518-01_因子設定!$B$14,IF(01_因子設定!$B$13="最小化",01_因子設定!$B$15-AB6518,MIN(AA6518-01_因子設定!$B$14,01_因子設定!$B$15-AB6518))),-1E+030)</f>
        <v>-0.372380723857795</v>
      </c>
      <c r="AE6518" s="55" t="n">
        <f aca="false">IF(AC6518,IF(01_因子設定!$B$13="最大化",X6518,IF(01_因子設定!$B$13="最小化",-X6518,-ABS(X6518-01_因子設定!$B$16))),-1E+030)</f>
        <v>47.7913468567252</v>
      </c>
      <c r="AF6518" s="55" t="n">
        <f aca="false">AD6518+ROW()*0.000000001</f>
        <v>-0.372374205857795</v>
      </c>
      <c r="AG6518" s="55" t="n">
        <f aca="false">AE6518+ROW()*0.000000001</f>
        <v>47.7913533747252</v>
      </c>
    </row>
    <row r="6519" customFormat="false" ht="15" hidden="false" customHeight="false" outlineLevel="0" collapsed="false">
      <c r="A6519" s="0" t="n">
        <v>8</v>
      </c>
      <c r="B6519" s="0" t="n">
        <v>8</v>
      </c>
      <c r="C6519" s="0" t="n">
        <v>3</v>
      </c>
      <c r="D6519" s="0" t="n">
        <v>7</v>
      </c>
      <c r="E6519" s="0" t="n">
        <f aca="false">-1+A6519*0.25</f>
        <v>1</v>
      </c>
      <c r="F6519" s="0" t="n">
        <f aca="false">-1+B6519*0.25</f>
        <v>1</v>
      </c>
      <c r="G6519" s="0" t="n">
        <f aca="false">-1+C6519*0.25</f>
        <v>-0.25</v>
      </c>
      <c r="H6519" s="0" t="n">
        <f aca="false">-1+D6519*0.25</f>
        <v>0.75</v>
      </c>
      <c r="I6519" s="0" t="n">
        <f aca="false">1</f>
        <v>1</v>
      </c>
      <c r="J6519" s="0" t="n">
        <f aca="false">E6519</f>
        <v>1</v>
      </c>
      <c r="K6519" s="0" t="n">
        <f aca="false">F6519</f>
        <v>1</v>
      </c>
      <c r="L6519" s="0" t="n">
        <f aca="false">G6519</f>
        <v>-0.25</v>
      </c>
      <c r="M6519" s="0" t="n">
        <f aca="false">H6519</f>
        <v>0.75</v>
      </c>
      <c r="N6519" s="0" t="n">
        <f aca="false">E6519*F6519</f>
        <v>1</v>
      </c>
      <c r="O6519" s="0" t="n">
        <f aca="false">E6519*G6519</f>
        <v>-0.25</v>
      </c>
      <c r="P6519" s="0" t="n">
        <f aca="false">E6519*H6519</f>
        <v>0.75</v>
      </c>
      <c r="Q6519" s="0" t="n">
        <f aca="false">F6519*G6519</f>
        <v>-0.25</v>
      </c>
      <c r="R6519" s="0" t="n">
        <f aca="false">F6519*H6519</f>
        <v>0.75</v>
      </c>
      <c r="S6519" s="0" t="n">
        <f aca="false">G6519*H6519</f>
        <v>-0.1875</v>
      </c>
      <c r="T6519" s="0" t="n">
        <f aca="false">E6519*E6519</f>
        <v>1</v>
      </c>
      <c r="U6519" s="0" t="n">
        <f aca="false">F6519*F6519</f>
        <v>1</v>
      </c>
      <c r="V6519" s="0" t="n">
        <f aca="false">G6519*G6519</f>
        <v>0.0625</v>
      </c>
      <c r="W6519" s="0" t="n">
        <f aca="false">H6519*H6519</f>
        <v>0.5625</v>
      </c>
      <c r="X6519" s="0" t="n">
        <f aca="false">SUMPRODUCT(I6519:W6519,_XtX!$B$96:$P$96)</f>
        <v>47.7333744517544</v>
      </c>
      <c r="Y6519" s="0" t="n">
        <f aca="false">SUMPRODUCT(MMULT(I6519:W6519,_XtX!$B$78:$P$92),I6519:W6519)</f>
        <v>0.621372155975877</v>
      </c>
      <c r="Z6519" s="0" t="n">
        <f aca="false">04_回帰ANOVA!$K$19*04_回帰ANOVA!$K$14*SQRT(1+Y6519)</f>
        <v>1.65973880499872</v>
      </c>
      <c r="AA6519" s="0" t="n">
        <f aca="false">X6519-Z6519</f>
        <v>46.0736356467557</v>
      </c>
      <c r="AB6519" s="0" t="n">
        <f aca="false">X6519+Z6519</f>
        <v>49.3931132567531</v>
      </c>
      <c r="AC6519" s="54" t="b">
        <f aca="false">AND(E6519&gt;=01_因子設定!$L$5-0.000000001,E6519&lt;=01_因子設定!$M$5+0.000000001,F6519&gt;=01_因子設定!$L$6-0.000000001,F6519&lt;=01_因子設定!$M$6+0.000000001,G6519&gt;=01_因子設定!$L$7-0.000000001,G6519&lt;=01_因子設定!$M$7+0.000000001,H6519&gt;=01_因子設定!$L$8-0.000000001,H6519&lt;=01_因子設定!$M$8+0.000000001,IF(01_因子設定!$B$20="Box-Behnken",E6519^2+F6519^2+G6519^2+H6519^2&lt;=2+0.000000001,TRUE()))</f>
        <v>1</v>
      </c>
      <c r="AD6519" s="55" t="n">
        <f aca="false">IF(AC6519,IF(01_因子設定!$B$13="最大化",AA6519-01_因子設定!$B$14,IF(01_因子設定!$B$13="最小化",01_因子設定!$B$15-AB6519,MIN(AA6519-01_因子設定!$B$14,01_因子設定!$B$15-AB6519))),-1E+030)</f>
        <v>-0.426364353244288</v>
      </c>
      <c r="AE6519" s="55" t="n">
        <f aca="false">IF(AC6519,IF(01_因子設定!$B$13="最大化",X6519,IF(01_因子設定!$B$13="最小化",-X6519,-ABS(X6519-01_因子設定!$B$16))),-1E+030)</f>
        <v>47.7333744517544</v>
      </c>
      <c r="AF6519" s="55" t="n">
        <f aca="false">AD6519+ROW()*0.000000001</f>
        <v>-0.426357834244288</v>
      </c>
      <c r="AG6519" s="55" t="n">
        <f aca="false">AE6519+ROW()*0.000000001</f>
        <v>47.7333809707544</v>
      </c>
    </row>
    <row r="6520" customFormat="false" ht="15" hidden="false" customHeight="false" outlineLevel="0" collapsed="false">
      <c r="A6520" s="0" t="n">
        <v>8</v>
      </c>
      <c r="B6520" s="0" t="n">
        <v>8</v>
      </c>
      <c r="C6520" s="0" t="n">
        <v>3</v>
      </c>
      <c r="D6520" s="0" t="n">
        <v>8</v>
      </c>
      <c r="E6520" s="0" t="n">
        <f aca="false">-1+A6520*0.25</f>
        <v>1</v>
      </c>
      <c r="F6520" s="0" t="n">
        <f aca="false">-1+B6520*0.25</f>
        <v>1</v>
      </c>
      <c r="G6520" s="0" t="n">
        <f aca="false">-1+C6520*0.25</f>
        <v>-0.25</v>
      </c>
      <c r="H6520" s="0" t="n">
        <f aca="false">-1+D6520*0.25</f>
        <v>1</v>
      </c>
      <c r="I6520" s="0" t="n">
        <f aca="false">1</f>
        <v>1</v>
      </c>
      <c r="J6520" s="0" t="n">
        <f aca="false">E6520</f>
        <v>1</v>
      </c>
      <c r="K6520" s="0" t="n">
        <f aca="false">F6520</f>
        <v>1</v>
      </c>
      <c r="L6520" s="0" t="n">
        <f aca="false">G6520</f>
        <v>-0.25</v>
      </c>
      <c r="M6520" s="0" t="n">
        <f aca="false">H6520</f>
        <v>1</v>
      </c>
      <c r="N6520" s="0" t="n">
        <f aca="false">E6520*F6520</f>
        <v>1</v>
      </c>
      <c r="O6520" s="0" t="n">
        <f aca="false">E6520*G6520</f>
        <v>-0.25</v>
      </c>
      <c r="P6520" s="0" t="n">
        <f aca="false">E6520*H6520</f>
        <v>1</v>
      </c>
      <c r="Q6520" s="0" t="n">
        <f aca="false">F6520*G6520</f>
        <v>-0.25</v>
      </c>
      <c r="R6520" s="0" t="n">
        <f aca="false">F6520*H6520</f>
        <v>1</v>
      </c>
      <c r="S6520" s="0" t="n">
        <f aca="false">G6520*H6520</f>
        <v>-0.25</v>
      </c>
      <c r="T6520" s="0" t="n">
        <f aca="false">E6520*E6520</f>
        <v>1</v>
      </c>
      <c r="U6520" s="0" t="n">
        <f aca="false">F6520*F6520</f>
        <v>1</v>
      </c>
      <c r="V6520" s="0" t="n">
        <f aca="false">G6520*G6520</f>
        <v>0.0625</v>
      </c>
      <c r="W6520" s="0" t="n">
        <f aca="false">H6520*H6520</f>
        <v>1</v>
      </c>
      <c r="X6520" s="0" t="n">
        <f aca="false">SUMPRODUCT(I6520:W6520,_XtX!$B$96:$P$96)</f>
        <v>47.6275950292398</v>
      </c>
      <c r="Y6520" s="0" t="n">
        <f aca="false">SUMPRODUCT(MMULT(I6520:W6520,_XtX!$B$78:$P$92),I6520:W6520)</f>
        <v>0.737093384502924</v>
      </c>
      <c r="Z6520" s="0" t="n">
        <f aca="false">04_回帰ANOVA!$K$19*04_回帰ANOVA!$K$14*SQRT(1+Y6520)</f>
        <v>1.71794784853551</v>
      </c>
      <c r="AA6520" s="0" t="n">
        <f aca="false">X6520-Z6520</f>
        <v>45.9096471807043</v>
      </c>
      <c r="AB6520" s="0" t="n">
        <f aca="false">X6520+Z6520</f>
        <v>49.3455428777753</v>
      </c>
      <c r="AC6520" s="54" t="b">
        <f aca="false">AND(E6520&gt;=01_因子設定!$L$5-0.000000001,E6520&lt;=01_因子設定!$M$5+0.000000001,F6520&gt;=01_因子設定!$L$6-0.000000001,F6520&lt;=01_因子設定!$M$6+0.000000001,G6520&gt;=01_因子設定!$L$7-0.000000001,G6520&lt;=01_因子設定!$M$7+0.000000001,H6520&gt;=01_因子設定!$L$8-0.000000001,H6520&lt;=01_因子設定!$M$8+0.000000001,IF(01_因子設定!$B$20="Box-Behnken",E6520^2+F6520^2+G6520^2+H6520^2&lt;=2+0.000000001,TRUE()))</f>
        <v>1</v>
      </c>
      <c r="AD6520" s="55" t="n">
        <f aca="false">IF(AC6520,IF(01_因子設定!$B$13="最大化",AA6520-01_因子設定!$B$14,IF(01_因子設定!$B$13="最小化",01_因子設定!$B$15-AB6520,MIN(AA6520-01_因子設定!$B$14,01_因子設定!$B$15-AB6520))),-1E+030)</f>
        <v>-0.590352819295674</v>
      </c>
      <c r="AE6520" s="55" t="n">
        <f aca="false">IF(AC6520,IF(01_因子設定!$B$13="最大化",X6520,IF(01_因子設定!$B$13="最小化",-X6520,-ABS(X6520-01_因子設定!$B$16))),-1E+030)</f>
        <v>47.6275950292398</v>
      </c>
      <c r="AF6520" s="55" t="n">
        <f aca="false">AD6520+ROW()*0.000000001</f>
        <v>-0.590346299295674</v>
      </c>
      <c r="AG6520" s="55" t="n">
        <f aca="false">AE6520+ROW()*0.000000001</f>
        <v>47.6276015492398</v>
      </c>
    </row>
    <row r="6521" customFormat="false" ht="15" hidden="false" customHeight="false" outlineLevel="0" collapsed="false">
      <c r="A6521" s="0" t="n">
        <v>8</v>
      </c>
      <c r="B6521" s="0" t="n">
        <v>8</v>
      </c>
      <c r="C6521" s="0" t="n">
        <v>4</v>
      </c>
      <c r="D6521" s="0" t="n">
        <v>0</v>
      </c>
      <c r="E6521" s="0" t="n">
        <f aca="false">-1+A6521*0.25</f>
        <v>1</v>
      </c>
      <c r="F6521" s="0" t="n">
        <f aca="false">-1+B6521*0.25</f>
        <v>1</v>
      </c>
      <c r="G6521" s="0" t="n">
        <f aca="false">-1+C6521*0.25</f>
        <v>0</v>
      </c>
      <c r="H6521" s="0" t="n">
        <f aca="false">-1+D6521*0.25</f>
        <v>-1</v>
      </c>
      <c r="I6521" s="0" t="n">
        <f aca="false">1</f>
        <v>1</v>
      </c>
      <c r="J6521" s="0" t="n">
        <f aca="false">E6521</f>
        <v>1</v>
      </c>
      <c r="K6521" s="0" t="n">
        <f aca="false">F6521</f>
        <v>1</v>
      </c>
      <c r="L6521" s="0" t="n">
        <f aca="false">G6521</f>
        <v>0</v>
      </c>
      <c r="M6521" s="0" t="n">
        <f aca="false">H6521</f>
        <v>-1</v>
      </c>
      <c r="N6521" s="0" t="n">
        <f aca="false">E6521*F6521</f>
        <v>1</v>
      </c>
      <c r="O6521" s="0" t="n">
        <f aca="false">E6521*G6521</f>
        <v>0</v>
      </c>
      <c r="P6521" s="0" t="n">
        <f aca="false">E6521*H6521</f>
        <v>-1</v>
      </c>
      <c r="Q6521" s="0" t="n">
        <f aca="false">F6521*G6521</f>
        <v>0</v>
      </c>
      <c r="R6521" s="0" t="n">
        <f aca="false">F6521*H6521</f>
        <v>-1</v>
      </c>
      <c r="S6521" s="0" t="n">
        <f aca="false">G6521*H6521</f>
        <v>-0</v>
      </c>
      <c r="T6521" s="0" t="n">
        <f aca="false">E6521*E6521</f>
        <v>1</v>
      </c>
      <c r="U6521" s="0" t="n">
        <f aca="false">F6521*F6521</f>
        <v>1</v>
      </c>
      <c r="V6521" s="0" t="n">
        <f aca="false">G6521*G6521</f>
        <v>0</v>
      </c>
      <c r="W6521" s="0" t="n">
        <f aca="false">H6521*H6521</f>
        <v>1</v>
      </c>
      <c r="X6521" s="0" t="n">
        <f aca="false">SUMPRODUCT(I6521:W6521,_XtX!$B$96:$P$96)</f>
        <v>47.267470760234</v>
      </c>
      <c r="Y6521" s="0" t="n">
        <f aca="false">SUMPRODUCT(MMULT(I6521:W6521,_XtX!$B$78:$P$92),I6521:W6521)</f>
        <v>0.766447368421053</v>
      </c>
      <c r="Z6521" s="0" t="n">
        <f aca="false">04_回帰ANOVA!$K$19*04_回帰ANOVA!$K$14*SQRT(1+Y6521)</f>
        <v>1.7324022685743</v>
      </c>
      <c r="AA6521" s="0" t="n">
        <f aca="false">X6521-Z6521</f>
        <v>45.5350684916597</v>
      </c>
      <c r="AB6521" s="0" t="n">
        <f aca="false">X6521+Z6521</f>
        <v>48.9998730288083</v>
      </c>
      <c r="AC6521" s="54" t="b">
        <f aca="false">AND(E6521&gt;=01_因子設定!$L$5-0.000000001,E6521&lt;=01_因子設定!$M$5+0.000000001,F6521&gt;=01_因子設定!$L$6-0.000000001,F6521&lt;=01_因子設定!$M$6+0.000000001,G6521&gt;=01_因子設定!$L$7-0.000000001,G6521&lt;=01_因子設定!$M$7+0.000000001,H6521&gt;=01_因子設定!$L$8-0.000000001,H6521&lt;=01_因子設定!$M$8+0.000000001,IF(01_因子設定!$B$20="Box-Behnken",E6521^2+F6521^2+G6521^2+H6521^2&lt;=2+0.000000001,TRUE()))</f>
        <v>1</v>
      </c>
      <c r="AD6521" s="55" t="n">
        <f aca="false">IF(AC6521,IF(01_因子設定!$B$13="最大化",AA6521-01_因子設定!$B$14,IF(01_因子設定!$B$13="最小化",01_因子設定!$B$15-AB6521,MIN(AA6521-01_因子設定!$B$14,01_因子設定!$B$15-AB6521))),-1E+030)</f>
        <v>-0.964931508340328</v>
      </c>
      <c r="AE6521" s="55" t="n">
        <f aca="false">IF(AC6521,IF(01_因子設定!$B$13="最大化",X6521,IF(01_因子設定!$B$13="最小化",-X6521,-ABS(X6521-01_因子設定!$B$16))),-1E+030)</f>
        <v>47.267470760234</v>
      </c>
      <c r="AF6521" s="55" t="n">
        <f aca="false">AD6521+ROW()*0.000000001</f>
        <v>-0.964924987340328</v>
      </c>
      <c r="AG6521" s="55" t="n">
        <f aca="false">AE6521+ROW()*0.000000001</f>
        <v>47.267477281234</v>
      </c>
    </row>
    <row r="6522" customFormat="false" ht="15" hidden="false" customHeight="false" outlineLevel="0" collapsed="false">
      <c r="A6522" s="0" t="n">
        <v>8</v>
      </c>
      <c r="B6522" s="0" t="n">
        <v>8</v>
      </c>
      <c r="C6522" s="0" t="n">
        <v>4</v>
      </c>
      <c r="D6522" s="0" t="n">
        <v>1</v>
      </c>
      <c r="E6522" s="0" t="n">
        <f aca="false">-1+A6522*0.25</f>
        <v>1</v>
      </c>
      <c r="F6522" s="0" t="n">
        <f aca="false">-1+B6522*0.25</f>
        <v>1</v>
      </c>
      <c r="G6522" s="0" t="n">
        <f aca="false">-1+C6522*0.25</f>
        <v>0</v>
      </c>
      <c r="H6522" s="0" t="n">
        <f aca="false">-1+D6522*0.25</f>
        <v>-0.75</v>
      </c>
      <c r="I6522" s="0" t="n">
        <f aca="false">1</f>
        <v>1</v>
      </c>
      <c r="J6522" s="0" t="n">
        <f aca="false">E6522</f>
        <v>1</v>
      </c>
      <c r="K6522" s="0" t="n">
        <f aca="false">F6522</f>
        <v>1</v>
      </c>
      <c r="L6522" s="0" t="n">
        <f aca="false">G6522</f>
        <v>0</v>
      </c>
      <c r="M6522" s="0" t="n">
        <f aca="false">H6522</f>
        <v>-0.75</v>
      </c>
      <c r="N6522" s="0" t="n">
        <f aca="false">E6522*F6522</f>
        <v>1</v>
      </c>
      <c r="O6522" s="0" t="n">
        <f aca="false">E6522*G6522</f>
        <v>0</v>
      </c>
      <c r="P6522" s="0" t="n">
        <f aca="false">E6522*H6522</f>
        <v>-0.75</v>
      </c>
      <c r="Q6522" s="0" t="n">
        <f aca="false">F6522*G6522</f>
        <v>0</v>
      </c>
      <c r="R6522" s="0" t="n">
        <f aca="false">F6522*H6522</f>
        <v>-0.75</v>
      </c>
      <c r="S6522" s="0" t="n">
        <f aca="false">G6522*H6522</f>
        <v>-0</v>
      </c>
      <c r="T6522" s="0" t="n">
        <f aca="false">E6522*E6522</f>
        <v>1</v>
      </c>
      <c r="U6522" s="0" t="n">
        <f aca="false">F6522*F6522</f>
        <v>1</v>
      </c>
      <c r="V6522" s="0" t="n">
        <f aca="false">G6522*G6522</f>
        <v>0</v>
      </c>
      <c r="W6522" s="0" t="n">
        <f aca="false">H6522*H6522</f>
        <v>0.5625</v>
      </c>
      <c r="X6522" s="0" t="n">
        <f aca="false">SUMPRODUCT(I6522:W6522,_XtX!$B$96:$P$96)</f>
        <v>47.5143092105264</v>
      </c>
      <c r="Y6522" s="0" t="n">
        <f aca="false">SUMPRODUCT(MMULT(I6522:W6522,_XtX!$B$78:$P$92),I6522:W6522)</f>
        <v>0.646198830409357</v>
      </c>
      <c r="Z6522" s="0" t="n">
        <f aca="false">04_回帰ANOVA!$K$19*04_回帰ANOVA!$K$14*SQRT(1+Y6522)</f>
        <v>1.67239760569756</v>
      </c>
      <c r="AA6522" s="0" t="n">
        <f aca="false">X6522-Z6522</f>
        <v>45.8419116048288</v>
      </c>
      <c r="AB6522" s="0" t="n">
        <f aca="false">X6522+Z6522</f>
        <v>49.1867068162239</v>
      </c>
      <c r="AC6522" s="54" t="b">
        <f aca="false">AND(E6522&gt;=01_因子設定!$L$5-0.000000001,E6522&lt;=01_因子設定!$M$5+0.000000001,F6522&gt;=01_因子設定!$L$6-0.000000001,F6522&lt;=01_因子設定!$M$6+0.000000001,G6522&gt;=01_因子設定!$L$7-0.000000001,G6522&lt;=01_因子設定!$M$7+0.000000001,H6522&gt;=01_因子設定!$L$8-0.000000001,H6522&lt;=01_因子設定!$M$8+0.000000001,IF(01_因子設定!$B$20="Box-Behnken",E6522^2+F6522^2+G6522^2+H6522^2&lt;=2+0.000000001,TRUE()))</f>
        <v>1</v>
      </c>
      <c r="AD6522" s="55" t="n">
        <f aca="false">IF(AC6522,IF(01_因子設定!$B$13="最大化",AA6522-01_因子設定!$B$14,IF(01_因子設定!$B$13="最小化",01_因子設定!$B$15-AB6522,MIN(AA6522-01_因子設定!$B$14,01_因子設定!$B$15-AB6522))),-1E+030)</f>
        <v>-0.658088395171191</v>
      </c>
      <c r="AE6522" s="55" t="n">
        <f aca="false">IF(AC6522,IF(01_因子設定!$B$13="最大化",X6522,IF(01_因子設定!$B$13="最小化",-X6522,-ABS(X6522-01_因子設定!$B$16))),-1E+030)</f>
        <v>47.5143092105264</v>
      </c>
      <c r="AF6522" s="55" t="n">
        <f aca="false">AD6522+ROW()*0.000000001</f>
        <v>-0.658081873171191</v>
      </c>
      <c r="AG6522" s="55" t="n">
        <f aca="false">AE6522+ROW()*0.000000001</f>
        <v>47.5143157325264</v>
      </c>
    </row>
    <row r="6523" customFormat="false" ht="15" hidden="false" customHeight="false" outlineLevel="0" collapsed="false">
      <c r="A6523" s="0" t="n">
        <v>8</v>
      </c>
      <c r="B6523" s="0" t="n">
        <v>8</v>
      </c>
      <c r="C6523" s="0" t="n">
        <v>4</v>
      </c>
      <c r="D6523" s="0" t="n">
        <v>2</v>
      </c>
      <c r="E6523" s="0" t="n">
        <f aca="false">-1+A6523*0.25</f>
        <v>1</v>
      </c>
      <c r="F6523" s="0" t="n">
        <f aca="false">-1+B6523*0.25</f>
        <v>1</v>
      </c>
      <c r="G6523" s="0" t="n">
        <f aca="false">-1+C6523*0.25</f>
        <v>0</v>
      </c>
      <c r="H6523" s="0" t="n">
        <f aca="false">-1+D6523*0.25</f>
        <v>-0.5</v>
      </c>
      <c r="I6523" s="0" t="n">
        <f aca="false">1</f>
        <v>1</v>
      </c>
      <c r="J6523" s="0" t="n">
        <f aca="false">E6523</f>
        <v>1</v>
      </c>
      <c r="K6523" s="0" t="n">
        <f aca="false">F6523</f>
        <v>1</v>
      </c>
      <c r="L6523" s="0" t="n">
        <f aca="false">G6523</f>
        <v>0</v>
      </c>
      <c r="M6523" s="0" t="n">
        <f aca="false">H6523</f>
        <v>-0.5</v>
      </c>
      <c r="N6523" s="0" t="n">
        <f aca="false">E6523*F6523</f>
        <v>1</v>
      </c>
      <c r="O6523" s="0" t="n">
        <f aca="false">E6523*G6523</f>
        <v>0</v>
      </c>
      <c r="P6523" s="0" t="n">
        <f aca="false">E6523*H6523</f>
        <v>-0.5</v>
      </c>
      <c r="Q6523" s="0" t="n">
        <f aca="false">F6523*G6523</f>
        <v>0</v>
      </c>
      <c r="R6523" s="0" t="n">
        <f aca="false">F6523*H6523</f>
        <v>-0.5</v>
      </c>
      <c r="S6523" s="0" t="n">
        <f aca="false">G6523*H6523</f>
        <v>-0</v>
      </c>
      <c r="T6523" s="0" t="n">
        <f aca="false">E6523*E6523</f>
        <v>1</v>
      </c>
      <c r="U6523" s="0" t="n">
        <f aca="false">F6523*F6523</f>
        <v>1</v>
      </c>
      <c r="V6523" s="0" t="n">
        <f aca="false">G6523*G6523</f>
        <v>0</v>
      </c>
      <c r="W6523" s="0" t="n">
        <f aca="false">H6523*H6523</f>
        <v>0.25</v>
      </c>
      <c r="X6523" s="0" t="n">
        <f aca="false">SUMPRODUCT(I6523:W6523,_XtX!$B$96:$P$96)</f>
        <v>47.7133406432749</v>
      </c>
      <c r="Y6523" s="0" t="n">
        <f aca="false">SUMPRODUCT(MMULT(I6523:W6523,_XtX!$B$78:$P$92),I6523:W6523)</f>
        <v>0.650767543859649</v>
      </c>
      <c r="Z6523" s="0" t="n">
        <f aca="false">04_回帰ANOVA!$K$19*04_回帰ANOVA!$K$14*SQRT(1+Y6523)</f>
        <v>1.67471670935165</v>
      </c>
      <c r="AA6523" s="0" t="n">
        <f aca="false">X6523-Z6523</f>
        <v>46.0386239339232</v>
      </c>
      <c r="AB6523" s="0" t="n">
        <f aca="false">X6523+Z6523</f>
        <v>49.3880573526265</v>
      </c>
      <c r="AC6523" s="54" t="b">
        <f aca="false">AND(E6523&gt;=01_因子設定!$L$5-0.000000001,E6523&lt;=01_因子設定!$M$5+0.000000001,F6523&gt;=01_因子設定!$L$6-0.000000001,F6523&lt;=01_因子設定!$M$6+0.000000001,G6523&gt;=01_因子設定!$L$7-0.000000001,G6523&lt;=01_因子設定!$M$7+0.000000001,H6523&gt;=01_因子設定!$L$8-0.000000001,H6523&lt;=01_因子設定!$M$8+0.000000001,IF(01_因子設定!$B$20="Box-Behnken",E6523^2+F6523^2+G6523^2+H6523^2&lt;=2+0.000000001,TRUE()))</f>
        <v>1</v>
      </c>
      <c r="AD6523" s="55" t="n">
        <f aca="false">IF(AC6523,IF(01_因子設定!$B$13="最大化",AA6523-01_因子設定!$B$14,IF(01_因子設定!$B$13="最小化",01_因子設定!$B$15-AB6523,MIN(AA6523-01_因子設定!$B$14,01_因子設定!$B$15-AB6523))),-1E+030)</f>
        <v>-0.46137606607676</v>
      </c>
      <c r="AE6523" s="55" t="n">
        <f aca="false">IF(AC6523,IF(01_因子設定!$B$13="最大化",X6523,IF(01_因子設定!$B$13="最小化",-X6523,-ABS(X6523-01_因子設定!$B$16))),-1E+030)</f>
        <v>47.7133406432749</v>
      </c>
      <c r="AF6523" s="55" t="n">
        <f aca="false">AD6523+ROW()*0.000000001</f>
        <v>-0.46136954307676</v>
      </c>
      <c r="AG6523" s="55" t="n">
        <f aca="false">AE6523+ROW()*0.000000001</f>
        <v>47.7133471662749</v>
      </c>
    </row>
    <row r="6524" customFormat="false" ht="15" hidden="false" customHeight="false" outlineLevel="0" collapsed="false">
      <c r="A6524" s="0" t="n">
        <v>8</v>
      </c>
      <c r="B6524" s="0" t="n">
        <v>8</v>
      </c>
      <c r="C6524" s="0" t="n">
        <v>4</v>
      </c>
      <c r="D6524" s="0" t="n">
        <v>3</v>
      </c>
      <c r="E6524" s="0" t="n">
        <f aca="false">-1+A6524*0.25</f>
        <v>1</v>
      </c>
      <c r="F6524" s="0" t="n">
        <f aca="false">-1+B6524*0.25</f>
        <v>1</v>
      </c>
      <c r="G6524" s="0" t="n">
        <f aca="false">-1+C6524*0.25</f>
        <v>0</v>
      </c>
      <c r="H6524" s="0" t="n">
        <f aca="false">-1+D6524*0.25</f>
        <v>-0.25</v>
      </c>
      <c r="I6524" s="0" t="n">
        <f aca="false">1</f>
        <v>1</v>
      </c>
      <c r="J6524" s="0" t="n">
        <f aca="false">E6524</f>
        <v>1</v>
      </c>
      <c r="K6524" s="0" t="n">
        <f aca="false">F6524</f>
        <v>1</v>
      </c>
      <c r="L6524" s="0" t="n">
        <f aca="false">G6524</f>
        <v>0</v>
      </c>
      <c r="M6524" s="0" t="n">
        <f aca="false">H6524</f>
        <v>-0.25</v>
      </c>
      <c r="N6524" s="0" t="n">
        <f aca="false">E6524*F6524</f>
        <v>1</v>
      </c>
      <c r="O6524" s="0" t="n">
        <f aca="false">E6524*G6524</f>
        <v>0</v>
      </c>
      <c r="P6524" s="0" t="n">
        <f aca="false">E6524*H6524</f>
        <v>-0.25</v>
      </c>
      <c r="Q6524" s="0" t="n">
        <f aca="false">F6524*G6524</f>
        <v>0</v>
      </c>
      <c r="R6524" s="0" t="n">
        <f aca="false">F6524*H6524</f>
        <v>-0.25</v>
      </c>
      <c r="S6524" s="0" t="n">
        <f aca="false">G6524*H6524</f>
        <v>-0</v>
      </c>
      <c r="T6524" s="0" t="n">
        <f aca="false">E6524*E6524</f>
        <v>1</v>
      </c>
      <c r="U6524" s="0" t="n">
        <f aca="false">F6524*F6524</f>
        <v>1</v>
      </c>
      <c r="V6524" s="0" t="n">
        <f aca="false">G6524*G6524</f>
        <v>0</v>
      </c>
      <c r="W6524" s="0" t="n">
        <f aca="false">H6524*H6524</f>
        <v>0.0625</v>
      </c>
      <c r="X6524" s="0" t="n">
        <f aca="false">SUMPRODUCT(I6524:W6524,_XtX!$B$96:$P$96)</f>
        <v>47.8645650584796</v>
      </c>
      <c r="Y6524" s="0" t="n">
        <f aca="false">SUMPRODUCT(MMULT(I6524:W6524,_XtX!$B$78:$P$92),I6524:W6524)</f>
        <v>0.689692982456141</v>
      </c>
      <c r="Z6524" s="0" t="n">
        <f aca="false">04_回帰ANOVA!$K$19*04_回帰ANOVA!$K$14*SQRT(1+Y6524)</f>
        <v>1.69434674594998</v>
      </c>
      <c r="AA6524" s="0" t="n">
        <f aca="false">X6524-Z6524</f>
        <v>46.1702183125296</v>
      </c>
      <c r="AB6524" s="0" t="n">
        <f aca="false">X6524+Z6524</f>
        <v>49.5589118044295</v>
      </c>
      <c r="AC6524" s="54" t="b">
        <f aca="false">AND(E6524&gt;=01_因子設定!$L$5-0.000000001,E6524&lt;=01_因子設定!$M$5+0.000000001,F6524&gt;=01_因子設定!$L$6-0.000000001,F6524&lt;=01_因子設定!$M$6+0.000000001,G6524&gt;=01_因子設定!$L$7-0.000000001,G6524&lt;=01_因子設定!$M$7+0.000000001,H6524&gt;=01_因子設定!$L$8-0.000000001,H6524&lt;=01_因子設定!$M$8+0.000000001,IF(01_因子設定!$B$20="Box-Behnken",E6524^2+F6524^2+G6524^2+H6524^2&lt;=2+0.000000001,TRUE()))</f>
        <v>1</v>
      </c>
      <c r="AD6524" s="55" t="n">
        <f aca="false">IF(AC6524,IF(01_因子設定!$B$13="最大化",AA6524-01_因子設定!$B$14,IF(01_因子設定!$B$13="最小化",01_因子設定!$B$15-AB6524,MIN(AA6524-01_因子設定!$B$14,01_因子設定!$B$15-AB6524))),-1E+030)</f>
        <v>-0.32978168747043</v>
      </c>
      <c r="AE6524" s="55" t="n">
        <f aca="false">IF(AC6524,IF(01_因子設定!$B$13="最大化",X6524,IF(01_因子設定!$B$13="最小化",-X6524,-ABS(X6524-01_因子設定!$B$16))),-1E+030)</f>
        <v>47.8645650584796</v>
      </c>
      <c r="AF6524" s="55" t="n">
        <f aca="false">AD6524+ROW()*0.000000001</f>
        <v>-0.32977516347043</v>
      </c>
      <c r="AG6524" s="55" t="n">
        <f aca="false">AE6524+ROW()*0.000000001</f>
        <v>47.8645715824796</v>
      </c>
    </row>
    <row r="6525" customFormat="false" ht="15" hidden="false" customHeight="false" outlineLevel="0" collapsed="false">
      <c r="A6525" s="0" t="n">
        <v>8</v>
      </c>
      <c r="B6525" s="0" t="n">
        <v>8</v>
      </c>
      <c r="C6525" s="0" t="n">
        <v>4</v>
      </c>
      <c r="D6525" s="0" t="n">
        <v>4</v>
      </c>
      <c r="E6525" s="0" t="n">
        <f aca="false">-1+A6525*0.25</f>
        <v>1</v>
      </c>
      <c r="F6525" s="0" t="n">
        <f aca="false">-1+B6525*0.25</f>
        <v>1</v>
      </c>
      <c r="G6525" s="0" t="n">
        <f aca="false">-1+C6525*0.25</f>
        <v>0</v>
      </c>
      <c r="H6525" s="0" t="n">
        <f aca="false">-1+D6525*0.25</f>
        <v>0</v>
      </c>
      <c r="I6525" s="0" t="n">
        <f aca="false">1</f>
        <v>1</v>
      </c>
      <c r="J6525" s="0" t="n">
        <f aca="false">E6525</f>
        <v>1</v>
      </c>
      <c r="K6525" s="0" t="n">
        <f aca="false">F6525</f>
        <v>1</v>
      </c>
      <c r="L6525" s="0" t="n">
        <f aca="false">G6525</f>
        <v>0</v>
      </c>
      <c r="M6525" s="0" t="n">
        <f aca="false">H6525</f>
        <v>0</v>
      </c>
      <c r="N6525" s="0" t="n">
        <f aca="false">E6525*F6525</f>
        <v>1</v>
      </c>
      <c r="O6525" s="0" t="n">
        <f aca="false">E6525*G6525</f>
        <v>0</v>
      </c>
      <c r="P6525" s="0" t="n">
        <f aca="false">E6525*H6525</f>
        <v>0</v>
      </c>
      <c r="Q6525" s="0" t="n">
        <f aca="false">F6525*G6525</f>
        <v>0</v>
      </c>
      <c r="R6525" s="0" t="n">
        <f aca="false">F6525*H6525</f>
        <v>0</v>
      </c>
      <c r="S6525" s="0" t="n">
        <f aca="false">G6525*H6525</f>
        <v>0</v>
      </c>
      <c r="T6525" s="0" t="n">
        <f aca="false">E6525*E6525</f>
        <v>1</v>
      </c>
      <c r="U6525" s="0" t="n">
        <f aca="false">F6525*F6525</f>
        <v>1</v>
      </c>
      <c r="V6525" s="0" t="n">
        <f aca="false">G6525*G6525</f>
        <v>0</v>
      </c>
      <c r="W6525" s="0" t="n">
        <f aca="false">H6525*H6525</f>
        <v>0</v>
      </c>
      <c r="X6525" s="0" t="n">
        <f aca="false">SUMPRODUCT(I6525:W6525,_XtX!$B$96:$P$96)</f>
        <v>47.9679824561404</v>
      </c>
      <c r="Y6525" s="0" t="n">
        <f aca="false">SUMPRODUCT(MMULT(I6525:W6525,_XtX!$B$78:$P$92),I6525:W6525)</f>
        <v>0.708698830409357</v>
      </c>
      <c r="Z6525" s="0" t="n">
        <f aca="false">04_回帰ANOVA!$K$19*04_回帰ANOVA!$K$14*SQRT(1+Y6525)</f>
        <v>1.70384919651719</v>
      </c>
      <c r="AA6525" s="0" t="n">
        <f aca="false">X6525-Z6525</f>
        <v>46.2641332596232</v>
      </c>
      <c r="AB6525" s="0" t="n">
        <f aca="false">X6525+Z6525</f>
        <v>49.6718316526576</v>
      </c>
      <c r="AC6525" s="54" t="b">
        <f aca="false">AND(E6525&gt;=01_因子設定!$L$5-0.000000001,E6525&lt;=01_因子設定!$M$5+0.000000001,F6525&gt;=01_因子設定!$L$6-0.000000001,F6525&lt;=01_因子設定!$M$6+0.000000001,G6525&gt;=01_因子設定!$L$7-0.000000001,G6525&lt;=01_因子設定!$M$7+0.000000001,H6525&gt;=01_因子設定!$L$8-0.000000001,H6525&lt;=01_因子設定!$M$8+0.000000001,IF(01_因子設定!$B$20="Box-Behnken",E6525^2+F6525^2+G6525^2+H6525^2&lt;=2+0.000000001,TRUE()))</f>
        <v>1</v>
      </c>
      <c r="AD6525" s="55" t="n">
        <f aca="false">IF(AC6525,IF(01_因子設定!$B$13="最大化",AA6525-01_因子設定!$B$14,IF(01_因子設定!$B$13="最小化",01_因子設定!$B$15-AB6525,MIN(AA6525-01_因子設定!$B$14,01_因子設定!$B$15-AB6525))),-1E+030)</f>
        <v>-0.235866740376814</v>
      </c>
      <c r="AE6525" s="55" t="n">
        <f aca="false">IF(AC6525,IF(01_因子設定!$B$13="最大化",X6525,IF(01_因子設定!$B$13="最小化",-X6525,-ABS(X6525-01_因子設定!$B$16))),-1E+030)</f>
        <v>47.9679824561404</v>
      </c>
      <c r="AF6525" s="55" t="n">
        <f aca="false">AD6525+ROW()*0.000000001</f>
        <v>-0.235860215376814</v>
      </c>
      <c r="AG6525" s="55" t="n">
        <f aca="false">AE6525+ROW()*0.000000001</f>
        <v>47.9679889811404</v>
      </c>
    </row>
    <row r="6526" customFormat="false" ht="15" hidden="false" customHeight="false" outlineLevel="0" collapsed="false">
      <c r="A6526" s="0" t="n">
        <v>8</v>
      </c>
      <c r="B6526" s="0" t="n">
        <v>8</v>
      </c>
      <c r="C6526" s="0" t="n">
        <v>4</v>
      </c>
      <c r="D6526" s="0" t="n">
        <v>5</v>
      </c>
      <c r="E6526" s="0" t="n">
        <f aca="false">-1+A6526*0.25</f>
        <v>1</v>
      </c>
      <c r="F6526" s="0" t="n">
        <f aca="false">-1+B6526*0.25</f>
        <v>1</v>
      </c>
      <c r="G6526" s="0" t="n">
        <f aca="false">-1+C6526*0.25</f>
        <v>0</v>
      </c>
      <c r="H6526" s="0" t="n">
        <f aca="false">-1+D6526*0.25</f>
        <v>0.25</v>
      </c>
      <c r="I6526" s="0" t="n">
        <f aca="false">1</f>
        <v>1</v>
      </c>
      <c r="J6526" s="0" t="n">
        <f aca="false">E6526</f>
        <v>1</v>
      </c>
      <c r="K6526" s="0" t="n">
        <f aca="false">F6526</f>
        <v>1</v>
      </c>
      <c r="L6526" s="0" t="n">
        <f aca="false">G6526</f>
        <v>0</v>
      </c>
      <c r="M6526" s="0" t="n">
        <f aca="false">H6526</f>
        <v>0.25</v>
      </c>
      <c r="N6526" s="0" t="n">
        <f aca="false">E6526*F6526</f>
        <v>1</v>
      </c>
      <c r="O6526" s="0" t="n">
        <f aca="false">E6526*G6526</f>
        <v>0</v>
      </c>
      <c r="P6526" s="0" t="n">
        <f aca="false">E6526*H6526</f>
        <v>0.25</v>
      </c>
      <c r="Q6526" s="0" t="n">
        <f aca="false">F6526*G6526</f>
        <v>0</v>
      </c>
      <c r="R6526" s="0" t="n">
        <f aca="false">F6526*H6526</f>
        <v>0.25</v>
      </c>
      <c r="S6526" s="0" t="n">
        <f aca="false">G6526*H6526</f>
        <v>0</v>
      </c>
      <c r="T6526" s="0" t="n">
        <f aca="false">E6526*E6526</f>
        <v>1</v>
      </c>
      <c r="U6526" s="0" t="n">
        <f aca="false">F6526*F6526</f>
        <v>1</v>
      </c>
      <c r="V6526" s="0" t="n">
        <f aca="false">G6526*G6526</f>
        <v>0</v>
      </c>
      <c r="W6526" s="0" t="n">
        <f aca="false">H6526*H6526</f>
        <v>0.0625</v>
      </c>
      <c r="X6526" s="0" t="n">
        <f aca="false">SUMPRODUCT(I6526:W6526,_XtX!$B$96:$P$96)</f>
        <v>48.0235928362573</v>
      </c>
      <c r="Y6526" s="0" t="n">
        <f aca="false">SUMPRODUCT(MMULT(I6526:W6526,_XtX!$B$78:$P$92),I6526:W6526)</f>
        <v>0.689692982456141</v>
      </c>
      <c r="Z6526" s="0" t="n">
        <f aca="false">04_回帰ANOVA!$K$19*04_回帰ANOVA!$K$14*SQRT(1+Y6526)</f>
        <v>1.69434674594998</v>
      </c>
      <c r="AA6526" s="0" t="n">
        <f aca="false">X6526-Z6526</f>
        <v>46.3292460903074</v>
      </c>
      <c r="AB6526" s="0" t="n">
        <f aca="false">X6526+Z6526</f>
        <v>49.7179395822073</v>
      </c>
      <c r="AC6526" s="54" t="b">
        <f aca="false">AND(E6526&gt;=01_因子設定!$L$5-0.000000001,E6526&lt;=01_因子設定!$M$5+0.000000001,F6526&gt;=01_因子設定!$L$6-0.000000001,F6526&lt;=01_因子設定!$M$6+0.000000001,G6526&gt;=01_因子設定!$L$7-0.000000001,G6526&lt;=01_因子設定!$M$7+0.000000001,H6526&gt;=01_因子設定!$L$8-0.000000001,H6526&lt;=01_因子設定!$M$8+0.000000001,IF(01_因子設定!$B$20="Box-Behnken",E6526^2+F6526^2+G6526^2+H6526^2&lt;=2+0.000000001,TRUE()))</f>
        <v>1</v>
      </c>
      <c r="AD6526" s="55" t="n">
        <f aca="false">IF(AC6526,IF(01_因子設定!$B$13="最大化",AA6526-01_因子設定!$B$14,IF(01_因子設定!$B$13="最小化",01_因子設定!$B$15-AB6526,MIN(AA6526-01_因子設定!$B$14,01_因子設定!$B$15-AB6526))),-1E+030)</f>
        <v>-0.17075390969265</v>
      </c>
      <c r="AE6526" s="55" t="n">
        <f aca="false">IF(AC6526,IF(01_因子設定!$B$13="最大化",X6526,IF(01_因子設定!$B$13="最小化",-X6526,-ABS(X6526-01_因子設定!$B$16))),-1E+030)</f>
        <v>48.0235928362573</v>
      </c>
      <c r="AF6526" s="55" t="n">
        <f aca="false">AD6526+ROW()*0.000000001</f>
        <v>-0.17074738369265</v>
      </c>
      <c r="AG6526" s="55" t="n">
        <f aca="false">AE6526+ROW()*0.000000001</f>
        <v>48.0235993622573</v>
      </c>
    </row>
    <row r="6527" customFormat="false" ht="15" hidden="false" customHeight="false" outlineLevel="0" collapsed="false">
      <c r="A6527" s="0" t="n">
        <v>8</v>
      </c>
      <c r="B6527" s="0" t="n">
        <v>8</v>
      </c>
      <c r="C6527" s="0" t="n">
        <v>4</v>
      </c>
      <c r="D6527" s="0" t="n">
        <v>6</v>
      </c>
      <c r="E6527" s="0" t="n">
        <f aca="false">-1+A6527*0.25</f>
        <v>1</v>
      </c>
      <c r="F6527" s="0" t="n">
        <f aca="false">-1+B6527*0.25</f>
        <v>1</v>
      </c>
      <c r="G6527" s="0" t="n">
        <f aca="false">-1+C6527*0.25</f>
        <v>0</v>
      </c>
      <c r="H6527" s="0" t="n">
        <f aca="false">-1+D6527*0.25</f>
        <v>0.5</v>
      </c>
      <c r="I6527" s="0" t="n">
        <f aca="false">1</f>
        <v>1</v>
      </c>
      <c r="J6527" s="0" t="n">
        <f aca="false">E6527</f>
        <v>1</v>
      </c>
      <c r="K6527" s="0" t="n">
        <f aca="false">F6527</f>
        <v>1</v>
      </c>
      <c r="L6527" s="0" t="n">
        <f aca="false">G6527</f>
        <v>0</v>
      </c>
      <c r="M6527" s="0" t="n">
        <f aca="false">H6527</f>
        <v>0.5</v>
      </c>
      <c r="N6527" s="0" t="n">
        <f aca="false">E6527*F6527</f>
        <v>1</v>
      </c>
      <c r="O6527" s="0" t="n">
        <f aca="false">E6527*G6527</f>
        <v>0</v>
      </c>
      <c r="P6527" s="0" t="n">
        <f aca="false">E6527*H6527</f>
        <v>0.5</v>
      </c>
      <c r="Q6527" s="0" t="n">
        <f aca="false">F6527*G6527</f>
        <v>0</v>
      </c>
      <c r="R6527" s="0" t="n">
        <f aca="false">F6527*H6527</f>
        <v>0.5</v>
      </c>
      <c r="S6527" s="0" t="n">
        <f aca="false">G6527*H6527</f>
        <v>0</v>
      </c>
      <c r="T6527" s="0" t="n">
        <f aca="false">E6527*E6527</f>
        <v>1</v>
      </c>
      <c r="U6527" s="0" t="n">
        <f aca="false">F6527*F6527</f>
        <v>1</v>
      </c>
      <c r="V6527" s="0" t="n">
        <f aca="false">G6527*G6527</f>
        <v>0</v>
      </c>
      <c r="W6527" s="0" t="n">
        <f aca="false">H6527*H6527</f>
        <v>0.25</v>
      </c>
      <c r="X6527" s="0" t="n">
        <f aca="false">SUMPRODUCT(I6527:W6527,_XtX!$B$96:$P$96)</f>
        <v>48.0313961988304</v>
      </c>
      <c r="Y6527" s="0" t="n">
        <f aca="false">SUMPRODUCT(MMULT(I6527:W6527,_XtX!$B$78:$P$92),I6527:W6527)</f>
        <v>0.650767543859649</v>
      </c>
      <c r="Z6527" s="0" t="n">
        <f aca="false">04_回帰ANOVA!$K$19*04_回帰ANOVA!$K$14*SQRT(1+Y6527)</f>
        <v>1.67471670935165</v>
      </c>
      <c r="AA6527" s="0" t="n">
        <f aca="false">X6527-Z6527</f>
        <v>46.3566794894788</v>
      </c>
      <c r="AB6527" s="0" t="n">
        <f aca="false">X6527+Z6527</f>
        <v>49.7061129081821</v>
      </c>
      <c r="AC6527" s="54" t="b">
        <f aca="false">AND(E6527&gt;=01_因子設定!$L$5-0.000000001,E6527&lt;=01_因子設定!$M$5+0.000000001,F6527&gt;=01_因子設定!$L$6-0.000000001,F6527&lt;=01_因子設定!$M$6+0.000000001,G6527&gt;=01_因子設定!$L$7-0.000000001,G6527&lt;=01_因子設定!$M$7+0.000000001,H6527&gt;=01_因子設定!$L$8-0.000000001,H6527&lt;=01_因子設定!$M$8+0.000000001,IF(01_因子設定!$B$20="Box-Behnken",E6527^2+F6527^2+G6527^2+H6527^2&lt;=2+0.000000001,TRUE()))</f>
        <v>1</v>
      </c>
      <c r="AD6527" s="55" t="n">
        <f aca="false">IF(AC6527,IF(01_因子設定!$B$13="最大化",AA6527-01_因子設定!$B$14,IF(01_因子設定!$B$13="最小化",01_因子設定!$B$15-AB6527,MIN(AA6527-01_因子設定!$B$14,01_因子設定!$B$15-AB6527))),-1E+030)</f>
        <v>-0.143320510521207</v>
      </c>
      <c r="AE6527" s="55" t="n">
        <f aca="false">IF(AC6527,IF(01_因子設定!$B$13="最大化",X6527,IF(01_因子設定!$B$13="最小化",-X6527,-ABS(X6527-01_因子設定!$B$16))),-1E+030)</f>
        <v>48.0313961988304</v>
      </c>
      <c r="AF6527" s="55" t="n">
        <f aca="false">AD6527+ROW()*0.000000001</f>
        <v>-0.143313983521207</v>
      </c>
      <c r="AG6527" s="55" t="n">
        <f aca="false">AE6527+ROW()*0.000000001</f>
        <v>48.0314027258304</v>
      </c>
    </row>
    <row r="6528" customFormat="false" ht="15" hidden="false" customHeight="false" outlineLevel="0" collapsed="false">
      <c r="A6528" s="0" t="n">
        <v>8</v>
      </c>
      <c r="B6528" s="0" t="n">
        <v>8</v>
      </c>
      <c r="C6528" s="0" t="n">
        <v>4</v>
      </c>
      <c r="D6528" s="0" t="n">
        <v>7</v>
      </c>
      <c r="E6528" s="0" t="n">
        <f aca="false">-1+A6528*0.25</f>
        <v>1</v>
      </c>
      <c r="F6528" s="0" t="n">
        <f aca="false">-1+B6528*0.25</f>
        <v>1</v>
      </c>
      <c r="G6528" s="0" t="n">
        <f aca="false">-1+C6528*0.25</f>
        <v>0</v>
      </c>
      <c r="H6528" s="0" t="n">
        <f aca="false">-1+D6528*0.25</f>
        <v>0.75</v>
      </c>
      <c r="I6528" s="0" t="n">
        <f aca="false">1</f>
        <v>1</v>
      </c>
      <c r="J6528" s="0" t="n">
        <f aca="false">E6528</f>
        <v>1</v>
      </c>
      <c r="K6528" s="0" t="n">
        <f aca="false">F6528</f>
        <v>1</v>
      </c>
      <c r="L6528" s="0" t="n">
        <f aca="false">G6528</f>
        <v>0</v>
      </c>
      <c r="M6528" s="0" t="n">
        <f aca="false">H6528</f>
        <v>0.75</v>
      </c>
      <c r="N6528" s="0" t="n">
        <f aca="false">E6528*F6528</f>
        <v>1</v>
      </c>
      <c r="O6528" s="0" t="n">
        <f aca="false">E6528*G6528</f>
        <v>0</v>
      </c>
      <c r="P6528" s="0" t="n">
        <f aca="false">E6528*H6528</f>
        <v>0.75</v>
      </c>
      <c r="Q6528" s="0" t="n">
        <f aca="false">F6528*G6528</f>
        <v>0</v>
      </c>
      <c r="R6528" s="0" t="n">
        <f aca="false">F6528*H6528</f>
        <v>0.75</v>
      </c>
      <c r="S6528" s="0" t="n">
        <f aca="false">G6528*H6528</f>
        <v>0</v>
      </c>
      <c r="T6528" s="0" t="n">
        <f aca="false">E6528*E6528</f>
        <v>1</v>
      </c>
      <c r="U6528" s="0" t="n">
        <f aca="false">F6528*F6528</f>
        <v>1</v>
      </c>
      <c r="V6528" s="0" t="n">
        <f aca="false">G6528*G6528</f>
        <v>0</v>
      </c>
      <c r="W6528" s="0" t="n">
        <f aca="false">H6528*H6528</f>
        <v>0.5625</v>
      </c>
      <c r="X6528" s="0" t="n">
        <f aca="false">SUMPRODUCT(I6528:W6528,_XtX!$B$96:$P$96)</f>
        <v>47.9913925438597</v>
      </c>
      <c r="Y6528" s="0" t="n">
        <f aca="false">SUMPRODUCT(MMULT(I6528:W6528,_XtX!$B$78:$P$92),I6528:W6528)</f>
        <v>0.646198830409357</v>
      </c>
      <c r="Z6528" s="0" t="n">
        <f aca="false">04_回帰ANOVA!$K$19*04_回帰ANOVA!$K$14*SQRT(1+Y6528)</f>
        <v>1.67239760569756</v>
      </c>
      <c r="AA6528" s="0" t="n">
        <f aca="false">X6528-Z6528</f>
        <v>46.3189949381621</v>
      </c>
      <c r="AB6528" s="0" t="n">
        <f aca="false">X6528+Z6528</f>
        <v>49.6637901495572</v>
      </c>
      <c r="AC6528" s="54" t="b">
        <f aca="false">AND(E6528&gt;=01_因子設定!$L$5-0.000000001,E6528&lt;=01_因子設定!$M$5+0.000000001,F6528&gt;=01_因子設定!$L$6-0.000000001,F6528&lt;=01_因子設定!$M$6+0.000000001,G6528&gt;=01_因子設定!$L$7-0.000000001,G6528&lt;=01_因子設定!$M$7+0.000000001,H6528&gt;=01_因子設定!$L$8-0.000000001,H6528&lt;=01_因子設定!$M$8+0.000000001,IF(01_因子設定!$B$20="Box-Behnken",E6528^2+F6528^2+G6528^2+H6528^2&lt;=2+0.000000001,TRUE()))</f>
        <v>1</v>
      </c>
      <c r="AD6528" s="55" t="n">
        <f aca="false">IF(AC6528,IF(01_因子設定!$B$13="最大化",AA6528-01_因子設定!$B$14,IF(01_因子設定!$B$13="最小化",01_因子設定!$B$15-AB6528,MIN(AA6528-01_因子設定!$B$14,01_因子設定!$B$15-AB6528))),-1E+030)</f>
        <v>-0.181005061837865</v>
      </c>
      <c r="AE6528" s="55" t="n">
        <f aca="false">IF(AC6528,IF(01_因子設定!$B$13="最大化",X6528,IF(01_因子設定!$B$13="最小化",-X6528,-ABS(X6528-01_因子設定!$B$16))),-1E+030)</f>
        <v>47.9913925438597</v>
      </c>
      <c r="AF6528" s="55" t="n">
        <f aca="false">AD6528+ROW()*0.000000001</f>
        <v>-0.180998533837865</v>
      </c>
      <c r="AG6528" s="55" t="n">
        <f aca="false">AE6528+ROW()*0.000000001</f>
        <v>47.9913990718597</v>
      </c>
    </row>
    <row r="6529" customFormat="false" ht="15" hidden="false" customHeight="false" outlineLevel="0" collapsed="false">
      <c r="A6529" s="0" t="n">
        <v>8</v>
      </c>
      <c r="B6529" s="0" t="n">
        <v>8</v>
      </c>
      <c r="C6529" s="0" t="n">
        <v>4</v>
      </c>
      <c r="D6529" s="0" t="n">
        <v>8</v>
      </c>
      <c r="E6529" s="0" t="n">
        <f aca="false">-1+A6529*0.25</f>
        <v>1</v>
      </c>
      <c r="F6529" s="0" t="n">
        <f aca="false">-1+B6529*0.25</f>
        <v>1</v>
      </c>
      <c r="G6529" s="0" t="n">
        <f aca="false">-1+C6529*0.25</f>
        <v>0</v>
      </c>
      <c r="H6529" s="0" t="n">
        <f aca="false">-1+D6529*0.25</f>
        <v>1</v>
      </c>
      <c r="I6529" s="0" t="n">
        <f aca="false">1</f>
        <v>1</v>
      </c>
      <c r="J6529" s="0" t="n">
        <f aca="false">E6529</f>
        <v>1</v>
      </c>
      <c r="K6529" s="0" t="n">
        <f aca="false">F6529</f>
        <v>1</v>
      </c>
      <c r="L6529" s="0" t="n">
        <f aca="false">G6529</f>
        <v>0</v>
      </c>
      <c r="M6529" s="0" t="n">
        <f aca="false">H6529</f>
        <v>1</v>
      </c>
      <c r="N6529" s="0" t="n">
        <f aca="false">E6529*F6529</f>
        <v>1</v>
      </c>
      <c r="O6529" s="0" t="n">
        <f aca="false">E6529*G6529</f>
        <v>0</v>
      </c>
      <c r="P6529" s="0" t="n">
        <f aca="false">E6529*H6529</f>
        <v>1</v>
      </c>
      <c r="Q6529" s="0" t="n">
        <f aca="false">F6529*G6529</f>
        <v>0</v>
      </c>
      <c r="R6529" s="0" t="n">
        <f aca="false">F6529*H6529</f>
        <v>1</v>
      </c>
      <c r="S6529" s="0" t="n">
        <f aca="false">G6529*H6529</f>
        <v>0</v>
      </c>
      <c r="T6529" s="0" t="n">
        <f aca="false">E6529*E6529</f>
        <v>1</v>
      </c>
      <c r="U6529" s="0" t="n">
        <f aca="false">F6529*F6529</f>
        <v>1</v>
      </c>
      <c r="V6529" s="0" t="n">
        <f aca="false">G6529*G6529</f>
        <v>0</v>
      </c>
      <c r="W6529" s="0" t="n">
        <f aca="false">H6529*H6529</f>
        <v>1</v>
      </c>
      <c r="X6529" s="0" t="n">
        <f aca="false">SUMPRODUCT(I6529:W6529,_XtX!$B$96:$P$96)</f>
        <v>47.9035818713451</v>
      </c>
      <c r="Y6529" s="0" t="n">
        <f aca="false">SUMPRODUCT(MMULT(I6529:W6529,_XtX!$B$78:$P$92),I6529:W6529)</f>
        <v>0.766447368421053</v>
      </c>
      <c r="Z6529" s="0" t="n">
        <f aca="false">04_回帰ANOVA!$K$19*04_回帰ANOVA!$K$14*SQRT(1+Y6529)</f>
        <v>1.7324022685743</v>
      </c>
      <c r="AA6529" s="0" t="n">
        <f aca="false">X6529-Z6529</f>
        <v>46.1711796027708</v>
      </c>
      <c r="AB6529" s="0" t="n">
        <f aca="false">X6529+Z6529</f>
        <v>49.6359841399194</v>
      </c>
      <c r="AC6529" s="54" t="b">
        <f aca="false">AND(E6529&gt;=01_因子設定!$L$5-0.000000001,E6529&lt;=01_因子設定!$M$5+0.000000001,F6529&gt;=01_因子設定!$L$6-0.000000001,F6529&lt;=01_因子設定!$M$6+0.000000001,G6529&gt;=01_因子設定!$L$7-0.000000001,G6529&lt;=01_因子設定!$M$7+0.000000001,H6529&gt;=01_因子設定!$L$8-0.000000001,H6529&lt;=01_因子設定!$M$8+0.000000001,IF(01_因子設定!$B$20="Box-Behnken",E6529^2+F6529^2+G6529^2+H6529^2&lt;=2+0.000000001,TRUE()))</f>
        <v>1</v>
      </c>
      <c r="AD6529" s="55" t="n">
        <f aca="false">IF(AC6529,IF(01_因子設定!$B$13="最大化",AA6529-01_因子設定!$B$14,IF(01_因子設定!$B$13="最小化",01_因子設定!$B$15-AB6529,MIN(AA6529-01_因子設定!$B$14,01_因子設定!$B$15-AB6529))),-1E+030)</f>
        <v>-0.328820397229215</v>
      </c>
      <c r="AE6529" s="55" t="n">
        <f aca="false">IF(AC6529,IF(01_因子設定!$B$13="最大化",X6529,IF(01_因子設定!$B$13="最小化",-X6529,-ABS(X6529-01_因子設定!$B$16))),-1E+030)</f>
        <v>47.9035818713451</v>
      </c>
      <c r="AF6529" s="55" t="n">
        <f aca="false">AD6529+ROW()*0.000000001</f>
        <v>-0.328813868229215</v>
      </c>
      <c r="AG6529" s="55" t="n">
        <f aca="false">AE6529+ROW()*0.000000001</f>
        <v>47.9035884003451</v>
      </c>
    </row>
    <row r="6530" customFormat="false" ht="15" hidden="false" customHeight="false" outlineLevel="0" collapsed="false">
      <c r="A6530" s="0" t="n">
        <v>8</v>
      </c>
      <c r="B6530" s="0" t="n">
        <v>8</v>
      </c>
      <c r="C6530" s="0" t="n">
        <v>5</v>
      </c>
      <c r="D6530" s="0" t="n">
        <v>0</v>
      </c>
      <c r="E6530" s="0" t="n">
        <f aca="false">-1+A6530*0.25</f>
        <v>1</v>
      </c>
      <c r="F6530" s="0" t="n">
        <f aca="false">-1+B6530*0.25</f>
        <v>1</v>
      </c>
      <c r="G6530" s="0" t="n">
        <f aca="false">-1+C6530*0.25</f>
        <v>0.25</v>
      </c>
      <c r="H6530" s="0" t="n">
        <f aca="false">-1+D6530*0.25</f>
        <v>-1</v>
      </c>
      <c r="I6530" s="0" t="n">
        <f aca="false">1</f>
        <v>1</v>
      </c>
      <c r="J6530" s="0" t="n">
        <f aca="false">E6530</f>
        <v>1</v>
      </c>
      <c r="K6530" s="0" t="n">
        <f aca="false">F6530</f>
        <v>1</v>
      </c>
      <c r="L6530" s="0" t="n">
        <f aca="false">G6530</f>
        <v>0.25</v>
      </c>
      <c r="M6530" s="0" t="n">
        <f aca="false">H6530</f>
        <v>-1</v>
      </c>
      <c r="N6530" s="0" t="n">
        <f aca="false">E6530*F6530</f>
        <v>1</v>
      </c>
      <c r="O6530" s="0" t="n">
        <f aca="false">E6530*G6530</f>
        <v>0.25</v>
      </c>
      <c r="P6530" s="0" t="n">
        <f aca="false">E6530*H6530</f>
        <v>-1</v>
      </c>
      <c r="Q6530" s="0" t="n">
        <f aca="false">F6530*G6530</f>
        <v>0.25</v>
      </c>
      <c r="R6530" s="0" t="n">
        <f aca="false">F6530*H6530</f>
        <v>-1</v>
      </c>
      <c r="S6530" s="0" t="n">
        <f aca="false">G6530*H6530</f>
        <v>-0.25</v>
      </c>
      <c r="T6530" s="0" t="n">
        <f aca="false">E6530*E6530</f>
        <v>1</v>
      </c>
      <c r="U6530" s="0" t="n">
        <f aca="false">F6530*F6530</f>
        <v>1</v>
      </c>
      <c r="V6530" s="0" t="n">
        <f aca="false">G6530*G6530</f>
        <v>0.0625</v>
      </c>
      <c r="W6530" s="0" t="n">
        <f aca="false">H6530*H6530</f>
        <v>1</v>
      </c>
      <c r="X6530" s="0" t="n">
        <f aca="false">SUMPRODUCT(I6530:W6530,_XtX!$B$96:$P$96)</f>
        <v>47.3144005847954</v>
      </c>
      <c r="Y6530" s="0" t="n">
        <f aca="false">SUMPRODUCT(MMULT(I6530:W6530,_XtX!$B$78:$P$92),I6530:W6530)</f>
        <v>0.737093384502924</v>
      </c>
      <c r="Z6530" s="0" t="n">
        <f aca="false">04_回帰ANOVA!$K$19*04_回帰ANOVA!$K$14*SQRT(1+Y6530)</f>
        <v>1.71794784853551</v>
      </c>
      <c r="AA6530" s="0" t="n">
        <f aca="false">X6530-Z6530</f>
        <v>45.5964527362599</v>
      </c>
      <c r="AB6530" s="0" t="n">
        <f aca="false">X6530+Z6530</f>
        <v>49.0323484333309</v>
      </c>
      <c r="AC6530" s="54" t="b">
        <f aca="false">AND(E6530&gt;=01_因子設定!$L$5-0.000000001,E6530&lt;=01_因子設定!$M$5+0.000000001,F6530&gt;=01_因子設定!$L$6-0.000000001,F6530&lt;=01_因子設定!$M$6+0.000000001,G6530&gt;=01_因子設定!$L$7-0.000000001,G6530&lt;=01_因子設定!$M$7+0.000000001,H6530&gt;=01_因子設定!$L$8-0.000000001,H6530&lt;=01_因子設定!$M$8+0.000000001,IF(01_因子設定!$B$20="Box-Behnken",E6530^2+F6530^2+G6530^2+H6530^2&lt;=2+0.000000001,TRUE()))</f>
        <v>1</v>
      </c>
      <c r="AD6530" s="55" t="n">
        <f aca="false">IF(AC6530,IF(01_因子設定!$B$13="最大化",AA6530-01_因子設定!$B$14,IF(01_因子設定!$B$13="最小化",01_因子設定!$B$15-AB6530,MIN(AA6530-01_因子設定!$B$14,01_因子設定!$B$15-AB6530))),-1E+030)</f>
        <v>-0.903547263740116</v>
      </c>
      <c r="AE6530" s="55" t="n">
        <f aca="false">IF(AC6530,IF(01_因子設定!$B$13="最大化",X6530,IF(01_因子設定!$B$13="最小化",-X6530,-ABS(X6530-01_因子設定!$B$16))),-1E+030)</f>
        <v>47.3144005847954</v>
      </c>
      <c r="AF6530" s="55" t="n">
        <f aca="false">AD6530+ROW()*0.000000001</f>
        <v>-0.903540733740116</v>
      </c>
      <c r="AG6530" s="55" t="n">
        <f aca="false">AE6530+ROW()*0.000000001</f>
        <v>47.3144071147954</v>
      </c>
    </row>
    <row r="6531" customFormat="false" ht="15" hidden="false" customHeight="false" outlineLevel="0" collapsed="false">
      <c r="A6531" s="0" t="n">
        <v>8</v>
      </c>
      <c r="B6531" s="0" t="n">
        <v>8</v>
      </c>
      <c r="C6531" s="0" t="n">
        <v>5</v>
      </c>
      <c r="D6531" s="0" t="n">
        <v>1</v>
      </c>
      <c r="E6531" s="0" t="n">
        <f aca="false">-1+A6531*0.25</f>
        <v>1</v>
      </c>
      <c r="F6531" s="0" t="n">
        <f aca="false">-1+B6531*0.25</f>
        <v>1</v>
      </c>
      <c r="G6531" s="0" t="n">
        <f aca="false">-1+C6531*0.25</f>
        <v>0.25</v>
      </c>
      <c r="H6531" s="0" t="n">
        <f aca="false">-1+D6531*0.25</f>
        <v>-0.75</v>
      </c>
      <c r="I6531" s="0" t="n">
        <f aca="false">1</f>
        <v>1</v>
      </c>
      <c r="J6531" s="0" t="n">
        <f aca="false">E6531</f>
        <v>1</v>
      </c>
      <c r="K6531" s="0" t="n">
        <f aca="false">F6531</f>
        <v>1</v>
      </c>
      <c r="L6531" s="0" t="n">
        <f aca="false">G6531</f>
        <v>0.25</v>
      </c>
      <c r="M6531" s="0" t="n">
        <f aca="false">H6531</f>
        <v>-0.75</v>
      </c>
      <c r="N6531" s="0" t="n">
        <f aca="false">E6531*F6531</f>
        <v>1</v>
      </c>
      <c r="O6531" s="0" t="n">
        <f aca="false">E6531*G6531</f>
        <v>0.25</v>
      </c>
      <c r="P6531" s="0" t="n">
        <f aca="false">E6531*H6531</f>
        <v>-0.75</v>
      </c>
      <c r="Q6531" s="0" t="n">
        <f aca="false">F6531*G6531</f>
        <v>0.25</v>
      </c>
      <c r="R6531" s="0" t="n">
        <f aca="false">F6531*H6531</f>
        <v>-0.75</v>
      </c>
      <c r="S6531" s="0" t="n">
        <f aca="false">G6531*H6531</f>
        <v>-0.1875</v>
      </c>
      <c r="T6531" s="0" t="n">
        <f aca="false">E6531*E6531</f>
        <v>1</v>
      </c>
      <c r="U6531" s="0" t="n">
        <f aca="false">F6531*F6531</f>
        <v>1</v>
      </c>
      <c r="V6531" s="0" t="n">
        <f aca="false">G6531*G6531</f>
        <v>0.0625</v>
      </c>
      <c r="W6531" s="0" t="n">
        <f aca="false">H6531*H6531</f>
        <v>0.5625</v>
      </c>
      <c r="X6531" s="0" t="n">
        <f aca="false">SUMPRODUCT(I6531:W6531,_XtX!$B$96:$P$96)</f>
        <v>47.5792077850878</v>
      </c>
      <c r="Y6531" s="0" t="n">
        <f aca="false">SUMPRODUCT(MMULT(I6531:W6531,_XtX!$B$78:$P$92),I6531:W6531)</f>
        <v>0.621372155975877</v>
      </c>
      <c r="Z6531" s="0" t="n">
        <f aca="false">04_回帰ANOVA!$K$19*04_回帰ANOVA!$K$14*SQRT(1+Y6531)</f>
        <v>1.65973880499872</v>
      </c>
      <c r="AA6531" s="0" t="n">
        <f aca="false">X6531-Z6531</f>
        <v>45.9194689800891</v>
      </c>
      <c r="AB6531" s="0" t="n">
        <f aca="false">X6531+Z6531</f>
        <v>49.2389465900865</v>
      </c>
      <c r="AC6531" s="54" t="b">
        <f aca="false">AND(E6531&gt;=01_因子設定!$L$5-0.000000001,E6531&lt;=01_因子設定!$M$5+0.000000001,F6531&gt;=01_因子設定!$L$6-0.000000001,F6531&lt;=01_因子設定!$M$6+0.000000001,G6531&gt;=01_因子設定!$L$7-0.000000001,G6531&lt;=01_因子設定!$M$7+0.000000001,H6531&gt;=01_因子設定!$L$8-0.000000001,H6531&lt;=01_因子設定!$M$8+0.000000001,IF(01_因子設定!$B$20="Box-Behnken",E6531^2+F6531^2+G6531^2+H6531^2&lt;=2+0.000000001,TRUE()))</f>
        <v>1</v>
      </c>
      <c r="AD6531" s="55" t="n">
        <f aca="false">IF(AC6531,IF(01_因子設定!$B$13="最大化",AA6531-01_因子設定!$B$14,IF(01_因子設定!$B$13="最小化",01_因子設定!$B$15-AB6531,MIN(AA6531-01_因子設定!$B$14,01_因子設定!$B$15-AB6531))),-1E+030)</f>
        <v>-0.58053101991095</v>
      </c>
      <c r="AE6531" s="55" t="n">
        <f aca="false">IF(AC6531,IF(01_因子設定!$B$13="最大化",X6531,IF(01_因子設定!$B$13="最小化",-X6531,-ABS(X6531-01_因子設定!$B$16))),-1E+030)</f>
        <v>47.5792077850878</v>
      </c>
      <c r="AF6531" s="55" t="n">
        <f aca="false">AD6531+ROW()*0.000000001</f>
        <v>-0.58052448891095</v>
      </c>
      <c r="AG6531" s="55" t="n">
        <f aca="false">AE6531+ROW()*0.000000001</f>
        <v>47.5792143160878</v>
      </c>
    </row>
    <row r="6532" customFormat="false" ht="15" hidden="false" customHeight="false" outlineLevel="0" collapsed="false">
      <c r="A6532" s="0" t="n">
        <v>8</v>
      </c>
      <c r="B6532" s="0" t="n">
        <v>8</v>
      </c>
      <c r="C6532" s="0" t="n">
        <v>5</v>
      </c>
      <c r="D6532" s="0" t="n">
        <v>2</v>
      </c>
      <c r="E6532" s="0" t="n">
        <f aca="false">-1+A6532*0.25</f>
        <v>1</v>
      </c>
      <c r="F6532" s="0" t="n">
        <f aca="false">-1+B6532*0.25</f>
        <v>1</v>
      </c>
      <c r="G6532" s="0" t="n">
        <f aca="false">-1+C6532*0.25</f>
        <v>0.25</v>
      </c>
      <c r="H6532" s="0" t="n">
        <f aca="false">-1+D6532*0.25</f>
        <v>-0.5</v>
      </c>
      <c r="I6532" s="0" t="n">
        <f aca="false">1</f>
        <v>1</v>
      </c>
      <c r="J6532" s="0" t="n">
        <f aca="false">E6532</f>
        <v>1</v>
      </c>
      <c r="K6532" s="0" t="n">
        <f aca="false">F6532</f>
        <v>1</v>
      </c>
      <c r="L6532" s="0" t="n">
        <f aca="false">G6532</f>
        <v>0.25</v>
      </c>
      <c r="M6532" s="0" t="n">
        <f aca="false">H6532</f>
        <v>-0.5</v>
      </c>
      <c r="N6532" s="0" t="n">
        <f aca="false">E6532*F6532</f>
        <v>1</v>
      </c>
      <c r="O6532" s="0" t="n">
        <f aca="false">E6532*G6532</f>
        <v>0.25</v>
      </c>
      <c r="P6532" s="0" t="n">
        <f aca="false">E6532*H6532</f>
        <v>-0.5</v>
      </c>
      <c r="Q6532" s="0" t="n">
        <f aca="false">F6532*G6532</f>
        <v>0.25</v>
      </c>
      <c r="R6532" s="0" t="n">
        <f aca="false">F6532*H6532</f>
        <v>-0.5</v>
      </c>
      <c r="S6532" s="0" t="n">
        <f aca="false">G6532*H6532</f>
        <v>-0.125</v>
      </c>
      <c r="T6532" s="0" t="n">
        <f aca="false">E6532*E6532</f>
        <v>1</v>
      </c>
      <c r="U6532" s="0" t="n">
        <f aca="false">F6532*F6532</f>
        <v>1</v>
      </c>
      <c r="V6532" s="0" t="n">
        <f aca="false">G6532*G6532</f>
        <v>0.0625</v>
      </c>
      <c r="W6532" s="0" t="n">
        <f aca="false">H6532*H6532</f>
        <v>0.25</v>
      </c>
      <c r="X6532" s="0" t="n">
        <f aca="false">SUMPRODUCT(I6532:W6532,_XtX!$B$96:$P$96)</f>
        <v>47.7962079678363</v>
      </c>
      <c r="Y6532" s="0" t="n">
        <f aca="false">SUMPRODUCT(MMULT(I6532:W6532,_XtX!$B$78:$P$92),I6532:W6532)</f>
        <v>0.629174661915205</v>
      </c>
      <c r="Z6532" s="0" t="n">
        <f aca="false">04_回帰ANOVA!$K$19*04_回帰ANOVA!$K$14*SQRT(1+Y6532)</f>
        <v>1.66372758058297</v>
      </c>
      <c r="AA6532" s="0" t="n">
        <f aca="false">X6532-Z6532</f>
        <v>46.1324803872533</v>
      </c>
      <c r="AB6532" s="0" t="n">
        <f aca="false">X6532+Z6532</f>
        <v>49.4599355484193</v>
      </c>
      <c r="AC6532" s="54" t="b">
        <f aca="false">AND(E6532&gt;=01_因子設定!$L$5-0.000000001,E6532&lt;=01_因子設定!$M$5+0.000000001,F6532&gt;=01_因子設定!$L$6-0.000000001,F6532&lt;=01_因子設定!$M$6+0.000000001,G6532&gt;=01_因子設定!$L$7-0.000000001,G6532&lt;=01_因子設定!$M$7+0.000000001,H6532&gt;=01_因子設定!$L$8-0.000000001,H6532&lt;=01_因子設定!$M$8+0.000000001,IF(01_因子設定!$B$20="Box-Behnken",E6532^2+F6532^2+G6532^2+H6532^2&lt;=2+0.000000001,TRUE()))</f>
        <v>1</v>
      </c>
      <c r="AD6532" s="55" t="n">
        <f aca="false">IF(AC6532,IF(01_因子設定!$B$13="最大化",AA6532-01_因子設定!$B$14,IF(01_因子設定!$B$13="最小化",01_因子設定!$B$15-AB6532,MIN(AA6532-01_因子設定!$B$14,01_因子設定!$B$15-AB6532))),-1E+030)</f>
        <v>-0.367519612746683</v>
      </c>
      <c r="AE6532" s="55" t="n">
        <f aca="false">IF(AC6532,IF(01_因子設定!$B$13="最大化",X6532,IF(01_因子設定!$B$13="最小化",-X6532,-ABS(X6532-01_因子設定!$B$16))),-1E+030)</f>
        <v>47.7962079678363</v>
      </c>
      <c r="AF6532" s="55" t="n">
        <f aca="false">AD6532+ROW()*0.000000001</f>
        <v>-0.367513080746683</v>
      </c>
      <c r="AG6532" s="55" t="n">
        <f aca="false">AE6532+ROW()*0.000000001</f>
        <v>47.7962144998363</v>
      </c>
    </row>
    <row r="6533" customFormat="false" ht="15" hidden="false" customHeight="false" outlineLevel="0" collapsed="false">
      <c r="A6533" s="0" t="n">
        <v>8</v>
      </c>
      <c r="B6533" s="0" t="n">
        <v>8</v>
      </c>
      <c r="C6533" s="0" t="n">
        <v>5</v>
      </c>
      <c r="D6533" s="0" t="n">
        <v>3</v>
      </c>
      <c r="E6533" s="0" t="n">
        <f aca="false">-1+A6533*0.25</f>
        <v>1</v>
      </c>
      <c r="F6533" s="0" t="n">
        <f aca="false">-1+B6533*0.25</f>
        <v>1</v>
      </c>
      <c r="G6533" s="0" t="n">
        <f aca="false">-1+C6533*0.25</f>
        <v>0.25</v>
      </c>
      <c r="H6533" s="0" t="n">
        <f aca="false">-1+D6533*0.25</f>
        <v>-0.25</v>
      </c>
      <c r="I6533" s="0" t="n">
        <f aca="false">1</f>
        <v>1</v>
      </c>
      <c r="J6533" s="0" t="n">
        <f aca="false">E6533</f>
        <v>1</v>
      </c>
      <c r="K6533" s="0" t="n">
        <f aca="false">F6533</f>
        <v>1</v>
      </c>
      <c r="L6533" s="0" t="n">
        <f aca="false">G6533</f>
        <v>0.25</v>
      </c>
      <c r="M6533" s="0" t="n">
        <f aca="false">H6533</f>
        <v>-0.25</v>
      </c>
      <c r="N6533" s="0" t="n">
        <f aca="false">E6533*F6533</f>
        <v>1</v>
      </c>
      <c r="O6533" s="0" t="n">
        <f aca="false">E6533*G6533</f>
        <v>0.25</v>
      </c>
      <c r="P6533" s="0" t="n">
        <f aca="false">E6533*H6533</f>
        <v>-0.25</v>
      </c>
      <c r="Q6533" s="0" t="n">
        <f aca="false">F6533*G6533</f>
        <v>0.25</v>
      </c>
      <c r="R6533" s="0" t="n">
        <f aca="false">F6533*H6533</f>
        <v>-0.25</v>
      </c>
      <c r="S6533" s="0" t="n">
        <f aca="false">G6533*H6533</f>
        <v>-0.0625</v>
      </c>
      <c r="T6533" s="0" t="n">
        <f aca="false">E6533*E6533</f>
        <v>1</v>
      </c>
      <c r="U6533" s="0" t="n">
        <f aca="false">F6533*F6533</f>
        <v>1</v>
      </c>
      <c r="V6533" s="0" t="n">
        <f aca="false">G6533*G6533</f>
        <v>0.0625</v>
      </c>
      <c r="W6533" s="0" t="n">
        <f aca="false">H6533*H6533</f>
        <v>0.0625</v>
      </c>
      <c r="X6533" s="0" t="n">
        <f aca="false">SUMPRODUCT(I6533:W6533,_XtX!$B$96:$P$96)</f>
        <v>47.965401133041</v>
      </c>
      <c r="Y6533" s="0" t="n">
        <f aca="false">SUMPRODUCT(MMULT(I6533:W6533,_XtX!$B$78:$P$92),I6533:W6533)</f>
        <v>0.670040376005117</v>
      </c>
      <c r="Z6533" s="0" t="n">
        <f aca="false">04_回帰ANOVA!$K$19*04_回帰ANOVA!$K$14*SQRT(1+Y6533)</f>
        <v>1.68446456039992</v>
      </c>
      <c r="AA6533" s="0" t="n">
        <f aca="false">X6533-Z6533</f>
        <v>46.280936572641</v>
      </c>
      <c r="AB6533" s="0" t="n">
        <f aca="false">X6533+Z6533</f>
        <v>49.6498656934409</v>
      </c>
      <c r="AC6533" s="54" t="b">
        <f aca="false">AND(E6533&gt;=01_因子設定!$L$5-0.000000001,E6533&lt;=01_因子設定!$M$5+0.000000001,F6533&gt;=01_因子設定!$L$6-0.000000001,F6533&lt;=01_因子設定!$M$6+0.000000001,G6533&gt;=01_因子設定!$L$7-0.000000001,G6533&lt;=01_因子設定!$M$7+0.000000001,H6533&gt;=01_因子設定!$L$8-0.000000001,H6533&lt;=01_因子設定!$M$8+0.000000001,IF(01_因子設定!$B$20="Box-Behnken",E6533^2+F6533^2+G6533^2+H6533^2&lt;=2+0.000000001,TRUE()))</f>
        <v>1</v>
      </c>
      <c r="AD6533" s="55" t="n">
        <f aca="false">IF(AC6533,IF(01_因子設定!$B$13="最大化",AA6533-01_因子設定!$B$14,IF(01_因子設定!$B$13="最小化",01_因子設定!$B$15-AB6533,MIN(AA6533-01_因子設定!$B$14,01_因子設定!$B$15-AB6533))),-1E+030)</f>
        <v>-0.219063427358954</v>
      </c>
      <c r="AE6533" s="55" t="n">
        <f aca="false">IF(AC6533,IF(01_因子設定!$B$13="最大化",X6533,IF(01_因子設定!$B$13="最小化",-X6533,-ABS(X6533-01_因子設定!$B$16))),-1E+030)</f>
        <v>47.965401133041</v>
      </c>
      <c r="AF6533" s="55" t="n">
        <f aca="false">AD6533+ROW()*0.000000001</f>
        <v>-0.219056894358954</v>
      </c>
      <c r="AG6533" s="55" t="n">
        <f aca="false">AE6533+ROW()*0.000000001</f>
        <v>47.965407666041</v>
      </c>
    </row>
    <row r="6534" customFormat="false" ht="15" hidden="false" customHeight="false" outlineLevel="0" collapsed="false">
      <c r="A6534" s="0" t="n">
        <v>8</v>
      </c>
      <c r="B6534" s="0" t="n">
        <v>8</v>
      </c>
      <c r="C6534" s="0" t="n">
        <v>5</v>
      </c>
      <c r="D6534" s="0" t="n">
        <v>4</v>
      </c>
      <c r="E6534" s="0" t="n">
        <f aca="false">-1+A6534*0.25</f>
        <v>1</v>
      </c>
      <c r="F6534" s="0" t="n">
        <f aca="false">-1+B6534*0.25</f>
        <v>1</v>
      </c>
      <c r="G6534" s="0" t="n">
        <f aca="false">-1+C6534*0.25</f>
        <v>0.25</v>
      </c>
      <c r="H6534" s="0" t="n">
        <f aca="false">-1+D6534*0.25</f>
        <v>0</v>
      </c>
      <c r="I6534" s="0" t="n">
        <f aca="false">1</f>
        <v>1</v>
      </c>
      <c r="J6534" s="0" t="n">
        <f aca="false">E6534</f>
        <v>1</v>
      </c>
      <c r="K6534" s="0" t="n">
        <f aca="false">F6534</f>
        <v>1</v>
      </c>
      <c r="L6534" s="0" t="n">
        <f aca="false">G6534</f>
        <v>0.25</v>
      </c>
      <c r="M6534" s="0" t="n">
        <f aca="false">H6534</f>
        <v>0</v>
      </c>
      <c r="N6534" s="0" t="n">
        <f aca="false">E6534*F6534</f>
        <v>1</v>
      </c>
      <c r="O6534" s="0" t="n">
        <f aca="false">E6534*G6534</f>
        <v>0.25</v>
      </c>
      <c r="P6534" s="0" t="n">
        <f aca="false">E6534*H6534</f>
        <v>0</v>
      </c>
      <c r="Q6534" s="0" t="n">
        <f aca="false">F6534*G6534</f>
        <v>0.25</v>
      </c>
      <c r="R6534" s="0" t="n">
        <f aca="false">F6534*H6534</f>
        <v>0</v>
      </c>
      <c r="S6534" s="0" t="n">
        <f aca="false">G6534*H6534</f>
        <v>0</v>
      </c>
      <c r="T6534" s="0" t="n">
        <f aca="false">E6534*E6534</f>
        <v>1</v>
      </c>
      <c r="U6534" s="0" t="n">
        <f aca="false">F6534*F6534</f>
        <v>1</v>
      </c>
      <c r="V6534" s="0" t="n">
        <f aca="false">G6534*G6534</f>
        <v>0.0625</v>
      </c>
      <c r="W6534" s="0" t="n">
        <f aca="false">H6534*H6534</f>
        <v>0</v>
      </c>
      <c r="X6534" s="0" t="n">
        <f aca="false">SUMPRODUCT(I6534:W6534,_XtX!$B$96:$P$96)</f>
        <v>48.0867872807018</v>
      </c>
      <c r="Y6534" s="0" t="n">
        <f aca="false">SUMPRODUCT(MMULT(I6534:W6534,_XtX!$B$78:$P$92),I6534:W6534)</f>
        <v>0.689692982456141</v>
      </c>
      <c r="Z6534" s="0" t="n">
        <f aca="false">04_回帰ANOVA!$K$19*04_回帰ANOVA!$K$14*SQRT(1+Y6534)</f>
        <v>1.69434674594998</v>
      </c>
      <c r="AA6534" s="0" t="n">
        <f aca="false">X6534-Z6534</f>
        <v>46.3924405347518</v>
      </c>
      <c r="AB6534" s="0" t="n">
        <f aca="false">X6534+Z6534</f>
        <v>49.7811340266518</v>
      </c>
      <c r="AC6534" s="54" t="b">
        <f aca="false">AND(E6534&gt;=01_因子設定!$L$5-0.000000001,E6534&lt;=01_因子設定!$M$5+0.000000001,F6534&gt;=01_因子設定!$L$6-0.000000001,F6534&lt;=01_因子設定!$M$6+0.000000001,G6534&gt;=01_因子設定!$L$7-0.000000001,G6534&lt;=01_因子設定!$M$7+0.000000001,H6534&gt;=01_因子設定!$L$8-0.000000001,H6534&lt;=01_因子設定!$M$8+0.000000001,IF(01_因子設定!$B$20="Box-Behnken",E6534^2+F6534^2+G6534^2+H6534^2&lt;=2+0.000000001,TRUE()))</f>
        <v>1</v>
      </c>
      <c r="AD6534" s="55" t="n">
        <f aca="false">IF(AC6534,IF(01_因子設定!$B$13="最大化",AA6534-01_因子設定!$B$14,IF(01_因子設定!$B$13="最小化",01_因子設定!$B$15-AB6534,MIN(AA6534-01_因子設定!$B$14,01_因子設定!$B$15-AB6534))),-1E+030)</f>
        <v>-0.107559465248208</v>
      </c>
      <c r="AE6534" s="55" t="n">
        <f aca="false">IF(AC6534,IF(01_因子設定!$B$13="最大化",X6534,IF(01_因子設定!$B$13="最小化",-X6534,-ABS(X6534-01_因子設定!$B$16))),-1E+030)</f>
        <v>48.0867872807018</v>
      </c>
      <c r="AF6534" s="55" t="n">
        <f aca="false">AD6534+ROW()*0.000000001</f>
        <v>-0.107552931248208</v>
      </c>
      <c r="AG6534" s="55" t="n">
        <f aca="false">AE6534+ROW()*0.000000001</f>
        <v>48.0867938147018</v>
      </c>
    </row>
    <row r="6535" customFormat="false" ht="15" hidden="false" customHeight="false" outlineLevel="0" collapsed="false">
      <c r="A6535" s="0" t="n">
        <v>8</v>
      </c>
      <c r="B6535" s="0" t="n">
        <v>8</v>
      </c>
      <c r="C6535" s="0" t="n">
        <v>5</v>
      </c>
      <c r="D6535" s="0" t="n">
        <v>5</v>
      </c>
      <c r="E6535" s="0" t="n">
        <f aca="false">-1+A6535*0.25</f>
        <v>1</v>
      </c>
      <c r="F6535" s="0" t="n">
        <f aca="false">-1+B6535*0.25</f>
        <v>1</v>
      </c>
      <c r="G6535" s="0" t="n">
        <f aca="false">-1+C6535*0.25</f>
        <v>0.25</v>
      </c>
      <c r="H6535" s="0" t="n">
        <f aca="false">-1+D6535*0.25</f>
        <v>0.25</v>
      </c>
      <c r="I6535" s="0" t="n">
        <f aca="false">1</f>
        <v>1</v>
      </c>
      <c r="J6535" s="0" t="n">
        <f aca="false">E6535</f>
        <v>1</v>
      </c>
      <c r="K6535" s="0" t="n">
        <f aca="false">F6535</f>
        <v>1</v>
      </c>
      <c r="L6535" s="0" t="n">
        <f aca="false">G6535</f>
        <v>0.25</v>
      </c>
      <c r="M6535" s="0" t="n">
        <f aca="false">H6535</f>
        <v>0.25</v>
      </c>
      <c r="N6535" s="0" t="n">
        <f aca="false">E6535*F6535</f>
        <v>1</v>
      </c>
      <c r="O6535" s="0" t="n">
        <f aca="false">E6535*G6535</f>
        <v>0.25</v>
      </c>
      <c r="P6535" s="0" t="n">
        <f aca="false">E6535*H6535</f>
        <v>0.25</v>
      </c>
      <c r="Q6535" s="0" t="n">
        <f aca="false">F6535*G6535</f>
        <v>0.25</v>
      </c>
      <c r="R6535" s="0" t="n">
        <f aca="false">F6535*H6535</f>
        <v>0.25</v>
      </c>
      <c r="S6535" s="0" t="n">
        <f aca="false">G6535*H6535</f>
        <v>0.0625</v>
      </c>
      <c r="T6535" s="0" t="n">
        <f aca="false">E6535*E6535</f>
        <v>1</v>
      </c>
      <c r="U6535" s="0" t="n">
        <f aca="false">F6535*F6535</f>
        <v>1</v>
      </c>
      <c r="V6535" s="0" t="n">
        <f aca="false">G6535*G6535</f>
        <v>0.0625</v>
      </c>
      <c r="W6535" s="0" t="n">
        <f aca="false">H6535*H6535</f>
        <v>0.0625</v>
      </c>
      <c r="X6535" s="0" t="n">
        <f aca="false">SUMPRODUCT(I6535:W6535,_XtX!$B$96:$P$96)</f>
        <v>48.1603664108187</v>
      </c>
      <c r="Y6535" s="0" t="n">
        <f aca="false">SUMPRODUCT(MMULT(I6535:W6535,_XtX!$B$78:$P$92),I6535:W6535)</f>
        <v>0.670040376005117</v>
      </c>
      <c r="Z6535" s="0" t="n">
        <f aca="false">04_回帰ANOVA!$K$19*04_回帰ANOVA!$K$14*SQRT(1+Y6535)</f>
        <v>1.68446456039992</v>
      </c>
      <c r="AA6535" s="0" t="n">
        <f aca="false">X6535-Z6535</f>
        <v>46.4759018504188</v>
      </c>
      <c r="AB6535" s="0" t="n">
        <f aca="false">X6535+Z6535</f>
        <v>49.8448309712187</v>
      </c>
      <c r="AC6535" s="54" t="b">
        <f aca="false">AND(E6535&gt;=01_因子設定!$L$5-0.000000001,E6535&lt;=01_因子設定!$M$5+0.000000001,F6535&gt;=01_因子設定!$L$6-0.000000001,F6535&lt;=01_因子設定!$M$6+0.000000001,G6535&gt;=01_因子設定!$L$7-0.000000001,G6535&lt;=01_因子設定!$M$7+0.000000001,H6535&gt;=01_因子設定!$L$8-0.000000001,H6535&lt;=01_因子設定!$M$8+0.000000001,IF(01_因子設定!$B$20="Box-Behnken",E6535^2+F6535^2+G6535^2+H6535^2&lt;=2+0.000000001,TRUE()))</f>
        <v>1</v>
      </c>
      <c r="AD6535" s="55" t="n">
        <f aca="false">IF(AC6535,IF(01_因子設定!$B$13="最大化",AA6535-01_因子設定!$B$14,IF(01_因子設定!$B$13="最小化",01_因子設定!$B$15-AB6535,MIN(AA6535-01_因子設定!$B$14,01_因子設定!$B$15-AB6535))),-1E+030)</f>
        <v>-0.0240981495811781</v>
      </c>
      <c r="AE6535" s="55" t="n">
        <f aca="false">IF(AC6535,IF(01_因子設定!$B$13="最大化",X6535,IF(01_因子設定!$B$13="最小化",-X6535,-ABS(X6535-01_因子設定!$B$16))),-1E+030)</f>
        <v>48.1603664108187</v>
      </c>
      <c r="AF6535" s="55" t="n">
        <f aca="false">AD6535+ROW()*0.000000001</f>
        <v>-0.0240916145811781</v>
      </c>
      <c r="AG6535" s="55" t="n">
        <f aca="false">AE6535+ROW()*0.000000001</f>
        <v>48.1603729458187</v>
      </c>
    </row>
    <row r="6536" customFormat="false" ht="15" hidden="false" customHeight="false" outlineLevel="0" collapsed="false">
      <c r="A6536" s="0" t="n">
        <v>8</v>
      </c>
      <c r="B6536" s="0" t="n">
        <v>8</v>
      </c>
      <c r="C6536" s="0" t="n">
        <v>5</v>
      </c>
      <c r="D6536" s="0" t="n">
        <v>6</v>
      </c>
      <c r="E6536" s="0" t="n">
        <f aca="false">-1+A6536*0.25</f>
        <v>1</v>
      </c>
      <c r="F6536" s="0" t="n">
        <f aca="false">-1+B6536*0.25</f>
        <v>1</v>
      </c>
      <c r="G6536" s="0" t="n">
        <f aca="false">-1+C6536*0.25</f>
        <v>0.25</v>
      </c>
      <c r="H6536" s="0" t="n">
        <f aca="false">-1+D6536*0.25</f>
        <v>0.5</v>
      </c>
      <c r="I6536" s="0" t="n">
        <f aca="false">1</f>
        <v>1</v>
      </c>
      <c r="J6536" s="0" t="n">
        <f aca="false">E6536</f>
        <v>1</v>
      </c>
      <c r="K6536" s="0" t="n">
        <f aca="false">F6536</f>
        <v>1</v>
      </c>
      <c r="L6536" s="0" t="n">
        <f aca="false">G6536</f>
        <v>0.25</v>
      </c>
      <c r="M6536" s="0" t="n">
        <f aca="false">H6536</f>
        <v>0.5</v>
      </c>
      <c r="N6536" s="0" t="n">
        <f aca="false">E6536*F6536</f>
        <v>1</v>
      </c>
      <c r="O6536" s="0" t="n">
        <f aca="false">E6536*G6536</f>
        <v>0.25</v>
      </c>
      <c r="P6536" s="0" t="n">
        <f aca="false">E6536*H6536</f>
        <v>0.5</v>
      </c>
      <c r="Q6536" s="0" t="n">
        <f aca="false">F6536*G6536</f>
        <v>0.25</v>
      </c>
      <c r="R6536" s="0" t="n">
        <f aca="false">F6536*H6536</f>
        <v>0.5</v>
      </c>
      <c r="S6536" s="0" t="n">
        <f aca="false">G6536*H6536</f>
        <v>0.125</v>
      </c>
      <c r="T6536" s="0" t="n">
        <f aca="false">E6536*E6536</f>
        <v>1</v>
      </c>
      <c r="U6536" s="0" t="n">
        <f aca="false">F6536*F6536</f>
        <v>1</v>
      </c>
      <c r="V6536" s="0" t="n">
        <f aca="false">G6536*G6536</f>
        <v>0.0625</v>
      </c>
      <c r="W6536" s="0" t="n">
        <f aca="false">H6536*H6536</f>
        <v>0.25</v>
      </c>
      <c r="X6536" s="0" t="n">
        <f aca="false">SUMPRODUCT(I6536:W6536,_XtX!$B$96:$P$96)</f>
        <v>48.1861385233919</v>
      </c>
      <c r="Y6536" s="0" t="n">
        <f aca="false">SUMPRODUCT(MMULT(I6536:W6536,_XtX!$B$78:$P$92),I6536:W6536)</f>
        <v>0.629174661915205</v>
      </c>
      <c r="Z6536" s="0" t="n">
        <f aca="false">04_回帰ANOVA!$K$19*04_回帰ANOVA!$K$14*SQRT(1+Y6536)</f>
        <v>1.66372758058297</v>
      </c>
      <c r="AA6536" s="0" t="n">
        <f aca="false">X6536-Z6536</f>
        <v>46.5224109428089</v>
      </c>
      <c r="AB6536" s="0" t="n">
        <f aca="false">X6536+Z6536</f>
        <v>49.8498661039748</v>
      </c>
      <c r="AC6536" s="54" t="b">
        <f aca="false">AND(E6536&gt;=01_因子設定!$L$5-0.000000001,E6536&lt;=01_因子設定!$M$5+0.000000001,F6536&gt;=01_因子設定!$L$6-0.000000001,F6536&lt;=01_因子設定!$M$6+0.000000001,G6536&gt;=01_因子設定!$L$7-0.000000001,G6536&lt;=01_因子設定!$M$7+0.000000001,H6536&gt;=01_因子設定!$L$8-0.000000001,H6536&lt;=01_因子設定!$M$8+0.000000001,IF(01_因子設定!$B$20="Box-Behnken",E6536^2+F6536^2+G6536^2+H6536^2&lt;=2+0.000000001,TRUE()))</f>
        <v>1</v>
      </c>
      <c r="AD6536" s="55" t="n">
        <f aca="false">IF(AC6536,IF(01_因子設定!$B$13="最大化",AA6536-01_因子設定!$B$14,IF(01_因子設定!$B$13="最小化",01_因子設定!$B$15-AB6536,MIN(AA6536-01_因子設定!$B$14,01_因子設定!$B$15-AB6536))),-1E+030)</f>
        <v>0.0224109428088752</v>
      </c>
      <c r="AE6536" s="55" t="n">
        <f aca="false">IF(AC6536,IF(01_因子設定!$B$13="最大化",X6536,IF(01_因子設定!$B$13="最小化",-X6536,-ABS(X6536-01_因子設定!$B$16))),-1E+030)</f>
        <v>48.1861385233919</v>
      </c>
      <c r="AF6536" s="55" t="n">
        <f aca="false">AD6536+ROW()*0.000000001</f>
        <v>0.0224174788088752</v>
      </c>
      <c r="AG6536" s="55" t="n">
        <f aca="false">AE6536+ROW()*0.000000001</f>
        <v>48.1861450593919</v>
      </c>
    </row>
    <row r="6537" customFormat="false" ht="15" hidden="false" customHeight="false" outlineLevel="0" collapsed="false">
      <c r="A6537" s="0" t="n">
        <v>8</v>
      </c>
      <c r="B6537" s="0" t="n">
        <v>8</v>
      </c>
      <c r="C6537" s="0" t="n">
        <v>5</v>
      </c>
      <c r="D6537" s="0" t="n">
        <v>7</v>
      </c>
      <c r="E6537" s="0" t="n">
        <f aca="false">-1+A6537*0.25</f>
        <v>1</v>
      </c>
      <c r="F6537" s="0" t="n">
        <f aca="false">-1+B6537*0.25</f>
        <v>1</v>
      </c>
      <c r="G6537" s="0" t="n">
        <f aca="false">-1+C6537*0.25</f>
        <v>0.25</v>
      </c>
      <c r="H6537" s="0" t="n">
        <f aca="false">-1+D6537*0.25</f>
        <v>0.75</v>
      </c>
      <c r="I6537" s="0" t="n">
        <f aca="false">1</f>
        <v>1</v>
      </c>
      <c r="J6537" s="0" t="n">
        <f aca="false">E6537</f>
        <v>1</v>
      </c>
      <c r="K6537" s="0" t="n">
        <f aca="false">F6537</f>
        <v>1</v>
      </c>
      <c r="L6537" s="0" t="n">
        <f aca="false">G6537</f>
        <v>0.25</v>
      </c>
      <c r="M6537" s="0" t="n">
        <f aca="false">H6537</f>
        <v>0.75</v>
      </c>
      <c r="N6537" s="0" t="n">
        <f aca="false">E6537*F6537</f>
        <v>1</v>
      </c>
      <c r="O6537" s="0" t="n">
        <f aca="false">E6537*G6537</f>
        <v>0.25</v>
      </c>
      <c r="P6537" s="0" t="n">
        <f aca="false">E6537*H6537</f>
        <v>0.75</v>
      </c>
      <c r="Q6537" s="0" t="n">
        <f aca="false">F6537*G6537</f>
        <v>0.25</v>
      </c>
      <c r="R6537" s="0" t="n">
        <f aca="false">F6537*H6537</f>
        <v>0.75</v>
      </c>
      <c r="S6537" s="0" t="n">
        <f aca="false">G6537*H6537</f>
        <v>0.1875</v>
      </c>
      <c r="T6537" s="0" t="n">
        <f aca="false">E6537*E6537</f>
        <v>1</v>
      </c>
      <c r="U6537" s="0" t="n">
        <f aca="false">F6537*F6537</f>
        <v>1</v>
      </c>
      <c r="V6537" s="0" t="n">
        <f aca="false">G6537*G6537</f>
        <v>0.0625</v>
      </c>
      <c r="W6537" s="0" t="n">
        <f aca="false">H6537*H6537</f>
        <v>0.5625</v>
      </c>
      <c r="X6537" s="0" t="n">
        <f aca="false">SUMPRODUCT(I6537:W6537,_XtX!$B$96:$P$96)</f>
        <v>48.1641036184211</v>
      </c>
      <c r="Y6537" s="0" t="n">
        <f aca="false">SUMPRODUCT(MMULT(I6537:W6537,_XtX!$B$78:$P$92),I6537:W6537)</f>
        <v>0.621372155975877</v>
      </c>
      <c r="Z6537" s="0" t="n">
        <f aca="false">04_回帰ANOVA!$K$19*04_回帰ANOVA!$K$14*SQRT(1+Y6537)</f>
        <v>1.65973880499872</v>
      </c>
      <c r="AA6537" s="0" t="n">
        <f aca="false">X6537-Z6537</f>
        <v>46.5043648134224</v>
      </c>
      <c r="AB6537" s="0" t="n">
        <f aca="false">X6537+Z6537</f>
        <v>49.8238424234198</v>
      </c>
      <c r="AC6537" s="54" t="b">
        <f aca="false">AND(E6537&gt;=01_因子設定!$L$5-0.000000001,E6537&lt;=01_因子設定!$M$5+0.000000001,F6537&gt;=01_因子設定!$L$6-0.000000001,F6537&lt;=01_因子設定!$M$6+0.000000001,G6537&gt;=01_因子設定!$L$7-0.000000001,G6537&lt;=01_因子設定!$M$7+0.000000001,H6537&gt;=01_因子設定!$L$8-0.000000001,H6537&lt;=01_因子設定!$M$8+0.000000001,IF(01_因子設定!$B$20="Box-Behnken",E6537^2+F6537^2+G6537^2+H6537^2&lt;=2+0.000000001,TRUE()))</f>
        <v>1</v>
      </c>
      <c r="AD6537" s="55" t="n">
        <f aca="false">IF(AC6537,IF(01_因子設定!$B$13="最大化",AA6537-01_因子設定!$B$14,IF(01_因子設定!$B$13="最小化",01_因子設定!$B$15-AB6537,MIN(AA6537-01_因子設定!$B$14,01_因子設定!$B$15-AB6537))),-1E+030)</f>
        <v>0.00436481342237727</v>
      </c>
      <c r="AE6537" s="55" t="n">
        <f aca="false">IF(AC6537,IF(01_因子設定!$B$13="最大化",X6537,IF(01_因子設定!$B$13="最小化",-X6537,-ABS(X6537-01_因子設定!$B$16))),-1E+030)</f>
        <v>48.1641036184211</v>
      </c>
      <c r="AF6537" s="55" t="n">
        <f aca="false">AD6537+ROW()*0.000000001</f>
        <v>0.00437135042237727</v>
      </c>
      <c r="AG6537" s="55" t="n">
        <f aca="false">AE6537+ROW()*0.000000001</f>
        <v>48.1641101554211</v>
      </c>
    </row>
    <row r="6538" customFormat="false" ht="15" hidden="false" customHeight="false" outlineLevel="0" collapsed="false">
      <c r="A6538" s="0" t="n">
        <v>8</v>
      </c>
      <c r="B6538" s="0" t="n">
        <v>8</v>
      </c>
      <c r="C6538" s="0" t="n">
        <v>5</v>
      </c>
      <c r="D6538" s="0" t="n">
        <v>8</v>
      </c>
      <c r="E6538" s="0" t="n">
        <f aca="false">-1+A6538*0.25</f>
        <v>1</v>
      </c>
      <c r="F6538" s="0" t="n">
        <f aca="false">-1+B6538*0.25</f>
        <v>1</v>
      </c>
      <c r="G6538" s="0" t="n">
        <f aca="false">-1+C6538*0.25</f>
        <v>0.25</v>
      </c>
      <c r="H6538" s="0" t="n">
        <f aca="false">-1+D6538*0.25</f>
        <v>1</v>
      </c>
      <c r="I6538" s="0" t="n">
        <f aca="false">1</f>
        <v>1</v>
      </c>
      <c r="J6538" s="0" t="n">
        <f aca="false">E6538</f>
        <v>1</v>
      </c>
      <c r="K6538" s="0" t="n">
        <f aca="false">F6538</f>
        <v>1</v>
      </c>
      <c r="L6538" s="0" t="n">
        <f aca="false">G6538</f>
        <v>0.25</v>
      </c>
      <c r="M6538" s="0" t="n">
        <f aca="false">H6538</f>
        <v>1</v>
      </c>
      <c r="N6538" s="0" t="n">
        <f aca="false">E6538*F6538</f>
        <v>1</v>
      </c>
      <c r="O6538" s="0" t="n">
        <f aca="false">E6538*G6538</f>
        <v>0.25</v>
      </c>
      <c r="P6538" s="0" t="n">
        <f aca="false">E6538*H6538</f>
        <v>1</v>
      </c>
      <c r="Q6538" s="0" t="n">
        <f aca="false">F6538*G6538</f>
        <v>0.25</v>
      </c>
      <c r="R6538" s="0" t="n">
        <f aca="false">F6538*H6538</f>
        <v>1</v>
      </c>
      <c r="S6538" s="0" t="n">
        <f aca="false">G6538*H6538</f>
        <v>0.25</v>
      </c>
      <c r="T6538" s="0" t="n">
        <f aca="false">E6538*E6538</f>
        <v>1</v>
      </c>
      <c r="U6538" s="0" t="n">
        <f aca="false">F6538*F6538</f>
        <v>1</v>
      </c>
      <c r="V6538" s="0" t="n">
        <f aca="false">G6538*G6538</f>
        <v>0.0625</v>
      </c>
      <c r="W6538" s="0" t="n">
        <f aca="false">H6538*H6538</f>
        <v>1</v>
      </c>
      <c r="X6538" s="0" t="n">
        <f aca="false">SUMPRODUCT(I6538:W6538,_XtX!$B$96:$P$96)</f>
        <v>48.0942616959065</v>
      </c>
      <c r="Y6538" s="0" t="n">
        <f aca="false">SUMPRODUCT(MMULT(I6538:W6538,_XtX!$B$78:$P$92),I6538:W6538)</f>
        <v>0.737093384502924</v>
      </c>
      <c r="Z6538" s="0" t="n">
        <f aca="false">04_回帰ANOVA!$K$19*04_回帰ANOVA!$K$14*SQRT(1+Y6538)</f>
        <v>1.71794784853551</v>
      </c>
      <c r="AA6538" s="0" t="n">
        <f aca="false">X6538-Z6538</f>
        <v>46.376313847371</v>
      </c>
      <c r="AB6538" s="0" t="n">
        <f aca="false">X6538+Z6538</f>
        <v>49.812209544442</v>
      </c>
      <c r="AC6538" s="54" t="b">
        <f aca="false">AND(E6538&gt;=01_因子設定!$L$5-0.000000001,E6538&lt;=01_因子設定!$M$5+0.000000001,F6538&gt;=01_因子設定!$L$6-0.000000001,F6538&lt;=01_因子設定!$M$6+0.000000001,G6538&gt;=01_因子設定!$L$7-0.000000001,G6538&lt;=01_因子設定!$M$7+0.000000001,H6538&gt;=01_因子設定!$L$8-0.000000001,H6538&lt;=01_因子設定!$M$8+0.000000001,IF(01_因子設定!$B$20="Box-Behnken",E6538^2+F6538^2+G6538^2+H6538^2&lt;=2+0.000000001,TRUE()))</f>
        <v>1</v>
      </c>
      <c r="AD6538" s="55" t="n">
        <f aca="false">IF(AC6538,IF(01_因子設定!$B$13="最大化",AA6538-01_因子設定!$B$14,IF(01_因子設定!$B$13="最小化",01_因子設定!$B$15-AB6538,MIN(AA6538-01_因子設定!$B$14,01_因子設定!$B$15-AB6538))),-1E+030)</f>
        <v>-0.123686152629013</v>
      </c>
      <c r="AE6538" s="55" t="n">
        <f aca="false">IF(AC6538,IF(01_因子設定!$B$13="最大化",X6538,IF(01_因子設定!$B$13="最小化",-X6538,-ABS(X6538-01_因子設定!$B$16))),-1E+030)</f>
        <v>48.0942616959065</v>
      </c>
      <c r="AF6538" s="55" t="n">
        <f aca="false">AD6538+ROW()*0.000000001</f>
        <v>-0.123679614629013</v>
      </c>
      <c r="AG6538" s="55" t="n">
        <f aca="false">AE6538+ROW()*0.000000001</f>
        <v>48.0942682339065</v>
      </c>
    </row>
    <row r="6539" customFormat="false" ht="15" hidden="false" customHeight="false" outlineLevel="0" collapsed="false">
      <c r="A6539" s="0" t="n">
        <v>8</v>
      </c>
      <c r="B6539" s="0" t="n">
        <v>8</v>
      </c>
      <c r="C6539" s="0" t="n">
        <v>6</v>
      </c>
      <c r="D6539" s="0" t="n">
        <v>0</v>
      </c>
      <c r="E6539" s="0" t="n">
        <f aca="false">-1+A6539*0.25</f>
        <v>1</v>
      </c>
      <c r="F6539" s="0" t="n">
        <f aca="false">-1+B6539*0.25</f>
        <v>1</v>
      </c>
      <c r="G6539" s="0" t="n">
        <f aca="false">-1+C6539*0.25</f>
        <v>0.5</v>
      </c>
      <c r="H6539" s="0" t="n">
        <f aca="false">-1+D6539*0.25</f>
        <v>-1</v>
      </c>
      <c r="I6539" s="0" t="n">
        <f aca="false">1</f>
        <v>1</v>
      </c>
      <c r="J6539" s="0" t="n">
        <f aca="false">E6539</f>
        <v>1</v>
      </c>
      <c r="K6539" s="0" t="n">
        <f aca="false">F6539</f>
        <v>1</v>
      </c>
      <c r="L6539" s="0" t="n">
        <f aca="false">G6539</f>
        <v>0.5</v>
      </c>
      <c r="M6539" s="0" t="n">
        <f aca="false">H6539</f>
        <v>-1</v>
      </c>
      <c r="N6539" s="0" t="n">
        <f aca="false">E6539*F6539</f>
        <v>1</v>
      </c>
      <c r="O6539" s="0" t="n">
        <f aca="false">E6539*G6539</f>
        <v>0.5</v>
      </c>
      <c r="P6539" s="0" t="n">
        <f aca="false">E6539*H6539</f>
        <v>-1</v>
      </c>
      <c r="Q6539" s="0" t="n">
        <f aca="false">F6539*G6539</f>
        <v>0.5</v>
      </c>
      <c r="R6539" s="0" t="n">
        <f aca="false">F6539*H6539</f>
        <v>-1</v>
      </c>
      <c r="S6539" s="0" t="n">
        <f aca="false">G6539*H6539</f>
        <v>-0.5</v>
      </c>
      <c r="T6539" s="0" t="n">
        <f aca="false">E6539*E6539</f>
        <v>1</v>
      </c>
      <c r="U6539" s="0" t="n">
        <f aca="false">F6539*F6539</f>
        <v>1</v>
      </c>
      <c r="V6539" s="0" t="n">
        <f aca="false">G6539*G6539</f>
        <v>0.25</v>
      </c>
      <c r="W6539" s="0" t="n">
        <f aca="false">H6539*H6539</f>
        <v>1</v>
      </c>
      <c r="X6539" s="0" t="n">
        <f aca="false">SUMPRODUCT(I6539:W6539,_XtX!$B$96:$P$96)</f>
        <v>47.2760233918129</v>
      </c>
      <c r="Y6539" s="0" t="n">
        <f aca="false">SUMPRODUCT(MMULT(I6539:W6539,_XtX!$B$78:$P$92),I6539:W6539)</f>
        <v>0.667123538011696</v>
      </c>
      <c r="Z6539" s="0" t="n">
        <f aca="false">04_回帰ANOVA!$K$19*04_回帰ANOVA!$K$14*SQRT(1+Y6539)</f>
        <v>1.68299290213005</v>
      </c>
      <c r="AA6539" s="0" t="n">
        <f aca="false">X6539-Z6539</f>
        <v>45.5930304896829</v>
      </c>
      <c r="AB6539" s="0" t="n">
        <f aca="false">X6539+Z6539</f>
        <v>48.959016293943</v>
      </c>
      <c r="AC6539" s="54" t="b">
        <f aca="false">AND(E6539&gt;=01_因子設定!$L$5-0.000000001,E6539&lt;=01_因子設定!$M$5+0.000000001,F6539&gt;=01_因子設定!$L$6-0.000000001,F6539&lt;=01_因子設定!$M$6+0.000000001,G6539&gt;=01_因子設定!$L$7-0.000000001,G6539&lt;=01_因子設定!$M$7+0.000000001,H6539&gt;=01_因子設定!$L$8-0.000000001,H6539&lt;=01_因子設定!$M$8+0.000000001,IF(01_因子設定!$B$20="Box-Behnken",E6539^2+F6539^2+G6539^2+H6539^2&lt;=2+0.000000001,TRUE()))</f>
        <v>1</v>
      </c>
      <c r="AD6539" s="55" t="n">
        <f aca="false">IF(AC6539,IF(01_因子設定!$B$13="最大化",AA6539-01_因子設定!$B$14,IF(01_因子設定!$B$13="最小化",01_因子設定!$B$15-AB6539,MIN(AA6539-01_因子設定!$B$14,01_因子設定!$B$15-AB6539))),-1E+030)</f>
        <v>-0.906969510317126</v>
      </c>
      <c r="AE6539" s="55" t="n">
        <f aca="false">IF(AC6539,IF(01_因子設定!$B$13="最大化",X6539,IF(01_因子設定!$B$13="最小化",-X6539,-ABS(X6539-01_因子設定!$B$16))),-1E+030)</f>
        <v>47.2760233918129</v>
      </c>
      <c r="AF6539" s="55" t="n">
        <f aca="false">AD6539+ROW()*0.000000001</f>
        <v>-0.906962971317126</v>
      </c>
      <c r="AG6539" s="55" t="n">
        <f aca="false">AE6539+ROW()*0.000000001</f>
        <v>47.2760299308129</v>
      </c>
    </row>
    <row r="6540" customFormat="false" ht="15" hidden="false" customHeight="false" outlineLevel="0" collapsed="false">
      <c r="A6540" s="0" t="n">
        <v>8</v>
      </c>
      <c r="B6540" s="0" t="n">
        <v>8</v>
      </c>
      <c r="C6540" s="0" t="n">
        <v>6</v>
      </c>
      <c r="D6540" s="0" t="n">
        <v>1</v>
      </c>
      <c r="E6540" s="0" t="n">
        <f aca="false">-1+A6540*0.25</f>
        <v>1</v>
      </c>
      <c r="F6540" s="0" t="n">
        <f aca="false">-1+B6540*0.25</f>
        <v>1</v>
      </c>
      <c r="G6540" s="0" t="n">
        <f aca="false">-1+C6540*0.25</f>
        <v>0.5</v>
      </c>
      <c r="H6540" s="0" t="n">
        <f aca="false">-1+D6540*0.25</f>
        <v>-0.75</v>
      </c>
      <c r="I6540" s="0" t="n">
        <f aca="false">1</f>
        <v>1</v>
      </c>
      <c r="J6540" s="0" t="n">
        <f aca="false">E6540</f>
        <v>1</v>
      </c>
      <c r="K6540" s="0" t="n">
        <f aca="false">F6540</f>
        <v>1</v>
      </c>
      <c r="L6540" s="0" t="n">
        <f aca="false">G6540</f>
        <v>0.5</v>
      </c>
      <c r="M6540" s="0" t="n">
        <f aca="false">H6540</f>
        <v>-0.75</v>
      </c>
      <c r="N6540" s="0" t="n">
        <f aca="false">E6540*F6540</f>
        <v>1</v>
      </c>
      <c r="O6540" s="0" t="n">
        <f aca="false">E6540*G6540</f>
        <v>0.5</v>
      </c>
      <c r="P6540" s="0" t="n">
        <f aca="false">E6540*H6540</f>
        <v>-0.75</v>
      </c>
      <c r="Q6540" s="0" t="n">
        <f aca="false">F6540*G6540</f>
        <v>0.5</v>
      </c>
      <c r="R6540" s="0" t="n">
        <f aca="false">F6540*H6540</f>
        <v>-0.75</v>
      </c>
      <c r="S6540" s="0" t="n">
        <f aca="false">G6540*H6540</f>
        <v>-0.375</v>
      </c>
      <c r="T6540" s="0" t="n">
        <f aca="false">E6540*E6540</f>
        <v>1</v>
      </c>
      <c r="U6540" s="0" t="n">
        <f aca="false">F6540*F6540</f>
        <v>1</v>
      </c>
      <c r="V6540" s="0" t="n">
        <f aca="false">G6540*G6540</f>
        <v>0.25</v>
      </c>
      <c r="W6540" s="0" t="n">
        <f aca="false">H6540*H6540</f>
        <v>0.5625</v>
      </c>
      <c r="X6540" s="0" t="n">
        <f aca="false">SUMPRODUCT(I6540:W6540,_XtX!$B$96:$P$96)</f>
        <v>47.5587993421053</v>
      </c>
      <c r="Y6540" s="0" t="n">
        <f aca="false">SUMPRODUCT(MMULT(I6540:W6540,_XtX!$B$78:$P$92),I6540:W6540)</f>
        <v>0.564984237938597</v>
      </c>
      <c r="Z6540" s="0" t="n">
        <f aca="false">04_回帰ANOVA!$K$19*04_回帰ANOVA!$K$14*SQRT(1+Y6540)</f>
        <v>1.63062229734503</v>
      </c>
      <c r="AA6540" s="0" t="n">
        <f aca="false">X6540-Z6540</f>
        <v>45.9281770447603</v>
      </c>
      <c r="AB6540" s="0" t="n">
        <f aca="false">X6540+Z6540</f>
        <v>49.1894216394503</v>
      </c>
      <c r="AC6540" s="54" t="b">
        <f aca="false">AND(E6540&gt;=01_因子設定!$L$5-0.000000001,E6540&lt;=01_因子設定!$M$5+0.000000001,F6540&gt;=01_因子設定!$L$6-0.000000001,F6540&lt;=01_因子設定!$M$6+0.000000001,G6540&gt;=01_因子設定!$L$7-0.000000001,G6540&lt;=01_因子設定!$M$7+0.000000001,H6540&gt;=01_因子設定!$L$8-0.000000001,H6540&lt;=01_因子設定!$M$8+0.000000001,IF(01_因子設定!$B$20="Box-Behnken",E6540^2+F6540^2+G6540^2+H6540^2&lt;=2+0.000000001,TRUE()))</f>
        <v>1</v>
      </c>
      <c r="AD6540" s="55" t="n">
        <f aca="false">IF(AC6540,IF(01_因子設定!$B$13="最大化",AA6540-01_因子設定!$B$14,IF(01_因子設定!$B$13="最小化",01_因子設定!$B$15-AB6540,MIN(AA6540-01_因子設定!$B$14,01_因子設定!$B$15-AB6540))),-1E+030)</f>
        <v>-0.571822955239725</v>
      </c>
      <c r="AE6540" s="55" t="n">
        <f aca="false">IF(AC6540,IF(01_因子設定!$B$13="最大化",X6540,IF(01_因子設定!$B$13="最小化",-X6540,-ABS(X6540-01_因子設定!$B$16))),-1E+030)</f>
        <v>47.5587993421053</v>
      </c>
      <c r="AF6540" s="55" t="n">
        <f aca="false">AD6540+ROW()*0.000000001</f>
        <v>-0.571816415239725</v>
      </c>
      <c r="AG6540" s="55" t="n">
        <f aca="false">AE6540+ROW()*0.000000001</f>
        <v>47.5588058821053</v>
      </c>
    </row>
    <row r="6541" customFormat="false" ht="15" hidden="false" customHeight="false" outlineLevel="0" collapsed="false">
      <c r="A6541" s="0" t="n">
        <v>8</v>
      </c>
      <c r="B6541" s="0" t="n">
        <v>8</v>
      </c>
      <c r="C6541" s="0" t="n">
        <v>6</v>
      </c>
      <c r="D6541" s="0" t="n">
        <v>2</v>
      </c>
      <c r="E6541" s="0" t="n">
        <f aca="false">-1+A6541*0.25</f>
        <v>1</v>
      </c>
      <c r="F6541" s="0" t="n">
        <f aca="false">-1+B6541*0.25</f>
        <v>1</v>
      </c>
      <c r="G6541" s="0" t="n">
        <f aca="false">-1+C6541*0.25</f>
        <v>0.5</v>
      </c>
      <c r="H6541" s="0" t="n">
        <f aca="false">-1+D6541*0.25</f>
        <v>-0.5</v>
      </c>
      <c r="I6541" s="0" t="n">
        <f aca="false">1</f>
        <v>1</v>
      </c>
      <c r="J6541" s="0" t="n">
        <f aca="false">E6541</f>
        <v>1</v>
      </c>
      <c r="K6541" s="0" t="n">
        <f aca="false">F6541</f>
        <v>1</v>
      </c>
      <c r="L6541" s="0" t="n">
        <f aca="false">G6541</f>
        <v>0.5</v>
      </c>
      <c r="M6541" s="0" t="n">
        <f aca="false">H6541</f>
        <v>-0.5</v>
      </c>
      <c r="N6541" s="0" t="n">
        <f aca="false">E6541*F6541</f>
        <v>1</v>
      </c>
      <c r="O6541" s="0" t="n">
        <f aca="false">E6541*G6541</f>
        <v>0.5</v>
      </c>
      <c r="P6541" s="0" t="n">
        <f aca="false">E6541*H6541</f>
        <v>-0.5</v>
      </c>
      <c r="Q6541" s="0" t="n">
        <f aca="false">F6541*G6541</f>
        <v>0.5</v>
      </c>
      <c r="R6541" s="0" t="n">
        <f aca="false">F6541*H6541</f>
        <v>-0.5</v>
      </c>
      <c r="S6541" s="0" t="n">
        <f aca="false">G6541*H6541</f>
        <v>-0.25</v>
      </c>
      <c r="T6541" s="0" t="n">
        <f aca="false">E6541*E6541</f>
        <v>1</v>
      </c>
      <c r="U6541" s="0" t="n">
        <f aca="false">F6541*F6541</f>
        <v>1</v>
      </c>
      <c r="V6541" s="0" t="n">
        <f aca="false">G6541*G6541</f>
        <v>0.25</v>
      </c>
      <c r="W6541" s="0" t="n">
        <f aca="false">H6541*H6541</f>
        <v>0.25</v>
      </c>
      <c r="X6541" s="0" t="n">
        <f aca="false">SUMPRODUCT(I6541:W6541,_XtX!$B$96:$P$96)</f>
        <v>47.7937682748538</v>
      </c>
      <c r="Y6541" s="0" t="n">
        <f aca="false">SUMPRODUCT(MMULT(I6541:W6541,_XtX!$B$78:$P$92),I6541:W6541)</f>
        <v>0.582488121345029</v>
      </c>
      <c r="Z6541" s="0" t="n">
        <f aca="false">04_回帰ANOVA!$K$19*04_回帰ANOVA!$K$14*SQRT(1+Y6541)</f>
        <v>1.63971595338287</v>
      </c>
      <c r="AA6541" s="0" t="n">
        <f aca="false">X6541-Z6541</f>
        <v>46.154052321471</v>
      </c>
      <c r="AB6541" s="0" t="n">
        <f aca="false">X6541+Z6541</f>
        <v>49.4334842282367</v>
      </c>
      <c r="AC6541" s="54" t="b">
        <f aca="false">AND(E6541&gt;=01_因子設定!$L$5-0.000000001,E6541&lt;=01_因子設定!$M$5+0.000000001,F6541&gt;=01_因子設定!$L$6-0.000000001,F6541&lt;=01_因子設定!$M$6+0.000000001,G6541&gt;=01_因子設定!$L$7-0.000000001,G6541&lt;=01_因子設定!$M$7+0.000000001,H6541&gt;=01_因子設定!$L$8-0.000000001,H6541&lt;=01_因子設定!$M$8+0.000000001,IF(01_因子設定!$B$20="Box-Behnken",E6541^2+F6541^2+G6541^2+H6541^2&lt;=2+0.000000001,TRUE()))</f>
        <v>1</v>
      </c>
      <c r="AD6541" s="55" t="n">
        <f aca="false">IF(AC6541,IF(01_因子設定!$B$13="最大化",AA6541-01_因子設定!$B$14,IF(01_因子設定!$B$13="最小化",01_因子設定!$B$15-AB6541,MIN(AA6541-01_因子設定!$B$14,01_因子設定!$B$15-AB6541))),-1E+030)</f>
        <v>-0.345947678529036</v>
      </c>
      <c r="AE6541" s="55" t="n">
        <f aca="false">IF(AC6541,IF(01_因子設定!$B$13="最大化",X6541,IF(01_因子設定!$B$13="最小化",-X6541,-ABS(X6541-01_因子設定!$B$16))),-1E+030)</f>
        <v>47.7937682748538</v>
      </c>
      <c r="AF6541" s="55" t="n">
        <f aca="false">AD6541+ROW()*0.000000001</f>
        <v>-0.345941137529036</v>
      </c>
      <c r="AG6541" s="55" t="n">
        <f aca="false">AE6541+ROW()*0.000000001</f>
        <v>47.7937748158538</v>
      </c>
    </row>
    <row r="6542" customFormat="false" ht="15" hidden="false" customHeight="false" outlineLevel="0" collapsed="false">
      <c r="A6542" s="0" t="n">
        <v>8</v>
      </c>
      <c r="B6542" s="0" t="n">
        <v>8</v>
      </c>
      <c r="C6542" s="0" t="n">
        <v>6</v>
      </c>
      <c r="D6542" s="0" t="n">
        <v>3</v>
      </c>
      <c r="E6542" s="0" t="n">
        <f aca="false">-1+A6542*0.25</f>
        <v>1</v>
      </c>
      <c r="F6542" s="0" t="n">
        <f aca="false">-1+B6542*0.25</f>
        <v>1</v>
      </c>
      <c r="G6542" s="0" t="n">
        <f aca="false">-1+C6542*0.25</f>
        <v>0.5</v>
      </c>
      <c r="H6542" s="0" t="n">
        <f aca="false">-1+D6542*0.25</f>
        <v>-0.25</v>
      </c>
      <c r="I6542" s="0" t="n">
        <f aca="false">1</f>
        <v>1</v>
      </c>
      <c r="J6542" s="0" t="n">
        <f aca="false">E6542</f>
        <v>1</v>
      </c>
      <c r="K6542" s="0" t="n">
        <f aca="false">F6542</f>
        <v>1</v>
      </c>
      <c r="L6542" s="0" t="n">
        <f aca="false">G6542</f>
        <v>0.5</v>
      </c>
      <c r="M6542" s="0" t="n">
        <f aca="false">H6542</f>
        <v>-0.25</v>
      </c>
      <c r="N6542" s="0" t="n">
        <f aca="false">E6542*F6542</f>
        <v>1</v>
      </c>
      <c r="O6542" s="0" t="n">
        <f aca="false">E6542*G6542</f>
        <v>0.5</v>
      </c>
      <c r="P6542" s="0" t="n">
        <f aca="false">E6542*H6542</f>
        <v>-0.25</v>
      </c>
      <c r="Q6542" s="0" t="n">
        <f aca="false">F6542*G6542</f>
        <v>0.5</v>
      </c>
      <c r="R6542" s="0" t="n">
        <f aca="false">F6542*H6542</f>
        <v>-0.25</v>
      </c>
      <c r="S6542" s="0" t="n">
        <f aca="false">G6542*H6542</f>
        <v>-0.125</v>
      </c>
      <c r="T6542" s="0" t="n">
        <f aca="false">E6542*E6542</f>
        <v>1</v>
      </c>
      <c r="U6542" s="0" t="n">
        <f aca="false">F6542*F6542</f>
        <v>1</v>
      </c>
      <c r="V6542" s="0" t="n">
        <f aca="false">G6542*G6542</f>
        <v>0.25</v>
      </c>
      <c r="W6542" s="0" t="n">
        <f aca="false">H6542*H6542</f>
        <v>0.0625</v>
      </c>
      <c r="X6542" s="0" t="n">
        <f aca="false">SUMPRODUCT(I6542:W6542,_XtX!$B$96:$P$96)</f>
        <v>47.9809301900585</v>
      </c>
      <c r="Y6542" s="0" t="n">
        <f aca="false">SUMPRODUCT(MMULT(I6542:W6542,_XtX!$B$78:$P$92),I6542:W6542)</f>
        <v>0.629174661915205</v>
      </c>
      <c r="Z6542" s="0" t="n">
        <f aca="false">04_回帰ANOVA!$K$19*04_回帰ANOVA!$K$14*SQRT(1+Y6542)</f>
        <v>1.66372758058297</v>
      </c>
      <c r="AA6542" s="0" t="n">
        <f aca="false">X6542-Z6542</f>
        <v>46.3172026094755</v>
      </c>
      <c r="AB6542" s="0" t="n">
        <f aca="false">X6542+Z6542</f>
        <v>49.6446577706415</v>
      </c>
      <c r="AC6542" s="54" t="b">
        <f aca="false">AND(E6542&gt;=01_因子設定!$L$5-0.000000001,E6542&lt;=01_因子設定!$M$5+0.000000001,F6542&gt;=01_因子設定!$L$6-0.000000001,F6542&lt;=01_因子設定!$M$6+0.000000001,G6542&gt;=01_因子設定!$L$7-0.000000001,G6542&lt;=01_因子設定!$M$7+0.000000001,H6542&gt;=01_因子設定!$L$8-0.000000001,H6542&lt;=01_因子設定!$M$8+0.000000001,IF(01_因子設定!$B$20="Box-Behnken",E6542^2+F6542^2+G6542^2+H6542^2&lt;=2+0.000000001,TRUE()))</f>
        <v>1</v>
      </c>
      <c r="AD6542" s="55" t="n">
        <f aca="false">IF(AC6542,IF(01_因子設定!$B$13="最大化",AA6542-01_因子設定!$B$14,IF(01_因子設定!$B$13="最小化",01_因子設定!$B$15-AB6542,MIN(AA6542-01_因子設定!$B$14,01_因子設定!$B$15-AB6542))),-1E+030)</f>
        <v>-0.182797390524463</v>
      </c>
      <c r="AE6542" s="55" t="n">
        <f aca="false">IF(AC6542,IF(01_因子設定!$B$13="最大化",X6542,IF(01_因子設定!$B$13="最小化",-X6542,-ABS(X6542-01_因子設定!$B$16))),-1E+030)</f>
        <v>47.9809301900585</v>
      </c>
      <c r="AF6542" s="55" t="n">
        <f aca="false">AD6542+ROW()*0.000000001</f>
        <v>-0.182790848524463</v>
      </c>
      <c r="AG6542" s="55" t="n">
        <f aca="false">AE6542+ROW()*0.000000001</f>
        <v>47.9809367320585</v>
      </c>
    </row>
    <row r="6543" customFormat="false" ht="15" hidden="false" customHeight="false" outlineLevel="0" collapsed="false">
      <c r="A6543" s="0" t="n">
        <v>8</v>
      </c>
      <c r="B6543" s="0" t="n">
        <v>8</v>
      </c>
      <c r="C6543" s="0" t="n">
        <v>6</v>
      </c>
      <c r="D6543" s="0" t="n">
        <v>4</v>
      </c>
      <c r="E6543" s="0" t="n">
        <f aca="false">-1+A6543*0.25</f>
        <v>1</v>
      </c>
      <c r="F6543" s="0" t="n">
        <f aca="false">-1+B6543*0.25</f>
        <v>1</v>
      </c>
      <c r="G6543" s="0" t="n">
        <f aca="false">-1+C6543*0.25</f>
        <v>0.5</v>
      </c>
      <c r="H6543" s="0" t="n">
        <f aca="false">-1+D6543*0.25</f>
        <v>0</v>
      </c>
      <c r="I6543" s="0" t="n">
        <f aca="false">1</f>
        <v>1</v>
      </c>
      <c r="J6543" s="0" t="n">
        <f aca="false">E6543</f>
        <v>1</v>
      </c>
      <c r="K6543" s="0" t="n">
        <f aca="false">F6543</f>
        <v>1</v>
      </c>
      <c r="L6543" s="0" t="n">
        <f aca="false">G6543</f>
        <v>0.5</v>
      </c>
      <c r="M6543" s="0" t="n">
        <f aca="false">H6543</f>
        <v>0</v>
      </c>
      <c r="N6543" s="0" t="n">
        <f aca="false">E6543*F6543</f>
        <v>1</v>
      </c>
      <c r="O6543" s="0" t="n">
        <f aca="false">E6543*G6543</f>
        <v>0.5</v>
      </c>
      <c r="P6543" s="0" t="n">
        <f aca="false">E6543*H6543</f>
        <v>0</v>
      </c>
      <c r="Q6543" s="0" t="n">
        <f aca="false">F6543*G6543</f>
        <v>0.5</v>
      </c>
      <c r="R6543" s="0" t="n">
        <f aca="false">F6543*H6543</f>
        <v>0</v>
      </c>
      <c r="S6543" s="0" t="n">
        <f aca="false">G6543*H6543</f>
        <v>0</v>
      </c>
      <c r="T6543" s="0" t="n">
        <f aca="false">E6543*E6543</f>
        <v>1</v>
      </c>
      <c r="U6543" s="0" t="n">
        <f aca="false">F6543*F6543</f>
        <v>1</v>
      </c>
      <c r="V6543" s="0" t="n">
        <f aca="false">G6543*G6543</f>
        <v>0.25</v>
      </c>
      <c r="W6543" s="0" t="n">
        <f aca="false">H6543*H6543</f>
        <v>0</v>
      </c>
      <c r="X6543" s="0" t="n">
        <f aca="false">SUMPRODUCT(I6543:W6543,_XtX!$B$96:$P$96)</f>
        <v>48.1202850877193</v>
      </c>
      <c r="Y6543" s="0" t="n">
        <f aca="false">SUMPRODUCT(MMULT(I6543:W6543,_XtX!$B$78:$P$92),I6543:W6543)</f>
        <v>0.650767543859649</v>
      </c>
      <c r="Z6543" s="0" t="n">
        <f aca="false">04_回帰ANOVA!$K$19*04_回帰ANOVA!$K$14*SQRT(1+Y6543)</f>
        <v>1.67471670935165</v>
      </c>
      <c r="AA6543" s="0" t="n">
        <f aca="false">X6543-Z6543</f>
        <v>46.4455683783677</v>
      </c>
      <c r="AB6543" s="0" t="n">
        <f aca="false">X6543+Z6543</f>
        <v>49.795001797071</v>
      </c>
      <c r="AC6543" s="54" t="b">
        <f aca="false">AND(E6543&gt;=01_因子設定!$L$5-0.000000001,E6543&lt;=01_因子設定!$M$5+0.000000001,F6543&gt;=01_因子設定!$L$6-0.000000001,F6543&lt;=01_因子設定!$M$6+0.000000001,G6543&gt;=01_因子設定!$L$7-0.000000001,G6543&lt;=01_因子設定!$M$7+0.000000001,H6543&gt;=01_因子設定!$L$8-0.000000001,H6543&lt;=01_因子設定!$M$8+0.000000001,IF(01_因子設定!$B$20="Box-Behnken",E6543^2+F6543^2+G6543^2+H6543^2&lt;=2+0.000000001,TRUE()))</f>
        <v>1</v>
      </c>
      <c r="AD6543" s="55" t="n">
        <f aca="false">IF(AC6543,IF(01_因子設定!$B$13="最大化",AA6543-01_因子設定!$B$14,IF(01_因子設定!$B$13="最小化",01_因子設定!$B$15-AB6543,MIN(AA6543-01_因子設定!$B$14,01_因子設定!$B$15-AB6543))),-1E+030)</f>
        <v>-0.0544316216323253</v>
      </c>
      <c r="AE6543" s="55" t="n">
        <f aca="false">IF(AC6543,IF(01_因子設定!$B$13="最大化",X6543,IF(01_因子設定!$B$13="最小化",-X6543,-ABS(X6543-01_因子設定!$B$16))),-1E+030)</f>
        <v>48.1202850877193</v>
      </c>
      <c r="AF6543" s="55" t="n">
        <f aca="false">AD6543+ROW()*0.000000001</f>
        <v>-0.0544250786323253</v>
      </c>
      <c r="AG6543" s="55" t="n">
        <f aca="false">AE6543+ROW()*0.000000001</f>
        <v>48.1202916307193</v>
      </c>
    </row>
    <row r="6544" customFormat="false" ht="15" hidden="false" customHeight="false" outlineLevel="0" collapsed="false">
      <c r="A6544" s="0" t="n">
        <v>8</v>
      </c>
      <c r="B6544" s="0" t="n">
        <v>8</v>
      </c>
      <c r="C6544" s="0" t="n">
        <v>6</v>
      </c>
      <c r="D6544" s="0" t="n">
        <v>5</v>
      </c>
      <c r="E6544" s="0" t="n">
        <f aca="false">-1+A6544*0.25</f>
        <v>1</v>
      </c>
      <c r="F6544" s="0" t="n">
        <f aca="false">-1+B6544*0.25</f>
        <v>1</v>
      </c>
      <c r="G6544" s="0" t="n">
        <f aca="false">-1+C6544*0.25</f>
        <v>0.5</v>
      </c>
      <c r="H6544" s="0" t="n">
        <f aca="false">-1+D6544*0.25</f>
        <v>0.25</v>
      </c>
      <c r="I6544" s="0" t="n">
        <f aca="false">1</f>
        <v>1</v>
      </c>
      <c r="J6544" s="0" t="n">
        <f aca="false">E6544</f>
        <v>1</v>
      </c>
      <c r="K6544" s="0" t="n">
        <f aca="false">F6544</f>
        <v>1</v>
      </c>
      <c r="L6544" s="0" t="n">
        <f aca="false">G6544</f>
        <v>0.5</v>
      </c>
      <c r="M6544" s="0" t="n">
        <f aca="false">H6544</f>
        <v>0.25</v>
      </c>
      <c r="N6544" s="0" t="n">
        <f aca="false">E6544*F6544</f>
        <v>1</v>
      </c>
      <c r="O6544" s="0" t="n">
        <f aca="false">E6544*G6544</f>
        <v>0.5</v>
      </c>
      <c r="P6544" s="0" t="n">
        <f aca="false">E6544*H6544</f>
        <v>0.25</v>
      </c>
      <c r="Q6544" s="0" t="n">
        <f aca="false">F6544*G6544</f>
        <v>0.5</v>
      </c>
      <c r="R6544" s="0" t="n">
        <f aca="false">F6544*H6544</f>
        <v>0.25</v>
      </c>
      <c r="S6544" s="0" t="n">
        <f aca="false">G6544*H6544</f>
        <v>0.125</v>
      </c>
      <c r="T6544" s="0" t="n">
        <f aca="false">E6544*E6544</f>
        <v>1</v>
      </c>
      <c r="U6544" s="0" t="n">
        <f aca="false">F6544*F6544</f>
        <v>1</v>
      </c>
      <c r="V6544" s="0" t="n">
        <f aca="false">G6544*G6544</f>
        <v>0.25</v>
      </c>
      <c r="W6544" s="0" t="n">
        <f aca="false">H6544*H6544</f>
        <v>0.0625</v>
      </c>
      <c r="X6544" s="0" t="n">
        <f aca="false">SUMPRODUCT(I6544:W6544,_XtX!$B$96:$P$96)</f>
        <v>48.2118329678363</v>
      </c>
      <c r="Y6544" s="0" t="n">
        <f aca="false">SUMPRODUCT(MMULT(I6544:W6544,_XtX!$B$78:$P$92),I6544:W6544)</f>
        <v>0.629174661915205</v>
      </c>
      <c r="Z6544" s="0" t="n">
        <f aca="false">04_回帰ANOVA!$K$19*04_回帰ANOVA!$K$14*SQRT(1+Y6544)</f>
        <v>1.66372758058297</v>
      </c>
      <c r="AA6544" s="0" t="n">
        <f aca="false">X6544-Z6544</f>
        <v>46.5481053872533</v>
      </c>
      <c r="AB6544" s="0" t="n">
        <f aca="false">X6544+Z6544</f>
        <v>49.8755605484193</v>
      </c>
      <c r="AC6544" s="54" t="b">
        <f aca="false">AND(E6544&gt;=01_因子設定!$L$5-0.000000001,E6544&lt;=01_因子設定!$M$5+0.000000001,F6544&gt;=01_因子設定!$L$6-0.000000001,F6544&lt;=01_因子設定!$M$6+0.000000001,G6544&gt;=01_因子設定!$L$7-0.000000001,G6544&lt;=01_因子設定!$M$7+0.000000001,H6544&gt;=01_因子設定!$L$8-0.000000001,H6544&lt;=01_因子設定!$M$8+0.000000001,IF(01_因子設定!$B$20="Box-Behnken",E6544^2+F6544^2+G6544^2+H6544^2&lt;=2+0.000000001,TRUE()))</f>
        <v>1</v>
      </c>
      <c r="AD6544" s="55" t="n">
        <f aca="false">IF(AC6544,IF(01_因子設定!$B$13="最大化",AA6544-01_因子設定!$B$14,IF(01_因子設定!$B$13="最小化",01_因子設定!$B$15-AB6544,MIN(AA6544-01_因子設定!$B$14,01_因子設定!$B$15-AB6544))),-1E+030)</f>
        <v>0.0481053872533153</v>
      </c>
      <c r="AE6544" s="55" t="n">
        <f aca="false">IF(AC6544,IF(01_因子設定!$B$13="最大化",X6544,IF(01_因子設定!$B$13="最小化",-X6544,-ABS(X6544-01_因子設定!$B$16))),-1E+030)</f>
        <v>48.2118329678363</v>
      </c>
      <c r="AF6544" s="55" t="n">
        <f aca="false">AD6544+ROW()*0.000000001</f>
        <v>0.0481119312533153</v>
      </c>
      <c r="AG6544" s="55" t="n">
        <f aca="false">AE6544+ROW()*0.000000001</f>
        <v>48.2118395118363</v>
      </c>
    </row>
    <row r="6545" customFormat="false" ht="15" hidden="false" customHeight="false" outlineLevel="0" collapsed="false">
      <c r="A6545" s="0" t="n">
        <v>8</v>
      </c>
      <c r="B6545" s="0" t="n">
        <v>8</v>
      </c>
      <c r="C6545" s="0" t="n">
        <v>6</v>
      </c>
      <c r="D6545" s="0" t="n">
        <v>6</v>
      </c>
      <c r="E6545" s="0" t="n">
        <f aca="false">-1+A6545*0.25</f>
        <v>1</v>
      </c>
      <c r="F6545" s="0" t="n">
        <f aca="false">-1+B6545*0.25</f>
        <v>1</v>
      </c>
      <c r="G6545" s="0" t="n">
        <f aca="false">-1+C6545*0.25</f>
        <v>0.5</v>
      </c>
      <c r="H6545" s="0" t="n">
        <f aca="false">-1+D6545*0.25</f>
        <v>0.5</v>
      </c>
      <c r="I6545" s="0" t="n">
        <f aca="false">1</f>
        <v>1</v>
      </c>
      <c r="J6545" s="0" t="n">
        <f aca="false">E6545</f>
        <v>1</v>
      </c>
      <c r="K6545" s="0" t="n">
        <f aca="false">F6545</f>
        <v>1</v>
      </c>
      <c r="L6545" s="0" t="n">
        <f aca="false">G6545</f>
        <v>0.5</v>
      </c>
      <c r="M6545" s="0" t="n">
        <f aca="false">H6545</f>
        <v>0.5</v>
      </c>
      <c r="N6545" s="0" t="n">
        <f aca="false">E6545*F6545</f>
        <v>1</v>
      </c>
      <c r="O6545" s="0" t="n">
        <f aca="false">E6545*G6545</f>
        <v>0.5</v>
      </c>
      <c r="P6545" s="0" t="n">
        <f aca="false">E6545*H6545</f>
        <v>0.5</v>
      </c>
      <c r="Q6545" s="0" t="n">
        <f aca="false">F6545*G6545</f>
        <v>0.5</v>
      </c>
      <c r="R6545" s="0" t="n">
        <f aca="false">F6545*H6545</f>
        <v>0.5</v>
      </c>
      <c r="S6545" s="0" t="n">
        <f aca="false">G6545*H6545</f>
        <v>0.25</v>
      </c>
      <c r="T6545" s="0" t="n">
        <f aca="false">E6545*E6545</f>
        <v>1</v>
      </c>
      <c r="U6545" s="0" t="n">
        <f aca="false">F6545*F6545</f>
        <v>1</v>
      </c>
      <c r="V6545" s="0" t="n">
        <f aca="false">G6545*G6545</f>
        <v>0.25</v>
      </c>
      <c r="W6545" s="0" t="n">
        <f aca="false">H6545*H6545</f>
        <v>0.25</v>
      </c>
      <c r="X6545" s="0" t="n">
        <f aca="false">SUMPRODUCT(I6545:W6545,_XtX!$B$96:$P$96)</f>
        <v>48.2555738304094</v>
      </c>
      <c r="Y6545" s="0" t="n">
        <f aca="false">SUMPRODUCT(MMULT(I6545:W6545,_XtX!$B$78:$P$92),I6545:W6545)</f>
        <v>0.582488121345029</v>
      </c>
      <c r="Z6545" s="0" t="n">
        <f aca="false">04_回帰ANOVA!$K$19*04_回帰ANOVA!$K$14*SQRT(1+Y6545)</f>
        <v>1.63971595338287</v>
      </c>
      <c r="AA6545" s="0" t="n">
        <f aca="false">X6545-Z6545</f>
        <v>46.6158578770265</v>
      </c>
      <c r="AB6545" s="0" t="n">
        <f aca="false">X6545+Z6545</f>
        <v>49.8952897837923</v>
      </c>
      <c r="AC6545" s="54" t="b">
        <f aca="false">AND(E6545&gt;=01_因子設定!$L$5-0.000000001,E6545&lt;=01_因子設定!$M$5+0.000000001,F6545&gt;=01_因子設定!$L$6-0.000000001,F6545&lt;=01_因子設定!$M$6+0.000000001,G6545&gt;=01_因子設定!$L$7-0.000000001,G6545&lt;=01_因子設定!$M$7+0.000000001,H6545&gt;=01_因子設定!$L$8-0.000000001,H6545&lt;=01_因子設定!$M$8+0.000000001,IF(01_因子設定!$B$20="Box-Behnken",E6545^2+F6545^2+G6545^2+H6545^2&lt;=2+0.000000001,TRUE()))</f>
        <v>1</v>
      </c>
      <c r="AD6545" s="55" t="n">
        <f aca="false">IF(AC6545,IF(01_因子設定!$B$13="最大化",AA6545-01_因子設定!$B$14,IF(01_因子設定!$B$13="最小化",01_因子設定!$B$15-AB6545,MIN(AA6545-01_因子設定!$B$14,01_因子設定!$B$15-AB6545))),-1E+030)</f>
        <v>0.115857877026521</v>
      </c>
      <c r="AE6545" s="55" t="n">
        <f aca="false">IF(AC6545,IF(01_因子設定!$B$13="最大化",X6545,IF(01_因子設定!$B$13="最小化",-X6545,-ABS(X6545-01_因子設定!$B$16))),-1E+030)</f>
        <v>48.2555738304094</v>
      </c>
      <c r="AF6545" s="55" t="n">
        <f aca="false">AD6545+ROW()*0.000000001</f>
        <v>0.115864422026521</v>
      </c>
      <c r="AG6545" s="55" t="n">
        <f aca="false">AE6545+ROW()*0.000000001</f>
        <v>48.2555803754094</v>
      </c>
    </row>
    <row r="6546" customFormat="false" ht="15" hidden="false" customHeight="false" outlineLevel="0" collapsed="false">
      <c r="A6546" s="0" t="n">
        <v>8</v>
      </c>
      <c r="B6546" s="0" t="n">
        <v>8</v>
      </c>
      <c r="C6546" s="0" t="n">
        <v>6</v>
      </c>
      <c r="D6546" s="0" t="n">
        <v>7</v>
      </c>
      <c r="E6546" s="0" t="n">
        <f aca="false">-1+A6546*0.25</f>
        <v>1</v>
      </c>
      <c r="F6546" s="0" t="n">
        <f aca="false">-1+B6546*0.25</f>
        <v>1</v>
      </c>
      <c r="G6546" s="0" t="n">
        <f aca="false">-1+C6546*0.25</f>
        <v>0.5</v>
      </c>
      <c r="H6546" s="0" t="n">
        <f aca="false">-1+D6546*0.25</f>
        <v>0.75</v>
      </c>
      <c r="I6546" s="0" t="n">
        <f aca="false">1</f>
        <v>1</v>
      </c>
      <c r="J6546" s="0" t="n">
        <f aca="false">E6546</f>
        <v>1</v>
      </c>
      <c r="K6546" s="0" t="n">
        <f aca="false">F6546</f>
        <v>1</v>
      </c>
      <c r="L6546" s="0" t="n">
        <f aca="false">G6546</f>
        <v>0.5</v>
      </c>
      <c r="M6546" s="0" t="n">
        <f aca="false">H6546</f>
        <v>0.75</v>
      </c>
      <c r="N6546" s="0" t="n">
        <f aca="false">E6546*F6546</f>
        <v>1</v>
      </c>
      <c r="O6546" s="0" t="n">
        <f aca="false">E6546*G6546</f>
        <v>0.5</v>
      </c>
      <c r="P6546" s="0" t="n">
        <f aca="false">E6546*H6546</f>
        <v>0.75</v>
      </c>
      <c r="Q6546" s="0" t="n">
        <f aca="false">F6546*G6546</f>
        <v>0.5</v>
      </c>
      <c r="R6546" s="0" t="n">
        <f aca="false">F6546*H6546</f>
        <v>0.75</v>
      </c>
      <c r="S6546" s="0" t="n">
        <f aca="false">G6546*H6546</f>
        <v>0.375</v>
      </c>
      <c r="T6546" s="0" t="n">
        <f aca="false">E6546*E6546</f>
        <v>1</v>
      </c>
      <c r="U6546" s="0" t="n">
        <f aca="false">F6546*F6546</f>
        <v>1</v>
      </c>
      <c r="V6546" s="0" t="n">
        <f aca="false">G6546*G6546</f>
        <v>0.25</v>
      </c>
      <c r="W6546" s="0" t="n">
        <f aca="false">H6546*H6546</f>
        <v>0.5625</v>
      </c>
      <c r="X6546" s="0" t="n">
        <f aca="false">SUMPRODUCT(I6546:W6546,_XtX!$B$96:$P$96)</f>
        <v>48.2515076754386</v>
      </c>
      <c r="Y6546" s="0" t="n">
        <f aca="false">SUMPRODUCT(MMULT(I6546:W6546,_XtX!$B$78:$P$92),I6546:W6546)</f>
        <v>0.564984237938597</v>
      </c>
      <c r="Z6546" s="0" t="n">
        <f aca="false">04_回帰ANOVA!$K$19*04_回帰ANOVA!$K$14*SQRT(1+Y6546)</f>
        <v>1.63062229734503</v>
      </c>
      <c r="AA6546" s="0" t="n">
        <f aca="false">X6546-Z6546</f>
        <v>46.6208853780936</v>
      </c>
      <c r="AB6546" s="0" t="n">
        <f aca="false">X6546+Z6546</f>
        <v>49.8821299727837</v>
      </c>
      <c r="AC6546" s="54" t="b">
        <f aca="false">AND(E6546&gt;=01_因子設定!$L$5-0.000000001,E6546&lt;=01_因子設定!$M$5+0.000000001,F6546&gt;=01_因子設定!$L$6-0.000000001,F6546&lt;=01_因子設定!$M$6+0.000000001,G6546&gt;=01_因子設定!$L$7-0.000000001,G6546&lt;=01_因子設定!$M$7+0.000000001,H6546&gt;=01_因子設定!$L$8-0.000000001,H6546&lt;=01_因子設定!$M$8+0.000000001,IF(01_因子設定!$B$20="Box-Behnken",E6546^2+F6546^2+G6546^2+H6546^2&lt;=2+0.000000001,TRUE()))</f>
        <v>1</v>
      </c>
      <c r="AD6546" s="55" t="n">
        <f aca="false">IF(AC6546,IF(01_因子設定!$B$13="最大化",AA6546-01_因子設定!$B$14,IF(01_因子設定!$B$13="最小化",01_因子設定!$B$15-AB6546,MIN(AA6546-01_因子設定!$B$14,01_因子設定!$B$15-AB6546))),-1E+030)</f>
        <v>0.120885378093604</v>
      </c>
      <c r="AE6546" s="55" t="n">
        <f aca="false">IF(AC6546,IF(01_因子設定!$B$13="最大化",X6546,IF(01_因子設定!$B$13="最小化",-X6546,-ABS(X6546-01_因子設定!$B$16))),-1E+030)</f>
        <v>48.2515076754386</v>
      </c>
      <c r="AF6546" s="55" t="n">
        <f aca="false">AD6546+ROW()*0.000000001</f>
        <v>0.120891924093604</v>
      </c>
      <c r="AG6546" s="55" t="n">
        <f aca="false">AE6546+ROW()*0.000000001</f>
        <v>48.2515142214386</v>
      </c>
    </row>
    <row r="6547" customFormat="false" ht="15" hidden="false" customHeight="false" outlineLevel="0" collapsed="false">
      <c r="A6547" s="0" t="n">
        <v>8</v>
      </c>
      <c r="B6547" s="0" t="n">
        <v>8</v>
      </c>
      <c r="C6547" s="0" t="n">
        <v>6</v>
      </c>
      <c r="D6547" s="0" t="n">
        <v>8</v>
      </c>
      <c r="E6547" s="0" t="n">
        <f aca="false">-1+A6547*0.25</f>
        <v>1</v>
      </c>
      <c r="F6547" s="0" t="n">
        <f aca="false">-1+B6547*0.25</f>
        <v>1</v>
      </c>
      <c r="G6547" s="0" t="n">
        <f aca="false">-1+C6547*0.25</f>
        <v>0.5</v>
      </c>
      <c r="H6547" s="0" t="n">
        <f aca="false">-1+D6547*0.25</f>
        <v>1</v>
      </c>
      <c r="I6547" s="0" t="n">
        <f aca="false">1</f>
        <v>1</v>
      </c>
      <c r="J6547" s="0" t="n">
        <f aca="false">E6547</f>
        <v>1</v>
      </c>
      <c r="K6547" s="0" t="n">
        <f aca="false">F6547</f>
        <v>1</v>
      </c>
      <c r="L6547" s="0" t="n">
        <f aca="false">G6547</f>
        <v>0.5</v>
      </c>
      <c r="M6547" s="0" t="n">
        <f aca="false">H6547</f>
        <v>1</v>
      </c>
      <c r="N6547" s="0" t="n">
        <f aca="false">E6547*F6547</f>
        <v>1</v>
      </c>
      <c r="O6547" s="0" t="n">
        <f aca="false">E6547*G6547</f>
        <v>0.5</v>
      </c>
      <c r="P6547" s="0" t="n">
        <f aca="false">E6547*H6547</f>
        <v>1</v>
      </c>
      <c r="Q6547" s="0" t="n">
        <f aca="false">F6547*G6547</f>
        <v>0.5</v>
      </c>
      <c r="R6547" s="0" t="n">
        <f aca="false">F6547*H6547</f>
        <v>1</v>
      </c>
      <c r="S6547" s="0" t="n">
        <f aca="false">G6547*H6547</f>
        <v>0.5</v>
      </c>
      <c r="T6547" s="0" t="n">
        <f aca="false">E6547*E6547</f>
        <v>1</v>
      </c>
      <c r="U6547" s="0" t="n">
        <f aca="false">F6547*F6547</f>
        <v>1</v>
      </c>
      <c r="V6547" s="0" t="n">
        <f aca="false">G6547*G6547</f>
        <v>0.25</v>
      </c>
      <c r="W6547" s="0" t="n">
        <f aca="false">H6547*H6547</f>
        <v>1</v>
      </c>
      <c r="X6547" s="0" t="n">
        <f aca="false">SUMPRODUCT(I6547:W6547,_XtX!$B$96:$P$96)</f>
        <v>48.199634502924</v>
      </c>
      <c r="Y6547" s="0" t="n">
        <f aca="false">SUMPRODUCT(MMULT(I6547:W6547,_XtX!$B$78:$P$92),I6547:W6547)</f>
        <v>0.667123538011696</v>
      </c>
      <c r="Z6547" s="0" t="n">
        <f aca="false">04_回帰ANOVA!$K$19*04_回帰ANOVA!$K$14*SQRT(1+Y6547)</f>
        <v>1.68299290213005</v>
      </c>
      <c r="AA6547" s="0" t="n">
        <f aca="false">X6547-Z6547</f>
        <v>46.516641600794</v>
      </c>
      <c r="AB6547" s="0" t="n">
        <f aca="false">X6547+Z6547</f>
        <v>49.8826274050541</v>
      </c>
      <c r="AC6547" s="54" t="b">
        <f aca="false">AND(E6547&gt;=01_因子設定!$L$5-0.000000001,E6547&lt;=01_因子設定!$M$5+0.000000001,F6547&gt;=01_因子設定!$L$6-0.000000001,F6547&lt;=01_因子設定!$M$6+0.000000001,G6547&gt;=01_因子設定!$L$7-0.000000001,G6547&lt;=01_因子設定!$M$7+0.000000001,H6547&gt;=01_因子設定!$L$8-0.000000001,H6547&lt;=01_因子設定!$M$8+0.000000001,IF(01_因子設定!$B$20="Box-Behnken",E6547^2+F6547^2+G6547^2+H6547^2&lt;=2+0.000000001,TRUE()))</f>
        <v>1</v>
      </c>
      <c r="AD6547" s="55" t="n">
        <f aca="false">IF(AC6547,IF(01_因子設定!$B$13="最大化",AA6547-01_因子設定!$B$14,IF(01_因子設定!$B$13="最小化",01_因子設定!$B$15-AB6547,MIN(AA6547-01_因子設定!$B$14,01_因子設定!$B$15-AB6547))),-1E+030)</f>
        <v>0.0166416007939816</v>
      </c>
      <c r="AE6547" s="55" t="n">
        <f aca="false">IF(AC6547,IF(01_因子設定!$B$13="最大化",X6547,IF(01_因子設定!$B$13="最小化",-X6547,-ABS(X6547-01_因子設定!$B$16))),-1E+030)</f>
        <v>48.199634502924</v>
      </c>
      <c r="AF6547" s="55" t="n">
        <f aca="false">AD6547+ROW()*0.000000001</f>
        <v>0.0166481477939816</v>
      </c>
      <c r="AG6547" s="55" t="n">
        <f aca="false">AE6547+ROW()*0.000000001</f>
        <v>48.199641049924</v>
      </c>
    </row>
    <row r="6548" customFormat="false" ht="15" hidden="false" customHeight="false" outlineLevel="0" collapsed="false">
      <c r="A6548" s="0" t="n">
        <v>8</v>
      </c>
      <c r="B6548" s="0" t="n">
        <v>8</v>
      </c>
      <c r="C6548" s="0" t="n">
        <v>7</v>
      </c>
      <c r="D6548" s="0" t="n">
        <v>0</v>
      </c>
      <c r="E6548" s="0" t="n">
        <f aca="false">-1+A6548*0.25</f>
        <v>1</v>
      </c>
      <c r="F6548" s="0" t="n">
        <f aca="false">-1+B6548*0.25</f>
        <v>1</v>
      </c>
      <c r="G6548" s="0" t="n">
        <f aca="false">-1+C6548*0.25</f>
        <v>0.75</v>
      </c>
      <c r="H6548" s="0" t="n">
        <f aca="false">-1+D6548*0.25</f>
        <v>-1</v>
      </c>
      <c r="I6548" s="0" t="n">
        <f aca="false">1</f>
        <v>1</v>
      </c>
      <c r="J6548" s="0" t="n">
        <f aca="false">E6548</f>
        <v>1</v>
      </c>
      <c r="K6548" s="0" t="n">
        <f aca="false">F6548</f>
        <v>1</v>
      </c>
      <c r="L6548" s="0" t="n">
        <f aca="false">G6548</f>
        <v>0.75</v>
      </c>
      <c r="M6548" s="0" t="n">
        <f aca="false">H6548</f>
        <v>-1</v>
      </c>
      <c r="N6548" s="0" t="n">
        <f aca="false">E6548*F6548</f>
        <v>1</v>
      </c>
      <c r="O6548" s="0" t="n">
        <f aca="false">E6548*G6548</f>
        <v>0.75</v>
      </c>
      <c r="P6548" s="0" t="n">
        <f aca="false">E6548*H6548</f>
        <v>-1</v>
      </c>
      <c r="Q6548" s="0" t="n">
        <f aca="false">F6548*G6548</f>
        <v>0.75</v>
      </c>
      <c r="R6548" s="0" t="n">
        <f aca="false">F6548*H6548</f>
        <v>-1</v>
      </c>
      <c r="S6548" s="0" t="n">
        <f aca="false">G6548*H6548</f>
        <v>-0.75</v>
      </c>
      <c r="T6548" s="0" t="n">
        <f aca="false">E6548*E6548</f>
        <v>1</v>
      </c>
      <c r="U6548" s="0" t="n">
        <f aca="false">F6548*F6548</f>
        <v>1</v>
      </c>
      <c r="V6548" s="0" t="n">
        <f aca="false">G6548*G6548</f>
        <v>0.5625</v>
      </c>
      <c r="W6548" s="0" t="n">
        <f aca="false">H6548*H6548</f>
        <v>1</v>
      </c>
      <c r="X6548" s="0" t="n">
        <f aca="false">SUMPRODUCT(I6548:W6548,_XtX!$B$96:$P$96)</f>
        <v>47.1523391812866</v>
      </c>
      <c r="Y6548" s="0" t="n">
        <f aca="false">SUMPRODUCT(MMULT(I6548:W6548,_XtX!$B$78:$P$92),I6548:W6548)</f>
        <v>0.610814144736842</v>
      </c>
      <c r="Z6548" s="0" t="n">
        <f aca="false">04_回帰ANOVA!$K$19*04_回帰ANOVA!$K$14*SQRT(1+Y6548)</f>
        <v>1.6543260558361</v>
      </c>
      <c r="AA6548" s="0" t="n">
        <f aca="false">X6548-Z6548</f>
        <v>45.4980131254505</v>
      </c>
      <c r="AB6548" s="0" t="n">
        <f aca="false">X6548+Z6548</f>
        <v>48.8066652371227</v>
      </c>
      <c r="AC6548" s="54" t="b">
        <f aca="false">AND(E6548&gt;=01_因子設定!$L$5-0.000000001,E6548&lt;=01_因子設定!$M$5+0.000000001,F6548&gt;=01_因子設定!$L$6-0.000000001,F6548&lt;=01_因子設定!$M$6+0.000000001,G6548&gt;=01_因子設定!$L$7-0.000000001,G6548&lt;=01_因子設定!$M$7+0.000000001,H6548&gt;=01_因子設定!$L$8-0.000000001,H6548&lt;=01_因子設定!$M$8+0.000000001,IF(01_因子設定!$B$20="Box-Behnken",E6548^2+F6548^2+G6548^2+H6548^2&lt;=2+0.000000001,TRUE()))</f>
        <v>1</v>
      </c>
      <c r="AD6548" s="55" t="n">
        <f aca="false">IF(AC6548,IF(01_因子設定!$B$13="最大化",AA6548-01_因子設定!$B$14,IF(01_因子設定!$B$13="最小化",01_因子設定!$B$15-AB6548,MIN(AA6548-01_因子設定!$B$14,01_因子設定!$B$15-AB6548))),-1E+030)</f>
        <v>-1.00198687454948</v>
      </c>
      <c r="AE6548" s="55" t="n">
        <f aca="false">IF(AC6548,IF(01_因子設定!$B$13="最大化",X6548,IF(01_因子設定!$B$13="最小化",-X6548,-ABS(X6548-01_因子設定!$B$16))),-1E+030)</f>
        <v>47.1523391812866</v>
      </c>
      <c r="AF6548" s="55" t="n">
        <f aca="false">AD6548+ROW()*0.000000001</f>
        <v>-1.00198032654948</v>
      </c>
      <c r="AG6548" s="55" t="n">
        <f aca="false">AE6548+ROW()*0.000000001</f>
        <v>47.1523457292866</v>
      </c>
    </row>
    <row r="6549" customFormat="false" ht="15" hidden="false" customHeight="false" outlineLevel="0" collapsed="false">
      <c r="A6549" s="0" t="n">
        <v>8</v>
      </c>
      <c r="B6549" s="0" t="n">
        <v>8</v>
      </c>
      <c r="C6549" s="0" t="n">
        <v>7</v>
      </c>
      <c r="D6549" s="0" t="n">
        <v>1</v>
      </c>
      <c r="E6549" s="0" t="n">
        <f aca="false">-1+A6549*0.25</f>
        <v>1</v>
      </c>
      <c r="F6549" s="0" t="n">
        <f aca="false">-1+B6549*0.25</f>
        <v>1</v>
      </c>
      <c r="G6549" s="0" t="n">
        <f aca="false">-1+C6549*0.25</f>
        <v>0.75</v>
      </c>
      <c r="H6549" s="0" t="n">
        <f aca="false">-1+D6549*0.25</f>
        <v>-0.75</v>
      </c>
      <c r="I6549" s="0" t="n">
        <f aca="false">1</f>
        <v>1</v>
      </c>
      <c r="J6549" s="0" t="n">
        <f aca="false">E6549</f>
        <v>1</v>
      </c>
      <c r="K6549" s="0" t="n">
        <f aca="false">F6549</f>
        <v>1</v>
      </c>
      <c r="L6549" s="0" t="n">
        <f aca="false">G6549</f>
        <v>0.75</v>
      </c>
      <c r="M6549" s="0" t="n">
        <f aca="false">H6549</f>
        <v>-0.75</v>
      </c>
      <c r="N6549" s="0" t="n">
        <f aca="false">E6549*F6549</f>
        <v>1</v>
      </c>
      <c r="O6549" s="0" t="n">
        <f aca="false">E6549*G6549</f>
        <v>0.75</v>
      </c>
      <c r="P6549" s="0" t="n">
        <f aca="false">E6549*H6549</f>
        <v>-0.75</v>
      </c>
      <c r="Q6549" s="0" t="n">
        <f aca="false">F6549*G6549</f>
        <v>0.75</v>
      </c>
      <c r="R6549" s="0" t="n">
        <f aca="false">F6549*H6549</f>
        <v>-0.75</v>
      </c>
      <c r="S6549" s="0" t="n">
        <f aca="false">G6549*H6549</f>
        <v>-0.5625</v>
      </c>
      <c r="T6549" s="0" t="n">
        <f aca="false">E6549*E6549</f>
        <v>1</v>
      </c>
      <c r="U6549" s="0" t="n">
        <f aca="false">F6549*F6549</f>
        <v>1</v>
      </c>
      <c r="V6549" s="0" t="n">
        <f aca="false">G6549*G6549</f>
        <v>0.5625</v>
      </c>
      <c r="W6549" s="0" t="n">
        <f aca="false">H6549*H6549</f>
        <v>0.5625</v>
      </c>
      <c r="X6549" s="0" t="n">
        <f aca="false">SUMPRODUCT(I6549:W6549,_XtX!$B$96:$P$96)</f>
        <v>47.453083881579</v>
      </c>
      <c r="Y6549" s="0" t="n">
        <f aca="false">SUMPRODUCT(MMULT(I6549:W6549,_XtX!$B$78:$P$92),I6549:W6549)</f>
        <v>0.531311392086988</v>
      </c>
      <c r="Z6549" s="0" t="n">
        <f aca="false">04_回帰ANOVA!$K$19*04_回帰ANOVA!$K$14*SQRT(1+Y6549)</f>
        <v>1.61298433431428</v>
      </c>
      <c r="AA6549" s="0" t="n">
        <f aca="false">X6549-Z6549</f>
        <v>45.8400995472647</v>
      </c>
      <c r="AB6549" s="0" t="n">
        <f aca="false">X6549+Z6549</f>
        <v>49.0660682158933</v>
      </c>
      <c r="AC6549" s="54" t="b">
        <f aca="false">AND(E6549&gt;=01_因子設定!$L$5-0.000000001,E6549&lt;=01_因子設定!$M$5+0.000000001,F6549&gt;=01_因子設定!$L$6-0.000000001,F6549&lt;=01_因子設定!$M$6+0.000000001,G6549&gt;=01_因子設定!$L$7-0.000000001,G6549&lt;=01_因子設定!$M$7+0.000000001,H6549&gt;=01_因子設定!$L$8-0.000000001,H6549&lt;=01_因子設定!$M$8+0.000000001,IF(01_因子設定!$B$20="Box-Behnken",E6549^2+F6549^2+G6549^2+H6549^2&lt;=2+0.000000001,TRUE()))</f>
        <v>1</v>
      </c>
      <c r="AD6549" s="55" t="n">
        <f aca="false">IF(AC6549,IF(01_因子設定!$B$13="最大化",AA6549-01_因子設定!$B$14,IF(01_因子設定!$B$13="最小化",01_因子設定!$B$15-AB6549,MIN(AA6549-01_因子設定!$B$14,01_因子設定!$B$15-AB6549))),-1E+030)</f>
        <v>-0.659900452735286</v>
      </c>
      <c r="AE6549" s="55" t="n">
        <f aca="false">IF(AC6549,IF(01_因子設定!$B$13="最大化",X6549,IF(01_因子設定!$B$13="最小化",-X6549,-ABS(X6549-01_因子設定!$B$16))),-1E+030)</f>
        <v>47.453083881579</v>
      </c>
      <c r="AF6549" s="55" t="n">
        <f aca="false">AD6549+ROW()*0.000000001</f>
        <v>-0.659893903735286</v>
      </c>
      <c r="AG6549" s="55" t="n">
        <f aca="false">AE6549+ROW()*0.000000001</f>
        <v>47.453090430579</v>
      </c>
    </row>
    <row r="6550" customFormat="false" ht="15" hidden="false" customHeight="false" outlineLevel="0" collapsed="false">
      <c r="A6550" s="0" t="n">
        <v>8</v>
      </c>
      <c r="B6550" s="0" t="n">
        <v>8</v>
      </c>
      <c r="C6550" s="0" t="n">
        <v>7</v>
      </c>
      <c r="D6550" s="0" t="n">
        <v>2</v>
      </c>
      <c r="E6550" s="0" t="n">
        <f aca="false">-1+A6550*0.25</f>
        <v>1</v>
      </c>
      <c r="F6550" s="0" t="n">
        <f aca="false">-1+B6550*0.25</f>
        <v>1</v>
      </c>
      <c r="G6550" s="0" t="n">
        <f aca="false">-1+C6550*0.25</f>
        <v>0.75</v>
      </c>
      <c r="H6550" s="0" t="n">
        <f aca="false">-1+D6550*0.25</f>
        <v>-0.5</v>
      </c>
      <c r="I6550" s="0" t="n">
        <f aca="false">1</f>
        <v>1</v>
      </c>
      <c r="J6550" s="0" t="n">
        <f aca="false">E6550</f>
        <v>1</v>
      </c>
      <c r="K6550" s="0" t="n">
        <f aca="false">F6550</f>
        <v>1</v>
      </c>
      <c r="L6550" s="0" t="n">
        <f aca="false">G6550</f>
        <v>0.75</v>
      </c>
      <c r="M6550" s="0" t="n">
        <f aca="false">H6550</f>
        <v>-0.5</v>
      </c>
      <c r="N6550" s="0" t="n">
        <f aca="false">E6550*F6550</f>
        <v>1</v>
      </c>
      <c r="O6550" s="0" t="n">
        <f aca="false">E6550*G6550</f>
        <v>0.75</v>
      </c>
      <c r="P6550" s="0" t="n">
        <f aca="false">E6550*H6550</f>
        <v>-0.5</v>
      </c>
      <c r="Q6550" s="0" t="n">
        <f aca="false">F6550*G6550</f>
        <v>0.75</v>
      </c>
      <c r="R6550" s="0" t="n">
        <f aca="false">F6550*H6550</f>
        <v>-0.5</v>
      </c>
      <c r="S6550" s="0" t="n">
        <f aca="false">G6550*H6550</f>
        <v>-0.375</v>
      </c>
      <c r="T6550" s="0" t="n">
        <f aca="false">E6550*E6550</f>
        <v>1</v>
      </c>
      <c r="U6550" s="0" t="n">
        <f aca="false">F6550*F6550</f>
        <v>1</v>
      </c>
      <c r="V6550" s="0" t="n">
        <f aca="false">G6550*G6550</f>
        <v>0.5625</v>
      </c>
      <c r="W6550" s="0" t="n">
        <f aca="false">H6550*H6550</f>
        <v>0.25</v>
      </c>
      <c r="X6550" s="0" t="n">
        <f aca="false">SUMPRODUCT(I6550:W6550,_XtX!$B$96:$P$96)</f>
        <v>47.7060215643275</v>
      </c>
      <c r="Y6550" s="0" t="n">
        <f aca="false">SUMPRODUCT(MMULT(I6550:W6550,_XtX!$B$78:$P$92),I6550:W6550)</f>
        <v>0.564984237938597</v>
      </c>
      <c r="Z6550" s="0" t="n">
        <f aca="false">04_回帰ANOVA!$K$19*04_回帰ANOVA!$K$14*SQRT(1+Y6550)</f>
        <v>1.63062229734503</v>
      </c>
      <c r="AA6550" s="0" t="n">
        <f aca="false">X6550-Z6550</f>
        <v>46.0753992669825</v>
      </c>
      <c r="AB6550" s="0" t="n">
        <f aca="false">X6550+Z6550</f>
        <v>49.3366438616726</v>
      </c>
      <c r="AC6550" s="54" t="b">
        <f aca="false">AND(E6550&gt;=01_因子設定!$L$5-0.000000001,E6550&lt;=01_因子設定!$M$5+0.000000001,F6550&gt;=01_因子設定!$L$6-0.000000001,F6550&lt;=01_因子設定!$M$6+0.000000001,G6550&gt;=01_因子設定!$L$7-0.000000001,G6550&lt;=01_因子設定!$M$7+0.000000001,H6550&gt;=01_因子設定!$L$8-0.000000001,H6550&lt;=01_因子設定!$M$8+0.000000001,IF(01_因子設定!$B$20="Box-Behnken",E6550^2+F6550^2+G6550^2+H6550^2&lt;=2+0.000000001,TRUE()))</f>
        <v>1</v>
      </c>
      <c r="AD6550" s="55" t="n">
        <f aca="false">IF(AC6550,IF(01_因子設定!$B$13="最大化",AA6550-01_因子設定!$B$14,IF(01_因子設定!$B$13="最小化",01_因子設定!$B$15-AB6550,MIN(AA6550-01_因子設定!$B$14,01_因子設定!$B$15-AB6550))),-1E+030)</f>
        <v>-0.424600733017513</v>
      </c>
      <c r="AE6550" s="55" t="n">
        <f aca="false">IF(AC6550,IF(01_因子設定!$B$13="最大化",X6550,IF(01_因子設定!$B$13="最小化",-X6550,-ABS(X6550-01_因子設定!$B$16))),-1E+030)</f>
        <v>47.7060215643275</v>
      </c>
      <c r="AF6550" s="55" t="n">
        <f aca="false">AD6550+ROW()*0.000000001</f>
        <v>-0.424594183017513</v>
      </c>
      <c r="AG6550" s="55" t="n">
        <f aca="false">AE6550+ROW()*0.000000001</f>
        <v>47.7060281143275</v>
      </c>
    </row>
    <row r="6551" customFormat="false" ht="15" hidden="false" customHeight="false" outlineLevel="0" collapsed="false">
      <c r="A6551" s="0" t="n">
        <v>8</v>
      </c>
      <c r="B6551" s="0" t="n">
        <v>8</v>
      </c>
      <c r="C6551" s="0" t="n">
        <v>7</v>
      </c>
      <c r="D6551" s="0" t="n">
        <v>3</v>
      </c>
      <c r="E6551" s="0" t="n">
        <f aca="false">-1+A6551*0.25</f>
        <v>1</v>
      </c>
      <c r="F6551" s="0" t="n">
        <f aca="false">-1+B6551*0.25</f>
        <v>1</v>
      </c>
      <c r="G6551" s="0" t="n">
        <f aca="false">-1+C6551*0.25</f>
        <v>0.75</v>
      </c>
      <c r="H6551" s="0" t="n">
        <f aca="false">-1+D6551*0.25</f>
        <v>-0.25</v>
      </c>
      <c r="I6551" s="0" t="n">
        <f aca="false">1</f>
        <v>1</v>
      </c>
      <c r="J6551" s="0" t="n">
        <f aca="false">E6551</f>
        <v>1</v>
      </c>
      <c r="K6551" s="0" t="n">
        <f aca="false">F6551</f>
        <v>1</v>
      </c>
      <c r="L6551" s="0" t="n">
        <f aca="false">G6551</f>
        <v>0.75</v>
      </c>
      <c r="M6551" s="0" t="n">
        <f aca="false">H6551</f>
        <v>-0.25</v>
      </c>
      <c r="N6551" s="0" t="n">
        <f aca="false">E6551*F6551</f>
        <v>1</v>
      </c>
      <c r="O6551" s="0" t="n">
        <f aca="false">E6551*G6551</f>
        <v>0.75</v>
      </c>
      <c r="P6551" s="0" t="n">
        <f aca="false">E6551*H6551</f>
        <v>-0.25</v>
      </c>
      <c r="Q6551" s="0" t="n">
        <f aca="false">F6551*G6551</f>
        <v>0.75</v>
      </c>
      <c r="R6551" s="0" t="n">
        <f aca="false">F6551*H6551</f>
        <v>-0.25</v>
      </c>
      <c r="S6551" s="0" t="n">
        <f aca="false">G6551*H6551</f>
        <v>-0.1875</v>
      </c>
      <c r="T6551" s="0" t="n">
        <f aca="false">E6551*E6551</f>
        <v>1</v>
      </c>
      <c r="U6551" s="0" t="n">
        <f aca="false">F6551*F6551</f>
        <v>1</v>
      </c>
      <c r="V6551" s="0" t="n">
        <f aca="false">G6551*G6551</f>
        <v>0.5625</v>
      </c>
      <c r="W6551" s="0" t="n">
        <f aca="false">H6551*H6551</f>
        <v>0.0625</v>
      </c>
      <c r="X6551" s="0" t="n">
        <f aca="false">SUMPRODUCT(I6551:W6551,_XtX!$B$96:$P$96)</f>
        <v>47.9111522295322</v>
      </c>
      <c r="Y6551" s="0" t="n">
        <f aca="false">SUMPRODUCT(MMULT(I6551:W6551,_XtX!$B$78:$P$92),I6551:W6551)</f>
        <v>0.621372155975877</v>
      </c>
      <c r="Z6551" s="0" t="n">
        <f aca="false">04_回帰ANOVA!$K$19*04_回帰ANOVA!$K$14*SQRT(1+Y6551)</f>
        <v>1.65973880499872</v>
      </c>
      <c r="AA6551" s="0" t="n">
        <f aca="false">X6551-Z6551</f>
        <v>46.2514134245335</v>
      </c>
      <c r="AB6551" s="0" t="n">
        <f aca="false">X6551+Z6551</f>
        <v>49.5708910345309</v>
      </c>
      <c r="AC6551" s="54" t="b">
        <f aca="false">AND(E6551&gt;=01_因子設定!$L$5-0.000000001,E6551&lt;=01_因子設定!$M$5+0.000000001,F6551&gt;=01_因子設定!$L$6-0.000000001,F6551&lt;=01_因子設定!$M$6+0.000000001,G6551&gt;=01_因子設定!$L$7-0.000000001,G6551&lt;=01_因子設定!$M$7+0.000000001,H6551&gt;=01_因子設定!$L$8-0.000000001,H6551&lt;=01_因子設定!$M$8+0.000000001,IF(01_因子設定!$B$20="Box-Behnken",E6551^2+F6551^2+G6551^2+H6551^2&lt;=2+0.000000001,TRUE()))</f>
        <v>1</v>
      </c>
      <c r="AD6551" s="55" t="n">
        <f aca="false">IF(AC6551,IF(01_因子設定!$B$13="最大化",AA6551-01_因子設定!$B$14,IF(01_因子設定!$B$13="最小化",01_因子設定!$B$15-AB6551,MIN(AA6551-01_因子設定!$B$14,01_因子設定!$B$15-AB6551))),-1E+030)</f>
        <v>-0.248586575466526</v>
      </c>
      <c r="AE6551" s="55" t="n">
        <f aca="false">IF(AC6551,IF(01_因子設定!$B$13="最大化",X6551,IF(01_因子設定!$B$13="最小化",-X6551,-ABS(X6551-01_因子設定!$B$16))),-1E+030)</f>
        <v>47.9111522295322</v>
      </c>
      <c r="AF6551" s="55" t="n">
        <f aca="false">AD6551+ROW()*0.000000001</f>
        <v>-0.248580024466526</v>
      </c>
      <c r="AG6551" s="55" t="n">
        <f aca="false">AE6551+ROW()*0.000000001</f>
        <v>47.9111587805322</v>
      </c>
    </row>
    <row r="6552" customFormat="false" ht="15" hidden="false" customHeight="false" outlineLevel="0" collapsed="false">
      <c r="A6552" s="0" t="n">
        <v>8</v>
      </c>
      <c r="B6552" s="0" t="n">
        <v>8</v>
      </c>
      <c r="C6552" s="0" t="n">
        <v>7</v>
      </c>
      <c r="D6552" s="0" t="n">
        <v>4</v>
      </c>
      <c r="E6552" s="0" t="n">
        <f aca="false">-1+A6552*0.25</f>
        <v>1</v>
      </c>
      <c r="F6552" s="0" t="n">
        <f aca="false">-1+B6552*0.25</f>
        <v>1</v>
      </c>
      <c r="G6552" s="0" t="n">
        <f aca="false">-1+C6552*0.25</f>
        <v>0.75</v>
      </c>
      <c r="H6552" s="0" t="n">
        <f aca="false">-1+D6552*0.25</f>
        <v>0</v>
      </c>
      <c r="I6552" s="0" t="n">
        <f aca="false">1</f>
        <v>1</v>
      </c>
      <c r="J6552" s="0" t="n">
        <f aca="false">E6552</f>
        <v>1</v>
      </c>
      <c r="K6552" s="0" t="n">
        <f aca="false">F6552</f>
        <v>1</v>
      </c>
      <c r="L6552" s="0" t="n">
        <f aca="false">G6552</f>
        <v>0.75</v>
      </c>
      <c r="M6552" s="0" t="n">
        <f aca="false">H6552</f>
        <v>0</v>
      </c>
      <c r="N6552" s="0" t="n">
        <f aca="false">E6552*F6552</f>
        <v>1</v>
      </c>
      <c r="O6552" s="0" t="n">
        <f aca="false">E6552*G6552</f>
        <v>0.75</v>
      </c>
      <c r="P6552" s="0" t="n">
        <f aca="false">E6552*H6552</f>
        <v>0</v>
      </c>
      <c r="Q6552" s="0" t="n">
        <f aca="false">F6552*G6552</f>
        <v>0.75</v>
      </c>
      <c r="R6552" s="0" t="n">
        <f aca="false">F6552*H6552</f>
        <v>0</v>
      </c>
      <c r="S6552" s="0" t="n">
        <f aca="false">G6552*H6552</f>
        <v>0</v>
      </c>
      <c r="T6552" s="0" t="n">
        <f aca="false">E6552*E6552</f>
        <v>1</v>
      </c>
      <c r="U6552" s="0" t="n">
        <f aca="false">F6552*F6552</f>
        <v>1</v>
      </c>
      <c r="V6552" s="0" t="n">
        <f aca="false">G6552*G6552</f>
        <v>0.5625</v>
      </c>
      <c r="W6552" s="0" t="n">
        <f aca="false">H6552*H6552</f>
        <v>0</v>
      </c>
      <c r="X6552" s="0" t="n">
        <f aca="false">SUMPRODUCT(I6552:W6552,_XtX!$B$96:$P$96)</f>
        <v>48.068475877193</v>
      </c>
      <c r="Y6552" s="0" t="n">
        <f aca="false">SUMPRODUCT(MMULT(I6552:W6552,_XtX!$B$78:$P$92),I6552:W6552)</f>
        <v>0.646198830409357</v>
      </c>
      <c r="Z6552" s="0" t="n">
        <f aca="false">04_回帰ANOVA!$K$19*04_回帰ANOVA!$K$14*SQRT(1+Y6552)</f>
        <v>1.67239760569756</v>
      </c>
      <c r="AA6552" s="0" t="n">
        <f aca="false">X6552-Z6552</f>
        <v>46.3960782714955</v>
      </c>
      <c r="AB6552" s="0" t="n">
        <f aca="false">X6552+Z6552</f>
        <v>49.7408734828906</v>
      </c>
      <c r="AC6552" s="54" t="b">
        <f aca="false">AND(E6552&gt;=01_因子設定!$L$5-0.000000001,E6552&lt;=01_因子設定!$M$5+0.000000001,F6552&gt;=01_因子設定!$L$6-0.000000001,F6552&lt;=01_因子設定!$M$6+0.000000001,G6552&gt;=01_因子設定!$L$7-0.000000001,G6552&lt;=01_因子設定!$M$7+0.000000001,H6552&gt;=01_因子設定!$L$8-0.000000001,H6552&lt;=01_因子設定!$M$8+0.000000001,IF(01_因子設定!$B$20="Box-Behnken",E6552^2+F6552^2+G6552^2+H6552^2&lt;=2+0.000000001,TRUE()))</f>
        <v>1</v>
      </c>
      <c r="AD6552" s="55" t="n">
        <f aca="false">IF(AC6552,IF(01_因子設定!$B$13="最大化",AA6552-01_因子設定!$B$14,IF(01_因子設定!$B$13="最小化",01_因子設定!$B$15-AB6552,MIN(AA6552-01_因子設定!$B$14,01_因子設定!$B$15-AB6552))),-1E+030)</f>
        <v>-0.103921728504545</v>
      </c>
      <c r="AE6552" s="55" t="n">
        <f aca="false">IF(AC6552,IF(01_因子設定!$B$13="最大化",X6552,IF(01_因子設定!$B$13="最小化",-X6552,-ABS(X6552-01_因子設定!$B$16))),-1E+030)</f>
        <v>48.068475877193</v>
      </c>
      <c r="AF6552" s="55" t="n">
        <f aca="false">AD6552+ROW()*0.000000001</f>
        <v>-0.103915176504545</v>
      </c>
      <c r="AG6552" s="55" t="n">
        <f aca="false">AE6552+ROW()*0.000000001</f>
        <v>48.068482429193</v>
      </c>
    </row>
    <row r="6553" customFormat="false" ht="15" hidden="false" customHeight="false" outlineLevel="0" collapsed="false">
      <c r="A6553" s="0" t="n">
        <v>8</v>
      </c>
      <c r="B6553" s="0" t="n">
        <v>8</v>
      </c>
      <c r="C6553" s="0" t="n">
        <v>7</v>
      </c>
      <c r="D6553" s="0" t="n">
        <v>5</v>
      </c>
      <c r="E6553" s="0" t="n">
        <f aca="false">-1+A6553*0.25</f>
        <v>1</v>
      </c>
      <c r="F6553" s="0" t="n">
        <f aca="false">-1+B6553*0.25</f>
        <v>1</v>
      </c>
      <c r="G6553" s="0" t="n">
        <f aca="false">-1+C6553*0.25</f>
        <v>0.75</v>
      </c>
      <c r="H6553" s="0" t="n">
        <f aca="false">-1+D6553*0.25</f>
        <v>0.25</v>
      </c>
      <c r="I6553" s="0" t="n">
        <f aca="false">1</f>
        <v>1</v>
      </c>
      <c r="J6553" s="0" t="n">
        <f aca="false">E6553</f>
        <v>1</v>
      </c>
      <c r="K6553" s="0" t="n">
        <f aca="false">F6553</f>
        <v>1</v>
      </c>
      <c r="L6553" s="0" t="n">
        <f aca="false">G6553</f>
        <v>0.75</v>
      </c>
      <c r="M6553" s="0" t="n">
        <f aca="false">H6553</f>
        <v>0.25</v>
      </c>
      <c r="N6553" s="0" t="n">
        <f aca="false">E6553*F6553</f>
        <v>1</v>
      </c>
      <c r="O6553" s="0" t="n">
        <f aca="false">E6553*G6553</f>
        <v>0.75</v>
      </c>
      <c r="P6553" s="0" t="n">
        <f aca="false">E6553*H6553</f>
        <v>0.25</v>
      </c>
      <c r="Q6553" s="0" t="n">
        <f aca="false">F6553*G6553</f>
        <v>0.75</v>
      </c>
      <c r="R6553" s="0" t="n">
        <f aca="false">F6553*H6553</f>
        <v>0.25</v>
      </c>
      <c r="S6553" s="0" t="n">
        <f aca="false">G6553*H6553</f>
        <v>0.1875</v>
      </c>
      <c r="T6553" s="0" t="n">
        <f aca="false">E6553*E6553</f>
        <v>1</v>
      </c>
      <c r="U6553" s="0" t="n">
        <f aca="false">F6553*F6553</f>
        <v>1</v>
      </c>
      <c r="V6553" s="0" t="n">
        <f aca="false">G6553*G6553</f>
        <v>0.5625</v>
      </c>
      <c r="W6553" s="0" t="n">
        <f aca="false">H6553*H6553</f>
        <v>0.0625</v>
      </c>
      <c r="X6553" s="0" t="n">
        <f aca="false">SUMPRODUCT(I6553:W6553,_XtX!$B$96:$P$96)</f>
        <v>48.17799250731</v>
      </c>
      <c r="Y6553" s="0" t="n">
        <f aca="false">SUMPRODUCT(MMULT(I6553:W6553,_XtX!$B$78:$P$92),I6553:W6553)</f>
        <v>0.621372155975877</v>
      </c>
      <c r="Z6553" s="0" t="n">
        <f aca="false">04_回帰ANOVA!$K$19*04_回帰ANOVA!$K$14*SQRT(1+Y6553)</f>
        <v>1.65973880499872</v>
      </c>
      <c r="AA6553" s="0" t="n">
        <f aca="false">X6553-Z6553</f>
        <v>46.5182537023113</v>
      </c>
      <c r="AB6553" s="0" t="n">
        <f aca="false">X6553+Z6553</f>
        <v>49.8377313123087</v>
      </c>
      <c r="AC6553" s="54" t="b">
        <f aca="false">AND(E6553&gt;=01_因子設定!$L$5-0.000000001,E6553&lt;=01_因子設定!$M$5+0.000000001,F6553&gt;=01_因子設定!$L$6-0.000000001,F6553&lt;=01_因子設定!$M$6+0.000000001,G6553&gt;=01_因子設定!$L$7-0.000000001,G6553&lt;=01_因子設定!$M$7+0.000000001,H6553&gt;=01_因子設定!$L$8-0.000000001,H6553&lt;=01_因子設定!$M$8+0.000000001,IF(01_因子設定!$B$20="Box-Behnken",E6553^2+F6553^2+G6553^2+H6553^2&lt;=2+0.000000001,TRUE()))</f>
        <v>1</v>
      </c>
      <c r="AD6553" s="55" t="n">
        <f aca="false">IF(AC6553,IF(01_因子設定!$B$13="最大化",AA6553-01_因子設定!$B$14,IF(01_因子設定!$B$13="最小化",01_因子設定!$B$15-AB6553,MIN(AA6553-01_因子設定!$B$14,01_因子設定!$B$15-AB6553))),-1E+030)</f>
        <v>0.0182537023112488</v>
      </c>
      <c r="AE6553" s="55" t="n">
        <f aca="false">IF(AC6553,IF(01_因子設定!$B$13="最大化",X6553,IF(01_因子設定!$B$13="最小化",-X6553,-ABS(X6553-01_因子設定!$B$16))),-1E+030)</f>
        <v>48.17799250731</v>
      </c>
      <c r="AF6553" s="55" t="n">
        <f aca="false">AD6553+ROW()*0.000000001</f>
        <v>0.0182602553112488</v>
      </c>
      <c r="AG6553" s="55" t="n">
        <f aca="false">AE6553+ROW()*0.000000001</f>
        <v>48.17799906031</v>
      </c>
    </row>
    <row r="6554" customFormat="false" ht="15" hidden="false" customHeight="false" outlineLevel="0" collapsed="false">
      <c r="A6554" s="0" t="n">
        <v>8</v>
      </c>
      <c r="B6554" s="0" t="n">
        <v>8</v>
      </c>
      <c r="C6554" s="0" t="n">
        <v>7</v>
      </c>
      <c r="D6554" s="0" t="n">
        <v>6</v>
      </c>
      <c r="E6554" s="0" t="n">
        <f aca="false">-1+A6554*0.25</f>
        <v>1</v>
      </c>
      <c r="F6554" s="0" t="n">
        <f aca="false">-1+B6554*0.25</f>
        <v>1</v>
      </c>
      <c r="G6554" s="0" t="n">
        <f aca="false">-1+C6554*0.25</f>
        <v>0.75</v>
      </c>
      <c r="H6554" s="0" t="n">
        <f aca="false">-1+D6554*0.25</f>
        <v>0.5</v>
      </c>
      <c r="I6554" s="0" t="n">
        <f aca="false">1</f>
        <v>1</v>
      </c>
      <c r="J6554" s="0" t="n">
        <f aca="false">E6554</f>
        <v>1</v>
      </c>
      <c r="K6554" s="0" t="n">
        <f aca="false">F6554</f>
        <v>1</v>
      </c>
      <c r="L6554" s="0" t="n">
        <f aca="false">G6554</f>
        <v>0.75</v>
      </c>
      <c r="M6554" s="0" t="n">
        <f aca="false">H6554</f>
        <v>0.5</v>
      </c>
      <c r="N6554" s="0" t="n">
        <f aca="false">E6554*F6554</f>
        <v>1</v>
      </c>
      <c r="O6554" s="0" t="n">
        <f aca="false">E6554*G6554</f>
        <v>0.75</v>
      </c>
      <c r="P6554" s="0" t="n">
        <f aca="false">E6554*H6554</f>
        <v>0.5</v>
      </c>
      <c r="Q6554" s="0" t="n">
        <f aca="false">F6554*G6554</f>
        <v>0.75</v>
      </c>
      <c r="R6554" s="0" t="n">
        <f aca="false">F6554*H6554</f>
        <v>0.5</v>
      </c>
      <c r="S6554" s="0" t="n">
        <f aca="false">G6554*H6554</f>
        <v>0.375</v>
      </c>
      <c r="T6554" s="0" t="n">
        <f aca="false">E6554*E6554</f>
        <v>1</v>
      </c>
      <c r="U6554" s="0" t="n">
        <f aca="false">F6554*F6554</f>
        <v>1</v>
      </c>
      <c r="V6554" s="0" t="n">
        <f aca="false">G6554*G6554</f>
        <v>0.5625</v>
      </c>
      <c r="W6554" s="0" t="n">
        <f aca="false">H6554*H6554</f>
        <v>0.25</v>
      </c>
      <c r="X6554" s="0" t="n">
        <f aca="false">SUMPRODUCT(I6554:W6554,_XtX!$B$96:$P$96)</f>
        <v>48.2397021198831</v>
      </c>
      <c r="Y6554" s="0" t="n">
        <f aca="false">SUMPRODUCT(MMULT(I6554:W6554,_XtX!$B$78:$P$92),I6554:W6554)</f>
        <v>0.564984237938597</v>
      </c>
      <c r="Z6554" s="0" t="n">
        <f aca="false">04_回帰ANOVA!$K$19*04_回帰ANOVA!$K$14*SQRT(1+Y6554)</f>
        <v>1.63062229734503</v>
      </c>
      <c r="AA6554" s="0" t="n">
        <f aca="false">X6554-Z6554</f>
        <v>46.609079822538</v>
      </c>
      <c r="AB6554" s="0" t="n">
        <f aca="false">X6554+Z6554</f>
        <v>49.8703244172281</v>
      </c>
      <c r="AC6554" s="54" t="b">
        <f aca="false">AND(E6554&gt;=01_因子設定!$L$5-0.000000001,E6554&lt;=01_因子設定!$M$5+0.000000001,F6554&gt;=01_因子設定!$L$6-0.000000001,F6554&lt;=01_因子設定!$M$6+0.000000001,G6554&gt;=01_因子設定!$L$7-0.000000001,G6554&lt;=01_因子設定!$M$7+0.000000001,H6554&gt;=01_因子設定!$L$8-0.000000001,H6554&lt;=01_因子設定!$M$8+0.000000001,IF(01_因子設定!$B$20="Box-Behnken",E6554^2+F6554^2+G6554^2+H6554^2&lt;=2+0.000000001,TRUE()))</f>
        <v>1</v>
      </c>
      <c r="AD6554" s="55" t="n">
        <f aca="false">IF(AC6554,IF(01_因子設定!$B$13="最大化",AA6554-01_因子設定!$B$14,IF(01_因子設定!$B$13="最小化",01_因子設定!$B$15-AB6554,MIN(AA6554-01_因子設定!$B$14,01_因子設定!$B$15-AB6554))),-1E+030)</f>
        <v>0.109079822538042</v>
      </c>
      <c r="AE6554" s="55" t="n">
        <f aca="false">IF(AC6554,IF(01_因子設定!$B$13="最大化",X6554,IF(01_因子設定!$B$13="最小化",-X6554,-ABS(X6554-01_因子設定!$B$16))),-1E+030)</f>
        <v>48.2397021198831</v>
      </c>
      <c r="AF6554" s="55" t="n">
        <f aca="false">AD6554+ROW()*0.000000001</f>
        <v>0.109086376538043</v>
      </c>
      <c r="AG6554" s="55" t="n">
        <f aca="false">AE6554+ROW()*0.000000001</f>
        <v>48.2397086738831</v>
      </c>
    </row>
    <row r="6555" customFormat="false" ht="15" hidden="false" customHeight="false" outlineLevel="0" collapsed="false">
      <c r="A6555" s="0" t="n">
        <v>8</v>
      </c>
      <c r="B6555" s="0" t="n">
        <v>8</v>
      </c>
      <c r="C6555" s="0" t="n">
        <v>7</v>
      </c>
      <c r="D6555" s="0" t="n">
        <v>7</v>
      </c>
      <c r="E6555" s="0" t="n">
        <f aca="false">-1+A6555*0.25</f>
        <v>1</v>
      </c>
      <c r="F6555" s="0" t="n">
        <f aca="false">-1+B6555*0.25</f>
        <v>1</v>
      </c>
      <c r="G6555" s="0" t="n">
        <f aca="false">-1+C6555*0.25</f>
        <v>0.75</v>
      </c>
      <c r="H6555" s="0" t="n">
        <f aca="false">-1+D6555*0.25</f>
        <v>0.75</v>
      </c>
      <c r="I6555" s="0" t="n">
        <f aca="false">1</f>
        <v>1</v>
      </c>
      <c r="J6555" s="0" t="n">
        <f aca="false">E6555</f>
        <v>1</v>
      </c>
      <c r="K6555" s="0" t="n">
        <f aca="false">F6555</f>
        <v>1</v>
      </c>
      <c r="L6555" s="0" t="n">
        <f aca="false">G6555</f>
        <v>0.75</v>
      </c>
      <c r="M6555" s="0" t="n">
        <f aca="false">H6555</f>
        <v>0.75</v>
      </c>
      <c r="N6555" s="0" t="n">
        <f aca="false">E6555*F6555</f>
        <v>1</v>
      </c>
      <c r="O6555" s="0" t="n">
        <f aca="false">E6555*G6555</f>
        <v>0.75</v>
      </c>
      <c r="P6555" s="0" t="n">
        <f aca="false">E6555*H6555</f>
        <v>0.75</v>
      </c>
      <c r="Q6555" s="0" t="n">
        <f aca="false">F6555*G6555</f>
        <v>0.75</v>
      </c>
      <c r="R6555" s="0" t="n">
        <f aca="false">F6555*H6555</f>
        <v>0.75</v>
      </c>
      <c r="S6555" s="0" t="n">
        <f aca="false">G6555*H6555</f>
        <v>0.5625</v>
      </c>
      <c r="T6555" s="0" t="n">
        <f aca="false">E6555*E6555</f>
        <v>1</v>
      </c>
      <c r="U6555" s="0" t="n">
        <f aca="false">F6555*F6555</f>
        <v>1</v>
      </c>
      <c r="V6555" s="0" t="n">
        <f aca="false">G6555*G6555</f>
        <v>0.5625</v>
      </c>
      <c r="W6555" s="0" t="n">
        <f aca="false">H6555*H6555</f>
        <v>0.5625</v>
      </c>
      <c r="X6555" s="0" t="n">
        <f aca="false">SUMPRODUCT(I6555:W6555,_XtX!$B$96:$P$96)</f>
        <v>48.2536047149123</v>
      </c>
      <c r="Y6555" s="0" t="n">
        <f aca="false">SUMPRODUCT(MMULT(I6555:W6555,_XtX!$B$78:$P$92),I6555:W6555)</f>
        <v>0.531311392086988</v>
      </c>
      <c r="Z6555" s="0" t="n">
        <f aca="false">04_回帰ANOVA!$K$19*04_回帰ANOVA!$K$14*SQRT(1+Y6555)</f>
        <v>1.61298433431428</v>
      </c>
      <c r="AA6555" s="0" t="n">
        <f aca="false">X6555-Z6555</f>
        <v>46.640620380598</v>
      </c>
      <c r="AB6555" s="0" t="n">
        <f aca="false">X6555+Z6555</f>
        <v>49.8665890492266</v>
      </c>
      <c r="AC6555" s="54" t="b">
        <f aca="false">AND(E6555&gt;=01_因子設定!$L$5-0.000000001,E6555&lt;=01_因子設定!$M$5+0.000000001,F6555&gt;=01_因子設定!$L$6-0.000000001,F6555&lt;=01_因子設定!$M$6+0.000000001,G6555&gt;=01_因子設定!$L$7-0.000000001,G6555&lt;=01_因子設定!$M$7+0.000000001,H6555&gt;=01_因子設定!$L$8-0.000000001,H6555&lt;=01_因子設定!$M$8+0.000000001,IF(01_因子設定!$B$20="Box-Behnken",E6555^2+F6555^2+G6555^2+H6555^2&lt;=2+0.000000001,TRUE()))</f>
        <v>1</v>
      </c>
      <c r="AD6555" s="55" t="n">
        <f aca="false">IF(AC6555,IF(01_因子設定!$B$13="最大化",AA6555-01_因子設定!$B$14,IF(01_因子設定!$B$13="最小化",01_因子設定!$B$15-AB6555,MIN(AA6555-01_因子設定!$B$14,01_因子設定!$B$15-AB6555))),-1E+030)</f>
        <v>0.140620380598044</v>
      </c>
      <c r="AE6555" s="55" t="n">
        <f aca="false">IF(AC6555,IF(01_因子設定!$B$13="最大化",X6555,IF(01_因子設定!$B$13="最小化",-X6555,-ABS(X6555-01_因子設定!$B$16))),-1E+030)</f>
        <v>48.2536047149123</v>
      </c>
      <c r="AF6555" s="55" t="n">
        <f aca="false">AD6555+ROW()*0.000000001</f>
        <v>0.140626935598044</v>
      </c>
      <c r="AG6555" s="55" t="n">
        <f aca="false">AE6555+ROW()*0.000000001</f>
        <v>48.2536112699123</v>
      </c>
    </row>
    <row r="6556" customFormat="false" ht="15" hidden="false" customHeight="false" outlineLevel="0" collapsed="false">
      <c r="A6556" s="0" t="n">
        <v>8</v>
      </c>
      <c r="B6556" s="0" t="n">
        <v>8</v>
      </c>
      <c r="C6556" s="0" t="n">
        <v>7</v>
      </c>
      <c r="D6556" s="0" t="n">
        <v>8</v>
      </c>
      <c r="E6556" s="0" t="n">
        <f aca="false">-1+A6556*0.25</f>
        <v>1</v>
      </c>
      <c r="F6556" s="0" t="n">
        <f aca="false">-1+B6556*0.25</f>
        <v>1</v>
      </c>
      <c r="G6556" s="0" t="n">
        <f aca="false">-1+C6556*0.25</f>
        <v>0.75</v>
      </c>
      <c r="H6556" s="0" t="n">
        <f aca="false">-1+D6556*0.25</f>
        <v>1</v>
      </c>
      <c r="I6556" s="0" t="n">
        <f aca="false">1</f>
        <v>1</v>
      </c>
      <c r="J6556" s="0" t="n">
        <f aca="false">E6556</f>
        <v>1</v>
      </c>
      <c r="K6556" s="0" t="n">
        <f aca="false">F6556</f>
        <v>1</v>
      </c>
      <c r="L6556" s="0" t="n">
        <f aca="false">G6556</f>
        <v>0.75</v>
      </c>
      <c r="M6556" s="0" t="n">
        <f aca="false">H6556</f>
        <v>1</v>
      </c>
      <c r="N6556" s="0" t="n">
        <f aca="false">E6556*F6556</f>
        <v>1</v>
      </c>
      <c r="O6556" s="0" t="n">
        <f aca="false">E6556*G6556</f>
        <v>0.75</v>
      </c>
      <c r="P6556" s="0" t="n">
        <f aca="false">E6556*H6556</f>
        <v>1</v>
      </c>
      <c r="Q6556" s="0" t="n">
        <f aca="false">F6556*G6556</f>
        <v>0.75</v>
      </c>
      <c r="R6556" s="0" t="n">
        <f aca="false">F6556*H6556</f>
        <v>1</v>
      </c>
      <c r="S6556" s="0" t="n">
        <f aca="false">G6556*H6556</f>
        <v>0.75</v>
      </c>
      <c r="T6556" s="0" t="n">
        <f aca="false">E6556*E6556</f>
        <v>1</v>
      </c>
      <c r="U6556" s="0" t="n">
        <f aca="false">F6556*F6556</f>
        <v>1</v>
      </c>
      <c r="V6556" s="0" t="n">
        <f aca="false">G6556*G6556</f>
        <v>0.5625</v>
      </c>
      <c r="W6556" s="0" t="n">
        <f aca="false">H6556*H6556</f>
        <v>1</v>
      </c>
      <c r="X6556" s="0" t="n">
        <f aca="false">SUMPRODUCT(I6556:W6556,_XtX!$B$96:$P$96)</f>
        <v>48.2197002923977</v>
      </c>
      <c r="Y6556" s="0" t="n">
        <f aca="false">SUMPRODUCT(MMULT(I6556:W6556,_XtX!$B$78:$P$92),I6556:W6556)</f>
        <v>0.610814144736842</v>
      </c>
      <c r="Z6556" s="0" t="n">
        <f aca="false">04_回帰ANOVA!$K$19*04_回帰ANOVA!$K$14*SQRT(1+Y6556)</f>
        <v>1.6543260558361</v>
      </c>
      <c r="AA6556" s="0" t="n">
        <f aca="false">X6556-Z6556</f>
        <v>46.5653742365616</v>
      </c>
      <c r="AB6556" s="0" t="n">
        <f aca="false">X6556+Z6556</f>
        <v>49.8740263482338</v>
      </c>
      <c r="AC6556" s="54" t="b">
        <f aca="false">AND(E6556&gt;=01_因子設定!$L$5-0.000000001,E6556&lt;=01_因子設定!$M$5+0.000000001,F6556&gt;=01_因子設定!$L$6-0.000000001,F6556&lt;=01_因子設定!$M$6+0.000000001,G6556&gt;=01_因子設定!$L$7-0.000000001,G6556&lt;=01_因子設定!$M$7+0.000000001,H6556&gt;=01_因子設定!$L$8-0.000000001,H6556&lt;=01_因子設定!$M$8+0.000000001,IF(01_因子設定!$B$20="Box-Behnken",E6556^2+F6556^2+G6556^2+H6556^2&lt;=2+0.000000001,TRUE()))</f>
        <v>1</v>
      </c>
      <c r="AD6556" s="55" t="n">
        <f aca="false">IF(AC6556,IF(01_因子設定!$B$13="最大化",AA6556-01_因子設定!$B$14,IF(01_因子設定!$B$13="最小化",01_因子設定!$B$15-AB6556,MIN(AA6556-01_因子設定!$B$14,01_因子設定!$B$15-AB6556))),-1E+030)</f>
        <v>0.065374236561631</v>
      </c>
      <c r="AE6556" s="55" t="n">
        <f aca="false">IF(AC6556,IF(01_因子設定!$B$13="最大化",X6556,IF(01_因子設定!$B$13="最小化",-X6556,-ABS(X6556-01_因子設定!$B$16))),-1E+030)</f>
        <v>48.2197002923977</v>
      </c>
      <c r="AF6556" s="55" t="n">
        <f aca="false">AD6556+ROW()*0.000000001</f>
        <v>0.065380792561631</v>
      </c>
      <c r="AG6556" s="55" t="n">
        <f aca="false">AE6556+ROW()*0.000000001</f>
        <v>48.2197068483977</v>
      </c>
    </row>
    <row r="6557" customFormat="false" ht="15" hidden="false" customHeight="false" outlineLevel="0" collapsed="false">
      <c r="A6557" s="0" t="n">
        <v>8</v>
      </c>
      <c r="B6557" s="0" t="n">
        <v>8</v>
      </c>
      <c r="C6557" s="0" t="n">
        <v>8</v>
      </c>
      <c r="D6557" s="0" t="n">
        <v>0</v>
      </c>
      <c r="E6557" s="0" t="n">
        <f aca="false">-1+A6557*0.25</f>
        <v>1</v>
      </c>
      <c r="F6557" s="0" t="n">
        <f aca="false">-1+B6557*0.25</f>
        <v>1</v>
      </c>
      <c r="G6557" s="0" t="n">
        <f aca="false">-1+C6557*0.25</f>
        <v>1</v>
      </c>
      <c r="H6557" s="0" t="n">
        <f aca="false">-1+D6557*0.25</f>
        <v>-1</v>
      </c>
      <c r="I6557" s="0" t="n">
        <f aca="false">1</f>
        <v>1</v>
      </c>
      <c r="J6557" s="0" t="n">
        <f aca="false">E6557</f>
        <v>1</v>
      </c>
      <c r="K6557" s="0" t="n">
        <f aca="false">F6557</f>
        <v>1</v>
      </c>
      <c r="L6557" s="0" t="n">
        <f aca="false">G6557</f>
        <v>1</v>
      </c>
      <c r="M6557" s="0" t="n">
        <f aca="false">H6557</f>
        <v>-1</v>
      </c>
      <c r="N6557" s="0" t="n">
        <f aca="false">E6557*F6557</f>
        <v>1</v>
      </c>
      <c r="O6557" s="0" t="n">
        <f aca="false">E6557*G6557</f>
        <v>1</v>
      </c>
      <c r="P6557" s="0" t="n">
        <f aca="false">E6557*H6557</f>
        <v>-1</v>
      </c>
      <c r="Q6557" s="0" t="n">
        <f aca="false">F6557*G6557</f>
        <v>1</v>
      </c>
      <c r="R6557" s="0" t="n">
        <f aca="false">F6557*H6557</f>
        <v>-1</v>
      </c>
      <c r="S6557" s="0" t="n">
        <f aca="false">G6557*H6557</f>
        <v>-1</v>
      </c>
      <c r="T6557" s="0" t="n">
        <f aca="false">E6557*E6557</f>
        <v>1</v>
      </c>
      <c r="U6557" s="0" t="n">
        <f aca="false">F6557*F6557</f>
        <v>1</v>
      </c>
      <c r="V6557" s="0" t="n">
        <f aca="false">G6557*G6557</f>
        <v>1</v>
      </c>
      <c r="W6557" s="0" t="n">
        <f aca="false">H6557*H6557</f>
        <v>1</v>
      </c>
      <c r="X6557" s="0" t="n">
        <f aca="false">SUMPRODUCT(I6557:W6557,_XtX!$B$96:$P$96)</f>
        <v>46.9433479532164</v>
      </c>
      <c r="Y6557" s="0" t="n">
        <f aca="false">SUMPRODUCT(MMULT(I6557:W6557,_XtX!$B$78:$P$92),I6557:W6557)</f>
        <v>0.658625730994152</v>
      </c>
      <c r="Z6557" s="0" t="n">
        <f aca="false">04_回帰ANOVA!$K$19*04_回帰ANOVA!$K$14*SQRT(1+Y6557)</f>
        <v>1.67869807328422</v>
      </c>
      <c r="AA6557" s="0" t="n">
        <f aca="false">X6557-Z6557</f>
        <v>45.2646498799322</v>
      </c>
      <c r="AB6557" s="0" t="n">
        <f aca="false">X6557+Z6557</f>
        <v>48.6220460265007</v>
      </c>
      <c r="AC6557" s="54" t="b">
        <f aca="false">AND(E6557&gt;=01_因子設定!$L$5-0.000000001,E6557&lt;=01_因子設定!$M$5+0.000000001,F6557&gt;=01_因子設定!$L$6-0.000000001,F6557&lt;=01_因子設定!$M$6+0.000000001,G6557&gt;=01_因子設定!$L$7-0.000000001,G6557&lt;=01_因子設定!$M$7+0.000000001,H6557&gt;=01_因子設定!$L$8-0.000000001,H6557&lt;=01_因子設定!$M$8+0.000000001,IF(01_因子設定!$B$20="Box-Behnken",E6557^2+F6557^2+G6557^2+H6557^2&lt;=2+0.000000001,TRUE()))</f>
        <v>1</v>
      </c>
      <c r="AD6557" s="55" t="n">
        <f aca="false">IF(AC6557,IF(01_因子設定!$B$13="最大化",AA6557-01_因子設定!$B$14,IF(01_因子設定!$B$13="最小化",01_因子設定!$B$15-AB6557,MIN(AA6557-01_因子設定!$B$14,01_因子設定!$B$15-AB6557))),-1E+030)</f>
        <v>-1.23535012006779</v>
      </c>
      <c r="AE6557" s="55" t="n">
        <f aca="false">IF(AC6557,IF(01_因子設定!$B$13="最大化",X6557,IF(01_因子設定!$B$13="最小化",-X6557,-ABS(X6557-01_因子設定!$B$16))),-1E+030)</f>
        <v>46.9433479532164</v>
      </c>
      <c r="AF6557" s="55" t="n">
        <f aca="false">AD6557+ROW()*0.000000001</f>
        <v>-1.23534356306779</v>
      </c>
      <c r="AG6557" s="55" t="n">
        <f aca="false">AE6557+ROW()*0.000000001</f>
        <v>46.9433545102164</v>
      </c>
    </row>
    <row r="6558" customFormat="false" ht="15" hidden="false" customHeight="false" outlineLevel="0" collapsed="false">
      <c r="A6558" s="0" t="n">
        <v>8</v>
      </c>
      <c r="B6558" s="0" t="n">
        <v>8</v>
      </c>
      <c r="C6558" s="0" t="n">
        <v>8</v>
      </c>
      <c r="D6558" s="0" t="n">
        <v>1</v>
      </c>
      <c r="E6558" s="0" t="n">
        <f aca="false">-1+A6558*0.25</f>
        <v>1</v>
      </c>
      <c r="F6558" s="0" t="n">
        <f aca="false">-1+B6558*0.25</f>
        <v>1</v>
      </c>
      <c r="G6558" s="0" t="n">
        <f aca="false">-1+C6558*0.25</f>
        <v>1</v>
      </c>
      <c r="H6558" s="0" t="n">
        <f aca="false">-1+D6558*0.25</f>
        <v>-0.75</v>
      </c>
      <c r="I6558" s="0" t="n">
        <f aca="false">1</f>
        <v>1</v>
      </c>
      <c r="J6558" s="0" t="n">
        <f aca="false">E6558</f>
        <v>1</v>
      </c>
      <c r="K6558" s="0" t="n">
        <f aca="false">F6558</f>
        <v>1</v>
      </c>
      <c r="L6558" s="0" t="n">
        <f aca="false">G6558</f>
        <v>1</v>
      </c>
      <c r="M6558" s="0" t="n">
        <f aca="false">H6558</f>
        <v>-0.75</v>
      </c>
      <c r="N6558" s="0" t="n">
        <f aca="false">E6558*F6558</f>
        <v>1</v>
      </c>
      <c r="O6558" s="0" t="n">
        <f aca="false">E6558*G6558</f>
        <v>1</v>
      </c>
      <c r="P6558" s="0" t="n">
        <f aca="false">E6558*H6558</f>
        <v>-0.75</v>
      </c>
      <c r="Q6558" s="0" t="n">
        <f aca="false">F6558*G6558</f>
        <v>1</v>
      </c>
      <c r="R6558" s="0" t="n">
        <f aca="false">F6558*H6558</f>
        <v>-0.75</v>
      </c>
      <c r="S6558" s="0" t="n">
        <f aca="false">G6558*H6558</f>
        <v>-0.75</v>
      </c>
      <c r="T6558" s="0" t="n">
        <f aca="false">E6558*E6558</f>
        <v>1</v>
      </c>
      <c r="U6558" s="0" t="n">
        <f aca="false">F6558*F6558</f>
        <v>1</v>
      </c>
      <c r="V6558" s="0" t="n">
        <f aca="false">G6558*G6558</f>
        <v>1</v>
      </c>
      <c r="W6558" s="0" t="n">
        <f aca="false">H6558*H6558</f>
        <v>0.5625</v>
      </c>
      <c r="X6558" s="0" t="n">
        <f aca="false">SUMPRODUCT(I6558:W6558,_XtX!$B$96:$P$96)</f>
        <v>47.2620614035088</v>
      </c>
      <c r="Y6558" s="0" t="n">
        <f aca="false">SUMPRODUCT(MMULT(I6558:W6558,_XtX!$B$78:$P$92),I6558:W6558)</f>
        <v>0.610814144736842</v>
      </c>
      <c r="Z6558" s="0" t="n">
        <f aca="false">04_回帰ANOVA!$K$19*04_回帰ANOVA!$K$14*SQRT(1+Y6558)</f>
        <v>1.6543260558361</v>
      </c>
      <c r="AA6558" s="0" t="n">
        <f aca="false">X6558-Z6558</f>
        <v>45.6077353476727</v>
      </c>
      <c r="AB6558" s="0" t="n">
        <f aca="false">X6558+Z6558</f>
        <v>48.9163874593449</v>
      </c>
      <c r="AC6558" s="54" t="b">
        <f aca="false">AND(E6558&gt;=01_因子設定!$L$5-0.000000001,E6558&lt;=01_因子設定!$M$5+0.000000001,F6558&gt;=01_因子設定!$L$6-0.000000001,F6558&lt;=01_因子設定!$M$6+0.000000001,G6558&gt;=01_因子設定!$L$7-0.000000001,G6558&lt;=01_因子設定!$M$7+0.000000001,H6558&gt;=01_因子設定!$L$8-0.000000001,H6558&lt;=01_因子設定!$M$8+0.000000001,IF(01_因子設定!$B$20="Box-Behnken",E6558^2+F6558^2+G6558^2+H6558^2&lt;=2+0.000000001,TRUE()))</f>
        <v>1</v>
      </c>
      <c r="AD6558" s="55" t="n">
        <f aca="false">IF(AC6558,IF(01_因子設定!$B$13="最大化",AA6558-01_因子設定!$B$14,IF(01_因子設定!$B$13="最小化",01_因子設定!$B$15-AB6558,MIN(AA6558-01_因子設定!$B$14,01_因子設定!$B$15-AB6558))),-1E+030)</f>
        <v>-0.89226465232727</v>
      </c>
      <c r="AE6558" s="55" t="n">
        <f aca="false">IF(AC6558,IF(01_因子設定!$B$13="最大化",X6558,IF(01_因子設定!$B$13="最小化",-X6558,-ABS(X6558-01_因子設定!$B$16))),-1E+030)</f>
        <v>47.2620614035088</v>
      </c>
      <c r="AF6558" s="55" t="n">
        <f aca="false">AD6558+ROW()*0.000000001</f>
        <v>-0.89225809432727</v>
      </c>
      <c r="AG6558" s="55" t="n">
        <f aca="false">AE6558+ROW()*0.000000001</f>
        <v>47.2620679615088</v>
      </c>
    </row>
    <row r="6559" customFormat="false" ht="15" hidden="false" customHeight="false" outlineLevel="0" collapsed="false">
      <c r="A6559" s="0" t="n">
        <v>8</v>
      </c>
      <c r="B6559" s="0" t="n">
        <v>8</v>
      </c>
      <c r="C6559" s="0" t="n">
        <v>8</v>
      </c>
      <c r="D6559" s="0" t="n">
        <v>2</v>
      </c>
      <c r="E6559" s="0" t="n">
        <f aca="false">-1+A6559*0.25</f>
        <v>1</v>
      </c>
      <c r="F6559" s="0" t="n">
        <f aca="false">-1+B6559*0.25</f>
        <v>1</v>
      </c>
      <c r="G6559" s="0" t="n">
        <f aca="false">-1+C6559*0.25</f>
        <v>1</v>
      </c>
      <c r="H6559" s="0" t="n">
        <f aca="false">-1+D6559*0.25</f>
        <v>-0.5</v>
      </c>
      <c r="I6559" s="0" t="n">
        <f aca="false">1</f>
        <v>1</v>
      </c>
      <c r="J6559" s="0" t="n">
        <f aca="false">E6559</f>
        <v>1</v>
      </c>
      <c r="K6559" s="0" t="n">
        <f aca="false">F6559</f>
        <v>1</v>
      </c>
      <c r="L6559" s="0" t="n">
        <f aca="false">G6559</f>
        <v>1</v>
      </c>
      <c r="M6559" s="0" t="n">
        <f aca="false">H6559</f>
        <v>-0.5</v>
      </c>
      <c r="N6559" s="0" t="n">
        <f aca="false">E6559*F6559</f>
        <v>1</v>
      </c>
      <c r="O6559" s="0" t="n">
        <f aca="false">E6559*G6559</f>
        <v>1</v>
      </c>
      <c r="P6559" s="0" t="n">
        <f aca="false">E6559*H6559</f>
        <v>-0.5</v>
      </c>
      <c r="Q6559" s="0" t="n">
        <f aca="false">F6559*G6559</f>
        <v>1</v>
      </c>
      <c r="R6559" s="0" t="n">
        <f aca="false">F6559*H6559</f>
        <v>-0.5</v>
      </c>
      <c r="S6559" s="0" t="n">
        <f aca="false">G6559*H6559</f>
        <v>-0.5</v>
      </c>
      <c r="T6559" s="0" t="n">
        <f aca="false">E6559*E6559</f>
        <v>1</v>
      </c>
      <c r="U6559" s="0" t="n">
        <f aca="false">F6559*F6559</f>
        <v>1</v>
      </c>
      <c r="V6559" s="0" t="n">
        <f aca="false">G6559*G6559</f>
        <v>1</v>
      </c>
      <c r="W6559" s="0" t="n">
        <f aca="false">H6559*H6559</f>
        <v>0.25</v>
      </c>
      <c r="X6559" s="0" t="n">
        <f aca="false">SUMPRODUCT(I6559:W6559,_XtX!$B$96:$P$96)</f>
        <v>47.5329678362574</v>
      </c>
      <c r="Y6559" s="0" t="n">
        <f aca="false">SUMPRODUCT(MMULT(I6559:W6559,_XtX!$B$78:$P$92),I6559:W6559)</f>
        <v>0.667123538011696</v>
      </c>
      <c r="Z6559" s="0" t="n">
        <f aca="false">04_回帰ANOVA!$K$19*04_回帰ANOVA!$K$14*SQRT(1+Y6559)</f>
        <v>1.68299290213005</v>
      </c>
      <c r="AA6559" s="0" t="n">
        <f aca="false">X6559-Z6559</f>
        <v>45.8499749341273</v>
      </c>
      <c r="AB6559" s="0" t="n">
        <f aca="false">X6559+Z6559</f>
        <v>49.2159607383874</v>
      </c>
      <c r="AC6559" s="54" t="b">
        <f aca="false">AND(E6559&gt;=01_因子設定!$L$5-0.000000001,E6559&lt;=01_因子設定!$M$5+0.000000001,F6559&gt;=01_因子設定!$L$6-0.000000001,F6559&lt;=01_因子設定!$M$6+0.000000001,G6559&gt;=01_因子設定!$L$7-0.000000001,G6559&lt;=01_因子設定!$M$7+0.000000001,H6559&gt;=01_因子設定!$L$8-0.000000001,H6559&lt;=01_因子設定!$M$8+0.000000001,IF(01_因子設定!$B$20="Box-Behnken",E6559^2+F6559^2+G6559^2+H6559^2&lt;=2+0.000000001,TRUE()))</f>
        <v>1</v>
      </c>
      <c r="AD6559" s="55" t="n">
        <f aca="false">IF(AC6559,IF(01_因子設定!$B$13="最大化",AA6559-01_因子設定!$B$14,IF(01_因子設定!$B$13="最小化",01_因子設定!$B$15-AB6559,MIN(AA6559-01_因子設定!$B$14,01_因子設定!$B$15-AB6559))),-1E+030)</f>
        <v>-0.650025065872704</v>
      </c>
      <c r="AE6559" s="55" t="n">
        <f aca="false">IF(AC6559,IF(01_因子設定!$B$13="最大化",X6559,IF(01_因子設定!$B$13="最小化",-X6559,-ABS(X6559-01_因子設定!$B$16))),-1E+030)</f>
        <v>47.5329678362574</v>
      </c>
      <c r="AF6559" s="55" t="n">
        <f aca="false">AD6559+ROW()*0.000000001</f>
        <v>-0.650018506872704</v>
      </c>
      <c r="AG6559" s="55" t="n">
        <f aca="false">AE6559+ROW()*0.000000001</f>
        <v>47.5329743952574</v>
      </c>
    </row>
    <row r="6560" customFormat="false" ht="15" hidden="false" customHeight="false" outlineLevel="0" collapsed="false">
      <c r="A6560" s="0" t="n">
        <v>8</v>
      </c>
      <c r="B6560" s="0" t="n">
        <v>8</v>
      </c>
      <c r="C6560" s="0" t="n">
        <v>8</v>
      </c>
      <c r="D6560" s="0" t="n">
        <v>3</v>
      </c>
      <c r="E6560" s="0" t="n">
        <f aca="false">-1+A6560*0.25</f>
        <v>1</v>
      </c>
      <c r="F6560" s="0" t="n">
        <f aca="false">-1+B6560*0.25</f>
        <v>1</v>
      </c>
      <c r="G6560" s="0" t="n">
        <f aca="false">-1+C6560*0.25</f>
        <v>1</v>
      </c>
      <c r="H6560" s="0" t="n">
        <f aca="false">-1+D6560*0.25</f>
        <v>-0.25</v>
      </c>
      <c r="I6560" s="0" t="n">
        <f aca="false">1</f>
        <v>1</v>
      </c>
      <c r="J6560" s="0" t="n">
        <f aca="false">E6560</f>
        <v>1</v>
      </c>
      <c r="K6560" s="0" t="n">
        <f aca="false">F6560</f>
        <v>1</v>
      </c>
      <c r="L6560" s="0" t="n">
        <f aca="false">G6560</f>
        <v>1</v>
      </c>
      <c r="M6560" s="0" t="n">
        <f aca="false">H6560</f>
        <v>-0.25</v>
      </c>
      <c r="N6560" s="0" t="n">
        <f aca="false">E6560*F6560</f>
        <v>1</v>
      </c>
      <c r="O6560" s="0" t="n">
        <f aca="false">E6560*G6560</f>
        <v>1</v>
      </c>
      <c r="P6560" s="0" t="n">
        <f aca="false">E6560*H6560</f>
        <v>-0.25</v>
      </c>
      <c r="Q6560" s="0" t="n">
        <f aca="false">F6560*G6560</f>
        <v>1</v>
      </c>
      <c r="R6560" s="0" t="n">
        <f aca="false">F6560*H6560</f>
        <v>-0.25</v>
      </c>
      <c r="S6560" s="0" t="n">
        <f aca="false">G6560*H6560</f>
        <v>-0.25</v>
      </c>
      <c r="T6560" s="0" t="n">
        <f aca="false">E6560*E6560</f>
        <v>1</v>
      </c>
      <c r="U6560" s="0" t="n">
        <f aca="false">F6560*F6560</f>
        <v>1</v>
      </c>
      <c r="V6560" s="0" t="n">
        <f aca="false">G6560*G6560</f>
        <v>1</v>
      </c>
      <c r="W6560" s="0" t="n">
        <f aca="false">H6560*H6560</f>
        <v>0.0625</v>
      </c>
      <c r="X6560" s="0" t="n">
        <f aca="false">SUMPRODUCT(I6560:W6560,_XtX!$B$96:$P$96)</f>
        <v>47.756067251462</v>
      </c>
      <c r="Y6560" s="0" t="n">
        <f aca="false">SUMPRODUCT(MMULT(I6560:W6560,_XtX!$B$78:$P$92),I6560:W6560)</f>
        <v>0.737093384502924</v>
      </c>
      <c r="Z6560" s="0" t="n">
        <f aca="false">04_回帰ANOVA!$K$19*04_回帰ANOVA!$K$14*SQRT(1+Y6560)</f>
        <v>1.71794784853551</v>
      </c>
      <c r="AA6560" s="0" t="n">
        <f aca="false">X6560-Z6560</f>
        <v>46.0381194029265</v>
      </c>
      <c r="AB6560" s="0" t="n">
        <f aca="false">X6560+Z6560</f>
        <v>49.4740150999975</v>
      </c>
      <c r="AC6560" s="54" t="b">
        <f aca="false">AND(E6560&gt;=01_因子設定!$L$5-0.000000001,E6560&lt;=01_因子設定!$M$5+0.000000001,F6560&gt;=01_因子設定!$L$6-0.000000001,F6560&lt;=01_因子設定!$M$6+0.000000001,G6560&gt;=01_因子設定!$L$7-0.000000001,G6560&lt;=01_因子設定!$M$7+0.000000001,H6560&gt;=01_因子設定!$L$8-0.000000001,H6560&lt;=01_因子設定!$M$8+0.000000001,IF(01_因子設定!$B$20="Box-Behnken",E6560^2+F6560^2+G6560^2+H6560^2&lt;=2+0.000000001,TRUE()))</f>
        <v>1</v>
      </c>
      <c r="AD6560" s="55" t="n">
        <f aca="false">IF(AC6560,IF(01_因子設定!$B$13="最大化",AA6560-01_因子設定!$B$14,IF(01_因子設定!$B$13="最小化",01_因子設定!$B$15-AB6560,MIN(AA6560-01_因子設定!$B$14,01_因子設定!$B$15-AB6560))),-1E+030)</f>
        <v>-0.461880597073481</v>
      </c>
      <c r="AE6560" s="55" t="n">
        <f aca="false">IF(AC6560,IF(01_因子設定!$B$13="最大化",X6560,IF(01_因子設定!$B$13="最小化",-X6560,-ABS(X6560-01_因子設定!$B$16))),-1E+030)</f>
        <v>47.756067251462</v>
      </c>
      <c r="AF6560" s="55" t="n">
        <f aca="false">AD6560+ROW()*0.000000001</f>
        <v>-0.461874037073481</v>
      </c>
      <c r="AG6560" s="55" t="n">
        <f aca="false">AE6560+ROW()*0.000000001</f>
        <v>47.756073811462</v>
      </c>
    </row>
    <row r="6561" customFormat="false" ht="15" hidden="false" customHeight="false" outlineLevel="0" collapsed="false">
      <c r="A6561" s="0" t="n">
        <v>8</v>
      </c>
      <c r="B6561" s="0" t="n">
        <v>8</v>
      </c>
      <c r="C6561" s="0" t="n">
        <v>8</v>
      </c>
      <c r="D6561" s="0" t="n">
        <v>4</v>
      </c>
      <c r="E6561" s="0" t="n">
        <f aca="false">-1+A6561*0.25</f>
        <v>1</v>
      </c>
      <c r="F6561" s="0" t="n">
        <f aca="false">-1+B6561*0.25</f>
        <v>1</v>
      </c>
      <c r="G6561" s="0" t="n">
        <f aca="false">-1+C6561*0.25</f>
        <v>1</v>
      </c>
      <c r="H6561" s="0" t="n">
        <f aca="false">-1+D6561*0.25</f>
        <v>0</v>
      </c>
      <c r="I6561" s="0" t="n">
        <f aca="false">1</f>
        <v>1</v>
      </c>
      <c r="J6561" s="0" t="n">
        <f aca="false">E6561</f>
        <v>1</v>
      </c>
      <c r="K6561" s="0" t="n">
        <f aca="false">F6561</f>
        <v>1</v>
      </c>
      <c r="L6561" s="0" t="n">
        <f aca="false">G6561</f>
        <v>1</v>
      </c>
      <c r="M6561" s="0" t="n">
        <f aca="false">H6561</f>
        <v>0</v>
      </c>
      <c r="N6561" s="0" t="n">
        <f aca="false">E6561*F6561</f>
        <v>1</v>
      </c>
      <c r="O6561" s="0" t="n">
        <f aca="false">E6561*G6561</f>
        <v>1</v>
      </c>
      <c r="P6561" s="0" t="n">
        <f aca="false">E6561*H6561</f>
        <v>0</v>
      </c>
      <c r="Q6561" s="0" t="n">
        <f aca="false">F6561*G6561</f>
        <v>1</v>
      </c>
      <c r="R6561" s="0" t="n">
        <f aca="false">F6561*H6561</f>
        <v>0</v>
      </c>
      <c r="S6561" s="0" t="n">
        <f aca="false">G6561*H6561</f>
        <v>0</v>
      </c>
      <c r="T6561" s="0" t="n">
        <f aca="false">E6561*E6561</f>
        <v>1</v>
      </c>
      <c r="U6561" s="0" t="n">
        <f aca="false">F6561*F6561</f>
        <v>1</v>
      </c>
      <c r="V6561" s="0" t="n">
        <f aca="false">G6561*G6561</f>
        <v>1</v>
      </c>
      <c r="W6561" s="0" t="n">
        <f aca="false">H6561*H6561</f>
        <v>0</v>
      </c>
      <c r="X6561" s="0" t="n">
        <f aca="false">SUMPRODUCT(I6561:W6561,_XtX!$B$96:$P$96)</f>
        <v>47.9313596491228</v>
      </c>
      <c r="Y6561" s="0" t="n">
        <f aca="false">SUMPRODUCT(MMULT(I6561:W6561,_XtX!$B$78:$P$92),I6561:W6561)</f>
        <v>0.766447368421053</v>
      </c>
      <c r="Z6561" s="0" t="n">
        <f aca="false">04_回帰ANOVA!$K$19*04_回帰ANOVA!$K$14*SQRT(1+Y6561)</f>
        <v>1.7324022685743</v>
      </c>
      <c r="AA6561" s="0" t="n">
        <f aca="false">X6561-Z6561</f>
        <v>46.1989573805485</v>
      </c>
      <c r="AB6561" s="0" t="n">
        <f aca="false">X6561+Z6561</f>
        <v>49.6637619176971</v>
      </c>
      <c r="AC6561" s="54" t="b">
        <f aca="false">AND(E6561&gt;=01_因子設定!$L$5-0.000000001,E6561&lt;=01_因子設定!$M$5+0.000000001,F6561&gt;=01_因子設定!$L$6-0.000000001,F6561&lt;=01_因子設定!$M$6+0.000000001,G6561&gt;=01_因子設定!$L$7-0.000000001,G6561&lt;=01_因子設定!$M$7+0.000000001,H6561&gt;=01_因子設定!$L$8-0.000000001,H6561&lt;=01_因子設定!$M$8+0.000000001,IF(01_因子設定!$B$20="Box-Behnken",E6561^2+F6561^2+G6561^2+H6561^2&lt;=2+0.000000001,TRUE()))</f>
        <v>1</v>
      </c>
      <c r="AD6561" s="55" t="n">
        <f aca="false">IF(AC6561,IF(01_因子設定!$B$13="最大化",AA6561-01_因子設定!$B$14,IF(01_因子設定!$B$13="最小化",01_因子設定!$B$15-AB6561,MIN(AA6561-01_因子設定!$B$14,01_因子設定!$B$15-AB6561))),-1E+030)</f>
        <v>-0.301042619451472</v>
      </c>
      <c r="AE6561" s="55" t="n">
        <f aca="false">IF(AC6561,IF(01_因子設定!$B$13="最大化",X6561,IF(01_因子設定!$B$13="最小化",-X6561,-ABS(X6561-01_因子設定!$B$16))),-1E+030)</f>
        <v>47.9313596491228</v>
      </c>
      <c r="AF6561" s="55" t="n">
        <f aca="false">AD6561+ROW()*0.000000001</f>
        <v>-0.301036058451472</v>
      </c>
      <c r="AG6561" s="55" t="n">
        <f aca="false">AE6561+ROW()*0.000000001</f>
        <v>47.9313662101228</v>
      </c>
    </row>
    <row r="6562" customFormat="false" ht="15" hidden="false" customHeight="false" outlineLevel="0" collapsed="false">
      <c r="A6562" s="0" t="n">
        <v>8</v>
      </c>
      <c r="B6562" s="0" t="n">
        <v>8</v>
      </c>
      <c r="C6562" s="0" t="n">
        <v>8</v>
      </c>
      <c r="D6562" s="0" t="n">
        <v>5</v>
      </c>
      <c r="E6562" s="0" t="n">
        <f aca="false">-1+A6562*0.25</f>
        <v>1</v>
      </c>
      <c r="F6562" s="0" t="n">
        <f aca="false">-1+B6562*0.25</f>
        <v>1</v>
      </c>
      <c r="G6562" s="0" t="n">
        <f aca="false">-1+C6562*0.25</f>
        <v>1</v>
      </c>
      <c r="H6562" s="0" t="n">
        <f aca="false">-1+D6562*0.25</f>
        <v>0.25</v>
      </c>
      <c r="I6562" s="0" t="n">
        <f aca="false">1</f>
        <v>1</v>
      </c>
      <c r="J6562" s="0" t="n">
        <f aca="false">E6562</f>
        <v>1</v>
      </c>
      <c r="K6562" s="0" t="n">
        <f aca="false">F6562</f>
        <v>1</v>
      </c>
      <c r="L6562" s="0" t="n">
        <f aca="false">G6562</f>
        <v>1</v>
      </c>
      <c r="M6562" s="0" t="n">
        <f aca="false">H6562</f>
        <v>0.25</v>
      </c>
      <c r="N6562" s="0" t="n">
        <f aca="false">E6562*F6562</f>
        <v>1</v>
      </c>
      <c r="O6562" s="0" t="n">
        <f aca="false">E6562*G6562</f>
        <v>1</v>
      </c>
      <c r="P6562" s="0" t="n">
        <f aca="false">E6562*H6562</f>
        <v>0.25</v>
      </c>
      <c r="Q6562" s="0" t="n">
        <f aca="false">F6562*G6562</f>
        <v>1</v>
      </c>
      <c r="R6562" s="0" t="n">
        <f aca="false">F6562*H6562</f>
        <v>0.25</v>
      </c>
      <c r="S6562" s="0" t="n">
        <f aca="false">G6562*H6562</f>
        <v>0.25</v>
      </c>
      <c r="T6562" s="0" t="n">
        <f aca="false">E6562*E6562</f>
        <v>1</v>
      </c>
      <c r="U6562" s="0" t="n">
        <f aca="false">F6562*F6562</f>
        <v>1</v>
      </c>
      <c r="V6562" s="0" t="n">
        <f aca="false">G6562*G6562</f>
        <v>1</v>
      </c>
      <c r="W6562" s="0" t="n">
        <f aca="false">H6562*H6562</f>
        <v>0.0625</v>
      </c>
      <c r="X6562" s="0" t="n">
        <f aca="false">SUMPRODUCT(I6562:W6562,_XtX!$B$96:$P$96)</f>
        <v>48.0588450292398</v>
      </c>
      <c r="Y6562" s="0" t="n">
        <f aca="false">SUMPRODUCT(MMULT(I6562:W6562,_XtX!$B$78:$P$92),I6562:W6562)</f>
        <v>0.737093384502924</v>
      </c>
      <c r="Z6562" s="0" t="n">
        <f aca="false">04_回帰ANOVA!$K$19*04_回帰ANOVA!$K$14*SQRT(1+Y6562)</f>
        <v>1.71794784853551</v>
      </c>
      <c r="AA6562" s="0" t="n">
        <f aca="false">X6562-Z6562</f>
        <v>46.3408971807043</v>
      </c>
      <c r="AB6562" s="0" t="n">
        <f aca="false">X6562+Z6562</f>
        <v>49.7767928777753</v>
      </c>
      <c r="AC6562" s="54" t="b">
        <f aca="false">AND(E6562&gt;=01_因子設定!$L$5-0.000000001,E6562&lt;=01_因子設定!$M$5+0.000000001,F6562&gt;=01_因子設定!$L$6-0.000000001,F6562&lt;=01_因子設定!$M$6+0.000000001,G6562&gt;=01_因子設定!$L$7-0.000000001,G6562&lt;=01_因子設定!$M$7+0.000000001,H6562&gt;=01_因子設定!$L$8-0.000000001,H6562&lt;=01_因子設定!$M$8+0.000000001,IF(01_因子設定!$B$20="Box-Behnken",E6562^2+F6562^2+G6562^2+H6562^2&lt;=2+0.000000001,TRUE()))</f>
        <v>1</v>
      </c>
      <c r="AD6562" s="55" t="n">
        <f aca="false">IF(AC6562,IF(01_因子設定!$B$13="最大化",AA6562-01_因子設定!$B$14,IF(01_因子設定!$B$13="最小化",01_因子設定!$B$15-AB6562,MIN(AA6562-01_因子設定!$B$14,01_因子設定!$B$15-AB6562))),-1E+030)</f>
        <v>-0.159102819295704</v>
      </c>
      <c r="AE6562" s="55" t="n">
        <f aca="false">IF(AC6562,IF(01_因子設定!$B$13="最大化",X6562,IF(01_因子設定!$B$13="最小化",-X6562,-ABS(X6562-01_因子設定!$B$16))),-1E+030)</f>
        <v>48.0588450292398</v>
      </c>
      <c r="AF6562" s="55" t="n">
        <f aca="false">AD6562+ROW()*0.000000001</f>
        <v>-0.159096257295704</v>
      </c>
      <c r="AG6562" s="55" t="n">
        <f aca="false">AE6562+ROW()*0.000000001</f>
        <v>48.0588515912398</v>
      </c>
    </row>
    <row r="6563" customFormat="false" ht="15" hidden="false" customHeight="false" outlineLevel="0" collapsed="false">
      <c r="A6563" s="0" t="n">
        <v>8</v>
      </c>
      <c r="B6563" s="0" t="n">
        <v>8</v>
      </c>
      <c r="C6563" s="0" t="n">
        <v>8</v>
      </c>
      <c r="D6563" s="0" t="n">
        <v>6</v>
      </c>
      <c r="E6563" s="0" t="n">
        <f aca="false">-1+A6563*0.25</f>
        <v>1</v>
      </c>
      <c r="F6563" s="0" t="n">
        <f aca="false">-1+B6563*0.25</f>
        <v>1</v>
      </c>
      <c r="G6563" s="0" t="n">
        <f aca="false">-1+C6563*0.25</f>
        <v>1</v>
      </c>
      <c r="H6563" s="0" t="n">
        <f aca="false">-1+D6563*0.25</f>
        <v>0.5</v>
      </c>
      <c r="I6563" s="0" t="n">
        <f aca="false">1</f>
        <v>1</v>
      </c>
      <c r="J6563" s="0" t="n">
        <f aca="false">E6563</f>
        <v>1</v>
      </c>
      <c r="K6563" s="0" t="n">
        <f aca="false">F6563</f>
        <v>1</v>
      </c>
      <c r="L6563" s="0" t="n">
        <f aca="false">G6563</f>
        <v>1</v>
      </c>
      <c r="M6563" s="0" t="n">
        <f aca="false">H6563</f>
        <v>0.5</v>
      </c>
      <c r="N6563" s="0" t="n">
        <f aca="false">E6563*F6563</f>
        <v>1</v>
      </c>
      <c r="O6563" s="0" t="n">
        <f aca="false">E6563*G6563</f>
        <v>1</v>
      </c>
      <c r="P6563" s="0" t="n">
        <f aca="false">E6563*H6563</f>
        <v>0.5</v>
      </c>
      <c r="Q6563" s="0" t="n">
        <f aca="false">F6563*G6563</f>
        <v>1</v>
      </c>
      <c r="R6563" s="0" t="n">
        <f aca="false">F6563*H6563</f>
        <v>0.5</v>
      </c>
      <c r="S6563" s="0" t="n">
        <f aca="false">G6563*H6563</f>
        <v>0.5</v>
      </c>
      <c r="T6563" s="0" t="n">
        <f aca="false">E6563*E6563</f>
        <v>1</v>
      </c>
      <c r="U6563" s="0" t="n">
        <f aca="false">F6563*F6563</f>
        <v>1</v>
      </c>
      <c r="V6563" s="0" t="n">
        <f aca="false">G6563*G6563</f>
        <v>1</v>
      </c>
      <c r="W6563" s="0" t="n">
        <f aca="false">H6563*H6563</f>
        <v>0.25</v>
      </c>
      <c r="X6563" s="0" t="n">
        <f aca="false">SUMPRODUCT(I6563:W6563,_XtX!$B$96:$P$96)</f>
        <v>48.1385233918129</v>
      </c>
      <c r="Y6563" s="0" t="n">
        <f aca="false">SUMPRODUCT(MMULT(I6563:W6563,_XtX!$B$78:$P$92),I6563:W6563)</f>
        <v>0.667123538011696</v>
      </c>
      <c r="Z6563" s="0" t="n">
        <f aca="false">04_回帰ANOVA!$K$19*04_回帰ANOVA!$K$14*SQRT(1+Y6563)</f>
        <v>1.68299290213005</v>
      </c>
      <c r="AA6563" s="0" t="n">
        <f aca="false">X6563-Z6563</f>
        <v>46.4555304896829</v>
      </c>
      <c r="AB6563" s="0" t="n">
        <f aca="false">X6563+Z6563</f>
        <v>49.821516293943</v>
      </c>
      <c r="AC6563" s="54" t="b">
        <f aca="false">AND(E6563&gt;=01_因子設定!$L$5-0.000000001,E6563&lt;=01_因子設定!$M$5+0.000000001,F6563&gt;=01_因子設定!$L$6-0.000000001,F6563&lt;=01_因子設定!$M$6+0.000000001,G6563&gt;=01_因子設定!$L$7-0.000000001,G6563&lt;=01_因子設定!$M$7+0.000000001,H6563&gt;=01_因子設定!$L$8-0.000000001,H6563&lt;=01_因子設定!$M$8+0.000000001,IF(01_因子設定!$B$20="Box-Behnken",E6563^2+F6563^2+G6563^2+H6563^2&lt;=2+0.000000001,TRUE()))</f>
        <v>1</v>
      </c>
      <c r="AD6563" s="55" t="n">
        <f aca="false">IF(AC6563,IF(01_因子設定!$B$13="最大化",AA6563-01_因子設定!$B$14,IF(01_因子設定!$B$13="最小化",01_因子設定!$B$15-AB6563,MIN(AA6563-01_因子設定!$B$14,01_因子設定!$B$15-AB6563))),-1E+030)</f>
        <v>-0.0444695103171497</v>
      </c>
      <c r="AE6563" s="55" t="n">
        <f aca="false">IF(AC6563,IF(01_因子設定!$B$13="最大化",X6563,IF(01_因子設定!$B$13="最小化",-X6563,-ABS(X6563-01_因子設定!$B$16))),-1E+030)</f>
        <v>48.1385233918129</v>
      </c>
      <c r="AF6563" s="55" t="n">
        <f aca="false">AD6563+ROW()*0.000000001</f>
        <v>-0.0444629473171497</v>
      </c>
      <c r="AG6563" s="55" t="n">
        <f aca="false">AE6563+ROW()*0.000000001</f>
        <v>48.1385299548129</v>
      </c>
    </row>
    <row r="6564" customFormat="false" ht="15" hidden="false" customHeight="false" outlineLevel="0" collapsed="false">
      <c r="A6564" s="0" t="n">
        <v>8</v>
      </c>
      <c r="B6564" s="0" t="n">
        <v>8</v>
      </c>
      <c r="C6564" s="0" t="n">
        <v>8</v>
      </c>
      <c r="D6564" s="0" t="n">
        <v>7</v>
      </c>
      <c r="E6564" s="0" t="n">
        <f aca="false">-1+A6564*0.25</f>
        <v>1</v>
      </c>
      <c r="F6564" s="0" t="n">
        <f aca="false">-1+B6564*0.25</f>
        <v>1</v>
      </c>
      <c r="G6564" s="0" t="n">
        <f aca="false">-1+C6564*0.25</f>
        <v>1</v>
      </c>
      <c r="H6564" s="0" t="n">
        <f aca="false">-1+D6564*0.25</f>
        <v>0.75</v>
      </c>
      <c r="I6564" s="0" t="n">
        <f aca="false">1</f>
        <v>1</v>
      </c>
      <c r="J6564" s="0" t="n">
        <f aca="false">E6564</f>
        <v>1</v>
      </c>
      <c r="K6564" s="0" t="n">
        <f aca="false">F6564</f>
        <v>1</v>
      </c>
      <c r="L6564" s="0" t="n">
        <f aca="false">G6564</f>
        <v>1</v>
      </c>
      <c r="M6564" s="0" t="n">
        <f aca="false">H6564</f>
        <v>0.75</v>
      </c>
      <c r="N6564" s="0" t="n">
        <f aca="false">E6564*F6564</f>
        <v>1</v>
      </c>
      <c r="O6564" s="0" t="n">
        <f aca="false">E6564*G6564</f>
        <v>1</v>
      </c>
      <c r="P6564" s="0" t="n">
        <f aca="false">E6564*H6564</f>
        <v>0.75</v>
      </c>
      <c r="Q6564" s="0" t="n">
        <f aca="false">F6564*G6564</f>
        <v>1</v>
      </c>
      <c r="R6564" s="0" t="n">
        <f aca="false">F6564*H6564</f>
        <v>0.75</v>
      </c>
      <c r="S6564" s="0" t="n">
        <f aca="false">G6564*H6564</f>
        <v>0.75</v>
      </c>
      <c r="T6564" s="0" t="n">
        <f aca="false">E6564*E6564</f>
        <v>1</v>
      </c>
      <c r="U6564" s="0" t="n">
        <f aca="false">F6564*F6564</f>
        <v>1</v>
      </c>
      <c r="V6564" s="0" t="n">
        <f aca="false">G6564*G6564</f>
        <v>1</v>
      </c>
      <c r="W6564" s="0" t="n">
        <f aca="false">H6564*H6564</f>
        <v>0.5625</v>
      </c>
      <c r="X6564" s="0" t="n">
        <f aca="false">SUMPRODUCT(I6564:W6564,_XtX!$B$96:$P$96)</f>
        <v>48.1703947368422</v>
      </c>
      <c r="Y6564" s="0" t="n">
        <f aca="false">SUMPRODUCT(MMULT(I6564:W6564,_XtX!$B$78:$P$92),I6564:W6564)</f>
        <v>0.610814144736842</v>
      </c>
      <c r="Z6564" s="0" t="n">
        <f aca="false">04_回帰ANOVA!$K$19*04_回帰ANOVA!$K$14*SQRT(1+Y6564)</f>
        <v>1.6543260558361</v>
      </c>
      <c r="AA6564" s="0" t="n">
        <f aca="false">X6564-Z6564</f>
        <v>46.5160686810061</v>
      </c>
      <c r="AB6564" s="0" t="n">
        <f aca="false">X6564+Z6564</f>
        <v>49.8247207926783</v>
      </c>
      <c r="AC6564" s="54" t="b">
        <f aca="false">AND(E6564&gt;=01_因子設定!$L$5-0.000000001,E6564&lt;=01_因子設定!$M$5+0.000000001,F6564&gt;=01_因子設定!$L$6-0.000000001,F6564&lt;=01_因子設定!$M$6+0.000000001,G6564&gt;=01_因子設定!$L$7-0.000000001,G6564&lt;=01_因子設定!$M$7+0.000000001,H6564&gt;=01_因子設定!$L$8-0.000000001,H6564&lt;=01_因子設定!$M$8+0.000000001,IF(01_因子設定!$B$20="Box-Behnken",E6564^2+F6564^2+G6564^2+H6564^2&lt;=2+0.000000001,TRUE()))</f>
        <v>1</v>
      </c>
      <c r="AD6564" s="55" t="n">
        <f aca="false">IF(AC6564,IF(01_因子設定!$B$13="最大化",AA6564-01_因子設定!$B$14,IF(01_因子設定!$B$13="最小化",01_因子設定!$B$15-AB6564,MIN(AA6564-01_因子設定!$B$14,01_因子設定!$B$15-AB6564))),-1E+030)</f>
        <v>0.0160686810060611</v>
      </c>
      <c r="AE6564" s="55" t="n">
        <f aca="false">IF(AC6564,IF(01_因子設定!$B$13="最大化",X6564,IF(01_因子設定!$B$13="最小化",-X6564,-ABS(X6564-01_因子設定!$B$16))),-1E+030)</f>
        <v>48.1703947368422</v>
      </c>
      <c r="AF6564" s="55" t="n">
        <f aca="false">AD6564+ROW()*0.000000001</f>
        <v>0.0160752450060611</v>
      </c>
      <c r="AG6564" s="55" t="n">
        <f aca="false">AE6564+ROW()*0.000000001</f>
        <v>48.1704013008422</v>
      </c>
    </row>
    <row r="6565" customFormat="false" ht="15" hidden="false" customHeight="false" outlineLevel="0" collapsed="false">
      <c r="A6565" s="0" t="n">
        <v>8</v>
      </c>
      <c r="B6565" s="0" t="n">
        <v>8</v>
      </c>
      <c r="C6565" s="0" t="n">
        <v>8</v>
      </c>
      <c r="D6565" s="0" t="n">
        <v>8</v>
      </c>
      <c r="E6565" s="0" t="n">
        <f aca="false">-1+A6565*0.25</f>
        <v>1</v>
      </c>
      <c r="F6565" s="0" t="n">
        <f aca="false">-1+B6565*0.25</f>
        <v>1</v>
      </c>
      <c r="G6565" s="0" t="n">
        <f aca="false">-1+C6565*0.25</f>
        <v>1</v>
      </c>
      <c r="H6565" s="0" t="n">
        <f aca="false">-1+D6565*0.25</f>
        <v>1</v>
      </c>
      <c r="I6565" s="0" t="n">
        <f aca="false">1</f>
        <v>1</v>
      </c>
      <c r="J6565" s="0" t="n">
        <f aca="false">E6565</f>
        <v>1</v>
      </c>
      <c r="K6565" s="0" t="n">
        <f aca="false">F6565</f>
        <v>1</v>
      </c>
      <c r="L6565" s="0" t="n">
        <f aca="false">G6565</f>
        <v>1</v>
      </c>
      <c r="M6565" s="0" t="n">
        <f aca="false">H6565</f>
        <v>1</v>
      </c>
      <c r="N6565" s="0" t="n">
        <f aca="false">E6565*F6565</f>
        <v>1</v>
      </c>
      <c r="O6565" s="0" t="n">
        <f aca="false">E6565*G6565</f>
        <v>1</v>
      </c>
      <c r="P6565" s="0" t="n">
        <f aca="false">E6565*H6565</f>
        <v>1</v>
      </c>
      <c r="Q6565" s="0" t="n">
        <f aca="false">F6565*G6565</f>
        <v>1</v>
      </c>
      <c r="R6565" s="0" t="n">
        <f aca="false">F6565*H6565</f>
        <v>1</v>
      </c>
      <c r="S6565" s="0" t="n">
        <f aca="false">G6565*H6565</f>
        <v>1</v>
      </c>
      <c r="T6565" s="0" t="n">
        <f aca="false">E6565*E6565</f>
        <v>1</v>
      </c>
      <c r="U6565" s="0" t="n">
        <f aca="false">F6565*F6565</f>
        <v>1</v>
      </c>
      <c r="V6565" s="0" t="n">
        <f aca="false">G6565*G6565</f>
        <v>1</v>
      </c>
      <c r="W6565" s="0" t="n">
        <f aca="false">H6565*H6565</f>
        <v>1</v>
      </c>
      <c r="X6565" s="0" t="n">
        <f aca="false">SUMPRODUCT(I6565:W6565,_XtX!$B$96:$P$96)</f>
        <v>48.1544590643276</v>
      </c>
      <c r="Y6565" s="0" t="n">
        <f aca="false">SUMPRODUCT(MMULT(I6565:W6565,_XtX!$B$78:$P$92),I6565:W6565)</f>
        <v>0.658625730994152</v>
      </c>
      <c r="Z6565" s="0" t="n">
        <f aca="false">04_回帰ANOVA!$K$19*04_回帰ANOVA!$K$14*SQRT(1+Y6565)</f>
        <v>1.67869807328422</v>
      </c>
      <c r="AA6565" s="0" t="n">
        <f aca="false">X6565-Z6565</f>
        <v>46.4757609910433</v>
      </c>
      <c r="AB6565" s="0" t="n">
        <f aca="false">X6565+Z6565</f>
        <v>49.8331571376118</v>
      </c>
      <c r="AC6565" s="54" t="b">
        <f aca="false">AND(E6565&gt;=01_因子設定!$L$5-0.000000001,E6565&lt;=01_因子設定!$M$5+0.000000001,F6565&gt;=01_因子設定!$L$6-0.000000001,F6565&lt;=01_因子設定!$M$6+0.000000001,G6565&gt;=01_因子設定!$L$7-0.000000001,G6565&lt;=01_因子設定!$M$7+0.000000001,H6565&gt;=01_因子設定!$L$8-0.000000001,H6565&lt;=01_因子設定!$M$8+0.000000001,IF(01_因子設定!$B$20="Box-Behnken",E6565^2+F6565^2+G6565^2+H6565^2&lt;=2+0.000000001,TRUE()))</f>
        <v>1</v>
      </c>
      <c r="AD6565" s="55" t="n">
        <f aca="false">IF(AC6565,IF(01_因子設定!$B$13="最大化",AA6565-01_因子設定!$B$14,IF(01_因子設定!$B$13="最小化",01_因子設定!$B$15-AB6565,MIN(AA6565-01_因子設定!$B$14,01_因子設定!$B$15-AB6565))),-1E+030)</f>
        <v>-0.0242390089566769</v>
      </c>
      <c r="AE6565" s="55" t="n">
        <f aca="false">IF(AC6565,IF(01_因子設定!$B$13="最大化",X6565,IF(01_因子設定!$B$13="最小化",-X6565,-ABS(X6565-01_因子設定!$B$16))),-1E+030)</f>
        <v>48.1544590643276</v>
      </c>
      <c r="AF6565" s="55" t="n">
        <f aca="false">AD6565+ROW()*0.000000001</f>
        <v>-0.0242324439566769</v>
      </c>
      <c r="AG6565" s="55" t="n">
        <f aca="false">AE6565+ROW()*0.000000001</f>
        <v>48.1544656293276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I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310</v>
      </c>
    </row>
    <row r="5" customFormat="false" ht="15" hidden="false" customHeight="false" outlineLevel="0" collapsed="false">
      <c r="B5" s="56" t="n">
        <f aca="false">06_正準解析!B6</f>
        <v>-2.58245614035079</v>
      </c>
      <c r="C5" s="56" t="n">
        <f aca="false">06_正準解析!C6</f>
        <v>0.5625</v>
      </c>
      <c r="D5" s="56" t="n">
        <f aca="false">06_正準解析!D6</f>
        <v>-0.325</v>
      </c>
      <c r="E5" s="56" t="n">
        <f aca="false">06_正準解析!E6</f>
        <v>0.0625</v>
      </c>
    </row>
    <row r="6" customFormat="false" ht="15" hidden="false" customHeight="false" outlineLevel="0" collapsed="false">
      <c r="B6" s="56" t="n">
        <f aca="false">06_正準解析!B7</f>
        <v>0.5625</v>
      </c>
      <c r="C6" s="56" t="n">
        <f aca="false">06_正準解析!C7</f>
        <v>-2.58245614035088</v>
      </c>
      <c r="D6" s="56" t="n">
        <f aca="false">06_正準解析!D7</f>
        <v>0.15625</v>
      </c>
      <c r="E6" s="56" t="n">
        <f aca="false">06_正準解析!E7</f>
        <v>-0.10625</v>
      </c>
    </row>
    <row r="7" customFormat="false" ht="15" hidden="false" customHeight="false" outlineLevel="0" collapsed="false">
      <c r="B7" s="56" t="n">
        <f aca="false">06_正準解析!B8</f>
        <v>-0.325</v>
      </c>
      <c r="C7" s="56" t="n">
        <f aca="false">06_正準解析!C8</f>
        <v>0.15625</v>
      </c>
      <c r="D7" s="56" t="n">
        <f aca="false">06_正準解析!D8</f>
        <v>-0.682456140350872</v>
      </c>
      <c r="E7" s="56" t="n">
        <f aca="false">06_正準解析!E8</f>
        <v>0.14375</v>
      </c>
    </row>
    <row r="8" customFormat="false" ht="15" hidden="false" customHeight="false" outlineLevel="0" collapsed="false">
      <c r="B8" s="56" t="n">
        <f aca="false">06_正準解析!B9</f>
        <v>0.0625</v>
      </c>
      <c r="C8" s="56" t="n">
        <f aca="false">06_正準解析!C9</f>
        <v>-0.10625</v>
      </c>
      <c r="D8" s="56" t="n">
        <f aca="false">06_正準解析!D9</f>
        <v>0.14375</v>
      </c>
      <c r="E8" s="56" t="n">
        <f aca="false">06_正準解析!E9</f>
        <v>-0.38245614035084</v>
      </c>
    </row>
    <row r="11" customFormat="false" ht="15" hidden="false" customHeight="false" outlineLevel="0" collapsed="false">
      <c r="A11" s="26" t="s">
        <v>311</v>
      </c>
      <c r="B11" s="56" t="n">
        <f aca="false">$H$11^2*B5-2*$I$11*$H$11*C5+$I$11^2*C6</f>
        <v>-3.14495614035083</v>
      </c>
      <c r="C11" s="56" t="n">
        <f aca="false">0</f>
        <v>0</v>
      </c>
      <c r="D11" s="56" t="n">
        <f aca="false">$H$11*D5-$I$11*D6</f>
        <v>-0.340295138446021</v>
      </c>
      <c r="E11" s="56" t="n">
        <f aca="false">$H$11*E5-$I$11*E6</f>
        <v>0.119324269325231</v>
      </c>
      <c r="G11" s="56" t="n">
        <f aca="false">IF(ABS(C5)&lt;0.00000000000001,0,0.5*ATAN2(C6-B5,2*C5))</f>
        <v>0.785398163397489</v>
      </c>
      <c r="H11" s="56" t="n">
        <f aca="false">COS(G11)</f>
        <v>0.707106781186519</v>
      </c>
      <c r="I11" s="56" t="n">
        <f aca="false">SIN(G11)</f>
        <v>0.707106781186577</v>
      </c>
    </row>
    <row r="12" customFormat="false" ht="15" hidden="false" customHeight="false" outlineLevel="0" collapsed="false">
      <c r="B12" s="56" t="n">
        <f aca="false">0</f>
        <v>0</v>
      </c>
      <c r="C12" s="56" t="n">
        <f aca="false">$I$11^2*B5+2*$I$11*$H$11*C5+$H$11^2*C6</f>
        <v>-2.01995614035083</v>
      </c>
      <c r="D12" s="56" t="n">
        <f aca="false">$I$11*D5+$H$11*D6</f>
        <v>-0.119324269325244</v>
      </c>
      <c r="E12" s="56" t="n">
        <f aca="false">$I$11*E5+$H$11*E6</f>
        <v>-0.0309359216769067</v>
      </c>
    </row>
    <row r="13" customFormat="false" ht="15" hidden="false" customHeight="false" outlineLevel="0" collapsed="false">
      <c r="B13" s="56" t="n">
        <f aca="false">$H$11*B7-$I$11*C7</f>
        <v>-0.340295138446021</v>
      </c>
      <c r="C13" s="56" t="n">
        <f aca="false">$I$11*B7+$H$11*C7</f>
        <v>-0.119324269325244</v>
      </c>
      <c r="D13" s="56" t="n">
        <f aca="false">D7</f>
        <v>-0.682456140350872</v>
      </c>
      <c r="E13" s="56" t="n">
        <f aca="false">E7</f>
        <v>0.14375</v>
      </c>
    </row>
    <row r="14" customFormat="false" ht="15" hidden="false" customHeight="false" outlineLevel="0" collapsed="false">
      <c r="B14" s="56" t="n">
        <f aca="false">$H$11*B8-$I$11*C8</f>
        <v>0.119324269325231</v>
      </c>
      <c r="C14" s="56" t="n">
        <f aca="false">$I$11*B8+$H$11*C8</f>
        <v>-0.0309359216769067</v>
      </c>
      <c r="D14" s="56" t="n">
        <f aca="false">D8</f>
        <v>0.14375</v>
      </c>
      <c r="E14" s="56" t="n">
        <f aca="false">E8</f>
        <v>-0.38245614035084</v>
      </c>
    </row>
    <row r="17" customFormat="false" ht="15" hidden="false" customHeight="false" outlineLevel="0" collapsed="false">
      <c r="A17" s="26" t="s">
        <v>312</v>
      </c>
      <c r="B17" s="56" t="n">
        <f aca="false">$H$17^2*B11-2*$I$17*$H$17*D11+$I$17^2*D13</f>
        <v>-3.19111654572179</v>
      </c>
      <c r="C17" s="56" t="n">
        <f aca="false">$H$17*C11-$I$17*C13</f>
        <v>-0.0160392245705606</v>
      </c>
      <c r="D17" s="56" t="n">
        <f aca="false">0</f>
        <v>0</v>
      </c>
      <c r="E17" s="56" t="n">
        <f aca="false">$H$17*E11-$I$17*E13</f>
        <v>0.137563843386128</v>
      </c>
      <c r="G17" s="56" t="n">
        <f aca="false">IF(ABS(D11)&lt;0.00000000000001,0,0.5*ATAN2(D13-B11,2*D11))</f>
        <v>-0.134825220296759</v>
      </c>
      <c r="H17" s="56" t="n">
        <f aca="false">COS(G17)</f>
        <v>0.990924839724046</v>
      </c>
      <c r="I17" s="56" t="n">
        <f aca="false">SIN(G17)</f>
        <v>-0.134417119511893</v>
      </c>
    </row>
    <row r="18" customFormat="false" ht="15" hidden="false" customHeight="false" outlineLevel="0" collapsed="false">
      <c r="B18" s="56" t="n">
        <f aca="false">$H$17*B12-$I$17*D12</f>
        <v>-0.0160392245705606</v>
      </c>
      <c r="C18" s="56" t="n">
        <f aca="false">C12</f>
        <v>-2.01995614035083</v>
      </c>
      <c r="D18" s="56" t="n">
        <f aca="false">$I$17*B12+$H$17*D12</f>
        <v>-0.118241382456306</v>
      </c>
      <c r="E18" s="56" t="n">
        <f aca="false">E12</f>
        <v>-0.0309359216769067</v>
      </c>
    </row>
    <row r="19" customFormat="false" ht="15" hidden="false" customHeight="false" outlineLevel="0" collapsed="false">
      <c r="B19" s="56" t="n">
        <f aca="false">0</f>
        <v>0</v>
      </c>
      <c r="C19" s="56" t="n">
        <f aca="false">$I$17*C11+$H$17*C13</f>
        <v>-0.118241382456306</v>
      </c>
      <c r="D19" s="56" t="n">
        <f aca="false">$I$17^2*B11+2*$I$17*$H$17*D11+$H$17^2*D13</f>
        <v>-0.636295734979913</v>
      </c>
      <c r="E19" s="56" t="n">
        <f aca="false">$I$17*E11+$H$17*E13</f>
        <v>0.126406221139773</v>
      </c>
    </row>
    <row r="20" customFormat="false" ht="15" hidden="false" customHeight="false" outlineLevel="0" collapsed="false">
      <c r="B20" s="56" t="n">
        <f aca="false">$H$17*B14-$I$17*D14</f>
        <v>0.137563843386128</v>
      </c>
      <c r="C20" s="56" t="n">
        <f aca="false">C14</f>
        <v>-0.0309359216769067</v>
      </c>
      <c r="D20" s="56" t="n">
        <f aca="false">$I$17*B14+$H$17*D14</f>
        <v>0.126406221139773</v>
      </c>
      <c r="E20" s="56" t="n">
        <f aca="false">E14</f>
        <v>-0.38245614035084</v>
      </c>
    </row>
    <row r="23" customFormat="false" ht="15" hidden="false" customHeight="false" outlineLevel="0" collapsed="false">
      <c r="A23" s="26" t="s">
        <v>313</v>
      </c>
      <c r="B23" s="56" t="n">
        <f aca="false">$H$23^2*B17-2*$I$23*$H$23*E17+$I$23^2*E20</f>
        <v>-3.19783812422005</v>
      </c>
      <c r="C23" s="56" t="n">
        <f aca="false">$H$23*C17-$I$23*C20</f>
        <v>-0.0145103373988838</v>
      </c>
      <c r="D23" s="56" t="n">
        <f aca="false">$H$23*D17-$I$23*D20</f>
        <v>-0.00616904037276332</v>
      </c>
      <c r="E23" s="56" t="n">
        <f aca="false">0</f>
        <v>0</v>
      </c>
      <c r="G23" s="56" t="n">
        <f aca="false">IF(ABS(E17)&lt;0.00000000000001,0,0.5*ATAN2(E20-B17,2*E17))</f>
        <v>0.0488226909217716</v>
      </c>
      <c r="H23" s="56" t="n">
        <f aca="false">COS(G23)</f>
        <v>0.99880840914893</v>
      </c>
      <c r="I23" s="56" t="n">
        <f aca="false">SIN(G23)</f>
        <v>0.0488032971568856</v>
      </c>
    </row>
    <row r="24" customFormat="false" ht="15" hidden="false" customHeight="false" outlineLevel="0" collapsed="false">
      <c r="B24" s="56" t="n">
        <f aca="false">$H$23*B18-$I$23*E18</f>
        <v>-0.0145103373988838</v>
      </c>
      <c r="C24" s="56" t="n">
        <f aca="false">C18</f>
        <v>-2.01995614035083</v>
      </c>
      <c r="D24" s="56" t="n">
        <f aca="false">D18</f>
        <v>-0.118241382456306</v>
      </c>
      <c r="E24" s="56" t="n">
        <f aca="false">$I$23*B18+$H$23*E18</f>
        <v>-0.0316818257585502</v>
      </c>
    </row>
    <row r="25" customFormat="false" ht="15" hidden="false" customHeight="false" outlineLevel="0" collapsed="false">
      <c r="B25" s="56" t="n">
        <f aca="false">$H$23*B19-$I$23*E19</f>
        <v>-0.00616904037276332</v>
      </c>
      <c r="C25" s="56" t="n">
        <f aca="false">C19</f>
        <v>-0.118241382456306</v>
      </c>
      <c r="D25" s="56" t="n">
        <f aca="false">D19</f>
        <v>-0.636295734979913</v>
      </c>
      <c r="E25" s="56" t="n">
        <f aca="false">$I$23*B19+$H$23*E19</f>
        <v>0.126255596643144</v>
      </c>
    </row>
    <row r="26" customFormat="false" ht="15" hidden="false" customHeight="false" outlineLevel="0" collapsed="false">
      <c r="B26" s="56" t="n">
        <f aca="false">0</f>
        <v>0</v>
      </c>
      <c r="C26" s="56" t="n">
        <f aca="false">$I$23*C17+$H$23*C20</f>
        <v>-0.0316818257585502</v>
      </c>
      <c r="D26" s="56" t="n">
        <f aca="false">$I$23*D17+$H$23*D20</f>
        <v>0.126255596643144</v>
      </c>
      <c r="E26" s="56" t="n">
        <f aca="false">$I$23^2*B17+2*$I$23*$H$23*E17+$H$23^2*E20</f>
        <v>-0.37573456185258</v>
      </c>
    </row>
    <row r="29" customFormat="false" ht="15" hidden="false" customHeight="false" outlineLevel="0" collapsed="false">
      <c r="A29" s="26" t="s">
        <v>314</v>
      </c>
      <c r="B29" s="56" t="n">
        <f aca="false">B23</f>
        <v>-3.19783812422005</v>
      </c>
      <c r="C29" s="56" t="n">
        <f aca="false">$H$29*C23-$I$29*D23</f>
        <v>-0.0149799060030295</v>
      </c>
      <c r="D29" s="56" t="n">
        <f aca="false">$I$29*C23+$H$29*D23</f>
        <v>-0.00492030148371316</v>
      </c>
      <c r="E29" s="56" t="n">
        <f aca="false">E23</f>
        <v>0</v>
      </c>
      <c r="G29" s="56" t="n">
        <f aca="false">IF(ABS(D24)&lt;0.00000000000001,0,0.5*ATAN2(D25-C24,2*D24))</f>
        <v>-0.0846377110934244</v>
      </c>
      <c r="H29" s="56" t="n">
        <f aca="false">COS(G29)</f>
        <v>0.996420366600599</v>
      </c>
      <c r="I29" s="56" t="n">
        <f aca="false">SIN(G29)</f>
        <v>-0.0845366963130657</v>
      </c>
    </row>
    <row r="30" customFormat="false" ht="15" hidden="false" customHeight="false" outlineLevel="0" collapsed="false">
      <c r="B30" s="56" t="n">
        <f aca="false">$H$29*B24-$I$29*B25</f>
        <v>-0.0149799060030295</v>
      </c>
      <c r="C30" s="56" t="n">
        <f aca="false">$H$29^2*C24-2*$I$29*$H$29*D24+$I$29^2*D25</f>
        <v>-2.02998778580429</v>
      </c>
      <c r="D30" s="56" t="n">
        <f aca="false">0</f>
        <v>0</v>
      </c>
      <c r="E30" s="56" t="n">
        <f aca="false">$H$29*E24-$I$29*E25</f>
        <v>-0.0208951854056645</v>
      </c>
    </row>
    <row r="31" customFormat="false" ht="15" hidden="false" customHeight="false" outlineLevel="0" collapsed="false">
      <c r="B31" s="56" t="n">
        <f aca="false">$I$29*B24+$H$29*B25</f>
        <v>-0.00492030148371316</v>
      </c>
      <c r="C31" s="56" t="n">
        <f aca="false">0</f>
        <v>0</v>
      </c>
      <c r="D31" s="56" t="n">
        <f aca="false">$I$29^2*C24+2*$I$29*$H$29*D24+$H$29^2*D25</f>
        <v>-0.626264089526451</v>
      </c>
      <c r="E31" s="56" t="n">
        <f aca="false">$I$29*E24+$H$29*E25</f>
        <v>0.128481924775333</v>
      </c>
    </row>
    <row r="32" customFormat="false" ht="15" hidden="false" customHeight="false" outlineLevel="0" collapsed="false">
      <c r="B32" s="56" t="n">
        <f aca="false">B26</f>
        <v>0</v>
      </c>
      <c r="C32" s="56" t="n">
        <f aca="false">$H$29*C26-$I$29*D26</f>
        <v>-0.0208951854056645</v>
      </c>
      <c r="D32" s="56" t="n">
        <f aca="false">$I$29*C26+$H$29*D26</f>
        <v>0.128481924775333</v>
      </c>
      <c r="E32" s="56" t="n">
        <f aca="false">E26</f>
        <v>-0.37573456185258</v>
      </c>
    </row>
    <row r="35" customFormat="false" ht="15" hidden="false" customHeight="false" outlineLevel="0" collapsed="false">
      <c r="A35" s="26" t="s">
        <v>315</v>
      </c>
      <c r="B35" s="56" t="n">
        <f aca="false">B29</f>
        <v>-3.19783812422005</v>
      </c>
      <c r="C35" s="56" t="n">
        <f aca="false">$H$35*C29-$I$35*E29</f>
        <v>-0.0149787115279972</v>
      </c>
      <c r="D35" s="56" t="n">
        <f aca="false">D29</f>
        <v>-0.00492030148371316</v>
      </c>
      <c r="E35" s="56" t="n">
        <f aca="false">$I$35*C29+$H$35*E29</f>
        <v>0.000189168762339216</v>
      </c>
      <c r="G35" s="56" t="n">
        <f aca="false">IF(ABS(E30)&lt;0.00000000000001,0,0.5*ATAN2(E32-C30,2*E30))</f>
        <v>-0.0126285031742923</v>
      </c>
      <c r="H35" s="56" t="n">
        <f aca="false">COS(G35)</f>
        <v>0.999920261513515</v>
      </c>
      <c r="I35" s="56" t="n">
        <f aca="false">SIN(G35)</f>
        <v>-0.0126281675132647</v>
      </c>
    </row>
    <row r="36" customFormat="false" ht="15" hidden="false" customHeight="false" outlineLevel="0" collapsed="false">
      <c r="B36" s="56" t="n">
        <f aca="false">$H$35*B30-$I$35*B32</f>
        <v>-0.0149787115279972</v>
      </c>
      <c r="C36" s="56" t="n">
        <f aca="false">$H$35^2*C30-2*$I$35*$H$35*E30+$I$35^2*E32</f>
        <v>-2.03025167474792</v>
      </c>
      <c r="D36" s="56" t="n">
        <f aca="false">$H$35*D30-$I$35*D32</f>
        <v>0.00162249126848958</v>
      </c>
      <c r="E36" s="56" t="n">
        <f aca="false">0</f>
        <v>0</v>
      </c>
    </row>
    <row r="37" customFormat="false" ht="15" hidden="false" customHeight="false" outlineLevel="0" collapsed="false">
      <c r="B37" s="56" t="n">
        <f aca="false">B31</f>
        <v>-0.00492030148371316</v>
      </c>
      <c r="C37" s="56" t="n">
        <f aca="false">$H$35*C31-$I$35*E31</f>
        <v>0.00162249126848958</v>
      </c>
      <c r="D37" s="56" t="n">
        <f aca="false">D31</f>
        <v>-0.626264089526451</v>
      </c>
      <c r="E37" s="56" t="n">
        <f aca="false">$I$35*C31+$H$35*E31</f>
        <v>0.128471679821111</v>
      </c>
    </row>
    <row r="38" customFormat="false" ht="15" hidden="false" customHeight="false" outlineLevel="0" collapsed="false">
      <c r="B38" s="56" t="n">
        <f aca="false">$I$35*B30+$H$35*B32</f>
        <v>0.000189168762339216</v>
      </c>
      <c r="C38" s="56" t="n">
        <f aca="false">0</f>
        <v>0</v>
      </c>
      <c r="D38" s="56" t="n">
        <f aca="false">$I$35*D30+$H$35*D32</f>
        <v>0.128471679821111</v>
      </c>
      <c r="E38" s="56" t="n">
        <f aca="false">$I$35^2*C30+2*$I$35*$H$35*E30+$H$35^2*E32</f>
        <v>-0.375470672908952</v>
      </c>
    </row>
    <row r="41" customFormat="false" ht="15" hidden="false" customHeight="false" outlineLevel="0" collapsed="false">
      <c r="A41" s="26" t="s">
        <v>316</v>
      </c>
      <c r="B41" s="56" t="n">
        <f aca="false">B35</f>
        <v>-3.19783812422005</v>
      </c>
      <c r="C41" s="56" t="n">
        <f aca="false">C35</f>
        <v>-0.0149787115279972</v>
      </c>
      <c r="D41" s="56" t="n">
        <f aca="false">$H$41*D35-$I$41*E35</f>
        <v>-0.00460772852701283</v>
      </c>
      <c r="E41" s="56" t="n">
        <f aca="false">$I$41*D35+$H$41*E35</f>
        <v>-0.00173608448314795</v>
      </c>
      <c r="G41" s="56" t="n">
        <f aca="false">IF(ABS(E37)&lt;0.00000000000001,0,0.5*ATAN2(E38-D37,2*E37))</f>
        <v>0.398755017158199</v>
      </c>
      <c r="H41" s="56" t="n">
        <f aca="false">COS(G41)</f>
        <v>0.921545099218082</v>
      </c>
      <c r="I41" s="56" t="n">
        <f aca="false">SIN(G41)</f>
        <v>0.388271335675369</v>
      </c>
    </row>
    <row r="42" customFormat="false" ht="15" hidden="false" customHeight="false" outlineLevel="0" collapsed="false">
      <c r="B42" s="56" t="n">
        <f aca="false">B36</f>
        <v>-0.0149787115279972</v>
      </c>
      <c r="C42" s="56" t="n">
        <f aca="false">C36</f>
        <v>-2.03025167474792</v>
      </c>
      <c r="D42" s="56" t="n">
        <f aca="false">$H$41*D36-$I$41*E36</f>
        <v>0.0014951988770007</v>
      </c>
      <c r="E42" s="56" t="n">
        <f aca="false">$I$41*D36+$H$41*E36</f>
        <v>0.00062996685193807</v>
      </c>
    </row>
    <row r="43" customFormat="false" ht="15" hidden="false" customHeight="false" outlineLevel="0" collapsed="false">
      <c r="B43" s="56" t="n">
        <f aca="false">$H$41*B37-$I$41*B38</f>
        <v>-0.00460772852701283</v>
      </c>
      <c r="C43" s="56" t="n">
        <f aca="false">$H$41*C37-$I$41*C38</f>
        <v>0.0014951988770007</v>
      </c>
      <c r="D43" s="56" t="n">
        <f aca="false">$H$41^2*D37-2*$I$41*$H$41*E37+$I$41^2*E38</f>
        <v>-0.680392607775775</v>
      </c>
      <c r="E43" s="56" t="n">
        <f aca="false">0</f>
        <v>0</v>
      </c>
    </row>
    <row r="44" customFormat="false" ht="15" hidden="false" customHeight="false" outlineLevel="0" collapsed="false">
      <c r="B44" s="56" t="n">
        <f aca="false">$I$41*B37+$H$41*B38</f>
        <v>-0.00173608448314795</v>
      </c>
      <c r="C44" s="56" t="n">
        <f aca="false">$I$41*C37+$H$41*C38</f>
        <v>0.00062996685193807</v>
      </c>
      <c r="D44" s="56" t="n">
        <f aca="false">0</f>
        <v>0</v>
      </c>
      <c r="E44" s="56" t="n">
        <f aca="false">$I$41^2*D37+2*$I$41*$H$41*E37+$H$41^2*E38</f>
        <v>-0.321342154659628</v>
      </c>
    </row>
    <row r="47" customFormat="false" ht="15" hidden="false" customHeight="false" outlineLevel="0" collapsed="false">
      <c r="A47" s="26" t="s">
        <v>317</v>
      </c>
      <c r="B47" s="56" t="n">
        <f aca="false">$H$47^2*B41-2*$I$47*$H$47*C41+$I$47^2*C42</f>
        <v>-3.19803025122388</v>
      </c>
      <c r="C47" s="56" t="n">
        <f aca="false">0</f>
        <v>0</v>
      </c>
      <c r="D47" s="56" t="n">
        <f aca="false">$H$47*D41-$I$47*D42</f>
        <v>-0.00458817268746911</v>
      </c>
      <c r="E47" s="56" t="n">
        <f aca="false">$H$47*E41-$I$47*E42</f>
        <v>-0.00172786197454368</v>
      </c>
      <c r="G47" s="56" t="n">
        <f aca="false">IF(ABS(C41)&lt;0.00000000000001,0,0.5*ATAN2(C42-B41,2*C41))</f>
        <v>-0.0128259675771099</v>
      </c>
      <c r="H47" s="56" t="n">
        <f aca="false">COS(G47)</f>
        <v>0.999917748405434</v>
      </c>
      <c r="I47" s="56" t="n">
        <f aca="false">SIN(G47)</f>
        <v>-0.0128256159230866</v>
      </c>
    </row>
    <row r="48" customFormat="false" ht="15" hidden="false" customHeight="false" outlineLevel="0" collapsed="false">
      <c r="B48" s="56" t="n">
        <f aca="false">0</f>
        <v>0</v>
      </c>
      <c r="C48" s="56" t="n">
        <f aca="false">$I$47^2*B41+2*$I$47*$H$47*C41+$H$47^2*C42</f>
        <v>-2.03005954774409</v>
      </c>
      <c r="D48" s="56" t="n">
        <f aca="false">$I$47*D41+$H$47*D42</f>
        <v>0.00155417285087419</v>
      </c>
      <c r="E48" s="56" t="n">
        <f aca="false">$I$47*E41+$H$47*E42</f>
        <v>0.000652181388950861</v>
      </c>
    </row>
    <row r="49" customFormat="false" ht="15" hidden="false" customHeight="false" outlineLevel="0" collapsed="false">
      <c r="B49" s="56" t="n">
        <f aca="false">$H$47*B43-$I$47*C43</f>
        <v>-0.00458817268746911</v>
      </c>
      <c r="C49" s="56" t="n">
        <f aca="false">$I$47*B43+$H$47*C43</f>
        <v>0.00155417285087419</v>
      </c>
      <c r="D49" s="56" t="n">
        <f aca="false">D43</f>
        <v>-0.680392607775775</v>
      </c>
      <c r="E49" s="56" t="n">
        <f aca="false">E43</f>
        <v>0</v>
      </c>
    </row>
    <row r="50" customFormat="false" ht="15" hidden="false" customHeight="false" outlineLevel="0" collapsed="false">
      <c r="B50" s="56" t="n">
        <f aca="false">$H$47*B44-$I$47*C44</f>
        <v>-0.00172786197454368</v>
      </c>
      <c r="C50" s="56" t="n">
        <f aca="false">$I$47*B44+$H$47*C44</f>
        <v>0.000652181388950861</v>
      </c>
      <c r="D50" s="56" t="n">
        <f aca="false">D44</f>
        <v>0</v>
      </c>
      <c r="E50" s="56" t="n">
        <f aca="false">E44</f>
        <v>-0.321342154659628</v>
      </c>
    </row>
    <row r="53" customFormat="false" ht="15" hidden="false" customHeight="false" outlineLevel="0" collapsed="false">
      <c r="A53" s="26" t="s">
        <v>318</v>
      </c>
      <c r="B53" s="56" t="n">
        <f aca="false">$H$53^2*B47-2*$I$53*$H$53*D47+$I$53^2*D49</f>
        <v>-3.19803861273641</v>
      </c>
      <c r="C53" s="56" t="n">
        <f aca="false">$H$53*C47-$I$53*C49</f>
        <v>2.83232891783426E-006</v>
      </c>
      <c r="D53" s="56" t="n">
        <f aca="false">0</f>
        <v>0</v>
      </c>
      <c r="E53" s="56" t="n">
        <f aca="false">$H$53*E47-$I$53*E49</f>
        <v>-0.00172785910529527</v>
      </c>
      <c r="G53" s="56" t="n">
        <f aca="false">IF(ABS(D47)&lt;0.00000000000001,0,0.5*ATAN2(D49-B47,2*D47))</f>
        <v>-0.00182240378475871</v>
      </c>
      <c r="H53" s="56" t="n">
        <f aca="false">COS(G53)</f>
        <v>0.999998339422682</v>
      </c>
      <c r="I53" s="56" t="n">
        <f aca="false">SIN(G53)</f>
        <v>-0.00182240277601114</v>
      </c>
    </row>
    <row r="54" customFormat="false" ht="15" hidden="false" customHeight="false" outlineLevel="0" collapsed="false">
      <c r="B54" s="56" t="n">
        <f aca="false">$H$53*B48-$I$53*D48</f>
        <v>2.83232891783426E-006</v>
      </c>
      <c r="C54" s="56" t="n">
        <f aca="false">C48</f>
        <v>-2.03005954774409</v>
      </c>
      <c r="D54" s="56" t="n">
        <f aca="false">$I$53*B48+$H$53*D48</f>
        <v>0.00155417027005</v>
      </c>
      <c r="E54" s="56" t="n">
        <f aca="false">E48</f>
        <v>0.000652181388950861</v>
      </c>
    </row>
    <row r="55" customFormat="false" ht="15" hidden="false" customHeight="false" outlineLevel="0" collapsed="false">
      <c r="B55" s="56" t="n">
        <f aca="false">0</f>
        <v>0</v>
      </c>
      <c r="C55" s="56" t="n">
        <f aca="false">$I$53*C47+$H$53*C49</f>
        <v>0.00155417027005</v>
      </c>
      <c r="D55" s="56" t="n">
        <f aca="false">$I$53^2*B47+2*$I$53*$H$53*D47+$H$53^2*D49</f>
        <v>-0.680384246263248</v>
      </c>
      <c r="E55" s="56" t="n">
        <f aca="false">$I$53*E47+$H$53*E49</f>
        <v>3.14886045897249E-006</v>
      </c>
    </row>
    <row r="56" customFormat="false" ht="15" hidden="false" customHeight="false" outlineLevel="0" collapsed="false">
      <c r="B56" s="56" t="n">
        <f aca="false">$H$53*B50-$I$53*D50</f>
        <v>-0.00172785910529527</v>
      </c>
      <c r="C56" s="56" t="n">
        <f aca="false">C50</f>
        <v>0.000652181388950861</v>
      </c>
      <c r="D56" s="56" t="n">
        <f aca="false">$I$53*B50+$H$53*D50</f>
        <v>3.14886045897249E-006</v>
      </c>
      <c r="E56" s="56" t="n">
        <f aca="false">E50</f>
        <v>-0.321342154659628</v>
      </c>
    </row>
    <row r="59" customFormat="false" ht="15" hidden="false" customHeight="false" outlineLevel="0" collapsed="false">
      <c r="A59" s="26" t="s">
        <v>319</v>
      </c>
      <c r="B59" s="56" t="n">
        <f aca="false">$H$59^2*B53-2*$I$59*$H$59*E53+$I$59^2*E56</f>
        <v>-3.19803965055742</v>
      </c>
      <c r="C59" s="56" t="n">
        <f aca="false">$H$59*C53-$I$59*C56</f>
        <v>3.22405445721205E-006</v>
      </c>
      <c r="D59" s="56" t="n">
        <f aca="false">$H$59*D53-$I$59*D56</f>
        <v>1.89133068098653E-009</v>
      </c>
      <c r="E59" s="56" t="n">
        <f aca="false">0</f>
        <v>0</v>
      </c>
      <c r="G59" s="56" t="n">
        <f aca="false">IF(ABS(E53)&lt;0.00000000000001,0,0.5*ATAN2(E56-B53,2*E53))</f>
        <v>-0.000600639761383922</v>
      </c>
      <c r="H59" s="56" t="n">
        <f aca="false">COS(G59)</f>
        <v>0.999999819615944</v>
      </c>
      <c r="I59" s="56" t="n">
        <f aca="false">SIN(G59)</f>
        <v>-0.000600639725268643</v>
      </c>
    </row>
    <row r="60" customFormat="false" ht="15" hidden="false" customHeight="false" outlineLevel="0" collapsed="false">
      <c r="B60" s="56" t="n">
        <f aca="false">$H$59*B54-$I$59*E54</f>
        <v>3.22405445721205E-006</v>
      </c>
      <c r="C60" s="56" t="n">
        <f aca="false">C54</f>
        <v>-2.03005954774409</v>
      </c>
      <c r="D60" s="56" t="n">
        <f aca="false">D54</f>
        <v>0.00155417027005</v>
      </c>
      <c r="E60" s="56" t="n">
        <f aca="false">$I$59*B54+$H$59*E54</f>
        <v>0.000652179570098473</v>
      </c>
    </row>
    <row r="61" customFormat="false" ht="15" hidden="false" customHeight="false" outlineLevel="0" collapsed="false">
      <c r="B61" s="56" t="n">
        <f aca="false">$H$59*B55-$I$59*E55</f>
        <v>1.89133068098653E-009</v>
      </c>
      <c r="C61" s="56" t="n">
        <f aca="false">C55</f>
        <v>0.00155417027005</v>
      </c>
      <c r="D61" s="56" t="n">
        <f aca="false">D55</f>
        <v>-0.680384246263248</v>
      </c>
      <c r="E61" s="56" t="n">
        <f aca="false">$I$59*B55+$H$59*E55</f>
        <v>3.14885989096826E-006</v>
      </c>
    </row>
    <row r="62" customFormat="false" ht="15" hidden="false" customHeight="false" outlineLevel="0" collapsed="false">
      <c r="B62" s="56" t="n">
        <f aca="false">0</f>
        <v>0</v>
      </c>
      <c r="C62" s="56" t="n">
        <f aca="false">$I$59*C53+$H$59*C56</f>
        <v>0.000652179570098473</v>
      </c>
      <c r="D62" s="56" t="n">
        <f aca="false">$I$59*D53+$H$59*D56</f>
        <v>3.14885989096826E-006</v>
      </c>
      <c r="E62" s="56" t="n">
        <f aca="false">$I$59^2*B53+2*$I$59*$H$59*E53+$H$59^2*E56</f>
        <v>-0.321341116838622</v>
      </c>
    </row>
    <row r="65" customFormat="false" ht="15" hidden="false" customHeight="false" outlineLevel="0" collapsed="false">
      <c r="A65" s="26" t="s">
        <v>320</v>
      </c>
      <c r="B65" s="56" t="n">
        <f aca="false">B59</f>
        <v>-3.19803965055742</v>
      </c>
      <c r="C65" s="56" t="n">
        <f aca="false">$H$65*C59-$I$65*D59</f>
        <v>3.22405014180622E-006</v>
      </c>
      <c r="D65" s="56" t="n">
        <f aca="false">$I$65*C59+$H$65*D59</f>
        <v>5.60386652003364E-009</v>
      </c>
      <c r="E65" s="56" t="n">
        <f aca="false">E59</f>
        <v>0</v>
      </c>
      <c r="G65" s="56" t="n">
        <f aca="false">IF(ABS(D60)&lt;0.00000000000001,0,0.5*ATAN2(D61-C60,2*D60))</f>
        <v>0.001151512160452</v>
      </c>
      <c r="H65" s="56" t="n">
        <f aca="false">COS(G65)</f>
        <v>0.999999337009946</v>
      </c>
      <c r="I65" s="56" t="n">
        <f aca="false">SIN(G65)</f>
        <v>0.00115151190597162</v>
      </c>
    </row>
    <row r="66" customFormat="false" ht="15" hidden="false" customHeight="false" outlineLevel="0" collapsed="false">
      <c r="B66" s="56" t="n">
        <f aca="false">$H$65*B60-$I$65*B61</f>
        <v>3.22405014180622E-006</v>
      </c>
      <c r="C66" s="56" t="n">
        <f aca="false">$H$65^2*C60-2*$I$65*$H$65*D60+$I$65^2*D61</f>
        <v>-2.03006133739085</v>
      </c>
      <c r="D66" s="56" t="n">
        <f aca="false">0</f>
        <v>0</v>
      </c>
      <c r="E66" s="56" t="n">
        <f aca="false">$H$65*E60-$I$65*E61</f>
        <v>0.00065217551176025</v>
      </c>
    </row>
    <row r="67" customFormat="false" ht="15" hidden="false" customHeight="false" outlineLevel="0" collapsed="false">
      <c r="B67" s="56" t="n">
        <f aca="false">$I$65*B60+$H$65*B61</f>
        <v>5.60386652003364E-009</v>
      </c>
      <c r="C67" s="56" t="n">
        <f aca="false">0</f>
        <v>0</v>
      </c>
      <c r="D67" s="56" t="n">
        <f aca="false">$I$65^2*C60+2*$I$65*$H$65*D60+$H$65^2*D61</f>
        <v>-0.680382456616491</v>
      </c>
      <c r="E67" s="56" t="n">
        <f aca="false">$I$65*E60+$H$65*E61</f>
        <v>3.89985034310532E-006</v>
      </c>
    </row>
    <row r="68" customFormat="false" ht="15" hidden="false" customHeight="false" outlineLevel="0" collapsed="false">
      <c r="B68" s="56" t="n">
        <f aca="false">B62</f>
        <v>0</v>
      </c>
      <c r="C68" s="56" t="n">
        <f aca="false">$H$65*C62-$I$65*D62</f>
        <v>0.00065217551176025</v>
      </c>
      <c r="D68" s="56" t="n">
        <f aca="false">$I$65*C62+$H$65*D62</f>
        <v>3.89985034310532E-006</v>
      </c>
      <c r="E68" s="56" t="n">
        <f aca="false">E62</f>
        <v>-0.321341116838622</v>
      </c>
    </row>
    <row r="71" customFormat="false" ht="15" hidden="false" customHeight="false" outlineLevel="0" collapsed="false">
      <c r="A71" s="26" t="s">
        <v>321</v>
      </c>
      <c r="B71" s="56" t="n">
        <f aca="false">B65</f>
        <v>-3.19803965055742</v>
      </c>
      <c r="C71" s="56" t="n">
        <f aca="false">$H$71*C65-$I$71*E65</f>
        <v>3.22404990697346E-006</v>
      </c>
      <c r="D71" s="56" t="n">
        <f aca="false">D65</f>
        <v>5.60386652003364E-009</v>
      </c>
      <c r="E71" s="56" t="n">
        <f aca="false">$I$71*C65+$H$71*E65</f>
        <v>1.23053854365761E-009</v>
      </c>
      <c r="G71" s="56" t="n">
        <f aca="false">IF(ABS(E66)&lt;0.00000000000001,0,0.5*ATAN2(E68-C66,2*E66))</f>
        <v>0.000381674762925617</v>
      </c>
      <c r="H71" s="56" t="n">
        <f aca="false">COS(G71)</f>
        <v>0.999999927162189</v>
      </c>
      <c r="I71" s="56" t="n">
        <f aca="false">SIN(G71)</f>
        <v>0.000381674753658833</v>
      </c>
    </row>
    <row r="72" customFormat="false" ht="15" hidden="false" customHeight="false" outlineLevel="0" collapsed="false">
      <c r="B72" s="56" t="n">
        <f aca="false">$H$71*B66-$I$71*B68</f>
        <v>3.22404990697346E-006</v>
      </c>
      <c r="C72" s="56" t="n">
        <f aca="false">$H$71^2*C66-2*$I$71*$H$71*E66+$I$71^2*E68</f>
        <v>-2.03006158630979</v>
      </c>
      <c r="D72" s="56" t="n">
        <f aca="false">$H$71*D66-$I$71*D68</f>
        <v>-1.48847441901104E-009</v>
      </c>
      <c r="E72" s="56" t="n">
        <f aca="false">0</f>
        <v>0</v>
      </c>
    </row>
    <row r="73" customFormat="false" ht="15" hidden="false" customHeight="false" outlineLevel="0" collapsed="false">
      <c r="B73" s="56" t="n">
        <f aca="false">B67</f>
        <v>5.60386652003364E-009</v>
      </c>
      <c r="C73" s="56" t="n">
        <f aca="false">$H$71*C67-$I$71*E67</f>
        <v>-1.48847441901104E-009</v>
      </c>
      <c r="D73" s="56" t="n">
        <f aca="false">D67</f>
        <v>-0.680382456616491</v>
      </c>
      <c r="E73" s="56" t="n">
        <f aca="false">$I$71*C67+$H$71*E67</f>
        <v>3.89985005904876E-006</v>
      </c>
    </row>
    <row r="74" customFormat="false" ht="15" hidden="false" customHeight="false" outlineLevel="0" collapsed="false">
      <c r="B74" s="56" t="n">
        <f aca="false">$I$71*B66+$H$71*B68</f>
        <v>1.23053854365761E-009</v>
      </c>
      <c r="C74" s="56" t="n">
        <f aca="false">0</f>
        <v>0</v>
      </c>
      <c r="D74" s="56" t="n">
        <f aca="false">$I$71*D66+$H$71*D68</f>
        <v>3.89985005904876E-006</v>
      </c>
      <c r="E74" s="56" t="n">
        <f aca="false">$I$71^2*C66+2*$I$71*$H$71*E66+$H$71^2*E68</f>
        <v>-0.321340867919676</v>
      </c>
    </row>
    <row r="77" customFormat="false" ht="15" hidden="false" customHeight="false" outlineLevel="0" collapsed="false">
      <c r="A77" s="26" t="s">
        <v>322</v>
      </c>
      <c r="B77" s="56" t="n">
        <f aca="false">B71</f>
        <v>-3.19803965055742</v>
      </c>
      <c r="C77" s="56" t="n">
        <f aca="false">C71</f>
        <v>3.22404990697346E-006</v>
      </c>
      <c r="D77" s="56" t="n">
        <f aca="false">$H$77*D71-$I$77*E71</f>
        <v>5.60385315379795E-009</v>
      </c>
      <c r="E77" s="56" t="n">
        <f aca="false">$I$77*D71+$H$77*E71</f>
        <v>1.23059941185172E-009</v>
      </c>
      <c r="G77" s="56" t="n">
        <f aca="false">IF(ABS(E73)&lt;0.00000000000001,0,0.5*ATAN2(E74-D73,2*E73))</f>
        <v>1.08618337853012E-005</v>
      </c>
      <c r="H77" s="56" t="n">
        <f aca="false">COS(G77)</f>
        <v>0.99999999994101</v>
      </c>
      <c r="I77" s="56" t="n">
        <f aca="false">SIN(G77)</f>
        <v>1.08618337850876E-005</v>
      </c>
    </row>
    <row r="78" customFormat="false" ht="15" hidden="false" customHeight="false" outlineLevel="0" collapsed="false">
      <c r="B78" s="56" t="n">
        <f aca="false">B72</f>
        <v>3.22404990697346E-006</v>
      </c>
      <c r="C78" s="56" t="n">
        <f aca="false">C72</f>
        <v>-2.03006158630979</v>
      </c>
      <c r="D78" s="56" t="n">
        <f aca="false">$H$77*D72-$I$77*E72</f>
        <v>-1.48847441892323E-009</v>
      </c>
      <c r="E78" s="56" t="n">
        <f aca="false">$I$77*D72+$H$77*E72</f>
        <v>-1.61675617326528E-014</v>
      </c>
    </row>
    <row r="79" customFormat="false" ht="15" hidden="false" customHeight="false" outlineLevel="0" collapsed="false">
      <c r="B79" s="56" t="n">
        <f aca="false">$H$77*B73-$I$77*B74</f>
        <v>5.60385315379795E-009</v>
      </c>
      <c r="C79" s="56" t="n">
        <f aca="false">$H$77*C73-$I$77*C74</f>
        <v>-1.48847441892323E-009</v>
      </c>
      <c r="D79" s="56" t="n">
        <f aca="false">$H$77^2*D73-2*$I$77*$H$77*E73+$I$77^2*E74</f>
        <v>-0.680382456658851</v>
      </c>
      <c r="E79" s="56" t="n">
        <f aca="false">0</f>
        <v>0</v>
      </c>
    </row>
    <row r="80" customFormat="false" ht="15" hidden="false" customHeight="false" outlineLevel="0" collapsed="false">
      <c r="B80" s="56" t="n">
        <f aca="false">$I$77*B73+$H$77*B74</f>
        <v>1.23059941185172E-009</v>
      </c>
      <c r="C80" s="56" t="n">
        <f aca="false">$I$77*C73+$H$77*C74</f>
        <v>-1.61675617326528E-014</v>
      </c>
      <c r="D80" s="56" t="n">
        <f aca="false">0</f>
        <v>0</v>
      </c>
      <c r="E80" s="56" t="n">
        <f aca="false">$I$77^2*D73+2*$I$77*$H$77*E73+$H$77^2*E74</f>
        <v>-0.321340867877317</v>
      </c>
    </row>
    <row r="83" customFormat="false" ht="15" hidden="false" customHeight="false" outlineLevel="0" collapsed="false">
      <c r="A83" s="26" t="s">
        <v>323</v>
      </c>
      <c r="B83" s="56" t="n">
        <f aca="false">$H$83^2*B77-2*$I$83*$H$83*C77+$I$83^2*C78</f>
        <v>-3.19803965056632</v>
      </c>
      <c r="C83" s="56" t="n">
        <f aca="false">0</f>
        <v>0</v>
      </c>
      <c r="D83" s="56" t="n">
        <f aca="false">$H$83*D77-$I$83*D78</f>
        <v>5.60385726251456E-009</v>
      </c>
      <c r="E83" s="56" t="n">
        <f aca="false">$H$83*E77-$I$83*E78</f>
        <v>1.23059941189166E-009</v>
      </c>
      <c r="G83" s="56" t="n">
        <f aca="false">IF(ABS(C77)&lt;0.00000000000001,0,0.5*ATAN2(C78-B77,2*C77))</f>
        <v>2.76036854255267E-006</v>
      </c>
      <c r="H83" s="56" t="n">
        <f aca="false">COS(G83)</f>
        <v>0.99999999999619</v>
      </c>
      <c r="I83" s="56" t="n">
        <f aca="false">SIN(G83)</f>
        <v>2.76036854254916E-006</v>
      </c>
    </row>
    <row r="84" customFormat="false" ht="15" hidden="false" customHeight="false" outlineLevel="0" collapsed="false">
      <c r="B84" s="56" t="n">
        <f aca="false">0</f>
        <v>0</v>
      </c>
      <c r="C84" s="56" t="n">
        <f aca="false">$I$83^2*B77+2*$I$83*$H$83*C77+$H$83^2*C78</f>
        <v>-2.03006158630089</v>
      </c>
      <c r="D84" s="56" t="n">
        <f aca="false">$I$83*D77+$H$83*D78</f>
        <v>-1.4884589502176E-009</v>
      </c>
      <c r="E84" s="56" t="n">
        <f aca="false">$I$83*E77+$H$83*E78</f>
        <v>-1.27706538276362E-014</v>
      </c>
    </row>
    <row r="85" customFormat="false" ht="15" hidden="false" customHeight="false" outlineLevel="0" collapsed="false">
      <c r="B85" s="56" t="n">
        <f aca="false">$H$83*B79-$I$83*C79</f>
        <v>5.60385726251456E-009</v>
      </c>
      <c r="C85" s="56" t="n">
        <f aca="false">$I$83*B79+$H$83*C79</f>
        <v>-1.4884589502176E-009</v>
      </c>
      <c r="D85" s="56" t="n">
        <f aca="false">D79</f>
        <v>-0.680382456658851</v>
      </c>
      <c r="E85" s="56" t="n">
        <f aca="false">E79</f>
        <v>0</v>
      </c>
    </row>
    <row r="86" customFormat="false" ht="15" hidden="false" customHeight="false" outlineLevel="0" collapsed="false">
      <c r="B86" s="56" t="n">
        <f aca="false">$H$83*B80-$I$83*C80</f>
        <v>1.23059941189166E-009</v>
      </c>
      <c r="C86" s="56" t="n">
        <f aca="false">$I$83*B80+$H$83*C80</f>
        <v>-1.27706538276362E-014</v>
      </c>
      <c r="D86" s="56" t="n">
        <f aca="false">D80</f>
        <v>0</v>
      </c>
      <c r="E86" s="56" t="n">
        <f aca="false">E80</f>
        <v>-0.321340867877317</v>
      </c>
    </row>
    <row r="89" customFormat="false" ht="15" hidden="false" customHeight="false" outlineLevel="0" collapsed="false">
      <c r="A89" s="26" t="s">
        <v>324</v>
      </c>
      <c r="B89" s="56" t="n">
        <f aca="false">$H$89^2*B83-2*$I$89*$H$89*D83+$I$89^2*D85</f>
        <v>-3.19803965056632</v>
      </c>
      <c r="C89" s="56" t="n">
        <f aca="false">$H$89*C83-$I$89*C85</f>
        <v>3.31304496828103E-018</v>
      </c>
      <c r="D89" s="56" t="n">
        <f aca="false">0</f>
        <v>0</v>
      </c>
      <c r="E89" s="56" t="n">
        <f aca="false">$H$89*E83-$I$89*E85</f>
        <v>1.23059941189166E-009</v>
      </c>
      <c r="G89" s="56" t="n">
        <f aca="false">IF(ABS(D83)&lt;0.00000000000001,0,0.5*ATAN2(D85-B83,2*D83))</f>
        <v>2.225822195363E-009</v>
      </c>
      <c r="H89" s="56" t="n">
        <f aca="false">COS(G89)</f>
        <v>1</v>
      </c>
      <c r="I89" s="56" t="n">
        <f aca="false">SIN(G89)</f>
        <v>2.225822195363E-009</v>
      </c>
    </row>
    <row r="90" customFormat="false" ht="15" hidden="false" customHeight="false" outlineLevel="0" collapsed="false">
      <c r="B90" s="56" t="n">
        <f aca="false">$H$89*B84-$I$89*D84</f>
        <v>3.31304496828103E-018</v>
      </c>
      <c r="C90" s="56" t="n">
        <f aca="false">C84</f>
        <v>-2.03006158630089</v>
      </c>
      <c r="D90" s="56" t="n">
        <f aca="false">$I$89*B84+$H$89*D84</f>
        <v>-1.4884589502176E-009</v>
      </c>
      <c r="E90" s="56" t="n">
        <f aca="false">E84</f>
        <v>-1.27706538276362E-014</v>
      </c>
    </row>
    <row r="91" customFormat="false" ht="15" hidden="false" customHeight="false" outlineLevel="0" collapsed="false">
      <c r="B91" s="56" t="n">
        <f aca="false">0</f>
        <v>0</v>
      </c>
      <c r="C91" s="56" t="n">
        <f aca="false">$I$89*C83+$H$89*C85</f>
        <v>-1.4884589502176E-009</v>
      </c>
      <c r="D91" s="56" t="n">
        <f aca="false">$I$89^2*B83+2*$I$89*$H$89*D83+$H$89^2*D85</f>
        <v>-0.680382456658851</v>
      </c>
      <c r="E91" s="56" t="n">
        <f aca="false">$I$89*E83+$H$89*E85</f>
        <v>2.7390954845891E-018</v>
      </c>
    </row>
    <row r="92" customFormat="false" ht="15" hidden="false" customHeight="false" outlineLevel="0" collapsed="false">
      <c r="B92" s="56" t="n">
        <f aca="false">$H$89*B86-$I$89*D86</f>
        <v>1.23059941189166E-009</v>
      </c>
      <c r="C92" s="56" t="n">
        <f aca="false">C86</f>
        <v>-1.27706538276362E-014</v>
      </c>
      <c r="D92" s="56" t="n">
        <f aca="false">$I$89*B86+$H$89*D86</f>
        <v>2.7390954845891E-018</v>
      </c>
      <c r="E92" s="56" t="n">
        <f aca="false">E86</f>
        <v>-0.321340867877317</v>
      </c>
    </row>
    <row r="95" customFormat="false" ht="15" hidden="false" customHeight="false" outlineLevel="0" collapsed="false">
      <c r="A95" s="26" t="s">
        <v>325</v>
      </c>
      <c r="B95" s="56" t="n">
        <f aca="false">$H$95^2*B89-2*$I$95*$H$95*E89+$I$95^2*E92</f>
        <v>-3.19803965056632</v>
      </c>
      <c r="C95" s="56" t="n">
        <f aca="false">$H$95*C89-$I$95*C92</f>
        <v>3.31305043133444E-018</v>
      </c>
      <c r="D95" s="56" t="n">
        <f aca="false">$H$95*D89-$I$95*D92</f>
        <v>-1.17173522397769E-027</v>
      </c>
      <c r="E95" s="56" t="n">
        <f aca="false">0</f>
        <v>0</v>
      </c>
      <c r="G95" s="56" t="n">
        <f aca="false">IF(ABS(E89)&lt;0.00000000000001,0,0.5*ATAN2(E92-B89,2*E89))</f>
        <v>4.27781809933312E-010</v>
      </c>
      <c r="H95" s="56" t="n">
        <f aca="false">COS(G95)</f>
        <v>1</v>
      </c>
      <c r="I95" s="56" t="n">
        <f aca="false">SIN(G95)</f>
        <v>4.27781809933312E-010</v>
      </c>
    </row>
    <row r="96" customFormat="false" ht="15" hidden="false" customHeight="false" outlineLevel="0" collapsed="false">
      <c r="B96" s="56" t="n">
        <f aca="false">$H$95*B90-$I$95*E90</f>
        <v>3.31305043133444E-018</v>
      </c>
      <c r="C96" s="56" t="n">
        <f aca="false">C90</f>
        <v>-2.03006158630089</v>
      </c>
      <c r="D96" s="56" t="n">
        <f aca="false">D90</f>
        <v>-1.4884589502176E-009</v>
      </c>
      <c r="E96" s="56" t="n">
        <f aca="false">$I$95*B90+$H$95*E90</f>
        <v>-1.27706538276348E-014</v>
      </c>
    </row>
    <row r="97" customFormat="false" ht="15" hidden="false" customHeight="false" outlineLevel="0" collapsed="false">
      <c r="B97" s="56" t="n">
        <f aca="false">$H$95*B91-$I$95*E91</f>
        <v>-1.17173522397769E-027</v>
      </c>
      <c r="C97" s="56" t="n">
        <f aca="false">C91</f>
        <v>-1.4884589502176E-009</v>
      </c>
      <c r="D97" s="56" t="n">
        <f aca="false">D91</f>
        <v>-0.680382456658851</v>
      </c>
      <c r="E97" s="56" t="n">
        <f aca="false">$I$95*B91+$H$95*E91</f>
        <v>2.7390954845891E-018</v>
      </c>
    </row>
    <row r="98" customFormat="false" ht="15" hidden="false" customHeight="false" outlineLevel="0" collapsed="false">
      <c r="B98" s="56" t="n">
        <f aca="false">0</f>
        <v>0</v>
      </c>
      <c r="C98" s="56" t="n">
        <f aca="false">$I$95*C89+$H$95*C92</f>
        <v>-1.27706538276348E-014</v>
      </c>
      <c r="D98" s="56" t="n">
        <f aca="false">$I$95*D89+$H$95*D92</f>
        <v>2.7390954845891E-018</v>
      </c>
      <c r="E98" s="56" t="n">
        <f aca="false">$I$95^2*B89+2*$I$95*$H$95*E89+$H$95^2*E92</f>
        <v>-0.321340867877317</v>
      </c>
    </row>
    <row r="101" customFormat="false" ht="15" hidden="false" customHeight="false" outlineLevel="0" collapsed="false">
      <c r="A101" s="26" t="s">
        <v>326</v>
      </c>
      <c r="B101" s="56" t="n">
        <f aca="false">B95</f>
        <v>-3.19803965056632</v>
      </c>
      <c r="C101" s="56" t="n">
        <f aca="false">$H$101*C95-$I$101*D95</f>
        <v>3.31305043133444E-018</v>
      </c>
      <c r="D101" s="56" t="n">
        <f aca="false">$I$101*C95+$H$101*D95</f>
        <v>-4.82544776849181E-027</v>
      </c>
      <c r="E101" s="56" t="n">
        <f aca="false">E95</f>
        <v>0</v>
      </c>
      <c r="G101" s="56" t="n">
        <f aca="false">IF(ABS(D96)&lt;0.00000000000001,0,0.5*ATAN2(D97-C96,2*D96))</f>
        <v>-1.10282430655378E-009</v>
      </c>
      <c r="H101" s="56" t="n">
        <f aca="false">COS(G101)</f>
        <v>1</v>
      </c>
      <c r="I101" s="56" t="n">
        <f aca="false">SIN(G101)</f>
        <v>-1.10282430655378E-009</v>
      </c>
    </row>
    <row r="102" customFormat="false" ht="15" hidden="false" customHeight="false" outlineLevel="0" collapsed="false">
      <c r="B102" s="56" t="n">
        <f aca="false">$H$101*B96-$I$101*B97</f>
        <v>3.31305043133444E-018</v>
      </c>
      <c r="C102" s="56" t="n">
        <f aca="false">$H$101^2*C96-2*$I$101*$H$101*D96+$I$101^2*D97</f>
        <v>-2.03006158630089</v>
      </c>
      <c r="D102" s="56" t="n">
        <f aca="false">0</f>
        <v>0</v>
      </c>
      <c r="E102" s="56" t="n">
        <f aca="false">$H$101*E96-$I$101*E97</f>
        <v>-1.27706538276317E-014</v>
      </c>
    </row>
    <row r="103" customFormat="false" ht="15" hidden="false" customHeight="false" outlineLevel="0" collapsed="false">
      <c r="B103" s="56" t="n">
        <f aca="false">$I$101*B96+$H$101*B97</f>
        <v>-4.82544776849181E-027</v>
      </c>
      <c r="C103" s="56" t="n">
        <f aca="false">0</f>
        <v>0</v>
      </c>
      <c r="D103" s="56" t="n">
        <f aca="false">$I$101^2*C96+2*$I$101*$H$101*D96+$H$101^2*D97</f>
        <v>-0.680382456658851</v>
      </c>
      <c r="E103" s="56" t="n">
        <f aca="false">$I$101*E96+$H$101*E97</f>
        <v>2.73910956837655E-018</v>
      </c>
    </row>
    <row r="104" customFormat="false" ht="15" hidden="false" customHeight="false" outlineLevel="0" collapsed="false">
      <c r="B104" s="56" t="n">
        <f aca="false">B98</f>
        <v>0</v>
      </c>
      <c r="C104" s="56" t="n">
        <f aca="false">$H$101*C98-$I$101*D98</f>
        <v>-1.27706538276317E-014</v>
      </c>
      <c r="D104" s="56" t="n">
        <f aca="false">$I$101*C98+$H$101*D98</f>
        <v>2.73910956837655E-018</v>
      </c>
      <c r="E104" s="56" t="n">
        <f aca="false">E98</f>
        <v>-0.321340867877317</v>
      </c>
    </row>
    <row r="107" customFormat="false" ht="15" hidden="false" customHeight="false" outlineLevel="0" collapsed="false">
      <c r="A107" s="26" t="s">
        <v>327</v>
      </c>
      <c r="B107" s="56" t="n">
        <f aca="false">B101</f>
        <v>-3.19803965056632</v>
      </c>
      <c r="C107" s="56" t="n">
        <f aca="false">$H$107*C101-$I$107*E101</f>
        <v>3.31305043133444E-018</v>
      </c>
      <c r="D107" s="56" t="n">
        <f aca="false">D101</f>
        <v>-4.82544776849181E-027</v>
      </c>
      <c r="E107" s="56" t="n">
        <f aca="false">$I$107*C101+$H$107*E101</f>
        <v>-2.47611091244286E-032</v>
      </c>
      <c r="G107" s="56" t="n">
        <f aca="false">IF(ABS(E102)&lt;0.00000000000001,0,0.5*ATAN2(E104-C102,2*E102))</f>
        <v>-7.47380990347776E-015</v>
      </c>
      <c r="H107" s="56" t="n">
        <f aca="false">COS(G107)</f>
        <v>1</v>
      </c>
      <c r="I107" s="56" t="n">
        <f aca="false">SIN(G107)</f>
        <v>-7.47380990347776E-015</v>
      </c>
    </row>
    <row r="108" customFormat="false" ht="15" hidden="false" customHeight="false" outlineLevel="0" collapsed="false">
      <c r="B108" s="56" t="n">
        <f aca="false">$H$107*B102-$I$107*B104</f>
        <v>3.31305043133444E-018</v>
      </c>
      <c r="C108" s="56" t="n">
        <f aca="false">$H$107^2*C102-2*$I$107*$H$107*E102+$I$107^2*E104</f>
        <v>-2.03006158630089</v>
      </c>
      <c r="D108" s="56" t="n">
        <f aca="false">$H$107*D102-$I$107*D104</f>
        <v>2.04715842188433E-032</v>
      </c>
      <c r="E108" s="56" t="n">
        <f aca="false">0</f>
        <v>0</v>
      </c>
    </row>
    <row r="109" customFormat="false" ht="15" hidden="false" customHeight="false" outlineLevel="0" collapsed="false">
      <c r="B109" s="56" t="n">
        <f aca="false">B103</f>
        <v>-4.82544776849181E-027</v>
      </c>
      <c r="C109" s="56" t="n">
        <f aca="false">$H$107*C103-$I$107*E103</f>
        <v>2.04715842188433E-032</v>
      </c>
      <c r="D109" s="56" t="n">
        <f aca="false">D103</f>
        <v>-0.680382456658851</v>
      </c>
      <c r="E109" s="56" t="n">
        <f aca="false">$I$107*C103+$H$107*E103</f>
        <v>2.73910956837655E-018</v>
      </c>
    </row>
    <row r="110" customFormat="false" ht="15" hidden="false" customHeight="false" outlineLevel="0" collapsed="false">
      <c r="B110" s="56" t="n">
        <f aca="false">$I$107*B102+$H$107*B104</f>
        <v>-2.47611091244286E-032</v>
      </c>
      <c r="C110" s="56" t="n">
        <f aca="false">0</f>
        <v>0</v>
      </c>
      <c r="D110" s="56" t="n">
        <f aca="false">$I$107*D102+$H$107*D104</f>
        <v>2.73910956837655E-018</v>
      </c>
      <c r="E110" s="56" t="n">
        <f aca="false">$I$107^2*C102+2*$I$107*$H$107*E102+$H$107^2*E104</f>
        <v>-0.321340867877317</v>
      </c>
    </row>
    <row r="113" customFormat="false" ht="15" hidden="false" customHeight="false" outlineLevel="0" collapsed="false">
      <c r="A113" s="26" t="s">
        <v>328</v>
      </c>
      <c r="B113" s="56" t="n">
        <f aca="false">B107</f>
        <v>-3.19803965056632</v>
      </c>
      <c r="C113" s="56" t="n">
        <f aca="false">C107</f>
        <v>3.31305043133444E-018</v>
      </c>
      <c r="D113" s="56" t="n">
        <f aca="false">$H$113*D107-$I$113*E107</f>
        <v>-4.82544776849181E-027</v>
      </c>
      <c r="E113" s="56" t="n">
        <f aca="false">$I$113*D107+$H$113*E107</f>
        <v>-2.47611091244286E-032</v>
      </c>
      <c r="G113" s="56" t="n">
        <f aca="false">IF(ABS(E109)&lt;0.00000000000001,0,0.5*ATAN2(E110-D109,2*E109))</f>
        <v>0</v>
      </c>
      <c r="H113" s="56" t="n">
        <f aca="false">COS(G113)</f>
        <v>1</v>
      </c>
      <c r="I113" s="56" t="n">
        <f aca="false">SIN(G113)</f>
        <v>0</v>
      </c>
    </row>
    <row r="114" customFormat="false" ht="15" hidden="false" customHeight="false" outlineLevel="0" collapsed="false">
      <c r="B114" s="56" t="n">
        <f aca="false">B108</f>
        <v>3.31305043133444E-018</v>
      </c>
      <c r="C114" s="56" t="n">
        <f aca="false">C108</f>
        <v>-2.03006158630089</v>
      </c>
      <c r="D114" s="56" t="n">
        <f aca="false">$H$113*D108-$I$113*E108</f>
        <v>2.04715842188433E-032</v>
      </c>
      <c r="E114" s="56" t="n">
        <f aca="false">$I$113*D108+$H$113*E108</f>
        <v>0</v>
      </c>
    </row>
    <row r="115" customFormat="false" ht="15" hidden="false" customHeight="false" outlineLevel="0" collapsed="false">
      <c r="B115" s="56" t="n">
        <f aca="false">$H$113*B109-$I$113*B110</f>
        <v>-4.82544776849181E-027</v>
      </c>
      <c r="C115" s="56" t="n">
        <f aca="false">$H$113*C109-$I$113*C110</f>
        <v>2.04715842188433E-032</v>
      </c>
      <c r="D115" s="56" t="n">
        <f aca="false">$H$113^2*D109-2*$I$113*$H$113*E109+$I$113^2*E110</f>
        <v>-0.680382456658851</v>
      </c>
      <c r="E115" s="56" t="n">
        <f aca="false">0</f>
        <v>0</v>
      </c>
    </row>
    <row r="116" customFormat="false" ht="15" hidden="false" customHeight="false" outlineLevel="0" collapsed="false">
      <c r="B116" s="56" t="n">
        <f aca="false">$I$113*B109+$H$113*B110</f>
        <v>-2.47611091244286E-032</v>
      </c>
      <c r="C116" s="56" t="n">
        <f aca="false">$I$113*C109+$H$113*C110</f>
        <v>0</v>
      </c>
      <c r="D116" s="56" t="n">
        <f aca="false">0</f>
        <v>0</v>
      </c>
      <c r="E116" s="56" t="n">
        <f aca="false">$I$113^2*D109+2*$I$113*$H$113*E109+$H$113^2*E110</f>
        <v>-0.321340867877317</v>
      </c>
    </row>
    <row r="119" customFormat="false" ht="15" hidden="false" customHeight="false" outlineLevel="0" collapsed="false">
      <c r="A119" s="26" t="s">
        <v>329</v>
      </c>
      <c r="B119" s="56" t="n">
        <f aca="false">$H$119^2*B113-2*$I$119*$H$119*C113+$I$119^2*C114</f>
        <v>-3.19803965056632</v>
      </c>
      <c r="C119" s="56" t="n">
        <f aca="false">0</f>
        <v>0</v>
      </c>
      <c r="D119" s="56" t="n">
        <f aca="false">$H$119*D113-$I$119*D114</f>
        <v>-4.82544776849181E-027</v>
      </c>
      <c r="E119" s="56" t="n">
        <f aca="false">$H$119*E113-$I$119*E114</f>
        <v>-2.47611091244286E-032</v>
      </c>
      <c r="G119" s="56" t="n">
        <f aca="false">IF(ABS(C113)&lt;0.00000000000001,0,0.5*ATAN2(C114-B113,2*C113))</f>
        <v>0</v>
      </c>
      <c r="H119" s="56" t="n">
        <f aca="false">COS(G119)</f>
        <v>1</v>
      </c>
      <c r="I119" s="56" t="n">
        <f aca="false">SIN(G119)</f>
        <v>0</v>
      </c>
    </row>
    <row r="120" customFormat="false" ht="15" hidden="false" customHeight="false" outlineLevel="0" collapsed="false">
      <c r="B120" s="56" t="n">
        <f aca="false">0</f>
        <v>0</v>
      </c>
      <c r="C120" s="56" t="n">
        <f aca="false">$I$119^2*B113+2*$I$119*$H$119*C113+$H$119^2*C114</f>
        <v>-2.03006158630089</v>
      </c>
      <c r="D120" s="56" t="n">
        <f aca="false">$I$119*D113+$H$119*D114</f>
        <v>2.04715842188433E-032</v>
      </c>
      <c r="E120" s="56" t="n">
        <f aca="false">$I$119*E113+$H$119*E114</f>
        <v>0</v>
      </c>
    </row>
    <row r="121" customFormat="false" ht="15" hidden="false" customHeight="false" outlineLevel="0" collapsed="false">
      <c r="B121" s="56" t="n">
        <f aca="false">$H$119*B115-$I$119*C115</f>
        <v>-4.82544776849181E-027</v>
      </c>
      <c r="C121" s="56" t="n">
        <f aca="false">$I$119*B115+$H$119*C115</f>
        <v>2.04715842188433E-032</v>
      </c>
      <c r="D121" s="56" t="n">
        <f aca="false">D115</f>
        <v>-0.680382456658851</v>
      </c>
      <c r="E121" s="56" t="n">
        <f aca="false">E115</f>
        <v>0</v>
      </c>
    </row>
    <row r="122" customFormat="false" ht="15" hidden="false" customHeight="false" outlineLevel="0" collapsed="false">
      <c r="B122" s="56" t="n">
        <f aca="false">$H$119*B116-$I$119*C116</f>
        <v>-2.47611091244286E-032</v>
      </c>
      <c r="C122" s="56" t="n">
        <f aca="false">$I$119*B116+$H$119*C116</f>
        <v>0</v>
      </c>
      <c r="D122" s="56" t="n">
        <f aca="false">D116</f>
        <v>0</v>
      </c>
      <c r="E122" s="56" t="n">
        <f aca="false">E116</f>
        <v>-0.321340867877317</v>
      </c>
    </row>
    <row r="125" customFormat="false" ht="15" hidden="false" customHeight="false" outlineLevel="0" collapsed="false">
      <c r="A125" s="26" t="s">
        <v>330</v>
      </c>
      <c r="B125" s="56" t="n">
        <f aca="false">$H$125^2*B119-2*$I$125*$H$125*D119+$I$125^2*D121</f>
        <v>-3.19803965056632</v>
      </c>
      <c r="C125" s="56" t="n">
        <f aca="false">$H$125*C119-$I$125*C121</f>
        <v>0</v>
      </c>
      <c r="D125" s="56" t="n">
        <f aca="false">0</f>
        <v>0</v>
      </c>
      <c r="E125" s="56" t="n">
        <f aca="false">$H$125*E119-$I$125*E121</f>
        <v>-2.47611091244286E-032</v>
      </c>
      <c r="G125" s="56" t="n">
        <f aca="false">IF(ABS(D119)&lt;0.00000000000001,0,0.5*ATAN2(D121-B119,2*D119))</f>
        <v>0</v>
      </c>
      <c r="H125" s="56" t="n">
        <f aca="false">COS(G125)</f>
        <v>1</v>
      </c>
      <c r="I125" s="56" t="n">
        <f aca="false">SIN(G125)</f>
        <v>0</v>
      </c>
    </row>
    <row r="126" customFormat="false" ht="15" hidden="false" customHeight="false" outlineLevel="0" collapsed="false">
      <c r="B126" s="56" t="n">
        <f aca="false">$H$125*B120-$I$125*D120</f>
        <v>0</v>
      </c>
      <c r="C126" s="56" t="n">
        <f aca="false">C120</f>
        <v>-2.03006158630089</v>
      </c>
      <c r="D126" s="56" t="n">
        <f aca="false">$I$125*B120+$H$125*D120</f>
        <v>2.04715842188433E-032</v>
      </c>
      <c r="E126" s="56" t="n">
        <f aca="false">E120</f>
        <v>0</v>
      </c>
    </row>
    <row r="127" customFormat="false" ht="15" hidden="false" customHeight="false" outlineLevel="0" collapsed="false">
      <c r="B127" s="56" t="n">
        <f aca="false">0</f>
        <v>0</v>
      </c>
      <c r="C127" s="56" t="n">
        <f aca="false">$I$125*C119+$H$125*C121</f>
        <v>2.04715842188433E-032</v>
      </c>
      <c r="D127" s="56" t="n">
        <f aca="false">$I$125^2*B119+2*$I$125*$H$125*D119+$H$125^2*D121</f>
        <v>-0.680382456658851</v>
      </c>
      <c r="E127" s="56" t="n">
        <f aca="false">$I$125*E119+$H$125*E121</f>
        <v>0</v>
      </c>
    </row>
    <row r="128" customFormat="false" ht="15" hidden="false" customHeight="false" outlineLevel="0" collapsed="false">
      <c r="B128" s="56" t="n">
        <f aca="false">$H$125*B122-$I$125*D122</f>
        <v>-2.47611091244286E-032</v>
      </c>
      <c r="C128" s="56" t="n">
        <f aca="false">C122</f>
        <v>0</v>
      </c>
      <c r="D128" s="56" t="n">
        <f aca="false">$I$125*B122+$H$125*D122</f>
        <v>0</v>
      </c>
      <c r="E128" s="56" t="n">
        <f aca="false">E122</f>
        <v>-0.321340867877317</v>
      </c>
    </row>
    <row r="131" customFormat="false" ht="15" hidden="false" customHeight="false" outlineLevel="0" collapsed="false">
      <c r="A131" s="26" t="s">
        <v>331</v>
      </c>
      <c r="B131" s="56" t="n">
        <f aca="false">$H$131^2*B125-2*$I$131*$H$131*E125+$I$131^2*E128</f>
        <v>-3.19803965056632</v>
      </c>
      <c r="C131" s="56" t="n">
        <f aca="false">$H$131*C125-$I$131*C128</f>
        <v>0</v>
      </c>
      <c r="D131" s="56" t="n">
        <f aca="false">$H$131*D125-$I$131*D128</f>
        <v>0</v>
      </c>
      <c r="E131" s="56" t="n">
        <f aca="false">0</f>
        <v>0</v>
      </c>
      <c r="G131" s="56" t="n">
        <f aca="false">IF(ABS(E125)&lt;0.00000000000001,0,0.5*ATAN2(E128-B125,2*E125))</f>
        <v>0</v>
      </c>
      <c r="H131" s="56" t="n">
        <f aca="false">COS(G131)</f>
        <v>1</v>
      </c>
      <c r="I131" s="56" t="n">
        <f aca="false">SIN(G131)</f>
        <v>0</v>
      </c>
    </row>
    <row r="132" customFormat="false" ht="15" hidden="false" customHeight="false" outlineLevel="0" collapsed="false">
      <c r="B132" s="56" t="n">
        <f aca="false">$H$131*B126-$I$131*E126</f>
        <v>0</v>
      </c>
      <c r="C132" s="56" t="n">
        <f aca="false">C126</f>
        <v>-2.03006158630089</v>
      </c>
      <c r="D132" s="56" t="n">
        <f aca="false">D126</f>
        <v>2.04715842188433E-032</v>
      </c>
      <c r="E132" s="56" t="n">
        <f aca="false">$I$131*B126+$H$131*E126</f>
        <v>0</v>
      </c>
    </row>
    <row r="133" customFormat="false" ht="15" hidden="false" customHeight="false" outlineLevel="0" collapsed="false">
      <c r="B133" s="56" t="n">
        <f aca="false">$H$131*B127-$I$131*E127</f>
        <v>0</v>
      </c>
      <c r="C133" s="56" t="n">
        <f aca="false">C127</f>
        <v>2.04715842188433E-032</v>
      </c>
      <c r="D133" s="56" t="n">
        <f aca="false">D127</f>
        <v>-0.680382456658851</v>
      </c>
      <c r="E133" s="56" t="n">
        <f aca="false">$I$131*B127+$H$131*E127</f>
        <v>0</v>
      </c>
    </row>
    <row r="134" customFormat="false" ht="15" hidden="false" customHeight="false" outlineLevel="0" collapsed="false">
      <c r="B134" s="56" t="n">
        <f aca="false">0</f>
        <v>0</v>
      </c>
      <c r="C134" s="56" t="n">
        <f aca="false">$I$131*C125+$H$131*C128</f>
        <v>0</v>
      </c>
      <c r="D134" s="56" t="n">
        <f aca="false">$I$131*D125+$H$131*D128</f>
        <v>0</v>
      </c>
      <c r="E134" s="56" t="n">
        <f aca="false">$I$131^2*B125+2*$I$131*$H$131*E125+$H$131^2*E128</f>
        <v>-0.321340867877317</v>
      </c>
    </row>
    <row r="137" customFormat="false" ht="15" hidden="false" customHeight="false" outlineLevel="0" collapsed="false">
      <c r="A137" s="26" t="s">
        <v>332</v>
      </c>
      <c r="B137" s="56" t="n">
        <f aca="false">B131</f>
        <v>-3.19803965056632</v>
      </c>
      <c r="C137" s="56" t="n">
        <f aca="false">$H$137*C131-$I$137*D131</f>
        <v>0</v>
      </c>
      <c r="D137" s="56" t="n">
        <f aca="false">$I$137*C131+$H$137*D131</f>
        <v>0</v>
      </c>
      <c r="E137" s="56" t="n">
        <f aca="false">E131</f>
        <v>0</v>
      </c>
      <c r="G137" s="56" t="n">
        <f aca="false">IF(ABS(D132)&lt;0.00000000000001,0,0.5*ATAN2(D133-C132,2*D132))</f>
        <v>0</v>
      </c>
      <c r="H137" s="56" t="n">
        <f aca="false">COS(G137)</f>
        <v>1</v>
      </c>
      <c r="I137" s="56" t="n">
        <f aca="false">SIN(G137)</f>
        <v>0</v>
      </c>
    </row>
    <row r="138" customFormat="false" ht="15" hidden="false" customHeight="false" outlineLevel="0" collapsed="false">
      <c r="B138" s="56" t="n">
        <f aca="false">$H$137*B132-$I$137*B133</f>
        <v>0</v>
      </c>
      <c r="C138" s="56" t="n">
        <f aca="false">$H$137^2*C132-2*$I$137*$H$137*D132+$I$137^2*D133</f>
        <v>-2.03006158630089</v>
      </c>
      <c r="D138" s="56" t="n">
        <f aca="false">0</f>
        <v>0</v>
      </c>
      <c r="E138" s="56" t="n">
        <f aca="false">$H$137*E132-$I$137*E133</f>
        <v>0</v>
      </c>
    </row>
    <row r="139" customFormat="false" ht="15" hidden="false" customHeight="false" outlineLevel="0" collapsed="false">
      <c r="B139" s="56" t="n">
        <f aca="false">$I$137*B132+$H$137*B133</f>
        <v>0</v>
      </c>
      <c r="C139" s="56" t="n">
        <f aca="false">0</f>
        <v>0</v>
      </c>
      <c r="D139" s="56" t="n">
        <f aca="false">$I$137^2*C132+2*$I$137*$H$137*D132+$H$137^2*D133</f>
        <v>-0.680382456658851</v>
      </c>
      <c r="E139" s="56" t="n">
        <f aca="false">$I$137*E132+$H$137*E133</f>
        <v>0</v>
      </c>
    </row>
    <row r="140" customFormat="false" ht="15" hidden="false" customHeight="false" outlineLevel="0" collapsed="false">
      <c r="B140" s="56" t="n">
        <f aca="false">B134</f>
        <v>0</v>
      </c>
      <c r="C140" s="56" t="n">
        <f aca="false">$H$137*C134-$I$137*D134</f>
        <v>0</v>
      </c>
      <c r="D140" s="56" t="n">
        <f aca="false">$I$137*C134+$H$137*D134</f>
        <v>0</v>
      </c>
      <c r="E140" s="56" t="n">
        <f aca="false">E134</f>
        <v>-0.321340867877317</v>
      </c>
    </row>
    <row r="143" customFormat="false" ht="15" hidden="false" customHeight="false" outlineLevel="0" collapsed="false">
      <c r="A143" s="26" t="s">
        <v>333</v>
      </c>
      <c r="B143" s="56" t="n">
        <f aca="false">B137</f>
        <v>-3.19803965056632</v>
      </c>
      <c r="C143" s="56" t="n">
        <f aca="false">$H$143*C137-$I$143*E137</f>
        <v>0</v>
      </c>
      <c r="D143" s="56" t="n">
        <f aca="false">D137</f>
        <v>0</v>
      </c>
      <c r="E143" s="56" t="n">
        <f aca="false">$I$143*C137+$H$143*E137</f>
        <v>0</v>
      </c>
      <c r="G143" s="56" t="n">
        <f aca="false">IF(ABS(E138)&lt;0.00000000000001,0,0.5*ATAN2(E140-C138,2*E138))</f>
        <v>0</v>
      </c>
      <c r="H143" s="56" t="n">
        <f aca="false">COS(G143)</f>
        <v>1</v>
      </c>
      <c r="I143" s="56" t="n">
        <f aca="false">SIN(G143)</f>
        <v>0</v>
      </c>
    </row>
    <row r="144" customFormat="false" ht="15" hidden="false" customHeight="false" outlineLevel="0" collapsed="false">
      <c r="B144" s="56" t="n">
        <f aca="false">$H$143*B138-$I$143*B140</f>
        <v>0</v>
      </c>
      <c r="C144" s="56" t="n">
        <f aca="false">$H$143^2*C138-2*$I$143*$H$143*E138+$I$143^2*E140</f>
        <v>-2.03006158630089</v>
      </c>
      <c r="D144" s="56" t="n">
        <f aca="false">$H$143*D138-$I$143*D140</f>
        <v>0</v>
      </c>
      <c r="E144" s="56" t="n">
        <f aca="false">0</f>
        <v>0</v>
      </c>
    </row>
    <row r="145" customFormat="false" ht="15" hidden="false" customHeight="false" outlineLevel="0" collapsed="false">
      <c r="B145" s="56" t="n">
        <f aca="false">B139</f>
        <v>0</v>
      </c>
      <c r="C145" s="56" t="n">
        <f aca="false">$H$143*C139-$I$143*E139</f>
        <v>0</v>
      </c>
      <c r="D145" s="56" t="n">
        <f aca="false">D139</f>
        <v>-0.680382456658851</v>
      </c>
      <c r="E145" s="56" t="n">
        <f aca="false">$I$143*C139+$H$143*E139</f>
        <v>0</v>
      </c>
    </row>
    <row r="146" customFormat="false" ht="15" hidden="false" customHeight="false" outlineLevel="0" collapsed="false">
      <c r="B146" s="56" t="n">
        <f aca="false">$I$143*B138+$H$143*B140</f>
        <v>0</v>
      </c>
      <c r="C146" s="56" t="n">
        <f aca="false">0</f>
        <v>0</v>
      </c>
      <c r="D146" s="56" t="n">
        <f aca="false">$I$143*D138+$H$143*D140</f>
        <v>0</v>
      </c>
      <c r="E146" s="56" t="n">
        <f aca="false">$I$143^2*C138+2*$I$143*$H$143*E138+$H$143^2*E140</f>
        <v>-0.321340867877317</v>
      </c>
    </row>
    <row r="149" customFormat="false" ht="15" hidden="false" customHeight="false" outlineLevel="0" collapsed="false">
      <c r="A149" s="26" t="s">
        <v>334</v>
      </c>
      <c r="B149" s="56" t="n">
        <f aca="false">B143</f>
        <v>-3.19803965056632</v>
      </c>
      <c r="C149" s="56" t="n">
        <f aca="false">C143</f>
        <v>0</v>
      </c>
      <c r="D149" s="56" t="n">
        <f aca="false">$H$149*D143-$I$149*E143</f>
        <v>0</v>
      </c>
      <c r="E149" s="56" t="n">
        <f aca="false">$I$149*D143+$H$149*E143</f>
        <v>0</v>
      </c>
      <c r="G149" s="56" t="n">
        <f aca="false">IF(ABS(E145)&lt;0.00000000000001,0,0.5*ATAN2(E146-D145,2*E145))</f>
        <v>0</v>
      </c>
      <c r="H149" s="56" t="n">
        <f aca="false">COS(G149)</f>
        <v>1</v>
      </c>
      <c r="I149" s="56" t="n">
        <f aca="false">SIN(G149)</f>
        <v>0</v>
      </c>
    </row>
    <row r="150" customFormat="false" ht="15" hidden="false" customHeight="false" outlineLevel="0" collapsed="false">
      <c r="B150" s="56" t="n">
        <f aca="false">B144</f>
        <v>0</v>
      </c>
      <c r="C150" s="56" t="n">
        <f aca="false">C144</f>
        <v>-2.03006158630089</v>
      </c>
      <c r="D150" s="56" t="n">
        <f aca="false">$H$149*D144-$I$149*E144</f>
        <v>0</v>
      </c>
      <c r="E150" s="56" t="n">
        <f aca="false">$I$149*D144+$H$149*E144</f>
        <v>0</v>
      </c>
    </row>
    <row r="151" customFormat="false" ht="15" hidden="false" customHeight="false" outlineLevel="0" collapsed="false">
      <c r="B151" s="56" t="n">
        <f aca="false">$H$149*B145-$I$149*B146</f>
        <v>0</v>
      </c>
      <c r="C151" s="56" t="n">
        <f aca="false">$H$149*C145-$I$149*C146</f>
        <v>0</v>
      </c>
      <c r="D151" s="56" t="n">
        <f aca="false">$H$149^2*D145-2*$I$149*$H$149*E145+$I$149^2*E146</f>
        <v>-0.680382456658851</v>
      </c>
      <c r="E151" s="56" t="n">
        <f aca="false">0</f>
        <v>0</v>
      </c>
    </row>
    <row r="152" customFormat="false" ht="15" hidden="false" customHeight="false" outlineLevel="0" collapsed="false">
      <c r="B152" s="56" t="n">
        <f aca="false">$I$149*B145+$H$149*B146</f>
        <v>0</v>
      </c>
      <c r="C152" s="56" t="n">
        <f aca="false">$I$149*C145+$H$149*C146</f>
        <v>0</v>
      </c>
      <c r="D152" s="56" t="n">
        <f aca="false">0</f>
        <v>0</v>
      </c>
      <c r="E152" s="56" t="n">
        <f aca="false">$I$149^2*D145+2*$I$149*$H$149*E145+$H$149^2*E146</f>
        <v>-0.321340867877317</v>
      </c>
    </row>
    <row r="155" customFormat="false" ht="15" hidden="false" customHeight="false" outlineLevel="0" collapsed="false">
      <c r="A155" s="26" t="s">
        <v>335</v>
      </c>
      <c r="B155" s="56" t="n">
        <f aca="false">$H$155^2*B149-2*$I$155*$H$155*C149+$I$155^2*C150</f>
        <v>-3.19803965056632</v>
      </c>
      <c r="C155" s="56" t="n">
        <f aca="false">0</f>
        <v>0</v>
      </c>
      <c r="D155" s="56" t="n">
        <f aca="false">$H$155*D149-$I$155*D150</f>
        <v>0</v>
      </c>
      <c r="E155" s="56" t="n">
        <f aca="false">$H$155*E149-$I$155*E150</f>
        <v>0</v>
      </c>
      <c r="G155" s="56" t="n">
        <f aca="false">IF(ABS(C149)&lt;0.00000000000001,0,0.5*ATAN2(C150-B149,2*C149))</f>
        <v>0</v>
      </c>
      <c r="H155" s="56" t="n">
        <f aca="false">COS(G155)</f>
        <v>1</v>
      </c>
      <c r="I155" s="56" t="n">
        <f aca="false">SIN(G155)</f>
        <v>0</v>
      </c>
    </row>
    <row r="156" customFormat="false" ht="15" hidden="false" customHeight="false" outlineLevel="0" collapsed="false">
      <c r="B156" s="56" t="n">
        <f aca="false">0</f>
        <v>0</v>
      </c>
      <c r="C156" s="56" t="n">
        <f aca="false">$I$155^2*B149+2*$I$155*$H$155*C149+$H$155^2*C150</f>
        <v>-2.03006158630089</v>
      </c>
      <c r="D156" s="56" t="n">
        <f aca="false">$I$155*D149+$H$155*D150</f>
        <v>0</v>
      </c>
      <c r="E156" s="56" t="n">
        <f aca="false">$I$155*E149+$H$155*E150</f>
        <v>0</v>
      </c>
    </row>
    <row r="157" customFormat="false" ht="15" hidden="false" customHeight="false" outlineLevel="0" collapsed="false">
      <c r="B157" s="56" t="n">
        <f aca="false">$H$155*B151-$I$155*C151</f>
        <v>0</v>
      </c>
      <c r="C157" s="56" t="n">
        <f aca="false">$I$155*B151+$H$155*C151</f>
        <v>0</v>
      </c>
      <c r="D157" s="56" t="n">
        <f aca="false">D151</f>
        <v>-0.680382456658851</v>
      </c>
      <c r="E157" s="56" t="n">
        <f aca="false">E151</f>
        <v>0</v>
      </c>
    </row>
    <row r="158" customFormat="false" ht="15" hidden="false" customHeight="false" outlineLevel="0" collapsed="false">
      <c r="B158" s="56" t="n">
        <f aca="false">$H$155*B152-$I$155*C152</f>
        <v>0</v>
      </c>
      <c r="C158" s="56" t="n">
        <f aca="false">$I$155*B152+$H$155*C152</f>
        <v>0</v>
      </c>
      <c r="D158" s="56" t="n">
        <f aca="false">D152</f>
        <v>0</v>
      </c>
      <c r="E158" s="56" t="n">
        <f aca="false">E152</f>
        <v>-0.321340867877317</v>
      </c>
    </row>
    <row r="161" customFormat="false" ht="15" hidden="false" customHeight="false" outlineLevel="0" collapsed="false">
      <c r="A161" s="26" t="s">
        <v>336</v>
      </c>
      <c r="B161" s="56" t="n">
        <f aca="false">$H$161^2*B155-2*$I$161*$H$161*D155+$I$161^2*D157</f>
        <v>-3.19803965056632</v>
      </c>
      <c r="C161" s="56" t="n">
        <f aca="false">$H$161*C155-$I$161*C157</f>
        <v>0</v>
      </c>
      <c r="D161" s="56" t="n">
        <f aca="false">0</f>
        <v>0</v>
      </c>
      <c r="E161" s="56" t="n">
        <f aca="false">$H$161*E155-$I$161*E157</f>
        <v>0</v>
      </c>
      <c r="G161" s="56" t="n">
        <f aca="false">IF(ABS(D155)&lt;0.00000000000001,0,0.5*ATAN2(D157-B155,2*D155))</f>
        <v>0</v>
      </c>
      <c r="H161" s="56" t="n">
        <f aca="false">COS(G161)</f>
        <v>1</v>
      </c>
      <c r="I161" s="56" t="n">
        <f aca="false">SIN(G161)</f>
        <v>0</v>
      </c>
    </row>
    <row r="162" customFormat="false" ht="15" hidden="false" customHeight="false" outlineLevel="0" collapsed="false">
      <c r="B162" s="56" t="n">
        <f aca="false">$H$161*B156-$I$161*D156</f>
        <v>0</v>
      </c>
      <c r="C162" s="56" t="n">
        <f aca="false">C156</f>
        <v>-2.03006158630089</v>
      </c>
      <c r="D162" s="56" t="n">
        <f aca="false">$I$161*B156+$H$161*D156</f>
        <v>0</v>
      </c>
      <c r="E162" s="56" t="n">
        <f aca="false">E156</f>
        <v>0</v>
      </c>
    </row>
    <row r="163" customFormat="false" ht="15" hidden="false" customHeight="false" outlineLevel="0" collapsed="false">
      <c r="B163" s="56" t="n">
        <f aca="false">0</f>
        <v>0</v>
      </c>
      <c r="C163" s="56" t="n">
        <f aca="false">$I$161*C155+$H$161*C157</f>
        <v>0</v>
      </c>
      <c r="D163" s="56" t="n">
        <f aca="false">$I$161^2*B155+2*$I$161*$H$161*D155+$H$161^2*D157</f>
        <v>-0.680382456658851</v>
      </c>
      <c r="E163" s="56" t="n">
        <f aca="false">$I$161*E155+$H$161*E157</f>
        <v>0</v>
      </c>
    </row>
    <row r="164" customFormat="false" ht="15" hidden="false" customHeight="false" outlineLevel="0" collapsed="false">
      <c r="B164" s="56" t="n">
        <f aca="false">$H$161*B158-$I$161*D158</f>
        <v>0</v>
      </c>
      <c r="C164" s="56" t="n">
        <f aca="false">C158</f>
        <v>0</v>
      </c>
      <c r="D164" s="56" t="n">
        <f aca="false">$I$161*B158+$H$161*D158</f>
        <v>0</v>
      </c>
      <c r="E164" s="56" t="n">
        <f aca="false">E158</f>
        <v>-0.321340867877317</v>
      </c>
    </row>
    <row r="167" customFormat="false" ht="15" hidden="false" customHeight="false" outlineLevel="0" collapsed="false">
      <c r="A167" s="26" t="s">
        <v>337</v>
      </c>
      <c r="B167" s="56" t="n">
        <f aca="false">$H$167^2*B161-2*$I$167*$H$167*E161+$I$167^2*E164</f>
        <v>-3.19803965056632</v>
      </c>
      <c r="C167" s="56" t="n">
        <f aca="false">$H$167*C161-$I$167*C164</f>
        <v>0</v>
      </c>
      <c r="D167" s="56" t="n">
        <f aca="false">$H$167*D161-$I$167*D164</f>
        <v>0</v>
      </c>
      <c r="E167" s="56" t="n">
        <f aca="false">0</f>
        <v>0</v>
      </c>
      <c r="G167" s="56" t="n">
        <f aca="false">IF(ABS(E161)&lt;0.00000000000001,0,0.5*ATAN2(E164-B161,2*E161))</f>
        <v>0</v>
      </c>
      <c r="H167" s="56" t="n">
        <f aca="false">COS(G167)</f>
        <v>1</v>
      </c>
      <c r="I167" s="56" t="n">
        <f aca="false">SIN(G167)</f>
        <v>0</v>
      </c>
    </row>
    <row r="168" customFormat="false" ht="15" hidden="false" customHeight="false" outlineLevel="0" collapsed="false">
      <c r="B168" s="56" t="n">
        <f aca="false">$H$167*B162-$I$167*E162</f>
        <v>0</v>
      </c>
      <c r="C168" s="56" t="n">
        <f aca="false">C162</f>
        <v>-2.03006158630089</v>
      </c>
      <c r="D168" s="56" t="n">
        <f aca="false">D162</f>
        <v>0</v>
      </c>
      <c r="E168" s="56" t="n">
        <f aca="false">$I$167*B162+$H$167*E162</f>
        <v>0</v>
      </c>
    </row>
    <row r="169" customFormat="false" ht="15" hidden="false" customHeight="false" outlineLevel="0" collapsed="false">
      <c r="B169" s="56" t="n">
        <f aca="false">$H$167*B163-$I$167*E163</f>
        <v>0</v>
      </c>
      <c r="C169" s="56" t="n">
        <f aca="false">C163</f>
        <v>0</v>
      </c>
      <c r="D169" s="56" t="n">
        <f aca="false">D163</f>
        <v>-0.680382456658851</v>
      </c>
      <c r="E169" s="56" t="n">
        <f aca="false">$I$167*B163+$H$167*E163</f>
        <v>0</v>
      </c>
    </row>
    <row r="170" customFormat="false" ht="15" hidden="false" customHeight="false" outlineLevel="0" collapsed="false">
      <c r="B170" s="56" t="n">
        <f aca="false">0</f>
        <v>0</v>
      </c>
      <c r="C170" s="56" t="n">
        <f aca="false">$I$167*C161+$H$167*C164</f>
        <v>0</v>
      </c>
      <c r="D170" s="56" t="n">
        <f aca="false">$I$167*D161+$H$167*D164</f>
        <v>0</v>
      </c>
      <c r="E170" s="56" t="n">
        <f aca="false">$I$167^2*B161+2*$I$167*$H$167*E161+$H$167^2*E164</f>
        <v>-0.321340867877317</v>
      </c>
    </row>
    <row r="173" customFormat="false" ht="15" hidden="false" customHeight="false" outlineLevel="0" collapsed="false">
      <c r="A173" s="26" t="s">
        <v>338</v>
      </c>
      <c r="B173" s="56" t="n">
        <f aca="false">B167</f>
        <v>-3.19803965056632</v>
      </c>
      <c r="C173" s="56" t="n">
        <f aca="false">$H$173*C167-$I$173*D167</f>
        <v>0</v>
      </c>
      <c r="D173" s="56" t="n">
        <f aca="false">$I$173*C167+$H$173*D167</f>
        <v>0</v>
      </c>
      <c r="E173" s="56" t="n">
        <f aca="false">E167</f>
        <v>0</v>
      </c>
      <c r="G173" s="56" t="n">
        <f aca="false">IF(ABS(D168)&lt;0.00000000000001,0,0.5*ATAN2(D169-C168,2*D168))</f>
        <v>0</v>
      </c>
      <c r="H173" s="56" t="n">
        <f aca="false">COS(G173)</f>
        <v>1</v>
      </c>
      <c r="I173" s="56" t="n">
        <f aca="false">SIN(G173)</f>
        <v>0</v>
      </c>
    </row>
    <row r="174" customFormat="false" ht="15" hidden="false" customHeight="false" outlineLevel="0" collapsed="false">
      <c r="B174" s="56" t="n">
        <f aca="false">$H$173*B168-$I$173*B169</f>
        <v>0</v>
      </c>
      <c r="C174" s="56" t="n">
        <f aca="false">$H$173^2*C168-2*$I$173*$H$173*D168+$I$173^2*D169</f>
        <v>-2.03006158630089</v>
      </c>
      <c r="D174" s="56" t="n">
        <f aca="false">0</f>
        <v>0</v>
      </c>
      <c r="E174" s="56" t="n">
        <f aca="false">$H$173*E168-$I$173*E169</f>
        <v>0</v>
      </c>
    </row>
    <row r="175" customFormat="false" ht="15" hidden="false" customHeight="false" outlineLevel="0" collapsed="false">
      <c r="B175" s="56" t="n">
        <f aca="false">$I$173*B168+$H$173*B169</f>
        <v>0</v>
      </c>
      <c r="C175" s="56" t="n">
        <f aca="false">0</f>
        <v>0</v>
      </c>
      <c r="D175" s="56" t="n">
        <f aca="false">$I$173^2*C168+2*$I$173*$H$173*D168+$H$173^2*D169</f>
        <v>-0.680382456658851</v>
      </c>
      <c r="E175" s="56" t="n">
        <f aca="false">$I$173*E168+$H$173*E169</f>
        <v>0</v>
      </c>
    </row>
    <row r="176" customFormat="false" ht="15" hidden="false" customHeight="false" outlineLevel="0" collapsed="false">
      <c r="B176" s="56" t="n">
        <f aca="false">B170</f>
        <v>0</v>
      </c>
      <c r="C176" s="56" t="n">
        <f aca="false">$H$173*C170-$I$173*D170</f>
        <v>0</v>
      </c>
      <c r="D176" s="56" t="n">
        <f aca="false">$I$173*C170+$H$173*D170</f>
        <v>0</v>
      </c>
      <c r="E176" s="56" t="n">
        <f aca="false">E170</f>
        <v>-0.321340867877317</v>
      </c>
    </row>
    <row r="179" customFormat="false" ht="15" hidden="false" customHeight="false" outlineLevel="0" collapsed="false">
      <c r="A179" s="26" t="s">
        <v>339</v>
      </c>
      <c r="B179" s="56" t="n">
        <f aca="false">B173</f>
        <v>-3.19803965056632</v>
      </c>
      <c r="C179" s="56" t="n">
        <f aca="false">$H$179*C173-$I$179*E173</f>
        <v>0</v>
      </c>
      <c r="D179" s="56" t="n">
        <f aca="false">D173</f>
        <v>0</v>
      </c>
      <c r="E179" s="56" t="n">
        <f aca="false">$I$179*C173+$H$179*E173</f>
        <v>0</v>
      </c>
      <c r="G179" s="56" t="n">
        <f aca="false">IF(ABS(E174)&lt;0.00000000000001,0,0.5*ATAN2(E176-C174,2*E174))</f>
        <v>0</v>
      </c>
      <c r="H179" s="56" t="n">
        <f aca="false">COS(G179)</f>
        <v>1</v>
      </c>
      <c r="I179" s="56" t="n">
        <f aca="false">SIN(G179)</f>
        <v>0</v>
      </c>
    </row>
    <row r="180" customFormat="false" ht="15" hidden="false" customHeight="false" outlineLevel="0" collapsed="false">
      <c r="B180" s="56" t="n">
        <f aca="false">$H$179*B174-$I$179*B176</f>
        <v>0</v>
      </c>
      <c r="C180" s="56" t="n">
        <f aca="false">$H$179^2*C174-2*$I$179*$H$179*E174+$I$179^2*E176</f>
        <v>-2.03006158630089</v>
      </c>
      <c r="D180" s="56" t="n">
        <f aca="false">$H$179*D174-$I$179*D176</f>
        <v>0</v>
      </c>
      <c r="E180" s="56" t="n">
        <f aca="false">0</f>
        <v>0</v>
      </c>
    </row>
    <row r="181" customFormat="false" ht="15" hidden="false" customHeight="false" outlineLevel="0" collapsed="false">
      <c r="B181" s="56" t="n">
        <f aca="false">B175</f>
        <v>0</v>
      </c>
      <c r="C181" s="56" t="n">
        <f aca="false">$H$179*C175-$I$179*E175</f>
        <v>0</v>
      </c>
      <c r="D181" s="56" t="n">
        <f aca="false">D175</f>
        <v>-0.680382456658851</v>
      </c>
      <c r="E181" s="56" t="n">
        <f aca="false">$I$179*C175+$H$179*E175</f>
        <v>0</v>
      </c>
    </row>
    <row r="182" customFormat="false" ht="15" hidden="false" customHeight="false" outlineLevel="0" collapsed="false">
      <c r="B182" s="56" t="n">
        <f aca="false">$I$179*B174+$H$179*B176</f>
        <v>0</v>
      </c>
      <c r="C182" s="56" t="n">
        <f aca="false">0</f>
        <v>0</v>
      </c>
      <c r="D182" s="56" t="n">
        <f aca="false">$I$179*D174+$H$179*D176</f>
        <v>0</v>
      </c>
      <c r="E182" s="56" t="n">
        <f aca="false">$I$179^2*C174+2*$I$179*$H$179*E174+$H$179^2*E176</f>
        <v>-0.321340867877317</v>
      </c>
    </row>
    <row r="185" customFormat="false" ht="15" hidden="false" customHeight="false" outlineLevel="0" collapsed="false">
      <c r="A185" s="26" t="s">
        <v>340</v>
      </c>
      <c r="B185" s="56" t="n">
        <f aca="false">B179</f>
        <v>-3.19803965056632</v>
      </c>
      <c r="C185" s="56" t="n">
        <f aca="false">C179</f>
        <v>0</v>
      </c>
      <c r="D185" s="56" t="n">
        <f aca="false">$H$185*D179-$I$185*E179</f>
        <v>0</v>
      </c>
      <c r="E185" s="56" t="n">
        <f aca="false">$I$185*D179+$H$185*E179</f>
        <v>0</v>
      </c>
      <c r="G185" s="56" t="n">
        <f aca="false">IF(ABS(E181)&lt;0.00000000000001,0,0.5*ATAN2(E182-D181,2*E181))</f>
        <v>0</v>
      </c>
      <c r="H185" s="56" t="n">
        <f aca="false">COS(G185)</f>
        <v>1</v>
      </c>
      <c r="I185" s="56" t="n">
        <f aca="false">SIN(G185)</f>
        <v>0</v>
      </c>
    </row>
    <row r="186" customFormat="false" ht="15" hidden="false" customHeight="false" outlineLevel="0" collapsed="false">
      <c r="B186" s="56" t="n">
        <f aca="false">B180</f>
        <v>0</v>
      </c>
      <c r="C186" s="56" t="n">
        <f aca="false">C180</f>
        <v>-2.03006158630089</v>
      </c>
      <c r="D186" s="56" t="n">
        <f aca="false">$H$185*D180-$I$185*E180</f>
        <v>0</v>
      </c>
      <c r="E186" s="56" t="n">
        <f aca="false">$I$185*D180+$H$185*E180</f>
        <v>0</v>
      </c>
    </row>
    <row r="187" customFormat="false" ht="15" hidden="false" customHeight="false" outlineLevel="0" collapsed="false">
      <c r="B187" s="56" t="n">
        <f aca="false">$H$185*B181-$I$185*B182</f>
        <v>0</v>
      </c>
      <c r="C187" s="56" t="n">
        <f aca="false">$H$185*C181-$I$185*C182</f>
        <v>0</v>
      </c>
      <c r="D187" s="56" t="n">
        <f aca="false">$H$185^2*D181-2*$I$185*$H$185*E181+$I$185^2*E182</f>
        <v>-0.680382456658851</v>
      </c>
      <c r="E187" s="56" t="n">
        <f aca="false">0</f>
        <v>0</v>
      </c>
    </row>
    <row r="188" customFormat="false" ht="15" hidden="false" customHeight="false" outlineLevel="0" collapsed="false">
      <c r="B188" s="56" t="n">
        <f aca="false">$I$185*B181+$H$185*B182</f>
        <v>0</v>
      </c>
      <c r="C188" s="56" t="n">
        <f aca="false">$I$185*C181+$H$185*C182</f>
        <v>0</v>
      </c>
      <c r="D188" s="56" t="n">
        <f aca="false">0</f>
        <v>0</v>
      </c>
      <c r="E188" s="56" t="n">
        <f aca="false">$I$185^2*D181+2*$I$185*$H$185*E181+$H$185^2*E182</f>
        <v>-0.321340867877317</v>
      </c>
    </row>
    <row r="191" customFormat="false" ht="15" hidden="false" customHeight="false" outlineLevel="0" collapsed="false">
      <c r="A191" s="26" t="s">
        <v>341</v>
      </c>
      <c r="B191" s="56" t="n">
        <f aca="false">$H$191^2*B185-2*$I$191*$H$191*C185+$I$191^2*C186</f>
        <v>-3.19803965056632</v>
      </c>
      <c r="C191" s="56" t="n">
        <f aca="false">0</f>
        <v>0</v>
      </c>
      <c r="D191" s="56" t="n">
        <f aca="false">$H$191*D185-$I$191*D186</f>
        <v>0</v>
      </c>
      <c r="E191" s="56" t="n">
        <f aca="false">$H$191*E185-$I$191*E186</f>
        <v>0</v>
      </c>
      <c r="G191" s="56" t="n">
        <f aca="false">IF(ABS(C185)&lt;0.00000000000001,0,0.5*ATAN2(C186-B185,2*C185))</f>
        <v>0</v>
      </c>
      <c r="H191" s="56" t="n">
        <f aca="false">COS(G191)</f>
        <v>1</v>
      </c>
      <c r="I191" s="56" t="n">
        <f aca="false">SIN(G191)</f>
        <v>0</v>
      </c>
    </row>
    <row r="192" customFormat="false" ht="15" hidden="false" customHeight="false" outlineLevel="0" collapsed="false">
      <c r="B192" s="56" t="n">
        <f aca="false">0</f>
        <v>0</v>
      </c>
      <c r="C192" s="56" t="n">
        <f aca="false">$I$191^2*B185+2*$I$191*$H$191*C185+$H$191^2*C186</f>
        <v>-2.03006158630089</v>
      </c>
      <c r="D192" s="56" t="n">
        <f aca="false">$I$191*D185+$H$191*D186</f>
        <v>0</v>
      </c>
      <c r="E192" s="56" t="n">
        <f aca="false">$I$191*E185+$H$191*E186</f>
        <v>0</v>
      </c>
    </row>
    <row r="193" customFormat="false" ht="15" hidden="false" customHeight="false" outlineLevel="0" collapsed="false">
      <c r="B193" s="56" t="n">
        <f aca="false">$H$191*B187-$I$191*C187</f>
        <v>0</v>
      </c>
      <c r="C193" s="56" t="n">
        <f aca="false">$I$191*B187+$H$191*C187</f>
        <v>0</v>
      </c>
      <c r="D193" s="56" t="n">
        <f aca="false">D187</f>
        <v>-0.680382456658851</v>
      </c>
      <c r="E193" s="56" t="n">
        <f aca="false">E187</f>
        <v>0</v>
      </c>
    </row>
    <row r="194" customFormat="false" ht="15" hidden="false" customHeight="false" outlineLevel="0" collapsed="false">
      <c r="B194" s="56" t="n">
        <f aca="false">$H$191*B188-$I$191*C188</f>
        <v>0</v>
      </c>
      <c r="C194" s="56" t="n">
        <f aca="false">$I$191*B188+$H$191*C188</f>
        <v>0</v>
      </c>
      <c r="D194" s="56" t="n">
        <f aca="false">D188</f>
        <v>0</v>
      </c>
      <c r="E194" s="56" t="n">
        <f aca="false">E188</f>
        <v>-0.321340867877317</v>
      </c>
    </row>
    <row r="197" customFormat="false" ht="15" hidden="false" customHeight="false" outlineLevel="0" collapsed="false">
      <c r="A197" s="26" t="s">
        <v>342</v>
      </c>
      <c r="B197" s="56" t="n">
        <f aca="false">$H$197^2*B191-2*$I$197*$H$197*D191+$I$197^2*D193</f>
        <v>-3.19803965056632</v>
      </c>
      <c r="C197" s="56" t="n">
        <f aca="false">$H$197*C191-$I$197*C193</f>
        <v>0</v>
      </c>
      <c r="D197" s="56" t="n">
        <f aca="false">0</f>
        <v>0</v>
      </c>
      <c r="E197" s="56" t="n">
        <f aca="false">$H$197*E191-$I$197*E193</f>
        <v>0</v>
      </c>
      <c r="G197" s="56" t="n">
        <f aca="false">IF(ABS(D191)&lt;0.00000000000001,0,0.5*ATAN2(D193-B191,2*D191))</f>
        <v>0</v>
      </c>
      <c r="H197" s="56" t="n">
        <f aca="false">COS(G197)</f>
        <v>1</v>
      </c>
      <c r="I197" s="56" t="n">
        <f aca="false">SIN(G197)</f>
        <v>0</v>
      </c>
    </row>
    <row r="198" customFormat="false" ht="15" hidden="false" customHeight="false" outlineLevel="0" collapsed="false">
      <c r="B198" s="56" t="n">
        <f aca="false">$H$197*B192-$I$197*D192</f>
        <v>0</v>
      </c>
      <c r="C198" s="56" t="n">
        <f aca="false">C192</f>
        <v>-2.03006158630089</v>
      </c>
      <c r="D198" s="56" t="n">
        <f aca="false">$I$197*B192+$H$197*D192</f>
        <v>0</v>
      </c>
      <c r="E198" s="56" t="n">
        <f aca="false">E192</f>
        <v>0</v>
      </c>
    </row>
    <row r="199" customFormat="false" ht="15" hidden="false" customHeight="false" outlineLevel="0" collapsed="false">
      <c r="B199" s="56" t="n">
        <f aca="false">0</f>
        <v>0</v>
      </c>
      <c r="C199" s="56" t="n">
        <f aca="false">$I$197*C191+$H$197*C193</f>
        <v>0</v>
      </c>
      <c r="D199" s="56" t="n">
        <f aca="false">$I$197^2*B191+2*$I$197*$H$197*D191+$H$197^2*D193</f>
        <v>-0.680382456658851</v>
      </c>
      <c r="E199" s="56" t="n">
        <f aca="false">$I$197*E191+$H$197*E193</f>
        <v>0</v>
      </c>
    </row>
    <row r="200" customFormat="false" ht="15" hidden="false" customHeight="false" outlineLevel="0" collapsed="false">
      <c r="B200" s="56" t="n">
        <f aca="false">$H$197*B194-$I$197*D194</f>
        <v>0</v>
      </c>
      <c r="C200" s="56" t="n">
        <f aca="false">C194</f>
        <v>0</v>
      </c>
      <c r="D200" s="56" t="n">
        <f aca="false">$I$197*B194+$H$197*D194</f>
        <v>0</v>
      </c>
      <c r="E200" s="56" t="n">
        <f aca="false">E194</f>
        <v>-0.321340867877317</v>
      </c>
    </row>
    <row r="203" customFormat="false" ht="15" hidden="false" customHeight="false" outlineLevel="0" collapsed="false">
      <c r="A203" s="26" t="s">
        <v>343</v>
      </c>
      <c r="B203" s="56" t="n">
        <f aca="false">$H$203^2*B197-2*$I$203*$H$203*E197+$I$203^2*E200</f>
        <v>-3.19803965056632</v>
      </c>
      <c r="C203" s="56" t="n">
        <f aca="false">$H$203*C197-$I$203*C200</f>
        <v>0</v>
      </c>
      <c r="D203" s="56" t="n">
        <f aca="false">$H$203*D197-$I$203*D200</f>
        <v>0</v>
      </c>
      <c r="E203" s="56" t="n">
        <f aca="false">0</f>
        <v>0</v>
      </c>
      <c r="G203" s="56" t="n">
        <f aca="false">IF(ABS(E197)&lt;0.00000000000001,0,0.5*ATAN2(E200-B197,2*E197))</f>
        <v>0</v>
      </c>
      <c r="H203" s="56" t="n">
        <f aca="false">COS(G203)</f>
        <v>1</v>
      </c>
      <c r="I203" s="56" t="n">
        <f aca="false">SIN(G203)</f>
        <v>0</v>
      </c>
    </row>
    <row r="204" customFormat="false" ht="15" hidden="false" customHeight="false" outlineLevel="0" collapsed="false">
      <c r="B204" s="56" t="n">
        <f aca="false">$H$203*B198-$I$203*E198</f>
        <v>0</v>
      </c>
      <c r="C204" s="56" t="n">
        <f aca="false">C198</f>
        <v>-2.03006158630089</v>
      </c>
      <c r="D204" s="56" t="n">
        <f aca="false">D198</f>
        <v>0</v>
      </c>
      <c r="E204" s="56" t="n">
        <f aca="false">$I$203*B198+$H$203*E198</f>
        <v>0</v>
      </c>
    </row>
    <row r="205" customFormat="false" ht="15" hidden="false" customHeight="false" outlineLevel="0" collapsed="false">
      <c r="B205" s="56" t="n">
        <f aca="false">$H$203*B199-$I$203*E199</f>
        <v>0</v>
      </c>
      <c r="C205" s="56" t="n">
        <f aca="false">C199</f>
        <v>0</v>
      </c>
      <c r="D205" s="56" t="n">
        <f aca="false">D199</f>
        <v>-0.680382456658851</v>
      </c>
      <c r="E205" s="56" t="n">
        <f aca="false">$I$203*B199+$H$203*E199</f>
        <v>0</v>
      </c>
    </row>
    <row r="206" customFormat="false" ht="15" hidden="false" customHeight="false" outlineLevel="0" collapsed="false">
      <c r="B206" s="56" t="n">
        <f aca="false">0</f>
        <v>0</v>
      </c>
      <c r="C206" s="56" t="n">
        <f aca="false">$I$203*C197+$H$203*C200</f>
        <v>0</v>
      </c>
      <c r="D206" s="56" t="n">
        <f aca="false">$I$203*D197+$H$203*D200</f>
        <v>0</v>
      </c>
      <c r="E206" s="56" t="n">
        <f aca="false">$I$203^2*B197+2*$I$203*$H$203*E197+$H$203^2*E200</f>
        <v>-0.321340867877317</v>
      </c>
    </row>
    <row r="209" customFormat="false" ht="15" hidden="false" customHeight="false" outlineLevel="0" collapsed="false">
      <c r="A209" s="26" t="s">
        <v>344</v>
      </c>
      <c r="B209" s="56" t="n">
        <f aca="false">B203</f>
        <v>-3.19803965056632</v>
      </c>
      <c r="C209" s="56" t="n">
        <f aca="false">$H$209*C203-$I$209*D203</f>
        <v>0</v>
      </c>
      <c r="D209" s="56" t="n">
        <f aca="false">$I$209*C203+$H$209*D203</f>
        <v>0</v>
      </c>
      <c r="E209" s="56" t="n">
        <f aca="false">E203</f>
        <v>0</v>
      </c>
      <c r="G209" s="56" t="n">
        <f aca="false">IF(ABS(D204)&lt;0.00000000000001,0,0.5*ATAN2(D205-C204,2*D204))</f>
        <v>0</v>
      </c>
      <c r="H209" s="56" t="n">
        <f aca="false">COS(G209)</f>
        <v>1</v>
      </c>
      <c r="I209" s="56" t="n">
        <f aca="false">SIN(G209)</f>
        <v>0</v>
      </c>
    </row>
    <row r="210" customFormat="false" ht="15" hidden="false" customHeight="false" outlineLevel="0" collapsed="false">
      <c r="B210" s="56" t="n">
        <f aca="false">$H$209*B204-$I$209*B205</f>
        <v>0</v>
      </c>
      <c r="C210" s="56" t="n">
        <f aca="false">$H$209^2*C204-2*$I$209*$H$209*D204+$I$209^2*D205</f>
        <v>-2.03006158630089</v>
      </c>
      <c r="D210" s="56" t="n">
        <f aca="false">0</f>
        <v>0</v>
      </c>
      <c r="E210" s="56" t="n">
        <f aca="false">$H$209*E204-$I$209*E205</f>
        <v>0</v>
      </c>
    </row>
    <row r="211" customFormat="false" ht="15" hidden="false" customHeight="false" outlineLevel="0" collapsed="false">
      <c r="B211" s="56" t="n">
        <f aca="false">$I$209*B204+$H$209*B205</f>
        <v>0</v>
      </c>
      <c r="C211" s="56" t="n">
        <f aca="false">0</f>
        <v>0</v>
      </c>
      <c r="D211" s="56" t="n">
        <f aca="false">$I$209^2*C204+2*$I$209*$H$209*D204+$H$209^2*D205</f>
        <v>-0.680382456658851</v>
      </c>
      <c r="E211" s="56" t="n">
        <f aca="false">$I$209*E204+$H$209*E205</f>
        <v>0</v>
      </c>
    </row>
    <row r="212" customFormat="false" ht="15" hidden="false" customHeight="false" outlineLevel="0" collapsed="false">
      <c r="B212" s="56" t="n">
        <f aca="false">B206</f>
        <v>0</v>
      </c>
      <c r="C212" s="56" t="n">
        <f aca="false">$H$209*C206-$I$209*D206</f>
        <v>0</v>
      </c>
      <c r="D212" s="56" t="n">
        <f aca="false">$I$209*C206+$H$209*D206</f>
        <v>0</v>
      </c>
      <c r="E212" s="56" t="n">
        <f aca="false">E206</f>
        <v>-0.321340867877317</v>
      </c>
    </row>
    <row r="215" customFormat="false" ht="15" hidden="false" customHeight="false" outlineLevel="0" collapsed="false">
      <c r="A215" s="26" t="s">
        <v>345</v>
      </c>
      <c r="B215" s="56" t="n">
        <f aca="false">B209</f>
        <v>-3.19803965056632</v>
      </c>
      <c r="C215" s="56" t="n">
        <f aca="false">$H$215*C209-$I$215*E209</f>
        <v>0</v>
      </c>
      <c r="D215" s="56" t="n">
        <f aca="false">D209</f>
        <v>0</v>
      </c>
      <c r="E215" s="56" t="n">
        <f aca="false">$I$215*C209+$H$215*E209</f>
        <v>0</v>
      </c>
      <c r="G215" s="56" t="n">
        <f aca="false">IF(ABS(E210)&lt;0.00000000000001,0,0.5*ATAN2(E212-C210,2*E210))</f>
        <v>0</v>
      </c>
      <c r="H215" s="56" t="n">
        <f aca="false">COS(G215)</f>
        <v>1</v>
      </c>
      <c r="I215" s="56" t="n">
        <f aca="false">SIN(G215)</f>
        <v>0</v>
      </c>
    </row>
    <row r="216" customFormat="false" ht="15" hidden="false" customHeight="false" outlineLevel="0" collapsed="false">
      <c r="B216" s="56" t="n">
        <f aca="false">$H$215*B210-$I$215*B212</f>
        <v>0</v>
      </c>
      <c r="C216" s="56" t="n">
        <f aca="false">$H$215^2*C210-2*$I$215*$H$215*E210+$I$215^2*E212</f>
        <v>-2.03006158630089</v>
      </c>
      <c r="D216" s="56" t="n">
        <f aca="false">$H$215*D210-$I$215*D212</f>
        <v>0</v>
      </c>
      <c r="E216" s="56" t="n">
        <f aca="false">0</f>
        <v>0</v>
      </c>
    </row>
    <row r="217" customFormat="false" ht="15" hidden="false" customHeight="false" outlineLevel="0" collapsed="false">
      <c r="B217" s="56" t="n">
        <f aca="false">B211</f>
        <v>0</v>
      </c>
      <c r="C217" s="56" t="n">
        <f aca="false">$H$215*C211-$I$215*E211</f>
        <v>0</v>
      </c>
      <c r="D217" s="56" t="n">
        <f aca="false">D211</f>
        <v>-0.680382456658851</v>
      </c>
      <c r="E217" s="56" t="n">
        <f aca="false">$I$215*C211+$H$215*E211</f>
        <v>0</v>
      </c>
    </row>
    <row r="218" customFormat="false" ht="15" hidden="false" customHeight="false" outlineLevel="0" collapsed="false">
      <c r="B218" s="56" t="n">
        <f aca="false">$I$215*B210+$H$215*B212</f>
        <v>0</v>
      </c>
      <c r="C218" s="56" t="n">
        <f aca="false">0</f>
        <v>0</v>
      </c>
      <c r="D218" s="56" t="n">
        <f aca="false">$I$215*D210+$H$215*D212</f>
        <v>0</v>
      </c>
      <c r="E218" s="56" t="n">
        <f aca="false">$I$215^2*C210+2*$I$215*$H$215*E210+$H$215^2*E212</f>
        <v>-0.321340867877317</v>
      </c>
    </row>
    <row r="221" customFormat="false" ht="15" hidden="false" customHeight="false" outlineLevel="0" collapsed="false">
      <c r="A221" s="26" t="s">
        <v>346</v>
      </c>
      <c r="B221" s="56" t="n">
        <f aca="false">B215</f>
        <v>-3.19803965056632</v>
      </c>
      <c r="C221" s="56" t="n">
        <f aca="false">C215</f>
        <v>0</v>
      </c>
      <c r="D221" s="56" t="n">
        <f aca="false">$H$221*D215-$I$221*E215</f>
        <v>0</v>
      </c>
      <c r="E221" s="56" t="n">
        <f aca="false">$I$221*D215+$H$221*E215</f>
        <v>0</v>
      </c>
      <c r="G221" s="56" t="n">
        <f aca="false">IF(ABS(E217)&lt;0.00000000000001,0,0.5*ATAN2(E218-D217,2*E217))</f>
        <v>0</v>
      </c>
      <c r="H221" s="56" t="n">
        <f aca="false">COS(G221)</f>
        <v>1</v>
      </c>
      <c r="I221" s="56" t="n">
        <f aca="false">SIN(G221)</f>
        <v>0</v>
      </c>
    </row>
    <row r="222" customFormat="false" ht="15" hidden="false" customHeight="false" outlineLevel="0" collapsed="false">
      <c r="B222" s="56" t="n">
        <f aca="false">B216</f>
        <v>0</v>
      </c>
      <c r="C222" s="56" t="n">
        <f aca="false">C216</f>
        <v>-2.03006158630089</v>
      </c>
      <c r="D222" s="56" t="n">
        <f aca="false">$H$221*D216-$I$221*E216</f>
        <v>0</v>
      </c>
      <c r="E222" s="56" t="n">
        <f aca="false">$I$221*D216+$H$221*E216</f>
        <v>0</v>
      </c>
    </row>
    <row r="223" customFormat="false" ht="15" hidden="false" customHeight="false" outlineLevel="0" collapsed="false">
      <c r="B223" s="56" t="n">
        <f aca="false">$H$221*B217-$I$221*B218</f>
        <v>0</v>
      </c>
      <c r="C223" s="56" t="n">
        <f aca="false">$H$221*C217-$I$221*C218</f>
        <v>0</v>
      </c>
      <c r="D223" s="56" t="n">
        <f aca="false">$H$221^2*D217-2*$I$221*$H$221*E217+$I$221^2*E218</f>
        <v>-0.680382456658851</v>
      </c>
      <c r="E223" s="56" t="n">
        <f aca="false">0</f>
        <v>0</v>
      </c>
    </row>
    <row r="224" customFormat="false" ht="15" hidden="false" customHeight="false" outlineLevel="0" collapsed="false">
      <c r="B224" s="56" t="n">
        <f aca="false">$I$221*B217+$H$221*B218</f>
        <v>0</v>
      </c>
      <c r="C224" s="56" t="n">
        <f aca="false">$I$221*C217+$H$221*C218</f>
        <v>0</v>
      </c>
      <c r="D224" s="56" t="n">
        <f aca="false">0</f>
        <v>0</v>
      </c>
      <c r="E224" s="56" t="n">
        <f aca="false">$I$221^2*D217+2*$I$221*$H$221*E217+$H$221^2*E218</f>
        <v>-0.321340867877317</v>
      </c>
    </row>
    <row r="227" customFormat="false" ht="15" hidden="false" customHeight="false" outlineLevel="0" collapsed="false">
      <c r="A227" s="26" t="s">
        <v>347</v>
      </c>
      <c r="B227" s="56" t="n">
        <f aca="false">$H$227^2*B221-2*$I$227*$H$227*C221+$I$227^2*C222</f>
        <v>-3.19803965056632</v>
      </c>
      <c r="C227" s="56" t="n">
        <f aca="false">0</f>
        <v>0</v>
      </c>
      <c r="D227" s="56" t="n">
        <f aca="false">$H$227*D221-$I$227*D222</f>
        <v>0</v>
      </c>
      <c r="E227" s="56" t="n">
        <f aca="false">$H$227*E221-$I$227*E222</f>
        <v>0</v>
      </c>
      <c r="G227" s="56" t="n">
        <f aca="false">IF(ABS(C221)&lt;0.00000000000001,0,0.5*ATAN2(C222-B221,2*C221))</f>
        <v>0</v>
      </c>
      <c r="H227" s="56" t="n">
        <f aca="false">COS(G227)</f>
        <v>1</v>
      </c>
      <c r="I227" s="56" t="n">
        <f aca="false">SIN(G227)</f>
        <v>0</v>
      </c>
    </row>
    <row r="228" customFormat="false" ht="15" hidden="false" customHeight="false" outlineLevel="0" collapsed="false">
      <c r="B228" s="56" t="n">
        <f aca="false">0</f>
        <v>0</v>
      </c>
      <c r="C228" s="56" t="n">
        <f aca="false">$I$227^2*B221+2*$I$227*$H$227*C221+$H$227^2*C222</f>
        <v>-2.03006158630089</v>
      </c>
      <c r="D228" s="56" t="n">
        <f aca="false">$I$227*D221+$H$227*D222</f>
        <v>0</v>
      </c>
      <c r="E228" s="56" t="n">
        <f aca="false">$I$227*E221+$H$227*E222</f>
        <v>0</v>
      </c>
    </row>
    <row r="229" customFormat="false" ht="15" hidden="false" customHeight="false" outlineLevel="0" collapsed="false">
      <c r="B229" s="56" t="n">
        <f aca="false">$H$227*B223-$I$227*C223</f>
        <v>0</v>
      </c>
      <c r="C229" s="56" t="n">
        <f aca="false">$I$227*B223+$H$227*C223</f>
        <v>0</v>
      </c>
      <c r="D229" s="56" t="n">
        <f aca="false">D223</f>
        <v>-0.680382456658851</v>
      </c>
      <c r="E229" s="56" t="n">
        <f aca="false">E223</f>
        <v>0</v>
      </c>
    </row>
    <row r="230" customFormat="false" ht="15" hidden="false" customHeight="false" outlineLevel="0" collapsed="false">
      <c r="B230" s="56" t="n">
        <f aca="false">$H$227*B224-$I$227*C224</f>
        <v>0</v>
      </c>
      <c r="C230" s="56" t="n">
        <f aca="false">$I$227*B224+$H$227*C224</f>
        <v>0</v>
      </c>
      <c r="D230" s="56" t="n">
        <f aca="false">D224</f>
        <v>0</v>
      </c>
      <c r="E230" s="56" t="n">
        <f aca="false">E224</f>
        <v>-0.321340867877317</v>
      </c>
    </row>
    <row r="233" customFormat="false" ht="15" hidden="false" customHeight="false" outlineLevel="0" collapsed="false">
      <c r="A233" s="26" t="s">
        <v>348</v>
      </c>
      <c r="B233" s="56" t="n">
        <f aca="false">$H$233^2*B227-2*$I$233*$H$233*D227+$I$233^2*D229</f>
        <v>-3.19803965056632</v>
      </c>
      <c r="C233" s="56" t="n">
        <f aca="false">$H$233*C227-$I$233*C229</f>
        <v>0</v>
      </c>
      <c r="D233" s="56" t="n">
        <f aca="false">0</f>
        <v>0</v>
      </c>
      <c r="E233" s="56" t="n">
        <f aca="false">$H$233*E227-$I$233*E229</f>
        <v>0</v>
      </c>
      <c r="G233" s="56" t="n">
        <f aca="false">IF(ABS(D227)&lt;0.00000000000001,0,0.5*ATAN2(D229-B227,2*D227))</f>
        <v>0</v>
      </c>
      <c r="H233" s="56" t="n">
        <f aca="false">COS(G233)</f>
        <v>1</v>
      </c>
      <c r="I233" s="56" t="n">
        <f aca="false">SIN(G233)</f>
        <v>0</v>
      </c>
    </row>
    <row r="234" customFormat="false" ht="15" hidden="false" customHeight="false" outlineLevel="0" collapsed="false">
      <c r="B234" s="56" t="n">
        <f aca="false">$H$233*B228-$I$233*D228</f>
        <v>0</v>
      </c>
      <c r="C234" s="56" t="n">
        <f aca="false">C228</f>
        <v>-2.03006158630089</v>
      </c>
      <c r="D234" s="56" t="n">
        <f aca="false">$I$233*B228+$H$233*D228</f>
        <v>0</v>
      </c>
      <c r="E234" s="56" t="n">
        <f aca="false">E228</f>
        <v>0</v>
      </c>
    </row>
    <row r="235" customFormat="false" ht="15" hidden="false" customHeight="false" outlineLevel="0" collapsed="false">
      <c r="B235" s="56" t="n">
        <f aca="false">0</f>
        <v>0</v>
      </c>
      <c r="C235" s="56" t="n">
        <f aca="false">$I$233*C227+$H$233*C229</f>
        <v>0</v>
      </c>
      <c r="D235" s="56" t="n">
        <f aca="false">$I$233^2*B227+2*$I$233*$H$233*D227+$H$233^2*D229</f>
        <v>-0.680382456658851</v>
      </c>
      <c r="E235" s="56" t="n">
        <f aca="false">$I$233*E227+$H$233*E229</f>
        <v>0</v>
      </c>
    </row>
    <row r="236" customFormat="false" ht="15" hidden="false" customHeight="false" outlineLevel="0" collapsed="false">
      <c r="B236" s="56" t="n">
        <f aca="false">$H$233*B230-$I$233*D230</f>
        <v>0</v>
      </c>
      <c r="C236" s="56" t="n">
        <f aca="false">C230</f>
        <v>0</v>
      </c>
      <c r="D236" s="56" t="n">
        <f aca="false">$I$233*B230+$H$233*D230</f>
        <v>0</v>
      </c>
      <c r="E236" s="56" t="n">
        <f aca="false">E230</f>
        <v>-0.321340867877317</v>
      </c>
    </row>
    <row r="239" customFormat="false" ht="15" hidden="false" customHeight="false" outlineLevel="0" collapsed="false">
      <c r="A239" s="26" t="s">
        <v>349</v>
      </c>
      <c r="B239" s="56" t="n">
        <f aca="false">$H$239^2*B233-2*$I$239*$H$239*E233+$I$239^2*E236</f>
        <v>-3.19803965056632</v>
      </c>
      <c r="C239" s="56" t="n">
        <f aca="false">$H$239*C233-$I$239*C236</f>
        <v>0</v>
      </c>
      <c r="D239" s="56" t="n">
        <f aca="false">$H$239*D233-$I$239*D236</f>
        <v>0</v>
      </c>
      <c r="E239" s="56" t="n">
        <f aca="false">0</f>
        <v>0</v>
      </c>
      <c r="G239" s="56" t="n">
        <f aca="false">IF(ABS(E233)&lt;0.00000000000001,0,0.5*ATAN2(E236-B233,2*E233))</f>
        <v>0</v>
      </c>
      <c r="H239" s="56" t="n">
        <f aca="false">COS(G239)</f>
        <v>1</v>
      </c>
      <c r="I239" s="56" t="n">
        <f aca="false">SIN(G239)</f>
        <v>0</v>
      </c>
    </row>
    <row r="240" customFormat="false" ht="15" hidden="false" customHeight="false" outlineLevel="0" collapsed="false">
      <c r="B240" s="56" t="n">
        <f aca="false">$H$239*B234-$I$239*E234</f>
        <v>0</v>
      </c>
      <c r="C240" s="56" t="n">
        <f aca="false">C234</f>
        <v>-2.03006158630089</v>
      </c>
      <c r="D240" s="56" t="n">
        <f aca="false">D234</f>
        <v>0</v>
      </c>
      <c r="E240" s="56" t="n">
        <f aca="false">$I$239*B234+$H$239*E234</f>
        <v>0</v>
      </c>
    </row>
    <row r="241" customFormat="false" ht="15" hidden="false" customHeight="false" outlineLevel="0" collapsed="false">
      <c r="B241" s="56" t="n">
        <f aca="false">$H$239*B235-$I$239*E235</f>
        <v>0</v>
      </c>
      <c r="C241" s="56" t="n">
        <f aca="false">C235</f>
        <v>0</v>
      </c>
      <c r="D241" s="56" t="n">
        <f aca="false">D235</f>
        <v>-0.680382456658851</v>
      </c>
      <c r="E241" s="56" t="n">
        <f aca="false">$I$239*B235+$H$239*E235</f>
        <v>0</v>
      </c>
    </row>
    <row r="242" customFormat="false" ht="15" hidden="false" customHeight="false" outlineLevel="0" collapsed="false">
      <c r="B242" s="56" t="n">
        <f aca="false">0</f>
        <v>0</v>
      </c>
      <c r="C242" s="56" t="n">
        <f aca="false">$I$239*C233+$H$239*C236</f>
        <v>0</v>
      </c>
      <c r="D242" s="56" t="n">
        <f aca="false">$I$239*D233+$H$239*D236</f>
        <v>0</v>
      </c>
      <c r="E242" s="56" t="n">
        <f aca="false">$I$239^2*B233+2*$I$239*$H$239*E233+$H$239^2*E236</f>
        <v>-0.321340867877317</v>
      </c>
    </row>
    <row r="245" customFormat="false" ht="15" hidden="false" customHeight="false" outlineLevel="0" collapsed="false">
      <c r="A245" s="26" t="s">
        <v>350</v>
      </c>
      <c r="B245" s="56" t="n">
        <f aca="false">B239</f>
        <v>-3.19803965056632</v>
      </c>
      <c r="C245" s="56" t="n">
        <f aca="false">$H$245*C239-$I$245*D239</f>
        <v>0</v>
      </c>
      <c r="D245" s="56" t="n">
        <f aca="false">$I$245*C239+$H$245*D239</f>
        <v>0</v>
      </c>
      <c r="E245" s="56" t="n">
        <f aca="false">E239</f>
        <v>0</v>
      </c>
      <c r="G245" s="56" t="n">
        <f aca="false">IF(ABS(D240)&lt;0.00000000000001,0,0.5*ATAN2(D241-C240,2*D240))</f>
        <v>0</v>
      </c>
      <c r="H245" s="56" t="n">
        <f aca="false">COS(G245)</f>
        <v>1</v>
      </c>
      <c r="I245" s="56" t="n">
        <f aca="false">SIN(G245)</f>
        <v>0</v>
      </c>
    </row>
    <row r="246" customFormat="false" ht="15" hidden="false" customHeight="false" outlineLevel="0" collapsed="false">
      <c r="B246" s="56" t="n">
        <f aca="false">$H$245*B240-$I$245*B241</f>
        <v>0</v>
      </c>
      <c r="C246" s="56" t="n">
        <f aca="false">$H$245^2*C240-2*$I$245*$H$245*D240+$I$245^2*D241</f>
        <v>-2.03006158630089</v>
      </c>
      <c r="D246" s="56" t="n">
        <f aca="false">0</f>
        <v>0</v>
      </c>
      <c r="E246" s="56" t="n">
        <f aca="false">$H$245*E240-$I$245*E241</f>
        <v>0</v>
      </c>
    </row>
    <row r="247" customFormat="false" ht="15" hidden="false" customHeight="false" outlineLevel="0" collapsed="false">
      <c r="B247" s="56" t="n">
        <f aca="false">$I$245*B240+$H$245*B241</f>
        <v>0</v>
      </c>
      <c r="C247" s="56" t="n">
        <f aca="false">0</f>
        <v>0</v>
      </c>
      <c r="D247" s="56" t="n">
        <f aca="false">$I$245^2*C240+2*$I$245*$H$245*D240+$H$245^2*D241</f>
        <v>-0.680382456658851</v>
      </c>
      <c r="E247" s="56" t="n">
        <f aca="false">$I$245*E240+$H$245*E241</f>
        <v>0</v>
      </c>
    </row>
    <row r="248" customFormat="false" ht="15" hidden="false" customHeight="false" outlineLevel="0" collapsed="false">
      <c r="B248" s="56" t="n">
        <f aca="false">B242</f>
        <v>0</v>
      </c>
      <c r="C248" s="56" t="n">
        <f aca="false">$H$245*C242-$I$245*D242</f>
        <v>0</v>
      </c>
      <c r="D248" s="56" t="n">
        <f aca="false">$I$245*C242+$H$245*D242</f>
        <v>0</v>
      </c>
      <c r="E248" s="56" t="n">
        <f aca="false">E242</f>
        <v>-0.321340867877317</v>
      </c>
    </row>
    <row r="251" customFormat="false" ht="15" hidden="false" customHeight="false" outlineLevel="0" collapsed="false">
      <c r="A251" s="26" t="s">
        <v>351</v>
      </c>
      <c r="B251" s="56" t="n">
        <f aca="false">B245</f>
        <v>-3.19803965056632</v>
      </c>
      <c r="C251" s="56" t="n">
        <f aca="false">$H$251*C245-$I$251*E245</f>
        <v>0</v>
      </c>
      <c r="D251" s="56" t="n">
        <f aca="false">D245</f>
        <v>0</v>
      </c>
      <c r="E251" s="56" t="n">
        <f aca="false">$I$251*C245+$H$251*E245</f>
        <v>0</v>
      </c>
      <c r="G251" s="56" t="n">
        <f aca="false">IF(ABS(E246)&lt;0.00000000000001,0,0.5*ATAN2(E248-C246,2*E246))</f>
        <v>0</v>
      </c>
      <c r="H251" s="56" t="n">
        <f aca="false">COS(G251)</f>
        <v>1</v>
      </c>
      <c r="I251" s="56" t="n">
        <f aca="false">SIN(G251)</f>
        <v>0</v>
      </c>
    </row>
    <row r="252" customFormat="false" ht="15" hidden="false" customHeight="false" outlineLevel="0" collapsed="false">
      <c r="B252" s="56" t="n">
        <f aca="false">$H$251*B246-$I$251*B248</f>
        <v>0</v>
      </c>
      <c r="C252" s="56" t="n">
        <f aca="false">$H$251^2*C246-2*$I$251*$H$251*E246+$I$251^2*E248</f>
        <v>-2.03006158630089</v>
      </c>
      <c r="D252" s="56" t="n">
        <f aca="false">$H$251*D246-$I$251*D248</f>
        <v>0</v>
      </c>
      <c r="E252" s="56" t="n">
        <f aca="false">0</f>
        <v>0</v>
      </c>
    </row>
    <row r="253" customFormat="false" ht="15" hidden="false" customHeight="false" outlineLevel="0" collapsed="false">
      <c r="B253" s="56" t="n">
        <f aca="false">B247</f>
        <v>0</v>
      </c>
      <c r="C253" s="56" t="n">
        <f aca="false">$H$251*C247-$I$251*E247</f>
        <v>0</v>
      </c>
      <c r="D253" s="56" t="n">
        <f aca="false">D247</f>
        <v>-0.680382456658851</v>
      </c>
      <c r="E253" s="56" t="n">
        <f aca="false">$I$251*C247+$H$251*E247</f>
        <v>0</v>
      </c>
    </row>
    <row r="254" customFormat="false" ht="15" hidden="false" customHeight="false" outlineLevel="0" collapsed="false">
      <c r="B254" s="56" t="n">
        <f aca="false">$I$251*B246+$H$251*B248</f>
        <v>0</v>
      </c>
      <c r="C254" s="56" t="n">
        <f aca="false">0</f>
        <v>0</v>
      </c>
      <c r="D254" s="56" t="n">
        <f aca="false">$I$251*D246+$H$251*D248</f>
        <v>0</v>
      </c>
      <c r="E254" s="56" t="n">
        <f aca="false">$I$251^2*C246+2*$I$251*$H$251*E246+$H$251^2*E248</f>
        <v>-0.321340867877317</v>
      </c>
    </row>
    <row r="257" customFormat="false" ht="15" hidden="false" customHeight="false" outlineLevel="0" collapsed="false">
      <c r="A257" s="26" t="s">
        <v>352</v>
      </c>
      <c r="B257" s="56" t="n">
        <f aca="false">B251</f>
        <v>-3.19803965056632</v>
      </c>
      <c r="C257" s="56" t="n">
        <f aca="false">C251</f>
        <v>0</v>
      </c>
      <c r="D257" s="56" t="n">
        <f aca="false">$H$257*D251-$I$257*E251</f>
        <v>0</v>
      </c>
      <c r="E257" s="56" t="n">
        <f aca="false">$I$257*D251+$H$257*E251</f>
        <v>0</v>
      </c>
      <c r="G257" s="56" t="n">
        <f aca="false">IF(ABS(E253)&lt;0.00000000000001,0,0.5*ATAN2(E254-D253,2*E253))</f>
        <v>0</v>
      </c>
      <c r="H257" s="56" t="n">
        <f aca="false">COS(G257)</f>
        <v>1</v>
      </c>
      <c r="I257" s="56" t="n">
        <f aca="false">SIN(G257)</f>
        <v>0</v>
      </c>
    </row>
    <row r="258" customFormat="false" ht="15" hidden="false" customHeight="false" outlineLevel="0" collapsed="false">
      <c r="B258" s="56" t="n">
        <f aca="false">B252</f>
        <v>0</v>
      </c>
      <c r="C258" s="56" t="n">
        <f aca="false">C252</f>
        <v>-2.03006158630089</v>
      </c>
      <c r="D258" s="56" t="n">
        <f aca="false">$H$257*D252-$I$257*E252</f>
        <v>0</v>
      </c>
      <c r="E258" s="56" t="n">
        <f aca="false">$I$257*D252+$H$257*E252</f>
        <v>0</v>
      </c>
    </row>
    <row r="259" customFormat="false" ht="15" hidden="false" customHeight="false" outlineLevel="0" collapsed="false">
      <c r="B259" s="56" t="n">
        <f aca="false">$H$257*B253-$I$257*B254</f>
        <v>0</v>
      </c>
      <c r="C259" s="56" t="n">
        <f aca="false">$H$257*C253-$I$257*C254</f>
        <v>0</v>
      </c>
      <c r="D259" s="56" t="n">
        <f aca="false">$H$257^2*D253-2*$I$257*$H$257*E253+$I$257^2*E254</f>
        <v>-0.680382456658851</v>
      </c>
      <c r="E259" s="56" t="n">
        <f aca="false">0</f>
        <v>0</v>
      </c>
    </row>
    <row r="260" customFormat="false" ht="15" hidden="false" customHeight="false" outlineLevel="0" collapsed="false">
      <c r="B260" s="56" t="n">
        <f aca="false">$I$257*B253+$H$257*B254</f>
        <v>0</v>
      </c>
      <c r="C260" s="56" t="n">
        <f aca="false">$I$257*C253+$H$257*C254</f>
        <v>0</v>
      </c>
      <c r="D260" s="56" t="n">
        <f aca="false">0</f>
        <v>0</v>
      </c>
      <c r="E260" s="56" t="n">
        <f aca="false">$I$257^2*D253+2*$I$257*$H$257*E253+$H$257^2*E254</f>
        <v>-0.321340867877317</v>
      </c>
    </row>
    <row r="263" customFormat="false" ht="15" hidden="false" customHeight="false" outlineLevel="0" collapsed="false">
      <c r="A263" s="26" t="s">
        <v>353</v>
      </c>
      <c r="B263" s="56" t="n">
        <f aca="false">$H$263^2*B257-2*$I$263*$H$263*C257+$I$263^2*C258</f>
        <v>-3.19803965056632</v>
      </c>
      <c r="C263" s="56" t="n">
        <f aca="false">0</f>
        <v>0</v>
      </c>
      <c r="D263" s="56" t="n">
        <f aca="false">$H$263*D257-$I$263*D258</f>
        <v>0</v>
      </c>
      <c r="E263" s="56" t="n">
        <f aca="false">$H$263*E257-$I$263*E258</f>
        <v>0</v>
      </c>
      <c r="G263" s="56" t="n">
        <f aca="false">IF(ABS(C257)&lt;0.00000000000001,0,0.5*ATAN2(C258-B257,2*C257))</f>
        <v>0</v>
      </c>
      <c r="H263" s="56" t="n">
        <f aca="false">COS(G263)</f>
        <v>1</v>
      </c>
      <c r="I263" s="56" t="n">
        <f aca="false">SIN(G263)</f>
        <v>0</v>
      </c>
    </row>
    <row r="264" customFormat="false" ht="15" hidden="false" customHeight="false" outlineLevel="0" collapsed="false">
      <c r="B264" s="56" t="n">
        <f aca="false">0</f>
        <v>0</v>
      </c>
      <c r="C264" s="56" t="n">
        <f aca="false">$I$263^2*B257+2*$I$263*$H$263*C257+$H$263^2*C258</f>
        <v>-2.03006158630089</v>
      </c>
      <c r="D264" s="56" t="n">
        <f aca="false">$I$263*D257+$H$263*D258</f>
        <v>0</v>
      </c>
      <c r="E264" s="56" t="n">
        <f aca="false">$I$263*E257+$H$263*E258</f>
        <v>0</v>
      </c>
    </row>
    <row r="265" customFormat="false" ht="15" hidden="false" customHeight="false" outlineLevel="0" collapsed="false">
      <c r="B265" s="56" t="n">
        <f aca="false">$H$263*B259-$I$263*C259</f>
        <v>0</v>
      </c>
      <c r="C265" s="56" t="n">
        <f aca="false">$I$263*B259+$H$263*C259</f>
        <v>0</v>
      </c>
      <c r="D265" s="56" t="n">
        <f aca="false">D259</f>
        <v>-0.680382456658851</v>
      </c>
      <c r="E265" s="56" t="n">
        <f aca="false">E259</f>
        <v>0</v>
      </c>
    </row>
    <row r="266" customFormat="false" ht="15" hidden="false" customHeight="false" outlineLevel="0" collapsed="false">
      <c r="B266" s="56" t="n">
        <f aca="false">$H$263*B260-$I$263*C260</f>
        <v>0</v>
      </c>
      <c r="C266" s="56" t="n">
        <f aca="false">$I$263*B260+$H$263*C260</f>
        <v>0</v>
      </c>
      <c r="D266" s="56" t="n">
        <f aca="false">D260</f>
        <v>0</v>
      </c>
      <c r="E266" s="56" t="n">
        <f aca="false">E260</f>
        <v>-0.321340867877317</v>
      </c>
    </row>
    <row r="269" customFormat="false" ht="15" hidden="false" customHeight="false" outlineLevel="0" collapsed="false">
      <c r="A269" s="26" t="s">
        <v>354</v>
      </c>
      <c r="B269" s="56" t="n">
        <f aca="false">$H$269^2*B263-2*$I$269*$H$269*D263+$I$269^2*D265</f>
        <v>-3.19803965056632</v>
      </c>
      <c r="C269" s="56" t="n">
        <f aca="false">$H$269*C263-$I$269*C265</f>
        <v>0</v>
      </c>
      <c r="D269" s="56" t="n">
        <f aca="false">0</f>
        <v>0</v>
      </c>
      <c r="E269" s="56" t="n">
        <f aca="false">$H$269*E263-$I$269*E265</f>
        <v>0</v>
      </c>
      <c r="G269" s="56" t="n">
        <f aca="false">IF(ABS(D263)&lt;0.00000000000001,0,0.5*ATAN2(D265-B263,2*D263))</f>
        <v>0</v>
      </c>
      <c r="H269" s="56" t="n">
        <f aca="false">COS(G269)</f>
        <v>1</v>
      </c>
      <c r="I269" s="56" t="n">
        <f aca="false">SIN(G269)</f>
        <v>0</v>
      </c>
    </row>
    <row r="270" customFormat="false" ht="15" hidden="false" customHeight="false" outlineLevel="0" collapsed="false">
      <c r="B270" s="56" t="n">
        <f aca="false">$H$269*B264-$I$269*D264</f>
        <v>0</v>
      </c>
      <c r="C270" s="56" t="n">
        <f aca="false">C264</f>
        <v>-2.03006158630089</v>
      </c>
      <c r="D270" s="56" t="n">
        <f aca="false">$I$269*B264+$H$269*D264</f>
        <v>0</v>
      </c>
      <c r="E270" s="56" t="n">
        <f aca="false">E264</f>
        <v>0</v>
      </c>
    </row>
    <row r="271" customFormat="false" ht="15" hidden="false" customHeight="false" outlineLevel="0" collapsed="false">
      <c r="B271" s="56" t="n">
        <f aca="false">0</f>
        <v>0</v>
      </c>
      <c r="C271" s="56" t="n">
        <f aca="false">$I$269*C263+$H$269*C265</f>
        <v>0</v>
      </c>
      <c r="D271" s="56" t="n">
        <f aca="false">$I$269^2*B263+2*$I$269*$H$269*D263+$H$269^2*D265</f>
        <v>-0.680382456658851</v>
      </c>
      <c r="E271" s="56" t="n">
        <f aca="false">$I$269*E263+$H$269*E265</f>
        <v>0</v>
      </c>
    </row>
    <row r="272" customFormat="false" ht="15" hidden="false" customHeight="false" outlineLevel="0" collapsed="false">
      <c r="B272" s="56" t="n">
        <f aca="false">$H$269*B266-$I$269*D266</f>
        <v>0</v>
      </c>
      <c r="C272" s="56" t="n">
        <f aca="false">C266</f>
        <v>0</v>
      </c>
      <c r="D272" s="56" t="n">
        <f aca="false">$I$269*B266+$H$269*D266</f>
        <v>0</v>
      </c>
      <c r="E272" s="56" t="n">
        <f aca="false">E266</f>
        <v>-0.321340867877317</v>
      </c>
    </row>
    <row r="275" customFormat="false" ht="15" hidden="false" customHeight="false" outlineLevel="0" collapsed="false">
      <c r="A275" s="26" t="s">
        <v>355</v>
      </c>
      <c r="B275" s="56" t="n">
        <f aca="false">$H$275^2*B269-2*$I$275*$H$275*E269+$I$275^2*E272</f>
        <v>-3.19803965056632</v>
      </c>
      <c r="C275" s="56" t="n">
        <f aca="false">$H$275*C269-$I$275*C272</f>
        <v>0</v>
      </c>
      <c r="D275" s="56" t="n">
        <f aca="false">$H$275*D269-$I$275*D272</f>
        <v>0</v>
      </c>
      <c r="E275" s="56" t="n">
        <f aca="false">0</f>
        <v>0</v>
      </c>
      <c r="G275" s="56" t="n">
        <f aca="false">IF(ABS(E269)&lt;0.00000000000001,0,0.5*ATAN2(E272-B269,2*E269))</f>
        <v>0</v>
      </c>
      <c r="H275" s="56" t="n">
        <f aca="false">COS(G275)</f>
        <v>1</v>
      </c>
      <c r="I275" s="56" t="n">
        <f aca="false">SIN(G275)</f>
        <v>0</v>
      </c>
    </row>
    <row r="276" customFormat="false" ht="15" hidden="false" customHeight="false" outlineLevel="0" collapsed="false">
      <c r="B276" s="56" t="n">
        <f aca="false">$H$275*B270-$I$275*E270</f>
        <v>0</v>
      </c>
      <c r="C276" s="56" t="n">
        <f aca="false">C270</f>
        <v>-2.03006158630089</v>
      </c>
      <c r="D276" s="56" t="n">
        <f aca="false">D270</f>
        <v>0</v>
      </c>
      <c r="E276" s="56" t="n">
        <f aca="false">$I$275*B270+$H$275*E270</f>
        <v>0</v>
      </c>
    </row>
    <row r="277" customFormat="false" ht="15" hidden="false" customHeight="false" outlineLevel="0" collapsed="false">
      <c r="B277" s="56" t="n">
        <f aca="false">$H$275*B271-$I$275*E271</f>
        <v>0</v>
      </c>
      <c r="C277" s="56" t="n">
        <f aca="false">C271</f>
        <v>0</v>
      </c>
      <c r="D277" s="56" t="n">
        <f aca="false">D271</f>
        <v>-0.680382456658851</v>
      </c>
      <c r="E277" s="56" t="n">
        <f aca="false">$I$275*B271+$H$275*E271</f>
        <v>0</v>
      </c>
    </row>
    <row r="278" customFormat="false" ht="15" hidden="false" customHeight="false" outlineLevel="0" collapsed="false">
      <c r="B278" s="56" t="n">
        <f aca="false">0</f>
        <v>0</v>
      </c>
      <c r="C278" s="56" t="n">
        <f aca="false">$I$275*C269+$H$275*C272</f>
        <v>0</v>
      </c>
      <c r="D278" s="56" t="n">
        <f aca="false">$I$275*D269+$H$275*D272</f>
        <v>0</v>
      </c>
      <c r="E278" s="56" t="n">
        <f aca="false">$I$275^2*B269+2*$I$275*$H$275*E269+$H$275^2*E272</f>
        <v>-0.321340867877317</v>
      </c>
    </row>
    <row r="281" customFormat="false" ht="15" hidden="false" customHeight="false" outlineLevel="0" collapsed="false">
      <c r="A281" s="26" t="s">
        <v>356</v>
      </c>
      <c r="B281" s="56" t="n">
        <f aca="false">B275</f>
        <v>-3.19803965056632</v>
      </c>
      <c r="C281" s="56" t="n">
        <f aca="false">$H$281*C275-$I$281*D275</f>
        <v>0</v>
      </c>
      <c r="D281" s="56" t="n">
        <f aca="false">$I$281*C275+$H$281*D275</f>
        <v>0</v>
      </c>
      <c r="E281" s="56" t="n">
        <f aca="false">E275</f>
        <v>0</v>
      </c>
      <c r="G281" s="56" t="n">
        <f aca="false">IF(ABS(D276)&lt;0.00000000000001,0,0.5*ATAN2(D277-C276,2*D276))</f>
        <v>0</v>
      </c>
      <c r="H281" s="56" t="n">
        <f aca="false">COS(G281)</f>
        <v>1</v>
      </c>
      <c r="I281" s="56" t="n">
        <f aca="false">SIN(G281)</f>
        <v>0</v>
      </c>
    </row>
    <row r="282" customFormat="false" ht="15" hidden="false" customHeight="false" outlineLevel="0" collapsed="false">
      <c r="B282" s="56" t="n">
        <f aca="false">$H$281*B276-$I$281*B277</f>
        <v>0</v>
      </c>
      <c r="C282" s="56" t="n">
        <f aca="false">$H$281^2*C276-2*$I$281*$H$281*D276+$I$281^2*D277</f>
        <v>-2.03006158630089</v>
      </c>
      <c r="D282" s="56" t="n">
        <f aca="false">0</f>
        <v>0</v>
      </c>
      <c r="E282" s="56" t="n">
        <f aca="false">$H$281*E276-$I$281*E277</f>
        <v>0</v>
      </c>
    </row>
    <row r="283" customFormat="false" ht="15" hidden="false" customHeight="false" outlineLevel="0" collapsed="false">
      <c r="B283" s="56" t="n">
        <f aca="false">$I$281*B276+$H$281*B277</f>
        <v>0</v>
      </c>
      <c r="C283" s="56" t="n">
        <f aca="false">0</f>
        <v>0</v>
      </c>
      <c r="D283" s="56" t="n">
        <f aca="false">$I$281^2*C276+2*$I$281*$H$281*D276+$H$281^2*D277</f>
        <v>-0.680382456658851</v>
      </c>
      <c r="E283" s="56" t="n">
        <f aca="false">$I$281*E276+$H$281*E277</f>
        <v>0</v>
      </c>
    </row>
    <row r="284" customFormat="false" ht="15" hidden="false" customHeight="false" outlineLevel="0" collapsed="false">
      <c r="B284" s="56" t="n">
        <f aca="false">B278</f>
        <v>0</v>
      </c>
      <c r="C284" s="56" t="n">
        <f aca="false">$H$281*C278-$I$281*D278</f>
        <v>0</v>
      </c>
      <c r="D284" s="56" t="n">
        <f aca="false">$I$281*C278+$H$281*D278</f>
        <v>0</v>
      </c>
      <c r="E284" s="56" t="n">
        <f aca="false">E278</f>
        <v>-0.321340867877317</v>
      </c>
    </row>
    <row r="287" customFormat="false" ht="15" hidden="false" customHeight="false" outlineLevel="0" collapsed="false">
      <c r="A287" s="26" t="s">
        <v>357</v>
      </c>
      <c r="B287" s="56" t="n">
        <f aca="false">B281</f>
        <v>-3.19803965056632</v>
      </c>
      <c r="C287" s="56" t="n">
        <f aca="false">$H$287*C281-$I$287*E281</f>
        <v>0</v>
      </c>
      <c r="D287" s="56" t="n">
        <f aca="false">D281</f>
        <v>0</v>
      </c>
      <c r="E287" s="56" t="n">
        <f aca="false">$I$287*C281+$H$287*E281</f>
        <v>0</v>
      </c>
      <c r="G287" s="56" t="n">
        <f aca="false">IF(ABS(E282)&lt;0.00000000000001,0,0.5*ATAN2(E284-C282,2*E282))</f>
        <v>0</v>
      </c>
      <c r="H287" s="56" t="n">
        <f aca="false">COS(G287)</f>
        <v>1</v>
      </c>
      <c r="I287" s="56" t="n">
        <f aca="false">SIN(G287)</f>
        <v>0</v>
      </c>
    </row>
    <row r="288" customFormat="false" ht="15" hidden="false" customHeight="false" outlineLevel="0" collapsed="false">
      <c r="B288" s="56" t="n">
        <f aca="false">$H$287*B282-$I$287*B284</f>
        <v>0</v>
      </c>
      <c r="C288" s="56" t="n">
        <f aca="false">$H$287^2*C282-2*$I$287*$H$287*E282+$I$287^2*E284</f>
        <v>-2.03006158630089</v>
      </c>
      <c r="D288" s="56" t="n">
        <f aca="false">$H$287*D282-$I$287*D284</f>
        <v>0</v>
      </c>
      <c r="E288" s="56" t="n">
        <f aca="false">0</f>
        <v>0</v>
      </c>
    </row>
    <row r="289" customFormat="false" ht="15" hidden="false" customHeight="false" outlineLevel="0" collapsed="false">
      <c r="B289" s="56" t="n">
        <f aca="false">B283</f>
        <v>0</v>
      </c>
      <c r="C289" s="56" t="n">
        <f aca="false">$H$287*C283-$I$287*E283</f>
        <v>0</v>
      </c>
      <c r="D289" s="56" t="n">
        <f aca="false">D283</f>
        <v>-0.680382456658851</v>
      </c>
      <c r="E289" s="56" t="n">
        <f aca="false">$I$287*C283+$H$287*E283</f>
        <v>0</v>
      </c>
    </row>
    <row r="290" customFormat="false" ht="15" hidden="false" customHeight="false" outlineLevel="0" collapsed="false">
      <c r="B290" s="56" t="n">
        <f aca="false">$I$287*B282+$H$287*B284</f>
        <v>0</v>
      </c>
      <c r="C290" s="56" t="n">
        <f aca="false">0</f>
        <v>0</v>
      </c>
      <c r="D290" s="56" t="n">
        <f aca="false">$I$287*D282+$H$287*D284</f>
        <v>0</v>
      </c>
      <c r="E290" s="56" t="n">
        <f aca="false">$I$287^2*C282+2*$I$287*$H$287*E282+$H$287^2*E284</f>
        <v>-0.321340867877317</v>
      </c>
    </row>
    <row r="293" customFormat="false" ht="15" hidden="false" customHeight="false" outlineLevel="0" collapsed="false">
      <c r="A293" s="26" t="s">
        <v>358</v>
      </c>
      <c r="B293" s="56" t="n">
        <f aca="false">B287</f>
        <v>-3.19803965056632</v>
      </c>
      <c r="C293" s="56" t="n">
        <f aca="false">C287</f>
        <v>0</v>
      </c>
      <c r="D293" s="56" t="n">
        <f aca="false">$H$293*D287-$I$293*E287</f>
        <v>0</v>
      </c>
      <c r="E293" s="56" t="n">
        <f aca="false">$I$293*D287+$H$293*E287</f>
        <v>0</v>
      </c>
      <c r="G293" s="56" t="n">
        <f aca="false">IF(ABS(E289)&lt;0.00000000000001,0,0.5*ATAN2(E290-D289,2*E289))</f>
        <v>0</v>
      </c>
      <c r="H293" s="56" t="n">
        <f aca="false">COS(G293)</f>
        <v>1</v>
      </c>
      <c r="I293" s="56" t="n">
        <f aca="false">SIN(G293)</f>
        <v>0</v>
      </c>
    </row>
    <row r="294" customFormat="false" ht="15" hidden="false" customHeight="false" outlineLevel="0" collapsed="false">
      <c r="B294" s="56" t="n">
        <f aca="false">B288</f>
        <v>0</v>
      </c>
      <c r="C294" s="56" t="n">
        <f aca="false">C288</f>
        <v>-2.03006158630089</v>
      </c>
      <c r="D294" s="56" t="n">
        <f aca="false">$H$293*D288-$I$293*E288</f>
        <v>0</v>
      </c>
      <c r="E294" s="56" t="n">
        <f aca="false">$I$293*D288+$H$293*E288</f>
        <v>0</v>
      </c>
    </row>
    <row r="295" customFormat="false" ht="15" hidden="false" customHeight="false" outlineLevel="0" collapsed="false">
      <c r="B295" s="56" t="n">
        <f aca="false">$H$293*B289-$I$293*B290</f>
        <v>0</v>
      </c>
      <c r="C295" s="56" t="n">
        <f aca="false">$H$293*C289-$I$293*C290</f>
        <v>0</v>
      </c>
      <c r="D295" s="56" t="n">
        <f aca="false">$H$293^2*D289-2*$I$293*$H$293*E289+$I$293^2*E290</f>
        <v>-0.680382456658851</v>
      </c>
      <c r="E295" s="56" t="n">
        <f aca="false">0</f>
        <v>0</v>
      </c>
    </row>
    <row r="296" customFormat="false" ht="15" hidden="false" customHeight="false" outlineLevel="0" collapsed="false">
      <c r="B296" s="56" t="n">
        <f aca="false">$I$293*B289+$H$293*B290</f>
        <v>0</v>
      </c>
      <c r="C296" s="56" t="n">
        <f aca="false">$I$293*C289+$H$293*C290</f>
        <v>0</v>
      </c>
      <c r="D296" s="56" t="n">
        <f aca="false">0</f>
        <v>0</v>
      </c>
      <c r="E296" s="56" t="n">
        <f aca="false">$I$293^2*D289+2*$I$293*$H$293*E289+$H$293^2*E290</f>
        <v>-0.321340867877317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W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359</v>
      </c>
    </row>
    <row r="4" customFormat="false" ht="26.85" hidden="false" customHeight="false" outlineLevel="0" collapsed="false">
      <c r="A4" s="9" t="s">
        <v>208</v>
      </c>
      <c r="B4" s="10" t="s">
        <v>360</v>
      </c>
      <c r="C4" s="9" t="s">
        <v>361</v>
      </c>
      <c r="D4" s="9" t="s">
        <v>362</v>
      </c>
      <c r="E4" s="10" t="s">
        <v>363</v>
      </c>
    </row>
    <row r="5" customFormat="false" ht="15" hidden="false" customHeight="false" outlineLevel="0" collapsed="false">
      <c r="A5" s="24" t="n">
        <v>1</v>
      </c>
      <c r="B5" s="24" t="n">
        <f aca="false">IF(OR(08_工程窓!$C$4=1,08_工程窓!$C$5=1),0,08_工程窓!C9)</f>
        <v>0</v>
      </c>
      <c r="C5" s="24" t="n">
        <f aca="false">IF(08_工程窓!$C$4=1,1,0)</f>
        <v>1</v>
      </c>
      <c r="D5" s="24" t="n">
        <f aca="false">IF(08_工程窓!$C$5=1,1,0)</f>
        <v>0</v>
      </c>
      <c r="E5" s="24" t="n">
        <f aca="false">IF(C5+D5&gt;0,1,IF(AND(B5&gt;=01_因子設定!L5-0.000000001,B5&lt;=01_因子設定!M5+0.000000001),1,0))</f>
        <v>1</v>
      </c>
      <c r="G5" s="39" t="s">
        <v>364</v>
      </c>
      <c r="H5" s="39" t="n">
        <f aca="false">PRODUCT(E5:E8)</f>
        <v>1</v>
      </c>
    </row>
    <row r="6" customFormat="false" ht="15" hidden="false" customHeight="false" outlineLevel="0" collapsed="false">
      <c r="A6" s="39" t="n">
        <v>2</v>
      </c>
      <c r="B6" s="39" t="n">
        <f aca="false">IF(OR(08_工程窓!$C$4=2,08_工程窓!$C$5=2),0,08_工程窓!C10)</f>
        <v>0</v>
      </c>
      <c r="C6" s="39" t="n">
        <f aca="false">IF(08_工程窓!$C$4=2,1,0)</f>
        <v>0</v>
      </c>
      <c r="D6" s="39" t="n">
        <f aca="false">IF(08_工程窓!$C$5=2,1,0)</f>
        <v>1</v>
      </c>
      <c r="E6" s="39" t="n">
        <f aca="false">IF(C6+D6&gt;0,1,IF(AND(B6&gt;=01_因子設定!L6-0.000000001,B6&lt;=01_因子設定!M6+0.000000001),1,0))</f>
        <v>1</v>
      </c>
      <c r="G6" s="39" t="s">
        <v>365</v>
      </c>
      <c r="H6" s="16" t="n">
        <f aca="false">INDEX(01_因子設定!$L$5:$L$8,08_工程窓!$C$4)</f>
        <v>-99</v>
      </c>
      <c r="I6" s="16" t="n">
        <f aca="false">INDEX(01_因子設定!$M$5:$M$8,08_工程窓!$C$4)</f>
        <v>1.5</v>
      </c>
    </row>
    <row r="7" customFormat="false" ht="15" hidden="false" customHeight="false" outlineLevel="0" collapsed="false">
      <c r="A7" s="39" t="n">
        <v>3</v>
      </c>
      <c r="B7" s="15" t="n">
        <f aca="false">IF(OR(08_工程窓!$C$4=3,08_工程窓!$C$5=3),0,08_工程窓!C11)</f>
        <v>0.5</v>
      </c>
      <c r="C7" s="39" t="n">
        <f aca="false">IF(08_工程窓!$C$4=3,1,0)</f>
        <v>0</v>
      </c>
      <c r="D7" s="39" t="n">
        <f aca="false">IF(08_工程窓!$C$5=3,1,0)</f>
        <v>0</v>
      </c>
      <c r="E7" s="39" t="n">
        <f aca="false">IF(C7+D7&gt;0,1,IF(AND(B7&gt;=01_因子設定!L7-0.000000001,B7&lt;=01_因子設定!M7+0.000000001),1,0))</f>
        <v>1</v>
      </c>
      <c r="G7" s="39" t="s">
        <v>366</v>
      </c>
      <c r="H7" s="16" t="n">
        <f aca="false">INDEX(01_因子設定!$L$5:$L$8,08_工程窓!$C$5)</f>
        <v>-2</v>
      </c>
      <c r="I7" s="16" t="n">
        <f aca="false">INDEX(01_因子設定!$M$5:$M$8,08_工程窓!$C$5)</f>
        <v>99</v>
      </c>
    </row>
    <row r="8" customFormat="false" ht="15" hidden="false" customHeight="false" outlineLevel="0" collapsed="false">
      <c r="A8" s="39" t="n">
        <v>4</v>
      </c>
      <c r="B8" s="15" t="n">
        <f aca="false">IF(OR(08_工程窓!$C$4=4,08_工程窓!$C$5=4),0,08_工程窓!C12)</f>
        <v>0.5</v>
      </c>
      <c r="C8" s="39" t="n">
        <f aca="false">IF(08_工程窓!$C$4=4,1,0)</f>
        <v>0</v>
      </c>
      <c r="D8" s="39" t="n">
        <f aca="false">IF(08_工程窓!$C$5=4,1,0)</f>
        <v>0</v>
      </c>
      <c r="E8" s="39" t="n">
        <f aca="false">IF(C8+D8&gt;0,1,IF(AND(B8&gt;=01_因子設定!L8-0.000000001,B8&lt;=01_因子設定!M8+0.000000001),1,0))</f>
        <v>1</v>
      </c>
      <c r="G8" s="39" t="s">
        <v>367</v>
      </c>
      <c r="H8" s="39" t="n">
        <f aca="false">SUMSQ(B5:B8)</f>
        <v>0.5</v>
      </c>
    </row>
    <row r="11" customFormat="false" ht="15" hidden="false" customHeight="false" outlineLevel="0" collapsed="false">
      <c r="A11" s="10" t="s">
        <v>142</v>
      </c>
      <c r="B11" s="9" t="s">
        <v>368</v>
      </c>
      <c r="C11" s="9" t="s">
        <v>369</v>
      </c>
      <c r="D11" s="9" t="s">
        <v>370</v>
      </c>
      <c r="E11" s="9" t="s">
        <v>371</v>
      </c>
      <c r="F11" s="9" t="s">
        <v>372</v>
      </c>
      <c r="G11" s="9" t="s">
        <v>373</v>
      </c>
    </row>
    <row r="12" customFormat="false" ht="15" hidden="false" customHeight="false" outlineLevel="0" collapsed="false">
      <c r="A12" s="39" t="s">
        <v>152</v>
      </c>
      <c r="B12" s="39" t="n">
        <f aca="false">1</f>
        <v>1</v>
      </c>
      <c r="C12" s="39" t="n">
        <f aca="false">0</f>
        <v>0</v>
      </c>
      <c r="D12" s="39" t="n">
        <f aca="false">0</f>
        <v>0</v>
      </c>
      <c r="E12" s="39" t="n">
        <f aca="false">0</f>
        <v>0</v>
      </c>
      <c r="F12" s="39" t="n">
        <f aca="false">0</f>
        <v>0</v>
      </c>
      <c r="G12" s="39" t="n">
        <f aca="false">0</f>
        <v>0</v>
      </c>
    </row>
    <row r="13" customFormat="false" ht="15" hidden="false" customHeight="false" outlineLevel="0" collapsed="false">
      <c r="A13" s="24" t="s">
        <v>64</v>
      </c>
      <c r="B13" s="39" t="n">
        <f aca="false">$B$5</f>
        <v>0</v>
      </c>
      <c r="C13" s="39" t="n">
        <f aca="false">$C$5</f>
        <v>1</v>
      </c>
      <c r="D13" s="39" t="n">
        <f aca="false">$D$5</f>
        <v>0</v>
      </c>
      <c r="E13" s="39" t="n">
        <f aca="false">0</f>
        <v>0</v>
      </c>
      <c r="F13" s="39" t="n">
        <f aca="false">0</f>
        <v>0</v>
      </c>
      <c r="G13" s="39" t="n">
        <f aca="false">0</f>
        <v>0</v>
      </c>
    </row>
    <row r="14" customFormat="false" ht="15" hidden="false" customHeight="false" outlineLevel="0" collapsed="false">
      <c r="A14" s="24" t="s">
        <v>69</v>
      </c>
      <c r="B14" s="39" t="n">
        <f aca="false">$B$6</f>
        <v>0</v>
      </c>
      <c r="C14" s="39" t="n">
        <f aca="false">$C$6</f>
        <v>0</v>
      </c>
      <c r="D14" s="39" t="n">
        <f aca="false">$D$6</f>
        <v>1</v>
      </c>
      <c r="E14" s="39" t="n">
        <f aca="false">0</f>
        <v>0</v>
      </c>
      <c r="F14" s="39" t="n">
        <f aca="false">0</f>
        <v>0</v>
      </c>
      <c r="G14" s="39" t="n">
        <f aca="false">0</f>
        <v>0</v>
      </c>
    </row>
    <row r="15" customFormat="false" ht="15" hidden="false" customHeight="false" outlineLevel="0" collapsed="false">
      <c r="A15" s="24" t="s">
        <v>72</v>
      </c>
      <c r="B15" s="15" t="n">
        <f aca="false">$B$7</f>
        <v>0.5</v>
      </c>
      <c r="C15" s="39" t="n">
        <f aca="false">$C$7</f>
        <v>0</v>
      </c>
      <c r="D15" s="39" t="n">
        <f aca="false">$D$7</f>
        <v>0</v>
      </c>
      <c r="E15" s="39" t="n">
        <f aca="false">0</f>
        <v>0</v>
      </c>
      <c r="F15" s="39" t="n">
        <f aca="false">0</f>
        <v>0</v>
      </c>
      <c r="G15" s="39" t="n">
        <f aca="false">0</f>
        <v>0</v>
      </c>
    </row>
    <row r="16" customFormat="false" ht="15" hidden="false" customHeight="false" outlineLevel="0" collapsed="false">
      <c r="A16" s="24" t="s">
        <v>76</v>
      </c>
      <c r="B16" s="15" t="n">
        <f aca="false">$B$8</f>
        <v>0.5</v>
      </c>
      <c r="C16" s="39" t="n">
        <f aca="false">$C$8</f>
        <v>0</v>
      </c>
      <c r="D16" s="39" t="n">
        <f aca="false">$D$8</f>
        <v>0</v>
      </c>
      <c r="E16" s="39" t="n">
        <f aca="false">0</f>
        <v>0</v>
      </c>
      <c r="F16" s="39" t="n">
        <f aca="false">0</f>
        <v>0</v>
      </c>
      <c r="G16" s="39" t="n">
        <f aca="false">0</f>
        <v>0</v>
      </c>
    </row>
    <row r="17" customFormat="false" ht="15" hidden="false" customHeight="false" outlineLevel="0" collapsed="false">
      <c r="A17" s="24" t="s">
        <v>158</v>
      </c>
      <c r="B17" s="39" t="n">
        <f aca="false">$B$5*$B$6</f>
        <v>0</v>
      </c>
      <c r="C17" s="39" t="n">
        <f aca="false">$B$5*$C$6+$B$6*$C$5</f>
        <v>0</v>
      </c>
      <c r="D17" s="39" t="n">
        <f aca="false">$B$5*$D$6+$B$6*$D$5</f>
        <v>0</v>
      </c>
      <c r="E17" s="39" t="n">
        <f aca="false">$C$5*$D$6+$C$6*$D$5</f>
        <v>1</v>
      </c>
      <c r="F17" s="39" t="n">
        <f aca="false">$C$5*$C$6</f>
        <v>0</v>
      </c>
      <c r="G17" s="39" t="n">
        <f aca="false">$D$5*$D$6</f>
        <v>0</v>
      </c>
    </row>
    <row r="18" customFormat="false" ht="15" hidden="false" customHeight="false" outlineLevel="0" collapsed="false">
      <c r="A18" s="24" t="s">
        <v>160</v>
      </c>
      <c r="B18" s="39" t="n">
        <f aca="false">$B$5*$B$7</f>
        <v>0</v>
      </c>
      <c r="C18" s="39" t="n">
        <f aca="false">$B$5*$C$7+$B$7*$C$5</f>
        <v>0.5</v>
      </c>
      <c r="D18" s="39" t="n">
        <f aca="false">$B$5*$D$7+$B$7*$D$5</f>
        <v>0</v>
      </c>
      <c r="E18" s="39" t="n">
        <f aca="false">$C$5*$D$7+$C$7*$D$5</f>
        <v>0</v>
      </c>
      <c r="F18" s="39" t="n">
        <f aca="false">$C$5*$C$7</f>
        <v>0</v>
      </c>
      <c r="G18" s="39" t="n">
        <f aca="false">$D$5*$D$7</f>
        <v>0</v>
      </c>
    </row>
    <row r="19" customFormat="false" ht="15" hidden="false" customHeight="false" outlineLevel="0" collapsed="false">
      <c r="A19" s="24" t="s">
        <v>162</v>
      </c>
      <c r="B19" s="39" t="n">
        <f aca="false">$B$5*$B$8</f>
        <v>0</v>
      </c>
      <c r="C19" s="39" t="n">
        <f aca="false">$B$5*$C$8+$B$8*$C$5</f>
        <v>0.5</v>
      </c>
      <c r="D19" s="39" t="n">
        <f aca="false">$B$5*$D$8+$B$8*$D$5</f>
        <v>0</v>
      </c>
      <c r="E19" s="39" t="n">
        <f aca="false">$C$5*$D$8+$C$8*$D$5</f>
        <v>0</v>
      </c>
      <c r="F19" s="39" t="n">
        <f aca="false">$C$5*$C$8</f>
        <v>0</v>
      </c>
      <c r="G19" s="39" t="n">
        <f aca="false">$D$5*$D$8</f>
        <v>0</v>
      </c>
    </row>
    <row r="20" customFormat="false" ht="15" hidden="false" customHeight="false" outlineLevel="0" collapsed="false">
      <c r="A20" s="24" t="s">
        <v>164</v>
      </c>
      <c r="B20" s="39" t="n">
        <f aca="false">$B$6*$B$7</f>
        <v>0</v>
      </c>
      <c r="C20" s="39" t="n">
        <f aca="false">$B$6*$C$7+$B$7*$C$6</f>
        <v>0</v>
      </c>
      <c r="D20" s="39" t="n">
        <f aca="false">$B$6*$D$7+$B$7*$D$6</f>
        <v>0.5</v>
      </c>
      <c r="E20" s="39" t="n">
        <f aca="false">$C$6*$D$7+$C$7*$D$6</f>
        <v>0</v>
      </c>
      <c r="F20" s="39" t="n">
        <f aca="false">$C$6*$C$7</f>
        <v>0</v>
      </c>
      <c r="G20" s="39" t="n">
        <f aca="false">$D$6*$D$7</f>
        <v>0</v>
      </c>
    </row>
    <row r="21" customFormat="false" ht="15" hidden="false" customHeight="false" outlineLevel="0" collapsed="false">
      <c r="A21" s="24" t="s">
        <v>166</v>
      </c>
      <c r="B21" s="39" t="n">
        <f aca="false">$B$6*$B$8</f>
        <v>0</v>
      </c>
      <c r="C21" s="39" t="n">
        <f aca="false">$B$6*$C$8+$B$8*$C$6</f>
        <v>0</v>
      </c>
      <c r="D21" s="39" t="n">
        <f aca="false">$B$6*$D$8+$B$8*$D$6</f>
        <v>0.5</v>
      </c>
      <c r="E21" s="39" t="n">
        <f aca="false">$C$6*$D$8+$C$8*$D$6</f>
        <v>0</v>
      </c>
      <c r="F21" s="39" t="n">
        <f aca="false">$C$6*$C$8</f>
        <v>0</v>
      </c>
      <c r="G21" s="39" t="n">
        <f aca="false">$D$6*$D$8</f>
        <v>0</v>
      </c>
    </row>
    <row r="22" customFormat="false" ht="15" hidden="false" customHeight="false" outlineLevel="0" collapsed="false">
      <c r="A22" s="24" t="s">
        <v>168</v>
      </c>
      <c r="B22" s="39" t="n">
        <f aca="false">$B$7*$B$8</f>
        <v>0.25</v>
      </c>
      <c r="C22" s="39" t="n">
        <f aca="false">$B$7*$C$8+$B$8*$C$7</f>
        <v>0</v>
      </c>
      <c r="D22" s="39" t="n">
        <f aca="false">$B$7*$D$8+$B$8*$D$7</f>
        <v>0</v>
      </c>
      <c r="E22" s="39" t="n">
        <f aca="false">$C$7*$D$8+$C$8*$D$7</f>
        <v>0</v>
      </c>
      <c r="F22" s="39" t="n">
        <f aca="false">$C$7*$C$8</f>
        <v>0</v>
      </c>
      <c r="G22" s="39" t="n">
        <f aca="false">$D$7*$D$8</f>
        <v>0</v>
      </c>
    </row>
    <row r="23" customFormat="false" ht="15" hidden="false" customHeight="false" outlineLevel="0" collapsed="false">
      <c r="A23" s="24" t="s">
        <v>170</v>
      </c>
      <c r="B23" s="39" t="n">
        <f aca="false">$B$5*$B$5</f>
        <v>0</v>
      </c>
      <c r="C23" s="39" t="n">
        <f aca="false">$B$5*$C$5+$B$5*$C$5</f>
        <v>0</v>
      </c>
      <c r="D23" s="39" t="n">
        <f aca="false">$B$5*$D$5+$B$5*$D$5</f>
        <v>0</v>
      </c>
      <c r="E23" s="39" t="n">
        <f aca="false">$C$5*$D$5+$C$5*$D$5</f>
        <v>0</v>
      </c>
      <c r="F23" s="39" t="n">
        <f aca="false">$C$5*$C$5</f>
        <v>1</v>
      </c>
      <c r="G23" s="39" t="n">
        <f aca="false">$D$5*$D$5</f>
        <v>0</v>
      </c>
    </row>
    <row r="24" customFormat="false" ht="15" hidden="false" customHeight="false" outlineLevel="0" collapsed="false">
      <c r="A24" s="24" t="s">
        <v>172</v>
      </c>
      <c r="B24" s="39" t="n">
        <f aca="false">$B$6*$B$6</f>
        <v>0</v>
      </c>
      <c r="C24" s="39" t="n">
        <f aca="false">$B$6*$C$6+$B$6*$C$6</f>
        <v>0</v>
      </c>
      <c r="D24" s="39" t="n">
        <f aca="false">$B$6*$D$6+$B$6*$D$6</f>
        <v>0</v>
      </c>
      <c r="E24" s="39" t="n">
        <f aca="false">$C$6*$D$6+$C$6*$D$6</f>
        <v>0</v>
      </c>
      <c r="F24" s="39" t="n">
        <f aca="false">$C$6*$C$6</f>
        <v>0</v>
      </c>
      <c r="G24" s="39" t="n">
        <f aca="false">$D$6*$D$6</f>
        <v>1</v>
      </c>
    </row>
    <row r="25" customFormat="false" ht="15" hidden="false" customHeight="false" outlineLevel="0" collapsed="false">
      <c r="A25" s="24" t="s">
        <v>174</v>
      </c>
      <c r="B25" s="39" t="n">
        <f aca="false">$B$7*$B$7</f>
        <v>0.25</v>
      </c>
      <c r="C25" s="39" t="n">
        <f aca="false">$B$7*$C$7+$B$7*$C$7</f>
        <v>0</v>
      </c>
      <c r="D25" s="39" t="n">
        <f aca="false">$B$7*$D$7+$B$7*$D$7</f>
        <v>0</v>
      </c>
      <c r="E25" s="39" t="n">
        <f aca="false">$C$7*$D$7+$C$7*$D$7</f>
        <v>0</v>
      </c>
      <c r="F25" s="39" t="n">
        <f aca="false">$C$7*$C$7</f>
        <v>0</v>
      </c>
      <c r="G25" s="39" t="n">
        <f aca="false">$D$7*$D$7</f>
        <v>0</v>
      </c>
    </row>
    <row r="26" customFormat="false" ht="15" hidden="false" customHeight="false" outlineLevel="0" collapsed="false">
      <c r="A26" s="24" t="s">
        <v>176</v>
      </c>
      <c r="B26" s="39" t="n">
        <f aca="false">$B$8*$B$8</f>
        <v>0.25</v>
      </c>
      <c r="C26" s="39" t="n">
        <f aca="false">$B$8*$C$8+$B$8*$C$8</f>
        <v>0</v>
      </c>
      <c r="D26" s="39" t="n">
        <f aca="false">$B$8*$D$8+$B$8*$D$8</f>
        <v>0</v>
      </c>
      <c r="E26" s="39" t="n">
        <f aca="false">$C$8*$D$8+$C$8*$D$8</f>
        <v>0</v>
      </c>
      <c r="F26" s="39" t="n">
        <f aca="false">$C$8*$C$8</f>
        <v>0</v>
      </c>
      <c r="G26" s="39" t="n">
        <f aca="false">$D$8*$D$8</f>
        <v>0</v>
      </c>
    </row>
    <row r="29" customFormat="false" ht="15" hidden="false" customHeight="false" outlineLevel="0" collapsed="false">
      <c r="A29" s="38" t="s">
        <v>374</v>
      </c>
    </row>
    <row r="30" customFormat="false" ht="15" hidden="false" customHeight="false" outlineLevel="0" collapsed="false">
      <c r="B30" s="39" t="n">
        <f aca="false">INDEX($B$12:$G$26,1,1)</f>
        <v>1</v>
      </c>
      <c r="C30" s="39" t="n">
        <f aca="false">INDEX($B$12:$G$26,2,1)</f>
        <v>0</v>
      </c>
      <c r="D30" s="39" t="n">
        <f aca="false">INDEX($B$12:$G$26,3,1)</f>
        <v>0</v>
      </c>
      <c r="E30" s="15" t="n">
        <f aca="false">INDEX($B$12:$G$26,4,1)</f>
        <v>0.5</v>
      </c>
      <c r="F30" s="15" t="n">
        <f aca="false">INDEX($B$12:$G$26,5,1)</f>
        <v>0.5</v>
      </c>
      <c r="G30" s="39" t="n">
        <f aca="false">INDEX($B$12:$G$26,6,1)</f>
        <v>0</v>
      </c>
      <c r="H30" s="39" t="n">
        <f aca="false">INDEX($B$12:$G$26,7,1)</f>
        <v>0</v>
      </c>
      <c r="I30" s="39" t="n">
        <f aca="false">INDEX($B$12:$G$26,8,1)</f>
        <v>0</v>
      </c>
      <c r="J30" s="39" t="n">
        <f aca="false">INDEX($B$12:$G$26,9,1)</f>
        <v>0</v>
      </c>
      <c r="K30" s="39" t="n">
        <f aca="false">INDEX($B$12:$G$26,10,1)</f>
        <v>0</v>
      </c>
      <c r="L30" s="39" t="n">
        <f aca="false">INDEX($B$12:$G$26,11,1)</f>
        <v>0.25</v>
      </c>
      <c r="M30" s="39" t="n">
        <f aca="false">INDEX($B$12:$G$26,12,1)</f>
        <v>0</v>
      </c>
      <c r="N30" s="39" t="n">
        <f aca="false">INDEX($B$12:$G$26,13,1)</f>
        <v>0</v>
      </c>
      <c r="O30" s="39" t="n">
        <f aca="false">INDEX($B$12:$G$26,14,1)</f>
        <v>0.25</v>
      </c>
      <c r="P30" s="39" t="n">
        <f aca="false">INDEX($B$12:$G$26,15,1)</f>
        <v>0.25</v>
      </c>
    </row>
    <row r="31" customFormat="false" ht="15" hidden="false" customHeight="false" outlineLevel="0" collapsed="false">
      <c r="B31" s="39" t="n">
        <f aca="false">INDEX($B$12:$G$26,1,2)</f>
        <v>0</v>
      </c>
      <c r="C31" s="39" t="n">
        <f aca="false">INDEX($B$12:$G$26,2,2)</f>
        <v>1</v>
      </c>
      <c r="D31" s="39" t="n">
        <f aca="false">INDEX($B$12:$G$26,3,2)</f>
        <v>0</v>
      </c>
      <c r="E31" s="39" t="n">
        <f aca="false">INDEX($B$12:$G$26,4,2)</f>
        <v>0</v>
      </c>
      <c r="F31" s="39" t="n">
        <f aca="false">INDEX($B$12:$G$26,5,2)</f>
        <v>0</v>
      </c>
      <c r="G31" s="39" t="n">
        <f aca="false">INDEX($B$12:$G$26,6,2)</f>
        <v>0</v>
      </c>
      <c r="H31" s="39" t="n">
        <f aca="false">INDEX($B$12:$G$26,7,2)</f>
        <v>0.5</v>
      </c>
      <c r="I31" s="39" t="n">
        <f aca="false">INDEX($B$12:$G$26,8,2)</f>
        <v>0.5</v>
      </c>
      <c r="J31" s="39" t="n">
        <f aca="false">INDEX($B$12:$G$26,9,2)</f>
        <v>0</v>
      </c>
      <c r="K31" s="39" t="n">
        <f aca="false">INDEX($B$12:$G$26,10,2)</f>
        <v>0</v>
      </c>
      <c r="L31" s="39" t="n">
        <f aca="false">INDEX($B$12:$G$26,11,2)</f>
        <v>0</v>
      </c>
      <c r="M31" s="39" t="n">
        <f aca="false">INDEX($B$12:$G$26,12,2)</f>
        <v>0</v>
      </c>
      <c r="N31" s="39" t="n">
        <f aca="false">INDEX($B$12:$G$26,13,2)</f>
        <v>0</v>
      </c>
      <c r="O31" s="39" t="n">
        <f aca="false">INDEX($B$12:$G$26,14,2)</f>
        <v>0</v>
      </c>
      <c r="P31" s="39" t="n">
        <f aca="false">INDEX($B$12:$G$26,15,2)</f>
        <v>0</v>
      </c>
    </row>
    <row r="32" customFormat="false" ht="15" hidden="false" customHeight="false" outlineLevel="0" collapsed="false">
      <c r="B32" s="39" t="n">
        <f aca="false">INDEX($B$12:$G$26,1,3)</f>
        <v>0</v>
      </c>
      <c r="C32" s="39" t="n">
        <f aca="false">INDEX($B$12:$G$26,2,3)</f>
        <v>0</v>
      </c>
      <c r="D32" s="39" t="n">
        <f aca="false">INDEX($B$12:$G$26,3,3)</f>
        <v>1</v>
      </c>
      <c r="E32" s="39" t="n">
        <f aca="false">INDEX($B$12:$G$26,4,3)</f>
        <v>0</v>
      </c>
      <c r="F32" s="39" t="n">
        <f aca="false">INDEX($B$12:$G$26,5,3)</f>
        <v>0</v>
      </c>
      <c r="G32" s="39" t="n">
        <f aca="false">INDEX($B$12:$G$26,6,3)</f>
        <v>0</v>
      </c>
      <c r="H32" s="39" t="n">
        <f aca="false">INDEX($B$12:$G$26,7,3)</f>
        <v>0</v>
      </c>
      <c r="I32" s="39" t="n">
        <f aca="false">INDEX($B$12:$G$26,8,3)</f>
        <v>0</v>
      </c>
      <c r="J32" s="39" t="n">
        <f aca="false">INDEX($B$12:$G$26,9,3)</f>
        <v>0.5</v>
      </c>
      <c r="K32" s="39" t="n">
        <f aca="false">INDEX($B$12:$G$26,10,3)</f>
        <v>0.5</v>
      </c>
      <c r="L32" s="39" t="n">
        <f aca="false">INDEX($B$12:$G$26,11,3)</f>
        <v>0</v>
      </c>
      <c r="M32" s="39" t="n">
        <f aca="false">INDEX($B$12:$G$26,12,3)</f>
        <v>0</v>
      </c>
      <c r="N32" s="39" t="n">
        <f aca="false">INDEX($B$12:$G$26,13,3)</f>
        <v>0</v>
      </c>
      <c r="O32" s="39" t="n">
        <f aca="false">INDEX($B$12:$G$26,14,3)</f>
        <v>0</v>
      </c>
      <c r="P32" s="39" t="n">
        <f aca="false">INDEX($B$12:$G$26,15,3)</f>
        <v>0</v>
      </c>
    </row>
    <row r="33" customFormat="false" ht="15" hidden="false" customHeight="false" outlineLevel="0" collapsed="false">
      <c r="B33" s="39" t="n">
        <f aca="false">INDEX($B$12:$G$26,1,4)</f>
        <v>0</v>
      </c>
      <c r="C33" s="39" t="n">
        <f aca="false">INDEX($B$12:$G$26,2,4)</f>
        <v>0</v>
      </c>
      <c r="D33" s="39" t="n">
        <f aca="false">INDEX($B$12:$G$26,3,4)</f>
        <v>0</v>
      </c>
      <c r="E33" s="39" t="n">
        <f aca="false">INDEX($B$12:$G$26,4,4)</f>
        <v>0</v>
      </c>
      <c r="F33" s="39" t="n">
        <f aca="false">INDEX($B$12:$G$26,5,4)</f>
        <v>0</v>
      </c>
      <c r="G33" s="39" t="n">
        <f aca="false">INDEX($B$12:$G$26,6,4)</f>
        <v>1</v>
      </c>
      <c r="H33" s="39" t="n">
        <f aca="false">INDEX($B$12:$G$26,7,4)</f>
        <v>0</v>
      </c>
      <c r="I33" s="39" t="n">
        <f aca="false">INDEX($B$12:$G$26,8,4)</f>
        <v>0</v>
      </c>
      <c r="J33" s="39" t="n">
        <f aca="false">INDEX($B$12:$G$26,9,4)</f>
        <v>0</v>
      </c>
      <c r="K33" s="39" t="n">
        <f aca="false">INDEX($B$12:$G$26,10,4)</f>
        <v>0</v>
      </c>
      <c r="L33" s="39" t="n">
        <f aca="false">INDEX($B$12:$G$26,11,4)</f>
        <v>0</v>
      </c>
      <c r="M33" s="39" t="n">
        <f aca="false">INDEX($B$12:$G$26,12,4)</f>
        <v>0</v>
      </c>
      <c r="N33" s="39" t="n">
        <f aca="false">INDEX($B$12:$G$26,13,4)</f>
        <v>0</v>
      </c>
      <c r="O33" s="39" t="n">
        <f aca="false">INDEX($B$12:$G$26,14,4)</f>
        <v>0</v>
      </c>
      <c r="P33" s="39" t="n">
        <f aca="false">INDEX($B$12:$G$26,15,4)</f>
        <v>0</v>
      </c>
    </row>
    <row r="34" customFormat="false" ht="15" hidden="false" customHeight="false" outlineLevel="0" collapsed="false">
      <c r="B34" s="39" t="n">
        <f aca="false">INDEX($B$12:$G$26,1,5)</f>
        <v>0</v>
      </c>
      <c r="C34" s="39" t="n">
        <f aca="false">INDEX($B$12:$G$26,2,5)</f>
        <v>0</v>
      </c>
      <c r="D34" s="39" t="n">
        <f aca="false">INDEX($B$12:$G$26,3,5)</f>
        <v>0</v>
      </c>
      <c r="E34" s="39" t="n">
        <f aca="false">INDEX($B$12:$G$26,4,5)</f>
        <v>0</v>
      </c>
      <c r="F34" s="39" t="n">
        <f aca="false">INDEX($B$12:$G$26,5,5)</f>
        <v>0</v>
      </c>
      <c r="G34" s="39" t="n">
        <f aca="false">INDEX($B$12:$G$26,6,5)</f>
        <v>0</v>
      </c>
      <c r="H34" s="39" t="n">
        <f aca="false">INDEX($B$12:$G$26,7,5)</f>
        <v>0</v>
      </c>
      <c r="I34" s="39" t="n">
        <f aca="false">INDEX($B$12:$G$26,8,5)</f>
        <v>0</v>
      </c>
      <c r="J34" s="39" t="n">
        <f aca="false">INDEX($B$12:$G$26,9,5)</f>
        <v>0</v>
      </c>
      <c r="K34" s="39" t="n">
        <f aca="false">INDEX($B$12:$G$26,10,5)</f>
        <v>0</v>
      </c>
      <c r="L34" s="39" t="n">
        <f aca="false">INDEX($B$12:$G$26,11,5)</f>
        <v>0</v>
      </c>
      <c r="M34" s="39" t="n">
        <f aca="false">INDEX($B$12:$G$26,12,5)</f>
        <v>1</v>
      </c>
      <c r="N34" s="39" t="n">
        <f aca="false">INDEX($B$12:$G$26,13,5)</f>
        <v>0</v>
      </c>
      <c r="O34" s="39" t="n">
        <f aca="false">INDEX($B$12:$G$26,14,5)</f>
        <v>0</v>
      </c>
      <c r="P34" s="39" t="n">
        <f aca="false">INDEX($B$12:$G$26,15,5)</f>
        <v>0</v>
      </c>
    </row>
    <row r="35" customFormat="false" ht="15" hidden="false" customHeight="false" outlineLevel="0" collapsed="false">
      <c r="B35" s="39" t="n">
        <f aca="false">INDEX($B$12:$G$26,1,6)</f>
        <v>0</v>
      </c>
      <c r="C35" s="39" t="n">
        <f aca="false">INDEX($B$12:$G$26,2,6)</f>
        <v>0</v>
      </c>
      <c r="D35" s="39" t="n">
        <f aca="false">INDEX($B$12:$G$26,3,6)</f>
        <v>0</v>
      </c>
      <c r="E35" s="39" t="n">
        <f aca="false">INDEX($B$12:$G$26,4,6)</f>
        <v>0</v>
      </c>
      <c r="F35" s="39" t="n">
        <f aca="false">INDEX($B$12:$G$26,5,6)</f>
        <v>0</v>
      </c>
      <c r="G35" s="39" t="n">
        <f aca="false">INDEX($B$12:$G$26,6,6)</f>
        <v>0</v>
      </c>
      <c r="H35" s="39" t="n">
        <f aca="false">INDEX($B$12:$G$26,7,6)</f>
        <v>0</v>
      </c>
      <c r="I35" s="39" t="n">
        <f aca="false">INDEX($B$12:$G$26,8,6)</f>
        <v>0</v>
      </c>
      <c r="J35" s="39" t="n">
        <f aca="false">INDEX($B$12:$G$26,9,6)</f>
        <v>0</v>
      </c>
      <c r="K35" s="39" t="n">
        <f aca="false">INDEX($B$12:$G$26,10,6)</f>
        <v>0</v>
      </c>
      <c r="L35" s="39" t="n">
        <f aca="false">INDEX($B$12:$G$26,11,6)</f>
        <v>0</v>
      </c>
      <c r="M35" s="39" t="n">
        <f aca="false">INDEX($B$12:$G$26,12,6)</f>
        <v>0</v>
      </c>
      <c r="N35" s="39" t="n">
        <f aca="false">INDEX($B$12:$G$26,13,6)</f>
        <v>1</v>
      </c>
      <c r="O35" s="39" t="n">
        <f aca="false">INDEX($B$12:$G$26,14,6)</f>
        <v>0</v>
      </c>
      <c r="P35" s="39" t="n">
        <f aca="false">INDEX($B$12:$G$26,15,6)</f>
        <v>0</v>
      </c>
    </row>
    <row r="38" customFormat="false" ht="15" hidden="false" customHeight="false" outlineLevel="0" collapsed="false">
      <c r="A38" s="38" t="s">
        <v>375</v>
      </c>
    </row>
    <row r="39" customFormat="false" ht="15" hidden="false" customHeight="false" outlineLevel="0" collapsed="false">
      <c r="B39" s="39" t="n">
        <f aca="false">INDEX(MMULT(_XtX!$B$78:$P$92,$B$12:$G$26),1,1)</f>
        <v>0.0833333333333333</v>
      </c>
      <c r="C39" s="39" t="n">
        <f aca="false">INDEX(MMULT(_XtX!$B$78:$P$92,$B$12:$G$26),1,2)</f>
        <v>0</v>
      </c>
      <c r="D39" s="39" t="n">
        <f aca="false">INDEX(MMULT(_XtX!$B$78:$P$92,$B$12:$G$26),1,3)</f>
        <v>0</v>
      </c>
      <c r="E39" s="39" t="n">
        <f aca="false">INDEX(MMULT(_XtX!$B$78:$P$92,$B$12:$G$26),1,4)</f>
        <v>0</v>
      </c>
      <c r="F39" s="39" t="n">
        <f aca="false">INDEX(MMULT(_XtX!$B$78:$P$92,$B$12:$G$26),1,5)</f>
        <v>-0.0263157894736842</v>
      </c>
      <c r="G39" s="39" t="n">
        <f aca="false">INDEX(MMULT(_XtX!$B$78:$P$92,$B$12:$G$26),1,6)</f>
        <v>-0.0263157894736842</v>
      </c>
    </row>
    <row r="40" customFormat="false" ht="15" hidden="false" customHeight="false" outlineLevel="0" collapsed="false">
      <c r="B40" s="39" t="n">
        <f aca="false">INDEX(MMULT(_XtX!$B$78:$P$92,$B$12:$G$26),2,1)</f>
        <v>0</v>
      </c>
      <c r="C40" s="39" t="n">
        <f aca="false">INDEX(MMULT(_XtX!$B$78:$P$92,$B$12:$G$26),2,2)</f>
        <v>0.0555555555555556</v>
      </c>
      <c r="D40" s="39" t="n">
        <f aca="false">INDEX(MMULT(_XtX!$B$78:$P$92,$B$12:$G$26),2,3)</f>
        <v>0</v>
      </c>
      <c r="E40" s="39" t="n">
        <f aca="false">INDEX(MMULT(_XtX!$B$78:$P$92,$B$12:$G$26),2,4)</f>
        <v>0</v>
      </c>
      <c r="F40" s="39" t="n">
        <f aca="false">INDEX(MMULT(_XtX!$B$78:$P$92,$B$12:$G$26),2,5)</f>
        <v>0</v>
      </c>
      <c r="G40" s="39" t="n">
        <f aca="false">INDEX(MMULT(_XtX!$B$78:$P$92,$B$12:$G$26),2,6)</f>
        <v>0</v>
      </c>
    </row>
    <row r="41" customFormat="false" ht="15" hidden="false" customHeight="false" outlineLevel="0" collapsed="false">
      <c r="B41" s="39" t="n">
        <f aca="false">INDEX(MMULT(_XtX!$B$78:$P$92,$B$12:$G$26),3,1)</f>
        <v>0</v>
      </c>
      <c r="C41" s="39" t="n">
        <f aca="false">INDEX(MMULT(_XtX!$B$78:$P$92,$B$12:$G$26),3,2)</f>
        <v>0</v>
      </c>
      <c r="D41" s="39" t="n">
        <f aca="false">INDEX(MMULT(_XtX!$B$78:$P$92,$B$12:$G$26),3,3)</f>
        <v>0.0555555555555556</v>
      </c>
      <c r="E41" s="39" t="n">
        <f aca="false">INDEX(MMULT(_XtX!$B$78:$P$92,$B$12:$G$26),3,4)</f>
        <v>0</v>
      </c>
      <c r="F41" s="39" t="n">
        <f aca="false">INDEX(MMULT(_XtX!$B$78:$P$92,$B$12:$G$26),3,5)</f>
        <v>0</v>
      </c>
      <c r="G41" s="39" t="n">
        <f aca="false">INDEX(MMULT(_XtX!$B$78:$P$92,$B$12:$G$26),3,6)</f>
        <v>0</v>
      </c>
    </row>
    <row r="42" customFormat="false" ht="15" hidden="false" customHeight="false" outlineLevel="0" collapsed="false">
      <c r="B42" s="39" t="n">
        <f aca="false">INDEX(MMULT(_XtX!$B$78:$P$92,$B$12:$G$26),4,1)</f>
        <v>0.0277777777777778</v>
      </c>
      <c r="C42" s="39" t="n">
        <f aca="false">INDEX(MMULT(_XtX!$B$78:$P$92,$B$12:$G$26),4,2)</f>
        <v>0</v>
      </c>
      <c r="D42" s="39" t="n">
        <f aca="false">INDEX(MMULT(_XtX!$B$78:$P$92,$B$12:$G$26),4,3)</f>
        <v>0</v>
      </c>
      <c r="E42" s="39" t="n">
        <f aca="false">INDEX(MMULT(_XtX!$B$78:$P$92,$B$12:$G$26),4,4)</f>
        <v>0</v>
      </c>
      <c r="F42" s="39" t="n">
        <f aca="false">INDEX(MMULT(_XtX!$B$78:$P$92,$B$12:$G$26),4,5)</f>
        <v>0</v>
      </c>
      <c r="G42" s="39" t="n">
        <f aca="false">INDEX(MMULT(_XtX!$B$78:$P$92,$B$12:$G$26),4,6)</f>
        <v>0</v>
      </c>
    </row>
    <row r="43" customFormat="false" ht="15" hidden="false" customHeight="false" outlineLevel="0" collapsed="false">
      <c r="B43" s="39" t="n">
        <f aca="false">INDEX(MMULT(_XtX!$B$78:$P$92,$B$12:$G$26),5,1)</f>
        <v>0.0277777777777778</v>
      </c>
      <c r="C43" s="39" t="n">
        <f aca="false">INDEX(MMULT(_XtX!$B$78:$P$92,$B$12:$G$26),5,2)</f>
        <v>0</v>
      </c>
      <c r="D43" s="39" t="n">
        <f aca="false">INDEX(MMULT(_XtX!$B$78:$P$92,$B$12:$G$26),5,3)</f>
        <v>0</v>
      </c>
      <c r="E43" s="39" t="n">
        <f aca="false">INDEX(MMULT(_XtX!$B$78:$P$92,$B$12:$G$26),5,4)</f>
        <v>0</v>
      </c>
      <c r="F43" s="39" t="n">
        <f aca="false">INDEX(MMULT(_XtX!$B$78:$P$92,$B$12:$G$26),5,5)</f>
        <v>0</v>
      </c>
      <c r="G43" s="39" t="n">
        <f aca="false">INDEX(MMULT(_XtX!$B$78:$P$92,$B$12:$G$26),5,6)</f>
        <v>0</v>
      </c>
    </row>
    <row r="44" customFormat="false" ht="15" hidden="false" customHeight="false" outlineLevel="0" collapsed="false">
      <c r="B44" s="39" t="n">
        <f aca="false">INDEX(MMULT(_XtX!$B$78:$P$92,$B$12:$G$26),6,1)</f>
        <v>0</v>
      </c>
      <c r="C44" s="39" t="n">
        <f aca="false">INDEX(MMULT(_XtX!$B$78:$P$92,$B$12:$G$26),6,2)</f>
        <v>0</v>
      </c>
      <c r="D44" s="39" t="n">
        <f aca="false">INDEX(MMULT(_XtX!$B$78:$P$92,$B$12:$G$26),6,3)</f>
        <v>0</v>
      </c>
      <c r="E44" s="39" t="n">
        <f aca="false">INDEX(MMULT(_XtX!$B$78:$P$92,$B$12:$G$26),6,4)</f>
        <v>0.0625</v>
      </c>
      <c r="F44" s="39" t="n">
        <f aca="false">INDEX(MMULT(_XtX!$B$78:$P$92,$B$12:$G$26),6,5)</f>
        <v>0</v>
      </c>
      <c r="G44" s="39" t="n">
        <f aca="false">INDEX(MMULT(_XtX!$B$78:$P$92,$B$12:$G$26),6,6)</f>
        <v>0</v>
      </c>
    </row>
    <row r="45" customFormat="false" ht="15" hidden="false" customHeight="false" outlineLevel="0" collapsed="false">
      <c r="B45" s="39" t="n">
        <f aca="false">INDEX(MMULT(_XtX!$B$78:$P$92,$B$12:$G$26),7,1)</f>
        <v>0</v>
      </c>
      <c r="C45" s="39" t="n">
        <f aca="false">INDEX(MMULT(_XtX!$B$78:$P$92,$B$12:$G$26),7,2)</f>
        <v>0.03125</v>
      </c>
      <c r="D45" s="39" t="n">
        <f aca="false">INDEX(MMULT(_XtX!$B$78:$P$92,$B$12:$G$26),7,3)</f>
        <v>0</v>
      </c>
      <c r="E45" s="39" t="n">
        <f aca="false">INDEX(MMULT(_XtX!$B$78:$P$92,$B$12:$G$26),7,4)</f>
        <v>0</v>
      </c>
      <c r="F45" s="39" t="n">
        <f aca="false">INDEX(MMULT(_XtX!$B$78:$P$92,$B$12:$G$26),7,5)</f>
        <v>0</v>
      </c>
      <c r="G45" s="39" t="n">
        <f aca="false">INDEX(MMULT(_XtX!$B$78:$P$92,$B$12:$G$26),7,6)</f>
        <v>0</v>
      </c>
    </row>
    <row r="46" customFormat="false" ht="15" hidden="false" customHeight="false" outlineLevel="0" collapsed="false">
      <c r="B46" s="39" t="n">
        <f aca="false">INDEX(MMULT(_XtX!$B$78:$P$92,$B$12:$G$26),8,1)</f>
        <v>0</v>
      </c>
      <c r="C46" s="39" t="n">
        <f aca="false">INDEX(MMULT(_XtX!$B$78:$P$92,$B$12:$G$26),8,2)</f>
        <v>0.03125</v>
      </c>
      <c r="D46" s="39" t="n">
        <f aca="false">INDEX(MMULT(_XtX!$B$78:$P$92,$B$12:$G$26),8,3)</f>
        <v>0</v>
      </c>
      <c r="E46" s="39" t="n">
        <f aca="false">INDEX(MMULT(_XtX!$B$78:$P$92,$B$12:$G$26),8,4)</f>
        <v>0</v>
      </c>
      <c r="F46" s="39" t="n">
        <f aca="false">INDEX(MMULT(_XtX!$B$78:$P$92,$B$12:$G$26),8,5)</f>
        <v>0</v>
      </c>
      <c r="G46" s="39" t="n">
        <f aca="false">INDEX(MMULT(_XtX!$B$78:$P$92,$B$12:$G$26),8,6)</f>
        <v>0</v>
      </c>
    </row>
    <row r="47" customFormat="false" ht="15" hidden="false" customHeight="false" outlineLevel="0" collapsed="false">
      <c r="B47" s="39" t="n">
        <f aca="false">INDEX(MMULT(_XtX!$B$78:$P$92,$B$12:$G$26),9,1)</f>
        <v>0</v>
      </c>
      <c r="C47" s="39" t="n">
        <f aca="false">INDEX(MMULT(_XtX!$B$78:$P$92,$B$12:$G$26),9,2)</f>
        <v>0</v>
      </c>
      <c r="D47" s="39" t="n">
        <f aca="false">INDEX(MMULT(_XtX!$B$78:$P$92,$B$12:$G$26),9,3)</f>
        <v>0.03125</v>
      </c>
      <c r="E47" s="39" t="n">
        <f aca="false">INDEX(MMULT(_XtX!$B$78:$P$92,$B$12:$G$26),9,4)</f>
        <v>0</v>
      </c>
      <c r="F47" s="39" t="n">
        <f aca="false">INDEX(MMULT(_XtX!$B$78:$P$92,$B$12:$G$26),9,5)</f>
        <v>0</v>
      </c>
      <c r="G47" s="39" t="n">
        <f aca="false">INDEX(MMULT(_XtX!$B$78:$P$92,$B$12:$G$26),9,6)</f>
        <v>0</v>
      </c>
    </row>
    <row r="48" customFormat="false" ht="15" hidden="false" customHeight="false" outlineLevel="0" collapsed="false">
      <c r="B48" s="39" t="n">
        <f aca="false">INDEX(MMULT(_XtX!$B$78:$P$92,$B$12:$G$26),10,1)</f>
        <v>0</v>
      </c>
      <c r="C48" s="39" t="n">
        <f aca="false">INDEX(MMULT(_XtX!$B$78:$P$92,$B$12:$G$26),10,2)</f>
        <v>0</v>
      </c>
      <c r="D48" s="39" t="n">
        <f aca="false">INDEX(MMULT(_XtX!$B$78:$P$92,$B$12:$G$26),10,3)</f>
        <v>0.03125</v>
      </c>
      <c r="E48" s="39" t="n">
        <f aca="false">INDEX(MMULT(_XtX!$B$78:$P$92,$B$12:$G$26),10,4)</f>
        <v>0</v>
      </c>
      <c r="F48" s="39" t="n">
        <f aca="false">INDEX(MMULT(_XtX!$B$78:$P$92,$B$12:$G$26),10,5)</f>
        <v>0</v>
      </c>
      <c r="G48" s="39" t="n">
        <f aca="false">INDEX(MMULT(_XtX!$B$78:$P$92,$B$12:$G$26),10,6)</f>
        <v>0</v>
      </c>
    </row>
    <row r="49" customFormat="false" ht="15" hidden="false" customHeight="false" outlineLevel="0" collapsed="false">
      <c r="B49" s="39" t="n">
        <f aca="false">INDEX(MMULT(_XtX!$B$78:$P$92,$B$12:$G$26),11,1)</f>
        <v>0.015625</v>
      </c>
      <c r="C49" s="39" t="n">
        <f aca="false">INDEX(MMULT(_XtX!$B$78:$P$92,$B$12:$G$26),11,2)</f>
        <v>0</v>
      </c>
      <c r="D49" s="39" t="n">
        <f aca="false">INDEX(MMULT(_XtX!$B$78:$P$92,$B$12:$G$26),11,3)</f>
        <v>0</v>
      </c>
      <c r="E49" s="39" t="n">
        <f aca="false">INDEX(MMULT(_XtX!$B$78:$P$92,$B$12:$G$26),11,4)</f>
        <v>0</v>
      </c>
      <c r="F49" s="39" t="n">
        <f aca="false">INDEX(MMULT(_XtX!$B$78:$P$92,$B$12:$G$26),11,5)</f>
        <v>0</v>
      </c>
      <c r="G49" s="39" t="n">
        <f aca="false">INDEX(MMULT(_XtX!$B$78:$P$92,$B$12:$G$26),11,6)</f>
        <v>0</v>
      </c>
    </row>
    <row r="50" customFormat="false" ht="15" hidden="false" customHeight="false" outlineLevel="0" collapsed="false">
      <c r="B50" s="39" t="n">
        <f aca="false">INDEX(MMULT(_XtX!$B$78:$P$92,$B$12:$G$26),12,1)</f>
        <v>-0.0833333333333334</v>
      </c>
      <c r="C50" s="39" t="n">
        <f aca="false">INDEX(MMULT(_XtX!$B$78:$P$92,$B$12:$G$26),12,2)</f>
        <v>0</v>
      </c>
      <c r="D50" s="39" t="n">
        <f aca="false">INDEX(MMULT(_XtX!$B$78:$P$92,$B$12:$G$26),12,3)</f>
        <v>0</v>
      </c>
      <c r="E50" s="39" t="n">
        <f aca="false">INDEX(MMULT(_XtX!$B$78:$P$92,$B$12:$G$26),12,4)</f>
        <v>0</v>
      </c>
      <c r="F50" s="39" t="n">
        <f aca="false">INDEX(MMULT(_XtX!$B$78:$P$92,$B$12:$G$26),12,5)</f>
        <v>0.385964912280702</v>
      </c>
      <c r="G50" s="39" t="n">
        <f aca="false">INDEX(MMULT(_XtX!$B$78:$P$92,$B$12:$G$26),12,6)</f>
        <v>-0.114035087719298</v>
      </c>
    </row>
    <row r="51" customFormat="false" ht="15" hidden="false" customHeight="false" outlineLevel="0" collapsed="false">
      <c r="B51" s="39" t="n">
        <f aca="false">INDEX(MMULT(_XtX!$B$78:$P$92,$B$12:$G$26),13,1)</f>
        <v>-0.0833333333333334</v>
      </c>
      <c r="C51" s="39" t="n">
        <f aca="false">INDEX(MMULT(_XtX!$B$78:$P$92,$B$12:$G$26),13,2)</f>
        <v>0</v>
      </c>
      <c r="D51" s="39" t="n">
        <f aca="false">INDEX(MMULT(_XtX!$B$78:$P$92,$B$12:$G$26),13,3)</f>
        <v>0</v>
      </c>
      <c r="E51" s="39" t="n">
        <f aca="false">INDEX(MMULT(_XtX!$B$78:$P$92,$B$12:$G$26),13,4)</f>
        <v>0</v>
      </c>
      <c r="F51" s="39" t="n">
        <f aca="false">INDEX(MMULT(_XtX!$B$78:$P$92,$B$12:$G$26),13,5)</f>
        <v>-0.114035087719298</v>
      </c>
      <c r="G51" s="39" t="n">
        <f aca="false">INDEX(MMULT(_XtX!$B$78:$P$92,$B$12:$G$26),13,6)</f>
        <v>0.385964912280702</v>
      </c>
    </row>
    <row r="52" customFormat="false" ht="15" hidden="false" customHeight="false" outlineLevel="0" collapsed="false">
      <c r="B52" s="39" t="n">
        <f aca="false">INDEX(MMULT(_XtX!$B$78:$P$92,$B$12:$G$26),14,1)</f>
        <v>0.0416666666666667</v>
      </c>
      <c r="C52" s="39" t="n">
        <f aca="false">INDEX(MMULT(_XtX!$B$78:$P$92,$B$12:$G$26),14,2)</f>
        <v>0</v>
      </c>
      <c r="D52" s="39" t="n">
        <f aca="false">INDEX(MMULT(_XtX!$B$78:$P$92,$B$12:$G$26),14,3)</f>
        <v>0</v>
      </c>
      <c r="E52" s="39" t="n">
        <f aca="false">INDEX(MMULT(_XtX!$B$78:$P$92,$B$12:$G$26),14,4)</f>
        <v>0</v>
      </c>
      <c r="F52" s="39" t="n">
        <f aca="false">INDEX(MMULT(_XtX!$B$78:$P$92,$B$12:$G$26),14,5)</f>
        <v>-0.114035087719298</v>
      </c>
      <c r="G52" s="39" t="n">
        <f aca="false">INDEX(MMULT(_XtX!$B$78:$P$92,$B$12:$G$26),14,6)</f>
        <v>-0.114035087719298</v>
      </c>
    </row>
    <row r="53" customFormat="false" ht="15" hidden="false" customHeight="false" outlineLevel="0" collapsed="false">
      <c r="B53" s="39" t="n">
        <f aca="false">INDEX(MMULT(_XtX!$B$78:$P$92,$B$12:$G$26),15,1)</f>
        <v>0.0416666666666667</v>
      </c>
      <c r="C53" s="39" t="n">
        <f aca="false">INDEX(MMULT(_XtX!$B$78:$P$92,$B$12:$G$26),15,2)</f>
        <v>0</v>
      </c>
      <c r="D53" s="39" t="n">
        <f aca="false">INDEX(MMULT(_XtX!$B$78:$P$92,$B$12:$G$26),15,3)</f>
        <v>0</v>
      </c>
      <c r="E53" s="39" t="n">
        <f aca="false">INDEX(MMULT(_XtX!$B$78:$P$92,$B$12:$G$26),15,4)</f>
        <v>0</v>
      </c>
      <c r="F53" s="39" t="n">
        <f aca="false">INDEX(MMULT(_XtX!$B$78:$P$92,$B$12:$G$26),15,5)</f>
        <v>-0.114035087719298</v>
      </c>
      <c r="G53" s="39" t="n">
        <f aca="false">INDEX(MMULT(_XtX!$B$78:$P$92,$B$12:$G$26),15,6)</f>
        <v>-0.114035087719298</v>
      </c>
    </row>
    <row r="56" customFormat="false" ht="15" hidden="false" customHeight="false" outlineLevel="0" collapsed="false">
      <c r="A56" s="38" t="s">
        <v>376</v>
      </c>
      <c r="I56" s="38" t="s">
        <v>377</v>
      </c>
    </row>
    <row r="57" customFormat="false" ht="15" hidden="false" customHeight="false" outlineLevel="0" collapsed="false">
      <c r="B57" s="39" t="n">
        <f aca="false">INDEX(MMULT($B$30:$P$35,$B$39:$G$53),1,1)</f>
        <v>0.135850694444444</v>
      </c>
      <c r="C57" s="39" t="n">
        <f aca="false">INDEX(MMULT($B$30:$P$35,$B$39:$G$53),1,2)</f>
        <v>0</v>
      </c>
      <c r="D57" s="39" t="n">
        <f aca="false">INDEX(MMULT($B$30:$P$35,$B$39:$G$53),1,3)</f>
        <v>0</v>
      </c>
      <c r="E57" s="39" t="n">
        <f aca="false">INDEX(MMULT($B$30:$P$35,$B$39:$G$53),1,4)</f>
        <v>0</v>
      </c>
      <c r="F57" s="39" t="n">
        <f aca="false">INDEX(MMULT($B$30:$P$35,$B$39:$G$53),1,5)</f>
        <v>-0.0833333333333334</v>
      </c>
      <c r="G57" s="39" t="n">
        <f aca="false">INDEX(MMULT($B$30:$P$35,$B$39:$G$53),1,6)</f>
        <v>-0.0833333333333334</v>
      </c>
      <c r="I57" s="39" t="n">
        <f aca="false">INDEX(MMULT($B$30:$P$35,_XtX!$R$60:$R$74),1,1)</f>
        <v>48.4079861111111</v>
      </c>
    </row>
    <row r="58" customFormat="false" ht="15" hidden="false" customHeight="false" outlineLevel="0" collapsed="false">
      <c r="B58" s="39" t="n">
        <f aca="false">INDEX(MMULT($B$30:$P$35,$B$39:$G$53),2,1)</f>
        <v>0</v>
      </c>
      <c r="C58" s="39" t="n">
        <f aca="false">INDEX(MMULT($B$30:$P$35,$B$39:$G$53),2,2)</f>
        <v>0.0868055555555556</v>
      </c>
      <c r="D58" s="39" t="n">
        <f aca="false">INDEX(MMULT($B$30:$P$35,$B$39:$G$53),2,3)</f>
        <v>0</v>
      </c>
      <c r="E58" s="39" t="n">
        <f aca="false">INDEX(MMULT($B$30:$P$35,$B$39:$G$53),2,4)</f>
        <v>0</v>
      </c>
      <c r="F58" s="39" t="n">
        <f aca="false">INDEX(MMULT($B$30:$P$35,$B$39:$G$53),2,5)</f>
        <v>0</v>
      </c>
      <c r="G58" s="39" t="n">
        <f aca="false">INDEX(MMULT($B$30:$P$35,$B$39:$G$53),2,6)</f>
        <v>0</v>
      </c>
      <c r="I58" s="39" t="n">
        <f aca="false">INDEX(MMULT($B$30:$P$35,_XtX!$R$60:$R$74),2,1)</f>
        <v>1.74305555555555</v>
      </c>
    </row>
    <row r="59" customFormat="false" ht="15" hidden="false" customHeight="false" outlineLevel="0" collapsed="false">
      <c r="B59" s="39" t="n">
        <f aca="false">INDEX(MMULT($B$30:$P$35,$B$39:$G$53),3,1)</f>
        <v>0</v>
      </c>
      <c r="C59" s="39" t="n">
        <f aca="false">INDEX(MMULT($B$30:$P$35,$B$39:$G$53),3,2)</f>
        <v>0</v>
      </c>
      <c r="D59" s="39" t="n">
        <f aca="false">INDEX(MMULT($B$30:$P$35,$B$39:$G$53),3,3)</f>
        <v>0.0868055555555556</v>
      </c>
      <c r="E59" s="39" t="n">
        <f aca="false">INDEX(MMULT($B$30:$P$35,$B$39:$G$53),3,4)</f>
        <v>0</v>
      </c>
      <c r="F59" s="39" t="n">
        <f aca="false">INDEX(MMULT($B$30:$P$35,$B$39:$G$53),3,5)</f>
        <v>0</v>
      </c>
      <c r="G59" s="39" t="n">
        <f aca="false">INDEX(MMULT($B$30:$P$35,$B$39:$G$53),3,6)</f>
        <v>0</v>
      </c>
      <c r="I59" s="39" t="n">
        <f aca="false">INDEX(MMULT($B$30:$P$35,_XtX!$R$60:$R$74),3,1)</f>
        <v>2.14444444444444</v>
      </c>
    </row>
    <row r="60" customFormat="false" ht="15" hidden="false" customHeight="false" outlineLevel="0" collapsed="false">
      <c r="B60" s="39" t="n">
        <f aca="false">INDEX(MMULT($B$30:$P$35,$B$39:$G$53),4,1)</f>
        <v>0</v>
      </c>
      <c r="C60" s="39" t="n">
        <f aca="false">INDEX(MMULT($B$30:$P$35,$B$39:$G$53),4,2)</f>
        <v>0</v>
      </c>
      <c r="D60" s="39" t="n">
        <f aca="false">INDEX(MMULT($B$30:$P$35,$B$39:$G$53),4,3)</f>
        <v>0</v>
      </c>
      <c r="E60" s="39" t="n">
        <f aca="false">INDEX(MMULT($B$30:$P$35,$B$39:$G$53),4,4)</f>
        <v>0.0625</v>
      </c>
      <c r="F60" s="39" t="n">
        <f aca="false">INDEX(MMULT($B$30:$P$35,$B$39:$G$53),4,5)</f>
        <v>0</v>
      </c>
      <c r="G60" s="39" t="n">
        <f aca="false">INDEX(MMULT($B$30:$P$35,$B$39:$G$53),4,6)</f>
        <v>0</v>
      </c>
      <c r="I60" s="39" t="n">
        <f aca="false">INDEX(MMULT($B$30:$P$35,_XtX!$R$60:$R$74),4,1)</f>
        <v>1.125</v>
      </c>
    </row>
    <row r="61" customFormat="false" ht="15" hidden="false" customHeight="false" outlineLevel="0" collapsed="false">
      <c r="B61" s="39" t="n">
        <f aca="false">INDEX(MMULT($B$30:$P$35,$B$39:$G$53),5,1)</f>
        <v>-0.0833333333333334</v>
      </c>
      <c r="C61" s="39" t="n">
        <f aca="false">INDEX(MMULT($B$30:$P$35,$B$39:$G$53),5,2)</f>
        <v>0</v>
      </c>
      <c r="D61" s="39" t="n">
        <f aca="false">INDEX(MMULT($B$30:$P$35,$B$39:$G$53),5,3)</f>
        <v>0</v>
      </c>
      <c r="E61" s="39" t="n">
        <f aca="false">INDEX(MMULT($B$30:$P$35,$B$39:$G$53),5,4)</f>
        <v>0</v>
      </c>
      <c r="F61" s="39" t="n">
        <f aca="false">INDEX(MMULT($B$30:$P$35,$B$39:$G$53),5,5)</f>
        <v>0.385964912280702</v>
      </c>
      <c r="G61" s="39" t="n">
        <f aca="false">INDEX(MMULT($B$30:$P$35,$B$39:$G$53),5,6)</f>
        <v>-0.114035087719298</v>
      </c>
      <c r="I61" s="39" t="n">
        <f aca="false">INDEX(MMULT($B$30:$P$35,_XtX!$R$60:$R$74),5,1)</f>
        <v>-2.58245614035079</v>
      </c>
    </row>
    <row r="62" customFormat="false" ht="15" hidden="false" customHeight="false" outlineLevel="0" collapsed="false">
      <c r="B62" s="39" t="n">
        <f aca="false">INDEX(MMULT($B$30:$P$35,$B$39:$G$53),6,1)</f>
        <v>-0.0833333333333334</v>
      </c>
      <c r="C62" s="39" t="n">
        <f aca="false">INDEX(MMULT($B$30:$P$35,$B$39:$G$53),6,2)</f>
        <v>0</v>
      </c>
      <c r="D62" s="39" t="n">
        <f aca="false">INDEX(MMULT($B$30:$P$35,$B$39:$G$53),6,3)</f>
        <v>0</v>
      </c>
      <c r="E62" s="39" t="n">
        <f aca="false">INDEX(MMULT($B$30:$P$35,$B$39:$G$53),6,4)</f>
        <v>0</v>
      </c>
      <c r="F62" s="39" t="n">
        <f aca="false">INDEX(MMULT($B$30:$P$35,$B$39:$G$53),6,5)</f>
        <v>-0.114035087719298</v>
      </c>
      <c r="G62" s="39" t="n">
        <f aca="false">INDEX(MMULT($B$30:$P$35,$B$39:$G$53),6,6)</f>
        <v>0.385964912280702</v>
      </c>
      <c r="I62" s="39" t="n">
        <f aca="false">INDEX(MMULT($B$30:$P$35,_XtX!$R$60:$R$74),6,1)</f>
        <v>-2.58245614035088</v>
      </c>
    </row>
    <row r="65" customFormat="false" ht="15" hidden="false" customHeight="false" outlineLevel="0" collapsed="false">
      <c r="A65" s="10" t="s">
        <v>378</v>
      </c>
      <c r="B65" s="9" t="s">
        <v>379</v>
      </c>
      <c r="C65" s="9" t="s">
        <v>380</v>
      </c>
      <c r="D65" s="10" t="s">
        <v>144</v>
      </c>
    </row>
    <row r="66" customFormat="false" ht="15" hidden="false" customHeight="false" outlineLevel="0" collapsed="false">
      <c r="A66" s="24" t="s">
        <v>381</v>
      </c>
      <c r="B66" s="39" t="n">
        <v>0</v>
      </c>
      <c r="C66" s="39" t="n">
        <v>0</v>
      </c>
      <c r="D66" s="39" t="n">
        <f aca="false">B57</f>
        <v>0.135850694444444</v>
      </c>
    </row>
    <row r="67" customFormat="false" ht="15" hidden="false" customHeight="false" outlineLevel="0" collapsed="false">
      <c r="A67" s="24" t="s">
        <v>382</v>
      </c>
      <c r="B67" s="39" t="n">
        <v>0</v>
      </c>
      <c r="C67" s="39" t="n">
        <v>1</v>
      </c>
      <c r="D67" s="39" t="n">
        <f aca="false">D57+B59</f>
        <v>0</v>
      </c>
    </row>
    <row r="68" customFormat="false" ht="15" hidden="false" customHeight="false" outlineLevel="0" collapsed="false">
      <c r="A68" s="24" t="s">
        <v>383</v>
      </c>
      <c r="B68" s="39" t="n">
        <v>0</v>
      </c>
      <c r="C68" s="39" t="n">
        <v>2</v>
      </c>
      <c r="D68" s="39" t="n">
        <f aca="false">G57+D59+B62</f>
        <v>-0.0798611111111112</v>
      </c>
    </row>
    <row r="69" customFormat="false" ht="15" hidden="false" customHeight="false" outlineLevel="0" collapsed="false">
      <c r="A69" s="24" t="s">
        <v>384</v>
      </c>
      <c r="B69" s="39" t="n">
        <v>0</v>
      </c>
      <c r="C69" s="39" t="n">
        <v>3</v>
      </c>
      <c r="D69" s="39" t="n">
        <f aca="false">G59+D62</f>
        <v>0</v>
      </c>
    </row>
    <row r="70" customFormat="false" ht="15" hidden="false" customHeight="false" outlineLevel="0" collapsed="false">
      <c r="A70" s="24" t="s">
        <v>385</v>
      </c>
      <c r="B70" s="39" t="n">
        <v>0</v>
      </c>
      <c r="C70" s="39" t="n">
        <v>4</v>
      </c>
      <c r="D70" s="39" t="n">
        <f aca="false">G62</f>
        <v>0.385964912280702</v>
      </c>
    </row>
    <row r="71" customFormat="false" ht="15" hidden="false" customHeight="false" outlineLevel="0" collapsed="false">
      <c r="A71" s="24" t="s">
        <v>386</v>
      </c>
      <c r="B71" s="39" t="n">
        <v>1</v>
      </c>
      <c r="C71" s="39" t="n">
        <v>0</v>
      </c>
      <c r="D71" s="39" t="n">
        <f aca="false">C57+B58</f>
        <v>0</v>
      </c>
    </row>
    <row r="72" customFormat="false" ht="15" hidden="false" customHeight="false" outlineLevel="0" collapsed="false">
      <c r="A72" s="24" t="s">
        <v>387</v>
      </c>
      <c r="B72" s="39" t="n">
        <v>1</v>
      </c>
      <c r="C72" s="39" t="n">
        <v>1</v>
      </c>
      <c r="D72" s="39" t="n">
        <f aca="false">E57+D58+C59+B60</f>
        <v>0</v>
      </c>
    </row>
    <row r="73" customFormat="false" ht="15" hidden="false" customHeight="false" outlineLevel="0" collapsed="false">
      <c r="A73" s="24" t="s">
        <v>388</v>
      </c>
      <c r="B73" s="39" t="n">
        <v>1</v>
      </c>
      <c r="C73" s="39" t="n">
        <v>2</v>
      </c>
      <c r="D73" s="39" t="n">
        <f aca="false">G58+E59+D60+C62</f>
        <v>0</v>
      </c>
    </row>
    <row r="74" customFormat="false" ht="15" hidden="false" customHeight="false" outlineLevel="0" collapsed="false">
      <c r="A74" s="24" t="s">
        <v>389</v>
      </c>
      <c r="B74" s="39" t="n">
        <v>1</v>
      </c>
      <c r="C74" s="39" t="n">
        <v>3</v>
      </c>
      <c r="D74" s="39" t="n">
        <f aca="false">G60+E62</f>
        <v>0</v>
      </c>
    </row>
    <row r="75" customFormat="false" ht="15" hidden="false" customHeight="false" outlineLevel="0" collapsed="false">
      <c r="A75" s="24" t="s">
        <v>390</v>
      </c>
      <c r="B75" s="39" t="n">
        <v>2</v>
      </c>
      <c r="C75" s="39" t="n">
        <v>0</v>
      </c>
      <c r="D75" s="39" t="n">
        <f aca="false">F57+C58+B61</f>
        <v>-0.0798611111111112</v>
      </c>
    </row>
    <row r="76" customFormat="false" ht="15" hidden="false" customHeight="false" outlineLevel="0" collapsed="false">
      <c r="A76" s="24" t="s">
        <v>391</v>
      </c>
      <c r="B76" s="39" t="n">
        <v>2</v>
      </c>
      <c r="C76" s="39" t="n">
        <v>1</v>
      </c>
      <c r="D76" s="39" t="n">
        <f aca="false">E58+F59+C60+D61</f>
        <v>0</v>
      </c>
    </row>
    <row r="77" customFormat="false" ht="15" hidden="false" customHeight="false" outlineLevel="0" collapsed="false">
      <c r="A77" s="24" t="s">
        <v>392</v>
      </c>
      <c r="B77" s="39" t="n">
        <v>2</v>
      </c>
      <c r="C77" s="39" t="n">
        <v>2</v>
      </c>
      <c r="D77" s="39" t="n">
        <f aca="false">E60+G61+F62</f>
        <v>-0.165570175438597</v>
      </c>
    </row>
    <row r="78" customFormat="false" ht="15" hidden="false" customHeight="false" outlineLevel="0" collapsed="false">
      <c r="A78" s="24" t="s">
        <v>393</v>
      </c>
      <c r="B78" s="39" t="n">
        <v>3</v>
      </c>
      <c r="C78" s="39" t="n">
        <v>0</v>
      </c>
      <c r="D78" s="39" t="n">
        <f aca="false">F58+C61</f>
        <v>0</v>
      </c>
    </row>
    <row r="79" customFormat="false" ht="15" hidden="false" customHeight="false" outlineLevel="0" collapsed="false">
      <c r="A79" s="24" t="s">
        <v>394</v>
      </c>
      <c r="B79" s="39" t="n">
        <v>3</v>
      </c>
      <c r="C79" s="39" t="n">
        <v>1</v>
      </c>
      <c r="D79" s="39" t="n">
        <f aca="false">F60+E61</f>
        <v>0</v>
      </c>
    </row>
    <row r="80" customFormat="false" ht="15" hidden="false" customHeight="false" outlineLevel="0" collapsed="false">
      <c r="A80" s="24" t="s">
        <v>395</v>
      </c>
      <c r="B80" s="39" t="n">
        <v>4</v>
      </c>
      <c r="C80" s="39" t="n">
        <v>0</v>
      </c>
      <c r="D80" s="39" t="n">
        <f aca="false">F61</f>
        <v>0.385964912280702</v>
      </c>
    </row>
    <row r="82" customFormat="false" ht="15" hidden="false" customHeight="false" outlineLevel="0" collapsed="false">
      <c r="A82" s="17" t="s">
        <v>396</v>
      </c>
    </row>
    <row r="83" customFormat="false" ht="15" hidden="false" customHeight="false" outlineLevel="0" collapsed="false">
      <c r="C83" s="39" t="n">
        <v>-1</v>
      </c>
      <c r="D83" s="39" t="n">
        <v>-0.9</v>
      </c>
      <c r="E83" s="39" t="n">
        <v>-0.8</v>
      </c>
      <c r="F83" s="39" t="n">
        <v>-0.7</v>
      </c>
      <c r="G83" s="39" t="n">
        <v>-0.6</v>
      </c>
      <c r="H83" s="39" t="n">
        <v>-0.5</v>
      </c>
      <c r="I83" s="39" t="n">
        <v>-0.4</v>
      </c>
      <c r="J83" s="39" t="n">
        <v>-0.3</v>
      </c>
      <c r="K83" s="39" t="n">
        <v>-0.2</v>
      </c>
      <c r="L83" s="39" t="n">
        <v>-0.1</v>
      </c>
      <c r="M83" s="39" t="n">
        <v>0</v>
      </c>
      <c r="N83" s="39" t="n">
        <v>0.1</v>
      </c>
      <c r="O83" s="39" t="n">
        <v>0.2</v>
      </c>
      <c r="P83" s="39" t="n">
        <v>0.3</v>
      </c>
      <c r="Q83" s="39" t="n">
        <v>0.4</v>
      </c>
      <c r="R83" s="39" t="n">
        <v>0.5</v>
      </c>
      <c r="S83" s="39" t="n">
        <v>0.6</v>
      </c>
      <c r="T83" s="39" t="n">
        <v>0.7</v>
      </c>
      <c r="U83" s="39" t="n">
        <v>0.8</v>
      </c>
      <c r="V83" s="39" t="n">
        <v>0.9</v>
      </c>
      <c r="W83" s="39" t="n">
        <v>1</v>
      </c>
    </row>
    <row r="84" customFormat="false" ht="15" hidden="false" customHeight="false" outlineLevel="0" collapsed="false">
      <c r="B84" s="39" t="n">
        <v>1</v>
      </c>
      <c r="C84" s="15" t="n">
        <f aca="false">$I$57+$I$58*C$83+$I$59*$B84+$I$60*C$83*$B84+$I$61*C$83^2+$I$62*$B84^2</f>
        <v>42.5194627192983</v>
      </c>
      <c r="D84" s="15" t="n">
        <f aca="false">$I$57+$I$58*D$83+$I$59*$B84+$I$60*D$83*$B84+$I$61*D$83^2+$I$62*$B84^2</f>
        <v>43.2969349415205</v>
      </c>
      <c r="E84" s="15" t="n">
        <f aca="false">$I$57+$I$58*E$83+$I$59*$B84+$I$60*E$83*$B84+$I$61*E$83^2+$I$62*$B84^2</f>
        <v>44.0227580409357</v>
      </c>
      <c r="F84" s="15" t="n">
        <f aca="false">$I$57+$I$58*F$83+$I$59*$B84+$I$60*F$83*$B84+$I$61*F$83^2+$I$62*$B84^2</f>
        <v>44.6969320175439</v>
      </c>
      <c r="G84" s="15" t="n">
        <f aca="false">$I$57+$I$58*G$83+$I$59*$B84+$I$60*G$83*$B84+$I$61*G$83^2+$I$62*$B84^2</f>
        <v>45.319456871345</v>
      </c>
      <c r="H84" s="15" t="n">
        <f aca="false">$I$57+$I$58*H$83+$I$59*$B84+$I$60*H$83*$B84+$I$61*H$83^2+$I$62*$B84^2</f>
        <v>45.8903326023392</v>
      </c>
      <c r="I84" s="15" t="n">
        <f aca="false">$I$57+$I$58*I$83+$I$59*$B84+$I$60*I$83*$B84+$I$61*I$83^2+$I$62*$B84^2</f>
        <v>46.4095592105263</v>
      </c>
      <c r="J84" s="15" t="n">
        <f aca="false">$I$57+$I$58*J$83+$I$59*$B84+$I$60*J$83*$B84+$I$61*J$83^2+$I$62*$B84^2</f>
        <v>46.8771366959064</v>
      </c>
      <c r="K84" s="15" t="n">
        <f aca="false">$I$57+$I$58*K$83+$I$59*$B84+$I$60*K$83*$B84+$I$61*K$83^2+$I$62*$B84^2</f>
        <v>47.2930650584795</v>
      </c>
      <c r="L84" s="15" t="n">
        <f aca="false">$I$57+$I$58*L$83+$I$59*$B84+$I$60*L$83*$B84+$I$61*L$83^2+$I$62*$B84^2</f>
        <v>47.6573442982456</v>
      </c>
      <c r="M84" s="15" t="n">
        <f aca="false">$I$57+$I$58*M$83+$I$59*$B84+$I$60*M$83*$B84+$I$61*M$83^2+$I$62*$B84^2</f>
        <v>47.9699744152046</v>
      </c>
      <c r="N84" s="15" t="n">
        <f aca="false">$I$57+$I$58*N$83+$I$59*$B84+$I$60*N$83*$B84+$I$61*N$83^2+$I$62*$B84^2</f>
        <v>48.2309554093567</v>
      </c>
      <c r="O84" s="15" t="n">
        <f aca="false">$I$57+$I$58*O$83+$I$59*$B84+$I$60*O$83*$B84+$I$61*O$83^2+$I$62*$B84^2</f>
        <v>48.4402872807017</v>
      </c>
      <c r="P84" s="15" t="n">
        <f aca="false">$I$57+$I$58*P$83+$I$59*$B84+$I$60*P$83*$B84+$I$61*P$83^2+$I$62*$B84^2</f>
        <v>48.5979700292397</v>
      </c>
      <c r="Q84" s="15" t="n">
        <f aca="false">$I$57+$I$58*Q$83+$I$59*$B84+$I$60*Q$83*$B84+$I$61*Q$83^2+$I$62*$B84^2</f>
        <v>48.7040036549707</v>
      </c>
      <c r="R84" s="15" t="n">
        <f aca="false">$I$57+$I$58*R$83+$I$59*$B84+$I$60*R$83*$B84+$I$61*R$83^2+$I$62*$B84^2</f>
        <v>48.7583881578947</v>
      </c>
      <c r="S84" s="15" t="n">
        <f aca="false">$I$57+$I$58*S$83+$I$59*$B84+$I$60*S$83*$B84+$I$61*S$83^2+$I$62*$B84^2</f>
        <v>48.7611235380117</v>
      </c>
      <c r="T84" s="15" t="n">
        <f aca="false">$I$57+$I$58*T$83+$I$59*$B84+$I$60*T$83*$B84+$I$61*T$83^2+$I$62*$B84^2</f>
        <v>48.7122097953216</v>
      </c>
      <c r="U84" s="15" t="n">
        <f aca="false">$I$57+$I$58*U$83+$I$59*$B84+$I$60*U$83*$B84+$I$61*U$83^2+$I$62*$B84^2</f>
        <v>48.6116469298246</v>
      </c>
      <c r="V84" s="15" t="n">
        <f aca="false">$I$57+$I$58*V$83+$I$59*$B84+$I$60*V$83*$B84+$I$61*V$83^2+$I$62*$B84^2</f>
        <v>48.4594349415205</v>
      </c>
      <c r="W84" s="15" t="n">
        <f aca="false">$I$57+$I$58*W$83+$I$59*$B84+$I$60*W$83*$B84+$I$61*W$83^2+$I$62*$B84^2</f>
        <v>48.2555738304094</v>
      </c>
    </row>
    <row r="85" customFormat="false" ht="15" hidden="false" customHeight="false" outlineLevel="0" collapsed="false">
      <c r="B85" s="39" t="n">
        <v>0.9</v>
      </c>
      <c r="C85" s="15" t="n">
        <f aca="false">$I$57+$I$58*C$83+$I$59*$B85+$I$60*C$83*$B85+$I$61*C$83^2+$I$62*$B85^2</f>
        <v>42.9081849415205</v>
      </c>
      <c r="D85" s="15" t="n">
        <f aca="false">$I$57+$I$58*D$83+$I$59*$B85+$I$60*D$83*$B85+$I$61*D$83^2+$I$62*$B85^2</f>
        <v>43.6744071637427</v>
      </c>
      <c r="E85" s="15" t="n">
        <f aca="false">$I$57+$I$58*E$83+$I$59*$B85+$I$60*E$83*$B85+$I$61*E$83^2+$I$62*$B85^2</f>
        <v>44.3889802631579</v>
      </c>
      <c r="F85" s="15" t="n">
        <f aca="false">$I$57+$I$58*F$83+$I$59*$B85+$I$60*F$83*$B85+$I$61*F$83^2+$I$62*$B85^2</f>
        <v>45.0519042397661</v>
      </c>
      <c r="G85" s="15" t="n">
        <f aca="false">$I$57+$I$58*G$83+$I$59*$B85+$I$60*G$83*$B85+$I$61*G$83^2+$I$62*$B85^2</f>
        <v>45.6631790935672</v>
      </c>
      <c r="H85" s="15" t="n">
        <f aca="false">$I$57+$I$58*H$83+$I$59*$B85+$I$60*H$83*$B85+$I$61*H$83^2+$I$62*$B85^2</f>
        <v>46.2228048245614</v>
      </c>
      <c r="I85" s="15" t="n">
        <f aca="false">$I$57+$I$58*I$83+$I$59*$B85+$I$60*I$83*$B85+$I$61*I$83^2+$I$62*$B85^2</f>
        <v>46.7307814327485</v>
      </c>
      <c r="J85" s="15" t="n">
        <f aca="false">$I$57+$I$58*J$83+$I$59*$B85+$I$60*J$83*$B85+$I$61*J$83^2+$I$62*$B85^2</f>
        <v>47.1871089181286</v>
      </c>
      <c r="K85" s="15" t="n">
        <f aca="false">$I$57+$I$58*K$83+$I$59*$B85+$I$60*K$83*$B85+$I$61*K$83^2+$I$62*$B85^2</f>
        <v>47.5917872807017</v>
      </c>
      <c r="L85" s="15" t="n">
        <f aca="false">$I$57+$I$58*L$83+$I$59*$B85+$I$60*L$83*$B85+$I$61*L$83^2+$I$62*$B85^2</f>
        <v>47.9448165204678</v>
      </c>
      <c r="M85" s="15" t="n">
        <f aca="false">$I$57+$I$58*M$83+$I$59*$B85+$I$60*M$83*$B85+$I$61*M$83^2+$I$62*$B85^2</f>
        <v>48.2461966374269</v>
      </c>
      <c r="N85" s="15" t="n">
        <f aca="false">$I$57+$I$58*N$83+$I$59*$B85+$I$60*N$83*$B85+$I$61*N$83^2+$I$62*$B85^2</f>
        <v>48.4959276315789</v>
      </c>
      <c r="O85" s="15" t="n">
        <f aca="false">$I$57+$I$58*O$83+$I$59*$B85+$I$60*O$83*$B85+$I$61*O$83^2+$I$62*$B85^2</f>
        <v>48.6940095029239</v>
      </c>
      <c r="P85" s="15" t="n">
        <f aca="false">$I$57+$I$58*P$83+$I$59*$B85+$I$60*P$83*$B85+$I$61*P$83^2+$I$62*$B85^2</f>
        <v>48.8404422514619</v>
      </c>
      <c r="Q85" s="15" t="n">
        <f aca="false">$I$57+$I$58*Q$83+$I$59*$B85+$I$60*Q$83*$B85+$I$61*Q$83^2+$I$62*$B85^2</f>
        <v>48.935225877193</v>
      </c>
      <c r="R85" s="15" t="n">
        <f aca="false">$I$57+$I$58*R$83+$I$59*$B85+$I$60*R$83*$B85+$I$61*R$83^2+$I$62*$B85^2</f>
        <v>48.9783603801169</v>
      </c>
      <c r="S85" s="15" t="n">
        <f aca="false">$I$57+$I$58*S$83+$I$59*$B85+$I$60*S$83*$B85+$I$61*S$83^2+$I$62*$B85^2</f>
        <v>48.9698457602339</v>
      </c>
      <c r="T85" s="15" t="n">
        <f aca="false">$I$57+$I$58*T$83+$I$59*$B85+$I$60*T$83*$B85+$I$61*T$83^2+$I$62*$B85^2</f>
        <v>48.9096820175439</v>
      </c>
      <c r="U85" s="15" t="n">
        <f aca="false">$I$57+$I$58*U$83+$I$59*$B85+$I$60*U$83*$B85+$I$61*U$83^2+$I$62*$B85^2</f>
        <v>48.7978691520468</v>
      </c>
      <c r="V85" s="15" t="n">
        <f aca="false">$I$57+$I$58*V$83+$I$59*$B85+$I$60*V$83*$B85+$I$61*V$83^2+$I$62*$B85^2</f>
        <v>48.6344071637427</v>
      </c>
      <c r="W85" s="15" t="n">
        <f aca="false">$I$57+$I$58*W$83+$I$59*$B85+$I$60*W$83*$B85+$I$61*W$83^2+$I$62*$B85^2</f>
        <v>48.4192960526316</v>
      </c>
    </row>
    <row r="86" customFormat="false" ht="15" hidden="false" customHeight="false" outlineLevel="0" collapsed="false">
      <c r="B86" s="39" t="n">
        <v>0.8</v>
      </c>
      <c r="C86" s="15" t="n">
        <f aca="false">$I$57+$I$58*C$83+$I$59*$B86+$I$60*C$83*$B86+$I$61*C$83^2+$I$62*$B86^2</f>
        <v>43.2452580409357</v>
      </c>
      <c r="D86" s="15" t="n">
        <f aca="false">$I$57+$I$58*D$83+$I$59*$B86+$I$60*D$83*$B86+$I$61*D$83^2+$I$62*$B86^2</f>
        <v>44.0002302631579</v>
      </c>
      <c r="E86" s="15" t="n">
        <f aca="false">$I$57+$I$58*E$83+$I$59*$B86+$I$60*E$83*$B86+$I$61*E$83^2+$I$62*$B86^2</f>
        <v>44.7035533625731</v>
      </c>
      <c r="F86" s="15" t="n">
        <f aca="false">$I$57+$I$58*F$83+$I$59*$B86+$I$60*F$83*$B86+$I$61*F$83^2+$I$62*$B86^2</f>
        <v>45.3552273391813</v>
      </c>
      <c r="G86" s="15" t="n">
        <f aca="false">$I$57+$I$58*G$83+$I$59*$B86+$I$60*G$83*$B86+$I$61*G$83^2+$I$62*$B86^2</f>
        <v>45.9552521929824</v>
      </c>
      <c r="H86" s="15" t="n">
        <f aca="false">$I$57+$I$58*H$83+$I$59*$B86+$I$60*H$83*$B86+$I$61*H$83^2+$I$62*$B86^2</f>
        <v>46.5036279239766</v>
      </c>
      <c r="I86" s="15" t="n">
        <f aca="false">$I$57+$I$58*I$83+$I$59*$B86+$I$60*I$83*$B86+$I$61*I$83^2+$I$62*$B86^2</f>
        <v>47.0003545321637</v>
      </c>
      <c r="J86" s="15" t="n">
        <f aca="false">$I$57+$I$58*J$83+$I$59*$B86+$I$60*J$83*$B86+$I$61*J$83^2+$I$62*$B86^2</f>
        <v>47.4454320175438</v>
      </c>
      <c r="K86" s="15" t="n">
        <f aca="false">$I$57+$I$58*K$83+$I$59*$B86+$I$60*K$83*$B86+$I$61*K$83^2+$I$62*$B86^2</f>
        <v>47.8388603801169</v>
      </c>
      <c r="L86" s="15" t="n">
        <f aca="false">$I$57+$I$58*L$83+$I$59*$B86+$I$60*L$83*$B86+$I$61*L$83^2+$I$62*$B86^2</f>
        <v>48.180639619883</v>
      </c>
      <c r="M86" s="15" t="n">
        <f aca="false">$I$57+$I$58*M$83+$I$59*$B86+$I$60*M$83*$B86+$I$61*M$83^2+$I$62*$B86^2</f>
        <v>48.4707697368421</v>
      </c>
      <c r="N86" s="15" t="n">
        <f aca="false">$I$57+$I$58*N$83+$I$59*$B86+$I$60*N$83*$B86+$I$61*N$83^2+$I$62*$B86^2</f>
        <v>48.7092507309941</v>
      </c>
      <c r="O86" s="15" t="n">
        <f aca="false">$I$57+$I$58*O$83+$I$59*$B86+$I$60*O$83*$B86+$I$61*O$83^2+$I$62*$B86^2</f>
        <v>48.8960826023391</v>
      </c>
      <c r="P86" s="15" t="n">
        <f aca="false">$I$57+$I$58*P$83+$I$59*$B86+$I$60*P$83*$B86+$I$61*P$83^2+$I$62*$B86^2</f>
        <v>49.0312653508772</v>
      </c>
      <c r="Q86" s="15" t="n">
        <f aca="false">$I$57+$I$58*Q$83+$I$59*$B86+$I$60*Q$83*$B86+$I$61*Q$83^2+$I$62*$B86^2</f>
        <v>49.1147989766082</v>
      </c>
      <c r="R86" s="15" t="n">
        <f aca="false">$I$57+$I$58*R$83+$I$59*$B86+$I$60*R$83*$B86+$I$61*R$83^2+$I$62*$B86^2</f>
        <v>49.1466834795321</v>
      </c>
      <c r="S86" s="15" t="n">
        <f aca="false">$I$57+$I$58*S$83+$I$59*$B86+$I$60*S$83*$B86+$I$61*S$83^2+$I$62*$B86^2</f>
        <v>49.1269188596491</v>
      </c>
      <c r="T86" s="15" t="n">
        <f aca="false">$I$57+$I$58*T$83+$I$59*$B86+$I$60*T$83*$B86+$I$61*T$83^2+$I$62*$B86^2</f>
        <v>49.0555051169591</v>
      </c>
      <c r="U86" s="15" t="n">
        <f aca="false">$I$57+$I$58*U$83+$I$59*$B86+$I$60*U$83*$B86+$I$61*U$83^2+$I$62*$B86^2</f>
        <v>48.932442251462</v>
      </c>
      <c r="V86" s="15" t="n">
        <f aca="false">$I$57+$I$58*V$83+$I$59*$B86+$I$60*V$83*$B86+$I$61*V$83^2+$I$62*$B86^2</f>
        <v>48.7577302631579</v>
      </c>
      <c r="W86" s="15" t="n">
        <f aca="false">$I$57+$I$58*W$83+$I$59*$B86+$I$60*W$83*$B86+$I$61*W$83^2+$I$62*$B86^2</f>
        <v>48.5313691520468</v>
      </c>
    </row>
    <row r="87" customFormat="false" ht="15" hidden="false" customHeight="false" outlineLevel="0" collapsed="false">
      <c r="B87" s="39" t="n">
        <v>0.7</v>
      </c>
      <c r="C87" s="15" t="n">
        <f aca="false">$I$57+$I$58*C$83+$I$59*$B87+$I$60*C$83*$B87+$I$61*C$83^2+$I$62*$B87^2</f>
        <v>43.5306820175439</v>
      </c>
      <c r="D87" s="15" t="n">
        <f aca="false">$I$57+$I$58*D$83+$I$59*$B87+$I$60*D$83*$B87+$I$61*D$83^2+$I$62*$B87^2</f>
        <v>44.2744042397661</v>
      </c>
      <c r="E87" s="15" t="n">
        <f aca="false">$I$57+$I$58*E$83+$I$59*$B87+$I$60*E$83*$B87+$I$61*E$83^2+$I$62*$B87^2</f>
        <v>44.9664773391813</v>
      </c>
      <c r="F87" s="15" t="n">
        <f aca="false">$I$57+$I$58*F$83+$I$59*$B87+$I$60*F$83*$B87+$I$61*F$83^2+$I$62*$B87^2</f>
        <v>45.6069013157895</v>
      </c>
      <c r="G87" s="15" t="n">
        <f aca="false">$I$57+$I$58*G$83+$I$59*$B87+$I$60*G$83*$B87+$I$61*G$83^2+$I$62*$B87^2</f>
        <v>46.1956761695906</v>
      </c>
      <c r="H87" s="15" t="n">
        <f aca="false">$I$57+$I$58*H$83+$I$59*$B87+$I$60*H$83*$B87+$I$61*H$83^2+$I$62*$B87^2</f>
        <v>46.7328019005848</v>
      </c>
      <c r="I87" s="15" t="n">
        <f aca="false">$I$57+$I$58*I$83+$I$59*$B87+$I$60*I$83*$B87+$I$61*I$83^2+$I$62*$B87^2</f>
        <v>47.2182785087719</v>
      </c>
      <c r="J87" s="15" t="n">
        <f aca="false">$I$57+$I$58*J$83+$I$59*$B87+$I$60*J$83*$B87+$I$61*J$83^2+$I$62*$B87^2</f>
        <v>47.652105994152</v>
      </c>
      <c r="K87" s="15" t="n">
        <f aca="false">$I$57+$I$58*K$83+$I$59*$B87+$I$60*K$83*$B87+$I$61*K$83^2+$I$62*$B87^2</f>
        <v>48.0342843567251</v>
      </c>
      <c r="L87" s="15" t="n">
        <f aca="false">$I$57+$I$58*L$83+$I$59*$B87+$I$60*L$83*$B87+$I$61*L$83^2+$I$62*$B87^2</f>
        <v>48.3648135964912</v>
      </c>
      <c r="M87" s="15" t="n">
        <f aca="false">$I$57+$I$58*M$83+$I$59*$B87+$I$60*M$83*$B87+$I$61*M$83^2+$I$62*$B87^2</f>
        <v>48.6436937134502</v>
      </c>
      <c r="N87" s="15" t="n">
        <f aca="false">$I$57+$I$58*N$83+$I$59*$B87+$I$60*N$83*$B87+$I$61*N$83^2+$I$62*$B87^2</f>
        <v>48.8709247076023</v>
      </c>
      <c r="O87" s="15" t="n">
        <f aca="false">$I$57+$I$58*O$83+$I$59*$B87+$I$60*O$83*$B87+$I$61*O$83^2+$I$62*$B87^2</f>
        <v>49.0465065789473</v>
      </c>
      <c r="P87" s="15" t="n">
        <f aca="false">$I$57+$I$58*P$83+$I$59*$B87+$I$60*P$83*$B87+$I$61*P$83^2+$I$62*$B87^2</f>
        <v>49.1704393274853</v>
      </c>
      <c r="Q87" s="15" t="n">
        <f aca="false">$I$57+$I$58*Q$83+$I$59*$B87+$I$60*Q$83*$B87+$I$61*Q$83^2+$I$62*$B87^2</f>
        <v>49.2427229532163</v>
      </c>
      <c r="R87" s="15" t="n">
        <f aca="false">$I$57+$I$58*R$83+$I$59*$B87+$I$60*R$83*$B87+$I$61*R$83^2+$I$62*$B87^2</f>
        <v>49.2633574561403</v>
      </c>
      <c r="S87" s="15" t="n">
        <f aca="false">$I$57+$I$58*S$83+$I$59*$B87+$I$60*S$83*$B87+$I$61*S$83^2+$I$62*$B87^2</f>
        <v>49.2323428362573</v>
      </c>
      <c r="T87" s="15" t="n">
        <f aca="false">$I$57+$I$58*T$83+$I$59*$B87+$I$60*T$83*$B87+$I$61*T$83^2+$I$62*$B87^2</f>
        <v>49.1496790935672</v>
      </c>
      <c r="U87" s="15" t="n">
        <f aca="false">$I$57+$I$58*U$83+$I$59*$B87+$I$60*U$83*$B87+$I$61*U$83^2+$I$62*$B87^2</f>
        <v>49.0153662280702</v>
      </c>
      <c r="V87" s="15" t="n">
        <f aca="false">$I$57+$I$58*V$83+$I$59*$B87+$I$60*V$83*$B87+$I$61*V$83^2+$I$62*$B87^2</f>
        <v>48.8294042397661</v>
      </c>
      <c r="W87" s="15" t="n">
        <f aca="false">$I$57+$I$58*W$83+$I$59*$B87+$I$60*W$83*$B87+$I$61*W$83^2+$I$62*$B87^2</f>
        <v>48.591793128655</v>
      </c>
    </row>
    <row r="88" customFormat="false" ht="15" hidden="false" customHeight="false" outlineLevel="0" collapsed="false">
      <c r="B88" s="39" t="n">
        <v>0.6</v>
      </c>
      <c r="C88" s="15" t="n">
        <f aca="false">$I$57+$I$58*C$83+$I$59*$B88+$I$60*C$83*$B88+$I$61*C$83^2+$I$62*$B88^2</f>
        <v>43.7644568713451</v>
      </c>
      <c r="D88" s="15" t="n">
        <f aca="false">$I$57+$I$58*D$83+$I$59*$B88+$I$60*D$83*$B88+$I$61*D$83^2+$I$62*$B88^2</f>
        <v>44.4969290935673</v>
      </c>
      <c r="E88" s="15" t="n">
        <f aca="false">$I$57+$I$58*E$83+$I$59*$B88+$I$60*E$83*$B88+$I$61*E$83^2+$I$62*$B88^2</f>
        <v>45.1777521929825</v>
      </c>
      <c r="F88" s="15" t="n">
        <f aca="false">$I$57+$I$58*F$83+$I$59*$B88+$I$60*F$83*$B88+$I$61*F$83^2+$I$62*$B88^2</f>
        <v>45.8069261695906</v>
      </c>
      <c r="G88" s="15" t="n">
        <f aca="false">$I$57+$I$58*G$83+$I$59*$B88+$I$60*G$83*$B88+$I$61*G$83^2+$I$62*$B88^2</f>
        <v>46.3844510233918</v>
      </c>
      <c r="H88" s="15" t="n">
        <f aca="false">$I$57+$I$58*H$83+$I$59*$B88+$I$60*H$83*$B88+$I$61*H$83^2+$I$62*$B88^2</f>
        <v>46.9103267543859</v>
      </c>
      <c r="I88" s="15" t="n">
        <f aca="false">$I$57+$I$58*I$83+$I$59*$B88+$I$60*I$83*$B88+$I$61*I$83^2+$I$62*$B88^2</f>
        <v>47.3845533625731</v>
      </c>
      <c r="J88" s="15" t="n">
        <f aca="false">$I$57+$I$58*J$83+$I$59*$B88+$I$60*J$83*$B88+$I$61*J$83^2+$I$62*$B88^2</f>
        <v>47.8071308479532</v>
      </c>
      <c r="K88" s="15" t="n">
        <f aca="false">$I$57+$I$58*K$83+$I$59*$B88+$I$60*K$83*$B88+$I$61*K$83^2+$I$62*$B88^2</f>
        <v>48.1780592105263</v>
      </c>
      <c r="L88" s="15" t="n">
        <f aca="false">$I$57+$I$58*L$83+$I$59*$B88+$I$60*L$83*$B88+$I$61*L$83^2+$I$62*$B88^2</f>
        <v>48.4973384502923</v>
      </c>
      <c r="M88" s="15" t="n">
        <f aca="false">$I$57+$I$58*M$83+$I$59*$B88+$I$60*M$83*$B88+$I$61*M$83^2+$I$62*$B88^2</f>
        <v>48.7649685672514</v>
      </c>
      <c r="N88" s="15" t="n">
        <f aca="false">$I$57+$I$58*N$83+$I$59*$B88+$I$60*N$83*$B88+$I$61*N$83^2+$I$62*$B88^2</f>
        <v>48.9809495614035</v>
      </c>
      <c r="O88" s="15" t="n">
        <f aca="false">$I$57+$I$58*O$83+$I$59*$B88+$I$60*O$83*$B88+$I$61*O$83^2+$I$62*$B88^2</f>
        <v>49.1452814327485</v>
      </c>
      <c r="P88" s="15" t="n">
        <f aca="false">$I$57+$I$58*P$83+$I$59*$B88+$I$60*P$83*$B88+$I$61*P$83^2+$I$62*$B88^2</f>
        <v>49.2579641812865</v>
      </c>
      <c r="Q88" s="15" t="n">
        <f aca="false">$I$57+$I$58*Q$83+$I$59*$B88+$I$60*Q$83*$B88+$I$61*Q$83^2+$I$62*$B88^2</f>
        <v>49.3189978070175</v>
      </c>
      <c r="R88" s="15" t="n">
        <f aca="false">$I$57+$I$58*R$83+$I$59*$B88+$I$60*R$83*$B88+$I$61*R$83^2+$I$62*$B88^2</f>
        <v>49.3283823099415</v>
      </c>
      <c r="S88" s="15" t="n">
        <f aca="false">$I$57+$I$58*S$83+$I$59*$B88+$I$60*S$83*$B88+$I$61*S$83^2+$I$62*$B88^2</f>
        <v>49.2861176900585</v>
      </c>
      <c r="T88" s="15" t="n">
        <f aca="false">$I$57+$I$58*T$83+$I$59*$B88+$I$60*T$83*$B88+$I$61*T$83^2+$I$62*$B88^2</f>
        <v>49.1922039473684</v>
      </c>
      <c r="U88" s="15" t="n">
        <f aca="false">$I$57+$I$58*U$83+$I$59*$B88+$I$60*U$83*$B88+$I$61*U$83^2+$I$62*$B88^2</f>
        <v>49.0466410818714</v>
      </c>
      <c r="V88" s="15" t="n">
        <f aca="false">$I$57+$I$58*V$83+$I$59*$B88+$I$60*V$83*$B88+$I$61*V$83^2+$I$62*$B88^2</f>
        <v>48.8494290935673</v>
      </c>
      <c r="W88" s="15" t="n">
        <f aca="false">$I$57+$I$58*W$83+$I$59*$B88+$I$60*W$83*$B88+$I$61*W$83^2+$I$62*$B88^2</f>
        <v>48.6005679824562</v>
      </c>
    </row>
    <row r="89" customFormat="false" ht="15" hidden="false" customHeight="false" outlineLevel="0" collapsed="false">
      <c r="B89" s="39" t="n">
        <v>0.5</v>
      </c>
      <c r="C89" s="15" t="n">
        <f aca="false">$I$57+$I$58*C$83+$I$59*$B89+$I$60*C$83*$B89+$I$61*C$83^2+$I$62*$B89^2</f>
        <v>43.9465826023392</v>
      </c>
      <c r="D89" s="15" t="n">
        <f aca="false">$I$57+$I$58*D$83+$I$59*$B89+$I$60*D$83*$B89+$I$61*D$83^2+$I$62*$B89^2</f>
        <v>44.6678048245614</v>
      </c>
      <c r="E89" s="15" t="n">
        <f aca="false">$I$57+$I$58*E$83+$I$59*$B89+$I$60*E$83*$B89+$I$61*E$83^2+$I$62*$B89^2</f>
        <v>45.3373779239766</v>
      </c>
      <c r="F89" s="15" t="n">
        <f aca="false">$I$57+$I$58*F$83+$I$59*$B89+$I$60*F$83*$B89+$I$61*F$83^2+$I$62*$B89^2</f>
        <v>45.9553019005848</v>
      </c>
      <c r="G89" s="15" t="n">
        <f aca="false">$I$57+$I$58*G$83+$I$59*$B89+$I$60*G$83*$B89+$I$61*G$83^2+$I$62*$B89^2</f>
        <v>46.521576754386</v>
      </c>
      <c r="H89" s="15" t="n">
        <f aca="false">$I$57+$I$58*H$83+$I$59*$B89+$I$60*H$83*$B89+$I$61*H$83^2+$I$62*$B89^2</f>
        <v>47.0362024853801</v>
      </c>
      <c r="I89" s="15" t="n">
        <f aca="false">$I$57+$I$58*I$83+$I$59*$B89+$I$60*I$83*$B89+$I$61*I$83^2+$I$62*$B89^2</f>
        <v>47.4991790935672</v>
      </c>
      <c r="J89" s="15" t="n">
        <f aca="false">$I$57+$I$58*J$83+$I$59*$B89+$I$60*J$83*$B89+$I$61*J$83^2+$I$62*$B89^2</f>
        <v>47.9105065789473</v>
      </c>
      <c r="K89" s="15" t="n">
        <f aca="false">$I$57+$I$58*K$83+$I$59*$B89+$I$60*K$83*$B89+$I$61*K$83^2+$I$62*$B89^2</f>
        <v>48.2701849415204</v>
      </c>
      <c r="L89" s="15" t="n">
        <f aca="false">$I$57+$I$58*L$83+$I$59*$B89+$I$60*L$83*$B89+$I$61*L$83^2+$I$62*$B89^2</f>
        <v>48.5782141812865</v>
      </c>
      <c r="M89" s="15" t="n">
        <f aca="false">$I$57+$I$58*M$83+$I$59*$B89+$I$60*M$83*$B89+$I$61*M$83^2+$I$62*$B89^2</f>
        <v>48.8345942982456</v>
      </c>
      <c r="N89" s="15" t="n">
        <f aca="false">$I$57+$I$58*N$83+$I$59*$B89+$I$60*N$83*$B89+$I$61*N$83^2+$I$62*$B89^2</f>
        <v>49.0393252923976</v>
      </c>
      <c r="O89" s="15" t="n">
        <f aca="false">$I$57+$I$58*O$83+$I$59*$B89+$I$60*O$83*$B89+$I$61*O$83^2+$I$62*$B89^2</f>
        <v>49.1924071637426</v>
      </c>
      <c r="P89" s="15" t="n">
        <f aca="false">$I$57+$I$58*P$83+$I$59*$B89+$I$60*P$83*$B89+$I$61*P$83^2+$I$62*$B89^2</f>
        <v>49.2938399122807</v>
      </c>
      <c r="Q89" s="15" t="n">
        <f aca="false">$I$57+$I$58*Q$83+$I$59*$B89+$I$60*Q$83*$B89+$I$61*Q$83^2+$I$62*$B89^2</f>
        <v>49.3436235380117</v>
      </c>
      <c r="R89" s="15" t="n">
        <f aca="false">$I$57+$I$58*R$83+$I$59*$B89+$I$60*R$83*$B89+$I$61*R$83^2+$I$62*$B89^2</f>
        <v>49.3417580409356</v>
      </c>
      <c r="S89" s="15" t="n">
        <f aca="false">$I$57+$I$58*S$83+$I$59*$B89+$I$60*S$83*$B89+$I$61*S$83^2+$I$62*$B89^2</f>
        <v>49.2882434210526</v>
      </c>
      <c r="T89" s="15" t="n">
        <f aca="false">$I$57+$I$58*T$83+$I$59*$B89+$I$60*T$83*$B89+$I$61*T$83^2+$I$62*$B89^2</f>
        <v>49.1830796783626</v>
      </c>
      <c r="U89" s="15" t="n">
        <f aca="false">$I$57+$I$58*U$83+$I$59*$B89+$I$60*U$83*$B89+$I$61*U$83^2+$I$62*$B89^2</f>
        <v>49.0262668128655</v>
      </c>
      <c r="V89" s="15" t="n">
        <f aca="false">$I$57+$I$58*V$83+$I$59*$B89+$I$60*V$83*$B89+$I$61*V$83^2+$I$62*$B89^2</f>
        <v>48.8178048245614</v>
      </c>
      <c r="W89" s="15" t="n">
        <f aca="false">$I$57+$I$58*W$83+$I$59*$B89+$I$60*W$83*$B89+$I$61*W$83^2+$I$62*$B89^2</f>
        <v>48.5576937134503</v>
      </c>
    </row>
    <row r="90" customFormat="false" ht="15" hidden="false" customHeight="false" outlineLevel="0" collapsed="false">
      <c r="B90" s="39" t="n">
        <v>0.4</v>
      </c>
      <c r="C90" s="15" t="n">
        <f aca="false">$I$57+$I$58*C$83+$I$59*$B90+$I$60*C$83*$B90+$I$61*C$83^2+$I$62*$B90^2</f>
        <v>44.0770592105264</v>
      </c>
      <c r="D90" s="15" t="n">
        <f aca="false">$I$57+$I$58*D$83+$I$59*$B90+$I$60*D$83*$B90+$I$61*D$83^2+$I$62*$B90^2</f>
        <v>44.7870314327486</v>
      </c>
      <c r="E90" s="15" t="n">
        <f aca="false">$I$57+$I$58*E$83+$I$59*$B90+$I$60*E$83*$B90+$I$61*E$83^2+$I$62*$B90^2</f>
        <v>45.4453545321638</v>
      </c>
      <c r="F90" s="15" t="n">
        <f aca="false">$I$57+$I$58*F$83+$I$59*$B90+$I$60*F$83*$B90+$I$61*F$83^2+$I$62*$B90^2</f>
        <v>46.0520285087719</v>
      </c>
      <c r="G90" s="15" t="n">
        <f aca="false">$I$57+$I$58*G$83+$I$59*$B90+$I$60*G$83*$B90+$I$61*G$83^2+$I$62*$B90^2</f>
        <v>46.6070533625731</v>
      </c>
      <c r="H90" s="15" t="n">
        <f aca="false">$I$57+$I$58*H$83+$I$59*$B90+$I$60*H$83*$B90+$I$61*H$83^2+$I$62*$B90^2</f>
        <v>47.1104290935672</v>
      </c>
      <c r="I90" s="15" t="n">
        <f aca="false">$I$57+$I$58*I$83+$I$59*$B90+$I$60*I$83*$B90+$I$61*I$83^2+$I$62*$B90^2</f>
        <v>47.5621557017544</v>
      </c>
      <c r="J90" s="15" t="n">
        <f aca="false">$I$57+$I$58*J$83+$I$59*$B90+$I$60*J$83*$B90+$I$61*J$83^2+$I$62*$B90^2</f>
        <v>47.9622331871345</v>
      </c>
      <c r="K90" s="15" t="n">
        <f aca="false">$I$57+$I$58*K$83+$I$59*$B90+$I$60*K$83*$B90+$I$61*K$83^2+$I$62*$B90^2</f>
        <v>48.3106615497076</v>
      </c>
      <c r="L90" s="15" t="n">
        <f aca="false">$I$57+$I$58*L$83+$I$59*$B90+$I$60*L$83*$B90+$I$61*L$83^2+$I$62*$B90^2</f>
        <v>48.6074407894736</v>
      </c>
      <c r="M90" s="15" t="n">
        <f aca="false">$I$57+$I$58*M$83+$I$59*$B90+$I$60*M$83*$B90+$I$61*M$83^2+$I$62*$B90^2</f>
        <v>48.8525709064327</v>
      </c>
      <c r="N90" s="15" t="n">
        <f aca="false">$I$57+$I$58*N$83+$I$59*$B90+$I$60*N$83*$B90+$I$61*N$83^2+$I$62*$B90^2</f>
        <v>49.0460519005847</v>
      </c>
      <c r="O90" s="15" t="n">
        <f aca="false">$I$57+$I$58*O$83+$I$59*$B90+$I$60*O$83*$B90+$I$61*O$83^2+$I$62*$B90^2</f>
        <v>49.1878837719298</v>
      </c>
      <c r="P90" s="15" t="n">
        <f aca="false">$I$57+$I$58*P$83+$I$59*$B90+$I$60*P$83*$B90+$I$61*P$83^2+$I$62*$B90^2</f>
        <v>49.2780665204678</v>
      </c>
      <c r="Q90" s="15" t="n">
        <f aca="false">$I$57+$I$58*Q$83+$I$59*$B90+$I$60*Q$83*$B90+$I$61*Q$83^2+$I$62*$B90^2</f>
        <v>49.3166001461988</v>
      </c>
      <c r="R90" s="15" t="n">
        <f aca="false">$I$57+$I$58*R$83+$I$59*$B90+$I$60*R$83*$B90+$I$61*R$83^2+$I$62*$B90^2</f>
        <v>49.3034846491228</v>
      </c>
      <c r="S90" s="15" t="n">
        <f aca="false">$I$57+$I$58*S$83+$I$59*$B90+$I$60*S$83*$B90+$I$61*S$83^2+$I$62*$B90^2</f>
        <v>49.2387200292398</v>
      </c>
      <c r="T90" s="15" t="n">
        <f aca="false">$I$57+$I$58*T$83+$I$59*$B90+$I$60*T$83*$B90+$I$61*T$83^2+$I$62*$B90^2</f>
        <v>49.1223062865497</v>
      </c>
      <c r="U90" s="15" t="n">
        <f aca="false">$I$57+$I$58*U$83+$I$59*$B90+$I$60*U$83*$B90+$I$61*U$83^2+$I$62*$B90^2</f>
        <v>48.9542434210526</v>
      </c>
      <c r="V90" s="15" t="n">
        <f aca="false">$I$57+$I$58*V$83+$I$59*$B90+$I$60*V$83*$B90+$I$61*V$83^2+$I$62*$B90^2</f>
        <v>48.7345314327486</v>
      </c>
      <c r="W90" s="15" t="n">
        <f aca="false">$I$57+$I$58*W$83+$I$59*$B90+$I$60*W$83*$B90+$I$61*W$83^2+$I$62*$B90^2</f>
        <v>48.4631703216375</v>
      </c>
    </row>
    <row r="91" customFormat="false" ht="15" hidden="false" customHeight="false" outlineLevel="0" collapsed="false">
      <c r="B91" s="39" t="n">
        <v>0.3</v>
      </c>
      <c r="C91" s="15" t="n">
        <f aca="false">$I$57+$I$58*C$83+$I$59*$B91+$I$60*C$83*$B91+$I$61*C$83^2+$I$62*$B91^2</f>
        <v>44.1558866959065</v>
      </c>
      <c r="D91" s="15" t="n">
        <f aca="false">$I$57+$I$58*D$83+$I$59*$B91+$I$60*D$83*$B91+$I$61*D$83^2+$I$62*$B91^2</f>
        <v>44.8546089181287</v>
      </c>
      <c r="E91" s="15" t="n">
        <f aca="false">$I$57+$I$58*E$83+$I$59*$B91+$I$60*E$83*$B91+$I$61*E$83^2+$I$62*$B91^2</f>
        <v>45.5016820175439</v>
      </c>
      <c r="F91" s="15" t="n">
        <f aca="false">$I$57+$I$58*F$83+$I$59*$B91+$I$60*F$83*$B91+$I$61*F$83^2+$I$62*$B91^2</f>
        <v>46.097105994152</v>
      </c>
      <c r="G91" s="15" t="n">
        <f aca="false">$I$57+$I$58*G$83+$I$59*$B91+$I$60*G$83*$B91+$I$61*G$83^2+$I$62*$B91^2</f>
        <v>46.6408808479532</v>
      </c>
      <c r="H91" s="15" t="n">
        <f aca="false">$I$57+$I$58*H$83+$I$59*$B91+$I$60*H$83*$B91+$I$61*H$83^2+$I$62*$B91^2</f>
        <v>47.1330065789473</v>
      </c>
      <c r="I91" s="15" t="n">
        <f aca="false">$I$57+$I$58*I$83+$I$59*$B91+$I$60*I$83*$B91+$I$61*I$83^2+$I$62*$B91^2</f>
        <v>47.5734831871345</v>
      </c>
      <c r="J91" s="15" t="n">
        <f aca="false">$I$57+$I$58*J$83+$I$59*$B91+$I$60*J$83*$B91+$I$61*J$83^2+$I$62*$B91^2</f>
        <v>47.9623106725146</v>
      </c>
      <c r="K91" s="15" t="n">
        <f aca="false">$I$57+$I$58*K$83+$I$59*$B91+$I$60*K$83*$B91+$I$61*K$83^2+$I$62*$B91^2</f>
        <v>48.2994890350877</v>
      </c>
      <c r="L91" s="15" t="n">
        <f aca="false">$I$57+$I$58*L$83+$I$59*$B91+$I$60*L$83*$B91+$I$61*L$83^2+$I$62*$B91^2</f>
        <v>48.5850182748537</v>
      </c>
      <c r="M91" s="15" t="n">
        <f aca="false">$I$57+$I$58*M$83+$I$59*$B91+$I$60*M$83*$B91+$I$61*M$83^2+$I$62*$B91^2</f>
        <v>48.8188983918128</v>
      </c>
      <c r="N91" s="15" t="n">
        <f aca="false">$I$57+$I$58*N$83+$I$59*$B91+$I$60*N$83*$B91+$I$61*N$83^2+$I$62*$B91^2</f>
        <v>49.0011293859649</v>
      </c>
      <c r="O91" s="15" t="n">
        <f aca="false">$I$57+$I$58*O$83+$I$59*$B91+$I$60*O$83*$B91+$I$61*O$83^2+$I$62*$B91^2</f>
        <v>49.1317112573099</v>
      </c>
      <c r="P91" s="15" t="n">
        <f aca="false">$I$57+$I$58*P$83+$I$59*$B91+$I$60*P$83*$B91+$I$61*P$83^2+$I$62*$B91^2</f>
        <v>49.2106440058479</v>
      </c>
      <c r="Q91" s="15" t="n">
        <f aca="false">$I$57+$I$58*Q$83+$I$59*$B91+$I$60*Q$83*$B91+$I$61*Q$83^2+$I$62*$B91^2</f>
        <v>49.2379276315789</v>
      </c>
      <c r="R91" s="15" t="n">
        <f aca="false">$I$57+$I$58*R$83+$I$59*$B91+$I$60*R$83*$B91+$I$61*R$83^2+$I$62*$B91^2</f>
        <v>49.2135621345029</v>
      </c>
      <c r="S91" s="15" t="n">
        <f aca="false">$I$57+$I$58*S$83+$I$59*$B91+$I$60*S$83*$B91+$I$61*S$83^2+$I$62*$B91^2</f>
        <v>49.1375475146199</v>
      </c>
      <c r="T91" s="15" t="n">
        <f aca="false">$I$57+$I$58*T$83+$I$59*$B91+$I$60*T$83*$B91+$I$61*T$83^2+$I$62*$B91^2</f>
        <v>49.0098837719298</v>
      </c>
      <c r="U91" s="15" t="n">
        <f aca="false">$I$57+$I$58*U$83+$I$59*$B91+$I$60*U$83*$B91+$I$61*U$83^2+$I$62*$B91^2</f>
        <v>48.8305709064328</v>
      </c>
      <c r="V91" s="15" t="n">
        <f aca="false">$I$57+$I$58*V$83+$I$59*$B91+$I$60*V$83*$B91+$I$61*V$83^2+$I$62*$B91^2</f>
        <v>48.5996089181287</v>
      </c>
      <c r="W91" s="15" t="n">
        <f aca="false">$I$57+$I$58*W$83+$I$59*$B91+$I$60*W$83*$B91+$I$61*W$83^2+$I$62*$B91^2</f>
        <v>48.3169978070176</v>
      </c>
    </row>
    <row r="92" customFormat="false" ht="15" hidden="false" customHeight="false" outlineLevel="0" collapsed="false">
      <c r="B92" s="39" t="n">
        <v>0.2</v>
      </c>
      <c r="C92" s="15" t="n">
        <f aca="false">$I$57+$I$58*C$83+$I$59*$B92+$I$60*C$83*$B92+$I$61*C$83^2+$I$62*$B92^2</f>
        <v>44.1830650584796</v>
      </c>
      <c r="D92" s="15" t="n">
        <f aca="false">$I$57+$I$58*D$83+$I$59*$B92+$I$60*D$83*$B92+$I$61*D$83^2+$I$62*$B92^2</f>
        <v>44.8705372807018</v>
      </c>
      <c r="E92" s="15" t="n">
        <f aca="false">$I$57+$I$58*E$83+$I$59*$B92+$I$60*E$83*$B92+$I$61*E$83^2+$I$62*$B92^2</f>
        <v>45.506360380117</v>
      </c>
      <c r="F92" s="15" t="n">
        <f aca="false">$I$57+$I$58*F$83+$I$59*$B92+$I$60*F$83*$B92+$I$61*F$83^2+$I$62*$B92^2</f>
        <v>46.0905343567251</v>
      </c>
      <c r="G92" s="15" t="n">
        <f aca="false">$I$57+$I$58*G$83+$I$59*$B92+$I$60*G$83*$B92+$I$61*G$83^2+$I$62*$B92^2</f>
        <v>46.6230592105263</v>
      </c>
      <c r="H92" s="15" t="n">
        <f aca="false">$I$57+$I$58*H$83+$I$59*$B92+$I$60*H$83*$B92+$I$61*H$83^2+$I$62*$B92^2</f>
        <v>47.1039349415204</v>
      </c>
      <c r="I92" s="15" t="n">
        <f aca="false">$I$57+$I$58*I$83+$I$59*$B92+$I$60*I$83*$B92+$I$61*I$83^2+$I$62*$B92^2</f>
        <v>47.5331615497076</v>
      </c>
      <c r="J92" s="15" t="n">
        <f aca="false">$I$57+$I$58*J$83+$I$59*$B92+$I$60*J$83*$B92+$I$61*J$83^2+$I$62*$B92^2</f>
        <v>47.9107390350877</v>
      </c>
      <c r="K92" s="15" t="n">
        <f aca="false">$I$57+$I$58*K$83+$I$59*$B92+$I$60*K$83*$B92+$I$61*K$83^2+$I$62*$B92^2</f>
        <v>48.2366673976608</v>
      </c>
      <c r="L92" s="15" t="n">
        <f aca="false">$I$57+$I$58*L$83+$I$59*$B92+$I$60*L$83*$B92+$I$61*L$83^2+$I$62*$B92^2</f>
        <v>48.5109466374269</v>
      </c>
      <c r="M92" s="15" t="n">
        <f aca="false">$I$57+$I$58*M$83+$I$59*$B92+$I$60*M$83*$B92+$I$61*M$83^2+$I$62*$B92^2</f>
        <v>48.7335767543859</v>
      </c>
      <c r="N92" s="15" t="n">
        <f aca="false">$I$57+$I$58*N$83+$I$59*$B92+$I$60*N$83*$B92+$I$61*N$83^2+$I$62*$B92^2</f>
        <v>48.904557748538</v>
      </c>
      <c r="O92" s="15" t="n">
        <f aca="false">$I$57+$I$58*O$83+$I$59*$B92+$I$60*O$83*$B92+$I$61*O$83^2+$I$62*$B92^2</f>
        <v>49.023889619883</v>
      </c>
      <c r="P92" s="15" t="n">
        <f aca="false">$I$57+$I$58*P$83+$I$59*$B92+$I$60*P$83*$B92+$I$61*P$83^2+$I$62*$B92^2</f>
        <v>49.091572368421</v>
      </c>
      <c r="Q92" s="15" t="n">
        <f aca="false">$I$57+$I$58*Q$83+$I$59*$B92+$I$60*Q$83*$B92+$I$61*Q$83^2+$I$62*$B92^2</f>
        <v>49.107605994152</v>
      </c>
      <c r="R92" s="15" t="n">
        <f aca="false">$I$57+$I$58*R$83+$I$59*$B92+$I$60*R$83*$B92+$I$61*R$83^2+$I$62*$B92^2</f>
        <v>49.071990497076</v>
      </c>
      <c r="S92" s="15" t="n">
        <f aca="false">$I$57+$I$58*S$83+$I$59*$B92+$I$60*S$83*$B92+$I$61*S$83^2+$I$62*$B92^2</f>
        <v>48.984725877193</v>
      </c>
      <c r="T92" s="15" t="n">
        <f aca="false">$I$57+$I$58*T$83+$I$59*$B92+$I$60*T$83*$B92+$I$61*T$83^2+$I$62*$B92^2</f>
        <v>48.8458121345029</v>
      </c>
      <c r="U92" s="15" t="n">
        <f aca="false">$I$57+$I$58*U$83+$I$59*$B92+$I$60*U$83*$B92+$I$61*U$83^2+$I$62*$B92^2</f>
        <v>48.6552492690059</v>
      </c>
      <c r="V92" s="15" t="n">
        <f aca="false">$I$57+$I$58*V$83+$I$59*$B92+$I$60*V$83*$B92+$I$61*V$83^2+$I$62*$B92^2</f>
        <v>48.4130372807018</v>
      </c>
      <c r="W92" s="15" t="n">
        <f aca="false">$I$57+$I$58*W$83+$I$59*$B92+$I$60*W$83*$B92+$I$61*W$83^2+$I$62*$B92^2</f>
        <v>48.1191761695907</v>
      </c>
    </row>
    <row r="93" customFormat="false" ht="15" hidden="false" customHeight="false" outlineLevel="0" collapsed="false">
      <c r="B93" s="39" t="n">
        <v>0.1</v>
      </c>
      <c r="C93" s="15" t="n">
        <f aca="false">$I$57+$I$58*C$83+$I$59*$B93+$I$60*C$83*$B93+$I$61*C$83^2+$I$62*$B93^2</f>
        <v>44.1585942982457</v>
      </c>
      <c r="D93" s="15" t="n">
        <f aca="false">$I$57+$I$58*D$83+$I$59*$B93+$I$60*D$83*$B93+$I$61*D$83^2+$I$62*$B93^2</f>
        <v>44.8348165204679</v>
      </c>
      <c r="E93" s="15" t="n">
        <f aca="false">$I$57+$I$58*E$83+$I$59*$B93+$I$60*E$83*$B93+$I$61*E$83^2+$I$62*$B93^2</f>
        <v>45.459389619883</v>
      </c>
      <c r="F93" s="15" t="n">
        <f aca="false">$I$57+$I$58*F$83+$I$59*$B93+$I$60*F$83*$B93+$I$61*F$83^2+$I$62*$B93^2</f>
        <v>46.0323135964912</v>
      </c>
      <c r="G93" s="15" t="n">
        <f aca="false">$I$57+$I$58*G$83+$I$59*$B93+$I$60*G$83*$B93+$I$61*G$83^2+$I$62*$B93^2</f>
        <v>46.5535884502924</v>
      </c>
      <c r="H93" s="15" t="n">
        <f aca="false">$I$57+$I$58*H$83+$I$59*$B93+$I$60*H$83*$B93+$I$61*H$83^2+$I$62*$B93^2</f>
        <v>47.0232141812865</v>
      </c>
      <c r="I93" s="15" t="n">
        <f aca="false">$I$57+$I$58*I$83+$I$59*$B93+$I$60*I$83*$B93+$I$61*I$83^2+$I$62*$B93^2</f>
        <v>47.4411907894736</v>
      </c>
      <c r="J93" s="15" t="n">
        <f aca="false">$I$57+$I$58*J$83+$I$59*$B93+$I$60*J$83*$B93+$I$61*J$83^2+$I$62*$B93^2</f>
        <v>47.8075182748538</v>
      </c>
      <c r="K93" s="15" t="n">
        <f aca="false">$I$57+$I$58*K$83+$I$59*$B93+$I$60*K$83*$B93+$I$61*K$83^2+$I$62*$B93^2</f>
        <v>48.1221966374268</v>
      </c>
      <c r="L93" s="15" t="n">
        <f aca="false">$I$57+$I$58*L$83+$I$59*$B93+$I$60*L$83*$B93+$I$61*L$83^2+$I$62*$B93^2</f>
        <v>48.3852258771929</v>
      </c>
      <c r="M93" s="15" t="n">
        <f aca="false">$I$57+$I$58*M$83+$I$59*$B93+$I$60*M$83*$B93+$I$61*M$83^2+$I$62*$B93^2</f>
        <v>48.596605994152</v>
      </c>
      <c r="N93" s="15" t="n">
        <f aca="false">$I$57+$I$58*N$83+$I$59*$B93+$I$60*N$83*$B93+$I$61*N$83^2+$I$62*$B93^2</f>
        <v>48.756336988304</v>
      </c>
      <c r="O93" s="15" t="n">
        <f aca="false">$I$57+$I$58*O$83+$I$59*$B93+$I$60*O$83*$B93+$I$61*O$83^2+$I$62*$B93^2</f>
        <v>48.8644188596491</v>
      </c>
      <c r="P93" s="15" t="n">
        <f aca="false">$I$57+$I$58*P$83+$I$59*$B93+$I$60*P$83*$B93+$I$61*P$83^2+$I$62*$B93^2</f>
        <v>48.9208516081871</v>
      </c>
      <c r="Q93" s="15" t="n">
        <f aca="false">$I$57+$I$58*Q$83+$I$59*$B93+$I$60*Q$83*$B93+$I$61*Q$83^2+$I$62*$B93^2</f>
        <v>48.9256352339181</v>
      </c>
      <c r="R93" s="15" t="n">
        <f aca="false">$I$57+$I$58*R$83+$I$59*$B93+$I$60*R$83*$B93+$I$61*R$83^2+$I$62*$B93^2</f>
        <v>48.8787697368421</v>
      </c>
      <c r="S93" s="15" t="n">
        <f aca="false">$I$57+$I$58*S$83+$I$59*$B93+$I$60*S$83*$B93+$I$61*S$83^2+$I$62*$B93^2</f>
        <v>48.7802551169591</v>
      </c>
      <c r="T93" s="15" t="n">
        <f aca="false">$I$57+$I$58*T$83+$I$59*$B93+$I$60*T$83*$B93+$I$61*T$83^2+$I$62*$B93^2</f>
        <v>48.630091374269</v>
      </c>
      <c r="U93" s="15" t="n">
        <f aca="false">$I$57+$I$58*U$83+$I$59*$B93+$I$60*U$83*$B93+$I$61*U$83^2+$I$62*$B93^2</f>
        <v>48.4282785087719</v>
      </c>
      <c r="V93" s="15" t="n">
        <f aca="false">$I$57+$I$58*V$83+$I$59*$B93+$I$60*V$83*$B93+$I$61*V$83^2+$I$62*$B93^2</f>
        <v>48.1748165204679</v>
      </c>
      <c r="W93" s="15" t="n">
        <f aca="false">$I$57+$I$58*W$83+$I$59*$B93+$I$60*W$83*$B93+$I$61*W$83^2+$I$62*$B93^2</f>
        <v>47.8697054093568</v>
      </c>
    </row>
    <row r="94" customFormat="false" ht="15" hidden="false" customHeight="false" outlineLevel="0" collapsed="false">
      <c r="B94" s="39" t="n">
        <v>0</v>
      </c>
      <c r="C94" s="15" t="n">
        <f aca="false">$I$57+$I$58*C$83+$I$59*$B94+$I$60*C$83*$B94+$I$61*C$83^2+$I$62*$B94^2</f>
        <v>44.0824744152047</v>
      </c>
      <c r="D94" s="15" t="n">
        <f aca="false">$I$57+$I$58*D$83+$I$59*$B94+$I$60*D$83*$B94+$I$61*D$83^2+$I$62*$B94^2</f>
        <v>44.7474466374269</v>
      </c>
      <c r="E94" s="15" t="n">
        <f aca="false">$I$57+$I$58*E$83+$I$59*$B94+$I$60*E$83*$B94+$I$61*E$83^2+$I$62*$B94^2</f>
        <v>45.3607697368421</v>
      </c>
      <c r="F94" s="15" t="n">
        <f aca="false">$I$57+$I$58*F$83+$I$59*$B94+$I$60*F$83*$B94+$I$61*F$83^2+$I$62*$B94^2</f>
        <v>45.9224437134503</v>
      </c>
      <c r="G94" s="15" t="n">
        <f aca="false">$I$57+$I$58*G$83+$I$59*$B94+$I$60*G$83*$B94+$I$61*G$83^2+$I$62*$B94^2</f>
        <v>46.4324685672514</v>
      </c>
      <c r="H94" s="15" t="n">
        <f aca="false">$I$57+$I$58*H$83+$I$59*$B94+$I$60*H$83*$B94+$I$61*H$83^2+$I$62*$B94^2</f>
        <v>46.8908442982456</v>
      </c>
      <c r="I94" s="15" t="n">
        <f aca="false">$I$57+$I$58*I$83+$I$59*$B94+$I$60*I$83*$B94+$I$61*I$83^2+$I$62*$B94^2</f>
        <v>47.2975709064327</v>
      </c>
      <c r="J94" s="15" t="n">
        <f aca="false">$I$57+$I$58*J$83+$I$59*$B94+$I$60*J$83*$B94+$I$61*J$83^2+$I$62*$B94^2</f>
        <v>47.6526483918128</v>
      </c>
      <c r="K94" s="15" t="n">
        <f aca="false">$I$57+$I$58*K$83+$I$59*$B94+$I$60*K$83*$B94+$I$61*K$83^2+$I$62*$B94^2</f>
        <v>47.9560767543859</v>
      </c>
      <c r="L94" s="15" t="n">
        <f aca="false">$I$57+$I$58*L$83+$I$59*$B94+$I$60*L$83*$B94+$I$61*L$83^2+$I$62*$B94^2</f>
        <v>48.207855994152</v>
      </c>
      <c r="M94" s="15" t="n">
        <f aca="false">$I$57+$I$58*M$83+$I$59*$B94+$I$60*M$83*$B94+$I$61*M$83^2+$I$62*$B94^2</f>
        <v>48.4079861111111</v>
      </c>
      <c r="N94" s="15" t="n">
        <f aca="false">$I$57+$I$58*N$83+$I$59*$B94+$I$60*N$83*$B94+$I$61*N$83^2+$I$62*$B94^2</f>
        <v>48.5564671052631</v>
      </c>
      <c r="O94" s="15" t="n">
        <f aca="false">$I$57+$I$58*O$83+$I$59*$B94+$I$60*O$83*$B94+$I$61*O$83^2+$I$62*$B94^2</f>
        <v>48.6532989766081</v>
      </c>
      <c r="P94" s="15" t="n">
        <f aca="false">$I$57+$I$58*P$83+$I$59*$B94+$I$60*P$83*$B94+$I$61*P$83^2+$I$62*$B94^2</f>
        <v>48.6984817251462</v>
      </c>
      <c r="Q94" s="15" t="n">
        <f aca="false">$I$57+$I$58*Q$83+$I$59*$B94+$I$60*Q$83*$B94+$I$61*Q$83^2+$I$62*$B94^2</f>
        <v>48.6920153508772</v>
      </c>
      <c r="R94" s="15" t="n">
        <f aca="false">$I$57+$I$58*R$83+$I$59*$B94+$I$60*R$83*$B94+$I$61*R$83^2+$I$62*$B94^2</f>
        <v>48.6338998538011</v>
      </c>
      <c r="S94" s="15" t="n">
        <f aca="false">$I$57+$I$58*S$83+$I$59*$B94+$I$60*S$83*$B94+$I$61*S$83^2+$I$62*$B94^2</f>
        <v>48.5241352339181</v>
      </c>
      <c r="T94" s="15" t="n">
        <f aca="false">$I$57+$I$58*T$83+$I$59*$B94+$I$60*T$83*$B94+$I$61*T$83^2+$I$62*$B94^2</f>
        <v>48.3627214912281</v>
      </c>
      <c r="U94" s="15" t="n">
        <f aca="false">$I$57+$I$58*U$83+$I$59*$B94+$I$60*U$83*$B94+$I$61*U$83^2+$I$62*$B94^2</f>
        <v>48.149658625731</v>
      </c>
      <c r="V94" s="15" t="n">
        <f aca="false">$I$57+$I$58*V$83+$I$59*$B94+$I$60*V$83*$B94+$I$61*V$83^2+$I$62*$B94^2</f>
        <v>47.8849466374269</v>
      </c>
      <c r="W94" s="15" t="n">
        <f aca="false">$I$57+$I$58*W$83+$I$59*$B94+$I$60*W$83*$B94+$I$61*W$83^2+$I$62*$B94^2</f>
        <v>47.5685855263158</v>
      </c>
    </row>
    <row r="95" customFormat="false" ht="15" hidden="false" customHeight="false" outlineLevel="0" collapsed="false">
      <c r="B95" s="39" t="n">
        <v>-0.1</v>
      </c>
      <c r="C95" s="15" t="n">
        <f aca="false">$I$57+$I$58*C$83+$I$59*$B95+$I$60*C$83*$B95+$I$61*C$83^2+$I$62*$B95^2</f>
        <v>43.9547054093568</v>
      </c>
      <c r="D95" s="15" t="n">
        <f aca="false">$I$57+$I$58*D$83+$I$59*$B95+$I$60*D$83*$B95+$I$61*D$83^2+$I$62*$B95^2</f>
        <v>44.608427631579</v>
      </c>
      <c r="E95" s="15" t="n">
        <f aca="false">$I$57+$I$58*E$83+$I$59*$B95+$I$60*E$83*$B95+$I$61*E$83^2+$I$62*$B95^2</f>
        <v>45.2105007309942</v>
      </c>
      <c r="F95" s="15" t="n">
        <f aca="false">$I$57+$I$58*F$83+$I$59*$B95+$I$60*F$83*$B95+$I$61*F$83^2+$I$62*$B95^2</f>
        <v>45.7609247076023</v>
      </c>
      <c r="G95" s="15" t="n">
        <f aca="false">$I$57+$I$58*G$83+$I$59*$B95+$I$60*G$83*$B95+$I$61*G$83^2+$I$62*$B95^2</f>
        <v>46.2596995614035</v>
      </c>
      <c r="H95" s="15" t="n">
        <f aca="false">$I$57+$I$58*H$83+$I$59*$B95+$I$60*H$83*$B95+$I$61*H$83^2+$I$62*$B95^2</f>
        <v>46.7068252923976</v>
      </c>
      <c r="I95" s="15" t="n">
        <f aca="false">$I$57+$I$58*I$83+$I$59*$B95+$I$60*I$83*$B95+$I$61*I$83^2+$I$62*$B95^2</f>
        <v>47.1023019005848</v>
      </c>
      <c r="J95" s="15" t="n">
        <f aca="false">$I$57+$I$58*J$83+$I$59*$B95+$I$60*J$83*$B95+$I$61*J$83^2+$I$62*$B95^2</f>
        <v>47.4461293859649</v>
      </c>
      <c r="K95" s="15" t="n">
        <f aca="false">$I$57+$I$58*K$83+$I$59*$B95+$I$60*K$83*$B95+$I$61*K$83^2+$I$62*$B95^2</f>
        <v>47.738307748538</v>
      </c>
      <c r="L95" s="15" t="n">
        <f aca="false">$I$57+$I$58*L$83+$I$59*$B95+$I$60*L$83*$B95+$I$61*L$83^2+$I$62*$B95^2</f>
        <v>47.978836988304</v>
      </c>
      <c r="M95" s="15" t="n">
        <f aca="false">$I$57+$I$58*M$83+$I$59*$B95+$I$60*M$83*$B95+$I$61*M$83^2+$I$62*$B95^2</f>
        <v>48.1677171052631</v>
      </c>
      <c r="N95" s="15" t="n">
        <f aca="false">$I$57+$I$58*N$83+$I$59*$B95+$I$60*N$83*$B95+$I$61*N$83^2+$I$62*$B95^2</f>
        <v>48.3049480994152</v>
      </c>
      <c r="O95" s="15" t="n">
        <f aca="false">$I$57+$I$58*O$83+$I$59*$B95+$I$60*O$83*$B95+$I$61*O$83^2+$I$62*$B95^2</f>
        <v>48.3905299707602</v>
      </c>
      <c r="P95" s="15" t="n">
        <f aca="false">$I$57+$I$58*P$83+$I$59*$B95+$I$60*P$83*$B95+$I$61*P$83^2+$I$62*$B95^2</f>
        <v>48.4244627192982</v>
      </c>
      <c r="Q95" s="15" t="n">
        <f aca="false">$I$57+$I$58*Q$83+$I$59*$B95+$I$60*Q$83*$B95+$I$61*Q$83^2+$I$62*$B95^2</f>
        <v>48.4067463450292</v>
      </c>
      <c r="R95" s="15" t="n">
        <f aca="false">$I$57+$I$58*R$83+$I$59*$B95+$I$60*R$83*$B95+$I$61*R$83^2+$I$62*$B95^2</f>
        <v>48.3373808479532</v>
      </c>
      <c r="S95" s="15" t="n">
        <f aca="false">$I$57+$I$58*S$83+$I$59*$B95+$I$60*S$83*$B95+$I$61*S$83^2+$I$62*$B95^2</f>
        <v>48.2163662280702</v>
      </c>
      <c r="T95" s="15" t="n">
        <f aca="false">$I$57+$I$58*T$83+$I$59*$B95+$I$60*T$83*$B95+$I$61*T$83^2+$I$62*$B95^2</f>
        <v>48.0437024853801</v>
      </c>
      <c r="U95" s="15" t="n">
        <f aca="false">$I$57+$I$58*U$83+$I$59*$B95+$I$60*U$83*$B95+$I$61*U$83^2+$I$62*$B95^2</f>
        <v>47.819389619883</v>
      </c>
      <c r="V95" s="15" t="n">
        <f aca="false">$I$57+$I$58*V$83+$I$59*$B95+$I$60*V$83*$B95+$I$61*V$83^2+$I$62*$B95^2</f>
        <v>47.543427631579</v>
      </c>
      <c r="W95" s="15" t="n">
        <f aca="false">$I$57+$I$58*W$83+$I$59*$B95+$I$60*W$83*$B95+$I$61*W$83^2+$I$62*$B95^2</f>
        <v>47.2158165204679</v>
      </c>
    </row>
    <row r="96" customFormat="false" ht="15" hidden="false" customHeight="false" outlineLevel="0" collapsed="false">
      <c r="B96" s="39" t="n">
        <v>-0.2</v>
      </c>
      <c r="C96" s="15" t="n">
        <f aca="false">$I$57+$I$58*C$83+$I$59*$B96+$I$60*C$83*$B96+$I$61*C$83^2+$I$62*$B96^2</f>
        <v>43.7752872807018</v>
      </c>
      <c r="D96" s="15" t="n">
        <f aca="false">$I$57+$I$58*D$83+$I$59*$B96+$I$60*D$83*$B96+$I$61*D$83^2+$I$62*$B96^2</f>
        <v>44.417759502924</v>
      </c>
      <c r="E96" s="15" t="n">
        <f aca="false">$I$57+$I$58*E$83+$I$59*$B96+$I$60*E$83*$B96+$I$61*E$83^2+$I$62*$B96^2</f>
        <v>45.0085826023392</v>
      </c>
      <c r="F96" s="15" t="n">
        <f aca="false">$I$57+$I$58*F$83+$I$59*$B96+$I$60*F$83*$B96+$I$61*F$83^2+$I$62*$B96^2</f>
        <v>45.5477565789474</v>
      </c>
      <c r="G96" s="15" t="n">
        <f aca="false">$I$57+$I$58*G$83+$I$59*$B96+$I$60*G$83*$B96+$I$61*G$83^2+$I$62*$B96^2</f>
        <v>46.0352814327485</v>
      </c>
      <c r="H96" s="15" t="n">
        <f aca="false">$I$57+$I$58*H$83+$I$59*$B96+$I$60*H$83*$B96+$I$61*H$83^2+$I$62*$B96^2</f>
        <v>46.4711571637427</v>
      </c>
      <c r="I96" s="15" t="n">
        <f aca="false">$I$57+$I$58*I$83+$I$59*$B96+$I$60*I$83*$B96+$I$61*I$83^2+$I$62*$B96^2</f>
        <v>46.8553837719298</v>
      </c>
      <c r="J96" s="15" t="n">
        <f aca="false">$I$57+$I$58*J$83+$I$59*$B96+$I$60*J$83*$B96+$I$61*J$83^2+$I$62*$B96^2</f>
        <v>47.1879612573099</v>
      </c>
      <c r="K96" s="15" t="n">
        <f aca="false">$I$57+$I$58*K$83+$I$59*$B96+$I$60*K$83*$B96+$I$61*K$83^2+$I$62*$B96^2</f>
        <v>47.468889619883</v>
      </c>
      <c r="L96" s="15" t="n">
        <f aca="false">$I$57+$I$58*L$83+$I$59*$B96+$I$60*L$83*$B96+$I$61*L$83^2+$I$62*$B96^2</f>
        <v>47.6981688596491</v>
      </c>
      <c r="M96" s="15" t="n">
        <f aca="false">$I$57+$I$58*M$83+$I$59*$B96+$I$60*M$83*$B96+$I$61*M$83^2+$I$62*$B96^2</f>
        <v>47.8757989766081</v>
      </c>
      <c r="N96" s="15" t="n">
        <f aca="false">$I$57+$I$58*N$83+$I$59*$B96+$I$60*N$83*$B96+$I$61*N$83^2+$I$62*$B96^2</f>
        <v>48.0017799707602</v>
      </c>
      <c r="O96" s="15" t="n">
        <f aca="false">$I$57+$I$58*O$83+$I$59*$B96+$I$60*O$83*$B96+$I$61*O$83^2+$I$62*$B96^2</f>
        <v>48.0761118421052</v>
      </c>
      <c r="P96" s="15" t="n">
        <f aca="false">$I$57+$I$58*P$83+$I$59*$B96+$I$60*P$83*$B96+$I$61*P$83^2+$I$62*$B96^2</f>
        <v>48.0987945906432</v>
      </c>
      <c r="Q96" s="15" t="n">
        <f aca="false">$I$57+$I$58*Q$83+$I$59*$B96+$I$60*Q$83*$B96+$I$61*Q$83^2+$I$62*$B96^2</f>
        <v>48.0698282163742</v>
      </c>
      <c r="R96" s="15" t="n">
        <f aca="false">$I$57+$I$58*R$83+$I$59*$B96+$I$60*R$83*$B96+$I$61*R$83^2+$I$62*$B96^2</f>
        <v>47.9892127192982</v>
      </c>
      <c r="S96" s="15" t="n">
        <f aca="false">$I$57+$I$58*S$83+$I$59*$B96+$I$60*S$83*$B96+$I$61*S$83^2+$I$62*$B96^2</f>
        <v>47.8569480994152</v>
      </c>
      <c r="T96" s="15" t="n">
        <f aca="false">$I$57+$I$58*T$83+$I$59*$B96+$I$60*T$83*$B96+$I$61*T$83^2+$I$62*$B96^2</f>
        <v>47.6730343567251</v>
      </c>
      <c r="U96" s="15" t="n">
        <f aca="false">$I$57+$I$58*U$83+$I$59*$B96+$I$60*U$83*$B96+$I$61*U$83^2+$I$62*$B96^2</f>
        <v>47.4374714912281</v>
      </c>
      <c r="V96" s="15" t="n">
        <f aca="false">$I$57+$I$58*V$83+$I$59*$B96+$I$60*V$83*$B96+$I$61*V$83^2+$I$62*$B96^2</f>
        <v>47.150259502924</v>
      </c>
      <c r="W96" s="15" t="n">
        <f aca="false">$I$57+$I$58*W$83+$I$59*$B96+$I$60*W$83*$B96+$I$61*W$83^2+$I$62*$B96^2</f>
        <v>46.8113983918129</v>
      </c>
    </row>
    <row r="97" customFormat="false" ht="15" hidden="false" customHeight="false" outlineLevel="0" collapsed="false">
      <c r="B97" s="39" t="n">
        <v>-0.3</v>
      </c>
      <c r="C97" s="15" t="n">
        <f aca="false">$I$57+$I$58*C$83+$I$59*$B97+$I$60*C$83*$B97+$I$61*C$83^2+$I$62*$B97^2</f>
        <v>43.5442200292398</v>
      </c>
      <c r="D97" s="15" t="n">
        <f aca="false">$I$57+$I$58*D$83+$I$59*$B97+$I$60*D$83*$B97+$I$61*D$83^2+$I$62*$B97^2</f>
        <v>44.175442251462</v>
      </c>
      <c r="E97" s="15" t="n">
        <f aca="false">$I$57+$I$58*E$83+$I$59*$B97+$I$60*E$83*$B97+$I$61*E$83^2+$I$62*$B97^2</f>
        <v>44.7550153508772</v>
      </c>
      <c r="F97" s="15" t="n">
        <f aca="false">$I$57+$I$58*F$83+$I$59*$B97+$I$60*F$83*$B97+$I$61*F$83^2+$I$62*$B97^2</f>
        <v>45.2829393274854</v>
      </c>
      <c r="G97" s="15" t="n">
        <f aca="false">$I$57+$I$58*G$83+$I$59*$B97+$I$60*G$83*$B97+$I$61*G$83^2+$I$62*$B97^2</f>
        <v>45.7592141812865</v>
      </c>
      <c r="H97" s="15" t="n">
        <f aca="false">$I$57+$I$58*H$83+$I$59*$B97+$I$60*H$83*$B97+$I$61*H$83^2+$I$62*$B97^2</f>
        <v>46.1838399122807</v>
      </c>
      <c r="I97" s="15" t="n">
        <f aca="false">$I$57+$I$58*I$83+$I$59*$B97+$I$60*I$83*$B97+$I$61*I$83^2+$I$62*$B97^2</f>
        <v>46.5568165204678</v>
      </c>
      <c r="J97" s="15" t="n">
        <f aca="false">$I$57+$I$58*J$83+$I$59*$B97+$I$60*J$83*$B97+$I$61*J$83^2+$I$62*$B97^2</f>
        <v>46.8781440058479</v>
      </c>
      <c r="K97" s="15" t="n">
        <f aca="false">$I$57+$I$58*K$83+$I$59*$B97+$I$60*K$83*$B97+$I$61*K$83^2+$I$62*$B97^2</f>
        <v>47.147822368421</v>
      </c>
      <c r="L97" s="15" t="n">
        <f aca="false">$I$57+$I$58*L$83+$I$59*$B97+$I$60*L$83*$B97+$I$61*L$83^2+$I$62*$B97^2</f>
        <v>47.3658516081871</v>
      </c>
      <c r="M97" s="15" t="n">
        <f aca="false">$I$57+$I$58*M$83+$I$59*$B97+$I$60*M$83*$B97+$I$61*M$83^2+$I$62*$B97^2</f>
        <v>47.5322317251462</v>
      </c>
      <c r="N97" s="15" t="n">
        <f aca="false">$I$57+$I$58*N$83+$I$59*$B97+$I$60*N$83*$B97+$I$61*N$83^2+$I$62*$B97^2</f>
        <v>47.6469627192982</v>
      </c>
      <c r="O97" s="15" t="n">
        <f aca="false">$I$57+$I$58*O$83+$I$59*$B97+$I$60*O$83*$B97+$I$61*O$83^2+$I$62*$B97^2</f>
        <v>47.7100445906432</v>
      </c>
      <c r="P97" s="15" t="n">
        <f aca="false">$I$57+$I$58*P$83+$I$59*$B97+$I$60*P$83*$B97+$I$61*P$83^2+$I$62*$B97^2</f>
        <v>47.7214773391812</v>
      </c>
      <c r="Q97" s="15" t="n">
        <f aca="false">$I$57+$I$58*Q$83+$I$59*$B97+$I$60*Q$83*$B97+$I$61*Q$83^2+$I$62*$B97^2</f>
        <v>47.6812609649123</v>
      </c>
      <c r="R97" s="15" t="n">
        <f aca="false">$I$57+$I$58*R$83+$I$59*$B97+$I$60*R$83*$B97+$I$61*R$83^2+$I$62*$B97^2</f>
        <v>47.5893954678362</v>
      </c>
      <c r="S97" s="15" t="n">
        <f aca="false">$I$57+$I$58*S$83+$I$59*$B97+$I$60*S$83*$B97+$I$61*S$83^2+$I$62*$B97^2</f>
        <v>47.4458808479532</v>
      </c>
      <c r="T97" s="15" t="n">
        <f aca="false">$I$57+$I$58*T$83+$I$59*$B97+$I$60*T$83*$B97+$I$61*T$83^2+$I$62*$B97^2</f>
        <v>47.2507171052632</v>
      </c>
      <c r="U97" s="15" t="n">
        <f aca="false">$I$57+$I$58*U$83+$I$59*$B97+$I$60*U$83*$B97+$I$61*U$83^2+$I$62*$B97^2</f>
        <v>47.0039042397661</v>
      </c>
      <c r="V97" s="15" t="n">
        <f aca="false">$I$57+$I$58*V$83+$I$59*$B97+$I$60*V$83*$B97+$I$61*V$83^2+$I$62*$B97^2</f>
        <v>46.705442251462</v>
      </c>
      <c r="W97" s="15" t="n">
        <f aca="false">$I$57+$I$58*W$83+$I$59*$B97+$I$60*W$83*$B97+$I$61*W$83^2+$I$62*$B97^2</f>
        <v>46.3553311403509</v>
      </c>
    </row>
    <row r="98" customFormat="false" ht="15" hidden="false" customHeight="false" outlineLevel="0" collapsed="false">
      <c r="B98" s="39" t="n">
        <v>-0.4</v>
      </c>
      <c r="C98" s="15" t="n">
        <f aca="false">$I$57+$I$58*C$83+$I$59*$B98+$I$60*C$83*$B98+$I$61*C$83^2+$I$62*$B98^2</f>
        <v>43.2615036549708</v>
      </c>
      <c r="D98" s="15" t="n">
        <f aca="false">$I$57+$I$58*D$83+$I$59*$B98+$I$60*D$83*$B98+$I$61*D$83^2+$I$62*$B98^2</f>
        <v>43.881475877193</v>
      </c>
      <c r="E98" s="15" t="n">
        <f aca="false">$I$57+$I$58*E$83+$I$59*$B98+$I$60*E$83*$B98+$I$61*E$83^2+$I$62*$B98^2</f>
        <v>44.4497989766082</v>
      </c>
      <c r="F98" s="15" t="n">
        <f aca="false">$I$57+$I$58*F$83+$I$59*$B98+$I$60*F$83*$B98+$I$61*F$83^2+$I$62*$B98^2</f>
        <v>44.9664729532164</v>
      </c>
      <c r="G98" s="15" t="n">
        <f aca="false">$I$57+$I$58*G$83+$I$59*$B98+$I$60*G$83*$B98+$I$61*G$83^2+$I$62*$B98^2</f>
        <v>45.4314978070175</v>
      </c>
      <c r="H98" s="15" t="n">
        <f aca="false">$I$57+$I$58*H$83+$I$59*$B98+$I$60*H$83*$B98+$I$61*H$83^2+$I$62*$B98^2</f>
        <v>45.8448735380117</v>
      </c>
      <c r="I98" s="15" t="n">
        <f aca="false">$I$57+$I$58*I$83+$I$59*$B98+$I$60*I$83*$B98+$I$61*I$83^2+$I$62*$B98^2</f>
        <v>46.2066001461988</v>
      </c>
      <c r="J98" s="15" t="n">
        <f aca="false">$I$57+$I$58*J$83+$I$59*$B98+$I$60*J$83*$B98+$I$61*J$83^2+$I$62*$B98^2</f>
        <v>46.5166776315789</v>
      </c>
      <c r="K98" s="15" t="n">
        <f aca="false">$I$57+$I$58*K$83+$I$59*$B98+$I$60*K$83*$B98+$I$61*K$83^2+$I$62*$B98^2</f>
        <v>46.775105994152</v>
      </c>
      <c r="L98" s="15" t="n">
        <f aca="false">$I$57+$I$58*L$83+$I$59*$B98+$I$60*L$83*$B98+$I$61*L$83^2+$I$62*$B98^2</f>
        <v>46.9818852339181</v>
      </c>
      <c r="M98" s="15" t="n">
        <f aca="false">$I$57+$I$58*M$83+$I$59*$B98+$I$60*M$83*$B98+$I$61*M$83^2+$I$62*$B98^2</f>
        <v>47.1370153508771</v>
      </c>
      <c r="N98" s="15" t="n">
        <f aca="false">$I$57+$I$58*N$83+$I$59*$B98+$I$60*N$83*$B98+$I$61*N$83^2+$I$62*$B98^2</f>
        <v>47.2404963450292</v>
      </c>
      <c r="O98" s="15" t="n">
        <f aca="false">$I$57+$I$58*O$83+$I$59*$B98+$I$60*O$83*$B98+$I$61*O$83^2+$I$62*$B98^2</f>
        <v>47.2923282163742</v>
      </c>
      <c r="P98" s="15" t="n">
        <f aca="false">$I$57+$I$58*P$83+$I$59*$B98+$I$60*P$83*$B98+$I$61*P$83^2+$I$62*$B98^2</f>
        <v>47.2925109649122</v>
      </c>
      <c r="Q98" s="15" t="n">
        <f aca="false">$I$57+$I$58*Q$83+$I$59*$B98+$I$60*Q$83*$B98+$I$61*Q$83^2+$I$62*$B98^2</f>
        <v>47.2410445906432</v>
      </c>
      <c r="R98" s="15" t="n">
        <f aca="false">$I$57+$I$58*R$83+$I$59*$B98+$I$60*R$83*$B98+$I$61*R$83^2+$I$62*$B98^2</f>
        <v>47.1379290935672</v>
      </c>
      <c r="S98" s="15" t="n">
        <f aca="false">$I$57+$I$58*S$83+$I$59*$B98+$I$60*S$83*$B98+$I$61*S$83^2+$I$62*$B98^2</f>
        <v>46.9831644736842</v>
      </c>
      <c r="T98" s="15" t="n">
        <f aca="false">$I$57+$I$58*T$83+$I$59*$B98+$I$60*T$83*$B98+$I$61*T$83^2+$I$62*$B98^2</f>
        <v>46.7767507309942</v>
      </c>
      <c r="U98" s="15" t="n">
        <f aca="false">$I$57+$I$58*U$83+$I$59*$B98+$I$60*U$83*$B98+$I$61*U$83^2+$I$62*$B98^2</f>
        <v>46.5186878654971</v>
      </c>
      <c r="V98" s="15" t="n">
        <f aca="false">$I$57+$I$58*V$83+$I$59*$B98+$I$60*V$83*$B98+$I$61*V$83^2+$I$62*$B98^2</f>
        <v>46.208975877193</v>
      </c>
      <c r="W98" s="15" t="n">
        <f aca="false">$I$57+$I$58*W$83+$I$59*$B98+$I$60*W$83*$B98+$I$61*W$83^2+$I$62*$B98^2</f>
        <v>45.8476147660819</v>
      </c>
    </row>
    <row r="99" customFormat="false" ht="15" hidden="false" customHeight="false" outlineLevel="0" collapsed="false">
      <c r="B99" s="39" t="n">
        <v>-0.5</v>
      </c>
      <c r="C99" s="15" t="n">
        <f aca="false">$I$57+$I$58*C$83+$I$59*$B99+$I$60*C$83*$B99+$I$61*C$83^2+$I$62*$B99^2</f>
        <v>42.9271381578948</v>
      </c>
      <c r="D99" s="15" t="n">
        <f aca="false">$I$57+$I$58*D$83+$I$59*$B99+$I$60*D$83*$B99+$I$61*D$83^2+$I$62*$B99^2</f>
        <v>43.535860380117</v>
      </c>
      <c r="E99" s="15" t="n">
        <f aca="false">$I$57+$I$58*E$83+$I$59*$B99+$I$60*E$83*$B99+$I$61*E$83^2+$I$62*$B99^2</f>
        <v>44.0929334795322</v>
      </c>
      <c r="F99" s="15" t="n">
        <f aca="false">$I$57+$I$58*F$83+$I$59*$B99+$I$60*F$83*$B99+$I$61*F$83^2+$I$62*$B99^2</f>
        <v>44.5983574561403</v>
      </c>
      <c r="G99" s="15" t="n">
        <f aca="false">$I$57+$I$58*G$83+$I$59*$B99+$I$60*G$83*$B99+$I$61*G$83^2+$I$62*$B99^2</f>
        <v>45.0521323099415</v>
      </c>
      <c r="H99" s="15" t="n">
        <f aca="false">$I$57+$I$58*H$83+$I$59*$B99+$I$60*H$83*$B99+$I$61*H$83^2+$I$62*$B99^2</f>
        <v>45.4542580409356</v>
      </c>
      <c r="I99" s="15" t="n">
        <f aca="false">$I$57+$I$58*I$83+$I$59*$B99+$I$60*I$83*$B99+$I$61*I$83^2+$I$62*$B99^2</f>
        <v>45.8047346491228</v>
      </c>
      <c r="J99" s="15" t="n">
        <f aca="false">$I$57+$I$58*J$83+$I$59*$B99+$I$60*J$83*$B99+$I$61*J$83^2+$I$62*$B99^2</f>
        <v>46.1035621345029</v>
      </c>
      <c r="K99" s="15" t="n">
        <f aca="false">$I$57+$I$58*K$83+$I$59*$B99+$I$60*K$83*$B99+$I$61*K$83^2+$I$62*$B99^2</f>
        <v>46.350740497076</v>
      </c>
      <c r="L99" s="15" t="n">
        <f aca="false">$I$57+$I$58*L$83+$I$59*$B99+$I$60*L$83*$B99+$I$61*L$83^2+$I$62*$B99^2</f>
        <v>46.5462697368421</v>
      </c>
      <c r="M99" s="15" t="n">
        <f aca="false">$I$57+$I$58*M$83+$I$59*$B99+$I$60*M$83*$B99+$I$61*M$83^2+$I$62*$B99^2</f>
        <v>46.6901498538011</v>
      </c>
      <c r="N99" s="15" t="n">
        <f aca="false">$I$57+$I$58*N$83+$I$59*$B99+$I$60*N$83*$B99+$I$61*N$83^2+$I$62*$B99^2</f>
        <v>46.7823808479532</v>
      </c>
      <c r="O99" s="15" t="n">
        <f aca="false">$I$57+$I$58*O$83+$I$59*$B99+$I$60*O$83*$B99+$I$61*O$83^2+$I$62*$B99^2</f>
        <v>46.8229627192982</v>
      </c>
      <c r="P99" s="15" t="n">
        <f aca="false">$I$57+$I$58*P$83+$I$59*$B99+$I$60*P$83*$B99+$I$61*P$83^2+$I$62*$B99^2</f>
        <v>46.8118954678362</v>
      </c>
      <c r="Q99" s="15" t="n">
        <f aca="false">$I$57+$I$58*Q$83+$I$59*$B99+$I$60*Q$83*$B99+$I$61*Q$83^2+$I$62*$B99^2</f>
        <v>46.7491790935672</v>
      </c>
      <c r="R99" s="15" t="n">
        <f aca="false">$I$57+$I$58*R$83+$I$59*$B99+$I$60*R$83*$B99+$I$61*R$83^2+$I$62*$B99^2</f>
        <v>46.6348135964912</v>
      </c>
      <c r="S99" s="15" t="n">
        <f aca="false">$I$57+$I$58*S$83+$I$59*$B99+$I$60*S$83*$B99+$I$61*S$83^2+$I$62*$B99^2</f>
        <v>46.4687989766082</v>
      </c>
      <c r="T99" s="15" t="n">
        <f aca="false">$I$57+$I$58*T$83+$I$59*$B99+$I$60*T$83*$B99+$I$61*T$83^2+$I$62*$B99^2</f>
        <v>46.2511352339181</v>
      </c>
      <c r="U99" s="15" t="n">
        <f aca="false">$I$57+$I$58*U$83+$I$59*$B99+$I$60*U$83*$B99+$I$61*U$83^2+$I$62*$B99^2</f>
        <v>45.9818223684211</v>
      </c>
      <c r="V99" s="15" t="n">
        <f aca="false">$I$57+$I$58*V$83+$I$59*$B99+$I$60*V$83*$B99+$I$61*V$83^2+$I$62*$B99^2</f>
        <v>45.660860380117</v>
      </c>
      <c r="W99" s="15" t="n">
        <f aca="false">$I$57+$I$58*W$83+$I$59*$B99+$I$60*W$83*$B99+$I$61*W$83^2+$I$62*$B99^2</f>
        <v>45.2882492690059</v>
      </c>
    </row>
    <row r="100" customFormat="false" ht="15" hidden="false" customHeight="false" outlineLevel="0" collapsed="false">
      <c r="B100" s="39" t="n">
        <v>-0.6</v>
      </c>
      <c r="C100" s="15" t="n">
        <f aca="false">$I$57+$I$58*C$83+$I$59*$B100+$I$60*C$83*$B100+$I$61*C$83^2+$I$62*$B100^2</f>
        <v>42.5411235380117</v>
      </c>
      <c r="D100" s="15" t="n">
        <f aca="false">$I$57+$I$58*D$83+$I$59*$B100+$I$60*D$83*$B100+$I$61*D$83^2+$I$62*$B100^2</f>
        <v>43.1385957602339</v>
      </c>
      <c r="E100" s="15" t="n">
        <f aca="false">$I$57+$I$58*E$83+$I$59*$B100+$I$60*E$83*$B100+$I$61*E$83^2+$I$62*$B100^2</f>
        <v>43.6844188596491</v>
      </c>
      <c r="F100" s="15" t="n">
        <f aca="false">$I$57+$I$58*F$83+$I$59*$B100+$I$60*F$83*$B100+$I$61*F$83^2+$I$62*$B100^2</f>
        <v>44.1785928362573</v>
      </c>
      <c r="G100" s="15" t="n">
        <f aca="false">$I$57+$I$58*G$83+$I$59*$B100+$I$60*G$83*$B100+$I$61*G$83^2+$I$62*$B100^2</f>
        <v>44.6211176900585</v>
      </c>
      <c r="H100" s="15" t="n">
        <f aca="false">$I$57+$I$58*H$83+$I$59*$B100+$I$60*H$83*$B100+$I$61*H$83^2+$I$62*$B100^2</f>
        <v>45.0119934210526</v>
      </c>
      <c r="I100" s="15" t="n">
        <f aca="false">$I$57+$I$58*I$83+$I$59*$B100+$I$60*I$83*$B100+$I$61*I$83^2+$I$62*$B100^2</f>
        <v>45.3512200292397</v>
      </c>
      <c r="J100" s="15" t="n">
        <f aca="false">$I$57+$I$58*J$83+$I$59*$B100+$I$60*J$83*$B100+$I$61*J$83^2+$I$62*$B100^2</f>
        <v>45.6387975146198</v>
      </c>
      <c r="K100" s="15" t="n">
        <f aca="false">$I$57+$I$58*K$83+$I$59*$B100+$I$60*K$83*$B100+$I$61*K$83^2+$I$62*$B100^2</f>
        <v>45.8747258771929</v>
      </c>
      <c r="L100" s="15" t="n">
        <f aca="false">$I$57+$I$58*L$83+$I$59*$B100+$I$60*L$83*$B100+$I$61*L$83^2+$I$62*$B100^2</f>
        <v>46.059005116959</v>
      </c>
      <c r="M100" s="15" t="n">
        <f aca="false">$I$57+$I$58*M$83+$I$59*$B100+$I$60*M$83*$B100+$I$61*M$83^2+$I$62*$B100^2</f>
        <v>46.1916352339181</v>
      </c>
      <c r="N100" s="15" t="n">
        <f aca="false">$I$57+$I$58*N$83+$I$59*$B100+$I$60*N$83*$B100+$I$61*N$83^2+$I$62*$B100^2</f>
        <v>46.2726162280701</v>
      </c>
      <c r="O100" s="15" t="n">
        <f aca="false">$I$57+$I$58*O$83+$I$59*$B100+$I$60*O$83*$B100+$I$61*O$83^2+$I$62*$B100^2</f>
        <v>46.3019480994152</v>
      </c>
      <c r="P100" s="15" t="n">
        <f aca="false">$I$57+$I$58*P$83+$I$59*$B100+$I$60*P$83*$B100+$I$61*P$83^2+$I$62*$B100^2</f>
        <v>46.2796308479532</v>
      </c>
      <c r="Q100" s="15" t="n">
        <f aca="false">$I$57+$I$58*Q$83+$I$59*$B100+$I$60*Q$83*$B100+$I$61*Q$83^2+$I$62*$B100^2</f>
        <v>46.2056644736842</v>
      </c>
      <c r="R100" s="15" t="n">
        <f aca="false">$I$57+$I$58*R$83+$I$59*$B100+$I$60*R$83*$B100+$I$61*R$83^2+$I$62*$B100^2</f>
        <v>46.0800489766082</v>
      </c>
      <c r="S100" s="15" t="n">
        <f aca="false">$I$57+$I$58*S$83+$I$59*$B100+$I$60*S$83*$B100+$I$61*S$83^2+$I$62*$B100^2</f>
        <v>45.9027843567251</v>
      </c>
      <c r="T100" s="15" t="n">
        <f aca="false">$I$57+$I$58*T$83+$I$59*$B100+$I$60*T$83*$B100+$I$61*T$83^2+$I$62*$B100^2</f>
        <v>45.6738706140351</v>
      </c>
      <c r="U100" s="15" t="n">
        <f aca="false">$I$57+$I$58*U$83+$I$59*$B100+$I$60*U$83*$B100+$I$61*U$83^2+$I$62*$B100^2</f>
        <v>45.393307748538</v>
      </c>
      <c r="V100" s="15" t="n">
        <f aca="false">$I$57+$I$58*V$83+$I$59*$B100+$I$60*V$83*$B100+$I$61*V$83^2+$I$62*$B100^2</f>
        <v>45.0610957602339</v>
      </c>
      <c r="W100" s="15" t="n">
        <f aca="false">$I$57+$I$58*W$83+$I$59*$B100+$I$60*W$83*$B100+$I$61*W$83^2+$I$62*$B100^2</f>
        <v>44.6772346491228</v>
      </c>
    </row>
    <row r="101" customFormat="false" ht="15" hidden="false" customHeight="false" outlineLevel="0" collapsed="false">
      <c r="B101" s="39" t="n">
        <v>-0.7</v>
      </c>
      <c r="C101" s="15" t="n">
        <f aca="false">$I$57+$I$58*C$83+$I$59*$B101+$I$60*C$83*$B101+$I$61*C$83^2+$I$62*$B101^2</f>
        <v>42.1034597953217</v>
      </c>
      <c r="D101" s="15" t="n">
        <f aca="false">$I$57+$I$58*D$83+$I$59*$B101+$I$60*D$83*$B101+$I$61*D$83^2+$I$62*$B101^2</f>
        <v>42.6896820175439</v>
      </c>
      <c r="E101" s="15" t="n">
        <f aca="false">$I$57+$I$58*E$83+$I$59*$B101+$I$60*E$83*$B101+$I$61*E$83^2+$I$62*$B101^2</f>
        <v>43.2242551169591</v>
      </c>
      <c r="F101" s="15" t="n">
        <f aca="false">$I$57+$I$58*F$83+$I$59*$B101+$I$60*F$83*$B101+$I$61*F$83^2+$I$62*$B101^2</f>
        <v>43.7071790935673</v>
      </c>
      <c r="G101" s="15" t="n">
        <f aca="false">$I$57+$I$58*G$83+$I$59*$B101+$I$60*G$83*$B101+$I$61*G$83^2+$I$62*$B101^2</f>
        <v>44.1384539473684</v>
      </c>
      <c r="H101" s="15" t="n">
        <f aca="false">$I$57+$I$58*H$83+$I$59*$B101+$I$60*H$83*$B101+$I$61*H$83^2+$I$62*$B101^2</f>
        <v>44.5180796783625</v>
      </c>
      <c r="I101" s="15" t="n">
        <f aca="false">$I$57+$I$58*I$83+$I$59*$B101+$I$60*I$83*$B101+$I$61*I$83^2+$I$62*$B101^2</f>
        <v>44.8460562865497</v>
      </c>
      <c r="J101" s="15" t="n">
        <f aca="false">$I$57+$I$58*J$83+$I$59*$B101+$I$60*J$83*$B101+$I$61*J$83^2+$I$62*$B101^2</f>
        <v>45.1223837719298</v>
      </c>
      <c r="K101" s="15" t="n">
        <f aca="false">$I$57+$I$58*K$83+$I$59*$B101+$I$60*K$83*$B101+$I$61*K$83^2+$I$62*$B101^2</f>
        <v>45.3470621345029</v>
      </c>
      <c r="L101" s="15" t="n">
        <f aca="false">$I$57+$I$58*L$83+$I$59*$B101+$I$60*L$83*$B101+$I$61*L$83^2+$I$62*$B101^2</f>
        <v>45.520091374269</v>
      </c>
      <c r="M101" s="15" t="n">
        <f aca="false">$I$57+$I$58*M$83+$I$59*$B101+$I$60*M$83*$B101+$I$61*M$83^2+$I$62*$B101^2</f>
        <v>45.641471491228</v>
      </c>
      <c r="N101" s="15" t="n">
        <f aca="false">$I$57+$I$58*N$83+$I$59*$B101+$I$60*N$83*$B101+$I$61*N$83^2+$I$62*$B101^2</f>
        <v>45.7112024853801</v>
      </c>
      <c r="O101" s="15" t="n">
        <f aca="false">$I$57+$I$58*O$83+$I$59*$B101+$I$60*O$83*$B101+$I$61*O$83^2+$I$62*$B101^2</f>
        <v>45.7292843567251</v>
      </c>
      <c r="P101" s="15" t="n">
        <f aca="false">$I$57+$I$58*P$83+$I$59*$B101+$I$60*P$83*$B101+$I$61*P$83^2+$I$62*$B101^2</f>
        <v>45.6957171052631</v>
      </c>
      <c r="Q101" s="15" t="n">
        <f aca="false">$I$57+$I$58*Q$83+$I$59*$B101+$I$60*Q$83*$B101+$I$61*Q$83^2+$I$62*$B101^2</f>
        <v>45.6105007309941</v>
      </c>
      <c r="R101" s="15" t="n">
        <f aca="false">$I$57+$I$58*R$83+$I$59*$B101+$I$60*R$83*$B101+$I$61*R$83^2+$I$62*$B101^2</f>
        <v>45.4736352339181</v>
      </c>
      <c r="S101" s="15" t="n">
        <f aca="false">$I$57+$I$58*S$83+$I$59*$B101+$I$60*S$83*$B101+$I$61*S$83^2+$I$62*$B101^2</f>
        <v>45.2851206140351</v>
      </c>
      <c r="T101" s="15" t="n">
        <f aca="false">$I$57+$I$58*T$83+$I$59*$B101+$I$60*T$83*$B101+$I$61*T$83^2+$I$62*$B101^2</f>
        <v>45.044956871345</v>
      </c>
      <c r="U101" s="15" t="n">
        <f aca="false">$I$57+$I$58*U$83+$I$59*$B101+$I$60*U$83*$B101+$I$61*U$83^2+$I$62*$B101^2</f>
        <v>44.753144005848</v>
      </c>
      <c r="V101" s="15" t="n">
        <f aca="false">$I$57+$I$58*V$83+$I$59*$B101+$I$60*V$83*$B101+$I$61*V$83^2+$I$62*$B101^2</f>
        <v>44.4096820175439</v>
      </c>
      <c r="W101" s="15" t="n">
        <f aca="false">$I$57+$I$58*W$83+$I$59*$B101+$I$60*W$83*$B101+$I$61*W$83^2+$I$62*$B101^2</f>
        <v>44.0145709064328</v>
      </c>
    </row>
    <row r="102" customFormat="false" ht="15" hidden="false" customHeight="false" outlineLevel="0" collapsed="false">
      <c r="B102" s="39" t="n">
        <v>-0.8</v>
      </c>
      <c r="C102" s="15" t="n">
        <f aca="false">$I$57+$I$58*C$83+$I$59*$B102+$I$60*C$83*$B102+$I$61*C$83^2+$I$62*$B102^2</f>
        <v>41.6141469298246</v>
      </c>
      <c r="D102" s="15" t="n">
        <f aca="false">$I$57+$I$58*D$83+$I$59*$B102+$I$60*D$83*$B102+$I$61*D$83^2+$I$62*$B102^2</f>
        <v>42.1891191520468</v>
      </c>
      <c r="E102" s="15" t="n">
        <f aca="false">$I$57+$I$58*E$83+$I$59*$B102+$I$60*E$83*$B102+$I$61*E$83^2+$I$62*$B102^2</f>
        <v>42.712442251462</v>
      </c>
      <c r="F102" s="15" t="n">
        <f aca="false">$I$57+$I$58*F$83+$I$59*$B102+$I$60*F$83*$B102+$I$61*F$83^2+$I$62*$B102^2</f>
        <v>43.1841162280702</v>
      </c>
      <c r="G102" s="15" t="n">
        <f aca="false">$I$57+$I$58*G$83+$I$59*$B102+$I$60*G$83*$B102+$I$61*G$83^2+$I$62*$B102^2</f>
        <v>43.6041410818713</v>
      </c>
      <c r="H102" s="15" t="n">
        <f aca="false">$I$57+$I$58*H$83+$I$59*$B102+$I$60*H$83*$B102+$I$61*H$83^2+$I$62*$B102^2</f>
        <v>43.9725168128655</v>
      </c>
      <c r="I102" s="15" t="n">
        <f aca="false">$I$57+$I$58*I$83+$I$59*$B102+$I$60*I$83*$B102+$I$61*I$83^2+$I$62*$B102^2</f>
        <v>44.2892434210526</v>
      </c>
      <c r="J102" s="15" t="n">
        <f aca="false">$I$57+$I$58*J$83+$I$59*$B102+$I$60*J$83*$B102+$I$61*J$83^2+$I$62*$B102^2</f>
        <v>44.5543209064327</v>
      </c>
      <c r="K102" s="15" t="n">
        <f aca="false">$I$57+$I$58*K$83+$I$59*$B102+$I$60*K$83*$B102+$I$61*K$83^2+$I$62*$B102^2</f>
        <v>44.7677492690058</v>
      </c>
      <c r="L102" s="15" t="n">
        <f aca="false">$I$57+$I$58*L$83+$I$59*$B102+$I$60*L$83*$B102+$I$61*L$83^2+$I$62*$B102^2</f>
        <v>44.9295285087719</v>
      </c>
      <c r="M102" s="15" t="n">
        <f aca="false">$I$57+$I$58*M$83+$I$59*$B102+$I$60*M$83*$B102+$I$61*M$83^2+$I$62*$B102^2</f>
        <v>45.0396586257309</v>
      </c>
      <c r="N102" s="15" t="n">
        <f aca="false">$I$57+$I$58*N$83+$I$59*$B102+$I$60*N$83*$B102+$I$61*N$83^2+$I$62*$B102^2</f>
        <v>45.098139619883</v>
      </c>
      <c r="O102" s="15" t="n">
        <f aca="false">$I$57+$I$58*O$83+$I$59*$B102+$I$60*O$83*$B102+$I$61*O$83^2+$I$62*$B102^2</f>
        <v>45.104971491228</v>
      </c>
      <c r="P102" s="15" t="n">
        <f aca="false">$I$57+$I$58*P$83+$I$59*$B102+$I$60*P$83*$B102+$I$61*P$83^2+$I$62*$B102^2</f>
        <v>45.060154239766</v>
      </c>
      <c r="Q102" s="15" t="n">
        <f aca="false">$I$57+$I$58*Q$83+$I$59*$B102+$I$60*Q$83*$B102+$I$61*Q$83^2+$I$62*$B102^2</f>
        <v>44.963687865497</v>
      </c>
      <c r="R102" s="15" t="n">
        <f aca="false">$I$57+$I$58*R$83+$I$59*$B102+$I$60*R$83*$B102+$I$61*R$83^2+$I$62*$B102^2</f>
        <v>44.815572368421</v>
      </c>
      <c r="S102" s="15" t="n">
        <f aca="false">$I$57+$I$58*S$83+$I$59*$B102+$I$60*S$83*$B102+$I$61*S$83^2+$I$62*$B102^2</f>
        <v>44.615807748538</v>
      </c>
      <c r="T102" s="15" t="n">
        <f aca="false">$I$57+$I$58*T$83+$I$59*$B102+$I$60*T$83*$B102+$I$61*T$83^2+$I$62*$B102^2</f>
        <v>44.364394005848</v>
      </c>
      <c r="U102" s="15" t="n">
        <f aca="false">$I$57+$I$58*U$83+$I$59*$B102+$I$60*U$83*$B102+$I$61*U$83^2+$I$62*$B102^2</f>
        <v>44.0613311403509</v>
      </c>
      <c r="V102" s="15" t="n">
        <f aca="false">$I$57+$I$58*V$83+$I$59*$B102+$I$60*V$83*$B102+$I$61*V$83^2+$I$62*$B102^2</f>
        <v>43.7066191520468</v>
      </c>
      <c r="W102" s="15" t="n">
        <f aca="false">$I$57+$I$58*W$83+$I$59*$B102+$I$60*W$83*$B102+$I$61*W$83^2+$I$62*$B102^2</f>
        <v>43.3002580409357</v>
      </c>
    </row>
    <row r="103" customFormat="false" ht="15" hidden="false" customHeight="false" outlineLevel="0" collapsed="false">
      <c r="B103" s="39" t="n">
        <v>-0.9</v>
      </c>
      <c r="C103" s="15" t="n">
        <f aca="false">$I$57+$I$58*C$83+$I$59*$B103+$I$60*C$83*$B103+$I$61*C$83^2+$I$62*$B103^2</f>
        <v>41.0731849415205</v>
      </c>
      <c r="D103" s="15" t="n">
        <f aca="false">$I$57+$I$58*D$83+$I$59*$B103+$I$60*D$83*$B103+$I$61*D$83^2+$I$62*$B103^2</f>
        <v>41.6369071637427</v>
      </c>
      <c r="E103" s="15" t="n">
        <f aca="false">$I$57+$I$58*E$83+$I$59*$B103+$I$60*E$83*$B103+$I$61*E$83^2+$I$62*$B103^2</f>
        <v>42.1489802631579</v>
      </c>
      <c r="F103" s="15" t="n">
        <f aca="false">$I$57+$I$58*F$83+$I$59*$B103+$I$60*F$83*$B103+$I$61*F$83^2+$I$62*$B103^2</f>
        <v>42.6094042397661</v>
      </c>
      <c r="G103" s="15" t="n">
        <f aca="false">$I$57+$I$58*G$83+$I$59*$B103+$I$60*G$83*$B103+$I$61*G$83^2+$I$62*$B103^2</f>
        <v>43.0181790935672</v>
      </c>
      <c r="H103" s="15" t="n">
        <f aca="false">$I$57+$I$58*H$83+$I$59*$B103+$I$60*H$83*$B103+$I$61*H$83^2+$I$62*$B103^2</f>
        <v>43.3753048245614</v>
      </c>
      <c r="I103" s="15" t="n">
        <f aca="false">$I$57+$I$58*I$83+$I$59*$B103+$I$60*I$83*$B103+$I$61*I$83^2+$I$62*$B103^2</f>
        <v>43.6807814327485</v>
      </c>
      <c r="J103" s="15" t="n">
        <f aca="false">$I$57+$I$58*J$83+$I$59*$B103+$I$60*J$83*$B103+$I$61*J$83^2+$I$62*$B103^2</f>
        <v>43.9346089181286</v>
      </c>
      <c r="K103" s="15" t="n">
        <f aca="false">$I$57+$I$58*K$83+$I$59*$B103+$I$60*K$83*$B103+$I$61*K$83^2+$I$62*$B103^2</f>
        <v>44.1367872807017</v>
      </c>
      <c r="L103" s="15" t="n">
        <f aca="false">$I$57+$I$58*L$83+$I$59*$B103+$I$60*L$83*$B103+$I$61*L$83^2+$I$62*$B103^2</f>
        <v>44.2873165204678</v>
      </c>
      <c r="M103" s="15" t="n">
        <f aca="false">$I$57+$I$58*M$83+$I$59*$B103+$I$60*M$83*$B103+$I$61*M$83^2+$I$62*$B103^2</f>
        <v>44.3861966374269</v>
      </c>
      <c r="N103" s="15" t="n">
        <f aca="false">$I$57+$I$58*N$83+$I$59*$B103+$I$60*N$83*$B103+$I$61*N$83^2+$I$62*$B103^2</f>
        <v>44.4334276315789</v>
      </c>
      <c r="O103" s="15" t="n">
        <f aca="false">$I$57+$I$58*O$83+$I$59*$B103+$I$60*O$83*$B103+$I$61*O$83^2+$I$62*$B103^2</f>
        <v>44.4290095029239</v>
      </c>
      <c r="P103" s="15" t="n">
        <f aca="false">$I$57+$I$58*P$83+$I$59*$B103+$I$60*P$83*$B103+$I$61*P$83^2+$I$62*$B103^2</f>
        <v>44.3729422514619</v>
      </c>
      <c r="Q103" s="15" t="n">
        <f aca="false">$I$57+$I$58*Q$83+$I$59*$B103+$I$60*Q$83*$B103+$I$61*Q$83^2+$I$62*$B103^2</f>
        <v>44.265225877193</v>
      </c>
      <c r="R103" s="15" t="n">
        <f aca="false">$I$57+$I$58*R$83+$I$59*$B103+$I$60*R$83*$B103+$I$61*R$83^2+$I$62*$B103^2</f>
        <v>44.1058603801169</v>
      </c>
      <c r="S103" s="15" t="n">
        <f aca="false">$I$57+$I$58*S$83+$I$59*$B103+$I$60*S$83*$B103+$I$61*S$83^2+$I$62*$B103^2</f>
        <v>43.8948457602339</v>
      </c>
      <c r="T103" s="15" t="n">
        <f aca="false">$I$57+$I$58*T$83+$I$59*$B103+$I$60*T$83*$B103+$I$61*T$83^2+$I$62*$B103^2</f>
        <v>43.6321820175439</v>
      </c>
      <c r="U103" s="15" t="n">
        <f aca="false">$I$57+$I$58*U$83+$I$59*$B103+$I$60*U$83*$B103+$I$61*U$83^2+$I$62*$B103^2</f>
        <v>43.3178691520468</v>
      </c>
      <c r="V103" s="15" t="n">
        <f aca="false">$I$57+$I$58*V$83+$I$59*$B103+$I$60*V$83*$B103+$I$61*V$83^2+$I$62*$B103^2</f>
        <v>42.9519071637427</v>
      </c>
      <c r="W103" s="15" t="n">
        <f aca="false">$I$57+$I$58*W$83+$I$59*$B103+$I$60*W$83*$B103+$I$61*W$83^2+$I$62*$B103^2</f>
        <v>42.5342960526316</v>
      </c>
    </row>
    <row r="104" customFormat="false" ht="15" hidden="false" customHeight="false" outlineLevel="0" collapsed="false">
      <c r="B104" s="39" t="n">
        <v>-1</v>
      </c>
      <c r="C104" s="15" t="n">
        <f aca="false">$I$57+$I$58*C$83+$I$59*$B104+$I$60*C$83*$B104+$I$61*C$83^2+$I$62*$B104^2</f>
        <v>40.4805738304094</v>
      </c>
      <c r="D104" s="15" t="n">
        <f aca="false">$I$57+$I$58*D$83+$I$59*$B104+$I$60*D$83*$B104+$I$61*D$83^2+$I$62*$B104^2</f>
        <v>41.0330460526316</v>
      </c>
      <c r="E104" s="15" t="n">
        <f aca="false">$I$57+$I$58*E$83+$I$59*$B104+$I$60*E$83*$B104+$I$61*E$83^2+$I$62*$B104^2</f>
        <v>41.5338691520468</v>
      </c>
      <c r="F104" s="15" t="n">
        <f aca="false">$I$57+$I$58*F$83+$I$59*$B104+$I$60*F$83*$B104+$I$61*F$83^2+$I$62*$B104^2</f>
        <v>41.983043128655</v>
      </c>
      <c r="G104" s="15" t="n">
        <f aca="false">$I$57+$I$58*G$83+$I$59*$B104+$I$60*G$83*$B104+$I$61*G$83^2+$I$62*$B104^2</f>
        <v>42.3805679824561</v>
      </c>
      <c r="H104" s="15" t="n">
        <f aca="false">$I$57+$I$58*H$83+$I$59*$B104+$I$60*H$83*$B104+$I$61*H$83^2+$I$62*$B104^2</f>
        <v>42.7264437134503</v>
      </c>
      <c r="I104" s="15" t="n">
        <f aca="false">$I$57+$I$58*I$83+$I$59*$B104+$I$60*I$83*$B104+$I$61*I$83^2+$I$62*$B104^2</f>
        <v>43.0206703216374</v>
      </c>
      <c r="J104" s="15" t="n">
        <f aca="false">$I$57+$I$58*J$83+$I$59*$B104+$I$60*J$83*$B104+$I$61*J$83^2+$I$62*$B104^2</f>
        <v>43.2632478070175</v>
      </c>
      <c r="K104" s="15" t="n">
        <f aca="false">$I$57+$I$58*K$83+$I$59*$B104+$I$60*K$83*$B104+$I$61*K$83^2+$I$62*$B104^2</f>
        <v>43.4541761695906</v>
      </c>
      <c r="L104" s="15" t="n">
        <f aca="false">$I$57+$I$58*L$83+$I$59*$B104+$I$60*L$83*$B104+$I$61*L$83^2+$I$62*$B104^2</f>
        <v>43.5934554093567</v>
      </c>
      <c r="M104" s="15" t="n">
        <f aca="false">$I$57+$I$58*M$83+$I$59*$B104+$I$60*M$83*$B104+$I$61*M$83^2+$I$62*$B104^2</f>
        <v>43.6810855263157</v>
      </c>
      <c r="N104" s="15" t="n">
        <f aca="false">$I$57+$I$58*N$83+$I$59*$B104+$I$60*N$83*$B104+$I$61*N$83^2+$I$62*$B104^2</f>
        <v>43.7170665204678</v>
      </c>
      <c r="O104" s="15" t="n">
        <f aca="false">$I$57+$I$58*O$83+$I$59*$B104+$I$60*O$83*$B104+$I$61*O$83^2+$I$62*$B104^2</f>
        <v>43.7013983918128</v>
      </c>
      <c r="P104" s="15" t="n">
        <f aca="false">$I$57+$I$58*P$83+$I$59*$B104+$I$60*P$83*$B104+$I$61*P$83^2+$I$62*$B104^2</f>
        <v>43.6340811403508</v>
      </c>
      <c r="Q104" s="15" t="n">
        <f aca="false">$I$57+$I$58*Q$83+$I$59*$B104+$I$60*Q$83*$B104+$I$61*Q$83^2+$I$62*$B104^2</f>
        <v>43.5151147660818</v>
      </c>
      <c r="R104" s="15" t="n">
        <f aca="false">$I$57+$I$58*R$83+$I$59*$B104+$I$60*R$83*$B104+$I$61*R$83^2+$I$62*$B104^2</f>
        <v>43.3444992690058</v>
      </c>
      <c r="S104" s="15" t="n">
        <f aca="false">$I$57+$I$58*S$83+$I$59*$B104+$I$60*S$83*$B104+$I$61*S$83^2+$I$62*$B104^2</f>
        <v>43.1222346491228</v>
      </c>
      <c r="T104" s="15" t="n">
        <f aca="false">$I$57+$I$58*T$83+$I$59*$B104+$I$60*T$83*$B104+$I$61*T$83^2+$I$62*$B104^2</f>
        <v>42.8483209064327</v>
      </c>
      <c r="U104" s="15" t="n">
        <f aca="false">$I$57+$I$58*U$83+$I$59*$B104+$I$60*U$83*$B104+$I$61*U$83^2+$I$62*$B104^2</f>
        <v>42.5227580409357</v>
      </c>
      <c r="V104" s="15" t="n">
        <f aca="false">$I$57+$I$58*V$83+$I$59*$B104+$I$60*V$83*$B104+$I$61*V$83^2+$I$62*$B104^2</f>
        <v>42.1455460526316</v>
      </c>
      <c r="W104" s="15" t="n">
        <f aca="false">$I$57+$I$58*W$83+$I$59*$B104+$I$60*W$83*$B104+$I$61*W$83^2+$I$62*$B104^2</f>
        <v>41.7166849415205</v>
      </c>
    </row>
    <row r="107" customFormat="false" ht="15" hidden="false" customHeight="false" outlineLevel="0" collapsed="false">
      <c r="A107" s="38" t="s">
        <v>397</v>
      </c>
    </row>
    <row r="108" customFormat="false" ht="15" hidden="false" customHeight="false" outlineLevel="0" collapsed="false">
      <c r="C108" s="39" t="n">
        <v>-1</v>
      </c>
      <c r="D108" s="39" t="n">
        <v>-0.9</v>
      </c>
      <c r="E108" s="39" t="n">
        <v>-0.8</v>
      </c>
      <c r="F108" s="39" t="n">
        <v>-0.7</v>
      </c>
      <c r="G108" s="39" t="n">
        <v>-0.6</v>
      </c>
      <c r="H108" s="39" t="n">
        <v>-0.5</v>
      </c>
      <c r="I108" s="39" t="n">
        <v>-0.4</v>
      </c>
      <c r="J108" s="39" t="n">
        <v>-0.3</v>
      </c>
      <c r="K108" s="39" t="n">
        <v>-0.2</v>
      </c>
      <c r="L108" s="39" t="n">
        <v>-0.1</v>
      </c>
      <c r="M108" s="39" t="n">
        <v>0</v>
      </c>
      <c r="N108" s="39" t="n">
        <v>0.1</v>
      </c>
      <c r="O108" s="39" t="n">
        <v>0.2</v>
      </c>
      <c r="P108" s="39" t="n">
        <v>0.3</v>
      </c>
      <c r="Q108" s="39" t="n">
        <v>0.4</v>
      </c>
      <c r="R108" s="39" t="n">
        <v>0.5</v>
      </c>
      <c r="S108" s="39" t="n">
        <v>0.6</v>
      </c>
      <c r="T108" s="39" t="n">
        <v>0.7</v>
      </c>
      <c r="U108" s="39" t="n">
        <v>0.8</v>
      </c>
      <c r="V108" s="39" t="n">
        <v>0.9</v>
      </c>
      <c r="W108" s="39" t="n">
        <v>1</v>
      </c>
    </row>
    <row r="109" customFormat="false" ht="15" hidden="false" customHeight="false" outlineLevel="0" collapsed="false">
      <c r="B109" s="39" t="n">
        <v>1</v>
      </c>
      <c r="C109" s="30" t="n">
        <f aca="false">$D$66+$D$67*$B109^1+$D$68*$B109^2+$D$69*$B109^3+$D$70*$B109^4+$D$71*C$108^1+$D$72*C$108^1*$B109^1+$D$73*C$108^1*$B109^2+$D$74*C$108^1*$B109^3+$D$75*C$108^2+$D$76*C$108^2*$B109^1+$D$77*C$108^2*$B109^2+$D$78*C$108^3+$D$79*C$108^3*$B109^1+$D$80*C$108^4</f>
        <v>0.582488121345029</v>
      </c>
      <c r="D109" s="30" t="n">
        <f aca="false">$D$66+$D$67*$B109^1+$D$68*$B109^2+$D$69*$B109^3+$D$70*$B109^4+$D$71*D$108^1+$D$72*D$108^1*$B109^1+$D$73*D$108^1*$B109^2+$D$74*D$108^1*$B109^3+$D$75*D$108^2+$D$76*D$108^2*$B109^1+$D$77*D$108^2*$B109^2+$D$78*D$108^3+$D$79*D$108^3*$B109^1+$D$80*D$108^4</f>
        <v>0.49638673245614</v>
      </c>
      <c r="E109" s="30" t="n">
        <f aca="false">$D$66+$D$67*$B109^1+$D$68*$B109^2+$D$69*$B109^3+$D$70*$B109^4+$D$71*E$108^1+$D$72*E$108^1*$B109^1+$D$73*E$108^1*$B109^2+$D$74*E$108^1*$B109^3+$D$75*E$108^2+$D$76*E$108^2*$B109^1+$D$77*E$108^2*$B109^2+$D$78*E$108^3+$D$79*E$108^3*$B109^1+$D$80*E$108^4</f>
        <v>0.442969700292398</v>
      </c>
      <c r="F109" s="30" t="n">
        <f aca="false">$D$66+$D$67*$B109^1+$D$68*$B109^2+$D$69*$B109^3+$D$70*$B109^4+$D$71*F$108^1+$D$72*F$108^1*$B109^1+$D$73*F$108^1*$B109^2+$D$74*F$108^1*$B109^3+$D$75*F$108^2+$D$76*F$108^2*$B109^1+$D$77*F$108^2*$B109^2+$D$78*F$108^3+$D$79*F$108^3*$B109^1+$D$80*F$108^4</f>
        <v>0.414363340643275</v>
      </c>
      <c r="G109" s="30" t="n">
        <f aca="false">$D$66+$D$67*$B109^1+$D$68*$B109^2+$D$69*$B109^3+$D$70*$B109^4+$D$71*G$108^1+$D$72*G$108^1*$B109^1+$D$73*G$108^1*$B109^2+$D$74*G$108^1*$B109^3+$D$75*G$108^2+$D$76*G$108^2*$B109^1+$D$77*G$108^2*$B109^2+$D$78*G$108^3+$D$79*G$108^3*$B109^1+$D$80*G$108^4</f>
        <v>0.403620285087719</v>
      </c>
      <c r="H109" s="30" t="n">
        <f aca="false">$D$66+$D$67*$B109^1+$D$68*$B109^2+$D$69*$B109^3+$D$70*$B109^4+$D$71*H$108^1+$D$72*H$108^1*$B109^1+$D$73*H$108^1*$B109^2+$D$74*H$108^1*$B109^3+$D$75*H$108^2+$D$76*H$108^2*$B109^1+$D$77*H$108^2*$B109^2+$D$78*H$108^3+$D$79*H$108^3*$B109^1+$D$80*H$108^4</f>
        <v>0.404719480994152</v>
      </c>
      <c r="I109" s="30" t="n">
        <f aca="false">$D$66+$D$67*$B109^1+$D$68*$B109^2+$D$69*$B109^3+$D$70*$B109^4+$D$71*I$108^1+$D$72*I$108^1*$B109^1+$D$73*I$108^1*$B109^2+$D$74*I$108^1*$B109^3+$D$75*I$108^2+$D$76*I$108^2*$B109^1+$D$77*I$108^2*$B109^2+$D$78*I$108^3+$D$79*I$108^3*$B109^1+$D$80*I$108^4</f>
        <v>0.412566191520468</v>
      </c>
      <c r="J109" s="30" t="n">
        <f aca="false">$D$66+$D$67*$B109^1+$D$68*$B109^2+$D$69*$B109^3+$D$70*$B109^4+$D$71*J$108^1+$D$72*J$108^1*$B109^1+$D$73*J$108^1*$B109^2+$D$74*J$108^1*$B109^3+$D$75*J$108^2+$D$76*J$108^2*$B109^1+$D$77*J$108^2*$B109^2+$D$78*J$108^3+$D$79*J$108^3*$B109^1+$D$80*J$108^4</f>
        <v>0.422991995614035</v>
      </c>
      <c r="K109" s="30" t="n">
        <f aca="false">$D$66+$D$67*$B109^1+$D$68*$B109^2+$D$69*$B109^3+$D$70*$B109^4+$D$71*K$108^1+$D$72*K$108^1*$B109^1+$D$73*K$108^1*$B109^2+$D$74*K$108^1*$B109^3+$D$75*K$108^2+$D$76*K$108^2*$B109^1+$D$77*K$108^2*$B109^2+$D$78*K$108^3+$D$79*K$108^3*$B109^1+$D$80*K$108^4</f>
        <v>0.432754788011696</v>
      </c>
      <c r="L109" s="30" t="n">
        <f aca="false">$D$66+$D$67*$B109^1+$D$68*$B109^2+$D$69*$B109^3+$D$70*$B109^4+$D$71*L$108^1+$D$72*L$108^1*$B109^1+$D$73*L$108^1*$B109^2+$D$74*L$108^1*$B109^3+$D$75*L$108^2+$D$76*L$108^2*$B109^1+$D$77*L$108^2*$B109^2+$D$78*L$108^3+$D$79*L$108^3*$B109^1+$D$80*L$108^4</f>
        <v>0.439538779239766</v>
      </c>
      <c r="M109" s="30" t="n">
        <f aca="false">$D$66+$D$67*$B109^1+$D$68*$B109^2+$D$69*$B109^3+$D$70*$B109^4+$D$71*M$108^1+$D$72*M$108^1*$B109^1+$D$73*M$108^1*$B109^2+$D$74*M$108^1*$B109^3+$D$75*M$108^2+$D$76*M$108^2*$B109^1+$D$77*M$108^2*$B109^2+$D$78*M$108^3+$D$79*M$108^3*$B109^1+$D$80*M$108^4</f>
        <v>0.441954495614035</v>
      </c>
      <c r="N109" s="30" t="n">
        <f aca="false">$D$66+$D$67*$B109^1+$D$68*$B109^2+$D$69*$B109^3+$D$70*$B109^4+$D$71*N$108^1+$D$72*N$108^1*$B109^1+$D$73*N$108^1*$B109^2+$D$74*N$108^1*$B109^3+$D$75*N$108^2+$D$76*N$108^2*$B109^1+$D$77*N$108^2*$B109^2+$D$78*N$108^3+$D$79*N$108^3*$B109^1+$D$80*N$108^4</f>
        <v>0.439538779239766</v>
      </c>
      <c r="O109" s="30" t="n">
        <f aca="false">$D$66+$D$67*$B109^1+$D$68*$B109^2+$D$69*$B109^3+$D$70*$B109^4+$D$71*O$108^1+$D$72*O$108^1*$B109^1+$D$73*O$108^1*$B109^2+$D$74*O$108^1*$B109^3+$D$75*O$108^2+$D$76*O$108^2*$B109^1+$D$77*O$108^2*$B109^2+$D$78*O$108^3+$D$79*O$108^3*$B109^1+$D$80*O$108^4</f>
        <v>0.432754788011696</v>
      </c>
      <c r="P109" s="30" t="n">
        <f aca="false">$D$66+$D$67*$B109^1+$D$68*$B109^2+$D$69*$B109^3+$D$70*$B109^4+$D$71*P$108^1+$D$72*P$108^1*$B109^1+$D$73*P$108^1*$B109^2+$D$74*P$108^1*$B109^3+$D$75*P$108^2+$D$76*P$108^2*$B109^1+$D$77*P$108^2*$B109^2+$D$78*P$108^3+$D$79*P$108^3*$B109^1+$D$80*P$108^4</f>
        <v>0.422991995614035</v>
      </c>
      <c r="Q109" s="30" t="n">
        <f aca="false">$D$66+$D$67*$B109^1+$D$68*$B109^2+$D$69*$B109^3+$D$70*$B109^4+$D$71*Q$108^1+$D$72*Q$108^1*$B109^1+$D$73*Q$108^1*$B109^2+$D$74*Q$108^1*$B109^3+$D$75*Q$108^2+$D$76*Q$108^2*$B109^1+$D$77*Q$108^2*$B109^2+$D$78*Q$108^3+$D$79*Q$108^3*$B109^1+$D$80*Q$108^4</f>
        <v>0.412566191520468</v>
      </c>
      <c r="R109" s="30" t="n">
        <f aca="false">$D$66+$D$67*$B109^1+$D$68*$B109^2+$D$69*$B109^3+$D$70*$B109^4+$D$71*R$108^1+$D$72*R$108^1*$B109^1+$D$73*R$108^1*$B109^2+$D$74*R$108^1*$B109^3+$D$75*R$108^2+$D$76*R$108^2*$B109^1+$D$77*R$108^2*$B109^2+$D$78*R$108^3+$D$79*R$108^3*$B109^1+$D$80*R$108^4</f>
        <v>0.404719480994152</v>
      </c>
      <c r="S109" s="30" t="n">
        <f aca="false">$D$66+$D$67*$B109^1+$D$68*$B109^2+$D$69*$B109^3+$D$70*$B109^4+$D$71*S$108^1+$D$72*S$108^1*$B109^1+$D$73*S$108^1*$B109^2+$D$74*S$108^1*$B109^3+$D$75*S$108^2+$D$76*S$108^2*$B109^1+$D$77*S$108^2*$B109^2+$D$78*S$108^3+$D$79*S$108^3*$B109^1+$D$80*S$108^4</f>
        <v>0.403620285087719</v>
      </c>
      <c r="T109" s="30" t="n">
        <f aca="false">$D$66+$D$67*$B109^1+$D$68*$B109^2+$D$69*$B109^3+$D$70*$B109^4+$D$71*T$108^1+$D$72*T$108^1*$B109^1+$D$73*T$108^1*$B109^2+$D$74*T$108^1*$B109^3+$D$75*T$108^2+$D$76*T$108^2*$B109^1+$D$77*T$108^2*$B109^2+$D$78*T$108^3+$D$79*T$108^3*$B109^1+$D$80*T$108^4</f>
        <v>0.414363340643275</v>
      </c>
      <c r="U109" s="30" t="n">
        <f aca="false">$D$66+$D$67*$B109^1+$D$68*$B109^2+$D$69*$B109^3+$D$70*$B109^4+$D$71*U$108^1+$D$72*U$108^1*$B109^1+$D$73*U$108^1*$B109^2+$D$74*U$108^1*$B109^3+$D$75*U$108^2+$D$76*U$108^2*$B109^1+$D$77*U$108^2*$B109^2+$D$78*U$108^3+$D$79*U$108^3*$B109^1+$D$80*U$108^4</f>
        <v>0.442969700292398</v>
      </c>
      <c r="V109" s="30" t="n">
        <f aca="false">$D$66+$D$67*$B109^1+$D$68*$B109^2+$D$69*$B109^3+$D$70*$B109^4+$D$71*V$108^1+$D$72*V$108^1*$B109^1+$D$73*V$108^1*$B109^2+$D$74*V$108^1*$B109^3+$D$75*V$108^2+$D$76*V$108^2*$B109^1+$D$77*V$108^2*$B109^2+$D$78*V$108^3+$D$79*V$108^3*$B109^1+$D$80*V$108^4</f>
        <v>0.49638673245614</v>
      </c>
      <c r="W109" s="30" t="n">
        <f aca="false">$D$66+$D$67*$B109^1+$D$68*$B109^2+$D$69*$B109^3+$D$70*$B109^4+$D$71*W$108^1+$D$72*W$108^1*$B109^1+$D$73*W$108^1*$B109^2+$D$74*W$108^1*$B109^3+$D$75*W$108^2+$D$76*W$108^2*$B109^1+$D$77*W$108^2*$B109^2+$D$78*W$108^3+$D$79*W$108^3*$B109^1+$D$80*W$108^4</f>
        <v>0.582488121345029</v>
      </c>
    </row>
    <row r="110" customFormat="false" ht="15" hidden="false" customHeight="false" outlineLevel="0" collapsed="false">
      <c r="B110" s="39" t="n">
        <v>0.9</v>
      </c>
      <c r="C110" s="30" t="n">
        <f aca="false">$D$66+$D$67*$B110^1+$D$68*$B110^2+$D$69*$B110^3+$D$70*$B110^4+$D$71*C$108^1+$D$72*C$108^1*$B110^1+$D$73*C$108^1*$B110^2+$D$74*C$108^1*$B110^3+$D$75*C$108^2+$D$76*C$108^2*$B110^1+$D$77*C$108^2*$B110^2+$D$78*C$108^3+$D$79*C$108^3*$B110^1+$D$80*C$108^4</f>
        <v>0.49638673245614</v>
      </c>
      <c r="D110" s="30" t="n">
        <f aca="false">$D$66+$D$67*$B110^1+$D$68*$B110^2+$D$69*$B110^3+$D$70*$B110^4+$D$71*D$108^1+$D$72*D$108^1*$B110^1+$D$73*D$108^1*$B110^2+$D$74*D$108^1*$B110^3+$D$75*D$108^2+$D$76*D$108^2*$B110^1+$D$77*D$108^2*$B110^2+$D$78*D$108^3+$D$79*D$108^3*$B110^1+$D$80*D$108^4</f>
        <v>0.404308260233918</v>
      </c>
      <c r="E110" s="30" t="n">
        <f aca="false">$D$66+$D$67*$B110^1+$D$68*$B110^2+$D$69*$B110^3+$D$70*$B110^4+$D$71*E$108^1+$D$72*E$108^1*$B110^1+$D$73*E$108^1*$B110^2+$D$74*E$108^1*$B110^3+$D$75*E$108^2+$D$76*E$108^2*$B110^1+$D$77*E$108^2*$B110^2+$D$78*E$108^3+$D$79*E$108^3*$B110^1+$D$80*E$108^4</f>
        <v>0.345543311403509</v>
      </c>
      <c r="F110" s="30" t="n">
        <f aca="false">$D$66+$D$67*$B110^1+$D$68*$B110^2+$D$69*$B110^3+$D$70*$B110^4+$D$71*F$108^1+$D$72*F$108^1*$B110^1+$D$73*F$108^1*$B110^2+$D$74*F$108^1*$B110^3+$D$75*F$108^2+$D$76*F$108^2*$B110^1+$D$77*F$108^2*$B110^2+$D$78*F$108^3+$D$79*F$108^3*$B110^1+$D$80*F$108^4</f>
        <v>0.312218201754386</v>
      </c>
      <c r="G110" s="30" t="n">
        <f aca="false">$D$66+$D$67*$B110^1+$D$68*$B110^2+$D$69*$B110^3+$D$70*$B110^4+$D$71*G$108^1+$D$72*G$108^1*$B110^1+$D$73*G$108^1*$B110^2+$D$74*G$108^1*$B110^3+$D$75*G$108^2+$D$76*G$108^2*$B110^1+$D$77*G$108^2*$B110^2+$D$78*G$108^3+$D$79*G$108^3*$B110^1+$D$80*G$108^4</f>
        <v>0.297385562865497</v>
      </c>
      <c r="H110" s="30" t="n">
        <f aca="false">$D$66+$D$67*$B110^1+$D$68*$B110^2+$D$69*$B110^3+$D$70*$B110^4+$D$71*H$108^1+$D$72*H$108^1*$B110^1+$D$73*H$108^1*$B110^2+$D$74*H$108^1*$B110^3+$D$75*H$108^2+$D$76*H$108^2*$B110^1+$D$77*H$108^2*$B110^2+$D$78*H$108^3+$D$79*H$108^3*$B110^1+$D$80*H$108^4</f>
        <v>0.295024342105263</v>
      </c>
      <c r="I110" s="30" t="n">
        <f aca="false">$D$66+$D$67*$B110^1+$D$68*$B110^2+$D$69*$B110^3+$D$70*$B110^4+$D$71*I$108^1+$D$72*I$108^1*$B110^1+$D$73*I$108^1*$B110^2+$D$74*I$108^1*$B110^3+$D$75*I$108^2+$D$76*I$108^2*$B110^1+$D$77*I$108^2*$B110^2+$D$78*I$108^3+$D$79*I$108^3*$B110^1+$D$80*I$108^4</f>
        <v>0.300039802631579</v>
      </c>
      <c r="J110" s="30" t="n">
        <f aca="false">$D$66+$D$67*$B110^1+$D$68*$B110^2+$D$69*$B110^3+$D$70*$B110^4+$D$71*J$108^1+$D$72*J$108^1*$B110^1+$D$73*J$108^1*$B110^2+$D$74*J$108^1*$B110^3+$D$75*J$108^2+$D$76*J$108^2*$B110^1+$D$77*J$108^2*$B110^2+$D$78*J$108^3+$D$79*J$108^3*$B110^1+$D$80*J$108^4</f>
        <v>0.308263523391813</v>
      </c>
      <c r="K110" s="30" t="n">
        <f aca="false">$D$66+$D$67*$B110^1+$D$68*$B110^2+$D$69*$B110^3+$D$70*$B110^4+$D$71*K$108^1+$D$72*K$108^1*$B110^1+$D$73*K$108^1*$B110^2+$D$74*K$108^1*$B110^3+$D$75*K$108^2+$D$76*K$108^2*$B110^1+$D$77*K$108^2*$B110^2+$D$78*K$108^3+$D$79*K$108^3*$B110^1+$D$80*K$108^4</f>
        <v>0.316453399122807</v>
      </c>
      <c r="L110" s="30" t="n">
        <f aca="false">$D$66+$D$67*$B110^1+$D$68*$B110^2+$D$69*$B110^3+$D$70*$B110^4+$D$71*L$108^1+$D$72*L$108^1*$B110^1+$D$73*L$108^1*$B110^2+$D$74*L$108^1*$B110^3+$D$75*L$108^2+$D$76*L$108^2*$B110^1+$D$77*L$108^2*$B110^2+$D$78*L$108^3+$D$79*L$108^3*$B110^1+$D$80*L$108^4</f>
        <v>0.322293640350877</v>
      </c>
      <c r="M110" s="30" t="n">
        <f aca="false">$D$66+$D$67*$B110^1+$D$68*$B110^2+$D$69*$B110^3+$D$70*$B110^4+$D$71*M$108^1+$D$72*M$108^1*$B110^1+$D$73*M$108^1*$B110^2+$D$74*M$108^1*$B110^3+$D$75*M$108^2+$D$76*M$108^2*$B110^1+$D$77*M$108^2*$B110^2+$D$78*M$108^3+$D$79*M$108^3*$B110^1+$D$80*M$108^4</f>
        <v>0.324394773391813</v>
      </c>
      <c r="N110" s="30" t="n">
        <f aca="false">$D$66+$D$67*$B110^1+$D$68*$B110^2+$D$69*$B110^3+$D$70*$B110^4+$D$71*N$108^1+$D$72*N$108^1*$B110^1+$D$73*N$108^1*$B110^2+$D$74*N$108^1*$B110^3+$D$75*N$108^2+$D$76*N$108^2*$B110^1+$D$77*N$108^2*$B110^2+$D$78*N$108^3+$D$79*N$108^3*$B110^1+$D$80*N$108^4</f>
        <v>0.322293640350877</v>
      </c>
      <c r="O110" s="30" t="n">
        <f aca="false">$D$66+$D$67*$B110^1+$D$68*$B110^2+$D$69*$B110^3+$D$70*$B110^4+$D$71*O$108^1+$D$72*O$108^1*$B110^1+$D$73*O$108^1*$B110^2+$D$74*O$108^1*$B110^3+$D$75*O$108^2+$D$76*O$108^2*$B110^1+$D$77*O$108^2*$B110^2+$D$78*O$108^3+$D$79*O$108^3*$B110^1+$D$80*O$108^4</f>
        <v>0.316453399122807</v>
      </c>
      <c r="P110" s="30" t="n">
        <f aca="false">$D$66+$D$67*$B110^1+$D$68*$B110^2+$D$69*$B110^3+$D$70*$B110^4+$D$71*P$108^1+$D$72*P$108^1*$B110^1+$D$73*P$108^1*$B110^2+$D$74*P$108^1*$B110^3+$D$75*P$108^2+$D$76*P$108^2*$B110^1+$D$77*P$108^2*$B110^2+$D$78*P$108^3+$D$79*P$108^3*$B110^1+$D$80*P$108^4</f>
        <v>0.308263523391813</v>
      </c>
      <c r="Q110" s="30" t="n">
        <f aca="false">$D$66+$D$67*$B110^1+$D$68*$B110^2+$D$69*$B110^3+$D$70*$B110^4+$D$71*Q$108^1+$D$72*Q$108^1*$B110^1+$D$73*Q$108^1*$B110^2+$D$74*Q$108^1*$B110^3+$D$75*Q$108^2+$D$76*Q$108^2*$B110^1+$D$77*Q$108^2*$B110^2+$D$78*Q$108^3+$D$79*Q$108^3*$B110^1+$D$80*Q$108^4</f>
        <v>0.300039802631579</v>
      </c>
      <c r="R110" s="30" t="n">
        <f aca="false">$D$66+$D$67*$B110^1+$D$68*$B110^2+$D$69*$B110^3+$D$70*$B110^4+$D$71*R$108^1+$D$72*R$108^1*$B110^1+$D$73*R$108^1*$B110^2+$D$74*R$108^1*$B110^3+$D$75*R$108^2+$D$76*R$108^2*$B110^1+$D$77*R$108^2*$B110^2+$D$78*R$108^3+$D$79*R$108^3*$B110^1+$D$80*R$108^4</f>
        <v>0.295024342105263</v>
      </c>
      <c r="S110" s="30" t="n">
        <f aca="false">$D$66+$D$67*$B110^1+$D$68*$B110^2+$D$69*$B110^3+$D$70*$B110^4+$D$71*S$108^1+$D$72*S$108^1*$B110^1+$D$73*S$108^1*$B110^2+$D$74*S$108^1*$B110^3+$D$75*S$108^2+$D$76*S$108^2*$B110^1+$D$77*S$108^2*$B110^2+$D$78*S$108^3+$D$79*S$108^3*$B110^1+$D$80*S$108^4</f>
        <v>0.297385562865497</v>
      </c>
      <c r="T110" s="30" t="n">
        <f aca="false">$D$66+$D$67*$B110^1+$D$68*$B110^2+$D$69*$B110^3+$D$70*$B110^4+$D$71*T$108^1+$D$72*T$108^1*$B110^1+$D$73*T$108^1*$B110^2+$D$74*T$108^1*$B110^3+$D$75*T$108^2+$D$76*T$108^2*$B110^1+$D$77*T$108^2*$B110^2+$D$78*T$108^3+$D$79*T$108^3*$B110^1+$D$80*T$108^4</f>
        <v>0.312218201754386</v>
      </c>
      <c r="U110" s="30" t="n">
        <f aca="false">$D$66+$D$67*$B110^1+$D$68*$B110^2+$D$69*$B110^3+$D$70*$B110^4+$D$71*U$108^1+$D$72*U$108^1*$B110^1+$D$73*U$108^1*$B110^2+$D$74*U$108^1*$B110^3+$D$75*U$108^2+$D$76*U$108^2*$B110^1+$D$77*U$108^2*$B110^2+$D$78*U$108^3+$D$79*U$108^3*$B110^1+$D$80*U$108^4</f>
        <v>0.345543311403509</v>
      </c>
      <c r="V110" s="30" t="n">
        <f aca="false">$D$66+$D$67*$B110^1+$D$68*$B110^2+$D$69*$B110^3+$D$70*$B110^4+$D$71*V$108^1+$D$72*V$108^1*$B110^1+$D$73*V$108^1*$B110^2+$D$74*V$108^1*$B110^3+$D$75*V$108^2+$D$76*V$108^2*$B110^1+$D$77*V$108^2*$B110^2+$D$78*V$108^3+$D$79*V$108^3*$B110^1+$D$80*V$108^4</f>
        <v>0.404308260233918</v>
      </c>
      <c r="W110" s="30" t="n">
        <f aca="false">$D$66+$D$67*$B110^1+$D$68*$B110^2+$D$69*$B110^3+$D$70*$B110^4+$D$71*W$108^1+$D$72*W$108^1*$B110^1+$D$73*W$108^1*$B110^2+$D$74*W$108^1*$B110^3+$D$75*W$108^2+$D$76*W$108^2*$B110^1+$D$77*W$108^2*$B110^2+$D$78*W$108^3+$D$79*W$108^3*$B110^1+$D$80*W$108^4</f>
        <v>0.49638673245614</v>
      </c>
    </row>
    <row r="111" customFormat="false" ht="15" hidden="false" customHeight="false" outlineLevel="0" collapsed="false">
      <c r="B111" s="39" t="n">
        <v>0.8</v>
      </c>
      <c r="C111" s="30" t="n">
        <f aca="false">$D$66+$D$67*$B111^1+$D$68*$B111^2+$D$69*$B111^3+$D$70*$B111^4+$D$71*C$108^1+$D$72*C$108^1*$B111^1+$D$73*C$108^1*$B111^2+$D$74*C$108^1*$B111^3+$D$75*C$108^2+$D$76*C$108^2*$B111^1+$D$77*C$108^2*$B111^2+$D$78*C$108^3+$D$79*C$108^3*$B111^1+$D$80*C$108^4</f>
        <v>0.442969700292398</v>
      </c>
      <c r="D111" s="30" t="n">
        <f aca="false">$D$66+$D$67*$B111^1+$D$68*$B111^2+$D$69*$B111^3+$D$70*$B111^4+$D$71*D$108^1+$D$72*D$108^1*$B111^1+$D$73*D$108^1*$B111^2+$D$74*D$108^1*$B111^3+$D$75*D$108^2+$D$76*D$108^2*$B111^1+$D$77*D$108^2*$B111^2+$D$78*D$108^3+$D$79*D$108^3*$B111^1+$D$80*D$108^4</f>
        <v>0.345543311403509</v>
      </c>
      <c r="E111" s="30" t="n">
        <f aca="false">$D$66+$D$67*$B111^1+$D$68*$B111^2+$D$69*$B111^3+$D$70*$B111^4+$D$71*E$108^1+$D$72*E$108^1*$B111^1+$D$73*E$108^1*$B111^2+$D$74*E$108^1*$B111^3+$D$75*E$108^2+$D$76*E$108^2*$B111^1+$D$77*E$108^2*$B111^2+$D$78*E$108^3+$D$79*E$108^3*$B111^1+$D$80*E$108^4</f>
        <v>0.281993384502924</v>
      </c>
      <c r="F111" s="30" t="n">
        <f aca="false">$D$66+$D$67*$B111^1+$D$68*$B111^2+$D$69*$B111^3+$D$70*$B111^4+$D$71*F$108^1+$D$72*F$108^1*$B111^1+$D$73*F$108^1*$B111^2+$D$74*F$108^1*$B111^3+$D$75*F$108^2+$D$76*F$108^2*$B111^1+$D$77*F$108^2*$B111^2+$D$78*F$108^3+$D$79*F$108^3*$B111^1+$D$80*F$108^4</f>
        <v>0.244446235380117</v>
      </c>
      <c r="G111" s="30" t="n">
        <f aca="false">$D$66+$D$67*$B111^1+$D$68*$B111^2+$D$69*$B111^3+$D$70*$B111^4+$D$71*G$108^1+$D$72*G$108^1*$B111^1+$D$73*G$108^1*$B111^2+$D$74*G$108^1*$B111^3+$D$75*G$108^2+$D$76*G$108^2*$B111^1+$D$77*G$108^2*$B111^2+$D$78*G$108^3+$D$79*G$108^3*$B111^1+$D$80*G$108^4</f>
        <v>0.225954495614035</v>
      </c>
      <c r="H111" s="30" t="n">
        <f aca="false">$D$66+$D$67*$B111^1+$D$68*$B111^2+$D$69*$B111^3+$D$70*$B111^4+$D$71*H$108^1+$D$72*H$108^1*$B111^1+$D$73*H$108^1*$B111^2+$D$74*H$108^1*$B111^3+$D$75*H$108^2+$D$76*H$108^2*$B111^1+$D$77*H$108^2*$B111^2+$D$78*H$108^3+$D$79*H$108^3*$B111^1+$D$80*H$108^4</f>
        <v>0.220497112573099</v>
      </c>
      <c r="I111" s="30" t="n">
        <f aca="false">$D$66+$D$67*$B111^1+$D$68*$B111^2+$D$69*$B111^3+$D$70*$B111^4+$D$71*I$108^1+$D$72*I$108^1*$B111^1+$D$73*I$108^1*$B111^2+$D$74*I$108^1*$B111^3+$D$75*I$108^2+$D$76*I$108^2*$B111^1+$D$77*I$108^2*$B111^2+$D$78*I$108^3+$D$79*I$108^3*$B111^1+$D$80*I$108^4</f>
        <v>0.222979349415205</v>
      </c>
      <c r="J111" s="30" t="n">
        <f aca="false">$D$66+$D$67*$B111^1+$D$68*$B111^2+$D$69*$B111^3+$D$70*$B111^4+$D$71*J$108^1+$D$72*J$108^1*$B111^1+$D$73*J$108^1*$B111^2+$D$74*J$108^1*$B111^3+$D$75*J$108^2+$D$76*J$108^2*$B111^1+$D$77*J$108^2*$B111^2+$D$78*J$108^3+$D$79*J$108^3*$B111^1+$D$80*J$108^4</f>
        <v>0.229232785087719</v>
      </c>
      <c r="K111" s="30" t="n">
        <f aca="false">$D$66+$D$67*$B111^1+$D$68*$B111^2+$D$69*$B111^3+$D$70*$B111^4+$D$71*K$108^1+$D$72*K$108^1*$B111^1+$D$73*K$108^1*$B111^2+$D$74*K$108^1*$B111^3+$D$75*K$108^2+$D$76*K$108^2*$B111^1+$D$77*K$108^2*$B111^2+$D$78*K$108^3+$D$79*K$108^3*$B111^1+$D$80*K$108^4</f>
        <v>0.236015314327485</v>
      </c>
      <c r="L111" s="30" t="n">
        <f aca="false">$D$66+$D$67*$B111^1+$D$68*$B111^2+$D$69*$B111^3+$D$70*$B111^4+$D$71*L$108^1+$D$72*L$108^1*$B111^1+$D$73*L$108^1*$B111^2+$D$74*L$108^1*$B111^3+$D$75*L$108^2+$D$76*L$108^2*$B111^1+$D$77*L$108^2*$B111^2+$D$78*L$108^3+$D$79*L$108^3*$B111^1+$D$80*L$108^4</f>
        <v>0.241011147660819</v>
      </c>
      <c r="M111" s="30" t="n">
        <f aca="false">$D$66+$D$67*$B111^1+$D$68*$B111^2+$D$69*$B111^3+$D$70*$B111^4+$D$71*M$108^1+$D$72*M$108^1*$B111^1+$D$73*M$108^1*$B111^2+$D$74*M$108^1*$B111^3+$D$75*M$108^2+$D$76*M$108^2*$B111^1+$D$77*M$108^2*$B111^2+$D$78*M$108^3+$D$79*M$108^3*$B111^1+$D$80*M$108^4</f>
        <v>0.242830811403509</v>
      </c>
      <c r="N111" s="30" t="n">
        <f aca="false">$D$66+$D$67*$B111^1+$D$68*$B111^2+$D$69*$B111^3+$D$70*$B111^4+$D$71*N$108^1+$D$72*N$108^1*$B111^1+$D$73*N$108^1*$B111^2+$D$74*N$108^1*$B111^3+$D$75*N$108^2+$D$76*N$108^2*$B111^1+$D$77*N$108^2*$B111^2+$D$78*N$108^3+$D$79*N$108^3*$B111^1+$D$80*N$108^4</f>
        <v>0.241011147660819</v>
      </c>
      <c r="O111" s="30" t="n">
        <f aca="false">$D$66+$D$67*$B111^1+$D$68*$B111^2+$D$69*$B111^3+$D$70*$B111^4+$D$71*O$108^1+$D$72*O$108^1*$B111^1+$D$73*O$108^1*$B111^2+$D$74*O$108^1*$B111^3+$D$75*O$108^2+$D$76*O$108^2*$B111^1+$D$77*O$108^2*$B111^2+$D$78*O$108^3+$D$79*O$108^3*$B111^1+$D$80*O$108^4</f>
        <v>0.236015314327485</v>
      </c>
      <c r="P111" s="30" t="n">
        <f aca="false">$D$66+$D$67*$B111^1+$D$68*$B111^2+$D$69*$B111^3+$D$70*$B111^4+$D$71*P$108^1+$D$72*P$108^1*$B111^1+$D$73*P$108^1*$B111^2+$D$74*P$108^1*$B111^3+$D$75*P$108^2+$D$76*P$108^2*$B111^1+$D$77*P$108^2*$B111^2+$D$78*P$108^3+$D$79*P$108^3*$B111^1+$D$80*P$108^4</f>
        <v>0.229232785087719</v>
      </c>
      <c r="Q111" s="30" t="n">
        <f aca="false">$D$66+$D$67*$B111^1+$D$68*$B111^2+$D$69*$B111^3+$D$70*$B111^4+$D$71*Q$108^1+$D$72*Q$108^1*$B111^1+$D$73*Q$108^1*$B111^2+$D$74*Q$108^1*$B111^3+$D$75*Q$108^2+$D$76*Q$108^2*$B111^1+$D$77*Q$108^2*$B111^2+$D$78*Q$108^3+$D$79*Q$108^3*$B111^1+$D$80*Q$108^4</f>
        <v>0.222979349415205</v>
      </c>
      <c r="R111" s="30" t="n">
        <f aca="false">$D$66+$D$67*$B111^1+$D$68*$B111^2+$D$69*$B111^3+$D$70*$B111^4+$D$71*R$108^1+$D$72*R$108^1*$B111^1+$D$73*R$108^1*$B111^2+$D$74*R$108^1*$B111^3+$D$75*R$108^2+$D$76*R$108^2*$B111^1+$D$77*R$108^2*$B111^2+$D$78*R$108^3+$D$79*R$108^3*$B111^1+$D$80*R$108^4</f>
        <v>0.220497112573099</v>
      </c>
      <c r="S111" s="30" t="n">
        <f aca="false">$D$66+$D$67*$B111^1+$D$68*$B111^2+$D$69*$B111^3+$D$70*$B111^4+$D$71*S$108^1+$D$72*S$108^1*$B111^1+$D$73*S$108^1*$B111^2+$D$74*S$108^1*$B111^3+$D$75*S$108^2+$D$76*S$108^2*$B111^1+$D$77*S$108^2*$B111^2+$D$78*S$108^3+$D$79*S$108^3*$B111^1+$D$80*S$108^4</f>
        <v>0.225954495614035</v>
      </c>
      <c r="T111" s="30" t="n">
        <f aca="false">$D$66+$D$67*$B111^1+$D$68*$B111^2+$D$69*$B111^3+$D$70*$B111^4+$D$71*T$108^1+$D$72*T$108^1*$B111^1+$D$73*T$108^1*$B111^2+$D$74*T$108^1*$B111^3+$D$75*T$108^2+$D$76*T$108^2*$B111^1+$D$77*T$108^2*$B111^2+$D$78*T$108^3+$D$79*T$108^3*$B111^1+$D$80*T$108^4</f>
        <v>0.244446235380117</v>
      </c>
      <c r="U111" s="30" t="n">
        <f aca="false">$D$66+$D$67*$B111^1+$D$68*$B111^2+$D$69*$B111^3+$D$70*$B111^4+$D$71*U$108^1+$D$72*U$108^1*$B111^1+$D$73*U$108^1*$B111^2+$D$74*U$108^1*$B111^3+$D$75*U$108^2+$D$76*U$108^2*$B111^1+$D$77*U$108^2*$B111^2+$D$78*U$108^3+$D$79*U$108^3*$B111^1+$D$80*U$108^4</f>
        <v>0.281993384502924</v>
      </c>
      <c r="V111" s="30" t="n">
        <f aca="false">$D$66+$D$67*$B111^1+$D$68*$B111^2+$D$69*$B111^3+$D$70*$B111^4+$D$71*V$108^1+$D$72*V$108^1*$B111^1+$D$73*V$108^1*$B111^2+$D$74*V$108^1*$B111^3+$D$75*V$108^2+$D$76*V$108^2*$B111^1+$D$77*V$108^2*$B111^2+$D$78*V$108^3+$D$79*V$108^3*$B111^1+$D$80*V$108^4</f>
        <v>0.345543311403509</v>
      </c>
      <c r="W111" s="30" t="n">
        <f aca="false">$D$66+$D$67*$B111^1+$D$68*$B111^2+$D$69*$B111^3+$D$70*$B111^4+$D$71*W$108^1+$D$72*W$108^1*$B111^1+$D$73*W$108^1*$B111^2+$D$74*W$108^1*$B111^3+$D$75*W$108^2+$D$76*W$108^2*$B111^1+$D$77*W$108^2*$B111^2+$D$78*W$108^3+$D$79*W$108^3*$B111^1+$D$80*W$108^4</f>
        <v>0.442969700292398</v>
      </c>
    </row>
    <row r="112" customFormat="false" ht="15" hidden="false" customHeight="false" outlineLevel="0" collapsed="false">
      <c r="B112" s="39" t="n">
        <v>0.7</v>
      </c>
      <c r="C112" s="30" t="n">
        <f aca="false">$D$66+$D$67*$B112^1+$D$68*$B112^2+$D$69*$B112^3+$D$70*$B112^4+$D$71*C$108^1+$D$72*C$108^1*$B112^1+$D$73*C$108^1*$B112^2+$D$74*C$108^1*$B112^3+$D$75*C$108^2+$D$76*C$108^2*$B112^1+$D$77*C$108^2*$B112^2+$D$78*C$108^3+$D$79*C$108^3*$B112^1+$D$80*C$108^4</f>
        <v>0.414363340643275</v>
      </c>
      <c r="D112" s="30" t="n">
        <f aca="false">$D$66+$D$67*$B112^1+$D$68*$B112^2+$D$69*$B112^3+$D$70*$B112^4+$D$71*D$108^1+$D$72*D$108^1*$B112^1+$D$73*D$108^1*$B112^2+$D$74*D$108^1*$B112^3+$D$75*D$108^2+$D$76*D$108^2*$B112^1+$D$77*D$108^2*$B112^2+$D$78*D$108^3+$D$79*D$108^3*$B112^1+$D$80*D$108^4</f>
        <v>0.312218201754386</v>
      </c>
      <c r="E112" s="30" t="n">
        <f aca="false">$D$66+$D$67*$B112^1+$D$68*$B112^2+$D$69*$B112^3+$D$70*$B112^4+$D$71*E$108^1+$D$72*E$108^1*$B112^1+$D$73*E$108^1*$B112^2+$D$74*E$108^1*$B112^3+$D$75*E$108^2+$D$76*E$108^2*$B112^1+$D$77*E$108^2*$B112^2+$D$78*E$108^3+$D$79*E$108^3*$B112^1+$D$80*E$108^4</f>
        <v>0.244446235380117</v>
      </c>
      <c r="F112" s="30" t="n">
        <f aca="false">$D$66+$D$67*$B112^1+$D$68*$B112^2+$D$69*$B112^3+$D$70*$B112^4+$D$71*F$108^1+$D$72*F$108^1*$B112^1+$D$73*F$108^1*$B112^2+$D$74*F$108^1*$B112^3+$D$75*F$108^2+$D$76*F$108^2*$B112^1+$D$77*F$108^2*$B112^2+$D$78*F$108^3+$D$79*F$108^3*$B112^1+$D$80*F$108^4</f>
        <v>0.203173757309941</v>
      </c>
      <c r="G112" s="30" t="n">
        <f aca="false">$D$66+$D$67*$B112^1+$D$68*$B112^2+$D$69*$B112^3+$D$70*$B112^4+$D$71*G$108^1+$D$72*G$108^1*$B112^1+$D$73*G$108^1*$B112^2+$D$74*G$108^1*$B112^3+$D$75*G$108^2+$D$76*G$108^2*$B112^1+$D$77*G$108^2*$B112^2+$D$78*G$108^3+$D$79*G$108^3*$B112^1+$D$80*G$108^4</f>
        <v>0.181453399122807</v>
      </c>
      <c r="H112" s="30" t="n">
        <f aca="false">$D$66+$D$67*$B112^1+$D$68*$B112^2+$D$69*$B112^3+$D$70*$B112^4+$D$71*H$108^1+$D$72*H$108^1*$B112^1+$D$73*H$108^1*$B112^2+$D$74*H$108^1*$B112^3+$D$75*H$108^2+$D$76*H$108^2*$B112^1+$D$77*H$108^2*$B112^2+$D$78*H$108^3+$D$79*H$108^3*$B112^1+$D$80*H$108^4</f>
        <v>0.173264108187135</v>
      </c>
      <c r="I112" s="30" t="n">
        <f aca="false">$D$66+$D$67*$B112^1+$D$68*$B112^2+$D$69*$B112^3+$D$70*$B112^4+$D$71*I$108^1+$D$72*I$108^1*$B112^1+$D$73*I$108^1*$B112^2+$D$74*I$108^1*$B112^3+$D$75*I$108^2+$D$76*I$108^2*$B112^1+$D$77*I$108^2*$B112^2+$D$78*I$108^3+$D$79*I$108^3*$B112^1+$D$80*I$108^4</f>
        <v>0.173511147660819</v>
      </c>
      <c r="J112" s="30" t="n">
        <f aca="false">$D$66+$D$67*$B112^1+$D$68*$B112^2+$D$69*$B112^3+$D$70*$B112^4+$D$71*J$108^1+$D$72*J$108^1*$B112^1+$D$73*J$108^1*$B112^2+$D$74*J$108^1*$B112^3+$D$75*J$108^2+$D$76*J$108^2*$B112^1+$D$77*J$108^2*$B112^2+$D$78*J$108^3+$D$79*J$108^3*$B112^1+$D$80*J$108^4</f>
        <v>0.178026096491228</v>
      </c>
      <c r="K112" s="30" t="n">
        <f aca="false">$D$66+$D$67*$B112^1+$D$68*$B112^2+$D$69*$B112^3+$D$70*$B112^4+$D$71*K$108^1+$D$72*K$108^1*$B112^1+$D$73*K$108^1*$B112^2+$D$74*K$108^1*$B112^3+$D$75*K$108^2+$D$76*K$108^2*$B112^1+$D$77*K$108^2*$B112^2+$D$78*K$108^3+$D$79*K$108^3*$B112^1+$D$80*K$108^4</f>
        <v>0.183566849415205</v>
      </c>
      <c r="L112" s="30" t="n">
        <f aca="false">$D$66+$D$67*$B112^1+$D$68*$B112^2+$D$69*$B112^3+$D$70*$B112^4+$D$71*L$108^1+$D$72*L$108^1*$B112^1+$D$73*L$108^1*$B112^2+$D$74*L$108^1*$B112^3+$D$75*L$108^2+$D$76*L$108^2*$B112^1+$D$77*L$108^2*$B112^2+$D$78*L$108^3+$D$79*L$108^3*$B112^1+$D$80*L$108^4</f>
        <v>0.187817616959064</v>
      </c>
      <c r="M112" s="30" t="n">
        <f aca="false">$D$66+$D$67*$B112^1+$D$68*$B112^2+$D$69*$B112^3+$D$70*$B112^4+$D$71*M$108^1+$D$72*M$108^1*$B112^1+$D$73*M$108^1*$B112^2+$D$74*M$108^1*$B112^3+$D$75*M$108^2+$D$76*M$108^2*$B112^1+$D$77*M$108^2*$B112^2+$D$78*M$108^3+$D$79*M$108^3*$B112^1+$D$80*M$108^4</f>
        <v>0.189388925438596</v>
      </c>
      <c r="N112" s="30" t="n">
        <f aca="false">$D$66+$D$67*$B112^1+$D$68*$B112^2+$D$69*$B112^3+$D$70*$B112^4+$D$71*N$108^1+$D$72*N$108^1*$B112^1+$D$73*N$108^1*$B112^2+$D$74*N$108^1*$B112^3+$D$75*N$108^2+$D$76*N$108^2*$B112^1+$D$77*N$108^2*$B112^2+$D$78*N$108^3+$D$79*N$108^3*$B112^1+$D$80*N$108^4</f>
        <v>0.187817616959064</v>
      </c>
      <c r="O112" s="30" t="n">
        <f aca="false">$D$66+$D$67*$B112^1+$D$68*$B112^2+$D$69*$B112^3+$D$70*$B112^4+$D$71*O$108^1+$D$72*O$108^1*$B112^1+$D$73*O$108^1*$B112^2+$D$74*O$108^1*$B112^3+$D$75*O$108^2+$D$76*O$108^2*$B112^1+$D$77*O$108^2*$B112^2+$D$78*O$108^3+$D$79*O$108^3*$B112^1+$D$80*O$108^4</f>
        <v>0.183566849415205</v>
      </c>
      <c r="P112" s="30" t="n">
        <f aca="false">$D$66+$D$67*$B112^1+$D$68*$B112^2+$D$69*$B112^3+$D$70*$B112^4+$D$71*P$108^1+$D$72*P$108^1*$B112^1+$D$73*P$108^1*$B112^2+$D$74*P$108^1*$B112^3+$D$75*P$108^2+$D$76*P$108^2*$B112^1+$D$77*P$108^2*$B112^2+$D$78*P$108^3+$D$79*P$108^3*$B112^1+$D$80*P$108^4</f>
        <v>0.178026096491228</v>
      </c>
      <c r="Q112" s="30" t="n">
        <f aca="false">$D$66+$D$67*$B112^1+$D$68*$B112^2+$D$69*$B112^3+$D$70*$B112^4+$D$71*Q$108^1+$D$72*Q$108^1*$B112^1+$D$73*Q$108^1*$B112^2+$D$74*Q$108^1*$B112^3+$D$75*Q$108^2+$D$76*Q$108^2*$B112^1+$D$77*Q$108^2*$B112^2+$D$78*Q$108^3+$D$79*Q$108^3*$B112^1+$D$80*Q$108^4</f>
        <v>0.173511147660819</v>
      </c>
      <c r="R112" s="30" t="n">
        <f aca="false">$D$66+$D$67*$B112^1+$D$68*$B112^2+$D$69*$B112^3+$D$70*$B112^4+$D$71*R$108^1+$D$72*R$108^1*$B112^1+$D$73*R$108^1*$B112^2+$D$74*R$108^1*$B112^3+$D$75*R$108^2+$D$76*R$108^2*$B112^1+$D$77*R$108^2*$B112^2+$D$78*R$108^3+$D$79*R$108^3*$B112^1+$D$80*R$108^4</f>
        <v>0.173264108187135</v>
      </c>
      <c r="S112" s="30" t="n">
        <f aca="false">$D$66+$D$67*$B112^1+$D$68*$B112^2+$D$69*$B112^3+$D$70*$B112^4+$D$71*S$108^1+$D$72*S$108^1*$B112^1+$D$73*S$108^1*$B112^2+$D$74*S$108^1*$B112^3+$D$75*S$108^2+$D$76*S$108^2*$B112^1+$D$77*S$108^2*$B112^2+$D$78*S$108^3+$D$79*S$108^3*$B112^1+$D$80*S$108^4</f>
        <v>0.181453399122807</v>
      </c>
      <c r="T112" s="30" t="n">
        <f aca="false">$D$66+$D$67*$B112^1+$D$68*$B112^2+$D$69*$B112^3+$D$70*$B112^4+$D$71*T$108^1+$D$72*T$108^1*$B112^1+$D$73*T$108^1*$B112^2+$D$74*T$108^1*$B112^3+$D$75*T$108^2+$D$76*T$108^2*$B112^1+$D$77*T$108^2*$B112^2+$D$78*T$108^3+$D$79*T$108^3*$B112^1+$D$80*T$108^4</f>
        <v>0.203173757309941</v>
      </c>
      <c r="U112" s="30" t="n">
        <f aca="false">$D$66+$D$67*$B112^1+$D$68*$B112^2+$D$69*$B112^3+$D$70*$B112^4+$D$71*U$108^1+$D$72*U$108^1*$B112^1+$D$73*U$108^1*$B112^2+$D$74*U$108^1*$B112^3+$D$75*U$108^2+$D$76*U$108^2*$B112^1+$D$77*U$108^2*$B112^2+$D$78*U$108^3+$D$79*U$108^3*$B112^1+$D$80*U$108^4</f>
        <v>0.244446235380117</v>
      </c>
      <c r="V112" s="30" t="n">
        <f aca="false">$D$66+$D$67*$B112^1+$D$68*$B112^2+$D$69*$B112^3+$D$70*$B112^4+$D$71*V$108^1+$D$72*V$108^1*$B112^1+$D$73*V$108^1*$B112^2+$D$74*V$108^1*$B112^3+$D$75*V$108^2+$D$76*V$108^2*$B112^1+$D$77*V$108^2*$B112^2+$D$78*V$108^3+$D$79*V$108^3*$B112^1+$D$80*V$108^4</f>
        <v>0.312218201754386</v>
      </c>
      <c r="W112" s="30" t="n">
        <f aca="false">$D$66+$D$67*$B112^1+$D$68*$B112^2+$D$69*$B112^3+$D$70*$B112^4+$D$71*W$108^1+$D$72*W$108^1*$B112^1+$D$73*W$108^1*$B112^2+$D$74*W$108^1*$B112^3+$D$75*W$108^2+$D$76*W$108^2*$B112^1+$D$77*W$108^2*$B112^2+$D$78*W$108^3+$D$79*W$108^3*$B112^1+$D$80*W$108^4</f>
        <v>0.414363340643275</v>
      </c>
    </row>
    <row r="113" customFormat="false" ht="15" hidden="false" customHeight="false" outlineLevel="0" collapsed="false">
      <c r="B113" s="39" t="n">
        <v>0.6</v>
      </c>
      <c r="C113" s="30" t="n">
        <f aca="false">$D$66+$D$67*$B113^1+$D$68*$B113^2+$D$69*$B113^3+$D$70*$B113^4+$D$71*C$108^1+$D$72*C$108^1*$B113^1+$D$73*C$108^1*$B113^2+$D$74*C$108^1*$B113^3+$D$75*C$108^2+$D$76*C$108^2*$B113^1+$D$77*C$108^2*$B113^2+$D$78*C$108^3+$D$79*C$108^3*$B113^1+$D$80*C$108^4</f>
        <v>0.403620285087719</v>
      </c>
      <c r="D113" s="30" t="n">
        <f aca="false">$D$66+$D$67*$B113^1+$D$68*$B113^2+$D$69*$B113^3+$D$70*$B113^4+$D$71*D$108^1+$D$72*D$108^1*$B113^1+$D$73*D$108^1*$B113^2+$D$74*D$108^1*$B113^3+$D$75*D$108^2+$D$76*D$108^2*$B113^1+$D$77*D$108^2*$B113^2+$D$78*D$108^3+$D$79*D$108^3*$B113^1+$D$80*D$108^4</f>
        <v>0.297385562865497</v>
      </c>
      <c r="E113" s="30" t="n">
        <f aca="false">$D$66+$D$67*$B113^1+$D$68*$B113^2+$D$69*$B113^3+$D$70*$B113^4+$D$71*E$108^1+$D$72*E$108^1*$B113^1+$D$73*E$108^1*$B113^2+$D$74*E$108^1*$B113^3+$D$75*E$108^2+$D$76*E$108^2*$B113^1+$D$77*E$108^2*$B113^2+$D$78*E$108^3+$D$79*E$108^3*$B113^1+$D$80*E$108^4</f>
        <v>0.225954495614035</v>
      </c>
      <c r="F113" s="30" t="n">
        <f aca="false">$D$66+$D$67*$B113^1+$D$68*$B113^2+$D$69*$B113^3+$D$70*$B113^4+$D$71*F$108^1+$D$72*F$108^1*$B113^1+$D$73*F$108^1*$B113^2+$D$74*F$108^1*$B113^3+$D$75*F$108^2+$D$76*F$108^2*$B113^1+$D$77*F$108^2*$B113^2+$D$78*F$108^3+$D$79*F$108^3*$B113^1+$D$80*F$108^4</f>
        <v>0.181453399122807</v>
      </c>
      <c r="G113" s="30" t="n">
        <f aca="false">$D$66+$D$67*$B113^1+$D$68*$B113^2+$D$69*$B113^3+$D$70*$B113^4+$D$71*G$108^1+$D$72*G$108^1*$B113^1+$D$73*G$108^1*$B113^2+$D$74*G$108^1*$B113^3+$D$75*G$108^2+$D$76*G$108^2*$B113^1+$D$77*G$108^2*$B113^2+$D$78*G$108^3+$D$79*G$108^3*$B113^1+$D$80*G$108^4</f>
        <v>0.15693490497076</v>
      </c>
      <c r="H113" s="30" t="n">
        <f aca="false">$D$66+$D$67*$B113^1+$D$68*$B113^2+$D$69*$B113^3+$D$70*$B113^4+$D$71*H$108^1+$D$72*H$108^1*$B113^1+$D$73*H$108^1*$B113^2+$D$74*H$108^1*$B113^3+$D$75*H$108^2+$D$76*H$108^2*$B113^1+$D$77*H$108^2*$B113^2+$D$78*H$108^3+$D$79*H$108^3*$B113^1+$D$80*H$108^4</f>
        <v>0.146377960526316</v>
      </c>
      <c r="I113" s="30" t="n">
        <f aca="false">$D$66+$D$67*$B113^1+$D$68*$B113^2+$D$69*$B113^3+$D$70*$B113^4+$D$71*I$108^1+$D$72*I$108^1*$B113^1+$D$73*I$108^1*$B113^2+$D$74*I$108^1*$B113^3+$D$75*I$108^2+$D$76*I$108^2*$B113^1+$D$77*I$108^2*$B113^2+$D$78*I$108^3+$D$79*I$108^3*$B113^1+$D$80*I$108^4</f>
        <v>0.144687828947368</v>
      </c>
      <c r="J113" s="30" t="n">
        <f aca="false">$D$66+$D$67*$B113^1+$D$68*$B113^2+$D$69*$B113^3+$D$70*$B113^4+$D$71*J$108^1+$D$72*J$108^1*$B113^1+$D$73*J$108^1*$B113^2+$D$74*J$108^1*$B113^3+$D$75*J$108^2+$D$76*J$108^2*$B113^1+$D$77*J$108^2*$B113^2+$D$78*J$108^3+$D$79*J$108^3*$B113^1+$D$80*J$108^4</f>
        <v>0.147696089181287</v>
      </c>
      <c r="K113" s="30" t="n">
        <f aca="false">$D$66+$D$67*$B113^1+$D$68*$B113^2+$D$69*$B113^3+$D$70*$B113^4+$D$71*K$108^1+$D$72*K$108^1*$B113^1+$D$73*K$108^1*$B113^2+$D$74*K$108^1*$B113^3+$D$75*K$108^2+$D$76*K$108^2*$B113^1+$D$77*K$108^2*$B113^2+$D$78*K$108^3+$D$79*K$108^3*$B113^1+$D$80*K$108^4</f>
        <v>0.152160635964912</v>
      </c>
      <c r="L113" s="30" t="n">
        <f aca="false">$D$66+$D$67*$B113^1+$D$68*$B113^2+$D$69*$B113^3+$D$70*$B113^4+$D$71*L$108^1+$D$72*L$108^1*$B113^1+$D$73*L$108^1*$B113^2+$D$74*L$108^1*$B113^3+$D$75*L$108^2+$D$76*L$108^2*$B113^1+$D$77*L$108^2*$B113^2+$D$78*L$108^3+$D$79*L$108^3*$B113^1+$D$80*L$108^4</f>
        <v>0.155765679824561</v>
      </c>
      <c r="M113" s="30" t="n">
        <f aca="false">$D$66+$D$67*$B113^1+$D$68*$B113^2+$D$69*$B113^3+$D$70*$B113^4+$D$71*M$108^1+$D$72*M$108^1*$B113^1+$D$73*M$108^1*$B113^2+$D$74*M$108^1*$B113^3+$D$75*M$108^2+$D$76*M$108^2*$B113^1+$D$77*M$108^2*$B113^2+$D$78*M$108^3+$D$79*M$108^3*$B113^1+$D$80*M$108^4</f>
        <v>0.157121747076023</v>
      </c>
      <c r="N113" s="30" t="n">
        <f aca="false">$D$66+$D$67*$B113^1+$D$68*$B113^2+$D$69*$B113^3+$D$70*$B113^4+$D$71*N$108^1+$D$72*N$108^1*$B113^1+$D$73*N$108^1*$B113^2+$D$74*N$108^1*$B113^3+$D$75*N$108^2+$D$76*N$108^2*$B113^1+$D$77*N$108^2*$B113^2+$D$78*N$108^3+$D$79*N$108^3*$B113^1+$D$80*N$108^4</f>
        <v>0.155765679824561</v>
      </c>
      <c r="O113" s="30" t="n">
        <f aca="false">$D$66+$D$67*$B113^1+$D$68*$B113^2+$D$69*$B113^3+$D$70*$B113^4+$D$71*O$108^1+$D$72*O$108^1*$B113^1+$D$73*O$108^1*$B113^2+$D$74*O$108^1*$B113^3+$D$75*O$108^2+$D$76*O$108^2*$B113^1+$D$77*O$108^2*$B113^2+$D$78*O$108^3+$D$79*O$108^3*$B113^1+$D$80*O$108^4</f>
        <v>0.152160635964912</v>
      </c>
      <c r="P113" s="30" t="n">
        <f aca="false">$D$66+$D$67*$B113^1+$D$68*$B113^2+$D$69*$B113^3+$D$70*$B113^4+$D$71*P$108^1+$D$72*P$108^1*$B113^1+$D$73*P$108^1*$B113^2+$D$74*P$108^1*$B113^3+$D$75*P$108^2+$D$76*P$108^2*$B113^1+$D$77*P$108^2*$B113^2+$D$78*P$108^3+$D$79*P$108^3*$B113^1+$D$80*P$108^4</f>
        <v>0.147696089181287</v>
      </c>
      <c r="Q113" s="30" t="n">
        <f aca="false">$D$66+$D$67*$B113^1+$D$68*$B113^2+$D$69*$B113^3+$D$70*$B113^4+$D$71*Q$108^1+$D$72*Q$108^1*$B113^1+$D$73*Q$108^1*$B113^2+$D$74*Q$108^1*$B113^3+$D$75*Q$108^2+$D$76*Q$108^2*$B113^1+$D$77*Q$108^2*$B113^2+$D$78*Q$108^3+$D$79*Q$108^3*$B113^1+$D$80*Q$108^4</f>
        <v>0.144687828947368</v>
      </c>
      <c r="R113" s="30" t="n">
        <f aca="false">$D$66+$D$67*$B113^1+$D$68*$B113^2+$D$69*$B113^3+$D$70*$B113^4+$D$71*R$108^1+$D$72*R$108^1*$B113^1+$D$73*R$108^1*$B113^2+$D$74*R$108^1*$B113^3+$D$75*R$108^2+$D$76*R$108^2*$B113^1+$D$77*R$108^2*$B113^2+$D$78*R$108^3+$D$79*R$108^3*$B113^1+$D$80*R$108^4</f>
        <v>0.146377960526316</v>
      </c>
      <c r="S113" s="30" t="n">
        <f aca="false">$D$66+$D$67*$B113^1+$D$68*$B113^2+$D$69*$B113^3+$D$70*$B113^4+$D$71*S$108^1+$D$72*S$108^1*$B113^1+$D$73*S$108^1*$B113^2+$D$74*S$108^1*$B113^3+$D$75*S$108^2+$D$76*S$108^2*$B113^1+$D$77*S$108^2*$B113^2+$D$78*S$108^3+$D$79*S$108^3*$B113^1+$D$80*S$108^4</f>
        <v>0.15693490497076</v>
      </c>
      <c r="T113" s="30" t="n">
        <f aca="false">$D$66+$D$67*$B113^1+$D$68*$B113^2+$D$69*$B113^3+$D$70*$B113^4+$D$71*T$108^1+$D$72*T$108^1*$B113^1+$D$73*T$108^1*$B113^2+$D$74*T$108^1*$B113^3+$D$75*T$108^2+$D$76*T$108^2*$B113^1+$D$77*T$108^2*$B113^2+$D$78*T$108^3+$D$79*T$108^3*$B113^1+$D$80*T$108^4</f>
        <v>0.181453399122807</v>
      </c>
      <c r="U113" s="30" t="n">
        <f aca="false">$D$66+$D$67*$B113^1+$D$68*$B113^2+$D$69*$B113^3+$D$70*$B113^4+$D$71*U$108^1+$D$72*U$108^1*$B113^1+$D$73*U$108^1*$B113^2+$D$74*U$108^1*$B113^3+$D$75*U$108^2+$D$76*U$108^2*$B113^1+$D$77*U$108^2*$B113^2+$D$78*U$108^3+$D$79*U$108^3*$B113^1+$D$80*U$108^4</f>
        <v>0.225954495614035</v>
      </c>
      <c r="V113" s="30" t="n">
        <f aca="false">$D$66+$D$67*$B113^1+$D$68*$B113^2+$D$69*$B113^3+$D$70*$B113^4+$D$71*V$108^1+$D$72*V$108^1*$B113^1+$D$73*V$108^1*$B113^2+$D$74*V$108^1*$B113^3+$D$75*V$108^2+$D$76*V$108^2*$B113^1+$D$77*V$108^2*$B113^2+$D$78*V$108^3+$D$79*V$108^3*$B113^1+$D$80*V$108^4</f>
        <v>0.297385562865497</v>
      </c>
      <c r="W113" s="30" t="n">
        <f aca="false">$D$66+$D$67*$B113^1+$D$68*$B113^2+$D$69*$B113^3+$D$70*$B113^4+$D$71*W$108^1+$D$72*W$108^1*$B113^1+$D$73*W$108^1*$B113^2+$D$74*W$108^1*$B113^3+$D$75*W$108^2+$D$76*W$108^2*$B113^1+$D$77*W$108^2*$B113^2+$D$78*W$108^3+$D$79*W$108^3*$B113^1+$D$80*W$108^4</f>
        <v>0.403620285087719</v>
      </c>
    </row>
    <row r="114" customFormat="false" ht="15" hidden="false" customHeight="false" outlineLevel="0" collapsed="false">
      <c r="B114" s="39" t="n">
        <v>0.5</v>
      </c>
      <c r="C114" s="30" t="n">
        <f aca="false">$D$66+$D$67*$B114^1+$D$68*$B114^2+$D$69*$B114^3+$D$70*$B114^4+$D$71*C$108^1+$D$72*C$108^1*$B114^1+$D$73*C$108^1*$B114^2+$D$74*C$108^1*$B114^3+$D$75*C$108^2+$D$76*C$108^2*$B114^1+$D$77*C$108^2*$B114^2+$D$78*C$108^3+$D$79*C$108^3*$B114^1+$D$80*C$108^4</f>
        <v>0.404719480994152</v>
      </c>
      <c r="D114" s="30" t="n">
        <f aca="false">$D$66+$D$67*$B114^1+$D$68*$B114^2+$D$69*$B114^3+$D$70*$B114^4+$D$71*D$108^1+$D$72*D$108^1*$B114^1+$D$73*D$108^1*$B114^2+$D$74*D$108^1*$B114^3+$D$75*D$108^2+$D$76*D$108^2*$B114^1+$D$77*D$108^2*$B114^2+$D$78*D$108^3+$D$79*D$108^3*$B114^1+$D$80*D$108^4</f>
        <v>0.295024342105263</v>
      </c>
      <c r="E114" s="30" t="n">
        <f aca="false">$D$66+$D$67*$B114^1+$D$68*$B114^2+$D$69*$B114^3+$D$70*$B114^4+$D$71*E$108^1+$D$72*E$108^1*$B114^1+$D$73*E$108^1*$B114^2+$D$74*E$108^1*$B114^3+$D$75*E$108^2+$D$76*E$108^2*$B114^1+$D$77*E$108^2*$B114^2+$D$78*E$108^3+$D$79*E$108^3*$B114^1+$D$80*E$108^4</f>
        <v>0.220497112573099</v>
      </c>
      <c r="F114" s="30" t="n">
        <f aca="false">$D$66+$D$67*$B114^1+$D$68*$B114^2+$D$69*$B114^3+$D$70*$B114^4+$D$71*F$108^1+$D$72*F$108^1*$B114^1+$D$73*F$108^1*$B114^2+$D$74*F$108^1*$B114^3+$D$75*F$108^2+$D$76*F$108^2*$B114^1+$D$77*F$108^2*$B114^2+$D$78*F$108^3+$D$79*F$108^3*$B114^1+$D$80*F$108^4</f>
        <v>0.173264108187134</v>
      </c>
      <c r="G114" s="30" t="n">
        <f aca="false">$D$66+$D$67*$B114^1+$D$68*$B114^2+$D$69*$B114^3+$D$70*$B114^4+$D$71*G$108^1+$D$72*G$108^1*$B114^1+$D$73*G$108^1*$B114^2+$D$74*G$108^1*$B114^3+$D$75*G$108^2+$D$76*G$108^2*$B114^1+$D$77*G$108^2*$B114^2+$D$78*G$108^3+$D$79*G$108^3*$B114^1+$D$80*G$108^4</f>
        <v>0.146377960526316</v>
      </c>
      <c r="H114" s="30" t="n">
        <f aca="false">$D$66+$D$67*$B114^1+$D$68*$B114^2+$D$69*$B114^3+$D$70*$B114^4+$D$71*H$108^1+$D$72*H$108^1*$B114^1+$D$73*H$108^1*$B114^2+$D$74*H$108^1*$B114^3+$D$75*H$108^2+$D$76*H$108^2*$B114^1+$D$77*H$108^2*$B114^2+$D$78*H$108^3+$D$79*H$108^3*$B114^1+$D$80*H$108^4</f>
        <v>0.133817616959064</v>
      </c>
      <c r="I114" s="30" t="n">
        <f aca="false">$D$66+$D$67*$B114^1+$D$68*$B114^2+$D$69*$B114^3+$D$70*$B114^4+$D$71*I$108^1+$D$72*I$108^1*$B114^1+$D$73*I$108^1*$B114^2+$D$74*I$108^1*$B114^3+$D$75*I$108^2+$D$76*I$108^2*$B114^1+$D$77*I$108^2*$B114^2+$D$78*I$108^3+$D$79*I$108^3*$B114^1+$D$80*I$108^4</f>
        <v>0.130488340643275</v>
      </c>
      <c r="J114" s="30" t="n">
        <f aca="false">$D$66+$D$67*$B114^1+$D$68*$B114^2+$D$69*$B114^3+$D$70*$B114^4+$D$71*J$108^1+$D$72*J$108^1*$B114^1+$D$73*J$108^1*$B114^2+$D$74*J$108^1*$B114^3+$D$75*J$108^2+$D$76*J$108^2*$B114^1+$D$77*J$108^2*$B114^2+$D$78*J$108^3+$D$79*J$108^3*$B114^1+$D$80*J$108^4</f>
        <v>0.132221710526316</v>
      </c>
      <c r="K114" s="30" t="n">
        <f aca="false">$D$66+$D$67*$B114^1+$D$68*$B114^2+$D$69*$B114^3+$D$70*$B114^4+$D$71*K$108^1+$D$72*K$108^1*$B114^1+$D$73*K$108^1*$B114^2+$D$74*K$108^1*$B114^3+$D$75*K$108^2+$D$76*K$108^2*$B114^1+$D$77*K$108^2*$B114^2+$D$78*K$108^3+$D$79*K$108^3*$B114^1+$D$80*K$108^4</f>
        <v>0.135775621345029</v>
      </c>
      <c r="L114" s="30" t="n">
        <f aca="false">$D$66+$D$67*$B114^1+$D$68*$B114^2+$D$69*$B114^3+$D$70*$B114^4+$D$71*L$108^1+$D$72*L$108^1*$B114^1+$D$73*L$108^1*$B114^2+$D$74*L$108^1*$B114^3+$D$75*L$108^2+$D$76*L$108^2*$B114^1+$D$77*L$108^2*$B114^2+$D$78*L$108^3+$D$79*L$108^3*$B114^1+$D$80*L$108^4</f>
        <v>0.138834283625731</v>
      </c>
      <c r="M114" s="30" t="n">
        <f aca="false">$D$66+$D$67*$B114^1+$D$68*$B114^2+$D$69*$B114^3+$D$70*$B114^4+$D$71*M$108^1+$D$72*M$108^1*$B114^1+$D$73*M$108^1*$B114^2+$D$74*M$108^1*$B114^3+$D$75*M$108^2+$D$76*M$108^2*$B114^1+$D$77*M$108^2*$B114^2+$D$78*M$108^3+$D$79*M$108^3*$B114^1+$D$80*M$108^4</f>
        <v>0.140008223684211</v>
      </c>
      <c r="N114" s="30" t="n">
        <f aca="false">$D$66+$D$67*$B114^1+$D$68*$B114^2+$D$69*$B114^3+$D$70*$B114^4+$D$71*N$108^1+$D$72*N$108^1*$B114^1+$D$73*N$108^1*$B114^2+$D$74*N$108^1*$B114^3+$D$75*N$108^2+$D$76*N$108^2*$B114^1+$D$77*N$108^2*$B114^2+$D$78*N$108^3+$D$79*N$108^3*$B114^1+$D$80*N$108^4</f>
        <v>0.138834283625731</v>
      </c>
      <c r="O114" s="30" t="n">
        <f aca="false">$D$66+$D$67*$B114^1+$D$68*$B114^2+$D$69*$B114^3+$D$70*$B114^4+$D$71*O$108^1+$D$72*O$108^1*$B114^1+$D$73*O$108^1*$B114^2+$D$74*O$108^1*$B114^3+$D$75*O$108^2+$D$76*O$108^2*$B114^1+$D$77*O$108^2*$B114^2+$D$78*O$108^3+$D$79*O$108^3*$B114^1+$D$80*O$108^4</f>
        <v>0.135775621345029</v>
      </c>
      <c r="P114" s="30" t="n">
        <f aca="false">$D$66+$D$67*$B114^1+$D$68*$B114^2+$D$69*$B114^3+$D$70*$B114^4+$D$71*P$108^1+$D$72*P$108^1*$B114^1+$D$73*P$108^1*$B114^2+$D$74*P$108^1*$B114^3+$D$75*P$108^2+$D$76*P$108^2*$B114^1+$D$77*P$108^2*$B114^2+$D$78*P$108^3+$D$79*P$108^3*$B114^1+$D$80*P$108^4</f>
        <v>0.132221710526316</v>
      </c>
      <c r="Q114" s="30" t="n">
        <f aca="false">$D$66+$D$67*$B114^1+$D$68*$B114^2+$D$69*$B114^3+$D$70*$B114^4+$D$71*Q$108^1+$D$72*Q$108^1*$B114^1+$D$73*Q$108^1*$B114^2+$D$74*Q$108^1*$B114^3+$D$75*Q$108^2+$D$76*Q$108^2*$B114^1+$D$77*Q$108^2*$B114^2+$D$78*Q$108^3+$D$79*Q$108^3*$B114^1+$D$80*Q$108^4</f>
        <v>0.130488340643275</v>
      </c>
      <c r="R114" s="30" t="n">
        <f aca="false">$D$66+$D$67*$B114^1+$D$68*$B114^2+$D$69*$B114^3+$D$70*$B114^4+$D$71*R$108^1+$D$72*R$108^1*$B114^1+$D$73*R$108^1*$B114^2+$D$74*R$108^1*$B114^3+$D$75*R$108^2+$D$76*R$108^2*$B114^1+$D$77*R$108^2*$B114^2+$D$78*R$108^3+$D$79*R$108^3*$B114^1+$D$80*R$108^4</f>
        <v>0.133817616959064</v>
      </c>
      <c r="S114" s="30" t="n">
        <f aca="false">$D$66+$D$67*$B114^1+$D$68*$B114^2+$D$69*$B114^3+$D$70*$B114^4+$D$71*S$108^1+$D$72*S$108^1*$B114^1+$D$73*S$108^1*$B114^2+$D$74*S$108^1*$B114^3+$D$75*S$108^2+$D$76*S$108^2*$B114^1+$D$77*S$108^2*$B114^2+$D$78*S$108^3+$D$79*S$108^3*$B114^1+$D$80*S$108^4</f>
        <v>0.146377960526316</v>
      </c>
      <c r="T114" s="30" t="n">
        <f aca="false">$D$66+$D$67*$B114^1+$D$68*$B114^2+$D$69*$B114^3+$D$70*$B114^4+$D$71*T$108^1+$D$72*T$108^1*$B114^1+$D$73*T$108^1*$B114^2+$D$74*T$108^1*$B114^3+$D$75*T$108^2+$D$76*T$108^2*$B114^1+$D$77*T$108^2*$B114^2+$D$78*T$108^3+$D$79*T$108^3*$B114^1+$D$80*T$108^4</f>
        <v>0.173264108187134</v>
      </c>
      <c r="U114" s="30" t="n">
        <f aca="false">$D$66+$D$67*$B114^1+$D$68*$B114^2+$D$69*$B114^3+$D$70*$B114^4+$D$71*U$108^1+$D$72*U$108^1*$B114^1+$D$73*U$108^1*$B114^2+$D$74*U$108^1*$B114^3+$D$75*U$108^2+$D$76*U$108^2*$B114^1+$D$77*U$108^2*$B114^2+$D$78*U$108^3+$D$79*U$108^3*$B114^1+$D$80*U$108^4</f>
        <v>0.220497112573099</v>
      </c>
      <c r="V114" s="30" t="n">
        <f aca="false">$D$66+$D$67*$B114^1+$D$68*$B114^2+$D$69*$B114^3+$D$70*$B114^4+$D$71*V$108^1+$D$72*V$108^1*$B114^1+$D$73*V$108^1*$B114^2+$D$74*V$108^1*$B114^3+$D$75*V$108^2+$D$76*V$108^2*$B114^1+$D$77*V$108^2*$B114^2+$D$78*V$108^3+$D$79*V$108^3*$B114^1+$D$80*V$108^4</f>
        <v>0.295024342105263</v>
      </c>
      <c r="W114" s="30" t="n">
        <f aca="false">$D$66+$D$67*$B114^1+$D$68*$B114^2+$D$69*$B114^3+$D$70*$B114^4+$D$71*W$108^1+$D$72*W$108^1*$B114^1+$D$73*W$108^1*$B114^2+$D$74*W$108^1*$B114^3+$D$75*W$108^2+$D$76*W$108^2*$B114^1+$D$77*W$108^2*$B114^2+$D$78*W$108^3+$D$79*W$108^3*$B114^1+$D$80*W$108^4</f>
        <v>0.404719480994152</v>
      </c>
    </row>
    <row r="115" customFormat="false" ht="15" hidden="false" customHeight="false" outlineLevel="0" collapsed="false">
      <c r="B115" s="39" t="n">
        <v>0.4</v>
      </c>
      <c r="C115" s="30" t="n">
        <f aca="false">$D$66+$D$67*$B115^1+$D$68*$B115^2+$D$69*$B115^3+$D$70*$B115^4+$D$71*C$108^1+$D$72*C$108^1*$B115^1+$D$73*C$108^1*$B115^2+$D$74*C$108^1*$B115^3+$D$75*C$108^2+$D$76*C$108^2*$B115^1+$D$77*C$108^2*$B115^2+$D$78*C$108^3+$D$79*C$108^3*$B115^1+$D$80*C$108^4</f>
        <v>0.412566191520468</v>
      </c>
      <c r="D115" s="30" t="n">
        <f aca="false">$D$66+$D$67*$B115^1+$D$68*$B115^2+$D$69*$B115^3+$D$70*$B115^4+$D$71*D$108^1+$D$72*D$108^1*$B115^1+$D$73*D$108^1*$B115^2+$D$74*D$108^1*$B115^3+$D$75*D$108^2+$D$76*D$108^2*$B115^1+$D$77*D$108^2*$B115^2+$D$78*D$108^3+$D$79*D$108^3*$B115^1+$D$80*D$108^4</f>
        <v>0.300039802631579</v>
      </c>
      <c r="E115" s="30" t="n">
        <f aca="false">$D$66+$D$67*$B115^1+$D$68*$B115^2+$D$69*$B115^3+$D$70*$B115^4+$D$71*E$108^1+$D$72*E$108^1*$B115^1+$D$73*E$108^1*$B115^2+$D$74*E$108^1*$B115^3+$D$75*E$108^2+$D$76*E$108^2*$B115^1+$D$77*E$108^2*$B115^2+$D$78*E$108^3+$D$79*E$108^3*$B115^1+$D$80*E$108^4</f>
        <v>0.222979349415205</v>
      </c>
      <c r="F115" s="30" t="n">
        <f aca="false">$D$66+$D$67*$B115^1+$D$68*$B115^2+$D$69*$B115^3+$D$70*$B115^4+$D$71*F$108^1+$D$72*F$108^1*$B115^1+$D$73*F$108^1*$B115^2+$D$74*F$108^1*$B115^3+$D$75*F$108^2+$D$76*F$108^2*$B115^1+$D$77*F$108^2*$B115^2+$D$78*F$108^3+$D$79*F$108^3*$B115^1+$D$80*F$108^4</f>
        <v>0.173511147660819</v>
      </c>
      <c r="G115" s="30" t="n">
        <f aca="false">$D$66+$D$67*$B115^1+$D$68*$B115^2+$D$69*$B115^3+$D$70*$B115^4+$D$71*G$108^1+$D$72*G$108^1*$B115^1+$D$73*G$108^1*$B115^2+$D$74*G$108^1*$B115^3+$D$75*G$108^2+$D$76*G$108^2*$B115^1+$D$77*G$108^2*$B115^2+$D$78*G$108^3+$D$79*G$108^3*$B115^1+$D$80*G$108^4</f>
        <v>0.144687828947368</v>
      </c>
      <c r="H115" s="30" t="n">
        <f aca="false">$D$66+$D$67*$B115^1+$D$68*$B115^2+$D$69*$B115^3+$D$70*$B115^4+$D$71*H$108^1+$D$72*H$108^1*$B115^1+$D$73*H$108^1*$B115^2+$D$74*H$108^1*$B115^3+$D$75*H$108^2+$D$76*H$108^2*$B115^1+$D$77*H$108^2*$B115^2+$D$78*H$108^3+$D$79*H$108^3*$B115^1+$D$80*H$108^4</f>
        <v>0.130488340643275</v>
      </c>
      <c r="I115" s="30" t="n">
        <f aca="false">$D$66+$D$67*$B115^1+$D$68*$B115^2+$D$69*$B115^3+$D$70*$B115^4+$D$71*I$108^1+$D$72*I$108^1*$B115^1+$D$73*I$108^1*$B115^2+$D$74*I$108^1*$B115^3+$D$75*I$108^2+$D$76*I$108^2*$B115^1+$D$77*I$108^2*$B115^2+$D$78*I$108^3+$D$79*I$108^3*$B115^1+$D$80*I$108^4</f>
        <v>0.125817945906433</v>
      </c>
      <c r="J115" s="30" t="n">
        <f aca="false">$D$66+$D$67*$B115^1+$D$68*$B115^2+$D$69*$B115^3+$D$70*$B115^4+$D$71*J$108^1+$D$72*J$108^1*$B115^1+$D$73*J$108^1*$B115^2+$D$74*J$108^1*$B115^3+$D$75*J$108^2+$D$76*J$108^2*$B115^1+$D$77*J$108^2*$B115^2+$D$78*J$108^3+$D$79*J$108^3*$B115^1+$D$80*J$108^4</f>
        <v>0.126508223684211</v>
      </c>
      <c r="K115" s="30" t="n">
        <f aca="false">$D$66+$D$67*$B115^1+$D$68*$B115^2+$D$69*$B115^3+$D$70*$B115^4+$D$71*K$108^1+$D$72*K$108^1*$B115^1+$D$73*K$108^1*$B115^2+$D$74*K$108^1*$B115^3+$D$75*K$108^2+$D$76*K$108^2*$B115^1+$D$77*K$108^2*$B115^2+$D$78*K$108^3+$D$79*K$108^3*$B115^1+$D$80*K$108^4</f>
        <v>0.12931706871345</v>
      </c>
      <c r="L115" s="30" t="n">
        <f aca="false">$D$66+$D$67*$B115^1+$D$68*$B115^2+$D$69*$B115^3+$D$70*$B115^4+$D$71*L$108^1+$D$72*L$108^1*$B115^1+$D$73*L$108^1*$B115^2+$D$74*L$108^1*$B115^3+$D$75*L$108^2+$D$76*L$108^2*$B115^1+$D$77*L$108^2*$B115^2+$D$78*L$108^3+$D$79*L$108^3*$B115^1+$D$80*L$108^4</f>
        <v>0.131928691520468</v>
      </c>
      <c r="M115" s="30" t="n">
        <f aca="false">$D$66+$D$67*$B115^1+$D$68*$B115^2+$D$69*$B115^3+$D$70*$B115^4+$D$71*M$108^1+$D$72*M$108^1*$B115^1+$D$73*M$108^1*$B115^2+$D$74*M$108^1*$B115^3+$D$75*M$108^2+$D$76*M$108^2*$B115^1+$D$77*M$108^2*$B115^2+$D$78*M$108^3+$D$79*M$108^3*$B115^1+$D$80*M$108^4</f>
        <v>0.132953618421053</v>
      </c>
      <c r="N115" s="30" t="n">
        <f aca="false">$D$66+$D$67*$B115^1+$D$68*$B115^2+$D$69*$B115^3+$D$70*$B115^4+$D$71*N$108^1+$D$72*N$108^1*$B115^1+$D$73*N$108^1*$B115^2+$D$74*N$108^1*$B115^3+$D$75*N$108^2+$D$76*N$108^2*$B115^1+$D$77*N$108^2*$B115^2+$D$78*N$108^3+$D$79*N$108^3*$B115^1+$D$80*N$108^4</f>
        <v>0.131928691520468</v>
      </c>
      <c r="O115" s="30" t="n">
        <f aca="false">$D$66+$D$67*$B115^1+$D$68*$B115^2+$D$69*$B115^3+$D$70*$B115^4+$D$71*O$108^1+$D$72*O$108^1*$B115^1+$D$73*O$108^1*$B115^2+$D$74*O$108^1*$B115^3+$D$75*O$108^2+$D$76*O$108^2*$B115^1+$D$77*O$108^2*$B115^2+$D$78*O$108^3+$D$79*O$108^3*$B115^1+$D$80*O$108^4</f>
        <v>0.12931706871345</v>
      </c>
      <c r="P115" s="30" t="n">
        <f aca="false">$D$66+$D$67*$B115^1+$D$68*$B115^2+$D$69*$B115^3+$D$70*$B115^4+$D$71*P$108^1+$D$72*P$108^1*$B115^1+$D$73*P$108^1*$B115^2+$D$74*P$108^1*$B115^3+$D$75*P$108^2+$D$76*P$108^2*$B115^1+$D$77*P$108^2*$B115^2+$D$78*P$108^3+$D$79*P$108^3*$B115^1+$D$80*P$108^4</f>
        <v>0.126508223684211</v>
      </c>
      <c r="Q115" s="30" t="n">
        <f aca="false">$D$66+$D$67*$B115^1+$D$68*$B115^2+$D$69*$B115^3+$D$70*$B115^4+$D$71*Q$108^1+$D$72*Q$108^1*$B115^1+$D$73*Q$108^1*$B115^2+$D$74*Q$108^1*$B115^3+$D$75*Q$108^2+$D$76*Q$108^2*$B115^1+$D$77*Q$108^2*$B115^2+$D$78*Q$108^3+$D$79*Q$108^3*$B115^1+$D$80*Q$108^4</f>
        <v>0.125817945906433</v>
      </c>
      <c r="R115" s="30" t="n">
        <f aca="false">$D$66+$D$67*$B115^1+$D$68*$B115^2+$D$69*$B115^3+$D$70*$B115^4+$D$71*R$108^1+$D$72*R$108^1*$B115^1+$D$73*R$108^1*$B115^2+$D$74*R$108^1*$B115^3+$D$75*R$108^2+$D$76*R$108^2*$B115^1+$D$77*R$108^2*$B115^2+$D$78*R$108^3+$D$79*R$108^3*$B115^1+$D$80*R$108^4</f>
        <v>0.130488340643275</v>
      </c>
      <c r="S115" s="30" t="n">
        <f aca="false">$D$66+$D$67*$B115^1+$D$68*$B115^2+$D$69*$B115^3+$D$70*$B115^4+$D$71*S$108^1+$D$72*S$108^1*$B115^1+$D$73*S$108^1*$B115^2+$D$74*S$108^1*$B115^3+$D$75*S$108^2+$D$76*S$108^2*$B115^1+$D$77*S$108^2*$B115^2+$D$78*S$108^3+$D$79*S$108^3*$B115^1+$D$80*S$108^4</f>
        <v>0.144687828947368</v>
      </c>
      <c r="T115" s="30" t="n">
        <f aca="false">$D$66+$D$67*$B115^1+$D$68*$B115^2+$D$69*$B115^3+$D$70*$B115^4+$D$71*T$108^1+$D$72*T$108^1*$B115^1+$D$73*T$108^1*$B115^2+$D$74*T$108^1*$B115^3+$D$75*T$108^2+$D$76*T$108^2*$B115^1+$D$77*T$108^2*$B115^2+$D$78*T$108^3+$D$79*T$108^3*$B115^1+$D$80*T$108^4</f>
        <v>0.173511147660819</v>
      </c>
      <c r="U115" s="30" t="n">
        <f aca="false">$D$66+$D$67*$B115^1+$D$68*$B115^2+$D$69*$B115^3+$D$70*$B115^4+$D$71*U$108^1+$D$72*U$108^1*$B115^1+$D$73*U$108^1*$B115^2+$D$74*U$108^1*$B115^3+$D$75*U$108^2+$D$76*U$108^2*$B115^1+$D$77*U$108^2*$B115^2+$D$78*U$108^3+$D$79*U$108^3*$B115^1+$D$80*U$108^4</f>
        <v>0.222979349415205</v>
      </c>
      <c r="V115" s="30" t="n">
        <f aca="false">$D$66+$D$67*$B115^1+$D$68*$B115^2+$D$69*$B115^3+$D$70*$B115^4+$D$71*V$108^1+$D$72*V$108^1*$B115^1+$D$73*V$108^1*$B115^2+$D$74*V$108^1*$B115^3+$D$75*V$108^2+$D$76*V$108^2*$B115^1+$D$77*V$108^2*$B115^2+$D$78*V$108^3+$D$79*V$108^3*$B115^1+$D$80*V$108^4</f>
        <v>0.300039802631579</v>
      </c>
      <c r="W115" s="30" t="n">
        <f aca="false">$D$66+$D$67*$B115^1+$D$68*$B115^2+$D$69*$B115^3+$D$70*$B115^4+$D$71*W$108^1+$D$72*W$108^1*$B115^1+$D$73*W$108^1*$B115^2+$D$74*W$108^1*$B115^3+$D$75*W$108^2+$D$76*W$108^2*$B115^1+$D$77*W$108^2*$B115^2+$D$78*W$108^3+$D$79*W$108^3*$B115^1+$D$80*W$108^4</f>
        <v>0.412566191520468</v>
      </c>
    </row>
    <row r="116" customFormat="false" ht="15" hidden="false" customHeight="false" outlineLevel="0" collapsed="false">
      <c r="B116" s="39" t="n">
        <v>0.3</v>
      </c>
      <c r="C116" s="30" t="n">
        <f aca="false">$D$66+$D$67*$B116^1+$D$68*$B116^2+$D$69*$B116^3+$D$70*$B116^4+$D$71*C$108^1+$D$72*C$108^1*$B116^1+$D$73*C$108^1*$B116^2+$D$74*C$108^1*$B116^3+$D$75*C$108^2+$D$76*C$108^2*$B116^1+$D$77*C$108^2*$B116^2+$D$78*C$108^3+$D$79*C$108^3*$B116^1+$D$80*C$108^4</f>
        <v>0.422991995614035</v>
      </c>
      <c r="D116" s="30" t="n">
        <f aca="false">$D$66+$D$67*$B116^1+$D$68*$B116^2+$D$69*$B116^3+$D$70*$B116^4+$D$71*D$108^1+$D$72*D$108^1*$B116^1+$D$73*D$108^1*$B116^2+$D$74*D$108^1*$B116^3+$D$75*D$108^2+$D$76*D$108^2*$B116^1+$D$77*D$108^2*$B116^2+$D$78*D$108^3+$D$79*D$108^3*$B116^1+$D$80*D$108^4</f>
        <v>0.308263523391813</v>
      </c>
      <c r="E116" s="30" t="n">
        <f aca="false">$D$66+$D$67*$B116^1+$D$68*$B116^2+$D$69*$B116^3+$D$70*$B116^4+$D$71*E$108^1+$D$72*E$108^1*$B116^1+$D$73*E$108^1*$B116^2+$D$74*E$108^1*$B116^3+$D$75*E$108^2+$D$76*E$108^2*$B116^1+$D$77*E$108^2*$B116^2+$D$78*E$108^3+$D$79*E$108^3*$B116^1+$D$80*E$108^4</f>
        <v>0.229232785087719</v>
      </c>
      <c r="F116" s="30" t="n">
        <f aca="false">$D$66+$D$67*$B116^1+$D$68*$B116^2+$D$69*$B116^3+$D$70*$B116^4+$D$71*F$108^1+$D$72*F$108^1*$B116^1+$D$73*F$108^1*$B116^2+$D$74*F$108^1*$B116^3+$D$75*F$108^2+$D$76*F$108^2*$B116^1+$D$77*F$108^2*$B116^2+$D$78*F$108^3+$D$79*F$108^3*$B116^1+$D$80*F$108^4</f>
        <v>0.178026096491228</v>
      </c>
      <c r="G116" s="30" t="n">
        <f aca="false">$D$66+$D$67*$B116^1+$D$68*$B116^2+$D$69*$B116^3+$D$70*$B116^4+$D$71*G$108^1+$D$72*G$108^1*$B116^1+$D$73*G$108^1*$B116^2+$D$74*G$108^1*$B116^3+$D$75*G$108^2+$D$76*G$108^2*$B116^1+$D$77*G$108^2*$B116^2+$D$78*G$108^3+$D$79*G$108^3*$B116^1+$D$80*G$108^4</f>
        <v>0.147696089181287</v>
      </c>
      <c r="H116" s="30" t="n">
        <f aca="false">$D$66+$D$67*$B116^1+$D$68*$B116^2+$D$69*$B116^3+$D$70*$B116^4+$D$71*H$108^1+$D$72*H$108^1*$B116^1+$D$73*H$108^1*$B116^2+$D$74*H$108^1*$B116^3+$D$75*H$108^2+$D$76*H$108^2*$B116^1+$D$77*H$108^2*$B116^2+$D$78*H$108^3+$D$79*H$108^3*$B116^1+$D$80*H$108^4</f>
        <v>0.132221710526316</v>
      </c>
      <c r="I116" s="30" t="n">
        <f aca="false">$D$66+$D$67*$B116^1+$D$68*$B116^2+$D$69*$B116^3+$D$70*$B116^4+$D$71*I$108^1+$D$72*I$108^1*$B116^1+$D$73*I$108^1*$B116^2+$D$74*I$108^1*$B116^3+$D$75*I$108^2+$D$76*I$108^2*$B116^1+$D$77*I$108^2*$B116^2+$D$78*I$108^3+$D$79*I$108^3*$B116^1+$D$80*I$108^4</f>
        <v>0.126508223684211</v>
      </c>
      <c r="J116" s="30" t="n">
        <f aca="false">$D$66+$D$67*$B116^1+$D$68*$B116^2+$D$69*$B116^3+$D$70*$B116^4+$D$71*J$108^1+$D$72*J$108^1*$B116^1+$D$73*J$108^1*$B116^2+$D$74*J$108^1*$B116^3+$D$75*J$108^2+$D$76*J$108^2*$B116^1+$D$77*J$108^2*$B116^2+$D$78*J$108^3+$D$79*J$108^3*$B116^1+$D$80*J$108^4</f>
        <v>0.126387207602339</v>
      </c>
      <c r="K116" s="30" t="n">
        <f aca="false">$D$66+$D$67*$B116^1+$D$68*$B116^2+$D$69*$B116^3+$D$70*$B116^4+$D$71*K$108^1+$D$72*K$108^1*$B116^1+$D$73*K$108^1*$B116^2+$D$74*K$108^1*$B116^3+$D$75*K$108^2+$D$76*K$108^2*$B116^1+$D$77*K$108^2*$B116^2+$D$78*K$108^3+$D$79*K$108^3*$B116^1+$D$80*K$108^4</f>
        <v>0.128616557017544</v>
      </c>
      <c r="L116" s="30" t="n">
        <f aca="false">$D$66+$D$67*$B116^1+$D$68*$B116^2+$D$69*$B116^3+$D$70*$B116^4+$D$71*L$108^1+$D$72*L$108^1*$B116^1+$D$73*L$108^1*$B116^2+$D$74*L$108^1*$B116^3+$D$75*L$108^2+$D$76*L$108^2*$B116^1+$D$77*L$108^2*$B116^2+$D$78*L$108^3+$D$79*L$108^3*$B116^1+$D$80*L$108^4</f>
        <v>0.13088048245614</v>
      </c>
      <c r="M116" s="30" t="n">
        <f aca="false">$D$66+$D$67*$B116^1+$D$68*$B116^2+$D$69*$B116^3+$D$70*$B116^4+$D$71*M$108^1+$D$72*M$108^1*$B116^1+$D$73*M$108^1*$B116^2+$D$74*M$108^1*$B116^3+$D$75*M$108^2+$D$76*M$108^2*$B116^1+$D$77*M$108^2*$B116^2+$D$78*M$108^3+$D$79*M$108^3*$B116^1+$D$80*M$108^4</f>
        <v>0.131789510233918</v>
      </c>
      <c r="N116" s="30" t="n">
        <f aca="false">$D$66+$D$67*$B116^1+$D$68*$B116^2+$D$69*$B116^3+$D$70*$B116^4+$D$71*N$108^1+$D$72*N$108^1*$B116^1+$D$73*N$108^1*$B116^2+$D$74*N$108^1*$B116^3+$D$75*N$108^2+$D$76*N$108^2*$B116^1+$D$77*N$108^2*$B116^2+$D$78*N$108^3+$D$79*N$108^3*$B116^1+$D$80*N$108^4</f>
        <v>0.13088048245614</v>
      </c>
      <c r="O116" s="30" t="n">
        <f aca="false">$D$66+$D$67*$B116^1+$D$68*$B116^2+$D$69*$B116^3+$D$70*$B116^4+$D$71*O$108^1+$D$72*O$108^1*$B116^1+$D$73*O$108^1*$B116^2+$D$74*O$108^1*$B116^3+$D$75*O$108^2+$D$76*O$108^2*$B116^1+$D$77*O$108^2*$B116^2+$D$78*O$108^3+$D$79*O$108^3*$B116^1+$D$80*O$108^4</f>
        <v>0.128616557017544</v>
      </c>
      <c r="P116" s="30" t="n">
        <f aca="false">$D$66+$D$67*$B116^1+$D$68*$B116^2+$D$69*$B116^3+$D$70*$B116^4+$D$71*P$108^1+$D$72*P$108^1*$B116^1+$D$73*P$108^1*$B116^2+$D$74*P$108^1*$B116^3+$D$75*P$108^2+$D$76*P$108^2*$B116^1+$D$77*P$108^2*$B116^2+$D$78*P$108^3+$D$79*P$108^3*$B116^1+$D$80*P$108^4</f>
        <v>0.126387207602339</v>
      </c>
      <c r="Q116" s="30" t="n">
        <f aca="false">$D$66+$D$67*$B116^1+$D$68*$B116^2+$D$69*$B116^3+$D$70*$B116^4+$D$71*Q$108^1+$D$72*Q$108^1*$B116^1+$D$73*Q$108^1*$B116^2+$D$74*Q$108^1*$B116^3+$D$75*Q$108^2+$D$76*Q$108^2*$B116^1+$D$77*Q$108^2*$B116^2+$D$78*Q$108^3+$D$79*Q$108^3*$B116^1+$D$80*Q$108^4</f>
        <v>0.126508223684211</v>
      </c>
      <c r="R116" s="30" t="n">
        <f aca="false">$D$66+$D$67*$B116^1+$D$68*$B116^2+$D$69*$B116^3+$D$70*$B116^4+$D$71*R$108^1+$D$72*R$108^1*$B116^1+$D$73*R$108^1*$B116^2+$D$74*R$108^1*$B116^3+$D$75*R$108^2+$D$76*R$108^2*$B116^1+$D$77*R$108^2*$B116^2+$D$78*R$108^3+$D$79*R$108^3*$B116^1+$D$80*R$108^4</f>
        <v>0.132221710526316</v>
      </c>
      <c r="S116" s="30" t="n">
        <f aca="false">$D$66+$D$67*$B116^1+$D$68*$B116^2+$D$69*$B116^3+$D$70*$B116^4+$D$71*S$108^1+$D$72*S$108^1*$B116^1+$D$73*S$108^1*$B116^2+$D$74*S$108^1*$B116^3+$D$75*S$108^2+$D$76*S$108^2*$B116^1+$D$77*S$108^2*$B116^2+$D$78*S$108^3+$D$79*S$108^3*$B116^1+$D$80*S$108^4</f>
        <v>0.147696089181287</v>
      </c>
      <c r="T116" s="30" t="n">
        <f aca="false">$D$66+$D$67*$B116^1+$D$68*$B116^2+$D$69*$B116^3+$D$70*$B116^4+$D$71*T$108^1+$D$72*T$108^1*$B116^1+$D$73*T$108^1*$B116^2+$D$74*T$108^1*$B116^3+$D$75*T$108^2+$D$76*T$108^2*$B116^1+$D$77*T$108^2*$B116^2+$D$78*T$108^3+$D$79*T$108^3*$B116^1+$D$80*T$108^4</f>
        <v>0.178026096491228</v>
      </c>
      <c r="U116" s="30" t="n">
        <f aca="false">$D$66+$D$67*$B116^1+$D$68*$B116^2+$D$69*$B116^3+$D$70*$B116^4+$D$71*U$108^1+$D$72*U$108^1*$B116^1+$D$73*U$108^1*$B116^2+$D$74*U$108^1*$B116^3+$D$75*U$108^2+$D$76*U$108^2*$B116^1+$D$77*U$108^2*$B116^2+$D$78*U$108^3+$D$79*U$108^3*$B116^1+$D$80*U$108^4</f>
        <v>0.229232785087719</v>
      </c>
      <c r="V116" s="30" t="n">
        <f aca="false">$D$66+$D$67*$B116^1+$D$68*$B116^2+$D$69*$B116^3+$D$70*$B116^4+$D$71*V$108^1+$D$72*V$108^1*$B116^1+$D$73*V$108^1*$B116^2+$D$74*V$108^1*$B116^3+$D$75*V$108^2+$D$76*V$108^2*$B116^1+$D$77*V$108^2*$B116^2+$D$78*V$108^3+$D$79*V$108^3*$B116^1+$D$80*V$108^4</f>
        <v>0.308263523391813</v>
      </c>
      <c r="W116" s="30" t="n">
        <f aca="false">$D$66+$D$67*$B116^1+$D$68*$B116^2+$D$69*$B116^3+$D$70*$B116^4+$D$71*W$108^1+$D$72*W$108^1*$B116^1+$D$73*W$108^1*$B116^2+$D$74*W$108^1*$B116^3+$D$75*W$108^2+$D$76*W$108^2*$B116^1+$D$77*W$108^2*$B116^2+$D$78*W$108^3+$D$79*W$108^3*$B116^1+$D$80*W$108^4</f>
        <v>0.422991995614035</v>
      </c>
    </row>
    <row r="117" customFormat="false" ht="15" hidden="false" customHeight="false" outlineLevel="0" collapsed="false">
      <c r="B117" s="39" t="n">
        <v>0.2</v>
      </c>
      <c r="C117" s="30" t="n">
        <f aca="false">$D$66+$D$67*$B117^1+$D$68*$B117^2+$D$69*$B117^3+$D$70*$B117^4+$D$71*C$108^1+$D$72*C$108^1*$B117^1+$D$73*C$108^1*$B117^2+$D$74*C$108^1*$B117^3+$D$75*C$108^2+$D$76*C$108^2*$B117^1+$D$77*C$108^2*$B117^2+$D$78*C$108^3+$D$79*C$108^3*$B117^1+$D$80*C$108^4</f>
        <v>0.432754788011696</v>
      </c>
      <c r="D117" s="30" t="n">
        <f aca="false">$D$66+$D$67*$B117^1+$D$68*$B117^2+$D$69*$B117^3+$D$70*$B117^4+$D$71*D$108^1+$D$72*D$108^1*$B117^1+$D$73*D$108^1*$B117^2+$D$74*D$108^1*$B117^3+$D$75*D$108^2+$D$76*D$108^2*$B117^1+$D$77*D$108^2*$B117^2+$D$78*D$108^3+$D$79*D$108^3*$B117^1+$D$80*D$108^4</f>
        <v>0.316453399122807</v>
      </c>
      <c r="E117" s="30" t="n">
        <f aca="false">$D$66+$D$67*$B117^1+$D$68*$B117^2+$D$69*$B117^3+$D$70*$B117^4+$D$71*E$108^1+$D$72*E$108^1*$B117^1+$D$73*E$108^1*$B117^2+$D$74*E$108^1*$B117^3+$D$75*E$108^2+$D$76*E$108^2*$B117^1+$D$77*E$108^2*$B117^2+$D$78*E$108^3+$D$79*E$108^3*$B117^1+$D$80*E$108^4</f>
        <v>0.236015314327485</v>
      </c>
      <c r="F117" s="30" t="n">
        <f aca="false">$D$66+$D$67*$B117^1+$D$68*$B117^2+$D$69*$B117^3+$D$70*$B117^4+$D$71*F$108^1+$D$72*F$108^1*$B117^1+$D$73*F$108^1*$B117^2+$D$74*F$108^1*$B117^3+$D$75*F$108^2+$D$76*F$108^2*$B117^1+$D$77*F$108^2*$B117^2+$D$78*F$108^3+$D$79*F$108^3*$B117^1+$D$80*F$108^4</f>
        <v>0.183566849415205</v>
      </c>
      <c r="G117" s="30" t="n">
        <f aca="false">$D$66+$D$67*$B117^1+$D$68*$B117^2+$D$69*$B117^3+$D$70*$B117^4+$D$71*G$108^1+$D$72*G$108^1*$B117^1+$D$73*G$108^1*$B117^2+$D$74*G$108^1*$B117^3+$D$75*G$108^2+$D$76*G$108^2*$B117^1+$D$77*G$108^2*$B117^2+$D$78*G$108^3+$D$79*G$108^3*$B117^1+$D$80*G$108^4</f>
        <v>0.152160635964912</v>
      </c>
      <c r="H117" s="30" t="n">
        <f aca="false">$D$66+$D$67*$B117^1+$D$68*$B117^2+$D$69*$B117^3+$D$70*$B117^4+$D$71*H$108^1+$D$72*H$108^1*$B117^1+$D$73*H$108^1*$B117^2+$D$74*H$108^1*$B117^3+$D$75*H$108^2+$D$76*H$108^2*$B117^1+$D$77*H$108^2*$B117^2+$D$78*H$108^3+$D$79*H$108^3*$B117^1+$D$80*H$108^4</f>
        <v>0.135775621345029</v>
      </c>
      <c r="I117" s="30" t="n">
        <f aca="false">$D$66+$D$67*$B117^1+$D$68*$B117^2+$D$69*$B117^3+$D$70*$B117^4+$D$71*I$108^1+$D$72*I$108^1*$B117^1+$D$73*I$108^1*$B117^2+$D$74*I$108^1*$B117^3+$D$75*I$108^2+$D$76*I$108^2*$B117^1+$D$77*I$108^2*$B117^2+$D$78*I$108^3+$D$79*I$108^3*$B117^1+$D$80*I$108^4</f>
        <v>0.12931706871345</v>
      </c>
      <c r="J117" s="30" t="n">
        <f aca="false">$D$66+$D$67*$B117^1+$D$68*$B117^2+$D$69*$B117^3+$D$70*$B117^4+$D$71*J$108^1+$D$72*J$108^1*$B117^1+$D$73*J$108^1*$B117^2+$D$74*J$108^1*$B117^3+$D$75*J$108^2+$D$76*J$108^2*$B117^1+$D$77*J$108^2*$B117^2+$D$78*J$108^3+$D$79*J$108^3*$B117^1+$D$80*J$108^4</f>
        <v>0.128616557017544</v>
      </c>
      <c r="K117" s="30" t="n">
        <f aca="false">$D$66+$D$67*$B117^1+$D$68*$B117^2+$D$69*$B117^3+$D$70*$B117^4+$D$71*K$108^1+$D$72*K$108^1*$B117^1+$D$73*K$108^1*$B117^2+$D$74*K$108^1*$B117^3+$D$75*K$108^2+$D$76*K$108^2*$B117^1+$D$77*K$108^2*$B117^2+$D$78*K$108^3+$D$79*K$108^3*$B117^1+$D$80*K$108^4</f>
        <v>0.130431980994152</v>
      </c>
      <c r="L117" s="30" t="n">
        <f aca="false">$D$66+$D$67*$B117^1+$D$68*$B117^2+$D$69*$B117^3+$D$70*$B117^4+$D$71*L$108^1+$D$72*L$108^1*$B117^1+$D$73*L$108^1*$B117^2+$D$74*L$108^1*$B117^3+$D$75*L$108^2+$D$76*L$108^2*$B117^1+$D$77*L$108^2*$B117^2+$D$78*L$108^3+$D$79*L$108^3*$B117^1+$D$80*L$108^4</f>
        <v>0.132447551169591</v>
      </c>
      <c r="M117" s="30" t="n">
        <f aca="false">$D$66+$D$67*$B117^1+$D$68*$B117^2+$D$69*$B117^3+$D$70*$B117^4+$D$71*M$108^1+$D$72*M$108^1*$B117^1+$D$73*M$108^1*$B117^2+$D$74*M$108^1*$B117^3+$D$75*M$108^2+$D$76*M$108^2*$B117^1+$D$77*M$108^2*$B117^2+$D$78*M$108^3+$D$79*M$108^3*$B117^1+$D$80*M$108^4</f>
        <v>0.133273793859649</v>
      </c>
      <c r="N117" s="30" t="n">
        <f aca="false">$D$66+$D$67*$B117^1+$D$68*$B117^2+$D$69*$B117^3+$D$70*$B117^4+$D$71*N$108^1+$D$72*N$108^1*$B117^1+$D$73*N$108^1*$B117^2+$D$74*N$108^1*$B117^3+$D$75*N$108^2+$D$76*N$108^2*$B117^1+$D$77*N$108^2*$B117^2+$D$78*N$108^3+$D$79*N$108^3*$B117^1+$D$80*N$108^4</f>
        <v>0.132447551169591</v>
      </c>
      <c r="O117" s="30" t="n">
        <f aca="false">$D$66+$D$67*$B117^1+$D$68*$B117^2+$D$69*$B117^3+$D$70*$B117^4+$D$71*O$108^1+$D$72*O$108^1*$B117^1+$D$73*O$108^1*$B117^2+$D$74*O$108^1*$B117^3+$D$75*O$108^2+$D$76*O$108^2*$B117^1+$D$77*O$108^2*$B117^2+$D$78*O$108^3+$D$79*O$108^3*$B117^1+$D$80*O$108^4</f>
        <v>0.130431980994152</v>
      </c>
      <c r="P117" s="30" t="n">
        <f aca="false">$D$66+$D$67*$B117^1+$D$68*$B117^2+$D$69*$B117^3+$D$70*$B117^4+$D$71*P$108^1+$D$72*P$108^1*$B117^1+$D$73*P$108^1*$B117^2+$D$74*P$108^1*$B117^3+$D$75*P$108^2+$D$76*P$108^2*$B117^1+$D$77*P$108^2*$B117^2+$D$78*P$108^3+$D$79*P$108^3*$B117^1+$D$80*P$108^4</f>
        <v>0.128616557017544</v>
      </c>
      <c r="Q117" s="30" t="n">
        <f aca="false">$D$66+$D$67*$B117^1+$D$68*$B117^2+$D$69*$B117^3+$D$70*$B117^4+$D$71*Q$108^1+$D$72*Q$108^1*$B117^1+$D$73*Q$108^1*$B117^2+$D$74*Q$108^1*$B117^3+$D$75*Q$108^2+$D$76*Q$108^2*$B117^1+$D$77*Q$108^2*$B117^2+$D$78*Q$108^3+$D$79*Q$108^3*$B117^1+$D$80*Q$108^4</f>
        <v>0.12931706871345</v>
      </c>
      <c r="R117" s="30" t="n">
        <f aca="false">$D$66+$D$67*$B117^1+$D$68*$B117^2+$D$69*$B117^3+$D$70*$B117^4+$D$71*R$108^1+$D$72*R$108^1*$B117^1+$D$73*R$108^1*$B117^2+$D$74*R$108^1*$B117^3+$D$75*R$108^2+$D$76*R$108^2*$B117^1+$D$77*R$108^2*$B117^2+$D$78*R$108^3+$D$79*R$108^3*$B117^1+$D$80*R$108^4</f>
        <v>0.135775621345029</v>
      </c>
      <c r="S117" s="30" t="n">
        <f aca="false">$D$66+$D$67*$B117^1+$D$68*$B117^2+$D$69*$B117^3+$D$70*$B117^4+$D$71*S$108^1+$D$72*S$108^1*$B117^1+$D$73*S$108^1*$B117^2+$D$74*S$108^1*$B117^3+$D$75*S$108^2+$D$76*S$108^2*$B117^1+$D$77*S$108^2*$B117^2+$D$78*S$108^3+$D$79*S$108^3*$B117^1+$D$80*S$108^4</f>
        <v>0.152160635964912</v>
      </c>
      <c r="T117" s="30" t="n">
        <f aca="false">$D$66+$D$67*$B117^1+$D$68*$B117^2+$D$69*$B117^3+$D$70*$B117^4+$D$71*T$108^1+$D$72*T$108^1*$B117^1+$D$73*T$108^1*$B117^2+$D$74*T$108^1*$B117^3+$D$75*T$108^2+$D$76*T$108^2*$B117^1+$D$77*T$108^2*$B117^2+$D$78*T$108^3+$D$79*T$108^3*$B117^1+$D$80*T$108^4</f>
        <v>0.183566849415205</v>
      </c>
      <c r="U117" s="30" t="n">
        <f aca="false">$D$66+$D$67*$B117^1+$D$68*$B117^2+$D$69*$B117^3+$D$70*$B117^4+$D$71*U$108^1+$D$72*U$108^1*$B117^1+$D$73*U$108^1*$B117^2+$D$74*U$108^1*$B117^3+$D$75*U$108^2+$D$76*U$108^2*$B117^1+$D$77*U$108^2*$B117^2+$D$78*U$108^3+$D$79*U$108^3*$B117^1+$D$80*U$108^4</f>
        <v>0.236015314327485</v>
      </c>
      <c r="V117" s="30" t="n">
        <f aca="false">$D$66+$D$67*$B117^1+$D$68*$B117^2+$D$69*$B117^3+$D$70*$B117^4+$D$71*V$108^1+$D$72*V$108^1*$B117^1+$D$73*V$108^1*$B117^2+$D$74*V$108^1*$B117^3+$D$75*V$108^2+$D$76*V$108^2*$B117^1+$D$77*V$108^2*$B117^2+$D$78*V$108^3+$D$79*V$108^3*$B117^1+$D$80*V$108^4</f>
        <v>0.316453399122807</v>
      </c>
      <c r="W117" s="30" t="n">
        <f aca="false">$D$66+$D$67*$B117^1+$D$68*$B117^2+$D$69*$B117^3+$D$70*$B117^4+$D$71*W$108^1+$D$72*W$108^1*$B117^1+$D$73*W$108^1*$B117^2+$D$74*W$108^1*$B117^3+$D$75*W$108^2+$D$76*W$108^2*$B117^1+$D$77*W$108^2*$B117^2+$D$78*W$108^3+$D$79*W$108^3*$B117^1+$D$80*W$108^4</f>
        <v>0.432754788011696</v>
      </c>
    </row>
    <row r="118" customFormat="false" ht="15" hidden="false" customHeight="false" outlineLevel="0" collapsed="false">
      <c r="B118" s="39" t="n">
        <v>0.1</v>
      </c>
      <c r="C118" s="30" t="n">
        <f aca="false">$D$66+$D$67*$B118^1+$D$68*$B118^2+$D$69*$B118^3+$D$70*$B118^4+$D$71*C$108^1+$D$72*C$108^1*$B118^1+$D$73*C$108^1*$B118^2+$D$74*C$108^1*$B118^3+$D$75*C$108^2+$D$76*C$108^2*$B118^1+$D$77*C$108^2*$B118^2+$D$78*C$108^3+$D$79*C$108^3*$B118^1+$D$80*C$108^4</f>
        <v>0.439538779239766</v>
      </c>
      <c r="D118" s="30" t="n">
        <f aca="false">$D$66+$D$67*$B118^1+$D$68*$B118^2+$D$69*$B118^3+$D$70*$B118^4+$D$71*D$108^1+$D$72*D$108^1*$B118^1+$D$73*D$108^1*$B118^2+$D$74*D$108^1*$B118^3+$D$75*D$108^2+$D$76*D$108^2*$B118^1+$D$77*D$108^2*$B118^2+$D$78*D$108^3+$D$79*D$108^3*$B118^1+$D$80*D$108^4</f>
        <v>0.322293640350877</v>
      </c>
      <c r="E118" s="30" t="n">
        <f aca="false">$D$66+$D$67*$B118^1+$D$68*$B118^2+$D$69*$B118^3+$D$70*$B118^4+$D$71*E$108^1+$D$72*E$108^1*$B118^1+$D$73*E$108^1*$B118^2+$D$74*E$108^1*$B118^3+$D$75*E$108^2+$D$76*E$108^2*$B118^1+$D$77*E$108^2*$B118^2+$D$78*E$108^3+$D$79*E$108^3*$B118^1+$D$80*E$108^4</f>
        <v>0.241011147660819</v>
      </c>
      <c r="F118" s="30" t="n">
        <f aca="false">$D$66+$D$67*$B118^1+$D$68*$B118^2+$D$69*$B118^3+$D$70*$B118^4+$D$71*F$108^1+$D$72*F$108^1*$B118^1+$D$73*F$108^1*$B118^2+$D$74*F$108^1*$B118^3+$D$75*F$108^2+$D$76*F$108^2*$B118^1+$D$77*F$108^2*$B118^2+$D$78*F$108^3+$D$79*F$108^3*$B118^1+$D$80*F$108^4</f>
        <v>0.187817616959064</v>
      </c>
      <c r="G118" s="30" t="n">
        <f aca="false">$D$66+$D$67*$B118^1+$D$68*$B118^2+$D$69*$B118^3+$D$70*$B118^4+$D$71*G$108^1+$D$72*G$108^1*$B118^1+$D$73*G$108^1*$B118^2+$D$74*G$108^1*$B118^3+$D$75*G$108^2+$D$76*G$108^2*$B118^1+$D$77*G$108^2*$B118^2+$D$78*G$108^3+$D$79*G$108^3*$B118^1+$D$80*G$108^4</f>
        <v>0.155765679824561</v>
      </c>
      <c r="H118" s="30" t="n">
        <f aca="false">$D$66+$D$67*$B118^1+$D$68*$B118^2+$D$69*$B118^3+$D$70*$B118^4+$D$71*H$108^1+$D$72*H$108^1*$B118^1+$D$73*H$108^1*$B118^2+$D$74*H$108^1*$B118^3+$D$75*H$108^2+$D$76*H$108^2*$B118^1+$D$77*H$108^2*$B118^2+$D$78*H$108^3+$D$79*H$108^3*$B118^1+$D$80*H$108^4</f>
        <v>0.138834283625731</v>
      </c>
      <c r="I118" s="30" t="n">
        <f aca="false">$D$66+$D$67*$B118^1+$D$68*$B118^2+$D$69*$B118^3+$D$70*$B118^4+$D$71*I$108^1+$D$72*I$108^1*$B118^1+$D$73*I$108^1*$B118^2+$D$74*I$108^1*$B118^3+$D$75*I$108^2+$D$76*I$108^2*$B118^1+$D$77*I$108^2*$B118^2+$D$78*I$108^3+$D$79*I$108^3*$B118^1+$D$80*I$108^4</f>
        <v>0.131928691520468</v>
      </c>
      <c r="J118" s="30" t="n">
        <f aca="false">$D$66+$D$67*$B118^1+$D$68*$B118^2+$D$69*$B118^3+$D$70*$B118^4+$D$71*J$108^1+$D$72*J$108^1*$B118^1+$D$73*J$108^1*$B118^2+$D$74*J$108^1*$B118^3+$D$75*J$108^2+$D$76*J$108^2*$B118^1+$D$77*J$108^2*$B118^2+$D$78*J$108^3+$D$79*J$108^3*$B118^1+$D$80*J$108^4</f>
        <v>0.13088048245614</v>
      </c>
      <c r="K118" s="30" t="n">
        <f aca="false">$D$66+$D$67*$B118^1+$D$68*$B118^2+$D$69*$B118^3+$D$70*$B118^4+$D$71*K$108^1+$D$72*K$108^1*$B118^1+$D$73*K$108^1*$B118^2+$D$74*K$108^1*$B118^3+$D$75*K$108^2+$D$76*K$108^2*$B118^1+$D$77*K$108^2*$B118^2+$D$78*K$108^3+$D$79*K$108^3*$B118^1+$D$80*K$108^4</f>
        <v>0.132447551169591</v>
      </c>
      <c r="L118" s="30" t="n">
        <f aca="false">$D$66+$D$67*$B118^1+$D$68*$B118^2+$D$69*$B118^3+$D$70*$B118^4+$D$71*L$108^1+$D$72*L$108^1*$B118^1+$D$73*L$108^1*$B118^2+$D$74*L$108^1*$B118^3+$D$75*L$108^2+$D$76*L$108^2*$B118^1+$D$77*L$108^2*$B118^2+$D$78*L$108^3+$D$79*L$108^3*$B118^1+$D$80*L$108^4</f>
        <v>0.134314108187134</v>
      </c>
      <c r="M118" s="30" t="n">
        <f aca="false">$D$66+$D$67*$B118^1+$D$68*$B118^2+$D$69*$B118^3+$D$70*$B118^4+$D$71*M$108^1+$D$72*M$108^1*$B118^1+$D$73*M$108^1*$B118^2+$D$74*M$108^1*$B118^3+$D$75*M$108^2+$D$76*M$108^2*$B118^1+$D$77*M$108^2*$B118^2+$D$78*M$108^3+$D$79*M$108^3*$B118^1+$D$80*M$108^4</f>
        <v>0.135090679824561</v>
      </c>
      <c r="N118" s="30" t="n">
        <f aca="false">$D$66+$D$67*$B118^1+$D$68*$B118^2+$D$69*$B118^3+$D$70*$B118^4+$D$71*N$108^1+$D$72*N$108^1*$B118^1+$D$73*N$108^1*$B118^2+$D$74*N$108^1*$B118^3+$D$75*N$108^2+$D$76*N$108^2*$B118^1+$D$77*N$108^2*$B118^2+$D$78*N$108^3+$D$79*N$108^3*$B118^1+$D$80*N$108^4</f>
        <v>0.134314108187134</v>
      </c>
      <c r="O118" s="30" t="n">
        <f aca="false">$D$66+$D$67*$B118^1+$D$68*$B118^2+$D$69*$B118^3+$D$70*$B118^4+$D$71*O$108^1+$D$72*O$108^1*$B118^1+$D$73*O$108^1*$B118^2+$D$74*O$108^1*$B118^3+$D$75*O$108^2+$D$76*O$108^2*$B118^1+$D$77*O$108^2*$B118^2+$D$78*O$108^3+$D$79*O$108^3*$B118^1+$D$80*O$108^4</f>
        <v>0.132447551169591</v>
      </c>
      <c r="P118" s="30" t="n">
        <f aca="false">$D$66+$D$67*$B118^1+$D$68*$B118^2+$D$69*$B118^3+$D$70*$B118^4+$D$71*P$108^1+$D$72*P$108^1*$B118^1+$D$73*P$108^1*$B118^2+$D$74*P$108^1*$B118^3+$D$75*P$108^2+$D$76*P$108^2*$B118^1+$D$77*P$108^2*$B118^2+$D$78*P$108^3+$D$79*P$108^3*$B118^1+$D$80*P$108^4</f>
        <v>0.13088048245614</v>
      </c>
      <c r="Q118" s="30" t="n">
        <f aca="false">$D$66+$D$67*$B118^1+$D$68*$B118^2+$D$69*$B118^3+$D$70*$B118^4+$D$71*Q$108^1+$D$72*Q$108^1*$B118^1+$D$73*Q$108^1*$B118^2+$D$74*Q$108^1*$B118^3+$D$75*Q$108^2+$D$76*Q$108^2*$B118^1+$D$77*Q$108^2*$B118^2+$D$78*Q$108^3+$D$79*Q$108^3*$B118^1+$D$80*Q$108^4</f>
        <v>0.131928691520468</v>
      </c>
      <c r="R118" s="30" t="n">
        <f aca="false">$D$66+$D$67*$B118^1+$D$68*$B118^2+$D$69*$B118^3+$D$70*$B118^4+$D$71*R$108^1+$D$72*R$108^1*$B118^1+$D$73*R$108^1*$B118^2+$D$74*R$108^1*$B118^3+$D$75*R$108^2+$D$76*R$108^2*$B118^1+$D$77*R$108^2*$B118^2+$D$78*R$108^3+$D$79*R$108^3*$B118^1+$D$80*R$108^4</f>
        <v>0.138834283625731</v>
      </c>
      <c r="S118" s="30" t="n">
        <f aca="false">$D$66+$D$67*$B118^1+$D$68*$B118^2+$D$69*$B118^3+$D$70*$B118^4+$D$71*S$108^1+$D$72*S$108^1*$B118^1+$D$73*S$108^1*$B118^2+$D$74*S$108^1*$B118^3+$D$75*S$108^2+$D$76*S$108^2*$B118^1+$D$77*S$108^2*$B118^2+$D$78*S$108^3+$D$79*S$108^3*$B118^1+$D$80*S$108^4</f>
        <v>0.155765679824561</v>
      </c>
      <c r="T118" s="30" t="n">
        <f aca="false">$D$66+$D$67*$B118^1+$D$68*$B118^2+$D$69*$B118^3+$D$70*$B118^4+$D$71*T$108^1+$D$72*T$108^1*$B118^1+$D$73*T$108^1*$B118^2+$D$74*T$108^1*$B118^3+$D$75*T$108^2+$D$76*T$108^2*$B118^1+$D$77*T$108^2*$B118^2+$D$78*T$108^3+$D$79*T$108^3*$B118^1+$D$80*T$108^4</f>
        <v>0.187817616959064</v>
      </c>
      <c r="U118" s="30" t="n">
        <f aca="false">$D$66+$D$67*$B118^1+$D$68*$B118^2+$D$69*$B118^3+$D$70*$B118^4+$D$71*U$108^1+$D$72*U$108^1*$B118^1+$D$73*U$108^1*$B118^2+$D$74*U$108^1*$B118^3+$D$75*U$108^2+$D$76*U$108^2*$B118^1+$D$77*U$108^2*$B118^2+$D$78*U$108^3+$D$79*U$108^3*$B118^1+$D$80*U$108^4</f>
        <v>0.241011147660819</v>
      </c>
      <c r="V118" s="30" t="n">
        <f aca="false">$D$66+$D$67*$B118^1+$D$68*$B118^2+$D$69*$B118^3+$D$70*$B118^4+$D$71*V$108^1+$D$72*V$108^1*$B118^1+$D$73*V$108^1*$B118^2+$D$74*V$108^1*$B118^3+$D$75*V$108^2+$D$76*V$108^2*$B118^1+$D$77*V$108^2*$B118^2+$D$78*V$108^3+$D$79*V$108^3*$B118^1+$D$80*V$108^4</f>
        <v>0.322293640350877</v>
      </c>
      <c r="W118" s="30" t="n">
        <f aca="false">$D$66+$D$67*$B118^1+$D$68*$B118^2+$D$69*$B118^3+$D$70*$B118^4+$D$71*W$108^1+$D$72*W$108^1*$B118^1+$D$73*W$108^1*$B118^2+$D$74*W$108^1*$B118^3+$D$75*W$108^2+$D$76*W$108^2*$B118^1+$D$77*W$108^2*$B118^2+$D$78*W$108^3+$D$79*W$108^3*$B118^1+$D$80*W$108^4</f>
        <v>0.439538779239766</v>
      </c>
    </row>
    <row r="119" customFormat="false" ht="15" hidden="false" customHeight="false" outlineLevel="0" collapsed="false">
      <c r="B119" s="39" t="n">
        <v>0</v>
      </c>
      <c r="C119" s="30" t="n">
        <f aca="false">$D$66+$D$67*$B119^1+$D$68*$B119^2+$D$69*$B119^3+$D$70*$B119^4+$D$71*C$108^1+$D$72*C$108^1*$B119^1+$D$73*C$108^1*$B119^2+$D$74*C$108^1*$B119^3+$D$75*C$108^2+$D$76*C$108^2*$B119^1+$D$77*C$108^2*$B119^2+$D$78*C$108^3+$D$79*C$108^3*$B119^1+$D$80*C$108^4</f>
        <v>0.441954495614035</v>
      </c>
      <c r="D119" s="30" t="n">
        <f aca="false">$D$66+$D$67*$B119^1+$D$68*$B119^2+$D$69*$B119^3+$D$70*$B119^4+$D$71*D$108^1+$D$72*D$108^1*$B119^1+$D$73*D$108^1*$B119^2+$D$74*D$108^1*$B119^3+$D$75*D$108^2+$D$76*D$108^2*$B119^1+$D$77*D$108^2*$B119^2+$D$78*D$108^3+$D$79*D$108^3*$B119^1+$D$80*D$108^4</f>
        <v>0.324394773391813</v>
      </c>
      <c r="E119" s="30" t="n">
        <f aca="false">$D$66+$D$67*$B119^1+$D$68*$B119^2+$D$69*$B119^3+$D$70*$B119^4+$D$71*E$108^1+$D$72*E$108^1*$B119^1+$D$73*E$108^1*$B119^2+$D$74*E$108^1*$B119^3+$D$75*E$108^2+$D$76*E$108^2*$B119^1+$D$77*E$108^2*$B119^2+$D$78*E$108^3+$D$79*E$108^3*$B119^1+$D$80*E$108^4</f>
        <v>0.242830811403509</v>
      </c>
      <c r="F119" s="30" t="n">
        <f aca="false">$D$66+$D$67*$B119^1+$D$68*$B119^2+$D$69*$B119^3+$D$70*$B119^4+$D$71*F$108^1+$D$72*F$108^1*$B119^1+$D$73*F$108^1*$B119^2+$D$74*F$108^1*$B119^3+$D$75*F$108^2+$D$76*F$108^2*$B119^1+$D$77*F$108^2*$B119^2+$D$78*F$108^3+$D$79*F$108^3*$B119^1+$D$80*F$108^4</f>
        <v>0.189388925438596</v>
      </c>
      <c r="G119" s="30" t="n">
        <f aca="false">$D$66+$D$67*$B119^1+$D$68*$B119^2+$D$69*$B119^3+$D$70*$B119^4+$D$71*G$108^1+$D$72*G$108^1*$B119^1+$D$73*G$108^1*$B119^2+$D$74*G$108^1*$B119^3+$D$75*G$108^2+$D$76*G$108^2*$B119^1+$D$77*G$108^2*$B119^2+$D$78*G$108^3+$D$79*G$108^3*$B119^1+$D$80*G$108^4</f>
        <v>0.157121747076023</v>
      </c>
      <c r="H119" s="30" t="n">
        <f aca="false">$D$66+$D$67*$B119^1+$D$68*$B119^2+$D$69*$B119^3+$D$70*$B119^4+$D$71*H$108^1+$D$72*H$108^1*$B119^1+$D$73*H$108^1*$B119^2+$D$74*H$108^1*$B119^3+$D$75*H$108^2+$D$76*H$108^2*$B119^1+$D$77*H$108^2*$B119^2+$D$78*H$108^3+$D$79*H$108^3*$B119^1+$D$80*H$108^4</f>
        <v>0.140008223684211</v>
      </c>
      <c r="I119" s="30" t="n">
        <f aca="false">$D$66+$D$67*$B119^1+$D$68*$B119^2+$D$69*$B119^3+$D$70*$B119^4+$D$71*I$108^1+$D$72*I$108^1*$B119^1+$D$73*I$108^1*$B119^2+$D$74*I$108^1*$B119^3+$D$75*I$108^2+$D$76*I$108^2*$B119^1+$D$77*I$108^2*$B119^2+$D$78*I$108^3+$D$79*I$108^3*$B119^1+$D$80*I$108^4</f>
        <v>0.132953618421053</v>
      </c>
      <c r="J119" s="30" t="n">
        <f aca="false">$D$66+$D$67*$B119^1+$D$68*$B119^2+$D$69*$B119^3+$D$70*$B119^4+$D$71*J$108^1+$D$72*J$108^1*$B119^1+$D$73*J$108^1*$B119^2+$D$74*J$108^1*$B119^3+$D$75*J$108^2+$D$76*J$108^2*$B119^1+$D$77*J$108^2*$B119^2+$D$78*J$108^3+$D$79*J$108^3*$B119^1+$D$80*J$108^4</f>
        <v>0.131789510233918</v>
      </c>
      <c r="K119" s="30" t="n">
        <f aca="false">$D$66+$D$67*$B119^1+$D$68*$B119^2+$D$69*$B119^3+$D$70*$B119^4+$D$71*K$108^1+$D$72*K$108^1*$B119^1+$D$73*K$108^1*$B119^2+$D$74*K$108^1*$B119^3+$D$75*K$108^2+$D$76*K$108^2*$B119^1+$D$77*K$108^2*$B119^2+$D$78*K$108^3+$D$79*K$108^3*$B119^1+$D$80*K$108^4</f>
        <v>0.133273793859649</v>
      </c>
      <c r="L119" s="30" t="n">
        <f aca="false">$D$66+$D$67*$B119^1+$D$68*$B119^2+$D$69*$B119^3+$D$70*$B119^4+$D$71*L$108^1+$D$72*L$108^1*$B119^1+$D$73*L$108^1*$B119^2+$D$74*L$108^1*$B119^3+$D$75*L$108^2+$D$76*L$108^2*$B119^1+$D$77*L$108^2*$B119^2+$D$78*L$108^3+$D$79*L$108^3*$B119^1+$D$80*L$108^4</f>
        <v>0.135090679824561</v>
      </c>
      <c r="M119" s="30" t="n">
        <f aca="false">$D$66+$D$67*$B119^1+$D$68*$B119^2+$D$69*$B119^3+$D$70*$B119^4+$D$71*M$108^1+$D$72*M$108^1*$B119^1+$D$73*M$108^1*$B119^2+$D$74*M$108^1*$B119^3+$D$75*M$108^2+$D$76*M$108^2*$B119^1+$D$77*M$108^2*$B119^2+$D$78*M$108^3+$D$79*M$108^3*$B119^1+$D$80*M$108^4</f>
        <v>0.135850694444444</v>
      </c>
      <c r="N119" s="30" t="n">
        <f aca="false">$D$66+$D$67*$B119^1+$D$68*$B119^2+$D$69*$B119^3+$D$70*$B119^4+$D$71*N$108^1+$D$72*N$108^1*$B119^1+$D$73*N$108^1*$B119^2+$D$74*N$108^1*$B119^3+$D$75*N$108^2+$D$76*N$108^2*$B119^1+$D$77*N$108^2*$B119^2+$D$78*N$108^3+$D$79*N$108^3*$B119^1+$D$80*N$108^4</f>
        <v>0.135090679824561</v>
      </c>
      <c r="O119" s="30" t="n">
        <f aca="false">$D$66+$D$67*$B119^1+$D$68*$B119^2+$D$69*$B119^3+$D$70*$B119^4+$D$71*O$108^1+$D$72*O$108^1*$B119^1+$D$73*O$108^1*$B119^2+$D$74*O$108^1*$B119^3+$D$75*O$108^2+$D$76*O$108^2*$B119^1+$D$77*O$108^2*$B119^2+$D$78*O$108^3+$D$79*O$108^3*$B119^1+$D$80*O$108^4</f>
        <v>0.133273793859649</v>
      </c>
      <c r="P119" s="30" t="n">
        <f aca="false">$D$66+$D$67*$B119^1+$D$68*$B119^2+$D$69*$B119^3+$D$70*$B119^4+$D$71*P$108^1+$D$72*P$108^1*$B119^1+$D$73*P$108^1*$B119^2+$D$74*P$108^1*$B119^3+$D$75*P$108^2+$D$76*P$108^2*$B119^1+$D$77*P$108^2*$B119^2+$D$78*P$108^3+$D$79*P$108^3*$B119^1+$D$80*P$108^4</f>
        <v>0.131789510233918</v>
      </c>
      <c r="Q119" s="30" t="n">
        <f aca="false">$D$66+$D$67*$B119^1+$D$68*$B119^2+$D$69*$B119^3+$D$70*$B119^4+$D$71*Q$108^1+$D$72*Q$108^1*$B119^1+$D$73*Q$108^1*$B119^2+$D$74*Q$108^1*$B119^3+$D$75*Q$108^2+$D$76*Q$108^2*$B119^1+$D$77*Q$108^2*$B119^2+$D$78*Q$108^3+$D$79*Q$108^3*$B119^1+$D$80*Q$108^4</f>
        <v>0.132953618421053</v>
      </c>
      <c r="R119" s="30" t="n">
        <f aca="false">$D$66+$D$67*$B119^1+$D$68*$B119^2+$D$69*$B119^3+$D$70*$B119^4+$D$71*R$108^1+$D$72*R$108^1*$B119^1+$D$73*R$108^1*$B119^2+$D$74*R$108^1*$B119^3+$D$75*R$108^2+$D$76*R$108^2*$B119^1+$D$77*R$108^2*$B119^2+$D$78*R$108^3+$D$79*R$108^3*$B119^1+$D$80*R$108^4</f>
        <v>0.140008223684211</v>
      </c>
      <c r="S119" s="30" t="n">
        <f aca="false">$D$66+$D$67*$B119^1+$D$68*$B119^2+$D$69*$B119^3+$D$70*$B119^4+$D$71*S$108^1+$D$72*S$108^1*$B119^1+$D$73*S$108^1*$B119^2+$D$74*S$108^1*$B119^3+$D$75*S$108^2+$D$76*S$108^2*$B119^1+$D$77*S$108^2*$B119^2+$D$78*S$108^3+$D$79*S$108^3*$B119^1+$D$80*S$108^4</f>
        <v>0.157121747076023</v>
      </c>
      <c r="T119" s="30" t="n">
        <f aca="false">$D$66+$D$67*$B119^1+$D$68*$B119^2+$D$69*$B119^3+$D$70*$B119^4+$D$71*T$108^1+$D$72*T$108^1*$B119^1+$D$73*T$108^1*$B119^2+$D$74*T$108^1*$B119^3+$D$75*T$108^2+$D$76*T$108^2*$B119^1+$D$77*T$108^2*$B119^2+$D$78*T$108^3+$D$79*T$108^3*$B119^1+$D$80*T$108^4</f>
        <v>0.189388925438596</v>
      </c>
      <c r="U119" s="30" t="n">
        <f aca="false">$D$66+$D$67*$B119^1+$D$68*$B119^2+$D$69*$B119^3+$D$70*$B119^4+$D$71*U$108^1+$D$72*U$108^1*$B119^1+$D$73*U$108^1*$B119^2+$D$74*U$108^1*$B119^3+$D$75*U$108^2+$D$76*U$108^2*$B119^1+$D$77*U$108^2*$B119^2+$D$78*U$108^3+$D$79*U$108^3*$B119^1+$D$80*U$108^4</f>
        <v>0.242830811403509</v>
      </c>
      <c r="V119" s="30" t="n">
        <f aca="false">$D$66+$D$67*$B119^1+$D$68*$B119^2+$D$69*$B119^3+$D$70*$B119^4+$D$71*V$108^1+$D$72*V$108^1*$B119^1+$D$73*V$108^1*$B119^2+$D$74*V$108^1*$B119^3+$D$75*V$108^2+$D$76*V$108^2*$B119^1+$D$77*V$108^2*$B119^2+$D$78*V$108^3+$D$79*V$108^3*$B119^1+$D$80*V$108^4</f>
        <v>0.324394773391813</v>
      </c>
      <c r="W119" s="30" t="n">
        <f aca="false">$D$66+$D$67*$B119^1+$D$68*$B119^2+$D$69*$B119^3+$D$70*$B119^4+$D$71*W$108^1+$D$72*W$108^1*$B119^1+$D$73*W$108^1*$B119^2+$D$74*W$108^1*$B119^3+$D$75*W$108^2+$D$76*W$108^2*$B119^1+$D$77*W$108^2*$B119^2+$D$78*W$108^3+$D$79*W$108^3*$B119^1+$D$80*W$108^4</f>
        <v>0.441954495614035</v>
      </c>
    </row>
    <row r="120" customFormat="false" ht="15" hidden="false" customHeight="false" outlineLevel="0" collapsed="false">
      <c r="B120" s="39" t="n">
        <v>-0.1</v>
      </c>
      <c r="C120" s="30" t="n">
        <f aca="false">$D$66+$D$67*$B120^1+$D$68*$B120^2+$D$69*$B120^3+$D$70*$B120^4+$D$71*C$108^1+$D$72*C$108^1*$B120^1+$D$73*C$108^1*$B120^2+$D$74*C$108^1*$B120^3+$D$75*C$108^2+$D$76*C$108^2*$B120^1+$D$77*C$108^2*$B120^2+$D$78*C$108^3+$D$79*C$108^3*$B120^1+$D$80*C$108^4</f>
        <v>0.439538779239766</v>
      </c>
      <c r="D120" s="30" t="n">
        <f aca="false">$D$66+$D$67*$B120^1+$D$68*$B120^2+$D$69*$B120^3+$D$70*$B120^4+$D$71*D$108^1+$D$72*D$108^1*$B120^1+$D$73*D$108^1*$B120^2+$D$74*D$108^1*$B120^3+$D$75*D$108^2+$D$76*D$108^2*$B120^1+$D$77*D$108^2*$B120^2+$D$78*D$108^3+$D$79*D$108^3*$B120^1+$D$80*D$108^4</f>
        <v>0.322293640350877</v>
      </c>
      <c r="E120" s="30" t="n">
        <f aca="false">$D$66+$D$67*$B120^1+$D$68*$B120^2+$D$69*$B120^3+$D$70*$B120^4+$D$71*E$108^1+$D$72*E$108^1*$B120^1+$D$73*E$108^1*$B120^2+$D$74*E$108^1*$B120^3+$D$75*E$108^2+$D$76*E$108^2*$B120^1+$D$77*E$108^2*$B120^2+$D$78*E$108^3+$D$79*E$108^3*$B120^1+$D$80*E$108^4</f>
        <v>0.241011147660819</v>
      </c>
      <c r="F120" s="30" t="n">
        <f aca="false">$D$66+$D$67*$B120^1+$D$68*$B120^2+$D$69*$B120^3+$D$70*$B120^4+$D$71*F$108^1+$D$72*F$108^1*$B120^1+$D$73*F$108^1*$B120^2+$D$74*F$108^1*$B120^3+$D$75*F$108^2+$D$76*F$108^2*$B120^1+$D$77*F$108^2*$B120^2+$D$78*F$108^3+$D$79*F$108^3*$B120^1+$D$80*F$108^4</f>
        <v>0.187817616959064</v>
      </c>
      <c r="G120" s="30" t="n">
        <f aca="false">$D$66+$D$67*$B120^1+$D$68*$B120^2+$D$69*$B120^3+$D$70*$B120^4+$D$71*G$108^1+$D$72*G$108^1*$B120^1+$D$73*G$108^1*$B120^2+$D$74*G$108^1*$B120^3+$D$75*G$108^2+$D$76*G$108^2*$B120^1+$D$77*G$108^2*$B120^2+$D$78*G$108^3+$D$79*G$108^3*$B120^1+$D$80*G$108^4</f>
        <v>0.155765679824561</v>
      </c>
      <c r="H120" s="30" t="n">
        <f aca="false">$D$66+$D$67*$B120^1+$D$68*$B120^2+$D$69*$B120^3+$D$70*$B120^4+$D$71*H$108^1+$D$72*H$108^1*$B120^1+$D$73*H$108^1*$B120^2+$D$74*H$108^1*$B120^3+$D$75*H$108^2+$D$76*H$108^2*$B120^1+$D$77*H$108^2*$B120^2+$D$78*H$108^3+$D$79*H$108^3*$B120^1+$D$80*H$108^4</f>
        <v>0.138834283625731</v>
      </c>
      <c r="I120" s="30" t="n">
        <f aca="false">$D$66+$D$67*$B120^1+$D$68*$B120^2+$D$69*$B120^3+$D$70*$B120^4+$D$71*I$108^1+$D$72*I$108^1*$B120^1+$D$73*I$108^1*$B120^2+$D$74*I$108^1*$B120^3+$D$75*I$108^2+$D$76*I$108^2*$B120^1+$D$77*I$108^2*$B120^2+$D$78*I$108^3+$D$79*I$108^3*$B120^1+$D$80*I$108^4</f>
        <v>0.131928691520468</v>
      </c>
      <c r="J120" s="30" t="n">
        <f aca="false">$D$66+$D$67*$B120^1+$D$68*$B120^2+$D$69*$B120^3+$D$70*$B120^4+$D$71*J$108^1+$D$72*J$108^1*$B120^1+$D$73*J$108^1*$B120^2+$D$74*J$108^1*$B120^3+$D$75*J$108^2+$D$76*J$108^2*$B120^1+$D$77*J$108^2*$B120^2+$D$78*J$108^3+$D$79*J$108^3*$B120^1+$D$80*J$108^4</f>
        <v>0.13088048245614</v>
      </c>
      <c r="K120" s="30" t="n">
        <f aca="false">$D$66+$D$67*$B120^1+$D$68*$B120^2+$D$69*$B120^3+$D$70*$B120^4+$D$71*K$108^1+$D$72*K$108^1*$B120^1+$D$73*K$108^1*$B120^2+$D$74*K$108^1*$B120^3+$D$75*K$108^2+$D$76*K$108^2*$B120^1+$D$77*K$108^2*$B120^2+$D$78*K$108^3+$D$79*K$108^3*$B120^1+$D$80*K$108^4</f>
        <v>0.132447551169591</v>
      </c>
      <c r="L120" s="30" t="n">
        <f aca="false">$D$66+$D$67*$B120^1+$D$68*$B120^2+$D$69*$B120^3+$D$70*$B120^4+$D$71*L$108^1+$D$72*L$108^1*$B120^1+$D$73*L$108^1*$B120^2+$D$74*L$108^1*$B120^3+$D$75*L$108^2+$D$76*L$108^2*$B120^1+$D$77*L$108^2*$B120^2+$D$78*L$108^3+$D$79*L$108^3*$B120^1+$D$80*L$108^4</f>
        <v>0.134314108187134</v>
      </c>
      <c r="M120" s="30" t="n">
        <f aca="false">$D$66+$D$67*$B120^1+$D$68*$B120^2+$D$69*$B120^3+$D$70*$B120^4+$D$71*M$108^1+$D$72*M$108^1*$B120^1+$D$73*M$108^1*$B120^2+$D$74*M$108^1*$B120^3+$D$75*M$108^2+$D$76*M$108^2*$B120^1+$D$77*M$108^2*$B120^2+$D$78*M$108^3+$D$79*M$108^3*$B120^1+$D$80*M$108^4</f>
        <v>0.135090679824561</v>
      </c>
      <c r="N120" s="30" t="n">
        <f aca="false">$D$66+$D$67*$B120^1+$D$68*$B120^2+$D$69*$B120^3+$D$70*$B120^4+$D$71*N$108^1+$D$72*N$108^1*$B120^1+$D$73*N$108^1*$B120^2+$D$74*N$108^1*$B120^3+$D$75*N$108^2+$D$76*N$108^2*$B120^1+$D$77*N$108^2*$B120^2+$D$78*N$108^3+$D$79*N$108^3*$B120^1+$D$80*N$108^4</f>
        <v>0.134314108187134</v>
      </c>
      <c r="O120" s="30" t="n">
        <f aca="false">$D$66+$D$67*$B120^1+$D$68*$B120^2+$D$69*$B120^3+$D$70*$B120^4+$D$71*O$108^1+$D$72*O$108^1*$B120^1+$D$73*O$108^1*$B120^2+$D$74*O$108^1*$B120^3+$D$75*O$108^2+$D$76*O$108^2*$B120^1+$D$77*O$108^2*$B120^2+$D$78*O$108^3+$D$79*O$108^3*$B120^1+$D$80*O$108^4</f>
        <v>0.132447551169591</v>
      </c>
      <c r="P120" s="30" t="n">
        <f aca="false">$D$66+$D$67*$B120^1+$D$68*$B120^2+$D$69*$B120^3+$D$70*$B120^4+$D$71*P$108^1+$D$72*P$108^1*$B120^1+$D$73*P$108^1*$B120^2+$D$74*P$108^1*$B120^3+$D$75*P$108^2+$D$76*P$108^2*$B120^1+$D$77*P$108^2*$B120^2+$D$78*P$108^3+$D$79*P$108^3*$B120^1+$D$80*P$108^4</f>
        <v>0.13088048245614</v>
      </c>
      <c r="Q120" s="30" t="n">
        <f aca="false">$D$66+$D$67*$B120^1+$D$68*$B120^2+$D$69*$B120^3+$D$70*$B120^4+$D$71*Q$108^1+$D$72*Q$108^1*$B120^1+$D$73*Q$108^1*$B120^2+$D$74*Q$108^1*$B120^3+$D$75*Q$108^2+$D$76*Q$108^2*$B120^1+$D$77*Q$108^2*$B120^2+$D$78*Q$108^3+$D$79*Q$108^3*$B120^1+$D$80*Q$108^4</f>
        <v>0.131928691520468</v>
      </c>
      <c r="R120" s="30" t="n">
        <f aca="false">$D$66+$D$67*$B120^1+$D$68*$B120^2+$D$69*$B120^3+$D$70*$B120^4+$D$71*R$108^1+$D$72*R$108^1*$B120^1+$D$73*R$108^1*$B120^2+$D$74*R$108^1*$B120^3+$D$75*R$108^2+$D$76*R$108^2*$B120^1+$D$77*R$108^2*$B120^2+$D$78*R$108^3+$D$79*R$108^3*$B120^1+$D$80*R$108^4</f>
        <v>0.138834283625731</v>
      </c>
      <c r="S120" s="30" t="n">
        <f aca="false">$D$66+$D$67*$B120^1+$D$68*$B120^2+$D$69*$B120^3+$D$70*$B120^4+$D$71*S$108^1+$D$72*S$108^1*$B120^1+$D$73*S$108^1*$B120^2+$D$74*S$108^1*$B120^3+$D$75*S$108^2+$D$76*S$108^2*$B120^1+$D$77*S$108^2*$B120^2+$D$78*S$108^3+$D$79*S$108^3*$B120^1+$D$80*S$108^4</f>
        <v>0.155765679824561</v>
      </c>
      <c r="T120" s="30" t="n">
        <f aca="false">$D$66+$D$67*$B120^1+$D$68*$B120^2+$D$69*$B120^3+$D$70*$B120^4+$D$71*T$108^1+$D$72*T$108^1*$B120^1+$D$73*T$108^1*$B120^2+$D$74*T$108^1*$B120^3+$D$75*T$108^2+$D$76*T$108^2*$B120^1+$D$77*T$108^2*$B120^2+$D$78*T$108^3+$D$79*T$108^3*$B120^1+$D$80*T$108^4</f>
        <v>0.187817616959064</v>
      </c>
      <c r="U120" s="30" t="n">
        <f aca="false">$D$66+$D$67*$B120^1+$D$68*$B120^2+$D$69*$B120^3+$D$70*$B120^4+$D$71*U$108^1+$D$72*U$108^1*$B120^1+$D$73*U$108^1*$B120^2+$D$74*U$108^1*$B120^3+$D$75*U$108^2+$D$76*U$108^2*$B120^1+$D$77*U$108^2*$B120^2+$D$78*U$108^3+$D$79*U$108^3*$B120^1+$D$80*U$108^4</f>
        <v>0.241011147660819</v>
      </c>
      <c r="V120" s="30" t="n">
        <f aca="false">$D$66+$D$67*$B120^1+$D$68*$B120^2+$D$69*$B120^3+$D$70*$B120^4+$D$71*V$108^1+$D$72*V$108^1*$B120^1+$D$73*V$108^1*$B120^2+$D$74*V$108^1*$B120^3+$D$75*V$108^2+$D$76*V$108^2*$B120^1+$D$77*V$108^2*$B120^2+$D$78*V$108^3+$D$79*V$108^3*$B120^1+$D$80*V$108^4</f>
        <v>0.322293640350877</v>
      </c>
      <c r="W120" s="30" t="n">
        <f aca="false">$D$66+$D$67*$B120^1+$D$68*$B120^2+$D$69*$B120^3+$D$70*$B120^4+$D$71*W$108^1+$D$72*W$108^1*$B120^1+$D$73*W$108^1*$B120^2+$D$74*W$108^1*$B120^3+$D$75*W$108^2+$D$76*W$108^2*$B120^1+$D$77*W$108^2*$B120^2+$D$78*W$108^3+$D$79*W$108^3*$B120^1+$D$80*W$108^4</f>
        <v>0.439538779239766</v>
      </c>
    </row>
    <row r="121" customFormat="false" ht="15" hidden="false" customHeight="false" outlineLevel="0" collapsed="false">
      <c r="B121" s="39" t="n">
        <v>-0.2</v>
      </c>
      <c r="C121" s="30" t="n">
        <f aca="false">$D$66+$D$67*$B121^1+$D$68*$B121^2+$D$69*$B121^3+$D$70*$B121^4+$D$71*C$108^1+$D$72*C$108^1*$B121^1+$D$73*C$108^1*$B121^2+$D$74*C$108^1*$B121^3+$D$75*C$108^2+$D$76*C$108^2*$B121^1+$D$77*C$108^2*$B121^2+$D$78*C$108^3+$D$79*C$108^3*$B121^1+$D$80*C$108^4</f>
        <v>0.432754788011696</v>
      </c>
      <c r="D121" s="30" t="n">
        <f aca="false">$D$66+$D$67*$B121^1+$D$68*$B121^2+$D$69*$B121^3+$D$70*$B121^4+$D$71*D$108^1+$D$72*D$108^1*$B121^1+$D$73*D$108^1*$B121^2+$D$74*D$108^1*$B121^3+$D$75*D$108^2+$D$76*D$108^2*$B121^1+$D$77*D$108^2*$B121^2+$D$78*D$108^3+$D$79*D$108^3*$B121^1+$D$80*D$108^4</f>
        <v>0.316453399122807</v>
      </c>
      <c r="E121" s="30" t="n">
        <f aca="false">$D$66+$D$67*$B121^1+$D$68*$B121^2+$D$69*$B121^3+$D$70*$B121^4+$D$71*E$108^1+$D$72*E$108^1*$B121^1+$D$73*E$108^1*$B121^2+$D$74*E$108^1*$B121^3+$D$75*E$108^2+$D$76*E$108^2*$B121^1+$D$77*E$108^2*$B121^2+$D$78*E$108^3+$D$79*E$108^3*$B121^1+$D$80*E$108^4</f>
        <v>0.236015314327485</v>
      </c>
      <c r="F121" s="30" t="n">
        <f aca="false">$D$66+$D$67*$B121^1+$D$68*$B121^2+$D$69*$B121^3+$D$70*$B121^4+$D$71*F$108^1+$D$72*F$108^1*$B121^1+$D$73*F$108^1*$B121^2+$D$74*F$108^1*$B121^3+$D$75*F$108^2+$D$76*F$108^2*$B121^1+$D$77*F$108^2*$B121^2+$D$78*F$108^3+$D$79*F$108^3*$B121^1+$D$80*F$108^4</f>
        <v>0.183566849415205</v>
      </c>
      <c r="G121" s="30" t="n">
        <f aca="false">$D$66+$D$67*$B121^1+$D$68*$B121^2+$D$69*$B121^3+$D$70*$B121^4+$D$71*G$108^1+$D$72*G$108^1*$B121^1+$D$73*G$108^1*$B121^2+$D$74*G$108^1*$B121^3+$D$75*G$108^2+$D$76*G$108^2*$B121^1+$D$77*G$108^2*$B121^2+$D$78*G$108^3+$D$79*G$108^3*$B121^1+$D$80*G$108^4</f>
        <v>0.152160635964912</v>
      </c>
      <c r="H121" s="30" t="n">
        <f aca="false">$D$66+$D$67*$B121^1+$D$68*$B121^2+$D$69*$B121^3+$D$70*$B121^4+$D$71*H$108^1+$D$72*H$108^1*$B121^1+$D$73*H$108^1*$B121^2+$D$74*H$108^1*$B121^3+$D$75*H$108^2+$D$76*H$108^2*$B121^1+$D$77*H$108^2*$B121^2+$D$78*H$108^3+$D$79*H$108^3*$B121^1+$D$80*H$108^4</f>
        <v>0.135775621345029</v>
      </c>
      <c r="I121" s="30" t="n">
        <f aca="false">$D$66+$D$67*$B121^1+$D$68*$B121^2+$D$69*$B121^3+$D$70*$B121^4+$D$71*I$108^1+$D$72*I$108^1*$B121^1+$D$73*I$108^1*$B121^2+$D$74*I$108^1*$B121^3+$D$75*I$108^2+$D$76*I$108^2*$B121^1+$D$77*I$108^2*$B121^2+$D$78*I$108^3+$D$79*I$108^3*$B121^1+$D$80*I$108^4</f>
        <v>0.12931706871345</v>
      </c>
      <c r="J121" s="30" t="n">
        <f aca="false">$D$66+$D$67*$B121^1+$D$68*$B121^2+$D$69*$B121^3+$D$70*$B121^4+$D$71*J$108^1+$D$72*J$108^1*$B121^1+$D$73*J$108^1*$B121^2+$D$74*J$108^1*$B121^3+$D$75*J$108^2+$D$76*J$108^2*$B121^1+$D$77*J$108^2*$B121^2+$D$78*J$108^3+$D$79*J$108^3*$B121^1+$D$80*J$108^4</f>
        <v>0.128616557017544</v>
      </c>
      <c r="K121" s="30" t="n">
        <f aca="false">$D$66+$D$67*$B121^1+$D$68*$B121^2+$D$69*$B121^3+$D$70*$B121^4+$D$71*K$108^1+$D$72*K$108^1*$B121^1+$D$73*K$108^1*$B121^2+$D$74*K$108^1*$B121^3+$D$75*K$108^2+$D$76*K$108^2*$B121^1+$D$77*K$108^2*$B121^2+$D$78*K$108^3+$D$79*K$108^3*$B121^1+$D$80*K$108^4</f>
        <v>0.130431980994152</v>
      </c>
      <c r="L121" s="30" t="n">
        <f aca="false">$D$66+$D$67*$B121^1+$D$68*$B121^2+$D$69*$B121^3+$D$70*$B121^4+$D$71*L$108^1+$D$72*L$108^1*$B121^1+$D$73*L$108^1*$B121^2+$D$74*L$108^1*$B121^3+$D$75*L$108^2+$D$76*L$108^2*$B121^1+$D$77*L$108^2*$B121^2+$D$78*L$108^3+$D$79*L$108^3*$B121^1+$D$80*L$108^4</f>
        <v>0.132447551169591</v>
      </c>
      <c r="M121" s="30" t="n">
        <f aca="false">$D$66+$D$67*$B121^1+$D$68*$B121^2+$D$69*$B121^3+$D$70*$B121^4+$D$71*M$108^1+$D$72*M$108^1*$B121^1+$D$73*M$108^1*$B121^2+$D$74*M$108^1*$B121^3+$D$75*M$108^2+$D$76*M$108^2*$B121^1+$D$77*M$108^2*$B121^2+$D$78*M$108^3+$D$79*M$108^3*$B121^1+$D$80*M$108^4</f>
        <v>0.133273793859649</v>
      </c>
      <c r="N121" s="30" t="n">
        <f aca="false">$D$66+$D$67*$B121^1+$D$68*$B121^2+$D$69*$B121^3+$D$70*$B121^4+$D$71*N$108^1+$D$72*N$108^1*$B121^1+$D$73*N$108^1*$B121^2+$D$74*N$108^1*$B121^3+$D$75*N$108^2+$D$76*N$108^2*$B121^1+$D$77*N$108^2*$B121^2+$D$78*N$108^3+$D$79*N$108^3*$B121^1+$D$80*N$108^4</f>
        <v>0.132447551169591</v>
      </c>
      <c r="O121" s="30" t="n">
        <f aca="false">$D$66+$D$67*$B121^1+$D$68*$B121^2+$D$69*$B121^3+$D$70*$B121^4+$D$71*O$108^1+$D$72*O$108^1*$B121^1+$D$73*O$108^1*$B121^2+$D$74*O$108^1*$B121^3+$D$75*O$108^2+$D$76*O$108^2*$B121^1+$D$77*O$108^2*$B121^2+$D$78*O$108^3+$D$79*O$108^3*$B121^1+$D$80*O$108^4</f>
        <v>0.130431980994152</v>
      </c>
      <c r="P121" s="30" t="n">
        <f aca="false">$D$66+$D$67*$B121^1+$D$68*$B121^2+$D$69*$B121^3+$D$70*$B121^4+$D$71*P$108^1+$D$72*P$108^1*$B121^1+$D$73*P$108^1*$B121^2+$D$74*P$108^1*$B121^3+$D$75*P$108^2+$D$76*P$108^2*$B121^1+$D$77*P$108^2*$B121^2+$D$78*P$108^3+$D$79*P$108^3*$B121^1+$D$80*P$108^4</f>
        <v>0.128616557017544</v>
      </c>
      <c r="Q121" s="30" t="n">
        <f aca="false">$D$66+$D$67*$B121^1+$D$68*$B121^2+$D$69*$B121^3+$D$70*$B121^4+$D$71*Q$108^1+$D$72*Q$108^1*$B121^1+$D$73*Q$108^1*$B121^2+$D$74*Q$108^1*$B121^3+$D$75*Q$108^2+$D$76*Q$108^2*$B121^1+$D$77*Q$108^2*$B121^2+$D$78*Q$108^3+$D$79*Q$108^3*$B121^1+$D$80*Q$108^4</f>
        <v>0.12931706871345</v>
      </c>
      <c r="R121" s="30" t="n">
        <f aca="false">$D$66+$D$67*$B121^1+$D$68*$B121^2+$D$69*$B121^3+$D$70*$B121^4+$D$71*R$108^1+$D$72*R$108^1*$B121^1+$D$73*R$108^1*$B121^2+$D$74*R$108^1*$B121^3+$D$75*R$108^2+$D$76*R$108^2*$B121^1+$D$77*R$108^2*$B121^2+$D$78*R$108^3+$D$79*R$108^3*$B121^1+$D$80*R$108^4</f>
        <v>0.135775621345029</v>
      </c>
      <c r="S121" s="30" t="n">
        <f aca="false">$D$66+$D$67*$B121^1+$D$68*$B121^2+$D$69*$B121^3+$D$70*$B121^4+$D$71*S$108^1+$D$72*S$108^1*$B121^1+$D$73*S$108^1*$B121^2+$D$74*S$108^1*$B121^3+$D$75*S$108^2+$D$76*S$108^2*$B121^1+$D$77*S$108^2*$B121^2+$D$78*S$108^3+$D$79*S$108^3*$B121^1+$D$80*S$108^4</f>
        <v>0.152160635964912</v>
      </c>
      <c r="T121" s="30" t="n">
        <f aca="false">$D$66+$D$67*$B121^1+$D$68*$B121^2+$D$69*$B121^3+$D$70*$B121^4+$D$71*T$108^1+$D$72*T$108^1*$B121^1+$D$73*T$108^1*$B121^2+$D$74*T$108^1*$B121^3+$D$75*T$108^2+$D$76*T$108^2*$B121^1+$D$77*T$108^2*$B121^2+$D$78*T$108^3+$D$79*T$108^3*$B121^1+$D$80*T$108^4</f>
        <v>0.183566849415205</v>
      </c>
      <c r="U121" s="30" t="n">
        <f aca="false">$D$66+$D$67*$B121^1+$D$68*$B121^2+$D$69*$B121^3+$D$70*$B121^4+$D$71*U$108^1+$D$72*U$108^1*$B121^1+$D$73*U$108^1*$B121^2+$D$74*U$108^1*$B121^3+$D$75*U$108^2+$D$76*U$108^2*$B121^1+$D$77*U$108^2*$B121^2+$D$78*U$108^3+$D$79*U$108^3*$B121^1+$D$80*U$108^4</f>
        <v>0.236015314327485</v>
      </c>
      <c r="V121" s="30" t="n">
        <f aca="false">$D$66+$D$67*$B121^1+$D$68*$B121^2+$D$69*$B121^3+$D$70*$B121^4+$D$71*V$108^1+$D$72*V$108^1*$B121^1+$D$73*V$108^1*$B121^2+$D$74*V$108^1*$B121^3+$D$75*V$108^2+$D$76*V$108^2*$B121^1+$D$77*V$108^2*$B121^2+$D$78*V$108^3+$D$79*V$108^3*$B121^1+$D$80*V$108^4</f>
        <v>0.316453399122807</v>
      </c>
      <c r="W121" s="30" t="n">
        <f aca="false">$D$66+$D$67*$B121^1+$D$68*$B121^2+$D$69*$B121^3+$D$70*$B121^4+$D$71*W$108^1+$D$72*W$108^1*$B121^1+$D$73*W$108^1*$B121^2+$D$74*W$108^1*$B121^3+$D$75*W$108^2+$D$76*W$108^2*$B121^1+$D$77*W$108^2*$B121^2+$D$78*W$108^3+$D$79*W$108^3*$B121^1+$D$80*W$108^4</f>
        <v>0.432754788011696</v>
      </c>
    </row>
    <row r="122" customFormat="false" ht="15" hidden="false" customHeight="false" outlineLevel="0" collapsed="false">
      <c r="B122" s="39" t="n">
        <v>-0.3</v>
      </c>
      <c r="C122" s="30" t="n">
        <f aca="false">$D$66+$D$67*$B122^1+$D$68*$B122^2+$D$69*$B122^3+$D$70*$B122^4+$D$71*C$108^1+$D$72*C$108^1*$B122^1+$D$73*C$108^1*$B122^2+$D$74*C$108^1*$B122^3+$D$75*C$108^2+$D$76*C$108^2*$B122^1+$D$77*C$108^2*$B122^2+$D$78*C$108^3+$D$79*C$108^3*$B122^1+$D$80*C$108^4</f>
        <v>0.422991995614035</v>
      </c>
      <c r="D122" s="30" t="n">
        <f aca="false">$D$66+$D$67*$B122^1+$D$68*$B122^2+$D$69*$B122^3+$D$70*$B122^4+$D$71*D$108^1+$D$72*D$108^1*$B122^1+$D$73*D$108^1*$B122^2+$D$74*D$108^1*$B122^3+$D$75*D$108^2+$D$76*D$108^2*$B122^1+$D$77*D$108^2*$B122^2+$D$78*D$108^3+$D$79*D$108^3*$B122^1+$D$80*D$108^4</f>
        <v>0.308263523391813</v>
      </c>
      <c r="E122" s="30" t="n">
        <f aca="false">$D$66+$D$67*$B122^1+$D$68*$B122^2+$D$69*$B122^3+$D$70*$B122^4+$D$71*E$108^1+$D$72*E$108^1*$B122^1+$D$73*E$108^1*$B122^2+$D$74*E$108^1*$B122^3+$D$75*E$108^2+$D$76*E$108^2*$B122^1+$D$77*E$108^2*$B122^2+$D$78*E$108^3+$D$79*E$108^3*$B122^1+$D$80*E$108^4</f>
        <v>0.229232785087719</v>
      </c>
      <c r="F122" s="30" t="n">
        <f aca="false">$D$66+$D$67*$B122^1+$D$68*$B122^2+$D$69*$B122^3+$D$70*$B122^4+$D$71*F$108^1+$D$72*F$108^1*$B122^1+$D$73*F$108^1*$B122^2+$D$74*F$108^1*$B122^3+$D$75*F$108^2+$D$76*F$108^2*$B122^1+$D$77*F$108^2*$B122^2+$D$78*F$108^3+$D$79*F$108^3*$B122^1+$D$80*F$108^4</f>
        <v>0.178026096491228</v>
      </c>
      <c r="G122" s="30" t="n">
        <f aca="false">$D$66+$D$67*$B122^1+$D$68*$B122^2+$D$69*$B122^3+$D$70*$B122^4+$D$71*G$108^1+$D$72*G$108^1*$B122^1+$D$73*G$108^1*$B122^2+$D$74*G$108^1*$B122^3+$D$75*G$108^2+$D$76*G$108^2*$B122^1+$D$77*G$108^2*$B122^2+$D$78*G$108^3+$D$79*G$108^3*$B122^1+$D$80*G$108^4</f>
        <v>0.147696089181287</v>
      </c>
      <c r="H122" s="30" t="n">
        <f aca="false">$D$66+$D$67*$B122^1+$D$68*$B122^2+$D$69*$B122^3+$D$70*$B122^4+$D$71*H$108^1+$D$72*H$108^1*$B122^1+$D$73*H$108^1*$B122^2+$D$74*H$108^1*$B122^3+$D$75*H$108^2+$D$76*H$108^2*$B122^1+$D$77*H$108^2*$B122^2+$D$78*H$108^3+$D$79*H$108^3*$B122^1+$D$80*H$108^4</f>
        <v>0.132221710526316</v>
      </c>
      <c r="I122" s="30" t="n">
        <f aca="false">$D$66+$D$67*$B122^1+$D$68*$B122^2+$D$69*$B122^3+$D$70*$B122^4+$D$71*I$108^1+$D$72*I$108^1*$B122^1+$D$73*I$108^1*$B122^2+$D$74*I$108^1*$B122^3+$D$75*I$108^2+$D$76*I$108^2*$B122^1+$D$77*I$108^2*$B122^2+$D$78*I$108^3+$D$79*I$108^3*$B122^1+$D$80*I$108^4</f>
        <v>0.126508223684211</v>
      </c>
      <c r="J122" s="30" t="n">
        <f aca="false">$D$66+$D$67*$B122^1+$D$68*$B122^2+$D$69*$B122^3+$D$70*$B122^4+$D$71*J$108^1+$D$72*J$108^1*$B122^1+$D$73*J$108^1*$B122^2+$D$74*J$108^1*$B122^3+$D$75*J$108^2+$D$76*J$108^2*$B122^1+$D$77*J$108^2*$B122^2+$D$78*J$108^3+$D$79*J$108^3*$B122^1+$D$80*J$108^4</f>
        <v>0.126387207602339</v>
      </c>
      <c r="K122" s="30" t="n">
        <f aca="false">$D$66+$D$67*$B122^1+$D$68*$B122^2+$D$69*$B122^3+$D$70*$B122^4+$D$71*K$108^1+$D$72*K$108^1*$B122^1+$D$73*K$108^1*$B122^2+$D$74*K$108^1*$B122^3+$D$75*K$108^2+$D$76*K$108^2*$B122^1+$D$77*K$108^2*$B122^2+$D$78*K$108^3+$D$79*K$108^3*$B122^1+$D$80*K$108^4</f>
        <v>0.128616557017544</v>
      </c>
      <c r="L122" s="30" t="n">
        <f aca="false">$D$66+$D$67*$B122^1+$D$68*$B122^2+$D$69*$B122^3+$D$70*$B122^4+$D$71*L$108^1+$D$72*L$108^1*$B122^1+$D$73*L$108^1*$B122^2+$D$74*L$108^1*$B122^3+$D$75*L$108^2+$D$76*L$108^2*$B122^1+$D$77*L$108^2*$B122^2+$D$78*L$108^3+$D$79*L$108^3*$B122^1+$D$80*L$108^4</f>
        <v>0.13088048245614</v>
      </c>
      <c r="M122" s="30" t="n">
        <f aca="false">$D$66+$D$67*$B122^1+$D$68*$B122^2+$D$69*$B122^3+$D$70*$B122^4+$D$71*M$108^1+$D$72*M$108^1*$B122^1+$D$73*M$108^1*$B122^2+$D$74*M$108^1*$B122^3+$D$75*M$108^2+$D$76*M$108^2*$B122^1+$D$77*M$108^2*$B122^2+$D$78*M$108^3+$D$79*M$108^3*$B122^1+$D$80*M$108^4</f>
        <v>0.131789510233918</v>
      </c>
      <c r="N122" s="30" t="n">
        <f aca="false">$D$66+$D$67*$B122^1+$D$68*$B122^2+$D$69*$B122^3+$D$70*$B122^4+$D$71*N$108^1+$D$72*N$108^1*$B122^1+$D$73*N$108^1*$B122^2+$D$74*N$108^1*$B122^3+$D$75*N$108^2+$D$76*N$108^2*$B122^1+$D$77*N$108^2*$B122^2+$D$78*N$108^3+$D$79*N$108^3*$B122^1+$D$80*N$108^4</f>
        <v>0.13088048245614</v>
      </c>
      <c r="O122" s="30" t="n">
        <f aca="false">$D$66+$D$67*$B122^1+$D$68*$B122^2+$D$69*$B122^3+$D$70*$B122^4+$D$71*O$108^1+$D$72*O$108^1*$B122^1+$D$73*O$108^1*$B122^2+$D$74*O$108^1*$B122^3+$D$75*O$108^2+$D$76*O$108^2*$B122^1+$D$77*O$108^2*$B122^2+$D$78*O$108^3+$D$79*O$108^3*$B122^1+$D$80*O$108^4</f>
        <v>0.128616557017544</v>
      </c>
      <c r="P122" s="30" t="n">
        <f aca="false">$D$66+$D$67*$B122^1+$D$68*$B122^2+$D$69*$B122^3+$D$70*$B122^4+$D$71*P$108^1+$D$72*P$108^1*$B122^1+$D$73*P$108^1*$B122^2+$D$74*P$108^1*$B122^3+$D$75*P$108^2+$D$76*P$108^2*$B122^1+$D$77*P$108^2*$B122^2+$D$78*P$108^3+$D$79*P$108^3*$B122^1+$D$80*P$108^4</f>
        <v>0.126387207602339</v>
      </c>
      <c r="Q122" s="30" t="n">
        <f aca="false">$D$66+$D$67*$B122^1+$D$68*$B122^2+$D$69*$B122^3+$D$70*$B122^4+$D$71*Q$108^1+$D$72*Q$108^1*$B122^1+$D$73*Q$108^1*$B122^2+$D$74*Q$108^1*$B122^3+$D$75*Q$108^2+$D$76*Q$108^2*$B122^1+$D$77*Q$108^2*$B122^2+$D$78*Q$108^3+$D$79*Q$108^3*$B122^1+$D$80*Q$108^4</f>
        <v>0.126508223684211</v>
      </c>
      <c r="R122" s="30" t="n">
        <f aca="false">$D$66+$D$67*$B122^1+$D$68*$B122^2+$D$69*$B122^3+$D$70*$B122^4+$D$71*R$108^1+$D$72*R$108^1*$B122^1+$D$73*R$108^1*$B122^2+$D$74*R$108^1*$B122^3+$D$75*R$108^2+$D$76*R$108^2*$B122^1+$D$77*R$108^2*$B122^2+$D$78*R$108^3+$D$79*R$108^3*$B122^1+$D$80*R$108^4</f>
        <v>0.132221710526316</v>
      </c>
      <c r="S122" s="30" t="n">
        <f aca="false">$D$66+$D$67*$B122^1+$D$68*$B122^2+$D$69*$B122^3+$D$70*$B122^4+$D$71*S$108^1+$D$72*S$108^1*$B122^1+$D$73*S$108^1*$B122^2+$D$74*S$108^1*$B122^3+$D$75*S$108^2+$D$76*S$108^2*$B122^1+$D$77*S$108^2*$B122^2+$D$78*S$108^3+$D$79*S$108^3*$B122^1+$D$80*S$108^4</f>
        <v>0.147696089181287</v>
      </c>
      <c r="T122" s="30" t="n">
        <f aca="false">$D$66+$D$67*$B122^1+$D$68*$B122^2+$D$69*$B122^3+$D$70*$B122^4+$D$71*T$108^1+$D$72*T$108^1*$B122^1+$D$73*T$108^1*$B122^2+$D$74*T$108^1*$B122^3+$D$75*T$108^2+$D$76*T$108^2*$B122^1+$D$77*T$108^2*$B122^2+$D$78*T$108^3+$D$79*T$108^3*$B122^1+$D$80*T$108^4</f>
        <v>0.178026096491228</v>
      </c>
      <c r="U122" s="30" t="n">
        <f aca="false">$D$66+$D$67*$B122^1+$D$68*$B122^2+$D$69*$B122^3+$D$70*$B122^4+$D$71*U$108^1+$D$72*U$108^1*$B122^1+$D$73*U$108^1*$B122^2+$D$74*U$108^1*$B122^3+$D$75*U$108^2+$D$76*U$108^2*$B122^1+$D$77*U$108^2*$B122^2+$D$78*U$108^3+$D$79*U$108^3*$B122^1+$D$80*U$108^4</f>
        <v>0.229232785087719</v>
      </c>
      <c r="V122" s="30" t="n">
        <f aca="false">$D$66+$D$67*$B122^1+$D$68*$B122^2+$D$69*$B122^3+$D$70*$B122^4+$D$71*V$108^1+$D$72*V$108^1*$B122^1+$D$73*V$108^1*$B122^2+$D$74*V$108^1*$B122^3+$D$75*V$108^2+$D$76*V$108^2*$B122^1+$D$77*V$108^2*$B122^2+$D$78*V$108^3+$D$79*V$108^3*$B122^1+$D$80*V$108^4</f>
        <v>0.308263523391813</v>
      </c>
      <c r="W122" s="30" t="n">
        <f aca="false">$D$66+$D$67*$B122^1+$D$68*$B122^2+$D$69*$B122^3+$D$70*$B122^4+$D$71*W$108^1+$D$72*W$108^1*$B122^1+$D$73*W$108^1*$B122^2+$D$74*W$108^1*$B122^3+$D$75*W$108^2+$D$76*W$108^2*$B122^1+$D$77*W$108^2*$B122^2+$D$78*W$108^3+$D$79*W$108^3*$B122^1+$D$80*W$108^4</f>
        <v>0.422991995614035</v>
      </c>
    </row>
    <row r="123" customFormat="false" ht="15" hidden="false" customHeight="false" outlineLevel="0" collapsed="false">
      <c r="B123" s="39" t="n">
        <v>-0.4</v>
      </c>
      <c r="C123" s="30" t="n">
        <f aca="false">$D$66+$D$67*$B123^1+$D$68*$B123^2+$D$69*$B123^3+$D$70*$B123^4+$D$71*C$108^1+$D$72*C$108^1*$B123^1+$D$73*C$108^1*$B123^2+$D$74*C$108^1*$B123^3+$D$75*C$108^2+$D$76*C$108^2*$B123^1+$D$77*C$108^2*$B123^2+$D$78*C$108^3+$D$79*C$108^3*$B123^1+$D$80*C$108^4</f>
        <v>0.412566191520468</v>
      </c>
      <c r="D123" s="30" t="n">
        <f aca="false">$D$66+$D$67*$B123^1+$D$68*$B123^2+$D$69*$B123^3+$D$70*$B123^4+$D$71*D$108^1+$D$72*D$108^1*$B123^1+$D$73*D$108^1*$B123^2+$D$74*D$108^1*$B123^3+$D$75*D$108^2+$D$76*D$108^2*$B123^1+$D$77*D$108^2*$B123^2+$D$78*D$108^3+$D$79*D$108^3*$B123^1+$D$80*D$108^4</f>
        <v>0.300039802631579</v>
      </c>
      <c r="E123" s="30" t="n">
        <f aca="false">$D$66+$D$67*$B123^1+$D$68*$B123^2+$D$69*$B123^3+$D$70*$B123^4+$D$71*E$108^1+$D$72*E$108^1*$B123^1+$D$73*E$108^1*$B123^2+$D$74*E$108^1*$B123^3+$D$75*E$108^2+$D$76*E$108^2*$B123^1+$D$77*E$108^2*$B123^2+$D$78*E$108^3+$D$79*E$108^3*$B123^1+$D$80*E$108^4</f>
        <v>0.222979349415205</v>
      </c>
      <c r="F123" s="30" t="n">
        <f aca="false">$D$66+$D$67*$B123^1+$D$68*$B123^2+$D$69*$B123^3+$D$70*$B123^4+$D$71*F$108^1+$D$72*F$108^1*$B123^1+$D$73*F$108^1*$B123^2+$D$74*F$108^1*$B123^3+$D$75*F$108^2+$D$76*F$108^2*$B123^1+$D$77*F$108^2*$B123^2+$D$78*F$108^3+$D$79*F$108^3*$B123^1+$D$80*F$108^4</f>
        <v>0.173511147660819</v>
      </c>
      <c r="G123" s="30" t="n">
        <f aca="false">$D$66+$D$67*$B123^1+$D$68*$B123^2+$D$69*$B123^3+$D$70*$B123^4+$D$71*G$108^1+$D$72*G$108^1*$B123^1+$D$73*G$108^1*$B123^2+$D$74*G$108^1*$B123^3+$D$75*G$108^2+$D$76*G$108^2*$B123^1+$D$77*G$108^2*$B123^2+$D$78*G$108^3+$D$79*G$108^3*$B123^1+$D$80*G$108^4</f>
        <v>0.144687828947368</v>
      </c>
      <c r="H123" s="30" t="n">
        <f aca="false">$D$66+$D$67*$B123^1+$D$68*$B123^2+$D$69*$B123^3+$D$70*$B123^4+$D$71*H$108^1+$D$72*H$108^1*$B123^1+$D$73*H$108^1*$B123^2+$D$74*H$108^1*$B123^3+$D$75*H$108^2+$D$76*H$108^2*$B123^1+$D$77*H$108^2*$B123^2+$D$78*H$108^3+$D$79*H$108^3*$B123^1+$D$80*H$108^4</f>
        <v>0.130488340643275</v>
      </c>
      <c r="I123" s="30" t="n">
        <f aca="false">$D$66+$D$67*$B123^1+$D$68*$B123^2+$D$69*$B123^3+$D$70*$B123^4+$D$71*I$108^1+$D$72*I$108^1*$B123^1+$D$73*I$108^1*$B123^2+$D$74*I$108^1*$B123^3+$D$75*I$108^2+$D$76*I$108^2*$B123^1+$D$77*I$108^2*$B123^2+$D$78*I$108^3+$D$79*I$108^3*$B123^1+$D$80*I$108^4</f>
        <v>0.125817945906433</v>
      </c>
      <c r="J123" s="30" t="n">
        <f aca="false">$D$66+$D$67*$B123^1+$D$68*$B123^2+$D$69*$B123^3+$D$70*$B123^4+$D$71*J$108^1+$D$72*J$108^1*$B123^1+$D$73*J$108^1*$B123^2+$D$74*J$108^1*$B123^3+$D$75*J$108^2+$D$76*J$108^2*$B123^1+$D$77*J$108^2*$B123^2+$D$78*J$108^3+$D$79*J$108^3*$B123^1+$D$80*J$108^4</f>
        <v>0.126508223684211</v>
      </c>
      <c r="K123" s="30" t="n">
        <f aca="false">$D$66+$D$67*$B123^1+$D$68*$B123^2+$D$69*$B123^3+$D$70*$B123^4+$D$71*K$108^1+$D$72*K$108^1*$B123^1+$D$73*K$108^1*$B123^2+$D$74*K$108^1*$B123^3+$D$75*K$108^2+$D$76*K$108^2*$B123^1+$D$77*K$108^2*$B123^2+$D$78*K$108^3+$D$79*K$108^3*$B123^1+$D$80*K$108^4</f>
        <v>0.12931706871345</v>
      </c>
      <c r="L123" s="30" t="n">
        <f aca="false">$D$66+$D$67*$B123^1+$D$68*$B123^2+$D$69*$B123^3+$D$70*$B123^4+$D$71*L$108^1+$D$72*L$108^1*$B123^1+$D$73*L$108^1*$B123^2+$D$74*L$108^1*$B123^3+$D$75*L$108^2+$D$76*L$108^2*$B123^1+$D$77*L$108^2*$B123^2+$D$78*L$108^3+$D$79*L$108^3*$B123^1+$D$80*L$108^4</f>
        <v>0.131928691520468</v>
      </c>
      <c r="M123" s="30" t="n">
        <f aca="false">$D$66+$D$67*$B123^1+$D$68*$B123^2+$D$69*$B123^3+$D$70*$B123^4+$D$71*M$108^1+$D$72*M$108^1*$B123^1+$D$73*M$108^1*$B123^2+$D$74*M$108^1*$B123^3+$D$75*M$108^2+$D$76*M$108^2*$B123^1+$D$77*M$108^2*$B123^2+$D$78*M$108^3+$D$79*M$108^3*$B123^1+$D$80*M$108^4</f>
        <v>0.132953618421053</v>
      </c>
      <c r="N123" s="30" t="n">
        <f aca="false">$D$66+$D$67*$B123^1+$D$68*$B123^2+$D$69*$B123^3+$D$70*$B123^4+$D$71*N$108^1+$D$72*N$108^1*$B123^1+$D$73*N$108^1*$B123^2+$D$74*N$108^1*$B123^3+$D$75*N$108^2+$D$76*N$108^2*$B123^1+$D$77*N$108^2*$B123^2+$D$78*N$108^3+$D$79*N$108^3*$B123^1+$D$80*N$108^4</f>
        <v>0.131928691520468</v>
      </c>
      <c r="O123" s="30" t="n">
        <f aca="false">$D$66+$D$67*$B123^1+$D$68*$B123^2+$D$69*$B123^3+$D$70*$B123^4+$D$71*O$108^1+$D$72*O$108^1*$B123^1+$D$73*O$108^1*$B123^2+$D$74*O$108^1*$B123^3+$D$75*O$108^2+$D$76*O$108^2*$B123^1+$D$77*O$108^2*$B123^2+$D$78*O$108^3+$D$79*O$108^3*$B123^1+$D$80*O$108^4</f>
        <v>0.12931706871345</v>
      </c>
      <c r="P123" s="30" t="n">
        <f aca="false">$D$66+$D$67*$B123^1+$D$68*$B123^2+$D$69*$B123^3+$D$70*$B123^4+$D$71*P$108^1+$D$72*P$108^1*$B123^1+$D$73*P$108^1*$B123^2+$D$74*P$108^1*$B123^3+$D$75*P$108^2+$D$76*P$108^2*$B123^1+$D$77*P$108^2*$B123^2+$D$78*P$108^3+$D$79*P$108^3*$B123^1+$D$80*P$108^4</f>
        <v>0.126508223684211</v>
      </c>
      <c r="Q123" s="30" t="n">
        <f aca="false">$D$66+$D$67*$B123^1+$D$68*$B123^2+$D$69*$B123^3+$D$70*$B123^4+$D$71*Q$108^1+$D$72*Q$108^1*$B123^1+$D$73*Q$108^1*$B123^2+$D$74*Q$108^1*$B123^3+$D$75*Q$108^2+$D$76*Q$108^2*$B123^1+$D$77*Q$108^2*$B123^2+$D$78*Q$108^3+$D$79*Q$108^3*$B123^1+$D$80*Q$108^4</f>
        <v>0.125817945906433</v>
      </c>
      <c r="R123" s="30" t="n">
        <f aca="false">$D$66+$D$67*$B123^1+$D$68*$B123^2+$D$69*$B123^3+$D$70*$B123^4+$D$71*R$108^1+$D$72*R$108^1*$B123^1+$D$73*R$108^1*$B123^2+$D$74*R$108^1*$B123^3+$D$75*R$108^2+$D$76*R$108^2*$B123^1+$D$77*R$108^2*$B123^2+$D$78*R$108^3+$D$79*R$108^3*$B123^1+$D$80*R$108^4</f>
        <v>0.130488340643275</v>
      </c>
      <c r="S123" s="30" t="n">
        <f aca="false">$D$66+$D$67*$B123^1+$D$68*$B123^2+$D$69*$B123^3+$D$70*$B123^4+$D$71*S$108^1+$D$72*S$108^1*$B123^1+$D$73*S$108^1*$B123^2+$D$74*S$108^1*$B123^3+$D$75*S$108^2+$D$76*S$108^2*$B123^1+$D$77*S$108^2*$B123^2+$D$78*S$108^3+$D$79*S$108^3*$B123^1+$D$80*S$108^4</f>
        <v>0.144687828947368</v>
      </c>
      <c r="T123" s="30" t="n">
        <f aca="false">$D$66+$D$67*$B123^1+$D$68*$B123^2+$D$69*$B123^3+$D$70*$B123^4+$D$71*T$108^1+$D$72*T$108^1*$B123^1+$D$73*T$108^1*$B123^2+$D$74*T$108^1*$B123^3+$D$75*T$108^2+$D$76*T$108^2*$B123^1+$D$77*T$108^2*$B123^2+$D$78*T$108^3+$D$79*T$108^3*$B123^1+$D$80*T$108^4</f>
        <v>0.173511147660819</v>
      </c>
      <c r="U123" s="30" t="n">
        <f aca="false">$D$66+$D$67*$B123^1+$D$68*$B123^2+$D$69*$B123^3+$D$70*$B123^4+$D$71*U$108^1+$D$72*U$108^1*$B123^1+$D$73*U$108^1*$B123^2+$D$74*U$108^1*$B123^3+$D$75*U$108^2+$D$76*U$108^2*$B123^1+$D$77*U$108^2*$B123^2+$D$78*U$108^3+$D$79*U$108^3*$B123^1+$D$80*U$108^4</f>
        <v>0.222979349415205</v>
      </c>
      <c r="V123" s="30" t="n">
        <f aca="false">$D$66+$D$67*$B123^1+$D$68*$B123^2+$D$69*$B123^3+$D$70*$B123^4+$D$71*V$108^1+$D$72*V$108^1*$B123^1+$D$73*V$108^1*$B123^2+$D$74*V$108^1*$B123^3+$D$75*V$108^2+$D$76*V$108^2*$B123^1+$D$77*V$108^2*$B123^2+$D$78*V$108^3+$D$79*V$108^3*$B123^1+$D$80*V$108^4</f>
        <v>0.300039802631579</v>
      </c>
      <c r="W123" s="30" t="n">
        <f aca="false">$D$66+$D$67*$B123^1+$D$68*$B123^2+$D$69*$B123^3+$D$70*$B123^4+$D$71*W$108^1+$D$72*W$108^1*$B123^1+$D$73*W$108^1*$B123^2+$D$74*W$108^1*$B123^3+$D$75*W$108^2+$D$76*W$108^2*$B123^1+$D$77*W$108^2*$B123^2+$D$78*W$108^3+$D$79*W$108^3*$B123^1+$D$80*W$108^4</f>
        <v>0.412566191520468</v>
      </c>
    </row>
    <row r="124" customFormat="false" ht="15" hidden="false" customHeight="false" outlineLevel="0" collapsed="false">
      <c r="B124" s="39" t="n">
        <v>-0.5</v>
      </c>
      <c r="C124" s="30" t="n">
        <f aca="false">$D$66+$D$67*$B124^1+$D$68*$B124^2+$D$69*$B124^3+$D$70*$B124^4+$D$71*C$108^1+$D$72*C$108^1*$B124^1+$D$73*C$108^1*$B124^2+$D$74*C$108^1*$B124^3+$D$75*C$108^2+$D$76*C$108^2*$B124^1+$D$77*C$108^2*$B124^2+$D$78*C$108^3+$D$79*C$108^3*$B124^1+$D$80*C$108^4</f>
        <v>0.404719480994152</v>
      </c>
      <c r="D124" s="30" t="n">
        <f aca="false">$D$66+$D$67*$B124^1+$D$68*$B124^2+$D$69*$B124^3+$D$70*$B124^4+$D$71*D$108^1+$D$72*D$108^1*$B124^1+$D$73*D$108^1*$B124^2+$D$74*D$108^1*$B124^3+$D$75*D$108^2+$D$76*D$108^2*$B124^1+$D$77*D$108^2*$B124^2+$D$78*D$108^3+$D$79*D$108^3*$B124^1+$D$80*D$108^4</f>
        <v>0.295024342105263</v>
      </c>
      <c r="E124" s="30" t="n">
        <f aca="false">$D$66+$D$67*$B124^1+$D$68*$B124^2+$D$69*$B124^3+$D$70*$B124^4+$D$71*E$108^1+$D$72*E$108^1*$B124^1+$D$73*E$108^1*$B124^2+$D$74*E$108^1*$B124^3+$D$75*E$108^2+$D$76*E$108^2*$B124^1+$D$77*E$108^2*$B124^2+$D$78*E$108^3+$D$79*E$108^3*$B124^1+$D$80*E$108^4</f>
        <v>0.220497112573099</v>
      </c>
      <c r="F124" s="30" t="n">
        <f aca="false">$D$66+$D$67*$B124^1+$D$68*$B124^2+$D$69*$B124^3+$D$70*$B124^4+$D$71*F$108^1+$D$72*F$108^1*$B124^1+$D$73*F$108^1*$B124^2+$D$74*F$108^1*$B124^3+$D$75*F$108^2+$D$76*F$108^2*$B124^1+$D$77*F$108^2*$B124^2+$D$78*F$108^3+$D$79*F$108^3*$B124^1+$D$80*F$108^4</f>
        <v>0.173264108187134</v>
      </c>
      <c r="G124" s="30" t="n">
        <f aca="false">$D$66+$D$67*$B124^1+$D$68*$B124^2+$D$69*$B124^3+$D$70*$B124^4+$D$71*G$108^1+$D$72*G$108^1*$B124^1+$D$73*G$108^1*$B124^2+$D$74*G$108^1*$B124^3+$D$75*G$108^2+$D$76*G$108^2*$B124^1+$D$77*G$108^2*$B124^2+$D$78*G$108^3+$D$79*G$108^3*$B124^1+$D$80*G$108^4</f>
        <v>0.146377960526316</v>
      </c>
      <c r="H124" s="30" t="n">
        <f aca="false">$D$66+$D$67*$B124^1+$D$68*$B124^2+$D$69*$B124^3+$D$70*$B124^4+$D$71*H$108^1+$D$72*H$108^1*$B124^1+$D$73*H$108^1*$B124^2+$D$74*H$108^1*$B124^3+$D$75*H$108^2+$D$76*H$108^2*$B124^1+$D$77*H$108^2*$B124^2+$D$78*H$108^3+$D$79*H$108^3*$B124^1+$D$80*H$108^4</f>
        <v>0.133817616959064</v>
      </c>
      <c r="I124" s="30" t="n">
        <f aca="false">$D$66+$D$67*$B124^1+$D$68*$B124^2+$D$69*$B124^3+$D$70*$B124^4+$D$71*I$108^1+$D$72*I$108^1*$B124^1+$D$73*I$108^1*$B124^2+$D$74*I$108^1*$B124^3+$D$75*I$108^2+$D$76*I$108^2*$B124^1+$D$77*I$108^2*$B124^2+$D$78*I$108^3+$D$79*I$108^3*$B124^1+$D$80*I$108^4</f>
        <v>0.130488340643275</v>
      </c>
      <c r="J124" s="30" t="n">
        <f aca="false">$D$66+$D$67*$B124^1+$D$68*$B124^2+$D$69*$B124^3+$D$70*$B124^4+$D$71*J$108^1+$D$72*J$108^1*$B124^1+$D$73*J$108^1*$B124^2+$D$74*J$108^1*$B124^3+$D$75*J$108^2+$D$76*J$108^2*$B124^1+$D$77*J$108^2*$B124^2+$D$78*J$108^3+$D$79*J$108^3*$B124^1+$D$80*J$108^4</f>
        <v>0.132221710526316</v>
      </c>
      <c r="K124" s="30" t="n">
        <f aca="false">$D$66+$D$67*$B124^1+$D$68*$B124^2+$D$69*$B124^3+$D$70*$B124^4+$D$71*K$108^1+$D$72*K$108^1*$B124^1+$D$73*K$108^1*$B124^2+$D$74*K$108^1*$B124^3+$D$75*K$108^2+$D$76*K$108^2*$B124^1+$D$77*K$108^2*$B124^2+$D$78*K$108^3+$D$79*K$108^3*$B124^1+$D$80*K$108^4</f>
        <v>0.135775621345029</v>
      </c>
      <c r="L124" s="30" t="n">
        <f aca="false">$D$66+$D$67*$B124^1+$D$68*$B124^2+$D$69*$B124^3+$D$70*$B124^4+$D$71*L$108^1+$D$72*L$108^1*$B124^1+$D$73*L$108^1*$B124^2+$D$74*L$108^1*$B124^3+$D$75*L$108^2+$D$76*L$108^2*$B124^1+$D$77*L$108^2*$B124^2+$D$78*L$108^3+$D$79*L$108^3*$B124^1+$D$80*L$108^4</f>
        <v>0.138834283625731</v>
      </c>
      <c r="M124" s="30" t="n">
        <f aca="false">$D$66+$D$67*$B124^1+$D$68*$B124^2+$D$69*$B124^3+$D$70*$B124^4+$D$71*M$108^1+$D$72*M$108^1*$B124^1+$D$73*M$108^1*$B124^2+$D$74*M$108^1*$B124^3+$D$75*M$108^2+$D$76*M$108^2*$B124^1+$D$77*M$108^2*$B124^2+$D$78*M$108^3+$D$79*M$108^3*$B124^1+$D$80*M$108^4</f>
        <v>0.140008223684211</v>
      </c>
      <c r="N124" s="30" t="n">
        <f aca="false">$D$66+$D$67*$B124^1+$D$68*$B124^2+$D$69*$B124^3+$D$70*$B124^4+$D$71*N$108^1+$D$72*N$108^1*$B124^1+$D$73*N$108^1*$B124^2+$D$74*N$108^1*$B124^3+$D$75*N$108^2+$D$76*N$108^2*$B124^1+$D$77*N$108^2*$B124^2+$D$78*N$108^3+$D$79*N$108^3*$B124^1+$D$80*N$108^4</f>
        <v>0.138834283625731</v>
      </c>
      <c r="O124" s="30" t="n">
        <f aca="false">$D$66+$D$67*$B124^1+$D$68*$B124^2+$D$69*$B124^3+$D$70*$B124^4+$D$71*O$108^1+$D$72*O$108^1*$B124^1+$D$73*O$108^1*$B124^2+$D$74*O$108^1*$B124^3+$D$75*O$108^2+$D$76*O$108^2*$B124^1+$D$77*O$108^2*$B124^2+$D$78*O$108^3+$D$79*O$108^3*$B124^1+$D$80*O$108^4</f>
        <v>0.135775621345029</v>
      </c>
      <c r="P124" s="30" t="n">
        <f aca="false">$D$66+$D$67*$B124^1+$D$68*$B124^2+$D$69*$B124^3+$D$70*$B124^4+$D$71*P$108^1+$D$72*P$108^1*$B124^1+$D$73*P$108^1*$B124^2+$D$74*P$108^1*$B124^3+$D$75*P$108^2+$D$76*P$108^2*$B124^1+$D$77*P$108^2*$B124^2+$D$78*P$108^3+$D$79*P$108^3*$B124^1+$D$80*P$108^4</f>
        <v>0.132221710526316</v>
      </c>
      <c r="Q124" s="30" t="n">
        <f aca="false">$D$66+$D$67*$B124^1+$D$68*$B124^2+$D$69*$B124^3+$D$70*$B124^4+$D$71*Q$108^1+$D$72*Q$108^1*$B124^1+$D$73*Q$108^1*$B124^2+$D$74*Q$108^1*$B124^3+$D$75*Q$108^2+$D$76*Q$108^2*$B124^1+$D$77*Q$108^2*$B124^2+$D$78*Q$108^3+$D$79*Q$108^3*$B124^1+$D$80*Q$108^4</f>
        <v>0.130488340643275</v>
      </c>
      <c r="R124" s="30" t="n">
        <f aca="false">$D$66+$D$67*$B124^1+$D$68*$B124^2+$D$69*$B124^3+$D$70*$B124^4+$D$71*R$108^1+$D$72*R$108^1*$B124^1+$D$73*R$108^1*$B124^2+$D$74*R$108^1*$B124^3+$D$75*R$108^2+$D$76*R$108^2*$B124^1+$D$77*R$108^2*$B124^2+$D$78*R$108^3+$D$79*R$108^3*$B124^1+$D$80*R$108^4</f>
        <v>0.133817616959064</v>
      </c>
      <c r="S124" s="30" t="n">
        <f aca="false">$D$66+$D$67*$B124^1+$D$68*$B124^2+$D$69*$B124^3+$D$70*$B124^4+$D$71*S$108^1+$D$72*S$108^1*$B124^1+$D$73*S$108^1*$B124^2+$D$74*S$108^1*$B124^3+$D$75*S$108^2+$D$76*S$108^2*$B124^1+$D$77*S$108^2*$B124^2+$D$78*S$108^3+$D$79*S$108^3*$B124^1+$D$80*S$108^4</f>
        <v>0.146377960526316</v>
      </c>
      <c r="T124" s="30" t="n">
        <f aca="false">$D$66+$D$67*$B124^1+$D$68*$B124^2+$D$69*$B124^3+$D$70*$B124^4+$D$71*T$108^1+$D$72*T$108^1*$B124^1+$D$73*T$108^1*$B124^2+$D$74*T$108^1*$B124^3+$D$75*T$108^2+$D$76*T$108^2*$B124^1+$D$77*T$108^2*$B124^2+$D$78*T$108^3+$D$79*T$108^3*$B124^1+$D$80*T$108^4</f>
        <v>0.173264108187134</v>
      </c>
      <c r="U124" s="30" t="n">
        <f aca="false">$D$66+$D$67*$B124^1+$D$68*$B124^2+$D$69*$B124^3+$D$70*$B124^4+$D$71*U$108^1+$D$72*U$108^1*$B124^1+$D$73*U$108^1*$B124^2+$D$74*U$108^1*$B124^3+$D$75*U$108^2+$D$76*U$108^2*$B124^1+$D$77*U$108^2*$B124^2+$D$78*U$108^3+$D$79*U$108^3*$B124^1+$D$80*U$108^4</f>
        <v>0.220497112573099</v>
      </c>
      <c r="V124" s="30" t="n">
        <f aca="false">$D$66+$D$67*$B124^1+$D$68*$B124^2+$D$69*$B124^3+$D$70*$B124^4+$D$71*V$108^1+$D$72*V$108^1*$B124^1+$D$73*V$108^1*$B124^2+$D$74*V$108^1*$B124^3+$D$75*V$108^2+$D$76*V$108^2*$B124^1+$D$77*V$108^2*$B124^2+$D$78*V$108^3+$D$79*V$108^3*$B124^1+$D$80*V$108^4</f>
        <v>0.295024342105263</v>
      </c>
      <c r="W124" s="30" t="n">
        <f aca="false">$D$66+$D$67*$B124^1+$D$68*$B124^2+$D$69*$B124^3+$D$70*$B124^4+$D$71*W$108^1+$D$72*W$108^1*$B124^1+$D$73*W$108^1*$B124^2+$D$74*W$108^1*$B124^3+$D$75*W$108^2+$D$76*W$108^2*$B124^1+$D$77*W$108^2*$B124^2+$D$78*W$108^3+$D$79*W$108^3*$B124^1+$D$80*W$108^4</f>
        <v>0.404719480994152</v>
      </c>
    </row>
    <row r="125" customFormat="false" ht="15" hidden="false" customHeight="false" outlineLevel="0" collapsed="false">
      <c r="B125" s="39" t="n">
        <v>-0.6</v>
      </c>
      <c r="C125" s="30" t="n">
        <f aca="false">$D$66+$D$67*$B125^1+$D$68*$B125^2+$D$69*$B125^3+$D$70*$B125^4+$D$71*C$108^1+$D$72*C$108^1*$B125^1+$D$73*C$108^1*$B125^2+$D$74*C$108^1*$B125^3+$D$75*C$108^2+$D$76*C$108^2*$B125^1+$D$77*C$108^2*$B125^2+$D$78*C$108^3+$D$79*C$108^3*$B125^1+$D$80*C$108^4</f>
        <v>0.403620285087719</v>
      </c>
      <c r="D125" s="30" t="n">
        <f aca="false">$D$66+$D$67*$B125^1+$D$68*$B125^2+$D$69*$B125^3+$D$70*$B125^4+$D$71*D$108^1+$D$72*D$108^1*$B125^1+$D$73*D$108^1*$B125^2+$D$74*D$108^1*$B125^3+$D$75*D$108^2+$D$76*D$108^2*$B125^1+$D$77*D$108^2*$B125^2+$D$78*D$108^3+$D$79*D$108^3*$B125^1+$D$80*D$108^4</f>
        <v>0.297385562865497</v>
      </c>
      <c r="E125" s="30" t="n">
        <f aca="false">$D$66+$D$67*$B125^1+$D$68*$B125^2+$D$69*$B125^3+$D$70*$B125^4+$D$71*E$108^1+$D$72*E$108^1*$B125^1+$D$73*E$108^1*$B125^2+$D$74*E$108^1*$B125^3+$D$75*E$108^2+$D$76*E$108^2*$B125^1+$D$77*E$108^2*$B125^2+$D$78*E$108^3+$D$79*E$108^3*$B125^1+$D$80*E$108^4</f>
        <v>0.225954495614035</v>
      </c>
      <c r="F125" s="30" t="n">
        <f aca="false">$D$66+$D$67*$B125^1+$D$68*$B125^2+$D$69*$B125^3+$D$70*$B125^4+$D$71*F$108^1+$D$72*F$108^1*$B125^1+$D$73*F$108^1*$B125^2+$D$74*F$108^1*$B125^3+$D$75*F$108^2+$D$76*F$108^2*$B125^1+$D$77*F$108^2*$B125^2+$D$78*F$108^3+$D$79*F$108^3*$B125^1+$D$80*F$108^4</f>
        <v>0.181453399122807</v>
      </c>
      <c r="G125" s="30" t="n">
        <f aca="false">$D$66+$D$67*$B125^1+$D$68*$B125^2+$D$69*$B125^3+$D$70*$B125^4+$D$71*G$108^1+$D$72*G$108^1*$B125^1+$D$73*G$108^1*$B125^2+$D$74*G$108^1*$B125^3+$D$75*G$108^2+$D$76*G$108^2*$B125^1+$D$77*G$108^2*$B125^2+$D$78*G$108^3+$D$79*G$108^3*$B125^1+$D$80*G$108^4</f>
        <v>0.15693490497076</v>
      </c>
      <c r="H125" s="30" t="n">
        <f aca="false">$D$66+$D$67*$B125^1+$D$68*$B125^2+$D$69*$B125^3+$D$70*$B125^4+$D$71*H$108^1+$D$72*H$108^1*$B125^1+$D$73*H$108^1*$B125^2+$D$74*H$108^1*$B125^3+$D$75*H$108^2+$D$76*H$108^2*$B125^1+$D$77*H$108^2*$B125^2+$D$78*H$108^3+$D$79*H$108^3*$B125^1+$D$80*H$108^4</f>
        <v>0.146377960526316</v>
      </c>
      <c r="I125" s="30" t="n">
        <f aca="false">$D$66+$D$67*$B125^1+$D$68*$B125^2+$D$69*$B125^3+$D$70*$B125^4+$D$71*I$108^1+$D$72*I$108^1*$B125^1+$D$73*I$108^1*$B125^2+$D$74*I$108^1*$B125^3+$D$75*I$108^2+$D$76*I$108^2*$B125^1+$D$77*I$108^2*$B125^2+$D$78*I$108^3+$D$79*I$108^3*$B125^1+$D$80*I$108^4</f>
        <v>0.144687828947368</v>
      </c>
      <c r="J125" s="30" t="n">
        <f aca="false">$D$66+$D$67*$B125^1+$D$68*$B125^2+$D$69*$B125^3+$D$70*$B125^4+$D$71*J$108^1+$D$72*J$108^1*$B125^1+$D$73*J$108^1*$B125^2+$D$74*J$108^1*$B125^3+$D$75*J$108^2+$D$76*J$108^2*$B125^1+$D$77*J$108^2*$B125^2+$D$78*J$108^3+$D$79*J$108^3*$B125^1+$D$80*J$108^4</f>
        <v>0.147696089181287</v>
      </c>
      <c r="K125" s="30" t="n">
        <f aca="false">$D$66+$D$67*$B125^1+$D$68*$B125^2+$D$69*$B125^3+$D$70*$B125^4+$D$71*K$108^1+$D$72*K$108^1*$B125^1+$D$73*K$108^1*$B125^2+$D$74*K$108^1*$B125^3+$D$75*K$108^2+$D$76*K$108^2*$B125^1+$D$77*K$108^2*$B125^2+$D$78*K$108^3+$D$79*K$108^3*$B125^1+$D$80*K$108^4</f>
        <v>0.152160635964912</v>
      </c>
      <c r="L125" s="30" t="n">
        <f aca="false">$D$66+$D$67*$B125^1+$D$68*$B125^2+$D$69*$B125^3+$D$70*$B125^4+$D$71*L$108^1+$D$72*L$108^1*$B125^1+$D$73*L$108^1*$B125^2+$D$74*L$108^1*$B125^3+$D$75*L$108^2+$D$76*L$108^2*$B125^1+$D$77*L$108^2*$B125^2+$D$78*L$108^3+$D$79*L$108^3*$B125^1+$D$80*L$108^4</f>
        <v>0.155765679824561</v>
      </c>
      <c r="M125" s="30" t="n">
        <f aca="false">$D$66+$D$67*$B125^1+$D$68*$B125^2+$D$69*$B125^3+$D$70*$B125^4+$D$71*M$108^1+$D$72*M$108^1*$B125^1+$D$73*M$108^1*$B125^2+$D$74*M$108^1*$B125^3+$D$75*M$108^2+$D$76*M$108^2*$B125^1+$D$77*M$108^2*$B125^2+$D$78*M$108^3+$D$79*M$108^3*$B125^1+$D$80*M$108^4</f>
        <v>0.157121747076023</v>
      </c>
      <c r="N125" s="30" t="n">
        <f aca="false">$D$66+$D$67*$B125^1+$D$68*$B125^2+$D$69*$B125^3+$D$70*$B125^4+$D$71*N$108^1+$D$72*N$108^1*$B125^1+$D$73*N$108^1*$B125^2+$D$74*N$108^1*$B125^3+$D$75*N$108^2+$D$76*N$108^2*$B125^1+$D$77*N$108^2*$B125^2+$D$78*N$108^3+$D$79*N$108^3*$B125^1+$D$80*N$108^4</f>
        <v>0.155765679824561</v>
      </c>
      <c r="O125" s="30" t="n">
        <f aca="false">$D$66+$D$67*$B125^1+$D$68*$B125^2+$D$69*$B125^3+$D$70*$B125^4+$D$71*O$108^1+$D$72*O$108^1*$B125^1+$D$73*O$108^1*$B125^2+$D$74*O$108^1*$B125^3+$D$75*O$108^2+$D$76*O$108^2*$B125^1+$D$77*O$108^2*$B125^2+$D$78*O$108^3+$D$79*O$108^3*$B125^1+$D$80*O$108^4</f>
        <v>0.152160635964912</v>
      </c>
      <c r="P125" s="30" t="n">
        <f aca="false">$D$66+$D$67*$B125^1+$D$68*$B125^2+$D$69*$B125^3+$D$70*$B125^4+$D$71*P$108^1+$D$72*P$108^1*$B125^1+$D$73*P$108^1*$B125^2+$D$74*P$108^1*$B125^3+$D$75*P$108^2+$D$76*P$108^2*$B125^1+$D$77*P$108^2*$B125^2+$D$78*P$108^3+$D$79*P$108^3*$B125^1+$D$80*P$108^4</f>
        <v>0.147696089181287</v>
      </c>
      <c r="Q125" s="30" t="n">
        <f aca="false">$D$66+$D$67*$B125^1+$D$68*$B125^2+$D$69*$B125^3+$D$70*$B125^4+$D$71*Q$108^1+$D$72*Q$108^1*$B125^1+$D$73*Q$108^1*$B125^2+$D$74*Q$108^1*$B125^3+$D$75*Q$108^2+$D$76*Q$108^2*$B125^1+$D$77*Q$108^2*$B125^2+$D$78*Q$108^3+$D$79*Q$108^3*$B125^1+$D$80*Q$108^4</f>
        <v>0.144687828947368</v>
      </c>
      <c r="R125" s="30" t="n">
        <f aca="false">$D$66+$D$67*$B125^1+$D$68*$B125^2+$D$69*$B125^3+$D$70*$B125^4+$D$71*R$108^1+$D$72*R$108^1*$B125^1+$D$73*R$108^1*$B125^2+$D$74*R$108^1*$B125^3+$D$75*R$108^2+$D$76*R$108^2*$B125^1+$D$77*R$108^2*$B125^2+$D$78*R$108^3+$D$79*R$108^3*$B125^1+$D$80*R$108^4</f>
        <v>0.146377960526316</v>
      </c>
      <c r="S125" s="30" t="n">
        <f aca="false">$D$66+$D$67*$B125^1+$D$68*$B125^2+$D$69*$B125^3+$D$70*$B125^4+$D$71*S$108^1+$D$72*S$108^1*$B125^1+$D$73*S$108^1*$B125^2+$D$74*S$108^1*$B125^3+$D$75*S$108^2+$D$76*S$108^2*$B125^1+$D$77*S$108^2*$B125^2+$D$78*S$108^3+$D$79*S$108^3*$B125^1+$D$80*S$108^4</f>
        <v>0.15693490497076</v>
      </c>
      <c r="T125" s="30" t="n">
        <f aca="false">$D$66+$D$67*$B125^1+$D$68*$B125^2+$D$69*$B125^3+$D$70*$B125^4+$D$71*T$108^1+$D$72*T$108^1*$B125^1+$D$73*T$108^1*$B125^2+$D$74*T$108^1*$B125^3+$D$75*T$108^2+$D$76*T$108^2*$B125^1+$D$77*T$108^2*$B125^2+$D$78*T$108^3+$D$79*T$108^3*$B125^1+$D$80*T$108^4</f>
        <v>0.181453399122807</v>
      </c>
      <c r="U125" s="30" t="n">
        <f aca="false">$D$66+$D$67*$B125^1+$D$68*$B125^2+$D$69*$B125^3+$D$70*$B125^4+$D$71*U$108^1+$D$72*U$108^1*$B125^1+$D$73*U$108^1*$B125^2+$D$74*U$108^1*$B125^3+$D$75*U$108^2+$D$76*U$108^2*$B125^1+$D$77*U$108^2*$B125^2+$D$78*U$108^3+$D$79*U$108^3*$B125^1+$D$80*U$108^4</f>
        <v>0.225954495614035</v>
      </c>
      <c r="V125" s="30" t="n">
        <f aca="false">$D$66+$D$67*$B125^1+$D$68*$B125^2+$D$69*$B125^3+$D$70*$B125^4+$D$71*V$108^1+$D$72*V$108^1*$B125^1+$D$73*V$108^1*$B125^2+$D$74*V$108^1*$B125^3+$D$75*V$108^2+$D$76*V$108^2*$B125^1+$D$77*V$108^2*$B125^2+$D$78*V$108^3+$D$79*V$108^3*$B125^1+$D$80*V$108^4</f>
        <v>0.297385562865497</v>
      </c>
      <c r="W125" s="30" t="n">
        <f aca="false">$D$66+$D$67*$B125^1+$D$68*$B125^2+$D$69*$B125^3+$D$70*$B125^4+$D$71*W$108^1+$D$72*W$108^1*$B125^1+$D$73*W$108^1*$B125^2+$D$74*W$108^1*$B125^3+$D$75*W$108^2+$D$76*W$108^2*$B125^1+$D$77*W$108^2*$B125^2+$D$78*W$108^3+$D$79*W$108^3*$B125^1+$D$80*W$108^4</f>
        <v>0.403620285087719</v>
      </c>
    </row>
    <row r="126" customFormat="false" ht="15" hidden="false" customHeight="false" outlineLevel="0" collapsed="false">
      <c r="B126" s="39" t="n">
        <v>-0.7</v>
      </c>
      <c r="C126" s="30" t="n">
        <f aca="false">$D$66+$D$67*$B126^1+$D$68*$B126^2+$D$69*$B126^3+$D$70*$B126^4+$D$71*C$108^1+$D$72*C$108^1*$B126^1+$D$73*C$108^1*$B126^2+$D$74*C$108^1*$B126^3+$D$75*C$108^2+$D$76*C$108^2*$B126^1+$D$77*C$108^2*$B126^2+$D$78*C$108^3+$D$79*C$108^3*$B126^1+$D$80*C$108^4</f>
        <v>0.414363340643275</v>
      </c>
      <c r="D126" s="30" t="n">
        <f aca="false">$D$66+$D$67*$B126^1+$D$68*$B126^2+$D$69*$B126^3+$D$70*$B126^4+$D$71*D$108^1+$D$72*D$108^1*$B126^1+$D$73*D$108^1*$B126^2+$D$74*D$108^1*$B126^3+$D$75*D$108^2+$D$76*D$108^2*$B126^1+$D$77*D$108^2*$B126^2+$D$78*D$108^3+$D$79*D$108^3*$B126^1+$D$80*D$108^4</f>
        <v>0.312218201754386</v>
      </c>
      <c r="E126" s="30" t="n">
        <f aca="false">$D$66+$D$67*$B126^1+$D$68*$B126^2+$D$69*$B126^3+$D$70*$B126^4+$D$71*E$108^1+$D$72*E$108^1*$B126^1+$D$73*E$108^1*$B126^2+$D$74*E$108^1*$B126^3+$D$75*E$108^2+$D$76*E$108^2*$B126^1+$D$77*E$108^2*$B126^2+$D$78*E$108^3+$D$79*E$108^3*$B126^1+$D$80*E$108^4</f>
        <v>0.244446235380117</v>
      </c>
      <c r="F126" s="30" t="n">
        <f aca="false">$D$66+$D$67*$B126^1+$D$68*$B126^2+$D$69*$B126^3+$D$70*$B126^4+$D$71*F$108^1+$D$72*F$108^1*$B126^1+$D$73*F$108^1*$B126^2+$D$74*F$108^1*$B126^3+$D$75*F$108^2+$D$76*F$108^2*$B126^1+$D$77*F$108^2*$B126^2+$D$78*F$108^3+$D$79*F$108^3*$B126^1+$D$80*F$108^4</f>
        <v>0.203173757309941</v>
      </c>
      <c r="G126" s="30" t="n">
        <f aca="false">$D$66+$D$67*$B126^1+$D$68*$B126^2+$D$69*$B126^3+$D$70*$B126^4+$D$71*G$108^1+$D$72*G$108^1*$B126^1+$D$73*G$108^1*$B126^2+$D$74*G$108^1*$B126^3+$D$75*G$108^2+$D$76*G$108^2*$B126^1+$D$77*G$108^2*$B126^2+$D$78*G$108^3+$D$79*G$108^3*$B126^1+$D$80*G$108^4</f>
        <v>0.181453399122807</v>
      </c>
      <c r="H126" s="30" t="n">
        <f aca="false">$D$66+$D$67*$B126^1+$D$68*$B126^2+$D$69*$B126^3+$D$70*$B126^4+$D$71*H$108^1+$D$72*H$108^1*$B126^1+$D$73*H$108^1*$B126^2+$D$74*H$108^1*$B126^3+$D$75*H$108^2+$D$76*H$108^2*$B126^1+$D$77*H$108^2*$B126^2+$D$78*H$108^3+$D$79*H$108^3*$B126^1+$D$80*H$108^4</f>
        <v>0.173264108187135</v>
      </c>
      <c r="I126" s="30" t="n">
        <f aca="false">$D$66+$D$67*$B126^1+$D$68*$B126^2+$D$69*$B126^3+$D$70*$B126^4+$D$71*I$108^1+$D$72*I$108^1*$B126^1+$D$73*I$108^1*$B126^2+$D$74*I$108^1*$B126^3+$D$75*I$108^2+$D$76*I$108^2*$B126^1+$D$77*I$108^2*$B126^2+$D$78*I$108^3+$D$79*I$108^3*$B126^1+$D$80*I$108^4</f>
        <v>0.173511147660819</v>
      </c>
      <c r="J126" s="30" t="n">
        <f aca="false">$D$66+$D$67*$B126^1+$D$68*$B126^2+$D$69*$B126^3+$D$70*$B126^4+$D$71*J$108^1+$D$72*J$108^1*$B126^1+$D$73*J$108^1*$B126^2+$D$74*J$108^1*$B126^3+$D$75*J$108^2+$D$76*J$108^2*$B126^1+$D$77*J$108^2*$B126^2+$D$78*J$108^3+$D$79*J$108^3*$B126^1+$D$80*J$108^4</f>
        <v>0.178026096491228</v>
      </c>
      <c r="K126" s="30" t="n">
        <f aca="false">$D$66+$D$67*$B126^1+$D$68*$B126^2+$D$69*$B126^3+$D$70*$B126^4+$D$71*K$108^1+$D$72*K$108^1*$B126^1+$D$73*K$108^1*$B126^2+$D$74*K$108^1*$B126^3+$D$75*K$108^2+$D$76*K$108^2*$B126^1+$D$77*K$108^2*$B126^2+$D$78*K$108^3+$D$79*K$108^3*$B126^1+$D$80*K$108^4</f>
        <v>0.183566849415205</v>
      </c>
      <c r="L126" s="30" t="n">
        <f aca="false">$D$66+$D$67*$B126^1+$D$68*$B126^2+$D$69*$B126^3+$D$70*$B126^4+$D$71*L$108^1+$D$72*L$108^1*$B126^1+$D$73*L$108^1*$B126^2+$D$74*L$108^1*$B126^3+$D$75*L$108^2+$D$76*L$108^2*$B126^1+$D$77*L$108^2*$B126^2+$D$78*L$108^3+$D$79*L$108^3*$B126^1+$D$80*L$108^4</f>
        <v>0.187817616959064</v>
      </c>
      <c r="M126" s="30" t="n">
        <f aca="false">$D$66+$D$67*$B126^1+$D$68*$B126^2+$D$69*$B126^3+$D$70*$B126^4+$D$71*M$108^1+$D$72*M$108^1*$B126^1+$D$73*M$108^1*$B126^2+$D$74*M$108^1*$B126^3+$D$75*M$108^2+$D$76*M$108^2*$B126^1+$D$77*M$108^2*$B126^2+$D$78*M$108^3+$D$79*M$108^3*$B126^1+$D$80*M$108^4</f>
        <v>0.189388925438596</v>
      </c>
      <c r="N126" s="30" t="n">
        <f aca="false">$D$66+$D$67*$B126^1+$D$68*$B126^2+$D$69*$B126^3+$D$70*$B126^4+$D$71*N$108^1+$D$72*N$108^1*$B126^1+$D$73*N$108^1*$B126^2+$D$74*N$108^1*$B126^3+$D$75*N$108^2+$D$76*N$108^2*$B126^1+$D$77*N$108^2*$B126^2+$D$78*N$108^3+$D$79*N$108^3*$B126^1+$D$80*N$108^4</f>
        <v>0.187817616959064</v>
      </c>
      <c r="O126" s="30" t="n">
        <f aca="false">$D$66+$D$67*$B126^1+$D$68*$B126^2+$D$69*$B126^3+$D$70*$B126^4+$D$71*O$108^1+$D$72*O$108^1*$B126^1+$D$73*O$108^1*$B126^2+$D$74*O$108^1*$B126^3+$D$75*O$108^2+$D$76*O$108^2*$B126^1+$D$77*O$108^2*$B126^2+$D$78*O$108^3+$D$79*O$108^3*$B126^1+$D$80*O$108^4</f>
        <v>0.183566849415205</v>
      </c>
      <c r="P126" s="30" t="n">
        <f aca="false">$D$66+$D$67*$B126^1+$D$68*$B126^2+$D$69*$B126^3+$D$70*$B126^4+$D$71*P$108^1+$D$72*P$108^1*$B126^1+$D$73*P$108^1*$B126^2+$D$74*P$108^1*$B126^3+$D$75*P$108^2+$D$76*P$108^2*$B126^1+$D$77*P$108^2*$B126^2+$D$78*P$108^3+$D$79*P$108^3*$B126^1+$D$80*P$108^4</f>
        <v>0.178026096491228</v>
      </c>
      <c r="Q126" s="30" t="n">
        <f aca="false">$D$66+$D$67*$B126^1+$D$68*$B126^2+$D$69*$B126^3+$D$70*$B126^4+$D$71*Q$108^1+$D$72*Q$108^1*$B126^1+$D$73*Q$108^1*$B126^2+$D$74*Q$108^1*$B126^3+$D$75*Q$108^2+$D$76*Q$108^2*$B126^1+$D$77*Q$108^2*$B126^2+$D$78*Q$108^3+$D$79*Q$108^3*$B126^1+$D$80*Q$108^4</f>
        <v>0.173511147660819</v>
      </c>
      <c r="R126" s="30" t="n">
        <f aca="false">$D$66+$D$67*$B126^1+$D$68*$B126^2+$D$69*$B126^3+$D$70*$B126^4+$D$71*R$108^1+$D$72*R$108^1*$B126^1+$D$73*R$108^1*$B126^2+$D$74*R$108^1*$B126^3+$D$75*R$108^2+$D$76*R$108^2*$B126^1+$D$77*R$108^2*$B126^2+$D$78*R$108^3+$D$79*R$108^3*$B126^1+$D$80*R$108^4</f>
        <v>0.173264108187135</v>
      </c>
      <c r="S126" s="30" t="n">
        <f aca="false">$D$66+$D$67*$B126^1+$D$68*$B126^2+$D$69*$B126^3+$D$70*$B126^4+$D$71*S$108^1+$D$72*S$108^1*$B126^1+$D$73*S$108^1*$B126^2+$D$74*S$108^1*$B126^3+$D$75*S$108^2+$D$76*S$108^2*$B126^1+$D$77*S$108^2*$B126^2+$D$78*S$108^3+$D$79*S$108^3*$B126^1+$D$80*S$108^4</f>
        <v>0.181453399122807</v>
      </c>
      <c r="T126" s="30" t="n">
        <f aca="false">$D$66+$D$67*$B126^1+$D$68*$B126^2+$D$69*$B126^3+$D$70*$B126^4+$D$71*T$108^1+$D$72*T$108^1*$B126^1+$D$73*T$108^1*$B126^2+$D$74*T$108^1*$B126^3+$D$75*T$108^2+$D$76*T$108^2*$B126^1+$D$77*T$108^2*$B126^2+$D$78*T$108^3+$D$79*T$108^3*$B126^1+$D$80*T$108^4</f>
        <v>0.203173757309941</v>
      </c>
      <c r="U126" s="30" t="n">
        <f aca="false">$D$66+$D$67*$B126^1+$D$68*$B126^2+$D$69*$B126^3+$D$70*$B126^4+$D$71*U$108^1+$D$72*U$108^1*$B126^1+$D$73*U$108^1*$B126^2+$D$74*U$108^1*$B126^3+$D$75*U$108^2+$D$76*U$108^2*$B126^1+$D$77*U$108^2*$B126^2+$D$78*U$108^3+$D$79*U$108^3*$B126^1+$D$80*U$108^4</f>
        <v>0.244446235380117</v>
      </c>
      <c r="V126" s="30" t="n">
        <f aca="false">$D$66+$D$67*$B126^1+$D$68*$B126^2+$D$69*$B126^3+$D$70*$B126^4+$D$71*V$108^1+$D$72*V$108^1*$B126^1+$D$73*V$108^1*$B126^2+$D$74*V$108^1*$B126^3+$D$75*V$108^2+$D$76*V$108^2*$B126^1+$D$77*V$108^2*$B126^2+$D$78*V$108^3+$D$79*V$108^3*$B126^1+$D$80*V$108^4</f>
        <v>0.312218201754386</v>
      </c>
      <c r="W126" s="30" t="n">
        <f aca="false">$D$66+$D$67*$B126^1+$D$68*$B126^2+$D$69*$B126^3+$D$70*$B126^4+$D$71*W$108^1+$D$72*W$108^1*$B126^1+$D$73*W$108^1*$B126^2+$D$74*W$108^1*$B126^3+$D$75*W$108^2+$D$76*W$108^2*$B126^1+$D$77*W$108^2*$B126^2+$D$78*W$108^3+$D$79*W$108^3*$B126^1+$D$80*W$108^4</f>
        <v>0.414363340643275</v>
      </c>
    </row>
    <row r="127" customFormat="false" ht="15" hidden="false" customHeight="false" outlineLevel="0" collapsed="false">
      <c r="B127" s="39" t="n">
        <v>-0.8</v>
      </c>
      <c r="C127" s="30" t="n">
        <f aca="false">$D$66+$D$67*$B127^1+$D$68*$B127^2+$D$69*$B127^3+$D$70*$B127^4+$D$71*C$108^1+$D$72*C$108^1*$B127^1+$D$73*C$108^1*$B127^2+$D$74*C$108^1*$B127^3+$D$75*C$108^2+$D$76*C$108^2*$B127^1+$D$77*C$108^2*$B127^2+$D$78*C$108^3+$D$79*C$108^3*$B127^1+$D$80*C$108^4</f>
        <v>0.442969700292398</v>
      </c>
      <c r="D127" s="30" t="n">
        <f aca="false">$D$66+$D$67*$B127^1+$D$68*$B127^2+$D$69*$B127^3+$D$70*$B127^4+$D$71*D$108^1+$D$72*D$108^1*$B127^1+$D$73*D$108^1*$B127^2+$D$74*D$108^1*$B127^3+$D$75*D$108^2+$D$76*D$108^2*$B127^1+$D$77*D$108^2*$B127^2+$D$78*D$108^3+$D$79*D$108^3*$B127^1+$D$80*D$108^4</f>
        <v>0.345543311403509</v>
      </c>
      <c r="E127" s="30" t="n">
        <f aca="false">$D$66+$D$67*$B127^1+$D$68*$B127^2+$D$69*$B127^3+$D$70*$B127^4+$D$71*E$108^1+$D$72*E$108^1*$B127^1+$D$73*E$108^1*$B127^2+$D$74*E$108^1*$B127^3+$D$75*E$108^2+$D$76*E$108^2*$B127^1+$D$77*E$108^2*$B127^2+$D$78*E$108^3+$D$79*E$108^3*$B127^1+$D$80*E$108^4</f>
        <v>0.281993384502924</v>
      </c>
      <c r="F127" s="30" t="n">
        <f aca="false">$D$66+$D$67*$B127^1+$D$68*$B127^2+$D$69*$B127^3+$D$70*$B127^4+$D$71*F$108^1+$D$72*F$108^1*$B127^1+$D$73*F$108^1*$B127^2+$D$74*F$108^1*$B127^3+$D$75*F$108^2+$D$76*F$108^2*$B127^1+$D$77*F$108^2*$B127^2+$D$78*F$108^3+$D$79*F$108^3*$B127^1+$D$80*F$108^4</f>
        <v>0.244446235380117</v>
      </c>
      <c r="G127" s="30" t="n">
        <f aca="false">$D$66+$D$67*$B127^1+$D$68*$B127^2+$D$69*$B127^3+$D$70*$B127^4+$D$71*G$108^1+$D$72*G$108^1*$B127^1+$D$73*G$108^1*$B127^2+$D$74*G$108^1*$B127^3+$D$75*G$108^2+$D$76*G$108^2*$B127^1+$D$77*G$108^2*$B127^2+$D$78*G$108^3+$D$79*G$108^3*$B127^1+$D$80*G$108^4</f>
        <v>0.225954495614035</v>
      </c>
      <c r="H127" s="30" t="n">
        <f aca="false">$D$66+$D$67*$B127^1+$D$68*$B127^2+$D$69*$B127^3+$D$70*$B127^4+$D$71*H$108^1+$D$72*H$108^1*$B127^1+$D$73*H$108^1*$B127^2+$D$74*H$108^1*$B127^3+$D$75*H$108^2+$D$76*H$108^2*$B127^1+$D$77*H$108^2*$B127^2+$D$78*H$108^3+$D$79*H$108^3*$B127^1+$D$80*H$108^4</f>
        <v>0.220497112573099</v>
      </c>
      <c r="I127" s="30" t="n">
        <f aca="false">$D$66+$D$67*$B127^1+$D$68*$B127^2+$D$69*$B127^3+$D$70*$B127^4+$D$71*I$108^1+$D$72*I$108^1*$B127^1+$D$73*I$108^1*$B127^2+$D$74*I$108^1*$B127^3+$D$75*I$108^2+$D$76*I$108^2*$B127^1+$D$77*I$108^2*$B127^2+$D$78*I$108^3+$D$79*I$108^3*$B127^1+$D$80*I$108^4</f>
        <v>0.222979349415205</v>
      </c>
      <c r="J127" s="30" t="n">
        <f aca="false">$D$66+$D$67*$B127^1+$D$68*$B127^2+$D$69*$B127^3+$D$70*$B127^4+$D$71*J$108^1+$D$72*J$108^1*$B127^1+$D$73*J$108^1*$B127^2+$D$74*J$108^1*$B127^3+$D$75*J$108^2+$D$76*J$108^2*$B127^1+$D$77*J$108^2*$B127^2+$D$78*J$108^3+$D$79*J$108^3*$B127^1+$D$80*J$108^4</f>
        <v>0.229232785087719</v>
      </c>
      <c r="K127" s="30" t="n">
        <f aca="false">$D$66+$D$67*$B127^1+$D$68*$B127^2+$D$69*$B127^3+$D$70*$B127^4+$D$71*K$108^1+$D$72*K$108^1*$B127^1+$D$73*K$108^1*$B127^2+$D$74*K$108^1*$B127^3+$D$75*K$108^2+$D$76*K$108^2*$B127^1+$D$77*K$108^2*$B127^2+$D$78*K$108^3+$D$79*K$108^3*$B127^1+$D$80*K$108^4</f>
        <v>0.236015314327485</v>
      </c>
      <c r="L127" s="30" t="n">
        <f aca="false">$D$66+$D$67*$B127^1+$D$68*$B127^2+$D$69*$B127^3+$D$70*$B127^4+$D$71*L$108^1+$D$72*L$108^1*$B127^1+$D$73*L$108^1*$B127^2+$D$74*L$108^1*$B127^3+$D$75*L$108^2+$D$76*L$108^2*$B127^1+$D$77*L$108^2*$B127^2+$D$78*L$108^3+$D$79*L$108^3*$B127^1+$D$80*L$108^4</f>
        <v>0.241011147660819</v>
      </c>
      <c r="M127" s="30" t="n">
        <f aca="false">$D$66+$D$67*$B127^1+$D$68*$B127^2+$D$69*$B127^3+$D$70*$B127^4+$D$71*M$108^1+$D$72*M$108^1*$B127^1+$D$73*M$108^1*$B127^2+$D$74*M$108^1*$B127^3+$D$75*M$108^2+$D$76*M$108^2*$B127^1+$D$77*M$108^2*$B127^2+$D$78*M$108^3+$D$79*M$108^3*$B127^1+$D$80*M$108^4</f>
        <v>0.242830811403509</v>
      </c>
      <c r="N127" s="30" t="n">
        <f aca="false">$D$66+$D$67*$B127^1+$D$68*$B127^2+$D$69*$B127^3+$D$70*$B127^4+$D$71*N$108^1+$D$72*N$108^1*$B127^1+$D$73*N$108^1*$B127^2+$D$74*N$108^1*$B127^3+$D$75*N$108^2+$D$76*N$108^2*$B127^1+$D$77*N$108^2*$B127^2+$D$78*N$108^3+$D$79*N$108^3*$B127^1+$D$80*N$108^4</f>
        <v>0.241011147660819</v>
      </c>
      <c r="O127" s="30" t="n">
        <f aca="false">$D$66+$D$67*$B127^1+$D$68*$B127^2+$D$69*$B127^3+$D$70*$B127^4+$D$71*O$108^1+$D$72*O$108^1*$B127^1+$D$73*O$108^1*$B127^2+$D$74*O$108^1*$B127^3+$D$75*O$108^2+$D$76*O$108^2*$B127^1+$D$77*O$108^2*$B127^2+$D$78*O$108^3+$D$79*O$108^3*$B127^1+$D$80*O$108^4</f>
        <v>0.236015314327485</v>
      </c>
      <c r="P127" s="30" t="n">
        <f aca="false">$D$66+$D$67*$B127^1+$D$68*$B127^2+$D$69*$B127^3+$D$70*$B127^4+$D$71*P$108^1+$D$72*P$108^1*$B127^1+$D$73*P$108^1*$B127^2+$D$74*P$108^1*$B127^3+$D$75*P$108^2+$D$76*P$108^2*$B127^1+$D$77*P$108^2*$B127^2+$D$78*P$108^3+$D$79*P$108^3*$B127^1+$D$80*P$108^4</f>
        <v>0.229232785087719</v>
      </c>
      <c r="Q127" s="30" t="n">
        <f aca="false">$D$66+$D$67*$B127^1+$D$68*$B127^2+$D$69*$B127^3+$D$70*$B127^4+$D$71*Q$108^1+$D$72*Q$108^1*$B127^1+$D$73*Q$108^1*$B127^2+$D$74*Q$108^1*$B127^3+$D$75*Q$108^2+$D$76*Q$108^2*$B127^1+$D$77*Q$108^2*$B127^2+$D$78*Q$108^3+$D$79*Q$108^3*$B127^1+$D$80*Q$108^4</f>
        <v>0.222979349415205</v>
      </c>
      <c r="R127" s="30" t="n">
        <f aca="false">$D$66+$D$67*$B127^1+$D$68*$B127^2+$D$69*$B127^3+$D$70*$B127^4+$D$71*R$108^1+$D$72*R$108^1*$B127^1+$D$73*R$108^1*$B127^2+$D$74*R$108^1*$B127^3+$D$75*R$108^2+$D$76*R$108^2*$B127^1+$D$77*R$108^2*$B127^2+$D$78*R$108^3+$D$79*R$108^3*$B127^1+$D$80*R$108^4</f>
        <v>0.220497112573099</v>
      </c>
      <c r="S127" s="30" t="n">
        <f aca="false">$D$66+$D$67*$B127^1+$D$68*$B127^2+$D$69*$B127^3+$D$70*$B127^4+$D$71*S$108^1+$D$72*S$108^1*$B127^1+$D$73*S$108^1*$B127^2+$D$74*S$108^1*$B127^3+$D$75*S$108^2+$D$76*S$108^2*$B127^1+$D$77*S$108^2*$B127^2+$D$78*S$108^3+$D$79*S$108^3*$B127^1+$D$80*S$108^4</f>
        <v>0.225954495614035</v>
      </c>
      <c r="T127" s="30" t="n">
        <f aca="false">$D$66+$D$67*$B127^1+$D$68*$B127^2+$D$69*$B127^3+$D$70*$B127^4+$D$71*T$108^1+$D$72*T$108^1*$B127^1+$D$73*T$108^1*$B127^2+$D$74*T$108^1*$B127^3+$D$75*T$108^2+$D$76*T$108^2*$B127^1+$D$77*T$108^2*$B127^2+$D$78*T$108^3+$D$79*T$108^3*$B127^1+$D$80*T$108^4</f>
        <v>0.244446235380117</v>
      </c>
      <c r="U127" s="30" t="n">
        <f aca="false">$D$66+$D$67*$B127^1+$D$68*$B127^2+$D$69*$B127^3+$D$70*$B127^4+$D$71*U$108^1+$D$72*U$108^1*$B127^1+$D$73*U$108^1*$B127^2+$D$74*U$108^1*$B127^3+$D$75*U$108^2+$D$76*U$108^2*$B127^1+$D$77*U$108^2*$B127^2+$D$78*U$108^3+$D$79*U$108^3*$B127^1+$D$80*U$108^4</f>
        <v>0.281993384502924</v>
      </c>
      <c r="V127" s="30" t="n">
        <f aca="false">$D$66+$D$67*$B127^1+$D$68*$B127^2+$D$69*$B127^3+$D$70*$B127^4+$D$71*V$108^1+$D$72*V$108^1*$B127^1+$D$73*V$108^1*$B127^2+$D$74*V$108^1*$B127^3+$D$75*V$108^2+$D$76*V$108^2*$B127^1+$D$77*V$108^2*$B127^2+$D$78*V$108^3+$D$79*V$108^3*$B127^1+$D$80*V$108^4</f>
        <v>0.345543311403509</v>
      </c>
      <c r="W127" s="30" t="n">
        <f aca="false">$D$66+$D$67*$B127^1+$D$68*$B127^2+$D$69*$B127^3+$D$70*$B127^4+$D$71*W$108^1+$D$72*W$108^1*$B127^1+$D$73*W$108^1*$B127^2+$D$74*W$108^1*$B127^3+$D$75*W$108^2+$D$76*W$108^2*$B127^1+$D$77*W$108^2*$B127^2+$D$78*W$108^3+$D$79*W$108^3*$B127^1+$D$80*W$108^4</f>
        <v>0.442969700292398</v>
      </c>
    </row>
    <row r="128" customFormat="false" ht="15" hidden="false" customHeight="false" outlineLevel="0" collapsed="false">
      <c r="B128" s="39" t="n">
        <v>-0.9</v>
      </c>
      <c r="C128" s="30" t="n">
        <f aca="false">$D$66+$D$67*$B128^1+$D$68*$B128^2+$D$69*$B128^3+$D$70*$B128^4+$D$71*C$108^1+$D$72*C$108^1*$B128^1+$D$73*C$108^1*$B128^2+$D$74*C$108^1*$B128^3+$D$75*C$108^2+$D$76*C$108^2*$B128^1+$D$77*C$108^2*$B128^2+$D$78*C$108^3+$D$79*C$108^3*$B128^1+$D$80*C$108^4</f>
        <v>0.49638673245614</v>
      </c>
      <c r="D128" s="30" t="n">
        <f aca="false">$D$66+$D$67*$B128^1+$D$68*$B128^2+$D$69*$B128^3+$D$70*$B128^4+$D$71*D$108^1+$D$72*D$108^1*$B128^1+$D$73*D$108^1*$B128^2+$D$74*D$108^1*$B128^3+$D$75*D$108^2+$D$76*D$108^2*$B128^1+$D$77*D$108^2*$B128^2+$D$78*D$108^3+$D$79*D$108^3*$B128^1+$D$80*D$108^4</f>
        <v>0.404308260233918</v>
      </c>
      <c r="E128" s="30" t="n">
        <f aca="false">$D$66+$D$67*$B128^1+$D$68*$B128^2+$D$69*$B128^3+$D$70*$B128^4+$D$71*E$108^1+$D$72*E$108^1*$B128^1+$D$73*E$108^1*$B128^2+$D$74*E$108^1*$B128^3+$D$75*E$108^2+$D$76*E$108^2*$B128^1+$D$77*E$108^2*$B128^2+$D$78*E$108^3+$D$79*E$108^3*$B128^1+$D$80*E$108^4</f>
        <v>0.345543311403509</v>
      </c>
      <c r="F128" s="30" t="n">
        <f aca="false">$D$66+$D$67*$B128^1+$D$68*$B128^2+$D$69*$B128^3+$D$70*$B128^4+$D$71*F$108^1+$D$72*F$108^1*$B128^1+$D$73*F$108^1*$B128^2+$D$74*F$108^1*$B128^3+$D$75*F$108^2+$D$76*F$108^2*$B128^1+$D$77*F$108^2*$B128^2+$D$78*F$108^3+$D$79*F$108^3*$B128^1+$D$80*F$108^4</f>
        <v>0.312218201754386</v>
      </c>
      <c r="G128" s="30" t="n">
        <f aca="false">$D$66+$D$67*$B128^1+$D$68*$B128^2+$D$69*$B128^3+$D$70*$B128^4+$D$71*G$108^1+$D$72*G$108^1*$B128^1+$D$73*G$108^1*$B128^2+$D$74*G$108^1*$B128^3+$D$75*G$108^2+$D$76*G$108^2*$B128^1+$D$77*G$108^2*$B128^2+$D$78*G$108^3+$D$79*G$108^3*$B128^1+$D$80*G$108^4</f>
        <v>0.297385562865497</v>
      </c>
      <c r="H128" s="30" t="n">
        <f aca="false">$D$66+$D$67*$B128^1+$D$68*$B128^2+$D$69*$B128^3+$D$70*$B128^4+$D$71*H$108^1+$D$72*H$108^1*$B128^1+$D$73*H$108^1*$B128^2+$D$74*H$108^1*$B128^3+$D$75*H$108^2+$D$76*H$108^2*$B128^1+$D$77*H$108^2*$B128^2+$D$78*H$108^3+$D$79*H$108^3*$B128^1+$D$80*H$108^4</f>
        <v>0.295024342105263</v>
      </c>
      <c r="I128" s="30" t="n">
        <f aca="false">$D$66+$D$67*$B128^1+$D$68*$B128^2+$D$69*$B128^3+$D$70*$B128^4+$D$71*I$108^1+$D$72*I$108^1*$B128^1+$D$73*I$108^1*$B128^2+$D$74*I$108^1*$B128^3+$D$75*I$108^2+$D$76*I$108^2*$B128^1+$D$77*I$108^2*$B128^2+$D$78*I$108^3+$D$79*I$108^3*$B128^1+$D$80*I$108^4</f>
        <v>0.300039802631579</v>
      </c>
      <c r="J128" s="30" t="n">
        <f aca="false">$D$66+$D$67*$B128^1+$D$68*$B128^2+$D$69*$B128^3+$D$70*$B128^4+$D$71*J$108^1+$D$72*J$108^1*$B128^1+$D$73*J$108^1*$B128^2+$D$74*J$108^1*$B128^3+$D$75*J$108^2+$D$76*J$108^2*$B128^1+$D$77*J$108^2*$B128^2+$D$78*J$108^3+$D$79*J$108^3*$B128^1+$D$80*J$108^4</f>
        <v>0.308263523391813</v>
      </c>
      <c r="K128" s="30" t="n">
        <f aca="false">$D$66+$D$67*$B128^1+$D$68*$B128^2+$D$69*$B128^3+$D$70*$B128^4+$D$71*K$108^1+$D$72*K$108^1*$B128^1+$D$73*K$108^1*$B128^2+$D$74*K$108^1*$B128^3+$D$75*K$108^2+$D$76*K$108^2*$B128^1+$D$77*K$108^2*$B128^2+$D$78*K$108^3+$D$79*K$108^3*$B128^1+$D$80*K$108^4</f>
        <v>0.316453399122807</v>
      </c>
      <c r="L128" s="30" t="n">
        <f aca="false">$D$66+$D$67*$B128^1+$D$68*$B128^2+$D$69*$B128^3+$D$70*$B128^4+$D$71*L$108^1+$D$72*L$108^1*$B128^1+$D$73*L$108^1*$B128^2+$D$74*L$108^1*$B128^3+$D$75*L$108^2+$D$76*L$108^2*$B128^1+$D$77*L$108^2*$B128^2+$D$78*L$108^3+$D$79*L$108^3*$B128^1+$D$80*L$108^4</f>
        <v>0.322293640350877</v>
      </c>
      <c r="M128" s="30" t="n">
        <f aca="false">$D$66+$D$67*$B128^1+$D$68*$B128^2+$D$69*$B128^3+$D$70*$B128^4+$D$71*M$108^1+$D$72*M$108^1*$B128^1+$D$73*M$108^1*$B128^2+$D$74*M$108^1*$B128^3+$D$75*M$108^2+$D$76*M$108^2*$B128^1+$D$77*M$108^2*$B128^2+$D$78*M$108^3+$D$79*M$108^3*$B128^1+$D$80*M$108^4</f>
        <v>0.324394773391813</v>
      </c>
      <c r="N128" s="30" t="n">
        <f aca="false">$D$66+$D$67*$B128^1+$D$68*$B128^2+$D$69*$B128^3+$D$70*$B128^4+$D$71*N$108^1+$D$72*N$108^1*$B128^1+$D$73*N$108^1*$B128^2+$D$74*N$108^1*$B128^3+$D$75*N$108^2+$D$76*N$108^2*$B128^1+$D$77*N$108^2*$B128^2+$D$78*N$108^3+$D$79*N$108^3*$B128^1+$D$80*N$108^4</f>
        <v>0.322293640350877</v>
      </c>
      <c r="O128" s="30" t="n">
        <f aca="false">$D$66+$D$67*$B128^1+$D$68*$B128^2+$D$69*$B128^3+$D$70*$B128^4+$D$71*O$108^1+$D$72*O$108^1*$B128^1+$D$73*O$108^1*$B128^2+$D$74*O$108^1*$B128^3+$D$75*O$108^2+$D$76*O$108^2*$B128^1+$D$77*O$108^2*$B128^2+$D$78*O$108^3+$D$79*O$108^3*$B128^1+$D$80*O$108^4</f>
        <v>0.316453399122807</v>
      </c>
      <c r="P128" s="30" t="n">
        <f aca="false">$D$66+$D$67*$B128^1+$D$68*$B128^2+$D$69*$B128^3+$D$70*$B128^4+$D$71*P$108^1+$D$72*P$108^1*$B128^1+$D$73*P$108^1*$B128^2+$D$74*P$108^1*$B128^3+$D$75*P$108^2+$D$76*P$108^2*$B128^1+$D$77*P$108^2*$B128^2+$D$78*P$108^3+$D$79*P$108^3*$B128^1+$D$80*P$108^4</f>
        <v>0.308263523391813</v>
      </c>
      <c r="Q128" s="30" t="n">
        <f aca="false">$D$66+$D$67*$B128^1+$D$68*$B128^2+$D$69*$B128^3+$D$70*$B128^4+$D$71*Q$108^1+$D$72*Q$108^1*$B128^1+$D$73*Q$108^1*$B128^2+$D$74*Q$108^1*$B128^3+$D$75*Q$108^2+$D$76*Q$108^2*$B128^1+$D$77*Q$108^2*$B128^2+$D$78*Q$108^3+$D$79*Q$108^3*$B128^1+$D$80*Q$108^4</f>
        <v>0.300039802631579</v>
      </c>
      <c r="R128" s="30" t="n">
        <f aca="false">$D$66+$D$67*$B128^1+$D$68*$B128^2+$D$69*$B128^3+$D$70*$B128^4+$D$71*R$108^1+$D$72*R$108^1*$B128^1+$D$73*R$108^1*$B128^2+$D$74*R$108^1*$B128^3+$D$75*R$108^2+$D$76*R$108^2*$B128^1+$D$77*R$108^2*$B128^2+$D$78*R$108^3+$D$79*R$108^3*$B128^1+$D$80*R$108^4</f>
        <v>0.295024342105263</v>
      </c>
      <c r="S128" s="30" t="n">
        <f aca="false">$D$66+$D$67*$B128^1+$D$68*$B128^2+$D$69*$B128^3+$D$70*$B128^4+$D$71*S$108^1+$D$72*S$108^1*$B128^1+$D$73*S$108^1*$B128^2+$D$74*S$108^1*$B128^3+$D$75*S$108^2+$D$76*S$108^2*$B128^1+$D$77*S$108^2*$B128^2+$D$78*S$108^3+$D$79*S$108^3*$B128^1+$D$80*S$108^4</f>
        <v>0.297385562865497</v>
      </c>
      <c r="T128" s="30" t="n">
        <f aca="false">$D$66+$D$67*$B128^1+$D$68*$B128^2+$D$69*$B128^3+$D$70*$B128^4+$D$71*T$108^1+$D$72*T$108^1*$B128^1+$D$73*T$108^1*$B128^2+$D$74*T$108^1*$B128^3+$D$75*T$108^2+$D$76*T$108^2*$B128^1+$D$77*T$108^2*$B128^2+$D$78*T$108^3+$D$79*T$108^3*$B128^1+$D$80*T$108^4</f>
        <v>0.312218201754386</v>
      </c>
      <c r="U128" s="30" t="n">
        <f aca="false">$D$66+$D$67*$B128^1+$D$68*$B128^2+$D$69*$B128^3+$D$70*$B128^4+$D$71*U$108^1+$D$72*U$108^1*$B128^1+$D$73*U$108^1*$B128^2+$D$74*U$108^1*$B128^3+$D$75*U$108^2+$D$76*U$108^2*$B128^1+$D$77*U$108^2*$B128^2+$D$78*U$108^3+$D$79*U$108^3*$B128^1+$D$80*U$108^4</f>
        <v>0.345543311403509</v>
      </c>
      <c r="V128" s="30" t="n">
        <f aca="false">$D$66+$D$67*$B128^1+$D$68*$B128^2+$D$69*$B128^3+$D$70*$B128^4+$D$71*V$108^1+$D$72*V$108^1*$B128^1+$D$73*V$108^1*$B128^2+$D$74*V$108^1*$B128^3+$D$75*V$108^2+$D$76*V$108^2*$B128^1+$D$77*V$108^2*$B128^2+$D$78*V$108^3+$D$79*V$108^3*$B128^1+$D$80*V$108^4</f>
        <v>0.404308260233918</v>
      </c>
      <c r="W128" s="30" t="n">
        <f aca="false">$D$66+$D$67*$B128^1+$D$68*$B128^2+$D$69*$B128^3+$D$70*$B128^4+$D$71*W$108^1+$D$72*W$108^1*$B128^1+$D$73*W$108^1*$B128^2+$D$74*W$108^1*$B128^3+$D$75*W$108^2+$D$76*W$108^2*$B128^1+$D$77*W$108^2*$B128^2+$D$78*W$108^3+$D$79*W$108^3*$B128^1+$D$80*W$108^4</f>
        <v>0.49638673245614</v>
      </c>
    </row>
    <row r="129" customFormat="false" ht="15" hidden="false" customHeight="false" outlineLevel="0" collapsed="false">
      <c r="B129" s="39" t="n">
        <v>-1</v>
      </c>
      <c r="C129" s="30" t="n">
        <f aca="false">$D$66+$D$67*$B129^1+$D$68*$B129^2+$D$69*$B129^3+$D$70*$B129^4+$D$71*C$108^1+$D$72*C$108^1*$B129^1+$D$73*C$108^1*$B129^2+$D$74*C$108^1*$B129^3+$D$75*C$108^2+$D$76*C$108^2*$B129^1+$D$77*C$108^2*$B129^2+$D$78*C$108^3+$D$79*C$108^3*$B129^1+$D$80*C$108^4</f>
        <v>0.582488121345029</v>
      </c>
      <c r="D129" s="30" t="n">
        <f aca="false">$D$66+$D$67*$B129^1+$D$68*$B129^2+$D$69*$B129^3+$D$70*$B129^4+$D$71*D$108^1+$D$72*D$108^1*$B129^1+$D$73*D$108^1*$B129^2+$D$74*D$108^1*$B129^3+$D$75*D$108^2+$D$76*D$108^2*$B129^1+$D$77*D$108^2*$B129^2+$D$78*D$108^3+$D$79*D$108^3*$B129^1+$D$80*D$108^4</f>
        <v>0.49638673245614</v>
      </c>
      <c r="E129" s="30" t="n">
        <f aca="false">$D$66+$D$67*$B129^1+$D$68*$B129^2+$D$69*$B129^3+$D$70*$B129^4+$D$71*E$108^1+$D$72*E$108^1*$B129^1+$D$73*E$108^1*$B129^2+$D$74*E$108^1*$B129^3+$D$75*E$108^2+$D$76*E$108^2*$B129^1+$D$77*E$108^2*$B129^2+$D$78*E$108^3+$D$79*E$108^3*$B129^1+$D$80*E$108^4</f>
        <v>0.442969700292398</v>
      </c>
      <c r="F129" s="30" t="n">
        <f aca="false">$D$66+$D$67*$B129^1+$D$68*$B129^2+$D$69*$B129^3+$D$70*$B129^4+$D$71*F$108^1+$D$72*F$108^1*$B129^1+$D$73*F$108^1*$B129^2+$D$74*F$108^1*$B129^3+$D$75*F$108^2+$D$76*F$108^2*$B129^1+$D$77*F$108^2*$B129^2+$D$78*F$108^3+$D$79*F$108^3*$B129^1+$D$80*F$108^4</f>
        <v>0.414363340643275</v>
      </c>
      <c r="G129" s="30" t="n">
        <f aca="false">$D$66+$D$67*$B129^1+$D$68*$B129^2+$D$69*$B129^3+$D$70*$B129^4+$D$71*G$108^1+$D$72*G$108^1*$B129^1+$D$73*G$108^1*$B129^2+$D$74*G$108^1*$B129^3+$D$75*G$108^2+$D$76*G$108^2*$B129^1+$D$77*G$108^2*$B129^2+$D$78*G$108^3+$D$79*G$108^3*$B129^1+$D$80*G$108^4</f>
        <v>0.403620285087719</v>
      </c>
      <c r="H129" s="30" t="n">
        <f aca="false">$D$66+$D$67*$B129^1+$D$68*$B129^2+$D$69*$B129^3+$D$70*$B129^4+$D$71*H$108^1+$D$72*H$108^1*$B129^1+$D$73*H$108^1*$B129^2+$D$74*H$108^1*$B129^3+$D$75*H$108^2+$D$76*H$108^2*$B129^1+$D$77*H$108^2*$B129^2+$D$78*H$108^3+$D$79*H$108^3*$B129^1+$D$80*H$108^4</f>
        <v>0.404719480994152</v>
      </c>
      <c r="I129" s="30" t="n">
        <f aca="false">$D$66+$D$67*$B129^1+$D$68*$B129^2+$D$69*$B129^3+$D$70*$B129^4+$D$71*I$108^1+$D$72*I$108^1*$B129^1+$D$73*I$108^1*$B129^2+$D$74*I$108^1*$B129^3+$D$75*I$108^2+$D$76*I$108^2*$B129^1+$D$77*I$108^2*$B129^2+$D$78*I$108^3+$D$79*I$108^3*$B129^1+$D$80*I$108^4</f>
        <v>0.412566191520468</v>
      </c>
      <c r="J129" s="30" t="n">
        <f aca="false">$D$66+$D$67*$B129^1+$D$68*$B129^2+$D$69*$B129^3+$D$70*$B129^4+$D$71*J$108^1+$D$72*J$108^1*$B129^1+$D$73*J$108^1*$B129^2+$D$74*J$108^1*$B129^3+$D$75*J$108^2+$D$76*J$108^2*$B129^1+$D$77*J$108^2*$B129^2+$D$78*J$108^3+$D$79*J$108^3*$B129^1+$D$80*J$108^4</f>
        <v>0.422991995614035</v>
      </c>
      <c r="K129" s="30" t="n">
        <f aca="false">$D$66+$D$67*$B129^1+$D$68*$B129^2+$D$69*$B129^3+$D$70*$B129^4+$D$71*K$108^1+$D$72*K$108^1*$B129^1+$D$73*K$108^1*$B129^2+$D$74*K$108^1*$B129^3+$D$75*K$108^2+$D$76*K$108^2*$B129^1+$D$77*K$108^2*$B129^2+$D$78*K$108^3+$D$79*K$108^3*$B129^1+$D$80*K$108^4</f>
        <v>0.432754788011696</v>
      </c>
      <c r="L129" s="30" t="n">
        <f aca="false">$D$66+$D$67*$B129^1+$D$68*$B129^2+$D$69*$B129^3+$D$70*$B129^4+$D$71*L$108^1+$D$72*L$108^1*$B129^1+$D$73*L$108^1*$B129^2+$D$74*L$108^1*$B129^3+$D$75*L$108^2+$D$76*L$108^2*$B129^1+$D$77*L$108^2*$B129^2+$D$78*L$108^3+$D$79*L$108^3*$B129^1+$D$80*L$108^4</f>
        <v>0.439538779239766</v>
      </c>
      <c r="M129" s="30" t="n">
        <f aca="false">$D$66+$D$67*$B129^1+$D$68*$B129^2+$D$69*$B129^3+$D$70*$B129^4+$D$71*M$108^1+$D$72*M$108^1*$B129^1+$D$73*M$108^1*$B129^2+$D$74*M$108^1*$B129^3+$D$75*M$108^2+$D$76*M$108^2*$B129^1+$D$77*M$108^2*$B129^2+$D$78*M$108^3+$D$79*M$108^3*$B129^1+$D$80*M$108^4</f>
        <v>0.441954495614035</v>
      </c>
      <c r="N129" s="30" t="n">
        <f aca="false">$D$66+$D$67*$B129^1+$D$68*$B129^2+$D$69*$B129^3+$D$70*$B129^4+$D$71*N$108^1+$D$72*N$108^1*$B129^1+$D$73*N$108^1*$B129^2+$D$74*N$108^1*$B129^3+$D$75*N$108^2+$D$76*N$108^2*$B129^1+$D$77*N$108^2*$B129^2+$D$78*N$108^3+$D$79*N$108^3*$B129^1+$D$80*N$108^4</f>
        <v>0.439538779239766</v>
      </c>
      <c r="O129" s="30" t="n">
        <f aca="false">$D$66+$D$67*$B129^1+$D$68*$B129^2+$D$69*$B129^3+$D$70*$B129^4+$D$71*O$108^1+$D$72*O$108^1*$B129^1+$D$73*O$108^1*$B129^2+$D$74*O$108^1*$B129^3+$D$75*O$108^2+$D$76*O$108^2*$B129^1+$D$77*O$108^2*$B129^2+$D$78*O$108^3+$D$79*O$108^3*$B129^1+$D$80*O$108^4</f>
        <v>0.432754788011696</v>
      </c>
      <c r="P129" s="30" t="n">
        <f aca="false">$D$66+$D$67*$B129^1+$D$68*$B129^2+$D$69*$B129^3+$D$70*$B129^4+$D$71*P$108^1+$D$72*P$108^1*$B129^1+$D$73*P$108^1*$B129^2+$D$74*P$108^1*$B129^3+$D$75*P$108^2+$D$76*P$108^2*$B129^1+$D$77*P$108^2*$B129^2+$D$78*P$108^3+$D$79*P$108^3*$B129^1+$D$80*P$108^4</f>
        <v>0.422991995614035</v>
      </c>
      <c r="Q129" s="30" t="n">
        <f aca="false">$D$66+$D$67*$B129^1+$D$68*$B129^2+$D$69*$B129^3+$D$70*$B129^4+$D$71*Q$108^1+$D$72*Q$108^1*$B129^1+$D$73*Q$108^1*$B129^2+$D$74*Q$108^1*$B129^3+$D$75*Q$108^2+$D$76*Q$108^2*$B129^1+$D$77*Q$108^2*$B129^2+$D$78*Q$108^3+$D$79*Q$108^3*$B129^1+$D$80*Q$108^4</f>
        <v>0.412566191520468</v>
      </c>
      <c r="R129" s="30" t="n">
        <f aca="false">$D$66+$D$67*$B129^1+$D$68*$B129^2+$D$69*$B129^3+$D$70*$B129^4+$D$71*R$108^1+$D$72*R$108^1*$B129^1+$D$73*R$108^1*$B129^2+$D$74*R$108^1*$B129^3+$D$75*R$108^2+$D$76*R$108^2*$B129^1+$D$77*R$108^2*$B129^2+$D$78*R$108^3+$D$79*R$108^3*$B129^1+$D$80*R$108^4</f>
        <v>0.404719480994152</v>
      </c>
      <c r="S129" s="30" t="n">
        <f aca="false">$D$66+$D$67*$B129^1+$D$68*$B129^2+$D$69*$B129^3+$D$70*$B129^4+$D$71*S$108^1+$D$72*S$108^1*$B129^1+$D$73*S$108^1*$B129^2+$D$74*S$108^1*$B129^3+$D$75*S$108^2+$D$76*S$108^2*$B129^1+$D$77*S$108^2*$B129^2+$D$78*S$108^3+$D$79*S$108^3*$B129^1+$D$80*S$108^4</f>
        <v>0.403620285087719</v>
      </c>
      <c r="T129" s="30" t="n">
        <f aca="false">$D$66+$D$67*$B129^1+$D$68*$B129^2+$D$69*$B129^3+$D$70*$B129^4+$D$71*T$108^1+$D$72*T$108^1*$B129^1+$D$73*T$108^1*$B129^2+$D$74*T$108^1*$B129^3+$D$75*T$108^2+$D$76*T$108^2*$B129^1+$D$77*T$108^2*$B129^2+$D$78*T$108^3+$D$79*T$108^3*$B129^1+$D$80*T$108^4</f>
        <v>0.414363340643275</v>
      </c>
      <c r="U129" s="30" t="n">
        <f aca="false">$D$66+$D$67*$B129^1+$D$68*$B129^2+$D$69*$B129^3+$D$70*$B129^4+$D$71*U$108^1+$D$72*U$108^1*$B129^1+$D$73*U$108^1*$B129^2+$D$74*U$108^1*$B129^3+$D$75*U$108^2+$D$76*U$108^2*$B129^1+$D$77*U$108^2*$B129^2+$D$78*U$108^3+$D$79*U$108^3*$B129^1+$D$80*U$108^4</f>
        <v>0.442969700292398</v>
      </c>
      <c r="V129" s="30" t="n">
        <f aca="false">$D$66+$D$67*$B129^1+$D$68*$B129^2+$D$69*$B129^3+$D$70*$B129^4+$D$71*V$108^1+$D$72*V$108^1*$B129^1+$D$73*V$108^1*$B129^2+$D$74*V$108^1*$B129^3+$D$75*V$108^2+$D$76*V$108^2*$B129^1+$D$77*V$108^2*$B129^2+$D$78*V$108^3+$D$79*V$108^3*$B129^1+$D$80*V$108^4</f>
        <v>0.49638673245614</v>
      </c>
      <c r="W129" s="30" t="n">
        <f aca="false">$D$66+$D$67*$B129^1+$D$68*$B129^2+$D$69*$B129^3+$D$70*$B129^4+$D$71*W$108^1+$D$72*W$108^1*$B129^1+$D$73*W$108^1*$B129^2+$D$74*W$108^1*$B129^3+$D$75*W$108^2+$D$76*W$108^2*$B129^1+$D$77*W$108^2*$B129^2+$D$78*W$108^3+$D$79*W$108^3*$B129^1+$D$80*W$108^4</f>
        <v>0.582488121345029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G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398</v>
      </c>
    </row>
    <row r="4" customFormat="false" ht="15" hidden="false" customHeight="false" outlineLevel="0" collapsed="false">
      <c r="A4" s="9" t="s">
        <v>208</v>
      </c>
      <c r="B4" s="9" t="s">
        <v>399</v>
      </c>
      <c r="C4" s="9" t="s">
        <v>64</v>
      </c>
      <c r="D4" s="9" t="s">
        <v>69</v>
      </c>
      <c r="E4" s="9" t="s">
        <v>72</v>
      </c>
      <c r="F4" s="9" t="s">
        <v>76</v>
      </c>
      <c r="G4" s="10" t="s">
        <v>152</v>
      </c>
      <c r="H4" s="9" t="s">
        <v>64</v>
      </c>
      <c r="I4" s="9" t="s">
        <v>69</v>
      </c>
      <c r="J4" s="9" t="s">
        <v>72</v>
      </c>
      <c r="K4" s="9" t="s">
        <v>76</v>
      </c>
      <c r="L4" s="9" t="s">
        <v>158</v>
      </c>
      <c r="M4" s="9" t="s">
        <v>160</v>
      </c>
      <c r="N4" s="9" t="s">
        <v>162</v>
      </c>
      <c r="O4" s="9" t="s">
        <v>164</v>
      </c>
      <c r="P4" s="9" t="s">
        <v>166</v>
      </c>
      <c r="Q4" s="9" t="s">
        <v>168</v>
      </c>
      <c r="R4" s="9" t="s">
        <v>170</v>
      </c>
      <c r="S4" s="9" t="s">
        <v>172</v>
      </c>
      <c r="T4" s="9" t="s">
        <v>174</v>
      </c>
      <c r="U4" s="9" t="s">
        <v>176</v>
      </c>
      <c r="V4" s="10" t="s">
        <v>245</v>
      </c>
      <c r="W4" s="9" t="s">
        <v>250</v>
      </c>
      <c r="X4" s="10" t="s">
        <v>400</v>
      </c>
      <c r="Y4" s="10" t="s">
        <v>401</v>
      </c>
      <c r="Z4" s="10" t="s">
        <v>306</v>
      </c>
      <c r="AA4" s="10" t="s">
        <v>246</v>
      </c>
      <c r="AB4" s="10" t="s">
        <v>402</v>
      </c>
    </row>
    <row r="5" customFormat="false" ht="15" hidden="false" customHeight="false" outlineLevel="0" collapsed="false">
      <c r="A5" s="0" t="n">
        <v>1</v>
      </c>
      <c r="B5" s="0" t="n">
        <v>-1</v>
      </c>
      <c r="C5" s="0" t="n">
        <f aca="false">B5</f>
        <v>-1</v>
      </c>
      <c r="D5" s="57" t="n">
        <f aca="false">07_最適化!$B$7</f>
        <v>0.5</v>
      </c>
      <c r="E5" s="57" t="n">
        <f aca="false">07_最適化!$B$8</f>
        <v>0.5</v>
      </c>
      <c r="F5" s="57" t="n">
        <f aca="false">07_最適化!$B$9</f>
        <v>0.5</v>
      </c>
      <c r="G5" s="55" t="n">
        <f aca="false">1</f>
        <v>1</v>
      </c>
      <c r="H5" s="55" t="n">
        <f aca="false">C5</f>
        <v>-1</v>
      </c>
      <c r="I5" s="57" t="n">
        <f aca="false">D5</f>
        <v>0.5</v>
      </c>
      <c r="J5" s="57" t="n">
        <f aca="false">E5</f>
        <v>0.5</v>
      </c>
      <c r="K5" s="57" t="n">
        <f aca="false">F5</f>
        <v>0.5</v>
      </c>
      <c r="L5" s="55" t="n">
        <f aca="false">C5*D5</f>
        <v>-0.5</v>
      </c>
      <c r="M5" s="55" t="n">
        <f aca="false">C5*E5</f>
        <v>-0.5</v>
      </c>
      <c r="N5" s="55" t="n">
        <f aca="false">C5*F5</f>
        <v>-0.5</v>
      </c>
      <c r="O5" s="55" t="n">
        <f aca="false">D5*E5</f>
        <v>0.25</v>
      </c>
      <c r="P5" s="55" t="n">
        <f aca="false">D5*F5</f>
        <v>0.25</v>
      </c>
      <c r="Q5" s="55" t="n">
        <f aca="false">E5*F5</f>
        <v>0.25</v>
      </c>
      <c r="R5" s="55" t="n">
        <f aca="false">C5*C5</f>
        <v>1</v>
      </c>
      <c r="S5" s="55" t="n">
        <f aca="false">D5*D5</f>
        <v>0.25</v>
      </c>
      <c r="T5" s="55" t="n">
        <f aca="false">E5*E5</f>
        <v>0.25</v>
      </c>
      <c r="U5" s="55" t="n">
        <f aca="false">F5*F5</f>
        <v>0.25</v>
      </c>
      <c r="V5" s="55" t="n">
        <f aca="false">SUMPRODUCT(G5:U5,_XtX!$B$96:$P$96)</f>
        <v>43.9465826023392</v>
      </c>
      <c r="W5" s="55" t="n">
        <f aca="false">SUMPRODUCT(MMULT(G5:U5,_XtX!$B$78:$P$92),G5:U5)</f>
        <v>0.404719480994152</v>
      </c>
      <c r="X5" s="55" t="n">
        <f aca="false">V5-04_回帰ANOVA!$K$19*04_回帰ANOVA!$K$14*SQRT(1+W5)</f>
        <v>42.4017081353605</v>
      </c>
      <c r="Y5" s="55" t="n">
        <f aca="false">V5+04_回帰ANOVA!$K$19*04_回帰ANOVA!$K$14*SQRT(1+W5)</f>
        <v>45.4914570693179</v>
      </c>
      <c r="Z5" s="54" t="b">
        <f aca="false">AND(C5&gt;=01_因子設定!$L$5-0.000000001,C5&lt;=01_因子設定!$M$5+0.000000001,D5&gt;=01_因子設定!$L$6-0.000000001,D5&lt;=01_因子設定!$M$6+0.000000001,E5&gt;=01_因子設定!$L$7-0.000000001,E5&lt;=01_因子設定!$M$7+0.000000001,F5&gt;=01_因子設定!$L$8-0.000000001,F5&lt;=01_因子設定!$M$8+0.000000001,IF(01_因子設定!$B$20="Box-Behnken",C5^2+D5^2+E5^2+F5^2&lt;=2+0.000000001,TRUE()))</f>
        <v>1</v>
      </c>
      <c r="AA5" s="55" t="n">
        <f aca="false">IF(Z5,IF(01_因子設定!$B$13="最大化",X5-01_因子設定!$B$14,IF(01_因子設定!$B$13="最小化",01_因子設定!$B$15-Y5,MIN(X5-01_因子設定!$B$14,01_因子設定!$B$15-Y5))),-1E+030)</f>
        <v>-4.09829186463946</v>
      </c>
      <c r="AB5" s="55" t="n">
        <f aca="false">IF(AA5&gt;=0,1,0)</f>
        <v>0</v>
      </c>
    </row>
    <row r="6" customFormat="false" ht="15" hidden="false" customHeight="false" outlineLevel="0" collapsed="false">
      <c r="A6" s="0" t="n">
        <v>1</v>
      </c>
      <c r="B6" s="0" t="n">
        <v>-0.95</v>
      </c>
      <c r="C6" s="0" t="n">
        <f aca="false">B6</f>
        <v>-0.95</v>
      </c>
      <c r="D6" s="57" t="n">
        <f aca="false">07_最適化!$B$7</f>
        <v>0.5</v>
      </c>
      <c r="E6" s="57" t="n">
        <f aca="false">07_最適化!$B$8</f>
        <v>0.5</v>
      </c>
      <c r="F6" s="57" t="n">
        <f aca="false">07_最適化!$B$9</f>
        <v>0.5</v>
      </c>
      <c r="G6" s="55" t="n">
        <f aca="false">1</f>
        <v>1</v>
      </c>
      <c r="H6" s="55" t="n">
        <f aca="false">C6</f>
        <v>-0.95</v>
      </c>
      <c r="I6" s="57" t="n">
        <f aca="false">D6</f>
        <v>0.5</v>
      </c>
      <c r="J6" s="57" t="n">
        <f aca="false">E6</f>
        <v>0.5</v>
      </c>
      <c r="K6" s="57" t="n">
        <f aca="false">F6</f>
        <v>0.5</v>
      </c>
      <c r="L6" s="55" t="n">
        <f aca="false">C6*D6</f>
        <v>-0.475</v>
      </c>
      <c r="M6" s="55" t="n">
        <f aca="false">C6*E6</f>
        <v>-0.475</v>
      </c>
      <c r="N6" s="55" t="n">
        <f aca="false">C6*F6</f>
        <v>-0.475</v>
      </c>
      <c r="O6" s="55" t="n">
        <f aca="false">D6*E6</f>
        <v>0.25</v>
      </c>
      <c r="P6" s="55" t="n">
        <f aca="false">D6*F6</f>
        <v>0.25</v>
      </c>
      <c r="Q6" s="55" t="n">
        <f aca="false">E6*F6</f>
        <v>0.25</v>
      </c>
      <c r="R6" s="55" t="n">
        <f aca="false">C6*C6</f>
        <v>0.9025</v>
      </c>
      <c r="S6" s="55" t="n">
        <f aca="false">D6*D6</f>
        <v>0.25</v>
      </c>
      <c r="T6" s="55" t="n">
        <f aca="false">E6*E6</f>
        <v>0.25</v>
      </c>
      <c r="U6" s="55" t="n">
        <f aca="false">F6*F6</f>
        <v>0.25</v>
      </c>
      <c r="V6" s="55" t="n">
        <f aca="false">SUMPRODUCT(G6:U6,_XtX!$B$96:$P$96)</f>
        <v>44.3136498538012</v>
      </c>
      <c r="W6" s="55" t="n">
        <f aca="false">SUMPRODUCT(MMULT(G6:U6,_XtX!$B$78:$P$92),G6:U6)</f>
        <v>0.344947633406433</v>
      </c>
      <c r="X6" s="55" t="n">
        <f aca="false">V6-04_回帰ANOVA!$K$19*04_回帰ANOVA!$K$14*SQRT(1+W6)</f>
        <v>42.802000439056</v>
      </c>
      <c r="Y6" s="55" t="n">
        <f aca="false">V6+04_回帰ANOVA!$K$19*04_回帰ANOVA!$K$14*SQRT(1+W6)</f>
        <v>45.8252992685464</v>
      </c>
      <c r="Z6" s="54" t="b">
        <f aca="false">AND(C6&gt;=01_因子設定!$L$5-0.000000001,C6&lt;=01_因子設定!$M$5+0.000000001,D6&gt;=01_因子設定!$L$6-0.000000001,D6&lt;=01_因子設定!$M$6+0.000000001,E6&gt;=01_因子設定!$L$7-0.000000001,E6&lt;=01_因子設定!$M$7+0.000000001,F6&gt;=01_因子設定!$L$8-0.000000001,F6&lt;=01_因子設定!$M$8+0.000000001,IF(01_因子設定!$B$20="Box-Behnken",C6^2+D6^2+E6^2+F6^2&lt;=2+0.000000001,TRUE()))</f>
        <v>1</v>
      </c>
      <c r="AA6" s="55" t="n">
        <f aca="false">IF(Z6,IF(01_因子設定!$B$13="最大化",X6-01_因子設定!$B$14,IF(01_因子設定!$B$13="最小化",01_因子設定!$B$15-Y6,MIN(X6-01_因子設定!$B$14,01_因子設定!$B$15-Y6))),-1E+030)</f>
        <v>-3.697999560944</v>
      </c>
      <c r="AB6" s="55" t="n">
        <f aca="false">IF(AA6&gt;=0,1,0)</f>
        <v>0</v>
      </c>
    </row>
    <row r="7" customFormat="false" ht="15" hidden="false" customHeight="false" outlineLevel="0" collapsed="false">
      <c r="A7" s="0" t="n">
        <v>1</v>
      </c>
      <c r="B7" s="0" t="n">
        <v>-0.9</v>
      </c>
      <c r="C7" s="0" t="n">
        <f aca="false">B7</f>
        <v>-0.9</v>
      </c>
      <c r="D7" s="57" t="n">
        <f aca="false">07_最適化!$B$7</f>
        <v>0.5</v>
      </c>
      <c r="E7" s="57" t="n">
        <f aca="false">07_最適化!$B$8</f>
        <v>0.5</v>
      </c>
      <c r="F7" s="57" t="n">
        <f aca="false">07_最適化!$B$9</f>
        <v>0.5</v>
      </c>
      <c r="G7" s="55" t="n">
        <f aca="false">1</f>
        <v>1</v>
      </c>
      <c r="H7" s="55" t="n">
        <f aca="false">C7</f>
        <v>-0.9</v>
      </c>
      <c r="I7" s="57" t="n">
        <f aca="false">D7</f>
        <v>0.5</v>
      </c>
      <c r="J7" s="57" t="n">
        <f aca="false">E7</f>
        <v>0.5</v>
      </c>
      <c r="K7" s="57" t="n">
        <f aca="false">F7</f>
        <v>0.5</v>
      </c>
      <c r="L7" s="55" t="n">
        <f aca="false">C7*D7</f>
        <v>-0.45</v>
      </c>
      <c r="M7" s="55" t="n">
        <f aca="false">C7*E7</f>
        <v>-0.45</v>
      </c>
      <c r="N7" s="55" t="n">
        <f aca="false">C7*F7</f>
        <v>-0.45</v>
      </c>
      <c r="O7" s="55" t="n">
        <f aca="false">D7*E7</f>
        <v>0.25</v>
      </c>
      <c r="P7" s="55" t="n">
        <f aca="false">D7*F7</f>
        <v>0.25</v>
      </c>
      <c r="Q7" s="55" t="n">
        <f aca="false">E7*F7</f>
        <v>0.25</v>
      </c>
      <c r="R7" s="55" t="n">
        <f aca="false">C7*C7</f>
        <v>0.81</v>
      </c>
      <c r="S7" s="55" t="n">
        <f aca="false">D7*D7</f>
        <v>0.25</v>
      </c>
      <c r="T7" s="55" t="n">
        <f aca="false">E7*E7</f>
        <v>0.25</v>
      </c>
      <c r="U7" s="55" t="n">
        <f aca="false">F7*F7</f>
        <v>0.25</v>
      </c>
      <c r="V7" s="55" t="n">
        <f aca="false">SUMPRODUCT(G7:U7,_XtX!$B$96:$P$96)</f>
        <v>44.6678048245614</v>
      </c>
      <c r="W7" s="55" t="n">
        <f aca="false">SUMPRODUCT(MMULT(G7:U7,_XtX!$B$78:$P$92),G7:U7)</f>
        <v>0.295024342105263</v>
      </c>
      <c r="X7" s="55" t="n">
        <f aca="false">V7-04_回帰ANOVA!$K$19*04_回帰ANOVA!$K$14*SQRT(1+W7)</f>
        <v>43.1844762649167</v>
      </c>
      <c r="Y7" s="55" t="n">
        <f aca="false">V7+04_回帰ANOVA!$K$19*04_回帰ANOVA!$K$14*SQRT(1+W7)</f>
        <v>46.1511333842061</v>
      </c>
      <c r="Z7" s="54" t="b">
        <f aca="false">AND(C7&gt;=01_因子設定!$L$5-0.000000001,C7&lt;=01_因子設定!$M$5+0.000000001,D7&gt;=01_因子設定!$L$6-0.000000001,D7&lt;=01_因子設定!$M$6+0.000000001,E7&gt;=01_因子設定!$L$7-0.000000001,E7&lt;=01_因子設定!$M$7+0.000000001,F7&gt;=01_因子設定!$L$8-0.000000001,F7&lt;=01_因子設定!$M$8+0.000000001,IF(01_因子設定!$B$20="Box-Behnken",C7^2+D7^2+E7^2+F7^2&lt;=2+0.000000001,TRUE()))</f>
        <v>1</v>
      </c>
      <c r="AA7" s="55" t="n">
        <f aca="false">IF(Z7,IF(01_因子設定!$B$13="最大化",X7-01_因子設定!$B$14,IF(01_因子設定!$B$13="最小化",01_因子設定!$B$15-Y7,MIN(X7-01_因子設定!$B$14,01_因子設定!$B$15-Y7))),-1E+030)</f>
        <v>-3.31552373508327</v>
      </c>
      <c r="AB7" s="55" t="n">
        <f aca="false">IF(AA7&gt;=0,1,0)</f>
        <v>0</v>
      </c>
    </row>
    <row r="8" customFormat="false" ht="15" hidden="false" customHeight="false" outlineLevel="0" collapsed="false">
      <c r="A8" s="0" t="n">
        <v>1</v>
      </c>
      <c r="B8" s="0" t="n">
        <v>-0.85</v>
      </c>
      <c r="C8" s="0" t="n">
        <f aca="false">B8</f>
        <v>-0.85</v>
      </c>
      <c r="D8" s="57" t="n">
        <f aca="false">07_最適化!$B$7</f>
        <v>0.5</v>
      </c>
      <c r="E8" s="57" t="n">
        <f aca="false">07_最適化!$B$8</f>
        <v>0.5</v>
      </c>
      <c r="F8" s="57" t="n">
        <f aca="false">07_最適化!$B$9</f>
        <v>0.5</v>
      </c>
      <c r="G8" s="55" t="n">
        <f aca="false">1</f>
        <v>1</v>
      </c>
      <c r="H8" s="55" t="n">
        <f aca="false">C8</f>
        <v>-0.85</v>
      </c>
      <c r="I8" s="57" t="n">
        <f aca="false">D8</f>
        <v>0.5</v>
      </c>
      <c r="J8" s="57" t="n">
        <f aca="false">E8</f>
        <v>0.5</v>
      </c>
      <c r="K8" s="57" t="n">
        <f aca="false">F8</f>
        <v>0.5</v>
      </c>
      <c r="L8" s="55" t="n">
        <f aca="false">C8*D8</f>
        <v>-0.425</v>
      </c>
      <c r="M8" s="55" t="n">
        <f aca="false">C8*E8</f>
        <v>-0.425</v>
      </c>
      <c r="N8" s="55" t="n">
        <f aca="false">C8*F8</f>
        <v>-0.425</v>
      </c>
      <c r="O8" s="55" t="n">
        <f aca="false">D8*E8</f>
        <v>0.25</v>
      </c>
      <c r="P8" s="55" t="n">
        <f aca="false">D8*F8</f>
        <v>0.25</v>
      </c>
      <c r="Q8" s="55" t="n">
        <f aca="false">E8*F8</f>
        <v>0.25</v>
      </c>
      <c r="R8" s="55" t="n">
        <f aca="false">C8*C8</f>
        <v>0.7225</v>
      </c>
      <c r="S8" s="55" t="n">
        <f aca="false">D8*D8</f>
        <v>0.25</v>
      </c>
      <c r="T8" s="55" t="n">
        <f aca="false">E8*E8</f>
        <v>0.25</v>
      </c>
      <c r="U8" s="55" t="n">
        <f aca="false">F8*F8</f>
        <v>0.25</v>
      </c>
      <c r="V8" s="55" t="n">
        <f aca="false">SUMPRODUCT(G8:U8,_XtX!$B$96:$P$96)</f>
        <v>45.0090475146199</v>
      </c>
      <c r="W8" s="55" t="n">
        <f aca="false">SUMPRODUCT(MMULT(G8:U8,_XtX!$B$78:$P$92),G8:U8)</f>
        <v>0.253878554459064</v>
      </c>
      <c r="X8" s="55" t="n">
        <f aca="false">V8-04_回帰ANOVA!$K$19*04_回帰ANOVA!$K$14*SQRT(1+W8)</f>
        <v>43.5494734759695</v>
      </c>
      <c r="Y8" s="55" t="n">
        <f aca="false">V8+04_回帰ANOVA!$K$19*04_回帰ANOVA!$K$14*SQRT(1+W8)</f>
        <v>46.4686215532703</v>
      </c>
      <c r="Z8" s="54" t="b">
        <f aca="false">AND(C8&gt;=01_因子設定!$L$5-0.000000001,C8&lt;=01_因子設定!$M$5+0.000000001,D8&gt;=01_因子設定!$L$6-0.000000001,D8&lt;=01_因子設定!$M$6+0.000000001,E8&gt;=01_因子設定!$L$7-0.000000001,E8&lt;=01_因子設定!$M$7+0.000000001,F8&gt;=01_因子設定!$L$8-0.000000001,F8&lt;=01_因子設定!$M$8+0.000000001,IF(01_因子設定!$B$20="Box-Behnken",C8^2+D8^2+E8^2+F8^2&lt;=2+0.000000001,TRUE()))</f>
        <v>1</v>
      </c>
      <c r="AA8" s="55" t="n">
        <f aca="false">IF(Z8,IF(01_因子設定!$B$13="最大化",X8-01_因子設定!$B$14,IF(01_因子設定!$B$13="最小化",01_因子設定!$B$15-Y8,MIN(X8-01_因子設定!$B$14,01_因子設定!$B$15-Y8))),-1E+030)</f>
        <v>-2.95052652403047</v>
      </c>
      <c r="AB8" s="55" t="n">
        <f aca="false">IF(AA8&gt;=0,1,0)</f>
        <v>0</v>
      </c>
    </row>
    <row r="9" customFormat="false" ht="15" hidden="false" customHeight="false" outlineLevel="0" collapsed="false">
      <c r="A9" s="0" t="n">
        <v>1</v>
      </c>
      <c r="B9" s="0" t="n">
        <v>-0.8</v>
      </c>
      <c r="C9" s="0" t="n">
        <f aca="false">B9</f>
        <v>-0.8</v>
      </c>
      <c r="D9" s="57" t="n">
        <f aca="false">07_最適化!$B$7</f>
        <v>0.5</v>
      </c>
      <c r="E9" s="57" t="n">
        <f aca="false">07_最適化!$B$8</f>
        <v>0.5</v>
      </c>
      <c r="F9" s="57" t="n">
        <f aca="false">07_最適化!$B$9</f>
        <v>0.5</v>
      </c>
      <c r="G9" s="55" t="n">
        <f aca="false">1</f>
        <v>1</v>
      </c>
      <c r="H9" s="55" t="n">
        <f aca="false">C9</f>
        <v>-0.8</v>
      </c>
      <c r="I9" s="57" t="n">
        <f aca="false">D9</f>
        <v>0.5</v>
      </c>
      <c r="J9" s="57" t="n">
        <f aca="false">E9</f>
        <v>0.5</v>
      </c>
      <c r="K9" s="57" t="n">
        <f aca="false">F9</f>
        <v>0.5</v>
      </c>
      <c r="L9" s="55" t="n">
        <f aca="false">C9*D9</f>
        <v>-0.4</v>
      </c>
      <c r="M9" s="55" t="n">
        <f aca="false">C9*E9</f>
        <v>-0.4</v>
      </c>
      <c r="N9" s="55" t="n">
        <f aca="false">C9*F9</f>
        <v>-0.4</v>
      </c>
      <c r="O9" s="55" t="n">
        <f aca="false">D9*E9</f>
        <v>0.25</v>
      </c>
      <c r="P9" s="55" t="n">
        <f aca="false">D9*F9</f>
        <v>0.25</v>
      </c>
      <c r="Q9" s="55" t="n">
        <f aca="false">E9*F9</f>
        <v>0.25</v>
      </c>
      <c r="R9" s="55" t="n">
        <f aca="false">C9*C9</f>
        <v>0.64</v>
      </c>
      <c r="S9" s="55" t="n">
        <f aca="false">D9*D9</f>
        <v>0.25</v>
      </c>
      <c r="T9" s="55" t="n">
        <f aca="false">E9*E9</f>
        <v>0.25</v>
      </c>
      <c r="U9" s="55" t="n">
        <f aca="false">F9*F9</f>
        <v>0.25</v>
      </c>
      <c r="V9" s="55" t="n">
        <f aca="false">SUMPRODUCT(G9:U9,_XtX!$B$96:$P$96)</f>
        <v>45.3373779239766</v>
      </c>
      <c r="W9" s="55" t="n">
        <f aca="false">SUMPRODUCT(MMULT(G9:U9,_XtX!$B$78:$P$92),G9:U9)</f>
        <v>0.220497112573099</v>
      </c>
      <c r="X9" s="55" t="n">
        <f aca="false">V9-04_回帰ANOVA!$K$19*04_回帰ANOVA!$K$14*SQRT(1+W9)</f>
        <v>43.8973637366619</v>
      </c>
      <c r="Y9" s="55" t="n">
        <f aca="false">V9+04_回帰ANOVA!$K$19*04_回帰ANOVA!$K$14*SQRT(1+W9)</f>
        <v>46.7773921112914</v>
      </c>
      <c r="Z9" s="54" t="b">
        <f aca="false">AND(C9&gt;=01_因子設定!$L$5-0.000000001,C9&lt;=01_因子設定!$M$5+0.000000001,D9&gt;=01_因子設定!$L$6-0.000000001,D9&lt;=01_因子設定!$M$6+0.000000001,E9&gt;=01_因子設定!$L$7-0.000000001,E9&lt;=01_因子設定!$M$7+0.000000001,F9&gt;=01_因子設定!$L$8-0.000000001,F9&lt;=01_因子設定!$M$8+0.000000001,IF(01_因子設定!$B$20="Box-Behnken",C9^2+D9^2+E9^2+F9^2&lt;=2+0.000000001,TRUE()))</f>
        <v>1</v>
      </c>
      <c r="AA9" s="55" t="n">
        <f aca="false">IF(Z9,IF(01_因子設定!$B$13="最大化",X9-01_因子設定!$B$14,IF(01_因子設定!$B$13="最小化",01_因子設定!$B$15-Y9,MIN(X9-01_因子設定!$B$14,01_因子設定!$B$15-Y9))),-1E+030)</f>
        <v>-2.60263626333814</v>
      </c>
      <c r="AB9" s="55" t="n">
        <f aca="false">IF(AA9&gt;=0,1,0)</f>
        <v>0</v>
      </c>
    </row>
    <row r="10" customFormat="false" ht="15" hidden="false" customHeight="false" outlineLevel="0" collapsed="false">
      <c r="A10" s="0" t="n">
        <v>1</v>
      </c>
      <c r="B10" s="0" t="n">
        <v>-0.75</v>
      </c>
      <c r="C10" s="0" t="n">
        <f aca="false">B10</f>
        <v>-0.75</v>
      </c>
      <c r="D10" s="57" t="n">
        <f aca="false">07_最適化!$B$7</f>
        <v>0.5</v>
      </c>
      <c r="E10" s="57" t="n">
        <f aca="false">07_最適化!$B$8</f>
        <v>0.5</v>
      </c>
      <c r="F10" s="57" t="n">
        <f aca="false">07_最適化!$B$9</f>
        <v>0.5</v>
      </c>
      <c r="G10" s="55" t="n">
        <f aca="false">1</f>
        <v>1</v>
      </c>
      <c r="H10" s="55" t="n">
        <f aca="false">C10</f>
        <v>-0.75</v>
      </c>
      <c r="I10" s="57" t="n">
        <f aca="false">D10</f>
        <v>0.5</v>
      </c>
      <c r="J10" s="57" t="n">
        <f aca="false">E10</f>
        <v>0.5</v>
      </c>
      <c r="K10" s="57" t="n">
        <f aca="false">F10</f>
        <v>0.5</v>
      </c>
      <c r="L10" s="55" t="n">
        <f aca="false">C10*D10</f>
        <v>-0.375</v>
      </c>
      <c r="M10" s="55" t="n">
        <f aca="false">C10*E10</f>
        <v>-0.375</v>
      </c>
      <c r="N10" s="55" t="n">
        <f aca="false">C10*F10</f>
        <v>-0.375</v>
      </c>
      <c r="O10" s="55" t="n">
        <f aca="false">D10*E10</f>
        <v>0.25</v>
      </c>
      <c r="P10" s="55" t="n">
        <f aca="false">D10*F10</f>
        <v>0.25</v>
      </c>
      <c r="Q10" s="55" t="n">
        <f aca="false">E10*F10</f>
        <v>0.25</v>
      </c>
      <c r="R10" s="55" t="n">
        <f aca="false">C10*C10</f>
        <v>0.5625</v>
      </c>
      <c r="S10" s="55" t="n">
        <f aca="false">D10*D10</f>
        <v>0.25</v>
      </c>
      <c r="T10" s="55" t="n">
        <f aca="false">E10*E10</f>
        <v>0.25</v>
      </c>
      <c r="U10" s="55" t="n">
        <f aca="false">F10*F10</f>
        <v>0.25</v>
      </c>
      <c r="V10" s="55" t="n">
        <f aca="false">SUMPRODUCT(G10:U10,_XtX!$B$96:$P$96)</f>
        <v>45.6527960526316</v>
      </c>
      <c r="W10" s="55" t="n">
        <f aca="false">SUMPRODUCT(MMULT(G10:U10,_XtX!$B$78:$P$92),G10:U10)</f>
        <v>0.193924753289474</v>
      </c>
      <c r="X10" s="55" t="n">
        <f aca="false">V10-04_回帰ANOVA!$K$19*04_回帰ANOVA!$K$14*SQRT(1+W10)</f>
        <v>44.22854394464</v>
      </c>
      <c r="Y10" s="55" t="n">
        <f aca="false">V10+04_回帰ANOVA!$K$19*04_回帰ANOVA!$K$14*SQRT(1+W10)</f>
        <v>47.0770481606232</v>
      </c>
      <c r="Z10" s="54" t="b">
        <f aca="false">AND(C10&gt;=01_因子設定!$L$5-0.000000001,C10&lt;=01_因子設定!$M$5+0.000000001,D10&gt;=01_因子設定!$L$6-0.000000001,D10&lt;=01_因子設定!$M$6+0.000000001,E10&gt;=01_因子設定!$L$7-0.000000001,E10&lt;=01_因子設定!$M$7+0.000000001,F10&gt;=01_因子設定!$L$8-0.000000001,F10&lt;=01_因子設定!$M$8+0.000000001,IF(01_因子設定!$B$20="Box-Behnken",C10^2+D10^2+E10^2+F10^2&lt;=2+0.000000001,TRUE()))</f>
        <v>1</v>
      </c>
      <c r="AA10" s="55" t="n">
        <f aca="false">IF(Z10,IF(01_因子設定!$B$13="最大化",X10-01_因子設定!$B$14,IF(01_因子設定!$B$13="最小化",01_因子設定!$B$15-Y10,MIN(X10-01_因子設定!$B$14,01_因子設定!$B$15-Y10))),-1E+030)</f>
        <v>-2.27145605536003</v>
      </c>
      <c r="AB10" s="55" t="n">
        <f aca="false">IF(AA10&gt;=0,1,0)</f>
        <v>0</v>
      </c>
    </row>
    <row r="11" customFormat="false" ht="15" hidden="false" customHeight="false" outlineLevel="0" collapsed="false">
      <c r="A11" s="0" t="n">
        <v>1</v>
      </c>
      <c r="B11" s="0" t="n">
        <v>-0.7</v>
      </c>
      <c r="C11" s="0" t="n">
        <f aca="false">B11</f>
        <v>-0.7</v>
      </c>
      <c r="D11" s="57" t="n">
        <f aca="false">07_最適化!$B$7</f>
        <v>0.5</v>
      </c>
      <c r="E11" s="57" t="n">
        <f aca="false">07_最適化!$B$8</f>
        <v>0.5</v>
      </c>
      <c r="F11" s="57" t="n">
        <f aca="false">07_最適化!$B$9</f>
        <v>0.5</v>
      </c>
      <c r="G11" s="55" t="n">
        <f aca="false">1</f>
        <v>1</v>
      </c>
      <c r="H11" s="55" t="n">
        <f aca="false">C11</f>
        <v>-0.7</v>
      </c>
      <c r="I11" s="57" t="n">
        <f aca="false">D11</f>
        <v>0.5</v>
      </c>
      <c r="J11" s="57" t="n">
        <f aca="false">E11</f>
        <v>0.5</v>
      </c>
      <c r="K11" s="57" t="n">
        <f aca="false">F11</f>
        <v>0.5</v>
      </c>
      <c r="L11" s="55" t="n">
        <f aca="false">C11*D11</f>
        <v>-0.35</v>
      </c>
      <c r="M11" s="55" t="n">
        <f aca="false">C11*E11</f>
        <v>-0.35</v>
      </c>
      <c r="N11" s="55" t="n">
        <f aca="false">C11*F11</f>
        <v>-0.35</v>
      </c>
      <c r="O11" s="55" t="n">
        <f aca="false">D11*E11</f>
        <v>0.25</v>
      </c>
      <c r="P11" s="55" t="n">
        <f aca="false">D11*F11</f>
        <v>0.25</v>
      </c>
      <c r="Q11" s="55" t="n">
        <f aca="false">E11*F11</f>
        <v>0.25</v>
      </c>
      <c r="R11" s="55" t="n">
        <f aca="false">C11*C11</f>
        <v>0.49</v>
      </c>
      <c r="S11" s="55" t="n">
        <f aca="false">D11*D11</f>
        <v>0.25</v>
      </c>
      <c r="T11" s="55" t="n">
        <f aca="false">E11*E11</f>
        <v>0.25</v>
      </c>
      <c r="U11" s="55" t="n">
        <f aca="false">F11*F11</f>
        <v>0.25</v>
      </c>
      <c r="V11" s="55" t="n">
        <f aca="false">SUMPRODUCT(G11:U11,_XtX!$B$96:$P$96)</f>
        <v>45.9553019005848</v>
      </c>
      <c r="W11" s="55" t="n">
        <f aca="false">SUMPRODUCT(MMULT(G11:U11,_XtX!$B$78:$P$92),G11:U11)</f>
        <v>0.173264108187135</v>
      </c>
      <c r="X11" s="55" t="n">
        <f aca="false">V11-04_回帰ANOVA!$K$19*04_回帰ANOVA!$K$14*SQRT(1+W11)</f>
        <v>44.543426780134</v>
      </c>
      <c r="Y11" s="55" t="n">
        <f aca="false">V11+04_回帰ANOVA!$K$19*04_回帰ANOVA!$K$14*SQRT(1+W11)</f>
        <v>47.3671770210356</v>
      </c>
      <c r="Z11" s="54" t="b">
        <f aca="false">AND(C11&gt;=01_因子設定!$L$5-0.000000001,C11&lt;=01_因子設定!$M$5+0.000000001,D11&gt;=01_因子設定!$L$6-0.000000001,D11&lt;=01_因子設定!$M$6+0.000000001,E11&gt;=01_因子設定!$L$7-0.000000001,E11&lt;=01_因子設定!$M$7+0.000000001,F11&gt;=01_因子設定!$L$8-0.000000001,F11&lt;=01_因子設定!$M$8+0.000000001,IF(01_因子設定!$B$20="Box-Behnken",C11^2+D11^2+E11^2+F11^2&lt;=2+0.000000001,TRUE()))</f>
        <v>1</v>
      </c>
      <c r="AA11" s="55" t="n">
        <f aca="false">IF(Z11,IF(01_因子設定!$B$13="最大化",X11-01_因子設定!$B$14,IF(01_因子設定!$B$13="最小化",01_因子設定!$B$15-Y11,MIN(X11-01_因子設定!$B$14,01_因子設定!$B$15-Y11))),-1E+030)</f>
        <v>-1.95657321986599</v>
      </c>
      <c r="AB11" s="55" t="n">
        <f aca="false">IF(AA11&gt;=0,1,0)</f>
        <v>0</v>
      </c>
    </row>
    <row r="12" customFormat="false" ht="15" hidden="false" customHeight="false" outlineLevel="0" collapsed="false">
      <c r="A12" s="0" t="n">
        <v>1</v>
      </c>
      <c r="B12" s="0" t="n">
        <v>-0.65</v>
      </c>
      <c r="C12" s="0" t="n">
        <f aca="false">B12</f>
        <v>-0.65</v>
      </c>
      <c r="D12" s="57" t="n">
        <f aca="false">07_最適化!$B$7</f>
        <v>0.5</v>
      </c>
      <c r="E12" s="57" t="n">
        <f aca="false">07_最適化!$B$8</f>
        <v>0.5</v>
      </c>
      <c r="F12" s="57" t="n">
        <f aca="false">07_最適化!$B$9</f>
        <v>0.5</v>
      </c>
      <c r="G12" s="55" t="n">
        <f aca="false">1</f>
        <v>1</v>
      </c>
      <c r="H12" s="55" t="n">
        <f aca="false">C12</f>
        <v>-0.65</v>
      </c>
      <c r="I12" s="57" t="n">
        <f aca="false">D12</f>
        <v>0.5</v>
      </c>
      <c r="J12" s="57" t="n">
        <f aca="false">E12</f>
        <v>0.5</v>
      </c>
      <c r="K12" s="57" t="n">
        <f aca="false">F12</f>
        <v>0.5</v>
      </c>
      <c r="L12" s="55" t="n">
        <f aca="false">C12*D12</f>
        <v>-0.325</v>
      </c>
      <c r="M12" s="55" t="n">
        <f aca="false">C12*E12</f>
        <v>-0.325</v>
      </c>
      <c r="N12" s="55" t="n">
        <f aca="false">C12*F12</f>
        <v>-0.325</v>
      </c>
      <c r="O12" s="55" t="n">
        <f aca="false">D12*E12</f>
        <v>0.25</v>
      </c>
      <c r="P12" s="55" t="n">
        <f aca="false">D12*F12</f>
        <v>0.25</v>
      </c>
      <c r="Q12" s="55" t="n">
        <f aca="false">E12*F12</f>
        <v>0.25</v>
      </c>
      <c r="R12" s="55" t="n">
        <f aca="false">C12*C12</f>
        <v>0.4225</v>
      </c>
      <c r="S12" s="55" t="n">
        <f aca="false">D12*D12</f>
        <v>0.25</v>
      </c>
      <c r="T12" s="55" t="n">
        <f aca="false">E12*E12</f>
        <v>0.25</v>
      </c>
      <c r="U12" s="55" t="n">
        <f aca="false">F12*F12</f>
        <v>0.25</v>
      </c>
      <c r="V12" s="55" t="n">
        <f aca="false">SUMPRODUCT(G12:U12,_XtX!$B$96:$P$96)</f>
        <v>46.2448954678362</v>
      </c>
      <c r="W12" s="55" t="n">
        <f aca="false">SUMPRODUCT(MMULT(G12:U12,_XtX!$B$78:$P$92),G12:U12)</f>
        <v>0.157675703581871</v>
      </c>
      <c r="X12" s="55" t="n">
        <f aca="false">V12-04_回帰ANOVA!$K$19*04_回帰ANOVA!$K$14*SQRT(1+W12)</f>
        <v>44.8424310481168</v>
      </c>
      <c r="Y12" s="55" t="n">
        <f aca="false">V12+04_回帰ANOVA!$K$19*04_回帰ANOVA!$K$14*SQRT(1+W12)</f>
        <v>47.6473598875557</v>
      </c>
      <c r="Z12" s="54" t="b">
        <f aca="false">AND(C12&gt;=01_因子設定!$L$5-0.000000001,C12&lt;=01_因子設定!$M$5+0.000000001,D12&gt;=01_因子設定!$L$6-0.000000001,D12&lt;=01_因子設定!$M$6+0.000000001,E12&gt;=01_因子設定!$L$7-0.000000001,E12&lt;=01_因子設定!$M$7+0.000000001,F12&gt;=01_因子設定!$L$8-0.000000001,F12&lt;=01_因子設定!$M$8+0.000000001,IF(01_因子設定!$B$20="Box-Behnken",C12^2+D12^2+E12^2+F12^2&lt;=2+0.000000001,TRUE()))</f>
        <v>1</v>
      </c>
      <c r="AA12" s="55" t="n">
        <f aca="false">IF(Z12,IF(01_因子設定!$B$13="最大化",X12-01_因子設定!$B$14,IF(01_因子設定!$B$13="最小化",01_因子設定!$B$15-Y12,MIN(X12-01_因子設定!$B$14,01_因子設定!$B$15-Y12))),-1E+030)</f>
        <v>-1.65756895188319</v>
      </c>
      <c r="AB12" s="55" t="n">
        <f aca="false">IF(AA12&gt;=0,1,0)</f>
        <v>0</v>
      </c>
    </row>
    <row r="13" customFormat="false" ht="15" hidden="false" customHeight="false" outlineLevel="0" collapsed="false">
      <c r="A13" s="0" t="n">
        <v>1</v>
      </c>
      <c r="B13" s="0" t="n">
        <v>-0.6</v>
      </c>
      <c r="C13" s="0" t="n">
        <f aca="false">B13</f>
        <v>-0.6</v>
      </c>
      <c r="D13" s="57" t="n">
        <f aca="false">07_最適化!$B$7</f>
        <v>0.5</v>
      </c>
      <c r="E13" s="57" t="n">
        <f aca="false">07_最適化!$B$8</f>
        <v>0.5</v>
      </c>
      <c r="F13" s="57" t="n">
        <f aca="false">07_最適化!$B$9</f>
        <v>0.5</v>
      </c>
      <c r="G13" s="55" t="n">
        <f aca="false">1</f>
        <v>1</v>
      </c>
      <c r="H13" s="55" t="n">
        <f aca="false">C13</f>
        <v>-0.6</v>
      </c>
      <c r="I13" s="57" t="n">
        <f aca="false">D13</f>
        <v>0.5</v>
      </c>
      <c r="J13" s="57" t="n">
        <f aca="false">E13</f>
        <v>0.5</v>
      </c>
      <c r="K13" s="57" t="n">
        <f aca="false">F13</f>
        <v>0.5</v>
      </c>
      <c r="L13" s="55" t="n">
        <f aca="false">C13*D13</f>
        <v>-0.3</v>
      </c>
      <c r="M13" s="55" t="n">
        <f aca="false">C13*E13</f>
        <v>-0.3</v>
      </c>
      <c r="N13" s="55" t="n">
        <f aca="false">C13*F13</f>
        <v>-0.3</v>
      </c>
      <c r="O13" s="55" t="n">
        <f aca="false">D13*E13</f>
        <v>0.25</v>
      </c>
      <c r="P13" s="55" t="n">
        <f aca="false">D13*F13</f>
        <v>0.25</v>
      </c>
      <c r="Q13" s="55" t="n">
        <f aca="false">E13*F13</f>
        <v>0.25</v>
      </c>
      <c r="R13" s="55" t="n">
        <f aca="false">C13*C13</f>
        <v>0.36</v>
      </c>
      <c r="S13" s="55" t="n">
        <f aca="false">D13*D13</f>
        <v>0.25</v>
      </c>
      <c r="T13" s="55" t="n">
        <f aca="false">E13*E13</f>
        <v>0.25</v>
      </c>
      <c r="U13" s="55" t="n">
        <f aca="false">F13*F13</f>
        <v>0.25</v>
      </c>
      <c r="V13" s="55" t="n">
        <f aca="false">SUMPRODUCT(G13:U13,_XtX!$B$96:$P$96)</f>
        <v>46.5215767543859</v>
      </c>
      <c r="W13" s="55" t="n">
        <f aca="false">SUMPRODUCT(MMULT(G13:U13,_XtX!$B$78:$P$92),G13:U13)</f>
        <v>0.146377960526316</v>
      </c>
      <c r="X13" s="55" t="n">
        <f aca="false">V13-04_回帰ANOVA!$K$19*04_回帰ANOVA!$K$14*SQRT(1+W13)</f>
        <v>45.1259724291691</v>
      </c>
      <c r="Y13" s="55" t="n">
        <f aca="false">V13+04_回帰ANOVA!$K$19*04_回帰ANOVA!$K$14*SQRT(1+W13)</f>
        <v>47.9171810796028</v>
      </c>
      <c r="Z13" s="54" t="b">
        <f aca="false">AND(C13&gt;=01_因子設定!$L$5-0.000000001,C13&lt;=01_因子設定!$M$5+0.000000001,D13&gt;=01_因子設定!$L$6-0.000000001,D13&lt;=01_因子設定!$M$6+0.000000001,E13&gt;=01_因子設定!$L$7-0.000000001,E13&lt;=01_因子設定!$M$7+0.000000001,F13&gt;=01_因子設定!$L$8-0.000000001,F13&lt;=01_因子設定!$M$8+0.000000001,IF(01_因子設定!$B$20="Box-Behnken",C13^2+D13^2+E13^2+F13^2&lt;=2+0.000000001,TRUE()))</f>
        <v>1</v>
      </c>
      <c r="AA13" s="55" t="n">
        <f aca="false">IF(Z13,IF(01_因子設定!$B$13="最大化",X13-01_因子設定!$B$14,IF(01_因子設定!$B$13="最小化",01_因子設定!$B$15-Y13,MIN(X13-01_因子設定!$B$14,01_因子設定!$B$15-Y13))),-1E+030)</f>
        <v>-1.37402757083091</v>
      </c>
      <c r="AB13" s="55" t="n">
        <f aca="false">IF(AA13&gt;=0,1,0)</f>
        <v>0</v>
      </c>
    </row>
    <row r="14" customFormat="false" ht="15" hidden="false" customHeight="false" outlineLevel="0" collapsed="false">
      <c r="A14" s="0" t="n">
        <v>1</v>
      </c>
      <c r="B14" s="0" t="n">
        <v>-0.55</v>
      </c>
      <c r="C14" s="0" t="n">
        <f aca="false">B14</f>
        <v>-0.55</v>
      </c>
      <c r="D14" s="57" t="n">
        <f aca="false">07_最適化!$B$7</f>
        <v>0.5</v>
      </c>
      <c r="E14" s="57" t="n">
        <f aca="false">07_最適化!$B$8</f>
        <v>0.5</v>
      </c>
      <c r="F14" s="57" t="n">
        <f aca="false">07_最適化!$B$9</f>
        <v>0.5</v>
      </c>
      <c r="G14" s="55" t="n">
        <f aca="false">1</f>
        <v>1</v>
      </c>
      <c r="H14" s="55" t="n">
        <f aca="false">C14</f>
        <v>-0.55</v>
      </c>
      <c r="I14" s="57" t="n">
        <f aca="false">D14</f>
        <v>0.5</v>
      </c>
      <c r="J14" s="57" t="n">
        <f aca="false">E14</f>
        <v>0.5</v>
      </c>
      <c r="K14" s="57" t="n">
        <f aca="false">F14</f>
        <v>0.5</v>
      </c>
      <c r="L14" s="55" t="n">
        <f aca="false">C14*D14</f>
        <v>-0.275</v>
      </c>
      <c r="M14" s="55" t="n">
        <f aca="false">C14*E14</f>
        <v>-0.275</v>
      </c>
      <c r="N14" s="55" t="n">
        <f aca="false">C14*F14</f>
        <v>-0.275</v>
      </c>
      <c r="O14" s="55" t="n">
        <f aca="false">D14*E14</f>
        <v>0.25</v>
      </c>
      <c r="P14" s="55" t="n">
        <f aca="false">D14*F14</f>
        <v>0.25</v>
      </c>
      <c r="Q14" s="55" t="n">
        <f aca="false">E14*F14</f>
        <v>0.25</v>
      </c>
      <c r="R14" s="55" t="n">
        <f aca="false">C14*C14</f>
        <v>0.3025</v>
      </c>
      <c r="S14" s="55" t="n">
        <f aca="false">D14*D14</f>
        <v>0.25</v>
      </c>
      <c r="T14" s="55" t="n">
        <f aca="false">E14*E14</f>
        <v>0.25</v>
      </c>
      <c r="U14" s="55" t="n">
        <f aca="false">F14*F14</f>
        <v>0.25</v>
      </c>
      <c r="V14" s="55" t="n">
        <f aca="false">SUMPRODUCT(G14:U14,_XtX!$B$96:$P$96)</f>
        <v>46.7853457602339</v>
      </c>
      <c r="W14" s="55" t="n">
        <f aca="false">SUMPRODUCT(MMULT(G14:U14,_XtX!$B$78:$P$92),G14:U14)</f>
        <v>0.138647194809942</v>
      </c>
      <c r="X14" s="55" t="n">
        <f aca="false">V14-04_回帰ANOVA!$K$19*04_回帰ANOVA!$K$14*SQRT(1+W14)</f>
        <v>45.3944551252144</v>
      </c>
      <c r="Y14" s="55" t="n">
        <f aca="false">V14+04_回帰ANOVA!$K$19*04_回帰ANOVA!$K$14*SQRT(1+W14)</f>
        <v>48.1762363952534</v>
      </c>
      <c r="Z14" s="54" t="b">
        <f aca="false">AND(C14&gt;=01_因子設定!$L$5-0.000000001,C14&lt;=01_因子設定!$M$5+0.000000001,D14&gt;=01_因子設定!$L$6-0.000000001,D14&lt;=01_因子設定!$M$6+0.000000001,E14&gt;=01_因子設定!$L$7-0.000000001,E14&lt;=01_因子設定!$M$7+0.000000001,F14&gt;=01_因子設定!$L$8-0.000000001,F14&lt;=01_因子設定!$M$8+0.000000001,IF(01_因子設定!$B$20="Box-Behnken",C14^2+D14^2+E14^2+F14^2&lt;=2+0.000000001,TRUE()))</f>
        <v>1</v>
      </c>
      <c r="AA14" s="55" t="n">
        <f aca="false">IF(Z14,IF(01_因子設定!$B$13="最大化",X14-01_因子設定!$B$14,IF(01_因子設定!$B$13="最小化",01_因子設定!$B$15-Y14,MIN(X14-01_因子設定!$B$14,01_因子設定!$B$15-Y14))),-1E+030)</f>
        <v>-1.10554487478561</v>
      </c>
      <c r="AB14" s="55" t="n">
        <f aca="false">IF(AA14&gt;=0,1,0)</f>
        <v>0</v>
      </c>
    </row>
    <row r="15" customFormat="false" ht="15" hidden="false" customHeight="false" outlineLevel="0" collapsed="false">
      <c r="A15" s="0" t="n">
        <v>1</v>
      </c>
      <c r="B15" s="0" t="n">
        <v>-0.5</v>
      </c>
      <c r="C15" s="0" t="n">
        <f aca="false">B15</f>
        <v>-0.5</v>
      </c>
      <c r="D15" s="57" t="n">
        <f aca="false">07_最適化!$B$7</f>
        <v>0.5</v>
      </c>
      <c r="E15" s="57" t="n">
        <f aca="false">07_最適化!$B$8</f>
        <v>0.5</v>
      </c>
      <c r="F15" s="57" t="n">
        <f aca="false">07_最適化!$B$9</f>
        <v>0.5</v>
      </c>
      <c r="G15" s="55" t="n">
        <f aca="false">1</f>
        <v>1</v>
      </c>
      <c r="H15" s="55" t="n">
        <f aca="false">C15</f>
        <v>-0.5</v>
      </c>
      <c r="I15" s="57" t="n">
        <f aca="false">D15</f>
        <v>0.5</v>
      </c>
      <c r="J15" s="57" t="n">
        <f aca="false">E15</f>
        <v>0.5</v>
      </c>
      <c r="K15" s="57" t="n">
        <f aca="false">F15</f>
        <v>0.5</v>
      </c>
      <c r="L15" s="55" t="n">
        <f aca="false">C15*D15</f>
        <v>-0.25</v>
      </c>
      <c r="M15" s="55" t="n">
        <f aca="false">C15*E15</f>
        <v>-0.25</v>
      </c>
      <c r="N15" s="55" t="n">
        <f aca="false">C15*F15</f>
        <v>-0.25</v>
      </c>
      <c r="O15" s="55" t="n">
        <f aca="false">D15*E15</f>
        <v>0.25</v>
      </c>
      <c r="P15" s="55" t="n">
        <f aca="false">D15*F15</f>
        <v>0.25</v>
      </c>
      <c r="Q15" s="55" t="n">
        <f aca="false">E15*F15</f>
        <v>0.25</v>
      </c>
      <c r="R15" s="55" t="n">
        <f aca="false">C15*C15</f>
        <v>0.25</v>
      </c>
      <c r="S15" s="55" t="n">
        <f aca="false">D15*D15</f>
        <v>0.25</v>
      </c>
      <c r="T15" s="55" t="n">
        <f aca="false">E15*E15</f>
        <v>0.25</v>
      </c>
      <c r="U15" s="55" t="n">
        <f aca="false">F15*F15</f>
        <v>0.25</v>
      </c>
      <c r="V15" s="55" t="n">
        <f aca="false">SUMPRODUCT(G15:U15,_XtX!$B$96:$P$96)</f>
        <v>47.0362024853801</v>
      </c>
      <c r="W15" s="55" t="n">
        <f aca="false">SUMPRODUCT(MMULT(G15:U15,_XtX!$B$78:$P$92),G15:U15)</f>
        <v>0.133817616959064</v>
      </c>
      <c r="X15" s="55" t="n">
        <f aca="false">V15-04_回帰ANOVA!$K$19*04_回帰ANOVA!$K$14*SQRT(1+W15)</f>
        <v>45.6482647196812</v>
      </c>
      <c r="Y15" s="55" t="n">
        <f aca="false">V15+04_回帰ANOVA!$K$19*04_回帰ANOVA!$K$14*SQRT(1+W15)</f>
        <v>48.4241402510789</v>
      </c>
      <c r="Z15" s="54" t="b">
        <f aca="false">AND(C15&gt;=01_因子設定!$L$5-0.000000001,C15&lt;=01_因子設定!$M$5+0.000000001,D15&gt;=01_因子設定!$L$6-0.000000001,D15&lt;=01_因子設定!$M$6+0.000000001,E15&gt;=01_因子設定!$L$7-0.000000001,E15&lt;=01_因子設定!$M$7+0.000000001,F15&gt;=01_因子設定!$L$8-0.000000001,F15&lt;=01_因子設定!$M$8+0.000000001,IF(01_因子設定!$B$20="Box-Behnken",C15^2+D15^2+E15^2+F15^2&lt;=2+0.000000001,TRUE()))</f>
        <v>1</v>
      </c>
      <c r="AA15" s="55" t="n">
        <f aca="false">IF(Z15,IF(01_因子設定!$B$13="最大化",X15-01_因子設定!$B$14,IF(01_因子設定!$B$13="最小化",01_因子設定!$B$15-Y15,MIN(X15-01_因子設定!$B$14,01_因子設定!$B$15-Y15))),-1E+030)</f>
        <v>-0.851735280318785</v>
      </c>
      <c r="AB15" s="55" t="n">
        <f aca="false">IF(AA15&gt;=0,1,0)</f>
        <v>0</v>
      </c>
    </row>
    <row r="16" customFormat="false" ht="15" hidden="false" customHeight="false" outlineLevel="0" collapsed="false">
      <c r="A16" s="0" t="n">
        <v>1</v>
      </c>
      <c r="B16" s="0" t="n">
        <v>-0.45</v>
      </c>
      <c r="C16" s="0" t="n">
        <f aca="false">B16</f>
        <v>-0.45</v>
      </c>
      <c r="D16" s="57" t="n">
        <f aca="false">07_最適化!$B$7</f>
        <v>0.5</v>
      </c>
      <c r="E16" s="57" t="n">
        <f aca="false">07_最適化!$B$8</f>
        <v>0.5</v>
      </c>
      <c r="F16" s="57" t="n">
        <f aca="false">07_最適化!$B$9</f>
        <v>0.5</v>
      </c>
      <c r="G16" s="55" t="n">
        <f aca="false">1</f>
        <v>1</v>
      </c>
      <c r="H16" s="55" t="n">
        <f aca="false">C16</f>
        <v>-0.45</v>
      </c>
      <c r="I16" s="57" t="n">
        <f aca="false">D16</f>
        <v>0.5</v>
      </c>
      <c r="J16" s="57" t="n">
        <f aca="false">E16</f>
        <v>0.5</v>
      </c>
      <c r="K16" s="57" t="n">
        <f aca="false">F16</f>
        <v>0.5</v>
      </c>
      <c r="L16" s="55" t="n">
        <f aca="false">C16*D16</f>
        <v>-0.225</v>
      </c>
      <c r="M16" s="55" t="n">
        <f aca="false">C16*E16</f>
        <v>-0.225</v>
      </c>
      <c r="N16" s="55" t="n">
        <f aca="false">C16*F16</f>
        <v>-0.225</v>
      </c>
      <c r="O16" s="55" t="n">
        <f aca="false">D16*E16</f>
        <v>0.25</v>
      </c>
      <c r="P16" s="55" t="n">
        <f aca="false">D16*F16</f>
        <v>0.25</v>
      </c>
      <c r="Q16" s="55" t="n">
        <f aca="false">E16*F16</f>
        <v>0.25</v>
      </c>
      <c r="R16" s="55" t="n">
        <f aca="false">C16*C16</f>
        <v>0.2025</v>
      </c>
      <c r="S16" s="55" t="n">
        <f aca="false">D16*D16</f>
        <v>0.25</v>
      </c>
      <c r="T16" s="55" t="n">
        <f aca="false">E16*E16</f>
        <v>0.25</v>
      </c>
      <c r="U16" s="55" t="n">
        <f aca="false">F16*F16</f>
        <v>0.25</v>
      </c>
      <c r="V16" s="55" t="n">
        <f aca="false">SUMPRODUCT(G16:U16,_XtX!$B$96:$P$96)</f>
        <v>47.2741469298245</v>
      </c>
      <c r="W16" s="55" t="n">
        <f aca="false">SUMPRODUCT(MMULT(G16:U16,_XtX!$B$78:$P$92),G16:U16)</f>
        <v>0.131281332236842</v>
      </c>
      <c r="X16" s="55" t="n">
        <f aca="false">V16-04_回帰ANOVA!$K$19*04_回帰ANOVA!$K$14*SQRT(1+W16)</f>
        <v>45.8877624016689</v>
      </c>
      <c r="Y16" s="55" t="n">
        <f aca="false">V16+04_回帰ANOVA!$K$19*04_回帰ANOVA!$K$14*SQRT(1+W16)</f>
        <v>48.6605314579802</v>
      </c>
      <c r="Z16" s="54" t="b">
        <f aca="false">AND(C16&gt;=01_因子設定!$L$5-0.000000001,C16&lt;=01_因子設定!$M$5+0.000000001,D16&gt;=01_因子設定!$L$6-0.000000001,D16&lt;=01_因子設定!$M$6+0.000000001,E16&gt;=01_因子設定!$L$7-0.000000001,E16&lt;=01_因子設定!$M$7+0.000000001,F16&gt;=01_因子設定!$L$8-0.000000001,F16&lt;=01_因子設定!$M$8+0.000000001,IF(01_因子設定!$B$20="Box-Behnken",C16^2+D16^2+E16^2+F16^2&lt;=2+0.000000001,TRUE()))</f>
        <v>1</v>
      </c>
      <c r="AA16" s="55" t="n">
        <f aca="false">IF(Z16,IF(01_因子設定!$B$13="最大化",X16-01_因子設定!$B$14,IF(01_因子設定!$B$13="最小化",01_因子設定!$B$15-Y16,MIN(X16-01_因子設定!$B$14,01_因子設定!$B$15-Y16))),-1E+030)</f>
        <v>-0.612237598331127</v>
      </c>
      <c r="AB16" s="55" t="n">
        <f aca="false">IF(AA16&gt;=0,1,0)</f>
        <v>0</v>
      </c>
    </row>
    <row r="17" customFormat="false" ht="15" hidden="false" customHeight="false" outlineLevel="0" collapsed="false">
      <c r="A17" s="0" t="n">
        <v>1</v>
      </c>
      <c r="B17" s="0" t="n">
        <v>-0.4</v>
      </c>
      <c r="C17" s="0" t="n">
        <f aca="false">B17</f>
        <v>-0.4</v>
      </c>
      <c r="D17" s="57" t="n">
        <f aca="false">07_最適化!$B$7</f>
        <v>0.5</v>
      </c>
      <c r="E17" s="57" t="n">
        <f aca="false">07_最適化!$B$8</f>
        <v>0.5</v>
      </c>
      <c r="F17" s="57" t="n">
        <f aca="false">07_最適化!$B$9</f>
        <v>0.5</v>
      </c>
      <c r="G17" s="55" t="n">
        <f aca="false">1</f>
        <v>1</v>
      </c>
      <c r="H17" s="55" t="n">
        <f aca="false">C17</f>
        <v>-0.4</v>
      </c>
      <c r="I17" s="57" t="n">
        <f aca="false">D17</f>
        <v>0.5</v>
      </c>
      <c r="J17" s="57" t="n">
        <f aca="false">E17</f>
        <v>0.5</v>
      </c>
      <c r="K17" s="57" t="n">
        <f aca="false">F17</f>
        <v>0.5</v>
      </c>
      <c r="L17" s="55" t="n">
        <f aca="false">C17*D17</f>
        <v>-0.2</v>
      </c>
      <c r="M17" s="55" t="n">
        <f aca="false">C17*E17</f>
        <v>-0.2</v>
      </c>
      <c r="N17" s="55" t="n">
        <f aca="false">C17*F17</f>
        <v>-0.2</v>
      </c>
      <c r="O17" s="55" t="n">
        <f aca="false">D17*E17</f>
        <v>0.25</v>
      </c>
      <c r="P17" s="55" t="n">
        <f aca="false">D17*F17</f>
        <v>0.25</v>
      </c>
      <c r="Q17" s="55" t="n">
        <f aca="false">E17*F17</f>
        <v>0.25</v>
      </c>
      <c r="R17" s="55" t="n">
        <f aca="false">C17*C17</f>
        <v>0.16</v>
      </c>
      <c r="S17" s="55" t="n">
        <f aca="false">D17*D17</f>
        <v>0.25</v>
      </c>
      <c r="T17" s="55" t="n">
        <f aca="false">E17*E17</f>
        <v>0.25</v>
      </c>
      <c r="U17" s="55" t="n">
        <f aca="false">F17*F17</f>
        <v>0.25</v>
      </c>
      <c r="V17" s="55" t="n">
        <f aca="false">SUMPRODUCT(G17:U17,_XtX!$B$96:$P$96)</f>
        <v>47.4991790935672</v>
      </c>
      <c r="W17" s="55" t="n">
        <f aca="false">SUMPRODUCT(MMULT(G17:U17,_XtX!$B$78:$P$92),G17:U17)</f>
        <v>0.130488340643275</v>
      </c>
      <c r="X17" s="55" t="n">
        <f aca="false">V17-04_回帰ANOVA!$K$19*04_回帰ANOVA!$K$14*SQRT(1+W17)</f>
        <v>46.1132805559304</v>
      </c>
      <c r="Y17" s="55" t="n">
        <f aca="false">V17+04_回帰ANOVA!$K$19*04_回帰ANOVA!$K$14*SQRT(1+W17)</f>
        <v>48.885077631204</v>
      </c>
      <c r="Z17" s="54" t="b">
        <f aca="false">AND(C17&gt;=01_因子設定!$L$5-0.000000001,C17&lt;=01_因子設定!$M$5+0.000000001,D17&gt;=01_因子設定!$L$6-0.000000001,D17&lt;=01_因子設定!$M$6+0.000000001,E17&gt;=01_因子設定!$L$7-0.000000001,E17&lt;=01_因子設定!$M$7+0.000000001,F17&gt;=01_因子設定!$L$8-0.000000001,F17&lt;=01_因子設定!$M$8+0.000000001,IF(01_因子設定!$B$20="Box-Behnken",C17^2+D17^2+E17^2+F17^2&lt;=2+0.000000001,TRUE()))</f>
        <v>1</v>
      </c>
      <c r="AA17" s="55" t="n">
        <f aca="false">IF(Z17,IF(01_因子設定!$B$13="最大化",X17-01_因子設定!$B$14,IF(01_因子設定!$B$13="最小化",01_因子設定!$B$15-Y17,MIN(X17-01_因子設定!$B$14,01_因子設定!$B$15-Y17))),-1E+030)</f>
        <v>-0.386719444069591</v>
      </c>
      <c r="AB17" s="55" t="n">
        <f aca="false">IF(AA17&gt;=0,1,0)</f>
        <v>0</v>
      </c>
    </row>
    <row r="18" customFormat="false" ht="15" hidden="false" customHeight="false" outlineLevel="0" collapsed="false">
      <c r="A18" s="0" t="n">
        <v>1</v>
      </c>
      <c r="B18" s="0" t="n">
        <v>-0.35</v>
      </c>
      <c r="C18" s="0" t="n">
        <f aca="false">B18</f>
        <v>-0.35</v>
      </c>
      <c r="D18" s="57" t="n">
        <f aca="false">07_最適化!$B$7</f>
        <v>0.5</v>
      </c>
      <c r="E18" s="57" t="n">
        <f aca="false">07_最適化!$B$8</f>
        <v>0.5</v>
      </c>
      <c r="F18" s="57" t="n">
        <f aca="false">07_最適化!$B$9</f>
        <v>0.5</v>
      </c>
      <c r="G18" s="55" t="n">
        <f aca="false">1</f>
        <v>1</v>
      </c>
      <c r="H18" s="55" t="n">
        <f aca="false">C18</f>
        <v>-0.35</v>
      </c>
      <c r="I18" s="57" t="n">
        <f aca="false">D18</f>
        <v>0.5</v>
      </c>
      <c r="J18" s="57" t="n">
        <f aca="false">E18</f>
        <v>0.5</v>
      </c>
      <c r="K18" s="57" t="n">
        <f aca="false">F18</f>
        <v>0.5</v>
      </c>
      <c r="L18" s="55" t="n">
        <f aca="false">C18*D18</f>
        <v>-0.175</v>
      </c>
      <c r="M18" s="55" t="n">
        <f aca="false">C18*E18</f>
        <v>-0.175</v>
      </c>
      <c r="N18" s="55" t="n">
        <f aca="false">C18*F18</f>
        <v>-0.175</v>
      </c>
      <c r="O18" s="55" t="n">
        <f aca="false">D18*E18</f>
        <v>0.25</v>
      </c>
      <c r="P18" s="55" t="n">
        <f aca="false">D18*F18</f>
        <v>0.25</v>
      </c>
      <c r="Q18" s="55" t="n">
        <f aca="false">E18*F18</f>
        <v>0.25</v>
      </c>
      <c r="R18" s="55" t="n">
        <f aca="false">C18*C18</f>
        <v>0.1225</v>
      </c>
      <c r="S18" s="55" t="n">
        <f aca="false">D18*D18</f>
        <v>0.25</v>
      </c>
      <c r="T18" s="55" t="n">
        <f aca="false">E18*E18</f>
        <v>0.25</v>
      </c>
      <c r="U18" s="55" t="n">
        <f aca="false">F18*F18</f>
        <v>0.25</v>
      </c>
      <c r="V18" s="55" t="n">
        <f aca="false">SUMPRODUCT(G18:U18,_XtX!$B$96:$P$96)</f>
        <v>47.7112989766081</v>
      </c>
      <c r="W18" s="55" t="n">
        <f aca="false">SUMPRODUCT(MMULT(G18:U18,_XtX!$B$78:$P$92),G18:U18)</f>
        <v>0.130946536915205</v>
      </c>
      <c r="X18" s="55" t="n">
        <f aca="false">V18-04_回帰ANOVA!$K$19*04_回帰ANOVA!$K$14*SQRT(1+W18)</f>
        <v>46.3251196093558</v>
      </c>
      <c r="Y18" s="55" t="n">
        <f aca="false">V18+04_回帰ANOVA!$K$19*04_回帰ANOVA!$K$14*SQRT(1+W18)</f>
        <v>49.0974783438605</v>
      </c>
      <c r="Z18" s="54" t="b">
        <f aca="false">AND(C18&gt;=01_因子設定!$L$5-0.000000001,C18&lt;=01_因子設定!$M$5+0.000000001,D18&gt;=01_因子設定!$L$6-0.000000001,D18&lt;=01_因子設定!$M$6+0.000000001,E18&gt;=01_因子設定!$L$7-0.000000001,E18&lt;=01_因子設定!$M$7+0.000000001,F18&gt;=01_因子設定!$L$8-0.000000001,F18&lt;=01_因子設定!$M$8+0.000000001,IF(01_因子設定!$B$20="Box-Behnken",C18^2+D18^2+E18^2+F18^2&lt;=2+0.000000001,TRUE()))</f>
        <v>1</v>
      </c>
      <c r="AA18" s="55" t="n">
        <f aca="false">IF(Z18,IF(01_因子設定!$B$13="最大化",X18-01_因子設定!$B$14,IF(01_因子設定!$B$13="最小化",01_因子設定!$B$15-Y18,MIN(X18-01_因子設定!$B$14,01_因子設定!$B$15-Y18))),-1E+030)</f>
        <v>-0.174880390644212</v>
      </c>
      <c r="AB18" s="55" t="n">
        <f aca="false">IF(AA18&gt;=0,1,0)</f>
        <v>0</v>
      </c>
    </row>
    <row r="19" customFormat="false" ht="15" hidden="false" customHeight="false" outlineLevel="0" collapsed="false">
      <c r="A19" s="0" t="n">
        <v>1</v>
      </c>
      <c r="B19" s="0" t="n">
        <v>-0.3</v>
      </c>
      <c r="C19" s="0" t="n">
        <f aca="false">B19</f>
        <v>-0.3</v>
      </c>
      <c r="D19" s="57" t="n">
        <f aca="false">07_最適化!$B$7</f>
        <v>0.5</v>
      </c>
      <c r="E19" s="57" t="n">
        <f aca="false">07_最適化!$B$8</f>
        <v>0.5</v>
      </c>
      <c r="F19" s="57" t="n">
        <f aca="false">07_最適化!$B$9</f>
        <v>0.5</v>
      </c>
      <c r="G19" s="55" t="n">
        <f aca="false">1</f>
        <v>1</v>
      </c>
      <c r="H19" s="55" t="n">
        <f aca="false">C19</f>
        <v>-0.3</v>
      </c>
      <c r="I19" s="57" t="n">
        <f aca="false">D19</f>
        <v>0.5</v>
      </c>
      <c r="J19" s="57" t="n">
        <f aca="false">E19</f>
        <v>0.5</v>
      </c>
      <c r="K19" s="57" t="n">
        <f aca="false">F19</f>
        <v>0.5</v>
      </c>
      <c r="L19" s="55" t="n">
        <f aca="false">C19*D19</f>
        <v>-0.15</v>
      </c>
      <c r="M19" s="55" t="n">
        <f aca="false">C19*E19</f>
        <v>-0.15</v>
      </c>
      <c r="N19" s="55" t="n">
        <f aca="false">C19*F19</f>
        <v>-0.15</v>
      </c>
      <c r="O19" s="55" t="n">
        <f aca="false">D19*E19</f>
        <v>0.25</v>
      </c>
      <c r="P19" s="55" t="n">
        <f aca="false">D19*F19</f>
        <v>0.25</v>
      </c>
      <c r="Q19" s="55" t="n">
        <f aca="false">E19*F19</f>
        <v>0.25</v>
      </c>
      <c r="R19" s="55" t="n">
        <f aca="false">C19*C19</f>
        <v>0.09</v>
      </c>
      <c r="S19" s="55" t="n">
        <f aca="false">D19*D19</f>
        <v>0.25</v>
      </c>
      <c r="T19" s="55" t="n">
        <f aca="false">E19*E19</f>
        <v>0.25</v>
      </c>
      <c r="U19" s="55" t="n">
        <f aca="false">F19*F19</f>
        <v>0.25</v>
      </c>
      <c r="V19" s="55" t="n">
        <f aca="false">SUMPRODUCT(G19:U19,_XtX!$B$96:$P$96)</f>
        <v>47.9105065789473</v>
      </c>
      <c r="W19" s="55" t="n">
        <f aca="false">SUMPRODUCT(MMULT(G19:U19,_XtX!$B$78:$P$92),G19:U19)</f>
        <v>0.132221710526316</v>
      </c>
      <c r="X19" s="55" t="n">
        <f aca="false">V19-04_回帰ANOVA!$K$19*04_回帰ANOVA!$K$14*SQRT(1+W19)</f>
        <v>46.5235459539996</v>
      </c>
      <c r="Y19" s="55" t="n">
        <f aca="false">V19+04_回帰ANOVA!$K$19*04_回帰ANOVA!$K$14*SQRT(1+W19)</f>
        <v>49.2974672038951</v>
      </c>
      <c r="Z19" s="54" t="b">
        <f aca="false">AND(C19&gt;=01_因子設定!$L$5-0.000000001,C19&lt;=01_因子設定!$M$5+0.000000001,D19&gt;=01_因子設定!$L$6-0.000000001,D19&lt;=01_因子設定!$M$6+0.000000001,E19&gt;=01_因子設定!$L$7-0.000000001,E19&lt;=01_因子設定!$M$7+0.000000001,F19&gt;=01_因子設定!$L$8-0.000000001,F19&lt;=01_因子設定!$M$8+0.000000001,IF(01_因子設定!$B$20="Box-Behnken",C19^2+D19^2+E19^2+F19^2&lt;=2+0.000000001,TRUE()))</f>
        <v>1</v>
      </c>
      <c r="AA19" s="55" t="n">
        <f aca="false">IF(Z19,IF(01_因子設定!$B$13="最大化",X19-01_因子設定!$B$14,IF(01_因子設定!$B$13="最小化",01_因子設定!$B$15-Y19,MIN(X19-01_因子設定!$B$14,01_因子設定!$B$15-Y19))),-1E+030)</f>
        <v>0.0235459539995588</v>
      </c>
      <c r="AB19" s="55" t="n">
        <f aca="false">IF(AA19&gt;=0,1,0)</f>
        <v>1</v>
      </c>
    </row>
    <row r="20" customFormat="false" ht="15" hidden="false" customHeight="false" outlineLevel="0" collapsed="false">
      <c r="A20" s="0" t="n">
        <v>1</v>
      </c>
      <c r="B20" s="0" t="n">
        <v>-0.25</v>
      </c>
      <c r="C20" s="0" t="n">
        <f aca="false">B20</f>
        <v>-0.25</v>
      </c>
      <c r="D20" s="57" t="n">
        <f aca="false">07_最適化!$B$7</f>
        <v>0.5</v>
      </c>
      <c r="E20" s="57" t="n">
        <f aca="false">07_最適化!$B$8</f>
        <v>0.5</v>
      </c>
      <c r="F20" s="57" t="n">
        <f aca="false">07_最適化!$B$9</f>
        <v>0.5</v>
      </c>
      <c r="G20" s="55" t="n">
        <f aca="false">1</f>
        <v>1</v>
      </c>
      <c r="H20" s="55" t="n">
        <f aca="false">C20</f>
        <v>-0.25</v>
      </c>
      <c r="I20" s="57" t="n">
        <f aca="false">D20</f>
        <v>0.5</v>
      </c>
      <c r="J20" s="57" t="n">
        <f aca="false">E20</f>
        <v>0.5</v>
      </c>
      <c r="K20" s="57" t="n">
        <f aca="false">F20</f>
        <v>0.5</v>
      </c>
      <c r="L20" s="55" t="n">
        <f aca="false">C20*D20</f>
        <v>-0.125</v>
      </c>
      <c r="M20" s="55" t="n">
        <f aca="false">C20*E20</f>
        <v>-0.125</v>
      </c>
      <c r="N20" s="55" t="n">
        <f aca="false">C20*F20</f>
        <v>-0.125</v>
      </c>
      <c r="O20" s="55" t="n">
        <f aca="false">D20*E20</f>
        <v>0.25</v>
      </c>
      <c r="P20" s="55" t="n">
        <f aca="false">D20*F20</f>
        <v>0.25</v>
      </c>
      <c r="Q20" s="55" t="n">
        <f aca="false">E20*F20</f>
        <v>0.25</v>
      </c>
      <c r="R20" s="55" t="n">
        <f aca="false">C20*C20</f>
        <v>0.0625</v>
      </c>
      <c r="S20" s="55" t="n">
        <f aca="false">D20*D20</f>
        <v>0.25</v>
      </c>
      <c r="T20" s="55" t="n">
        <f aca="false">E20*E20</f>
        <v>0.25</v>
      </c>
      <c r="U20" s="55" t="n">
        <f aca="false">F20*F20</f>
        <v>0.25</v>
      </c>
      <c r="V20" s="55" t="n">
        <f aca="false">SUMPRODUCT(G20:U20,_XtX!$B$96:$P$96)</f>
        <v>48.0968019005847</v>
      </c>
      <c r="W20" s="55" t="n">
        <f aca="false">SUMPRODUCT(MMULT(G20:U20,_XtX!$B$78:$P$92),G20:U20)</f>
        <v>0.133937545687135</v>
      </c>
      <c r="X20" s="55" t="n">
        <f aca="false">V20-04_回帰ANOVA!$K$19*04_回帰ANOVA!$K$14*SQRT(1+W20)</f>
        <v>46.7087907327765</v>
      </c>
      <c r="Y20" s="55" t="n">
        <f aca="false">V20+04_回帰ANOVA!$K$19*04_回帰ANOVA!$K$14*SQRT(1+W20)</f>
        <v>49.484813068393</v>
      </c>
      <c r="Z20" s="54" t="b">
        <f aca="false">AND(C20&gt;=01_因子設定!$L$5-0.000000001,C20&lt;=01_因子設定!$M$5+0.000000001,D20&gt;=01_因子設定!$L$6-0.000000001,D20&lt;=01_因子設定!$M$6+0.000000001,E20&gt;=01_因子設定!$L$7-0.000000001,E20&lt;=01_因子設定!$M$7+0.000000001,F20&gt;=01_因子設定!$L$8-0.000000001,F20&lt;=01_因子設定!$M$8+0.000000001,IF(01_因子設定!$B$20="Box-Behnken",C20^2+D20^2+E20^2+F20^2&lt;=2+0.000000001,TRUE()))</f>
        <v>1</v>
      </c>
      <c r="AA20" s="55" t="n">
        <f aca="false">IF(Z20,IF(01_因子設定!$B$13="最大化",X20-01_因子設定!$B$14,IF(01_因子設定!$B$13="最小化",01_因子設定!$B$15-Y20,MIN(X20-01_因子設定!$B$14,01_因子設定!$B$15-Y20))),-1E+030)</f>
        <v>0.208790732776492</v>
      </c>
      <c r="AB20" s="55" t="n">
        <f aca="false">IF(AA20&gt;=0,1,0)</f>
        <v>1</v>
      </c>
    </row>
    <row r="21" customFormat="false" ht="15" hidden="false" customHeight="false" outlineLevel="0" collapsed="false">
      <c r="A21" s="0" t="n">
        <v>1</v>
      </c>
      <c r="B21" s="0" t="n">
        <v>-0.2</v>
      </c>
      <c r="C21" s="0" t="n">
        <f aca="false">B21</f>
        <v>-0.2</v>
      </c>
      <c r="D21" s="57" t="n">
        <f aca="false">07_最適化!$B$7</f>
        <v>0.5</v>
      </c>
      <c r="E21" s="57" t="n">
        <f aca="false">07_最適化!$B$8</f>
        <v>0.5</v>
      </c>
      <c r="F21" s="57" t="n">
        <f aca="false">07_最適化!$B$9</f>
        <v>0.5</v>
      </c>
      <c r="G21" s="55" t="n">
        <f aca="false">1</f>
        <v>1</v>
      </c>
      <c r="H21" s="55" t="n">
        <f aca="false">C21</f>
        <v>-0.2</v>
      </c>
      <c r="I21" s="57" t="n">
        <f aca="false">D21</f>
        <v>0.5</v>
      </c>
      <c r="J21" s="57" t="n">
        <f aca="false">E21</f>
        <v>0.5</v>
      </c>
      <c r="K21" s="57" t="n">
        <f aca="false">F21</f>
        <v>0.5</v>
      </c>
      <c r="L21" s="55" t="n">
        <f aca="false">C21*D21</f>
        <v>-0.1</v>
      </c>
      <c r="M21" s="55" t="n">
        <f aca="false">C21*E21</f>
        <v>-0.1</v>
      </c>
      <c r="N21" s="55" t="n">
        <f aca="false">C21*F21</f>
        <v>-0.1</v>
      </c>
      <c r="O21" s="55" t="n">
        <f aca="false">D21*E21</f>
        <v>0.25</v>
      </c>
      <c r="P21" s="55" t="n">
        <f aca="false">D21*F21</f>
        <v>0.25</v>
      </c>
      <c r="Q21" s="55" t="n">
        <f aca="false">E21*F21</f>
        <v>0.25</v>
      </c>
      <c r="R21" s="55" t="n">
        <f aca="false">C21*C21</f>
        <v>0.04</v>
      </c>
      <c r="S21" s="55" t="n">
        <f aca="false">D21*D21</f>
        <v>0.25</v>
      </c>
      <c r="T21" s="55" t="n">
        <f aca="false">E21*E21</f>
        <v>0.25</v>
      </c>
      <c r="U21" s="55" t="n">
        <f aca="false">F21*F21</f>
        <v>0.25</v>
      </c>
      <c r="V21" s="55" t="n">
        <f aca="false">SUMPRODUCT(G21:U21,_XtX!$B$96:$P$96)</f>
        <v>48.2701849415204</v>
      </c>
      <c r="W21" s="55" t="n">
        <f aca="false">SUMPRODUCT(MMULT(G21:U21,_XtX!$B$78:$P$92),G21:U21)</f>
        <v>0.135775621345029</v>
      </c>
      <c r="X21" s="55" t="n">
        <f aca="false">V21-04_回帰ANOVA!$K$19*04_回帰ANOVA!$K$14*SQRT(1+W21)</f>
        <v>46.8810492688811</v>
      </c>
      <c r="Y21" s="55" t="n">
        <f aca="false">V21+04_回帰ANOVA!$K$19*04_回帰ANOVA!$K$14*SQRT(1+W21)</f>
        <v>49.6593206141597</v>
      </c>
      <c r="Z21" s="54" t="b">
        <f aca="false">AND(C21&gt;=01_因子設定!$L$5-0.000000001,C21&lt;=01_因子設定!$M$5+0.000000001,D21&gt;=01_因子設定!$L$6-0.000000001,D21&lt;=01_因子設定!$M$6+0.000000001,E21&gt;=01_因子設定!$L$7-0.000000001,E21&lt;=01_因子設定!$M$7+0.000000001,F21&gt;=01_因子設定!$L$8-0.000000001,F21&lt;=01_因子設定!$M$8+0.000000001,IF(01_因子設定!$B$20="Box-Behnken",C21^2+D21^2+E21^2+F21^2&lt;=2+0.000000001,TRUE()))</f>
        <v>1</v>
      </c>
      <c r="AA21" s="55" t="n">
        <f aca="false">IF(Z21,IF(01_因子設定!$B$13="最大化",X21-01_因子設定!$B$14,IF(01_因子設定!$B$13="最小化",01_因子設定!$B$15-Y21,MIN(X21-01_因子設定!$B$14,01_因子設定!$B$15-Y21))),-1E+030)</f>
        <v>0.381049268881128</v>
      </c>
      <c r="AB21" s="55" t="n">
        <f aca="false">IF(AA21&gt;=0,1,0)</f>
        <v>1</v>
      </c>
    </row>
    <row r="22" customFormat="false" ht="15" hidden="false" customHeight="false" outlineLevel="0" collapsed="false">
      <c r="A22" s="0" t="n">
        <v>1</v>
      </c>
      <c r="B22" s="0" t="n">
        <v>-0.15</v>
      </c>
      <c r="C22" s="0" t="n">
        <f aca="false">B22</f>
        <v>-0.15</v>
      </c>
      <c r="D22" s="57" t="n">
        <f aca="false">07_最適化!$B$7</f>
        <v>0.5</v>
      </c>
      <c r="E22" s="57" t="n">
        <f aca="false">07_最適化!$B$8</f>
        <v>0.5</v>
      </c>
      <c r="F22" s="57" t="n">
        <f aca="false">07_最適化!$B$9</f>
        <v>0.5</v>
      </c>
      <c r="G22" s="55" t="n">
        <f aca="false">1</f>
        <v>1</v>
      </c>
      <c r="H22" s="55" t="n">
        <f aca="false">C22</f>
        <v>-0.15</v>
      </c>
      <c r="I22" s="57" t="n">
        <f aca="false">D22</f>
        <v>0.5</v>
      </c>
      <c r="J22" s="57" t="n">
        <f aca="false">E22</f>
        <v>0.5</v>
      </c>
      <c r="K22" s="57" t="n">
        <f aca="false">F22</f>
        <v>0.5</v>
      </c>
      <c r="L22" s="55" t="n">
        <f aca="false">C22*D22</f>
        <v>-0.075</v>
      </c>
      <c r="M22" s="55" t="n">
        <f aca="false">C22*E22</f>
        <v>-0.075</v>
      </c>
      <c r="N22" s="55" t="n">
        <f aca="false">C22*F22</f>
        <v>-0.075</v>
      </c>
      <c r="O22" s="55" t="n">
        <f aca="false">D22*E22</f>
        <v>0.25</v>
      </c>
      <c r="P22" s="55" t="n">
        <f aca="false">D22*F22</f>
        <v>0.25</v>
      </c>
      <c r="Q22" s="55" t="n">
        <f aca="false">E22*F22</f>
        <v>0.25</v>
      </c>
      <c r="R22" s="55" t="n">
        <f aca="false">C22*C22</f>
        <v>0.0225</v>
      </c>
      <c r="S22" s="55" t="n">
        <f aca="false">D22*D22</f>
        <v>0.25</v>
      </c>
      <c r="T22" s="55" t="n">
        <f aca="false">E22*E22</f>
        <v>0.25</v>
      </c>
      <c r="U22" s="55" t="n">
        <f aca="false">F22*F22</f>
        <v>0.25</v>
      </c>
      <c r="V22" s="55" t="n">
        <f aca="false">SUMPRODUCT(G22:U22,_XtX!$B$96:$P$96)</f>
        <v>48.4306557017543</v>
      </c>
      <c r="W22" s="55" t="n">
        <f aca="false">SUMPRODUCT(MMULT(G22:U22,_XtX!$B$78:$P$92),G22:U22)</f>
        <v>0.137475411184211</v>
      </c>
      <c r="X22" s="55" t="n">
        <f aca="false">V22-04_回帰ANOVA!$K$19*04_回帰ANOVA!$K$14*SQRT(1+W22)</f>
        <v>47.0404809348316</v>
      </c>
      <c r="Y22" s="55" t="n">
        <f aca="false">V22+04_回帰ANOVA!$K$19*04_回帰ANOVA!$K$14*SQRT(1+W22)</f>
        <v>49.8208304686771</v>
      </c>
      <c r="Z22" s="54" t="b">
        <f aca="false">AND(C22&gt;=01_因子設定!$L$5-0.000000001,C22&lt;=01_因子設定!$M$5+0.000000001,D22&gt;=01_因子設定!$L$6-0.000000001,D22&lt;=01_因子設定!$M$6+0.000000001,E22&gt;=01_因子設定!$L$7-0.000000001,E22&lt;=01_因子設定!$M$7+0.000000001,F22&gt;=01_因子設定!$L$8-0.000000001,F22&lt;=01_因子設定!$M$8+0.000000001,IF(01_因子設定!$B$20="Box-Behnken",C22^2+D22^2+E22^2+F22^2&lt;=2+0.000000001,TRUE()))</f>
        <v>1</v>
      </c>
      <c r="AA22" s="55" t="n">
        <f aca="false">IF(Z22,IF(01_因子設定!$B$13="最大化",X22-01_因子設定!$B$14,IF(01_因子設定!$B$13="最小化",01_因子設定!$B$15-Y22,MIN(X22-01_因子設定!$B$14,01_因子設定!$B$15-Y22))),-1E+030)</f>
        <v>0.540480934831614</v>
      </c>
      <c r="AB22" s="55" t="n">
        <f aca="false">IF(AA22&gt;=0,1,0)</f>
        <v>1</v>
      </c>
    </row>
    <row r="23" customFormat="false" ht="15" hidden="false" customHeight="false" outlineLevel="0" collapsed="false">
      <c r="A23" s="0" t="n">
        <v>1</v>
      </c>
      <c r="B23" s="0" t="n">
        <v>-0.1</v>
      </c>
      <c r="C23" s="0" t="n">
        <f aca="false">B23</f>
        <v>-0.1</v>
      </c>
      <c r="D23" s="57" t="n">
        <f aca="false">07_最適化!$B$7</f>
        <v>0.5</v>
      </c>
      <c r="E23" s="57" t="n">
        <f aca="false">07_最適化!$B$8</f>
        <v>0.5</v>
      </c>
      <c r="F23" s="57" t="n">
        <f aca="false">07_最適化!$B$9</f>
        <v>0.5</v>
      </c>
      <c r="G23" s="55" t="n">
        <f aca="false">1</f>
        <v>1</v>
      </c>
      <c r="H23" s="55" t="n">
        <f aca="false">C23</f>
        <v>-0.1</v>
      </c>
      <c r="I23" s="57" t="n">
        <f aca="false">D23</f>
        <v>0.5</v>
      </c>
      <c r="J23" s="57" t="n">
        <f aca="false">E23</f>
        <v>0.5</v>
      </c>
      <c r="K23" s="57" t="n">
        <f aca="false">F23</f>
        <v>0.5</v>
      </c>
      <c r="L23" s="55" t="n">
        <f aca="false">C23*D23</f>
        <v>-0.05</v>
      </c>
      <c r="M23" s="55" t="n">
        <f aca="false">C23*E23</f>
        <v>-0.05</v>
      </c>
      <c r="N23" s="55" t="n">
        <f aca="false">C23*F23</f>
        <v>-0.05</v>
      </c>
      <c r="O23" s="55" t="n">
        <f aca="false">D23*E23</f>
        <v>0.25</v>
      </c>
      <c r="P23" s="55" t="n">
        <f aca="false">D23*F23</f>
        <v>0.25</v>
      </c>
      <c r="Q23" s="55" t="n">
        <f aca="false">E23*F23</f>
        <v>0.25</v>
      </c>
      <c r="R23" s="55" t="n">
        <f aca="false">C23*C23</f>
        <v>0.01</v>
      </c>
      <c r="S23" s="55" t="n">
        <f aca="false">D23*D23</f>
        <v>0.25</v>
      </c>
      <c r="T23" s="55" t="n">
        <f aca="false">E23*E23</f>
        <v>0.25</v>
      </c>
      <c r="U23" s="55" t="n">
        <f aca="false">F23*F23</f>
        <v>0.25</v>
      </c>
      <c r="V23" s="55" t="n">
        <f aca="false">SUMPRODUCT(G23:U23,_XtX!$B$96:$P$96)</f>
        <v>48.5782141812865</v>
      </c>
      <c r="W23" s="55" t="n">
        <f aca="false">SUMPRODUCT(MMULT(G23:U23,_XtX!$B$78:$P$92),G23:U23)</f>
        <v>0.138834283625731</v>
      </c>
      <c r="X23" s="55" t="n">
        <f aca="false">V23-04_回帰ANOVA!$K$19*04_回帰ANOVA!$K$14*SQRT(1+W23)</f>
        <v>47.1872092837479</v>
      </c>
      <c r="Y23" s="55" t="n">
        <f aca="false">V23+04_回帰ANOVA!$K$19*04_回帰ANOVA!$K$14*SQRT(1+W23)</f>
        <v>49.9692190788251</v>
      </c>
      <c r="Z23" s="54" t="b">
        <f aca="false">AND(C23&gt;=01_因子設定!$L$5-0.000000001,C23&lt;=01_因子設定!$M$5+0.000000001,D23&gt;=01_因子設定!$L$6-0.000000001,D23&lt;=01_因子設定!$M$6+0.000000001,E23&gt;=01_因子設定!$L$7-0.000000001,E23&lt;=01_因子設定!$M$7+0.000000001,F23&gt;=01_因子設定!$L$8-0.000000001,F23&lt;=01_因子設定!$M$8+0.000000001,IF(01_因子設定!$B$20="Box-Behnken",C23^2+D23^2+E23^2+F23^2&lt;=2+0.000000001,TRUE()))</f>
        <v>1</v>
      </c>
      <c r="AA23" s="55" t="n">
        <f aca="false">IF(Z23,IF(01_因子設定!$B$13="最大化",X23-01_因子設定!$B$14,IF(01_因子設定!$B$13="最小化",01_因子設定!$B$15-Y23,MIN(X23-01_因子設定!$B$14,01_因子設定!$B$15-Y23))),-1E+030)</f>
        <v>0.687209283747919</v>
      </c>
      <c r="AB23" s="55" t="n">
        <f aca="false">IF(AA23&gt;=0,1,0)</f>
        <v>1</v>
      </c>
    </row>
    <row r="24" customFormat="false" ht="15" hidden="false" customHeight="false" outlineLevel="0" collapsed="false">
      <c r="A24" s="0" t="n">
        <v>1</v>
      </c>
      <c r="B24" s="0" t="n">
        <v>-0.05</v>
      </c>
      <c r="C24" s="0" t="n">
        <f aca="false">B24</f>
        <v>-0.05</v>
      </c>
      <c r="D24" s="57" t="n">
        <f aca="false">07_最適化!$B$7</f>
        <v>0.5</v>
      </c>
      <c r="E24" s="57" t="n">
        <f aca="false">07_最適化!$B$8</f>
        <v>0.5</v>
      </c>
      <c r="F24" s="57" t="n">
        <f aca="false">07_最適化!$B$9</f>
        <v>0.5</v>
      </c>
      <c r="G24" s="55" t="n">
        <f aca="false">1</f>
        <v>1</v>
      </c>
      <c r="H24" s="55" t="n">
        <f aca="false">C24</f>
        <v>-0.05</v>
      </c>
      <c r="I24" s="57" t="n">
        <f aca="false">D24</f>
        <v>0.5</v>
      </c>
      <c r="J24" s="57" t="n">
        <f aca="false">E24</f>
        <v>0.5</v>
      </c>
      <c r="K24" s="57" t="n">
        <f aca="false">F24</f>
        <v>0.5</v>
      </c>
      <c r="L24" s="55" t="n">
        <f aca="false">C24*D24</f>
        <v>-0.025</v>
      </c>
      <c r="M24" s="55" t="n">
        <f aca="false">C24*E24</f>
        <v>-0.025</v>
      </c>
      <c r="N24" s="55" t="n">
        <f aca="false">C24*F24</f>
        <v>-0.025</v>
      </c>
      <c r="O24" s="55" t="n">
        <f aca="false">D24*E24</f>
        <v>0.25</v>
      </c>
      <c r="P24" s="55" t="n">
        <f aca="false">D24*F24</f>
        <v>0.25</v>
      </c>
      <c r="Q24" s="55" t="n">
        <f aca="false">E24*F24</f>
        <v>0.25</v>
      </c>
      <c r="R24" s="55" t="n">
        <f aca="false">C24*C24</f>
        <v>0.0025</v>
      </c>
      <c r="S24" s="55" t="n">
        <f aca="false">D24*D24</f>
        <v>0.25</v>
      </c>
      <c r="T24" s="55" t="n">
        <f aca="false">E24*E24</f>
        <v>0.25</v>
      </c>
      <c r="U24" s="55" t="n">
        <f aca="false">F24*F24</f>
        <v>0.25</v>
      </c>
      <c r="V24" s="55" t="n">
        <f aca="false">SUMPRODUCT(G24:U24,_XtX!$B$96:$P$96)</f>
        <v>48.7128603801169</v>
      </c>
      <c r="W24" s="55" t="n">
        <f aca="false">SUMPRODUCT(MMULT(G24:U24,_XtX!$B$78:$P$92),G24:U24)</f>
        <v>0.139707501827485</v>
      </c>
      <c r="X24" s="55" t="n">
        <f aca="false">V24-04_回帰ANOVA!$K$19*04_回帰ANOVA!$K$14*SQRT(1+W24)</f>
        <v>47.3213222978718</v>
      </c>
      <c r="Y24" s="55" t="n">
        <f aca="false">V24+04_回帰ANOVA!$K$19*04_回帰ANOVA!$K$14*SQRT(1+W24)</f>
        <v>50.104398462362</v>
      </c>
      <c r="Z24" s="54" t="b">
        <f aca="false">AND(C24&gt;=01_因子設定!$L$5-0.000000001,C24&lt;=01_因子設定!$M$5+0.000000001,D24&gt;=01_因子設定!$L$6-0.000000001,D24&lt;=01_因子設定!$M$6+0.000000001,E24&gt;=01_因子設定!$L$7-0.000000001,E24&lt;=01_因子設定!$M$7+0.000000001,F24&gt;=01_因子設定!$L$8-0.000000001,F24&lt;=01_因子設定!$M$8+0.000000001,IF(01_因子設定!$B$20="Box-Behnken",C24^2+D24^2+E24^2+F24^2&lt;=2+0.000000001,TRUE()))</f>
        <v>1</v>
      </c>
      <c r="AA24" s="55" t="n">
        <f aca="false">IF(Z24,IF(01_因子設定!$B$13="最大化",X24-01_因子設定!$B$14,IF(01_因子設定!$B$13="最小化",01_因子設定!$B$15-Y24,MIN(X24-01_因子設定!$B$14,01_因子設定!$B$15-Y24))),-1E+030)</f>
        <v>0.821322297871809</v>
      </c>
      <c r="AB24" s="55" t="n">
        <f aca="false">IF(AA24&gt;=0,1,0)</f>
        <v>1</v>
      </c>
    </row>
    <row r="25" customFormat="false" ht="15" hidden="false" customHeight="false" outlineLevel="0" collapsed="false">
      <c r="A25" s="0" t="n">
        <v>1</v>
      </c>
      <c r="B25" s="0" t="n">
        <v>0</v>
      </c>
      <c r="C25" s="0" t="n">
        <f aca="false">B25</f>
        <v>0</v>
      </c>
      <c r="D25" s="57" t="n">
        <f aca="false">07_最適化!$B$7</f>
        <v>0.5</v>
      </c>
      <c r="E25" s="57" t="n">
        <f aca="false">07_最適化!$B$8</f>
        <v>0.5</v>
      </c>
      <c r="F25" s="57" t="n">
        <f aca="false">07_最適化!$B$9</f>
        <v>0.5</v>
      </c>
      <c r="G25" s="55" t="n">
        <f aca="false">1</f>
        <v>1</v>
      </c>
      <c r="H25" s="55" t="n">
        <f aca="false">C25</f>
        <v>0</v>
      </c>
      <c r="I25" s="57" t="n">
        <f aca="false">D25</f>
        <v>0.5</v>
      </c>
      <c r="J25" s="57" t="n">
        <f aca="false">E25</f>
        <v>0.5</v>
      </c>
      <c r="K25" s="57" t="n">
        <f aca="false">F25</f>
        <v>0.5</v>
      </c>
      <c r="L25" s="55" t="n">
        <f aca="false">C25*D25</f>
        <v>0</v>
      </c>
      <c r="M25" s="55" t="n">
        <f aca="false">C25*E25</f>
        <v>0</v>
      </c>
      <c r="N25" s="55" t="n">
        <f aca="false">C25*F25</f>
        <v>0</v>
      </c>
      <c r="O25" s="55" t="n">
        <f aca="false">D25*E25</f>
        <v>0.25</v>
      </c>
      <c r="P25" s="55" t="n">
        <f aca="false">D25*F25</f>
        <v>0.25</v>
      </c>
      <c r="Q25" s="55" t="n">
        <f aca="false">E25*F25</f>
        <v>0.25</v>
      </c>
      <c r="R25" s="55" t="n">
        <f aca="false">C25*C25</f>
        <v>0</v>
      </c>
      <c r="S25" s="55" t="n">
        <f aca="false">D25*D25</f>
        <v>0.25</v>
      </c>
      <c r="T25" s="55" t="n">
        <f aca="false">E25*E25</f>
        <v>0.25</v>
      </c>
      <c r="U25" s="55" t="n">
        <f aca="false">F25*F25</f>
        <v>0.25</v>
      </c>
      <c r="V25" s="55" t="n">
        <f aca="false">SUMPRODUCT(G25:U25,_XtX!$B$96:$P$96)</f>
        <v>48.8345942982456</v>
      </c>
      <c r="W25" s="55" t="n">
        <f aca="false">SUMPRODUCT(MMULT(G25:U25,_XtX!$B$78:$P$92),G25:U25)</f>
        <v>0.140008223684211</v>
      </c>
      <c r="X25" s="55" t="n">
        <f aca="false">V25-04_回帰ANOVA!$K$19*04_回帰ANOVA!$K$14*SQRT(1+W25)</f>
        <v>47.4428726433229</v>
      </c>
      <c r="Y25" s="55" t="n">
        <f aca="false">V25+04_回帰ANOVA!$K$19*04_回帰ANOVA!$K$14*SQRT(1+W25)</f>
        <v>50.2263159531682</v>
      </c>
      <c r="Z25" s="54" t="b">
        <f aca="false">AND(C25&gt;=01_因子設定!$L$5-0.000000001,C25&lt;=01_因子設定!$M$5+0.000000001,D25&gt;=01_因子設定!$L$6-0.000000001,D25&lt;=01_因子設定!$M$6+0.000000001,E25&gt;=01_因子設定!$L$7-0.000000001,E25&lt;=01_因子設定!$M$7+0.000000001,F25&gt;=01_因子設定!$L$8-0.000000001,F25&lt;=01_因子設定!$M$8+0.000000001,IF(01_因子設定!$B$20="Box-Behnken",C25^2+D25^2+E25^2+F25^2&lt;=2+0.000000001,TRUE()))</f>
        <v>1</v>
      </c>
      <c r="AA25" s="55" t="n">
        <f aca="false">IF(Z25,IF(01_因子設定!$B$13="最大化",X25-01_因子設定!$B$14,IF(01_因子設定!$B$13="最小化",01_因子設定!$B$15-Y25,MIN(X25-01_因子設定!$B$14,01_因子設定!$B$15-Y25))),-1E+030)</f>
        <v>0.942872643322922</v>
      </c>
      <c r="AB25" s="55" t="n">
        <f aca="false">IF(AA25&gt;=0,1,0)</f>
        <v>1</v>
      </c>
    </row>
    <row r="26" customFormat="false" ht="15" hidden="false" customHeight="false" outlineLevel="0" collapsed="false">
      <c r="A26" s="0" t="n">
        <v>1</v>
      </c>
      <c r="B26" s="0" t="n">
        <v>0.05</v>
      </c>
      <c r="C26" s="0" t="n">
        <f aca="false">B26</f>
        <v>0.05</v>
      </c>
      <c r="D26" s="57" t="n">
        <f aca="false">07_最適化!$B$7</f>
        <v>0.5</v>
      </c>
      <c r="E26" s="57" t="n">
        <f aca="false">07_最適化!$B$8</f>
        <v>0.5</v>
      </c>
      <c r="F26" s="57" t="n">
        <f aca="false">07_最適化!$B$9</f>
        <v>0.5</v>
      </c>
      <c r="G26" s="55" t="n">
        <f aca="false">1</f>
        <v>1</v>
      </c>
      <c r="H26" s="55" t="n">
        <f aca="false">C26</f>
        <v>0.05</v>
      </c>
      <c r="I26" s="57" t="n">
        <f aca="false">D26</f>
        <v>0.5</v>
      </c>
      <c r="J26" s="57" t="n">
        <f aca="false">E26</f>
        <v>0.5</v>
      </c>
      <c r="K26" s="57" t="n">
        <f aca="false">F26</f>
        <v>0.5</v>
      </c>
      <c r="L26" s="55" t="n">
        <f aca="false">C26*D26</f>
        <v>0.025</v>
      </c>
      <c r="M26" s="55" t="n">
        <f aca="false">C26*E26</f>
        <v>0.025</v>
      </c>
      <c r="N26" s="55" t="n">
        <f aca="false">C26*F26</f>
        <v>0.025</v>
      </c>
      <c r="O26" s="55" t="n">
        <f aca="false">D26*E26</f>
        <v>0.25</v>
      </c>
      <c r="P26" s="55" t="n">
        <f aca="false">D26*F26</f>
        <v>0.25</v>
      </c>
      <c r="Q26" s="55" t="n">
        <f aca="false">E26*F26</f>
        <v>0.25</v>
      </c>
      <c r="R26" s="55" t="n">
        <f aca="false">C26*C26</f>
        <v>0.0025</v>
      </c>
      <c r="S26" s="55" t="n">
        <f aca="false">D26*D26</f>
        <v>0.25</v>
      </c>
      <c r="T26" s="55" t="n">
        <f aca="false">E26*E26</f>
        <v>0.25</v>
      </c>
      <c r="U26" s="55" t="n">
        <f aca="false">F26*F26</f>
        <v>0.25</v>
      </c>
      <c r="V26" s="55" t="n">
        <f aca="false">SUMPRODUCT(G26:U26,_XtX!$B$96:$P$96)</f>
        <v>48.9434159356725</v>
      </c>
      <c r="W26" s="55" t="n">
        <f aca="false">SUMPRODUCT(MMULT(G26:U26,_XtX!$B$78:$P$92),G26:U26)</f>
        <v>0.139707501827485</v>
      </c>
      <c r="X26" s="55" t="n">
        <f aca="false">V26-04_回帰ANOVA!$K$19*04_回帰ANOVA!$K$14*SQRT(1+W26)</f>
        <v>47.5518778534274</v>
      </c>
      <c r="Y26" s="55" t="n">
        <f aca="false">V26+04_回帰ANOVA!$K$19*04_回帰ANOVA!$K$14*SQRT(1+W26)</f>
        <v>50.3349540179175</v>
      </c>
      <c r="Z26" s="54" t="b">
        <f aca="false">AND(C26&gt;=01_因子設定!$L$5-0.000000001,C26&lt;=01_因子設定!$M$5+0.000000001,D26&gt;=01_因子設定!$L$6-0.000000001,D26&lt;=01_因子設定!$M$6+0.000000001,E26&gt;=01_因子設定!$L$7-0.000000001,E26&lt;=01_因子設定!$M$7+0.000000001,F26&gt;=01_因子設定!$L$8-0.000000001,F26&lt;=01_因子設定!$M$8+0.000000001,IF(01_因子設定!$B$20="Box-Behnken",C26^2+D26^2+E26^2+F26^2&lt;=2+0.000000001,TRUE()))</f>
        <v>1</v>
      </c>
      <c r="AA26" s="55" t="n">
        <f aca="false">IF(Z26,IF(01_因子設定!$B$13="最大化",X26-01_因子設定!$B$14,IF(01_因子設定!$B$13="最小化",01_因子設定!$B$15-Y26,MIN(X26-01_因子設定!$B$14,01_因子設定!$B$15-Y26))),-1E+030)</f>
        <v>1.05187785342736</v>
      </c>
      <c r="AB26" s="55" t="n">
        <f aca="false">IF(AA26&gt;=0,1,0)</f>
        <v>1</v>
      </c>
    </row>
    <row r="27" customFormat="false" ht="15" hidden="false" customHeight="false" outlineLevel="0" collapsed="false">
      <c r="A27" s="0" t="n">
        <v>1</v>
      </c>
      <c r="B27" s="0" t="n">
        <v>0.1</v>
      </c>
      <c r="C27" s="0" t="n">
        <f aca="false">B27</f>
        <v>0.1</v>
      </c>
      <c r="D27" s="57" t="n">
        <f aca="false">07_最適化!$B$7</f>
        <v>0.5</v>
      </c>
      <c r="E27" s="57" t="n">
        <f aca="false">07_最適化!$B$8</f>
        <v>0.5</v>
      </c>
      <c r="F27" s="57" t="n">
        <f aca="false">07_最適化!$B$9</f>
        <v>0.5</v>
      </c>
      <c r="G27" s="55" t="n">
        <f aca="false">1</f>
        <v>1</v>
      </c>
      <c r="H27" s="55" t="n">
        <f aca="false">C27</f>
        <v>0.1</v>
      </c>
      <c r="I27" s="57" t="n">
        <f aca="false">D27</f>
        <v>0.5</v>
      </c>
      <c r="J27" s="57" t="n">
        <f aca="false">E27</f>
        <v>0.5</v>
      </c>
      <c r="K27" s="57" t="n">
        <f aca="false">F27</f>
        <v>0.5</v>
      </c>
      <c r="L27" s="55" t="n">
        <f aca="false">C27*D27</f>
        <v>0.05</v>
      </c>
      <c r="M27" s="55" t="n">
        <f aca="false">C27*E27</f>
        <v>0.05</v>
      </c>
      <c r="N27" s="55" t="n">
        <f aca="false">C27*F27</f>
        <v>0.05</v>
      </c>
      <c r="O27" s="55" t="n">
        <f aca="false">D27*E27</f>
        <v>0.25</v>
      </c>
      <c r="P27" s="55" t="n">
        <f aca="false">D27*F27</f>
        <v>0.25</v>
      </c>
      <c r="Q27" s="55" t="n">
        <f aca="false">E27*F27</f>
        <v>0.25</v>
      </c>
      <c r="R27" s="55" t="n">
        <f aca="false">C27*C27</f>
        <v>0.01</v>
      </c>
      <c r="S27" s="55" t="n">
        <f aca="false">D27*D27</f>
        <v>0.25</v>
      </c>
      <c r="T27" s="55" t="n">
        <f aca="false">E27*E27</f>
        <v>0.25</v>
      </c>
      <c r="U27" s="55" t="n">
        <f aca="false">F27*F27</f>
        <v>0.25</v>
      </c>
      <c r="V27" s="55" t="n">
        <f aca="false">SUMPRODUCT(G27:U27,_XtX!$B$96:$P$96)</f>
        <v>49.0393252923976</v>
      </c>
      <c r="W27" s="55" t="n">
        <f aca="false">SUMPRODUCT(MMULT(G27:U27,_XtX!$B$78:$P$92),G27:U27)</f>
        <v>0.138834283625731</v>
      </c>
      <c r="X27" s="55" t="n">
        <f aca="false">V27-04_回帰ANOVA!$K$19*04_回帰ANOVA!$K$14*SQRT(1+W27)</f>
        <v>47.648320394859</v>
      </c>
      <c r="Y27" s="55" t="n">
        <f aca="false">V27+04_回帰ANOVA!$K$19*04_回帰ANOVA!$K$14*SQRT(1+W27)</f>
        <v>50.4303301899362</v>
      </c>
      <c r="Z27" s="54" t="b">
        <f aca="false">AND(C27&gt;=01_因子設定!$L$5-0.000000001,C27&lt;=01_因子設定!$M$5+0.000000001,D27&gt;=01_因子設定!$L$6-0.000000001,D27&lt;=01_因子設定!$M$6+0.000000001,E27&gt;=01_因子設定!$L$7-0.000000001,E27&lt;=01_因子設定!$M$7+0.000000001,F27&gt;=01_因子設定!$L$8-0.000000001,F27&lt;=01_因子設定!$M$8+0.000000001,IF(01_因子設定!$B$20="Box-Behnken",C27^2+D27^2+E27^2+F27^2&lt;=2+0.000000001,TRUE()))</f>
        <v>1</v>
      </c>
      <c r="AA27" s="55" t="n">
        <f aca="false">IF(Z27,IF(01_因子設定!$B$13="最大化",X27-01_因子設定!$B$14,IF(01_因子設定!$B$13="最小化",01_因子設定!$B$15-Y27,MIN(X27-01_因子設定!$B$14,01_因子設定!$B$15-Y27))),-1E+030)</f>
        <v>1.14832039485903</v>
      </c>
      <c r="AB27" s="55" t="n">
        <f aca="false">IF(AA27&gt;=0,1,0)</f>
        <v>1</v>
      </c>
    </row>
    <row r="28" customFormat="false" ht="15" hidden="false" customHeight="false" outlineLevel="0" collapsed="false">
      <c r="A28" s="0" t="n">
        <v>1</v>
      </c>
      <c r="B28" s="0" t="n">
        <v>0.15</v>
      </c>
      <c r="C28" s="0" t="n">
        <f aca="false">B28</f>
        <v>0.15</v>
      </c>
      <c r="D28" s="57" t="n">
        <f aca="false">07_最適化!$B$7</f>
        <v>0.5</v>
      </c>
      <c r="E28" s="57" t="n">
        <f aca="false">07_最適化!$B$8</f>
        <v>0.5</v>
      </c>
      <c r="F28" s="57" t="n">
        <f aca="false">07_最適化!$B$9</f>
        <v>0.5</v>
      </c>
      <c r="G28" s="55" t="n">
        <f aca="false">1</f>
        <v>1</v>
      </c>
      <c r="H28" s="55" t="n">
        <f aca="false">C28</f>
        <v>0.15</v>
      </c>
      <c r="I28" s="57" t="n">
        <f aca="false">D28</f>
        <v>0.5</v>
      </c>
      <c r="J28" s="57" t="n">
        <f aca="false">E28</f>
        <v>0.5</v>
      </c>
      <c r="K28" s="57" t="n">
        <f aca="false">F28</f>
        <v>0.5</v>
      </c>
      <c r="L28" s="55" t="n">
        <f aca="false">C28*D28</f>
        <v>0.075</v>
      </c>
      <c r="M28" s="55" t="n">
        <f aca="false">C28*E28</f>
        <v>0.075</v>
      </c>
      <c r="N28" s="55" t="n">
        <f aca="false">C28*F28</f>
        <v>0.075</v>
      </c>
      <c r="O28" s="55" t="n">
        <f aca="false">D28*E28</f>
        <v>0.25</v>
      </c>
      <c r="P28" s="55" t="n">
        <f aca="false">D28*F28</f>
        <v>0.25</v>
      </c>
      <c r="Q28" s="55" t="n">
        <f aca="false">E28*F28</f>
        <v>0.25</v>
      </c>
      <c r="R28" s="55" t="n">
        <f aca="false">C28*C28</f>
        <v>0.0225</v>
      </c>
      <c r="S28" s="55" t="n">
        <f aca="false">D28*D28</f>
        <v>0.25</v>
      </c>
      <c r="T28" s="55" t="n">
        <f aca="false">E28*E28</f>
        <v>0.25</v>
      </c>
      <c r="U28" s="55" t="n">
        <f aca="false">F28*F28</f>
        <v>0.25</v>
      </c>
      <c r="V28" s="55" t="n">
        <f aca="false">SUMPRODUCT(G28:U28,_XtX!$B$96:$P$96)</f>
        <v>49.122322368421</v>
      </c>
      <c r="W28" s="55" t="n">
        <f aca="false">SUMPRODUCT(MMULT(G28:U28,_XtX!$B$78:$P$92),G28:U28)</f>
        <v>0.137475411184211</v>
      </c>
      <c r="X28" s="55" t="n">
        <f aca="false">V28-04_回帰ANOVA!$K$19*04_回帰ANOVA!$K$14*SQRT(1+W28)</f>
        <v>47.7321476014983</v>
      </c>
      <c r="Y28" s="55" t="n">
        <f aca="false">V28+04_回帰ANOVA!$K$19*04_回帰ANOVA!$K$14*SQRT(1+W28)</f>
        <v>50.5124971353437</v>
      </c>
      <c r="Z28" s="54" t="b">
        <f aca="false">AND(C28&gt;=01_因子設定!$L$5-0.000000001,C28&lt;=01_因子設定!$M$5+0.000000001,D28&gt;=01_因子設定!$L$6-0.000000001,D28&lt;=01_因子設定!$M$6+0.000000001,E28&gt;=01_因子設定!$L$7-0.000000001,E28&lt;=01_因子設定!$M$7+0.000000001,F28&gt;=01_因子設定!$L$8-0.000000001,F28&lt;=01_因子設定!$M$8+0.000000001,IF(01_因子設定!$B$20="Box-Behnken",C28^2+D28^2+E28^2+F28^2&lt;=2+0.000000001,TRUE()))</f>
        <v>1</v>
      </c>
      <c r="AA28" s="55" t="n">
        <f aca="false">IF(Z28,IF(01_因子設定!$B$13="最大化",X28-01_因子設定!$B$14,IF(01_因子設定!$B$13="最小化",01_因子設定!$B$15-Y28,MIN(X28-01_因子設定!$B$14,01_因子設定!$B$15-Y28))),-1E+030)</f>
        <v>1.23214760149828</v>
      </c>
      <c r="AB28" s="55" t="n">
        <f aca="false">IF(AA28&gt;=0,1,0)</f>
        <v>1</v>
      </c>
    </row>
    <row r="29" customFormat="false" ht="15" hidden="false" customHeight="false" outlineLevel="0" collapsed="false">
      <c r="A29" s="0" t="n">
        <v>1</v>
      </c>
      <c r="B29" s="0" t="n">
        <v>0.2</v>
      </c>
      <c r="C29" s="0" t="n">
        <f aca="false">B29</f>
        <v>0.2</v>
      </c>
      <c r="D29" s="57" t="n">
        <f aca="false">07_最適化!$B$7</f>
        <v>0.5</v>
      </c>
      <c r="E29" s="57" t="n">
        <f aca="false">07_最適化!$B$8</f>
        <v>0.5</v>
      </c>
      <c r="F29" s="57" t="n">
        <f aca="false">07_最適化!$B$9</f>
        <v>0.5</v>
      </c>
      <c r="G29" s="55" t="n">
        <f aca="false">1</f>
        <v>1</v>
      </c>
      <c r="H29" s="55" t="n">
        <f aca="false">C29</f>
        <v>0.2</v>
      </c>
      <c r="I29" s="57" t="n">
        <f aca="false">D29</f>
        <v>0.5</v>
      </c>
      <c r="J29" s="57" t="n">
        <f aca="false">E29</f>
        <v>0.5</v>
      </c>
      <c r="K29" s="57" t="n">
        <f aca="false">F29</f>
        <v>0.5</v>
      </c>
      <c r="L29" s="55" t="n">
        <f aca="false">C29*D29</f>
        <v>0.1</v>
      </c>
      <c r="M29" s="55" t="n">
        <f aca="false">C29*E29</f>
        <v>0.1</v>
      </c>
      <c r="N29" s="55" t="n">
        <f aca="false">C29*F29</f>
        <v>0.1</v>
      </c>
      <c r="O29" s="55" t="n">
        <f aca="false">D29*E29</f>
        <v>0.25</v>
      </c>
      <c r="P29" s="55" t="n">
        <f aca="false">D29*F29</f>
        <v>0.25</v>
      </c>
      <c r="Q29" s="55" t="n">
        <f aca="false">E29*F29</f>
        <v>0.25</v>
      </c>
      <c r="R29" s="55" t="n">
        <f aca="false">C29*C29</f>
        <v>0.04</v>
      </c>
      <c r="S29" s="55" t="n">
        <f aca="false">D29*D29</f>
        <v>0.25</v>
      </c>
      <c r="T29" s="55" t="n">
        <f aca="false">E29*E29</f>
        <v>0.25</v>
      </c>
      <c r="U29" s="55" t="n">
        <f aca="false">F29*F29</f>
        <v>0.25</v>
      </c>
      <c r="V29" s="55" t="n">
        <f aca="false">SUMPRODUCT(G29:U29,_XtX!$B$96:$P$96)</f>
        <v>49.1924071637426</v>
      </c>
      <c r="W29" s="55" t="n">
        <f aca="false">SUMPRODUCT(MMULT(G29:U29,_XtX!$B$78:$P$92),G29:U29)</f>
        <v>0.135775621345029</v>
      </c>
      <c r="X29" s="55" t="n">
        <f aca="false">V29-04_回帰ANOVA!$K$19*04_回帰ANOVA!$K$14*SQRT(1+W29)</f>
        <v>47.8032714911034</v>
      </c>
      <c r="Y29" s="55" t="n">
        <f aca="false">V29+04_回帰ANOVA!$K$19*04_回帰ANOVA!$K$14*SQRT(1+W29)</f>
        <v>50.5815428363819</v>
      </c>
      <c r="Z29" s="54" t="b">
        <f aca="false">AND(C29&gt;=01_因子設定!$L$5-0.000000001,C29&lt;=01_因子設定!$M$5+0.000000001,D29&gt;=01_因子設定!$L$6-0.000000001,D29&lt;=01_因子設定!$M$6+0.000000001,E29&gt;=01_因子設定!$L$7-0.000000001,E29&lt;=01_因子設定!$M$7+0.000000001,F29&gt;=01_因子設定!$L$8-0.000000001,F29&lt;=01_因子設定!$M$8+0.000000001,IF(01_因子設定!$B$20="Box-Behnken",C29^2+D29^2+E29^2+F29^2&lt;=2+0.000000001,TRUE()))</f>
        <v>1</v>
      </c>
      <c r="AA29" s="55" t="n">
        <f aca="false">IF(Z29,IF(01_因子設定!$B$13="最大化",X29-01_因子設定!$B$14,IF(01_因子設定!$B$13="最小化",01_因子設定!$B$15-Y29,MIN(X29-01_因子設定!$B$14,01_因子設定!$B$15-Y29))),-1E+030)</f>
        <v>1.30327149110335</v>
      </c>
      <c r="AB29" s="55" t="n">
        <f aca="false">IF(AA29&gt;=0,1,0)</f>
        <v>1</v>
      </c>
    </row>
    <row r="30" customFormat="false" ht="15" hidden="false" customHeight="false" outlineLevel="0" collapsed="false">
      <c r="A30" s="0" t="n">
        <v>1</v>
      </c>
      <c r="B30" s="0" t="n">
        <v>0.25</v>
      </c>
      <c r="C30" s="0" t="n">
        <f aca="false">B30</f>
        <v>0.25</v>
      </c>
      <c r="D30" s="57" t="n">
        <f aca="false">07_最適化!$B$7</f>
        <v>0.5</v>
      </c>
      <c r="E30" s="57" t="n">
        <f aca="false">07_最適化!$B$8</f>
        <v>0.5</v>
      </c>
      <c r="F30" s="57" t="n">
        <f aca="false">07_最適化!$B$9</f>
        <v>0.5</v>
      </c>
      <c r="G30" s="55" t="n">
        <f aca="false">1</f>
        <v>1</v>
      </c>
      <c r="H30" s="55" t="n">
        <f aca="false">C30</f>
        <v>0.25</v>
      </c>
      <c r="I30" s="57" t="n">
        <f aca="false">D30</f>
        <v>0.5</v>
      </c>
      <c r="J30" s="57" t="n">
        <f aca="false">E30</f>
        <v>0.5</v>
      </c>
      <c r="K30" s="57" t="n">
        <f aca="false">F30</f>
        <v>0.5</v>
      </c>
      <c r="L30" s="55" t="n">
        <f aca="false">C30*D30</f>
        <v>0.125</v>
      </c>
      <c r="M30" s="55" t="n">
        <f aca="false">C30*E30</f>
        <v>0.125</v>
      </c>
      <c r="N30" s="55" t="n">
        <f aca="false">C30*F30</f>
        <v>0.125</v>
      </c>
      <c r="O30" s="55" t="n">
        <f aca="false">D30*E30</f>
        <v>0.25</v>
      </c>
      <c r="P30" s="55" t="n">
        <f aca="false">D30*F30</f>
        <v>0.25</v>
      </c>
      <c r="Q30" s="55" t="n">
        <f aca="false">E30*F30</f>
        <v>0.25</v>
      </c>
      <c r="R30" s="55" t="n">
        <f aca="false">C30*C30</f>
        <v>0.0625</v>
      </c>
      <c r="S30" s="55" t="n">
        <f aca="false">D30*D30</f>
        <v>0.25</v>
      </c>
      <c r="T30" s="55" t="n">
        <f aca="false">E30*E30</f>
        <v>0.25</v>
      </c>
      <c r="U30" s="55" t="n">
        <f aca="false">F30*F30</f>
        <v>0.25</v>
      </c>
      <c r="V30" s="55" t="n">
        <f aca="false">SUMPRODUCT(G30:U30,_XtX!$B$96:$P$96)</f>
        <v>49.2495796783625</v>
      </c>
      <c r="W30" s="55" t="n">
        <f aca="false">SUMPRODUCT(MMULT(G30:U30,_XtX!$B$78:$P$92),G30:U30)</f>
        <v>0.133937545687135</v>
      </c>
      <c r="X30" s="55" t="n">
        <f aca="false">V30-04_回帰ANOVA!$K$19*04_回帰ANOVA!$K$14*SQRT(1+W30)</f>
        <v>47.8615685105543</v>
      </c>
      <c r="Y30" s="55" t="n">
        <f aca="false">V30+04_回帰ANOVA!$K$19*04_回帰ANOVA!$K$14*SQRT(1+W30)</f>
        <v>50.6375908461708</v>
      </c>
      <c r="Z30" s="54" t="b">
        <f aca="false">AND(C30&gt;=01_因子設定!$L$5-0.000000001,C30&lt;=01_因子設定!$M$5+0.000000001,D30&gt;=01_因子設定!$L$6-0.000000001,D30&lt;=01_因子設定!$M$6+0.000000001,E30&gt;=01_因子設定!$L$7-0.000000001,E30&lt;=01_因子設定!$M$7+0.000000001,F30&gt;=01_因子設定!$L$8-0.000000001,F30&lt;=01_因子設定!$M$8+0.000000001,IF(01_因子設定!$B$20="Box-Behnken",C30^2+D30^2+E30^2+F30^2&lt;=2+0.000000001,TRUE()))</f>
        <v>1</v>
      </c>
      <c r="AA30" s="55" t="n">
        <f aca="false">IF(Z30,IF(01_因子設定!$B$13="最大化",X30-01_因子設定!$B$14,IF(01_因子設定!$B$13="最小化",01_因子設定!$B$15-Y30,MIN(X30-01_因子設定!$B$14,01_因子設定!$B$15-Y30))),-1E+030)</f>
        <v>1.36156851055427</v>
      </c>
      <c r="AB30" s="55" t="n">
        <f aca="false">IF(AA30&gt;=0,1,0)</f>
        <v>1</v>
      </c>
    </row>
    <row r="31" customFormat="false" ht="15" hidden="false" customHeight="false" outlineLevel="0" collapsed="false">
      <c r="A31" s="0" t="n">
        <v>1</v>
      </c>
      <c r="B31" s="0" t="n">
        <v>0.3</v>
      </c>
      <c r="C31" s="0" t="n">
        <f aca="false">B31</f>
        <v>0.3</v>
      </c>
      <c r="D31" s="57" t="n">
        <f aca="false">07_最適化!$B$7</f>
        <v>0.5</v>
      </c>
      <c r="E31" s="57" t="n">
        <f aca="false">07_最適化!$B$8</f>
        <v>0.5</v>
      </c>
      <c r="F31" s="57" t="n">
        <f aca="false">07_最適化!$B$9</f>
        <v>0.5</v>
      </c>
      <c r="G31" s="55" t="n">
        <f aca="false">1</f>
        <v>1</v>
      </c>
      <c r="H31" s="55" t="n">
        <f aca="false">C31</f>
        <v>0.3</v>
      </c>
      <c r="I31" s="57" t="n">
        <f aca="false">D31</f>
        <v>0.5</v>
      </c>
      <c r="J31" s="57" t="n">
        <f aca="false">E31</f>
        <v>0.5</v>
      </c>
      <c r="K31" s="57" t="n">
        <f aca="false">F31</f>
        <v>0.5</v>
      </c>
      <c r="L31" s="55" t="n">
        <f aca="false">C31*D31</f>
        <v>0.15</v>
      </c>
      <c r="M31" s="55" t="n">
        <f aca="false">C31*E31</f>
        <v>0.15</v>
      </c>
      <c r="N31" s="55" t="n">
        <f aca="false">C31*F31</f>
        <v>0.15</v>
      </c>
      <c r="O31" s="55" t="n">
        <f aca="false">D31*E31</f>
        <v>0.25</v>
      </c>
      <c r="P31" s="55" t="n">
        <f aca="false">D31*F31</f>
        <v>0.25</v>
      </c>
      <c r="Q31" s="55" t="n">
        <f aca="false">E31*F31</f>
        <v>0.25</v>
      </c>
      <c r="R31" s="55" t="n">
        <f aca="false">C31*C31</f>
        <v>0.09</v>
      </c>
      <c r="S31" s="55" t="n">
        <f aca="false">D31*D31</f>
        <v>0.25</v>
      </c>
      <c r="T31" s="55" t="n">
        <f aca="false">E31*E31</f>
        <v>0.25</v>
      </c>
      <c r="U31" s="55" t="n">
        <f aca="false">F31*F31</f>
        <v>0.25</v>
      </c>
      <c r="V31" s="55" t="n">
        <f aca="false">SUMPRODUCT(G31:U31,_XtX!$B$96:$P$96)</f>
        <v>49.2938399122807</v>
      </c>
      <c r="W31" s="55" t="n">
        <f aca="false">SUMPRODUCT(MMULT(G31:U31,_XtX!$B$78:$P$92),G31:U31)</f>
        <v>0.132221710526316</v>
      </c>
      <c r="X31" s="55" t="n">
        <f aca="false">V31-04_回帰ANOVA!$K$19*04_回帰ANOVA!$K$14*SQRT(1+W31)</f>
        <v>47.9068792873329</v>
      </c>
      <c r="Y31" s="55" t="n">
        <f aca="false">V31+04_回帰ANOVA!$K$19*04_回帰ANOVA!$K$14*SQRT(1+W31)</f>
        <v>50.6808005372284</v>
      </c>
      <c r="Z31" s="54" t="b">
        <f aca="false">AND(C31&gt;=01_因子設定!$L$5-0.000000001,C31&lt;=01_因子設定!$M$5+0.000000001,D31&gt;=01_因子設定!$L$6-0.000000001,D31&lt;=01_因子設定!$M$6+0.000000001,E31&gt;=01_因子設定!$L$7-0.000000001,E31&lt;=01_因子設定!$M$7+0.000000001,F31&gt;=01_因子設定!$L$8-0.000000001,F31&lt;=01_因子設定!$M$8+0.000000001,IF(01_因子設定!$B$20="Box-Behnken",C31^2+D31^2+E31^2+F31^2&lt;=2+0.000000001,TRUE()))</f>
        <v>1</v>
      </c>
      <c r="AA31" s="55" t="n">
        <f aca="false">IF(Z31,IF(01_因子設定!$B$13="最大化",X31-01_因子設定!$B$14,IF(01_因子設定!$B$13="最小化",01_因子設定!$B$15-Y31,MIN(X31-01_因子設定!$B$14,01_因子設定!$B$15-Y31))),-1E+030)</f>
        <v>1.40687928733289</v>
      </c>
      <c r="AB31" s="55" t="n">
        <f aca="false">IF(AA31&gt;=0,1,0)</f>
        <v>1</v>
      </c>
    </row>
    <row r="32" customFormat="false" ht="15" hidden="false" customHeight="false" outlineLevel="0" collapsed="false">
      <c r="A32" s="0" t="n">
        <v>1</v>
      </c>
      <c r="B32" s="0" t="n">
        <v>0.35</v>
      </c>
      <c r="C32" s="0" t="n">
        <f aca="false">B32</f>
        <v>0.35</v>
      </c>
      <c r="D32" s="57" t="n">
        <f aca="false">07_最適化!$B$7</f>
        <v>0.5</v>
      </c>
      <c r="E32" s="57" t="n">
        <f aca="false">07_最適化!$B$8</f>
        <v>0.5</v>
      </c>
      <c r="F32" s="57" t="n">
        <f aca="false">07_最適化!$B$9</f>
        <v>0.5</v>
      </c>
      <c r="G32" s="55" t="n">
        <f aca="false">1</f>
        <v>1</v>
      </c>
      <c r="H32" s="55" t="n">
        <f aca="false">C32</f>
        <v>0.35</v>
      </c>
      <c r="I32" s="57" t="n">
        <f aca="false">D32</f>
        <v>0.5</v>
      </c>
      <c r="J32" s="57" t="n">
        <f aca="false">E32</f>
        <v>0.5</v>
      </c>
      <c r="K32" s="57" t="n">
        <f aca="false">F32</f>
        <v>0.5</v>
      </c>
      <c r="L32" s="55" t="n">
        <f aca="false">C32*D32</f>
        <v>0.175</v>
      </c>
      <c r="M32" s="55" t="n">
        <f aca="false">C32*E32</f>
        <v>0.175</v>
      </c>
      <c r="N32" s="55" t="n">
        <f aca="false">C32*F32</f>
        <v>0.175</v>
      </c>
      <c r="O32" s="55" t="n">
        <f aca="false">D32*E32</f>
        <v>0.25</v>
      </c>
      <c r="P32" s="55" t="n">
        <f aca="false">D32*F32</f>
        <v>0.25</v>
      </c>
      <c r="Q32" s="55" t="n">
        <f aca="false">E32*F32</f>
        <v>0.25</v>
      </c>
      <c r="R32" s="55" t="n">
        <f aca="false">C32*C32</f>
        <v>0.1225</v>
      </c>
      <c r="S32" s="55" t="n">
        <f aca="false">D32*D32</f>
        <v>0.25</v>
      </c>
      <c r="T32" s="55" t="n">
        <f aca="false">E32*E32</f>
        <v>0.25</v>
      </c>
      <c r="U32" s="55" t="n">
        <f aca="false">F32*F32</f>
        <v>0.25</v>
      </c>
      <c r="V32" s="55" t="n">
        <f aca="false">SUMPRODUCT(G32:U32,_XtX!$B$96:$P$96)</f>
        <v>49.325187865497</v>
      </c>
      <c r="W32" s="55" t="n">
        <f aca="false">SUMPRODUCT(MMULT(G32:U32,_XtX!$B$78:$P$92),G32:U32)</f>
        <v>0.130946536915205</v>
      </c>
      <c r="X32" s="55" t="n">
        <f aca="false">V32-04_回帰ANOVA!$K$19*04_回帰ANOVA!$K$14*SQRT(1+W32)</f>
        <v>47.9390084982447</v>
      </c>
      <c r="Y32" s="55" t="n">
        <f aca="false">V32+04_回帰ANOVA!$K$19*04_回帰ANOVA!$K$14*SQRT(1+W32)</f>
        <v>50.7113672327494</v>
      </c>
      <c r="Z32" s="54" t="b">
        <f aca="false">AND(C32&gt;=01_因子設定!$L$5-0.000000001,C32&lt;=01_因子設定!$M$5+0.000000001,D32&gt;=01_因子設定!$L$6-0.000000001,D32&lt;=01_因子設定!$M$6+0.000000001,E32&gt;=01_因子設定!$L$7-0.000000001,E32&lt;=01_因子設定!$M$7+0.000000001,F32&gt;=01_因子設定!$L$8-0.000000001,F32&lt;=01_因子設定!$M$8+0.000000001,IF(01_因子設定!$B$20="Box-Behnken",C32^2+D32^2+E32^2+F32^2&lt;=2+0.000000001,TRUE()))</f>
        <v>1</v>
      </c>
      <c r="AA32" s="55" t="n">
        <f aca="false">IF(Z32,IF(01_因子設定!$B$13="最大化",X32-01_因子設定!$B$14,IF(01_因子設定!$B$13="最小化",01_因子設定!$B$15-Y32,MIN(X32-01_因子設定!$B$14,01_因子設定!$B$15-Y32))),-1E+030)</f>
        <v>1.43900849824468</v>
      </c>
      <c r="AB32" s="55" t="n">
        <f aca="false">IF(AA32&gt;=0,1,0)</f>
        <v>1</v>
      </c>
    </row>
    <row r="33" customFormat="false" ht="15" hidden="false" customHeight="false" outlineLevel="0" collapsed="false">
      <c r="A33" s="0" t="n">
        <v>1</v>
      </c>
      <c r="B33" s="0" t="n">
        <v>0.4</v>
      </c>
      <c r="C33" s="0" t="n">
        <f aca="false">B33</f>
        <v>0.4</v>
      </c>
      <c r="D33" s="57" t="n">
        <f aca="false">07_最適化!$B$7</f>
        <v>0.5</v>
      </c>
      <c r="E33" s="57" t="n">
        <f aca="false">07_最適化!$B$8</f>
        <v>0.5</v>
      </c>
      <c r="F33" s="57" t="n">
        <f aca="false">07_最適化!$B$9</f>
        <v>0.5</v>
      </c>
      <c r="G33" s="55" t="n">
        <f aca="false">1</f>
        <v>1</v>
      </c>
      <c r="H33" s="55" t="n">
        <f aca="false">C33</f>
        <v>0.4</v>
      </c>
      <c r="I33" s="57" t="n">
        <f aca="false">D33</f>
        <v>0.5</v>
      </c>
      <c r="J33" s="57" t="n">
        <f aca="false">E33</f>
        <v>0.5</v>
      </c>
      <c r="K33" s="57" t="n">
        <f aca="false">F33</f>
        <v>0.5</v>
      </c>
      <c r="L33" s="55" t="n">
        <f aca="false">C33*D33</f>
        <v>0.2</v>
      </c>
      <c r="M33" s="55" t="n">
        <f aca="false">C33*E33</f>
        <v>0.2</v>
      </c>
      <c r="N33" s="55" t="n">
        <f aca="false">C33*F33</f>
        <v>0.2</v>
      </c>
      <c r="O33" s="55" t="n">
        <f aca="false">D33*E33</f>
        <v>0.25</v>
      </c>
      <c r="P33" s="55" t="n">
        <f aca="false">D33*F33</f>
        <v>0.25</v>
      </c>
      <c r="Q33" s="55" t="n">
        <f aca="false">E33*F33</f>
        <v>0.25</v>
      </c>
      <c r="R33" s="55" t="n">
        <f aca="false">C33*C33</f>
        <v>0.16</v>
      </c>
      <c r="S33" s="55" t="n">
        <f aca="false">D33*D33</f>
        <v>0.25</v>
      </c>
      <c r="T33" s="55" t="n">
        <f aca="false">E33*E33</f>
        <v>0.25</v>
      </c>
      <c r="U33" s="55" t="n">
        <f aca="false">F33*F33</f>
        <v>0.25</v>
      </c>
      <c r="V33" s="55" t="n">
        <f aca="false">SUMPRODUCT(G33:U33,_XtX!$B$96:$P$96)</f>
        <v>49.3436235380117</v>
      </c>
      <c r="W33" s="55" t="n">
        <f aca="false">SUMPRODUCT(MMULT(G33:U33,_XtX!$B$78:$P$92),G33:U33)</f>
        <v>0.130488340643275</v>
      </c>
      <c r="X33" s="55" t="n">
        <f aca="false">V33-04_回帰ANOVA!$K$19*04_回帰ANOVA!$K$14*SQRT(1+W33)</f>
        <v>47.9577250003749</v>
      </c>
      <c r="Y33" s="55" t="n">
        <f aca="false">V33+04_回帰ANOVA!$K$19*04_回帰ANOVA!$K$14*SQRT(1+W33)</f>
        <v>50.7295220756485</v>
      </c>
      <c r="Z33" s="54" t="b">
        <f aca="false">AND(C33&gt;=01_因子設定!$L$5-0.000000001,C33&lt;=01_因子設定!$M$5+0.000000001,D33&gt;=01_因子設定!$L$6-0.000000001,D33&lt;=01_因子設定!$M$6+0.000000001,E33&gt;=01_因子設定!$L$7-0.000000001,E33&lt;=01_因子設定!$M$7+0.000000001,F33&gt;=01_因子設定!$L$8-0.000000001,F33&lt;=01_因子設定!$M$8+0.000000001,IF(01_因子設定!$B$20="Box-Behnken",C33^2+D33^2+E33^2+F33^2&lt;=2+0.000000001,TRUE()))</f>
        <v>1</v>
      </c>
      <c r="AA33" s="55" t="n">
        <f aca="false">IF(Z33,IF(01_因子設定!$B$13="最大化",X33-01_因子設定!$B$14,IF(01_因子設定!$B$13="最小化",01_因子設定!$B$15-Y33,MIN(X33-01_因子設定!$B$14,01_因子設定!$B$15-Y33))),-1E+030)</f>
        <v>1.45772500037486</v>
      </c>
      <c r="AB33" s="55" t="n">
        <f aca="false">IF(AA33&gt;=0,1,0)</f>
        <v>1</v>
      </c>
    </row>
    <row r="34" customFormat="false" ht="15" hidden="false" customHeight="false" outlineLevel="0" collapsed="false">
      <c r="A34" s="0" t="n">
        <v>1</v>
      </c>
      <c r="B34" s="0" t="n">
        <v>0.45</v>
      </c>
      <c r="C34" s="0" t="n">
        <f aca="false">B34</f>
        <v>0.45</v>
      </c>
      <c r="D34" s="57" t="n">
        <f aca="false">07_最適化!$B$7</f>
        <v>0.5</v>
      </c>
      <c r="E34" s="57" t="n">
        <f aca="false">07_最適化!$B$8</f>
        <v>0.5</v>
      </c>
      <c r="F34" s="57" t="n">
        <f aca="false">07_最適化!$B$9</f>
        <v>0.5</v>
      </c>
      <c r="G34" s="55" t="n">
        <f aca="false">1</f>
        <v>1</v>
      </c>
      <c r="H34" s="55" t="n">
        <f aca="false">C34</f>
        <v>0.45</v>
      </c>
      <c r="I34" s="57" t="n">
        <f aca="false">D34</f>
        <v>0.5</v>
      </c>
      <c r="J34" s="57" t="n">
        <f aca="false">E34</f>
        <v>0.5</v>
      </c>
      <c r="K34" s="57" t="n">
        <f aca="false">F34</f>
        <v>0.5</v>
      </c>
      <c r="L34" s="55" t="n">
        <f aca="false">C34*D34</f>
        <v>0.225</v>
      </c>
      <c r="M34" s="55" t="n">
        <f aca="false">C34*E34</f>
        <v>0.225</v>
      </c>
      <c r="N34" s="55" t="n">
        <f aca="false">C34*F34</f>
        <v>0.225</v>
      </c>
      <c r="O34" s="55" t="n">
        <f aca="false">D34*E34</f>
        <v>0.25</v>
      </c>
      <c r="P34" s="55" t="n">
        <f aca="false">D34*F34</f>
        <v>0.25</v>
      </c>
      <c r="Q34" s="55" t="n">
        <f aca="false">E34*F34</f>
        <v>0.25</v>
      </c>
      <c r="R34" s="55" t="n">
        <f aca="false">C34*C34</f>
        <v>0.2025</v>
      </c>
      <c r="S34" s="55" t="n">
        <f aca="false">D34*D34</f>
        <v>0.25</v>
      </c>
      <c r="T34" s="55" t="n">
        <f aca="false">E34*E34</f>
        <v>0.25</v>
      </c>
      <c r="U34" s="55" t="n">
        <f aca="false">F34*F34</f>
        <v>0.25</v>
      </c>
      <c r="V34" s="55" t="n">
        <f aca="false">SUMPRODUCT(G34:U34,_XtX!$B$96:$P$96)</f>
        <v>49.3491469298245</v>
      </c>
      <c r="W34" s="55" t="n">
        <f aca="false">SUMPRODUCT(MMULT(G34:U34,_XtX!$B$78:$P$92),G34:U34)</f>
        <v>0.131281332236842</v>
      </c>
      <c r="X34" s="55" t="n">
        <f aca="false">V34-04_回帰ANOVA!$K$19*04_回帰ANOVA!$K$14*SQRT(1+W34)</f>
        <v>47.9627624016689</v>
      </c>
      <c r="Y34" s="55" t="n">
        <f aca="false">V34+04_回帰ANOVA!$K$19*04_回帰ANOVA!$K$14*SQRT(1+W34)</f>
        <v>50.7355314579802</v>
      </c>
      <c r="Z34" s="54" t="b">
        <f aca="false">AND(C34&gt;=01_因子設定!$L$5-0.000000001,C34&lt;=01_因子設定!$M$5+0.000000001,D34&gt;=01_因子設定!$L$6-0.000000001,D34&lt;=01_因子設定!$M$6+0.000000001,E34&gt;=01_因子設定!$L$7-0.000000001,E34&lt;=01_因子設定!$M$7+0.000000001,F34&gt;=01_因子設定!$L$8-0.000000001,F34&lt;=01_因子設定!$M$8+0.000000001,IF(01_因子設定!$B$20="Box-Behnken",C34^2+D34^2+E34^2+F34^2&lt;=2+0.000000001,TRUE()))</f>
        <v>1</v>
      </c>
      <c r="AA34" s="55" t="n">
        <f aca="false">IF(Z34,IF(01_因子設定!$B$13="最大化",X34-01_因子設定!$B$14,IF(01_因子設定!$B$13="最小化",01_因子設定!$B$15-Y34,MIN(X34-01_因子設定!$B$14,01_因子設定!$B$15-Y34))),-1E+030)</f>
        <v>1.46276240166887</v>
      </c>
      <c r="AB34" s="55" t="n">
        <f aca="false">IF(AA34&gt;=0,1,0)</f>
        <v>1</v>
      </c>
    </row>
    <row r="35" customFormat="false" ht="15" hidden="false" customHeight="false" outlineLevel="0" collapsed="false">
      <c r="A35" s="0" t="n">
        <v>1</v>
      </c>
      <c r="B35" s="0" t="n">
        <v>0.5</v>
      </c>
      <c r="C35" s="0" t="n">
        <f aca="false">B35</f>
        <v>0.5</v>
      </c>
      <c r="D35" s="57" t="n">
        <f aca="false">07_最適化!$B$7</f>
        <v>0.5</v>
      </c>
      <c r="E35" s="57" t="n">
        <f aca="false">07_最適化!$B$8</f>
        <v>0.5</v>
      </c>
      <c r="F35" s="57" t="n">
        <f aca="false">07_最適化!$B$9</f>
        <v>0.5</v>
      </c>
      <c r="G35" s="55" t="n">
        <f aca="false">1</f>
        <v>1</v>
      </c>
      <c r="H35" s="55" t="n">
        <f aca="false">C35</f>
        <v>0.5</v>
      </c>
      <c r="I35" s="57" t="n">
        <f aca="false">D35</f>
        <v>0.5</v>
      </c>
      <c r="J35" s="57" t="n">
        <f aca="false">E35</f>
        <v>0.5</v>
      </c>
      <c r="K35" s="57" t="n">
        <f aca="false">F35</f>
        <v>0.5</v>
      </c>
      <c r="L35" s="55" t="n">
        <f aca="false">C35*D35</f>
        <v>0.25</v>
      </c>
      <c r="M35" s="55" t="n">
        <f aca="false">C35*E35</f>
        <v>0.25</v>
      </c>
      <c r="N35" s="55" t="n">
        <f aca="false">C35*F35</f>
        <v>0.25</v>
      </c>
      <c r="O35" s="55" t="n">
        <f aca="false">D35*E35</f>
        <v>0.25</v>
      </c>
      <c r="P35" s="55" t="n">
        <f aca="false">D35*F35</f>
        <v>0.25</v>
      </c>
      <c r="Q35" s="55" t="n">
        <f aca="false">E35*F35</f>
        <v>0.25</v>
      </c>
      <c r="R35" s="55" t="n">
        <f aca="false">C35*C35</f>
        <v>0.25</v>
      </c>
      <c r="S35" s="55" t="n">
        <f aca="false">D35*D35</f>
        <v>0.25</v>
      </c>
      <c r="T35" s="55" t="n">
        <f aca="false">E35*E35</f>
        <v>0.25</v>
      </c>
      <c r="U35" s="55" t="n">
        <f aca="false">F35*F35</f>
        <v>0.25</v>
      </c>
      <c r="V35" s="55" t="n">
        <f aca="false">SUMPRODUCT(G35:U35,_XtX!$B$96:$P$96)</f>
        <v>49.3417580409356</v>
      </c>
      <c r="W35" s="55" t="n">
        <f aca="false">SUMPRODUCT(MMULT(G35:U35,_XtX!$B$78:$P$92),G35:U35)</f>
        <v>0.133817616959064</v>
      </c>
      <c r="X35" s="55" t="n">
        <f aca="false">V35-04_回帰ANOVA!$K$19*04_回帰ANOVA!$K$14*SQRT(1+W35)</f>
        <v>47.9538202752368</v>
      </c>
      <c r="Y35" s="55" t="n">
        <f aca="false">V35+04_回帰ANOVA!$K$19*04_回帰ANOVA!$K$14*SQRT(1+W35)</f>
        <v>50.7296958066345</v>
      </c>
      <c r="Z35" s="54" t="b">
        <f aca="false">AND(C35&gt;=01_因子設定!$L$5-0.000000001,C35&lt;=01_因子設定!$M$5+0.000000001,D35&gt;=01_因子設定!$L$6-0.000000001,D35&lt;=01_因子設定!$M$6+0.000000001,E35&gt;=01_因子設定!$L$7-0.000000001,E35&lt;=01_因子設定!$M$7+0.000000001,F35&gt;=01_因子設定!$L$8-0.000000001,F35&lt;=01_因子設定!$M$8+0.000000001,IF(01_因子設定!$B$20="Box-Behnken",C35^2+D35^2+E35^2+F35^2&lt;=2+0.000000001,TRUE()))</f>
        <v>1</v>
      </c>
      <c r="AA35" s="55" t="n">
        <f aca="false">IF(Z35,IF(01_因子設定!$B$13="最大化",X35-01_因子設定!$B$14,IF(01_因子設定!$B$13="最小化",01_因子設定!$B$15-Y35,MIN(X35-01_因子設定!$B$14,01_因子設定!$B$15-Y35))),-1E+030)</f>
        <v>1.45382027523677</v>
      </c>
      <c r="AB35" s="55" t="n">
        <f aca="false">IF(AA35&gt;=0,1,0)</f>
        <v>1</v>
      </c>
    </row>
    <row r="36" customFormat="false" ht="15" hidden="false" customHeight="false" outlineLevel="0" collapsed="false">
      <c r="A36" s="0" t="n">
        <v>1</v>
      </c>
      <c r="B36" s="0" t="n">
        <v>0.55</v>
      </c>
      <c r="C36" s="0" t="n">
        <f aca="false">B36</f>
        <v>0.55</v>
      </c>
      <c r="D36" s="57" t="n">
        <f aca="false">07_最適化!$B$7</f>
        <v>0.5</v>
      </c>
      <c r="E36" s="57" t="n">
        <f aca="false">07_最適化!$B$8</f>
        <v>0.5</v>
      </c>
      <c r="F36" s="57" t="n">
        <f aca="false">07_最適化!$B$9</f>
        <v>0.5</v>
      </c>
      <c r="G36" s="55" t="n">
        <f aca="false">1</f>
        <v>1</v>
      </c>
      <c r="H36" s="55" t="n">
        <f aca="false">C36</f>
        <v>0.55</v>
      </c>
      <c r="I36" s="57" t="n">
        <f aca="false">D36</f>
        <v>0.5</v>
      </c>
      <c r="J36" s="57" t="n">
        <f aca="false">E36</f>
        <v>0.5</v>
      </c>
      <c r="K36" s="57" t="n">
        <f aca="false">F36</f>
        <v>0.5</v>
      </c>
      <c r="L36" s="55" t="n">
        <f aca="false">C36*D36</f>
        <v>0.275</v>
      </c>
      <c r="M36" s="55" t="n">
        <f aca="false">C36*E36</f>
        <v>0.275</v>
      </c>
      <c r="N36" s="55" t="n">
        <f aca="false">C36*F36</f>
        <v>0.275</v>
      </c>
      <c r="O36" s="55" t="n">
        <f aca="false">D36*E36</f>
        <v>0.25</v>
      </c>
      <c r="P36" s="55" t="n">
        <f aca="false">D36*F36</f>
        <v>0.25</v>
      </c>
      <c r="Q36" s="55" t="n">
        <f aca="false">E36*F36</f>
        <v>0.25</v>
      </c>
      <c r="R36" s="55" t="n">
        <f aca="false">C36*C36</f>
        <v>0.3025</v>
      </c>
      <c r="S36" s="55" t="n">
        <f aca="false">D36*D36</f>
        <v>0.25</v>
      </c>
      <c r="T36" s="55" t="n">
        <f aca="false">E36*E36</f>
        <v>0.25</v>
      </c>
      <c r="U36" s="55" t="n">
        <f aca="false">F36*F36</f>
        <v>0.25</v>
      </c>
      <c r="V36" s="55" t="n">
        <f aca="false">SUMPRODUCT(G36:U36,_XtX!$B$96:$P$96)</f>
        <v>49.321456871345</v>
      </c>
      <c r="W36" s="55" t="n">
        <f aca="false">SUMPRODUCT(MMULT(G36:U36,_XtX!$B$78:$P$92),G36:U36)</f>
        <v>0.138647194809942</v>
      </c>
      <c r="X36" s="55" t="n">
        <f aca="false">V36-04_回帰ANOVA!$K$19*04_回帰ANOVA!$K$14*SQRT(1+W36)</f>
        <v>47.9305662363255</v>
      </c>
      <c r="Y36" s="55" t="n">
        <f aca="false">V36+04_回帰ANOVA!$K$19*04_回帰ANOVA!$K$14*SQRT(1+W36)</f>
        <v>50.7123475063645</v>
      </c>
      <c r="Z36" s="54" t="b">
        <f aca="false">AND(C36&gt;=01_因子設定!$L$5-0.000000001,C36&lt;=01_因子設定!$M$5+0.000000001,D36&gt;=01_因子設定!$L$6-0.000000001,D36&lt;=01_因子設定!$M$6+0.000000001,E36&gt;=01_因子設定!$L$7-0.000000001,E36&lt;=01_因子設定!$M$7+0.000000001,F36&gt;=01_因子設定!$L$8-0.000000001,F36&lt;=01_因子設定!$M$8+0.000000001,IF(01_因子設定!$B$20="Box-Behnken",C36^2+D36^2+E36^2+F36^2&lt;=2+0.000000001,TRUE()))</f>
        <v>1</v>
      </c>
      <c r="AA36" s="55" t="n">
        <f aca="false">IF(Z36,IF(01_因子設定!$B$13="最大化",X36-01_因子設定!$B$14,IF(01_因子設定!$B$13="最小化",01_因子設定!$B$15-Y36,MIN(X36-01_因子設定!$B$14,01_因子設定!$B$15-Y36))),-1E+030)</f>
        <v>1.4305662363255</v>
      </c>
      <c r="AB36" s="55" t="n">
        <f aca="false">IF(AA36&gt;=0,1,0)</f>
        <v>1</v>
      </c>
    </row>
    <row r="37" customFormat="false" ht="15" hidden="false" customHeight="false" outlineLevel="0" collapsed="false">
      <c r="A37" s="0" t="n">
        <v>1</v>
      </c>
      <c r="B37" s="0" t="n">
        <v>0.6</v>
      </c>
      <c r="C37" s="0" t="n">
        <f aca="false">B37</f>
        <v>0.6</v>
      </c>
      <c r="D37" s="57" t="n">
        <f aca="false">07_最適化!$B$7</f>
        <v>0.5</v>
      </c>
      <c r="E37" s="57" t="n">
        <f aca="false">07_最適化!$B$8</f>
        <v>0.5</v>
      </c>
      <c r="F37" s="57" t="n">
        <f aca="false">07_最適化!$B$9</f>
        <v>0.5</v>
      </c>
      <c r="G37" s="55" t="n">
        <f aca="false">1</f>
        <v>1</v>
      </c>
      <c r="H37" s="55" t="n">
        <f aca="false">C37</f>
        <v>0.6</v>
      </c>
      <c r="I37" s="57" t="n">
        <f aca="false">D37</f>
        <v>0.5</v>
      </c>
      <c r="J37" s="57" t="n">
        <f aca="false">E37</f>
        <v>0.5</v>
      </c>
      <c r="K37" s="57" t="n">
        <f aca="false">F37</f>
        <v>0.5</v>
      </c>
      <c r="L37" s="55" t="n">
        <f aca="false">C37*D37</f>
        <v>0.3</v>
      </c>
      <c r="M37" s="55" t="n">
        <f aca="false">C37*E37</f>
        <v>0.3</v>
      </c>
      <c r="N37" s="55" t="n">
        <f aca="false">C37*F37</f>
        <v>0.3</v>
      </c>
      <c r="O37" s="55" t="n">
        <f aca="false">D37*E37</f>
        <v>0.25</v>
      </c>
      <c r="P37" s="55" t="n">
        <f aca="false">D37*F37</f>
        <v>0.25</v>
      </c>
      <c r="Q37" s="55" t="n">
        <f aca="false">E37*F37</f>
        <v>0.25</v>
      </c>
      <c r="R37" s="55" t="n">
        <f aca="false">C37*C37</f>
        <v>0.36</v>
      </c>
      <c r="S37" s="55" t="n">
        <f aca="false">D37*D37</f>
        <v>0.25</v>
      </c>
      <c r="T37" s="55" t="n">
        <f aca="false">E37*E37</f>
        <v>0.25</v>
      </c>
      <c r="U37" s="55" t="n">
        <f aca="false">F37*F37</f>
        <v>0.25</v>
      </c>
      <c r="V37" s="55" t="n">
        <f aca="false">SUMPRODUCT(G37:U37,_XtX!$B$96:$P$96)</f>
        <v>49.2882434210526</v>
      </c>
      <c r="W37" s="55" t="n">
        <f aca="false">SUMPRODUCT(MMULT(G37:U37,_XtX!$B$78:$P$92),G37:U37)</f>
        <v>0.146377960526316</v>
      </c>
      <c r="X37" s="55" t="n">
        <f aca="false">V37-04_回帰ANOVA!$K$19*04_回帰ANOVA!$K$14*SQRT(1+W37)</f>
        <v>47.8926390958358</v>
      </c>
      <c r="Y37" s="55" t="n">
        <f aca="false">V37+04_回帰ANOVA!$K$19*04_回帰ANOVA!$K$14*SQRT(1+W37)</f>
        <v>50.6838477462695</v>
      </c>
      <c r="Z37" s="54" t="b">
        <f aca="false">AND(C37&gt;=01_因子設定!$L$5-0.000000001,C37&lt;=01_因子設定!$M$5+0.000000001,D37&gt;=01_因子設定!$L$6-0.000000001,D37&lt;=01_因子設定!$M$6+0.000000001,E37&gt;=01_因子設定!$L$7-0.000000001,E37&lt;=01_因子設定!$M$7+0.000000001,F37&gt;=01_因子設定!$L$8-0.000000001,F37&lt;=01_因子設定!$M$8+0.000000001,IF(01_因子設定!$B$20="Box-Behnken",C37^2+D37^2+E37^2+F37^2&lt;=2+0.000000001,TRUE()))</f>
        <v>1</v>
      </c>
      <c r="AA37" s="55" t="n">
        <f aca="false">IF(Z37,IF(01_因子設定!$B$13="最大化",X37-01_因子設定!$B$14,IF(01_因子設定!$B$13="最小化",01_因子設定!$B$15-Y37,MIN(X37-01_因子設定!$B$14,01_因子設定!$B$15-Y37))),-1E+030)</f>
        <v>1.39263909583575</v>
      </c>
      <c r="AB37" s="55" t="n">
        <f aca="false">IF(AA37&gt;=0,1,0)</f>
        <v>1</v>
      </c>
    </row>
    <row r="38" customFormat="false" ht="15" hidden="false" customHeight="false" outlineLevel="0" collapsed="false">
      <c r="A38" s="0" t="n">
        <v>1</v>
      </c>
      <c r="B38" s="0" t="n">
        <v>0.65</v>
      </c>
      <c r="C38" s="0" t="n">
        <f aca="false">B38</f>
        <v>0.65</v>
      </c>
      <c r="D38" s="57" t="n">
        <f aca="false">07_最適化!$B$7</f>
        <v>0.5</v>
      </c>
      <c r="E38" s="57" t="n">
        <f aca="false">07_最適化!$B$8</f>
        <v>0.5</v>
      </c>
      <c r="F38" s="57" t="n">
        <f aca="false">07_最適化!$B$9</f>
        <v>0.5</v>
      </c>
      <c r="G38" s="55" t="n">
        <f aca="false">1</f>
        <v>1</v>
      </c>
      <c r="H38" s="55" t="n">
        <f aca="false">C38</f>
        <v>0.65</v>
      </c>
      <c r="I38" s="57" t="n">
        <f aca="false">D38</f>
        <v>0.5</v>
      </c>
      <c r="J38" s="57" t="n">
        <f aca="false">E38</f>
        <v>0.5</v>
      </c>
      <c r="K38" s="57" t="n">
        <f aca="false">F38</f>
        <v>0.5</v>
      </c>
      <c r="L38" s="55" t="n">
        <f aca="false">C38*D38</f>
        <v>0.325</v>
      </c>
      <c r="M38" s="55" t="n">
        <f aca="false">C38*E38</f>
        <v>0.325</v>
      </c>
      <c r="N38" s="55" t="n">
        <f aca="false">C38*F38</f>
        <v>0.325</v>
      </c>
      <c r="O38" s="55" t="n">
        <f aca="false">D38*E38</f>
        <v>0.25</v>
      </c>
      <c r="P38" s="55" t="n">
        <f aca="false">D38*F38</f>
        <v>0.25</v>
      </c>
      <c r="Q38" s="55" t="n">
        <f aca="false">E38*F38</f>
        <v>0.25</v>
      </c>
      <c r="R38" s="55" t="n">
        <f aca="false">C38*C38</f>
        <v>0.4225</v>
      </c>
      <c r="S38" s="55" t="n">
        <f aca="false">D38*D38</f>
        <v>0.25</v>
      </c>
      <c r="T38" s="55" t="n">
        <f aca="false">E38*E38</f>
        <v>0.25</v>
      </c>
      <c r="U38" s="55" t="n">
        <f aca="false">F38*F38</f>
        <v>0.25</v>
      </c>
      <c r="V38" s="55" t="n">
        <f aca="false">SUMPRODUCT(G38:U38,_XtX!$B$96:$P$96)</f>
        <v>49.2421176900585</v>
      </c>
      <c r="W38" s="55" t="n">
        <f aca="false">SUMPRODUCT(MMULT(G38:U38,_XtX!$B$78:$P$92),G38:U38)</f>
        <v>0.157675703581871</v>
      </c>
      <c r="X38" s="55" t="n">
        <f aca="false">V38-04_回帰ANOVA!$K$19*04_回帰ANOVA!$K$14*SQRT(1+W38)</f>
        <v>47.839653270339</v>
      </c>
      <c r="Y38" s="55" t="n">
        <f aca="false">V38+04_回帰ANOVA!$K$19*04_回帰ANOVA!$K$14*SQRT(1+W38)</f>
        <v>50.6445821097779</v>
      </c>
      <c r="Z38" s="54" t="b">
        <f aca="false">AND(C38&gt;=01_因子設定!$L$5-0.000000001,C38&lt;=01_因子設定!$M$5+0.000000001,D38&gt;=01_因子設定!$L$6-0.000000001,D38&lt;=01_因子設定!$M$6+0.000000001,E38&gt;=01_因子設定!$L$7-0.000000001,E38&lt;=01_因子設定!$M$7+0.000000001,F38&gt;=01_因子設定!$L$8-0.000000001,F38&lt;=01_因子設定!$M$8+0.000000001,IF(01_因子設定!$B$20="Box-Behnken",C38^2+D38^2+E38^2+F38^2&lt;=2+0.000000001,TRUE()))</f>
        <v>1</v>
      </c>
      <c r="AA38" s="55" t="n">
        <f aca="false">IF(Z38,IF(01_因子設定!$B$13="最大化",X38-01_因子設定!$B$14,IF(01_因子設定!$B$13="最小化",01_因子設定!$B$15-Y38,MIN(X38-01_因子設定!$B$14,01_因子設定!$B$15-Y38))),-1E+030)</f>
        <v>1.33965327033904</v>
      </c>
      <c r="AB38" s="55" t="n">
        <f aca="false">IF(AA38&gt;=0,1,0)</f>
        <v>1</v>
      </c>
    </row>
    <row r="39" customFormat="false" ht="15" hidden="false" customHeight="false" outlineLevel="0" collapsed="false">
      <c r="A39" s="0" t="n">
        <v>1</v>
      </c>
      <c r="B39" s="0" t="n">
        <v>0.7</v>
      </c>
      <c r="C39" s="0" t="n">
        <f aca="false">B39</f>
        <v>0.7</v>
      </c>
      <c r="D39" s="57" t="n">
        <f aca="false">07_最適化!$B$7</f>
        <v>0.5</v>
      </c>
      <c r="E39" s="57" t="n">
        <f aca="false">07_最適化!$B$8</f>
        <v>0.5</v>
      </c>
      <c r="F39" s="57" t="n">
        <f aca="false">07_最適化!$B$9</f>
        <v>0.5</v>
      </c>
      <c r="G39" s="55" t="n">
        <f aca="false">1</f>
        <v>1</v>
      </c>
      <c r="H39" s="55" t="n">
        <f aca="false">C39</f>
        <v>0.7</v>
      </c>
      <c r="I39" s="57" t="n">
        <f aca="false">D39</f>
        <v>0.5</v>
      </c>
      <c r="J39" s="57" t="n">
        <f aca="false">E39</f>
        <v>0.5</v>
      </c>
      <c r="K39" s="57" t="n">
        <f aca="false">F39</f>
        <v>0.5</v>
      </c>
      <c r="L39" s="55" t="n">
        <f aca="false">C39*D39</f>
        <v>0.35</v>
      </c>
      <c r="M39" s="55" t="n">
        <f aca="false">C39*E39</f>
        <v>0.35</v>
      </c>
      <c r="N39" s="55" t="n">
        <f aca="false">C39*F39</f>
        <v>0.35</v>
      </c>
      <c r="O39" s="55" t="n">
        <f aca="false">D39*E39</f>
        <v>0.25</v>
      </c>
      <c r="P39" s="55" t="n">
        <f aca="false">D39*F39</f>
        <v>0.25</v>
      </c>
      <c r="Q39" s="55" t="n">
        <f aca="false">E39*F39</f>
        <v>0.25</v>
      </c>
      <c r="R39" s="55" t="n">
        <f aca="false">C39*C39</f>
        <v>0.49</v>
      </c>
      <c r="S39" s="55" t="n">
        <f aca="false">D39*D39</f>
        <v>0.25</v>
      </c>
      <c r="T39" s="55" t="n">
        <f aca="false">E39*E39</f>
        <v>0.25</v>
      </c>
      <c r="U39" s="55" t="n">
        <f aca="false">F39*F39</f>
        <v>0.25</v>
      </c>
      <c r="V39" s="55" t="n">
        <f aca="false">SUMPRODUCT(G39:U39,_XtX!$B$96:$P$96)</f>
        <v>49.1830796783626</v>
      </c>
      <c r="W39" s="55" t="n">
        <f aca="false">SUMPRODUCT(MMULT(G39:U39,_XtX!$B$78:$P$92),G39:U39)</f>
        <v>0.173264108187135</v>
      </c>
      <c r="X39" s="55" t="n">
        <f aca="false">V39-04_回帰ANOVA!$K$19*04_回帰ANOVA!$K$14*SQRT(1+W39)</f>
        <v>47.7712045579118</v>
      </c>
      <c r="Y39" s="55" t="n">
        <f aca="false">V39+04_回帰ANOVA!$K$19*04_回帰ANOVA!$K$14*SQRT(1+W39)</f>
        <v>50.5949547988133</v>
      </c>
      <c r="Z39" s="54" t="b">
        <f aca="false">AND(C39&gt;=01_因子設定!$L$5-0.000000001,C39&lt;=01_因子設定!$M$5+0.000000001,D39&gt;=01_因子設定!$L$6-0.000000001,D39&lt;=01_因子設定!$M$6+0.000000001,E39&gt;=01_因子設定!$L$7-0.000000001,E39&lt;=01_因子設定!$M$7+0.000000001,F39&gt;=01_因子設定!$L$8-0.000000001,F39&lt;=01_因子設定!$M$8+0.000000001,IF(01_因子設定!$B$20="Box-Behnken",C39^2+D39^2+E39^2+F39^2&lt;=2+0.000000001,TRUE()))</f>
        <v>1</v>
      </c>
      <c r="AA39" s="55" t="n">
        <f aca="false">IF(Z39,IF(01_因子設定!$B$13="最大化",X39-01_因子設定!$B$14,IF(01_因子設定!$B$13="最小化",01_因子設定!$B$15-Y39,MIN(X39-01_因子設定!$B$14,01_因子設定!$B$15-Y39))),-1E+030)</f>
        <v>1.27120455791178</v>
      </c>
      <c r="AB39" s="55" t="n">
        <f aca="false">IF(AA39&gt;=0,1,0)</f>
        <v>1</v>
      </c>
    </row>
    <row r="40" customFormat="false" ht="15" hidden="false" customHeight="false" outlineLevel="0" collapsed="false">
      <c r="A40" s="0" t="n">
        <v>1</v>
      </c>
      <c r="B40" s="0" t="n">
        <v>0.75</v>
      </c>
      <c r="C40" s="0" t="n">
        <f aca="false">B40</f>
        <v>0.75</v>
      </c>
      <c r="D40" s="57" t="n">
        <f aca="false">07_最適化!$B$7</f>
        <v>0.5</v>
      </c>
      <c r="E40" s="57" t="n">
        <f aca="false">07_最適化!$B$8</f>
        <v>0.5</v>
      </c>
      <c r="F40" s="57" t="n">
        <f aca="false">07_最適化!$B$9</f>
        <v>0.5</v>
      </c>
      <c r="G40" s="55" t="n">
        <f aca="false">1</f>
        <v>1</v>
      </c>
      <c r="H40" s="55" t="n">
        <f aca="false">C40</f>
        <v>0.75</v>
      </c>
      <c r="I40" s="57" t="n">
        <f aca="false">D40</f>
        <v>0.5</v>
      </c>
      <c r="J40" s="57" t="n">
        <f aca="false">E40</f>
        <v>0.5</v>
      </c>
      <c r="K40" s="57" t="n">
        <f aca="false">F40</f>
        <v>0.5</v>
      </c>
      <c r="L40" s="55" t="n">
        <f aca="false">C40*D40</f>
        <v>0.375</v>
      </c>
      <c r="M40" s="55" t="n">
        <f aca="false">C40*E40</f>
        <v>0.375</v>
      </c>
      <c r="N40" s="55" t="n">
        <f aca="false">C40*F40</f>
        <v>0.375</v>
      </c>
      <c r="O40" s="55" t="n">
        <f aca="false">D40*E40</f>
        <v>0.25</v>
      </c>
      <c r="P40" s="55" t="n">
        <f aca="false">D40*F40</f>
        <v>0.25</v>
      </c>
      <c r="Q40" s="55" t="n">
        <f aca="false">E40*F40</f>
        <v>0.25</v>
      </c>
      <c r="R40" s="55" t="n">
        <f aca="false">C40*C40</f>
        <v>0.5625</v>
      </c>
      <c r="S40" s="55" t="n">
        <f aca="false">D40*D40</f>
        <v>0.25</v>
      </c>
      <c r="T40" s="55" t="n">
        <f aca="false">E40*E40</f>
        <v>0.25</v>
      </c>
      <c r="U40" s="55" t="n">
        <f aca="false">F40*F40</f>
        <v>0.25</v>
      </c>
      <c r="V40" s="55" t="n">
        <f aca="false">SUMPRODUCT(G40:U40,_XtX!$B$96:$P$96)</f>
        <v>49.1111293859649</v>
      </c>
      <c r="W40" s="55" t="n">
        <f aca="false">SUMPRODUCT(MMULT(G40:U40,_XtX!$B$78:$P$92),G40:U40)</f>
        <v>0.193924753289474</v>
      </c>
      <c r="X40" s="55" t="n">
        <f aca="false">V40-04_回帰ANOVA!$K$19*04_回帰ANOVA!$K$14*SQRT(1+W40)</f>
        <v>47.6868772779733</v>
      </c>
      <c r="Y40" s="55" t="n">
        <f aca="false">V40+04_回帰ANOVA!$K$19*04_回帰ANOVA!$K$14*SQRT(1+W40)</f>
        <v>50.5353814939565</v>
      </c>
      <c r="Z40" s="54" t="b">
        <f aca="false">AND(C40&gt;=01_因子設定!$L$5-0.000000001,C40&lt;=01_因子設定!$M$5+0.000000001,D40&gt;=01_因子設定!$L$6-0.000000001,D40&lt;=01_因子設定!$M$6+0.000000001,E40&gt;=01_因子設定!$L$7-0.000000001,E40&lt;=01_因子設定!$M$7+0.000000001,F40&gt;=01_因子設定!$L$8-0.000000001,F40&lt;=01_因子設定!$M$8+0.000000001,IF(01_因子設定!$B$20="Box-Behnken",C40^2+D40^2+E40^2+F40^2&lt;=2+0.000000001,TRUE()))</f>
        <v>1</v>
      </c>
      <c r="AA40" s="55" t="n">
        <f aca="false">IF(Z40,IF(01_因子設定!$B$13="最大化",X40-01_因子設定!$B$14,IF(01_因子設定!$B$13="最小化",01_因子設定!$B$15-Y40,MIN(X40-01_因子設定!$B$14,01_因子設定!$B$15-Y40))),-1E+030)</f>
        <v>1.18687727797331</v>
      </c>
      <c r="AB40" s="55" t="n">
        <f aca="false">IF(AA40&gt;=0,1,0)</f>
        <v>1</v>
      </c>
    </row>
    <row r="41" customFormat="false" ht="15" hidden="false" customHeight="false" outlineLevel="0" collapsed="false">
      <c r="A41" s="0" t="n">
        <v>1</v>
      </c>
      <c r="B41" s="0" t="n">
        <v>0.8</v>
      </c>
      <c r="C41" s="0" t="n">
        <f aca="false">B41</f>
        <v>0.8</v>
      </c>
      <c r="D41" s="57" t="n">
        <f aca="false">07_最適化!$B$7</f>
        <v>0.5</v>
      </c>
      <c r="E41" s="57" t="n">
        <f aca="false">07_最適化!$B$8</f>
        <v>0.5</v>
      </c>
      <c r="F41" s="57" t="n">
        <f aca="false">07_最適化!$B$9</f>
        <v>0.5</v>
      </c>
      <c r="G41" s="55" t="n">
        <f aca="false">1</f>
        <v>1</v>
      </c>
      <c r="H41" s="55" t="n">
        <f aca="false">C41</f>
        <v>0.8</v>
      </c>
      <c r="I41" s="57" t="n">
        <f aca="false">D41</f>
        <v>0.5</v>
      </c>
      <c r="J41" s="57" t="n">
        <f aca="false">E41</f>
        <v>0.5</v>
      </c>
      <c r="K41" s="57" t="n">
        <f aca="false">F41</f>
        <v>0.5</v>
      </c>
      <c r="L41" s="55" t="n">
        <f aca="false">C41*D41</f>
        <v>0.4</v>
      </c>
      <c r="M41" s="55" t="n">
        <f aca="false">C41*E41</f>
        <v>0.4</v>
      </c>
      <c r="N41" s="55" t="n">
        <f aca="false">C41*F41</f>
        <v>0.4</v>
      </c>
      <c r="O41" s="55" t="n">
        <f aca="false">D41*E41</f>
        <v>0.25</v>
      </c>
      <c r="P41" s="55" t="n">
        <f aca="false">D41*F41</f>
        <v>0.25</v>
      </c>
      <c r="Q41" s="55" t="n">
        <f aca="false">E41*F41</f>
        <v>0.25</v>
      </c>
      <c r="R41" s="55" t="n">
        <f aca="false">C41*C41</f>
        <v>0.64</v>
      </c>
      <c r="S41" s="55" t="n">
        <f aca="false">D41*D41</f>
        <v>0.25</v>
      </c>
      <c r="T41" s="55" t="n">
        <f aca="false">E41*E41</f>
        <v>0.25</v>
      </c>
      <c r="U41" s="55" t="n">
        <f aca="false">F41*F41</f>
        <v>0.25</v>
      </c>
      <c r="V41" s="55" t="n">
        <f aca="false">SUMPRODUCT(G41:U41,_XtX!$B$96:$P$96)</f>
        <v>49.0262668128655</v>
      </c>
      <c r="W41" s="55" t="n">
        <f aca="false">SUMPRODUCT(MMULT(G41:U41,_XtX!$B$78:$P$92),G41:U41)</f>
        <v>0.220497112573099</v>
      </c>
      <c r="X41" s="55" t="n">
        <f aca="false">V41-04_回帰ANOVA!$K$19*04_回帰ANOVA!$K$14*SQRT(1+W41)</f>
        <v>47.5862526255508</v>
      </c>
      <c r="Y41" s="55" t="n">
        <f aca="false">V41+04_回帰ANOVA!$K$19*04_回帰ANOVA!$K$14*SQRT(1+W41)</f>
        <v>50.4662810001803</v>
      </c>
      <c r="Z41" s="54" t="b">
        <f aca="false">AND(C41&gt;=01_因子設定!$L$5-0.000000001,C41&lt;=01_因子設定!$M$5+0.000000001,D41&gt;=01_因子設定!$L$6-0.000000001,D41&lt;=01_因子設定!$M$6+0.000000001,E41&gt;=01_因子設定!$L$7-0.000000001,E41&lt;=01_因子設定!$M$7+0.000000001,F41&gt;=01_因子設定!$L$8-0.000000001,F41&lt;=01_因子設定!$M$8+0.000000001,IF(01_因子設定!$B$20="Box-Behnken",C41^2+D41^2+E41^2+F41^2&lt;=2+0.000000001,TRUE()))</f>
        <v>1</v>
      </c>
      <c r="AA41" s="55" t="n">
        <f aca="false">IF(Z41,IF(01_因子設定!$B$13="最大化",X41-01_因子設定!$B$14,IF(01_因子設定!$B$13="最小化",01_因子設定!$B$15-Y41,MIN(X41-01_因子設定!$B$14,01_因子設定!$B$15-Y41))),-1E+030)</f>
        <v>1.08625262555075</v>
      </c>
      <c r="AB41" s="55" t="n">
        <f aca="false">IF(AA41&gt;=0,1,0)</f>
        <v>1</v>
      </c>
    </row>
    <row r="42" customFormat="false" ht="15" hidden="false" customHeight="false" outlineLevel="0" collapsed="false">
      <c r="A42" s="0" t="n">
        <v>1</v>
      </c>
      <c r="B42" s="0" t="n">
        <v>0.85</v>
      </c>
      <c r="C42" s="0" t="n">
        <f aca="false">B42</f>
        <v>0.85</v>
      </c>
      <c r="D42" s="57" t="n">
        <f aca="false">07_最適化!$B$7</f>
        <v>0.5</v>
      </c>
      <c r="E42" s="57" t="n">
        <f aca="false">07_最適化!$B$8</f>
        <v>0.5</v>
      </c>
      <c r="F42" s="57" t="n">
        <f aca="false">07_最適化!$B$9</f>
        <v>0.5</v>
      </c>
      <c r="G42" s="55" t="n">
        <f aca="false">1</f>
        <v>1</v>
      </c>
      <c r="H42" s="55" t="n">
        <f aca="false">C42</f>
        <v>0.85</v>
      </c>
      <c r="I42" s="57" t="n">
        <f aca="false">D42</f>
        <v>0.5</v>
      </c>
      <c r="J42" s="57" t="n">
        <f aca="false">E42</f>
        <v>0.5</v>
      </c>
      <c r="K42" s="57" t="n">
        <f aca="false">F42</f>
        <v>0.5</v>
      </c>
      <c r="L42" s="55" t="n">
        <f aca="false">C42*D42</f>
        <v>0.425</v>
      </c>
      <c r="M42" s="55" t="n">
        <f aca="false">C42*E42</f>
        <v>0.425</v>
      </c>
      <c r="N42" s="55" t="n">
        <f aca="false">C42*F42</f>
        <v>0.425</v>
      </c>
      <c r="O42" s="55" t="n">
        <f aca="false">D42*E42</f>
        <v>0.25</v>
      </c>
      <c r="P42" s="55" t="n">
        <f aca="false">D42*F42</f>
        <v>0.25</v>
      </c>
      <c r="Q42" s="55" t="n">
        <f aca="false">E42*F42</f>
        <v>0.25</v>
      </c>
      <c r="R42" s="55" t="n">
        <f aca="false">C42*C42</f>
        <v>0.7225</v>
      </c>
      <c r="S42" s="55" t="n">
        <f aca="false">D42*D42</f>
        <v>0.25</v>
      </c>
      <c r="T42" s="55" t="n">
        <f aca="false">E42*E42</f>
        <v>0.25</v>
      </c>
      <c r="U42" s="55" t="n">
        <f aca="false">F42*F42</f>
        <v>0.25</v>
      </c>
      <c r="V42" s="55" t="n">
        <f aca="false">SUMPRODUCT(G42:U42,_XtX!$B$96:$P$96)</f>
        <v>48.9284919590643</v>
      </c>
      <c r="W42" s="55" t="n">
        <f aca="false">SUMPRODUCT(MMULT(G42:U42,_XtX!$B$78:$P$92),G42:U42)</f>
        <v>0.253878554459064</v>
      </c>
      <c r="X42" s="55" t="n">
        <f aca="false">V42-04_回帰ANOVA!$K$19*04_回帰ANOVA!$K$14*SQRT(1+W42)</f>
        <v>47.468917920414</v>
      </c>
      <c r="Y42" s="55" t="n">
        <f aca="false">V42+04_回帰ANOVA!$K$19*04_回帰ANOVA!$K$14*SQRT(1+W42)</f>
        <v>50.3880659977147</v>
      </c>
      <c r="Z42" s="54" t="b">
        <f aca="false">AND(C42&gt;=01_因子設定!$L$5-0.000000001,C42&lt;=01_因子設定!$M$5+0.000000001,D42&gt;=01_因子設定!$L$6-0.000000001,D42&lt;=01_因子設定!$M$6+0.000000001,E42&gt;=01_因子設定!$L$7-0.000000001,E42&lt;=01_因子設定!$M$7+0.000000001,F42&gt;=01_因子設定!$L$8-0.000000001,F42&lt;=01_因子設定!$M$8+0.000000001,IF(01_因子設定!$B$20="Box-Behnken",C42^2+D42^2+E42^2+F42^2&lt;=2+0.000000001,TRUE()))</f>
        <v>1</v>
      </c>
      <c r="AA42" s="55" t="n">
        <f aca="false">IF(Z42,IF(01_因子設定!$B$13="最大化",X42-01_因子設定!$B$14,IF(01_因子設定!$B$13="最小化",01_因子設定!$B$15-Y42,MIN(X42-01_因子設定!$B$14,01_因子設定!$B$15-Y42))),-1E+030)</f>
        <v>0.968917920413972</v>
      </c>
      <c r="AB42" s="55" t="n">
        <f aca="false">IF(AA42&gt;=0,1,0)</f>
        <v>1</v>
      </c>
    </row>
    <row r="43" customFormat="false" ht="15" hidden="false" customHeight="false" outlineLevel="0" collapsed="false">
      <c r="A43" s="0" t="n">
        <v>1</v>
      </c>
      <c r="B43" s="0" t="n">
        <v>0.9</v>
      </c>
      <c r="C43" s="0" t="n">
        <f aca="false">B43</f>
        <v>0.9</v>
      </c>
      <c r="D43" s="57" t="n">
        <f aca="false">07_最適化!$B$7</f>
        <v>0.5</v>
      </c>
      <c r="E43" s="57" t="n">
        <f aca="false">07_最適化!$B$8</f>
        <v>0.5</v>
      </c>
      <c r="F43" s="57" t="n">
        <f aca="false">07_最適化!$B$9</f>
        <v>0.5</v>
      </c>
      <c r="G43" s="55" t="n">
        <f aca="false">1</f>
        <v>1</v>
      </c>
      <c r="H43" s="55" t="n">
        <f aca="false">C43</f>
        <v>0.9</v>
      </c>
      <c r="I43" s="57" t="n">
        <f aca="false">D43</f>
        <v>0.5</v>
      </c>
      <c r="J43" s="57" t="n">
        <f aca="false">E43</f>
        <v>0.5</v>
      </c>
      <c r="K43" s="57" t="n">
        <f aca="false">F43</f>
        <v>0.5</v>
      </c>
      <c r="L43" s="55" t="n">
        <f aca="false">C43*D43</f>
        <v>0.45</v>
      </c>
      <c r="M43" s="55" t="n">
        <f aca="false">C43*E43</f>
        <v>0.45</v>
      </c>
      <c r="N43" s="55" t="n">
        <f aca="false">C43*F43</f>
        <v>0.45</v>
      </c>
      <c r="O43" s="55" t="n">
        <f aca="false">D43*E43</f>
        <v>0.25</v>
      </c>
      <c r="P43" s="55" t="n">
        <f aca="false">D43*F43</f>
        <v>0.25</v>
      </c>
      <c r="Q43" s="55" t="n">
        <f aca="false">E43*F43</f>
        <v>0.25</v>
      </c>
      <c r="R43" s="55" t="n">
        <f aca="false">C43*C43</f>
        <v>0.81</v>
      </c>
      <c r="S43" s="55" t="n">
        <f aca="false">D43*D43</f>
        <v>0.25</v>
      </c>
      <c r="T43" s="55" t="n">
        <f aca="false">E43*E43</f>
        <v>0.25</v>
      </c>
      <c r="U43" s="55" t="n">
        <f aca="false">F43*F43</f>
        <v>0.25</v>
      </c>
      <c r="V43" s="55" t="n">
        <f aca="false">SUMPRODUCT(G43:U43,_XtX!$B$96:$P$96)</f>
        <v>48.8178048245614</v>
      </c>
      <c r="W43" s="55" t="n">
        <f aca="false">SUMPRODUCT(MMULT(G43:U43,_XtX!$B$78:$P$92),G43:U43)</f>
        <v>0.295024342105263</v>
      </c>
      <c r="X43" s="55" t="n">
        <f aca="false">V43-04_回帰ANOVA!$K$19*04_回帰ANOVA!$K$14*SQRT(1+W43)</f>
        <v>47.3344762649167</v>
      </c>
      <c r="Y43" s="55" t="n">
        <f aca="false">V43+04_回帰ANOVA!$K$19*04_回帰ANOVA!$K$14*SQRT(1+W43)</f>
        <v>50.3011333842061</v>
      </c>
      <c r="Z43" s="54" t="b">
        <f aca="false">AND(C43&gt;=01_因子設定!$L$5-0.000000001,C43&lt;=01_因子設定!$M$5+0.000000001,D43&gt;=01_因子設定!$L$6-0.000000001,D43&lt;=01_因子設定!$M$6+0.000000001,E43&gt;=01_因子設定!$L$7-0.000000001,E43&lt;=01_因子設定!$M$7+0.000000001,F43&gt;=01_因子設定!$L$8-0.000000001,F43&lt;=01_因子設定!$M$8+0.000000001,IF(01_因子設定!$B$20="Box-Behnken",C43^2+D43^2+E43^2+F43^2&lt;=2+0.000000001,TRUE()))</f>
        <v>1</v>
      </c>
      <c r="AA43" s="55" t="n">
        <f aca="false">IF(Z43,IF(01_因子設定!$B$13="最大化",X43-01_因子設定!$B$14,IF(01_因子設定!$B$13="最小化",01_因子設定!$B$15-Y43,MIN(X43-01_因子設定!$B$14,01_因子設定!$B$15-Y43))),-1E+030)</f>
        <v>0.834476264916731</v>
      </c>
      <c r="AB43" s="55" t="n">
        <f aca="false">IF(AA43&gt;=0,1,0)</f>
        <v>1</v>
      </c>
    </row>
    <row r="44" customFormat="false" ht="15" hidden="false" customHeight="false" outlineLevel="0" collapsed="false">
      <c r="A44" s="0" t="n">
        <v>1</v>
      </c>
      <c r="B44" s="0" t="n">
        <v>0.95</v>
      </c>
      <c r="C44" s="0" t="n">
        <f aca="false">B44</f>
        <v>0.95</v>
      </c>
      <c r="D44" s="57" t="n">
        <f aca="false">07_最適化!$B$7</f>
        <v>0.5</v>
      </c>
      <c r="E44" s="57" t="n">
        <f aca="false">07_最適化!$B$8</f>
        <v>0.5</v>
      </c>
      <c r="F44" s="57" t="n">
        <f aca="false">07_最適化!$B$9</f>
        <v>0.5</v>
      </c>
      <c r="G44" s="55" t="n">
        <f aca="false">1</f>
        <v>1</v>
      </c>
      <c r="H44" s="55" t="n">
        <f aca="false">C44</f>
        <v>0.95</v>
      </c>
      <c r="I44" s="57" t="n">
        <f aca="false">D44</f>
        <v>0.5</v>
      </c>
      <c r="J44" s="57" t="n">
        <f aca="false">E44</f>
        <v>0.5</v>
      </c>
      <c r="K44" s="57" t="n">
        <f aca="false">F44</f>
        <v>0.5</v>
      </c>
      <c r="L44" s="55" t="n">
        <f aca="false">C44*D44</f>
        <v>0.475</v>
      </c>
      <c r="M44" s="55" t="n">
        <f aca="false">C44*E44</f>
        <v>0.475</v>
      </c>
      <c r="N44" s="55" t="n">
        <f aca="false">C44*F44</f>
        <v>0.475</v>
      </c>
      <c r="O44" s="55" t="n">
        <f aca="false">D44*E44</f>
        <v>0.25</v>
      </c>
      <c r="P44" s="55" t="n">
        <f aca="false">D44*F44</f>
        <v>0.25</v>
      </c>
      <c r="Q44" s="55" t="n">
        <f aca="false">E44*F44</f>
        <v>0.25</v>
      </c>
      <c r="R44" s="55" t="n">
        <f aca="false">C44*C44</f>
        <v>0.9025</v>
      </c>
      <c r="S44" s="55" t="n">
        <f aca="false">D44*D44</f>
        <v>0.25</v>
      </c>
      <c r="T44" s="55" t="n">
        <f aca="false">E44*E44</f>
        <v>0.25</v>
      </c>
      <c r="U44" s="55" t="n">
        <f aca="false">F44*F44</f>
        <v>0.25</v>
      </c>
      <c r="V44" s="55" t="n">
        <f aca="false">SUMPRODUCT(G44:U44,_XtX!$B$96:$P$96)</f>
        <v>48.6942054093568</v>
      </c>
      <c r="W44" s="55" t="n">
        <f aca="false">SUMPRODUCT(MMULT(G44:U44,_XtX!$B$78:$P$92),G44:U44)</f>
        <v>0.344947633406433</v>
      </c>
      <c r="X44" s="55" t="n">
        <f aca="false">V44-04_回帰ANOVA!$K$19*04_回帰ANOVA!$K$14*SQRT(1+W44)</f>
        <v>47.1825559946116</v>
      </c>
      <c r="Y44" s="55" t="n">
        <f aca="false">V44+04_回帰ANOVA!$K$19*04_回帰ANOVA!$K$14*SQRT(1+W44)</f>
        <v>50.2058548241019</v>
      </c>
      <c r="Z44" s="54" t="b">
        <f aca="false">AND(C44&gt;=01_因子設定!$L$5-0.000000001,C44&lt;=01_因子設定!$M$5+0.000000001,D44&gt;=01_因子設定!$L$6-0.000000001,D44&lt;=01_因子設定!$M$6+0.000000001,E44&gt;=01_因子設定!$L$7-0.000000001,E44&lt;=01_因子設定!$M$7+0.000000001,F44&gt;=01_因子設定!$L$8-0.000000001,F44&lt;=01_因子設定!$M$8+0.000000001,IF(01_因子設定!$B$20="Box-Behnken",C44^2+D44^2+E44^2+F44^2&lt;=2+0.000000001,TRUE()))</f>
        <v>1</v>
      </c>
      <c r="AA44" s="55" t="n">
        <f aca="false">IF(Z44,IF(01_因子設定!$B$13="最大化",X44-01_因子設定!$B$14,IF(01_因子設定!$B$13="最小化",01_因子設定!$B$15-Y44,MIN(X44-01_因子設定!$B$14,01_因子設定!$B$15-Y44))),-1E+030)</f>
        <v>0.682555994611555</v>
      </c>
      <c r="AB44" s="55" t="n">
        <f aca="false">IF(AA44&gt;=0,1,0)</f>
        <v>1</v>
      </c>
    </row>
    <row r="45" customFormat="false" ht="15" hidden="false" customHeight="false" outlineLevel="0" collapsed="false">
      <c r="A45" s="0" t="n">
        <v>1</v>
      </c>
      <c r="B45" s="0" t="n">
        <v>1</v>
      </c>
      <c r="C45" s="0" t="n">
        <f aca="false">B45</f>
        <v>1</v>
      </c>
      <c r="D45" s="57" t="n">
        <f aca="false">07_最適化!$B$7</f>
        <v>0.5</v>
      </c>
      <c r="E45" s="57" t="n">
        <f aca="false">07_最適化!$B$8</f>
        <v>0.5</v>
      </c>
      <c r="F45" s="57" t="n">
        <f aca="false">07_最適化!$B$9</f>
        <v>0.5</v>
      </c>
      <c r="G45" s="55" t="n">
        <f aca="false">1</f>
        <v>1</v>
      </c>
      <c r="H45" s="55" t="n">
        <f aca="false">C45</f>
        <v>1</v>
      </c>
      <c r="I45" s="57" t="n">
        <f aca="false">D45</f>
        <v>0.5</v>
      </c>
      <c r="J45" s="57" t="n">
        <f aca="false">E45</f>
        <v>0.5</v>
      </c>
      <c r="K45" s="57" t="n">
        <f aca="false">F45</f>
        <v>0.5</v>
      </c>
      <c r="L45" s="55" t="n">
        <f aca="false">C45*D45</f>
        <v>0.5</v>
      </c>
      <c r="M45" s="55" t="n">
        <f aca="false">C45*E45</f>
        <v>0.5</v>
      </c>
      <c r="N45" s="55" t="n">
        <f aca="false">C45*F45</f>
        <v>0.5</v>
      </c>
      <c r="O45" s="55" t="n">
        <f aca="false">D45*E45</f>
        <v>0.25</v>
      </c>
      <c r="P45" s="55" t="n">
        <f aca="false">D45*F45</f>
        <v>0.25</v>
      </c>
      <c r="Q45" s="55" t="n">
        <f aca="false">E45*F45</f>
        <v>0.25</v>
      </c>
      <c r="R45" s="55" t="n">
        <f aca="false">C45*C45</f>
        <v>1</v>
      </c>
      <c r="S45" s="55" t="n">
        <f aca="false">D45*D45</f>
        <v>0.25</v>
      </c>
      <c r="T45" s="55" t="n">
        <f aca="false">E45*E45</f>
        <v>0.25</v>
      </c>
      <c r="U45" s="55" t="n">
        <f aca="false">F45*F45</f>
        <v>0.25</v>
      </c>
      <c r="V45" s="55" t="n">
        <f aca="false">SUMPRODUCT(G45:U45,_XtX!$B$96:$P$96)</f>
        <v>48.5576937134503</v>
      </c>
      <c r="W45" s="55" t="n">
        <f aca="false">SUMPRODUCT(MMULT(G45:U45,_XtX!$B$78:$P$92),G45:U45)</f>
        <v>0.404719480994152</v>
      </c>
      <c r="X45" s="55" t="n">
        <f aca="false">V45-04_回帰ANOVA!$K$19*04_回帰ANOVA!$K$14*SQRT(1+W45)</f>
        <v>47.0128192464717</v>
      </c>
      <c r="Y45" s="55" t="n">
        <f aca="false">V45+04_回帰ANOVA!$K$19*04_回帰ANOVA!$K$14*SQRT(1+W45)</f>
        <v>50.102568180429</v>
      </c>
      <c r="Z45" s="54" t="b">
        <f aca="false">AND(C45&gt;=01_因子設定!$L$5-0.000000001,C45&lt;=01_因子設定!$M$5+0.000000001,D45&gt;=01_因子設定!$L$6-0.000000001,D45&lt;=01_因子設定!$M$6+0.000000001,E45&gt;=01_因子設定!$L$7-0.000000001,E45&lt;=01_因子設定!$M$7+0.000000001,F45&gt;=01_因子設定!$L$8-0.000000001,F45&lt;=01_因子設定!$M$8+0.000000001,IF(01_因子設定!$B$20="Box-Behnken",C45^2+D45^2+E45^2+F45^2&lt;=2+0.000000001,TRUE()))</f>
        <v>1</v>
      </c>
      <c r="AA45" s="55" t="n">
        <f aca="false">IF(Z45,IF(01_因子設定!$B$13="最大化",X45-01_因子設定!$B$14,IF(01_因子設定!$B$13="最小化",01_因子設定!$B$15-Y45,MIN(X45-01_因子設定!$B$14,01_因子設定!$B$15-Y45))),-1E+030)</f>
        <v>0.512819246471651</v>
      </c>
      <c r="AB45" s="55" t="n">
        <f aca="false">IF(AA45&gt;=0,1,0)</f>
        <v>1</v>
      </c>
    </row>
    <row r="46" customFormat="false" ht="15" hidden="false" customHeight="false" outlineLevel="0" collapsed="false">
      <c r="A46" s="0" t="n">
        <v>2</v>
      </c>
      <c r="B46" s="0" t="n">
        <v>-1</v>
      </c>
      <c r="C46" s="57" t="n">
        <f aca="false">07_最適化!$B$6</f>
        <v>0.5</v>
      </c>
      <c r="D46" s="55" t="n">
        <f aca="false">B46</f>
        <v>-1</v>
      </c>
      <c r="E46" s="57" t="n">
        <f aca="false">07_最適化!$B$8</f>
        <v>0.5</v>
      </c>
      <c r="F46" s="57" t="n">
        <f aca="false">07_最適化!$B$9</f>
        <v>0.5</v>
      </c>
      <c r="G46" s="55" t="n">
        <f aca="false">1</f>
        <v>1</v>
      </c>
      <c r="H46" s="57" t="n">
        <f aca="false">C46</f>
        <v>0.5</v>
      </c>
      <c r="I46" s="55" t="n">
        <f aca="false">D46</f>
        <v>-1</v>
      </c>
      <c r="J46" s="57" t="n">
        <f aca="false">E46</f>
        <v>0.5</v>
      </c>
      <c r="K46" s="57" t="n">
        <f aca="false">F46</f>
        <v>0.5</v>
      </c>
      <c r="L46" s="55" t="n">
        <f aca="false">C46*D46</f>
        <v>-0.5</v>
      </c>
      <c r="M46" s="55" t="n">
        <f aca="false">C46*E46</f>
        <v>0.25</v>
      </c>
      <c r="N46" s="55" t="n">
        <f aca="false">C46*F46</f>
        <v>0.25</v>
      </c>
      <c r="O46" s="55" t="n">
        <f aca="false">D46*E46</f>
        <v>-0.5</v>
      </c>
      <c r="P46" s="55" t="n">
        <f aca="false">D46*F46</f>
        <v>-0.5</v>
      </c>
      <c r="Q46" s="55" t="n">
        <f aca="false">E46*F46</f>
        <v>0.25</v>
      </c>
      <c r="R46" s="55" t="n">
        <f aca="false">C46*C46</f>
        <v>0.25</v>
      </c>
      <c r="S46" s="55" t="n">
        <f aca="false">D46*D46</f>
        <v>1</v>
      </c>
      <c r="T46" s="55" t="n">
        <f aca="false">E46*E46</f>
        <v>0.25</v>
      </c>
      <c r="U46" s="55" t="n">
        <f aca="false">F46*F46</f>
        <v>0.25</v>
      </c>
      <c r="V46" s="55" t="n">
        <f aca="false">SUMPRODUCT(G46:U46,_XtX!$B$96:$P$96)</f>
        <v>43.3444992690058</v>
      </c>
      <c r="W46" s="55" t="n">
        <f aca="false">SUMPRODUCT(MMULT(G46:U46,_XtX!$B$78:$P$92),G46:U46)</f>
        <v>0.404719480994152</v>
      </c>
      <c r="X46" s="55" t="n">
        <f aca="false">V46-04_回帰ANOVA!$K$19*04_回帰ANOVA!$K$14*SQRT(1+W46)</f>
        <v>41.7996248020271</v>
      </c>
      <c r="Y46" s="55" t="n">
        <f aca="false">V46+04_回帰ANOVA!$K$19*04_回帰ANOVA!$K$14*SQRT(1+W46)</f>
        <v>44.8893737359845</v>
      </c>
      <c r="Z46" s="54" t="b">
        <f aca="false">AND(C46&gt;=01_因子設定!$L$5-0.000000001,C46&lt;=01_因子設定!$M$5+0.000000001,D46&gt;=01_因子設定!$L$6-0.000000001,D46&lt;=01_因子設定!$M$6+0.000000001,E46&gt;=01_因子設定!$L$7-0.000000001,E46&lt;=01_因子設定!$M$7+0.000000001,F46&gt;=01_因子設定!$L$8-0.000000001,F46&lt;=01_因子設定!$M$8+0.000000001,IF(01_因子設定!$B$20="Box-Behnken",C46^2+D46^2+E46^2+F46^2&lt;=2+0.000000001,TRUE()))</f>
        <v>1</v>
      </c>
      <c r="AA46" s="55" t="n">
        <f aca="false">IF(Z46,IF(01_因子設定!$B$13="最大化",X46-01_因子設定!$B$14,IF(01_因子設定!$B$13="最小化",01_因子設定!$B$15-Y46,MIN(X46-01_因子設定!$B$14,01_因子設定!$B$15-Y46))),-1E+030)</f>
        <v>-4.70037519797286</v>
      </c>
      <c r="AB46" s="55" t="n">
        <f aca="false">IF(AA46&gt;=0,1,0)</f>
        <v>0</v>
      </c>
    </row>
    <row r="47" customFormat="false" ht="15" hidden="false" customHeight="false" outlineLevel="0" collapsed="false">
      <c r="A47" s="0" t="n">
        <v>2</v>
      </c>
      <c r="B47" s="0" t="n">
        <v>-0.95</v>
      </c>
      <c r="C47" s="57" t="n">
        <f aca="false">07_最適化!$B$6</f>
        <v>0.5</v>
      </c>
      <c r="D47" s="55" t="n">
        <f aca="false">B47</f>
        <v>-0.95</v>
      </c>
      <c r="E47" s="57" t="n">
        <f aca="false">07_最適化!$B$8</f>
        <v>0.5</v>
      </c>
      <c r="F47" s="57" t="n">
        <f aca="false">07_最適化!$B$9</f>
        <v>0.5</v>
      </c>
      <c r="G47" s="55" t="n">
        <f aca="false">1</f>
        <v>1</v>
      </c>
      <c r="H47" s="57" t="n">
        <f aca="false">C47</f>
        <v>0.5</v>
      </c>
      <c r="I47" s="55" t="n">
        <f aca="false">D47</f>
        <v>-0.95</v>
      </c>
      <c r="J47" s="57" t="n">
        <f aca="false">E47</f>
        <v>0.5</v>
      </c>
      <c r="K47" s="57" t="n">
        <f aca="false">F47</f>
        <v>0.5</v>
      </c>
      <c r="L47" s="55" t="n">
        <f aca="false">C47*D47</f>
        <v>-0.475</v>
      </c>
      <c r="M47" s="55" t="n">
        <f aca="false">C47*E47</f>
        <v>0.25</v>
      </c>
      <c r="N47" s="55" t="n">
        <f aca="false">C47*F47</f>
        <v>0.25</v>
      </c>
      <c r="O47" s="55" t="n">
        <f aca="false">D47*E47</f>
        <v>-0.475</v>
      </c>
      <c r="P47" s="55" t="n">
        <f aca="false">D47*F47</f>
        <v>-0.475</v>
      </c>
      <c r="Q47" s="55" t="n">
        <f aca="false">E47*F47</f>
        <v>0.25</v>
      </c>
      <c r="R47" s="55" t="n">
        <f aca="false">C47*C47</f>
        <v>0.25</v>
      </c>
      <c r="S47" s="55" t="n">
        <f aca="false">D47*D47</f>
        <v>0.9025</v>
      </c>
      <c r="T47" s="55" t="n">
        <f aca="false">E47*E47</f>
        <v>0.25</v>
      </c>
      <c r="U47" s="55" t="n">
        <f aca="false">F47*F47</f>
        <v>0.25</v>
      </c>
      <c r="V47" s="55" t="n">
        <f aca="false">SUMPRODUCT(G47:U47,_XtX!$B$96:$P$96)</f>
        <v>43.7316359649122</v>
      </c>
      <c r="W47" s="55" t="n">
        <f aca="false">SUMPRODUCT(MMULT(G47:U47,_XtX!$B$78:$P$92),G47:U47)</f>
        <v>0.344947633406433</v>
      </c>
      <c r="X47" s="55" t="n">
        <f aca="false">V47-04_回帰ANOVA!$K$19*04_回帰ANOVA!$K$14*SQRT(1+W47)</f>
        <v>42.2199865501671</v>
      </c>
      <c r="Y47" s="55" t="n">
        <f aca="false">V47+04_回帰ANOVA!$K$19*04_回帰ANOVA!$K$14*SQRT(1+W47)</f>
        <v>45.2432853796574</v>
      </c>
      <c r="Z47" s="54" t="b">
        <f aca="false">AND(C47&gt;=01_因子設定!$L$5-0.000000001,C47&lt;=01_因子設定!$M$5+0.000000001,D47&gt;=01_因子設定!$L$6-0.000000001,D47&lt;=01_因子設定!$M$6+0.000000001,E47&gt;=01_因子設定!$L$7-0.000000001,E47&lt;=01_因子設定!$M$7+0.000000001,F47&gt;=01_因子設定!$L$8-0.000000001,F47&lt;=01_因子設定!$M$8+0.000000001,IF(01_因子設定!$B$20="Box-Behnken",C47^2+D47^2+E47^2+F47^2&lt;=2+0.000000001,TRUE()))</f>
        <v>1</v>
      </c>
      <c r="AA47" s="55" t="n">
        <f aca="false">IF(Z47,IF(01_因子設定!$B$13="最大化",X47-01_因子設定!$B$14,IF(01_因子設定!$B$13="最小化",01_因子設定!$B$15-Y47,MIN(X47-01_因子設定!$B$14,01_因子設定!$B$15-Y47))),-1E+030)</f>
        <v>-4.28001344983295</v>
      </c>
      <c r="AB47" s="55" t="n">
        <f aca="false">IF(AA47&gt;=0,1,0)</f>
        <v>0</v>
      </c>
    </row>
    <row r="48" customFormat="false" ht="15" hidden="false" customHeight="false" outlineLevel="0" collapsed="false">
      <c r="A48" s="0" t="n">
        <v>2</v>
      </c>
      <c r="B48" s="0" t="n">
        <v>-0.9</v>
      </c>
      <c r="C48" s="57" t="n">
        <f aca="false">07_最適化!$B$6</f>
        <v>0.5</v>
      </c>
      <c r="D48" s="55" t="n">
        <f aca="false">B48</f>
        <v>-0.9</v>
      </c>
      <c r="E48" s="57" t="n">
        <f aca="false">07_最適化!$B$8</f>
        <v>0.5</v>
      </c>
      <c r="F48" s="57" t="n">
        <f aca="false">07_最適化!$B$9</f>
        <v>0.5</v>
      </c>
      <c r="G48" s="55" t="n">
        <f aca="false">1</f>
        <v>1</v>
      </c>
      <c r="H48" s="57" t="n">
        <f aca="false">C48</f>
        <v>0.5</v>
      </c>
      <c r="I48" s="55" t="n">
        <f aca="false">D48</f>
        <v>-0.9</v>
      </c>
      <c r="J48" s="57" t="n">
        <f aca="false">E48</f>
        <v>0.5</v>
      </c>
      <c r="K48" s="57" t="n">
        <f aca="false">F48</f>
        <v>0.5</v>
      </c>
      <c r="L48" s="55" t="n">
        <f aca="false">C48*D48</f>
        <v>-0.45</v>
      </c>
      <c r="M48" s="55" t="n">
        <f aca="false">C48*E48</f>
        <v>0.25</v>
      </c>
      <c r="N48" s="55" t="n">
        <f aca="false">C48*F48</f>
        <v>0.25</v>
      </c>
      <c r="O48" s="55" t="n">
        <f aca="false">D48*E48</f>
        <v>-0.45</v>
      </c>
      <c r="P48" s="55" t="n">
        <f aca="false">D48*F48</f>
        <v>-0.45</v>
      </c>
      <c r="Q48" s="55" t="n">
        <f aca="false">E48*F48</f>
        <v>0.25</v>
      </c>
      <c r="R48" s="55" t="n">
        <f aca="false">C48*C48</f>
        <v>0.25</v>
      </c>
      <c r="S48" s="55" t="n">
        <f aca="false">D48*D48</f>
        <v>0.81</v>
      </c>
      <c r="T48" s="55" t="n">
        <f aca="false">E48*E48</f>
        <v>0.25</v>
      </c>
      <c r="U48" s="55" t="n">
        <f aca="false">F48*F48</f>
        <v>0.25</v>
      </c>
      <c r="V48" s="55" t="n">
        <f aca="false">SUMPRODUCT(G48:U48,_XtX!$B$96:$P$96)</f>
        <v>44.1058603801169</v>
      </c>
      <c r="W48" s="55" t="n">
        <f aca="false">SUMPRODUCT(MMULT(G48:U48,_XtX!$B$78:$P$92),G48:U48)</f>
        <v>0.295024342105263</v>
      </c>
      <c r="X48" s="55" t="n">
        <f aca="false">V48-04_回帰ANOVA!$K$19*04_回帰ANOVA!$K$14*SQRT(1+W48)</f>
        <v>42.6225318204722</v>
      </c>
      <c r="Y48" s="55" t="n">
        <f aca="false">V48+04_回帰ANOVA!$K$19*04_回帰ANOVA!$K$14*SQRT(1+W48)</f>
        <v>45.5891889397616</v>
      </c>
      <c r="Z48" s="54" t="b">
        <f aca="false">AND(C48&gt;=01_因子設定!$L$5-0.000000001,C48&lt;=01_因子設定!$M$5+0.000000001,D48&gt;=01_因子設定!$L$6-0.000000001,D48&lt;=01_因子設定!$M$6+0.000000001,E48&gt;=01_因子設定!$L$7-0.000000001,E48&lt;=01_因子設定!$M$7+0.000000001,F48&gt;=01_因子設定!$L$8-0.000000001,F48&lt;=01_因子設定!$M$8+0.000000001,IF(01_因子設定!$B$20="Box-Behnken",C48^2+D48^2+E48^2+F48^2&lt;=2+0.000000001,TRUE()))</f>
        <v>1</v>
      </c>
      <c r="AA48" s="55" t="n">
        <f aca="false">IF(Z48,IF(01_因子設定!$B$13="最大化",X48-01_因子設定!$B$14,IF(01_因子設定!$B$13="最小化",01_因子設定!$B$15-Y48,MIN(X48-01_因子設定!$B$14,01_因子設定!$B$15-Y48))),-1E+030)</f>
        <v>-3.87746817952777</v>
      </c>
      <c r="AB48" s="55" t="n">
        <f aca="false">IF(AA48&gt;=0,1,0)</f>
        <v>0</v>
      </c>
    </row>
    <row r="49" customFormat="false" ht="15" hidden="false" customHeight="false" outlineLevel="0" collapsed="false">
      <c r="A49" s="0" t="n">
        <v>2</v>
      </c>
      <c r="B49" s="0" t="n">
        <v>-0.85</v>
      </c>
      <c r="C49" s="57" t="n">
        <f aca="false">07_最適化!$B$6</f>
        <v>0.5</v>
      </c>
      <c r="D49" s="55" t="n">
        <f aca="false">B49</f>
        <v>-0.85</v>
      </c>
      <c r="E49" s="57" t="n">
        <f aca="false">07_最適化!$B$8</f>
        <v>0.5</v>
      </c>
      <c r="F49" s="57" t="n">
        <f aca="false">07_最適化!$B$9</f>
        <v>0.5</v>
      </c>
      <c r="G49" s="55" t="n">
        <f aca="false">1</f>
        <v>1</v>
      </c>
      <c r="H49" s="57" t="n">
        <f aca="false">C49</f>
        <v>0.5</v>
      </c>
      <c r="I49" s="55" t="n">
        <f aca="false">D49</f>
        <v>-0.85</v>
      </c>
      <c r="J49" s="57" t="n">
        <f aca="false">E49</f>
        <v>0.5</v>
      </c>
      <c r="K49" s="57" t="n">
        <f aca="false">F49</f>
        <v>0.5</v>
      </c>
      <c r="L49" s="55" t="n">
        <f aca="false">C49*D49</f>
        <v>-0.425</v>
      </c>
      <c r="M49" s="55" t="n">
        <f aca="false">C49*E49</f>
        <v>0.25</v>
      </c>
      <c r="N49" s="55" t="n">
        <f aca="false">C49*F49</f>
        <v>0.25</v>
      </c>
      <c r="O49" s="55" t="n">
        <f aca="false">D49*E49</f>
        <v>-0.425</v>
      </c>
      <c r="P49" s="55" t="n">
        <f aca="false">D49*F49</f>
        <v>-0.425</v>
      </c>
      <c r="Q49" s="55" t="n">
        <f aca="false">E49*F49</f>
        <v>0.25</v>
      </c>
      <c r="R49" s="55" t="n">
        <f aca="false">C49*C49</f>
        <v>0.25</v>
      </c>
      <c r="S49" s="55" t="n">
        <f aca="false">D49*D49</f>
        <v>0.7225</v>
      </c>
      <c r="T49" s="55" t="n">
        <f aca="false">E49*E49</f>
        <v>0.25</v>
      </c>
      <c r="U49" s="55" t="n">
        <f aca="false">F49*F49</f>
        <v>0.25</v>
      </c>
      <c r="V49" s="55" t="n">
        <f aca="false">SUMPRODUCT(G49:U49,_XtX!$B$96:$P$96)</f>
        <v>44.4671725146199</v>
      </c>
      <c r="W49" s="55" t="n">
        <f aca="false">SUMPRODUCT(MMULT(G49:U49,_XtX!$B$78:$P$92),G49:U49)</f>
        <v>0.253878554459064</v>
      </c>
      <c r="X49" s="55" t="n">
        <f aca="false">V49-04_回帰ANOVA!$K$19*04_回帰ANOVA!$K$14*SQRT(1+W49)</f>
        <v>43.0075984759695</v>
      </c>
      <c r="Y49" s="55" t="n">
        <f aca="false">V49+04_回帰ANOVA!$K$19*04_回帰ANOVA!$K$14*SQRT(1+W49)</f>
        <v>45.9267465532702</v>
      </c>
      <c r="Z49" s="54" t="b">
        <f aca="false">AND(C49&gt;=01_因子設定!$L$5-0.000000001,C49&lt;=01_因子設定!$M$5+0.000000001,D49&gt;=01_因子設定!$L$6-0.000000001,D49&lt;=01_因子設定!$M$6+0.000000001,E49&gt;=01_因子設定!$L$7-0.000000001,E49&lt;=01_因子設定!$M$7+0.000000001,F49&gt;=01_因子設定!$L$8-0.000000001,F49&lt;=01_因子設定!$M$8+0.000000001,IF(01_因子設定!$B$20="Box-Behnken",C49^2+D49^2+E49^2+F49^2&lt;=2+0.000000001,TRUE()))</f>
        <v>1</v>
      </c>
      <c r="AA49" s="55" t="n">
        <f aca="false">IF(Z49,IF(01_因子設定!$B$13="最大化",X49-01_因子設定!$B$14,IF(01_因子設定!$B$13="最小化",01_因子設定!$B$15-Y49,MIN(X49-01_因子設定!$B$14,01_因子設定!$B$15-Y49))),-1E+030)</f>
        <v>-3.49240152403052</v>
      </c>
      <c r="AB49" s="55" t="n">
        <f aca="false">IF(AA49&gt;=0,1,0)</f>
        <v>0</v>
      </c>
    </row>
    <row r="50" customFormat="false" ht="15" hidden="false" customHeight="false" outlineLevel="0" collapsed="false">
      <c r="A50" s="0" t="n">
        <v>2</v>
      </c>
      <c r="B50" s="0" t="n">
        <v>-0.8</v>
      </c>
      <c r="C50" s="57" t="n">
        <f aca="false">07_最適化!$B$6</f>
        <v>0.5</v>
      </c>
      <c r="D50" s="55" t="n">
        <f aca="false">B50</f>
        <v>-0.8</v>
      </c>
      <c r="E50" s="57" t="n">
        <f aca="false">07_最適化!$B$8</f>
        <v>0.5</v>
      </c>
      <c r="F50" s="57" t="n">
        <f aca="false">07_最適化!$B$9</f>
        <v>0.5</v>
      </c>
      <c r="G50" s="55" t="n">
        <f aca="false">1</f>
        <v>1</v>
      </c>
      <c r="H50" s="57" t="n">
        <f aca="false">C50</f>
        <v>0.5</v>
      </c>
      <c r="I50" s="55" t="n">
        <f aca="false">D50</f>
        <v>-0.8</v>
      </c>
      <c r="J50" s="57" t="n">
        <f aca="false">E50</f>
        <v>0.5</v>
      </c>
      <c r="K50" s="57" t="n">
        <f aca="false">F50</f>
        <v>0.5</v>
      </c>
      <c r="L50" s="55" t="n">
        <f aca="false">C50*D50</f>
        <v>-0.4</v>
      </c>
      <c r="M50" s="55" t="n">
        <f aca="false">C50*E50</f>
        <v>0.25</v>
      </c>
      <c r="N50" s="55" t="n">
        <f aca="false">C50*F50</f>
        <v>0.25</v>
      </c>
      <c r="O50" s="55" t="n">
        <f aca="false">D50*E50</f>
        <v>-0.4</v>
      </c>
      <c r="P50" s="55" t="n">
        <f aca="false">D50*F50</f>
        <v>-0.4</v>
      </c>
      <c r="Q50" s="55" t="n">
        <f aca="false">E50*F50</f>
        <v>0.25</v>
      </c>
      <c r="R50" s="55" t="n">
        <f aca="false">C50*C50</f>
        <v>0.25</v>
      </c>
      <c r="S50" s="55" t="n">
        <f aca="false">D50*D50</f>
        <v>0.64</v>
      </c>
      <c r="T50" s="55" t="n">
        <f aca="false">E50*E50</f>
        <v>0.25</v>
      </c>
      <c r="U50" s="55" t="n">
        <f aca="false">F50*F50</f>
        <v>0.25</v>
      </c>
      <c r="V50" s="55" t="n">
        <f aca="false">SUMPRODUCT(G50:U50,_XtX!$B$96:$P$96)</f>
        <v>44.815572368421</v>
      </c>
      <c r="W50" s="55" t="n">
        <f aca="false">SUMPRODUCT(MMULT(G50:U50,_XtX!$B$78:$P$92),G50:U50)</f>
        <v>0.220497112573099</v>
      </c>
      <c r="X50" s="55" t="n">
        <f aca="false">V50-04_回帰ANOVA!$K$19*04_回帰ANOVA!$K$14*SQRT(1+W50)</f>
        <v>43.3755581811063</v>
      </c>
      <c r="Y50" s="55" t="n">
        <f aca="false">V50+04_回帰ANOVA!$K$19*04_回帰ANOVA!$K$14*SQRT(1+W50)</f>
        <v>46.2555865557358</v>
      </c>
      <c r="Z50" s="54" t="b">
        <f aca="false">AND(C50&gt;=01_因子設定!$L$5-0.000000001,C50&lt;=01_因子設定!$M$5+0.000000001,D50&gt;=01_因子設定!$L$6-0.000000001,D50&lt;=01_因子設定!$M$6+0.000000001,E50&gt;=01_因子設定!$L$7-0.000000001,E50&lt;=01_因子設定!$M$7+0.000000001,F50&gt;=01_因子設定!$L$8-0.000000001,F50&lt;=01_因子設定!$M$8+0.000000001,IF(01_因子設定!$B$20="Box-Behnken",C50^2+D50^2+E50^2+F50^2&lt;=2+0.000000001,TRUE()))</f>
        <v>1</v>
      </c>
      <c r="AA50" s="55" t="n">
        <f aca="false">IF(Z50,IF(01_因子設定!$B$13="最大化",X50-01_因子設定!$B$14,IF(01_因子設定!$B$13="最小化",01_因子設定!$B$15-Y50,MIN(X50-01_因子設定!$B$14,01_因子設定!$B$15-Y50))),-1E+030)</f>
        <v>-3.12444181889374</v>
      </c>
      <c r="AB50" s="55" t="n">
        <f aca="false">IF(AA50&gt;=0,1,0)</f>
        <v>0</v>
      </c>
    </row>
    <row r="51" customFormat="false" ht="15" hidden="false" customHeight="false" outlineLevel="0" collapsed="false">
      <c r="A51" s="0" t="n">
        <v>2</v>
      </c>
      <c r="B51" s="0" t="n">
        <v>-0.75</v>
      </c>
      <c r="C51" s="57" t="n">
        <f aca="false">07_最適化!$B$6</f>
        <v>0.5</v>
      </c>
      <c r="D51" s="55" t="n">
        <f aca="false">B51</f>
        <v>-0.75</v>
      </c>
      <c r="E51" s="57" t="n">
        <f aca="false">07_最適化!$B$8</f>
        <v>0.5</v>
      </c>
      <c r="F51" s="57" t="n">
        <f aca="false">07_最適化!$B$9</f>
        <v>0.5</v>
      </c>
      <c r="G51" s="55" t="n">
        <f aca="false">1</f>
        <v>1</v>
      </c>
      <c r="H51" s="57" t="n">
        <f aca="false">C51</f>
        <v>0.5</v>
      </c>
      <c r="I51" s="55" t="n">
        <f aca="false">D51</f>
        <v>-0.75</v>
      </c>
      <c r="J51" s="57" t="n">
        <f aca="false">E51</f>
        <v>0.5</v>
      </c>
      <c r="K51" s="57" t="n">
        <f aca="false">F51</f>
        <v>0.5</v>
      </c>
      <c r="L51" s="55" t="n">
        <f aca="false">C51*D51</f>
        <v>-0.375</v>
      </c>
      <c r="M51" s="55" t="n">
        <f aca="false">C51*E51</f>
        <v>0.25</v>
      </c>
      <c r="N51" s="55" t="n">
        <f aca="false">C51*F51</f>
        <v>0.25</v>
      </c>
      <c r="O51" s="55" t="n">
        <f aca="false">D51*E51</f>
        <v>-0.375</v>
      </c>
      <c r="P51" s="55" t="n">
        <f aca="false">D51*F51</f>
        <v>-0.375</v>
      </c>
      <c r="Q51" s="55" t="n">
        <f aca="false">E51*F51</f>
        <v>0.25</v>
      </c>
      <c r="R51" s="55" t="n">
        <f aca="false">C51*C51</f>
        <v>0.25</v>
      </c>
      <c r="S51" s="55" t="n">
        <f aca="false">D51*D51</f>
        <v>0.5625</v>
      </c>
      <c r="T51" s="55" t="n">
        <f aca="false">E51*E51</f>
        <v>0.25</v>
      </c>
      <c r="U51" s="55" t="n">
        <f aca="false">F51*F51</f>
        <v>0.25</v>
      </c>
      <c r="V51" s="55" t="n">
        <f aca="false">SUMPRODUCT(G51:U51,_XtX!$B$96:$P$96)</f>
        <v>45.1510599415204</v>
      </c>
      <c r="W51" s="55" t="n">
        <f aca="false">SUMPRODUCT(MMULT(G51:U51,_XtX!$B$78:$P$92),G51:U51)</f>
        <v>0.193924753289474</v>
      </c>
      <c r="X51" s="55" t="n">
        <f aca="false">V51-04_回帰ANOVA!$K$19*04_回帰ANOVA!$K$14*SQRT(1+W51)</f>
        <v>43.7268078335288</v>
      </c>
      <c r="Y51" s="55" t="n">
        <f aca="false">V51+04_回帰ANOVA!$K$19*04_回帰ANOVA!$K$14*SQRT(1+W51)</f>
        <v>46.575312049512</v>
      </c>
      <c r="Z51" s="54" t="b">
        <f aca="false">AND(C51&gt;=01_因子設定!$L$5-0.000000001,C51&lt;=01_因子設定!$M$5+0.000000001,D51&gt;=01_因子設定!$L$6-0.000000001,D51&lt;=01_因子設定!$M$6+0.000000001,E51&gt;=01_因子設定!$L$7-0.000000001,E51&lt;=01_因子設定!$M$7+0.000000001,F51&gt;=01_因子設定!$L$8-0.000000001,F51&lt;=01_因子設定!$M$8+0.000000001,IF(01_因子設定!$B$20="Box-Behnken",C51^2+D51^2+E51^2+F51^2&lt;=2+0.000000001,TRUE()))</f>
        <v>1</v>
      </c>
      <c r="AA51" s="55" t="n">
        <f aca="false">IF(Z51,IF(01_因子設定!$B$13="最大化",X51-01_因子設定!$B$14,IF(01_因子設定!$B$13="最小化",01_因子設定!$B$15-Y51,MIN(X51-01_因子設定!$B$14,01_因子設定!$B$15-Y51))),-1E+030)</f>
        <v>-2.77319216647117</v>
      </c>
      <c r="AB51" s="55" t="n">
        <f aca="false">IF(AA51&gt;=0,1,0)</f>
        <v>0</v>
      </c>
    </row>
    <row r="52" customFormat="false" ht="15" hidden="false" customHeight="false" outlineLevel="0" collapsed="false">
      <c r="A52" s="0" t="n">
        <v>2</v>
      </c>
      <c r="B52" s="0" t="n">
        <v>-0.7</v>
      </c>
      <c r="C52" s="57" t="n">
        <f aca="false">07_最適化!$B$6</f>
        <v>0.5</v>
      </c>
      <c r="D52" s="55" t="n">
        <f aca="false">B52</f>
        <v>-0.7</v>
      </c>
      <c r="E52" s="57" t="n">
        <f aca="false">07_最適化!$B$8</f>
        <v>0.5</v>
      </c>
      <c r="F52" s="57" t="n">
        <f aca="false">07_最適化!$B$9</f>
        <v>0.5</v>
      </c>
      <c r="G52" s="55" t="n">
        <f aca="false">1</f>
        <v>1</v>
      </c>
      <c r="H52" s="57" t="n">
        <f aca="false">C52</f>
        <v>0.5</v>
      </c>
      <c r="I52" s="55" t="n">
        <f aca="false">D52</f>
        <v>-0.7</v>
      </c>
      <c r="J52" s="57" t="n">
        <f aca="false">E52</f>
        <v>0.5</v>
      </c>
      <c r="K52" s="57" t="n">
        <f aca="false">F52</f>
        <v>0.5</v>
      </c>
      <c r="L52" s="55" t="n">
        <f aca="false">C52*D52</f>
        <v>-0.35</v>
      </c>
      <c r="M52" s="55" t="n">
        <f aca="false">C52*E52</f>
        <v>0.25</v>
      </c>
      <c r="N52" s="55" t="n">
        <f aca="false">C52*F52</f>
        <v>0.25</v>
      </c>
      <c r="O52" s="55" t="n">
        <f aca="false">D52*E52</f>
        <v>-0.35</v>
      </c>
      <c r="P52" s="55" t="n">
        <f aca="false">D52*F52</f>
        <v>-0.35</v>
      </c>
      <c r="Q52" s="55" t="n">
        <f aca="false">E52*F52</f>
        <v>0.25</v>
      </c>
      <c r="R52" s="55" t="n">
        <f aca="false">C52*C52</f>
        <v>0.25</v>
      </c>
      <c r="S52" s="55" t="n">
        <f aca="false">D52*D52</f>
        <v>0.49</v>
      </c>
      <c r="T52" s="55" t="n">
        <f aca="false">E52*E52</f>
        <v>0.25</v>
      </c>
      <c r="U52" s="55" t="n">
        <f aca="false">F52*F52</f>
        <v>0.25</v>
      </c>
      <c r="V52" s="55" t="n">
        <f aca="false">SUMPRODUCT(G52:U52,_XtX!$B$96:$P$96)</f>
        <v>45.4736352339181</v>
      </c>
      <c r="W52" s="55" t="n">
        <f aca="false">SUMPRODUCT(MMULT(G52:U52,_XtX!$B$78:$P$92),G52:U52)</f>
        <v>0.173264108187135</v>
      </c>
      <c r="X52" s="55" t="n">
        <f aca="false">V52-04_回帰ANOVA!$K$19*04_回帰ANOVA!$K$14*SQRT(1+W52)</f>
        <v>44.0617601134673</v>
      </c>
      <c r="Y52" s="55" t="n">
        <f aca="false">V52+04_回帰ANOVA!$K$19*04_回帰ANOVA!$K$14*SQRT(1+W52)</f>
        <v>46.8855103543689</v>
      </c>
      <c r="Z52" s="54" t="b">
        <f aca="false">AND(C52&gt;=01_因子設定!$L$5-0.000000001,C52&lt;=01_因子設定!$M$5+0.000000001,D52&gt;=01_因子設定!$L$6-0.000000001,D52&lt;=01_因子設定!$M$6+0.000000001,E52&gt;=01_因子設定!$L$7-0.000000001,E52&lt;=01_因子設定!$M$7+0.000000001,F52&gt;=01_因子設定!$L$8-0.000000001,F52&lt;=01_因子設定!$M$8+0.000000001,IF(01_因子設定!$B$20="Box-Behnken",C52^2+D52^2+E52^2+F52^2&lt;=2+0.000000001,TRUE()))</f>
        <v>1</v>
      </c>
      <c r="AA52" s="55" t="n">
        <f aca="false">IF(Z52,IF(01_因子設定!$B$13="最大化",X52-01_因子設定!$B$14,IF(01_因子設定!$B$13="最小化",01_因子設定!$B$15-Y52,MIN(X52-01_因子設定!$B$14,01_因子設定!$B$15-Y52))),-1E+030)</f>
        <v>-2.43823988653269</v>
      </c>
      <c r="AB52" s="55" t="n">
        <f aca="false">IF(AA52&gt;=0,1,0)</f>
        <v>0</v>
      </c>
    </row>
    <row r="53" customFormat="false" ht="15" hidden="false" customHeight="false" outlineLevel="0" collapsed="false">
      <c r="A53" s="0" t="n">
        <v>2</v>
      </c>
      <c r="B53" s="0" t="n">
        <v>-0.65</v>
      </c>
      <c r="C53" s="57" t="n">
        <f aca="false">07_最適化!$B$6</f>
        <v>0.5</v>
      </c>
      <c r="D53" s="55" t="n">
        <f aca="false">B53</f>
        <v>-0.65</v>
      </c>
      <c r="E53" s="57" t="n">
        <f aca="false">07_最適化!$B$8</f>
        <v>0.5</v>
      </c>
      <c r="F53" s="57" t="n">
        <f aca="false">07_最適化!$B$9</f>
        <v>0.5</v>
      </c>
      <c r="G53" s="55" t="n">
        <f aca="false">1</f>
        <v>1</v>
      </c>
      <c r="H53" s="57" t="n">
        <f aca="false">C53</f>
        <v>0.5</v>
      </c>
      <c r="I53" s="55" t="n">
        <f aca="false">D53</f>
        <v>-0.65</v>
      </c>
      <c r="J53" s="57" t="n">
        <f aca="false">E53</f>
        <v>0.5</v>
      </c>
      <c r="K53" s="57" t="n">
        <f aca="false">F53</f>
        <v>0.5</v>
      </c>
      <c r="L53" s="55" t="n">
        <f aca="false">C53*D53</f>
        <v>-0.325</v>
      </c>
      <c r="M53" s="55" t="n">
        <f aca="false">C53*E53</f>
        <v>0.25</v>
      </c>
      <c r="N53" s="55" t="n">
        <f aca="false">C53*F53</f>
        <v>0.25</v>
      </c>
      <c r="O53" s="55" t="n">
        <f aca="false">D53*E53</f>
        <v>-0.325</v>
      </c>
      <c r="P53" s="55" t="n">
        <f aca="false">D53*F53</f>
        <v>-0.325</v>
      </c>
      <c r="Q53" s="55" t="n">
        <f aca="false">E53*F53</f>
        <v>0.25</v>
      </c>
      <c r="R53" s="55" t="n">
        <f aca="false">C53*C53</f>
        <v>0.25</v>
      </c>
      <c r="S53" s="55" t="n">
        <f aca="false">D53*D53</f>
        <v>0.4225</v>
      </c>
      <c r="T53" s="55" t="n">
        <f aca="false">E53*E53</f>
        <v>0.25</v>
      </c>
      <c r="U53" s="55" t="n">
        <f aca="false">F53*F53</f>
        <v>0.25</v>
      </c>
      <c r="V53" s="55" t="n">
        <f aca="false">SUMPRODUCT(G53:U53,_XtX!$B$96:$P$96)</f>
        <v>45.783298245614</v>
      </c>
      <c r="W53" s="55" t="n">
        <f aca="false">SUMPRODUCT(MMULT(G53:U53,_XtX!$B$78:$P$92),G53:U53)</f>
        <v>0.157675703581871</v>
      </c>
      <c r="X53" s="55" t="n">
        <f aca="false">V53-04_回帰ANOVA!$K$19*04_回帰ANOVA!$K$14*SQRT(1+W53)</f>
        <v>44.3808338258946</v>
      </c>
      <c r="Y53" s="55" t="n">
        <f aca="false">V53+04_回帰ANOVA!$K$19*04_回帰ANOVA!$K$14*SQRT(1+W53)</f>
        <v>47.1857626653334</v>
      </c>
      <c r="Z53" s="54" t="b">
        <f aca="false">AND(C53&gt;=01_因子設定!$L$5-0.000000001,C53&lt;=01_因子設定!$M$5+0.000000001,D53&gt;=01_因子設定!$L$6-0.000000001,D53&lt;=01_因子設定!$M$6+0.000000001,E53&gt;=01_因子設定!$L$7-0.000000001,E53&lt;=01_因子設定!$M$7+0.000000001,F53&gt;=01_因子設定!$L$8-0.000000001,F53&lt;=01_因子設定!$M$8+0.000000001,IF(01_因子設定!$B$20="Box-Behnken",C53^2+D53^2+E53^2+F53^2&lt;=2+0.000000001,TRUE()))</f>
        <v>1</v>
      </c>
      <c r="AA53" s="55" t="n">
        <f aca="false">IF(Z53,IF(01_因子設定!$B$13="最大化",X53-01_因子設定!$B$14,IF(01_因子設定!$B$13="最小化",01_因子設定!$B$15-Y53,MIN(X53-01_因子設定!$B$14,01_因子設定!$B$15-Y53))),-1E+030)</f>
        <v>-2.11916617410542</v>
      </c>
      <c r="AB53" s="55" t="n">
        <f aca="false">IF(AA53&gt;=0,1,0)</f>
        <v>0</v>
      </c>
    </row>
    <row r="54" customFormat="false" ht="15" hidden="false" customHeight="false" outlineLevel="0" collapsed="false">
      <c r="A54" s="0" t="n">
        <v>2</v>
      </c>
      <c r="B54" s="0" t="n">
        <v>-0.6</v>
      </c>
      <c r="C54" s="57" t="n">
        <f aca="false">07_最適化!$B$6</f>
        <v>0.5</v>
      </c>
      <c r="D54" s="55" t="n">
        <f aca="false">B54</f>
        <v>-0.6</v>
      </c>
      <c r="E54" s="57" t="n">
        <f aca="false">07_最適化!$B$8</f>
        <v>0.5</v>
      </c>
      <c r="F54" s="57" t="n">
        <f aca="false">07_最適化!$B$9</f>
        <v>0.5</v>
      </c>
      <c r="G54" s="55" t="n">
        <f aca="false">1</f>
        <v>1</v>
      </c>
      <c r="H54" s="57" t="n">
        <f aca="false">C54</f>
        <v>0.5</v>
      </c>
      <c r="I54" s="55" t="n">
        <f aca="false">D54</f>
        <v>-0.6</v>
      </c>
      <c r="J54" s="57" t="n">
        <f aca="false">E54</f>
        <v>0.5</v>
      </c>
      <c r="K54" s="57" t="n">
        <f aca="false">F54</f>
        <v>0.5</v>
      </c>
      <c r="L54" s="55" t="n">
        <f aca="false">C54*D54</f>
        <v>-0.3</v>
      </c>
      <c r="M54" s="55" t="n">
        <f aca="false">C54*E54</f>
        <v>0.25</v>
      </c>
      <c r="N54" s="55" t="n">
        <f aca="false">C54*F54</f>
        <v>0.25</v>
      </c>
      <c r="O54" s="55" t="n">
        <f aca="false">D54*E54</f>
        <v>-0.3</v>
      </c>
      <c r="P54" s="55" t="n">
        <f aca="false">D54*F54</f>
        <v>-0.3</v>
      </c>
      <c r="Q54" s="55" t="n">
        <f aca="false">E54*F54</f>
        <v>0.25</v>
      </c>
      <c r="R54" s="55" t="n">
        <f aca="false">C54*C54</f>
        <v>0.25</v>
      </c>
      <c r="S54" s="55" t="n">
        <f aca="false">D54*D54</f>
        <v>0.36</v>
      </c>
      <c r="T54" s="55" t="n">
        <f aca="false">E54*E54</f>
        <v>0.25</v>
      </c>
      <c r="U54" s="55" t="n">
        <f aca="false">F54*F54</f>
        <v>0.25</v>
      </c>
      <c r="V54" s="55" t="n">
        <f aca="false">SUMPRODUCT(G54:U54,_XtX!$B$96:$P$96)</f>
        <v>46.0800489766082</v>
      </c>
      <c r="W54" s="55" t="n">
        <f aca="false">SUMPRODUCT(MMULT(G54:U54,_XtX!$B$78:$P$92),G54:U54)</f>
        <v>0.146377960526316</v>
      </c>
      <c r="X54" s="55" t="n">
        <f aca="false">V54-04_回帰ANOVA!$K$19*04_回帰ANOVA!$K$14*SQRT(1+W54)</f>
        <v>44.6844446513913</v>
      </c>
      <c r="Y54" s="55" t="n">
        <f aca="false">V54+04_回帰ANOVA!$K$19*04_回帰ANOVA!$K$14*SQRT(1+W54)</f>
        <v>47.475653301825</v>
      </c>
      <c r="Z54" s="54" t="b">
        <f aca="false">AND(C54&gt;=01_因子設定!$L$5-0.000000001,C54&lt;=01_因子設定!$M$5+0.000000001,D54&gt;=01_因子設定!$L$6-0.000000001,D54&lt;=01_因子設定!$M$6+0.000000001,E54&gt;=01_因子設定!$L$7-0.000000001,E54&lt;=01_因子設定!$M$7+0.000000001,F54&gt;=01_因子設定!$L$8-0.000000001,F54&lt;=01_因子設定!$M$8+0.000000001,IF(01_因子設定!$B$20="Box-Behnken",C54^2+D54^2+E54^2+F54^2&lt;=2+0.000000001,TRUE()))</f>
        <v>1</v>
      </c>
      <c r="AA54" s="55" t="n">
        <f aca="false">IF(Z54,IF(01_因子設定!$B$13="最大化",X54-01_因子設定!$B$14,IF(01_因子設定!$B$13="最小化",01_因子設定!$B$15-Y54,MIN(X54-01_因子設定!$B$14,01_因子設定!$B$15-Y54))),-1E+030)</f>
        <v>-1.8155553486087</v>
      </c>
      <c r="AB54" s="55" t="n">
        <f aca="false">IF(AA54&gt;=0,1,0)</f>
        <v>0</v>
      </c>
    </row>
    <row r="55" customFormat="false" ht="15" hidden="false" customHeight="false" outlineLevel="0" collapsed="false">
      <c r="A55" s="0" t="n">
        <v>2</v>
      </c>
      <c r="B55" s="0" t="n">
        <v>-0.55</v>
      </c>
      <c r="C55" s="57" t="n">
        <f aca="false">07_最適化!$B$6</f>
        <v>0.5</v>
      </c>
      <c r="D55" s="55" t="n">
        <f aca="false">B55</f>
        <v>-0.55</v>
      </c>
      <c r="E55" s="57" t="n">
        <f aca="false">07_最適化!$B$8</f>
        <v>0.5</v>
      </c>
      <c r="F55" s="57" t="n">
        <f aca="false">07_最適化!$B$9</f>
        <v>0.5</v>
      </c>
      <c r="G55" s="55" t="n">
        <f aca="false">1</f>
        <v>1</v>
      </c>
      <c r="H55" s="57" t="n">
        <f aca="false">C55</f>
        <v>0.5</v>
      </c>
      <c r="I55" s="55" t="n">
        <f aca="false">D55</f>
        <v>-0.55</v>
      </c>
      <c r="J55" s="57" t="n">
        <f aca="false">E55</f>
        <v>0.5</v>
      </c>
      <c r="K55" s="57" t="n">
        <f aca="false">F55</f>
        <v>0.5</v>
      </c>
      <c r="L55" s="55" t="n">
        <f aca="false">C55*D55</f>
        <v>-0.275</v>
      </c>
      <c r="M55" s="55" t="n">
        <f aca="false">C55*E55</f>
        <v>0.25</v>
      </c>
      <c r="N55" s="55" t="n">
        <f aca="false">C55*F55</f>
        <v>0.25</v>
      </c>
      <c r="O55" s="55" t="n">
        <f aca="false">D55*E55</f>
        <v>-0.275</v>
      </c>
      <c r="P55" s="55" t="n">
        <f aca="false">D55*F55</f>
        <v>-0.275</v>
      </c>
      <c r="Q55" s="55" t="n">
        <f aca="false">E55*F55</f>
        <v>0.25</v>
      </c>
      <c r="R55" s="55" t="n">
        <f aca="false">C55*C55</f>
        <v>0.25</v>
      </c>
      <c r="S55" s="55" t="n">
        <f aca="false">D55*D55</f>
        <v>0.3025</v>
      </c>
      <c r="T55" s="55" t="n">
        <f aca="false">E55*E55</f>
        <v>0.25</v>
      </c>
      <c r="U55" s="55" t="n">
        <f aca="false">F55*F55</f>
        <v>0.25</v>
      </c>
      <c r="V55" s="55" t="n">
        <f aca="false">SUMPRODUCT(G55:U55,_XtX!$B$96:$P$96)</f>
        <v>46.3638874269006</v>
      </c>
      <c r="W55" s="55" t="n">
        <f aca="false">SUMPRODUCT(MMULT(G55:U55,_XtX!$B$78:$P$92),G55:U55)</f>
        <v>0.138647194809942</v>
      </c>
      <c r="X55" s="55" t="n">
        <f aca="false">V55-04_回帰ANOVA!$K$19*04_回帰ANOVA!$K$14*SQRT(1+W55)</f>
        <v>44.972996791881</v>
      </c>
      <c r="Y55" s="55" t="n">
        <f aca="false">V55+04_回帰ANOVA!$K$19*04_回帰ANOVA!$K$14*SQRT(1+W55)</f>
        <v>47.7547780619201</v>
      </c>
      <c r="Z55" s="54" t="b">
        <f aca="false">AND(C55&gt;=01_因子設定!$L$5-0.000000001,C55&lt;=01_因子設定!$M$5+0.000000001,D55&gt;=01_因子設定!$L$6-0.000000001,D55&lt;=01_因子設定!$M$6+0.000000001,E55&gt;=01_因子設定!$L$7-0.000000001,E55&lt;=01_因子設定!$M$7+0.000000001,F55&gt;=01_因子設定!$L$8-0.000000001,F55&lt;=01_因子設定!$M$8+0.000000001,IF(01_因子設定!$B$20="Box-Behnken",C55^2+D55^2+E55^2+F55^2&lt;=2+0.000000001,TRUE()))</f>
        <v>1</v>
      </c>
      <c r="AA55" s="55" t="n">
        <f aca="false">IF(Z55,IF(01_因子設定!$B$13="最大化",X55-01_因子設定!$B$14,IF(01_因子設定!$B$13="最小化",01_因子設定!$B$15-Y55,MIN(X55-01_因子設定!$B$14,01_因子設定!$B$15-Y55))),-1E+030)</f>
        <v>-1.52700320811896</v>
      </c>
      <c r="AB55" s="55" t="n">
        <f aca="false">IF(AA55&gt;=0,1,0)</f>
        <v>0</v>
      </c>
    </row>
    <row r="56" customFormat="false" ht="15" hidden="false" customHeight="false" outlineLevel="0" collapsed="false">
      <c r="A56" s="0" t="n">
        <v>2</v>
      </c>
      <c r="B56" s="0" t="n">
        <v>-0.5</v>
      </c>
      <c r="C56" s="57" t="n">
        <f aca="false">07_最適化!$B$6</f>
        <v>0.5</v>
      </c>
      <c r="D56" s="55" t="n">
        <f aca="false">B56</f>
        <v>-0.5</v>
      </c>
      <c r="E56" s="57" t="n">
        <f aca="false">07_最適化!$B$8</f>
        <v>0.5</v>
      </c>
      <c r="F56" s="57" t="n">
        <f aca="false">07_最適化!$B$9</f>
        <v>0.5</v>
      </c>
      <c r="G56" s="55" t="n">
        <f aca="false">1</f>
        <v>1</v>
      </c>
      <c r="H56" s="57" t="n">
        <f aca="false">C56</f>
        <v>0.5</v>
      </c>
      <c r="I56" s="55" t="n">
        <f aca="false">D56</f>
        <v>-0.5</v>
      </c>
      <c r="J56" s="57" t="n">
        <f aca="false">E56</f>
        <v>0.5</v>
      </c>
      <c r="K56" s="57" t="n">
        <f aca="false">F56</f>
        <v>0.5</v>
      </c>
      <c r="L56" s="55" t="n">
        <f aca="false">C56*D56</f>
        <v>-0.25</v>
      </c>
      <c r="M56" s="55" t="n">
        <f aca="false">C56*E56</f>
        <v>0.25</v>
      </c>
      <c r="N56" s="55" t="n">
        <f aca="false">C56*F56</f>
        <v>0.25</v>
      </c>
      <c r="O56" s="55" t="n">
        <f aca="false">D56*E56</f>
        <v>-0.25</v>
      </c>
      <c r="P56" s="55" t="n">
        <f aca="false">D56*F56</f>
        <v>-0.25</v>
      </c>
      <c r="Q56" s="55" t="n">
        <f aca="false">E56*F56</f>
        <v>0.25</v>
      </c>
      <c r="R56" s="55" t="n">
        <f aca="false">C56*C56</f>
        <v>0.25</v>
      </c>
      <c r="S56" s="55" t="n">
        <f aca="false">D56*D56</f>
        <v>0.25</v>
      </c>
      <c r="T56" s="55" t="n">
        <f aca="false">E56*E56</f>
        <v>0.25</v>
      </c>
      <c r="U56" s="55" t="n">
        <f aca="false">F56*F56</f>
        <v>0.25</v>
      </c>
      <c r="V56" s="55" t="n">
        <f aca="false">SUMPRODUCT(G56:U56,_XtX!$B$96:$P$96)</f>
        <v>46.6348135964912</v>
      </c>
      <c r="W56" s="55" t="n">
        <f aca="false">SUMPRODUCT(MMULT(G56:U56,_XtX!$B$78:$P$92),G56:U56)</f>
        <v>0.133817616959064</v>
      </c>
      <c r="X56" s="55" t="n">
        <f aca="false">V56-04_回帰ANOVA!$K$19*04_回帰ANOVA!$K$14*SQRT(1+W56)</f>
        <v>45.2468758307923</v>
      </c>
      <c r="Y56" s="55" t="n">
        <f aca="false">V56+04_回帰ANOVA!$K$19*04_回帰ANOVA!$K$14*SQRT(1+W56)</f>
        <v>48.0227513621901</v>
      </c>
      <c r="Z56" s="54" t="b">
        <f aca="false">AND(C56&gt;=01_因子設定!$L$5-0.000000001,C56&lt;=01_因子設定!$M$5+0.000000001,D56&gt;=01_因子設定!$L$6-0.000000001,D56&lt;=01_因子設定!$M$6+0.000000001,E56&gt;=01_因子設定!$L$7-0.000000001,E56&lt;=01_因子設定!$M$7+0.000000001,F56&gt;=01_因子設定!$L$8-0.000000001,F56&lt;=01_因子設定!$M$8+0.000000001,IF(01_因子設定!$B$20="Box-Behnken",C56^2+D56^2+E56^2+F56^2&lt;=2+0.000000001,TRUE()))</f>
        <v>1</v>
      </c>
      <c r="AA56" s="55" t="n">
        <f aca="false">IF(Z56,IF(01_因子設定!$B$13="最大化",X56-01_因子設定!$B$14,IF(01_因子設定!$B$13="最小化",01_因子設定!$B$15-Y56,MIN(X56-01_因子設定!$B$14,01_因子設定!$B$15-Y56))),-1E+030)</f>
        <v>-1.25312416920767</v>
      </c>
      <c r="AB56" s="55" t="n">
        <f aca="false">IF(AA56&gt;=0,1,0)</f>
        <v>0</v>
      </c>
    </row>
    <row r="57" customFormat="false" ht="15" hidden="false" customHeight="false" outlineLevel="0" collapsed="false">
      <c r="A57" s="0" t="n">
        <v>2</v>
      </c>
      <c r="B57" s="0" t="n">
        <v>-0.45</v>
      </c>
      <c r="C57" s="57" t="n">
        <f aca="false">07_最適化!$B$6</f>
        <v>0.5</v>
      </c>
      <c r="D57" s="55" t="n">
        <f aca="false">B57</f>
        <v>-0.45</v>
      </c>
      <c r="E57" s="57" t="n">
        <f aca="false">07_最適化!$B$8</f>
        <v>0.5</v>
      </c>
      <c r="F57" s="57" t="n">
        <f aca="false">07_最適化!$B$9</f>
        <v>0.5</v>
      </c>
      <c r="G57" s="55" t="n">
        <f aca="false">1</f>
        <v>1</v>
      </c>
      <c r="H57" s="57" t="n">
        <f aca="false">C57</f>
        <v>0.5</v>
      </c>
      <c r="I57" s="55" t="n">
        <f aca="false">D57</f>
        <v>-0.45</v>
      </c>
      <c r="J57" s="57" t="n">
        <f aca="false">E57</f>
        <v>0.5</v>
      </c>
      <c r="K57" s="57" t="n">
        <f aca="false">F57</f>
        <v>0.5</v>
      </c>
      <c r="L57" s="55" t="n">
        <f aca="false">C57*D57</f>
        <v>-0.225</v>
      </c>
      <c r="M57" s="55" t="n">
        <f aca="false">C57*E57</f>
        <v>0.25</v>
      </c>
      <c r="N57" s="55" t="n">
        <f aca="false">C57*F57</f>
        <v>0.25</v>
      </c>
      <c r="O57" s="55" t="n">
        <f aca="false">D57*E57</f>
        <v>-0.225</v>
      </c>
      <c r="P57" s="55" t="n">
        <f aca="false">D57*F57</f>
        <v>-0.225</v>
      </c>
      <c r="Q57" s="55" t="n">
        <f aca="false">E57*F57</f>
        <v>0.25</v>
      </c>
      <c r="R57" s="55" t="n">
        <f aca="false">C57*C57</f>
        <v>0.25</v>
      </c>
      <c r="S57" s="55" t="n">
        <f aca="false">D57*D57</f>
        <v>0.2025</v>
      </c>
      <c r="T57" s="55" t="n">
        <f aca="false">E57*E57</f>
        <v>0.25</v>
      </c>
      <c r="U57" s="55" t="n">
        <f aca="false">F57*F57</f>
        <v>0.25</v>
      </c>
      <c r="V57" s="55" t="n">
        <f aca="false">SUMPRODUCT(G57:U57,_XtX!$B$96:$P$96)</f>
        <v>46.8928274853801</v>
      </c>
      <c r="W57" s="55" t="n">
        <f aca="false">SUMPRODUCT(MMULT(G57:U57,_XtX!$B$78:$P$92),G57:U57)</f>
        <v>0.131281332236842</v>
      </c>
      <c r="X57" s="55" t="n">
        <f aca="false">V57-04_回帰ANOVA!$K$19*04_回帰ANOVA!$K$14*SQRT(1+W57)</f>
        <v>45.5064429572244</v>
      </c>
      <c r="Y57" s="55" t="n">
        <f aca="false">V57+04_回帰ANOVA!$K$19*04_回帰ANOVA!$K$14*SQRT(1+W57)</f>
        <v>48.2792120135357</v>
      </c>
      <c r="Z57" s="54" t="b">
        <f aca="false">AND(C57&gt;=01_因子設定!$L$5-0.000000001,C57&lt;=01_因子設定!$M$5+0.000000001,D57&gt;=01_因子設定!$L$6-0.000000001,D57&lt;=01_因子設定!$M$6+0.000000001,E57&gt;=01_因子設定!$L$7-0.000000001,E57&lt;=01_因子設定!$M$7+0.000000001,F57&gt;=01_因子設定!$L$8-0.000000001,F57&lt;=01_因子設定!$M$8+0.000000001,IF(01_因子設定!$B$20="Box-Behnken",C57^2+D57^2+E57^2+F57^2&lt;=2+0.000000001,TRUE()))</f>
        <v>1</v>
      </c>
      <c r="AA57" s="55" t="n">
        <f aca="false">IF(Z57,IF(01_因子設定!$B$13="最大化",X57-01_因子設定!$B$14,IF(01_因子設定!$B$13="最小化",01_因子設定!$B$15-Y57,MIN(X57-01_因子設定!$B$14,01_因子設定!$B$15-Y57))),-1E+030)</f>
        <v>-0.993557042775571</v>
      </c>
      <c r="AB57" s="55" t="n">
        <f aca="false">IF(AA57&gt;=0,1,0)</f>
        <v>0</v>
      </c>
    </row>
    <row r="58" customFormat="false" ht="15" hidden="false" customHeight="false" outlineLevel="0" collapsed="false">
      <c r="A58" s="0" t="n">
        <v>2</v>
      </c>
      <c r="B58" s="0" t="n">
        <v>-0.4</v>
      </c>
      <c r="C58" s="57" t="n">
        <f aca="false">07_最適化!$B$6</f>
        <v>0.5</v>
      </c>
      <c r="D58" s="55" t="n">
        <f aca="false">B58</f>
        <v>-0.4</v>
      </c>
      <c r="E58" s="57" t="n">
        <f aca="false">07_最適化!$B$8</f>
        <v>0.5</v>
      </c>
      <c r="F58" s="57" t="n">
        <f aca="false">07_最適化!$B$9</f>
        <v>0.5</v>
      </c>
      <c r="G58" s="55" t="n">
        <f aca="false">1</f>
        <v>1</v>
      </c>
      <c r="H58" s="57" t="n">
        <f aca="false">C58</f>
        <v>0.5</v>
      </c>
      <c r="I58" s="55" t="n">
        <f aca="false">D58</f>
        <v>-0.4</v>
      </c>
      <c r="J58" s="57" t="n">
        <f aca="false">E58</f>
        <v>0.5</v>
      </c>
      <c r="K58" s="57" t="n">
        <f aca="false">F58</f>
        <v>0.5</v>
      </c>
      <c r="L58" s="55" t="n">
        <f aca="false">C58*D58</f>
        <v>-0.2</v>
      </c>
      <c r="M58" s="55" t="n">
        <f aca="false">C58*E58</f>
        <v>0.25</v>
      </c>
      <c r="N58" s="55" t="n">
        <f aca="false">C58*F58</f>
        <v>0.25</v>
      </c>
      <c r="O58" s="55" t="n">
        <f aca="false">D58*E58</f>
        <v>-0.2</v>
      </c>
      <c r="P58" s="55" t="n">
        <f aca="false">D58*F58</f>
        <v>-0.2</v>
      </c>
      <c r="Q58" s="55" t="n">
        <f aca="false">E58*F58</f>
        <v>0.25</v>
      </c>
      <c r="R58" s="55" t="n">
        <f aca="false">C58*C58</f>
        <v>0.25</v>
      </c>
      <c r="S58" s="55" t="n">
        <f aca="false">D58*D58</f>
        <v>0.16</v>
      </c>
      <c r="T58" s="55" t="n">
        <f aca="false">E58*E58</f>
        <v>0.25</v>
      </c>
      <c r="U58" s="55" t="n">
        <f aca="false">F58*F58</f>
        <v>0.25</v>
      </c>
      <c r="V58" s="55" t="n">
        <f aca="false">SUMPRODUCT(G58:U58,_XtX!$B$96:$P$96)</f>
        <v>47.1379290935672</v>
      </c>
      <c r="W58" s="55" t="n">
        <f aca="false">SUMPRODUCT(MMULT(G58:U58,_XtX!$B$78:$P$92),G58:U58)</f>
        <v>0.130488340643275</v>
      </c>
      <c r="X58" s="55" t="n">
        <f aca="false">V58-04_回帰ANOVA!$K$19*04_回帰ANOVA!$K$14*SQRT(1+W58)</f>
        <v>45.7520305559304</v>
      </c>
      <c r="Y58" s="55" t="n">
        <f aca="false">V58+04_回帰ANOVA!$K$19*04_回帰ANOVA!$K$14*SQRT(1+W58)</f>
        <v>48.523827631204</v>
      </c>
      <c r="Z58" s="54" t="b">
        <f aca="false">AND(C58&gt;=01_因子設定!$L$5-0.000000001,C58&lt;=01_因子設定!$M$5+0.000000001,D58&gt;=01_因子設定!$L$6-0.000000001,D58&lt;=01_因子設定!$M$6+0.000000001,E58&gt;=01_因子設定!$L$7-0.000000001,E58&lt;=01_因子設定!$M$7+0.000000001,F58&gt;=01_因子設定!$L$8-0.000000001,F58&lt;=01_因子設定!$M$8+0.000000001,IF(01_因子設定!$B$20="Box-Behnken",C58^2+D58^2+E58^2+F58^2&lt;=2+0.000000001,TRUE()))</f>
        <v>1</v>
      </c>
      <c r="AA58" s="55" t="n">
        <f aca="false">IF(Z58,IF(01_因子設定!$B$13="最大化",X58-01_因子設定!$B$14,IF(01_因子設定!$B$13="最小化",01_因子設定!$B$15-Y58,MIN(X58-01_因子設定!$B$14,01_因子設定!$B$15-Y58))),-1E+030)</f>
        <v>-0.747969444069582</v>
      </c>
      <c r="AB58" s="55" t="n">
        <f aca="false">IF(AA58&gt;=0,1,0)</f>
        <v>0</v>
      </c>
    </row>
    <row r="59" customFormat="false" ht="15" hidden="false" customHeight="false" outlineLevel="0" collapsed="false">
      <c r="A59" s="0" t="n">
        <v>2</v>
      </c>
      <c r="B59" s="0" t="n">
        <v>-0.35</v>
      </c>
      <c r="C59" s="57" t="n">
        <f aca="false">07_最適化!$B$6</f>
        <v>0.5</v>
      </c>
      <c r="D59" s="55" t="n">
        <f aca="false">B59</f>
        <v>-0.35</v>
      </c>
      <c r="E59" s="57" t="n">
        <f aca="false">07_最適化!$B$8</f>
        <v>0.5</v>
      </c>
      <c r="F59" s="57" t="n">
        <f aca="false">07_最適化!$B$9</f>
        <v>0.5</v>
      </c>
      <c r="G59" s="55" t="n">
        <f aca="false">1</f>
        <v>1</v>
      </c>
      <c r="H59" s="57" t="n">
        <f aca="false">C59</f>
        <v>0.5</v>
      </c>
      <c r="I59" s="55" t="n">
        <f aca="false">D59</f>
        <v>-0.35</v>
      </c>
      <c r="J59" s="57" t="n">
        <f aca="false">E59</f>
        <v>0.5</v>
      </c>
      <c r="K59" s="57" t="n">
        <f aca="false">F59</f>
        <v>0.5</v>
      </c>
      <c r="L59" s="55" t="n">
        <f aca="false">C59*D59</f>
        <v>-0.175</v>
      </c>
      <c r="M59" s="55" t="n">
        <f aca="false">C59*E59</f>
        <v>0.25</v>
      </c>
      <c r="N59" s="55" t="n">
        <f aca="false">C59*F59</f>
        <v>0.25</v>
      </c>
      <c r="O59" s="55" t="n">
        <f aca="false">D59*E59</f>
        <v>-0.175</v>
      </c>
      <c r="P59" s="55" t="n">
        <f aca="false">D59*F59</f>
        <v>-0.175</v>
      </c>
      <c r="Q59" s="55" t="n">
        <f aca="false">E59*F59</f>
        <v>0.25</v>
      </c>
      <c r="R59" s="55" t="n">
        <f aca="false">C59*C59</f>
        <v>0.25</v>
      </c>
      <c r="S59" s="55" t="n">
        <f aca="false">D59*D59</f>
        <v>0.1225</v>
      </c>
      <c r="T59" s="55" t="n">
        <f aca="false">E59*E59</f>
        <v>0.25</v>
      </c>
      <c r="U59" s="55" t="n">
        <f aca="false">F59*F59</f>
        <v>0.25</v>
      </c>
      <c r="V59" s="55" t="n">
        <f aca="false">SUMPRODUCT(G59:U59,_XtX!$B$96:$P$96)</f>
        <v>47.3701184210526</v>
      </c>
      <c r="W59" s="55" t="n">
        <f aca="false">SUMPRODUCT(MMULT(G59:U59,_XtX!$B$78:$P$92),G59:U59)</f>
        <v>0.130946536915205</v>
      </c>
      <c r="X59" s="55" t="n">
        <f aca="false">V59-04_回帰ANOVA!$K$19*04_回帰ANOVA!$K$14*SQRT(1+W59)</f>
        <v>45.9839390538002</v>
      </c>
      <c r="Y59" s="55" t="n">
        <f aca="false">V59+04_回帰ANOVA!$K$19*04_回帰ANOVA!$K$14*SQRT(1+W59)</f>
        <v>48.756297788305</v>
      </c>
      <c r="Z59" s="54" t="b">
        <f aca="false">AND(C59&gt;=01_因子設定!$L$5-0.000000001,C59&lt;=01_因子設定!$M$5+0.000000001,D59&gt;=01_因子設定!$L$6-0.000000001,D59&lt;=01_因子設定!$M$6+0.000000001,E59&gt;=01_因子設定!$L$7-0.000000001,E59&lt;=01_因子設定!$M$7+0.000000001,F59&gt;=01_因子設定!$L$8-0.000000001,F59&lt;=01_因子設定!$M$8+0.000000001,IF(01_因子設定!$B$20="Box-Behnken",C59^2+D59^2+E59^2+F59^2&lt;=2+0.000000001,TRUE()))</f>
        <v>1</v>
      </c>
      <c r="AA59" s="55" t="n">
        <f aca="false">IF(Z59,IF(01_因子設定!$B$13="最大化",X59-01_因子設定!$B$14,IF(01_因子設定!$B$13="最小化",01_因子設定!$B$15-Y59,MIN(X59-01_因子設定!$B$14,01_因子設定!$B$15-Y59))),-1E+030)</f>
        <v>-0.516060946199758</v>
      </c>
      <c r="AB59" s="55" t="n">
        <f aca="false">IF(AA59&gt;=0,1,0)</f>
        <v>0</v>
      </c>
    </row>
    <row r="60" customFormat="false" ht="15" hidden="false" customHeight="false" outlineLevel="0" collapsed="false">
      <c r="A60" s="0" t="n">
        <v>2</v>
      </c>
      <c r="B60" s="0" t="n">
        <v>-0.3</v>
      </c>
      <c r="C60" s="57" t="n">
        <f aca="false">07_最適化!$B$6</f>
        <v>0.5</v>
      </c>
      <c r="D60" s="55" t="n">
        <f aca="false">B60</f>
        <v>-0.3</v>
      </c>
      <c r="E60" s="57" t="n">
        <f aca="false">07_最適化!$B$8</f>
        <v>0.5</v>
      </c>
      <c r="F60" s="57" t="n">
        <f aca="false">07_最適化!$B$9</f>
        <v>0.5</v>
      </c>
      <c r="G60" s="55" t="n">
        <f aca="false">1</f>
        <v>1</v>
      </c>
      <c r="H60" s="57" t="n">
        <f aca="false">C60</f>
        <v>0.5</v>
      </c>
      <c r="I60" s="55" t="n">
        <f aca="false">D60</f>
        <v>-0.3</v>
      </c>
      <c r="J60" s="57" t="n">
        <f aca="false">E60</f>
        <v>0.5</v>
      </c>
      <c r="K60" s="57" t="n">
        <f aca="false">F60</f>
        <v>0.5</v>
      </c>
      <c r="L60" s="55" t="n">
        <f aca="false">C60*D60</f>
        <v>-0.15</v>
      </c>
      <c r="M60" s="55" t="n">
        <f aca="false">C60*E60</f>
        <v>0.25</v>
      </c>
      <c r="N60" s="55" t="n">
        <f aca="false">C60*F60</f>
        <v>0.25</v>
      </c>
      <c r="O60" s="55" t="n">
        <f aca="false">D60*E60</f>
        <v>-0.15</v>
      </c>
      <c r="P60" s="55" t="n">
        <f aca="false">D60*F60</f>
        <v>-0.15</v>
      </c>
      <c r="Q60" s="55" t="n">
        <f aca="false">E60*F60</f>
        <v>0.25</v>
      </c>
      <c r="R60" s="55" t="n">
        <f aca="false">C60*C60</f>
        <v>0.25</v>
      </c>
      <c r="S60" s="55" t="n">
        <f aca="false">D60*D60</f>
        <v>0.09</v>
      </c>
      <c r="T60" s="55" t="n">
        <f aca="false">E60*E60</f>
        <v>0.25</v>
      </c>
      <c r="U60" s="55" t="n">
        <f aca="false">F60*F60</f>
        <v>0.25</v>
      </c>
      <c r="V60" s="55" t="n">
        <f aca="false">SUMPRODUCT(G60:U60,_XtX!$B$96:$P$96)</f>
        <v>47.5893954678362</v>
      </c>
      <c r="W60" s="55" t="n">
        <f aca="false">SUMPRODUCT(MMULT(G60:U60,_XtX!$B$78:$P$92),G60:U60)</f>
        <v>0.132221710526316</v>
      </c>
      <c r="X60" s="55" t="n">
        <f aca="false">V60-04_回帰ANOVA!$K$19*04_回帰ANOVA!$K$14*SQRT(1+W60)</f>
        <v>46.2024348428885</v>
      </c>
      <c r="Y60" s="55" t="n">
        <f aca="false">V60+04_回帰ANOVA!$K$19*04_回帰ANOVA!$K$14*SQRT(1+W60)</f>
        <v>48.976356092784</v>
      </c>
      <c r="Z60" s="54" t="b">
        <f aca="false">AND(C60&gt;=01_因子設定!$L$5-0.000000001,C60&lt;=01_因子設定!$M$5+0.000000001,D60&gt;=01_因子設定!$L$6-0.000000001,D60&lt;=01_因子設定!$M$6+0.000000001,E60&gt;=01_因子設定!$L$7-0.000000001,E60&lt;=01_因子設定!$M$7+0.000000001,F60&gt;=01_因子設定!$L$8-0.000000001,F60&lt;=01_因子設定!$M$8+0.000000001,IF(01_因子設定!$B$20="Box-Behnken",C60^2+D60^2+E60^2+F60^2&lt;=2+0.000000001,TRUE()))</f>
        <v>1</v>
      </c>
      <c r="AA60" s="55" t="n">
        <f aca="false">IF(Z60,IF(01_因子設定!$B$13="最大化",X60-01_因子設定!$B$14,IF(01_因子設定!$B$13="最小化",01_因子設定!$B$15-Y60,MIN(X60-01_因子設定!$B$14,01_因子設定!$B$15-Y60))),-1E+030)</f>
        <v>-0.297565157111535</v>
      </c>
      <c r="AB60" s="55" t="n">
        <f aca="false">IF(AA60&gt;=0,1,0)</f>
        <v>0</v>
      </c>
    </row>
    <row r="61" customFormat="false" ht="15" hidden="false" customHeight="false" outlineLevel="0" collapsed="false">
      <c r="A61" s="0" t="n">
        <v>2</v>
      </c>
      <c r="B61" s="0" t="n">
        <v>-0.25</v>
      </c>
      <c r="C61" s="57" t="n">
        <f aca="false">07_最適化!$B$6</f>
        <v>0.5</v>
      </c>
      <c r="D61" s="55" t="n">
        <f aca="false">B61</f>
        <v>-0.25</v>
      </c>
      <c r="E61" s="57" t="n">
        <f aca="false">07_最適化!$B$8</f>
        <v>0.5</v>
      </c>
      <c r="F61" s="57" t="n">
        <f aca="false">07_最適化!$B$9</f>
        <v>0.5</v>
      </c>
      <c r="G61" s="55" t="n">
        <f aca="false">1</f>
        <v>1</v>
      </c>
      <c r="H61" s="57" t="n">
        <f aca="false">C61</f>
        <v>0.5</v>
      </c>
      <c r="I61" s="55" t="n">
        <f aca="false">D61</f>
        <v>-0.25</v>
      </c>
      <c r="J61" s="57" t="n">
        <f aca="false">E61</f>
        <v>0.5</v>
      </c>
      <c r="K61" s="57" t="n">
        <f aca="false">F61</f>
        <v>0.5</v>
      </c>
      <c r="L61" s="55" t="n">
        <f aca="false">C61*D61</f>
        <v>-0.125</v>
      </c>
      <c r="M61" s="55" t="n">
        <f aca="false">C61*E61</f>
        <v>0.25</v>
      </c>
      <c r="N61" s="55" t="n">
        <f aca="false">C61*F61</f>
        <v>0.25</v>
      </c>
      <c r="O61" s="55" t="n">
        <f aca="false">D61*E61</f>
        <v>-0.125</v>
      </c>
      <c r="P61" s="55" t="n">
        <f aca="false">D61*F61</f>
        <v>-0.125</v>
      </c>
      <c r="Q61" s="55" t="n">
        <f aca="false">E61*F61</f>
        <v>0.25</v>
      </c>
      <c r="R61" s="55" t="n">
        <f aca="false">C61*C61</f>
        <v>0.25</v>
      </c>
      <c r="S61" s="55" t="n">
        <f aca="false">D61*D61</f>
        <v>0.0625</v>
      </c>
      <c r="T61" s="55" t="n">
        <f aca="false">E61*E61</f>
        <v>0.25</v>
      </c>
      <c r="U61" s="55" t="n">
        <f aca="false">F61*F61</f>
        <v>0.25</v>
      </c>
      <c r="V61" s="55" t="n">
        <f aca="false">SUMPRODUCT(G61:U61,_XtX!$B$96:$P$96)</f>
        <v>47.7957602339181</v>
      </c>
      <c r="W61" s="55" t="n">
        <f aca="false">SUMPRODUCT(MMULT(G61:U61,_XtX!$B$78:$P$92),G61:U61)</f>
        <v>0.133937545687135</v>
      </c>
      <c r="X61" s="55" t="n">
        <f aca="false">V61-04_回帰ANOVA!$K$19*04_回帰ANOVA!$K$14*SQRT(1+W61)</f>
        <v>46.4077490661098</v>
      </c>
      <c r="Y61" s="55" t="n">
        <f aca="false">V61+04_回帰ANOVA!$K$19*04_回帰ANOVA!$K$14*SQRT(1+W61)</f>
        <v>49.1837714017264</v>
      </c>
      <c r="Z61" s="54" t="b">
        <f aca="false">AND(C61&gt;=01_因子設定!$L$5-0.000000001,C61&lt;=01_因子設定!$M$5+0.000000001,D61&gt;=01_因子設定!$L$6-0.000000001,D61&lt;=01_因子設定!$M$6+0.000000001,E61&gt;=01_因子設定!$L$7-0.000000001,E61&lt;=01_因子設定!$M$7+0.000000001,F61&gt;=01_因子設定!$L$8-0.000000001,F61&lt;=01_因子設定!$M$8+0.000000001,IF(01_因子設定!$B$20="Box-Behnken",C61^2+D61^2+E61^2+F61^2&lt;=2+0.000000001,TRUE()))</f>
        <v>1</v>
      </c>
      <c r="AA61" s="55" t="n">
        <f aca="false">IF(Z61,IF(01_因子設定!$B$13="最大化",X61-01_因子設定!$B$14,IF(01_因子設定!$B$13="最小化",01_因子設定!$B$15-Y61,MIN(X61-01_因子設定!$B$14,01_因子設定!$B$15-Y61))),-1E+030)</f>
        <v>-0.0922509338901563</v>
      </c>
      <c r="AB61" s="55" t="n">
        <f aca="false">IF(AA61&gt;=0,1,0)</f>
        <v>0</v>
      </c>
    </row>
    <row r="62" customFormat="false" ht="15" hidden="false" customHeight="false" outlineLevel="0" collapsed="false">
      <c r="A62" s="0" t="n">
        <v>2</v>
      </c>
      <c r="B62" s="0" t="n">
        <v>-0.2</v>
      </c>
      <c r="C62" s="57" t="n">
        <f aca="false">07_最適化!$B$6</f>
        <v>0.5</v>
      </c>
      <c r="D62" s="55" t="n">
        <f aca="false">B62</f>
        <v>-0.2</v>
      </c>
      <c r="E62" s="57" t="n">
        <f aca="false">07_最適化!$B$8</f>
        <v>0.5</v>
      </c>
      <c r="F62" s="57" t="n">
        <f aca="false">07_最適化!$B$9</f>
        <v>0.5</v>
      </c>
      <c r="G62" s="55" t="n">
        <f aca="false">1</f>
        <v>1</v>
      </c>
      <c r="H62" s="57" t="n">
        <f aca="false">C62</f>
        <v>0.5</v>
      </c>
      <c r="I62" s="55" t="n">
        <f aca="false">D62</f>
        <v>-0.2</v>
      </c>
      <c r="J62" s="57" t="n">
        <f aca="false">E62</f>
        <v>0.5</v>
      </c>
      <c r="K62" s="57" t="n">
        <f aca="false">F62</f>
        <v>0.5</v>
      </c>
      <c r="L62" s="55" t="n">
        <f aca="false">C62*D62</f>
        <v>-0.1</v>
      </c>
      <c r="M62" s="55" t="n">
        <f aca="false">C62*E62</f>
        <v>0.25</v>
      </c>
      <c r="N62" s="55" t="n">
        <f aca="false">C62*F62</f>
        <v>0.25</v>
      </c>
      <c r="O62" s="55" t="n">
        <f aca="false">D62*E62</f>
        <v>-0.1</v>
      </c>
      <c r="P62" s="55" t="n">
        <f aca="false">D62*F62</f>
        <v>-0.1</v>
      </c>
      <c r="Q62" s="55" t="n">
        <f aca="false">E62*F62</f>
        <v>0.25</v>
      </c>
      <c r="R62" s="55" t="n">
        <f aca="false">C62*C62</f>
        <v>0.25</v>
      </c>
      <c r="S62" s="55" t="n">
        <f aca="false">D62*D62</f>
        <v>0.04</v>
      </c>
      <c r="T62" s="55" t="n">
        <f aca="false">E62*E62</f>
        <v>0.25</v>
      </c>
      <c r="U62" s="55" t="n">
        <f aca="false">F62*F62</f>
        <v>0.25</v>
      </c>
      <c r="V62" s="55" t="n">
        <f aca="false">SUMPRODUCT(G62:U62,_XtX!$B$96:$P$96)</f>
        <v>47.9892127192982</v>
      </c>
      <c r="W62" s="55" t="n">
        <f aca="false">SUMPRODUCT(MMULT(G62:U62,_XtX!$B$78:$P$92),G62:U62)</f>
        <v>0.135775621345029</v>
      </c>
      <c r="X62" s="55" t="n">
        <f aca="false">V62-04_回帰ANOVA!$K$19*04_回帰ANOVA!$K$14*SQRT(1+W62)</f>
        <v>46.6000770466589</v>
      </c>
      <c r="Y62" s="55" t="n">
        <f aca="false">V62+04_回帰ANOVA!$K$19*04_回帰ANOVA!$K$14*SQRT(1+W62)</f>
        <v>49.3783483919375</v>
      </c>
      <c r="Z62" s="54" t="b">
        <f aca="false">AND(C62&gt;=01_因子設定!$L$5-0.000000001,C62&lt;=01_因子設定!$M$5+0.000000001,D62&gt;=01_因子設定!$L$6-0.000000001,D62&lt;=01_因子設定!$M$6+0.000000001,E62&gt;=01_因子設定!$L$7-0.000000001,E62&lt;=01_因子設定!$M$7+0.000000001,F62&gt;=01_因子設定!$L$8-0.000000001,F62&lt;=01_因子設定!$M$8+0.000000001,IF(01_因子設定!$B$20="Box-Behnken",C62^2+D62^2+E62^2+F62^2&lt;=2+0.000000001,TRUE()))</f>
        <v>1</v>
      </c>
      <c r="AA62" s="55" t="n">
        <f aca="false">IF(Z62,IF(01_因子設定!$B$13="最大化",X62-01_因子設定!$B$14,IF(01_因子設定!$B$13="最小化",01_因子設定!$B$15-Y62,MIN(X62-01_因子設定!$B$14,01_因子設定!$B$15-Y62))),-1E+030)</f>
        <v>0.100077046658924</v>
      </c>
      <c r="AB62" s="55" t="n">
        <f aca="false">IF(AA62&gt;=0,1,0)</f>
        <v>1</v>
      </c>
    </row>
    <row r="63" customFormat="false" ht="15" hidden="false" customHeight="false" outlineLevel="0" collapsed="false">
      <c r="A63" s="0" t="n">
        <v>2</v>
      </c>
      <c r="B63" s="0" t="n">
        <v>-0.15</v>
      </c>
      <c r="C63" s="57" t="n">
        <f aca="false">07_最適化!$B$6</f>
        <v>0.5</v>
      </c>
      <c r="D63" s="55" t="n">
        <f aca="false">B63</f>
        <v>-0.15</v>
      </c>
      <c r="E63" s="57" t="n">
        <f aca="false">07_最適化!$B$8</f>
        <v>0.5</v>
      </c>
      <c r="F63" s="57" t="n">
        <f aca="false">07_最適化!$B$9</f>
        <v>0.5</v>
      </c>
      <c r="G63" s="55" t="n">
        <f aca="false">1</f>
        <v>1</v>
      </c>
      <c r="H63" s="57" t="n">
        <f aca="false">C63</f>
        <v>0.5</v>
      </c>
      <c r="I63" s="55" t="n">
        <f aca="false">D63</f>
        <v>-0.15</v>
      </c>
      <c r="J63" s="57" t="n">
        <f aca="false">E63</f>
        <v>0.5</v>
      </c>
      <c r="K63" s="57" t="n">
        <f aca="false">F63</f>
        <v>0.5</v>
      </c>
      <c r="L63" s="55" t="n">
        <f aca="false">C63*D63</f>
        <v>-0.075</v>
      </c>
      <c r="M63" s="55" t="n">
        <f aca="false">C63*E63</f>
        <v>0.25</v>
      </c>
      <c r="N63" s="55" t="n">
        <f aca="false">C63*F63</f>
        <v>0.25</v>
      </c>
      <c r="O63" s="55" t="n">
        <f aca="false">D63*E63</f>
        <v>-0.075</v>
      </c>
      <c r="P63" s="55" t="n">
        <f aca="false">D63*F63</f>
        <v>-0.075</v>
      </c>
      <c r="Q63" s="55" t="n">
        <f aca="false">E63*F63</f>
        <v>0.25</v>
      </c>
      <c r="R63" s="55" t="n">
        <f aca="false">C63*C63</f>
        <v>0.25</v>
      </c>
      <c r="S63" s="55" t="n">
        <f aca="false">D63*D63</f>
        <v>0.0225</v>
      </c>
      <c r="T63" s="55" t="n">
        <f aca="false">E63*E63</f>
        <v>0.25</v>
      </c>
      <c r="U63" s="55" t="n">
        <f aca="false">F63*F63</f>
        <v>0.25</v>
      </c>
      <c r="V63" s="55" t="n">
        <f aca="false">SUMPRODUCT(G63:U63,_XtX!$B$96:$P$96)</f>
        <v>48.1697529239766</v>
      </c>
      <c r="W63" s="55" t="n">
        <f aca="false">SUMPRODUCT(MMULT(G63:U63,_XtX!$B$78:$P$92),G63:U63)</f>
        <v>0.137475411184211</v>
      </c>
      <c r="X63" s="55" t="n">
        <f aca="false">V63-04_回帰ANOVA!$K$19*04_回帰ANOVA!$K$14*SQRT(1+W63)</f>
        <v>46.7795781570539</v>
      </c>
      <c r="Y63" s="55" t="n">
        <f aca="false">V63+04_回帰ANOVA!$K$19*04_回帰ANOVA!$K$14*SQRT(1+W63)</f>
        <v>49.5599276908993</v>
      </c>
      <c r="Z63" s="54" t="b">
        <f aca="false">AND(C63&gt;=01_因子設定!$L$5-0.000000001,C63&lt;=01_因子設定!$M$5+0.000000001,D63&gt;=01_因子設定!$L$6-0.000000001,D63&lt;=01_因子設定!$M$6+0.000000001,E63&gt;=01_因子設定!$L$7-0.000000001,E63&lt;=01_因子設定!$M$7+0.000000001,F63&gt;=01_因子設定!$L$8-0.000000001,F63&lt;=01_因子設定!$M$8+0.000000001,IF(01_因子設定!$B$20="Box-Behnken",C63^2+D63^2+E63^2+F63^2&lt;=2+0.000000001,TRUE()))</f>
        <v>1</v>
      </c>
      <c r="AA63" s="55" t="n">
        <f aca="false">IF(Z63,IF(01_因子設定!$B$13="最大化",X63-01_因子設定!$B$14,IF(01_因子設定!$B$13="最小化",01_因子設定!$B$15-Y63,MIN(X63-01_因子設定!$B$14,01_因子設定!$B$15-Y63))),-1E+030)</f>
        <v>0.279578157053855</v>
      </c>
      <c r="AB63" s="55" t="n">
        <f aca="false">IF(AA63&gt;=0,1,0)</f>
        <v>1</v>
      </c>
    </row>
    <row r="64" customFormat="false" ht="15" hidden="false" customHeight="false" outlineLevel="0" collapsed="false">
      <c r="A64" s="0" t="n">
        <v>2</v>
      </c>
      <c r="B64" s="0" t="n">
        <v>-0.1</v>
      </c>
      <c r="C64" s="57" t="n">
        <f aca="false">07_最適化!$B$6</f>
        <v>0.5</v>
      </c>
      <c r="D64" s="55" t="n">
        <f aca="false">B64</f>
        <v>-0.1</v>
      </c>
      <c r="E64" s="57" t="n">
        <f aca="false">07_最適化!$B$8</f>
        <v>0.5</v>
      </c>
      <c r="F64" s="57" t="n">
        <f aca="false">07_最適化!$B$9</f>
        <v>0.5</v>
      </c>
      <c r="G64" s="55" t="n">
        <f aca="false">1</f>
        <v>1</v>
      </c>
      <c r="H64" s="57" t="n">
        <f aca="false">C64</f>
        <v>0.5</v>
      </c>
      <c r="I64" s="55" t="n">
        <f aca="false">D64</f>
        <v>-0.1</v>
      </c>
      <c r="J64" s="57" t="n">
        <f aca="false">E64</f>
        <v>0.5</v>
      </c>
      <c r="K64" s="57" t="n">
        <f aca="false">F64</f>
        <v>0.5</v>
      </c>
      <c r="L64" s="55" t="n">
        <f aca="false">C64*D64</f>
        <v>-0.05</v>
      </c>
      <c r="M64" s="55" t="n">
        <f aca="false">C64*E64</f>
        <v>0.25</v>
      </c>
      <c r="N64" s="55" t="n">
        <f aca="false">C64*F64</f>
        <v>0.25</v>
      </c>
      <c r="O64" s="55" t="n">
        <f aca="false">D64*E64</f>
        <v>-0.05</v>
      </c>
      <c r="P64" s="55" t="n">
        <f aca="false">D64*F64</f>
        <v>-0.05</v>
      </c>
      <c r="Q64" s="55" t="n">
        <f aca="false">E64*F64</f>
        <v>0.25</v>
      </c>
      <c r="R64" s="55" t="n">
        <f aca="false">C64*C64</f>
        <v>0.25</v>
      </c>
      <c r="S64" s="55" t="n">
        <f aca="false">D64*D64</f>
        <v>0.01</v>
      </c>
      <c r="T64" s="55" t="n">
        <f aca="false">E64*E64</f>
        <v>0.25</v>
      </c>
      <c r="U64" s="55" t="n">
        <f aca="false">F64*F64</f>
        <v>0.25</v>
      </c>
      <c r="V64" s="55" t="n">
        <f aca="false">SUMPRODUCT(G64:U64,_XtX!$B$96:$P$96)</f>
        <v>48.3373808479532</v>
      </c>
      <c r="W64" s="55" t="n">
        <f aca="false">SUMPRODUCT(MMULT(G64:U64,_XtX!$B$78:$P$92),G64:U64)</f>
        <v>0.138834283625731</v>
      </c>
      <c r="X64" s="55" t="n">
        <f aca="false">V64-04_回帰ANOVA!$K$19*04_回帰ANOVA!$K$14*SQRT(1+W64)</f>
        <v>46.9463759504146</v>
      </c>
      <c r="Y64" s="55" t="n">
        <f aca="false">V64+04_回帰ANOVA!$K$19*04_回帰ANOVA!$K$14*SQRT(1+W64)</f>
        <v>49.7283857454918</v>
      </c>
      <c r="Z64" s="54" t="b">
        <f aca="false">AND(C64&gt;=01_因子設定!$L$5-0.000000001,C64&lt;=01_因子設定!$M$5+0.000000001,D64&gt;=01_因子設定!$L$6-0.000000001,D64&lt;=01_因子設定!$M$6+0.000000001,E64&gt;=01_因子設定!$L$7-0.000000001,E64&lt;=01_因子設定!$M$7+0.000000001,F64&gt;=01_因子設定!$L$8-0.000000001,F64&lt;=01_因子設定!$M$8+0.000000001,IF(01_因子設定!$B$20="Box-Behnken",C64^2+D64^2+E64^2+F64^2&lt;=2+0.000000001,TRUE()))</f>
        <v>1</v>
      </c>
      <c r="AA64" s="55" t="n">
        <f aca="false">IF(Z64,IF(01_因子設定!$B$13="最大化",X64-01_因子設定!$B$14,IF(01_因子設定!$B$13="最小化",01_因子設定!$B$15-Y64,MIN(X64-01_因子設定!$B$14,01_因子設定!$B$15-Y64))),-1E+030)</f>
        <v>0.446375950414613</v>
      </c>
      <c r="AB64" s="55" t="n">
        <f aca="false">IF(AA64&gt;=0,1,0)</f>
        <v>1</v>
      </c>
    </row>
    <row r="65" customFormat="false" ht="15" hidden="false" customHeight="false" outlineLevel="0" collapsed="false">
      <c r="A65" s="0" t="n">
        <v>2</v>
      </c>
      <c r="B65" s="0" t="n">
        <v>-0.05</v>
      </c>
      <c r="C65" s="57" t="n">
        <f aca="false">07_最適化!$B$6</f>
        <v>0.5</v>
      </c>
      <c r="D65" s="55" t="n">
        <f aca="false">B65</f>
        <v>-0.05</v>
      </c>
      <c r="E65" s="57" t="n">
        <f aca="false">07_最適化!$B$8</f>
        <v>0.5</v>
      </c>
      <c r="F65" s="57" t="n">
        <f aca="false">07_最適化!$B$9</f>
        <v>0.5</v>
      </c>
      <c r="G65" s="55" t="n">
        <f aca="false">1</f>
        <v>1</v>
      </c>
      <c r="H65" s="57" t="n">
        <f aca="false">C65</f>
        <v>0.5</v>
      </c>
      <c r="I65" s="55" t="n">
        <f aca="false">D65</f>
        <v>-0.05</v>
      </c>
      <c r="J65" s="57" t="n">
        <f aca="false">E65</f>
        <v>0.5</v>
      </c>
      <c r="K65" s="57" t="n">
        <f aca="false">F65</f>
        <v>0.5</v>
      </c>
      <c r="L65" s="55" t="n">
        <f aca="false">C65*D65</f>
        <v>-0.025</v>
      </c>
      <c r="M65" s="55" t="n">
        <f aca="false">C65*E65</f>
        <v>0.25</v>
      </c>
      <c r="N65" s="55" t="n">
        <f aca="false">C65*F65</f>
        <v>0.25</v>
      </c>
      <c r="O65" s="55" t="n">
        <f aca="false">D65*E65</f>
        <v>-0.025</v>
      </c>
      <c r="P65" s="55" t="n">
        <f aca="false">D65*F65</f>
        <v>-0.025</v>
      </c>
      <c r="Q65" s="55" t="n">
        <f aca="false">E65*F65</f>
        <v>0.25</v>
      </c>
      <c r="R65" s="55" t="n">
        <f aca="false">C65*C65</f>
        <v>0.25</v>
      </c>
      <c r="S65" s="55" t="n">
        <f aca="false">D65*D65</f>
        <v>0.0025</v>
      </c>
      <c r="T65" s="55" t="n">
        <f aca="false">E65*E65</f>
        <v>0.25</v>
      </c>
      <c r="U65" s="55" t="n">
        <f aca="false">F65*F65</f>
        <v>0.25</v>
      </c>
      <c r="V65" s="55" t="n">
        <f aca="false">SUMPRODUCT(G65:U65,_XtX!$B$96:$P$96)</f>
        <v>48.492096491228</v>
      </c>
      <c r="W65" s="55" t="n">
        <f aca="false">SUMPRODUCT(MMULT(G65:U65,_XtX!$B$78:$P$92),G65:U65)</f>
        <v>0.139707501827485</v>
      </c>
      <c r="X65" s="55" t="n">
        <f aca="false">V65-04_回帰ANOVA!$K$19*04_回帰ANOVA!$K$14*SQRT(1+W65)</f>
        <v>47.1005584089829</v>
      </c>
      <c r="Y65" s="55" t="n">
        <f aca="false">V65+04_回帰ANOVA!$K$19*04_回帰ANOVA!$K$14*SQRT(1+W65)</f>
        <v>49.8836345734731</v>
      </c>
      <c r="Z65" s="54" t="b">
        <f aca="false">AND(C65&gt;=01_因子設定!$L$5-0.000000001,C65&lt;=01_因子設定!$M$5+0.000000001,D65&gt;=01_因子設定!$L$6-0.000000001,D65&lt;=01_因子設定!$M$6+0.000000001,E65&gt;=01_因子設定!$L$7-0.000000001,E65&lt;=01_因子設定!$M$7+0.000000001,F65&gt;=01_因子設定!$L$8-0.000000001,F65&lt;=01_因子設定!$M$8+0.000000001,IF(01_因子設定!$B$20="Box-Behnken",C65^2+D65^2+E65^2+F65^2&lt;=2+0.000000001,TRUE()))</f>
        <v>1</v>
      </c>
      <c r="AA65" s="55" t="n">
        <f aca="false">IF(Z65,IF(01_因子設定!$B$13="最大化",X65-01_因子設定!$B$14,IF(01_因子設定!$B$13="最小化",01_因子設定!$B$15-Y65,MIN(X65-01_因子設定!$B$14,01_因子設定!$B$15-Y65))),-1E+030)</f>
        <v>0.600558408982941</v>
      </c>
      <c r="AB65" s="55" t="n">
        <f aca="false">IF(AA65&gt;=0,1,0)</f>
        <v>1</v>
      </c>
    </row>
    <row r="66" customFormat="false" ht="15" hidden="false" customHeight="false" outlineLevel="0" collapsed="false">
      <c r="A66" s="0" t="n">
        <v>2</v>
      </c>
      <c r="B66" s="0" t="n">
        <v>0</v>
      </c>
      <c r="C66" s="57" t="n">
        <f aca="false">07_最適化!$B$6</f>
        <v>0.5</v>
      </c>
      <c r="D66" s="55" t="n">
        <f aca="false">B66</f>
        <v>0</v>
      </c>
      <c r="E66" s="57" t="n">
        <f aca="false">07_最適化!$B$8</f>
        <v>0.5</v>
      </c>
      <c r="F66" s="57" t="n">
        <f aca="false">07_最適化!$B$9</f>
        <v>0.5</v>
      </c>
      <c r="G66" s="55" t="n">
        <f aca="false">1</f>
        <v>1</v>
      </c>
      <c r="H66" s="57" t="n">
        <f aca="false">C66</f>
        <v>0.5</v>
      </c>
      <c r="I66" s="55" t="n">
        <f aca="false">D66</f>
        <v>0</v>
      </c>
      <c r="J66" s="57" t="n">
        <f aca="false">E66</f>
        <v>0.5</v>
      </c>
      <c r="K66" s="57" t="n">
        <f aca="false">F66</f>
        <v>0.5</v>
      </c>
      <c r="L66" s="55" t="n">
        <f aca="false">C66*D66</f>
        <v>0</v>
      </c>
      <c r="M66" s="55" t="n">
        <f aca="false">C66*E66</f>
        <v>0.25</v>
      </c>
      <c r="N66" s="55" t="n">
        <f aca="false">C66*F66</f>
        <v>0.25</v>
      </c>
      <c r="O66" s="55" t="n">
        <f aca="false">D66*E66</f>
        <v>0</v>
      </c>
      <c r="P66" s="55" t="n">
        <f aca="false">D66*F66</f>
        <v>0</v>
      </c>
      <c r="Q66" s="55" t="n">
        <f aca="false">E66*F66</f>
        <v>0.25</v>
      </c>
      <c r="R66" s="55" t="n">
        <f aca="false">C66*C66</f>
        <v>0.25</v>
      </c>
      <c r="S66" s="55" t="n">
        <f aca="false">D66*D66</f>
        <v>0</v>
      </c>
      <c r="T66" s="55" t="n">
        <f aca="false">E66*E66</f>
        <v>0.25</v>
      </c>
      <c r="U66" s="55" t="n">
        <f aca="false">F66*F66</f>
        <v>0.25</v>
      </c>
      <c r="V66" s="55" t="n">
        <f aca="false">SUMPRODUCT(G66:U66,_XtX!$B$96:$P$96)</f>
        <v>48.6338998538011</v>
      </c>
      <c r="W66" s="55" t="n">
        <f aca="false">SUMPRODUCT(MMULT(G66:U66,_XtX!$B$78:$P$92),G66:U66)</f>
        <v>0.140008223684211</v>
      </c>
      <c r="X66" s="55" t="n">
        <f aca="false">V66-04_回帰ANOVA!$K$19*04_回帰ANOVA!$K$14*SQRT(1+W66)</f>
        <v>47.2421781988785</v>
      </c>
      <c r="Y66" s="55" t="n">
        <f aca="false">V66+04_回帰ANOVA!$K$19*04_回帰ANOVA!$K$14*SQRT(1+W66)</f>
        <v>50.0256215087238</v>
      </c>
      <c r="Z66" s="54" t="b">
        <f aca="false">AND(C66&gt;=01_因子設定!$L$5-0.000000001,C66&lt;=01_因子設定!$M$5+0.000000001,D66&gt;=01_因子設定!$L$6-0.000000001,D66&lt;=01_因子設定!$M$6+0.000000001,E66&gt;=01_因子設定!$L$7-0.000000001,E66&lt;=01_因子設定!$M$7+0.000000001,F66&gt;=01_因子設定!$L$8-0.000000001,F66&lt;=01_因子設定!$M$8+0.000000001,IF(01_因子設定!$B$20="Box-Behnken",C66^2+D66^2+E66^2+F66^2&lt;=2+0.000000001,TRUE()))</f>
        <v>1</v>
      </c>
      <c r="AA66" s="55" t="n">
        <f aca="false">IF(Z66,IF(01_因子設定!$B$13="最大化",X66-01_因子設定!$B$14,IF(01_因子設定!$B$13="最小化",01_因子設定!$B$15-Y66,MIN(X66-01_因子設定!$B$14,01_因子設定!$B$15-Y66))),-1E+030)</f>
        <v>0.742178198878499</v>
      </c>
      <c r="AB66" s="55" t="n">
        <f aca="false">IF(AA66&gt;=0,1,0)</f>
        <v>1</v>
      </c>
    </row>
    <row r="67" customFormat="false" ht="15" hidden="false" customHeight="false" outlineLevel="0" collapsed="false">
      <c r="A67" s="0" t="n">
        <v>2</v>
      </c>
      <c r="B67" s="0" t="n">
        <v>0.05</v>
      </c>
      <c r="C67" s="57" t="n">
        <f aca="false">07_最適化!$B$6</f>
        <v>0.5</v>
      </c>
      <c r="D67" s="55" t="n">
        <f aca="false">B67</f>
        <v>0.05</v>
      </c>
      <c r="E67" s="57" t="n">
        <f aca="false">07_最適化!$B$8</f>
        <v>0.5</v>
      </c>
      <c r="F67" s="57" t="n">
        <f aca="false">07_最適化!$B$9</f>
        <v>0.5</v>
      </c>
      <c r="G67" s="55" t="n">
        <f aca="false">1</f>
        <v>1</v>
      </c>
      <c r="H67" s="57" t="n">
        <f aca="false">C67</f>
        <v>0.5</v>
      </c>
      <c r="I67" s="55" t="n">
        <f aca="false">D67</f>
        <v>0.05</v>
      </c>
      <c r="J67" s="57" t="n">
        <f aca="false">E67</f>
        <v>0.5</v>
      </c>
      <c r="K67" s="57" t="n">
        <f aca="false">F67</f>
        <v>0.5</v>
      </c>
      <c r="L67" s="55" t="n">
        <f aca="false">C67*D67</f>
        <v>0.025</v>
      </c>
      <c r="M67" s="55" t="n">
        <f aca="false">C67*E67</f>
        <v>0.25</v>
      </c>
      <c r="N67" s="55" t="n">
        <f aca="false">C67*F67</f>
        <v>0.25</v>
      </c>
      <c r="O67" s="55" t="n">
        <f aca="false">D67*E67</f>
        <v>0.025</v>
      </c>
      <c r="P67" s="55" t="n">
        <f aca="false">D67*F67</f>
        <v>0.025</v>
      </c>
      <c r="Q67" s="55" t="n">
        <f aca="false">E67*F67</f>
        <v>0.25</v>
      </c>
      <c r="R67" s="55" t="n">
        <f aca="false">C67*C67</f>
        <v>0.25</v>
      </c>
      <c r="S67" s="55" t="n">
        <f aca="false">D67*D67</f>
        <v>0.0025</v>
      </c>
      <c r="T67" s="55" t="n">
        <f aca="false">E67*E67</f>
        <v>0.25</v>
      </c>
      <c r="U67" s="55" t="n">
        <f aca="false">F67*F67</f>
        <v>0.25</v>
      </c>
      <c r="V67" s="55" t="n">
        <f aca="false">SUMPRODUCT(G67:U67,_XtX!$B$96:$P$96)</f>
        <v>48.7627909356725</v>
      </c>
      <c r="W67" s="55" t="n">
        <f aca="false">SUMPRODUCT(MMULT(G67:U67,_XtX!$B$78:$P$92),G67:U67)</f>
        <v>0.139707501827485</v>
      </c>
      <c r="X67" s="55" t="n">
        <f aca="false">V67-04_回帰ANOVA!$K$19*04_回帰ANOVA!$K$14*SQRT(1+W67)</f>
        <v>47.3712528534274</v>
      </c>
      <c r="Y67" s="55" t="n">
        <f aca="false">V67+04_回帰ANOVA!$K$19*04_回帰ANOVA!$K$14*SQRT(1+W67)</f>
        <v>50.1543290179176</v>
      </c>
      <c r="Z67" s="54" t="b">
        <f aca="false">AND(C67&gt;=01_因子設定!$L$5-0.000000001,C67&lt;=01_因子設定!$M$5+0.000000001,D67&gt;=01_因子設定!$L$6-0.000000001,D67&lt;=01_因子設定!$M$6+0.000000001,E67&gt;=01_因子設定!$L$7-0.000000001,E67&lt;=01_因子設定!$M$7+0.000000001,F67&gt;=01_因子設定!$L$8-0.000000001,F67&lt;=01_因子設定!$M$8+0.000000001,IF(01_因子設定!$B$20="Box-Behnken",C67^2+D67^2+E67^2+F67^2&lt;=2+0.000000001,TRUE()))</f>
        <v>1</v>
      </c>
      <c r="AA67" s="55" t="n">
        <f aca="false">IF(Z67,IF(01_因子設定!$B$13="最大化",X67-01_因子設定!$B$14,IF(01_因子設定!$B$13="最小化",01_因子設定!$B$15-Y67,MIN(X67-01_因子設定!$B$14,01_因子設定!$B$15-Y67))),-1E+030)</f>
        <v>0.871252853427386</v>
      </c>
      <c r="AB67" s="55" t="n">
        <f aca="false">IF(AA67&gt;=0,1,0)</f>
        <v>1</v>
      </c>
    </row>
    <row r="68" customFormat="false" ht="15" hidden="false" customHeight="false" outlineLevel="0" collapsed="false">
      <c r="A68" s="0" t="n">
        <v>2</v>
      </c>
      <c r="B68" s="0" t="n">
        <v>0.1</v>
      </c>
      <c r="C68" s="57" t="n">
        <f aca="false">07_最適化!$B$6</f>
        <v>0.5</v>
      </c>
      <c r="D68" s="55" t="n">
        <f aca="false">B68</f>
        <v>0.1</v>
      </c>
      <c r="E68" s="57" t="n">
        <f aca="false">07_最適化!$B$8</f>
        <v>0.5</v>
      </c>
      <c r="F68" s="57" t="n">
        <f aca="false">07_最適化!$B$9</f>
        <v>0.5</v>
      </c>
      <c r="G68" s="55" t="n">
        <f aca="false">1</f>
        <v>1</v>
      </c>
      <c r="H68" s="57" t="n">
        <f aca="false">C68</f>
        <v>0.5</v>
      </c>
      <c r="I68" s="55" t="n">
        <f aca="false">D68</f>
        <v>0.1</v>
      </c>
      <c r="J68" s="57" t="n">
        <f aca="false">E68</f>
        <v>0.5</v>
      </c>
      <c r="K68" s="57" t="n">
        <f aca="false">F68</f>
        <v>0.5</v>
      </c>
      <c r="L68" s="55" t="n">
        <f aca="false">C68*D68</f>
        <v>0.05</v>
      </c>
      <c r="M68" s="55" t="n">
        <f aca="false">C68*E68</f>
        <v>0.25</v>
      </c>
      <c r="N68" s="55" t="n">
        <f aca="false">C68*F68</f>
        <v>0.25</v>
      </c>
      <c r="O68" s="55" t="n">
        <f aca="false">D68*E68</f>
        <v>0.05</v>
      </c>
      <c r="P68" s="55" t="n">
        <f aca="false">D68*F68</f>
        <v>0.05</v>
      </c>
      <c r="Q68" s="55" t="n">
        <f aca="false">E68*F68</f>
        <v>0.25</v>
      </c>
      <c r="R68" s="55" t="n">
        <f aca="false">C68*C68</f>
        <v>0.25</v>
      </c>
      <c r="S68" s="55" t="n">
        <f aca="false">D68*D68</f>
        <v>0.01</v>
      </c>
      <c r="T68" s="55" t="n">
        <f aca="false">E68*E68</f>
        <v>0.25</v>
      </c>
      <c r="U68" s="55" t="n">
        <f aca="false">F68*F68</f>
        <v>0.25</v>
      </c>
      <c r="V68" s="55" t="n">
        <f aca="false">SUMPRODUCT(G68:U68,_XtX!$B$96:$P$96)</f>
        <v>48.8787697368421</v>
      </c>
      <c r="W68" s="55" t="n">
        <f aca="false">SUMPRODUCT(MMULT(G68:U68,_XtX!$B$78:$P$92),G68:U68)</f>
        <v>0.138834283625731</v>
      </c>
      <c r="X68" s="55" t="n">
        <f aca="false">V68-04_回帰ANOVA!$K$19*04_回帰ANOVA!$K$14*SQRT(1+W68)</f>
        <v>47.4877648393035</v>
      </c>
      <c r="Y68" s="55" t="n">
        <f aca="false">V68+04_回帰ANOVA!$K$19*04_回帰ANOVA!$K$14*SQRT(1+W68)</f>
        <v>50.2697746343806</v>
      </c>
      <c r="Z68" s="54" t="b">
        <f aca="false">AND(C68&gt;=01_因子設定!$L$5-0.000000001,C68&lt;=01_因子設定!$M$5+0.000000001,D68&gt;=01_因子設定!$L$6-0.000000001,D68&lt;=01_因子設定!$M$6+0.000000001,E68&gt;=01_因子設定!$L$7-0.000000001,E68&lt;=01_因子設定!$M$7+0.000000001,F68&gt;=01_因子設定!$L$8-0.000000001,F68&lt;=01_因子設定!$M$8+0.000000001,IF(01_因子設定!$B$20="Box-Behnken",C68^2+D68^2+E68^2+F68^2&lt;=2+0.000000001,TRUE()))</f>
        <v>1</v>
      </c>
      <c r="AA68" s="55" t="n">
        <f aca="false">IF(Z68,IF(01_因子設定!$B$13="最大化",X68-01_因子設定!$B$14,IF(01_因子設定!$B$13="最小化",01_因子設定!$B$15-Y68,MIN(X68-01_因子設定!$B$14,01_因子設定!$B$15-Y68))),-1E+030)</f>
        <v>0.987764839303502</v>
      </c>
      <c r="AB68" s="55" t="n">
        <f aca="false">IF(AA68&gt;=0,1,0)</f>
        <v>1</v>
      </c>
    </row>
    <row r="69" customFormat="false" ht="15" hidden="false" customHeight="false" outlineLevel="0" collapsed="false">
      <c r="A69" s="0" t="n">
        <v>2</v>
      </c>
      <c r="B69" s="0" t="n">
        <v>0.15</v>
      </c>
      <c r="C69" s="57" t="n">
        <f aca="false">07_最適化!$B$6</f>
        <v>0.5</v>
      </c>
      <c r="D69" s="55" t="n">
        <f aca="false">B69</f>
        <v>0.15</v>
      </c>
      <c r="E69" s="57" t="n">
        <f aca="false">07_最適化!$B$8</f>
        <v>0.5</v>
      </c>
      <c r="F69" s="57" t="n">
        <f aca="false">07_最適化!$B$9</f>
        <v>0.5</v>
      </c>
      <c r="G69" s="55" t="n">
        <f aca="false">1</f>
        <v>1</v>
      </c>
      <c r="H69" s="57" t="n">
        <f aca="false">C69</f>
        <v>0.5</v>
      </c>
      <c r="I69" s="55" t="n">
        <f aca="false">D69</f>
        <v>0.15</v>
      </c>
      <c r="J69" s="57" t="n">
        <f aca="false">E69</f>
        <v>0.5</v>
      </c>
      <c r="K69" s="57" t="n">
        <f aca="false">F69</f>
        <v>0.5</v>
      </c>
      <c r="L69" s="55" t="n">
        <f aca="false">C69*D69</f>
        <v>0.075</v>
      </c>
      <c r="M69" s="55" t="n">
        <f aca="false">C69*E69</f>
        <v>0.25</v>
      </c>
      <c r="N69" s="55" t="n">
        <f aca="false">C69*F69</f>
        <v>0.25</v>
      </c>
      <c r="O69" s="55" t="n">
        <f aca="false">D69*E69</f>
        <v>0.075</v>
      </c>
      <c r="P69" s="55" t="n">
        <f aca="false">D69*F69</f>
        <v>0.075</v>
      </c>
      <c r="Q69" s="55" t="n">
        <f aca="false">E69*F69</f>
        <v>0.25</v>
      </c>
      <c r="R69" s="55" t="n">
        <f aca="false">C69*C69</f>
        <v>0.25</v>
      </c>
      <c r="S69" s="55" t="n">
        <f aca="false">D69*D69</f>
        <v>0.0225</v>
      </c>
      <c r="T69" s="55" t="n">
        <f aca="false">E69*E69</f>
        <v>0.25</v>
      </c>
      <c r="U69" s="55" t="n">
        <f aca="false">F69*F69</f>
        <v>0.25</v>
      </c>
      <c r="V69" s="55" t="n">
        <f aca="false">SUMPRODUCT(G69:U69,_XtX!$B$96:$P$96)</f>
        <v>48.9818362573099</v>
      </c>
      <c r="W69" s="55" t="n">
        <f aca="false">SUMPRODUCT(MMULT(G69:U69,_XtX!$B$78:$P$92),G69:U69)</f>
        <v>0.137475411184211</v>
      </c>
      <c r="X69" s="55" t="n">
        <f aca="false">V69-04_回帰ANOVA!$K$19*04_回帰ANOVA!$K$14*SQRT(1+W69)</f>
        <v>47.5916614903872</v>
      </c>
      <c r="Y69" s="55" t="n">
        <f aca="false">V69+04_回帰ANOVA!$K$19*04_回帰ANOVA!$K$14*SQRT(1+W69)</f>
        <v>50.3720110242326</v>
      </c>
      <c r="Z69" s="54" t="b">
        <f aca="false">AND(C69&gt;=01_因子設定!$L$5-0.000000001,C69&lt;=01_因子設定!$M$5+0.000000001,D69&gt;=01_因子設定!$L$6-0.000000001,D69&lt;=01_因子設定!$M$6+0.000000001,E69&gt;=01_因子設定!$L$7-0.000000001,E69&lt;=01_因子設定!$M$7+0.000000001,F69&gt;=01_因子設定!$L$8-0.000000001,F69&lt;=01_因子設定!$M$8+0.000000001,IF(01_因子設定!$B$20="Box-Behnken",C69^2+D69^2+E69^2+F69^2&lt;=2+0.000000001,TRUE()))</f>
        <v>1</v>
      </c>
      <c r="AA69" s="55" t="n">
        <f aca="false">IF(Z69,IF(01_因子設定!$B$13="最大化",X69-01_因子設定!$B$14,IF(01_因子設定!$B$13="最小化",01_因子設定!$B$15-Y69,MIN(X69-01_因子設定!$B$14,01_因子設定!$B$15-Y69))),-1E+030)</f>
        <v>1.09166149038719</v>
      </c>
      <c r="AB69" s="55" t="n">
        <f aca="false">IF(AA69&gt;=0,1,0)</f>
        <v>1</v>
      </c>
    </row>
    <row r="70" customFormat="false" ht="15" hidden="false" customHeight="false" outlineLevel="0" collapsed="false">
      <c r="A70" s="0" t="n">
        <v>2</v>
      </c>
      <c r="B70" s="0" t="n">
        <v>0.2</v>
      </c>
      <c r="C70" s="57" t="n">
        <f aca="false">07_最適化!$B$6</f>
        <v>0.5</v>
      </c>
      <c r="D70" s="55" t="n">
        <f aca="false">B70</f>
        <v>0.2</v>
      </c>
      <c r="E70" s="57" t="n">
        <f aca="false">07_最適化!$B$8</f>
        <v>0.5</v>
      </c>
      <c r="F70" s="57" t="n">
        <f aca="false">07_最適化!$B$9</f>
        <v>0.5</v>
      </c>
      <c r="G70" s="55" t="n">
        <f aca="false">1</f>
        <v>1</v>
      </c>
      <c r="H70" s="57" t="n">
        <f aca="false">C70</f>
        <v>0.5</v>
      </c>
      <c r="I70" s="55" t="n">
        <f aca="false">D70</f>
        <v>0.2</v>
      </c>
      <c r="J70" s="57" t="n">
        <f aca="false">E70</f>
        <v>0.5</v>
      </c>
      <c r="K70" s="57" t="n">
        <f aca="false">F70</f>
        <v>0.5</v>
      </c>
      <c r="L70" s="55" t="n">
        <f aca="false">C70*D70</f>
        <v>0.1</v>
      </c>
      <c r="M70" s="55" t="n">
        <f aca="false">C70*E70</f>
        <v>0.25</v>
      </c>
      <c r="N70" s="55" t="n">
        <f aca="false">C70*F70</f>
        <v>0.25</v>
      </c>
      <c r="O70" s="55" t="n">
        <f aca="false">D70*E70</f>
        <v>0.1</v>
      </c>
      <c r="P70" s="55" t="n">
        <f aca="false">D70*F70</f>
        <v>0.1</v>
      </c>
      <c r="Q70" s="55" t="n">
        <f aca="false">E70*F70</f>
        <v>0.25</v>
      </c>
      <c r="R70" s="55" t="n">
        <f aca="false">C70*C70</f>
        <v>0.25</v>
      </c>
      <c r="S70" s="55" t="n">
        <f aca="false">D70*D70</f>
        <v>0.04</v>
      </c>
      <c r="T70" s="55" t="n">
        <f aca="false">E70*E70</f>
        <v>0.25</v>
      </c>
      <c r="U70" s="55" t="n">
        <f aca="false">F70*F70</f>
        <v>0.25</v>
      </c>
      <c r="V70" s="55" t="n">
        <f aca="false">SUMPRODUCT(G70:U70,_XtX!$B$96:$P$96)</f>
        <v>49.071990497076</v>
      </c>
      <c r="W70" s="55" t="n">
        <f aca="false">SUMPRODUCT(MMULT(G70:U70,_XtX!$B$78:$P$92),G70:U70)</f>
        <v>0.135775621345029</v>
      </c>
      <c r="X70" s="55" t="n">
        <f aca="false">V70-04_回帰ANOVA!$K$19*04_回帰ANOVA!$K$14*SQRT(1+W70)</f>
        <v>47.6828548244367</v>
      </c>
      <c r="Y70" s="55" t="n">
        <f aca="false">V70+04_回帰ANOVA!$K$19*04_回帰ANOVA!$K$14*SQRT(1+W70)</f>
        <v>50.4611261697153</v>
      </c>
      <c r="Z70" s="54" t="b">
        <f aca="false">AND(C70&gt;=01_因子設定!$L$5-0.000000001,C70&lt;=01_因子設定!$M$5+0.000000001,D70&gt;=01_因子設定!$L$6-0.000000001,D70&lt;=01_因子設定!$M$6+0.000000001,E70&gt;=01_因子設定!$L$7-0.000000001,E70&lt;=01_因子設定!$M$7+0.000000001,F70&gt;=01_因子設定!$L$8-0.000000001,F70&lt;=01_因子設定!$M$8+0.000000001,IF(01_因子設定!$B$20="Box-Behnken",C70^2+D70^2+E70^2+F70^2&lt;=2+0.000000001,TRUE()))</f>
        <v>1</v>
      </c>
      <c r="AA70" s="55" t="n">
        <f aca="false">IF(Z70,IF(01_因子設定!$B$13="最大化",X70-01_因子設定!$B$14,IF(01_因子設定!$B$13="最小化",01_因子設定!$B$15-Y70,MIN(X70-01_因子設定!$B$14,01_因子設定!$B$15-Y70))),-1E+030)</f>
        <v>1.1828548244367</v>
      </c>
      <c r="AB70" s="55" t="n">
        <f aca="false">IF(AA70&gt;=0,1,0)</f>
        <v>1</v>
      </c>
    </row>
    <row r="71" customFormat="false" ht="15" hidden="false" customHeight="false" outlineLevel="0" collapsed="false">
      <c r="A71" s="0" t="n">
        <v>2</v>
      </c>
      <c r="B71" s="0" t="n">
        <v>0.25</v>
      </c>
      <c r="C71" s="57" t="n">
        <f aca="false">07_最適化!$B$6</f>
        <v>0.5</v>
      </c>
      <c r="D71" s="55" t="n">
        <f aca="false">B71</f>
        <v>0.25</v>
      </c>
      <c r="E71" s="57" t="n">
        <f aca="false">07_最適化!$B$8</f>
        <v>0.5</v>
      </c>
      <c r="F71" s="57" t="n">
        <f aca="false">07_最適化!$B$9</f>
        <v>0.5</v>
      </c>
      <c r="G71" s="55" t="n">
        <f aca="false">1</f>
        <v>1</v>
      </c>
      <c r="H71" s="57" t="n">
        <f aca="false">C71</f>
        <v>0.5</v>
      </c>
      <c r="I71" s="55" t="n">
        <f aca="false">D71</f>
        <v>0.25</v>
      </c>
      <c r="J71" s="57" t="n">
        <f aca="false">E71</f>
        <v>0.5</v>
      </c>
      <c r="K71" s="57" t="n">
        <f aca="false">F71</f>
        <v>0.5</v>
      </c>
      <c r="L71" s="55" t="n">
        <f aca="false">C71*D71</f>
        <v>0.125</v>
      </c>
      <c r="M71" s="55" t="n">
        <f aca="false">C71*E71</f>
        <v>0.25</v>
      </c>
      <c r="N71" s="55" t="n">
        <f aca="false">C71*F71</f>
        <v>0.25</v>
      </c>
      <c r="O71" s="55" t="n">
        <f aca="false">D71*E71</f>
        <v>0.125</v>
      </c>
      <c r="P71" s="55" t="n">
        <f aca="false">D71*F71</f>
        <v>0.125</v>
      </c>
      <c r="Q71" s="55" t="n">
        <f aca="false">E71*F71</f>
        <v>0.25</v>
      </c>
      <c r="R71" s="55" t="n">
        <f aca="false">C71*C71</f>
        <v>0.25</v>
      </c>
      <c r="S71" s="55" t="n">
        <f aca="false">D71*D71</f>
        <v>0.0625</v>
      </c>
      <c r="T71" s="55" t="n">
        <f aca="false">E71*E71</f>
        <v>0.25</v>
      </c>
      <c r="U71" s="55" t="n">
        <f aca="false">F71*F71</f>
        <v>0.25</v>
      </c>
      <c r="V71" s="55" t="n">
        <f aca="false">SUMPRODUCT(G71:U71,_XtX!$B$96:$P$96)</f>
        <v>49.1492324561403</v>
      </c>
      <c r="W71" s="55" t="n">
        <f aca="false">SUMPRODUCT(MMULT(G71:U71,_XtX!$B$78:$P$92),G71:U71)</f>
        <v>0.133937545687135</v>
      </c>
      <c r="X71" s="55" t="n">
        <f aca="false">V71-04_回帰ANOVA!$K$19*04_回帰ANOVA!$K$14*SQRT(1+W71)</f>
        <v>47.7612212883321</v>
      </c>
      <c r="Y71" s="55" t="n">
        <f aca="false">V71+04_回帰ANOVA!$K$19*04_回帰ANOVA!$K$14*SQRT(1+W71)</f>
        <v>50.5372436239486</v>
      </c>
      <c r="Z71" s="54" t="b">
        <f aca="false">AND(C71&gt;=01_因子設定!$L$5-0.000000001,C71&lt;=01_因子設定!$M$5+0.000000001,D71&gt;=01_因子設定!$L$6-0.000000001,D71&lt;=01_因子設定!$M$6+0.000000001,E71&gt;=01_因子設定!$L$7-0.000000001,E71&lt;=01_因子設定!$M$7+0.000000001,F71&gt;=01_因子設定!$L$8-0.000000001,F71&lt;=01_因子設定!$M$8+0.000000001,IF(01_因子設定!$B$20="Box-Behnken",C71^2+D71^2+E71^2+F71^2&lt;=2+0.000000001,TRUE()))</f>
        <v>1</v>
      </c>
      <c r="AA71" s="55" t="n">
        <f aca="false">IF(Z71,IF(01_因子設定!$B$13="最大化",X71-01_因子設定!$B$14,IF(01_因子設定!$B$13="最小化",01_因子設定!$B$15-Y71,MIN(X71-01_因子設定!$B$14,01_因子設定!$B$15-Y71))),-1E+030)</f>
        <v>1.26122128833207</v>
      </c>
      <c r="AB71" s="55" t="n">
        <f aca="false">IF(AA71&gt;=0,1,0)</f>
        <v>1</v>
      </c>
    </row>
    <row r="72" customFormat="false" ht="15" hidden="false" customHeight="false" outlineLevel="0" collapsed="false">
      <c r="A72" s="0" t="n">
        <v>2</v>
      </c>
      <c r="B72" s="0" t="n">
        <v>0.3</v>
      </c>
      <c r="C72" s="57" t="n">
        <f aca="false">07_最適化!$B$6</f>
        <v>0.5</v>
      </c>
      <c r="D72" s="55" t="n">
        <f aca="false">B72</f>
        <v>0.3</v>
      </c>
      <c r="E72" s="57" t="n">
        <f aca="false">07_最適化!$B$8</f>
        <v>0.5</v>
      </c>
      <c r="F72" s="57" t="n">
        <f aca="false">07_最適化!$B$9</f>
        <v>0.5</v>
      </c>
      <c r="G72" s="55" t="n">
        <f aca="false">1</f>
        <v>1</v>
      </c>
      <c r="H72" s="57" t="n">
        <f aca="false">C72</f>
        <v>0.5</v>
      </c>
      <c r="I72" s="55" t="n">
        <f aca="false">D72</f>
        <v>0.3</v>
      </c>
      <c r="J72" s="57" t="n">
        <f aca="false">E72</f>
        <v>0.5</v>
      </c>
      <c r="K72" s="57" t="n">
        <f aca="false">F72</f>
        <v>0.5</v>
      </c>
      <c r="L72" s="55" t="n">
        <f aca="false">C72*D72</f>
        <v>0.15</v>
      </c>
      <c r="M72" s="55" t="n">
        <f aca="false">C72*E72</f>
        <v>0.25</v>
      </c>
      <c r="N72" s="55" t="n">
        <f aca="false">C72*F72</f>
        <v>0.25</v>
      </c>
      <c r="O72" s="55" t="n">
        <f aca="false">D72*E72</f>
        <v>0.15</v>
      </c>
      <c r="P72" s="55" t="n">
        <f aca="false">D72*F72</f>
        <v>0.15</v>
      </c>
      <c r="Q72" s="55" t="n">
        <f aca="false">E72*F72</f>
        <v>0.25</v>
      </c>
      <c r="R72" s="55" t="n">
        <f aca="false">C72*C72</f>
        <v>0.25</v>
      </c>
      <c r="S72" s="55" t="n">
        <f aca="false">D72*D72</f>
        <v>0.09</v>
      </c>
      <c r="T72" s="55" t="n">
        <f aca="false">E72*E72</f>
        <v>0.25</v>
      </c>
      <c r="U72" s="55" t="n">
        <f aca="false">F72*F72</f>
        <v>0.25</v>
      </c>
      <c r="V72" s="55" t="n">
        <f aca="false">SUMPRODUCT(G72:U72,_XtX!$B$96:$P$96)</f>
        <v>49.2135621345029</v>
      </c>
      <c r="W72" s="55" t="n">
        <f aca="false">SUMPRODUCT(MMULT(G72:U72,_XtX!$B$78:$P$92),G72:U72)</f>
        <v>0.132221710526316</v>
      </c>
      <c r="X72" s="55" t="n">
        <f aca="false">V72-04_回帰ANOVA!$K$19*04_回帰ANOVA!$K$14*SQRT(1+W72)</f>
        <v>47.8266015095551</v>
      </c>
      <c r="Y72" s="55" t="n">
        <f aca="false">V72+04_回帰ANOVA!$K$19*04_回帰ANOVA!$K$14*SQRT(1+W72)</f>
        <v>50.6005227594507</v>
      </c>
      <c r="Z72" s="54" t="b">
        <f aca="false">AND(C72&gt;=01_因子設定!$L$5-0.000000001,C72&lt;=01_因子設定!$M$5+0.000000001,D72&gt;=01_因子設定!$L$6-0.000000001,D72&lt;=01_因子設定!$M$6+0.000000001,E72&gt;=01_因子設定!$L$7-0.000000001,E72&lt;=01_因子設定!$M$7+0.000000001,F72&gt;=01_因子設定!$L$8-0.000000001,F72&lt;=01_因子設定!$M$8+0.000000001,IF(01_因子設定!$B$20="Box-Behnken",C72^2+D72^2+E72^2+F72^2&lt;=2+0.000000001,TRUE()))</f>
        <v>1</v>
      </c>
      <c r="AA72" s="55" t="n">
        <f aca="false">IF(Z72,IF(01_因子設定!$B$13="最大化",X72-01_因子設定!$B$14,IF(01_因子設定!$B$13="最小化",01_因子設定!$B$15-Y72,MIN(X72-01_因子設定!$B$14,01_因子設定!$B$15-Y72))),-1E+030)</f>
        <v>1.32660150955513</v>
      </c>
      <c r="AB72" s="55" t="n">
        <f aca="false">IF(AA72&gt;=0,1,0)</f>
        <v>1</v>
      </c>
    </row>
    <row r="73" customFormat="false" ht="15" hidden="false" customHeight="false" outlineLevel="0" collapsed="false">
      <c r="A73" s="0" t="n">
        <v>2</v>
      </c>
      <c r="B73" s="0" t="n">
        <v>0.35</v>
      </c>
      <c r="C73" s="57" t="n">
        <f aca="false">07_最適化!$B$6</f>
        <v>0.5</v>
      </c>
      <c r="D73" s="55" t="n">
        <f aca="false">B73</f>
        <v>0.35</v>
      </c>
      <c r="E73" s="57" t="n">
        <f aca="false">07_最適化!$B$8</f>
        <v>0.5</v>
      </c>
      <c r="F73" s="57" t="n">
        <f aca="false">07_最適化!$B$9</f>
        <v>0.5</v>
      </c>
      <c r="G73" s="55" t="n">
        <f aca="false">1</f>
        <v>1</v>
      </c>
      <c r="H73" s="57" t="n">
        <f aca="false">C73</f>
        <v>0.5</v>
      </c>
      <c r="I73" s="55" t="n">
        <f aca="false">D73</f>
        <v>0.35</v>
      </c>
      <c r="J73" s="57" t="n">
        <f aca="false">E73</f>
        <v>0.5</v>
      </c>
      <c r="K73" s="57" t="n">
        <f aca="false">F73</f>
        <v>0.5</v>
      </c>
      <c r="L73" s="55" t="n">
        <f aca="false">C73*D73</f>
        <v>0.175</v>
      </c>
      <c r="M73" s="55" t="n">
        <f aca="false">C73*E73</f>
        <v>0.25</v>
      </c>
      <c r="N73" s="55" t="n">
        <f aca="false">C73*F73</f>
        <v>0.25</v>
      </c>
      <c r="O73" s="55" t="n">
        <f aca="false">D73*E73</f>
        <v>0.175</v>
      </c>
      <c r="P73" s="55" t="n">
        <f aca="false">D73*F73</f>
        <v>0.175</v>
      </c>
      <c r="Q73" s="55" t="n">
        <f aca="false">E73*F73</f>
        <v>0.25</v>
      </c>
      <c r="R73" s="55" t="n">
        <f aca="false">C73*C73</f>
        <v>0.25</v>
      </c>
      <c r="S73" s="55" t="n">
        <f aca="false">D73*D73</f>
        <v>0.1225</v>
      </c>
      <c r="T73" s="55" t="n">
        <f aca="false">E73*E73</f>
        <v>0.25</v>
      </c>
      <c r="U73" s="55" t="n">
        <f aca="false">F73*F73</f>
        <v>0.25</v>
      </c>
      <c r="V73" s="55" t="n">
        <f aca="false">SUMPRODUCT(G73:U73,_XtX!$B$96:$P$96)</f>
        <v>49.2649795321637</v>
      </c>
      <c r="W73" s="55" t="n">
        <f aca="false">SUMPRODUCT(MMULT(G73:U73,_XtX!$B$78:$P$92),G73:U73)</f>
        <v>0.130946536915205</v>
      </c>
      <c r="X73" s="55" t="n">
        <f aca="false">V73-04_回帰ANOVA!$K$19*04_回帰ANOVA!$K$14*SQRT(1+W73)</f>
        <v>47.8788001649114</v>
      </c>
      <c r="Y73" s="55" t="n">
        <f aca="false">V73+04_回帰ANOVA!$K$19*04_回帰ANOVA!$K$14*SQRT(1+W73)</f>
        <v>50.6511588994161</v>
      </c>
      <c r="Z73" s="54" t="b">
        <f aca="false">AND(C73&gt;=01_因子設定!$L$5-0.000000001,C73&lt;=01_因子設定!$M$5+0.000000001,D73&gt;=01_因子設定!$L$6-0.000000001,D73&lt;=01_因子設定!$M$6+0.000000001,E73&gt;=01_因子設定!$L$7-0.000000001,E73&lt;=01_因子設定!$M$7+0.000000001,F73&gt;=01_因子設定!$L$8-0.000000001,F73&lt;=01_因子設定!$M$8+0.000000001,IF(01_因子設定!$B$20="Box-Behnken",C73^2+D73^2+E73^2+F73^2&lt;=2+0.000000001,TRUE()))</f>
        <v>1</v>
      </c>
      <c r="AA73" s="55" t="n">
        <f aca="false">IF(Z73,IF(01_因子設定!$B$13="最大化",X73-01_因子設定!$B$14,IF(01_因子設定!$B$13="最小化",01_因子設定!$B$15-Y73,MIN(X73-01_因子設定!$B$14,01_因子設定!$B$15-Y73))),-1E+030)</f>
        <v>1.37880016491135</v>
      </c>
      <c r="AB73" s="55" t="n">
        <f aca="false">IF(AA73&gt;=0,1,0)</f>
        <v>1</v>
      </c>
    </row>
    <row r="74" customFormat="false" ht="15" hidden="false" customHeight="false" outlineLevel="0" collapsed="false">
      <c r="A74" s="0" t="n">
        <v>2</v>
      </c>
      <c r="B74" s="0" t="n">
        <v>0.4</v>
      </c>
      <c r="C74" s="57" t="n">
        <f aca="false">07_最適化!$B$6</f>
        <v>0.5</v>
      </c>
      <c r="D74" s="55" t="n">
        <f aca="false">B74</f>
        <v>0.4</v>
      </c>
      <c r="E74" s="57" t="n">
        <f aca="false">07_最適化!$B$8</f>
        <v>0.5</v>
      </c>
      <c r="F74" s="57" t="n">
        <f aca="false">07_最適化!$B$9</f>
        <v>0.5</v>
      </c>
      <c r="G74" s="55" t="n">
        <f aca="false">1</f>
        <v>1</v>
      </c>
      <c r="H74" s="57" t="n">
        <f aca="false">C74</f>
        <v>0.5</v>
      </c>
      <c r="I74" s="55" t="n">
        <f aca="false">D74</f>
        <v>0.4</v>
      </c>
      <c r="J74" s="57" t="n">
        <f aca="false">E74</f>
        <v>0.5</v>
      </c>
      <c r="K74" s="57" t="n">
        <f aca="false">F74</f>
        <v>0.5</v>
      </c>
      <c r="L74" s="55" t="n">
        <f aca="false">C74*D74</f>
        <v>0.2</v>
      </c>
      <c r="M74" s="55" t="n">
        <f aca="false">C74*E74</f>
        <v>0.25</v>
      </c>
      <c r="N74" s="55" t="n">
        <f aca="false">C74*F74</f>
        <v>0.25</v>
      </c>
      <c r="O74" s="55" t="n">
        <f aca="false">D74*E74</f>
        <v>0.2</v>
      </c>
      <c r="P74" s="55" t="n">
        <f aca="false">D74*F74</f>
        <v>0.2</v>
      </c>
      <c r="Q74" s="55" t="n">
        <f aca="false">E74*F74</f>
        <v>0.25</v>
      </c>
      <c r="R74" s="55" t="n">
        <f aca="false">C74*C74</f>
        <v>0.25</v>
      </c>
      <c r="S74" s="55" t="n">
        <f aca="false">D74*D74</f>
        <v>0.16</v>
      </c>
      <c r="T74" s="55" t="n">
        <f aca="false">E74*E74</f>
        <v>0.25</v>
      </c>
      <c r="U74" s="55" t="n">
        <f aca="false">F74*F74</f>
        <v>0.25</v>
      </c>
      <c r="V74" s="55" t="n">
        <f aca="false">SUMPRODUCT(G74:U74,_XtX!$B$96:$P$96)</f>
        <v>49.3034846491228</v>
      </c>
      <c r="W74" s="55" t="n">
        <f aca="false">SUMPRODUCT(MMULT(G74:U74,_XtX!$B$78:$P$92),G74:U74)</f>
        <v>0.130488340643275</v>
      </c>
      <c r="X74" s="55" t="n">
        <f aca="false">V74-04_回帰ANOVA!$K$19*04_回帰ANOVA!$K$14*SQRT(1+W74)</f>
        <v>47.917586111486</v>
      </c>
      <c r="Y74" s="55" t="n">
        <f aca="false">V74+04_回帰ANOVA!$K$19*04_回帰ANOVA!$K$14*SQRT(1+W74)</f>
        <v>50.6893831867596</v>
      </c>
      <c r="Z74" s="54" t="b">
        <f aca="false">AND(C74&gt;=01_因子設定!$L$5-0.000000001,C74&lt;=01_因子設定!$M$5+0.000000001,D74&gt;=01_因子設定!$L$6-0.000000001,D74&lt;=01_因子設定!$M$6+0.000000001,E74&gt;=01_因子設定!$L$7-0.000000001,E74&lt;=01_因子設定!$M$7+0.000000001,F74&gt;=01_因子設定!$L$8-0.000000001,F74&lt;=01_因子設定!$M$8+0.000000001,IF(01_因子設定!$B$20="Box-Behnken",C74^2+D74^2+E74^2+F74^2&lt;=2+0.000000001,TRUE()))</f>
        <v>1</v>
      </c>
      <c r="AA74" s="55" t="n">
        <f aca="false">IF(Z74,IF(01_因子設定!$B$13="最大化",X74-01_因子設定!$B$14,IF(01_因子設定!$B$13="最小化",01_因子設定!$B$15-Y74,MIN(X74-01_因子設定!$B$14,01_因子設定!$B$15-Y74))),-1E+030)</f>
        <v>1.41758611148597</v>
      </c>
      <c r="AB74" s="55" t="n">
        <f aca="false">IF(AA74&gt;=0,1,0)</f>
        <v>1</v>
      </c>
    </row>
    <row r="75" customFormat="false" ht="15" hidden="false" customHeight="false" outlineLevel="0" collapsed="false">
      <c r="A75" s="0" t="n">
        <v>2</v>
      </c>
      <c r="B75" s="0" t="n">
        <v>0.45</v>
      </c>
      <c r="C75" s="57" t="n">
        <f aca="false">07_最適化!$B$6</f>
        <v>0.5</v>
      </c>
      <c r="D75" s="55" t="n">
        <f aca="false">B75</f>
        <v>0.45</v>
      </c>
      <c r="E75" s="57" t="n">
        <f aca="false">07_最適化!$B$8</f>
        <v>0.5</v>
      </c>
      <c r="F75" s="57" t="n">
        <f aca="false">07_最適化!$B$9</f>
        <v>0.5</v>
      </c>
      <c r="G75" s="55" t="n">
        <f aca="false">1</f>
        <v>1</v>
      </c>
      <c r="H75" s="57" t="n">
        <f aca="false">C75</f>
        <v>0.5</v>
      </c>
      <c r="I75" s="55" t="n">
        <f aca="false">D75</f>
        <v>0.45</v>
      </c>
      <c r="J75" s="57" t="n">
        <f aca="false">E75</f>
        <v>0.5</v>
      </c>
      <c r="K75" s="57" t="n">
        <f aca="false">F75</f>
        <v>0.5</v>
      </c>
      <c r="L75" s="55" t="n">
        <f aca="false">C75*D75</f>
        <v>0.225</v>
      </c>
      <c r="M75" s="55" t="n">
        <f aca="false">C75*E75</f>
        <v>0.25</v>
      </c>
      <c r="N75" s="55" t="n">
        <f aca="false">C75*F75</f>
        <v>0.25</v>
      </c>
      <c r="O75" s="55" t="n">
        <f aca="false">D75*E75</f>
        <v>0.225</v>
      </c>
      <c r="P75" s="55" t="n">
        <f aca="false">D75*F75</f>
        <v>0.225</v>
      </c>
      <c r="Q75" s="55" t="n">
        <f aca="false">E75*F75</f>
        <v>0.25</v>
      </c>
      <c r="R75" s="55" t="n">
        <f aca="false">C75*C75</f>
        <v>0.25</v>
      </c>
      <c r="S75" s="55" t="n">
        <f aca="false">D75*D75</f>
        <v>0.2025</v>
      </c>
      <c r="T75" s="55" t="n">
        <f aca="false">E75*E75</f>
        <v>0.25</v>
      </c>
      <c r="U75" s="55" t="n">
        <f aca="false">F75*F75</f>
        <v>0.25</v>
      </c>
      <c r="V75" s="55" t="n">
        <f aca="false">SUMPRODUCT(G75:U75,_XtX!$B$96:$P$96)</f>
        <v>49.3290774853801</v>
      </c>
      <c r="W75" s="55" t="n">
        <f aca="false">SUMPRODUCT(MMULT(G75:U75,_XtX!$B$78:$P$92),G75:U75)</f>
        <v>0.131281332236842</v>
      </c>
      <c r="X75" s="55" t="n">
        <f aca="false">V75-04_回帰ANOVA!$K$19*04_回帰ANOVA!$K$14*SQRT(1+W75)</f>
        <v>47.9426929572244</v>
      </c>
      <c r="Y75" s="55" t="n">
        <f aca="false">V75+04_回帰ANOVA!$K$19*04_回帰ANOVA!$K$14*SQRT(1+W75)</f>
        <v>50.7154620135357</v>
      </c>
      <c r="Z75" s="54" t="b">
        <f aca="false">AND(C75&gt;=01_因子設定!$L$5-0.000000001,C75&lt;=01_因子設定!$M$5+0.000000001,D75&gt;=01_因子設定!$L$6-0.000000001,D75&lt;=01_因子設定!$M$6+0.000000001,E75&gt;=01_因子設定!$L$7-0.000000001,E75&lt;=01_因子設定!$M$7+0.000000001,F75&gt;=01_因子設定!$L$8-0.000000001,F75&lt;=01_因子設定!$M$8+0.000000001,IF(01_因子設定!$B$20="Box-Behnken",C75^2+D75^2+E75^2+F75^2&lt;=2+0.000000001,TRUE()))</f>
        <v>1</v>
      </c>
      <c r="AA75" s="55" t="n">
        <f aca="false">IF(Z75,IF(01_因子設定!$B$13="最大化",X75-01_因子設定!$B$14,IF(01_因子設定!$B$13="最小化",01_因子設定!$B$15-Y75,MIN(X75-01_因子設定!$B$14,01_因子設定!$B$15-Y75))),-1E+030)</f>
        <v>1.44269295722443</v>
      </c>
      <c r="AB75" s="55" t="n">
        <f aca="false">IF(AA75&gt;=0,1,0)</f>
        <v>1</v>
      </c>
    </row>
    <row r="76" customFormat="false" ht="15" hidden="false" customHeight="false" outlineLevel="0" collapsed="false">
      <c r="A76" s="0" t="n">
        <v>2</v>
      </c>
      <c r="B76" s="0" t="n">
        <v>0.5</v>
      </c>
      <c r="C76" s="57" t="n">
        <f aca="false">07_最適化!$B$6</f>
        <v>0.5</v>
      </c>
      <c r="D76" s="55" t="n">
        <f aca="false">B76</f>
        <v>0.5</v>
      </c>
      <c r="E76" s="57" t="n">
        <f aca="false">07_最適化!$B$8</f>
        <v>0.5</v>
      </c>
      <c r="F76" s="57" t="n">
        <f aca="false">07_最適化!$B$9</f>
        <v>0.5</v>
      </c>
      <c r="G76" s="55" t="n">
        <f aca="false">1</f>
        <v>1</v>
      </c>
      <c r="H76" s="57" t="n">
        <f aca="false">C76</f>
        <v>0.5</v>
      </c>
      <c r="I76" s="55" t="n">
        <f aca="false">D76</f>
        <v>0.5</v>
      </c>
      <c r="J76" s="57" t="n">
        <f aca="false">E76</f>
        <v>0.5</v>
      </c>
      <c r="K76" s="57" t="n">
        <f aca="false">F76</f>
        <v>0.5</v>
      </c>
      <c r="L76" s="55" t="n">
        <f aca="false">C76*D76</f>
        <v>0.25</v>
      </c>
      <c r="M76" s="55" t="n">
        <f aca="false">C76*E76</f>
        <v>0.25</v>
      </c>
      <c r="N76" s="55" t="n">
        <f aca="false">C76*F76</f>
        <v>0.25</v>
      </c>
      <c r="O76" s="55" t="n">
        <f aca="false">D76*E76</f>
        <v>0.25</v>
      </c>
      <c r="P76" s="55" t="n">
        <f aca="false">D76*F76</f>
        <v>0.25</v>
      </c>
      <c r="Q76" s="55" t="n">
        <f aca="false">E76*F76</f>
        <v>0.25</v>
      </c>
      <c r="R76" s="55" t="n">
        <f aca="false">C76*C76</f>
        <v>0.25</v>
      </c>
      <c r="S76" s="55" t="n">
        <f aca="false">D76*D76</f>
        <v>0.25</v>
      </c>
      <c r="T76" s="55" t="n">
        <f aca="false">E76*E76</f>
        <v>0.25</v>
      </c>
      <c r="U76" s="55" t="n">
        <f aca="false">F76*F76</f>
        <v>0.25</v>
      </c>
      <c r="V76" s="55" t="n">
        <f aca="false">SUMPRODUCT(G76:U76,_XtX!$B$96:$P$96)</f>
        <v>49.3417580409356</v>
      </c>
      <c r="W76" s="55" t="n">
        <f aca="false">SUMPRODUCT(MMULT(G76:U76,_XtX!$B$78:$P$92),G76:U76)</f>
        <v>0.133817616959064</v>
      </c>
      <c r="X76" s="55" t="n">
        <f aca="false">V76-04_回帰ANOVA!$K$19*04_回帰ANOVA!$K$14*SQRT(1+W76)</f>
        <v>47.9538202752368</v>
      </c>
      <c r="Y76" s="55" t="n">
        <f aca="false">V76+04_回帰ANOVA!$K$19*04_回帰ANOVA!$K$14*SQRT(1+W76)</f>
        <v>50.7296958066345</v>
      </c>
      <c r="Z76" s="54" t="b">
        <f aca="false">AND(C76&gt;=01_因子設定!$L$5-0.000000001,C76&lt;=01_因子設定!$M$5+0.000000001,D76&gt;=01_因子設定!$L$6-0.000000001,D76&lt;=01_因子設定!$M$6+0.000000001,E76&gt;=01_因子設定!$L$7-0.000000001,E76&lt;=01_因子設定!$M$7+0.000000001,F76&gt;=01_因子設定!$L$8-0.000000001,F76&lt;=01_因子設定!$M$8+0.000000001,IF(01_因子設定!$B$20="Box-Behnken",C76^2+D76^2+E76^2+F76^2&lt;=2+0.000000001,TRUE()))</f>
        <v>1</v>
      </c>
      <c r="AA76" s="55" t="n">
        <f aca="false">IF(Z76,IF(01_因子設定!$B$13="最大化",X76-01_因子設定!$B$14,IF(01_因子設定!$B$13="最小化",01_因子設定!$B$15-Y76,MIN(X76-01_因子設定!$B$14,01_因子設定!$B$15-Y76))),-1E+030)</f>
        <v>1.45382027523677</v>
      </c>
      <c r="AB76" s="55" t="n">
        <f aca="false">IF(AA76&gt;=0,1,0)</f>
        <v>1</v>
      </c>
    </row>
    <row r="77" customFormat="false" ht="15" hidden="false" customHeight="false" outlineLevel="0" collapsed="false">
      <c r="A77" s="0" t="n">
        <v>2</v>
      </c>
      <c r="B77" s="0" t="n">
        <v>0.55</v>
      </c>
      <c r="C77" s="57" t="n">
        <f aca="false">07_最適化!$B$6</f>
        <v>0.5</v>
      </c>
      <c r="D77" s="55" t="n">
        <f aca="false">B77</f>
        <v>0.55</v>
      </c>
      <c r="E77" s="57" t="n">
        <f aca="false">07_最適化!$B$8</f>
        <v>0.5</v>
      </c>
      <c r="F77" s="57" t="n">
        <f aca="false">07_最適化!$B$9</f>
        <v>0.5</v>
      </c>
      <c r="G77" s="55" t="n">
        <f aca="false">1</f>
        <v>1</v>
      </c>
      <c r="H77" s="57" t="n">
        <f aca="false">C77</f>
        <v>0.5</v>
      </c>
      <c r="I77" s="55" t="n">
        <f aca="false">D77</f>
        <v>0.55</v>
      </c>
      <c r="J77" s="57" t="n">
        <f aca="false">E77</f>
        <v>0.5</v>
      </c>
      <c r="K77" s="57" t="n">
        <f aca="false">F77</f>
        <v>0.5</v>
      </c>
      <c r="L77" s="55" t="n">
        <f aca="false">C77*D77</f>
        <v>0.275</v>
      </c>
      <c r="M77" s="55" t="n">
        <f aca="false">C77*E77</f>
        <v>0.25</v>
      </c>
      <c r="N77" s="55" t="n">
        <f aca="false">C77*F77</f>
        <v>0.25</v>
      </c>
      <c r="O77" s="55" t="n">
        <f aca="false">D77*E77</f>
        <v>0.275</v>
      </c>
      <c r="P77" s="55" t="n">
        <f aca="false">D77*F77</f>
        <v>0.275</v>
      </c>
      <c r="Q77" s="55" t="n">
        <f aca="false">E77*F77</f>
        <v>0.25</v>
      </c>
      <c r="R77" s="55" t="n">
        <f aca="false">C77*C77</f>
        <v>0.25</v>
      </c>
      <c r="S77" s="55" t="n">
        <f aca="false">D77*D77</f>
        <v>0.3025</v>
      </c>
      <c r="T77" s="55" t="n">
        <f aca="false">E77*E77</f>
        <v>0.25</v>
      </c>
      <c r="U77" s="55" t="n">
        <f aca="false">F77*F77</f>
        <v>0.25</v>
      </c>
      <c r="V77" s="55" t="n">
        <f aca="false">SUMPRODUCT(G77:U77,_XtX!$B$96:$P$96)</f>
        <v>49.3415263157894</v>
      </c>
      <c r="W77" s="55" t="n">
        <f aca="false">SUMPRODUCT(MMULT(G77:U77,_XtX!$B$78:$P$92),G77:U77)</f>
        <v>0.138647194809942</v>
      </c>
      <c r="X77" s="55" t="n">
        <f aca="false">V77-04_回帰ANOVA!$K$19*04_回帰ANOVA!$K$14*SQRT(1+W77)</f>
        <v>47.9506356807699</v>
      </c>
      <c r="Y77" s="55" t="n">
        <f aca="false">V77+04_回帰ANOVA!$K$19*04_回帰ANOVA!$K$14*SQRT(1+W77)</f>
        <v>50.7324169508089</v>
      </c>
      <c r="Z77" s="54" t="b">
        <f aca="false">AND(C77&gt;=01_因子設定!$L$5-0.000000001,C77&lt;=01_因子設定!$M$5+0.000000001,D77&gt;=01_因子設定!$L$6-0.000000001,D77&lt;=01_因子設定!$M$6+0.000000001,E77&gt;=01_因子設定!$L$7-0.000000001,E77&lt;=01_因子設定!$M$7+0.000000001,F77&gt;=01_因子設定!$L$8-0.000000001,F77&lt;=01_因子設定!$M$8+0.000000001,IF(01_因子設定!$B$20="Box-Behnken",C77^2+D77^2+E77^2+F77^2&lt;=2+0.000000001,TRUE()))</f>
        <v>1</v>
      </c>
      <c r="AA77" s="55" t="n">
        <f aca="false">IF(Z77,IF(01_因子設定!$B$13="最大化",X77-01_因子設定!$B$14,IF(01_因子設定!$B$13="最小化",01_因子設定!$B$15-Y77,MIN(X77-01_因子設定!$B$14,01_因子設定!$B$15-Y77))),-1E+030)</f>
        <v>1.45063568076993</v>
      </c>
      <c r="AB77" s="55" t="n">
        <f aca="false">IF(AA77&gt;=0,1,0)</f>
        <v>1</v>
      </c>
    </row>
    <row r="78" customFormat="false" ht="15" hidden="false" customHeight="false" outlineLevel="0" collapsed="false">
      <c r="A78" s="0" t="n">
        <v>2</v>
      </c>
      <c r="B78" s="0" t="n">
        <v>0.6</v>
      </c>
      <c r="C78" s="57" t="n">
        <f aca="false">07_最適化!$B$6</f>
        <v>0.5</v>
      </c>
      <c r="D78" s="55" t="n">
        <f aca="false">B78</f>
        <v>0.6</v>
      </c>
      <c r="E78" s="57" t="n">
        <f aca="false">07_最適化!$B$8</f>
        <v>0.5</v>
      </c>
      <c r="F78" s="57" t="n">
        <f aca="false">07_最適化!$B$9</f>
        <v>0.5</v>
      </c>
      <c r="G78" s="55" t="n">
        <f aca="false">1</f>
        <v>1</v>
      </c>
      <c r="H78" s="57" t="n">
        <f aca="false">C78</f>
        <v>0.5</v>
      </c>
      <c r="I78" s="55" t="n">
        <f aca="false">D78</f>
        <v>0.6</v>
      </c>
      <c r="J78" s="57" t="n">
        <f aca="false">E78</f>
        <v>0.5</v>
      </c>
      <c r="K78" s="57" t="n">
        <f aca="false">F78</f>
        <v>0.5</v>
      </c>
      <c r="L78" s="55" t="n">
        <f aca="false">C78*D78</f>
        <v>0.3</v>
      </c>
      <c r="M78" s="55" t="n">
        <f aca="false">C78*E78</f>
        <v>0.25</v>
      </c>
      <c r="N78" s="55" t="n">
        <f aca="false">C78*F78</f>
        <v>0.25</v>
      </c>
      <c r="O78" s="55" t="n">
        <f aca="false">D78*E78</f>
        <v>0.3</v>
      </c>
      <c r="P78" s="55" t="n">
        <f aca="false">D78*F78</f>
        <v>0.3</v>
      </c>
      <c r="Q78" s="55" t="n">
        <f aca="false">E78*F78</f>
        <v>0.25</v>
      </c>
      <c r="R78" s="55" t="n">
        <f aca="false">C78*C78</f>
        <v>0.25</v>
      </c>
      <c r="S78" s="55" t="n">
        <f aca="false">D78*D78</f>
        <v>0.36</v>
      </c>
      <c r="T78" s="55" t="n">
        <f aca="false">E78*E78</f>
        <v>0.25</v>
      </c>
      <c r="U78" s="55" t="n">
        <f aca="false">F78*F78</f>
        <v>0.25</v>
      </c>
      <c r="V78" s="55" t="n">
        <f aca="false">SUMPRODUCT(G78:U78,_XtX!$B$96:$P$96)</f>
        <v>49.3283823099415</v>
      </c>
      <c r="W78" s="55" t="n">
        <f aca="false">SUMPRODUCT(MMULT(G78:U78,_XtX!$B$78:$P$92),G78:U78)</f>
        <v>0.146377960526316</v>
      </c>
      <c r="X78" s="55" t="n">
        <f aca="false">V78-04_回帰ANOVA!$K$19*04_回帰ANOVA!$K$14*SQRT(1+W78)</f>
        <v>47.9327779847246</v>
      </c>
      <c r="Y78" s="55" t="n">
        <f aca="false">V78+04_回帰ANOVA!$K$19*04_回帰ANOVA!$K$14*SQRT(1+W78)</f>
        <v>50.7239866351583</v>
      </c>
      <c r="Z78" s="54" t="b">
        <f aca="false">AND(C78&gt;=01_因子設定!$L$5-0.000000001,C78&lt;=01_因子設定!$M$5+0.000000001,D78&gt;=01_因子設定!$L$6-0.000000001,D78&lt;=01_因子設定!$M$6+0.000000001,E78&gt;=01_因子設定!$L$7-0.000000001,E78&lt;=01_因子設定!$M$7+0.000000001,F78&gt;=01_因子設定!$L$8-0.000000001,F78&lt;=01_因子設定!$M$8+0.000000001,IF(01_因子設定!$B$20="Box-Behnken",C78^2+D78^2+E78^2+F78^2&lt;=2+0.000000001,TRUE()))</f>
        <v>1</v>
      </c>
      <c r="AA78" s="55" t="n">
        <f aca="false">IF(Z78,IF(01_因子設定!$B$13="最大化",X78-01_因子設定!$B$14,IF(01_因子設定!$B$13="最小化",01_因子設定!$B$15-Y78,MIN(X78-01_因子設定!$B$14,01_因子設定!$B$15-Y78))),-1E+030)</f>
        <v>1.43277798472464</v>
      </c>
      <c r="AB78" s="55" t="n">
        <f aca="false">IF(AA78&gt;=0,1,0)</f>
        <v>1</v>
      </c>
    </row>
    <row r="79" customFormat="false" ht="15" hidden="false" customHeight="false" outlineLevel="0" collapsed="false">
      <c r="A79" s="0" t="n">
        <v>2</v>
      </c>
      <c r="B79" s="0" t="n">
        <v>0.65</v>
      </c>
      <c r="C79" s="57" t="n">
        <f aca="false">07_最適化!$B$6</f>
        <v>0.5</v>
      </c>
      <c r="D79" s="55" t="n">
        <f aca="false">B79</f>
        <v>0.65</v>
      </c>
      <c r="E79" s="57" t="n">
        <f aca="false">07_最適化!$B$8</f>
        <v>0.5</v>
      </c>
      <c r="F79" s="57" t="n">
        <f aca="false">07_最適化!$B$9</f>
        <v>0.5</v>
      </c>
      <c r="G79" s="55" t="n">
        <f aca="false">1</f>
        <v>1</v>
      </c>
      <c r="H79" s="57" t="n">
        <f aca="false">C79</f>
        <v>0.5</v>
      </c>
      <c r="I79" s="55" t="n">
        <f aca="false">D79</f>
        <v>0.65</v>
      </c>
      <c r="J79" s="57" t="n">
        <f aca="false">E79</f>
        <v>0.5</v>
      </c>
      <c r="K79" s="57" t="n">
        <f aca="false">F79</f>
        <v>0.5</v>
      </c>
      <c r="L79" s="55" t="n">
        <f aca="false">C79*D79</f>
        <v>0.325</v>
      </c>
      <c r="M79" s="55" t="n">
        <f aca="false">C79*E79</f>
        <v>0.25</v>
      </c>
      <c r="N79" s="55" t="n">
        <f aca="false">C79*F79</f>
        <v>0.25</v>
      </c>
      <c r="O79" s="55" t="n">
        <f aca="false">D79*E79</f>
        <v>0.325</v>
      </c>
      <c r="P79" s="55" t="n">
        <f aca="false">D79*F79</f>
        <v>0.325</v>
      </c>
      <c r="Q79" s="55" t="n">
        <f aca="false">E79*F79</f>
        <v>0.25</v>
      </c>
      <c r="R79" s="55" t="n">
        <f aca="false">C79*C79</f>
        <v>0.25</v>
      </c>
      <c r="S79" s="55" t="n">
        <f aca="false">D79*D79</f>
        <v>0.4225</v>
      </c>
      <c r="T79" s="55" t="n">
        <f aca="false">E79*E79</f>
        <v>0.25</v>
      </c>
      <c r="U79" s="55" t="n">
        <f aca="false">F79*F79</f>
        <v>0.25</v>
      </c>
      <c r="V79" s="55" t="n">
        <f aca="false">SUMPRODUCT(G79:U79,_XtX!$B$96:$P$96)</f>
        <v>49.3023260233918</v>
      </c>
      <c r="W79" s="55" t="n">
        <f aca="false">SUMPRODUCT(MMULT(G79:U79,_XtX!$B$78:$P$92),G79:U79)</f>
        <v>0.157675703581871</v>
      </c>
      <c r="X79" s="55" t="n">
        <f aca="false">V79-04_回帰ANOVA!$K$19*04_回帰ANOVA!$K$14*SQRT(1+W79)</f>
        <v>47.8998616036724</v>
      </c>
      <c r="Y79" s="55" t="n">
        <f aca="false">V79+04_回帰ANOVA!$K$19*04_回帰ANOVA!$K$14*SQRT(1+W79)</f>
        <v>50.7047904431112</v>
      </c>
      <c r="Z79" s="54" t="b">
        <f aca="false">AND(C79&gt;=01_因子設定!$L$5-0.000000001,C79&lt;=01_因子設定!$M$5+0.000000001,D79&gt;=01_因子設定!$L$6-0.000000001,D79&lt;=01_因子設定!$M$6+0.000000001,E79&gt;=01_因子設定!$L$7-0.000000001,E79&lt;=01_因子設定!$M$7+0.000000001,F79&gt;=01_因子設定!$L$8-0.000000001,F79&lt;=01_因子設定!$M$8+0.000000001,IF(01_因子設定!$B$20="Box-Behnken",C79^2+D79^2+E79^2+F79^2&lt;=2+0.000000001,TRUE()))</f>
        <v>1</v>
      </c>
      <c r="AA79" s="55" t="n">
        <f aca="false">IF(Z79,IF(01_因子設定!$B$13="最大化",X79-01_因子設定!$B$14,IF(01_因子設定!$B$13="最小化",01_因子設定!$B$15-Y79,MIN(X79-01_因子設定!$B$14,01_因子設定!$B$15-Y79))),-1E+030)</f>
        <v>1.39986160367236</v>
      </c>
      <c r="AB79" s="55" t="n">
        <f aca="false">IF(AA79&gt;=0,1,0)</f>
        <v>1</v>
      </c>
    </row>
    <row r="80" customFormat="false" ht="15" hidden="false" customHeight="false" outlineLevel="0" collapsed="false">
      <c r="A80" s="0" t="n">
        <v>2</v>
      </c>
      <c r="B80" s="0" t="n">
        <v>0.7</v>
      </c>
      <c r="C80" s="57" t="n">
        <f aca="false">07_最適化!$B$6</f>
        <v>0.5</v>
      </c>
      <c r="D80" s="55" t="n">
        <f aca="false">B80</f>
        <v>0.7</v>
      </c>
      <c r="E80" s="57" t="n">
        <f aca="false">07_最適化!$B$8</f>
        <v>0.5</v>
      </c>
      <c r="F80" s="57" t="n">
        <f aca="false">07_最適化!$B$9</f>
        <v>0.5</v>
      </c>
      <c r="G80" s="55" t="n">
        <f aca="false">1</f>
        <v>1</v>
      </c>
      <c r="H80" s="57" t="n">
        <f aca="false">C80</f>
        <v>0.5</v>
      </c>
      <c r="I80" s="55" t="n">
        <f aca="false">D80</f>
        <v>0.7</v>
      </c>
      <c r="J80" s="57" t="n">
        <f aca="false">E80</f>
        <v>0.5</v>
      </c>
      <c r="K80" s="57" t="n">
        <f aca="false">F80</f>
        <v>0.5</v>
      </c>
      <c r="L80" s="55" t="n">
        <f aca="false">C80*D80</f>
        <v>0.35</v>
      </c>
      <c r="M80" s="55" t="n">
        <f aca="false">C80*E80</f>
        <v>0.25</v>
      </c>
      <c r="N80" s="55" t="n">
        <f aca="false">C80*F80</f>
        <v>0.25</v>
      </c>
      <c r="O80" s="55" t="n">
        <f aca="false">D80*E80</f>
        <v>0.35</v>
      </c>
      <c r="P80" s="55" t="n">
        <f aca="false">D80*F80</f>
        <v>0.35</v>
      </c>
      <c r="Q80" s="55" t="n">
        <f aca="false">E80*F80</f>
        <v>0.25</v>
      </c>
      <c r="R80" s="55" t="n">
        <f aca="false">C80*C80</f>
        <v>0.25</v>
      </c>
      <c r="S80" s="55" t="n">
        <f aca="false">D80*D80</f>
        <v>0.49</v>
      </c>
      <c r="T80" s="55" t="n">
        <f aca="false">E80*E80</f>
        <v>0.25</v>
      </c>
      <c r="U80" s="55" t="n">
        <f aca="false">F80*F80</f>
        <v>0.25</v>
      </c>
      <c r="V80" s="55" t="n">
        <f aca="false">SUMPRODUCT(G80:U80,_XtX!$B$96:$P$96)</f>
        <v>49.2633574561403</v>
      </c>
      <c r="W80" s="55" t="n">
        <f aca="false">SUMPRODUCT(MMULT(G80:U80,_XtX!$B$78:$P$92),G80:U80)</f>
        <v>0.173264108187135</v>
      </c>
      <c r="X80" s="55" t="n">
        <f aca="false">V80-04_回帰ANOVA!$K$19*04_回帰ANOVA!$K$14*SQRT(1+W80)</f>
        <v>47.8514823356895</v>
      </c>
      <c r="Y80" s="55" t="n">
        <f aca="false">V80+04_回帰ANOVA!$K$19*04_回帰ANOVA!$K$14*SQRT(1+W80)</f>
        <v>50.6752325765911</v>
      </c>
      <c r="Z80" s="54" t="b">
        <f aca="false">AND(C80&gt;=01_因子設定!$L$5-0.000000001,C80&lt;=01_因子設定!$M$5+0.000000001,D80&gt;=01_因子設定!$L$6-0.000000001,D80&lt;=01_因子設定!$M$6+0.000000001,E80&gt;=01_因子設定!$L$7-0.000000001,E80&lt;=01_因子設定!$M$7+0.000000001,F80&gt;=01_因子設定!$L$8-0.000000001,F80&lt;=01_因子設定!$M$8+0.000000001,IF(01_因子設定!$B$20="Box-Behnken",C80^2+D80^2+E80^2+F80^2&lt;=2+0.000000001,TRUE()))</f>
        <v>1</v>
      </c>
      <c r="AA80" s="55" t="n">
        <f aca="false">IF(Z80,IF(01_因子設定!$B$13="最大化",X80-01_因子設定!$B$14,IF(01_因子設定!$B$13="最小化",01_因子設定!$B$15-Y80,MIN(X80-01_因子設定!$B$14,01_因子設定!$B$15-Y80))),-1E+030)</f>
        <v>1.35148233568954</v>
      </c>
      <c r="AB80" s="55" t="n">
        <f aca="false">IF(AA80&gt;=0,1,0)</f>
        <v>1</v>
      </c>
    </row>
    <row r="81" customFormat="false" ht="15" hidden="false" customHeight="false" outlineLevel="0" collapsed="false">
      <c r="A81" s="0" t="n">
        <v>2</v>
      </c>
      <c r="B81" s="0" t="n">
        <v>0.75</v>
      </c>
      <c r="C81" s="57" t="n">
        <f aca="false">07_最適化!$B$6</f>
        <v>0.5</v>
      </c>
      <c r="D81" s="55" t="n">
        <f aca="false">B81</f>
        <v>0.75</v>
      </c>
      <c r="E81" s="57" t="n">
        <f aca="false">07_最適化!$B$8</f>
        <v>0.5</v>
      </c>
      <c r="F81" s="57" t="n">
        <f aca="false">07_最適化!$B$9</f>
        <v>0.5</v>
      </c>
      <c r="G81" s="55" t="n">
        <f aca="false">1</f>
        <v>1</v>
      </c>
      <c r="H81" s="57" t="n">
        <f aca="false">C81</f>
        <v>0.5</v>
      </c>
      <c r="I81" s="55" t="n">
        <f aca="false">D81</f>
        <v>0.75</v>
      </c>
      <c r="J81" s="57" t="n">
        <f aca="false">E81</f>
        <v>0.5</v>
      </c>
      <c r="K81" s="57" t="n">
        <f aca="false">F81</f>
        <v>0.5</v>
      </c>
      <c r="L81" s="55" t="n">
        <f aca="false">C81*D81</f>
        <v>0.375</v>
      </c>
      <c r="M81" s="55" t="n">
        <f aca="false">C81*E81</f>
        <v>0.25</v>
      </c>
      <c r="N81" s="55" t="n">
        <f aca="false">C81*F81</f>
        <v>0.25</v>
      </c>
      <c r="O81" s="55" t="n">
        <f aca="false">D81*E81</f>
        <v>0.375</v>
      </c>
      <c r="P81" s="55" t="n">
        <f aca="false">D81*F81</f>
        <v>0.375</v>
      </c>
      <c r="Q81" s="55" t="n">
        <f aca="false">E81*F81</f>
        <v>0.25</v>
      </c>
      <c r="R81" s="55" t="n">
        <f aca="false">C81*C81</f>
        <v>0.25</v>
      </c>
      <c r="S81" s="55" t="n">
        <f aca="false">D81*D81</f>
        <v>0.5625</v>
      </c>
      <c r="T81" s="55" t="n">
        <f aca="false">E81*E81</f>
        <v>0.25</v>
      </c>
      <c r="U81" s="55" t="n">
        <f aca="false">F81*F81</f>
        <v>0.25</v>
      </c>
      <c r="V81" s="55" t="n">
        <f aca="false">SUMPRODUCT(G81:U81,_XtX!$B$96:$P$96)</f>
        <v>49.2114766081871</v>
      </c>
      <c r="W81" s="55" t="n">
        <f aca="false">SUMPRODUCT(MMULT(G81:U81,_XtX!$B$78:$P$92),G81:U81)</f>
        <v>0.193924753289474</v>
      </c>
      <c r="X81" s="55" t="n">
        <f aca="false">V81-04_回帰ANOVA!$K$19*04_回帰ANOVA!$K$14*SQRT(1+W81)</f>
        <v>47.7872245001955</v>
      </c>
      <c r="Y81" s="55" t="n">
        <f aca="false">V81+04_回帰ANOVA!$K$19*04_回帰ANOVA!$K$14*SQRT(1+W81)</f>
        <v>50.6357287161787</v>
      </c>
      <c r="Z81" s="54" t="b">
        <f aca="false">AND(C81&gt;=01_因子設定!$L$5-0.000000001,C81&lt;=01_因子設定!$M$5+0.000000001,D81&gt;=01_因子設定!$L$6-0.000000001,D81&lt;=01_因子設定!$M$6+0.000000001,E81&gt;=01_因子設定!$L$7-0.000000001,E81&lt;=01_因子設定!$M$7+0.000000001,F81&gt;=01_因子設定!$L$8-0.000000001,F81&lt;=01_因子設定!$M$8+0.000000001,IF(01_因子設定!$B$20="Box-Behnken",C81^2+D81^2+E81^2+F81^2&lt;=2+0.000000001,TRUE()))</f>
        <v>1</v>
      </c>
      <c r="AA81" s="55" t="n">
        <f aca="false">IF(Z81,IF(01_因子設定!$B$13="最大化",X81-01_因子設定!$B$14,IF(01_因子設定!$B$13="最小化",01_因子設定!$B$15-Y81,MIN(X81-01_因子設定!$B$14,01_因子設定!$B$15-Y81))),-1E+030)</f>
        <v>1.2872245001955</v>
      </c>
      <c r="AB81" s="55" t="n">
        <f aca="false">IF(AA81&gt;=0,1,0)</f>
        <v>1</v>
      </c>
    </row>
    <row r="82" customFormat="false" ht="15" hidden="false" customHeight="false" outlineLevel="0" collapsed="false">
      <c r="A82" s="0" t="n">
        <v>2</v>
      </c>
      <c r="B82" s="0" t="n">
        <v>0.8</v>
      </c>
      <c r="C82" s="57" t="n">
        <f aca="false">07_最適化!$B$6</f>
        <v>0.5</v>
      </c>
      <c r="D82" s="55" t="n">
        <f aca="false">B82</f>
        <v>0.8</v>
      </c>
      <c r="E82" s="57" t="n">
        <f aca="false">07_最適化!$B$8</f>
        <v>0.5</v>
      </c>
      <c r="F82" s="57" t="n">
        <f aca="false">07_最適化!$B$9</f>
        <v>0.5</v>
      </c>
      <c r="G82" s="55" t="n">
        <f aca="false">1</f>
        <v>1</v>
      </c>
      <c r="H82" s="57" t="n">
        <f aca="false">C82</f>
        <v>0.5</v>
      </c>
      <c r="I82" s="55" t="n">
        <f aca="false">D82</f>
        <v>0.8</v>
      </c>
      <c r="J82" s="57" t="n">
        <f aca="false">E82</f>
        <v>0.5</v>
      </c>
      <c r="K82" s="57" t="n">
        <f aca="false">F82</f>
        <v>0.5</v>
      </c>
      <c r="L82" s="55" t="n">
        <f aca="false">C82*D82</f>
        <v>0.4</v>
      </c>
      <c r="M82" s="55" t="n">
        <f aca="false">C82*E82</f>
        <v>0.25</v>
      </c>
      <c r="N82" s="55" t="n">
        <f aca="false">C82*F82</f>
        <v>0.25</v>
      </c>
      <c r="O82" s="55" t="n">
        <f aca="false">D82*E82</f>
        <v>0.4</v>
      </c>
      <c r="P82" s="55" t="n">
        <f aca="false">D82*F82</f>
        <v>0.4</v>
      </c>
      <c r="Q82" s="55" t="n">
        <f aca="false">E82*F82</f>
        <v>0.25</v>
      </c>
      <c r="R82" s="55" t="n">
        <f aca="false">C82*C82</f>
        <v>0.25</v>
      </c>
      <c r="S82" s="55" t="n">
        <f aca="false">D82*D82</f>
        <v>0.64</v>
      </c>
      <c r="T82" s="55" t="n">
        <f aca="false">E82*E82</f>
        <v>0.25</v>
      </c>
      <c r="U82" s="55" t="n">
        <f aca="false">F82*F82</f>
        <v>0.25</v>
      </c>
      <c r="V82" s="55" t="n">
        <f aca="false">SUMPRODUCT(G82:U82,_XtX!$B$96:$P$96)</f>
        <v>49.1466834795321</v>
      </c>
      <c r="W82" s="55" t="n">
        <f aca="false">SUMPRODUCT(MMULT(G82:U82,_XtX!$B$78:$P$92),G82:U82)</f>
        <v>0.220497112573099</v>
      </c>
      <c r="X82" s="55" t="n">
        <f aca="false">V82-04_回帰ANOVA!$K$19*04_回帰ANOVA!$K$14*SQRT(1+W82)</f>
        <v>47.7066692922174</v>
      </c>
      <c r="Y82" s="55" t="n">
        <f aca="false">V82+04_回帰ANOVA!$K$19*04_回帰ANOVA!$K$14*SQRT(1+W82)</f>
        <v>50.5866976668469</v>
      </c>
      <c r="Z82" s="54" t="b">
        <f aca="false">AND(C82&gt;=01_因子設定!$L$5-0.000000001,C82&lt;=01_因子設定!$M$5+0.000000001,D82&gt;=01_因子設定!$L$6-0.000000001,D82&lt;=01_因子設定!$M$6+0.000000001,E82&gt;=01_因子設定!$L$7-0.000000001,E82&lt;=01_因子設定!$M$7+0.000000001,F82&gt;=01_因子設定!$L$8-0.000000001,F82&lt;=01_因子設定!$M$8+0.000000001,IF(01_因子設定!$B$20="Box-Behnken",C82^2+D82^2+E82^2+F82^2&lt;=2+0.000000001,TRUE()))</f>
        <v>1</v>
      </c>
      <c r="AA82" s="55" t="n">
        <f aca="false">IF(Z82,IF(01_因子設定!$B$13="最大化",X82-01_因子設定!$B$14,IF(01_因子設定!$B$13="最小化",01_因子設定!$B$15-Y82,MIN(X82-01_因子設定!$B$14,01_因子設定!$B$15-Y82))),-1E+030)</f>
        <v>1.20666929221738</v>
      </c>
      <c r="AB82" s="55" t="n">
        <f aca="false">IF(AA82&gt;=0,1,0)</f>
        <v>1</v>
      </c>
    </row>
    <row r="83" customFormat="false" ht="15" hidden="false" customHeight="false" outlineLevel="0" collapsed="false">
      <c r="A83" s="0" t="n">
        <v>2</v>
      </c>
      <c r="B83" s="0" t="n">
        <v>0.85</v>
      </c>
      <c r="C83" s="57" t="n">
        <f aca="false">07_最適化!$B$6</f>
        <v>0.5</v>
      </c>
      <c r="D83" s="55" t="n">
        <f aca="false">B83</f>
        <v>0.85</v>
      </c>
      <c r="E83" s="57" t="n">
        <f aca="false">07_最適化!$B$8</f>
        <v>0.5</v>
      </c>
      <c r="F83" s="57" t="n">
        <f aca="false">07_最適化!$B$9</f>
        <v>0.5</v>
      </c>
      <c r="G83" s="55" t="n">
        <f aca="false">1</f>
        <v>1</v>
      </c>
      <c r="H83" s="57" t="n">
        <f aca="false">C83</f>
        <v>0.5</v>
      </c>
      <c r="I83" s="55" t="n">
        <f aca="false">D83</f>
        <v>0.85</v>
      </c>
      <c r="J83" s="57" t="n">
        <f aca="false">E83</f>
        <v>0.5</v>
      </c>
      <c r="K83" s="57" t="n">
        <f aca="false">F83</f>
        <v>0.5</v>
      </c>
      <c r="L83" s="55" t="n">
        <f aca="false">C83*D83</f>
        <v>0.425</v>
      </c>
      <c r="M83" s="55" t="n">
        <f aca="false">C83*E83</f>
        <v>0.25</v>
      </c>
      <c r="N83" s="55" t="n">
        <f aca="false">C83*F83</f>
        <v>0.25</v>
      </c>
      <c r="O83" s="55" t="n">
        <f aca="false">D83*E83</f>
        <v>0.425</v>
      </c>
      <c r="P83" s="55" t="n">
        <f aca="false">D83*F83</f>
        <v>0.425</v>
      </c>
      <c r="Q83" s="55" t="n">
        <f aca="false">E83*F83</f>
        <v>0.25</v>
      </c>
      <c r="R83" s="55" t="n">
        <f aca="false">C83*C83</f>
        <v>0.25</v>
      </c>
      <c r="S83" s="55" t="n">
        <f aca="false">D83*D83</f>
        <v>0.7225</v>
      </c>
      <c r="T83" s="55" t="n">
        <f aca="false">E83*E83</f>
        <v>0.25</v>
      </c>
      <c r="U83" s="55" t="n">
        <f aca="false">F83*F83</f>
        <v>0.25</v>
      </c>
      <c r="V83" s="55" t="n">
        <f aca="false">SUMPRODUCT(G83:U83,_XtX!$B$96:$P$96)</f>
        <v>49.0689780701754</v>
      </c>
      <c r="W83" s="55" t="n">
        <f aca="false">SUMPRODUCT(MMULT(G83:U83,_XtX!$B$78:$P$92),G83:U83)</f>
        <v>0.253878554459064</v>
      </c>
      <c r="X83" s="55" t="n">
        <f aca="false">V83-04_回帰ANOVA!$K$19*04_回帰ANOVA!$K$14*SQRT(1+W83)</f>
        <v>47.609404031525</v>
      </c>
      <c r="Y83" s="55" t="n">
        <f aca="false">V83+04_回帰ANOVA!$K$19*04_回帰ANOVA!$K$14*SQRT(1+W83)</f>
        <v>50.5285521088258</v>
      </c>
      <c r="Z83" s="54" t="b">
        <f aca="false">AND(C83&gt;=01_因子設定!$L$5-0.000000001,C83&lt;=01_因子設定!$M$5+0.000000001,D83&gt;=01_因子設定!$L$6-0.000000001,D83&lt;=01_因子設定!$M$6+0.000000001,E83&gt;=01_因子設定!$L$7-0.000000001,E83&lt;=01_因子設定!$M$7+0.000000001,F83&gt;=01_因子設定!$L$8-0.000000001,F83&lt;=01_因子設定!$M$8+0.000000001,IF(01_因子設定!$B$20="Box-Behnken",C83^2+D83^2+E83^2+F83^2&lt;=2+0.000000001,TRUE()))</f>
        <v>1</v>
      </c>
      <c r="AA83" s="55" t="n">
        <f aca="false">IF(Z83,IF(01_因子設定!$B$13="最大化",X83-01_因子設定!$B$14,IF(01_因子設定!$B$13="最小化",01_因子設定!$B$15-Y83,MIN(X83-01_因子設定!$B$14,01_因子設定!$B$15-Y83))),-1E+030)</f>
        <v>1.10940403152504</v>
      </c>
      <c r="AB83" s="55" t="n">
        <f aca="false">IF(AA83&gt;=0,1,0)</f>
        <v>1</v>
      </c>
    </row>
    <row r="84" customFormat="false" ht="15" hidden="false" customHeight="false" outlineLevel="0" collapsed="false">
      <c r="A84" s="0" t="n">
        <v>2</v>
      </c>
      <c r="B84" s="0" t="n">
        <v>0.9</v>
      </c>
      <c r="C84" s="57" t="n">
        <f aca="false">07_最適化!$B$6</f>
        <v>0.5</v>
      </c>
      <c r="D84" s="55" t="n">
        <f aca="false">B84</f>
        <v>0.9</v>
      </c>
      <c r="E84" s="57" t="n">
        <f aca="false">07_最適化!$B$8</f>
        <v>0.5</v>
      </c>
      <c r="F84" s="57" t="n">
        <f aca="false">07_最適化!$B$9</f>
        <v>0.5</v>
      </c>
      <c r="G84" s="55" t="n">
        <f aca="false">1</f>
        <v>1</v>
      </c>
      <c r="H84" s="57" t="n">
        <f aca="false">C84</f>
        <v>0.5</v>
      </c>
      <c r="I84" s="55" t="n">
        <f aca="false">D84</f>
        <v>0.9</v>
      </c>
      <c r="J84" s="57" t="n">
        <f aca="false">E84</f>
        <v>0.5</v>
      </c>
      <c r="K84" s="57" t="n">
        <f aca="false">F84</f>
        <v>0.5</v>
      </c>
      <c r="L84" s="55" t="n">
        <f aca="false">C84*D84</f>
        <v>0.45</v>
      </c>
      <c r="M84" s="55" t="n">
        <f aca="false">C84*E84</f>
        <v>0.25</v>
      </c>
      <c r="N84" s="55" t="n">
        <f aca="false">C84*F84</f>
        <v>0.25</v>
      </c>
      <c r="O84" s="55" t="n">
        <f aca="false">D84*E84</f>
        <v>0.45</v>
      </c>
      <c r="P84" s="55" t="n">
        <f aca="false">D84*F84</f>
        <v>0.45</v>
      </c>
      <c r="Q84" s="55" t="n">
        <f aca="false">E84*F84</f>
        <v>0.25</v>
      </c>
      <c r="R84" s="55" t="n">
        <f aca="false">C84*C84</f>
        <v>0.25</v>
      </c>
      <c r="S84" s="55" t="n">
        <f aca="false">D84*D84</f>
        <v>0.81</v>
      </c>
      <c r="T84" s="55" t="n">
        <f aca="false">E84*E84</f>
        <v>0.25</v>
      </c>
      <c r="U84" s="55" t="n">
        <f aca="false">F84*F84</f>
        <v>0.25</v>
      </c>
      <c r="V84" s="55" t="n">
        <f aca="false">SUMPRODUCT(G84:U84,_XtX!$B$96:$P$96)</f>
        <v>48.9783603801169</v>
      </c>
      <c r="W84" s="55" t="n">
        <f aca="false">SUMPRODUCT(MMULT(G84:U84,_XtX!$B$78:$P$92),G84:U84)</f>
        <v>0.295024342105263</v>
      </c>
      <c r="X84" s="55" t="n">
        <f aca="false">V84-04_回帰ANOVA!$K$19*04_回帰ANOVA!$K$14*SQRT(1+W84)</f>
        <v>47.4950318204722</v>
      </c>
      <c r="Y84" s="55" t="n">
        <f aca="false">V84+04_回帰ANOVA!$K$19*04_回帰ANOVA!$K$14*SQRT(1+W84)</f>
        <v>50.4616889397616</v>
      </c>
      <c r="Z84" s="54" t="b">
        <f aca="false">AND(C84&gt;=01_因子設定!$L$5-0.000000001,C84&lt;=01_因子設定!$M$5+0.000000001,D84&gt;=01_因子設定!$L$6-0.000000001,D84&lt;=01_因子設定!$M$6+0.000000001,E84&gt;=01_因子設定!$L$7-0.000000001,E84&lt;=01_因子設定!$M$7+0.000000001,F84&gt;=01_因子設定!$L$8-0.000000001,F84&lt;=01_因子設定!$M$8+0.000000001,IF(01_因子設定!$B$20="Box-Behnken",C84^2+D84^2+E84^2+F84^2&lt;=2+0.000000001,TRUE()))</f>
        <v>1</v>
      </c>
      <c r="AA84" s="55" t="n">
        <f aca="false">IF(Z84,IF(01_因子設定!$B$13="最大化",X84-01_因子設定!$B$14,IF(01_因子設定!$B$13="最小化",01_因子設定!$B$15-Y84,MIN(X84-01_因子設定!$B$14,01_因子設定!$B$15-Y84))),-1E+030)</f>
        <v>0.995031820472235</v>
      </c>
      <c r="AB84" s="55" t="n">
        <f aca="false">IF(AA84&gt;=0,1,0)</f>
        <v>1</v>
      </c>
    </row>
    <row r="85" customFormat="false" ht="15" hidden="false" customHeight="false" outlineLevel="0" collapsed="false">
      <c r="A85" s="0" t="n">
        <v>2</v>
      </c>
      <c r="B85" s="0" t="n">
        <v>0.95</v>
      </c>
      <c r="C85" s="57" t="n">
        <f aca="false">07_最適化!$B$6</f>
        <v>0.5</v>
      </c>
      <c r="D85" s="55" t="n">
        <f aca="false">B85</f>
        <v>0.95</v>
      </c>
      <c r="E85" s="57" t="n">
        <f aca="false">07_最適化!$B$8</f>
        <v>0.5</v>
      </c>
      <c r="F85" s="57" t="n">
        <f aca="false">07_最適化!$B$9</f>
        <v>0.5</v>
      </c>
      <c r="G85" s="55" t="n">
        <f aca="false">1</f>
        <v>1</v>
      </c>
      <c r="H85" s="57" t="n">
        <f aca="false">C85</f>
        <v>0.5</v>
      </c>
      <c r="I85" s="55" t="n">
        <f aca="false">D85</f>
        <v>0.95</v>
      </c>
      <c r="J85" s="57" t="n">
        <f aca="false">E85</f>
        <v>0.5</v>
      </c>
      <c r="K85" s="57" t="n">
        <f aca="false">F85</f>
        <v>0.5</v>
      </c>
      <c r="L85" s="55" t="n">
        <f aca="false">C85*D85</f>
        <v>0.475</v>
      </c>
      <c r="M85" s="55" t="n">
        <f aca="false">C85*E85</f>
        <v>0.25</v>
      </c>
      <c r="N85" s="55" t="n">
        <f aca="false">C85*F85</f>
        <v>0.25</v>
      </c>
      <c r="O85" s="55" t="n">
        <f aca="false">D85*E85</f>
        <v>0.475</v>
      </c>
      <c r="P85" s="55" t="n">
        <f aca="false">D85*F85</f>
        <v>0.475</v>
      </c>
      <c r="Q85" s="55" t="n">
        <f aca="false">E85*F85</f>
        <v>0.25</v>
      </c>
      <c r="R85" s="55" t="n">
        <f aca="false">C85*C85</f>
        <v>0.25</v>
      </c>
      <c r="S85" s="55" t="n">
        <f aca="false">D85*D85</f>
        <v>0.9025</v>
      </c>
      <c r="T85" s="55" t="n">
        <f aca="false">E85*E85</f>
        <v>0.25</v>
      </c>
      <c r="U85" s="55" t="n">
        <f aca="false">F85*F85</f>
        <v>0.25</v>
      </c>
      <c r="V85" s="55" t="n">
        <f aca="false">SUMPRODUCT(G85:U85,_XtX!$B$96:$P$96)</f>
        <v>48.8748304093567</v>
      </c>
      <c r="W85" s="55" t="n">
        <f aca="false">SUMPRODUCT(MMULT(G85:U85,_XtX!$B$78:$P$92),G85:U85)</f>
        <v>0.344947633406433</v>
      </c>
      <c r="X85" s="55" t="n">
        <f aca="false">V85-04_回帰ANOVA!$K$19*04_回帰ANOVA!$K$14*SQRT(1+W85)</f>
        <v>47.3631809946115</v>
      </c>
      <c r="Y85" s="55" t="n">
        <f aca="false">V85+04_回帰ANOVA!$K$19*04_回帰ANOVA!$K$14*SQRT(1+W85)</f>
        <v>50.3864798241019</v>
      </c>
      <c r="Z85" s="54" t="b">
        <f aca="false">AND(C85&gt;=01_因子設定!$L$5-0.000000001,C85&lt;=01_因子設定!$M$5+0.000000001,D85&gt;=01_因子設定!$L$6-0.000000001,D85&lt;=01_因子設定!$M$6+0.000000001,E85&gt;=01_因子設定!$L$7-0.000000001,E85&lt;=01_因子設定!$M$7+0.000000001,F85&gt;=01_因子設定!$L$8-0.000000001,F85&lt;=01_因子設定!$M$8+0.000000001,IF(01_因子設定!$B$20="Box-Behnken",C85^2+D85^2+E85^2+F85^2&lt;=2+0.000000001,TRUE()))</f>
        <v>1</v>
      </c>
      <c r="AA85" s="55" t="n">
        <f aca="false">IF(Z85,IF(01_因子設定!$B$13="最大化",X85-01_因子設定!$B$14,IF(01_因子設定!$B$13="最小化",01_因子設定!$B$15-Y85,MIN(X85-01_因子設定!$B$14,01_因子設定!$B$15-Y85))),-1E+030)</f>
        <v>0.863180994611497</v>
      </c>
      <c r="AB85" s="55" t="n">
        <f aca="false">IF(AA85&gt;=0,1,0)</f>
        <v>1</v>
      </c>
    </row>
    <row r="86" customFormat="false" ht="15" hidden="false" customHeight="false" outlineLevel="0" collapsed="false">
      <c r="A86" s="0" t="n">
        <v>2</v>
      </c>
      <c r="B86" s="0" t="n">
        <v>1</v>
      </c>
      <c r="C86" s="57" t="n">
        <f aca="false">07_最適化!$B$6</f>
        <v>0.5</v>
      </c>
      <c r="D86" s="55" t="n">
        <f aca="false">B86</f>
        <v>1</v>
      </c>
      <c r="E86" s="57" t="n">
        <f aca="false">07_最適化!$B$8</f>
        <v>0.5</v>
      </c>
      <c r="F86" s="57" t="n">
        <f aca="false">07_最適化!$B$9</f>
        <v>0.5</v>
      </c>
      <c r="G86" s="55" t="n">
        <f aca="false">1</f>
        <v>1</v>
      </c>
      <c r="H86" s="57" t="n">
        <f aca="false">C86</f>
        <v>0.5</v>
      </c>
      <c r="I86" s="55" t="n">
        <f aca="false">D86</f>
        <v>1</v>
      </c>
      <c r="J86" s="57" t="n">
        <f aca="false">E86</f>
        <v>0.5</v>
      </c>
      <c r="K86" s="57" t="n">
        <f aca="false">F86</f>
        <v>0.5</v>
      </c>
      <c r="L86" s="55" t="n">
        <f aca="false">C86*D86</f>
        <v>0.5</v>
      </c>
      <c r="M86" s="55" t="n">
        <f aca="false">C86*E86</f>
        <v>0.25</v>
      </c>
      <c r="N86" s="55" t="n">
        <f aca="false">C86*F86</f>
        <v>0.25</v>
      </c>
      <c r="O86" s="55" t="n">
        <f aca="false">D86*E86</f>
        <v>0.5</v>
      </c>
      <c r="P86" s="55" t="n">
        <f aca="false">D86*F86</f>
        <v>0.5</v>
      </c>
      <c r="Q86" s="55" t="n">
        <f aca="false">E86*F86</f>
        <v>0.25</v>
      </c>
      <c r="R86" s="55" t="n">
        <f aca="false">C86*C86</f>
        <v>0.25</v>
      </c>
      <c r="S86" s="55" t="n">
        <f aca="false">D86*D86</f>
        <v>1</v>
      </c>
      <c r="T86" s="55" t="n">
        <f aca="false">E86*E86</f>
        <v>0.25</v>
      </c>
      <c r="U86" s="55" t="n">
        <f aca="false">F86*F86</f>
        <v>0.25</v>
      </c>
      <c r="V86" s="55" t="n">
        <f aca="false">SUMPRODUCT(G86:U86,_XtX!$B$96:$P$96)</f>
        <v>48.7583881578947</v>
      </c>
      <c r="W86" s="55" t="n">
        <f aca="false">SUMPRODUCT(MMULT(G86:U86,_XtX!$B$78:$P$92),G86:U86)</f>
        <v>0.404719480994152</v>
      </c>
      <c r="X86" s="55" t="n">
        <f aca="false">V86-04_回帰ANOVA!$K$19*04_回帰ANOVA!$K$14*SQRT(1+W86)</f>
        <v>47.213513690916</v>
      </c>
      <c r="Y86" s="55" t="n">
        <f aca="false">V86+04_回帰ANOVA!$K$19*04_回帰ANOVA!$K$14*SQRT(1+W86)</f>
        <v>50.3032626248734</v>
      </c>
      <c r="Z86" s="54" t="b">
        <f aca="false">AND(C86&gt;=01_因子設定!$L$5-0.000000001,C86&lt;=01_因子設定!$M$5+0.000000001,D86&gt;=01_因子設定!$L$6-0.000000001,D86&lt;=01_因子設定!$M$6+0.000000001,E86&gt;=01_因子設定!$L$7-0.000000001,E86&lt;=01_因子設定!$M$7+0.000000001,F86&gt;=01_因子設定!$L$8-0.000000001,F86&lt;=01_因子設定!$M$8+0.000000001,IF(01_因子設定!$B$20="Box-Behnken",C86^2+D86^2+E86^2+F86^2&lt;=2+0.000000001,TRUE()))</f>
        <v>1</v>
      </c>
      <c r="AA86" s="55" t="n">
        <f aca="false">IF(Z86,IF(01_因子設定!$B$13="最大化",X86-01_因子設定!$B$14,IF(01_因子設定!$B$13="最小化",01_因子設定!$B$15-Y86,MIN(X86-01_因子設定!$B$14,01_因子設定!$B$15-Y86))),-1E+030)</f>
        <v>0.713513690916024</v>
      </c>
      <c r="AB86" s="55" t="n">
        <f aca="false">IF(AA86&gt;=0,1,0)</f>
        <v>1</v>
      </c>
    </row>
    <row r="87" customFormat="false" ht="15" hidden="false" customHeight="false" outlineLevel="0" collapsed="false">
      <c r="A87" s="0" t="n">
        <v>3</v>
      </c>
      <c r="B87" s="0" t="n">
        <v>-1</v>
      </c>
      <c r="C87" s="57" t="n">
        <f aca="false">07_最適化!$B$6</f>
        <v>0.5</v>
      </c>
      <c r="D87" s="57" t="n">
        <f aca="false">07_最適化!$B$7</f>
        <v>0.5</v>
      </c>
      <c r="E87" s="55" t="n">
        <f aca="false">B87</f>
        <v>-1</v>
      </c>
      <c r="F87" s="57" t="n">
        <f aca="false">07_最適化!$B$9</f>
        <v>0.5</v>
      </c>
      <c r="G87" s="55" t="n">
        <f aca="false">1</f>
        <v>1</v>
      </c>
      <c r="H87" s="57" t="n">
        <f aca="false">C87</f>
        <v>0.5</v>
      </c>
      <c r="I87" s="57" t="n">
        <f aca="false">D87</f>
        <v>0.5</v>
      </c>
      <c r="J87" s="55" t="n">
        <f aca="false">E87</f>
        <v>-1</v>
      </c>
      <c r="K87" s="57" t="n">
        <f aca="false">F87</f>
        <v>0.5</v>
      </c>
      <c r="L87" s="55" t="n">
        <f aca="false">C87*D87</f>
        <v>0.25</v>
      </c>
      <c r="M87" s="55" t="n">
        <f aca="false">C87*E87</f>
        <v>-0.5</v>
      </c>
      <c r="N87" s="55" t="n">
        <f aca="false">C87*F87</f>
        <v>0.25</v>
      </c>
      <c r="O87" s="55" t="n">
        <f aca="false">D87*E87</f>
        <v>-0.5</v>
      </c>
      <c r="P87" s="55" t="n">
        <f aca="false">D87*F87</f>
        <v>0.25</v>
      </c>
      <c r="Q87" s="55" t="n">
        <f aca="false">E87*F87</f>
        <v>-0.5</v>
      </c>
      <c r="R87" s="55" t="n">
        <f aca="false">C87*C87</f>
        <v>0.25</v>
      </c>
      <c r="S87" s="55" t="n">
        <f aca="false">D87*D87</f>
        <v>0.25</v>
      </c>
      <c r="T87" s="55" t="n">
        <f aca="false">E87*E87</f>
        <v>1</v>
      </c>
      <c r="U87" s="55" t="n">
        <f aca="false">F87*F87</f>
        <v>0.25</v>
      </c>
      <c r="V87" s="55" t="n">
        <f aca="false">SUMPRODUCT(G87:U87,_XtX!$B$96:$P$96)</f>
        <v>47.3924159356725</v>
      </c>
      <c r="W87" s="55" t="n">
        <f aca="false">SUMPRODUCT(MMULT(G87:U87,_XtX!$B$78:$P$92),G87:U87)</f>
        <v>0.404719480994152</v>
      </c>
      <c r="X87" s="55" t="n">
        <f aca="false">V87-04_回帰ANOVA!$K$19*04_回帰ANOVA!$K$14*SQRT(1+W87)</f>
        <v>45.8475414686938</v>
      </c>
      <c r="Y87" s="55" t="n">
        <f aca="false">V87+04_回帰ANOVA!$K$19*04_回帰ANOVA!$K$14*SQRT(1+W87)</f>
        <v>48.9372904026512</v>
      </c>
      <c r="Z87" s="54" t="b">
        <f aca="false">AND(C87&gt;=01_因子設定!$L$5-0.000000001,C87&lt;=01_因子設定!$M$5+0.000000001,D87&gt;=01_因子設定!$L$6-0.000000001,D87&lt;=01_因子設定!$M$6+0.000000001,E87&gt;=01_因子設定!$L$7-0.000000001,E87&lt;=01_因子設定!$M$7+0.000000001,F87&gt;=01_因子設定!$L$8-0.000000001,F87&lt;=01_因子設定!$M$8+0.000000001,IF(01_因子設定!$B$20="Box-Behnken",C87^2+D87^2+E87^2+F87^2&lt;=2+0.000000001,TRUE()))</f>
        <v>1</v>
      </c>
      <c r="AA87" s="55" t="n">
        <f aca="false">IF(Z87,IF(01_因子設定!$B$13="最大化",X87-01_因子設定!$B$14,IF(01_因子設定!$B$13="最小化",01_因子設定!$B$15-Y87,MIN(X87-01_因子設定!$B$14,01_因子設定!$B$15-Y87))),-1E+030)</f>
        <v>-0.652458531306195</v>
      </c>
      <c r="AB87" s="55" t="n">
        <f aca="false">IF(AA87&gt;=0,1,0)</f>
        <v>0</v>
      </c>
    </row>
    <row r="88" customFormat="false" ht="15" hidden="false" customHeight="false" outlineLevel="0" collapsed="false">
      <c r="A88" s="0" t="n">
        <v>3</v>
      </c>
      <c r="B88" s="0" t="n">
        <v>-0.95</v>
      </c>
      <c r="C88" s="57" t="n">
        <f aca="false">07_最適化!$B$6</f>
        <v>0.5</v>
      </c>
      <c r="D88" s="57" t="n">
        <f aca="false">07_最適化!$B$7</f>
        <v>0.5</v>
      </c>
      <c r="E88" s="55" t="n">
        <f aca="false">B88</f>
        <v>-0.95</v>
      </c>
      <c r="F88" s="57" t="n">
        <f aca="false">07_最適化!$B$9</f>
        <v>0.5</v>
      </c>
      <c r="G88" s="55" t="n">
        <f aca="false">1</f>
        <v>1</v>
      </c>
      <c r="H88" s="57" t="n">
        <f aca="false">C88</f>
        <v>0.5</v>
      </c>
      <c r="I88" s="57" t="n">
        <f aca="false">D88</f>
        <v>0.5</v>
      </c>
      <c r="J88" s="55" t="n">
        <f aca="false">E88</f>
        <v>-0.95</v>
      </c>
      <c r="K88" s="57" t="n">
        <f aca="false">F88</f>
        <v>0.5</v>
      </c>
      <c r="L88" s="55" t="n">
        <f aca="false">C88*D88</f>
        <v>0.25</v>
      </c>
      <c r="M88" s="55" t="n">
        <f aca="false">C88*E88</f>
        <v>-0.475</v>
      </c>
      <c r="N88" s="55" t="n">
        <f aca="false">C88*F88</f>
        <v>0.25</v>
      </c>
      <c r="O88" s="55" t="n">
        <f aca="false">D88*E88</f>
        <v>-0.475</v>
      </c>
      <c r="P88" s="55" t="n">
        <f aca="false">D88*F88</f>
        <v>0.25</v>
      </c>
      <c r="Q88" s="55" t="n">
        <f aca="false">E88*F88</f>
        <v>-0.475</v>
      </c>
      <c r="R88" s="55" t="n">
        <f aca="false">C88*C88</f>
        <v>0.25</v>
      </c>
      <c r="S88" s="55" t="n">
        <f aca="false">D88*D88</f>
        <v>0.25</v>
      </c>
      <c r="T88" s="55" t="n">
        <f aca="false">E88*E88</f>
        <v>0.9025</v>
      </c>
      <c r="U88" s="55" t="n">
        <f aca="false">F88*F88</f>
        <v>0.25</v>
      </c>
      <c r="V88" s="55" t="n">
        <f aca="false">SUMPRODUCT(G88:U88,_XtX!$B$96:$P$96)</f>
        <v>47.5068720760234</v>
      </c>
      <c r="W88" s="55" t="n">
        <f aca="false">SUMPRODUCT(MMULT(G88:U88,_XtX!$B$78:$P$92),G88:U88)</f>
        <v>0.344947633406433</v>
      </c>
      <c r="X88" s="55" t="n">
        <f aca="false">V88-04_回帰ANOVA!$K$19*04_回帰ANOVA!$K$14*SQRT(1+W88)</f>
        <v>45.9952226612782</v>
      </c>
      <c r="Y88" s="55" t="n">
        <f aca="false">V88+04_回帰ANOVA!$K$19*04_回帰ANOVA!$K$14*SQRT(1+W88)</f>
        <v>49.0185214907686</v>
      </c>
      <c r="Z88" s="54" t="b">
        <f aca="false">AND(C88&gt;=01_因子設定!$L$5-0.000000001,C88&lt;=01_因子設定!$M$5+0.000000001,D88&gt;=01_因子設定!$L$6-0.000000001,D88&lt;=01_因子設定!$M$6+0.000000001,E88&gt;=01_因子設定!$L$7-0.000000001,E88&lt;=01_因子設定!$M$7+0.000000001,F88&gt;=01_因子設定!$L$8-0.000000001,F88&lt;=01_因子設定!$M$8+0.000000001,IF(01_因子設定!$B$20="Box-Behnken",C88^2+D88^2+E88^2+F88^2&lt;=2+0.000000001,TRUE()))</f>
        <v>1</v>
      </c>
      <c r="AA88" s="55" t="n">
        <f aca="false">IF(Z88,IF(01_因子設定!$B$13="最大化",X88-01_因子設定!$B$14,IF(01_因子設定!$B$13="最小化",01_因子設定!$B$15-Y88,MIN(X88-01_因子設定!$B$14,01_因子設定!$B$15-Y88))),-1E+030)</f>
        <v>-0.50477733872183</v>
      </c>
      <c r="AB88" s="55" t="n">
        <f aca="false">IF(AA88&gt;=0,1,0)</f>
        <v>0</v>
      </c>
    </row>
    <row r="89" customFormat="false" ht="15" hidden="false" customHeight="false" outlineLevel="0" collapsed="false">
      <c r="A89" s="0" t="n">
        <v>3</v>
      </c>
      <c r="B89" s="0" t="n">
        <v>-0.9</v>
      </c>
      <c r="C89" s="57" t="n">
        <f aca="false">07_最適化!$B$6</f>
        <v>0.5</v>
      </c>
      <c r="D89" s="57" t="n">
        <f aca="false">07_最適化!$B$7</f>
        <v>0.5</v>
      </c>
      <c r="E89" s="55" t="n">
        <f aca="false">B89</f>
        <v>-0.9</v>
      </c>
      <c r="F89" s="57" t="n">
        <f aca="false">07_最適化!$B$9</f>
        <v>0.5</v>
      </c>
      <c r="G89" s="55" t="n">
        <f aca="false">1</f>
        <v>1</v>
      </c>
      <c r="H89" s="57" t="n">
        <f aca="false">C89</f>
        <v>0.5</v>
      </c>
      <c r="I89" s="57" t="n">
        <f aca="false">D89</f>
        <v>0.5</v>
      </c>
      <c r="J89" s="55" t="n">
        <f aca="false">E89</f>
        <v>-0.9</v>
      </c>
      <c r="K89" s="57" t="n">
        <f aca="false">F89</f>
        <v>0.5</v>
      </c>
      <c r="L89" s="55" t="n">
        <f aca="false">C89*D89</f>
        <v>0.25</v>
      </c>
      <c r="M89" s="55" t="n">
        <f aca="false">C89*E89</f>
        <v>-0.45</v>
      </c>
      <c r="N89" s="55" t="n">
        <f aca="false">C89*F89</f>
        <v>0.25</v>
      </c>
      <c r="O89" s="55" t="n">
        <f aca="false">D89*E89</f>
        <v>-0.45</v>
      </c>
      <c r="P89" s="55" t="n">
        <f aca="false">D89*F89</f>
        <v>0.25</v>
      </c>
      <c r="Q89" s="55" t="n">
        <f aca="false">E89*F89</f>
        <v>-0.45</v>
      </c>
      <c r="R89" s="55" t="n">
        <f aca="false">C89*C89</f>
        <v>0.25</v>
      </c>
      <c r="S89" s="55" t="n">
        <f aca="false">D89*D89</f>
        <v>0.25</v>
      </c>
      <c r="T89" s="55" t="n">
        <f aca="false">E89*E89</f>
        <v>0.81</v>
      </c>
      <c r="U89" s="55" t="n">
        <f aca="false">F89*F89</f>
        <v>0.25</v>
      </c>
      <c r="V89" s="55" t="n">
        <f aca="false">SUMPRODUCT(G89:U89,_XtX!$B$96:$P$96)</f>
        <v>47.6179159356725</v>
      </c>
      <c r="W89" s="55" t="n">
        <f aca="false">SUMPRODUCT(MMULT(G89:U89,_XtX!$B$78:$P$92),G89:U89)</f>
        <v>0.295024342105263</v>
      </c>
      <c r="X89" s="55" t="n">
        <f aca="false">V89-04_回帰ANOVA!$K$19*04_回帰ANOVA!$K$14*SQRT(1+W89)</f>
        <v>46.1345873760278</v>
      </c>
      <c r="Y89" s="55" t="n">
        <f aca="false">V89+04_回帰ANOVA!$K$19*04_回帰ANOVA!$K$14*SQRT(1+W89)</f>
        <v>49.1012444953172</v>
      </c>
      <c r="Z89" s="54" t="b">
        <f aca="false">AND(C89&gt;=01_因子設定!$L$5-0.000000001,C89&lt;=01_因子設定!$M$5+0.000000001,D89&gt;=01_因子設定!$L$6-0.000000001,D89&lt;=01_因子設定!$M$6+0.000000001,E89&gt;=01_因子設定!$L$7-0.000000001,E89&lt;=01_因子設定!$M$7+0.000000001,F89&gt;=01_因子設定!$L$8-0.000000001,F89&lt;=01_因子設定!$M$8+0.000000001,IF(01_因子設定!$B$20="Box-Behnken",C89^2+D89^2+E89^2+F89^2&lt;=2+0.000000001,TRUE()))</f>
        <v>1</v>
      </c>
      <c r="AA89" s="55" t="n">
        <f aca="false">IF(Z89,IF(01_因子設定!$B$13="最大化",X89-01_因子設定!$B$14,IF(01_因子設定!$B$13="最小化",01_因子設定!$B$15-Y89,MIN(X89-01_因子設定!$B$14,01_因子設定!$B$15-Y89))),-1E+030)</f>
        <v>-0.365412623972205</v>
      </c>
      <c r="AB89" s="55" t="n">
        <f aca="false">IF(AA89&gt;=0,1,0)</f>
        <v>0</v>
      </c>
    </row>
    <row r="90" customFormat="false" ht="15" hidden="false" customHeight="false" outlineLevel="0" collapsed="false">
      <c r="A90" s="0" t="n">
        <v>3</v>
      </c>
      <c r="B90" s="0" t="n">
        <v>-0.85</v>
      </c>
      <c r="C90" s="57" t="n">
        <f aca="false">07_最適化!$B$6</f>
        <v>0.5</v>
      </c>
      <c r="D90" s="57" t="n">
        <f aca="false">07_最適化!$B$7</f>
        <v>0.5</v>
      </c>
      <c r="E90" s="55" t="n">
        <f aca="false">B90</f>
        <v>-0.85</v>
      </c>
      <c r="F90" s="57" t="n">
        <f aca="false">07_最適化!$B$9</f>
        <v>0.5</v>
      </c>
      <c r="G90" s="55" t="n">
        <f aca="false">1</f>
        <v>1</v>
      </c>
      <c r="H90" s="57" t="n">
        <f aca="false">C90</f>
        <v>0.5</v>
      </c>
      <c r="I90" s="57" t="n">
        <f aca="false">D90</f>
        <v>0.5</v>
      </c>
      <c r="J90" s="55" t="n">
        <f aca="false">E90</f>
        <v>-0.85</v>
      </c>
      <c r="K90" s="57" t="n">
        <f aca="false">F90</f>
        <v>0.5</v>
      </c>
      <c r="L90" s="55" t="n">
        <f aca="false">C90*D90</f>
        <v>0.25</v>
      </c>
      <c r="M90" s="55" t="n">
        <f aca="false">C90*E90</f>
        <v>-0.425</v>
      </c>
      <c r="N90" s="55" t="n">
        <f aca="false">C90*F90</f>
        <v>0.25</v>
      </c>
      <c r="O90" s="55" t="n">
        <f aca="false">D90*E90</f>
        <v>-0.425</v>
      </c>
      <c r="P90" s="55" t="n">
        <f aca="false">D90*F90</f>
        <v>0.25</v>
      </c>
      <c r="Q90" s="55" t="n">
        <f aca="false">E90*F90</f>
        <v>-0.425</v>
      </c>
      <c r="R90" s="55" t="n">
        <f aca="false">C90*C90</f>
        <v>0.25</v>
      </c>
      <c r="S90" s="55" t="n">
        <f aca="false">D90*D90</f>
        <v>0.25</v>
      </c>
      <c r="T90" s="55" t="n">
        <f aca="false">E90*E90</f>
        <v>0.7225</v>
      </c>
      <c r="U90" s="55" t="n">
        <f aca="false">F90*F90</f>
        <v>0.25</v>
      </c>
      <c r="V90" s="55" t="n">
        <f aca="false">SUMPRODUCT(G90:U90,_XtX!$B$96:$P$96)</f>
        <v>47.7255475146199</v>
      </c>
      <c r="W90" s="55" t="n">
        <f aca="false">SUMPRODUCT(MMULT(G90:U90,_XtX!$B$78:$P$92),G90:U90)</f>
        <v>0.253878554459064</v>
      </c>
      <c r="X90" s="55" t="n">
        <f aca="false">V90-04_回帰ANOVA!$K$19*04_回帰ANOVA!$K$14*SQRT(1+W90)</f>
        <v>46.2659734759695</v>
      </c>
      <c r="Y90" s="55" t="n">
        <f aca="false">V90+04_回帰ANOVA!$K$19*04_回帰ANOVA!$K$14*SQRT(1+W90)</f>
        <v>49.1851215532702</v>
      </c>
      <c r="Z90" s="54" t="b">
        <f aca="false">AND(C90&gt;=01_因子設定!$L$5-0.000000001,C90&lt;=01_因子設定!$M$5+0.000000001,D90&gt;=01_因子設定!$L$6-0.000000001,D90&lt;=01_因子設定!$M$6+0.000000001,E90&gt;=01_因子設定!$L$7-0.000000001,E90&lt;=01_因子設定!$M$7+0.000000001,F90&gt;=01_因子設定!$L$8-0.000000001,F90&lt;=01_因子設定!$M$8+0.000000001,IF(01_因子設定!$B$20="Box-Behnken",C90^2+D90^2+E90^2+F90^2&lt;=2+0.000000001,TRUE()))</f>
        <v>1</v>
      </c>
      <c r="AA90" s="55" t="n">
        <f aca="false">IF(Z90,IF(01_因子設定!$B$13="最大化",X90-01_因子設定!$B$14,IF(01_因子設定!$B$13="最小化",01_因子設定!$B$15-Y90,MIN(X90-01_因子設定!$B$14,01_因子設定!$B$15-Y90))),-1E+030)</f>
        <v>-0.234026524030519</v>
      </c>
      <c r="AB90" s="55" t="n">
        <f aca="false">IF(AA90&gt;=0,1,0)</f>
        <v>0</v>
      </c>
    </row>
    <row r="91" customFormat="false" ht="15" hidden="false" customHeight="false" outlineLevel="0" collapsed="false">
      <c r="A91" s="0" t="n">
        <v>3</v>
      </c>
      <c r="B91" s="0" t="n">
        <v>-0.8</v>
      </c>
      <c r="C91" s="57" t="n">
        <f aca="false">07_最適化!$B$6</f>
        <v>0.5</v>
      </c>
      <c r="D91" s="57" t="n">
        <f aca="false">07_最適化!$B$7</f>
        <v>0.5</v>
      </c>
      <c r="E91" s="55" t="n">
        <f aca="false">B91</f>
        <v>-0.8</v>
      </c>
      <c r="F91" s="57" t="n">
        <f aca="false">07_最適化!$B$9</f>
        <v>0.5</v>
      </c>
      <c r="G91" s="55" t="n">
        <f aca="false">1</f>
        <v>1</v>
      </c>
      <c r="H91" s="57" t="n">
        <f aca="false">C91</f>
        <v>0.5</v>
      </c>
      <c r="I91" s="57" t="n">
        <f aca="false">D91</f>
        <v>0.5</v>
      </c>
      <c r="J91" s="55" t="n">
        <f aca="false">E91</f>
        <v>-0.8</v>
      </c>
      <c r="K91" s="57" t="n">
        <f aca="false">F91</f>
        <v>0.5</v>
      </c>
      <c r="L91" s="55" t="n">
        <f aca="false">C91*D91</f>
        <v>0.25</v>
      </c>
      <c r="M91" s="55" t="n">
        <f aca="false">C91*E91</f>
        <v>-0.4</v>
      </c>
      <c r="N91" s="55" t="n">
        <f aca="false">C91*F91</f>
        <v>0.25</v>
      </c>
      <c r="O91" s="55" t="n">
        <f aca="false">D91*E91</f>
        <v>-0.4</v>
      </c>
      <c r="P91" s="55" t="n">
        <f aca="false">D91*F91</f>
        <v>0.25</v>
      </c>
      <c r="Q91" s="55" t="n">
        <f aca="false">E91*F91</f>
        <v>-0.4</v>
      </c>
      <c r="R91" s="55" t="n">
        <f aca="false">C91*C91</f>
        <v>0.25</v>
      </c>
      <c r="S91" s="55" t="n">
        <f aca="false">D91*D91</f>
        <v>0.25</v>
      </c>
      <c r="T91" s="55" t="n">
        <f aca="false">E91*E91</f>
        <v>0.64</v>
      </c>
      <c r="U91" s="55" t="n">
        <f aca="false">F91*F91</f>
        <v>0.25</v>
      </c>
      <c r="V91" s="55" t="n">
        <f aca="false">SUMPRODUCT(G91:U91,_XtX!$B$96:$P$96)</f>
        <v>47.8297668128655</v>
      </c>
      <c r="W91" s="55" t="n">
        <f aca="false">SUMPRODUCT(MMULT(G91:U91,_XtX!$B$78:$P$92),G91:U91)</f>
        <v>0.220497112573099</v>
      </c>
      <c r="X91" s="55" t="n">
        <f aca="false">V91-04_回帰ANOVA!$K$19*04_回帰ANOVA!$K$14*SQRT(1+W91)</f>
        <v>46.3897526255507</v>
      </c>
      <c r="Y91" s="55" t="n">
        <f aca="false">V91+04_回帰ANOVA!$K$19*04_回帰ANOVA!$K$14*SQRT(1+W91)</f>
        <v>49.2697810001802</v>
      </c>
      <c r="Z91" s="54" t="b">
        <f aca="false">AND(C91&gt;=01_因子設定!$L$5-0.000000001,C91&lt;=01_因子設定!$M$5+0.000000001,D91&gt;=01_因子設定!$L$6-0.000000001,D91&lt;=01_因子設定!$M$6+0.000000001,E91&gt;=01_因子設定!$L$7-0.000000001,E91&lt;=01_因子設定!$M$7+0.000000001,F91&gt;=01_因子設定!$L$8-0.000000001,F91&lt;=01_因子設定!$M$8+0.000000001,IF(01_因子設定!$B$20="Box-Behnken",C91^2+D91^2+E91^2+F91^2&lt;=2+0.000000001,TRUE()))</f>
        <v>1</v>
      </c>
      <c r="AA91" s="55" t="n">
        <f aca="false">IF(Z91,IF(01_因子設定!$B$13="最大化",X91-01_因子設定!$B$14,IF(01_因子設定!$B$13="最小化",01_因子設定!$B$15-Y91,MIN(X91-01_因子設定!$B$14,01_因子設定!$B$15-Y91))),-1E+030)</f>
        <v>-0.110247374449287</v>
      </c>
      <c r="AB91" s="55" t="n">
        <f aca="false">IF(AA91&gt;=0,1,0)</f>
        <v>0</v>
      </c>
    </row>
    <row r="92" customFormat="false" ht="15" hidden="false" customHeight="false" outlineLevel="0" collapsed="false">
      <c r="A92" s="0" t="n">
        <v>3</v>
      </c>
      <c r="B92" s="0" t="n">
        <v>-0.75</v>
      </c>
      <c r="C92" s="57" t="n">
        <f aca="false">07_最適化!$B$6</f>
        <v>0.5</v>
      </c>
      <c r="D92" s="57" t="n">
        <f aca="false">07_最適化!$B$7</f>
        <v>0.5</v>
      </c>
      <c r="E92" s="55" t="n">
        <f aca="false">B92</f>
        <v>-0.75</v>
      </c>
      <c r="F92" s="57" t="n">
        <f aca="false">07_最適化!$B$9</f>
        <v>0.5</v>
      </c>
      <c r="G92" s="55" t="n">
        <f aca="false">1</f>
        <v>1</v>
      </c>
      <c r="H92" s="57" t="n">
        <f aca="false">C92</f>
        <v>0.5</v>
      </c>
      <c r="I92" s="57" t="n">
        <f aca="false">D92</f>
        <v>0.5</v>
      </c>
      <c r="J92" s="55" t="n">
        <f aca="false">E92</f>
        <v>-0.75</v>
      </c>
      <c r="K92" s="57" t="n">
        <f aca="false">F92</f>
        <v>0.5</v>
      </c>
      <c r="L92" s="55" t="n">
        <f aca="false">C92*D92</f>
        <v>0.25</v>
      </c>
      <c r="M92" s="55" t="n">
        <f aca="false">C92*E92</f>
        <v>-0.375</v>
      </c>
      <c r="N92" s="55" t="n">
        <f aca="false">C92*F92</f>
        <v>0.25</v>
      </c>
      <c r="O92" s="55" t="n">
        <f aca="false">D92*E92</f>
        <v>-0.375</v>
      </c>
      <c r="P92" s="55" t="n">
        <f aca="false">D92*F92</f>
        <v>0.25</v>
      </c>
      <c r="Q92" s="55" t="n">
        <f aca="false">E92*F92</f>
        <v>-0.375</v>
      </c>
      <c r="R92" s="55" t="n">
        <f aca="false">C92*C92</f>
        <v>0.25</v>
      </c>
      <c r="S92" s="55" t="n">
        <f aca="false">D92*D92</f>
        <v>0.25</v>
      </c>
      <c r="T92" s="55" t="n">
        <f aca="false">E92*E92</f>
        <v>0.5625</v>
      </c>
      <c r="U92" s="55" t="n">
        <f aca="false">F92*F92</f>
        <v>0.25</v>
      </c>
      <c r="V92" s="55" t="n">
        <f aca="false">SUMPRODUCT(G92:U92,_XtX!$B$96:$P$96)</f>
        <v>47.9305738304093</v>
      </c>
      <c r="W92" s="55" t="n">
        <f aca="false">SUMPRODUCT(MMULT(G92:U92,_XtX!$B$78:$P$92),G92:U92)</f>
        <v>0.193924753289474</v>
      </c>
      <c r="X92" s="55" t="n">
        <f aca="false">V92-04_回帰ANOVA!$K$19*04_回帰ANOVA!$K$14*SQRT(1+W92)</f>
        <v>46.5063217224177</v>
      </c>
      <c r="Y92" s="55" t="n">
        <f aca="false">V92+04_回帰ANOVA!$K$19*04_回帰ANOVA!$K$14*SQRT(1+W92)</f>
        <v>49.3548259384009</v>
      </c>
      <c r="Z92" s="54" t="b">
        <f aca="false">AND(C92&gt;=01_因子設定!$L$5-0.000000001,C92&lt;=01_因子設定!$M$5+0.000000001,D92&gt;=01_因子設定!$L$6-0.000000001,D92&lt;=01_因子設定!$M$6+0.000000001,E92&gt;=01_因子設定!$L$7-0.000000001,E92&lt;=01_因子設定!$M$7+0.000000001,F92&gt;=01_因子設定!$L$8-0.000000001,F92&lt;=01_因子設定!$M$8+0.000000001,IF(01_因子設定!$B$20="Box-Behnken",C92^2+D92^2+E92^2+F92^2&lt;=2+0.000000001,TRUE()))</f>
        <v>1</v>
      </c>
      <c r="AA92" s="55" t="n">
        <f aca="false">IF(Z92,IF(01_因子設定!$B$13="最大化",X92-01_因子設定!$B$14,IF(01_因子設定!$B$13="最小化",01_因子設定!$B$15-Y92,MIN(X92-01_因子設定!$B$14,01_因子設定!$B$15-Y92))),-1E+030)</f>
        <v>0.00632172241772366</v>
      </c>
      <c r="AB92" s="55" t="n">
        <f aca="false">IF(AA92&gt;=0,1,0)</f>
        <v>1</v>
      </c>
    </row>
    <row r="93" customFormat="false" ht="15" hidden="false" customHeight="false" outlineLevel="0" collapsed="false">
      <c r="A93" s="0" t="n">
        <v>3</v>
      </c>
      <c r="B93" s="0" t="n">
        <v>-0.7</v>
      </c>
      <c r="C93" s="57" t="n">
        <f aca="false">07_最適化!$B$6</f>
        <v>0.5</v>
      </c>
      <c r="D93" s="57" t="n">
        <f aca="false">07_最適化!$B$7</f>
        <v>0.5</v>
      </c>
      <c r="E93" s="55" t="n">
        <f aca="false">B93</f>
        <v>-0.7</v>
      </c>
      <c r="F93" s="57" t="n">
        <f aca="false">07_最適化!$B$9</f>
        <v>0.5</v>
      </c>
      <c r="G93" s="55" t="n">
        <f aca="false">1</f>
        <v>1</v>
      </c>
      <c r="H93" s="57" t="n">
        <f aca="false">C93</f>
        <v>0.5</v>
      </c>
      <c r="I93" s="57" t="n">
        <f aca="false">D93</f>
        <v>0.5</v>
      </c>
      <c r="J93" s="55" t="n">
        <f aca="false">E93</f>
        <v>-0.7</v>
      </c>
      <c r="K93" s="57" t="n">
        <f aca="false">F93</f>
        <v>0.5</v>
      </c>
      <c r="L93" s="55" t="n">
        <f aca="false">C93*D93</f>
        <v>0.25</v>
      </c>
      <c r="M93" s="55" t="n">
        <f aca="false">C93*E93</f>
        <v>-0.35</v>
      </c>
      <c r="N93" s="55" t="n">
        <f aca="false">C93*F93</f>
        <v>0.25</v>
      </c>
      <c r="O93" s="55" t="n">
        <f aca="false">D93*E93</f>
        <v>-0.35</v>
      </c>
      <c r="P93" s="55" t="n">
        <f aca="false">D93*F93</f>
        <v>0.25</v>
      </c>
      <c r="Q93" s="55" t="n">
        <f aca="false">E93*F93</f>
        <v>-0.35</v>
      </c>
      <c r="R93" s="55" t="n">
        <f aca="false">C93*C93</f>
        <v>0.25</v>
      </c>
      <c r="S93" s="55" t="n">
        <f aca="false">D93*D93</f>
        <v>0.25</v>
      </c>
      <c r="T93" s="55" t="n">
        <f aca="false">E93*E93</f>
        <v>0.49</v>
      </c>
      <c r="U93" s="55" t="n">
        <f aca="false">F93*F93</f>
        <v>0.25</v>
      </c>
      <c r="V93" s="55" t="n">
        <f aca="false">SUMPRODUCT(G93:U93,_XtX!$B$96:$P$96)</f>
        <v>48.0279685672514</v>
      </c>
      <c r="W93" s="55" t="n">
        <f aca="false">SUMPRODUCT(MMULT(G93:U93,_XtX!$B$78:$P$92),G93:U93)</f>
        <v>0.173264108187135</v>
      </c>
      <c r="X93" s="55" t="n">
        <f aca="false">V93-04_回帰ANOVA!$K$19*04_回帰ANOVA!$K$14*SQRT(1+W93)</f>
        <v>46.6160934468007</v>
      </c>
      <c r="Y93" s="55" t="n">
        <f aca="false">V93+04_回帰ANOVA!$K$19*04_回帰ANOVA!$K$14*SQRT(1+W93)</f>
        <v>49.4398436877022</v>
      </c>
      <c r="Z93" s="54" t="b">
        <f aca="false">AND(C93&gt;=01_因子設定!$L$5-0.000000001,C93&lt;=01_因子設定!$M$5+0.000000001,D93&gt;=01_因子設定!$L$6-0.000000001,D93&lt;=01_因子設定!$M$6+0.000000001,E93&gt;=01_因子設定!$L$7-0.000000001,E93&lt;=01_因子設定!$M$7+0.000000001,F93&gt;=01_因子設定!$L$8-0.000000001,F93&lt;=01_因子設定!$M$8+0.000000001,IF(01_因子設定!$B$20="Box-Behnken",C93^2+D93^2+E93^2+F93^2&lt;=2+0.000000001,TRUE()))</f>
        <v>1</v>
      </c>
      <c r="AA93" s="55" t="n">
        <f aca="false">IF(Z93,IF(01_因子設定!$B$13="最大化",X93-01_因子設定!$B$14,IF(01_因子設定!$B$13="最小化",01_因子設定!$B$15-Y93,MIN(X93-01_因子設定!$B$14,01_因子設定!$B$15-Y93))),-1E+030)</f>
        <v>0.116093446800647</v>
      </c>
      <c r="AB93" s="55" t="n">
        <f aca="false">IF(AA93&gt;=0,1,0)</f>
        <v>1</v>
      </c>
    </row>
    <row r="94" customFormat="false" ht="15" hidden="false" customHeight="false" outlineLevel="0" collapsed="false">
      <c r="A94" s="0" t="n">
        <v>3</v>
      </c>
      <c r="B94" s="0" t="n">
        <v>-0.65</v>
      </c>
      <c r="C94" s="57" t="n">
        <f aca="false">07_最適化!$B$6</f>
        <v>0.5</v>
      </c>
      <c r="D94" s="57" t="n">
        <f aca="false">07_最適化!$B$7</f>
        <v>0.5</v>
      </c>
      <c r="E94" s="55" t="n">
        <f aca="false">B94</f>
        <v>-0.65</v>
      </c>
      <c r="F94" s="57" t="n">
        <f aca="false">07_最適化!$B$9</f>
        <v>0.5</v>
      </c>
      <c r="G94" s="55" t="n">
        <f aca="false">1</f>
        <v>1</v>
      </c>
      <c r="H94" s="57" t="n">
        <f aca="false">C94</f>
        <v>0.5</v>
      </c>
      <c r="I94" s="57" t="n">
        <f aca="false">D94</f>
        <v>0.5</v>
      </c>
      <c r="J94" s="55" t="n">
        <f aca="false">E94</f>
        <v>-0.65</v>
      </c>
      <c r="K94" s="57" t="n">
        <f aca="false">F94</f>
        <v>0.5</v>
      </c>
      <c r="L94" s="55" t="n">
        <f aca="false">C94*D94</f>
        <v>0.25</v>
      </c>
      <c r="M94" s="55" t="n">
        <f aca="false">C94*E94</f>
        <v>-0.325</v>
      </c>
      <c r="N94" s="55" t="n">
        <f aca="false">C94*F94</f>
        <v>0.25</v>
      </c>
      <c r="O94" s="55" t="n">
        <f aca="false">D94*E94</f>
        <v>-0.325</v>
      </c>
      <c r="P94" s="55" t="n">
        <f aca="false">D94*F94</f>
        <v>0.25</v>
      </c>
      <c r="Q94" s="55" t="n">
        <f aca="false">E94*F94</f>
        <v>-0.325</v>
      </c>
      <c r="R94" s="55" t="n">
        <f aca="false">C94*C94</f>
        <v>0.25</v>
      </c>
      <c r="S94" s="55" t="n">
        <f aca="false">D94*D94</f>
        <v>0.25</v>
      </c>
      <c r="T94" s="55" t="n">
        <f aca="false">E94*E94</f>
        <v>0.4225</v>
      </c>
      <c r="U94" s="55" t="n">
        <f aca="false">F94*F94</f>
        <v>0.25</v>
      </c>
      <c r="V94" s="55" t="n">
        <f aca="false">SUMPRODUCT(G94:U94,_XtX!$B$96:$P$96)</f>
        <v>48.1219510233918</v>
      </c>
      <c r="W94" s="55" t="n">
        <f aca="false">SUMPRODUCT(MMULT(G94:U94,_XtX!$B$78:$P$92),G94:U94)</f>
        <v>0.157675703581871</v>
      </c>
      <c r="X94" s="55" t="n">
        <f aca="false">V94-04_回帰ANOVA!$K$19*04_回帰ANOVA!$K$14*SQRT(1+W94)</f>
        <v>46.7194866036724</v>
      </c>
      <c r="Y94" s="55" t="n">
        <f aca="false">V94+04_回帰ANOVA!$K$19*04_回帰ANOVA!$K$14*SQRT(1+W94)</f>
        <v>49.5244154431112</v>
      </c>
      <c r="Z94" s="54" t="b">
        <f aca="false">AND(C94&gt;=01_因子設定!$L$5-0.000000001,C94&lt;=01_因子設定!$M$5+0.000000001,D94&gt;=01_因子設定!$L$6-0.000000001,D94&lt;=01_因子設定!$M$6+0.000000001,E94&gt;=01_因子設定!$L$7-0.000000001,E94&lt;=01_因子設定!$M$7+0.000000001,F94&gt;=01_因子設定!$L$8-0.000000001,F94&lt;=01_因子設定!$M$8+0.000000001,IF(01_因子設定!$B$20="Box-Behnken",C94^2+D94^2+E94^2+F94^2&lt;=2+0.000000001,TRUE()))</f>
        <v>1</v>
      </c>
      <c r="AA94" s="55" t="n">
        <f aca="false">IF(Z94,IF(01_因子設定!$B$13="最大化",X94-01_因子設定!$B$14,IF(01_因子設定!$B$13="最小化",01_因子設定!$B$15-Y94,MIN(X94-01_因子設定!$B$14,01_因子設定!$B$15-Y94))),-1E+030)</f>
        <v>0.219486603672358</v>
      </c>
      <c r="AB94" s="55" t="n">
        <f aca="false">IF(AA94&gt;=0,1,0)</f>
        <v>1</v>
      </c>
    </row>
    <row r="95" customFormat="false" ht="15" hidden="false" customHeight="false" outlineLevel="0" collapsed="false">
      <c r="A95" s="0" t="n">
        <v>3</v>
      </c>
      <c r="B95" s="0" t="n">
        <v>-0.6</v>
      </c>
      <c r="C95" s="57" t="n">
        <f aca="false">07_最適化!$B$6</f>
        <v>0.5</v>
      </c>
      <c r="D95" s="57" t="n">
        <f aca="false">07_最適化!$B$7</f>
        <v>0.5</v>
      </c>
      <c r="E95" s="55" t="n">
        <f aca="false">B95</f>
        <v>-0.6</v>
      </c>
      <c r="F95" s="57" t="n">
        <f aca="false">07_最適化!$B$9</f>
        <v>0.5</v>
      </c>
      <c r="G95" s="55" t="n">
        <f aca="false">1</f>
        <v>1</v>
      </c>
      <c r="H95" s="57" t="n">
        <f aca="false">C95</f>
        <v>0.5</v>
      </c>
      <c r="I95" s="57" t="n">
        <f aca="false">D95</f>
        <v>0.5</v>
      </c>
      <c r="J95" s="55" t="n">
        <f aca="false">E95</f>
        <v>-0.6</v>
      </c>
      <c r="K95" s="57" t="n">
        <f aca="false">F95</f>
        <v>0.5</v>
      </c>
      <c r="L95" s="55" t="n">
        <f aca="false">C95*D95</f>
        <v>0.25</v>
      </c>
      <c r="M95" s="55" t="n">
        <f aca="false">C95*E95</f>
        <v>-0.3</v>
      </c>
      <c r="N95" s="55" t="n">
        <f aca="false">C95*F95</f>
        <v>0.25</v>
      </c>
      <c r="O95" s="55" t="n">
        <f aca="false">D95*E95</f>
        <v>-0.3</v>
      </c>
      <c r="P95" s="55" t="n">
        <f aca="false">D95*F95</f>
        <v>0.25</v>
      </c>
      <c r="Q95" s="55" t="n">
        <f aca="false">E95*F95</f>
        <v>-0.3</v>
      </c>
      <c r="R95" s="55" t="n">
        <f aca="false">C95*C95</f>
        <v>0.25</v>
      </c>
      <c r="S95" s="55" t="n">
        <f aca="false">D95*D95</f>
        <v>0.25</v>
      </c>
      <c r="T95" s="55" t="n">
        <f aca="false">E95*E95</f>
        <v>0.36</v>
      </c>
      <c r="U95" s="55" t="n">
        <f aca="false">F95*F95</f>
        <v>0.25</v>
      </c>
      <c r="V95" s="55" t="n">
        <f aca="false">SUMPRODUCT(G95:U95,_XtX!$B$96:$P$96)</f>
        <v>48.2125211988304</v>
      </c>
      <c r="W95" s="55" t="n">
        <f aca="false">SUMPRODUCT(MMULT(G95:U95,_XtX!$B$78:$P$92),G95:U95)</f>
        <v>0.146377960526316</v>
      </c>
      <c r="X95" s="55" t="n">
        <f aca="false">V95-04_回帰ANOVA!$K$19*04_回帰ANOVA!$K$14*SQRT(1+W95)</f>
        <v>46.8169168736135</v>
      </c>
      <c r="Y95" s="55" t="n">
        <f aca="false">V95+04_回帰ANOVA!$K$19*04_回帰ANOVA!$K$14*SQRT(1+W95)</f>
        <v>49.6081255240472</v>
      </c>
      <c r="Z95" s="54" t="b">
        <f aca="false">AND(C95&gt;=01_因子設定!$L$5-0.000000001,C95&lt;=01_因子設定!$M$5+0.000000001,D95&gt;=01_因子設定!$L$6-0.000000001,D95&lt;=01_因子設定!$M$6+0.000000001,E95&gt;=01_因子設定!$L$7-0.000000001,E95&lt;=01_因子設定!$M$7+0.000000001,F95&gt;=01_因子設定!$L$8-0.000000001,F95&lt;=01_因子設定!$M$8+0.000000001,IF(01_因子設定!$B$20="Box-Behnken",C95^2+D95^2+E95^2+F95^2&lt;=2+0.000000001,TRUE()))</f>
        <v>1</v>
      </c>
      <c r="AA95" s="55" t="n">
        <f aca="false">IF(Z95,IF(01_因子設定!$B$13="最大化",X95-01_因子設定!$B$14,IF(01_因子設定!$B$13="最小化",01_因子設定!$B$15-Y95,MIN(X95-01_因子設定!$B$14,01_因子設定!$B$15-Y95))),-1E+030)</f>
        <v>0.316916873613522</v>
      </c>
      <c r="AB95" s="55" t="n">
        <f aca="false">IF(AA95&gt;=0,1,0)</f>
        <v>1</v>
      </c>
    </row>
    <row r="96" customFormat="false" ht="15" hidden="false" customHeight="false" outlineLevel="0" collapsed="false">
      <c r="A96" s="0" t="n">
        <v>3</v>
      </c>
      <c r="B96" s="0" t="n">
        <v>-0.55</v>
      </c>
      <c r="C96" s="57" t="n">
        <f aca="false">07_最適化!$B$6</f>
        <v>0.5</v>
      </c>
      <c r="D96" s="57" t="n">
        <f aca="false">07_最適化!$B$7</f>
        <v>0.5</v>
      </c>
      <c r="E96" s="55" t="n">
        <f aca="false">B96</f>
        <v>-0.55</v>
      </c>
      <c r="F96" s="57" t="n">
        <f aca="false">07_最適化!$B$9</f>
        <v>0.5</v>
      </c>
      <c r="G96" s="55" t="n">
        <f aca="false">1</f>
        <v>1</v>
      </c>
      <c r="H96" s="57" t="n">
        <f aca="false">C96</f>
        <v>0.5</v>
      </c>
      <c r="I96" s="57" t="n">
        <f aca="false">D96</f>
        <v>0.5</v>
      </c>
      <c r="J96" s="55" t="n">
        <f aca="false">E96</f>
        <v>-0.55</v>
      </c>
      <c r="K96" s="57" t="n">
        <f aca="false">F96</f>
        <v>0.5</v>
      </c>
      <c r="L96" s="55" t="n">
        <f aca="false">C96*D96</f>
        <v>0.25</v>
      </c>
      <c r="M96" s="55" t="n">
        <f aca="false">C96*E96</f>
        <v>-0.275</v>
      </c>
      <c r="N96" s="55" t="n">
        <f aca="false">C96*F96</f>
        <v>0.25</v>
      </c>
      <c r="O96" s="55" t="n">
        <f aca="false">D96*E96</f>
        <v>-0.275</v>
      </c>
      <c r="P96" s="55" t="n">
        <f aca="false">D96*F96</f>
        <v>0.25</v>
      </c>
      <c r="Q96" s="55" t="n">
        <f aca="false">E96*F96</f>
        <v>-0.275</v>
      </c>
      <c r="R96" s="55" t="n">
        <f aca="false">C96*C96</f>
        <v>0.25</v>
      </c>
      <c r="S96" s="55" t="n">
        <f aca="false">D96*D96</f>
        <v>0.25</v>
      </c>
      <c r="T96" s="55" t="n">
        <f aca="false">E96*E96</f>
        <v>0.3025</v>
      </c>
      <c r="U96" s="55" t="n">
        <f aca="false">F96*F96</f>
        <v>0.25</v>
      </c>
      <c r="V96" s="55" t="n">
        <f aca="false">SUMPRODUCT(G96:U96,_XtX!$B$96:$P$96)</f>
        <v>48.2996790935672</v>
      </c>
      <c r="W96" s="55" t="n">
        <f aca="false">SUMPRODUCT(MMULT(G96:U96,_XtX!$B$78:$P$92),G96:U96)</f>
        <v>0.138647194809942</v>
      </c>
      <c r="X96" s="55" t="n">
        <f aca="false">V96-04_回帰ANOVA!$K$19*04_回帰ANOVA!$K$14*SQRT(1+W96)</f>
        <v>46.9087884585477</v>
      </c>
      <c r="Y96" s="55" t="n">
        <f aca="false">V96+04_回帰ANOVA!$K$19*04_回帰ANOVA!$K$14*SQRT(1+W96)</f>
        <v>49.6905697285867</v>
      </c>
      <c r="Z96" s="54" t="b">
        <f aca="false">AND(C96&gt;=01_因子設定!$L$5-0.000000001,C96&lt;=01_因子設定!$M$5+0.000000001,D96&gt;=01_因子設定!$L$6-0.000000001,D96&lt;=01_因子設定!$M$6+0.000000001,E96&gt;=01_因子設定!$L$7-0.000000001,E96&lt;=01_因子設定!$M$7+0.000000001,F96&gt;=01_因子設定!$L$8-0.000000001,F96&lt;=01_因子設定!$M$8+0.000000001,IF(01_因子設定!$B$20="Box-Behnken",C96^2+D96^2+E96^2+F96^2&lt;=2+0.000000001,TRUE()))</f>
        <v>1</v>
      </c>
      <c r="AA96" s="55" t="n">
        <f aca="false">IF(Z96,IF(01_因子設定!$B$13="最大化",X96-01_因子設定!$B$14,IF(01_因子設定!$B$13="最小化",01_因子設定!$B$15-Y96,MIN(X96-01_因子設定!$B$14,01_因子設定!$B$15-Y96))),-1E+030)</f>
        <v>0.408788458547718</v>
      </c>
      <c r="AB96" s="55" t="n">
        <f aca="false">IF(AA96&gt;=0,1,0)</f>
        <v>1</v>
      </c>
    </row>
    <row r="97" customFormat="false" ht="15" hidden="false" customHeight="false" outlineLevel="0" collapsed="false">
      <c r="A97" s="0" t="n">
        <v>3</v>
      </c>
      <c r="B97" s="0" t="n">
        <v>-0.5</v>
      </c>
      <c r="C97" s="57" t="n">
        <f aca="false">07_最適化!$B$6</f>
        <v>0.5</v>
      </c>
      <c r="D97" s="57" t="n">
        <f aca="false">07_最適化!$B$7</f>
        <v>0.5</v>
      </c>
      <c r="E97" s="55" t="n">
        <f aca="false">B97</f>
        <v>-0.5</v>
      </c>
      <c r="F97" s="57" t="n">
        <f aca="false">07_最適化!$B$9</f>
        <v>0.5</v>
      </c>
      <c r="G97" s="55" t="n">
        <f aca="false">1</f>
        <v>1</v>
      </c>
      <c r="H97" s="57" t="n">
        <f aca="false">C97</f>
        <v>0.5</v>
      </c>
      <c r="I97" s="57" t="n">
        <f aca="false">D97</f>
        <v>0.5</v>
      </c>
      <c r="J97" s="55" t="n">
        <f aca="false">E97</f>
        <v>-0.5</v>
      </c>
      <c r="K97" s="57" t="n">
        <f aca="false">F97</f>
        <v>0.5</v>
      </c>
      <c r="L97" s="55" t="n">
        <f aca="false">C97*D97</f>
        <v>0.25</v>
      </c>
      <c r="M97" s="55" t="n">
        <f aca="false">C97*E97</f>
        <v>-0.25</v>
      </c>
      <c r="N97" s="55" t="n">
        <f aca="false">C97*F97</f>
        <v>0.25</v>
      </c>
      <c r="O97" s="55" t="n">
        <f aca="false">D97*E97</f>
        <v>-0.25</v>
      </c>
      <c r="P97" s="55" t="n">
        <f aca="false">D97*F97</f>
        <v>0.25</v>
      </c>
      <c r="Q97" s="55" t="n">
        <f aca="false">E97*F97</f>
        <v>-0.25</v>
      </c>
      <c r="R97" s="55" t="n">
        <f aca="false">C97*C97</f>
        <v>0.25</v>
      </c>
      <c r="S97" s="55" t="n">
        <f aca="false">D97*D97</f>
        <v>0.25</v>
      </c>
      <c r="T97" s="55" t="n">
        <f aca="false">E97*E97</f>
        <v>0.25</v>
      </c>
      <c r="U97" s="55" t="n">
        <f aca="false">F97*F97</f>
        <v>0.25</v>
      </c>
      <c r="V97" s="55" t="n">
        <f aca="false">SUMPRODUCT(G97:U97,_XtX!$B$96:$P$96)</f>
        <v>48.3834247076023</v>
      </c>
      <c r="W97" s="55" t="n">
        <f aca="false">SUMPRODUCT(MMULT(G97:U97,_XtX!$B$78:$P$92),G97:U97)</f>
        <v>0.133817616959064</v>
      </c>
      <c r="X97" s="55" t="n">
        <f aca="false">V97-04_回帰ANOVA!$K$19*04_回帰ANOVA!$K$14*SQRT(1+W97)</f>
        <v>46.9954869419034</v>
      </c>
      <c r="Y97" s="55" t="n">
        <f aca="false">V97+04_回帰ANOVA!$K$19*04_回帰ANOVA!$K$14*SQRT(1+W97)</f>
        <v>49.7713624733012</v>
      </c>
      <c r="Z97" s="54" t="b">
        <f aca="false">AND(C97&gt;=01_因子設定!$L$5-0.000000001,C97&lt;=01_因子設定!$M$5+0.000000001,D97&gt;=01_因子設定!$L$6-0.000000001,D97&lt;=01_因子設定!$M$6+0.000000001,E97&gt;=01_因子設定!$L$7-0.000000001,E97&lt;=01_因子設定!$M$7+0.000000001,F97&gt;=01_因子設定!$L$8-0.000000001,F97&lt;=01_因子設定!$M$8+0.000000001,IF(01_因子設定!$B$20="Box-Behnken",C97^2+D97^2+E97^2+F97^2&lt;=2+0.000000001,TRUE()))</f>
        <v>1</v>
      </c>
      <c r="AA97" s="55" t="n">
        <f aca="false">IF(Z97,IF(01_因子設定!$B$13="最大化",X97-01_因子設定!$B$14,IF(01_因子設定!$B$13="最小化",01_因子設定!$B$15-Y97,MIN(X97-01_因子設定!$B$14,01_因子設定!$B$15-Y97))),-1E+030)</f>
        <v>0.495486941903437</v>
      </c>
      <c r="AB97" s="55" t="n">
        <f aca="false">IF(AA97&gt;=0,1,0)</f>
        <v>1</v>
      </c>
    </row>
    <row r="98" customFormat="false" ht="15" hidden="false" customHeight="false" outlineLevel="0" collapsed="false">
      <c r="A98" s="0" t="n">
        <v>3</v>
      </c>
      <c r="B98" s="0" t="n">
        <v>-0.45</v>
      </c>
      <c r="C98" s="57" t="n">
        <f aca="false">07_最適化!$B$6</f>
        <v>0.5</v>
      </c>
      <c r="D98" s="57" t="n">
        <f aca="false">07_最適化!$B$7</f>
        <v>0.5</v>
      </c>
      <c r="E98" s="55" t="n">
        <f aca="false">B98</f>
        <v>-0.45</v>
      </c>
      <c r="F98" s="57" t="n">
        <f aca="false">07_最適化!$B$9</f>
        <v>0.5</v>
      </c>
      <c r="G98" s="55" t="n">
        <f aca="false">1</f>
        <v>1</v>
      </c>
      <c r="H98" s="57" t="n">
        <f aca="false">C98</f>
        <v>0.5</v>
      </c>
      <c r="I98" s="57" t="n">
        <f aca="false">D98</f>
        <v>0.5</v>
      </c>
      <c r="J98" s="55" t="n">
        <f aca="false">E98</f>
        <v>-0.45</v>
      </c>
      <c r="K98" s="57" t="n">
        <f aca="false">F98</f>
        <v>0.5</v>
      </c>
      <c r="L98" s="55" t="n">
        <f aca="false">C98*D98</f>
        <v>0.25</v>
      </c>
      <c r="M98" s="55" t="n">
        <f aca="false">C98*E98</f>
        <v>-0.225</v>
      </c>
      <c r="N98" s="55" t="n">
        <f aca="false">C98*F98</f>
        <v>0.25</v>
      </c>
      <c r="O98" s="55" t="n">
        <f aca="false">D98*E98</f>
        <v>-0.225</v>
      </c>
      <c r="P98" s="55" t="n">
        <f aca="false">D98*F98</f>
        <v>0.25</v>
      </c>
      <c r="Q98" s="55" t="n">
        <f aca="false">E98*F98</f>
        <v>-0.225</v>
      </c>
      <c r="R98" s="55" t="n">
        <f aca="false">C98*C98</f>
        <v>0.25</v>
      </c>
      <c r="S98" s="55" t="n">
        <f aca="false">D98*D98</f>
        <v>0.25</v>
      </c>
      <c r="T98" s="55" t="n">
        <f aca="false">E98*E98</f>
        <v>0.2025</v>
      </c>
      <c r="U98" s="55" t="n">
        <f aca="false">F98*F98</f>
        <v>0.25</v>
      </c>
      <c r="V98" s="55" t="n">
        <f aca="false">SUMPRODUCT(G98:U98,_XtX!$B$96:$P$96)</f>
        <v>48.4637580409356</v>
      </c>
      <c r="W98" s="55" t="n">
        <f aca="false">SUMPRODUCT(MMULT(G98:U98,_XtX!$B$78:$P$92),G98:U98)</f>
        <v>0.131281332236842</v>
      </c>
      <c r="X98" s="55" t="n">
        <f aca="false">V98-04_回帰ANOVA!$K$19*04_回帰ANOVA!$K$14*SQRT(1+W98)</f>
        <v>47.07737351278</v>
      </c>
      <c r="Y98" s="55" t="n">
        <f aca="false">V98+04_回帰ANOVA!$K$19*04_回帰ANOVA!$K$14*SQRT(1+W98)</f>
        <v>49.8501425690913</v>
      </c>
      <c r="Z98" s="54" t="b">
        <f aca="false">AND(C98&gt;=01_因子設定!$L$5-0.000000001,C98&lt;=01_因子設定!$M$5+0.000000001,D98&gt;=01_因子設定!$L$6-0.000000001,D98&lt;=01_因子設定!$M$6+0.000000001,E98&gt;=01_因子設定!$L$7-0.000000001,E98&lt;=01_因子設定!$M$7+0.000000001,F98&gt;=01_因子設定!$L$8-0.000000001,F98&lt;=01_因子設定!$M$8+0.000000001,IF(01_因子設定!$B$20="Box-Behnken",C98^2+D98^2+E98^2+F98^2&lt;=2+0.000000001,TRUE()))</f>
        <v>1</v>
      </c>
      <c r="AA98" s="55" t="n">
        <f aca="false">IF(Z98,IF(01_因子設定!$B$13="最大化",X98-01_因子設定!$B$14,IF(01_因子設定!$B$13="最小化",01_因子設定!$B$15-Y98,MIN(X98-01_因子設定!$B$14,01_因子設定!$B$15-Y98))),-1E+030)</f>
        <v>0.577373512779985</v>
      </c>
      <c r="AB98" s="55" t="n">
        <f aca="false">IF(AA98&gt;=0,1,0)</f>
        <v>1</v>
      </c>
    </row>
    <row r="99" customFormat="false" ht="15" hidden="false" customHeight="false" outlineLevel="0" collapsed="false">
      <c r="A99" s="0" t="n">
        <v>3</v>
      </c>
      <c r="B99" s="0" t="n">
        <v>-0.4</v>
      </c>
      <c r="C99" s="57" t="n">
        <f aca="false">07_最適化!$B$6</f>
        <v>0.5</v>
      </c>
      <c r="D99" s="57" t="n">
        <f aca="false">07_最適化!$B$7</f>
        <v>0.5</v>
      </c>
      <c r="E99" s="55" t="n">
        <f aca="false">B99</f>
        <v>-0.4</v>
      </c>
      <c r="F99" s="57" t="n">
        <f aca="false">07_最適化!$B$9</f>
        <v>0.5</v>
      </c>
      <c r="G99" s="55" t="n">
        <f aca="false">1</f>
        <v>1</v>
      </c>
      <c r="H99" s="57" t="n">
        <f aca="false">C99</f>
        <v>0.5</v>
      </c>
      <c r="I99" s="57" t="n">
        <f aca="false">D99</f>
        <v>0.5</v>
      </c>
      <c r="J99" s="55" t="n">
        <f aca="false">E99</f>
        <v>-0.4</v>
      </c>
      <c r="K99" s="57" t="n">
        <f aca="false">F99</f>
        <v>0.5</v>
      </c>
      <c r="L99" s="55" t="n">
        <f aca="false">C99*D99</f>
        <v>0.25</v>
      </c>
      <c r="M99" s="55" t="n">
        <f aca="false">C99*E99</f>
        <v>-0.2</v>
      </c>
      <c r="N99" s="55" t="n">
        <f aca="false">C99*F99</f>
        <v>0.25</v>
      </c>
      <c r="O99" s="55" t="n">
        <f aca="false">D99*E99</f>
        <v>-0.2</v>
      </c>
      <c r="P99" s="55" t="n">
        <f aca="false">D99*F99</f>
        <v>0.25</v>
      </c>
      <c r="Q99" s="55" t="n">
        <f aca="false">E99*F99</f>
        <v>-0.2</v>
      </c>
      <c r="R99" s="55" t="n">
        <f aca="false">C99*C99</f>
        <v>0.25</v>
      </c>
      <c r="S99" s="55" t="n">
        <f aca="false">D99*D99</f>
        <v>0.25</v>
      </c>
      <c r="T99" s="55" t="n">
        <f aca="false">E99*E99</f>
        <v>0.16</v>
      </c>
      <c r="U99" s="55" t="n">
        <f aca="false">F99*F99</f>
        <v>0.25</v>
      </c>
      <c r="V99" s="55" t="n">
        <f aca="false">SUMPRODUCT(G99:U99,_XtX!$B$96:$P$96)</f>
        <v>48.5406790935672</v>
      </c>
      <c r="W99" s="55" t="n">
        <f aca="false">SUMPRODUCT(MMULT(G99:U99,_XtX!$B$78:$P$92),G99:U99)</f>
        <v>0.130488340643275</v>
      </c>
      <c r="X99" s="55" t="n">
        <f aca="false">V99-04_回帰ANOVA!$K$19*04_回帰ANOVA!$K$14*SQRT(1+W99)</f>
        <v>47.1547805559304</v>
      </c>
      <c r="Y99" s="55" t="n">
        <f aca="false">V99+04_回帰ANOVA!$K$19*04_回帰ANOVA!$K$14*SQRT(1+W99)</f>
        <v>49.926577631204</v>
      </c>
      <c r="Z99" s="54" t="b">
        <f aca="false">AND(C99&gt;=01_因子設定!$L$5-0.000000001,C99&lt;=01_因子設定!$M$5+0.000000001,D99&gt;=01_因子設定!$L$6-0.000000001,D99&lt;=01_因子設定!$M$6+0.000000001,E99&gt;=01_因子設定!$L$7-0.000000001,E99&lt;=01_因子設定!$M$7+0.000000001,F99&gt;=01_因子設定!$L$8-0.000000001,F99&lt;=01_因子設定!$M$8+0.000000001,IF(01_因子設定!$B$20="Box-Behnken",C99^2+D99^2+E99^2+F99^2&lt;=2+0.000000001,TRUE()))</f>
        <v>1</v>
      </c>
      <c r="AA99" s="55" t="n">
        <f aca="false">IF(Z99,IF(01_因子設定!$B$13="最大化",X99-01_因子設定!$B$14,IF(01_因子設定!$B$13="最小化",01_因子設定!$B$15-Y99,MIN(X99-01_因子設定!$B$14,01_因子設定!$B$15-Y99))),-1E+030)</f>
        <v>0.654780555930415</v>
      </c>
      <c r="AB99" s="55" t="n">
        <f aca="false">IF(AA99&gt;=0,1,0)</f>
        <v>1</v>
      </c>
    </row>
    <row r="100" customFormat="false" ht="15" hidden="false" customHeight="false" outlineLevel="0" collapsed="false">
      <c r="A100" s="0" t="n">
        <v>3</v>
      </c>
      <c r="B100" s="0" t="n">
        <v>-0.35</v>
      </c>
      <c r="C100" s="57" t="n">
        <f aca="false">07_最適化!$B$6</f>
        <v>0.5</v>
      </c>
      <c r="D100" s="57" t="n">
        <f aca="false">07_最適化!$B$7</f>
        <v>0.5</v>
      </c>
      <c r="E100" s="55" t="n">
        <f aca="false">B100</f>
        <v>-0.35</v>
      </c>
      <c r="F100" s="57" t="n">
        <f aca="false">07_最適化!$B$9</f>
        <v>0.5</v>
      </c>
      <c r="G100" s="55" t="n">
        <f aca="false">1</f>
        <v>1</v>
      </c>
      <c r="H100" s="57" t="n">
        <f aca="false">C100</f>
        <v>0.5</v>
      </c>
      <c r="I100" s="57" t="n">
        <f aca="false">D100</f>
        <v>0.5</v>
      </c>
      <c r="J100" s="55" t="n">
        <f aca="false">E100</f>
        <v>-0.35</v>
      </c>
      <c r="K100" s="57" t="n">
        <f aca="false">F100</f>
        <v>0.5</v>
      </c>
      <c r="L100" s="55" t="n">
        <f aca="false">C100*D100</f>
        <v>0.25</v>
      </c>
      <c r="M100" s="55" t="n">
        <f aca="false">C100*E100</f>
        <v>-0.175</v>
      </c>
      <c r="N100" s="55" t="n">
        <f aca="false">C100*F100</f>
        <v>0.25</v>
      </c>
      <c r="O100" s="55" t="n">
        <f aca="false">D100*E100</f>
        <v>-0.175</v>
      </c>
      <c r="P100" s="55" t="n">
        <f aca="false">D100*F100</f>
        <v>0.25</v>
      </c>
      <c r="Q100" s="55" t="n">
        <f aca="false">E100*F100</f>
        <v>-0.175</v>
      </c>
      <c r="R100" s="55" t="n">
        <f aca="false">C100*C100</f>
        <v>0.25</v>
      </c>
      <c r="S100" s="55" t="n">
        <f aca="false">D100*D100</f>
        <v>0.25</v>
      </c>
      <c r="T100" s="55" t="n">
        <f aca="false">E100*E100</f>
        <v>0.1225</v>
      </c>
      <c r="U100" s="55" t="n">
        <f aca="false">F100*F100</f>
        <v>0.25</v>
      </c>
      <c r="V100" s="55" t="n">
        <f aca="false">SUMPRODUCT(G100:U100,_XtX!$B$96:$P$96)</f>
        <v>48.614187865497</v>
      </c>
      <c r="W100" s="55" t="n">
        <f aca="false">SUMPRODUCT(MMULT(G100:U100,_XtX!$B$78:$P$92),G100:U100)</f>
        <v>0.130946536915205</v>
      </c>
      <c r="X100" s="55" t="n">
        <f aca="false">V100-04_回帰ANOVA!$K$19*04_回帰ANOVA!$K$14*SQRT(1+W100)</f>
        <v>47.2280084982447</v>
      </c>
      <c r="Y100" s="55" t="n">
        <f aca="false">V100+04_回帰ANOVA!$K$19*04_回帰ANOVA!$K$14*SQRT(1+W100)</f>
        <v>50.0003672327494</v>
      </c>
      <c r="Z100" s="54" t="b">
        <f aca="false">AND(C100&gt;=01_因子設定!$L$5-0.000000001,C100&lt;=01_因子設定!$M$5+0.000000001,D100&gt;=01_因子設定!$L$6-0.000000001,D100&lt;=01_因子設定!$M$6+0.000000001,E100&gt;=01_因子設定!$L$7-0.000000001,E100&lt;=01_因子設定!$M$7+0.000000001,F100&gt;=01_因子設定!$L$8-0.000000001,F100&lt;=01_因子設定!$M$8+0.000000001,IF(01_因子設定!$B$20="Box-Behnken",C100^2+D100^2+E100^2+F100^2&lt;=2+0.000000001,TRUE()))</f>
        <v>1</v>
      </c>
      <c r="AA100" s="55" t="n">
        <f aca="false">IF(Z100,IF(01_因子設定!$B$13="最大化",X100-01_因子設定!$B$14,IF(01_因子設定!$B$13="最小化",01_因子設定!$B$15-Y100,MIN(X100-01_因子設定!$B$14,01_因子設定!$B$15-Y100))),-1E+030)</f>
        <v>0.728008498244691</v>
      </c>
      <c r="AB100" s="55" t="n">
        <f aca="false">IF(AA100&gt;=0,1,0)</f>
        <v>1</v>
      </c>
    </row>
    <row r="101" customFormat="false" ht="15" hidden="false" customHeight="false" outlineLevel="0" collapsed="false">
      <c r="A101" s="0" t="n">
        <v>3</v>
      </c>
      <c r="B101" s="0" t="n">
        <v>-0.3</v>
      </c>
      <c r="C101" s="57" t="n">
        <f aca="false">07_最適化!$B$6</f>
        <v>0.5</v>
      </c>
      <c r="D101" s="57" t="n">
        <f aca="false">07_最適化!$B$7</f>
        <v>0.5</v>
      </c>
      <c r="E101" s="55" t="n">
        <f aca="false">B101</f>
        <v>-0.3</v>
      </c>
      <c r="F101" s="57" t="n">
        <f aca="false">07_最適化!$B$9</f>
        <v>0.5</v>
      </c>
      <c r="G101" s="55" t="n">
        <f aca="false">1</f>
        <v>1</v>
      </c>
      <c r="H101" s="57" t="n">
        <f aca="false">C101</f>
        <v>0.5</v>
      </c>
      <c r="I101" s="57" t="n">
        <f aca="false">D101</f>
        <v>0.5</v>
      </c>
      <c r="J101" s="55" t="n">
        <f aca="false">E101</f>
        <v>-0.3</v>
      </c>
      <c r="K101" s="57" t="n">
        <f aca="false">F101</f>
        <v>0.5</v>
      </c>
      <c r="L101" s="55" t="n">
        <f aca="false">C101*D101</f>
        <v>0.25</v>
      </c>
      <c r="M101" s="55" t="n">
        <f aca="false">C101*E101</f>
        <v>-0.15</v>
      </c>
      <c r="N101" s="55" t="n">
        <f aca="false">C101*F101</f>
        <v>0.25</v>
      </c>
      <c r="O101" s="55" t="n">
        <f aca="false">D101*E101</f>
        <v>-0.15</v>
      </c>
      <c r="P101" s="55" t="n">
        <f aca="false">D101*F101</f>
        <v>0.25</v>
      </c>
      <c r="Q101" s="55" t="n">
        <f aca="false">E101*F101</f>
        <v>-0.15</v>
      </c>
      <c r="R101" s="55" t="n">
        <f aca="false">C101*C101</f>
        <v>0.25</v>
      </c>
      <c r="S101" s="55" t="n">
        <f aca="false">D101*D101</f>
        <v>0.25</v>
      </c>
      <c r="T101" s="55" t="n">
        <f aca="false">E101*E101</f>
        <v>0.09</v>
      </c>
      <c r="U101" s="55" t="n">
        <f aca="false">F101*F101</f>
        <v>0.25</v>
      </c>
      <c r="V101" s="55" t="n">
        <f aca="false">SUMPRODUCT(G101:U101,_XtX!$B$96:$P$96)</f>
        <v>48.6842843567251</v>
      </c>
      <c r="W101" s="55" t="n">
        <f aca="false">SUMPRODUCT(MMULT(G101:U101,_XtX!$B$78:$P$92),G101:U101)</f>
        <v>0.132221710526316</v>
      </c>
      <c r="X101" s="55" t="n">
        <f aca="false">V101-04_回帰ANOVA!$K$19*04_回帰ANOVA!$K$14*SQRT(1+W101)</f>
        <v>47.2973237317774</v>
      </c>
      <c r="Y101" s="55" t="n">
        <f aca="false">V101+04_回帰ANOVA!$K$19*04_回帰ANOVA!$K$14*SQRT(1+W101)</f>
        <v>50.0712449816729</v>
      </c>
      <c r="Z101" s="54" t="b">
        <f aca="false">AND(C101&gt;=01_因子設定!$L$5-0.000000001,C101&lt;=01_因子設定!$M$5+0.000000001,D101&gt;=01_因子設定!$L$6-0.000000001,D101&lt;=01_因子設定!$M$6+0.000000001,E101&gt;=01_因子設定!$L$7-0.000000001,E101&lt;=01_因子設定!$M$7+0.000000001,F101&gt;=01_因子設定!$L$8-0.000000001,F101&lt;=01_因子設定!$M$8+0.000000001,IF(01_因子設定!$B$20="Box-Behnken",C101^2+D101^2+E101^2+F101^2&lt;=2+0.000000001,TRUE()))</f>
        <v>1</v>
      </c>
      <c r="AA101" s="55" t="n">
        <f aca="false">IF(Z101,IF(01_因子設定!$B$13="最大化",X101-01_因子設定!$B$14,IF(01_因子設定!$B$13="最小化",01_因子設定!$B$15-Y101,MIN(X101-01_因子設定!$B$14,01_因子設定!$B$15-Y101))),-1E+030)</f>
        <v>0.797323731777347</v>
      </c>
      <c r="AB101" s="55" t="n">
        <f aca="false">IF(AA101&gt;=0,1,0)</f>
        <v>1</v>
      </c>
    </row>
    <row r="102" customFormat="false" ht="15" hidden="false" customHeight="false" outlineLevel="0" collapsed="false">
      <c r="A102" s="0" t="n">
        <v>3</v>
      </c>
      <c r="B102" s="0" t="n">
        <v>-0.25</v>
      </c>
      <c r="C102" s="57" t="n">
        <f aca="false">07_最適化!$B$6</f>
        <v>0.5</v>
      </c>
      <c r="D102" s="57" t="n">
        <f aca="false">07_最適化!$B$7</f>
        <v>0.5</v>
      </c>
      <c r="E102" s="55" t="n">
        <f aca="false">B102</f>
        <v>-0.25</v>
      </c>
      <c r="F102" s="57" t="n">
        <f aca="false">07_最適化!$B$9</f>
        <v>0.5</v>
      </c>
      <c r="G102" s="55" t="n">
        <f aca="false">1</f>
        <v>1</v>
      </c>
      <c r="H102" s="57" t="n">
        <f aca="false">C102</f>
        <v>0.5</v>
      </c>
      <c r="I102" s="57" t="n">
        <f aca="false">D102</f>
        <v>0.5</v>
      </c>
      <c r="J102" s="55" t="n">
        <f aca="false">E102</f>
        <v>-0.25</v>
      </c>
      <c r="K102" s="57" t="n">
        <f aca="false">F102</f>
        <v>0.5</v>
      </c>
      <c r="L102" s="55" t="n">
        <f aca="false">C102*D102</f>
        <v>0.25</v>
      </c>
      <c r="M102" s="55" t="n">
        <f aca="false">C102*E102</f>
        <v>-0.125</v>
      </c>
      <c r="N102" s="55" t="n">
        <f aca="false">C102*F102</f>
        <v>0.25</v>
      </c>
      <c r="O102" s="55" t="n">
        <f aca="false">D102*E102</f>
        <v>-0.125</v>
      </c>
      <c r="P102" s="55" t="n">
        <f aca="false">D102*F102</f>
        <v>0.25</v>
      </c>
      <c r="Q102" s="55" t="n">
        <f aca="false">E102*F102</f>
        <v>-0.125</v>
      </c>
      <c r="R102" s="55" t="n">
        <f aca="false">C102*C102</f>
        <v>0.25</v>
      </c>
      <c r="S102" s="55" t="n">
        <f aca="false">D102*D102</f>
        <v>0.25</v>
      </c>
      <c r="T102" s="55" t="n">
        <f aca="false">E102*E102</f>
        <v>0.0625</v>
      </c>
      <c r="U102" s="55" t="n">
        <f aca="false">F102*F102</f>
        <v>0.25</v>
      </c>
      <c r="V102" s="55" t="n">
        <f aca="false">SUMPRODUCT(G102:U102,_XtX!$B$96:$P$96)</f>
        <v>48.7509685672514</v>
      </c>
      <c r="W102" s="55" t="n">
        <f aca="false">SUMPRODUCT(MMULT(G102:U102,_XtX!$B$78:$P$92),G102:U102)</f>
        <v>0.133937545687135</v>
      </c>
      <c r="X102" s="55" t="n">
        <f aca="false">V102-04_回帰ANOVA!$K$19*04_回帰ANOVA!$K$14*SQRT(1+W102)</f>
        <v>47.3629573994432</v>
      </c>
      <c r="Y102" s="55" t="n">
        <f aca="false">V102+04_回帰ANOVA!$K$19*04_回帰ANOVA!$K$14*SQRT(1+W102)</f>
        <v>50.1389797350597</v>
      </c>
      <c r="Z102" s="54" t="b">
        <f aca="false">AND(C102&gt;=01_因子設定!$L$5-0.000000001,C102&lt;=01_因子設定!$M$5+0.000000001,D102&gt;=01_因子設定!$L$6-0.000000001,D102&lt;=01_因子設定!$M$6+0.000000001,E102&gt;=01_因子設定!$L$7-0.000000001,E102&lt;=01_因子設定!$M$7+0.000000001,F102&gt;=01_因子設定!$L$8-0.000000001,F102&lt;=01_因子設定!$M$8+0.000000001,IF(01_因子設定!$B$20="Box-Behnken",C102^2+D102^2+E102^2+F102^2&lt;=2+0.000000001,TRUE()))</f>
        <v>1</v>
      </c>
      <c r="AA102" s="55" t="n">
        <f aca="false">IF(Z102,IF(01_因子設定!$B$13="最大化",X102-01_因子設定!$B$14,IF(01_因子設定!$B$13="最小化",01_因子設定!$B$15-Y102,MIN(X102-01_因子設定!$B$14,01_因子設定!$B$15-Y102))),-1E+030)</f>
        <v>0.862957399443175</v>
      </c>
      <c r="AB102" s="55" t="n">
        <f aca="false">IF(AA102&gt;=0,1,0)</f>
        <v>1</v>
      </c>
    </row>
    <row r="103" customFormat="false" ht="15" hidden="false" customHeight="false" outlineLevel="0" collapsed="false">
      <c r="A103" s="0" t="n">
        <v>3</v>
      </c>
      <c r="B103" s="0" t="n">
        <v>-0.2</v>
      </c>
      <c r="C103" s="57" t="n">
        <f aca="false">07_最適化!$B$6</f>
        <v>0.5</v>
      </c>
      <c r="D103" s="57" t="n">
        <f aca="false">07_最適化!$B$7</f>
        <v>0.5</v>
      </c>
      <c r="E103" s="55" t="n">
        <f aca="false">B103</f>
        <v>-0.2</v>
      </c>
      <c r="F103" s="57" t="n">
        <f aca="false">07_最適化!$B$9</f>
        <v>0.5</v>
      </c>
      <c r="G103" s="55" t="n">
        <f aca="false">1</f>
        <v>1</v>
      </c>
      <c r="H103" s="57" t="n">
        <f aca="false">C103</f>
        <v>0.5</v>
      </c>
      <c r="I103" s="57" t="n">
        <f aca="false">D103</f>
        <v>0.5</v>
      </c>
      <c r="J103" s="55" t="n">
        <f aca="false">E103</f>
        <v>-0.2</v>
      </c>
      <c r="K103" s="57" t="n">
        <f aca="false">F103</f>
        <v>0.5</v>
      </c>
      <c r="L103" s="55" t="n">
        <f aca="false">C103*D103</f>
        <v>0.25</v>
      </c>
      <c r="M103" s="55" t="n">
        <f aca="false">C103*E103</f>
        <v>-0.1</v>
      </c>
      <c r="N103" s="55" t="n">
        <f aca="false">C103*F103</f>
        <v>0.25</v>
      </c>
      <c r="O103" s="55" t="n">
        <f aca="false">D103*E103</f>
        <v>-0.1</v>
      </c>
      <c r="P103" s="55" t="n">
        <f aca="false">D103*F103</f>
        <v>0.25</v>
      </c>
      <c r="Q103" s="55" t="n">
        <f aca="false">E103*F103</f>
        <v>-0.1</v>
      </c>
      <c r="R103" s="55" t="n">
        <f aca="false">C103*C103</f>
        <v>0.25</v>
      </c>
      <c r="S103" s="55" t="n">
        <f aca="false">D103*D103</f>
        <v>0.25</v>
      </c>
      <c r="T103" s="55" t="n">
        <f aca="false">E103*E103</f>
        <v>0.04</v>
      </c>
      <c r="U103" s="55" t="n">
        <f aca="false">F103*F103</f>
        <v>0.25</v>
      </c>
      <c r="V103" s="55" t="n">
        <f aca="false">SUMPRODUCT(G103:U103,_XtX!$B$96:$P$96)</f>
        <v>48.814240497076</v>
      </c>
      <c r="W103" s="55" t="n">
        <f aca="false">SUMPRODUCT(MMULT(G103:U103,_XtX!$B$78:$P$92),G103:U103)</f>
        <v>0.135775621345029</v>
      </c>
      <c r="X103" s="55" t="n">
        <f aca="false">V103-04_回帰ANOVA!$K$19*04_回帰ANOVA!$K$14*SQRT(1+W103)</f>
        <v>47.4251048244367</v>
      </c>
      <c r="Y103" s="55" t="n">
        <f aca="false">V103+04_回帰ANOVA!$K$19*04_回帰ANOVA!$K$14*SQRT(1+W103)</f>
        <v>50.2033761697153</v>
      </c>
      <c r="Z103" s="54" t="b">
        <f aca="false">AND(C103&gt;=01_因子設定!$L$5-0.000000001,C103&lt;=01_因子設定!$M$5+0.000000001,D103&gt;=01_因子設定!$L$6-0.000000001,D103&lt;=01_因子設定!$M$6+0.000000001,E103&gt;=01_因子設定!$L$7-0.000000001,E103&lt;=01_因子設定!$M$7+0.000000001,F103&gt;=01_因子設定!$L$8-0.000000001,F103&lt;=01_因子設定!$M$8+0.000000001,IF(01_因子設定!$B$20="Box-Behnken",C103^2+D103^2+E103^2+F103^2&lt;=2+0.000000001,TRUE()))</f>
        <v>1</v>
      </c>
      <c r="AA103" s="55" t="n">
        <f aca="false">IF(Z103,IF(01_因子設定!$B$13="最大化",X103-01_因子設定!$B$14,IF(01_因子設定!$B$13="最小化",01_因子設定!$B$15-Y103,MIN(X103-01_因子設定!$B$14,01_因子設定!$B$15-Y103))),-1E+030)</f>
        <v>0.925104824436701</v>
      </c>
      <c r="AB103" s="55" t="n">
        <f aca="false">IF(AA103&gt;=0,1,0)</f>
        <v>1</v>
      </c>
    </row>
    <row r="104" customFormat="false" ht="15" hidden="false" customHeight="false" outlineLevel="0" collapsed="false">
      <c r="A104" s="0" t="n">
        <v>3</v>
      </c>
      <c r="B104" s="0" t="n">
        <v>-0.15</v>
      </c>
      <c r="C104" s="57" t="n">
        <f aca="false">07_最適化!$B$6</f>
        <v>0.5</v>
      </c>
      <c r="D104" s="57" t="n">
        <f aca="false">07_最適化!$B$7</f>
        <v>0.5</v>
      </c>
      <c r="E104" s="55" t="n">
        <f aca="false">B104</f>
        <v>-0.15</v>
      </c>
      <c r="F104" s="57" t="n">
        <f aca="false">07_最適化!$B$9</f>
        <v>0.5</v>
      </c>
      <c r="G104" s="55" t="n">
        <f aca="false">1</f>
        <v>1</v>
      </c>
      <c r="H104" s="57" t="n">
        <f aca="false">C104</f>
        <v>0.5</v>
      </c>
      <c r="I104" s="57" t="n">
        <f aca="false">D104</f>
        <v>0.5</v>
      </c>
      <c r="J104" s="55" t="n">
        <f aca="false">E104</f>
        <v>-0.15</v>
      </c>
      <c r="K104" s="57" t="n">
        <f aca="false">F104</f>
        <v>0.5</v>
      </c>
      <c r="L104" s="55" t="n">
        <f aca="false">C104*D104</f>
        <v>0.25</v>
      </c>
      <c r="M104" s="55" t="n">
        <f aca="false">C104*E104</f>
        <v>-0.075</v>
      </c>
      <c r="N104" s="55" t="n">
        <f aca="false">C104*F104</f>
        <v>0.25</v>
      </c>
      <c r="O104" s="55" t="n">
        <f aca="false">D104*E104</f>
        <v>-0.075</v>
      </c>
      <c r="P104" s="55" t="n">
        <f aca="false">D104*F104</f>
        <v>0.25</v>
      </c>
      <c r="Q104" s="55" t="n">
        <f aca="false">E104*F104</f>
        <v>-0.075</v>
      </c>
      <c r="R104" s="55" t="n">
        <f aca="false">C104*C104</f>
        <v>0.25</v>
      </c>
      <c r="S104" s="55" t="n">
        <f aca="false">D104*D104</f>
        <v>0.25</v>
      </c>
      <c r="T104" s="55" t="n">
        <f aca="false">E104*E104</f>
        <v>0.0225</v>
      </c>
      <c r="U104" s="55" t="n">
        <f aca="false">F104*F104</f>
        <v>0.25</v>
      </c>
      <c r="V104" s="55" t="n">
        <f aca="false">SUMPRODUCT(G104:U104,_XtX!$B$96:$P$96)</f>
        <v>48.8741001461988</v>
      </c>
      <c r="W104" s="55" t="n">
        <f aca="false">SUMPRODUCT(MMULT(G104:U104,_XtX!$B$78:$P$92),G104:U104)</f>
        <v>0.137475411184211</v>
      </c>
      <c r="X104" s="55" t="n">
        <f aca="false">V104-04_回帰ANOVA!$K$19*04_回帰ANOVA!$K$14*SQRT(1+W104)</f>
        <v>47.4839253792761</v>
      </c>
      <c r="Y104" s="55" t="n">
        <f aca="false">V104+04_回帰ANOVA!$K$19*04_回帰ANOVA!$K$14*SQRT(1+W104)</f>
        <v>50.2642749131215</v>
      </c>
      <c r="Z104" s="54" t="b">
        <f aca="false">AND(C104&gt;=01_因子設定!$L$5-0.000000001,C104&lt;=01_因子設定!$M$5+0.000000001,D104&gt;=01_因子設定!$L$6-0.000000001,D104&lt;=01_因子設定!$M$6+0.000000001,E104&gt;=01_因子設定!$L$7-0.000000001,E104&lt;=01_因子設定!$M$7+0.000000001,F104&gt;=01_因子設定!$L$8-0.000000001,F104&lt;=01_因子設定!$M$8+0.000000001,IF(01_因子設定!$B$20="Box-Behnken",C104^2+D104^2+E104^2+F104^2&lt;=2+0.000000001,TRUE()))</f>
        <v>1</v>
      </c>
      <c r="AA104" s="55" t="n">
        <f aca="false">IF(Z104,IF(01_因子設定!$B$13="最大化",X104-01_因子設定!$B$14,IF(01_因子設定!$B$13="最小化",01_因子設定!$B$15-Y104,MIN(X104-01_因子設定!$B$14,01_因子設定!$B$15-Y104))),-1E+030)</f>
        <v>0.983925379276073</v>
      </c>
      <c r="AB104" s="55" t="n">
        <f aca="false">IF(AA104&gt;=0,1,0)</f>
        <v>1</v>
      </c>
    </row>
    <row r="105" customFormat="false" ht="15" hidden="false" customHeight="false" outlineLevel="0" collapsed="false">
      <c r="A105" s="0" t="n">
        <v>3</v>
      </c>
      <c r="B105" s="0" t="n">
        <v>-0.1</v>
      </c>
      <c r="C105" s="57" t="n">
        <f aca="false">07_最適化!$B$6</f>
        <v>0.5</v>
      </c>
      <c r="D105" s="57" t="n">
        <f aca="false">07_最適化!$B$7</f>
        <v>0.5</v>
      </c>
      <c r="E105" s="55" t="n">
        <f aca="false">B105</f>
        <v>-0.1</v>
      </c>
      <c r="F105" s="57" t="n">
        <f aca="false">07_最適化!$B$9</f>
        <v>0.5</v>
      </c>
      <c r="G105" s="55" t="n">
        <f aca="false">1</f>
        <v>1</v>
      </c>
      <c r="H105" s="57" t="n">
        <f aca="false">C105</f>
        <v>0.5</v>
      </c>
      <c r="I105" s="57" t="n">
        <f aca="false">D105</f>
        <v>0.5</v>
      </c>
      <c r="J105" s="55" t="n">
        <f aca="false">E105</f>
        <v>-0.1</v>
      </c>
      <c r="K105" s="57" t="n">
        <f aca="false">F105</f>
        <v>0.5</v>
      </c>
      <c r="L105" s="55" t="n">
        <f aca="false">C105*D105</f>
        <v>0.25</v>
      </c>
      <c r="M105" s="55" t="n">
        <f aca="false">C105*E105</f>
        <v>-0.05</v>
      </c>
      <c r="N105" s="55" t="n">
        <f aca="false">C105*F105</f>
        <v>0.25</v>
      </c>
      <c r="O105" s="55" t="n">
        <f aca="false">D105*E105</f>
        <v>-0.05</v>
      </c>
      <c r="P105" s="55" t="n">
        <f aca="false">D105*F105</f>
        <v>0.25</v>
      </c>
      <c r="Q105" s="55" t="n">
        <f aca="false">E105*F105</f>
        <v>-0.05</v>
      </c>
      <c r="R105" s="55" t="n">
        <f aca="false">C105*C105</f>
        <v>0.25</v>
      </c>
      <c r="S105" s="55" t="n">
        <f aca="false">D105*D105</f>
        <v>0.25</v>
      </c>
      <c r="T105" s="55" t="n">
        <f aca="false">E105*E105</f>
        <v>0.01</v>
      </c>
      <c r="U105" s="55" t="n">
        <f aca="false">F105*F105</f>
        <v>0.25</v>
      </c>
      <c r="V105" s="55" t="n">
        <f aca="false">SUMPRODUCT(G105:U105,_XtX!$B$96:$P$96)</f>
        <v>48.9305475146198</v>
      </c>
      <c r="W105" s="55" t="n">
        <f aca="false">SUMPRODUCT(MMULT(G105:U105,_XtX!$B$78:$P$92),G105:U105)</f>
        <v>0.138834283625731</v>
      </c>
      <c r="X105" s="55" t="n">
        <f aca="false">V105-04_回帰ANOVA!$K$19*04_回帰ANOVA!$K$14*SQRT(1+W105)</f>
        <v>47.5395426170813</v>
      </c>
      <c r="Y105" s="55" t="n">
        <f aca="false">V105+04_回帰ANOVA!$K$19*04_回帰ANOVA!$K$14*SQRT(1+W105)</f>
        <v>50.3215524121584</v>
      </c>
      <c r="Z105" s="54" t="b">
        <f aca="false">AND(C105&gt;=01_因子設定!$L$5-0.000000001,C105&lt;=01_因子設定!$M$5+0.000000001,D105&gt;=01_因子設定!$L$6-0.000000001,D105&lt;=01_因子設定!$M$6+0.000000001,E105&gt;=01_因子設定!$L$7-0.000000001,E105&lt;=01_因子設定!$M$7+0.000000001,F105&gt;=01_因子設定!$L$8-0.000000001,F105&lt;=01_因子設定!$M$8+0.000000001,IF(01_因子設定!$B$20="Box-Behnken",C105^2+D105^2+E105^2+F105^2&lt;=2+0.000000001,TRUE()))</f>
        <v>1</v>
      </c>
      <c r="AA105" s="55" t="n">
        <f aca="false">IF(Z105,IF(01_因子設定!$B$13="最大化",X105-01_因子設定!$B$14,IF(01_因子設定!$B$13="最小化",01_因子設定!$B$15-Y105,MIN(X105-01_因子設定!$B$14,01_因子設定!$B$15-Y105))),-1E+030)</f>
        <v>1.03954261708127</v>
      </c>
      <c r="AB105" s="55" t="n">
        <f aca="false">IF(AA105&gt;=0,1,0)</f>
        <v>1</v>
      </c>
    </row>
    <row r="106" customFormat="false" ht="15" hidden="false" customHeight="false" outlineLevel="0" collapsed="false">
      <c r="A106" s="0" t="n">
        <v>3</v>
      </c>
      <c r="B106" s="0" t="n">
        <v>-0.05</v>
      </c>
      <c r="C106" s="57" t="n">
        <f aca="false">07_最適化!$B$6</f>
        <v>0.5</v>
      </c>
      <c r="D106" s="57" t="n">
        <f aca="false">07_最適化!$B$7</f>
        <v>0.5</v>
      </c>
      <c r="E106" s="55" t="n">
        <f aca="false">B106</f>
        <v>-0.05</v>
      </c>
      <c r="F106" s="57" t="n">
        <f aca="false">07_最適化!$B$9</f>
        <v>0.5</v>
      </c>
      <c r="G106" s="55" t="n">
        <f aca="false">1</f>
        <v>1</v>
      </c>
      <c r="H106" s="57" t="n">
        <f aca="false">C106</f>
        <v>0.5</v>
      </c>
      <c r="I106" s="57" t="n">
        <f aca="false">D106</f>
        <v>0.5</v>
      </c>
      <c r="J106" s="55" t="n">
        <f aca="false">E106</f>
        <v>-0.05</v>
      </c>
      <c r="K106" s="57" t="n">
        <f aca="false">F106</f>
        <v>0.5</v>
      </c>
      <c r="L106" s="55" t="n">
        <f aca="false">C106*D106</f>
        <v>0.25</v>
      </c>
      <c r="M106" s="55" t="n">
        <f aca="false">C106*E106</f>
        <v>-0.025</v>
      </c>
      <c r="N106" s="55" t="n">
        <f aca="false">C106*F106</f>
        <v>0.25</v>
      </c>
      <c r="O106" s="55" t="n">
        <f aca="false">D106*E106</f>
        <v>-0.025</v>
      </c>
      <c r="P106" s="55" t="n">
        <f aca="false">D106*F106</f>
        <v>0.25</v>
      </c>
      <c r="Q106" s="55" t="n">
        <f aca="false">E106*F106</f>
        <v>-0.025</v>
      </c>
      <c r="R106" s="55" t="n">
        <f aca="false">C106*C106</f>
        <v>0.25</v>
      </c>
      <c r="S106" s="55" t="n">
        <f aca="false">D106*D106</f>
        <v>0.25</v>
      </c>
      <c r="T106" s="55" t="n">
        <f aca="false">E106*E106</f>
        <v>0.0025</v>
      </c>
      <c r="U106" s="55" t="n">
        <f aca="false">F106*F106</f>
        <v>0.25</v>
      </c>
      <c r="V106" s="55" t="n">
        <f aca="false">SUMPRODUCT(G106:U106,_XtX!$B$96:$P$96)</f>
        <v>48.9835826023392</v>
      </c>
      <c r="W106" s="55" t="n">
        <f aca="false">SUMPRODUCT(MMULT(G106:U106,_XtX!$B$78:$P$92),G106:U106)</f>
        <v>0.139707501827485</v>
      </c>
      <c r="X106" s="55" t="n">
        <f aca="false">V106-04_回帰ANOVA!$K$19*04_回帰ANOVA!$K$14*SQRT(1+W106)</f>
        <v>47.5920445200941</v>
      </c>
      <c r="Y106" s="55" t="n">
        <f aca="false">V106+04_回帰ANOVA!$K$19*04_回帰ANOVA!$K$14*SQRT(1+W106)</f>
        <v>50.3751206845842</v>
      </c>
      <c r="Z106" s="54" t="b">
        <f aca="false">AND(C106&gt;=01_因子設定!$L$5-0.000000001,C106&lt;=01_因子設定!$M$5+0.000000001,D106&gt;=01_因子設定!$L$6-0.000000001,D106&lt;=01_因子設定!$M$6+0.000000001,E106&gt;=01_因子設定!$L$7-0.000000001,E106&lt;=01_因子設定!$M$7+0.000000001,F106&gt;=01_因子設定!$L$8-0.000000001,F106&lt;=01_因子設定!$M$8+0.000000001,IF(01_因子設定!$B$20="Box-Behnken",C106^2+D106^2+E106^2+F106^2&lt;=2+0.000000001,TRUE()))</f>
        <v>1</v>
      </c>
      <c r="AA106" s="55" t="n">
        <f aca="false">IF(Z106,IF(01_因子設定!$B$13="最大化",X106-01_因子設定!$B$14,IF(01_因子設定!$B$13="最小化",01_因子設定!$B$15-Y106,MIN(X106-01_因子設定!$B$14,01_因子設定!$B$15-Y106))),-1E+030)</f>
        <v>1.09204452009406</v>
      </c>
      <c r="AB106" s="55" t="n">
        <f aca="false">IF(AA106&gt;=0,1,0)</f>
        <v>1</v>
      </c>
    </row>
    <row r="107" customFormat="false" ht="15" hidden="false" customHeight="false" outlineLevel="0" collapsed="false">
      <c r="A107" s="0" t="n">
        <v>3</v>
      </c>
      <c r="B107" s="0" t="n">
        <v>0</v>
      </c>
      <c r="C107" s="57" t="n">
        <f aca="false">07_最適化!$B$6</f>
        <v>0.5</v>
      </c>
      <c r="D107" s="57" t="n">
        <f aca="false">07_最適化!$B$7</f>
        <v>0.5</v>
      </c>
      <c r="E107" s="55" t="n">
        <f aca="false">B107</f>
        <v>0</v>
      </c>
      <c r="F107" s="57" t="n">
        <f aca="false">07_最適化!$B$9</f>
        <v>0.5</v>
      </c>
      <c r="G107" s="55" t="n">
        <f aca="false">1</f>
        <v>1</v>
      </c>
      <c r="H107" s="57" t="n">
        <f aca="false">C107</f>
        <v>0.5</v>
      </c>
      <c r="I107" s="57" t="n">
        <f aca="false">D107</f>
        <v>0.5</v>
      </c>
      <c r="J107" s="55" t="n">
        <f aca="false">E107</f>
        <v>0</v>
      </c>
      <c r="K107" s="57" t="n">
        <f aca="false">F107</f>
        <v>0.5</v>
      </c>
      <c r="L107" s="55" t="n">
        <f aca="false">C107*D107</f>
        <v>0.25</v>
      </c>
      <c r="M107" s="55" t="n">
        <f aca="false">C107*E107</f>
        <v>0</v>
      </c>
      <c r="N107" s="55" t="n">
        <f aca="false">C107*F107</f>
        <v>0.25</v>
      </c>
      <c r="O107" s="55" t="n">
        <f aca="false">D107*E107</f>
        <v>0</v>
      </c>
      <c r="P107" s="55" t="n">
        <f aca="false">D107*F107</f>
        <v>0.25</v>
      </c>
      <c r="Q107" s="55" t="n">
        <f aca="false">E107*F107</f>
        <v>0</v>
      </c>
      <c r="R107" s="55" t="n">
        <f aca="false">C107*C107</f>
        <v>0.25</v>
      </c>
      <c r="S107" s="55" t="n">
        <f aca="false">D107*D107</f>
        <v>0.25</v>
      </c>
      <c r="T107" s="55" t="n">
        <f aca="false">E107*E107</f>
        <v>0</v>
      </c>
      <c r="U107" s="55" t="n">
        <f aca="false">F107*F107</f>
        <v>0.25</v>
      </c>
      <c r="V107" s="55" t="n">
        <f aca="false">SUMPRODUCT(G107:U107,_XtX!$B$96:$P$96)</f>
        <v>49.0332054093567</v>
      </c>
      <c r="W107" s="55" t="n">
        <f aca="false">SUMPRODUCT(MMULT(G107:U107,_XtX!$B$78:$P$92),G107:U107)</f>
        <v>0.140008223684211</v>
      </c>
      <c r="X107" s="55" t="n">
        <f aca="false">V107-04_回帰ANOVA!$K$19*04_回帰ANOVA!$K$14*SQRT(1+W107)</f>
        <v>47.6414837544341</v>
      </c>
      <c r="Y107" s="55" t="n">
        <f aca="false">V107+04_回帰ANOVA!$K$19*04_回帰ANOVA!$K$14*SQRT(1+W107)</f>
        <v>50.4249270642793</v>
      </c>
      <c r="Z107" s="54" t="b">
        <f aca="false">AND(C107&gt;=01_因子設定!$L$5-0.000000001,C107&lt;=01_因子設定!$M$5+0.000000001,D107&gt;=01_因子設定!$L$6-0.000000001,D107&lt;=01_因子設定!$M$6+0.000000001,E107&gt;=01_因子設定!$L$7-0.000000001,E107&lt;=01_因子設定!$M$7+0.000000001,F107&gt;=01_因子設定!$L$8-0.000000001,F107&lt;=01_因子設定!$M$8+0.000000001,IF(01_因子設定!$B$20="Box-Behnken",C107^2+D107^2+E107^2+F107^2&lt;=2+0.000000001,TRUE()))</f>
        <v>1</v>
      </c>
      <c r="AA107" s="55" t="n">
        <f aca="false">IF(Z107,IF(01_因子設定!$B$13="最大化",X107-01_因子設定!$B$14,IF(01_因子設定!$B$13="最小化",01_因子設定!$B$15-Y107,MIN(X107-01_因子設定!$B$14,01_因子設定!$B$15-Y107))),-1E+030)</f>
        <v>1.14148375443406</v>
      </c>
      <c r="AB107" s="55" t="n">
        <f aca="false">IF(AA107&gt;=0,1,0)</f>
        <v>1</v>
      </c>
    </row>
    <row r="108" customFormat="false" ht="15" hidden="false" customHeight="false" outlineLevel="0" collapsed="false">
      <c r="A108" s="0" t="n">
        <v>3</v>
      </c>
      <c r="B108" s="0" t="n">
        <v>0.05</v>
      </c>
      <c r="C108" s="57" t="n">
        <f aca="false">07_最適化!$B$6</f>
        <v>0.5</v>
      </c>
      <c r="D108" s="57" t="n">
        <f aca="false">07_最適化!$B$7</f>
        <v>0.5</v>
      </c>
      <c r="E108" s="55" t="n">
        <f aca="false">B108</f>
        <v>0.05</v>
      </c>
      <c r="F108" s="57" t="n">
        <f aca="false">07_最適化!$B$9</f>
        <v>0.5</v>
      </c>
      <c r="G108" s="55" t="n">
        <f aca="false">1</f>
        <v>1</v>
      </c>
      <c r="H108" s="57" t="n">
        <f aca="false">C108</f>
        <v>0.5</v>
      </c>
      <c r="I108" s="57" t="n">
        <f aca="false">D108</f>
        <v>0.5</v>
      </c>
      <c r="J108" s="55" t="n">
        <f aca="false">E108</f>
        <v>0.05</v>
      </c>
      <c r="K108" s="57" t="n">
        <f aca="false">F108</f>
        <v>0.5</v>
      </c>
      <c r="L108" s="55" t="n">
        <f aca="false">C108*D108</f>
        <v>0.25</v>
      </c>
      <c r="M108" s="55" t="n">
        <f aca="false">C108*E108</f>
        <v>0.025</v>
      </c>
      <c r="N108" s="55" t="n">
        <f aca="false">C108*F108</f>
        <v>0.25</v>
      </c>
      <c r="O108" s="55" t="n">
        <f aca="false">D108*E108</f>
        <v>0.025</v>
      </c>
      <c r="P108" s="55" t="n">
        <f aca="false">D108*F108</f>
        <v>0.25</v>
      </c>
      <c r="Q108" s="55" t="n">
        <f aca="false">E108*F108</f>
        <v>0.025</v>
      </c>
      <c r="R108" s="55" t="n">
        <f aca="false">C108*C108</f>
        <v>0.25</v>
      </c>
      <c r="S108" s="55" t="n">
        <f aca="false">D108*D108</f>
        <v>0.25</v>
      </c>
      <c r="T108" s="55" t="n">
        <f aca="false">E108*E108</f>
        <v>0.0025</v>
      </c>
      <c r="U108" s="55" t="n">
        <f aca="false">F108*F108</f>
        <v>0.25</v>
      </c>
      <c r="V108" s="55" t="n">
        <f aca="false">SUMPRODUCT(G108:U108,_XtX!$B$96:$P$96)</f>
        <v>49.0794159356725</v>
      </c>
      <c r="W108" s="55" t="n">
        <f aca="false">SUMPRODUCT(MMULT(G108:U108,_XtX!$B$78:$P$92),G108:U108)</f>
        <v>0.139707501827485</v>
      </c>
      <c r="X108" s="55" t="n">
        <f aca="false">V108-04_回帰ANOVA!$K$19*04_回帰ANOVA!$K$14*SQRT(1+W108)</f>
        <v>47.6878778534274</v>
      </c>
      <c r="Y108" s="55" t="n">
        <f aca="false">V108+04_回帰ANOVA!$K$19*04_回帰ANOVA!$K$14*SQRT(1+W108)</f>
        <v>50.4709540179176</v>
      </c>
      <c r="Z108" s="54" t="b">
        <f aca="false">AND(C108&gt;=01_因子設定!$L$5-0.000000001,C108&lt;=01_因子設定!$M$5+0.000000001,D108&gt;=01_因子設定!$L$6-0.000000001,D108&lt;=01_因子設定!$M$6+0.000000001,E108&gt;=01_因子設定!$L$7-0.000000001,E108&lt;=01_因子設定!$M$7+0.000000001,F108&gt;=01_因子設定!$L$8-0.000000001,F108&lt;=01_因子設定!$M$8+0.000000001,IF(01_因子設定!$B$20="Box-Behnken",C108^2+D108^2+E108^2+F108^2&lt;=2+0.000000001,TRUE()))</f>
        <v>1</v>
      </c>
      <c r="AA108" s="55" t="n">
        <f aca="false">IF(Z108,IF(01_因子設定!$B$13="最大化",X108-01_因子設定!$B$14,IF(01_因子設定!$B$13="最小化",01_因子設定!$B$15-Y108,MIN(X108-01_因子設定!$B$14,01_因子設定!$B$15-Y108))),-1E+030)</f>
        <v>1.18787785342739</v>
      </c>
      <c r="AB108" s="55" t="n">
        <f aca="false">IF(AA108&gt;=0,1,0)</f>
        <v>1</v>
      </c>
    </row>
    <row r="109" customFormat="false" ht="15" hidden="false" customHeight="false" outlineLevel="0" collapsed="false">
      <c r="A109" s="0" t="n">
        <v>3</v>
      </c>
      <c r="B109" s="0" t="n">
        <v>0.1</v>
      </c>
      <c r="C109" s="57" t="n">
        <f aca="false">07_最適化!$B$6</f>
        <v>0.5</v>
      </c>
      <c r="D109" s="57" t="n">
        <f aca="false">07_最適化!$B$7</f>
        <v>0.5</v>
      </c>
      <c r="E109" s="55" t="n">
        <f aca="false">B109</f>
        <v>0.1</v>
      </c>
      <c r="F109" s="57" t="n">
        <f aca="false">07_最適化!$B$9</f>
        <v>0.5</v>
      </c>
      <c r="G109" s="55" t="n">
        <f aca="false">1</f>
        <v>1</v>
      </c>
      <c r="H109" s="57" t="n">
        <f aca="false">C109</f>
        <v>0.5</v>
      </c>
      <c r="I109" s="57" t="n">
        <f aca="false">D109</f>
        <v>0.5</v>
      </c>
      <c r="J109" s="55" t="n">
        <f aca="false">E109</f>
        <v>0.1</v>
      </c>
      <c r="K109" s="57" t="n">
        <f aca="false">F109</f>
        <v>0.5</v>
      </c>
      <c r="L109" s="55" t="n">
        <f aca="false">C109*D109</f>
        <v>0.25</v>
      </c>
      <c r="M109" s="55" t="n">
        <f aca="false">C109*E109</f>
        <v>0.05</v>
      </c>
      <c r="N109" s="55" t="n">
        <f aca="false">C109*F109</f>
        <v>0.25</v>
      </c>
      <c r="O109" s="55" t="n">
        <f aca="false">D109*E109</f>
        <v>0.05</v>
      </c>
      <c r="P109" s="55" t="n">
        <f aca="false">D109*F109</f>
        <v>0.25</v>
      </c>
      <c r="Q109" s="55" t="n">
        <f aca="false">E109*F109</f>
        <v>0.05</v>
      </c>
      <c r="R109" s="55" t="n">
        <f aca="false">C109*C109</f>
        <v>0.25</v>
      </c>
      <c r="S109" s="55" t="n">
        <f aca="false">D109*D109</f>
        <v>0.25</v>
      </c>
      <c r="T109" s="55" t="n">
        <f aca="false">E109*E109</f>
        <v>0.01</v>
      </c>
      <c r="U109" s="55" t="n">
        <f aca="false">F109*F109</f>
        <v>0.25</v>
      </c>
      <c r="V109" s="55" t="n">
        <f aca="false">SUMPRODUCT(G109:U109,_XtX!$B$96:$P$96)</f>
        <v>49.1222141812865</v>
      </c>
      <c r="W109" s="55" t="n">
        <f aca="false">SUMPRODUCT(MMULT(G109:U109,_XtX!$B$78:$P$92),G109:U109)</f>
        <v>0.138834283625731</v>
      </c>
      <c r="X109" s="55" t="n">
        <f aca="false">V109-04_回帰ANOVA!$K$19*04_回帰ANOVA!$K$14*SQRT(1+W109)</f>
        <v>47.7312092837479</v>
      </c>
      <c r="Y109" s="55" t="n">
        <f aca="false">V109+04_回帰ANOVA!$K$19*04_回帰ANOVA!$K$14*SQRT(1+W109)</f>
        <v>50.5132190788251</v>
      </c>
      <c r="Z109" s="54" t="b">
        <f aca="false">AND(C109&gt;=01_因子設定!$L$5-0.000000001,C109&lt;=01_因子設定!$M$5+0.000000001,D109&gt;=01_因子設定!$L$6-0.000000001,D109&lt;=01_因子設定!$M$6+0.000000001,E109&gt;=01_因子設定!$L$7-0.000000001,E109&lt;=01_因子設定!$M$7+0.000000001,F109&gt;=01_因子設定!$L$8-0.000000001,F109&lt;=01_因子設定!$M$8+0.000000001,IF(01_因子設定!$B$20="Box-Behnken",C109^2+D109^2+E109^2+F109^2&lt;=2+0.000000001,TRUE()))</f>
        <v>1</v>
      </c>
      <c r="AA109" s="55" t="n">
        <f aca="false">IF(Z109,IF(01_因子設定!$B$13="最大化",X109-01_因子設定!$B$14,IF(01_因子設定!$B$13="最小化",01_因子設定!$B$15-Y109,MIN(X109-01_因子設定!$B$14,01_因子設定!$B$15-Y109))),-1E+030)</f>
        <v>1.23120928374794</v>
      </c>
      <c r="AB109" s="55" t="n">
        <f aca="false">IF(AA109&gt;=0,1,0)</f>
        <v>1</v>
      </c>
    </row>
    <row r="110" customFormat="false" ht="15" hidden="false" customHeight="false" outlineLevel="0" collapsed="false">
      <c r="A110" s="0" t="n">
        <v>3</v>
      </c>
      <c r="B110" s="0" t="n">
        <v>0.15</v>
      </c>
      <c r="C110" s="57" t="n">
        <f aca="false">07_最適化!$B$6</f>
        <v>0.5</v>
      </c>
      <c r="D110" s="57" t="n">
        <f aca="false">07_最適化!$B$7</f>
        <v>0.5</v>
      </c>
      <c r="E110" s="55" t="n">
        <f aca="false">B110</f>
        <v>0.15</v>
      </c>
      <c r="F110" s="57" t="n">
        <f aca="false">07_最適化!$B$9</f>
        <v>0.5</v>
      </c>
      <c r="G110" s="55" t="n">
        <f aca="false">1</f>
        <v>1</v>
      </c>
      <c r="H110" s="57" t="n">
        <f aca="false">C110</f>
        <v>0.5</v>
      </c>
      <c r="I110" s="57" t="n">
        <f aca="false">D110</f>
        <v>0.5</v>
      </c>
      <c r="J110" s="55" t="n">
        <f aca="false">E110</f>
        <v>0.15</v>
      </c>
      <c r="K110" s="57" t="n">
        <f aca="false">F110</f>
        <v>0.5</v>
      </c>
      <c r="L110" s="55" t="n">
        <f aca="false">C110*D110</f>
        <v>0.25</v>
      </c>
      <c r="M110" s="55" t="n">
        <f aca="false">C110*E110</f>
        <v>0.075</v>
      </c>
      <c r="N110" s="55" t="n">
        <f aca="false">C110*F110</f>
        <v>0.25</v>
      </c>
      <c r="O110" s="55" t="n">
        <f aca="false">D110*E110</f>
        <v>0.075</v>
      </c>
      <c r="P110" s="55" t="n">
        <f aca="false">D110*F110</f>
        <v>0.25</v>
      </c>
      <c r="Q110" s="55" t="n">
        <f aca="false">E110*F110</f>
        <v>0.075</v>
      </c>
      <c r="R110" s="55" t="n">
        <f aca="false">C110*C110</f>
        <v>0.25</v>
      </c>
      <c r="S110" s="55" t="n">
        <f aca="false">D110*D110</f>
        <v>0.25</v>
      </c>
      <c r="T110" s="55" t="n">
        <f aca="false">E110*E110</f>
        <v>0.0225</v>
      </c>
      <c r="U110" s="55" t="n">
        <f aca="false">F110*F110</f>
        <v>0.25</v>
      </c>
      <c r="V110" s="55" t="n">
        <f aca="false">SUMPRODUCT(G110:U110,_XtX!$B$96:$P$96)</f>
        <v>49.1616001461988</v>
      </c>
      <c r="W110" s="55" t="n">
        <f aca="false">SUMPRODUCT(MMULT(G110:U110,_XtX!$B$78:$P$92),G110:U110)</f>
        <v>0.137475411184211</v>
      </c>
      <c r="X110" s="55" t="n">
        <f aca="false">V110-04_回帰ANOVA!$K$19*04_回帰ANOVA!$K$14*SQRT(1+W110)</f>
        <v>47.7714253792761</v>
      </c>
      <c r="Y110" s="55" t="n">
        <f aca="false">V110+04_回帰ANOVA!$K$19*04_回帰ANOVA!$K$14*SQRT(1+W110)</f>
        <v>50.5517749131215</v>
      </c>
      <c r="Z110" s="54" t="b">
        <f aca="false">AND(C110&gt;=01_因子設定!$L$5-0.000000001,C110&lt;=01_因子設定!$M$5+0.000000001,D110&gt;=01_因子設定!$L$6-0.000000001,D110&lt;=01_因子設定!$M$6+0.000000001,E110&gt;=01_因子設定!$L$7-0.000000001,E110&lt;=01_因子設定!$M$7+0.000000001,F110&gt;=01_因子設定!$L$8-0.000000001,F110&lt;=01_因子設定!$M$8+0.000000001,IF(01_因子設定!$B$20="Box-Behnken",C110^2+D110^2+E110^2+F110^2&lt;=2+0.000000001,TRUE()))</f>
        <v>1</v>
      </c>
      <c r="AA110" s="55" t="n">
        <f aca="false">IF(Z110,IF(01_因子設定!$B$13="最大化",X110-01_因子設定!$B$14,IF(01_因子設定!$B$13="最小化",01_因子設定!$B$15-Y110,MIN(X110-01_因子設定!$B$14,01_因子設定!$B$15-Y110))),-1E+030)</f>
        <v>1.27142537927607</v>
      </c>
      <c r="AB110" s="55" t="n">
        <f aca="false">IF(AA110&gt;=0,1,0)</f>
        <v>1</v>
      </c>
    </row>
    <row r="111" customFormat="false" ht="15" hidden="false" customHeight="false" outlineLevel="0" collapsed="false">
      <c r="A111" s="0" t="n">
        <v>3</v>
      </c>
      <c r="B111" s="0" t="n">
        <v>0.2</v>
      </c>
      <c r="C111" s="57" t="n">
        <f aca="false">07_最適化!$B$6</f>
        <v>0.5</v>
      </c>
      <c r="D111" s="57" t="n">
        <f aca="false">07_最適化!$B$7</f>
        <v>0.5</v>
      </c>
      <c r="E111" s="55" t="n">
        <f aca="false">B111</f>
        <v>0.2</v>
      </c>
      <c r="F111" s="57" t="n">
        <f aca="false">07_最適化!$B$9</f>
        <v>0.5</v>
      </c>
      <c r="G111" s="55" t="n">
        <f aca="false">1</f>
        <v>1</v>
      </c>
      <c r="H111" s="57" t="n">
        <f aca="false">C111</f>
        <v>0.5</v>
      </c>
      <c r="I111" s="57" t="n">
        <f aca="false">D111</f>
        <v>0.5</v>
      </c>
      <c r="J111" s="55" t="n">
        <f aca="false">E111</f>
        <v>0.2</v>
      </c>
      <c r="K111" s="57" t="n">
        <f aca="false">F111</f>
        <v>0.5</v>
      </c>
      <c r="L111" s="55" t="n">
        <f aca="false">C111*D111</f>
        <v>0.25</v>
      </c>
      <c r="M111" s="55" t="n">
        <f aca="false">C111*E111</f>
        <v>0.1</v>
      </c>
      <c r="N111" s="55" t="n">
        <f aca="false">C111*F111</f>
        <v>0.25</v>
      </c>
      <c r="O111" s="55" t="n">
        <f aca="false">D111*E111</f>
        <v>0.1</v>
      </c>
      <c r="P111" s="55" t="n">
        <f aca="false">D111*F111</f>
        <v>0.25</v>
      </c>
      <c r="Q111" s="55" t="n">
        <f aca="false">E111*F111</f>
        <v>0.1</v>
      </c>
      <c r="R111" s="55" t="n">
        <f aca="false">C111*C111</f>
        <v>0.25</v>
      </c>
      <c r="S111" s="55" t="n">
        <f aca="false">D111*D111</f>
        <v>0.25</v>
      </c>
      <c r="T111" s="55" t="n">
        <f aca="false">E111*E111</f>
        <v>0.04</v>
      </c>
      <c r="U111" s="55" t="n">
        <f aca="false">F111*F111</f>
        <v>0.25</v>
      </c>
      <c r="V111" s="55" t="n">
        <f aca="false">SUMPRODUCT(G111:U111,_XtX!$B$96:$P$96)</f>
        <v>49.1975738304093</v>
      </c>
      <c r="W111" s="55" t="n">
        <f aca="false">SUMPRODUCT(MMULT(G111:U111,_XtX!$B$78:$P$92),G111:U111)</f>
        <v>0.135775621345029</v>
      </c>
      <c r="X111" s="55" t="n">
        <f aca="false">V111-04_回帰ANOVA!$K$19*04_回帰ANOVA!$K$14*SQRT(1+W111)</f>
        <v>47.80843815777</v>
      </c>
      <c r="Y111" s="55" t="n">
        <f aca="false">V111+04_回帰ANOVA!$K$19*04_回帰ANOVA!$K$14*SQRT(1+W111)</f>
        <v>50.5867095030486</v>
      </c>
      <c r="Z111" s="54" t="b">
        <f aca="false">AND(C111&gt;=01_因子設定!$L$5-0.000000001,C111&lt;=01_因子設定!$M$5+0.000000001,D111&gt;=01_因子設定!$L$6-0.000000001,D111&lt;=01_因子設定!$M$6+0.000000001,E111&gt;=01_因子設定!$L$7-0.000000001,E111&lt;=01_因子設定!$M$7+0.000000001,F111&gt;=01_因子設定!$L$8-0.000000001,F111&lt;=01_因子設定!$M$8+0.000000001,IF(01_因子設定!$B$20="Box-Behnken",C111^2+D111^2+E111^2+F111^2&lt;=2+0.000000001,TRUE()))</f>
        <v>1</v>
      </c>
      <c r="AA111" s="55" t="n">
        <f aca="false">IF(Z111,IF(01_因子設定!$B$13="最大化",X111-01_因子設定!$B$14,IF(01_因子設定!$B$13="最小化",01_因子設定!$B$15-Y111,MIN(X111-01_因子設定!$B$14,01_因子設定!$B$15-Y111))),-1E+030)</f>
        <v>1.30843815777003</v>
      </c>
      <c r="AB111" s="55" t="n">
        <f aca="false">IF(AA111&gt;=0,1,0)</f>
        <v>1</v>
      </c>
    </row>
    <row r="112" customFormat="false" ht="15" hidden="false" customHeight="false" outlineLevel="0" collapsed="false">
      <c r="A112" s="0" t="n">
        <v>3</v>
      </c>
      <c r="B112" s="0" t="n">
        <v>0.25</v>
      </c>
      <c r="C112" s="57" t="n">
        <f aca="false">07_最適化!$B$6</f>
        <v>0.5</v>
      </c>
      <c r="D112" s="57" t="n">
        <f aca="false">07_最適化!$B$7</f>
        <v>0.5</v>
      </c>
      <c r="E112" s="55" t="n">
        <f aca="false">B112</f>
        <v>0.25</v>
      </c>
      <c r="F112" s="57" t="n">
        <f aca="false">07_最適化!$B$9</f>
        <v>0.5</v>
      </c>
      <c r="G112" s="55" t="n">
        <f aca="false">1</f>
        <v>1</v>
      </c>
      <c r="H112" s="57" t="n">
        <f aca="false">C112</f>
        <v>0.5</v>
      </c>
      <c r="I112" s="57" t="n">
        <f aca="false">D112</f>
        <v>0.5</v>
      </c>
      <c r="J112" s="55" t="n">
        <f aca="false">E112</f>
        <v>0.25</v>
      </c>
      <c r="K112" s="57" t="n">
        <f aca="false">F112</f>
        <v>0.5</v>
      </c>
      <c r="L112" s="55" t="n">
        <f aca="false">C112*D112</f>
        <v>0.25</v>
      </c>
      <c r="M112" s="55" t="n">
        <f aca="false">C112*E112</f>
        <v>0.125</v>
      </c>
      <c r="N112" s="55" t="n">
        <f aca="false">C112*F112</f>
        <v>0.25</v>
      </c>
      <c r="O112" s="55" t="n">
        <f aca="false">D112*E112</f>
        <v>0.125</v>
      </c>
      <c r="P112" s="55" t="n">
        <f aca="false">D112*F112</f>
        <v>0.25</v>
      </c>
      <c r="Q112" s="55" t="n">
        <f aca="false">E112*F112</f>
        <v>0.125</v>
      </c>
      <c r="R112" s="55" t="n">
        <f aca="false">C112*C112</f>
        <v>0.25</v>
      </c>
      <c r="S112" s="55" t="n">
        <f aca="false">D112*D112</f>
        <v>0.25</v>
      </c>
      <c r="T112" s="55" t="n">
        <f aca="false">E112*E112</f>
        <v>0.0625</v>
      </c>
      <c r="U112" s="55" t="n">
        <f aca="false">F112*F112</f>
        <v>0.25</v>
      </c>
      <c r="V112" s="55" t="n">
        <f aca="false">SUMPRODUCT(G112:U112,_XtX!$B$96:$P$96)</f>
        <v>49.2301352339181</v>
      </c>
      <c r="W112" s="55" t="n">
        <f aca="false">SUMPRODUCT(MMULT(G112:U112,_XtX!$B$78:$P$92),G112:U112)</f>
        <v>0.133937545687135</v>
      </c>
      <c r="X112" s="55" t="n">
        <f aca="false">V112-04_回帰ANOVA!$K$19*04_回帰ANOVA!$K$14*SQRT(1+W112)</f>
        <v>47.8421240661098</v>
      </c>
      <c r="Y112" s="55" t="n">
        <f aca="false">V112+04_回帰ANOVA!$K$19*04_回帰ANOVA!$K$14*SQRT(1+W112)</f>
        <v>50.6181464017263</v>
      </c>
      <c r="Z112" s="54" t="b">
        <f aca="false">AND(C112&gt;=01_因子設定!$L$5-0.000000001,C112&lt;=01_因子設定!$M$5+0.000000001,D112&gt;=01_因子設定!$L$6-0.000000001,D112&lt;=01_因子設定!$M$6+0.000000001,E112&gt;=01_因子設定!$L$7-0.000000001,E112&lt;=01_因子設定!$M$7+0.000000001,F112&gt;=01_因子設定!$L$8-0.000000001,F112&lt;=01_因子設定!$M$8+0.000000001,IF(01_因子設定!$B$20="Box-Behnken",C112^2+D112^2+E112^2+F112^2&lt;=2+0.000000001,TRUE()))</f>
        <v>1</v>
      </c>
      <c r="AA112" s="55" t="n">
        <f aca="false">IF(Z112,IF(01_因子設定!$B$13="最大化",X112-01_因子設定!$B$14,IF(01_因子設定!$B$13="最小化",01_因子設定!$B$15-Y112,MIN(X112-01_因子設定!$B$14,01_因子設定!$B$15-Y112))),-1E+030)</f>
        <v>1.34212406610984</v>
      </c>
      <c r="AB112" s="55" t="n">
        <f aca="false">IF(AA112&gt;=0,1,0)</f>
        <v>1</v>
      </c>
    </row>
    <row r="113" customFormat="false" ht="15" hidden="false" customHeight="false" outlineLevel="0" collapsed="false">
      <c r="A113" s="0" t="n">
        <v>3</v>
      </c>
      <c r="B113" s="0" t="n">
        <v>0.3</v>
      </c>
      <c r="C113" s="57" t="n">
        <f aca="false">07_最適化!$B$6</f>
        <v>0.5</v>
      </c>
      <c r="D113" s="57" t="n">
        <f aca="false">07_最適化!$B$7</f>
        <v>0.5</v>
      </c>
      <c r="E113" s="55" t="n">
        <f aca="false">B113</f>
        <v>0.3</v>
      </c>
      <c r="F113" s="57" t="n">
        <f aca="false">07_最適化!$B$9</f>
        <v>0.5</v>
      </c>
      <c r="G113" s="55" t="n">
        <f aca="false">1</f>
        <v>1</v>
      </c>
      <c r="H113" s="57" t="n">
        <f aca="false">C113</f>
        <v>0.5</v>
      </c>
      <c r="I113" s="57" t="n">
        <f aca="false">D113</f>
        <v>0.5</v>
      </c>
      <c r="J113" s="55" t="n">
        <f aca="false">E113</f>
        <v>0.3</v>
      </c>
      <c r="K113" s="57" t="n">
        <f aca="false">F113</f>
        <v>0.5</v>
      </c>
      <c r="L113" s="55" t="n">
        <f aca="false">C113*D113</f>
        <v>0.25</v>
      </c>
      <c r="M113" s="55" t="n">
        <f aca="false">C113*E113</f>
        <v>0.15</v>
      </c>
      <c r="N113" s="55" t="n">
        <f aca="false">C113*F113</f>
        <v>0.25</v>
      </c>
      <c r="O113" s="55" t="n">
        <f aca="false">D113*E113</f>
        <v>0.15</v>
      </c>
      <c r="P113" s="55" t="n">
        <f aca="false">D113*F113</f>
        <v>0.25</v>
      </c>
      <c r="Q113" s="55" t="n">
        <f aca="false">E113*F113</f>
        <v>0.15</v>
      </c>
      <c r="R113" s="55" t="n">
        <f aca="false">C113*C113</f>
        <v>0.25</v>
      </c>
      <c r="S113" s="55" t="n">
        <f aca="false">D113*D113</f>
        <v>0.25</v>
      </c>
      <c r="T113" s="55" t="n">
        <f aca="false">E113*E113</f>
        <v>0.09</v>
      </c>
      <c r="U113" s="55" t="n">
        <f aca="false">F113*F113</f>
        <v>0.25</v>
      </c>
      <c r="V113" s="55" t="n">
        <f aca="false">SUMPRODUCT(G113:U113,_XtX!$B$96:$P$96)</f>
        <v>49.2592843567251</v>
      </c>
      <c r="W113" s="55" t="n">
        <f aca="false">SUMPRODUCT(MMULT(G113:U113,_XtX!$B$78:$P$92),G113:U113)</f>
        <v>0.132221710526316</v>
      </c>
      <c r="X113" s="55" t="n">
        <f aca="false">V113-04_回帰ANOVA!$K$19*04_回帰ANOVA!$K$14*SQRT(1+W113)</f>
        <v>47.8723237317774</v>
      </c>
      <c r="Y113" s="55" t="n">
        <f aca="false">V113+04_回帰ANOVA!$K$19*04_回帰ANOVA!$K$14*SQRT(1+W113)</f>
        <v>50.6462449816729</v>
      </c>
      <c r="Z113" s="54" t="b">
        <f aca="false">AND(C113&gt;=01_因子設定!$L$5-0.000000001,C113&lt;=01_因子設定!$M$5+0.000000001,D113&gt;=01_因子設定!$L$6-0.000000001,D113&lt;=01_因子設定!$M$6+0.000000001,E113&gt;=01_因子設定!$L$7-0.000000001,E113&lt;=01_因子設定!$M$7+0.000000001,F113&gt;=01_因子設定!$L$8-0.000000001,F113&lt;=01_因子設定!$M$8+0.000000001,IF(01_因子設定!$B$20="Box-Behnken",C113^2+D113^2+E113^2+F113^2&lt;=2+0.000000001,TRUE()))</f>
        <v>1</v>
      </c>
      <c r="AA113" s="55" t="n">
        <f aca="false">IF(Z113,IF(01_因子設定!$B$13="最大化",X113-01_因子設定!$B$14,IF(01_因子設定!$B$13="最小化",01_因子設定!$B$15-Y113,MIN(X113-01_因子設定!$B$14,01_因子設定!$B$15-Y113))),-1E+030)</f>
        <v>1.37232373177735</v>
      </c>
      <c r="AB113" s="55" t="n">
        <f aca="false">IF(AA113&gt;=0,1,0)</f>
        <v>1</v>
      </c>
    </row>
    <row r="114" customFormat="false" ht="15" hidden="false" customHeight="false" outlineLevel="0" collapsed="false">
      <c r="A114" s="0" t="n">
        <v>3</v>
      </c>
      <c r="B114" s="0" t="n">
        <v>0.35</v>
      </c>
      <c r="C114" s="57" t="n">
        <f aca="false">07_最適化!$B$6</f>
        <v>0.5</v>
      </c>
      <c r="D114" s="57" t="n">
        <f aca="false">07_最適化!$B$7</f>
        <v>0.5</v>
      </c>
      <c r="E114" s="55" t="n">
        <f aca="false">B114</f>
        <v>0.35</v>
      </c>
      <c r="F114" s="57" t="n">
        <f aca="false">07_最適化!$B$9</f>
        <v>0.5</v>
      </c>
      <c r="G114" s="55" t="n">
        <f aca="false">1</f>
        <v>1</v>
      </c>
      <c r="H114" s="57" t="n">
        <f aca="false">C114</f>
        <v>0.5</v>
      </c>
      <c r="I114" s="57" t="n">
        <f aca="false">D114</f>
        <v>0.5</v>
      </c>
      <c r="J114" s="55" t="n">
        <f aca="false">E114</f>
        <v>0.35</v>
      </c>
      <c r="K114" s="57" t="n">
        <f aca="false">F114</f>
        <v>0.5</v>
      </c>
      <c r="L114" s="55" t="n">
        <f aca="false">C114*D114</f>
        <v>0.25</v>
      </c>
      <c r="M114" s="55" t="n">
        <f aca="false">C114*E114</f>
        <v>0.175</v>
      </c>
      <c r="N114" s="55" t="n">
        <f aca="false">C114*F114</f>
        <v>0.25</v>
      </c>
      <c r="O114" s="55" t="n">
        <f aca="false">D114*E114</f>
        <v>0.175</v>
      </c>
      <c r="P114" s="55" t="n">
        <f aca="false">D114*F114</f>
        <v>0.25</v>
      </c>
      <c r="Q114" s="55" t="n">
        <f aca="false">E114*F114</f>
        <v>0.175</v>
      </c>
      <c r="R114" s="55" t="n">
        <f aca="false">C114*C114</f>
        <v>0.25</v>
      </c>
      <c r="S114" s="55" t="n">
        <f aca="false">D114*D114</f>
        <v>0.25</v>
      </c>
      <c r="T114" s="55" t="n">
        <f aca="false">E114*E114</f>
        <v>0.1225</v>
      </c>
      <c r="U114" s="55" t="n">
        <f aca="false">F114*F114</f>
        <v>0.25</v>
      </c>
      <c r="V114" s="55" t="n">
        <f aca="false">SUMPRODUCT(G114:U114,_XtX!$B$96:$P$96)</f>
        <v>49.2850211988304</v>
      </c>
      <c r="W114" s="55" t="n">
        <f aca="false">SUMPRODUCT(MMULT(G114:U114,_XtX!$B$78:$P$92),G114:U114)</f>
        <v>0.130946536915205</v>
      </c>
      <c r="X114" s="55" t="n">
        <f aca="false">V114-04_回帰ANOVA!$K$19*04_回帰ANOVA!$K$14*SQRT(1+W114)</f>
        <v>47.898841831578</v>
      </c>
      <c r="Y114" s="55" t="n">
        <f aca="false">V114+04_回帰ANOVA!$K$19*04_回帰ANOVA!$K$14*SQRT(1+W114)</f>
        <v>50.6712005660827</v>
      </c>
      <c r="Z114" s="54" t="b">
        <f aca="false">AND(C114&gt;=01_因子設定!$L$5-0.000000001,C114&lt;=01_因子設定!$M$5+0.000000001,D114&gt;=01_因子設定!$L$6-0.000000001,D114&lt;=01_因子設定!$M$6+0.000000001,E114&gt;=01_因子設定!$L$7-0.000000001,E114&lt;=01_因子設定!$M$7+0.000000001,F114&gt;=01_因子設定!$L$8-0.000000001,F114&lt;=01_因子設定!$M$8+0.000000001,IF(01_因子設定!$B$20="Box-Behnken",C114^2+D114^2+E114^2+F114^2&lt;=2+0.000000001,TRUE()))</f>
        <v>1</v>
      </c>
      <c r="AA114" s="55" t="n">
        <f aca="false">IF(Z114,IF(01_因子設定!$B$13="最大化",X114-01_因子設定!$B$14,IF(01_因子設定!$B$13="最小化",01_因子設定!$B$15-Y114,MIN(X114-01_因子設定!$B$14,01_因子設定!$B$15-Y114))),-1E+030)</f>
        <v>1.39884183157802</v>
      </c>
      <c r="AB114" s="55" t="n">
        <f aca="false">IF(AA114&gt;=0,1,0)</f>
        <v>1</v>
      </c>
    </row>
    <row r="115" customFormat="false" ht="15" hidden="false" customHeight="false" outlineLevel="0" collapsed="false">
      <c r="A115" s="0" t="n">
        <v>3</v>
      </c>
      <c r="B115" s="0" t="n">
        <v>0.4</v>
      </c>
      <c r="C115" s="57" t="n">
        <f aca="false">07_最適化!$B$6</f>
        <v>0.5</v>
      </c>
      <c r="D115" s="57" t="n">
        <f aca="false">07_最適化!$B$7</f>
        <v>0.5</v>
      </c>
      <c r="E115" s="55" t="n">
        <f aca="false">B115</f>
        <v>0.4</v>
      </c>
      <c r="F115" s="57" t="n">
        <f aca="false">07_最適化!$B$9</f>
        <v>0.5</v>
      </c>
      <c r="G115" s="55" t="n">
        <f aca="false">1</f>
        <v>1</v>
      </c>
      <c r="H115" s="57" t="n">
        <f aca="false">C115</f>
        <v>0.5</v>
      </c>
      <c r="I115" s="57" t="n">
        <f aca="false">D115</f>
        <v>0.5</v>
      </c>
      <c r="J115" s="55" t="n">
        <f aca="false">E115</f>
        <v>0.4</v>
      </c>
      <c r="K115" s="57" t="n">
        <f aca="false">F115</f>
        <v>0.5</v>
      </c>
      <c r="L115" s="55" t="n">
        <f aca="false">C115*D115</f>
        <v>0.25</v>
      </c>
      <c r="M115" s="55" t="n">
        <f aca="false">C115*E115</f>
        <v>0.2</v>
      </c>
      <c r="N115" s="55" t="n">
        <f aca="false">C115*F115</f>
        <v>0.25</v>
      </c>
      <c r="O115" s="55" t="n">
        <f aca="false">D115*E115</f>
        <v>0.2</v>
      </c>
      <c r="P115" s="55" t="n">
        <f aca="false">D115*F115</f>
        <v>0.25</v>
      </c>
      <c r="Q115" s="55" t="n">
        <f aca="false">E115*F115</f>
        <v>0.2</v>
      </c>
      <c r="R115" s="55" t="n">
        <f aca="false">C115*C115</f>
        <v>0.25</v>
      </c>
      <c r="S115" s="55" t="n">
        <f aca="false">D115*D115</f>
        <v>0.25</v>
      </c>
      <c r="T115" s="55" t="n">
        <f aca="false">E115*E115</f>
        <v>0.16</v>
      </c>
      <c r="U115" s="55" t="n">
        <f aca="false">F115*F115</f>
        <v>0.25</v>
      </c>
      <c r="V115" s="55" t="n">
        <f aca="false">SUMPRODUCT(G115:U115,_XtX!$B$96:$P$96)</f>
        <v>49.3073457602339</v>
      </c>
      <c r="W115" s="55" t="n">
        <f aca="false">SUMPRODUCT(MMULT(G115:U115,_XtX!$B$78:$P$92),G115:U115)</f>
        <v>0.130488340643275</v>
      </c>
      <c r="X115" s="55" t="n">
        <f aca="false">V115-04_回帰ANOVA!$K$19*04_回帰ANOVA!$K$14*SQRT(1+W115)</f>
        <v>47.9214472225971</v>
      </c>
      <c r="Y115" s="55" t="n">
        <f aca="false">V115+04_回帰ANOVA!$K$19*04_回帰ANOVA!$K$14*SQRT(1+W115)</f>
        <v>50.6932442978707</v>
      </c>
      <c r="Z115" s="54" t="b">
        <f aca="false">AND(C115&gt;=01_因子設定!$L$5-0.000000001,C115&lt;=01_因子設定!$M$5+0.000000001,D115&gt;=01_因子設定!$L$6-0.000000001,D115&lt;=01_因子設定!$M$6+0.000000001,E115&gt;=01_因子設定!$L$7-0.000000001,E115&lt;=01_因子設定!$M$7+0.000000001,F115&gt;=01_因子設定!$L$8-0.000000001,F115&lt;=01_因子設定!$M$8+0.000000001,IF(01_因子設定!$B$20="Box-Behnken",C115^2+D115^2+E115^2+F115^2&lt;=2+0.000000001,TRUE()))</f>
        <v>1</v>
      </c>
      <c r="AA115" s="55" t="n">
        <f aca="false">IF(Z115,IF(01_因子設定!$B$13="最大化",X115-01_因子設定!$B$14,IF(01_因子設定!$B$13="最小化",01_因子設定!$B$15-Y115,MIN(X115-01_因子設定!$B$14,01_因子設定!$B$15-Y115))),-1E+030)</f>
        <v>1.42144722259709</v>
      </c>
      <c r="AB115" s="55" t="n">
        <f aca="false">IF(AA115&gt;=0,1,0)</f>
        <v>1</v>
      </c>
    </row>
    <row r="116" customFormat="false" ht="15" hidden="false" customHeight="false" outlineLevel="0" collapsed="false">
      <c r="A116" s="0" t="n">
        <v>3</v>
      </c>
      <c r="B116" s="0" t="n">
        <v>0.45</v>
      </c>
      <c r="C116" s="57" t="n">
        <f aca="false">07_最適化!$B$6</f>
        <v>0.5</v>
      </c>
      <c r="D116" s="57" t="n">
        <f aca="false">07_最適化!$B$7</f>
        <v>0.5</v>
      </c>
      <c r="E116" s="55" t="n">
        <f aca="false">B116</f>
        <v>0.45</v>
      </c>
      <c r="F116" s="57" t="n">
        <f aca="false">07_最適化!$B$9</f>
        <v>0.5</v>
      </c>
      <c r="G116" s="55" t="n">
        <f aca="false">1</f>
        <v>1</v>
      </c>
      <c r="H116" s="57" t="n">
        <f aca="false">C116</f>
        <v>0.5</v>
      </c>
      <c r="I116" s="57" t="n">
        <f aca="false">D116</f>
        <v>0.5</v>
      </c>
      <c r="J116" s="55" t="n">
        <f aca="false">E116</f>
        <v>0.45</v>
      </c>
      <c r="K116" s="57" t="n">
        <f aca="false">F116</f>
        <v>0.5</v>
      </c>
      <c r="L116" s="55" t="n">
        <f aca="false">C116*D116</f>
        <v>0.25</v>
      </c>
      <c r="M116" s="55" t="n">
        <f aca="false">C116*E116</f>
        <v>0.225</v>
      </c>
      <c r="N116" s="55" t="n">
        <f aca="false">C116*F116</f>
        <v>0.25</v>
      </c>
      <c r="O116" s="55" t="n">
        <f aca="false">D116*E116</f>
        <v>0.225</v>
      </c>
      <c r="P116" s="55" t="n">
        <f aca="false">D116*F116</f>
        <v>0.25</v>
      </c>
      <c r="Q116" s="55" t="n">
        <f aca="false">E116*F116</f>
        <v>0.225</v>
      </c>
      <c r="R116" s="55" t="n">
        <f aca="false">C116*C116</f>
        <v>0.25</v>
      </c>
      <c r="S116" s="55" t="n">
        <f aca="false">D116*D116</f>
        <v>0.25</v>
      </c>
      <c r="T116" s="55" t="n">
        <f aca="false">E116*E116</f>
        <v>0.2025</v>
      </c>
      <c r="U116" s="55" t="n">
        <f aca="false">F116*F116</f>
        <v>0.25</v>
      </c>
      <c r="V116" s="55" t="n">
        <f aca="false">SUMPRODUCT(G116:U116,_XtX!$B$96:$P$96)</f>
        <v>49.3262580409356</v>
      </c>
      <c r="W116" s="55" t="n">
        <f aca="false">SUMPRODUCT(MMULT(G116:U116,_XtX!$B$78:$P$92),G116:U116)</f>
        <v>0.131281332236842</v>
      </c>
      <c r="X116" s="55" t="n">
        <f aca="false">V116-04_回帰ANOVA!$K$19*04_回帰ANOVA!$K$14*SQRT(1+W116)</f>
        <v>47.93987351278</v>
      </c>
      <c r="Y116" s="55" t="n">
        <f aca="false">V116+04_回帰ANOVA!$K$19*04_回帰ANOVA!$K$14*SQRT(1+W116)</f>
        <v>50.7126425690913</v>
      </c>
      <c r="Z116" s="54" t="b">
        <f aca="false">AND(C116&gt;=01_因子設定!$L$5-0.000000001,C116&lt;=01_因子設定!$M$5+0.000000001,D116&gt;=01_因子設定!$L$6-0.000000001,D116&lt;=01_因子設定!$M$6+0.000000001,E116&gt;=01_因子設定!$L$7-0.000000001,E116&lt;=01_因子設定!$M$7+0.000000001,F116&gt;=01_因子設定!$L$8-0.000000001,F116&lt;=01_因子設定!$M$8+0.000000001,IF(01_因子設定!$B$20="Box-Behnken",C116^2+D116^2+E116^2+F116^2&lt;=2+0.000000001,TRUE()))</f>
        <v>1</v>
      </c>
      <c r="AA116" s="55" t="n">
        <f aca="false">IF(Z116,IF(01_因子設定!$B$13="最大化",X116-01_因子設定!$B$14,IF(01_因子設定!$B$13="最小化",01_因子設定!$B$15-Y116,MIN(X116-01_因子設定!$B$14,01_因子設定!$B$15-Y116))),-1E+030)</f>
        <v>1.43987351277998</v>
      </c>
      <c r="AB116" s="55" t="n">
        <f aca="false">IF(AA116&gt;=0,1,0)</f>
        <v>1</v>
      </c>
    </row>
    <row r="117" customFormat="false" ht="15" hidden="false" customHeight="false" outlineLevel="0" collapsed="false">
      <c r="A117" s="0" t="n">
        <v>3</v>
      </c>
      <c r="B117" s="0" t="n">
        <v>0.5</v>
      </c>
      <c r="C117" s="57" t="n">
        <f aca="false">07_最適化!$B$6</f>
        <v>0.5</v>
      </c>
      <c r="D117" s="57" t="n">
        <f aca="false">07_最適化!$B$7</f>
        <v>0.5</v>
      </c>
      <c r="E117" s="55" t="n">
        <f aca="false">B117</f>
        <v>0.5</v>
      </c>
      <c r="F117" s="57" t="n">
        <f aca="false">07_最適化!$B$9</f>
        <v>0.5</v>
      </c>
      <c r="G117" s="55" t="n">
        <f aca="false">1</f>
        <v>1</v>
      </c>
      <c r="H117" s="57" t="n">
        <f aca="false">C117</f>
        <v>0.5</v>
      </c>
      <c r="I117" s="57" t="n">
        <f aca="false">D117</f>
        <v>0.5</v>
      </c>
      <c r="J117" s="55" t="n">
        <f aca="false">E117</f>
        <v>0.5</v>
      </c>
      <c r="K117" s="57" t="n">
        <f aca="false">F117</f>
        <v>0.5</v>
      </c>
      <c r="L117" s="55" t="n">
        <f aca="false">C117*D117</f>
        <v>0.25</v>
      </c>
      <c r="M117" s="55" t="n">
        <f aca="false">C117*E117</f>
        <v>0.25</v>
      </c>
      <c r="N117" s="55" t="n">
        <f aca="false">C117*F117</f>
        <v>0.25</v>
      </c>
      <c r="O117" s="55" t="n">
        <f aca="false">D117*E117</f>
        <v>0.25</v>
      </c>
      <c r="P117" s="55" t="n">
        <f aca="false">D117*F117</f>
        <v>0.25</v>
      </c>
      <c r="Q117" s="55" t="n">
        <f aca="false">E117*F117</f>
        <v>0.25</v>
      </c>
      <c r="R117" s="55" t="n">
        <f aca="false">C117*C117</f>
        <v>0.25</v>
      </c>
      <c r="S117" s="55" t="n">
        <f aca="false">D117*D117</f>
        <v>0.25</v>
      </c>
      <c r="T117" s="55" t="n">
        <f aca="false">E117*E117</f>
        <v>0.25</v>
      </c>
      <c r="U117" s="55" t="n">
        <f aca="false">F117*F117</f>
        <v>0.25</v>
      </c>
      <c r="V117" s="55" t="n">
        <f aca="false">SUMPRODUCT(G117:U117,_XtX!$B$96:$P$96)</f>
        <v>49.3417580409356</v>
      </c>
      <c r="W117" s="55" t="n">
        <f aca="false">SUMPRODUCT(MMULT(G117:U117,_XtX!$B$78:$P$92),G117:U117)</f>
        <v>0.133817616959064</v>
      </c>
      <c r="X117" s="55" t="n">
        <f aca="false">V117-04_回帰ANOVA!$K$19*04_回帰ANOVA!$K$14*SQRT(1+W117)</f>
        <v>47.9538202752368</v>
      </c>
      <c r="Y117" s="55" t="n">
        <f aca="false">V117+04_回帰ANOVA!$K$19*04_回帰ANOVA!$K$14*SQRT(1+W117)</f>
        <v>50.7296958066345</v>
      </c>
      <c r="Z117" s="54" t="b">
        <f aca="false">AND(C117&gt;=01_因子設定!$L$5-0.000000001,C117&lt;=01_因子設定!$M$5+0.000000001,D117&gt;=01_因子設定!$L$6-0.000000001,D117&lt;=01_因子設定!$M$6+0.000000001,E117&gt;=01_因子設定!$L$7-0.000000001,E117&lt;=01_因子設定!$M$7+0.000000001,F117&gt;=01_因子設定!$L$8-0.000000001,F117&lt;=01_因子設定!$M$8+0.000000001,IF(01_因子設定!$B$20="Box-Behnken",C117^2+D117^2+E117^2+F117^2&lt;=2+0.000000001,TRUE()))</f>
        <v>1</v>
      </c>
      <c r="AA117" s="55" t="n">
        <f aca="false">IF(Z117,IF(01_因子設定!$B$13="最大化",X117-01_因子設定!$B$14,IF(01_因子設定!$B$13="最小化",01_因子設定!$B$15-Y117,MIN(X117-01_因子設定!$B$14,01_因子設定!$B$15-Y117))),-1E+030)</f>
        <v>1.45382027523677</v>
      </c>
      <c r="AB117" s="55" t="n">
        <f aca="false">IF(AA117&gt;=0,1,0)</f>
        <v>1</v>
      </c>
    </row>
    <row r="118" customFormat="false" ht="15" hidden="false" customHeight="false" outlineLevel="0" collapsed="false">
      <c r="A118" s="0" t="n">
        <v>3</v>
      </c>
      <c r="B118" s="0" t="n">
        <v>0.55</v>
      </c>
      <c r="C118" s="57" t="n">
        <f aca="false">07_最適化!$B$6</f>
        <v>0.5</v>
      </c>
      <c r="D118" s="57" t="n">
        <f aca="false">07_最適化!$B$7</f>
        <v>0.5</v>
      </c>
      <c r="E118" s="55" t="n">
        <f aca="false">B118</f>
        <v>0.55</v>
      </c>
      <c r="F118" s="57" t="n">
        <f aca="false">07_最適化!$B$9</f>
        <v>0.5</v>
      </c>
      <c r="G118" s="55" t="n">
        <f aca="false">1</f>
        <v>1</v>
      </c>
      <c r="H118" s="57" t="n">
        <f aca="false">C118</f>
        <v>0.5</v>
      </c>
      <c r="I118" s="57" t="n">
        <f aca="false">D118</f>
        <v>0.5</v>
      </c>
      <c r="J118" s="55" t="n">
        <f aca="false">E118</f>
        <v>0.55</v>
      </c>
      <c r="K118" s="57" t="n">
        <f aca="false">F118</f>
        <v>0.5</v>
      </c>
      <c r="L118" s="55" t="n">
        <f aca="false">C118*D118</f>
        <v>0.25</v>
      </c>
      <c r="M118" s="55" t="n">
        <f aca="false">C118*E118</f>
        <v>0.275</v>
      </c>
      <c r="N118" s="55" t="n">
        <f aca="false">C118*F118</f>
        <v>0.25</v>
      </c>
      <c r="O118" s="55" t="n">
        <f aca="false">D118*E118</f>
        <v>0.275</v>
      </c>
      <c r="P118" s="55" t="n">
        <f aca="false">D118*F118</f>
        <v>0.25</v>
      </c>
      <c r="Q118" s="55" t="n">
        <f aca="false">E118*F118</f>
        <v>0.275</v>
      </c>
      <c r="R118" s="55" t="n">
        <f aca="false">C118*C118</f>
        <v>0.25</v>
      </c>
      <c r="S118" s="55" t="n">
        <f aca="false">D118*D118</f>
        <v>0.25</v>
      </c>
      <c r="T118" s="55" t="n">
        <f aca="false">E118*E118</f>
        <v>0.3025</v>
      </c>
      <c r="U118" s="55" t="n">
        <f aca="false">F118*F118</f>
        <v>0.25</v>
      </c>
      <c r="V118" s="55" t="n">
        <f aca="false">SUMPRODUCT(G118:U118,_XtX!$B$96:$P$96)</f>
        <v>49.3538457602339</v>
      </c>
      <c r="W118" s="55" t="n">
        <f aca="false">SUMPRODUCT(MMULT(G118:U118,_XtX!$B$78:$P$92),G118:U118)</f>
        <v>0.138647194809942</v>
      </c>
      <c r="X118" s="55" t="n">
        <f aca="false">V118-04_回帰ANOVA!$K$19*04_回帰ANOVA!$K$14*SQRT(1+W118)</f>
        <v>47.9629551252144</v>
      </c>
      <c r="Y118" s="55" t="n">
        <f aca="false">V118+04_回帰ANOVA!$K$19*04_回帰ANOVA!$K$14*SQRT(1+W118)</f>
        <v>50.7447363952534</v>
      </c>
      <c r="Z118" s="54" t="b">
        <f aca="false">AND(C118&gt;=01_因子設定!$L$5-0.000000001,C118&lt;=01_因子設定!$M$5+0.000000001,D118&gt;=01_因子設定!$L$6-0.000000001,D118&lt;=01_因子設定!$M$6+0.000000001,E118&gt;=01_因子設定!$L$7-0.000000001,E118&lt;=01_因子設定!$M$7+0.000000001,F118&gt;=01_因子設定!$L$8-0.000000001,F118&lt;=01_因子設定!$M$8+0.000000001,IF(01_因子設定!$B$20="Box-Behnken",C118^2+D118^2+E118^2+F118^2&lt;=2+0.000000001,TRUE()))</f>
        <v>1</v>
      </c>
      <c r="AA118" s="55" t="n">
        <f aca="false">IF(Z118,IF(01_因子設定!$B$13="最大化",X118-01_因子設定!$B$14,IF(01_因子設定!$B$13="最小化",01_因子設定!$B$15-Y118,MIN(X118-01_因子設定!$B$14,01_因子設定!$B$15-Y118))),-1E+030)</f>
        <v>1.46295512521438</v>
      </c>
      <c r="AB118" s="55" t="n">
        <f aca="false">IF(AA118&gt;=0,1,0)</f>
        <v>1</v>
      </c>
    </row>
    <row r="119" customFormat="false" ht="15" hidden="false" customHeight="false" outlineLevel="0" collapsed="false">
      <c r="A119" s="0" t="n">
        <v>3</v>
      </c>
      <c r="B119" s="0" t="n">
        <v>0.6</v>
      </c>
      <c r="C119" s="57" t="n">
        <f aca="false">07_最適化!$B$6</f>
        <v>0.5</v>
      </c>
      <c r="D119" s="57" t="n">
        <f aca="false">07_最適化!$B$7</f>
        <v>0.5</v>
      </c>
      <c r="E119" s="55" t="n">
        <f aca="false">B119</f>
        <v>0.6</v>
      </c>
      <c r="F119" s="57" t="n">
        <f aca="false">07_最適化!$B$9</f>
        <v>0.5</v>
      </c>
      <c r="G119" s="55" t="n">
        <f aca="false">1</f>
        <v>1</v>
      </c>
      <c r="H119" s="57" t="n">
        <f aca="false">C119</f>
        <v>0.5</v>
      </c>
      <c r="I119" s="57" t="n">
        <f aca="false">D119</f>
        <v>0.5</v>
      </c>
      <c r="J119" s="55" t="n">
        <f aca="false">E119</f>
        <v>0.6</v>
      </c>
      <c r="K119" s="57" t="n">
        <f aca="false">F119</f>
        <v>0.5</v>
      </c>
      <c r="L119" s="55" t="n">
        <f aca="false">C119*D119</f>
        <v>0.25</v>
      </c>
      <c r="M119" s="55" t="n">
        <f aca="false">C119*E119</f>
        <v>0.3</v>
      </c>
      <c r="N119" s="55" t="n">
        <f aca="false">C119*F119</f>
        <v>0.25</v>
      </c>
      <c r="O119" s="55" t="n">
        <f aca="false">D119*E119</f>
        <v>0.3</v>
      </c>
      <c r="P119" s="55" t="n">
        <f aca="false">D119*F119</f>
        <v>0.25</v>
      </c>
      <c r="Q119" s="55" t="n">
        <f aca="false">E119*F119</f>
        <v>0.3</v>
      </c>
      <c r="R119" s="55" t="n">
        <f aca="false">C119*C119</f>
        <v>0.25</v>
      </c>
      <c r="S119" s="55" t="n">
        <f aca="false">D119*D119</f>
        <v>0.25</v>
      </c>
      <c r="T119" s="55" t="n">
        <f aca="false">E119*E119</f>
        <v>0.36</v>
      </c>
      <c r="U119" s="55" t="n">
        <f aca="false">F119*F119</f>
        <v>0.25</v>
      </c>
      <c r="V119" s="55" t="n">
        <f aca="false">SUMPRODUCT(G119:U119,_XtX!$B$96:$P$96)</f>
        <v>49.3625211988304</v>
      </c>
      <c r="W119" s="55" t="n">
        <f aca="false">SUMPRODUCT(MMULT(G119:U119,_XtX!$B$78:$P$92),G119:U119)</f>
        <v>0.146377960526316</v>
      </c>
      <c r="X119" s="55" t="n">
        <f aca="false">V119-04_回帰ANOVA!$K$19*04_回帰ANOVA!$K$14*SQRT(1+W119)</f>
        <v>47.9669168736135</v>
      </c>
      <c r="Y119" s="55" t="n">
        <f aca="false">V119+04_回帰ANOVA!$K$19*04_回帰ANOVA!$K$14*SQRT(1+W119)</f>
        <v>50.7581255240472</v>
      </c>
      <c r="Z119" s="54" t="b">
        <f aca="false">AND(C119&gt;=01_因子設定!$L$5-0.000000001,C119&lt;=01_因子設定!$M$5+0.000000001,D119&gt;=01_因子設定!$L$6-0.000000001,D119&lt;=01_因子設定!$M$6+0.000000001,E119&gt;=01_因子設定!$L$7-0.000000001,E119&lt;=01_因子設定!$M$7+0.000000001,F119&gt;=01_因子設定!$L$8-0.000000001,F119&lt;=01_因子設定!$M$8+0.000000001,IF(01_因子設定!$B$20="Box-Behnken",C119^2+D119^2+E119^2+F119^2&lt;=2+0.000000001,TRUE()))</f>
        <v>1</v>
      </c>
      <c r="AA119" s="55" t="n">
        <f aca="false">IF(Z119,IF(01_因子設定!$B$13="最大化",X119-01_因子設定!$B$14,IF(01_因子設定!$B$13="最小化",01_因子設定!$B$15-Y119,MIN(X119-01_因子設定!$B$14,01_因子設定!$B$15-Y119))),-1E+030)</f>
        <v>1.46691687361352</v>
      </c>
      <c r="AB119" s="55" t="n">
        <f aca="false">IF(AA119&gt;=0,1,0)</f>
        <v>1</v>
      </c>
    </row>
    <row r="120" customFormat="false" ht="15" hidden="false" customHeight="false" outlineLevel="0" collapsed="false">
      <c r="A120" s="0" t="n">
        <v>3</v>
      </c>
      <c r="B120" s="0" t="n">
        <v>0.65</v>
      </c>
      <c r="C120" s="57" t="n">
        <f aca="false">07_最適化!$B$6</f>
        <v>0.5</v>
      </c>
      <c r="D120" s="57" t="n">
        <f aca="false">07_最適化!$B$7</f>
        <v>0.5</v>
      </c>
      <c r="E120" s="55" t="n">
        <f aca="false">B120</f>
        <v>0.65</v>
      </c>
      <c r="F120" s="57" t="n">
        <f aca="false">07_最適化!$B$9</f>
        <v>0.5</v>
      </c>
      <c r="G120" s="55" t="n">
        <f aca="false">1</f>
        <v>1</v>
      </c>
      <c r="H120" s="57" t="n">
        <f aca="false">C120</f>
        <v>0.5</v>
      </c>
      <c r="I120" s="57" t="n">
        <f aca="false">D120</f>
        <v>0.5</v>
      </c>
      <c r="J120" s="55" t="n">
        <f aca="false">E120</f>
        <v>0.65</v>
      </c>
      <c r="K120" s="57" t="n">
        <f aca="false">F120</f>
        <v>0.5</v>
      </c>
      <c r="L120" s="55" t="n">
        <f aca="false">C120*D120</f>
        <v>0.25</v>
      </c>
      <c r="M120" s="55" t="n">
        <f aca="false">C120*E120</f>
        <v>0.325</v>
      </c>
      <c r="N120" s="55" t="n">
        <f aca="false">C120*F120</f>
        <v>0.25</v>
      </c>
      <c r="O120" s="55" t="n">
        <f aca="false">D120*E120</f>
        <v>0.325</v>
      </c>
      <c r="P120" s="55" t="n">
        <f aca="false">D120*F120</f>
        <v>0.25</v>
      </c>
      <c r="Q120" s="55" t="n">
        <f aca="false">E120*F120</f>
        <v>0.325</v>
      </c>
      <c r="R120" s="55" t="n">
        <f aca="false">C120*C120</f>
        <v>0.25</v>
      </c>
      <c r="S120" s="55" t="n">
        <f aca="false">D120*D120</f>
        <v>0.25</v>
      </c>
      <c r="T120" s="55" t="n">
        <f aca="false">E120*E120</f>
        <v>0.4225</v>
      </c>
      <c r="U120" s="55" t="n">
        <f aca="false">F120*F120</f>
        <v>0.25</v>
      </c>
      <c r="V120" s="55" t="n">
        <f aca="false">SUMPRODUCT(G120:U120,_XtX!$B$96:$P$96)</f>
        <v>49.3677843567251</v>
      </c>
      <c r="W120" s="55" t="n">
        <f aca="false">SUMPRODUCT(MMULT(G120:U120,_XtX!$B$78:$P$92),G120:U120)</f>
        <v>0.157675703581871</v>
      </c>
      <c r="X120" s="55" t="n">
        <f aca="false">V120-04_回帰ANOVA!$K$19*04_回帰ANOVA!$K$14*SQRT(1+W120)</f>
        <v>47.9653199370057</v>
      </c>
      <c r="Y120" s="55" t="n">
        <f aca="false">V120+04_回帰ANOVA!$K$19*04_回帰ANOVA!$K$14*SQRT(1+W120)</f>
        <v>50.7702487764445</v>
      </c>
      <c r="Z120" s="54" t="b">
        <f aca="false">AND(C120&gt;=01_因子設定!$L$5-0.000000001,C120&lt;=01_因子設定!$M$5+0.000000001,D120&gt;=01_因子設定!$L$6-0.000000001,D120&lt;=01_因子設定!$M$6+0.000000001,E120&gt;=01_因子設定!$L$7-0.000000001,E120&lt;=01_因子設定!$M$7+0.000000001,F120&gt;=01_因子設定!$L$8-0.000000001,F120&lt;=01_因子設定!$M$8+0.000000001,IF(01_因子設定!$B$20="Box-Behnken",C120^2+D120^2+E120^2+F120^2&lt;=2+0.000000001,TRUE()))</f>
        <v>1</v>
      </c>
      <c r="AA120" s="55" t="n">
        <f aca="false">IF(Z120,IF(01_因子設定!$B$13="最大化",X120-01_因子設定!$B$14,IF(01_因子設定!$B$13="最小化",01_因子設定!$B$15-Y120,MIN(X120-01_因子設定!$B$14,01_因子設定!$B$15-Y120))),-1E+030)</f>
        <v>1.46531993700569</v>
      </c>
      <c r="AB120" s="55" t="n">
        <f aca="false">IF(AA120&gt;=0,1,0)</f>
        <v>1</v>
      </c>
    </row>
    <row r="121" customFormat="false" ht="15" hidden="false" customHeight="false" outlineLevel="0" collapsed="false">
      <c r="A121" s="0" t="n">
        <v>3</v>
      </c>
      <c r="B121" s="0" t="n">
        <v>0.7</v>
      </c>
      <c r="C121" s="57" t="n">
        <f aca="false">07_最適化!$B$6</f>
        <v>0.5</v>
      </c>
      <c r="D121" s="57" t="n">
        <f aca="false">07_最適化!$B$7</f>
        <v>0.5</v>
      </c>
      <c r="E121" s="55" t="n">
        <f aca="false">B121</f>
        <v>0.7</v>
      </c>
      <c r="F121" s="57" t="n">
        <f aca="false">07_最適化!$B$9</f>
        <v>0.5</v>
      </c>
      <c r="G121" s="55" t="n">
        <f aca="false">1</f>
        <v>1</v>
      </c>
      <c r="H121" s="57" t="n">
        <f aca="false">C121</f>
        <v>0.5</v>
      </c>
      <c r="I121" s="57" t="n">
        <f aca="false">D121</f>
        <v>0.5</v>
      </c>
      <c r="J121" s="55" t="n">
        <f aca="false">E121</f>
        <v>0.7</v>
      </c>
      <c r="K121" s="57" t="n">
        <f aca="false">F121</f>
        <v>0.5</v>
      </c>
      <c r="L121" s="55" t="n">
        <f aca="false">C121*D121</f>
        <v>0.25</v>
      </c>
      <c r="M121" s="55" t="n">
        <f aca="false">C121*E121</f>
        <v>0.35</v>
      </c>
      <c r="N121" s="55" t="n">
        <f aca="false">C121*F121</f>
        <v>0.25</v>
      </c>
      <c r="O121" s="55" t="n">
        <f aca="false">D121*E121</f>
        <v>0.35</v>
      </c>
      <c r="P121" s="55" t="n">
        <f aca="false">D121*F121</f>
        <v>0.25</v>
      </c>
      <c r="Q121" s="55" t="n">
        <f aca="false">E121*F121</f>
        <v>0.35</v>
      </c>
      <c r="R121" s="55" t="n">
        <f aca="false">C121*C121</f>
        <v>0.25</v>
      </c>
      <c r="S121" s="55" t="n">
        <f aca="false">D121*D121</f>
        <v>0.25</v>
      </c>
      <c r="T121" s="55" t="n">
        <f aca="false">E121*E121</f>
        <v>0.49</v>
      </c>
      <c r="U121" s="55" t="n">
        <f aca="false">F121*F121</f>
        <v>0.25</v>
      </c>
      <c r="V121" s="55" t="n">
        <f aca="false">SUMPRODUCT(G121:U121,_XtX!$B$96:$P$96)</f>
        <v>49.3696352339181</v>
      </c>
      <c r="W121" s="55" t="n">
        <f aca="false">SUMPRODUCT(MMULT(G121:U121,_XtX!$B$78:$P$92),G121:U121)</f>
        <v>0.173264108187135</v>
      </c>
      <c r="X121" s="55" t="n">
        <f aca="false">V121-04_回帰ANOVA!$K$19*04_回帰ANOVA!$K$14*SQRT(1+W121)</f>
        <v>47.9577601134673</v>
      </c>
      <c r="Y121" s="55" t="n">
        <f aca="false">V121+04_回帰ANOVA!$K$19*04_回帰ANOVA!$K$14*SQRT(1+W121)</f>
        <v>50.7815103543689</v>
      </c>
      <c r="Z121" s="54" t="b">
        <f aca="false">AND(C121&gt;=01_因子設定!$L$5-0.000000001,C121&lt;=01_因子設定!$M$5+0.000000001,D121&gt;=01_因子設定!$L$6-0.000000001,D121&lt;=01_因子設定!$M$6+0.000000001,E121&gt;=01_因子設定!$L$7-0.000000001,E121&lt;=01_因子設定!$M$7+0.000000001,F121&gt;=01_因子設定!$L$8-0.000000001,F121&lt;=01_因子設定!$M$8+0.000000001,IF(01_因子設定!$B$20="Box-Behnken",C121^2+D121^2+E121^2+F121^2&lt;=2+0.000000001,TRUE()))</f>
        <v>1</v>
      </c>
      <c r="AA121" s="55" t="n">
        <f aca="false">IF(Z121,IF(01_因子設定!$B$13="最大化",X121-01_因子設定!$B$14,IF(01_因子設定!$B$13="最小化",01_因子設定!$B$15-Y121,MIN(X121-01_因子設定!$B$14,01_因子設定!$B$15-Y121))),-1E+030)</f>
        <v>1.45776011346732</v>
      </c>
      <c r="AB121" s="55" t="n">
        <f aca="false">IF(AA121&gt;=0,1,0)</f>
        <v>1</v>
      </c>
    </row>
    <row r="122" customFormat="false" ht="15" hidden="false" customHeight="false" outlineLevel="0" collapsed="false">
      <c r="A122" s="0" t="n">
        <v>3</v>
      </c>
      <c r="B122" s="0" t="n">
        <v>0.75</v>
      </c>
      <c r="C122" s="57" t="n">
        <f aca="false">07_最適化!$B$6</f>
        <v>0.5</v>
      </c>
      <c r="D122" s="57" t="n">
        <f aca="false">07_最適化!$B$7</f>
        <v>0.5</v>
      </c>
      <c r="E122" s="55" t="n">
        <f aca="false">B122</f>
        <v>0.75</v>
      </c>
      <c r="F122" s="57" t="n">
        <f aca="false">07_最適化!$B$9</f>
        <v>0.5</v>
      </c>
      <c r="G122" s="55" t="n">
        <f aca="false">1</f>
        <v>1</v>
      </c>
      <c r="H122" s="57" t="n">
        <f aca="false">C122</f>
        <v>0.5</v>
      </c>
      <c r="I122" s="57" t="n">
        <f aca="false">D122</f>
        <v>0.5</v>
      </c>
      <c r="J122" s="55" t="n">
        <f aca="false">E122</f>
        <v>0.75</v>
      </c>
      <c r="K122" s="57" t="n">
        <f aca="false">F122</f>
        <v>0.5</v>
      </c>
      <c r="L122" s="55" t="n">
        <f aca="false">C122*D122</f>
        <v>0.25</v>
      </c>
      <c r="M122" s="55" t="n">
        <f aca="false">C122*E122</f>
        <v>0.375</v>
      </c>
      <c r="N122" s="55" t="n">
        <f aca="false">C122*F122</f>
        <v>0.25</v>
      </c>
      <c r="O122" s="55" t="n">
        <f aca="false">D122*E122</f>
        <v>0.375</v>
      </c>
      <c r="P122" s="55" t="n">
        <f aca="false">D122*F122</f>
        <v>0.25</v>
      </c>
      <c r="Q122" s="55" t="n">
        <f aca="false">E122*F122</f>
        <v>0.375</v>
      </c>
      <c r="R122" s="55" t="n">
        <f aca="false">C122*C122</f>
        <v>0.25</v>
      </c>
      <c r="S122" s="55" t="n">
        <f aca="false">D122*D122</f>
        <v>0.25</v>
      </c>
      <c r="T122" s="55" t="n">
        <f aca="false">E122*E122</f>
        <v>0.5625</v>
      </c>
      <c r="U122" s="55" t="n">
        <f aca="false">F122*F122</f>
        <v>0.25</v>
      </c>
      <c r="V122" s="55" t="n">
        <f aca="false">SUMPRODUCT(G122:U122,_XtX!$B$96:$P$96)</f>
        <v>49.3680738304093</v>
      </c>
      <c r="W122" s="55" t="n">
        <f aca="false">SUMPRODUCT(MMULT(G122:U122,_XtX!$B$78:$P$92),G122:U122)</f>
        <v>0.193924753289474</v>
      </c>
      <c r="X122" s="55" t="n">
        <f aca="false">V122-04_回帰ANOVA!$K$19*04_回帰ANOVA!$K$14*SQRT(1+W122)</f>
        <v>47.9438217224177</v>
      </c>
      <c r="Y122" s="55" t="n">
        <f aca="false">V122+04_回帰ANOVA!$K$19*04_回帰ANOVA!$K$14*SQRT(1+W122)</f>
        <v>50.7923259384009</v>
      </c>
      <c r="Z122" s="54" t="b">
        <f aca="false">AND(C122&gt;=01_因子設定!$L$5-0.000000001,C122&lt;=01_因子設定!$M$5+0.000000001,D122&gt;=01_因子設定!$L$6-0.000000001,D122&lt;=01_因子設定!$M$6+0.000000001,E122&gt;=01_因子設定!$L$7-0.000000001,E122&lt;=01_因子設定!$M$7+0.000000001,F122&gt;=01_因子設定!$L$8-0.000000001,F122&lt;=01_因子設定!$M$8+0.000000001,IF(01_因子設定!$B$20="Box-Behnken",C122^2+D122^2+E122^2+F122^2&lt;=2+0.000000001,TRUE()))</f>
        <v>1</v>
      </c>
      <c r="AA122" s="55" t="n">
        <f aca="false">IF(Z122,IF(01_因子設定!$B$13="最大化",X122-01_因子設定!$B$14,IF(01_因子設定!$B$13="最小化",01_因子設定!$B$15-Y122,MIN(X122-01_因子設定!$B$14,01_因子設定!$B$15-Y122))),-1E+030)</f>
        <v>1.44382172241772</v>
      </c>
      <c r="AB122" s="55" t="n">
        <f aca="false">IF(AA122&gt;=0,1,0)</f>
        <v>1</v>
      </c>
    </row>
    <row r="123" customFormat="false" ht="15" hidden="false" customHeight="false" outlineLevel="0" collapsed="false">
      <c r="A123" s="0" t="n">
        <v>3</v>
      </c>
      <c r="B123" s="0" t="n">
        <v>0.8</v>
      </c>
      <c r="C123" s="57" t="n">
        <f aca="false">07_最適化!$B$6</f>
        <v>0.5</v>
      </c>
      <c r="D123" s="57" t="n">
        <f aca="false">07_最適化!$B$7</f>
        <v>0.5</v>
      </c>
      <c r="E123" s="55" t="n">
        <f aca="false">B123</f>
        <v>0.8</v>
      </c>
      <c r="F123" s="57" t="n">
        <f aca="false">07_最適化!$B$9</f>
        <v>0.5</v>
      </c>
      <c r="G123" s="55" t="n">
        <f aca="false">1</f>
        <v>1</v>
      </c>
      <c r="H123" s="57" t="n">
        <f aca="false">C123</f>
        <v>0.5</v>
      </c>
      <c r="I123" s="57" t="n">
        <f aca="false">D123</f>
        <v>0.5</v>
      </c>
      <c r="J123" s="55" t="n">
        <f aca="false">E123</f>
        <v>0.8</v>
      </c>
      <c r="K123" s="57" t="n">
        <f aca="false">F123</f>
        <v>0.5</v>
      </c>
      <c r="L123" s="55" t="n">
        <f aca="false">C123*D123</f>
        <v>0.25</v>
      </c>
      <c r="M123" s="55" t="n">
        <f aca="false">C123*E123</f>
        <v>0.4</v>
      </c>
      <c r="N123" s="55" t="n">
        <f aca="false">C123*F123</f>
        <v>0.25</v>
      </c>
      <c r="O123" s="55" t="n">
        <f aca="false">D123*E123</f>
        <v>0.4</v>
      </c>
      <c r="P123" s="55" t="n">
        <f aca="false">D123*F123</f>
        <v>0.25</v>
      </c>
      <c r="Q123" s="55" t="n">
        <f aca="false">E123*F123</f>
        <v>0.4</v>
      </c>
      <c r="R123" s="55" t="n">
        <f aca="false">C123*C123</f>
        <v>0.25</v>
      </c>
      <c r="S123" s="55" t="n">
        <f aca="false">D123*D123</f>
        <v>0.25</v>
      </c>
      <c r="T123" s="55" t="n">
        <f aca="false">E123*E123</f>
        <v>0.64</v>
      </c>
      <c r="U123" s="55" t="n">
        <f aca="false">F123*F123</f>
        <v>0.25</v>
      </c>
      <c r="V123" s="55" t="n">
        <f aca="false">SUMPRODUCT(G123:U123,_XtX!$B$96:$P$96)</f>
        <v>49.3631001461988</v>
      </c>
      <c r="W123" s="55" t="n">
        <f aca="false">SUMPRODUCT(MMULT(G123:U123,_XtX!$B$78:$P$92),G123:U123)</f>
        <v>0.220497112573099</v>
      </c>
      <c r="X123" s="55" t="n">
        <f aca="false">V123-04_回帰ANOVA!$K$19*04_回帰ANOVA!$K$14*SQRT(1+W123)</f>
        <v>47.923085958884</v>
      </c>
      <c r="Y123" s="55" t="n">
        <f aca="false">V123+04_回帰ANOVA!$K$19*04_回帰ANOVA!$K$14*SQRT(1+W123)</f>
        <v>50.8031143335136</v>
      </c>
      <c r="Z123" s="54" t="b">
        <f aca="false">AND(C123&gt;=01_因子設定!$L$5-0.000000001,C123&lt;=01_因子設定!$M$5+0.000000001,D123&gt;=01_因子設定!$L$6-0.000000001,D123&lt;=01_因子設定!$M$6+0.000000001,E123&gt;=01_因子設定!$L$7-0.000000001,E123&lt;=01_因子設定!$M$7+0.000000001,F123&gt;=01_因子設定!$L$8-0.000000001,F123&lt;=01_因子設定!$M$8+0.000000001,IF(01_因子設定!$B$20="Box-Behnken",C123^2+D123^2+E123^2+F123^2&lt;=2+0.000000001,TRUE()))</f>
        <v>1</v>
      </c>
      <c r="AA123" s="55" t="n">
        <f aca="false">IF(Z123,IF(01_因子設定!$B$13="最大化",X123-01_因子設定!$B$14,IF(01_因子設定!$B$13="最小化",01_因子設定!$B$15-Y123,MIN(X123-01_因子設定!$B$14,01_因子設定!$B$15-Y123))),-1E+030)</f>
        <v>1.42308595888404</v>
      </c>
      <c r="AB123" s="55" t="n">
        <f aca="false">IF(AA123&gt;=0,1,0)</f>
        <v>1</v>
      </c>
    </row>
    <row r="124" customFormat="false" ht="15" hidden="false" customHeight="false" outlineLevel="0" collapsed="false">
      <c r="A124" s="0" t="n">
        <v>3</v>
      </c>
      <c r="B124" s="0" t="n">
        <v>0.85</v>
      </c>
      <c r="C124" s="57" t="n">
        <f aca="false">07_最適化!$B$6</f>
        <v>0.5</v>
      </c>
      <c r="D124" s="57" t="n">
        <f aca="false">07_最適化!$B$7</f>
        <v>0.5</v>
      </c>
      <c r="E124" s="55" t="n">
        <f aca="false">B124</f>
        <v>0.85</v>
      </c>
      <c r="F124" s="57" t="n">
        <f aca="false">07_最適化!$B$9</f>
        <v>0.5</v>
      </c>
      <c r="G124" s="55" t="n">
        <f aca="false">1</f>
        <v>1</v>
      </c>
      <c r="H124" s="57" t="n">
        <f aca="false">C124</f>
        <v>0.5</v>
      </c>
      <c r="I124" s="57" t="n">
        <f aca="false">D124</f>
        <v>0.5</v>
      </c>
      <c r="J124" s="55" t="n">
        <f aca="false">E124</f>
        <v>0.85</v>
      </c>
      <c r="K124" s="57" t="n">
        <f aca="false">F124</f>
        <v>0.5</v>
      </c>
      <c r="L124" s="55" t="n">
        <f aca="false">C124*D124</f>
        <v>0.25</v>
      </c>
      <c r="M124" s="55" t="n">
        <f aca="false">C124*E124</f>
        <v>0.425</v>
      </c>
      <c r="N124" s="55" t="n">
        <f aca="false">C124*F124</f>
        <v>0.25</v>
      </c>
      <c r="O124" s="55" t="n">
        <f aca="false">D124*E124</f>
        <v>0.425</v>
      </c>
      <c r="P124" s="55" t="n">
        <f aca="false">D124*F124</f>
        <v>0.25</v>
      </c>
      <c r="Q124" s="55" t="n">
        <f aca="false">E124*F124</f>
        <v>0.425</v>
      </c>
      <c r="R124" s="55" t="n">
        <f aca="false">C124*C124</f>
        <v>0.25</v>
      </c>
      <c r="S124" s="55" t="n">
        <f aca="false">D124*D124</f>
        <v>0.25</v>
      </c>
      <c r="T124" s="55" t="n">
        <f aca="false">E124*E124</f>
        <v>0.7225</v>
      </c>
      <c r="U124" s="55" t="n">
        <f aca="false">F124*F124</f>
        <v>0.25</v>
      </c>
      <c r="V124" s="55" t="n">
        <f aca="false">SUMPRODUCT(G124:U124,_XtX!$B$96:$P$96)</f>
        <v>49.3547141812865</v>
      </c>
      <c r="W124" s="55" t="n">
        <f aca="false">SUMPRODUCT(MMULT(G124:U124,_XtX!$B$78:$P$92),G124:U124)</f>
        <v>0.253878554459064</v>
      </c>
      <c r="X124" s="55" t="n">
        <f aca="false">V124-04_回帰ANOVA!$K$19*04_回帰ANOVA!$K$14*SQRT(1+W124)</f>
        <v>47.8951401426362</v>
      </c>
      <c r="Y124" s="55" t="n">
        <f aca="false">V124+04_回帰ANOVA!$K$19*04_回帰ANOVA!$K$14*SQRT(1+W124)</f>
        <v>50.8142882199369</v>
      </c>
      <c r="Z124" s="54" t="b">
        <f aca="false">AND(C124&gt;=01_因子設定!$L$5-0.000000001,C124&lt;=01_因子設定!$M$5+0.000000001,D124&gt;=01_因子設定!$L$6-0.000000001,D124&lt;=01_因子設定!$M$6+0.000000001,E124&gt;=01_因子設定!$L$7-0.000000001,E124&lt;=01_因子設定!$M$7+0.000000001,F124&gt;=01_因子設定!$L$8-0.000000001,F124&lt;=01_因子設定!$M$8+0.000000001,IF(01_因子設定!$B$20="Box-Behnken",C124^2+D124^2+E124^2+F124^2&lt;=2+0.000000001,TRUE()))</f>
        <v>1</v>
      </c>
      <c r="AA124" s="55" t="n">
        <f aca="false">IF(Z124,IF(01_因子設定!$B$13="最大化",X124-01_因子設定!$B$14,IF(01_因子設定!$B$13="最小化",01_因子設定!$B$15-Y124,MIN(X124-01_因子設定!$B$14,01_因子設定!$B$15-Y124))),-1E+030)</f>
        <v>1.39514014263615</v>
      </c>
      <c r="AB124" s="55" t="n">
        <f aca="false">IF(AA124&gt;=0,1,0)</f>
        <v>1</v>
      </c>
    </row>
    <row r="125" customFormat="false" ht="15" hidden="false" customHeight="false" outlineLevel="0" collapsed="false">
      <c r="A125" s="0" t="n">
        <v>3</v>
      </c>
      <c r="B125" s="0" t="n">
        <v>0.9</v>
      </c>
      <c r="C125" s="57" t="n">
        <f aca="false">07_最適化!$B$6</f>
        <v>0.5</v>
      </c>
      <c r="D125" s="57" t="n">
        <f aca="false">07_最適化!$B$7</f>
        <v>0.5</v>
      </c>
      <c r="E125" s="55" t="n">
        <f aca="false">B125</f>
        <v>0.9</v>
      </c>
      <c r="F125" s="57" t="n">
        <f aca="false">07_最適化!$B$9</f>
        <v>0.5</v>
      </c>
      <c r="G125" s="55" t="n">
        <f aca="false">1</f>
        <v>1</v>
      </c>
      <c r="H125" s="57" t="n">
        <f aca="false">C125</f>
        <v>0.5</v>
      </c>
      <c r="I125" s="57" t="n">
        <f aca="false">D125</f>
        <v>0.5</v>
      </c>
      <c r="J125" s="55" t="n">
        <f aca="false">E125</f>
        <v>0.9</v>
      </c>
      <c r="K125" s="57" t="n">
        <f aca="false">F125</f>
        <v>0.5</v>
      </c>
      <c r="L125" s="55" t="n">
        <f aca="false">C125*D125</f>
        <v>0.25</v>
      </c>
      <c r="M125" s="55" t="n">
        <f aca="false">C125*E125</f>
        <v>0.45</v>
      </c>
      <c r="N125" s="55" t="n">
        <f aca="false">C125*F125</f>
        <v>0.25</v>
      </c>
      <c r="O125" s="55" t="n">
        <f aca="false">D125*E125</f>
        <v>0.45</v>
      </c>
      <c r="P125" s="55" t="n">
        <f aca="false">D125*F125</f>
        <v>0.25</v>
      </c>
      <c r="Q125" s="55" t="n">
        <f aca="false">E125*F125</f>
        <v>0.45</v>
      </c>
      <c r="R125" s="55" t="n">
        <f aca="false">C125*C125</f>
        <v>0.25</v>
      </c>
      <c r="S125" s="55" t="n">
        <f aca="false">D125*D125</f>
        <v>0.25</v>
      </c>
      <c r="T125" s="55" t="n">
        <f aca="false">E125*E125</f>
        <v>0.81</v>
      </c>
      <c r="U125" s="55" t="n">
        <f aca="false">F125*F125</f>
        <v>0.25</v>
      </c>
      <c r="V125" s="55" t="n">
        <f aca="false">SUMPRODUCT(G125:U125,_XtX!$B$96:$P$96)</f>
        <v>49.3429159356725</v>
      </c>
      <c r="W125" s="55" t="n">
        <f aca="false">SUMPRODUCT(MMULT(G125:U125,_XtX!$B$78:$P$92),G125:U125)</f>
        <v>0.295024342105263</v>
      </c>
      <c r="X125" s="55" t="n">
        <f aca="false">V125-04_回帰ANOVA!$K$19*04_回帰ANOVA!$K$14*SQRT(1+W125)</f>
        <v>47.8595873760278</v>
      </c>
      <c r="Y125" s="55" t="n">
        <f aca="false">V125+04_回帰ANOVA!$K$19*04_回帰ANOVA!$K$14*SQRT(1+W125)</f>
        <v>50.8262444953172</v>
      </c>
      <c r="Z125" s="54" t="b">
        <f aca="false">AND(C125&gt;=01_因子設定!$L$5-0.000000001,C125&lt;=01_因子設定!$M$5+0.000000001,D125&gt;=01_因子設定!$L$6-0.000000001,D125&lt;=01_因子設定!$M$6+0.000000001,E125&gt;=01_因子設定!$L$7-0.000000001,E125&lt;=01_因子設定!$M$7+0.000000001,F125&gt;=01_因子設定!$L$8-0.000000001,F125&lt;=01_因子設定!$M$8+0.000000001,IF(01_因子設定!$B$20="Box-Behnken",C125^2+D125^2+E125^2+F125^2&lt;=2+0.000000001,TRUE()))</f>
        <v>1</v>
      </c>
      <c r="AA125" s="55" t="n">
        <f aca="false">IF(Z125,IF(01_因子設定!$B$13="最大化",X125-01_因子設定!$B$14,IF(01_因子設定!$B$13="最小化",01_因子設定!$B$15-Y125,MIN(X125-01_因子設定!$B$14,01_因子設定!$B$15-Y125))),-1E+030)</f>
        <v>1.35958737602779</v>
      </c>
      <c r="AB125" s="55" t="n">
        <f aca="false">IF(AA125&gt;=0,1,0)</f>
        <v>1</v>
      </c>
    </row>
    <row r="126" customFormat="false" ht="15" hidden="false" customHeight="false" outlineLevel="0" collapsed="false">
      <c r="A126" s="0" t="n">
        <v>3</v>
      </c>
      <c r="B126" s="0" t="n">
        <v>0.95</v>
      </c>
      <c r="C126" s="57" t="n">
        <f aca="false">07_最適化!$B$6</f>
        <v>0.5</v>
      </c>
      <c r="D126" s="57" t="n">
        <f aca="false">07_最適化!$B$7</f>
        <v>0.5</v>
      </c>
      <c r="E126" s="55" t="n">
        <f aca="false">B126</f>
        <v>0.95</v>
      </c>
      <c r="F126" s="57" t="n">
        <f aca="false">07_最適化!$B$9</f>
        <v>0.5</v>
      </c>
      <c r="G126" s="55" t="n">
        <f aca="false">1</f>
        <v>1</v>
      </c>
      <c r="H126" s="57" t="n">
        <f aca="false">C126</f>
        <v>0.5</v>
      </c>
      <c r="I126" s="57" t="n">
        <f aca="false">D126</f>
        <v>0.5</v>
      </c>
      <c r="J126" s="55" t="n">
        <f aca="false">E126</f>
        <v>0.95</v>
      </c>
      <c r="K126" s="57" t="n">
        <f aca="false">F126</f>
        <v>0.5</v>
      </c>
      <c r="L126" s="55" t="n">
        <f aca="false">C126*D126</f>
        <v>0.25</v>
      </c>
      <c r="M126" s="55" t="n">
        <f aca="false">C126*E126</f>
        <v>0.475</v>
      </c>
      <c r="N126" s="55" t="n">
        <f aca="false">C126*F126</f>
        <v>0.25</v>
      </c>
      <c r="O126" s="55" t="n">
        <f aca="false">D126*E126</f>
        <v>0.475</v>
      </c>
      <c r="P126" s="55" t="n">
        <f aca="false">D126*F126</f>
        <v>0.25</v>
      </c>
      <c r="Q126" s="55" t="n">
        <f aca="false">E126*F126</f>
        <v>0.475</v>
      </c>
      <c r="R126" s="55" t="n">
        <f aca="false">C126*C126</f>
        <v>0.25</v>
      </c>
      <c r="S126" s="55" t="n">
        <f aca="false">D126*D126</f>
        <v>0.25</v>
      </c>
      <c r="T126" s="55" t="n">
        <f aca="false">E126*E126</f>
        <v>0.9025</v>
      </c>
      <c r="U126" s="55" t="n">
        <f aca="false">F126*F126</f>
        <v>0.25</v>
      </c>
      <c r="V126" s="55" t="n">
        <f aca="false">SUMPRODUCT(G126:U126,_XtX!$B$96:$P$96)</f>
        <v>49.3277054093567</v>
      </c>
      <c r="W126" s="55" t="n">
        <f aca="false">SUMPRODUCT(MMULT(G126:U126,_XtX!$B$78:$P$92),G126:U126)</f>
        <v>0.344947633406433</v>
      </c>
      <c r="X126" s="55" t="n">
        <f aca="false">V126-04_回帰ANOVA!$K$19*04_回帰ANOVA!$K$14*SQRT(1+W126)</f>
        <v>47.8160559946115</v>
      </c>
      <c r="Y126" s="55" t="n">
        <f aca="false">V126+04_回帰ANOVA!$K$19*04_回帰ANOVA!$K$14*SQRT(1+W126)</f>
        <v>50.8393548241019</v>
      </c>
      <c r="Z126" s="54" t="b">
        <f aca="false">AND(C126&gt;=01_因子設定!$L$5-0.000000001,C126&lt;=01_因子設定!$M$5+0.000000001,D126&gt;=01_因子設定!$L$6-0.000000001,D126&lt;=01_因子設定!$M$6+0.000000001,E126&gt;=01_因子設定!$L$7-0.000000001,E126&lt;=01_因子設定!$M$7+0.000000001,F126&gt;=01_因子設定!$L$8-0.000000001,F126&lt;=01_因子設定!$M$8+0.000000001,IF(01_因子設定!$B$20="Box-Behnken",C126^2+D126^2+E126^2+F126^2&lt;=2+0.000000001,TRUE()))</f>
        <v>1</v>
      </c>
      <c r="AA126" s="55" t="n">
        <f aca="false">IF(Z126,IF(01_因子設定!$B$13="最大化",X126-01_因子設定!$B$14,IF(01_因子設定!$B$13="最小化",01_因子設定!$B$15-Y126,MIN(X126-01_因子設定!$B$14,01_因子設定!$B$15-Y126))),-1E+030)</f>
        <v>1.3160559946115</v>
      </c>
      <c r="AB126" s="55" t="n">
        <f aca="false">IF(AA126&gt;=0,1,0)</f>
        <v>1</v>
      </c>
    </row>
    <row r="127" customFormat="false" ht="15" hidden="false" customHeight="false" outlineLevel="0" collapsed="false">
      <c r="A127" s="0" t="n">
        <v>3</v>
      </c>
      <c r="B127" s="0" t="n">
        <v>1</v>
      </c>
      <c r="C127" s="57" t="n">
        <f aca="false">07_最適化!$B$6</f>
        <v>0.5</v>
      </c>
      <c r="D127" s="57" t="n">
        <f aca="false">07_最適化!$B$7</f>
        <v>0.5</v>
      </c>
      <c r="E127" s="55" t="n">
        <f aca="false">B127</f>
        <v>1</v>
      </c>
      <c r="F127" s="57" t="n">
        <f aca="false">07_最適化!$B$9</f>
        <v>0.5</v>
      </c>
      <c r="G127" s="55" t="n">
        <f aca="false">1</f>
        <v>1</v>
      </c>
      <c r="H127" s="57" t="n">
        <f aca="false">C127</f>
        <v>0.5</v>
      </c>
      <c r="I127" s="57" t="n">
        <f aca="false">D127</f>
        <v>0.5</v>
      </c>
      <c r="J127" s="55" t="n">
        <f aca="false">E127</f>
        <v>1</v>
      </c>
      <c r="K127" s="57" t="n">
        <f aca="false">F127</f>
        <v>0.5</v>
      </c>
      <c r="L127" s="55" t="n">
        <f aca="false">C127*D127</f>
        <v>0.25</v>
      </c>
      <c r="M127" s="55" t="n">
        <f aca="false">C127*E127</f>
        <v>0.5</v>
      </c>
      <c r="N127" s="55" t="n">
        <f aca="false">C127*F127</f>
        <v>0.25</v>
      </c>
      <c r="O127" s="55" t="n">
        <f aca="false">D127*E127</f>
        <v>0.5</v>
      </c>
      <c r="P127" s="55" t="n">
        <f aca="false">D127*F127</f>
        <v>0.25</v>
      </c>
      <c r="Q127" s="55" t="n">
        <f aca="false">E127*F127</f>
        <v>0.5</v>
      </c>
      <c r="R127" s="55" t="n">
        <f aca="false">C127*C127</f>
        <v>0.25</v>
      </c>
      <c r="S127" s="55" t="n">
        <f aca="false">D127*D127</f>
        <v>0.25</v>
      </c>
      <c r="T127" s="55" t="n">
        <f aca="false">E127*E127</f>
        <v>1</v>
      </c>
      <c r="U127" s="55" t="n">
        <f aca="false">F127*F127</f>
        <v>0.25</v>
      </c>
      <c r="V127" s="55" t="n">
        <f aca="false">SUMPRODUCT(G127:U127,_XtX!$B$96:$P$96)</f>
        <v>49.3090826023392</v>
      </c>
      <c r="W127" s="55" t="n">
        <f aca="false">SUMPRODUCT(MMULT(G127:U127,_XtX!$B$78:$P$92),G127:U127)</f>
        <v>0.404719480994152</v>
      </c>
      <c r="X127" s="55" t="n">
        <f aca="false">V127-04_回帰ANOVA!$K$19*04_回帰ANOVA!$K$14*SQRT(1+W127)</f>
        <v>47.7642081353605</v>
      </c>
      <c r="Y127" s="55" t="n">
        <f aca="false">V127+04_回帰ANOVA!$K$19*04_回帰ANOVA!$K$14*SQRT(1+W127)</f>
        <v>50.8539570693178</v>
      </c>
      <c r="Z127" s="54" t="b">
        <f aca="false">AND(C127&gt;=01_因子設定!$L$5-0.000000001,C127&lt;=01_因子設定!$M$5+0.000000001,D127&gt;=01_因子設定!$L$6-0.000000001,D127&lt;=01_因子設定!$M$6+0.000000001,E127&gt;=01_因子設定!$L$7-0.000000001,E127&lt;=01_因子設定!$M$7+0.000000001,F127&gt;=01_因子設定!$L$8-0.000000001,F127&lt;=01_因子設定!$M$8+0.000000001,IF(01_因子設定!$B$20="Box-Behnken",C127^2+D127^2+E127^2+F127^2&lt;=2+0.000000001,TRUE()))</f>
        <v>1</v>
      </c>
      <c r="AA127" s="55" t="n">
        <f aca="false">IF(Z127,IF(01_因子設定!$B$13="最大化",X127-01_因子設定!$B$14,IF(01_因子設定!$B$13="最小化",01_因子設定!$B$15-Y127,MIN(X127-01_因子設定!$B$14,01_因子設定!$B$15-Y127))),-1E+030)</f>
        <v>1.26420813536048</v>
      </c>
      <c r="AB127" s="55" t="n">
        <f aca="false">IF(AA127&gt;=0,1,0)</f>
        <v>1</v>
      </c>
    </row>
    <row r="128" customFormat="false" ht="15" hidden="false" customHeight="false" outlineLevel="0" collapsed="false">
      <c r="A128" s="0" t="n">
        <v>4</v>
      </c>
      <c r="B128" s="0" t="n">
        <v>-1</v>
      </c>
      <c r="C128" s="57" t="n">
        <f aca="false">07_最適化!$B$6</f>
        <v>0.5</v>
      </c>
      <c r="D128" s="57" t="n">
        <f aca="false">07_最適化!$B$7</f>
        <v>0.5</v>
      </c>
      <c r="E128" s="57" t="n">
        <f aca="false">07_最適化!$B$8</f>
        <v>0.5</v>
      </c>
      <c r="F128" s="55" t="n">
        <f aca="false">B128</f>
        <v>-1</v>
      </c>
      <c r="G128" s="55" t="n">
        <f aca="false">1</f>
        <v>1</v>
      </c>
      <c r="H128" s="57" t="n">
        <f aca="false">C128</f>
        <v>0.5</v>
      </c>
      <c r="I128" s="57" t="n">
        <f aca="false">D128</f>
        <v>0.5</v>
      </c>
      <c r="J128" s="57" t="n">
        <f aca="false">E128</f>
        <v>0.5</v>
      </c>
      <c r="K128" s="55" t="n">
        <f aca="false">F128</f>
        <v>-1</v>
      </c>
      <c r="L128" s="55" t="n">
        <f aca="false">C128*D128</f>
        <v>0.25</v>
      </c>
      <c r="M128" s="55" t="n">
        <f aca="false">C128*E128</f>
        <v>0.25</v>
      </c>
      <c r="N128" s="55" t="n">
        <f aca="false">C128*F128</f>
        <v>-0.5</v>
      </c>
      <c r="O128" s="55" t="n">
        <f aca="false">D128*E128</f>
        <v>0.25</v>
      </c>
      <c r="P128" s="55" t="n">
        <f aca="false">D128*F128</f>
        <v>-0.5</v>
      </c>
      <c r="Q128" s="55" t="n">
        <f aca="false">E128*F128</f>
        <v>-0.5</v>
      </c>
      <c r="R128" s="55" t="n">
        <f aca="false">C128*C128</f>
        <v>0.25</v>
      </c>
      <c r="S128" s="55" t="n">
        <f aca="false">D128*D128</f>
        <v>0.25</v>
      </c>
      <c r="T128" s="55" t="n">
        <f aca="false">E128*E128</f>
        <v>0.25</v>
      </c>
      <c r="U128" s="55" t="n">
        <f aca="false">F128*F128</f>
        <v>1</v>
      </c>
      <c r="V128" s="55" t="n">
        <f aca="false">SUMPRODUCT(G128:U128,_XtX!$B$96:$P$96)</f>
        <v>48.2965826023392</v>
      </c>
      <c r="W128" s="55" t="n">
        <f aca="false">SUMPRODUCT(MMULT(G128:U128,_XtX!$B$78:$P$92),G128:U128)</f>
        <v>0.404719480994152</v>
      </c>
      <c r="X128" s="55" t="n">
        <f aca="false">V128-04_回帰ANOVA!$K$19*04_回帰ANOVA!$K$14*SQRT(1+W128)</f>
        <v>46.7517081353605</v>
      </c>
      <c r="Y128" s="55" t="n">
        <f aca="false">V128+04_回帰ANOVA!$K$19*04_回帰ANOVA!$K$14*SQRT(1+W128)</f>
        <v>49.8414570693179</v>
      </c>
      <c r="Z128" s="54" t="b">
        <f aca="false">AND(C128&gt;=01_因子設定!$L$5-0.000000001,C128&lt;=01_因子設定!$M$5+0.000000001,D128&gt;=01_因子設定!$L$6-0.000000001,D128&lt;=01_因子設定!$M$6+0.000000001,E128&gt;=01_因子設定!$L$7-0.000000001,E128&lt;=01_因子設定!$M$7+0.000000001,F128&gt;=01_因子設定!$L$8-0.000000001,F128&lt;=01_因子設定!$M$8+0.000000001,IF(01_因子設定!$B$20="Box-Behnken",C128^2+D128^2+E128^2+F128^2&lt;=2+0.000000001,TRUE()))</f>
        <v>1</v>
      </c>
      <c r="AA128" s="55" t="n">
        <f aca="false">IF(Z128,IF(01_因子設定!$B$13="最大化",X128-01_因子設定!$B$14,IF(01_因子設定!$B$13="最小化",01_因子設定!$B$15-Y128,MIN(X128-01_因子設定!$B$14,01_因子設定!$B$15-Y128))),-1E+030)</f>
        <v>0.251708135360502</v>
      </c>
      <c r="AB128" s="55" t="n">
        <f aca="false">IF(AA128&gt;=0,1,0)</f>
        <v>1</v>
      </c>
    </row>
    <row r="129" customFormat="false" ht="15" hidden="false" customHeight="false" outlineLevel="0" collapsed="false">
      <c r="A129" s="0" t="n">
        <v>4</v>
      </c>
      <c r="B129" s="0" t="n">
        <v>-0.95</v>
      </c>
      <c r="C129" s="57" t="n">
        <f aca="false">07_最適化!$B$6</f>
        <v>0.5</v>
      </c>
      <c r="D129" s="57" t="n">
        <f aca="false">07_最適化!$B$7</f>
        <v>0.5</v>
      </c>
      <c r="E129" s="57" t="n">
        <f aca="false">07_最適化!$B$8</f>
        <v>0.5</v>
      </c>
      <c r="F129" s="55" t="n">
        <f aca="false">B129</f>
        <v>-0.95</v>
      </c>
      <c r="G129" s="55" t="n">
        <f aca="false">1</f>
        <v>1</v>
      </c>
      <c r="H129" s="57" t="n">
        <f aca="false">C129</f>
        <v>0.5</v>
      </c>
      <c r="I129" s="57" t="n">
        <f aca="false">D129</f>
        <v>0.5</v>
      </c>
      <c r="J129" s="57" t="n">
        <f aca="false">E129</f>
        <v>0.5</v>
      </c>
      <c r="K129" s="55" t="n">
        <f aca="false">F129</f>
        <v>-0.95</v>
      </c>
      <c r="L129" s="55" t="n">
        <f aca="false">C129*D129</f>
        <v>0.25</v>
      </c>
      <c r="M129" s="55" t="n">
        <f aca="false">C129*E129</f>
        <v>0.25</v>
      </c>
      <c r="N129" s="55" t="n">
        <f aca="false">C129*F129</f>
        <v>-0.475</v>
      </c>
      <c r="O129" s="55" t="n">
        <f aca="false">D129*E129</f>
        <v>0.25</v>
      </c>
      <c r="P129" s="55" t="n">
        <f aca="false">D129*F129</f>
        <v>-0.475</v>
      </c>
      <c r="Q129" s="55" t="n">
        <f aca="false">E129*F129</f>
        <v>-0.475</v>
      </c>
      <c r="R129" s="55" t="n">
        <f aca="false">C129*C129</f>
        <v>0.25</v>
      </c>
      <c r="S129" s="55" t="n">
        <f aca="false">D129*D129</f>
        <v>0.25</v>
      </c>
      <c r="T129" s="55" t="n">
        <f aca="false">E129*E129</f>
        <v>0.25</v>
      </c>
      <c r="U129" s="55" t="n">
        <f aca="false">F129*F129</f>
        <v>0.9025</v>
      </c>
      <c r="V129" s="55" t="n">
        <f aca="false">SUMPRODUCT(G129:U129,_XtX!$B$96:$P$96)</f>
        <v>48.3591498538012</v>
      </c>
      <c r="W129" s="55" t="n">
        <f aca="false">SUMPRODUCT(MMULT(G129:U129,_XtX!$B$78:$P$92),G129:U129)</f>
        <v>0.344947633406433</v>
      </c>
      <c r="X129" s="55" t="n">
        <f aca="false">V129-04_回帰ANOVA!$K$19*04_回帰ANOVA!$K$14*SQRT(1+W129)</f>
        <v>46.847500439056</v>
      </c>
      <c r="Y129" s="55" t="n">
        <f aca="false">V129+04_回帰ANOVA!$K$19*04_回帰ANOVA!$K$14*SQRT(1+W129)</f>
        <v>49.8707992685464</v>
      </c>
      <c r="Z129" s="54" t="b">
        <f aca="false">AND(C129&gt;=01_因子設定!$L$5-0.000000001,C129&lt;=01_因子設定!$M$5+0.000000001,D129&gt;=01_因子設定!$L$6-0.000000001,D129&lt;=01_因子設定!$M$6+0.000000001,E129&gt;=01_因子設定!$L$7-0.000000001,E129&lt;=01_因子設定!$M$7+0.000000001,F129&gt;=01_因子設定!$L$8-0.000000001,F129&lt;=01_因子設定!$M$8+0.000000001,IF(01_因子設定!$B$20="Box-Behnken",C129^2+D129^2+E129^2+F129^2&lt;=2+0.000000001,TRUE()))</f>
        <v>1</v>
      </c>
      <c r="AA129" s="55" t="n">
        <f aca="false">IF(Z129,IF(01_因子設定!$B$13="最大化",X129-01_因子設定!$B$14,IF(01_因子設定!$B$13="最小化",01_因子設定!$B$15-Y129,MIN(X129-01_因子設定!$B$14,01_因子設定!$B$15-Y129))),-1E+030)</f>
        <v>0.34750043905597</v>
      </c>
      <c r="AB129" s="55" t="n">
        <f aca="false">IF(AA129&gt;=0,1,0)</f>
        <v>1</v>
      </c>
    </row>
    <row r="130" customFormat="false" ht="15" hidden="false" customHeight="false" outlineLevel="0" collapsed="false">
      <c r="A130" s="0" t="n">
        <v>4</v>
      </c>
      <c r="B130" s="0" t="n">
        <v>-0.9</v>
      </c>
      <c r="C130" s="57" t="n">
        <f aca="false">07_最適化!$B$6</f>
        <v>0.5</v>
      </c>
      <c r="D130" s="57" t="n">
        <f aca="false">07_最適化!$B$7</f>
        <v>0.5</v>
      </c>
      <c r="E130" s="57" t="n">
        <f aca="false">07_最適化!$B$8</f>
        <v>0.5</v>
      </c>
      <c r="F130" s="55" t="n">
        <f aca="false">B130</f>
        <v>-0.9</v>
      </c>
      <c r="G130" s="55" t="n">
        <f aca="false">1</f>
        <v>1</v>
      </c>
      <c r="H130" s="57" t="n">
        <f aca="false">C130</f>
        <v>0.5</v>
      </c>
      <c r="I130" s="57" t="n">
        <f aca="false">D130</f>
        <v>0.5</v>
      </c>
      <c r="J130" s="57" t="n">
        <f aca="false">E130</f>
        <v>0.5</v>
      </c>
      <c r="K130" s="55" t="n">
        <f aca="false">F130</f>
        <v>-0.9</v>
      </c>
      <c r="L130" s="55" t="n">
        <f aca="false">C130*D130</f>
        <v>0.25</v>
      </c>
      <c r="M130" s="55" t="n">
        <f aca="false">C130*E130</f>
        <v>0.25</v>
      </c>
      <c r="N130" s="55" t="n">
        <f aca="false">C130*F130</f>
        <v>-0.45</v>
      </c>
      <c r="O130" s="55" t="n">
        <f aca="false">D130*E130</f>
        <v>0.25</v>
      </c>
      <c r="P130" s="55" t="n">
        <f aca="false">D130*F130</f>
        <v>-0.45</v>
      </c>
      <c r="Q130" s="55" t="n">
        <f aca="false">E130*F130</f>
        <v>-0.45</v>
      </c>
      <c r="R130" s="55" t="n">
        <f aca="false">C130*C130</f>
        <v>0.25</v>
      </c>
      <c r="S130" s="55" t="n">
        <f aca="false">D130*D130</f>
        <v>0.25</v>
      </c>
      <c r="T130" s="55" t="n">
        <f aca="false">E130*E130</f>
        <v>0.25</v>
      </c>
      <c r="U130" s="55" t="n">
        <f aca="false">F130*F130</f>
        <v>0.81</v>
      </c>
      <c r="V130" s="55" t="n">
        <f aca="false">SUMPRODUCT(G130:U130,_XtX!$B$96:$P$96)</f>
        <v>48.4198048245614</v>
      </c>
      <c r="W130" s="55" t="n">
        <f aca="false">SUMPRODUCT(MMULT(G130:U130,_XtX!$B$78:$P$92),G130:U130)</f>
        <v>0.295024342105263</v>
      </c>
      <c r="X130" s="55" t="n">
        <f aca="false">V130-04_回帰ANOVA!$K$19*04_回帰ANOVA!$K$14*SQRT(1+W130)</f>
        <v>46.9364762649167</v>
      </c>
      <c r="Y130" s="55" t="n">
        <f aca="false">V130+04_回帰ANOVA!$K$19*04_回帰ANOVA!$K$14*SQRT(1+W130)</f>
        <v>49.9031333842061</v>
      </c>
      <c r="Z130" s="54" t="b">
        <f aca="false">AND(C130&gt;=01_因子設定!$L$5-0.000000001,C130&lt;=01_因子設定!$M$5+0.000000001,D130&gt;=01_因子設定!$L$6-0.000000001,D130&lt;=01_因子設定!$M$6+0.000000001,E130&gt;=01_因子設定!$L$7-0.000000001,E130&lt;=01_因子設定!$M$7+0.000000001,F130&gt;=01_因子設定!$L$8-0.000000001,F130&lt;=01_因子設定!$M$8+0.000000001,IF(01_因子設定!$B$20="Box-Behnken",C130^2+D130^2+E130^2+F130^2&lt;=2+0.000000001,TRUE()))</f>
        <v>1</v>
      </c>
      <c r="AA130" s="55" t="n">
        <f aca="false">IF(Z130,IF(01_因子設定!$B$13="最大化",X130-01_因子設定!$B$14,IF(01_因子設定!$B$13="最小化",01_因子設定!$B$15-Y130,MIN(X130-01_因子設定!$B$14,01_因子設定!$B$15-Y130))),-1E+030)</f>
        <v>0.436476264916699</v>
      </c>
      <c r="AB130" s="55" t="n">
        <f aca="false">IF(AA130&gt;=0,1,0)</f>
        <v>1</v>
      </c>
    </row>
    <row r="131" customFormat="false" ht="15" hidden="false" customHeight="false" outlineLevel="0" collapsed="false">
      <c r="A131" s="0" t="n">
        <v>4</v>
      </c>
      <c r="B131" s="0" t="n">
        <v>-0.85</v>
      </c>
      <c r="C131" s="57" t="n">
        <f aca="false">07_最適化!$B$6</f>
        <v>0.5</v>
      </c>
      <c r="D131" s="57" t="n">
        <f aca="false">07_最適化!$B$7</f>
        <v>0.5</v>
      </c>
      <c r="E131" s="57" t="n">
        <f aca="false">07_最適化!$B$8</f>
        <v>0.5</v>
      </c>
      <c r="F131" s="55" t="n">
        <f aca="false">B131</f>
        <v>-0.85</v>
      </c>
      <c r="G131" s="55" t="n">
        <f aca="false">1</f>
        <v>1</v>
      </c>
      <c r="H131" s="57" t="n">
        <f aca="false">C131</f>
        <v>0.5</v>
      </c>
      <c r="I131" s="57" t="n">
        <f aca="false">D131</f>
        <v>0.5</v>
      </c>
      <c r="J131" s="57" t="n">
        <f aca="false">E131</f>
        <v>0.5</v>
      </c>
      <c r="K131" s="55" t="n">
        <f aca="false">F131</f>
        <v>-0.85</v>
      </c>
      <c r="L131" s="55" t="n">
        <f aca="false">C131*D131</f>
        <v>0.25</v>
      </c>
      <c r="M131" s="55" t="n">
        <f aca="false">C131*E131</f>
        <v>0.25</v>
      </c>
      <c r="N131" s="55" t="n">
        <f aca="false">C131*F131</f>
        <v>-0.425</v>
      </c>
      <c r="O131" s="55" t="n">
        <f aca="false">D131*E131</f>
        <v>0.25</v>
      </c>
      <c r="P131" s="55" t="n">
        <f aca="false">D131*F131</f>
        <v>-0.425</v>
      </c>
      <c r="Q131" s="55" t="n">
        <f aca="false">E131*F131</f>
        <v>-0.425</v>
      </c>
      <c r="R131" s="55" t="n">
        <f aca="false">C131*C131</f>
        <v>0.25</v>
      </c>
      <c r="S131" s="55" t="n">
        <f aca="false">D131*D131</f>
        <v>0.25</v>
      </c>
      <c r="T131" s="55" t="n">
        <f aca="false">E131*E131</f>
        <v>0.25</v>
      </c>
      <c r="U131" s="55" t="n">
        <f aca="false">F131*F131</f>
        <v>0.7225</v>
      </c>
      <c r="V131" s="55" t="n">
        <f aca="false">SUMPRODUCT(G131:U131,_XtX!$B$96:$P$96)</f>
        <v>48.4785475146199</v>
      </c>
      <c r="W131" s="55" t="n">
        <f aca="false">SUMPRODUCT(MMULT(G131:U131,_XtX!$B$78:$P$92),G131:U131)</f>
        <v>0.253878554459064</v>
      </c>
      <c r="X131" s="55" t="n">
        <f aca="false">V131-04_回帰ANOVA!$K$19*04_回帰ANOVA!$K$14*SQRT(1+W131)</f>
        <v>47.0189734759695</v>
      </c>
      <c r="Y131" s="55" t="n">
        <f aca="false">V131+04_回帰ANOVA!$K$19*04_回帰ANOVA!$K$14*SQRT(1+W131)</f>
        <v>49.9381215532702</v>
      </c>
      <c r="Z131" s="54" t="b">
        <f aca="false">AND(C131&gt;=01_因子設定!$L$5-0.000000001,C131&lt;=01_因子設定!$M$5+0.000000001,D131&gt;=01_因子設定!$L$6-0.000000001,D131&lt;=01_因子設定!$M$6+0.000000001,E131&gt;=01_因子設定!$L$7-0.000000001,E131&lt;=01_因子設定!$M$7+0.000000001,F131&gt;=01_因子設定!$L$8-0.000000001,F131&lt;=01_因子設定!$M$8+0.000000001,IF(01_因子設定!$B$20="Box-Behnken",C131^2+D131^2+E131^2+F131^2&lt;=2+0.000000001,TRUE()))</f>
        <v>1</v>
      </c>
      <c r="AA131" s="55" t="n">
        <f aca="false">IF(Z131,IF(01_因子設定!$B$13="最大化",X131-01_因子設定!$B$14,IF(01_因子設定!$B$13="最小化",01_因子設定!$B$15-Y131,MIN(X131-01_因子設定!$B$14,01_因子設定!$B$15-Y131))),-1E+030)</f>
        <v>0.518973475969503</v>
      </c>
      <c r="AB131" s="55" t="n">
        <f aca="false">IF(AA131&gt;=0,1,0)</f>
        <v>1</v>
      </c>
    </row>
    <row r="132" customFormat="false" ht="15" hidden="false" customHeight="false" outlineLevel="0" collapsed="false">
      <c r="A132" s="0" t="n">
        <v>4</v>
      </c>
      <c r="B132" s="0" t="n">
        <v>-0.8</v>
      </c>
      <c r="C132" s="57" t="n">
        <f aca="false">07_最適化!$B$6</f>
        <v>0.5</v>
      </c>
      <c r="D132" s="57" t="n">
        <f aca="false">07_最適化!$B$7</f>
        <v>0.5</v>
      </c>
      <c r="E132" s="57" t="n">
        <f aca="false">07_最適化!$B$8</f>
        <v>0.5</v>
      </c>
      <c r="F132" s="55" t="n">
        <f aca="false">B132</f>
        <v>-0.8</v>
      </c>
      <c r="G132" s="55" t="n">
        <f aca="false">1</f>
        <v>1</v>
      </c>
      <c r="H132" s="57" t="n">
        <f aca="false">C132</f>
        <v>0.5</v>
      </c>
      <c r="I132" s="57" t="n">
        <f aca="false">D132</f>
        <v>0.5</v>
      </c>
      <c r="J132" s="57" t="n">
        <f aca="false">E132</f>
        <v>0.5</v>
      </c>
      <c r="K132" s="55" t="n">
        <f aca="false">F132</f>
        <v>-0.8</v>
      </c>
      <c r="L132" s="55" t="n">
        <f aca="false">C132*D132</f>
        <v>0.25</v>
      </c>
      <c r="M132" s="55" t="n">
        <f aca="false">C132*E132</f>
        <v>0.25</v>
      </c>
      <c r="N132" s="55" t="n">
        <f aca="false">C132*F132</f>
        <v>-0.4</v>
      </c>
      <c r="O132" s="55" t="n">
        <f aca="false">D132*E132</f>
        <v>0.25</v>
      </c>
      <c r="P132" s="55" t="n">
        <f aca="false">D132*F132</f>
        <v>-0.4</v>
      </c>
      <c r="Q132" s="55" t="n">
        <f aca="false">E132*F132</f>
        <v>-0.4</v>
      </c>
      <c r="R132" s="55" t="n">
        <f aca="false">C132*C132</f>
        <v>0.25</v>
      </c>
      <c r="S132" s="55" t="n">
        <f aca="false">D132*D132</f>
        <v>0.25</v>
      </c>
      <c r="T132" s="55" t="n">
        <f aca="false">E132*E132</f>
        <v>0.25</v>
      </c>
      <c r="U132" s="55" t="n">
        <f aca="false">F132*F132</f>
        <v>0.64</v>
      </c>
      <c r="V132" s="55" t="n">
        <f aca="false">SUMPRODUCT(G132:U132,_XtX!$B$96:$P$96)</f>
        <v>48.5353779239766</v>
      </c>
      <c r="W132" s="55" t="n">
        <f aca="false">SUMPRODUCT(MMULT(G132:U132,_XtX!$B$78:$P$92),G132:U132)</f>
        <v>0.220497112573099</v>
      </c>
      <c r="X132" s="55" t="n">
        <f aca="false">V132-04_回帰ANOVA!$K$19*04_回帰ANOVA!$K$14*SQRT(1+W132)</f>
        <v>47.0953637366618</v>
      </c>
      <c r="Y132" s="55" t="n">
        <f aca="false">V132+04_回帰ANOVA!$K$19*04_回帰ANOVA!$K$14*SQRT(1+W132)</f>
        <v>49.9753921112913</v>
      </c>
      <c r="Z132" s="54" t="b">
        <f aca="false">AND(C132&gt;=01_因子設定!$L$5-0.000000001,C132&lt;=01_因子設定!$M$5+0.000000001,D132&gt;=01_因子設定!$L$6-0.000000001,D132&lt;=01_因子設定!$M$6+0.000000001,E132&gt;=01_因子設定!$L$7-0.000000001,E132&lt;=01_因子設定!$M$7+0.000000001,F132&gt;=01_因子設定!$L$8-0.000000001,F132&lt;=01_因子設定!$M$8+0.000000001,IF(01_因子設定!$B$20="Box-Behnken",C132^2+D132^2+E132^2+F132^2&lt;=2+0.000000001,TRUE()))</f>
        <v>1</v>
      </c>
      <c r="AA132" s="55" t="n">
        <f aca="false">IF(Z132,IF(01_因子設定!$B$13="最大化",X132-01_因子設定!$B$14,IF(01_因子設定!$B$13="最小化",01_因子設定!$B$15-Y132,MIN(X132-01_因子設定!$B$14,01_因子設定!$B$15-Y132))),-1E+030)</f>
        <v>0.595363736661838</v>
      </c>
      <c r="AB132" s="55" t="n">
        <f aca="false">IF(AA132&gt;=0,1,0)</f>
        <v>1</v>
      </c>
    </row>
    <row r="133" customFormat="false" ht="15" hidden="false" customHeight="false" outlineLevel="0" collapsed="false">
      <c r="A133" s="0" t="n">
        <v>4</v>
      </c>
      <c r="B133" s="0" t="n">
        <v>-0.75</v>
      </c>
      <c r="C133" s="57" t="n">
        <f aca="false">07_最適化!$B$6</f>
        <v>0.5</v>
      </c>
      <c r="D133" s="57" t="n">
        <f aca="false">07_最適化!$B$7</f>
        <v>0.5</v>
      </c>
      <c r="E133" s="57" t="n">
        <f aca="false">07_最適化!$B$8</f>
        <v>0.5</v>
      </c>
      <c r="F133" s="55" t="n">
        <f aca="false">B133</f>
        <v>-0.75</v>
      </c>
      <c r="G133" s="55" t="n">
        <f aca="false">1</f>
        <v>1</v>
      </c>
      <c r="H133" s="57" t="n">
        <f aca="false">C133</f>
        <v>0.5</v>
      </c>
      <c r="I133" s="57" t="n">
        <f aca="false">D133</f>
        <v>0.5</v>
      </c>
      <c r="J133" s="57" t="n">
        <f aca="false">E133</f>
        <v>0.5</v>
      </c>
      <c r="K133" s="55" t="n">
        <f aca="false">F133</f>
        <v>-0.75</v>
      </c>
      <c r="L133" s="55" t="n">
        <f aca="false">C133*D133</f>
        <v>0.25</v>
      </c>
      <c r="M133" s="55" t="n">
        <f aca="false">C133*E133</f>
        <v>0.25</v>
      </c>
      <c r="N133" s="55" t="n">
        <f aca="false">C133*F133</f>
        <v>-0.375</v>
      </c>
      <c r="O133" s="55" t="n">
        <f aca="false">D133*E133</f>
        <v>0.25</v>
      </c>
      <c r="P133" s="55" t="n">
        <f aca="false">D133*F133</f>
        <v>-0.375</v>
      </c>
      <c r="Q133" s="55" t="n">
        <f aca="false">E133*F133</f>
        <v>-0.375</v>
      </c>
      <c r="R133" s="55" t="n">
        <f aca="false">C133*C133</f>
        <v>0.25</v>
      </c>
      <c r="S133" s="55" t="n">
        <f aca="false">D133*D133</f>
        <v>0.25</v>
      </c>
      <c r="T133" s="55" t="n">
        <f aca="false">E133*E133</f>
        <v>0.25</v>
      </c>
      <c r="U133" s="55" t="n">
        <f aca="false">F133*F133</f>
        <v>0.5625</v>
      </c>
      <c r="V133" s="55" t="n">
        <f aca="false">SUMPRODUCT(G133:U133,_XtX!$B$96:$P$96)</f>
        <v>48.5902960526316</v>
      </c>
      <c r="W133" s="55" t="n">
        <f aca="false">SUMPRODUCT(MMULT(G133:U133,_XtX!$B$78:$P$92),G133:U133)</f>
        <v>0.193924753289474</v>
      </c>
      <c r="X133" s="55" t="n">
        <f aca="false">V133-04_回帰ANOVA!$K$19*04_回帰ANOVA!$K$14*SQRT(1+W133)</f>
        <v>47.16604394464</v>
      </c>
      <c r="Y133" s="55" t="n">
        <f aca="false">V133+04_回帰ANOVA!$K$19*04_回帰ANOVA!$K$14*SQRT(1+W133)</f>
        <v>50.0145481606232</v>
      </c>
      <c r="Z133" s="54" t="b">
        <f aca="false">AND(C133&gt;=01_因子設定!$L$5-0.000000001,C133&lt;=01_因子設定!$M$5+0.000000001,D133&gt;=01_因子設定!$L$6-0.000000001,D133&lt;=01_因子設定!$M$6+0.000000001,E133&gt;=01_因子設定!$L$7-0.000000001,E133&lt;=01_因子設定!$M$7+0.000000001,F133&gt;=01_因子設定!$L$8-0.000000001,F133&lt;=01_因子設定!$M$8+0.000000001,IF(01_因子設定!$B$20="Box-Behnken",C133^2+D133^2+E133^2+F133^2&lt;=2+0.000000001,TRUE()))</f>
        <v>1</v>
      </c>
      <c r="AA133" s="55" t="n">
        <f aca="false">IF(Z133,IF(01_因子設定!$B$13="最大化",X133-01_因子設定!$B$14,IF(01_因子設定!$B$13="最小化",01_因子設定!$B$15-Y133,MIN(X133-01_因子設定!$B$14,01_因子設定!$B$15-Y133))),-1E+030)</f>
        <v>0.666043944639959</v>
      </c>
      <c r="AB133" s="55" t="n">
        <f aca="false">IF(AA133&gt;=0,1,0)</f>
        <v>1</v>
      </c>
    </row>
    <row r="134" customFormat="false" ht="15" hidden="false" customHeight="false" outlineLevel="0" collapsed="false">
      <c r="A134" s="0" t="n">
        <v>4</v>
      </c>
      <c r="B134" s="0" t="n">
        <v>-0.7</v>
      </c>
      <c r="C134" s="57" t="n">
        <f aca="false">07_最適化!$B$6</f>
        <v>0.5</v>
      </c>
      <c r="D134" s="57" t="n">
        <f aca="false">07_最適化!$B$7</f>
        <v>0.5</v>
      </c>
      <c r="E134" s="57" t="n">
        <f aca="false">07_最適化!$B$8</f>
        <v>0.5</v>
      </c>
      <c r="F134" s="55" t="n">
        <f aca="false">B134</f>
        <v>-0.7</v>
      </c>
      <c r="G134" s="55" t="n">
        <f aca="false">1</f>
        <v>1</v>
      </c>
      <c r="H134" s="57" t="n">
        <f aca="false">C134</f>
        <v>0.5</v>
      </c>
      <c r="I134" s="57" t="n">
        <f aca="false">D134</f>
        <v>0.5</v>
      </c>
      <c r="J134" s="57" t="n">
        <f aca="false">E134</f>
        <v>0.5</v>
      </c>
      <c r="K134" s="55" t="n">
        <f aca="false">F134</f>
        <v>-0.7</v>
      </c>
      <c r="L134" s="55" t="n">
        <f aca="false">C134*D134</f>
        <v>0.25</v>
      </c>
      <c r="M134" s="55" t="n">
        <f aca="false">C134*E134</f>
        <v>0.25</v>
      </c>
      <c r="N134" s="55" t="n">
        <f aca="false">C134*F134</f>
        <v>-0.35</v>
      </c>
      <c r="O134" s="55" t="n">
        <f aca="false">D134*E134</f>
        <v>0.25</v>
      </c>
      <c r="P134" s="55" t="n">
        <f aca="false">D134*F134</f>
        <v>-0.35</v>
      </c>
      <c r="Q134" s="55" t="n">
        <f aca="false">E134*F134</f>
        <v>-0.35</v>
      </c>
      <c r="R134" s="55" t="n">
        <f aca="false">C134*C134</f>
        <v>0.25</v>
      </c>
      <c r="S134" s="55" t="n">
        <f aca="false">D134*D134</f>
        <v>0.25</v>
      </c>
      <c r="T134" s="55" t="n">
        <f aca="false">E134*E134</f>
        <v>0.25</v>
      </c>
      <c r="U134" s="55" t="n">
        <f aca="false">F134*F134</f>
        <v>0.49</v>
      </c>
      <c r="V134" s="55" t="n">
        <f aca="false">SUMPRODUCT(G134:U134,_XtX!$B$96:$P$96)</f>
        <v>48.6433019005848</v>
      </c>
      <c r="W134" s="55" t="n">
        <f aca="false">SUMPRODUCT(MMULT(G134:U134,_XtX!$B$78:$P$92),G134:U134)</f>
        <v>0.173264108187135</v>
      </c>
      <c r="X134" s="55" t="n">
        <f aca="false">V134-04_回帰ANOVA!$K$19*04_回帰ANOVA!$K$14*SQRT(1+W134)</f>
        <v>47.231426780134</v>
      </c>
      <c r="Y134" s="55" t="n">
        <f aca="false">V134+04_回帰ANOVA!$K$19*04_回帰ANOVA!$K$14*SQRT(1+W134)</f>
        <v>50.0551770210356</v>
      </c>
      <c r="Z134" s="54" t="b">
        <f aca="false">AND(C134&gt;=01_因子設定!$L$5-0.000000001,C134&lt;=01_因子設定!$M$5+0.000000001,D134&gt;=01_因子設定!$L$6-0.000000001,D134&lt;=01_因子設定!$M$6+0.000000001,E134&gt;=01_因子設定!$L$7-0.000000001,E134&lt;=01_因子設定!$M$7+0.000000001,F134&gt;=01_因子設定!$L$8-0.000000001,F134&lt;=01_因子設定!$M$8+0.000000001,IF(01_因子設定!$B$20="Box-Behnken",C134^2+D134^2+E134^2+F134^2&lt;=2+0.000000001,TRUE()))</f>
        <v>1</v>
      </c>
      <c r="AA134" s="55" t="n">
        <f aca="false">IF(Z134,IF(01_因子設定!$B$13="最大化",X134-01_因子設定!$B$14,IF(01_因子設定!$B$13="最小化",01_因子設定!$B$15-Y134,MIN(X134-01_因子設定!$B$14,01_因子設定!$B$15-Y134))),-1E+030)</f>
        <v>0.731426780133994</v>
      </c>
      <c r="AB134" s="55" t="n">
        <f aca="false">IF(AA134&gt;=0,1,0)</f>
        <v>1</v>
      </c>
    </row>
    <row r="135" customFormat="false" ht="15" hidden="false" customHeight="false" outlineLevel="0" collapsed="false">
      <c r="A135" s="0" t="n">
        <v>4</v>
      </c>
      <c r="B135" s="0" t="n">
        <v>-0.65</v>
      </c>
      <c r="C135" s="57" t="n">
        <f aca="false">07_最適化!$B$6</f>
        <v>0.5</v>
      </c>
      <c r="D135" s="57" t="n">
        <f aca="false">07_最適化!$B$7</f>
        <v>0.5</v>
      </c>
      <c r="E135" s="57" t="n">
        <f aca="false">07_最適化!$B$8</f>
        <v>0.5</v>
      </c>
      <c r="F135" s="55" t="n">
        <f aca="false">B135</f>
        <v>-0.65</v>
      </c>
      <c r="G135" s="55" t="n">
        <f aca="false">1</f>
        <v>1</v>
      </c>
      <c r="H135" s="57" t="n">
        <f aca="false">C135</f>
        <v>0.5</v>
      </c>
      <c r="I135" s="57" t="n">
        <f aca="false">D135</f>
        <v>0.5</v>
      </c>
      <c r="J135" s="57" t="n">
        <f aca="false">E135</f>
        <v>0.5</v>
      </c>
      <c r="K135" s="55" t="n">
        <f aca="false">F135</f>
        <v>-0.65</v>
      </c>
      <c r="L135" s="55" t="n">
        <f aca="false">C135*D135</f>
        <v>0.25</v>
      </c>
      <c r="M135" s="55" t="n">
        <f aca="false">C135*E135</f>
        <v>0.25</v>
      </c>
      <c r="N135" s="55" t="n">
        <f aca="false">C135*F135</f>
        <v>-0.325</v>
      </c>
      <c r="O135" s="55" t="n">
        <f aca="false">D135*E135</f>
        <v>0.25</v>
      </c>
      <c r="P135" s="55" t="n">
        <f aca="false">D135*F135</f>
        <v>-0.325</v>
      </c>
      <c r="Q135" s="55" t="n">
        <f aca="false">E135*F135</f>
        <v>-0.325</v>
      </c>
      <c r="R135" s="55" t="n">
        <f aca="false">C135*C135</f>
        <v>0.25</v>
      </c>
      <c r="S135" s="55" t="n">
        <f aca="false">D135*D135</f>
        <v>0.25</v>
      </c>
      <c r="T135" s="55" t="n">
        <f aca="false">E135*E135</f>
        <v>0.25</v>
      </c>
      <c r="U135" s="55" t="n">
        <f aca="false">F135*F135</f>
        <v>0.4225</v>
      </c>
      <c r="V135" s="55" t="n">
        <f aca="false">SUMPRODUCT(G135:U135,_XtX!$B$96:$P$96)</f>
        <v>48.6943954678362</v>
      </c>
      <c r="W135" s="55" t="n">
        <f aca="false">SUMPRODUCT(MMULT(G135:U135,_XtX!$B$78:$P$92),G135:U135)</f>
        <v>0.157675703581871</v>
      </c>
      <c r="X135" s="55" t="n">
        <f aca="false">V135-04_回帰ANOVA!$K$19*04_回帰ANOVA!$K$14*SQRT(1+W135)</f>
        <v>47.2919310481168</v>
      </c>
      <c r="Y135" s="55" t="n">
        <f aca="false">V135+04_回帰ANOVA!$K$19*04_回帰ANOVA!$K$14*SQRT(1+W135)</f>
        <v>50.0968598875557</v>
      </c>
      <c r="Z135" s="54" t="b">
        <f aca="false">AND(C135&gt;=01_因子設定!$L$5-0.000000001,C135&lt;=01_因子設定!$M$5+0.000000001,D135&gt;=01_因子設定!$L$6-0.000000001,D135&lt;=01_因子設定!$M$6+0.000000001,E135&gt;=01_因子設定!$L$7-0.000000001,E135&lt;=01_因子設定!$M$7+0.000000001,F135&gt;=01_因子設定!$L$8-0.000000001,F135&lt;=01_因子設定!$M$8+0.000000001,IF(01_因子設定!$B$20="Box-Behnken",C135^2+D135^2+E135^2+F135^2&lt;=2+0.000000001,TRUE()))</f>
        <v>1</v>
      </c>
      <c r="AA135" s="55" t="n">
        <f aca="false">IF(Z135,IF(01_因子設定!$B$13="最大化",X135-01_因子設定!$B$14,IF(01_因子設定!$B$13="最小化",01_因子設定!$B$15-Y135,MIN(X135-01_因子設定!$B$14,01_因子設定!$B$15-Y135))),-1E+030)</f>
        <v>0.791931048116808</v>
      </c>
      <c r="AB135" s="55" t="n">
        <f aca="false">IF(AA135&gt;=0,1,0)</f>
        <v>1</v>
      </c>
    </row>
    <row r="136" customFormat="false" ht="15" hidden="false" customHeight="false" outlineLevel="0" collapsed="false">
      <c r="A136" s="0" t="n">
        <v>4</v>
      </c>
      <c r="B136" s="0" t="n">
        <v>-0.6</v>
      </c>
      <c r="C136" s="57" t="n">
        <f aca="false">07_最適化!$B$6</f>
        <v>0.5</v>
      </c>
      <c r="D136" s="57" t="n">
        <f aca="false">07_最適化!$B$7</f>
        <v>0.5</v>
      </c>
      <c r="E136" s="57" t="n">
        <f aca="false">07_最適化!$B$8</f>
        <v>0.5</v>
      </c>
      <c r="F136" s="55" t="n">
        <f aca="false">B136</f>
        <v>-0.6</v>
      </c>
      <c r="G136" s="55" t="n">
        <f aca="false">1</f>
        <v>1</v>
      </c>
      <c r="H136" s="57" t="n">
        <f aca="false">C136</f>
        <v>0.5</v>
      </c>
      <c r="I136" s="57" t="n">
        <f aca="false">D136</f>
        <v>0.5</v>
      </c>
      <c r="J136" s="57" t="n">
        <f aca="false">E136</f>
        <v>0.5</v>
      </c>
      <c r="K136" s="55" t="n">
        <f aca="false">F136</f>
        <v>-0.6</v>
      </c>
      <c r="L136" s="55" t="n">
        <f aca="false">C136*D136</f>
        <v>0.25</v>
      </c>
      <c r="M136" s="55" t="n">
        <f aca="false">C136*E136</f>
        <v>0.25</v>
      </c>
      <c r="N136" s="55" t="n">
        <f aca="false">C136*F136</f>
        <v>-0.3</v>
      </c>
      <c r="O136" s="55" t="n">
        <f aca="false">D136*E136</f>
        <v>0.25</v>
      </c>
      <c r="P136" s="55" t="n">
        <f aca="false">D136*F136</f>
        <v>-0.3</v>
      </c>
      <c r="Q136" s="55" t="n">
        <f aca="false">E136*F136</f>
        <v>-0.3</v>
      </c>
      <c r="R136" s="55" t="n">
        <f aca="false">C136*C136</f>
        <v>0.25</v>
      </c>
      <c r="S136" s="55" t="n">
        <f aca="false">D136*D136</f>
        <v>0.25</v>
      </c>
      <c r="T136" s="55" t="n">
        <f aca="false">E136*E136</f>
        <v>0.25</v>
      </c>
      <c r="U136" s="55" t="n">
        <f aca="false">F136*F136</f>
        <v>0.36</v>
      </c>
      <c r="V136" s="55" t="n">
        <f aca="false">SUMPRODUCT(G136:U136,_XtX!$B$96:$P$96)</f>
        <v>48.7435767543859</v>
      </c>
      <c r="W136" s="55" t="n">
        <f aca="false">SUMPRODUCT(MMULT(G136:U136,_XtX!$B$78:$P$92),G136:U136)</f>
        <v>0.146377960526316</v>
      </c>
      <c r="X136" s="55" t="n">
        <f aca="false">V136-04_回帰ANOVA!$K$19*04_回帰ANOVA!$K$14*SQRT(1+W136)</f>
        <v>47.3479724291691</v>
      </c>
      <c r="Y136" s="55" t="n">
        <f aca="false">V136+04_回帰ANOVA!$K$19*04_回帰ANOVA!$K$14*SQRT(1+W136)</f>
        <v>50.1391810796028</v>
      </c>
      <c r="Z136" s="54" t="b">
        <f aca="false">AND(C136&gt;=01_因子設定!$L$5-0.000000001,C136&lt;=01_因子設定!$M$5+0.000000001,D136&gt;=01_因子設定!$L$6-0.000000001,D136&lt;=01_因子設定!$M$6+0.000000001,E136&gt;=01_因子設定!$L$7-0.000000001,E136&lt;=01_因子設定!$M$7+0.000000001,F136&gt;=01_因子設定!$L$8-0.000000001,F136&lt;=01_因子設定!$M$8+0.000000001,IF(01_因子設定!$B$20="Box-Behnken",C136^2+D136^2+E136^2+F136^2&lt;=2+0.000000001,TRUE()))</f>
        <v>1</v>
      </c>
      <c r="AA136" s="55" t="n">
        <f aca="false">IF(Z136,IF(01_因子設定!$B$13="最大化",X136-01_因子設定!$B$14,IF(01_因子設定!$B$13="最小化",01_因子設定!$B$15-Y136,MIN(X136-01_因子設定!$B$14,01_因子設定!$B$15-Y136))),-1E+030)</f>
        <v>0.847972429169083</v>
      </c>
      <c r="AB136" s="55" t="n">
        <f aca="false">IF(AA136&gt;=0,1,0)</f>
        <v>1</v>
      </c>
    </row>
    <row r="137" customFormat="false" ht="15" hidden="false" customHeight="false" outlineLevel="0" collapsed="false">
      <c r="A137" s="0" t="n">
        <v>4</v>
      </c>
      <c r="B137" s="0" t="n">
        <v>-0.55</v>
      </c>
      <c r="C137" s="57" t="n">
        <f aca="false">07_最適化!$B$6</f>
        <v>0.5</v>
      </c>
      <c r="D137" s="57" t="n">
        <f aca="false">07_最適化!$B$7</f>
        <v>0.5</v>
      </c>
      <c r="E137" s="57" t="n">
        <f aca="false">07_最適化!$B$8</f>
        <v>0.5</v>
      </c>
      <c r="F137" s="55" t="n">
        <f aca="false">B137</f>
        <v>-0.55</v>
      </c>
      <c r="G137" s="55" t="n">
        <f aca="false">1</f>
        <v>1</v>
      </c>
      <c r="H137" s="57" t="n">
        <f aca="false">C137</f>
        <v>0.5</v>
      </c>
      <c r="I137" s="57" t="n">
        <f aca="false">D137</f>
        <v>0.5</v>
      </c>
      <c r="J137" s="57" t="n">
        <f aca="false">E137</f>
        <v>0.5</v>
      </c>
      <c r="K137" s="55" t="n">
        <f aca="false">F137</f>
        <v>-0.55</v>
      </c>
      <c r="L137" s="55" t="n">
        <f aca="false">C137*D137</f>
        <v>0.25</v>
      </c>
      <c r="M137" s="55" t="n">
        <f aca="false">C137*E137</f>
        <v>0.25</v>
      </c>
      <c r="N137" s="55" t="n">
        <f aca="false">C137*F137</f>
        <v>-0.275</v>
      </c>
      <c r="O137" s="55" t="n">
        <f aca="false">D137*E137</f>
        <v>0.25</v>
      </c>
      <c r="P137" s="55" t="n">
        <f aca="false">D137*F137</f>
        <v>-0.275</v>
      </c>
      <c r="Q137" s="55" t="n">
        <f aca="false">E137*F137</f>
        <v>-0.275</v>
      </c>
      <c r="R137" s="55" t="n">
        <f aca="false">C137*C137</f>
        <v>0.25</v>
      </c>
      <c r="S137" s="55" t="n">
        <f aca="false">D137*D137</f>
        <v>0.25</v>
      </c>
      <c r="T137" s="55" t="n">
        <f aca="false">E137*E137</f>
        <v>0.25</v>
      </c>
      <c r="U137" s="55" t="n">
        <f aca="false">F137*F137</f>
        <v>0.3025</v>
      </c>
      <c r="V137" s="55" t="n">
        <f aca="false">SUMPRODUCT(G137:U137,_XtX!$B$96:$P$96)</f>
        <v>48.7908457602339</v>
      </c>
      <c r="W137" s="55" t="n">
        <f aca="false">SUMPRODUCT(MMULT(G137:U137,_XtX!$B$78:$P$92),G137:U137)</f>
        <v>0.138647194809942</v>
      </c>
      <c r="X137" s="55" t="n">
        <f aca="false">V137-04_回帰ANOVA!$K$19*04_回帰ANOVA!$K$14*SQRT(1+W137)</f>
        <v>47.3999551252144</v>
      </c>
      <c r="Y137" s="55" t="n">
        <f aca="false">V137+04_回帰ANOVA!$K$19*04_回帰ANOVA!$K$14*SQRT(1+W137)</f>
        <v>50.1817363952534</v>
      </c>
      <c r="Z137" s="54" t="b">
        <f aca="false">AND(C137&gt;=01_因子設定!$L$5-0.000000001,C137&lt;=01_因子設定!$M$5+0.000000001,D137&gt;=01_因子設定!$L$6-0.000000001,D137&lt;=01_因子設定!$M$6+0.000000001,E137&gt;=01_因子設定!$L$7-0.000000001,E137&lt;=01_因子設定!$M$7+0.000000001,F137&gt;=01_因子設定!$L$8-0.000000001,F137&lt;=01_因子設定!$M$8+0.000000001,IF(01_因子設定!$B$20="Box-Behnken",C137^2+D137^2+E137^2+F137^2&lt;=2+0.000000001,TRUE()))</f>
        <v>1</v>
      </c>
      <c r="AA137" s="55" t="n">
        <f aca="false">IF(Z137,IF(01_因子設定!$B$13="最大化",X137-01_因子設定!$B$14,IF(01_因子設定!$B$13="最小化",01_因子設定!$B$15-Y137,MIN(X137-01_因子設定!$B$14,01_因子設定!$B$15-Y137))),-1E+030)</f>
        <v>0.899955125214383</v>
      </c>
      <c r="AB137" s="55" t="n">
        <f aca="false">IF(AA137&gt;=0,1,0)</f>
        <v>1</v>
      </c>
    </row>
    <row r="138" customFormat="false" ht="15" hidden="false" customHeight="false" outlineLevel="0" collapsed="false">
      <c r="A138" s="0" t="n">
        <v>4</v>
      </c>
      <c r="B138" s="0" t="n">
        <v>-0.5</v>
      </c>
      <c r="C138" s="57" t="n">
        <f aca="false">07_最適化!$B$6</f>
        <v>0.5</v>
      </c>
      <c r="D138" s="57" t="n">
        <f aca="false">07_最適化!$B$7</f>
        <v>0.5</v>
      </c>
      <c r="E138" s="57" t="n">
        <f aca="false">07_最適化!$B$8</f>
        <v>0.5</v>
      </c>
      <c r="F138" s="55" t="n">
        <f aca="false">B138</f>
        <v>-0.5</v>
      </c>
      <c r="G138" s="55" t="n">
        <f aca="false">1</f>
        <v>1</v>
      </c>
      <c r="H138" s="57" t="n">
        <f aca="false">C138</f>
        <v>0.5</v>
      </c>
      <c r="I138" s="57" t="n">
        <f aca="false">D138</f>
        <v>0.5</v>
      </c>
      <c r="J138" s="57" t="n">
        <f aca="false">E138</f>
        <v>0.5</v>
      </c>
      <c r="K138" s="55" t="n">
        <f aca="false">F138</f>
        <v>-0.5</v>
      </c>
      <c r="L138" s="55" t="n">
        <f aca="false">C138*D138</f>
        <v>0.25</v>
      </c>
      <c r="M138" s="55" t="n">
        <f aca="false">C138*E138</f>
        <v>0.25</v>
      </c>
      <c r="N138" s="55" t="n">
        <f aca="false">C138*F138</f>
        <v>-0.25</v>
      </c>
      <c r="O138" s="55" t="n">
        <f aca="false">D138*E138</f>
        <v>0.25</v>
      </c>
      <c r="P138" s="55" t="n">
        <f aca="false">D138*F138</f>
        <v>-0.25</v>
      </c>
      <c r="Q138" s="55" t="n">
        <f aca="false">E138*F138</f>
        <v>-0.25</v>
      </c>
      <c r="R138" s="55" t="n">
        <f aca="false">C138*C138</f>
        <v>0.25</v>
      </c>
      <c r="S138" s="55" t="n">
        <f aca="false">D138*D138</f>
        <v>0.25</v>
      </c>
      <c r="T138" s="55" t="n">
        <f aca="false">E138*E138</f>
        <v>0.25</v>
      </c>
      <c r="U138" s="55" t="n">
        <f aca="false">F138*F138</f>
        <v>0.25</v>
      </c>
      <c r="V138" s="55" t="n">
        <f aca="false">SUMPRODUCT(G138:U138,_XtX!$B$96:$P$96)</f>
        <v>48.8362024853801</v>
      </c>
      <c r="W138" s="55" t="n">
        <f aca="false">SUMPRODUCT(MMULT(G138:U138,_XtX!$B$78:$P$92),G138:U138)</f>
        <v>0.133817616959064</v>
      </c>
      <c r="X138" s="55" t="n">
        <f aca="false">V138-04_回帰ANOVA!$K$19*04_回帰ANOVA!$K$14*SQRT(1+W138)</f>
        <v>47.4482647196812</v>
      </c>
      <c r="Y138" s="55" t="n">
        <f aca="false">V138+04_回帰ANOVA!$K$19*04_回帰ANOVA!$K$14*SQRT(1+W138)</f>
        <v>50.224140251079</v>
      </c>
      <c r="Z138" s="54" t="b">
        <f aca="false">AND(C138&gt;=01_因子設定!$L$5-0.000000001,C138&lt;=01_因子設定!$M$5+0.000000001,D138&gt;=01_因子設定!$L$6-0.000000001,D138&lt;=01_因子設定!$M$6+0.000000001,E138&gt;=01_因子設定!$L$7-0.000000001,E138&lt;=01_因子設定!$M$7+0.000000001,F138&gt;=01_因子設定!$L$8-0.000000001,F138&lt;=01_因子設定!$M$8+0.000000001,IF(01_因子設定!$B$20="Box-Behnken",C138^2+D138^2+E138^2+F138^2&lt;=2+0.000000001,TRUE()))</f>
        <v>1</v>
      </c>
      <c r="AA138" s="55" t="n">
        <f aca="false">IF(Z138,IF(01_因子設定!$B$13="最大化",X138-01_因子設定!$B$14,IF(01_因子設定!$B$13="最小化",01_因子設定!$B$15-Y138,MIN(X138-01_因子設定!$B$14,01_因子設定!$B$15-Y138))),-1E+030)</f>
        <v>0.94826471968122</v>
      </c>
      <c r="AB138" s="55" t="n">
        <f aca="false">IF(AA138&gt;=0,1,0)</f>
        <v>1</v>
      </c>
    </row>
    <row r="139" customFormat="false" ht="15" hidden="false" customHeight="false" outlineLevel="0" collapsed="false">
      <c r="A139" s="0" t="n">
        <v>4</v>
      </c>
      <c r="B139" s="0" t="n">
        <v>-0.45</v>
      </c>
      <c r="C139" s="57" t="n">
        <f aca="false">07_最適化!$B$6</f>
        <v>0.5</v>
      </c>
      <c r="D139" s="57" t="n">
        <f aca="false">07_最適化!$B$7</f>
        <v>0.5</v>
      </c>
      <c r="E139" s="57" t="n">
        <f aca="false">07_最適化!$B$8</f>
        <v>0.5</v>
      </c>
      <c r="F139" s="55" t="n">
        <f aca="false">B139</f>
        <v>-0.45</v>
      </c>
      <c r="G139" s="55" t="n">
        <f aca="false">1</f>
        <v>1</v>
      </c>
      <c r="H139" s="57" t="n">
        <f aca="false">C139</f>
        <v>0.5</v>
      </c>
      <c r="I139" s="57" t="n">
        <f aca="false">D139</f>
        <v>0.5</v>
      </c>
      <c r="J139" s="57" t="n">
        <f aca="false">E139</f>
        <v>0.5</v>
      </c>
      <c r="K139" s="55" t="n">
        <f aca="false">F139</f>
        <v>-0.45</v>
      </c>
      <c r="L139" s="55" t="n">
        <f aca="false">C139*D139</f>
        <v>0.25</v>
      </c>
      <c r="M139" s="55" t="n">
        <f aca="false">C139*E139</f>
        <v>0.25</v>
      </c>
      <c r="N139" s="55" t="n">
        <f aca="false">C139*F139</f>
        <v>-0.225</v>
      </c>
      <c r="O139" s="55" t="n">
        <f aca="false">D139*E139</f>
        <v>0.25</v>
      </c>
      <c r="P139" s="55" t="n">
        <f aca="false">D139*F139</f>
        <v>-0.225</v>
      </c>
      <c r="Q139" s="55" t="n">
        <f aca="false">E139*F139</f>
        <v>-0.225</v>
      </c>
      <c r="R139" s="55" t="n">
        <f aca="false">C139*C139</f>
        <v>0.25</v>
      </c>
      <c r="S139" s="55" t="n">
        <f aca="false">D139*D139</f>
        <v>0.25</v>
      </c>
      <c r="T139" s="55" t="n">
        <f aca="false">E139*E139</f>
        <v>0.25</v>
      </c>
      <c r="U139" s="55" t="n">
        <f aca="false">F139*F139</f>
        <v>0.2025</v>
      </c>
      <c r="V139" s="55" t="n">
        <f aca="false">SUMPRODUCT(G139:U139,_XtX!$B$96:$P$96)</f>
        <v>48.8796469298245</v>
      </c>
      <c r="W139" s="55" t="n">
        <f aca="false">SUMPRODUCT(MMULT(G139:U139,_XtX!$B$78:$P$92),G139:U139)</f>
        <v>0.131281332236842</v>
      </c>
      <c r="X139" s="55" t="n">
        <f aca="false">V139-04_回帰ANOVA!$K$19*04_回帰ANOVA!$K$14*SQRT(1+W139)</f>
        <v>47.4932624016689</v>
      </c>
      <c r="Y139" s="55" t="n">
        <f aca="false">V139+04_回帰ANOVA!$K$19*04_回帰ANOVA!$K$14*SQRT(1+W139)</f>
        <v>50.2660314579802</v>
      </c>
      <c r="Z139" s="54" t="b">
        <f aca="false">AND(C139&gt;=01_因子設定!$L$5-0.000000001,C139&lt;=01_因子設定!$M$5+0.000000001,D139&gt;=01_因子設定!$L$6-0.000000001,D139&lt;=01_因子設定!$M$6+0.000000001,E139&gt;=01_因子設定!$L$7-0.000000001,E139&lt;=01_因子設定!$M$7+0.000000001,F139&gt;=01_因子設定!$L$8-0.000000001,F139&lt;=01_因子設定!$M$8+0.000000001,IF(01_因子設定!$B$20="Box-Behnken",C139^2+D139^2+E139^2+F139^2&lt;=2+0.000000001,TRUE()))</f>
        <v>1</v>
      </c>
      <c r="AA139" s="55" t="n">
        <f aca="false">IF(Z139,IF(01_因子設定!$B$13="最大化",X139-01_因子設定!$B$14,IF(01_因子設定!$B$13="最小化",01_因子設定!$B$15-Y139,MIN(X139-01_因子設定!$B$14,01_因子設定!$B$15-Y139))),-1E+030)</f>
        <v>0.993262401668872</v>
      </c>
      <c r="AB139" s="55" t="n">
        <f aca="false">IF(AA139&gt;=0,1,0)</f>
        <v>1</v>
      </c>
    </row>
    <row r="140" customFormat="false" ht="15" hidden="false" customHeight="false" outlineLevel="0" collapsed="false">
      <c r="A140" s="0" t="n">
        <v>4</v>
      </c>
      <c r="B140" s="0" t="n">
        <v>-0.4</v>
      </c>
      <c r="C140" s="57" t="n">
        <f aca="false">07_最適化!$B$6</f>
        <v>0.5</v>
      </c>
      <c r="D140" s="57" t="n">
        <f aca="false">07_最適化!$B$7</f>
        <v>0.5</v>
      </c>
      <c r="E140" s="57" t="n">
        <f aca="false">07_最適化!$B$8</f>
        <v>0.5</v>
      </c>
      <c r="F140" s="55" t="n">
        <f aca="false">B140</f>
        <v>-0.4</v>
      </c>
      <c r="G140" s="55" t="n">
        <f aca="false">1</f>
        <v>1</v>
      </c>
      <c r="H140" s="57" t="n">
        <f aca="false">C140</f>
        <v>0.5</v>
      </c>
      <c r="I140" s="57" t="n">
        <f aca="false">D140</f>
        <v>0.5</v>
      </c>
      <c r="J140" s="57" t="n">
        <f aca="false">E140</f>
        <v>0.5</v>
      </c>
      <c r="K140" s="55" t="n">
        <f aca="false">F140</f>
        <v>-0.4</v>
      </c>
      <c r="L140" s="55" t="n">
        <f aca="false">C140*D140</f>
        <v>0.25</v>
      </c>
      <c r="M140" s="55" t="n">
        <f aca="false">C140*E140</f>
        <v>0.25</v>
      </c>
      <c r="N140" s="55" t="n">
        <f aca="false">C140*F140</f>
        <v>-0.2</v>
      </c>
      <c r="O140" s="55" t="n">
        <f aca="false">D140*E140</f>
        <v>0.25</v>
      </c>
      <c r="P140" s="55" t="n">
        <f aca="false">D140*F140</f>
        <v>-0.2</v>
      </c>
      <c r="Q140" s="55" t="n">
        <f aca="false">E140*F140</f>
        <v>-0.2</v>
      </c>
      <c r="R140" s="55" t="n">
        <f aca="false">C140*C140</f>
        <v>0.25</v>
      </c>
      <c r="S140" s="55" t="n">
        <f aca="false">D140*D140</f>
        <v>0.25</v>
      </c>
      <c r="T140" s="55" t="n">
        <f aca="false">E140*E140</f>
        <v>0.25</v>
      </c>
      <c r="U140" s="55" t="n">
        <f aca="false">F140*F140</f>
        <v>0.16</v>
      </c>
      <c r="V140" s="55" t="n">
        <f aca="false">SUMPRODUCT(G140:U140,_XtX!$B$96:$P$96)</f>
        <v>48.9211790935672</v>
      </c>
      <c r="W140" s="55" t="n">
        <f aca="false">SUMPRODUCT(MMULT(G140:U140,_XtX!$B$78:$P$92),G140:U140)</f>
        <v>0.130488340643275</v>
      </c>
      <c r="X140" s="55" t="n">
        <f aca="false">V140-04_回帰ANOVA!$K$19*04_回帰ANOVA!$K$14*SQRT(1+W140)</f>
        <v>47.5352805559304</v>
      </c>
      <c r="Y140" s="55" t="n">
        <f aca="false">V140+04_回帰ANOVA!$K$19*04_回帰ANOVA!$K$14*SQRT(1+W140)</f>
        <v>50.307077631204</v>
      </c>
      <c r="Z140" s="54" t="b">
        <f aca="false">AND(C140&gt;=01_因子設定!$L$5-0.000000001,C140&lt;=01_因子設定!$M$5+0.000000001,D140&gt;=01_因子設定!$L$6-0.000000001,D140&lt;=01_因子設定!$M$6+0.000000001,E140&gt;=01_因子設定!$L$7-0.000000001,E140&lt;=01_因子設定!$M$7+0.000000001,F140&gt;=01_因子設定!$L$8-0.000000001,F140&lt;=01_因子設定!$M$8+0.000000001,IF(01_因子設定!$B$20="Box-Behnken",C140^2+D140^2+E140^2+F140^2&lt;=2+0.000000001,TRUE()))</f>
        <v>1</v>
      </c>
      <c r="AA140" s="55" t="n">
        <f aca="false">IF(Z140,IF(01_因子設定!$B$13="最大化",X140-01_因子設定!$B$14,IF(01_因子設定!$B$13="最小化",01_因子設定!$B$15-Y140,MIN(X140-01_因子設定!$B$14,01_因子設定!$B$15-Y140))),-1E+030)</f>
        <v>1.03528055593041</v>
      </c>
      <c r="AB140" s="55" t="n">
        <f aca="false">IF(AA140&gt;=0,1,0)</f>
        <v>1</v>
      </c>
    </row>
    <row r="141" customFormat="false" ht="15" hidden="false" customHeight="false" outlineLevel="0" collapsed="false">
      <c r="A141" s="0" t="n">
        <v>4</v>
      </c>
      <c r="B141" s="0" t="n">
        <v>-0.35</v>
      </c>
      <c r="C141" s="57" t="n">
        <f aca="false">07_最適化!$B$6</f>
        <v>0.5</v>
      </c>
      <c r="D141" s="57" t="n">
        <f aca="false">07_最適化!$B$7</f>
        <v>0.5</v>
      </c>
      <c r="E141" s="57" t="n">
        <f aca="false">07_最適化!$B$8</f>
        <v>0.5</v>
      </c>
      <c r="F141" s="55" t="n">
        <f aca="false">B141</f>
        <v>-0.35</v>
      </c>
      <c r="G141" s="55" t="n">
        <f aca="false">1</f>
        <v>1</v>
      </c>
      <c r="H141" s="57" t="n">
        <f aca="false">C141</f>
        <v>0.5</v>
      </c>
      <c r="I141" s="57" t="n">
        <f aca="false">D141</f>
        <v>0.5</v>
      </c>
      <c r="J141" s="57" t="n">
        <f aca="false">E141</f>
        <v>0.5</v>
      </c>
      <c r="K141" s="55" t="n">
        <f aca="false">F141</f>
        <v>-0.35</v>
      </c>
      <c r="L141" s="55" t="n">
        <f aca="false">C141*D141</f>
        <v>0.25</v>
      </c>
      <c r="M141" s="55" t="n">
        <f aca="false">C141*E141</f>
        <v>0.25</v>
      </c>
      <c r="N141" s="55" t="n">
        <f aca="false">C141*F141</f>
        <v>-0.175</v>
      </c>
      <c r="O141" s="55" t="n">
        <f aca="false">D141*E141</f>
        <v>0.25</v>
      </c>
      <c r="P141" s="55" t="n">
        <f aca="false">D141*F141</f>
        <v>-0.175</v>
      </c>
      <c r="Q141" s="55" t="n">
        <f aca="false">E141*F141</f>
        <v>-0.175</v>
      </c>
      <c r="R141" s="55" t="n">
        <f aca="false">C141*C141</f>
        <v>0.25</v>
      </c>
      <c r="S141" s="55" t="n">
        <f aca="false">D141*D141</f>
        <v>0.25</v>
      </c>
      <c r="T141" s="55" t="n">
        <f aca="false">E141*E141</f>
        <v>0.25</v>
      </c>
      <c r="U141" s="55" t="n">
        <f aca="false">F141*F141</f>
        <v>0.1225</v>
      </c>
      <c r="V141" s="55" t="n">
        <f aca="false">SUMPRODUCT(G141:U141,_XtX!$B$96:$P$96)</f>
        <v>48.9607989766081</v>
      </c>
      <c r="W141" s="55" t="n">
        <f aca="false">SUMPRODUCT(MMULT(G141:U141,_XtX!$B$78:$P$92),G141:U141)</f>
        <v>0.130946536915205</v>
      </c>
      <c r="X141" s="55" t="n">
        <f aca="false">V141-04_回帰ANOVA!$K$19*04_回帰ANOVA!$K$14*SQRT(1+W141)</f>
        <v>47.5746196093558</v>
      </c>
      <c r="Y141" s="55" t="n">
        <f aca="false">V141+04_回帰ANOVA!$K$19*04_回帰ANOVA!$K$14*SQRT(1+W141)</f>
        <v>50.3469783438605</v>
      </c>
      <c r="Z141" s="54" t="b">
        <f aca="false">AND(C141&gt;=01_因子設定!$L$5-0.000000001,C141&lt;=01_因子設定!$M$5+0.000000001,D141&gt;=01_因子設定!$L$6-0.000000001,D141&lt;=01_因子設定!$M$6+0.000000001,E141&gt;=01_因子設定!$L$7-0.000000001,E141&lt;=01_因子設定!$M$7+0.000000001,F141&gt;=01_因子設定!$L$8-0.000000001,F141&lt;=01_因子設定!$M$8+0.000000001,IF(01_因子設定!$B$20="Box-Behnken",C141^2+D141^2+E141^2+F141^2&lt;=2+0.000000001,TRUE()))</f>
        <v>1</v>
      </c>
      <c r="AA141" s="55" t="n">
        <f aca="false">IF(Z141,IF(01_因子設定!$B$13="最大化",X141-01_因子設定!$B$14,IF(01_因子設定!$B$13="最小化",01_因子設定!$B$15-Y141,MIN(X141-01_因子設定!$B$14,01_因子設定!$B$15-Y141))),-1E+030)</f>
        <v>1.07461960935579</v>
      </c>
      <c r="AB141" s="55" t="n">
        <f aca="false">IF(AA141&gt;=0,1,0)</f>
        <v>1</v>
      </c>
    </row>
    <row r="142" customFormat="false" ht="15" hidden="false" customHeight="false" outlineLevel="0" collapsed="false">
      <c r="A142" s="0" t="n">
        <v>4</v>
      </c>
      <c r="B142" s="0" t="n">
        <v>-0.3</v>
      </c>
      <c r="C142" s="57" t="n">
        <f aca="false">07_最適化!$B$6</f>
        <v>0.5</v>
      </c>
      <c r="D142" s="57" t="n">
        <f aca="false">07_最適化!$B$7</f>
        <v>0.5</v>
      </c>
      <c r="E142" s="57" t="n">
        <f aca="false">07_最適化!$B$8</f>
        <v>0.5</v>
      </c>
      <c r="F142" s="55" t="n">
        <f aca="false">B142</f>
        <v>-0.3</v>
      </c>
      <c r="G142" s="55" t="n">
        <f aca="false">1</f>
        <v>1</v>
      </c>
      <c r="H142" s="57" t="n">
        <f aca="false">C142</f>
        <v>0.5</v>
      </c>
      <c r="I142" s="57" t="n">
        <f aca="false">D142</f>
        <v>0.5</v>
      </c>
      <c r="J142" s="57" t="n">
        <f aca="false">E142</f>
        <v>0.5</v>
      </c>
      <c r="K142" s="55" t="n">
        <f aca="false">F142</f>
        <v>-0.3</v>
      </c>
      <c r="L142" s="55" t="n">
        <f aca="false">C142*D142</f>
        <v>0.25</v>
      </c>
      <c r="M142" s="55" t="n">
        <f aca="false">C142*E142</f>
        <v>0.25</v>
      </c>
      <c r="N142" s="55" t="n">
        <f aca="false">C142*F142</f>
        <v>-0.15</v>
      </c>
      <c r="O142" s="55" t="n">
        <f aca="false">D142*E142</f>
        <v>0.25</v>
      </c>
      <c r="P142" s="55" t="n">
        <f aca="false">D142*F142</f>
        <v>-0.15</v>
      </c>
      <c r="Q142" s="55" t="n">
        <f aca="false">E142*F142</f>
        <v>-0.15</v>
      </c>
      <c r="R142" s="55" t="n">
        <f aca="false">C142*C142</f>
        <v>0.25</v>
      </c>
      <c r="S142" s="55" t="n">
        <f aca="false">D142*D142</f>
        <v>0.25</v>
      </c>
      <c r="T142" s="55" t="n">
        <f aca="false">E142*E142</f>
        <v>0.25</v>
      </c>
      <c r="U142" s="55" t="n">
        <f aca="false">F142*F142</f>
        <v>0.09</v>
      </c>
      <c r="V142" s="55" t="n">
        <f aca="false">SUMPRODUCT(G142:U142,_XtX!$B$96:$P$96)</f>
        <v>48.9985065789473</v>
      </c>
      <c r="W142" s="55" t="n">
        <f aca="false">SUMPRODUCT(MMULT(G142:U142,_XtX!$B$78:$P$92),G142:U142)</f>
        <v>0.132221710526316</v>
      </c>
      <c r="X142" s="55" t="n">
        <f aca="false">V142-04_回帰ANOVA!$K$19*04_回帰ANOVA!$K$14*SQRT(1+W142)</f>
        <v>47.6115459539996</v>
      </c>
      <c r="Y142" s="55" t="n">
        <f aca="false">V142+04_回帰ANOVA!$K$19*04_回帰ANOVA!$K$14*SQRT(1+W142)</f>
        <v>50.3854672038951</v>
      </c>
      <c r="Z142" s="54" t="b">
        <f aca="false">AND(C142&gt;=01_因子設定!$L$5-0.000000001,C142&lt;=01_因子設定!$M$5+0.000000001,D142&gt;=01_因子設定!$L$6-0.000000001,D142&lt;=01_因子設定!$M$6+0.000000001,E142&gt;=01_因子設定!$L$7-0.000000001,E142&lt;=01_因子設定!$M$7+0.000000001,F142&gt;=01_因子設定!$L$8-0.000000001,F142&lt;=01_因子設定!$M$8+0.000000001,IF(01_因子設定!$B$20="Box-Behnken",C142^2+D142^2+E142^2+F142^2&lt;=2+0.000000001,TRUE()))</f>
        <v>1</v>
      </c>
      <c r="AA142" s="55" t="n">
        <f aca="false">IF(Z142,IF(01_因子設定!$B$13="最大化",X142-01_因子設定!$B$14,IF(01_因子設定!$B$13="最小化",01_因子設定!$B$15-Y142,MIN(X142-01_因子設定!$B$14,01_因子設定!$B$15-Y142))),-1E+030)</f>
        <v>1.11154595399957</v>
      </c>
      <c r="AB142" s="55" t="n">
        <f aca="false">IF(AA142&gt;=0,1,0)</f>
        <v>1</v>
      </c>
    </row>
    <row r="143" customFormat="false" ht="15" hidden="false" customHeight="false" outlineLevel="0" collapsed="false">
      <c r="A143" s="0" t="n">
        <v>4</v>
      </c>
      <c r="B143" s="0" t="n">
        <v>-0.25</v>
      </c>
      <c r="C143" s="57" t="n">
        <f aca="false">07_最適化!$B$6</f>
        <v>0.5</v>
      </c>
      <c r="D143" s="57" t="n">
        <f aca="false">07_最適化!$B$7</f>
        <v>0.5</v>
      </c>
      <c r="E143" s="57" t="n">
        <f aca="false">07_最適化!$B$8</f>
        <v>0.5</v>
      </c>
      <c r="F143" s="55" t="n">
        <f aca="false">B143</f>
        <v>-0.25</v>
      </c>
      <c r="G143" s="55" t="n">
        <f aca="false">1</f>
        <v>1</v>
      </c>
      <c r="H143" s="57" t="n">
        <f aca="false">C143</f>
        <v>0.5</v>
      </c>
      <c r="I143" s="57" t="n">
        <f aca="false">D143</f>
        <v>0.5</v>
      </c>
      <c r="J143" s="57" t="n">
        <f aca="false">E143</f>
        <v>0.5</v>
      </c>
      <c r="K143" s="55" t="n">
        <f aca="false">F143</f>
        <v>-0.25</v>
      </c>
      <c r="L143" s="55" t="n">
        <f aca="false">C143*D143</f>
        <v>0.25</v>
      </c>
      <c r="M143" s="55" t="n">
        <f aca="false">C143*E143</f>
        <v>0.25</v>
      </c>
      <c r="N143" s="55" t="n">
        <f aca="false">C143*F143</f>
        <v>-0.125</v>
      </c>
      <c r="O143" s="55" t="n">
        <f aca="false">D143*E143</f>
        <v>0.25</v>
      </c>
      <c r="P143" s="55" t="n">
        <f aca="false">D143*F143</f>
        <v>-0.125</v>
      </c>
      <c r="Q143" s="55" t="n">
        <f aca="false">E143*F143</f>
        <v>-0.125</v>
      </c>
      <c r="R143" s="55" t="n">
        <f aca="false">C143*C143</f>
        <v>0.25</v>
      </c>
      <c r="S143" s="55" t="n">
        <f aca="false">D143*D143</f>
        <v>0.25</v>
      </c>
      <c r="T143" s="55" t="n">
        <f aca="false">E143*E143</f>
        <v>0.25</v>
      </c>
      <c r="U143" s="55" t="n">
        <f aca="false">F143*F143</f>
        <v>0.0625</v>
      </c>
      <c r="V143" s="55" t="n">
        <f aca="false">SUMPRODUCT(G143:U143,_XtX!$B$96:$P$96)</f>
        <v>49.0343019005848</v>
      </c>
      <c r="W143" s="55" t="n">
        <f aca="false">SUMPRODUCT(MMULT(G143:U143,_XtX!$B$78:$P$92),G143:U143)</f>
        <v>0.133937545687135</v>
      </c>
      <c r="X143" s="55" t="n">
        <f aca="false">V143-04_回帰ANOVA!$K$19*04_回帰ANOVA!$K$14*SQRT(1+W143)</f>
        <v>47.6462907327765</v>
      </c>
      <c r="Y143" s="55" t="n">
        <f aca="false">V143+04_回帰ANOVA!$K$19*04_回帰ANOVA!$K$14*SQRT(1+W143)</f>
        <v>50.422313068393</v>
      </c>
      <c r="Z143" s="54" t="b">
        <f aca="false">AND(C143&gt;=01_因子設定!$L$5-0.000000001,C143&lt;=01_因子設定!$M$5+0.000000001,D143&gt;=01_因子設定!$L$6-0.000000001,D143&lt;=01_因子設定!$M$6+0.000000001,E143&gt;=01_因子設定!$L$7-0.000000001,E143&lt;=01_因子設定!$M$7+0.000000001,F143&gt;=01_因子設定!$L$8-0.000000001,F143&lt;=01_因子設定!$M$8+0.000000001,IF(01_因子設定!$B$20="Box-Behnken",C143^2+D143^2+E143^2+F143^2&lt;=2+0.000000001,TRUE()))</f>
        <v>1</v>
      </c>
      <c r="AA143" s="55" t="n">
        <f aca="false">IF(Z143,IF(01_因子設定!$B$13="最大化",X143-01_因子設定!$B$14,IF(01_因子設定!$B$13="最小化",01_因子設定!$B$15-Y143,MIN(X143-01_因子設定!$B$14,01_因子設定!$B$15-Y143))),-1E+030)</f>
        <v>1.14629073277651</v>
      </c>
      <c r="AB143" s="55" t="n">
        <f aca="false">IF(AA143&gt;=0,1,0)</f>
        <v>1</v>
      </c>
    </row>
    <row r="144" customFormat="false" ht="15" hidden="false" customHeight="false" outlineLevel="0" collapsed="false">
      <c r="A144" s="0" t="n">
        <v>4</v>
      </c>
      <c r="B144" s="0" t="n">
        <v>-0.2</v>
      </c>
      <c r="C144" s="57" t="n">
        <f aca="false">07_最適化!$B$6</f>
        <v>0.5</v>
      </c>
      <c r="D144" s="57" t="n">
        <f aca="false">07_最適化!$B$7</f>
        <v>0.5</v>
      </c>
      <c r="E144" s="57" t="n">
        <f aca="false">07_最適化!$B$8</f>
        <v>0.5</v>
      </c>
      <c r="F144" s="55" t="n">
        <f aca="false">B144</f>
        <v>-0.2</v>
      </c>
      <c r="G144" s="55" t="n">
        <f aca="false">1</f>
        <v>1</v>
      </c>
      <c r="H144" s="57" t="n">
        <f aca="false">C144</f>
        <v>0.5</v>
      </c>
      <c r="I144" s="57" t="n">
        <f aca="false">D144</f>
        <v>0.5</v>
      </c>
      <c r="J144" s="57" t="n">
        <f aca="false">E144</f>
        <v>0.5</v>
      </c>
      <c r="K144" s="55" t="n">
        <f aca="false">F144</f>
        <v>-0.2</v>
      </c>
      <c r="L144" s="55" t="n">
        <f aca="false">C144*D144</f>
        <v>0.25</v>
      </c>
      <c r="M144" s="55" t="n">
        <f aca="false">C144*E144</f>
        <v>0.25</v>
      </c>
      <c r="N144" s="55" t="n">
        <f aca="false">C144*F144</f>
        <v>-0.1</v>
      </c>
      <c r="O144" s="55" t="n">
        <f aca="false">D144*E144</f>
        <v>0.25</v>
      </c>
      <c r="P144" s="55" t="n">
        <f aca="false">D144*F144</f>
        <v>-0.1</v>
      </c>
      <c r="Q144" s="55" t="n">
        <f aca="false">E144*F144</f>
        <v>-0.1</v>
      </c>
      <c r="R144" s="55" t="n">
        <f aca="false">C144*C144</f>
        <v>0.25</v>
      </c>
      <c r="S144" s="55" t="n">
        <f aca="false">D144*D144</f>
        <v>0.25</v>
      </c>
      <c r="T144" s="55" t="n">
        <f aca="false">E144*E144</f>
        <v>0.25</v>
      </c>
      <c r="U144" s="55" t="n">
        <f aca="false">F144*F144</f>
        <v>0.04</v>
      </c>
      <c r="V144" s="55" t="n">
        <f aca="false">SUMPRODUCT(G144:U144,_XtX!$B$96:$P$96)</f>
        <v>49.0681849415204</v>
      </c>
      <c r="W144" s="55" t="n">
        <f aca="false">SUMPRODUCT(MMULT(G144:U144,_XtX!$B$78:$P$92),G144:U144)</f>
        <v>0.135775621345029</v>
      </c>
      <c r="X144" s="55" t="n">
        <f aca="false">V144-04_回帰ANOVA!$K$19*04_回帰ANOVA!$K$14*SQRT(1+W144)</f>
        <v>47.6790492688811</v>
      </c>
      <c r="Y144" s="55" t="n">
        <f aca="false">V144+04_回帰ANOVA!$K$19*04_回帰ANOVA!$K$14*SQRT(1+W144)</f>
        <v>50.4573206141597</v>
      </c>
      <c r="Z144" s="54" t="b">
        <f aca="false">AND(C144&gt;=01_因子設定!$L$5-0.000000001,C144&lt;=01_因子設定!$M$5+0.000000001,D144&gt;=01_因子設定!$L$6-0.000000001,D144&lt;=01_因子設定!$M$6+0.000000001,E144&gt;=01_因子設定!$L$7-0.000000001,E144&lt;=01_因子設定!$M$7+0.000000001,F144&gt;=01_因子設定!$L$8-0.000000001,F144&lt;=01_因子設定!$M$8+0.000000001,IF(01_因子設定!$B$20="Box-Behnken",C144^2+D144^2+E144^2+F144^2&lt;=2+0.000000001,TRUE()))</f>
        <v>1</v>
      </c>
      <c r="AA144" s="55" t="n">
        <f aca="false">IF(Z144,IF(01_因子設定!$B$13="最大化",X144-01_因子設定!$B$14,IF(01_因子設定!$B$13="最小化",01_因子設定!$B$15-Y144,MIN(X144-01_因子設定!$B$14,01_因子設定!$B$15-Y144))),-1E+030)</f>
        <v>1.17904926888114</v>
      </c>
      <c r="AB144" s="55" t="n">
        <f aca="false">IF(AA144&gt;=0,1,0)</f>
        <v>1</v>
      </c>
    </row>
    <row r="145" customFormat="false" ht="15" hidden="false" customHeight="false" outlineLevel="0" collapsed="false">
      <c r="A145" s="0" t="n">
        <v>4</v>
      </c>
      <c r="B145" s="0" t="n">
        <v>-0.15</v>
      </c>
      <c r="C145" s="57" t="n">
        <f aca="false">07_最適化!$B$6</f>
        <v>0.5</v>
      </c>
      <c r="D145" s="57" t="n">
        <f aca="false">07_最適化!$B$7</f>
        <v>0.5</v>
      </c>
      <c r="E145" s="57" t="n">
        <f aca="false">07_最適化!$B$8</f>
        <v>0.5</v>
      </c>
      <c r="F145" s="55" t="n">
        <f aca="false">B145</f>
        <v>-0.15</v>
      </c>
      <c r="G145" s="55" t="n">
        <f aca="false">1</f>
        <v>1</v>
      </c>
      <c r="H145" s="57" t="n">
        <f aca="false">C145</f>
        <v>0.5</v>
      </c>
      <c r="I145" s="57" t="n">
        <f aca="false">D145</f>
        <v>0.5</v>
      </c>
      <c r="J145" s="57" t="n">
        <f aca="false">E145</f>
        <v>0.5</v>
      </c>
      <c r="K145" s="55" t="n">
        <f aca="false">F145</f>
        <v>-0.15</v>
      </c>
      <c r="L145" s="55" t="n">
        <f aca="false">C145*D145</f>
        <v>0.25</v>
      </c>
      <c r="M145" s="55" t="n">
        <f aca="false">C145*E145</f>
        <v>0.25</v>
      </c>
      <c r="N145" s="55" t="n">
        <f aca="false">C145*F145</f>
        <v>-0.075</v>
      </c>
      <c r="O145" s="55" t="n">
        <f aca="false">D145*E145</f>
        <v>0.25</v>
      </c>
      <c r="P145" s="55" t="n">
        <f aca="false">D145*F145</f>
        <v>-0.075</v>
      </c>
      <c r="Q145" s="55" t="n">
        <f aca="false">E145*F145</f>
        <v>-0.075</v>
      </c>
      <c r="R145" s="55" t="n">
        <f aca="false">C145*C145</f>
        <v>0.25</v>
      </c>
      <c r="S145" s="55" t="n">
        <f aca="false">D145*D145</f>
        <v>0.25</v>
      </c>
      <c r="T145" s="55" t="n">
        <f aca="false">E145*E145</f>
        <v>0.25</v>
      </c>
      <c r="U145" s="55" t="n">
        <f aca="false">F145*F145</f>
        <v>0.0225</v>
      </c>
      <c r="V145" s="55" t="n">
        <f aca="false">SUMPRODUCT(G145:U145,_XtX!$B$96:$P$96)</f>
        <v>49.1001557017543</v>
      </c>
      <c r="W145" s="55" t="n">
        <f aca="false">SUMPRODUCT(MMULT(G145:U145,_XtX!$B$78:$P$92),G145:U145)</f>
        <v>0.137475411184211</v>
      </c>
      <c r="X145" s="55" t="n">
        <f aca="false">V145-04_回帰ANOVA!$K$19*04_回帰ANOVA!$K$14*SQRT(1+W145)</f>
        <v>47.7099809348316</v>
      </c>
      <c r="Y145" s="55" t="n">
        <f aca="false">V145+04_回帰ANOVA!$K$19*04_回帰ANOVA!$K$14*SQRT(1+W145)</f>
        <v>50.4903304686771</v>
      </c>
      <c r="Z145" s="54" t="b">
        <f aca="false">AND(C145&gt;=01_因子設定!$L$5-0.000000001,C145&lt;=01_因子設定!$M$5+0.000000001,D145&gt;=01_因子設定!$L$6-0.000000001,D145&lt;=01_因子設定!$M$6+0.000000001,E145&gt;=01_因子設定!$L$7-0.000000001,E145&lt;=01_因子設定!$M$7+0.000000001,F145&gt;=01_因子設定!$L$8-0.000000001,F145&lt;=01_因子設定!$M$8+0.000000001,IF(01_因子設定!$B$20="Box-Behnken",C145^2+D145^2+E145^2+F145^2&lt;=2+0.000000001,TRUE()))</f>
        <v>1</v>
      </c>
      <c r="AA145" s="55" t="n">
        <f aca="false">IF(Z145,IF(01_因子設定!$B$13="最大化",X145-01_因子設定!$B$14,IF(01_因子設定!$B$13="最小化",01_因子設定!$B$15-Y145,MIN(X145-01_因子設定!$B$14,01_因子設定!$B$15-Y145))),-1E+030)</f>
        <v>1.20998093483163</v>
      </c>
      <c r="AB145" s="55" t="n">
        <f aca="false">IF(AA145&gt;=0,1,0)</f>
        <v>1</v>
      </c>
    </row>
    <row r="146" customFormat="false" ht="15" hidden="false" customHeight="false" outlineLevel="0" collapsed="false">
      <c r="A146" s="0" t="n">
        <v>4</v>
      </c>
      <c r="B146" s="0" t="n">
        <v>-0.1</v>
      </c>
      <c r="C146" s="57" t="n">
        <f aca="false">07_最適化!$B$6</f>
        <v>0.5</v>
      </c>
      <c r="D146" s="57" t="n">
        <f aca="false">07_最適化!$B$7</f>
        <v>0.5</v>
      </c>
      <c r="E146" s="57" t="n">
        <f aca="false">07_最適化!$B$8</f>
        <v>0.5</v>
      </c>
      <c r="F146" s="55" t="n">
        <f aca="false">B146</f>
        <v>-0.1</v>
      </c>
      <c r="G146" s="55" t="n">
        <f aca="false">1</f>
        <v>1</v>
      </c>
      <c r="H146" s="57" t="n">
        <f aca="false">C146</f>
        <v>0.5</v>
      </c>
      <c r="I146" s="57" t="n">
        <f aca="false">D146</f>
        <v>0.5</v>
      </c>
      <c r="J146" s="57" t="n">
        <f aca="false">E146</f>
        <v>0.5</v>
      </c>
      <c r="K146" s="55" t="n">
        <f aca="false">F146</f>
        <v>-0.1</v>
      </c>
      <c r="L146" s="55" t="n">
        <f aca="false">C146*D146</f>
        <v>0.25</v>
      </c>
      <c r="M146" s="55" t="n">
        <f aca="false">C146*E146</f>
        <v>0.25</v>
      </c>
      <c r="N146" s="55" t="n">
        <f aca="false">C146*F146</f>
        <v>-0.05</v>
      </c>
      <c r="O146" s="55" t="n">
        <f aca="false">D146*E146</f>
        <v>0.25</v>
      </c>
      <c r="P146" s="55" t="n">
        <f aca="false">D146*F146</f>
        <v>-0.05</v>
      </c>
      <c r="Q146" s="55" t="n">
        <f aca="false">E146*F146</f>
        <v>-0.05</v>
      </c>
      <c r="R146" s="55" t="n">
        <f aca="false">C146*C146</f>
        <v>0.25</v>
      </c>
      <c r="S146" s="55" t="n">
        <f aca="false">D146*D146</f>
        <v>0.25</v>
      </c>
      <c r="T146" s="55" t="n">
        <f aca="false">E146*E146</f>
        <v>0.25</v>
      </c>
      <c r="U146" s="55" t="n">
        <f aca="false">F146*F146</f>
        <v>0.01</v>
      </c>
      <c r="V146" s="55" t="n">
        <f aca="false">SUMPRODUCT(G146:U146,_XtX!$B$96:$P$96)</f>
        <v>49.1302141812865</v>
      </c>
      <c r="W146" s="55" t="n">
        <f aca="false">SUMPRODUCT(MMULT(G146:U146,_XtX!$B$78:$P$92),G146:U146)</f>
        <v>0.138834283625731</v>
      </c>
      <c r="X146" s="55" t="n">
        <f aca="false">V146-04_回帰ANOVA!$K$19*04_回帰ANOVA!$K$14*SQRT(1+W146)</f>
        <v>47.7392092837479</v>
      </c>
      <c r="Y146" s="55" t="n">
        <f aca="false">V146+04_回帰ANOVA!$K$19*04_回帰ANOVA!$K$14*SQRT(1+W146)</f>
        <v>50.5212190788251</v>
      </c>
      <c r="Z146" s="54" t="b">
        <f aca="false">AND(C146&gt;=01_因子設定!$L$5-0.000000001,C146&lt;=01_因子設定!$M$5+0.000000001,D146&gt;=01_因子設定!$L$6-0.000000001,D146&lt;=01_因子設定!$M$6+0.000000001,E146&gt;=01_因子設定!$L$7-0.000000001,E146&lt;=01_因子設定!$M$7+0.000000001,F146&gt;=01_因子設定!$L$8-0.000000001,F146&lt;=01_因子設定!$M$8+0.000000001,IF(01_因子設定!$B$20="Box-Behnken",C146^2+D146^2+E146^2+F146^2&lt;=2+0.000000001,TRUE()))</f>
        <v>1</v>
      </c>
      <c r="AA146" s="55" t="n">
        <f aca="false">IF(Z146,IF(01_因子設定!$B$13="最大化",X146-01_因子設定!$B$14,IF(01_因子設定!$B$13="最小化",01_因子設定!$B$15-Y146,MIN(X146-01_因子設定!$B$14,01_因子設定!$B$15-Y146))),-1E+030)</f>
        <v>1.23920928374793</v>
      </c>
      <c r="AB146" s="55" t="n">
        <f aca="false">IF(AA146&gt;=0,1,0)</f>
        <v>1</v>
      </c>
    </row>
    <row r="147" customFormat="false" ht="15" hidden="false" customHeight="false" outlineLevel="0" collapsed="false">
      <c r="A147" s="0" t="n">
        <v>4</v>
      </c>
      <c r="B147" s="0" t="n">
        <v>-0.05</v>
      </c>
      <c r="C147" s="57" t="n">
        <f aca="false">07_最適化!$B$6</f>
        <v>0.5</v>
      </c>
      <c r="D147" s="57" t="n">
        <f aca="false">07_最適化!$B$7</f>
        <v>0.5</v>
      </c>
      <c r="E147" s="57" t="n">
        <f aca="false">07_最適化!$B$8</f>
        <v>0.5</v>
      </c>
      <c r="F147" s="55" t="n">
        <f aca="false">B147</f>
        <v>-0.05</v>
      </c>
      <c r="G147" s="55" t="n">
        <f aca="false">1</f>
        <v>1</v>
      </c>
      <c r="H147" s="57" t="n">
        <f aca="false">C147</f>
        <v>0.5</v>
      </c>
      <c r="I147" s="57" t="n">
        <f aca="false">D147</f>
        <v>0.5</v>
      </c>
      <c r="J147" s="57" t="n">
        <f aca="false">E147</f>
        <v>0.5</v>
      </c>
      <c r="K147" s="55" t="n">
        <f aca="false">F147</f>
        <v>-0.05</v>
      </c>
      <c r="L147" s="55" t="n">
        <f aca="false">C147*D147</f>
        <v>0.25</v>
      </c>
      <c r="M147" s="55" t="n">
        <f aca="false">C147*E147</f>
        <v>0.25</v>
      </c>
      <c r="N147" s="55" t="n">
        <f aca="false">C147*F147</f>
        <v>-0.025</v>
      </c>
      <c r="O147" s="55" t="n">
        <f aca="false">D147*E147</f>
        <v>0.25</v>
      </c>
      <c r="P147" s="55" t="n">
        <f aca="false">D147*F147</f>
        <v>-0.025</v>
      </c>
      <c r="Q147" s="55" t="n">
        <f aca="false">E147*F147</f>
        <v>-0.025</v>
      </c>
      <c r="R147" s="55" t="n">
        <f aca="false">C147*C147</f>
        <v>0.25</v>
      </c>
      <c r="S147" s="55" t="n">
        <f aca="false">D147*D147</f>
        <v>0.25</v>
      </c>
      <c r="T147" s="55" t="n">
        <f aca="false">E147*E147</f>
        <v>0.25</v>
      </c>
      <c r="U147" s="55" t="n">
        <f aca="false">F147*F147</f>
        <v>0.0025</v>
      </c>
      <c r="V147" s="55" t="n">
        <f aca="false">SUMPRODUCT(G147:U147,_XtX!$B$96:$P$96)</f>
        <v>49.1583603801169</v>
      </c>
      <c r="W147" s="55" t="n">
        <f aca="false">SUMPRODUCT(MMULT(G147:U147,_XtX!$B$78:$P$92),G147:U147)</f>
        <v>0.139707501827485</v>
      </c>
      <c r="X147" s="55" t="n">
        <f aca="false">V147-04_回帰ANOVA!$K$19*04_回帰ANOVA!$K$14*SQRT(1+W147)</f>
        <v>47.7668222978718</v>
      </c>
      <c r="Y147" s="55" t="n">
        <f aca="false">V147+04_回帰ANOVA!$K$19*04_回帰ANOVA!$K$14*SQRT(1+W147)</f>
        <v>50.549898462362</v>
      </c>
      <c r="Z147" s="54" t="b">
        <f aca="false">AND(C147&gt;=01_因子設定!$L$5-0.000000001,C147&lt;=01_因子設定!$M$5+0.000000001,D147&gt;=01_因子設定!$L$6-0.000000001,D147&lt;=01_因子設定!$M$6+0.000000001,E147&gt;=01_因子設定!$L$7-0.000000001,E147&lt;=01_因子設定!$M$7+0.000000001,F147&gt;=01_因子設定!$L$8-0.000000001,F147&lt;=01_因子設定!$M$8+0.000000001,IF(01_因子設定!$B$20="Box-Behnken",C147^2+D147^2+E147^2+F147^2&lt;=2+0.000000001,TRUE()))</f>
        <v>1</v>
      </c>
      <c r="AA147" s="55" t="n">
        <f aca="false">IF(Z147,IF(01_因子設定!$B$13="最大化",X147-01_因子設定!$B$14,IF(01_因子設定!$B$13="最小化",01_因子設定!$B$15-Y147,MIN(X147-01_因子設定!$B$14,01_因子設定!$B$15-Y147))),-1E+030)</f>
        <v>1.26682229787183</v>
      </c>
      <c r="AB147" s="55" t="n">
        <f aca="false">IF(AA147&gt;=0,1,0)</f>
        <v>1</v>
      </c>
    </row>
    <row r="148" customFormat="false" ht="15" hidden="false" customHeight="false" outlineLevel="0" collapsed="false">
      <c r="A148" s="0" t="n">
        <v>4</v>
      </c>
      <c r="B148" s="0" t="n">
        <v>0</v>
      </c>
      <c r="C148" s="57" t="n">
        <f aca="false">07_最適化!$B$6</f>
        <v>0.5</v>
      </c>
      <c r="D148" s="57" t="n">
        <f aca="false">07_最適化!$B$7</f>
        <v>0.5</v>
      </c>
      <c r="E148" s="57" t="n">
        <f aca="false">07_最適化!$B$8</f>
        <v>0.5</v>
      </c>
      <c r="F148" s="55" t="n">
        <f aca="false">B148</f>
        <v>0</v>
      </c>
      <c r="G148" s="55" t="n">
        <f aca="false">1</f>
        <v>1</v>
      </c>
      <c r="H148" s="57" t="n">
        <f aca="false">C148</f>
        <v>0.5</v>
      </c>
      <c r="I148" s="57" t="n">
        <f aca="false">D148</f>
        <v>0.5</v>
      </c>
      <c r="J148" s="57" t="n">
        <f aca="false">E148</f>
        <v>0.5</v>
      </c>
      <c r="K148" s="55" t="n">
        <f aca="false">F148</f>
        <v>0</v>
      </c>
      <c r="L148" s="55" t="n">
        <f aca="false">C148*D148</f>
        <v>0.25</v>
      </c>
      <c r="M148" s="55" t="n">
        <f aca="false">C148*E148</f>
        <v>0.25</v>
      </c>
      <c r="N148" s="55" t="n">
        <f aca="false">C148*F148</f>
        <v>0</v>
      </c>
      <c r="O148" s="55" t="n">
        <f aca="false">D148*E148</f>
        <v>0.25</v>
      </c>
      <c r="P148" s="55" t="n">
        <f aca="false">D148*F148</f>
        <v>0</v>
      </c>
      <c r="Q148" s="55" t="n">
        <f aca="false">E148*F148</f>
        <v>0</v>
      </c>
      <c r="R148" s="55" t="n">
        <f aca="false">C148*C148</f>
        <v>0.25</v>
      </c>
      <c r="S148" s="55" t="n">
        <f aca="false">D148*D148</f>
        <v>0.25</v>
      </c>
      <c r="T148" s="55" t="n">
        <f aca="false">E148*E148</f>
        <v>0.25</v>
      </c>
      <c r="U148" s="55" t="n">
        <f aca="false">F148*F148</f>
        <v>0</v>
      </c>
      <c r="V148" s="55" t="n">
        <f aca="false">SUMPRODUCT(G148:U148,_XtX!$B$96:$P$96)</f>
        <v>49.1845942982456</v>
      </c>
      <c r="W148" s="55" t="n">
        <f aca="false">SUMPRODUCT(MMULT(G148:U148,_XtX!$B$78:$P$92),G148:U148)</f>
        <v>0.140008223684211</v>
      </c>
      <c r="X148" s="55" t="n">
        <f aca="false">V148-04_回帰ANOVA!$K$19*04_回帰ANOVA!$K$14*SQRT(1+W148)</f>
        <v>47.7928726433229</v>
      </c>
      <c r="Y148" s="55" t="n">
        <f aca="false">V148+04_回帰ANOVA!$K$19*04_回帰ANOVA!$K$14*SQRT(1+W148)</f>
        <v>50.5763159531682</v>
      </c>
      <c r="Z148" s="54" t="b">
        <f aca="false">AND(C148&gt;=01_因子設定!$L$5-0.000000001,C148&lt;=01_因子設定!$M$5+0.000000001,D148&gt;=01_因子設定!$L$6-0.000000001,D148&lt;=01_因子設定!$M$6+0.000000001,E148&gt;=01_因子設定!$L$7-0.000000001,E148&lt;=01_因子設定!$M$7+0.000000001,F148&gt;=01_因子設定!$L$8-0.000000001,F148&lt;=01_因子設定!$M$8+0.000000001,IF(01_因子設定!$B$20="Box-Behnken",C148^2+D148^2+E148^2+F148^2&lt;=2+0.000000001,TRUE()))</f>
        <v>1</v>
      </c>
      <c r="AA148" s="55" t="n">
        <f aca="false">IF(Z148,IF(01_因子設定!$B$13="最大化",X148-01_因子設定!$B$14,IF(01_因子設定!$B$13="最小化",01_因子設定!$B$15-Y148,MIN(X148-01_因子設定!$B$14,01_因子設定!$B$15-Y148))),-1E+030)</f>
        <v>1.29287264332294</v>
      </c>
      <c r="AB148" s="55" t="n">
        <f aca="false">IF(AA148&gt;=0,1,0)</f>
        <v>1</v>
      </c>
    </row>
    <row r="149" customFormat="false" ht="15" hidden="false" customHeight="false" outlineLevel="0" collapsed="false">
      <c r="A149" s="0" t="n">
        <v>4</v>
      </c>
      <c r="B149" s="0" t="n">
        <v>0.05</v>
      </c>
      <c r="C149" s="57" t="n">
        <f aca="false">07_最適化!$B$6</f>
        <v>0.5</v>
      </c>
      <c r="D149" s="57" t="n">
        <f aca="false">07_最適化!$B$7</f>
        <v>0.5</v>
      </c>
      <c r="E149" s="57" t="n">
        <f aca="false">07_最適化!$B$8</f>
        <v>0.5</v>
      </c>
      <c r="F149" s="55" t="n">
        <f aca="false">B149</f>
        <v>0.05</v>
      </c>
      <c r="G149" s="55" t="n">
        <f aca="false">1</f>
        <v>1</v>
      </c>
      <c r="H149" s="57" t="n">
        <f aca="false">C149</f>
        <v>0.5</v>
      </c>
      <c r="I149" s="57" t="n">
        <f aca="false">D149</f>
        <v>0.5</v>
      </c>
      <c r="J149" s="57" t="n">
        <f aca="false">E149</f>
        <v>0.5</v>
      </c>
      <c r="K149" s="55" t="n">
        <f aca="false">F149</f>
        <v>0.05</v>
      </c>
      <c r="L149" s="55" t="n">
        <f aca="false">C149*D149</f>
        <v>0.25</v>
      </c>
      <c r="M149" s="55" t="n">
        <f aca="false">C149*E149</f>
        <v>0.25</v>
      </c>
      <c r="N149" s="55" t="n">
        <f aca="false">C149*F149</f>
        <v>0.025</v>
      </c>
      <c r="O149" s="55" t="n">
        <f aca="false">D149*E149</f>
        <v>0.25</v>
      </c>
      <c r="P149" s="55" t="n">
        <f aca="false">D149*F149</f>
        <v>0.025</v>
      </c>
      <c r="Q149" s="55" t="n">
        <f aca="false">E149*F149</f>
        <v>0.025</v>
      </c>
      <c r="R149" s="55" t="n">
        <f aca="false">C149*C149</f>
        <v>0.25</v>
      </c>
      <c r="S149" s="55" t="n">
        <f aca="false">D149*D149</f>
        <v>0.25</v>
      </c>
      <c r="T149" s="55" t="n">
        <f aca="false">E149*E149</f>
        <v>0.25</v>
      </c>
      <c r="U149" s="55" t="n">
        <f aca="false">F149*F149</f>
        <v>0.0025</v>
      </c>
      <c r="V149" s="55" t="n">
        <f aca="false">SUMPRODUCT(G149:U149,_XtX!$B$96:$P$96)</f>
        <v>49.2089159356725</v>
      </c>
      <c r="W149" s="55" t="n">
        <f aca="false">SUMPRODUCT(MMULT(G149:U149,_XtX!$B$78:$P$92),G149:U149)</f>
        <v>0.139707501827485</v>
      </c>
      <c r="X149" s="55" t="n">
        <f aca="false">V149-04_回帰ANOVA!$K$19*04_回帰ANOVA!$K$14*SQRT(1+W149)</f>
        <v>47.8173778534274</v>
      </c>
      <c r="Y149" s="55" t="n">
        <f aca="false">V149+04_回帰ANOVA!$K$19*04_回帰ANOVA!$K$14*SQRT(1+W149)</f>
        <v>50.6004540179176</v>
      </c>
      <c r="Z149" s="54" t="b">
        <f aca="false">AND(C149&gt;=01_因子設定!$L$5-0.000000001,C149&lt;=01_因子設定!$M$5+0.000000001,D149&gt;=01_因子設定!$L$6-0.000000001,D149&lt;=01_因子設定!$M$6+0.000000001,E149&gt;=01_因子設定!$L$7-0.000000001,E149&lt;=01_因子設定!$M$7+0.000000001,F149&gt;=01_因子設定!$L$8-0.000000001,F149&lt;=01_因子設定!$M$8+0.000000001,IF(01_因子設定!$B$20="Box-Behnken",C149^2+D149^2+E149^2+F149^2&lt;=2+0.000000001,TRUE()))</f>
        <v>1</v>
      </c>
      <c r="AA149" s="55" t="n">
        <f aca="false">IF(Z149,IF(01_因子設定!$B$13="最大化",X149-01_因子設定!$B$14,IF(01_因子設定!$B$13="最小化",01_因子設定!$B$15-Y149,MIN(X149-01_因子設定!$B$14,01_因子設定!$B$15-Y149))),-1E+030)</f>
        <v>1.31737785342738</v>
      </c>
      <c r="AB149" s="55" t="n">
        <f aca="false">IF(AA149&gt;=0,1,0)</f>
        <v>1</v>
      </c>
    </row>
    <row r="150" customFormat="false" ht="15" hidden="false" customHeight="false" outlineLevel="0" collapsed="false">
      <c r="A150" s="0" t="n">
        <v>4</v>
      </c>
      <c r="B150" s="0" t="n">
        <v>0.1</v>
      </c>
      <c r="C150" s="57" t="n">
        <f aca="false">07_最適化!$B$6</f>
        <v>0.5</v>
      </c>
      <c r="D150" s="57" t="n">
        <f aca="false">07_最適化!$B$7</f>
        <v>0.5</v>
      </c>
      <c r="E150" s="57" t="n">
        <f aca="false">07_最適化!$B$8</f>
        <v>0.5</v>
      </c>
      <c r="F150" s="55" t="n">
        <f aca="false">B150</f>
        <v>0.1</v>
      </c>
      <c r="G150" s="55" t="n">
        <f aca="false">1</f>
        <v>1</v>
      </c>
      <c r="H150" s="57" t="n">
        <f aca="false">C150</f>
        <v>0.5</v>
      </c>
      <c r="I150" s="57" t="n">
        <f aca="false">D150</f>
        <v>0.5</v>
      </c>
      <c r="J150" s="57" t="n">
        <f aca="false">E150</f>
        <v>0.5</v>
      </c>
      <c r="K150" s="55" t="n">
        <f aca="false">F150</f>
        <v>0.1</v>
      </c>
      <c r="L150" s="55" t="n">
        <f aca="false">C150*D150</f>
        <v>0.25</v>
      </c>
      <c r="M150" s="55" t="n">
        <f aca="false">C150*E150</f>
        <v>0.25</v>
      </c>
      <c r="N150" s="55" t="n">
        <f aca="false">C150*F150</f>
        <v>0.05</v>
      </c>
      <c r="O150" s="55" t="n">
        <f aca="false">D150*E150</f>
        <v>0.25</v>
      </c>
      <c r="P150" s="55" t="n">
        <f aca="false">D150*F150</f>
        <v>0.05</v>
      </c>
      <c r="Q150" s="55" t="n">
        <f aca="false">E150*F150</f>
        <v>0.05</v>
      </c>
      <c r="R150" s="55" t="n">
        <f aca="false">C150*C150</f>
        <v>0.25</v>
      </c>
      <c r="S150" s="55" t="n">
        <f aca="false">D150*D150</f>
        <v>0.25</v>
      </c>
      <c r="T150" s="55" t="n">
        <f aca="false">E150*E150</f>
        <v>0.25</v>
      </c>
      <c r="U150" s="55" t="n">
        <f aca="false">F150*F150</f>
        <v>0.01</v>
      </c>
      <c r="V150" s="55" t="n">
        <f aca="false">SUMPRODUCT(G150:U150,_XtX!$B$96:$P$96)</f>
        <v>49.2313252923976</v>
      </c>
      <c r="W150" s="55" t="n">
        <f aca="false">SUMPRODUCT(MMULT(G150:U150,_XtX!$B$78:$P$92),G150:U150)</f>
        <v>0.138834283625731</v>
      </c>
      <c r="X150" s="55" t="n">
        <f aca="false">V150-04_回帰ANOVA!$K$19*04_回帰ANOVA!$K$14*SQRT(1+W150)</f>
        <v>47.8403203948591</v>
      </c>
      <c r="Y150" s="55" t="n">
        <f aca="false">V150+04_回帰ANOVA!$K$19*04_回帰ANOVA!$K$14*SQRT(1+W150)</f>
        <v>50.6223301899362</v>
      </c>
      <c r="Z150" s="54" t="b">
        <f aca="false">AND(C150&gt;=01_因子設定!$L$5-0.000000001,C150&lt;=01_因子設定!$M$5+0.000000001,D150&gt;=01_因子設定!$L$6-0.000000001,D150&lt;=01_因子設定!$M$6+0.000000001,E150&gt;=01_因子設定!$L$7-0.000000001,E150&lt;=01_因子設定!$M$7+0.000000001,F150&gt;=01_因子設定!$L$8-0.000000001,F150&lt;=01_因子設定!$M$8+0.000000001,IF(01_因子設定!$B$20="Box-Behnken",C150^2+D150^2+E150^2+F150^2&lt;=2+0.000000001,TRUE()))</f>
        <v>1</v>
      </c>
      <c r="AA150" s="55" t="n">
        <f aca="false">IF(Z150,IF(01_因子設定!$B$13="最大化",X150-01_因子設定!$B$14,IF(01_因子設定!$B$13="最小化",01_因子設定!$B$15-Y150,MIN(X150-01_因子設定!$B$14,01_因子設定!$B$15-Y150))),-1E+030)</f>
        <v>1.34032039485905</v>
      </c>
      <c r="AB150" s="55" t="n">
        <f aca="false">IF(AA150&gt;=0,1,0)</f>
        <v>1</v>
      </c>
    </row>
    <row r="151" customFormat="false" ht="15" hidden="false" customHeight="false" outlineLevel="0" collapsed="false">
      <c r="A151" s="0" t="n">
        <v>4</v>
      </c>
      <c r="B151" s="0" t="n">
        <v>0.15</v>
      </c>
      <c r="C151" s="57" t="n">
        <f aca="false">07_最適化!$B$6</f>
        <v>0.5</v>
      </c>
      <c r="D151" s="57" t="n">
        <f aca="false">07_最適化!$B$7</f>
        <v>0.5</v>
      </c>
      <c r="E151" s="57" t="n">
        <f aca="false">07_最適化!$B$8</f>
        <v>0.5</v>
      </c>
      <c r="F151" s="55" t="n">
        <f aca="false">B151</f>
        <v>0.15</v>
      </c>
      <c r="G151" s="55" t="n">
        <f aca="false">1</f>
        <v>1</v>
      </c>
      <c r="H151" s="57" t="n">
        <f aca="false">C151</f>
        <v>0.5</v>
      </c>
      <c r="I151" s="57" t="n">
        <f aca="false">D151</f>
        <v>0.5</v>
      </c>
      <c r="J151" s="57" t="n">
        <f aca="false">E151</f>
        <v>0.5</v>
      </c>
      <c r="K151" s="55" t="n">
        <f aca="false">F151</f>
        <v>0.15</v>
      </c>
      <c r="L151" s="55" t="n">
        <f aca="false">C151*D151</f>
        <v>0.25</v>
      </c>
      <c r="M151" s="55" t="n">
        <f aca="false">C151*E151</f>
        <v>0.25</v>
      </c>
      <c r="N151" s="55" t="n">
        <f aca="false">C151*F151</f>
        <v>0.075</v>
      </c>
      <c r="O151" s="55" t="n">
        <f aca="false">D151*E151</f>
        <v>0.25</v>
      </c>
      <c r="P151" s="55" t="n">
        <f aca="false">D151*F151</f>
        <v>0.075</v>
      </c>
      <c r="Q151" s="55" t="n">
        <f aca="false">E151*F151</f>
        <v>0.075</v>
      </c>
      <c r="R151" s="55" t="n">
        <f aca="false">C151*C151</f>
        <v>0.25</v>
      </c>
      <c r="S151" s="55" t="n">
        <f aca="false">D151*D151</f>
        <v>0.25</v>
      </c>
      <c r="T151" s="55" t="n">
        <f aca="false">E151*E151</f>
        <v>0.25</v>
      </c>
      <c r="U151" s="55" t="n">
        <f aca="false">F151*F151</f>
        <v>0.0225</v>
      </c>
      <c r="V151" s="55" t="n">
        <f aca="false">SUMPRODUCT(G151:U151,_XtX!$B$96:$P$96)</f>
        <v>49.251822368421</v>
      </c>
      <c r="W151" s="55" t="n">
        <f aca="false">SUMPRODUCT(MMULT(G151:U151,_XtX!$B$78:$P$92),G151:U151)</f>
        <v>0.137475411184211</v>
      </c>
      <c r="X151" s="55" t="n">
        <f aca="false">V151-04_回帰ANOVA!$K$19*04_回帰ANOVA!$K$14*SQRT(1+W151)</f>
        <v>47.8616476014983</v>
      </c>
      <c r="Y151" s="55" t="n">
        <f aca="false">V151+04_回帰ANOVA!$K$19*04_回帰ANOVA!$K$14*SQRT(1+W151)</f>
        <v>50.6419971353437</v>
      </c>
      <c r="Z151" s="54" t="b">
        <f aca="false">AND(C151&gt;=01_因子設定!$L$5-0.000000001,C151&lt;=01_因子設定!$M$5+0.000000001,D151&gt;=01_因子設定!$L$6-0.000000001,D151&lt;=01_因子設定!$M$6+0.000000001,E151&gt;=01_因子設定!$L$7-0.000000001,E151&lt;=01_因子設定!$M$7+0.000000001,F151&gt;=01_因子設定!$L$8-0.000000001,F151&lt;=01_因子設定!$M$8+0.000000001,IF(01_因子設定!$B$20="Box-Behnken",C151^2+D151^2+E151^2+F151^2&lt;=2+0.000000001,TRUE()))</f>
        <v>1</v>
      </c>
      <c r="AA151" s="55" t="n">
        <f aca="false">IF(Z151,IF(01_因子設定!$B$13="最大化",X151-01_因子設定!$B$14,IF(01_因子設定!$B$13="最小化",01_因子設定!$B$15-Y151,MIN(X151-01_因子設定!$B$14,01_因子設定!$B$15-Y151))),-1E+030)</f>
        <v>1.36164760149829</v>
      </c>
      <c r="AB151" s="55" t="n">
        <f aca="false">IF(AA151&gt;=0,1,0)</f>
        <v>1</v>
      </c>
    </row>
    <row r="152" customFormat="false" ht="15" hidden="false" customHeight="false" outlineLevel="0" collapsed="false">
      <c r="A152" s="0" t="n">
        <v>4</v>
      </c>
      <c r="B152" s="0" t="n">
        <v>0.2</v>
      </c>
      <c r="C152" s="57" t="n">
        <f aca="false">07_最適化!$B$6</f>
        <v>0.5</v>
      </c>
      <c r="D152" s="57" t="n">
        <f aca="false">07_最適化!$B$7</f>
        <v>0.5</v>
      </c>
      <c r="E152" s="57" t="n">
        <f aca="false">07_最適化!$B$8</f>
        <v>0.5</v>
      </c>
      <c r="F152" s="55" t="n">
        <f aca="false">B152</f>
        <v>0.2</v>
      </c>
      <c r="G152" s="55" t="n">
        <f aca="false">1</f>
        <v>1</v>
      </c>
      <c r="H152" s="57" t="n">
        <f aca="false">C152</f>
        <v>0.5</v>
      </c>
      <c r="I152" s="57" t="n">
        <f aca="false">D152</f>
        <v>0.5</v>
      </c>
      <c r="J152" s="57" t="n">
        <f aca="false">E152</f>
        <v>0.5</v>
      </c>
      <c r="K152" s="55" t="n">
        <f aca="false">F152</f>
        <v>0.2</v>
      </c>
      <c r="L152" s="55" t="n">
        <f aca="false">C152*D152</f>
        <v>0.25</v>
      </c>
      <c r="M152" s="55" t="n">
        <f aca="false">C152*E152</f>
        <v>0.25</v>
      </c>
      <c r="N152" s="55" t="n">
        <f aca="false">C152*F152</f>
        <v>0.1</v>
      </c>
      <c r="O152" s="55" t="n">
        <f aca="false">D152*E152</f>
        <v>0.25</v>
      </c>
      <c r="P152" s="55" t="n">
        <f aca="false">D152*F152</f>
        <v>0.1</v>
      </c>
      <c r="Q152" s="55" t="n">
        <f aca="false">E152*F152</f>
        <v>0.1</v>
      </c>
      <c r="R152" s="55" t="n">
        <f aca="false">C152*C152</f>
        <v>0.25</v>
      </c>
      <c r="S152" s="55" t="n">
        <f aca="false">D152*D152</f>
        <v>0.25</v>
      </c>
      <c r="T152" s="55" t="n">
        <f aca="false">E152*E152</f>
        <v>0.25</v>
      </c>
      <c r="U152" s="55" t="n">
        <f aca="false">F152*F152</f>
        <v>0.04</v>
      </c>
      <c r="V152" s="55" t="n">
        <f aca="false">SUMPRODUCT(G152:U152,_XtX!$B$96:$P$96)</f>
        <v>49.2704071637427</v>
      </c>
      <c r="W152" s="55" t="n">
        <f aca="false">SUMPRODUCT(MMULT(G152:U152,_XtX!$B$78:$P$92),G152:U152)</f>
        <v>0.135775621345029</v>
      </c>
      <c r="X152" s="55" t="n">
        <f aca="false">V152-04_回帰ANOVA!$K$19*04_回帰ANOVA!$K$14*SQRT(1+W152)</f>
        <v>47.8812714911034</v>
      </c>
      <c r="Y152" s="55" t="n">
        <f aca="false">V152+04_回帰ANOVA!$K$19*04_回帰ANOVA!$K$14*SQRT(1+W152)</f>
        <v>50.6595428363819</v>
      </c>
      <c r="Z152" s="54" t="b">
        <f aca="false">AND(C152&gt;=01_因子設定!$L$5-0.000000001,C152&lt;=01_因子設定!$M$5+0.000000001,D152&gt;=01_因子設定!$L$6-0.000000001,D152&lt;=01_因子設定!$M$6+0.000000001,E152&gt;=01_因子設定!$L$7-0.000000001,E152&lt;=01_因子設定!$M$7+0.000000001,F152&gt;=01_因子設定!$L$8-0.000000001,F152&lt;=01_因子設定!$M$8+0.000000001,IF(01_因子設定!$B$20="Box-Behnken",C152^2+D152^2+E152^2+F152^2&lt;=2+0.000000001,TRUE()))</f>
        <v>1</v>
      </c>
      <c r="AA152" s="55" t="n">
        <f aca="false">IF(Z152,IF(01_因子設定!$B$13="最大化",X152-01_因子設定!$B$14,IF(01_因子設定!$B$13="最小化",01_因子設定!$B$15-Y152,MIN(X152-01_因子設定!$B$14,01_因子設定!$B$15-Y152))),-1E+030)</f>
        <v>1.38127149110336</v>
      </c>
      <c r="AB152" s="55" t="n">
        <f aca="false">IF(AA152&gt;=0,1,0)</f>
        <v>1</v>
      </c>
    </row>
    <row r="153" customFormat="false" ht="15" hidden="false" customHeight="false" outlineLevel="0" collapsed="false">
      <c r="A153" s="0" t="n">
        <v>4</v>
      </c>
      <c r="B153" s="0" t="n">
        <v>0.25</v>
      </c>
      <c r="C153" s="57" t="n">
        <f aca="false">07_最適化!$B$6</f>
        <v>0.5</v>
      </c>
      <c r="D153" s="57" t="n">
        <f aca="false">07_最適化!$B$7</f>
        <v>0.5</v>
      </c>
      <c r="E153" s="57" t="n">
        <f aca="false">07_最適化!$B$8</f>
        <v>0.5</v>
      </c>
      <c r="F153" s="55" t="n">
        <f aca="false">B153</f>
        <v>0.25</v>
      </c>
      <c r="G153" s="55" t="n">
        <f aca="false">1</f>
        <v>1</v>
      </c>
      <c r="H153" s="57" t="n">
        <f aca="false">C153</f>
        <v>0.5</v>
      </c>
      <c r="I153" s="57" t="n">
        <f aca="false">D153</f>
        <v>0.5</v>
      </c>
      <c r="J153" s="57" t="n">
        <f aca="false">E153</f>
        <v>0.5</v>
      </c>
      <c r="K153" s="55" t="n">
        <f aca="false">F153</f>
        <v>0.25</v>
      </c>
      <c r="L153" s="55" t="n">
        <f aca="false">C153*D153</f>
        <v>0.25</v>
      </c>
      <c r="M153" s="55" t="n">
        <f aca="false">C153*E153</f>
        <v>0.25</v>
      </c>
      <c r="N153" s="55" t="n">
        <f aca="false">C153*F153</f>
        <v>0.125</v>
      </c>
      <c r="O153" s="55" t="n">
        <f aca="false">D153*E153</f>
        <v>0.25</v>
      </c>
      <c r="P153" s="55" t="n">
        <f aca="false">D153*F153</f>
        <v>0.125</v>
      </c>
      <c r="Q153" s="55" t="n">
        <f aca="false">E153*F153</f>
        <v>0.125</v>
      </c>
      <c r="R153" s="55" t="n">
        <f aca="false">C153*C153</f>
        <v>0.25</v>
      </c>
      <c r="S153" s="55" t="n">
        <f aca="false">D153*D153</f>
        <v>0.25</v>
      </c>
      <c r="T153" s="55" t="n">
        <f aca="false">E153*E153</f>
        <v>0.25</v>
      </c>
      <c r="U153" s="55" t="n">
        <f aca="false">F153*F153</f>
        <v>0.0625</v>
      </c>
      <c r="V153" s="55" t="n">
        <f aca="false">SUMPRODUCT(G153:U153,_XtX!$B$96:$P$96)</f>
        <v>49.2870796783625</v>
      </c>
      <c r="W153" s="55" t="n">
        <f aca="false">SUMPRODUCT(MMULT(G153:U153,_XtX!$B$78:$P$92),G153:U153)</f>
        <v>0.133937545687135</v>
      </c>
      <c r="X153" s="55" t="n">
        <f aca="false">V153-04_回帰ANOVA!$K$19*04_回帰ANOVA!$K$14*SQRT(1+W153)</f>
        <v>47.8990685105543</v>
      </c>
      <c r="Y153" s="55" t="n">
        <f aca="false">V153+04_回帰ANOVA!$K$19*04_回帰ANOVA!$K$14*SQRT(1+W153)</f>
        <v>50.6750908461708</v>
      </c>
      <c r="Z153" s="54" t="b">
        <f aca="false">AND(C153&gt;=01_因子設定!$L$5-0.000000001,C153&lt;=01_因子設定!$M$5+0.000000001,D153&gt;=01_因子設定!$L$6-0.000000001,D153&lt;=01_因子設定!$M$6+0.000000001,E153&gt;=01_因子設定!$L$7-0.000000001,E153&lt;=01_因子設定!$M$7+0.000000001,F153&gt;=01_因子設定!$L$8-0.000000001,F153&lt;=01_因子設定!$M$8+0.000000001,IF(01_因子設定!$B$20="Box-Behnken",C153^2+D153^2+E153^2+F153^2&lt;=2+0.000000001,TRUE()))</f>
        <v>1</v>
      </c>
      <c r="AA153" s="55" t="n">
        <f aca="false">IF(Z153,IF(01_因子設定!$B$13="最大化",X153-01_因子設定!$B$14,IF(01_因子設定!$B$13="最小化",01_因子設定!$B$15-Y153,MIN(X153-01_因子設定!$B$14,01_因子設定!$B$15-Y153))),-1E+030)</f>
        <v>1.39906851055428</v>
      </c>
      <c r="AB153" s="55" t="n">
        <f aca="false">IF(AA153&gt;=0,1,0)</f>
        <v>1</v>
      </c>
    </row>
    <row r="154" customFormat="false" ht="15" hidden="false" customHeight="false" outlineLevel="0" collapsed="false">
      <c r="A154" s="0" t="n">
        <v>4</v>
      </c>
      <c r="B154" s="0" t="n">
        <v>0.3</v>
      </c>
      <c r="C154" s="57" t="n">
        <f aca="false">07_最適化!$B$6</f>
        <v>0.5</v>
      </c>
      <c r="D154" s="57" t="n">
        <f aca="false">07_最適化!$B$7</f>
        <v>0.5</v>
      </c>
      <c r="E154" s="57" t="n">
        <f aca="false">07_最適化!$B$8</f>
        <v>0.5</v>
      </c>
      <c r="F154" s="55" t="n">
        <f aca="false">B154</f>
        <v>0.3</v>
      </c>
      <c r="G154" s="55" t="n">
        <f aca="false">1</f>
        <v>1</v>
      </c>
      <c r="H154" s="57" t="n">
        <f aca="false">C154</f>
        <v>0.5</v>
      </c>
      <c r="I154" s="57" t="n">
        <f aca="false">D154</f>
        <v>0.5</v>
      </c>
      <c r="J154" s="57" t="n">
        <f aca="false">E154</f>
        <v>0.5</v>
      </c>
      <c r="K154" s="55" t="n">
        <f aca="false">F154</f>
        <v>0.3</v>
      </c>
      <c r="L154" s="55" t="n">
        <f aca="false">C154*D154</f>
        <v>0.25</v>
      </c>
      <c r="M154" s="55" t="n">
        <f aca="false">C154*E154</f>
        <v>0.25</v>
      </c>
      <c r="N154" s="55" t="n">
        <f aca="false">C154*F154</f>
        <v>0.15</v>
      </c>
      <c r="O154" s="55" t="n">
        <f aca="false">D154*E154</f>
        <v>0.25</v>
      </c>
      <c r="P154" s="55" t="n">
        <f aca="false">D154*F154</f>
        <v>0.15</v>
      </c>
      <c r="Q154" s="55" t="n">
        <f aca="false">E154*F154</f>
        <v>0.15</v>
      </c>
      <c r="R154" s="55" t="n">
        <f aca="false">C154*C154</f>
        <v>0.25</v>
      </c>
      <c r="S154" s="55" t="n">
        <f aca="false">D154*D154</f>
        <v>0.25</v>
      </c>
      <c r="T154" s="55" t="n">
        <f aca="false">E154*E154</f>
        <v>0.25</v>
      </c>
      <c r="U154" s="55" t="n">
        <f aca="false">F154*F154</f>
        <v>0.09</v>
      </c>
      <c r="V154" s="55" t="n">
        <f aca="false">SUMPRODUCT(G154:U154,_XtX!$B$96:$P$96)</f>
        <v>49.3018399122807</v>
      </c>
      <c r="W154" s="55" t="n">
        <f aca="false">SUMPRODUCT(MMULT(G154:U154,_XtX!$B$78:$P$92),G154:U154)</f>
        <v>0.132221710526316</v>
      </c>
      <c r="X154" s="55" t="n">
        <f aca="false">V154-04_回帰ANOVA!$K$19*04_回帰ANOVA!$K$14*SQRT(1+W154)</f>
        <v>47.9148792873329</v>
      </c>
      <c r="Y154" s="55" t="n">
        <f aca="false">V154+04_回帰ANOVA!$K$19*04_回帰ANOVA!$K$14*SQRT(1+W154)</f>
        <v>50.6888005372284</v>
      </c>
      <c r="Z154" s="54" t="b">
        <f aca="false">AND(C154&gt;=01_因子設定!$L$5-0.000000001,C154&lt;=01_因子設定!$M$5+0.000000001,D154&gt;=01_因子設定!$L$6-0.000000001,D154&lt;=01_因子設定!$M$6+0.000000001,E154&gt;=01_因子設定!$L$7-0.000000001,E154&lt;=01_因子設定!$M$7+0.000000001,F154&gt;=01_因子設定!$L$8-0.000000001,F154&lt;=01_因子設定!$M$8+0.000000001,IF(01_因子設定!$B$20="Box-Behnken",C154^2+D154^2+E154^2+F154^2&lt;=2+0.000000001,TRUE()))</f>
        <v>1</v>
      </c>
      <c r="AA154" s="55" t="n">
        <f aca="false">IF(Z154,IF(01_因子設定!$B$13="最大化",X154-01_因子設定!$B$14,IF(01_因子設定!$B$13="最小化",01_因子設定!$B$15-Y154,MIN(X154-01_因子設定!$B$14,01_因子設定!$B$15-Y154))),-1E+030)</f>
        <v>1.4148792873329</v>
      </c>
      <c r="AB154" s="55" t="n">
        <f aca="false">IF(AA154&gt;=0,1,0)</f>
        <v>1</v>
      </c>
    </row>
    <row r="155" customFormat="false" ht="15" hidden="false" customHeight="false" outlineLevel="0" collapsed="false">
      <c r="A155" s="0" t="n">
        <v>4</v>
      </c>
      <c r="B155" s="0" t="n">
        <v>0.35</v>
      </c>
      <c r="C155" s="57" t="n">
        <f aca="false">07_最適化!$B$6</f>
        <v>0.5</v>
      </c>
      <c r="D155" s="57" t="n">
        <f aca="false">07_最適化!$B$7</f>
        <v>0.5</v>
      </c>
      <c r="E155" s="57" t="n">
        <f aca="false">07_最適化!$B$8</f>
        <v>0.5</v>
      </c>
      <c r="F155" s="55" t="n">
        <f aca="false">B155</f>
        <v>0.35</v>
      </c>
      <c r="G155" s="55" t="n">
        <f aca="false">1</f>
        <v>1</v>
      </c>
      <c r="H155" s="57" t="n">
        <f aca="false">C155</f>
        <v>0.5</v>
      </c>
      <c r="I155" s="57" t="n">
        <f aca="false">D155</f>
        <v>0.5</v>
      </c>
      <c r="J155" s="57" t="n">
        <f aca="false">E155</f>
        <v>0.5</v>
      </c>
      <c r="K155" s="55" t="n">
        <f aca="false">F155</f>
        <v>0.35</v>
      </c>
      <c r="L155" s="55" t="n">
        <f aca="false">C155*D155</f>
        <v>0.25</v>
      </c>
      <c r="M155" s="55" t="n">
        <f aca="false">C155*E155</f>
        <v>0.25</v>
      </c>
      <c r="N155" s="55" t="n">
        <f aca="false">C155*F155</f>
        <v>0.175</v>
      </c>
      <c r="O155" s="55" t="n">
        <f aca="false">D155*E155</f>
        <v>0.25</v>
      </c>
      <c r="P155" s="55" t="n">
        <f aca="false">D155*F155</f>
        <v>0.175</v>
      </c>
      <c r="Q155" s="55" t="n">
        <f aca="false">E155*F155</f>
        <v>0.175</v>
      </c>
      <c r="R155" s="55" t="n">
        <f aca="false">C155*C155</f>
        <v>0.25</v>
      </c>
      <c r="S155" s="55" t="n">
        <f aca="false">D155*D155</f>
        <v>0.25</v>
      </c>
      <c r="T155" s="55" t="n">
        <f aca="false">E155*E155</f>
        <v>0.25</v>
      </c>
      <c r="U155" s="55" t="n">
        <f aca="false">F155*F155</f>
        <v>0.1225</v>
      </c>
      <c r="V155" s="55" t="n">
        <f aca="false">SUMPRODUCT(G155:U155,_XtX!$B$96:$P$96)</f>
        <v>49.314687865497</v>
      </c>
      <c r="W155" s="55" t="n">
        <f aca="false">SUMPRODUCT(MMULT(G155:U155,_XtX!$B$78:$P$92),G155:U155)</f>
        <v>0.130946536915205</v>
      </c>
      <c r="X155" s="55" t="n">
        <f aca="false">V155-04_回帰ANOVA!$K$19*04_回帰ANOVA!$K$14*SQRT(1+W155)</f>
        <v>47.9285084982447</v>
      </c>
      <c r="Y155" s="55" t="n">
        <f aca="false">V155+04_回帰ANOVA!$K$19*04_回帰ANOVA!$K$14*SQRT(1+W155)</f>
        <v>50.7008672327494</v>
      </c>
      <c r="Z155" s="54" t="b">
        <f aca="false">AND(C155&gt;=01_因子設定!$L$5-0.000000001,C155&lt;=01_因子設定!$M$5+0.000000001,D155&gt;=01_因子設定!$L$6-0.000000001,D155&lt;=01_因子設定!$M$6+0.000000001,E155&gt;=01_因子設定!$L$7-0.000000001,E155&lt;=01_因子設定!$M$7+0.000000001,F155&gt;=01_因子設定!$L$8-0.000000001,F155&lt;=01_因子設定!$M$8+0.000000001,IF(01_因子設定!$B$20="Box-Behnken",C155^2+D155^2+E155^2+F155^2&lt;=2+0.000000001,TRUE()))</f>
        <v>1</v>
      </c>
      <c r="AA155" s="55" t="n">
        <f aca="false">IF(Z155,IF(01_因子設定!$B$13="最大化",X155-01_因子設定!$B$14,IF(01_因子設定!$B$13="最小化",01_因子設定!$B$15-Y155,MIN(X155-01_因子設定!$B$14,01_因子設定!$B$15-Y155))),-1E+030)</f>
        <v>1.42850849824468</v>
      </c>
      <c r="AB155" s="55" t="n">
        <f aca="false">IF(AA155&gt;=0,1,0)</f>
        <v>1</v>
      </c>
    </row>
    <row r="156" customFormat="false" ht="15" hidden="false" customHeight="false" outlineLevel="0" collapsed="false">
      <c r="A156" s="0" t="n">
        <v>4</v>
      </c>
      <c r="B156" s="0" t="n">
        <v>0.4</v>
      </c>
      <c r="C156" s="57" t="n">
        <f aca="false">07_最適化!$B$6</f>
        <v>0.5</v>
      </c>
      <c r="D156" s="57" t="n">
        <f aca="false">07_最適化!$B$7</f>
        <v>0.5</v>
      </c>
      <c r="E156" s="57" t="n">
        <f aca="false">07_最適化!$B$8</f>
        <v>0.5</v>
      </c>
      <c r="F156" s="55" t="n">
        <f aca="false">B156</f>
        <v>0.4</v>
      </c>
      <c r="G156" s="55" t="n">
        <f aca="false">1</f>
        <v>1</v>
      </c>
      <c r="H156" s="57" t="n">
        <f aca="false">C156</f>
        <v>0.5</v>
      </c>
      <c r="I156" s="57" t="n">
        <f aca="false">D156</f>
        <v>0.5</v>
      </c>
      <c r="J156" s="57" t="n">
        <f aca="false">E156</f>
        <v>0.5</v>
      </c>
      <c r="K156" s="55" t="n">
        <f aca="false">F156</f>
        <v>0.4</v>
      </c>
      <c r="L156" s="55" t="n">
        <f aca="false">C156*D156</f>
        <v>0.25</v>
      </c>
      <c r="M156" s="55" t="n">
        <f aca="false">C156*E156</f>
        <v>0.25</v>
      </c>
      <c r="N156" s="55" t="n">
        <f aca="false">C156*F156</f>
        <v>0.2</v>
      </c>
      <c r="O156" s="55" t="n">
        <f aca="false">D156*E156</f>
        <v>0.25</v>
      </c>
      <c r="P156" s="55" t="n">
        <f aca="false">D156*F156</f>
        <v>0.2</v>
      </c>
      <c r="Q156" s="55" t="n">
        <f aca="false">E156*F156</f>
        <v>0.2</v>
      </c>
      <c r="R156" s="55" t="n">
        <f aca="false">C156*C156</f>
        <v>0.25</v>
      </c>
      <c r="S156" s="55" t="n">
        <f aca="false">D156*D156</f>
        <v>0.25</v>
      </c>
      <c r="T156" s="55" t="n">
        <f aca="false">E156*E156</f>
        <v>0.25</v>
      </c>
      <c r="U156" s="55" t="n">
        <f aca="false">F156*F156</f>
        <v>0.16</v>
      </c>
      <c r="V156" s="55" t="n">
        <f aca="false">SUMPRODUCT(G156:U156,_XtX!$B$96:$P$96)</f>
        <v>49.3256235380117</v>
      </c>
      <c r="W156" s="55" t="n">
        <f aca="false">SUMPRODUCT(MMULT(G156:U156,_XtX!$B$78:$P$92),G156:U156)</f>
        <v>0.130488340643275</v>
      </c>
      <c r="X156" s="55" t="n">
        <f aca="false">V156-04_回帰ANOVA!$K$19*04_回帰ANOVA!$K$14*SQRT(1+W156)</f>
        <v>47.9397250003749</v>
      </c>
      <c r="Y156" s="55" t="n">
        <f aca="false">V156+04_回帰ANOVA!$K$19*04_回帰ANOVA!$K$14*SQRT(1+W156)</f>
        <v>50.7115220756485</v>
      </c>
      <c r="Z156" s="54" t="b">
        <f aca="false">AND(C156&gt;=01_因子設定!$L$5-0.000000001,C156&lt;=01_因子設定!$M$5+0.000000001,D156&gt;=01_因子設定!$L$6-0.000000001,D156&lt;=01_因子設定!$M$6+0.000000001,E156&gt;=01_因子設定!$L$7-0.000000001,E156&lt;=01_因子設定!$M$7+0.000000001,F156&gt;=01_因子設定!$L$8-0.000000001,F156&lt;=01_因子設定!$M$8+0.000000001,IF(01_因子設定!$B$20="Box-Behnken",C156^2+D156^2+E156^2+F156^2&lt;=2+0.000000001,TRUE()))</f>
        <v>1</v>
      </c>
      <c r="AA156" s="55" t="n">
        <f aca="false">IF(Z156,IF(01_因子設定!$B$13="最大化",X156-01_因子設定!$B$14,IF(01_因子設定!$B$13="最小化",01_因子設定!$B$15-Y156,MIN(X156-01_因子設定!$B$14,01_因子設定!$B$15-Y156))),-1E+030)</f>
        <v>1.43972500037486</v>
      </c>
      <c r="AB156" s="55" t="n">
        <f aca="false">IF(AA156&gt;=0,1,0)</f>
        <v>1</v>
      </c>
    </row>
    <row r="157" customFormat="false" ht="15" hidden="false" customHeight="false" outlineLevel="0" collapsed="false">
      <c r="A157" s="0" t="n">
        <v>4</v>
      </c>
      <c r="B157" s="0" t="n">
        <v>0.45</v>
      </c>
      <c r="C157" s="57" t="n">
        <f aca="false">07_最適化!$B$6</f>
        <v>0.5</v>
      </c>
      <c r="D157" s="57" t="n">
        <f aca="false">07_最適化!$B$7</f>
        <v>0.5</v>
      </c>
      <c r="E157" s="57" t="n">
        <f aca="false">07_最適化!$B$8</f>
        <v>0.5</v>
      </c>
      <c r="F157" s="55" t="n">
        <f aca="false">B157</f>
        <v>0.45</v>
      </c>
      <c r="G157" s="55" t="n">
        <f aca="false">1</f>
        <v>1</v>
      </c>
      <c r="H157" s="57" t="n">
        <f aca="false">C157</f>
        <v>0.5</v>
      </c>
      <c r="I157" s="57" t="n">
        <f aca="false">D157</f>
        <v>0.5</v>
      </c>
      <c r="J157" s="57" t="n">
        <f aca="false">E157</f>
        <v>0.5</v>
      </c>
      <c r="K157" s="55" t="n">
        <f aca="false">F157</f>
        <v>0.45</v>
      </c>
      <c r="L157" s="55" t="n">
        <f aca="false">C157*D157</f>
        <v>0.25</v>
      </c>
      <c r="M157" s="55" t="n">
        <f aca="false">C157*E157</f>
        <v>0.25</v>
      </c>
      <c r="N157" s="55" t="n">
        <f aca="false">C157*F157</f>
        <v>0.225</v>
      </c>
      <c r="O157" s="55" t="n">
        <f aca="false">D157*E157</f>
        <v>0.25</v>
      </c>
      <c r="P157" s="55" t="n">
        <f aca="false">D157*F157</f>
        <v>0.225</v>
      </c>
      <c r="Q157" s="55" t="n">
        <f aca="false">E157*F157</f>
        <v>0.225</v>
      </c>
      <c r="R157" s="55" t="n">
        <f aca="false">C157*C157</f>
        <v>0.25</v>
      </c>
      <c r="S157" s="55" t="n">
        <f aca="false">D157*D157</f>
        <v>0.25</v>
      </c>
      <c r="T157" s="55" t="n">
        <f aca="false">E157*E157</f>
        <v>0.25</v>
      </c>
      <c r="U157" s="55" t="n">
        <f aca="false">F157*F157</f>
        <v>0.2025</v>
      </c>
      <c r="V157" s="55" t="n">
        <f aca="false">SUMPRODUCT(G157:U157,_XtX!$B$96:$P$96)</f>
        <v>49.3346469298245</v>
      </c>
      <c r="W157" s="55" t="n">
        <f aca="false">SUMPRODUCT(MMULT(G157:U157,_XtX!$B$78:$P$92),G157:U157)</f>
        <v>0.131281332236842</v>
      </c>
      <c r="X157" s="55" t="n">
        <f aca="false">V157-04_回帰ANOVA!$K$19*04_回帰ANOVA!$K$14*SQRT(1+W157)</f>
        <v>47.9482624016689</v>
      </c>
      <c r="Y157" s="55" t="n">
        <f aca="false">V157+04_回帰ANOVA!$K$19*04_回帰ANOVA!$K$14*SQRT(1+W157)</f>
        <v>50.7210314579802</v>
      </c>
      <c r="Z157" s="54" t="b">
        <f aca="false">AND(C157&gt;=01_因子設定!$L$5-0.000000001,C157&lt;=01_因子設定!$M$5+0.000000001,D157&gt;=01_因子設定!$L$6-0.000000001,D157&lt;=01_因子設定!$M$6+0.000000001,E157&gt;=01_因子設定!$L$7-0.000000001,E157&lt;=01_因子設定!$M$7+0.000000001,F157&gt;=01_因子設定!$L$8-0.000000001,F157&lt;=01_因子設定!$M$8+0.000000001,IF(01_因子設定!$B$20="Box-Behnken",C157^2+D157^2+E157^2+F157^2&lt;=2+0.000000001,TRUE()))</f>
        <v>1</v>
      </c>
      <c r="AA157" s="55" t="n">
        <f aca="false">IF(Z157,IF(01_因子設定!$B$13="最大化",X157-01_因子設定!$B$14,IF(01_因子設定!$B$13="最小化",01_因子設定!$B$15-Y157,MIN(X157-01_因子設定!$B$14,01_因子設定!$B$15-Y157))),-1E+030)</f>
        <v>1.44826240166887</v>
      </c>
      <c r="AB157" s="55" t="n">
        <f aca="false">IF(AA157&gt;=0,1,0)</f>
        <v>1</v>
      </c>
    </row>
    <row r="158" customFormat="false" ht="15" hidden="false" customHeight="false" outlineLevel="0" collapsed="false">
      <c r="A158" s="0" t="n">
        <v>4</v>
      </c>
      <c r="B158" s="0" t="n">
        <v>0.5</v>
      </c>
      <c r="C158" s="57" t="n">
        <f aca="false">07_最適化!$B$6</f>
        <v>0.5</v>
      </c>
      <c r="D158" s="57" t="n">
        <f aca="false">07_最適化!$B$7</f>
        <v>0.5</v>
      </c>
      <c r="E158" s="57" t="n">
        <f aca="false">07_最適化!$B$8</f>
        <v>0.5</v>
      </c>
      <c r="F158" s="55" t="n">
        <f aca="false">B158</f>
        <v>0.5</v>
      </c>
      <c r="G158" s="55" t="n">
        <f aca="false">1</f>
        <v>1</v>
      </c>
      <c r="H158" s="57" t="n">
        <f aca="false">C158</f>
        <v>0.5</v>
      </c>
      <c r="I158" s="57" t="n">
        <f aca="false">D158</f>
        <v>0.5</v>
      </c>
      <c r="J158" s="57" t="n">
        <f aca="false">E158</f>
        <v>0.5</v>
      </c>
      <c r="K158" s="55" t="n">
        <f aca="false">F158</f>
        <v>0.5</v>
      </c>
      <c r="L158" s="55" t="n">
        <f aca="false">C158*D158</f>
        <v>0.25</v>
      </c>
      <c r="M158" s="55" t="n">
        <f aca="false">C158*E158</f>
        <v>0.25</v>
      </c>
      <c r="N158" s="55" t="n">
        <f aca="false">C158*F158</f>
        <v>0.25</v>
      </c>
      <c r="O158" s="55" t="n">
        <f aca="false">D158*E158</f>
        <v>0.25</v>
      </c>
      <c r="P158" s="55" t="n">
        <f aca="false">D158*F158</f>
        <v>0.25</v>
      </c>
      <c r="Q158" s="55" t="n">
        <f aca="false">E158*F158</f>
        <v>0.25</v>
      </c>
      <c r="R158" s="55" t="n">
        <f aca="false">C158*C158</f>
        <v>0.25</v>
      </c>
      <c r="S158" s="55" t="n">
        <f aca="false">D158*D158</f>
        <v>0.25</v>
      </c>
      <c r="T158" s="55" t="n">
        <f aca="false">E158*E158</f>
        <v>0.25</v>
      </c>
      <c r="U158" s="55" t="n">
        <f aca="false">F158*F158</f>
        <v>0.25</v>
      </c>
      <c r="V158" s="55" t="n">
        <f aca="false">SUMPRODUCT(G158:U158,_XtX!$B$96:$P$96)</f>
        <v>49.3417580409356</v>
      </c>
      <c r="W158" s="55" t="n">
        <f aca="false">SUMPRODUCT(MMULT(G158:U158,_XtX!$B$78:$P$92),G158:U158)</f>
        <v>0.133817616959064</v>
      </c>
      <c r="X158" s="55" t="n">
        <f aca="false">V158-04_回帰ANOVA!$K$19*04_回帰ANOVA!$K$14*SQRT(1+W158)</f>
        <v>47.9538202752368</v>
      </c>
      <c r="Y158" s="55" t="n">
        <f aca="false">V158+04_回帰ANOVA!$K$19*04_回帰ANOVA!$K$14*SQRT(1+W158)</f>
        <v>50.7296958066345</v>
      </c>
      <c r="Z158" s="54" t="b">
        <f aca="false">AND(C158&gt;=01_因子設定!$L$5-0.000000001,C158&lt;=01_因子設定!$M$5+0.000000001,D158&gt;=01_因子設定!$L$6-0.000000001,D158&lt;=01_因子設定!$M$6+0.000000001,E158&gt;=01_因子設定!$L$7-0.000000001,E158&lt;=01_因子設定!$M$7+0.000000001,F158&gt;=01_因子設定!$L$8-0.000000001,F158&lt;=01_因子設定!$M$8+0.000000001,IF(01_因子設定!$B$20="Box-Behnken",C158^2+D158^2+E158^2+F158^2&lt;=2+0.000000001,TRUE()))</f>
        <v>1</v>
      </c>
      <c r="AA158" s="55" t="n">
        <f aca="false">IF(Z158,IF(01_因子設定!$B$13="最大化",X158-01_因子設定!$B$14,IF(01_因子設定!$B$13="最小化",01_因子設定!$B$15-Y158,MIN(X158-01_因子設定!$B$14,01_因子設定!$B$15-Y158))),-1E+030)</f>
        <v>1.45382027523677</v>
      </c>
      <c r="AB158" s="55" t="n">
        <f aca="false">IF(AA158&gt;=0,1,0)</f>
        <v>1</v>
      </c>
    </row>
    <row r="159" customFormat="false" ht="15" hidden="false" customHeight="false" outlineLevel="0" collapsed="false">
      <c r="A159" s="0" t="n">
        <v>4</v>
      </c>
      <c r="B159" s="0" t="n">
        <v>0.55</v>
      </c>
      <c r="C159" s="57" t="n">
        <f aca="false">07_最適化!$B$6</f>
        <v>0.5</v>
      </c>
      <c r="D159" s="57" t="n">
        <f aca="false">07_最適化!$B$7</f>
        <v>0.5</v>
      </c>
      <c r="E159" s="57" t="n">
        <f aca="false">07_最適化!$B$8</f>
        <v>0.5</v>
      </c>
      <c r="F159" s="55" t="n">
        <f aca="false">B159</f>
        <v>0.55</v>
      </c>
      <c r="G159" s="55" t="n">
        <f aca="false">1</f>
        <v>1</v>
      </c>
      <c r="H159" s="57" t="n">
        <f aca="false">C159</f>
        <v>0.5</v>
      </c>
      <c r="I159" s="57" t="n">
        <f aca="false">D159</f>
        <v>0.5</v>
      </c>
      <c r="J159" s="57" t="n">
        <f aca="false">E159</f>
        <v>0.5</v>
      </c>
      <c r="K159" s="55" t="n">
        <f aca="false">F159</f>
        <v>0.55</v>
      </c>
      <c r="L159" s="55" t="n">
        <f aca="false">C159*D159</f>
        <v>0.25</v>
      </c>
      <c r="M159" s="55" t="n">
        <f aca="false">C159*E159</f>
        <v>0.25</v>
      </c>
      <c r="N159" s="55" t="n">
        <f aca="false">C159*F159</f>
        <v>0.275</v>
      </c>
      <c r="O159" s="55" t="n">
        <f aca="false">D159*E159</f>
        <v>0.25</v>
      </c>
      <c r="P159" s="55" t="n">
        <f aca="false">D159*F159</f>
        <v>0.275</v>
      </c>
      <c r="Q159" s="55" t="n">
        <f aca="false">E159*F159</f>
        <v>0.275</v>
      </c>
      <c r="R159" s="55" t="n">
        <f aca="false">C159*C159</f>
        <v>0.25</v>
      </c>
      <c r="S159" s="55" t="n">
        <f aca="false">D159*D159</f>
        <v>0.25</v>
      </c>
      <c r="T159" s="55" t="n">
        <f aca="false">E159*E159</f>
        <v>0.25</v>
      </c>
      <c r="U159" s="55" t="n">
        <f aca="false">F159*F159</f>
        <v>0.3025</v>
      </c>
      <c r="V159" s="55" t="n">
        <f aca="false">SUMPRODUCT(G159:U159,_XtX!$B$96:$P$96)</f>
        <v>49.346956871345</v>
      </c>
      <c r="W159" s="55" t="n">
        <f aca="false">SUMPRODUCT(MMULT(G159:U159,_XtX!$B$78:$P$92),G159:U159)</f>
        <v>0.138647194809942</v>
      </c>
      <c r="X159" s="55" t="n">
        <f aca="false">V159-04_回帰ANOVA!$K$19*04_回帰ANOVA!$K$14*SQRT(1+W159)</f>
        <v>47.9560662363255</v>
      </c>
      <c r="Y159" s="55" t="n">
        <f aca="false">V159+04_回帰ANOVA!$K$19*04_回帰ANOVA!$K$14*SQRT(1+W159)</f>
        <v>50.7378475063645</v>
      </c>
      <c r="Z159" s="54" t="b">
        <f aca="false">AND(C159&gt;=01_因子設定!$L$5-0.000000001,C159&lt;=01_因子設定!$M$5+0.000000001,D159&gt;=01_因子設定!$L$6-0.000000001,D159&lt;=01_因子設定!$M$6+0.000000001,E159&gt;=01_因子設定!$L$7-0.000000001,E159&lt;=01_因子設定!$M$7+0.000000001,F159&gt;=01_因子設定!$L$8-0.000000001,F159&lt;=01_因子設定!$M$8+0.000000001,IF(01_因子設定!$B$20="Box-Behnken",C159^2+D159^2+E159^2+F159^2&lt;=2+0.000000001,TRUE()))</f>
        <v>1</v>
      </c>
      <c r="AA159" s="55" t="n">
        <f aca="false">IF(Z159,IF(01_因子設定!$B$13="最大化",X159-01_因子設定!$B$14,IF(01_因子設定!$B$13="最小化",01_因子設定!$B$15-Y159,MIN(X159-01_因子設定!$B$14,01_因子設定!$B$15-Y159))),-1E+030)</f>
        <v>1.4560662363255</v>
      </c>
      <c r="AB159" s="55" t="n">
        <f aca="false">IF(AA159&gt;=0,1,0)</f>
        <v>1</v>
      </c>
    </row>
    <row r="160" customFormat="false" ht="15" hidden="false" customHeight="false" outlineLevel="0" collapsed="false">
      <c r="A160" s="0" t="n">
        <v>4</v>
      </c>
      <c r="B160" s="0" t="n">
        <v>0.6</v>
      </c>
      <c r="C160" s="57" t="n">
        <f aca="false">07_最適化!$B$6</f>
        <v>0.5</v>
      </c>
      <c r="D160" s="57" t="n">
        <f aca="false">07_最適化!$B$7</f>
        <v>0.5</v>
      </c>
      <c r="E160" s="57" t="n">
        <f aca="false">07_最適化!$B$8</f>
        <v>0.5</v>
      </c>
      <c r="F160" s="55" t="n">
        <f aca="false">B160</f>
        <v>0.6</v>
      </c>
      <c r="G160" s="55" t="n">
        <f aca="false">1</f>
        <v>1</v>
      </c>
      <c r="H160" s="57" t="n">
        <f aca="false">C160</f>
        <v>0.5</v>
      </c>
      <c r="I160" s="57" t="n">
        <f aca="false">D160</f>
        <v>0.5</v>
      </c>
      <c r="J160" s="57" t="n">
        <f aca="false">E160</f>
        <v>0.5</v>
      </c>
      <c r="K160" s="55" t="n">
        <f aca="false">F160</f>
        <v>0.6</v>
      </c>
      <c r="L160" s="55" t="n">
        <f aca="false">C160*D160</f>
        <v>0.25</v>
      </c>
      <c r="M160" s="55" t="n">
        <f aca="false">C160*E160</f>
        <v>0.25</v>
      </c>
      <c r="N160" s="55" t="n">
        <f aca="false">C160*F160</f>
        <v>0.3</v>
      </c>
      <c r="O160" s="55" t="n">
        <f aca="false">D160*E160</f>
        <v>0.25</v>
      </c>
      <c r="P160" s="55" t="n">
        <f aca="false">D160*F160</f>
        <v>0.3</v>
      </c>
      <c r="Q160" s="55" t="n">
        <f aca="false">E160*F160</f>
        <v>0.3</v>
      </c>
      <c r="R160" s="55" t="n">
        <f aca="false">C160*C160</f>
        <v>0.25</v>
      </c>
      <c r="S160" s="55" t="n">
        <f aca="false">D160*D160</f>
        <v>0.25</v>
      </c>
      <c r="T160" s="55" t="n">
        <f aca="false">E160*E160</f>
        <v>0.25</v>
      </c>
      <c r="U160" s="55" t="n">
        <f aca="false">F160*F160</f>
        <v>0.36</v>
      </c>
      <c r="V160" s="55" t="n">
        <f aca="false">SUMPRODUCT(G160:U160,_XtX!$B$96:$P$96)</f>
        <v>49.3502434210526</v>
      </c>
      <c r="W160" s="55" t="n">
        <f aca="false">SUMPRODUCT(MMULT(G160:U160,_XtX!$B$78:$P$92),G160:U160)</f>
        <v>0.146377960526316</v>
      </c>
      <c r="X160" s="55" t="n">
        <f aca="false">V160-04_回帰ANOVA!$K$19*04_回帰ANOVA!$K$14*SQRT(1+W160)</f>
        <v>47.9546390958358</v>
      </c>
      <c r="Y160" s="55" t="n">
        <f aca="false">V160+04_回帰ANOVA!$K$19*04_回帰ANOVA!$K$14*SQRT(1+W160)</f>
        <v>50.7458477462695</v>
      </c>
      <c r="Z160" s="54" t="b">
        <f aca="false">AND(C160&gt;=01_因子設定!$L$5-0.000000001,C160&lt;=01_因子設定!$M$5+0.000000001,D160&gt;=01_因子設定!$L$6-0.000000001,D160&lt;=01_因子設定!$M$6+0.000000001,E160&gt;=01_因子設定!$L$7-0.000000001,E160&lt;=01_因子設定!$M$7+0.000000001,F160&gt;=01_因子設定!$L$8-0.000000001,F160&lt;=01_因子設定!$M$8+0.000000001,IF(01_因子設定!$B$20="Box-Behnken",C160^2+D160^2+E160^2+F160^2&lt;=2+0.000000001,TRUE()))</f>
        <v>1</v>
      </c>
      <c r="AA160" s="55" t="n">
        <f aca="false">IF(Z160,IF(01_因子設定!$B$13="最大化",X160-01_因子設定!$B$14,IF(01_因子設定!$B$13="最小化",01_因子設定!$B$15-Y160,MIN(X160-01_因子設定!$B$14,01_因子設定!$B$15-Y160))),-1E+030)</f>
        <v>1.45463909583575</v>
      </c>
      <c r="AB160" s="55" t="n">
        <f aca="false">IF(AA160&gt;=0,1,0)</f>
        <v>1</v>
      </c>
    </row>
    <row r="161" customFormat="false" ht="15" hidden="false" customHeight="false" outlineLevel="0" collapsed="false">
      <c r="A161" s="0" t="n">
        <v>4</v>
      </c>
      <c r="B161" s="0" t="n">
        <v>0.65</v>
      </c>
      <c r="C161" s="57" t="n">
        <f aca="false">07_最適化!$B$6</f>
        <v>0.5</v>
      </c>
      <c r="D161" s="57" t="n">
        <f aca="false">07_最適化!$B$7</f>
        <v>0.5</v>
      </c>
      <c r="E161" s="57" t="n">
        <f aca="false">07_最適化!$B$8</f>
        <v>0.5</v>
      </c>
      <c r="F161" s="55" t="n">
        <f aca="false">B161</f>
        <v>0.65</v>
      </c>
      <c r="G161" s="55" t="n">
        <f aca="false">1</f>
        <v>1</v>
      </c>
      <c r="H161" s="57" t="n">
        <f aca="false">C161</f>
        <v>0.5</v>
      </c>
      <c r="I161" s="57" t="n">
        <f aca="false">D161</f>
        <v>0.5</v>
      </c>
      <c r="J161" s="57" t="n">
        <f aca="false">E161</f>
        <v>0.5</v>
      </c>
      <c r="K161" s="55" t="n">
        <f aca="false">F161</f>
        <v>0.65</v>
      </c>
      <c r="L161" s="55" t="n">
        <f aca="false">C161*D161</f>
        <v>0.25</v>
      </c>
      <c r="M161" s="55" t="n">
        <f aca="false">C161*E161</f>
        <v>0.25</v>
      </c>
      <c r="N161" s="55" t="n">
        <f aca="false">C161*F161</f>
        <v>0.325</v>
      </c>
      <c r="O161" s="55" t="n">
        <f aca="false">D161*E161</f>
        <v>0.25</v>
      </c>
      <c r="P161" s="55" t="n">
        <f aca="false">D161*F161</f>
        <v>0.325</v>
      </c>
      <c r="Q161" s="55" t="n">
        <f aca="false">E161*F161</f>
        <v>0.325</v>
      </c>
      <c r="R161" s="55" t="n">
        <f aca="false">C161*C161</f>
        <v>0.25</v>
      </c>
      <c r="S161" s="55" t="n">
        <f aca="false">D161*D161</f>
        <v>0.25</v>
      </c>
      <c r="T161" s="55" t="n">
        <f aca="false">E161*E161</f>
        <v>0.25</v>
      </c>
      <c r="U161" s="55" t="n">
        <f aca="false">F161*F161</f>
        <v>0.4225</v>
      </c>
      <c r="V161" s="55" t="n">
        <f aca="false">SUMPRODUCT(G161:U161,_XtX!$B$96:$P$96)</f>
        <v>49.3516176900585</v>
      </c>
      <c r="W161" s="55" t="n">
        <f aca="false">SUMPRODUCT(MMULT(G161:U161,_XtX!$B$78:$P$92),G161:U161)</f>
        <v>0.157675703581871</v>
      </c>
      <c r="X161" s="55" t="n">
        <f aca="false">V161-04_回帰ANOVA!$K$19*04_回帰ANOVA!$K$14*SQRT(1+W161)</f>
        <v>47.949153270339</v>
      </c>
      <c r="Y161" s="55" t="n">
        <f aca="false">V161+04_回帰ANOVA!$K$19*04_回帰ANOVA!$K$14*SQRT(1+W161)</f>
        <v>50.7540821097779</v>
      </c>
      <c r="Z161" s="54" t="b">
        <f aca="false">AND(C161&gt;=01_因子設定!$L$5-0.000000001,C161&lt;=01_因子設定!$M$5+0.000000001,D161&gt;=01_因子設定!$L$6-0.000000001,D161&lt;=01_因子設定!$M$6+0.000000001,E161&gt;=01_因子設定!$L$7-0.000000001,E161&lt;=01_因子設定!$M$7+0.000000001,F161&gt;=01_因子設定!$L$8-0.000000001,F161&lt;=01_因子設定!$M$8+0.000000001,IF(01_因子設定!$B$20="Box-Behnken",C161^2+D161^2+E161^2+F161^2&lt;=2+0.000000001,TRUE()))</f>
        <v>1</v>
      </c>
      <c r="AA161" s="55" t="n">
        <f aca="false">IF(Z161,IF(01_因子設定!$B$13="最大化",X161-01_因子設定!$B$14,IF(01_因子設定!$B$13="最小化",01_因子設定!$B$15-Y161,MIN(X161-01_因子設定!$B$14,01_因子設定!$B$15-Y161))),-1E+030)</f>
        <v>1.44915327033903</v>
      </c>
      <c r="AB161" s="55" t="n">
        <f aca="false">IF(AA161&gt;=0,1,0)</f>
        <v>1</v>
      </c>
    </row>
    <row r="162" customFormat="false" ht="15" hidden="false" customHeight="false" outlineLevel="0" collapsed="false">
      <c r="A162" s="0" t="n">
        <v>4</v>
      </c>
      <c r="B162" s="0" t="n">
        <v>0.7</v>
      </c>
      <c r="C162" s="57" t="n">
        <f aca="false">07_最適化!$B$6</f>
        <v>0.5</v>
      </c>
      <c r="D162" s="57" t="n">
        <f aca="false">07_最適化!$B$7</f>
        <v>0.5</v>
      </c>
      <c r="E162" s="57" t="n">
        <f aca="false">07_最適化!$B$8</f>
        <v>0.5</v>
      </c>
      <c r="F162" s="55" t="n">
        <f aca="false">B162</f>
        <v>0.7</v>
      </c>
      <c r="G162" s="55" t="n">
        <f aca="false">1</f>
        <v>1</v>
      </c>
      <c r="H162" s="57" t="n">
        <f aca="false">C162</f>
        <v>0.5</v>
      </c>
      <c r="I162" s="57" t="n">
        <f aca="false">D162</f>
        <v>0.5</v>
      </c>
      <c r="J162" s="57" t="n">
        <f aca="false">E162</f>
        <v>0.5</v>
      </c>
      <c r="K162" s="55" t="n">
        <f aca="false">F162</f>
        <v>0.7</v>
      </c>
      <c r="L162" s="55" t="n">
        <f aca="false">C162*D162</f>
        <v>0.25</v>
      </c>
      <c r="M162" s="55" t="n">
        <f aca="false">C162*E162</f>
        <v>0.25</v>
      </c>
      <c r="N162" s="55" t="n">
        <f aca="false">C162*F162</f>
        <v>0.35</v>
      </c>
      <c r="O162" s="55" t="n">
        <f aca="false">D162*E162</f>
        <v>0.25</v>
      </c>
      <c r="P162" s="55" t="n">
        <f aca="false">D162*F162</f>
        <v>0.35</v>
      </c>
      <c r="Q162" s="55" t="n">
        <f aca="false">E162*F162</f>
        <v>0.35</v>
      </c>
      <c r="R162" s="55" t="n">
        <f aca="false">C162*C162</f>
        <v>0.25</v>
      </c>
      <c r="S162" s="55" t="n">
        <f aca="false">D162*D162</f>
        <v>0.25</v>
      </c>
      <c r="T162" s="55" t="n">
        <f aca="false">E162*E162</f>
        <v>0.25</v>
      </c>
      <c r="U162" s="55" t="n">
        <f aca="false">F162*F162</f>
        <v>0.49</v>
      </c>
      <c r="V162" s="55" t="n">
        <f aca="false">SUMPRODUCT(G162:U162,_XtX!$B$96:$P$96)</f>
        <v>49.3510796783625</v>
      </c>
      <c r="W162" s="55" t="n">
        <f aca="false">SUMPRODUCT(MMULT(G162:U162,_XtX!$B$78:$P$92),G162:U162)</f>
        <v>0.173264108187135</v>
      </c>
      <c r="X162" s="55" t="n">
        <f aca="false">V162-04_回帰ANOVA!$K$19*04_回帰ANOVA!$K$14*SQRT(1+W162)</f>
        <v>47.9392045579118</v>
      </c>
      <c r="Y162" s="55" t="n">
        <f aca="false">V162+04_回帰ANOVA!$K$19*04_回帰ANOVA!$K$14*SQRT(1+W162)</f>
        <v>50.7629547988133</v>
      </c>
      <c r="Z162" s="54" t="b">
        <f aca="false">AND(C162&gt;=01_因子設定!$L$5-0.000000001,C162&lt;=01_因子設定!$M$5+0.000000001,D162&gt;=01_因子設定!$L$6-0.000000001,D162&lt;=01_因子設定!$M$6+0.000000001,E162&gt;=01_因子設定!$L$7-0.000000001,E162&lt;=01_因子設定!$M$7+0.000000001,F162&gt;=01_因子設定!$L$8-0.000000001,F162&lt;=01_因子設定!$M$8+0.000000001,IF(01_因子設定!$B$20="Box-Behnken",C162^2+D162^2+E162^2+F162^2&lt;=2+0.000000001,TRUE()))</f>
        <v>1</v>
      </c>
      <c r="AA162" s="55" t="n">
        <f aca="false">IF(Z162,IF(01_因子設定!$B$13="最大化",X162-01_因子設定!$B$14,IF(01_因子設定!$B$13="最小化",01_因子設定!$B$15-Y162,MIN(X162-01_因子設定!$B$14,01_因子設定!$B$15-Y162))),-1E+030)</f>
        <v>1.43920455791177</v>
      </c>
      <c r="AB162" s="55" t="n">
        <f aca="false">IF(AA162&gt;=0,1,0)</f>
        <v>1</v>
      </c>
    </row>
    <row r="163" customFormat="false" ht="15" hidden="false" customHeight="false" outlineLevel="0" collapsed="false">
      <c r="A163" s="0" t="n">
        <v>4</v>
      </c>
      <c r="B163" s="0" t="n">
        <v>0.75</v>
      </c>
      <c r="C163" s="57" t="n">
        <f aca="false">07_最適化!$B$6</f>
        <v>0.5</v>
      </c>
      <c r="D163" s="57" t="n">
        <f aca="false">07_最適化!$B$7</f>
        <v>0.5</v>
      </c>
      <c r="E163" s="57" t="n">
        <f aca="false">07_最適化!$B$8</f>
        <v>0.5</v>
      </c>
      <c r="F163" s="55" t="n">
        <f aca="false">B163</f>
        <v>0.75</v>
      </c>
      <c r="G163" s="55" t="n">
        <f aca="false">1</f>
        <v>1</v>
      </c>
      <c r="H163" s="57" t="n">
        <f aca="false">C163</f>
        <v>0.5</v>
      </c>
      <c r="I163" s="57" t="n">
        <f aca="false">D163</f>
        <v>0.5</v>
      </c>
      <c r="J163" s="57" t="n">
        <f aca="false">E163</f>
        <v>0.5</v>
      </c>
      <c r="K163" s="55" t="n">
        <f aca="false">F163</f>
        <v>0.75</v>
      </c>
      <c r="L163" s="55" t="n">
        <f aca="false">C163*D163</f>
        <v>0.25</v>
      </c>
      <c r="M163" s="55" t="n">
        <f aca="false">C163*E163</f>
        <v>0.25</v>
      </c>
      <c r="N163" s="55" t="n">
        <f aca="false">C163*F163</f>
        <v>0.375</v>
      </c>
      <c r="O163" s="55" t="n">
        <f aca="false">D163*E163</f>
        <v>0.25</v>
      </c>
      <c r="P163" s="55" t="n">
        <f aca="false">D163*F163</f>
        <v>0.375</v>
      </c>
      <c r="Q163" s="55" t="n">
        <f aca="false">E163*F163</f>
        <v>0.375</v>
      </c>
      <c r="R163" s="55" t="n">
        <f aca="false">C163*C163</f>
        <v>0.25</v>
      </c>
      <c r="S163" s="55" t="n">
        <f aca="false">D163*D163</f>
        <v>0.25</v>
      </c>
      <c r="T163" s="55" t="n">
        <f aca="false">E163*E163</f>
        <v>0.25</v>
      </c>
      <c r="U163" s="55" t="n">
        <f aca="false">F163*F163</f>
        <v>0.5625</v>
      </c>
      <c r="V163" s="55" t="n">
        <f aca="false">SUMPRODUCT(G163:U163,_XtX!$B$96:$P$96)</f>
        <v>49.3486293859649</v>
      </c>
      <c r="W163" s="55" t="n">
        <f aca="false">SUMPRODUCT(MMULT(G163:U163,_XtX!$B$78:$P$92),G163:U163)</f>
        <v>0.193924753289474</v>
      </c>
      <c r="X163" s="55" t="n">
        <f aca="false">V163-04_回帰ANOVA!$K$19*04_回帰ANOVA!$K$14*SQRT(1+W163)</f>
        <v>47.9243772779733</v>
      </c>
      <c r="Y163" s="55" t="n">
        <f aca="false">V163+04_回帰ANOVA!$K$19*04_回帰ANOVA!$K$14*SQRT(1+W163)</f>
        <v>50.7728814939565</v>
      </c>
      <c r="Z163" s="54" t="b">
        <f aca="false">AND(C163&gt;=01_因子設定!$L$5-0.000000001,C163&lt;=01_因子設定!$M$5+0.000000001,D163&gt;=01_因子設定!$L$6-0.000000001,D163&lt;=01_因子設定!$M$6+0.000000001,E163&gt;=01_因子設定!$L$7-0.000000001,E163&lt;=01_因子設定!$M$7+0.000000001,F163&gt;=01_因子設定!$L$8-0.000000001,F163&lt;=01_因子設定!$M$8+0.000000001,IF(01_因子設定!$B$20="Box-Behnken",C163^2+D163^2+E163^2+F163^2&lt;=2+0.000000001,TRUE()))</f>
        <v>1</v>
      </c>
      <c r="AA163" s="55" t="n">
        <f aca="false">IF(Z163,IF(01_因子設定!$B$13="最大化",X163-01_因子設定!$B$14,IF(01_因子設定!$B$13="最小化",01_因子設定!$B$15-Y163,MIN(X163-01_因子設定!$B$14,01_因子設定!$B$15-Y163))),-1E+030)</f>
        <v>1.42437727797329</v>
      </c>
      <c r="AB163" s="55" t="n">
        <f aca="false">IF(AA163&gt;=0,1,0)</f>
        <v>1</v>
      </c>
    </row>
    <row r="164" customFormat="false" ht="15" hidden="false" customHeight="false" outlineLevel="0" collapsed="false">
      <c r="A164" s="0" t="n">
        <v>4</v>
      </c>
      <c r="B164" s="0" t="n">
        <v>0.8</v>
      </c>
      <c r="C164" s="57" t="n">
        <f aca="false">07_最適化!$B$6</f>
        <v>0.5</v>
      </c>
      <c r="D164" s="57" t="n">
        <f aca="false">07_最適化!$B$7</f>
        <v>0.5</v>
      </c>
      <c r="E164" s="57" t="n">
        <f aca="false">07_最適化!$B$8</f>
        <v>0.5</v>
      </c>
      <c r="F164" s="55" t="n">
        <f aca="false">B164</f>
        <v>0.8</v>
      </c>
      <c r="G164" s="55" t="n">
        <f aca="false">1</f>
        <v>1</v>
      </c>
      <c r="H164" s="57" t="n">
        <f aca="false">C164</f>
        <v>0.5</v>
      </c>
      <c r="I164" s="57" t="n">
        <f aca="false">D164</f>
        <v>0.5</v>
      </c>
      <c r="J164" s="57" t="n">
        <f aca="false">E164</f>
        <v>0.5</v>
      </c>
      <c r="K164" s="55" t="n">
        <f aca="false">F164</f>
        <v>0.8</v>
      </c>
      <c r="L164" s="55" t="n">
        <f aca="false">C164*D164</f>
        <v>0.25</v>
      </c>
      <c r="M164" s="55" t="n">
        <f aca="false">C164*E164</f>
        <v>0.25</v>
      </c>
      <c r="N164" s="55" t="n">
        <f aca="false">C164*F164</f>
        <v>0.4</v>
      </c>
      <c r="O164" s="55" t="n">
        <f aca="false">D164*E164</f>
        <v>0.25</v>
      </c>
      <c r="P164" s="55" t="n">
        <f aca="false">D164*F164</f>
        <v>0.4</v>
      </c>
      <c r="Q164" s="55" t="n">
        <f aca="false">E164*F164</f>
        <v>0.4</v>
      </c>
      <c r="R164" s="55" t="n">
        <f aca="false">C164*C164</f>
        <v>0.25</v>
      </c>
      <c r="S164" s="55" t="n">
        <f aca="false">D164*D164</f>
        <v>0.25</v>
      </c>
      <c r="T164" s="55" t="n">
        <f aca="false">E164*E164</f>
        <v>0.25</v>
      </c>
      <c r="U164" s="55" t="n">
        <f aca="false">F164*F164</f>
        <v>0.64</v>
      </c>
      <c r="V164" s="55" t="n">
        <f aca="false">SUMPRODUCT(G164:U164,_XtX!$B$96:$P$96)</f>
        <v>49.3442668128655</v>
      </c>
      <c r="W164" s="55" t="n">
        <f aca="false">SUMPRODUCT(MMULT(G164:U164,_XtX!$B$78:$P$92),G164:U164)</f>
        <v>0.220497112573099</v>
      </c>
      <c r="X164" s="55" t="n">
        <f aca="false">V164-04_回帰ANOVA!$K$19*04_回帰ANOVA!$K$14*SQRT(1+W164)</f>
        <v>47.9042526255507</v>
      </c>
      <c r="Y164" s="55" t="n">
        <f aca="false">V164+04_回帰ANOVA!$K$19*04_回帰ANOVA!$K$14*SQRT(1+W164)</f>
        <v>50.7842810001802</v>
      </c>
      <c r="Z164" s="54" t="b">
        <f aca="false">AND(C164&gt;=01_因子設定!$L$5-0.000000001,C164&lt;=01_因子設定!$M$5+0.000000001,D164&gt;=01_因子設定!$L$6-0.000000001,D164&lt;=01_因子設定!$M$6+0.000000001,E164&gt;=01_因子設定!$L$7-0.000000001,E164&lt;=01_因子設定!$M$7+0.000000001,F164&gt;=01_因子設定!$L$8-0.000000001,F164&lt;=01_因子設定!$M$8+0.000000001,IF(01_因子設定!$B$20="Box-Behnken",C164^2+D164^2+E164^2+F164^2&lt;=2+0.000000001,TRUE()))</f>
        <v>1</v>
      </c>
      <c r="AA164" s="55" t="n">
        <f aca="false">IF(Z164,IF(01_因子設定!$B$13="最大化",X164-01_因子設定!$B$14,IF(01_因子設定!$B$13="最小化",01_因子設定!$B$15-Y164,MIN(X164-01_因子設定!$B$14,01_因子設定!$B$15-Y164))),-1E+030)</f>
        <v>1.40425262555073</v>
      </c>
      <c r="AB164" s="55" t="n">
        <f aca="false">IF(AA164&gt;=0,1,0)</f>
        <v>1</v>
      </c>
    </row>
    <row r="165" customFormat="false" ht="15" hidden="false" customHeight="false" outlineLevel="0" collapsed="false">
      <c r="A165" s="0" t="n">
        <v>4</v>
      </c>
      <c r="B165" s="0" t="n">
        <v>0.85</v>
      </c>
      <c r="C165" s="57" t="n">
        <f aca="false">07_最適化!$B$6</f>
        <v>0.5</v>
      </c>
      <c r="D165" s="57" t="n">
        <f aca="false">07_最適化!$B$7</f>
        <v>0.5</v>
      </c>
      <c r="E165" s="57" t="n">
        <f aca="false">07_最適化!$B$8</f>
        <v>0.5</v>
      </c>
      <c r="F165" s="55" t="n">
        <f aca="false">B165</f>
        <v>0.85</v>
      </c>
      <c r="G165" s="55" t="n">
        <f aca="false">1</f>
        <v>1</v>
      </c>
      <c r="H165" s="57" t="n">
        <f aca="false">C165</f>
        <v>0.5</v>
      </c>
      <c r="I165" s="57" t="n">
        <f aca="false">D165</f>
        <v>0.5</v>
      </c>
      <c r="J165" s="57" t="n">
        <f aca="false">E165</f>
        <v>0.5</v>
      </c>
      <c r="K165" s="55" t="n">
        <f aca="false">F165</f>
        <v>0.85</v>
      </c>
      <c r="L165" s="55" t="n">
        <f aca="false">C165*D165</f>
        <v>0.25</v>
      </c>
      <c r="M165" s="55" t="n">
        <f aca="false">C165*E165</f>
        <v>0.25</v>
      </c>
      <c r="N165" s="55" t="n">
        <f aca="false">C165*F165</f>
        <v>0.425</v>
      </c>
      <c r="O165" s="55" t="n">
        <f aca="false">D165*E165</f>
        <v>0.25</v>
      </c>
      <c r="P165" s="55" t="n">
        <f aca="false">D165*F165</f>
        <v>0.425</v>
      </c>
      <c r="Q165" s="55" t="n">
        <f aca="false">E165*F165</f>
        <v>0.425</v>
      </c>
      <c r="R165" s="55" t="n">
        <f aca="false">C165*C165</f>
        <v>0.25</v>
      </c>
      <c r="S165" s="55" t="n">
        <f aca="false">D165*D165</f>
        <v>0.25</v>
      </c>
      <c r="T165" s="55" t="n">
        <f aca="false">E165*E165</f>
        <v>0.25</v>
      </c>
      <c r="U165" s="55" t="n">
        <f aca="false">F165*F165</f>
        <v>0.7225</v>
      </c>
      <c r="V165" s="55" t="n">
        <f aca="false">SUMPRODUCT(G165:U165,_XtX!$B$96:$P$96)</f>
        <v>49.3379919590643</v>
      </c>
      <c r="W165" s="55" t="n">
        <f aca="false">SUMPRODUCT(MMULT(G165:U165,_XtX!$B$78:$P$92),G165:U165)</f>
        <v>0.253878554459064</v>
      </c>
      <c r="X165" s="55" t="n">
        <f aca="false">V165-04_回帰ANOVA!$K$19*04_回帰ANOVA!$K$14*SQRT(1+W165)</f>
        <v>47.8784179204139</v>
      </c>
      <c r="Y165" s="55" t="n">
        <f aca="false">V165+04_回帰ANOVA!$K$19*04_回帰ANOVA!$K$14*SQRT(1+W165)</f>
        <v>50.7975659977147</v>
      </c>
      <c r="Z165" s="54" t="b">
        <f aca="false">AND(C165&gt;=01_因子設定!$L$5-0.000000001,C165&lt;=01_因子設定!$M$5+0.000000001,D165&gt;=01_因子設定!$L$6-0.000000001,D165&lt;=01_因子設定!$M$6+0.000000001,E165&gt;=01_因子設定!$L$7-0.000000001,E165&lt;=01_因子設定!$M$7+0.000000001,F165&gt;=01_因子設定!$L$8-0.000000001,F165&lt;=01_因子設定!$M$8+0.000000001,IF(01_因子設定!$B$20="Box-Behnken",C165^2+D165^2+E165^2+F165^2&lt;=2+0.000000001,TRUE()))</f>
        <v>1</v>
      </c>
      <c r="AA165" s="55" t="n">
        <f aca="false">IF(Z165,IF(01_因子設定!$B$13="最大化",X165-01_因子設定!$B$14,IF(01_因子設定!$B$13="最小化",01_因子設定!$B$15-Y165,MIN(X165-01_因子設定!$B$14,01_因子設定!$B$15-Y165))),-1E+030)</f>
        <v>1.37841792041394</v>
      </c>
      <c r="AB165" s="55" t="n">
        <f aca="false">IF(AA165&gt;=0,1,0)</f>
        <v>1</v>
      </c>
    </row>
    <row r="166" customFormat="false" ht="15" hidden="false" customHeight="false" outlineLevel="0" collapsed="false">
      <c r="A166" s="0" t="n">
        <v>4</v>
      </c>
      <c r="B166" s="0" t="n">
        <v>0.9</v>
      </c>
      <c r="C166" s="57" t="n">
        <f aca="false">07_最適化!$B$6</f>
        <v>0.5</v>
      </c>
      <c r="D166" s="57" t="n">
        <f aca="false">07_最適化!$B$7</f>
        <v>0.5</v>
      </c>
      <c r="E166" s="57" t="n">
        <f aca="false">07_最適化!$B$8</f>
        <v>0.5</v>
      </c>
      <c r="F166" s="55" t="n">
        <f aca="false">B166</f>
        <v>0.9</v>
      </c>
      <c r="G166" s="55" t="n">
        <f aca="false">1</f>
        <v>1</v>
      </c>
      <c r="H166" s="57" t="n">
        <f aca="false">C166</f>
        <v>0.5</v>
      </c>
      <c r="I166" s="57" t="n">
        <f aca="false">D166</f>
        <v>0.5</v>
      </c>
      <c r="J166" s="57" t="n">
        <f aca="false">E166</f>
        <v>0.5</v>
      </c>
      <c r="K166" s="55" t="n">
        <f aca="false">F166</f>
        <v>0.9</v>
      </c>
      <c r="L166" s="55" t="n">
        <f aca="false">C166*D166</f>
        <v>0.25</v>
      </c>
      <c r="M166" s="55" t="n">
        <f aca="false">C166*E166</f>
        <v>0.25</v>
      </c>
      <c r="N166" s="55" t="n">
        <f aca="false">C166*F166</f>
        <v>0.45</v>
      </c>
      <c r="O166" s="55" t="n">
        <f aca="false">D166*E166</f>
        <v>0.25</v>
      </c>
      <c r="P166" s="55" t="n">
        <f aca="false">D166*F166</f>
        <v>0.45</v>
      </c>
      <c r="Q166" s="55" t="n">
        <f aca="false">E166*F166</f>
        <v>0.45</v>
      </c>
      <c r="R166" s="55" t="n">
        <f aca="false">C166*C166</f>
        <v>0.25</v>
      </c>
      <c r="S166" s="55" t="n">
        <f aca="false">D166*D166</f>
        <v>0.25</v>
      </c>
      <c r="T166" s="55" t="n">
        <f aca="false">E166*E166</f>
        <v>0.25</v>
      </c>
      <c r="U166" s="55" t="n">
        <f aca="false">F166*F166</f>
        <v>0.81</v>
      </c>
      <c r="V166" s="55" t="n">
        <f aca="false">SUMPRODUCT(G166:U166,_XtX!$B$96:$P$96)</f>
        <v>49.3298048245614</v>
      </c>
      <c r="W166" s="55" t="n">
        <f aca="false">SUMPRODUCT(MMULT(G166:U166,_XtX!$B$78:$P$92),G166:U166)</f>
        <v>0.295024342105263</v>
      </c>
      <c r="X166" s="55" t="n">
        <f aca="false">V166-04_回帰ANOVA!$K$19*04_回帰ANOVA!$K$14*SQRT(1+W166)</f>
        <v>47.8464762649167</v>
      </c>
      <c r="Y166" s="55" t="n">
        <f aca="false">V166+04_回帰ANOVA!$K$19*04_回帰ANOVA!$K$14*SQRT(1+W166)</f>
        <v>50.8131333842061</v>
      </c>
      <c r="Z166" s="54" t="b">
        <f aca="false">AND(C166&gt;=01_因子設定!$L$5-0.000000001,C166&lt;=01_因子設定!$M$5+0.000000001,D166&gt;=01_因子設定!$L$6-0.000000001,D166&lt;=01_因子設定!$M$6+0.000000001,E166&gt;=01_因子設定!$L$7-0.000000001,E166&lt;=01_因子設定!$M$7+0.000000001,F166&gt;=01_因子設定!$L$8-0.000000001,F166&lt;=01_因子設定!$M$8+0.000000001,IF(01_因子設定!$B$20="Box-Behnken",C166^2+D166^2+E166^2+F166^2&lt;=2+0.000000001,TRUE()))</f>
        <v>1</v>
      </c>
      <c r="AA166" s="55" t="n">
        <f aca="false">IF(Z166,IF(01_因子設定!$B$13="最大化",X166-01_因子設定!$B$14,IF(01_因子設定!$B$13="最小化",01_因子設定!$B$15-Y166,MIN(X166-01_因子設定!$B$14,01_因子設定!$B$15-Y166))),-1E+030)</f>
        <v>1.3464762649167</v>
      </c>
      <c r="AB166" s="55" t="n">
        <f aca="false">IF(AA166&gt;=0,1,0)</f>
        <v>1</v>
      </c>
    </row>
    <row r="167" customFormat="false" ht="15" hidden="false" customHeight="false" outlineLevel="0" collapsed="false">
      <c r="A167" s="0" t="n">
        <v>4</v>
      </c>
      <c r="B167" s="0" t="n">
        <v>0.95</v>
      </c>
      <c r="C167" s="57" t="n">
        <f aca="false">07_最適化!$B$6</f>
        <v>0.5</v>
      </c>
      <c r="D167" s="57" t="n">
        <f aca="false">07_最適化!$B$7</f>
        <v>0.5</v>
      </c>
      <c r="E167" s="57" t="n">
        <f aca="false">07_最適化!$B$8</f>
        <v>0.5</v>
      </c>
      <c r="F167" s="55" t="n">
        <f aca="false">B167</f>
        <v>0.95</v>
      </c>
      <c r="G167" s="55" t="n">
        <f aca="false">1</f>
        <v>1</v>
      </c>
      <c r="H167" s="57" t="n">
        <f aca="false">C167</f>
        <v>0.5</v>
      </c>
      <c r="I167" s="57" t="n">
        <f aca="false">D167</f>
        <v>0.5</v>
      </c>
      <c r="J167" s="57" t="n">
        <f aca="false">E167</f>
        <v>0.5</v>
      </c>
      <c r="K167" s="55" t="n">
        <f aca="false">F167</f>
        <v>0.95</v>
      </c>
      <c r="L167" s="55" t="n">
        <f aca="false">C167*D167</f>
        <v>0.25</v>
      </c>
      <c r="M167" s="55" t="n">
        <f aca="false">C167*E167</f>
        <v>0.25</v>
      </c>
      <c r="N167" s="55" t="n">
        <f aca="false">C167*F167</f>
        <v>0.475</v>
      </c>
      <c r="O167" s="55" t="n">
        <f aca="false">D167*E167</f>
        <v>0.25</v>
      </c>
      <c r="P167" s="55" t="n">
        <f aca="false">D167*F167</f>
        <v>0.475</v>
      </c>
      <c r="Q167" s="55" t="n">
        <f aca="false">E167*F167</f>
        <v>0.475</v>
      </c>
      <c r="R167" s="55" t="n">
        <f aca="false">C167*C167</f>
        <v>0.25</v>
      </c>
      <c r="S167" s="55" t="n">
        <f aca="false">D167*D167</f>
        <v>0.25</v>
      </c>
      <c r="T167" s="55" t="n">
        <f aca="false">E167*E167</f>
        <v>0.25</v>
      </c>
      <c r="U167" s="55" t="n">
        <f aca="false">F167*F167</f>
        <v>0.9025</v>
      </c>
      <c r="V167" s="55" t="n">
        <f aca="false">SUMPRODUCT(G167:U167,_XtX!$B$96:$P$96)</f>
        <v>49.3197054093567</v>
      </c>
      <c r="W167" s="55" t="n">
        <f aca="false">SUMPRODUCT(MMULT(G167:U167,_XtX!$B$78:$P$92),G167:U167)</f>
        <v>0.344947633406433</v>
      </c>
      <c r="X167" s="55" t="n">
        <f aca="false">V167-04_回帰ANOVA!$K$19*04_回帰ANOVA!$K$14*SQRT(1+W167)</f>
        <v>47.8080559946115</v>
      </c>
      <c r="Y167" s="55" t="n">
        <f aca="false">V167+04_回帰ANOVA!$K$19*04_回帰ANOVA!$K$14*SQRT(1+W167)</f>
        <v>50.8313548241019</v>
      </c>
      <c r="Z167" s="54" t="b">
        <f aca="false">AND(C167&gt;=01_因子設定!$L$5-0.000000001,C167&lt;=01_因子設定!$M$5+0.000000001,D167&gt;=01_因子設定!$L$6-0.000000001,D167&lt;=01_因子設定!$M$6+0.000000001,E167&gt;=01_因子設定!$L$7-0.000000001,E167&lt;=01_因子設定!$M$7+0.000000001,F167&gt;=01_因子設定!$L$8-0.000000001,F167&lt;=01_因子設定!$M$8+0.000000001,IF(01_因子設定!$B$20="Box-Behnken",C167^2+D167^2+E167^2+F167^2&lt;=2+0.000000001,TRUE()))</f>
        <v>1</v>
      </c>
      <c r="AA167" s="55" t="n">
        <f aca="false">IF(Z167,IF(01_因子設定!$B$13="最大化",X167-01_因子設定!$B$14,IF(01_因子設定!$B$13="最小化",01_因子設定!$B$15-Y167,MIN(X167-01_因子設定!$B$14,01_因子設定!$B$15-Y167))),-1E+030)</f>
        <v>1.30805599461152</v>
      </c>
      <c r="AB167" s="55" t="n">
        <f aca="false">IF(AA167&gt;=0,1,0)</f>
        <v>1</v>
      </c>
    </row>
    <row r="168" customFormat="false" ht="15" hidden="false" customHeight="false" outlineLevel="0" collapsed="false">
      <c r="A168" s="0" t="n">
        <v>4</v>
      </c>
      <c r="B168" s="0" t="n">
        <v>1</v>
      </c>
      <c r="C168" s="57" t="n">
        <f aca="false">07_最適化!$B$6</f>
        <v>0.5</v>
      </c>
      <c r="D168" s="57" t="n">
        <f aca="false">07_最適化!$B$7</f>
        <v>0.5</v>
      </c>
      <c r="E168" s="57" t="n">
        <f aca="false">07_最適化!$B$8</f>
        <v>0.5</v>
      </c>
      <c r="F168" s="55" t="n">
        <f aca="false">B168</f>
        <v>1</v>
      </c>
      <c r="G168" s="55" t="n">
        <f aca="false">1</f>
        <v>1</v>
      </c>
      <c r="H168" s="57" t="n">
        <f aca="false">C168</f>
        <v>0.5</v>
      </c>
      <c r="I168" s="57" t="n">
        <f aca="false">D168</f>
        <v>0.5</v>
      </c>
      <c r="J168" s="57" t="n">
        <f aca="false">E168</f>
        <v>0.5</v>
      </c>
      <c r="K168" s="55" t="n">
        <f aca="false">F168</f>
        <v>1</v>
      </c>
      <c r="L168" s="55" t="n">
        <f aca="false">C168*D168</f>
        <v>0.25</v>
      </c>
      <c r="M168" s="55" t="n">
        <f aca="false">C168*E168</f>
        <v>0.25</v>
      </c>
      <c r="N168" s="55" t="n">
        <f aca="false">C168*F168</f>
        <v>0.5</v>
      </c>
      <c r="O168" s="55" t="n">
        <f aca="false">D168*E168</f>
        <v>0.25</v>
      </c>
      <c r="P168" s="55" t="n">
        <f aca="false">D168*F168</f>
        <v>0.5</v>
      </c>
      <c r="Q168" s="55" t="n">
        <f aca="false">E168*F168</f>
        <v>0.5</v>
      </c>
      <c r="R168" s="55" t="n">
        <f aca="false">C168*C168</f>
        <v>0.25</v>
      </c>
      <c r="S168" s="55" t="n">
        <f aca="false">D168*D168</f>
        <v>0.25</v>
      </c>
      <c r="T168" s="55" t="n">
        <f aca="false">E168*E168</f>
        <v>0.25</v>
      </c>
      <c r="U168" s="55" t="n">
        <f aca="false">F168*F168</f>
        <v>1</v>
      </c>
      <c r="V168" s="55" t="n">
        <f aca="false">SUMPRODUCT(G168:U168,_XtX!$B$96:$P$96)</f>
        <v>49.3076937134503</v>
      </c>
      <c r="W168" s="55" t="n">
        <f aca="false">SUMPRODUCT(MMULT(G168:U168,_XtX!$B$78:$P$92),G168:U168)</f>
        <v>0.404719480994152</v>
      </c>
      <c r="X168" s="55" t="n">
        <f aca="false">V168-04_回帰ANOVA!$K$19*04_回帰ANOVA!$K$14*SQRT(1+W168)</f>
        <v>47.7628192464716</v>
      </c>
      <c r="Y168" s="55" t="n">
        <f aca="false">V168+04_回帰ANOVA!$K$19*04_回帰ANOVA!$K$14*SQRT(1+W168)</f>
        <v>50.852568180429</v>
      </c>
      <c r="Z168" s="54" t="b">
        <f aca="false">AND(C168&gt;=01_因子設定!$L$5-0.000000001,C168&lt;=01_因子設定!$M$5+0.000000001,D168&gt;=01_因子設定!$L$6-0.000000001,D168&lt;=01_因子設定!$M$6+0.000000001,E168&gt;=01_因子設定!$L$7-0.000000001,E168&lt;=01_因子設定!$M$7+0.000000001,F168&gt;=01_因子設定!$L$8-0.000000001,F168&lt;=01_因子設定!$M$8+0.000000001,IF(01_因子設定!$B$20="Box-Behnken",C168^2+D168^2+E168^2+F168^2&lt;=2+0.000000001,TRUE()))</f>
        <v>1</v>
      </c>
      <c r="AA168" s="55" t="n">
        <f aca="false">IF(Z168,IF(01_因子設定!$B$13="最大化",X168-01_因子設定!$B$14,IF(01_因子設定!$B$13="最小化",01_因子設定!$B$15-Y168,MIN(X168-01_因子設定!$B$14,01_因子設定!$B$15-Y168))),-1E+030)</f>
        <v>1.26281924647161</v>
      </c>
      <c r="AB168" s="55" t="n">
        <f aca="false">IF(AA168&gt;=0,1,0)</f>
        <v>1</v>
      </c>
    </row>
    <row r="172" customFormat="false" ht="15" hidden="false" customHeight="false" outlineLevel="0" collapsed="false">
      <c r="A172" s="9" t="s">
        <v>302</v>
      </c>
      <c r="B172" s="9" t="s">
        <v>303</v>
      </c>
      <c r="C172" s="9" t="s">
        <v>304</v>
      </c>
      <c r="D172" s="9" t="s">
        <v>305</v>
      </c>
      <c r="E172" s="9" t="s">
        <v>403</v>
      </c>
      <c r="F172" s="9" t="s">
        <v>404</v>
      </c>
      <c r="G172" s="9" t="s">
        <v>405</v>
      </c>
      <c r="H172" s="9" t="s">
        <v>406</v>
      </c>
      <c r="I172" s="9" t="s">
        <v>64</v>
      </c>
      <c r="J172" s="9" t="s">
        <v>69</v>
      </c>
      <c r="K172" s="9" t="s">
        <v>72</v>
      </c>
      <c r="L172" s="9" t="s">
        <v>76</v>
      </c>
      <c r="M172" s="10" t="s">
        <v>152</v>
      </c>
      <c r="N172" s="9" t="s">
        <v>64</v>
      </c>
      <c r="O172" s="9" t="s">
        <v>69</v>
      </c>
      <c r="P172" s="9" t="s">
        <v>72</v>
      </c>
      <c r="Q172" s="9" t="s">
        <v>76</v>
      </c>
      <c r="R172" s="9" t="s">
        <v>158</v>
      </c>
      <c r="S172" s="9" t="s">
        <v>160</v>
      </c>
      <c r="T172" s="9" t="s">
        <v>162</v>
      </c>
      <c r="U172" s="9" t="s">
        <v>164</v>
      </c>
      <c r="V172" s="9" t="s">
        <v>166</v>
      </c>
      <c r="W172" s="9" t="s">
        <v>168</v>
      </c>
      <c r="X172" s="9" t="s">
        <v>170</v>
      </c>
      <c r="Y172" s="9" t="s">
        <v>172</v>
      </c>
      <c r="Z172" s="9" t="s">
        <v>174</v>
      </c>
      <c r="AA172" s="9" t="s">
        <v>176</v>
      </c>
      <c r="AB172" s="10" t="s">
        <v>245</v>
      </c>
      <c r="AC172" s="9" t="s">
        <v>250</v>
      </c>
      <c r="AD172" s="10" t="s">
        <v>400</v>
      </c>
      <c r="AE172" s="10" t="s">
        <v>401</v>
      </c>
      <c r="AF172" s="10" t="s">
        <v>306</v>
      </c>
      <c r="AG172" s="10" t="s">
        <v>246</v>
      </c>
    </row>
    <row r="173" customFormat="false" ht="15" hidden="false" customHeight="false" outlineLevel="0" collapsed="false">
      <c r="A173" s="0" t="n">
        <v>0</v>
      </c>
      <c r="B173" s="0" t="n">
        <v>0</v>
      </c>
      <c r="C173" s="0" t="n">
        <v>0</v>
      </c>
      <c r="D173" s="0" t="n">
        <v>0</v>
      </c>
      <c r="E173" s="0" t="n">
        <f aca="false">08_工程窓!$C$76+A173*(08_工程窓!$D$76-08_工程窓!$C$76)/2</f>
        <v>62</v>
      </c>
      <c r="F173" s="0" t="n">
        <f aca="false">08_工程窓!$C$77+B173*(08_工程窓!$D$77-08_工程窓!$C$77)/2</f>
        <v>28</v>
      </c>
      <c r="G173" s="0" t="n">
        <f aca="false">08_工程窓!$C$78+C173*(08_工程窓!$D$78-08_工程窓!$C$78)/2</f>
        <v>1.25</v>
      </c>
      <c r="H173" s="0" t="n">
        <f aca="false">08_工程窓!$C$79+D173*(08_工程窓!$D$79-08_工程窓!$C$79)/2</f>
        <v>20</v>
      </c>
      <c r="I173" s="0" t="n">
        <f aca="false">(E173-01_因子設定!$G$5)/01_因子設定!$H$5</f>
        <v>-0.3</v>
      </c>
      <c r="J173" s="0" t="n">
        <f aca="false">(F173-01_因子設定!$G$6)/01_因子設定!$H$6</f>
        <v>-0.2</v>
      </c>
      <c r="K173" s="0" t="n">
        <f aca="false">(G173-01_因子設定!$G$7)/01_因子設定!$H$7</f>
        <v>-0.75</v>
      </c>
      <c r="L173" s="0" t="n">
        <f aca="false">(H173-01_因子設定!$G$8)/01_因子設定!$H$8</f>
        <v>-1</v>
      </c>
      <c r="M173" s="0" t="n">
        <f aca="false">1</f>
        <v>1</v>
      </c>
      <c r="N173" s="0" t="n">
        <f aca="false">I173</f>
        <v>-0.3</v>
      </c>
      <c r="O173" s="0" t="n">
        <f aca="false">J173</f>
        <v>-0.2</v>
      </c>
      <c r="P173" s="0" t="n">
        <f aca="false">K173</f>
        <v>-0.75</v>
      </c>
      <c r="Q173" s="0" t="n">
        <f aca="false">L173</f>
        <v>-1</v>
      </c>
      <c r="R173" s="0" t="n">
        <f aca="false">I173*J173</f>
        <v>0.06</v>
      </c>
      <c r="S173" s="0" t="n">
        <f aca="false">I173*K173</f>
        <v>0.225</v>
      </c>
      <c r="T173" s="0" t="n">
        <f aca="false">I173*L173</f>
        <v>0.3</v>
      </c>
      <c r="U173" s="0" t="n">
        <f aca="false">J173*K173</f>
        <v>0.15</v>
      </c>
      <c r="V173" s="0" t="n">
        <f aca="false">J173*L173</f>
        <v>0.2</v>
      </c>
      <c r="W173" s="0" t="n">
        <f aca="false">K173*L173</f>
        <v>0.75</v>
      </c>
      <c r="X173" s="0" t="n">
        <f aca="false">I173*I173</f>
        <v>0.09</v>
      </c>
      <c r="Y173" s="0" t="n">
        <f aca="false">J173*J173</f>
        <v>0.04</v>
      </c>
      <c r="Z173" s="0" t="n">
        <f aca="false">K173*K173</f>
        <v>0.5625</v>
      </c>
      <c r="AA173" s="0" t="n">
        <f aca="false">L173*L173</f>
        <v>1</v>
      </c>
      <c r="AB173" s="0" t="n">
        <f aca="false">SUMPRODUCT(M173:AA173,_XtX!$B$96:$P$96)</f>
        <v>44.8209766081871</v>
      </c>
      <c r="AC173" s="0" t="n">
        <f aca="false">SUMPRODUCT(MMULT(M173:AA173,_XtX!$B$78:$P$92),M173:AA173)</f>
        <v>0.485909822733918</v>
      </c>
      <c r="AD173" s="0" t="n">
        <f aca="false">AB173-04_回帰ANOVA!$K$19*04_回帰ANOVA!$K$14*SQRT(1+AC173)</f>
        <v>43.2320837259098</v>
      </c>
      <c r="AE173" s="0" t="n">
        <f aca="false">AB173+04_回帰ANOVA!$K$19*04_回帰ANOVA!$K$14*SQRT(1+AC173)</f>
        <v>46.4098694904645</v>
      </c>
      <c r="AF173" s="54" t="b">
        <f aca="false">AND(I173&gt;=01_因子設定!$L$5-0.000000001,I173&lt;=01_因子設定!$M$5+0.000000001,J173&gt;=01_因子設定!$L$6-0.000000001,J173&lt;=01_因子設定!$M$6+0.000000001,K173&gt;=01_因子設定!$L$7-0.000000001,K173&lt;=01_因子設定!$M$7+0.000000001,L173&gt;=01_因子設定!$L$8-0.000000001,L173&lt;=01_因子設定!$M$8+0.000000001,IF(01_因子設定!$B$20="Box-Behnken",I173^2+J173^2+K173^2+L173^2&lt;=2+0.000000001,TRUE()))</f>
        <v>1</v>
      </c>
      <c r="AG173" s="55" t="n">
        <f aca="false">IF(01_因子設定!$B$13="最大化",AD173-01_因子設定!$B$14,IF(01_因子設定!$B$13="最小化",01_因子設定!$B$15-AE173,MIN(AD173-01_因子設定!$B$14,01_因子設定!$B$15-AE173)))</f>
        <v>-3.26791627409023</v>
      </c>
    </row>
    <row r="174" customFormat="false" ht="15" hidden="false" customHeight="false" outlineLevel="0" collapsed="false">
      <c r="A174" s="0" t="n">
        <v>0</v>
      </c>
      <c r="B174" s="0" t="n">
        <v>0</v>
      </c>
      <c r="C174" s="0" t="n">
        <v>0</v>
      </c>
      <c r="D174" s="0" t="n">
        <v>1</v>
      </c>
      <c r="E174" s="0" t="n">
        <f aca="false">08_工程窓!$C$76+A174*(08_工程窓!$D$76-08_工程窓!$C$76)/2</f>
        <v>62</v>
      </c>
      <c r="F174" s="0" t="n">
        <f aca="false">08_工程窓!$C$77+B174*(08_工程窓!$D$77-08_工程窓!$C$77)/2</f>
        <v>28</v>
      </c>
      <c r="G174" s="0" t="n">
        <f aca="false">08_工程窓!$C$78+C174*(08_工程窓!$D$78-08_工程窓!$C$78)/2</f>
        <v>1.25</v>
      </c>
      <c r="H174" s="0" t="n">
        <f aca="false">08_工程窓!$C$79+D174*(08_工程窓!$D$79-08_工程窓!$C$79)/2</f>
        <v>40</v>
      </c>
      <c r="I174" s="0" t="n">
        <f aca="false">(E174-01_因子設定!$G$5)/01_因子設定!$H$5</f>
        <v>-0.3</v>
      </c>
      <c r="J174" s="0" t="n">
        <f aca="false">(F174-01_因子設定!$G$6)/01_因子設定!$H$6</f>
        <v>-0.2</v>
      </c>
      <c r="K174" s="0" t="n">
        <f aca="false">(G174-01_因子設定!$G$7)/01_因子設定!$H$7</f>
        <v>-0.75</v>
      </c>
      <c r="L174" s="0" t="n">
        <f aca="false">(H174-01_因子設定!$G$8)/01_因子設定!$H$8</f>
        <v>0</v>
      </c>
      <c r="M174" s="0" t="n">
        <f aca="false">1</f>
        <v>1</v>
      </c>
      <c r="N174" s="0" t="n">
        <f aca="false">I174</f>
        <v>-0.3</v>
      </c>
      <c r="O174" s="0" t="n">
        <f aca="false">J174</f>
        <v>-0.2</v>
      </c>
      <c r="P174" s="0" t="n">
        <f aca="false">K174</f>
        <v>-0.75</v>
      </c>
      <c r="Q174" s="0" t="n">
        <f aca="false">L174</f>
        <v>0</v>
      </c>
      <c r="R174" s="0" t="n">
        <f aca="false">I174*J174</f>
        <v>0.06</v>
      </c>
      <c r="S174" s="0" t="n">
        <f aca="false">I174*K174</f>
        <v>0.225</v>
      </c>
      <c r="T174" s="0" t="n">
        <f aca="false">I174*L174</f>
        <v>-0</v>
      </c>
      <c r="U174" s="0" t="n">
        <f aca="false">J174*K174</f>
        <v>0.15</v>
      </c>
      <c r="V174" s="0" t="n">
        <f aca="false">J174*L174</f>
        <v>-0</v>
      </c>
      <c r="W174" s="0" t="n">
        <f aca="false">K174*L174</f>
        <v>-0</v>
      </c>
      <c r="X174" s="0" t="n">
        <f aca="false">I174*I174</f>
        <v>0.09</v>
      </c>
      <c r="Y174" s="0" t="n">
        <f aca="false">J174*J174</f>
        <v>0.04</v>
      </c>
      <c r="Z174" s="0" t="n">
        <f aca="false">K174*K174</f>
        <v>0.5625</v>
      </c>
      <c r="AA174" s="0" t="n">
        <f aca="false">L174*L174</f>
        <v>0</v>
      </c>
      <c r="AB174" s="0" t="n">
        <f aca="false">SUMPRODUCT(M174:AA174,_XtX!$B$96:$P$96)</f>
        <v>45.3983633040935</v>
      </c>
      <c r="AC174" s="0" t="n">
        <f aca="false">SUMPRODUCT(MMULT(M174:AA174,_XtX!$B$78:$P$92),M174:AA174)</f>
        <v>0.211678280336257</v>
      </c>
      <c r="AD174" s="0" t="n">
        <f aca="false">AB174-04_回帰ANOVA!$K$19*04_回帰ANOVA!$K$14*SQRT(1+AC174)</f>
        <v>43.9635610368211</v>
      </c>
      <c r="AE174" s="0" t="n">
        <f aca="false">AB174+04_回帰ANOVA!$K$19*04_回帰ANOVA!$K$14*SQRT(1+AC174)</f>
        <v>46.8331655713659</v>
      </c>
      <c r="AF174" s="54" t="b">
        <f aca="false">AND(I174&gt;=01_因子設定!$L$5-0.000000001,I174&lt;=01_因子設定!$M$5+0.000000001,J174&gt;=01_因子設定!$L$6-0.000000001,J174&lt;=01_因子設定!$M$6+0.000000001,K174&gt;=01_因子設定!$L$7-0.000000001,K174&lt;=01_因子設定!$M$7+0.000000001,L174&gt;=01_因子設定!$L$8-0.000000001,L174&lt;=01_因子設定!$M$8+0.000000001,IF(01_因子設定!$B$20="Box-Behnken",I174^2+J174^2+K174^2+L174^2&lt;=2+0.000000001,TRUE()))</f>
        <v>1</v>
      </c>
      <c r="AG174" s="55" t="n">
        <f aca="false">IF(01_因子設定!$B$13="最大化",AD174-01_因子設定!$B$14,IF(01_因子設定!$B$13="最小化",01_因子設定!$B$15-AE174,MIN(AD174-01_因子設定!$B$14,01_因子設定!$B$15-AE174)))</f>
        <v>-2.53643896317886</v>
      </c>
    </row>
    <row r="175" customFormat="false" ht="15" hidden="false" customHeight="false" outlineLevel="0" collapsed="false">
      <c r="A175" s="0" t="n">
        <v>0</v>
      </c>
      <c r="B175" s="0" t="n">
        <v>0</v>
      </c>
      <c r="C175" s="0" t="n">
        <v>0</v>
      </c>
      <c r="D175" s="0" t="n">
        <v>2</v>
      </c>
      <c r="E175" s="0" t="n">
        <f aca="false">08_工程窓!$C$76+A175*(08_工程窓!$D$76-08_工程窓!$C$76)/2</f>
        <v>62</v>
      </c>
      <c r="F175" s="0" t="n">
        <f aca="false">08_工程窓!$C$77+B175*(08_工程窓!$D$77-08_工程窓!$C$77)/2</f>
        <v>28</v>
      </c>
      <c r="G175" s="0" t="n">
        <f aca="false">08_工程窓!$C$78+C175*(08_工程窓!$D$78-08_工程窓!$C$78)/2</f>
        <v>1.25</v>
      </c>
      <c r="H175" s="0" t="n">
        <f aca="false">08_工程窓!$C$79+D175*(08_工程窓!$D$79-08_工程窓!$C$79)/2</f>
        <v>60</v>
      </c>
      <c r="I175" s="0" t="n">
        <f aca="false">(E175-01_因子設定!$G$5)/01_因子設定!$H$5</f>
        <v>-0.3</v>
      </c>
      <c r="J175" s="0" t="n">
        <f aca="false">(F175-01_因子設定!$G$6)/01_因子設定!$H$6</f>
        <v>-0.2</v>
      </c>
      <c r="K175" s="0" t="n">
        <f aca="false">(G175-01_因子設定!$G$7)/01_因子設定!$H$7</f>
        <v>-0.75</v>
      </c>
      <c r="L175" s="0" t="n">
        <f aca="false">(H175-01_因子設定!$G$8)/01_因子設定!$H$8</f>
        <v>1</v>
      </c>
      <c r="M175" s="0" t="n">
        <f aca="false">1</f>
        <v>1</v>
      </c>
      <c r="N175" s="0" t="n">
        <f aca="false">I175</f>
        <v>-0.3</v>
      </c>
      <c r="O175" s="0" t="n">
        <f aca="false">J175</f>
        <v>-0.2</v>
      </c>
      <c r="P175" s="0" t="n">
        <f aca="false">K175</f>
        <v>-0.75</v>
      </c>
      <c r="Q175" s="0" t="n">
        <f aca="false">L175</f>
        <v>1</v>
      </c>
      <c r="R175" s="0" t="n">
        <f aca="false">I175*J175</f>
        <v>0.06</v>
      </c>
      <c r="S175" s="0" t="n">
        <f aca="false">I175*K175</f>
        <v>0.225</v>
      </c>
      <c r="T175" s="0" t="n">
        <f aca="false">I175*L175</f>
        <v>-0.3</v>
      </c>
      <c r="U175" s="0" t="n">
        <f aca="false">J175*K175</f>
        <v>0.15</v>
      </c>
      <c r="V175" s="0" t="n">
        <f aca="false">J175*L175</f>
        <v>-0.2</v>
      </c>
      <c r="W175" s="0" t="n">
        <f aca="false">K175*L175</f>
        <v>-0.75</v>
      </c>
      <c r="X175" s="0" t="n">
        <f aca="false">I175*I175</f>
        <v>0.09</v>
      </c>
      <c r="Y175" s="0" t="n">
        <f aca="false">J175*J175</f>
        <v>0.04</v>
      </c>
      <c r="Z175" s="0" t="n">
        <f aca="false">K175*K175</f>
        <v>0.5625</v>
      </c>
      <c r="AA175" s="0" t="n">
        <f aca="false">L175*L175</f>
        <v>1</v>
      </c>
      <c r="AB175" s="0" t="n">
        <f aca="false">SUMPRODUCT(M175:AA175,_XtX!$B$96:$P$96)</f>
        <v>45.2108377192982</v>
      </c>
      <c r="AC175" s="0" t="n">
        <f aca="false">SUMPRODUCT(MMULT(M175:AA175,_XtX!$B$78:$P$92),M175:AA175)</f>
        <v>0.485909822733918</v>
      </c>
      <c r="AD175" s="0" t="n">
        <f aca="false">AB175-04_回帰ANOVA!$K$19*04_回帰ANOVA!$K$14*SQRT(1+AC175)</f>
        <v>43.6219448370209</v>
      </c>
      <c r="AE175" s="0" t="n">
        <f aca="false">AB175+04_回帰ANOVA!$K$19*04_回帰ANOVA!$K$14*SQRT(1+AC175)</f>
        <v>46.7997306015756</v>
      </c>
      <c r="AF175" s="54" t="b">
        <f aca="false">AND(I175&gt;=01_因子設定!$L$5-0.000000001,I175&lt;=01_因子設定!$M$5+0.000000001,J175&gt;=01_因子設定!$L$6-0.000000001,J175&lt;=01_因子設定!$M$6+0.000000001,K175&gt;=01_因子設定!$L$7-0.000000001,K175&lt;=01_因子設定!$M$7+0.000000001,L175&gt;=01_因子設定!$L$8-0.000000001,L175&lt;=01_因子設定!$M$8+0.000000001,IF(01_因子設定!$B$20="Box-Behnken",I175^2+J175^2+K175^2+L175^2&lt;=2+0.000000001,TRUE()))</f>
        <v>1</v>
      </c>
      <c r="AG175" s="55" t="n">
        <f aca="false">IF(01_因子設定!$B$13="最大化",AD175-01_因子設定!$B$14,IF(01_因子設定!$B$13="最小化",01_因子設定!$B$15-AE175,MIN(AD175-01_因子設定!$B$14,01_因子設定!$B$15-AE175)))</f>
        <v>-2.87805516297912</v>
      </c>
    </row>
    <row r="176" customFormat="false" ht="15" hidden="false" customHeight="false" outlineLevel="0" collapsed="false">
      <c r="A176" s="0" t="n">
        <v>0</v>
      </c>
      <c r="B176" s="0" t="n">
        <v>0</v>
      </c>
      <c r="C176" s="0" t="n">
        <v>1</v>
      </c>
      <c r="D176" s="0" t="n">
        <v>0</v>
      </c>
      <c r="E176" s="0" t="n">
        <f aca="false">08_工程窓!$C$76+A176*(08_工程窓!$D$76-08_工程窓!$C$76)/2</f>
        <v>62</v>
      </c>
      <c r="F176" s="0" t="n">
        <f aca="false">08_工程窓!$C$77+B176*(08_工程窓!$D$77-08_工程窓!$C$77)/2</f>
        <v>28</v>
      </c>
      <c r="G176" s="0" t="n">
        <f aca="false">08_工程窓!$C$78+C176*(08_工程窓!$D$78-08_工程窓!$C$78)/2</f>
        <v>2.125</v>
      </c>
      <c r="H176" s="0" t="n">
        <f aca="false">08_工程窓!$C$79+D176*(08_工程窓!$D$79-08_工程窓!$C$79)/2</f>
        <v>20</v>
      </c>
      <c r="I176" s="0" t="n">
        <f aca="false">(E176-01_因子設定!$G$5)/01_因子設定!$H$5</f>
        <v>-0.3</v>
      </c>
      <c r="J176" s="0" t="n">
        <f aca="false">(F176-01_因子設定!$G$6)/01_因子設定!$H$6</f>
        <v>-0.2</v>
      </c>
      <c r="K176" s="0" t="n">
        <f aca="false">(G176-01_因子設定!$G$7)/01_因子設定!$H$7</f>
        <v>0.125</v>
      </c>
      <c r="L176" s="0" t="n">
        <f aca="false">(H176-01_因子設定!$G$8)/01_因子設定!$H$8</f>
        <v>-1</v>
      </c>
      <c r="M176" s="0" t="n">
        <f aca="false">1</f>
        <v>1</v>
      </c>
      <c r="N176" s="0" t="n">
        <f aca="false">I176</f>
        <v>-0.3</v>
      </c>
      <c r="O176" s="0" t="n">
        <f aca="false">J176</f>
        <v>-0.2</v>
      </c>
      <c r="P176" s="0" t="n">
        <f aca="false">K176</f>
        <v>0.125</v>
      </c>
      <c r="Q176" s="0" t="n">
        <f aca="false">L176</f>
        <v>-1</v>
      </c>
      <c r="R176" s="0" t="n">
        <f aca="false">I176*J176</f>
        <v>0.06</v>
      </c>
      <c r="S176" s="0" t="n">
        <f aca="false">I176*K176</f>
        <v>-0.0375</v>
      </c>
      <c r="T176" s="0" t="n">
        <f aca="false">I176*L176</f>
        <v>0.3</v>
      </c>
      <c r="U176" s="0" t="n">
        <f aca="false">J176*K176</f>
        <v>-0.025</v>
      </c>
      <c r="V176" s="0" t="n">
        <f aca="false">J176*L176</f>
        <v>0.2</v>
      </c>
      <c r="W176" s="0" t="n">
        <f aca="false">K176*L176</f>
        <v>-0.125</v>
      </c>
      <c r="X176" s="0" t="n">
        <f aca="false">I176*I176</f>
        <v>0.09</v>
      </c>
      <c r="Y176" s="0" t="n">
        <f aca="false">J176*J176</f>
        <v>0.04</v>
      </c>
      <c r="Z176" s="0" t="n">
        <f aca="false">K176*K176</f>
        <v>0.015625</v>
      </c>
      <c r="AA176" s="0" t="n">
        <f aca="false">L176*L176</f>
        <v>1</v>
      </c>
      <c r="AB176" s="0" t="n">
        <f aca="false">SUMPRODUCT(M176:AA176,_XtX!$B$96:$P$96)</f>
        <v>45.9189864766082</v>
      </c>
      <c r="AC176" s="0" t="n">
        <f aca="false">SUMPRODUCT(MMULT(M176:AA176,_XtX!$B$78:$P$92),M176:AA176)</f>
        <v>0.464600486567983</v>
      </c>
      <c r="AD176" s="0" t="n">
        <f aca="false">AB176-04_回帰ANOVA!$K$19*04_回帰ANOVA!$K$14*SQRT(1+AC176)</f>
        <v>44.3415278415819</v>
      </c>
      <c r="AE176" s="0" t="n">
        <f aca="false">AB176+04_回帰ANOVA!$K$19*04_回帰ANOVA!$K$14*SQRT(1+AC176)</f>
        <v>47.4964451116344</v>
      </c>
      <c r="AF176" s="54" t="b">
        <f aca="false">AND(I176&gt;=01_因子設定!$L$5-0.000000001,I176&lt;=01_因子設定!$M$5+0.000000001,J176&gt;=01_因子設定!$L$6-0.000000001,J176&lt;=01_因子設定!$M$6+0.000000001,K176&gt;=01_因子設定!$L$7-0.000000001,K176&lt;=01_因子設定!$M$7+0.000000001,L176&gt;=01_因子設定!$L$8-0.000000001,L176&lt;=01_因子設定!$M$8+0.000000001,IF(01_因子設定!$B$20="Box-Behnken",I176^2+J176^2+K176^2+L176^2&lt;=2+0.000000001,TRUE()))</f>
        <v>1</v>
      </c>
      <c r="AG176" s="55" t="n">
        <f aca="false">IF(01_因子設定!$B$13="最大化",AD176-01_因子設定!$B$14,IF(01_因子設定!$B$13="最小化",01_因子設定!$B$15-AE176,MIN(AD176-01_因子設定!$B$14,01_因子設定!$B$15-AE176)))</f>
        <v>-2.1584721584181</v>
      </c>
    </row>
    <row r="177" customFormat="false" ht="15" hidden="false" customHeight="false" outlineLevel="0" collapsed="false">
      <c r="A177" s="0" t="n">
        <v>0</v>
      </c>
      <c r="B177" s="0" t="n">
        <v>0</v>
      </c>
      <c r="C177" s="0" t="n">
        <v>1</v>
      </c>
      <c r="D177" s="0" t="n">
        <v>1</v>
      </c>
      <c r="E177" s="0" t="n">
        <f aca="false">08_工程窓!$C$76+A177*(08_工程窓!$D$76-08_工程窓!$C$76)/2</f>
        <v>62</v>
      </c>
      <c r="F177" s="0" t="n">
        <f aca="false">08_工程窓!$C$77+B177*(08_工程窓!$D$77-08_工程窓!$C$77)/2</f>
        <v>28</v>
      </c>
      <c r="G177" s="0" t="n">
        <f aca="false">08_工程窓!$C$78+C177*(08_工程窓!$D$78-08_工程窓!$C$78)/2</f>
        <v>2.125</v>
      </c>
      <c r="H177" s="0" t="n">
        <f aca="false">08_工程窓!$C$79+D177*(08_工程窓!$D$79-08_工程窓!$C$79)/2</f>
        <v>40</v>
      </c>
      <c r="I177" s="0" t="n">
        <f aca="false">(E177-01_因子設定!$G$5)/01_因子設定!$H$5</f>
        <v>-0.3</v>
      </c>
      <c r="J177" s="0" t="n">
        <f aca="false">(F177-01_因子設定!$G$6)/01_因子設定!$H$6</f>
        <v>-0.2</v>
      </c>
      <c r="K177" s="0" t="n">
        <f aca="false">(G177-01_因子設定!$G$7)/01_因子設定!$H$7</f>
        <v>0.125</v>
      </c>
      <c r="L177" s="0" t="n">
        <f aca="false">(H177-01_因子設定!$G$8)/01_因子設定!$H$8</f>
        <v>0</v>
      </c>
      <c r="M177" s="0" t="n">
        <f aca="false">1</f>
        <v>1</v>
      </c>
      <c r="N177" s="0" t="n">
        <f aca="false">I177</f>
        <v>-0.3</v>
      </c>
      <c r="O177" s="0" t="n">
        <f aca="false">J177</f>
        <v>-0.2</v>
      </c>
      <c r="P177" s="0" t="n">
        <f aca="false">K177</f>
        <v>0.125</v>
      </c>
      <c r="Q177" s="0" t="n">
        <f aca="false">L177</f>
        <v>0</v>
      </c>
      <c r="R177" s="0" t="n">
        <f aca="false">I177*J177</f>
        <v>0.06</v>
      </c>
      <c r="S177" s="0" t="n">
        <f aca="false">I177*K177</f>
        <v>-0.0375</v>
      </c>
      <c r="T177" s="0" t="n">
        <f aca="false">I177*L177</f>
        <v>-0</v>
      </c>
      <c r="U177" s="0" t="n">
        <f aca="false">J177*K177</f>
        <v>-0.025</v>
      </c>
      <c r="V177" s="0" t="n">
        <f aca="false">J177*L177</f>
        <v>-0</v>
      </c>
      <c r="W177" s="0" t="n">
        <f aca="false">K177*L177</f>
        <v>0</v>
      </c>
      <c r="X177" s="0" t="n">
        <f aca="false">I177*I177</f>
        <v>0.09</v>
      </c>
      <c r="Y177" s="0" t="n">
        <f aca="false">J177*J177</f>
        <v>0.04</v>
      </c>
      <c r="Z177" s="0" t="n">
        <f aca="false">K177*K177</f>
        <v>0.015625</v>
      </c>
      <c r="AA177" s="0" t="n">
        <f aca="false">L177*L177</f>
        <v>0</v>
      </c>
      <c r="AB177" s="0" t="n">
        <f aca="false">SUMPRODUCT(M177:AA177,_XtX!$B$96:$P$96)</f>
        <v>46.7479356725146</v>
      </c>
      <c r="AC177" s="0" t="n">
        <f aca="false">SUMPRODUCT(MMULT(M177:AA177,_XtX!$B$78:$P$92),M177:AA177)</f>
        <v>0.0998227544773392</v>
      </c>
      <c r="AD177" s="0" t="n">
        <f aca="false">AB177-04_回帰ANOVA!$K$19*04_回帰ANOVA!$K$14*SQRT(1+AC177)</f>
        <v>45.3809632817723</v>
      </c>
      <c r="AE177" s="0" t="n">
        <f aca="false">AB177+04_回帰ANOVA!$K$19*04_回帰ANOVA!$K$14*SQRT(1+AC177)</f>
        <v>48.1149080632568</v>
      </c>
      <c r="AF177" s="54" t="b">
        <f aca="false">AND(I177&gt;=01_因子設定!$L$5-0.000000001,I177&lt;=01_因子設定!$M$5+0.000000001,J177&gt;=01_因子設定!$L$6-0.000000001,J177&lt;=01_因子設定!$M$6+0.000000001,K177&gt;=01_因子設定!$L$7-0.000000001,K177&lt;=01_因子設定!$M$7+0.000000001,L177&gt;=01_因子設定!$L$8-0.000000001,L177&lt;=01_因子設定!$M$8+0.000000001,IF(01_因子設定!$B$20="Box-Behnken",I177^2+J177^2+K177^2+L177^2&lt;=2+0.000000001,TRUE()))</f>
        <v>1</v>
      </c>
      <c r="AG177" s="55" t="n">
        <f aca="false">IF(01_因子設定!$B$13="最大化",AD177-01_因子設定!$B$14,IF(01_因子設定!$B$13="最小化",01_因子設定!$B$15-AE177,MIN(AD177-01_因子設定!$B$14,01_因子設定!$B$15-AE177)))</f>
        <v>-1.1190367182277</v>
      </c>
    </row>
    <row r="178" customFormat="false" ht="15" hidden="false" customHeight="false" outlineLevel="0" collapsed="false">
      <c r="A178" s="0" t="n">
        <v>0</v>
      </c>
      <c r="B178" s="0" t="n">
        <v>0</v>
      </c>
      <c r="C178" s="0" t="n">
        <v>1</v>
      </c>
      <c r="D178" s="0" t="n">
        <v>2</v>
      </c>
      <c r="E178" s="0" t="n">
        <f aca="false">08_工程窓!$C$76+A178*(08_工程窓!$D$76-08_工程窓!$C$76)/2</f>
        <v>62</v>
      </c>
      <c r="F178" s="0" t="n">
        <f aca="false">08_工程窓!$C$77+B178*(08_工程窓!$D$77-08_工程窓!$C$77)/2</f>
        <v>28</v>
      </c>
      <c r="G178" s="0" t="n">
        <f aca="false">08_工程窓!$C$78+C178*(08_工程窓!$D$78-08_工程窓!$C$78)/2</f>
        <v>2.125</v>
      </c>
      <c r="H178" s="0" t="n">
        <f aca="false">08_工程窓!$C$79+D178*(08_工程窓!$D$79-08_工程窓!$C$79)/2</f>
        <v>60</v>
      </c>
      <c r="I178" s="0" t="n">
        <f aca="false">(E178-01_因子設定!$G$5)/01_因子設定!$H$5</f>
        <v>-0.3</v>
      </c>
      <c r="J178" s="0" t="n">
        <f aca="false">(F178-01_因子設定!$G$6)/01_因子設定!$H$6</f>
        <v>-0.2</v>
      </c>
      <c r="K178" s="0" t="n">
        <f aca="false">(G178-01_因子設定!$G$7)/01_因子設定!$H$7</f>
        <v>0.125</v>
      </c>
      <c r="L178" s="0" t="n">
        <f aca="false">(H178-01_因子設定!$G$8)/01_因子設定!$H$8</f>
        <v>1</v>
      </c>
      <c r="M178" s="0" t="n">
        <f aca="false">1</f>
        <v>1</v>
      </c>
      <c r="N178" s="0" t="n">
        <f aca="false">I178</f>
        <v>-0.3</v>
      </c>
      <c r="O178" s="0" t="n">
        <f aca="false">J178</f>
        <v>-0.2</v>
      </c>
      <c r="P178" s="0" t="n">
        <f aca="false">K178</f>
        <v>0.125</v>
      </c>
      <c r="Q178" s="0" t="n">
        <f aca="false">L178</f>
        <v>1</v>
      </c>
      <c r="R178" s="0" t="n">
        <f aca="false">I178*J178</f>
        <v>0.06</v>
      </c>
      <c r="S178" s="0" t="n">
        <f aca="false">I178*K178</f>
        <v>-0.0375</v>
      </c>
      <c r="T178" s="0" t="n">
        <f aca="false">I178*L178</f>
        <v>-0.3</v>
      </c>
      <c r="U178" s="0" t="n">
        <f aca="false">J178*K178</f>
        <v>-0.025</v>
      </c>
      <c r="V178" s="0" t="n">
        <f aca="false">J178*L178</f>
        <v>-0.2</v>
      </c>
      <c r="W178" s="0" t="n">
        <f aca="false">K178*L178</f>
        <v>0.125</v>
      </c>
      <c r="X178" s="0" t="n">
        <f aca="false">I178*I178</f>
        <v>0.09</v>
      </c>
      <c r="Y178" s="0" t="n">
        <f aca="false">J178*J178</f>
        <v>0.04</v>
      </c>
      <c r="Z178" s="0" t="n">
        <f aca="false">K178*K178</f>
        <v>0.015625</v>
      </c>
      <c r="AA178" s="0" t="n">
        <f aca="false">L178*L178</f>
        <v>1</v>
      </c>
      <c r="AB178" s="0" t="n">
        <f aca="false">SUMPRODUCT(M178:AA178,_XtX!$B$96:$P$96)</f>
        <v>46.8119725877193</v>
      </c>
      <c r="AC178" s="0" t="n">
        <f aca="false">SUMPRODUCT(MMULT(M178:AA178,_XtX!$B$78:$P$92),M178:AA178)</f>
        <v>0.464600486567983</v>
      </c>
      <c r="AD178" s="0" t="n">
        <f aca="false">AB178-04_回帰ANOVA!$K$19*04_回帰ANOVA!$K$14*SQRT(1+AC178)</f>
        <v>45.234513952693</v>
      </c>
      <c r="AE178" s="0" t="n">
        <f aca="false">AB178+04_回帰ANOVA!$K$19*04_回帰ANOVA!$K$14*SQRT(1+AC178)</f>
        <v>48.3894312227455</v>
      </c>
      <c r="AF178" s="54" t="b">
        <f aca="false">AND(I178&gt;=01_因子設定!$L$5-0.000000001,I178&lt;=01_因子設定!$M$5+0.000000001,J178&gt;=01_因子設定!$L$6-0.000000001,J178&lt;=01_因子設定!$M$6+0.000000001,K178&gt;=01_因子設定!$L$7-0.000000001,K178&lt;=01_因子設定!$M$7+0.000000001,L178&gt;=01_因子設定!$L$8-0.000000001,L178&lt;=01_因子設定!$M$8+0.000000001,IF(01_因子設定!$B$20="Box-Behnken",I178^2+J178^2+K178^2+L178^2&lt;=2+0.000000001,TRUE()))</f>
        <v>1</v>
      </c>
      <c r="AG178" s="55" t="n">
        <f aca="false">IF(01_因子設定!$B$13="最大化",AD178-01_因子設定!$B$14,IF(01_因子設定!$B$13="最小化",01_因子設定!$B$15-AE178,MIN(AD178-01_因子設定!$B$14,01_因子設定!$B$15-AE178)))</f>
        <v>-1.26548604730699</v>
      </c>
    </row>
    <row r="179" customFormat="false" ht="15" hidden="false" customHeight="false" outlineLevel="0" collapsed="false">
      <c r="A179" s="0" t="n">
        <v>0</v>
      </c>
      <c r="B179" s="0" t="n">
        <v>0</v>
      </c>
      <c r="C179" s="0" t="n">
        <v>2</v>
      </c>
      <c r="D179" s="0" t="n">
        <v>0</v>
      </c>
      <c r="E179" s="0" t="n">
        <f aca="false">08_工程窓!$C$76+A179*(08_工程窓!$D$76-08_工程窓!$C$76)/2</f>
        <v>62</v>
      </c>
      <c r="F179" s="0" t="n">
        <f aca="false">08_工程窓!$C$77+B179*(08_工程窓!$D$77-08_工程窓!$C$77)/2</f>
        <v>28</v>
      </c>
      <c r="G179" s="0" t="n">
        <f aca="false">08_工程窓!$C$78+C179*(08_工程窓!$D$78-08_工程窓!$C$78)/2</f>
        <v>3</v>
      </c>
      <c r="H179" s="0" t="n">
        <f aca="false">08_工程窓!$C$79+D179*(08_工程窓!$D$79-08_工程窓!$C$79)/2</f>
        <v>20</v>
      </c>
      <c r="I179" s="0" t="n">
        <f aca="false">(E179-01_因子設定!$G$5)/01_因子設定!$H$5</f>
        <v>-0.3</v>
      </c>
      <c r="J179" s="0" t="n">
        <f aca="false">(F179-01_因子設定!$G$6)/01_因子設定!$H$6</f>
        <v>-0.2</v>
      </c>
      <c r="K179" s="0" t="n">
        <f aca="false">(G179-01_因子設定!$G$7)/01_因子設定!$H$7</f>
        <v>1</v>
      </c>
      <c r="L179" s="0" t="n">
        <f aca="false">(H179-01_因子設定!$G$8)/01_因子設定!$H$8</f>
        <v>-1</v>
      </c>
      <c r="M179" s="0" t="n">
        <f aca="false">1</f>
        <v>1</v>
      </c>
      <c r="N179" s="0" t="n">
        <f aca="false">I179</f>
        <v>-0.3</v>
      </c>
      <c r="O179" s="0" t="n">
        <f aca="false">J179</f>
        <v>-0.2</v>
      </c>
      <c r="P179" s="0" t="n">
        <f aca="false">K179</f>
        <v>1</v>
      </c>
      <c r="Q179" s="0" t="n">
        <f aca="false">L179</f>
        <v>-1</v>
      </c>
      <c r="R179" s="0" t="n">
        <f aca="false">I179*J179</f>
        <v>0.06</v>
      </c>
      <c r="S179" s="0" t="n">
        <f aca="false">I179*K179</f>
        <v>-0.3</v>
      </c>
      <c r="T179" s="0" t="n">
        <f aca="false">I179*L179</f>
        <v>0.3</v>
      </c>
      <c r="U179" s="0" t="n">
        <f aca="false">J179*K179</f>
        <v>-0.2</v>
      </c>
      <c r="V179" s="0" t="n">
        <f aca="false">J179*L179</f>
        <v>0.2</v>
      </c>
      <c r="W179" s="0" t="n">
        <f aca="false">K179*L179</f>
        <v>-1</v>
      </c>
      <c r="X179" s="0" t="n">
        <f aca="false">I179*I179</f>
        <v>0.09</v>
      </c>
      <c r="Y179" s="0" t="n">
        <f aca="false">J179*J179</f>
        <v>0.04</v>
      </c>
      <c r="Z179" s="0" t="n">
        <f aca="false">K179*K179</f>
        <v>1</v>
      </c>
      <c r="AA179" s="0" t="n">
        <f aca="false">L179*L179</f>
        <v>1</v>
      </c>
      <c r="AB179" s="0" t="n">
        <f aca="false">SUMPRODUCT(M179:AA179,_XtX!$B$96:$P$96)</f>
        <v>45.971985380117</v>
      </c>
      <c r="AC179" s="0" t="n">
        <f aca="false">SUMPRODUCT(MMULT(M179:AA179,_XtX!$B$78:$P$92),M179:AA179)</f>
        <v>0.66917850877193</v>
      </c>
      <c r="AD179" s="0" t="n">
        <f aca="false">AB179-04_回帰ANOVA!$K$19*04_回帰ANOVA!$K$14*SQRT(1+AC179)</f>
        <v>44.2879555314123</v>
      </c>
      <c r="AE179" s="0" t="n">
        <f aca="false">AB179+04_回帰ANOVA!$K$19*04_回帰ANOVA!$K$14*SQRT(1+AC179)</f>
        <v>47.6560152288216</v>
      </c>
      <c r="AF179" s="54" t="b">
        <f aca="false">AND(I179&gt;=01_因子設定!$L$5-0.000000001,I179&lt;=01_因子設定!$M$5+0.000000001,J179&gt;=01_因子設定!$L$6-0.000000001,J179&lt;=01_因子設定!$M$6+0.000000001,K179&gt;=01_因子設定!$L$7-0.000000001,K179&lt;=01_因子設定!$M$7+0.000000001,L179&gt;=01_因子設定!$L$8-0.000000001,L179&lt;=01_因子設定!$M$8+0.000000001,IF(01_因子設定!$B$20="Box-Behnken",I179^2+J179^2+K179^2+L179^2&lt;=2+0.000000001,TRUE()))</f>
        <v>1</v>
      </c>
      <c r="AG179" s="55" t="n">
        <f aca="false">IF(01_因子設定!$B$13="最大化",AD179-01_因子設定!$B$14,IF(01_因子設定!$B$13="最小化",01_因子設定!$B$15-AE179,MIN(AD179-01_因子設定!$B$14,01_因子設定!$B$15-AE179)))</f>
        <v>-2.21204446858767</v>
      </c>
    </row>
    <row r="180" customFormat="false" ht="15" hidden="false" customHeight="false" outlineLevel="0" collapsed="false">
      <c r="A180" s="0" t="n">
        <v>0</v>
      </c>
      <c r="B180" s="0" t="n">
        <v>0</v>
      </c>
      <c r="C180" s="0" t="n">
        <v>2</v>
      </c>
      <c r="D180" s="0" t="n">
        <v>1</v>
      </c>
      <c r="E180" s="0" t="n">
        <f aca="false">08_工程窓!$C$76+A180*(08_工程窓!$D$76-08_工程窓!$C$76)/2</f>
        <v>62</v>
      </c>
      <c r="F180" s="0" t="n">
        <f aca="false">08_工程窓!$C$77+B180*(08_工程窓!$D$77-08_工程窓!$C$77)/2</f>
        <v>28</v>
      </c>
      <c r="G180" s="0" t="n">
        <f aca="false">08_工程窓!$C$78+C180*(08_工程窓!$D$78-08_工程窓!$C$78)/2</f>
        <v>3</v>
      </c>
      <c r="H180" s="0" t="n">
        <f aca="false">08_工程窓!$C$79+D180*(08_工程窓!$D$79-08_工程窓!$C$79)/2</f>
        <v>40</v>
      </c>
      <c r="I180" s="0" t="n">
        <f aca="false">(E180-01_因子設定!$G$5)/01_因子設定!$H$5</f>
        <v>-0.3</v>
      </c>
      <c r="J180" s="0" t="n">
        <f aca="false">(F180-01_因子設定!$G$6)/01_因子設定!$H$6</f>
        <v>-0.2</v>
      </c>
      <c r="K180" s="0" t="n">
        <f aca="false">(G180-01_因子設定!$G$7)/01_因子設定!$H$7</f>
        <v>1</v>
      </c>
      <c r="L180" s="0" t="n">
        <f aca="false">(H180-01_因子設定!$G$8)/01_因子設定!$H$8</f>
        <v>0</v>
      </c>
      <c r="M180" s="0" t="n">
        <f aca="false">1</f>
        <v>1</v>
      </c>
      <c r="N180" s="0" t="n">
        <f aca="false">I180</f>
        <v>-0.3</v>
      </c>
      <c r="O180" s="0" t="n">
        <f aca="false">J180</f>
        <v>-0.2</v>
      </c>
      <c r="P180" s="0" t="n">
        <f aca="false">K180</f>
        <v>1</v>
      </c>
      <c r="Q180" s="0" t="n">
        <f aca="false">L180</f>
        <v>0</v>
      </c>
      <c r="R180" s="0" t="n">
        <f aca="false">I180*J180</f>
        <v>0.06</v>
      </c>
      <c r="S180" s="0" t="n">
        <f aca="false">I180*K180</f>
        <v>-0.3</v>
      </c>
      <c r="T180" s="0" t="n">
        <f aca="false">I180*L180</f>
        <v>-0</v>
      </c>
      <c r="U180" s="0" t="n">
        <f aca="false">J180*K180</f>
        <v>-0.2</v>
      </c>
      <c r="V180" s="0" t="n">
        <f aca="false">J180*L180</f>
        <v>-0</v>
      </c>
      <c r="W180" s="0" t="n">
        <f aca="false">K180*L180</f>
        <v>0</v>
      </c>
      <c r="X180" s="0" t="n">
        <f aca="false">I180*I180</f>
        <v>0.09</v>
      </c>
      <c r="Y180" s="0" t="n">
        <f aca="false">J180*J180</f>
        <v>0.04</v>
      </c>
      <c r="Z180" s="0" t="n">
        <f aca="false">K180*K180</f>
        <v>1</v>
      </c>
      <c r="AA180" s="0" t="n">
        <f aca="false">L180*L180</f>
        <v>0</v>
      </c>
      <c r="AB180" s="0" t="n">
        <f aca="false">SUMPRODUCT(M180:AA180,_XtX!$B$96:$P$96)</f>
        <v>47.0524970760233</v>
      </c>
      <c r="AC180" s="0" t="n">
        <f aca="false">SUMPRODUCT(MMULT(M180:AA180,_XtX!$B$78:$P$92),M180:AA180)</f>
        <v>0.467383918128655</v>
      </c>
      <c r="AD180" s="0" t="n">
        <f aca="false">AB180-04_回帰ANOVA!$K$19*04_回帰ANOVA!$K$14*SQRT(1+AC180)</f>
        <v>45.4735401948721</v>
      </c>
      <c r="AE180" s="0" t="n">
        <f aca="false">AB180+04_回帰ANOVA!$K$19*04_回帰ANOVA!$K$14*SQRT(1+AC180)</f>
        <v>48.6314539571746</v>
      </c>
      <c r="AF180" s="54" t="b">
        <f aca="false">AND(I180&gt;=01_因子設定!$L$5-0.000000001,I180&lt;=01_因子設定!$M$5+0.000000001,J180&gt;=01_因子設定!$L$6-0.000000001,J180&lt;=01_因子設定!$M$6+0.000000001,K180&gt;=01_因子設定!$L$7-0.000000001,K180&lt;=01_因子設定!$M$7+0.000000001,L180&gt;=01_因子設定!$L$8-0.000000001,L180&lt;=01_因子設定!$M$8+0.000000001,IF(01_因子設定!$B$20="Box-Behnken",I180^2+J180^2+K180^2+L180^2&lt;=2+0.000000001,TRUE()))</f>
        <v>1</v>
      </c>
      <c r="AG180" s="55" t="n">
        <f aca="false">IF(01_因子設定!$B$13="最大化",AD180-01_因子設定!$B$14,IF(01_因子設定!$B$13="最小化",01_因子設定!$B$15-AE180,MIN(AD180-01_因子設定!$B$14,01_因子設定!$B$15-AE180)))</f>
        <v>-1.02645980512794</v>
      </c>
    </row>
    <row r="181" customFormat="false" ht="15" hidden="false" customHeight="false" outlineLevel="0" collapsed="false">
      <c r="A181" s="0" t="n">
        <v>0</v>
      </c>
      <c r="B181" s="0" t="n">
        <v>0</v>
      </c>
      <c r="C181" s="0" t="n">
        <v>2</v>
      </c>
      <c r="D181" s="0" t="n">
        <v>2</v>
      </c>
      <c r="E181" s="0" t="n">
        <f aca="false">08_工程窓!$C$76+A181*(08_工程窓!$D$76-08_工程窓!$C$76)/2</f>
        <v>62</v>
      </c>
      <c r="F181" s="0" t="n">
        <f aca="false">08_工程窓!$C$77+B181*(08_工程窓!$D$77-08_工程窓!$C$77)/2</f>
        <v>28</v>
      </c>
      <c r="G181" s="0" t="n">
        <f aca="false">08_工程窓!$C$78+C181*(08_工程窓!$D$78-08_工程窓!$C$78)/2</f>
        <v>3</v>
      </c>
      <c r="H181" s="0" t="n">
        <f aca="false">08_工程窓!$C$79+D181*(08_工程窓!$D$79-08_工程窓!$C$79)/2</f>
        <v>60</v>
      </c>
      <c r="I181" s="0" t="n">
        <f aca="false">(E181-01_因子設定!$G$5)/01_因子設定!$H$5</f>
        <v>-0.3</v>
      </c>
      <c r="J181" s="0" t="n">
        <f aca="false">(F181-01_因子設定!$G$6)/01_因子設定!$H$6</f>
        <v>-0.2</v>
      </c>
      <c r="K181" s="0" t="n">
        <f aca="false">(G181-01_因子設定!$G$7)/01_因子設定!$H$7</f>
        <v>1</v>
      </c>
      <c r="L181" s="0" t="n">
        <f aca="false">(H181-01_因子設定!$G$8)/01_因子設定!$H$8</f>
        <v>1</v>
      </c>
      <c r="M181" s="0" t="n">
        <f aca="false">1</f>
        <v>1</v>
      </c>
      <c r="N181" s="0" t="n">
        <f aca="false">I181</f>
        <v>-0.3</v>
      </c>
      <c r="O181" s="0" t="n">
        <f aca="false">J181</f>
        <v>-0.2</v>
      </c>
      <c r="P181" s="0" t="n">
        <f aca="false">K181</f>
        <v>1</v>
      </c>
      <c r="Q181" s="0" t="n">
        <f aca="false">L181</f>
        <v>1</v>
      </c>
      <c r="R181" s="0" t="n">
        <f aca="false">I181*J181</f>
        <v>0.06</v>
      </c>
      <c r="S181" s="0" t="n">
        <f aca="false">I181*K181</f>
        <v>-0.3</v>
      </c>
      <c r="T181" s="0" t="n">
        <f aca="false">I181*L181</f>
        <v>-0.3</v>
      </c>
      <c r="U181" s="0" t="n">
        <f aca="false">J181*K181</f>
        <v>-0.2</v>
      </c>
      <c r="V181" s="0" t="n">
        <f aca="false">J181*L181</f>
        <v>-0.2</v>
      </c>
      <c r="W181" s="0" t="n">
        <f aca="false">K181*L181</f>
        <v>1</v>
      </c>
      <c r="X181" s="0" t="n">
        <f aca="false">I181*I181</f>
        <v>0.09</v>
      </c>
      <c r="Y181" s="0" t="n">
        <f aca="false">J181*J181</f>
        <v>0.04</v>
      </c>
      <c r="Z181" s="0" t="n">
        <f aca="false">K181*K181</f>
        <v>1</v>
      </c>
      <c r="AA181" s="0" t="n">
        <f aca="false">L181*L181</f>
        <v>1</v>
      </c>
      <c r="AB181" s="0" t="n">
        <f aca="false">SUMPRODUCT(M181:AA181,_XtX!$B$96:$P$96)</f>
        <v>47.3680964912281</v>
      </c>
      <c r="AC181" s="0" t="n">
        <f aca="false">SUMPRODUCT(MMULT(M181:AA181,_XtX!$B$78:$P$92),M181:AA181)</f>
        <v>0.66917850877193</v>
      </c>
      <c r="AD181" s="0" t="n">
        <f aca="false">AB181-04_回帰ANOVA!$K$19*04_回帰ANOVA!$K$14*SQRT(1+AC181)</f>
        <v>45.6840666425234</v>
      </c>
      <c r="AE181" s="0" t="n">
        <f aca="false">AB181+04_回帰ANOVA!$K$19*04_回帰ANOVA!$K$14*SQRT(1+AC181)</f>
        <v>49.0521263399327</v>
      </c>
      <c r="AF181" s="54" t="b">
        <f aca="false">AND(I181&gt;=01_因子設定!$L$5-0.000000001,I181&lt;=01_因子設定!$M$5+0.000000001,J181&gt;=01_因子設定!$L$6-0.000000001,J181&lt;=01_因子設定!$M$6+0.000000001,K181&gt;=01_因子設定!$L$7-0.000000001,K181&lt;=01_因子設定!$M$7+0.000000001,L181&gt;=01_因子設定!$L$8-0.000000001,L181&lt;=01_因子設定!$M$8+0.000000001,IF(01_因子設定!$B$20="Box-Behnken",I181^2+J181^2+K181^2+L181^2&lt;=2+0.000000001,TRUE()))</f>
        <v>1</v>
      </c>
      <c r="AG181" s="55" t="n">
        <f aca="false">IF(01_因子設定!$B$13="最大化",AD181-01_因子設定!$B$14,IF(01_因子設定!$B$13="最小化",01_因子設定!$B$15-AE181,MIN(AD181-01_因子設定!$B$14,01_因子設定!$B$15-AE181)))</f>
        <v>-0.815933357476567</v>
      </c>
    </row>
    <row r="182" customFormat="false" ht="15" hidden="false" customHeight="false" outlineLevel="0" collapsed="false">
      <c r="A182" s="0" t="n">
        <v>0</v>
      </c>
      <c r="B182" s="0" t="n">
        <v>1</v>
      </c>
      <c r="C182" s="0" t="n">
        <v>0</v>
      </c>
      <c r="D182" s="0" t="n">
        <v>0</v>
      </c>
      <c r="E182" s="0" t="n">
        <f aca="false">08_工程窓!$C$76+A182*(08_工程窓!$D$76-08_工程窓!$C$76)/2</f>
        <v>62</v>
      </c>
      <c r="F182" s="0" t="n">
        <f aca="false">08_工程窓!$C$77+B182*(08_工程窓!$D$77-08_工程窓!$C$77)/2</f>
        <v>34</v>
      </c>
      <c r="G182" s="0" t="n">
        <f aca="false">08_工程窓!$C$78+C182*(08_工程窓!$D$78-08_工程窓!$C$78)/2</f>
        <v>1.25</v>
      </c>
      <c r="H182" s="0" t="n">
        <f aca="false">08_工程窓!$C$79+D182*(08_工程窓!$D$79-08_工程窓!$C$79)/2</f>
        <v>20</v>
      </c>
      <c r="I182" s="0" t="n">
        <f aca="false">(E182-01_因子設定!$G$5)/01_因子設定!$H$5</f>
        <v>-0.3</v>
      </c>
      <c r="J182" s="0" t="n">
        <f aca="false">(F182-01_因子設定!$G$6)/01_因子設定!$H$6</f>
        <v>0.4</v>
      </c>
      <c r="K182" s="0" t="n">
        <f aca="false">(G182-01_因子設定!$G$7)/01_因子設定!$H$7</f>
        <v>-0.75</v>
      </c>
      <c r="L182" s="0" t="n">
        <f aca="false">(H182-01_因子設定!$G$8)/01_因子設定!$H$8</f>
        <v>-1</v>
      </c>
      <c r="M182" s="0" t="n">
        <f aca="false">1</f>
        <v>1</v>
      </c>
      <c r="N182" s="0" t="n">
        <f aca="false">I182</f>
        <v>-0.3</v>
      </c>
      <c r="O182" s="0" t="n">
        <f aca="false">J182</f>
        <v>0.4</v>
      </c>
      <c r="P182" s="0" t="n">
        <f aca="false">K182</f>
        <v>-0.75</v>
      </c>
      <c r="Q182" s="0" t="n">
        <f aca="false">L182</f>
        <v>-1</v>
      </c>
      <c r="R182" s="0" t="n">
        <f aca="false">I182*J182</f>
        <v>-0.12</v>
      </c>
      <c r="S182" s="0" t="n">
        <f aca="false">I182*K182</f>
        <v>0.225</v>
      </c>
      <c r="T182" s="0" t="n">
        <f aca="false">I182*L182</f>
        <v>0.3</v>
      </c>
      <c r="U182" s="0" t="n">
        <f aca="false">J182*K182</f>
        <v>-0.3</v>
      </c>
      <c r="V182" s="0" t="n">
        <f aca="false">J182*L182</f>
        <v>-0.4</v>
      </c>
      <c r="W182" s="0" t="n">
        <f aca="false">K182*L182</f>
        <v>0.75</v>
      </c>
      <c r="X182" s="0" t="n">
        <f aca="false">I182*I182</f>
        <v>0.09</v>
      </c>
      <c r="Y182" s="0" t="n">
        <f aca="false">J182*J182</f>
        <v>0.16</v>
      </c>
      <c r="Z182" s="0" t="n">
        <f aca="false">K182*K182</f>
        <v>0.5625</v>
      </c>
      <c r="AA182" s="0" t="n">
        <f aca="false">L182*L182</f>
        <v>1</v>
      </c>
      <c r="AB182" s="0" t="n">
        <f aca="false">SUMPRODUCT(M182:AA182,_XtX!$B$96:$P$96)</f>
        <v>45.5521235380117</v>
      </c>
      <c r="AC182" s="0" t="n">
        <f aca="false">SUMPRODUCT(MMULT(M182:AA182,_XtX!$B$78:$P$92),M182:AA182)</f>
        <v>0.462691292032164</v>
      </c>
      <c r="AD182" s="0" t="n">
        <f aca="false">AB182-04_回帰ANOVA!$K$19*04_回帰ANOVA!$K$14*SQRT(1+AC182)</f>
        <v>43.9756933942187</v>
      </c>
      <c r="AE182" s="0" t="n">
        <f aca="false">AB182+04_回帰ANOVA!$K$19*04_回帰ANOVA!$K$14*SQRT(1+AC182)</f>
        <v>47.1285536818046</v>
      </c>
      <c r="AF182" s="54" t="b">
        <f aca="false">AND(I182&gt;=01_因子設定!$L$5-0.000000001,I182&lt;=01_因子設定!$M$5+0.000000001,J182&gt;=01_因子設定!$L$6-0.000000001,J182&lt;=01_因子設定!$M$6+0.000000001,K182&gt;=01_因子設定!$L$7-0.000000001,K182&lt;=01_因子設定!$M$7+0.000000001,L182&gt;=01_因子設定!$L$8-0.000000001,L182&lt;=01_因子設定!$M$8+0.000000001,IF(01_因子設定!$B$20="Box-Behnken",I182^2+J182^2+K182^2+L182^2&lt;=2+0.000000001,TRUE()))</f>
        <v>1</v>
      </c>
      <c r="AG182" s="55" t="n">
        <f aca="false">IF(01_因子設定!$B$13="最大化",AD182-01_因子設定!$B$14,IF(01_因子設定!$B$13="最小化",01_因子設定!$B$15-AE182,MIN(AD182-01_因子設定!$B$14,01_因子設定!$B$15-AE182)))</f>
        <v>-2.52430660578126</v>
      </c>
    </row>
    <row r="183" customFormat="false" ht="15" hidden="false" customHeight="false" outlineLevel="0" collapsed="false">
      <c r="A183" s="0" t="n">
        <v>0</v>
      </c>
      <c r="B183" s="0" t="n">
        <v>1</v>
      </c>
      <c r="C183" s="0" t="n">
        <v>0</v>
      </c>
      <c r="D183" s="0" t="n">
        <v>1</v>
      </c>
      <c r="E183" s="0" t="n">
        <f aca="false">08_工程窓!$C$76+A183*(08_工程窓!$D$76-08_工程窓!$C$76)/2</f>
        <v>62</v>
      </c>
      <c r="F183" s="0" t="n">
        <f aca="false">08_工程窓!$C$77+B183*(08_工程窓!$D$77-08_工程窓!$C$77)/2</f>
        <v>34</v>
      </c>
      <c r="G183" s="0" t="n">
        <f aca="false">08_工程窓!$C$78+C183*(08_工程窓!$D$78-08_工程窓!$C$78)/2</f>
        <v>1.25</v>
      </c>
      <c r="H183" s="0" t="n">
        <f aca="false">08_工程窓!$C$79+D183*(08_工程窓!$D$79-08_工程窓!$C$79)/2</f>
        <v>40</v>
      </c>
      <c r="I183" s="0" t="n">
        <f aca="false">(E183-01_因子設定!$G$5)/01_因子設定!$H$5</f>
        <v>-0.3</v>
      </c>
      <c r="J183" s="0" t="n">
        <f aca="false">(F183-01_因子設定!$G$6)/01_因子設定!$H$6</f>
        <v>0.4</v>
      </c>
      <c r="K183" s="0" t="n">
        <f aca="false">(G183-01_因子設定!$G$7)/01_因子設定!$H$7</f>
        <v>-0.75</v>
      </c>
      <c r="L183" s="0" t="n">
        <f aca="false">(H183-01_因子設定!$G$8)/01_因子設定!$H$8</f>
        <v>0</v>
      </c>
      <c r="M183" s="0" t="n">
        <f aca="false">1</f>
        <v>1</v>
      </c>
      <c r="N183" s="0" t="n">
        <f aca="false">I183</f>
        <v>-0.3</v>
      </c>
      <c r="O183" s="0" t="n">
        <f aca="false">J183</f>
        <v>0.4</v>
      </c>
      <c r="P183" s="0" t="n">
        <f aca="false">K183</f>
        <v>-0.75</v>
      </c>
      <c r="Q183" s="0" t="n">
        <f aca="false">L183</f>
        <v>0</v>
      </c>
      <c r="R183" s="0" t="n">
        <f aca="false">I183*J183</f>
        <v>-0.12</v>
      </c>
      <c r="S183" s="0" t="n">
        <f aca="false">I183*K183</f>
        <v>0.225</v>
      </c>
      <c r="T183" s="0" t="n">
        <f aca="false">I183*L183</f>
        <v>-0</v>
      </c>
      <c r="U183" s="0" t="n">
        <f aca="false">J183*K183</f>
        <v>-0.3</v>
      </c>
      <c r="V183" s="0" t="n">
        <f aca="false">J183*L183</f>
        <v>0</v>
      </c>
      <c r="W183" s="0" t="n">
        <f aca="false">K183*L183</f>
        <v>-0</v>
      </c>
      <c r="X183" s="0" t="n">
        <f aca="false">I183*I183</f>
        <v>0.09</v>
      </c>
      <c r="Y183" s="0" t="n">
        <f aca="false">J183*J183</f>
        <v>0.16</v>
      </c>
      <c r="Z183" s="0" t="n">
        <f aca="false">K183*K183</f>
        <v>0.5625</v>
      </c>
      <c r="AA183" s="0" t="n">
        <f aca="false">L183*L183</f>
        <v>0</v>
      </c>
      <c r="AB183" s="0" t="n">
        <f aca="false">SUMPRODUCT(M183:AA183,_XtX!$B$96:$P$96)</f>
        <v>46.0020102339181</v>
      </c>
      <c r="AC183" s="0" t="n">
        <f aca="false">SUMPRODUCT(MMULT(M183:AA183,_XtX!$B$78:$P$92),M183:AA183)</f>
        <v>0.208328170687135</v>
      </c>
      <c r="AD183" s="0" t="n">
        <f aca="false">AB183-04_回帰ANOVA!$K$19*04_回帰ANOVA!$K$14*SQRT(1+AC183)</f>
        <v>44.5691928466598</v>
      </c>
      <c r="AE183" s="0" t="n">
        <f aca="false">AB183+04_回帰ANOVA!$K$19*04_回帰ANOVA!$K$14*SQRT(1+AC183)</f>
        <v>47.4348276211763</v>
      </c>
      <c r="AF183" s="54" t="b">
        <f aca="false">AND(I183&gt;=01_因子設定!$L$5-0.000000001,I183&lt;=01_因子設定!$M$5+0.000000001,J183&gt;=01_因子設定!$L$6-0.000000001,J183&lt;=01_因子設定!$M$6+0.000000001,K183&gt;=01_因子設定!$L$7-0.000000001,K183&lt;=01_因子設定!$M$7+0.000000001,L183&gt;=01_因子設定!$L$8-0.000000001,L183&lt;=01_因子設定!$M$8+0.000000001,IF(01_因子設定!$B$20="Box-Behnken",I183^2+J183^2+K183^2+L183^2&lt;=2+0.000000001,TRUE()))</f>
        <v>1</v>
      </c>
      <c r="AG183" s="55" t="n">
        <f aca="false">IF(01_因子設定!$B$13="最大化",AD183-01_因子設定!$B$14,IF(01_因子設定!$B$13="最小化",01_因子設定!$B$15-AE183,MIN(AD183-01_因子設定!$B$14,01_因子設定!$B$15-AE183)))</f>
        <v>-1.9308071533402</v>
      </c>
    </row>
    <row r="184" customFormat="false" ht="15" hidden="false" customHeight="false" outlineLevel="0" collapsed="false">
      <c r="A184" s="0" t="n">
        <v>0</v>
      </c>
      <c r="B184" s="0" t="n">
        <v>1</v>
      </c>
      <c r="C184" s="0" t="n">
        <v>0</v>
      </c>
      <c r="D184" s="0" t="n">
        <v>2</v>
      </c>
      <c r="E184" s="0" t="n">
        <f aca="false">08_工程窓!$C$76+A184*(08_工程窓!$D$76-08_工程窓!$C$76)/2</f>
        <v>62</v>
      </c>
      <c r="F184" s="0" t="n">
        <f aca="false">08_工程窓!$C$77+B184*(08_工程窓!$D$77-08_工程窓!$C$77)/2</f>
        <v>34</v>
      </c>
      <c r="G184" s="0" t="n">
        <f aca="false">08_工程窓!$C$78+C184*(08_工程窓!$D$78-08_工程窓!$C$78)/2</f>
        <v>1.25</v>
      </c>
      <c r="H184" s="0" t="n">
        <f aca="false">08_工程窓!$C$79+D184*(08_工程窓!$D$79-08_工程窓!$C$79)/2</f>
        <v>60</v>
      </c>
      <c r="I184" s="0" t="n">
        <f aca="false">(E184-01_因子設定!$G$5)/01_因子設定!$H$5</f>
        <v>-0.3</v>
      </c>
      <c r="J184" s="0" t="n">
        <f aca="false">(F184-01_因子設定!$G$6)/01_因子設定!$H$6</f>
        <v>0.4</v>
      </c>
      <c r="K184" s="0" t="n">
        <f aca="false">(G184-01_因子設定!$G$7)/01_因子設定!$H$7</f>
        <v>-0.75</v>
      </c>
      <c r="L184" s="0" t="n">
        <f aca="false">(H184-01_因子設定!$G$8)/01_因子設定!$H$8</f>
        <v>1</v>
      </c>
      <c r="M184" s="0" t="n">
        <f aca="false">1</f>
        <v>1</v>
      </c>
      <c r="N184" s="0" t="n">
        <f aca="false">I184</f>
        <v>-0.3</v>
      </c>
      <c r="O184" s="0" t="n">
        <f aca="false">J184</f>
        <v>0.4</v>
      </c>
      <c r="P184" s="0" t="n">
        <f aca="false">K184</f>
        <v>-0.75</v>
      </c>
      <c r="Q184" s="0" t="n">
        <f aca="false">L184</f>
        <v>1</v>
      </c>
      <c r="R184" s="0" t="n">
        <f aca="false">I184*J184</f>
        <v>-0.12</v>
      </c>
      <c r="S184" s="0" t="n">
        <f aca="false">I184*K184</f>
        <v>0.225</v>
      </c>
      <c r="T184" s="0" t="n">
        <f aca="false">I184*L184</f>
        <v>-0.3</v>
      </c>
      <c r="U184" s="0" t="n">
        <f aca="false">J184*K184</f>
        <v>-0.3</v>
      </c>
      <c r="V184" s="0" t="n">
        <f aca="false">J184*L184</f>
        <v>0.4</v>
      </c>
      <c r="W184" s="0" t="n">
        <f aca="false">K184*L184</f>
        <v>-0.75</v>
      </c>
      <c r="X184" s="0" t="n">
        <f aca="false">I184*I184</f>
        <v>0.09</v>
      </c>
      <c r="Y184" s="0" t="n">
        <f aca="false">J184*J184</f>
        <v>0.16</v>
      </c>
      <c r="Z184" s="0" t="n">
        <f aca="false">K184*K184</f>
        <v>0.5625</v>
      </c>
      <c r="AA184" s="0" t="n">
        <f aca="false">L184*L184</f>
        <v>1</v>
      </c>
      <c r="AB184" s="0" t="n">
        <f aca="false">SUMPRODUCT(M184:AA184,_XtX!$B$96:$P$96)</f>
        <v>45.6869846491228</v>
      </c>
      <c r="AC184" s="0" t="n">
        <f aca="false">SUMPRODUCT(MMULT(M184:AA184,_XtX!$B$78:$P$92),M184:AA184)</f>
        <v>0.462691292032164</v>
      </c>
      <c r="AD184" s="0" t="n">
        <f aca="false">AB184-04_回帰ANOVA!$K$19*04_回帰ANOVA!$K$14*SQRT(1+AC184)</f>
        <v>44.1105545053299</v>
      </c>
      <c r="AE184" s="0" t="n">
        <f aca="false">AB184+04_回帰ANOVA!$K$19*04_回帰ANOVA!$K$14*SQRT(1+AC184)</f>
        <v>47.2634147929157</v>
      </c>
      <c r="AF184" s="54" t="b">
        <f aca="false">AND(I184&gt;=01_因子設定!$L$5-0.000000001,I184&lt;=01_因子設定!$M$5+0.000000001,J184&gt;=01_因子設定!$L$6-0.000000001,J184&lt;=01_因子設定!$M$6+0.000000001,K184&gt;=01_因子設定!$L$7-0.000000001,K184&lt;=01_因子設定!$M$7+0.000000001,L184&gt;=01_因子設定!$L$8-0.000000001,L184&lt;=01_因子設定!$M$8+0.000000001,IF(01_因子設定!$B$20="Box-Behnken",I184^2+J184^2+K184^2+L184^2&lt;=2+0.000000001,TRUE()))</f>
        <v>1</v>
      </c>
      <c r="AG184" s="55" t="n">
        <f aca="false">IF(01_因子設定!$B$13="最大化",AD184-01_因子設定!$B$14,IF(01_因子設定!$B$13="最小化",01_因子設定!$B$15-AE184,MIN(AD184-01_因子設定!$B$14,01_因子設定!$B$15-AE184)))</f>
        <v>-2.38944549467015</v>
      </c>
    </row>
    <row r="185" customFormat="false" ht="15" hidden="false" customHeight="false" outlineLevel="0" collapsed="false">
      <c r="A185" s="0" t="n">
        <v>0</v>
      </c>
      <c r="B185" s="0" t="n">
        <v>1</v>
      </c>
      <c r="C185" s="0" t="n">
        <v>1</v>
      </c>
      <c r="D185" s="0" t="n">
        <v>0</v>
      </c>
      <c r="E185" s="0" t="n">
        <f aca="false">08_工程窓!$C$76+A185*(08_工程窓!$D$76-08_工程窓!$C$76)/2</f>
        <v>62</v>
      </c>
      <c r="F185" s="0" t="n">
        <f aca="false">08_工程窓!$C$77+B185*(08_工程窓!$D$77-08_工程窓!$C$77)/2</f>
        <v>34</v>
      </c>
      <c r="G185" s="0" t="n">
        <f aca="false">08_工程窓!$C$78+C185*(08_工程窓!$D$78-08_工程窓!$C$78)/2</f>
        <v>2.125</v>
      </c>
      <c r="H185" s="0" t="n">
        <f aca="false">08_工程窓!$C$79+D185*(08_工程窓!$D$79-08_工程窓!$C$79)/2</f>
        <v>20</v>
      </c>
      <c r="I185" s="0" t="n">
        <f aca="false">(E185-01_因子設定!$G$5)/01_因子設定!$H$5</f>
        <v>-0.3</v>
      </c>
      <c r="J185" s="0" t="n">
        <f aca="false">(F185-01_因子設定!$G$6)/01_因子設定!$H$6</f>
        <v>0.4</v>
      </c>
      <c r="K185" s="0" t="n">
        <f aca="false">(G185-01_因子設定!$G$7)/01_因子設定!$H$7</f>
        <v>0.125</v>
      </c>
      <c r="L185" s="0" t="n">
        <f aca="false">(H185-01_因子設定!$G$8)/01_因子設定!$H$8</f>
        <v>-1</v>
      </c>
      <c r="M185" s="0" t="n">
        <f aca="false">1</f>
        <v>1</v>
      </c>
      <c r="N185" s="0" t="n">
        <f aca="false">I185</f>
        <v>-0.3</v>
      </c>
      <c r="O185" s="0" t="n">
        <f aca="false">J185</f>
        <v>0.4</v>
      </c>
      <c r="P185" s="0" t="n">
        <f aca="false">K185</f>
        <v>0.125</v>
      </c>
      <c r="Q185" s="0" t="n">
        <f aca="false">L185</f>
        <v>-1</v>
      </c>
      <c r="R185" s="0" t="n">
        <f aca="false">I185*J185</f>
        <v>-0.12</v>
      </c>
      <c r="S185" s="0" t="n">
        <f aca="false">I185*K185</f>
        <v>-0.0375</v>
      </c>
      <c r="T185" s="0" t="n">
        <f aca="false">I185*L185</f>
        <v>0.3</v>
      </c>
      <c r="U185" s="0" t="n">
        <f aca="false">J185*K185</f>
        <v>0.05</v>
      </c>
      <c r="V185" s="0" t="n">
        <f aca="false">J185*L185</f>
        <v>-0.4</v>
      </c>
      <c r="W185" s="0" t="n">
        <f aca="false">K185*L185</f>
        <v>-0.125</v>
      </c>
      <c r="X185" s="0" t="n">
        <f aca="false">I185*I185</f>
        <v>0.09</v>
      </c>
      <c r="Y185" s="0" t="n">
        <f aca="false">J185*J185</f>
        <v>0.16</v>
      </c>
      <c r="Z185" s="0" t="n">
        <f aca="false">K185*K185</f>
        <v>0.015625</v>
      </c>
      <c r="AA185" s="0" t="n">
        <f aca="false">L185*L185</f>
        <v>1</v>
      </c>
      <c r="AB185" s="0" t="n">
        <f aca="false">SUMPRODUCT(M185:AA185,_XtX!$B$96:$P$96)</f>
        <v>46.8141959064327</v>
      </c>
      <c r="AC185" s="0" t="n">
        <f aca="false">SUMPRODUCT(MMULT(M185:AA185,_XtX!$B$78:$P$92),M185:AA185)</f>
        <v>0.452247498629386</v>
      </c>
      <c r="AD185" s="0" t="n">
        <f aca="false">AB185-04_回帰ANOVA!$K$19*04_回帰ANOVA!$K$14*SQRT(1+AC185)</f>
        <v>45.243403796036</v>
      </c>
      <c r="AE185" s="0" t="n">
        <f aca="false">AB185+04_回帰ANOVA!$K$19*04_回帰ANOVA!$K$14*SQRT(1+AC185)</f>
        <v>48.3849880168295</v>
      </c>
      <c r="AF185" s="54" t="b">
        <f aca="false">AND(I185&gt;=01_因子設定!$L$5-0.000000001,I185&lt;=01_因子設定!$M$5+0.000000001,J185&gt;=01_因子設定!$L$6-0.000000001,J185&lt;=01_因子設定!$M$6+0.000000001,K185&gt;=01_因子設定!$L$7-0.000000001,K185&lt;=01_因子設定!$M$7+0.000000001,L185&gt;=01_因子設定!$L$8-0.000000001,L185&lt;=01_因子設定!$M$8+0.000000001,IF(01_因子設定!$B$20="Box-Behnken",I185^2+J185^2+K185^2+L185^2&lt;=2+0.000000001,TRUE()))</f>
        <v>1</v>
      </c>
      <c r="AG185" s="55" t="n">
        <f aca="false">IF(01_因子設定!$B$13="最大化",AD185-01_因子設定!$B$14,IF(01_因子設定!$B$13="最小化",01_因子設定!$B$15-AE185,MIN(AD185-01_因子設定!$B$14,01_因子設定!$B$15-AE185)))</f>
        <v>-1.256596203964</v>
      </c>
    </row>
    <row r="186" customFormat="false" ht="15" hidden="false" customHeight="false" outlineLevel="0" collapsed="false">
      <c r="A186" s="0" t="n">
        <v>0</v>
      </c>
      <c r="B186" s="0" t="n">
        <v>1</v>
      </c>
      <c r="C186" s="0" t="n">
        <v>1</v>
      </c>
      <c r="D186" s="0" t="n">
        <v>1</v>
      </c>
      <c r="E186" s="0" t="n">
        <f aca="false">08_工程窓!$C$76+A186*(08_工程窓!$D$76-08_工程窓!$C$76)/2</f>
        <v>62</v>
      </c>
      <c r="F186" s="0" t="n">
        <f aca="false">08_工程窓!$C$77+B186*(08_工程窓!$D$77-08_工程窓!$C$77)/2</f>
        <v>34</v>
      </c>
      <c r="G186" s="0" t="n">
        <f aca="false">08_工程窓!$C$78+C186*(08_工程窓!$D$78-08_工程窓!$C$78)/2</f>
        <v>2.125</v>
      </c>
      <c r="H186" s="0" t="n">
        <f aca="false">08_工程窓!$C$79+D186*(08_工程窓!$D$79-08_工程窓!$C$79)/2</f>
        <v>40</v>
      </c>
      <c r="I186" s="0" t="n">
        <f aca="false">(E186-01_因子設定!$G$5)/01_因子設定!$H$5</f>
        <v>-0.3</v>
      </c>
      <c r="J186" s="0" t="n">
        <f aca="false">(F186-01_因子設定!$G$6)/01_因子設定!$H$6</f>
        <v>0.4</v>
      </c>
      <c r="K186" s="0" t="n">
        <f aca="false">(G186-01_因子設定!$G$7)/01_因子設定!$H$7</f>
        <v>0.125</v>
      </c>
      <c r="L186" s="0" t="n">
        <f aca="false">(H186-01_因子設定!$G$8)/01_因子設定!$H$8</f>
        <v>0</v>
      </c>
      <c r="M186" s="0" t="n">
        <f aca="false">1</f>
        <v>1</v>
      </c>
      <c r="N186" s="0" t="n">
        <f aca="false">I186</f>
        <v>-0.3</v>
      </c>
      <c r="O186" s="0" t="n">
        <f aca="false">J186</f>
        <v>0.4</v>
      </c>
      <c r="P186" s="0" t="n">
        <f aca="false">K186</f>
        <v>0.125</v>
      </c>
      <c r="Q186" s="0" t="n">
        <f aca="false">L186</f>
        <v>0</v>
      </c>
      <c r="R186" s="0" t="n">
        <f aca="false">I186*J186</f>
        <v>-0.12</v>
      </c>
      <c r="S186" s="0" t="n">
        <f aca="false">I186*K186</f>
        <v>-0.0375</v>
      </c>
      <c r="T186" s="0" t="n">
        <f aca="false">I186*L186</f>
        <v>-0</v>
      </c>
      <c r="U186" s="0" t="n">
        <f aca="false">J186*K186</f>
        <v>0.05</v>
      </c>
      <c r="V186" s="0" t="n">
        <f aca="false">J186*L186</f>
        <v>0</v>
      </c>
      <c r="W186" s="0" t="n">
        <f aca="false">K186*L186</f>
        <v>0</v>
      </c>
      <c r="X186" s="0" t="n">
        <f aca="false">I186*I186</f>
        <v>0.09</v>
      </c>
      <c r="Y186" s="0" t="n">
        <f aca="false">J186*J186</f>
        <v>0.16</v>
      </c>
      <c r="Z186" s="0" t="n">
        <f aca="false">K186*K186</f>
        <v>0.015625</v>
      </c>
      <c r="AA186" s="0" t="n">
        <f aca="false">L186*L186</f>
        <v>0</v>
      </c>
      <c r="AB186" s="0" t="n">
        <f aca="false">SUMPRODUCT(M186:AA186,_XtX!$B$96:$P$96)</f>
        <v>47.5156451023391</v>
      </c>
      <c r="AC186" s="0" t="n">
        <f aca="false">SUMPRODUCT(MMULT(M186:AA186,_XtX!$B$78:$P$92),M186:AA186)</f>
        <v>0.107338187591374</v>
      </c>
      <c r="AD186" s="0" t="n">
        <f aca="false">AB186-04_回帰ANOVA!$K$19*04_回帰ANOVA!$K$14*SQRT(1+AC186)</f>
        <v>46.14401018806</v>
      </c>
      <c r="AE186" s="0" t="n">
        <f aca="false">AB186+04_回帰ANOVA!$K$19*04_回帰ANOVA!$K$14*SQRT(1+AC186)</f>
        <v>48.8872800166183</v>
      </c>
      <c r="AF186" s="54" t="b">
        <f aca="false">AND(I186&gt;=01_因子設定!$L$5-0.000000001,I186&lt;=01_因子設定!$M$5+0.000000001,J186&gt;=01_因子設定!$L$6-0.000000001,J186&lt;=01_因子設定!$M$6+0.000000001,K186&gt;=01_因子設定!$L$7-0.000000001,K186&lt;=01_因子設定!$M$7+0.000000001,L186&gt;=01_因子設定!$L$8-0.000000001,L186&lt;=01_因子設定!$M$8+0.000000001,IF(01_因子設定!$B$20="Box-Behnken",I186^2+J186^2+K186^2+L186^2&lt;=2+0.000000001,TRUE()))</f>
        <v>1</v>
      </c>
      <c r="AG186" s="55" t="n">
        <f aca="false">IF(01_因子設定!$B$13="最大化",AD186-01_因子設定!$B$14,IF(01_因子設定!$B$13="最小化",01_因子設定!$B$15-AE186,MIN(AD186-01_因子設定!$B$14,01_因子設定!$B$15-AE186)))</f>
        <v>-0.35598981194002</v>
      </c>
    </row>
    <row r="187" customFormat="false" ht="15" hidden="false" customHeight="false" outlineLevel="0" collapsed="false">
      <c r="A187" s="0" t="n">
        <v>0</v>
      </c>
      <c r="B187" s="0" t="n">
        <v>1</v>
      </c>
      <c r="C187" s="0" t="n">
        <v>1</v>
      </c>
      <c r="D187" s="0" t="n">
        <v>2</v>
      </c>
      <c r="E187" s="0" t="n">
        <f aca="false">08_工程窓!$C$76+A187*(08_工程窓!$D$76-08_工程窓!$C$76)/2</f>
        <v>62</v>
      </c>
      <c r="F187" s="0" t="n">
        <f aca="false">08_工程窓!$C$77+B187*(08_工程窓!$D$77-08_工程窓!$C$77)/2</f>
        <v>34</v>
      </c>
      <c r="G187" s="0" t="n">
        <f aca="false">08_工程窓!$C$78+C187*(08_工程窓!$D$78-08_工程窓!$C$78)/2</f>
        <v>2.125</v>
      </c>
      <c r="H187" s="0" t="n">
        <f aca="false">08_工程窓!$C$79+D187*(08_工程窓!$D$79-08_工程窓!$C$79)/2</f>
        <v>60</v>
      </c>
      <c r="I187" s="0" t="n">
        <f aca="false">(E187-01_因子設定!$G$5)/01_因子設定!$H$5</f>
        <v>-0.3</v>
      </c>
      <c r="J187" s="0" t="n">
        <f aca="false">(F187-01_因子設定!$G$6)/01_因子設定!$H$6</f>
        <v>0.4</v>
      </c>
      <c r="K187" s="0" t="n">
        <f aca="false">(G187-01_因子設定!$G$7)/01_因子設定!$H$7</f>
        <v>0.125</v>
      </c>
      <c r="L187" s="0" t="n">
        <f aca="false">(H187-01_因子設定!$G$8)/01_因子設定!$H$8</f>
        <v>1</v>
      </c>
      <c r="M187" s="0" t="n">
        <f aca="false">1</f>
        <v>1</v>
      </c>
      <c r="N187" s="0" t="n">
        <f aca="false">I187</f>
        <v>-0.3</v>
      </c>
      <c r="O187" s="0" t="n">
        <f aca="false">J187</f>
        <v>0.4</v>
      </c>
      <c r="P187" s="0" t="n">
        <f aca="false">K187</f>
        <v>0.125</v>
      </c>
      <c r="Q187" s="0" t="n">
        <f aca="false">L187</f>
        <v>1</v>
      </c>
      <c r="R187" s="0" t="n">
        <f aca="false">I187*J187</f>
        <v>-0.12</v>
      </c>
      <c r="S187" s="0" t="n">
        <f aca="false">I187*K187</f>
        <v>-0.0375</v>
      </c>
      <c r="T187" s="0" t="n">
        <f aca="false">I187*L187</f>
        <v>-0.3</v>
      </c>
      <c r="U187" s="0" t="n">
        <f aca="false">J187*K187</f>
        <v>0.05</v>
      </c>
      <c r="V187" s="0" t="n">
        <f aca="false">J187*L187</f>
        <v>0.4</v>
      </c>
      <c r="W187" s="0" t="n">
        <f aca="false">K187*L187</f>
        <v>0.125</v>
      </c>
      <c r="X187" s="0" t="n">
        <f aca="false">I187*I187</f>
        <v>0.09</v>
      </c>
      <c r="Y187" s="0" t="n">
        <f aca="false">J187*J187</f>
        <v>0.16</v>
      </c>
      <c r="Z187" s="0" t="n">
        <f aca="false">K187*K187</f>
        <v>0.015625</v>
      </c>
      <c r="AA187" s="0" t="n">
        <f aca="false">L187*L187</f>
        <v>1</v>
      </c>
      <c r="AB187" s="0" t="n">
        <f aca="false">SUMPRODUCT(M187:AA187,_XtX!$B$96:$P$96)</f>
        <v>47.4521820175438</v>
      </c>
      <c r="AC187" s="0" t="n">
        <f aca="false">SUMPRODUCT(MMULT(M187:AA187,_XtX!$B$78:$P$92),M187:AA187)</f>
        <v>0.452247498629386</v>
      </c>
      <c r="AD187" s="0" t="n">
        <f aca="false">AB187-04_回帰ANOVA!$K$19*04_回帰ANOVA!$K$14*SQRT(1+AC187)</f>
        <v>45.8813899071471</v>
      </c>
      <c r="AE187" s="0" t="n">
        <f aca="false">AB187+04_回帰ANOVA!$K$19*04_回帰ANOVA!$K$14*SQRT(1+AC187)</f>
        <v>49.0229741279406</v>
      </c>
      <c r="AF187" s="54" t="b">
        <f aca="false">AND(I187&gt;=01_因子設定!$L$5-0.000000001,I187&lt;=01_因子設定!$M$5+0.000000001,J187&gt;=01_因子設定!$L$6-0.000000001,J187&lt;=01_因子設定!$M$6+0.000000001,K187&gt;=01_因子設定!$L$7-0.000000001,K187&lt;=01_因子設定!$M$7+0.000000001,L187&gt;=01_因子設定!$L$8-0.000000001,L187&lt;=01_因子設定!$M$8+0.000000001,IF(01_因子設定!$B$20="Box-Behnken",I187^2+J187^2+K187^2+L187^2&lt;=2+0.000000001,TRUE()))</f>
        <v>1</v>
      </c>
      <c r="AG187" s="55" t="n">
        <f aca="false">IF(01_因子設定!$B$13="最大化",AD187-01_因子設定!$B$14,IF(01_因子設定!$B$13="最小化",01_因子設定!$B$15-AE187,MIN(AD187-01_因子設定!$B$14,01_因子設定!$B$15-AE187)))</f>
        <v>-0.61861009285289</v>
      </c>
    </row>
    <row r="188" customFormat="false" ht="15" hidden="false" customHeight="false" outlineLevel="0" collapsed="false">
      <c r="A188" s="0" t="n">
        <v>0</v>
      </c>
      <c r="B188" s="0" t="n">
        <v>1</v>
      </c>
      <c r="C188" s="0" t="n">
        <v>2</v>
      </c>
      <c r="D188" s="0" t="n">
        <v>0</v>
      </c>
      <c r="E188" s="0" t="n">
        <f aca="false">08_工程窓!$C$76+A188*(08_工程窓!$D$76-08_工程窓!$C$76)/2</f>
        <v>62</v>
      </c>
      <c r="F188" s="0" t="n">
        <f aca="false">08_工程窓!$C$77+B188*(08_工程窓!$D$77-08_工程窓!$C$77)/2</f>
        <v>34</v>
      </c>
      <c r="G188" s="0" t="n">
        <f aca="false">08_工程窓!$C$78+C188*(08_工程窓!$D$78-08_工程窓!$C$78)/2</f>
        <v>3</v>
      </c>
      <c r="H188" s="0" t="n">
        <f aca="false">08_工程窓!$C$79+D188*(08_工程窓!$D$79-08_工程窓!$C$79)/2</f>
        <v>20</v>
      </c>
      <c r="I188" s="0" t="n">
        <f aca="false">(E188-01_因子設定!$G$5)/01_因子設定!$H$5</f>
        <v>-0.3</v>
      </c>
      <c r="J188" s="0" t="n">
        <f aca="false">(F188-01_因子設定!$G$6)/01_因子設定!$H$6</f>
        <v>0.4</v>
      </c>
      <c r="K188" s="0" t="n">
        <f aca="false">(G188-01_因子設定!$G$7)/01_因子設定!$H$7</f>
        <v>1</v>
      </c>
      <c r="L188" s="0" t="n">
        <f aca="false">(H188-01_因子設定!$G$8)/01_因子設定!$H$8</f>
        <v>-1</v>
      </c>
      <c r="M188" s="0" t="n">
        <f aca="false">1</f>
        <v>1</v>
      </c>
      <c r="N188" s="0" t="n">
        <f aca="false">I188</f>
        <v>-0.3</v>
      </c>
      <c r="O188" s="0" t="n">
        <f aca="false">J188</f>
        <v>0.4</v>
      </c>
      <c r="P188" s="0" t="n">
        <f aca="false">K188</f>
        <v>1</v>
      </c>
      <c r="Q188" s="0" t="n">
        <f aca="false">L188</f>
        <v>-1</v>
      </c>
      <c r="R188" s="0" t="n">
        <f aca="false">I188*J188</f>
        <v>-0.12</v>
      </c>
      <c r="S188" s="0" t="n">
        <f aca="false">I188*K188</f>
        <v>-0.3</v>
      </c>
      <c r="T188" s="0" t="n">
        <f aca="false">I188*L188</f>
        <v>0.3</v>
      </c>
      <c r="U188" s="0" t="n">
        <f aca="false">J188*K188</f>
        <v>0.4</v>
      </c>
      <c r="V188" s="0" t="n">
        <f aca="false">J188*L188</f>
        <v>-0.4</v>
      </c>
      <c r="W188" s="0" t="n">
        <f aca="false">K188*L188</f>
        <v>-1</v>
      </c>
      <c r="X188" s="0" t="n">
        <f aca="false">I188*I188</f>
        <v>0.09</v>
      </c>
      <c r="Y188" s="0" t="n">
        <f aca="false">J188*J188</f>
        <v>0.16</v>
      </c>
      <c r="Z188" s="0" t="n">
        <f aca="false">K188*K188</f>
        <v>1</v>
      </c>
      <c r="AA188" s="0" t="n">
        <f aca="false">L188*L188</f>
        <v>1</v>
      </c>
      <c r="AB188" s="0" t="n">
        <f aca="false">SUMPRODUCT(M188:AA188,_XtX!$B$96:$P$96)</f>
        <v>47.0312573099415</v>
      </c>
      <c r="AC188" s="0" t="n">
        <f aca="false">SUMPRODUCT(MMULT(M188:AA188,_XtX!$B$78:$P$92),M188:AA188)</f>
        <v>0.637267543859649</v>
      </c>
      <c r="AD188" s="0" t="n">
        <f aca="false">AB188-04_回帰ANOVA!$K$19*04_回帰ANOVA!$K$14*SQRT(1+AC188)</f>
        <v>45.3634025870508</v>
      </c>
      <c r="AE188" s="0" t="n">
        <f aca="false">AB188+04_回帰ANOVA!$K$19*04_回帰ANOVA!$K$14*SQRT(1+AC188)</f>
        <v>48.6991120328322</v>
      </c>
      <c r="AF188" s="54" t="b">
        <f aca="false">AND(I188&gt;=01_因子設定!$L$5-0.000000001,I188&lt;=01_因子設定!$M$5+0.000000001,J188&gt;=01_因子設定!$L$6-0.000000001,J188&lt;=01_因子設定!$M$6+0.000000001,K188&gt;=01_因子設定!$L$7-0.000000001,K188&lt;=01_因子設定!$M$7+0.000000001,L188&gt;=01_因子設定!$L$8-0.000000001,L188&lt;=01_因子設定!$M$8+0.000000001,IF(01_因子設定!$B$20="Box-Behnken",I188^2+J188^2+K188^2+L188^2&lt;=2+0.000000001,TRUE()))</f>
        <v>1</v>
      </c>
      <c r="AG188" s="55" t="n">
        <f aca="false">IF(01_因子設定!$B$13="最大化",AD188-01_因子設定!$B$14,IF(01_因子設定!$B$13="最小化",01_因子設定!$B$15-AE188,MIN(AD188-01_因子設定!$B$14,01_因子設定!$B$15-AE188)))</f>
        <v>-1.13659741294921</v>
      </c>
    </row>
    <row r="189" customFormat="false" ht="15" hidden="false" customHeight="false" outlineLevel="0" collapsed="false">
      <c r="A189" s="0" t="n">
        <v>0</v>
      </c>
      <c r="B189" s="0" t="n">
        <v>1</v>
      </c>
      <c r="C189" s="0" t="n">
        <v>2</v>
      </c>
      <c r="D189" s="0" t="n">
        <v>1</v>
      </c>
      <c r="E189" s="0" t="n">
        <f aca="false">08_工程窓!$C$76+A189*(08_工程窓!$D$76-08_工程窓!$C$76)/2</f>
        <v>62</v>
      </c>
      <c r="F189" s="0" t="n">
        <f aca="false">08_工程窓!$C$77+B189*(08_工程窓!$D$77-08_工程窓!$C$77)/2</f>
        <v>34</v>
      </c>
      <c r="G189" s="0" t="n">
        <f aca="false">08_工程窓!$C$78+C189*(08_工程窓!$D$78-08_工程窓!$C$78)/2</f>
        <v>3</v>
      </c>
      <c r="H189" s="0" t="n">
        <f aca="false">08_工程窓!$C$79+D189*(08_工程窓!$D$79-08_工程窓!$C$79)/2</f>
        <v>40</v>
      </c>
      <c r="I189" s="0" t="n">
        <f aca="false">(E189-01_因子設定!$G$5)/01_因子設定!$H$5</f>
        <v>-0.3</v>
      </c>
      <c r="J189" s="0" t="n">
        <f aca="false">(F189-01_因子設定!$G$6)/01_因子設定!$H$6</f>
        <v>0.4</v>
      </c>
      <c r="K189" s="0" t="n">
        <f aca="false">(G189-01_因子設定!$G$7)/01_因子設定!$H$7</f>
        <v>1</v>
      </c>
      <c r="L189" s="0" t="n">
        <f aca="false">(H189-01_因子設定!$G$8)/01_因子設定!$H$8</f>
        <v>0</v>
      </c>
      <c r="M189" s="0" t="n">
        <f aca="false">1</f>
        <v>1</v>
      </c>
      <c r="N189" s="0" t="n">
        <f aca="false">I189</f>
        <v>-0.3</v>
      </c>
      <c r="O189" s="0" t="n">
        <f aca="false">J189</f>
        <v>0.4</v>
      </c>
      <c r="P189" s="0" t="n">
        <f aca="false">K189</f>
        <v>1</v>
      </c>
      <c r="Q189" s="0" t="n">
        <f aca="false">L189</f>
        <v>0</v>
      </c>
      <c r="R189" s="0" t="n">
        <f aca="false">I189*J189</f>
        <v>-0.12</v>
      </c>
      <c r="S189" s="0" t="n">
        <f aca="false">I189*K189</f>
        <v>-0.3</v>
      </c>
      <c r="T189" s="0" t="n">
        <f aca="false">I189*L189</f>
        <v>-0</v>
      </c>
      <c r="U189" s="0" t="n">
        <f aca="false">J189*K189</f>
        <v>0.4</v>
      </c>
      <c r="V189" s="0" t="n">
        <f aca="false">J189*L189</f>
        <v>0</v>
      </c>
      <c r="W189" s="0" t="n">
        <f aca="false">K189*L189</f>
        <v>0</v>
      </c>
      <c r="X189" s="0" t="n">
        <f aca="false">I189*I189</f>
        <v>0.09</v>
      </c>
      <c r="Y189" s="0" t="n">
        <f aca="false">J189*J189</f>
        <v>0.16</v>
      </c>
      <c r="Z189" s="0" t="n">
        <f aca="false">K189*K189</f>
        <v>1</v>
      </c>
      <c r="AA189" s="0" t="n">
        <f aca="false">L189*L189</f>
        <v>0</v>
      </c>
      <c r="AB189" s="0" t="n">
        <f aca="false">SUMPRODUCT(M189:AA189,_XtX!$B$96:$P$96)</f>
        <v>47.9842690058479</v>
      </c>
      <c r="AC189" s="0" t="n">
        <f aca="false">SUMPRODUCT(MMULT(M189:AA189,_XtX!$B$78:$P$92),M189:AA189)</f>
        <v>0.455341374269006</v>
      </c>
      <c r="AD189" s="0" t="n">
        <f aca="false">AB189-04_回帰ANOVA!$K$19*04_回帰ANOVA!$K$14*SQRT(1+AC189)</f>
        <v>46.4118045738088</v>
      </c>
      <c r="AE189" s="0" t="n">
        <f aca="false">AB189+04_回帰ANOVA!$K$19*04_回帰ANOVA!$K$14*SQRT(1+AC189)</f>
        <v>49.556733437887</v>
      </c>
      <c r="AF189" s="54" t="b">
        <f aca="false">AND(I189&gt;=01_因子設定!$L$5-0.000000001,I189&lt;=01_因子設定!$M$5+0.000000001,J189&gt;=01_因子設定!$L$6-0.000000001,J189&lt;=01_因子設定!$M$6+0.000000001,K189&gt;=01_因子設定!$L$7-0.000000001,K189&lt;=01_因子設定!$M$7+0.000000001,L189&gt;=01_因子設定!$L$8-0.000000001,L189&lt;=01_因子設定!$M$8+0.000000001,IF(01_因子設定!$B$20="Box-Behnken",I189^2+J189^2+K189^2+L189^2&lt;=2+0.000000001,TRUE()))</f>
        <v>1</v>
      </c>
      <c r="AG189" s="55" t="n">
        <f aca="false">IF(01_因子設定!$B$13="最大化",AD189-01_因子設定!$B$14,IF(01_因子設定!$B$13="最小化",01_因子設定!$B$15-AE189,MIN(AD189-01_因子設定!$B$14,01_因子設定!$B$15-AE189)))</f>
        <v>-0.0881954261911844</v>
      </c>
    </row>
    <row r="190" customFormat="false" ht="15" hidden="false" customHeight="false" outlineLevel="0" collapsed="false">
      <c r="A190" s="0" t="n">
        <v>0</v>
      </c>
      <c r="B190" s="0" t="n">
        <v>1</v>
      </c>
      <c r="C190" s="0" t="n">
        <v>2</v>
      </c>
      <c r="D190" s="0" t="n">
        <v>2</v>
      </c>
      <c r="E190" s="0" t="n">
        <f aca="false">08_工程窓!$C$76+A190*(08_工程窓!$D$76-08_工程窓!$C$76)/2</f>
        <v>62</v>
      </c>
      <c r="F190" s="0" t="n">
        <f aca="false">08_工程窓!$C$77+B190*(08_工程窓!$D$77-08_工程窓!$C$77)/2</f>
        <v>34</v>
      </c>
      <c r="G190" s="0" t="n">
        <f aca="false">08_工程窓!$C$78+C190*(08_工程窓!$D$78-08_工程窓!$C$78)/2</f>
        <v>3</v>
      </c>
      <c r="H190" s="0" t="n">
        <f aca="false">08_工程窓!$C$79+D190*(08_工程窓!$D$79-08_工程窓!$C$79)/2</f>
        <v>60</v>
      </c>
      <c r="I190" s="0" t="n">
        <f aca="false">(E190-01_因子設定!$G$5)/01_因子設定!$H$5</f>
        <v>-0.3</v>
      </c>
      <c r="J190" s="0" t="n">
        <f aca="false">(F190-01_因子設定!$G$6)/01_因子設定!$H$6</f>
        <v>0.4</v>
      </c>
      <c r="K190" s="0" t="n">
        <f aca="false">(G190-01_因子設定!$G$7)/01_因子設定!$H$7</f>
        <v>1</v>
      </c>
      <c r="L190" s="0" t="n">
        <f aca="false">(H190-01_因子設定!$G$8)/01_因子設定!$H$8</f>
        <v>1</v>
      </c>
      <c r="M190" s="0" t="n">
        <f aca="false">1</f>
        <v>1</v>
      </c>
      <c r="N190" s="0" t="n">
        <f aca="false">I190</f>
        <v>-0.3</v>
      </c>
      <c r="O190" s="0" t="n">
        <f aca="false">J190</f>
        <v>0.4</v>
      </c>
      <c r="P190" s="0" t="n">
        <f aca="false">K190</f>
        <v>1</v>
      </c>
      <c r="Q190" s="0" t="n">
        <f aca="false">L190</f>
        <v>1</v>
      </c>
      <c r="R190" s="0" t="n">
        <f aca="false">I190*J190</f>
        <v>-0.12</v>
      </c>
      <c r="S190" s="0" t="n">
        <f aca="false">I190*K190</f>
        <v>-0.3</v>
      </c>
      <c r="T190" s="0" t="n">
        <f aca="false">I190*L190</f>
        <v>-0.3</v>
      </c>
      <c r="U190" s="0" t="n">
        <f aca="false">J190*K190</f>
        <v>0.4</v>
      </c>
      <c r="V190" s="0" t="n">
        <f aca="false">J190*L190</f>
        <v>0.4</v>
      </c>
      <c r="W190" s="0" t="n">
        <f aca="false">K190*L190</f>
        <v>1</v>
      </c>
      <c r="X190" s="0" t="n">
        <f aca="false">I190*I190</f>
        <v>0.09</v>
      </c>
      <c r="Y190" s="0" t="n">
        <f aca="false">J190*J190</f>
        <v>0.16</v>
      </c>
      <c r="Z190" s="0" t="n">
        <f aca="false">K190*K190</f>
        <v>1</v>
      </c>
      <c r="AA190" s="0" t="n">
        <f aca="false">L190*L190</f>
        <v>1</v>
      </c>
      <c r="AB190" s="0" t="n">
        <f aca="false">SUMPRODUCT(M190:AA190,_XtX!$B$96:$P$96)</f>
        <v>48.1723684210526</v>
      </c>
      <c r="AC190" s="0" t="n">
        <f aca="false">SUMPRODUCT(MMULT(M190:AA190,_XtX!$B$78:$P$92),M190:AA190)</f>
        <v>0.637267543859649</v>
      </c>
      <c r="AD190" s="0" t="n">
        <f aca="false">AB190-04_回帰ANOVA!$K$19*04_回帰ANOVA!$K$14*SQRT(1+AC190)</f>
        <v>46.5045136981619</v>
      </c>
      <c r="AE190" s="0" t="n">
        <f aca="false">AB190+04_回帰ANOVA!$K$19*04_回帰ANOVA!$K$14*SQRT(1+AC190)</f>
        <v>49.8402231439433</v>
      </c>
      <c r="AF190" s="54" t="b">
        <f aca="false">AND(I190&gt;=01_因子設定!$L$5-0.000000001,I190&lt;=01_因子設定!$M$5+0.000000001,J190&gt;=01_因子設定!$L$6-0.000000001,J190&lt;=01_因子設定!$M$6+0.000000001,K190&gt;=01_因子設定!$L$7-0.000000001,K190&lt;=01_因子設定!$M$7+0.000000001,L190&gt;=01_因子設定!$L$8-0.000000001,L190&lt;=01_因子設定!$M$8+0.000000001,IF(01_因子設定!$B$20="Box-Behnken",I190^2+J190^2+K190^2+L190^2&lt;=2+0.000000001,TRUE()))</f>
        <v>1</v>
      </c>
      <c r="AG190" s="55" t="n">
        <f aca="false">IF(01_因子設定!$B$13="最大化",AD190-01_因子設定!$B$14,IF(01_因子設定!$B$13="最小化",01_因子設定!$B$15-AE190,MIN(AD190-01_因子設定!$B$14,01_因子設定!$B$15-AE190)))</f>
        <v>0.00451369816190095</v>
      </c>
    </row>
    <row r="191" customFormat="false" ht="15" hidden="false" customHeight="false" outlineLevel="0" collapsed="false">
      <c r="A191" s="0" t="n">
        <v>0</v>
      </c>
      <c r="B191" s="0" t="n">
        <v>2</v>
      </c>
      <c r="C191" s="0" t="n">
        <v>0</v>
      </c>
      <c r="D191" s="0" t="n">
        <v>0</v>
      </c>
      <c r="E191" s="0" t="n">
        <f aca="false">08_工程窓!$C$76+A191*(08_工程窓!$D$76-08_工程窓!$C$76)/2</f>
        <v>62</v>
      </c>
      <c r="F191" s="0" t="n">
        <f aca="false">08_工程窓!$C$77+B191*(08_工程窓!$D$77-08_工程窓!$C$77)/2</f>
        <v>40</v>
      </c>
      <c r="G191" s="0" t="n">
        <f aca="false">08_工程窓!$C$78+C191*(08_工程窓!$D$78-08_工程窓!$C$78)/2</f>
        <v>1.25</v>
      </c>
      <c r="H191" s="0" t="n">
        <f aca="false">08_工程窓!$C$79+D191*(08_工程窓!$D$79-08_工程窓!$C$79)/2</f>
        <v>20</v>
      </c>
      <c r="I191" s="0" t="n">
        <f aca="false">(E191-01_因子設定!$G$5)/01_因子設定!$H$5</f>
        <v>-0.3</v>
      </c>
      <c r="J191" s="0" t="n">
        <f aca="false">(F191-01_因子設定!$G$6)/01_因子設定!$H$6</f>
        <v>1</v>
      </c>
      <c r="K191" s="0" t="n">
        <f aca="false">(G191-01_因子設定!$G$7)/01_因子設定!$H$7</f>
        <v>-0.75</v>
      </c>
      <c r="L191" s="0" t="n">
        <f aca="false">(H191-01_因子設定!$G$8)/01_因子設定!$H$8</f>
        <v>-1</v>
      </c>
      <c r="M191" s="0" t="n">
        <f aca="false">1</f>
        <v>1</v>
      </c>
      <c r="N191" s="0" t="n">
        <f aca="false">I191</f>
        <v>-0.3</v>
      </c>
      <c r="O191" s="0" t="n">
        <f aca="false">J191</f>
        <v>1</v>
      </c>
      <c r="P191" s="0" t="n">
        <f aca="false">K191</f>
        <v>-0.75</v>
      </c>
      <c r="Q191" s="0" t="n">
        <f aca="false">L191</f>
        <v>-1</v>
      </c>
      <c r="R191" s="0" t="n">
        <f aca="false">I191*J191</f>
        <v>-0.3</v>
      </c>
      <c r="S191" s="0" t="n">
        <f aca="false">I191*K191</f>
        <v>0.225</v>
      </c>
      <c r="T191" s="0" t="n">
        <f aca="false">I191*L191</f>
        <v>0.3</v>
      </c>
      <c r="U191" s="0" t="n">
        <f aca="false">J191*K191</f>
        <v>-0.75</v>
      </c>
      <c r="V191" s="0" t="n">
        <f aca="false">J191*L191</f>
        <v>-1</v>
      </c>
      <c r="W191" s="0" t="n">
        <f aca="false">K191*L191</f>
        <v>0.75</v>
      </c>
      <c r="X191" s="0" t="n">
        <f aca="false">I191*I191</f>
        <v>0.09</v>
      </c>
      <c r="Y191" s="0" t="n">
        <f aca="false">J191*J191</f>
        <v>1</v>
      </c>
      <c r="Z191" s="0" t="n">
        <f aca="false">K191*K191</f>
        <v>0.5625</v>
      </c>
      <c r="AA191" s="0" t="n">
        <f aca="false">L191*L191</f>
        <v>1</v>
      </c>
      <c r="AB191" s="0" t="n">
        <f aca="false">SUMPRODUCT(M191:AA191,_XtX!$B$96:$P$96)</f>
        <v>44.4239020467836</v>
      </c>
      <c r="AC191" s="0" t="n">
        <f aca="false">SUMPRODUCT(MMULT(M191:AA191,_XtX!$B$78:$P$92),M191:AA191)</f>
        <v>0.611403682383041</v>
      </c>
      <c r="AD191" s="0" t="n">
        <f aca="false">AB191-04_回帰ANOVA!$K$19*04_回帰ANOVA!$K$14*SQRT(1+AC191)</f>
        <v>42.7692732874132</v>
      </c>
      <c r="AE191" s="0" t="n">
        <f aca="false">AB191+04_回帰ANOVA!$K$19*04_回帰ANOVA!$K$14*SQRT(1+AC191)</f>
        <v>46.0785308061541</v>
      </c>
      <c r="AF191" s="54" t="b">
        <f aca="false">AND(I191&gt;=01_因子設定!$L$5-0.000000001,I191&lt;=01_因子設定!$M$5+0.000000001,J191&gt;=01_因子設定!$L$6-0.000000001,J191&lt;=01_因子設定!$M$6+0.000000001,K191&gt;=01_因子設定!$L$7-0.000000001,K191&lt;=01_因子設定!$M$7+0.000000001,L191&gt;=01_因子設定!$L$8-0.000000001,L191&lt;=01_因子設定!$M$8+0.000000001,IF(01_因子設定!$B$20="Box-Behnken",I191^2+J191^2+K191^2+L191^2&lt;=2+0.000000001,TRUE()))</f>
        <v>1</v>
      </c>
      <c r="AG191" s="55" t="n">
        <f aca="false">IF(01_因子設定!$B$13="最大化",AD191-01_因子設定!$B$14,IF(01_因子設定!$B$13="最小化",01_因子設定!$B$15-AE191,MIN(AD191-01_因子設定!$B$14,01_因子設定!$B$15-AE191)))</f>
        <v>-3.73072671258684</v>
      </c>
    </row>
    <row r="192" customFormat="false" ht="15" hidden="false" customHeight="false" outlineLevel="0" collapsed="false">
      <c r="A192" s="0" t="n">
        <v>0</v>
      </c>
      <c r="B192" s="0" t="n">
        <v>2</v>
      </c>
      <c r="C192" s="0" t="n">
        <v>0</v>
      </c>
      <c r="D192" s="0" t="n">
        <v>1</v>
      </c>
      <c r="E192" s="0" t="n">
        <f aca="false">08_工程窓!$C$76+A192*(08_工程窓!$D$76-08_工程窓!$C$76)/2</f>
        <v>62</v>
      </c>
      <c r="F192" s="0" t="n">
        <f aca="false">08_工程窓!$C$77+B192*(08_工程窓!$D$77-08_工程窓!$C$77)/2</f>
        <v>40</v>
      </c>
      <c r="G192" s="0" t="n">
        <f aca="false">08_工程窓!$C$78+C192*(08_工程窓!$D$78-08_工程窓!$C$78)/2</f>
        <v>1.25</v>
      </c>
      <c r="H192" s="0" t="n">
        <f aca="false">08_工程窓!$C$79+D192*(08_工程窓!$D$79-08_工程窓!$C$79)/2</f>
        <v>40</v>
      </c>
      <c r="I192" s="0" t="n">
        <f aca="false">(E192-01_因子設定!$G$5)/01_因子設定!$H$5</f>
        <v>-0.3</v>
      </c>
      <c r="J192" s="0" t="n">
        <f aca="false">(F192-01_因子設定!$G$6)/01_因子設定!$H$6</f>
        <v>1</v>
      </c>
      <c r="K192" s="0" t="n">
        <f aca="false">(G192-01_因子設定!$G$7)/01_因子設定!$H$7</f>
        <v>-0.75</v>
      </c>
      <c r="L192" s="0" t="n">
        <f aca="false">(H192-01_因子設定!$G$8)/01_因子設定!$H$8</f>
        <v>0</v>
      </c>
      <c r="M192" s="0" t="n">
        <f aca="false">1</f>
        <v>1</v>
      </c>
      <c r="N192" s="0" t="n">
        <f aca="false">I192</f>
        <v>-0.3</v>
      </c>
      <c r="O192" s="0" t="n">
        <f aca="false">J192</f>
        <v>1</v>
      </c>
      <c r="P192" s="0" t="n">
        <f aca="false">K192</f>
        <v>-0.75</v>
      </c>
      <c r="Q192" s="0" t="n">
        <f aca="false">L192</f>
        <v>0</v>
      </c>
      <c r="R192" s="0" t="n">
        <f aca="false">I192*J192</f>
        <v>-0.3</v>
      </c>
      <c r="S192" s="0" t="n">
        <f aca="false">I192*K192</f>
        <v>0.225</v>
      </c>
      <c r="T192" s="0" t="n">
        <f aca="false">I192*L192</f>
        <v>-0</v>
      </c>
      <c r="U192" s="0" t="n">
        <f aca="false">J192*K192</f>
        <v>-0.75</v>
      </c>
      <c r="V192" s="0" t="n">
        <f aca="false">J192*L192</f>
        <v>0</v>
      </c>
      <c r="W192" s="0" t="n">
        <f aca="false">K192*L192</f>
        <v>-0</v>
      </c>
      <c r="X192" s="0" t="n">
        <f aca="false">I192*I192</f>
        <v>0.09</v>
      </c>
      <c r="Y192" s="0" t="n">
        <f aca="false">J192*J192</f>
        <v>1</v>
      </c>
      <c r="Z192" s="0" t="n">
        <f aca="false">K192*K192</f>
        <v>0.5625</v>
      </c>
      <c r="AA192" s="0" t="n">
        <f aca="false">L192*L192</f>
        <v>0</v>
      </c>
      <c r="AB192" s="0" t="n">
        <f aca="false">SUMPRODUCT(M192:AA192,_XtX!$B$96:$P$96)</f>
        <v>44.74628874269</v>
      </c>
      <c r="AC192" s="0" t="n">
        <f aca="false">SUMPRODUCT(MMULT(M192:AA192,_XtX!$B$78:$P$92),M192:AA192)</f>
        <v>0.496119508406433</v>
      </c>
      <c r="AD192" s="0" t="n">
        <f aca="false">AB192-04_回帰ANOVA!$K$19*04_回帰ANOVA!$K$14*SQRT(1+AC192)</f>
        <v>43.1519465638048</v>
      </c>
      <c r="AE192" s="0" t="n">
        <f aca="false">AB192+04_回帰ANOVA!$K$19*04_回帰ANOVA!$K$14*SQRT(1+AC192)</f>
        <v>46.3406309215752</v>
      </c>
      <c r="AF192" s="54" t="b">
        <f aca="false">AND(I192&gt;=01_因子設定!$L$5-0.000000001,I192&lt;=01_因子設定!$M$5+0.000000001,J192&gt;=01_因子設定!$L$6-0.000000001,J192&lt;=01_因子設定!$M$6+0.000000001,K192&gt;=01_因子設定!$L$7-0.000000001,K192&lt;=01_因子設定!$M$7+0.000000001,L192&gt;=01_因子設定!$L$8-0.000000001,L192&lt;=01_因子設定!$M$8+0.000000001,IF(01_因子設定!$B$20="Box-Behnken",I192^2+J192^2+K192^2+L192^2&lt;=2+0.000000001,TRUE()))</f>
        <v>1</v>
      </c>
      <c r="AG192" s="55" t="n">
        <f aca="false">IF(01_因子設定!$B$13="最大化",AD192-01_因子設定!$B$14,IF(01_因子設定!$B$13="最小化",01_因子設定!$B$15-AE192,MIN(AD192-01_因子設定!$B$14,01_因子設定!$B$15-AE192)))</f>
        <v>-3.34805343619518</v>
      </c>
    </row>
    <row r="193" customFormat="false" ht="15" hidden="false" customHeight="false" outlineLevel="0" collapsed="false">
      <c r="A193" s="0" t="n">
        <v>0</v>
      </c>
      <c r="B193" s="0" t="n">
        <v>2</v>
      </c>
      <c r="C193" s="0" t="n">
        <v>0</v>
      </c>
      <c r="D193" s="0" t="n">
        <v>2</v>
      </c>
      <c r="E193" s="0" t="n">
        <f aca="false">08_工程窓!$C$76+A193*(08_工程窓!$D$76-08_工程窓!$C$76)/2</f>
        <v>62</v>
      </c>
      <c r="F193" s="0" t="n">
        <f aca="false">08_工程窓!$C$77+B193*(08_工程窓!$D$77-08_工程窓!$C$77)/2</f>
        <v>40</v>
      </c>
      <c r="G193" s="0" t="n">
        <f aca="false">08_工程窓!$C$78+C193*(08_工程窓!$D$78-08_工程窓!$C$78)/2</f>
        <v>1.25</v>
      </c>
      <c r="H193" s="0" t="n">
        <f aca="false">08_工程窓!$C$79+D193*(08_工程窓!$D$79-08_工程窓!$C$79)/2</f>
        <v>60</v>
      </c>
      <c r="I193" s="0" t="n">
        <f aca="false">(E193-01_因子設定!$G$5)/01_因子設定!$H$5</f>
        <v>-0.3</v>
      </c>
      <c r="J193" s="0" t="n">
        <f aca="false">(F193-01_因子設定!$G$6)/01_因子設定!$H$6</f>
        <v>1</v>
      </c>
      <c r="K193" s="0" t="n">
        <f aca="false">(G193-01_因子設定!$G$7)/01_因子設定!$H$7</f>
        <v>-0.75</v>
      </c>
      <c r="L193" s="0" t="n">
        <f aca="false">(H193-01_因子設定!$G$8)/01_因子設定!$H$8</f>
        <v>1</v>
      </c>
      <c r="M193" s="0" t="n">
        <f aca="false">1</f>
        <v>1</v>
      </c>
      <c r="N193" s="0" t="n">
        <f aca="false">I193</f>
        <v>-0.3</v>
      </c>
      <c r="O193" s="0" t="n">
        <f aca="false">J193</f>
        <v>1</v>
      </c>
      <c r="P193" s="0" t="n">
        <f aca="false">K193</f>
        <v>-0.75</v>
      </c>
      <c r="Q193" s="0" t="n">
        <f aca="false">L193</f>
        <v>1</v>
      </c>
      <c r="R193" s="0" t="n">
        <f aca="false">I193*J193</f>
        <v>-0.3</v>
      </c>
      <c r="S193" s="0" t="n">
        <f aca="false">I193*K193</f>
        <v>0.225</v>
      </c>
      <c r="T193" s="0" t="n">
        <f aca="false">I193*L193</f>
        <v>-0.3</v>
      </c>
      <c r="U193" s="0" t="n">
        <f aca="false">J193*K193</f>
        <v>-0.75</v>
      </c>
      <c r="V193" s="0" t="n">
        <f aca="false">J193*L193</f>
        <v>1</v>
      </c>
      <c r="W193" s="0" t="n">
        <f aca="false">K193*L193</f>
        <v>-0.75</v>
      </c>
      <c r="X193" s="0" t="n">
        <f aca="false">I193*I193</f>
        <v>0.09</v>
      </c>
      <c r="Y193" s="0" t="n">
        <f aca="false">J193*J193</f>
        <v>1</v>
      </c>
      <c r="Z193" s="0" t="n">
        <f aca="false">K193*K193</f>
        <v>0.5625</v>
      </c>
      <c r="AA193" s="0" t="n">
        <f aca="false">L193*L193</f>
        <v>1</v>
      </c>
      <c r="AB193" s="0" t="n">
        <f aca="false">SUMPRODUCT(M193:AA193,_XtX!$B$96:$P$96)</f>
        <v>44.3037631578947</v>
      </c>
      <c r="AC193" s="0" t="n">
        <f aca="false">SUMPRODUCT(MMULT(M193:AA193,_XtX!$B$78:$P$92),M193:AA193)</f>
        <v>0.611403682383041</v>
      </c>
      <c r="AD193" s="0" t="n">
        <f aca="false">AB193-04_回帰ANOVA!$K$19*04_回帰ANOVA!$K$14*SQRT(1+AC193)</f>
        <v>42.6491343985243</v>
      </c>
      <c r="AE193" s="0" t="n">
        <f aca="false">AB193+04_回帰ANOVA!$K$19*04_回帰ANOVA!$K$14*SQRT(1+AC193)</f>
        <v>45.9583919172652</v>
      </c>
      <c r="AF193" s="54" t="b">
        <f aca="false">AND(I193&gt;=01_因子設定!$L$5-0.000000001,I193&lt;=01_因子設定!$M$5+0.000000001,J193&gt;=01_因子設定!$L$6-0.000000001,J193&lt;=01_因子設定!$M$6+0.000000001,K193&gt;=01_因子設定!$L$7-0.000000001,K193&lt;=01_因子設定!$M$7+0.000000001,L193&gt;=01_因子設定!$L$8-0.000000001,L193&lt;=01_因子設定!$M$8+0.000000001,IF(01_因子設定!$B$20="Box-Behnken",I193^2+J193^2+K193^2+L193^2&lt;=2+0.000000001,TRUE()))</f>
        <v>1</v>
      </c>
      <c r="AG193" s="55" t="n">
        <f aca="false">IF(01_因子設定!$B$13="最大化",AD193-01_因子設定!$B$14,IF(01_因子設定!$B$13="最小化",01_因子設定!$B$15-AE193,MIN(AD193-01_因子設定!$B$14,01_因子設定!$B$15-AE193)))</f>
        <v>-3.85086560147574</v>
      </c>
    </row>
    <row r="194" customFormat="false" ht="15" hidden="false" customHeight="false" outlineLevel="0" collapsed="false">
      <c r="A194" s="0" t="n">
        <v>0</v>
      </c>
      <c r="B194" s="0" t="n">
        <v>2</v>
      </c>
      <c r="C194" s="0" t="n">
        <v>1</v>
      </c>
      <c r="D194" s="0" t="n">
        <v>0</v>
      </c>
      <c r="E194" s="0" t="n">
        <f aca="false">08_工程窓!$C$76+A194*(08_工程窓!$D$76-08_工程窓!$C$76)/2</f>
        <v>62</v>
      </c>
      <c r="F194" s="0" t="n">
        <f aca="false">08_工程窓!$C$77+B194*(08_工程窓!$D$77-08_工程窓!$C$77)/2</f>
        <v>40</v>
      </c>
      <c r="G194" s="0" t="n">
        <f aca="false">08_工程窓!$C$78+C194*(08_工程窓!$D$78-08_工程窓!$C$78)/2</f>
        <v>2.125</v>
      </c>
      <c r="H194" s="0" t="n">
        <f aca="false">08_工程窓!$C$79+D194*(08_工程窓!$D$79-08_工程窓!$C$79)/2</f>
        <v>20</v>
      </c>
      <c r="I194" s="0" t="n">
        <f aca="false">(E194-01_因子設定!$G$5)/01_因子設定!$H$5</f>
        <v>-0.3</v>
      </c>
      <c r="J194" s="0" t="n">
        <f aca="false">(F194-01_因子設定!$G$6)/01_因子設定!$H$6</f>
        <v>1</v>
      </c>
      <c r="K194" s="0" t="n">
        <f aca="false">(G194-01_因子設定!$G$7)/01_因子設定!$H$7</f>
        <v>0.125</v>
      </c>
      <c r="L194" s="0" t="n">
        <f aca="false">(H194-01_因子設定!$G$8)/01_因子設定!$H$8</f>
        <v>-1</v>
      </c>
      <c r="M194" s="0" t="n">
        <f aca="false">1</f>
        <v>1</v>
      </c>
      <c r="N194" s="0" t="n">
        <f aca="false">I194</f>
        <v>-0.3</v>
      </c>
      <c r="O194" s="0" t="n">
        <f aca="false">J194</f>
        <v>1</v>
      </c>
      <c r="P194" s="0" t="n">
        <f aca="false">K194</f>
        <v>0.125</v>
      </c>
      <c r="Q194" s="0" t="n">
        <f aca="false">L194</f>
        <v>-1</v>
      </c>
      <c r="R194" s="0" t="n">
        <f aca="false">I194*J194</f>
        <v>-0.3</v>
      </c>
      <c r="S194" s="0" t="n">
        <f aca="false">I194*K194</f>
        <v>-0.0375</v>
      </c>
      <c r="T194" s="0" t="n">
        <f aca="false">I194*L194</f>
        <v>0.3</v>
      </c>
      <c r="U194" s="0" t="n">
        <f aca="false">J194*K194</f>
        <v>0.125</v>
      </c>
      <c r="V194" s="0" t="n">
        <f aca="false">J194*L194</f>
        <v>-1</v>
      </c>
      <c r="W194" s="0" t="n">
        <f aca="false">K194*L194</f>
        <v>-0.125</v>
      </c>
      <c r="X194" s="0" t="n">
        <f aca="false">I194*I194</f>
        <v>0.09</v>
      </c>
      <c r="Y194" s="0" t="n">
        <f aca="false">J194*J194</f>
        <v>1</v>
      </c>
      <c r="Z194" s="0" t="n">
        <f aca="false">K194*K194</f>
        <v>0.015625</v>
      </c>
      <c r="AA194" s="0" t="n">
        <f aca="false">L194*L194</f>
        <v>1</v>
      </c>
      <c r="AB194" s="0" t="n">
        <f aca="false">SUMPRODUCT(M194:AA194,_XtX!$B$96:$P$96)</f>
        <v>45.8500369152047</v>
      </c>
      <c r="AC194" s="0" t="n">
        <f aca="false">SUMPRODUCT(MMULT(M194:AA194,_XtX!$B$78:$P$92),M194:AA194)</f>
        <v>0.677018688322369</v>
      </c>
      <c r="AD194" s="0" t="n">
        <f aca="false">AB194-04_回帰ANOVA!$K$19*04_回帰ANOVA!$K$14*SQRT(1+AC194)</f>
        <v>44.1620567314142</v>
      </c>
      <c r="AE194" s="0" t="n">
        <f aca="false">AB194+04_回帰ANOVA!$K$19*04_回帰ANOVA!$K$14*SQRT(1+AC194)</f>
        <v>47.5380170989952</v>
      </c>
      <c r="AF194" s="54" t="b">
        <f aca="false">AND(I194&gt;=01_因子設定!$L$5-0.000000001,I194&lt;=01_因子設定!$M$5+0.000000001,J194&gt;=01_因子設定!$L$6-0.000000001,J194&lt;=01_因子設定!$M$6+0.000000001,K194&gt;=01_因子設定!$L$7-0.000000001,K194&lt;=01_因子設定!$M$7+0.000000001,L194&gt;=01_因子設定!$L$8-0.000000001,L194&lt;=01_因子設定!$M$8+0.000000001,IF(01_因子設定!$B$20="Box-Behnken",I194^2+J194^2+K194^2+L194^2&lt;=2+0.000000001,TRUE()))</f>
        <v>1</v>
      </c>
      <c r="AG194" s="55" t="n">
        <f aca="false">IF(01_因子設定!$B$13="最大化",AD194-01_因子設定!$B$14,IF(01_因子設定!$B$13="最小化",01_因子設定!$B$15-AE194,MIN(AD194-01_因子設定!$B$14,01_因子設定!$B$15-AE194)))</f>
        <v>-2.33794326858583</v>
      </c>
    </row>
    <row r="195" customFormat="false" ht="15" hidden="false" customHeight="false" outlineLevel="0" collapsed="false">
      <c r="A195" s="0" t="n">
        <v>0</v>
      </c>
      <c r="B195" s="0" t="n">
        <v>2</v>
      </c>
      <c r="C195" s="0" t="n">
        <v>1</v>
      </c>
      <c r="D195" s="0" t="n">
        <v>1</v>
      </c>
      <c r="E195" s="0" t="n">
        <f aca="false">08_工程窓!$C$76+A195*(08_工程窓!$D$76-08_工程窓!$C$76)/2</f>
        <v>62</v>
      </c>
      <c r="F195" s="0" t="n">
        <f aca="false">08_工程窓!$C$77+B195*(08_工程窓!$D$77-08_工程窓!$C$77)/2</f>
        <v>40</v>
      </c>
      <c r="G195" s="0" t="n">
        <f aca="false">08_工程窓!$C$78+C195*(08_工程窓!$D$78-08_工程窓!$C$78)/2</f>
        <v>2.125</v>
      </c>
      <c r="H195" s="0" t="n">
        <f aca="false">08_工程窓!$C$79+D195*(08_工程窓!$D$79-08_工程窓!$C$79)/2</f>
        <v>40</v>
      </c>
      <c r="I195" s="0" t="n">
        <f aca="false">(E195-01_因子設定!$G$5)/01_因子設定!$H$5</f>
        <v>-0.3</v>
      </c>
      <c r="J195" s="0" t="n">
        <f aca="false">(F195-01_因子設定!$G$6)/01_因子設定!$H$6</f>
        <v>1</v>
      </c>
      <c r="K195" s="0" t="n">
        <f aca="false">(G195-01_因子設定!$G$7)/01_因子設定!$H$7</f>
        <v>0.125</v>
      </c>
      <c r="L195" s="0" t="n">
        <f aca="false">(H195-01_因子設定!$G$8)/01_因子設定!$H$8</f>
        <v>0</v>
      </c>
      <c r="M195" s="0" t="n">
        <f aca="false">1</f>
        <v>1</v>
      </c>
      <c r="N195" s="0" t="n">
        <f aca="false">I195</f>
        <v>-0.3</v>
      </c>
      <c r="O195" s="0" t="n">
        <f aca="false">J195</f>
        <v>1</v>
      </c>
      <c r="P195" s="0" t="n">
        <f aca="false">K195</f>
        <v>0.125</v>
      </c>
      <c r="Q195" s="0" t="n">
        <f aca="false">L195</f>
        <v>0</v>
      </c>
      <c r="R195" s="0" t="n">
        <f aca="false">I195*J195</f>
        <v>-0.3</v>
      </c>
      <c r="S195" s="0" t="n">
        <f aca="false">I195*K195</f>
        <v>-0.0375</v>
      </c>
      <c r="T195" s="0" t="n">
        <f aca="false">I195*L195</f>
        <v>-0</v>
      </c>
      <c r="U195" s="0" t="n">
        <f aca="false">J195*K195</f>
        <v>0.125</v>
      </c>
      <c r="V195" s="0" t="n">
        <f aca="false">J195*L195</f>
        <v>0</v>
      </c>
      <c r="W195" s="0" t="n">
        <f aca="false">K195*L195</f>
        <v>0</v>
      </c>
      <c r="X195" s="0" t="n">
        <f aca="false">I195*I195</f>
        <v>0.09</v>
      </c>
      <c r="Y195" s="0" t="n">
        <f aca="false">J195*J195</f>
        <v>1</v>
      </c>
      <c r="Z195" s="0" t="n">
        <f aca="false">K195*K195</f>
        <v>0.015625</v>
      </c>
      <c r="AA195" s="0" t="n">
        <f aca="false">L195*L195</f>
        <v>0</v>
      </c>
      <c r="AB195" s="0" t="n">
        <f aca="false">SUMPRODUCT(M195:AA195,_XtX!$B$96:$P$96)</f>
        <v>46.4239861111111</v>
      </c>
      <c r="AC195" s="0" t="n">
        <f aca="false">SUMPRODUCT(MMULT(M195:AA195,_XtX!$B$78:$P$92),M195:AA195)</f>
        <v>0.471188324652778</v>
      </c>
      <c r="AD195" s="0" t="n">
        <f aca="false">AB195-04_回帰ANOVA!$K$19*04_回帰ANOVA!$K$14*SQRT(1+AC195)</f>
        <v>44.8429837170837</v>
      </c>
      <c r="AE195" s="0" t="n">
        <f aca="false">AB195+04_回帰ANOVA!$K$19*04_回帰ANOVA!$K$14*SQRT(1+AC195)</f>
        <v>48.0049885051384</v>
      </c>
      <c r="AF195" s="54" t="b">
        <f aca="false">AND(I195&gt;=01_因子設定!$L$5-0.000000001,I195&lt;=01_因子設定!$M$5+0.000000001,J195&gt;=01_因子設定!$L$6-0.000000001,J195&lt;=01_因子設定!$M$6+0.000000001,K195&gt;=01_因子設定!$L$7-0.000000001,K195&lt;=01_因子設定!$M$7+0.000000001,L195&gt;=01_因子設定!$L$8-0.000000001,L195&lt;=01_因子設定!$M$8+0.000000001,IF(01_因子設定!$B$20="Box-Behnken",I195^2+J195^2+K195^2+L195^2&lt;=2+0.000000001,TRUE()))</f>
        <v>1</v>
      </c>
      <c r="AG195" s="55" t="n">
        <f aca="false">IF(01_因子設定!$B$13="最大化",AD195-01_因子設定!$B$14,IF(01_因子設定!$B$13="最小化",01_因子設定!$B$15-AE195,MIN(AD195-01_因子設定!$B$14,01_因子設定!$B$15-AE195)))</f>
        <v>-1.65701628291631</v>
      </c>
    </row>
    <row r="196" customFormat="false" ht="15" hidden="false" customHeight="false" outlineLevel="0" collapsed="false">
      <c r="A196" s="0" t="n">
        <v>0</v>
      </c>
      <c r="B196" s="0" t="n">
        <v>2</v>
      </c>
      <c r="C196" s="0" t="n">
        <v>1</v>
      </c>
      <c r="D196" s="0" t="n">
        <v>2</v>
      </c>
      <c r="E196" s="0" t="n">
        <f aca="false">08_工程窓!$C$76+A196*(08_工程窓!$D$76-08_工程窓!$C$76)/2</f>
        <v>62</v>
      </c>
      <c r="F196" s="0" t="n">
        <f aca="false">08_工程窓!$C$77+B196*(08_工程窓!$D$77-08_工程窓!$C$77)/2</f>
        <v>40</v>
      </c>
      <c r="G196" s="0" t="n">
        <f aca="false">08_工程窓!$C$78+C196*(08_工程窓!$D$78-08_工程窓!$C$78)/2</f>
        <v>2.125</v>
      </c>
      <c r="H196" s="0" t="n">
        <f aca="false">08_工程窓!$C$79+D196*(08_工程窓!$D$79-08_工程窓!$C$79)/2</f>
        <v>60</v>
      </c>
      <c r="I196" s="0" t="n">
        <f aca="false">(E196-01_因子設定!$G$5)/01_因子設定!$H$5</f>
        <v>-0.3</v>
      </c>
      <c r="J196" s="0" t="n">
        <f aca="false">(F196-01_因子設定!$G$6)/01_因子設定!$H$6</f>
        <v>1</v>
      </c>
      <c r="K196" s="0" t="n">
        <f aca="false">(G196-01_因子設定!$G$7)/01_因子設定!$H$7</f>
        <v>0.125</v>
      </c>
      <c r="L196" s="0" t="n">
        <f aca="false">(H196-01_因子設定!$G$8)/01_因子設定!$H$8</f>
        <v>1</v>
      </c>
      <c r="M196" s="0" t="n">
        <f aca="false">1</f>
        <v>1</v>
      </c>
      <c r="N196" s="0" t="n">
        <f aca="false">I196</f>
        <v>-0.3</v>
      </c>
      <c r="O196" s="0" t="n">
        <f aca="false">J196</f>
        <v>1</v>
      </c>
      <c r="P196" s="0" t="n">
        <f aca="false">K196</f>
        <v>0.125</v>
      </c>
      <c r="Q196" s="0" t="n">
        <f aca="false">L196</f>
        <v>1</v>
      </c>
      <c r="R196" s="0" t="n">
        <f aca="false">I196*J196</f>
        <v>-0.3</v>
      </c>
      <c r="S196" s="0" t="n">
        <f aca="false">I196*K196</f>
        <v>-0.0375</v>
      </c>
      <c r="T196" s="0" t="n">
        <f aca="false">I196*L196</f>
        <v>-0.3</v>
      </c>
      <c r="U196" s="0" t="n">
        <f aca="false">J196*K196</f>
        <v>0.125</v>
      </c>
      <c r="V196" s="0" t="n">
        <f aca="false">J196*L196</f>
        <v>1</v>
      </c>
      <c r="W196" s="0" t="n">
        <f aca="false">K196*L196</f>
        <v>0.125</v>
      </c>
      <c r="X196" s="0" t="n">
        <f aca="false">I196*I196</f>
        <v>0.09</v>
      </c>
      <c r="Y196" s="0" t="n">
        <f aca="false">J196*J196</f>
        <v>1</v>
      </c>
      <c r="Z196" s="0" t="n">
        <f aca="false">K196*K196</f>
        <v>0.015625</v>
      </c>
      <c r="AA196" s="0" t="n">
        <f aca="false">L196*L196</f>
        <v>1</v>
      </c>
      <c r="AB196" s="0" t="n">
        <f aca="false">SUMPRODUCT(M196:AA196,_XtX!$B$96:$P$96)</f>
        <v>46.2330230263158</v>
      </c>
      <c r="AC196" s="0" t="n">
        <f aca="false">SUMPRODUCT(MMULT(M196:AA196,_XtX!$B$78:$P$92),M196:AA196)</f>
        <v>0.677018688322369</v>
      </c>
      <c r="AD196" s="0" t="n">
        <f aca="false">AB196-04_回帰ANOVA!$K$19*04_回帰ANOVA!$K$14*SQRT(1+AC196)</f>
        <v>44.5450428425253</v>
      </c>
      <c r="AE196" s="0" t="n">
        <f aca="false">AB196+04_回帰ANOVA!$K$19*04_回帰ANOVA!$K$14*SQRT(1+AC196)</f>
        <v>47.9210032101063</v>
      </c>
      <c r="AF196" s="54" t="b">
        <f aca="false">AND(I196&gt;=01_因子設定!$L$5-0.000000001,I196&lt;=01_因子設定!$M$5+0.000000001,J196&gt;=01_因子設定!$L$6-0.000000001,J196&lt;=01_因子設定!$M$6+0.000000001,K196&gt;=01_因子設定!$L$7-0.000000001,K196&lt;=01_因子設定!$M$7+0.000000001,L196&gt;=01_因子設定!$L$8-0.000000001,L196&lt;=01_因子設定!$M$8+0.000000001,IF(01_因子設定!$B$20="Box-Behnken",I196^2+J196^2+K196^2+L196^2&lt;=2+0.000000001,TRUE()))</f>
        <v>1</v>
      </c>
      <c r="AG196" s="55" t="n">
        <f aca="false">IF(01_因子設定!$B$13="最大化",AD196-01_因子設定!$B$14,IF(01_因子設定!$B$13="最小化",01_因子設定!$B$15-AE196,MIN(AD196-01_因子設定!$B$14,01_因子設定!$B$15-AE196)))</f>
        <v>-1.95495715747472</v>
      </c>
    </row>
    <row r="197" customFormat="false" ht="15" hidden="false" customHeight="false" outlineLevel="0" collapsed="false">
      <c r="A197" s="0" t="n">
        <v>0</v>
      </c>
      <c r="B197" s="0" t="n">
        <v>2</v>
      </c>
      <c r="C197" s="0" t="n">
        <v>2</v>
      </c>
      <c r="D197" s="0" t="n">
        <v>0</v>
      </c>
      <c r="E197" s="0" t="n">
        <f aca="false">08_工程窓!$C$76+A197*(08_工程窓!$D$76-08_工程窓!$C$76)/2</f>
        <v>62</v>
      </c>
      <c r="F197" s="0" t="n">
        <f aca="false">08_工程窓!$C$77+B197*(08_工程窓!$D$77-08_工程窓!$C$77)/2</f>
        <v>40</v>
      </c>
      <c r="G197" s="0" t="n">
        <f aca="false">08_工程窓!$C$78+C197*(08_工程窓!$D$78-08_工程窓!$C$78)/2</f>
        <v>3</v>
      </c>
      <c r="H197" s="0" t="n">
        <f aca="false">08_工程窓!$C$79+D197*(08_工程窓!$D$79-08_工程窓!$C$79)/2</f>
        <v>20</v>
      </c>
      <c r="I197" s="0" t="n">
        <f aca="false">(E197-01_因子設定!$G$5)/01_因子設定!$H$5</f>
        <v>-0.3</v>
      </c>
      <c r="J197" s="0" t="n">
        <f aca="false">(F197-01_因子設定!$G$6)/01_因子設定!$H$6</f>
        <v>1</v>
      </c>
      <c r="K197" s="0" t="n">
        <f aca="false">(G197-01_因子設定!$G$7)/01_因子設定!$H$7</f>
        <v>1</v>
      </c>
      <c r="L197" s="0" t="n">
        <f aca="false">(H197-01_因子設定!$G$8)/01_因子設定!$H$8</f>
        <v>-1</v>
      </c>
      <c r="M197" s="0" t="n">
        <f aca="false">1</f>
        <v>1</v>
      </c>
      <c r="N197" s="0" t="n">
        <f aca="false">I197</f>
        <v>-0.3</v>
      </c>
      <c r="O197" s="0" t="n">
        <f aca="false">J197</f>
        <v>1</v>
      </c>
      <c r="P197" s="0" t="n">
        <f aca="false">K197</f>
        <v>1</v>
      </c>
      <c r="Q197" s="0" t="n">
        <f aca="false">L197</f>
        <v>-1</v>
      </c>
      <c r="R197" s="0" t="n">
        <f aca="false">I197*J197</f>
        <v>-0.3</v>
      </c>
      <c r="S197" s="0" t="n">
        <f aca="false">I197*K197</f>
        <v>-0.3</v>
      </c>
      <c r="T197" s="0" t="n">
        <f aca="false">I197*L197</f>
        <v>0.3</v>
      </c>
      <c r="U197" s="0" t="n">
        <f aca="false">J197*K197</f>
        <v>1</v>
      </c>
      <c r="V197" s="0" t="n">
        <f aca="false">J197*L197</f>
        <v>-1</v>
      </c>
      <c r="W197" s="0" t="n">
        <f aca="false">K197*L197</f>
        <v>-1</v>
      </c>
      <c r="X197" s="0" t="n">
        <f aca="false">I197*I197</f>
        <v>0.09</v>
      </c>
      <c r="Y197" s="0" t="n">
        <f aca="false">J197*J197</f>
        <v>1</v>
      </c>
      <c r="Z197" s="0" t="n">
        <f aca="false">K197*K197</f>
        <v>1</v>
      </c>
      <c r="AA197" s="0" t="n">
        <f aca="false">L197*L197</f>
        <v>1</v>
      </c>
      <c r="AB197" s="0" t="n">
        <f aca="false">SUMPRODUCT(M197:AA197,_XtX!$B$96:$P$96)</f>
        <v>46.2311608187134</v>
      </c>
      <c r="AC197" s="0" t="n">
        <f aca="false">SUMPRODUCT(MMULT(M197:AA197,_XtX!$B$78:$P$92),M197:AA197)</f>
        <v>0.725132894736842</v>
      </c>
      <c r="AD197" s="0" t="n">
        <f aca="false">AB197-04_回帰ANOVA!$K$19*04_回帰ANOVA!$K$14*SQRT(1+AC197)</f>
        <v>44.5191375189949</v>
      </c>
      <c r="AE197" s="0" t="n">
        <f aca="false">AB197+04_回帰ANOVA!$K$19*04_回帰ANOVA!$K$14*SQRT(1+AC197)</f>
        <v>47.943184118432</v>
      </c>
      <c r="AF197" s="54" t="b">
        <f aca="false">AND(I197&gt;=01_因子設定!$L$5-0.000000001,I197&lt;=01_因子設定!$M$5+0.000000001,J197&gt;=01_因子設定!$L$6-0.000000001,J197&lt;=01_因子設定!$M$6+0.000000001,K197&gt;=01_因子設定!$L$7-0.000000001,K197&lt;=01_因子設定!$M$7+0.000000001,L197&gt;=01_因子設定!$L$8-0.000000001,L197&lt;=01_因子設定!$M$8+0.000000001,IF(01_因子設定!$B$20="Box-Behnken",I197^2+J197^2+K197^2+L197^2&lt;=2+0.000000001,TRUE()))</f>
        <v>1</v>
      </c>
      <c r="AG197" s="55" t="n">
        <f aca="false">IF(01_因子設定!$B$13="最大化",AD197-01_因子設定!$B$14,IF(01_因子設定!$B$13="最小化",01_因子設定!$B$15-AE197,MIN(AD197-01_因子設定!$B$14,01_因子設定!$B$15-AE197)))</f>
        <v>-1.98086248100515</v>
      </c>
    </row>
    <row r="198" customFormat="false" ht="15" hidden="false" customHeight="false" outlineLevel="0" collapsed="false">
      <c r="A198" s="0" t="n">
        <v>0</v>
      </c>
      <c r="B198" s="0" t="n">
        <v>2</v>
      </c>
      <c r="C198" s="0" t="n">
        <v>2</v>
      </c>
      <c r="D198" s="0" t="n">
        <v>1</v>
      </c>
      <c r="E198" s="0" t="n">
        <f aca="false">08_工程窓!$C$76+A198*(08_工程窓!$D$76-08_工程窓!$C$76)/2</f>
        <v>62</v>
      </c>
      <c r="F198" s="0" t="n">
        <f aca="false">08_工程窓!$C$77+B198*(08_工程窓!$D$77-08_工程窓!$C$77)/2</f>
        <v>40</v>
      </c>
      <c r="G198" s="0" t="n">
        <f aca="false">08_工程窓!$C$78+C198*(08_工程窓!$D$78-08_工程窓!$C$78)/2</f>
        <v>3</v>
      </c>
      <c r="H198" s="0" t="n">
        <f aca="false">08_工程窓!$C$79+D198*(08_工程窓!$D$79-08_工程窓!$C$79)/2</f>
        <v>40</v>
      </c>
      <c r="I198" s="0" t="n">
        <f aca="false">(E198-01_因子設定!$G$5)/01_因子設定!$H$5</f>
        <v>-0.3</v>
      </c>
      <c r="J198" s="0" t="n">
        <f aca="false">(F198-01_因子設定!$G$6)/01_因子設定!$H$6</f>
        <v>1</v>
      </c>
      <c r="K198" s="0" t="n">
        <f aca="false">(G198-01_因子設定!$G$7)/01_因子設定!$H$7</f>
        <v>1</v>
      </c>
      <c r="L198" s="0" t="n">
        <f aca="false">(H198-01_因子設定!$G$8)/01_因子設定!$H$8</f>
        <v>0</v>
      </c>
      <c r="M198" s="0" t="n">
        <f aca="false">1</f>
        <v>1</v>
      </c>
      <c r="N198" s="0" t="n">
        <f aca="false">I198</f>
        <v>-0.3</v>
      </c>
      <c r="O198" s="0" t="n">
        <f aca="false">J198</f>
        <v>1</v>
      </c>
      <c r="P198" s="0" t="n">
        <f aca="false">K198</f>
        <v>1</v>
      </c>
      <c r="Q198" s="0" t="n">
        <f aca="false">L198</f>
        <v>0</v>
      </c>
      <c r="R198" s="0" t="n">
        <f aca="false">I198*J198</f>
        <v>-0.3</v>
      </c>
      <c r="S198" s="0" t="n">
        <f aca="false">I198*K198</f>
        <v>-0.3</v>
      </c>
      <c r="T198" s="0" t="n">
        <f aca="false">I198*L198</f>
        <v>-0</v>
      </c>
      <c r="U198" s="0" t="n">
        <f aca="false">J198*K198</f>
        <v>1</v>
      </c>
      <c r="V198" s="0" t="n">
        <f aca="false">J198*L198</f>
        <v>0</v>
      </c>
      <c r="W198" s="0" t="n">
        <f aca="false">K198*L198</f>
        <v>0</v>
      </c>
      <c r="X198" s="0" t="n">
        <f aca="false">I198*I198</f>
        <v>0.09</v>
      </c>
      <c r="Y198" s="0" t="n">
        <f aca="false">J198*J198</f>
        <v>1</v>
      </c>
      <c r="Z198" s="0" t="n">
        <f aca="false">K198*K198</f>
        <v>1</v>
      </c>
      <c r="AA198" s="0" t="n">
        <f aca="false">L198*L198</f>
        <v>0</v>
      </c>
      <c r="AB198" s="0" t="n">
        <f aca="false">SUMPRODUCT(M198:AA198,_XtX!$B$96:$P$96)</f>
        <v>47.0566725146198</v>
      </c>
      <c r="AC198" s="0" t="n">
        <f aca="false">SUMPRODUCT(MMULT(M198:AA198,_XtX!$B$78:$P$92),M198:AA198)</f>
        <v>0.68228567251462</v>
      </c>
      <c r="AD198" s="0" t="n">
        <f aca="false">AB198-04_回帰ANOVA!$K$19*04_回帰ANOVA!$K$14*SQRT(1+AC198)</f>
        <v>45.3660437034361</v>
      </c>
      <c r="AE198" s="0" t="n">
        <f aca="false">AB198+04_回帰ANOVA!$K$19*04_回帰ANOVA!$K$14*SQRT(1+AC198)</f>
        <v>48.7473013258035</v>
      </c>
      <c r="AF198" s="54" t="b">
        <f aca="false">AND(I198&gt;=01_因子設定!$L$5-0.000000001,I198&lt;=01_因子設定!$M$5+0.000000001,J198&gt;=01_因子設定!$L$6-0.000000001,J198&lt;=01_因子設定!$M$6+0.000000001,K198&gt;=01_因子設定!$L$7-0.000000001,K198&lt;=01_因子設定!$M$7+0.000000001,L198&gt;=01_因子設定!$L$8-0.000000001,L198&lt;=01_因子設定!$M$8+0.000000001,IF(01_因子設定!$B$20="Box-Behnken",I198^2+J198^2+K198^2+L198^2&lt;=2+0.000000001,TRUE()))</f>
        <v>1</v>
      </c>
      <c r="AG198" s="55" t="n">
        <f aca="false">IF(01_因子設定!$B$13="最大化",AD198-01_因子設定!$B$14,IF(01_因子設定!$B$13="最小化",01_因子設定!$B$15-AE198,MIN(AD198-01_因子設定!$B$14,01_因子設定!$B$15-AE198)))</f>
        <v>-1.13395629656387</v>
      </c>
    </row>
    <row r="199" customFormat="false" ht="15" hidden="false" customHeight="false" outlineLevel="0" collapsed="false">
      <c r="A199" s="0" t="n">
        <v>0</v>
      </c>
      <c r="B199" s="0" t="n">
        <v>2</v>
      </c>
      <c r="C199" s="0" t="n">
        <v>2</v>
      </c>
      <c r="D199" s="0" t="n">
        <v>2</v>
      </c>
      <c r="E199" s="0" t="n">
        <f aca="false">08_工程窓!$C$76+A199*(08_工程窓!$D$76-08_工程窓!$C$76)/2</f>
        <v>62</v>
      </c>
      <c r="F199" s="0" t="n">
        <f aca="false">08_工程窓!$C$77+B199*(08_工程窓!$D$77-08_工程窓!$C$77)/2</f>
        <v>40</v>
      </c>
      <c r="G199" s="0" t="n">
        <f aca="false">08_工程窓!$C$78+C199*(08_工程窓!$D$78-08_工程窓!$C$78)/2</f>
        <v>3</v>
      </c>
      <c r="H199" s="0" t="n">
        <f aca="false">08_工程窓!$C$79+D199*(08_工程窓!$D$79-08_工程窓!$C$79)/2</f>
        <v>60</v>
      </c>
      <c r="I199" s="0" t="n">
        <f aca="false">(E199-01_因子設定!$G$5)/01_因子設定!$H$5</f>
        <v>-0.3</v>
      </c>
      <c r="J199" s="0" t="n">
        <f aca="false">(F199-01_因子設定!$G$6)/01_因子設定!$H$6</f>
        <v>1</v>
      </c>
      <c r="K199" s="0" t="n">
        <f aca="false">(G199-01_因子設定!$G$7)/01_因子設定!$H$7</f>
        <v>1</v>
      </c>
      <c r="L199" s="0" t="n">
        <f aca="false">(H199-01_因子設定!$G$8)/01_因子設定!$H$8</f>
        <v>1</v>
      </c>
      <c r="M199" s="0" t="n">
        <f aca="false">1</f>
        <v>1</v>
      </c>
      <c r="N199" s="0" t="n">
        <f aca="false">I199</f>
        <v>-0.3</v>
      </c>
      <c r="O199" s="0" t="n">
        <f aca="false">J199</f>
        <v>1</v>
      </c>
      <c r="P199" s="0" t="n">
        <f aca="false">K199</f>
        <v>1</v>
      </c>
      <c r="Q199" s="0" t="n">
        <f aca="false">L199</f>
        <v>1</v>
      </c>
      <c r="R199" s="0" t="n">
        <f aca="false">I199*J199</f>
        <v>-0.3</v>
      </c>
      <c r="S199" s="0" t="n">
        <f aca="false">I199*K199</f>
        <v>-0.3</v>
      </c>
      <c r="T199" s="0" t="n">
        <f aca="false">I199*L199</f>
        <v>-0.3</v>
      </c>
      <c r="U199" s="0" t="n">
        <f aca="false">J199*K199</f>
        <v>1</v>
      </c>
      <c r="V199" s="0" t="n">
        <f aca="false">J199*L199</f>
        <v>1</v>
      </c>
      <c r="W199" s="0" t="n">
        <f aca="false">K199*L199</f>
        <v>1</v>
      </c>
      <c r="X199" s="0" t="n">
        <f aca="false">I199*I199</f>
        <v>0.09</v>
      </c>
      <c r="Y199" s="0" t="n">
        <f aca="false">J199*J199</f>
        <v>1</v>
      </c>
      <c r="Z199" s="0" t="n">
        <f aca="false">K199*K199</f>
        <v>1</v>
      </c>
      <c r="AA199" s="0" t="n">
        <f aca="false">L199*L199</f>
        <v>1</v>
      </c>
      <c r="AB199" s="0" t="n">
        <f aca="false">SUMPRODUCT(M199:AA199,_XtX!$B$96:$P$96)</f>
        <v>47.1172719298246</v>
      </c>
      <c r="AC199" s="0" t="n">
        <f aca="false">SUMPRODUCT(MMULT(M199:AA199,_XtX!$B$78:$P$92),M199:AA199)</f>
        <v>0.725132894736842</v>
      </c>
      <c r="AD199" s="0" t="n">
        <f aca="false">AB199-04_回帰ANOVA!$K$19*04_回帰ANOVA!$K$14*SQRT(1+AC199)</f>
        <v>45.405248630106</v>
      </c>
      <c r="AE199" s="0" t="n">
        <f aca="false">AB199+04_回帰ANOVA!$K$19*04_回帰ANOVA!$K$14*SQRT(1+AC199)</f>
        <v>48.8292952295431</v>
      </c>
      <c r="AF199" s="54" t="b">
        <f aca="false">AND(I199&gt;=01_因子設定!$L$5-0.000000001,I199&lt;=01_因子設定!$M$5+0.000000001,J199&gt;=01_因子設定!$L$6-0.000000001,J199&lt;=01_因子設定!$M$6+0.000000001,K199&gt;=01_因子設定!$L$7-0.000000001,K199&lt;=01_因子設定!$M$7+0.000000001,L199&gt;=01_因子設定!$L$8-0.000000001,L199&lt;=01_因子設定!$M$8+0.000000001,IF(01_因子設定!$B$20="Box-Behnken",I199^2+J199^2+K199^2+L199^2&lt;=2+0.000000001,TRUE()))</f>
        <v>1</v>
      </c>
      <c r="AG199" s="55" t="n">
        <f aca="false">IF(01_因子設定!$B$13="最大化",AD199-01_因子設定!$B$14,IF(01_因子設定!$B$13="最小化",01_因子設定!$B$15-AE199,MIN(AD199-01_因子設定!$B$14,01_因子設定!$B$15-AE199)))</f>
        <v>-1.09475136989403</v>
      </c>
    </row>
    <row r="200" customFormat="false" ht="15" hidden="false" customHeight="false" outlineLevel="0" collapsed="false">
      <c r="A200" s="0" t="n">
        <v>1</v>
      </c>
      <c r="B200" s="0" t="n">
        <v>0</v>
      </c>
      <c r="C200" s="0" t="n">
        <v>0</v>
      </c>
      <c r="D200" s="0" t="n">
        <v>0</v>
      </c>
      <c r="E200" s="0" t="n">
        <f aca="false">08_工程窓!$C$76+A200*(08_工程窓!$D$76-08_工程窓!$C$76)/2</f>
        <v>68.5</v>
      </c>
      <c r="F200" s="0" t="n">
        <f aca="false">08_工程窓!$C$77+B200*(08_工程窓!$D$77-08_工程窓!$C$77)/2</f>
        <v>28</v>
      </c>
      <c r="G200" s="0" t="n">
        <f aca="false">08_工程窓!$C$78+C200*(08_工程窓!$D$78-08_工程窓!$C$78)/2</f>
        <v>1.25</v>
      </c>
      <c r="H200" s="0" t="n">
        <f aca="false">08_工程窓!$C$79+D200*(08_工程窓!$D$79-08_工程窓!$C$79)/2</f>
        <v>20</v>
      </c>
      <c r="I200" s="0" t="n">
        <f aca="false">(E200-01_因子設定!$G$5)/01_因子設定!$H$5</f>
        <v>0.35</v>
      </c>
      <c r="J200" s="0" t="n">
        <f aca="false">(F200-01_因子設定!$G$6)/01_因子設定!$H$6</f>
        <v>-0.2</v>
      </c>
      <c r="K200" s="0" t="n">
        <f aca="false">(G200-01_因子設定!$G$7)/01_因子設定!$H$7</f>
        <v>-0.75</v>
      </c>
      <c r="L200" s="0" t="n">
        <f aca="false">(H200-01_因子設定!$G$8)/01_因子設定!$H$8</f>
        <v>-1</v>
      </c>
      <c r="M200" s="0" t="n">
        <f aca="false">1</f>
        <v>1</v>
      </c>
      <c r="N200" s="0" t="n">
        <f aca="false">I200</f>
        <v>0.35</v>
      </c>
      <c r="O200" s="0" t="n">
        <f aca="false">J200</f>
        <v>-0.2</v>
      </c>
      <c r="P200" s="0" t="n">
        <f aca="false">K200</f>
        <v>-0.75</v>
      </c>
      <c r="Q200" s="0" t="n">
        <f aca="false">L200</f>
        <v>-1</v>
      </c>
      <c r="R200" s="0" t="n">
        <f aca="false">I200*J200</f>
        <v>-0.07</v>
      </c>
      <c r="S200" s="0" t="n">
        <f aca="false">I200*K200</f>
        <v>-0.2625</v>
      </c>
      <c r="T200" s="0" t="n">
        <f aca="false">I200*L200</f>
        <v>-0.35</v>
      </c>
      <c r="U200" s="0" t="n">
        <f aca="false">J200*K200</f>
        <v>0.15</v>
      </c>
      <c r="V200" s="0" t="n">
        <f aca="false">J200*L200</f>
        <v>0.2</v>
      </c>
      <c r="W200" s="0" t="n">
        <f aca="false">K200*L200</f>
        <v>0.75</v>
      </c>
      <c r="X200" s="0" t="n">
        <f aca="false">I200*I200</f>
        <v>0.1225</v>
      </c>
      <c r="Y200" s="0" t="n">
        <f aca="false">J200*J200</f>
        <v>0.04</v>
      </c>
      <c r="Z200" s="0" t="n">
        <f aca="false">K200*K200</f>
        <v>0.5625</v>
      </c>
      <c r="AA200" s="0" t="n">
        <f aca="false">L200*L200</f>
        <v>1</v>
      </c>
      <c r="AB200" s="0" t="n">
        <f aca="false">SUMPRODUCT(M200:AA200,_XtX!$B$96:$P$96)</f>
        <v>46.1300328947368</v>
      </c>
      <c r="AC200" s="0" t="n">
        <f aca="false">SUMPRODUCT(MMULT(M200:AA200,_XtX!$B$78:$P$92),M200:AA200)</f>
        <v>0.480047320449562</v>
      </c>
      <c r="AD200" s="0" t="n">
        <f aca="false">AB200-04_回帰ANOVA!$K$19*04_回帰ANOVA!$K$14*SQRT(1+AC200)</f>
        <v>44.5442775157954</v>
      </c>
      <c r="AE200" s="0" t="n">
        <f aca="false">AB200+04_回帰ANOVA!$K$19*04_回帰ANOVA!$K$14*SQRT(1+AC200)</f>
        <v>47.7157882736783</v>
      </c>
      <c r="AF200" s="54" t="b">
        <f aca="false">AND(I200&gt;=01_因子設定!$L$5-0.000000001,I200&lt;=01_因子設定!$M$5+0.000000001,J200&gt;=01_因子設定!$L$6-0.000000001,J200&lt;=01_因子設定!$M$6+0.000000001,K200&gt;=01_因子設定!$L$7-0.000000001,K200&lt;=01_因子設定!$M$7+0.000000001,L200&gt;=01_因子設定!$L$8-0.000000001,L200&lt;=01_因子設定!$M$8+0.000000001,IF(01_因子設定!$B$20="Box-Behnken",I200^2+J200^2+K200^2+L200^2&lt;=2+0.000000001,TRUE()))</f>
        <v>1</v>
      </c>
      <c r="AG200" s="55" t="n">
        <f aca="false">IF(01_因子設定!$B$13="最大化",AD200-01_因子設定!$B$14,IF(01_因子設定!$B$13="最小化",01_因子設定!$B$15-AE200,MIN(AD200-01_因子設定!$B$14,01_因子設定!$B$15-AE200)))</f>
        <v>-1.95572248420461</v>
      </c>
    </row>
    <row r="201" customFormat="false" ht="15" hidden="false" customHeight="false" outlineLevel="0" collapsed="false">
      <c r="A201" s="0" t="n">
        <v>1</v>
      </c>
      <c r="B201" s="0" t="n">
        <v>0</v>
      </c>
      <c r="C201" s="0" t="n">
        <v>0</v>
      </c>
      <c r="D201" s="0" t="n">
        <v>1</v>
      </c>
      <c r="E201" s="0" t="n">
        <f aca="false">08_工程窓!$C$76+A201*(08_工程窓!$D$76-08_工程窓!$C$76)/2</f>
        <v>68.5</v>
      </c>
      <c r="F201" s="0" t="n">
        <f aca="false">08_工程窓!$C$77+B201*(08_工程窓!$D$77-08_工程窓!$C$77)/2</f>
        <v>28</v>
      </c>
      <c r="G201" s="0" t="n">
        <f aca="false">08_工程窓!$C$78+C201*(08_工程窓!$D$78-08_工程窓!$C$78)/2</f>
        <v>1.25</v>
      </c>
      <c r="H201" s="0" t="n">
        <f aca="false">08_工程窓!$C$79+D201*(08_工程窓!$D$79-08_工程窓!$C$79)/2</f>
        <v>40</v>
      </c>
      <c r="I201" s="0" t="n">
        <f aca="false">(E201-01_因子設定!$G$5)/01_因子設定!$H$5</f>
        <v>0.35</v>
      </c>
      <c r="J201" s="0" t="n">
        <f aca="false">(F201-01_因子設定!$G$6)/01_因子設定!$H$6</f>
        <v>-0.2</v>
      </c>
      <c r="K201" s="0" t="n">
        <f aca="false">(G201-01_因子設定!$G$7)/01_因子設定!$H$7</f>
        <v>-0.75</v>
      </c>
      <c r="L201" s="0" t="n">
        <f aca="false">(H201-01_因子設定!$G$8)/01_因子設定!$H$8</f>
        <v>0</v>
      </c>
      <c r="M201" s="0" t="n">
        <f aca="false">1</f>
        <v>1</v>
      </c>
      <c r="N201" s="0" t="n">
        <f aca="false">I201</f>
        <v>0.35</v>
      </c>
      <c r="O201" s="0" t="n">
        <f aca="false">J201</f>
        <v>-0.2</v>
      </c>
      <c r="P201" s="0" t="n">
        <f aca="false">K201</f>
        <v>-0.75</v>
      </c>
      <c r="Q201" s="0" t="n">
        <f aca="false">L201</f>
        <v>0</v>
      </c>
      <c r="R201" s="0" t="n">
        <f aca="false">I201*J201</f>
        <v>-0.07</v>
      </c>
      <c r="S201" s="0" t="n">
        <f aca="false">I201*K201</f>
        <v>-0.2625</v>
      </c>
      <c r="T201" s="0" t="n">
        <f aca="false">I201*L201</f>
        <v>0</v>
      </c>
      <c r="U201" s="0" t="n">
        <f aca="false">J201*K201</f>
        <v>0.15</v>
      </c>
      <c r="V201" s="0" t="n">
        <f aca="false">J201*L201</f>
        <v>-0</v>
      </c>
      <c r="W201" s="0" t="n">
        <f aca="false">K201*L201</f>
        <v>-0</v>
      </c>
      <c r="X201" s="0" t="n">
        <f aca="false">I201*I201</f>
        <v>0.1225</v>
      </c>
      <c r="Y201" s="0" t="n">
        <f aca="false">J201*J201</f>
        <v>0.04</v>
      </c>
      <c r="Z201" s="0" t="n">
        <f aca="false">K201*K201</f>
        <v>0.5625</v>
      </c>
      <c r="AA201" s="0" t="n">
        <f aca="false">L201*L201</f>
        <v>0</v>
      </c>
      <c r="AB201" s="0" t="n">
        <f aca="false">SUMPRODUCT(M201:AA201,_XtX!$B$96:$P$96)</f>
        <v>46.7886695906432</v>
      </c>
      <c r="AC201" s="0" t="n">
        <f aca="false">SUMPRODUCT(MMULT(M201:AA201,_XtX!$B$78:$P$92),M201:AA201)</f>
        <v>0.211196808753655</v>
      </c>
      <c r="AD201" s="0" t="n">
        <f aca="false">AB201-04_回帰ANOVA!$K$19*04_回帰ANOVA!$K$14*SQRT(1+AC201)</f>
        <v>45.3541524176772</v>
      </c>
      <c r="AE201" s="0" t="n">
        <f aca="false">AB201+04_回帰ANOVA!$K$19*04_回帰ANOVA!$K$14*SQRT(1+AC201)</f>
        <v>48.2231867636093</v>
      </c>
      <c r="AF201" s="54" t="b">
        <f aca="false">AND(I201&gt;=01_因子設定!$L$5-0.000000001,I201&lt;=01_因子設定!$M$5+0.000000001,J201&gt;=01_因子設定!$L$6-0.000000001,J201&lt;=01_因子設定!$M$6+0.000000001,K201&gt;=01_因子設定!$L$7-0.000000001,K201&lt;=01_因子設定!$M$7+0.000000001,L201&gt;=01_因子設定!$L$8-0.000000001,L201&lt;=01_因子設定!$M$8+0.000000001,IF(01_因子設定!$B$20="Box-Behnken",I201^2+J201^2+K201^2+L201^2&lt;=2+0.000000001,TRUE()))</f>
        <v>1</v>
      </c>
      <c r="AG201" s="55" t="n">
        <f aca="false">IF(01_因子設定!$B$13="最大化",AD201-01_因子設定!$B$14,IF(01_因子設定!$B$13="最小化",01_因子設定!$B$15-AE201,MIN(AD201-01_因子設定!$B$14,01_因子設定!$B$15-AE201)))</f>
        <v>-1.14584758232285</v>
      </c>
    </row>
    <row r="202" customFormat="false" ht="15" hidden="false" customHeight="false" outlineLevel="0" collapsed="false">
      <c r="A202" s="0" t="n">
        <v>1</v>
      </c>
      <c r="B202" s="0" t="n">
        <v>0</v>
      </c>
      <c r="C202" s="0" t="n">
        <v>0</v>
      </c>
      <c r="D202" s="0" t="n">
        <v>2</v>
      </c>
      <c r="E202" s="0" t="n">
        <f aca="false">08_工程窓!$C$76+A202*(08_工程窓!$D$76-08_工程窓!$C$76)/2</f>
        <v>68.5</v>
      </c>
      <c r="F202" s="0" t="n">
        <f aca="false">08_工程窓!$C$77+B202*(08_工程窓!$D$77-08_工程窓!$C$77)/2</f>
        <v>28</v>
      </c>
      <c r="G202" s="0" t="n">
        <f aca="false">08_工程窓!$C$78+C202*(08_工程窓!$D$78-08_工程窓!$C$78)/2</f>
        <v>1.25</v>
      </c>
      <c r="H202" s="0" t="n">
        <f aca="false">08_工程窓!$C$79+D202*(08_工程窓!$D$79-08_工程窓!$C$79)/2</f>
        <v>60</v>
      </c>
      <c r="I202" s="0" t="n">
        <f aca="false">(E202-01_因子設定!$G$5)/01_因子設定!$H$5</f>
        <v>0.35</v>
      </c>
      <c r="J202" s="0" t="n">
        <f aca="false">(F202-01_因子設定!$G$6)/01_因子設定!$H$6</f>
        <v>-0.2</v>
      </c>
      <c r="K202" s="0" t="n">
        <f aca="false">(G202-01_因子設定!$G$7)/01_因子設定!$H$7</f>
        <v>-0.75</v>
      </c>
      <c r="L202" s="0" t="n">
        <f aca="false">(H202-01_因子設定!$G$8)/01_因子設定!$H$8</f>
        <v>1</v>
      </c>
      <c r="M202" s="0" t="n">
        <f aca="false">1</f>
        <v>1</v>
      </c>
      <c r="N202" s="0" t="n">
        <f aca="false">I202</f>
        <v>0.35</v>
      </c>
      <c r="O202" s="0" t="n">
        <f aca="false">J202</f>
        <v>-0.2</v>
      </c>
      <c r="P202" s="0" t="n">
        <f aca="false">K202</f>
        <v>-0.75</v>
      </c>
      <c r="Q202" s="0" t="n">
        <f aca="false">L202</f>
        <v>1</v>
      </c>
      <c r="R202" s="0" t="n">
        <f aca="false">I202*J202</f>
        <v>-0.07</v>
      </c>
      <c r="S202" s="0" t="n">
        <f aca="false">I202*K202</f>
        <v>-0.2625</v>
      </c>
      <c r="T202" s="0" t="n">
        <f aca="false">I202*L202</f>
        <v>0.35</v>
      </c>
      <c r="U202" s="0" t="n">
        <f aca="false">J202*K202</f>
        <v>0.15</v>
      </c>
      <c r="V202" s="0" t="n">
        <f aca="false">J202*L202</f>
        <v>-0.2</v>
      </c>
      <c r="W202" s="0" t="n">
        <f aca="false">K202*L202</f>
        <v>-0.75</v>
      </c>
      <c r="X202" s="0" t="n">
        <f aca="false">I202*I202</f>
        <v>0.1225</v>
      </c>
      <c r="Y202" s="0" t="n">
        <f aca="false">J202*J202</f>
        <v>0.04</v>
      </c>
      <c r="Z202" s="0" t="n">
        <f aca="false">K202*K202</f>
        <v>0.5625</v>
      </c>
      <c r="AA202" s="0" t="n">
        <f aca="false">L202*L202</f>
        <v>1</v>
      </c>
      <c r="AB202" s="0" t="n">
        <f aca="false">SUMPRODUCT(M202:AA202,_XtX!$B$96:$P$96)</f>
        <v>46.6823940058479</v>
      </c>
      <c r="AC202" s="0" t="n">
        <f aca="false">SUMPRODUCT(MMULT(M202:AA202,_XtX!$B$78:$P$92),M202:AA202)</f>
        <v>0.480047320449562</v>
      </c>
      <c r="AD202" s="0" t="n">
        <f aca="false">AB202-04_回帰ANOVA!$K$19*04_回帰ANOVA!$K$14*SQRT(1+AC202)</f>
        <v>45.0966386269065</v>
      </c>
      <c r="AE202" s="0" t="n">
        <f aca="false">AB202+04_回帰ANOVA!$K$19*04_回帰ANOVA!$K$14*SQRT(1+AC202)</f>
        <v>48.2681493847894</v>
      </c>
      <c r="AF202" s="54" t="b">
        <f aca="false">AND(I202&gt;=01_因子設定!$L$5-0.000000001,I202&lt;=01_因子設定!$M$5+0.000000001,J202&gt;=01_因子設定!$L$6-0.000000001,J202&lt;=01_因子設定!$M$6+0.000000001,K202&gt;=01_因子設定!$L$7-0.000000001,K202&lt;=01_因子設定!$M$7+0.000000001,L202&gt;=01_因子設定!$L$8-0.000000001,L202&lt;=01_因子設定!$M$8+0.000000001,IF(01_因子設定!$B$20="Box-Behnken",I202^2+J202^2+K202^2+L202^2&lt;=2+0.000000001,TRUE()))</f>
        <v>1</v>
      </c>
      <c r="AG202" s="55" t="n">
        <f aca="false">IF(01_因子設定!$B$13="最大化",AD202-01_因子設定!$B$14,IF(01_因子設定!$B$13="最小化",01_因子設定!$B$15-AE202,MIN(AD202-01_因子設定!$B$14,01_因子設定!$B$15-AE202)))</f>
        <v>-1.4033613730935</v>
      </c>
    </row>
    <row r="203" customFormat="false" ht="15" hidden="false" customHeight="false" outlineLevel="0" collapsed="false">
      <c r="A203" s="0" t="n">
        <v>1</v>
      </c>
      <c r="B203" s="0" t="n">
        <v>0</v>
      </c>
      <c r="C203" s="0" t="n">
        <v>1</v>
      </c>
      <c r="D203" s="0" t="n">
        <v>0</v>
      </c>
      <c r="E203" s="0" t="n">
        <f aca="false">08_工程窓!$C$76+A203*(08_工程窓!$D$76-08_工程窓!$C$76)/2</f>
        <v>68.5</v>
      </c>
      <c r="F203" s="0" t="n">
        <f aca="false">08_工程窓!$C$77+B203*(08_工程窓!$D$77-08_工程窓!$C$77)/2</f>
        <v>28</v>
      </c>
      <c r="G203" s="0" t="n">
        <f aca="false">08_工程窓!$C$78+C203*(08_工程窓!$D$78-08_工程窓!$C$78)/2</f>
        <v>2.125</v>
      </c>
      <c r="H203" s="0" t="n">
        <f aca="false">08_工程窓!$C$79+D203*(08_工程窓!$D$79-08_工程窓!$C$79)/2</f>
        <v>20</v>
      </c>
      <c r="I203" s="0" t="n">
        <f aca="false">(E203-01_因子設定!$G$5)/01_因子設定!$H$5</f>
        <v>0.35</v>
      </c>
      <c r="J203" s="0" t="n">
        <f aca="false">(F203-01_因子設定!$G$6)/01_因子設定!$H$6</f>
        <v>-0.2</v>
      </c>
      <c r="K203" s="0" t="n">
        <f aca="false">(G203-01_因子設定!$G$7)/01_因子設定!$H$7</f>
        <v>0.125</v>
      </c>
      <c r="L203" s="0" t="n">
        <f aca="false">(H203-01_因子設定!$G$8)/01_因子設定!$H$8</f>
        <v>-1</v>
      </c>
      <c r="M203" s="0" t="n">
        <f aca="false">1</f>
        <v>1</v>
      </c>
      <c r="N203" s="0" t="n">
        <f aca="false">I203</f>
        <v>0.35</v>
      </c>
      <c r="O203" s="0" t="n">
        <f aca="false">J203</f>
        <v>-0.2</v>
      </c>
      <c r="P203" s="0" t="n">
        <f aca="false">K203</f>
        <v>0.125</v>
      </c>
      <c r="Q203" s="0" t="n">
        <f aca="false">L203</f>
        <v>-1</v>
      </c>
      <c r="R203" s="0" t="n">
        <f aca="false">I203*J203</f>
        <v>-0.07</v>
      </c>
      <c r="S203" s="0" t="n">
        <f aca="false">I203*K203</f>
        <v>0.04375</v>
      </c>
      <c r="T203" s="0" t="n">
        <f aca="false">I203*L203</f>
        <v>-0.35</v>
      </c>
      <c r="U203" s="0" t="n">
        <f aca="false">J203*K203</f>
        <v>-0.025</v>
      </c>
      <c r="V203" s="0" t="n">
        <f aca="false">J203*L203</f>
        <v>0.2</v>
      </c>
      <c r="W203" s="0" t="n">
        <f aca="false">K203*L203</f>
        <v>-0.125</v>
      </c>
      <c r="X203" s="0" t="n">
        <f aca="false">I203*I203</f>
        <v>0.1225</v>
      </c>
      <c r="Y203" s="0" t="n">
        <f aca="false">J203*J203</f>
        <v>0.04</v>
      </c>
      <c r="Z203" s="0" t="n">
        <f aca="false">K203*K203</f>
        <v>0.015625</v>
      </c>
      <c r="AA203" s="0" t="n">
        <f aca="false">L203*L203</f>
        <v>1</v>
      </c>
      <c r="AB203" s="0" t="n">
        <f aca="false">SUMPRODUCT(M203:AA203,_XtX!$B$96:$P$96)</f>
        <v>46.8583552631579</v>
      </c>
      <c r="AC203" s="0" t="n">
        <f aca="false">SUMPRODUCT(MMULT(M203:AA203,_XtX!$B$78:$P$92),M203:AA203)</f>
        <v>0.461680735448648</v>
      </c>
      <c r="AD203" s="0" t="n">
        <f aca="false">AB203-04_回帰ANOVA!$K$19*04_回帰ANOVA!$K$14*SQRT(1+AC203)</f>
        <v>45.2824697821803</v>
      </c>
      <c r="AE203" s="0" t="n">
        <f aca="false">AB203+04_回帰ANOVA!$K$19*04_回帰ANOVA!$K$14*SQRT(1+AC203)</f>
        <v>48.4342407441355</v>
      </c>
      <c r="AF203" s="54" t="b">
        <f aca="false">AND(I203&gt;=01_因子設定!$L$5-0.000000001,I203&lt;=01_因子設定!$M$5+0.000000001,J203&gt;=01_因子設定!$L$6-0.000000001,J203&lt;=01_因子設定!$M$6+0.000000001,K203&gt;=01_因子設定!$L$7-0.000000001,K203&lt;=01_因子設定!$M$7+0.000000001,L203&gt;=01_因子設定!$L$8-0.000000001,L203&lt;=01_因子設定!$M$8+0.000000001,IF(01_因子設定!$B$20="Box-Behnken",I203^2+J203^2+K203^2+L203^2&lt;=2+0.000000001,TRUE()))</f>
        <v>1</v>
      </c>
      <c r="AG203" s="55" t="n">
        <f aca="false">IF(01_因子設定!$B$13="最大化",AD203-01_因子設定!$B$14,IF(01_因子設定!$B$13="最小化",01_因子設定!$B$15-AE203,MIN(AD203-01_因子設定!$B$14,01_因子設定!$B$15-AE203)))</f>
        <v>-1.21753021781974</v>
      </c>
    </row>
    <row r="204" customFormat="false" ht="15" hidden="false" customHeight="false" outlineLevel="0" collapsed="false">
      <c r="A204" s="0" t="n">
        <v>1</v>
      </c>
      <c r="B204" s="0" t="n">
        <v>0</v>
      </c>
      <c r="C204" s="0" t="n">
        <v>1</v>
      </c>
      <c r="D204" s="0" t="n">
        <v>1</v>
      </c>
      <c r="E204" s="0" t="n">
        <f aca="false">08_工程窓!$C$76+A204*(08_工程窓!$D$76-08_工程窓!$C$76)/2</f>
        <v>68.5</v>
      </c>
      <c r="F204" s="0" t="n">
        <f aca="false">08_工程窓!$C$77+B204*(08_工程窓!$D$77-08_工程窓!$C$77)/2</f>
        <v>28</v>
      </c>
      <c r="G204" s="0" t="n">
        <f aca="false">08_工程窓!$C$78+C204*(08_工程窓!$D$78-08_工程窓!$C$78)/2</f>
        <v>2.125</v>
      </c>
      <c r="H204" s="0" t="n">
        <f aca="false">08_工程窓!$C$79+D204*(08_工程窓!$D$79-08_工程窓!$C$79)/2</f>
        <v>40</v>
      </c>
      <c r="I204" s="0" t="n">
        <f aca="false">(E204-01_因子設定!$G$5)/01_因子設定!$H$5</f>
        <v>0.35</v>
      </c>
      <c r="J204" s="0" t="n">
        <f aca="false">(F204-01_因子設定!$G$6)/01_因子設定!$H$6</f>
        <v>-0.2</v>
      </c>
      <c r="K204" s="0" t="n">
        <f aca="false">(G204-01_因子設定!$G$7)/01_因子設定!$H$7</f>
        <v>0.125</v>
      </c>
      <c r="L204" s="0" t="n">
        <f aca="false">(H204-01_因子設定!$G$8)/01_因子設定!$H$8</f>
        <v>0</v>
      </c>
      <c r="M204" s="0" t="n">
        <f aca="false">1</f>
        <v>1</v>
      </c>
      <c r="N204" s="0" t="n">
        <f aca="false">I204</f>
        <v>0.35</v>
      </c>
      <c r="O204" s="0" t="n">
        <f aca="false">J204</f>
        <v>-0.2</v>
      </c>
      <c r="P204" s="0" t="n">
        <f aca="false">K204</f>
        <v>0.125</v>
      </c>
      <c r="Q204" s="0" t="n">
        <f aca="false">L204</f>
        <v>0</v>
      </c>
      <c r="R204" s="0" t="n">
        <f aca="false">I204*J204</f>
        <v>-0.07</v>
      </c>
      <c r="S204" s="0" t="n">
        <f aca="false">I204*K204</f>
        <v>0.04375</v>
      </c>
      <c r="T204" s="0" t="n">
        <f aca="false">I204*L204</f>
        <v>0</v>
      </c>
      <c r="U204" s="0" t="n">
        <f aca="false">J204*K204</f>
        <v>-0.025</v>
      </c>
      <c r="V204" s="0" t="n">
        <f aca="false">J204*L204</f>
        <v>-0</v>
      </c>
      <c r="W204" s="0" t="n">
        <f aca="false">K204*L204</f>
        <v>0</v>
      </c>
      <c r="X204" s="0" t="n">
        <f aca="false">I204*I204</f>
        <v>0.1225</v>
      </c>
      <c r="Y204" s="0" t="n">
        <f aca="false">J204*J204</f>
        <v>0.04</v>
      </c>
      <c r="Z204" s="0" t="n">
        <f aca="false">K204*K204</f>
        <v>0.015625</v>
      </c>
      <c r="AA204" s="0" t="n">
        <f aca="false">L204*L204</f>
        <v>0</v>
      </c>
      <c r="AB204" s="0" t="n">
        <f aca="false">SUMPRODUCT(M204:AA204,_XtX!$B$96:$P$96)</f>
        <v>47.7685544590643</v>
      </c>
      <c r="AC204" s="0" t="n">
        <f aca="false">SUMPRODUCT(MMULT(M204:AA204,_XtX!$B$78:$P$92),M204:AA204)</f>
        <v>0.102284034059759</v>
      </c>
      <c r="AD204" s="0" t="n">
        <f aca="false">AB204-04_回帰ANOVA!$K$19*04_回帰ANOVA!$K$14*SQRT(1+AC204)</f>
        <v>46.400053357909</v>
      </c>
      <c r="AE204" s="0" t="n">
        <f aca="false">AB204+04_回帰ANOVA!$K$19*04_回帰ANOVA!$K$14*SQRT(1+AC204)</f>
        <v>49.1370555602196</v>
      </c>
      <c r="AF204" s="54" t="b">
        <f aca="false">AND(I204&gt;=01_因子設定!$L$5-0.000000001,I204&lt;=01_因子設定!$M$5+0.000000001,J204&gt;=01_因子設定!$L$6-0.000000001,J204&lt;=01_因子設定!$M$6+0.000000001,K204&gt;=01_因子設定!$L$7-0.000000001,K204&lt;=01_因子設定!$M$7+0.000000001,L204&gt;=01_因子設定!$L$8-0.000000001,L204&lt;=01_因子設定!$M$8+0.000000001,IF(01_因子設定!$B$20="Box-Behnken",I204^2+J204^2+K204^2+L204^2&lt;=2+0.000000001,TRUE()))</f>
        <v>1</v>
      </c>
      <c r="AG204" s="55" t="n">
        <f aca="false">IF(01_因子設定!$B$13="最大化",AD204-01_因子設定!$B$14,IF(01_因子設定!$B$13="最小化",01_因子設定!$B$15-AE204,MIN(AD204-01_因子設定!$B$14,01_因子設定!$B$15-AE204)))</f>
        <v>-0.0999466420910409</v>
      </c>
    </row>
    <row r="205" customFormat="false" ht="15" hidden="false" customHeight="false" outlineLevel="0" collapsed="false">
      <c r="A205" s="0" t="n">
        <v>1</v>
      </c>
      <c r="B205" s="0" t="n">
        <v>0</v>
      </c>
      <c r="C205" s="0" t="n">
        <v>1</v>
      </c>
      <c r="D205" s="0" t="n">
        <v>2</v>
      </c>
      <c r="E205" s="0" t="n">
        <f aca="false">08_工程窓!$C$76+A205*(08_工程窓!$D$76-08_工程窓!$C$76)/2</f>
        <v>68.5</v>
      </c>
      <c r="F205" s="0" t="n">
        <f aca="false">08_工程窓!$C$77+B205*(08_工程窓!$D$77-08_工程窓!$C$77)/2</f>
        <v>28</v>
      </c>
      <c r="G205" s="0" t="n">
        <f aca="false">08_工程窓!$C$78+C205*(08_工程窓!$D$78-08_工程窓!$C$78)/2</f>
        <v>2.125</v>
      </c>
      <c r="H205" s="0" t="n">
        <f aca="false">08_工程窓!$C$79+D205*(08_工程窓!$D$79-08_工程窓!$C$79)/2</f>
        <v>60</v>
      </c>
      <c r="I205" s="0" t="n">
        <f aca="false">(E205-01_因子設定!$G$5)/01_因子設定!$H$5</f>
        <v>0.35</v>
      </c>
      <c r="J205" s="0" t="n">
        <f aca="false">(F205-01_因子設定!$G$6)/01_因子設定!$H$6</f>
        <v>-0.2</v>
      </c>
      <c r="K205" s="0" t="n">
        <f aca="false">(G205-01_因子設定!$G$7)/01_因子設定!$H$7</f>
        <v>0.125</v>
      </c>
      <c r="L205" s="0" t="n">
        <f aca="false">(H205-01_因子設定!$G$8)/01_因子設定!$H$8</f>
        <v>1</v>
      </c>
      <c r="M205" s="0" t="n">
        <f aca="false">1</f>
        <v>1</v>
      </c>
      <c r="N205" s="0" t="n">
        <f aca="false">I205</f>
        <v>0.35</v>
      </c>
      <c r="O205" s="0" t="n">
        <f aca="false">J205</f>
        <v>-0.2</v>
      </c>
      <c r="P205" s="0" t="n">
        <f aca="false">K205</f>
        <v>0.125</v>
      </c>
      <c r="Q205" s="0" t="n">
        <f aca="false">L205</f>
        <v>1</v>
      </c>
      <c r="R205" s="0" t="n">
        <f aca="false">I205*J205</f>
        <v>-0.07</v>
      </c>
      <c r="S205" s="0" t="n">
        <f aca="false">I205*K205</f>
        <v>0.04375</v>
      </c>
      <c r="T205" s="0" t="n">
        <f aca="false">I205*L205</f>
        <v>0.35</v>
      </c>
      <c r="U205" s="0" t="n">
        <f aca="false">J205*K205</f>
        <v>-0.025</v>
      </c>
      <c r="V205" s="0" t="n">
        <f aca="false">J205*L205</f>
        <v>-0.2</v>
      </c>
      <c r="W205" s="0" t="n">
        <f aca="false">K205*L205</f>
        <v>0.125</v>
      </c>
      <c r="X205" s="0" t="n">
        <f aca="false">I205*I205</f>
        <v>0.1225</v>
      </c>
      <c r="Y205" s="0" t="n">
        <f aca="false">J205*J205</f>
        <v>0.04</v>
      </c>
      <c r="Z205" s="0" t="n">
        <f aca="false">K205*K205</f>
        <v>0.015625</v>
      </c>
      <c r="AA205" s="0" t="n">
        <f aca="false">L205*L205</f>
        <v>1</v>
      </c>
      <c r="AB205" s="0" t="n">
        <f aca="false">SUMPRODUCT(M205:AA205,_XtX!$B$96:$P$96)</f>
        <v>47.913841374269</v>
      </c>
      <c r="AC205" s="0" t="n">
        <f aca="false">SUMPRODUCT(MMULT(M205:AA205,_XtX!$B$78:$P$92),M205:AA205)</f>
        <v>0.461680735448648</v>
      </c>
      <c r="AD205" s="0" t="n">
        <f aca="false">AB205-04_回帰ANOVA!$K$19*04_回帰ANOVA!$K$14*SQRT(1+AC205)</f>
        <v>46.3379558932914</v>
      </c>
      <c r="AE205" s="0" t="n">
        <f aca="false">AB205+04_回帰ANOVA!$K$19*04_回帰ANOVA!$K$14*SQRT(1+AC205)</f>
        <v>49.4897268552466</v>
      </c>
      <c r="AF205" s="54" t="b">
        <f aca="false">AND(I205&gt;=01_因子設定!$L$5-0.000000001,I205&lt;=01_因子設定!$M$5+0.000000001,J205&gt;=01_因子設定!$L$6-0.000000001,J205&lt;=01_因子設定!$M$6+0.000000001,K205&gt;=01_因子設定!$L$7-0.000000001,K205&lt;=01_因子設定!$M$7+0.000000001,L205&gt;=01_因子設定!$L$8-0.000000001,L205&lt;=01_因子設定!$M$8+0.000000001,IF(01_因子設定!$B$20="Box-Behnken",I205^2+J205^2+K205^2+L205^2&lt;=2+0.000000001,TRUE()))</f>
        <v>1</v>
      </c>
      <c r="AG205" s="55" t="n">
        <f aca="false">IF(01_因子設定!$B$13="最大化",AD205-01_因子設定!$B$14,IF(01_因子設定!$B$13="最小化",01_因子設定!$B$15-AE205,MIN(AD205-01_因子設定!$B$14,01_因子設定!$B$15-AE205)))</f>
        <v>-0.162044106708635</v>
      </c>
    </row>
    <row r="206" customFormat="false" ht="15" hidden="false" customHeight="false" outlineLevel="0" collapsed="false">
      <c r="A206" s="0" t="n">
        <v>1</v>
      </c>
      <c r="B206" s="0" t="n">
        <v>0</v>
      </c>
      <c r="C206" s="0" t="n">
        <v>2</v>
      </c>
      <c r="D206" s="0" t="n">
        <v>0</v>
      </c>
      <c r="E206" s="0" t="n">
        <f aca="false">08_工程窓!$C$76+A206*(08_工程窓!$D$76-08_工程窓!$C$76)/2</f>
        <v>68.5</v>
      </c>
      <c r="F206" s="0" t="n">
        <f aca="false">08_工程窓!$C$77+B206*(08_工程窓!$D$77-08_工程窓!$C$77)/2</f>
        <v>28</v>
      </c>
      <c r="G206" s="0" t="n">
        <f aca="false">08_工程窓!$C$78+C206*(08_工程窓!$D$78-08_工程窓!$C$78)/2</f>
        <v>3</v>
      </c>
      <c r="H206" s="0" t="n">
        <f aca="false">08_工程窓!$C$79+D206*(08_工程窓!$D$79-08_工程窓!$C$79)/2</f>
        <v>20</v>
      </c>
      <c r="I206" s="0" t="n">
        <f aca="false">(E206-01_因子設定!$G$5)/01_因子設定!$H$5</f>
        <v>0.35</v>
      </c>
      <c r="J206" s="0" t="n">
        <f aca="false">(F206-01_因子設定!$G$6)/01_因子設定!$H$6</f>
        <v>-0.2</v>
      </c>
      <c r="K206" s="0" t="n">
        <f aca="false">(G206-01_因子設定!$G$7)/01_因子設定!$H$7</f>
        <v>1</v>
      </c>
      <c r="L206" s="0" t="n">
        <f aca="false">(H206-01_因子設定!$G$8)/01_因子設定!$H$8</f>
        <v>-1</v>
      </c>
      <c r="M206" s="0" t="n">
        <f aca="false">1</f>
        <v>1</v>
      </c>
      <c r="N206" s="0" t="n">
        <f aca="false">I206</f>
        <v>0.35</v>
      </c>
      <c r="O206" s="0" t="n">
        <f aca="false">J206</f>
        <v>-0.2</v>
      </c>
      <c r="P206" s="0" t="n">
        <f aca="false">K206</f>
        <v>1</v>
      </c>
      <c r="Q206" s="0" t="n">
        <f aca="false">L206</f>
        <v>-1</v>
      </c>
      <c r="R206" s="0" t="n">
        <f aca="false">I206*J206</f>
        <v>-0.07</v>
      </c>
      <c r="S206" s="0" t="n">
        <f aca="false">I206*K206</f>
        <v>0.35</v>
      </c>
      <c r="T206" s="0" t="n">
        <f aca="false">I206*L206</f>
        <v>-0.35</v>
      </c>
      <c r="U206" s="0" t="n">
        <f aca="false">J206*K206</f>
        <v>-0.2</v>
      </c>
      <c r="V206" s="0" t="n">
        <f aca="false">J206*L206</f>
        <v>0.2</v>
      </c>
      <c r="W206" s="0" t="n">
        <f aca="false">K206*L206</f>
        <v>-1</v>
      </c>
      <c r="X206" s="0" t="n">
        <f aca="false">I206*I206</f>
        <v>0.1225</v>
      </c>
      <c r="Y206" s="0" t="n">
        <f aca="false">J206*J206</f>
        <v>0.04</v>
      </c>
      <c r="Z206" s="0" t="n">
        <f aca="false">K206*K206</f>
        <v>1</v>
      </c>
      <c r="AA206" s="0" t="n">
        <f aca="false">L206*L206</f>
        <v>1</v>
      </c>
      <c r="AB206" s="0" t="n">
        <f aca="false">SUMPRODUCT(M206:AA206,_XtX!$B$96:$P$96)</f>
        <v>46.5416666666667</v>
      </c>
      <c r="AC206" s="0" t="n">
        <f aca="false">SUMPRODUCT(MMULT(M206:AA206,_XtX!$B$78:$P$92),M206:AA206)</f>
        <v>0.660961805555556</v>
      </c>
      <c r="AD206" s="0" t="n">
        <f aca="false">AB206-04_回帰ANOVA!$K$19*04_回帰ANOVA!$K$14*SQRT(1+AC206)</f>
        <v>44.8617868367203</v>
      </c>
      <c r="AE206" s="0" t="n">
        <f aca="false">AB206+04_回帰ANOVA!$K$19*04_回帰ANOVA!$K$14*SQRT(1+AC206)</f>
        <v>48.221546496613</v>
      </c>
      <c r="AF206" s="54" t="b">
        <f aca="false">AND(I206&gt;=01_因子設定!$L$5-0.000000001,I206&lt;=01_因子設定!$M$5+0.000000001,J206&gt;=01_因子設定!$L$6-0.000000001,J206&lt;=01_因子設定!$M$6+0.000000001,K206&gt;=01_因子設定!$L$7-0.000000001,K206&lt;=01_因子設定!$M$7+0.000000001,L206&gt;=01_因子設定!$L$8-0.000000001,L206&lt;=01_因子設定!$M$8+0.000000001,IF(01_因子設定!$B$20="Box-Behnken",I206^2+J206^2+K206^2+L206^2&lt;=2+0.000000001,TRUE()))</f>
        <v>1</v>
      </c>
      <c r="AG206" s="55" t="n">
        <f aca="false">IF(01_因子設定!$B$13="最大化",AD206-01_因子設定!$B$14,IF(01_因子設定!$B$13="最小化",01_因子設定!$B$15-AE206,MIN(AD206-01_因子設定!$B$14,01_因子設定!$B$15-AE206)))</f>
        <v>-1.63821316327969</v>
      </c>
    </row>
    <row r="207" customFormat="false" ht="15" hidden="false" customHeight="false" outlineLevel="0" collapsed="false">
      <c r="A207" s="0" t="n">
        <v>1</v>
      </c>
      <c r="B207" s="0" t="n">
        <v>0</v>
      </c>
      <c r="C207" s="0" t="n">
        <v>2</v>
      </c>
      <c r="D207" s="0" t="n">
        <v>1</v>
      </c>
      <c r="E207" s="0" t="n">
        <f aca="false">08_工程窓!$C$76+A207*(08_工程窓!$D$76-08_工程窓!$C$76)/2</f>
        <v>68.5</v>
      </c>
      <c r="F207" s="0" t="n">
        <f aca="false">08_工程窓!$C$77+B207*(08_工程窓!$D$77-08_工程窓!$C$77)/2</f>
        <v>28</v>
      </c>
      <c r="G207" s="0" t="n">
        <f aca="false">08_工程窓!$C$78+C207*(08_工程窓!$D$78-08_工程窓!$C$78)/2</f>
        <v>3</v>
      </c>
      <c r="H207" s="0" t="n">
        <f aca="false">08_工程窓!$C$79+D207*(08_工程窓!$D$79-08_工程窓!$C$79)/2</f>
        <v>40</v>
      </c>
      <c r="I207" s="0" t="n">
        <f aca="false">(E207-01_因子設定!$G$5)/01_因子設定!$H$5</f>
        <v>0.35</v>
      </c>
      <c r="J207" s="0" t="n">
        <f aca="false">(F207-01_因子設定!$G$6)/01_因子設定!$H$6</f>
        <v>-0.2</v>
      </c>
      <c r="K207" s="0" t="n">
        <f aca="false">(G207-01_因子設定!$G$7)/01_因子設定!$H$7</f>
        <v>1</v>
      </c>
      <c r="L207" s="0" t="n">
        <f aca="false">(H207-01_因子設定!$G$8)/01_因子設定!$H$8</f>
        <v>0</v>
      </c>
      <c r="M207" s="0" t="n">
        <f aca="false">1</f>
        <v>1</v>
      </c>
      <c r="N207" s="0" t="n">
        <f aca="false">I207</f>
        <v>0.35</v>
      </c>
      <c r="O207" s="0" t="n">
        <f aca="false">J207</f>
        <v>-0.2</v>
      </c>
      <c r="P207" s="0" t="n">
        <f aca="false">K207</f>
        <v>1</v>
      </c>
      <c r="Q207" s="0" t="n">
        <f aca="false">L207</f>
        <v>0</v>
      </c>
      <c r="R207" s="0" t="n">
        <f aca="false">I207*J207</f>
        <v>-0.07</v>
      </c>
      <c r="S207" s="0" t="n">
        <f aca="false">I207*K207</f>
        <v>0.35</v>
      </c>
      <c r="T207" s="0" t="n">
        <f aca="false">I207*L207</f>
        <v>0</v>
      </c>
      <c r="U207" s="0" t="n">
        <f aca="false">J207*K207</f>
        <v>-0.2</v>
      </c>
      <c r="V207" s="0" t="n">
        <f aca="false">J207*L207</f>
        <v>-0</v>
      </c>
      <c r="W207" s="0" t="n">
        <f aca="false">K207*L207</f>
        <v>0</v>
      </c>
      <c r="X207" s="0" t="n">
        <f aca="false">I207*I207</f>
        <v>0.1225</v>
      </c>
      <c r="Y207" s="0" t="n">
        <f aca="false">J207*J207</f>
        <v>0.04</v>
      </c>
      <c r="Z207" s="0" t="n">
        <f aca="false">K207*K207</f>
        <v>1</v>
      </c>
      <c r="AA207" s="0" t="n">
        <f aca="false">L207*L207</f>
        <v>0</v>
      </c>
      <c r="AB207" s="0" t="n">
        <f aca="false">SUMPRODUCT(M207:AA207,_XtX!$B$96:$P$96)</f>
        <v>47.7034283625731</v>
      </c>
      <c r="AC207" s="0" t="n">
        <f aca="false">SUMPRODUCT(MMULT(M207:AA207,_XtX!$B$78:$P$92),M207:AA207)</f>
        <v>0.464548245614035</v>
      </c>
      <c r="AD207" s="0" t="n">
        <f aca="false">AB207-04_回帰ANOVA!$K$19*04_回帰ANOVA!$K$14*SQRT(1+AC207)</f>
        <v>46.1259978610479</v>
      </c>
      <c r="AE207" s="0" t="n">
        <f aca="false">AB207+04_回帰ANOVA!$K$19*04_回帰ANOVA!$K$14*SQRT(1+AC207)</f>
        <v>49.2808588640982</v>
      </c>
      <c r="AF207" s="54" t="b">
        <f aca="false">AND(I207&gt;=01_因子設定!$L$5-0.000000001,I207&lt;=01_因子設定!$M$5+0.000000001,J207&gt;=01_因子設定!$L$6-0.000000001,J207&lt;=01_因子設定!$M$6+0.000000001,K207&gt;=01_因子設定!$L$7-0.000000001,K207&lt;=01_因子設定!$M$7+0.000000001,L207&gt;=01_因子設定!$L$8-0.000000001,L207&lt;=01_因子設定!$M$8+0.000000001,IF(01_因子設定!$B$20="Box-Behnken",I207^2+J207^2+K207^2+L207^2&lt;=2+0.000000001,TRUE()))</f>
        <v>1</v>
      </c>
      <c r="AG207" s="55" t="n">
        <f aca="false">IF(01_因子設定!$B$13="最大化",AD207-01_因子設定!$B$14,IF(01_因子設定!$B$13="最小化",01_因子設定!$B$15-AE207,MIN(AD207-01_因子設定!$B$14,01_因子設定!$B$15-AE207)))</f>
        <v>-0.374002138952129</v>
      </c>
    </row>
    <row r="208" customFormat="false" ht="15" hidden="false" customHeight="false" outlineLevel="0" collapsed="false">
      <c r="A208" s="0" t="n">
        <v>1</v>
      </c>
      <c r="B208" s="0" t="n">
        <v>0</v>
      </c>
      <c r="C208" s="0" t="n">
        <v>2</v>
      </c>
      <c r="D208" s="0" t="n">
        <v>2</v>
      </c>
      <c r="E208" s="0" t="n">
        <f aca="false">08_工程窓!$C$76+A208*(08_工程窓!$D$76-08_工程窓!$C$76)/2</f>
        <v>68.5</v>
      </c>
      <c r="F208" s="0" t="n">
        <f aca="false">08_工程窓!$C$77+B208*(08_工程窓!$D$77-08_工程窓!$C$77)/2</f>
        <v>28</v>
      </c>
      <c r="G208" s="0" t="n">
        <f aca="false">08_工程窓!$C$78+C208*(08_工程窓!$D$78-08_工程窓!$C$78)/2</f>
        <v>3</v>
      </c>
      <c r="H208" s="0" t="n">
        <f aca="false">08_工程窓!$C$79+D208*(08_工程窓!$D$79-08_工程窓!$C$79)/2</f>
        <v>60</v>
      </c>
      <c r="I208" s="0" t="n">
        <f aca="false">(E208-01_因子設定!$G$5)/01_因子設定!$H$5</f>
        <v>0.35</v>
      </c>
      <c r="J208" s="0" t="n">
        <f aca="false">(F208-01_因子設定!$G$6)/01_因子設定!$H$6</f>
        <v>-0.2</v>
      </c>
      <c r="K208" s="0" t="n">
        <f aca="false">(G208-01_因子設定!$G$7)/01_因子設定!$H$7</f>
        <v>1</v>
      </c>
      <c r="L208" s="0" t="n">
        <f aca="false">(H208-01_因子設定!$G$8)/01_因子設定!$H$8</f>
        <v>1</v>
      </c>
      <c r="M208" s="0" t="n">
        <f aca="false">1</f>
        <v>1</v>
      </c>
      <c r="N208" s="0" t="n">
        <f aca="false">I208</f>
        <v>0.35</v>
      </c>
      <c r="O208" s="0" t="n">
        <f aca="false">J208</f>
        <v>-0.2</v>
      </c>
      <c r="P208" s="0" t="n">
        <f aca="false">K208</f>
        <v>1</v>
      </c>
      <c r="Q208" s="0" t="n">
        <f aca="false">L208</f>
        <v>1</v>
      </c>
      <c r="R208" s="0" t="n">
        <f aca="false">I208*J208</f>
        <v>-0.07</v>
      </c>
      <c r="S208" s="0" t="n">
        <f aca="false">I208*K208</f>
        <v>0.35</v>
      </c>
      <c r="T208" s="0" t="n">
        <f aca="false">I208*L208</f>
        <v>0.35</v>
      </c>
      <c r="U208" s="0" t="n">
        <f aca="false">J208*K208</f>
        <v>-0.2</v>
      </c>
      <c r="V208" s="0" t="n">
        <f aca="false">J208*L208</f>
        <v>-0.2</v>
      </c>
      <c r="W208" s="0" t="n">
        <f aca="false">K208*L208</f>
        <v>1</v>
      </c>
      <c r="X208" s="0" t="n">
        <f aca="false">I208*I208</f>
        <v>0.1225</v>
      </c>
      <c r="Y208" s="0" t="n">
        <f aca="false">J208*J208</f>
        <v>0.04</v>
      </c>
      <c r="Z208" s="0" t="n">
        <f aca="false">K208*K208</f>
        <v>1</v>
      </c>
      <c r="AA208" s="0" t="n">
        <f aca="false">L208*L208</f>
        <v>1</v>
      </c>
      <c r="AB208" s="0" t="n">
        <f aca="false">SUMPRODUCT(M208:AA208,_XtX!$B$96:$P$96)</f>
        <v>48.1002777777778</v>
      </c>
      <c r="AC208" s="0" t="n">
        <f aca="false">SUMPRODUCT(MMULT(M208:AA208,_XtX!$B$78:$P$92),M208:AA208)</f>
        <v>0.660961805555556</v>
      </c>
      <c r="AD208" s="0" t="n">
        <f aca="false">AB208-04_回帰ANOVA!$K$19*04_回帰ANOVA!$K$14*SQRT(1+AC208)</f>
        <v>46.4203979478314</v>
      </c>
      <c r="AE208" s="0" t="n">
        <f aca="false">AB208+04_回帰ANOVA!$K$19*04_回帰ANOVA!$K$14*SQRT(1+AC208)</f>
        <v>49.7801576077241</v>
      </c>
      <c r="AF208" s="54" t="b">
        <f aca="false">AND(I208&gt;=01_因子設定!$L$5-0.000000001,I208&lt;=01_因子設定!$M$5+0.000000001,J208&gt;=01_因子設定!$L$6-0.000000001,J208&lt;=01_因子設定!$M$6+0.000000001,K208&gt;=01_因子設定!$L$7-0.000000001,K208&lt;=01_因子設定!$M$7+0.000000001,L208&gt;=01_因子設定!$L$8-0.000000001,L208&lt;=01_因子設定!$M$8+0.000000001,IF(01_因子設定!$B$20="Box-Behnken",I208^2+J208^2+K208^2+L208^2&lt;=2+0.000000001,TRUE()))</f>
        <v>1</v>
      </c>
      <c r="AG208" s="55" t="n">
        <f aca="false">IF(01_因子設定!$B$13="最大化",AD208-01_因子設定!$B$14,IF(01_因子設定!$B$13="最小化",01_因子設定!$B$15-AE208,MIN(AD208-01_因子設定!$B$14,01_因子設定!$B$15-AE208)))</f>
        <v>-0.0796020521685819</v>
      </c>
    </row>
    <row r="209" customFormat="false" ht="15" hidden="false" customHeight="false" outlineLevel="0" collapsed="false">
      <c r="A209" s="0" t="n">
        <v>1</v>
      </c>
      <c r="B209" s="0" t="n">
        <v>1</v>
      </c>
      <c r="C209" s="0" t="n">
        <v>0</v>
      </c>
      <c r="D209" s="0" t="n">
        <v>0</v>
      </c>
      <c r="E209" s="0" t="n">
        <f aca="false">08_工程窓!$C$76+A209*(08_工程窓!$D$76-08_工程窓!$C$76)/2</f>
        <v>68.5</v>
      </c>
      <c r="F209" s="0" t="n">
        <f aca="false">08_工程窓!$C$77+B209*(08_工程窓!$D$77-08_工程窓!$C$77)/2</f>
        <v>34</v>
      </c>
      <c r="G209" s="0" t="n">
        <f aca="false">08_工程窓!$C$78+C209*(08_工程窓!$D$78-08_工程窓!$C$78)/2</f>
        <v>1.25</v>
      </c>
      <c r="H209" s="0" t="n">
        <f aca="false">08_工程窓!$C$79+D209*(08_工程窓!$D$79-08_工程窓!$C$79)/2</f>
        <v>20</v>
      </c>
      <c r="I209" s="0" t="n">
        <f aca="false">(E209-01_因子設定!$G$5)/01_因子設定!$H$5</f>
        <v>0.35</v>
      </c>
      <c r="J209" s="0" t="n">
        <f aca="false">(F209-01_因子設定!$G$6)/01_因子設定!$H$6</f>
        <v>0.4</v>
      </c>
      <c r="K209" s="0" t="n">
        <f aca="false">(G209-01_因子設定!$G$7)/01_因子設定!$H$7</f>
        <v>-0.75</v>
      </c>
      <c r="L209" s="0" t="n">
        <f aca="false">(H209-01_因子設定!$G$8)/01_因子設定!$H$8</f>
        <v>-1</v>
      </c>
      <c r="M209" s="0" t="n">
        <f aca="false">1</f>
        <v>1</v>
      </c>
      <c r="N209" s="0" t="n">
        <f aca="false">I209</f>
        <v>0.35</v>
      </c>
      <c r="O209" s="0" t="n">
        <f aca="false">J209</f>
        <v>0.4</v>
      </c>
      <c r="P209" s="0" t="n">
        <f aca="false">K209</f>
        <v>-0.75</v>
      </c>
      <c r="Q209" s="0" t="n">
        <f aca="false">L209</f>
        <v>-1</v>
      </c>
      <c r="R209" s="0" t="n">
        <f aca="false">I209*J209</f>
        <v>0.14</v>
      </c>
      <c r="S209" s="0" t="n">
        <f aca="false">I209*K209</f>
        <v>-0.2625</v>
      </c>
      <c r="T209" s="0" t="n">
        <f aca="false">I209*L209</f>
        <v>-0.35</v>
      </c>
      <c r="U209" s="0" t="n">
        <f aca="false">J209*K209</f>
        <v>-0.3</v>
      </c>
      <c r="V209" s="0" t="n">
        <f aca="false">J209*L209</f>
        <v>-0.4</v>
      </c>
      <c r="W209" s="0" t="n">
        <f aca="false">K209*L209</f>
        <v>0.75</v>
      </c>
      <c r="X209" s="0" t="n">
        <f aca="false">I209*I209</f>
        <v>0.1225</v>
      </c>
      <c r="Y209" s="0" t="n">
        <f aca="false">J209*J209</f>
        <v>0.16</v>
      </c>
      <c r="Z209" s="0" t="n">
        <f aca="false">K209*K209</f>
        <v>0.5625</v>
      </c>
      <c r="AA209" s="0" t="n">
        <f aca="false">L209*L209</f>
        <v>1</v>
      </c>
      <c r="AB209" s="0" t="n">
        <f aca="false">SUMPRODUCT(M209:AA209,_XtX!$B$96:$P$96)</f>
        <v>47.2999298245614</v>
      </c>
      <c r="AC209" s="0" t="n">
        <f aca="false">SUMPRODUCT(MMULT(M209:AA209,_XtX!$B$78:$P$92),M209:AA209)</f>
        <v>0.456183066063597</v>
      </c>
      <c r="AD209" s="0" t="n">
        <f aca="false">AB209-04_回帰ANOVA!$K$19*04_回帰ANOVA!$K$14*SQRT(1+AC209)</f>
        <v>45.7270107434882</v>
      </c>
      <c r="AE209" s="0" t="n">
        <f aca="false">AB209+04_回帰ANOVA!$K$19*04_回帰ANOVA!$K$14*SQRT(1+AC209)</f>
        <v>48.8728489056346</v>
      </c>
      <c r="AF209" s="54" t="b">
        <f aca="false">AND(I209&gt;=01_因子設定!$L$5-0.000000001,I209&lt;=01_因子設定!$M$5+0.000000001,J209&gt;=01_因子設定!$L$6-0.000000001,J209&lt;=01_因子設定!$M$6+0.000000001,K209&gt;=01_因子設定!$L$7-0.000000001,K209&lt;=01_因子設定!$M$7+0.000000001,L209&gt;=01_因子設定!$L$8-0.000000001,L209&lt;=01_因子設定!$M$8+0.000000001,IF(01_因子設定!$B$20="Box-Behnken",I209^2+J209^2+K209^2+L209^2&lt;=2+0.000000001,TRUE()))</f>
        <v>1</v>
      </c>
      <c r="AG209" s="55" t="n">
        <f aca="false">IF(01_因子設定!$B$13="最大化",AD209-01_因子設定!$B$14,IF(01_因子設定!$B$13="最小化",01_因子設定!$B$15-AE209,MIN(AD209-01_因子設定!$B$14,01_因子設定!$B$15-AE209)))</f>
        <v>-0.772989256511799</v>
      </c>
    </row>
    <row r="210" customFormat="false" ht="15" hidden="false" customHeight="false" outlineLevel="0" collapsed="false">
      <c r="A210" s="0" t="n">
        <v>1</v>
      </c>
      <c r="B210" s="0" t="n">
        <v>1</v>
      </c>
      <c r="C210" s="0" t="n">
        <v>0</v>
      </c>
      <c r="D210" s="0" t="n">
        <v>1</v>
      </c>
      <c r="E210" s="0" t="n">
        <f aca="false">08_工程窓!$C$76+A210*(08_工程窓!$D$76-08_工程窓!$C$76)/2</f>
        <v>68.5</v>
      </c>
      <c r="F210" s="0" t="n">
        <f aca="false">08_工程窓!$C$77+B210*(08_工程窓!$D$77-08_工程窓!$C$77)/2</f>
        <v>34</v>
      </c>
      <c r="G210" s="0" t="n">
        <f aca="false">08_工程窓!$C$78+C210*(08_工程窓!$D$78-08_工程窓!$C$78)/2</f>
        <v>1.25</v>
      </c>
      <c r="H210" s="0" t="n">
        <f aca="false">08_工程窓!$C$79+D210*(08_工程窓!$D$79-08_工程窓!$C$79)/2</f>
        <v>40</v>
      </c>
      <c r="I210" s="0" t="n">
        <f aca="false">(E210-01_因子設定!$G$5)/01_因子設定!$H$5</f>
        <v>0.35</v>
      </c>
      <c r="J210" s="0" t="n">
        <f aca="false">(F210-01_因子設定!$G$6)/01_因子設定!$H$6</f>
        <v>0.4</v>
      </c>
      <c r="K210" s="0" t="n">
        <f aca="false">(G210-01_因子設定!$G$7)/01_因子設定!$H$7</f>
        <v>-0.75</v>
      </c>
      <c r="L210" s="0" t="n">
        <f aca="false">(H210-01_因子設定!$G$8)/01_因子設定!$H$8</f>
        <v>0</v>
      </c>
      <c r="M210" s="0" t="n">
        <f aca="false">1</f>
        <v>1</v>
      </c>
      <c r="N210" s="0" t="n">
        <f aca="false">I210</f>
        <v>0.35</v>
      </c>
      <c r="O210" s="0" t="n">
        <f aca="false">J210</f>
        <v>0.4</v>
      </c>
      <c r="P210" s="0" t="n">
        <f aca="false">K210</f>
        <v>-0.75</v>
      </c>
      <c r="Q210" s="0" t="n">
        <f aca="false">L210</f>
        <v>0</v>
      </c>
      <c r="R210" s="0" t="n">
        <f aca="false">I210*J210</f>
        <v>0.14</v>
      </c>
      <c r="S210" s="0" t="n">
        <f aca="false">I210*K210</f>
        <v>-0.2625</v>
      </c>
      <c r="T210" s="0" t="n">
        <f aca="false">I210*L210</f>
        <v>0</v>
      </c>
      <c r="U210" s="0" t="n">
        <f aca="false">J210*K210</f>
        <v>-0.3</v>
      </c>
      <c r="V210" s="0" t="n">
        <f aca="false">J210*L210</f>
        <v>0</v>
      </c>
      <c r="W210" s="0" t="n">
        <f aca="false">K210*L210</f>
        <v>-0</v>
      </c>
      <c r="X210" s="0" t="n">
        <f aca="false">I210*I210</f>
        <v>0.1225</v>
      </c>
      <c r="Y210" s="0" t="n">
        <f aca="false">J210*J210</f>
        <v>0.16</v>
      </c>
      <c r="Z210" s="0" t="n">
        <f aca="false">K210*K210</f>
        <v>0.5625</v>
      </c>
      <c r="AA210" s="0" t="n">
        <f aca="false">L210*L210</f>
        <v>0</v>
      </c>
      <c r="AB210" s="0" t="n">
        <f aca="false">SUMPRODUCT(M210:AA210,_XtX!$B$96:$P$96)</f>
        <v>47.8310665204678</v>
      </c>
      <c r="AC210" s="0" t="n">
        <f aca="false">SUMPRODUCT(MMULT(M210:AA210,_XtX!$B$78:$P$92),M210:AA210)</f>
        <v>0.207200975420322</v>
      </c>
      <c r="AD210" s="0" t="n">
        <f aca="false">AB210-04_回帰ANOVA!$K$19*04_回帰ANOVA!$K$14*SQRT(1+AC210)</f>
        <v>46.3989175947449</v>
      </c>
      <c r="AE210" s="0" t="n">
        <f aca="false">AB210+04_回帰ANOVA!$K$19*04_回帰ANOVA!$K$14*SQRT(1+AC210)</f>
        <v>49.2632154461907</v>
      </c>
      <c r="AF210" s="54" t="b">
        <f aca="false">AND(I210&gt;=01_因子設定!$L$5-0.000000001,I210&lt;=01_因子設定!$M$5+0.000000001,J210&gt;=01_因子設定!$L$6-0.000000001,J210&lt;=01_因子設定!$M$6+0.000000001,K210&gt;=01_因子設定!$L$7-0.000000001,K210&lt;=01_因子設定!$M$7+0.000000001,L210&gt;=01_因子設定!$L$8-0.000000001,L210&lt;=01_因子設定!$M$8+0.000000001,IF(01_因子設定!$B$20="Box-Behnken",I210^2+J210^2+K210^2+L210^2&lt;=2+0.000000001,TRUE()))</f>
        <v>1</v>
      </c>
      <c r="AG210" s="55" t="n">
        <f aca="false">IF(01_因子設定!$B$13="最大化",AD210-01_因子設定!$B$14,IF(01_因子設定!$B$13="最小化",01_因子設定!$B$15-AE210,MIN(AD210-01_因子設定!$B$14,01_因子設定!$B$15-AE210)))</f>
        <v>-0.101082405255127</v>
      </c>
    </row>
    <row r="211" customFormat="false" ht="15" hidden="false" customHeight="false" outlineLevel="0" collapsed="false">
      <c r="A211" s="0" t="n">
        <v>1</v>
      </c>
      <c r="B211" s="0" t="n">
        <v>1</v>
      </c>
      <c r="C211" s="0" t="n">
        <v>0</v>
      </c>
      <c r="D211" s="0" t="n">
        <v>2</v>
      </c>
      <c r="E211" s="0" t="n">
        <f aca="false">08_工程窓!$C$76+A211*(08_工程窓!$D$76-08_工程窓!$C$76)/2</f>
        <v>68.5</v>
      </c>
      <c r="F211" s="0" t="n">
        <f aca="false">08_工程窓!$C$77+B211*(08_工程窓!$D$77-08_工程窓!$C$77)/2</f>
        <v>34</v>
      </c>
      <c r="G211" s="0" t="n">
        <f aca="false">08_工程窓!$C$78+C211*(08_工程窓!$D$78-08_工程窓!$C$78)/2</f>
        <v>1.25</v>
      </c>
      <c r="H211" s="0" t="n">
        <f aca="false">08_工程窓!$C$79+D211*(08_工程窓!$D$79-08_工程窓!$C$79)/2</f>
        <v>60</v>
      </c>
      <c r="I211" s="0" t="n">
        <f aca="false">(E211-01_因子設定!$G$5)/01_因子設定!$H$5</f>
        <v>0.35</v>
      </c>
      <c r="J211" s="0" t="n">
        <f aca="false">(F211-01_因子設定!$G$6)/01_因子設定!$H$6</f>
        <v>0.4</v>
      </c>
      <c r="K211" s="0" t="n">
        <f aca="false">(G211-01_因子設定!$G$7)/01_因子設定!$H$7</f>
        <v>-0.75</v>
      </c>
      <c r="L211" s="0" t="n">
        <f aca="false">(H211-01_因子設定!$G$8)/01_因子設定!$H$8</f>
        <v>1</v>
      </c>
      <c r="M211" s="0" t="n">
        <f aca="false">1</f>
        <v>1</v>
      </c>
      <c r="N211" s="0" t="n">
        <f aca="false">I211</f>
        <v>0.35</v>
      </c>
      <c r="O211" s="0" t="n">
        <f aca="false">J211</f>
        <v>0.4</v>
      </c>
      <c r="P211" s="0" t="n">
        <f aca="false">K211</f>
        <v>-0.75</v>
      </c>
      <c r="Q211" s="0" t="n">
        <f aca="false">L211</f>
        <v>1</v>
      </c>
      <c r="R211" s="0" t="n">
        <f aca="false">I211*J211</f>
        <v>0.14</v>
      </c>
      <c r="S211" s="0" t="n">
        <f aca="false">I211*K211</f>
        <v>-0.2625</v>
      </c>
      <c r="T211" s="0" t="n">
        <f aca="false">I211*L211</f>
        <v>0.35</v>
      </c>
      <c r="U211" s="0" t="n">
        <f aca="false">J211*K211</f>
        <v>-0.3</v>
      </c>
      <c r="V211" s="0" t="n">
        <f aca="false">J211*L211</f>
        <v>0.4</v>
      </c>
      <c r="W211" s="0" t="n">
        <f aca="false">K211*L211</f>
        <v>-0.75</v>
      </c>
      <c r="X211" s="0" t="n">
        <f aca="false">I211*I211</f>
        <v>0.1225</v>
      </c>
      <c r="Y211" s="0" t="n">
        <f aca="false">J211*J211</f>
        <v>0.16</v>
      </c>
      <c r="Z211" s="0" t="n">
        <f aca="false">K211*K211</f>
        <v>0.5625</v>
      </c>
      <c r="AA211" s="0" t="n">
        <f aca="false">L211*L211</f>
        <v>1</v>
      </c>
      <c r="AB211" s="0" t="n">
        <f aca="false">SUMPRODUCT(M211:AA211,_XtX!$B$96:$P$96)</f>
        <v>47.5972909356725</v>
      </c>
      <c r="AC211" s="0" t="n">
        <f aca="false">SUMPRODUCT(MMULT(M211:AA211,_XtX!$B$78:$P$92),M211:AA211)</f>
        <v>0.456183066063597</v>
      </c>
      <c r="AD211" s="0" t="n">
        <f aca="false">AB211-04_回帰ANOVA!$K$19*04_回帰ANOVA!$K$14*SQRT(1+AC211)</f>
        <v>46.0243718545993</v>
      </c>
      <c r="AE211" s="0" t="n">
        <f aca="false">AB211+04_回帰ANOVA!$K$19*04_回帰ANOVA!$K$14*SQRT(1+AC211)</f>
        <v>49.1702100167457</v>
      </c>
      <c r="AF211" s="54" t="b">
        <f aca="false">AND(I211&gt;=01_因子設定!$L$5-0.000000001,I211&lt;=01_因子設定!$M$5+0.000000001,J211&gt;=01_因子設定!$L$6-0.000000001,J211&lt;=01_因子設定!$M$6+0.000000001,K211&gt;=01_因子設定!$L$7-0.000000001,K211&lt;=01_因子設定!$M$7+0.000000001,L211&gt;=01_因子設定!$L$8-0.000000001,L211&lt;=01_因子設定!$M$8+0.000000001,IF(01_因子設定!$B$20="Box-Behnken",I211^2+J211^2+K211^2+L211^2&lt;=2+0.000000001,TRUE()))</f>
        <v>1</v>
      </c>
      <c r="AG211" s="55" t="n">
        <f aca="false">IF(01_因子設定!$B$13="最大化",AD211-01_因子設定!$B$14,IF(01_因子設定!$B$13="最小化",01_因子設定!$B$15-AE211,MIN(AD211-01_因子設定!$B$14,01_因子設定!$B$15-AE211)))</f>
        <v>-0.475628145400691</v>
      </c>
    </row>
    <row r="212" customFormat="false" ht="15" hidden="false" customHeight="false" outlineLevel="0" collapsed="false">
      <c r="A212" s="0" t="n">
        <v>1</v>
      </c>
      <c r="B212" s="0" t="n">
        <v>1</v>
      </c>
      <c r="C212" s="0" t="n">
        <v>1</v>
      </c>
      <c r="D212" s="0" t="n">
        <v>0</v>
      </c>
      <c r="E212" s="0" t="n">
        <f aca="false">08_工程窓!$C$76+A212*(08_工程窓!$D$76-08_工程窓!$C$76)/2</f>
        <v>68.5</v>
      </c>
      <c r="F212" s="0" t="n">
        <f aca="false">08_工程窓!$C$77+B212*(08_工程窓!$D$77-08_工程窓!$C$77)/2</f>
        <v>34</v>
      </c>
      <c r="G212" s="0" t="n">
        <f aca="false">08_工程窓!$C$78+C212*(08_工程窓!$D$78-08_工程窓!$C$78)/2</f>
        <v>2.125</v>
      </c>
      <c r="H212" s="0" t="n">
        <f aca="false">08_工程窓!$C$79+D212*(08_工程窓!$D$79-08_工程窓!$C$79)/2</f>
        <v>20</v>
      </c>
      <c r="I212" s="0" t="n">
        <f aca="false">(E212-01_因子設定!$G$5)/01_因子設定!$H$5</f>
        <v>0.35</v>
      </c>
      <c r="J212" s="0" t="n">
        <f aca="false">(F212-01_因子設定!$G$6)/01_因子設定!$H$6</f>
        <v>0.4</v>
      </c>
      <c r="K212" s="0" t="n">
        <f aca="false">(G212-01_因子設定!$G$7)/01_因子設定!$H$7</f>
        <v>0.125</v>
      </c>
      <c r="L212" s="0" t="n">
        <f aca="false">(H212-01_因子設定!$G$8)/01_因子設定!$H$8</f>
        <v>-1</v>
      </c>
      <c r="M212" s="0" t="n">
        <f aca="false">1</f>
        <v>1</v>
      </c>
      <c r="N212" s="0" t="n">
        <f aca="false">I212</f>
        <v>0.35</v>
      </c>
      <c r="O212" s="0" t="n">
        <f aca="false">J212</f>
        <v>0.4</v>
      </c>
      <c r="P212" s="0" t="n">
        <f aca="false">K212</f>
        <v>0.125</v>
      </c>
      <c r="Q212" s="0" t="n">
        <f aca="false">L212</f>
        <v>-1</v>
      </c>
      <c r="R212" s="0" t="n">
        <f aca="false">I212*J212</f>
        <v>0.14</v>
      </c>
      <c r="S212" s="0" t="n">
        <f aca="false">I212*K212</f>
        <v>0.04375</v>
      </c>
      <c r="T212" s="0" t="n">
        <f aca="false">I212*L212</f>
        <v>-0.35</v>
      </c>
      <c r="U212" s="0" t="n">
        <f aca="false">J212*K212</f>
        <v>0.05</v>
      </c>
      <c r="V212" s="0" t="n">
        <f aca="false">J212*L212</f>
        <v>-0.4</v>
      </c>
      <c r="W212" s="0" t="n">
        <f aca="false">K212*L212</f>
        <v>-0.125</v>
      </c>
      <c r="X212" s="0" t="n">
        <f aca="false">I212*I212</f>
        <v>0.1225</v>
      </c>
      <c r="Y212" s="0" t="n">
        <f aca="false">J212*J212</f>
        <v>0.16</v>
      </c>
      <c r="Z212" s="0" t="n">
        <f aca="false">K212*K212</f>
        <v>0.015625</v>
      </c>
      <c r="AA212" s="0" t="n">
        <f aca="false">L212*L212</f>
        <v>1</v>
      </c>
      <c r="AB212" s="0" t="n">
        <f aca="false">SUMPRODUCT(M212:AA212,_XtX!$B$96:$P$96)</f>
        <v>48.1923146929824</v>
      </c>
      <c r="AC212" s="0" t="n">
        <f aca="false">SUMPRODUCT(MMULT(M212:AA212,_XtX!$B$78:$P$92),M212:AA212)</f>
        <v>0.448682023825841</v>
      </c>
      <c r="AD212" s="0" t="n">
        <f aca="false">AB212-04_回帰ANOVA!$K$19*04_回帰ANOVA!$K$14*SQRT(1+AC212)</f>
        <v>46.623452026948</v>
      </c>
      <c r="AE212" s="0" t="n">
        <f aca="false">AB212+04_回帰ANOVA!$K$19*04_回帰ANOVA!$K$14*SQRT(1+AC212)</f>
        <v>49.7611773590169</v>
      </c>
      <c r="AF212" s="54" t="b">
        <f aca="false">AND(I212&gt;=01_因子設定!$L$5-0.000000001,I212&lt;=01_因子設定!$M$5+0.000000001,J212&gt;=01_因子設定!$L$6-0.000000001,J212&lt;=01_因子設定!$M$6+0.000000001,K212&gt;=01_因子設定!$L$7-0.000000001,K212&lt;=01_因子設定!$M$7+0.000000001,L212&gt;=01_因子設定!$L$8-0.000000001,L212&lt;=01_因子設定!$M$8+0.000000001,IF(01_因子設定!$B$20="Box-Behnken",I212^2+J212^2+K212^2+L212^2&lt;=2+0.000000001,TRUE()))</f>
        <v>1</v>
      </c>
      <c r="AG212" s="55" t="n">
        <f aca="false">IF(01_因子設定!$B$13="最大化",AD212-01_因子設定!$B$14,IF(01_因子設定!$B$13="最小化",01_因子設定!$B$15-AE212,MIN(AD212-01_因子設定!$B$14,01_因子設定!$B$15-AE212)))</f>
        <v>0.123452026947973</v>
      </c>
    </row>
    <row r="213" customFormat="false" ht="15" hidden="false" customHeight="false" outlineLevel="0" collapsed="false">
      <c r="A213" s="0" t="n">
        <v>1</v>
      </c>
      <c r="B213" s="0" t="n">
        <v>1</v>
      </c>
      <c r="C213" s="0" t="n">
        <v>1</v>
      </c>
      <c r="D213" s="0" t="n">
        <v>1</v>
      </c>
      <c r="E213" s="0" t="n">
        <f aca="false">08_工程窓!$C$76+A213*(08_工程窓!$D$76-08_工程窓!$C$76)/2</f>
        <v>68.5</v>
      </c>
      <c r="F213" s="0" t="n">
        <f aca="false">08_工程窓!$C$77+B213*(08_工程窓!$D$77-08_工程窓!$C$77)/2</f>
        <v>34</v>
      </c>
      <c r="G213" s="0" t="n">
        <f aca="false">08_工程窓!$C$78+C213*(08_工程窓!$D$78-08_工程窓!$C$78)/2</f>
        <v>2.125</v>
      </c>
      <c r="H213" s="0" t="n">
        <f aca="false">08_工程窓!$C$79+D213*(08_工程窓!$D$79-08_工程窓!$C$79)/2</f>
        <v>40</v>
      </c>
      <c r="I213" s="0" t="n">
        <f aca="false">(E213-01_因子設定!$G$5)/01_因子設定!$H$5</f>
        <v>0.35</v>
      </c>
      <c r="J213" s="0" t="n">
        <f aca="false">(F213-01_因子設定!$G$6)/01_因子設定!$H$6</f>
        <v>0.4</v>
      </c>
      <c r="K213" s="0" t="n">
        <f aca="false">(G213-01_因子設定!$G$7)/01_因子設定!$H$7</f>
        <v>0.125</v>
      </c>
      <c r="L213" s="0" t="n">
        <f aca="false">(H213-01_因子設定!$G$8)/01_因子設定!$H$8</f>
        <v>0</v>
      </c>
      <c r="M213" s="0" t="n">
        <f aca="false">1</f>
        <v>1</v>
      </c>
      <c r="N213" s="0" t="n">
        <f aca="false">I213</f>
        <v>0.35</v>
      </c>
      <c r="O213" s="0" t="n">
        <f aca="false">J213</f>
        <v>0.4</v>
      </c>
      <c r="P213" s="0" t="n">
        <f aca="false">K213</f>
        <v>0.125</v>
      </c>
      <c r="Q213" s="0" t="n">
        <f aca="false">L213</f>
        <v>0</v>
      </c>
      <c r="R213" s="0" t="n">
        <f aca="false">I213*J213</f>
        <v>0.14</v>
      </c>
      <c r="S213" s="0" t="n">
        <f aca="false">I213*K213</f>
        <v>0.04375</v>
      </c>
      <c r="T213" s="0" t="n">
        <f aca="false">I213*L213</f>
        <v>0</v>
      </c>
      <c r="U213" s="0" t="n">
        <f aca="false">J213*K213</f>
        <v>0.05</v>
      </c>
      <c r="V213" s="0" t="n">
        <f aca="false">J213*L213</f>
        <v>0</v>
      </c>
      <c r="W213" s="0" t="n">
        <f aca="false">K213*L213</f>
        <v>0</v>
      </c>
      <c r="X213" s="0" t="n">
        <f aca="false">I213*I213</f>
        <v>0.1225</v>
      </c>
      <c r="Y213" s="0" t="n">
        <f aca="false">J213*J213</f>
        <v>0.16</v>
      </c>
      <c r="Z213" s="0" t="n">
        <f aca="false">K213*K213</f>
        <v>0.015625</v>
      </c>
      <c r="AA213" s="0" t="n">
        <f aca="false">L213*L213</f>
        <v>0</v>
      </c>
      <c r="AB213" s="0" t="n">
        <f aca="false">SUMPRODUCT(M213:AA213,_XtX!$B$96:$P$96)</f>
        <v>48.9750138888888</v>
      </c>
      <c r="AC213" s="0" t="n">
        <f aca="false">SUMPRODUCT(MMULT(M213:AA213,_XtX!$B$78:$P$92),M213:AA213)</f>
        <v>0.109153743489583</v>
      </c>
      <c r="AD213" s="0" t="n">
        <f aca="false">AB213-04_回帰ANOVA!$K$19*04_回帰ANOVA!$K$14*SQRT(1+AC213)</f>
        <v>47.6022549909988</v>
      </c>
      <c r="AE213" s="0" t="n">
        <f aca="false">AB213+04_回帰ANOVA!$K$19*04_回帰ANOVA!$K$14*SQRT(1+AC213)</f>
        <v>50.3477727867789</v>
      </c>
      <c r="AF213" s="54" t="b">
        <f aca="false">AND(I213&gt;=01_因子設定!$L$5-0.000000001,I213&lt;=01_因子設定!$M$5+0.000000001,J213&gt;=01_因子設定!$L$6-0.000000001,J213&lt;=01_因子設定!$M$6+0.000000001,K213&gt;=01_因子設定!$L$7-0.000000001,K213&lt;=01_因子設定!$M$7+0.000000001,L213&gt;=01_因子設定!$L$8-0.000000001,L213&lt;=01_因子設定!$M$8+0.000000001,IF(01_因子設定!$B$20="Box-Behnken",I213^2+J213^2+K213^2+L213^2&lt;=2+0.000000001,TRUE()))</f>
        <v>1</v>
      </c>
      <c r="AG213" s="55" t="n">
        <f aca="false">IF(01_因子設定!$B$13="最大化",AD213-01_因子設定!$B$14,IF(01_因子設定!$B$13="最小化",01_因子設定!$B$15-AE213,MIN(AD213-01_因子設定!$B$14,01_因子設定!$B$15-AE213)))</f>
        <v>1.10225499099879</v>
      </c>
    </row>
    <row r="214" customFormat="false" ht="15" hidden="false" customHeight="false" outlineLevel="0" collapsed="false">
      <c r="A214" s="0" t="n">
        <v>1</v>
      </c>
      <c r="B214" s="0" t="n">
        <v>1</v>
      </c>
      <c r="C214" s="0" t="n">
        <v>1</v>
      </c>
      <c r="D214" s="0" t="n">
        <v>2</v>
      </c>
      <c r="E214" s="0" t="n">
        <f aca="false">08_工程窓!$C$76+A214*(08_工程窓!$D$76-08_工程窓!$C$76)/2</f>
        <v>68.5</v>
      </c>
      <c r="F214" s="0" t="n">
        <f aca="false">08_工程窓!$C$77+B214*(08_工程窓!$D$77-08_工程窓!$C$77)/2</f>
        <v>34</v>
      </c>
      <c r="G214" s="0" t="n">
        <f aca="false">08_工程窓!$C$78+C214*(08_工程窓!$D$78-08_工程窓!$C$78)/2</f>
        <v>2.125</v>
      </c>
      <c r="H214" s="0" t="n">
        <f aca="false">08_工程窓!$C$79+D214*(08_工程窓!$D$79-08_工程窓!$C$79)/2</f>
        <v>60</v>
      </c>
      <c r="I214" s="0" t="n">
        <f aca="false">(E214-01_因子設定!$G$5)/01_因子設定!$H$5</f>
        <v>0.35</v>
      </c>
      <c r="J214" s="0" t="n">
        <f aca="false">(F214-01_因子設定!$G$6)/01_因子設定!$H$6</f>
        <v>0.4</v>
      </c>
      <c r="K214" s="0" t="n">
        <f aca="false">(G214-01_因子設定!$G$7)/01_因子設定!$H$7</f>
        <v>0.125</v>
      </c>
      <c r="L214" s="0" t="n">
        <f aca="false">(H214-01_因子設定!$G$8)/01_因子設定!$H$8</f>
        <v>1</v>
      </c>
      <c r="M214" s="0" t="n">
        <f aca="false">1</f>
        <v>1</v>
      </c>
      <c r="N214" s="0" t="n">
        <f aca="false">I214</f>
        <v>0.35</v>
      </c>
      <c r="O214" s="0" t="n">
        <f aca="false">J214</f>
        <v>0.4</v>
      </c>
      <c r="P214" s="0" t="n">
        <f aca="false">K214</f>
        <v>0.125</v>
      </c>
      <c r="Q214" s="0" t="n">
        <f aca="false">L214</f>
        <v>1</v>
      </c>
      <c r="R214" s="0" t="n">
        <f aca="false">I214*J214</f>
        <v>0.14</v>
      </c>
      <c r="S214" s="0" t="n">
        <f aca="false">I214*K214</f>
        <v>0.04375</v>
      </c>
      <c r="T214" s="0" t="n">
        <f aca="false">I214*L214</f>
        <v>0.35</v>
      </c>
      <c r="U214" s="0" t="n">
        <f aca="false">J214*K214</f>
        <v>0.05</v>
      </c>
      <c r="V214" s="0" t="n">
        <f aca="false">J214*L214</f>
        <v>0.4</v>
      </c>
      <c r="W214" s="0" t="n">
        <f aca="false">K214*L214</f>
        <v>0.125</v>
      </c>
      <c r="X214" s="0" t="n">
        <f aca="false">I214*I214</f>
        <v>0.1225</v>
      </c>
      <c r="Y214" s="0" t="n">
        <f aca="false">J214*J214</f>
        <v>0.16</v>
      </c>
      <c r="Z214" s="0" t="n">
        <f aca="false">K214*K214</f>
        <v>0.015625</v>
      </c>
      <c r="AA214" s="0" t="n">
        <f aca="false">L214*L214</f>
        <v>1</v>
      </c>
      <c r="AB214" s="0" t="n">
        <f aca="false">SUMPRODUCT(M214:AA214,_XtX!$B$96:$P$96)</f>
        <v>48.9928008040936</v>
      </c>
      <c r="AC214" s="0" t="n">
        <f aca="false">SUMPRODUCT(MMULT(M214:AA214,_XtX!$B$78:$P$92),M214:AA214)</f>
        <v>0.448682023825841</v>
      </c>
      <c r="AD214" s="0" t="n">
        <f aca="false">AB214-04_回帰ANOVA!$K$19*04_回帰ANOVA!$K$14*SQRT(1+AC214)</f>
        <v>47.4239381380591</v>
      </c>
      <c r="AE214" s="0" t="n">
        <f aca="false">AB214+04_回帰ANOVA!$K$19*04_回帰ANOVA!$K$14*SQRT(1+AC214)</f>
        <v>50.561663470128</v>
      </c>
      <c r="AF214" s="54" t="b">
        <f aca="false">AND(I214&gt;=01_因子設定!$L$5-0.000000001,I214&lt;=01_因子設定!$M$5+0.000000001,J214&gt;=01_因子設定!$L$6-0.000000001,J214&lt;=01_因子設定!$M$6+0.000000001,K214&gt;=01_因子設定!$L$7-0.000000001,K214&lt;=01_因子設定!$M$7+0.000000001,L214&gt;=01_因子設定!$L$8-0.000000001,L214&lt;=01_因子設定!$M$8+0.000000001,IF(01_因子設定!$B$20="Box-Behnken",I214^2+J214^2+K214^2+L214^2&lt;=2+0.000000001,TRUE()))</f>
        <v>1</v>
      </c>
      <c r="AG214" s="55" t="n">
        <f aca="false">IF(01_因子設定!$B$13="最大化",AD214-01_因子設定!$B$14,IF(01_因子設定!$B$13="最小化",01_因子設定!$B$15-AE214,MIN(AD214-01_因子設定!$B$14,01_因子設定!$B$15-AE214)))</f>
        <v>0.923938138059086</v>
      </c>
    </row>
    <row r="215" customFormat="false" ht="15" hidden="false" customHeight="false" outlineLevel="0" collapsed="false">
      <c r="A215" s="0" t="n">
        <v>1</v>
      </c>
      <c r="B215" s="0" t="n">
        <v>1</v>
      </c>
      <c r="C215" s="0" t="n">
        <v>2</v>
      </c>
      <c r="D215" s="0" t="n">
        <v>0</v>
      </c>
      <c r="E215" s="0" t="n">
        <f aca="false">08_工程窓!$C$76+A215*(08_工程窓!$D$76-08_工程窓!$C$76)/2</f>
        <v>68.5</v>
      </c>
      <c r="F215" s="0" t="n">
        <f aca="false">08_工程窓!$C$77+B215*(08_工程窓!$D$77-08_工程窓!$C$77)/2</f>
        <v>34</v>
      </c>
      <c r="G215" s="0" t="n">
        <f aca="false">08_工程窓!$C$78+C215*(08_工程窓!$D$78-08_工程窓!$C$78)/2</f>
        <v>3</v>
      </c>
      <c r="H215" s="0" t="n">
        <f aca="false">08_工程窓!$C$79+D215*(08_工程窓!$D$79-08_工程窓!$C$79)/2</f>
        <v>20</v>
      </c>
      <c r="I215" s="0" t="n">
        <f aca="false">(E215-01_因子設定!$G$5)/01_因子設定!$H$5</f>
        <v>0.35</v>
      </c>
      <c r="J215" s="0" t="n">
        <f aca="false">(F215-01_因子設定!$G$6)/01_因子設定!$H$6</f>
        <v>0.4</v>
      </c>
      <c r="K215" s="0" t="n">
        <f aca="false">(G215-01_因子設定!$G$7)/01_因子設定!$H$7</f>
        <v>1</v>
      </c>
      <c r="L215" s="0" t="n">
        <f aca="false">(H215-01_因子設定!$G$8)/01_因子設定!$H$8</f>
        <v>-1</v>
      </c>
      <c r="M215" s="0" t="n">
        <f aca="false">1</f>
        <v>1</v>
      </c>
      <c r="N215" s="0" t="n">
        <f aca="false">I215</f>
        <v>0.35</v>
      </c>
      <c r="O215" s="0" t="n">
        <f aca="false">J215</f>
        <v>0.4</v>
      </c>
      <c r="P215" s="0" t="n">
        <f aca="false">K215</f>
        <v>1</v>
      </c>
      <c r="Q215" s="0" t="n">
        <f aca="false">L215</f>
        <v>-1</v>
      </c>
      <c r="R215" s="0" t="n">
        <f aca="false">I215*J215</f>
        <v>0.14</v>
      </c>
      <c r="S215" s="0" t="n">
        <f aca="false">I215*K215</f>
        <v>0.35</v>
      </c>
      <c r="T215" s="0" t="n">
        <f aca="false">I215*L215</f>
        <v>-0.35</v>
      </c>
      <c r="U215" s="0" t="n">
        <f aca="false">J215*K215</f>
        <v>0.4</v>
      </c>
      <c r="V215" s="0" t="n">
        <f aca="false">J215*L215</f>
        <v>-0.4</v>
      </c>
      <c r="W215" s="0" t="n">
        <f aca="false">K215*L215</f>
        <v>-1</v>
      </c>
      <c r="X215" s="0" t="n">
        <f aca="false">I215*I215</f>
        <v>0.1225</v>
      </c>
      <c r="Y215" s="0" t="n">
        <f aca="false">J215*J215</f>
        <v>0.16</v>
      </c>
      <c r="Z215" s="0" t="n">
        <f aca="false">K215*K215</f>
        <v>1</v>
      </c>
      <c r="AA215" s="0" t="n">
        <f aca="false">L215*L215</f>
        <v>1</v>
      </c>
      <c r="AB215" s="0" t="n">
        <f aca="false">SUMPRODUCT(M215:AA215,_XtX!$B$96:$P$96)</f>
        <v>48.0396885964912</v>
      </c>
      <c r="AC215" s="0" t="n">
        <f aca="false">SUMPRODUCT(MMULT(M215:AA215,_XtX!$B$78:$P$92),M215:AA215)</f>
        <v>0.628405116959065</v>
      </c>
      <c r="AD215" s="0" t="n">
        <f aca="false">AB215-04_回帰ANOVA!$K$19*04_回帰ANOVA!$K$14*SQRT(1+AC215)</f>
        <v>46.3763539953792</v>
      </c>
      <c r="AE215" s="0" t="n">
        <f aca="false">AB215+04_回帰ANOVA!$K$19*04_回帰ANOVA!$K$14*SQRT(1+AC215)</f>
        <v>49.7030231976032</v>
      </c>
      <c r="AF215" s="54" t="b">
        <f aca="false">AND(I215&gt;=01_因子設定!$L$5-0.000000001,I215&lt;=01_因子設定!$M$5+0.000000001,J215&gt;=01_因子設定!$L$6-0.000000001,J215&lt;=01_因子設定!$M$6+0.000000001,K215&gt;=01_因子設定!$L$7-0.000000001,K215&lt;=01_因子設定!$M$7+0.000000001,L215&gt;=01_因子設定!$L$8-0.000000001,L215&lt;=01_因子設定!$M$8+0.000000001,IF(01_因子設定!$B$20="Box-Behnken",I215^2+J215^2+K215^2+L215^2&lt;=2+0.000000001,TRUE()))</f>
        <v>1</v>
      </c>
      <c r="AG215" s="55" t="n">
        <f aca="false">IF(01_因子設定!$B$13="最大化",AD215-01_因子設定!$B$14,IF(01_因子設定!$B$13="最小化",01_因子設定!$B$15-AE215,MIN(AD215-01_因子設定!$B$14,01_因子設定!$B$15-AE215)))</f>
        <v>-0.123646004620767</v>
      </c>
    </row>
    <row r="216" customFormat="false" ht="15" hidden="false" customHeight="false" outlineLevel="0" collapsed="false">
      <c r="A216" s="0" t="n">
        <v>1</v>
      </c>
      <c r="B216" s="0" t="n">
        <v>1</v>
      </c>
      <c r="C216" s="0" t="n">
        <v>2</v>
      </c>
      <c r="D216" s="0" t="n">
        <v>1</v>
      </c>
      <c r="E216" s="0" t="n">
        <f aca="false">08_工程窓!$C$76+A216*(08_工程窓!$D$76-08_工程窓!$C$76)/2</f>
        <v>68.5</v>
      </c>
      <c r="F216" s="0" t="n">
        <f aca="false">08_工程窓!$C$77+B216*(08_工程窓!$D$77-08_工程窓!$C$77)/2</f>
        <v>34</v>
      </c>
      <c r="G216" s="0" t="n">
        <f aca="false">08_工程窓!$C$78+C216*(08_工程窓!$D$78-08_工程窓!$C$78)/2</f>
        <v>3</v>
      </c>
      <c r="H216" s="0" t="n">
        <f aca="false">08_工程窓!$C$79+D216*(08_工程窓!$D$79-08_工程窓!$C$79)/2</f>
        <v>40</v>
      </c>
      <c r="I216" s="0" t="n">
        <f aca="false">(E216-01_因子設定!$G$5)/01_因子設定!$H$5</f>
        <v>0.35</v>
      </c>
      <c r="J216" s="0" t="n">
        <f aca="false">(F216-01_因子設定!$G$6)/01_因子設定!$H$6</f>
        <v>0.4</v>
      </c>
      <c r="K216" s="0" t="n">
        <f aca="false">(G216-01_因子設定!$G$7)/01_因子設定!$H$7</f>
        <v>1</v>
      </c>
      <c r="L216" s="0" t="n">
        <f aca="false">(H216-01_因子設定!$G$8)/01_因子設定!$H$8</f>
        <v>0</v>
      </c>
      <c r="M216" s="0" t="n">
        <f aca="false">1</f>
        <v>1</v>
      </c>
      <c r="N216" s="0" t="n">
        <f aca="false">I216</f>
        <v>0.35</v>
      </c>
      <c r="O216" s="0" t="n">
        <f aca="false">J216</f>
        <v>0.4</v>
      </c>
      <c r="P216" s="0" t="n">
        <f aca="false">K216</f>
        <v>1</v>
      </c>
      <c r="Q216" s="0" t="n">
        <f aca="false">L216</f>
        <v>0</v>
      </c>
      <c r="R216" s="0" t="n">
        <f aca="false">I216*J216</f>
        <v>0.14</v>
      </c>
      <c r="S216" s="0" t="n">
        <f aca="false">I216*K216</f>
        <v>0.35</v>
      </c>
      <c r="T216" s="0" t="n">
        <f aca="false">I216*L216</f>
        <v>0</v>
      </c>
      <c r="U216" s="0" t="n">
        <f aca="false">J216*K216</f>
        <v>0.4</v>
      </c>
      <c r="V216" s="0" t="n">
        <f aca="false">J216*L216</f>
        <v>0</v>
      </c>
      <c r="W216" s="0" t="n">
        <f aca="false">K216*L216</f>
        <v>0</v>
      </c>
      <c r="X216" s="0" t="n">
        <f aca="false">I216*I216</f>
        <v>0.1225</v>
      </c>
      <c r="Y216" s="0" t="n">
        <f aca="false">J216*J216</f>
        <v>0.16</v>
      </c>
      <c r="Z216" s="0" t="n">
        <f aca="false">K216*K216</f>
        <v>1</v>
      </c>
      <c r="AA216" s="0" t="n">
        <f aca="false">L216*L216</f>
        <v>0</v>
      </c>
      <c r="AB216" s="0" t="n">
        <f aca="false">SUMPRODUCT(M216:AA216,_XtX!$B$96:$P$96)</f>
        <v>49.0739502923976</v>
      </c>
      <c r="AC216" s="0" t="n">
        <f aca="false">SUMPRODUCT(MMULT(M216:AA216,_XtX!$B$78:$P$92),M216:AA216)</f>
        <v>0.451859978070176</v>
      </c>
      <c r="AD216" s="0" t="n">
        <f aca="false">AB216-04_回帰ANOVA!$K$19*04_回帰ANOVA!$K$14*SQRT(1+AC216)</f>
        <v>47.5033677726012</v>
      </c>
      <c r="AE216" s="0" t="n">
        <f aca="false">AB216+04_回帰ANOVA!$K$19*04_回帰ANOVA!$K$14*SQRT(1+AC216)</f>
        <v>50.644532812194</v>
      </c>
      <c r="AF216" s="54" t="b">
        <f aca="false">AND(I216&gt;=01_因子設定!$L$5-0.000000001,I216&lt;=01_因子設定!$M$5+0.000000001,J216&gt;=01_因子設定!$L$6-0.000000001,J216&lt;=01_因子設定!$M$6+0.000000001,K216&gt;=01_因子設定!$L$7-0.000000001,K216&lt;=01_因子設定!$M$7+0.000000001,L216&gt;=01_因子設定!$L$8-0.000000001,L216&lt;=01_因子設定!$M$8+0.000000001,IF(01_因子設定!$B$20="Box-Behnken",I216^2+J216^2+K216^2+L216^2&lt;=2+0.000000001,TRUE()))</f>
        <v>1</v>
      </c>
      <c r="AG216" s="55" t="n">
        <f aca="false">IF(01_因子設定!$B$13="最大化",AD216-01_因子設定!$B$14,IF(01_因子設定!$B$13="最小化",01_因子設定!$B$15-AE216,MIN(AD216-01_因子設定!$B$14,01_因子設定!$B$15-AE216)))</f>
        <v>1.00336777260119</v>
      </c>
    </row>
    <row r="217" customFormat="false" ht="15" hidden="false" customHeight="false" outlineLevel="0" collapsed="false">
      <c r="A217" s="0" t="n">
        <v>1</v>
      </c>
      <c r="B217" s="0" t="n">
        <v>1</v>
      </c>
      <c r="C217" s="0" t="n">
        <v>2</v>
      </c>
      <c r="D217" s="0" t="n">
        <v>2</v>
      </c>
      <c r="E217" s="0" t="n">
        <f aca="false">08_工程窓!$C$76+A217*(08_工程窓!$D$76-08_工程窓!$C$76)/2</f>
        <v>68.5</v>
      </c>
      <c r="F217" s="0" t="n">
        <f aca="false">08_工程窓!$C$77+B217*(08_工程窓!$D$77-08_工程窓!$C$77)/2</f>
        <v>34</v>
      </c>
      <c r="G217" s="0" t="n">
        <f aca="false">08_工程窓!$C$78+C217*(08_工程窓!$D$78-08_工程窓!$C$78)/2</f>
        <v>3</v>
      </c>
      <c r="H217" s="0" t="n">
        <f aca="false">08_工程窓!$C$79+D217*(08_工程窓!$D$79-08_工程窓!$C$79)/2</f>
        <v>60</v>
      </c>
      <c r="I217" s="0" t="n">
        <f aca="false">(E217-01_因子設定!$G$5)/01_因子設定!$H$5</f>
        <v>0.35</v>
      </c>
      <c r="J217" s="0" t="n">
        <f aca="false">(F217-01_因子設定!$G$6)/01_因子設定!$H$6</f>
        <v>0.4</v>
      </c>
      <c r="K217" s="0" t="n">
        <f aca="false">(G217-01_因子設定!$G$7)/01_因子設定!$H$7</f>
        <v>1</v>
      </c>
      <c r="L217" s="0" t="n">
        <f aca="false">(H217-01_因子設定!$G$8)/01_因子設定!$H$8</f>
        <v>1</v>
      </c>
      <c r="M217" s="0" t="n">
        <f aca="false">1</f>
        <v>1</v>
      </c>
      <c r="N217" s="0" t="n">
        <f aca="false">I217</f>
        <v>0.35</v>
      </c>
      <c r="O217" s="0" t="n">
        <f aca="false">J217</f>
        <v>0.4</v>
      </c>
      <c r="P217" s="0" t="n">
        <f aca="false">K217</f>
        <v>1</v>
      </c>
      <c r="Q217" s="0" t="n">
        <f aca="false">L217</f>
        <v>1</v>
      </c>
      <c r="R217" s="0" t="n">
        <f aca="false">I217*J217</f>
        <v>0.14</v>
      </c>
      <c r="S217" s="0" t="n">
        <f aca="false">I217*K217</f>
        <v>0.35</v>
      </c>
      <c r="T217" s="0" t="n">
        <f aca="false">I217*L217</f>
        <v>0.35</v>
      </c>
      <c r="U217" s="0" t="n">
        <f aca="false">J217*K217</f>
        <v>0.4</v>
      </c>
      <c r="V217" s="0" t="n">
        <f aca="false">J217*L217</f>
        <v>0.4</v>
      </c>
      <c r="W217" s="0" t="n">
        <f aca="false">K217*L217</f>
        <v>1</v>
      </c>
      <c r="X217" s="0" t="n">
        <f aca="false">I217*I217</f>
        <v>0.1225</v>
      </c>
      <c r="Y217" s="0" t="n">
        <f aca="false">J217*J217</f>
        <v>0.16</v>
      </c>
      <c r="Z217" s="0" t="n">
        <f aca="false">K217*K217</f>
        <v>1</v>
      </c>
      <c r="AA217" s="0" t="n">
        <f aca="false">L217*L217</f>
        <v>1</v>
      </c>
      <c r="AB217" s="0" t="n">
        <f aca="false">SUMPRODUCT(M217:AA217,_XtX!$B$96:$P$96)</f>
        <v>49.3432997076023</v>
      </c>
      <c r="AC217" s="0" t="n">
        <f aca="false">SUMPRODUCT(MMULT(M217:AA217,_XtX!$B$78:$P$92),M217:AA217)</f>
        <v>0.628405116959065</v>
      </c>
      <c r="AD217" s="0" t="n">
        <f aca="false">AB217-04_回帰ANOVA!$K$19*04_回帰ANOVA!$K$14*SQRT(1+AC217)</f>
        <v>47.6799651064903</v>
      </c>
      <c r="AE217" s="0" t="n">
        <f aca="false">AB217+04_回帰ANOVA!$K$19*04_回帰ANOVA!$K$14*SQRT(1+AC217)</f>
        <v>51.0066343087143</v>
      </c>
      <c r="AF217" s="54" t="b">
        <f aca="false">AND(I217&gt;=01_因子設定!$L$5-0.000000001,I217&lt;=01_因子設定!$M$5+0.000000001,J217&gt;=01_因子設定!$L$6-0.000000001,J217&lt;=01_因子設定!$M$6+0.000000001,K217&gt;=01_因子設定!$L$7-0.000000001,K217&lt;=01_因子設定!$M$7+0.000000001,L217&gt;=01_因子設定!$L$8-0.000000001,L217&lt;=01_因子設定!$M$8+0.000000001,IF(01_因子設定!$B$20="Box-Behnken",I217^2+J217^2+K217^2+L217^2&lt;=2+0.000000001,TRUE()))</f>
        <v>1</v>
      </c>
      <c r="AG217" s="55" t="n">
        <f aca="false">IF(01_因子設定!$B$13="最大化",AD217-01_因子設定!$B$14,IF(01_因子設定!$B$13="最小化",01_因子設定!$B$15-AE217,MIN(AD217-01_因子設定!$B$14,01_因子設定!$B$15-AE217)))</f>
        <v>1.17996510649034</v>
      </c>
    </row>
    <row r="218" customFormat="false" ht="15" hidden="false" customHeight="false" outlineLevel="0" collapsed="false">
      <c r="A218" s="0" t="n">
        <v>1</v>
      </c>
      <c r="B218" s="0" t="n">
        <v>2</v>
      </c>
      <c r="C218" s="0" t="n">
        <v>0</v>
      </c>
      <c r="D218" s="0" t="n">
        <v>0</v>
      </c>
      <c r="E218" s="0" t="n">
        <f aca="false">08_工程窓!$C$76+A218*(08_工程窓!$D$76-08_工程窓!$C$76)/2</f>
        <v>68.5</v>
      </c>
      <c r="F218" s="0" t="n">
        <f aca="false">08_工程窓!$C$77+B218*(08_工程窓!$D$77-08_工程窓!$C$77)/2</f>
        <v>40</v>
      </c>
      <c r="G218" s="0" t="n">
        <f aca="false">08_工程窓!$C$78+C218*(08_工程窓!$D$78-08_工程窓!$C$78)/2</f>
        <v>1.25</v>
      </c>
      <c r="H218" s="0" t="n">
        <f aca="false">08_工程窓!$C$79+D218*(08_工程窓!$D$79-08_工程窓!$C$79)/2</f>
        <v>20</v>
      </c>
      <c r="I218" s="0" t="n">
        <f aca="false">(E218-01_因子設定!$G$5)/01_因子設定!$H$5</f>
        <v>0.35</v>
      </c>
      <c r="J218" s="0" t="n">
        <f aca="false">(F218-01_因子設定!$G$6)/01_因子設定!$H$6</f>
        <v>1</v>
      </c>
      <c r="K218" s="0" t="n">
        <f aca="false">(G218-01_因子設定!$G$7)/01_因子設定!$H$7</f>
        <v>-0.75</v>
      </c>
      <c r="L218" s="0" t="n">
        <f aca="false">(H218-01_因子設定!$G$8)/01_因子設定!$H$8</f>
        <v>-1</v>
      </c>
      <c r="M218" s="0" t="n">
        <f aca="false">1</f>
        <v>1</v>
      </c>
      <c r="N218" s="0" t="n">
        <f aca="false">I218</f>
        <v>0.35</v>
      </c>
      <c r="O218" s="0" t="n">
        <f aca="false">J218</f>
        <v>1</v>
      </c>
      <c r="P218" s="0" t="n">
        <f aca="false">K218</f>
        <v>-0.75</v>
      </c>
      <c r="Q218" s="0" t="n">
        <f aca="false">L218</f>
        <v>-1</v>
      </c>
      <c r="R218" s="0" t="n">
        <f aca="false">I218*J218</f>
        <v>0.35</v>
      </c>
      <c r="S218" s="0" t="n">
        <f aca="false">I218*K218</f>
        <v>-0.2625</v>
      </c>
      <c r="T218" s="0" t="n">
        <f aca="false">I218*L218</f>
        <v>-0.35</v>
      </c>
      <c r="U218" s="0" t="n">
        <f aca="false">J218*K218</f>
        <v>-0.75</v>
      </c>
      <c r="V218" s="0" t="n">
        <f aca="false">J218*L218</f>
        <v>-1</v>
      </c>
      <c r="W218" s="0" t="n">
        <f aca="false">K218*L218</f>
        <v>0.75</v>
      </c>
      <c r="X218" s="0" t="n">
        <f aca="false">I218*I218</f>
        <v>0.1225</v>
      </c>
      <c r="Y218" s="0" t="n">
        <f aca="false">J218*J218</f>
        <v>1</v>
      </c>
      <c r="Z218" s="0" t="n">
        <f aca="false">K218*K218</f>
        <v>0.5625</v>
      </c>
      <c r="AA218" s="0" t="n">
        <f aca="false">L218*L218</f>
        <v>1</v>
      </c>
      <c r="AB218" s="0" t="n">
        <f aca="false">SUMPRODUCT(M218:AA218,_XtX!$B$96:$P$96)</f>
        <v>46.6104583333333</v>
      </c>
      <c r="AC218" s="0" t="n">
        <f aca="false">SUMPRODUCT(MMULT(M218:AA218,_XtX!$B$78:$P$92),M218:AA218)</f>
        <v>0.600375390625</v>
      </c>
      <c r="AD218" s="0" t="n">
        <f aca="false">AB218-04_回帰ANOVA!$K$19*04_回帰ANOVA!$K$14*SQRT(1+AC218)</f>
        <v>44.9615013549175</v>
      </c>
      <c r="AE218" s="0" t="n">
        <f aca="false">AB218+04_回帰ANOVA!$K$19*04_回帰ANOVA!$K$14*SQRT(1+AC218)</f>
        <v>48.2594153117492</v>
      </c>
      <c r="AF218" s="54" t="b">
        <f aca="false">AND(I218&gt;=01_因子設定!$L$5-0.000000001,I218&lt;=01_因子設定!$M$5+0.000000001,J218&gt;=01_因子設定!$L$6-0.000000001,J218&lt;=01_因子設定!$M$6+0.000000001,K218&gt;=01_因子設定!$L$7-0.000000001,K218&lt;=01_因子設定!$M$7+0.000000001,L218&gt;=01_因子設定!$L$8-0.000000001,L218&lt;=01_因子設定!$M$8+0.000000001,IF(01_因子設定!$B$20="Box-Behnken",I218^2+J218^2+K218^2+L218^2&lt;=2+0.000000001,TRUE()))</f>
        <v>1</v>
      </c>
      <c r="AG218" s="55" t="n">
        <f aca="false">IF(01_因子設定!$B$13="最大化",AD218-01_因子設定!$B$14,IF(01_因子設定!$B$13="最小化",01_因子設定!$B$15-AE218,MIN(AD218-01_因子設定!$B$14,01_因子設定!$B$15-AE218)))</f>
        <v>-1.53849864508251</v>
      </c>
    </row>
    <row r="219" customFormat="false" ht="15" hidden="false" customHeight="false" outlineLevel="0" collapsed="false">
      <c r="A219" s="0" t="n">
        <v>1</v>
      </c>
      <c r="B219" s="0" t="n">
        <v>2</v>
      </c>
      <c r="C219" s="0" t="n">
        <v>0</v>
      </c>
      <c r="D219" s="0" t="n">
        <v>1</v>
      </c>
      <c r="E219" s="0" t="n">
        <f aca="false">08_工程窓!$C$76+A219*(08_工程窓!$D$76-08_工程窓!$C$76)/2</f>
        <v>68.5</v>
      </c>
      <c r="F219" s="0" t="n">
        <f aca="false">08_工程窓!$C$77+B219*(08_工程窓!$D$77-08_工程窓!$C$77)/2</f>
        <v>40</v>
      </c>
      <c r="G219" s="0" t="n">
        <f aca="false">08_工程窓!$C$78+C219*(08_工程窓!$D$78-08_工程窓!$C$78)/2</f>
        <v>1.25</v>
      </c>
      <c r="H219" s="0" t="n">
        <f aca="false">08_工程窓!$C$79+D219*(08_工程窓!$D$79-08_工程窓!$C$79)/2</f>
        <v>40</v>
      </c>
      <c r="I219" s="0" t="n">
        <f aca="false">(E219-01_因子設定!$G$5)/01_因子設定!$H$5</f>
        <v>0.35</v>
      </c>
      <c r="J219" s="0" t="n">
        <f aca="false">(F219-01_因子設定!$G$6)/01_因子設定!$H$6</f>
        <v>1</v>
      </c>
      <c r="K219" s="0" t="n">
        <f aca="false">(G219-01_因子設定!$G$7)/01_因子設定!$H$7</f>
        <v>-0.75</v>
      </c>
      <c r="L219" s="0" t="n">
        <f aca="false">(H219-01_因子設定!$G$8)/01_因子設定!$H$8</f>
        <v>0</v>
      </c>
      <c r="M219" s="0" t="n">
        <f aca="false">1</f>
        <v>1</v>
      </c>
      <c r="N219" s="0" t="n">
        <f aca="false">I219</f>
        <v>0.35</v>
      </c>
      <c r="O219" s="0" t="n">
        <f aca="false">J219</f>
        <v>1</v>
      </c>
      <c r="P219" s="0" t="n">
        <f aca="false">K219</f>
        <v>-0.75</v>
      </c>
      <c r="Q219" s="0" t="n">
        <f aca="false">L219</f>
        <v>0</v>
      </c>
      <c r="R219" s="0" t="n">
        <f aca="false">I219*J219</f>
        <v>0.35</v>
      </c>
      <c r="S219" s="0" t="n">
        <f aca="false">I219*K219</f>
        <v>-0.2625</v>
      </c>
      <c r="T219" s="0" t="n">
        <f aca="false">I219*L219</f>
        <v>0</v>
      </c>
      <c r="U219" s="0" t="n">
        <f aca="false">J219*K219</f>
        <v>-0.75</v>
      </c>
      <c r="V219" s="0" t="n">
        <f aca="false">J219*L219</f>
        <v>0</v>
      </c>
      <c r="W219" s="0" t="n">
        <f aca="false">K219*L219</f>
        <v>-0</v>
      </c>
      <c r="X219" s="0" t="n">
        <f aca="false">I219*I219</f>
        <v>0.1225</v>
      </c>
      <c r="Y219" s="0" t="n">
        <f aca="false">J219*J219</f>
        <v>1</v>
      </c>
      <c r="Z219" s="0" t="n">
        <f aca="false">K219*K219</f>
        <v>0.5625</v>
      </c>
      <c r="AA219" s="0" t="n">
        <f aca="false">L219*L219</f>
        <v>0</v>
      </c>
      <c r="AB219" s="0" t="n">
        <f aca="false">SUMPRODUCT(M219:AA219,_XtX!$B$96:$P$96)</f>
        <v>47.0140950292397</v>
      </c>
      <c r="AC219" s="0" t="n">
        <f aca="false">SUMPRODUCT(MMULT(M219:AA219,_XtX!$B$78:$P$92),M219:AA219)</f>
        <v>0.490472247350146</v>
      </c>
      <c r="AD219" s="0" t="n">
        <f aca="false">AB219-04_回帰ANOVA!$K$19*04_回帰ANOVA!$K$14*SQRT(1+AC219)</f>
        <v>45.4227647016278</v>
      </c>
      <c r="AE219" s="0" t="n">
        <f aca="false">AB219+04_回帰ANOVA!$K$19*04_回帰ANOVA!$K$14*SQRT(1+AC219)</f>
        <v>48.6054253568516</v>
      </c>
      <c r="AF219" s="54" t="b">
        <f aca="false">AND(I219&gt;=01_因子設定!$L$5-0.000000001,I219&lt;=01_因子設定!$M$5+0.000000001,J219&gt;=01_因子設定!$L$6-0.000000001,J219&lt;=01_因子設定!$M$6+0.000000001,K219&gt;=01_因子設定!$L$7-0.000000001,K219&lt;=01_因子設定!$M$7+0.000000001,L219&gt;=01_因子設定!$L$8-0.000000001,L219&lt;=01_因子設定!$M$8+0.000000001,IF(01_因子設定!$B$20="Box-Behnken",I219^2+J219^2+K219^2+L219^2&lt;=2+0.000000001,TRUE()))</f>
        <v>1</v>
      </c>
      <c r="AG219" s="55" t="n">
        <f aca="false">IF(01_因子設定!$B$13="最大化",AD219-01_因子設定!$B$14,IF(01_因子設定!$B$13="最小化",01_因子設定!$B$15-AE219,MIN(AD219-01_因子設定!$B$14,01_因子設定!$B$15-AE219)))</f>
        <v>-1.07723529837219</v>
      </c>
    </row>
    <row r="220" customFormat="false" ht="15" hidden="false" customHeight="false" outlineLevel="0" collapsed="false">
      <c r="A220" s="0" t="n">
        <v>1</v>
      </c>
      <c r="B220" s="0" t="n">
        <v>2</v>
      </c>
      <c r="C220" s="0" t="n">
        <v>0</v>
      </c>
      <c r="D220" s="0" t="n">
        <v>2</v>
      </c>
      <c r="E220" s="0" t="n">
        <f aca="false">08_工程窓!$C$76+A220*(08_工程窓!$D$76-08_工程窓!$C$76)/2</f>
        <v>68.5</v>
      </c>
      <c r="F220" s="0" t="n">
        <f aca="false">08_工程窓!$C$77+B220*(08_工程窓!$D$77-08_工程窓!$C$77)/2</f>
        <v>40</v>
      </c>
      <c r="G220" s="0" t="n">
        <f aca="false">08_工程窓!$C$78+C220*(08_工程窓!$D$78-08_工程窓!$C$78)/2</f>
        <v>1.25</v>
      </c>
      <c r="H220" s="0" t="n">
        <f aca="false">08_工程窓!$C$79+D220*(08_工程窓!$D$79-08_工程窓!$C$79)/2</f>
        <v>60</v>
      </c>
      <c r="I220" s="0" t="n">
        <f aca="false">(E220-01_因子設定!$G$5)/01_因子設定!$H$5</f>
        <v>0.35</v>
      </c>
      <c r="J220" s="0" t="n">
        <f aca="false">(F220-01_因子設定!$G$6)/01_因子設定!$H$6</f>
        <v>1</v>
      </c>
      <c r="K220" s="0" t="n">
        <f aca="false">(G220-01_因子設定!$G$7)/01_因子設定!$H$7</f>
        <v>-0.75</v>
      </c>
      <c r="L220" s="0" t="n">
        <f aca="false">(H220-01_因子設定!$G$8)/01_因子設定!$H$8</f>
        <v>1</v>
      </c>
      <c r="M220" s="0" t="n">
        <f aca="false">1</f>
        <v>1</v>
      </c>
      <c r="N220" s="0" t="n">
        <f aca="false">I220</f>
        <v>0.35</v>
      </c>
      <c r="O220" s="0" t="n">
        <f aca="false">J220</f>
        <v>1</v>
      </c>
      <c r="P220" s="0" t="n">
        <f aca="false">K220</f>
        <v>-0.75</v>
      </c>
      <c r="Q220" s="0" t="n">
        <f aca="false">L220</f>
        <v>1</v>
      </c>
      <c r="R220" s="0" t="n">
        <f aca="false">I220*J220</f>
        <v>0.35</v>
      </c>
      <c r="S220" s="0" t="n">
        <f aca="false">I220*K220</f>
        <v>-0.2625</v>
      </c>
      <c r="T220" s="0" t="n">
        <f aca="false">I220*L220</f>
        <v>0.35</v>
      </c>
      <c r="U220" s="0" t="n">
        <f aca="false">J220*K220</f>
        <v>-0.75</v>
      </c>
      <c r="V220" s="0" t="n">
        <f aca="false">J220*L220</f>
        <v>1</v>
      </c>
      <c r="W220" s="0" t="n">
        <f aca="false">K220*L220</f>
        <v>-0.75</v>
      </c>
      <c r="X220" s="0" t="n">
        <f aca="false">I220*I220</f>
        <v>0.1225</v>
      </c>
      <c r="Y220" s="0" t="n">
        <f aca="false">J220*J220</f>
        <v>1</v>
      </c>
      <c r="Z220" s="0" t="n">
        <f aca="false">K220*K220</f>
        <v>0.5625</v>
      </c>
      <c r="AA220" s="0" t="n">
        <f aca="false">L220*L220</f>
        <v>1</v>
      </c>
      <c r="AB220" s="0" t="n">
        <f aca="false">SUMPRODUCT(M220:AA220,_XtX!$B$96:$P$96)</f>
        <v>46.6528194444444</v>
      </c>
      <c r="AC220" s="0" t="n">
        <f aca="false">SUMPRODUCT(MMULT(M220:AA220,_XtX!$B$78:$P$92),M220:AA220)</f>
        <v>0.600375390625</v>
      </c>
      <c r="AD220" s="0" t="n">
        <f aca="false">AB220-04_回帰ANOVA!$K$19*04_回帰ANOVA!$K$14*SQRT(1+AC220)</f>
        <v>45.0038624660286</v>
      </c>
      <c r="AE220" s="0" t="n">
        <f aca="false">AB220+04_回帰ANOVA!$K$19*04_回帰ANOVA!$K$14*SQRT(1+AC220)</f>
        <v>48.3017764228603</v>
      </c>
      <c r="AF220" s="54" t="b">
        <f aca="false">AND(I220&gt;=01_因子設定!$L$5-0.000000001,I220&lt;=01_因子設定!$M$5+0.000000001,J220&gt;=01_因子設定!$L$6-0.000000001,J220&lt;=01_因子設定!$M$6+0.000000001,K220&gt;=01_因子設定!$L$7-0.000000001,K220&lt;=01_因子設定!$M$7+0.000000001,L220&gt;=01_因子設定!$L$8-0.000000001,L220&lt;=01_因子設定!$M$8+0.000000001,IF(01_因子設定!$B$20="Box-Behnken",I220^2+J220^2+K220^2+L220^2&lt;=2+0.000000001,TRUE()))</f>
        <v>1</v>
      </c>
      <c r="AG220" s="55" t="n">
        <f aca="false">IF(01_因子設定!$B$13="最大化",AD220-01_因子設定!$B$14,IF(01_因子設定!$B$13="最小化",01_因子設定!$B$15-AE220,MIN(AD220-01_因子設定!$B$14,01_因子設定!$B$15-AE220)))</f>
        <v>-1.49613753397141</v>
      </c>
    </row>
    <row r="221" customFormat="false" ht="15" hidden="false" customHeight="false" outlineLevel="0" collapsed="false">
      <c r="A221" s="0" t="n">
        <v>1</v>
      </c>
      <c r="B221" s="0" t="n">
        <v>2</v>
      </c>
      <c r="C221" s="0" t="n">
        <v>1</v>
      </c>
      <c r="D221" s="0" t="n">
        <v>0</v>
      </c>
      <c r="E221" s="0" t="n">
        <f aca="false">08_工程窓!$C$76+A221*(08_工程窓!$D$76-08_工程窓!$C$76)/2</f>
        <v>68.5</v>
      </c>
      <c r="F221" s="0" t="n">
        <f aca="false">08_工程窓!$C$77+B221*(08_工程窓!$D$77-08_工程窓!$C$77)/2</f>
        <v>40</v>
      </c>
      <c r="G221" s="0" t="n">
        <f aca="false">08_工程窓!$C$78+C221*(08_工程窓!$D$78-08_工程窓!$C$78)/2</f>
        <v>2.125</v>
      </c>
      <c r="H221" s="0" t="n">
        <f aca="false">08_工程窓!$C$79+D221*(08_工程窓!$D$79-08_工程窓!$C$79)/2</f>
        <v>20</v>
      </c>
      <c r="I221" s="0" t="n">
        <f aca="false">(E221-01_因子設定!$G$5)/01_因子設定!$H$5</f>
        <v>0.35</v>
      </c>
      <c r="J221" s="0" t="n">
        <f aca="false">(F221-01_因子設定!$G$6)/01_因子設定!$H$6</f>
        <v>1</v>
      </c>
      <c r="K221" s="0" t="n">
        <f aca="false">(G221-01_因子設定!$G$7)/01_因子設定!$H$7</f>
        <v>0.125</v>
      </c>
      <c r="L221" s="0" t="n">
        <f aca="false">(H221-01_因子設定!$G$8)/01_因子設定!$H$8</f>
        <v>-1</v>
      </c>
      <c r="M221" s="0" t="n">
        <f aca="false">1</f>
        <v>1</v>
      </c>
      <c r="N221" s="0" t="n">
        <f aca="false">I221</f>
        <v>0.35</v>
      </c>
      <c r="O221" s="0" t="n">
        <f aca="false">J221</f>
        <v>1</v>
      </c>
      <c r="P221" s="0" t="n">
        <f aca="false">K221</f>
        <v>0.125</v>
      </c>
      <c r="Q221" s="0" t="n">
        <f aca="false">L221</f>
        <v>-1</v>
      </c>
      <c r="R221" s="0" t="n">
        <f aca="false">I221*J221</f>
        <v>0.35</v>
      </c>
      <c r="S221" s="0" t="n">
        <f aca="false">I221*K221</f>
        <v>0.04375</v>
      </c>
      <c r="T221" s="0" t="n">
        <f aca="false">I221*L221</f>
        <v>-0.35</v>
      </c>
      <c r="U221" s="0" t="n">
        <f aca="false">J221*K221</f>
        <v>0.125</v>
      </c>
      <c r="V221" s="0" t="n">
        <f aca="false">J221*L221</f>
        <v>-1</v>
      </c>
      <c r="W221" s="0" t="n">
        <f aca="false">K221*L221</f>
        <v>-0.125</v>
      </c>
      <c r="X221" s="0" t="n">
        <f aca="false">I221*I221</f>
        <v>0.1225</v>
      </c>
      <c r="Y221" s="0" t="n">
        <f aca="false">J221*J221</f>
        <v>1</v>
      </c>
      <c r="Z221" s="0" t="n">
        <f aca="false">K221*K221</f>
        <v>0.015625</v>
      </c>
      <c r="AA221" s="0" t="n">
        <f aca="false">L221*L221</f>
        <v>1</v>
      </c>
      <c r="AB221" s="0" t="n">
        <f aca="false">SUMPRODUCT(M221:AA221,_XtX!$B$96:$P$96)</f>
        <v>47.6669057017544</v>
      </c>
      <c r="AC221" s="0" t="n">
        <f aca="false">SUMPRODUCT(MMULT(M221:AA221,_XtX!$B$78:$P$92),M221:AA221)</f>
        <v>0.66893314772935</v>
      </c>
      <c r="AD221" s="0" t="n">
        <f aca="false">AB221-04_回帰ANOVA!$K$19*04_回帰ANOVA!$K$14*SQRT(1+AC221)</f>
        <v>45.9829996296569</v>
      </c>
      <c r="AE221" s="0" t="n">
        <f aca="false">AB221+04_回帰ANOVA!$K$19*04_回帰ANOVA!$K$14*SQRT(1+AC221)</f>
        <v>49.3508117738519</v>
      </c>
      <c r="AF221" s="54" t="b">
        <f aca="false">AND(I221&gt;=01_因子設定!$L$5-0.000000001,I221&lt;=01_因子設定!$M$5+0.000000001,J221&gt;=01_因子設定!$L$6-0.000000001,J221&lt;=01_因子設定!$M$6+0.000000001,K221&gt;=01_因子設定!$L$7-0.000000001,K221&lt;=01_因子設定!$M$7+0.000000001,L221&gt;=01_因子設定!$L$8-0.000000001,L221&lt;=01_因子設定!$M$8+0.000000001,IF(01_因子設定!$B$20="Box-Behnken",I221^2+J221^2+K221^2+L221^2&lt;=2+0.000000001,TRUE()))</f>
        <v>1</v>
      </c>
      <c r="AG221" s="55" t="n">
        <f aca="false">IF(01_因子設定!$B$13="最大化",AD221-01_因子設定!$B$14,IF(01_因子設定!$B$13="最小化",01_因子設定!$B$15-AE221,MIN(AD221-01_因子設定!$B$14,01_因子設定!$B$15-AE221)))</f>
        <v>-0.517000370343148</v>
      </c>
    </row>
    <row r="222" customFormat="false" ht="15" hidden="false" customHeight="false" outlineLevel="0" collapsed="false">
      <c r="A222" s="0" t="n">
        <v>1</v>
      </c>
      <c r="B222" s="0" t="n">
        <v>2</v>
      </c>
      <c r="C222" s="0" t="n">
        <v>1</v>
      </c>
      <c r="D222" s="0" t="n">
        <v>1</v>
      </c>
      <c r="E222" s="0" t="n">
        <f aca="false">08_工程窓!$C$76+A222*(08_工程窓!$D$76-08_工程窓!$C$76)/2</f>
        <v>68.5</v>
      </c>
      <c r="F222" s="0" t="n">
        <f aca="false">08_工程窓!$C$77+B222*(08_工程窓!$D$77-08_工程窓!$C$77)/2</f>
        <v>40</v>
      </c>
      <c r="G222" s="0" t="n">
        <f aca="false">08_工程窓!$C$78+C222*(08_工程窓!$D$78-08_工程窓!$C$78)/2</f>
        <v>2.125</v>
      </c>
      <c r="H222" s="0" t="n">
        <f aca="false">08_工程窓!$C$79+D222*(08_工程窓!$D$79-08_工程窓!$C$79)/2</f>
        <v>40</v>
      </c>
      <c r="I222" s="0" t="n">
        <f aca="false">(E222-01_因子設定!$G$5)/01_因子設定!$H$5</f>
        <v>0.35</v>
      </c>
      <c r="J222" s="0" t="n">
        <f aca="false">(F222-01_因子設定!$G$6)/01_因子設定!$H$6</f>
        <v>1</v>
      </c>
      <c r="K222" s="0" t="n">
        <f aca="false">(G222-01_因子設定!$G$7)/01_因子設定!$H$7</f>
        <v>0.125</v>
      </c>
      <c r="L222" s="0" t="n">
        <f aca="false">(H222-01_因子設定!$G$8)/01_因子設定!$H$8</f>
        <v>0</v>
      </c>
      <c r="M222" s="0" t="n">
        <f aca="false">1</f>
        <v>1</v>
      </c>
      <c r="N222" s="0" t="n">
        <f aca="false">I222</f>
        <v>0.35</v>
      </c>
      <c r="O222" s="0" t="n">
        <f aca="false">J222</f>
        <v>1</v>
      </c>
      <c r="P222" s="0" t="n">
        <f aca="false">K222</f>
        <v>0.125</v>
      </c>
      <c r="Q222" s="0" t="n">
        <f aca="false">L222</f>
        <v>0</v>
      </c>
      <c r="R222" s="0" t="n">
        <f aca="false">I222*J222</f>
        <v>0.35</v>
      </c>
      <c r="S222" s="0" t="n">
        <f aca="false">I222*K222</f>
        <v>0.04375</v>
      </c>
      <c r="T222" s="0" t="n">
        <f aca="false">I222*L222</f>
        <v>0</v>
      </c>
      <c r="U222" s="0" t="n">
        <f aca="false">J222*K222</f>
        <v>0.125</v>
      </c>
      <c r="V222" s="0" t="n">
        <f aca="false">J222*L222</f>
        <v>0</v>
      </c>
      <c r="W222" s="0" t="n">
        <f aca="false">K222*L222</f>
        <v>0</v>
      </c>
      <c r="X222" s="0" t="n">
        <f aca="false">I222*I222</f>
        <v>0.1225</v>
      </c>
      <c r="Y222" s="0" t="n">
        <f aca="false">J222*J222</f>
        <v>1</v>
      </c>
      <c r="Z222" s="0" t="n">
        <f aca="false">K222*K222</f>
        <v>0.015625</v>
      </c>
      <c r="AA222" s="0" t="n">
        <f aca="false">L222*L222</f>
        <v>0</v>
      </c>
      <c r="AB222" s="0" t="n">
        <f aca="false">SUMPRODUCT(M222:AA222,_XtX!$B$96:$P$96)</f>
        <v>48.3221048976608</v>
      </c>
      <c r="AC222" s="0" t="n">
        <f aca="false">SUMPRODUCT(MMULT(M222:AA222,_XtX!$B$78:$P$92),M222:AA222)</f>
        <v>0.468483814761513</v>
      </c>
      <c r="AD222" s="0" t="n">
        <f aca="false">AB222-04_回帰ANOVA!$K$19*04_回帰ANOVA!$K$14*SQRT(1+AC222)</f>
        <v>46.7425563635624</v>
      </c>
      <c r="AE222" s="0" t="n">
        <f aca="false">AB222+04_回帰ANOVA!$K$19*04_回帰ANOVA!$K$14*SQRT(1+AC222)</f>
        <v>49.9016534317592</v>
      </c>
      <c r="AF222" s="54" t="b">
        <f aca="false">AND(I222&gt;=01_因子設定!$L$5-0.000000001,I222&lt;=01_因子設定!$M$5+0.000000001,J222&gt;=01_因子設定!$L$6-0.000000001,J222&lt;=01_因子設定!$M$6+0.000000001,K222&gt;=01_因子設定!$L$7-0.000000001,K222&lt;=01_因子設定!$M$7+0.000000001,L222&gt;=01_因子設定!$L$8-0.000000001,L222&lt;=01_因子設定!$M$8+0.000000001,IF(01_因子設定!$B$20="Box-Behnken",I222^2+J222^2+K222^2+L222^2&lt;=2+0.000000001,TRUE()))</f>
        <v>1</v>
      </c>
      <c r="AG222" s="55" t="n">
        <f aca="false">IF(01_因子設定!$B$13="最大化",AD222-01_因子設定!$B$14,IF(01_因子設定!$B$13="最小化",01_因子設定!$B$15-AE222,MIN(AD222-01_因子設定!$B$14,01_因子設定!$B$15-AE222)))</f>
        <v>0.242556363562379</v>
      </c>
    </row>
    <row r="223" customFormat="false" ht="15" hidden="false" customHeight="false" outlineLevel="0" collapsed="false">
      <c r="A223" s="0" t="n">
        <v>1</v>
      </c>
      <c r="B223" s="0" t="n">
        <v>2</v>
      </c>
      <c r="C223" s="0" t="n">
        <v>1</v>
      </c>
      <c r="D223" s="0" t="n">
        <v>2</v>
      </c>
      <c r="E223" s="0" t="n">
        <f aca="false">08_工程窓!$C$76+A223*(08_工程窓!$D$76-08_工程窓!$C$76)/2</f>
        <v>68.5</v>
      </c>
      <c r="F223" s="0" t="n">
        <f aca="false">08_工程窓!$C$77+B223*(08_工程窓!$D$77-08_工程窓!$C$77)/2</f>
        <v>40</v>
      </c>
      <c r="G223" s="0" t="n">
        <f aca="false">08_工程窓!$C$78+C223*(08_工程窓!$D$78-08_工程窓!$C$78)/2</f>
        <v>2.125</v>
      </c>
      <c r="H223" s="0" t="n">
        <f aca="false">08_工程窓!$C$79+D223*(08_工程窓!$D$79-08_工程窓!$C$79)/2</f>
        <v>60</v>
      </c>
      <c r="I223" s="0" t="n">
        <f aca="false">(E223-01_因子設定!$G$5)/01_因子設定!$H$5</f>
        <v>0.35</v>
      </c>
      <c r="J223" s="0" t="n">
        <f aca="false">(F223-01_因子設定!$G$6)/01_因子設定!$H$6</f>
        <v>1</v>
      </c>
      <c r="K223" s="0" t="n">
        <f aca="false">(G223-01_因子設定!$G$7)/01_因子設定!$H$7</f>
        <v>0.125</v>
      </c>
      <c r="L223" s="0" t="n">
        <f aca="false">(H223-01_因子設定!$G$8)/01_因子設定!$H$8</f>
        <v>1</v>
      </c>
      <c r="M223" s="0" t="n">
        <f aca="false">1</f>
        <v>1</v>
      </c>
      <c r="N223" s="0" t="n">
        <f aca="false">I223</f>
        <v>0.35</v>
      </c>
      <c r="O223" s="0" t="n">
        <f aca="false">J223</f>
        <v>1</v>
      </c>
      <c r="P223" s="0" t="n">
        <f aca="false">K223</f>
        <v>0.125</v>
      </c>
      <c r="Q223" s="0" t="n">
        <f aca="false">L223</f>
        <v>1</v>
      </c>
      <c r="R223" s="0" t="n">
        <f aca="false">I223*J223</f>
        <v>0.35</v>
      </c>
      <c r="S223" s="0" t="n">
        <f aca="false">I223*K223</f>
        <v>0.04375</v>
      </c>
      <c r="T223" s="0" t="n">
        <f aca="false">I223*L223</f>
        <v>0.35</v>
      </c>
      <c r="U223" s="0" t="n">
        <f aca="false">J223*K223</f>
        <v>0.125</v>
      </c>
      <c r="V223" s="0" t="n">
        <f aca="false">J223*L223</f>
        <v>1</v>
      </c>
      <c r="W223" s="0" t="n">
        <f aca="false">K223*L223</f>
        <v>0.125</v>
      </c>
      <c r="X223" s="0" t="n">
        <f aca="false">I223*I223</f>
        <v>0.1225</v>
      </c>
      <c r="Y223" s="0" t="n">
        <f aca="false">J223*J223</f>
        <v>1</v>
      </c>
      <c r="Z223" s="0" t="n">
        <f aca="false">K223*K223</f>
        <v>0.015625</v>
      </c>
      <c r="AA223" s="0" t="n">
        <f aca="false">L223*L223</f>
        <v>1</v>
      </c>
      <c r="AB223" s="0" t="n">
        <f aca="false">SUMPRODUCT(M223:AA223,_XtX!$B$96:$P$96)</f>
        <v>48.2123918128655</v>
      </c>
      <c r="AC223" s="0" t="n">
        <f aca="false">SUMPRODUCT(MMULT(M223:AA223,_XtX!$B$78:$P$92),M223:AA223)</f>
        <v>0.66893314772935</v>
      </c>
      <c r="AD223" s="0" t="n">
        <f aca="false">AB223-04_回帰ANOVA!$K$19*04_回帰ANOVA!$K$14*SQRT(1+AC223)</f>
        <v>46.528485740768</v>
      </c>
      <c r="AE223" s="0" t="n">
        <f aca="false">AB223+04_回帰ANOVA!$K$19*04_回帰ANOVA!$K$14*SQRT(1+AC223)</f>
        <v>49.896297884963</v>
      </c>
      <c r="AF223" s="54" t="b">
        <f aca="false">AND(I223&gt;=01_因子設定!$L$5-0.000000001,I223&lt;=01_因子設定!$M$5+0.000000001,J223&gt;=01_因子設定!$L$6-0.000000001,J223&lt;=01_因子設定!$M$6+0.000000001,K223&gt;=01_因子設定!$L$7-0.000000001,K223&lt;=01_因子設定!$M$7+0.000000001,L223&gt;=01_因子設定!$L$8-0.000000001,L223&lt;=01_因子設定!$M$8+0.000000001,IF(01_因子設定!$B$20="Box-Behnken",I223^2+J223^2+K223^2+L223^2&lt;=2+0.000000001,TRUE()))</f>
        <v>1</v>
      </c>
      <c r="AG223" s="55" t="n">
        <f aca="false">IF(01_因子設定!$B$13="最大化",AD223-01_因子設定!$B$14,IF(01_因子設定!$B$13="最小化",01_因子設定!$B$15-AE223,MIN(AD223-01_因子設定!$B$14,01_因子設定!$B$15-AE223)))</f>
        <v>0.0284857407679624</v>
      </c>
    </row>
    <row r="224" customFormat="false" ht="15" hidden="false" customHeight="false" outlineLevel="0" collapsed="false">
      <c r="A224" s="0" t="n">
        <v>1</v>
      </c>
      <c r="B224" s="0" t="n">
        <v>2</v>
      </c>
      <c r="C224" s="0" t="n">
        <v>2</v>
      </c>
      <c r="D224" s="0" t="n">
        <v>0</v>
      </c>
      <c r="E224" s="0" t="n">
        <f aca="false">08_工程窓!$C$76+A224*(08_工程窓!$D$76-08_工程窓!$C$76)/2</f>
        <v>68.5</v>
      </c>
      <c r="F224" s="0" t="n">
        <f aca="false">08_工程窓!$C$77+B224*(08_工程窓!$D$77-08_工程窓!$C$77)/2</f>
        <v>40</v>
      </c>
      <c r="G224" s="0" t="n">
        <f aca="false">08_工程窓!$C$78+C224*(08_工程窓!$D$78-08_工程窓!$C$78)/2</f>
        <v>3</v>
      </c>
      <c r="H224" s="0" t="n">
        <f aca="false">08_工程窓!$C$79+D224*(08_工程窓!$D$79-08_工程窓!$C$79)/2</f>
        <v>20</v>
      </c>
      <c r="I224" s="0" t="n">
        <f aca="false">(E224-01_因子設定!$G$5)/01_因子設定!$H$5</f>
        <v>0.35</v>
      </c>
      <c r="J224" s="0" t="n">
        <f aca="false">(F224-01_因子設定!$G$6)/01_因子設定!$H$6</f>
        <v>1</v>
      </c>
      <c r="K224" s="0" t="n">
        <f aca="false">(G224-01_因子設定!$G$7)/01_因子設定!$H$7</f>
        <v>1</v>
      </c>
      <c r="L224" s="0" t="n">
        <f aca="false">(H224-01_因子設定!$G$8)/01_因子設定!$H$8</f>
        <v>-1</v>
      </c>
      <c r="M224" s="0" t="n">
        <f aca="false">1</f>
        <v>1</v>
      </c>
      <c r="N224" s="0" t="n">
        <f aca="false">I224</f>
        <v>0.35</v>
      </c>
      <c r="O224" s="0" t="n">
        <f aca="false">J224</f>
        <v>1</v>
      </c>
      <c r="P224" s="0" t="n">
        <f aca="false">K224</f>
        <v>1</v>
      </c>
      <c r="Q224" s="0" t="n">
        <f aca="false">L224</f>
        <v>-1</v>
      </c>
      <c r="R224" s="0" t="n">
        <f aca="false">I224*J224</f>
        <v>0.35</v>
      </c>
      <c r="S224" s="0" t="n">
        <f aca="false">I224*K224</f>
        <v>0.35</v>
      </c>
      <c r="T224" s="0" t="n">
        <f aca="false">I224*L224</f>
        <v>-0.35</v>
      </c>
      <c r="U224" s="0" t="n">
        <f aca="false">J224*K224</f>
        <v>1</v>
      </c>
      <c r="V224" s="0" t="n">
        <f aca="false">J224*L224</f>
        <v>-1</v>
      </c>
      <c r="W224" s="0" t="n">
        <f aca="false">K224*L224</f>
        <v>-1</v>
      </c>
      <c r="X224" s="0" t="n">
        <f aca="false">I224*I224</f>
        <v>0.1225</v>
      </c>
      <c r="Y224" s="0" t="n">
        <f aca="false">J224*J224</f>
        <v>1</v>
      </c>
      <c r="Z224" s="0" t="n">
        <f aca="false">K224*K224</f>
        <v>1</v>
      </c>
      <c r="AA224" s="0" t="n">
        <f aca="false">L224*L224</f>
        <v>1</v>
      </c>
      <c r="AB224" s="0" t="n">
        <f aca="false">SUMPRODUCT(M224:AA224,_XtX!$B$96:$P$96)</f>
        <v>47.6783421052632</v>
      </c>
      <c r="AC224" s="0" t="n">
        <f aca="false">SUMPRODUCT(MMULT(M224:AA224,_XtX!$B$78:$P$92),M224:AA224)</f>
        <v>0.711750402046784</v>
      </c>
      <c r="AD224" s="0" t="n">
        <f aca="false">AB224-04_回帰ANOVA!$K$19*04_回帰ANOVA!$K$14*SQRT(1+AC224)</f>
        <v>45.9729721321042</v>
      </c>
      <c r="AE224" s="0" t="n">
        <f aca="false">AB224+04_回帰ANOVA!$K$19*04_回帰ANOVA!$K$14*SQRT(1+AC224)</f>
        <v>49.3837120784221</v>
      </c>
      <c r="AF224" s="54" t="b">
        <f aca="false">AND(I224&gt;=01_因子設定!$L$5-0.000000001,I224&lt;=01_因子設定!$M$5+0.000000001,J224&gt;=01_因子設定!$L$6-0.000000001,J224&lt;=01_因子設定!$M$6+0.000000001,K224&gt;=01_因子設定!$L$7-0.000000001,K224&lt;=01_因子設定!$M$7+0.000000001,L224&gt;=01_因子設定!$L$8-0.000000001,L224&lt;=01_因子設定!$M$8+0.000000001,IF(01_因子設定!$B$20="Box-Behnken",I224^2+J224^2+K224^2+L224^2&lt;=2+0.000000001,TRUE()))</f>
        <v>1</v>
      </c>
      <c r="AG224" s="55" t="n">
        <f aca="false">IF(01_因子設定!$B$13="最大化",AD224-01_因子設定!$B$14,IF(01_因子設定!$B$13="最小化",01_因子設定!$B$15-AE224,MIN(AD224-01_因子設定!$B$14,01_因子設定!$B$15-AE224)))</f>
        <v>-0.527027867895804</v>
      </c>
    </row>
    <row r="225" customFormat="false" ht="15" hidden="false" customHeight="false" outlineLevel="0" collapsed="false">
      <c r="A225" s="0" t="n">
        <v>1</v>
      </c>
      <c r="B225" s="0" t="n">
        <v>2</v>
      </c>
      <c r="C225" s="0" t="n">
        <v>2</v>
      </c>
      <c r="D225" s="0" t="n">
        <v>1</v>
      </c>
      <c r="E225" s="0" t="n">
        <f aca="false">08_工程窓!$C$76+A225*(08_工程窓!$D$76-08_工程窓!$C$76)/2</f>
        <v>68.5</v>
      </c>
      <c r="F225" s="0" t="n">
        <f aca="false">08_工程窓!$C$77+B225*(08_工程窓!$D$77-08_工程窓!$C$77)/2</f>
        <v>40</v>
      </c>
      <c r="G225" s="0" t="n">
        <f aca="false">08_工程窓!$C$78+C225*(08_工程窓!$D$78-08_工程窓!$C$78)/2</f>
        <v>3</v>
      </c>
      <c r="H225" s="0" t="n">
        <f aca="false">08_工程窓!$C$79+D225*(08_工程窓!$D$79-08_工程窓!$C$79)/2</f>
        <v>40</v>
      </c>
      <c r="I225" s="0" t="n">
        <f aca="false">(E225-01_因子設定!$G$5)/01_因子設定!$H$5</f>
        <v>0.35</v>
      </c>
      <c r="J225" s="0" t="n">
        <f aca="false">(F225-01_因子設定!$G$6)/01_因子設定!$H$6</f>
        <v>1</v>
      </c>
      <c r="K225" s="0" t="n">
        <f aca="false">(G225-01_因子設定!$G$7)/01_因子設定!$H$7</f>
        <v>1</v>
      </c>
      <c r="L225" s="0" t="n">
        <f aca="false">(H225-01_因子設定!$G$8)/01_因子設定!$H$8</f>
        <v>0</v>
      </c>
      <c r="M225" s="0" t="n">
        <f aca="false">1</f>
        <v>1</v>
      </c>
      <c r="N225" s="0" t="n">
        <f aca="false">I225</f>
        <v>0.35</v>
      </c>
      <c r="O225" s="0" t="n">
        <f aca="false">J225</f>
        <v>1</v>
      </c>
      <c r="P225" s="0" t="n">
        <f aca="false">K225</f>
        <v>1</v>
      </c>
      <c r="Q225" s="0" t="n">
        <f aca="false">L225</f>
        <v>0</v>
      </c>
      <c r="R225" s="0" t="n">
        <f aca="false">I225*J225</f>
        <v>0.35</v>
      </c>
      <c r="S225" s="0" t="n">
        <f aca="false">I225*K225</f>
        <v>0.35</v>
      </c>
      <c r="T225" s="0" t="n">
        <f aca="false">I225*L225</f>
        <v>0</v>
      </c>
      <c r="U225" s="0" t="n">
        <f aca="false">J225*K225</f>
        <v>1</v>
      </c>
      <c r="V225" s="0" t="n">
        <f aca="false">J225*L225</f>
        <v>0</v>
      </c>
      <c r="W225" s="0" t="n">
        <f aca="false">K225*L225</f>
        <v>0</v>
      </c>
      <c r="X225" s="0" t="n">
        <f aca="false">I225*I225</f>
        <v>0.1225</v>
      </c>
      <c r="Y225" s="0" t="n">
        <f aca="false">J225*J225</f>
        <v>1</v>
      </c>
      <c r="Z225" s="0" t="n">
        <f aca="false">K225*K225</f>
        <v>1</v>
      </c>
      <c r="AA225" s="0" t="n">
        <f aca="false">L225*L225</f>
        <v>0</v>
      </c>
      <c r="AB225" s="0" t="n">
        <f aca="false">SUMPRODUCT(M225:AA225,_XtX!$B$96:$P$96)</f>
        <v>48.5851038011695</v>
      </c>
      <c r="AC225" s="0" t="n">
        <f aca="false">SUMPRODUCT(MMULT(M225:AA225,_XtX!$B$78:$P$92),M225:AA225)</f>
        <v>0.674284210526316</v>
      </c>
      <c r="AD225" s="0" t="n">
        <f aca="false">AB225-04_回帰ANOVA!$K$19*04_回帰ANOVA!$K$14*SQRT(1+AC225)</f>
        <v>46.8985003544009</v>
      </c>
      <c r="AE225" s="0" t="n">
        <f aca="false">AB225+04_回帰ANOVA!$K$19*04_回帰ANOVA!$K$14*SQRT(1+AC225)</f>
        <v>50.2717072479382</v>
      </c>
      <c r="AF225" s="54" t="b">
        <f aca="false">AND(I225&gt;=01_因子設定!$L$5-0.000000001,I225&lt;=01_因子設定!$M$5+0.000000001,J225&gt;=01_因子設定!$L$6-0.000000001,J225&lt;=01_因子設定!$M$6+0.000000001,K225&gt;=01_因子設定!$L$7-0.000000001,K225&lt;=01_因子設定!$M$7+0.000000001,L225&gt;=01_因子設定!$L$8-0.000000001,L225&lt;=01_因子設定!$M$8+0.000000001,IF(01_因子設定!$B$20="Box-Behnken",I225^2+J225^2+K225^2+L225^2&lt;=2+0.000000001,TRUE()))</f>
        <v>1</v>
      </c>
      <c r="AG225" s="55" t="n">
        <f aca="false">IF(01_因子設定!$B$13="最大化",AD225-01_因子設定!$B$14,IF(01_因子設定!$B$13="最小化",01_因子設定!$B$15-AE225,MIN(AD225-01_因子設定!$B$14,01_因子設定!$B$15-AE225)))</f>
        <v>0.398500354400902</v>
      </c>
    </row>
    <row r="226" customFormat="false" ht="15" hidden="false" customHeight="false" outlineLevel="0" collapsed="false">
      <c r="A226" s="0" t="n">
        <v>1</v>
      </c>
      <c r="B226" s="0" t="n">
        <v>2</v>
      </c>
      <c r="C226" s="0" t="n">
        <v>2</v>
      </c>
      <c r="D226" s="0" t="n">
        <v>2</v>
      </c>
      <c r="E226" s="0" t="n">
        <f aca="false">08_工程窓!$C$76+A226*(08_工程窓!$D$76-08_工程窓!$C$76)/2</f>
        <v>68.5</v>
      </c>
      <c r="F226" s="0" t="n">
        <f aca="false">08_工程窓!$C$77+B226*(08_工程窓!$D$77-08_工程窓!$C$77)/2</f>
        <v>40</v>
      </c>
      <c r="G226" s="0" t="n">
        <f aca="false">08_工程窓!$C$78+C226*(08_工程窓!$D$78-08_工程窓!$C$78)/2</f>
        <v>3</v>
      </c>
      <c r="H226" s="0" t="n">
        <f aca="false">08_工程窓!$C$79+D226*(08_工程窓!$D$79-08_工程窓!$C$79)/2</f>
        <v>60</v>
      </c>
      <c r="I226" s="0" t="n">
        <f aca="false">(E226-01_因子設定!$G$5)/01_因子設定!$H$5</f>
        <v>0.35</v>
      </c>
      <c r="J226" s="0" t="n">
        <f aca="false">(F226-01_因子設定!$G$6)/01_因子設定!$H$6</f>
        <v>1</v>
      </c>
      <c r="K226" s="0" t="n">
        <f aca="false">(G226-01_因子設定!$G$7)/01_因子設定!$H$7</f>
        <v>1</v>
      </c>
      <c r="L226" s="0" t="n">
        <f aca="false">(H226-01_因子設定!$G$8)/01_因子設定!$H$8</f>
        <v>1</v>
      </c>
      <c r="M226" s="0" t="n">
        <f aca="false">1</f>
        <v>1</v>
      </c>
      <c r="N226" s="0" t="n">
        <f aca="false">I226</f>
        <v>0.35</v>
      </c>
      <c r="O226" s="0" t="n">
        <f aca="false">J226</f>
        <v>1</v>
      </c>
      <c r="P226" s="0" t="n">
        <f aca="false">K226</f>
        <v>1</v>
      </c>
      <c r="Q226" s="0" t="n">
        <f aca="false">L226</f>
        <v>1</v>
      </c>
      <c r="R226" s="0" t="n">
        <f aca="false">I226*J226</f>
        <v>0.35</v>
      </c>
      <c r="S226" s="0" t="n">
        <f aca="false">I226*K226</f>
        <v>0.35</v>
      </c>
      <c r="T226" s="0" t="n">
        <f aca="false">I226*L226</f>
        <v>0.35</v>
      </c>
      <c r="U226" s="0" t="n">
        <f aca="false">J226*K226</f>
        <v>1</v>
      </c>
      <c r="V226" s="0" t="n">
        <f aca="false">J226*L226</f>
        <v>1</v>
      </c>
      <c r="W226" s="0" t="n">
        <f aca="false">K226*L226</f>
        <v>1</v>
      </c>
      <c r="X226" s="0" t="n">
        <f aca="false">I226*I226</f>
        <v>0.1225</v>
      </c>
      <c r="Y226" s="0" t="n">
        <f aca="false">J226*J226</f>
        <v>1</v>
      </c>
      <c r="Z226" s="0" t="n">
        <f aca="false">K226*K226</f>
        <v>1</v>
      </c>
      <c r="AA226" s="0" t="n">
        <f aca="false">L226*L226</f>
        <v>1</v>
      </c>
      <c r="AB226" s="0" t="n">
        <f aca="false">SUMPRODUCT(M226:AA226,_XtX!$B$96:$P$96)</f>
        <v>48.7269532163743</v>
      </c>
      <c r="AC226" s="0" t="n">
        <f aca="false">SUMPRODUCT(MMULT(M226:AA226,_XtX!$B$78:$P$92),M226:AA226)</f>
        <v>0.711750402046784</v>
      </c>
      <c r="AD226" s="0" t="n">
        <f aca="false">AB226-04_回帰ANOVA!$K$19*04_回帰ANOVA!$K$14*SQRT(1+AC226)</f>
        <v>47.0215832432153</v>
      </c>
      <c r="AE226" s="0" t="n">
        <f aca="false">AB226+04_回帰ANOVA!$K$19*04_回帰ANOVA!$K$14*SQRT(1+AC226)</f>
        <v>50.4323231895332</v>
      </c>
      <c r="AF226" s="54" t="b">
        <f aca="false">AND(I226&gt;=01_因子設定!$L$5-0.000000001,I226&lt;=01_因子設定!$M$5+0.000000001,J226&gt;=01_因子設定!$L$6-0.000000001,J226&lt;=01_因子設定!$M$6+0.000000001,K226&gt;=01_因子設定!$L$7-0.000000001,K226&lt;=01_因子設定!$M$7+0.000000001,L226&gt;=01_因子設定!$L$8-0.000000001,L226&lt;=01_因子設定!$M$8+0.000000001,IF(01_因子設定!$B$20="Box-Behnken",I226^2+J226^2+K226^2+L226^2&lt;=2+0.000000001,TRUE()))</f>
        <v>1</v>
      </c>
      <c r="AG226" s="55" t="n">
        <f aca="false">IF(01_因子設定!$B$13="最大化",AD226-01_因子設定!$B$14,IF(01_因子設定!$B$13="最小化",01_因子設定!$B$15-AE226,MIN(AD226-01_因子設定!$B$14,01_因子設定!$B$15-AE226)))</f>
        <v>0.521583243215304</v>
      </c>
    </row>
    <row r="227" customFormat="false" ht="15" hidden="false" customHeight="false" outlineLevel="0" collapsed="false">
      <c r="A227" s="0" t="n">
        <v>2</v>
      </c>
      <c r="B227" s="0" t="n">
        <v>0</v>
      </c>
      <c r="C227" s="0" t="n">
        <v>0</v>
      </c>
      <c r="D227" s="0" t="n">
        <v>0</v>
      </c>
      <c r="E227" s="0" t="n">
        <f aca="false">08_工程窓!$C$76+A227*(08_工程窓!$D$76-08_工程窓!$C$76)/2</f>
        <v>75</v>
      </c>
      <c r="F227" s="0" t="n">
        <f aca="false">08_工程窓!$C$77+B227*(08_工程窓!$D$77-08_工程窓!$C$77)/2</f>
        <v>28</v>
      </c>
      <c r="G227" s="0" t="n">
        <f aca="false">08_工程窓!$C$78+C227*(08_工程窓!$D$78-08_工程窓!$C$78)/2</f>
        <v>1.25</v>
      </c>
      <c r="H227" s="0" t="n">
        <f aca="false">08_工程窓!$C$79+D227*(08_工程窓!$D$79-08_工程窓!$C$79)/2</f>
        <v>20</v>
      </c>
      <c r="I227" s="0" t="n">
        <f aca="false">(E227-01_因子設定!$G$5)/01_因子設定!$H$5</f>
        <v>1</v>
      </c>
      <c r="J227" s="0" t="n">
        <f aca="false">(F227-01_因子設定!$G$6)/01_因子設定!$H$6</f>
        <v>-0.2</v>
      </c>
      <c r="K227" s="0" t="n">
        <f aca="false">(G227-01_因子設定!$G$7)/01_因子設定!$H$7</f>
        <v>-0.75</v>
      </c>
      <c r="L227" s="0" t="n">
        <f aca="false">(H227-01_因子設定!$G$8)/01_因子設定!$H$8</f>
        <v>-1</v>
      </c>
      <c r="M227" s="0" t="n">
        <f aca="false">1</f>
        <v>1</v>
      </c>
      <c r="N227" s="0" t="n">
        <f aca="false">I227</f>
        <v>1</v>
      </c>
      <c r="O227" s="0" t="n">
        <f aca="false">J227</f>
        <v>-0.2</v>
      </c>
      <c r="P227" s="0" t="n">
        <f aca="false">K227</f>
        <v>-0.75</v>
      </c>
      <c r="Q227" s="0" t="n">
        <f aca="false">L227</f>
        <v>-1</v>
      </c>
      <c r="R227" s="0" t="n">
        <f aca="false">I227*J227</f>
        <v>-0.2</v>
      </c>
      <c r="S227" s="0" t="n">
        <f aca="false">I227*K227</f>
        <v>-0.75</v>
      </c>
      <c r="T227" s="0" t="n">
        <f aca="false">I227*L227</f>
        <v>-1</v>
      </c>
      <c r="U227" s="0" t="n">
        <f aca="false">J227*K227</f>
        <v>0.15</v>
      </c>
      <c r="V227" s="0" t="n">
        <f aca="false">J227*L227</f>
        <v>0.2</v>
      </c>
      <c r="W227" s="0" t="n">
        <f aca="false">K227*L227</f>
        <v>0.75</v>
      </c>
      <c r="X227" s="0" t="n">
        <f aca="false">I227*I227</f>
        <v>1</v>
      </c>
      <c r="Y227" s="0" t="n">
        <f aca="false">J227*J227</f>
        <v>0.04</v>
      </c>
      <c r="Z227" s="0" t="n">
        <f aca="false">K227*K227</f>
        <v>0.5625</v>
      </c>
      <c r="AA227" s="0" t="n">
        <f aca="false">L227*L227</f>
        <v>1</v>
      </c>
      <c r="AB227" s="0" t="n">
        <f aca="false">SUMPRODUCT(M227:AA227,_XtX!$B$96:$P$96)</f>
        <v>45.2569137426901</v>
      </c>
      <c r="AC227" s="0" t="n">
        <f aca="false">SUMPRODUCT(MMULT(M227:AA227,_XtX!$B$78:$P$92),M227:AA227)</f>
        <v>0.629962390350877</v>
      </c>
      <c r="AD227" s="0" t="n">
        <f aca="false">AB227-04_回帰ANOVA!$K$19*04_回帰ANOVA!$K$14*SQRT(1+AC227)</f>
        <v>43.5927839930905</v>
      </c>
      <c r="AE227" s="0" t="n">
        <f aca="false">AB227+04_回帰ANOVA!$K$19*04_回帰ANOVA!$K$14*SQRT(1+AC227)</f>
        <v>46.9210434922898</v>
      </c>
      <c r="AF227" s="54" t="b">
        <f aca="false">AND(I227&gt;=01_因子設定!$L$5-0.000000001,I227&lt;=01_因子設定!$M$5+0.000000001,J227&gt;=01_因子設定!$L$6-0.000000001,J227&lt;=01_因子設定!$M$6+0.000000001,K227&gt;=01_因子設定!$L$7-0.000000001,K227&lt;=01_因子設定!$M$7+0.000000001,L227&gt;=01_因子設定!$L$8-0.000000001,L227&lt;=01_因子設定!$M$8+0.000000001,IF(01_因子設定!$B$20="Box-Behnken",I227^2+J227^2+K227^2+L227^2&lt;=2+0.000000001,TRUE()))</f>
        <v>1</v>
      </c>
      <c r="AG227" s="55" t="n">
        <f aca="false">IF(01_因子設定!$B$13="最大化",AD227-01_因子設定!$B$14,IF(01_因子設定!$B$13="最小化",01_因子設定!$B$15-AE227,MIN(AD227-01_因子設定!$B$14,01_因子設定!$B$15-AE227)))</f>
        <v>-2.90721600690954</v>
      </c>
    </row>
    <row r="228" customFormat="false" ht="15" hidden="false" customHeight="false" outlineLevel="0" collapsed="false">
      <c r="A228" s="0" t="n">
        <v>2</v>
      </c>
      <c r="B228" s="0" t="n">
        <v>0</v>
      </c>
      <c r="C228" s="0" t="n">
        <v>0</v>
      </c>
      <c r="D228" s="0" t="n">
        <v>1</v>
      </c>
      <c r="E228" s="0" t="n">
        <f aca="false">08_工程窓!$C$76+A228*(08_工程窓!$D$76-08_工程窓!$C$76)/2</f>
        <v>75</v>
      </c>
      <c r="F228" s="0" t="n">
        <f aca="false">08_工程窓!$C$77+B228*(08_工程窓!$D$77-08_工程窓!$C$77)/2</f>
        <v>28</v>
      </c>
      <c r="G228" s="0" t="n">
        <f aca="false">08_工程窓!$C$78+C228*(08_工程窓!$D$78-08_工程窓!$C$78)/2</f>
        <v>1.25</v>
      </c>
      <c r="H228" s="0" t="n">
        <f aca="false">08_工程窓!$C$79+D228*(08_工程窓!$D$79-08_工程窓!$C$79)/2</f>
        <v>40</v>
      </c>
      <c r="I228" s="0" t="n">
        <f aca="false">(E228-01_因子設定!$G$5)/01_因子設定!$H$5</f>
        <v>1</v>
      </c>
      <c r="J228" s="0" t="n">
        <f aca="false">(F228-01_因子設定!$G$6)/01_因子設定!$H$6</f>
        <v>-0.2</v>
      </c>
      <c r="K228" s="0" t="n">
        <f aca="false">(G228-01_因子設定!$G$7)/01_因子設定!$H$7</f>
        <v>-0.75</v>
      </c>
      <c r="L228" s="0" t="n">
        <f aca="false">(H228-01_因子設定!$G$8)/01_因子設定!$H$8</f>
        <v>0</v>
      </c>
      <c r="M228" s="0" t="n">
        <f aca="false">1</f>
        <v>1</v>
      </c>
      <c r="N228" s="0" t="n">
        <f aca="false">I228</f>
        <v>1</v>
      </c>
      <c r="O228" s="0" t="n">
        <f aca="false">J228</f>
        <v>-0.2</v>
      </c>
      <c r="P228" s="0" t="n">
        <f aca="false">K228</f>
        <v>-0.75</v>
      </c>
      <c r="Q228" s="0" t="n">
        <f aca="false">L228</f>
        <v>0</v>
      </c>
      <c r="R228" s="0" t="n">
        <f aca="false">I228*J228</f>
        <v>-0.2</v>
      </c>
      <c r="S228" s="0" t="n">
        <f aca="false">I228*K228</f>
        <v>-0.75</v>
      </c>
      <c r="T228" s="0" t="n">
        <f aca="false">I228*L228</f>
        <v>0</v>
      </c>
      <c r="U228" s="0" t="n">
        <f aca="false">J228*K228</f>
        <v>0.15</v>
      </c>
      <c r="V228" s="0" t="n">
        <f aca="false">J228*L228</f>
        <v>-0</v>
      </c>
      <c r="W228" s="0" t="n">
        <f aca="false">K228*L228</f>
        <v>-0</v>
      </c>
      <c r="X228" s="0" t="n">
        <f aca="false">I228*I228</f>
        <v>1</v>
      </c>
      <c r="Y228" s="0" t="n">
        <f aca="false">J228*J228</f>
        <v>0.04</v>
      </c>
      <c r="Z228" s="0" t="n">
        <f aca="false">K228*K228</f>
        <v>0.5625</v>
      </c>
      <c r="AA228" s="0" t="n">
        <f aca="false">L228*L228</f>
        <v>0</v>
      </c>
      <c r="AB228" s="0" t="n">
        <f aca="false">SUMPRODUCT(M228:AA228,_XtX!$B$96:$P$96)</f>
        <v>45.9968004385965</v>
      </c>
      <c r="AC228" s="0" t="n">
        <f aca="false">SUMPRODUCT(MMULT(M228:AA228,_XtX!$B$78:$P$92),M228:AA228)</f>
        <v>0.506399707602339</v>
      </c>
      <c r="AD228" s="0" t="n">
        <f aca="false">AB228-04_回帰ANOVA!$K$19*04_回帰ANOVA!$K$14*SQRT(1+AC228)</f>
        <v>44.3969900814576</v>
      </c>
      <c r="AE228" s="0" t="n">
        <f aca="false">AB228+04_回帰ANOVA!$K$19*04_回帰ANOVA!$K$14*SQRT(1+AC228)</f>
        <v>47.5966107957355</v>
      </c>
      <c r="AF228" s="54" t="b">
        <f aca="false">AND(I228&gt;=01_因子設定!$L$5-0.000000001,I228&lt;=01_因子設定!$M$5+0.000000001,J228&gt;=01_因子設定!$L$6-0.000000001,J228&lt;=01_因子設定!$M$6+0.000000001,K228&gt;=01_因子設定!$L$7-0.000000001,K228&lt;=01_因子設定!$M$7+0.000000001,L228&gt;=01_因子設定!$L$8-0.000000001,L228&lt;=01_因子設定!$M$8+0.000000001,IF(01_因子設定!$B$20="Box-Behnken",I228^2+J228^2+K228^2+L228^2&lt;=2+0.000000001,TRUE()))</f>
        <v>1</v>
      </c>
      <c r="AG228" s="55" t="n">
        <f aca="false">IF(01_因子設定!$B$13="最大化",AD228-01_因子設定!$B$14,IF(01_因子設定!$B$13="最小化",01_因子設定!$B$15-AE228,MIN(AD228-01_因子設定!$B$14,01_因子設定!$B$15-AE228)))</f>
        <v>-2.10300991854245</v>
      </c>
    </row>
    <row r="229" customFormat="false" ht="15" hidden="false" customHeight="false" outlineLevel="0" collapsed="false">
      <c r="A229" s="0" t="n">
        <v>2</v>
      </c>
      <c r="B229" s="0" t="n">
        <v>0</v>
      </c>
      <c r="C229" s="0" t="n">
        <v>0</v>
      </c>
      <c r="D229" s="0" t="n">
        <v>2</v>
      </c>
      <c r="E229" s="0" t="n">
        <f aca="false">08_工程窓!$C$76+A229*(08_工程窓!$D$76-08_工程窓!$C$76)/2</f>
        <v>75</v>
      </c>
      <c r="F229" s="0" t="n">
        <f aca="false">08_工程窓!$C$77+B229*(08_工程窓!$D$77-08_工程窓!$C$77)/2</f>
        <v>28</v>
      </c>
      <c r="G229" s="0" t="n">
        <f aca="false">08_工程窓!$C$78+C229*(08_工程窓!$D$78-08_工程窓!$C$78)/2</f>
        <v>1.25</v>
      </c>
      <c r="H229" s="0" t="n">
        <f aca="false">08_工程窓!$C$79+D229*(08_工程窓!$D$79-08_工程窓!$C$79)/2</f>
        <v>60</v>
      </c>
      <c r="I229" s="0" t="n">
        <f aca="false">(E229-01_因子設定!$G$5)/01_因子設定!$H$5</f>
        <v>1</v>
      </c>
      <c r="J229" s="0" t="n">
        <f aca="false">(F229-01_因子設定!$G$6)/01_因子設定!$H$6</f>
        <v>-0.2</v>
      </c>
      <c r="K229" s="0" t="n">
        <f aca="false">(G229-01_因子設定!$G$7)/01_因子設定!$H$7</f>
        <v>-0.75</v>
      </c>
      <c r="L229" s="0" t="n">
        <f aca="false">(H229-01_因子設定!$G$8)/01_因子設定!$H$8</f>
        <v>1</v>
      </c>
      <c r="M229" s="0" t="n">
        <f aca="false">1</f>
        <v>1</v>
      </c>
      <c r="N229" s="0" t="n">
        <f aca="false">I229</f>
        <v>1</v>
      </c>
      <c r="O229" s="0" t="n">
        <f aca="false">J229</f>
        <v>-0.2</v>
      </c>
      <c r="P229" s="0" t="n">
        <f aca="false">K229</f>
        <v>-0.75</v>
      </c>
      <c r="Q229" s="0" t="n">
        <f aca="false">L229</f>
        <v>1</v>
      </c>
      <c r="R229" s="0" t="n">
        <f aca="false">I229*J229</f>
        <v>-0.2</v>
      </c>
      <c r="S229" s="0" t="n">
        <f aca="false">I229*K229</f>
        <v>-0.75</v>
      </c>
      <c r="T229" s="0" t="n">
        <f aca="false">I229*L229</f>
        <v>1</v>
      </c>
      <c r="U229" s="0" t="n">
        <f aca="false">J229*K229</f>
        <v>0.15</v>
      </c>
      <c r="V229" s="0" t="n">
        <f aca="false">J229*L229</f>
        <v>-0.2</v>
      </c>
      <c r="W229" s="0" t="n">
        <f aca="false">K229*L229</f>
        <v>-0.75</v>
      </c>
      <c r="X229" s="0" t="n">
        <f aca="false">I229*I229</f>
        <v>1</v>
      </c>
      <c r="Y229" s="0" t="n">
        <f aca="false">J229*J229</f>
        <v>0.04</v>
      </c>
      <c r="Z229" s="0" t="n">
        <f aca="false">K229*K229</f>
        <v>0.5625</v>
      </c>
      <c r="AA229" s="0" t="n">
        <f aca="false">L229*L229</f>
        <v>1</v>
      </c>
      <c r="AB229" s="0" t="n">
        <f aca="false">SUMPRODUCT(M229:AA229,_XtX!$B$96:$P$96)</f>
        <v>45.9717748538012</v>
      </c>
      <c r="AC229" s="0" t="n">
        <f aca="false">SUMPRODUCT(MMULT(M229:AA229,_XtX!$B$78:$P$92),M229:AA229)</f>
        <v>0.629962390350877</v>
      </c>
      <c r="AD229" s="0" t="n">
        <f aca="false">AB229-04_回帰ANOVA!$K$19*04_回帰ANOVA!$K$14*SQRT(1+AC229)</f>
        <v>44.3076451042016</v>
      </c>
      <c r="AE229" s="0" t="n">
        <f aca="false">AB229+04_回帰ANOVA!$K$19*04_回帰ANOVA!$K$14*SQRT(1+AC229)</f>
        <v>47.6359046034009</v>
      </c>
      <c r="AF229" s="54" t="b">
        <f aca="false">AND(I229&gt;=01_因子設定!$L$5-0.000000001,I229&lt;=01_因子設定!$M$5+0.000000001,J229&gt;=01_因子設定!$L$6-0.000000001,J229&lt;=01_因子設定!$M$6+0.000000001,K229&gt;=01_因子設定!$L$7-0.000000001,K229&lt;=01_因子設定!$M$7+0.000000001,L229&gt;=01_因子設定!$L$8-0.000000001,L229&lt;=01_因子設定!$M$8+0.000000001,IF(01_因子設定!$B$20="Box-Behnken",I229^2+J229^2+K229^2+L229^2&lt;=2+0.000000001,TRUE()))</f>
        <v>1</v>
      </c>
      <c r="AG229" s="55" t="n">
        <f aca="false">IF(01_因子設定!$B$13="最大化",AD229-01_因子設定!$B$14,IF(01_因子設定!$B$13="最小化",01_因子設定!$B$15-AE229,MIN(AD229-01_因子設定!$B$14,01_因子設定!$B$15-AE229)))</f>
        <v>-2.19235489579842</v>
      </c>
    </row>
    <row r="230" customFormat="false" ht="15" hidden="false" customHeight="false" outlineLevel="0" collapsed="false">
      <c r="A230" s="0" t="n">
        <v>2</v>
      </c>
      <c r="B230" s="0" t="n">
        <v>0</v>
      </c>
      <c r="C230" s="0" t="n">
        <v>1</v>
      </c>
      <c r="D230" s="0" t="n">
        <v>0</v>
      </c>
      <c r="E230" s="0" t="n">
        <f aca="false">08_工程窓!$C$76+A230*(08_工程窓!$D$76-08_工程窓!$C$76)/2</f>
        <v>75</v>
      </c>
      <c r="F230" s="0" t="n">
        <f aca="false">08_工程窓!$C$77+B230*(08_工程窓!$D$77-08_工程窓!$C$77)/2</f>
        <v>28</v>
      </c>
      <c r="G230" s="0" t="n">
        <f aca="false">08_工程窓!$C$78+C230*(08_工程窓!$D$78-08_工程窓!$C$78)/2</f>
        <v>2.125</v>
      </c>
      <c r="H230" s="0" t="n">
        <f aca="false">08_工程窓!$C$79+D230*(08_工程窓!$D$79-08_工程窓!$C$79)/2</f>
        <v>20</v>
      </c>
      <c r="I230" s="0" t="n">
        <f aca="false">(E230-01_因子設定!$G$5)/01_因子設定!$H$5</f>
        <v>1</v>
      </c>
      <c r="J230" s="0" t="n">
        <f aca="false">(F230-01_因子設定!$G$6)/01_因子設定!$H$6</f>
        <v>-0.2</v>
      </c>
      <c r="K230" s="0" t="n">
        <f aca="false">(G230-01_因子設定!$G$7)/01_因子設定!$H$7</f>
        <v>0.125</v>
      </c>
      <c r="L230" s="0" t="n">
        <f aca="false">(H230-01_因子設定!$G$8)/01_因子設定!$H$8</f>
        <v>-1</v>
      </c>
      <c r="M230" s="0" t="n">
        <f aca="false">1</f>
        <v>1</v>
      </c>
      <c r="N230" s="0" t="n">
        <f aca="false">I230</f>
        <v>1</v>
      </c>
      <c r="O230" s="0" t="n">
        <f aca="false">J230</f>
        <v>-0.2</v>
      </c>
      <c r="P230" s="0" t="n">
        <f aca="false">K230</f>
        <v>0.125</v>
      </c>
      <c r="Q230" s="0" t="n">
        <f aca="false">L230</f>
        <v>-1</v>
      </c>
      <c r="R230" s="0" t="n">
        <f aca="false">I230*J230</f>
        <v>-0.2</v>
      </c>
      <c r="S230" s="0" t="n">
        <f aca="false">I230*K230</f>
        <v>0.125</v>
      </c>
      <c r="T230" s="0" t="n">
        <f aca="false">I230*L230</f>
        <v>-1</v>
      </c>
      <c r="U230" s="0" t="n">
        <f aca="false">J230*K230</f>
        <v>-0.025</v>
      </c>
      <c r="V230" s="0" t="n">
        <f aca="false">J230*L230</f>
        <v>0.2</v>
      </c>
      <c r="W230" s="0" t="n">
        <f aca="false">K230*L230</f>
        <v>-0.125</v>
      </c>
      <c r="X230" s="0" t="n">
        <f aca="false">I230*I230</f>
        <v>1</v>
      </c>
      <c r="Y230" s="0" t="n">
        <f aca="false">J230*J230</f>
        <v>0.04</v>
      </c>
      <c r="Z230" s="0" t="n">
        <f aca="false">K230*K230</f>
        <v>0.015625</v>
      </c>
      <c r="AA230" s="0" t="n">
        <f aca="false">L230*L230</f>
        <v>1</v>
      </c>
      <c r="AB230" s="0" t="n">
        <f aca="false">SUMPRODUCT(M230:AA230,_XtX!$B$96:$P$96)</f>
        <v>45.6155486111112</v>
      </c>
      <c r="AC230" s="0" t="n">
        <f aca="false">SUMPRODUCT(MMULT(M230:AA230,_XtX!$B$78:$P$92),M230:AA230)</f>
        <v>0.691050086805556</v>
      </c>
      <c r="AD230" s="0" t="n">
        <f aca="false">AB230-04_回帰ANOVA!$K$19*04_回帰ANOVA!$K$14*SQRT(1+AC230)</f>
        <v>43.9205215806816</v>
      </c>
      <c r="AE230" s="0" t="n">
        <f aca="false">AB230+04_回帰ANOVA!$K$19*04_回帰ANOVA!$K$14*SQRT(1+AC230)</f>
        <v>47.3105756415408</v>
      </c>
      <c r="AF230" s="54" t="b">
        <f aca="false">AND(I230&gt;=01_因子設定!$L$5-0.000000001,I230&lt;=01_因子設定!$M$5+0.000000001,J230&gt;=01_因子設定!$L$6-0.000000001,J230&lt;=01_因子設定!$M$6+0.000000001,K230&gt;=01_因子設定!$L$7-0.000000001,K230&lt;=01_因子設定!$M$7+0.000000001,L230&gt;=01_因子設定!$L$8-0.000000001,L230&lt;=01_因子設定!$M$8+0.000000001,IF(01_因子設定!$B$20="Box-Behnken",I230^2+J230^2+K230^2+L230^2&lt;=2+0.000000001,TRUE()))</f>
        <v>1</v>
      </c>
      <c r="AG230" s="55" t="n">
        <f aca="false">IF(01_因子設定!$B$13="最大化",AD230-01_因子設定!$B$14,IF(01_因子設定!$B$13="最小化",01_因子設定!$B$15-AE230,MIN(AD230-01_因子設定!$B$14,01_因子設定!$B$15-AE230)))</f>
        <v>-2.57947841931841</v>
      </c>
    </row>
    <row r="231" customFormat="false" ht="15" hidden="false" customHeight="false" outlineLevel="0" collapsed="false">
      <c r="A231" s="0" t="n">
        <v>2</v>
      </c>
      <c r="B231" s="0" t="n">
        <v>0</v>
      </c>
      <c r="C231" s="0" t="n">
        <v>1</v>
      </c>
      <c r="D231" s="0" t="n">
        <v>1</v>
      </c>
      <c r="E231" s="0" t="n">
        <f aca="false">08_工程窓!$C$76+A231*(08_工程窓!$D$76-08_工程窓!$C$76)/2</f>
        <v>75</v>
      </c>
      <c r="F231" s="0" t="n">
        <f aca="false">08_工程窓!$C$77+B231*(08_工程窓!$D$77-08_工程窓!$C$77)/2</f>
        <v>28</v>
      </c>
      <c r="G231" s="0" t="n">
        <f aca="false">08_工程窓!$C$78+C231*(08_工程窓!$D$78-08_工程窓!$C$78)/2</f>
        <v>2.125</v>
      </c>
      <c r="H231" s="0" t="n">
        <f aca="false">08_工程窓!$C$79+D231*(08_工程窓!$D$79-08_工程窓!$C$79)/2</f>
        <v>40</v>
      </c>
      <c r="I231" s="0" t="n">
        <f aca="false">(E231-01_因子設定!$G$5)/01_因子設定!$H$5</f>
        <v>1</v>
      </c>
      <c r="J231" s="0" t="n">
        <f aca="false">(F231-01_因子設定!$G$6)/01_因子設定!$H$6</f>
        <v>-0.2</v>
      </c>
      <c r="K231" s="0" t="n">
        <f aca="false">(G231-01_因子設定!$G$7)/01_因子設定!$H$7</f>
        <v>0.125</v>
      </c>
      <c r="L231" s="0" t="n">
        <f aca="false">(H231-01_因子設定!$G$8)/01_因子設定!$H$8</f>
        <v>0</v>
      </c>
      <c r="M231" s="0" t="n">
        <f aca="false">1</f>
        <v>1</v>
      </c>
      <c r="N231" s="0" t="n">
        <f aca="false">I231</f>
        <v>1</v>
      </c>
      <c r="O231" s="0" t="n">
        <f aca="false">J231</f>
        <v>-0.2</v>
      </c>
      <c r="P231" s="0" t="n">
        <f aca="false">K231</f>
        <v>0.125</v>
      </c>
      <c r="Q231" s="0" t="n">
        <f aca="false">L231</f>
        <v>0</v>
      </c>
      <c r="R231" s="0" t="n">
        <f aca="false">I231*J231</f>
        <v>-0.2</v>
      </c>
      <c r="S231" s="0" t="n">
        <f aca="false">I231*K231</f>
        <v>0.125</v>
      </c>
      <c r="T231" s="0" t="n">
        <f aca="false">I231*L231</f>
        <v>0</v>
      </c>
      <c r="U231" s="0" t="n">
        <f aca="false">J231*K231</f>
        <v>-0.025</v>
      </c>
      <c r="V231" s="0" t="n">
        <f aca="false">J231*L231</f>
        <v>-0</v>
      </c>
      <c r="W231" s="0" t="n">
        <f aca="false">K231*L231</f>
        <v>0</v>
      </c>
      <c r="X231" s="0" t="n">
        <f aca="false">I231*I231</f>
        <v>1</v>
      </c>
      <c r="Y231" s="0" t="n">
        <f aca="false">J231*J231</f>
        <v>0.04</v>
      </c>
      <c r="Z231" s="0" t="n">
        <f aca="false">K231*K231</f>
        <v>0.015625</v>
      </c>
      <c r="AA231" s="0" t="n">
        <f aca="false">L231*L231</f>
        <v>0</v>
      </c>
      <c r="AB231" s="0" t="n">
        <f aca="false">SUMPRODUCT(M231:AA231,_XtX!$B$96:$P$96)</f>
        <v>46.6069978070176</v>
      </c>
      <c r="AC231" s="0" t="n">
        <f aca="false">SUMPRODUCT(MMULT(M231:AA231,_XtX!$B$78:$P$92),M231:AA231)</f>
        <v>0.476941214364035</v>
      </c>
      <c r="AD231" s="0" t="n">
        <f aca="false">AB231-04_回帰ANOVA!$K$19*04_回帰ANOVA!$K$14*SQRT(1+AC231)</f>
        <v>45.022907277342</v>
      </c>
      <c r="AE231" s="0" t="n">
        <f aca="false">AB231+04_回帰ANOVA!$K$19*04_回帰ANOVA!$K$14*SQRT(1+AC231)</f>
        <v>48.1910883366931</v>
      </c>
      <c r="AF231" s="54" t="b">
        <f aca="false">AND(I231&gt;=01_因子設定!$L$5-0.000000001,I231&lt;=01_因子設定!$M$5+0.000000001,J231&gt;=01_因子設定!$L$6-0.000000001,J231&lt;=01_因子設定!$M$6+0.000000001,K231&gt;=01_因子設定!$L$7-0.000000001,K231&lt;=01_因子設定!$M$7+0.000000001,L231&gt;=01_因子設定!$L$8-0.000000001,L231&lt;=01_因子設定!$M$8+0.000000001,IF(01_因子設定!$B$20="Box-Behnken",I231^2+J231^2+K231^2+L231^2&lt;=2+0.000000001,TRUE()))</f>
        <v>1</v>
      </c>
      <c r="AG231" s="55" t="n">
        <f aca="false">IF(01_因子設定!$B$13="最大化",AD231-01_因子設定!$B$14,IF(01_因子設定!$B$13="最小化",01_因子設定!$B$15-AE231,MIN(AD231-01_因子設定!$B$14,01_因子設定!$B$15-AE231)))</f>
        <v>-1.47709272265796</v>
      </c>
    </row>
    <row r="232" customFormat="false" ht="15" hidden="false" customHeight="false" outlineLevel="0" collapsed="false">
      <c r="A232" s="0" t="n">
        <v>2</v>
      </c>
      <c r="B232" s="0" t="n">
        <v>0</v>
      </c>
      <c r="C232" s="0" t="n">
        <v>1</v>
      </c>
      <c r="D232" s="0" t="n">
        <v>2</v>
      </c>
      <c r="E232" s="0" t="n">
        <f aca="false">08_工程窓!$C$76+A232*(08_工程窓!$D$76-08_工程窓!$C$76)/2</f>
        <v>75</v>
      </c>
      <c r="F232" s="0" t="n">
        <f aca="false">08_工程窓!$C$77+B232*(08_工程窓!$D$77-08_工程窓!$C$77)/2</f>
        <v>28</v>
      </c>
      <c r="G232" s="0" t="n">
        <f aca="false">08_工程窓!$C$78+C232*(08_工程窓!$D$78-08_工程窓!$C$78)/2</f>
        <v>2.125</v>
      </c>
      <c r="H232" s="0" t="n">
        <f aca="false">08_工程窓!$C$79+D232*(08_工程窓!$D$79-08_工程窓!$C$79)/2</f>
        <v>60</v>
      </c>
      <c r="I232" s="0" t="n">
        <f aca="false">(E232-01_因子設定!$G$5)/01_因子設定!$H$5</f>
        <v>1</v>
      </c>
      <c r="J232" s="0" t="n">
        <f aca="false">(F232-01_因子設定!$G$6)/01_因子設定!$H$6</f>
        <v>-0.2</v>
      </c>
      <c r="K232" s="0" t="n">
        <f aca="false">(G232-01_因子設定!$G$7)/01_因子設定!$H$7</f>
        <v>0.125</v>
      </c>
      <c r="L232" s="0" t="n">
        <f aca="false">(H232-01_因子設定!$G$8)/01_因子設定!$H$8</f>
        <v>1</v>
      </c>
      <c r="M232" s="0" t="n">
        <f aca="false">1</f>
        <v>1</v>
      </c>
      <c r="N232" s="0" t="n">
        <f aca="false">I232</f>
        <v>1</v>
      </c>
      <c r="O232" s="0" t="n">
        <f aca="false">J232</f>
        <v>-0.2</v>
      </c>
      <c r="P232" s="0" t="n">
        <f aca="false">K232</f>
        <v>0.125</v>
      </c>
      <c r="Q232" s="0" t="n">
        <f aca="false">L232</f>
        <v>1</v>
      </c>
      <c r="R232" s="0" t="n">
        <f aca="false">I232*J232</f>
        <v>-0.2</v>
      </c>
      <c r="S232" s="0" t="n">
        <f aca="false">I232*K232</f>
        <v>0.125</v>
      </c>
      <c r="T232" s="0" t="n">
        <f aca="false">I232*L232</f>
        <v>1</v>
      </c>
      <c r="U232" s="0" t="n">
        <f aca="false">J232*K232</f>
        <v>-0.025</v>
      </c>
      <c r="V232" s="0" t="n">
        <f aca="false">J232*L232</f>
        <v>-0.2</v>
      </c>
      <c r="W232" s="0" t="n">
        <f aca="false">K232*L232</f>
        <v>0.125</v>
      </c>
      <c r="X232" s="0" t="n">
        <f aca="false">I232*I232</f>
        <v>1</v>
      </c>
      <c r="Y232" s="0" t="n">
        <f aca="false">J232*J232</f>
        <v>0.04</v>
      </c>
      <c r="Z232" s="0" t="n">
        <f aca="false">K232*K232</f>
        <v>0.015625</v>
      </c>
      <c r="AA232" s="0" t="n">
        <f aca="false">L232*L232</f>
        <v>1</v>
      </c>
      <c r="AB232" s="0" t="n">
        <f aca="false">SUMPRODUCT(M232:AA232,_XtX!$B$96:$P$96)</f>
        <v>46.8335347222223</v>
      </c>
      <c r="AC232" s="0" t="n">
        <f aca="false">SUMPRODUCT(MMULT(M232:AA232,_XtX!$B$78:$P$92),M232:AA232)</f>
        <v>0.691050086805556</v>
      </c>
      <c r="AD232" s="0" t="n">
        <f aca="false">AB232-04_回帰ANOVA!$K$19*04_回帰ANOVA!$K$14*SQRT(1+AC232)</f>
        <v>45.1385076917927</v>
      </c>
      <c r="AE232" s="0" t="n">
        <f aca="false">AB232+04_回帰ANOVA!$K$19*04_回帰ANOVA!$K$14*SQRT(1+AC232)</f>
        <v>48.5285617526519</v>
      </c>
      <c r="AF232" s="54" t="b">
        <f aca="false">AND(I232&gt;=01_因子設定!$L$5-0.000000001,I232&lt;=01_因子設定!$M$5+0.000000001,J232&gt;=01_因子設定!$L$6-0.000000001,J232&lt;=01_因子設定!$M$6+0.000000001,K232&gt;=01_因子設定!$L$7-0.000000001,K232&lt;=01_因子設定!$M$7+0.000000001,L232&gt;=01_因子設定!$L$8-0.000000001,L232&lt;=01_因子設定!$M$8+0.000000001,IF(01_因子設定!$B$20="Box-Behnken",I232^2+J232^2+K232^2+L232^2&lt;=2+0.000000001,TRUE()))</f>
        <v>1</v>
      </c>
      <c r="AG232" s="55" t="n">
        <f aca="false">IF(01_因子設定!$B$13="最大化",AD232-01_因子設定!$B$14,IF(01_因子設定!$B$13="最小化",01_因子設定!$B$15-AE232,MIN(AD232-01_因子設定!$B$14,01_因子設定!$B$15-AE232)))</f>
        <v>-1.3614923082073</v>
      </c>
    </row>
    <row r="233" customFormat="false" ht="15" hidden="false" customHeight="false" outlineLevel="0" collapsed="false">
      <c r="A233" s="0" t="n">
        <v>2</v>
      </c>
      <c r="B233" s="0" t="n">
        <v>0</v>
      </c>
      <c r="C233" s="0" t="n">
        <v>2</v>
      </c>
      <c r="D233" s="0" t="n">
        <v>0</v>
      </c>
      <c r="E233" s="0" t="n">
        <f aca="false">08_工程窓!$C$76+A233*(08_工程窓!$D$76-08_工程窓!$C$76)/2</f>
        <v>75</v>
      </c>
      <c r="F233" s="0" t="n">
        <f aca="false">08_工程窓!$C$77+B233*(08_工程窓!$D$77-08_工程窓!$C$77)/2</f>
        <v>28</v>
      </c>
      <c r="G233" s="0" t="n">
        <f aca="false">08_工程窓!$C$78+C233*(08_工程窓!$D$78-08_工程窓!$C$78)/2</f>
        <v>3</v>
      </c>
      <c r="H233" s="0" t="n">
        <f aca="false">08_工程窓!$C$79+D233*(08_工程窓!$D$79-08_工程窓!$C$79)/2</f>
        <v>20</v>
      </c>
      <c r="I233" s="0" t="n">
        <f aca="false">(E233-01_因子設定!$G$5)/01_因子設定!$H$5</f>
        <v>1</v>
      </c>
      <c r="J233" s="0" t="n">
        <f aca="false">(F233-01_因子設定!$G$6)/01_因子設定!$H$6</f>
        <v>-0.2</v>
      </c>
      <c r="K233" s="0" t="n">
        <f aca="false">(G233-01_因子設定!$G$7)/01_因子設定!$H$7</f>
        <v>1</v>
      </c>
      <c r="L233" s="0" t="n">
        <f aca="false">(H233-01_因子設定!$G$8)/01_因子設定!$H$8</f>
        <v>-1</v>
      </c>
      <c r="M233" s="0" t="n">
        <f aca="false">1</f>
        <v>1</v>
      </c>
      <c r="N233" s="0" t="n">
        <f aca="false">I233</f>
        <v>1</v>
      </c>
      <c r="O233" s="0" t="n">
        <f aca="false">J233</f>
        <v>-0.2</v>
      </c>
      <c r="P233" s="0" t="n">
        <f aca="false">K233</f>
        <v>1</v>
      </c>
      <c r="Q233" s="0" t="n">
        <f aca="false">L233</f>
        <v>-1</v>
      </c>
      <c r="R233" s="0" t="n">
        <f aca="false">I233*J233</f>
        <v>-0.2</v>
      </c>
      <c r="S233" s="0" t="n">
        <f aca="false">I233*K233</f>
        <v>1</v>
      </c>
      <c r="T233" s="0" t="n">
        <f aca="false">I233*L233</f>
        <v>-1</v>
      </c>
      <c r="U233" s="0" t="n">
        <f aca="false">J233*K233</f>
        <v>-0.2</v>
      </c>
      <c r="V233" s="0" t="n">
        <f aca="false">J233*L233</f>
        <v>0.2</v>
      </c>
      <c r="W233" s="0" t="n">
        <f aca="false">K233*L233</f>
        <v>-1</v>
      </c>
      <c r="X233" s="0" t="n">
        <f aca="false">I233*I233</f>
        <v>1</v>
      </c>
      <c r="Y233" s="0" t="n">
        <f aca="false">J233*J233</f>
        <v>0.04</v>
      </c>
      <c r="Z233" s="0" t="n">
        <f aca="false">K233*K233</f>
        <v>1</v>
      </c>
      <c r="AA233" s="0" t="n">
        <f aca="false">L233*L233</f>
        <v>1</v>
      </c>
      <c r="AB233" s="0" t="n">
        <f aca="false">SUMPRODUCT(M233:AA233,_XtX!$B$96:$P$96)</f>
        <v>44.92917251462</v>
      </c>
      <c r="AC233" s="0" t="n">
        <f aca="false">SUMPRODUCT(MMULT(M233:AA233,_XtX!$B$78:$P$92),M233:AA233)</f>
        <v>0.747313450292398</v>
      </c>
      <c r="AD233" s="0" t="n">
        <f aca="false">AB233-04_回帰ANOVA!$K$19*04_回帰ANOVA!$K$14*SQRT(1+AC233)</f>
        <v>43.2061783653944</v>
      </c>
      <c r="AE233" s="0" t="n">
        <f aca="false">AB233+04_回帰ANOVA!$K$19*04_回帰ANOVA!$K$14*SQRT(1+AC233)</f>
        <v>46.6521666638455</v>
      </c>
      <c r="AF233" s="54" t="b">
        <f aca="false">AND(I233&gt;=01_因子設定!$L$5-0.000000001,I233&lt;=01_因子設定!$M$5+0.000000001,J233&gt;=01_因子設定!$L$6-0.000000001,J233&lt;=01_因子設定!$M$6+0.000000001,K233&gt;=01_因子設定!$L$7-0.000000001,K233&lt;=01_因子設定!$M$7+0.000000001,L233&gt;=01_因子設定!$L$8-0.000000001,L233&lt;=01_因子設定!$M$8+0.000000001,IF(01_因子設定!$B$20="Box-Behnken",I233^2+J233^2+K233^2+L233^2&lt;=2+0.000000001,TRUE()))</f>
        <v>1</v>
      </c>
      <c r="AG233" s="55" t="n">
        <f aca="false">IF(01_因子設定!$B$13="最大化",AD233-01_因子設定!$B$14,IF(01_因子設定!$B$13="最小化",01_因子設定!$B$15-AE233,MIN(AD233-01_因子設定!$B$14,01_因子設定!$B$15-AE233)))</f>
        <v>-3.29382163460563</v>
      </c>
    </row>
    <row r="234" customFormat="false" ht="15" hidden="false" customHeight="false" outlineLevel="0" collapsed="false">
      <c r="A234" s="0" t="n">
        <v>2</v>
      </c>
      <c r="B234" s="0" t="n">
        <v>0</v>
      </c>
      <c r="C234" s="0" t="n">
        <v>2</v>
      </c>
      <c r="D234" s="0" t="n">
        <v>1</v>
      </c>
      <c r="E234" s="0" t="n">
        <f aca="false">08_工程窓!$C$76+A234*(08_工程窓!$D$76-08_工程窓!$C$76)/2</f>
        <v>75</v>
      </c>
      <c r="F234" s="0" t="n">
        <f aca="false">08_工程窓!$C$77+B234*(08_工程窓!$D$77-08_工程窓!$C$77)/2</f>
        <v>28</v>
      </c>
      <c r="G234" s="0" t="n">
        <f aca="false">08_工程窓!$C$78+C234*(08_工程窓!$D$78-08_工程窓!$C$78)/2</f>
        <v>3</v>
      </c>
      <c r="H234" s="0" t="n">
        <f aca="false">08_工程窓!$C$79+D234*(08_工程窓!$D$79-08_工程窓!$C$79)/2</f>
        <v>40</v>
      </c>
      <c r="I234" s="0" t="n">
        <f aca="false">(E234-01_因子設定!$G$5)/01_因子設定!$H$5</f>
        <v>1</v>
      </c>
      <c r="J234" s="0" t="n">
        <f aca="false">(F234-01_因子設定!$G$6)/01_因子設定!$H$6</f>
        <v>-0.2</v>
      </c>
      <c r="K234" s="0" t="n">
        <f aca="false">(G234-01_因子設定!$G$7)/01_因子設定!$H$7</f>
        <v>1</v>
      </c>
      <c r="L234" s="0" t="n">
        <f aca="false">(H234-01_因子設定!$G$8)/01_因子設定!$H$8</f>
        <v>0</v>
      </c>
      <c r="M234" s="0" t="n">
        <f aca="false">1</f>
        <v>1</v>
      </c>
      <c r="N234" s="0" t="n">
        <f aca="false">I234</f>
        <v>1</v>
      </c>
      <c r="O234" s="0" t="n">
        <f aca="false">J234</f>
        <v>-0.2</v>
      </c>
      <c r="P234" s="0" t="n">
        <f aca="false">K234</f>
        <v>1</v>
      </c>
      <c r="Q234" s="0" t="n">
        <f aca="false">L234</f>
        <v>0</v>
      </c>
      <c r="R234" s="0" t="n">
        <f aca="false">I234*J234</f>
        <v>-0.2</v>
      </c>
      <c r="S234" s="0" t="n">
        <f aca="false">I234*K234</f>
        <v>1</v>
      </c>
      <c r="T234" s="0" t="n">
        <f aca="false">I234*L234</f>
        <v>0</v>
      </c>
      <c r="U234" s="0" t="n">
        <f aca="false">J234*K234</f>
        <v>-0.2</v>
      </c>
      <c r="V234" s="0" t="n">
        <f aca="false">J234*L234</f>
        <v>-0</v>
      </c>
      <c r="W234" s="0" t="n">
        <f aca="false">K234*L234</f>
        <v>0</v>
      </c>
      <c r="X234" s="0" t="n">
        <f aca="false">I234*I234</f>
        <v>1</v>
      </c>
      <c r="Y234" s="0" t="n">
        <f aca="false">J234*J234</f>
        <v>0.04</v>
      </c>
      <c r="Z234" s="0" t="n">
        <f aca="false">K234*K234</f>
        <v>1</v>
      </c>
      <c r="AA234" s="0" t="n">
        <f aca="false">L234*L234</f>
        <v>0</v>
      </c>
      <c r="AB234" s="0" t="n">
        <f aca="false">SUMPRODUCT(M234:AA234,_XtX!$B$96:$P$96)</f>
        <v>46.1721842105263</v>
      </c>
      <c r="AC234" s="0" t="n">
        <f aca="false">SUMPRODUCT(MMULT(M234:AA234,_XtX!$B$78:$P$92),M234:AA234)</f>
        <v>0.696187719298246</v>
      </c>
      <c r="AD234" s="0" t="n">
        <f aca="false">AB234-04_回帰ANOVA!$K$19*04_回帰ANOVA!$K$14*SQRT(1+AC234)</f>
        <v>44.4745842753353</v>
      </c>
      <c r="AE234" s="0" t="n">
        <f aca="false">AB234+04_回帰ANOVA!$K$19*04_回帰ANOVA!$K$14*SQRT(1+AC234)</f>
        <v>47.8697841457174</v>
      </c>
      <c r="AF234" s="54" t="b">
        <f aca="false">AND(I234&gt;=01_因子設定!$L$5-0.000000001,I234&lt;=01_因子設定!$M$5+0.000000001,J234&gt;=01_因子設定!$L$6-0.000000001,J234&lt;=01_因子設定!$M$6+0.000000001,K234&gt;=01_因子設定!$L$7-0.000000001,K234&lt;=01_因子設定!$M$7+0.000000001,L234&gt;=01_因子設定!$L$8-0.000000001,L234&lt;=01_因子設定!$M$8+0.000000001,IF(01_因子設定!$B$20="Box-Behnken",I234^2+J234^2+K234^2+L234^2&lt;=2+0.000000001,TRUE()))</f>
        <v>1</v>
      </c>
      <c r="AG234" s="55" t="n">
        <f aca="false">IF(01_因子設定!$B$13="最大化",AD234-01_因子設定!$B$14,IF(01_因子設定!$B$13="最小化",01_因子設定!$B$15-AE234,MIN(AD234-01_因子設定!$B$14,01_因子設定!$B$15-AE234)))</f>
        <v>-2.02541572466467</v>
      </c>
    </row>
    <row r="235" customFormat="false" ht="15" hidden="false" customHeight="false" outlineLevel="0" collapsed="false">
      <c r="A235" s="0" t="n">
        <v>2</v>
      </c>
      <c r="B235" s="0" t="n">
        <v>0</v>
      </c>
      <c r="C235" s="0" t="n">
        <v>2</v>
      </c>
      <c r="D235" s="0" t="n">
        <v>2</v>
      </c>
      <c r="E235" s="0" t="n">
        <f aca="false">08_工程窓!$C$76+A235*(08_工程窓!$D$76-08_工程窓!$C$76)/2</f>
        <v>75</v>
      </c>
      <c r="F235" s="0" t="n">
        <f aca="false">08_工程窓!$C$77+B235*(08_工程窓!$D$77-08_工程窓!$C$77)/2</f>
        <v>28</v>
      </c>
      <c r="G235" s="0" t="n">
        <f aca="false">08_工程窓!$C$78+C235*(08_工程窓!$D$78-08_工程窓!$C$78)/2</f>
        <v>3</v>
      </c>
      <c r="H235" s="0" t="n">
        <f aca="false">08_工程窓!$C$79+D235*(08_工程窓!$D$79-08_工程窓!$C$79)/2</f>
        <v>60</v>
      </c>
      <c r="I235" s="0" t="n">
        <f aca="false">(E235-01_因子設定!$G$5)/01_因子設定!$H$5</f>
        <v>1</v>
      </c>
      <c r="J235" s="0" t="n">
        <f aca="false">(F235-01_因子設定!$G$6)/01_因子設定!$H$6</f>
        <v>-0.2</v>
      </c>
      <c r="K235" s="0" t="n">
        <f aca="false">(G235-01_因子設定!$G$7)/01_因子設定!$H$7</f>
        <v>1</v>
      </c>
      <c r="L235" s="0" t="n">
        <f aca="false">(H235-01_因子設定!$G$8)/01_因子設定!$H$8</f>
        <v>1</v>
      </c>
      <c r="M235" s="0" t="n">
        <f aca="false">1</f>
        <v>1</v>
      </c>
      <c r="N235" s="0" t="n">
        <f aca="false">I235</f>
        <v>1</v>
      </c>
      <c r="O235" s="0" t="n">
        <f aca="false">J235</f>
        <v>-0.2</v>
      </c>
      <c r="P235" s="0" t="n">
        <f aca="false">K235</f>
        <v>1</v>
      </c>
      <c r="Q235" s="0" t="n">
        <f aca="false">L235</f>
        <v>1</v>
      </c>
      <c r="R235" s="0" t="n">
        <f aca="false">I235*J235</f>
        <v>-0.2</v>
      </c>
      <c r="S235" s="0" t="n">
        <f aca="false">I235*K235</f>
        <v>1</v>
      </c>
      <c r="T235" s="0" t="n">
        <f aca="false">I235*L235</f>
        <v>1</v>
      </c>
      <c r="U235" s="0" t="n">
        <f aca="false">J235*K235</f>
        <v>-0.2</v>
      </c>
      <c r="V235" s="0" t="n">
        <f aca="false">J235*L235</f>
        <v>-0.2</v>
      </c>
      <c r="W235" s="0" t="n">
        <f aca="false">K235*L235</f>
        <v>1</v>
      </c>
      <c r="X235" s="0" t="n">
        <f aca="false">I235*I235</f>
        <v>1</v>
      </c>
      <c r="Y235" s="0" t="n">
        <f aca="false">J235*J235</f>
        <v>0.04</v>
      </c>
      <c r="Z235" s="0" t="n">
        <f aca="false">K235*K235</f>
        <v>1</v>
      </c>
      <c r="AA235" s="0" t="n">
        <f aca="false">L235*L235</f>
        <v>1</v>
      </c>
      <c r="AB235" s="0" t="n">
        <f aca="false">SUMPRODUCT(M235:AA235,_XtX!$B$96:$P$96)</f>
        <v>46.6502836257311</v>
      </c>
      <c r="AC235" s="0" t="n">
        <f aca="false">SUMPRODUCT(MMULT(M235:AA235,_XtX!$B$78:$P$92),M235:AA235)</f>
        <v>0.747313450292398</v>
      </c>
      <c r="AD235" s="0" t="n">
        <f aca="false">AB235-04_回帰ANOVA!$K$19*04_回帰ANOVA!$K$14*SQRT(1+AC235)</f>
        <v>44.9272894765055</v>
      </c>
      <c r="AE235" s="0" t="n">
        <f aca="false">AB235+04_回帰ANOVA!$K$19*04_回帰ANOVA!$K$14*SQRT(1+AC235)</f>
        <v>48.3732777749566</v>
      </c>
      <c r="AF235" s="54" t="b">
        <f aca="false">AND(I235&gt;=01_因子設定!$L$5-0.000000001,I235&lt;=01_因子設定!$M$5+0.000000001,J235&gt;=01_因子設定!$L$6-0.000000001,J235&lt;=01_因子設定!$M$6+0.000000001,K235&gt;=01_因子設定!$L$7-0.000000001,K235&lt;=01_因子設定!$M$7+0.000000001,L235&gt;=01_因子設定!$L$8-0.000000001,L235&lt;=01_因子設定!$M$8+0.000000001,IF(01_因子設定!$B$20="Box-Behnken",I235^2+J235^2+K235^2+L235^2&lt;=2+0.000000001,TRUE()))</f>
        <v>1</v>
      </c>
      <c r="AG235" s="55" t="n">
        <f aca="false">IF(01_因子設定!$B$13="最大化",AD235-01_因子設定!$B$14,IF(01_因子設定!$B$13="最小化",01_因子設定!$B$15-AE235,MIN(AD235-01_因子設定!$B$14,01_因子設定!$B$15-AE235)))</f>
        <v>-1.57271052349452</v>
      </c>
    </row>
    <row r="236" customFormat="false" ht="15" hidden="false" customHeight="false" outlineLevel="0" collapsed="false">
      <c r="A236" s="0" t="n">
        <v>2</v>
      </c>
      <c r="B236" s="0" t="n">
        <v>1</v>
      </c>
      <c r="C236" s="0" t="n">
        <v>0</v>
      </c>
      <c r="D236" s="0" t="n">
        <v>0</v>
      </c>
      <c r="E236" s="0" t="n">
        <f aca="false">08_工程窓!$C$76+A236*(08_工程窓!$D$76-08_工程窓!$C$76)/2</f>
        <v>75</v>
      </c>
      <c r="F236" s="0" t="n">
        <f aca="false">08_工程窓!$C$77+B236*(08_工程窓!$D$77-08_工程窓!$C$77)/2</f>
        <v>34</v>
      </c>
      <c r="G236" s="0" t="n">
        <f aca="false">08_工程窓!$C$78+C236*(08_工程窓!$D$78-08_工程窓!$C$78)/2</f>
        <v>1.25</v>
      </c>
      <c r="H236" s="0" t="n">
        <f aca="false">08_工程窓!$C$79+D236*(08_工程窓!$D$79-08_工程窓!$C$79)/2</f>
        <v>20</v>
      </c>
      <c r="I236" s="0" t="n">
        <f aca="false">(E236-01_因子設定!$G$5)/01_因子設定!$H$5</f>
        <v>1</v>
      </c>
      <c r="J236" s="0" t="n">
        <f aca="false">(F236-01_因子設定!$G$6)/01_因子設定!$H$6</f>
        <v>0.4</v>
      </c>
      <c r="K236" s="0" t="n">
        <f aca="false">(G236-01_因子設定!$G$7)/01_因子設定!$H$7</f>
        <v>-0.75</v>
      </c>
      <c r="L236" s="0" t="n">
        <f aca="false">(H236-01_因子設定!$G$8)/01_因子設定!$H$8</f>
        <v>-1</v>
      </c>
      <c r="M236" s="0" t="n">
        <f aca="false">1</f>
        <v>1</v>
      </c>
      <c r="N236" s="0" t="n">
        <f aca="false">I236</f>
        <v>1</v>
      </c>
      <c r="O236" s="0" t="n">
        <f aca="false">J236</f>
        <v>0.4</v>
      </c>
      <c r="P236" s="0" t="n">
        <f aca="false">K236</f>
        <v>-0.75</v>
      </c>
      <c r="Q236" s="0" t="n">
        <f aca="false">L236</f>
        <v>-1</v>
      </c>
      <c r="R236" s="0" t="n">
        <f aca="false">I236*J236</f>
        <v>0.4</v>
      </c>
      <c r="S236" s="0" t="n">
        <f aca="false">I236*K236</f>
        <v>-0.75</v>
      </c>
      <c r="T236" s="0" t="n">
        <f aca="false">I236*L236</f>
        <v>-1</v>
      </c>
      <c r="U236" s="0" t="n">
        <f aca="false">J236*K236</f>
        <v>-0.3</v>
      </c>
      <c r="V236" s="0" t="n">
        <f aca="false">J236*L236</f>
        <v>-0.4</v>
      </c>
      <c r="W236" s="0" t="n">
        <f aca="false">K236*L236</f>
        <v>0.75</v>
      </c>
      <c r="X236" s="0" t="n">
        <f aca="false">I236*I236</f>
        <v>1</v>
      </c>
      <c r="Y236" s="0" t="n">
        <f aca="false">J236*J236</f>
        <v>0.16</v>
      </c>
      <c r="Z236" s="0" t="n">
        <f aca="false">K236*K236</f>
        <v>0.5625</v>
      </c>
      <c r="AA236" s="0" t="n">
        <f aca="false">L236*L236</f>
        <v>1</v>
      </c>
      <c r="AB236" s="0" t="n">
        <f aca="false">SUMPRODUCT(M236:AA236,_XtX!$B$96:$P$96)</f>
        <v>46.8655606725147</v>
      </c>
      <c r="AC236" s="0" t="n">
        <f aca="false">SUMPRODUCT(MMULT(M236:AA236,_XtX!$B$78:$P$92),M236:AA236)</f>
        <v>0.588663596491228</v>
      </c>
      <c r="AD236" s="0" t="n">
        <f aca="false">AB236-04_回帰ANOVA!$K$19*04_回帰ANOVA!$K$14*SQRT(1+AC236)</f>
        <v>45.2226484343378</v>
      </c>
      <c r="AE236" s="0" t="n">
        <f aca="false">AB236+04_回帰ANOVA!$K$19*04_回帰ANOVA!$K$14*SQRT(1+AC236)</f>
        <v>48.5084729106916</v>
      </c>
      <c r="AF236" s="54" t="b">
        <f aca="false">AND(I236&gt;=01_因子設定!$L$5-0.000000001,I236&lt;=01_因子設定!$M$5+0.000000001,J236&gt;=01_因子設定!$L$6-0.000000001,J236&lt;=01_因子設定!$M$6+0.000000001,K236&gt;=01_因子設定!$L$7-0.000000001,K236&lt;=01_因子設定!$M$7+0.000000001,L236&gt;=01_因子設定!$L$8-0.000000001,L236&lt;=01_因子設定!$M$8+0.000000001,IF(01_因子設定!$B$20="Box-Behnken",I236^2+J236^2+K236^2+L236^2&lt;=2+0.000000001,TRUE()))</f>
        <v>1</v>
      </c>
      <c r="AG236" s="55" t="n">
        <f aca="false">IF(01_因子設定!$B$13="最大化",AD236-01_因子設定!$B$14,IF(01_因子設定!$B$13="最小化",01_因子設定!$B$15-AE236,MIN(AD236-01_因子設定!$B$14,01_因子設定!$B$15-AE236)))</f>
        <v>-1.27735156566222</v>
      </c>
    </row>
    <row r="237" customFormat="false" ht="15" hidden="false" customHeight="false" outlineLevel="0" collapsed="false">
      <c r="A237" s="0" t="n">
        <v>2</v>
      </c>
      <c r="B237" s="0" t="n">
        <v>1</v>
      </c>
      <c r="C237" s="0" t="n">
        <v>0</v>
      </c>
      <c r="D237" s="0" t="n">
        <v>1</v>
      </c>
      <c r="E237" s="0" t="n">
        <f aca="false">08_工程窓!$C$76+A237*(08_工程窓!$D$76-08_工程窓!$C$76)/2</f>
        <v>75</v>
      </c>
      <c r="F237" s="0" t="n">
        <f aca="false">08_工程窓!$C$77+B237*(08_工程窓!$D$77-08_工程窓!$C$77)/2</f>
        <v>34</v>
      </c>
      <c r="G237" s="0" t="n">
        <f aca="false">08_工程窓!$C$78+C237*(08_工程窓!$D$78-08_工程窓!$C$78)/2</f>
        <v>1.25</v>
      </c>
      <c r="H237" s="0" t="n">
        <f aca="false">08_工程窓!$C$79+D237*(08_工程窓!$D$79-08_工程窓!$C$79)/2</f>
        <v>40</v>
      </c>
      <c r="I237" s="0" t="n">
        <f aca="false">(E237-01_因子設定!$G$5)/01_因子設定!$H$5</f>
        <v>1</v>
      </c>
      <c r="J237" s="0" t="n">
        <f aca="false">(F237-01_因子設定!$G$6)/01_因子設定!$H$6</f>
        <v>0.4</v>
      </c>
      <c r="K237" s="0" t="n">
        <f aca="false">(G237-01_因子設定!$G$7)/01_因子設定!$H$7</f>
        <v>-0.75</v>
      </c>
      <c r="L237" s="0" t="n">
        <f aca="false">(H237-01_因子設定!$G$8)/01_因子設定!$H$8</f>
        <v>0</v>
      </c>
      <c r="M237" s="0" t="n">
        <f aca="false">1</f>
        <v>1</v>
      </c>
      <c r="N237" s="0" t="n">
        <f aca="false">I237</f>
        <v>1</v>
      </c>
      <c r="O237" s="0" t="n">
        <f aca="false">J237</f>
        <v>0.4</v>
      </c>
      <c r="P237" s="0" t="n">
        <f aca="false">K237</f>
        <v>-0.75</v>
      </c>
      <c r="Q237" s="0" t="n">
        <f aca="false">L237</f>
        <v>0</v>
      </c>
      <c r="R237" s="0" t="n">
        <f aca="false">I237*J237</f>
        <v>0.4</v>
      </c>
      <c r="S237" s="0" t="n">
        <f aca="false">I237*K237</f>
        <v>-0.75</v>
      </c>
      <c r="T237" s="0" t="n">
        <f aca="false">I237*L237</f>
        <v>0</v>
      </c>
      <c r="U237" s="0" t="n">
        <f aca="false">J237*K237</f>
        <v>-0.3</v>
      </c>
      <c r="V237" s="0" t="n">
        <f aca="false">J237*L237</f>
        <v>0</v>
      </c>
      <c r="W237" s="0" t="n">
        <f aca="false">K237*L237</f>
        <v>-0</v>
      </c>
      <c r="X237" s="0" t="n">
        <f aca="false">I237*I237</f>
        <v>1</v>
      </c>
      <c r="Y237" s="0" t="n">
        <f aca="false">J237*J237</f>
        <v>0.16</v>
      </c>
      <c r="Z237" s="0" t="n">
        <f aca="false">K237*K237</f>
        <v>0.5625</v>
      </c>
      <c r="AA237" s="0" t="n">
        <f aca="false">L237*L237</f>
        <v>0</v>
      </c>
      <c r="AB237" s="0" t="n">
        <f aca="false">SUMPRODUCT(M237:AA237,_XtX!$B$96:$P$96)</f>
        <v>47.4779473684211</v>
      </c>
      <c r="AC237" s="0" t="n">
        <f aca="false">SUMPRODUCT(MMULT(M237:AA237,_XtX!$B$78:$P$92),M237:AA237)</f>
        <v>0.484969334795322</v>
      </c>
      <c r="AD237" s="0" t="n">
        <f aca="false">AB237-04_回帰ANOVA!$K$19*04_回帰ANOVA!$K$14*SQRT(1+AC237)</f>
        <v>45.8895574006203</v>
      </c>
      <c r="AE237" s="0" t="n">
        <f aca="false">AB237+04_回帰ANOVA!$K$19*04_回帰ANOVA!$K$14*SQRT(1+AC237)</f>
        <v>49.0663373362219</v>
      </c>
      <c r="AF237" s="54" t="b">
        <f aca="false">AND(I237&gt;=01_因子設定!$L$5-0.000000001,I237&lt;=01_因子設定!$M$5+0.000000001,J237&gt;=01_因子設定!$L$6-0.000000001,J237&lt;=01_因子設定!$M$6+0.000000001,K237&gt;=01_因子設定!$L$7-0.000000001,K237&lt;=01_因子設定!$M$7+0.000000001,L237&gt;=01_因子設定!$L$8-0.000000001,L237&lt;=01_因子設定!$M$8+0.000000001,IF(01_因子設定!$B$20="Box-Behnken",I237^2+J237^2+K237^2+L237^2&lt;=2+0.000000001,TRUE()))</f>
        <v>1</v>
      </c>
      <c r="AG237" s="55" t="n">
        <f aca="false">IF(01_因子設定!$B$13="最大化",AD237-01_因子設定!$B$14,IF(01_因子設定!$B$13="最小化",01_因子設定!$B$15-AE237,MIN(AD237-01_因子設定!$B$14,01_因子設定!$B$15-AE237)))</f>
        <v>-0.610442599379709</v>
      </c>
    </row>
    <row r="238" customFormat="false" ht="15" hidden="false" customHeight="false" outlineLevel="0" collapsed="false">
      <c r="A238" s="0" t="n">
        <v>2</v>
      </c>
      <c r="B238" s="0" t="n">
        <v>1</v>
      </c>
      <c r="C238" s="0" t="n">
        <v>0</v>
      </c>
      <c r="D238" s="0" t="n">
        <v>2</v>
      </c>
      <c r="E238" s="0" t="n">
        <f aca="false">08_工程窓!$C$76+A238*(08_工程窓!$D$76-08_工程窓!$C$76)/2</f>
        <v>75</v>
      </c>
      <c r="F238" s="0" t="n">
        <f aca="false">08_工程窓!$C$77+B238*(08_工程窓!$D$77-08_工程窓!$C$77)/2</f>
        <v>34</v>
      </c>
      <c r="G238" s="0" t="n">
        <f aca="false">08_工程窓!$C$78+C238*(08_工程窓!$D$78-08_工程窓!$C$78)/2</f>
        <v>1.25</v>
      </c>
      <c r="H238" s="0" t="n">
        <f aca="false">08_工程窓!$C$79+D238*(08_工程窓!$D$79-08_工程窓!$C$79)/2</f>
        <v>60</v>
      </c>
      <c r="I238" s="0" t="n">
        <f aca="false">(E238-01_因子設定!$G$5)/01_因子設定!$H$5</f>
        <v>1</v>
      </c>
      <c r="J238" s="0" t="n">
        <f aca="false">(F238-01_因子設定!$G$6)/01_因子設定!$H$6</f>
        <v>0.4</v>
      </c>
      <c r="K238" s="0" t="n">
        <f aca="false">(G238-01_因子設定!$G$7)/01_因子設定!$H$7</f>
        <v>-0.75</v>
      </c>
      <c r="L238" s="0" t="n">
        <f aca="false">(H238-01_因子設定!$G$8)/01_因子設定!$H$8</f>
        <v>1</v>
      </c>
      <c r="M238" s="0" t="n">
        <f aca="false">1</f>
        <v>1</v>
      </c>
      <c r="N238" s="0" t="n">
        <f aca="false">I238</f>
        <v>1</v>
      </c>
      <c r="O238" s="0" t="n">
        <f aca="false">J238</f>
        <v>0.4</v>
      </c>
      <c r="P238" s="0" t="n">
        <f aca="false">K238</f>
        <v>-0.75</v>
      </c>
      <c r="Q238" s="0" t="n">
        <f aca="false">L238</f>
        <v>1</v>
      </c>
      <c r="R238" s="0" t="n">
        <f aca="false">I238*J238</f>
        <v>0.4</v>
      </c>
      <c r="S238" s="0" t="n">
        <f aca="false">I238*K238</f>
        <v>-0.75</v>
      </c>
      <c r="T238" s="0" t="n">
        <f aca="false">I238*L238</f>
        <v>1</v>
      </c>
      <c r="U238" s="0" t="n">
        <f aca="false">J238*K238</f>
        <v>-0.3</v>
      </c>
      <c r="V238" s="0" t="n">
        <f aca="false">J238*L238</f>
        <v>0.4</v>
      </c>
      <c r="W238" s="0" t="n">
        <f aca="false">K238*L238</f>
        <v>-0.75</v>
      </c>
      <c r="X238" s="0" t="n">
        <f aca="false">I238*I238</f>
        <v>1</v>
      </c>
      <c r="Y238" s="0" t="n">
        <f aca="false">J238*J238</f>
        <v>0.16</v>
      </c>
      <c r="Z238" s="0" t="n">
        <f aca="false">K238*K238</f>
        <v>0.5625</v>
      </c>
      <c r="AA238" s="0" t="n">
        <f aca="false">L238*L238</f>
        <v>1</v>
      </c>
      <c r="AB238" s="0" t="n">
        <f aca="false">SUMPRODUCT(M238:AA238,_XtX!$B$96:$P$96)</f>
        <v>47.3254217836258</v>
      </c>
      <c r="AC238" s="0" t="n">
        <f aca="false">SUMPRODUCT(MMULT(M238:AA238,_XtX!$B$78:$P$92),M238:AA238)</f>
        <v>0.588663596491228</v>
      </c>
      <c r="AD238" s="0" t="n">
        <f aca="false">AB238-04_回帰ANOVA!$K$19*04_回帰ANOVA!$K$14*SQRT(1+AC238)</f>
        <v>45.6825095454489</v>
      </c>
      <c r="AE238" s="0" t="n">
        <f aca="false">AB238+04_回帰ANOVA!$K$19*04_回帰ANOVA!$K$14*SQRT(1+AC238)</f>
        <v>48.9683340218027</v>
      </c>
      <c r="AF238" s="54" t="b">
        <f aca="false">AND(I238&gt;=01_因子設定!$L$5-0.000000001,I238&lt;=01_因子設定!$M$5+0.000000001,J238&gt;=01_因子設定!$L$6-0.000000001,J238&lt;=01_因子設定!$M$6+0.000000001,K238&gt;=01_因子設定!$L$7-0.000000001,K238&lt;=01_因子設定!$M$7+0.000000001,L238&gt;=01_因子設定!$L$8-0.000000001,L238&lt;=01_因子設定!$M$8+0.000000001,IF(01_因子設定!$B$20="Box-Behnken",I238^2+J238^2+K238^2+L238^2&lt;=2+0.000000001,TRUE()))</f>
        <v>1</v>
      </c>
      <c r="AG238" s="55" t="n">
        <f aca="false">IF(01_因子設定!$B$13="最大化",AD238-01_因子設定!$B$14,IF(01_因子設定!$B$13="最小化",01_因子設定!$B$15-AE238,MIN(AD238-01_因子設定!$B$14,01_因子設定!$B$15-AE238)))</f>
        <v>-0.817490454551113</v>
      </c>
    </row>
    <row r="239" customFormat="false" ht="15" hidden="false" customHeight="false" outlineLevel="0" collapsed="false">
      <c r="A239" s="0" t="n">
        <v>2</v>
      </c>
      <c r="B239" s="0" t="n">
        <v>1</v>
      </c>
      <c r="C239" s="0" t="n">
        <v>1</v>
      </c>
      <c r="D239" s="0" t="n">
        <v>0</v>
      </c>
      <c r="E239" s="0" t="n">
        <f aca="false">08_工程窓!$C$76+A239*(08_工程窓!$D$76-08_工程窓!$C$76)/2</f>
        <v>75</v>
      </c>
      <c r="F239" s="0" t="n">
        <f aca="false">08_工程窓!$C$77+B239*(08_工程窓!$D$77-08_工程窓!$C$77)/2</f>
        <v>34</v>
      </c>
      <c r="G239" s="0" t="n">
        <f aca="false">08_工程窓!$C$78+C239*(08_工程窓!$D$78-08_工程窓!$C$78)/2</f>
        <v>2.125</v>
      </c>
      <c r="H239" s="0" t="n">
        <f aca="false">08_工程窓!$C$79+D239*(08_工程窓!$D$79-08_工程窓!$C$79)/2</f>
        <v>20</v>
      </c>
      <c r="I239" s="0" t="n">
        <f aca="false">(E239-01_因子設定!$G$5)/01_因子設定!$H$5</f>
        <v>1</v>
      </c>
      <c r="J239" s="0" t="n">
        <f aca="false">(F239-01_因子設定!$G$6)/01_因子設定!$H$6</f>
        <v>0.4</v>
      </c>
      <c r="K239" s="0" t="n">
        <f aca="false">(G239-01_因子設定!$G$7)/01_因子設定!$H$7</f>
        <v>0.125</v>
      </c>
      <c r="L239" s="0" t="n">
        <f aca="false">(H239-01_因子設定!$G$8)/01_因子設定!$H$8</f>
        <v>-1</v>
      </c>
      <c r="M239" s="0" t="n">
        <f aca="false">1</f>
        <v>1</v>
      </c>
      <c r="N239" s="0" t="n">
        <f aca="false">I239</f>
        <v>1</v>
      </c>
      <c r="O239" s="0" t="n">
        <f aca="false">J239</f>
        <v>0.4</v>
      </c>
      <c r="P239" s="0" t="n">
        <f aca="false">K239</f>
        <v>0.125</v>
      </c>
      <c r="Q239" s="0" t="n">
        <f aca="false">L239</f>
        <v>-1</v>
      </c>
      <c r="R239" s="0" t="n">
        <f aca="false">I239*J239</f>
        <v>0.4</v>
      </c>
      <c r="S239" s="0" t="n">
        <f aca="false">I239*K239</f>
        <v>0.125</v>
      </c>
      <c r="T239" s="0" t="n">
        <f aca="false">I239*L239</f>
        <v>-1</v>
      </c>
      <c r="U239" s="0" t="n">
        <f aca="false">J239*K239</f>
        <v>0.05</v>
      </c>
      <c r="V239" s="0" t="n">
        <f aca="false">J239*L239</f>
        <v>-0.4</v>
      </c>
      <c r="W239" s="0" t="n">
        <f aca="false">K239*L239</f>
        <v>-0.125</v>
      </c>
      <c r="X239" s="0" t="n">
        <f aca="false">I239*I239</f>
        <v>1</v>
      </c>
      <c r="Y239" s="0" t="n">
        <f aca="false">J239*J239</f>
        <v>0.16</v>
      </c>
      <c r="Z239" s="0" t="n">
        <f aca="false">K239*K239</f>
        <v>0.015625</v>
      </c>
      <c r="AA239" s="0" t="n">
        <f aca="false">L239*L239</f>
        <v>1</v>
      </c>
      <c r="AB239" s="0" t="n">
        <f aca="false">SUMPRODUCT(M239:AA239,_XtX!$B$96:$P$96)</f>
        <v>47.3882580409357</v>
      </c>
      <c r="AC239" s="0" t="n">
        <f aca="false">SUMPRODUCT(MMULT(M239:AA239,_XtX!$B$78:$P$92),M239:AA239)</f>
        <v>0.660616835709065</v>
      </c>
      <c r="AD239" s="0" t="n">
        <f aca="false">AB239-04_回帰ANOVA!$K$19*04_回帰ANOVA!$K$14*SQRT(1+AC239)</f>
        <v>45.7085526695405</v>
      </c>
      <c r="AE239" s="0" t="n">
        <f aca="false">AB239+04_回帰ANOVA!$K$19*04_回帰ANOVA!$K$14*SQRT(1+AC239)</f>
        <v>49.067963412331</v>
      </c>
      <c r="AF239" s="54" t="b">
        <f aca="false">AND(I239&gt;=01_因子設定!$L$5-0.000000001,I239&lt;=01_因子設定!$M$5+0.000000001,J239&gt;=01_因子設定!$L$6-0.000000001,J239&lt;=01_因子設定!$M$6+0.000000001,K239&gt;=01_因子設定!$L$7-0.000000001,K239&lt;=01_因子設定!$M$7+0.000000001,L239&gt;=01_因子設定!$L$8-0.000000001,L239&lt;=01_因子設定!$M$8+0.000000001,IF(01_因子設定!$B$20="Box-Behnken",I239^2+J239^2+K239^2+L239^2&lt;=2+0.000000001,TRUE()))</f>
        <v>1</v>
      </c>
      <c r="AG239" s="55" t="n">
        <f aca="false">IF(01_因子設定!$B$13="最大化",AD239-01_因子設定!$B$14,IF(01_因子設定!$B$13="最小化",01_因子設定!$B$15-AE239,MIN(AD239-01_因子設定!$B$14,01_因子設定!$B$15-AE239)))</f>
        <v>-0.791447330459505</v>
      </c>
    </row>
    <row r="240" customFormat="false" ht="15" hidden="false" customHeight="false" outlineLevel="0" collapsed="false">
      <c r="A240" s="0" t="n">
        <v>2</v>
      </c>
      <c r="B240" s="0" t="n">
        <v>1</v>
      </c>
      <c r="C240" s="0" t="n">
        <v>1</v>
      </c>
      <c r="D240" s="0" t="n">
        <v>1</v>
      </c>
      <c r="E240" s="0" t="n">
        <f aca="false">08_工程窓!$C$76+A240*(08_工程窓!$D$76-08_工程窓!$C$76)/2</f>
        <v>75</v>
      </c>
      <c r="F240" s="0" t="n">
        <f aca="false">08_工程窓!$C$77+B240*(08_工程窓!$D$77-08_工程窓!$C$77)/2</f>
        <v>34</v>
      </c>
      <c r="G240" s="0" t="n">
        <f aca="false">08_工程窓!$C$78+C240*(08_工程窓!$D$78-08_工程窓!$C$78)/2</f>
        <v>2.125</v>
      </c>
      <c r="H240" s="0" t="n">
        <f aca="false">08_工程窓!$C$79+D240*(08_工程窓!$D$79-08_工程窓!$C$79)/2</f>
        <v>40</v>
      </c>
      <c r="I240" s="0" t="n">
        <f aca="false">(E240-01_因子設定!$G$5)/01_因子設定!$H$5</f>
        <v>1</v>
      </c>
      <c r="J240" s="0" t="n">
        <f aca="false">(F240-01_因子設定!$G$6)/01_因子設定!$H$6</f>
        <v>0.4</v>
      </c>
      <c r="K240" s="0" t="n">
        <f aca="false">(G240-01_因子設定!$G$7)/01_因子設定!$H$7</f>
        <v>0.125</v>
      </c>
      <c r="L240" s="0" t="n">
        <f aca="false">(H240-01_因子設定!$G$8)/01_因子設定!$H$8</f>
        <v>0</v>
      </c>
      <c r="M240" s="0" t="n">
        <f aca="false">1</f>
        <v>1</v>
      </c>
      <c r="N240" s="0" t="n">
        <f aca="false">I240</f>
        <v>1</v>
      </c>
      <c r="O240" s="0" t="n">
        <f aca="false">J240</f>
        <v>0.4</v>
      </c>
      <c r="P240" s="0" t="n">
        <f aca="false">K240</f>
        <v>0.125</v>
      </c>
      <c r="Q240" s="0" t="n">
        <f aca="false">L240</f>
        <v>0</v>
      </c>
      <c r="R240" s="0" t="n">
        <f aca="false">I240*J240</f>
        <v>0.4</v>
      </c>
      <c r="S240" s="0" t="n">
        <f aca="false">I240*K240</f>
        <v>0.125</v>
      </c>
      <c r="T240" s="0" t="n">
        <f aca="false">I240*L240</f>
        <v>0</v>
      </c>
      <c r="U240" s="0" t="n">
        <f aca="false">J240*K240</f>
        <v>0.05</v>
      </c>
      <c r="V240" s="0" t="n">
        <f aca="false">J240*L240</f>
        <v>0</v>
      </c>
      <c r="W240" s="0" t="n">
        <f aca="false">K240*L240</f>
        <v>0</v>
      </c>
      <c r="X240" s="0" t="n">
        <f aca="false">I240*I240</f>
        <v>1</v>
      </c>
      <c r="Y240" s="0" t="n">
        <f aca="false">J240*J240</f>
        <v>0.16</v>
      </c>
      <c r="Z240" s="0" t="n">
        <f aca="false">K240*K240</f>
        <v>0.015625</v>
      </c>
      <c r="AA240" s="0" t="n">
        <f aca="false">L240*L240</f>
        <v>0</v>
      </c>
      <c r="AB240" s="0" t="n">
        <f aca="false">SUMPRODUCT(M240:AA240,_XtX!$B$96:$P$96)</f>
        <v>48.2522072368421</v>
      </c>
      <c r="AC240" s="0" t="n">
        <f aca="false">SUMPRODUCT(MMULT(M240:AA240,_XtX!$B$78:$P$92),M240:AA240)</f>
        <v>0.466376384320176</v>
      </c>
      <c r="AD240" s="0" t="n">
        <f aca="false">AB240-04_回帰ANOVA!$K$19*04_回帰ANOVA!$K$14*SQRT(1+AC240)</f>
        <v>46.6737925197392</v>
      </c>
      <c r="AE240" s="0" t="n">
        <f aca="false">AB240+04_回帰ANOVA!$K$19*04_回帰ANOVA!$K$14*SQRT(1+AC240)</f>
        <v>49.8306219539451</v>
      </c>
      <c r="AF240" s="54" t="b">
        <f aca="false">AND(I240&gt;=01_因子設定!$L$5-0.000000001,I240&lt;=01_因子設定!$M$5+0.000000001,J240&gt;=01_因子設定!$L$6-0.000000001,J240&lt;=01_因子設定!$M$6+0.000000001,K240&gt;=01_因子設定!$L$7-0.000000001,K240&lt;=01_因子設定!$M$7+0.000000001,L240&gt;=01_因子設定!$L$8-0.000000001,L240&lt;=01_因子設定!$M$8+0.000000001,IF(01_因子設定!$B$20="Box-Behnken",I240^2+J240^2+K240^2+L240^2&lt;=2+0.000000001,TRUE()))</f>
        <v>1</v>
      </c>
      <c r="AG240" s="55" t="n">
        <f aca="false">IF(01_因子設定!$B$13="最大化",AD240-01_因子設定!$B$14,IF(01_因子設定!$B$13="最小化",01_因子設定!$B$15-AE240,MIN(AD240-01_因子設定!$B$14,01_因子設定!$B$15-AE240)))</f>
        <v>0.173792519739216</v>
      </c>
    </row>
    <row r="241" customFormat="false" ht="15" hidden="false" customHeight="false" outlineLevel="0" collapsed="false">
      <c r="A241" s="0" t="n">
        <v>2</v>
      </c>
      <c r="B241" s="0" t="n">
        <v>1</v>
      </c>
      <c r="C241" s="0" t="n">
        <v>1</v>
      </c>
      <c r="D241" s="0" t="n">
        <v>2</v>
      </c>
      <c r="E241" s="0" t="n">
        <f aca="false">08_工程窓!$C$76+A241*(08_工程窓!$D$76-08_工程窓!$C$76)/2</f>
        <v>75</v>
      </c>
      <c r="F241" s="0" t="n">
        <f aca="false">08_工程窓!$C$77+B241*(08_工程窓!$D$77-08_工程窓!$C$77)/2</f>
        <v>34</v>
      </c>
      <c r="G241" s="0" t="n">
        <f aca="false">08_工程窓!$C$78+C241*(08_工程窓!$D$78-08_工程窓!$C$78)/2</f>
        <v>2.125</v>
      </c>
      <c r="H241" s="0" t="n">
        <f aca="false">08_工程窓!$C$79+D241*(08_工程窓!$D$79-08_工程窓!$C$79)/2</f>
        <v>60</v>
      </c>
      <c r="I241" s="0" t="n">
        <f aca="false">(E241-01_因子設定!$G$5)/01_因子設定!$H$5</f>
        <v>1</v>
      </c>
      <c r="J241" s="0" t="n">
        <f aca="false">(F241-01_因子設定!$G$6)/01_因子設定!$H$6</f>
        <v>0.4</v>
      </c>
      <c r="K241" s="0" t="n">
        <f aca="false">(G241-01_因子設定!$G$7)/01_因子設定!$H$7</f>
        <v>0.125</v>
      </c>
      <c r="L241" s="0" t="n">
        <f aca="false">(H241-01_因子設定!$G$8)/01_因子設定!$H$8</f>
        <v>1</v>
      </c>
      <c r="M241" s="0" t="n">
        <f aca="false">1</f>
        <v>1</v>
      </c>
      <c r="N241" s="0" t="n">
        <f aca="false">I241</f>
        <v>1</v>
      </c>
      <c r="O241" s="0" t="n">
        <f aca="false">J241</f>
        <v>0.4</v>
      </c>
      <c r="P241" s="0" t="n">
        <f aca="false">K241</f>
        <v>0.125</v>
      </c>
      <c r="Q241" s="0" t="n">
        <f aca="false">L241</f>
        <v>1</v>
      </c>
      <c r="R241" s="0" t="n">
        <f aca="false">I241*J241</f>
        <v>0.4</v>
      </c>
      <c r="S241" s="0" t="n">
        <f aca="false">I241*K241</f>
        <v>0.125</v>
      </c>
      <c r="T241" s="0" t="n">
        <f aca="false">I241*L241</f>
        <v>1</v>
      </c>
      <c r="U241" s="0" t="n">
        <f aca="false">J241*K241</f>
        <v>0.05</v>
      </c>
      <c r="V241" s="0" t="n">
        <f aca="false">J241*L241</f>
        <v>0.4</v>
      </c>
      <c r="W241" s="0" t="n">
        <f aca="false">K241*L241</f>
        <v>0.125</v>
      </c>
      <c r="X241" s="0" t="n">
        <f aca="false">I241*I241</f>
        <v>1</v>
      </c>
      <c r="Y241" s="0" t="n">
        <f aca="false">J241*J241</f>
        <v>0.16</v>
      </c>
      <c r="Z241" s="0" t="n">
        <f aca="false">K241*K241</f>
        <v>0.015625</v>
      </c>
      <c r="AA241" s="0" t="n">
        <f aca="false">L241*L241</f>
        <v>1</v>
      </c>
      <c r="AB241" s="0" t="n">
        <f aca="false">SUMPRODUCT(M241:AA241,_XtX!$B$96:$P$96)</f>
        <v>48.3512441520468</v>
      </c>
      <c r="AC241" s="0" t="n">
        <f aca="false">SUMPRODUCT(MMULT(M241:AA241,_XtX!$B$78:$P$92),M241:AA241)</f>
        <v>0.660616835709065</v>
      </c>
      <c r="AD241" s="0" t="n">
        <f aca="false">AB241-04_回帰ANOVA!$K$19*04_回帰ANOVA!$K$14*SQRT(1+AC241)</f>
        <v>46.6715387806516</v>
      </c>
      <c r="AE241" s="0" t="n">
        <f aca="false">AB241+04_回帰ANOVA!$K$19*04_回帰ANOVA!$K$14*SQRT(1+AC241)</f>
        <v>50.0309495234421</v>
      </c>
      <c r="AF241" s="54" t="b">
        <f aca="false">AND(I241&gt;=01_因子設定!$L$5-0.000000001,I241&lt;=01_因子設定!$M$5+0.000000001,J241&gt;=01_因子設定!$L$6-0.000000001,J241&lt;=01_因子設定!$M$6+0.000000001,K241&gt;=01_因子設定!$L$7-0.000000001,K241&lt;=01_因子設定!$M$7+0.000000001,L241&gt;=01_因子設定!$L$8-0.000000001,L241&lt;=01_因子設定!$M$8+0.000000001,IF(01_因子設定!$B$20="Box-Behnken",I241^2+J241^2+K241^2+L241^2&lt;=2+0.000000001,TRUE()))</f>
        <v>1</v>
      </c>
      <c r="AG241" s="55" t="n">
        <f aca="false">IF(01_因子設定!$B$13="最大化",AD241-01_因子設定!$B$14,IF(01_因子設定!$B$13="最小化",01_因子設定!$B$15-AE241,MIN(AD241-01_因子設定!$B$14,01_因子設定!$B$15-AE241)))</f>
        <v>0.171538780651616</v>
      </c>
    </row>
    <row r="242" customFormat="false" ht="15" hidden="false" customHeight="false" outlineLevel="0" collapsed="false">
      <c r="A242" s="0" t="n">
        <v>2</v>
      </c>
      <c r="B242" s="0" t="n">
        <v>1</v>
      </c>
      <c r="C242" s="0" t="n">
        <v>2</v>
      </c>
      <c r="D242" s="0" t="n">
        <v>0</v>
      </c>
      <c r="E242" s="0" t="n">
        <f aca="false">08_工程窓!$C$76+A242*(08_工程窓!$D$76-08_工程窓!$C$76)/2</f>
        <v>75</v>
      </c>
      <c r="F242" s="0" t="n">
        <f aca="false">08_工程窓!$C$77+B242*(08_工程窓!$D$77-08_工程窓!$C$77)/2</f>
        <v>34</v>
      </c>
      <c r="G242" s="0" t="n">
        <f aca="false">08_工程窓!$C$78+C242*(08_工程窓!$D$78-08_工程窓!$C$78)/2</f>
        <v>3</v>
      </c>
      <c r="H242" s="0" t="n">
        <f aca="false">08_工程窓!$C$79+D242*(08_工程窓!$D$79-08_工程窓!$C$79)/2</f>
        <v>20</v>
      </c>
      <c r="I242" s="0" t="n">
        <f aca="false">(E242-01_因子設定!$G$5)/01_因子設定!$H$5</f>
        <v>1</v>
      </c>
      <c r="J242" s="0" t="n">
        <f aca="false">(F242-01_因子設定!$G$6)/01_因子設定!$H$6</f>
        <v>0.4</v>
      </c>
      <c r="K242" s="0" t="n">
        <f aca="false">(G242-01_因子設定!$G$7)/01_因子設定!$H$7</f>
        <v>1</v>
      </c>
      <c r="L242" s="0" t="n">
        <f aca="false">(H242-01_因子設定!$G$8)/01_因子設定!$H$8</f>
        <v>-1</v>
      </c>
      <c r="M242" s="0" t="n">
        <f aca="false">1</f>
        <v>1</v>
      </c>
      <c r="N242" s="0" t="n">
        <f aca="false">I242</f>
        <v>1</v>
      </c>
      <c r="O242" s="0" t="n">
        <f aca="false">J242</f>
        <v>0.4</v>
      </c>
      <c r="P242" s="0" t="n">
        <f aca="false">K242</f>
        <v>1</v>
      </c>
      <c r="Q242" s="0" t="n">
        <f aca="false">L242</f>
        <v>-1</v>
      </c>
      <c r="R242" s="0" t="n">
        <f aca="false">I242*J242</f>
        <v>0.4</v>
      </c>
      <c r="S242" s="0" t="n">
        <f aca="false">I242*K242</f>
        <v>1</v>
      </c>
      <c r="T242" s="0" t="n">
        <f aca="false">I242*L242</f>
        <v>-1</v>
      </c>
      <c r="U242" s="0" t="n">
        <f aca="false">J242*K242</f>
        <v>0.4</v>
      </c>
      <c r="V242" s="0" t="n">
        <f aca="false">J242*L242</f>
        <v>-0.4</v>
      </c>
      <c r="W242" s="0" t="n">
        <f aca="false">K242*L242</f>
        <v>-1</v>
      </c>
      <c r="X242" s="0" t="n">
        <f aca="false">I242*I242</f>
        <v>1</v>
      </c>
      <c r="Y242" s="0" t="n">
        <f aca="false">J242*J242</f>
        <v>0.16</v>
      </c>
      <c r="Z242" s="0" t="n">
        <f aca="false">K242*K242</f>
        <v>1</v>
      </c>
      <c r="AA242" s="0" t="n">
        <f aca="false">L242*L242</f>
        <v>1</v>
      </c>
      <c r="AB242" s="0" t="n">
        <f aca="false">SUMPRODUCT(M242:AA242,_XtX!$B$96:$P$96)</f>
        <v>46.8659444444445</v>
      </c>
      <c r="AC242" s="0" t="n">
        <f aca="false">SUMPRODUCT(MMULT(M242:AA242,_XtX!$B$78:$P$92),M242:AA242)</f>
        <v>0.697322222222222</v>
      </c>
      <c r="AD242" s="0" t="n">
        <f aca="false">AB242-04_回帰ANOVA!$K$19*04_回帰ANOVA!$K$14*SQRT(1+AC242)</f>
        <v>45.1677768804074</v>
      </c>
      <c r="AE242" s="0" t="n">
        <f aca="false">AB242+04_回帰ANOVA!$K$19*04_回帰ANOVA!$K$14*SQRT(1+AC242)</f>
        <v>48.5641120084816</v>
      </c>
      <c r="AF242" s="54" t="b">
        <f aca="false">AND(I242&gt;=01_因子設定!$L$5-0.000000001,I242&lt;=01_因子設定!$M$5+0.000000001,J242&gt;=01_因子設定!$L$6-0.000000001,J242&lt;=01_因子設定!$M$6+0.000000001,K242&gt;=01_因子設定!$L$7-0.000000001,K242&lt;=01_因子設定!$M$7+0.000000001,L242&gt;=01_因子設定!$L$8-0.000000001,L242&lt;=01_因子設定!$M$8+0.000000001,IF(01_因子設定!$B$20="Box-Behnken",I242^2+J242^2+K242^2+L242^2&lt;=2+0.000000001,TRUE()))</f>
        <v>1</v>
      </c>
      <c r="AG242" s="55" t="n">
        <f aca="false">IF(01_因子設定!$B$13="最大化",AD242-01_因子設定!$B$14,IF(01_因子設定!$B$13="最小化",01_因子設定!$B$15-AE242,MIN(AD242-01_因子設定!$B$14,01_因子設定!$B$15-AE242)))</f>
        <v>-1.33222311959261</v>
      </c>
    </row>
    <row r="243" customFormat="false" ht="15" hidden="false" customHeight="false" outlineLevel="0" collapsed="false">
      <c r="A243" s="0" t="n">
        <v>2</v>
      </c>
      <c r="B243" s="0" t="n">
        <v>1</v>
      </c>
      <c r="C243" s="0" t="n">
        <v>2</v>
      </c>
      <c r="D243" s="0" t="n">
        <v>1</v>
      </c>
      <c r="E243" s="0" t="n">
        <f aca="false">08_工程窓!$C$76+A243*(08_工程窓!$D$76-08_工程窓!$C$76)/2</f>
        <v>75</v>
      </c>
      <c r="F243" s="0" t="n">
        <f aca="false">08_工程窓!$C$77+B243*(08_工程窓!$D$77-08_工程窓!$C$77)/2</f>
        <v>34</v>
      </c>
      <c r="G243" s="0" t="n">
        <f aca="false">08_工程窓!$C$78+C243*(08_工程窓!$D$78-08_工程窓!$C$78)/2</f>
        <v>3</v>
      </c>
      <c r="H243" s="0" t="n">
        <f aca="false">08_工程窓!$C$79+D243*(08_工程窓!$D$79-08_工程窓!$C$79)/2</f>
        <v>40</v>
      </c>
      <c r="I243" s="0" t="n">
        <f aca="false">(E243-01_因子設定!$G$5)/01_因子設定!$H$5</f>
        <v>1</v>
      </c>
      <c r="J243" s="0" t="n">
        <f aca="false">(F243-01_因子設定!$G$6)/01_因子設定!$H$6</f>
        <v>0.4</v>
      </c>
      <c r="K243" s="0" t="n">
        <f aca="false">(G243-01_因子設定!$G$7)/01_因子設定!$H$7</f>
        <v>1</v>
      </c>
      <c r="L243" s="0" t="n">
        <f aca="false">(H243-01_因子設定!$G$8)/01_因子設定!$H$8</f>
        <v>0</v>
      </c>
      <c r="M243" s="0" t="n">
        <f aca="false">1</f>
        <v>1</v>
      </c>
      <c r="N243" s="0" t="n">
        <f aca="false">I243</f>
        <v>1</v>
      </c>
      <c r="O243" s="0" t="n">
        <f aca="false">J243</f>
        <v>0.4</v>
      </c>
      <c r="P243" s="0" t="n">
        <f aca="false">K243</f>
        <v>1</v>
      </c>
      <c r="Q243" s="0" t="n">
        <f aca="false">L243</f>
        <v>0</v>
      </c>
      <c r="R243" s="0" t="n">
        <f aca="false">I243*J243</f>
        <v>0.4</v>
      </c>
      <c r="S243" s="0" t="n">
        <f aca="false">I243*K243</f>
        <v>1</v>
      </c>
      <c r="T243" s="0" t="n">
        <f aca="false">I243*L243</f>
        <v>0</v>
      </c>
      <c r="U243" s="0" t="n">
        <f aca="false">J243*K243</f>
        <v>0.4</v>
      </c>
      <c r="V243" s="0" t="n">
        <f aca="false">J243*L243</f>
        <v>0</v>
      </c>
      <c r="W243" s="0" t="n">
        <f aca="false">K243*L243</f>
        <v>0</v>
      </c>
      <c r="X243" s="0" t="n">
        <f aca="false">I243*I243</f>
        <v>1</v>
      </c>
      <c r="Y243" s="0" t="n">
        <f aca="false">J243*J243</f>
        <v>0.16</v>
      </c>
      <c r="Z243" s="0" t="n">
        <f aca="false">K243*K243</f>
        <v>1</v>
      </c>
      <c r="AA243" s="0" t="n">
        <f aca="false">L243*L243</f>
        <v>0</v>
      </c>
      <c r="AB243" s="0" t="n">
        <f aca="false">SUMPRODUCT(M243:AA243,_XtX!$B$96:$P$96)</f>
        <v>47.9814561403509</v>
      </c>
      <c r="AC243" s="0" t="n">
        <f aca="false">SUMPRODUCT(MMULT(M243:AA243,_XtX!$B$78:$P$92),M243:AA243)</f>
        <v>0.666064912280702</v>
      </c>
      <c r="AD243" s="0" t="n">
        <f aca="false">AB243-04_回帰ANOVA!$K$19*04_回帰ANOVA!$K$14*SQRT(1+AC243)</f>
        <v>46.2989976744757</v>
      </c>
      <c r="AE243" s="0" t="n">
        <f aca="false">AB243+04_回帰ANOVA!$K$19*04_回帰ANOVA!$K$14*SQRT(1+AC243)</f>
        <v>49.6639146062261</v>
      </c>
      <c r="AF243" s="54" t="b">
        <f aca="false">AND(I243&gt;=01_因子設定!$L$5-0.000000001,I243&lt;=01_因子設定!$M$5+0.000000001,J243&gt;=01_因子設定!$L$6-0.000000001,J243&lt;=01_因子設定!$M$6+0.000000001,K243&gt;=01_因子設定!$L$7-0.000000001,K243&lt;=01_因子設定!$M$7+0.000000001,L243&gt;=01_因子設定!$L$8-0.000000001,L243&lt;=01_因子設定!$M$8+0.000000001,IF(01_因子設定!$B$20="Box-Behnken",I243^2+J243^2+K243^2+L243^2&lt;=2+0.000000001,TRUE()))</f>
        <v>1</v>
      </c>
      <c r="AG243" s="55" t="n">
        <f aca="false">IF(01_因子設定!$B$13="最大化",AD243-01_因子設定!$B$14,IF(01_因子設定!$B$13="最小化",01_因子設定!$B$15-AE243,MIN(AD243-01_因子設定!$B$14,01_因子設定!$B$15-AE243)))</f>
        <v>-0.201002325524257</v>
      </c>
    </row>
    <row r="244" customFormat="false" ht="15" hidden="false" customHeight="false" outlineLevel="0" collapsed="false">
      <c r="A244" s="0" t="n">
        <v>2</v>
      </c>
      <c r="B244" s="0" t="n">
        <v>1</v>
      </c>
      <c r="C244" s="0" t="n">
        <v>2</v>
      </c>
      <c r="D244" s="0" t="n">
        <v>2</v>
      </c>
      <c r="E244" s="0" t="n">
        <f aca="false">08_工程窓!$C$76+A244*(08_工程窓!$D$76-08_工程窓!$C$76)/2</f>
        <v>75</v>
      </c>
      <c r="F244" s="0" t="n">
        <f aca="false">08_工程窓!$C$77+B244*(08_工程窓!$D$77-08_工程窓!$C$77)/2</f>
        <v>34</v>
      </c>
      <c r="G244" s="0" t="n">
        <f aca="false">08_工程窓!$C$78+C244*(08_工程窓!$D$78-08_工程窓!$C$78)/2</f>
        <v>3</v>
      </c>
      <c r="H244" s="0" t="n">
        <f aca="false">08_工程窓!$C$79+D244*(08_工程窓!$D$79-08_工程窓!$C$79)/2</f>
        <v>60</v>
      </c>
      <c r="I244" s="0" t="n">
        <f aca="false">(E244-01_因子設定!$G$5)/01_因子設定!$H$5</f>
        <v>1</v>
      </c>
      <c r="J244" s="0" t="n">
        <f aca="false">(F244-01_因子設定!$G$6)/01_因子設定!$H$6</f>
        <v>0.4</v>
      </c>
      <c r="K244" s="0" t="n">
        <f aca="false">(G244-01_因子設定!$G$7)/01_因子設定!$H$7</f>
        <v>1</v>
      </c>
      <c r="L244" s="0" t="n">
        <f aca="false">(H244-01_因子設定!$G$8)/01_因子設定!$H$8</f>
        <v>1</v>
      </c>
      <c r="M244" s="0" t="n">
        <f aca="false">1</f>
        <v>1</v>
      </c>
      <c r="N244" s="0" t="n">
        <f aca="false">I244</f>
        <v>1</v>
      </c>
      <c r="O244" s="0" t="n">
        <f aca="false">J244</f>
        <v>0.4</v>
      </c>
      <c r="P244" s="0" t="n">
        <f aca="false">K244</f>
        <v>1</v>
      </c>
      <c r="Q244" s="0" t="n">
        <f aca="false">L244</f>
        <v>1</v>
      </c>
      <c r="R244" s="0" t="n">
        <f aca="false">I244*J244</f>
        <v>0.4</v>
      </c>
      <c r="S244" s="0" t="n">
        <f aca="false">I244*K244</f>
        <v>1</v>
      </c>
      <c r="T244" s="0" t="n">
        <f aca="false">I244*L244</f>
        <v>1</v>
      </c>
      <c r="U244" s="0" t="n">
        <f aca="false">J244*K244</f>
        <v>0.4</v>
      </c>
      <c r="V244" s="0" t="n">
        <f aca="false">J244*L244</f>
        <v>0.4</v>
      </c>
      <c r="W244" s="0" t="n">
        <f aca="false">K244*L244</f>
        <v>1</v>
      </c>
      <c r="X244" s="0" t="n">
        <f aca="false">I244*I244</f>
        <v>1</v>
      </c>
      <c r="Y244" s="0" t="n">
        <f aca="false">J244*J244</f>
        <v>0.16</v>
      </c>
      <c r="Z244" s="0" t="n">
        <f aca="false">K244*K244</f>
        <v>1</v>
      </c>
      <c r="AA244" s="0" t="n">
        <f aca="false">L244*L244</f>
        <v>1</v>
      </c>
      <c r="AB244" s="0" t="n">
        <f aca="false">SUMPRODUCT(M244:AA244,_XtX!$B$96:$P$96)</f>
        <v>48.3320555555556</v>
      </c>
      <c r="AC244" s="0" t="n">
        <f aca="false">SUMPRODUCT(MMULT(M244:AA244,_XtX!$B$78:$P$92),M244:AA244)</f>
        <v>0.697322222222222</v>
      </c>
      <c r="AD244" s="0" t="n">
        <f aca="false">AB244-04_回帰ANOVA!$K$19*04_回帰ANOVA!$K$14*SQRT(1+AC244)</f>
        <v>46.6338879915185</v>
      </c>
      <c r="AE244" s="0" t="n">
        <f aca="false">AB244+04_回帰ANOVA!$K$19*04_回帰ANOVA!$K$14*SQRT(1+AC244)</f>
        <v>50.0302231195927</v>
      </c>
      <c r="AF244" s="54" t="b">
        <f aca="false">AND(I244&gt;=01_因子設定!$L$5-0.000000001,I244&lt;=01_因子設定!$M$5+0.000000001,J244&gt;=01_因子設定!$L$6-0.000000001,J244&lt;=01_因子設定!$M$6+0.000000001,K244&gt;=01_因子設定!$L$7-0.000000001,K244&lt;=01_因子設定!$M$7+0.000000001,L244&gt;=01_因子設定!$L$8-0.000000001,L244&lt;=01_因子設定!$M$8+0.000000001,IF(01_因子設定!$B$20="Box-Behnken",I244^2+J244^2+K244^2+L244^2&lt;=2+0.000000001,TRUE()))</f>
        <v>1</v>
      </c>
      <c r="AG244" s="55" t="n">
        <f aca="false">IF(01_因子設定!$B$13="最大化",AD244-01_因子設定!$B$14,IF(01_因子設定!$B$13="最小化",01_因子設定!$B$15-AE244,MIN(AD244-01_因子設定!$B$14,01_因子設定!$B$15-AE244)))</f>
        <v>0.133887991518499</v>
      </c>
    </row>
    <row r="245" customFormat="false" ht="15" hidden="false" customHeight="false" outlineLevel="0" collapsed="false">
      <c r="A245" s="0" t="n">
        <v>2</v>
      </c>
      <c r="B245" s="0" t="n">
        <v>2</v>
      </c>
      <c r="C245" s="0" t="n">
        <v>0</v>
      </c>
      <c r="D245" s="0" t="n">
        <v>0</v>
      </c>
      <c r="E245" s="0" t="n">
        <f aca="false">08_工程窓!$C$76+A245*(08_工程窓!$D$76-08_工程窓!$C$76)/2</f>
        <v>75</v>
      </c>
      <c r="F245" s="0" t="n">
        <f aca="false">08_工程窓!$C$77+B245*(08_工程窓!$D$77-08_工程窓!$C$77)/2</f>
        <v>40</v>
      </c>
      <c r="G245" s="0" t="n">
        <f aca="false">08_工程窓!$C$78+C245*(08_工程窓!$D$78-08_工程窓!$C$78)/2</f>
        <v>1.25</v>
      </c>
      <c r="H245" s="0" t="n">
        <f aca="false">08_工程窓!$C$79+D245*(08_工程窓!$D$79-08_工程窓!$C$79)/2</f>
        <v>20</v>
      </c>
      <c r="I245" s="0" t="n">
        <f aca="false">(E245-01_因子設定!$G$5)/01_因子設定!$H$5</f>
        <v>1</v>
      </c>
      <c r="J245" s="0" t="n">
        <f aca="false">(F245-01_因子設定!$G$6)/01_因子設定!$H$6</f>
        <v>1</v>
      </c>
      <c r="K245" s="0" t="n">
        <f aca="false">(G245-01_因子設定!$G$7)/01_因子設定!$H$7</f>
        <v>-0.75</v>
      </c>
      <c r="L245" s="0" t="n">
        <f aca="false">(H245-01_因子設定!$G$8)/01_因子設定!$H$8</f>
        <v>-1</v>
      </c>
      <c r="M245" s="0" t="n">
        <f aca="false">1</f>
        <v>1</v>
      </c>
      <c r="N245" s="0" t="n">
        <f aca="false">I245</f>
        <v>1</v>
      </c>
      <c r="O245" s="0" t="n">
        <f aca="false">J245</f>
        <v>1</v>
      </c>
      <c r="P245" s="0" t="n">
        <f aca="false">K245</f>
        <v>-0.75</v>
      </c>
      <c r="Q245" s="0" t="n">
        <f aca="false">L245</f>
        <v>-1</v>
      </c>
      <c r="R245" s="0" t="n">
        <f aca="false">I245*J245</f>
        <v>1</v>
      </c>
      <c r="S245" s="0" t="n">
        <f aca="false">I245*K245</f>
        <v>-0.75</v>
      </c>
      <c r="T245" s="0" t="n">
        <f aca="false">I245*L245</f>
        <v>-1</v>
      </c>
      <c r="U245" s="0" t="n">
        <f aca="false">J245*K245</f>
        <v>-0.75</v>
      </c>
      <c r="V245" s="0" t="n">
        <f aca="false">J245*L245</f>
        <v>-1</v>
      </c>
      <c r="W245" s="0" t="n">
        <f aca="false">K245*L245</f>
        <v>0.75</v>
      </c>
      <c r="X245" s="0" t="n">
        <f aca="false">I245*I245</f>
        <v>1</v>
      </c>
      <c r="Y245" s="0" t="n">
        <f aca="false">J245*J245</f>
        <v>1</v>
      </c>
      <c r="Z245" s="0" t="n">
        <f aca="false">K245*K245</f>
        <v>0.5625</v>
      </c>
      <c r="AA245" s="0" t="n">
        <f aca="false">L245*L245</f>
        <v>1</v>
      </c>
      <c r="AB245" s="0" t="n">
        <f aca="false">SUMPRODUCT(M245:AA245,_XtX!$B$96:$P$96)</f>
        <v>46.6148391812866</v>
      </c>
      <c r="AC245" s="0" t="n">
        <f aca="false">SUMPRODUCT(MMULT(M245:AA245,_XtX!$B$78:$P$92),M245:AA245)</f>
        <v>0.610814144736842</v>
      </c>
      <c r="AD245" s="0" t="n">
        <f aca="false">AB245-04_回帰ANOVA!$K$19*04_回帰ANOVA!$K$14*SQRT(1+AC245)</f>
        <v>44.9605131254505</v>
      </c>
      <c r="AE245" s="0" t="n">
        <f aca="false">AB245+04_回帰ANOVA!$K$19*04_回帰ANOVA!$K$14*SQRT(1+AC245)</f>
        <v>48.2691652371227</v>
      </c>
      <c r="AF245" s="54" t="b">
        <f aca="false">AND(I245&gt;=01_因子設定!$L$5-0.000000001,I245&lt;=01_因子設定!$M$5+0.000000001,J245&gt;=01_因子設定!$L$6-0.000000001,J245&lt;=01_因子設定!$M$6+0.000000001,K245&gt;=01_因子設定!$L$7-0.000000001,K245&lt;=01_因子設定!$M$7+0.000000001,L245&gt;=01_因子設定!$L$8-0.000000001,L245&lt;=01_因子設定!$M$8+0.000000001,IF(01_因子設定!$B$20="Box-Behnken",I245^2+J245^2+K245^2+L245^2&lt;=2+0.000000001,TRUE()))</f>
        <v>1</v>
      </c>
      <c r="AG245" s="55" t="n">
        <f aca="false">IF(01_因子設定!$B$13="最大化",AD245-01_因子設定!$B$14,IF(01_因子設定!$B$13="最小化",01_因子設定!$B$15-AE245,MIN(AD245-01_因子設定!$B$14,01_因子設定!$B$15-AE245)))</f>
        <v>-1.53948687454948</v>
      </c>
    </row>
    <row r="246" customFormat="false" ht="15" hidden="false" customHeight="false" outlineLevel="0" collapsed="false">
      <c r="A246" s="0" t="n">
        <v>2</v>
      </c>
      <c r="B246" s="0" t="n">
        <v>2</v>
      </c>
      <c r="C246" s="0" t="n">
        <v>0</v>
      </c>
      <c r="D246" s="0" t="n">
        <v>1</v>
      </c>
      <c r="E246" s="0" t="n">
        <f aca="false">08_工程窓!$C$76+A246*(08_工程窓!$D$76-08_工程窓!$C$76)/2</f>
        <v>75</v>
      </c>
      <c r="F246" s="0" t="n">
        <f aca="false">08_工程窓!$C$77+B246*(08_工程窓!$D$77-08_工程窓!$C$77)/2</f>
        <v>40</v>
      </c>
      <c r="G246" s="0" t="n">
        <f aca="false">08_工程窓!$C$78+C246*(08_工程窓!$D$78-08_工程窓!$C$78)/2</f>
        <v>1.25</v>
      </c>
      <c r="H246" s="0" t="n">
        <f aca="false">08_工程窓!$C$79+D246*(08_工程窓!$D$79-08_工程窓!$C$79)/2</f>
        <v>40</v>
      </c>
      <c r="I246" s="0" t="n">
        <f aca="false">(E246-01_因子設定!$G$5)/01_因子設定!$H$5</f>
        <v>1</v>
      </c>
      <c r="J246" s="0" t="n">
        <f aca="false">(F246-01_因子設定!$G$6)/01_因子設定!$H$6</f>
        <v>1</v>
      </c>
      <c r="K246" s="0" t="n">
        <f aca="false">(G246-01_因子設定!$G$7)/01_因子設定!$H$7</f>
        <v>-0.75</v>
      </c>
      <c r="L246" s="0" t="n">
        <f aca="false">(H246-01_因子設定!$G$8)/01_因子設定!$H$8</f>
        <v>0</v>
      </c>
      <c r="M246" s="0" t="n">
        <f aca="false">1</f>
        <v>1</v>
      </c>
      <c r="N246" s="0" t="n">
        <f aca="false">I246</f>
        <v>1</v>
      </c>
      <c r="O246" s="0" t="n">
        <f aca="false">J246</f>
        <v>1</v>
      </c>
      <c r="P246" s="0" t="n">
        <f aca="false">K246</f>
        <v>-0.75</v>
      </c>
      <c r="Q246" s="0" t="n">
        <f aca="false">L246</f>
        <v>0</v>
      </c>
      <c r="R246" s="0" t="n">
        <f aca="false">I246*J246</f>
        <v>1</v>
      </c>
      <c r="S246" s="0" t="n">
        <f aca="false">I246*K246</f>
        <v>-0.75</v>
      </c>
      <c r="T246" s="0" t="n">
        <f aca="false">I246*L246</f>
        <v>0</v>
      </c>
      <c r="U246" s="0" t="n">
        <f aca="false">J246*K246</f>
        <v>-0.75</v>
      </c>
      <c r="V246" s="0" t="n">
        <f aca="false">J246*L246</f>
        <v>0</v>
      </c>
      <c r="W246" s="0" t="n">
        <f aca="false">K246*L246</f>
        <v>-0</v>
      </c>
      <c r="X246" s="0" t="n">
        <f aca="false">I246*I246</f>
        <v>1</v>
      </c>
      <c r="Y246" s="0" t="n">
        <f aca="false">J246*J246</f>
        <v>1</v>
      </c>
      <c r="Z246" s="0" t="n">
        <f aca="false">K246*K246</f>
        <v>0.5625</v>
      </c>
      <c r="AA246" s="0" t="n">
        <f aca="false">L246*L246</f>
        <v>0</v>
      </c>
      <c r="AB246" s="0" t="n">
        <f aca="false">SUMPRODUCT(M246:AA246,_XtX!$B$96:$P$96)</f>
        <v>47.099725877193</v>
      </c>
      <c r="AC246" s="0" t="n">
        <f aca="false">SUMPRODUCT(MMULT(M246:AA246,_XtX!$B$78:$P$92),M246:AA246)</f>
        <v>0.646198830409357</v>
      </c>
      <c r="AD246" s="0" t="n">
        <f aca="false">AB246-04_回帰ANOVA!$K$19*04_回帰ANOVA!$K$14*SQRT(1+AC246)</f>
        <v>45.4273282714955</v>
      </c>
      <c r="AE246" s="0" t="n">
        <f aca="false">AB246+04_回帰ANOVA!$K$19*04_回帰ANOVA!$K$14*SQRT(1+AC246)</f>
        <v>48.7721234828906</v>
      </c>
      <c r="AF246" s="54" t="b">
        <f aca="false">AND(I246&gt;=01_因子設定!$L$5-0.000000001,I246&lt;=01_因子設定!$M$5+0.000000001,J246&gt;=01_因子設定!$L$6-0.000000001,J246&lt;=01_因子設定!$M$6+0.000000001,K246&gt;=01_因子設定!$L$7-0.000000001,K246&lt;=01_因子設定!$M$7+0.000000001,L246&gt;=01_因子設定!$L$8-0.000000001,L246&lt;=01_因子設定!$M$8+0.000000001,IF(01_因子設定!$B$20="Box-Behnken",I246^2+J246^2+K246^2+L246^2&lt;=2+0.000000001,TRUE()))</f>
        <v>1</v>
      </c>
      <c r="AG246" s="55" t="n">
        <f aca="false">IF(01_因子設定!$B$13="最大化",AD246-01_因子設定!$B$14,IF(01_因子設定!$B$13="最小化",01_因子設定!$B$15-AE246,MIN(AD246-01_因子設定!$B$14,01_因子設定!$B$15-AE246)))</f>
        <v>-1.07267172850455</v>
      </c>
    </row>
    <row r="247" customFormat="false" ht="15" hidden="false" customHeight="false" outlineLevel="0" collapsed="false">
      <c r="A247" s="0" t="n">
        <v>2</v>
      </c>
      <c r="B247" s="0" t="n">
        <v>2</v>
      </c>
      <c r="C247" s="0" t="n">
        <v>0</v>
      </c>
      <c r="D247" s="0" t="n">
        <v>2</v>
      </c>
      <c r="E247" s="0" t="n">
        <f aca="false">08_工程窓!$C$76+A247*(08_工程窓!$D$76-08_工程窓!$C$76)/2</f>
        <v>75</v>
      </c>
      <c r="F247" s="0" t="n">
        <f aca="false">08_工程窓!$C$77+B247*(08_工程窓!$D$77-08_工程窓!$C$77)/2</f>
        <v>40</v>
      </c>
      <c r="G247" s="0" t="n">
        <f aca="false">08_工程窓!$C$78+C247*(08_工程窓!$D$78-08_工程窓!$C$78)/2</f>
        <v>1.25</v>
      </c>
      <c r="H247" s="0" t="n">
        <f aca="false">08_工程窓!$C$79+D247*(08_工程窓!$D$79-08_工程窓!$C$79)/2</f>
        <v>60</v>
      </c>
      <c r="I247" s="0" t="n">
        <f aca="false">(E247-01_因子設定!$G$5)/01_因子設定!$H$5</f>
        <v>1</v>
      </c>
      <c r="J247" s="0" t="n">
        <f aca="false">(F247-01_因子設定!$G$6)/01_因子設定!$H$6</f>
        <v>1</v>
      </c>
      <c r="K247" s="0" t="n">
        <f aca="false">(G247-01_因子設定!$G$7)/01_因子設定!$H$7</f>
        <v>-0.75</v>
      </c>
      <c r="L247" s="0" t="n">
        <f aca="false">(H247-01_因子設定!$G$8)/01_因子設定!$H$8</f>
        <v>1</v>
      </c>
      <c r="M247" s="0" t="n">
        <f aca="false">1</f>
        <v>1</v>
      </c>
      <c r="N247" s="0" t="n">
        <f aca="false">I247</f>
        <v>1</v>
      </c>
      <c r="O247" s="0" t="n">
        <f aca="false">J247</f>
        <v>1</v>
      </c>
      <c r="P247" s="0" t="n">
        <f aca="false">K247</f>
        <v>-0.75</v>
      </c>
      <c r="Q247" s="0" t="n">
        <f aca="false">L247</f>
        <v>1</v>
      </c>
      <c r="R247" s="0" t="n">
        <f aca="false">I247*J247</f>
        <v>1</v>
      </c>
      <c r="S247" s="0" t="n">
        <f aca="false">I247*K247</f>
        <v>-0.75</v>
      </c>
      <c r="T247" s="0" t="n">
        <f aca="false">I247*L247</f>
        <v>1</v>
      </c>
      <c r="U247" s="0" t="n">
        <f aca="false">J247*K247</f>
        <v>-0.75</v>
      </c>
      <c r="V247" s="0" t="n">
        <f aca="false">J247*L247</f>
        <v>1</v>
      </c>
      <c r="W247" s="0" t="n">
        <f aca="false">K247*L247</f>
        <v>-0.75</v>
      </c>
      <c r="X247" s="0" t="n">
        <f aca="false">I247*I247</f>
        <v>1</v>
      </c>
      <c r="Y247" s="0" t="n">
        <f aca="false">J247*J247</f>
        <v>1</v>
      </c>
      <c r="Z247" s="0" t="n">
        <f aca="false">K247*K247</f>
        <v>0.5625</v>
      </c>
      <c r="AA247" s="0" t="n">
        <f aca="false">L247*L247</f>
        <v>1</v>
      </c>
      <c r="AB247" s="0" t="n">
        <f aca="false">SUMPRODUCT(M247:AA247,_XtX!$B$96:$P$96)</f>
        <v>46.8197002923977</v>
      </c>
      <c r="AC247" s="0" t="n">
        <f aca="false">SUMPRODUCT(MMULT(M247:AA247,_XtX!$B$78:$P$92),M247:AA247)</f>
        <v>0.610814144736842</v>
      </c>
      <c r="AD247" s="0" t="n">
        <f aca="false">AB247-04_回帰ANOVA!$K$19*04_回帰ANOVA!$K$14*SQRT(1+AC247)</f>
        <v>45.1653742365616</v>
      </c>
      <c r="AE247" s="0" t="n">
        <f aca="false">AB247+04_回帰ANOVA!$K$19*04_回帰ANOVA!$K$14*SQRT(1+AC247)</f>
        <v>48.4740263482338</v>
      </c>
      <c r="AF247" s="54" t="b">
        <f aca="false">AND(I247&gt;=01_因子設定!$L$5-0.000000001,I247&lt;=01_因子設定!$M$5+0.000000001,J247&gt;=01_因子設定!$L$6-0.000000001,J247&lt;=01_因子設定!$M$6+0.000000001,K247&gt;=01_因子設定!$L$7-0.000000001,K247&lt;=01_因子設定!$M$7+0.000000001,L247&gt;=01_因子設定!$L$8-0.000000001,L247&lt;=01_因子設定!$M$8+0.000000001,IF(01_因子設定!$B$20="Box-Behnken",I247^2+J247^2+K247^2+L247^2&lt;=2+0.000000001,TRUE()))</f>
        <v>1</v>
      </c>
      <c r="AG247" s="55" t="n">
        <f aca="false">IF(01_因子設定!$B$13="最大化",AD247-01_因子設定!$B$14,IF(01_因子設定!$B$13="最小化",01_因子設定!$B$15-AE247,MIN(AD247-01_因子設定!$B$14,01_因子設定!$B$15-AE247)))</f>
        <v>-1.33462576343837</v>
      </c>
    </row>
    <row r="248" customFormat="false" ht="15" hidden="false" customHeight="false" outlineLevel="0" collapsed="false">
      <c r="A248" s="0" t="n">
        <v>2</v>
      </c>
      <c r="B248" s="0" t="n">
        <v>2</v>
      </c>
      <c r="C248" s="0" t="n">
        <v>1</v>
      </c>
      <c r="D248" s="0" t="n">
        <v>0</v>
      </c>
      <c r="E248" s="0" t="n">
        <f aca="false">08_工程窓!$C$76+A248*(08_工程窓!$D$76-08_工程窓!$C$76)/2</f>
        <v>75</v>
      </c>
      <c r="F248" s="0" t="n">
        <f aca="false">08_工程窓!$C$77+B248*(08_工程窓!$D$77-08_工程窓!$C$77)/2</f>
        <v>40</v>
      </c>
      <c r="G248" s="0" t="n">
        <f aca="false">08_工程窓!$C$78+C248*(08_工程窓!$D$78-08_工程窓!$C$78)/2</f>
        <v>2.125</v>
      </c>
      <c r="H248" s="0" t="n">
        <f aca="false">08_工程窓!$C$79+D248*(08_工程窓!$D$79-08_工程窓!$C$79)/2</f>
        <v>20</v>
      </c>
      <c r="I248" s="0" t="n">
        <f aca="false">(E248-01_因子設定!$G$5)/01_因子設定!$H$5</f>
        <v>1</v>
      </c>
      <c r="J248" s="0" t="n">
        <f aca="false">(F248-01_因子設定!$G$6)/01_因子設定!$H$6</f>
        <v>1</v>
      </c>
      <c r="K248" s="0" t="n">
        <f aca="false">(G248-01_因子設定!$G$7)/01_因子設定!$H$7</f>
        <v>0.125</v>
      </c>
      <c r="L248" s="0" t="n">
        <f aca="false">(H248-01_因子設定!$G$8)/01_因子設定!$H$8</f>
        <v>-1</v>
      </c>
      <c r="M248" s="0" t="n">
        <f aca="false">1</f>
        <v>1</v>
      </c>
      <c r="N248" s="0" t="n">
        <f aca="false">I248</f>
        <v>1</v>
      </c>
      <c r="O248" s="0" t="n">
        <f aca="false">J248</f>
        <v>1</v>
      </c>
      <c r="P248" s="0" t="n">
        <f aca="false">K248</f>
        <v>0.125</v>
      </c>
      <c r="Q248" s="0" t="n">
        <f aca="false">L248</f>
        <v>-1</v>
      </c>
      <c r="R248" s="0" t="n">
        <f aca="false">I248*J248</f>
        <v>1</v>
      </c>
      <c r="S248" s="0" t="n">
        <f aca="false">I248*K248</f>
        <v>0.125</v>
      </c>
      <c r="T248" s="0" t="n">
        <f aca="false">I248*L248</f>
        <v>-1</v>
      </c>
      <c r="U248" s="0" t="n">
        <f aca="false">J248*K248</f>
        <v>0.125</v>
      </c>
      <c r="V248" s="0" t="n">
        <f aca="false">J248*L248</f>
        <v>-1</v>
      </c>
      <c r="W248" s="0" t="n">
        <f aca="false">K248*L248</f>
        <v>-0.125</v>
      </c>
      <c r="X248" s="0" t="n">
        <f aca="false">I248*I248</f>
        <v>1</v>
      </c>
      <c r="Y248" s="0" t="n">
        <f aca="false">J248*J248</f>
        <v>1</v>
      </c>
      <c r="Z248" s="0" t="n">
        <f aca="false">K248*K248</f>
        <v>0.015625</v>
      </c>
      <c r="AA248" s="0" t="n">
        <f aca="false">L248*L248</f>
        <v>1</v>
      </c>
      <c r="AB248" s="0" t="n">
        <f aca="false">SUMPRODUCT(M248:AA248,_XtX!$B$96:$P$96)</f>
        <v>47.3015990497077</v>
      </c>
      <c r="AC248" s="0" t="n">
        <f aca="false">SUMPRODUCT(MMULT(M248:AA248,_XtX!$B$78:$P$92),M248:AA248)</f>
        <v>0.758826183296784</v>
      </c>
      <c r="AD248" s="0" t="n">
        <f aca="false">AB248-04_回帰ANOVA!$K$19*04_回帰ANOVA!$K$14*SQRT(1+AC248)</f>
        <v>45.5729379709913</v>
      </c>
      <c r="AE248" s="0" t="n">
        <f aca="false">AB248+04_回帰ANOVA!$K$19*04_回帰ANOVA!$K$14*SQRT(1+AC248)</f>
        <v>49.030260128424</v>
      </c>
      <c r="AF248" s="54" t="b">
        <f aca="false">AND(I248&gt;=01_因子設定!$L$5-0.000000001,I248&lt;=01_因子設定!$M$5+0.000000001,J248&gt;=01_因子設定!$L$6-0.000000001,J248&lt;=01_因子設定!$M$6+0.000000001,K248&gt;=01_因子設定!$L$7-0.000000001,K248&lt;=01_因子設定!$M$7+0.000000001,L248&gt;=01_因子設定!$L$8-0.000000001,L248&lt;=01_因子設定!$M$8+0.000000001,IF(01_因子設定!$B$20="Box-Behnken",I248^2+J248^2+K248^2+L248^2&lt;=2+0.000000001,TRUE()))</f>
        <v>1</v>
      </c>
      <c r="AG248" s="55" t="n">
        <f aca="false">IF(01_因子設定!$B$13="最大化",AD248-01_因子設定!$B$14,IF(01_因子設定!$B$13="最小化",01_因子設定!$B$15-AE248,MIN(AD248-01_因子設定!$B$14,01_因子設定!$B$15-AE248)))</f>
        <v>-0.927062029008674</v>
      </c>
    </row>
    <row r="249" customFormat="false" ht="15" hidden="false" customHeight="false" outlineLevel="0" collapsed="false">
      <c r="A249" s="0" t="n">
        <v>2</v>
      </c>
      <c r="B249" s="0" t="n">
        <v>2</v>
      </c>
      <c r="C249" s="0" t="n">
        <v>1</v>
      </c>
      <c r="D249" s="0" t="n">
        <v>1</v>
      </c>
      <c r="E249" s="0" t="n">
        <f aca="false">08_工程窓!$C$76+A249*(08_工程窓!$D$76-08_工程窓!$C$76)/2</f>
        <v>75</v>
      </c>
      <c r="F249" s="0" t="n">
        <f aca="false">08_工程窓!$C$77+B249*(08_工程窓!$D$77-08_工程窓!$C$77)/2</f>
        <v>40</v>
      </c>
      <c r="G249" s="0" t="n">
        <f aca="false">08_工程窓!$C$78+C249*(08_工程窓!$D$78-08_工程窓!$C$78)/2</f>
        <v>2.125</v>
      </c>
      <c r="H249" s="0" t="n">
        <f aca="false">08_工程窓!$C$79+D249*(08_工程窓!$D$79-08_工程窓!$C$79)/2</f>
        <v>40</v>
      </c>
      <c r="I249" s="0" t="n">
        <f aca="false">(E249-01_因子設定!$G$5)/01_因子設定!$H$5</f>
        <v>1</v>
      </c>
      <c r="J249" s="0" t="n">
        <f aca="false">(F249-01_因子設定!$G$6)/01_因子設定!$H$6</f>
        <v>1</v>
      </c>
      <c r="K249" s="0" t="n">
        <f aca="false">(G249-01_因子設定!$G$7)/01_因子設定!$H$7</f>
        <v>0.125</v>
      </c>
      <c r="L249" s="0" t="n">
        <f aca="false">(H249-01_因子設定!$G$8)/01_因子設定!$H$8</f>
        <v>0</v>
      </c>
      <c r="M249" s="0" t="n">
        <f aca="false">1</f>
        <v>1</v>
      </c>
      <c r="N249" s="0" t="n">
        <f aca="false">I249</f>
        <v>1</v>
      </c>
      <c r="O249" s="0" t="n">
        <f aca="false">J249</f>
        <v>1</v>
      </c>
      <c r="P249" s="0" t="n">
        <f aca="false">K249</f>
        <v>0.125</v>
      </c>
      <c r="Q249" s="0" t="n">
        <f aca="false">L249</f>
        <v>0</v>
      </c>
      <c r="R249" s="0" t="n">
        <f aca="false">I249*J249</f>
        <v>1</v>
      </c>
      <c r="S249" s="0" t="n">
        <f aca="false">I249*K249</f>
        <v>0.125</v>
      </c>
      <c r="T249" s="0" t="n">
        <f aca="false">I249*L249</f>
        <v>0</v>
      </c>
      <c r="U249" s="0" t="n">
        <f aca="false">J249*K249</f>
        <v>0.125</v>
      </c>
      <c r="V249" s="0" t="n">
        <f aca="false">J249*L249</f>
        <v>0</v>
      </c>
      <c r="W249" s="0" t="n">
        <f aca="false">K249*L249</f>
        <v>0</v>
      </c>
      <c r="X249" s="0" t="n">
        <f aca="false">I249*I249</f>
        <v>1</v>
      </c>
      <c r="Y249" s="0" t="n">
        <f aca="false">J249*J249</f>
        <v>1</v>
      </c>
      <c r="Z249" s="0" t="n">
        <f aca="false">K249*K249</f>
        <v>0.015625</v>
      </c>
      <c r="AA249" s="0" t="n">
        <f aca="false">L249*L249</f>
        <v>0</v>
      </c>
      <c r="AB249" s="0" t="n">
        <f aca="false">SUMPRODUCT(M249:AA249,_XtX!$B$96:$P$96)</f>
        <v>48.0380482456141</v>
      </c>
      <c r="AC249" s="0" t="n">
        <f aca="false">SUMPRODUCT(MMULT(M249:AA249,_XtX!$B$78:$P$92),M249:AA249)</f>
        <v>0.703664679276316</v>
      </c>
      <c r="AD249" s="0" t="n">
        <f aca="false">AB249-04_回帰ANOVA!$K$19*04_回帰ANOVA!$K$14*SQRT(1+AC249)</f>
        <v>46.3367108321044</v>
      </c>
      <c r="AE249" s="0" t="n">
        <f aca="false">AB249+04_回帰ANOVA!$K$19*04_回帰ANOVA!$K$14*SQRT(1+AC249)</f>
        <v>49.7393856591237</v>
      </c>
      <c r="AF249" s="54" t="b">
        <f aca="false">AND(I249&gt;=01_因子設定!$L$5-0.000000001,I249&lt;=01_因子設定!$M$5+0.000000001,J249&gt;=01_因子設定!$L$6-0.000000001,J249&lt;=01_因子設定!$M$6+0.000000001,K249&gt;=01_因子設定!$L$7-0.000000001,K249&lt;=01_因子設定!$M$7+0.000000001,L249&gt;=01_因子設定!$L$8-0.000000001,L249&lt;=01_因子設定!$M$8+0.000000001,IF(01_因子設定!$B$20="Box-Behnken",I249^2+J249^2+K249^2+L249^2&lt;=2+0.000000001,TRUE()))</f>
        <v>1</v>
      </c>
      <c r="AG249" s="55" t="n">
        <f aca="false">IF(01_因子設定!$B$13="最大化",AD249-01_因子設定!$B$14,IF(01_因子設定!$B$13="最小化",01_因子設定!$B$15-AE249,MIN(AD249-01_因子設定!$B$14,01_因子設定!$B$15-AE249)))</f>
        <v>-0.163289167895613</v>
      </c>
    </row>
    <row r="250" customFormat="false" ht="15" hidden="false" customHeight="false" outlineLevel="0" collapsed="false">
      <c r="A250" s="0" t="n">
        <v>2</v>
      </c>
      <c r="B250" s="0" t="n">
        <v>2</v>
      </c>
      <c r="C250" s="0" t="n">
        <v>1</v>
      </c>
      <c r="D250" s="0" t="n">
        <v>2</v>
      </c>
      <c r="E250" s="0" t="n">
        <f aca="false">08_工程窓!$C$76+A250*(08_工程窓!$D$76-08_工程窓!$C$76)/2</f>
        <v>75</v>
      </c>
      <c r="F250" s="0" t="n">
        <f aca="false">08_工程窓!$C$77+B250*(08_工程窓!$D$77-08_工程窓!$C$77)/2</f>
        <v>40</v>
      </c>
      <c r="G250" s="0" t="n">
        <f aca="false">08_工程窓!$C$78+C250*(08_工程窓!$D$78-08_工程窓!$C$78)/2</f>
        <v>2.125</v>
      </c>
      <c r="H250" s="0" t="n">
        <f aca="false">08_工程窓!$C$79+D250*(08_工程窓!$D$79-08_工程窓!$C$79)/2</f>
        <v>60</v>
      </c>
      <c r="I250" s="0" t="n">
        <f aca="false">(E250-01_因子設定!$G$5)/01_因子設定!$H$5</f>
        <v>1</v>
      </c>
      <c r="J250" s="0" t="n">
        <f aca="false">(F250-01_因子設定!$G$6)/01_因子設定!$H$6</f>
        <v>1</v>
      </c>
      <c r="K250" s="0" t="n">
        <f aca="false">(G250-01_因子設定!$G$7)/01_因子設定!$H$7</f>
        <v>0.125</v>
      </c>
      <c r="L250" s="0" t="n">
        <f aca="false">(H250-01_因子設定!$G$8)/01_因子設定!$H$8</f>
        <v>1</v>
      </c>
      <c r="M250" s="0" t="n">
        <f aca="false">1</f>
        <v>1</v>
      </c>
      <c r="N250" s="0" t="n">
        <f aca="false">I250</f>
        <v>1</v>
      </c>
      <c r="O250" s="0" t="n">
        <f aca="false">J250</f>
        <v>1</v>
      </c>
      <c r="P250" s="0" t="n">
        <f aca="false">K250</f>
        <v>0.125</v>
      </c>
      <c r="Q250" s="0" t="n">
        <f aca="false">L250</f>
        <v>1</v>
      </c>
      <c r="R250" s="0" t="n">
        <f aca="false">I250*J250</f>
        <v>1</v>
      </c>
      <c r="S250" s="0" t="n">
        <f aca="false">I250*K250</f>
        <v>0.125</v>
      </c>
      <c r="T250" s="0" t="n">
        <f aca="false">I250*L250</f>
        <v>1</v>
      </c>
      <c r="U250" s="0" t="n">
        <f aca="false">J250*K250</f>
        <v>0.125</v>
      </c>
      <c r="V250" s="0" t="n">
        <f aca="false">J250*L250</f>
        <v>1</v>
      </c>
      <c r="W250" s="0" t="n">
        <f aca="false">K250*L250</f>
        <v>0.125</v>
      </c>
      <c r="X250" s="0" t="n">
        <f aca="false">I250*I250</f>
        <v>1</v>
      </c>
      <c r="Y250" s="0" t="n">
        <f aca="false">J250*J250</f>
        <v>1</v>
      </c>
      <c r="Z250" s="0" t="n">
        <f aca="false">K250*K250</f>
        <v>0.015625</v>
      </c>
      <c r="AA250" s="0" t="n">
        <f aca="false">L250*L250</f>
        <v>1</v>
      </c>
      <c r="AB250" s="0" t="n">
        <f aca="false">SUMPRODUCT(M250:AA250,_XtX!$B$96:$P$96)</f>
        <v>48.0095851608188</v>
      </c>
      <c r="AC250" s="0" t="n">
        <f aca="false">SUMPRODUCT(MMULT(M250:AA250,_XtX!$B$78:$P$92),M250:AA250)</f>
        <v>0.758826183296784</v>
      </c>
      <c r="AD250" s="0" t="n">
        <f aca="false">AB250-04_回帰ANOVA!$K$19*04_回帰ANOVA!$K$14*SQRT(1+AC250)</f>
        <v>46.2809240821024</v>
      </c>
      <c r="AE250" s="0" t="n">
        <f aca="false">AB250+04_回帰ANOVA!$K$19*04_回帰ANOVA!$K$14*SQRT(1+AC250)</f>
        <v>49.7382462395351</v>
      </c>
      <c r="AF250" s="54" t="b">
        <f aca="false">AND(I250&gt;=01_因子設定!$L$5-0.000000001,I250&lt;=01_因子設定!$M$5+0.000000001,J250&gt;=01_因子設定!$L$6-0.000000001,J250&lt;=01_因子設定!$M$6+0.000000001,K250&gt;=01_因子設定!$L$7-0.000000001,K250&lt;=01_因子設定!$M$7+0.000000001,L250&gt;=01_因子設定!$L$8-0.000000001,L250&lt;=01_因子設定!$M$8+0.000000001,IF(01_因子設定!$B$20="Box-Behnken",I250^2+J250^2+K250^2+L250^2&lt;=2+0.000000001,TRUE()))</f>
        <v>1</v>
      </c>
      <c r="AG250" s="55" t="n">
        <f aca="false">IF(01_因子設定!$B$13="最大化",AD250-01_因子設定!$B$14,IF(01_因子設定!$B$13="最小化",01_因子設定!$B$15-AE250,MIN(AD250-01_因子設定!$B$14,01_因子設定!$B$15-AE250)))</f>
        <v>-0.219075917897563</v>
      </c>
    </row>
    <row r="251" customFormat="false" ht="15" hidden="false" customHeight="false" outlineLevel="0" collapsed="false">
      <c r="A251" s="0" t="n">
        <v>2</v>
      </c>
      <c r="B251" s="0" t="n">
        <v>2</v>
      </c>
      <c r="C251" s="0" t="n">
        <v>2</v>
      </c>
      <c r="D251" s="0" t="n">
        <v>0</v>
      </c>
      <c r="E251" s="0" t="n">
        <f aca="false">08_工程窓!$C$76+A251*(08_工程窓!$D$76-08_工程窓!$C$76)/2</f>
        <v>75</v>
      </c>
      <c r="F251" s="0" t="n">
        <f aca="false">08_工程窓!$C$77+B251*(08_工程窓!$D$77-08_工程窓!$C$77)/2</f>
        <v>40</v>
      </c>
      <c r="G251" s="0" t="n">
        <f aca="false">08_工程窓!$C$78+C251*(08_工程窓!$D$78-08_工程窓!$C$78)/2</f>
        <v>3</v>
      </c>
      <c r="H251" s="0" t="n">
        <f aca="false">08_工程窓!$C$79+D251*(08_工程窓!$D$79-08_工程窓!$C$79)/2</f>
        <v>20</v>
      </c>
      <c r="I251" s="0" t="n">
        <f aca="false">(E251-01_因子設定!$G$5)/01_因子設定!$H$5</f>
        <v>1</v>
      </c>
      <c r="J251" s="0" t="n">
        <f aca="false">(F251-01_因子設定!$G$6)/01_因子設定!$H$6</f>
        <v>1</v>
      </c>
      <c r="K251" s="0" t="n">
        <f aca="false">(G251-01_因子設定!$G$7)/01_因子設定!$H$7</f>
        <v>1</v>
      </c>
      <c r="L251" s="0" t="n">
        <f aca="false">(H251-01_因子設定!$G$8)/01_因子設定!$H$8</f>
        <v>-1</v>
      </c>
      <c r="M251" s="0" t="n">
        <f aca="false">1</f>
        <v>1</v>
      </c>
      <c r="N251" s="0" t="n">
        <f aca="false">I251</f>
        <v>1</v>
      </c>
      <c r="O251" s="0" t="n">
        <f aca="false">J251</f>
        <v>1</v>
      </c>
      <c r="P251" s="0" t="n">
        <f aca="false">K251</f>
        <v>1</v>
      </c>
      <c r="Q251" s="0" t="n">
        <f aca="false">L251</f>
        <v>-1</v>
      </c>
      <c r="R251" s="0" t="n">
        <f aca="false">I251*J251</f>
        <v>1</v>
      </c>
      <c r="S251" s="0" t="n">
        <f aca="false">I251*K251</f>
        <v>1</v>
      </c>
      <c r="T251" s="0" t="n">
        <f aca="false">I251*L251</f>
        <v>-1</v>
      </c>
      <c r="U251" s="0" t="n">
        <f aca="false">J251*K251</f>
        <v>1</v>
      </c>
      <c r="V251" s="0" t="n">
        <f aca="false">J251*L251</f>
        <v>-1</v>
      </c>
      <c r="W251" s="0" t="n">
        <f aca="false">K251*L251</f>
        <v>-1</v>
      </c>
      <c r="X251" s="0" t="n">
        <f aca="false">I251*I251</f>
        <v>1</v>
      </c>
      <c r="Y251" s="0" t="n">
        <f aca="false">J251*J251</f>
        <v>1</v>
      </c>
      <c r="Z251" s="0" t="n">
        <f aca="false">K251*K251</f>
        <v>1</v>
      </c>
      <c r="AA251" s="0" t="n">
        <f aca="false">L251*L251</f>
        <v>1</v>
      </c>
      <c r="AB251" s="0" t="n">
        <f aca="false">SUMPRODUCT(M251:AA251,_XtX!$B$96:$P$96)</f>
        <v>46.9433479532164</v>
      </c>
      <c r="AC251" s="0" t="n">
        <f aca="false">SUMPRODUCT(MMULT(M251:AA251,_XtX!$B$78:$P$92),M251:AA251)</f>
        <v>0.658625730994152</v>
      </c>
      <c r="AD251" s="0" t="n">
        <f aca="false">AB251-04_回帰ANOVA!$K$19*04_回帰ANOVA!$K$14*SQRT(1+AC251)</f>
        <v>45.2646498799322</v>
      </c>
      <c r="AE251" s="0" t="n">
        <f aca="false">AB251+04_回帰ANOVA!$K$19*04_回帰ANOVA!$K$14*SQRT(1+AC251)</f>
        <v>48.6220460265007</v>
      </c>
      <c r="AF251" s="54" t="b">
        <f aca="false">AND(I251&gt;=01_因子設定!$L$5-0.000000001,I251&lt;=01_因子設定!$M$5+0.000000001,J251&gt;=01_因子設定!$L$6-0.000000001,J251&lt;=01_因子設定!$M$6+0.000000001,K251&gt;=01_因子設定!$L$7-0.000000001,K251&lt;=01_因子設定!$M$7+0.000000001,L251&gt;=01_因子設定!$L$8-0.000000001,L251&lt;=01_因子設定!$M$8+0.000000001,IF(01_因子設定!$B$20="Box-Behnken",I251^2+J251^2+K251^2+L251^2&lt;=2+0.000000001,TRUE()))</f>
        <v>1</v>
      </c>
      <c r="AG251" s="55" t="n">
        <f aca="false">IF(01_因子設定!$B$13="最大化",AD251-01_因子設定!$B$14,IF(01_因子設定!$B$13="最小化",01_因子設定!$B$15-AE251,MIN(AD251-01_因子設定!$B$14,01_因子設定!$B$15-AE251)))</f>
        <v>-1.23535012006779</v>
      </c>
    </row>
    <row r="252" customFormat="false" ht="15" hidden="false" customHeight="false" outlineLevel="0" collapsed="false">
      <c r="A252" s="0" t="n">
        <v>2</v>
      </c>
      <c r="B252" s="0" t="n">
        <v>2</v>
      </c>
      <c r="C252" s="0" t="n">
        <v>2</v>
      </c>
      <c r="D252" s="0" t="n">
        <v>1</v>
      </c>
      <c r="E252" s="0" t="n">
        <f aca="false">08_工程窓!$C$76+A252*(08_工程窓!$D$76-08_工程窓!$C$76)/2</f>
        <v>75</v>
      </c>
      <c r="F252" s="0" t="n">
        <f aca="false">08_工程窓!$C$77+B252*(08_工程窓!$D$77-08_工程窓!$C$77)/2</f>
        <v>40</v>
      </c>
      <c r="G252" s="0" t="n">
        <f aca="false">08_工程窓!$C$78+C252*(08_工程窓!$D$78-08_工程窓!$C$78)/2</f>
        <v>3</v>
      </c>
      <c r="H252" s="0" t="n">
        <f aca="false">08_工程窓!$C$79+D252*(08_工程窓!$D$79-08_工程窓!$C$79)/2</f>
        <v>40</v>
      </c>
      <c r="I252" s="0" t="n">
        <f aca="false">(E252-01_因子設定!$G$5)/01_因子設定!$H$5</f>
        <v>1</v>
      </c>
      <c r="J252" s="0" t="n">
        <f aca="false">(F252-01_因子設定!$G$6)/01_因子設定!$H$6</f>
        <v>1</v>
      </c>
      <c r="K252" s="0" t="n">
        <f aca="false">(G252-01_因子設定!$G$7)/01_因子設定!$H$7</f>
        <v>1</v>
      </c>
      <c r="L252" s="0" t="n">
        <f aca="false">(H252-01_因子設定!$G$8)/01_因子設定!$H$8</f>
        <v>0</v>
      </c>
      <c r="M252" s="0" t="n">
        <f aca="false">1</f>
        <v>1</v>
      </c>
      <c r="N252" s="0" t="n">
        <f aca="false">I252</f>
        <v>1</v>
      </c>
      <c r="O252" s="0" t="n">
        <f aca="false">J252</f>
        <v>1</v>
      </c>
      <c r="P252" s="0" t="n">
        <f aca="false">K252</f>
        <v>1</v>
      </c>
      <c r="Q252" s="0" t="n">
        <f aca="false">L252</f>
        <v>0</v>
      </c>
      <c r="R252" s="0" t="n">
        <f aca="false">I252*J252</f>
        <v>1</v>
      </c>
      <c r="S252" s="0" t="n">
        <f aca="false">I252*K252</f>
        <v>1</v>
      </c>
      <c r="T252" s="0" t="n">
        <f aca="false">I252*L252</f>
        <v>0</v>
      </c>
      <c r="U252" s="0" t="n">
        <f aca="false">J252*K252</f>
        <v>1</v>
      </c>
      <c r="V252" s="0" t="n">
        <f aca="false">J252*L252</f>
        <v>0</v>
      </c>
      <c r="W252" s="0" t="n">
        <f aca="false">K252*L252</f>
        <v>0</v>
      </c>
      <c r="X252" s="0" t="n">
        <f aca="false">I252*I252</f>
        <v>1</v>
      </c>
      <c r="Y252" s="0" t="n">
        <f aca="false">J252*J252</f>
        <v>1</v>
      </c>
      <c r="Z252" s="0" t="n">
        <f aca="false">K252*K252</f>
        <v>1</v>
      </c>
      <c r="AA252" s="0" t="n">
        <f aca="false">L252*L252</f>
        <v>0</v>
      </c>
      <c r="AB252" s="0" t="n">
        <f aca="false">SUMPRODUCT(M252:AA252,_XtX!$B$96:$P$96)</f>
        <v>47.9313596491228</v>
      </c>
      <c r="AC252" s="0" t="n">
        <f aca="false">SUMPRODUCT(MMULT(M252:AA252,_XtX!$B$78:$P$92),M252:AA252)</f>
        <v>0.766447368421053</v>
      </c>
      <c r="AD252" s="0" t="n">
        <f aca="false">AB252-04_回帰ANOVA!$K$19*04_回帰ANOVA!$K$14*SQRT(1+AC252)</f>
        <v>46.1989573805485</v>
      </c>
      <c r="AE252" s="0" t="n">
        <f aca="false">AB252+04_回帰ANOVA!$K$19*04_回帰ANOVA!$K$14*SQRT(1+AC252)</f>
        <v>49.6637619176971</v>
      </c>
      <c r="AF252" s="54" t="b">
        <f aca="false">AND(I252&gt;=01_因子設定!$L$5-0.000000001,I252&lt;=01_因子設定!$M$5+0.000000001,J252&gt;=01_因子設定!$L$6-0.000000001,J252&lt;=01_因子設定!$M$6+0.000000001,K252&gt;=01_因子設定!$L$7-0.000000001,K252&lt;=01_因子設定!$M$7+0.000000001,L252&gt;=01_因子設定!$L$8-0.000000001,L252&lt;=01_因子設定!$M$8+0.000000001,IF(01_因子設定!$B$20="Box-Behnken",I252^2+J252^2+K252^2+L252^2&lt;=2+0.000000001,TRUE()))</f>
        <v>1</v>
      </c>
      <c r="AG252" s="55" t="n">
        <f aca="false">IF(01_因子設定!$B$13="最大化",AD252-01_因子設定!$B$14,IF(01_因子設定!$B$13="最小化",01_因子設定!$B$15-AE252,MIN(AD252-01_因子設定!$B$14,01_因子設定!$B$15-AE252)))</f>
        <v>-0.301042619451472</v>
      </c>
    </row>
    <row r="253" customFormat="false" ht="15" hidden="false" customHeight="false" outlineLevel="0" collapsed="false">
      <c r="A253" s="0" t="n">
        <v>2</v>
      </c>
      <c r="B253" s="0" t="n">
        <v>2</v>
      </c>
      <c r="C253" s="0" t="n">
        <v>2</v>
      </c>
      <c r="D253" s="0" t="n">
        <v>2</v>
      </c>
      <c r="E253" s="0" t="n">
        <f aca="false">08_工程窓!$C$76+A253*(08_工程窓!$D$76-08_工程窓!$C$76)/2</f>
        <v>75</v>
      </c>
      <c r="F253" s="0" t="n">
        <f aca="false">08_工程窓!$C$77+B253*(08_工程窓!$D$77-08_工程窓!$C$77)/2</f>
        <v>40</v>
      </c>
      <c r="G253" s="0" t="n">
        <f aca="false">08_工程窓!$C$78+C253*(08_工程窓!$D$78-08_工程窓!$C$78)/2</f>
        <v>3</v>
      </c>
      <c r="H253" s="0" t="n">
        <f aca="false">08_工程窓!$C$79+D253*(08_工程窓!$D$79-08_工程窓!$C$79)/2</f>
        <v>60</v>
      </c>
      <c r="I253" s="0" t="n">
        <f aca="false">(E253-01_因子設定!$G$5)/01_因子設定!$H$5</f>
        <v>1</v>
      </c>
      <c r="J253" s="0" t="n">
        <f aca="false">(F253-01_因子設定!$G$6)/01_因子設定!$H$6</f>
        <v>1</v>
      </c>
      <c r="K253" s="0" t="n">
        <f aca="false">(G253-01_因子設定!$G$7)/01_因子設定!$H$7</f>
        <v>1</v>
      </c>
      <c r="L253" s="0" t="n">
        <f aca="false">(H253-01_因子設定!$G$8)/01_因子設定!$H$8</f>
        <v>1</v>
      </c>
      <c r="M253" s="0" t="n">
        <f aca="false">1</f>
        <v>1</v>
      </c>
      <c r="N253" s="0" t="n">
        <f aca="false">I253</f>
        <v>1</v>
      </c>
      <c r="O253" s="0" t="n">
        <f aca="false">J253</f>
        <v>1</v>
      </c>
      <c r="P253" s="0" t="n">
        <f aca="false">K253</f>
        <v>1</v>
      </c>
      <c r="Q253" s="0" t="n">
        <f aca="false">L253</f>
        <v>1</v>
      </c>
      <c r="R253" s="0" t="n">
        <f aca="false">I253*J253</f>
        <v>1</v>
      </c>
      <c r="S253" s="0" t="n">
        <f aca="false">I253*K253</f>
        <v>1</v>
      </c>
      <c r="T253" s="0" t="n">
        <f aca="false">I253*L253</f>
        <v>1</v>
      </c>
      <c r="U253" s="0" t="n">
        <f aca="false">J253*K253</f>
        <v>1</v>
      </c>
      <c r="V253" s="0" t="n">
        <f aca="false">J253*L253</f>
        <v>1</v>
      </c>
      <c r="W253" s="0" t="n">
        <f aca="false">K253*L253</f>
        <v>1</v>
      </c>
      <c r="X253" s="0" t="n">
        <f aca="false">I253*I253</f>
        <v>1</v>
      </c>
      <c r="Y253" s="0" t="n">
        <f aca="false">J253*J253</f>
        <v>1</v>
      </c>
      <c r="Z253" s="0" t="n">
        <f aca="false">K253*K253</f>
        <v>1</v>
      </c>
      <c r="AA253" s="0" t="n">
        <f aca="false">L253*L253</f>
        <v>1</v>
      </c>
      <c r="AB253" s="0" t="n">
        <f aca="false">SUMPRODUCT(M253:AA253,_XtX!$B$96:$P$96)</f>
        <v>48.1544590643276</v>
      </c>
      <c r="AC253" s="0" t="n">
        <f aca="false">SUMPRODUCT(MMULT(M253:AA253,_XtX!$B$78:$P$92),M253:AA253)</f>
        <v>0.658625730994152</v>
      </c>
      <c r="AD253" s="0" t="n">
        <f aca="false">AB253-04_回帰ANOVA!$K$19*04_回帰ANOVA!$K$14*SQRT(1+AC253)</f>
        <v>46.4757609910433</v>
      </c>
      <c r="AE253" s="0" t="n">
        <f aca="false">AB253+04_回帰ANOVA!$K$19*04_回帰ANOVA!$K$14*SQRT(1+AC253)</f>
        <v>49.8331571376118</v>
      </c>
      <c r="AF253" s="54" t="b">
        <f aca="false">AND(I253&gt;=01_因子設定!$L$5-0.000000001,I253&lt;=01_因子設定!$M$5+0.000000001,J253&gt;=01_因子設定!$L$6-0.000000001,J253&lt;=01_因子設定!$M$6+0.000000001,K253&gt;=01_因子設定!$L$7-0.000000001,K253&lt;=01_因子設定!$M$7+0.000000001,L253&gt;=01_因子設定!$L$8-0.000000001,L253&lt;=01_因子設定!$M$8+0.000000001,IF(01_因子設定!$B$20="Box-Behnken",I253^2+J253^2+K253^2+L253^2&lt;=2+0.000000001,TRUE()))</f>
        <v>1</v>
      </c>
      <c r="AG253" s="55" t="n">
        <f aca="false">IF(01_因子設定!$B$13="最大化",AD253-01_因子設定!$B$14,IF(01_因子設定!$B$13="最小化",01_因子設定!$B$15-AE253,MIN(AD253-01_因子設定!$B$14,01_因子設定!$B$15-AE253)))</f>
        <v>-0.0242390089566769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2026-09-30T05:50:42Z</dcterms:created>
  <dc:creator>openpyxl</dc:creator>
  <dc:description/>
  <dc:language>en-US</dc:language>
  <cp:lastModifiedBy/>
  <dcterms:modified xsi:type="dcterms:W3CDTF">2026-09-30T14:50:49Z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